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drawings/drawing2.xml" ContentType="application/vnd.openxmlformats-officedocument.drawing+xml"/>
  <Override PartName="/xl/ctrlProps/ctrlProp110.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JHAVLI~1\AppData\Local\Temp\"/>
    </mc:Choice>
  </mc:AlternateContent>
  <bookViews>
    <workbookView xWindow="0" yWindow="-12" windowWidth="9720" windowHeight="7320" tabRatio="840"/>
  </bookViews>
  <sheets>
    <sheet name="Report" sheetId="15" r:id="rId1"/>
    <sheet name="NY East Load Projections" sheetId="11" r:id="rId2"/>
    <sheet name="TIPS" sheetId="1" r:id="rId3"/>
    <sheet name="MAIN" sheetId="2" r:id="rId4"/>
    <sheet name="CURVES" sheetId="3" r:id="rId5"/>
    <sheet name="CALC" sheetId="5" r:id="rId6"/>
    <sheet name="TAKE" sheetId="4" r:id="rId7"/>
    <sheet name="Mid Load Forecast$" sheetId="12" r:id="rId8"/>
    <sheet name="Bid Load Forecast$" sheetId="13" r:id="rId9"/>
    <sheet name="Offer Load Forecast$" sheetId="14" r:id="rId10"/>
    <sheet name="Total MW Load" sheetId="16" r:id="rId11"/>
  </sheets>
  <definedNames>
    <definedName name="AvailDays">CALC!$AV$17:$AY$292</definedName>
    <definedName name="BasisIndex">MAIN!$BH$15:$BH$44</definedName>
    <definedName name="BasisNumber">MAIN!$BH$13</definedName>
    <definedName name="BasisTable">CURVES!$BK$40:$BM$316</definedName>
    <definedName name="BegDate">MAIN!$C$7</definedName>
    <definedName name="BegMonth">MAIN!$BK$43</definedName>
    <definedName name="BegYear">MAIN!$BK$44</definedName>
    <definedName name="BigTable">CURVES!$M$9:$AN$408</definedName>
    <definedName name="CalcMode">MAIN!$BK$46</definedName>
    <definedName name="CBidOfferVolSpread">MAIN!$C$39</definedName>
    <definedName name="CBidOfferVolSpreadFlag">MAIN!$AZ$23</definedName>
    <definedName name="CBuySell">MAIN!$AZ$21</definedName>
    <definedName name="CCap">MAIN!$I$37</definedName>
    <definedName name="CCapVolCurve">MAIN!$AZ$28</definedName>
    <definedName name="CCapVolOverDailyOffPeak">MAIN!$I$42</definedName>
    <definedName name="CCapVolOverDailyPeak">MAIN!$I$41</definedName>
    <definedName name="CCapVolOverMonthlyOffPeak">MAIN!$I$40</definedName>
    <definedName name="CCapVolOverMonthlyPeak">MAIN!$I$39</definedName>
    <definedName name="CFloor">MAIN!$F$37</definedName>
    <definedName name="CFloorVolCurve">MAIN!$AZ$27</definedName>
    <definedName name="CFloorVolOverDailyOffPeak">MAIN!$F$42</definedName>
    <definedName name="CFloorVolOverDailyPeak">MAIN!$F$41</definedName>
    <definedName name="CFloorVolOverMonthlyOffPeak">MAIN!$F$40</definedName>
    <definedName name="CFloorVolOverMonthlyPeak">MAIN!$F$39</definedName>
    <definedName name="CombineTakesFlag">MAIN!$AZ$10</definedName>
    <definedName name="CorrPeakOffPeak">MAIN!$F$9</definedName>
    <definedName name="CorrPeakOffPeakOver">MAIN!$P$24:$P$35</definedName>
    <definedName name="CorrPeakOffPeakOverFlag">MAIN!$AZ$31</definedName>
    <definedName name="CorrPowerGas">MAIN!$F$10</definedName>
    <definedName name="CorrPowerGasOver">MAIN!$Q$24:$Q$35</definedName>
    <definedName name="CorrPowerGasOverFlag">MAIN!$AZ$32</definedName>
    <definedName name="CostCollFirstDer">CALC!$DF$3</definedName>
    <definedName name="CostCollOrigination">MAIN!$L$41</definedName>
    <definedName name="CostCollSecondDer">CALC!$DG$3</definedName>
    <definedName name="CostCollValue">CALC!$DE$3</definedName>
    <definedName name="CPriceCurve">MAIN!$AZ$25</definedName>
    <definedName name="CSpec">MAIN!$AZ$22</definedName>
    <definedName name="CUnder">CALC!$DD$3</definedName>
    <definedName name="CurveDate">MAIN!$C$3</definedName>
    <definedName name="CustomHoFlag">MAIN!$BD$16</definedName>
    <definedName name="CustomHoPeriod">MAIN!$BE$16</definedName>
    <definedName name="CustomMFFlag">MAIN!$BD$13</definedName>
    <definedName name="CustomMFPeriod">MAIN!$BE$13</definedName>
    <definedName name="CustomSaFlag">MAIN!$BD$14</definedName>
    <definedName name="CustomSaPeriod">MAIN!$BE$14</definedName>
    <definedName name="CustomSuFlag">MAIN!$BD$15</definedName>
    <definedName name="CustomSuPeriod">MAIN!$BE$15</definedName>
    <definedName name="CVolSmile">MAIN!$AZ$26</definedName>
    <definedName name="CVolType">MAIN!$AZ$24</definedName>
    <definedName name="DailyScalarsTable">CURVES!$AT$11:$BE$34</definedName>
    <definedName name="DateToday">MAIN!$C$2</definedName>
    <definedName name="DiffOptVolume">MAIN!$I$3</definedName>
    <definedName name="DiffOptVolumeFlag">MAIN!$AZ$5</definedName>
    <definedName name="DiffOptVolumeHourlyOver">MAIN!$U$31:$X$54</definedName>
    <definedName name="DiffOptVolumeMonthlyOver">MAIN!$P$5:$P$16</definedName>
    <definedName name="EmbeddedOrigination">MAIN!$L$25</definedName>
    <definedName name="EndDate">MAIN!$C$8</definedName>
    <definedName name="FirmHol">TAKE!$AF$47:$BH$58</definedName>
    <definedName name="FirmSat">TAKE!$AF$19:$BH$30</definedName>
    <definedName name="FirmSun">TAKE!$AF$33:$BH$44</definedName>
    <definedName name="FirmWeek">TAKE!$AF$5:$BH$16</definedName>
    <definedName name="GasBasis">MAIN!$C$31</definedName>
    <definedName name="GasFirstMonth">CURVES!$BQ$6</definedName>
    <definedName name="GasPriceCurve">MAIN!$AZ$29</definedName>
    <definedName name="GasTable">CURVES!$BQ$6:$CD$283</definedName>
    <definedName name="GasTransportPercent">MAIN!$C$34</definedName>
    <definedName name="GasVolAsPercentOfNYMEX">MAIN!$F$32</definedName>
    <definedName name="GasVolCurve">MAIN!$AZ$30</definedName>
    <definedName name="GasVolOver">MAIN!$F$34</definedName>
    <definedName name="GasVolSpread">MAIN!$F$33</definedName>
    <definedName name="HeatRateOffPeak" localSheetId="8">HeatRatePeak*MAIN!$I$29</definedName>
    <definedName name="HeatRateOffPeak" localSheetId="9">HeatRatePeak*MAIN!$I$29</definedName>
    <definedName name="HeatRateOffPeak" localSheetId="10">HeatRatePeak*MAIN!$I$29</definedName>
    <definedName name="HeatRateOffPeak">HeatRatePeak*MAIN!$I$29</definedName>
    <definedName name="HeatRatePeak">MAIN!$I$28</definedName>
    <definedName name="IntraMonthVolScalars">MAIN!$O$24:$O$35</definedName>
    <definedName name="IRFirstMonth">CURVES!$A$3</definedName>
    <definedName name="IRTable">CURVES!$A$3:$B$279</definedName>
    <definedName name="MaxMWTable">TAKE!$CP$5:$CQ$16</definedName>
    <definedName name="MonthKnockOutTable">MAIN!$AZ$37:$AZ$48</definedName>
    <definedName name="MostExpFlag">MAIN!$AZ$8</definedName>
    <definedName name="NYLOADPROJ">'NY East Load Projections'!$A$4:$EO$14</definedName>
    <definedName name="OBuySell">MAIN!$AZ$15</definedName>
    <definedName name="OCallPut">MAIN!$AZ$16</definedName>
    <definedName name="OCost">MAIN!$L$21</definedName>
    <definedName name="OffPeakPeriod">MAIN!$BE$4</definedName>
    <definedName name="OImpVol">MAIN!$L$23</definedName>
    <definedName name="OImpVolFirstDer">CALC!$CZ$5</definedName>
    <definedName name="OImpVolSecondDer">CALC!$DA$5</definedName>
    <definedName name="OImpVolValue">CALC!$CY$5</definedName>
    <definedName name="OmicronCurveDate">MAIN!$F$29</definedName>
    <definedName name="OmicronIndex">MAIN!$BJ$32:$BJ$41</definedName>
    <definedName name="OmicronNumber">MAIN!$BN$31</definedName>
    <definedName name="OPriceCurve">MAIN!$AZ$17</definedName>
    <definedName name="OptExpDateShift">MAIN!$Q$18</definedName>
    <definedName name="OptHol">TAKE!$BK$47:$CM$58</definedName>
    <definedName name="OptSat">TAKE!$BK$19:$CM$30</definedName>
    <definedName name="OptSun">TAKE!$BK$33:$CM$44</definedName>
    <definedName name="OptWeek">TAKE!$BK$5:$CM$16</definedName>
    <definedName name="OrderedPrices">TAKE!$F$37:$AC$48</definedName>
    <definedName name="OrderedPricesSat">TAKE!$F$53:$AC$64</definedName>
    <definedName name="OrderedPricesSun">TAKE!$F$69:$AC$80</definedName>
    <definedName name="OrderedScalars">TAKE!$F$21:$AC$32</definedName>
    <definedName name="OStrike">MAIN!$C$26</definedName>
    <definedName name="OTake">MAIN!$F$3</definedName>
    <definedName name="OVolCurve">MAIN!$AZ$18</definedName>
    <definedName name="OVolOverDailyOffPeak">MAIN!$F$23</definedName>
    <definedName name="OVolOverDailyPeak">MAIN!$F$22</definedName>
    <definedName name="OVolOverMonthlyOffPeak">MAIN!$F$21</definedName>
    <definedName name="OVolOverMonthlyPeak">MAIN!$F$20</definedName>
    <definedName name="OVolSmile">MAIN!$AZ$20</definedName>
    <definedName name="OVolType">MAIN!$AZ$19</definedName>
    <definedName name="PeakEnd">CURVES!$AU$7</definedName>
    <definedName name="PeakPeriod">MAIN!$BE$3</definedName>
    <definedName name="PeakStart">CURVES!$AT$7</definedName>
    <definedName name="PositionBasis">CURVES!$BK$4</definedName>
    <definedName name="PositionRegion">CURVES!$D$3</definedName>
    <definedName name="PriceEsc">MAIN!$L$4</definedName>
    <definedName name="PriceEscType">MAIN!$AZ$7</definedName>
    <definedName name="PriceTable">CURVES!$D$40:$K$316</definedName>
    <definedName name="_xlnm.Print_Area" localSheetId="5">CALC!$BA$12:$BP$18</definedName>
    <definedName name="_xlnm.Print_Area" localSheetId="3">MAIN!$B$2:$L$42</definedName>
    <definedName name="_xlnm.Print_Area" localSheetId="0">Report!$A$1:$F$65</definedName>
    <definedName name="RankOffPeak">TAKE!$V$5:$AC$16</definedName>
    <definedName name="RankPeak">TAKE!$F$5:$U$16</definedName>
    <definedName name="RegionIndex">MAIN!$BE$20:$BE$52</definedName>
    <definedName name="RegionNumber">MAIN!$BE$18</definedName>
    <definedName name="SatSunCurve">CURVES!$M$9:$T$232</definedName>
    <definedName name="SBidOfferPrice">MAIN!$C$13</definedName>
    <definedName name="SBuySell">MAIN!$AZ$11</definedName>
    <definedName name="ScalarsOrderedOffPeak">TAKE!$V$21:$AC$32</definedName>
    <definedName name="ScalarsOrderedPeak">TAKE!$F$21:$U$32</definedName>
    <definedName name="SOBuySell">MAIN!$AZ$12</definedName>
    <definedName name="SOCallPut">MAIN!$AZ$13</definedName>
    <definedName name="SOExp">MAIN!$F$17</definedName>
    <definedName name="SOPriceCurve">MAIN!$AZ$14</definedName>
    <definedName name="SOStrike">MAIN!$F$16</definedName>
    <definedName name="SOUnder">CALC!$CA$5</definedName>
    <definedName name="SOVol">MAIN!$F$18</definedName>
    <definedName name="SpreadOptGasMargin">MAIN!$C$32+MAIN!$C$33</definedName>
    <definedName name="SpreadOptPowerMargin">MAIN!$I$30+MAIN!$I$31</definedName>
    <definedName name="SpreadOptStrike">MAIN!$I$32</definedName>
    <definedName name="SPrice">MAIN!$C$14</definedName>
    <definedName name="STake">MAIN!$F$2</definedName>
    <definedName name="SwapOptFirstDer">CALC!$CZ$3</definedName>
    <definedName name="SwapOptSecondDer">CALC!$DA$3</definedName>
    <definedName name="SwapOptValue">CALC!$CY$3</definedName>
    <definedName name="TakeType">MAIN!$AZ$9</definedName>
    <definedName name="VolSmileBook">CURVES!$AS$37:$AT$57</definedName>
    <definedName name="VolSmileModel">CURVES!$BH$5:$BI$25</definedName>
    <definedName name="Volume">MAIN!$I$2</definedName>
    <definedName name="VolumeEsc">MAIN!$L$2</definedName>
    <definedName name="VolumeEscType">MAIN!$AZ$6</definedName>
    <definedName name="VolumeHourlyOver">MAIN!$U$4:$X$27</definedName>
    <definedName name="VolumeMonthlyOver">MAIN!$O$5:$O$16</definedName>
    <definedName name="VolumeMonthlyOverFlag">MAIN!$AZ$4</definedName>
    <definedName name="WeekDef">MAIN!$BC$4</definedName>
  </definedNames>
  <calcPr calcId="0" calcMode="manual"/>
</workbook>
</file>

<file path=xl/calcChain.xml><?xml version="1.0" encoding="utf-8"?>
<calcChain xmlns="http://schemas.openxmlformats.org/spreadsheetml/2006/main">
  <c r="H6" i="13" l="1"/>
  <c r="I6" i="13"/>
  <c r="J6" i="13"/>
  <c r="K6" i="13"/>
  <c r="L6" i="13"/>
  <c r="M6" i="13"/>
  <c r="N6" i="13"/>
  <c r="O6" i="13"/>
  <c r="P6" i="13"/>
  <c r="Q6" i="13"/>
  <c r="R6" i="13"/>
  <c r="S6" i="13"/>
  <c r="T6" i="13"/>
  <c r="U6" i="13"/>
  <c r="V6" i="13"/>
  <c r="W6" i="13"/>
  <c r="X6" i="13"/>
  <c r="Y6" i="13"/>
  <c r="Z6" i="13"/>
  <c r="AA6" i="13"/>
  <c r="AB6" i="13"/>
  <c r="AC6" i="13"/>
  <c r="AD6" i="13"/>
  <c r="AE6" i="13"/>
  <c r="AG6" i="13"/>
  <c r="AH6" i="13"/>
  <c r="AI6" i="13"/>
  <c r="AJ6" i="13"/>
  <c r="AK6" i="13"/>
  <c r="AL6" i="13"/>
  <c r="AM6" i="13"/>
  <c r="AN6" i="13"/>
  <c r="AO6" i="13"/>
  <c r="AP6" i="13"/>
  <c r="AQ6" i="13"/>
  <c r="AR6" i="13"/>
  <c r="AS6" i="13"/>
  <c r="AT6" i="13"/>
  <c r="AU6" i="13"/>
  <c r="AV6" i="13"/>
  <c r="AW6" i="13"/>
  <c r="AX6" i="13"/>
  <c r="AY6" i="13"/>
  <c r="AZ6" i="13"/>
  <c r="BA6" i="13"/>
  <c r="BB6" i="13"/>
  <c r="BC6" i="13"/>
  <c r="BD6" i="13"/>
  <c r="BF6" i="13"/>
  <c r="BG6" i="13"/>
  <c r="BH6" i="13"/>
  <c r="BI6" i="13"/>
  <c r="BJ6" i="13"/>
  <c r="BK6" i="13"/>
  <c r="BL6" i="13"/>
  <c r="BM6" i="13"/>
  <c r="BN6" i="13"/>
  <c r="BO6" i="13"/>
  <c r="BP6" i="13"/>
  <c r="BQ6" i="13"/>
  <c r="BR6" i="13"/>
  <c r="BS6" i="13"/>
  <c r="BT6" i="13"/>
  <c r="BU6" i="13"/>
  <c r="BV6" i="13"/>
  <c r="BW6" i="13"/>
  <c r="BX6" i="13"/>
  <c r="BY6" i="13"/>
  <c r="BZ6" i="13"/>
  <c r="CA6" i="13"/>
  <c r="CB6" i="13"/>
  <c r="CC6" i="13"/>
  <c r="CE6" i="13"/>
  <c r="CF6" i="13"/>
  <c r="CG6" i="13"/>
  <c r="CH6" i="13"/>
  <c r="CI6" i="13"/>
  <c r="CJ6" i="13"/>
  <c r="CK6" i="13"/>
  <c r="CL6" i="13"/>
  <c r="CM6" i="13"/>
  <c r="CN6" i="13"/>
  <c r="CO6" i="13"/>
  <c r="CP6" i="13"/>
  <c r="CQ6" i="13"/>
  <c r="CR6" i="13"/>
  <c r="CS6" i="13"/>
  <c r="CT6" i="13"/>
  <c r="CU6" i="13"/>
  <c r="CV6" i="13"/>
  <c r="CW6" i="13"/>
  <c r="CX6" i="13"/>
  <c r="CY6" i="13"/>
  <c r="CZ6" i="13"/>
  <c r="DA6" i="13"/>
  <c r="DB6" i="13"/>
  <c r="DH6" i="13"/>
  <c r="DI6" i="13"/>
  <c r="DJ6" i="13"/>
  <c r="H7" i="13"/>
  <c r="I7" i="13"/>
  <c r="J7" i="13"/>
  <c r="K7" i="13"/>
  <c r="L7" i="13"/>
  <c r="M7" i="13"/>
  <c r="N7" i="13"/>
  <c r="O7" i="13"/>
  <c r="P7" i="13"/>
  <c r="Q7" i="13"/>
  <c r="R7" i="13"/>
  <c r="S7" i="13"/>
  <c r="T7" i="13"/>
  <c r="U7" i="13"/>
  <c r="V7" i="13"/>
  <c r="W7" i="13"/>
  <c r="X7" i="13"/>
  <c r="Y7" i="13"/>
  <c r="Z7" i="13"/>
  <c r="AA7" i="13"/>
  <c r="AB7" i="13"/>
  <c r="AC7" i="13"/>
  <c r="AD7" i="13"/>
  <c r="AE7" i="13"/>
  <c r="AG7" i="13"/>
  <c r="AH7" i="13"/>
  <c r="AI7" i="13"/>
  <c r="AJ7" i="13"/>
  <c r="AK7" i="13"/>
  <c r="AL7" i="13"/>
  <c r="AM7" i="13"/>
  <c r="AN7" i="13"/>
  <c r="AO7" i="13"/>
  <c r="AP7" i="13"/>
  <c r="AQ7" i="13"/>
  <c r="AR7" i="13"/>
  <c r="AS7" i="13"/>
  <c r="AT7" i="13"/>
  <c r="AU7" i="13"/>
  <c r="AV7" i="13"/>
  <c r="AW7" i="13"/>
  <c r="AX7" i="13"/>
  <c r="AY7" i="13"/>
  <c r="AZ7" i="13"/>
  <c r="BA7" i="13"/>
  <c r="BB7" i="13"/>
  <c r="BC7" i="13"/>
  <c r="BD7" i="13"/>
  <c r="BF7" i="13"/>
  <c r="BG7" i="13"/>
  <c r="BH7" i="13"/>
  <c r="BI7" i="13"/>
  <c r="BJ7" i="13"/>
  <c r="BK7" i="13"/>
  <c r="BL7" i="13"/>
  <c r="BM7" i="13"/>
  <c r="BN7" i="13"/>
  <c r="BO7" i="13"/>
  <c r="BP7" i="13"/>
  <c r="BQ7" i="13"/>
  <c r="BR7" i="13"/>
  <c r="BS7" i="13"/>
  <c r="BT7" i="13"/>
  <c r="BU7" i="13"/>
  <c r="BV7" i="13"/>
  <c r="BW7" i="13"/>
  <c r="BX7" i="13"/>
  <c r="BY7" i="13"/>
  <c r="BZ7" i="13"/>
  <c r="CA7" i="13"/>
  <c r="CB7" i="13"/>
  <c r="CC7" i="13"/>
  <c r="CE7" i="13"/>
  <c r="CF7" i="13"/>
  <c r="CG7" i="13"/>
  <c r="CH7" i="13"/>
  <c r="CI7" i="13"/>
  <c r="CJ7" i="13"/>
  <c r="CK7" i="13"/>
  <c r="CL7" i="13"/>
  <c r="CM7" i="13"/>
  <c r="CN7" i="13"/>
  <c r="CO7" i="13"/>
  <c r="CP7" i="13"/>
  <c r="CQ7" i="13"/>
  <c r="CR7" i="13"/>
  <c r="CS7" i="13"/>
  <c r="CT7" i="13"/>
  <c r="CU7" i="13"/>
  <c r="CV7" i="13"/>
  <c r="CW7" i="13"/>
  <c r="CX7" i="13"/>
  <c r="CY7" i="13"/>
  <c r="CZ7" i="13"/>
  <c r="DA7" i="13"/>
  <c r="DB7" i="13"/>
  <c r="DH7" i="13"/>
  <c r="DI7" i="13"/>
  <c r="DJ7" i="13"/>
  <c r="H8" i="13"/>
  <c r="I8" i="13"/>
  <c r="J8" i="13"/>
  <c r="K8" i="13"/>
  <c r="L8" i="13"/>
  <c r="M8" i="13"/>
  <c r="N8" i="13"/>
  <c r="O8" i="13"/>
  <c r="P8" i="13"/>
  <c r="Q8" i="13"/>
  <c r="R8" i="13"/>
  <c r="S8" i="13"/>
  <c r="T8" i="13"/>
  <c r="U8" i="13"/>
  <c r="V8" i="13"/>
  <c r="W8" i="13"/>
  <c r="X8" i="13"/>
  <c r="Y8" i="13"/>
  <c r="Z8" i="13"/>
  <c r="AA8" i="13"/>
  <c r="AB8" i="13"/>
  <c r="AC8" i="13"/>
  <c r="AD8" i="13"/>
  <c r="AE8" i="13"/>
  <c r="AG8" i="13"/>
  <c r="AH8" i="13"/>
  <c r="AI8" i="13"/>
  <c r="AJ8" i="13"/>
  <c r="AK8" i="13"/>
  <c r="AL8" i="13"/>
  <c r="AM8" i="13"/>
  <c r="AN8" i="13"/>
  <c r="AO8" i="13"/>
  <c r="AP8" i="13"/>
  <c r="AQ8" i="13"/>
  <c r="AR8" i="13"/>
  <c r="AS8" i="13"/>
  <c r="AT8" i="13"/>
  <c r="AU8" i="13"/>
  <c r="AV8" i="13"/>
  <c r="AW8" i="13"/>
  <c r="AX8" i="13"/>
  <c r="AY8" i="13"/>
  <c r="AZ8" i="13"/>
  <c r="BA8" i="13"/>
  <c r="BB8" i="13"/>
  <c r="BC8" i="13"/>
  <c r="BD8" i="13"/>
  <c r="BF8" i="13"/>
  <c r="BG8" i="13"/>
  <c r="BH8" i="13"/>
  <c r="BI8" i="13"/>
  <c r="BJ8" i="13"/>
  <c r="BK8" i="13"/>
  <c r="BL8" i="13"/>
  <c r="BM8" i="13"/>
  <c r="BN8" i="13"/>
  <c r="BO8" i="13"/>
  <c r="BP8" i="13"/>
  <c r="BQ8" i="13"/>
  <c r="BR8" i="13"/>
  <c r="BS8" i="13"/>
  <c r="BT8" i="13"/>
  <c r="BU8" i="13"/>
  <c r="BV8" i="13"/>
  <c r="BW8" i="13"/>
  <c r="BX8" i="13"/>
  <c r="BY8" i="13"/>
  <c r="BZ8" i="13"/>
  <c r="CA8" i="13"/>
  <c r="CB8" i="13"/>
  <c r="CC8" i="13"/>
  <c r="CE8" i="13"/>
  <c r="CF8" i="13"/>
  <c r="CG8" i="13"/>
  <c r="CH8" i="13"/>
  <c r="CI8" i="13"/>
  <c r="CJ8" i="13"/>
  <c r="CK8" i="13"/>
  <c r="CL8" i="13"/>
  <c r="CM8" i="13"/>
  <c r="CN8" i="13"/>
  <c r="CO8" i="13"/>
  <c r="CP8" i="13"/>
  <c r="CQ8" i="13"/>
  <c r="CR8" i="13"/>
  <c r="CS8" i="13"/>
  <c r="CT8" i="13"/>
  <c r="CU8" i="13"/>
  <c r="CV8" i="13"/>
  <c r="CW8" i="13"/>
  <c r="CX8" i="13"/>
  <c r="CY8" i="13"/>
  <c r="CZ8" i="13"/>
  <c r="DA8" i="13"/>
  <c r="DB8" i="13"/>
  <c r="DH8" i="13"/>
  <c r="DI8" i="13"/>
  <c r="DJ8" i="13"/>
  <c r="H9" i="13"/>
  <c r="I9" i="13"/>
  <c r="J9" i="13"/>
  <c r="K9" i="13"/>
  <c r="L9" i="13"/>
  <c r="M9" i="13"/>
  <c r="N9" i="13"/>
  <c r="O9" i="13"/>
  <c r="P9" i="13"/>
  <c r="Q9" i="13"/>
  <c r="R9" i="13"/>
  <c r="S9" i="13"/>
  <c r="T9" i="13"/>
  <c r="U9" i="13"/>
  <c r="V9" i="13"/>
  <c r="W9" i="13"/>
  <c r="X9" i="13"/>
  <c r="Y9" i="13"/>
  <c r="Z9" i="13"/>
  <c r="AA9" i="13"/>
  <c r="AB9" i="13"/>
  <c r="AC9" i="13"/>
  <c r="AD9" i="13"/>
  <c r="AE9" i="13"/>
  <c r="AG9" i="13"/>
  <c r="AH9" i="13"/>
  <c r="AI9" i="13"/>
  <c r="AJ9" i="13"/>
  <c r="AK9" i="13"/>
  <c r="AL9" i="13"/>
  <c r="AM9" i="13"/>
  <c r="AN9" i="13"/>
  <c r="AO9" i="13"/>
  <c r="AP9" i="13"/>
  <c r="AQ9" i="13"/>
  <c r="AR9" i="13"/>
  <c r="AS9" i="13"/>
  <c r="AT9" i="13"/>
  <c r="AU9" i="13"/>
  <c r="AV9" i="13"/>
  <c r="AW9" i="13"/>
  <c r="AX9" i="13"/>
  <c r="AY9" i="13"/>
  <c r="AZ9" i="13"/>
  <c r="BA9" i="13"/>
  <c r="BB9" i="13"/>
  <c r="BC9" i="13"/>
  <c r="BD9" i="13"/>
  <c r="BF9" i="13"/>
  <c r="BG9" i="13"/>
  <c r="BH9" i="13"/>
  <c r="BI9" i="13"/>
  <c r="BJ9" i="13"/>
  <c r="BK9" i="13"/>
  <c r="BL9" i="13"/>
  <c r="BM9" i="13"/>
  <c r="BN9" i="13"/>
  <c r="BO9" i="13"/>
  <c r="BP9" i="13"/>
  <c r="BQ9" i="13"/>
  <c r="BR9" i="13"/>
  <c r="BS9" i="13"/>
  <c r="BT9" i="13"/>
  <c r="BU9" i="13"/>
  <c r="BV9" i="13"/>
  <c r="BW9" i="13"/>
  <c r="BX9" i="13"/>
  <c r="BY9" i="13"/>
  <c r="BZ9" i="13"/>
  <c r="CA9" i="13"/>
  <c r="CB9" i="13"/>
  <c r="CC9" i="13"/>
  <c r="CE9" i="13"/>
  <c r="CF9" i="13"/>
  <c r="CG9" i="13"/>
  <c r="CH9" i="13"/>
  <c r="CI9" i="13"/>
  <c r="CJ9" i="13"/>
  <c r="CK9" i="13"/>
  <c r="CL9" i="13"/>
  <c r="CM9" i="13"/>
  <c r="CN9" i="13"/>
  <c r="CO9" i="13"/>
  <c r="CP9" i="13"/>
  <c r="CQ9" i="13"/>
  <c r="CR9" i="13"/>
  <c r="CS9" i="13"/>
  <c r="CT9" i="13"/>
  <c r="CU9" i="13"/>
  <c r="CV9" i="13"/>
  <c r="CW9" i="13"/>
  <c r="CX9" i="13"/>
  <c r="CY9" i="13"/>
  <c r="CZ9" i="13"/>
  <c r="DA9" i="13"/>
  <c r="DB9" i="13"/>
  <c r="DH9" i="13"/>
  <c r="DI9" i="13"/>
  <c r="DJ9" i="13"/>
  <c r="H10" i="13"/>
  <c r="I10" i="13"/>
  <c r="J10" i="13"/>
  <c r="K10" i="13"/>
  <c r="L10" i="13"/>
  <c r="M10" i="13"/>
  <c r="N10" i="13"/>
  <c r="O10" i="13"/>
  <c r="P10" i="13"/>
  <c r="Q10" i="13"/>
  <c r="R10" i="13"/>
  <c r="S10" i="13"/>
  <c r="T10" i="13"/>
  <c r="U10" i="13"/>
  <c r="V10" i="13"/>
  <c r="W10" i="13"/>
  <c r="X10" i="13"/>
  <c r="Y10" i="13"/>
  <c r="Z10" i="13"/>
  <c r="AA10" i="13"/>
  <c r="AB10" i="13"/>
  <c r="AC10" i="13"/>
  <c r="AD10" i="13"/>
  <c r="AE10" i="13"/>
  <c r="AG10" i="13"/>
  <c r="AH10" i="13"/>
  <c r="AI10" i="13"/>
  <c r="AJ10" i="13"/>
  <c r="AK10" i="13"/>
  <c r="AL10" i="13"/>
  <c r="AM10" i="13"/>
  <c r="AN10" i="13"/>
  <c r="AO10" i="13"/>
  <c r="AP10" i="13"/>
  <c r="AQ10" i="13"/>
  <c r="AR10" i="13"/>
  <c r="AS10" i="13"/>
  <c r="AT10" i="13"/>
  <c r="AU10" i="13"/>
  <c r="AV10" i="13"/>
  <c r="AW10" i="13"/>
  <c r="AX10" i="13"/>
  <c r="AY10" i="13"/>
  <c r="AZ10" i="13"/>
  <c r="BA10" i="13"/>
  <c r="BB10" i="13"/>
  <c r="BC10" i="13"/>
  <c r="BD10" i="13"/>
  <c r="BF10" i="13"/>
  <c r="BG10" i="13"/>
  <c r="BH10" i="13"/>
  <c r="BI10" i="13"/>
  <c r="BJ10" i="13"/>
  <c r="BK10" i="13"/>
  <c r="BL10" i="13"/>
  <c r="BM10" i="13"/>
  <c r="BN10" i="13"/>
  <c r="BO10" i="13"/>
  <c r="BP10" i="13"/>
  <c r="BQ10" i="13"/>
  <c r="BR10" i="13"/>
  <c r="BS10" i="13"/>
  <c r="BT10" i="13"/>
  <c r="BU10" i="13"/>
  <c r="BV10" i="13"/>
  <c r="BW10" i="13"/>
  <c r="BX10" i="13"/>
  <c r="BY10" i="13"/>
  <c r="BZ10" i="13"/>
  <c r="CA10" i="13"/>
  <c r="CB10" i="13"/>
  <c r="CC10" i="13"/>
  <c r="CE10" i="13"/>
  <c r="CF10" i="13"/>
  <c r="CG10" i="13"/>
  <c r="CH10" i="13"/>
  <c r="CI10" i="13"/>
  <c r="CJ10" i="13"/>
  <c r="CK10" i="13"/>
  <c r="CL10" i="13"/>
  <c r="CM10" i="13"/>
  <c r="CN10" i="13"/>
  <c r="CO10" i="13"/>
  <c r="CP10" i="13"/>
  <c r="CQ10" i="13"/>
  <c r="CR10" i="13"/>
  <c r="CS10" i="13"/>
  <c r="CT10" i="13"/>
  <c r="CU10" i="13"/>
  <c r="CV10" i="13"/>
  <c r="CW10" i="13"/>
  <c r="CX10" i="13"/>
  <c r="CY10" i="13"/>
  <c r="CZ10" i="13"/>
  <c r="DA10" i="13"/>
  <c r="DB10" i="13"/>
  <c r="DH10" i="13"/>
  <c r="DI10" i="13"/>
  <c r="DJ10" i="13"/>
  <c r="H11" i="13"/>
  <c r="I11" i="13"/>
  <c r="J11" i="13"/>
  <c r="K11" i="13"/>
  <c r="L11" i="13"/>
  <c r="M11" i="13"/>
  <c r="N11" i="13"/>
  <c r="O11" i="13"/>
  <c r="P11" i="13"/>
  <c r="Q11" i="13"/>
  <c r="R11" i="13"/>
  <c r="S11" i="13"/>
  <c r="T11" i="13"/>
  <c r="U11" i="13"/>
  <c r="V11" i="13"/>
  <c r="W11" i="13"/>
  <c r="X11" i="13"/>
  <c r="Y11" i="13"/>
  <c r="Z11" i="13"/>
  <c r="AA11" i="13"/>
  <c r="AB11" i="13"/>
  <c r="AC11" i="13"/>
  <c r="AD11" i="13"/>
  <c r="AE11" i="13"/>
  <c r="AG11" i="13"/>
  <c r="AH11" i="13"/>
  <c r="AI11" i="13"/>
  <c r="AJ11" i="13"/>
  <c r="AK11" i="13"/>
  <c r="AL11" i="13"/>
  <c r="AM11" i="13"/>
  <c r="AN11" i="13"/>
  <c r="AO11" i="13"/>
  <c r="AP11" i="13"/>
  <c r="AQ11" i="13"/>
  <c r="AR11" i="13"/>
  <c r="AS11" i="13"/>
  <c r="AT11" i="13"/>
  <c r="AU11" i="13"/>
  <c r="AV11" i="13"/>
  <c r="AW11" i="13"/>
  <c r="AX11" i="13"/>
  <c r="AY11" i="13"/>
  <c r="AZ11" i="13"/>
  <c r="BA11" i="13"/>
  <c r="BB11" i="13"/>
  <c r="BC11" i="13"/>
  <c r="BD11" i="13"/>
  <c r="BF11" i="13"/>
  <c r="BG11" i="13"/>
  <c r="BH11" i="13"/>
  <c r="BI11" i="13"/>
  <c r="BJ11" i="13"/>
  <c r="BK11" i="13"/>
  <c r="BL11" i="13"/>
  <c r="BM11" i="13"/>
  <c r="BN11" i="13"/>
  <c r="BO11" i="13"/>
  <c r="BP11" i="13"/>
  <c r="BQ11" i="13"/>
  <c r="BR11" i="13"/>
  <c r="BS11" i="13"/>
  <c r="BT11" i="13"/>
  <c r="BU11" i="13"/>
  <c r="BV11" i="13"/>
  <c r="BW11" i="13"/>
  <c r="BX11" i="13"/>
  <c r="BY11" i="13"/>
  <c r="BZ11" i="13"/>
  <c r="CA11" i="13"/>
  <c r="CB11" i="13"/>
  <c r="CC11" i="13"/>
  <c r="CE11" i="13"/>
  <c r="CF11" i="13"/>
  <c r="CG11" i="13"/>
  <c r="CH11" i="13"/>
  <c r="CI11" i="13"/>
  <c r="CJ11" i="13"/>
  <c r="CK11" i="13"/>
  <c r="CL11" i="13"/>
  <c r="CM11" i="13"/>
  <c r="CN11" i="13"/>
  <c r="CO11" i="13"/>
  <c r="CP11" i="13"/>
  <c r="CQ11" i="13"/>
  <c r="CR11" i="13"/>
  <c r="CS11" i="13"/>
  <c r="CT11" i="13"/>
  <c r="CU11" i="13"/>
  <c r="CV11" i="13"/>
  <c r="CW11" i="13"/>
  <c r="CX11" i="13"/>
  <c r="CY11" i="13"/>
  <c r="CZ11" i="13"/>
  <c r="DA11" i="13"/>
  <c r="DB11" i="13"/>
  <c r="DH11" i="13"/>
  <c r="DI11" i="13"/>
  <c r="DJ11" i="13"/>
  <c r="H12" i="13"/>
  <c r="I12" i="13"/>
  <c r="J12" i="13"/>
  <c r="K12" i="13"/>
  <c r="L12" i="13"/>
  <c r="M12" i="13"/>
  <c r="N12" i="13"/>
  <c r="O12" i="13"/>
  <c r="P12" i="13"/>
  <c r="Q12" i="13"/>
  <c r="R12" i="13"/>
  <c r="S12" i="13"/>
  <c r="T12" i="13"/>
  <c r="U12" i="13"/>
  <c r="V12" i="13"/>
  <c r="W12" i="13"/>
  <c r="X12" i="13"/>
  <c r="Y12" i="13"/>
  <c r="Z12" i="13"/>
  <c r="AA12" i="13"/>
  <c r="AB12" i="13"/>
  <c r="AC12" i="13"/>
  <c r="AD12" i="13"/>
  <c r="AE12" i="13"/>
  <c r="AG12" i="13"/>
  <c r="AH12" i="13"/>
  <c r="AI12" i="13"/>
  <c r="AJ12" i="13"/>
  <c r="AK12" i="13"/>
  <c r="AL12" i="13"/>
  <c r="AM12" i="13"/>
  <c r="AN12" i="13"/>
  <c r="AO12" i="13"/>
  <c r="AP12" i="13"/>
  <c r="AQ12" i="13"/>
  <c r="AR12" i="13"/>
  <c r="AS12" i="13"/>
  <c r="AT12" i="13"/>
  <c r="AU12" i="13"/>
  <c r="AV12" i="13"/>
  <c r="AW12" i="13"/>
  <c r="AX12" i="13"/>
  <c r="AY12" i="13"/>
  <c r="AZ12" i="13"/>
  <c r="BA12" i="13"/>
  <c r="BB12" i="13"/>
  <c r="BC12" i="13"/>
  <c r="BD12" i="13"/>
  <c r="BF12" i="13"/>
  <c r="BG12" i="13"/>
  <c r="BH12" i="13"/>
  <c r="BI12" i="13"/>
  <c r="BJ12" i="13"/>
  <c r="BK12" i="13"/>
  <c r="BL12" i="13"/>
  <c r="BM12" i="13"/>
  <c r="BN12" i="13"/>
  <c r="BO12" i="13"/>
  <c r="BP12" i="13"/>
  <c r="BQ12" i="13"/>
  <c r="BR12" i="13"/>
  <c r="BS12" i="13"/>
  <c r="BT12" i="13"/>
  <c r="BU12" i="13"/>
  <c r="BV12" i="13"/>
  <c r="BW12" i="13"/>
  <c r="BX12" i="13"/>
  <c r="BY12" i="13"/>
  <c r="BZ12" i="13"/>
  <c r="CA12" i="13"/>
  <c r="CB12" i="13"/>
  <c r="CC12" i="13"/>
  <c r="CE12" i="13"/>
  <c r="CF12" i="13"/>
  <c r="CG12" i="13"/>
  <c r="CH12" i="13"/>
  <c r="CI12" i="13"/>
  <c r="CJ12" i="13"/>
  <c r="CK12" i="13"/>
  <c r="CL12" i="13"/>
  <c r="CM12" i="13"/>
  <c r="CN12" i="13"/>
  <c r="CO12" i="13"/>
  <c r="CP12" i="13"/>
  <c r="CQ12" i="13"/>
  <c r="CR12" i="13"/>
  <c r="CS12" i="13"/>
  <c r="CT12" i="13"/>
  <c r="CU12" i="13"/>
  <c r="CV12" i="13"/>
  <c r="CW12" i="13"/>
  <c r="CX12" i="13"/>
  <c r="CY12" i="13"/>
  <c r="CZ12" i="13"/>
  <c r="DA12" i="13"/>
  <c r="DB12" i="13"/>
  <c r="DH12" i="13"/>
  <c r="DI12" i="13"/>
  <c r="DJ12" i="13"/>
  <c r="H13" i="13"/>
  <c r="I13" i="13"/>
  <c r="J13" i="13"/>
  <c r="K13" i="13"/>
  <c r="L13" i="13"/>
  <c r="M13" i="13"/>
  <c r="N13" i="13"/>
  <c r="O13" i="13"/>
  <c r="P13" i="13"/>
  <c r="Q13" i="13"/>
  <c r="R13" i="13"/>
  <c r="S13" i="13"/>
  <c r="T13" i="13"/>
  <c r="U13" i="13"/>
  <c r="V13" i="13"/>
  <c r="W13" i="13"/>
  <c r="X13" i="13"/>
  <c r="Y13" i="13"/>
  <c r="Z13" i="13"/>
  <c r="AA13" i="13"/>
  <c r="AB13" i="13"/>
  <c r="AC13" i="13"/>
  <c r="AD13" i="13"/>
  <c r="AE13" i="13"/>
  <c r="AG13" i="13"/>
  <c r="AH13" i="13"/>
  <c r="AI13" i="13"/>
  <c r="AJ13" i="13"/>
  <c r="AK13" i="13"/>
  <c r="AL13" i="13"/>
  <c r="AM13" i="13"/>
  <c r="AN13" i="13"/>
  <c r="AO13" i="13"/>
  <c r="AP13" i="13"/>
  <c r="AQ13" i="13"/>
  <c r="AR13" i="13"/>
  <c r="AS13" i="13"/>
  <c r="AT13" i="13"/>
  <c r="AU13" i="13"/>
  <c r="AV13" i="13"/>
  <c r="AW13" i="13"/>
  <c r="AX13" i="13"/>
  <c r="AY13" i="13"/>
  <c r="AZ13" i="13"/>
  <c r="BA13" i="13"/>
  <c r="BB13" i="13"/>
  <c r="BC13" i="13"/>
  <c r="BD13" i="13"/>
  <c r="BF13" i="13"/>
  <c r="BG13" i="13"/>
  <c r="BH13" i="13"/>
  <c r="BI13" i="13"/>
  <c r="BJ13" i="13"/>
  <c r="BK13" i="13"/>
  <c r="BL13" i="13"/>
  <c r="BM13" i="13"/>
  <c r="BN13" i="13"/>
  <c r="BO13" i="13"/>
  <c r="BP13" i="13"/>
  <c r="BQ13" i="13"/>
  <c r="BR13" i="13"/>
  <c r="BS13" i="13"/>
  <c r="BT13" i="13"/>
  <c r="BU13" i="13"/>
  <c r="BV13" i="13"/>
  <c r="BW13" i="13"/>
  <c r="BX13" i="13"/>
  <c r="BY13" i="13"/>
  <c r="BZ13" i="13"/>
  <c r="CA13" i="13"/>
  <c r="CB13" i="13"/>
  <c r="CC13" i="13"/>
  <c r="CE13" i="13"/>
  <c r="CF13" i="13"/>
  <c r="CG13" i="13"/>
  <c r="CH13" i="13"/>
  <c r="CI13" i="13"/>
  <c r="CJ13" i="13"/>
  <c r="CK13" i="13"/>
  <c r="CL13" i="13"/>
  <c r="CM13" i="13"/>
  <c r="CN13" i="13"/>
  <c r="CO13" i="13"/>
  <c r="CP13" i="13"/>
  <c r="CQ13" i="13"/>
  <c r="CR13" i="13"/>
  <c r="CS13" i="13"/>
  <c r="CT13" i="13"/>
  <c r="CU13" i="13"/>
  <c r="CV13" i="13"/>
  <c r="CW13" i="13"/>
  <c r="CX13" i="13"/>
  <c r="CY13" i="13"/>
  <c r="CZ13" i="13"/>
  <c r="DA13" i="13"/>
  <c r="DB13" i="13"/>
  <c r="DH13" i="13"/>
  <c r="DI13" i="13"/>
  <c r="DJ13" i="13"/>
  <c r="H14" i="13"/>
  <c r="I14" i="13"/>
  <c r="J14" i="13"/>
  <c r="K14" i="13"/>
  <c r="L14" i="13"/>
  <c r="M14" i="13"/>
  <c r="N14" i="13"/>
  <c r="O14" i="13"/>
  <c r="P14" i="13"/>
  <c r="Q14" i="13"/>
  <c r="R14" i="13"/>
  <c r="S14" i="13"/>
  <c r="T14" i="13"/>
  <c r="U14" i="13"/>
  <c r="V14" i="13"/>
  <c r="W14" i="13"/>
  <c r="X14" i="13"/>
  <c r="Y14" i="13"/>
  <c r="Z14" i="13"/>
  <c r="AA14" i="13"/>
  <c r="AB14" i="13"/>
  <c r="AC14" i="13"/>
  <c r="AD14" i="13"/>
  <c r="AE14" i="13"/>
  <c r="AG14" i="13"/>
  <c r="AH14" i="13"/>
  <c r="AI14" i="13"/>
  <c r="AJ14" i="13"/>
  <c r="AK14" i="13"/>
  <c r="AL14" i="13"/>
  <c r="AM14" i="13"/>
  <c r="AN14" i="13"/>
  <c r="AO14" i="13"/>
  <c r="AP14" i="13"/>
  <c r="AQ14" i="13"/>
  <c r="AR14" i="13"/>
  <c r="AS14" i="13"/>
  <c r="AT14" i="13"/>
  <c r="AU14" i="13"/>
  <c r="AV14" i="13"/>
  <c r="AW14" i="13"/>
  <c r="AX14" i="13"/>
  <c r="AY14" i="13"/>
  <c r="AZ14" i="13"/>
  <c r="BA14" i="13"/>
  <c r="BB14" i="13"/>
  <c r="BC14" i="13"/>
  <c r="BD14" i="13"/>
  <c r="BF14" i="13"/>
  <c r="BG14" i="13"/>
  <c r="BH14" i="13"/>
  <c r="BI14" i="13"/>
  <c r="BJ14" i="13"/>
  <c r="BK14" i="13"/>
  <c r="BL14" i="13"/>
  <c r="BM14" i="13"/>
  <c r="BN14" i="13"/>
  <c r="BO14" i="13"/>
  <c r="BP14" i="13"/>
  <c r="BQ14" i="13"/>
  <c r="BR14" i="13"/>
  <c r="BS14" i="13"/>
  <c r="BT14" i="13"/>
  <c r="BU14" i="13"/>
  <c r="BV14" i="13"/>
  <c r="BW14" i="13"/>
  <c r="BX14" i="13"/>
  <c r="BY14" i="13"/>
  <c r="BZ14" i="13"/>
  <c r="CA14" i="13"/>
  <c r="CB14" i="13"/>
  <c r="CC14" i="13"/>
  <c r="CE14" i="13"/>
  <c r="CF14" i="13"/>
  <c r="CG14" i="13"/>
  <c r="CH14" i="13"/>
  <c r="CI14" i="13"/>
  <c r="CJ14" i="13"/>
  <c r="CK14" i="13"/>
  <c r="CL14" i="13"/>
  <c r="CM14" i="13"/>
  <c r="CN14" i="13"/>
  <c r="CO14" i="13"/>
  <c r="CP14" i="13"/>
  <c r="CQ14" i="13"/>
  <c r="CR14" i="13"/>
  <c r="CS14" i="13"/>
  <c r="CT14" i="13"/>
  <c r="CU14" i="13"/>
  <c r="CV14" i="13"/>
  <c r="CW14" i="13"/>
  <c r="CX14" i="13"/>
  <c r="CY14" i="13"/>
  <c r="CZ14" i="13"/>
  <c r="DA14" i="13"/>
  <c r="DB14" i="13"/>
  <c r="DH14" i="13"/>
  <c r="DI14" i="13"/>
  <c r="DJ14" i="13"/>
  <c r="H15" i="13"/>
  <c r="I15" i="13"/>
  <c r="J15" i="13"/>
  <c r="K15" i="13"/>
  <c r="L15" i="13"/>
  <c r="M15" i="13"/>
  <c r="N15" i="13"/>
  <c r="O15" i="13"/>
  <c r="P15" i="13"/>
  <c r="Q15" i="13"/>
  <c r="R15" i="13"/>
  <c r="S15" i="13"/>
  <c r="T15" i="13"/>
  <c r="U15" i="13"/>
  <c r="V15" i="13"/>
  <c r="W15" i="13"/>
  <c r="X15" i="13"/>
  <c r="Y15" i="13"/>
  <c r="Z15" i="13"/>
  <c r="AA15" i="13"/>
  <c r="AB15" i="13"/>
  <c r="AC15" i="13"/>
  <c r="AD15" i="13"/>
  <c r="AE15" i="13"/>
  <c r="AG15" i="13"/>
  <c r="AH15" i="13"/>
  <c r="AI15" i="13"/>
  <c r="AJ15" i="13"/>
  <c r="AK15" i="13"/>
  <c r="AL15" i="13"/>
  <c r="AM15" i="13"/>
  <c r="AN15" i="13"/>
  <c r="AO15" i="13"/>
  <c r="AP15" i="13"/>
  <c r="AQ15" i="13"/>
  <c r="AR15" i="13"/>
  <c r="AS15" i="13"/>
  <c r="AT15" i="13"/>
  <c r="AU15" i="13"/>
  <c r="AV15" i="13"/>
  <c r="AW15" i="13"/>
  <c r="AX15" i="13"/>
  <c r="AY15" i="13"/>
  <c r="AZ15" i="13"/>
  <c r="BA15" i="13"/>
  <c r="BB15" i="13"/>
  <c r="BC15" i="13"/>
  <c r="BD15" i="13"/>
  <c r="BF15" i="13"/>
  <c r="BG15" i="13"/>
  <c r="BH15" i="13"/>
  <c r="BI15" i="13"/>
  <c r="BJ15" i="13"/>
  <c r="BK15" i="13"/>
  <c r="BL15" i="13"/>
  <c r="BM15" i="13"/>
  <c r="BN15" i="13"/>
  <c r="BO15" i="13"/>
  <c r="BP15" i="13"/>
  <c r="BQ15" i="13"/>
  <c r="BR15" i="13"/>
  <c r="BS15" i="13"/>
  <c r="BT15" i="13"/>
  <c r="BU15" i="13"/>
  <c r="BV15" i="13"/>
  <c r="BW15" i="13"/>
  <c r="BX15" i="13"/>
  <c r="BY15" i="13"/>
  <c r="BZ15" i="13"/>
  <c r="CA15" i="13"/>
  <c r="CB15" i="13"/>
  <c r="CC15" i="13"/>
  <c r="CE15" i="13"/>
  <c r="CF15" i="13"/>
  <c r="CG15" i="13"/>
  <c r="CH15" i="13"/>
  <c r="CI15" i="13"/>
  <c r="CJ15" i="13"/>
  <c r="CK15" i="13"/>
  <c r="CL15" i="13"/>
  <c r="CM15" i="13"/>
  <c r="CN15" i="13"/>
  <c r="CO15" i="13"/>
  <c r="CP15" i="13"/>
  <c r="CQ15" i="13"/>
  <c r="CR15" i="13"/>
  <c r="CS15" i="13"/>
  <c r="CT15" i="13"/>
  <c r="CU15" i="13"/>
  <c r="CV15" i="13"/>
  <c r="CW15" i="13"/>
  <c r="CX15" i="13"/>
  <c r="CY15" i="13"/>
  <c r="CZ15" i="13"/>
  <c r="DA15" i="13"/>
  <c r="DB15" i="13"/>
  <c r="DH15" i="13"/>
  <c r="DI15" i="13"/>
  <c r="DJ15" i="13"/>
  <c r="H16" i="13"/>
  <c r="I16" i="13"/>
  <c r="J16" i="13"/>
  <c r="K16" i="13"/>
  <c r="L16" i="13"/>
  <c r="M16" i="13"/>
  <c r="N16" i="13"/>
  <c r="O16" i="13"/>
  <c r="P16" i="13"/>
  <c r="Q16" i="13"/>
  <c r="R16" i="13"/>
  <c r="S16" i="13"/>
  <c r="T16" i="13"/>
  <c r="U16" i="13"/>
  <c r="V16" i="13"/>
  <c r="W16" i="13"/>
  <c r="X16" i="13"/>
  <c r="Y16" i="13"/>
  <c r="Z16" i="13"/>
  <c r="AA16" i="13"/>
  <c r="AB16" i="13"/>
  <c r="AC16" i="13"/>
  <c r="AD16" i="13"/>
  <c r="AE16" i="13"/>
  <c r="AG16" i="13"/>
  <c r="AH16" i="13"/>
  <c r="AI16" i="13"/>
  <c r="AJ16" i="13"/>
  <c r="AK16" i="13"/>
  <c r="AL16" i="13"/>
  <c r="AM16" i="13"/>
  <c r="AN16" i="13"/>
  <c r="AO16" i="13"/>
  <c r="AP16" i="13"/>
  <c r="AQ16" i="13"/>
  <c r="AR16" i="13"/>
  <c r="AS16" i="13"/>
  <c r="AT16" i="13"/>
  <c r="AU16" i="13"/>
  <c r="AV16" i="13"/>
  <c r="AW16" i="13"/>
  <c r="AX16" i="13"/>
  <c r="AY16" i="13"/>
  <c r="AZ16" i="13"/>
  <c r="BA16" i="13"/>
  <c r="BB16" i="13"/>
  <c r="BC16" i="13"/>
  <c r="BD16" i="13"/>
  <c r="BF16" i="13"/>
  <c r="BG16" i="13"/>
  <c r="BH16" i="13"/>
  <c r="BI16" i="13"/>
  <c r="BJ16" i="13"/>
  <c r="BK16" i="13"/>
  <c r="BL16" i="13"/>
  <c r="BM16" i="13"/>
  <c r="BN16" i="13"/>
  <c r="BO16" i="13"/>
  <c r="BP16" i="13"/>
  <c r="BQ16" i="13"/>
  <c r="BR16" i="13"/>
  <c r="BS16" i="13"/>
  <c r="BT16" i="13"/>
  <c r="BU16" i="13"/>
  <c r="BV16" i="13"/>
  <c r="BW16" i="13"/>
  <c r="BX16" i="13"/>
  <c r="BY16" i="13"/>
  <c r="BZ16" i="13"/>
  <c r="CA16" i="13"/>
  <c r="CB16" i="13"/>
  <c r="CC16" i="13"/>
  <c r="CE16" i="13"/>
  <c r="CF16" i="13"/>
  <c r="CG16" i="13"/>
  <c r="CH16" i="13"/>
  <c r="CI16" i="13"/>
  <c r="CJ16" i="13"/>
  <c r="CK16" i="13"/>
  <c r="CL16" i="13"/>
  <c r="CM16" i="13"/>
  <c r="CN16" i="13"/>
  <c r="CO16" i="13"/>
  <c r="CP16" i="13"/>
  <c r="CQ16" i="13"/>
  <c r="CR16" i="13"/>
  <c r="CS16" i="13"/>
  <c r="CT16" i="13"/>
  <c r="CU16" i="13"/>
  <c r="CV16" i="13"/>
  <c r="CW16" i="13"/>
  <c r="CX16" i="13"/>
  <c r="CY16" i="13"/>
  <c r="CZ16" i="13"/>
  <c r="DA16" i="13"/>
  <c r="DB16" i="13"/>
  <c r="DH16" i="13"/>
  <c r="DI16" i="13"/>
  <c r="DJ16" i="13"/>
  <c r="H17" i="13"/>
  <c r="I17" i="13"/>
  <c r="J17" i="13"/>
  <c r="K17" i="13"/>
  <c r="L17" i="13"/>
  <c r="M17" i="13"/>
  <c r="N17" i="13"/>
  <c r="O17" i="13"/>
  <c r="P17" i="13"/>
  <c r="Q17" i="13"/>
  <c r="R17" i="13"/>
  <c r="S17" i="13"/>
  <c r="T17" i="13"/>
  <c r="U17" i="13"/>
  <c r="V17" i="13"/>
  <c r="W17" i="13"/>
  <c r="X17" i="13"/>
  <c r="Y17" i="13"/>
  <c r="Z17" i="13"/>
  <c r="AA17" i="13"/>
  <c r="AB17" i="13"/>
  <c r="AC17" i="13"/>
  <c r="AD17" i="13"/>
  <c r="AE17" i="13"/>
  <c r="AG17" i="13"/>
  <c r="AH17" i="13"/>
  <c r="AI17" i="13"/>
  <c r="AJ17" i="13"/>
  <c r="AK17" i="13"/>
  <c r="AL17" i="13"/>
  <c r="AM17" i="13"/>
  <c r="AN17" i="13"/>
  <c r="AO17" i="13"/>
  <c r="AP17" i="13"/>
  <c r="AQ17" i="13"/>
  <c r="AR17" i="13"/>
  <c r="AS17" i="13"/>
  <c r="AT17" i="13"/>
  <c r="AU17" i="13"/>
  <c r="AV17" i="13"/>
  <c r="AW17" i="13"/>
  <c r="AX17" i="13"/>
  <c r="AY17" i="13"/>
  <c r="AZ17" i="13"/>
  <c r="BA17" i="13"/>
  <c r="BB17" i="13"/>
  <c r="BC17" i="13"/>
  <c r="BD17" i="13"/>
  <c r="BF17" i="13"/>
  <c r="BG17" i="13"/>
  <c r="BH17" i="13"/>
  <c r="BI17" i="13"/>
  <c r="BJ17" i="13"/>
  <c r="BK17" i="13"/>
  <c r="BL17" i="13"/>
  <c r="BM17" i="13"/>
  <c r="BN17" i="13"/>
  <c r="BO17" i="13"/>
  <c r="BP17" i="13"/>
  <c r="BQ17" i="13"/>
  <c r="BR17" i="13"/>
  <c r="BS17" i="13"/>
  <c r="BT17" i="13"/>
  <c r="BU17" i="13"/>
  <c r="BV17" i="13"/>
  <c r="BW17" i="13"/>
  <c r="BX17" i="13"/>
  <c r="BY17" i="13"/>
  <c r="BZ17" i="13"/>
  <c r="CA17" i="13"/>
  <c r="CB17" i="13"/>
  <c r="CC17" i="13"/>
  <c r="CE17" i="13"/>
  <c r="CF17" i="13"/>
  <c r="CG17" i="13"/>
  <c r="CH17" i="13"/>
  <c r="CI17" i="13"/>
  <c r="CJ17" i="13"/>
  <c r="CK17" i="13"/>
  <c r="CL17" i="13"/>
  <c r="CM17" i="13"/>
  <c r="CN17" i="13"/>
  <c r="CO17" i="13"/>
  <c r="CP17" i="13"/>
  <c r="CQ17" i="13"/>
  <c r="CR17" i="13"/>
  <c r="CS17" i="13"/>
  <c r="CT17" i="13"/>
  <c r="CU17" i="13"/>
  <c r="CV17" i="13"/>
  <c r="CW17" i="13"/>
  <c r="CX17" i="13"/>
  <c r="CY17" i="13"/>
  <c r="CZ17" i="13"/>
  <c r="DA17" i="13"/>
  <c r="DB17" i="13"/>
  <c r="DH17" i="13"/>
  <c r="DI17" i="13"/>
  <c r="DJ17" i="13"/>
  <c r="H18" i="13"/>
  <c r="I18" i="13"/>
  <c r="J18" i="13"/>
  <c r="K18" i="13"/>
  <c r="L18" i="13"/>
  <c r="M18" i="13"/>
  <c r="N18" i="13"/>
  <c r="O18" i="13"/>
  <c r="P18" i="13"/>
  <c r="Q18" i="13"/>
  <c r="R18" i="13"/>
  <c r="S18" i="13"/>
  <c r="T18" i="13"/>
  <c r="U18" i="13"/>
  <c r="V18" i="13"/>
  <c r="W18" i="13"/>
  <c r="X18" i="13"/>
  <c r="Y18" i="13"/>
  <c r="Z18" i="13"/>
  <c r="AA18" i="13"/>
  <c r="AB18" i="13"/>
  <c r="AC18" i="13"/>
  <c r="AD18" i="13"/>
  <c r="AE18" i="13"/>
  <c r="AG18" i="13"/>
  <c r="AH18" i="13"/>
  <c r="AI18" i="13"/>
  <c r="AJ18" i="13"/>
  <c r="AK18" i="13"/>
  <c r="AL18" i="13"/>
  <c r="AM18" i="13"/>
  <c r="AN18" i="13"/>
  <c r="AO18" i="13"/>
  <c r="AP18" i="13"/>
  <c r="AQ18" i="13"/>
  <c r="AR18" i="13"/>
  <c r="AS18" i="13"/>
  <c r="AT18" i="13"/>
  <c r="AU18" i="13"/>
  <c r="AV18" i="13"/>
  <c r="AW18" i="13"/>
  <c r="AX18" i="13"/>
  <c r="AY18" i="13"/>
  <c r="AZ18" i="13"/>
  <c r="BA18" i="13"/>
  <c r="BB18" i="13"/>
  <c r="BC18" i="13"/>
  <c r="BD18" i="13"/>
  <c r="BF18" i="13"/>
  <c r="BG18" i="13"/>
  <c r="BH18" i="13"/>
  <c r="BI18" i="13"/>
  <c r="BJ18" i="13"/>
  <c r="BK18" i="13"/>
  <c r="BL18" i="13"/>
  <c r="BM18" i="13"/>
  <c r="BN18" i="13"/>
  <c r="BO18" i="13"/>
  <c r="BP18" i="13"/>
  <c r="BQ18" i="13"/>
  <c r="BR18" i="13"/>
  <c r="BS18" i="13"/>
  <c r="BT18" i="13"/>
  <c r="BU18" i="13"/>
  <c r="BV18" i="13"/>
  <c r="BW18" i="13"/>
  <c r="BX18" i="13"/>
  <c r="BY18" i="13"/>
  <c r="BZ18" i="13"/>
  <c r="CA18" i="13"/>
  <c r="CB18" i="13"/>
  <c r="CC18" i="13"/>
  <c r="CE18" i="13"/>
  <c r="CF18" i="13"/>
  <c r="CG18" i="13"/>
  <c r="CH18" i="13"/>
  <c r="CI18" i="13"/>
  <c r="CJ18" i="13"/>
  <c r="CK18" i="13"/>
  <c r="CL18" i="13"/>
  <c r="CM18" i="13"/>
  <c r="CN18" i="13"/>
  <c r="CO18" i="13"/>
  <c r="CP18" i="13"/>
  <c r="CQ18" i="13"/>
  <c r="CR18" i="13"/>
  <c r="CS18" i="13"/>
  <c r="CT18" i="13"/>
  <c r="CU18" i="13"/>
  <c r="CV18" i="13"/>
  <c r="CW18" i="13"/>
  <c r="CX18" i="13"/>
  <c r="CY18" i="13"/>
  <c r="CZ18" i="13"/>
  <c r="DA18" i="13"/>
  <c r="DB18" i="13"/>
  <c r="DH18" i="13"/>
  <c r="DI18" i="13"/>
  <c r="DJ18" i="13"/>
  <c r="H19" i="13"/>
  <c r="I19" i="13"/>
  <c r="J19" i="13"/>
  <c r="K19" i="13"/>
  <c r="L19" i="13"/>
  <c r="M19" i="13"/>
  <c r="N19" i="13"/>
  <c r="O19" i="13"/>
  <c r="P19" i="13"/>
  <c r="Q19" i="13"/>
  <c r="R19" i="13"/>
  <c r="S19" i="13"/>
  <c r="T19" i="13"/>
  <c r="U19" i="13"/>
  <c r="V19" i="13"/>
  <c r="W19" i="13"/>
  <c r="X19" i="13"/>
  <c r="Y19" i="13"/>
  <c r="Z19" i="13"/>
  <c r="AA19" i="13"/>
  <c r="AB19" i="13"/>
  <c r="AC19" i="13"/>
  <c r="AD19" i="13"/>
  <c r="AE19" i="13"/>
  <c r="AG19" i="13"/>
  <c r="AH19" i="13"/>
  <c r="AI19" i="13"/>
  <c r="AJ19" i="13"/>
  <c r="AK19" i="13"/>
  <c r="AL19" i="13"/>
  <c r="AM19" i="13"/>
  <c r="AN19" i="13"/>
  <c r="AO19" i="13"/>
  <c r="AP19" i="13"/>
  <c r="AQ19" i="13"/>
  <c r="AR19" i="13"/>
  <c r="AS19" i="13"/>
  <c r="AT19" i="13"/>
  <c r="AU19" i="13"/>
  <c r="AV19" i="13"/>
  <c r="AW19" i="13"/>
  <c r="AX19" i="13"/>
  <c r="AY19" i="13"/>
  <c r="AZ19" i="13"/>
  <c r="BA19" i="13"/>
  <c r="BB19" i="13"/>
  <c r="BC19" i="13"/>
  <c r="BD19" i="13"/>
  <c r="BF19" i="13"/>
  <c r="BG19" i="13"/>
  <c r="BH19" i="13"/>
  <c r="BI19" i="13"/>
  <c r="BJ19" i="13"/>
  <c r="BK19" i="13"/>
  <c r="BL19" i="13"/>
  <c r="BM19" i="13"/>
  <c r="BN19" i="13"/>
  <c r="BO19" i="13"/>
  <c r="BP19" i="13"/>
  <c r="BQ19" i="13"/>
  <c r="BR19" i="13"/>
  <c r="BS19" i="13"/>
  <c r="BT19" i="13"/>
  <c r="BU19" i="13"/>
  <c r="BV19" i="13"/>
  <c r="BW19" i="13"/>
  <c r="BX19" i="13"/>
  <c r="BY19" i="13"/>
  <c r="BZ19" i="13"/>
  <c r="CA19" i="13"/>
  <c r="CB19" i="13"/>
  <c r="CC19" i="13"/>
  <c r="CE19" i="13"/>
  <c r="CF19" i="13"/>
  <c r="CG19" i="13"/>
  <c r="CH19" i="13"/>
  <c r="CI19" i="13"/>
  <c r="CJ19" i="13"/>
  <c r="CK19" i="13"/>
  <c r="CL19" i="13"/>
  <c r="CM19" i="13"/>
  <c r="CN19" i="13"/>
  <c r="CO19" i="13"/>
  <c r="CP19" i="13"/>
  <c r="CQ19" i="13"/>
  <c r="CR19" i="13"/>
  <c r="CS19" i="13"/>
  <c r="CT19" i="13"/>
  <c r="CU19" i="13"/>
  <c r="CV19" i="13"/>
  <c r="CW19" i="13"/>
  <c r="CX19" i="13"/>
  <c r="CY19" i="13"/>
  <c r="CZ19" i="13"/>
  <c r="DA19" i="13"/>
  <c r="DB19" i="13"/>
  <c r="DH19" i="13"/>
  <c r="DI19" i="13"/>
  <c r="DJ19" i="13"/>
  <c r="H20" i="13"/>
  <c r="I20" i="13"/>
  <c r="J20" i="13"/>
  <c r="K20" i="13"/>
  <c r="L20" i="13"/>
  <c r="M20" i="13"/>
  <c r="N20" i="13"/>
  <c r="O20" i="13"/>
  <c r="P20" i="13"/>
  <c r="Q20" i="13"/>
  <c r="R20" i="13"/>
  <c r="S20" i="13"/>
  <c r="T20" i="13"/>
  <c r="U20" i="13"/>
  <c r="V20" i="13"/>
  <c r="W20" i="13"/>
  <c r="X20" i="13"/>
  <c r="Y20" i="13"/>
  <c r="Z20" i="13"/>
  <c r="AA20" i="13"/>
  <c r="AB20" i="13"/>
  <c r="AC20" i="13"/>
  <c r="AD20" i="13"/>
  <c r="AE20" i="13"/>
  <c r="AG20" i="13"/>
  <c r="AH20" i="13"/>
  <c r="AI20" i="13"/>
  <c r="AJ20" i="13"/>
  <c r="AK20" i="13"/>
  <c r="AL20" i="13"/>
  <c r="AM20" i="13"/>
  <c r="AN20" i="13"/>
  <c r="AO20" i="13"/>
  <c r="AP20" i="13"/>
  <c r="AQ20" i="13"/>
  <c r="AR20" i="13"/>
  <c r="AS20" i="13"/>
  <c r="AT20" i="13"/>
  <c r="AU20" i="13"/>
  <c r="AV20" i="13"/>
  <c r="AW20" i="13"/>
  <c r="AX20" i="13"/>
  <c r="AY20" i="13"/>
  <c r="AZ20" i="13"/>
  <c r="BA20" i="13"/>
  <c r="BB20" i="13"/>
  <c r="BC20" i="13"/>
  <c r="BD20" i="13"/>
  <c r="BF20" i="13"/>
  <c r="BG20" i="13"/>
  <c r="BH20" i="13"/>
  <c r="BI20" i="13"/>
  <c r="BJ20" i="13"/>
  <c r="BK20" i="13"/>
  <c r="BL20" i="13"/>
  <c r="BM20" i="13"/>
  <c r="BN20" i="13"/>
  <c r="BO20" i="13"/>
  <c r="BP20" i="13"/>
  <c r="BQ20" i="13"/>
  <c r="BR20" i="13"/>
  <c r="BS20" i="13"/>
  <c r="BT20" i="13"/>
  <c r="BU20" i="13"/>
  <c r="BV20" i="13"/>
  <c r="BW20" i="13"/>
  <c r="BX20" i="13"/>
  <c r="BY20" i="13"/>
  <c r="BZ20" i="13"/>
  <c r="CA20" i="13"/>
  <c r="CB20" i="13"/>
  <c r="CC20" i="13"/>
  <c r="CE20" i="13"/>
  <c r="CF20" i="13"/>
  <c r="CG20" i="13"/>
  <c r="CH20" i="13"/>
  <c r="CI20" i="13"/>
  <c r="CJ20" i="13"/>
  <c r="CK20" i="13"/>
  <c r="CL20" i="13"/>
  <c r="CM20" i="13"/>
  <c r="CN20" i="13"/>
  <c r="CO20" i="13"/>
  <c r="CP20" i="13"/>
  <c r="CQ20" i="13"/>
  <c r="CR20" i="13"/>
  <c r="CS20" i="13"/>
  <c r="CT20" i="13"/>
  <c r="CU20" i="13"/>
  <c r="CV20" i="13"/>
  <c r="CW20" i="13"/>
  <c r="CX20" i="13"/>
  <c r="CY20" i="13"/>
  <c r="CZ20" i="13"/>
  <c r="DA20" i="13"/>
  <c r="DB20" i="13"/>
  <c r="DH20" i="13"/>
  <c r="DI20" i="13"/>
  <c r="DJ20" i="13"/>
  <c r="H21" i="13"/>
  <c r="I21" i="13"/>
  <c r="J21" i="13"/>
  <c r="K21" i="13"/>
  <c r="L21" i="13"/>
  <c r="M21" i="13"/>
  <c r="N21" i="13"/>
  <c r="O21" i="13"/>
  <c r="P21" i="13"/>
  <c r="Q21" i="13"/>
  <c r="R21" i="13"/>
  <c r="S21" i="13"/>
  <c r="T21" i="13"/>
  <c r="U21" i="13"/>
  <c r="V21" i="13"/>
  <c r="W21" i="13"/>
  <c r="X21" i="13"/>
  <c r="Y21" i="13"/>
  <c r="Z21" i="13"/>
  <c r="AA21" i="13"/>
  <c r="AB21" i="13"/>
  <c r="AC21" i="13"/>
  <c r="AD21" i="13"/>
  <c r="AE21" i="13"/>
  <c r="AG21" i="13"/>
  <c r="AH21" i="13"/>
  <c r="AI21" i="13"/>
  <c r="AJ21" i="13"/>
  <c r="AK21" i="13"/>
  <c r="AL21" i="13"/>
  <c r="AM21" i="13"/>
  <c r="AN21" i="13"/>
  <c r="AO21" i="13"/>
  <c r="AP21" i="13"/>
  <c r="AQ21" i="13"/>
  <c r="AR21" i="13"/>
  <c r="AS21" i="13"/>
  <c r="AT21" i="13"/>
  <c r="AU21" i="13"/>
  <c r="AV21" i="13"/>
  <c r="AW21" i="13"/>
  <c r="AX21" i="13"/>
  <c r="AY21" i="13"/>
  <c r="AZ21" i="13"/>
  <c r="BA21" i="13"/>
  <c r="BB21" i="13"/>
  <c r="BC21" i="13"/>
  <c r="BD21" i="13"/>
  <c r="BF21" i="13"/>
  <c r="BG21" i="13"/>
  <c r="BH21" i="13"/>
  <c r="BI21" i="13"/>
  <c r="BJ21" i="13"/>
  <c r="BK21" i="13"/>
  <c r="BL21" i="13"/>
  <c r="BM21" i="13"/>
  <c r="BN21" i="13"/>
  <c r="BO21" i="13"/>
  <c r="BP21" i="13"/>
  <c r="BQ21" i="13"/>
  <c r="BR21" i="13"/>
  <c r="BS21" i="13"/>
  <c r="BT21" i="13"/>
  <c r="BU21" i="13"/>
  <c r="BV21" i="13"/>
  <c r="BW21" i="13"/>
  <c r="BX21" i="13"/>
  <c r="BY21" i="13"/>
  <c r="BZ21" i="13"/>
  <c r="CA21" i="13"/>
  <c r="CB21" i="13"/>
  <c r="CC21" i="13"/>
  <c r="CE21" i="13"/>
  <c r="CF21" i="13"/>
  <c r="CG21" i="13"/>
  <c r="CH21" i="13"/>
  <c r="CI21" i="13"/>
  <c r="CJ21" i="13"/>
  <c r="CK21" i="13"/>
  <c r="CL21" i="13"/>
  <c r="CM21" i="13"/>
  <c r="CN21" i="13"/>
  <c r="CO21" i="13"/>
  <c r="CP21" i="13"/>
  <c r="CQ21" i="13"/>
  <c r="CR21" i="13"/>
  <c r="CS21" i="13"/>
  <c r="CT21" i="13"/>
  <c r="CU21" i="13"/>
  <c r="CV21" i="13"/>
  <c r="CW21" i="13"/>
  <c r="CX21" i="13"/>
  <c r="CY21" i="13"/>
  <c r="CZ21" i="13"/>
  <c r="DA21" i="13"/>
  <c r="DB21" i="13"/>
  <c r="DH21" i="13"/>
  <c r="DI21" i="13"/>
  <c r="DJ21" i="13"/>
  <c r="H22" i="13"/>
  <c r="I22" i="13"/>
  <c r="J22" i="13"/>
  <c r="K22" i="13"/>
  <c r="L22" i="13"/>
  <c r="M22" i="13"/>
  <c r="N22" i="13"/>
  <c r="O22" i="13"/>
  <c r="P22" i="13"/>
  <c r="Q22" i="13"/>
  <c r="R22" i="13"/>
  <c r="S22" i="13"/>
  <c r="T22" i="13"/>
  <c r="U22" i="13"/>
  <c r="V22" i="13"/>
  <c r="W22" i="13"/>
  <c r="X22" i="13"/>
  <c r="Y22" i="13"/>
  <c r="Z22" i="13"/>
  <c r="AA22" i="13"/>
  <c r="AB22" i="13"/>
  <c r="AC22" i="13"/>
  <c r="AD22" i="13"/>
  <c r="AE22" i="13"/>
  <c r="AG22" i="13"/>
  <c r="AH22" i="13"/>
  <c r="AI22" i="13"/>
  <c r="AJ22" i="13"/>
  <c r="AK22" i="13"/>
  <c r="AL22" i="13"/>
  <c r="AM22" i="13"/>
  <c r="AN22" i="13"/>
  <c r="AO22" i="13"/>
  <c r="AP22" i="13"/>
  <c r="AQ22" i="13"/>
  <c r="AR22" i="13"/>
  <c r="AS22" i="13"/>
  <c r="AT22" i="13"/>
  <c r="AU22" i="13"/>
  <c r="AV22" i="13"/>
  <c r="AW22" i="13"/>
  <c r="AX22" i="13"/>
  <c r="AY22" i="13"/>
  <c r="AZ22" i="13"/>
  <c r="BA22" i="13"/>
  <c r="BB22" i="13"/>
  <c r="BC22" i="13"/>
  <c r="BD22" i="13"/>
  <c r="BF22" i="13"/>
  <c r="BG22" i="13"/>
  <c r="BH22" i="13"/>
  <c r="BI22" i="13"/>
  <c r="BJ22" i="13"/>
  <c r="BK22" i="13"/>
  <c r="BL22" i="13"/>
  <c r="BM22" i="13"/>
  <c r="BN22" i="13"/>
  <c r="BO22" i="13"/>
  <c r="BP22" i="13"/>
  <c r="BQ22" i="13"/>
  <c r="BR22" i="13"/>
  <c r="BS22" i="13"/>
  <c r="BT22" i="13"/>
  <c r="BU22" i="13"/>
  <c r="BV22" i="13"/>
  <c r="BW22" i="13"/>
  <c r="BX22" i="13"/>
  <c r="BY22" i="13"/>
  <c r="BZ22" i="13"/>
  <c r="CA22" i="13"/>
  <c r="CB22" i="13"/>
  <c r="CC22" i="13"/>
  <c r="CE22" i="13"/>
  <c r="CF22" i="13"/>
  <c r="CG22" i="13"/>
  <c r="CH22" i="13"/>
  <c r="CI22" i="13"/>
  <c r="CJ22" i="13"/>
  <c r="CK22" i="13"/>
  <c r="CL22" i="13"/>
  <c r="CM22" i="13"/>
  <c r="CN22" i="13"/>
  <c r="CO22" i="13"/>
  <c r="CP22" i="13"/>
  <c r="CQ22" i="13"/>
  <c r="CR22" i="13"/>
  <c r="CS22" i="13"/>
  <c r="CT22" i="13"/>
  <c r="CU22" i="13"/>
  <c r="CV22" i="13"/>
  <c r="CW22" i="13"/>
  <c r="CX22" i="13"/>
  <c r="CY22" i="13"/>
  <c r="CZ22" i="13"/>
  <c r="DA22" i="13"/>
  <c r="DB22" i="13"/>
  <c r="DH22" i="13"/>
  <c r="DI22" i="13"/>
  <c r="DJ22" i="13"/>
  <c r="H23" i="13"/>
  <c r="I23" i="13"/>
  <c r="J23" i="13"/>
  <c r="K23" i="13"/>
  <c r="L23" i="13"/>
  <c r="M23" i="13"/>
  <c r="N23" i="13"/>
  <c r="O23" i="13"/>
  <c r="P23" i="13"/>
  <c r="Q23" i="13"/>
  <c r="R23" i="13"/>
  <c r="S23" i="13"/>
  <c r="T23" i="13"/>
  <c r="U23" i="13"/>
  <c r="V23" i="13"/>
  <c r="W23" i="13"/>
  <c r="X23" i="13"/>
  <c r="Y23" i="13"/>
  <c r="Z23" i="13"/>
  <c r="AA23" i="13"/>
  <c r="AB23" i="13"/>
  <c r="AC23" i="13"/>
  <c r="AD23" i="13"/>
  <c r="AE23" i="13"/>
  <c r="AG23" i="13"/>
  <c r="AH23" i="13"/>
  <c r="AI23" i="13"/>
  <c r="AJ23" i="13"/>
  <c r="AK23" i="13"/>
  <c r="AL23" i="13"/>
  <c r="AM23" i="13"/>
  <c r="AN23" i="13"/>
  <c r="AO23" i="13"/>
  <c r="AP23" i="13"/>
  <c r="AQ23" i="13"/>
  <c r="AR23" i="13"/>
  <c r="AS23" i="13"/>
  <c r="AT23" i="13"/>
  <c r="AU23" i="13"/>
  <c r="AV23" i="13"/>
  <c r="AW23" i="13"/>
  <c r="AX23" i="13"/>
  <c r="AY23" i="13"/>
  <c r="AZ23" i="13"/>
  <c r="BA23" i="13"/>
  <c r="BB23" i="13"/>
  <c r="BC23" i="13"/>
  <c r="BD23" i="13"/>
  <c r="BF23" i="13"/>
  <c r="BG23" i="13"/>
  <c r="BH23" i="13"/>
  <c r="BI23" i="13"/>
  <c r="BJ23" i="13"/>
  <c r="BK23" i="13"/>
  <c r="BL23" i="13"/>
  <c r="BM23" i="13"/>
  <c r="BN23" i="13"/>
  <c r="BO23" i="13"/>
  <c r="BP23" i="13"/>
  <c r="BQ23" i="13"/>
  <c r="BR23" i="13"/>
  <c r="BS23" i="13"/>
  <c r="BT23" i="13"/>
  <c r="BU23" i="13"/>
  <c r="BV23" i="13"/>
  <c r="BW23" i="13"/>
  <c r="BX23" i="13"/>
  <c r="BY23" i="13"/>
  <c r="BZ23" i="13"/>
  <c r="CA23" i="13"/>
  <c r="CB23" i="13"/>
  <c r="CC23" i="13"/>
  <c r="CE23" i="13"/>
  <c r="CF23" i="13"/>
  <c r="CG23" i="13"/>
  <c r="CH23" i="13"/>
  <c r="CI23" i="13"/>
  <c r="CJ23" i="13"/>
  <c r="CK23" i="13"/>
  <c r="CL23" i="13"/>
  <c r="CM23" i="13"/>
  <c r="CN23" i="13"/>
  <c r="CO23" i="13"/>
  <c r="CP23" i="13"/>
  <c r="CQ23" i="13"/>
  <c r="CR23" i="13"/>
  <c r="CS23" i="13"/>
  <c r="CT23" i="13"/>
  <c r="CU23" i="13"/>
  <c r="CV23" i="13"/>
  <c r="CW23" i="13"/>
  <c r="CX23" i="13"/>
  <c r="CY23" i="13"/>
  <c r="CZ23" i="13"/>
  <c r="DA23" i="13"/>
  <c r="DB23" i="13"/>
  <c r="DH23" i="13"/>
  <c r="DI23" i="13"/>
  <c r="DJ23" i="13"/>
  <c r="H24" i="13"/>
  <c r="I24" i="13"/>
  <c r="J24" i="13"/>
  <c r="K24" i="13"/>
  <c r="L24" i="13"/>
  <c r="M24" i="13"/>
  <c r="N24" i="13"/>
  <c r="O24" i="13"/>
  <c r="P24" i="13"/>
  <c r="Q24" i="13"/>
  <c r="R24" i="13"/>
  <c r="S24" i="13"/>
  <c r="T24" i="13"/>
  <c r="U24" i="13"/>
  <c r="V24" i="13"/>
  <c r="W24" i="13"/>
  <c r="X24" i="13"/>
  <c r="Y24" i="13"/>
  <c r="Z24" i="13"/>
  <c r="AA24" i="13"/>
  <c r="AB24" i="13"/>
  <c r="AC24" i="13"/>
  <c r="AD24" i="13"/>
  <c r="AE24" i="13"/>
  <c r="AG24" i="13"/>
  <c r="AH24" i="13"/>
  <c r="AI24" i="13"/>
  <c r="AJ24" i="13"/>
  <c r="AK24" i="13"/>
  <c r="AL24" i="13"/>
  <c r="AM24" i="13"/>
  <c r="AN24" i="13"/>
  <c r="AO24" i="13"/>
  <c r="AP24" i="13"/>
  <c r="AQ24" i="13"/>
  <c r="AR24" i="13"/>
  <c r="AS24" i="13"/>
  <c r="AT24" i="13"/>
  <c r="AU24" i="13"/>
  <c r="AV24" i="13"/>
  <c r="AW24" i="13"/>
  <c r="AX24" i="13"/>
  <c r="AY24" i="13"/>
  <c r="AZ24" i="13"/>
  <c r="BA24" i="13"/>
  <c r="BB24" i="13"/>
  <c r="BC24" i="13"/>
  <c r="BD24" i="13"/>
  <c r="BF24" i="13"/>
  <c r="BG24" i="13"/>
  <c r="BH24" i="13"/>
  <c r="BI24" i="13"/>
  <c r="BJ24" i="13"/>
  <c r="BK24" i="13"/>
  <c r="BL24" i="13"/>
  <c r="BM24" i="13"/>
  <c r="BN24" i="13"/>
  <c r="BO24" i="13"/>
  <c r="BP24" i="13"/>
  <c r="BQ24" i="13"/>
  <c r="BR24" i="13"/>
  <c r="BS24" i="13"/>
  <c r="BT24" i="13"/>
  <c r="BU24" i="13"/>
  <c r="BV24" i="13"/>
  <c r="BW24" i="13"/>
  <c r="BX24" i="13"/>
  <c r="BY24" i="13"/>
  <c r="BZ24" i="13"/>
  <c r="CA24" i="13"/>
  <c r="CB24" i="13"/>
  <c r="CC24" i="13"/>
  <c r="CE24" i="13"/>
  <c r="CF24" i="13"/>
  <c r="CG24" i="13"/>
  <c r="CH24" i="13"/>
  <c r="CI24" i="13"/>
  <c r="CJ24" i="13"/>
  <c r="CK24" i="13"/>
  <c r="CL24" i="13"/>
  <c r="CM24" i="13"/>
  <c r="CN24" i="13"/>
  <c r="CO24" i="13"/>
  <c r="CP24" i="13"/>
  <c r="CQ24" i="13"/>
  <c r="CR24" i="13"/>
  <c r="CS24" i="13"/>
  <c r="CT24" i="13"/>
  <c r="CU24" i="13"/>
  <c r="CV24" i="13"/>
  <c r="CW24" i="13"/>
  <c r="CX24" i="13"/>
  <c r="CY24" i="13"/>
  <c r="CZ24" i="13"/>
  <c r="DA24" i="13"/>
  <c r="DB24" i="13"/>
  <c r="DH24" i="13"/>
  <c r="DI24" i="13"/>
  <c r="DJ24" i="13"/>
  <c r="H25" i="13"/>
  <c r="I25" i="13"/>
  <c r="J25" i="13"/>
  <c r="K25" i="13"/>
  <c r="L25" i="13"/>
  <c r="M25" i="13"/>
  <c r="N25" i="13"/>
  <c r="O25" i="13"/>
  <c r="P25" i="13"/>
  <c r="Q25" i="13"/>
  <c r="R25" i="13"/>
  <c r="S25" i="13"/>
  <c r="T25" i="13"/>
  <c r="U25" i="13"/>
  <c r="V25" i="13"/>
  <c r="W25" i="13"/>
  <c r="X25" i="13"/>
  <c r="Y25" i="13"/>
  <c r="Z25" i="13"/>
  <c r="AA25" i="13"/>
  <c r="AB25" i="13"/>
  <c r="AC25" i="13"/>
  <c r="AD25" i="13"/>
  <c r="AE25" i="13"/>
  <c r="AG25" i="13"/>
  <c r="AH25" i="13"/>
  <c r="AI25" i="13"/>
  <c r="AJ25" i="13"/>
  <c r="AK25" i="13"/>
  <c r="AL25" i="13"/>
  <c r="AM25" i="13"/>
  <c r="AN25" i="13"/>
  <c r="AO25" i="13"/>
  <c r="AP25" i="13"/>
  <c r="AQ25" i="13"/>
  <c r="AR25" i="13"/>
  <c r="AS25" i="13"/>
  <c r="AT25" i="13"/>
  <c r="AU25" i="13"/>
  <c r="AV25" i="13"/>
  <c r="AW25" i="13"/>
  <c r="AX25" i="13"/>
  <c r="AY25" i="13"/>
  <c r="AZ25" i="13"/>
  <c r="BA25" i="13"/>
  <c r="BB25" i="13"/>
  <c r="BC25" i="13"/>
  <c r="BD25" i="13"/>
  <c r="BF25" i="13"/>
  <c r="BG25" i="13"/>
  <c r="BH25" i="13"/>
  <c r="BI25" i="13"/>
  <c r="BJ25" i="13"/>
  <c r="BK25" i="13"/>
  <c r="BL25" i="13"/>
  <c r="BM25" i="13"/>
  <c r="BN25" i="13"/>
  <c r="BO25" i="13"/>
  <c r="BP25" i="13"/>
  <c r="BQ25" i="13"/>
  <c r="BR25" i="13"/>
  <c r="BS25" i="13"/>
  <c r="BT25" i="13"/>
  <c r="BU25" i="13"/>
  <c r="BV25" i="13"/>
  <c r="BW25" i="13"/>
  <c r="BX25" i="13"/>
  <c r="BY25" i="13"/>
  <c r="BZ25" i="13"/>
  <c r="CA25" i="13"/>
  <c r="CB25" i="13"/>
  <c r="CC25" i="13"/>
  <c r="CE25" i="13"/>
  <c r="CF25" i="13"/>
  <c r="CG25" i="13"/>
  <c r="CH25" i="13"/>
  <c r="CI25" i="13"/>
  <c r="CJ25" i="13"/>
  <c r="CK25" i="13"/>
  <c r="CL25" i="13"/>
  <c r="CM25" i="13"/>
  <c r="CN25" i="13"/>
  <c r="CO25" i="13"/>
  <c r="CP25" i="13"/>
  <c r="CQ25" i="13"/>
  <c r="CR25" i="13"/>
  <c r="CS25" i="13"/>
  <c r="CT25" i="13"/>
  <c r="CU25" i="13"/>
  <c r="CV25" i="13"/>
  <c r="CW25" i="13"/>
  <c r="CX25" i="13"/>
  <c r="CY25" i="13"/>
  <c r="CZ25" i="13"/>
  <c r="DA25" i="13"/>
  <c r="DB25" i="13"/>
  <c r="DH25" i="13"/>
  <c r="DI25" i="13"/>
  <c r="DJ25" i="13"/>
  <c r="H26" i="13"/>
  <c r="I26" i="13"/>
  <c r="J26" i="13"/>
  <c r="K26" i="13"/>
  <c r="L26" i="13"/>
  <c r="M26" i="13"/>
  <c r="N26" i="13"/>
  <c r="O26" i="13"/>
  <c r="P26" i="13"/>
  <c r="Q26" i="13"/>
  <c r="R26" i="13"/>
  <c r="S26" i="13"/>
  <c r="T26" i="13"/>
  <c r="U26" i="13"/>
  <c r="V26" i="13"/>
  <c r="W26" i="13"/>
  <c r="X26" i="13"/>
  <c r="Y26" i="13"/>
  <c r="Z26" i="13"/>
  <c r="AA26" i="13"/>
  <c r="AB26" i="13"/>
  <c r="AC26" i="13"/>
  <c r="AD26" i="13"/>
  <c r="AE26" i="13"/>
  <c r="AG26" i="13"/>
  <c r="AH26" i="13"/>
  <c r="AI26" i="13"/>
  <c r="AJ26" i="13"/>
  <c r="AK26" i="13"/>
  <c r="AL26" i="13"/>
  <c r="AM26" i="13"/>
  <c r="AN26" i="13"/>
  <c r="AO26" i="13"/>
  <c r="AP26" i="13"/>
  <c r="AQ26" i="13"/>
  <c r="AR26" i="13"/>
  <c r="AS26" i="13"/>
  <c r="AT26" i="13"/>
  <c r="AU26" i="13"/>
  <c r="AV26" i="13"/>
  <c r="AW26" i="13"/>
  <c r="AX26" i="13"/>
  <c r="AY26" i="13"/>
  <c r="AZ26" i="13"/>
  <c r="BA26" i="13"/>
  <c r="BB26" i="13"/>
  <c r="BC26" i="13"/>
  <c r="BD26" i="13"/>
  <c r="BF26" i="13"/>
  <c r="BG26" i="13"/>
  <c r="BH26" i="13"/>
  <c r="BI26" i="13"/>
  <c r="BJ26" i="13"/>
  <c r="BK26" i="13"/>
  <c r="BL26" i="13"/>
  <c r="BM26" i="13"/>
  <c r="BN26" i="13"/>
  <c r="BO26" i="13"/>
  <c r="BP26" i="13"/>
  <c r="BQ26" i="13"/>
  <c r="BR26" i="13"/>
  <c r="BS26" i="13"/>
  <c r="BT26" i="13"/>
  <c r="BU26" i="13"/>
  <c r="BV26" i="13"/>
  <c r="BW26" i="13"/>
  <c r="BX26" i="13"/>
  <c r="BY26" i="13"/>
  <c r="BZ26" i="13"/>
  <c r="CA26" i="13"/>
  <c r="CB26" i="13"/>
  <c r="CC26" i="13"/>
  <c r="CE26" i="13"/>
  <c r="CF26" i="13"/>
  <c r="CG26" i="13"/>
  <c r="CH26" i="13"/>
  <c r="CI26" i="13"/>
  <c r="CJ26" i="13"/>
  <c r="CK26" i="13"/>
  <c r="CL26" i="13"/>
  <c r="CM26" i="13"/>
  <c r="CN26" i="13"/>
  <c r="CO26" i="13"/>
  <c r="CP26" i="13"/>
  <c r="CQ26" i="13"/>
  <c r="CR26" i="13"/>
  <c r="CS26" i="13"/>
  <c r="CT26" i="13"/>
  <c r="CU26" i="13"/>
  <c r="CV26" i="13"/>
  <c r="CW26" i="13"/>
  <c r="CX26" i="13"/>
  <c r="CY26" i="13"/>
  <c r="CZ26" i="13"/>
  <c r="DA26" i="13"/>
  <c r="DB26" i="13"/>
  <c r="DH26" i="13"/>
  <c r="DI26" i="13"/>
  <c r="DJ26" i="13"/>
  <c r="H27" i="13"/>
  <c r="I27" i="13"/>
  <c r="J27" i="13"/>
  <c r="K27" i="13"/>
  <c r="L27" i="13"/>
  <c r="M27" i="13"/>
  <c r="N27" i="13"/>
  <c r="O27" i="13"/>
  <c r="P27" i="13"/>
  <c r="Q27" i="13"/>
  <c r="R27" i="13"/>
  <c r="S27" i="13"/>
  <c r="T27" i="13"/>
  <c r="U27" i="13"/>
  <c r="V27" i="13"/>
  <c r="W27" i="13"/>
  <c r="X27" i="13"/>
  <c r="Y27" i="13"/>
  <c r="Z27" i="13"/>
  <c r="AA27" i="13"/>
  <c r="AB27" i="13"/>
  <c r="AC27" i="13"/>
  <c r="AD27" i="13"/>
  <c r="AE27" i="13"/>
  <c r="AG27" i="13"/>
  <c r="AH27" i="13"/>
  <c r="AI27" i="13"/>
  <c r="AJ27" i="13"/>
  <c r="AK27" i="13"/>
  <c r="AL27" i="13"/>
  <c r="AM27" i="13"/>
  <c r="AN27" i="13"/>
  <c r="AO27" i="13"/>
  <c r="AP27" i="13"/>
  <c r="AQ27" i="13"/>
  <c r="AR27" i="13"/>
  <c r="AS27" i="13"/>
  <c r="AT27" i="13"/>
  <c r="AU27" i="13"/>
  <c r="AV27" i="13"/>
  <c r="AW27" i="13"/>
  <c r="AX27" i="13"/>
  <c r="AY27" i="13"/>
  <c r="AZ27" i="13"/>
  <c r="BA27" i="13"/>
  <c r="BB27" i="13"/>
  <c r="BC27" i="13"/>
  <c r="BD27" i="13"/>
  <c r="BF27" i="13"/>
  <c r="BG27" i="13"/>
  <c r="BH27" i="13"/>
  <c r="BI27" i="13"/>
  <c r="BJ27" i="13"/>
  <c r="BK27" i="13"/>
  <c r="BL27" i="13"/>
  <c r="BM27" i="13"/>
  <c r="BN27" i="13"/>
  <c r="BO27" i="13"/>
  <c r="BP27" i="13"/>
  <c r="BQ27" i="13"/>
  <c r="BR27" i="13"/>
  <c r="BS27" i="13"/>
  <c r="BT27" i="13"/>
  <c r="BU27" i="13"/>
  <c r="BV27" i="13"/>
  <c r="BW27" i="13"/>
  <c r="BX27" i="13"/>
  <c r="BY27" i="13"/>
  <c r="BZ27" i="13"/>
  <c r="CA27" i="13"/>
  <c r="CB27" i="13"/>
  <c r="CC27" i="13"/>
  <c r="CE27" i="13"/>
  <c r="CF27" i="13"/>
  <c r="CG27" i="13"/>
  <c r="CH27" i="13"/>
  <c r="CI27" i="13"/>
  <c r="CJ27" i="13"/>
  <c r="CK27" i="13"/>
  <c r="CL27" i="13"/>
  <c r="CM27" i="13"/>
  <c r="CN27" i="13"/>
  <c r="CO27" i="13"/>
  <c r="CP27" i="13"/>
  <c r="CQ27" i="13"/>
  <c r="CR27" i="13"/>
  <c r="CS27" i="13"/>
  <c r="CT27" i="13"/>
  <c r="CU27" i="13"/>
  <c r="CV27" i="13"/>
  <c r="CW27" i="13"/>
  <c r="CX27" i="13"/>
  <c r="CY27" i="13"/>
  <c r="CZ27" i="13"/>
  <c r="DA27" i="13"/>
  <c r="DB27" i="13"/>
  <c r="DH27" i="13"/>
  <c r="DI27" i="13"/>
  <c r="DJ27" i="13"/>
  <c r="H28" i="13"/>
  <c r="I28" i="13"/>
  <c r="J28" i="13"/>
  <c r="K28" i="13"/>
  <c r="L28" i="13"/>
  <c r="M28" i="13"/>
  <c r="N28" i="13"/>
  <c r="O28" i="13"/>
  <c r="P28" i="13"/>
  <c r="Q28" i="13"/>
  <c r="R28" i="13"/>
  <c r="S28" i="13"/>
  <c r="T28" i="13"/>
  <c r="U28" i="13"/>
  <c r="V28" i="13"/>
  <c r="W28" i="13"/>
  <c r="X28" i="13"/>
  <c r="Y28" i="13"/>
  <c r="Z28" i="13"/>
  <c r="AA28" i="13"/>
  <c r="AB28" i="13"/>
  <c r="AC28" i="13"/>
  <c r="AD28" i="13"/>
  <c r="AE28" i="13"/>
  <c r="AG28" i="13"/>
  <c r="AH28" i="13"/>
  <c r="AI28" i="13"/>
  <c r="AJ28" i="13"/>
  <c r="AK28" i="13"/>
  <c r="AL28" i="13"/>
  <c r="AM28" i="13"/>
  <c r="AN28" i="13"/>
  <c r="AO28" i="13"/>
  <c r="AP28" i="13"/>
  <c r="AQ28" i="13"/>
  <c r="AR28" i="13"/>
  <c r="AS28" i="13"/>
  <c r="AT28" i="13"/>
  <c r="AU28" i="13"/>
  <c r="AV28" i="13"/>
  <c r="AW28" i="13"/>
  <c r="AX28" i="13"/>
  <c r="AY28" i="13"/>
  <c r="AZ28" i="13"/>
  <c r="BA28" i="13"/>
  <c r="BB28" i="13"/>
  <c r="BC28" i="13"/>
  <c r="BD28" i="13"/>
  <c r="BF28" i="13"/>
  <c r="BG28" i="13"/>
  <c r="BH28" i="13"/>
  <c r="BI28" i="13"/>
  <c r="BJ28" i="13"/>
  <c r="BK28" i="13"/>
  <c r="BL28" i="13"/>
  <c r="BM28" i="13"/>
  <c r="BN28" i="13"/>
  <c r="BO28" i="13"/>
  <c r="BP28" i="13"/>
  <c r="BQ28" i="13"/>
  <c r="BR28" i="13"/>
  <c r="BS28" i="13"/>
  <c r="BT28" i="13"/>
  <c r="BU28" i="13"/>
  <c r="BV28" i="13"/>
  <c r="BW28" i="13"/>
  <c r="BX28" i="13"/>
  <c r="BY28" i="13"/>
  <c r="BZ28" i="13"/>
  <c r="CA28" i="13"/>
  <c r="CB28" i="13"/>
  <c r="CC28" i="13"/>
  <c r="CE28" i="13"/>
  <c r="CF28" i="13"/>
  <c r="CG28" i="13"/>
  <c r="CH28" i="13"/>
  <c r="CI28" i="13"/>
  <c r="CJ28" i="13"/>
  <c r="CK28" i="13"/>
  <c r="CL28" i="13"/>
  <c r="CM28" i="13"/>
  <c r="CN28" i="13"/>
  <c r="CO28" i="13"/>
  <c r="CP28" i="13"/>
  <c r="CQ28" i="13"/>
  <c r="CR28" i="13"/>
  <c r="CS28" i="13"/>
  <c r="CT28" i="13"/>
  <c r="CU28" i="13"/>
  <c r="CV28" i="13"/>
  <c r="CW28" i="13"/>
  <c r="CX28" i="13"/>
  <c r="CY28" i="13"/>
  <c r="CZ28" i="13"/>
  <c r="DA28" i="13"/>
  <c r="DB28" i="13"/>
  <c r="DH28" i="13"/>
  <c r="DI28" i="13"/>
  <c r="DJ28" i="13"/>
  <c r="H29" i="13"/>
  <c r="I29" i="13"/>
  <c r="J29" i="13"/>
  <c r="K29" i="13"/>
  <c r="L29" i="13"/>
  <c r="M29" i="13"/>
  <c r="N29" i="13"/>
  <c r="O29" i="13"/>
  <c r="P29" i="13"/>
  <c r="Q29" i="13"/>
  <c r="R29" i="13"/>
  <c r="S29" i="13"/>
  <c r="T29" i="13"/>
  <c r="U29" i="13"/>
  <c r="V29" i="13"/>
  <c r="W29" i="13"/>
  <c r="X29" i="13"/>
  <c r="Y29" i="13"/>
  <c r="Z29" i="13"/>
  <c r="AA29" i="13"/>
  <c r="AB29" i="13"/>
  <c r="AC29" i="13"/>
  <c r="AD29" i="13"/>
  <c r="AE29" i="13"/>
  <c r="AG29" i="13"/>
  <c r="AH29" i="13"/>
  <c r="AI29" i="13"/>
  <c r="AJ29" i="13"/>
  <c r="AK29" i="13"/>
  <c r="AL29" i="13"/>
  <c r="AM29" i="13"/>
  <c r="AN29" i="13"/>
  <c r="AO29" i="13"/>
  <c r="AP29" i="13"/>
  <c r="AQ29" i="13"/>
  <c r="AR29" i="13"/>
  <c r="AS29" i="13"/>
  <c r="AT29" i="13"/>
  <c r="AU29" i="13"/>
  <c r="AV29" i="13"/>
  <c r="AW29" i="13"/>
  <c r="AX29" i="13"/>
  <c r="AY29" i="13"/>
  <c r="AZ29" i="13"/>
  <c r="BA29" i="13"/>
  <c r="BB29" i="13"/>
  <c r="BC29" i="13"/>
  <c r="BD29" i="13"/>
  <c r="BF29" i="13"/>
  <c r="BG29" i="13"/>
  <c r="BH29" i="13"/>
  <c r="BI29" i="13"/>
  <c r="BJ29" i="13"/>
  <c r="BK29" i="13"/>
  <c r="BL29" i="13"/>
  <c r="BM29" i="13"/>
  <c r="BN29" i="13"/>
  <c r="BO29" i="13"/>
  <c r="BP29" i="13"/>
  <c r="BQ29" i="13"/>
  <c r="BR29" i="13"/>
  <c r="BS29" i="13"/>
  <c r="BT29" i="13"/>
  <c r="BU29" i="13"/>
  <c r="BV29" i="13"/>
  <c r="BW29" i="13"/>
  <c r="BX29" i="13"/>
  <c r="BY29" i="13"/>
  <c r="BZ29" i="13"/>
  <c r="CA29" i="13"/>
  <c r="CB29" i="13"/>
  <c r="CC29" i="13"/>
  <c r="CE29" i="13"/>
  <c r="CF29" i="13"/>
  <c r="CG29" i="13"/>
  <c r="CH29" i="13"/>
  <c r="CI29" i="13"/>
  <c r="CJ29" i="13"/>
  <c r="CK29" i="13"/>
  <c r="CL29" i="13"/>
  <c r="CM29" i="13"/>
  <c r="CN29" i="13"/>
  <c r="CO29" i="13"/>
  <c r="CP29" i="13"/>
  <c r="CQ29" i="13"/>
  <c r="CR29" i="13"/>
  <c r="CS29" i="13"/>
  <c r="CT29" i="13"/>
  <c r="CU29" i="13"/>
  <c r="CV29" i="13"/>
  <c r="CW29" i="13"/>
  <c r="CX29" i="13"/>
  <c r="CY29" i="13"/>
  <c r="CZ29" i="13"/>
  <c r="DA29" i="13"/>
  <c r="DB29" i="13"/>
  <c r="DH29" i="13"/>
  <c r="DI29" i="13"/>
  <c r="DJ29" i="13"/>
  <c r="H30" i="13"/>
  <c r="I30" i="13"/>
  <c r="J30" i="13"/>
  <c r="K30" i="13"/>
  <c r="L30" i="13"/>
  <c r="M30" i="13"/>
  <c r="N30" i="13"/>
  <c r="O30" i="13"/>
  <c r="P30" i="13"/>
  <c r="Q30" i="13"/>
  <c r="R30" i="13"/>
  <c r="S30" i="13"/>
  <c r="T30" i="13"/>
  <c r="U30" i="13"/>
  <c r="V30" i="13"/>
  <c r="W30" i="13"/>
  <c r="X30" i="13"/>
  <c r="Y30" i="13"/>
  <c r="Z30" i="13"/>
  <c r="AA30" i="13"/>
  <c r="AB30" i="13"/>
  <c r="AC30" i="13"/>
  <c r="AD30" i="13"/>
  <c r="AE30" i="13"/>
  <c r="AG30" i="13"/>
  <c r="AH30" i="13"/>
  <c r="AI30" i="13"/>
  <c r="AJ30" i="13"/>
  <c r="AK30" i="13"/>
  <c r="AL30" i="13"/>
  <c r="AM30" i="13"/>
  <c r="AN30" i="13"/>
  <c r="AO30" i="13"/>
  <c r="AP30" i="13"/>
  <c r="AQ30" i="13"/>
  <c r="AR30" i="13"/>
  <c r="AS30" i="13"/>
  <c r="AT30" i="13"/>
  <c r="AU30" i="13"/>
  <c r="AV30" i="13"/>
  <c r="AW30" i="13"/>
  <c r="AX30" i="13"/>
  <c r="AY30" i="13"/>
  <c r="AZ30" i="13"/>
  <c r="BA30" i="13"/>
  <c r="BB30" i="13"/>
  <c r="BC30" i="13"/>
  <c r="BD30" i="13"/>
  <c r="BF30" i="13"/>
  <c r="BG30" i="13"/>
  <c r="BH30" i="13"/>
  <c r="BI30" i="13"/>
  <c r="BJ30" i="13"/>
  <c r="BK30" i="13"/>
  <c r="BL30" i="13"/>
  <c r="BM30" i="13"/>
  <c r="BN30" i="13"/>
  <c r="BO30" i="13"/>
  <c r="BP30" i="13"/>
  <c r="BQ30" i="13"/>
  <c r="BR30" i="13"/>
  <c r="BS30" i="13"/>
  <c r="BT30" i="13"/>
  <c r="BU30" i="13"/>
  <c r="BV30" i="13"/>
  <c r="BW30" i="13"/>
  <c r="BX30" i="13"/>
  <c r="BY30" i="13"/>
  <c r="BZ30" i="13"/>
  <c r="CA30" i="13"/>
  <c r="CB30" i="13"/>
  <c r="CC30" i="13"/>
  <c r="CE30" i="13"/>
  <c r="CF30" i="13"/>
  <c r="CG30" i="13"/>
  <c r="CH30" i="13"/>
  <c r="CI30" i="13"/>
  <c r="CJ30" i="13"/>
  <c r="CK30" i="13"/>
  <c r="CL30" i="13"/>
  <c r="CM30" i="13"/>
  <c r="CN30" i="13"/>
  <c r="CO30" i="13"/>
  <c r="CP30" i="13"/>
  <c r="CQ30" i="13"/>
  <c r="CR30" i="13"/>
  <c r="CS30" i="13"/>
  <c r="CT30" i="13"/>
  <c r="CU30" i="13"/>
  <c r="CV30" i="13"/>
  <c r="CW30" i="13"/>
  <c r="CX30" i="13"/>
  <c r="CY30" i="13"/>
  <c r="CZ30" i="13"/>
  <c r="DA30" i="13"/>
  <c r="DB30" i="13"/>
  <c r="DH30" i="13"/>
  <c r="DI30" i="13"/>
  <c r="DJ30" i="13"/>
  <c r="H31" i="13"/>
  <c r="I31" i="13"/>
  <c r="J31" i="13"/>
  <c r="K31" i="13"/>
  <c r="L31" i="13"/>
  <c r="M31" i="13"/>
  <c r="N31" i="13"/>
  <c r="O31" i="13"/>
  <c r="P31" i="13"/>
  <c r="Q31" i="13"/>
  <c r="R31" i="13"/>
  <c r="S31" i="13"/>
  <c r="T31" i="13"/>
  <c r="U31" i="13"/>
  <c r="V31" i="13"/>
  <c r="W31" i="13"/>
  <c r="X31" i="13"/>
  <c r="Y31" i="13"/>
  <c r="Z31" i="13"/>
  <c r="AA31" i="13"/>
  <c r="AB31" i="13"/>
  <c r="AC31" i="13"/>
  <c r="AD31" i="13"/>
  <c r="AE31" i="13"/>
  <c r="AG31" i="13"/>
  <c r="AH31" i="13"/>
  <c r="AI31" i="13"/>
  <c r="AJ31" i="13"/>
  <c r="AK31" i="13"/>
  <c r="AL31" i="13"/>
  <c r="AM31" i="13"/>
  <c r="AN31" i="13"/>
  <c r="AO31" i="13"/>
  <c r="AP31" i="13"/>
  <c r="AQ31" i="13"/>
  <c r="AR31" i="13"/>
  <c r="AS31" i="13"/>
  <c r="AT31" i="13"/>
  <c r="AU31" i="13"/>
  <c r="AV31" i="13"/>
  <c r="AW31" i="13"/>
  <c r="AX31" i="13"/>
  <c r="AY31" i="13"/>
  <c r="AZ31" i="13"/>
  <c r="BA31" i="13"/>
  <c r="BB31" i="13"/>
  <c r="BC31" i="13"/>
  <c r="BD31" i="13"/>
  <c r="BF31" i="13"/>
  <c r="BG31" i="13"/>
  <c r="BH31" i="13"/>
  <c r="BI31" i="13"/>
  <c r="BJ31" i="13"/>
  <c r="BK31" i="13"/>
  <c r="BL31" i="13"/>
  <c r="BM31" i="13"/>
  <c r="BN31" i="13"/>
  <c r="BO31" i="13"/>
  <c r="BP31" i="13"/>
  <c r="BQ31" i="13"/>
  <c r="BR31" i="13"/>
  <c r="BS31" i="13"/>
  <c r="BT31" i="13"/>
  <c r="BU31" i="13"/>
  <c r="BV31" i="13"/>
  <c r="BW31" i="13"/>
  <c r="BX31" i="13"/>
  <c r="BY31" i="13"/>
  <c r="BZ31" i="13"/>
  <c r="CA31" i="13"/>
  <c r="CB31" i="13"/>
  <c r="CC31" i="13"/>
  <c r="CE31" i="13"/>
  <c r="CF31" i="13"/>
  <c r="CG31" i="13"/>
  <c r="CH31" i="13"/>
  <c r="CI31" i="13"/>
  <c r="CJ31" i="13"/>
  <c r="CK31" i="13"/>
  <c r="CL31" i="13"/>
  <c r="CM31" i="13"/>
  <c r="CN31" i="13"/>
  <c r="CO31" i="13"/>
  <c r="CP31" i="13"/>
  <c r="CQ31" i="13"/>
  <c r="CR31" i="13"/>
  <c r="CS31" i="13"/>
  <c r="CT31" i="13"/>
  <c r="CU31" i="13"/>
  <c r="CV31" i="13"/>
  <c r="CW31" i="13"/>
  <c r="CX31" i="13"/>
  <c r="CY31" i="13"/>
  <c r="CZ31" i="13"/>
  <c r="DA31" i="13"/>
  <c r="DB31" i="13"/>
  <c r="DH31" i="13"/>
  <c r="DI31" i="13"/>
  <c r="DJ31" i="13"/>
  <c r="H32" i="13"/>
  <c r="I32" i="13"/>
  <c r="J32" i="13"/>
  <c r="K32" i="13"/>
  <c r="L32" i="13"/>
  <c r="M32" i="13"/>
  <c r="N32" i="13"/>
  <c r="O32" i="13"/>
  <c r="P32" i="13"/>
  <c r="Q32" i="13"/>
  <c r="R32" i="13"/>
  <c r="S32" i="13"/>
  <c r="T32" i="13"/>
  <c r="U32" i="13"/>
  <c r="V32" i="13"/>
  <c r="W32" i="13"/>
  <c r="X32" i="13"/>
  <c r="Y32" i="13"/>
  <c r="Z32" i="13"/>
  <c r="AA32" i="13"/>
  <c r="AB32" i="13"/>
  <c r="AC32" i="13"/>
  <c r="AD32" i="13"/>
  <c r="AE32" i="13"/>
  <c r="AG32" i="13"/>
  <c r="AH32" i="13"/>
  <c r="AI32" i="13"/>
  <c r="AJ32" i="13"/>
  <c r="AK32" i="13"/>
  <c r="AL32" i="13"/>
  <c r="AM32" i="13"/>
  <c r="AN32" i="13"/>
  <c r="AO32" i="13"/>
  <c r="AP32" i="13"/>
  <c r="AQ32" i="13"/>
  <c r="AR32" i="13"/>
  <c r="AS32" i="13"/>
  <c r="AT32" i="13"/>
  <c r="AU32" i="13"/>
  <c r="AV32" i="13"/>
  <c r="AW32" i="13"/>
  <c r="AX32" i="13"/>
  <c r="AY32" i="13"/>
  <c r="AZ32" i="13"/>
  <c r="BA32" i="13"/>
  <c r="BB32" i="13"/>
  <c r="BC32" i="13"/>
  <c r="BD32" i="13"/>
  <c r="BF32" i="13"/>
  <c r="BG32" i="13"/>
  <c r="BH32" i="13"/>
  <c r="BI32" i="13"/>
  <c r="BJ32" i="13"/>
  <c r="BK32" i="13"/>
  <c r="BL32" i="13"/>
  <c r="BM32" i="13"/>
  <c r="BN32" i="13"/>
  <c r="BO32" i="13"/>
  <c r="BP32" i="13"/>
  <c r="BQ32" i="13"/>
  <c r="BR32" i="13"/>
  <c r="BS32" i="13"/>
  <c r="BT32" i="13"/>
  <c r="BU32" i="13"/>
  <c r="BV32" i="13"/>
  <c r="BW32" i="13"/>
  <c r="BX32" i="13"/>
  <c r="BY32" i="13"/>
  <c r="BZ32" i="13"/>
  <c r="CA32" i="13"/>
  <c r="CB32" i="13"/>
  <c r="CC32" i="13"/>
  <c r="CE32" i="13"/>
  <c r="CF32" i="13"/>
  <c r="CG32" i="13"/>
  <c r="CH32" i="13"/>
  <c r="CI32" i="13"/>
  <c r="CJ32" i="13"/>
  <c r="CK32" i="13"/>
  <c r="CL32" i="13"/>
  <c r="CM32" i="13"/>
  <c r="CN32" i="13"/>
  <c r="CO32" i="13"/>
  <c r="CP32" i="13"/>
  <c r="CQ32" i="13"/>
  <c r="CR32" i="13"/>
  <c r="CS32" i="13"/>
  <c r="CT32" i="13"/>
  <c r="CU32" i="13"/>
  <c r="CV32" i="13"/>
  <c r="CW32" i="13"/>
  <c r="CX32" i="13"/>
  <c r="CY32" i="13"/>
  <c r="CZ32" i="13"/>
  <c r="DA32" i="13"/>
  <c r="DB32" i="13"/>
  <c r="DH32" i="13"/>
  <c r="DI32" i="13"/>
  <c r="DJ32" i="13"/>
  <c r="H33" i="13"/>
  <c r="I33" i="13"/>
  <c r="J33" i="13"/>
  <c r="K33" i="13"/>
  <c r="L33" i="13"/>
  <c r="M33" i="13"/>
  <c r="N33" i="13"/>
  <c r="O33" i="13"/>
  <c r="P33" i="13"/>
  <c r="Q33" i="13"/>
  <c r="R33" i="13"/>
  <c r="S33" i="13"/>
  <c r="T33" i="13"/>
  <c r="U33" i="13"/>
  <c r="V33" i="13"/>
  <c r="W33" i="13"/>
  <c r="X33" i="13"/>
  <c r="Y33" i="13"/>
  <c r="Z33" i="13"/>
  <c r="AA33" i="13"/>
  <c r="AB33" i="13"/>
  <c r="AC33" i="13"/>
  <c r="AD33" i="13"/>
  <c r="AE33" i="13"/>
  <c r="AG33" i="13"/>
  <c r="AH33" i="13"/>
  <c r="AI33" i="13"/>
  <c r="AJ33" i="13"/>
  <c r="AK33" i="13"/>
  <c r="AL33" i="13"/>
  <c r="AM33" i="13"/>
  <c r="AN33" i="13"/>
  <c r="AO33" i="13"/>
  <c r="AP33" i="13"/>
  <c r="AQ33" i="13"/>
  <c r="AR33" i="13"/>
  <c r="AS33" i="13"/>
  <c r="AT33" i="13"/>
  <c r="AU33" i="13"/>
  <c r="AV33" i="13"/>
  <c r="AW33" i="13"/>
  <c r="AX33" i="13"/>
  <c r="AY33" i="13"/>
  <c r="AZ33" i="13"/>
  <c r="BA33" i="13"/>
  <c r="BB33" i="13"/>
  <c r="BC33" i="13"/>
  <c r="BD33" i="13"/>
  <c r="BF33" i="13"/>
  <c r="BG33" i="13"/>
  <c r="BH33" i="13"/>
  <c r="BI33" i="13"/>
  <c r="BJ33" i="13"/>
  <c r="BK33" i="13"/>
  <c r="BL33" i="13"/>
  <c r="BM33" i="13"/>
  <c r="BN33" i="13"/>
  <c r="BO33" i="13"/>
  <c r="BP33" i="13"/>
  <c r="BQ33" i="13"/>
  <c r="BR33" i="13"/>
  <c r="BS33" i="13"/>
  <c r="BT33" i="13"/>
  <c r="BU33" i="13"/>
  <c r="BV33" i="13"/>
  <c r="BW33" i="13"/>
  <c r="BX33" i="13"/>
  <c r="BY33" i="13"/>
  <c r="BZ33" i="13"/>
  <c r="CA33" i="13"/>
  <c r="CB33" i="13"/>
  <c r="CC33" i="13"/>
  <c r="CE33" i="13"/>
  <c r="CF33" i="13"/>
  <c r="CG33" i="13"/>
  <c r="CH33" i="13"/>
  <c r="CI33" i="13"/>
  <c r="CJ33" i="13"/>
  <c r="CK33" i="13"/>
  <c r="CL33" i="13"/>
  <c r="CM33" i="13"/>
  <c r="CN33" i="13"/>
  <c r="CO33" i="13"/>
  <c r="CP33" i="13"/>
  <c r="CQ33" i="13"/>
  <c r="CR33" i="13"/>
  <c r="CS33" i="13"/>
  <c r="CT33" i="13"/>
  <c r="CU33" i="13"/>
  <c r="CV33" i="13"/>
  <c r="CW33" i="13"/>
  <c r="CX33" i="13"/>
  <c r="CY33" i="13"/>
  <c r="CZ33" i="13"/>
  <c r="DA33" i="13"/>
  <c r="DB33" i="13"/>
  <c r="DH33" i="13"/>
  <c r="DI33" i="13"/>
  <c r="DJ33" i="13"/>
  <c r="H34" i="13"/>
  <c r="I34" i="13"/>
  <c r="J34" i="13"/>
  <c r="K34" i="13"/>
  <c r="L34" i="13"/>
  <c r="M34" i="13"/>
  <c r="N34" i="13"/>
  <c r="O34" i="13"/>
  <c r="P34" i="13"/>
  <c r="Q34" i="13"/>
  <c r="R34" i="13"/>
  <c r="S34" i="13"/>
  <c r="T34" i="13"/>
  <c r="U34" i="13"/>
  <c r="V34" i="13"/>
  <c r="W34" i="13"/>
  <c r="X34" i="13"/>
  <c r="Y34" i="13"/>
  <c r="Z34" i="13"/>
  <c r="AA34" i="13"/>
  <c r="AB34" i="13"/>
  <c r="AC34" i="13"/>
  <c r="AD34" i="13"/>
  <c r="AE34" i="13"/>
  <c r="AG34" i="13"/>
  <c r="AH34" i="13"/>
  <c r="AI34" i="13"/>
  <c r="AJ34" i="13"/>
  <c r="AK34" i="13"/>
  <c r="AL34" i="13"/>
  <c r="AM34" i="13"/>
  <c r="AN34" i="13"/>
  <c r="AO34" i="13"/>
  <c r="AP34" i="13"/>
  <c r="AQ34" i="13"/>
  <c r="AR34" i="13"/>
  <c r="AS34" i="13"/>
  <c r="AT34" i="13"/>
  <c r="AU34" i="13"/>
  <c r="AV34" i="13"/>
  <c r="AW34" i="13"/>
  <c r="AX34" i="13"/>
  <c r="AY34" i="13"/>
  <c r="AZ34" i="13"/>
  <c r="BA34" i="13"/>
  <c r="BB34" i="13"/>
  <c r="BC34" i="13"/>
  <c r="BD34" i="13"/>
  <c r="BF34" i="13"/>
  <c r="BG34" i="13"/>
  <c r="BH34" i="13"/>
  <c r="BI34" i="13"/>
  <c r="BJ34" i="13"/>
  <c r="BK34" i="13"/>
  <c r="BL34" i="13"/>
  <c r="BM34" i="13"/>
  <c r="BN34" i="13"/>
  <c r="BO34" i="13"/>
  <c r="BP34" i="13"/>
  <c r="BQ34" i="13"/>
  <c r="BR34" i="13"/>
  <c r="BS34" i="13"/>
  <c r="BT34" i="13"/>
  <c r="BU34" i="13"/>
  <c r="BV34" i="13"/>
  <c r="BW34" i="13"/>
  <c r="BX34" i="13"/>
  <c r="BY34" i="13"/>
  <c r="BZ34" i="13"/>
  <c r="CA34" i="13"/>
  <c r="CB34" i="13"/>
  <c r="CC34" i="13"/>
  <c r="CE34" i="13"/>
  <c r="CF34" i="13"/>
  <c r="CG34" i="13"/>
  <c r="CH34" i="13"/>
  <c r="CI34" i="13"/>
  <c r="CJ34" i="13"/>
  <c r="CK34" i="13"/>
  <c r="CL34" i="13"/>
  <c r="CM34" i="13"/>
  <c r="CN34" i="13"/>
  <c r="CO34" i="13"/>
  <c r="CP34" i="13"/>
  <c r="CQ34" i="13"/>
  <c r="CR34" i="13"/>
  <c r="CS34" i="13"/>
  <c r="CT34" i="13"/>
  <c r="CU34" i="13"/>
  <c r="CV34" i="13"/>
  <c r="CW34" i="13"/>
  <c r="CX34" i="13"/>
  <c r="CY34" i="13"/>
  <c r="CZ34" i="13"/>
  <c r="DA34" i="13"/>
  <c r="DB34" i="13"/>
  <c r="DH34" i="13"/>
  <c r="DI34" i="13"/>
  <c r="DJ34" i="13"/>
  <c r="H35" i="13"/>
  <c r="I35" i="13"/>
  <c r="J35" i="13"/>
  <c r="K35" i="13"/>
  <c r="L35" i="13"/>
  <c r="M35" i="13"/>
  <c r="N35" i="13"/>
  <c r="O35" i="13"/>
  <c r="P35" i="13"/>
  <c r="Q35" i="13"/>
  <c r="R35" i="13"/>
  <c r="S35" i="13"/>
  <c r="T35" i="13"/>
  <c r="U35" i="13"/>
  <c r="V35" i="13"/>
  <c r="W35" i="13"/>
  <c r="X35" i="13"/>
  <c r="Y35" i="13"/>
  <c r="Z35" i="13"/>
  <c r="AA35" i="13"/>
  <c r="AB35" i="13"/>
  <c r="AC35" i="13"/>
  <c r="AD35" i="13"/>
  <c r="AE35" i="13"/>
  <c r="AG35" i="13"/>
  <c r="AH35" i="13"/>
  <c r="AI35" i="13"/>
  <c r="AJ35" i="13"/>
  <c r="AK35" i="13"/>
  <c r="AL35" i="13"/>
  <c r="AM35" i="13"/>
  <c r="AN35" i="13"/>
  <c r="AO35" i="13"/>
  <c r="AP35" i="13"/>
  <c r="AQ35" i="13"/>
  <c r="AR35" i="13"/>
  <c r="AS35" i="13"/>
  <c r="AT35" i="13"/>
  <c r="AU35" i="13"/>
  <c r="AV35" i="13"/>
  <c r="AW35" i="13"/>
  <c r="AX35" i="13"/>
  <c r="AY35" i="13"/>
  <c r="AZ35" i="13"/>
  <c r="BA35" i="13"/>
  <c r="BB35" i="13"/>
  <c r="BC35" i="13"/>
  <c r="BD35" i="13"/>
  <c r="BF35" i="13"/>
  <c r="BG35" i="13"/>
  <c r="BH35" i="13"/>
  <c r="BI35" i="13"/>
  <c r="BJ35" i="13"/>
  <c r="BK35" i="13"/>
  <c r="BL35" i="13"/>
  <c r="BM35" i="13"/>
  <c r="BN35" i="13"/>
  <c r="BO35" i="13"/>
  <c r="BP35" i="13"/>
  <c r="BQ35" i="13"/>
  <c r="BR35" i="13"/>
  <c r="BS35" i="13"/>
  <c r="BT35" i="13"/>
  <c r="BU35" i="13"/>
  <c r="BV35" i="13"/>
  <c r="BW35" i="13"/>
  <c r="BX35" i="13"/>
  <c r="BY35" i="13"/>
  <c r="BZ35" i="13"/>
  <c r="CA35" i="13"/>
  <c r="CB35" i="13"/>
  <c r="CC35" i="13"/>
  <c r="CE35" i="13"/>
  <c r="CF35" i="13"/>
  <c r="CG35" i="13"/>
  <c r="CH35" i="13"/>
  <c r="CI35" i="13"/>
  <c r="CJ35" i="13"/>
  <c r="CK35" i="13"/>
  <c r="CL35" i="13"/>
  <c r="CM35" i="13"/>
  <c r="CN35" i="13"/>
  <c r="CO35" i="13"/>
  <c r="CP35" i="13"/>
  <c r="CQ35" i="13"/>
  <c r="CR35" i="13"/>
  <c r="CS35" i="13"/>
  <c r="CT35" i="13"/>
  <c r="CU35" i="13"/>
  <c r="CV35" i="13"/>
  <c r="CW35" i="13"/>
  <c r="CX35" i="13"/>
  <c r="CY35" i="13"/>
  <c r="CZ35" i="13"/>
  <c r="DA35" i="13"/>
  <c r="DB35" i="13"/>
  <c r="DH35" i="13"/>
  <c r="DI35" i="13"/>
  <c r="DJ35" i="13"/>
  <c r="H36" i="13"/>
  <c r="I36" i="13"/>
  <c r="J36" i="13"/>
  <c r="K36" i="13"/>
  <c r="L36" i="13"/>
  <c r="M36" i="13"/>
  <c r="N36" i="13"/>
  <c r="O36" i="13"/>
  <c r="P36" i="13"/>
  <c r="Q36" i="13"/>
  <c r="R36" i="13"/>
  <c r="S36" i="13"/>
  <c r="T36" i="13"/>
  <c r="U36" i="13"/>
  <c r="V36" i="13"/>
  <c r="W36" i="13"/>
  <c r="X36" i="13"/>
  <c r="Y36" i="13"/>
  <c r="Z36" i="13"/>
  <c r="AA36" i="13"/>
  <c r="AB36" i="13"/>
  <c r="AC36" i="13"/>
  <c r="AD36" i="13"/>
  <c r="AE36" i="13"/>
  <c r="AG36" i="13"/>
  <c r="AH36" i="13"/>
  <c r="AI36" i="13"/>
  <c r="AJ36" i="13"/>
  <c r="AK36" i="13"/>
  <c r="AL36" i="13"/>
  <c r="AM36" i="13"/>
  <c r="AN36" i="13"/>
  <c r="AO36" i="13"/>
  <c r="AP36" i="13"/>
  <c r="AQ36" i="13"/>
  <c r="AR36" i="13"/>
  <c r="AS36" i="13"/>
  <c r="AT36" i="13"/>
  <c r="AU36" i="13"/>
  <c r="AV36" i="13"/>
  <c r="AW36" i="13"/>
  <c r="AX36" i="13"/>
  <c r="AY36" i="13"/>
  <c r="AZ36" i="13"/>
  <c r="BA36" i="13"/>
  <c r="BB36" i="13"/>
  <c r="BC36" i="13"/>
  <c r="BD36" i="13"/>
  <c r="BF36" i="13"/>
  <c r="BG36" i="13"/>
  <c r="BH36" i="13"/>
  <c r="BI36" i="13"/>
  <c r="BJ36" i="13"/>
  <c r="BK36" i="13"/>
  <c r="BL36" i="13"/>
  <c r="BM36" i="13"/>
  <c r="BN36" i="13"/>
  <c r="BO36" i="13"/>
  <c r="BP36" i="13"/>
  <c r="BQ36" i="13"/>
  <c r="BR36" i="13"/>
  <c r="BS36" i="13"/>
  <c r="BT36" i="13"/>
  <c r="BU36" i="13"/>
  <c r="BV36" i="13"/>
  <c r="BW36" i="13"/>
  <c r="BX36" i="13"/>
  <c r="BY36" i="13"/>
  <c r="BZ36" i="13"/>
  <c r="CA36" i="13"/>
  <c r="CB36" i="13"/>
  <c r="CC36" i="13"/>
  <c r="CE36" i="13"/>
  <c r="CF36" i="13"/>
  <c r="CG36" i="13"/>
  <c r="CH36" i="13"/>
  <c r="CI36" i="13"/>
  <c r="CJ36" i="13"/>
  <c r="CK36" i="13"/>
  <c r="CL36" i="13"/>
  <c r="CM36" i="13"/>
  <c r="CN36" i="13"/>
  <c r="CO36" i="13"/>
  <c r="CP36" i="13"/>
  <c r="CQ36" i="13"/>
  <c r="CR36" i="13"/>
  <c r="CS36" i="13"/>
  <c r="CT36" i="13"/>
  <c r="CU36" i="13"/>
  <c r="CV36" i="13"/>
  <c r="CW36" i="13"/>
  <c r="CX36" i="13"/>
  <c r="CY36" i="13"/>
  <c r="CZ36" i="13"/>
  <c r="DA36" i="13"/>
  <c r="DB36" i="13"/>
  <c r="DH36" i="13"/>
  <c r="DI36" i="13"/>
  <c r="DJ36" i="13"/>
  <c r="H37" i="13"/>
  <c r="I37" i="13"/>
  <c r="J37" i="13"/>
  <c r="K37" i="13"/>
  <c r="L37" i="13"/>
  <c r="M37" i="13"/>
  <c r="N37" i="13"/>
  <c r="O37" i="13"/>
  <c r="P37" i="13"/>
  <c r="Q37" i="13"/>
  <c r="R37" i="13"/>
  <c r="S37" i="13"/>
  <c r="T37" i="13"/>
  <c r="U37" i="13"/>
  <c r="V37" i="13"/>
  <c r="W37" i="13"/>
  <c r="X37" i="13"/>
  <c r="Y37" i="13"/>
  <c r="Z37" i="13"/>
  <c r="AA37" i="13"/>
  <c r="AB37" i="13"/>
  <c r="AC37" i="13"/>
  <c r="AD37" i="13"/>
  <c r="AE37" i="13"/>
  <c r="AG37" i="13"/>
  <c r="AH37" i="13"/>
  <c r="AI37" i="13"/>
  <c r="AJ37" i="13"/>
  <c r="AK37" i="13"/>
  <c r="AL37" i="13"/>
  <c r="AM37" i="13"/>
  <c r="AN37" i="13"/>
  <c r="AO37" i="13"/>
  <c r="AP37" i="13"/>
  <c r="AQ37" i="13"/>
  <c r="AR37" i="13"/>
  <c r="AS37" i="13"/>
  <c r="AT37" i="13"/>
  <c r="AU37" i="13"/>
  <c r="AV37" i="13"/>
  <c r="AW37" i="13"/>
  <c r="AX37" i="13"/>
  <c r="AY37" i="13"/>
  <c r="AZ37" i="13"/>
  <c r="BA37" i="13"/>
  <c r="BB37" i="13"/>
  <c r="BC37" i="13"/>
  <c r="BD37" i="13"/>
  <c r="BF37" i="13"/>
  <c r="BG37" i="13"/>
  <c r="BH37" i="13"/>
  <c r="BI37" i="13"/>
  <c r="BJ37" i="13"/>
  <c r="BK37" i="13"/>
  <c r="BL37" i="13"/>
  <c r="BM37" i="13"/>
  <c r="BN37" i="13"/>
  <c r="BO37" i="13"/>
  <c r="BP37" i="13"/>
  <c r="BQ37" i="13"/>
  <c r="BR37" i="13"/>
  <c r="BS37" i="13"/>
  <c r="BT37" i="13"/>
  <c r="BU37" i="13"/>
  <c r="BV37" i="13"/>
  <c r="BW37" i="13"/>
  <c r="BX37" i="13"/>
  <c r="BY37" i="13"/>
  <c r="BZ37" i="13"/>
  <c r="CA37" i="13"/>
  <c r="CB37" i="13"/>
  <c r="CC37" i="13"/>
  <c r="CE37" i="13"/>
  <c r="CF37" i="13"/>
  <c r="CG37" i="13"/>
  <c r="CH37" i="13"/>
  <c r="CI37" i="13"/>
  <c r="CJ37" i="13"/>
  <c r="CK37" i="13"/>
  <c r="CL37" i="13"/>
  <c r="CM37" i="13"/>
  <c r="CN37" i="13"/>
  <c r="CO37" i="13"/>
  <c r="CP37" i="13"/>
  <c r="CQ37" i="13"/>
  <c r="CR37" i="13"/>
  <c r="CS37" i="13"/>
  <c r="CT37" i="13"/>
  <c r="CU37" i="13"/>
  <c r="CV37" i="13"/>
  <c r="CW37" i="13"/>
  <c r="CX37" i="13"/>
  <c r="CY37" i="13"/>
  <c r="CZ37" i="13"/>
  <c r="DA37" i="13"/>
  <c r="DB37" i="13"/>
  <c r="DH37" i="13"/>
  <c r="DI37" i="13"/>
  <c r="DJ37" i="13"/>
  <c r="H38" i="13"/>
  <c r="I38" i="13"/>
  <c r="J38" i="13"/>
  <c r="K38" i="13"/>
  <c r="L38" i="13"/>
  <c r="M38" i="13"/>
  <c r="N38" i="13"/>
  <c r="O38" i="13"/>
  <c r="P38" i="13"/>
  <c r="Q38" i="13"/>
  <c r="R38" i="13"/>
  <c r="S38" i="13"/>
  <c r="T38" i="13"/>
  <c r="U38" i="13"/>
  <c r="V38" i="13"/>
  <c r="W38" i="13"/>
  <c r="X38" i="13"/>
  <c r="Y38" i="13"/>
  <c r="Z38" i="13"/>
  <c r="AA38" i="13"/>
  <c r="AB38" i="13"/>
  <c r="AC38" i="13"/>
  <c r="AD38" i="13"/>
  <c r="AE38" i="13"/>
  <c r="AG38" i="13"/>
  <c r="AH38" i="13"/>
  <c r="AI38" i="13"/>
  <c r="AJ38" i="13"/>
  <c r="AK38" i="13"/>
  <c r="AL38" i="13"/>
  <c r="AM38" i="13"/>
  <c r="AN38" i="13"/>
  <c r="AO38" i="13"/>
  <c r="AP38" i="13"/>
  <c r="AQ38" i="13"/>
  <c r="AR38" i="13"/>
  <c r="AS38" i="13"/>
  <c r="AT38" i="13"/>
  <c r="AU38" i="13"/>
  <c r="AV38" i="13"/>
  <c r="AW38" i="13"/>
  <c r="AX38" i="13"/>
  <c r="AY38" i="13"/>
  <c r="AZ38" i="13"/>
  <c r="BA38" i="13"/>
  <c r="BB38" i="13"/>
  <c r="BC38" i="13"/>
  <c r="BD38" i="13"/>
  <c r="BF38" i="13"/>
  <c r="BG38" i="13"/>
  <c r="BH38" i="13"/>
  <c r="BI38" i="13"/>
  <c r="BJ38" i="13"/>
  <c r="BK38" i="13"/>
  <c r="BL38" i="13"/>
  <c r="BM38" i="13"/>
  <c r="BN38" i="13"/>
  <c r="BO38" i="13"/>
  <c r="BP38" i="13"/>
  <c r="BQ38" i="13"/>
  <c r="BR38" i="13"/>
  <c r="BS38" i="13"/>
  <c r="BT38" i="13"/>
  <c r="BU38" i="13"/>
  <c r="BV38" i="13"/>
  <c r="BW38" i="13"/>
  <c r="BX38" i="13"/>
  <c r="BY38" i="13"/>
  <c r="BZ38" i="13"/>
  <c r="CA38" i="13"/>
  <c r="CB38" i="13"/>
  <c r="CC38" i="13"/>
  <c r="CE38" i="13"/>
  <c r="CF38" i="13"/>
  <c r="CG38" i="13"/>
  <c r="CH38" i="13"/>
  <c r="CI38" i="13"/>
  <c r="CJ38" i="13"/>
  <c r="CK38" i="13"/>
  <c r="CL38" i="13"/>
  <c r="CM38" i="13"/>
  <c r="CN38" i="13"/>
  <c r="CO38" i="13"/>
  <c r="CP38" i="13"/>
  <c r="CQ38" i="13"/>
  <c r="CR38" i="13"/>
  <c r="CS38" i="13"/>
  <c r="CT38" i="13"/>
  <c r="CU38" i="13"/>
  <c r="CV38" i="13"/>
  <c r="CW38" i="13"/>
  <c r="CX38" i="13"/>
  <c r="CY38" i="13"/>
  <c r="CZ38" i="13"/>
  <c r="DA38" i="13"/>
  <c r="DB38" i="13"/>
  <c r="DH38" i="13"/>
  <c r="DI38" i="13"/>
  <c r="DJ38" i="13"/>
  <c r="H39" i="13"/>
  <c r="I39" i="13"/>
  <c r="J39" i="13"/>
  <c r="K39" i="13"/>
  <c r="L39" i="13"/>
  <c r="M39" i="13"/>
  <c r="N39" i="13"/>
  <c r="O39" i="13"/>
  <c r="P39" i="13"/>
  <c r="Q39" i="13"/>
  <c r="R39" i="13"/>
  <c r="S39" i="13"/>
  <c r="T39" i="13"/>
  <c r="U39" i="13"/>
  <c r="V39" i="13"/>
  <c r="W39" i="13"/>
  <c r="X39" i="13"/>
  <c r="Y39" i="13"/>
  <c r="Z39" i="13"/>
  <c r="AA39" i="13"/>
  <c r="AB39" i="13"/>
  <c r="AC39" i="13"/>
  <c r="AD39" i="13"/>
  <c r="AE39" i="13"/>
  <c r="AG39" i="13"/>
  <c r="AH39" i="13"/>
  <c r="AI39" i="13"/>
  <c r="AJ39" i="13"/>
  <c r="AK39" i="13"/>
  <c r="AL39" i="13"/>
  <c r="AM39" i="13"/>
  <c r="AN39" i="13"/>
  <c r="AO39" i="13"/>
  <c r="AP39" i="13"/>
  <c r="AQ39" i="13"/>
  <c r="AR39" i="13"/>
  <c r="AS39" i="13"/>
  <c r="AT39" i="13"/>
  <c r="AU39" i="13"/>
  <c r="AV39" i="13"/>
  <c r="AW39" i="13"/>
  <c r="AX39" i="13"/>
  <c r="AY39" i="13"/>
  <c r="AZ39" i="13"/>
  <c r="BA39" i="13"/>
  <c r="BB39" i="13"/>
  <c r="BC39" i="13"/>
  <c r="BD39" i="13"/>
  <c r="BF39" i="13"/>
  <c r="BG39" i="13"/>
  <c r="BH39" i="13"/>
  <c r="BI39" i="13"/>
  <c r="BJ39" i="13"/>
  <c r="BK39" i="13"/>
  <c r="BL39" i="13"/>
  <c r="BM39" i="13"/>
  <c r="BN39" i="13"/>
  <c r="BO39" i="13"/>
  <c r="BP39" i="13"/>
  <c r="BQ39" i="13"/>
  <c r="BR39" i="13"/>
  <c r="BS39" i="13"/>
  <c r="BT39" i="13"/>
  <c r="BU39" i="13"/>
  <c r="BV39" i="13"/>
  <c r="BW39" i="13"/>
  <c r="BX39" i="13"/>
  <c r="BY39" i="13"/>
  <c r="BZ39" i="13"/>
  <c r="CA39" i="13"/>
  <c r="CB39" i="13"/>
  <c r="CC39" i="13"/>
  <c r="CE39" i="13"/>
  <c r="CF39" i="13"/>
  <c r="CG39" i="13"/>
  <c r="CH39" i="13"/>
  <c r="CI39" i="13"/>
  <c r="CJ39" i="13"/>
  <c r="CK39" i="13"/>
  <c r="CL39" i="13"/>
  <c r="CM39" i="13"/>
  <c r="CN39" i="13"/>
  <c r="CO39" i="13"/>
  <c r="CP39" i="13"/>
  <c r="CQ39" i="13"/>
  <c r="CR39" i="13"/>
  <c r="CS39" i="13"/>
  <c r="CT39" i="13"/>
  <c r="CU39" i="13"/>
  <c r="CV39" i="13"/>
  <c r="CW39" i="13"/>
  <c r="CX39" i="13"/>
  <c r="CY39" i="13"/>
  <c r="CZ39" i="13"/>
  <c r="DA39" i="13"/>
  <c r="DB39" i="13"/>
  <c r="DH39" i="13"/>
  <c r="DI39" i="13"/>
  <c r="DJ39" i="13"/>
  <c r="H40" i="13"/>
  <c r="I40" i="13"/>
  <c r="J40" i="13"/>
  <c r="K40" i="13"/>
  <c r="L40" i="13"/>
  <c r="M40" i="13"/>
  <c r="N40" i="13"/>
  <c r="O40" i="13"/>
  <c r="P40" i="13"/>
  <c r="Q40" i="13"/>
  <c r="R40" i="13"/>
  <c r="S40" i="13"/>
  <c r="T40" i="13"/>
  <c r="U40" i="13"/>
  <c r="V40" i="13"/>
  <c r="W40" i="13"/>
  <c r="X40" i="13"/>
  <c r="Y40" i="13"/>
  <c r="Z40" i="13"/>
  <c r="AA40" i="13"/>
  <c r="AB40" i="13"/>
  <c r="AC40" i="13"/>
  <c r="AD40" i="13"/>
  <c r="AE40" i="13"/>
  <c r="AG40" i="13"/>
  <c r="AH40" i="13"/>
  <c r="AI40" i="13"/>
  <c r="AJ40" i="13"/>
  <c r="AK40" i="13"/>
  <c r="AL40" i="13"/>
  <c r="AM40" i="13"/>
  <c r="AN40" i="13"/>
  <c r="AO40" i="13"/>
  <c r="AP40" i="13"/>
  <c r="AQ40" i="13"/>
  <c r="AR40" i="13"/>
  <c r="AS40" i="13"/>
  <c r="AT40" i="13"/>
  <c r="AU40" i="13"/>
  <c r="AV40" i="13"/>
  <c r="AW40" i="13"/>
  <c r="AX40" i="13"/>
  <c r="AY40" i="13"/>
  <c r="AZ40" i="13"/>
  <c r="BA40" i="13"/>
  <c r="BB40" i="13"/>
  <c r="BC40" i="13"/>
  <c r="BD40" i="13"/>
  <c r="BF40" i="13"/>
  <c r="BG40" i="13"/>
  <c r="BH40" i="13"/>
  <c r="BI40" i="13"/>
  <c r="BJ40" i="13"/>
  <c r="BK40" i="13"/>
  <c r="BL40" i="13"/>
  <c r="BM40" i="13"/>
  <c r="BN40" i="13"/>
  <c r="BO40" i="13"/>
  <c r="BP40" i="13"/>
  <c r="BQ40" i="13"/>
  <c r="BR40" i="13"/>
  <c r="BS40" i="13"/>
  <c r="BT40" i="13"/>
  <c r="BU40" i="13"/>
  <c r="BV40" i="13"/>
  <c r="BW40" i="13"/>
  <c r="BX40" i="13"/>
  <c r="BY40" i="13"/>
  <c r="BZ40" i="13"/>
  <c r="CA40" i="13"/>
  <c r="CB40" i="13"/>
  <c r="CC40" i="13"/>
  <c r="CE40" i="13"/>
  <c r="CF40" i="13"/>
  <c r="CG40" i="13"/>
  <c r="CH40" i="13"/>
  <c r="CI40" i="13"/>
  <c r="CJ40" i="13"/>
  <c r="CK40" i="13"/>
  <c r="CL40" i="13"/>
  <c r="CM40" i="13"/>
  <c r="CN40" i="13"/>
  <c r="CO40" i="13"/>
  <c r="CP40" i="13"/>
  <c r="CQ40" i="13"/>
  <c r="CR40" i="13"/>
  <c r="CS40" i="13"/>
  <c r="CT40" i="13"/>
  <c r="CU40" i="13"/>
  <c r="CV40" i="13"/>
  <c r="CW40" i="13"/>
  <c r="CX40" i="13"/>
  <c r="CY40" i="13"/>
  <c r="CZ40" i="13"/>
  <c r="DA40" i="13"/>
  <c r="DB40" i="13"/>
  <c r="DH40" i="13"/>
  <c r="DI40" i="13"/>
  <c r="DJ40" i="13"/>
  <c r="H41" i="13"/>
  <c r="I41" i="13"/>
  <c r="J41" i="13"/>
  <c r="K41" i="13"/>
  <c r="L41" i="13"/>
  <c r="M41" i="13"/>
  <c r="N41" i="13"/>
  <c r="O41" i="13"/>
  <c r="P41" i="13"/>
  <c r="Q41" i="13"/>
  <c r="R41" i="13"/>
  <c r="S41" i="13"/>
  <c r="T41" i="13"/>
  <c r="U41" i="13"/>
  <c r="V41" i="13"/>
  <c r="W41" i="13"/>
  <c r="X41" i="13"/>
  <c r="Y41" i="13"/>
  <c r="Z41" i="13"/>
  <c r="AA41" i="13"/>
  <c r="AB41" i="13"/>
  <c r="AC41" i="13"/>
  <c r="AD41" i="13"/>
  <c r="AE41" i="13"/>
  <c r="AG41" i="13"/>
  <c r="AH41" i="13"/>
  <c r="AI41" i="13"/>
  <c r="AJ41" i="13"/>
  <c r="AK41" i="13"/>
  <c r="AL41" i="13"/>
  <c r="AM41" i="13"/>
  <c r="AN41" i="13"/>
  <c r="AO41" i="13"/>
  <c r="AP41" i="13"/>
  <c r="AQ41" i="13"/>
  <c r="AR41" i="13"/>
  <c r="AS41" i="13"/>
  <c r="AT41" i="13"/>
  <c r="AU41" i="13"/>
  <c r="AV41" i="13"/>
  <c r="AW41" i="13"/>
  <c r="AX41" i="13"/>
  <c r="AY41" i="13"/>
  <c r="AZ41" i="13"/>
  <c r="BA41" i="13"/>
  <c r="BB41" i="13"/>
  <c r="BC41" i="13"/>
  <c r="BD41" i="13"/>
  <c r="BF41" i="13"/>
  <c r="BG41" i="13"/>
  <c r="BH41" i="13"/>
  <c r="BI41" i="13"/>
  <c r="BJ41" i="13"/>
  <c r="BK41" i="13"/>
  <c r="BL41" i="13"/>
  <c r="BM41" i="13"/>
  <c r="BN41" i="13"/>
  <c r="BO41" i="13"/>
  <c r="BP41" i="13"/>
  <c r="BQ41" i="13"/>
  <c r="BR41" i="13"/>
  <c r="BS41" i="13"/>
  <c r="BT41" i="13"/>
  <c r="BU41" i="13"/>
  <c r="BV41" i="13"/>
  <c r="BW41" i="13"/>
  <c r="BX41" i="13"/>
  <c r="BY41" i="13"/>
  <c r="BZ41" i="13"/>
  <c r="CA41" i="13"/>
  <c r="CB41" i="13"/>
  <c r="CC41" i="13"/>
  <c r="CE41" i="13"/>
  <c r="CF41" i="13"/>
  <c r="CG41" i="13"/>
  <c r="CH41" i="13"/>
  <c r="CI41" i="13"/>
  <c r="CJ41" i="13"/>
  <c r="CK41" i="13"/>
  <c r="CL41" i="13"/>
  <c r="CM41" i="13"/>
  <c r="CN41" i="13"/>
  <c r="CO41" i="13"/>
  <c r="CP41" i="13"/>
  <c r="CQ41" i="13"/>
  <c r="CR41" i="13"/>
  <c r="CS41" i="13"/>
  <c r="CT41" i="13"/>
  <c r="CU41" i="13"/>
  <c r="CV41" i="13"/>
  <c r="CW41" i="13"/>
  <c r="CX41" i="13"/>
  <c r="CY41" i="13"/>
  <c r="CZ41" i="13"/>
  <c r="DA41" i="13"/>
  <c r="DB41" i="13"/>
  <c r="DH41" i="13"/>
  <c r="DI41" i="13"/>
  <c r="DJ41" i="13"/>
  <c r="H42" i="13"/>
  <c r="I42" i="13"/>
  <c r="J42" i="13"/>
  <c r="K42" i="13"/>
  <c r="L42" i="13"/>
  <c r="M42" i="13"/>
  <c r="N42" i="13"/>
  <c r="O42" i="13"/>
  <c r="P42" i="13"/>
  <c r="Q42" i="13"/>
  <c r="R42" i="13"/>
  <c r="S42" i="13"/>
  <c r="T42" i="13"/>
  <c r="U42" i="13"/>
  <c r="V42" i="13"/>
  <c r="W42" i="13"/>
  <c r="X42" i="13"/>
  <c r="Y42" i="13"/>
  <c r="Z42" i="13"/>
  <c r="AA42" i="13"/>
  <c r="AB42" i="13"/>
  <c r="AC42" i="13"/>
  <c r="AD42" i="13"/>
  <c r="AE42" i="13"/>
  <c r="AG42" i="13"/>
  <c r="AH42" i="13"/>
  <c r="AI42" i="13"/>
  <c r="AJ42" i="13"/>
  <c r="AK42" i="13"/>
  <c r="AL42" i="13"/>
  <c r="AM42" i="13"/>
  <c r="AN42" i="13"/>
  <c r="AO42" i="13"/>
  <c r="AP42" i="13"/>
  <c r="AQ42" i="13"/>
  <c r="AR42" i="13"/>
  <c r="AS42" i="13"/>
  <c r="AT42" i="13"/>
  <c r="AU42" i="13"/>
  <c r="AV42" i="13"/>
  <c r="AW42" i="13"/>
  <c r="AX42" i="13"/>
  <c r="AY42" i="13"/>
  <c r="AZ42" i="13"/>
  <c r="BA42" i="13"/>
  <c r="BB42" i="13"/>
  <c r="BC42" i="13"/>
  <c r="BD42" i="13"/>
  <c r="BF42" i="13"/>
  <c r="BG42" i="13"/>
  <c r="BH42" i="13"/>
  <c r="BI42" i="13"/>
  <c r="BJ42" i="13"/>
  <c r="BK42" i="13"/>
  <c r="BL42" i="13"/>
  <c r="BM42" i="13"/>
  <c r="BN42" i="13"/>
  <c r="BO42" i="13"/>
  <c r="BP42" i="13"/>
  <c r="BQ42" i="13"/>
  <c r="BR42" i="13"/>
  <c r="BS42" i="13"/>
  <c r="BT42" i="13"/>
  <c r="BU42" i="13"/>
  <c r="BV42" i="13"/>
  <c r="BW42" i="13"/>
  <c r="BX42" i="13"/>
  <c r="BY42" i="13"/>
  <c r="BZ42" i="13"/>
  <c r="CA42" i="13"/>
  <c r="CB42" i="13"/>
  <c r="CC42" i="13"/>
  <c r="CE42" i="13"/>
  <c r="CF42" i="13"/>
  <c r="CG42" i="13"/>
  <c r="CH42" i="13"/>
  <c r="CI42" i="13"/>
  <c r="CJ42" i="13"/>
  <c r="CK42" i="13"/>
  <c r="CL42" i="13"/>
  <c r="CM42" i="13"/>
  <c r="CN42" i="13"/>
  <c r="CO42" i="13"/>
  <c r="CP42" i="13"/>
  <c r="CQ42" i="13"/>
  <c r="CR42" i="13"/>
  <c r="CS42" i="13"/>
  <c r="CT42" i="13"/>
  <c r="CU42" i="13"/>
  <c r="CV42" i="13"/>
  <c r="CW42" i="13"/>
  <c r="CX42" i="13"/>
  <c r="CY42" i="13"/>
  <c r="CZ42" i="13"/>
  <c r="DA42" i="13"/>
  <c r="DB42" i="13"/>
  <c r="DH42" i="13"/>
  <c r="DI42" i="13"/>
  <c r="DJ42" i="13"/>
  <c r="H43" i="13"/>
  <c r="I43" i="13"/>
  <c r="J43" i="13"/>
  <c r="K43" i="13"/>
  <c r="L43" i="13"/>
  <c r="M43" i="13"/>
  <c r="N43" i="13"/>
  <c r="O43" i="13"/>
  <c r="P43" i="13"/>
  <c r="Q43" i="13"/>
  <c r="R43" i="13"/>
  <c r="S43" i="13"/>
  <c r="T43" i="13"/>
  <c r="U43" i="13"/>
  <c r="V43" i="13"/>
  <c r="W43" i="13"/>
  <c r="X43" i="13"/>
  <c r="Y43" i="13"/>
  <c r="Z43" i="13"/>
  <c r="AA43" i="13"/>
  <c r="AB43" i="13"/>
  <c r="AC43" i="13"/>
  <c r="AD43" i="13"/>
  <c r="AE43" i="13"/>
  <c r="AG43" i="13"/>
  <c r="AH43" i="13"/>
  <c r="AI43" i="13"/>
  <c r="AJ43" i="13"/>
  <c r="AK43" i="13"/>
  <c r="AL43" i="13"/>
  <c r="AM43" i="13"/>
  <c r="AN43" i="13"/>
  <c r="AO43" i="13"/>
  <c r="AP43" i="13"/>
  <c r="AQ43" i="13"/>
  <c r="AR43" i="13"/>
  <c r="AS43" i="13"/>
  <c r="AT43" i="13"/>
  <c r="AU43" i="13"/>
  <c r="AV43" i="13"/>
  <c r="AW43" i="13"/>
  <c r="AX43" i="13"/>
  <c r="AY43" i="13"/>
  <c r="AZ43" i="13"/>
  <c r="BA43" i="13"/>
  <c r="BB43" i="13"/>
  <c r="BC43" i="13"/>
  <c r="BD43" i="13"/>
  <c r="BF43" i="13"/>
  <c r="BG43" i="13"/>
  <c r="BH43" i="13"/>
  <c r="BI43" i="13"/>
  <c r="BJ43" i="13"/>
  <c r="BK43" i="13"/>
  <c r="BL43" i="13"/>
  <c r="BM43" i="13"/>
  <c r="BN43" i="13"/>
  <c r="BO43" i="13"/>
  <c r="BP43" i="13"/>
  <c r="BQ43" i="13"/>
  <c r="BR43" i="13"/>
  <c r="BS43" i="13"/>
  <c r="BT43" i="13"/>
  <c r="BU43" i="13"/>
  <c r="BV43" i="13"/>
  <c r="BW43" i="13"/>
  <c r="BX43" i="13"/>
  <c r="BY43" i="13"/>
  <c r="BZ43" i="13"/>
  <c r="CA43" i="13"/>
  <c r="CB43" i="13"/>
  <c r="CC43" i="13"/>
  <c r="CE43" i="13"/>
  <c r="CF43" i="13"/>
  <c r="CG43" i="13"/>
  <c r="CH43" i="13"/>
  <c r="CI43" i="13"/>
  <c r="CJ43" i="13"/>
  <c r="CK43" i="13"/>
  <c r="CL43" i="13"/>
  <c r="CM43" i="13"/>
  <c r="CN43" i="13"/>
  <c r="CO43" i="13"/>
  <c r="CP43" i="13"/>
  <c r="CQ43" i="13"/>
  <c r="CR43" i="13"/>
  <c r="CS43" i="13"/>
  <c r="CT43" i="13"/>
  <c r="CU43" i="13"/>
  <c r="CV43" i="13"/>
  <c r="CW43" i="13"/>
  <c r="CX43" i="13"/>
  <c r="CY43" i="13"/>
  <c r="CZ43" i="13"/>
  <c r="DA43" i="13"/>
  <c r="DB43" i="13"/>
  <c r="DH43" i="13"/>
  <c r="DI43" i="13"/>
  <c r="DJ43" i="13"/>
  <c r="H44" i="13"/>
  <c r="I44" i="13"/>
  <c r="J44" i="13"/>
  <c r="K44" i="13"/>
  <c r="L44" i="13"/>
  <c r="M44" i="13"/>
  <c r="N44" i="13"/>
  <c r="O44" i="13"/>
  <c r="P44" i="13"/>
  <c r="Q44" i="13"/>
  <c r="R44" i="13"/>
  <c r="S44" i="13"/>
  <c r="T44" i="13"/>
  <c r="U44" i="13"/>
  <c r="V44" i="13"/>
  <c r="W44" i="13"/>
  <c r="X44" i="13"/>
  <c r="Y44" i="13"/>
  <c r="Z44" i="13"/>
  <c r="AA44" i="13"/>
  <c r="AB44" i="13"/>
  <c r="AC44" i="13"/>
  <c r="AD44" i="13"/>
  <c r="AE44" i="13"/>
  <c r="AG44" i="13"/>
  <c r="AH44" i="13"/>
  <c r="AI44" i="13"/>
  <c r="AJ44" i="13"/>
  <c r="AK44" i="13"/>
  <c r="AL44" i="13"/>
  <c r="AM44" i="13"/>
  <c r="AN44" i="13"/>
  <c r="AO44" i="13"/>
  <c r="AP44" i="13"/>
  <c r="AQ44" i="13"/>
  <c r="AR44" i="13"/>
  <c r="AS44" i="13"/>
  <c r="AT44" i="13"/>
  <c r="AU44" i="13"/>
  <c r="AV44" i="13"/>
  <c r="AW44" i="13"/>
  <c r="AX44" i="13"/>
  <c r="AY44" i="13"/>
  <c r="AZ44" i="13"/>
  <c r="BA44" i="13"/>
  <c r="BB44" i="13"/>
  <c r="BC44" i="13"/>
  <c r="BD44" i="13"/>
  <c r="BF44" i="13"/>
  <c r="BG44" i="13"/>
  <c r="BH44" i="13"/>
  <c r="BI44" i="13"/>
  <c r="BJ44" i="13"/>
  <c r="BK44" i="13"/>
  <c r="BL44" i="13"/>
  <c r="BM44" i="13"/>
  <c r="BN44" i="13"/>
  <c r="BO44" i="13"/>
  <c r="BP44" i="13"/>
  <c r="BQ44" i="13"/>
  <c r="BR44" i="13"/>
  <c r="BS44" i="13"/>
  <c r="BT44" i="13"/>
  <c r="BU44" i="13"/>
  <c r="BV44" i="13"/>
  <c r="BW44" i="13"/>
  <c r="BX44" i="13"/>
  <c r="BY44" i="13"/>
  <c r="BZ44" i="13"/>
  <c r="CA44" i="13"/>
  <c r="CB44" i="13"/>
  <c r="CC44" i="13"/>
  <c r="CE44" i="13"/>
  <c r="CF44" i="13"/>
  <c r="CG44" i="13"/>
  <c r="CH44" i="13"/>
  <c r="CI44" i="13"/>
  <c r="CJ44" i="13"/>
  <c r="CK44" i="13"/>
  <c r="CL44" i="13"/>
  <c r="CM44" i="13"/>
  <c r="CN44" i="13"/>
  <c r="CO44" i="13"/>
  <c r="CP44" i="13"/>
  <c r="CQ44" i="13"/>
  <c r="CR44" i="13"/>
  <c r="CS44" i="13"/>
  <c r="CT44" i="13"/>
  <c r="CU44" i="13"/>
  <c r="CV44" i="13"/>
  <c r="CW44" i="13"/>
  <c r="CX44" i="13"/>
  <c r="CY44" i="13"/>
  <c r="CZ44" i="13"/>
  <c r="DA44" i="13"/>
  <c r="DB44" i="13"/>
  <c r="DH44" i="13"/>
  <c r="DI44" i="13"/>
  <c r="DJ44" i="13"/>
  <c r="H45" i="13"/>
  <c r="I45" i="13"/>
  <c r="J45" i="13"/>
  <c r="K45" i="13"/>
  <c r="L45" i="13"/>
  <c r="M45" i="13"/>
  <c r="N45" i="13"/>
  <c r="O45" i="13"/>
  <c r="P45" i="13"/>
  <c r="Q45" i="13"/>
  <c r="R45" i="13"/>
  <c r="S45" i="13"/>
  <c r="T45" i="13"/>
  <c r="U45" i="13"/>
  <c r="V45" i="13"/>
  <c r="W45" i="13"/>
  <c r="X45" i="13"/>
  <c r="Y45" i="13"/>
  <c r="Z45" i="13"/>
  <c r="AA45" i="13"/>
  <c r="AB45" i="13"/>
  <c r="AC45" i="13"/>
  <c r="AD45" i="13"/>
  <c r="AE45" i="13"/>
  <c r="AG45" i="13"/>
  <c r="AH45" i="13"/>
  <c r="AI45" i="13"/>
  <c r="AJ45" i="13"/>
  <c r="AK45" i="13"/>
  <c r="AL45" i="13"/>
  <c r="AM45" i="13"/>
  <c r="AN45" i="13"/>
  <c r="AO45" i="13"/>
  <c r="AP45" i="13"/>
  <c r="AQ45" i="13"/>
  <c r="AR45" i="13"/>
  <c r="AS45" i="13"/>
  <c r="AT45" i="13"/>
  <c r="AU45" i="13"/>
  <c r="AV45" i="13"/>
  <c r="AW45" i="13"/>
  <c r="AX45" i="13"/>
  <c r="AY45" i="13"/>
  <c r="AZ45" i="13"/>
  <c r="BA45" i="13"/>
  <c r="BB45" i="13"/>
  <c r="BC45" i="13"/>
  <c r="BD45" i="13"/>
  <c r="BF45" i="13"/>
  <c r="BG45" i="13"/>
  <c r="BH45" i="13"/>
  <c r="BI45" i="13"/>
  <c r="BJ45" i="13"/>
  <c r="BK45" i="13"/>
  <c r="BL45" i="13"/>
  <c r="BM45" i="13"/>
  <c r="BN45" i="13"/>
  <c r="BO45" i="13"/>
  <c r="BP45" i="13"/>
  <c r="BQ45" i="13"/>
  <c r="BR45" i="13"/>
  <c r="BS45" i="13"/>
  <c r="BT45" i="13"/>
  <c r="BU45" i="13"/>
  <c r="BV45" i="13"/>
  <c r="BW45" i="13"/>
  <c r="BX45" i="13"/>
  <c r="BY45" i="13"/>
  <c r="BZ45" i="13"/>
  <c r="CA45" i="13"/>
  <c r="CB45" i="13"/>
  <c r="CC45" i="13"/>
  <c r="CE45" i="13"/>
  <c r="CF45" i="13"/>
  <c r="CG45" i="13"/>
  <c r="CH45" i="13"/>
  <c r="CI45" i="13"/>
  <c r="CJ45" i="13"/>
  <c r="CK45" i="13"/>
  <c r="CL45" i="13"/>
  <c r="CM45" i="13"/>
  <c r="CN45" i="13"/>
  <c r="CO45" i="13"/>
  <c r="CP45" i="13"/>
  <c r="CQ45" i="13"/>
  <c r="CR45" i="13"/>
  <c r="CS45" i="13"/>
  <c r="CT45" i="13"/>
  <c r="CU45" i="13"/>
  <c r="CV45" i="13"/>
  <c r="CW45" i="13"/>
  <c r="CX45" i="13"/>
  <c r="CY45" i="13"/>
  <c r="CZ45" i="13"/>
  <c r="DA45" i="13"/>
  <c r="DB45" i="13"/>
  <c r="DH45" i="13"/>
  <c r="DI45" i="13"/>
  <c r="DJ45" i="13"/>
  <c r="H46" i="13"/>
  <c r="I46" i="13"/>
  <c r="J46" i="13"/>
  <c r="K46" i="13"/>
  <c r="L46" i="13"/>
  <c r="M46" i="13"/>
  <c r="N46" i="13"/>
  <c r="O46" i="13"/>
  <c r="P46" i="13"/>
  <c r="Q46" i="13"/>
  <c r="R46" i="13"/>
  <c r="S46" i="13"/>
  <c r="T46" i="13"/>
  <c r="U46" i="13"/>
  <c r="V46" i="13"/>
  <c r="W46" i="13"/>
  <c r="X46" i="13"/>
  <c r="Y46" i="13"/>
  <c r="Z46" i="13"/>
  <c r="AA46" i="13"/>
  <c r="AB46" i="13"/>
  <c r="AC46" i="13"/>
  <c r="AD46" i="13"/>
  <c r="AE46" i="13"/>
  <c r="AG46" i="13"/>
  <c r="AH46" i="13"/>
  <c r="AI46" i="13"/>
  <c r="AJ46" i="13"/>
  <c r="AK46" i="13"/>
  <c r="AL46" i="13"/>
  <c r="AM46" i="13"/>
  <c r="AN46" i="13"/>
  <c r="AO46" i="13"/>
  <c r="AP46" i="13"/>
  <c r="AQ46" i="13"/>
  <c r="AR46" i="13"/>
  <c r="AS46" i="13"/>
  <c r="AT46" i="13"/>
  <c r="AU46" i="13"/>
  <c r="AV46" i="13"/>
  <c r="AW46" i="13"/>
  <c r="AX46" i="13"/>
  <c r="AY46" i="13"/>
  <c r="AZ46" i="13"/>
  <c r="BA46" i="13"/>
  <c r="BB46" i="13"/>
  <c r="BC46" i="13"/>
  <c r="BD46" i="13"/>
  <c r="BF46" i="13"/>
  <c r="BG46" i="13"/>
  <c r="BH46" i="13"/>
  <c r="BI46" i="13"/>
  <c r="BJ46" i="13"/>
  <c r="BK46" i="13"/>
  <c r="BL46" i="13"/>
  <c r="BM46" i="13"/>
  <c r="BN46" i="13"/>
  <c r="BO46" i="13"/>
  <c r="BP46" i="13"/>
  <c r="BQ46" i="13"/>
  <c r="BR46" i="13"/>
  <c r="BS46" i="13"/>
  <c r="BT46" i="13"/>
  <c r="BU46" i="13"/>
  <c r="BV46" i="13"/>
  <c r="BW46" i="13"/>
  <c r="BX46" i="13"/>
  <c r="BY46" i="13"/>
  <c r="BZ46" i="13"/>
  <c r="CA46" i="13"/>
  <c r="CB46" i="13"/>
  <c r="CC46" i="13"/>
  <c r="CE46" i="13"/>
  <c r="CF46" i="13"/>
  <c r="CG46" i="13"/>
  <c r="CH46" i="13"/>
  <c r="CI46" i="13"/>
  <c r="CJ46" i="13"/>
  <c r="CK46" i="13"/>
  <c r="CL46" i="13"/>
  <c r="CM46" i="13"/>
  <c r="CN46" i="13"/>
  <c r="CO46" i="13"/>
  <c r="CP46" i="13"/>
  <c r="CQ46" i="13"/>
  <c r="CR46" i="13"/>
  <c r="CS46" i="13"/>
  <c r="CT46" i="13"/>
  <c r="CU46" i="13"/>
  <c r="CV46" i="13"/>
  <c r="CW46" i="13"/>
  <c r="CX46" i="13"/>
  <c r="CY46" i="13"/>
  <c r="CZ46" i="13"/>
  <c r="DA46" i="13"/>
  <c r="DB46" i="13"/>
  <c r="DH46" i="13"/>
  <c r="DI46" i="13"/>
  <c r="DJ46" i="13"/>
  <c r="H47" i="13"/>
  <c r="I47" i="13"/>
  <c r="J47" i="13"/>
  <c r="K47" i="13"/>
  <c r="L47" i="13"/>
  <c r="M47" i="13"/>
  <c r="N47" i="13"/>
  <c r="O47" i="13"/>
  <c r="P47" i="13"/>
  <c r="Q47" i="13"/>
  <c r="R47" i="13"/>
  <c r="S47" i="13"/>
  <c r="T47" i="13"/>
  <c r="U47" i="13"/>
  <c r="V47" i="13"/>
  <c r="W47" i="13"/>
  <c r="X47" i="13"/>
  <c r="Y47" i="13"/>
  <c r="Z47" i="13"/>
  <c r="AA47" i="13"/>
  <c r="AB47" i="13"/>
  <c r="AC47" i="13"/>
  <c r="AD47" i="13"/>
  <c r="AE47" i="13"/>
  <c r="AG47" i="13"/>
  <c r="AH47" i="13"/>
  <c r="AI47" i="13"/>
  <c r="AJ47" i="13"/>
  <c r="AK47" i="13"/>
  <c r="AL47" i="13"/>
  <c r="AM47" i="13"/>
  <c r="AN47" i="13"/>
  <c r="AO47" i="13"/>
  <c r="AP47" i="13"/>
  <c r="AQ47" i="13"/>
  <c r="AR47" i="13"/>
  <c r="AS47" i="13"/>
  <c r="AT47" i="13"/>
  <c r="AU47" i="13"/>
  <c r="AV47" i="13"/>
  <c r="AW47" i="13"/>
  <c r="AX47" i="13"/>
  <c r="AY47" i="13"/>
  <c r="AZ47" i="13"/>
  <c r="BA47" i="13"/>
  <c r="BB47" i="13"/>
  <c r="BC47" i="13"/>
  <c r="BD47" i="13"/>
  <c r="BF47" i="13"/>
  <c r="BG47" i="13"/>
  <c r="BH47" i="13"/>
  <c r="BI47" i="13"/>
  <c r="BJ47" i="13"/>
  <c r="BK47" i="13"/>
  <c r="BL47" i="13"/>
  <c r="BM47" i="13"/>
  <c r="BN47" i="13"/>
  <c r="BO47" i="13"/>
  <c r="BP47" i="13"/>
  <c r="BQ47" i="13"/>
  <c r="BR47" i="13"/>
  <c r="BS47" i="13"/>
  <c r="BT47" i="13"/>
  <c r="BU47" i="13"/>
  <c r="BV47" i="13"/>
  <c r="BW47" i="13"/>
  <c r="BX47" i="13"/>
  <c r="BY47" i="13"/>
  <c r="BZ47" i="13"/>
  <c r="CA47" i="13"/>
  <c r="CB47" i="13"/>
  <c r="CC47" i="13"/>
  <c r="CE47" i="13"/>
  <c r="CF47" i="13"/>
  <c r="CG47" i="13"/>
  <c r="CH47" i="13"/>
  <c r="CI47" i="13"/>
  <c r="CJ47" i="13"/>
  <c r="CK47" i="13"/>
  <c r="CL47" i="13"/>
  <c r="CM47" i="13"/>
  <c r="CN47" i="13"/>
  <c r="CO47" i="13"/>
  <c r="CP47" i="13"/>
  <c r="CQ47" i="13"/>
  <c r="CR47" i="13"/>
  <c r="CS47" i="13"/>
  <c r="CT47" i="13"/>
  <c r="CU47" i="13"/>
  <c r="CV47" i="13"/>
  <c r="CW47" i="13"/>
  <c r="CX47" i="13"/>
  <c r="CY47" i="13"/>
  <c r="CZ47" i="13"/>
  <c r="DA47" i="13"/>
  <c r="DB47" i="13"/>
  <c r="DH47" i="13"/>
  <c r="DI47" i="13"/>
  <c r="DJ47" i="13"/>
  <c r="H48" i="13"/>
  <c r="I48" i="13"/>
  <c r="J48" i="13"/>
  <c r="K48" i="13"/>
  <c r="L48" i="13"/>
  <c r="M48" i="13"/>
  <c r="N48" i="13"/>
  <c r="O48" i="13"/>
  <c r="P48" i="13"/>
  <c r="Q48" i="13"/>
  <c r="R48" i="13"/>
  <c r="S48" i="13"/>
  <c r="T48" i="13"/>
  <c r="U48" i="13"/>
  <c r="V48" i="13"/>
  <c r="W48" i="13"/>
  <c r="X48" i="13"/>
  <c r="Y48" i="13"/>
  <c r="Z48" i="13"/>
  <c r="AA48" i="13"/>
  <c r="AB48" i="13"/>
  <c r="AC48" i="13"/>
  <c r="AD48" i="13"/>
  <c r="AE48" i="13"/>
  <c r="AG48" i="13"/>
  <c r="AH48" i="13"/>
  <c r="AI48" i="13"/>
  <c r="AJ48" i="13"/>
  <c r="AK48" i="13"/>
  <c r="AL48" i="13"/>
  <c r="AM48" i="13"/>
  <c r="AN48" i="13"/>
  <c r="AO48" i="13"/>
  <c r="AP48" i="13"/>
  <c r="AQ48" i="13"/>
  <c r="AR48" i="13"/>
  <c r="AS48" i="13"/>
  <c r="AT48" i="13"/>
  <c r="AU48" i="13"/>
  <c r="AV48" i="13"/>
  <c r="AW48" i="13"/>
  <c r="AX48" i="13"/>
  <c r="AY48" i="13"/>
  <c r="AZ48" i="13"/>
  <c r="BA48" i="13"/>
  <c r="BB48" i="13"/>
  <c r="BC48" i="13"/>
  <c r="BD48" i="13"/>
  <c r="BF48" i="13"/>
  <c r="BG48" i="13"/>
  <c r="BH48" i="13"/>
  <c r="BI48" i="13"/>
  <c r="BJ48" i="13"/>
  <c r="BK48" i="13"/>
  <c r="BL48" i="13"/>
  <c r="BM48" i="13"/>
  <c r="BN48" i="13"/>
  <c r="BO48" i="13"/>
  <c r="BP48" i="13"/>
  <c r="BQ48" i="13"/>
  <c r="BR48" i="13"/>
  <c r="BS48" i="13"/>
  <c r="BT48" i="13"/>
  <c r="BU48" i="13"/>
  <c r="BV48" i="13"/>
  <c r="BW48" i="13"/>
  <c r="BX48" i="13"/>
  <c r="BY48" i="13"/>
  <c r="BZ48" i="13"/>
  <c r="CA48" i="13"/>
  <c r="CB48" i="13"/>
  <c r="CC48" i="13"/>
  <c r="CE48" i="13"/>
  <c r="CF48" i="13"/>
  <c r="CG48" i="13"/>
  <c r="CH48" i="13"/>
  <c r="CI48" i="13"/>
  <c r="CJ48" i="13"/>
  <c r="CK48" i="13"/>
  <c r="CL48" i="13"/>
  <c r="CM48" i="13"/>
  <c r="CN48" i="13"/>
  <c r="CO48" i="13"/>
  <c r="CP48" i="13"/>
  <c r="CQ48" i="13"/>
  <c r="CR48" i="13"/>
  <c r="CS48" i="13"/>
  <c r="CT48" i="13"/>
  <c r="CU48" i="13"/>
  <c r="CV48" i="13"/>
  <c r="CW48" i="13"/>
  <c r="CX48" i="13"/>
  <c r="CY48" i="13"/>
  <c r="CZ48" i="13"/>
  <c r="DA48" i="13"/>
  <c r="DB48" i="13"/>
  <c r="DH48" i="13"/>
  <c r="DI48" i="13"/>
  <c r="DJ48" i="13"/>
  <c r="H49" i="13"/>
  <c r="I49" i="13"/>
  <c r="J49" i="13"/>
  <c r="K49" i="13"/>
  <c r="L49" i="13"/>
  <c r="M49" i="13"/>
  <c r="N49" i="13"/>
  <c r="O49" i="13"/>
  <c r="P49" i="13"/>
  <c r="Q49" i="13"/>
  <c r="R49" i="13"/>
  <c r="S49" i="13"/>
  <c r="T49" i="13"/>
  <c r="U49" i="13"/>
  <c r="V49" i="13"/>
  <c r="W49" i="13"/>
  <c r="X49" i="13"/>
  <c r="Y49" i="13"/>
  <c r="Z49" i="13"/>
  <c r="AA49" i="13"/>
  <c r="AB49" i="13"/>
  <c r="AC49" i="13"/>
  <c r="AD49" i="13"/>
  <c r="AE49" i="13"/>
  <c r="AG49" i="13"/>
  <c r="AH49" i="13"/>
  <c r="AI49" i="13"/>
  <c r="AJ49" i="13"/>
  <c r="AK49" i="13"/>
  <c r="AL49" i="13"/>
  <c r="AM49" i="13"/>
  <c r="AN49" i="13"/>
  <c r="AO49" i="13"/>
  <c r="AP49" i="13"/>
  <c r="AQ49" i="13"/>
  <c r="AR49" i="13"/>
  <c r="AS49" i="13"/>
  <c r="AT49" i="13"/>
  <c r="AU49" i="13"/>
  <c r="AV49" i="13"/>
  <c r="AW49" i="13"/>
  <c r="AX49" i="13"/>
  <c r="AY49" i="13"/>
  <c r="AZ49" i="13"/>
  <c r="BA49" i="13"/>
  <c r="BB49" i="13"/>
  <c r="BC49" i="13"/>
  <c r="BD49" i="13"/>
  <c r="BF49" i="13"/>
  <c r="BG49" i="13"/>
  <c r="BH49" i="13"/>
  <c r="BI49" i="13"/>
  <c r="BJ49" i="13"/>
  <c r="BK49" i="13"/>
  <c r="BL49" i="13"/>
  <c r="BM49" i="13"/>
  <c r="BN49" i="13"/>
  <c r="BO49" i="13"/>
  <c r="BP49" i="13"/>
  <c r="BQ49" i="13"/>
  <c r="BR49" i="13"/>
  <c r="BS49" i="13"/>
  <c r="BT49" i="13"/>
  <c r="BU49" i="13"/>
  <c r="BV49" i="13"/>
  <c r="BW49" i="13"/>
  <c r="BX49" i="13"/>
  <c r="BY49" i="13"/>
  <c r="BZ49" i="13"/>
  <c r="CA49" i="13"/>
  <c r="CB49" i="13"/>
  <c r="CC49" i="13"/>
  <c r="CE49" i="13"/>
  <c r="CF49" i="13"/>
  <c r="CG49" i="13"/>
  <c r="CH49" i="13"/>
  <c r="CI49" i="13"/>
  <c r="CJ49" i="13"/>
  <c r="CK49" i="13"/>
  <c r="CL49" i="13"/>
  <c r="CM49" i="13"/>
  <c r="CN49" i="13"/>
  <c r="CO49" i="13"/>
  <c r="CP49" i="13"/>
  <c r="CQ49" i="13"/>
  <c r="CR49" i="13"/>
  <c r="CS49" i="13"/>
  <c r="CT49" i="13"/>
  <c r="CU49" i="13"/>
  <c r="CV49" i="13"/>
  <c r="CW49" i="13"/>
  <c r="CX49" i="13"/>
  <c r="CY49" i="13"/>
  <c r="CZ49" i="13"/>
  <c r="DA49" i="13"/>
  <c r="DB49" i="13"/>
  <c r="DH49" i="13"/>
  <c r="DI49" i="13"/>
  <c r="DJ49" i="13"/>
  <c r="H50" i="13"/>
  <c r="I50" i="13"/>
  <c r="J50" i="13"/>
  <c r="K50" i="13"/>
  <c r="L50" i="13"/>
  <c r="M50" i="13"/>
  <c r="N50" i="13"/>
  <c r="O50" i="13"/>
  <c r="P50" i="13"/>
  <c r="Q50" i="13"/>
  <c r="R50" i="13"/>
  <c r="S50" i="13"/>
  <c r="T50" i="13"/>
  <c r="U50" i="13"/>
  <c r="V50" i="13"/>
  <c r="W50" i="13"/>
  <c r="X50" i="13"/>
  <c r="Y50" i="13"/>
  <c r="Z50" i="13"/>
  <c r="AA50" i="13"/>
  <c r="AB50" i="13"/>
  <c r="AC50" i="13"/>
  <c r="AD50" i="13"/>
  <c r="AE50" i="13"/>
  <c r="AG50" i="13"/>
  <c r="AH50" i="13"/>
  <c r="AI50" i="13"/>
  <c r="AJ50" i="13"/>
  <c r="AK50" i="13"/>
  <c r="AL50" i="13"/>
  <c r="AM50" i="13"/>
  <c r="AN50" i="13"/>
  <c r="AO50" i="13"/>
  <c r="AP50" i="13"/>
  <c r="AQ50" i="13"/>
  <c r="AR50" i="13"/>
  <c r="AS50" i="13"/>
  <c r="AT50" i="13"/>
  <c r="AU50" i="13"/>
  <c r="AV50" i="13"/>
  <c r="AW50" i="13"/>
  <c r="AX50" i="13"/>
  <c r="AY50" i="13"/>
  <c r="AZ50" i="13"/>
  <c r="BA50" i="13"/>
  <c r="BB50" i="13"/>
  <c r="BC50" i="13"/>
  <c r="BD50" i="13"/>
  <c r="BF50" i="13"/>
  <c r="BG50" i="13"/>
  <c r="BH50" i="13"/>
  <c r="BI50" i="13"/>
  <c r="BJ50" i="13"/>
  <c r="BK50" i="13"/>
  <c r="BL50" i="13"/>
  <c r="BM50" i="13"/>
  <c r="BN50" i="13"/>
  <c r="BO50" i="13"/>
  <c r="BP50" i="13"/>
  <c r="BQ50" i="13"/>
  <c r="BR50" i="13"/>
  <c r="BS50" i="13"/>
  <c r="BT50" i="13"/>
  <c r="BU50" i="13"/>
  <c r="BV50" i="13"/>
  <c r="BW50" i="13"/>
  <c r="BX50" i="13"/>
  <c r="BY50" i="13"/>
  <c r="BZ50" i="13"/>
  <c r="CA50" i="13"/>
  <c r="CB50" i="13"/>
  <c r="CC50" i="13"/>
  <c r="CE50" i="13"/>
  <c r="CF50" i="13"/>
  <c r="CG50" i="13"/>
  <c r="CH50" i="13"/>
  <c r="CI50" i="13"/>
  <c r="CJ50" i="13"/>
  <c r="CK50" i="13"/>
  <c r="CL50" i="13"/>
  <c r="CM50" i="13"/>
  <c r="CN50" i="13"/>
  <c r="CO50" i="13"/>
  <c r="CP50" i="13"/>
  <c r="CQ50" i="13"/>
  <c r="CR50" i="13"/>
  <c r="CS50" i="13"/>
  <c r="CT50" i="13"/>
  <c r="CU50" i="13"/>
  <c r="CV50" i="13"/>
  <c r="CW50" i="13"/>
  <c r="CX50" i="13"/>
  <c r="CY50" i="13"/>
  <c r="CZ50" i="13"/>
  <c r="DA50" i="13"/>
  <c r="DB50" i="13"/>
  <c r="DH50" i="13"/>
  <c r="DI50" i="13"/>
  <c r="DJ50" i="13"/>
  <c r="H51" i="13"/>
  <c r="I51" i="13"/>
  <c r="J51" i="13"/>
  <c r="K51" i="13"/>
  <c r="L51" i="13"/>
  <c r="M51" i="13"/>
  <c r="N51" i="13"/>
  <c r="O51" i="13"/>
  <c r="P51" i="13"/>
  <c r="Q51" i="13"/>
  <c r="R51" i="13"/>
  <c r="S51" i="13"/>
  <c r="T51" i="13"/>
  <c r="U51" i="13"/>
  <c r="V51" i="13"/>
  <c r="W51" i="13"/>
  <c r="X51" i="13"/>
  <c r="Y51" i="13"/>
  <c r="Z51" i="13"/>
  <c r="AA51" i="13"/>
  <c r="AB51" i="13"/>
  <c r="AC51" i="13"/>
  <c r="AD51" i="13"/>
  <c r="AE51" i="13"/>
  <c r="AG51" i="13"/>
  <c r="AH51" i="13"/>
  <c r="AI51" i="13"/>
  <c r="AJ51" i="13"/>
  <c r="AK51" i="13"/>
  <c r="AL51" i="13"/>
  <c r="AM51" i="13"/>
  <c r="AN51" i="13"/>
  <c r="AO51" i="13"/>
  <c r="AP51" i="13"/>
  <c r="AQ51" i="13"/>
  <c r="AR51" i="13"/>
  <c r="AS51" i="13"/>
  <c r="AT51" i="13"/>
  <c r="AU51" i="13"/>
  <c r="AV51" i="13"/>
  <c r="AW51" i="13"/>
  <c r="AX51" i="13"/>
  <c r="AY51" i="13"/>
  <c r="AZ51" i="13"/>
  <c r="BA51" i="13"/>
  <c r="BB51" i="13"/>
  <c r="BC51" i="13"/>
  <c r="BD51" i="13"/>
  <c r="BF51" i="13"/>
  <c r="BG51" i="13"/>
  <c r="BH51" i="13"/>
  <c r="BI51" i="13"/>
  <c r="BJ51" i="13"/>
  <c r="BK51" i="13"/>
  <c r="BL51" i="13"/>
  <c r="BM51" i="13"/>
  <c r="BN51" i="13"/>
  <c r="BO51" i="13"/>
  <c r="BP51" i="13"/>
  <c r="BQ51" i="13"/>
  <c r="BR51" i="13"/>
  <c r="BS51" i="13"/>
  <c r="BT51" i="13"/>
  <c r="BU51" i="13"/>
  <c r="BV51" i="13"/>
  <c r="BW51" i="13"/>
  <c r="BX51" i="13"/>
  <c r="BY51" i="13"/>
  <c r="BZ51" i="13"/>
  <c r="CA51" i="13"/>
  <c r="CB51" i="13"/>
  <c r="CC51" i="13"/>
  <c r="CE51" i="13"/>
  <c r="CF51" i="13"/>
  <c r="CG51" i="13"/>
  <c r="CH51" i="13"/>
  <c r="CI51" i="13"/>
  <c r="CJ51" i="13"/>
  <c r="CK51" i="13"/>
  <c r="CL51" i="13"/>
  <c r="CM51" i="13"/>
  <c r="CN51" i="13"/>
  <c r="CO51" i="13"/>
  <c r="CP51" i="13"/>
  <c r="CQ51" i="13"/>
  <c r="CR51" i="13"/>
  <c r="CS51" i="13"/>
  <c r="CT51" i="13"/>
  <c r="CU51" i="13"/>
  <c r="CV51" i="13"/>
  <c r="CW51" i="13"/>
  <c r="CX51" i="13"/>
  <c r="CY51" i="13"/>
  <c r="CZ51" i="13"/>
  <c r="DA51" i="13"/>
  <c r="DB51" i="13"/>
  <c r="DH51" i="13"/>
  <c r="DI51" i="13"/>
  <c r="DJ51" i="13"/>
  <c r="H52" i="13"/>
  <c r="I52" i="13"/>
  <c r="J52" i="13"/>
  <c r="K52" i="13"/>
  <c r="L52" i="13"/>
  <c r="M52" i="13"/>
  <c r="N52" i="13"/>
  <c r="O52" i="13"/>
  <c r="P52" i="13"/>
  <c r="Q52" i="13"/>
  <c r="R52" i="13"/>
  <c r="S52" i="13"/>
  <c r="T52" i="13"/>
  <c r="U52" i="13"/>
  <c r="V52" i="13"/>
  <c r="W52" i="13"/>
  <c r="X52" i="13"/>
  <c r="Y52" i="13"/>
  <c r="Z52" i="13"/>
  <c r="AA52" i="13"/>
  <c r="AB52" i="13"/>
  <c r="AC52" i="13"/>
  <c r="AD52" i="13"/>
  <c r="AE52" i="13"/>
  <c r="AG52" i="13"/>
  <c r="AH52" i="13"/>
  <c r="AI52" i="13"/>
  <c r="AJ52" i="13"/>
  <c r="AK52" i="13"/>
  <c r="AL52" i="13"/>
  <c r="AM52" i="13"/>
  <c r="AN52" i="13"/>
  <c r="AO52" i="13"/>
  <c r="AP52" i="13"/>
  <c r="AQ52" i="13"/>
  <c r="AR52" i="13"/>
  <c r="AS52" i="13"/>
  <c r="AT52" i="13"/>
  <c r="AU52" i="13"/>
  <c r="AV52" i="13"/>
  <c r="AW52" i="13"/>
  <c r="AX52" i="13"/>
  <c r="AY52" i="13"/>
  <c r="AZ52" i="13"/>
  <c r="BA52" i="13"/>
  <c r="BB52" i="13"/>
  <c r="BC52" i="13"/>
  <c r="BD52" i="13"/>
  <c r="BF52" i="13"/>
  <c r="BG52" i="13"/>
  <c r="BH52" i="13"/>
  <c r="BI52" i="13"/>
  <c r="BJ52" i="13"/>
  <c r="BK52" i="13"/>
  <c r="BL52" i="13"/>
  <c r="BM52" i="13"/>
  <c r="BN52" i="13"/>
  <c r="BO52" i="13"/>
  <c r="BP52" i="13"/>
  <c r="BQ52" i="13"/>
  <c r="BR52" i="13"/>
  <c r="BS52" i="13"/>
  <c r="BT52" i="13"/>
  <c r="BU52" i="13"/>
  <c r="BV52" i="13"/>
  <c r="BW52" i="13"/>
  <c r="BX52" i="13"/>
  <c r="BY52" i="13"/>
  <c r="BZ52" i="13"/>
  <c r="CA52" i="13"/>
  <c r="CB52" i="13"/>
  <c r="CC52" i="13"/>
  <c r="CE52" i="13"/>
  <c r="CF52" i="13"/>
  <c r="CG52" i="13"/>
  <c r="CH52" i="13"/>
  <c r="CI52" i="13"/>
  <c r="CJ52" i="13"/>
  <c r="CK52" i="13"/>
  <c r="CL52" i="13"/>
  <c r="CM52" i="13"/>
  <c r="CN52" i="13"/>
  <c r="CO52" i="13"/>
  <c r="CP52" i="13"/>
  <c r="CQ52" i="13"/>
  <c r="CR52" i="13"/>
  <c r="CS52" i="13"/>
  <c r="CT52" i="13"/>
  <c r="CU52" i="13"/>
  <c r="CV52" i="13"/>
  <c r="CW52" i="13"/>
  <c r="CX52" i="13"/>
  <c r="CY52" i="13"/>
  <c r="CZ52" i="13"/>
  <c r="DA52" i="13"/>
  <c r="DB52" i="13"/>
  <c r="DH52" i="13"/>
  <c r="DI52" i="13"/>
  <c r="DJ52" i="13"/>
  <c r="H53" i="13"/>
  <c r="I53" i="13"/>
  <c r="J53" i="13"/>
  <c r="K53" i="13"/>
  <c r="L53" i="13"/>
  <c r="M53" i="13"/>
  <c r="N53" i="13"/>
  <c r="O53" i="13"/>
  <c r="P53" i="13"/>
  <c r="Q53" i="13"/>
  <c r="R53" i="13"/>
  <c r="S53" i="13"/>
  <c r="T53" i="13"/>
  <c r="U53" i="13"/>
  <c r="V53" i="13"/>
  <c r="W53" i="13"/>
  <c r="X53" i="13"/>
  <c r="Y53" i="13"/>
  <c r="Z53" i="13"/>
  <c r="AA53" i="13"/>
  <c r="AB53" i="13"/>
  <c r="AC53" i="13"/>
  <c r="AD53" i="13"/>
  <c r="AE53" i="13"/>
  <c r="AG53" i="13"/>
  <c r="AH53" i="13"/>
  <c r="AI53" i="13"/>
  <c r="AJ53" i="13"/>
  <c r="AK53" i="13"/>
  <c r="AL53" i="13"/>
  <c r="AM53" i="13"/>
  <c r="AN53" i="13"/>
  <c r="AO53" i="13"/>
  <c r="AP53" i="13"/>
  <c r="AQ53" i="13"/>
  <c r="AR53" i="13"/>
  <c r="AS53" i="13"/>
  <c r="AT53" i="13"/>
  <c r="AU53" i="13"/>
  <c r="AV53" i="13"/>
  <c r="AW53" i="13"/>
  <c r="AX53" i="13"/>
  <c r="AY53" i="13"/>
  <c r="AZ53" i="13"/>
  <c r="BA53" i="13"/>
  <c r="BB53" i="13"/>
  <c r="BC53" i="13"/>
  <c r="BD53" i="13"/>
  <c r="BF53" i="13"/>
  <c r="BG53" i="13"/>
  <c r="BH53" i="13"/>
  <c r="BI53" i="13"/>
  <c r="BJ53" i="13"/>
  <c r="BK53" i="13"/>
  <c r="BL53" i="13"/>
  <c r="BM53" i="13"/>
  <c r="BN53" i="13"/>
  <c r="BO53" i="13"/>
  <c r="BP53" i="13"/>
  <c r="BQ53" i="13"/>
  <c r="BR53" i="13"/>
  <c r="BS53" i="13"/>
  <c r="BT53" i="13"/>
  <c r="BU53" i="13"/>
  <c r="BV53" i="13"/>
  <c r="BW53" i="13"/>
  <c r="BX53" i="13"/>
  <c r="BY53" i="13"/>
  <c r="BZ53" i="13"/>
  <c r="CA53" i="13"/>
  <c r="CB53" i="13"/>
  <c r="CC53" i="13"/>
  <c r="CE53" i="13"/>
  <c r="CF53" i="13"/>
  <c r="CG53" i="13"/>
  <c r="CH53" i="13"/>
  <c r="CI53" i="13"/>
  <c r="CJ53" i="13"/>
  <c r="CK53" i="13"/>
  <c r="CL53" i="13"/>
  <c r="CM53" i="13"/>
  <c r="CN53" i="13"/>
  <c r="CO53" i="13"/>
  <c r="CP53" i="13"/>
  <c r="CQ53" i="13"/>
  <c r="CR53" i="13"/>
  <c r="CS53" i="13"/>
  <c r="CT53" i="13"/>
  <c r="CU53" i="13"/>
  <c r="CV53" i="13"/>
  <c r="CW53" i="13"/>
  <c r="CX53" i="13"/>
  <c r="CY53" i="13"/>
  <c r="CZ53" i="13"/>
  <c r="DA53" i="13"/>
  <c r="DB53" i="13"/>
  <c r="DH53" i="13"/>
  <c r="DI53" i="13"/>
  <c r="DJ53" i="13"/>
  <c r="H54" i="13"/>
  <c r="I54" i="13"/>
  <c r="J54" i="13"/>
  <c r="K54" i="13"/>
  <c r="L54" i="13"/>
  <c r="M54" i="13"/>
  <c r="N54" i="13"/>
  <c r="O54" i="13"/>
  <c r="P54" i="13"/>
  <c r="Q54" i="13"/>
  <c r="R54" i="13"/>
  <c r="S54" i="13"/>
  <c r="T54" i="13"/>
  <c r="U54" i="13"/>
  <c r="V54" i="13"/>
  <c r="W54" i="13"/>
  <c r="X54" i="13"/>
  <c r="Y54" i="13"/>
  <c r="Z54" i="13"/>
  <c r="AA54" i="13"/>
  <c r="AB54" i="13"/>
  <c r="AC54" i="13"/>
  <c r="AD54" i="13"/>
  <c r="AE54" i="13"/>
  <c r="AG54" i="13"/>
  <c r="AH54" i="13"/>
  <c r="AI54" i="13"/>
  <c r="AJ54" i="13"/>
  <c r="AK54" i="13"/>
  <c r="AL54" i="13"/>
  <c r="AM54" i="13"/>
  <c r="AN54" i="13"/>
  <c r="AO54" i="13"/>
  <c r="AP54" i="13"/>
  <c r="AQ54" i="13"/>
  <c r="AR54" i="13"/>
  <c r="AS54" i="13"/>
  <c r="AT54" i="13"/>
  <c r="AU54" i="13"/>
  <c r="AV54" i="13"/>
  <c r="AW54" i="13"/>
  <c r="AX54" i="13"/>
  <c r="AY54" i="13"/>
  <c r="AZ54" i="13"/>
  <c r="BA54" i="13"/>
  <c r="BB54" i="13"/>
  <c r="BC54" i="13"/>
  <c r="BD54" i="13"/>
  <c r="BF54" i="13"/>
  <c r="BG54" i="13"/>
  <c r="BH54" i="13"/>
  <c r="BI54" i="13"/>
  <c r="BJ54" i="13"/>
  <c r="BK54" i="13"/>
  <c r="BL54" i="13"/>
  <c r="BM54" i="13"/>
  <c r="BN54" i="13"/>
  <c r="BO54" i="13"/>
  <c r="BP54" i="13"/>
  <c r="BQ54" i="13"/>
  <c r="BR54" i="13"/>
  <c r="BS54" i="13"/>
  <c r="BT54" i="13"/>
  <c r="BU54" i="13"/>
  <c r="BV54" i="13"/>
  <c r="BW54" i="13"/>
  <c r="BX54" i="13"/>
  <c r="BY54" i="13"/>
  <c r="BZ54" i="13"/>
  <c r="CA54" i="13"/>
  <c r="CB54" i="13"/>
  <c r="CC54" i="13"/>
  <c r="CE54" i="13"/>
  <c r="CF54" i="13"/>
  <c r="CG54" i="13"/>
  <c r="CH54" i="13"/>
  <c r="CI54" i="13"/>
  <c r="CJ54" i="13"/>
  <c r="CK54" i="13"/>
  <c r="CL54" i="13"/>
  <c r="CM54" i="13"/>
  <c r="CN54" i="13"/>
  <c r="CO54" i="13"/>
  <c r="CP54" i="13"/>
  <c r="CQ54" i="13"/>
  <c r="CR54" i="13"/>
  <c r="CS54" i="13"/>
  <c r="CT54" i="13"/>
  <c r="CU54" i="13"/>
  <c r="CV54" i="13"/>
  <c r="CW54" i="13"/>
  <c r="CX54" i="13"/>
  <c r="CY54" i="13"/>
  <c r="CZ54" i="13"/>
  <c r="DA54" i="13"/>
  <c r="DB54" i="13"/>
  <c r="DH54" i="13"/>
  <c r="DI54" i="13"/>
  <c r="DJ54" i="13"/>
  <c r="H55" i="13"/>
  <c r="I55" i="13"/>
  <c r="J55" i="13"/>
  <c r="K55" i="13"/>
  <c r="L55" i="13"/>
  <c r="M55" i="13"/>
  <c r="N55" i="13"/>
  <c r="O55" i="13"/>
  <c r="P55" i="13"/>
  <c r="Q55" i="13"/>
  <c r="R55" i="13"/>
  <c r="S55" i="13"/>
  <c r="T55" i="13"/>
  <c r="U55" i="13"/>
  <c r="V55" i="13"/>
  <c r="W55" i="13"/>
  <c r="X55" i="13"/>
  <c r="Y55" i="13"/>
  <c r="Z55" i="13"/>
  <c r="AA55" i="13"/>
  <c r="AB55" i="13"/>
  <c r="AC55" i="13"/>
  <c r="AD55" i="13"/>
  <c r="AE55" i="13"/>
  <c r="AG55" i="13"/>
  <c r="AH55" i="13"/>
  <c r="AI55" i="13"/>
  <c r="AJ55" i="13"/>
  <c r="AK55" i="13"/>
  <c r="AL55" i="13"/>
  <c r="AM55" i="13"/>
  <c r="AN55" i="13"/>
  <c r="AO55" i="13"/>
  <c r="AP55" i="13"/>
  <c r="AQ55" i="13"/>
  <c r="AR55" i="13"/>
  <c r="AS55" i="13"/>
  <c r="AT55" i="13"/>
  <c r="AU55" i="13"/>
  <c r="AV55" i="13"/>
  <c r="AW55" i="13"/>
  <c r="AX55" i="13"/>
  <c r="AY55" i="13"/>
  <c r="AZ55" i="13"/>
  <c r="BA55" i="13"/>
  <c r="BB55" i="13"/>
  <c r="BC55" i="13"/>
  <c r="BD55" i="13"/>
  <c r="BF55" i="13"/>
  <c r="BG55" i="13"/>
  <c r="BH55" i="13"/>
  <c r="BI55" i="13"/>
  <c r="BJ55" i="13"/>
  <c r="BK55" i="13"/>
  <c r="BL55" i="13"/>
  <c r="BM55" i="13"/>
  <c r="BN55" i="13"/>
  <c r="BO55" i="13"/>
  <c r="BP55" i="13"/>
  <c r="BQ55" i="13"/>
  <c r="BR55" i="13"/>
  <c r="BS55" i="13"/>
  <c r="BT55" i="13"/>
  <c r="BU55" i="13"/>
  <c r="BV55" i="13"/>
  <c r="BW55" i="13"/>
  <c r="BX55" i="13"/>
  <c r="BY55" i="13"/>
  <c r="BZ55" i="13"/>
  <c r="CA55" i="13"/>
  <c r="CB55" i="13"/>
  <c r="CC55" i="13"/>
  <c r="CE55" i="13"/>
  <c r="CF55" i="13"/>
  <c r="CG55" i="13"/>
  <c r="CH55" i="13"/>
  <c r="CI55" i="13"/>
  <c r="CJ55" i="13"/>
  <c r="CK55" i="13"/>
  <c r="CL55" i="13"/>
  <c r="CM55" i="13"/>
  <c r="CN55" i="13"/>
  <c r="CO55" i="13"/>
  <c r="CP55" i="13"/>
  <c r="CQ55" i="13"/>
  <c r="CR55" i="13"/>
  <c r="CS55" i="13"/>
  <c r="CT55" i="13"/>
  <c r="CU55" i="13"/>
  <c r="CV55" i="13"/>
  <c r="CW55" i="13"/>
  <c r="CX55" i="13"/>
  <c r="CY55" i="13"/>
  <c r="CZ55" i="13"/>
  <c r="DA55" i="13"/>
  <c r="DB55" i="13"/>
  <c r="DH55" i="13"/>
  <c r="DI55" i="13"/>
  <c r="DJ55" i="13"/>
  <c r="H56" i="13"/>
  <c r="I56" i="13"/>
  <c r="J56" i="13"/>
  <c r="K56" i="13"/>
  <c r="L56" i="13"/>
  <c r="M56" i="13"/>
  <c r="N56" i="13"/>
  <c r="O56" i="13"/>
  <c r="P56" i="13"/>
  <c r="Q56" i="13"/>
  <c r="R56" i="13"/>
  <c r="S56" i="13"/>
  <c r="T56" i="13"/>
  <c r="U56" i="13"/>
  <c r="V56" i="13"/>
  <c r="W56" i="13"/>
  <c r="X56" i="13"/>
  <c r="Y56" i="13"/>
  <c r="Z56" i="13"/>
  <c r="AA56" i="13"/>
  <c r="AB56" i="13"/>
  <c r="AC56" i="13"/>
  <c r="AD56" i="13"/>
  <c r="AE56" i="13"/>
  <c r="AG56" i="13"/>
  <c r="AH56" i="13"/>
  <c r="AI56" i="13"/>
  <c r="AJ56" i="13"/>
  <c r="AK56" i="13"/>
  <c r="AL56" i="13"/>
  <c r="AM56" i="13"/>
  <c r="AN56" i="13"/>
  <c r="AO56" i="13"/>
  <c r="AP56" i="13"/>
  <c r="AQ56" i="13"/>
  <c r="AR56" i="13"/>
  <c r="AS56" i="13"/>
  <c r="AT56" i="13"/>
  <c r="AU56" i="13"/>
  <c r="AV56" i="13"/>
  <c r="AW56" i="13"/>
  <c r="AX56" i="13"/>
  <c r="AY56" i="13"/>
  <c r="AZ56" i="13"/>
  <c r="BA56" i="13"/>
  <c r="BB56" i="13"/>
  <c r="BC56" i="13"/>
  <c r="BD56" i="13"/>
  <c r="BF56" i="13"/>
  <c r="BG56" i="13"/>
  <c r="BH56" i="13"/>
  <c r="BI56" i="13"/>
  <c r="BJ56" i="13"/>
  <c r="BK56" i="13"/>
  <c r="BL56" i="13"/>
  <c r="BM56" i="13"/>
  <c r="BN56" i="13"/>
  <c r="BO56" i="13"/>
  <c r="BP56" i="13"/>
  <c r="BQ56" i="13"/>
  <c r="BR56" i="13"/>
  <c r="BS56" i="13"/>
  <c r="BT56" i="13"/>
  <c r="BU56" i="13"/>
  <c r="BV56" i="13"/>
  <c r="BW56" i="13"/>
  <c r="BX56" i="13"/>
  <c r="BY56" i="13"/>
  <c r="BZ56" i="13"/>
  <c r="CA56" i="13"/>
  <c r="CB56" i="13"/>
  <c r="CC56" i="13"/>
  <c r="CE56" i="13"/>
  <c r="CF56" i="13"/>
  <c r="CG56" i="13"/>
  <c r="CH56" i="13"/>
  <c r="CI56" i="13"/>
  <c r="CJ56" i="13"/>
  <c r="CK56" i="13"/>
  <c r="CL56" i="13"/>
  <c r="CM56" i="13"/>
  <c r="CN56" i="13"/>
  <c r="CO56" i="13"/>
  <c r="CP56" i="13"/>
  <c r="CQ56" i="13"/>
  <c r="CR56" i="13"/>
  <c r="CS56" i="13"/>
  <c r="CT56" i="13"/>
  <c r="CU56" i="13"/>
  <c r="CV56" i="13"/>
  <c r="CW56" i="13"/>
  <c r="CX56" i="13"/>
  <c r="CY56" i="13"/>
  <c r="CZ56" i="13"/>
  <c r="DA56" i="13"/>
  <c r="DB56" i="13"/>
  <c r="DH56" i="13"/>
  <c r="DI56" i="13"/>
  <c r="DJ56" i="13"/>
  <c r="H57" i="13"/>
  <c r="I57" i="13"/>
  <c r="J57" i="13"/>
  <c r="K57" i="13"/>
  <c r="L57" i="13"/>
  <c r="M57" i="13"/>
  <c r="N57" i="13"/>
  <c r="O57" i="13"/>
  <c r="P57" i="13"/>
  <c r="Q57" i="13"/>
  <c r="R57" i="13"/>
  <c r="S57" i="13"/>
  <c r="T57" i="13"/>
  <c r="U57" i="13"/>
  <c r="V57" i="13"/>
  <c r="W57" i="13"/>
  <c r="X57" i="13"/>
  <c r="Y57" i="13"/>
  <c r="Z57" i="13"/>
  <c r="AA57" i="13"/>
  <c r="AB57" i="13"/>
  <c r="AC57" i="13"/>
  <c r="AD57" i="13"/>
  <c r="AE57" i="13"/>
  <c r="AG57" i="13"/>
  <c r="AH57" i="13"/>
  <c r="AI57" i="13"/>
  <c r="AJ57" i="13"/>
  <c r="AK57" i="13"/>
  <c r="AL57" i="13"/>
  <c r="AM57" i="13"/>
  <c r="AN57" i="13"/>
  <c r="AO57" i="13"/>
  <c r="AP57" i="13"/>
  <c r="AQ57" i="13"/>
  <c r="AR57" i="13"/>
  <c r="AS57" i="13"/>
  <c r="AT57" i="13"/>
  <c r="AU57" i="13"/>
  <c r="AV57" i="13"/>
  <c r="AW57" i="13"/>
  <c r="AX57" i="13"/>
  <c r="AY57" i="13"/>
  <c r="AZ57" i="13"/>
  <c r="BA57" i="13"/>
  <c r="BB57" i="13"/>
  <c r="BC57" i="13"/>
  <c r="BD57" i="13"/>
  <c r="BF57" i="13"/>
  <c r="BG57" i="13"/>
  <c r="BH57" i="13"/>
  <c r="BI57" i="13"/>
  <c r="BJ57" i="13"/>
  <c r="BK57" i="13"/>
  <c r="BL57" i="13"/>
  <c r="BM57" i="13"/>
  <c r="BN57" i="13"/>
  <c r="BO57" i="13"/>
  <c r="BP57" i="13"/>
  <c r="BQ57" i="13"/>
  <c r="BR57" i="13"/>
  <c r="BS57" i="13"/>
  <c r="BT57" i="13"/>
  <c r="BU57" i="13"/>
  <c r="BV57" i="13"/>
  <c r="BW57" i="13"/>
  <c r="BX57" i="13"/>
  <c r="BY57" i="13"/>
  <c r="BZ57" i="13"/>
  <c r="CA57" i="13"/>
  <c r="CB57" i="13"/>
  <c r="CC57" i="13"/>
  <c r="CE57" i="13"/>
  <c r="CF57" i="13"/>
  <c r="CG57" i="13"/>
  <c r="CH57" i="13"/>
  <c r="CI57" i="13"/>
  <c r="CJ57" i="13"/>
  <c r="CK57" i="13"/>
  <c r="CL57" i="13"/>
  <c r="CM57" i="13"/>
  <c r="CN57" i="13"/>
  <c r="CO57" i="13"/>
  <c r="CP57" i="13"/>
  <c r="CQ57" i="13"/>
  <c r="CR57" i="13"/>
  <c r="CS57" i="13"/>
  <c r="CT57" i="13"/>
  <c r="CU57" i="13"/>
  <c r="CV57" i="13"/>
  <c r="CW57" i="13"/>
  <c r="CX57" i="13"/>
  <c r="CY57" i="13"/>
  <c r="CZ57" i="13"/>
  <c r="DA57" i="13"/>
  <c r="DB57" i="13"/>
  <c r="DH57" i="13"/>
  <c r="DI57" i="13"/>
  <c r="DJ57" i="13"/>
  <c r="H58" i="13"/>
  <c r="I58" i="13"/>
  <c r="J58" i="13"/>
  <c r="K58" i="13"/>
  <c r="L58" i="13"/>
  <c r="M58" i="13"/>
  <c r="N58" i="13"/>
  <c r="O58" i="13"/>
  <c r="P58" i="13"/>
  <c r="Q58" i="13"/>
  <c r="R58" i="13"/>
  <c r="S58" i="13"/>
  <c r="T58" i="13"/>
  <c r="U58" i="13"/>
  <c r="V58" i="13"/>
  <c r="W58" i="13"/>
  <c r="X58" i="13"/>
  <c r="Y58" i="13"/>
  <c r="Z58" i="13"/>
  <c r="AA58" i="13"/>
  <c r="AB58" i="13"/>
  <c r="AC58" i="13"/>
  <c r="AD58" i="13"/>
  <c r="AE58" i="13"/>
  <c r="AG58" i="13"/>
  <c r="AH58" i="13"/>
  <c r="AI58" i="13"/>
  <c r="AJ58" i="13"/>
  <c r="AK58" i="13"/>
  <c r="AL58" i="13"/>
  <c r="AM58" i="13"/>
  <c r="AN58" i="13"/>
  <c r="AO58" i="13"/>
  <c r="AP58" i="13"/>
  <c r="AQ58" i="13"/>
  <c r="AR58" i="13"/>
  <c r="AS58" i="13"/>
  <c r="AT58" i="13"/>
  <c r="AU58" i="13"/>
  <c r="AV58" i="13"/>
  <c r="AW58" i="13"/>
  <c r="AX58" i="13"/>
  <c r="AY58" i="13"/>
  <c r="AZ58" i="13"/>
  <c r="BA58" i="13"/>
  <c r="BB58" i="13"/>
  <c r="BC58" i="13"/>
  <c r="BD58" i="13"/>
  <c r="BF58" i="13"/>
  <c r="BG58" i="13"/>
  <c r="BH58" i="13"/>
  <c r="BI58" i="13"/>
  <c r="BJ58" i="13"/>
  <c r="BK58" i="13"/>
  <c r="BL58" i="13"/>
  <c r="BM58" i="13"/>
  <c r="BN58" i="13"/>
  <c r="BO58" i="13"/>
  <c r="BP58" i="13"/>
  <c r="BQ58" i="13"/>
  <c r="BR58" i="13"/>
  <c r="BS58" i="13"/>
  <c r="BT58" i="13"/>
  <c r="BU58" i="13"/>
  <c r="BV58" i="13"/>
  <c r="BW58" i="13"/>
  <c r="BX58" i="13"/>
  <c r="BY58" i="13"/>
  <c r="BZ58" i="13"/>
  <c r="CA58" i="13"/>
  <c r="CB58" i="13"/>
  <c r="CC58" i="13"/>
  <c r="CE58" i="13"/>
  <c r="CF58" i="13"/>
  <c r="CG58" i="13"/>
  <c r="CH58" i="13"/>
  <c r="CI58" i="13"/>
  <c r="CJ58" i="13"/>
  <c r="CK58" i="13"/>
  <c r="CL58" i="13"/>
  <c r="CM58" i="13"/>
  <c r="CN58" i="13"/>
  <c r="CO58" i="13"/>
  <c r="CP58" i="13"/>
  <c r="CQ58" i="13"/>
  <c r="CR58" i="13"/>
  <c r="CS58" i="13"/>
  <c r="CT58" i="13"/>
  <c r="CU58" i="13"/>
  <c r="CV58" i="13"/>
  <c r="CW58" i="13"/>
  <c r="CX58" i="13"/>
  <c r="CY58" i="13"/>
  <c r="CZ58" i="13"/>
  <c r="DA58" i="13"/>
  <c r="DB58" i="13"/>
  <c r="DH58" i="13"/>
  <c r="DI58" i="13"/>
  <c r="DJ58" i="13"/>
  <c r="H59" i="13"/>
  <c r="I59" i="13"/>
  <c r="J59" i="13"/>
  <c r="K59" i="13"/>
  <c r="L59" i="13"/>
  <c r="M59" i="13"/>
  <c r="N59" i="13"/>
  <c r="O59" i="13"/>
  <c r="P59" i="13"/>
  <c r="Q59" i="13"/>
  <c r="R59" i="13"/>
  <c r="S59" i="13"/>
  <c r="T59" i="13"/>
  <c r="U59" i="13"/>
  <c r="V59" i="13"/>
  <c r="W59" i="13"/>
  <c r="X59" i="13"/>
  <c r="Y59" i="13"/>
  <c r="Z59" i="13"/>
  <c r="AA59" i="13"/>
  <c r="AB59" i="13"/>
  <c r="AC59" i="13"/>
  <c r="AD59" i="13"/>
  <c r="AE59" i="13"/>
  <c r="AG59" i="13"/>
  <c r="AH59" i="13"/>
  <c r="AI59" i="13"/>
  <c r="AJ59" i="13"/>
  <c r="AK59" i="13"/>
  <c r="AL59" i="13"/>
  <c r="AM59" i="13"/>
  <c r="AN59" i="13"/>
  <c r="AO59" i="13"/>
  <c r="AP59" i="13"/>
  <c r="AQ59" i="13"/>
  <c r="AR59" i="13"/>
  <c r="AS59" i="13"/>
  <c r="AT59" i="13"/>
  <c r="AU59" i="13"/>
  <c r="AV59" i="13"/>
  <c r="AW59" i="13"/>
  <c r="AX59" i="13"/>
  <c r="AY59" i="13"/>
  <c r="AZ59" i="13"/>
  <c r="BA59" i="13"/>
  <c r="BB59" i="13"/>
  <c r="BC59" i="13"/>
  <c r="BD59" i="13"/>
  <c r="BF59" i="13"/>
  <c r="BG59" i="13"/>
  <c r="BH59" i="13"/>
  <c r="BI59" i="13"/>
  <c r="BJ59" i="13"/>
  <c r="BK59" i="13"/>
  <c r="BL59" i="13"/>
  <c r="BM59" i="13"/>
  <c r="BN59" i="13"/>
  <c r="BO59" i="13"/>
  <c r="BP59" i="13"/>
  <c r="BQ59" i="13"/>
  <c r="BR59" i="13"/>
  <c r="BS59" i="13"/>
  <c r="BT59" i="13"/>
  <c r="BU59" i="13"/>
  <c r="BV59" i="13"/>
  <c r="BW59" i="13"/>
  <c r="BX59" i="13"/>
  <c r="BY59" i="13"/>
  <c r="BZ59" i="13"/>
  <c r="CA59" i="13"/>
  <c r="CB59" i="13"/>
  <c r="CC59" i="13"/>
  <c r="CE59" i="13"/>
  <c r="CF59" i="13"/>
  <c r="CG59" i="13"/>
  <c r="CH59" i="13"/>
  <c r="CI59" i="13"/>
  <c r="CJ59" i="13"/>
  <c r="CK59" i="13"/>
  <c r="CL59" i="13"/>
  <c r="CM59" i="13"/>
  <c r="CN59" i="13"/>
  <c r="CO59" i="13"/>
  <c r="CP59" i="13"/>
  <c r="CQ59" i="13"/>
  <c r="CR59" i="13"/>
  <c r="CS59" i="13"/>
  <c r="CT59" i="13"/>
  <c r="CU59" i="13"/>
  <c r="CV59" i="13"/>
  <c r="CW59" i="13"/>
  <c r="CX59" i="13"/>
  <c r="CY59" i="13"/>
  <c r="CZ59" i="13"/>
  <c r="DA59" i="13"/>
  <c r="DB59" i="13"/>
  <c r="DH59" i="13"/>
  <c r="DI59" i="13"/>
  <c r="DJ59" i="13"/>
  <c r="H60" i="13"/>
  <c r="I60" i="13"/>
  <c r="J60" i="13"/>
  <c r="K60" i="13"/>
  <c r="L60" i="13"/>
  <c r="M60" i="13"/>
  <c r="N60" i="13"/>
  <c r="O60" i="13"/>
  <c r="P60" i="13"/>
  <c r="Q60" i="13"/>
  <c r="R60" i="13"/>
  <c r="S60" i="13"/>
  <c r="T60" i="13"/>
  <c r="U60" i="13"/>
  <c r="V60" i="13"/>
  <c r="W60" i="13"/>
  <c r="X60" i="13"/>
  <c r="Y60" i="13"/>
  <c r="Z60" i="13"/>
  <c r="AA60" i="13"/>
  <c r="AB60" i="13"/>
  <c r="AC60" i="13"/>
  <c r="AD60" i="13"/>
  <c r="AE60" i="13"/>
  <c r="AG60" i="13"/>
  <c r="AH60" i="13"/>
  <c r="AI60" i="13"/>
  <c r="AJ60" i="13"/>
  <c r="AK60" i="13"/>
  <c r="AL60" i="13"/>
  <c r="AM60" i="13"/>
  <c r="AN60" i="13"/>
  <c r="AO60" i="13"/>
  <c r="AP60" i="13"/>
  <c r="AQ60" i="13"/>
  <c r="AR60" i="13"/>
  <c r="AS60" i="13"/>
  <c r="AT60" i="13"/>
  <c r="AU60" i="13"/>
  <c r="AV60" i="13"/>
  <c r="AW60" i="13"/>
  <c r="AX60" i="13"/>
  <c r="AY60" i="13"/>
  <c r="AZ60" i="13"/>
  <c r="BA60" i="13"/>
  <c r="BB60" i="13"/>
  <c r="BC60" i="13"/>
  <c r="BD60" i="13"/>
  <c r="BF60" i="13"/>
  <c r="BG60" i="13"/>
  <c r="BH60" i="13"/>
  <c r="BI60" i="13"/>
  <c r="BJ60" i="13"/>
  <c r="BK60" i="13"/>
  <c r="BL60" i="13"/>
  <c r="BM60" i="13"/>
  <c r="BN60" i="13"/>
  <c r="BO60" i="13"/>
  <c r="BP60" i="13"/>
  <c r="BQ60" i="13"/>
  <c r="BR60" i="13"/>
  <c r="BS60" i="13"/>
  <c r="BT60" i="13"/>
  <c r="BU60" i="13"/>
  <c r="BV60" i="13"/>
  <c r="BW60" i="13"/>
  <c r="BX60" i="13"/>
  <c r="BY60" i="13"/>
  <c r="BZ60" i="13"/>
  <c r="CA60" i="13"/>
  <c r="CB60" i="13"/>
  <c r="CC60" i="13"/>
  <c r="CE60" i="13"/>
  <c r="CF60" i="13"/>
  <c r="CG60" i="13"/>
  <c r="CH60" i="13"/>
  <c r="CI60" i="13"/>
  <c r="CJ60" i="13"/>
  <c r="CK60" i="13"/>
  <c r="CL60" i="13"/>
  <c r="CM60" i="13"/>
  <c r="CN60" i="13"/>
  <c r="CO60" i="13"/>
  <c r="CP60" i="13"/>
  <c r="CQ60" i="13"/>
  <c r="CR60" i="13"/>
  <c r="CS60" i="13"/>
  <c r="CT60" i="13"/>
  <c r="CU60" i="13"/>
  <c r="CV60" i="13"/>
  <c r="CW60" i="13"/>
  <c r="CX60" i="13"/>
  <c r="CY60" i="13"/>
  <c r="CZ60" i="13"/>
  <c r="DA60" i="13"/>
  <c r="DB60" i="13"/>
  <c r="DH60" i="13"/>
  <c r="DI60" i="13"/>
  <c r="DJ60" i="13"/>
  <c r="H61" i="13"/>
  <c r="I61" i="13"/>
  <c r="J61" i="13"/>
  <c r="K61" i="13"/>
  <c r="L61" i="13"/>
  <c r="M61" i="13"/>
  <c r="N61" i="13"/>
  <c r="O61" i="13"/>
  <c r="P61" i="13"/>
  <c r="Q61" i="13"/>
  <c r="R61" i="13"/>
  <c r="S61" i="13"/>
  <c r="T61" i="13"/>
  <c r="U61" i="13"/>
  <c r="V61" i="13"/>
  <c r="W61" i="13"/>
  <c r="X61" i="13"/>
  <c r="Y61" i="13"/>
  <c r="Z61" i="13"/>
  <c r="AA61" i="13"/>
  <c r="AB61" i="13"/>
  <c r="AC61" i="13"/>
  <c r="AD61" i="13"/>
  <c r="AE61" i="13"/>
  <c r="AG61" i="13"/>
  <c r="AH61" i="13"/>
  <c r="AI61" i="13"/>
  <c r="AJ61" i="13"/>
  <c r="AK61" i="13"/>
  <c r="AL61" i="13"/>
  <c r="AM61" i="13"/>
  <c r="AN61" i="13"/>
  <c r="AO61" i="13"/>
  <c r="AP61" i="13"/>
  <c r="AQ61" i="13"/>
  <c r="AR61" i="13"/>
  <c r="AS61" i="13"/>
  <c r="AT61" i="13"/>
  <c r="AU61" i="13"/>
  <c r="AV61" i="13"/>
  <c r="AW61" i="13"/>
  <c r="AX61" i="13"/>
  <c r="AY61" i="13"/>
  <c r="AZ61" i="13"/>
  <c r="BA61" i="13"/>
  <c r="BB61" i="13"/>
  <c r="BC61" i="13"/>
  <c r="BD61" i="13"/>
  <c r="BF61" i="13"/>
  <c r="BG61" i="13"/>
  <c r="BH61" i="13"/>
  <c r="BI61" i="13"/>
  <c r="BJ61" i="13"/>
  <c r="BK61" i="13"/>
  <c r="BL61" i="13"/>
  <c r="BM61" i="13"/>
  <c r="BN61" i="13"/>
  <c r="BO61" i="13"/>
  <c r="BP61" i="13"/>
  <c r="BQ61" i="13"/>
  <c r="BR61" i="13"/>
  <c r="BS61" i="13"/>
  <c r="BT61" i="13"/>
  <c r="BU61" i="13"/>
  <c r="BV61" i="13"/>
  <c r="BW61" i="13"/>
  <c r="BX61" i="13"/>
  <c r="BY61" i="13"/>
  <c r="BZ61" i="13"/>
  <c r="CA61" i="13"/>
  <c r="CB61" i="13"/>
  <c r="CC61" i="13"/>
  <c r="CE61" i="13"/>
  <c r="CF61" i="13"/>
  <c r="CG61" i="13"/>
  <c r="CH61" i="13"/>
  <c r="CI61" i="13"/>
  <c r="CJ61" i="13"/>
  <c r="CK61" i="13"/>
  <c r="CL61" i="13"/>
  <c r="CM61" i="13"/>
  <c r="CN61" i="13"/>
  <c r="CO61" i="13"/>
  <c r="CP61" i="13"/>
  <c r="CQ61" i="13"/>
  <c r="CR61" i="13"/>
  <c r="CS61" i="13"/>
  <c r="CT61" i="13"/>
  <c r="CU61" i="13"/>
  <c r="CV61" i="13"/>
  <c r="CW61" i="13"/>
  <c r="CX61" i="13"/>
  <c r="CY61" i="13"/>
  <c r="CZ61" i="13"/>
  <c r="DA61" i="13"/>
  <c r="DB61" i="13"/>
  <c r="DH61" i="13"/>
  <c r="DI61" i="13"/>
  <c r="DJ61" i="13"/>
  <c r="H62" i="13"/>
  <c r="I62" i="13"/>
  <c r="J62" i="13"/>
  <c r="K62" i="13"/>
  <c r="L62" i="13"/>
  <c r="M62" i="13"/>
  <c r="N62" i="13"/>
  <c r="O62" i="13"/>
  <c r="P62" i="13"/>
  <c r="Q62" i="13"/>
  <c r="R62" i="13"/>
  <c r="S62" i="13"/>
  <c r="T62" i="13"/>
  <c r="U62" i="13"/>
  <c r="V62" i="13"/>
  <c r="W62" i="13"/>
  <c r="X62" i="13"/>
  <c r="Y62" i="13"/>
  <c r="Z62" i="13"/>
  <c r="AA62" i="13"/>
  <c r="AB62" i="13"/>
  <c r="AC62" i="13"/>
  <c r="AD62" i="13"/>
  <c r="AE62" i="13"/>
  <c r="AG62" i="13"/>
  <c r="AH62" i="13"/>
  <c r="AI62" i="13"/>
  <c r="AJ62" i="13"/>
  <c r="AK62" i="13"/>
  <c r="AL62" i="13"/>
  <c r="AM62" i="13"/>
  <c r="AN62" i="13"/>
  <c r="AO62" i="13"/>
  <c r="AP62" i="13"/>
  <c r="AQ62" i="13"/>
  <c r="AR62" i="13"/>
  <c r="AS62" i="13"/>
  <c r="AT62" i="13"/>
  <c r="AU62" i="13"/>
  <c r="AV62" i="13"/>
  <c r="AW62" i="13"/>
  <c r="AX62" i="13"/>
  <c r="AY62" i="13"/>
  <c r="AZ62" i="13"/>
  <c r="BA62" i="13"/>
  <c r="BB62" i="13"/>
  <c r="BC62" i="13"/>
  <c r="BD62" i="13"/>
  <c r="BF62" i="13"/>
  <c r="BG62" i="13"/>
  <c r="BH62" i="13"/>
  <c r="BI62" i="13"/>
  <c r="BJ62" i="13"/>
  <c r="BK62" i="13"/>
  <c r="BL62" i="13"/>
  <c r="BM62" i="13"/>
  <c r="BN62" i="13"/>
  <c r="BO62" i="13"/>
  <c r="BP62" i="13"/>
  <c r="BQ62" i="13"/>
  <c r="BR62" i="13"/>
  <c r="BS62" i="13"/>
  <c r="BT62" i="13"/>
  <c r="BU62" i="13"/>
  <c r="BV62" i="13"/>
  <c r="BW62" i="13"/>
  <c r="BX62" i="13"/>
  <c r="BY62" i="13"/>
  <c r="BZ62" i="13"/>
  <c r="CA62" i="13"/>
  <c r="CB62" i="13"/>
  <c r="CC62" i="13"/>
  <c r="CE62" i="13"/>
  <c r="CF62" i="13"/>
  <c r="CG62" i="13"/>
  <c r="CH62" i="13"/>
  <c r="CI62" i="13"/>
  <c r="CJ62" i="13"/>
  <c r="CK62" i="13"/>
  <c r="CL62" i="13"/>
  <c r="CM62" i="13"/>
  <c r="CN62" i="13"/>
  <c r="CO62" i="13"/>
  <c r="CP62" i="13"/>
  <c r="CQ62" i="13"/>
  <c r="CR62" i="13"/>
  <c r="CS62" i="13"/>
  <c r="CT62" i="13"/>
  <c r="CU62" i="13"/>
  <c r="CV62" i="13"/>
  <c r="CW62" i="13"/>
  <c r="CX62" i="13"/>
  <c r="CY62" i="13"/>
  <c r="CZ62" i="13"/>
  <c r="DA62" i="13"/>
  <c r="DB62" i="13"/>
  <c r="DH62" i="13"/>
  <c r="DI62" i="13"/>
  <c r="DJ62" i="13"/>
  <c r="H63" i="13"/>
  <c r="I63" i="13"/>
  <c r="J63" i="13"/>
  <c r="K63" i="13"/>
  <c r="L63" i="13"/>
  <c r="M63" i="13"/>
  <c r="N63" i="13"/>
  <c r="O63" i="13"/>
  <c r="P63" i="13"/>
  <c r="Q63" i="13"/>
  <c r="R63" i="13"/>
  <c r="S63" i="13"/>
  <c r="T63" i="13"/>
  <c r="U63" i="13"/>
  <c r="V63" i="13"/>
  <c r="W63" i="13"/>
  <c r="X63" i="13"/>
  <c r="Y63" i="13"/>
  <c r="Z63" i="13"/>
  <c r="AA63" i="13"/>
  <c r="AB63" i="13"/>
  <c r="AC63" i="13"/>
  <c r="AD63" i="13"/>
  <c r="AE63" i="13"/>
  <c r="AG63" i="13"/>
  <c r="AH63" i="13"/>
  <c r="AI63" i="13"/>
  <c r="AJ63" i="13"/>
  <c r="AK63" i="13"/>
  <c r="AL63" i="13"/>
  <c r="AM63" i="13"/>
  <c r="AN63" i="13"/>
  <c r="AO63" i="13"/>
  <c r="AP63" i="13"/>
  <c r="AQ63" i="13"/>
  <c r="AR63" i="13"/>
  <c r="AS63" i="13"/>
  <c r="AT63" i="13"/>
  <c r="AU63" i="13"/>
  <c r="AV63" i="13"/>
  <c r="AW63" i="13"/>
  <c r="AX63" i="13"/>
  <c r="AY63" i="13"/>
  <c r="AZ63" i="13"/>
  <c r="BA63" i="13"/>
  <c r="BB63" i="13"/>
  <c r="BC63" i="13"/>
  <c r="BD63" i="13"/>
  <c r="BF63" i="13"/>
  <c r="BG63" i="13"/>
  <c r="BH63" i="13"/>
  <c r="BI63" i="13"/>
  <c r="BJ63" i="13"/>
  <c r="BK63" i="13"/>
  <c r="BL63" i="13"/>
  <c r="BM63" i="13"/>
  <c r="BN63" i="13"/>
  <c r="BO63" i="13"/>
  <c r="BP63" i="13"/>
  <c r="BQ63" i="13"/>
  <c r="BR63" i="13"/>
  <c r="BS63" i="13"/>
  <c r="BT63" i="13"/>
  <c r="BU63" i="13"/>
  <c r="BV63" i="13"/>
  <c r="BW63" i="13"/>
  <c r="BX63" i="13"/>
  <c r="BY63" i="13"/>
  <c r="BZ63" i="13"/>
  <c r="CA63" i="13"/>
  <c r="CB63" i="13"/>
  <c r="CC63" i="13"/>
  <c r="CE63" i="13"/>
  <c r="CF63" i="13"/>
  <c r="CG63" i="13"/>
  <c r="CH63" i="13"/>
  <c r="CI63" i="13"/>
  <c r="CJ63" i="13"/>
  <c r="CK63" i="13"/>
  <c r="CL63" i="13"/>
  <c r="CM63" i="13"/>
  <c r="CN63" i="13"/>
  <c r="CO63" i="13"/>
  <c r="CP63" i="13"/>
  <c r="CQ63" i="13"/>
  <c r="CR63" i="13"/>
  <c r="CS63" i="13"/>
  <c r="CT63" i="13"/>
  <c r="CU63" i="13"/>
  <c r="CV63" i="13"/>
  <c r="CW63" i="13"/>
  <c r="CX63" i="13"/>
  <c r="CY63" i="13"/>
  <c r="CZ63" i="13"/>
  <c r="DA63" i="13"/>
  <c r="DB63" i="13"/>
  <c r="DH63" i="13"/>
  <c r="DI63" i="13"/>
  <c r="DJ63" i="13"/>
  <c r="H64" i="13"/>
  <c r="I64" i="13"/>
  <c r="J64" i="13"/>
  <c r="K64" i="13"/>
  <c r="L64" i="13"/>
  <c r="M64" i="13"/>
  <c r="N64" i="13"/>
  <c r="O64" i="13"/>
  <c r="P64" i="13"/>
  <c r="Q64" i="13"/>
  <c r="R64" i="13"/>
  <c r="S64" i="13"/>
  <c r="T64" i="13"/>
  <c r="U64" i="13"/>
  <c r="V64" i="13"/>
  <c r="W64" i="13"/>
  <c r="X64" i="13"/>
  <c r="Y64" i="13"/>
  <c r="Z64" i="13"/>
  <c r="AA64" i="13"/>
  <c r="AB64" i="13"/>
  <c r="AC64" i="13"/>
  <c r="AD64" i="13"/>
  <c r="AE64" i="13"/>
  <c r="AG64" i="13"/>
  <c r="AH64" i="13"/>
  <c r="AI64" i="13"/>
  <c r="AJ64" i="13"/>
  <c r="AK64" i="13"/>
  <c r="AL64" i="13"/>
  <c r="AM64" i="13"/>
  <c r="AN64" i="13"/>
  <c r="AO64" i="13"/>
  <c r="AP64" i="13"/>
  <c r="AQ64" i="13"/>
  <c r="AR64" i="13"/>
  <c r="AS64" i="13"/>
  <c r="AT64" i="13"/>
  <c r="AU64" i="13"/>
  <c r="AV64" i="13"/>
  <c r="AW64" i="13"/>
  <c r="AX64" i="13"/>
  <c r="AY64" i="13"/>
  <c r="AZ64" i="13"/>
  <c r="BA64" i="13"/>
  <c r="BB64" i="13"/>
  <c r="BC64" i="13"/>
  <c r="BD64" i="13"/>
  <c r="BF64" i="13"/>
  <c r="BG64" i="13"/>
  <c r="BH64" i="13"/>
  <c r="BI64" i="13"/>
  <c r="BJ64" i="13"/>
  <c r="BK64" i="13"/>
  <c r="BL64" i="13"/>
  <c r="BM64" i="13"/>
  <c r="BN64" i="13"/>
  <c r="BO64" i="13"/>
  <c r="BP64" i="13"/>
  <c r="BQ64" i="13"/>
  <c r="BR64" i="13"/>
  <c r="BS64" i="13"/>
  <c r="BT64" i="13"/>
  <c r="BU64" i="13"/>
  <c r="BV64" i="13"/>
  <c r="BW64" i="13"/>
  <c r="BX64" i="13"/>
  <c r="BY64" i="13"/>
  <c r="BZ64" i="13"/>
  <c r="CA64" i="13"/>
  <c r="CB64" i="13"/>
  <c r="CC64" i="13"/>
  <c r="CE64" i="13"/>
  <c r="CF64" i="13"/>
  <c r="CG64" i="13"/>
  <c r="CH64" i="13"/>
  <c r="CI64" i="13"/>
  <c r="CJ64" i="13"/>
  <c r="CK64" i="13"/>
  <c r="CL64" i="13"/>
  <c r="CM64" i="13"/>
  <c r="CN64" i="13"/>
  <c r="CO64" i="13"/>
  <c r="CP64" i="13"/>
  <c r="CQ64" i="13"/>
  <c r="CR64" i="13"/>
  <c r="CS64" i="13"/>
  <c r="CT64" i="13"/>
  <c r="CU64" i="13"/>
  <c r="CV64" i="13"/>
  <c r="CW64" i="13"/>
  <c r="CX64" i="13"/>
  <c r="CY64" i="13"/>
  <c r="CZ64" i="13"/>
  <c r="DA64" i="13"/>
  <c r="DB64" i="13"/>
  <c r="DH64" i="13"/>
  <c r="DI64" i="13"/>
  <c r="DJ64" i="13"/>
  <c r="H65" i="13"/>
  <c r="I65" i="13"/>
  <c r="J65" i="13"/>
  <c r="K65" i="13"/>
  <c r="L65" i="13"/>
  <c r="M65" i="13"/>
  <c r="N65" i="13"/>
  <c r="O65" i="13"/>
  <c r="P65" i="13"/>
  <c r="Q65" i="13"/>
  <c r="R65" i="13"/>
  <c r="S65" i="13"/>
  <c r="T65" i="13"/>
  <c r="U65" i="13"/>
  <c r="V65" i="13"/>
  <c r="W65" i="13"/>
  <c r="X65" i="13"/>
  <c r="Y65" i="13"/>
  <c r="Z65" i="13"/>
  <c r="AA65" i="13"/>
  <c r="AB65" i="13"/>
  <c r="AC65" i="13"/>
  <c r="AD65" i="13"/>
  <c r="AE65" i="13"/>
  <c r="AG65" i="13"/>
  <c r="AH65" i="13"/>
  <c r="AI65" i="13"/>
  <c r="AJ65" i="13"/>
  <c r="AK65" i="13"/>
  <c r="AL65" i="13"/>
  <c r="AM65" i="13"/>
  <c r="AN65" i="13"/>
  <c r="AO65" i="13"/>
  <c r="AP65" i="13"/>
  <c r="AQ65" i="13"/>
  <c r="AR65" i="13"/>
  <c r="AS65" i="13"/>
  <c r="AT65" i="13"/>
  <c r="AU65" i="13"/>
  <c r="AV65" i="13"/>
  <c r="AW65" i="13"/>
  <c r="AX65" i="13"/>
  <c r="AY65" i="13"/>
  <c r="AZ65" i="13"/>
  <c r="BA65" i="13"/>
  <c r="BB65" i="13"/>
  <c r="BC65" i="13"/>
  <c r="BD65" i="13"/>
  <c r="BF65" i="13"/>
  <c r="BG65" i="13"/>
  <c r="BH65" i="13"/>
  <c r="BI65" i="13"/>
  <c r="BJ65" i="13"/>
  <c r="BK65" i="13"/>
  <c r="BL65" i="13"/>
  <c r="BM65" i="13"/>
  <c r="BN65" i="13"/>
  <c r="BO65" i="13"/>
  <c r="BP65" i="13"/>
  <c r="BQ65" i="13"/>
  <c r="BR65" i="13"/>
  <c r="BS65" i="13"/>
  <c r="BT65" i="13"/>
  <c r="BU65" i="13"/>
  <c r="BV65" i="13"/>
  <c r="BW65" i="13"/>
  <c r="BX65" i="13"/>
  <c r="BY65" i="13"/>
  <c r="BZ65" i="13"/>
  <c r="CA65" i="13"/>
  <c r="CB65" i="13"/>
  <c r="CC65" i="13"/>
  <c r="CE65" i="13"/>
  <c r="CF65" i="13"/>
  <c r="CG65" i="13"/>
  <c r="CH65" i="13"/>
  <c r="CI65" i="13"/>
  <c r="CJ65" i="13"/>
  <c r="CK65" i="13"/>
  <c r="CL65" i="13"/>
  <c r="CM65" i="13"/>
  <c r="CN65" i="13"/>
  <c r="CO65" i="13"/>
  <c r="CP65" i="13"/>
  <c r="CQ65" i="13"/>
  <c r="CR65" i="13"/>
  <c r="CS65" i="13"/>
  <c r="CT65" i="13"/>
  <c r="CU65" i="13"/>
  <c r="CV65" i="13"/>
  <c r="CW65" i="13"/>
  <c r="CX65" i="13"/>
  <c r="CY65" i="13"/>
  <c r="CZ65" i="13"/>
  <c r="DA65" i="13"/>
  <c r="DB65" i="13"/>
  <c r="DH65" i="13"/>
  <c r="DI65" i="13"/>
  <c r="DJ65" i="13"/>
  <c r="H66" i="13"/>
  <c r="I66" i="13"/>
  <c r="J66" i="13"/>
  <c r="K66" i="13"/>
  <c r="L66" i="13"/>
  <c r="M66" i="13"/>
  <c r="N66" i="13"/>
  <c r="O66" i="13"/>
  <c r="P66" i="13"/>
  <c r="Q66" i="13"/>
  <c r="R66" i="13"/>
  <c r="S66" i="13"/>
  <c r="T66" i="13"/>
  <c r="U66" i="13"/>
  <c r="V66" i="13"/>
  <c r="W66" i="13"/>
  <c r="X66" i="13"/>
  <c r="Y66" i="13"/>
  <c r="Z66" i="13"/>
  <c r="AA66" i="13"/>
  <c r="AB66" i="13"/>
  <c r="AC66" i="13"/>
  <c r="AD66" i="13"/>
  <c r="AE66" i="13"/>
  <c r="AG66" i="13"/>
  <c r="AH66" i="13"/>
  <c r="AI66" i="13"/>
  <c r="AJ66" i="13"/>
  <c r="AK66" i="13"/>
  <c r="AL66" i="13"/>
  <c r="AM66" i="13"/>
  <c r="AN66" i="13"/>
  <c r="AO66" i="13"/>
  <c r="AP66" i="13"/>
  <c r="AQ66" i="13"/>
  <c r="AR66" i="13"/>
  <c r="AS66" i="13"/>
  <c r="AT66" i="13"/>
  <c r="AU66" i="13"/>
  <c r="AV66" i="13"/>
  <c r="AW66" i="13"/>
  <c r="AX66" i="13"/>
  <c r="AY66" i="13"/>
  <c r="AZ66" i="13"/>
  <c r="BA66" i="13"/>
  <c r="BB66" i="13"/>
  <c r="BC66" i="13"/>
  <c r="BD66" i="13"/>
  <c r="BF66" i="13"/>
  <c r="BG66" i="13"/>
  <c r="BH66" i="13"/>
  <c r="BI66" i="13"/>
  <c r="BJ66" i="13"/>
  <c r="BK66" i="13"/>
  <c r="BL66" i="13"/>
  <c r="BM66" i="13"/>
  <c r="BN66" i="13"/>
  <c r="BO66" i="13"/>
  <c r="BP66" i="13"/>
  <c r="BQ66" i="13"/>
  <c r="BR66" i="13"/>
  <c r="BS66" i="13"/>
  <c r="BT66" i="13"/>
  <c r="BU66" i="13"/>
  <c r="BV66" i="13"/>
  <c r="BW66" i="13"/>
  <c r="BX66" i="13"/>
  <c r="BY66" i="13"/>
  <c r="BZ66" i="13"/>
  <c r="CA66" i="13"/>
  <c r="CB66" i="13"/>
  <c r="CC66" i="13"/>
  <c r="CE66" i="13"/>
  <c r="CF66" i="13"/>
  <c r="CG66" i="13"/>
  <c r="CH66" i="13"/>
  <c r="CI66" i="13"/>
  <c r="CJ66" i="13"/>
  <c r="CK66" i="13"/>
  <c r="CL66" i="13"/>
  <c r="CM66" i="13"/>
  <c r="CN66" i="13"/>
  <c r="CO66" i="13"/>
  <c r="CP66" i="13"/>
  <c r="CQ66" i="13"/>
  <c r="CR66" i="13"/>
  <c r="CS66" i="13"/>
  <c r="CT66" i="13"/>
  <c r="CU66" i="13"/>
  <c r="CV66" i="13"/>
  <c r="CW66" i="13"/>
  <c r="CX66" i="13"/>
  <c r="CY66" i="13"/>
  <c r="CZ66" i="13"/>
  <c r="DA66" i="13"/>
  <c r="DB66" i="13"/>
  <c r="DH66" i="13"/>
  <c r="DI66" i="13"/>
  <c r="DJ66" i="13"/>
  <c r="H67" i="13"/>
  <c r="I67" i="13"/>
  <c r="J67" i="13"/>
  <c r="K67" i="13"/>
  <c r="L67" i="13"/>
  <c r="M67" i="13"/>
  <c r="N67" i="13"/>
  <c r="O67" i="13"/>
  <c r="P67" i="13"/>
  <c r="Q67" i="13"/>
  <c r="R67" i="13"/>
  <c r="S67" i="13"/>
  <c r="T67" i="13"/>
  <c r="U67" i="13"/>
  <c r="V67" i="13"/>
  <c r="W67" i="13"/>
  <c r="X67" i="13"/>
  <c r="Y67" i="13"/>
  <c r="Z67" i="13"/>
  <c r="AA67" i="13"/>
  <c r="AB67" i="13"/>
  <c r="AC67" i="13"/>
  <c r="AD67" i="13"/>
  <c r="AE67" i="13"/>
  <c r="AG67" i="13"/>
  <c r="AH67" i="13"/>
  <c r="AI67" i="13"/>
  <c r="AJ67" i="13"/>
  <c r="AK67" i="13"/>
  <c r="AL67" i="13"/>
  <c r="AM67" i="13"/>
  <c r="AN67" i="13"/>
  <c r="AO67" i="13"/>
  <c r="AP67" i="13"/>
  <c r="AQ67" i="13"/>
  <c r="AR67" i="13"/>
  <c r="AS67" i="13"/>
  <c r="AT67" i="13"/>
  <c r="AU67" i="13"/>
  <c r="AV67" i="13"/>
  <c r="AW67" i="13"/>
  <c r="AX67" i="13"/>
  <c r="AY67" i="13"/>
  <c r="AZ67" i="13"/>
  <c r="BA67" i="13"/>
  <c r="BB67" i="13"/>
  <c r="BC67" i="13"/>
  <c r="BD67" i="13"/>
  <c r="BF67" i="13"/>
  <c r="BG67" i="13"/>
  <c r="BH67" i="13"/>
  <c r="BI67" i="13"/>
  <c r="BJ67" i="13"/>
  <c r="BK67" i="13"/>
  <c r="BL67" i="13"/>
  <c r="BM67" i="13"/>
  <c r="BN67" i="13"/>
  <c r="BO67" i="13"/>
  <c r="BP67" i="13"/>
  <c r="BQ67" i="13"/>
  <c r="BR67" i="13"/>
  <c r="BS67" i="13"/>
  <c r="BT67" i="13"/>
  <c r="BU67" i="13"/>
  <c r="BV67" i="13"/>
  <c r="BW67" i="13"/>
  <c r="BX67" i="13"/>
  <c r="BY67" i="13"/>
  <c r="BZ67" i="13"/>
  <c r="CA67" i="13"/>
  <c r="CB67" i="13"/>
  <c r="CC67" i="13"/>
  <c r="CE67" i="13"/>
  <c r="CF67" i="13"/>
  <c r="CG67" i="13"/>
  <c r="CH67" i="13"/>
  <c r="CI67" i="13"/>
  <c r="CJ67" i="13"/>
  <c r="CK67" i="13"/>
  <c r="CL67" i="13"/>
  <c r="CM67" i="13"/>
  <c r="CN67" i="13"/>
  <c r="CO67" i="13"/>
  <c r="CP67" i="13"/>
  <c r="CQ67" i="13"/>
  <c r="CR67" i="13"/>
  <c r="CS67" i="13"/>
  <c r="CT67" i="13"/>
  <c r="CU67" i="13"/>
  <c r="CV67" i="13"/>
  <c r="CW67" i="13"/>
  <c r="CX67" i="13"/>
  <c r="CY67" i="13"/>
  <c r="CZ67" i="13"/>
  <c r="DA67" i="13"/>
  <c r="DB67" i="13"/>
  <c r="DH67" i="13"/>
  <c r="DI67" i="13"/>
  <c r="DJ67" i="13"/>
  <c r="H68" i="13"/>
  <c r="I68" i="13"/>
  <c r="J68" i="13"/>
  <c r="K68" i="13"/>
  <c r="L68" i="13"/>
  <c r="M68" i="13"/>
  <c r="N68" i="13"/>
  <c r="O68" i="13"/>
  <c r="P68" i="13"/>
  <c r="Q68" i="13"/>
  <c r="R68" i="13"/>
  <c r="S68" i="13"/>
  <c r="T68" i="13"/>
  <c r="U68" i="13"/>
  <c r="V68" i="13"/>
  <c r="W68" i="13"/>
  <c r="X68" i="13"/>
  <c r="Y68" i="13"/>
  <c r="Z68" i="13"/>
  <c r="AA68" i="13"/>
  <c r="AB68" i="13"/>
  <c r="AC68" i="13"/>
  <c r="AD68" i="13"/>
  <c r="AE68" i="13"/>
  <c r="AG68" i="13"/>
  <c r="AH68" i="13"/>
  <c r="AI68" i="13"/>
  <c r="AJ68" i="13"/>
  <c r="AK68" i="13"/>
  <c r="AL68" i="13"/>
  <c r="AM68" i="13"/>
  <c r="AN68" i="13"/>
  <c r="AO68" i="13"/>
  <c r="AP68" i="13"/>
  <c r="AQ68" i="13"/>
  <c r="AR68" i="13"/>
  <c r="AS68" i="13"/>
  <c r="AT68" i="13"/>
  <c r="AU68" i="13"/>
  <c r="AV68" i="13"/>
  <c r="AW68" i="13"/>
  <c r="AX68" i="13"/>
  <c r="AY68" i="13"/>
  <c r="AZ68" i="13"/>
  <c r="BA68" i="13"/>
  <c r="BB68" i="13"/>
  <c r="BC68" i="13"/>
  <c r="BD68" i="13"/>
  <c r="BF68" i="13"/>
  <c r="BG68" i="13"/>
  <c r="BH68" i="13"/>
  <c r="BI68" i="13"/>
  <c r="BJ68" i="13"/>
  <c r="BK68" i="13"/>
  <c r="BL68" i="13"/>
  <c r="BM68" i="13"/>
  <c r="BN68" i="13"/>
  <c r="BO68" i="13"/>
  <c r="BP68" i="13"/>
  <c r="BQ68" i="13"/>
  <c r="BR68" i="13"/>
  <c r="BS68" i="13"/>
  <c r="BT68" i="13"/>
  <c r="BU68" i="13"/>
  <c r="BV68" i="13"/>
  <c r="BW68" i="13"/>
  <c r="BX68" i="13"/>
  <c r="BY68" i="13"/>
  <c r="BZ68" i="13"/>
  <c r="CA68" i="13"/>
  <c r="CB68" i="13"/>
  <c r="CC68" i="13"/>
  <c r="CE68" i="13"/>
  <c r="CF68" i="13"/>
  <c r="CG68" i="13"/>
  <c r="CH68" i="13"/>
  <c r="CI68" i="13"/>
  <c r="CJ68" i="13"/>
  <c r="CK68" i="13"/>
  <c r="CL68" i="13"/>
  <c r="CM68" i="13"/>
  <c r="CN68" i="13"/>
  <c r="CO68" i="13"/>
  <c r="CP68" i="13"/>
  <c r="CQ68" i="13"/>
  <c r="CR68" i="13"/>
  <c r="CS68" i="13"/>
  <c r="CT68" i="13"/>
  <c r="CU68" i="13"/>
  <c r="CV68" i="13"/>
  <c r="CW68" i="13"/>
  <c r="CX68" i="13"/>
  <c r="CY68" i="13"/>
  <c r="CZ68" i="13"/>
  <c r="DA68" i="13"/>
  <c r="DB68" i="13"/>
  <c r="DH68" i="13"/>
  <c r="DI68" i="13"/>
  <c r="DJ68" i="13"/>
  <c r="H69" i="13"/>
  <c r="I69" i="13"/>
  <c r="J69" i="13"/>
  <c r="K69" i="13"/>
  <c r="L69" i="13"/>
  <c r="M69" i="13"/>
  <c r="N69" i="13"/>
  <c r="O69" i="13"/>
  <c r="P69" i="13"/>
  <c r="Q69" i="13"/>
  <c r="R69" i="13"/>
  <c r="S69" i="13"/>
  <c r="T69" i="13"/>
  <c r="U69" i="13"/>
  <c r="V69" i="13"/>
  <c r="W69" i="13"/>
  <c r="X69" i="13"/>
  <c r="Y69" i="13"/>
  <c r="Z69" i="13"/>
  <c r="AA69" i="13"/>
  <c r="AB69" i="13"/>
  <c r="AC69" i="13"/>
  <c r="AD69" i="13"/>
  <c r="AE69" i="13"/>
  <c r="AG69" i="13"/>
  <c r="AH69" i="13"/>
  <c r="AI69" i="13"/>
  <c r="AJ69" i="13"/>
  <c r="AK69" i="13"/>
  <c r="AL69" i="13"/>
  <c r="AM69" i="13"/>
  <c r="AN69" i="13"/>
  <c r="AO69" i="13"/>
  <c r="AP69" i="13"/>
  <c r="AQ69" i="13"/>
  <c r="AR69" i="13"/>
  <c r="AS69" i="13"/>
  <c r="AT69" i="13"/>
  <c r="AU69" i="13"/>
  <c r="AV69" i="13"/>
  <c r="AW69" i="13"/>
  <c r="AX69" i="13"/>
  <c r="AY69" i="13"/>
  <c r="AZ69" i="13"/>
  <c r="BA69" i="13"/>
  <c r="BB69" i="13"/>
  <c r="BC69" i="13"/>
  <c r="BD69" i="13"/>
  <c r="BF69" i="13"/>
  <c r="BG69" i="13"/>
  <c r="BH69" i="13"/>
  <c r="BI69" i="13"/>
  <c r="BJ69" i="13"/>
  <c r="BK69" i="13"/>
  <c r="BL69" i="13"/>
  <c r="BM69" i="13"/>
  <c r="BN69" i="13"/>
  <c r="BO69" i="13"/>
  <c r="BP69" i="13"/>
  <c r="BQ69" i="13"/>
  <c r="BR69" i="13"/>
  <c r="BS69" i="13"/>
  <c r="BT69" i="13"/>
  <c r="BU69" i="13"/>
  <c r="BV69" i="13"/>
  <c r="BW69" i="13"/>
  <c r="BX69" i="13"/>
  <c r="BY69" i="13"/>
  <c r="BZ69" i="13"/>
  <c r="CA69" i="13"/>
  <c r="CB69" i="13"/>
  <c r="CC69" i="13"/>
  <c r="CE69" i="13"/>
  <c r="CF69" i="13"/>
  <c r="CG69" i="13"/>
  <c r="CH69" i="13"/>
  <c r="CI69" i="13"/>
  <c r="CJ69" i="13"/>
  <c r="CK69" i="13"/>
  <c r="CL69" i="13"/>
  <c r="CM69" i="13"/>
  <c r="CN69" i="13"/>
  <c r="CO69" i="13"/>
  <c r="CP69" i="13"/>
  <c r="CQ69" i="13"/>
  <c r="CR69" i="13"/>
  <c r="CS69" i="13"/>
  <c r="CT69" i="13"/>
  <c r="CU69" i="13"/>
  <c r="CV69" i="13"/>
  <c r="CW69" i="13"/>
  <c r="CX69" i="13"/>
  <c r="CY69" i="13"/>
  <c r="CZ69" i="13"/>
  <c r="DA69" i="13"/>
  <c r="DB69" i="13"/>
  <c r="DH69" i="13"/>
  <c r="DI69" i="13"/>
  <c r="DJ69" i="13"/>
  <c r="H70" i="13"/>
  <c r="I70" i="13"/>
  <c r="J70" i="13"/>
  <c r="K70" i="13"/>
  <c r="L70" i="13"/>
  <c r="M70" i="13"/>
  <c r="N70" i="13"/>
  <c r="O70" i="13"/>
  <c r="P70" i="13"/>
  <c r="Q70" i="13"/>
  <c r="R70" i="13"/>
  <c r="S70" i="13"/>
  <c r="T70" i="13"/>
  <c r="U70" i="13"/>
  <c r="V70" i="13"/>
  <c r="W70" i="13"/>
  <c r="X70" i="13"/>
  <c r="Y70" i="13"/>
  <c r="Z70" i="13"/>
  <c r="AA70" i="13"/>
  <c r="AB70" i="13"/>
  <c r="AC70" i="13"/>
  <c r="AD70" i="13"/>
  <c r="AE70" i="13"/>
  <c r="AG70" i="13"/>
  <c r="AH70" i="13"/>
  <c r="AI70" i="13"/>
  <c r="AJ70" i="13"/>
  <c r="AK70" i="13"/>
  <c r="AL70" i="13"/>
  <c r="AM70" i="13"/>
  <c r="AN70" i="13"/>
  <c r="AO70" i="13"/>
  <c r="AP70" i="13"/>
  <c r="AQ70" i="13"/>
  <c r="AR70" i="13"/>
  <c r="AS70" i="13"/>
  <c r="AT70" i="13"/>
  <c r="AU70" i="13"/>
  <c r="AV70" i="13"/>
  <c r="AW70" i="13"/>
  <c r="AX70" i="13"/>
  <c r="AY70" i="13"/>
  <c r="AZ70" i="13"/>
  <c r="BA70" i="13"/>
  <c r="BB70" i="13"/>
  <c r="BC70" i="13"/>
  <c r="BD70" i="13"/>
  <c r="BF70" i="13"/>
  <c r="BG70" i="13"/>
  <c r="BH70" i="13"/>
  <c r="BI70" i="13"/>
  <c r="BJ70" i="13"/>
  <c r="BK70" i="13"/>
  <c r="BL70" i="13"/>
  <c r="BM70" i="13"/>
  <c r="BN70" i="13"/>
  <c r="BO70" i="13"/>
  <c r="BP70" i="13"/>
  <c r="BQ70" i="13"/>
  <c r="BR70" i="13"/>
  <c r="BS70" i="13"/>
  <c r="BT70" i="13"/>
  <c r="BU70" i="13"/>
  <c r="BV70" i="13"/>
  <c r="BW70" i="13"/>
  <c r="BX70" i="13"/>
  <c r="BY70" i="13"/>
  <c r="BZ70" i="13"/>
  <c r="CA70" i="13"/>
  <c r="CB70" i="13"/>
  <c r="CC70" i="13"/>
  <c r="CE70" i="13"/>
  <c r="CF70" i="13"/>
  <c r="CG70" i="13"/>
  <c r="CH70" i="13"/>
  <c r="CI70" i="13"/>
  <c r="CJ70" i="13"/>
  <c r="CK70" i="13"/>
  <c r="CL70" i="13"/>
  <c r="CM70" i="13"/>
  <c r="CN70" i="13"/>
  <c r="CO70" i="13"/>
  <c r="CP70" i="13"/>
  <c r="CQ70" i="13"/>
  <c r="CR70" i="13"/>
  <c r="CS70" i="13"/>
  <c r="CT70" i="13"/>
  <c r="CU70" i="13"/>
  <c r="CV70" i="13"/>
  <c r="CW70" i="13"/>
  <c r="CX70" i="13"/>
  <c r="CY70" i="13"/>
  <c r="CZ70" i="13"/>
  <c r="DA70" i="13"/>
  <c r="DB70" i="13"/>
  <c r="DH70" i="13"/>
  <c r="DI70" i="13"/>
  <c r="DJ70" i="13"/>
  <c r="H71" i="13"/>
  <c r="I71" i="13"/>
  <c r="J71" i="13"/>
  <c r="K71" i="13"/>
  <c r="L71" i="13"/>
  <c r="M71" i="13"/>
  <c r="N71" i="13"/>
  <c r="O71" i="13"/>
  <c r="P71" i="13"/>
  <c r="Q71" i="13"/>
  <c r="R71" i="13"/>
  <c r="S71" i="13"/>
  <c r="T71" i="13"/>
  <c r="U71" i="13"/>
  <c r="V71" i="13"/>
  <c r="W71" i="13"/>
  <c r="X71" i="13"/>
  <c r="Y71" i="13"/>
  <c r="Z71" i="13"/>
  <c r="AA71" i="13"/>
  <c r="AB71" i="13"/>
  <c r="AC71" i="13"/>
  <c r="AD71" i="13"/>
  <c r="AE71" i="13"/>
  <c r="AG71" i="13"/>
  <c r="AH71" i="13"/>
  <c r="AI71" i="13"/>
  <c r="AJ71" i="13"/>
  <c r="AK71" i="13"/>
  <c r="AL71" i="13"/>
  <c r="AM71" i="13"/>
  <c r="AN71" i="13"/>
  <c r="AO71" i="13"/>
  <c r="AP71" i="13"/>
  <c r="AQ71" i="13"/>
  <c r="AR71" i="13"/>
  <c r="AS71" i="13"/>
  <c r="AT71" i="13"/>
  <c r="AU71" i="13"/>
  <c r="AV71" i="13"/>
  <c r="AW71" i="13"/>
  <c r="AX71" i="13"/>
  <c r="AY71" i="13"/>
  <c r="AZ71" i="13"/>
  <c r="BA71" i="13"/>
  <c r="BB71" i="13"/>
  <c r="BC71" i="13"/>
  <c r="BD71" i="13"/>
  <c r="BF71" i="13"/>
  <c r="BG71" i="13"/>
  <c r="BH71" i="13"/>
  <c r="BI71" i="13"/>
  <c r="BJ71" i="13"/>
  <c r="BK71" i="13"/>
  <c r="BL71" i="13"/>
  <c r="BM71" i="13"/>
  <c r="BN71" i="13"/>
  <c r="BO71" i="13"/>
  <c r="BP71" i="13"/>
  <c r="BQ71" i="13"/>
  <c r="BR71" i="13"/>
  <c r="BS71" i="13"/>
  <c r="BT71" i="13"/>
  <c r="BU71" i="13"/>
  <c r="BV71" i="13"/>
  <c r="BW71" i="13"/>
  <c r="BX71" i="13"/>
  <c r="BY71" i="13"/>
  <c r="BZ71" i="13"/>
  <c r="CA71" i="13"/>
  <c r="CB71" i="13"/>
  <c r="CC71" i="13"/>
  <c r="CE71" i="13"/>
  <c r="CF71" i="13"/>
  <c r="CG71" i="13"/>
  <c r="CH71" i="13"/>
  <c r="CI71" i="13"/>
  <c r="CJ71" i="13"/>
  <c r="CK71" i="13"/>
  <c r="CL71" i="13"/>
  <c r="CM71" i="13"/>
  <c r="CN71" i="13"/>
  <c r="CO71" i="13"/>
  <c r="CP71" i="13"/>
  <c r="CQ71" i="13"/>
  <c r="CR71" i="13"/>
  <c r="CS71" i="13"/>
  <c r="CT71" i="13"/>
  <c r="CU71" i="13"/>
  <c r="CV71" i="13"/>
  <c r="CW71" i="13"/>
  <c r="CX71" i="13"/>
  <c r="CY71" i="13"/>
  <c r="CZ71" i="13"/>
  <c r="DA71" i="13"/>
  <c r="DB71" i="13"/>
  <c r="DH71" i="13"/>
  <c r="DI71" i="13"/>
  <c r="DJ71" i="13"/>
  <c r="H72" i="13"/>
  <c r="I72" i="13"/>
  <c r="J72" i="13"/>
  <c r="K72" i="13"/>
  <c r="L72" i="13"/>
  <c r="M72" i="13"/>
  <c r="N72" i="13"/>
  <c r="O72" i="13"/>
  <c r="P72" i="13"/>
  <c r="Q72" i="13"/>
  <c r="R72" i="13"/>
  <c r="S72" i="13"/>
  <c r="T72" i="13"/>
  <c r="U72" i="13"/>
  <c r="V72" i="13"/>
  <c r="W72" i="13"/>
  <c r="X72" i="13"/>
  <c r="Y72" i="13"/>
  <c r="Z72" i="13"/>
  <c r="AA72" i="13"/>
  <c r="AB72" i="13"/>
  <c r="AC72" i="13"/>
  <c r="AD72" i="13"/>
  <c r="AE72" i="13"/>
  <c r="AG72" i="13"/>
  <c r="AH72" i="13"/>
  <c r="AI72" i="13"/>
  <c r="AJ72" i="13"/>
  <c r="AK72" i="13"/>
  <c r="AL72" i="13"/>
  <c r="AM72" i="13"/>
  <c r="AN72" i="13"/>
  <c r="AO72" i="13"/>
  <c r="AP72" i="13"/>
  <c r="AQ72" i="13"/>
  <c r="AR72" i="13"/>
  <c r="AS72" i="13"/>
  <c r="AT72" i="13"/>
  <c r="AU72" i="13"/>
  <c r="AV72" i="13"/>
  <c r="AW72" i="13"/>
  <c r="AX72" i="13"/>
  <c r="AY72" i="13"/>
  <c r="AZ72" i="13"/>
  <c r="BA72" i="13"/>
  <c r="BB72" i="13"/>
  <c r="BC72" i="13"/>
  <c r="BD72" i="13"/>
  <c r="BF72" i="13"/>
  <c r="BG72" i="13"/>
  <c r="BH72" i="13"/>
  <c r="BI72" i="13"/>
  <c r="BJ72" i="13"/>
  <c r="BK72" i="13"/>
  <c r="BL72" i="13"/>
  <c r="BM72" i="13"/>
  <c r="BN72" i="13"/>
  <c r="BO72" i="13"/>
  <c r="BP72" i="13"/>
  <c r="BQ72" i="13"/>
  <c r="BR72" i="13"/>
  <c r="BS72" i="13"/>
  <c r="BT72" i="13"/>
  <c r="BU72" i="13"/>
  <c r="BV72" i="13"/>
  <c r="BW72" i="13"/>
  <c r="BX72" i="13"/>
  <c r="BY72" i="13"/>
  <c r="BZ72" i="13"/>
  <c r="CA72" i="13"/>
  <c r="CB72" i="13"/>
  <c r="CC72" i="13"/>
  <c r="CE72" i="13"/>
  <c r="CF72" i="13"/>
  <c r="CG72" i="13"/>
  <c r="CH72" i="13"/>
  <c r="CI72" i="13"/>
  <c r="CJ72" i="13"/>
  <c r="CK72" i="13"/>
  <c r="CL72" i="13"/>
  <c r="CM72" i="13"/>
  <c r="CN72" i="13"/>
  <c r="CO72" i="13"/>
  <c r="CP72" i="13"/>
  <c r="CQ72" i="13"/>
  <c r="CR72" i="13"/>
  <c r="CS72" i="13"/>
  <c r="CT72" i="13"/>
  <c r="CU72" i="13"/>
  <c r="CV72" i="13"/>
  <c r="CW72" i="13"/>
  <c r="CX72" i="13"/>
  <c r="CY72" i="13"/>
  <c r="CZ72" i="13"/>
  <c r="DA72" i="13"/>
  <c r="DB72" i="13"/>
  <c r="DH72" i="13"/>
  <c r="DI72" i="13"/>
  <c r="DJ72" i="13"/>
  <c r="H73" i="13"/>
  <c r="I73" i="13"/>
  <c r="J73" i="13"/>
  <c r="K73" i="13"/>
  <c r="L73" i="13"/>
  <c r="M73" i="13"/>
  <c r="N73" i="13"/>
  <c r="O73" i="13"/>
  <c r="P73" i="13"/>
  <c r="Q73" i="13"/>
  <c r="R73" i="13"/>
  <c r="S73" i="13"/>
  <c r="T73" i="13"/>
  <c r="U73" i="13"/>
  <c r="V73" i="13"/>
  <c r="W73" i="13"/>
  <c r="X73" i="13"/>
  <c r="Y73" i="13"/>
  <c r="Z73" i="13"/>
  <c r="AA73" i="13"/>
  <c r="AB73" i="13"/>
  <c r="AC73" i="13"/>
  <c r="AD73" i="13"/>
  <c r="AE73" i="13"/>
  <c r="AG73" i="13"/>
  <c r="AH73" i="13"/>
  <c r="AI73" i="13"/>
  <c r="AJ73" i="13"/>
  <c r="AK73" i="13"/>
  <c r="AL73" i="13"/>
  <c r="AM73" i="13"/>
  <c r="AN73" i="13"/>
  <c r="AO73" i="13"/>
  <c r="AP73" i="13"/>
  <c r="AQ73" i="13"/>
  <c r="AR73" i="13"/>
  <c r="AS73" i="13"/>
  <c r="AT73" i="13"/>
  <c r="AU73" i="13"/>
  <c r="AV73" i="13"/>
  <c r="AW73" i="13"/>
  <c r="AX73" i="13"/>
  <c r="AY73" i="13"/>
  <c r="AZ73" i="13"/>
  <c r="BA73" i="13"/>
  <c r="BB73" i="13"/>
  <c r="BC73" i="13"/>
  <c r="BD73" i="13"/>
  <c r="BF73" i="13"/>
  <c r="BG73" i="13"/>
  <c r="BH73" i="13"/>
  <c r="BI73" i="13"/>
  <c r="BJ73" i="13"/>
  <c r="BK73" i="13"/>
  <c r="BL73" i="13"/>
  <c r="BM73" i="13"/>
  <c r="BN73" i="13"/>
  <c r="BO73" i="13"/>
  <c r="BP73" i="13"/>
  <c r="BQ73" i="13"/>
  <c r="BR73" i="13"/>
  <c r="BS73" i="13"/>
  <c r="BT73" i="13"/>
  <c r="BU73" i="13"/>
  <c r="BV73" i="13"/>
  <c r="BW73" i="13"/>
  <c r="BX73" i="13"/>
  <c r="BY73" i="13"/>
  <c r="BZ73" i="13"/>
  <c r="CA73" i="13"/>
  <c r="CB73" i="13"/>
  <c r="CC73" i="13"/>
  <c r="CE73" i="13"/>
  <c r="CF73" i="13"/>
  <c r="CG73" i="13"/>
  <c r="CH73" i="13"/>
  <c r="CI73" i="13"/>
  <c r="CJ73" i="13"/>
  <c r="CK73" i="13"/>
  <c r="CL73" i="13"/>
  <c r="CM73" i="13"/>
  <c r="CN73" i="13"/>
  <c r="CO73" i="13"/>
  <c r="CP73" i="13"/>
  <c r="CQ73" i="13"/>
  <c r="CR73" i="13"/>
  <c r="CS73" i="13"/>
  <c r="CT73" i="13"/>
  <c r="CU73" i="13"/>
  <c r="CV73" i="13"/>
  <c r="CW73" i="13"/>
  <c r="CX73" i="13"/>
  <c r="CY73" i="13"/>
  <c r="CZ73" i="13"/>
  <c r="DA73" i="13"/>
  <c r="DB73" i="13"/>
  <c r="DH73" i="13"/>
  <c r="DI73" i="13"/>
  <c r="DJ73" i="13"/>
  <c r="H74" i="13"/>
  <c r="I74" i="13"/>
  <c r="J74" i="13"/>
  <c r="K74" i="13"/>
  <c r="L74" i="13"/>
  <c r="M74" i="13"/>
  <c r="N74" i="13"/>
  <c r="O74" i="13"/>
  <c r="P74" i="13"/>
  <c r="Q74" i="13"/>
  <c r="R74" i="13"/>
  <c r="S74" i="13"/>
  <c r="T74" i="13"/>
  <c r="U74" i="13"/>
  <c r="V74" i="13"/>
  <c r="W74" i="13"/>
  <c r="X74" i="13"/>
  <c r="Y74" i="13"/>
  <c r="Z74" i="13"/>
  <c r="AA74" i="13"/>
  <c r="AB74" i="13"/>
  <c r="AC74" i="13"/>
  <c r="AD74" i="13"/>
  <c r="AE74" i="13"/>
  <c r="AG74" i="13"/>
  <c r="AH74" i="13"/>
  <c r="AI74" i="13"/>
  <c r="AJ74" i="13"/>
  <c r="AK74" i="13"/>
  <c r="AL74" i="13"/>
  <c r="AM74" i="13"/>
  <c r="AN74" i="13"/>
  <c r="AO74" i="13"/>
  <c r="AP74" i="13"/>
  <c r="AQ74" i="13"/>
  <c r="AR74" i="13"/>
  <c r="AS74" i="13"/>
  <c r="AT74" i="13"/>
  <c r="AU74" i="13"/>
  <c r="AV74" i="13"/>
  <c r="AW74" i="13"/>
  <c r="AX74" i="13"/>
  <c r="AY74" i="13"/>
  <c r="AZ74" i="13"/>
  <c r="BA74" i="13"/>
  <c r="BB74" i="13"/>
  <c r="BC74" i="13"/>
  <c r="BD74" i="13"/>
  <c r="BF74" i="13"/>
  <c r="BG74" i="13"/>
  <c r="BH74" i="13"/>
  <c r="BI74" i="13"/>
  <c r="BJ74" i="13"/>
  <c r="BK74" i="13"/>
  <c r="BL74" i="13"/>
  <c r="BM74" i="13"/>
  <c r="BN74" i="13"/>
  <c r="BO74" i="13"/>
  <c r="BP74" i="13"/>
  <c r="BQ74" i="13"/>
  <c r="BR74" i="13"/>
  <c r="BS74" i="13"/>
  <c r="BT74" i="13"/>
  <c r="BU74" i="13"/>
  <c r="BV74" i="13"/>
  <c r="BW74" i="13"/>
  <c r="BX74" i="13"/>
  <c r="BY74" i="13"/>
  <c r="BZ74" i="13"/>
  <c r="CA74" i="13"/>
  <c r="CB74" i="13"/>
  <c r="CC74" i="13"/>
  <c r="CE74" i="13"/>
  <c r="CF74" i="13"/>
  <c r="CG74" i="13"/>
  <c r="CH74" i="13"/>
  <c r="CI74" i="13"/>
  <c r="CJ74" i="13"/>
  <c r="CK74" i="13"/>
  <c r="CL74" i="13"/>
  <c r="CM74" i="13"/>
  <c r="CN74" i="13"/>
  <c r="CO74" i="13"/>
  <c r="CP74" i="13"/>
  <c r="CQ74" i="13"/>
  <c r="CR74" i="13"/>
  <c r="CS74" i="13"/>
  <c r="CT74" i="13"/>
  <c r="CU74" i="13"/>
  <c r="CV74" i="13"/>
  <c r="CW74" i="13"/>
  <c r="CX74" i="13"/>
  <c r="CY74" i="13"/>
  <c r="CZ74" i="13"/>
  <c r="DA74" i="13"/>
  <c r="DB74" i="13"/>
  <c r="DH74" i="13"/>
  <c r="DI74" i="13"/>
  <c r="DJ74" i="13"/>
  <c r="H75" i="13"/>
  <c r="I75" i="13"/>
  <c r="J75" i="13"/>
  <c r="K75" i="13"/>
  <c r="L75" i="13"/>
  <c r="M75" i="13"/>
  <c r="N75" i="13"/>
  <c r="O75" i="13"/>
  <c r="P75" i="13"/>
  <c r="Q75" i="13"/>
  <c r="R75" i="13"/>
  <c r="S75" i="13"/>
  <c r="T75" i="13"/>
  <c r="U75" i="13"/>
  <c r="V75" i="13"/>
  <c r="W75" i="13"/>
  <c r="X75" i="13"/>
  <c r="Y75" i="13"/>
  <c r="Z75" i="13"/>
  <c r="AA75" i="13"/>
  <c r="AB75" i="13"/>
  <c r="AC75" i="13"/>
  <c r="AD75" i="13"/>
  <c r="AE75" i="13"/>
  <c r="AG75" i="13"/>
  <c r="AH75" i="13"/>
  <c r="AI75" i="13"/>
  <c r="AJ75" i="13"/>
  <c r="AK75" i="13"/>
  <c r="AL75" i="13"/>
  <c r="AM75" i="13"/>
  <c r="AN75" i="13"/>
  <c r="AO75" i="13"/>
  <c r="AP75" i="13"/>
  <c r="AQ75" i="13"/>
  <c r="AR75" i="13"/>
  <c r="AS75" i="13"/>
  <c r="AT75" i="13"/>
  <c r="AU75" i="13"/>
  <c r="AV75" i="13"/>
  <c r="AW75" i="13"/>
  <c r="AX75" i="13"/>
  <c r="AY75" i="13"/>
  <c r="AZ75" i="13"/>
  <c r="BA75" i="13"/>
  <c r="BB75" i="13"/>
  <c r="BC75" i="13"/>
  <c r="BD75" i="13"/>
  <c r="BF75" i="13"/>
  <c r="BG75" i="13"/>
  <c r="BH75" i="13"/>
  <c r="BI75" i="13"/>
  <c r="BJ75" i="13"/>
  <c r="BK75" i="13"/>
  <c r="BL75" i="13"/>
  <c r="BM75" i="13"/>
  <c r="BN75" i="13"/>
  <c r="BO75" i="13"/>
  <c r="BP75" i="13"/>
  <c r="BQ75" i="13"/>
  <c r="BR75" i="13"/>
  <c r="BS75" i="13"/>
  <c r="BT75" i="13"/>
  <c r="BU75" i="13"/>
  <c r="BV75" i="13"/>
  <c r="BW75" i="13"/>
  <c r="BX75" i="13"/>
  <c r="BY75" i="13"/>
  <c r="BZ75" i="13"/>
  <c r="CA75" i="13"/>
  <c r="CB75" i="13"/>
  <c r="CC75" i="13"/>
  <c r="CE75" i="13"/>
  <c r="CF75" i="13"/>
  <c r="CG75" i="13"/>
  <c r="CH75" i="13"/>
  <c r="CI75" i="13"/>
  <c r="CJ75" i="13"/>
  <c r="CK75" i="13"/>
  <c r="CL75" i="13"/>
  <c r="CM75" i="13"/>
  <c r="CN75" i="13"/>
  <c r="CO75" i="13"/>
  <c r="CP75" i="13"/>
  <c r="CQ75" i="13"/>
  <c r="CR75" i="13"/>
  <c r="CS75" i="13"/>
  <c r="CT75" i="13"/>
  <c r="CU75" i="13"/>
  <c r="CV75" i="13"/>
  <c r="CW75" i="13"/>
  <c r="CX75" i="13"/>
  <c r="CY75" i="13"/>
  <c r="CZ75" i="13"/>
  <c r="DA75" i="13"/>
  <c r="DB75" i="13"/>
  <c r="DH75" i="13"/>
  <c r="DI75" i="13"/>
  <c r="DJ75" i="13"/>
  <c r="H76" i="13"/>
  <c r="I76" i="13"/>
  <c r="J76" i="13"/>
  <c r="K76" i="13"/>
  <c r="L76" i="13"/>
  <c r="M76" i="13"/>
  <c r="N76" i="13"/>
  <c r="O76" i="13"/>
  <c r="P76" i="13"/>
  <c r="Q76" i="13"/>
  <c r="R76" i="13"/>
  <c r="S76" i="13"/>
  <c r="T76" i="13"/>
  <c r="U76" i="13"/>
  <c r="V76" i="13"/>
  <c r="W76" i="13"/>
  <c r="X76" i="13"/>
  <c r="Y76" i="13"/>
  <c r="Z76" i="13"/>
  <c r="AA76" i="13"/>
  <c r="AB76" i="13"/>
  <c r="AC76" i="13"/>
  <c r="AD76" i="13"/>
  <c r="AE76" i="13"/>
  <c r="AG76" i="13"/>
  <c r="AH76" i="13"/>
  <c r="AI76" i="13"/>
  <c r="AJ76" i="13"/>
  <c r="AK76" i="13"/>
  <c r="AL76" i="13"/>
  <c r="AM76" i="13"/>
  <c r="AN76" i="13"/>
  <c r="AO76" i="13"/>
  <c r="AP76" i="13"/>
  <c r="AQ76" i="13"/>
  <c r="AR76" i="13"/>
  <c r="AS76" i="13"/>
  <c r="AT76" i="13"/>
  <c r="AU76" i="13"/>
  <c r="AV76" i="13"/>
  <c r="AW76" i="13"/>
  <c r="AX76" i="13"/>
  <c r="AY76" i="13"/>
  <c r="AZ76" i="13"/>
  <c r="BA76" i="13"/>
  <c r="BB76" i="13"/>
  <c r="BC76" i="13"/>
  <c r="BD76" i="13"/>
  <c r="BF76" i="13"/>
  <c r="BG76" i="13"/>
  <c r="BH76" i="13"/>
  <c r="BI76" i="13"/>
  <c r="BJ76" i="13"/>
  <c r="BK76" i="13"/>
  <c r="BL76" i="13"/>
  <c r="BM76" i="13"/>
  <c r="BN76" i="13"/>
  <c r="BO76" i="13"/>
  <c r="BP76" i="13"/>
  <c r="BQ76" i="13"/>
  <c r="BR76" i="13"/>
  <c r="BS76" i="13"/>
  <c r="BT76" i="13"/>
  <c r="BU76" i="13"/>
  <c r="BV76" i="13"/>
  <c r="BW76" i="13"/>
  <c r="BX76" i="13"/>
  <c r="BY76" i="13"/>
  <c r="BZ76" i="13"/>
  <c r="CA76" i="13"/>
  <c r="CB76" i="13"/>
  <c r="CC76" i="13"/>
  <c r="CE76" i="13"/>
  <c r="CF76" i="13"/>
  <c r="CG76" i="13"/>
  <c r="CH76" i="13"/>
  <c r="CI76" i="13"/>
  <c r="CJ76" i="13"/>
  <c r="CK76" i="13"/>
  <c r="CL76" i="13"/>
  <c r="CM76" i="13"/>
  <c r="CN76" i="13"/>
  <c r="CO76" i="13"/>
  <c r="CP76" i="13"/>
  <c r="CQ76" i="13"/>
  <c r="CR76" i="13"/>
  <c r="CS76" i="13"/>
  <c r="CT76" i="13"/>
  <c r="CU76" i="13"/>
  <c r="CV76" i="13"/>
  <c r="CW76" i="13"/>
  <c r="CX76" i="13"/>
  <c r="CY76" i="13"/>
  <c r="CZ76" i="13"/>
  <c r="DA76" i="13"/>
  <c r="DB76" i="13"/>
  <c r="DH76" i="13"/>
  <c r="DI76" i="13"/>
  <c r="DJ76" i="13"/>
  <c r="H77" i="13"/>
  <c r="I77" i="13"/>
  <c r="J77" i="13"/>
  <c r="K77" i="13"/>
  <c r="L77" i="13"/>
  <c r="M77" i="13"/>
  <c r="N77" i="13"/>
  <c r="O77" i="13"/>
  <c r="P77" i="13"/>
  <c r="Q77" i="13"/>
  <c r="R77" i="13"/>
  <c r="S77" i="13"/>
  <c r="T77" i="13"/>
  <c r="U77" i="13"/>
  <c r="V77" i="13"/>
  <c r="W77" i="13"/>
  <c r="X77" i="13"/>
  <c r="Y77" i="13"/>
  <c r="Z77" i="13"/>
  <c r="AA77" i="13"/>
  <c r="AB77" i="13"/>
  <c r="AC77" i="13"/>
  <c r="AD77" i="13"/>
  <c r="AE77" i="13"/>
  <c r="AG77" i="13"/>
  <c r="AH77" i="13"/>
  <c r="AI77" i="13"/>
  <c r="AJ77" i="13"/>
  <c r="AK77" i="13"/>
  <c r="AL77" i="13"/>
  <c r="AM77" i="13"/>
  <c r="AN77" i="13"/>
  <c r="AO77" i="13"/>
  <c r="AP77" i="13"/>
  <c r="AQ77" i="13"/>
  <c r="AR77" i="13"/>
  <c r="AS77" i="13"/>
  <c r="AT77" i="13"/>
  <c r="AU77" i="13"/>
  <c r="AV77" i="13"/>
  <c r="AW77" i="13"/>
  <c r="AX77" i="13"/>
  <c r="AY77" i="13"/>
  <c r="AZ77" i="13"/>
  <c r="BA77" i="13"/>
  <c r="BB77" i="13"/>
  <c r="BC77" i="13"/>
  <c r="BD77" i="13"/>
  <c r="BF77" i="13"/>
  <c r="BG77" i="13"/>
  <c r="BH77" i="13"/>
  <c r="BI77" i="13"/>
  <c r="BJ77" i="13"/>
  <c r="BK77" i="13"/>
  <c r="BL77" i="13"/>
  <c r="BM77" i="13"/>
  <c r="BN77" i="13"/>
  <c r="BO77" i="13"/>
  <c r="BP77" i="13"/>
  <c r="BQ77" i="13"/>
  <c r="BR77" i="13"/>
  <c r="BS77" i="13"/>
  <c r="BT77" i="13"/>
  <c r="BU77" i="13"/>
  <c r="BV77" i="13"/>
  <c r="BW77" i="13"/>
  <c r="BX77" i="13"/>
  <c r="BY77" i="13"/>
  <c r="BZ77" i="13"/>
  <c r="CA77" i="13"/>
  <c r="CB77" i="13"/>
  <c r="CC77" i="13"/>
  <c r="CE77" i="13"/>
  <c r="CF77" i="13"/>
  <c r="CG77" i="13"/>
  <c r="CH77" i="13"/>
  <c r="CI77" i="13"/>
  <c r="CJ77" i="13"/>
  <c r="CK77" i="13"/>
  <c r="CL77" i="13"/>
  <c r="CM77" i="13"/>
  <c r="CN77" i="13"/>
  <c r="CO77" i="13"/>
  <c r="CP77" i="13"/>
  <c r="CQ77" i="13"/>
  <c r="CR77" i="13"/>
  <c r="CS77" i="13"/>
  <c r="CT77" i="13"/>
  <c r="CU77" i="13"/>
  <c r="CV77" i="13"/>
  <c r="CW77" i="13"/>
  <c r="CX77" i="13"/>
  <c r="CY77" i="13"/>
  <c r="CZ77" i="13"/>
  <c r="DA77" i="13"/>
  <c r="DB77" i="13"/>
  <c r="DH77" i="13"/>
  <c r="DI77" i="13"/>
  <c r="DJ77" i="13"/>
  <c r="H78" i="13"/>
  <c r="I78" i="13"/>
  <c r="J78" i="13"/>
  <c r="K78" i="13"/>
  <c r="L78" i="13"/>
  <c r="M78" i="13"/>
  <c r="N78" i="13"/>
  <c r="O78" i="13"/>
  <c r="P78" i="13"/>
  <c r="Q78" i="13"/>
  <c r="R78" i="13"/>
  <c r="S78" i="13"/>
  <c r="T78" i="13"/>
  <c r="U78" i="13"/>
  <c r="V78" i="13"/>
  <c r="W78" i="13"/>
  <c r="X78" i="13"/>
  <c r="Y78" i="13"/>
  <c r="Z78" i="13"/>
  <c r="AA78" i="13"/>
  <c r="AB78" i="13"/>
  <c r="AC78" i="13"/>
  <c r="AD78" i="13"/>
  <c r="AE78" i="13"/>
  <c r="AG78" i="13"/>
  <c r="AH78" i="13"/>
  <c r="AI78" i="13"/>
  <c r="AJ78" i="13"/>
  <c r="AK78" i="13"/>
  <c r="AL78" i="13"/>
  <c r="AM78" i="13"/>
  <c r="AN78" i="13"/>
  <c r="AO78" i="13"/>
  <c r="AP78" i="13"/>
  <c r="AQ78" i="13"/>
  <c r="AR78" i="13"/>
  <c r="AS78" i="13"/>
  <c r="AT78" i="13"/>
  <c r="AU78" i="13"/>
  <c r="AV78" i="13"/>
  <c r="AW78" i="13"/>
  <c r="AX78" i="13"/>
  <c r="AY78" i="13"/>
  <c r="AZ78" i="13"/>
  <c r="BA78" i="13"/>
  <c r="BB78" i="13"/>
  <c r="BC78" i="13"/>
  <c r="BD78" i="13"/>
  <c r="BF78" i="13"/>
  <c r="BG78" i="13"/>
  <c r="BH78" i="13"/>
  <c r="BI78" i="13"/>
  <c r="BJ78" i="13"/>
  <c r="BK78" i="13"/>
  <c r="BL78" i="13"/>
  <c r="BM78" i="13"/>
  <c r="BN78" i="13"/>
  <c r="BO78" i="13"/>
  <c r="BP78" i="13"/>
  <c r="BQ78" i="13"/>
  <c r="BR78" i="13"/>
  <c r="BS78" i="13"/>
  <c r="BT78" i="13"/>
  <c r="BU78" i="13"/>
  <c r="BV78" i="13"/>
  <c r="BW78" i="13"/>
  <c r="BX78" i="13"/>
  <c r="BY78" i="13"/>
  <c r="BZ78" i="13"/>
  <c r="CA78" i="13"/>
  <c r="CB78" i="13"/>
  <c r="CC78" i="13"/>
  <c r="CE78" i="13"/>
  <c r="CF78" i="13"/>
  <c r="CG78" i="13"/>
  <c r="CH78" i="13"/>
  <c r="CI78" i="13"/>
  <c r="CJ78" i="13"/>
  <c r="CK78" i="13"/>
  <c r="CL78" i="13"/>
  <c r="CM78" i="13"/>
  <c r="CN78" i="13"/>
  <c r="CO78" i="13"/>
  <c r="CP78" i="13"/>
  <c r="CQ78" i="13"/>
  <c r="CR78" i="13"/>
  <c r="CS78" i="13"/>
  <c r="CT78" i="13"/>
  <c r="CU78" i="13"/>
  <c r="CV78" i="13"/>
  <c r="CW78" i="13"/>
  <c r="CX78" i="13"/>
  <c r="CY78" i="13"/>
  <c r="CZ78" i="13"/>
  <c r="DA78" i="13"/>
  <c r="DB78" i="13"/>
  <c r="DH78" i="13"/>
  <c r="DI78" i="13"/>
  <c r="DJ78" i="13"/>
  <c r="H79" i="13"/>
  <c r="I79" i="13"/>
  <c r="J79" i="13"/>
  <c r="K79" i="13"/>
  <c r="L79" i="13"/>
  <c r="M79" i="13"/>
  <c r="N79" i="13"/>
  <c r="O79" i="13"/>
  <c r="P79" i="13"/>
  <c r="Q79" i="13"/>
  <c r="R79" i="13"/>
  <c r="S79" i="13"/>
  <c r="T79" i="13"/>
  <c r="U79" i="13"/>
  <c r="V79" i="13"/>
  <c r="W79" i="13"/>
  <c r="X79" i="13"/>
  <c r="Y79" i="13"/>
  <c r="Z79" i="13"/>
  <c r="AA79" i="13"/>
  <c r="AB79" i="13"/>
  <c r="AC79" i="13"/>
  <c r="AD79" i="13"/>
  <c r="AE79" i="13"/>
  <c r="AG79" i="13"/>
  <c r="AH79" i="13"/>
  <c r="AI79" i="13"/>
  <c r="AJ79" i="13"/>
  <c r="AK79" i="13"/>
  <c r="AL79" i="13"/>
  <c r="AM79" i="13"/>
  <c r="AN79" i="13"/>
  <c r="AO79" i="13"/>
  <c r="AP79" i="13"/>
  <c r="AQ79" i="13"/>
  <c r="AR79" i="13"/>
  <c r="AS79" i="13"/>
  <c r="AT79" i="13"/>
  <c r="AU79" i="13"/>
  <c r="AV79" i="13"/>
  <c r="AW79" i="13"/>
  <c r="AX79" i="13"/>
  <c r="AY79" i="13"/>
  <c r="AZ79" i="13"/>
  <c r="BA79" i="13"/>
  <c r="BB79" i="13"/>
  <c r="BC79" i="13"/>
  <c r="BD79" i="13"/>
  <c r="BF79" i="13"/>
  <c r="BG79" i="13"/>
  <c r="BH79" i="13"/>
  <c r="BI79" i="13"/>
  <c r="BJ79" i="13"/>
  <c r="BK79" i="13"/>
  <c r="BL79" i="13"/>
  <c r="BM79" i="13"/>
  <c r="BN79" i="13"/>
  <c r="BO79" i="13"/>
  <c r="BP79" i="13"/>
  <c r="BQ79" i="13"/>
  <c r="BR79" i="13"/>
  <c r="BS79" i="13"/>
  <c r="BT79" i="13"/>
  <c r="BU79" i="13"/>
  <c r="BV79" i="13"/>
  <c r="BW79" i="13"/>
  <c r="BX79" i="13"/>
  <c r="BY79" i="13"/>
  <c r="BZ79" i="13"/>
  <c r="CA79" i="13"/>
  <c r="CB79" i="13"/>
  <c r="CC79" i="13"/>
  <c r="CE79" i="13"/>
  <c r="CF79" i="13"/>
  <c r="CG79" i="13"/>
  <c r="CH79" i="13"/>
  <c r="CI79" i="13"/>
  <c r="CJ79" i="13"/>
  <c r="CK79" i="13"/>
  <c r="CL79" i="13"/>
  <c r="CM79" i="13"/>
  <c r="CN79" i="13"/>
  <c r="CO79" i="13"/>
  <c r="CP79" i="13"/>
  <c r="CQ79" i="13"/>
  <c r="CR79" i="13"/>
  <c r="CS79" i="13"/>
  <c r="CT79" i="13"/>
  <c r="CU79" i="13"/>
  <c r="CV79" i="13"/>
  <c r="CW79" i="13"/>
  <c r="CX79" i="13"/>
  <c r="CY79" i="13"/>
  <c r="CZ79" i="13"/>
  <c r="DA79" i="13"/>
  <c r="DB79" i="13"/>
  <c r="DH79" i="13"/>
  <c r="DI79" i="13"/>
  <c r="DJ79" i="13"/>
  <c r="H80" i="13"/>
  <c r="I80" i="13"/>
  <c r="J80" i="13"/>
  <c r="K80" i="13"/>
  <c r="L80" i="13"/>
  <c r="M80" i="13"/>
  <c r="N80" i="13"/>
  <c r="O80" i="13"/>
  <c r="P80" i="13"/>
  <c r="Q80" i="13"/>
  <c r="R80" i="13"/>
  <c r="S80" i="13"/>
  <c r="T80" i="13"/>
  <c r="U80" i="13"/>
  <c r="V80" i="13"/>
  <c r="W80" i="13"/>
  <c r="X80" i="13"/>
  <c r="Y80" i="13"/>
  <c r="Z80" i="13"/>
  <c r="AA80" i="13"/>
  <c r="AB80" i="13"/>
  <c r="AC80" i="13"/>
  <c r="AD80" i="13"/>
  <c r="AE80" i="13"/>
  <c r="AG80" i="13"/>
  <c r="AH80" i="13"/>
  <c r="AI80" i="13"/>
  <c r="AJ80" i="13"/>
  <c r="AK80" i="13"/>
  <c r="AL80" i="13"/>
  <c r="AM80" i="13"/>
  <c r="AN80" i="13"/>
  <c r="AO80" i="13"/>
  <c r="AP80" i="13"/>
  <c r="AQ80" i="13"/>
  <c r="AR80" i="13"/>
  <c r="AS80" i="13"/>
  <c r="AT80" i="13"/>
  <c r="AU80" i="13"/>
  <c r="AV80" i="13"/>
  <c r="AW80" i="13"/>
  <c r="AX80" i="13"/>
  <c r="AY80" i="13"/>
  <c r="AZ80" i="13"/>
  <c r="BA80" i="13"/>
  <c r="BB80" i="13"/>
  <c r="BC80" i="13"/>
  <c r="BD80" i="13"/>
  <c r="BF80" i="13"/>
  <c r="BG80" i="13"/>
  <c r="BH80" i="13"/>
  <c r="BI80" i="13"/>
  <c r="BJ80" i="13"/>
  <c r="BK80" i="13"/>
  <c r="BL80" i="13"/>
  <c r="BM80" i="13"/>
  <c r="BN80" i="13"/>
  <c r="BO80" i="13"/>
  <c r="BP80" i="13"/>
  <c r="BQ80" i="13"/>
  <c r="BR80" i="13"/>
  <c r="BS80" i="13"/>
  <c r="BT80" i="13"/>
  <c r="BU80" i="13"/>
  <c r="BV80" i="13"/>
  <c r="BW80" i="13"/>
  <c r="BX80" i="13"/>
  <c r="BY80" i="13"/>
  <c r="BZ80" i="13"/>
  <c r="CA80" i="13"/>
  <c r="CB80" i="13"/>
  <c r="CC80" i="13"/>
  <c r="CE80" i="13"/>
  <c r="CF80" i="13"/>
  <c r="CG80" i="13"/>
  <c r="CH80" i="13"/>
  <c r="CI80" i="13"/>
  <c r="CJ80" i="13"/>
  <c r="CK80" i="13"/>
  <c r="CL80" i="13"/>
  <c r="CM80" i="13"/>
  <c r="CN80" i="13"/>
  <c r="CO80" i="13"/>
  <c r="CP80" i="13"/>
  <c r="CQ80" i="13"/>
  <c r="CR80" i="13"/>
  <c r="CS80" i="13"/>
  <c r="CT80" i="13"/>
  <c r="CU80" i="13"/>
  <c r="CV80" i="13"/>
  <c r="CW80" i="13"/>
  <c r="CX80" i="13"/>
  <c r="CY80" i="13"/>
  <c r="CZ80" i="13"/>
  <c r="DA80" i="13"/>
  <c r="DB80" i="13"/>
  <c r="DH80" i="13"/>
  <c r="DI80" i="13"/>
  <c r="DJ80" i="13"/>
  <c r="H81" i="13"/>
  <c r="I81" i="13"/>
  <c r="J81" i="13"/>
  <c r="K81" i="13"/>
  <c r="L81" i="13"/>
  <c r="M81" i="13"/>
  <c r="N81" i="13"/>
  <c r="O81" i="13"/>
  <c r="P81" i="13"/>
  <c r="Q81" i="13"/>
  <c r="R81" i="13"/>
  <c r="S81" i="13"/>
  <c r="T81" i="13"/>
  <c r="U81" i="13"/>
  <c r="V81" i="13"/>
  <c r="W81" i="13"/>
  <c r="X81" i="13"/>
  <c r="Y81" i="13"/>
  <c r="Z81" i="13"/>
  <c r="AA81" i="13"/>
  <c r="AB81" i="13"/>
  <c r="AC81" i="13"/>
  <c r="AD81" i="13"/>
  <c r="AE81" i="13"/>
  <c r="AG81" i="13"/>
  <c r="AH81" i="13"/>
  <c r="AI81" i="13"/>
  <c r="AJ81" i="13"/>
  <c r="AK81" i="13"/>
  <c r="AL81" i="13"/>
  <c r="AM81" i="13"/>
  <c r="AN81" i="13"/>
  <c r="AO81" i="13"/>
  <c r="AP81" i="13"/>
  <c r="AQ81" i="13"/>
  <c r="AR81" i="13"/>
  <c r="AS81" i="13"/>
  <c r="AT81" i="13"/>
  <c r="AU81" i="13"/>
  <c r="AV81" i="13"/>
  <c r="AW81" i="13"/>
  <c r="AX81" i="13"/>
  <c r="AY81" i="13"/>
  <c r="AZ81" i="13"/>
  <c r="BA81" i="13"/>
  <c r="BB81" i="13"/>
  <c r="BC81" i="13"/>
  <c r="BD81" i="13"/>
  <c r="BF81" i="13"/>
  <c r="BG81" i="13"/>
  <c r="BH81" i="13"/>
  <c r="BI81" i="13"/>
  <c r="BJ81" i="13"/>
  <c r="BK81" i="13"/>
  <c r="BL81" i="13"/>
  <c r="BM81" i="13"/>
  <c r="BN81" i="13"/>
  <c r="BO81" i="13"/>
  <c r="BP81" i="13"/>
  <c r="BQ81" i="13"/>
  <c r="BR81" i="13"/>
  <c r="BS81" i="13"/>
  <c r="BT81" i="13"/>
  <c r="BU81" i="13"/>
  <c r="BV81" i="13"/>
  <c r="BW81" i="13"/>
  <c r="BX81" i="13"/>
  <c r="BY81" i="13"/>
  <c r="BZ81" i="13"/>
  <c r="CA81" i="13"/>
  <c r="CB81" i="13"/>
  <c r="CC81" i="13"/>
  <c r="CE81" i="13"/>
  <c r="CF81" i="13"/>
  <c r="CG81" i="13"/>
  <c r="CH81" i="13"/>
  <c r="CI81" i="13"/>
  <c r="CJ81" i="13"/>
  <c r="CK81" i="13"/>
  <c r="CL81" i="13"/>
  <c r="CM81" i="13"/>
  <c r="CN81" i="13"/>
  <c r="CO81" i="13"/>
  <c r="CP81" i="13"/>
  <c r="CQ81" i="13"/>
  <c r="CR81" i="13"/>
  <c r="CS81" i="13"/>
  <c r="CT81" i="13"/>
  <c r="CU81" i="13"/>
  <c r="CV81" i="13"/>
  <c r="CW81" i="13"/>
  <c r="CX81" i="13"/>
  <c r="CY81" i="13"/>
  <c r="CZ81" i="13"/>
  <c r="DA81" i="13"/>
  <c r="DB81" i="13"/>
  <c r="DH81" i="13"/>
  <c r="DI81" i="13"/>
  <c r="DJ81" i="13"/>
  <c r="H82" i="13"/>
  <c r="I82" i="13"/>
  <c r="J82" i="13"/>
  <c r="K82" i="13"/>
  <c r="L82" i="13"/>
  <c r="M82" i="13"/>
  <c r="N82" i="13"/>
  <c r="O82" i="13"/>
  <c r="P82" i="13"/>
  <c r="Q82" i="13"/>
  <c r="R82" i="13"/>
  <c r="S82" i="13"/>
  <c r="T82" i="13"/>
  <c r="U82" i="13"/>
  <c r="V82" i="13"/>
  <c r="W82" i="13"/>
  <c r="X82" i="13"/>
  <c r="Y82" i="13"/>
  <c r="Z82" i="13"/>
  <c r="AA82" i="13"/>
  <c r="AB82" i="13"/>
  <c r="AC82" i="13"/>
  <c r="AD82" i="13"/>
  <c r="AE82" i="13"/>
  <c r="AG82" i="13"/>
  <c r="AH82" i="13"/>
  <c r="AI82" i="13"/>
  <c r="AJ82" i="13"/>
  <c r="AK82" i="13"/>
  <c r="AL82" i="13"/>
  <c r="AM82" i="13"/>
  <c r="AN82" i="13"/>
  <c r="AO82" i="13"/>
  <c r="AP82" i="13"/>
  <c r="AQ82" i="13"/>
  <c r="AR82" i="13"/>
  <c r="AS82" i="13"/>
  <c r="AT82" i="13"/>
  <c r="AU82" i="13"/>
  <c r="AV82" i="13"/>
  <c r="AW82" i="13"/>
  <c r="AX82" i="13"/>
  <c r="AY82" i="13"/>
  <c r="AZ82" i="13"/>
  <c r="BA82" i="13"/>
  <c r="BB82" i="13"/>
  <c r="BC82" i="13"/>
  <c r="BD82" i="13"/>
  <c r="BF82" i="13"/>
  <c r="BG82" i="13"/>
  <c r="BH82" i="13"/>
  <c r="BI82" i="13"/>
  <c r="BJ82" i="13"/>
  <c r="BK82" i="13"/>
  <c r="BL82" i="13"/>
  <c r="BM82" i="13"/>
  <c r="BN82" i="13"/>
  <c r="BO82" i="13"/>
  <c r="BP82" i="13"/>
  <c r="BQ82" i="13"/>
  <c r="BR82" i="13"/>
  <c r="BS82" i="13"/>
  <c r="BT82" i="13"/>
  <c r="BU82" i="13"/>
  <c r="BV82" i="13"/>
  <c r="BW82" i="13"/>
  <c r="BX82" i="13"/>
  <c r="BY82" i="13"/>
  <c r="BZ82" i="13"/>
  <c r="CA82" i="13"/>
  <c r="CB82" i="13"/>
  <c r="CC82" i="13"/>
  <c r="CE82" i="13"/>
  <c r="CF82" i="13"/>
  <c r="CG82" i="13"/>
  <c r="CH82" i="13"/>
  <c r="CI82" i="13"/>
  <c r="CJ82" i="13"/>
  <c r="CK82" i="13"/>
  <c r="CL82" i="13"/>
  <c r="CM82" i="13"/>
  <c r="CN82" i="13"/>
  <c r="CO82" i="13"/>
  <c r="CP82" i="13"/>
  <c r="CQ82" i="13"/>
  <c r="CR82" i="13"/>
  <c r="CS82" i="13"/>
  <c r="CT82" i="13"/>
  <c r="CU82" i="13"/>
  <c r="CV82" i="13"/>
  <c r="CW82" i="13"/>
  <c r="CX82" i="13"/>
  <c r="CY82" i="13"/>
  <c r="CZ82" i="13"/>
  <c r="DA82" i="13"/>
  <c r="DB82" i="13"/>
  <c r="DH82" i="13"/>
  <c r="DI82" i="13"/>
  <c r="DJ82" i="13"/>
  <c r="H83" i="13"/>
  <c r="I83" i="13"/>
  <c r="J83" i="13"/>
  <c r="K83" i="13"/>
  <c r="L83" i="13"/>
  <c r="M83" i="13"/>
  <c r="N83" i="13"/>
  <c r="O83" i="13"/>
  <c r="P83" i="13"/>
  <c r="Q83" i="13"/>
  <c r="R83" i="13"/>
  <c r="S83" i="13"/>
  <c r="T83" i="13"/>
  <c r="U83" i="13"/>
  <c r="V83" i="13"/>
  <c r="W83" i="13"/>
  <c r="X83" i="13"/>
  <c r="Y83" i="13"/>
  <c r="Z83" i="13"/>
  <c r="AA83" i="13"/>
  <c r="AB83" i="13"/>
  <c r="AC83" i="13"/>
  <c r="AD83" i="13"/>
  <c r="AE83" i="13"/>
  <c r="AG83" i="13"/>
  <c r="AH83" i="13"/>
  <c r="AI83" i="13"/>
  <c r="AJ83" i="13"/>
  <c r="AK83" i="13"/>
  <c r="AL83" i="13"/>
  <c r="AM83" i="13"/>
  <c r="AN83" i="13"/>
  <c r="AO83" i="13"/>
  <c r="AP83" i="13"/>
  <c r="AQ83" i="13"/>
  <c r="AR83" i="13"/>
  <c r="AS83" i="13"/>
  <c r="AT83" i="13"/>
  <c r="AU83" i="13"/>
  <c r="AV83" i="13"/>
  <c r="AW83" i="13"/>
  <c r="AX83" i="13"/>
  <c r="AY83" i="13"/>
  <c r="AZ83" i="13"/>
  <c r="BA83" i="13"/>
  <c r="BB83" i="13"/>
  <c r="BC83" i="13"/>
  <c r="BD83" i="13"/>
  <c r="BF83" i="13"/>
  <c r="BG83" i="13"/>
  <c r="BH83" i="13"/>
  <c r="BI83" i="13"/>
  <c r="BJ83" i="13"/>
  <c r="BK83" i="13"/>
  <c r="BL83" i="13"/>
  <c r="BM83" i="13"/>
  <c r="BN83" i="13"/>
  <c r="BO83" i="13"/>
  <c r="BP83" i="13"/>
  <c r="BQ83" i="13"/>
  <c r="BR83" i="13"/>
  <c r="BS83" i="13"/>
  <c r="BT83" i="13"/>
  <c r="BU83" i="13"/>
  <c r="BV83" i="13"/>
  <c r="BW83" i="13"/>
  <c r="BX83" i="13"/>
  <c r="BY83" i="13"/>
  <c r="BZ83" i="13"/>
  <c r="CA83" i="13"/>
  <c r="CB83" i="13"/>
  <c r="CC83" i="13"/>
  <c r="CE83" i="13"/>
  <c r="CF83" i="13"/>
  <c r="CG83" i="13"/>
  <c r="CH83" i="13"/>
  <c r="CI83" i="13"/>
  <c r="CJ83" i="13"/>
  <c r="CK83" i="13"/>
  <c r="CL83" i="13"/>
  <c r="CM83" i="13"/>
  <c r="CN83" i="13"/>
  <c r="CO83" i="13"/>
  <c r="CP83" i="13"/>
  <c r="CQ83" i="13"/>
  <c r="CR83" i="13"/>
  <c r="CS83" i="13"/>
  <c r="CT83" i="13"/>
  <c r="CU83" i="13"/>
  <c r="CV83" i="13"/>
  <c r="CW83" i="13"/>
  <c r="CX83" i="13"/>
  <c r="CY83" i="13"/>
  <c r="CZ83" i="13"/>
  <c r="DA83" i="13"/>
  <c r="DB83" i="13"/>
  <c r="DH83" i="13"/>
  <c r="DI83" i="13"/>
  <c r="DJ83" i="13"/>
  <c r="H84" i="13"/>
  <c r="I84" i="13"/>
  <c r="J84" i="13"/>
  <c r="K84" i="13"/>
  <c r="L84" i="13"/>
  <c r="M84" i="13"/>
  <c r="N84" i="13"/>
  <c r="O84" i="13"/>
  <c r="P84" i="13"/>
  <c r="Q84" i="13"/>
  <c r="R84" i="13"/>
  <c r="S84" i="13"/>
  <c r="T84" i="13"/>
  <c r="U84" i="13"/>
  <c r="V84" i="13"/>
  <c r="W84" i="13"/>
  <c r="X84" i="13"/>
  <c r="Y84" i="13"/>
  <c r="Z84" i="13"/>
  <c r="AA84" i="13"/>
  <c r="AB84" i="13"/>
  <c r="AC84" i="13"/>
  <c r="AD84" i="13"/>
  <c r="AE84" i="13"/>
  <c r="AG84" i="13"/>
  <c r="AH84" i="13"/>
  <c r="AI84" i="13"/>
  <c r="AJ84" i="13"/>
  <c r="AK84" i="13"/>
  <c r="AL84" i="13"/>
  <c r="AM84" i="13"/>
  <c r="AN84" i="13"/>
  <c r="AO84" i="13"/>
  <c r="AP84" i="13"/>
  <c r="AQ84" i="13"/>
  <c r="AR84" i="13"/>
  <c r="AS84" i="13"/>
  <c r="AT84" i="13"/>
  <c r="AU84" i="13"/>
  <c r="AV84" i="13"/>
  <c r="AW84" i="13"/>
  <c r="AX84" i="13"/>
  <c r="AY84" i="13"/>
  <c r="AZ84" i="13"/>
  <c r="BA84" i="13"/>
  <c r="BB84" i="13"/>
  <c r="BC84" i="13"/>
  <c r="BD84" i="13"/>
  <c r="BF84" i="13"/>
  <c r="BG84" i="13"/>
  <c r="BH84" i="13"/>
  <c r="BI84" i="13"/>
  <c r="BJ84" i="13"/>
  <c r="BK84" i="13"/>
  <c r="BL84" i="13"/>
  <c r="BM84" i="13"/>
  <c r="BN84" i="13"/>
  <c r="BO84" i="13"/>
  <c r="BP84" i="13"/>
  <c r="BQ84" i="13"/>
  <c r="BR84" i="13"/>
  <c r="BS84" i="13"/>
  <c r="BT84" i="13"/>
  <c r="BU84" i="13"/>
  <c r="BV84" i="13"/>
  <c r="BW84" i="13"/>
  <c r="BX84" i="13"/>
  <c r="BY84" i="13"/>
  <c r="BZ84" i="13"/>
  <c r="CA84" i="13"/>
  <c r="CB84" i="13"/>
  <c r="CC84" i="13"/>
  <c r="CE84" i="13"/>
  <c r="CF84" i="13"/>
  <c r="CG84" i="13"/>
  <c r="CH84" i="13"/>
  <c r="CI84" i="13"/>
  <c r="CJ84" i="13"/>
  <c r="CK84" i="13"/>
  <c r="CL84" i="13"/>
  <c r="CM84" i="13"/>
  <c r="CN84" i="13"/>
  <c r="CO84" i="13"/>
  <c r="CP84" i="13"/>
  <c r="CQ84" i="13"/>
  <c r="CR84" i="13"/>
  <c r="CS84" i="13"/>
  <c r="CT84" i="13"/>
  <c r="CU84" i="13"/>
  <c r="CV84" i="13"/>
  <c r="CW84" i="13"/>
  <c r="CX84" i="13"/>
  <c r="CY84" i="13"/>
  <c r="CZ84" i="13"/>
  <c r="DA84" i="13"/>
  <c r="DB84" i="13"/>
  <c r="DH84" i="13"/>
  <c r="DI84" i="13"/>
  <c r="DJ84" i="13"/>
  <c r="H85" i="13"/>
  <c r="I85" i="13"/>
  <c r="J85" i="13"/>
  <c r="K85" i="13"/>
  <c r="L85" i="13"/>
  <c r="M85" i="13"/>
  <c r="N85" i="13"/>
  <c r="O85" i="13"/>
  <c r="P85" i="13"/>
  <c r="Q85" i="13"/>
  <c r="R85" i="13"/>
  <c r="S85" i="13"/>
  <c r="T85" i="13"/>
  <c r="U85" i="13"/>
  <c r="V85" i="13"/>
  <c r="W85" i="13"/>
  <c r="X85" i="13"/>
  <c r="Y85" i="13"/>
  <c r="Z85" i="13"/>
  <c r="AA85" i="13"/>
  <c r="AB85" i="13"/>
  <c r="AC85" i="13"/>
  <c r="AD85" i="13"/>
  <c r="AE85" i="13"/>
  <c r="AG85" i="13"/>
  <c r="AH85" i="13"/>
  <c r="AI85" i="13"/>
  <c r="AJ85" i="13"/>
  <c r="AK85" i="13"/>
  <c r="AL85" i="13"/>
  <c r="AM85" i="13"/>
  <c r="AN85" i="13"/>
  <c r="AO85" i="13"/>
  <c r="AP85" i="13"/>
  <c r="AQ85" i="13"/>
  <c r="AR85" i="13"/>
  <c r="AS85" i="13"/>
  <c r="AT85" i="13"/>
  <c r="AU85" i="13"/>
  <c r="AV85" i="13"/>
  <c r="AW85" i="13"/>
  <c r="AX85" i="13"/>
  <c r="AY85" i="13"/>
  <c r="AZ85" i="13"/>
  <c r="BA85" i="13"/>
  <c r="BB85" i="13"/>
  <c r="BC85" i="13"/>
  <c r="BD85" i="13"/>
  <c r="BF85" i="13"/>
  <c r="BG85" i="13"/>
  <c r="BH85" i="13"/>
  <c r="BI85" i="13"/>
  <c r="BJ85" i="13"/>
  <c r="BK85" i="13"/>
  <c r="BL85" i="13"/>
  <c r="BM85" i="13"/>
  <c r="BN85" i="13"/>
  <c r="BO85" i="13"/>
  <c r="BP85" i="13"/>
  <c r="BQ85" i="13"/>
  <c r="BR85" i="13"/>
  <c r="BS85" i="13"/>
  <c r="BT85" i="13"/>
  <c r="BU85" i="13"/>
  <c r="BV85" i="13"/>
  <c r="BW85" i="13"/>
  <c r="BX85" i="13"/>
  <c r="BY85" i="13"/>
  <c r="BZ85" i="13"/>
  <c r="CA85" i="13"/>
  <c r="CB85" i="13"/>
  <c r="CC85" i="13"/>
  <c r="CE85" i="13"/>
  <c r="CF85" i="13"/>
  <c r="CG85" i="13"/>
  <c r="CH85" i="13"/>
  <c r="CI85" i="13"/>
  <c r="CJ85" i="13"/>
  <c r="CK85" i="13"/>
  <c r="CL85" i="13"/>
  <c r="CM85" i="13"/>
  <c r="CN85" i="13"/>
  <c r="CO85" i="13"/>
  <c r="CP85" i="13"/>
  <c r="CQ85" i="13"/>
  <c r="CR85" i="13"/>
  <c r="CS85" i="13"/>
  <c r="CT85" i="13"/>
  <c r="CU85" i="13"/>
  <c r="CV85" i="13"/>
  <c r="CW85" i="13"/>
  <c r="CX85" i="13"/>
  <c r="CY85" i="13"/>
  <c r="CZ85" i="13"/>
  <c r="DA85" i="13"/>
  <c r="DB85" i="13"/>
  <c r="DH85" i="13"/>
  <c r="DI85" i="13"/>
  <c r="DJ85" i="13"/>
  <c r="H86" i="13"/>
  <c r="I86" i="13"/>
  <c r="J86" i="13"/>
  <c r="K86" i="13"/>
  <c r="L86" i="13"/>
  <c r="M86" i="13"/>
  <c r="N86" i="13"/>
  <c r="O86" i="13"/>
  <c r="P86" i="13"/>
  <c r="Q86" i="13"/>
  <c r="R86" i="13"/>
  <c r="S86" i="13"/>
  <c r="T86" i="13"/>
  <c r="U86" i="13"/>
  <c r="V86" i="13"/>
  <c r="W86" i="13"/>
  <c r="X86" i="13"/>
  <c r="Y86" i="13"/>
  <c r="Z86" i="13"/>
  <c r="AA86" i="13"/>
  <c r="AB86" i="13"/>
  <c r="AC86" i="13"/>
  <c r="AD86" i="13"/>
  <c r="AE86" i="13"/>
  <c r="AG86" i="13"/>
  <c r="AH86" i="13"/>
  <c r="AI86" i="13"/>
  <c r="AJ86" i="13"/>
  <c r="AK86" i="13"/>
  <c r="AL86" i="13"/>
  <c r="AM86" i="13"/>
  <c r="AN86" i="13"/>
  <c r="AO86" i="13"/>
  <c r="AP86" i="13"/>
  <c r="AQ86" i="13"/>
  <c r="AR86" i="13"/>
  <c r="AS86" i="13"/>
  <c r="AT86" i="13"/>
  <c r="AU86" i="13"/>
  <c r="AV86" i="13"/>
  <c r="AW86" i="13"/>
  <c r="AX86" i="13"/>
  <c r="AY86" i="13"/>
  <c r="AZ86" i="13"/>
  <c r="BA86" i="13"/>
  <c r="BB86" i="13"/>
  <c r="BC86" i="13"/>
  <c r="BD86" i="13"/>
  <c r="BF86" i="13"/>
  <c r="BG86" i="13"/>
  <c r="BH86" i="13"/>
  <c r="BI86" i="13"/>
  <c r="BJ86" i="13"/>
  <c r="BK86" i="13"/>
  <c r="BL86" i="13"/>
  <c r="BM86" i="13"/>
  <c r="BN86" i="13"/>
  <c r="BO86" i="13"/>
  <c r="BP86" i="13"/>
  <c r="BQ86" i="13"/>
  <c r="BR86" i="13"/>
  <c r="BS86" i="13"/>
  <c r="BT86" i="13"/>
  <c r="BU86" i="13"/>
  <c r="BV86" i="13"/>
  <c r="BW86" i="13"/>
  <c r="BX86" i="13"/>
  <c r="BY86" i="13"/>
  <c r="BZ86" i="13"/>
  <c r="CA86" i="13"/>
  <c r="CB86" i="13"/>
  <c r="CC86" i="13"/>
  <c r="CE86" i="13"/>
  <c r="CF86" i="13"/>
  <c r="CG86" i="13"/>
  <c r="CH86" i="13"/>
  <c r="CI86" i="13"/>
  <c r="CJ86" i="13"/>
  <c r="CK86" i="13"/>
  <c r="CL86" i="13"/>
  <c r="CM86" i="13"/>
  <c r="CN86" i="13"/>
  <c r="CO86" i="13"/>
  <c r="CP86" i="13"/>
  <c r="CQ86" i="13"/>
  <c r="CR86" i="13"/>
  <c r="CS86" i="13"/>
  <c r="CT86" i="13"/>
  <c r="CU86" i="13"/>
  <c r="CV86" i="13"/>
  <c r="CW86" i="13"/>
  <c r="CX86" i="13"/>
  <c r="CY86" i="13"/>
  <c r="CZ86" i="13"/>
  <c r="DA86" i="13"/>
  <c r="DB86" i="13"/>
  <c r="DH86" i="13"/>
  <c r="DI86" i="13"/>
  <c r="DJ86" i="13"/>
  <c r="H87" i="13"/>
  <c r="I87" i="13"/>
  <c r="J87" i="13"/>
  <c r="K87" i="13"/>
  <c r="L87" i="13"/>
  <c r="M87" i="13"/>
  <c r="N87" i="13"/>
  <c r="O87" i="13"/>
  <c r="P87" i="13"/>
  <c r="Q87" i="13"/>
  <c r="R87" i="13"/>
  <c r="S87" i="13"/>
  <c r="T87" i="13"/>
  <c r="U87" i="13"/>
  <c r="V87" i="13"/>
  <c r="W87" i="13"/>
  <c r="X87" i="13"/>
  <c r="Y87" i="13"/>
  <c r="Z87" i="13"/>
  <c r="AA87" i="13"/>
  <c r="AB87" i="13"/>
  <c r="AC87" i="13"/>
  <c r="AD87" i="13"/>
  <c r="AE87" i="13"/>
  <c r="AG87" i="13"/>
  <c r="AH87" i="13"/>
  <c r="AI87" i="13"/>
  <c r="AJ87" i="13"/>
  <c r="AK87" i="13"/>
  <c r="AL87" i="13"/>
  <c r="AM87" i="13"/>
  <c r="AN87" i="13"/>
  <c r="AO87" i="13"/>
  <c r="AP87" i="13"/>
  <c r="AQ87" i="13"/>
  <c r="AR87" i="13"/>
  <c r="AS87" i="13"/>
  <c r="AT87" i="13"/>
  <c r="AU87" i="13"/>
  <c r="AV87" i="13"/>
  <c r="AW87" i="13"/>
  <c r="AX87" i="13"/>
  <c r="AY87" i="13"/>
  <c r="AZ87" i="13"/>
  <c r="BA87" i="13"/>
  <c r="BB87" i="13"/>
  <c r="BC87" i="13"/>
  <c r="BD87" i="13"/>
  <c r="BF87" i="13"/>
  <c r="BG87" i="13"/>
  <c r="BH87" i="13"/>
  <c r="BI87" i="13"/>
  <c r="BJ87" i="13"/>
  <c r="BK87" i="13"/>
  <c r="BL87" i="13"/>
  <c r="BM87" i="13"/>
  <c r="BN87" i="13"/>
  <c r="BO87" i="13"/>
  <c r="BP87" i="13"/>
  <c r="BQ87" i="13"/>
  <c r="BR87" i="13"/>
  <c r="BS87" i="13"/>
  <c r="BT87" i="13"/>
  <c r="BU87" i="13"/>
  <c r="BV87" i="13"/>
  <c r="BW87" i="13"/>
  <c r="BX87" i="13"/>
  <c r="BY87" i="13"/>
  <c r="BZ87" i="13"/>
  <c r="CA87" i="13"/>
  <c r="CB87" i="13"/>
  <c r="CC87" i="13"/>
  <c r="CE87" i="13"/>
  <c r="CF87" i="13"/>
  <c r="CG87" i="13"/>
  <c r="CH87" i="13"/>
  <c r="CI87" i="13"/>
  <c r="CJ87" i="13"/>
  <c r="CK87" i="13"/>
  <c r="CL87" i="13"/>
  <c r="CM87" i="13"/>
  <c r="CN87" i="13"/>
  <c r="CO87" i="13"/>
  <c r="CP87" i="13"/>
  <c r="CQ87" i="13"/>
  <c r="CR87" i="13"/>
  <c r="CS87" i="13"/>
  <c r="CT87" i="13"/>
  <c r="CU87" i="13"/>
  <c r="CV87" i="13"/>
  <c r="CW87" i="13"/>
  <c r="CX87" i="13"/>
  <c r="CY87" i="13"/>
  <c r="CZ87" i="13"/>
  <c r="DA87" i="13"/>
  <c r="DB87" i="13"/>
  <c r="DH87" i="13"/>
  <c r="DI87" i="13"/>
  <c r="DJ87" i="13"/>
  <c r="H88" i="13"/>
  <c r="I88" i="13"/>
  <c r="J88" i="13"/>
  <c r="K88" i="13"/>
  <c r="L88" i="13"/>
  <c r="M88" i="13"/>
  <c r="N88" i="13"/>
  <c r="O88" i="13"/>
  <c r="P88" i="13"/>
  <c r="Q88" i="13"/>
  <c r="R88" i="13"/>
  <c r="S88" i="13"/>
  <c r="T88" i="13"/>
  <c r="U88" i="13"/>
  <c r="V88" i="13"/>
  <c r="W88" i="13"/>
  <c r="X88" i="13"/>
  <c r="Y88" i="13"/>
  <c r="Z88" i="13"/>
  <c r="AA88" i="13"/>
  <c r="AB88" i="13"/>
  <c r="AC88" i="13"/>
  <c r="AD88" i="13"/>
  <c r="AE88" i="13"/>
  <c r="AG88" i="13"/>
  <c r="AH88" i="13"/>
  <c r="AI88" i="13"/>
  <c r="AJ88" i="13"/>
  <c r="AK88" i="13"/>
  <c r="AL88" i="13"/>
  <c r="AM88" i="13"/>
  <c r="AN88" i="13"/>
  <c r="AO88" i="13"/>
  <c r="AP88" i="13"/>
  <c r="AQ88" i="13"/>
  <c r="AR88" i="13"/>
  <c r="AS88" i="13"/>
  <c r="AT88" i="13"/>
  <c r="AU88" i="13"/>
  <c r="AV88" i="13"/>
  <c r="AW88" i="13"/>
  <c r="AX88" i="13"/>
  <c r="AY88" i="13"/>
  <c r="AZ88" i="13"/>
  <c r="BA88" i="13"/>
  <c r="BB88" i="13"/>
  <c r="BC88" i="13"/>
  <c r="BD88" i="13"/>
  <c r="BF88" i="13"/>
  <c r="BG88" i="13"/>
  <c r="BH88" i="13"/>
  <c r="BI88" i="13"/>
  <c r="BJ88" i="13"/>
  <c r="BK88" i="13"/>
  <c r="BL88" i="13"/>
  <c r="BM88" i="13"/>
  <c r="BN88" i="13"/>
  <c r="BO88" i="13"/>
  <c r="BP88" i="13"/>
  <c r="BQ88" i="13"/>
  <c r="BR88" i="13"/>
  <c r="BS88" i="13"/>
  <c r="BT88" i="13"/>
  <c r="BU88" i="13"/>
  <c r="BV88" i="13"/>
  <c r="BW88" i="13"/>
  <c r="BX88" i="13"/>
  <c r="BY88" i="13"/>
  <c r="BZ88" i="13"/>
  <c r="CA88" i="13"/>
  <c r="CB88" i="13"/>
  <c r="CC88" i="13"/>
  <c r="CE88" i="13"/>
  <c r="CF88" i="13"/>
  <c r="CG88" i="13"/>
  <c r="CH88" i="13"/>
  <c r="CI88" i="13"/>
  <c r="CJ88" i="13"/>
  <c r="CK88" i="13"/>
  <c r="CL88" i="13"/>
  <c r="CM88" i="13"/>
  <c r="CN88" i="13"/>
  <c r="CO88" i="13"/>
  <c r="CP88" i="13"/>
  <c r="CQ88" i="13"/>
  <c r="CR88" i="13"/>
  <c r="CS88" i="13"/>
  <c r="CT88" i="13"/>
  <c r="CU88" i="13"/>
  <c r="CV88" i="13"/>
  <c r="CW88" i="13"/>
  <c r="CX88" i="13"/>
  <c r="CY88" i="13"/>
  <c r="CZ88" i="13"/>
  <c r="DA88" i="13"/>
  <c r="DB88" i="13"/>
  <c r="DH88" i="13"/>
  <c r="DI88" i="13"/>
  <c r="DJ88" i="13"/>
  <c r="H89" i="13"/>
  <c r="I89" i="13"/>
  <c r="J89" i="13"/>
  <c r="K89" i="13"/>
  <c r="L89" i="13"/>
  <c r="M89" i="13"/>
  <c r="N89" i="13"/>
  <c r="O89" i="13"/>
  <c r="P89" i="13"/>
  <c r="Q89" i="13"/>
  <c r="R89" i="13"/>
  <c r="S89" i="13"/>
  <c r="T89" i="13"/>
  <c r="U89" i="13"/>
  <c r="V89" i="13"/>
  <c r="W89" i="13"/>
  <c r="X89" i="13"/>
  <c r="Y89" i="13"/>
  <c r="Z89" i="13"/>
  <c r="AA89" i="13"/>
  <c r="AB89" i="13"/>
  <c r="AC89" i="13"/>
  <c r="AD89" i="13"/>
  <c r="AE89" i="13"/>
  <c r="AG89" i="13"/>
  <c r="AH89" i="13"/>
  <c r="AI89" i="13"/>
  <c r="AJ89" i="13"/>
  <c r="AK89" i="13"/>
  <c r="AL89" i="13"/>
  <c r="AM89" i="13"/>
  <c r="AN89" i="13"/>
  <c r="AO89" i="13"/>
  <c r="AP89" i="13"/>
  <c r="AQ89" i="13"/>
  <c r="AR89" i="13"/>
  <c r="AS89" i="13"/>
  <c r="AT89" i="13"/>
  <c r="AU89" i="13"/>
  <c r="AV89" i="13"/>
  <c r="AW89" i="13"/>
  <c r="AX89" i="13"/>
  <c r="AY89" i="13"/>
  <c r="AZ89" i="13"/>
  <c r="BA89" i="13"/>
  <c r="BB89" i="13"/>
  <c r="BC89" i="13"/>
  <c r="BD89" i="13"/>
  <c r="BF89" i="13"/>
  <c r="BG89" i="13"/>
  <c r="BH89" i="13"/>
  <c r="BI89" i="13"/>
  <c r="BJ89" i="13"/>
  <c r="BK89" i="13"/>
  <c r="BL89" i="13"/>
  <c r="BM89" i="13"/>
  <c r="BN89" i="13"/>
  <c r="BO89" i="13"/>
  <c r="BP89" i="13"/>
  <c r="BQ89" i="13"/>
  <c r="BR89" i="13"/>
  <c r="BS89" i="13"/>
  <c r="BT89" i="13"/>
  <c r="BU89" i="13"/>
  <c r="BV89" i="13"/>
  <c r="BW89" i="13"/>
  <c r="BX89" i="13"/>
  <c r="BY89" i="13"/>
  <c r="BZ89" i="13"/>
  <c r="CA89" i="13"/>
  <c r="CB89" i="13"/>
  <c r="CC89" i="13"/>
  <c r="CE89" i="13"/>
  <c r="CF89" i="13"/>
  <c r="CG89" i="13"/>
  <c r="CH89" i="13"/>
  <c r="CI89" i="13"/>
  <c r="CJ89" i="13"/>
  <c r="CK89" i="13"/>
  <c r="CL89" i="13"/>
  <c r="CM89" i="13"/>
  <c r="CN89" i="13"/>
  <c r="CO89" i="13"/>
  <c r="CP89" i="13"/>
  <c r="CQ89" i="13"/>
  <c r="CR89" i="13"/>
  <c r="CS89" i="13"/>
  <c r="CT89" i="13"/>
  <c r="CU89" i="13"/>
  <c r="CV89" i="13"/>
  <c r="CW89" i="13"/>
  <c r="CX89" i="13"/>
  <c r="CY89" i="13"/>
  <c r="CZ89" i="13"/>
  <c r="DA89" i="13"/>
  <c r="DB89" i="13"/>
  <c r="DH89" i="13"/>
  <c r="DI89" i="13"/>
  <c r="DJ89" i="13"/>
  <c r="H90" i="13"/>
  <c r="I90" i="13"/>
  <c r="J90" i="13"/>
  <c r="K90" i="13"/>
  <c r="L90" i="13"/>
  <c r="M90" i="13"/>
  <c r="N90" i="13"/>
  <c r="O90" i="13"/>
  <c r="P90" i="13"/>
  <c r="Q90" i="13"/>
  <c r="R90" i="13"/>
  <c r="S90" i="13"/>
  <c r="T90" i="13"/>
  <c r="U90" i="13"/>
  <c r="V90" i="13"/>
  <c r="W90" i="13"/>
  <c r="X90" i="13"/>
  <c r="Y90" i="13"/>
  <c r="Z90" i="13"/>
  <c r="AA90" i="13"/>
  <c r="AB90" i="13"/>
  <c r="AC90" i="13"/>
  <c r="AD90" i="13"/>
  <c r="AE90" i="13"/>
  <c r="AG90" i="13"/>
  <c r="AH90" i="13"/>
  <c r="AI90" i="13"/>
  <c r="AJ90" i="13"/>
  <c r="AK90" i="13"/>
  <c r="AL90" i="13"/>
  <c r="AM90" i="13"/>
  <c r="AN90" i="13"/>
  <c r="AO90" i="13"/>
  <c r="AP90" i="13"/>
  <c r="AQ90" i="13"/>
  <c r="AR90" i="13"/>
  <c r="AS90" i="13"/>
  <c r="AT90" i="13"/>
  <c r="AU90" i="13"/>
  <c r="AV90" i="13"/>
  <c r="AW90" i="13"/>
  <c r="AX90" i="13"/>
  <c r="AY90" i="13"/>
  <c r="AZ90" i="13"/>
  <c r="BA90" i="13"/>
  <c r="BB90" i="13"/>
  <c r="BC90" i="13"/>
  <c r="BD90" i="13"/>
  <c r="BF90" i="13"/>
  <c r="BG90" i="13"/>
  <c r="BH90" i="13"/>
  <c r="BI90" i="13"/>
  <c r="BJ90" i="13"/>
  <c r="BK90" i="13"/>
  <c r="BL90" i="13"/>
  <c r="BM90" i="13"/>
  <c r="BN90" i="13"/>
  <c r="BO90" i="13"/>
  <c r="BP90" i="13"/>
  <c r="BQ90" i="13"/>
  <c r="BR90" i="13"/>
  <c r="BS90" i="13"/>
  <c r="BT90" i="13"/>
  <c r="BU90" i="13"/>
  <c r="BV90" i="13"/>
  <c r="BW90" i="13"/>
  <c r="BX90" i="13"/>
  <c r="BY90" i="13"/>
  <c r="BZ90" i="13"/>
  <c r="CA90" i="13"/>
  <c r="CB90" i="13"/>
  <c r="CC90" i="13"/>
  <c r="CE90" i="13"/>
  <c r="CF90" i="13"/>
  <c r="CG90" i="13"/>
  <c r="CH90" i="13"/>
  <c r="CI90" i="13"/>
  <c r="CJ90" i="13"/>
  <c r="CK90" i="13"/>
  <c r="CL90" i="13"/>
  <c r="CM90" i="13"/>
  <c r="CN90" i="13"/>
  <c r="CO90" i="13"/>
  <c r="CP90" i="13"/>
  <c r="CQ90" i="13"/>
  <c r="CR90" i="13"/>
  <c r="CS90" i="13"/>
  <c r="CT90" i="13"/>
  <c r="CU90" i="13"/>
  <c r="CV90" i="13"/>
  <c r="CW90" i="13"/>
  <c r="CX90" i="13"/>
  <c r="CY90" i="13"/>
  <c r="CZ90" i="13"/>
  <c r="DA90" i="13"/>
  <c r="DB90" i="13"/>
  <c r="DH90" i="13"/>
  <c r="DI90" i="13"/>
  <c r="DJ90" i="13"/>
  <c r="H91" i="13"/>
  <c r="I91" i="13"/>
  <c r="J91" i="13"/>
  <c r="K91" i="13"/>
  <c r="L91" i="13"/>
  <c r="M91" i="13"/>
  <c r="N91" i="13"/>
  <c r="O91" i="13"/>
  <c r="P91" i="13"/>
  <c r="Q91" i="13"/>
  <c r="R91" i="13"/>
  <c r="S91" i="13"/>
  <c r="T91" i="13"/>
  <c r="U91" i="13"/>
  <c r="V91" i="13"/>
  <c r="W91" i="13"/>
  <c r="X91" i="13"/>
  <c r="Y91" i="13"/>
  <c r="Z91" i="13"/>
  <c r="AA91" i="13"/>
  <c r="AB91" i="13"/>
  <c r="AC91" i="13"/>
  <c r="AD91" i="13"/>
  <c r="AE91" i="13"/>
  <c r="AG91" i="13"/>
  <c r="AH91" i="13"/>
  <c r="AI91" i="13"/>
  <c r="AJ91" i="13"/>
  <c r="AK91" i="13"/>
  <c r="AL91" i="13"/>
  <c r="AM91" i="13"/>
  <c r="AN91" i="13"/>
  <c r="AO91" i="13"/>
  <c r="AP91" i="13"/>
  <c r="AQ91" i="13"/>
  <c r="AR91" i="13"/>
  <c r="AS91" i="13"/>
  <c r="AT91" i="13"/>
  <c r="AU91" i="13"/>
  <c r="AV91" i="13"/>
  <c r="AW91" i="13"/>
  <c r="AX91" i="13"/>
  <c r="AY91" i="13"/>
  <c r="AZ91" i="13"/>
  <c r="BA91" i="13"/>
  <c r="BB91" i="13"/>
  <c r="BC91" i="13"/>
  <c r="BD91" i="13"/>
  <c r="BF91" i="13"/>
  <c r="BG91" i="13"/>
  <c r="BH91" i="13"/>
  <c r="BI91" i="13"/>
  <c r="BJ91" i="13"/>
  <c r="BK91" i="13"/>
  <c r="BL91" i="13"/>
  <c r="BM91" i="13"/>
  <c r="BN91" i="13"/>
  <c r="BO91" i="13"/>
  <c r="BP91" i="13"/>
  <c r="BQ91" i="13"/>
  <c r="BR91" i="13"/>
  <c r="BS91" i="13"/>
  <c r="BT91" i="13"/>
  <c r="BU91" i="13"/>
  <c r="BV91" i="13"/>
  <c r="BW91" i="13"/>
  <c r="BX91" i="13"/>
  <c r="BY91" i="13"/>
  <c r="BZ91" i="13"/>
  <c r="CA91" i="13"/>
  <c r="CB91" i="13"/>
  <c r="CC91" i="13"/>
  <c r="CE91" i="13"/>
  <c r="CF91" i="13"/>
  <c r="CG91" i="13"/>
  <c r="CH91" i="13"/>
  <c r="CI91" i="13"/>
  <c r="CJ91" i="13"/>
  <c r="CK91" i="13"/>
  <c r="CL91" i="13"/>
  <c r="CM91" i="13"/>
  <c r="CN91" i="13"/>
  <c r="CO91" i="13"/>
  <c r="CP91" i="13"/>
  <c r="CQ91" i="13"/>
  <c r="CR91" i="13"/>
  <c r="CS91" i="13"/>
  <c r="CT91" i="13"/>
  <c r="CU91" i="13"/>
  <c r="CV91" i="13"/>
  <c r="CW91" i="13"/>
  <c r="CX91" i="13"/>
  <c r="CY91" i="13"/>
  <c r="CZ91" i="13"/>
  <c r="DA91" i="13"/>
  <c r="DB91" i="13"/>
  <c r="DH91" i="13"/>
  <c r="DI91" i="13"/>
  <c r="DJ91" i="13"/>
  <c r="H92" i="13"/>
  <c r="I92" i="13"/>
  <c r="J92" i="13"/>
  <c r="K92" i="13"/>
  <c r="L92" i="13"/>
  <c r="M92" i="13"/>
  <c r="N92" i="13"/>
  <c r="O92" i="13"/>
  <c r="P92" i="13"/>
  <c r="Q92" i="13"/>
  <c r="R92" i="13"/>
  <c r="S92" i="13"/>
  <c r="T92" i="13"/>
  <c r="U92" i="13"/>
  <c r="V92" i="13"/>
  <c r="W92" i="13"/>
  <c r="X92" i="13"/>
  <c r="Y92" i="13"/>
  <c r="Z92" i="13"/>
  <c r="AA92" i="13"/>
  <c r="AB92" i="13"/>
  <c r="AC92" i="13"/>
  <c r="AD92" i="13"/>
  <c r="AE92" i="13"/>
  <c r="AG92" i="13"/>
  <c r="AH92" i="13"/>
  <c r="AI92" i="13"/>
  <c r="AJ92" i="13"/>
  <c r="AK92" i="13"/>
  <c r="AL92" i="13"/>
  <c r="AM92" i="13"/>
  <c r="AN92" i="13"/>
  <c r="AO92" i="13"/>
  <c r="AP92" i="13"/>
  <c r="AQ92" i="13"/>
  <c r="AR92" i="13"/>
  <c r="AS92" i="13"/>
  <c r="AT92" i="13"/>
  <c r="AU92" i="13"/>
  <c r="AV92" i="13"/>
  <c r="AW92" i="13"/>
  <c r="AX92" i="13"/>
  <c r="AY92" i="13"/>
  <c r="AZ92" i="13"/>
  <c r="BA92" i="13"/>
  <c r="BB92" i="13"/>
  <c r="BC92" i="13"/>
  <c r="BD92" i="13"/>
  <c r="BF92" i="13"/>
  <c r="BG92" i="13"/>
  <c r="BH92" i="13"/>
  <c r="BI92" i="13"/>
  <c r="BJ92" i="13"/>
  <c r="BK92" i="13"/>
  <c r="BL92" i="13"/>
  <c r="BM92" i="13"/>
  <c r="BN92" i="13"/>
  <c r="BO92" i="13"/>
  <c r="BP92" i="13"/>
  <c r="BQ92" i="13"/>
  <c r="BR92" i="13"/>
  <c r="BS92" i="13"/>
  <c r="BT92" i="13"/>
  <c r="BU92" i="13"/>
  <c r="BV92" i="13"/>
  <c r="BW92" i="13"/>
  <c r="BX92" i="13"/>
  <c r="BY92" i="13"/>
  <c r="BZ92" i="13"/>
  <c r="CA92" i="13"/>
  <c r="CB92" i="13"/>
  <c r="CC92" i="13"/>
  <c r="CE92" i="13"/>
  <c r="CF92" i="13"/>
  <c r="CG92" i="13"/>
  <c r="CH92" i="13"/>
  <c r="CI92" i="13"/>
  <c r="CJ92" i="13"/>
  <c r="CK92" i="13"/>
  <c r="CL92" i="13"/>
  <c r="CM92" i="13"/>
  <c r="CN92" i="13"/>
  <c r="CO92" i="13"/>
  <c r="CP92" i="13"/>
  <c r="CQ92" i="13"/>
  <c r="CR92" i="13"/>
  <c r="CS92" i="13"/>
  <c r="CT92" i="13"/>
  <c r="CU92" i="13"/>
  <c r="CV92" i="13"/>
  <c r="CW92" i="13"/>
  <c r="CX92" i="13"/>
  <c r="CY92" i="13"/>
  <c r="CZ92" i="13"/>
  <c r="DA92" i="13"/>
  <c r="DB92" i="13"/>
  <c r="DH92" i="13"/>
  <c r="DI92" i="13"/>
  <c r="DJ92" i="13"/>
  <c r="H93" i="13"/>
  <c r="I93" i="13"/>
  <c r="J93" i="13"/>
  <c r="K93" i="13"/>
  <c r="L93" i="13"/>
  <c r="M93" i="13"/>
  <c r="N93" i="13"/>
  <c r="O93" i="13"/>
  <c r="P93" i="13"/>
  <c r="Q93" i="13"/>
  <c r="R93" i="13"/>
  <c r="S93" i="13"/>
  <c r="T93" i="13"/>
  <c r="U93" i="13"/>
  <c r="V93" i="13"/>
  <c r="W93" i="13"/>
  <c r="X93" i="13"/>
  <c r="Y93" i="13"/>
  <c r="Z93" i="13"/>
  <c r="AA93" i="13"/>
  <c r="AB93" i="13"/>
  <c r="AC93" i="13"/>
  <c r="AD93" i="13"/>
  <c r="AE93" i="13"/>
  <c r="AG93" i="13"/>
  <c r="AH93" i="13"/>
  <c r="AI93" i="13"/>
  <c r="AJ93" i="13"/>
  <c r="AK93" i="13"/>
  <c r="AL93" i="13"/>
  <c r="AM93" i="13"/>
  <c r="AN93" i="13"/>
  <c r="AO93" i="13"/>
  <c r="AP93" i="13"/>
  <c r="AQ93" i="13"/>
  <c r="AR93" i="13"/>
  <c r="AS93" i="13"/>
  <c r="AT93" i="13"/>
  <c r="AU93" i="13"/>
  <c r="AV93" i="13"/>
  <c r="AW93" i="13"/>
  <c r="AX93" i="13"/>
  <c r="AY93" i="13"/>
  <c r="AZ93" i="13"/>
  <c r="BA93" i="13"/>
  <c r="BB93" i="13"/>
  <c r="BC93" i="13"/>
  <c r="BD93" i="13"/>
  <c r="BF93" i="13"/>
  <c r="BG93" i="13"/>
  <c r="BH93" i="13"/>
  <c r="BI93" i="13"/>
  <c r="BJ93" i="13"/>
  <c r="BK93" i="13"/>
  <c r="BL93" i="13"/>
  <c r="BM93" i="13"/>
  <c r="BN93" i="13"/>
  <c r="BO93" i="13"/>
  <c r="BP93" i="13"/>
  <c r="BQ93" i="13"/>
  <c r="BR93" i="13"/>
  <c r="BS93" i="13"/>
  <c r="BT93" i="13"/>
  <c r="BU93" i="13"/>
  <c r="BV93" i="13"/>
  <c r="BW93" i="13"/>
  <c r="BX93" i="13"/>
  <c r="BY93" i="13"/>
  <c r="BZ93" i="13"/>
  <c r="CA93" i="13"/>
  <c r="CB93" i="13"/>
  <c r="CC93" i="13"/>
  <c r="CE93" i="13"/>
  <c r="CF93" i="13"/>
  <c r="CG93" i="13"/>
  <c r="CH93" i="13"/>
  <c r="CI93" i="13"/>
  <c r="CJ93" i="13"/>
  <c r="CK93" i="13"/>
  <c r="CL93" i="13"/>
  <c r="CM93" i="13"/>
  <c r="CN93" i="13"/>
  <c r="CO93" i="13"/>
  <c r="CP93" i="13"/>
  <c r="CQ93" i="13"/>
  <c r="CR93" i="13"/>
  <c r="CS93" i="13"/>
  <c r="CT93" i="13"/>
  <c r="CU93" i="13"/>
  <c r="CV93" i="13"/>
  <c r="CW93" i="13"/>
  <c r="CX93" i="13"/>
  <c r="CY93" i="13"/>
  <c r="CZ93" i="13"/>
  <c r="DA93" i="13"/>
  <c r="DB93" i="13"/>
  <c r="DH93" i="13"/>
  <c r="DI93" i="13"/>
  <c r="DJ93" i="13"/>
  <c r="H94" i="13"/>
  <c r="I94" i="13"/>
  <c r="J94" i="13"/>
  <c r="K94" i="13"/>
  <c r="L94" i="13"/>
  <c r="M94" i="13"/>
  <c r="N94" i="13"/>
  <c r="O94" i="13"/>
  <c r="P94" i="13"/>
  <c r="Q94" i="13"/>
  <c r="R94" i="13"/>
  <c r="S94" i="13"/>
  <c r="T94" i="13"/>
  <c r="U94" i="13"/>
  <c r="V94" i="13"/>
  <c r="W94" i="13"/>
  <c r="X94" i="13"/>
  <c r="Y94" i="13"/>
  <c r="Z94" i="13"/>
  <c r="AA94" i="13"/>
  <c r="AB94" i="13"/>
  <c r="AC94" i="13"/>
  <c r="AD94" i="13"/>
  <c r="AE94" i="13"/>
  <c r="AG94" i="13"/>
  <c r="AH94" i="13"/>
  <c r="AI94" i="13"/>
  <c r="AJ94" i="13"/>
  <c r="AK94" i="13"/>
  <c r="AL94" i="13"/>
  <c r="AM94" i="13"/>
  <c r="AN94" i="13"/>
  <c r="AO94" i="13"/>
  <c r="AP94" i="13"/>
  <c r="AQ94" i="13"/>
  <c r="AR94" i="13"/>
  <c r="AS94" i="13"/>
  <c r="AT94" i="13"/>
  <c r="AU94" i="13"/>
  <c r="AV94" i="13"/>
  <c r="AW94" i="13"/>
  <c r="AX94" i="13"/>
  <c r="AY94" i="13"/>
  <c r="AZ94" i="13"/>
  <c r="BA94" i="13"/>
  <c r="BB94" i="13"/>
  <c r="BC94" i="13"/>
  <c r="BD94" i="13"/>
  <c r="BF94" i="13"/>
  <c r="BG94" i="13"/>
  <c r="BH94" i="13"/>
  <c r="BI94" i="13"/>
  <c r="BJ94" i="13"/>
  <c r="BK94" i="13"/>
  <c r="BL94" i="13"/>
  <c r="BM94" i="13"/>
  <c r="BN94" i="13"/>
  <c r="BO94" i="13"/>
  <c r="BP94" i="13"/>
  <c r="BQ94" i="13"/>
  <c r="BR94" i="13"/>
  <c r="BS94" i="13"/>
  <c r="BT94" i="13"/>
  <c r="BU94" i="13"/>
  <c r="BV94" i="13"/>
  <c r="BW94" i="13"/>
  <c r="BX94" i="13"/>
  <c r="BY94" i="13"/>
  <c r="BZ94" i="13"/>
  <c r="CA94" i="13"/>
  <c r="CB94" i="13"/>
  <c r="CC94" i="13"/>
  <c r="CE94" i="13"/>
  <c r="CF94" i="13"/>
  <c r="CG94" i="13"/>
  <c r="CH94" i="13"/>
  <c r="CI94" i="13"/>
  <c r="CJ94" i="13"/>
  <c r="CK94" i="13"/>
  <c r="CL94" i="13"/>
  <c r="CM94" i="13"/>
  <c r="CN94" i="13"/>
  <c r="CO94" i="13"/>
  <c r="CP94" i="13"/>
  <c r="CQ94" i="13"/>
  <c r="CR94" i="13"/>
  <c r="CS94" i="13"/>
  <c r="CT94" i="13"/>
  <c r="CU94" i="13"/>
  <c r="CV94" i="13"/>
  <c r="CW94" i="13"/>
  <c r="CX94" i="13"/>
  <c r="CY94" i="13"/>
  <c r="CZ94" i="13"/>
  <c r="DA94" i="13"/>
  <c r="DB94" i="13"/>
  <c r="DH94" i="13"/>
  <c r="DI94" i="13"/>
  <c r="DJ94" i="13"/>
  <c r="H95" i="13"/>
  <c r="I95" i="13"/>
  <c r="J95" i="13"/>
  <c r="K95" i="13"/>
  <c r="L95" i="13"/>
  <c r="M95" i="13"/>
  <c r="N95" i="13"/>
  <c r="O95" i="13"/>
  <c r="P95" i="13"/>
  <c r="Q95" i="13"/>
  <c r="R95" i="13"/>
  <c r="S95" i="13"/>
  <c r="T95" i="13"/>
  <c r="U95" i="13"/>
  <c r="V95" i="13"/>
  <c r="W95" i="13"/>
  <c r="X95" i="13"/>
  <c r="Y95" i="13"/>
  <c r="Z95" i="13"/>
  <c r="AA95" i="13"/>
  <c r="AB95" i="13"/>
  <c r="AC95" i="13"/>
  <c r="AD95" i="13"/>
  <c r="AE95" i="13"/>
  <c r="AG95" i="13"/>
  <c r="AH95" i="13"/>
  <c r="AI95" i="13"/>
  <c r="AJ95" i="13"/>
  <c r="AK95" i="13"/>
  <c r="AL95" i="13"/>
  <c r="AM95" i="13"/>
  <c r="AN95" i="13"/>
  <c r="AO95" i="13"/>
  <c r="AP95" i="13"/>
  <c r="AQ95" i="13"/>
  <c r="AR95" i="13"/>
  <c r="AS95" i="13"/>
  <c r="AT95" i="13"/>
  <c r="AU95" i="13"/>
  <c r="AV95" i="13"/>
  <c r="AW95" i="13"/>
  <c r="AX95" i="13"/>
  <c r="AY95" i="13"/>
  <c r="AZ95" i="13"/>
  <c r="BA95" i="13"/>
  <c r="BB95" i="13"/>
  <c r="BC95" i="13"/>
  <c r="BD95" i="13"/>
  <c r="BF95" i="13"/>
  <c r="BG95" i="13"/>
  <c r="BH95" i="13"/>
  <c r="BI95" i="13"/>
  <c r="BJ95" i="13"/>
  <c r="BK95" i="13"/>
  <c r="BL95" i="13"/>
  <c r="BM95" i="13"/>
  <c r="BN95" i="13"/>
  <c r="BO95" i="13"/>
  <c r="BP95" i="13"/>
  <c r="BQ95" i="13"/>
  <c r="BR95" i="13"/>
  <c r="BS95" i="13"/>
  <c r="BT95" i="13"/>
  <c r="BU95" i="13"/>
  <c r="BV95" i="13"/>
  <c r="BW95" i="13"/>
  <c r="BX95" i="13"/>
  <c r="BY95" i="13"/>
  <c r="BZ95" i="13"/>
  <c r="CA95" i="13"/>
  <c r="CB95" i="13"/>
  <c r="CC95" i="13"/>
  <c r="CE95" i="13"/>
  <c r="CF95" i="13"/>
  <c r="CG95" i="13"/>
  <c r="CH95" i="13"/>
  <c r="CI95" i="13"/>
  <c r="CJ95" i="13"/>
  <c r="CK95" i="13"/>
  <c r="CL95" i="13"/>
  <c r="CM95" i="13"/>
  <c r="CN95" i="13"/>
  <c r="CO95" i="13"/>
  <c r="CP95" i="13"/>
  <c r="CQ95" i="13"/>
  <c r="CR95" i="13"/>
  <c r="CS95" i="13"/>
  <c r="CT95" i="13"/>
  <c r="CU95" i="13"/>
  <c r="CV95" i="13"/>
  <c r="CW95" i="13"/>
  <c r="CX95" i="13"/>
  <c r="CY95" i="13"/>
  <c r="CZ95" i="13"/>
  <c r="DA95" i="13"/>
  <c r="DB95" i="13"/>
  <c r="DH95" i="13"/>
  <c r="DI95" i="13"/>
  <c r="DJ95" i="13"/>
  <c r="H96" i="13"/>
  <c r="I96" i="13"/>
  <c r="J96" i="13"/>
  <c r="K96" i="13"/>
  <c r="L96" i="13"/>
  <c r="M96" i="13"/>
  <c r="N96" i="13"/>
  <c r="O96" i="13"/>
  <c r="P96" i="13"/>
  <c r="Q96" i="13"/>
  <c r="R96" i="13"/>
  <c r="S96" i="13"/>
  <c r="T96" i="13"/>
  <c r="U96" i="13"/>
  <c r="V96" i="13"/>
  <c r="W96" i="13"/>
  <c r="X96" i="13"/>
  <c r="Y96" i="13"/>
  <c r="Z96" i="13"/>
  <c r="AA96" i="13"/>
  <c r="AB96" i="13"/>
  <c r="AC96" i="13"/>
  <c r="AD96" i="13"/>
  <c r="AE96" i="13"/>
  <c r="AG96" i="13"/>
  <c r="AH96" i="13"/>
  <c r="AI96" i="13"/>
  <c r="AJ96" i="13"/>
  <c r="AK96" i="13"/>
  <c r="AL96" i="13"/>
  <c r="AM96" i="13"/>
  <c r="AN96" i="13"/>
  <c r="AO96" i="13"/>
  <c r="AP96" i="13"/>
  <c r="AQ96" i="13"/>
  <c r="AR96" i="13"/>
  <c r="AS96" i="13"/>
  <c r="AT96" i="13"/>
  <c r="AU96" i="13"/>
  <c r="AV96" i="13"/>
  <c r="AW96" i="13"/>
  <c r="AX96" i="13"/>
  <c r="AY96" i="13"/>
  <c r="AZ96" i="13"/>
  <c r="BA96" i="13"/>
  <c r="BB96" i="13"/>
  <c r="BC96" i="13"/>
  <c r="BD96" i="13"/>
  <c r="BF96" i="13"/>
  <c r="BG96" i="13"/>
  <c r="BH96" i="13"/>
  <c r="BI96" i="13"/>
  <c r="BJ96" i="13"/>
  <c r="BK96" i="13"/>
  <c r="BL96" i="13"/>
  <c r="BM96" i="13"/>
  <c r="BN96" i="13"/>
  <c r="BO96" i="13"/>
  <c r="BP96" i="13"/>
  <c r="BQ96" i="13"/>
  <c r="BR96" i="13"/>
  <c r="BS96" i="13"/>
  <c r="BT96" i="13"/>
  <c r="BU96" i="13"/>
  <c r="BV96" i="13"/>
  <c r="BW96" i="13"/>
  <c r="BX96" i="13"/>
  <c r="BY96" i="13"/>
  <c r="BZ96" i="13"/>
  <c r="CA96" i="13"/>
  <c r="CB96" i="13"/>
  <c r="CC96" i="13"/>
  <c r="CE96" i="13"/>
  <c r="CF96" i="13"/>
  <c r="CG96" i="13"/>
  <c r="CH96" i="13"/>
  <c r="CI96" i="13"/>
  <c r="CJ96" i="13"/>
  <c r="CK96" i="13"/>
  <c r="CL96" i="13"/>
  <c r="CM96" i="13"/>
  <c r="CN96" i="13"/>
  <c r="CO96" i="13"/>
  <c r="CP96" i="13"/>
  <c r="CQ96" i="13"/>
  <c r="CR96" i="13"/>
  <c r="CS96" i="13"/>
  <c r="CT96" i="13"/>
  <c r="CU96" i="13"/>
  <c r="CV96" i="13"/>
  <c r="CW96" i="13"/>
  <c r="CX96" i="13"/>
  <c r="CY96" i="13"/>
  <c r="CZ96" i="13"/>
  <c r="DA96" i="13"/>
  <c r="DB96" i="13"/>
  <c r="DH96" i="13"/>
  <c r="DI96" i="13"/>
  <c r="DJ96" i="13"/>
  <c r="H97" i="13"/>
  <c r="I97" i="13"/>
  <c r="J97" i="13"/>
  <c r="K97" i="13"/>
  <c r="L97" i="13"/>
  <c r="M97" i="13"/>
  <c r="N97" i="13"/>
  <c r="O97" i="13"/>
  <c r="P97" i="13"/>
  <c r="Q97" i="13"/>
  <c r="R97" i="13"/>
  <c r="S97" i="13"/>
  <c r="T97" i="13"/>
  <c r="U97" i="13"/>
  <c r="V97" i="13"/>
  <c r="W97" i="13"/>
  <c r="X97" i="13"/>
  <c r="Y97" i="13"/>
  <c r="Z97" i="13"/>
  <c r="AA97" i="13"/>
  <c r="AB97" i="13"/>
  <c r="AC97" i="13"/>
  <c r="AD97" i="13"/>
  <c r="AE97" i="13"/>
  <c r="AG97" i="13"/>
  <c r="AH97" i="13"/>
  <c r="AI97" i="13"/>
  <c r="AJ97" i="13"/>
  <c r="AK97" i="13"/>
  <c r="AL97" i="13"/>
  <c r="AM97" i="13"/>
  <c r="AN97" i="13"/>
  <c r="AO97" i="13"/>
  <c r="AP97" i="13"/>
  <c r="AQ97" i="13"/>
  <c r="AR97" i="13"/>
  <c r="AS97" i="13"/>
  <c r="AT97" i="13"/>
  <c r="AU97" i="13"/>
  <c r="AV97" i="13"/>
  <c r="AW97" i="13"/>
  <c r="AX97" i="13"/>
  <c r="AY97" i="13"/>
  <c r="AZ97" i="13"/>
  <c r="BA97" i="13"/>
  <c r="BB97" i="13"/>
  <c r="BC97" i="13"/>
  <c r="BD97" i="13"/>
  <c r="BF97" i="13"/>
  <c r="BG97" i="13"/>
  <c r="BH97" i="13"/>
  <c r="BI97" i="13"/>
  <c r="BJ97" i="13"/>
  <c r="BK97" i="13"/>
  <c r="BL97" i="13"/>
  <c r="BM97" i="13"/>
  <c r="BN97" i="13"/>
  <c r="BO97" i="13"/>
  <c r="BP97" i="13"/>
  <c r="BQ97" i="13"/>
  <c r="BR97" i="13"/>
  <c r="BS97" i="13"/>
  <c r="BT97" i="13"/>
  <c r="BU97" i="13"/>
  <c r="BV97" i="13"/>
  <c r="BW97" i="13"/>
  <c r="BX97" i="13"/>
  <c r="BY97" i="13"/>
  <c r="BZ97" i="13"/>
  <c r="CA97" i="13"/>
  <c r="CB97" i="13"/>
  <c r="CC97" i="13"/>
  <c r="CE97" i="13"/>
  <c r="CF97" i="13"/>
  <c r="CG97" i="13"/>
  <c r="CH97" i="13"/>
  <c r="CI97" i="13"/>
  <c r="CJ97" i="13"/>
  <c r="CK97" i="13"/>
  <c r="CL97" i="13"/>
  <c r="CM97" i="13"/>
  <c r="CN97" i="13"/>
  <c r="CO97" i="13"/>
  <c r="CP97" i="13"/>
  <c r="CQ97" i="13"/>
  <c r="CR97" i="13"/>
  <c r="CS97" i="13"/>
  <c r="CT97" i="13"/>
  <c r="CU97" i="13"/>
  <c r="CV97" i="13"/>
  <c r="CW97" i="13"/>
  <c r="CX97" i="13"/>
  <c r="CY97" i="13"/>
  <c r="CZ97" i="13"/>
  <c r="DA97" i="13"/>
  <c r="DB97" i="13"/>
  <c r="DH97" i="13"/>
  <c r="DI97" i="13"/>
  <c r="DJ97" i="13"/>
  <c r="H98" i="13"/>
  <c r="I98" i="13"/>
  <c r="J98" i="13"/>
  <c r="K98" i="13"/>
  <c r="L98" i="13"/>
  <c r="M98" i="13"/>
  <c r="N98" i="13"/>
  <c r="O98" i="13"/>
  <c r="P98" i="13"/>
  <c r="Q98" i="13"/>
  <c r="R98" i="13"/>
  <c r="S98" i="13"/>
  <c r="T98" i="13"/>
  <c r="U98" i="13"/>
  <c r="V98" i="13"/>
  <c r="W98" i="13"/>
  <c r="X98" i="13"/>
  <c r="Y98" i="13"/>
  <c r="Z98" i="13"/>
  <c r="AA98" i="13"/>
  <c r="AB98" i="13"/>
  <c r="AC98" i="13"/>
  <c r="AD98" i="13"/>
  <c r="AE98" i="13"/>
  <c r="AG98" i="13"/>
  <c r="AH98" i="13"/>
  <c r="AI98" i="13"/>
  <c r="AJ98" i="13"/>
  <c r="AK98" i="13"/>
  <c r="AL98" i="13"/>
  <c r="AM98" i="13"/>
  <c r="AN98" i="13"/>
  <c r="AO98" i="13"/>
  <c r="AP98" i="13"/>
  <c r="AQ98" i="13"/>
  <c r="AR98" i="13"/>
  <c r="AS98" i="13"/>
  <c r="AT98" i="13"/>
  <c r="AU98" i="13"/>
  <c r="AV98" i="13"/>
  <c r="AW98" i="13"/>
  <c r="AX98" i="13"/>
  <c r="AY98" i="13"/>
  <c r="AZ98" i="13"/>
  <c r="BA98" i="13"/>
  <c r="BB98" i="13"/>
  <c r="BC98" i="13"/>
  <c r="BD98" i="13"/>
  <c r="BF98" i="13"/>
  <c r="BG98" i="13"/>
  <c r="BH98" i="13"/>
  <c r="BI98" i="13"/>
  <c r="BJ98" i="13"/>
  <c r="BK98" i="13"/>
  <c r="BL98" i="13"/>
  <c r="BM98" i="13"/>
  <c r="BN98" i="13"/>
  <c r="BO98" i="13"/>
  <c r="BP98" i="13"/>
  <c r="BQ98" i="13"/>
  <c r="BR98" i="13"/>
  <c r="BS98" i="13"/>
  <c r="BT98" i="13"/>
  <c r="BU98" i="13"/>
  <c r="BV98" i="13"/>
  <c r="BW98" i="13"/>
  <c r="BX98" i="13"/>
  <c r="BY98" i="13"/>
  <c r="BZ98" i="13"/>
  <c r="CA98" i="13"/>
  <c r="CB98" i="13"/>
  <c r="CC98" i="13"/>
  <c r="CE98" i="13"/>
  <c r="CF98" i="13"/>
  <c r="CG98" i="13"/>
  <c r="CH98" i="13"/>
  <c r="CI98" i="13"/>
  <c r="CJ98" i="13"/>
  <c r="CK98" i="13"/>
  <c r="CL98" i="13"/>
  <c r="CM98" i="13"/>
  <c r="CN98" i="13"/>
  <c r="CO98" i="13"/>
  <c r="CP98" i="13"/>
  <c r="CQ98" i="13"/>
  <c r="CR98" i="13"/>
  <c r="CS98" i="13"/>
  <c r="CT98" i="13"/>
  <c r="CU98" i="13"/>
  <c r="CV98" i="13"/>
  <c r="CW98" i="13"/>
  <c r="CX98" i="13"/>
  <c r="CY98" i="13"/>
  <c r="CZ98" i="13"/>
  <c r="DA98" i="13"/>
  <c r="DB98" i="13"/>
  <c r="DH98" i="13"/>
  <c r="DI98" i="13"/>
  <c r="DJ98" i="13"/>
  <c r="H99" i="13"/>
  <c r="I99" i="13"/>
  <c r="J99" i="13"/>
  <c r="K99" i="13"/>
  <c r="L99" i="13"/>
  <c r="M99" i="13"/>
  <c r="N99" i="13"/>
  <c r="O99" i="13"/>
  <c r="P99" i="13"/>
  <c r="Q99" i="13"/>
  <c r="R99" i="13"/>
  <c r="S99" i="13"/>
  <c r="T99" i="13"/>
  <c r="U99" i="13"/>
  <c r="V99" i="13"/>
  <c r="W99" i="13"/>
  <c r="X99" i="13"/>
  <c r="Y99" i="13"/>
  <c r="Z99" i="13"/>
  <c r="AA99" i="13"/>
  <c r="AB99" i="13"/>
  <c r="AC99" i="13"/>
  <c r="AD99" i="13"/>
  <c r="AE99" i="13"/>
  <c r="AG99" i="13"/>
  <c r="AH99" i="13"/>
  <c r="AI99" i="13"/>
  <c r="AJ99" i="13"/>
  <c r="AK99" i="13"/>
  <c r="AL99" i="13"/>
  <c r="AM99" i="13"/>
  <c r="AN99" i="13"/>
  <c r="AO99" i="13"/>
  <c r="AP99" i="13"/>
  <c r="AQ99" i="13"/>
  <c r="AR99" i="13"/>
  <c r="AS99" i="13"/>
  <c r="AT99" i="13"/>
  <c r="AU99" i="13"/>
  <c r="AV99" i="13"/>
  <c r="AW99" i="13"/>
  <c r="AX99" i="13"/>
  <c r="AY99" i="13"/>
  <c r="AZ99" i="13"/>
  <c r="BA99" i="13"/>
  <c r="BB99" i="13"/>
  <c r="BC99" i="13"/>
  <c r="BD99" i="13"/>
  <c r="BF99" i="13"/>
  <c r="BG99" i="13"/>
  <c r="BH99" i="13"/>
  <c r="BI99" i="13"/>
  <c r="BJ99" i="13"/>
  <c r="BK99" i="13"/>
  <c r="BL99" i="13"/>
  <c r="BM99" i="13"/>
  <c r="BN99" i="13"/>
  <c r="BO99" i="13"/>
  <c r="BP99" i="13"/>
  <c r="BQ99" i="13"/>
  <c r="BR99" i="13"/>
  <c r="BS99" i="13"/>
  <c r="BT99" i="13"/>
  <c r="BU99" i="13"/>
  <c r="BV99" i="13"/>
  <c r="BW99" i="13"/>
  <c r="BX99" i="13"/>
  <c r="BY99" i="13"/>
  <c r="BZ99" i="13"/>
  <c r="CA99" i="13"/>
  <c r="CB99" i="13"/>
  <c r="CC99" i="13"/>
  <c r="CE99" i="13"/>
  <c r="CF99" i="13"/>
  <c r="CG99" i="13"/>
  <c r="CH99" i="13"/>
  <c r="CI99" i="13"/>
  <c r="CJ99" i="13"/>
  <c r="CK99" i="13"/>
  <c r="CL99" i="13"/>
  <c r="CM99" i="13"/>
  <c r="CN99" i="13"/>
  <c r="CO99" i="13"/>
  <c r="CP99" i="13"/>
  <c r="CQ99" i="13"/>
  <c r="CR99" i="13"/>
  <c r="CS99" i="13"/>
  <c r="CT99" i="13"/>
  <c r="CU99" i="13"/>
  <c r="CV99" i="13"/>
  <c r="CW99" i="13"/>
  <c r="CX99" i="13"/>
  <c r="CY99" i="13"/>
  <c r="CZ99" i="13"/>
  <c r="DA99" i="13"/>
  <c r="DB99" i="13"/>
  <c r="DH99" i="13"/>
  <c r="DI99" i="13"/>
  <c r="DJ99" i="13"/>
  <c r="H100" i="13"/>
  <c r="I100" i="13"/>
  <c r="J100" i="13"/>
  <c r="K100" i="13"/>
  <c r="L100" i="13"/>
  <c r="M100" i="13"/>
  <c r="N100" i="13"/>
  <c r="O100" i="13"/>
  <c r="P100" i="13"/>
  <c r="Q100" i="13"/>
  <c r="R100" i="13"/>
  <c r="S100" i="13"/>
  <c r="T100" i="13"/>
  <c r="U100" i="13"/>
  <c r="V100" i="13"/>
  <c r="W100" i="13"/>
  <c r="X100" i="13"/>
  <c r="Y100" i="13"/>
  <c r="Z100" i="13"/>
  <c r="AA100" i="13"/>
  <c r="AB100" i="13"/>
  <c r="AC100" i="13"/>
  <c r="AD100" i="13"/>
  <c r="AE100" i="13"/>
  <c r="AG100" i="13"/>
  <c r="AH100" i="13"/>
  <c r="AI100" i="13"/>
  <c r="AJ100" i="13"/>
  <c r="AK100" i="13"/>
  <c r="AL100" i="13"/>
  <c r="AM100" i="13"/>
  <c r="AN100" i="13"/>
  <c r="AO100" i="13"/>
  <c r="AP100" i="13"/>
  <c r="AQ100" i="13"/>
  <c r="AR100" i="13"/>
  <c r="AS100" i="13"/>
  <c r="AT100" i="13"/>
  <c r="AU100" i="13"/>
  <c r="AV100" i="13"/>
  <c r="AW100" i="13"/>
  <c r="AX100" i="13"/>
  <c r="AY100" i="13"/>
  <c r="AZ100" i="13"/>
  <c r="BA100" i="13"/>
  <c r="BB100" i="13"/>
  <c r="BC100" i="13"/>
  <c r="BD100" i="13"/>
  <c r="BF100" i="13"/>
  <c r="BG100" i="13"/>
  <c r="BH100" i="13"/>
  <c r="BI100" i="13"/>
  <c r="BJ100" i="13"/>
  <c r="BK100" i="13"/>
  <c r="BL100" i="13"/>
  <c r="BM100" i="13"/>
  <c r="BN100" i="13"/>
  <c r="BO100" i="13"/>
  <c r="BP100" i="13"/>
  <c r="BQ100" i="13"/>
  <c r="BR100" i="13"/>
  <c r="BS100" i="13"/>
  <c r="BT100" i="13"/>
  <c r="BU100" i="13"/>
  <c r="BV100" i="13"/>
  <c r="BW100" i="13"/>
  <c r="BX100" i="13"/>
  <c r="BY100" i="13"/>
  <c r="BZ100" i="13"/>
  <c r="CA100" i="13"/>
  <c r="CB100" i="13"/>
  <c r="CC100" i="13"/>
  <c r="CE100" i="13"/>
  <c r="CF100" i="13"/>
  <c r="CG100" i="13"/>
  <c r="CH100" i="13"/>
  <c r="CI100" i="13"/>
  <c r="CJ100" i="13"/>
  <c r="CK100" i="13"/>
  <c r="CL100" i="13"/>
  <c r="CM100" i="13"/>
  <c r="CN100" i="13"/>
  <c r="CO100" i="13"/>
  <c r="CP100" i="13"/>
  <c r="CQ100" i="13"/>
  <c r="CR100" i="13"/>
  <c r="CS100" i="13"/>
  <c r="CT100" i="13"/>
  <c r="CU100" i="13"/>
  <c r="CV100" i="13"/>
  <c r="CW100" i="13"/>
  <c r="CX100" i="13"/>
  <c r="CY100" i="13"/>
  <c r="CZ100" i="13"/>
  <c r="DA100" i="13"/>
  <c r="DB100" i="13"/>
  <c r="DH100" i="13"/>
  <c r="DI100" i="13"/>
  <c r="DJ100" i="13"/>
  <c r="H101" i="13"/>
  <c r="I101" i="13"/>
  <c r="J101" i="13"/>
  <c r="K101" i="13"/>
  <c r="L101" i="13"/>
  <c r="M101" i="13"/>
  <c r="N101" i="13"/>
  <c r="O101" i="13"/>
  <c r="P101" i="13"/>
  <c r="Q101" i="13"/>
  <c r="R101" i="13"/>
  <c r="S101" i="13"/>
  <c r="T101" i="13"/>
  <c r="U101" i="13"/>
  <c r="V101" i="13"/>
  <c r="W101" i="13"/>
  <c r="X101" i="13"/>
  <c r="Y101" i="13"/>
  <c r="Z101" i="13"/>
  <c r="AA101" i="13"/>
  <c r="AB101" i="13"/>
  <c r="AC101" i="13"/>
  <c r="AD101" i="13"/>
  <c r="AE101" i="13"/>
  <c r="AG101" i="13"/>
  <c r="AH101" i="13"/>
  <c r="AI101" i="13"/>
  <c r="AJ101" i="13"/>
  <c r="AK101" i="13"/>
  <c r="AL101" i="13"/>
  <c r="AM101" i="13"/>
  <c r="AN101" i="13"/>
  <c r="AO101" i="13"/>
  <c r="AP101" i="13"/>
  <c r="AQ101" i="13"/>
  <c r="AR101" i="13"/>
  <c r="AS101" i="13"/>
  <c r="AT101" i="13"/>
  <c r="AU101" i="13"/>
  <c r="AV101" i="13"/>
  <c r="AW101" i="13"/>
  <c r="AX101" i="13"/>
  <c r="AY101" i="13"/>
  <c r="AZ101" i="13"/>
  <c r="BA101" i="13"/>
  <c r="BB101" i="13"/>
  <c r="BC101" i="13"/>
  <c r="BD101" i="13"/>
  <c r="BF101" i="13"/>
  <c r="BG101" i="13"/>
  <c r="BH101" i="13"/>
  <c r="BI101" i="13"/>
  <c r="BJ101" i="13"/>
  <c r="BK101" i="13"/>
  <c r="BL101" i="13"/>
  <c r="BM101" i="13"/>
  <c r="BN101" i="13"/>
  <c r="BO101" i="13"/>
  <c r="BP101" i="13"/>
  <c r="BQ101" i="13"/>
  <c r="BR101" i="13"/>
  <c r="BS101" i="13"/>
  <c r="BT101" i="13"/>
  <c r="BU101" i="13"/>
  <c r="BV101" i="13"/>
  <c r="BW101" i="13"/>
  <c r="BX101" i="13"/>
  <c r="BY101" i="13"/>
  <c r="BZ101" i="13"/>
  <c r="CA101" i="13"/>
  <c r="CB101" i="13"/>
  <c r="CC101" i="13"/>
  <c r="CE101" i="13"/>
  <c r="CF101" i="13"/>
  <c r="CG101" i="13"/>
  <c r="CH101" i="13"/>
  <c r="CI101" i="13"/>
  <c r="CJ101" i="13"/>
  <c r="CK101" i="13"/>
  <c r="CL101" i="13"/>
  <c r="CM101" i="13"/>
  <c r="CN101" i="13"/>
  <c r="CO101" i="13"/>
  <c r="CP101" i="13"/>
  <c r="CQ101" i="13"/>
  <c r="CR101" i="13"/>
  <c r="CS101" i="13"/>
  <c r="CT101" i="13"/>
  <c r="CU101" i="13"/>
  <c r="CV101" i="13"/>
  <c r="CW101" i="13"/>
  <c r="CX101" i="13"/>
  <c r="CY101" i="13"/>
  <c r="CZ101" i="13"/>
  <c r="DA101" i="13"/>
  <c r="DB101" i="13"/>
  <c r="DH101" i="13"/>
  <c r="DI101" i="13"/>
  <c r="DJ101" i="13"/>
  <c r="H102" i="13"/>
  <c r="I102" i="13"/>
  <c r="J102" i="13"/>
  <c r="K102" i="13"/>
  <c r="L102" i="13"/>
  <c r="M102" i="13"/>
  <c r="N102" i="13"/>
  <c r="O102" i="13"/>
  <c r="P102" i="13"/>
  <c r="Q102" i="13"/>
  <c r="R102" i="13"/>
  <c r="S102" i="13"/>
  <c r="T102" i="13"/>
  <c r="U102" i="13"/>
  <c r="V102" i="13"/>
  <c r="W102" i="13"/>
  <c r="X102" i="13"/>
  <c r="Y102" i="13"/>
  <c r="Z102" i="13"/>
  <c r="AA102" i="13"/>
  <c r="AB102" i="13"/>
  <c r="AC102" i="13"/>
  <c r="AD102" i="13"/>
  <c r="AE102" i="13"/>
  <c r="AG102" i="13"/>
  <c r="AH102" i="13"/>
  <c r="AI102" i="13"/>
  <c r="AJ102" i="13"/>
  <c r="AK102" i="13"/>
  <c r="AL102" i="13"/>
  <c r="AM102" i="13"/>
  <c r="AN102" i="13"/>
  <c r="AO102" i="13"/>
  <c r="AP102" i="13"/>
  <c r="AQ102" i="13"/>
  <c r="AR102" i="13"/>
  <c r="AS102" i="13"/>
  <c r="AT102" i="13"/>
  <c r="AU102" i="13"/>
  <c r="AV102" i="13"/>
  <c r="AW102" i="13"/>
  <c r="AX102" i="13"/>
  <c r="AY102" i="13"/>
  <c r="AZ102" i="13"/>
  <c r="BA102" i="13"/>
  <c r="BB102" i="13"/>
  <c r="BC102" i="13"/>
  <c r="BD102" i="13"/>
  <c r="BF102" i="13"/>
  <c r="BG102" i="13"/>
  <c r="BH102" i="13"/>
  <c r="BI102" i="13"/>
  <c r="BJ102" i="13"/>
  <c r="BK102" i="13"/>
  <c r="BL102" i="13"/>
  <c r="BM102" i="13"/>
  <c r="BN102" i="13"/>
  <c r="BO102" i="13"/>
  <c r="BP102" i="13"/>
  <c r="BQ102" i="13"/>
  <c r="BR102" i="13"/>
  <c r="BS102" i="13"/>
  <c r="BT102" i="13"/>
  <c r="BU102" i="13"/>
  <c r="BV102" i="13"/>
  <c r="BW102" i="13"/>
  <c r="BX102" i="13"/>
  <c r="BY102" i="13"/>
  <c r="BZ102" i="13"/>
  <c r="CA102" i="13"/>
  <c r="CB102" i="13"/>
  <c r="CC102" i="13"/>
  <c r="CE102" i="13"/>
  <c r="CF102" i="13"/>
  <c r="CG102" i="13"/>
  <c r="CH102" i="13"/>
  <c r="CI102" i="13"/>
  <c r="CJ102" i="13"/>
  <c r="CK102" i="13"/>
  <c r="CL102" i="13"/>
  <c r="CM102" i="13"/>
  <c r="CN102" i="13"/>
  <c r="CO102" i="13"/>
  <c r="CP102" i="13"/>
  <c r="CQ102" i="13"/>
  <c r="CR102" i="13"/>
  <c r="CS102" i="13"/>
  <c r="CT102" i="13"/>
  <c r="CU102" i="13"/>
  <c r="CV102" i="13"/>
  <c r="CW102" i="13"/>
  <c r="CX102" i="13"/>
  <c r="CY102" i="13"/>
  <c r="CZ102" i="13"/>
  <c r="DA102" i="13"/>
  <c r="DB102" i="13"/>
  <c r="DH102" i="13"/>
  <c r="DI102" i="13"/>
  <c r="DJ102" i="13"/>
  <c r="H103" i="13"/>
  <c r="I103" i="13"/>
  <c r="J103" i="13"/>
  <c r="K103" i="13"/>
  <c r="L103" i="13"/>
  <c r="M103" i="13"/>
  <c r="N103" i="13"/>
  <c r="O103" i="13"/>
  <c r="P103" i="13"/>
  <c r="Q103" i="13"/>
  <c r="R103" i="13"/>
  <c r="S103" i="13"/>
  <c r="T103" i="13"/>
  <c r="U103" i="13"/>
  <c r="V103" i="13"/>
  <c r="W103" i="13"/>
  <c r="X103" i="13"/>
  <c r="Y103" i="13"/>
  <c r="Z103" i="13"/>
  <c r="AA103" i="13"/>
  <c r="AB103" i="13"/>
  <c r="AC103" i="13"/>
  <c r="AD103" i="13"/>
  <c r="AE103" i="13"/>
  <c r="AG103" i="13"/>
  <c r="AH103" i="13"/>
  <c r="AI103" i="13"/>
  <c r="AJ103" i="13"/>
  <c r="AK103" i="13"/>
  <c r="AL103" i="13"/>
  <c r="AM103" i="13"/>
  <c r="AN103" i="13"/>
  <c r="AO103" i="13"/>
  <c r="AP103" i="13"/>
  <c r="AQ103" i="13"/>
  <c r="AR103" i="13"/>
  <c r="AS103" i="13"/>
  <c r="AT103" i="13"/>
  <c r="AU103" i="13"/>
  <c r="AV103" i="13"/>
  <c r="AW103" i="13"/>
  <c r="AX103" i="13"/>
  <c r="AY103" i="13"/>
  <c r="AZ103" i="13"/>
  <c r="BA103" i="13"/>
  <c r="BB103" i="13"/>
  <c r="BC103" i="13"/>
  <c r="BD103" i="13"/>
  <c r="BF103" i="13"/>
  <c r="BG103" i="13"/>
  <c r="BH103" i="13"/>
  <c r="BI103" i="13"/>
  <c r="BJ103" i="13"/>
  <c r="BK103" i="13"/>
  <c r="BL103" i="13"/>
  <c r="BM103" i="13"/>
  <c r="BN103" i="13"/>
  <c r="BO103" i="13"/>
  <c r="BP103" i="13"/>
  <c r="BQ103" i="13"/>
  <c r="BR103" i="13"/>
  <c r="BS103" i="13"/>
  <c r="BT103" i="13"/>
  <c r="BU103" i="13"/>
  <c r="BV103" i="13"/>
  <c r="BW103" i="13"/>
  <c r="BX103" i="13"/>
  <c r="BY103" i="13"/>
  <c r="BZ103" i="13"/>
  <c r="CA103" i="13"/>
  <c r="CB103" i="13"/>
  <c r="CC103" i="13"/>
  <c r="CE103" i="13"/>
  <c r="CF103" i="13"/>
  <c r="CG103" i="13"/>
  <c r="CH103" i="13"/>
  <c r="CI103" i="13"/>
  <c r="CJ103" i="13"/>
  <c r="CK103" i="13"/>
  <c r="CL103" i="13"/>
  <c r="CM103" i="13"/>
  <c r="CN103" i="13"/>
  <c r="CO103" i="13"/>
  <c r="CP103" i="13"/>
  <c r="CQ103" i="13"/>
  <c r="CR103" i="13"/>
  <c r="CS103" i="13"/>
  <c r="CT103" i="13"/>
  <c r="CU103" i="13"/>
  <c r="CV103" i="13"/>
  <c r="CW103" i="13"/>
  <c r="CX103" i="13"/>
  <c r="CY103" i="13"/>
  <c r="CZ103" i="13"/>
  <c r="DA103" i="13"/>
  <c r="DB103" i="13"/>
  <c r="DH103" i="13"/>
  <c r="DI103" i="13"/>
  <c r="DJ103" i="13"/>
  <c r="H104" i="13"/>
  <c r="I104" i="13"/>
  <c r="J104" i="13"/>
  <c r="K104" i="13"/>
  <c r="L104" i="13"/>
  <c r="M104" i="13"/>
  <c r="N104" i="13"/>
  <c r="O104" i="13"/>
  <c r="P104" i="13"/>
  <c r="Q104" i="13"/>
  <c r="R104" i="13"/>
  <c r="S104" i="13"/>
  <c r="T104" i="13"/>
  <c r="U104" i="13"/>
  <c r="V104" i="13"/>
  <c r="W104" i="13"/>
  <c r="X104" i="13"/>
  <c r="Y104" i="13"/>
  <c r="Z104" i="13"/>
  <c r="AA104" i="13"/>
  <c r="AB104" i="13"/>
  <c r="AC104" i="13"/>
  <c r="AD104" i="13"/>
  <c r="AE104" i="13"/>
  <c r="AG104" i="13"/>
  <c r="AH104" i="13"/>
  <c r="AI104" i="13"/>
  <c r="AJ104" i="13"/>
  <c r="AK104" i="13"/>
  <c r="AL104" i="13"/>
  <c r="AM104" i="13"/>
  <c r="AN104" i="13"/>
  <c r="AO104" i="13"/>
  <c r="AP104" i="13"/>
  <c r="AQ104" i="13"/>
  <c r="AR104" i="13"/>
  <c r="AS104" i="13"/>
  <c r="AT104" i="13"/>
  <c r="AU104" i="13"/>
  <c r="AV104" i="13"/>
  <c r="AW104" i="13"/>
  <c r="AX104" i="13"/>
  <c r="AY104" i="13"/>
  <c r="AZ104" i="13"/>
  <c r="BA104" i="13"/>
  <c r="BB104" i="13"/>
  <c r="BC104" i="13"/>
  <c r="BD104" i="13"/>
  <c r="BF104" i="13"/>
  <c r="BG104" i="13"/>
  <c r="BH104" i="13"/>
  <c r="BI104" i="13"/>
  <c r="BJ104" i="13"/>
  <c r="BK104" i="13"/>
  <c r="BL104" i="13"/>
  <c r="BM104" i="13"/>
  <c r="BN104" i="13"/>
  <c r="BO104" i="13"/>
  <c r="BP104" i="13"/>
  <c r="BQ104" i="13"/>
  <c r="BR104" i="13"/>
  <c r="BS104" i="13"/>
  <c r="BT104" i="13"/>
  <c r="BU104" i="13"/>
  <c r="BV104" i="13"/>
  <c r="BW104" i="13"/>
  <c r="BX104" i="13"/>
  <c r="BY104" i="13"/>
  <c r="BZ104" i="13"/>
  <c r="CA104" i="13"/>
  <c r="CB104" i="13"/>
  <c r="CC104" i="13"/>
  <c r="CE104" i="13"/>
  <c r="CF104" i="13"/>
  <c r="CG104" i="13"/>
  <c r="CH104" i="13"/>
  <c r="CI104" i="13"/>
  <c r="CJ104" i="13"/>
  <c r="CK104" i="13"/>
  <c r="CL104" i="13"/>
  <c r="CM104" i="13"/>
  <c r="CN104" i="13"/>
  <c r="CO104" i="13"/>
  <c r="CP104" i="13"/>
  <c r="CQ104" i="13"/>
  <c r="CR104" i="13"/>
  <c r="CS104" i="13"/>
  <c r="CT104" i="13"/>
  <c r="CU104" i="13"/>
  <c r="CV104" i="13"/>
  <c r="CW104" i="13"/>
  <c r="CX104" i="13"/>
  <c r="CY104" i="13"/>
  <c r="CZ104" i="13"/>
  <c r="DA104" i="13"/>
  <c r="DB104" i="13"/>
  <c r="DH104" i="13"/>
  <c r="DI104" i="13"/>
  <c r="DJ104" i="13"/>
  <c r="H105" i="13"/>
  <c r="I105" i="13"/>
  <c r="J105" i="13"/>
  <c r="K105" i="13"/>
  <c r="L105" i="13"/>
  <c r="M105" i="13"/>
  <c r="N105" i="13"/>
  <c r="O105" i="13"/>
  <c r="P105" i="13"/>
  <c r="Q105" i="13"/>
  <c r="R105" i="13"/>
  <c r="S105" i="13"/>
  <c r="T105" i="13"/>
  <c r="U105" i="13"/>
  <c r="V105" i="13"/>
  <c r="W105" i="13"/>
  <c r="X105" i="13"/>
  <c r="Y105" i="13"/>
  <c r="Z105" i="13"/>
  <c r="AA105" i="13"/>
  <c r="AB105" i="13"/>
  <c r="AC105" i="13"/>
  <c r="AD105" i="13"/>
  <c r="AE105" i="13"/>
  <c r="AG105" i="13"/>
  <c r="AH105" i="13"/>
  <c r="AI105" i="13"/>
  <c r="AJ105" i="13"/>
  <c r="AK105" i="13"/>
  <c r="AL105" i="13"/>
  <c r="AM105" i="13"/>
  <c r="AN105" i="13"/>
  <c r="AO105" i="13"/>
  <c r="AP105" i="13"/>
  <c r="AQ105" i="13"/>
  <c r="AR105" i="13"/>
  <c r="AS105" i="13"/>
  <c r="AT105" i="13"/>
  <c r="AU105" i="13"/>
  <c r="AV105" i="13"/>
  <c r="AW105" i="13"/>
  <c r="AX105" i="13"/>
  <c r="AY105" i="13"/>
  <c r="AZ105" i="13"/>
  <c r="BA105" i="13"/>
  <c r="BB105" i="13"/>
  <c r="BC105" i="13"/>
  <c r="BD105" i="13"/>
  <c r="BF105" i="13"/>
  <c r="BG105" i="13"/>
  <c r="BH105" i="13"/>
  <c r="BI105" i="13"/>
  <c r="BJ105" i="13"/>
  <c r="BK105" i="13"/>
  <c r="BL105" i="13"/>
  <c r="BM105" i="13"/>
  <c r="BN105" i="13"/>
  <c r="BO105" i="13"/>
  <c r="BP105" i="13"/>
  <c r="BQ105" i="13"/>
  <c r="BR105" i="13"/>
  <c r="BS105" i="13"/>
  <c r="BT105" i="13"/>
  <c r="BU105" i="13"/>
  <c r="BV105" i="13"/>
  <c r="BW105" i="13"/>
  <c r="BX105" i="13"/>
  <c r="BY105" i="13"/>
  <c r="BZ105" i="13"/>
  <c r="CA105" i="13"/>
  <c r="CB105" i="13"/>
  <c r="CC105" i="13"/>
  <c r="CE105" i="13"/>
  <c r="CF105" i="13"/>
  <c r="CG105" i="13"/>
  <c r="CH105" i="13"/>
  <c r="CI105" i="13"/>
  <c r="CJ105" i="13"/>
  <c r="CK105" i="13"/>
  <c r="CL105" i="13"/>
  <c r="CM105" i="13"/>
  <c r="CN105" i="13"/>
  <c r="CO105" i="13"/>
  <c r="CP105" i="13"/>
  <c r="CQ105" i="13"/>
  <c r="CR105" i="13"/>
  <c r="CS105" i="13"/>
  <c r="CT105" i="13"/>
  <c r="CU105" i="13"/>
  <c r="CV105" i="13"/>
  <c r="CW105" i="13"/>
  <c r="CX105" i="13"/>
  <c r="CY105" i="13"/>
  <c r="CZ105" i="13"/>
  <c r="DA105" i="13"/>
  <c r="DB105" i="13"/>
  <c r="DH105" i="13"/>
  <c r="DI105" i="13"/>
  <c r="DJ105" i="13"/>
  <c r="H106" i="13"/>
  <c r="I106" i="13"/>
  <c r="J106" i="13"/>
  <c r="K106" i="13"/>
  <c r="L106" i="13"/>
  <c r="M106" i="13"/>
  <c r="N106" i="13"/>
  <c r="O106" i="13"/>
  <c r="P106" i="13"/>
  <c r="Q106" i="13"/>
  <c r="R106" i="13"/>
  <c r="S106" i="13"/>
  <c r="T106" i="13"/>
  <c r="U106" i="13"/>
  <c r="V106" i="13"/>
  <c r="W106" i="13"/>
  <c r="X106" i="13"/>
  <c r="Y106" i="13"/>
  <c r="Z106" i="13"/>
  <c r="AA106" i="13"/>
  <c r="AB106" i="13"/>
  <c r="AC106" i="13"/>
  <c r="AD106" i="13"/>
  <c r="AE106" i="13"/>
  <c r="AG106" i="13"/>
  <c r="AH106" i="13"/>
  <c r="AI106" i="13"/>
  <c r="AJ106" i="13"/>
  <c r="AK106" i="13"/>
  <c r="AL106" i="13"/>
  <c r="AM106" i="13"/>
  <c r="AN106" i="13"/>
  <c r="AO106" i="13"/>
  <c r="AP106" i="13"/>
  <c r="AQ106" i="13"/>
  <c r="AR106" i="13"/>
  <c r="AS106" i="13"/>
  <c r="AT106" i="13"/>
  <c r="AU106" i="13"/>
  <c r="AV106" i="13"/>
  <c r="AW106" i="13"/>
  <c r="AX106" i="13"/>
  <c r="AY106" i="13"/>
  <c r="AZ106" i="13"/>
  <c r="BA106" i="13"/>
  <c r="BB106" i="13"/>
  <c r="BC106" i="13"/>
  <c r="BD106" i="13"/>
  <c r="BF106" i="13"/>
  <c r="BG106" i="13"/>
  <c r="BH106" i="13"/>
  <c r="BI106" i="13"/>
  <c r="BJ106" i="13"/>
  <c r="BK106" i="13"/>
  <c r="BL106" i="13"/>
  <c r="BM106" i="13"/>
  <c r="BN106" i="13"/>
  <c r="BO106" i="13"/>
  <c r="BP106" i="13"/>
  <c r="BQ106" i="13"/>
  <c r="BR106" i="13"/>
  <c r="BS106" i="13"/>
  <c r="BT106" i="13"/>
  <c r="BU106" i="13"/>
  <c r="BV106" i="13"/>
  <c r="BW106" i="13"/>
  <c r="BX106" i="13"/>
  <c r="BY106" i="13"/>
  <c r="BZ106" i="13"/>
  <c r="CA106" i="13"/>
  <c r="CB106" i="13"/>
  <c r="CC106" i="13"/>
  <c r="CE106" i="13"/>
  <c r="CF106" i="13"/>
  <c r="CG106" i="13"/>
  <c r="CH106" i="13"/>
  <c r="CI106" i="13"/>
  <c r="CJ106" i="13"/>
  <c r="CK106" i="13"/>
  <c r="CL106" i="13"/>
  <c r="CM106" i="13"/>
  <c r="CN106" i="13"/>
  <c r="CO106" i="13"/>
  <c r="CP106" i="13"/>
  <c r="CQ106" i="13"/>
  <c r="CR106" i="13"/>
  <c r="CS106" i="13"/>
  <c r="CT106" i="13"/>
  <c r="CU106" i="13"/>
  <c r="CV106" i="13"/>
  <c r="CW106" i="13"/>
  <c r="CX106" i="13"/>
  <c r="CY106" i="13"/>
  <c r="CZ106" i="13"/>
  <c r="DA106" i="13"/>
  <c r="DB106" i="13"/>
  <c r="DH106" i="13"/>
  <c r="DI106" i="13"/>
  <c r="DJ106" i="13"/>
  <c r="H107" i="13"/>
  <c r="I107" i="13"/>
  <c r="J107" i="13"/>
  <c r="K107" i="13"/>
  <c r="L107" i="13"/>
  <c r="M107" i="13"/>
  <c r="N107" i="13"/>
  <c r="O107" i="13"/>
  <c r="P107" i="13"/>
  <c r="Q107" i="13"/>
  <c r="R107" i="13"/>
  <c r="S107" i="13"/>
  <c r="T107" i="13"/>
  <c r="U107" i="13"/>
  <c r="V107" i="13"/>
  <c r="W107" i="13"/>
  <c r="X107" i="13"/>
  <c r="Y107" i="13"/>
  <c r="Z107" i="13"/>
  <c r="AA107" i="13"/>
  <c r="AB107" i="13"/>
  <c r="AC107" i="13"/>
  <c r="AD107" i="13"/>
  <c r="AE107" i="13"/>
  <c r="AG107" i="13"/>
  <c r="AH107" i="13"/>
  <c r="AI107" i="13"/>
  <c r="AJ107" i="13"/>
  <c r="AK107" i="13"/>
  <c r="AL107" i="13"/>
  <c r="AM107" i="13"/>
  <c r="AN107" i="13"/>
  <c r="AO107" i="13"/>
  <c r="AP107" i="13"/>
  <c r="AQ107" i="13"/>
  <c r="AR107" i="13"/>
  <c r="AS107" i="13"/>
  <c r="AT107" i="13"/>
  <c r="AU107" i="13"/>
  <c r="AV107" i="13"/>
  <c r="AW107" i="13"/>
  <c r="AX107" i="13"/>
  <c r="AY107" i="13"/>
  <c r="AZ107" i="13"/>
  <c r="BA107" i="13"/>
  <c r="BB107" i="13"/>
  <c r="BC107" i="13"/>
  <c r="BD107" i="13"/>
  <c r="BF107" i="13"/>
  <c r="BG107" i="13"/>
  <c r="BH107" i="13"/>
  <c r="BI107" i="13"/>
  <c r="BJ107" i="13"/>
  <c r="BK107" i="13"/>
  <c r="BL107" i="13"/>
  <c r="BM107" i="13"/>
  <c r="BN107" i="13"/>
  <c r="BO107" i="13"/>
  <c r="BP107" i="13"/>
  <c r="BQ107" i="13"/>
  <c r="BR107" i="13"/>
  <c r="BS107" i="13"/>
  <c r="BT107" i="13"/>
  <c r="BU107" i="13"/>
  <c r="BV107" i="13"/>
  <c r="BW107" i="13"/>
  <c r="BX107" i="13"/>
  <c r="BY107" i="13"/>
  <c r="BZ107" i="13"/>
  <c r="CA107" i="13"/>
  <c r="CB107" i="13"/>
  <c r="CC107" i="13"/>
  <c r="CE107" i="13"/>
  <c r="CF107" i="13"/>
  <c r="CG107" i="13"/>
  <c r="CH107" i="13"/>
  <c r="CI107" i="13"/>
  <c r="CJ107" i="13"/>
  <c r="CK107" i="13"/>
  <c r="CL107" i="13"/>
  <c r="CM107" i="13"/>
  <c r="CN107" i="13"/>
  <c r="CO107" i="13"/>
  <c r="CP107" i="13"/>
  <c r="CQ107" i="13"/>
  <c r="CR107" i="13"/>
  <c r="CS107" i="13"/>
  <c r="CT107" i="13"/>
  <c r="CU107" i="13"/>
  <c r="CV107" i="13"/>
  <c r="CW107" i="13"/>
  <c r="CX107" i="13"/>
  <c r="CY107" i="13"/>
  <c r="CZ107" i="13"/>
  <c r="DA107" i="13"/>
  <c r="DB107" i="13"/>
  <c r="DH107" i="13"/>
  <c r="DI107" i="13"/>
  <c r="DJ107" i="13"/>
  <c r="H108" i="13"/>
  <c r="I108" i="13"/>
  <c r="J108" i="13"/>
  <c r="K108" i="13"/>
  <c r="L108" i="13"/>
  <c r="M108" i="13"/>
  <c r="N108" i="13"/>
  <c r="O108" i="13"/>
  <c r="P108" i="13"/>
  <c r="Q108" i="13"/>
  <c r="R108" i="13"/>
  <c r="S108" i="13"/>
  <c r="T108" i="13"/>
  <c r="U108" i="13"/>
  <c r="V108" i="13"/>
  <c r="W108" i="13"/>
  <c r="X108" i="13"/>
  <c r="Y108" i="13"/>
  <c r="Z108" i="13"/>
  <c r="AA108" i="13"/>
  <c r="AB108" i="13"/>
  <c r="AC108" i="13"/>
  <c r="AD108" i="13"/>
  <c r="AE108" i="13"/>
  <c r="AG108" i="13"/>
  <c r="AH108" i="13"/>
  <c r="AI108" i="13"/>
  <c r="AJ108" i="13"/>
  <c r="AK108" i="13"/>
  <c r="AL108" i="13"/>
  <c r="AM108" i="13"/>
  <c r="AN108" i="13"/>
  <c r="AO108" i="13"/>
  <c r="AP108" i="13"/>
  <c r="AQ108" i="13"/>
  <c r="AR108" i="13"/>
  <c r="AS108" i="13"/>
  <c r="AT108" i="13"/>
  <c r="AU108" i="13"/>
  <c r="AV108" i="13"/>
  <c r="AW108" i="13"/>
  <c r="AX108" i="13"/>
  <c r="AY108" i="13"/>
  <c r="AZ108" i="13"/>
  <c r="BA108" i="13"/>
  <c r="BB108" i="13"/>
  <c r="BC108" i="13"/>
  <c r="BD108" i="13"/>
  <c r="BF108" i="13"/>
  <c r="BG108" i="13"/>
  <c r="BH108" i="13"/>
  <c r="BI108" i="13"/>
  <c r="BJ108" i="13"/>
  <c r="BK108" i="13"/>
  <c r="BL108" i="13"/>
  <c r="BM108" i="13"/>
  <c r="BN108" i="13"/>
  <c r="BO108" i="13"/>
  <c r="BP108" i="13"/>
  <c r="BQ108" i="13"/>
  <c r="BR108" i="13"/>
  <c r="BS108" i="13"/>
  <c r="BT108" i="13"/>
  <c r="BU108" i="13"/>
  <c r="BV108" i="13"/>
  <c r="BW108" i="13"/>
  <c r="BX108" i="13"/>
  <c r="BY108" i="13"/>
  <c r="BZ108" i="13"/>
  <c r="CA108" i="13"/>
  <c r="CB108" i="13"/>
  <c r="CC108" i="13"/>
  <c r="CE108" i="13"/>
  <c r="CF108" i="13"/>
  <c r="CG108" i="13"/>
  <c r="CH108" i="13"/>
  <c r="CI108" i="13"/>
  <c r="CJ108" i="13"/>
  <c r="CK108" i="13"/>
  <c r="CL108" i="13"/>
  <c r="CM108" i="13"/>
  <c r="CN108" i="13"/>
  <c r="CO108" i="13"/>
  <c r="CP108" i="13"/>
  <c r="CQ108" i="13"/>
  <c r="CR108" i="13"/>
  <c r="CS108" i="13"/>
  <c r="CT108" i="13"/>
  <c r="CU108" i="13"/>
  <c r="CV108" i="13"/>
  <c r="CW108" i="13"/>
  <c r="CX108" i="13"/>
  <c r="CY108" i="13"/>
  <c r="CZ108" i="13"/>
  <c r="DA108" i="13"/>
  <c r="DB108" i="13"/>
  <c r="DH108" i="13"/>
  <c r="DI108" i="13"/>
  <c r="DJ108" i="13"/>
  <c r="H109" i="13"/>
  <c r="I109" i="13"/>
  <c r="J109" i="13"/>
  <c r="K109" i="13"/>
  <c r="L109" i="13"/>
  <c r="M109" i="13"/>
  <c r="N109" i="13"/>
  <c r="O109" i="13"/>
  <c r="P109" i="13"/>
  <c r="Q109" i="13"/>
  <c r="R109" i="13"/>
  <c r="S109" i="13"/>
  <c r="T109" i="13"/>
  <c r="U109" i="13"/>
  <c r="V109" i="13"/>
  <c r="W109" i="13"/>
  <c r="X109" i="13"/>
  <c r="Y109" i="13"/>
  <c r="Z109" i="13"/>
  <c r="AA109" i="13"/>
  <c r="AB109" i="13"/>
  <c r="AC109" i="13"/>
  <c r="AD109" i="13"/>
  <c r="AE109" i="13"/>
  <c r="AG109" i="13"/>
  <c r="AH109" i="13"/>
  <c r="AI109" i="13"/>
  <c r="AJ109" i="13"/>
  <c r="AK109" i="13"/>
  <c r="AL109" i="13"/>
  <c r="AM109" i="13"/>
  <c r="AN109" i="13"/>
  <c r="AO109" i="13"/>
  <c r="AP109" i="13"/>
  <c r="AQ109" i="13"/>
  <c r="AR109" i="13"/>
  <c r="AS109" i="13"/>
  <c r="AT109" i="13"/>
  <c r="AU109" i="13"/>
  <c r="AV109" i="13"/>
  <c r="AW109" i="13"/>
  <c r="AX109" i="13"/>
  <c r="AY109" i="13"/>
  <c r="AZ109" i="13"/>
  <c r="BA109" i="13"/>
  <c r="BB109" i="13"/>
  <c r="BC109" i="13"/>
  <c r="BD109" i="13"/>
  <c r="BF109" i="13"/>
  <c r="BG109" i="13"/>
  <c r="BH109" i="13"/>
  <c r="BI109" i="13"/>
  <c r="BJ109" i="13"/>
  <c r="BK109" i="13"/>
  <c r="BL109" i="13"/>
  <c r="BM109" i="13"/>
  <c r="BN109" i="13"/>
  <c r="BO109" i="13"/>
  <c r="BP109" i="13"/>
  <c r="BQ109" i="13"/>
  <c r="BR109" i="13"/>
  <c r="BS109" i="13"/>
  <c r="BT109" i="13"/>
  <c r="BU109" i="13"/>
  <c r="BV109" i="13"/>
  <c r="BW109" i="13"/>
  <c r="BX109" i="13"/>
  <c r="BY109" i="13"/>
  <c r="BZ109" i="13"/>
  <c r="CA109" i="13"/>
  <c r="CB109" i="13"/>
  <c r="CC109" i="13"/>
  <c r="CE109" i="13"/>
  <c r="CF109" i="13"/>
  <c r="CG109" i="13"/>
  <c r="CH109" i="13"/>
  <c r="CI109" i="13"/>
  <c r="CJ109" i="13"/>
  <c r="CK109" i="13"/>
  <c r="CL109" i="13"/>
  <c r="CM109" i="13"/>
  <c r="CN109" i="13"/>
  <c r="CO109" i="13"/>
  <c r="CP109" i="13"/>
  <c r="CQ109" i="13"/>
  <c r="CR109" i="13"/>
  <c r="CS109" i="13"/>
  <c r="CT109" i="13"/>
  <c r="CU109" i="13"/>
  <c r="CV109" i="13"/>
  <c r="CW109" i="13"/>
  <c r="CX109" i="13"/>
  <c r="CY109" i="13"/>
  <c r="CZ109" i="13"/>
  <c r="DA109" i="13"/>
  <c r="DB109" i="13"/>
  <c r="DH109" i="13"/>
  <c r="DI109" i="13"/>
  <c r="DJ109" i="13"/>
  <c r="H110" i="13"/>
  <c r="I110" i="13"/>
  <c r="J110" i="13"/>
  <c r="K110" i="13"/>
  <c r="L110" i="13"/>
  <c r="M110" i="13"/>
  <c r="N110" i="13"/>
  <c r="O110" i="13"/>
  <c r="P110" i="13"/>
  <c r="Q110" i="13"/>
  <c r="R110" i="13"/>
  <c r="S110" i="13"/>
  <c r="T110" i="13"/>
  <c r="U110" i="13"/>
  <c r="V110" i="13"/>
  <c r="W110" i="13"/>
  <c r="X110" i="13"/>
  <c r="Y110" i="13"/>
  <c r="Z110" i="13"/>
  <c r="AA110" i="13"/>
  <c r="AB110" i="13"/>
  <c r="AC110" i="13"/>
  <c r="AD110" i="13"/>
  <c r="AE110" i="13"/>
  <c r="AG110" i="13"/>
  <c r="AH110" i="13"/>
  <c r="AI110" i="13"/>
  <c r="AJ110" i="13"/>
  <c r="AK110" i="13"/>
  <c r="AL110" i="13"/>
  <c r="AM110" i="13"/>
  <c r="AN110" i="13"/>
  <c r="AO110" i="13"/>
  <c r="AP110" i="13"/>
  <c r="AQ110" i="13"/>
  <c r="AR110" i="13"/>
  <c r="AS110" i="13"/>
  <c r="AT110" i="13"/>
  <c r="AU110" i="13"/>
  <c r="AV110" i="13"/>
  <c r="AW110" i="13"/>
  <c r="AX110" i="13"/>
  <c r="AY110" i="13"/>
  <c r="AZ110" i="13"/>
  <c r="BA110" i="13"/>
  <c r="BB110" i="13"/>
  <c r="BC110" i="13"/>
  <c r="BD110" i="13"/>
  <c r="BF110" i="13"/>
  <c r="BG110" i="13"/>
  <c r="BH110" i="13"/>
  <c r="BI110" i="13"/>
  <c r="BJ110" i="13"/>
  <c r="BK110" i="13"/>
  <c r="BL110" i="13"/>
  <c r="BM110" i="13"/>
  <c r="BN110" i="13"/>
  <c r="BO110" i="13"/>
  <c r="BP110" i="13"/>
  <c r="BQ110" i="13"/>
  <c r="BR110" i="13"/>
  <c r="BS110" i="13"/>
  <c r="BT110" i="13"/>
  <c r="BU110" i="13"/>
  <c r="BV110" i="13"/>
  <c r="BW110" i="13"/>
  <c r="BX110" i="13"/>
  <c r="BY110" i="13"/>
  <c r="BZ110" i="13"/>
  <c r="CA110" i="13"/>
  <c r="CB110" i="13"/>
  <c r="CC110" i="13"/>
  <c r="CE110" i="13"/>
  <c r="CF110" i="13"/>
  <c r="CG110" i="13"/>
  <c r="CH110" i="13"/>
  <c r="CI110" i="13"/>
  <c r="CJ110" i="13"/>
  <c r="CK110" i="13"/>
  <c r="CL110" i="13"/>
  <c r="CM110" i="13"/>
  <c r="CN110" i="13"/>
  <c r="CO110" i="13"/>
  <c r="CP110" i="13"/>
  <c r="CQ110" i="13"/>
  <c r="CR110" i="13"/>
  <c r="CS110" i="13"/>
  <c r="CT110" i="13"/>
  <c r="CU110" i="13"/>
  <c r="CV110" i="13"/>
  <c r="CW110" i="13"/>
  <c r="CX110" i="13"/>
  <c r="CY110" i="13"/>
  <c r="CZ110" i="13"/>
  <c r="DA110" i="13"/>
  <c r="DB110" i="13"/>
  <c r="DH110" i="13"/>
  <c r="DI110" i="13"/>
  <c r="DJ110" i="13"/>
  <c r="H111" i="13"/>
  <c r="I111" i="13"/>
  <c r="J111" i="13"/>
  <c r="K111" i="13"/>
  <c r="L111" i="13"/>
  <c r="M111" i="13"/>
  <c r="N111" i="13"/>
  <c r="O111" i="13"/>
  <c r="P111" i="13"/>
  <c r="Q111" i="13"/>
  <c r="R111" i="13"/>
  <c r="S111" i="13"/>
  <c r="T111" i="13"/>
  <c r="U111" i="13"/>
  <c r="V111" i="13"/>
  <c r="W111" i="13"/>
  <c r="X111" i="13"/>
  <c r="Y111" i="13"/>
  <c r="Z111" i="13"/>
  <c r="AA111" i="13"/>
  <c r="AB111" i="13"/>
  <c r="AC111" i="13"/>
  <c r="AD111" i="13"/>
  <c r="AE111" i="13"/>
  <c r="AG111" i="13"/>
  <c r="AH111" i="13"/>
  <c r="AI111" i="13"/>
  <c r="AJ111" i="13"/>
  <c r="AK111" i="13"/>
  <c r="AL111" i="13"/>
  <c r="AM111" i="13"/>
  <c r="AN111" i="13"/>
  <c r="AO111" i="13"/>
  <c r="AP111" i="13"/>
  <c r="AQ111" i="13"/>
  <c r="AR111" i="13"/>
  <c r="AS111" i="13"/>
  <c r="AT111" i="13"/>
  <c r="AU111" i="13"/>
  <c r="AV111" i="13"/>
  <c r="AW111" i="13"/>
  <c r="AX111" i="13"/>
  <c r="AY111" i="13"/>
  <c r="AZ111" i="13"/>
  <c r="BA111" i="13"/>
  <c r="BB111" i="13"/>
  <c r="BC111" i="13"/>
  <c r="BD111" i="13"/>
  <c r="BF111" i="13"/>
  <c r="BG111" i="13"/>
  <c r="BH111" i="13"/>
  <c r="BI111" i="13"/>
  <c r="BJ111" i="13"/>
  <c r="BK111" i="13"/>
  <c r="BL111" i="13"/>
  <c r="BM111" i="13"/>
  <c r="BN111" i="13"/>
  <c r="BO111" i="13"/>
  <c r="BP111" i="13"/>
  <c r="BQ111" i="13"/>
  <c r="BR111" i="13"/>
  <c r="BS111" i="13"/>
  <c r="BT111" i="13"/>
  <c r="BU111" i="13"/>
  <c r="BV111" i="13"/>
  <c r="BW111" i="13"/>
  <c r="BX111" i="13"/>
  <c r="BY111" i="13"/>
  <c r="BZ111" i="13"/>
  <c r="CA111" i="13"/>
  <c r="CB111" i="13"/>
  <c r="CC111" i="13"/>
  <c r="CE111" i="13"/>
  <c r="CF111" i="13"/>
  <c r="CG111" i="13"/>
  <c r="CH111" i="13"/>
  <c r="CI111" i="13"/>
  <c r="CJ111" i="13"/>
  <c r="CK111" i="13"/>
  <c r="CL111" i="13"/>
  <c r="CM111" i="13"/>
  <c r="CN111" i="13"/>
  <c r="CO111" i="13"/>
  <c r="CP111" i="13"/>
  <c r="CQ111" i="13"/>
  <c r="CR111" i="13"/>
  <c r="CS111" i="13"/>
  <c r="CT111" i="13"/>
  <c r="CU111" i="13"/>
  <c r="CV111" i="13"/>
  <c r="CW111" i="13"/>
  <c r="CX111" i="13"/>
  <c r="CY111" i="13"/>
  <c r="CZ111" i="13"/>
  <c r="DA111" i="13"/>
  <c r="DB111" i="13"/>
  <c r="DH111" i="13"/>
  <c r="DI111" i="13"/>
  <c r="DJ111" i="13"/>
  <c r="H112" i="13"/>
  <c r="I112" i="13"/>
  <c r="J112" i="13"/>
  <c r="K112" i="13"/>
  <c r="L112" i="13"/>
  <c r="M112" i="13"/>
  <c r="N112" i="13"/>
  <c r="O112" i="13"/>
  <c r="P112" i="13"/>
  <c r="Q112" i="13"/>
  <c r="R112" i="13"/>
  <c r="S112" i="13"/>
  <c r="T112" i="13"/>
  <c r="U112" i="13"/>
  <c r="V112" i="13"/>
  <c r="W112" i="13"/>
  <c r="X112" i="13"/>
  <c r="Y112" i="13"/>
  <c r="Z112" i="13"/>
  <c r="AA112" i="13"/>
  <c r="AB112" i="13"/>
  <c r="AC112" i="13"/>
  <c r="AD112" i="13"/>
  <c r="AE112" i="13"/>
  <c r="AG112" i="13"/>
  <c r="AH112" i="13"/>
  <c r="AI112" i="13"/>
  <c r="AJ112" i="13"/>
  <c r="AK112" i="13"/>
  <c r="AL112" i="13"/>
  <c r="AM112" i="13"/>
  <c r="AN112" i="13"/>
  <c r="AO112" i="13"/>
  <c r="AP112" i="13"/>
  <c r="AQ112" i="13"/>
  <c r="AR112" i="13"/>
  <c r="AS112" i="13"/>
  <c r="AT112" i="13"/>
  <c r="AU112" i="13"/>
  <c r="AV112" i="13"/>
  <c r="AW112" i="13"/>
  <c r="AX112" i="13"/>
  <c r="AY112" i="13"/>
  <c r="AZ112" i="13"/>
  <c r="BA112" i="13"/>
  <c r="BB112" i="13"/>
  <c r="BC112" i="13"/>
  <c r="BD112" i="13"/>
  <c r="BF112" i="13"/>
  <c r="BG112" i="13"/>
  <c r="BH112" i="13"/>
  <c r="BI112" i="13"/>
  <c r="BJ112" i="13"/>
  <c r="BK112" i="13"/>
  <c r="BL112" i="13"/>
  <c r="BM112" i="13"/>
  <c r="BN112" i="13"/>
  <c r="BO112" i="13"/>
  <c r="BP112" i="13"/>
  <c r="BQ112" i="13"/>
  <c r="BR112" i="13"/>
  <c r="BS112" i="13"/>
  <c r="BT112" i="13"/>
  <c r="BU112" i="13"/>
  <c r="BV112" i="13"/>
  <c r="BW112" i="13"/>
  <c r="BX112" i="13"/>
  <c r="BY112" i="13"/>
  <c r="BZ112" i="13"/>
  <c r="CA112" i="13"/>
  <c r="CB112" i="13"/>
  <c r="CC112" i="13"/>
  <c r="CE112" i="13"/>
  <c r="CF112" i="13"/>
  <c r="CG112" i="13"/>
  <c r="CH112" i="13"/>
  <c r="CI112" i="13"/>
  <c r="CJ112" i="13"/>
  <c r="CK112" i="13"/>
  <c r="CL112" i="13"/>
  <c r="CM112" i="13"/>
  <c r="CN112" i="13"/>
  <c r="CO112" i="13"/>
  <c r="CP112" i="13"/>
  <c r="CQ112" i="13"/>
  <c r="CR112" i="13"/>
  <c r="CS112" i="13"/>
  <c r="CT112" i="13"/>
  <c r="CU112" i="13"/>
  <c r="CV112" i="13"/>
  <c r="CW112" i="13"/>
  <c r="CX112" i="13"/>
  <c r="CY112" i="13"/>
  <c r="CZ112" i="13"/>
  <c r="DA112" i="13"/>
  <c r="DB112" i="13"/>
  <c r="DH112" i="13"/>
  <c r="DI112" i="13"/>
  <c r="DJ112" i="13"/>
  <c r="H113" i="13"/>
  <c r="I113" i="13"/>
  <c r="J113" i="13"/>
  <c r="K113" i="13"/>
  <c r="L113" i="13"/>
  <c r="M113" i="13"/>
  <c r="N113" i="13"/>
  <c r="O113" i="13"/>
  <c r="P113" i="13"/>
  <c r="Q113" i="13"/>
  <c r="R113" i="13"/>
  <c r="S113" i="13"/>
  <c r="T113" i="13"/>
  <c r="U113" i="13"/>
  <c r="V113" i="13"/>
  <c r="W113" i="13"/>
  <c r="X113" i="13"/>
  <c r="Y113" i="13"/>
  <c r="Z113" i="13"/>
  <c r="AA113" i="13"/>
  <c r="AB113" i="13"/>
  <c r="AC113" i="13"/>
  <c r="AD113" i="13"/>
  <c r="AE113" i="13"/>
  <c r="AG113" i="13"/>
  <c r="AH113" i="13"/>
  <c r="AI113" i="13"/>
  <c r="AJ113" i="13"/>
  <c r="AK113" i="13"/>
  <c r="AL113" i="13"/>
  <c r="AM113" i="13"/>
  <c r="AN113" i="13"/>
  <c r="AO113" i="13"/>
  <c r="AP113" i="13"/>
  <c r="AQ113" i="13"/>
  <c r="AR113" i="13"/>
  <c r="AS113" i="13"/>
  <c r="AT113" i="13"/>
  <c r="AU113" i="13"/>
  <c r="AV113" i="13"/>
  <c r="AW113" i="13"/>
  <c r="AX113" i="13"/>
  <c r="AY113" i="13"/>
  <c r="AZ113" i="13"/>
  <c r="BA113" i="13"/>
  <c r="BB113" i="13"/>
  <c r="BC113" i="13"/>
  <c r="BD113" i="13"/>
  <c r="BF113" i="13"/>
  <c r="BG113" i="13"/>
  <c r="BH113" i="13"/>
  <c r="BI113" i="13"/>
  <c r="BJ113" i="13"/>
  <c r="BK113" i="13"/>
  <c r="BL113" i="13"/>
  <c r="BM113" i="13"/>
  <c r="BN113" i="13"/>
  <c r="BO113" i="13"/>
  <c r="BP113" i="13"/>
  <c r="BQ113" i="13"/>
  <c r="BR113" i="13"/>
  <c r="BS113" i="13"/>
  <c r="BT113" i="13"/>
  <c r="BU113" i="13"/>
  <c r="BV113" i="13"/>
  <c r="BW113" i="13"/>
  <c r="BX113" i="13"/>
  <c r="BY113" i="13"/>
  <c r="BZ113" i="13"/>
  <c r="CA113" i="13"/>
  <c r="CB113" i="13"/>
  <c r="CC113" i="13"/>
  <c r="CE113" i="13"/>
  <c r="CF113" i="13"/>
  <c r="CG113" i="13"/>
  <c r="CH113" i="13"/>
  <c r="CI113" i="13"/>
  <c r="CJ113" i="13"/>
  <c r="CK113" i="13"/>
  <c r="CL113" i="13"/>
  <c r="CM113" i="13"/>
  <c r="CN113" i="13"/>
  <c r="CO113" i="13"/>
  <c r="CP113" i="13"/>
  <c r="CQ113" i="13"/>
  <c r="CR113" i="13"/>
  <c r="CS113" i="13"/>
  <c r="CT113" i="13"/>
  <c r="CU113" i="13"/>
  <c r="CV113" i="13"/>
  <c r="CW113" i="13"/>
  <c r="CX113" i="13"/>
  <c r="CY113" i="13"/>
  <c r="CZ113" i="13"/>
  <c r="DA113" i="13"/>
  <c r="DB113" i="13"/>
  <c r="DH113" i="13"/>
  <c r="DI113" i="13"/>
  <c r="DJ113" i="13"/>
  <c r="H114" i="13"/>
  <c r="I114" i="13"/>
  <c r="J114" i="13"/>
  <c r="K114" i="13"/>
  <c r="L114" i="13"/>
  <c r="M114" i="13"/>
  <c r="N114" i="13"/>
  <c r="O114" i="13"/>
  <c r="P114" i="13"/>
  <c r="Q114" i="13"/>
  <c r="R114" i="13"/>
  <c r="S114" i="13"/>
  <c r="T114" i="13"/>
  <c r="U114" i="13"/>
  <c r="V114" i="13"/>
  <c r="W114" i="13"/>
  <c r="X114" i="13"/>
  <c r="Y114" i="13"/>
  <c r="Z114" i="13"/>
  <c r="AA114" i="13"/>
  <c r="AB114" i="13"/>
  <c r="AC114" i="13"/>
  <c r="AD114" i="13"/>
  <c r="AE114" i="13"/>
  <c r="AG114" i="13"/>
  <c r="AH114" i="13"/>
  <c r="AI114" i="13"/>
  <c r="AJ114" i="13"/>
  <c r="AK114" i="13"/>
  <c r="AL114" i="13"/>
  <c r="AM114" i="13"/>
  <c r="AN114" i="13"/>
  <c r="AO114" i="13"/>
  <c r="AP114" i="13"/>
  <c r="AQ114" i="13"/>
  <c r="AR114" i="13"/>
  <c r="AS114" i="13"/>
  <c r="AT114" i="13"/>
  <c r="AU114" i="13"/>
  <c r="AV114" i="13"/>
  <c r="AW114" i="13"/>
  <c r="AX114" i="13"/>
  <c r="AY114" i="13"/>
  <c r="AZ114" i="13"/>
  <c r="BA114" i="13"/>
  <c r="BB114" i="13"/>
  <c r="BC114" i="13"/>
  <c r="BD114" i="13"/>
  <c r="BF114" i="13"/>
  <c r="BG114" i="13"/>
  <c r="BH114" i="13"/>
  <c r="BI114" i="13"/>
  <c r="BJ114" i="13"/>
  <c r="BK114" i="13"/>
  <c r="BL114" i="13"/>
  <c r="BM114" i="13"/>
  <c r="BN114" i="13"/>
  <c r="BO114" i="13"/>
  <c r="BP114" i="13"/>
  <c r="BQ114" i="13"/>
  <c r="BR114" i="13"/>
  <c r="BS114" i="13"/>
  <c r="BT114" i="13"/>
  <c r="BU114" i="13"/>
  <c r="BV114" i="13"/>
  <c r="BW114" i="13"/>
  <c r="BX114" i="13"/>
  <c r="BY114" i="13"/>
  <c r="BZ114" i="13"/>
  <c r="CA114" i="13"/>
  <c r="CB114" i="13"/>
  <c r="CC114" i="13"/>
  <c r="CE114" i="13"/>
  <c r="CF114" i="13"/>
  <c r="CG114" i="13"/>
  <c r="CH114" i="13"/>
  <c r="CI114" i="13"/>
  <c r="CJ114" i="13"/>
  <c r="CK114" i="13"/>
  <c r="CL114" i="13"/>
  <c r="CM114" i="13"/>
  <c r="CN114" i="13"/>
  <c r="CO114" i="13"/>
  <c r="CP114" i="13"/>
  <c r="CQ114" i="13"/>
  <c r="CR114" i="13"/>
  <c r="CS114" i="13"/>
  <c r="CT114" i="13"/>
  <c r="CU114" i="13"/>
  <c r="CV114" i="13"/>
  <c r="CW114" i="13"/>
  <c r="CX114" i="13"/>
  <c r="CY114" i="13"/>
  <c r="CZ114" i="13"/>
  <c r="DA114" i="13"/>
  <c r="DB114" i="13"/>
  <c r="DH114" i="13"/>
  <c r="DI114" i="13"/>
  <c r="DJ114" i="13"/>
  <c r="H115" i="13"/>
  <c r="I115" i="13"/>
  <c r="J115" i="13"/>
  <c r="K115" i="13"/>
  <c r="L115" i="13"/>
  <c r="M115" i="13"/>
  <c r="N115" i="13"/>
  <c r="O115" i="13"/>
  <c r="P115" i="13"/>
  <c r="Q115" i="13"/>
  <c r="R115" i="13"/>
  <c r="S115" i="13"/>
  <c r="T115" i="13"/>
  <c r="U115" i="13"/>
  <c r="V115" i="13"/>
  <c r="W115" i="13"/>
  <c r="X115" i="13"/>
  <c r="Y115" i="13"/>
  <c r="Z115" i="13"/>
  <c r="AA115" i="13"/>
  <c r="AB115" i="13"/>
  <c r="AC115" i="13"/>
  <c r="AD115" i="13"/>
  <c r="AE115" i="13"/>
  <c r="AG115" i="13"/>
  <c r="AH115" i="13"/>
  <c r="AI115" i="13"/>
  <c r="AJ115" i="13"/>
  <c r="AK115" i="13"/>
  <c r="AL115" i="13"/>
  <c r="AM115" i="13"/>
  <c r="AN115" i="13"/>
  <c r="AO115" i="13"/>
  <c r="AP115" i="13"/>
  <c r="AQ115" i="13"/>
  <c r="AR115" i="13"/>
  <c r="AS115" i="13"/>
  <c r="AT115" i="13"/>
  <c r="AU115" i="13"/>
  <c r="AV115" i="13"/>
  <c r="AW115" i="13"/>
  <c r="AX115" i="13"/>
  <c r="AY115" i="13"/>
  <c r="AZ115" i="13"/>
  <c r="BA115" i="13"/>
  <c r="BB115" i="13"/>
  <c r="BC115" i="13"/>
  <c r="BD115" i="13"/>
  <c r="BF115" i="13"/>
  <c r="BG115" i="13"/>
  <c r="BH115" i="13"/>
  <c r="BI115" i="13"/>
  <c r="BJ115" i="13"/>
  <c r="BK115" i="13"/>
  <c r="BL115" i="13"/>
  <c r="BM115" i="13"/>
  <c r="BN115" i="13"/>
  <c r="BO115" i="13"/>
  <c r="BP115" i="13"/>
  <c r="BQ115" i="13"/>
  <c r="BR115" i="13"/>
  <c r="BS115" i="13"/>
  <c r="BT115" i="13"/>
  <c r="BU115" i="13"/>
  <c r="BV115" i="13"/>
  <c r="BW115" i="13"/>
  <c r="BX115" i="13"/>
  <c r="BY115" i="13"/>
  <c r="BZ115" i="13"/>
  <c r="CA115" i="13"/>
  <c r="CB115" i="13"/>
  <c r="CC115" i="13"/>
  <c r="CE115" i="13"/>
  <c r="CF115" i="13"/>
  <c r="CG115" i="13"/>
  <c r="CH115" i="13"/>
  <c r="CI115" i="13"/>
  <c r="CJ115" i="13"/>
  <c r="CK115" i="13"/>
  <c r="CL115" i="13"/>
  <c r="CM115" i="13"/>
  <c r="CN115" i="13"/>
  <c r="CO115" i="13"/>
  <c r="CP115" i="13"/>
  <c r="CQ115" i="13"/>
  <c r="CR115" i="13"/>
  <c r="CS115" i="13"/>
  <c r="CT115" i="13"/>
  <c r="CU115" i="13"/>
  <c r="CV115" i="13"/>
  <c r="CW115" i="13"/>
  <c r="CX115" i="13"/>
  <c r="CY115" i="13"/>
  <c r="CZ115" i="13"/>
  <c r="DA115" i="13"/>
  <c r="DB115" i="13"/>
  <c r="DH115" i="13"/>
  <c r="DI115" i="13"/>
  <c r="DJ115" i="13"/>
  <c r="H116" i="13"/>
  <c r="I116" i="13"/>
  <c r="J116" i="13"/>
  <c r="K116" i="13"/>
  <c r="L116" i="13"/>
  <c r="M116" i="13"/>
  <c r="N116" i="13"/>
  <c r="O116" i="13"/>
  <c r="P116" i="13"/>
  <c r="Q116" i="13"/>
  <c r="R116" i="13"/>
  <c r="S116" i="13"/>
  <c r="T116" i="13"/>
  <c r="U116" i="13"/>
  <c r="V116" i="13"/>
  <c r="W116" i="13"/>
  <c r="X116" i="13"/>
  <c r="Y116" i="13"/>
  <c r="Z116" i="13"/>
  <c r="AA116" i="13"/>
  <c r="AB116" i="13"/>
  <c r="AC116" i="13"/>
  <c r="AD116" i="13"/>
  <c r="AE116" i="13"/>
  <c r="AG116" i="13"/>
  <c r="AH116" i="13"/>
  <c r="AI116" i="13"/>
  <c r="AJ116" i="13"/>
  <c r="AK116" i="13"/>
  <c r="AL116" i="13"/>
  <c r="AM116" i="13"/>
  <c r="AN116" i="13"/>
  <c r="AO116" i="13"/>
  <c r="AP116" i="13"/>
  <c r="AQ116" i="13"/>
  <c r="AR116" i="13"/>
  <c r="AS116" i="13"/>
  <c r="AT116" i="13"/>
  <c r="AU116" i="13"/>
  <c r="AV116" i="13"/>
  <c r="AW116" i="13"/>
  <c r="AX116" i="13"/>
  <c r="AY116" i="13"/>
  <c r="AZ116" i="13"/>
  <c r="BA116" i="13"/>
  <c r="BB116" i="13"/>
  <c r="BC116" i="13"/>
  <c r="BD116" i="13"/>
  <c r="BF116" i="13"/>
  <c r="BG116" i="13"/>
  <c r="BH116" i="13"/>
  <c r="BI116" i="13"/>
  <c r="BJ116" i="13"/>
  <c r="BK116" i="13"/>
  <c r="BL116" i="13"/>
  <c r="BM116" i="13"/>
  <c r="BN116" i="13"/>
  <c r="BO116" i="13"/>
  <c r="BP116" i="13"/>
  <c r="BQ116" i="13"/>
  <c r="BR116" i="13"/>
  <c r="BS116" i="13"/>
  <c r="BT116" i="13"/>
  <c r="BU116" i="13"/>
  <c r="BV116" i="13"/>
  <c r="BW116" i="13"/>
  <c r="BX116" i="13"/>
  <c r="BY116" i="13"/>
  <c r="BZ116" i="13"/>
  <c r="CA116" i="13"/>
  <c r="CB116" i="13"/>
  <c r="CC116" i="13"/>
  <c r="CE116" i="13"/>
  <c r="CF116" i="13"/>
  <c r="CG116" i="13"/>
  <c r="CH116" i="13"/>
  <c r="CI116" i="13"/>
  <c r="CJ116" i="13"/>
  <c r="CK116" i="13"/>
  <c r="CL116" i="13"/>
  <c r="CM116" i="13"/>
  <c r="CN116" i="13"/>
  <c r="CO116" i="13"/>
  <c r="CP116" i="13"/>
  <c r="CQ116" i="13"/>
  <c r="CR116" i="13"/>
  <c r="CS116" i="13"/>
  <c r="CT116" i="13"/>
  <c r="CU116" i="13"/>
  <c r="CV116" i="13"/>
  <c r="CW116" i="13"/>
  <c r="CX116" i="13"/>
  <c r="CY116" i="13"/>
  <c r="CZ116" i="13"/>
  <c r="DA116" i="13"/>
  <c r="DB116" i="13"/>
  <c r="DH116" i="13"/>
  <c r="DI116" i="13"/>
  <c r="DJ116" i="13"/>
  <c r="H117" i="13"/>
  <c r="I117" i="13"/>
  <c r="J117" i="13"/>
  <c r="K117" i="13"/>
  <c r="L117" i="13"/>
  <c r="M117" i="13"/>
  <c r="N117" i="13"/>
  <c r="O117" i="13"/>
  <c r="P117" i="13"/>
  <c r="Q117" i="13"/>
  <c r="R117" i="13"/>
  <c r="S117" i="13"/>
  <c r="T117" i="13"/>
  <c r="U117" i="13"/>
  <c r="V117" i="13"/>
  <c r="W117" i="13"/>
  <c r="X117" i="13"/>
  <c r="Y117" i="13"/>
  <c r="Z117" i="13"/>
  <c r="AA117" i="13"/>
  <c r="AB117" i="13"/>
  <c r="AC117" i="13"/>
  <c r="AD117" i="13"/>
  <c r="AE117" i="13"/>
  <c r="AG117" i="13"/>
  <c r="AH117" i="13"/>
  <c r="AI117" i="13"/>
  <c r="AJ117" i="13"/>
  <c r="AK117" i="13"/>
  <c r="AL117" i="13"/>
  <c r="AM117" i="13"/>
  <c r="AN117" i="13"/>
  <c r="AO117" i="13"/>
  <c r="AP117" i="13"/>
  <c r="AQ117" i="13"/>
  <c r="AR117" i="13"/>
  <c r="AS117" i="13"/>
  <c r="AT117" i="13"/>
  <c r="AU117" i="13"/>
  <c r="AV117" i="13"/>
  <c r="AW117" i="13"/>
  <c r="AX117" i="13"/>
  <c r="AY117" i="13"/>
  <c r="AZ117" i="13"/>
  <c r="BA117" i="13"/>
  <c r="BB117" i="13"/>
  <c r="BC117" i="13"/>
  <c r="BD117" i="13"/>
  <c r="BF117" i="13"/>
  <c r="BG117" i="13"/>
  <c r="BH117" i="13"/>
  <c r="BI117" i="13"/>
  <c r="BJ117" i="13"/>
  <c r="BK117" i="13"/>
  <c r="BL117" i="13"/>
  <c r="BM117" i="13"/>
  <c r="BN117" i="13"/>
  <c r="BO117" i="13"/>
  <c r="BP117" i="13"/>
  <c r="BQ117" i="13"/>
  <c r="BR117" i="13"/>
  <c r="BS117" i="13"/>
  <c r="BT117" i="13"/>
  <c r="BU117" i="13"/>
  <c r="BV117" i="13"/>
  <c r="BW117" i="13"/>
  <c r="BX117" i="13"/>
  <c r="BY117" i="13"/>
  <c r="BZ117" i="13"/>
  <c r="CA117" i="13"/>
  <c r="CB117" i="13"/>
  <c r="CC117" i="13"/>
  <c r="CE117" i="13"/>
  <c r="CF117" i="13"/>
  <c r="CG117" i="13"/>
  <c r="CH117" i="13"/>
  <c r="CI117" i="13"/>
  <c r="CJ117" i="13"/>
  <c r="CK117" i="13"/>
  <c r="CL117" i="13"/>
  <c r="CM117" i="13"/>
  <c r="CN117" i="13"/>
  <c r="CO117" i="13"/>
  <c r="CP117" i="13"/>
  <c r="CQ117" i="13"/>
  <c r="CR117" i="13"/>
  <c r="CS117" i="13"/>
  <c r="CT117" i="13"/>
  <c r="CU117" i="13"/>
  <c r="CV117" i="13"/>
  <c r="CW117" i="13"/>
  <c r="CX117" i="13"/>
  <c r="CY117" i="13"/>
  <c r="CZ117" i="13"/>
  <c r="DA117" i="13"/>
  <c r="DB117" i="13"/>
  <c r="DH117" i="13"/>
  <c r="DI117" i="13"/>
  <c r="DJ117" i="13"/>
  <c r="H118" i="13"/>
  <c r="I118" i="13"/>
  <c r="J118" i="13"/>
  <c r="K118" i="13"/>
  <c r="L118" i="13"/>
  <c r="M118" i="13"/>
  <c r="N118" i="13"/>
  <c r="O118" i="13"/>
  <c r="P118" i="13"/>
  <c r="Q118" i="13"/>
  <c r="R118" i="13"/>
  <c r="S118" i="13"/>
  <c r="T118" i="13"/>
  <c r="U118" i="13"/>
  <c r="V118" i="13"/>
  <c r="W118" i="13"/>
  <c r="X118" i="13"/>
  <c r="Y118" i="13"/>
  <c r="Z118" i="13"/>
  <c r="AA118" i="13"/>
  <c r="AB118" i="13"/>
  <c r="AC118" i="13"/>
  <c r="AD118" i="13"/>
  <c r="AE118" i="13"/>
  <c r="AG118" i="13"/>
  <c r="AH118" i="13"/>
  <c r="AI118" i="13"/>
  <c r="AJ118" i="13"/>
  <c r="AK118" i="13"/>
  <c r="AL118" i="13"/>
  <c r="AM118" i="13"/>
  <c r="AN118" i="13"/>
  <c r="AO118" i="13"/>
  <c r="AP118" i="13"/>
  <c r="AQ118" i="13"/>
  <c r="AR118" i="13"/>
  <c r="AS118" i="13"/>
  <c r="AT118" i="13"/>
  <c r="AU118" i="13"/>
  <c r="AV118" i="13"/>
  <c r="AW118" i="13"/>
  <c r="AX118" i="13"/>
  <c r="AY118" i="13"/>
  <c r="AZ118" i="13"/>
  <c r="BA118" i="13"/>
  <c r="BB118" i="13"/>
  <c r="BC118" i="13"/>
  <c r="BD118" i="13"/>
  <c r="BF118" i="13"/>
  <c r="BG118" i="13"/>
  <c r="BH118" i="13"/>
  <c r="BI118" i="13"/>
  <c r="BJ118" i="13"/>
  <c r="BK118" i="13"/>
  <c r="BL118" i="13"/>
  <c r="BM118" i="13"/>
  <c r="BN118" i="13"/>
  <c r="BO118" i="13"/>
  <c r="BP118" i="13"/>
  <c r="BQ118" i="13"/>
  <c r="BR118" i="13"/>
  <c r="BS118" i="13"/>
  <c r="BT118" i="13"/>
  <c r="BU118" i="13"/>
  <c r="BV118" i="13"/>
  <c r="BW118" i="13"/>
  <c r="BX118" i="13"/>
  <c r="BY118" i="13"/>
  <c r="BZ118" i="13"/>
  <c r="CA118" i="13"/>
  <c r="CB118" i="13"/>
  <c r="CC118" i="13"/>
  <c r="CE118" i="13"/>
  <c r="CF118" i="13"/>
  <c r="CG118" i="13"/>
  <c r="CH118" i="13"/>
  <c r="CI118" i="13"/>
  <c r="CJ118" i="13"/>
  <c r="CK118" i="13"/>
  <c r="CL118" i="13"/>
  <c r="CM118" i="13"/>
  <c r="CN118" i="13"/>
  <c r="CO118" i="13"/>
  <c r="CP118" i="13"/>
  <c r="CQ118" i="13"/>
  <c r="CR118" i="13"/>
  <c r="CS118" i="13"/>
  <c r="CT118" i="13"/>
  <c r="CU118" i="13"/>
  <c r="CV118" i="13"/>
  <c r="CW118" i="13"/>
  <c r="CX118" i="13"/>
  <c r="CY118" i="13"/>
  <c r="CZ118" i="13"/>
  <c r="DA118" i="13"/>
  <c r="DB118" i="13"/>
  <c r="DH118" i="13"/>
  <c r="DI118" i="13"/>
  <c r="DJ118" i="13"/>
  <c r="H119" i="13"/>
  <c r="I119" i="13"/>
  <c r="J119" i="13"/>
  <c r="K119" i="13"/>
  <c r="L119" i="13"/>
  <c r="M119" i="13"/>
  <c r="N119" i="13"/>
  <c r="O119" i="13"/>
  <c r="P119" i="13"/>
  <c r="Q119" i="13"/>
  <c r="R119" i="13"/>
  <c r="S119" i="13"/>
  <c r="T119" i="13"/>
  <c r="U119" i="13"/>
  <c r="V119" i="13"/>
  <c r="W119" i="13"/>
  <c r="X119" i="13"/>
  <c r="Y119" i="13"/>
  <c r="Z119" i="13"/>
  <c r="AA119" i="13"/>
  <c r="AB119" i="13"/>
  <c r="AC119" i="13"/>
  <c r="AD119" i="13"/>
  <c r="AE119" i="13"/>
  <c r="AG119" i="13"/>
  <c r="AH119" i="13"/>
  <c r="AI119" i="13"/>
  <c r="AJ119" i="13"/>
  <c r="AK119" i="13"/>
  <c r="AL119" i="13"/>
  <c r="AM119" i="13"/>
  <c r="AN119" i="13"/>
  <c r="AO119" i="13"/>
  <c r="AP119" i="13"/>
  <c r="AQ119" i="13"/>
  <c r="AR119" i="13"/>
  <c r="AS119" i="13"/>
  <c r="AT119" i="13"/>
  <c r="AU119" i="13"/>
  <c r="AV119" i="13"/>
  <c r="AW119" i="13"/>
  <c r="AX119" i="13"/>
  <c r="AY119" i="13"/>
  <c r="AZ119" i="13"/>
  <c r="BA119" i="13"/>
  <c r="BB119" i="13"/>
  <c r="BC119" i="13"/>
  <c r="BD119" i="13"/>
  <c r="BF119" i="13"/>
  <c r="BG119" i="13"/>
  <c r="BH119" i="13"/>
  <c r="BI119" i="13"/>
  <c r="BJ119" i="13"/>
  <c r="BK119" i="13"/>
  <c r="BL119" i="13"/>
  <c r="BM119" i="13"/>
  <c r="BN119" i="13"/>
  <c r="BO119" i="13"/>
  <c r="BP119" i="13"/>
  <c r="BQ119" i="13"/>
  <c r="BR119" i="13"/>
  <c r="BS119" i="13"/>
  <c r="BT119" i="13"/>
  <c r="BU119" i="13"/>
  <c r="BV119" i="13"/>
  <c r="BW119" i="13"/>
  <c r="BX119" i="13"/>
  <c r="BY119" i="13"/>
  <c r="BZ119" i="13"/>
  <c r="CA119" i="13"/>
  <c r="CB119" i="13"/>
  <c r="CC119" i="13"/>
  <c r="CE119" i="13"/>
  <c r="CF119" i="13"/>
  <c r="CG119" i="13"/>
  <c r="CH119" i="13"/>
  <c r="CI119" i="13"/>
  <c r="CJ119" i="13"/>
  <c r="CK119" i="13"/>
  <c r="CL119" i="13"/>
  <c r="CM119" i="13"/>
  <c r="CN119" i="13"/>
  <c r="CO119" i="13"/>
  <c r="CP119" i="13"/>
  <c r="CQ119" i="13"/>
  <c r="CR119" i="13"/>
  <c r="CS119" i="13"/>
  <c r="CT119" i="13"/>
  <c r="CU119" i="13"/>
  <c r="CV119" i="13"/>
  <c r="CW119" i="13"/>
  <c r="CX119" i="13"/>
  <c r="CY119" i="13"/>
  <c r="CZ119" i="13"/>
  <c r="DA119" i="13"/>
  <c r="DB119" i="13"/>
  <c r="DH119" i="13"/>
  <c r="DI119" i="13"/>
  <c r="DJ119" i="13"/>
  <c r="H120" i="13"/>
  <c r="I120" i="13"/>
  <c r="J120" i="13"/>
  <c r="K120" i="13"/>
  <c r="L120" i="13"/>
  <c r="M120" i="13"/>
  <c r="N120" i="13"/>
  <c r="O120" i="13"/>
  <c r="P120" i="13"/>
  <c r="Q120" i="13"/>
  <c r="R120" i="13"/>
  <c r="S120" i="13"/>
  <c r="T120" i="13"/>
  <c r="U120" i="13"/>
  <c r="V120" i="13"/>
  <c r="W120" i="13"/>
  <c r="X120" i="13"/>
  <c r="Y120" i="13"/>
  <c r="Z120" i="13"/>
  <c r="AA120" i="13"/>
  <c r="AB120" i="13"/>
  <c r="AC120" i="13"/>
  <c r="AD120" i="13"/>
  <c r="AE120" i="13"/>
  <c r="AG120" i="13"/>
  <c r="AH120" i="13"/>
  <c r="AI120" i="13"/>
  <c r="AJ120" i="13"/>
  <c r="AK120" i="13"/>
  <c r="AL120" i="13"/>
  <c r="AM120" i="13"/>
  <c r="AN120" i="13"/>
  <c r="AO120" i="13"/>
  <c r="AP120" i="13"/>
  <c r="AQ120" i="13"/>
  <c r="AR120" i="13"/>
  <c r="AS120" i="13"/>
  <c r="AT120" i="13"/>
  <c r="AU120" i="13"/>
  <c r="AV120" i="13"/>
  <c r="AW120" i="13"/>
  <c r="AX120" i="13"/>
  <c r="AY120" i="13"/>
  <c r="AZ120" i="13"/>
  <c r="BA120" i="13"/>
  <c r="BB120" i="13"/>
  <c r="BC120" i="13"/>
  <c r="BD120" i="13"/>
  <c r="BF120" i="13"/>
  <c r="BG120" i="13"/>
  <c r="BH120" i="13"/>
  <c r="BI120" i="13"/>
  <c r="BJ120" i="13"/>
  <c r="BK120" i="13"/>
  <c r="BL120" i="13"/>
  <c r="BM120" i="13"/>
  <c r="BN120" i="13"/>
  <c r="BO120" i="13"/>
  <c r="BP120" i="13"/>
  <c r="BQ120" i="13"/>
  <c r="BR120" i="13"/>
  <c r="BS120" i="13"/>
  <c r="BT120" i="13"/>
  <c r="BU120" i="13"/>
  <c r="BV120" i="13"/>
  <c r="BW120" i="13"/>
  <c r="BX120" i="13"/>
  <c r="BY120" i="13"/>
  <c r="BZ120" i="13"/>
  <c r="CA120" i="13"/>
  <c r="CB120" i="13"/>
  <c r="CC120" i="13"/>
  <c r="CE120" i="13"/>
  <c r="CF120" i="13"/>
  <c r="CG120" i="13"/>
  <c r="CH120" i="13"/>
  <c r="CI120" i="13"/>
  <c r="CJ120" i="13"/>
  <c r="CK120" i="13"/>
  <c r="CL120" i="13"/>
  <c r="CM120" i="13"/>
  <c r="CN120" i="13"/>
  <c r="CO120" i="13"/>
  <c r="CP120" i="13"/>
  <c r="CQ120" i="13"/>
  <c r="CR120" i="13"/>
  <c r="CS120" i="13"/>
  <c r="CT120" i="13"/>
  <c r="CU120" i="13"/>
  <c r="CV120" i="13"/>
  <c r="CW120" i="13"/>
  <c r="CX120" i="13"/>
  <c r="CY120" i="13"/>
  <c r="CZ120" i="13"/>
  <c r="DA120" i="13"/>
  <c r="DB120" i="13"/>
  <c r="DH120" i="13"/>
  <c r="DI120" i="13"/>
  <c r="DJ120" i="13"/>
  <c r="H121" i="13"/>
  <c r="I121" i="13"/>
  <c r="J121" i="13"/>
  <c r="K121" i="13"/>
  <c r="L121" i="13"/>
  <c r="M121" i="13"/>
  <c r="N121" i="13"/>
  <c r="O121" i="13"/>
  <c r="P121" i="13"/>
  <c r="Q121" i="13"/>
  <c r="R121" i="13"/>
  <c r="S121" i="13"/>
  <c r="T121" i="13"/>
  <c r="U121" i="13"/>
  <c r="V121" i="13"/>
  <c r="W121" i="13"/>
  <c r="X121" i="13"/>
  <c r="Y121" i="13"/>
  <c r="Z121" i="13"/>
  <c r="AA121" i="13"/>
  <c r="AB121" i="13"/>
  <c r="AC121" i="13"/>
  <c r="AD121" i="13"/>
  <c r="AE121" i="13"/>
  <c r="AG121" i="13"/>
  <c r="AH121" i="13"/>
  <c r="AI121" i="13"/>
  <c r="AJ121" i="13"/>
  <c r="AK121" i="13"/>
  <c r="AL121" i="13"/>
  <c r="AM121" i="13"/>
  <c r="AN121" i="13"/>
  <c r="AO121" i="13"/>
  <c r="AP121" i="13"/>
  <c r="AQ121" i="13"/>
  <c r="AR121" i="13"/>
  <c r="AS121" i="13"/>
  <c r="AT121" i="13"/>
  <c r="AU121" i="13"/>
  <c r="AV121" i="13"/>
  <c r="AW121" i="13"/>
  <c r="AX121" i="13"/>
  <c r="AY121" i="13"/>
  <c r="AZ121" i="13"/>
  <c r="BA121" i="13"/>
  <c r="BB121" i="13"/>
  <c r="BC121" i="13"/>
  <c r="BD121" i="13"/>
  <c r="BF121" i="13"/>
  <c r="BG121" i="13"/>
  <c r="BH121" i="13"/>
  <c r="BI121" i="13"/>
  <c r="BJ121" i="13"/>
  <c r="BK121" i="13"/>
  <c r="BL121" i="13"/>
  <c r="BM121" i="13"/>
  <c r="BN121" i="13"/>
  <c r="BO121" i="13"/>
  <c r="BP121" i="13"/>
  <c r="BQ121" i="13"/>
  <c r="BR121" i="13"/>
  <c r="BS121" i="13"/>
  <c r="BT121" i="13"/>
  <c r="BU121" i="13"/>
  <c r="BV121" i="13"/>
  <c r="BW121" i="13"/>
  <c r="BX121" i="13"/>
  <c r="BY121" i="13"/>
  <c r="BZ121" i="13"/>
  <c r="CA121" i="13"/>
  <c r="CB121" i="13"/>
  <c r="CC121" i="13"/>
  <c r="CE121" i="13"/>
  <c r="CF121" i="13"/>
  <c r="CG121" i="13"/>
  <c r="CH121" i="13"/>
  <c r="CI121" i="13"/>
  <c r="CJ121" i="13"/>
  <c r="CK121" i="13"/>
  <c r="CL121" i="13"/>
  <c r="CM121" i="13"/>
  <c r="CN121" i="13"/>
  <c r="CO121" i="13"/>
  <c r="CP121" i="13"/>
  <c r="CQ121" i="13"/>
  <c r="CR121" i="13"/>
  <c r="CS121" i="13"/>
  <c r="CT121" i="13"/>
  <c r="CU121" i="13"/>
  <c r="CV121" i="13"/>
  <c r="CW121" i="13"/>
  <c r="CX121" i="13"/>
  <c r="CY121" i="13"/>
  <c r="CZ121" i="13"/>
  <c r="DA121" i="13"/>
  <c r="DB121" i="13"/>
  <c r="DH121" i="13"/>
  <c r="DI121" i="13"/>
  <c r="DJ121" i="13"/>
  <c r="H122" i="13"/>
  <c r="I122" i="13"/>
  <c r="J122" i="13"/>
  <c r="K122" i="13"/>
  <c r="L122" i="13"/>
  <c r="M122" i="13"/>
  <c r="N122" i="13"/>
  <c r="O122" i="13"/>
  <c r="P122" i="13"/>
  <c r="Q122" i="13"/>
  <c r="R122" i="13"/>
  <c r="S122" i="13"/>
  <c r="T122" i="13"/>
  <c r="U122" i="13"/>
  <c r="V122" i="13"/>
  <c r="W122" i="13"/>
  <c r="X122" i="13"/>
  <c r="Y122" i="13"/>
  <c r="Z122" i="13"/>
  <c r="AA122" i="13"/>
  <c r="AB122" i="13"/>
  <c r="AC122" i="13"/>
  <c r="AD122" i="13"/>
  <c r="AE122" i="13"/>
  <c r="AG122" i="13"/>
  <c r="AH122" i="13"/>
  <c r="AI122" i="13"/>
  <c r="AJ122" i="13"/>
  <c r="AK122" i="13"/>
  <c r="AL122" i="13"/>
  <c r="AM122" i="13"/>
  <c r="AN122" i="13"/>
  <c r="AO122" i="13"/>
  <c r="AP122" i="13"/>
  <c r="AQ122" i="13"/>
  <c r="AR122" i="13"/>
  <c r="AS122" i="13"/>
  <c r="AT122" i="13"/>
  <c r="AU122" i="13"/>
  <c r="AV122" i="13"/>
  <c r="AW122" i="13"/>
  <c r="AX122" i="13"/>
  <c r="AY122" i="13"/>
  <c r="AZ122" i="13"/>
  <c r="BA122" i="13"/>
  <c r="BB122" i="13"/>
  <c r="BC122" i="13"/>
  <c r="BD122" i="13"/>
  <c r="BF122" i="13"/>
  <c r="BG122" i="13"/>
  <c r="BH122" i="13"/>
  <c r="BI122" i="13"/>
  <c r="BJ122" i="13"/>
  <c r="BK122" i="13"/>
  <c r="BL122" i="13"/>
  <c r="BM122" i="13"/>
  <c r="BN122" i="13"/>
  <c r="BO122" i="13"/>
  <c r="BP122" i="13"/>
  <c r="BQ122" i="13"/>
  <c r="BR122" i="13"/>
  <c r="BS122" i="13"/>
  <c r="BT122" i="13"/>
  <c r="BU122" i="13"/>
  <c r="BV122" i="13"/>
  <c r="BW122" i="13"/>
  <c r="BX122" i="13"/>
  <c r="BY122" i="13"/>
  <c r="BZ122" i="13"/>
  <c r="CA122" i="13"/>
  <c r="CB122" i="13"/>
  <c r="CC122" i="13"/>
  <c r="CE122" i="13"/>
  <c r="CF122" i="13"/>
  <c r="CG122" i="13"/>
  <c r="CH122" i="13"/>
  <c r="CI122" i="13"/>
  <c r="CJ122" i="13"/>
  <c r="CK122" i="13"/>
  <c r="CL122" i="13"/>
  <c r="CM122" i="13"/>
  <c r="CN122" i="13"/>
  <c r="CO122" i="13"/>
  <c r="CP122" i="13"/>
  <c r="CQ122" i="13"/>
  <c r="CR122" i="13"/>
  <c r="CS122" i="13"/>
  <c r="CT122" i="13"/>
  <c r="CU122" i="13"/>
  <c r="CV122" i="13"/>
  <c r="CW122" i="13"/>
  <c r="CX122" i="13"/>
  <c r="CY122" i="13"/>
  <c r="CZ122" i="13"/>
  <c r="DA122" i="13"/>
  <c r="DB122" i="13"/>
  <c r="DH122" i="13"/>
  <c r="DI122" i="13"/>
  <c r="DJ122" i="13"/>
  <c r="H123" i="13"/>
  <c r="I123" i="13"/>
  <c r="J123" i="13"/>
  <c r="K123" i="13"/>
  <c r="L123" i="13"/>
  <c r="M123" i="13"/>
  <c r="N123" i="13"/>
  <c r="O123" i="13"/>
  <c r="P123" i="13"/>
  <c r="Q123" i="13"/>
  <c r="R123" i="13"/>
  <c r="S123" i="13"/>
  <c r="T123" i="13"/>
  <c r="U123" i="13"/>
  <c r="V123" i="13"/>
  <c r="W123" i="13"/>
  <c r="X123" i="13"/>
  <c r="Y123" i="13"/>
  <c r="Z123" i="13"/>
  <c r="AA123" i="13"/>
  <c r="AB123" i="13"/>
  <c r="AC123" i="13"/>
  <c r="AD123" i="13"/>
  <c r="AE123" i="13"/>
  <c r="AG123" i="13"/>
  <c r="AH123" i="13"/>
  <c r="AI123" i="13"/>
  <c r="AJ123" i="13"/>
  <c r="AK123" i="13"/>
  <c r="AL123" i="13"/>
  <c r="AM123" i="13"/>
  <c r="AN123" i="13"/>
  <c r="AO123" i="13"/>
  <c r="AP123" i="13"/>
  <c r="AQ123" i="13"/>
  <c r="AR123" i="13"/>
  <c r="AS123" i="13"/>
  <c r="AT123" i="13"/>
  <c r="AU123" i="13"/>
  <c r="AV123" i="13"/>
  <c r="AW123" i="13"/>
  <c r="AX123" i="13"/>
  <c r="AY123" i="13"/>
  <c r="AZ123" i="13"/>
  <c r="BA123" i="13"/>
  <c r="BB123" i="13"/>
  <c r="BC123" i="13"/>
  <c r="BD123" i="13"/>
  <c r="BF123" i="13"/>
  <c r="BG123" i="13"/>
  <c r="BH123" i="13"/>
  <c r="BI123" i="13"/>
  <c r="BJ123" i="13"/>
  <c r="BK123" i="13"/>
  <c r="BL123" i="13"/>
  <c r="BM123" i="13"/>
  <c r="BN123" i="13"/>
  <c r="BO123" i="13"/>
  <c r="BP123" i="13"/>
  <c r="BQ123" i="13"/>
  <c r="BR123" i="13"/>
  <c r="BS123" i="13"/>
  <c r="BT123" i="13"/>
  <c r="BU123" i="13"/>
  <c r="BV123" i="13"/>
  <c r="BW123" i="13"/>
  <c r="BX123" i="13"/>
  <c r="BY123" i="13"/>
  <c r="BZ123" i="13"/>
  <c r="CA123" i="13"/>
  <c r="CB123" i="13"/>
  <c r="CC123" i="13"/>
  <c r="CE123" i="13"/>
  <c r="CF123" i="13"/>
  <c r="CG123" i="13"/>
  <c r="CH123" i="13"/>
  <c r="CI123" i="13"/>
  <c r="CJ123" i="13"/>
  <c r="CK123" i="13"/>
  <c r="CL123" i="13"/>
  <c r="CM123" i="13"/>
  <c r="CN123" i="13"/>
  <c r="CO123" i="13"/>
  <c r="CP123" i="13"/>
  <c r="CQ123" i="13"/>
  <c r="CR123" i="13"/>
  <c r="CS123" i="13"/>
  <c r="CT123" i="13"/>
  <c r="CU123" i="13"/>
  <c r="CV123" i="13"/>
  <c r="CW123" i="13"/>
  <c r="CX123" i="13"/>
  <c r="CY123" i="13"/>
  <c r="CZ123" i="13"/>
  <c r="DA123" i="13"/>
  <c r="DB123" i="13"/>
  <c r="DH123" i="13"/>
  <c r="DI123" i="13"/>
  <c r="DJ123" i="13"/>
  <c r="H124" i="13"/>
  <c r="I124" i="13"/>
  <c r="J124" i="13"/>
  <c r="K124" i="13"/>
  <c r="L124" i="13"/>
  <c r="M124" i="13"/>
  <c r="N124" i="13"/>
  <c r="O124" i="13"/>
  <c r="P124" i="13"/>
  <c r="Q124" i="13"/>
  <c r="R124" i="13"/>
  <c r="S124" i="13"/>
  <c r="T124" i="13"/>
  <c r="U124" i="13"/>
  <c r="V124" i="13"/>
  <c r="W124" i="13"/>
  <c r="X124" i="13"/>
  <c r="Y124" i="13"/>
  <c r="Z124" i="13"/>
  <c r="AA124" i="13"/>
  <c r="AB124" i="13"/>
  <c r="AC124" i="13"/>
  <c r="AD124" i="13"/>
  <c r="AE124" i="13"/>
  <c r="AG124" i="13"/>
  <c r="AH124" i="13"/>
  <c r="AI124" i="13"/>
  <c r="AJ124" i="13"/>
  <c r="AK124" i="13"/>
  <c r="AL124" i="13"/>
  <c r="AM124" i="13"/>
  <c r="AN124" i="13"/>
  <c r="AO124" i="13"/>
  <c r="AP124" i="13"/>
  <c r="AQ124" i="13"/>
  <c r="AR124" i="13"/>
  <c r="AS124" i="13"/>
  <c r="AT124" i="13"/>
  <c r="AU124" i="13"/>
  <c r="AV124" i="13"/>
  <c r="AW124" i="13"/>
  <c r="AX124" i="13"/>
  <c r="AY124" i="13"/>
  <c r="AZ124" i="13"/>
  <c r="BA124" i="13"/>
  <c r="BB124" i="13"/>
  <c r="BC124" i="13"/>
  <c r="BD124" i="13"/>
  <c r="BF124" i="13"/>
  <c r="BG124" i="13"/>
  <c r="BH124" i="13"/>
  <c r="BI124" i="13"/>
  <c r="BJ124" i="13"/>
  <c r="BK124" i="13"/>
  <c r="BL124" i="13"/>
  <c r="BM124" i="13"/>
  <c r="BN124" i="13"/>
  <c r="BO124" i="13"/>
  <c r="BP124" i="13"/>
  <c r="BQ124" i="13"/>
  <c r="BR124" i="13"/>
  <c r="BS124" i="13"/>
  <c r="BT124" i="13"/>
  <c r="BU124" i="13"/>
  <c r="BV124" i="13"/>
  <c r="BW124" i="13"/>
  <c r="BX124" i="13"/>
  <c r="BY124" i="13"/>
  <c r="BZ124" i="13"/>
  <c r="CA124" i="13"/>
  <c r="CB124" i="13"/>
  <c r="CC124" i="13"/>
  <c r="CE124" i="13"/>
  <c r="CF124" i="13"/>
  <c r="CG124" i="13"/>
  <c r="CH124" i="13"/>
  <c r="CI124" i="13"/>
  <c r="CJ124" i="13"/>
  <c r="CK124" i="13"/>
  <c r="CL124" i="13"/>
  <c r="CM124" i="13"/>
  <c r="CN124" i="13"/>
  <c r="CO124" i="13"/>
  <c r="CP124" i="13"/>
  <c r="CQ124" i="13"/>
  <c r="CR124" i="13"/>
  <c r="CS124" i="13"/>
  <c r="CT124" i="13"/>
  <c r="CU124" i="13"/>
  <c r="CV124" i="13"/>
  <c r="CW124" i="13"/>
  <c r="CX124" i="13"/>
  <c r="CY124" i="13"/>
  <c r="CZ124" i="13"/>
  <c r="DA124" i="13"/>
  <c r="DB124" i="13"/>
  <c r="DH124" i="13"/>
  <c r="DI124" i="13"/>
  <c r="DJ124" i="13"/>
  <c r="H125" i="13"/>
  <c r="I125" i="13"/>
  <c r="J125" i="13"/>
  <c r="K125" i="13"/>
  <c r="L125" i="13"/>
  <c r="M125" i="13"/>
  <c r="N125" i="13"/>
  <c r="O125" i="13"/>
  <c r="P125" i="13"/>
  <c r="Q125" i="13"/>
  <c r="R125" i="13"/>
  <c r="S125" i="13"/>
  <c r="T125" i="13"/>
  <c r="U125" i="13"/>
  <c r="V125" i="13"/>
  <c r="W125" i="13"/>
  <c r="X125" i="13"/>
  <c r="Y125" i="13"/>
  <c r="Z125" i="13"/>
  <c r="AA125" i="13"/>
  <c r="AB125" i="13"/>
  <c r="AC125" i="13"/>
  <c r="AD125" i="13"/>
  <c r="AE125" i="13"/>
  <c r="AG125" i="13"/>
  <c r="AH125" i="13"/>
  <c r="AI125" i="13"/>
  <c r="AJ125" i="13"/>
  <c r="AK125" i="13"/>
  <c r="AL125" i="13"/>
  <c r="AM125" i="13"/>
  <c r="AN125" i="13"/>
  <c r="AO125" i="13"/>
  <c r="AP125" i="13"/>
  <c r="AQ125" i="13"/>
  <c r="AR125" i="13"/>
  <c r="AS125" i="13"/>
  <c r="AT125" i="13"/>
  <c r="AU125" i="13"/>
  <c r="AV125" i="13"/>
  <c r="AW125" i="13"/>
  <c r="AX125" i="13"/>
  <c r="AY125" i="13"/>
  <c r="AZ125" i="13"/>
  <c r="BA125" i="13"/>
  <c r="BB125" i="13"/>
  <c r="BC125" i="13"/>
  <c r="BD125" i="13"/>
  <c r="BF125" i="13"/>
  <c r="BG125" i="13"/>
  <c r="BH125" i="13"/>
  <c r="BI125" i="13"/>
  <c r="BJ125" i="13"/>
  <c r="BK125" i="13"/>
  <c r="BL125" i="13"/>
  <c r="BM125" i="13"/>
  <c r="BN125" i="13"/>
  <c r="BO125" i="13"/>
  <c r="BP125" i="13"/>
  <c r="BQ125" i="13"/>
  <c r="BR125" i="13"/>
  <c r="BS125" i="13"/>
  <c r="BT125" i="13"/>
  <c r="BU125" i="13"/>
  <c r="BV125" i="13"/>
  <c r="BW125" i="13"/>
  <c r="BX125" i="13"/>
  <c r="BY125" i="13"/>
  <c r="BZ125" i="13"/>
  <c r="CA125" i="13"/>
  <c r="CB125" i="13"/>
  <c r="CC125" i="13"/>
  <c r="CE125" i="13"/>
  <c r="CF125" i="13"/>
  <c r="CG125" i="13"/>
  <c r="CH125" i="13"/>
  <c r="CI125" i="13"/>
  <c r="CJ125" i="13"/>
  <c r="CK125" i="13"/>
  <c r="CL125" i="13"/>
  <c r="CM125" i="13"/>
  <c r="CN125" i="13"/>
  <c r="CO125" i="13"/>
  <c r="CP125" i="13"/>
  <c r="CQ125" i="13"/>
  <c r="CR125" i="13"/>
  <c r="CS125" i="13"/>
  <c r="CT125" i="13"/>
  <c r="CU125" i="13"/>
  <c r="CV125" i="13"/>
  <c r="CW125" i="13"/>
  <c r="CX125" i="13"/>
  <c r="CY125" i="13"/>
  <c r="CZ125" i="13"/>
  <c r="DA125" i="13"/>
  <c r="DB125" i="13"/>
  <c r="DH125" i="13"/>
  <c r="DI125" i="13"/>
  <c r="DJ125" i="13"/>
  <c r="A131" i="13"/>
  <c r="DJ131" i="13"/>
  <c r="BQ2" i="5"/>
  <c r="BW2" i="5"/>
  <c r="BY2" i="5"/>
  <c r="CD2" i="5"/>
  <c r="CI2" i="5"/>
  <c r="CJ2" i="5"/>
  <c r="CR2" i="5"/>
  <c r="DI2" i="5"/>
  <c r="BR3" i="5"/>
  <c r="BS3" i="5"/>
  <c r="BW3" i="5"/>
  <c r="CA3" i="5"/>
  <c r="CD3" i="5"/>
  <c r="CI3" i="5"/>
  <c r="CM3" i="5"/>
  <c r="CP3" i="5"/>
  <c r="CU3" i="5"/>
  <c r="CY3" i="5"/>
  <c r="CZ3" i="5"/>
  <c r="DA3" i="5"/>
  <c r="DD3" i="5"/>
  <c r="DE3" i="5"/>
  <c r="DF3" i="5"/>
  <c r="DG3" i="5"/>
  <c r="DL3" i="5"/>
  <c r="DO3" i="5"/>
  <c r="BR4" i="5"/>
  <c r="BS4" i="5"/>
  <c r="BW4" i="5"/>
  <c r="CA4" i="5"/>
  <c r="CD4" i="5"/>
  <c r="CI4" i="5"/>
  <c r="CM4" i="5"/>
  <c r="CP4" i="5"/>
  <c r="CU4" i="5"/>
  <c r="DL4" i="5"/>
  <c r="DO4" i="5"/>
  <c r="DV4" i="5"/>
  <c r="DW4" i="5"/>
  <c r="DX4" i="5"/>
  <c r="DY4" i="5"/>
  <c r="DZ4" i="5"/>
  <c r="EA4" i="5"/>
  <c r="EB4" i="5"/>
  <c r="EC4" i="5"/>
  <c r="J5" i="5"/>
  <c r="BR5" i="5"/>
  <c r="BS5" i="5"/>
  <c r="BT5" i="5"/>
  <c r="BW5" i="5"/>
  <c r="BY5" i="5"/>
  <c r="CA5" i="5"/>
  <c r="CD5" i="5"/>
  <c r="CI5" i="5"/>
  <c r="CM5" i="5"/>
  <c r="CP5" i="5"/>
  <c r="CU5" i="5"/>
  <c r="CY5" i="5"/>
  <c r="CZ5" i="5"/>
  <c r="DA5" i="5"/>
  <c r="DL5" i="5"/>
  <c r="DO5" i="5"/>
  <c r="DV5" i="5"/>
  <c r="DW5" i="5"/>
  <c r="DX5" i="5"/>
  <c r="DY5" i="5"/>
  <c r="DZ5" i="5"/>
  <c r="EA5" i="5"/>
  <c r="EB5" i="5"/>
  <c r="EC5" i="5"/>
  <c r="BR6" i="5"/>
  <c r="BS6" i="5"/>
  <c r="BT6" i="5"/>
  <c r="BW6" i="5"/>
  <c r="CA6" i="5"/>
  <c r="CD6" i="5"/>
  <c r="CI6" i="5"/>
  <c r="CM6" i="5"/>
  <c r="CP6" i="5"/>
  <c r="CU6" i="5"/>
  <c r="DV6" i="5"/>
  <c r="DW6" i="5"/>
  <c r="DX6" i="5"/>
  <c r="DY6" i="5"/>
  <c r="DZ6" i="5"/>
  <c r="EA6" i="5"/>
  <c r="EB6" i="5"/>
  <c r="EC6" i="5"/>
  <c r="DV7" i="5"/>
  <c r="DW7" i="5"/>
  <c r="DX7" i="5"/>
  <c r="DY7" i="5"/>
  <c r="DZ7" i="5"/>
  <c r="EA7" i="5"/>
  <c r="EB7" i="5"/>
  <c r="EC7" i="5"/>
  <c r="DV8" i="5"/>
  <c r="DW8" i="5"/>
  <c r="DX8" i="5"/>
  <c r="DY8" i="5"/>
  <c r="DZ8" i="5"/>
  <c r="EA8" i="5"/>
  <c r="EB8" i="5"/>
  <c r="EC8" i="5"/>
  <c r="DV9" i="5"/>
  <c r="DW9" i="5"/>
  <c r="DX9" i="5"/>
  <c r="DY9" i="5"/>
  <c r="DZ9" i="5"/>
  <c r="EA9" i="5"/>
  <c r="EB9" i="5"/>
  <c r="EC9" i="5"/>
  <c r="DV10" i="5"/>
  <c r="DW10" i="5"/>
  <c r="DX10" i="5"/>
  <c r="DY10" i="5"/>
  <c r="DZ10" i="5"/>
  <c r="EA10" i="5"/>
  <c r="EB10" i="5"/>
  <c r="EC10" i="5"/>
  <c r="K12" i="5"/>
  <c r="GM14" i="5"/>
  <c r="GR14" i="5"/>
  <c r="GW14" i="5"/>
  <c r="HB14" i="5"/>
  <c r="HG14" i="5"/>
  <c r="D16" i="5"/>
  <c r="BA16" i="5"/>
  <c r="BB16" i="5"/>
  <c r="BC16" i="5"/>
  <c r="BD16" i="5"/>
  <c r="BI16" i="5"/>
  <c r="BJ16" i="5"/>
  <c r="BK16" i="5"/>
  <c r="BL16" i="5"/>
  <c r="BQ16" i="5"/>
  <c r="BR16" i="5"/>
  <c r="BS16" i="5"/>
  <c r="BY16" i="5"/>
  <c r="BZ16" i="5"/>
  <c r="CA16" i="5"/>
  <c r="CB16" i="5"/>
  <c r="CC16" i="5"/>
  <c r="CD16" i="5"/>
  <c r="DB16" i="5"/>
  <c r="DC16" i="5"/>
  <c r="DD16" i="5"/>
  <c r="DE16" i="5"/>
  <c r="DK16" i="5"/>
  <c r="DL16" i="5"/>
  <c r="DM16" i="5"/>
  <c r="DS16" i="5"/>
  <c r="DT16" i="5"/>
  <c r="DV16" i="5"/>
  <c r="DW16" i="5"/>
  <c r="DX16" i="5"/>
  <c r="DY16" i="5"/>
  <c r="DZ16" i="5"/>
  <c r="EA16" i="5"/>
  <c r="FI16" i="5"/>
  <c r="FJ16" i="5"/>
  <c r="FP16" i="5"/>
  <c r="FQ16" i="5"/>
  <c r="GX16" i="5"/>
  <c r="GY16" i="5"/>
  <c r="GZ16" i="5"/>
  <c r="HA16" i="5"/>
  <c r="HB16" i="5"/>
  <c r="HC16" i="5"/>
  <c r="HD16" i="5"/>
  <c r="HE16" i="5"/>
  <c r="HF16" i="5"/>
  <c r="HG16" i="5"/>
  <c r="A17" i="5"/>
  <c r="B17" i="5"/>
  <c r="C17" i="5"/>
  <c r="D17" i="5"/>
  <c r="E17" i="5"/>
  <c r="F17" i="5"/>
  <c r="I17" i="5"/>
  <c r="J17" i="5"/>
  <c r="K17" i="5"/>
  <c r="L17" i="5"/>
  <c r="M17" i="5"/>
  <c r="N17" i="5"/>
  <c r="O17" i="5"/>
  <c r="P17" i="5"/>
  <c r="Q17" i="5"/>
  <c r="R17" i="5"/>
  <c r="S17" i="5"/>
  <c r="T17" i="5"/>
  <c r="U17" i="5"/>
  <c r="V17" i="5"/>
  <c r="W17" i="5"/>
  <c r="X17" i="5"/>
  <c r="Y17" i="5"/>
  <c r="Z17" i="5"/>
  <c r="AA17" i="5"/>
  <c r="AB17" i="5"/>
  <c r="AC17" i="5"/>
  <c r="AD17" i="5"/>
  <c r="AE17" i="5"/>
  <c r="AF17" i="5"/>
  <c r="AG17" i="5"/>
  <c r="AH17" i="5"/>
  <c r="AI17" i="5"/>
  <c r="AJ17" i="5"/>
  <c r="AK17" i="5"/>
  <c r="AL17" i="5"/>
  <c r="AM17" i="5"/>
  <c r="AN17" i="5"/>
  <c r="AO17" i="5"/>
  <c r="AP17" i="5"/>
  <c r="AQ17" i="5"/>
  <c r="AR17" i="5"/>
  <c r="AS17" i="5"/>
  <c r="AT17" i="5"/>
  <c r="AU17" i="5"/>
  <c r="AV17" i="5"/>
  <c r="AW17" i="5"/>
  <c r="AX17" i="5"/>
  <c r="AY17" i="5"/>
  <c r="AZ17" i="5"/>
  <c r="BA17" i="5"/>
  <c r="BA17" i="5" a="1"/>
  <c r="BB17" i="5"/>
  <c r="BC17" i="5"/>
  <c r="BD17" i="5"/>
  <c r="BE17" i="5"/>
  <c r="BF17" i="5"/>
  <c r="BG17" i="5"/>
  <c r="BH17" i="5"/>
  <c r="BI17" i="5"/>
  <c r="BJ17" i="5"/>
  <c r="BK17" i="5"/>
  <c r="BL17" i="5"/>
  <c r="BM17" i="5"/>
  <c r="BN17" i="5"/>
  <c r="BO17" i="5"/>
  <c r="BP17" i="5"/>
  <c r="BQ17" i="5"/>
  <c r="BR17" i="5"/>
  <c r="BS17" i="5"/>
  <c r="BT17" i="5"/>
  <c r="BU17" i="5"/>
  <c r="BV17" i="5"/>
  <c r="BW17" i="5"/>
  <c r="BX17" i="5"/>
  <c r="BY17" i="5"/>
  <c r="BZ17" i="5"/>
  <c r="CA17" i="5"/>
  <c r="CB17" i="5"/>
  <c r="CC17" i="5"/>
  <c r="CD17" i="5"/>
  <c r="CE17" i="5"/>
  <c r="CF17" i="5"/>
  <c r="CG17" i="5"/>
  <c r="CH17" i="5"/>
  <c r="CI17" i="5"/>
  <c r="CJ17" i="5"/>
  <c r="CK17" i="5"/>
  <c r="CL17" i="5"/>
  <c r="CM17" i="5"/>
  <c r="CN17" i="5"/>
  <c r="CO17" i="5"/>
  <c r="CP17" i="5"/>
  <c r="CQ17" i="5"/>
  <c r="CR17" i="5"/>
  <c r="CS17" i="5"/>
  <c r="CT17" i="5"/>
  <c r="CU17" i="5"/>
  <c r="CV17" i="5"/>
  <c r="CW17" i="5"/>
  <c r="CX17" i="5"/>
  <c r="CY17" i="5"/>
  <c r="CZ17" i="5"/>
  <c r="DA17" i="5"/>
  <c r="DB17" i="5"/>
  <c r="DC17" i="5"/>
  <c r="DD17" i="5"/>
  <c r="DE17" i="5"/>
  <c r="DF17" i="5"/>
  <c r="DG17" i="5"/>
  <c r="DH17" i="5"/>
  <c r="DI17" i="5"/>
  <c r="DJ17" i="5"/>
  <c r="DK17" i="5"/>
  <c r="DL17" i="5"/>
  <c r="DM17" i="5"/>
  <c r="DN17" i="5"/>
  <c r="DO17" i="5"/>
  <c r="DP17" i="5"/>
  <c r="DQ17" i="5"/>
  <c r="DR17" i="5"/>
  <c r="DS17" i="5"/>
  <c r="DT17" i="5"/>
  <c r="DU17" i="5"/>
  <c r="DV17" i="5"/>
  <c r="DW17" i="5"/>
  <c r="DX17" i="5"/>
  <c r="DY17" i="5"/>
  <c r="DZ17" i="5"/>
  <c r="EA17" i="5"/>
  <c r="EB17" i="5"/>
  <c r="EC17" i="5"/>
  <c r="ED17" i="5"/>
  <c r="EE17" i="5"/>
  <c r="EF17" i="5"/>
  <c r="EG17" i="5"/>
  <c r="EH17" i="5"/>
  <c r="EI17" i="5"/>
  <c r="EJ17" i="5"/>
  <c r="EK17" i="5"/>
  <c r="EL17" i="5"/>
  <c r="EM17" i="5"/>
  <c r="EN17" i="5"/>
  <c r="EO17" i="5"/>
  <c r="EP17" i="5"/>
  <c r="EQ17" i="5"/>
  <c r="ER17" i="5"/>
  <c r="ES17" i="5"/>
  <c r="ET17" i="5"/>
  <c r="EU17" i="5"/>
  <c r="EV17" i="5"/>
  <c r="EW17" i="5"/>
  <c r="EX17" i="5"/>
  <c r="EY17" i="5"/>
  <c r="EZ17" i="5"/>
  <c r="FA17" i="5"/>
  <c r="FB17" i="5"/>
  <c r="FC17" i="5"/>
  <c r="FD17" i="5"/>
  <c r="FE17" i="5"/>
  <c r="FF17" i="5"/>
  <c r="FG17" i="5"/>
  <c r="FH17" i="5"/>
  <c r="FI17" i="5"/>
  <c r="FJ17" i="5"/>
  <c r="FK17" i="5"/>
  <c r="FL17" i="5"/>
  <c r="FM17" i="5"/>
  <c r="FN17" i="5"/>
  <c r="FO17" i="5"/>
  <c r="FP17" i="5"/>
  <c r="FQ17" i="5"/>
  <c r="FR17" i="5"/>
  <c r="FS17" i="5"/>
  <c r="FT17" i="5"/>
  <c r="FU17" i="5"/>
  <c r="FV17" i="5"/>
  <c r="FW17" i="5"/>
  <c r="FX17" i="5"/>
  <c r="FY17" i="5"/>
  <c r="FZ17" i="5"/>
  <c r="GA17" i="5"/>
  <c r="GB17" i="5"/>
  <c r="GC17" i="5"/>
  <c r="GD17" i="5"/>
  <c r="GE17" i="5"/>
  <c r="GF17" i="5"/>
  <c r="GG17" i="5"/>
  <c r="GH17" i="5"/>
  <c r="GI17" i="5"/>
  <c r="GJ17" i="5"/>
  <c r="GK17" i="5"/>
  <c r="GL17" i="5"/>
  <c r="GM17" i="5"/>
  <c r="GN17" i="5"/>
  <c r="GO17" i="5"/>
  <c r="GP17" i="5"/>
  <c r="GQ17" i="5"/>
  <c r="GR17" i="5"/>
  <c r="GS17" i="5"/>
  <c r="GT17" i="5"/>
  <c r="GU17" i="5"/>
  <c r="GV17" i="5"/>
  <c r="GW17" i="5"/>
  <c r="GX17" i="5"/>
  <c r="GY17" i="5"/>
  <c r="GZ17" i="5"/>
  <c r="HA17" i="5"/>
  <c r="HB17" i="5"/>
  <c r="HC17" i="5"/>
  <c r="HD17" i="5"/>
  <c r="HE17" i="5"/>
  <c r="HF17" i="5"/>
  <c r="HG17" i="5"/>
  <c r="A18" i="5"/>
  <c r="B18" i="5"/>
  <c r="C18" i="5"/>
  <c r="D18" i="5"/>
  <c r="E18" i="5"/>
  <c r="F18" i="5"/>
  <c r="G18" i="5"/>
  <c r="H18" i="5"/>
  <c r="I18" i="5"/>
  <c r="J18" i="5"/>
  <c r="K18" i="5"/>
  <c r="L18" i="5"/>
  <c r="M18" i="5"/>
  <c r="N18" i="5"/>
  <c r="O18" i="5"/>
  <c r="P18" i="5"/>
  <c r="Q18" i="5"/>
  <c r="R18" i="5"/>
  <c r="S18" i="5"/>
  <c r="T18" i="5"/>
  <c r="U18" i="5"/>
  <c r="V18" i="5"/>
  <c r="W18" i="5"/>
  <c r="X18" i="5"/>
  <c r="Y18" i="5"/>
  <c r="Z18" i="5"/>
  <c r="AA18" i="5"/>
  <c r="AB18" i="5"/>
  <c r="AC18" i="5"/>
  <c r="AD18" i="5"/>
  <c r="AE18" i="5"/>
  <c r="AF18" i="5"/>
  <c r="AG18" i="5"/>
  <c r="AH18" i="5"/>
  <c r="AI18" i="5"/>
  <c r="AJ18" i="5"/>
  <c r="AK18" i="5"/>
  <c r="AL18" i="5"/>
  <c r="AM18" i="5"/>
  <c r="AN18" i="5"/>
  <c r="AO18" i="5"/>
  <c r="AP18" i="5"/>
  <c r="AQ18" i="5"/>
  <c r="AR18" i="5"/>
  <c r="AS18" i="5"/>
  <c r="AT18" i="5"/>
  <c r="AU18" i="5"/>
  <c r="AV18" i="5"/>
  <c r="AW18" i="5"/>
  <c r="AX18" i="5"/>
  <c r="AY18" i="5"/>
  <c r="AZ18" i="5"/>
  <c r="BA18" i="5"/>
  <c r="BB18" i="5"/>
  <c r="BC18" i="5"/>
  <c r="BD18" i="5"/>
  <c r="BE18" i="5"/>
  <c r="BF18" i="5"/>
  <c r="BG18" i="5"/>
  <c r="BH18" i="5"/>
  <c r="BI18" i="5"/>
  <c r="BJ18" i="5"/>
  <c r="BK18" i="5"/>
  <c r="BL18" i="5"/>
  <c r="BM18" i="5"/>
  <c r="BN18" i="5"/>
  <c r="BO18" i="5"/>
  <c r="BP18" i="5"/>
  <c r="BQ18" i="5"/>
  <c r="BR18" i="5"/>
  <c r="BS18" i="5"/>
  <c r="BT18" i="5"/>
  <c r="BU18" i="5"/>
  <c r="BV18" i="5"/>
  <c r="BW18" i="5"/>
  <c r="BX18" i="5"/>
  <c r="BY18" i="5"/>
  <c r="BZ18" i="5"/>
  <c r="CA18" i="5"/>
  <c r="CB18" i="5"/>
  <c r="CC18" i="5"/>
  <c r="CD18" i="5"/>
  <c r="CE18" i="5"/>
  <c r="CF18" i="5"/>
  <c r="CG18" i="5"/>
  <c r="CH18" i="5"/>
  <c r="CI18" i="5"/>
  <c r="CJ18" i="5"/>
  <c r="CK18" i="5"/>
  <c r="CL18" i="5"/>
  <c r="CM18" i="5"/>
  <c r="CN18" i="5"/>
  <c r="CO18" i="5"/>
  <c r="CP18" i="5"/>
  <c r="CQ18" i="5"/>
  <c r="CR18" i="5"/>
  <c r="CS18" i="5"/>
  <c r="CT18" i="5"/>
  <c r="CU18" i="5"/>
  <c r="CV18" i="5"/>
  <c r="CW18" i="5"/>
  <c r="CX18" i="5"/>
  <c r="CY18" i="5"/>
  <c r="CZ18" i="5"/>
  <c r="DA18" i="5"/>
  <c r="DB18" i="5"/>
  <c r="DC18" i="5"/>
  <c r="DD18" i="5"/>
  <c r="DE18" i="5"/>
  <c r="DF18" i="5"/>
  <c r="DG18" i="5"/>
  <c r="DH18" i="5"/>
  <c r="DI18" i="5"/>
  <c r="DJ18" i="5"/>
  <c r="DK18" i="5"/>
  <c r="DL18" i="5"/>
  <c r="DM18" i="5"/>
  <c r="DN18" i="5"/>
  <c r="DO18" i="5"/>
  <c r="DP18" i="5"/>
  <c r="DQ18" i="5"/>
  <c r="DR18" i="5"/>
  <c r="DS18" i="5"/>
  <c r="DT18" i="5"/>
  <c r="DU18" i="5"/>
  <c r="DV18" i="5"/>
  <c r="DW18" i="5"/>
  <c r="DX18" i="5"/>
  <c r="DY18" i="5"/>
  <c r="DZ18" i="5"/>
  <c r="EA18" i="5"/>
  <c r="EB18" i="5"/>
  <c r="EC18" i="5"/>
  <c r="ED18" i="5"/>
  <c r="EE18" i="5"/>
  <c r="EF18" i="5"/>
  <c r="EG18" i="5"/>
  <c r="EH18" i="5"/>
  <c r="EI18" i="5"/>
  <c r="EJ18" i="5"/>
  <c r="EK18" i="5"/>
  <c r="EL18" i="5"/>
  <c r="EM18" i="5"/>
  <c r="EN18" i="5"/>
  <c r="EO18" i="5"/>
  <c r="EP18" i="5"/>
  <c r="EQ18" i="5"/>
  <c r="ER18" i="5"/>
  <c r="ES18" i="5"/>
  <c r="ET18" i="5"/>
  <c r="EU18" i="5"/>
  <c r="EV18" i="5"/>
  <c r="EW18" i="5"/>
  <c r="EX18" i="5"/>
  <c r="EY18" i="5"/>
  <c r="EZ18" i="5"/>
  <c r="FA18" i="5"/>
  <c r="FB18" i="5"/>
  <c r="FC18" i="5"/>
  <c r="FD18" i="5"/>
  <c r="FE18" i="5"/>
  <c r="FF18" i="5"/>
  <c r="FG18" i="5"/>
  <c r="FH18" i="5"/>
  <c r="FI18" i="5"/>
  <c r="FJ18" i="5"/>
  <c r="FK18" i="5"/>
  <c r="FL18" i="5"/>
  <c r="FM18" i="5"/>
  <c r="FN18" i="5"/>
  <c r="FO18" i="5"/>
  <c r="FP18" i="5"/>
  <c r="FQ18" i="5"/>
  <c r="FR18" i="5"/>
  <c r="FS18" i="5"/>
  <c r="FT18" i="5"/>
  <c r="FU18" i="5"/>
  <c r="FV18" i="5"/>
  <c r="FW18" i="5"/>
  <c r="FX18" i="5"/>
  <c r="FY18" i="5"/>
  <c r="FZ18" i="5"/>
  <c r="GA18" i="5"/>
  <c r="GB18" i="5"/>
  <c r="GC18" i="5"/>
  <c r="GD18" i="5"/>
  <c r="GE18" i="5"/>
  <c r="GF18" i="5"/>
  <c r="GG18" i="5"/>
  <c r="GH18" i="5"/>
  <c r="GI18" i="5"/>
  <c r="GJ18" i="5"/>
  <c r="GK18" i="5"/>
  <c r="GL18" i="5"/>
  <c r="GM18" i="5"/>
  <c r="GN18" i="5"/>
  <c r="GO18" i="5"/>
  <c r="GP18" i="5"/>
  <c r="GQ18" i="5"/>
  <c r="GR18" i="5"/>
  <c r="GS18" i="5"/>
  <c r="GT18" i="5"/>
  <c r="GU18" i="5"/>
  <c r="GV18" i="5"/>
  <c r="GW18" i="5"/>
  <c r="GX18" i="5"/>
  <c r="GY18" i="5"/>
  <c r="GZ18" i="5"/>
  <c r="HA18" i="5"/>
  <c r="HB18" i="5"/>
  <c r="HC18" i="5"/>
  <c r="HD18" i="5"/>
  <c r="HE18" i="5"/>
  <c r="HF18" i="5"/>
  <c r="HG18" i="5"/>
  <c r="A19" i="5"/>
  <c r="B19" i="5"/>
  <c r="C19" i="5"/>
  <c r="D19" i="5"/>
  <c r="E19" i="5"/>
  <c r="F19" i="5"/>
  <c r="G19" i="5"/>
  <c r="H19" i="5"/>
  <c r="I19" i="5"/>
  <c r="J19" i="5"/>
  <c r="K19" i="5"/>
  <c r="L19" i="5"/>
  <c r="M19" i="5"/>
  <c r="N19" i="5"/>
  <c r="O19" i="5"/>
  <c r="P19" i="5"/>
  <c r="Q19" i="5"/>
  <c r="R19" i="5"/>
  <c r="S19" i="5"/>
  <c r="T19" i="5"/>
  <c r="U19" i="5"/>
  <c r="V19" i="5"/>
  <c r="W19" i="5"/>
  <c r="X19" i="5"/>
  <c r="Y19" i="5"/>
  <c r="Z19" i="5"/>
  <c r="AA19" i="5"/>
  <c r="AB19" i="5"/>
  <c r="AC19" i="5"/>
  <c r="AD19" i="5"/>
  <c r="AE19" i="5"/>
  <c r="AF19" i="5"/>
  <c r="AG19" i="5"/>
  <c r="AH19" i="5"/>
  <c r="AI19" i="5"/>
  <c r="AJ19" i="5"/>
  <c r="AK19" i="5"/>
  <c r="AL19" i="5"/>
  <c r="AM19" i="5"/>
  <c r="AN19" i="5"/>
  <c r="AO19" i="5"/>
  <c r="AP19" i="5"/>
  <c r="AQ19" i="5"/>
  <c r="AR19" i="5"/>
  <c r="AS19" i="5"/>
  <c r="AT19" i="5"/>
  <c r="AU19" i="5"/>
  <c r="AV19" i="5"/>
  <c r="AW19" i="5"/>
  <c r="AX19" i="5"/>
  <c r="AY19" i="5"/>
  <c r="AZ19" i="5"/>
  <c r="BA19" i="5"/>
  <c r="BB19" i="5"/>
  <c r="BC19" i="5"/>
  <c r="BD19" i="5"/>
  <c r="BE19" i="5"/>
  <c r="BF19" i="5"/>
  <c r="BG19" i="5"/>
  <c r="BH19" i="5"/>
  <c r="BI19" i="5"/>
  <c r="BJ19" i="5"/>
  <c r="BK19" i="5"/>
  <c r="BL19" i="5"/>
  <c r="BM19" i="5"/>
  <c r="BN19" i="5"/>
  <c r="BO19" i="5"/>
  <c r="BP19" i="5"/>
  <c r="BQ19" i="5"/>
  <c r="BR19" i="5"/>
  <c r="BS19" i="5"/>
  <c r="BT19" i="5"/>
  <c r="BU19" i="5"/>
  <c r="BV19" i="5"/>
  <c r="BW19" i="5"/>
  <c r="BX19" i="5"/>
  <c r="BY19" i="5"/>
  <c r="BZ19" i="5"/>
  <c r="CA19" i="5"/>
  <c r="CB19" i="5"/>
  <c r="CC19" i="5"/>
  <c r="CD19" i="5"/>
  <c r="CE19" i="5"/>
  <c r="CF19" i="5"/>
  <c r="CG19" i="5"/>
  <c r="CH19" i="5"/>
  <c r="CI19" i="5"/>
  <c r="CJ19" i="5"/>
  <c r="CK19" i="5"/>
  <c r="CL19" i="5"/>
  <c r="CM19" i="5"/>
  <c r="CN19" i="5"/>
  <c r="CO19" i="5"/>
  <c r="CP19" i="5"/>
  <c r="CQ19" i="5"/>
  <c r="CR19" i="5"/>
  <c r="CS19" i="5"/>
  <c r="CT19" i="5"/>
  <c r="CU19" i="5"/>
  <c r="CV19" i="5"/>
  <c r="CW19" i="5"/>
  <c r="CX19" i="5"/>
  <c r="CY19" i="5"/>
  <c r="CZ19" i="5"/>
  <c r="DA19" i="5"/>
  <c r="DB19" i="5"/>
  <c r="DC19" i="5"/>
  <c r="DD19" i="5"/>
  <c r="DE19" i="5"/>
  <c r="DF19" i="5"/>
  <c r="DG19" i="5"/>
  <c r="DH19" i="5"/>
  <c r="DI19" i="5"/>
  <c r="DJ19" i="5"/>
  <c r="DK19" i="5"/>
  <c r="DL19" i="5"/>
  <c r="DM19" i="5"/>
  <c r="DN19" i="5"/>
  <c r="DO19" i="5"/>
  <c r="DP19" i="5"/>
  <c r="DQ19" i="5"/>
  <c r="DR19" i="5"/>
  <c r="DS19" i="5"/>
  <c r="DT19" i="5"/>
  <c r="DU19" i="5"/>
  <c r="DV19" i="5"/>
  <c r="DW19" i="5"/>
  <c r="DX19" i="5"/>
  <c r="DY19" i="5"/>
  <c r="DZ19" i="5"/>
  <c r="EA19" i="5"/>
  <c r="EB19" i="5"/>
  <c r="EC19" i="5"/>
  <c r="ED19" i="5"/>
  <c r="EE19" i="5"/>
  <c r="EF19" i="5"/>
  <c r="EG19" i="5"/>
  <c r="EH19" i="5"/>
  <c r="EI19" i="5"/>
  <c r="EJ19" i="5"/>
  <c r="EK19" i="5"/>
  <c r="EL19" i="5"/>
  <c r="EM19" i="5"/>
  <c r="EN19" i="5"/>
  <c r="EO19" i="5"/>
  <c r="EP19" i="5"/>
  <c r="EQ19" i="5"/>
  <c r="ER19" i="5"/>
  <c r="ES19" i="5"/>
  <c r="ET19" i="5"/>
  <c r="EU19" i="5"/>
  <c r="EV19" i="5"/>
  <c r="EW19" i="5"/>
  <c r="EX19" i="5"/>
  <c r="EY19" i="5"/>
  <c r="EZ19" i="5"/>
  <c r="FA19" i="5"/>
  <c r="FB19" i="5"/>
  <c r="FC19" i="5"/>
  <c r="FD19" i="5"/>
  <c r="FE19" i="5"/>
  <c r="FF19" i="5"/>
  <c r="FG19" i="5"/>
  <c r="FH19" i="5"/>
  <c r="FI19" i="5"/>
  <c r="FJ19" i="5"/>
  <c r="FK19" i="5"/>
  <c r="FL19" i="5"/>
  <c r="FM19" i="5"/>
  <c r="FN19" i="5"/>
  <c r="FO19" i="5"/>
  <c r="FP19" i="5"/>
  <c r="FQ19" i="5"/>
  <c r="FR19" i="5"/>
  <c r="FS19" i="5"/>
  <c r="FT19" i="5"/>
  <c r="FU19" i="5"/>
  <c r="FV19" i="5"/>
  <c r="FW19" i="5"/>
  <c r="FX19" i="5"/>
  <c r="FY19" i="5"/>
  <c r="FZ19" i="5"/>
  <c r="GA19" i="5"/>
  <c r="GB19" i="5"/>
  <c r="GC19" i="5"/>
  <c r="GD19" i="5"/>
  <c r="GE19" i="5"/>
  <c r="GF19" i="5"/>
  <c r="GG19" i="5"/>
  <c r="GH19" i="5"/>
  <c r="GI19" i="5"/>
  <c r="GJ19" i="5"/>
  <c r="GK19" i="5"/>
  <c r="GL19" i="5"/>
  <c r="GM19" i="5"/>
  <c r="GN19" i="5"/>
  <c r="GO19" i="5"/>
  <c r="GP19" i="5"/>
  <c r="GQ19" i="5"/>
  <c r="GR19" i="5"/>
  <c r="GS19" i="5"/>
  <c r="GT19" i="5"/>
  <c r="GU19" i="5"/>
  <c r="GV19" i="5"/>
  <c r="GW19" i="5"/>
  <c r="GX19" i="5"/>
  <c r="GY19" i="5"/>
  <c r="GZ19" i="5"/>
  <c r="HA19" i="5"/>
  <c r="HB19" i="5"/>
  <c r="HC19" i="5"/>
  <c r="HD19" i="5"/>
  <c r="HE19" i="5"/>
  <c r="HF19" i="5"/>
  <c r="HG19" i="5"/>
  <c r="A20" i="5"/>
  <c r="B20" i="5"/>
  <c r="C20" i="5"/>
  <c r="D20" i="5"/>
  <c r="E20" i="5"/>
  <c r="F20" i="5"/>
  <c r="G20" i="5"/>
  <c r="H20" i="5"/>
  <c r="I20" i="5"/>
  <c r="J20" i="5"/>
  <c r="K20" i="5"/>
  <c r="L20" i="5"/>
  <c r="M20" i="5"/>
  <c r="N20" i="5"/>
  <c r="O20" i="5"/>
  <c r="P20" i="5"/>
  <c r="Q20" i="5"/>
  <c r="R20" i="5"/>
  <c r="S20" i="5"/>
  <c r="T20" i="5"/>
  <c r="U20" i="5"/>
  <c r="V20" i="5"/>
  <c r="W20" i="5"/>
  <c r="X20" i="5"/>
  <c r="Y20" i="5"/>
  <c r="Z20" i="5"/>
  <c r="AA20" i="5"/>
  <c r="AB20" i="5"/>
  <c r="AC20" i="5"/>
  <c r="AD20" i="5"/>
  <c r="AE20" i="5"/>
  <c r="AF20" i="5"/>
  <c r="AG20" i="5"/>
  <c r="AH20" i="5"/>
  <c r="AI20" i="5"/>
  <c r="AJ20" i="5"/>
  <c r="AK20" i="5"/>
  <c r="AL20" i="5"/>
  <c r="AM20" i="5"/>
  <c r="AN20" i="5"/>
  <c r="AO20" i="5"/>
  <c r="AP20" i="5"/>
  <c r="AQ20" i="5"/>
  <c r="AR20" i="5"/>
  <c r="AS20" i="5"/>
  <c r="AT20" i="5"/>
  <c r="AU20" i="5"/>
  <c r="AV20" i="5"/>
  <c r="AW20" i="5"/>
  <c r="AX20" i="5"/>
  <c r="AY20" i="5"/>
  <c r="AZ20" i="5"/>
  <c r="BA20" i="5"/>
  <c r="BB20" i="5"/>
  <c r="BC20" i="5"/>
  <c r="BD20" i="5"/>
  <c r="BE20" i="5"/>
  <c r="BF20" i="5"/>
  <c r="BG20" i="5"/>
  <c r="BH20" i="5"/>
  <c r="BI20" i="5"/>
  <c r="BJ20" i="5"/>
  <c r="BK20" i="5"/>
  <c r="BL20" i="5"/>
  <c r="BM20" i="5"/>
  <c r="BN20" i="5"/>
  <c r="BO20" i="5"/>
  <c r="BP20" i="5"/>
  <c r="BQ20" i="5"/>
  <c r="BR20" i="5"/>
  <c r="BS20" i="5"/>
  <c r="BT20" i="5"/>
  <c r="BU20" i="5"/>
  <c r="BV20" i="5"/>
  <c r="BW20" i="5"/>
  <c r="BX20" i="5"/>
  <c r="BY20" i="5"/>
  <c r="BZ20" i="5"/>
  <c r="CA20" i="5"/>
  <c r="CB20" i="5"/>
  <c r="CC20" i="5"/>
  <c r="CD20" i="5"/>
  <c r="CE20" i="5"/>
  <c r="CF20" i="5"/>
  <c r="CG20" i="5"/>
  <c r="CH20" i="5"/>
  <c r="CI20" i="5"/>
  <c r="CJ20" i="5"/>
  <c r="CK20" i="5"/>
  <c r="CL20" i="5"/>
  <c r="CM20" i="5"/>
  <c r="CN20" i="5"/>
  <c r="CO20" i="5"/>
  <c r="CP20" i="5"/>
  <c r="CQ20" i="5"/>
  <c r="CR20" i="5"/>
  <c r="CS20" i="5"/>
  <c r="CT20" i="5"/>
  <c r="CU20" i="5"/>
  <c r="CV20" i="5"/>
  <c r="CW20" i="5"/>
  <c r="CX20" i="5"/>
  <c r="CY20" i="5"/>
  <c r="CZ20" i="5"/>
  <c r="DA20" i="5"/>
  <c r="DB20" i="5"/>
  <c r="DC20" i="5"/>
  <c r="DD20" i="5"/>
  <c r="DE20" i="5"/>
  <c r="DF20" i="5"/>
  <c r="DG20" i="5"/>
  <c r="DH20" i="5"/>
  <c r="DI20" i="5"/>
  <c r="DJ20" i="5"/>
  <c r="DK20" i="5"/>
  <c r="DL20" i="5"/>
  <c r="DM20" i="5"/>
  <c r="DN20" i="5"/>
  <c r="DO20" i="5"/>
  <c r="DP20" i="5"/>
  <c r="DQ20" i="5"/>
  <c r="DR20" i="5"/>
  <c r="DS20" i="5"/>
  <c r="DT20" i="5"/>
  <c r="DU20" i="5"/>
  <c r="DV20" i="5"/>
  <c r="DW20" i="5"/>
  <c r="DX20" i="5"/>
  <c r="DY20" i="5"/>
  <c r="DZ20" i="5"/>
  <c r="EA20" i="5"/>
  <c r="EB20" i="5"/>
  <c r="EC20" i="5"/>
  <c r="ED20" i="5"/>
  <c r="EE20" i="5"/>
  <c r="EF20" i="5"/>
  <c r="EG20" i="5"/>
  <c r="EH20" i="5"/>
  <c r="EI20" i="5"/>
  <c r="EJ20" i="5"/>
  <c r="EK20" i="5"/>
  <c r="EL20" i="5"/>
  <c r="EM20" i="5"/>
  <c r="EN20" i="5"/>
  <c r="EO20" i="5"/>
  <c r="EP20" i="5"/>
  <c r="EQ20" i="5"/>
  <c r="ER20" i="5"/>
  <c r="ES20" i="5"/>
  <c r="ET20" i="5"/>
  <c r="EU20" i="5"/>
  <c r="EV20" i="5"/>
  <c r="EW20" i="5"/>
  <c r="EX20" i="5"/>
  <c r="EY20" i="5"/>
  <c r="EZ20" i="5"/>
  <c r="FA20" i="5"/>
  <c r="FB20" i="5"/>
  <c r="FC20" i="5"/>
  <c r="FD20" i="5"/>
  <c r="FE20" i="5"/>
  <c r="FF20" i="5"/>
  <c r="FG20" i="5"/>
  <c r="FH20" i="5"/>
  <c r="FI20" i="5"/>
  <c r="FJ20" i="5"/>
  <c r="FK20" i="5"/>
  <c r="FL20" i="5"/>
  <c r="FM20" i="5"/>
  <c r="FN20" i="5"/>
  <c r="FO20" i="5"/>
  <c r="FP20" i="5"/>
  <c r="FQ20" i="5"/>
  <c r="FR20" i="5"/>
  <c r="FS20" i="5"/>
  <c r="FT20" i="5"/>
  <c r="FU20" i="5"/>
  <c r="FV20" i="5"/>
  <c r="FW20" i="5"/>
  <c r="FX20" i="5"/>
  <c r="FY20" i="5"/>
  <c r="FZ20" i="5"/>
  <c r="GA20" i="5"/>
  <c r="GB20" i="5"/>
  <c r="GC20" i="5"/>
  <c r="GD20" i="5"/>
  <c r="GE20" i="5"/>
  <c r="GF20" i="5"/>
  <c r="GG20" i="5"/>
  <c r="GH20" i="5"/>
  <c r="GI20" i="5"/>
  <c r="GJ20" i="5"/>
  <c r="GK20" i="5"/>
  <c r="GL20" i="5"/>
  <c r="GM20" i="5"/>
  <c r="GN20" i="5"/>
  <c r="GO20" i="5"/>
  <c r="GP20" i="5"/>
  <c r="GQ20" i="5"/>
  <c r="GR20" i="5"/>
  <c r="GS20" i="5"/>
  <c r="GT20" i="5"/>
  <c r="GU20" i="5"/>
  <c r="GV20" i="5"/>
  <c r="GW20" i="5"/>
  <c r="GX20" i="5"/>
  <c r="GY20" i="5"/>
  <c r="GZ20" i="5"/>
  <c r="HA20" i="5"/>
  <c r="HB20" i="5"/>
  <c r="HC20" i="5"/>
  <c r="HD20" i="5"/>
  <c r="HE20" i="5"/>
  <c r="HF20" i="5"/>
  <c r="HG20" i="5"/>
  <c r="A21" i="5"/>
  <c r="B21" i="5"/>
  <c r="C21" i="5"/>
  <c r="D21" i="5"/>
  <c r="E21" i="5"/>
  <c r="F21" i="5"/>
  <c r="G21" i="5"/>
  <c r="H21" i="5"/>
  <c r="I21" i="5"/>
  <c r="J21" i="5"/>
  <c r="K21" i="5"/>
  <c r="L21" i="5"/>
  <c r="M21" i="5"/>
  <c r="N21" i="5"/>
  <c r="O21" i="5"/>
  <c r="P21" i="5"/>
  <c r="Q21" i="5"/>
  <c r="R21" i="5"/>
  <c r="S21" i="5"/>
  <c r="T21" i="5"/>
  <c r="U21" i="5"/>
  <c r="V21" i="5"/>
  <c r="W21" i="5"/>
  <c r="X21" i="5"/>
  <c r="Y21" i="5"/>
  <c r="Z21" i="5"/>
  <c r="AA21" i="5"/>
  <c r="AB21" i="5"/>
  <c r="AC21" i="5"/>
  <c r="AD21" i="5"/>
  <c r="AE21" i="5"/>
  <c r="AF21" i="5"/>
  <c r="AG21" i="5"/>
  <c r="AH21" i="5"/>
  <c r="AI21" i="5"/>
  <c r="AJ21" i="5"/>
  <c r="AK21" i="5"/>
  <c r="AL21" i="5"/>
  <c r="AM21" i="5"/>
  <c r="AN21" i="5"/>
  <c r="AO21" i="5"/>
  <c r="AP21" i="5"/>
  <c r="AQ21" i="5"/>
  <c r="AR21" i="5"/>
  <c r="AS21" i="5"/>
  <c r="AT21" i="5"/>
  <c r="AU21" i="5"/>
  <c r="AV21" i="5"/>
  <c r="AW21" i="5"/>
  <c r="AX21" i="5"/>
  <c r="AY21" i="5"/>
  <c r="AZ21" i="5"/>
  <c r="BA21" i="5"/>
  <c r="BB21" i="5"/>
  <c r="BC21" i="5"/>
  <c r="BD21" i="5"/>
  <c r="BE21" i="5"/>
  <c r="BF21" i="5"/>
  <c r="BG21" i="5"/>
  <c r="BH21" i="5"/>
  <c r="BI21" i="5"/>
  <c r="BJ21" i="5"/>
  <c r="BK21" i="5"/>
  <c r="BL21" i="5"/>
  <c r="BM21" i="5"/>
  <c r="BN21" i="5"/>
  <c r="BO21" i="5"/>
  <c r="BP21" i="5"/>
  <c r="BQ21" i="5"/>
  <c r="BR21" i="5"/>
  <c r="BS21" i="5"/>
  <c r="BT21" i="5"/>
  <c r="BU21" i="5"/>
  <c r="BV21" i="5"/>
  <c r="BW21" i="5"/>
  <c r="BX21" i="5"/>
  <c r="BY21" i="5"/>
  <c r="BZ21" i="5"/>
  <c r="CA21" i="5"/>
  <c r="CB21" i="5"/>
  <c r="CC21" i="5"/>
  <c r="CD21" i="5"/>
  <c r="CE21" i="5"/>
  <c r="CF21" i="5"/>
  <c r="CG21" i="5"/>
  <c r="CH21" i="5"/>
  <c r="CI21" i="5"/>
  <c r="CJ21" i="5"/>
  <c r="CK21" i="5"/>
  <c r="CL21" i="5"/>
  <c r="CM21" i="5"/>
  <c r="CN21" i="5"/>
  <c r="CO21" i="5"/>
  <c r="CP21" i="5"/>
  <c r="CQ21" i="5"/>
  <c r="CR21" i="5"/>
  <c r="CS21" i="5"/>
  <c r="CT21" i="5"/>
  <c r="CU21" i="5"/>
  <c r="CV21" i="5"/>
  <c r="CW21" i="5"/>
  <c r="CX21" i="5"/>
  <c r="CY21" i="5"/>
  <c r="CZ21" i="5"/>
  <c r="DA21" i="5"/>
  <c r="DB21" i="5"/>
  <c r="DC21" i="5"/>
  <c r="DD21" i="5"/>
  <c r="DE21" i="5"/>
  <c r="DF21" i="5"/>
  <c r="DG21" i="5"/>
  <c r="DH21" i="5"/>
  <c r="DI21" i="5"/>
  <c r="DJ21" i="5"/>
  <c r="DK21" i="5"/>
  <c r="DL21" i="5"/>
  <c r="DM21" i="5"/>
  <c r="DN21" i="5"/>
  <c r="DO21" i="5"/>
  <c r="DP21" i="5"/>
  <c r="DQ21" i="5"/>
  <c r="DR21" i="5"/>
  <c r="DS21" i="5"/>
  <c r="DT21" i="5"/>
  <c r="DU21" i="5"/>
  <c r="DV21" i="5"/>
  <c r="DW21" i="5"/>
  <c r="DX21" i="5"/>
  <c r="DY21" i="5"/>
  <c r="DZ21" i="5"/>
  <c r="EA21" i="5"/>
  <c r="EB21" i="5"/>
  <c r="EC21" i="5"/>
  <c r="ED21" i="5"/>
  <c r="EE21" i="5"/>
  <c r="EF21" i="5"/>
  <c r="EG21" i="5"/>
  <c r="EH21" i="5"/>
  <c r="EI21" i="5"/>
  <c r="EJ21" i="5"/>
  <c r="EK21" i="5"/>
  <c r="EL21" i="5"/>
  <c r="EM21" i="5"/>
  <c r="EN21" i="5"/>
  <c r="EO21" i="5"/>
  <c r="EP21" i="5"/>
  <c r="EQ21" i="5"/>
  <c r="ER21" i="5"/>
  <c r="ES21" i="5"/>
  <c r="ET21" i="5"/>
  <c r="EU21" i="5"/>
  <c r="EV21" i="5"/>
  <c r="EW21" i="5"/>
  <c r="EX21" i="5"/>
  <c r="EY21" i="5"/>
  <c r="EZ21" i="5"/>
  <c r="FA21" i="5"/>
  <c r="FB21" i="5"/>
  <c r="FC21" i="5"/>
  <c r="FD21" i="5"/>
  <c r="FE21" i="5"/>
  <c r="FF21" i="5"/>
  <c r="FG21" i="5"/>
  <c r="FH21" i="5"/>
  <c r="FI21" i="5"/>
  <c r="FJ21" i="5"/>
  <c r="FK21" i="5"/>
  <c r="FL21" i="5"/>
  <c r="FM21" i="5"/>
  <c r="FN21" i="5"/>
  <c r="FO21" i="5"/>
  <c r="FP21" i="5"/>
  <c r="FQ21" i="5"/>
  <c r="FR21" i="5"/>
  <c r="FS21" i="5"/>
  <c r="FT21" i="5"/>
  <c r="FU21" i="5"/>
  <c r="FV21" i="5"/>
  <c r="FW21" i="5"/>
  <c r="FX21" i="5"/>
  <c r="FY21" i="5"/>
  <c r="FZ21" i="5"/>
  <c r="GA21" i="5"/>
  <c r="GB21" i="5"/>
  <c r="GC21" i="5"/>
  <c r="GD21" i="5"/>
  <c r="GE21" i="5"/>
  <c r="GF21" i="5"/>
  <c r="GG21" i="5"/>
  <c r="GH21" i="5"/>
  <c r="GI21" i="5"/>
  <c r="GJ21" i="5"/>
  <c r="GK21" i="5"/>
  <c r="GL21" i="5"/>
  <c r="GM21" i="5"/>
  <c r="GN21" i="5"/>
  <c r="GO21" i="5"/>
  <c r="GP21" i="5"/>
  <c r="GQ21" i="5"/>
  <c r="GR21" i="5"/>
  <c r="GS21" i="5"/>
  <c r="GT21" i="5"/>
  <c r="GU21" i="5"/>
  <c r="GV21" i="5"/>
  <c r="GW21" i="5"/>
  <c r="GX21" i="5"/>
  <c r="GY21" i="5"/>
  <c r="GZ21" i="5"/>
  <c r="HA21" i="5"/>
  <c r="HB21" i="5"/>
  <c r="HC21" i="5"/>
  <c r="HD21" i="5"/>
  <c r="HE21" i="5"/>
  <c r="HF21" i="5"/>
  <c r="HG21" i="5"/>
  <c r="A22" i="5"/>
  <c r="B22" i="5"/>
  <c r="C22" i="5"/>
  <c r="D22" i="5"/>
  <c r="E22" i="5"/>
  <c r="F22" i="5"/>
  <c r="G22" i="5"/>
  <c r="H22" i="5"/>
  <c r="I22" i="5"/>
  <c r="J22" i="5"/>
  <c r="K22" i="5"/>
  <c r="L22" i="5"/>
  <c r="M22" i="5"/>
  <c r="N22" i="5"/>
  <c r="O22" i="5"/>
  <c r="P22" i="5"/>
  <c r="Q22" i="5"/>
  <c r="R22" i="5"/>
  <c r="S22" i="5"/>
  <c r="T22" i="5"/>
  <c r="U22" i="5"/>
  <c r="V22" i="5"/>
  <c r="W22" i="5"/>
  <c r="X22" i="5"/>
  <c r="Y22" i="5"/>
  <c r="Z22" i="5"/>
  <c r="AA22" i="5"/>
  <c r="AB22" i="5"/>
  <c r="AC22" i="5"/>
  <c r="AD22" i="5"/>
  <c r="AE22" i="5"/>
  <c r="AF22" i="5"/>
  <c r="AG22" i="5"/>
  <c r="AH22" i="5"/>
  <c r="AI22" i="5"/>
  <c r="AJ22" i="5"/>
  <c r="AK22" i="5"/>
  <c r="AL22" i="5"/>
  <c r="AM22" i="5"/>
  <c r="AN22" i="5"/>
  <c r="AO22" i="5"/>
  <c r="AP22" i="5"/>
  <c r="AQ22" i="5"/>
  <c r="AR22" i="5"/>
  <c r="AS22" i="5"/>
  <c r="AT22" i="5"/>
  <c r="AU22" i="5"/>
  <c r="AV22" i="5"/>
  <c r="AW22" i="5"/>
  <c r="AX22" i="5"/>
  <c r="AY22" i="5"/>
  <c r="AZ22" i="5"/>
  <c r="BA22" i="5"/>
  <c r="BB22" i="5"/>
  <c r="BC22" i="5"/>
  <c r="BD22" i="5"/>
  <c r="BE22" i="5"/>
  <c r="BF22" i="5"/>
  <c r="BG22" i="5"/>
  <c r="BH22" i="5"/>
  <c r="BI22" i="5"/>
  <c r="BJ22" i="5"/>
  <c r="BK22" i="5"/>
  <c r="BL22" i="5"/>
  <c r="BM22" i="5"/>
  <c r="BN22" i="5"/>
  <c r="BO22" i="5"/>
  <c r="BP22" i="5"/>
  <c r="BQ22" i="5"/>
  <c r="BR22" i="5"/>
  <c r="BS22" i="5"/>
  <c r="BT22" i="5"/>
  <c r="BU22" i="5"/>
  <c r="BV22" i="5"/>
  <c r="BW22" i="5"/>
  <c r="BX22" i="5"/>
  <c r="BY22" i="5"/>
  <c r="BZ22" i="5"/>
  <c r="CA22" i="5"/>
  <c r="CB22" i="5"/>
  <c r="CC22" i="5"/>
  <c r="CD22" i="5"/>
  <c r="CE22" i="5"/>
  <c r="CF22" i="5"/>
  <c r="CG22" i="5"/>
  <c r="CH22" i="5"/>
  <c r="CI22" i="5"/>
  <c r="CJ22" i="5"/>
  <c r="CK22" i="5"/>
  <c r="CL22" i="5"/>
  <c r="CM22" i="5"/>
  <c r="CN22" i="5"/>
  <c r="CO22" i="5"/>
  <c r="CP22" i="5"/>
  <c r="CQ22" i="5"/>
  <c r="CR22" i="5"/>
  <c r="CS22" i="5"/>
  <c r="CT22" i="5"/>
  <c r="CU22" i="5"/>
  <c r="CV22" i="5"/>
  <c r="CW22" i="5"/>
  <c r="CX22" i="5"/>
  <c r="CY22" i="5"/>
  <c r="CZ22" i="5"/>
  <c r="DA22" i="5"/>
  <c r="DB22" i="5"/>
  <c r="DC22" i="5"/>
  <c r="DD22" i="5"/>
  <c r="DE22" i="5"/>
  <c r="DF22" i="5"/>
  <c r="DG22" i="5"/>
  <c r="DH22" i="5"/>
  <c r="DI22" i="5"/>
  <c r="DJ22" i="5"/>
  <c r="DK22" i="5"/>
  <c r="DL22" i="5"/>
  <c r="DM22" i="5"/>
  <c r="DN22" i="5"/>
  <c r="DO22" i="5"/>
  <c r="DP22" i="5"/>
  <c r="DQ22" i="5"/>
  <c r="DR22" i="5"/>
  <c r="DS22" i="5"/>
  <c r="DT22" i="5"/>
  <c r="DU22" i="5"/>
  <c r="DV22" i="5"/>
  <c r="DW22" i="5"/>
  <c r="DX22" i="5"/>
  <c r="DY22" i="5"/>
  <c r="DZ22" i="5"/>
  <c r="EA22" i="5"/>
  <c r="EB22" i="5"/>
  <c r="EC22" i="5"/>
  <c r="ED22" i="5"/>
  <c r="EE22" i="5"/>
  <c r="EF22" i="5"/>
  <c r="EG22" i="5"/>
  <c r="EH22" i="5"/>
  <c r="EI22" i="5"/>
  <c r="EJ22" i="5"/>
  <c r="EK22" i="5"/>
  <c r="EL22" i="5"/>
  <c r="EM22" i="5"/>
  <c r="EN22" i="5"/>
  <c r="EO22" i="5"/>
  <c r="EP22" i="5"/>
  <c r="EQ22" i="5"/>
  <c r="ER22" i="5"/>
  <c r="ES22" i="5"/>
  <c r="ET22" i="5"/>
  <c r="EU22" i="5"/>
  <c r="EV22" i="5"/>
  <c r="EW22" i="5"/>
  <c r="EX22" i="5"/>
  <c r="EY22" i="5"/>
  <c r="EZ22" i="5"/>
  <c r="FA22" i="5"/>
  <c r="FB22" i="5"/>
  <c r="FC22" i="5"/>
  <c r="FD22" i="5"/>
  <c r="FE22" i="5"/>
  <c r="FF22" i="5"/>
  <c r="FG22" i="5"/>
  <c r="FH22" i="5"/>
  <c r="FI22" i="5"/>
  <c r="FJ22" i="5"/>
  <c r="FK22" i="5"/>
  <c r="FL22" i="5"/>
  <c r="FM22" i="5"/>
  <c r="FN22" i="5"/>
  <c r="FO22" i="5"/>
  <c r="FP22" i="5"/>
  <c r="FQ22" i="5"/>
  <c r="FR22" i="5"/>
  <c r="FS22" i="5"/>
  <c r="FT22" i="5"/>
  <c r="FU22" i="5"/>
  <c r="FV22" i="5"/>
  <c r="FW22" i="5"/>
  <c r="FX22" i="5"/>
  <c r="FY22" i="5"/>
  <c r="FZ22" i="5"/>
  <c r="GA22" i="5"/>
  <c r="GB22" i="5"/>
  <c r="GC22" i="5"/>
  <c r="GD22" i="5"/>
  <c r="GE22" i="5"/>
  <c r="GF22" i="5"/>
  <c r="GG22" i="5"/>
  <c r="GH22" i="5"/>
  <c r="GI22" i="5"/>
  <c r="GJ22" i="5"/>
  <c r="GK22" i="5"/>
  <c r="GL22" i="5"/>
  <c r="GM22" i="5"/>
  <c r="GN22" i="5"/>
  <c r="GO22" i="5"/>
  <c r="GP22" i="5"/>
  <c r="GQ22" i="5"/>
  <c r="GR22" i="5"/>
  <c r="GS22" i="5"/>
  <c r="GT22" i="5"/>
  <c r="GU22" i="5"/>
  <c r="GV22" i="5"/>
  <c r="GW22" i="5"/>
  <c r="GX22" i="5"/>
  <c r="GY22" i="5"/>
  <c r="GZ22" i="5"/>
  <c r="HA22" i="5"/>
  <c r="HB22" i="5"/>
  <c r="HC22" i="5"/>
  <c r="HD22" i="5"/>
  <c r="HE22" i="5"/>
  <c r="HF22" i="5"/>
  <c r="HG22" i="5"/>
  <c r="A23" i="5"/>
  <c r="B23" i="5"/>
  <c r="C23" i="5"/>
  <c r="D23" i="5"/>
  <c r="E23" i="5"/>
  <c r="F23" i="5"/>
  <c r="G23" i="5"/>
  <c r="H23" i="5"/>
  <c r="I23" i="5"/>
  <c r="J23" i="5"/>
  <c r="K23" i="5"/>
  <c r="L23" i="5"/>
  <c r="M23" i="5"/>
  <c r="N23" i="5"/>
  <c r="O23" i="5"/>
  <c r="P23" i="5"/>
  <c r="Q23" i="5"/>
  <c r="R23" i="5"/>
  <c r="S23" i="5"/>
  <c r="T23" i="5"/>
  <c r="U23" i="5"/>
  <c r="V23" i="5"/>
  <c r="W23" i="5"/>
  <c r="X23" i="5"/>
  <c r="Y23" i="5"/>
  <c r="Z23" i="5"/>
  <c r="AA23" i="5"/>
  <c r="AB23" i="5"/>
  <c r="AC23" i="5"/>
  <c r="AD23" i="5"/>
  <c r="AE23" i="5"/>
  <c r="AF23" i="5"/>
  <c r="AG23" i="5"/>
  <c r="AH23" i="5"/>
  <c r="AI23" i="5"/>
  <c r="AJ23" i="5"/>
  <c r="AK23" i="5"/>
  <c r="AL23" i="5"/>
  <c r="AM23" i="5"/>
  <c r="AN23" i="5"/>
  <c r="AO23" i="5"/>
  <c r="AP23" i="5"/>
  <c r="AQ23" i="5"/>
  <c r="AR23" i="5"/>
  <c r="AS23" i="5"/>
  <c r="AT23" i="5"/>
  <c r="AU23" i="5"/>
  <c r="AV23" i="5"/>
  <c r="AW23" i="5"/>
  <c r="AX23" i="5"/>
  <c r="AY23" i="5"/>
  <c r="AZ23" i="5"/>
  <c r="BA23" i="5"/>
  <c r="BB23" i="5"/>
  <c r="BC23" i="5"/>
  <c r="BD23" i="5"/>
  <c r="BE23" i="5"/>
  <c r="BF23" i="5"/>
  <c r="BG23" i="5"/>
  <c r="BH23" i="5"/>
  <c r="BI23" i="5"/>
  <c r="BJ23" i="5"/>
  <c r="BK23" i="5"/>
  <c r="BL23" i="5"/>
  <c r="BM23" i="5"/>
  <c r="BN23" i="5"/>
  <c r="BO23" i="5"/>
  <c r="BP23" i="5"/>
  <c r="BQ23" i="5"/>
  <c r="BR23" i="5"/>
  <c r="BS23" i="5"/>
  <c r="BT23" i="5"/>
  <c r="BU23" i="5"/>
  <c r="BV23" i="5"/>
  <c r="BW23" i="5"/>
  <c r="BX23" i="5"/>
  <c r="BY23" i="5"/>
  <c r="BZ23" i="5"/>
  <c r="CA23" i="5"/>
  <c r="CB23" i="5"/>
  <c r="CC23" i="5"/>
  <c r="CD23" i="5"/>
  <c r="CE23" i="5"/>
  <c r="CF23" i="5"/>
  <c r="CG23" i="5"/>
  <c r="CH23" i="5"/>
  <c r="CI23" i="5"/>
  <c r="CJ23" i="5"/>
  <c r="CK23" i="5"/>
  <c r="CL23" i="5"/>
  <c r="CM23" i="5"/>
  <c r="CN23" i="5"/>
  <c r="CO23" i="5"/>
  <c r="CP23" i="5"/>
  <c r="CQ23" i="5"/>
  <c r="CR23" i="5"/>
  <c r="CS23" i="5"/>
  <c r="CT23" i="5"/>
  <c r="CU23" i="5"/>
  <c r="CV23" i="5"/>
  <c r="CW23" i="5"/>
  <c r="CX23" i="5"/>
  <c r="CY23" i="5"/>
  <c r="CZ23" i="5"/>
  <c r="DA23" i="5"/>
  <c r="DB23" i="5"/>
  <c r="DC23" i="5"/>
  <c r="DD23" i="5"/>
  <c r="DE23" i="5"/>
  <c r="DF23" i="5"/>
  <c r="DG23" i="5"/>
  <c r="DH23" i="5"/>
  <c r="DI23" i="5"/>
  <c r="DJ23" i="5"/>
  <c r="DK23" i="5"/>
  <c r="DL23" i="5"/>
  <c r="DM23" i="5"/>
  <c r="DN23" i="5"/>
  <c r="DO23" i="5"/>
  <c r="DP23" i="5"/>
  <c r="DQ23" i="5"/>
  <c r="DR23" i="5"/>
  <c r="DS23" i="5"/>
  <c r="DT23" i="5"/>
  <c r="DU23" i="5"/>
  <c r="DV23" i="5"/>
  <c r="DW23" i="5"/>
  <c r="DX23" i="5"/>
  <c r="DY23" i="5"/>
  <c r="DZ23" i="5"/>
  <c r="EA23" i="5"/>
  <c r="EB23" i="5"/>
  <c r="EC23" i="5"/>
  <c r="ED23" i="5"/>
  <c r="EE23" i="5"/>
  <c r="EF23" i="5"/>
  <c r="EG23" i="5"/>
  <c r="EH23" i="5"/>
  <c r="EI23" i="5"/>
  <c r="EJ23" i="5"/>
  <c r="EK23" i="5"/>
  <c r="EL23" i="5"/>
  <c r="EM23" i="5"/>
  <c r="EN23" i="5"/>
  <c r="EO23" i="5"/>
  <c r="EP23" i="5"/>
  <c r="EQ23" i="5"/>
  <c r="ER23" i="5"/>
  <c r="ES23" i="5"/>
  <c r="ET23" i="5"/>
  <c r="EU23" i="5"/>
  <c r="EV23" i="5"/>
  <c r="EW23" i="5"/>
  <c r="EX23" i="5"/>
  <c r="EY23" i="5"/>
  <c r="EZ23" i="5"/>
  <c r="FA23" i="5"/>
  <c r="FB23" i="5"/>
  <c r="FC23" i="5"/>
  <c r="FD23" i="5"/>
  <c r="FE23" i="5"/>
  <c r="FF23" i="5"/>
  <c r="FG23" i="5"/>
  <c r="FH23" i="5"/>
  <c r="FI23" i="5"/>
  <c r="FJ23" i="5"/>
  <c r="FK23" i="5"/>
  <c r="FL23" i="5"/>
  <c r="FM23" i="5"/>
  <c r="FN23" i="5"/>
  <c r="FO23" i="5"/>
  <c r="FP23" i="5"/>
  <c r="FQ23" i="5"/>
  <c r="FR23" i="5"/>
  <c r="FS23" i="5"/>
  <c r="FT23" i="5"/>
  <c r="FU23" i="5"/>
  <c r="FV23" i="5"/>
  <c r="FW23" i="5"/>
  <c r="FX23" i="5"/>
  <c r="FY23" i="5"/>
  <c r="FZ23" i="5"/>
  <c r="GA23" i="5"/>
  <c r="GB23" i="5"/>
  <c r="GC23" i="5"/>
  <c r="GD23" i="5"/>
  <c r="GE23" i="5"/>
  <c r="GF23" i="5"/>
  <c r="GG23" i="5"/>
  <c r="GH23" i="5"/>
  <c r="GI23" i="5"/>
  <c r="GJ23" i="5"/>
  <c r="GK23" i="5"/>
  <c r="GL23" i="5"/>
  <c r="GM23" i="5"/>
  <c r="GN23" i="5"/>
  <c r="GO23" i="5"/>
  <c r="GP23" i="5"/>
  <c r="GQ23" i="5"/>
  <c r="GR23" i="5"/>
  <c r="GS23" i="5"/>
  <c r="GT23" i="5"/>
  <c r="GU23" i="5"/>
  <c r="GV23" i="5"/>
  <c r="GW23" i="5"/>
  <c r="GX23" i="5"/>
  <c r="GY23" i="5"/>
  <c r="GZ23" i="5"/>
  <c r="HA23" i="5"/>
  <c r="HB23" i="5"/>
  <c r="HC23" i="5"/>
  <c r="HD23" i="5"/>
  <c r="HE23" i="5"/>
  <c r="HF23" i="5"/>
  <c r="HG23" i="5"/>
  <c r="A24" i="5"/>
  <c r="B24" i="5"/>
  <c r="C24" i="5"/>
  <c r="D24" i="5"/>
  <c r="E24" i="5"/>
  <c r="F24" i="5"/>
  <c r="G24" i="5"/>
  <c r="H24" i="5"/>
  <c r="I24" i="5"/>
  <c r="J24" i="5"/>
  <c r="K24" i="5"/>
  <c r="L24" i="5"/>
  <c r="M24" i="5"/>
  <c r="N24" i="5"/>
  <c r="O24" i="5"/>
  <c r="P24" i="5"/>
  <c r="Q24" i="5"/>
  <c r="R24" i="5"/>
  <c r="S24" i="5"/>
  <c r="T24" i="5"/>
  <c r="U24" i="5"/>
  <c r="V24" i="5"/>
  <c r="W24" i="5"/>
  <c r="X24" i="5"/>
  <c r="Y24" i="5"/>
  <c r="Z24" i="5"/>
  <c r="AA24" i="5"/>
  <c r="AB24" i="5"/>
  <c r="AC24" i="5"/>
  <c r="AD24" i="5"/>
  <c r="AE24" i="5"/>
  <c r="AF24" i="5"/>
  <c r="AG24" i="5"/>
  <c r="AH24" i="5"/>
  <c r="AI24" i="5"/>
  <c r="AJ24" i="5"/>
  <c r="AK24" i="5"/>
  <c r="AL24" i="5"/>
  <c r="AM24" i="5"/>
  <c r="AN24" i="5"/>
  <c r="AO24" i="5"/>
  <c r="AP24" i="5"/>
  <c r="AQ24" i="5"/>
  <c r="AR24" i="5"/>
  <c r="AS24" i="5"/>
  <c r="AT24" i="5"/>
  <c r="AU24" i="5"/>
  <c r="AV24" i="5"/>
  <c r="AW24" i="5"/>
  <c r="AX24" i="5"/>
  <c r="AY24" i="5"/>
  <c r="AZ24" i="5"/>
  <c r="BA24" i="5"/>
  <c r="BB24" i="5"/>
  <c r="BC24" i="5"/>
  <c r="BD24" i="5"/>
  <c r="BE24" i="5"/>
  <c r="BF24" i="5"/>
  <c r="BG24" i="5"/>
  <c r="BH24" i="5"/>
  <c r="BI24" i="5"/>
  <c r="BJ24" i="5"/>
  <c r="BK24" i="5"/>
  <c r="BL24" i="5"/>
  <c r="BM24" i="5"/>
  <c r="BN24" i="5"/>
  <c r="BO24" i="5"/>
  <c r="BP24" i="5"/>
  <c r="BQ24" i="5"/>
  <c r="BR24" i="5"/>
  <c r="BS24" i="5"/>
  <c r="BT24" i="5"/>
  <c r="BU24" i="5"/>
  <c r="BV24" i="5"/>
  <c r="BW24" i="5"/>
  <c r="BX24" i="5"/>
  <c r="BY24" i="5"/>
  <c r="BZ24" i="5"/>
  <c r="CA24" i="5"/>
  <c r="CB24" i="5"/>
  <c r="CC24" i="5"/>
  <c r="CD24" i="5"/>
  <c r="CE24" i="5"/>
  <c r="CF24" i="5"/>
  <c r="CG24" i="5"/>
  <c r="CH24" i="5"/>
  <c r="CI24" i="5"/>
  <c r="CJ24" i="5"/>
  <c r="CK24" i="5"/>
  <c r="CL24" i="5"/>
  <c r="CM24" i="5"/>
  <c r="CN24" i="5"/>
  <c r="CO24" i="5"/>
  <c r="CP24" i="5"/>
  <c r="CQ24" i="5"/>
  <c r="CR24" i="5"/>
  <c r="CS24" i="5"/>
  <c r="CT24" i="5"/>
  <c r="CU24" i="5"/>
  <c r="CV24" i="5"/>
  <c r="CW24" i="5"/>
  <c r="CX24" i="5"/>
  <c r="CY24" i="5"/>
  <c r="CZ24" i="5"/>
  <c r="DA24" i="5"/>
  <c r="DB24" i="5"/>
  <c r="DC24" i="5"/>
  <c r="DD24" i="5"/>
  <c r="DE24" i="5"/>
  <c r="DF24" i="5"/>
  <c r="DG24" i="5"/>
  <c r="DH24" i="5"/>
  <c r="DI24" i="5"/>
  <c r="DJ24" i="5"/>
  <c r="DK24" i="5"/>
  <c r="DL24" i="5"/>
  <c r="DM24" i="5"/>
  <c r="DN24" i="5"/>
  <c r="DO24" i="5"/>
  <c r="DP24" i="5"/>
  <c r="DQ24" i="5"/>
  <c r="DR24" i="5"/>
  <c r="DS24" i="5"/>
  <c r="DT24" i="5"/>
  <c r="DU24" i="5"/>
  <c r="DV24" i="5"/>
  <c r="DW24" i="5"/>
  <c r="DX24" i="5"/>
  <c r="DY24" i="5"/>
  <c r="DZ24" i="5"/>
  <c r="EA24" i="5"/>
  <c r="EB24" i="5"/>
  <c r="EC24" i="5"/>
  <c r="ED24" i="5"/>
  <c r="EE24" i="5"/>
  <c r="EF24" i="5"/>
  <c r="EG24" i="5"/>
  <c r="EH24" i="5"/>
  <c r="EI24" i="5"/>
  <c r="EJ24" i="5"/>
  <c r="EK24" i="5"/>
  <c r="EL24" i="5"/>
  <c r="EM24" i="5"/>
  <c r="EN24" i="5"/>
  <c r="EO24" i="5"/>
  <c r="EP24" i="5"/>
  <c r="EQ24" i="5"/>
  <c r="ER24" i="5"/>
  <c r="ES24" i="5"/>
  <c r="ET24" i="5"/>
  <c r="EU24" i="5"/>
  <c r="EV24" i="5"/>
  <c r="EW24" i="5"/>
  <c r="EX24" i="5"/>
  <c r="EY24" i="5"/>
  <c r="EZ24" i="5"/>
  <c r="FA24" i="5"/>
  <c r="FB24" i="5"/>
  <c r="FC24" i="5"/>
  <c r="FD24" i="5"/>
  <c r="FE24" i="5"/>
  <c r="FF24" i="5"/>
  <c r="FG24" i="5"/>
  <c r="FH24" i="5"/>
  <c r="FI24" i="5"/>
  <c r="FJ24" i="5"/>
  <c r="FK24" i="5"/>
  <c r="FL24" i="5"/>
  <c r="FM24" i="5"/>
  <c r="FN24" i="5"/>
  <c r="FO24" i="5"/>
  <c r="FP24" i="5"/>
  <c r="FQ24" i="5"/>
  <c r="FR24" i="5"/>
  <c r="FS24" i="5"/>
  <c r="FT24" i="5"/>
  <c r="FU24" i="5"/>
  <c r="FV24" i="5"/>
  <c r="FW24" i="5"/>
  <c r="FX24" i="5"/>
  <c r="FY24" i="5"/>
  <c r="FZ24" i="5"/>
  <c r="GA24" i="5"/>
  <c r="GB24" i="5"/>
  <c r="GC24" i="5"/>
  <c r="GD24" i="5"/>
  <c r="GE24" i="5"/>
  <c r="GF24" i="5"/>
  <c r="GG24" i="5"/>
  <c r="GH24" i="5"/>
  <c r="GI24" i="5"/>
  <c r="GJ24" i="5"/>
  <c r="GK24" i="5"/>
  <c r="GL24" i="5"/>
  <c r="GM24" i="5"/>
  <c r="GN24" i="5"/>
  <c r="GO24" i="5"/>
  <c r="GP24" i="5"/>
  <c r="GQ24" i="5"/>
  <c r="GR24" i="5"/>
  <c r="GS24" i="5"/>
  <c r="GT24" i="5"/>
  <c r="GU24" i="5"/>
  <c r="GV24" i="5"/>
  <c r="GW24" i="5"/>
  <c r="GX24" i="5"/>
  <c r="GY24" i="5"/>
  <c r="GZ24" i="5"/>
  <c r="HA24" i="5"/>
  <c r="HB24" i="5"/>
  <c r="HC24" i="5"/>
  <c r="HD24" i="5"/>
  <c r="HE24" i="5"/>
  <c r="HF24" i="5"/>
  <c r="HG24" i="5"/>
  <c r="A25" i="5"/>
  <c r="B25" i="5"/>
  <c r="C25" i="5"/>
  <c r="D25" i="5"/>
  <c r="E25" i="5"/>
  <c r="F25" i="5"/>
  <c r="G25" i="5"/>
  <c r="H25" i="5"/>
  <c r="I25" i="5"/>
  <c r="J25" i="5"/>
  <c r="K25" i="5"/>
  <c r="L25" i="5"/>
  <c r="M25" i="5"/>
  <c r="N25" i="5"/>
  <c r="O25" i="5"/>
  <c r="P25" i="5"/>
  <c r="Q25" i="5"/>
  <c r="R25" i="5"/>
  <c r="S25" i="5"/>
  <c r="T25" i="5"/>
  <c r="U25" i="5"/>
  <c r="V25" i="5"/>
  <c r="W25" i="5"/>
  <c r="X25" i="5"/>
  <c r="Y25" i="5"/>
  <c r="Z25" i="5"/>
  <c r="AA25" i="5"/>
  <c r="AB25" i="5"/>
  <c r="AC25" i="5"/>
  <c r="AD25" i="5"/>
  <c r="AE25" i="5"/>
  <c r="AF25" i="5"/>
  <c r="AG25" i="5"/>
  <c r="AH25" i="5"/>
  <c r="AI25" i="5"/>
  <c r="AJ25" i="5"/>
  <c r="AK25" i="5"/>
  <c r="AL25" i="5"/>
  <c r="AM25" i="5"/>
  <c r="AN25" i="5"/>
  <c r="AO25" i="5"/>
  <c r="AP25" i="5"/>
  <c r="AQ25" i="5"/>
  <c r="AR25" i="5"/>
  <c r="AS25" i="5"/>
  <c r="AT25" i="5"/>
  <c r="AU25" i="5"/>
  <c r="AV25" i="5"/>
  <c r="AW25" i="5"/>
  <c r="AX25" i="5"/>
  <c r="AY25" i="5"/>
  <c r="AZ25" i="5"/>
  <c r="BA25" i="5"/>
  <c r="BB25" i="5"/>
  <c r="BC25" i="5"/>
  <c r="BD25" i="5"/>
  <c r="BE25" i="5"/>
  <c r="BF25" i="5"/>
  <c r="BG25" i="5"/>
  <c r="BH25" i="5"/>
  <c r="BI25" i="5"/>
  <c r="BJ25" i="5"/>
  <c r="BK25" i="5"/>
  <c r="BL25" i="5"/>
  <c r="BM25" i="5"/>
  <c r="BN25" i="5"/>
  <c r="BO25" i="5"/>
  <c r="BP25" i="5"/>
  <c r="BQ25" i="5"/>
  <c r="BR25" i="5"/>
  <c r="BS25" i="5"/>
  <c r="BT25" i="5"/>
  <c r="BU25" i="5"/>
  <c r="BV25" i="5"/>
  <c r="BW25" i="5"/>
  <c r="BX25" i="5"/>
  <c r="BY25" i="5"/>
  <c r="BZ25" i="5"/>
  <c r="CA25" i="5"/>
  <c r="CB25" i="5"/>
  <c r="CC25" i="5"/>
  <c r="CD25" i="5"/>
  <c r="CE25" i="5"/>
  <c r="CF25" i="5"/>
  <c r="CG25" i="5"/>
  <c r="CH25" i="5"/>
  <c r="CI25" i="5"/>
  <c r="CJ25" i="5"/>
  <c r="CK25" i="5"/>
  <c r="CL25" i="5"/>
  <c r="CM25" i="5"/>
  <c r="CN25" i="5"/>
  <c r="CO25" i="5"/>
  <c r="CP25" i="5"/>
  <c r="CQ25" i="5"/>
  <c r="CR25" i="5"/>
  <c r="CS25" i="5"/>
  <c r="CT25" i="5"/>
  <c r="CU25" i="5"/>
  <c r="CV25" i="5"/>
  <c r="CW25" i="5"/>
  <c r="CX25" i="5"/>
  <c r="CY25" i="5"/>
  <c r="CZ25" i="5"/>
  <c r="DA25" i="5"/>
  <c r="DB25" i="5"/>
  <c r="DC25" i="5"/>
  <c r="DD25" i="5"/>
  <c r="DE25" i="5"/>
  <c r="DF25" i="5"/>
  <c r="DG25" i="5"/>
  <c r="DH25" i="5"/>
  <c r="DI25" i="5"/>
  <c r="DJ25" i="5"/>
  <c r="DK25" i="5"/>
  <c r="DL25" i="5"/>
  <c r="DM25" i="5"/>
  <c r="DN25" i="5"/>
  <c r="DO25" i="5"/>
  <c r="DP25" i="5"/>
  <c r="DQ25" i="5"/>
  <c r="DR25" i="5"/>
  <c r="DS25" i="5"/>
  <c r="DT25" i="5"/>
  <c r="DU25" i="5"/>
  <c r="DV25" i="5"/>
  <c r="DW25" i="5"/>
  <c r="DX25" i="5"/>
  <c r="DY25" i="5"/>
  <c r="DZ25" i="5"/>
  <c r="EA25" i="5"/>
  <c r="EB25" i="5"/>
  <c r="EC25" i="5"/>
  <c r="ED25" i="5"/>
  <c r="EE25" i="5"/>
  <c r="EF25" i="5"/>
  <c r="EG25" i="5"/>
  <c r="EH25" i="5"/>
  <c r="EI25" i="5"/>
  <c r="EJ25" i="5"/>
  <c r="EK25" i="5"/>
  <c r="EL25" i="5"/>
  <c r="EM25" i="5"/>
  <c r="EN25" i="5"/>
  <c r="EO25" i="5"/>
  <c r="EP25" i="5"/>
  <c r="EQ25" i="5"/>
  <c r="ER25" i="5"/>
  <c r="ES25" i="5"/>
  <c r="ET25" i="5"/>
  <c r="EU25" i="5"/>
  <c r="EV25" i="5"/>
  <c r="EW25" i="5"/>
  <c r="EX25" i="5"/>
  <c r="EY25" i="5"/>
  <c r="EZ25" i="5"/>
  <c r="FA25" i="5"/>
  <c r="FB25" i="5"/>
  <c r="FC25" i="5"/>
  <c r="FD25" i="5"/>
  <c r="FE25" i="5"/>
  <c r="FF25" i="5"/>
  <c r="FG25" i="5"/>
  <c r="FH25" i="5"/>
  <c r="FI25" i="5"/>
  <c r="FJ25" i="5"/>
  <c r="FK25" i="5"/>
  <c r="FL25" i="5"/>
  <c r="FM25" i="5"/>
  <c r="FN25" i="5"/>
  <c r="FO25" i="5"/>
  <c r="FP25" i="5"/>
  <c r="FQ25" i="5"/>
  <c r="FR25" i="5"/>
  <c r="FS25" i="5"/>
  <c r="FT25" i="5"/>
  <c r="FU25" i="5"/>
  <c r="FV25" i="5"/>
  <c r="FW25" i="5"/>
  <c r="FX25" i="5"/>
  <c r="FY25" i="5"/>
  <c r="FZ25" i="5"/>
  <c r="GA25" i="5"/>
  <c r="GB25" i="5"/>
  <c r="GC25" i="5"/>
  <c r="GD25" i="5"/>
  <c r="GE25" i="5"/>
  <c r="GF25" i="5"/>
  <c r="GG25" i="5"/>
  <c r="GH25" i="5"/>
  <c r="GI25" i="5"/>
  <c r="GJ25" i="5"/>
  <c r="GK25" i="5"/>
  <c r="GL25" i="5"/>
  <c r="GM25" i="5"/>
  <c r="GN25" i="5"/>
  <c r="GO25" i="5"/>
  <c r="GP25" i="5"/>
  <c r="GQ25" i="5"/>
  <c r="GR25" i="5"/>
  <c r="GS25" i="5"/>
  <c r="GT25" i="5"/>
  <c r="GU25" i="5"/>
  <c r="GV25" i="5"/>
  <c r="GW25" i="5"/>
  <c r="GX25" i="5"/>
  <c r="GY25" i="5"/>
  <c r="GZ25" i="5"/>
  <c r="HA25" i="5"/>
  <c r="HB25" i="5"/>
  <c r="HC25" i="5"/>
  <c r="HD25" i="5"/>
  <c r="HE25" i="5"/>
  <c r="HF25" i="5"/>
  <c r="HG25" i="5"/>
  <c r="A26" i="5"/>
  <c r="B26" i="5"/>
  <c r="C26" i="5"/>
  <c r="D26" i="5"/>
  <c r="E26" i="5"/>
  <c r="F26" i="5"/>
  <c r="G26" i="5"/>
  <c r="H26" i="5"/>
  <c r="I26" i="5"/>
  <c r="J26" i="5"/>
  <c r="K26" i="5"/>
  <c r="L26" i="5"/>
  <c r="M26" i="5"/>
  <c r="N26" i="5"/>
  <c r="O26" i="5"/>
  <c r="P26" i="5"/>
  <c r="Q26" i="5"/>
  <c r="R26" i="5"/>
  <c r="S26" i="5"/>
  <c r="T26" i="5"/>
  <c r="U26" i="5"/>
  <c r="V26" i="5"/>
  <c r="W26" i="5"/>
  <c r="X26" i="5"/>
  <c r="Y26" i="5"/>
  <c r="Z26" i="5"/>
  <c r="AA26" i="5"/>
  <c r="AB26" i="5"/>
  <c r="AC26" i="5"/>
  <c r="AD26" i="5"/>
  <c r="AE26" i="5"/>
  <c r="AF26" i="5"/>
  <c r="AG26" i="5"/>
  <c r="AH26" i="5"/>
  <c r="AI26" i="5"/>
  <c r="AJ26" i="5"/>
  <c r="AK26" i="5"/>
  <c r="AL26" i="5"/>
  <c r="AM26" i="5"/>
  <c r="AN26" i="5"/>
  <c r="AO26" i="5"/>
  <c r="AP26" i="5"/>
  <c r="AQ26" i="5"/>
  <c r="AR26" i="5"/>
  <c r="AS26" i="5"/>
  <c r="AT26" i="5"/>
  <c r="AU26" i="5"/>
  <c r="AV26" i="5"/>
  <c r="AW26" i="5"/>
  <c r="AX26" i="5"/>
  <c r="AY26" i="5"/>
  <c r="AZ26" i="5"/>
  <c r="BA26" i="5"/>
  <c r="BB26" i="5"/>
  <c r="BC26" i="5"/>
  <c r="BD26" i="5"/>
  <c r="BE26" i="5"/>
  <c r="BF26" i="5"/>
  <c r="BG26" i="5"/>
  <c r="BH26" i="5"/>
  <c r="BI26" i="5"/>
  <c r="BJ26" i="5"/>
  <c r="BK26" i="5"/>
  <c r="BL26" i="5"/>
  <c r="BM26" i="5"/>
  <c r="BN26" i="5"/>
  <c r="BO26" i="5"/>
  <c r="BP26" i="5"/>
  <c r="BQ26" i="5"/>
  <c r="BR26" i="5"/>
  <c r="BS26" i="5"/>
  <c r="BT26" i="5"/>
  <c r="BU26" i="5"/>
  <c r="BV26" i="5"/>
  <c r="BW26" i="5"/>
  <c r="BX26" i="5"/>
  <c r="BY26" i="5"/>
  <c r="BZ26" i="5"/>
  <c r="CA26" i="5"/>
  <c r="CB26" i="5"/>
  <c r="CC26" i="5"/>
  <c r="CD26" i="5"/>
  <c r="CE26" i="5"/>
  <c r="CF26" i="5"/>
  <c r="CG26" i="5"/>
  <c r="CH26" i="5"/>
  <c r="CI26" i="5"/>
  <c r="CJ26" i="5"/>
  <c r="CK26" i="5"/>
  <c r="CL26" i="5"/>
  <c r="CM26" i="5"/>
  <c r="CN26" i="5"/>
  <c r="CO26" i="5"/>
  <c r="CP26" i="5"/>
  <c r="CQ26" i="5"/>
  <c r="CR26" i="5"/>
  <c r="CS26" i="5"/>
  <c r="CT26" i="5"/>
  <c r="CU26" i="5"/>
  <c r="CV26" i="5"/>
  <c r="CW26" i="5"/>
  <c r="CX26" i="5"/>
  <c r="CY26" i="5"/>
  <c r="CZ26" i="5"/>
  <c r="DA26" i="5"/>
  <c r="DB26" i="5"/>
  <c r="DC26" i="5"/>
  <c r="DD26" i="5"/>
  <c r="DE26" i="5"/>
  <c r="DF26" i="5"/>
  <c r="DG26" i="5"/>
  <c r="DH26" i="5"/>
  <c r="DI26" i="5"/>
  <c r="DJ26" i="5"/>
  <c r="DK26" i="5"/>
  <c r="DL26" i="5"/>
  <c r="DM26" i="5"/>
  <c r="DN26" i="5"/>
  <c r="DO26" i="5"/>
  <c r="DP26" i="5"/>
  <c r="DQ26" i="5"/>
  <c r="DR26" i="5"/>
  <c r="DS26" i="5"/>
  <c r="DT26" i="5"/>
  <c r="DU26" i="5"/>
  <c r="DV26" i="5"/>
  <c r="DW26" i="5"/>
  <c r="DX26" i="5"/>
  <c r="DY26" i="5"/>
  <c r="DZ26" i="5"/>
  <c r="EA26" i="5"/>
  <c r="EB26" i="5"/>
  <c r="EC26" i="5"/>
  <c r="ED26" i="5"/>
  <c r="EE26" i="5"/>
  <c r="EF26" i="5"/>
  <c r="EG26" i="5"/>
  <c r="EH26" i="5"/>
  <c r="EI26" i="5"/>
  <c r="EJ26" i="5"/>
  <c r="EK26" i="5"/>
  <c r="EL26" i="5"/>
  <c r="EM26" i="5"/>
  <c r="EN26" i="5"/>
  <c r="EO26" i="5"/>
  <c r="EP26" i="5"/>
  <c r="EQ26" i="5"/>
  <c r="ER26" i="5"/>
  <c r="ES26" i="5"/>
  <c r="ET26" i="5"/>
  <c r="EU26" i="5"/>
  <c r="EV26" i="5"/>
  <c r="EW26" i="5"/>
  <c r="EX26" i="5"/>
  <c r="EY26" i="5"/>
  <c r="EZ26" i="5"/>
  <c r="FA26" i="5"/>
  <c r="FB26" i="5"/>
  <c r="FC26" i="5"/>
  <c r="FD26" i="5"/>
  <c r="FE26" i="5"/>
  <c r="FF26" i="5"/>
  <c r="FG26" i="5"/>
  <c r="FH26" i="5"/>
  <c r="FI26" i="5"/>
  <c r="FJ26" i="5"/>
  <c r="FK26" i="5"/>
  <c r="FL26" i="5"/>
  <c r="FM26" i="5"/>
  <c r="FN26" i="5"/>
  <c r="FO26" i="5"/>
  <c r="FP26" i="5"/>
  <c r="FQ26" i="5"/>
  <c r="FR26" i="5"/>
  <c r="FS26" i="5"/>
  <c r="FT26" i="5"/>
  <c r="FU26" i="5"/>
  <c r="FV26" i="5"/>
  <c r="FW26" i="5"/>
  <c r="FX26" i="5"/>
  <c r="FY26" i="5"/>
  <c r="FZ26" i="5"/>
  <c r="GA26" i="5"/>
  <c r="GB26" i="5"/>
  <c r="GC26" i="5"/>
  <c r="GD26" i="5"/>
  <c r="GE26" i="5"/>
  <c r="GF26" i="5"/>
  <c r="GG26" i="5"/>
  <c r="GH26" i="5"/>
  <c r="GI26" i="5"/>
  <c r="GJ26" i="5"/>
  <c r="GK26" i="5"/>
  <c r="GL26" i="5"/>
  <c r="GM26" i="5"/>
  <c r="GN26" i="5"/>
  <c r="GO26" i="5"/>
  <c r="GP26" i="5"/>
  <c r="GQ26" i="5"/>
  <c r="GR26" i="5"/>
  <c r="GS26" i="5"/>
  <c r="GT26" i="5"/>
  <c r="GU26" i="5"/>
  <c r="GV26" i="5"/>
  <c r="GW26" i="5"/>
  <c r="GX26" i="5"/>
  <c r="GY26" i="5"/>
  <c r="GZ26" i="5"/>
  <c r="HA26" i="5"/>
  <c r="HB26" i="5"/>
  <c r="HC26" i="5"/>
  <c r="HD26" i="5"/>
  <c r="HE26" i="5"/>
  <c r="HF26" i="5"/>
  <c r="HG26" i="5"/>
  <c r="A27" i="5"/>
  <c r="B27" i="5"/>
  <c r="C27" i="5"/>
  <c r="D27" i="5"/>
  <c r="E27" i="5"/>
  <c r="F27" i="5"/>
  <c r="G27" i="5"/>
  <c r="H27" i="5"/>
  <c r="I27" i="5"/>
  <c r="J27" i="5"/>
  <c r="K27" i="5"/>
  <c r="L27" i="5"/>
  <c r="M27" i="5"/>
  <c r="N27" i="5"/>
  <c r="O27" i="5"/>
  <c r="P27" i="5"/>
  <c r="Q27" i="5"/>
  <c r="R27" i="5"/>
  <c r="S27" i="5"/>
  <c r="T27" i="5"/>
  <c r="U27" i="5"/>
  <c r="V27" i="5"/>
  <c r="W27" i="5"/>
  <c r="X27" i="5"/>
  <c r="Y27" i="5"/>
  <c r="Z27" i="5"/>
  <c r="AA27" i="5"/>
  <c r="AB27" i="5"/>
  <c r="AC27" i="5"/>
  <c r="AD27" i="5"/>
  <c r="AE27" i="5"/>
  <c r="AF27" i="5"/>
  <c r="AG27" i="5"/>
  <c r="AH27" i="5"/>
  <c r="AI27" i="5"/>
  <c r="AJ27" i="5"/>
  <c r="AK27" i="5"/>
  <c r="AL27" i="5"/>
  <c r="AM27" i="5"/>
  <c r="AN27" i="5"/>
  <c r="AO27" i="5"/>
  <c r="AP27" i="5"/>
  <c r="AQ27" i="5"/>
  <c r="AR27" i="5"/>
  <c r="AS27" i="5"/>
  <c r="AT27" i="5"/>
  <c r="AU27" i="5"/>
  <c r="AV27" i="5"/>
  <c r="AW27" i="5"/>
  <c r="AX27" i="5"/>
  <c r="AY27" i="5"/>
  <c r="AZ27" i="5"/>
  <c r="BA27" i="5"/>
  <c r="BB27" i="5"/>
  <c r="BC27" i="5"/>
  <c r="BD27" i="5"/>
  <c r="BE27" i="5"/>
  <c r="BF27" i="5"/>
  <c r="BG27" i="5"/>
  <c r="BH27" i="5"/>
  <c r="BI27" i="5"/>
  <c r="BJ27" i="5"/>
  <c r="BK27" i="5"/>
  <c r="BL27" i="5"/>
  <c r="BM27" i="5"/>
  <c r="BN27" i="5"/>
  <c r="BO27" i="5"/>
  <c r="BP27" i="5"/>
  <c r="BQ27" i="5"/>
  <c r="BR27" i="5"/>
  <c r="BS27" i="5"/>
  <c r="BT27" i="5"/>
  <c r="BU27" i="5"/>
  <c r="BV27" i="5"/>
  <c r="BW27" i="5"/>
  <c r="BX27" i="5"/>
  <c r="BY27" i="5"/>
  <c r="BZ27" i="5"/>
  <c r="CA27" i="5"/>
  <c r="CB27" i="5"/>
  <c r="CC27" i="5"/>
  <c r="CD27" i="5"/>
  <c r="CE27" i="5"/>
  <c r="CF27" i="5"/>
  <c r="CG27" i="5"/>
  <c r="CH27" i="5"/>
  <c r="CI27" i="5"/>
  <c r="CJ27" i="5"/>
  <c r="CK27" i="5"/>
  <c r="CL27" i="5"/>
  <c r="CM27" i="5"/>
  <c r="CN27" i="5"/>
  <c r="CO27" i="5"/>
  <c r="CP27" i="5"/>
  <c r="CQ27" i="5"/>
  <c r="CR27" i="5"/>
  <c r="CS27" i="5"/>
  <c r="CT27" i="5"/>
  <c r="CU27" i="5"/>
  <c r="CV27" i="5"/>
  <c r="CW27" i="5"/>
  <c r="CX27" i="5"/>
  <c r="CY27" i="5"/>
  <c r="CZ27" i="5"/>
  <c r="DA27" i="5"/>
  <c r="DB27" i="5"/>
  <c r="DC27" i="5"/>
  <c r="DD27" i="5"/>
  <c r="DE27" i="5"/>
  <c r="DF27" i="5"/>
  <c r="DG27" i="5"/>
  <c r="DH27" i="5"/>
  <c r="DI27" i="5"/>
  <c r="DJ27" i="5"/>
  <c r="DK27" i="5"/>
  <c r="DL27" i="5"/>
  <c r="DM27" i="5"/>
  <c r="DN27" i="5"/>
  <c r="DO27" i="5"/>
  <c r="DP27" i="5"/>
  <c r="DQ27" i="5"/>
  <c r="DR27" i="5"/>
  <c r="DS27" i="5"/>
  <c r="DT27" i="5"/>
  <c r="DU27" i="5"/>
  <c r="DV27" i="5"/>
  <c r="DW27" i="5"/>
  <c r="DX27" i="5"/>
  <c r="DY27" i="5"/>
  <c r="DZ27" i="5"/>
  <c r="EA27" i="5"/>
  <c r="EB27" i="5"/>
  <c r="EC27" i="5"/>
  <c r="ED27" i="5"/>
  <c r="EE27" i="5"/>
  <c r="EF27" i="5"/>
  <c r="EG27" i="5"/>
  <c r="EH27" i="5"/>
  <c r="EI27" i="5"/>
  <c r="EJ27" i="5"/>
  <c r="EK27" i="5"/>
  <c r="EL27" i="5"/>
  <c r="EM27" i="5"/>
  <c r="EN27" i="5"/>
  <c r="EO27" i="5"/>
  <c r="EP27" i="5"/>
  <c r="EQ27" i="5"/>
  <c r="ER27" i="5"/>
  <c r="ES27" i="5"/>
  <c r="ET27" i="5"/>
  <c r="EU27" i="5"/>
  <c r="EV27" i="5"/>
  <c r="EW27" i="5"/>
  <c r="EX27" i="5"/>
  <c r="EY27" i="5"/>
  <c r="EZ27" i="5"/>
  <c r="FA27" i="5"/>
  <c r="FB27" i="5"/>
  <c r="FC27" i="5"/>
  <c r="FD27" i="5"/>
  <c r="FE27" i="5"/>
  <c r="FF27" i="5"/>
  <c r="FG27" i="5"/>
  <c r="FH27" i="5"/>
  <c r="FI27" i="5"/>
  <c r="FJ27" i="5"/>
  <c r="FK27" i="5"/>
  <c r="FL27" i="5"/>
  <c r="FM27" i="5"/>
  <c r="FN27" i="5"/>
  <c r="FO27" i="5"/>
  <c r="FP27" i="5"/>
  <c r="FQ27" i="5"/>
  <c r="FR27" i="5"/>
  <c r="FS27" i="5"/>
  <c r="FT27" i="5"/>
  <c r="FU27" i="5"/>
  <c r="FV27" i="5"/>
  <c r="FW27" i="5"/>
  <c r="FX27" i="5"/>
  <c r="FY27" i="5"/>
  <c r="FZ27" i="5"/>
  <c r="GA27" i="5"/>
  <c r="GB27" i="5"/>
  <c r="GC27" i="5"/>
  <c r="GD27" i="5"/>
  <c r="GE27" i="5"/>
  <c r="GF27" i="5"/>
  <c r="GG27" i="5"/>
  <c r="GH27" i="5"/>
  <c r="GI27" i="5"/>
  <c r="GJ27" i="5"/>
  <c r="GK27" i="5"/>
  <c r="GL27" i="5"/>
  <c r="GM27" i="5"/>
  <c r="GN27" i="5"/>
  <c r="GO27" i="5"/>
  <c r="GP27" i="5"/>
  <c r="GQ27" i="5"/>
  <c r="GR27" i="5"/>
  <c r="GS27" i="5"/>
  <c r="GT27" i="5"/>
  <c r="GU27" i="5"/>
  <c r="GV27" i="5"/>
  <c r="GW27" i="5"/>
  <c r="GX27" i="5"/>
  <c r="GY27" i="5"/>
  <c r="GZ27" i="5"/>
  <c r="HA27" i="5"/>
  <c r="HB27" i="5"/>
  <c r="HC27" i="5"/>
  <c r="HD27" i="5"/>
  <c r="HE27" i="5"/>
  <c r="HF27" i="5"/>
  <c r="HG27" i="5"/>
  <c r="A28" i="5"/>
  <c r="B28" i="5"/>
  <c r="C28" i="5"/>
  <c r="D28" i="5"/>
  <c r="E28" i="5"/>
  <c r="F28" i="5"/>
  <c r="G28" i="5"/>
  <c r="H28" i="5"/>
  <c r="I28" i="5"/>
  <c r="J28" i="5"/>
  <c r="K28" i="5"/>
  <c r="L28" i="5"/>
  <c r="M28" i="5"/>
  <c r="N28" i="5"/>
  <c r="O28" i="5"/>
  <c r="P28" i="5"/>
  <c r="Q28" i="5"/>
  <c r="R28" i="5"/>
  <c r="S28" i="5"/>
  <c r="T28" i="5"/>
  <c r="U28" i="5"/>
  <c r="V28" i="5"/>
  <c r="W28" i="5"/>
  <c r="X28" i="5"/>
  <c r="Y28" i="5"/>
  <c r="Z28" i="5"/>
  <c r="AA28" i="5"/>
  <c r="AB28" i="5"/>
  <c r="AC28" i="5"/>
  <c r="AD28" i="5"/>
  <c r="AE28" i="5"/>
  <c r="AF28" i="5"/>
  <c r="AG28" i="5"/>
  <c r="AH28" i="5"/>
  <c r="AI28" i="5"/>
  <c r="AJ28" i="5"/>
  <c r="AK28" i="5"/>
  <c r="AL28" i="5"/>
  <c r="AM28" i="5"/>
  <c r="AN28" i="5"/>
  <c r="AO28" i="5"/>
  <c r="AP28" i="5"/>
  <c r="AQ28" i="5"/>
  <c r="AR28" i="5"/>
  <c r="AS28" i="5"/>
  <c r="AT28" i="5"/>
  <c r="AU28" i="5"/>
  <c r="AV28" i="5"/>
  <c r="AW28" i="5"/>
  <c r="AX28" i="5"/>
  <c r="AY28" i="5"/>
  <c r="AZ28" i="5"/>
  <c r="BA28" i="5"/>
  <c r="BB28" i="5"/>
  <c r="BC28" i="5"/>
  <c r="BD28" i="5"/>
  <c r="BE28" i="5"/>
  <c r="BF28" i="5"/>
  <c r="BG28" i="5"/>
  <c r="BH28" i="5"/>
  <c r="BI28" i="5"/>
  <c r="BJ28" i="5"/>
  <c r="BK28" i="5"/>
  <c r="BL28" i="5"/>
  <c r="BM28" i="5"/>
  <c r="BN28" i="5"/>
  <c r="BO28" i="5"/>
  <c r="BP28" i="5"/>
  <c r="BQ28" i="5"/>
  <c r="BR28" i="5"/>
  <c r="BS28" i="5"/>
  <c r="BT28" i="5"/>
  <c r="BU28" i="5"/>
  <c r="BV28" i="5"/>
  <c r="BW28" i="5"/>
  <c r="BX28" i="5"/>
  <c r="BY28" i="5"/>
  <c r="BZ28" i="5"/>
  <c r="CA28" i="5"/>
  <c r="CB28" i="5"/>
  <c r="CC28" i="5"/>
  <c r="CD28" i="5"/>
  <c r="CE28" i="5"/>
  <c r="CF28" i="5"/>
  <c r="CG28" i="5"/>
  <c r="CH28" i="5"/>
  <c r="CI28" i="5"/>
  <c r="CJ28" i="5"/>
  <c r="CK28" i="5"/>
  <c r="CL28" i="5"/>
  <c r="CM28" i="5"/>
  <c r="CN28" i="5"/>
  <c r="CO28" i="5"/>
  <c r="CP28" i="5"/>
  <c r="CQ28" i="5"/>
  <c r="CR28" i="5"/>
  <c r="CS28" i="5"/>
  <c r="CT28" i="5"/>
  <c r="CU28" i="5"/>
  <c r="CV28" i="5"/>
  <c r="CW28" i="5"/>
  <c r="CX28" i="5"/>
  <c r="CY28" i="5"/>
  <c r="CZ28" i="5"/>
  <c r="DA28" i="5"/>
  <c r="DB28" i="5"/>
  <c r="DC28" i="5"/>
  <c r="DD28" i="5"/>
  <c r="DE28" i="5"/>
  <c r="DF28" i="5"/>
  <c r="DG28" i="5"/>
  <c r="DH28" i="5"/>
  <c r="DI28" i="5"/>
  <c r="DJ28" i="5"/>
  <c r="DK28" i="5"/>
  <c r="DL28" i="5"/>
  <c r="DM28" i="5"/>
  <c r="DN28" i="5"/>
  <c r="DO28" i="5"/>
  <c r="DP28" i="5"/>
  <c r="DQ28" i="5"/>
  <c r="DR28" i="5"/>
  <c r="DS28" i="5"/>
  <c r="DT28" i="5"/>
  <c r="DU28" i="5"/>
  <c r="DV28" i="5"/>
  <c r="DW28" i="5"/>
  <c r="DX28" i="5"/>
  <c r="DY28" i="5"/>
  <c r="DZ28" i="5"/>
  <c r="EA28" i="5"/>
  <c r="EB28" i="5"/>
  <c r="EC28" i="5"/>
  <c r="ED28" i="5"/>
  <c r="EE28" i="5"/>
  <c r="EF28" i="5"/>
  <c r="EG28" i="5"/>
  <c r="EH28" i="5"/>
  <c r="EI28" i="5"/>
  <c r="EJ28" i="5"/>
  <c r="EK28" i="5"/>
  <c r="EL28" i="5"/>
  <c r="EM28" i="5"/>
  <c r="EN28" i="5"/>
  <c r="EO28" i="5"/>
  <c r="EP28" i="5"/>
  <c r="EQ28" i="5"/>
  <c r="ER28" i="5"/>
  <c r="ES28" i="5"/>
  <c r="ET28" i="5"/>
  <c r="EU28" i="5"/>
  <c r="EV28" i="5"/>
  <c r="EW28" i="5"/>
  <c r="EX28" i="5"/>
  <c r="EY28" i="5"/>
  <c r="EZ28" i="5"/>
  <c r="FA28" i="5"/>
  <c r="FB28" i="5"/>
  <c r="FC28" i="5"/>
  <c r="FD28" i="5"/>
  <c r="FE28" i="5"/>
  <c r="FF28" i="5"/>
  <c r="FG28" i="5"/>
  <c r="FH28" i="5"/>
  <c r="FI28" i="5"/>
  <c r="FJ28" i="5"/>
  <c r="FK28" i="5"/>
  <c r="FL28" i="5"/>
  <c r="FM28" i="5"/>
  <c r="FN28" i="5"/>
  <c r="FO28" i="5"/>
  <c r="FP28" i="5"/>
  <c r="FQ28" i="5"/>
  <c r="FR28" i="5"/>
  <c r="FS28" i="5"/>
  <c r="FT28" i="5"/>
  <c r="FU28" i="5"/>
  <c r="FV28" i="5"/>
  <c r="FW28" i="5"/>
  <c r="FX28" i="5"/>
  <c r="FY28" i="5"/>
  <c r="FZ28" i="5"/>
  <c r="GA28" i="5"/>
  <c r="GB28" i="5"/>
  <c r="GC28" i="5"/>
  <c r="GD28" i="5"/>
  <c r="GE28" i="5"/>
  <c r="GF28" i="5"/>
  <c r="GG28" i="5"/>
  <c r="GH28" i="5"/>
  <c r="GI28" i="5"/>
  <c r="GJ28" i="5"/>
  <c r="GK28" i="5"/>
  <c r="GL28" i="5"/>
  <c r="GM28" i="5"/>
  <c r="GN28" i="5"/>
  <c r="GO28" i="5"/>
  <c r="GP28" i="5"/>
  <c r="GQ28" i="5"/>
  <c r="GR28" i="5"/>
  <c r="GS28" i="5"/>
  <c r="GT28" i="5"/>
  <c r="GU28" i="5"/>
  <c r="GV28" i="5"/>
  <c r="GW28" i="5"/>
  <c r="GX28" i="5"/>
  <c r="GY28" i="5"/>
  <c r="GZ28" i="5"/>
  <c r="HA28" i="5"/>
  <c r="HB28" i="5"/>
  <c r="HC28" i="5"/>
  <c r="HD28" i="5"/>
  <c r="HE28" i="5"/>
  <c r="HF28" i="5"/>
  <c r="HG28" i="5"/>
  <c r="A29" i="5"/>
  <c r="B29" i="5"/>
  <c r="C29" i="5"/>
  <c r="D29" i="5"/>
  <c r="E29" i="5"/>
  <c r="F29" i="5"/>
  <c r="G29" i="5"/>
  <c r="H29" i="5"/>
  <c r="I29" i="5"/>
  <c r="J29" i="5"/>
  <c r="K29" i="5"/>
  <c r="L29" i="5"/>
  <c r="M29" i="5"/>
  <c r="N29" i="5"/>
  <c r="O29" i="5"/>
  <c r="P29" i="5"/>
  <c r="Q29" i="5"/>
  <c r="R29" i="5"/>
  <c r="S29" i="5"/>
  <c r="T29" i="5"/>
  <c r="U29" i="5"/>
  <c r="V29" i="5"/>
  <c r="W29" i="5"/>
  <c r="X29" i="5"/>
  <c r="Y29" i="5"/>
  <c r="Z29" i="5"/>
  <c r="AA29" i="5"/>
  <c r="AB29" i="5"/>
  <c r="AC29" i="5"/>
  <c r="AD29" i="5"/>
  <c r="AE29" i="5"/>
  <c r="AF29" i="5"/>
  <c r="AG29" i="5"/>
  <c r="AH29" i="5"/>
  <c r="AI29" i="5"/>
  <c r="AJ29" i="5"/>
  <c r="AK29" i="5"/>
  <c r="AL29" i="5"/>
  <c r="AM29" i="5"/>
  <c r="AN29" i="5"/>
  <c r="AO29" i="5"/>
  <c r="AP29" i="5"/>
  <c r="AQ29" i="5"/>
  <c r="AR29" i="5"/>
  <c r="AS29" i="5"/>
  <c r="AT29" i="5"/>
  <c r="AU29" i="5"/>
  <c r="AV29" i="5"/>
  <c r="AW29" i="5"/>
  <c r="AX29" i="5"/>
  <c r="AY29" i="5"/>
  <c r="AZ29" i="5"/>
  <c r="BA29" i="5"/>
  <c r="BB29" i="5"/>
  <c r="BC29" i="5"/>
  <c r="BD29" i="5"/>
  <c r="BE29" i="5"/>
  <c r="BF29" i="5"/>
  <c r="BG29" i="5"/>
  <c r="BH29" i="5"/>
  <c r="BI29" i="5"/>
  <c r="BJ29" i="5"/>
  <c r="BK29" i="5"/>
  <c r="BL29" i="5"/>
  <c r="BM29" i="5"/>
  <c r="BN29" i="5"/>
  <c r="BO29" i="5"/>
  <c r="BP29" i="5"/>
  <c r="BQ29" i="5"/>
  <c r="BR29" i="5"/>
  <c r="BS29" i="5"/>
  <c r="BT29" i="5"/>
  <c r="BU29" i="5"/>
  <c r="BV29" i="5"/>
  <c r="BW29" i="5"/>
  <c r="BX29" i="5"/>
  <c r="BY29" i="5"/>
  <c r="BZ29" i="5"/>
  <c r="CA29" i="5"/>
  <c r="CB29" i="5"/>
  <c r="CC29" i="5"/>
  <c r="CD29" i="5"/>
  <c r="CE29" i="5"/>
  <c r="CF29" i="5"/>
  <c r="CG29" i="5"/>
  <c r="CH29" i="5"/>
  <c r="CI29" i="5"/>
  <c r="CJ29" i="5"/>
  <c r="CK29" i="5"/>
  <c r="CL29" i="5"/>
  <c r="CM29" i="5"/>
  <c r="CN29" i="5"/>
  <c r="CO29" i="5"/>
  <c r="CP29" i="5"/>
  <c r="CQ29" i="5"/>
  <c r="CR29" i="5"/>
  <c r="CS29" i="5"/>
  <c r="CT29" i="5"/>
  <c r="CU29" i="5"/>
  <c r="CV29" i="5"/>
  <c r="CW29" i="5"/>
  <c r="CX29" i="5"/>
  <c r="CY29" i="5"/>
  <c r="CZ29" i="5"/>
  <c r="DA29" i="5"/>
  <c r="DB29" i="5"/>
  <c r="DC29" i="5"/>
  <c r="DD29" i="5"/>
  <c r="DE29" i="5"/>
  <c r="DF29" i="5"/>
  <c r="DG29" i="5"/>
  <c r="DH29" i="5"/>
  <c r="DI29" i="5"/>
  <c r="DJ29" i="5"/>
  <c r="DK29" i="5"/>
  <c r="DL29" i="5"/>
  <c r="DM29" i="5"/>
  <c r="DN29" i="5"/>
  <c r="DO29" i="5"/>
  <c r="DP29" i="5"/>
  <c r="DQ29" i="5"/>
  <c r="DR29" i="5"/>
  <c r="DS29" i="5"/>
  <c r="DT29" i="5"/>
  <c r="DU29" i="5"/>
  <c r="DV29" i="5"/>
  <c r="DW29" i="5"/>
  <c r="DX29" i="5"/>
  <c r="DY29" i="5"/>
  <c r="DZ29" i="5"/>
  <c r="EA29" i="5"/>
  <c r="EB29" i="5"/>
  <c r="EC29" i="5"/>
  <c r="ED29" i="5"/>
  <c r="EE29" i="5"/>
  <c r="EF29" i="5"/>
  <c r="EG29" i="5"/>
  <c r="EH29" i="5"/>
  <c r="EI29" i="5"/>
  <c r="EJ29" i="5"/>
  <c r="EK29" i="5"/>
  <c r="EL29" i="5"/>
  <c r="EM29" i="5"/>
  <c r="EN29" i="5"/>
  <c r="EO29" i="5"/>
  <c r="EP29" i="5"/>
  <c r="EQ29" i="5"/>
  <c r="ER29" i="5"/>
  <c r="ES29" i="5"/>
  <c r="ET29" i="5"/>
  <c r="EU29" i="5"/>
  <c r="EV29" i="5"/>
  <c r="EW29" i="5"/>
  <c r="EX29" i="5"/>
  <c r="EY29" i="5"/>
  <c r="EZ29" i="5"/>
  <c r="FA29" i="5"/>
  <c r="FB29" i="5"/>
  <c r="FC29" i="5"/>
  <c r="FD29" i="5"/>
  <c r="FE29" i="5"/>
  <c r="FF29" i="5"/>
  <c r="FG29" i="5"/>
  <c r="FH29" i="5"/>
  <c r="FI29" i="5"/>
  <c r="FJ29" i="5"/>
  <c r="FK29" i="5"/>
  <c r="FL29" i="5"/>
  <c r="FM29" i="5"/>
  <c r="FN29" i="5"/>
  <c r="FO29" i="5"/>
  <c r="FP29" i="5"/>
  <c r="FQ29" i="5"/>
  <c r="FR29" i="5"/>
  <c r="FS29" i="5"/>
  <c r="FT29" i="5"/>
  <c r="FU29" i="5"/>
  <c r="FV29" i="5"/>
  <c r="FW29" i="5"/>
  <c r="FX29" i="5"/>
  <c r="FY29" i="5"/>
  <c r="FZ29" i="5"/>
  <c r="GA29" i="5"/>
  <c r="GB29" i="5"/>
  <c r="GC29" i="5"/>
  <c r="GD29" i="5"/>
  <c r="GE29" i="5"/>
  <c r="GF29" i="5"/>
  <c r="GG29" i="5"/>
  <c r="GH29" i="5"/>
  <c r="GI29" i="5"/>
  <c r="GJ29" i="5"/>
  <c r="GK29" i="5"/>
  <c r="GL29" i="5"/>
  <c r="GM29" i="5"/>
  <c r="GN29" i="5"/>
  <c r="GO29" i="5"/>
  <c r="GP29" i="5"/>
  <c r="GQ29" i="5"/>
  <c r="GR29" i="5"/>
  <c r="GS29" i="5"/>
  <c r="GT29" i="5"/>
  <c r="GU29" i="5"/>
  <c r="GV29" i="5"/>
  <c r="GW29" i="5"/>
  <c r="GX29" i="5"/>
  <c r="GY29" i="5"/>
  <c r="GZ29" i="5"/>
  <c r="HA29" i="5"/>
  <c r="HB29" i="5"/>
  <c r="HC29" i="5"/>
  <c r="HD29" i="5"/>
  <c r="HE29" i="5"/>
  <c r="HF29" i="5"/>
  <c r="HG29" i="5"/>
  <c r="A30" i="5"/>
  <c r="B30" i="5"/>
  <c r="C30" i="5"/>
  <c r="D30" i="5"/>
  <c r="E30" i="5"/>
  <c r="F30" i="5"/>
  <c r="G30" i="5"/>
  <c r="H30" i="5"/>
  <c r="I30" i="5"/>
  <c r="J30" i="5"/>
  <c r="K30" i="5"/>
  <c r="L30" i="5"/>
  <c r="M30" i="5"/>
  <c r="N30" i="5"/>
  <c r="O30" i="5"/>
  <c r="P30" i="5"/>
  <c r="Q30" i="5"/>
  <c r="R30" i="5"/>
  <c r="S30" i="5"/>
  <c r="T30" i="5"/>
  <c r="U30" i="5"/>
  <c r="V30" i="5"/>
  <c r="W30" i="5"/>
  <c r="X30" i="5"/>
  <c r="Y30" i="5"/>
  <c r="Z30" i="5"/>
  <c r="AA30" i="5"/>
  <c r="AB30" i="5"/>
  <c r="AC30" i="5"/>
  <c r="AD30" i="5"/>
  <c r="AE30" i="5"/>
  <c r="AF30" i="5"/>
  <c r="AG30" i="5"/>
  <c r="AH30" i="5"/>
  <c r="AI30" i="5"/>
  <c r="AJ30" i="5"/>
  <c r="AK30" i="5"/>
  <c r="AL30" i="5"/>
  <c r="AM30" i="5"/>
  <c r="AN30" i="5"/>
  <c r="AO30" i="5"/>
  <c r="AP30" i="5"/>
  <c r="AQ30" i="5"/>
  <c r="AR30" i="5"/>
  <c r="AS30" i="5"/>
  <c r="AT30" i="5"/>
  <c r="AU30" i="5"/>
  <c r="AV30" i="5"/>
  <c r="AW30" i="5"/>
  <c r="AX30" i="5"/>
  <c r="AY30" i="5"/>
  <c r="AZ30" i="5"/>
  <c r="BA30" i="5"/>
  <c r="BB30" i="5"/>
  <c r="BC30" i="5"/>
  <c r="BD30" i="5"/>
  <c r="BE30" i="5"/>
  <c r="BF30" i="5"/>
  <c r="BG30" i="5"/>
  <c r="BH30" i="5"/>
  <c r="BI30" i="5"/>
  <c r="BJ30" i="5"/>
  <c r="BK30" i="5"/>
  <c r="BL30" i="5"/>
  <c r="BM30" i="5"/>
  <c r="BN30" i="5"/>
  <c r="BO30" i="5"/>
  <c r="BP30" i="5"/>
  <c r="BQ30" i="5"/>
  <c r="BR30" i="5"/>
  <c r="BS30" i="5"/>
  <c r="BT30" i="5"/>
  <c r="BU30" i="5"/>
  <c r="BV30" i="5"/>
  <c r="BW30" i="5"/>
  <c r="BX30" i="5"/>
  <c r="BY30" i="5"/>
  <c r="BZ30" i="5"/>
  <c r="CA30" i="5"/>
  <c r="CB30" i="5"/>
  <c r="CC30" i="5"/>
  <c r="CD30" i="5"/>
  <c r="CE30" i="5"/>
  <c r="CF30" i="5"/>
  <c r="CG30" i="5"/>
  <c r="CH30" i="5"/>
  <c r="CI30" i="5"/>
  <c r="CJ30" i="5"/>
  <c r="CK30" i="5"/>
  <c r="CL30" i="5"/>
  <c r="CM30" i="5"/>
  <c r="CN30" i="5"/>
  <c r="CO30" i="5"/>
  <c r="CP30" i="5"/>
  <c r="CQ30" i="5"/>
  <c r="CR30" i="5"/>
  <c r="CS30" i="5"/>
  <c r="CT30" i="5"/>
  <c r="CU30" i="5"/>
  <c r="CV30" i="5"/>
  <c r="CW30" i="5"/>
  <c r="CX30" i="5"/>
  <c r="CY30" i="5"/>
  <c r="CZ30" i="5"/>
  <c r="DA30" i="5"/>
  <c r="DB30" i="5"/>
  <c r="DC30" i="5"/>
  <c r="DD30" i="5"/>
  <c r="DE30" i="5"/>
  <c r="DF30" i="5"/>
  <c r="DG30" i="5"/>
  <c r="DH30" i="5"/>
  <c r="DI30" i="5"/>
  <c r="DJ30" i="5"/>
  <c r="DK30" i="5"/>
  <c r="DL30" i="5"/>
  <c r="DM30" i="5"/>
  <c r="DN30" i="5"/>
  <c r="DO30" i="5"/>
  <c r="DP30" i="5"/>
  <c r="DQ30" i="5"/>
  <c r="DR30" i="5"/>
  <c r="DS30" i="5"/>
  <c r="DT30" i="5"/>
  <c r="DU30" i="5"/>
  <c r="DV30" i="5"/>
  <c r="DW30" i="5"/>
  <c r="DX30" i="5"/>
  <c r="DY30" i="5"/>
  <c r="DZ30" i="5"/>
  <c r="EA30" i="5"/>
  <c r="EB30" i="5"/>
  <c r="EC30" i="5"/>
  <c r="ED30" i="5"/>
  <c r="EE30" i="5"/>
  <c r="EF30" i="5"/>
  <c r="EG30" i="5"/>
  <c r="EH30" i="5"/>
  <c r="EI30" i="5"/>
  <c r="EJ30" i="5"/>
  <c r="EK30" i="5"/>
  <c r="EL30" i="5"/>
  <c r="EM30" i="5"/>
  <c r="EN30" i="5"/>
  <c r="EO30" i="5"/>
  <c r="EP30" i="5"/>
  <c r="EQ30" i="5"/>
  <c r="ER30" i="5"/>
  <c r="ES30" i="5"/>
  <c r="ET30" i="5"/>
  <c r="EU30" i="5"/>
  <c r="EV30" i="5"/>
  <c r="EW30" i="5"/>
  <c r="EX30" i="5"/>
  <c r="EY30" i="5"/>
  <c r="EZ30" i="5"/>
  <c r="FA30" i="5"/>
  <c r="FB30" i="5"/>
  <c r="FC30" i="5"/>
  <c r="FD30" i="5"/>
  <c r="FE30" i="5"/>
  <c r="FF30" i="5"/>
  <c r="FG30" i="5"/>
  <c r="FH30" i="5"/>
  <c r="FI30" i="5"/>
  <c r="FJ30" i="5"/>
  <c r="FK30" i="5"/>
  <c r="FL30" i="5"/>
  <c r="FM30" i="5"/>
  <c r="FN30" i="5"/>
  <c r="FO30" i="5"/>
  <c r="FP30" i="5"/>
  <c r="FQ30" i="5"/>
  <c r="FR30" i="5"/>
  <c r="FS30" i="5"/>
  <c r="FT30" i="5"/>
  <c r="FU30" i="5"/>
  <c r="FV30" i="5"/>
  <c r="FW30" i="5"/>
  <c r="FX30" i="5"/>
  <c r="FY30" i="5"/>
  <c r="FZ30" i="5"/>
  <c r="GA30" i="5"/>
  <c r="GB30" i="5"/>
  <c r="GC30" i="5"/>
  <c r="GD30" i="5"/>
  <c r="GE30" i="5"/>
  <c r="GF30" i="5"/>
  <c r="GG30" i="5"/>
  <c r="GH30" i="5"/>
  <c r="GI30" i="5"/>
  <c r="GJ30" i="5"/>
  <c r="GK30" i="5"/>
  <c r="GL30" i="5"/>
  <c r="GM30" i="5"/>
  <c r="GN30" i="5"/>
  <c r="GO30" i="5"/>
  <c r="GP30" i="5"/>
  <c r="GQ30" i="5"/>
  <c r="GR30" i="5"/>
  <c r="GS30" i="5"/>
  <c r="GT30" i="5"/>
  <c r="GU30" i="5"/>
  <c r="GV30" i="5"/>
  <c r="GW30" i="5"/>
  <c r="GX30" i="5"/>
  <c r="GY30" i="5"/>
  <c r="GZ30" i="5"/>
  <c r="HA30" i="5"/>
  <c r="HB30" i="5"/>
  <c r="HC30" i="5"/>
  <c r="HD30" i="5"/>
  <c r="HE30" i="5"/>
  <c r="HF30" i="5"/>
  <c r="HG30" i="5"/>
  <c r="A31" i="5"/>
  <c r="B31" i="5"/>
  <c r="C31" i="5"/>
  <c r="D31" i="5"/>
  <c r="E31" i="5"/>
  <c r="F31" i="5"/>
  <c r="G31" i="5"/>
  <c r="H31" i="5"/>
  <c r="I31" i="5"/>
  <c r="J31" i="5"/>
  <c r="K31" i="5"/>
  <c r="L31" i="5"/>
  <c r="M31" i="5"/>
  <c r="N31" i="5"/>
  <c r="O31" i="5"/>
  <c r="P31" i="5"/>
  <c r="Q31" i="5"/>
  <c r="R31" i="5"/>
  <c r="S31" i="5"/>
  <c r="T31" i="5"/>
  <c r="U31" i="5"/>
  <c r="V31" i="5"/>
  <c r="W31" i="5"/>
  <c r="X31" i="5"/>
  <c r="Y31" i="5"/>
  <c r="Z31" i="5"/>
  <c r="AA31" i="5"/>
  <c r="AB31" i="5"/>
  <c r="AC31" i="5"/>
  <c r="AD31" i="5"/>
  <c r="AE31" i="5"/>
  <c r="AF31" i="5"/>
  <c r="AG31" i="5"/>
  <c r="AH31" i="5"/>
  <c r="AI31" i="5"/>
  <c r="AJ31" i="5"/>
  <c r="AK31" i="5"/>
  <c r="AL31" i="5"/>
  <c r="AM31" i="5"/>
  <c r="AN31" i="5"/>
  <c r="AO31" i="5"/>
  <c r="AP31" i="5"/>
  <c r="AQ31" i="5"/>
  <c r="AR31" i="5"/>
  <c r="AS31" i="5"/>
  <c r="AT31" i="5"/>
  <c r="AU31" i="5"/>
  <c r="AV31" i="5"/>
  <c r="AW31" i="5"/>
  <c r="AX31" i="5"/>
  <c r="AY31" i="5"/>
  <c r="AZ31" i="5"/>
  <c r="BA31" i="5"/>
  <c r="BB31" i="5"/>
  <c r="BC31" i="5"/>
  <c r="BD31" i="5"/>
  <c r="BE31" i="5"/>
  <c r="BF31" i="5"/>
  <c r="BG31" i="5"/>
  <c r="BH31" i="5"/>
  <c r="BI31" i="5"/>
  <c r="BJ31" i="5"/>
  <c r="BK31" i="5"/>
  <c r="BL31" i="5"/>
  <c r="BM31" i="5"/>
  <c r="BN31" i="5"/>
  <c r="BO31" i="5"/>
  <c r="BP31" i="5"/>
  <c r="BQ31" i="5"/>
  <c r="BR31" i="5"/>
  <c r="BS31" i="5"/>
  <c r="BT31" i="5"/>
  <c r="BU31" i="5"/>
  <c r="BV31" i="5"/>
  <c r="BW31" i="5"/>
  <c r="BX31" i="5"/>
  <c r="BY31" i="5"/>
  <c r="BZ31" i="5"/>
  <c r="CA31" i="5"/>
  <c r="CB31" i="5"/>
  <c r="CC31" i="5"/>
  <c r="CD31" i="5"/>
  <c r="CE31" i="5"/>
  <c r="CF31" i="5"/>
  <c r="CG31" i="5"/>
  <c r="CH31" i="5"/>
  <c r="CI31" i="5"/>
  <c r="CJ31" i="5"/>
  <c r="CK31" i="5"/>
  <c r="CL31" i="5"/>
  <c r="CM31" i="5"/>
  <c r="CN31" i="5"/>
  <c r="CO31" i="5"/>
  <c r="CP31" i="5"/>
  <c r="CQ31" i="5"/>
  <c r="CR31" i="5"/>
  <c r="CS31" i="5"/>
  <c r="CT31" i="5"/>
  <c r="CU31" i="5"/>
  <c r="CV31" i="5"/>
  <c r="CW31" i="5"/>
  <c r="CX31" i="5"/>
  <c r="CY31" i="5"/>
  <c r="CZ31" i="5"/>
  <c r="DA31" i="5"/>
  <c r="DB31" i="5"/>
  <c r="DC31" i="5"/>
  <c r="DD31" i="5"/>
  <c r="DE31" i="5"/>
  <c r="DF31" i="5"/>
  <c r="DG31" i="5"/>
  <c r="DH31" i="5"/>
  <c r="DI31" i="5"/>
  <c r="DJ31" i="5"/>
  <c r="DK31" i="5"/>
  <c r="DL31" i="5"/>
  <c r="DM31" i="5"/>
  <c r="DN31" i="5"/>
  <c r="DO31" i="5"/>
  <c r="DP31" i="5"/>
  <c r="DQ31" i="5"/>
  <c r="DR31" i="5"/>
  <c r="DS31" i="5"/>
  <c r="DT31" i="5"/>
  <c r="DU31" i="5"/>
  <c r="DV31" i="5"/>
  <c r="DW31" i="5"/>
  <c r="DX31" i="5"/>
  <c r="DY31" i="5"/>
  <c r="DZ31" i="5"/>
  <c r="EA31" i="5"/>
  <c r="EB31" i="5"/>
  <c r="EC31" i="5"/>
  <c r="ED31" i="5"/>
  <c r="EE31" i="5"/>
  <c r="EF31" i="5"/>
  <c r="EG31" i="5"/>
  <c r="EH31" i="5"/>
  <c r="EI31" i="5"/>
  <c r="EJ31" i="5"/>
  <c r="EK31" i="5"/>
  <c r="EL31" i="5"/>
  <c r="EM31" i="5"/>
  <c r="EN31" i="5"/>
  <c r="EO31" i="5"/>
  <c r="EP31" i="5"/>
  <c r="EQ31" i="5"/>
  <c r="ER31" i="5"/>
  <c r="ES31" i="5"/>
  <c r="ET31" i="5"/>
  <c r="EU31" i="5"/>
  <c r="EV31" i="5"/>
  <c r="EW31" i="5"/>
  <c r="EX31" i="5"/>
  <c r="EY31" i="5"/>
  <c r="EZ31" i="5"/>
  <c r="FA31" i="5"/>
  <c r="FB31" i="5"/>
  <c r="FC31" i="5"/>
  <c r="FD31" i="5"/>
  <c r="FE31" i="5"/>
  <c r="FF31" i="5"/>
  <c r="FG31" i="5"/>
  <c r="FH31" i="5"/>
  <c r="FI31" i="5"/>
  <c r="FJ31" i="5"/>
  <c r="FK31" i="5"/>
  <c r="FL31" i="5"/>
  <c r="FM31" i="5"/>
  <c r="FN31" i="5"/>
  <c r="FO31" i="5"/>
  <c r="FP31" i="5"/>
  <c r="FQ31" i="5"/>
  <c r="FR31" i="5"/>
  <c r="FS31" i="5"/>
  <c r="FT31" i="5"/>
  <c r="FU31" i="5"/>
  <c r="FV31" i="5"/>
  <c r="FW31" i="5"/>
  <c r="FX31" i="5"/>
  <c r="FY31" i="5"/>
  <c r="FZ31" i="5"/>
  <c r="GA31" i="5"/>
  <c r="GB31" i="5"/>
  <c r="GC31" i="5"/>
  <c r="GD31" i="5"/>
  <c r="GE31" i="5"/>
  <c r="GF31" i="5"/>
  <c r="GG31" i="5"/>
  <c r="GH31" i="5"/>
  <c r="GI31" i="5"/>
  <c r="GJ31" i="5"/>
  <c r="GK31" i="5"/>
  <c r="GL31" i="5"/>
  <c r="GM31" i="5"/>
  <c r="GN31" i="5"/>
  <c r="GO31" i="5"/>
  <c r="GP31" i="5"/>
  <c r="GQ31" i="5"/>
  <c r="GR31" i="5"/>
  <c r="GS31" i="5"/>
  <c r="GT31" i="5"/>
  <c r="GU31" i="5"/>
  <c r="GV31" i="5"/>
  <c r="GW31" i="5"/>
  <c r="GX31" i="5"/>
  <c r="GY31" i="5"/>
  <c r="GZ31" i="5"/>
  <c r="HA31" i="5"/>
  <c r="HB31" i="5"/>
  <c r="HC31" i="5"/>
  <c r="HD31" i="5"/>
  <c r="HE31" i="5"/>
  <c r="HF31" i="5"/>
  <c r="HG31" i="5"/>
  <c r="A32" i="5"/>
  <c r="B32" i="5"/>
  <c r="C32" i="5"/>
  <c r="D32" i="5"/>
  <c r="E32" i="5"/>
  <c r="F32" i="5"/>
  <c r="G32" i="5"/>
  <c r="H32" i="5"/>
  <c r="I32" i="5"/>
  <c r="J32" i="5"/>
  <c r="K32" i="5"/>
  <c r="L32" i="5"/>
  <c r="M32" i="5"/>
  <c r="N32" i="5"/>
  <c r="O32" i="5"/>
  <c r="P32" i="5"/>
  <c r="Q32" i="5"/>
  <c r="R32" i="5"/>
  <c r="S32" i="5"/>
  <c r="T32" i="5"/>
  <c r="U32" i="5"/>
  <c r="V32" i="5"/>
  <c r="W32" i="5"/>
  <c r="X32" i="5"/>
  <c r="Y32" i="5"/>
  <c r="Z32" i="5"/>
  <c r="AA32" i="5"/>
  <c r="AB32" i="5"/>
  <c r="AC32" i="5"/>
  <c r="AD32" i="5"/>
  <c r="AE32" i="5"/>
  <c r="AF32" i="5"/>
  <c r="AG32" i="5"/>
  <c r="AH32" i="5"/>
  <c r="AI32" i="5"/>
  <c r="AJ32" i="5"/>
  <c r="AK32" i="5"/>
  <c r="AL32" i="5"/>
  <c r="AM32" i="5"/>
  <c r="AN32" i="5"/>
  <c r="AO32" i="5"/>
  <c r="AP32" i="5"/>
  <c r="AQ32" i="5"/>
  <c r="AR32" i="5"/>
  <c r="AS32" i="5"/>
  <c r="AT32" i="5"/>
  <c r="AU32" i="5"/>
  <c r="AV32" i="5"/>
  <c r="AW32" i="5"/>
  <c r="AX32" i="5"/>
  <c r="AY32" i="5"/>
  <c r="AZ32" i="5"/>
  <c r="BA32" i="5"/>
  <c r="BB32" i="5"/>
  <c r="BC32" i="5"/>
  <c r="BD32" i="5"/>
  <c r="BE32" i="5"/>
  <c r="BF32" i="5"/>
  <c r="BG32" i="5"/>
  <c r="BH32" i="5"/>
  <c r="BI32" i="5"/>
  <c r="BJ32" i="5"/>
  <c r="BK32" i="5"/>
  <c r="BL32" i="5"/>
  <c r="BM32" i="5"/>
  <c r="BN32" i="5"/>
  <c r="BO32" i="5"/>
  <c r="BP32" i="5"/>
  <c r="BQ32" i="5"/>
  <c r="BR32" i="5"/>
  <c r="BS32" i="5"/>
  <c r="BT32" i="5"/>
  <c r="BU32" i="5"/>
  <c r="BV32" i="5"/>
  <c r="BW32" i="5"/>
  <c r="BX32" i="5"/>
  <c r="BY32" i="5"/>
  <c r="BZ32" i="5"/>
  <c r="CA32" i="5"/>
  <c r="CB32" i="5"/>
  <c r="CC32" i="5"/>
  <c r="CD32" i="5"/>
  <c r="CE32" i="5"/>
  <c r="CF32" i="5"/>
  <c r="CG32" i="5"/>
  <c r="CH32" i="5"/>
  <c r="CI32" i="5"/>
  <c r="CJ32" i="5"/>
  <c r="CK32" i="5"/>
  <c r="CL32" i="5"/>
  <c r="CM32" i="5"/>
  <c r="CN32" i="5"/>
  <c r="CO32" i="5"/>
  <c r="CP32" i="5"/>
  <c r="CQ32" i="5"/>
  <c r="CR32" i="5"/>
  <c r="CS32" i="5"/>
  <c r="CT32" i="5"/>
  <c r="CU32" i="5"/>
  <c r="CV32" i="5"/>
  <c r="CW32" i="5"/>
  <c r="CX32" i="5"/>
  <c r="CY32" i="5"/>
  <c r="CZ32" i="5"/>
  <c r="DA32" i="5"/>
  <c r="DB32" i="5"/>
  <c r="DC32" i="5"/>
  <c r="DD32" i="5"/>
  <c r="DE32" i="5"/>
  <c r="DF32" i="5"/>
  <c r="DG32" i="5"/>
  <c r="DH32" i="5"/>
  <c r="DI32" i="5"/>
  <c r="DJ32" i="5"/>
  <c r="DK32" i="5"/>
  <c r="DL32" i="5"/>
  <c r="DM32" i="5"/>
  <c r="DN32" i="5"/>
  <c r="DO32" i="5"/>
  <c r="DP32" i="5"/>
  <c r="DQ32" i="5"/>
  <c r="DR32" i="5"/>
  <c r="DS32" i="5"/>
  <c r="DT32" i="5"/>
  <c r="DU32" i="5"/>
  <c r="DV32" i="5"/>
  <c r="DW32" i="5"/>
  <c r="DX32" i="5"/>
  <c r="DY32" i="5"/>
  <c r="DZ32" i="5"/>
  <c r="EA32" i="5"/>
  <c r="EB32" i="5"/>
  <c r="EC32" i="5"/>
  <c r="ED32" i="5"/>
  <c r="EE32" i="5"/>
  <c r="EF32" i="5"/>
  <c r="EG32" i="5"/>
  <c r="EH32" i="5"/>
  <c r="EI32" i="5"/>
  <c r="EJ32" i="5"/>
  <c r="EK32" i="5"/>
  <c r="EL32" i="5"/>
  <c r="EM32" i="5"/>
  <c r="EN32" i="5"/>
  <c r="EO32" i="5"/>
  <c r="EP32" i="5"/>
  <c r="EQ32" i="5"/>
  <c r="ER32" i="5"/>
  <c r="ES32" i="5"/>
  <c r="ET32" i="5"/>
  <c r="EU32" i="5"/>
  <c r="EV32" i="5"/>
  <c r="EW32" i="5"/>
  <c r="EX32" i="5"/>
  <c r="EY32" i="5"/>
  <c r="EZ32" i="5"/>
  <c r="FA32" i="5"/>
  <c r="FB32" i="5"/>
  <c r="FC32" i="5"/>
  <c r="FD32" i="5"/>
  <c r="FE32" i="5"/>
  <c r="FF32" i="5"/>
  <c r="FG32" i="5"/>
  <c r="FH32" i="5"/>
  <c r="FI32" i="5"/>
  <c r="FJ32" i="5"/>
  <c r="FK32" i="5"/>
  <c r="FL32" i="5"/>
  <c r="FM32" i="5"/>
  <c r="FN32" i="5"/>
  <c r="FO32" i="5"/>
  <c r="FP32" i="5"/>
  <c r="FQ32" i="5"/>
  <c r="FR32" i="5"/>
  <c r="FS32" i="5"/>
  <c r="FT32" i="5"/>
  <c r="FU32" i="5"/>
  <c r="FV32" i="5"/>
  <c r="FW32" i="5"/>
  <c r="FX32" i="5"/>
  <c r="FY32" i="5"/>
  <c r="FZ32" i="5"/>
  <c r="GA32" i="5"/>
  <c r="GB32" i="5"/>
  <c r="GC32" i="5"/>
  <c r="GD32" i="5"/>
  <c r="GE32" i="5"/>
  <c r="GF32" i="5"/>
  <c r="GG32" i="5"/>
  <c r="GH32" i="5"/>
  <c r="GI32" i="5"/>
  <c r="GJ32" i="5"/>
  <c r="GK32" i="5"/>
  <c r="GL32" i="5"/>
  <c r="GM32" i="5"/>
  <c r="GN32" i="5"/>
  <c r="GO32" i="5"/>
  <c r="GP32" i="5"/>
  <c r="GQ32" i="5"/>
  <c r="GR32" i="5"/>
  <c r="GS32" i="5"/>
  <c r="GT32" i="5"/>
  <c r="GU32" i="5"/>
  <c r="GV32" i="5"/>
  <c r="GW32" i="5"/>
  <c r="GX32" i="5"/>
  <c r="GY32" i="5"/>
  <c r="GZ32" i="5"/>
  <c r="HA32" i="5"/>
  <c r="HB32" i="5"/>
  <c r="HC32" i="5"/>
  <c r="HD32" i="5"/>
  <c r="HE32" i="5"/>
  <c r="HF32" i="5"/>
  <c r="HG32" i="5"/>
  <c r="A33" i="5"/>
  <c r="B33" i="5"/>
  <c r="C33" i="5"/>
  <c r="D33" i="5"/>
  <c r="E33" i="5"/>
  <c r="F33" i="5"/>
  <c r="G33" i="5"/>
  <c r="H33" i="5"/>
  <c r="I33" i="5"/>
  <c r="J33" i="5"/>
  <c r="K33" i="5"/>
  <c r="L33" i="5"/>
  <c r="M33" i="5"/>
  <c r="N33" i="5"/>
  <c r="O33" i="5"/>
  <c r="P33" i="5"/>
  <c r="Q33" i="5"/>
  <c r="R33" i="5"/>
  <c r="S33" i="5"/>
  <c r="T33" i="5"/>
  <c r="U33" i="5"/>
  <c r="V33" i="5"/>
  <c r="W33" i="5"/>
  <c r="X33" i="5"/>
  <c r="Y33" i="5"/>
  <c r="Z33" i="5"/>
  <c r="AA33" i="5"/>
  <c r="AB33" i="5"/>
  <c r="AC33" i="5"/>
  <c r="AD33" i="5"/>
  <c r="AE33" i="5"/>
  <c r="AF33" i="5"/>
  <c r="AG33" i="5"/>
  <c r="AH33" i="5"/>
  <c r="AI33" i="5"/>
  <c r="AJ33" i="5"/>
  <c r="AK33" i="5"/>
  <c r="AL33" i="5"/>
  <c r="AM33" i="5"/>
  <c r="AN33" i="5"/>
  <c r="AO33" i="5"/>
  <c r="AP33" i="5"/>
  <c r="AQ33" i="5"/>
  <c r="AR33" i="5"/>
  <c r="AS33" i="5"/>
  <c r="AT33" i="5"/>
  <c r="AU33" i="5"/>
  <c r="AV33" i="5"/>
  <c r="AW33" i="5"/>
  <c r="AX33" i="5"/>
  <c r="AY33" i="5"/>
  <c r="AZ33" i="5"/>
  <c r="BA33" i="5"/>
  <c r="BB33" i="5"/>
  <c r="BC33" i="5"/>
  <c r="BD33" i="5"/>
  <c r="BE33" i="5"/>
  <c r="BF33" i="5"/>
  <c r="BG33" i="5"/>
  <c r="BH33" i="5"/>
  <c r="BI33" i="5"/>
  <c r="BJ33" i="5"/>
  <c r="BK33" i="5"/>
  <c r="BL33" i="5"/>
  <c r="BM33" i="5"/>
  <c r="BN33" i="5"/>
  <c r="BO33" i="5"/>
  <c r="BP33" i="5"/>
  <c r="BQ33" i="5"/>
  <c r="BR33" i="5"/>
  <c r="BS33" i="5"/>
  <c r="BT33" i="5"/>
  <c r="BU33" i="5"/>
  <c r="BV33" i="5"/>
  <c r="BW33" i="5"/>
  <c r="BX33" i="5"/>
  <c r="BY33" i="5"/>
  <c r="BZ33" i="5"/>
  <c r="CA33" i="5"/>
  <c r="CB33" i="5"/>
  <c r="CC33" i="5"/>
  <c r="CD33" i="5"/>
  <c r="CE33" i="5"/>
  <c r="CF33" i="5"/>
  <c r="CG33" i="5"/>
  <c r="CH33" i="5"/>
  <c r="CI33" i="5"/>
  <c r="CJ33" i="5"/>
  <c r="CK33" i="5"/>
  <c r="CL33" i="5"/>
  <c r="CM33" i="5"/>
  <c r="CN33" i="5"/>
  <c r="CO33" i="5"/>
  <c r="CP33" i="5"/>
  <c r="CQ33" i="5"/>
  <c r="CR33" i="5"/>
  <c r="CS33" i="5"/>
  <c r="CT33" i="5"/>
  <c r="CU33" i="5"/>
  <c r="CV33" i="5"/>
  <c r="CW33" i="5"/>
  <c r="CX33" i="5"/>
  <c r="CY33" i="5"/>
  <c r="CZ33" i="5"/>
  <c r="DA33" i="5"/>
  <c r="DB33" i="5"/>
  <c r="DC33" i="5"/>
  <c r="DD33" i="5"/>
  <c r="DE33" i="5"/>
  <c r="DF33" i="5"/>
  <c r="DG33" i="5"/>
  <c r="DH33" i="5"/>
  <c r="DI33" i="5"/>
  <c r="DJ33" i="5"/>
  <c r="DK33" i="5"/>
  <c r="DL33" i="5"/>
  <c r="DM33" i="5"/>
  <c r="DN33" i="5"/>
  <c r="DO33" i="5"/>
  <c r="DP33" i="5"/>
  <c r="DQ33" i="5"/>
  <c r="DR33" i="5"/>
  <c r="DS33" i="5"/>
  <c r="DT33" i="5"/>
  <c r="DU33" i="5"/>
  <c r="DV33" i="5"/>
  <c r="DW33" i="5"/>
  <c r="DX33" i="5"/>
  <c r="DY33" i="5"/>
  <c r="DZ33" i="5"/>
  <c r="EA33" i="5"/>
  <c r="EB33" i="5"/>
  <c r="EC33" i="5"/>
  <c r="ED33" i="5"/>
  <c r="EE33" i="5"/>
  <c r="EF33" i="5"/>
  <c r="EG33" i="5"/>
  <c r="EH33" i="5"/>
  <c r="EI33" i="5"/>
  <c r="EJ33" i="5"/>
  <c r="EK33" i="5"/>
  <c r="EL33" i="5"/>
  <c r="EM33" i="5"/>
  <c r="EN33" i="5"/>
  <c r="EO33" i="5"/>
  <c r="EP33" i="5"/>
  <c r="EQ33" i="5"/>
  <c r="ER33" i="5"/>
  <c r="ES33" i="5"/>
  <c r="ET33" i="5"/>
  <c r="EU33" i="5"/>
  <c r="EV33" i="5"/>
  <c r="EW33" i="5"/>
  <c r="EX33" i="5"/>
  <c r="EY33" i="5"/>
  <c r="EZ33" i="5"/>
  <c r="FA33" i="5"/>
  <c r="FB33" i="5"/>
  <c r="FC33" i="5"/>
  <c r="FD33" i="5"/>
  <c r="FE33" i="5"/>
  <c r="FF33" i="5"/>
  <c r="FG33" i="5"/>
  <c r="FH33" i="5"/>
  <c r="FI33" i="5"/>
  <c r="FJ33" i="5"/>
  <c r="FK33" i="5"/>
  <c r="FL33" i="5"/>
  <c r="FM33" i="5"/>
  <c r="FN33" i="5"/>
  <c r="FO33" i="5"/>
  <c r="FP33" i="5"/>
  <c r="FQ33" i="5"/>
  <c r="FR33" i="5"/>
  <c r="FS33" i="5"/>
  <c r="FT33" i="5"/>
  <c r="FU33" i="5"/>
  <c r="FV33" i="5"/>
  <c r="FW33" i="5"/>
  <c r="FX33" i="5"/>
  <c r="FY33" i="5"/>
  <c r="FZ33" i="5"/>
  <c r="GA33" i="5"/>
  <c r="GB33" i="5"/>
  <c r="GC33" i="5"/>
  <c r="GD33" i="5"/>
  <c r="GE33" i="5"/>
  <c r="GF33" i="5"/>
  <c r="GG33" i="5"/>
  <c r="GH33" i="5"/>
  <c r="GI33" i="5"/>
  <c r="GJ33" i="5"/>
  <c r="GK33" i="5"/>
  <c r="GL33" i="5"/>
  <c r="GM33" i="5"/>
  <c r="GN33" i="5"/>
  <c r="GO33" i="5"/>
  <c r="GP33" i="5"/>
  <c r="GQ33" i="5"/>
  <c r="GR33" i="5"/>
  <c r="GS33" i="5"/>
  <c r="GT33" i="5"/>
  <c r="GU33" i="5"/>
  <c r="GV33" i="5"/>
  <c r="GW33" i="5"/>
  <c r="GX33" i="5"/>
  <c r="GY33" i="5"/>
  <c r="GZ33" i="5"/>
  <c r="HA33" i="5"/>
  <c r="HB33" i="5"/>
  <c r="HC33" i="5"/>
  <c r="HD33" i="5"/>
  <c r="HE33" i="5"/>
  <c r="HF33" i="5"/>
  <c r="HG33" i="5"/>
  <c r="A34" i="5"/>
  <c r="B34" i="5"/>
  <c r="C34" i="5"/>
  <c r="D34" i="5"/>
  <c r="E34" i="5"/>
  <c r="F34" i="5"/>
  <c r="G34" i="5"/>
  <c r="H34" i="5"/>
  <c r="I34" i="5"/>
  <c r="J34" i="5"/>
  <c r="K34" i="5"/>
  <c r="L34" i="5"/>
  <c r="M34" i="5"/>
  <c r="N34" i="5"/>
  <c r="O34" i="5"/>
  <c r="P34" i="5"/>
  <c r="Q34" i="5"/>
  <c r="R34" i="5"/>
  <c r="S34" i="5"/>
  <c r="T34" i="5"/>
  <c r="U34" i="5"/>
  <c r="V34" i="5"/>
  <c r="W34" i="5"/>
  <c r="X34" i="5"/>
  <c r="Y34" i="5"/>
  <c r="Z34" i="5"/>
  <c r="AA34" i="5"/>
  <c r="AB34" i="5"/>
  <c r="AC34" i="5"/>
  <c r="AD34" i="5"/>
  <c r="AE34" i="5"/>
  <c r="AF34" i="5"/>
  <c r="AG34" i="5"/>
  <c r="AH34" i="5"/>
  <c r="AI34" i="5"/>
  <c r="AJ34" i="5"/>
  <c r="AK34" i="5"/>
  <c r="AL34" i="5"/>
  <c r="AM34" i="5"/>
  <c r="AN34" i="5"/>
  <c r="AO34" i="5"/>
  <c r="AP34" i="5"/>
  <c r="AQ34" i="5"/>
  <c r="AR34" i="5"/>
  <c r="AS34" i="5"/>
  <c r="AT34" i="5"/>
  <c r="AU34" i="5"/>
  <c r="AV34" i="5"/>
  <c r="AW34" i="5"/>
  <c r="AX34" i="5"/>
  <c r="AY34" i="5"/>
  <c r="AZ34" i="5"/>
  <c r="BA34" i="5"/>
  <c r="BB34" i="5"/>
  <c r="BC34" i="5"/>
  <c r="BD34" i="5"/>
  <c r="BE34" i="5"/>
  <c r="BF34" i="5"/>
  <c r="BG34" i="5"/>
  <c r="BH34" i="5"/>
  <c r="BI34" i="5"/>
  <c r="BJ34" i="5"/>
  <c r="BK34" i="5"/>
  <c r="BL34" i="5"/>
  <c r="BM34" i="5"/>
  <c r="BN34" i="5"/>
  <c r="BO34" i="5"/>
  <c r="BP34" i="5"/>
  <c r="BQ34" i="5"/>
  <c r="BR34" i="5"/>
  <c r="BS34" i="5"/>
  <c r="BT34" i="5"/>
  <c r="BU34" i="5"/>
  <c r="BV34" i="5"/>
  <c r="BW34" i="5"/>
  <c r="BX34" i="5"/>
  <c r="BY34" i="5"/>
  <c r="BZ34" i="5"/>
  <c r="CA34" i="5"/>
  <c r="CB34" i="5"/>
  <c r="CC34" i="5"/>
  <c r="CD34" i="5"/>
  <c r="CE34" i="5"/>
  <c r="CF34" i="5"/>
  <c r="CG34" i="5"/>
  <c r="CH34" i="5"/>
  <c r="CI34" i="5"/>
  <c r="CJ34" i="5"/>
  <c r="CK34" i="5"/>
  <c r="CL34" i="5"/>
  <c r="CM34" i="5"/>
  <c r="CN34" i="5"/>
  <c r="CO34" i="5"/>
  <c r="CP34" i="5"/>
  <c r="CQ34" i="5"/>
  <c r="CR34" i="5"/>
  <c r="CS34" i="5"/>
  <c r="CT34" i="5"/>
  <c r="CU34" i="5"/>
  <c r="CV34" i="5"/>
  <c r="CW34" i="5"/>
  <c r="CX34" i="5"/>
  <c r="CY34" i="5"/>
  <c r="CZ34" i="5"/>
  <c r="DA34" i="5"/>
  <c r="DB34" i="5"/>
  <c r="DC34" i="5"/>
  <c r="DD34" i="5"/>
  <c r="DE34" i="5"/>
  <c r="DF34" i="5"/>
  <c r="DG34" i="5"/>
  <c r="DH34" i="5"/>
  <c r="DI34" i="5"/>
  <c r="DJ34" i="5"/>
  <c r="DK34" i="5"/>
  <c r="DL34" i="5"/>
  <c r="DM34" i="5"/>
  <c r="DN34" i="5"/>
  <c r="DO34" i="5"/>
  <c r="DP34" i="5"/>
  <c r="DQ34" i="5"/>
  <c r="DR34" i="5"/>
  <c r="DS34" i="5"/>
  <c r="DT34" i="5"/>
  <c r="DU34" i="5"/>
  <c r="DV34" i="5"/>
  <c r="DW34" i="5"/>
  <c r="DX34" i="5"/>
  <c r="DY34" i="5"/>
  <c r="DZ34" i="5"/>
  <c r="EA34" i="5"/>
  <c r="EB34" i="5"/>
  <c r="EC34" i="5"/>
  <c r="ED34" i="5"/>
  <c r="EE34" i="5"/>
  <c r="EF34" i="5"/>
  <c r="EG34" i="5"/>
  <c r="EH34" i="5"/>
  <c r="EI34" i="5"/>
  <c r="EJ34" i="5"/>
  <c r="EK34" i="5"/>
  <c r="EL34" i="5"/>
  <c r="EM34" i="5"/>
  <c r="EN34" i="5"/>
  <c r="EO34" i="5"/>
  <c r="EP34" i="5"/>
  <c r="EQ34" i="5"/>
  <c r="ER34" i="5"/>
  <c r="ES34" i="5"/>
  <c r="ET34" i="5"/>
  <c r="EU34" i="5"/>
  <c r="EV34" i="5"/>
  <c r="EW34" i="5"/>
  <c r="EX34" i="5"/>
  <c r="EY34" i="5"/>
  <c r="EZ34" i="5"/>
  <c r="FA34" i="5"/>
  <c r="FB34" i="5"/>
  <c r="FC34" i="5"/>
  <c r="FD34" i="5"/>
  <c r="FE34" i="5"/>
  <c r="FF34" i="5"/>
  <c r="FG34" i="5"/>
  <c r="FH34" i="5"/>
  <c r="FI34" i="5"/>
  <c r="FJ34" i="5"/>
  <c r="FK34" i="5"/>
  <c r="FL34" i="5"/>
  <c r="FM34" i="5"/>
  <c r="FN34" i="5"/>
  <c r="FO34" i="5"/>
  <c r="FP34" i="5"/>
  <c r="FQ34" i="5"/>
  <c r="FR34" i="5"/>
  <c r="FS34" i="5"/>
  <c r="FT34" i="5"/>
  <c r="FU34" i="5"/>
  <c r="FV34" i="5"/>
  <c r="FW34" i="5"/>
  <c r="FX34" i="5"/>
  <c r="FY34" i="5"/>
  <c r="FZ34" i="5"/>
  <c r="GA34" i="5"/>
  <c r="GB34" i="5"/>
  <c r="GC34" i="5"/>
  <c r="GD34" i="5"/>
  <c r="GE34" i="5"/>
  <c r="GF34" i="5"/>
  <c r="GG34" i="5"/>
  <c r="GH34" i="5"/>
  <c r="GI34" i="5"/>
  <c r="GJ34" i="5"/>
  <c r="GK34" i="5"/>
  <c r="GL34" i="5"/>
  <c r="GM34" i="5"/>
  <c r="GN34" i="5"/>
  <c r="GO34" i="5"/>
  <c r="GP34" i="5"/>
  <c r="GQ34" i="5"/>
  <c r="GR34" i="5"/>
  <c r="GS34" i="5"/>
  <c r="GT34" i="5"/>
  <c r="GU34" i="5"/>
  <c r="GV34" i="5"/>
  <c r="GW34" i="5"/>
  <c r="GX34" i="5"/>
  <c r="GY34" i="5"/>
  <c r="GZ34" i="5"/>
  <c r="HA34" i="5"/>
  <c r="HB34" i="5"/>
  <c r="HC34" i="5"/>
  <c r="HD34" i="5"/>
  <c r="HE34" i="5"/>
  <c r="HF34" i="5"/>
  <c r="HG34" i="5"/>
  <c r="A35" i="5"/>
  <c r="B35" i="5"/>
  <c r="C35" i="5"/>
  <c r="D35" i="5"/>
  <c r="E35" i="5"/>
  <c r="F35" i="5"/>
  <c r="G35" i="5"/>
  <c r="H35" i="5"/>
  <c r="I35" i="5"/>
  <c r="J35" i="5"/>
  <c r="K35" i="5"/>
  <c r="L35" i="5"/>
  <c r="M35" i="5"/>
  <c r="N35" i="5"/>
  <c r="O35" i="5"/>
  <c r="P35" i="5"/>
  <c r="Q35" i="5"/>
  <c r="R35" i="5"/>
  <c r="S35" i="5"/>
  <c r="T35" i="5"/>
  <c r="U35" i="5"/>
  <c r="V35" i="5"/>
  <c r="W35" i="5"/>
  <c r="X35" i="5"/>
  <c r="Y35" i="5"/>
  <c r="Z35" i="5"/>
  <c r="AA35" i="5"/>
  <c r="AB35" i="5"/>
  <c r="AC35" i="5"/>
  <c r="AD35" i="5"/>
  <c r="AE35" i="5"/>
  <c r="AF35" i="5"/>
  <c r="AG35" i="5"/>
  <c r="AH35" i="5"/>
  <c r="AI35" i="5"/>
  <c r="AJ35" i="5"/>
  <c r="AK35" i="5"/>
  <c r="AL35" i="5"/>
  <c r="AM35" i="5"/>
  <c r="AN35" i="5"/>
  <c r="AO35" i="5"/>
  <c r="AP35" i="5"/>
  <c r="AQ35" i="5"/>
  <c r="AR35" i="5"/>
  <c r="AS35" i="5"/>
  <c r="AT35" i="5"/>
  <c r="AU35" i="5"/>
  <c r="AV35" i="5"/>
  <c r="AW35" i="5"/>
  <c r="AX35" i="5"/>
  <c r="AY35" i="5"/>
  <c r="AZ35" i="5"/>
  <c r="BA35" i="5"/>
  <c r="BB35" i="5"/>
  <c r="BC35" i="5"/>
  <c r="BD35" i="5"/>
  <c r="BE35" i="5"/>
  <c r="BF35" i="5"/>
  <c r="BG35" i="5"/>
  <c r="BH35" i="5"/>
  <c r="BI35" i="5"/>
  <c r="BJ35" i="5"/>
  <c r="BK35" i="5"/>
  <c r="BL35" i="5"/>
  <c r="BM35" i="5"/>
  <c r="BN35" i="5"/>
  <c r="BO35" i="5"/>
  <c r="BP35" i="5"/>
  <c r="BQ35" i="5"/>
  <c r="BR35" i="5"/>
  <c r="BS35" i="5"/>
  <c r="BT35" i="5"/>
  <c r="BU35" i="5"/>
  <c r="BV35" i="5"/>
  <c r="BW35" i="5"/>
  <c r="BX35" i="5"/>
  <c r="BY35" i="5"/>
  <c r="BZ35" i="5"/>
  <c r="CA35" i="5"/>
  <c r="CB35" i="5"/>
  <c r="CC35" i="5"/>
  <c r="CD35" i="5"/>
  <c r="CE35" i="5"/>
  <c r="CF35" i="5"/>
  <c r="CG35" i="5"/>
  <c r="CH35" i="5"/>
  <c r="CI35" i="5"/>
  <c r="CJ35" i="5"/>
  <c r="CK35" i="5"/>
  <c r="CL35" i="5"/>
  <c r="CM35" i="5"/>
  <c r="CN35" i="5"/>
  <c r="CO35" i="5"/>
  <c r="CP35" i="5"/>
  <c r="CQ35" i="5"/>
  <c r="CR35" i="5"/>
  <c r="CS35" i="5"/>
  <c r="CT35" i="5"/>
  <c r="CU35" i="5"/>
  <c r="CV35" i="5"/>
  <c r="CW35" i="5"/>
  <c r="CX35" i="5"/>
  <c r="CY35" i="5"/>
  <c r="CZ35" i="5"/>
  <c r="DA35" i="5"/>
  <c r="DB35" i="5"/>
  <c r="DC35" i="5"/>
  <c r="DD35" i="5"/>
  <c r="DE35" i="5"/>
  <c r="DF35" i="5"/>
  <c r="DG35" i="5"/>
  <c r="DH35" i="5"/>
  <c r="DI35" i="5"/>
  <c r="DJ35" i="5"/>
  <c r="DK35" i="5"/>
  <c r="DL35" i="5"/>
  <c r="DM35" i="5"/>
  <c r="DN35" i="5"/>
  <c r="DO35" i="5"/>
  <c r="DP35" i="5"/>
  <c r="DQ35" i="5"/>
  <c r="DR35" i="5"/>
  <c r="DS35" i="5"/>
  <c r="DT35" i="5"/>
  <c r="DU35" i="5"/>
  <c r="DV35" i="5"/>
  <c r="DW35" i="5"/>
  <c r="DX35" i="5"/>
  <c r="DY35" i="5"/>
  <c r="DZ35" i="5"/>
  <c r="EA35" i="5"/>
  <c r="EB35" i="5"/>
  <c r="EC35" i="5"/>
  <c r="ED35" i="5"/>
  <c r="EE35" i="5"/>
  <c r="EF35" i="5"/>
  <c r="EG35" i="5"/>
  <c r="EH35" i="5"/>
  <c r="EI35" i="5"/>
  <c r="EJ35" i="5"/>
  <c r="EK35" i="5"/>
  <c r="EL35" i="5"/>
  <c r="EM35" i="5"/>
  <c r="EN35" i="5"/>
  <c r="EO35" i="5"/>
  <c r="EP35" i="5"/>
  <c r="EQ35" i="5"/>
  <c r="ER35" i="5"/>
  <c r="ES35" i="5"/>
  <c r="ET35" i="5"/>
  <c r="EU35" i="5"/>
  <c r="EV35" i="5"/>
  <c r="EW35" i="5"/>
  <c r="EX35" i="5"/>
  <c r="EY35" i="5"/>
  <c r="EZ35" i="5"/>
  <c r="FA35" i="5"/>
  <c r="FB35" i="5"/>
  <c r="FC35" i="5"/>
  <c r="FD35" i="5"/>
  <c r="FE35" i="5"/>
  <c r="FF35" i="5"/>
  <c r="FG35" i="5"/>
  <c r="FH35" i="5"/>
  <c r="FI35" i="5"/>
  <c r="FJ35" i="5"/>
  <c r="FK35" i="5"/>
  <c r="FL35" i="5"/>
  <c r="FM35" i="5"/>
  <c r="FN35" i="5"/>
  <c r="FO35" i="5"/>
  <c r="FP35" i="5"/>
  <c r="FQ35" i="5"/>
  <c r="FR35" i="5"/>
  <c r="FS35" i="5"/>
  <c r="FT35" i="5"/>
  <c r="FU35" i="5"/>
  <c r="FV35" i="5"/>
  <c r="FW35" i="5"/>
  <c r="FX35" i="5"/>
  <c r="FY35" i="5"/>
  <c r="FZ35" i="5"/>
  <c r="GA35" i="5"/>
  <c r="GB35" i="5"/>
  <c r="GC35" i="5"/>
  <c r="GD35" i="5"/>
  <c r="GE35" i="5"/>
  <c r="GF35" i="5"/>
  <c r="GG35" i="5"/>
  <c r="GH35" i="5"/>
  <c r="GI35" i="5"/>
  <c r="GJ35" i="5"/>
  <c r="GK35" i="5"/>
  <c r="GL35" i="5"/>
  <c r="GM35" i="5"/>
  <c r="GN35" i="5"/>
  <c r="GO35" i="5"/>
  <c r="GP35" i="5"/>
  <c r="GQ35" i="5"/>
  <c r="GR35" i="5"/>
  <c r="GS35" i="5"/>
  <c r="GT35" i="5"/>
  <c r="GU35" i="5"/>
  <c r="GV35" i="5"/>
  <c r="GW35" i="5"/>
  <c r="GX35" i="5"/>
  <c r="GY35" i="5"/>
  <c r="GZ35" i="5"/>
  <c r="HA35" i="5"/>
  <c r="HB35" i="5"/>
  <c r="HC35" i="5"/>
  <c r="HD35" i="5"/>
  <c r="HE35" i="5"/>
  <c r="HF35" i="5"/>
  <c r="HG35" i="5"/>
  <c r="A36" i="5"/>
  <c r="B36" i="5"/>
  <c r="C36" i="5"/>
  <c r="D36" i="5"/>
  <c r="E36" i="5"/>
  <c r="F36" i="5"/>
  <c r="G36" i="5"/>
  <c r="H36" i="5"/>
  <c r="I36" i="5"/>
  <c r="J36" i="5"/>
  <c r="K36" i="5"/>
  <c r="L36" i="5"/>
  <c r="M36" i="5"/>
  <c r="N36" i="5"/>
  <c r="O36" i="5"/>
  <c r="P36" i="5"/>
  <c r="Q36" i="5"/>
  <c r="R36" i="5"/>
  <c r="S36" i="5"/>
  <c r="T36" i="5"/>
  <c r="U36" i="5"/>
  <c r="V36" i="5"/>
  <c r="W36" i="5"/>
  <c r="X36" i="5"/>
  <c r="Y36" i="5"/>
  <c r="Z36" i="5"/>
  <c r="AA36" i="5"/>
  <c r="AB36" i="5"/>
  <c r="AC36" i="5"/>
  <c r="AD36" i="5"/>
  <c r="AE36" i="5"/>
  <c r="AF36" i="5"/>
  <c r="AG36" i="5"/>
  <c r="AH36" i="5"/>
  <c r="AI36" i="5"/>
  <c r="AJ36" i="5"/>
  <c r="AK36" i="5"/>
  <c r="AL36" i="5"/>
  <c r="AM36" i="5"/>
  <c r="AN36" i="5"/>
  <c r="AO36" i="5"/>
  <c r="AP36" i="5"/>
  <c r="AQ36" i="5"/>
  <c r="AR36" i="5"/>
  <c r="AS36" i="5"/>
  <c r="AT36" i="5"/>
  <c r="AU36" i="5"/>
  <c r="AV36" i="5"/>
  <c r="AW36" i="5"/>
  <c r="AX36" i="5"/>
  <c r="AY36" i="5"/>
  <c r="AZ36" i="5"/>
  <c r="BA36" i="5"/>
  <c r="BB36" i="5"/>
  <c r="BC36" i="5"/>
  <c r="BD36" i="5"/>
  <c r="BE36" i="5"/>
  <c r="BF36" i="5"/>
  <c r="BG36" i="5"/>
  <c r="BH36" i="5"/>
  <c r="BI36" i="5"/>
  <c r="BJ36" i="5"/>
  <c r="BK36" i="5"/>
  <c r="BL36" i="5"/>
  <c r="BM36" i="5"/>
  <c r="BN36" i="5"/>
  <c r="BO36" i="5"/>
  <c r="BP36" i="5"/>
  <c r="BQ36" i="5"/>
  <c r="BR36" i="5"/>
  <c r="BS36" i="5"/>
  <c r="BT36" i="5"/>
  <c r="BU36" i="5"/>
  <c r="BV36" i="5"/>
  <c r="BW36" i="5"/>
  <c r="BX36" i="5"/>
  <c r="BY36" i="5"/>
  <c r="BZ36" i="5"/>
  <c r="CA36" i="5"/>
  <c r="CB36" i="5"/>
  <c r="CC36" i="5"/>
  <c r="CD36" i="5"/>
  <c r="CE36" i="5"/>
  <c r="CF36" i="5"/>
  <c r="CG36" i="5"/>
  <c r="CH36" i="5"/>
  <c r="CI36" i="5"/>
  <c r="CJ36" i="5"/>
  <c r="CK36" i="5"/>
  <c r="CL36" i="5"/>
  <c r="CM36" i="5"/>
  <c r="CN36" i="5"/>
  <c r="CO36" i="5"/>
  <c r="CP36" i="5"/>
  <c r="CQ36" i="5"/>
  <c r="CR36" i="5"/>
  <c r="CS36" i="5"/>
  <c r="CT36" i="5"/>
  <c r="CU36" i="5"/>
  <c r="CV36" i="5"/>
  <c r="CW36" i="5"/>
  <c r="CX36" i="5"/>
  <c r="CY36" i="5"/>
  <c r="CZ36" i="5"/>
  <c r="DA36" i="5"/>
  <c r="DB36" i="5"/>
  <c r="DC36" i="5"/>
  <c r="DD36" i="5"/>
  <c r="DE36" i="5"/>
  <c r="DF36" i="5"/>
  <c r="DG36" i="5"/>
  <c r="DH36" i="5"/>
  <c r="DI36" i="5"/>
  <c r="DJ36" i="5"/>
  <c r="DK36" i="5"/>
  <c r="DL36" i="5"/>
  <c r="DM36" i="5"/>
  <c r="DN36" i="5"/>
  <c r="DO36" i="5"/>
  <c r="DP36" i="5"/>
  <c r="DQ36" i="5"/>
  <c r="DR36" i="5"/>
  <c r="DS36" i="5"/>
  <c r="DT36" i="5"/>
  <c r="DU36" i="5"/>
  <c r="DV36" i="5"/>
  <c r="DW36" i="5"/>
  <c r="DX36" i="5"/>
  <c r="DY36" i="5"/>
  <c r="DZ36" i="5"/>
  <c r="EA36" i="5"/>
  <c r="EB36" i="5"/>
  <c r="EC36" i="5"/>
  <c r="ED36" i="5"/>
  <c r="EE36" i="5"/>
  <c r="EF36" i="5"/>
  <c r="EG36" i="5"/>
  <c r="EH36" i="5"/>
  <c r="EI36" i="5"/>
  <c r="EJ36" i="5"/>
  <c r="EK36" i="5"/>
  <c r="EL36" i="5"/>
  <c r="EM36" i="5"/>
  <c r="EN36" i="5"/>
  <c r="EO36" i="5"/>
  <c r="EP36" i="5"/>
  <c r="EQ36" i="5"/>
  <c r="ER36" i="5"/>
  <c r="ES36" i="5"/>
  <c r="ET36" i="5"/>
  <c r="EU36" i="5"/>
  <c r="EV36" i="5"/>
  <c r="EW36" i="5"/>
  <c r="EX36" i="5"/>
  <c r="EY36" i="5"/>
  <c r="EZ36" i="5"/>
  <c r="FA36" i="5"/>
  <c r="FB36" i="5"/>
  <c r="FC36" i="5"/>
  <c r="FD36" i="5"/>
  <c r="FE36" i="5"/>
  <c r="FF36" i="5"/>
  <c r="FG36" i="5"/>
  <c r="FH36" i="5"/>
  <c r="FI36" i="5"/>
  <c r="FJ36" i="5"/>
  <c r="FK36" i="5"/>
  <c r="FL36" i="5"/>
  <c r="FM36" i="5"/>
  <c r="FN36" i="5"/>
  <c r="FO36" i="5"/>
  <c r="FP36" i="5"/>
  <c r="FQ36" i="5"/>
  <c r="FR36" i="5"/>
  <c r="FS36" i="5"/>
  <c r="FT36" i="5"/>
  <c r="FU36" i="5"/>
  <c r="FV36" i="5"/>
  <c r="FW36" i="5"/>
  <c r="FX36" i="5"/>
  <c r="FY36" i="5"/>
  <c r="FZ36" i="5"/>
  <c r="GA36" i="5"/>
  <c r="GB36" i="5"/>
  <c r="GC36" i="5"/>
  <c r="GD36" i="5"/>
  <c r="GE36" i="5"/>
  <c r="GF36" i="5"/>
  <c r="GG36" i="5"/>
  <c r="GH36" i="5"/>
  <c r="GI36" i="5"/>
  <c r="GJ36" i="5"/>
  <c r="GK36" i="5"/>
  <c r="GL36" i="5"/>
  <c r="GM36" i="5"/>
  <c r="GN36" i="5"/>
  <c r="GO36" i="5"/>
  <c r="GP36" i="5"/>
  <c r="GQ36" i="5"/>
  <c r="GR36" i="5"/>
  <c r="GS36" i="5"/>
  <c r="GT36" i="5"/>
  <c r="GU36" i="5"/>
  <c r="GV36" i="5"/>
  <c r="GW36" i="5"/>
  <c r="GX36" i="5"/>
  <c r="GY36" i="5"/>
  <c r="GZ36" i="5"/>
  <c r="HA36" i="5"/>
  <c r="HB36" i="5"/>
  <c r="HC36" i="5"/>
  <c r="HD36" i="5"/>
  <c r="HE36" i="5"/>
  <c r="HF36" i="5"/>
  <c r="HG36" i="5"/>
  <c r="A37" i="5"/>
  <c r="B37" i="5"/>
  <c r="C37" i="5"/>
  <c r="D37" i="5"/>
  <c r="E37" i="5"/>
  <c r="F37" i="5"/>
  <c r="G37" i="5"/>
  <c r="H37" i="5"/>
  <c r="I37" i="5"/>
  <c r="J37" i="5"/>
  <c r="K37" i="5"/>
  <c r="L37" i="5"/>
  <c r="M37" i="5"/>
  <c r="N37" i="5"/>
  <c r="O37" i="5"/>
  <c r="P37" i="5"/>
  <c r="Q37" i="5"/>
  <c r="R37" i="5"/>
  <c r="S37" i="5"/>
  <c r="T37" i="5"/>
  <c r="U37" i="5"/>
  <c r="V37" i="5"/>
  <c r="W37" i="5"/>
  <c r="X37" i="5"/>
  <c r="Y37" i="5"/>
  <c r="Z37" i="5"/>
  <c r="AA37" i="5"/>
  <c r="AB37" i="5"/>
  <c r="AC37" i="5"/>
  <c r="AD37" i="5"/>
  <c r="AE37" i="5"/>
  <c r="AF37" i="5"/>
  <c r="AG37" i="5"/>
  <c r="AH37" i="5"/>
  <c r="AI37" i="5"/>
  <c r="AJ37" i="5"/>
  <c r="AK37" i="5"/>
  <c r="AL37" i="5"/>
  <c r="AM37" i="5"/>
  <c r="AN37" i="5"/>
  <c r="AO37" i="5"/>
  <c r="AP37" i="5"/>
  <c r="AQ37" i="5"/>
  <c r="AR37" i="5"/>
  <c r="AS37" i="5"/>
  <c r="AT37" i="5"/>
  <c r="AU37" i="5"/>
  <c r="AV37" i="5"/>
  <c r="AW37" i="5"/>
  <c r="AX37" i="5"/>
  <c r="AY37" i="5"/>
  <c r="AZ37" i="5"/>
  <c r="BA37" i="5"/>
  <c r="BB37" i="5"/>
  <c r="BC37" i="5"/>
  <c r="BD37" i="5"/>
  <c r="BE37" i="5"/>
  <c r="BF37" i="5"/>
  <c r="BG37" i="5"/>
  <c r="BH37" i="5"/>
  <c r="BI37" i="5"/>
  <c r="BJ37" i="5"/>
  <c r="BK37" i="5"/>
  <c r="BL37" i="5"/>
  <c r="BM37" i="5"/>
  <c r="BN37" i="5"/>
  <c r="BO37" i="5"/>
  <c r="BP37" i="5"/>
  <c r="BQ37" i="5"/>
  <c r="BR37" i="5"/>
  <c r="BS37" i="5"/>
  <c r="BT37" i="5"/>
  <c r="BU37" i="5"/>
  <c r="BV37" i="5"/>
  <c r="BW37" i="5"/>
  <c r="BX37" i="5"/>
  <c r="BY37" i="5"/>
  <c r="BZ37" i="5"/>
  <c r="CA37" i="5"/>
  <c r="CB37" i="5"/>
  <c r="CC37" i="5"/>
  <c r="CD37" i="5"/>
  <c r="CE37" i="5"/>
  <c r="CF37" i="5"/>
  <c r="CG37" i="5"/>
  <c r="CH37" i="5"/>
  <c r="CI37" i="5"/>
  <c r="CJ37" i="5"/>
  <c r="CK37" i="5"/>
  <c r="CL37" i="5"/>
  <c r="CM37" i="5"/>
  <c r="CN37" i="5"/>
  <c r="CO37" i="5"/>
  <c r="CP37" i="5"/>
  <c r="CQ37" i="5"/>
  <c r="CR37" i="5"/>
  <c r="CS37" i="5"/>
  <c r="CT37" i="5"/>
  <c r="CU37" i="5"/>
  <c r="CV37" i="5"/>
  <c r="CW37" i="5"/>
  <c r="CX37" i="5"/>
  <c r="CY37" i="5"/>
  <c r="CZ37" i="5"/>
  <c r="DA37" i="5"/>
  <c r="DB37" i="5"/>
  <c r="DC37" i="5"/>
  <c r="DD37" i="5"/>
  <c r="DE37" i="5"/>
  <c r="DF37" i="5"/>
  <c r="DG37" i="5"/>
  <c r="DH37" i="5"/>
  <c r="DI37" i="5"/>
  <c r="DJ37" i="5"/>
  <c r="DK37" i="5"/>
  <c r="DL37" i="5"/>
  <c r="DM37" i="5"/>
  <c r="DN37" i="5"/>
  <c r="DO37" i="5"/>
  <c r="DP37" i="5"/>
  <c r="DQ37" i="5"/>
  <c r="DR37" i="5"/>
  <c r="DS37" i="5"/>
  <c r="DT37" i="5"/>
  <c r="DU37" i="5"/>
  <c r="DV37" i="5"/>
  <c r="DW37" i="5"/>
  <c r="DX37" i="5"/>
  <c r="DY37" i="5"/>
  <c r="DZ37" i="5"/>
  <c r="EA37" i="5"/>
  <c r="EB37" i="5"/>
  <c r="EC37" i="5"/>
  <c r="ED37" i="5"/>
  <c r="EE37" i="5"/>
  <c r="EF37" i="5"/>
  <c r="EG37" i="5"/>
  <c r="EH37" i="5"/>
  <c r="EI37" i="5"/>
  <c r="EJ37" i="5"/>
  <c r="EK37" i="5"/>
  <c r="EL37" i="5"/>
  <c r="EM37" i="5"/>
  <c r="EN37" i="5"/>
  <c r="EO37" i="5"/>
  <c r="EP37" i="5"/>
  <c r="EQ37" i="5"/>
  <c r="ER37" i="5"/>
  <c r="ES37" i="5"/>
  <c r="ET37" i="5"/>
  <c r="EU37" i="5"/>
  <c r="EV37" i="5"/>
  <c r="EW37" i="5"/>
  <c r="EX37" i="5"/>
  <c r="EY37" i="5"/>
  <c r="EZ37" i="5"/>
  <c r="FA37" i="5"/>
  <c r="FB37" i="5"/>
  <c r="FC37" i="5"/>
  <c r="FD37" i="5"/>
  <c r="FE37" i="5"/>
  <c r="FF37" i="5"/>
  <c r="FG37" i="5"/>
  <c r="FH37" i="5"/>
  <c r="FI37" i="5"/>
  <c r="FJ37" i="5"/>
  <c r="FK37" i="5"/>
  <c r="FL37" i="5"/>
  <c r="FM37" i="5"/>
  <c r="FN37" i="5"/>
  <c r="FO37" i="5"/>
  <c r="FP37" i="5"/>
  <c r="FQ37" i="5"/>
  <c r="FR37" i="5"/>
  <c r="FS37" i="5"/>
  <c r="FT37" i="5"/>
  <c r="FU37" i="5"/>
  <c r="FV37" i="5"/>
  <c r="FW37" i="5"/>
  <c r="FX37" i="5"/>
  <c r="FY37" i="5"/>
  <c r="FZ37" i="5"/>
  <c r="GA37" i="5"/>
  <c r="GB37" i="5"/>
  <c r="GC37" i="5"/>
  <c r="GD37" i="5"/>
  <c r="GE37" i="5"/>
  <c r="GF37" i="5"/>
  <c r="GG37" i="5"/>
  <c r="GH37" i="5"/>
  <c r="GI37" i="5"/>
  <c r="GJ37" i="5"/>
  <c r="GK37" i="5"/>
  <c r="GL37" i="5"/>
  <c r="GM37" i="5"/>
  <c r="GN37" i="5"/>
  <c r="GO37" i="5"/>
  <c r="GP37" i="5"/>
  <c r="GQ37" i="5"/>
  <c r="GR37" i="5"/>
  <c r="GS37" i="5"/>
  <c r="GT37" i="5"/>
  <c r="GU37" i="5"/>
  <c r="GV37" i="5"/>
  <c r="GW37" i="5"/>
  <c r="GX37" i="5"/>
  <c r="GY37" i="5"/>
  <c r="GZ37" i="5"/>
  <c r="HA37" i="5"/>
  <c r="HB37" i="5"/>
  <c r="HC37" i="5"/>
  <c r="HD37" i="5"/>
  <c r="HE37" i="5"/>
  <c r="HF37" i="5"/>
  <c r="HG37" i="5"/>
  <c r="A38" i="5"/>
  <c r="B38" i="5"/>
  <c r="C38" i="5"/>
  <c r="D38" i="5"/>
  <c r="E38" i="5"/>
  <c r="F38" i="5"/>
  <c r="G38" i="5"/>
  <c r="H38" i="5"/>
  <c r="I38" i="5"/>
  <c r="J38" i="5"/>
  <c r="K38" i="5"/>
  <c r="L38" i="5"/>
  <c r="M38" i="5"/>
  <c r="N38" i="5"/>
  <c r="O38" i="5"/>
  <c r="P38" i="5"/>
  <c r="Q38" i="5"/>
  <c r="R38" i="5"/>
  <c r="S38" i="5"/>
  <c r="T38" i="5"/>
  <c r="U38" i="5"/>
  <c r="V38" i="5"/>
  <c r="W38" i="5"/>
  <c r="X38" i="5"/>
  <c r="Y38" i="5"/>
  <c r="Z38" i="5"/>
  <c r="AA38" i="5"/>
  <c r="AB38" i="5"/>
  <c r="AC38" i="5"/>
  <c r="AD38" i="5"/>
  <c r="AE38" i="5"/>
  <c r="AF38" i="5"/>
  <c r="AG38" i="5"/>
  <c r="AH38" i="5"/>
  <c r="AI38" i="5"/>
  <c r="AJ38" i="5"/>
  <c r="AK38" i="5"/>
  <c r="AL38" i="5"/>
  <c r="AM38" i="5"/>
  <c r="AN38" i="5"/>
  <c r="AO38" i="5"/>
  <c r="AP38" i="5"/>
  <c r="AQ38" i="5"/>
  <c r="AR38" i="5"/>
  <c r="AS38" i="5"/>
  <c r="AT38" i="5"/>
  <c r="AU38" i="5"/>
  <c r="AV38" i="5"/>
  <c r="AW38" i="5"/>
  <c r="AX38" i="5"/>
  <c r="AY38" i="5"/>
  <c r="AZ38" i="5"/>
  <c r="BA38" i="5"/>
  <c r="BB38" i="5"/>
  <c r="BC38" i="5"/>
  <c r="BD38" i="5"/>
  <c r="BE38" i="5"/>
  <c r="BF38" i="5"/>
  <c r="BG38" i="5"/>
  <c r="BH38" i="5"/>
  <c r="BI38" i="5"/>
  <c r="BJ38" i="5"/>
  <c r="BK38" i="5"/>
  <c r="BL38" i="5"/>
  <c r="BM38" i="5"/>
  <c r="BN38" i="5"/>
  <c r="BO38" i="5"/>
  <c r="BP38" i="5"/>
  <c r="BQ38" i="5"/>
  <c r="BR38" i="5"/>
  <c r="BS38" i="5"/>
  <c r="BT38" i="5"/>
  <c r="BU38" i="5"/>
  <c r="BV38" i="5"/>
  <c r="BW38" i="5"/>
  <c r="BX38" i="5"/>
  <c r="BY38" i="5"/>
  <c r="BZ38" i="5"/>
  <c r="CA38" i="5"/>
  <c r="CB38" i="5"/>
  <c r="CC38" i="5"/>
  <c r="CD38" i="5"/>
  <c r="CE38" i="5"/>
  <c r="CF38" i="5"/>
  <c r="CG38" i="5"/>
  <c r="CH38" i="5"/>
  <c r="CI38" i="5"/>
  <c r="CJ38" i="5"/>
  <c r="CK38" i="5"/>
  <c r="CL38" i="5"/>
  <c r="CM38" i="5"/>
  <c r="CN38" i="5"/>
  <c r="CO38" i="5"/>
  <c r="CP38" i="5"/>
  <c r="CQ38" i="5"/>
  <c r="CR38" i="5"/>
  <c r="CS38" i="5"/>
  <c r="CT38" i="5"/>
  <c r="CU38" i="5"/>
  <c r="CV38" i="5"/>
  <c r="CW38" i="5"/>
  <c r="CX38" i="5"/>
  <c r="CY38" i="5"/>
  <c r="CZ38" i="5"/>
  <c r="DA38" i="5"/>
  <c r="DB38" i="5"/>
  <c r="DC38" i="5"/>
  <c r="DD38" i="5"/>
  <c r="DE38" i="5"/>
  <c r="DF38" i="5"/>
  <c r="DG38" i="5"/>
  <c r="DH38" i="5"/>
  <c r="DI38" i="5"/>
  <c r="DJ38" i="5"/>
  <c r="DK38" i="5"/>
  <c r="DL38" i="5"/>
  <c r="DM38" i="5"/>
  <c r="DN38" i="5"/>
  <c r="DO38" i="5"/>
  <c r="DP38" i="5"/>
  <c r="DQ38" i="5"/>
  <c r="DR38" i="5"/>
  <c r="DS38" i="5"/>
  <c r="DT38" i="5"/>
  <c r="DU38" i="5"/>
  <c r="DV38" i="5"/>
  <c r="DW38" i="5"/>
  <c r="DX38" i="5"/>
  <c r="DY38" i="5"/>
  <c r="DZ38" i="5"/>
  <c r="EA38" i="5"/>
  <c r="EB38" i="5"/>
  <c r="EC38" i="5"/>
  <c r="ED38" i="5"/>
  <c r="EE38" i="5"/>
  <c r="EF38" i="5"/>
  <c r="EG38" i="5"/>
  <c r="EH38" i="5"/>
  <c r="EI38" i="5"/>
  <c r="EJ38" i="5"/>
  <c r="EK38" i="5"/>
  <c r="EL38" i="5"/>
  <c r="EM38" i="5"/>
  <c r="EN38" i="5"/>
  <c r="EO38" i="5"/>
  <c r="EP38" i="5"/>
  <c r="EQ38" i="5"/>
  <c r="ER38" i="5"/>
  <c r="ES38" i="5"/>
  <c r="ET38" i="5"/>
  <c r="EU38" i="5"/>
  <c r="EV38" i="5"/>
  <c r="EW38" i="5"/>
  <c r="EX38" i="5"/>
  <c r="EY38" i="5"/>
  <c r="EZ38" i="5"/>
  <c r="FA38" i="5"/>
  <c r="FB38" i="5"/>
  <c r="FC38" i="5"/>
  <c r="FD38" i="5"/>
  <c r="FE38" i="5"/>
  <c r="FF38" i="5"/>
  <c r="FG38" i="5"/>
  <c r="FH38" i="5"/>
  <c r="FI38" i="5"/>
  <c r="FJ38" i="5"/>
  <c r="FK38" i="5"/>
  <c r="FL38" i="5"/>
  <c r="FM38" i="5"/>
  <c r="FN38" i="5"/>
  <c r="FO38" i="5"/>
  <c r="FP38" i="5"/>
  <c r="FQ38" i="5"/>
  <c r="FR38" i="5"/>
  <c r="FS38" i="5"/>
  <c r="FT38" i="5"/>
  <c r="FU38" i="5"/>
  <c r="FV38" i="5"/>
  <c r="FW38" i="5"/>
  <c r="FX38" i="5"/>
  <c r="FY38" i="5"/>
  <c r="FZ38" i="5"/>
  <c r="GA38" i="5"/>
  <c r="GB38" i="5"/>
  <c r="GC38" i="5"/>
  <c r="GD38" i="5"/>
  <c r="GE38" i="5"/>
  <c r="GF38" i="5"/>
  <c r="GG38" i="5"/>
  <c r="GH38" i="5"/>
  <c r="GI38" i="5"/>
  <c r="GJ38" i="5"/>
  <c r="GK38" i="5"/>
  <c r="GL38" i="5"/>
  <c r="GM38" i="5"/>
  <c r="GN38" i="5"/>
  <c r="GO38" i="5"/>
  <c r="GP38" i="5"/>
  <c r="GQ38" i="5"/>
  <c r="GR38" i="5"/>
  <c r="GS38" i="5"/>
  <c r="GT38" i="5"/>
  <c r="GU38" i="5"/>
  <c r="GV38" i="5"/>
  <c r="GW38" i="5"/>
  <c r="GX38" i="5"/>
  <c r="GY38" i="5"/>
  <c r="GZ38" i="5"/>
  <c r="HA38" i="5"/>
  <c r="HB38" i="5"/>
  <c r="HC38" i="5"/>
  <c r="HD38" i="5"/>
  <c r="HE38" i="5"/>
  <c r="HF38" i="5"/>
  <c r="HG38" i="5"/>
  <c r="A39" i="5"/>
  <c r="B39" i="5"/>
  <c r="C39" i="5"/>
  <c r="D39" i="5"/>
  <c r="E39" i="5"/>
  <c r="F39" i="5"/>
  <c r="G39" i="5"/>
  <c r="H39" i="5"/>
  <c r="I39" i="5"/>
  <c r="J39" i="5"/>
  <c r="K39" i="5"/>
  <c r="L39" i="5"/>
  <c r="M39" i="5"/>
  <c r="N39" i="5"/>
  <c r="O39" i="5"/>
  <c r="P39" i="5"/>
  <c r="Q39" i="5"/>
  <c r="R39" i="5"/>
  <c r="S39" i="5"/>
  <c r="T39" i="5"/>
  <c r="U39" i="5"/>
  <c r="V39" i="5"/>
  <c r="W39" i="5"/>
  <c r="X39" i="5"/>
  <c r="Y39" i="5"/>
  <c r="Z39" i="5"/>
  <c r="AA39" i="5"/>
  <c r="AB39" i="5"/>
  <c r="AC39" i="5"/>
  <c r="AD39" i="5"/>
  <c r="AE39" i="5"/>
  <c r="AF39" i="5"/>
  <c r="AG39" i="5"/>
  <c r="AH39" i="5"/>
  <c r="AI39" i="5"/>
  <c r="AJ39" i="5"/>
  <c r="AK39" i="5"/>
  <c r="AL39" i="5"/>
  <c r="AM39" i="5"/>
  <c r="AN39" i="5"/>
  <c r="AO39" i="5"/>
  <c r="AP39" i="5"/>
  <c r="AQ39" i="5"/>
  <c r="AR39" i="5"/>
  <c r="AS39" i="5"/>
  <c r="AT39" i="5"/>
  <c r="AU39" i="5"/>
  <c r="AV39" i="5"/>
  <c r="AW39" i="5"/>
  <c r="AX39" i="5"/>
  <c r="AY39" i="5"/>
  <c r="AZ39" i="5"/>
  <c r="BA39" i="5"/>
  <c r="BB39" i="5"/>
  <c r="BC39" i="5"/>
  <c r="BD39" i="5"/>
  <c r="BE39" i="5"/>
  <c r="BF39" i="5"/>
  <c r="BG39" i="5"/>
  <c r="BH39" i="5"/>
  <c r="BI39" i="5"/>
  <c r="BJ39" i="5"/>
  <c r="BK39" i="5"/>
  <c r="BL39" i="5"/>
  <c r="BM39" i="5"/>
  <c r="BN39" i="5"/>
  <c r="BO39" i="5"/>
  <c r="BP39" i="5"/>
  <c r="BQ39" i="5"/>
  <c r="BR39" i="5"/>
  <c r="BS39" i="5"/>
  <c r="BT39" i="5"/>
  <c r="BU39" i="5"/>
  <c r="BV39" i="5"/>
  <c r="BW39" i="5"/>
  <c r="BX39" i="5"/>
  <c r="BY39" i="5"/>
  <c r="BZ39" i="5"/>
  <c r="CA39" i="5"/>
  <c r="CB39" i="5"/>
  <c r="CC39" i="5"/>
  <c r="CD39" i="5"/>
  <c r="CE39" i="5"/>
  <c r="CF39" i="5"/>
  <c r="CG39" i="5"/>
  <c r="CH39" i="5"/>
  <c r="CI39" i="5"/>
  <c r="CJ39" i="5"/>
  <c r="CK39" i="5"/>
  <c r="CL39" i="5"/>
  <c r="CM39" i="5"/>
  <c r="CN39" i="5"/>
  <c r="CO39" i="5"/>
  <c r="CP39" i="5"/>
  <c r="CQ39" i="5"/>
  <c r="CR39" i="5"/>
  <c r="CS39" i="5"/>
  <c r="CT39" i="5"/>
  <c r="CU39" i="5"/>
  <c r="CV39" i="5"/>
  <c r="CW39" i="5"/>
  <c r="CX39" i="5"/>
  <c r="CY39" i="5"/>
  <c r="CZ39" i="5"/>
  <c r="DA39" i="5"/>
  <c r="DB39" i="5"/>
  <c r="DC39" i="5"/>
  <c r="DD39" i="5"/>
  <c r="DE39" i="5"/>
  <c r="DF39" i="5"/>
  <c r="DG39" i="5"/>
  <c r="DH39" i="5"/>
  <c r="DI39" i="5"/>
  <c r="DJ39" i="5"/>
  <c r="DK39" i="5"/>
  <c r="DL39" i="5"/>
  <c r="DM39" i="5"/>
  <c r="DN39" i="5"/>
  <c r="DO39" i="5"/>
  <c r="DP39" i="5"/>
  <c r="DQ39" i="5"/>
  <c r="DR39" i="5"/>
  <c r="DS39" i="5"/>
  <c r="DT39" i="5"/>
  <c r="DU39" i="5"/>
  <c r="DV39" i="5"/>
  <c r="DW39" i="5"/>
  <c r="DX39" i="5"/>
  <c r="DY39" i="5"/>
  <c r="DZ39" i="5"/>
  <c r="EA39" i="5"/>
  <c r="EB39" i="5"/>
  <c r="EC39" i="5"/>
  <c r="ED39" i="5"/>
  <c r="EE39" i="5"/>
  <c r="EF39" i="5"/>
  <c r="EG39" i="5"/>
  <c r="EH39" i="5"/>
  <c r="EI39" i="5"/>
  <c r="EJ39" i="5"/>
  <c r="EK39" i="5"/>
  <c r="EL39" i="5"/>
  <c r="EM39" i="5"/>
  <c r="EN39" i="5"/>
  <c r="EO39" i="5"/>
  <c r="EP39" i="5"/>
  <c r="EQ39" i="5"/>
  <c r="ER39" i="5"/>
  <c r="ES39" i="5"/>
  <c r="ET39" i="5"/>
  <c r="EU39" i="5"/>
  <c r="EV39" i="5"/>
  <c r="EW39" i="5"/>
  <c r="EX39" i="5"/>
  <c r="EY39" i="5"/>
  <c r="EZ39" i="5"/>
  <c r="FA39" i="5"/>
  <c r="FB39" i="5"/>
  <c r="FC39" i="5"/>
  <c r="FD39" i="5"/>
  <c r="FE39" i="5"/>
  <c r="FF39" i="5"/>
  <c r="FG39" i="5"/>
  <c r="FH39" i="5"/>
  <c r="FI39" i="5"/>
  <c r="FJ39" i="5"/>
  <c r="FK39" i="5"/>
  <c r="FL39" i="5"/>
  <c r="FM39" i="5"/>
  <c r="FN39" i="5"/>
  <c r="FO39" i="5"/>
  <c r="FP39" i="5"/>
  <c r="FQ39" i="5"/>
  <c r="FR39" i="5"/>
  <c r="FS39" i="5"/>
  <c r="FT39" i="5"/>
  <c r="FU39" i="5"/>
  <c r="FV39" i="5"/>
  <c r="FW39" i="5"/>
  <c r="FX39" i="5"/>
  <c r="FY39" i="5"/>
  <c r="FZ39" i="5"/>
  <c r="GA39" i="5"/>
  <c r="GB39" i="5"/>
  <c r="GC39" i="5"/>
  <c r="GD39" i="5"/>
  <c r="GE39" i="5"/>
  <c r="GF39" i="5"/>
  <c r="GG39" i="5"/>
  <c r="GH39" i="5"/>
  <c r="GI39" i="5"/>
  <c r="GJ39" i="5"/>
  <c r="GK39" i="5"/>
  <c r="GL39" i="5"/>
  <c r="GM39" i="5"/>
  <c r="GN39" i="5"/>
  <c r="GO39" i="5"/>
  <c r="GP39" i="5"/>
  <c r="GQ39" i="5"/>
  <c r="GR39" i="5"/>
  <c r="GS39" i="5"/>
  <c r="GT39" i="5"/>
  <c r="GU39" i="5"/>
  <c r="GV39" i="5"/>
  <c r="GW39" i="5"/>
  <c r="GX39" i="5"/>
  <c r="GY39" i="5"/>
  <c r="GZ39" i="5"/>
  <c r="HA39" i="5"/>
  <c r="HB39" i="5"/>
  <c r="HC39" i="5"/>
  <c r="HD39" i="5"/>
  <c r="HE39" i="5"/>
  <c r="HF39" i="5"/>
  <c r="HG39" i="5"/>
  <c r="A40" i="5"/>
  <c r="B40" i="5"/>
  <c r="C40" i="5"/>
  <c r="D40" i="5"/>
  <c r="E40" i="5"/>
  <c r="F40" i="5"/>
  <c r="G40" i="5"/>
  <c r="H40" i="5"/>
  <c r="I40" i="5"/>
  <c r="J40" i="5"/>
  <c r="K40" i="5"/>
  <c r="L40" i="5"/>
  <c r="M40" i="5"/>
  <c r="N40" i="5"/>
  <c r="O40" i="5"/>
  <c r="P40" i="5"/>
  <c r="Q40" i="5"/>
  <c r="R40" i="5"/>
  <c r="S40" i="5"/>
  <c r="T40" i="5"/>
  <c r="U40" i="5"/>
  <c r="V40" i="5"/>
  <c r="W40" i="5"/>
  <c r="X40" i="5"/>
  <c r="Y40" i="5"/>
  <c r="Z40" i="5"/>
  <c r="AA40" i="5"/>
  <c r="AB40" i="5"/>
  <c r="AC40" i="5"/>
  <c r="AD40" i="5"/>
  <c r="AE40" i="5"/>
  <c r="AF40" i="5"/>
  <c r="AG40" i="5"/>
  <c r="AH40" i="5"/>
  <c r="AI40" i="5"/>
  <c r="AJ40" i="5"/>
  <c r="AK40" i="5"/>
  <c r="AL40" i="5"/>
  <c r="AM40" i="5"/>
  <c r="AN40" i="5"/>
  <c r="AO40" i="5"/>
  <c r="AP40" i="5"/>
  <c r="AQ40" i="5"/>
  <c r="AR40" i="5"/>
  <c r="AS40" i="5"/>
  <c r="AT40" i="5"/>
  <c r="AU40" i="5"/>
  <c r="AV40" i="5"/>
  <c r="AW40" i="5"/>
  <c r="AX40" i="5"/>
  <c r="AY40" i="5"/>
  <c r="AZ40" i="5"/>
  <c r="BA40" i="5"/>
  <c r="BB40" i="5"/>
  <c r="BC40" i="5"/>
  <c r="BD40" i="5"/>
  <c r="BE40" i="5"/>
  <c r="BF40" i="5"/>
  <c r="BG40" i="5"/>
  <c r="BH40" i="5"/>
  <c r="BI40" i="5"/>
  <c r="BJ40" i="5"/>
  <c r="BK40" i="5"/>
  <c r="BL40" i="5"/>
  <c r="BM40" i="5"/>
  <c r="BN40" i="5"/>
  <c r="BO40" i="5"/>
  <c r="BP40" i="5"/>
  <c r="BQ40" i="5"/>
  <c r="BR40" i="5"/>
  <c r="BS40" i="5"/>
  <c r="BT40" i="5"/>
  <c r="BU40" i="5"/>
  <c r="BV40" i="5"/>
  <c r="BW40" i="5"/>
  <c r="BX40" i="5"/>
  <c r="BY40" i="5"/>
  <c r="BZ40" i="5"/>
  <c r="CA40" i="5"/>
  <c r="CB40" i="5"/>
  <c r="CC40" i="5"/>
  <c r="CD40" i="5"/>
  <c r="CE40" i="5"/>
  <c r="CF40" i="5"/>
  <c r="CG40" i="5"/>
  <c r="CH40" i="5"/>
  <c r="CI40" i="5"/>
  <c r="CJ40" i="5"/>
  <c r="CK40" i="5"/>
  <c r="CL40" i="5"/>
  <c r="CM40" i="5"/>
  <c r="CN40" i="5"/>
  <c r="CO40" i="5"/>
  <c r="CP40" i="5"/>
  <c r="CQ40" i="5"/>
  <c r="CR40" i="5"/>
  <c r="CS40" i="5"/>
  <c r="CT40" i="5"/>
  <c r="CU40" i="5"/>
  <c r="CV40" i="5"/>
  <c r="CW40" i="5"/>
  <c r="CX40" i="5"/>
  <c r="CY40" i="5"/>
  <c r="CZ40" i="5"/>
  <c r="DA40" i="5"/>
  <c r="DB40" i="5"/>
  <c r="DC40" i="5"/>
  <c r="DD40" i="5"/>
  <c r="DE40" i="5"/>
  <c r="DF40" i="5"/>
  <c r="DG40" i="5"/>
  <c r="DH40" i="5"/>
  <c r="DI40" i="5"/>
  <c r="DJ40" i="5"/>
  <c r="DK40" i="5"/>
  <c r="DL40" i="5"/>
  <c r="DM40" i="5"/>
  <c r="DN40" i="5"/>
  <c r="DO40" i="5"/>
  <c r="DP40" i="5"/>
  <c r="DQ40" i="5"/>
  <c r="DR40" i="5"/>
  <c r="DS40" i="5"/>
  <c r="DT40" i="5"/>
  <c r="DU40" i="5"/>
  <c r="DV40" i="5"/>
  <c r="DW40" i="5"/>
  <c r="DX40" i="5"/>
  <c r="DY40" i="5"/>
  <c r="DZ40" i="5"/>
  <c r="EA40" i="5"/>
  <c r="EB40" i="5"/>
  <c r="EC40" i="5"/>
  <c r="ED40" i="5"/>
  <c r="EE40" i="5"/>
  <c r="EF40" i="5"/>
  <c r="EG40" i="5"/>
  <c r="EH40" i="5"/>
  <c r="EI40" i="5"/>
  <c r="EJ40" i="5"/>
  <c r="EK40" i="5"/>
  <c r="EL40" i="5"/>
  <c r="EM40" i="5"/>
  <c r="EN40" i="5"/>
  <c r="EO40" i="5"/>
  <c r="EP40" i="5"/>
  <c r="EQ40" i="5"/>
  <c r="ER40" i="5"/>
  <c r="ES40" i="5"/>
  <c r="ET40" i="5"/>
  <c r="EU40" i="5"/>
  <c r="EV40" i="5"/>
  <c r="EW40" i="5"/>
  <c r="EX40" i="5"/>
  <c r="EY40" i="5"/>
  <c r="EZ40" i="5"/>
  <c r="FA40" i="5"/>
  <c r="FB40" i="5"/>
  <c r="FC40" i="5"/>
  <c r="FD40" i="5"/>
  <c r="FE40" i="5"/>
  <c r="FF40" i="5"/>
  <c r="FG40" i="5"/>
  <c r="FH40" i="5"/>
  <c r="FI40" i="5"/>
  <c r="FJ40" i="5"/>
  <c r="FK40" i="5"/>
  <c r="FL40" i="5"/>
  <c r="FM40" i="5"/>
  <c r="FN40" i="5"/>
  <c r="FO40" i="5"/>
  <c r="FP40" i="5"/>
  <c r="FQ40" i="5"/>
  <c r="FR40" i="5"/>
  <c r="FS40" i="5"/>
  <c r="FT40" i="5"/>
  <c r="FU40" i="5"/>
  <c r="FV40" i="5"/>
  <c r="FW40" i="5"/>
  <c r="FX40" i="5"/>
  <c r="FY40" i="5"/>
  <c r="FZ40" i="5"/>
  <c r="GA40" i="5"/>
  <c r="GB40" i="5"/>
  <c r="GC40" i="5"/>
  <c r="GD40" i="5"/>
  <c r="GE40" i="5"/>
  <c r="GF40" i="5"/>
  <c r="GG40" i="5"/>
  <c r="GH40" i="5"/>
  <c r="GI40" i="5"/>
  <c r="GJ40" i="5"/>
  <c r="GK40" i="5"/>
  <c r="GL40" i="5"/>
  <c r="GM40" i="5"/>
  <c r="GN40" i="5"/>
  <c r="GO40" i="5"/>
  <c r="GP40" i="5"/>
  <c r="GQ40" i="5"/>
  <c r="GR40" i="5"/>
  <c r="GS40" i="5"/>
  <c r="GT40" i="5"/>
  <c r="GU40" i="5"/>
  <c r="GV40" i="5"/>
  <c r="GW40" i="5"/>
  <c r="GX40" i="5"/>
  <c r="GY40" i="5"/>
  <c r="GZ40" i="5"/>
  <c r="HA40" i="5"/>
  <c r="HB40" i="5"/>
  <c r="HC40" i="5"/>
  <c r="HD40" i="5"/>
  <c r="HE40" i="5"/>
  <c r="HF40" i="5"/>
  <c r="HG40" i="5"/>
  <c r="A41" i="5"/>
  <c r="B41" i="5"/>
  <c r="C41" i="5"/>
  <c r="D41" i="5"/>
  <c r="E41" i="5"/>
  <c r="F41" i="5"/>
  <c r="G41" i="5"/>
  <c r="H41" i="5"/>
  <c r="I41" i="5"/>
  <c r="J41" i="5"/>
  <c r="K41" i="5"/>
  <c r="L41" i="5"/>
  <c r="M41" i="5"/>
  <c r="N41" i="5"/>
  <c r="O41" i="5"/>
  <c r="P41" i="5"/>
  <c r="Q41" i="5"/>
  <c r="R41" i="5"/>
  <c r="S41" i="5"/>
  <c r="T41" i="5"/>
  <c r="U41" i="5"/>
  <c r="V41" i="5"/>
  <c r="W41" i="5"/>
  <c r="X41" i="5"/>
  <c r="Y41" i="5"/>
  <c r="Z41" i="5"/>
  <c r="AA41" i="5"/>
  <c r="AB41" i="5"/>
  <c r="AC41" i="5"/>
  <c r="AD41" i="5"/>
  <c r="AE41" i="5"/>
  <c r="AF41" i="5"/>
  <c r="AG41" i="5"/>
  <c r="AH41" i="5"/>
  <c r="AI41" i="5"/>
  <c r="AJ41" i="5"/>
  <c r="AK41" i="5"/>
  <c r="AL41" i="5"/>
  <c r="AM41" i="5"/>
  <c r="AN41" i="5"/>
  <c r="AO41" i="5"/>
  <c r="AP41" i="5"/>
  <c r="AQ41" i="5"/>
  <c r="AR41" i="5"/>
  <c r="AS41" i="5"/>
  <c r="AT41" i="5"/>
  <c r="AU41" i="5"/>
  <c r="AV41" i="5"/>
  <c r="AW41" i="5"/>
  <c r="AX41" i="5"/>
  <c r="AY41" i="5"/>
  <c r="AZ41" i="5"/>
  <c r="BA41" i="5"/>
  <c r="BB41" i="5"/>
  <c r="BC41" i="5"/>
  <c r="BD41" i="5"/>
  <c r="BE41" i="5"/>
  <c r="BF41" i="5"/>
  <c r="BG41" i="5"/>
  <c r="BH41" i="5"/>
  <c r="BI41" i="5"/>
  <c r="BJ41" i="5"/>
  <c r="BK41" i="5"/>
  <c r="BL41" i="5"/>
  <c r="BM41" i="5"/>
  <c r="BN41" i="5"/>
  <c r="BO41" i="5"/>
  <c r="BP41" i="5"/>
  <c r="BQ41" i="5"/>
  <c r="BR41" i="5"/>
  <c r="BS41" i="5"/>
  <c r="BT41" i="5"/>
  <c r="BU41" i="5"/>
  <c r="BV41" i="5"/>
  <c r="BW41" i="5"/>
  <c r="BX41" i="5"/>
  <c r="BY41" i="5"/>
  <c r="BZ41" i="5"/>
  <c r="CA41" i="5"/>
  <c r="CB41" i="5"/>
  <c r="CC41" i="5"/>
  <c r="CD41" i="5"/>
  <c r="CE41" i="5"/>
  <c r="CF41" i="5"/>
  <c r="CG41" i="5"/>
  <c r="CH41" i="5"/>
  <c r="CI41" i="5"/>
  <c r="CJ41" i="5"/>
  <c r="CK41" i="5"/>
  <c r="CL41" i="5"/>
  <c r="CM41" i="5"/>
  <c r="CN41" i="5"/>
  <c r="CO41" i="5"/>
  <c r="CP41" i="5"/>
  <c r="CQ41" i="5"/>
  <c r="CR41" i="5"/>
  <c r="CS41" i="5"/>
  <c r="CT41" i="5"/>
  <c r="CU41" i="5"/>
  <c r="CV41" i="5"/>
  <c r="CW41" i="5"/>
  <c r="CX41" i="5"/>
  <c r="CY41" i="5"/>
  <c r="CZ41" i="5"/>
  <c r="DA41" i="5"/>
  <c r="DB41" i="5"/>
  <c r="DC41" i="5"/>
  <c r="DD41" i="5"/>
  <c r="DE41" i="5"/>
  <c r="DF41" i="5"/>
  <c r="DG41" i="5"/>
  <c r="DH41" i="5"/>
  <c r="DI41" i="5"/>
  <c r="DJ41" i="5"/>
  <c r="DK41" i="5"/>
  <c r="DL41" i="5"/>
  <c r="DM41" i="5"/>
  <c r="DN41" i="5"/>
  <c r="DO41" i="5"/>
  <c r="DP41" i="5"/>
  <c r="DQ41" i="5"/>
  <c r="DR41" i="5"/>
  <c r="DS41" i="5"/>
  <c r="DT41" i="5"/>
  <c r="DU41" i="5"/>
  <c r="DV41" i="5"/>
  <c r="DW41" i="5"/>
  <c r="DX41" i="5"/>
  <c r="DY41" i="5"/>
  <c r="DZ41" i="5"/>
  <c r="EA41" i="5"/>
  <c r="EB41" i="5"/>
  <c r="EC41" i="5"/>
  <c r="ED41" i="5"/>
  <c r="EE41" i="5"/>
  <c r="EF41" i="5"/>
  <c r="EG41" i="5"/>
  <c r="EH41" i="5"/>
  <c r="EI41" i="5"/>
  <c r="EJ41" i="5"/>
  <c r="EK41" i="5"/>
  <c r="EL41" i="5"/>
  <c r="EM41" i="5"/>
  <c r="EN41" i="5"/>
  <c r="EO41" i="5"/>
  <c r="EP41" i="5"/>
  <c r="EQ41" i="5"/>
  <c r="ER41" i="5"/>
  <c r="ES41" i="5"/>
  <c r="ET41" i="5"/>
  <c r="EU41" i="5"/>
  <c r="EV41" i="5"/>
  <c r="EW41" i="5"/>
  <c r="EX41" i="5"/>
  <c r="EY41" i="5"/>
  <c r="EZ41" i="5"/>
  <c r="FA41" i="5"/>
  <c r="FB41" i="5"/>
  <c r="FC41" i="5"/>
  <c r="FD41" i="5"/>
  <c r="FE41" i="5"/>
  <c r="FF41" i="5"/>
  <c r="FG41" i="5"/>
  <c r="FH41" i="5"/>
  <c r="FI41" i="5"/>
  <c r="FJ41" i="5"/>
  <c r="FK41" i="5"/>
  <c r="FL41" i="5"/>
  <c r="FM41" i="5"/>
  <c r="FN41" i="5"/>
  <c r="FO41" i="5"/>
  <c r="FP41" i="5"/>
  <c r="FQ41" i="5"/>
  <c r="FR41" i="5"/>
  <c r="FS41" i="5"/>
  <c r="FT41" i="5"/>
  <c r="FU41" i="5"/>
  <c r="FV41" i="5"/>
  <c r="FW41" i="5"/>
  <c r="FX41" i="5"/>
  <c r="FY41" i="5"/>
  <c r="FZ41" i="5"/>
  <c r="GA41" i="5"/>
  <c r="GB41" i="5"/>
  <c r="GC41" i="5"/>
  <c r="GD41" i="5"/>
  <c r="GE41" i="5"/>
  <c r="GF41" i="5"/>
  <c r="GG41" i="5"/>
  <c r="GH41" i="5"/>
  <c r="GI41" i="5"/>
  <c r="GJ41" i="5"/>
  <c r="GK41" i="5"/>
  <c r="GL41" i="5"/>
  <c r="GM41" i="5"/>
  <c r="GN41" i="5"/>
  <c r="GO41" i="5"/>
  <c r="GP41" i="5"/>
  <c r="GQ41" i="5"/>
  <c r="GR41" i="5"/>
  <c r="GS41" i="5"/>
  <c r="GT41" i="5"/>
  <c r="GU41" i="5"/>
  <c r="GV41" i="5"/>
  <c r="GW41" i="5"/>
  <c r="GX41" i="5"/>
  <c r="GY41" i="5"/>
  <c r="GZ41" i="5"/>
  <c r="HA41" i="5"/>
  <c r="HB41" i="5"/>
  <c r="HC41" i="5"/>
  <c r="HD41" i="5"/>
  <c r="HE41" i="5"/>
  <c r="HF41" i="5"/>
  <c r="HG41" i="5"/>
  <c r="A42" i="5"/>
  <c r="B42" i="5"/>
  <c r="C42" i="5"/>
  <c r="D42" i="5"/>
  <c r="E42" i="5"/>
  <c r="F42" i="5"/>
  <c r="G42" i="5"/>
  <c r="H42" i="5"/>
  <c r="I42" i="5"/>
  <c r="J42" i="5"/>
  <c r="K42" i="5"/>
  <c r="L42" i="5"/>
  <c r="M42" i="5"/>
  <c r="N42" i="5"/>
  <c r="O42" i="5"/>
  <c r="P42" i="5"/>
  <c r="Q42" i="5"/>
  <c r="R42" i="5"/>
  <c r="S42" i="5"/>
  <c r="T42" i="5"/>
  <c r="U42" i="5"/>
  <c r="V42" i="5"/>
  <c r="W42" i="5"/>
  <c r="X42" i="5"/>
  <c r="Y42" i="5"/>
  <c r="Z42" i="5"/>
  <c r="AA42" i="5"/>
  <c r="AB42" i="5"/>
  <c r="AC42" i="5"/>
  <c r="AD42" i="5"/>
  <c r="AE42" i="5"/>
  <c r="AF42" i="5"/>
  <c r="AG42" i="5"/>
  <c r="AH42" i="5"/>
  <c r="AI42" i="5"/>
  <c r="AJ42" i="5"/>
  <c r="AK42" i="5"/>
  <c r="AL42" i="5"/>
  <c r="AM42" i="5"/>
  <c r="AN42" i="5"/>
  <c r="AO42" i="5"/>
  <c r="AP42" i="5"/>
  <c r="AQ42" i="5"/>
  <c r="AR42" i="5"/>
  <c r="AS42" i="5"/>
  <c r="AT42" i="5"/>
  <c r="AU42" i="5"/>
  <c r="AV42" i="5"/>
  <c r="AW42" i="5"/>
  <c r="AX42" i="5"/>
  <c r="AY42" i="5"/>
  <c r="AZ42" i="5"/>
  <c r="BA42" i="5"/>
  <c r="BB42" i="5"/>
  <c r="BC42" i="5"/>
  <c r="BD42" i="5"/>
  <c r="BE42" i="5"/>
  <c r="BF42" i="5"/>
  <c r="BG42" i="5"/>
  <c r="BH42" i="5"/>
  <c r="BI42" i="5"/>
  <c r="BJ42" i="5"/>
  <c r="BK42" i="5"/>
  <c r="BL42" i="5"/>
  <c r="BM42" i="5"/>
  <c r="BN42" i="5"/>
  <c r="BO42" i="5"/>
  <c r="BP42" i="5"/>
  <c r="BQ42" i="5"/>
  <c r="BR42" i="5"/>
  <c r="BS42" i="5"/>
  <c r="BT42" i="5"/>
  <c r="BU42" i="5"/>
  <c r="BV42" i="5"/>
  <c r="BW42" i="5"/>
  <c r="BX42" i="5"/>
  <c r="BY42" i="5"/>
  <c r="BZ42" i="5"/>
  <c r="CA42" i="5"/>
  <c r="CB42" i="5"/>
  <c r="CC42" i="5"/>
  <c r="CD42" i="5"/>
  <c r="CE42" i="5"/>
  <c r="CF42" i="5"/>
  <c r="CG42" i="5"/>
  <c r="CH42" i="5"/>
  <c r="CI42" i="5"/>
  <c r="CJ42" i="5"/>
  <c r="CK42" i="5"/>
  <c r="CL42" i="5"/>
  <c r="CM42" i="5"/>
  <c r="CN42" i="5"/>
  <c r="CO42" i="5"/>
  <c r="CP42" i="5"/>
  <c r="CQ42" i="5"/>
  <c r="CR42" i="5"/>
  <c r="CS42" i="5"/>
  <c r="CT42" i="5"/>
  <c r="CU42" i="5"/>
  <c r="CV42" i="5"/>
  <c r="CW42" i="5"/>
  <c r="CX42" i="5"/>
  <c r="CY42" i="5"/>
  <c r="CZ42" i="5"/>
  <c r="DA42" i="5"/>
  <c r="DB42" i="5"/>
  <c r="DC42" i="5"/>
  <c r="DD42" i="5"/>
  <c r="DE42" i="5"/>
  <c r="DF42" i="5"/>
  <c r="DG42" i="5"/>
  <c r="DH42" i="5"/>
  <c r="DI42" i="5"/>
  <c r="DJ42" i="5"/>
  <c r="DK42" i="5"/>
  <c r="DL42" i="5"/>
  <c r="DM42" i="5"/>
  <c r="DN42" i="5"/>
  <c r="DO42" i="5"/>
  <c r="DP42" i="5"/>
  <c r="DQ42" i="5"/>
  <c r="DR42" i="5"/>
  <c r="DS42" i="5"/>
  <c r="DT42" i="5"/>
  <c r="DU42" i="5"/>
  <c r="DV42" i="5"/>
  <c r="DW42" i="5"/>
  <c r="DX42" i="5"/>
  <c r="DY42" i="5"/>
  <c r="DZ42" i="5"/>
  <c r="EA42" i="5"/>
  <c r="EB42" i="5"/>
  <c r="EC42" i="5"/>
  <c r="ED42" i="5"/>
  <c r="EE42" i="5"/>
  <c r="EF42" i="5"/>
  <c r="EG42" i="5"/>
  <c r="EH42" i="5"/>
  <c r="EI42" i="5"/>
  <c r="EJ42" i="5"/>
  <c r="EK42" i="5"/>
  <c r="EL42" i="5"/>
  <c r="EM42" i="5"/>
  <c r="EN42" i="5"/>
  <c r="EO42" i="5"/>
  <c r="EP42" i="5"/>
  <c r="EQ42" i="5"/>
  <c r="ER42" i="5"/>
  <c r="ES42" i="5"/>
  <c r="ET42" i="5"/>
  <c r="EU42" i="5"/>
  <c r="EV42" i="5"/>
  <c r="EW42" i="5"/>
  <c r="EX42" i="5"/>
  <c r="EY42" i="5"/>
  <c r="EZ42" i="5"/>
  <c r="FA42" i="5"/>
  <c r="FB42" i="5"/>
  <c r="FC42" i="5"/>
  <c r="FD42" i="5"/>
  <c r="FE42" i="5"/>
  <c r="FF42" i="5"/>
  <c r="FG42" i="5"/>
  <c r="FH42" i="5"/>
  <c r="FI42" i="5"/>
  <c r="FJ42" i="5"/>
  <c r="FK42" i="5"/>
  <c r="FL42" i="5"/>
  <c r="FM42" i="5"/>
  <c r="FN42" i="5"/>
  <c r="FO42" i="5"/>
  <c r="FP42" i="5"/>
  <c r="FQ42" i="5"/>
  <c r="FR42" i="5"/>
  <c r="FS42" i="5"/>
  <c r="FT42" i="5"/>
  <c r="FU42" i="5"/>
  <c r="FV42" i="5"/>
  <c r="FW42" i="5"/>
  <c r="FX42" i="5"/>
  <c r="FY42" i="5"/>
  <c r="FZ42" i="5"/>
  <c r="GA42" i="5"/>
  <c r="GB42" i="5"/>
  <c r="GC42" i="5"/>
  <c r="GD42" i="5"/>
  <c r="GE42" i="5"/>
  <c r="GF42" i="5"/>
  <c r="GG42" i="5"/>
  <c r="GH42" i="5"/>
  <c r="GI42" i="5"/>
  <c r="GJ42" i="5"/>
  <c r="GK42" i="5"/>
  <c r="GL42" i="5"/>
  <c r="GM42" i="5"/>
  <c r="GN42" i="5"/>
  <c r="GO42" i="5"/>
  <c r="GP42" i="5"/>
  <c r="GQ42" i="5"/>
  <c r="GR42" i="5"/>
  <c r="GS42" i="5"/>
  <c r="GT42" i="5"/>
  <c r="GU42" i="5"/>
  <c r="GV42" i="5"/>
  <c r="GW42" i="5"/>
  <c r="GX42" i="5"/>
  <c r="GY42" i="5"/>
  <c r="GZ42" i="5"/>
  <c r="HA42" i="5"/>
  <c r="HB42" i="5"/>
  <c r="HC42" i="5"/>
  <c r="HD42" i="5"/>
  <c r="HE42" i="5"/>
  <c r="HF42" i="5"/>
  <c r="HG42" i="5"/>
  <c r="A43" i="5"/>
  <c r="B43" i="5"/>
  <c r="C43" i="5"/>
  <c r="D43" i="5"/>
  <c r="E43" i="5"/>
  <c r="F43" i="5"/>
  <c r="G43" i="5"/>
  <c r="H43" i="5"/>
  <c r="I43" i="5"/>
  <c r="J43" i="5"/>
  <c r="K43" i="5"/>
  <c r="L43" i="5"/>
  <c r="M43" i="5"/>
  <c r="N43" i="5"/>
  <c r="O43" i="5"/>
  <c r="P43" i="5"/>
  <c r="Q43" i="5"/>
  <c r="R43" i="5"/>
  <c r="S43" i="5"/>
  <c r="T43" i="5"/>
  <c r="U43" i="5"/>
  <c r="V43" i="5"/>
  <c r="W43" i="5"/>
  <c r="X43" i="5"/>
  <c r="Y43" i="5"/>
  <c r="Z43" i="5"/>
  <c r="AA43" i="5"/>
  <c r="AB43" i="5"/>
  <c r="AC43" i="5"/>
  <c r="AD43" i="5"/>
  <c r="AE43" i="5"/>
  <c r="AF43" i="5"/>
  <c r="AG43" i="5"/>
  <c r="AH43" i="5"/>
  <c r="AI43" i="5"/>
  <c r="AJ43" i="5"/>
  <c r="AK43" i="5"/>
  <c r="AL43" i="5"/>
  <c r="AM43" i="5"/>
  <c r="AN43" i="5"/>
  <c r="AO43" i="5"/>
  <c r="AP43" i="5"/>
  <c r="AQ43" i="5"/>
  <c r="AR43" i="5"/>
  <c r="AS43" i="5"/>
  <c r="AT43" i="5"/>
  <c r="AU43" i="5"/>
  <c r="AV43" i="5"/>
  <c r="AW43" i="5"/>
  <c r="AX43" i="5"/>
  <c r="AY43" i="5"/>
  <c r="AZ43" i="5"/>
  <c r="BA43" i="5"/>
  <c r="BB43" i="5"/>
  <c r="BC43" i="5"/>
  <c r="BD43" i="5"/>
  <c r="BE43" i="5"/>
  <c r="BF43" i="5"/>
  <c r="BG43" i="5"/>
  <c r="BH43" i="5"/>
  <c r="BI43" i="5"/>
  <c r="BJ43" i="5"/>
  <c r="BK43" i="5"/>
  <c r="BL43" i="5"/>
  <c r="BM43" i="5"/>
  <c r="BN43" i="5"/>
  <c r="BO43" i="5"/>
  <c r="BP43" i="5"/>
  <c r="BQ43" i="5"/>
  <c r="BR43" i="5"/>
  <c r="BS43" i="5"/>
  <c r="BT43" i="5"/>
  <c r="BU43" i="5"/>
  <c r="BV43" i="5"/>
  <c r="BW43" i="5"/>
  <c r="BX43" i="5"/>
  <c r="BY43" i="5"/>
  <c r="BZ43" i="5"/>
  <c r="CA43" i="5"/>
  <c r="CB43" i="5"/>
  <c r="CC43" i="5"/>
  <c r="CD43" i="5"/>
  <c r="CE43" i="5"/>
  <c r="CF43" i="5"/>
  <c r="CG43" i="5"/>
  <c r="CH43" i="5"/>
  <c r="CI43" i="5"/>
  <c r="CJ43" i="5"/>
  <c r="CK43" i="5"/>
  <c r="CL43" i="5"/>
  <c r="CM43" i="5"/>
  <c r="CN43" i="5"/>
  <c r="CO43" i="5"/>
  <c r="CP43" i="5"/>
  <c r="CQ43" i="5"/>
  <c r="CR43" i="5"/>
  <c r="CS43" i="5"/>
  <c r="CT43" i="5"/>
  <c r="CU43" i="5"/>
  <c r="CV43" i="5"/>
  <c r="CW43" i="5"/>
  <c r="CX43" i="5"/>
  <c r="CY43" i="5"/>
  <c r="CZ43" i="5"/>
  <c r="DA43" i="5"/>
  <c r="DB43" i="5"/>
  <c r="DC43" i="5"/>
  <c r="DD43" i="5"/>
  <c r="DE43" i="5"/>
  <c r="DF43" i="5"/>
  <c r="DG43" i="5"/>
  <c r="DH43" i="5"/>
  <c r="DI43" i="5"/>
  <c r="DJ43" i="5"/>
  <c r="DK43" i="5"/>
  <c r="DL43" i="5"/>
  <c r="DM43" i="5"/>
  <c r="DN43" i="5"/>
  <c r="DO43" i="5"/>
  <c r="DP43" i="5"/>
  <c r="DQ43" i="5"/>
  <c r="DR43" i="5"/>
  <c r="DS43" i="5"/>
  <c r="DT43" i="5"/>
  <c r="DU43" i="5"/>
  <c r="DV43" i="5"/>
  <c r="DW43" i="5"/>
  <c r="DX43" i="5"/>
  <c r="DY43" i="5"/>
  <c r="DZ43" i="5"/>
  <c r="EA43" i="5"/>
  <c r="EB43" i="5"/>
  <c r="EC43" i="5"/>
  <c r="ED43" i="5"/>
  <c r="EE43" i="5"/>
  <c r="EF43" i="5"/>
  <c r="EG43" i="5"/>
  <c r="EH43" i="5"/>
  <c r="EI43" i="5"/>
  <c r="EJ43" i="5"/>
  <c r="EK43" i="5"/>
  <c r="EL43" i="5"/>
  <c r="EM43" i="5"/>
  <c r="EN43" i="5"/>
  <c r="EO43" i="5"/>
  <c r="EP43" i="5"/>
  <c r="EQ43" i="5"/>
  <c r="ER43" i="5"/>
  <c r="ES43" i="5"/>
  <c r="ET43" i="5"/>
  <c r="EU43" i="5"/>
  <c r="EV43" i="5"/>
  <c r="EW43" i="5"/>
  <c r="EX43" i="5"/>
  <c r="EY43" i="5"/>
  <c r="EZ43" i="5"/>
  <c r="FA43" i="5"/>
  <c r="FB43" i="5"/>
  <c r="FC43" i="5"/>
  <c r="FD43" i="5"/>
  <c r="FE43" i="5"/>
  <c r="FF43" i="5"/>
  <c r="FG43" i="5"/>
  <c r="FH43" i="5"/>
  <c r="FI43" i="5"/>
  <c r="FJ43" i="5"/>
  <c r="FK43" i="5"/>
  <c r="FL43" i="5"/>
  <c r="FM43" i="5"/>
  <c r="FN43" i="5"/>
  <c r="FO43" i="5"/>
  <c r="FP43" i="5"/>
  <c r="FQ43" i="5"/>
  <c r="FR43" i="5"/>
  <c r="FS43" i="5"/>
  <c r="FT43" i="5"/>
  <c r="FU43" i="5"/>
  <c r="FV43" i="5"/>
  <c r="FW43" i="5"/>
  <c r="FX43" i="5"/>
  <c r="FY43" i="5"/>
  <c r="FZ43" i="5"/>
  <c r="GA43" i="5"/>
  <c r="GB43" i="5"/>
  <c r="GC43" i="5"/>
  <c r="GD43" i="5"/>
  <c r="GE43" i="5"/>
  <c r="GF43" i="5"/>
  <c r="GG43" i="5"/>
  <c r="GH43" i="5"/>
  <c r="GI43" i="5"/>
  <c r="GJ43" i="5"/>
  <c r="GK43" i="5"/>
  <c r="GL43" i="5"/>
  <c r="GM43" i="5"/>
  <c r="GN43" i="5"/>
  <c r="GO43" i="5"/>
  <c r="GP43" i="5"/>
  <c r="GQ43" i="5"/>
  <c r="GR43" i="5"/>
  <c r="GS43" i="5"/>
  <c r="GT43" i="5"/>
  <c r="GU43" i="5"/>
  <c r="GV43" i="5"/>
  <c r="GW43" i="5"/>
  <c r="GX43" i="5"/>
  <c r="GY43" i="5"/>
  <c r="GZ43" i="5"/>
  <c r="HA43" i="5"/>
  <c r="HB43" i="5"/>
  <c r="HC43" i="5"/>
  <c r="HD43" i="5"/>
  <c r="HE43" i="5"/>
  <c r="HF43" i="5"/>
  <c r="HG43" i="5"/>
  <c r="A44" i="5"/>
  <c r="B44" i="5"/>
  <c r="C44" i="5"/>
  <c r="D44" i="5"/>
  <c r="E44" i="5"/>
  <c r="F44" i="5"/>
  <c r="G44" i="5"/>
  <c r="H44" i="5"/>
  <c r="I44" i="5"/>
  <c r="J44" i="5"/>
  <c r="K44" i="5"/>
  <c r="L44" i="5"/>
  <c r="M44" i="5"/>
  <c r="N44" i="5"/>
  <c r="O44" i="5"/>
  <c r="P44" i="5"/>
  <c r="Q44" i="5"/>
  <c r="R44" i="5"/>
  <c r="S44" i="5"/>
  <c r="T44" i="5"/>
  <c r="U44" i="5"/>
  <c r="V44" i="5"/>
  <c r="W44" i="5"/>
  <c r="X44" i="5"/>
  <c r="Y44" i="5"/>
  <c r="Z44" i="5"/>
  <c r="AA44" i="5"/>
  <c r="AB44" i="5"/>
  <c r="AC44" i="5"/>
  <c r="AD44" i="5"/>
  <c r="AE44" i="5"/>
  <c r="AF44" i="5"/>
  <c r="AG44" i="5"/>
  <c r="AH44" i="5"/>
  <c r="AI44" i="5"/>
  <c r="AJ44" i="5"/>
  <c r="AK44" i="5"/>
  <c r="AL44" i="5"/>
  <c r="AM44" i="5"/>
  <c r="AN44" i="5"/>
  <c r="AO44" i="5"/>
  <c r="AP44" i="5"/>
  <c r="AQ44" i="5"/>
  <c r="AR44" i="5"/>
  <c r="AS44" i="5"/>
  <c r="AT44" i="5"/>
  <c r="AU44" i="5"/>
  <c r="AV44" i="5"/>
  <c r="AW44" i="5"/>
  <c r="AX44" i="5"/>
  <c r="AY44" i="5"/>
  <c r="AZ44" i="5"/>
  <c r="BA44" i="5"/>
  <c r="BB44" i="5"/>
  <c r="BC44" i="5"/>
  <c r="BD44" i="5"/>
  <c r="BE44" i="5"/>
  <c r="BF44" i="5"/>
  <c r="BG44" i="5"/>
  <c r="BH44" i="5"/>
  <c r="BI44" i="5"/>
  <c r="BJ44" i="5"/>
  <c r="BK44" i="5"/>
  <c r="BL44" i="5"/>
  <c r="BM44" i="5"/>
  <c r="BN44" i="5"/>
  <c r="BO44" i="5"/>
  <c r="BP44" i="5"/>
  <c r="BQ44" i="5"/>
  <c r="BR44" i="5"/>
  <c r="BS44" i="5"/>
  <c r="BT44" i="5"/>
  <c r="BU44" i="5"/>
  <c r="BV44" i="5"/>
  <c r="BW44" i="5"/>
  <c r="BX44" i="5"/>
  <c r="BY44" i="5"/>
  <c r="BZ44" i="5"/>
  <c r="CA44" i="5"/>
  <c r="CB44" i="5"/>
  <c r="CC44" i="5"/>
  <c r="CD44" i="5"/>
  <c r="CE44" i="5"/>
  <c r="CF44" i="5"/>
  <c r="CG44" i="5"/>
  <c r="CH44" i="5"/>
  <c r="CI44" i="5"/>
  <c r="CJ44" i="5"/>
  <c r="CK44" i="5"/>
  <c r="CL44" i="5"/>
  <c r="CM44" i="5"/>
  <c r="CN44" i="5"/>
  <c r="CO44" i="5"/>
  <c r="CP44" i="5"/>
  <c r="CQ44" i="5"/>
  <c r="CR44" i="5"/>
  <c r="CS44" i="5"/>
  <c r="CT44" i="5"/>
  <c r="CU44" i="5"/>
  <c r="CV44" i="5"/>
  <c r="CW44" i="5"/>
  <c r="CX44" i="5"/>
  <c r="CY44" i="5"/>
  <c r="CZ44" i="5"/>
  <c r="DA44" i="5"/>
  <c r="DB44" i="5"/>
  <c r="DC44" i="5"/>
  <c r="DD44" i="5"/>
  <c r="DE44" i="5"/>
  <c r="DF44" i="5"/>
  <c r="DG44" i="5"/>
  <c r="DH44" i="5"/>
  <c r="DI44" i="5"/>
  <c r="DJ44" i="5"/>
  <c r="DK44" i="5"/>
  <c r="DL44" i="5"/>
  <c r="DM44" i="5"/>
  <c r="DN44" i="5"/>
  <c r="DO44" i="5"/>
  <c r="DP44" i="5"/>
  <c r="DQ44" i="5"/>
  <c r="DR44" i="5"/>
  <c r="DS44" i="5"/>
  <c r="DT44" i="5"/>
  <c r="DU44" i="5"/>
  <c r="DV44" i="5"/>
  <c r="DW44" i="5"/>
  <c r="DX44" i="5"/>
  <c r="DY44" i="5"/>
  <c r="DZ44" i="5"/>
  <c r="EA44" i="5"/>
  <c r="EB44" i="5"/>
  <c r="EC44" i="5"/>
  <c r="ED44" i="5"/>
  <c r="EE44" i="5"/>
  <c r="EF44" i="5"/>
  <c r="EG44" i="5"/>
  <c r="EH44" i="5"/>
  <c r="EI44" i="5"/>
  <c r="EJ44" i="5"/>
  <c r="EK44" i="5"/>
  <c r="EL44" i="5"/>
  <c r="EM44" i="5"/>
  <c r="EN44" i="5"/>
  <c r="EO44" i="5"/>
  <c r="EP44" i="5"/>
  <c r="EQ44" i="5"/>
  <c r="ER44" i="5"/>
  <c r="ES44" i="5"/>
  <c r="ET44" i="5"/>
  <c r="EU44" i="5"/>
  <c r="EV44" i="5"/>
  <c r="EW44" i="5"/>
  <c r="EX44" i="5"/>
  <c r="EY44" i="5"/>
  <c r="EZ44" i="5"/>
  <c r="FA44" i="5"/>
  <c r="FB44" i="5"/>
  <c r="FC44" i="5"/>
  <c r="FD44" i="5"/>
  <c r="FE44" i="5"/>
  <c r="FF44" i="5"/>
  <c r="FG44" i="5"/>
  <c r="FH44" i="5"/>
  <c r="FI44" i="5"/>
  <c r="FJ44" i="5"/>
  <c r="FK44" i="5"/>
  <c r="FL44" i="5"/>
  <c r="FM44" i="5"/>
  <c r="FN44" i="5"/>
  <c r="FO44" i="5"/>
  <c r="FP44" i="5"/>
  <c r="FQ44" i="5"/>
  <c r="FR44" i="5"/>
  <c r="FS44" i="5"/>
  <c r="FT44" i="5"/>
  <c r="FU44" i="5"/>
  <c r="FV44" i="5"/>
  <c r="FW44" i="5"/>
  <c r="FX44" i="5"/>
  <c r="FY44" i="5"/>
  <c r="FZ44" i="5"/>
  <c r="GA44" i="5"/>
  <c r="GB44" i="5"/>
  <c r="GC44" i="5"/>
  <c r="GD44" i="5"/>
  <c r="GE44" i="5"/>
  <c r="GF44" i="5"/>
  <c r="GG44" i="5"/>
  <c r="GH44" i="5"/>
  <c r="GI44" i="5"/>
  <c r="GJ44" i="5"/>
  <c r="GK44" i="5"/>
  <c r="GL44" i="5"/>
  <c r="GM44" i="5"/>
  <c r="GN44" i="5"/>
  <c r="GO44" i="5"/>
  <c r="GP44" i="5"/>
  <c r="GQ44" i="5"/>
  <c r="GR44" i="5"/>
  <c r="GS44" i="5"/>
  <c r="GT44" i="5"/>
  <c r="GU44" i="5"/>
  <c r="GV44" i="5"/>
  <c r="GW44" i="5"/>
  <c r="GX44" i="5"/>
  <c r="GY44" i="5"/>
  <c r="GZ44" i="5"/>
  <c r="HA44" i="5"/>
  <c r="HB44" i="5"/>
  <c r="HC44" i="5"/>
  <c r="HD44" i="5"/>
  <c r="HE44" i="5"/>
  <c r="HF44" i="5"/>
  <c r="HG44" i="5"/>
  <c r="A45" i="5"/>
  <c r="B45" i="5"/>
  <c r="C45" i="5"/>
  <c r="D45" i="5"/>
  <c r="E45" i="5"/>
  <c r="F45" i="5"/>
  <c r="G45" i="5"/>
  <c r="H45" i="5"/>
  <c r="I45" i="5"/>
  <c r="J45" i="5"/>
  <c r="K45" i="5"/>
  <c r="L45" i="5"/>
  <c r="M45" i="5"/>
  <c r="N45" i="5"/>
  <c r="O45" i="5"/>
  <c r="P45" i="5"/>
  <c r="Q45" i="5"/>
  <c r="R45" i="5"/>
  <c r="S45" i="5"/>
  <c r="T45" i="5"/>
  <c r="U45" i="5"/>
  <c r="V45" i="5"/>
  <c r="W45" i="5"/>
  <c r="X45" i="5"/>
  <c r="Y45" i="5"/>
  <c r="Z45" i="5"/>
  <c r="AA45" i="5"/>
  <c r="AB45" i="5"/>
  <c r="AC45" i="5"/>
  <c r="AD45" i="5"/>
  <c r="AE45" i="5"/>
  <c r="AF45" i="5"/>
  <c r="AG45" i="5"/>
  <c r="AH45" i="5"/>
  <c r="AI45" i="5"/>
  <c r="AJ45" i="5"/>
  <c r="AK45" i="5"/>
  <c r="AL45" i="5"/>
  <c r="AM45" i="5"/>
  <c r="AN45" i="5"/>
  <c r="AO45" i="5"/>
  <c r="AP45" i="5"/>
  <c r="AQ45" i="5"/>
  <c r="AR45" i="5"/>
  <c r="AS45" i="5"/>
  <c r="AT45" i="5"/>
  <c r="AU45" i="5"/>
  <c r="AV45" i="5"/>
  <c r="AW45" i="5"/>
  <c r="AX45" i="5"/>
  <c r="AY45" i="5"/>
  <c r="AZ45" i="5"/>
  <c r="BA45" i="5"/>
  <c r="BB45" i="5"/>
  <c r="BC45" i="5"/>
  <c r="BD45" i="5"/>
  <c r="BE45" i="5"/>
  <c r="BF45" i="5"/>
  <c r="BG45" i="5"/>
  <c r="BH45" i="5"/>
  <c r="BI45" i="5"/>
  <c r="BJ45" i="5"/>
  <c r="BK45" i="5"/>
  <c r="BL45" i="5"/>
  <c r="BM45" i="5"/>
  <c r="BN45" i="5"/>
  <c r="BO45" i="5"/>
  <c r="BP45" i="5"/>
  <c r="BQ45" i="5"/>
  <c r="BR45" i="5"/>
  <c r="BS45" i="5"/>
  <c r="BT45" i="5"/>
  <c r="BU45" i="5"/>
  <c r="BV45" i="5"/>
  <c r="BW45" i="5"/>
  <c r="BX45" i="5"/>
  <c r="BY45" i="5"/>
  <c r="BZ45" i="5"/>
  <c r="CA45" i="5"/>
  <c r="CB45" i="5"/>
  <c r="CC45" i="5"/>
  <c r="CD45" i="5"/>
  <c r="CE45" i="5"/>
  <c r="CF45" i="5"/>
  <c r="CG45" i="5"/>
  <c r="CH45" i="5"/>
  <c r="CI45" i="5"/>
  <c r="CJ45" i="5"/>
  <c r="CK45" i="5"/>
  <c r="CL45" i="5"/>
  <c r="CM45" i="5"/>
  <c r="CN45" i="5"/>
  <c r="CO45" i="5"/>
  <c r="CP45" i="5"/>
  <c r="CQ45" i="5"/>
  <c r="CR45" i="5"/>
  <c r="CS45" i="5"/>
  <c r="CT45" i="5"/>
  <c r="CU45" i="5"/>
  <c r="CV45" i="5"/>
  <c r="CW45" i="5"/>
  <c r="CX45" i="5"/>
  <c r="CY45" i="5"/>
  <c r="CZ45" i="5"/>
  <c r="DA45" i="5"/>
  <c r="DB45" i="5"/>
  <c r="DC45" i="5"/>
  <c r="DD45" i="5"/>
  <c r="DE45" i="5"/>
  <c r="DF45" i="5"/>
  <c r="DG45" i="5"/>
  <c r="DH45" i="5"/>
  <c r="DI45" i="5"/>
  <c r="DJ45" i="5"/>
  <c r="DK45" i="5"/>
  <c r="DL45" i="5"/>
  <c r="DM45" i="5"/>
  <c r="DN45" i="5"/>
  <c r="DO45" i="5"/>
  <c r="DP45" i="5"/>
  <c r="DQ45" i="5"/>
  <c r="DR45" i="5"/>
  <c r="DS45" i="5"/>
  <c r="DT45" i="5"/>
  <c r="DU45" i="5"/>
  <c r="DV45" i="5"/>
  <c r="DW45" i="5"/>
  <c r="DX45" i="5"/>
  <c r="DY45" i="5"/>
  <c r="DZ45" i="5"/>
  <c r="EA45" i="5"/>
  <c r="EB45" i="5"/>
  <c r="EC45" i="5"/>
  <c r="ED45" i="5"/>
  <c r="EE45" i="5"/>
  <c r="EF45" i="5"/>
  <c r="EG45" i="5"/>
  <c r="EH45" i="5"/>
  <c r="EI45" i="5"/>
  <c r="EJ45" i="5"/>
  <c r="EK45" i="5"/>
  <c r="EL45" i="5"/>
  <c r="EM45" i="5"/>
  <c r="EN45" i="5"/>
  <c r="EO45" i="5"/>
  <c r="EP45" i="5"/>
  <c r="EQ45" i="5"/>
  <c r="ER45" i="5"/>
  <c r="ES45" i="5"/>
  <c r="ET45" i="5"/>
  <c r="EU45" i="5"/>
  <c r="EV45" i="5"/>
  <c r="EW45" i="5"/>
  <c r="EX45" i="5"/>
  <c r="EY45" i="5"/>
  <c r="EZ45" i="5"/>
  <c r="FA45" i="5"/>
  <c r="FB45" i="5"/>
  <c r="FC45" i="5"/>
  <c r="FD45" i="5"/>
  <c r="FE45" i="5"/>
  <c r="FF45" i="5"/>
  <c r="FG45" i="5"/>
  <c r="FH45" i="5"/>
  <c r="FI45" i="5"/>
  <c r="FJ45" i="5"/>
  <c r="FK45" i="5"/>
  <c r="FL45" i="5"/>
  <c r="FM45" i="5"/>
  <c r="FN45" i="5"/>
  <c r="FO45" i="5"/>
  <c r="FP45" i="5"/>
  <c r="FQ45" i="5"/>
  <c r="FR45" i="5"/>
  <c r="FS45" i="5"/>
  <c r="FT45" i="5"/>
  <c r="FU45" i="5"/>
  <c r="FV45" i="5"/>
  <c r="FW45" i="5"/>
  <c r="FX45" i="5"/>
  <c r="FY45" i="5"/>
  <c r="FZ45" i="5"/>
  <c r="GA45" i="5"/>
  <c r="GB45" i="5"/>
  <c r="GC45" i="5"/>
  <c r="GD45" i="5"/>
  <c r="GE45" i="5"/>
  <c r="GF45" i="5"/>
  <c r="GG45" i="5"/>
  <c r="GH45" i="5"/>
  <c r="GI45" i="5"/>
  <c r="GJ45" i="5"/>
  <c r="GK45" i="5"/>
  <c r="GL45" i="5"/>
  <c r="GM45" i="5"/>
  <c r="GN45" i="5"/>
  <c r="GO45" i="5"/>
  <c r="GP45" i="5"/>
  <c r="GQ45" i="5"/>
  <c r="GR45" i="5"/>
  <c r="GS45" i="5"/>
  <c r="GT45" i="5"/>
  <c r="GU45" i="5"/>
  <c r="GV45" i="5"/>
  <c r="GW45" i="5"/>
  <c r="GX45" i="5"/>
  <c r="GY45" i="5"/>
  <c r="GZ45" i="5"/>
  <c r="HA45" i="5"/>
  <c r="HB45" i="5"/>
  <c r="HC45" i="5"/>
  <c r="HD45" i="5"/>
  <c r="HE45" i="5"/>
  <c r="HF45" i="5"/>
  <c r="HG45" i="5"/>
  <c r="A46" i="5"/>
  <c r="B46" i="5"/>
  <c r="C46" i="5"/>
  <c r="D46" i="5"/>
  <c r="E46" i="5"/>
  <c r="F46" i="5"/>
  <c r="G46" i="5"/>
  <c r="H46" i="5"/>
  <c r="I46" i="5"/>
  <c r="J46" i="5"/>
  <c r="K46" i="5"/>
  <c r="L46" i="5"/>
  <c r="M46" i="5"/>
  <c r="N46" i="5"/>
  <c r="O46" i="5"/>
  <c r="P46" i="5"/>
  <c r="Q46" i="5"/>
  <c r="R46" i="5"/>
  <c r="S46" i="5"/>
  <c r="T46" i="5"/>
  <c r="U46" i="5"/>
  <c r="V46" i="5"/>
  <c r="W46" i="5"/>
  <c r="X46" i="5"/>
  <c r="Y46" i="5"/>
  <c r="Z46" i="5"/>
  <c r="AA46" i="5"/>
  <c r="AB46" i="5"/>
  <c r="AC46" i="5"/>
  <c r="AD46" i="5"/>
  <c r="AE46" i="5"/>
  <c r="AF46" i="5"/>
  <c r="AG46" i="5"/>
  <c r="AH46" i="5"/>
  <c r="AI46" i="5"/>
  <c r="AJ46" i="5"/>
  <c r="AK46" i="5"/>
  <c r="AL46" i="5"/>
  <c r="AM46" i="5"/>
  <c r="AN46" i="5"/>
  <c r="AO46" i="5"/>
  <c r="AP46" i="5"/>
  <c r="AQ46" i="5"/>
  <c r="AR46" i="5"/>
  <c r="AS46" i="5"/>
  <c r="AT46" i="5"/>
  <c r="AU46" i="5"/>
  <c r="AV46" i="5"/>
  <c r="AW46" i="5"/>
  <c r="AX46" i="5"/>
  <c r="AY46" i="5"/>
  <c r="AZ46" i="5"/>
  <c r="BA46" i="5"/>
  <c r="BB46" i="5"/>
  <c r="BC46" i="5"/>
  <c r="BD46" i="5"/>
  <c r="BE46" i="5"/>
  <c r="BF46" i="5"/>
  <c r="BG46" i="5"/>
  <c r="BH46" i="5"/>
  <c r="BI46" i="5"/>
  <c r="BJ46" i="5"/>
  <c r="BK46" i="5"/>
  <c r="BL46" i="5"/>
  <c r="BM46" i="5"/>
  <c r="BN46" i="5"/>
  <c r="BO46" i="5"/>
  <c r="BP46" i="5"/>
  <c r="BQ46" i="5"/>
  <c r="BR46" i="5"/>
  <c r="BS46" i="5"/>
  <c r="BT46" i="5"/>
  <c r="BU46" i="5"/>
  <c r="BV46" i="5"/>
  <c r="BW46" i="5"/>
  <c r="BX46" i="5"/>
  <c r="BY46" i="5"/>
  <c r="BZ46" i="5"/>
  <c r="CA46" i="5"/>
  <c r="CB46" i="5"/>
  <c r="CC46" i="5"/>
  <c r="CD46" i="5"/>
  <c r="CE46" i="5"/>
  <c r="CF46" i="5"/>
  <c r="CG46" i="5"/>
  <c r="CH46" i="5"/>
  <c r="CI46" i="5"/>
  <c r="CJ46" i="5"/>
  <c r="CK46" i="5"/>
  <c r="CL46" i="5"/>
  <c r="CM46" i="5"/>
  <c r="CN46" i="5"/>
  <c r="CO46" i="5"/>
  <c r="CP46" i="5"/>
  <c r="CQ46" i="5"/>
  <c r="CR46" i="5"/>
  <c r="CS46" i="5"/>
  <c r="CT46" i="5"/>
  <c r="CU46" i="5"/>
  <c r="CV46" i="5"/>
  <c r="CW46" i="5"/>
  <c r="CX46" i="5"/>
  <c r="CY46" i="5"/>
  <c r="CZ46" i="5"/>
  <c r="DA46" i="5"/>
  <c r="DB46" i="5"/>
  <c r="DC46" i="5"/>
  <c r="DD46" i="5"/>
  <c r="DE46" i="5"/>
  <c r="DF46" i="5"/>
  <c r="DG46" i="5"/>
  <c r="DH46" i="5"/>
  <c r="DI46" i="5"/>
  <c r="DJ46" i="5"/>
  <c r="DK46" i="5"/>
  <c r="DL46" i="5"/>
  <c r="DM46" i="5"/>
  <c r="DN46" i="5"/>
  <c r="DO46" i="5"/>
  <c r="DP46" i="5"/>
  <c r="DQ46" i="5"/>
  <c r="DR46" i="5"/>
  <c r="DS46" i="5"/>
  <c r="DT46" i="5"/>
  <c r="DU46" i="5"/>
  <c r="DV46" i="5"/>
  <c r="DW46" i="5"/>
  <c r="DX46" i="5"/>
  <c r="DY46" i="5"/>
  <c r="DZ46" i="5"/>
  <c r="EA46" i="5"/>
  <c r="EB46" i="5"/>
  <c r="EC46" i="5"/>
  <c r="ED46" i="5"/>
  <c r="EE46" i="5"/>
  <c r="EF46" i="5"/>
  <c r="EG46" i="5"/>
  <c r="EH46" i="5"/>
  <c r="EI46" i="5"/>
  <c r="EJ46" i="5"/>
  <c r="EK46" i="5"/>
  <c r="EL46" i="5"/>
  <c r="EM46" i="5"/>
  <c r="EN46" i="5"/>
  <c r="EO46" i="5"/>
  <c r="EP46" i="5"/>
  <c r="EQ46" i="5"/>
  <c r="ER46" i="5"/>
  <c r="ES46" i="5"/>
  <c r="ET46" i="5"/>
  <c r="EU46" i="5"/>
  <c r="EV46" i="5"/>
  <c r="EW46" i="5"/>
  <c r="EX46" i="5"/>
  <c r="EY46" i="5"/>
  <c r="EZ46" i="5"/>
  <c r="FA46" i="5"/>
  <c r="FB46" i="5"/>
  <c r="FC46" i="5"/>
  <c r="FD46" i="5"/>
  <c r="FE46" i="5"/>
  <c r="FF46" i="5"/>
  <c r="FG46" i="5"/>
  <c r="FH46" i="5"/>
  <c r="FI46" i="5"/>
  <c r="FJ46" i="5"/>
  <c r="FK46" i="5"/>
  <c r="FL46" i="5"/>
  <c r="FM46" i="5"/>
  <c r="FN46" i="5"/>
  <c r="FO46" i="5"/>
  <c r="FP46" i="5"/>
  <c r="FQ46" i="5"/>
  <c r="FR46" i="5"/>
  <c r="FS46" i="5"/>
  <c r="FT46" i="5"/>
  <c r="FU46" i="5"/>
  <c r="FV46" i="5"/>
  <c r="FW46" i="5"/>
  <c r="FX46" i="5"/>
  <c r="FY46" i="5"/>
  <c r="FZ46" i="5"/>
  <c r="GA46" i="5"/>
  <c r="GB46" i="5"/>
  <c r="GC46" i="5"/>
  <c r="GD46" i="5"/>
  <c r="GE46" i="5"/>
  <c r="GF46" i="5"/>
  <c r="GG46" i="5"/>
  <c r="GH46" i="5"/>
  <c r="GI46" i="5"/>
  <c r="GJ46" i="5"/>
  <c r="GK46" i="5"/>
  <c r="GL46" i="5"/>
  <c r="GM46" i="5"/>
  <c r="GN46" i="5"/>
  <c r="GO46" i="5"/>
  <c r="GP46" i="5"/>
  <c r="GQ46" i="5"/>
  <c r="GR46" i="5"/>
  <c r="GS46" i="5"/>
  <c r="GT46" i="5"/>
  <c r="GU46" i="5"/>
  <c r="GV46" i="5"/>
  <c r="GW46" i="5"/>
  <c r="GX46" i="5"/>
  <c r="GY46" i="5"/>
  <c r="GZ46" i="5"/>
  <c r="HA46" i="5"/>
  <c r="HB46" i="5"/>
  <c r="HC46" i="5"/>
  <c r="HD46" i="5"/>
  <c r="HE46" i="5"/>
  <c r="HF46" i="5"/>
  <c r="HG46" i="5"/>
  <c r="A47" i="5"/>
  <c r="B47" i="5"/>
  <c r="C47" i="5"/>
  <c r="D47" i="5"/>
  <c r="E47" i="5"/>
  <c r="F47" i="5"/>
  <c r="G47" i="5"/>
  <c r="H47" i="5"/>
  <c r="I47" i="5"/>
  <c r="J47" i="5"/>
  <c r="K47" i="5"/>
  <c r="L47" i="5"/>
  <c r="M47" i="5"/>
  <c r="N47" i="5"/>
  <c r="O47" i="5"/>
  <c r="P47" i="5"/>
  <c r="Q47" i="5"/>
  <c r="R47" i="5"/>
  <c r="S47" i="5"/>
  <c r="T47" i="5"/>
  <c r="U47" i="5"/>
  <c r="V47" i="5"/>
  <c r="W47" i="5"/>
  <c r="X47" i="5"/>
  <c r="Y47" i="5"/>
  <c r="Z47" i="5"/>
  <c r="AA47" i="5"/>
  <c r="AB47" i="5"/>
  <c r="AC47" i="5"/>
  <c r="AD47" i="5"/>
  <c r="AE47" i="5"/>
  <c r="AF47" i="5"/>
  <c r="AG47" i="5"/>
  <c r="AH47" i="5"/>
  <c r="AI47" i="5"/>
  <c r="AJ47" i="5"/>
  <c r="AK47" i="5"/>
  <c r="AL47" i="5"/>
  <c r="AM47" i="5"/>
  <c r="AN47" i="5"/>
  <c r="AO47" i="5"/>
  <c r="AP47" i="5"/>
  <c r="AQ47" i="5"/>
  <c r="AR47" i="5"/>
  <c r="AS47" i="5"/>
  <c r="AT47" i="5"/>
  <c r="AU47" i="5"/>
  <c r="AV47" i="5"/>
  <c r="AW47" i="5"/>
  <c r="AX47" i="5"/>
  <c r="AY47" i="5"/>
  <c r="AZ47" i="5"/>
  <c r="BA47" i="5"/>
  <c r="BB47" i="5"/>
  <c r="BC47" i="5"/>
  <c r="BD47" i="5"/>
  <c r="BE47" i="5"/>
  <c r="BF47" i="5"/>
  <c r="BG47" i="5"/>
  <c r="BH47" i="5"/>
  <c r="BI47" i="5"/>
  <c r="BJ47" i="5"/>
  <c r="BK47" i="5"/>
  <c r="BL47" i="5"/>
  <c r="BM47" i="5"/>
  <c r="BN47" i="5"/>
  <c r="BO47" i="5"/>
  <c r="BP47" i="5"/>
  <c r="BQ47" i="5"/>
  <c r="BR47" i="5"/>
  <c r="BS47" i="5"/>
  <c r="BT47" i="5"/>
  <c r="BU47" i="5"/>
  <c r="BV47" i="5"/>
  <c r="BW47" i="5"/>
  <c r="BX47" i="5"/>
  <c r="BY47" i="5"/>
  <c r="BZ47" i="5"/>
  <c r="CA47" i="5"/>
  <c r="CB47" i="5"/>
  <c r="CC47" i="5"/>
  <c r="CD47" i="5"/>
  <c r="CE47" i="5"/>
  <c r="CF47" i="5"/>
  <c r="CG47" i="5"/>
  <c r="CH47" i="5"/>
  <c r="CI47" i="5"/>
  <c r="CJ47" i="5"/>
  <c r="CK47" i="5"/>
  <c r="CL47" i="5"/>
  <c r="CM47" i="5"/>
  <c r="CN47" i="5"/>
  <c r="CO47" i="5"/>
  <c r="CP47" i="5"/>
  <c r="CQ47" i="5"/>
  <c r="CR47" i="5"/>
  <c r="CS47" i="5"/>
  <c r="CT47" i="5"/>
  <c r="CU47" i="5"/>
  <c r="CV47" i="5"/>
  <c r="CW47" i="5"/>
  <c r="CX47" i="5"/>
  <c r="CY47" i="5"/>
  <c r="CZ47" i="5"/>
  <c r="DA47" i="5"/>
  <c r="DB47" i="5"/>
  <c r="DC47" i="5"/>
  <c r="DD47" i="5"/>
  <c r="DE47" i="5"/>
  <c r="DF47" i="5"/>
  <c r="DG47" i="5"/>
  <c r="DH47" i="5"/>
  <c r="DI47" i="5"/>
  <c r="DJ47" i="5"/>
  <c r="DK47" i="5"/>
  <c r="DL47" i="5"/>
  <c r="DM47" i="5"/>
  <c r="DN47" i="5"/>
  <c r="DO47" i="5"/>
  <c r="DP47" i="5"/>
  <c r="DQ47" i="5"/>
  <c r="DR47" i="5"/>
  <c r="DS47" i="5"/>
  <c r="DT47" i="5"/>
  <c r="DU47" i="5"/>
  <c r="DV47" i="5"/>
  <c r="DW47" i="5"/>
  <c r="DX47" i="5"/>
  <c r="DY47" i="5"/>
  <c r="DZ47" i="5"/>
  <c r="EA47" i="5"/>
  <c r="EB47" i="5"/>
  <c r="EC47" i="5"/>
  <c r="ED47" i="5"/>
  <c r="EE47" i="5"/>
  <c r="EF47" i="5"/>
  <c r="EG47" i="5"/>
  <c r="EH47" i="5"/>
  <c r="EI47" i="5"/>
  <c r="EJ47" i="5"/>
  <c r="EK47" i="5"/>
  <c r="EL47" i="5"/>
  <c r="EM47" i="5"/>
  <c r="EN47" i="5"/>
  <c r="EO47" i="5"/>
  <c r="EP47" i="5"/>
  <c r="EQ47" i="5"/>
  <c r="ER47" i="5"/>
  <c r="ES47" i="5"/>
  <c r="ET47" i="5"/>
  <c r="EU47" i="5"/>
  <c r="EV47" i="5"/>
  <c r="EW47" i="5"/>
  <c r="EX47" i="5"/>
  <c r="EY47" i="5"/>
  <c r="EZ47" i="5"/>
  <c r="FA47" i="5"/>
  <c r="FB47" i="5"/>
  <c r="FC47" i="5"/>
  <c r="FD47" i="5"/>
  <c r="FE47" i="5"/>
  <c r="FF47" i="5"/>
  <c r="FG47" i="5"/>
  <c r="FH47" i="5"/>
  <c r="FI47" i="5"/>
  <c r="FJ47" i="5"/>
  <c r="FK47" i="5"/>
  <c r="FL47" i="5"/>
  <c r="FM47" i="5"/>
  <c r="FN47" i="5"/>
  <c r="FO47" i="5"/>
  <c r="FP47" i="5"/>
  <c r="FQ47" i="5"/>
  <c r="FR47" i="5"/>
  <c r="FS47" i="5"/>
  <c r="FT47" i="5"/>
  <c r="FU47" i="5"/>
  <c r="FV47" i="5"/>
  <c r="FW47" i="5"/>
  <c r="FX47" i="5"/>
  <c r="FY47" i="5"/>
  <c r="FZ47" i="5"/>
  <c r="GA47" i="5"/>
  <c r="GB47" i="5"/>
  <c r="GC47" i="5"/>
  <c r="GD47" i="5"/>
  <c r="GE47" i="5"/>
  <c r="GF47" i="5"/>
  <c r="GG47" i="5"/>
  <c r="GH47" i="5"/>
  <c r="GI47" i="5"/>
  <c r="GJ47" i="5"/>
  <c r="GK47" i="5"/>
  <c r="GL47" i="5"/>
  <c r="GM47" i="5"/>
  <c r="GN47" i="5"/>
  <c r="GO47" i="5"/>
  <c r="GP47" i="5"/>
  <c r="GQ47" i="5"/>
  <c r="GR47" i="5"/>
  <c r="GS47" i="5"/>
  <c r="GT47" i="5"/>
  <c r="GU47" i="5"/>
  <c r="GV47" i="5"/>
  <c r="GW47" i="5"/>
  <c r="GX47" i="5"/>
  <c r="GY47" i="5"/>
  <c r="GZ47" i="5"/>
  <c r="HA47" i="5"/>
  <c r="HB47" i="5"/>
  <c r="HC47" i="5"/>
  <c r="HD47" i="5"/>
  <c r="HE47" i="5"/>
  <c r="HF47" i="5"/>
  <c r="HG47" i="5"/>
  <c r="A48" i="5"/>
  <c r="B48" i="5"/>
  <c r="C48" i="5"/>
  <c r="D48" i="5"/>
  <c r="E48" i="5"/>
  <c r="F48" i="5"/>
  <c r="G48" i="5"/>
  <c r="H48" i="5"/>
  <c r="I48" i="5"/>
  <c r="J48" i="5"/>
  <c r="K48" i="5"/>
  <c r="L48" i="5"/>
  <c r="M48" i="5"/>
  <c r="N48" i="5"/>
  <c r="O48" i="5"/>
  <c r="P48" i="5"/>
  <c r="Q48" i="5"/>
  <c r="R48" i="5"/>
  <c r="S48" i="5"/>
  <c r="T48" i="5"/>
  <c r="U48" i="5"/>
  <c r="V48" i="5"/>
  <c r="W48" i="5"/>
  <c r="X48" i="5"/>
  <c r="Y48" i="5"/>
  <c r="Z48" i="5"/>
  <c r="AA48" i="5"/>
  <c r="AB48" i="5"/>
  <c r="AC48" i="5"/>
  <c r="AD48" i="5"/>
  <c r="AE48" i="5"/>
  <c r="AF48" i="5"/>
  <c r="AG48" i="5"/>
  <c r="AH48" i="5"/>
  <c r="AI48" i="5"/>
  <c r="AJ48" i="5"/>
  <c r="AK48" i="5"/>
  <c r="AL48" i="5"/>
  <c r="AM48" i="5"/>
  <c r="AN48" i="5"/>
  <c r="AO48" i="5"/>
  <c r="AP48" i="5"/>
  <c r="AQ48" i="5"/>
  <c r="AR48" i="5"/>
  <c r="AS48" i="5"/>
  <c r="AT48" i="5"/>
  <c r="AU48" i="5"/>
  <c r="AV48" i="5"/>
  <c r="AW48" i="5"/>
  <c r="AX48" i="5"/>
  <c r="AY48" i="5"/>
  <c r="AZ48" i="5"/>
  <c r="BA48" i="5"/>
  <c r="BB48" i="5"/>
  <c r="BC48" i="5"/>
  <c r="BD48" i="5"/>
  <c r="BE48" i="5"/>
  <c r="BF48" i="5"/>
  <c r="BG48" i="5"/>
  <c r="BH48" i="5"/>
  <c r="BI48" i="5"/>
  <c r="BJ48" i="5"/>
  <c r="BK48" i="5"/>
  <c r="BL48" i="5"/>
  <c r="BM48" i="5"/>
  <c r="BN48" i="5"/>
  <c r="BO48" i="5"/>
  <c r="BP48" i="5"/>
  <c r="BQ48" i="5"/>
  <c r="BR48" i="5"/>
  <c r="BS48" i="5"/>
  <c r="BT48" i="5"/>
  <c r="BU48" i="5"/>
  <c r="BV48" i="5"/>
  <c r="BW48" i="5"/>
  <c r="BX48" i="5"/>
  <c r="BY48" i="5"/>
  <c r="BZ48" i="5"/>
  <c r="CA48" i="5"/>
  <c r="CB48" i="5"/>
  <c r="CC48" i="5"/>
  <c r="CD48" i="5"/>
  <c r="CE48" i="5"/>
  <c r="CF48" i="5"/>
  <c r="CG48" i="5"/>
  <c r="CH48" i="5"/>
  <c r="CI48" i="5"/>
  <c r="CJ48" i="5"/>
  <c r="CK48" i="5"/>
  <c r="CL48" i="5"/>
  <c r="CM48" i="5"/>
  <c r="CN48" i="5"/>
  <c r="CO48" i="5"/>
  <c r="CP48" i="5"/>
  <c r="CQ48" i="5"/>
  <c r="CR48" i="5"/>
  <c r="CS48" i="5"/>
  <c r="CT48" i="5"/>
  <c r="CU48" i="5"/>
  <c r="CV48" i="5"/>
  <c r="CW48" i="5"/>
  <c r="CX48" i="5"/>
  <c r="CY48" i="5"/>
  <c r="CZ48" i="5"/>
  <c r="DA48" i="5"/>
  <c r="DB48" i="5"/>
  <c r="DC48" i="5"/>
  <c r="DD48" i="5"/>
  <c r="DE48" i="5"/>
  <c r="DF48" i="5"/>
  <c r="DG48" i="5"/>
  <c r="DH48" i="5"/>
  <c r="DI48" i="5"/>
  <c r="DJ48" i="5"/>
  <c r="DK48" i="5"/>
  <c r="DL48" i="5"/>
  <c r="DM48" i="5"/>
  <c r="DN48" i="5"/>
  <c r="DO48" i="5"/>
  <c r="DP48" i="5"/>
  <c r="DQ48" i="5"/>
  <c r="DR48" i="5"/>
  <c r="DS48" i="5"/>
  <c r="DT48" i="5"/>
  <c r="DU48" i="5"/>
  <c r="DV48" i="5"/>
  <c r="DW48" i="5"/>
  <c r="DX48" i="5"/>
  <c r="DY48" i="5"/>
  <c r="DZ48" i="5"/>
  <c r="EA48" i="5"/>
  <c r="EB48" i="5"/>
  <c r="EC48" i="5"/>
  <c r="ED48" i="5"/>
  <c r="EE48" i="5"/>
  <c r="EF48" i="5"/>
  <c r="EG48" i="5"/>
  <c r="EH48" i="5"/>
  <c r="EI48" i="5"/>
  <c r="EJ48" i="5"/>
  <c r="EK48" i="5"/>
  <c r="EL48" i="5"/>
  <c r="EM48" i="5"/>
  <c r="EN48" i="5"/>
  <c r="EO48" i="5"/>
  <c r="EP48" i="5"/>
  <c r="EQ48" i="5"/>
  <c r="ER48" i="5"/>
  <c r="ES48" i="5"/>
  <c r="ET48" i="5"/>
  <c r="EU48" i="5"/>
  <c r="EV48" i="5"/>
  <c r="EW48" i="5"/>
  <c r="EX48" i="5"/>
  <c r="EY48" i="5"/>
  <c r="EZ48" i="5"/>
  <c r="FA48" i="5"/>
  <c r="FB48" i="5"/>
  <c r="FC48" i="5"/>
  <c r="FD48" i="5"/>
  <c r="FE48" i="5"/>
  <c r="FF48" i="5"/>
  <c r="FG48" i="5"/>
  <c r="FH48" i="5"/>
  <c r="FI48" i="5"/>
  <c r="FJ48" i="5"/>
  <c r="FK48" i="5"/>
  <c r="FL48" i="5"/>
  <c r="FM48" i="5"/>
  <c r="FN48" i="5"/>
  <c r="FO48" i="5"/>
  <c r="FP48" i="5"/>
  <c r="FQ48" i="5"/>
  <c r="FR48" i="5"/>
  <c r="FS48" i="5"/>
  <c r="FT48" i="5"/>
  <c r="FU48" i="5"/>
  <c r="FV48" i="5"/>
  <c r="FW48" i="5"/>
  <c r="FX48" i="5"/>
  <c r="FY48" i="5"/>
  <c r="FZ48" i="5"/>
  <c r="GA48" i="5"/>
  <c r="GB48" i="5"/>
  <c r="GC48" i="5"/>
  <c r="GD48" i="5"/>
  <c r="GE48" i="5"/>
  <c r="GF48" i="5"/>
  <c r="GG48" i="5"/>
  <c r="GH48" i="5"/>
  <c r="GI48" i="5"/>
  <c r="GJ48" i="5"/>
  <c r="GK48" i="5"/>
  <c r="GL48" i="5"/>
  <c r="GM48" i="5"/>
  <c r="GN48" i="5"/>
  <c r="GO48" i="5"/>
  <c r="GP48" i="5"/>
  <c r="GQ48" i="5"/>
  <c r="GR48" i="5"/>
  <c r="GS48" i="5"/>
  <c r="GT48" i="5"/>
  <c r="GU48" i="5"/>
  <c r="GV48" i="5"/>
  <c r="GW48" i="5"/>
  <c r="GX48" i="5"/>
  <c r="GY48" i="5"/>
  <c r="GZ48" i="5"/>
  <c r="HA48" i="5"/>
  <c r="HB48" i="5"/>
  <c r="HC48" i="5"/>
  <c r="HD48" i="5"/>
  <c r="HE48" i="5"/>
  <c r="HF48" i="5"/>
  <c r="HG48" i="5"/>
  <c r="A49" i="5"/>
  <c r="B49" i="5"/>
  <c r="C49" i="5"/>
  <c r="D49" i="5"/>
  <c r="E49" i="5"/>
  <c r="F49" i="5"/>
  <c r="G49" i="5"/>
  <c r="H49" i="5"/>
  <c r="I49" i="5"/>
  <c r="J49" i="5"/>
  <c r="K49" i="5"/>
  <c r="L49" i="5"/>
  <c r="M49" i="5"/>
  <c r="N49" i="5"/>
  <c r="O49" i="5"/>
  <c r="P49" i="5"/>
  <c r="Q49" i="5"/>
  <c r="R49" i="5"/>
  <c r="S49" i="5"/>
  <c r="T49" i="5"/>
  <c r="U49" i="5"/>
  <c r="V49" i="5"/>
  <c r="W49" i="5"/>
  <c r="X49" i="5"/>
  <c r="Y49" i="5"/>
  <c r="Z49" i="5"/>
  <c r="AA49" i="5"/>
  <c r="AB49" i="5"/>
  <c r="AC49" i="5"/>
  <c r="AD49" i="5"/>
  <c r="AE49" i="5"/>
  <c r="AF49" i="5"/>
  <c r="AG49" i="5"/>
  <c r="AH49" i="5"/>
  <c r="AI49" i="5"/>
  <c r="AJ49" i="5"/>
  <c r="AK49" i="5"/>
  <c r="AL49" i="5"/>
  <c r="AM49" i="5"/>
  <c r="AN49" i="5"/>
  <c r="AO49" i="5"/>
  <c r="AP49" i="5"/>
  <c r="AQ49" i="5"/>
  <c r="AR49" i="5"/>
  <c r="AS49" i="5"/>
  <c r="AT49" i="5"/>
  <c r="AU49" i="5"/>
  <c r="AV49" i="5"/>
  <c r="AW49" i="5"/>
  <c r="AX49" i="5"/>
  <c r="AY49" i="5"/>
  <c r="AZ49" i="5"/>
  <c r="BA49" i="5"/>
  <c r="BB49" i="5"/>
  <c r="BC49" i="5"/>
  <c r="BD49" i="5"/>
  <c r="BE49" i="5"/>
  <c r="BF49" i="5"/>
  <c r="BG49" i="5"/>
  <c r="BH49" i="5"/>
  <c r="BI49" i="5"/>
  <c r="BJ49" i="5"/>
  <c r="BK49" i="5"/>
  <c r="BL49" i="5"/>
  <c r="BM49" i="5"/>
  <c r="BN49" i="5"/>
  <c r="BO49" i="5"/>
  <c r="BP49" i="5"/>
  <c r="BQ49" i="5"/>
  <c r="BR49" i="5"/>
  <c r="BS49" i="5"/>
  <c r="BT49" i="5"/>
  <c r="BU49" i="5"/>
  <c r="BV49" i="5"/>
  <c r="BW49" i="5"/>
  <c r="BX49" i="5"/>
  <c r="BY49" i="5"/>
  <c r="BZ49" i="5"/>
  <c r="CA49" i="5"/>
  <c r="CB49" i="5"/>
  <c r="CC49" i="5"/>
  <c r="CD49" i="5"/>
  <c r="CE49" i="5"/>
  <c r="CF49" i="5"/>
  <c r="CG49" i="5"/>
  <c r="CH49" i="5"/>
  <c r="CI49" i="5"/>
  <c r="CJ49" i="5"/>
  <c r="CK49" i="5"/>
  <c r="CL49" i="5"/>
  <c r="CM49" i="5"/>
  <c r="CN49" i="5"/>
  <c r="CO49" i="5"/>
  <c r="CP49" i="5"/>
  <c r="CQ49" i="5"/>
  <c r="CR49" i="5"/>
  <c r="CS49" i="5"/>
  <c r="CT49" i="5"/>
  <c r="CU49" i="5"/>
  <c r="CV49" i="5"/>
  <c r="CW49" i="5"/>
  <c r="CX49" i="5"/>
  <c r="CY49" i="5"/>
  <c r="CZ49" i="5"/>
  <c r="DA49" i="5"/>
  <c r="DB49" i="5"/>
  <c r="DC49" i="5"/>
  <c r="DD49" i="5"/>
  <c r="DE49" i="5"/>
  <c r="DF49" i="5"/>
  <c r="DG49" i="5"/>
  <c r="DH49" i="5"/>
  <c r="DI49" i="5"/>
  <c r="DJ49" i="5"/>
  <c r="DK49" i="5"/>
  <c r="DL49" i="5"/>
  <c r="DM49" i="5"/>
  <c r="DN49" i="5"/>
  <c r="DO49" i="5"/>
  <c r="DP49" i="5"/>
  <c r="DQ49" i="5"/>
  <c r="DR49" i="5"/>
  <c r="DS49" i="5"/>
  <c r="DT49" i="5"/>
  <c r="DU49" i="5"/>
  <c r="DV49" i="5"/>
  <c r="DW49" i="5"/>
  <c r="DX49" i="5"/>
  <c r="DY49" i="5"/>
  <c r="DZ49" i="5"/>
  <c r="EA49" i="5"/>
  <c r="EB49" i="5"/>
  <c r="EC49" i="5"/>
  <c r="ED49" i="5"/>
  <c r="EE49" i="5"/>
  <c r="EF49" i="5"/>
  <c r="EG49" i="5"/>
  <c r="EH49" i="5"/>
  <c r="EI49" i="5"/>
  <c r="EJ49" i="5"/>
  <c r="EK49" i="5"/>
  <c r="EL49" i="5"/>
  <c r="EM49" i="5"/>
  <c r="EN49" i="5"/>
  <c r="EO49" i="5"/>
  <c r="EP49" i="5"/>
  <c r="EQ49" i="5"/>
  <c r="ER49" i="5"/>
  <c r="ES49" i="5"/>
  <c r="ET49" i="5"/>
  <c r="EU49" i="5"/>
  <c r="EV49" i="5"/>
  <c r="EW49" i="5"/>
  <c r="EX49" i="5"/>
  <c r="EY49" i="5"/>
  <c r="EZ49" i="5"/>
  <c r="FA49" i="5"/>
  <c r="FB49" i="5"/>
  <c r="FC49" i="5"/>
  <c r="FD49" i="5"/>
  <c r="FE49" i="5"/>
  <c r="FF49" i="5"/>
  <c r="FG49" i="5"/>
  <c r="FH49" i="5"/>
  <c r="FI49" i="5"/>
  <c r="FJ49" i="5"/>
  <c r="FK49" i="5"/>
  <c r="FL49" i="5"/>
  <c r="FM49" i="5"/>
  <c r="FN49" i="5"/>
  <c r="FO49" i="5"/>
  <c r="FP49" i="5"/>
  <c r="FQ49" i="5"/>
  <c r="FR49" i="5"/>
  <c r="FS49" i="5"/>
  <c r="FT49" i="5"/>
  <c r="FU49" i="5"/>
  <c r="FV49" i="5"/>
  <c r="FW49" i="5"/>
  <c r="FX49" i="5"/>
  <c r="FY49" i="5"/>
  <c r="FZ49" i="5"/>
  <c r="GA49" i="5"/>
  <c r="GB49" i="5"/>
  <c r="GC49" i="5"/>
  <c r="GD49" i="5"/>
  <c r="GE49" i="5"/>
  <c r="GF49" i="5"/>
  <c r="GG49" i="5"/>
  <c r="GH49" i="5"/>
  <c r="GI49" i="5"/>
  <c r="GJ49" i="5"/>
  <c r="GK49" i="5"/>
  <c r="GL49" i="5"/>
  <c r="GM49" i="5"/>
  <c r="GN49" i="5"/>
  <c r="GO49" i="5"/>
  <c r="GP49" i="5"/>
  <c r="GQ49" i="5"/>
  <c r="GR49" i="5"/>
  <c r="GS49" i="5"/>
  <c r="GT49" i="5"/>
  <c r="GU49" i="5"/>
  <c r="GV49" i="5"/>
  <c r="GW49" i="5"/>
  <c r="GX49" i="5"/>
  <c r="GY49" i="5"/>
  <c r="GZ49" i="5"/>
  <c r="HA49" i="5"/>
  <c r="HB49" i="5"/>
  <c r="HC49" i="5"/>
  <c r="HD49" i="5"/>
  <c r="HE49" i="5"/>
  <c r="HF49" i="5"/>
  <c r="HG49" i="5"/>
  <c r="A50" i="5"/>
  <c r="B50" i="5"/>
  <c r="C50" i="5"/>
  <c r="D50" i="5"/>
  <c r="E50" i="5"/>
  <c r="F50" i="5"/>
  <c r="G50" i="5"/>
  <c r="H50" i="5"/>
  <c r="I50" i="5"/>
  <c r="J50" i="5"/>
  <c r="K50" i="5"/>
  <c r="L50" i="5"/>
  <c r="M50" i="5"/>
  <c r="N50" i="5"/>
  <c r="O50" i="5"/>
  <c r="P50" i="5"/>
  <c r="Q50" i="5"/>
  <c r="R50" i="5"/>
  <c r="S50" i="5"/>
  <c r="T50" i="5"/>
  <c r="U50" i="5"/>
  <c r="V50" i="5"/>
  <c r="W50" i="5"/>
  <c r="X50" i="5"/>
  <c r="Y50" i="5"/>
  <c r="Z50" i="5"/>
  <c r="AA50" i="5"/>
  <c r="AB50" i="5"/>
  <c r="AC50" i="5"/>
  <c r="AD50" i="5"/>
  <c r="AE50" i="5"/>
  <c r="AF50" i="5"/>
  <c r="AG50" i="5"/>
  <c r="AH50" i="5"/>
  <c r="AI50" i="5"/>
  <c r="AJ50" i="5"/>
  <c r="AK50" i="5"/>
  <c r="AL50" i="5"/>
  <c r="AM50" i="5"/>
  <c r="AN50" i="5"/>
  <c r="AO50" i="5"/>
  <c r="AP50" i="5"/>
  <c r="AQ50" i="5"/>
  <c r="AR50" i="5"/>
  <c r="AS50" i="5"/>
  <c r="AT50" i="5"/>
  <c r="AU50" i="5"/>
  <c r="AV50" i="5"/>
  <c r="AW50" i="5"/>
  <c r="AX50" i="5"/>
  <c r="AY50" i="5"/>
  <c r="AZ50" i="5"/>
  <c r="BA50" i="5"/>
  <c r="BB50" i="5"/>
  <c r="BC50" i="5"/>
  <c r="BD50" i="5"/>
  <c r="BE50" i="5"/>
  <c r="BF50" i="5"/>
  <c r="BG50" i="5"/>
  <c r="BH50" i="5"/>
  <c r="BI50" i="5"/>
  <c r="BJ50" i="5"/>
  <c r="BK50" i="5"/>
  <c r="BL50" i="5"/>
  <c r="BM50" i="5"/>
  <c r="BN50" i="5"/>
  <c r="BO50" i="5"/>
  <c r="BP50" i="5"/>
  <c r="BQ50" i="5"/>
  <c r="BR50" i="5"/>
  <c r="BS50" i="5"/>
  <c r="BT50" i="5"/>
  <c r="BU50" i="5"/>
  <c r="BV50" i="5"/>
  <c r="BW50" i="5"/>
  <c r="BX50" i="5"/>
  <c r="BY50" i="5"/>
  <c r="BZ50" i="5"/>
  <c r="CA50" i="5"/>
  <c r="CB50" i="5"/>
  <c r="CC50" i="5"/>
  <c r="CD50" i="5"/>
  <c r="CE50" i="5"/>
  <c r="CF50" i="5"/>
  <c r="CG50" i="5"/>
  <c r="CH50" i="5"/>
  <c r="CI50" i="5"/>
  <c r="CJ50" i="5"/>
  <c r="CK50" i="5"/>
  <c r="CL50" i="5"/>
  <c r="CM50" i="5"/>
  <c r="CN50" i="5"/>
  <c r="CO50" i="5"/>
  <c r="CP50" i="5"/>
  <c r="CQ50" i="5"/>
  <c r="CR50" i="5"/>
  <c r="CS50" i="5"/>
  <c r="CT50" i="5"/>
  <c r="CU50" i="5"/>
  <c r="CV50" i="5"/>
  <c r="CW50" i="5"/>
  <c r="CX50" i="5"/>
  <c r="CY50" i="5"/>
  <c r="CZ50" i="5"/>
  <c r="DA50" i="5"/>
  <c r="DB50" i="5"/>
  <c r="DC50" i="5"/>
  <c r="DD50" i="5"/>
  <c r="DE50" i="5"/>
  <c r="DF50" i="5"/>
  <c r="DG50" i="5"/>
  <c r="DH50" i="5"/>
  <c r="DI50" i="5"/>
  <c r="DJ50" i="5"/>
  <c r="DK50" i="5"/>
  <c r="DL50" i="5"/>
  <c r="DM50" i="5"/>
  <c r="DN50" i="5"/>
  <c r="DO50" i="5"/>
  <c r="DP50" i="5"/>
  <c r="DQ50" i="5"/>
  <c r="DR50" i="5"/>
  <c r="DS50" i="5"/>
  <c r="DT50" i="5"/>
  <c r="DU50" i="5"/>
  <c r="DV50" i="5"/>
  <c r="DW50" i="5"/>
  <c r="DX50" i="5"/>
  <c r="DY50" i="5"/>
  <c r="DZ50" i="5"/>
  <c r="EA50" i="5"/>
  <c r="EB50" i="5"/>
  <c r="EC50" i="5"/>
  <c r="ED50" i="5"/>
  <c r="EE50" i="5"/>
  <c r="EF50" i="5"/>
  <c r="EG50" i="5"/>
  <c r="EH50" i="5"/>
  <c r="EI50" i="5"/>
  <c r="EJ50" i="5"/>
  <c r="EK50" i="5"/>
  <c r="EL50" i="5"/>
  <c r="EM50" i="5"/>
  <c r="EN50" i="5"/>
  <c r="EO50" i="5"/>
  <c r="EP50" i="5"/>
  <c r="EQ50" i="5"/>
  <c r="ER50" i="5"/>
  <c r="ES50" i="5"/>
  <c r="ET50" i="5"/>
  <c r="EU50" i="5"/>
  <c r="EV50" i="5"/>
  <c r="EW50" i="5"/>
  <c r="EX50" i="5"/>
  <c r="EY50" i="5"/>
  <c r="EZ50" i="5"/>
  <c r="FA50" i="5"/>
  <c r="FB50" i="5"/>
  <c r="FC50" i="5"/>
  <c r="FD50" i="5"/>
  <c r="FE50" i="5"/>
  <c r="FF50" i="5"/>
  <c r="FG50" i="5"/>
  <c r="FH50" i="5"/>
  <c r="FI50" i="5"/>
  <c r="FJ50" i="5"/>
  <c r="FK50" i="5"/>
  <c r="FL50" i="5"/>
  <c r="FM50" i="5"/>
  <c r="FN50" i="5"/>
  <c r="FO50" i="5"/>
  <c r="FP50" i="5"/>
  <c r="FQ50" i="5"/>
  <c r="FR50" i="5"/>
  <c r="FS50" i="5"/>
  <c r="FT50" i="5"/>
  <c r="FU50" i="5"/>
  <c r="FV50" i="5"/>
  <c r="FW50" i="5"/>
  <c r="FX50" i="5"/>
  <c r="FY50" i="5"/>
  <c r="FZ50" i="5"/>
  <c r="GA50" i="5"/>
  <c r="GB50" i="5"/>
  <c r="GC50" i="5"/>
  <c r="GD50" i="5"/>
  <c r="GE50" i="5"/>
  <c r="GF50" i="5"/>
  <c r="GG50" i="5"/>
  <c r="GH50" i="5"/>
  <c r="GI50" i="5"/>
  <c r="GJ50" i="5"/>
  <c r="GK50" i="5"/>
  <c r="GL50" i="5"/>
  <c r="GM50" i="5"/>
  <c r="GN50" i="5"/>
  <c r="GO50" i="5"/>
  <c r="GP50" i="5"/>
  <c r="GQ50" i="5"/>
  <c r="GR50" i="5"/>
  <c r="GS50" i="5"/>
  <c r="GT50" i="5"/>
  <c r="GU50" i="5"/>
  <c r="GV50" i="5"/>
  <c r="GW50" i="5"/>
  <c r="GX50" i="5"/>
  <c r="GY50" i="5"/>
  <c r="GZ50" i="5"/>
  <c r="HA50" i="5"/>
  <c r="HB50" i="5"/>
  <c r="HC50" i="5"/>
  <c r="HD50" i="5"/>
  <c r="HE50" i="5"/>
  <c r="HF50" i="5"/>
  <c r="HG50" i="5"/>
  <c r="A51" i="5"/>
  <c r="B51" i="5"/>
  <c r="C51" i="5"/>
  <c r="D51" i="5"/>
  <c r="E51" i="5"/>
  <c r="F51" i="5"/>
  <c r="G51" i="5"/>
  <c r="H51" i="5"/>
  <c r="I51" i="5"/>
  <c r="J51" i="5"/>
  <c r="K51" i="5"/>
  <c r="L51" i="5"/>
  <c r="M51" i="5"/>
  <c r="N51" i="5"/>
  <c r="O51" i="5"/>
  <c r="P51" i="5"/>
  <c r="Q51" i="5"/>
  <c r="R51" i="5"/>
  <c r="S51" i="5"/>
  <c r="T51" i="5"/>
  <c r="U51" i="5"/>
  <c r="V51" i="5"/>
  <c r="W51" i="5"/>
  <c r="X51" i="5"/>
  <c r="Y51" i="5"/>
  <c r="Z51" i="5"/>
  <c r="AA51" i="5"/>
  <c r="AB51" i="5"/>
  <c r="AC51" i="5"/>
  <c r="AD51" i="5"/>
  <c r="AE51" i="5"/>
  <c r="AF51" i="5"/>
  <c r="AG51" i="5"/>
  <c r="AH51" i="5"/>
  <c r="AI51" i="5"/>
  <c r="AJ51" i="5"/>
  <c r="AK51" i="5"/>
  <c r="AL51" i="5"/>
  <c r="AM51" i="5"/>
  <c r="AN51" i="5"/>
  <c r="AO51" i="5"/>
  <c r="AP51" i="5"/>
  <c r="AQ51" i="5"/>
  <c r="AR51" i="5"/>
  <c r="AS51" i="5"/>
  <c r="AT51" i="5"/>
  <c r="AU51" i="5"/>
  <c r="AV51" i="5"/>
  <c r="AW51" i="5"/>
  <c r="AX51" i="5"/>
  <c r="AY51" i="5"/>
  <c r="AZ51" i="5"/>
  <c r="BA51" i="5"/>
  <c r="BB51" i="5"/>
  <c r="BC51" i="5"/>
  <c r="BD51" i="5"/>
  <c r="BE51" i="5"/>
  <c r="BF51" i="5"/>
  <c r="BG51" i="5"/>
  <c r="BH51" i="5"/>
  <c r="BI51" i="5"/>
  <c r="BJ51" i="5"/>
  <c r="BK51" i="5"/>
  <c r="BL51" i="5"/>
  <c r="BM51" i="5"/>
  <c r="BN51" i="5"/>
  <c r="BO51" i="5"/>
  <c r="BP51" i="5"/>
  <c r="BQ51" i="5"/>
  <c r="BR51" i="5"/>
  <c r="BS51" i="5"/>
  <c r="BT51" i="5"/>
  <c r="BU51" i="5"/>
  <c r="BV51" i="5"/>
  <c r="BW51" i="5"/>
  <c r="BX51" i="5"/>
  <c r="BY51" i="5"/>
  <c r="BZ51" i="5"/>
  <c r="CA51" i="5"/>
  <c r="CB51" i="5"/>
  <c r="CC51" i="5"/>
  <c r="CD51" i="5"/>
  <c r="CE51" i="5"/>
  <c r="CF51" i="5"/>
  <c r="CG51" i="5"/>
  <c r="CH51" i="5"/>
  <c r="CI51" i="5"/>
  <c r="CJ51" i="5"/>
  <c r="CK51" i="5"/>
  <c r="CL51" i="5"/>
  <c r="CM51" i="5"/>
  <c r="CN51" i="5"/>
  <c r="CO51" i="5"/>
  <c r="CP51" i="5"/>
  <c r="CQ51" i="5"/>
  <c r="CR51" i="5"/>
  <c r="CS51" i="5"/>
  <c r="CT51" i="5"/>
  <c r="CU51" i="5"/>
  <c r="CV51" i="5"/>
  <c r="CW51" i="5"/>
  <c r="CX51" i="5"/>
  <c r="CY51" i="5"/>
  <c r="CZ51" i="5"/>
  <c r="DA51" i="5"/>
  <c r="DB51" i="5"/>
  <c r="DC51" i="5"/>
  <c r="DD51" i="5"/>
  <c r="DE51" i="5"/>
  <c r="DF51" i="5"/>
  <c r="DG51" i="5"/>
  <c r="DH51" i="5"/>
  <c r="DI51" i="5"/>
  <c r="DJ51" i="5"/>
  <c r="DK51" i="5"/>
  <c r="DL51" i="5"/>
  <c r="DM51" i="5"/>
  <c r="DN51" i="5"/>
  <c r="DO51" i="5"/>
  <c r="DP51" i="5"/>
  <c r="DQ51" i="5"/>
  <c r="DR51" i="5"/>
  <c r="DS51" i="5"/>
  <c r="DT51" i="5"/>
  <c r="DU51" i="5"/>
  <c r="DV51" i="5"/>
  <c r="DW51" i="5"/>
  <c r="DX51" i="5"/>
  <c r="DY51" i="5"/>
  <c r="DZ51" i="5"/>
  <c r="EA51" i="5"/>
  <c r="EB51" i="5"/>
  <c r="EC51" i="5"/>
  <c r="ED51" i="5"/>
  <c r="EE51" i="5"/>
  <c r="EF51" i="5"/>
  <c r="EG51" i="5"/>
  <c r="EH51" i="5"/>
  <c r="EI51" i="5"/>
  <c r="EJ51" i="5"/>
  <c r="EK51" i="5"/>
  <c r="EL51" i="5"/>
  <c r="EM51" i="5"/>
  <c r="EN51" i="5"/>
  <c r="EO51" i="5"/>
  <c r="EP51" i="5"/>
  <c r="EQ51" i="5"/>
  <c r="ER51" i="5"/>
  <c r="ES51" i="5"/>
  <c r="ET51" i="5"/>
  <c r="EU51" i="5"/>
  <c r="EV51" i="5"/>
  <c r="EW51" i="5"/>
  <c r="EX51" i="5"/>
  <c r="EY51" i="5"/>
  <c r="EZ51" i="5"/>
  <c r="FA51" i="5"/>
  <c r="FB51" i="5"/>
  <c r="FC51" i="5"/>
  <c r="FD51" i="5"/>
  <c r="FE51" i="5"/>
  <c r="FF51" i="5"/>
  <c r="FG51" i="5"/>
  <c r="FH51" i="5"/>
  <c r="FI51" i="5"/>
  <c r="FJ51" i="5"/>
  <c r="FK51" i="5"/>
  <c r="FL51" i="5"/>
  <c r="FM51" i="5"/>
  <c r="FN51" i="5"/>
  <c r="FO51" i="5"/>
  <c r="FP51" i="5"/>
  <c r="FQ51" i="5"/>
  <c r="FR51" i="5"/>
  <c r="FS51" i="5"/>
  <c r="FT51" i="5"/>
  <c r="FU51" i="5"/>
  <c r="FV51" i="5"/>
  <c r="FW51" i="5"/>
  <c r="FX51" i="5"/>
  <c r="FY51" i="5"/>
  <c r="FZ51" i="5"/>
  <c r="GA51" i="5"/>
  <c r="GB51" i="5"/>
  <c r="GC51" i="5"/>
  <c r="GD51" i="5"/>
  <c r="GE51" i="5"/>
  <c r="GF51" i="5"/>
  <c r="GG51" i="5"/>
  <c r="GH51" i="5"/>
  <c r="GI51" i="5"/>
  <c r="GJ51" i="5"/>
  <c r="GK51" i="5"/>
  <c r="GL51" i="5"/>
  <c r="GM51" i="5"/>
  <c r="GN51" i="5"/>
  <c r="GO51" i="5"/>
  <c r="GP51" i="5"/>
  <c r="GQ51" i="5"/>
  <c r="GR51" i="5"/>
  <c r="GS51" i="5"/>
  <c r="GT51" i="5"/>
  <c r="GU51" i="5"/>
  <c r="GV51" i="5"/>
  <c r="GW51" i="5"/>
  <c r="GX51" i="5"/>
  <c r="GY51" i="5"/>
  <c r="GZ51" i="5"/>
  <c r="HA51" i="5"/>
  <c r="HB51" i="5"/>
  <c r="HC51" i="5"/>
  <c r="HD51" i="5"/>
  <c r="HE51" i="5"/>
  <c r="HF51" i="5"/>
  <c r="HG51" i="5"/>
  <c r="A52" i="5"/>
  <c r="B52" i="5"/>
  <c r="C52" i="5"/>
  <c r="D52" i="5"/>
  <c r="E52" i="5"/>
  <c r="F52" i="5"/>
  <c r="G52" i="5"/>
  <c r="H52" i="5"/>
  <c r="I52" i="5"/>
  <c r="J52" i="5"/>
  <c r="K52" i="5"/>
  <c r="L52" i="5"/>
  <c r="M52" i="5"/>
  <c r="N52" i="5"/>
  <c r="O52" i="5"/>
  <c r="P52" i="5"/>
  <c r="Q52" i="5"/>
  <c r="R52" i="5"/>
  <c r="S52" i="5"/>
  <c r="T52" i="5"/>
  <c r="U52" i="5"/>
  <c r="V52" i="5"/>
  <c r="W52" i="5"/>
  <c r="X52" i="5"/>
  <c r="Y52" i="5"/>
  <c r="Z52" i="5"/>
  <c r="AA52" i="5"/>
  <c r="AB52" i="5"/>
  <c r="AC52" i="5"/>
  <c r="AD52" i="5"/>
  <c r="AE52" i="5"/>
  <c r="AF52" i="5"/>
  <c r="AG52" i="5"/>
  <c r="AH52" i="5"/>
  <c r="AI52" i="5"/>
  <c r="AJ52" i="5"/>
  <c r="AK52" i="5"/>
  <c r="AL52" i="5"/>
  <c r="AM52" i="5"/>
  <c r="AN52" i="5"/>
  <c r="AO52" i="5"/>
  <c r="AP52" i="5"/>
  <c r="AQ52" i="5"/>
  <c r="AR52" i="5"/>
  <c r="AS52" i="5"/>
  <c r="AT52" i="5"/>
  <c r="AU52" i="5"/>
  <c r="AV52" i="5"/>
  <c r="AW52" i="5"/>
  <c r="AX52" i="5"/>
  <c r="AY52" i="5"/>
  <c r="AZ52" i="5"/>
  <c r="BA52" i="5"/>
  <c r="BB52" i="5"/>
  <c r="BC52" i="5"/>
  <c r="BD52" i="5"/>
  <c r="BE52" i="5"/>
  <c r="BF52" i="5"/>
  <c r="BG52" i="5"/>
  <c r="BH52" i="5"/>
  <c r="BI52" i="5"/>
  <c r="BJ52" i="5"/>
  <c r="BK52" i="5"/>
  <c r="BL52" i="5"/>
  <c r="BM52" i="5"/>
  <c r="BN52" i="5"/>
  <c r="BO52" i="5"/>
  <c r="BP52" i="5"/>
  <c r="BQ52" i="5"/>
  <c r="BR52" i="5"/>
  <c r="BS52" i="5"/>
  <c r="BT52" i="5"/>
  <c r="BU52" i="5"/>
  <c r="BV52" i="5"/>
  <c r="BW52" i="5"/>
  <c r="BX52" i="5"/>
  <c r="BY52" i="5"/>
  <c r="BZ52" i="5"/>
  <c r="CA52" i="5"/>
  <c r="CB52" i="5"/>
  <c r="CC52" i="5"/>
  <c r="CD52" i="5"/>
  <c r="CE52" i="5"/>
  <c r="CF52" i="5"/>
  <c r="CG52" i="5"/>
  <c r="CH52" i="5"/>
  <c r="CI52" i="5"/>
  <c r="CJ52" i="5"/>
  <c r="CK52" i="5"/>
  <c r="CL52" i="5"/>
  <c r="CM52" i="5"/>
  <c r="CN52" i="5"/>
  <c r="CO52" i="5"/>
  <c r="CP52" i="5"/>
  <c r="CQ52" i="5"/>
  <c r="CR52" i="5"/>
  <c r="CS52" i="5"/>
  <c r="CT52" i="5"/>
  <c r="CU52" i="5"/>
  <c r="CV52" i="5"/>
  <c r="CW52" i="5"/>
  <c r="CX52" i="5"/>
  <c r="CY52" i="5"/>
  <c r="CZ52" i="5"/>
  <c r="DA52" i="5"/>
  <c r="DB52" i="5"/>
  <c r="DC52" i="5"/>
  <c r="DD52" i="5"/>
  <c r="DE52" i="5"/>
  <c r="DF52" i="5"/>
  <c r="DG52" i="5"/>
  <c r="DH52" i="5"/>
  <c r="DI52" i="5"/>
  <c r="DJ52" i="5"/>
  <c r="DK52" i="5"/>
  <c r="DL52" i="5"/>
  <c r="DM52" i="5"/>
  <c r="DN52" i="5"/>
  <c r="DO52" i="5"/>
  <c r="DP52" i="5"/>
  <c r="DQ52" i="5"/>
  <c r="DR52" i="5"/>
  <c r="DS52" i="5"/>
  <c r="DT52" i="5"/>
  <c r="DU52" i="5"/>
  <c r="DV52" i="5"/>
  <c r="DW52" i="5"/>
  <c r="DX52" i="5"/>
  <c r="DY52" i="5"/>
  <c r="DZ52" i="5"/>
  <c r="EA52" i="5"/>
  <c r="EB52" i="5"/>
  <c r="EC52" i="5"/>
  <c r="ED52" i="5"/>
  <c r="EE52" i="5"/>
  <c r="EF52" i="5"/>
  <c r="EG52" i="5"/>
  <c r="EH52" i="5"/>
  <c r="EI52" i="5"/>
  <c r="EJ52" i="5"/>
  <c r="EK52" i="5"/>
  <c r="EL52" i="5"/>
  <c r="EM52" i="5"/>
  <c r="EN52" i="5"/>
  <c r="EO52" i="5"/>
  <c r="EP52" i="5"/>
  <c r="EQ52" i="5"/>
  <c r="ER52" i="5"/>
  <c r="ES52" i="5"/>
  <c r="ET52" i="5"/>
  <c r="EU52" i="5"/>
  <c r="EV52" i="5"/>
  <c r="EW52" i="5"/>
  <c r="EX52" i="5"/>
  <c r="EY52" i="5"/>
  <c r="EZ52" i="5"/>
  <c r="FA52" i="5"/>
  <c r="FB52" i="5"/>
  <c r="FC52" i="5"/>
  <c r="FD52" i="5"/>
  <c r="FE52" i="5"/>
  <c r="FF52" i="5"/>
  <c r="FG52" i="5"/>
  <c r="FH52" i="5"/>
  <c r="FI52" i="5"/>
  <c r="FJ52" i="5"/>
  <c r="FK52" i="5"/>
  <c r="FL52" i="5"/>
  <c r="FM52" i="5"/>
  <c r="FN52" i="5"/>
  <c r="FO52" i="5"/>
  <c r="FP52" i="5"/>
  <c r="FQ52" i="5"/>
  <c r="FR52" i="5"/>
  <c r="FS52" i="5"/>
  <c r="FT52" i="5"/>
  <c r="FU52" i="5"/>
  <c r="FV52" i="5"/>
  <c r="FW52" i="5"/>
  <c r="FX52" i="5"/>
  <c r="FY52" i="5"/>
  <c r="FZ52" i="5"/>
  <c r="GA52" i="5"/>
  <c r="GB52" i="5"/>
  <c r="GC52" i="5"/>
  <c r="GD52" i="5"/>
  <c r="GE52" i="5"/>
  <c r="GF52" i="5"/>
  <c r="GG52" i="5"/>
  <c r="GH52" i="5"/>
  <c r="GI52" i="5"/>
  <c r="GJ52" i="5"/>
  <c r="GK52" i="5"/>
  <c r="GL52" i="5"/>
  <c r="GM52" i="5"/>
  <c r="GN52" i="5"/>
  <c r="GO52" i="5"/>
  <c r="GP52" i="5"/>
  <c r="GQ52" i="5"/>
  <c r="GR52" i="5"/>
  <c r="GS52" i="5"/>
  <c r="GT52" i="5"/>
  <c r="GU52" i="5"/>
  <c r="GV52" i="5"/>
  <c r="GW52" i="5"/>
  <c r="GX52" i="5"/>
  <c r="GY52" i="5"/>
  <c r="GZ52" i="5"/>
  <c r="HA52" i="5"/>
  <c r="HB52" i="5"/>
  <c r="HC52" i="5"/>
  <c r="HD52" i="5"/>
  <c r="HE52" i="5"/>
  <c r="HF52" i="5"/>
  <c r="HG52" i="5"/>
  <c r="A53" i="5"/>
  <c r="B53" i="5"/>
  <c r="C53" i="5"/>
  <c r="D53" i="5"/>
  <c r="E53" i="5"/>
  <c r="F53" i="5"/>
  <c r="G53" i="5"/>
  <c r="H53" i="5"/>
  <c r="I53" i="5"/>
  <c r="J53" i="5"/>
  <c r="K53" i="5"/>
  <c r="L53" i="5"/>
  <c r="M53" i="5"/>
  <c r="N53" i="5"/>
  <c r="O53" i="5"/>
  <c r="P53" i="5"/>
  <c r="Q53" i="5"/>
  <c r="R53" i="5"/>
  <c r="S53" i="5"/>
  <c r="T53" i="5"/>
  <c r="U53" i="5"/>
  <c r="V53" i="5"/>
  <c r="W53" i="5"/>
  <c r="X53" i="5"/>
  <c r="Y53" i="5"/>
  <c r="Z53" i="5"/>
  <c r="AA53" i="5"/>
  <c r="AB53" i="5"/>
  <c r="AC53" i="5"/>
  <c r="AD53" i="5"/>
  <c r="AE53" i="5"/>
  <c r="AF53" i="5"/>
  <c r="AG53" i="5"/>
  <c r="AH53" i="5"/>
  <c r="AI53" i="5"/>
  <c r="AJ53" i="5"/>
  <c r="AK53" i="5"/>
  <c r="AL53" i="5"/>
  <c r="AM53" i="5"/>
  <c r="AN53" i="5"/>
  <c r="AO53" i="5"/>
  <c r="AP53" i="5"/>
  <c r="AQ53" i="5"/>
  <c r="AR53" i="5"/>
  <c r="AS53" i="5"/>
  <c r="AT53" i="5"/>
  <c r="AU53" i="5"/>
  <c r="AV53" i="5"/>
  <c r="AW53" i="5"/>
  <c r="AX53" i="5"/>
  <c r="AY53" i="5"/>
  <c r="AZ53" i="5"/>
  <c r="BA53" i="5"/>
  <c r="BB53" i="5"/>
  <c r="BC53" i="5"/>
  <c r="BD53" i="5"/>
  <c r="BE53" i="5"/>
  <c r="BF53" i="5"/>
  <c r="BG53" i="5"/>
  <c r="BH53" i="5"/>
  <c r="BI53" i="5"/>
  <c r="BJ53" i="5"/>
  <c r="BK53" i="5"/>
  <c r="BL53" i="5"/>
  <c r="BM53" i="5"/>
  <c r="BN53" i="5"/>
  <c r="BO53" i="5"/>
  <c r="BP53" i="5"/>
  <c r="BQ53" i="5"/>
  <c r="BR53" i="5"/>
  <c r="BS53" i="5"/>
  <c r="BT53" i="5"/>
  <c r="BU53" i="5"/>
  <c r="BV53" i="5"/>
  <c r="BW53" i="5"/>
  <c r="BX53" i="5"/>
  <c r="BY53" i="5"/>
  <c r="BZ53" i="5"/>
  <c r="CA53" i="5"/>
  <c r="CB53" i="5"/>
  <c r="CC53" i="5"/>
  <c r="CD53" i="5"/>
  <c r="CE53" i="5"/>
  <c r="CF53" i="5"/>
  <c r="CG53" i="5"/>
  <c r="CH53" i="5"/>
  <c r="CI53" i="5"/>
  <c r="CJ53" i="5"/>
  <c r="CK53" i="5"/>
  <c r="CL53" i="5"/>
  <c r="CM53" i="5"/>
  <c r="CN53" i="5"/>
  <c r="CO53" i="5"/>
  <c r="CP53" i="5"/>
  <c r="CQ53" i="5"/>
  <c r="CR53" i="5"/>
  <c r="CS53" i="5"/>
  <c r="CT53" i="5"/>
  <c r="CU53" i="5"/>
  <c r="CV53" i="5"/>
  <c r="CW53" i="5"/>
  <c r="CX53" i="5"/>
  <c r="CY53" i="5"/>
  <c r="CZ53" i="5"/>
  <c r="DA53" i="5"/>
  <c r="DB53" i="5"/>
  <c r="DC53" i="5"/>
  <c r="DD53" i="5"/>
  <c r="DE53" i="5"/>
  <c r="DF53" i="5"/>
  <c r="DG53" i="5"/>
  <c r="DH53" i="5"/>
  <c r="DI53" i="5"/>
  <c r="DJ53" i="5"/>
  <c r="DK53" i="5"/>
  <c r="DL53" i="5"/>
  <c r="DM53" i="5"/>
  <c r="DN53" i="5"/>
  <c r="DO53" i="5"/>
  <c r="DP53" i="5"/>
  <c r="DQ53" i="5"/>
  <c r="DR53" i="5"/>
  <c r="DS53" i="5"/>
  <c r="DT53" i="5"/>
  <c r="DU53" i="5"/>
  <c r="DV53" i="5"/>
  <c r="DW53" i="5"/>
  <c r="DX53" i="5"/>
  <c r="DY53" i="5"/>
  <c r="DZ53" i="5"/>
  <c r="EA53" i="5"/>
  <c r="EB53" i="5"/>
  <c r="EC53" i="5"/>
  <c r="ED53" i="5"/>
  <c r="EE53" i="5"/>
  <c r="EF53" i="5"/>
  <c r="EG53" i="5"/>
  <c r="EH53" i="5"/>
  <c r="EI53" i="5"/>
  <c r="EJ53" i="5"/>
  <c r="EK53" i="5"/>
  <c r="EL53" i="5"/>
  <c r="EM53" i="5"/>
  <c r="EN53" i="5"/>
  <c r="EO53" i="5"/>
  <c r="EP53" i="5"/>
  <c r="EQ53" i="5"/>
  <c r="ER53" i="5"/>
  <c r="ES53" i="5"/>
  <c r="ET53" i="5"/>
  <c r="EU53" i="5"/>
  <c r="EV53" i="5"/>
  <c r="EW53" i="5"/>
  <c r="EX53" i="5"/>
  <c r="EY53" i="5"/>
  <c r="EZ53" i="5"/>
  <c r="FA53" i="5"/>
  <c r="FB53" i="5"/>
  <c r="FC53" i="5"/>
  <c r="FD53" i="5"/>
  <c r="FE53" i="5"/>
  <c r="FF53" i="5"/>
  <c r="FG53" i="5"/>
  <c r="FH53" i="5"/>
  <c r="FI53" i="5"/>
  <c r="FJ53" i="5"/>
  <c r="FK53" i="5"/>
  <c r="FL53" i="5"/>
  <c r="FM53" i="5"/>
  <c r="FN53" i="5"/>
  <c r="FO53" i="5"/>
  <c r="FP53" i="5"/>
  <c r="FQ53" i="5"/>
  <c r="FR53" i="5"/>
  <c r="FS53" i="5"/>
  <c r="FT53" i="5"/>
  <c r="FU53" i="5"/>
  <c r="FV53" i="5"/>
  <c r="FW53" i="5"/>
  <c r="FX53" i="5"/>
  <c r="FY53" i="5"/>
  <c r="FZ53" i="5"/>
  <c r="GA53" i="5"/>
  <c r="GB53" i="5"/>
  <c r="GC53" i="5"/>
  <c r="GD53" i="5"/>
  <c r="GE53" i="5"/>
  <c r="GF53" i="5"/>
  <c r="GG53" i="5"/>
  <c r="GH53" i="5"/>
  <c r="GI53" i="5"/>
  <c r="GJ53" i="5"/>
  <c r="GK53" i="5"/>
  <c r="GL53" i="5"/>
  <c r="GM53" i="5"/>
  <c r="GN53" i="5"/>
  <c r="GO53" i="5"/>
  <c r="GP53" i="5"/>
  <c r="GQ53" i="5"/>
  <c r="GR53" i="5"/>
  <c r="GS53" i="5"/>
  <c r="GT53" i="5"/>
  <c r="GU53" i="5"/>
  <c r="GV53" i="5"/>
  <c r="GW53" i="5"/>
  <c r="GX53" i="5"/>
  <c r="GY53" i="5"/>
  <c r="GZ53" i="5"/>
  <c r="HA53" i="5"/>
  <c r="HB53" i="5"/>
  <c r="HC53" i="5"/>
  <c r="HD53" i="5"/>
  <c r="HE53" i="5"/>
  <c r="HF53" i="5"/>
  <c r="HG53" i="5"/>
  <c r="A54" i="5"/>
  <c r="B54" i="5"/>
  <c r="C54" i="5"/>
  <c r="D54" i="5"/>
  <c r="E54" i="5"/>
  <c r="F54" i="5"/>
  <c r="G54" i="5"/>
  <c r="H54" i="5"/>
  <c r="I54" i="5"/>
  <c r="J54" i="5"/>
  <c r="K54" i="5"/>
  <c r="L54" i="5"/>
  <c r="M54" i="5"/>
  <c r="N54" i="5"/>
  <c r="O54" i="5"/>
  <c r="P54" i="5"/>
  <c r="Q54" i="5"/>
  <c r="R54" i="5"/>
  <c r="S54" i="5"/>
  <c r="T54" i="5"/>
  <c r="U54" i="5"/>
  <c r="V54" i="5"/>
  <c r="W54" i="5"/>
  <c r="X54" i="5"/>
  <c r="Y54" i="5"/>
  <c r="Z54" i="5"/>
  <c r="AA54" i="5"/>
  <c r="AB54" i="5"/>
  <c r="AC54" i="5"/>
  <c r="AD54" i="5"/>
  <c r="AE54" i="5"/>
  <c r="AF54" i="5"/>
  <c r="AG54" i="5"/>
  <c r="AH54" i="5"/>
  <c r="AI54" i="5"/>
  <c r="AJ54" i="5"/>
  <c r="AK54" i="5"/>
  <c r="AL54" i="5"/>
  <c r="AM54" i="5"/>
  <c r="AN54" i="5"/>
  <c r="AO54" i="5"/>
  <c r="AP54" i="5"/>
  <c r="AQ54" i="5"/>
  <c r="AR54" i="5"/>
  <c r="AS54" i="5"/>
  <c r="AT54" i="5"/>
  <c r="AU54" i="5"/>
  <c r="AV54" i="5"/>
  <c r="AW54" i="5"/>
  <c r="AX54" i="5"/>
  <c r="AY54" i="5"/>
  <c r="AZ54" i="5"/>
  <c r="BA54" i="5"/>
  <c r="BB54" i="5"/>
  <c r="BC54" i="5"/>
  <c r="BD54" i="5"/>
  <c r="BE54" i="5"/>
  <c r="BF54" i="5"/>
  <c r="BG54" i="5"/>
  <c r="BH54" i="5"/>
  <c r="BI54" i="5"/>
  <c r="BJ54" i="5"/>
  <c r="BK54" i="5"/>
  <c r="BL54" i="5"/>
  <c r="BM54" i="5"/>
  <c r="BN54" i="5"/>
  <c r="BO54" i="5"/>
  <c r="BP54" i="5"/>
  <c r="BQ54" i="5"/>
  <c r="BR54" i="5"/>
  <c r="BS54" i="5"/>
  <c r="BT54" i="5"/>
  <c r="BU54" i="5"/>
  <c r="BV54" i="5"/>
  <c r="BW54" i="5"/>
  <c r="BX54" i="5"/>
  <c r="BY54" i="5"/>
  <c r="BZ54" i="5"/>
  <c r="CA54" i="5"/>
  <c r="CB54" i="5"/>
  <c r="CC54" i="5"/>
  <c r="CD54" i="5"/>
  <c r="CE54" i="5"/>
  <c r="CF54" i="5"/>
  <c r="CG54" i="5"/>
  <c r="CH54" i="5"/>
  <c r="CI54" i="5"/>
  <c r="CJ54" i="5"/>
  <c r="CK54" i="5"/>
  <c r="CL54" i="5"/>
  <c r="CM54" i="5"/>
  <c r="CN54" i="5"/>
  <c r="CO54" i="5"/>
  <c r="CP54" i="5"/>
  <c r="CQ54" i="5"/>
  <c r="CR54" i="5"/>
  <c r="CS54" i="5"/>
  <c r="CT54" i="5"/>
  <c r="CU54" i="5"/>
  <c r="CV54" i="5"/>
  <c r="CW54" i="5"/>
  <c r="CX54" i="5"/>
  <c r="CY54" i="5"/>
  <c r="CZ54" i="5"/>
  <c r="DA54" i="5"/>
  <c r="DB54" i="5"/>
  <c r="DC54" i="5"/>
  <c r="DD54" i="5"/>
  <c r="DE54" i="5"/>
  <c r="DF54" i="5"/>
  <c r="DG54" i="5"/>
  <c r="DH54" i="5"/>
  <c r="DI54" i="5"/>
  <c r="DJ54" i="5"/>
  <c r="DK54" i="5"/>
  <c r="DL54" i="5"/>
  <c r="DM54" i="5"/>
  <c r="DN54" i="5"/>
  <c r="DO54" i="5"/>
  <c r="DP54" i="5"/>
  <c r="DQ54" i="5"/>
  <c r="DR54" i="5"/>
  <c r="DS54" i="5"/>
  <c r="DT54" i="5"/>
  <c r="DU54" i="5"/>
  <c r="DV54" i="5"/>
  <c r="DW54" i="5"/>
  <c r="DX54" i="5"/>
  <c r="DY54" i="5"/>
  <c r="DZ54" i="5"/>
  <c r="EA54" i="5"/>
  <c r="EB54" i="5"/>
  <c r="EC54" i="5"/>
  <c r="ED54" i="5"/>
  <c r="EE54" i="5"/>
  <c r="EF54" i="5"/>
  <c r="EG54" i="5"/>
  <c r="EH54" i="5"/>
  <c r="EI54" i="5"/>
  <c r="EJ54" i="5"/>
  <c r="EK54" i="5"/>
  <c r="EL54" i="5"/>
  <c r="EM54" i="5"/>
  <c r="EN54" i="5"/>
  <c r="EO54" i="5"/>
  <c r="EP54" i="5"/>
  <c r="EQ54" i="5"/>
  <c r="ER54" i="5"/>
  <c r="ES54" i="5"/>
  <c r="ET54" i="5"/>
  <c r="EU54" i="5"/>
  <c r="EV54" i="5"/>
  <c r="EW54" i="5"/>
  <c r="EX54" i="5"/>
  <c r="EY54" i="5"/>
  <c r="EZ54" i="5"/>
  <c r="FA54" i="5"/>
  <c r="FB54" i="5"/>
  <c r="FC54" i="5"/>
  <c r="FD54" i="5"/>
  <c r="FE54" i="5"/>
  <c r="FF54" i="5"/>
  <c r="FG54" i="5"/>
  <c r="FH54" i="5"/>
  <c r="FI54" i="5"/>
  <c r="FJ54" i="5"/>
  <c r="FK54" i="5"/>
  <c r="FL54" i="5"/>
  <c r="FM54" i="5"/>
  <c r="FN54" i="5"/>
  <c r="FO54" i="5"/>
  <c r="FP54" i="5"/>
  <c r="FQ54" i="5"/>
  <c r="FR54" i="5"/>
  <c r="FS54" i="5"/>
  <c r="FT54" i="5"/>
  <c r="FU54" i="5"/>
  <c r="FV54" i="5"/>
  <c r="FW54" i="5"/>
  <c r="FX54" i="5"/>
  <c r="FY54" i="5"/>
  <c r="FZ54" i="5"/>
  <c r="GA54" i="5"/>
  <c r="GB54" i="5"/>
  <c r="GC54" i="5"/>
  <c r="GD54" i="5"/>
  <c r="GE54" i="5"/>
  <c r="GF54" i="5"/>
  <c r="GG54" i="5"/>
  <c r="GH54" i="5"/>
  <c r="GI54" i="5"/>
  <c r="GJ54" i="5"/>
  <c r="GK54" i="5"/>
  <c r="GL54" i="5"/>
  <c r="GM54" i="5"/>
  <c r="GN54" i="5"/>
  <c r="GO54" i="5"/>
  <c r="GP54" i="5"/>
  <c r="GQ54" i="5"/>
  <c r="GR54" i="5"/>
  <c r="GS54" i="5"/>
  <c r="GT54" i="5"/>
  <c r="GU54" i="5"/>
  <c r="GV54" i="5"/>
  <c r="GW54" i="5"/>
  <c r="GX54" i="5"/>
  <c r="GY54" i="5"/>
  <c r="GZ54" i="5"/>
  <c r="HA54" i="5"/>
  <c r="HB54" i="5"/>
  <c r="HC54" i="5"/>
  <c r="HD54" i="5"/>
  <c r="HE54" i="5"/>
  <c r="HF54" i="5"/>
  <c r="HG54" i="5"/>
  <c r="A55" i="5"/>
  <c r="B55" i="5"/>
  <c r="C55" i="5"/>
  <c r="D55" i="5"/>
  <c r="E55" i="5"/>
  <c r="F55" i="5"/>
  <c r="G55" i="5"/>
  <c r="H55" i="5"/>
  <c r="I55" i="5"/>
  <c r="J55" i="5"/>
  <c r="K55" i="5"/>
  <c r="L55" i="5"/>
  <c r="M55" i="5"/>
  <c r="N55" i="5"/>
  <c r="O55" i="5"/>
  <c r="P55" i="5"/>
  <c r="Q55" i="5"/>
  <c r="R55" i="5"/>
  <c r="S55" i="5"/>
  <c r="T55" i="5"/>
  <c r="U55" i="5"/>
  <c r="V55" i="5"/>
  <c r="W55" i="5"/>
  <c r="X55" i="5"/>
  <c r="Y55" i="5"/>
  <c r="Z55" i="5"/>
  <c r="AA55" i="5"/>
  <c r="AB55" i="5"/>
  <c r="AC55" i="5"/>
  <c r="AD55" i="5"/>
  <c r="AE55" i="5"/>
  <c r="AF55" i="5"/>
  <c r="AG55" i="5"/>
  <c r="AH55" i="5"/>
  <c r="AI55" i="5"/>
  <c r="AJ55" i="5"/>
  <c r="AK55" i="5"/>
  <c r="AL55" i="5"/>
  <c r="AM55" i="5"/>
  <c r="AN55" i="5"/>
  <c r="AO55" i="5"/>
  <c r="AP55" i="5"/>
  <c r="AQ55" i="5"/>
  <c r="AR55" i="5"/>
  <c r="AS55" i="5"/>
  <c r="AT55" i="5"/>
  <c r="AU55" i="5"/>
  <c r="AV55" i="5"/>
  <c r="AW55" i="5"/>
  <c r="AX55" i="5"/>
  <c r="AY55" i="5"/>
  <c r="AZ55" i="5"/>
  <c r="BA55" i="5"/>
  <c r="BB55" i="5"/>
  <c r="BC55" i="5"/>
  <c r="BD55" i="5"/>
  <c r="BE55" i="5"/>
  <c r="BF55" i="5"/>
  <c r="BG55" i="5"/>
  <c r="BH55" i="5"/>
  <c r="BI55" i="5"/>
  <c r="BJ55" i="5"/>
  <c r="BK55" i="5"/>
  <c r="BL55" i="5"/>
  <c r="BM55" i="5"/>
  <c r="BN55" i="5"/>
  <c r="BO55" i="5"/>
  <c r="BP55" i="5"/>
  <c r="BQ55" i="5"/>
  <c r="BR55" i="5"/>
  <c r="BS55" i="5"/>
  <c r="BT55" i="5"/>
  <c r="BU55" i="5"/>
  <c r="BV55" i="5"/>
  <c r="BW55" i="5"/>
  <c r="BX55" i="5"/>
  <c r="BY55" i="5"/>
  <c r="BZ55" i="5"/>
  <c r="CA55" i="5"/>
  <c r="CB55" i="5"/>
  <c r="CC55" i="5"/>
  <c r="CD55" i="5"/>
  <c r="CE55" i="5"/>
  <c r="CF55" i="5"/>
  <c r="CG55" i="5"/>
  <c r="CH55" i="5"/>
  <c r="CI55" i="5"/>
  <c r="CJ55" i="5"/>
  <c r="CK55" i="5"/>
  <c r="CL55" i="5"/>
  <c r="CM55" i="5"/>
  <c r="CN55" i="5"/>
  <c r="CO55" i="5"/>
  <c r="CP55" i="5"/>
  <c r="CQ55" i="5"/>
  <c r="CR55" i="5"/>
  <c r="CS55" i="5"/>
  <c r="CT55" i="5"/>
  <c r="CU55" i="5"/>
  <c r="CV55" i="5"/>
  <c r="CW55" i="5"/>
  <c r="CX55" i="5"/>
  <c r="CY55" i="5"/>
  <c r="CZ55" i="5"/>
  <c r="DA55" i="5"/>
  <c r="DB55" i="5"/>
  <c r="DC55" i="5"/>
  <c r="DD55" i="5"/>
  <c r="DE55" i="5"/>
  <c r="DF55" i="5"/>
  <c r="DG55" i="5"/>
  <c r="DH55" i="5"/>
  <c r="DI55" i="5"/>
  <c r="DJ55" i="5"/>
  <c r="DK55" i="5"/>
  <c r="DL55" i="5"/>
  <c r="DM55" i="5"/>
  <c r="DN55" i="5"/>
  <c r="DO55" i="5"/>
  <c r="DP55" i="5"/>
  <c r="DQ55" i="5"/>
  <c r="DR55" i="5"/>
  <c r="DS55" i="5"/>
  <c r="DT55" i="5"/>
  <c r="DU55" i="5"/>
  <c r="DV55" i="5"/>
  <c r="DW55" i="5"/>
  <c r="DX55" i="5"/>
  <c r="DY55" i="5"/>
  <c r="DZ55" i="5"/>
  <c r="EA55" i="5"/>
  <c r="EB55" i="5"/>
  <c r="EC55" i="5"/>
  <c r="ED55" i="5"/>
  <c r="EE55" i="5"/>
  <c r="EF55" i="5"/>
  <c r="EG55" i="5"/>
  <c r="EH55" i="5"/>
  <c r="EI55" i="5"/>
  <c r="EJ55" i="5"/>
  <c r="EK55" i="5"/>
  <c r="EL55" i="5"/>
  <c r="EM55" i="5"/>
  <c r="EN55" i="5"/>
  <c r="EO55" i="5"/>
  <c r="EP55" i="5"/>
  <c r="EQ55" i="5"/>
  <c r="ER55" i="5"/>
  <c r="ES55" i="5"/>
  <c r="ET55" i="5"/>
  <c r="EU55" i="5"/>
  <c r="EV55" i="5"/>
  <c r="EW55" i="5"/>
  <c r="EX55" i="5"/>
  <c r="EY55" i="5"/>
  <c r="EZ55" i="5"/>
  <c r="FA55" i="5"/>
  <c r="FB55" i="5"/>
  <c r="FC55" i="5"/>
  <c r="FD55" i="5"/>
  <c r="FE55" i="5"/>
  <c r="FF55" i="5"/>
  <c r="FG55" i="5"/>
  <c r="FH55" i="5"/>
  <c r="FI55" i="5"/>
  <c r="FJ55" i="5"/>
  <c r="FK55" i="5"/>
  <c r="FL55" i="5"/>
  <c r="FM55" i="5"/>
  <c r="FN55" i="5"/>
  <c r="FO55" i="5"/>
  <c r="FP55" i="5"/>
  <c r="FQ55" i="5"/>
  <c r="FR55" i="5"/>
  <c r="FS55" i="5"/>
  <c r="FT55" i="5"/>
  <c r="FU55" i="5"/>
  <c r="FV55" i="5"/>
  <c r="FW55" i="5"/>
  <c r="FX55" i="5"/>
  <c r="FY55" i="5"/>
  <c r="FZ55" i="5"/>
  <c r="GA55" i="5"/>
  <c r="GB55" i="5"/>
  <c r="GC55" i="5"/>
  <c r="GD55" i="5"/>
  <c r="GE55" i="5"/>
  <c r="GF55" i="5"/>
  <c r="GG55" i="5"/>
  <c r="GH55" i="5"/>
  <c r="GI55" i="5"/>
  <c r="GJ55" i="5"/>
  <c r="GK55" i="5"/>
  <c r="GL55" i="5"/>
  <c r="GM55" i="5"/>
  <c r="GN55" i="5"/>
  <c r="GO55" i="5"/>
  <c r="GP55" i="5"/>
  <c r="GQ55" i="5"/>
  <c r="GR55" i="5"/>
  <c r="GS55" i="5"/>
  <c r="GT55" i="5"/>
  <c r="GU55" i="5"/>
  <c r="GV55" i="5"/>
  <c r="GW55" i="5"/>
  <c r="GX55" i="5"/>
  <c r="GY55" i="5"/>
  <c r="GZ55" i="5"/>
  <c r="HA55" i="5"/>
  <c r="HB55" i="5"/>
  <c r="HC55" i="5"/>
  <c r="HD55" i="5"/>
  <c r="HE55" i="5"/>
  <c r="HF55" i="5"/>
  <c r="HG55" i="5"/>
  <c r="A56" i="5"/>
  <c r="B56" i="5"/>
  <c r="C56" i="5"/>
  <c r="D56" i="5"/>
  <c r="E56" i="5"/>
  <c r="F56" i="5"/>
  <c r="G56" i="5"/>
  <c r="H56" i="5"/>
  <c r="I56" i="5"/>
  <c r="J56" i="5"/>
  <c r="K56" i="5"/>
  <c r="L56" i="5"/>
  <c r="M56" i="5"/>
  <c r="N56" i="5"/>
  <c r="O56" i="5"/>
  <c r="P56" i="5"/>
  <c r="Q56" i="5"/>
  <c r="R56" i="5"/>
  <c r="S56" i="5"/>
  <c r="T56" i="5"/>
  <c r="U56" i="5"/>
  <c r="V56" i="5"/>
  <c r="W56" i="5"/>
  <c r="X56" i="5"/>
  <c r="Y56" i="5"/>
  <c r="Z56" i="5"/>
  <c r="AA56" i="5"/>
  <c r="AB56" i="5"/>
  <c r="AC56" i="5"/>
  <c r="AD56" i="5"/>
  <c r="AE56" i="5"/>
  <c r="AF56" i="5"/>
  <c r="AG56" i="5"/>
  <c r="AH56" i="5"/>
  <c r="AI56" i="5"/>
  <c r="AJ56" i="5"/>
  <c r="AK56" i="5"/>
  <c r="AL56" i="5"/>
  <c r="AM56" i="5"/>
  <c r="AN56" i="5"/>
  <c r="AO56" i="5"/>
  <c r="AP56" i="5"/>
  <c r="AQ56" i="5"/>
  <c r="AR56" i="5"/>
  <c r="AS56" i="5"/>
  <c r="AT56" i="5"/>
  <c r="AU56" i="5"/>
  <c r="AV56" i="5"/>
  <c r="AW56" i="5"/>
  <c r="AX56" i="5"/>
  <c r="AY56" i="5"/>
  <c r="AZ56" i="5"/>
  <c r="BA56" i="5"/>
  <c r="BB56" i="5"/>
  <c r="BC56" i="5"/>
  <c r="BD56" i="5"/>
  <c r="BE56" i="5"/>
  <c r="BF56" i="5"/>
  <c r="BG56" i="5"/>
  <c r="BH56" i="5"/>
  <c r="BI56" i="5"/>
  <c r="BJ56" i="5"/>
  <c r="BK56" i="5"/>
  <c r="BL56" i="5"/>
  <c r="BM56" i="5"/>
  <c r="BN56" i="5"/>
  <c r="BO56" i="5"/>
  <c r="BP56" i="5"/>
  <c r="BQ56" i="5"/>
  <c r="BR56" i="5"/>
  <c r="BS56" i="5"/>
  <c r="BT56" i="5"/>
  <c r="BU56" i="5"/>
  <c r="BV56" i="5"/>
  <c r="BW56" i="5"/>
  <c r="BX56" i="5"/>
  <c r="BY56" i="5"/>
  <c r="BZ56" i="5"/>
  <c r="CA56" i="5"/>
  <c r="CB56" i="5"/>
  <c r="CC56" i="5"/>
  <c r="CD56" i="5"/>
  <c r="CE56" i="5"/>
  <c r="CF56" i="5"/>
  <c r="CG56" i="5"/>
  <c r="CH56" i="5"/>
  <c r="CI56" i="5"/>
  <c r="CJ56" i="5"/>
  <c r="CK56" i="5"/>
  <c r="CL56" i="5"/>
  <c r="CM56" i="5"/>
  <c r="CN56" i="5"/>
  <c r="CO56" i="5"/>
  <c r="CP56" i="5"/>
  <c r="CQ56" i="5"/>
  <c r="CR56" i="5"/>
  <c r="CS56" i="5"/>
  <c r="CT56" i="5"/>
  <c r="CU56" i="5"/>
  <c r="CV56" i="5"/>
  <c r="CW56" i="5"/>
  <c r="CX56" i="5"/>
  <c r="CY56" i="5"/>
  <c r="CZ56" i="5"/>
  <c r="DA56" i="5"/>
  <c r="DB56" i="5"/>
  <c r="DC56" i="5"/>
  <c r="DD56" i="5"/>
  <c r="DE56" i="5"/>
  <c r="DF56" i="5"/>
  <c r="DG56" i="5"/>
  <c r="DH56" i="5"/>
  <c r="DI56" i="5"/>
  <c r="DJ56" i="5"/>
  <c r="DK56" i="5"/>
  <c r="DL56" i="5"/>
  <c r="DM56" i="5"/>
  <c r="DN56" i="5"/>
  <c r="DO56" i="5"/>
  <c r="DP56" i="5"/>
  <c r="DQ56" i="5"/>
  <c r="DR56" i="5"/>
  <c r="DS56" i="5"/>
  <c r="DT56" i="5"/>
  <c r="DU56" i="5"/>
  <c r="DV56" i="5"/>
  <c r="DW56" i="5"/>
  <c r="DX56" i="5"/>
  <c r="DY56" i="5"/>
  <c r="DZ56" i="5"/>
  <c r="EA56" i="5"/>
  <c r="EB56" i="5"/>
  <c r="EC56" i="5"/>
  <c r="ED56" i="5"/>
  <c r="EE56" i="5"/>
  <c r="EF56" i="5"/>
  <c r="EG56" i="5"/>
  <c r="EH56" i="5"/>
  <c r="EI56" i="5"/>
  <c r="EJ56" i="5"/>
  <c r="EK56" i="5"/>
  <c r="EL56" i="5"/>
  <c r="EM56" i="5"/>
  <c r="EN56" i="5"/>
  <c r="EO56" i="5"/>
  <c r="EP56" i="5"/>
  <c r="EQ56" i="5"/>
  <c r="ER56" i="5"/>
  <c r="ES56" i="5"/>
  <c r="ET56" i="5"/>
  <c r="EU56" i="5"/>
  <c r="EV56" i="5"/>
  <c r="EW56" i="5"/>
  <c r="EX56" i="5"/>
  <c r="EY56" i="5"/>
  <c r="EZ56" i="5"/>
  <c r="FA56" i="5"/>
  <c r="FB56" i="5"/>
  <c r="FC56" i="5"/>
  <c r="FD56" i="5"/>
  <c r="FE56" i="5"/>
  <c r="FF56" i="5"/>
  <c r="FG56" i="5"/>
  <c r="FH56" i="5"/>
  <c r="FI56" i="5"/>
  <c r="FJ56" i="5"/>
  <c r="FK56" i="5"/>
  <c r="FL56" i="5"/>
  <c r="FM56" i="5"/>
  <c r="FN56" i="5"/>
  <c r="FO56" i="5"/>
  <c r="FP56" i="5"/>
  <c r="FQ56" i="5"/>
  <c r="FR56" i="5"/>
  <c r="FS56" i="5"/>
  <c r="FT56" i="5"/>
  <c r="FU56" i="5"/>
  <c r="FV56" i="5"/>
  <c r="FW56" i="5"/>
  <c r="FX56" i="5"/>
  <c r="FY56" i="5"/>
  <c r="FZ56" i="5"/>
  <c r="GA56" i="5"/>
  <c r="GB56" i="5"/>
  <c r="GC56" i="5"/>
  <c r="GD56" i="5"/>
  <c r="GE56" i="5"/>
  <c r="GF56" i="5"/>
  <c r="GG56" i="5"/>
  <c r="GH56" i="5"/>
  <c r="GI56" i="5"/>
  <c r="GJ56" i="5"/>
  <c r="GK56" i="5"/>
  <c r="GL56" i="5"/>
  <c r="GM56" i="5"/>
  <c r="GN56" i="5"/>
  <c r="GO56" i="5"/>
  <c r="GP56" i="5"/>
  <c r="GQ56" i="5"/>
  <c r="GR56" i="5"/>
  <c r="GS56" i="5"/>
  <c r="GT56" i="5"/>
  <c r="GU56" i="5"/>
  <c r="GV56" i="5"/>
  <c r="GW56" i="5"/>
  <c r="GX56" i="5"/>
  <c r="GY56" i="5"/>
  <c r="GZ56" i="5"/>
  <c r="HA56" i="5"/>
  <c r="HB56" i="5"/>
  <c r="HC56" i="5"/>
  <c r="HD56" i="5"/>
  <c r="HE56" i="5"/>
  <c r="HF56" i="5"/>
  <c r="HG56" i="5"/>
  <c r="A57" i="5"/>
  <c r="B57" i="5"/>
  <c r="C57" i="5"/>
  <c r="D57" i="5"/>
  <c r="E57" i="5"/>
  <c r="F57" i="5"/>
  <c r="G57" i="5"/>
  <c r="H57" i="5"/>
  <c r="I57" i="5"/>
  <c r="J57" i="5"/>
  <c r="K57" i="5"/>
  <c r="L57" i="5"/>
  <c r="M57" i="5"/>
  <c r="N57" i="5"/>
  <c r="O57" i="5"/>
  <c r="P57" i="5"/>
  <c r="Q57" i="5"/>
  <c r="R57" i="5"/>
  <c r="S57" i="5"/>
  <c r="T57" i="5"/>
  <c r="U57" i="5"/>
  <c r="V57" i="5"/>
  <c r="W57" i="5"/>
  <c r="X57" i="5"/>
  <c r="Y57" i="5"/>
  <c r="Z57" i="5"/>
  <c r="AA57" i="5"/>
  <c r="AB57" i="5"/>
  <c r="AC57" i="5"/>
  <c r="AD57" i="5"/>
  <c r="AE57" i="5"/>
  <c r="AF57" i="5"/>
  <c r="AG57" i="5"/>
  <c r="AH57" i="5"/>
  <c r="AI57" i="5"/>
  <c r="AJ57" i="5"/>
  <c r="AK57" i="5"/>
  <c r="AL57" i="5"/>
  <c r="AM57" i="5"/>
  <c r="AN57" i="5"/>
  <c r="AO57" i="5"/>
  <c r="AP57" i="5"/>
  <c r="AQ57" i="5"/>
  <c r="AR57" i="5"/>
  <c r="AS57" i="5"/>
  <c r="AT57" i="5"/>
  <c r="AU57" i="5"/>
  <c r="AV57" i="5"/>
  <c r="AW57" i="5"/>
  <c r="AX57" i="5"/>
  <c r="AY57" i="5"/>
  <c r="AZ57" i="5"/>
  <c r="BA57" i="5"/>
  <c r="BB57" i="5"/>
  <c r="BC57" i="5"/>
  <c r="BD57" i="5"/>
  <c r="BE57" i="5"/>
  <c r="BF57" i="5"/>
  <c r="BG57" i="5"/>
  <c r="BH57" i="5"/>
  <c r="BI57" i="5"/>
  <c r="BJ57" i="5"/>
  <c r="BK57" i="5"/>
  <c r="BL57" i="5"/>
  <c r="BM57" i="5"/>
  <c r="BN57" i="5"/>
  <c r="BO57" i="5"/>
  <c r="BP57" i="5"/>
  <c r="BQ57" i="5"/>
  <c r="BR57" i="5"/>
  <c r="BS57" i="5"/>
  <c r="BT57" i="5"/>
  <c r="BU57" i="5"/>
  <c r="BV57" i="5"/>
  <c r="BW57" i="5"/>
  <c r="BX57" i="5"/>
  <c r="BY57" i="5"/>
  <c r="BZ57" i="5"/>
  <c r="CA57" i="5"/>
  <c r="CB57" i="5"/>
  <c r="CC57" i="5"/>
  <c r="CD57" i="5"/>
  <c r="CE57" i="5"/>
  <c r="CF57" i="5"/>
  <c r="CG57" i="5"/>
  <c r="CH57" i="5"/>
  <c r="CI57" i="5"/>
  <c r="CJ57" i="5"/>
  <c r="CK57" i="5"/>
  <c r="CL57" i="5"/>
  <c r="CM57" i="5"/>
  <c r="CN57" i="5"/>
  <c r="CO57" i="5"/>
  <c r="CP57" i="5"/>
  <c r="CQ57" i="5"/>
  <c r="CR57" i="5"/>
  <c r="CS57" i="5"/>
  <c r="CT57" i="5"/>
  <c r="CU57" i="5"/>
  <c r="CV57" i="5"/>
  <c r="CW57" i="5"/>
  <c r="CX57" i="5"/>
  <c r="CY57" i="5"/>
  <c r="CZ57" i="5"/>
  <c r="DA57" i="5"/>
  <c r="DB57" i="5"/>
  <c r="DC57" i="5"/>
  <c r="DD57" i="5"/>
  <c r="DE57" i="5"/>
  <c r="DF57" i="5"/>
  <c r="DG57" i="5"/>
  <c r="DH57" i="5"/>
  <c r="DI57" i="5"/>
  <c r="DJ57" i="5"/>
  <c r="DK57" i="5"/>
  <c r="DL57" i="5"/>
  <c r="DM57" i="5"/>
  <c r="DN57" i="5"/>
  <c r="DO57" i="5"/>
  <c r="DP57" i="5"/>
  <c r="DQ57" i="5"/>
  <c r="DR57" i="5"/>
  <c r="DS57" i="5"/>
  <c r="DT57" i="5"/>
  <c r="DU57" i="5"/>
  <c r="DV57" i="5"/>
  <c r="DW57" i="5"/>
  <c r="DX57" i="5"/>
  <c r="DY57" i="5"/>
  <c r="DZ57" i="5"/>
  <c r="EA57" i="5"/>
  <c r="EB57" i="5"/>
  <c r="EC57" i="5"/>
  <c r="ED57" i="5"/>
  <c r="EE57" i="5"/>
  <c r="EF57" i="5"/>
  <c r="EG57" i="5"/>
  <c r="EH57" i="5"/>
  <c r="EI57" i="5"/>
  <c r="EJ57" i="5"/>
  <c r="EK57" i="5"/>
  <c r="EL57" i="5"/>
  <c r="EM57" i="5"/>
  <c r="EN57" i="5"/>
  <c r="EO57" i="5"/>
  <c r="EP57" i="5"/>
  <c r="EQ57" i="5"/>
  <c r="ER57" i="5"/>
  <c r="ES57" i="5"/>
  <c r="ET57" i="5"/>
  <c r="EU57" i="5"/>
  <c r="EV57" i="5"/>
  <c r="EW57" i="5"/>
  <c r="EX57" i="5"/>
  <c r="EY57" i="5"/>
  <c r="EZ57" i="5"/>
  <c r="FA57" i="5"/>
  <c r="FB57" i="5"/>
  <c r="FC57" i="5"/>
  <c r="FD57" i="5"/>
  <c r="FE57" i="5"/>
  <c r="FF57" i="5"/>
  <c r="FG57" i="5"/>
  <c r="FH57" i="5"/>
  <c r="FI57" i="5"/>
  <c r="FJ57" i="5"/>
  <c r="FK57" i="5"/>
  <c r="FL57" i="5"/>
  <c r="FM57" i="5"/>
  <c r="FN57" i="5"/>
  <c r="FO57" i="5"/>
  <c r="FP57" i="5"/>
  <c r="FQ57" i="5"/>
  <c r="FR57" i="5"/>
  <c r="FS57" i="5"/>
  <c r="FT57" i="5"/>
  <c r="FU57" i="5"/>
  <c r="FV57" i="5"/>
  <c r="FW57" i="5"/>
  <c r="FX57" i="5"/>
  <c r="FY57" i="5"/>
  <c r="FZ57" i="5"/>
  <c r="GA57" i="5"/>
  <c r="GB57" i="5"/>
  <c r="GC57" i="5"/>
  <c r="GD57" i="5"/>
  <c r="GE57" i="5"/>
  <c r="GF57" i="5"/>
  <c r="GG57" i="5"/>
  <c r="GH57" i="5"/>
  <c r="GI57" i="5"/>
  <c r="GJ57" i="5"/>
  <c r="GK57" i="5"/>
  <c r="GL57" i="5"/>
  <c r="GM57" i="5"/>
  <c r="GN57" i="5"/>
  <c r="GO57" i="5"/>
  <c r="GP57" i="5"/>
  <c r="GQ57" i="5"/>
  <c r="GR57" i="5"/>
  <c r="GS57" i="5"/>
  <c r="GT57" i="5"/>
  <c r="GU57" i="5"/>
  <c r="GV57" i="5"/>
  <c r="GW57" i="5"/>
  <c r="GX57" i="5"/>
  <c r="GY57" i="5"/>
  <c r="GZ57" i="5"/>
  <c r="HA57" i="5"/>
  <c r="HB57" i="5"/>
  <c r="HC57" i="5"/>
  <c r="HD57" i="5"/>
  <c r="HE57" i="5"/>
  <c r="HF57" i="5"/>
  <c r="HG57" i="5"/>
  <c r="A58" i="5"/>
  <c r="B58" i="5"/>
  <c r="C58" i="5"/>
  <c r="D58" i="5"/>
  <c r="E58" i="5"/>
  <c r="F58" i="5"/>
  <c r="G58" i="5"/>
  <c r="H58" i="5"/>
  <c r="I58" i="5"/>
  <c r="J58" i="5"/>
  <c r="K58" i="5"/>
  <c r="L58" i="5"/>
  <c r="M58" i="5"/>
  <c r="N58" i="5"/>
  <c r="O58" i="5"/>
  <c r="P58" i="5"/>
  <c r="Q58" i="5"/>
  <c r="R58" i="5"/>
  <c r="S58" i="5"/>
  <c r="T58" i="5"/>
  <c r="U58" i="5"/>
  <c r="V58" i="5"/>
  <c r="W58" i="5"/>
  <c r="X58" i="5"/>
  <c r="Y58" i="5"/>
  <c r="Z58" i="5"/>
  <c r="AA58" i="5"/>
  <c r="AB58" i="5"/>
  <c r="AC58" i="5"/>
  <c r="AD58" i="5"/>
  <c r="AE58" i="5"/>
  <c r="AF58" i="5"/>
  <c r="AG58" i="5"/>
  <c r="AH58" i="5"/>
  <c r="AI58" i="5"/>
  <c r="AJ58" i="5"/>
  <c r="AK58" i="5"/>
  <c r="AL58" i="5"/>
  <c r="AM58" i="5"/>
  <c r="AN58" i="5"/>
  <c r="AO58" i="5"/>
  <c r="AP58" i="5"/>
  <c r="AQ58" i="5"/>
  <c r="AR58" i="5"/>
  <c r="AS58" i="5"/>
  <c r="AT58" i="5"/>
  <c r="AU58" i="5"/>
  <c r="AV58" i="5"/>
  <c r="AW58" i="5"/>
  <c r="AX58" i="5"/>
  <c r="AY58" i="5"/>
  <c r="AZ58" i="5"/>
  <c r="BA58" i="5"/>
  <c r="BB58" i="5"/>
  <c r="BC58" i="5"/>
  <c r="BD58" i="5"/>
  <c r="BE58" i="5"/>
  <c r="BF58" i="5"/>
  <c r="BG58" i="5"/>
  <c r="BH58" i="5"/>
  <c r="BI58" i="5"/>
  <c r="BJ58" i="5"/>
  <c r="BK58" i="5"/>
  <c r="BL58" i="5"/>
  <c r="BM58" i="5"/>
  <c r="BN58" i="5"/>
  <c r="BO58" i="5"/>
  <c r="BP58" i="5"/>
  <c r="BQ58" i="5"/>
  <c r="BR58" i="5"/>
  <c r="BS58" i="5"/>
  <c r="BT58" i="5"/>
  <c r="BU58" i="5"/>
  <c r="BV58" i="5"/>
  <c r="BW58" i="5"/>
  <c r="BX58" i="5"/>
  <c r="BY58" i="5"/>
  <c r="BZ58" i="5"/>
  <c r="CA58" i="5"/>
  <c r="CB58" i="5"/>
  <c r="CC58" i="5"/>
  <c r="CD58" i="5"/>
  <c r="CE58" i="5"/>
  <c r="CF58" i="5"/>
  <c r="CG58" i="5"/>
  <c r="CH58" i="5"/>
  <c r="CI58" i="5"/>
  <c r="CJ58" i="5"/>
  <c r="CK58" i="5"/>
  <c r="CL58" i="5"/>
  <c r="CM58" i="5"/>
  <c r="CN58" i="5"/>
  <c r="CO58" i="5"/>
  <c r="CP58" i="5"/>
  <c r="CQ58" i="5"/>
  <c r="CR58" i="5"/>
  <c r="CS58" i="5"/>
  <c r="CT58" i="5"/>
  <c r="CU58" i="5"/>
  <c r="CV58" i="5"/>
  <c r="CW58" i="5"/>
  <c r="CX58" i="5"/>
  <c r="CY58" i="5"/>
  <c r="CZ58" i="5"/>
  <c r="DA58" i="5"/>
  <c r="DB58" i="5"/>
  <c r="DC58" i="5"/>
  <c r="DD58" i="5"/>
  <c r="DE58" i="5"/>
  <c r="DF58" i="5"/>
  <c r="DG58" i="5"/>
  <c r="DH58" i="5"/>
  <c r="DI58" i="5"/>
  <c r="DJ58" i="5"/>
  <c r="DK58" i="5"/>
  <c r="DL58" i="5"/>
  <c r="DM58" i="5"/>
  <c r="DN58" i="5"/>
  <c r="DO58" i="5"/>
  <c r="DP58" i="5"/>
  <c r="DQ58" i="5"/>
  <c r="DR58" i="5"/>
  <c r="DS58" i="5"/>
  <c r="DT58" i="5"/>
  <c r="DU58" i="5"/>
  <c r="DV58" i="5"/>
  <c r="DW58" i="5"/>
  <c r="DX58" i="5"/>
  <c r="DY58" i="5"/>
  <c r="DZ58" i="5"/>
  <c r="EA58" i="5"/>
  <c r="EB58" i="5"/>
  <c r="EC58" i="5"/>
  <c r="ED58" i="5"/>
  <c r="EE58" i="5"/>
  <c r="EF58" i="5"/>
  <c r="EG58" i="5"/>
  <c r="EH58" i="5"/>
  <c r="EI58" i="5"/>
  <c r="EJ58" i="5"/>
  <c r="EK58" i="5"/>
  <c r="EL58" i="5"/>
  <c r="EM58" i="5"/>
  <c r="EN58" i="5"/>
  <c r="EO58" i="5"/>
  <c r="EP58" i="5"/>
  <c r="EQ58" i="5"/>
  <c r="ER58" i="5"/>
  <c r="ES58" i="5"/>
  <c r="ET58" i="5"/>
  <c r="EU58" i="5"/>
  <c r="EV58" i="5"/>
  <c r="EW58" i="5"/>
  <c r="EX58" i="5"/>
  <c r="EY58" i="5"/>
  <c r="EZ58" i="5"/>
  <c r="FA58" i="5"/>
  <c r="FB58" i="5"/>
  <c r="FC58" i="5"/>
  <c r="FD58" i="5"/>
  <c r="FE58" i="5"/>
  <c r="FF58" i="5"/>
  <c r="FG58" i="5"/>
  <c r="FH58" i="5"/>
  <c r="FI58" i="5"/>
  <c r="FJ58" i="5"/>
  <c r="FK58" i="5"/>
  <c r="FL58" i="5"/>
  <c r="FM58" i="5"/>
  <c r="FN58" i="5"/>
  <c r="FO58" i="5"/>
  <c r="FP58" i="5"/>
  <c r="FQ58" i="5"/>
  <c r="FR58" i="5"/>
  <c r="FS58" i="5"/>
  <c r="FT58" i="5"/>
  <c r="FU58" i="5"/>
  <c r="FV58" i="5"/>
  <c r="FW58" i="5"/>
  <c r="FX58" i="5"/>
  <c r="FY58" i="5"/>
  <c r="FZ58" i="5"/>
  <c r="GA58" i="5"/>
  <c r="GB58" i="5"/>
  <c r="GC58" i="5"/>
  <c r="GD58" i="5"/>
  <c r="GE58" i="5"/>
  <c r="GF58" i="5"/>
  <c r="GG58" i="5"/>
  <c r="GH58" i="5"/>
  <c r="GI58" i="5"/>
  <c r="GJ58" i="5"/>
  <c r="GK58" i="5"/>
  <c r="GL58" i="5"/>
  <c r="GM58" i="5"/>
  <c r="GN58" i="5"/>
  <c r="GO58" i="5"/>
  <c r="GP58" i="5"/>
  <c r="GQ58" i="5"/>
  <c r="GR58" i="5"/>
  <c r="GS58" i="5"/>
  <c r="GT58" i="5"/>
  <c r="GU58" i="5"/>
  <c r="GV58" i="5"/>
  <c r="GW58" i="5"/>
  <c r="GX58" i="5"/>
  <c r="GY58" i="5"/>
  <c r="GZ58" i="5"/>
  <c r="HA58" i="5"/>
  <c r="HB58" i="5"/>
  <c r="HC58" i="5"/>
  <c r="HD58" i="5"/>
  <c r="HE58" i="5"/>
  <c r="HF58" i="5"/>
  <c r="HG58" i="5"/>
  <c r="A59" i="5"/>
  <c r="B59" i="5"/>
  <c r="C59" i="5"/>
  <c r="D59" i="5"/>
  <c r="E59" i="5"/>
  <c r="F59" i="5"/>
  <c r="G59" i="5"/>
  <c r="H59" i="5"/>
  <c r="I59" i="5"/>
  <c r="J59" i="5"/>
  <c r="K59" i="5"/>
  <c r="L59" i="5"/>
  <c r="M59" i="5"/>
  <c r="N59" i="5"/>
  <c r="O59" i="5"/>
  <c r="P59" i="5"/>
  <c r="Q59" i="5"/>
  <c r="R59" i="5"/>
  <c r="S59" i="5"/>
  <c r="T59" i="5"/>
  <c r="U59" i="5"/>
  <c r="V59" i="5"/>
  <c r="W59" i="5"/>
  <c r="X59" i="5"/>
  <c r="Y59" i="5"/>
  <c r="Z59" i="5"/>
  <c r="AA59" i="5"/>
  <c r="AB59" i="5"/>
  <c r="AC59" i="5"/>
  <c r="AD59" i="5"/>
  <c r="AE59" i="5"/>
  <c r="AF59" i="5"/>
  <c r="AG59" i="5"/>
  <c r="AH59" i="5"/>
  <c r="AI59" i="5"/>
  <c r="AJ59" i="5"/>
  <c r="AK59" i="5"/>
  <c r="AL59" i="5"/>
  <c r="AM59" i="5"/>
  <c r="AN59" i="5"/>
  <c r="AO59" i="5"/>
  <c r="AP59" i="5"/>
  <c r="AQ59" i="5"/>
  <c r="AR59" i="5"/>
  <c r="AS59" i="5"/>
  <c r="AT59" i="5"/>
  <c r="AU59" i="5"/>
  <c r="AV59" i="5"/>
  <c r="AW59" i="5"/>
  <c r="AX59" i="5"/>
  <c r="AY59" i="5"/>
  <c r="AZ59" i="5"/>
  <c r="BA59" i="5"/>
  <c r="BB59" i="5"/>
  <c r="BC59" i="5"/>
  <c r="BD59" i="5"/>
  <c r="BE59" i="5"/>
  <c r="BF59" i="5"/>
  <c r="BG59" i="5"/>
  <c r="BH59" i="5"/>
  <c r="BI59" i="5"/>
  <c r="BJ59" i="5"/>
  <c r="BK59" i="5"/>
  <c r="BL59" i="5"/>
  <c r="BM59" i="5"/>
  <c r="BN59" i="5"/>
  <c r="BO59" i="5"/>
  <c r="BP59" i="5"/>
  <c r="BQ59" i="5"/>
  <c r="BR59" i="5"/>
  <c r="BS59" i="5"/>
  <c r="BT59" i="5"/>
  <c r="BU59" i="5"/>
  <c r="BV59" i="5"/>
  <c r="BW59" i="5"/>
  <c r="BX59" i="5"/>
  <c r="BY59" i="5"/>
  <c r="BZ59" i="5"/>
  <c r="CA59" i="5"/>
  <c r="CB59" i="5"/>
  <c r="CC59" i="5"/>
  <c r="CD59" i="5"/>
  <c r="CE59" i="5"/>
  <c r="CF59" i="5"/>
  <c r="CG59" i="5"/>
  <c r="CH59" i="5"/>
  <c r="CI59" i="5"/>
  <c r="CJ59" i="5"/>
  <c r="CK59" i="5"/>
  <c r="CL59" i="5"/>
  <c r="CM59" i="5"/>
  <c r="CN59" i="5"/>
  <c r="CO59" i="5"/>
  <c r="CP59" i="5"/>
  <c r="CQ59" i="5"/>
  <c r="CR59" i="5"/>
  <c r="CS59" i="5"/>
  <c r="CT59" i="5"/>
  <c r="CU59" i="5"/>
  <c r="CV59" i="5"/>
  <c r="CW59" i="5"/>
  <c r="CX59" i="5"/>
  <c r="CY59" i="5"/>
  <c r="CZ59" i="5"/>
  <c r="DA59" i="5"/>
  <c r="DB59" i="5"/>
  <c r="DC59" i="5"/>
  <c r="DD59" i="5"/>
  <c r="DE59" i="5"/>
  <c r="DF59" i="5"/>
  <c r="DG59" i="5"/>
  <c r="DH59" i="5"/>
  <c r="DI59" i="5"/>
  <c r="DJ59" i="5"/>
  <c r="DK59" i="5"/>
  <c r="DL59" i="5"/>
  <c r="DM59" i="5"/>
  <c r="DN59" i="5"/>
  <c r="DO59" i="5"/>
  <c r="DP59" i="5"/>
  <c r="DQ59" i="5"/>
  <c r="DR59" i="5"/>
  <c r="DS59" i="5"/>
  <c r="DT59" i="5"/>
  <c r="DU59" i="5"/>
  <c r="DV59" i="5"/>
  <c r="DW59" i="5"/>
  <c r="DX59" i="5"/>
  <c r="DY59" i="5"/>
  <c r="DZ59" i="5"/>
  <c r="EA59" i="5"/>
  <c r="EB59" i="5"/>
  <c r="EC59" i="5"/>
  <c r="ED59" i="5"/>
  <c r="EE59" i="5"/>
  <c r="EF59" i="5"/>
  <c r="EG59" i="5"/>
  <c r="EH59" i="5"/>
  <c r="EI59" i="5"/>
  <c r="EJ59" i="5"/>
  <c r="EK59" i="5"/>
  <c r="EL59" i="5"/>
  <c r="EM59" i="5"/>
  <c r="EN59" i="5"/>
  <c r="EO59" i="5"/>
  <c r="EP59" i="5"/>
  <c r="EQ59" i="5"/>
  <c r="ER59" i="5"/>
  <c r="ES59" i="5"/>
  <c r="ET59" i="5"/>
  <c r="EU59" i="5"/>
  <c r="EV59" i="5"/>
  <c r="EW59" i="5"/>
  <c r="EX59" i="5"/>
  <c r="EY59" i="5"/>
  <c r="EZ59" i="5"/>
  <c r="FA59" i="5"/>
  <c r="FB59" i="5"/>
  <c r="FC59" i="5"/>
  <c r="FD59" i="5"/>
  <c r="FE59" i="5"/>
  <c r="FF59" i="5"/>
  <c r="FG59" i="5"/>
  <c r="FH59" i="5"/>
  <c r="FI59" i="5"/>
  <c r="FJ59" i="5"/>
  <c r="FK59" i="5"/>
  <c r="FL59" i="5"/>
  <c r="FM59" i="5"/>
  <c r="FN59" i="5"/>
  <c r="FO59" i="5"/>
  <c r="FP59" i="5"/>
  <c r="FQ59" i="5"/>
  <c r="FR59" i="5"/>
  <c r="FS59" i="5"/>
  <c r="FT59" i="5"/>
  <c r="FU59" i="5"/>
  <c r="FV59" i="5"/>
  <c r="FW59" i="5"/>
  <c r="FX59" i="5"/>
  <c r="FY59" i="5"/>
  <c r="FZ59" i="5"/>
  <c r="GA59" i="5"/>
  <c r="GB59" i="5"/>
  <c r="GC59" i="5"/>
  <c r="GD59" i="5"/>
  <c r="GE59" i="5"/>
  <c r="GF59" i="5"/>
  <c r="GG59" i="5"/>
  <c r="GH59" i="5"/>
  <c r="GI59" i="5"/>
  <c r="GJ59" i="5"/>
  <c r="GK59" i="5"/>
  <c r="GL59" i="5"/>
  <c r="GM59" i="5"/>
  <c r="GN59" i="5"/>
  <c r="GO59" i="5"/>
  <c r="GP59" i="5"/>
  <c r="GQ59" i="5"/>
  <c r="GR59" i="5"/>
  <c r="GS59" i="5"/>
  <c r="GT59" i="5"/>
  <c r="GU59" i="5"/>
  <c r="GV59" i="5"/>
  <c r="GW59" i="5"/>
  <c r="GX59" i="5"/>
  <c r="GY59" i="5"/>
  <c r="GZ59" i="5"/>
  <c r="HA59" i="5"/>
  <c r="HB59" i="5"/>
  <c r="HC59" i="5"/>
  <c r="HD59" i="5"/>
  <c r="HE59" i="5"/>
  <c r="HF59" i="5"/>
  <c r="HG59" i="5"/>
  <c r="A60" i="5"/>
  <c r="B60" i="5"/>
  <c r="C60" i="5"/>
  <c r="D60" i="5"/>
  <c r="E60" i="5"/>
  <c r="F60" i="5"/>
  <c r="G60" i="5"/>
  <c r="H60" i="5"/>
  <c r="I60" i="5"/>
  <c r="J60" i="5"/>
  <c r="K60" i="5"/>
  <c r="L60" i="5"/>
  <c r="M60" i="5"/>
  <c r="N60" i="5"/>
  <c r="O60" i="5"/>
  <c r="P60" i="5"/>
  <c r="Q60" i="5"/>
  <c r="R60" i="5"/>
  <c r="S60" i="5"/>
  <c r="T60" i="5"/>
  <c r="U60" i="5"/>
  <c r="V60" i="5"/>
  <c r="W60" i="5"/>
  <c r="X60" i="5"/>
  <c r="Y60" i="5"/>
  <c r="Z60" i="5"/>
  <c r="AA60" i="5"/>
  <c r="AB60" i="5"/>
  <c r="AC60" i="5"/>
  <c r="AD60" i="5"/>
  <c r="AE60" i="5"/>
  <c r="AF60" i="5"/>
  <c r="AG60" i="5"/>
  <c r="AH60" i="5"/>
  <c r="AI60" i="5"/>
  <c r="AJ60" i="5"/>
  <c r="AK60" i="5"/>
  <c r="AL60" i="5"/>
  <c r="AM60" i="5"/>
  <c r="AN60" i="5"/>
  <c r="AO60" i="5"/>
  <c r="AP60" i="5"/>
  <c r="AQ60" i="5"/>
  <c r="AR60" i="5"/>
  <c r="AS60" i="5"/>
  <c r="AT60" i="5"/>
  <c r="AU60" i="5"/>
  <c r="AV60" i="5"/>
  <c r="AW60" i="5"/>
  <c r="AX60" i="5"/>
  <c r="AY60" i="5"/>
  <c r="AZ60" i="5"/>
  <c r="BA60" i="5"/>
  <c r="BB60" i="5"/>
  <c r="BC60" i="5"/>
  <c r="BD60" i="5"/>
  <c r="BE60" i="5"/>
  <c r="BF60" i="5"/>
  <c r="BG60" i="5"/>
  <c r="BH60" i="5"/>
  <c r="BI60" i="5"/>
  <c r="BJ60" i="5"/>
  <c r="BK60" i="5"/>
  <c r="BL60" i="5"/>
  <c r="BM60" i="5"/>
  <c r="BN60" i="5"/>
  <c r="BO60" i="5"/>
  <c r="BP60" i="5"/>
  <c r="BQ60" i="5"/>
  <c r="BR60" i="5"/>
  <c r="BS60" i="5"/>
  <c r="BT60" i="5"/>
  <c r="BU60" i="5"/>
  <c r="BV60" i="5"/>
  <c r="BW60" i="5"/>
  <c r="BX60" i="5"/>
  <c r="BY60" i="5"/>
  <c r="BZ60" i="5"/>
  <c r="CA60" i="5"/>
  <c r="CB60" i="5"/>
  <c r="CC60" i="5"/>
  <c r="CD60" i="5"/>
  <c r="CE60" i="5"/>
  <c r="CF60" i="5"/>
  <c r="CG60" i="5"/>
  <c r="CH60" i="5"/>
  <c r="CI60" i="5"/>
  <c r="CJ60" i="5"/>
  <c r="CK60" i="5"/>
  <c r="CL60" i="5"/>
  <c r="CM60" i="5"/>
  <c r="CN60" i="5"/>
  <c r="CO60" i="5"/>
  <c r="CP60" i="5"/>
  <c r="CQ60" i="5"/>
  <c r="CR60" i="5"/>
  <c r="CS60" i="5"/>
  <c r="CT60" i="5"/>
  <c r="CU60" i="5"/>
  <c r="CV60" i="5"/>
  <c r="CW60" i="5"/>
  <c r="CX60" i="5"/>
  <c r="CY60" i="5"/>
  <c r="CZ60" i="5"/>
  <c r="DA60" i="5"/>
  <c r="DB60" i="5"/>
  <c r="DC60" i="5"/>
  <c r="DD60" i="5"/>
  <c r="DE60" i="5"/>
  <c r="DF60" i="5"/>
  <c r="DG60" i="5"/>
  <c r="DH60" i="5"/>
  <c r="DI60" i="5"/>
  <c r="DJ60" i="5"/>
  <c r="DK60" i="5"/>
  <c r="DL60" i="5"/>
  <c r="DM60" i="5"/>
  <c r="DN60" i="5"/>
  <c r="DO60" i="5"/>
  <c r="DP60" i="5"/>
  <c r="DQ60" i="5"/>
  <c r="DR60" i="5"/>
  <c r="DS60" i="5"/>
  <c r="DT60" i="5"/>
  <c r="DU60" i="5"/>
  <c r="DV60" i="5"/>
  <c r="DW60" i="5"/>
  <c r="DX60" i="5"/>
  <c r="DY60" i="5"/>
  <c r="DZ60" i="5"/>
  <c r="EA60" i="5"/>
  <c r="EB60" i="5"/>
  <c r="EC60" i="5"/>
  <c r="ED60" i="5"/>
  <c r="EE60" i="5"/>
  <c r="EF60" i="5"/>
  <c r="EG60" i="5"/>
  <c r="EH60" i="5"/>
  <c r="EI60" i="5"/>
  <c r="EJ60" i="5"/>
  <c r="EK60" i="5"/>
  <c r="EL60" i="5"/>
  <c r="EM60" i="5"/>
  <c r="EN60" i="5"/>
  <c r="EO60" i="5"/>
  <c r="EP60" i="5"/>
  <c r="EQ60" i="5"/>
  <c r="ER60" i="5"/>
  <c r="ES60" i="5"/>
  <c r="ET60" i="5"/>
  <c r="EU60" i="5"/>
  <c r="EV60" i="5"/>
  <c r="EW60" i="5"/>
  <c r="EX60" i="5"/>
  <c r="EY60" i="5"/>
  <c r="EZ60" i="5"/>
  <c r="FA60" i="5"/>
  <c r="FB60" i="5"/>
  <c r="FC60" i="5"/>
  <c r="FD60" i="5"/>
  <c r="FE60" i="5"/>
  <c r="FF60" i="5"/>
  <c r="FG60" i="5"/>
  <c r="FH60" i="5"/>
  <c r="FI60" i="5"/>
  <c r="FJ60" i="5"/>
  <c r="FK60" i="5"/>
  <c r="FL60" i="5"/>
  <c r="FM60" i="5"/>
  <c r="FN60" i="5"/>
  <c r="FO60" i="5"/>
  <c r="FP60" i="5"/>
  <c r="FQ60" i="5"/>
  <c r="FR60" i="5"/>
  <c r="FS60" i="5"/>
  <c r="FT60" i="5"/>
  <c r="FU60" i="5"/>
  <c r="FV60" i="5"/>
  <c r="FW60" i="5"/>
  <c r="FX60" i="5"/>
  <c r="FY60" i="5"/>
  <c r="FZ60" i="5"/>
  <c r="GA60" i="5"/>
  <c r="GB60" i="5"/>
  <c r="GC60" i="5"/>
  <c r="GD60" i="5"/>
  <c r="GE60" i="5"/>
  <c r="GF60" i="5"/>
  <c r="GG60" i="5"/>
  <c r="GH60" i="5"/>
  <c r="GI60" i="5"/>
  <c r="GJ60" i="5"/>
  <c r="GK60" i="5"/>
  <c r="GL60" i="5"/>
  <c r="GM60" i="5"/>
  <c r="GN60" i="5"/>
  <c r="GO60" i="5"/>
  <c r="GP60" i="5"/>
  <c r="GQ60" i="5"/>
  <c r="GR60" i="5"/>
  <c r="GS60" i="5"/>
  <c r="GT60" i="5"/>
  <c r="GU60" i="5"/>
  <c r="GV60" i="5"/>
  <c r="GW60" i="5"/>
  <c r="GX60" i="5"/>
  <c r="GY60" i="5"/>
  <c r="GZ60" i="5"/>
  <c r="HA60" i="5"/>
  <c r="HB60" i="5"/>
  <c r="HC60" i="5"/>
  <c r="HD60" i="5"/>
  <c r="HE60" i="5"/>
  <c r="HF60" i="5"/>
  <c r="HG60" i="5"/>
  <c r="A61" i="5"/>
  <c r="B61" i="5"/>
  <c r="C61" i="5"/>
  <c r="D61" i="5"/>
  <c r="E61" i="5"/>
  <c r="F61" i="5"/>
  <c r="G61" i="5"/>
  <c r="H61" i="5"/>
  <c r="I61" i="5"/>
  <c r="J61" i="5"/>
  <c r="K61" i="5"/>
  <c r="L61" i="5"/>
  <c r="M61" i="5"/>
  <c r="N61" i="5"/>
  <c r="O61" i="5"/>
  <c r="P61" i="5"/>
  <c r="Q61" i="5"/>
  <c r="R61" i="5"/>
  <c r="S61" i="5"/>
  <c r="T61" i="5"/>
  <c r="U61" i="5"/>
  <c r="V61" i="5"/>
  <c r="W61" i="5"/>
  <c r="X61" i="5"/>
  <c r="Y61" i="5"/>
  <c r="Z61" i="5"/>
  <c r="AA61" i="5"/>
  <c r="AB61" i="5"/>
  <c r="AC61" i="5"/>
  <c r="AD61" i="5"/>
  <c r="AE61" i="5"/>
  <c r="AF61" i="5"/>
  <c r="AG61" i="5"/>
  <c r="AH61" i="5"/>
  <c r="AI61" i="5"/>
  <c r="AJ61" i="5"/>
  <c r="AK61" i="5"/>
  <c r="AL61" i="5"/>
  <c r="AM61" i="5"/>
  <c r="AN61" i="5"/>
  <c r="AO61" i="5"/>
  <c r="AP61" i="5"/>
  <c r="AQ61" i="5"/>
  <c r="AR61" i="5"/>
  <c r="AS61" i="5"/>
  <c r="AT61" i="5"/>
  <c r="AU61" i="5"/>
  <c r="AV61" i="5"/>
  <c r="AW61" i="5"/>
  <c r="AX61" i="5"/>
  <c r="AY61" i="5"/>
  <c r="AZ61" i="5"/>
  <c r="BA61" i="5"/>
  <c r="BB61" i="5"/>
  <c r="BC61" i="5"/>
  <c r="BD61" i="5"/>
  <c r="BE61" i="5"/>
  <c r="BF61" i="5"/>
  <c r="BG61" i="5"/>
  <c r="BH61" i="5"/>
  <c r="BI61" i="5"/>
  <c r="BJ61" i="5"/>
  <c r="BK61" i="5"/>
  <c r="BL61" i="5"/>
  <c r="BM61" i="5"/>
  <c r="BN61" i="5"/>
  <c r="BO61" i="5"/>
  <c r="BP61" i="5"/>
  <c r="BQ61" i="5"/>
  <c r="BR61" i="5"/>
  <c r="BS61" i="5"/>
  <c r="BT61" i="5"/>
  <c r="BU61" i="5"/>
  <c r="BV61" i="5"/>
  <c r="BW61" i="5"/>
  <c r="BX61" i="5"/>
  <c r="BY61" i="5"/>
  <c r="BZ61" i="5"/>
  <c r="CA61" i="5"/>
  <c r="CB61" i="5"/>
  <c r="CC61" i="5"/>
  <c r="CD61" i="5"/>
  <c r="CE61" i="5"/>
  <c r="CF61" i="5"/>
  <c r="CG61" i="5"/>
  <c r="CH61" i="5"/>
  <c r="CI61" i="5"/>
  <c r="CJ61" i="5"/>
  <c r="CK61" i="5"/>
  <c r="CL61" i="5"/>
  <c r="CM61" i="5"/>
  <c r="CN61" i="5"/>
  <c r="CO61" i="5"/>
  <c r="CP61" i="5"/>
  <c r="CQ61" i="5"/>
  <c r="CR61" i="5"/>
  <c r="CS61" i="5"/>
  <c r="CT61" i="5"/>
  <c r="CU61" i="5"/>
  <c r="CV61" i="5"/>
  <c r="CW61" i="5"/>
  <c r="CX61" i="5"/>
  <c r="CY61" i="5"/>
  <c r="CZ61" i="5"/>
  <c r="DA61" i="5"/>
  <c r="DB61" i="5"/>
  <c r="DC61" i="5"/>
  <c r="DD61" i="5"/>
  <c r="DE61" i="5"/>
  <c r="DF61" i="5"/>
  <c r="DG61" i="5"/>
  <c r="DH61" i="5"/>
  <c r="DI61" i="5"/>
  <c r="DJ61" i="5"/>
  <c r="DK61" i="5"/>
  <c r="DL61" i="5"/>
  <c r="DM61" i="5"/>
  <c r="DN61" i="5"/>
  <c r="DO61" i="5"/>
  <c r="DP61" i="5"/>
  <c r="DQ61" i="5"/>
  <c r="DR61" i="5"/>
  <c r="DS61" i="5"/>
  <c r="DT61" i="5"/>
  <c r="DU61" i="5"/>
  <c r="DV61" i="5"/>
  <c r="DW61" i="5"/>
  <c r="DX61" i="5"/>
  <c r="DY61" i="5"/>
  <c r="DZ61" i="5"/>
  <c r="EA61" i="5"/>
  <c r="EB61" i="5"/>
  <c r="EC61" i="5"/>
  <c r="ED61" i="5"/>
  <c r="EE61" i="5"/>
  <c r="EF61" i="5"/>
  <c r="EG61" i="5"/>
  <c r="EH61" i="5"/>
  <c r="EI61" i="5"/>
  <c r="EJ61" i="5"/>
  <c r="EK61" i="5"/>
  <c r="EL61" i="5"/>
  <c r="EM61" i="5"/>
  <c r="EN61" i="5"/>
  <c r="EO61" i="5"/>
  <c r="EP61" i="5"/>
  <c r="EQ61" i="5"/>
  <c r="ER61" i="5"/>
  <c r="ES61" i="5"/>
  <c r="ET61" i="5"/>
  <c r="EU61" i="5"/>
  <c r="EV61" i="5"/>
  <c r="EW61" i="5"/>
  <c r="EX61" i="5"/>
  <c r="EY61" i="5"/>
  <c r="EZ61" i="5"/>
  <c r="FA61" i="5"/>
  <c r="FB61" i="5"/>
  <c r="FC61" i="5"/>
  <c r="FD61" i="5"/>
  <c r="FE61" i="5"/>
  <c r="FF61" i="5"/>
  <c r="FG61" i="5"/>
  <c r="FH61" i="5"/>
  <c r="FI61" i="5"/>
  <c r="FJ61" i="5"/>
  <c r="FK61" i="5"/>
  <c r="FL61" i="5"/>
  <c r="FM61" i="5"/>
  <c r="FN61" i="5"/>
  <c r="FO61" i="5"/>
  <c r="FP61" i="5"/>
  <c r="FQ61" i="5"/>
  <c r="FR61" i="5"/>
  <c r="FS61" i="5"/>
  <c r="FT61" i="5"/>
  <c r="FU61" i="5"/>
  <c r="FV61" i="5"/>
  <c r="FW61" i="5"/>
  <c r="FX61" i="5"/>
  <c r="FY61" i="5"/>
  <c r="FZ61" i="5"/>
  <c r="GA61" i="5"/>
  <c r="GB61" i="5"/>
  <c r="GC61" i="5"/>
  <c r="GD61" i="5"/>
  <c r="GE61" i="5"/>
  <c r="GF61" i="5"/>
  <c r="GG61" i="5"/>
  <c r="GH61" i="5"/>
  <c r="GI61" i="5"/>
  <c r="GJ61" i="5"/>
  <c r="GK61" i="5"/>
  <c r="GL61" i="5"/>
  <c r="GM61" i="5"/>
  <c r="GN61" i="5"/>
  <c r="GO61" i="5"/>
  <c r="GP61" i="5"/>
  <c r="GQ61" i="5"/>
  <c r="GR61" i="5"/>
  <c r="GS61" i="5"/>
  <c r="GT61" i="5"/>
  <c r="GU61" i="5"/>
  <c r="GV61" i="5"/>
  <c r="GW61" i="5"/>
  <c r="GX61" i="5"/>
  <c r="GY61" i="5"/>
  <c r="GZ61" i="5"/>
  <c r="HA61" i="5"/>
  <c r="HB61" i="5"/>
  <c r="HC61" i="5"/>
  <c r="HD61" i="5"/>
  <c r="HE61" i="5"/>
  <c r="HF61" i="5"/>
  <c r="HG61" i="5"/>
  <c r="A62" i="5"/>
  <c r="B62" i="5"/>
  <c r="C62" i="5"/>
  <c r="D62" i="5"/>
  <c r="E62" i="5"/>
  <c r="F62" i="5"/>
  <c r="G62" i="5"/>
  <c r="H62" i="5"/>
  <c r="I62" i="5"/>
  <c r="J62" i="5"/>
  <c r="K62" i="5"/>
  <c r="L62" i="5"/>
  <c r="M62" i="5"/>
  <c r="N62" i="5"/>
  <c r="O62" i="5"/>
  <c r="P62" i="5"/>
  <c r="Q62" i="5"/>
  <c r="R62" i="5"/>
  <c r="S62" i="5"/>
  <c r="T62" i="5"/>
  <c r="U62" i="5"/>
  <c r="V62" i="5"/>
  <c r="W62" i="5"/>
  <c r="X62" i="5"/>
  <c r="Y62" i="5"/>
  <c r="Z62" i="5"/>
  <c r="AA62" i="5"/>
  <c r="AB62" i="5"/>
  <c r="AC62" i="5"/>
  <c r="AD62" i="5"/>
  <c r="AE62" i="5"/>
  <c r="AF62" i="5"/>
  <c r="AG62" i="5"/>
  <c r="AH62" i="5"/>
  <c r="AI62" i="5"/>
  <c r="AJ62" i="5"/>
  <c r="AK62" i="5"/>
  <c r="AL62" i="5"/>
  <c r="AM62" i="5"/>
  <c r="AN62" i="5"/>
  <c r="AO62" i="5"/>
  <c r="AP62" i="5"/>
  <c r="AQ62" i="5"/>
  <c r="AR62" i="5"/>
  <c r="AS62" i="5"/>
  <c r="AT62" i="5"/>
  <c r="AU62" i="5"/>
  <c r="AV62" i="5"/>
  <c r="AW62" i="5"/>
  <c r="AX62" i="5"/>
  <c r="AY62" i="5"/>
  <c r="AZ62" i="5"/>
  <c r="BA62" i="5"/>
  <c r="BB62" i="5"/>
  <c r="BC62" i="5"/>
  <c r="BD62" i="5"/>
  <c r="BE62" i="5"/>
  <c r="BF62" i="5"/>
  <c r="BG62" i="5"/>
  <c r="BH62" i="5"/>
  <c r="BI62" i="5"/>
  <c r="BJ62" i="5"/>
  <c r="BK62" i="5"/>
  <c r="BL62" i="5"/>
  <c r="BM62" i="5"/>
  <c r="BN62" i="5"/>
  <c r="BO62" i="5"/>
  <c r="BP62" i="5"/>
  <c r="BQ62" i="5"/>
  <c r="BR62" i="5"/>
  <c r="BS62" i="5"/>
  <c r="BT62" i="5"/>
  <c r="BU62" i="5"/>
  <c r="BV62" i="5"/>
  <c r="BW62" i="5"/>
  <c r="BX62" i="5"/>
  <c r="BY62" i="5"/>
  <c r="BZ62" i="5"/>
  <c r="CA62" i="5"/>
  <c r="CB62" i="5"/>
  <c r="CC62" i="5"/>
  <c r="CD62" i="5"/>
  <c r="CE62" i="5"/>
  <c r="CF62" i="5"/>
  <c r="CG62" i="5"/>
  <c r="CH62" i="5"/>
  <c r="CI62" i="5"/>
  <c r="CJ62" i="5"/>
  <c r="CK62" i="5"/>
  <c r="CL62" i="5"/>
  <c r="CM62" i="5"/>
  <c r="CN62" i="5"/>
  <c r="CO62" i="5"/>
  <c r="CP62" i="5"/>
  <c r="CQ62" i="5"/>
  <c r="CR62" i="5"/>
  <c r="CS62" i="5"/>
  <c r="CT62" i="5"/>
  <c r="CU62" i="5"/>
  <c r="CV62" i="5"/>
  <c r="CW62" i="5"/>
  <c r="CX62" i="5"/>
  <c r="CY62" i="5"/>
  <c r="CZ62" i="5"/>
  <c r="DA62" i="5"/>
  <c r="DB62" i="5"/>
  <c r="DC62" i="5"/>
  <c r="DD62" i="5"/>
  <c r="DE62" i="5"/>
  <c r="DF62" i="5"/>
  <c r="DG62" i="5"/>
  <c r="DH62" i="5"/>
  <c r="DI62" i="5"/>
  <c r="DJ62" i="5"/>
  <c r="DK62" i="5"/>
  <c r="DL62" i="5"/>
  <c r="DM62" i="5"/>
  <c r="DN62" i="5"/>
  <c r="DO62" i="5"/>
  <c r="DP62" i="5"/>
  <c r="DQ62" i="5"/>
  <c r="DR62" i="5"/>
  <c r="DS62" i="5"/>
  <c r="DT62" i="5"/>
  <c r="DU62" i="5"/>
  <c r="DV62" i="5"/>
  <c r="DW62" i="5"/>
  <c r="DX62" i="5"/>
  <c r="DY62" i="5"/>
  <c r="DZ62" i="5"/>
  <c r="EA62" i="5"/>
  <c r="EB62" i="5"/>
  <c r="EC62" i="5"/>
  <c r="ED62" i="5"/>
  <c r="EE62" i="5"/>
  <c r="EF62" i="5"/>
  <c r="EG62" i="5"/>
  <c r="EH62" i="5"/>
  <c r="EI62" i="5"/>
  <c r="EJ62" i="5"/>
  <c r="EK62" i="5"/>
  <c r="EL62" i="5"/>
  <c r="EM62" i="5"/>
  <c r="EN62" i="5"/>
  <c r="EO62" i="5"/>
  <c r="EP62" i="5"/>
  <c r="EQ62" i="5"/>
  <c r="ER62" i="5"/>
  <c r="ES62" i="5"/>
  <c r="ET62" i="5"/>
  <c r="EU62" i="5"/>
  <c r="EV62" i="5"/>
  <c r="EW62" i="5"/>
  <c r="EX62" i="5"/>
  <c r="EY62" i="5"/>
  <c r="EZ62" i="5"/>
  <c r="FA62" i="5"/>
  <c r="FB62" i="5"/>
  <c r="FC62" i="5"/>
  <c r="FD62" i="5"/>
  <c r="FE62" i="5"/>
  <c r="FF62" i="5"/>
  <c r="FG62" i="5"/>
  <c r="FH62" i="5"/>
  <c r="FI62" i="5"/>
  <c r="FJ62" i="5"/>
  <c r="FK62" i="5"/>
  <c r="FL62" i="5"/>
  <c r="FM62" i="5"/>
  <c r="FN62" i="5"/>
  <c r="FO62" i="5"/>
  <c r="FP62" i="5"/>
  <c r="FQ62" i="5"/>
  <c r="FR62" i="5"/>
  <c r="FS62" i="5"/>
  <c r="FT62" i="5"/>
  <c r="FU62" i="5"/>
  <c r="FV62" i="5"/>
  <c r="FW62" i="5"/>
  <c r="FX62" i="5"/>
  <c r="FY62" i="5"/>
  <c r="FZ62" i="5"/>
  <c r="GA62" i="5"/>
  <c r="GB62" i="5"/>
  <c r="GC62" i="5"/>
  <c r="GD62" i="5"/>
  <c r="GE62" i="5"/>
  <c r="GF62" i="5"/>
  <c r="GG62" i="5"/>
  <c r="GH62" i="5"/>
  <c r="GI62" i="5"/>
  <c r="GJ62" i="5"/>
  <c r="GK62" i="5"/>
  <c r="GL62" i="5"/>
  <c r="GM62" i="5"/>
  <c r="GN62" i="5"/>
  <c r="GO62" i="5"/>
  <c r="GP62" i="5"/>
  <c r="GQ62" i="5"/>
  <c r="GR62" i="5"/>
  <c r="GS62" i="5"/>
  <c r="GT62" i="5"/>
  <c r="GU62" i="5"/>
  <c r="GV62" i="5"/>
  <c r="GW62" i="5"/>
  <c r="GX62" i="5"/>
  <c r="GY62" i="5"/>
  <c r="GZ62" i="5"/>
  <c r="HA62" i="5"/>
  <c r="HB62" i="5"/>
  <c r="HC62" i="5"/>
  <c r="HD62" i="5"/>
  <c r="HE62" i="5"/>
  <c r="HF62" i="5"/>
  <c r="HG62" i="5"/>
  <c r="A63" i="5"/>
  <c r="B63" i="5"/>
  <c r="C63" i="5"/>
  <c r="D63" i="5"/>
  <c r="E63" i="5"/>
  <c r="F63" i="5"/>
  <c r="G63" i="5"/>
  <c r="H63" i="5"/>
  <c r="I63" i="5"/>
  <c r="J63" i="5"/>
  <c r="K63" i="5"/>
  <c r="L63" i="5"/>
  <c r="M63" i="5"/>
  <c r="N63" i="5"/>
  <c r="O63" i="5"/>
  <c r="P63" i="5"/>
  <c r="Q63" i="5"/>
  <c r="R63" i="5"/>
  <c r="S63" i="5"/>
  <c r="T63" i="5"/>
  <c r="U63" i="5"/>
  <c r="V63" i="5"/>
  <c r="W63" i="5"/>
  <c r="X63" i="5"/>
  <c r="Y63" i="5"/>
  <c r="Z63" i="5"/>
  <c r="AA63" i="5"/>
  <c r="AB63" i="5"/>
  <c r="AC63" i="5"/>
  <c r="AD63" i="5"/>
  <c r="AE63" i="5"/>
  <c r="AF63" i="5"/>
  <c r="AG63" i="5"/>
  <c r="AH63" i="5"/>
  <c r="AI63" i="5"/>
  <c r="AJ63" i="5"/>
  <c r="AK63" i="5"/>
  <c r="AL63" i="5"/>
  <c r="AM63" i="5"/>
  <c r="AN63" i="5"/>
  <c r="AO63" i="5"/>
  <c r="AP63" i="5"/>
  <c r="AQ63" i="5"/>
  <c r="AR63" i="5"/>
  <c r="AS63" i="5"/>
  <c r="AT63" i="5"/>
  <c r="AU63" i="5"/>
  <c r="AV63" i="5"/>
  <c r="AW63" i="5"/>
  <c r="AX63" i="5"/>
  <c r="AY63" i="5"/>
  <c r="AZ63" i="5"/>
  <c r="BA63" i="5"/>
  <c r="BB63" i="5"/>
  <c r="BC63" i="5"/>
  <c r="BD63" i="5"/>
  <c r="BE63" i="5"/>
  <c r="BF63" i="5"/>
  <c r="BG63" i="5"/>
  <c r="BH63" i="5"/>
  <c r="BI63" i="5"/>
  <c r="BJ63" i="5"/>
  <c r="BK63" i="5"/>
  <c r="BL63" i="5"/>
  <c r="BM63" i="5"/>
  <c r="BN63" i="5"/>
  <c r="BO63" i="5"/>
  <c r="BP63" i="5"/>
  <c r="BQ63" i="5"/>
  <c r="BR63" i="5"/>
  <c r="BS63" i="5"/>
  <c r="BT63" i="5"/>
  <c r="BU63" i="5"/>
  <c r="BV63" i="5"/>
  <c r="BW63" i="5"/>
  <c r="BX63" i="5"/>
  <c r="BY63" i="5"/>
  <c r="BZ63" i="5"/>
  <c r="CA63" i="5"/>
  <c r="CB63" i="5"/>
  <c r="CC63" i="5"/>
  <c r="CD63" i="5"/>
  <c r="CE63" i="5"/>
  <c r="CF63" i="5"/>
  <c r="CG63" i="5"/>
  <c r="CH63" i="5"/>
  <c r="CI63" i="5"/>
  <c r="CJ63" i="5"/>
  <c r="CK63" i="5"/>
  <c r="CL63" i="5"/>
  <c r="CM63" i="5"/>
  <c r="CN63" i="5"/>
  <c r="CO63" i="5"/>
  <c r="CP63" i="5"/>
  <c r="CQ63" i="5"/>
  <c r="CR63" i="5"/>
  <c r="CS63" i="5"/>
  <c r="CT63" i="5"/>
  <c r="CU63" i="5"/>
  <c r="CV63" i="5"/>
  <c r="CW63" i="5"/>
  <c r="CX63" i="5"/>
  <c r="CY63" i="5"/>
  <c r="CZ63" i="5"/>
  <c r="DA63" i="5"/>
  <c r="DB63" i="5"/>
  <c r="DC63" i="5"/>
  <c r="DD63" i="5"/>
  <c r="DE63" i="5"/>
  <c r="DF63" i="5"/>
  <c r="DG63" i="5"/>
  <c r="DH63" i="5"/>
  <c r="DI63" i="5"/>
  <c r="DJ63" i="5"/>
  <c r="DK63" i="5"/>
  <c r="DL63" i="5"/>
  <c r="DM63" i="5"/>
  <c r="DN63" i="5"/>
  <c r="DO63" i="5"/>
  <c r="DP63" i="5"/>
  <c r="DQ63" i="5"/>
  <c r="DR63" i="5"/>
  <c r="DS63" i="5"/>
  <c r="DT63" i="5"/>
  <c r="DU63" i="5"/>
  <c r="DV63" i="5"/>
  <c r="DW63" i="5"/>
  <c r="DX63" i="5"/>
  <c r="DY63" i="5"/>
  <c r="DZ63" i="5"/>
  <c r="EA63" i="5"/>
  <c r="EB63" i="5"/>
  <c r="EC63" i="5"/>
  <c r="ED63" i="5"/>
  <c r="EE63" i="5"/>
  <c r="EF63" i="5"/>
  <c r="EG63" i="5"/>
  <c r="EH63" i="5"/>
  <c r="EI63" i="5"/>
  <c r="EJ63" i="5"/>
  <c r="EK63" i="5"/>
  <c r="EL63" i="5"/>
  <c r="EM63" i="5"/>
  <c r="EN63" i="5"/>
  <c r="EO63" i="5"/>
  <c r="EP63" i="5"/>
  <c r="EQ63" i="5"/>
  <c r="ER63" i="5"/>
  <c r="ES63" i="5"/>
  <c r="ET63" i="5"/>
  <c r="EU63" i="5"/>
  <c r="EV63" i="5"/>
  <c r="EW63" i="5"/>
  <c r="EX63" i="5"/>
  <c r="EY63" i="5"/>
  <c r="EZ63" i="5"/>
  <c r="FA63" i="5"/>
  <c r="FB63" i="5"/>
  <c r="FC63" i="5"/>
  <c r="FD63" i="5"/>
  <c r="FE63" i="5"/>
  <c r="FF63" i="5"/>
  <c r="FG63" i="5"/>
  <c r="FH63" i="5"/>
  <c r="FI63" i="5"/>
  <c r="FJ63" i="5"/>
  <c r="FK63" i="5"/>
  <c r="FL63" i="5"/>
  <c r="FM63" i="5"/>
  <c r="FN63" i="5"/>
  <c r="FO63" i="5"/>
  <c r="FP63" i="5"/>
  <c r="FQ63" i="5"/>
  <c r="FR63" i="5"/>
  <c r="FS63" i="5"/>
  <c r="FT63" i="5"/>
  <c r="FU63" i="5"/>
  <c r="FV63" i="5"/>
  <c r="FW63" i="5"/>
  <c r="FX63" i="5"/>
  <c r="FY63" i="5"/>
  <c r="FZ63" i="5"/>
  <c r="GA63" i="5"/>
  <c r="GB63" i="5"/>
  <c r="GC63" i="5"/>
  <c r="GD63" i="5"/>
  <c r="GE63" i="5"/>
  <c r="GF63" i="5"/>
  <c r="GG63" i="5"/>
  <c r="GH63" i="5"/>
  <c r="GI63" i="5"/>
  <c r="GJ63" i="5"/>
  <c r="GK63" i="5"/>
  <c r="GL63" i="5"/>
  <c r="GM63" i="5"/>
  <c r="GN63" i="5"/>
  <c r="GO63" i="5"/>
  <c r="GP63" i="5"/>
  <c r="GQ63" i="5"/>
  <c r="GR63" i="5"/>
  <c r="GS63" i="5"/>
  <c r="GT63" i="5"/>
  <c r="GU63" i="5"/>
  <c r="GV63" i="5"/>
  <c r="GW63" i="5"/>
  <c r="GX63" i="5"/>
  <c r="GY63" i="5"/>
  <c r="GZ63" i="5"/>
  <c r="HA63" i="5"/>
  <c r="HB63" i="5"/>
  <c r="HC63" i="5"/>
  <c r="HD63" i="5"/>
  <c r="HE63" i="5"/>
  <c r="HF63" i="5"/>
  <c r="HG63" i="5"/>
  <c r="A64" i="5"/>
  <c r="B64" i="5"/>
  <c r="C64" i="5"/>
  <c r="D64" i="5"/>
  <c r="E64" i="5"/>
  <c r="F64" i="5"/>
  <c r="G64" i="5"/>
  <c r="H64" i="5"/>
  <c r="I64" i="5"/>
  <c r="J64" i="5"/>
  <c r="K64" i="5"/>
  <c r="L64" i="5"/>
  <c r="M64" i="5"/>
  <c r="N64" i="5"/>
  <c r="O64" i="5"/>
  <c r="P64" i="5"/>
  <c r="Q64" i="5"/>
  <c r="R64" i="5"/>
  <c r="S64" i="5"/>
  <c r="T64" i="5"/>
  <c r="U64" i="5"/>
  <c r="V64" i="5"/>
  <c r="W64" i="5"/>
  <c r="X64" i="5"/>
  <c r="Y64" i="5"/>
  <c r="Z64" i="5"/>
  <c r="AA64" i="5"/>
  <c r="AB64" i="5"/>
  <c r="AC64" i="5"/>
  <c r="AD64" i="5"/>
  <c r="AE64" i="5"/>
  <c r="AF64" i="5"/>
  <c r="AG64" i="5"/>
  <c r="AH64" i="5"/>
  <c r="AI64" i="5"/>
  <c r="AJ64" i="5"/>
  <c r="AK64" i="5"/>
  <c r="AL64" i="5"/>
  <c r="AM64" i="5"/>
  <c r="AN64" i="5"/>
  <c r="AO64" i="5"/>
  <c r="AP64" i="5"/>
  <c r="AQ64" i="5"/>
  <c r="AR64" i="5"/>
  <c r="AS64" i="5"/>
  <c r="AT64" i="5"/>
  <c r="AU64" i="5"/>
  <c r="AV64" i="5"/>
  <c r="AW64" i="5"/>
  <c r="AX64" i="5"/>
  <c r="AY64" i="5"/>
  <c r="AZ64" i="5"/>
  <c r="BA64" i="5"/>
  <c r="BB64" i="5"/>
  <c r="BC64" i="5"/>
  <c r="BD64" i="5"/>
  <c r="BE64" i="5"/>
  <c r="BF64" i="5"/>
  <c r="BG64" i="5"/>
  <c r="BH64" i="5"/>
  <c r="BI64" i="5"/>
  <c r="BJ64" i="5"/>
  <c r="BK64" i="5"/>
  <c r="BL64" i="5"/>
  <c r="BM64" i="5"/>
  <c r="BN64" i="5"/>
  <c r="BO64" i="5"/>
  <c r="BP64" i="5"/>
  <c r="BQ64" i="5"/>
  <c r="BR64" i="5"/>
  <c r="BS64" i="5"/>
  <c r="BT64" i="5"/>
  <c r="BU64" i="5"/>
  <c r="BV64" i="5"/>
  <c r="BW64" i="5"/>
  <c r="BX64" i="5"/>
  <c r="BY64" i="5"/>
  <c r="BZ64" i="5"/>
  <c r="CA64" i="5"/>
  <c r="CB64" i="5"/>
  <c r="CC64" i="5"/>
  <c r="CD64" i="5"/>
  <c r="CE64" i="5"/>
  <c r="CF64" i="5"/>
  <c r="CG64" i="5"/>
  <c r="CH64" i="5"/>
  <c r="CI64" i="5"/>
  <c r="CJ64" i="5"/>
  <c r="CK64" i="5"/>
  <c r="CL64" i="5"/>
  <c r="CM64" i="5"/>
  <c r="CN64" i="5"/>
  <c r="CO64" i="5"/>
  <c r="CP64" i="5"/>
  <c r="CQ64" i="5"/>
  <c r="CR64" i="5"/>
  <c r="CS64" i="5"/>
  <c r="CT64" i="5"/>
  <c r="CU64" i="5"/>
  <c r="CV64" i="5"/>
  <c r="CW64" i="5"/>
  <c r="CX64" i="5"/>
  <c r="CY64" i="5"/>
  <c r="CZ64" i="5"/>
  <c r="DA64" i="5"/>
  <c r="DB64" i="5"/>
  <c r="DC64" i="5"/>
  <c r="DD64" i="5"/>
  <c r="DE64" i="5"/>
  <c r="DF64" i="5"/>
  <c r="DG64" i="5"/>
  <c r="DH64" i="5"/>
  <c r="DI64" i="5"/>
  <c r="DJ64" i="5"/>
  <c r="DK64" i="5"/>
  <c r="DL64" i="5"/>
  <c r="DM64" i="5"/>
  <c r="DN64" i="5"/>
  <c r="DO64" i="5"/>
  <c r="DP64" i="5"/>
  <c r="DQ64" i="5"/>
  <c r="DR64" i="5"/>
  <c r="DS64" i="5"/>
  <c r="DT64" i="5"/>
  <c r="DU64" i="5"/>
  <c r="DV64" i="5"/>
  <c r="DW64" i="5"/>
  <c r="DX64" i="5"/>
  <c r="DY64" i="5"/>
  <c r="DZ64" i="5"/>
  <c r="EA64" i="5"/>
  <c r="EB64" i="5"/>
  <c r="EC64" i="5"/>
  <c r="ED64" i="5"/>
  <c r="EE64" i="5"/>
  <c r="EF64" i="5"/>
  <c r="EG64" i="5"/>
  <c r="EH64" i="5"/>
  <c r="EI64" i="5"/>
  <c r="EJ64" i="5"/>
  <c r="EK64" i="5"/>
  <c r="EL64" i="5"/>
  <c r="EM64" i="5"/>
  <c r="EN64" i="5"/>
  <c r="EO64" i="5"/>
  <c r="EP64" i="5"/>
  <c r="EQ64" i="5"/>
  <c r="ER64" i="5"/>
  <c r="ES64" i="5"/>
  <c r="ET64" i="5"/>
  <c r="EU64" i="5"/>
  <c r="EV64" i="5"/>
  <c r="EW64" i="5"/>
  <c r="EX64" i="5"/>
  <c r="EY64" i="5"/>
  <c r="EZ64" i="5"/>
  <c r="FA64" i="5"/>
  <c r="FB64" i="5"/>
  <c r="FC64" i="5"/>
  <c r="FD64" i="5"/>
  <c r="FE64" i="5"/>
  <c r="FF64" i="5"/>
  <c r="FG64" i="5"/>
  <c r="FH64" i="5"/>
  <c r="FI64" i="5"/>
  <c r="FJ64" i="5"/>
  <c r="FK64" i="5"/>
  <c r="FL64" i="5"/>
  <c r="FM64" i="5"/>
  <c r="FN64" i="5"/>
  <c r="FO64" i="5"/>
  <c r="FP64" i="5"/>
  <c r="FQ64" i="5"/>
  <c r="FR64" i="5"/>
  <c r="FS64" i="5"/>
  <c r="FT64" i="5"/>
  <c r="FU64" i="5"/>
  <c r="FV64" i="5"/>
  <c r="FW64" i="5"/>
  <c r="FX64" i="5"/>
  <c r="FY64" i="5"/>
  <c r="FZ64" i="5"/>
  <c r="GA64" i="5"/>
  <c r="GB64" i="5"/>
  <c r="GC64" i="5"/>
  <c r="GD64" i="5"/>
  <c r="GE64" i="5"/>
  <c r="GF64" i="5"/>
  <c r="GG64" i="5"/>
  <c r="GH64" i="5"/>
  <c r="GI64" i="5"/>
  <c r="GJ64" i="5"/>
  <c r="GK64" i="5"/>
  <c r="GL64" i="5"/>
  <c r="GM64" i="5"/>
  <c r="GN64" i="5"/>
  <c r="GO64" i="5"/>
  <c r="GP64" i="5"/>
  <c r="GQ64" i="5"/>
  <c r="GR64" i="5"/>
  <c r="GS64" i="5"/>
  <c r="GT64" i="5"/>
  <c r="GU64" i="5"/>
  <c r="GV64" i="5"/>
  <c r="GW64" i="5"/>
  <c r="GX64" i="5"/>
  <c r="GY64" i="5"/>
  <c r="GZ64" i="5"/>
  <c r="HA64" i="5"/>
  <c r="HB64" i="5"/>
  <c r="HC64" i="5"/>
  <c r="HD64" i="5"/>
  <c r="HE64" i="5"/>
  <c r="HF64" i="5"/>
  <c r="HG64" i="5"/>
  <c r="A65" i="5"/>
  <c r="B65" i="5"/>
  <c r="C65" i="5"/>
  <c r="D65" i="5"/>
  <c r="E65" i="5"/>
  <c r="F65" i="5"/>
  <c r="G65" i="5"/>
  <c r="H65" i="5"/>
  <c r="I65" i="5"/>
  <c r="J65" i="5"/>
  <c r="K65" i="5"/>
  <c r="L65" i="5"/>
  <c r="M65" i="5"/>
  <c r="N65" i="5"/>
  <c r="O65" i="5"/>
  <c r="P65" i="5"/>
  <c r="Q65" i="5"/>
  <c r="R65" i="5"/>
  <c r="S65" i="5"/>
  <c r="T65" i="5"/>
  <c r="U65" i="5"/>
  <c r="V65" i="5"/>
  <c r="W65" i="5"/>
  <c r="X65" i="5"/>
  <c r="Y65" i="5"/>
  <c r="Z65" i="5"/>
  <c r="AA65" i="5"/>
  <c r="AB65" i="5"/>
  <c r="AC65" i="5"/>
  <c r="AD65" i="5"/>
  <c r="AE65" i="5"/>
  <c r="AF65" i="5"/>
  <c r="AG65" i="5"/>
  <c r="AH65" i="5"/>
  <c r="AI65" i="5"/>
  <c r="AJ65" i="5"/>
  <c r="AK65" i="5"/>
  <c r="AL65" i="5"/>
  <c r="AM65" i="5"/>
  <c r="AN65" i="5"/>
  <c r="AO65" i="5"/>
  <c r="AP65" i="5"/>
  <c r="AQ65" i="5"/>
  <c r="AR65" i="5"/>
  <c r="AS65" i="5"/>
  <c r="AT65" i="5"/>
  <c r="AU65" i="5"/>
  <c r="AV65" i="5"/>
  <c r="AW65" i="5"/>
  <c r="AX65" i="5"/>
  <c r="AY65" i="5"/>
  <c r="AZ65" i="5"/>
  <c r="BA65" i="5"/>
  <c r="BB65" i="5"/>
  <c r="BC65" i="5"/>
  <c r="BD65" i="5"/>
  <c r="BE65" i="5"/>
  <c r="BF65" i="5"/>
  <c r="BG65" i="5"/>
  <c r="BH65" i="5"/>
  <c r="BI65" i="5"/>
  <c r="BJ65" i="5"/>
  <c r="BK65" i="5"/>
  <c r="BL65" i="5"/>
  <c r="BM65" i="5"/>
  <c r="BN65" i="5"/>
  <c r="BO65" i="5"/>
  <c r="BP65" i="5"/>
  <c r="BQ65" i="5"/>
  <c r="BR65" i="5"/>
  <c r="BS65" i="5"/>
  <c r="BT65" i="5"/>
  <c r="BU65" i="5"/>
  <c r="BV65" i="5"/>
  <c r="BW65" i="5"/>
  <c r="BX65" i="5"/>
  <c r="BY65" i="5"/>
  <c r="BZ65" i="5"/>
  <c r="CA65" i="5"/>
  <c r="CB65" i="5"/>
  <c r="CC65" i="5"/>
  <c r="CD65" i="5"/>
  <c r="CE65" i="5"/>
  <c r="CF65" i="5"/>
  <c r="CG65" i="5"/>
  <c r="CH65" i="5"/>
  <c r="CI65" i="5"/>
  <c r="CJ65" i="5"/>
  <c r="CK65" i="5"/>
  <c r="CL65" i="5"/>
  <c r="CM65" i="5"/>
  <c r="CN65" i="5"/>
  <c r="CO65" i="5"/>
  <c r="CP65" i="5"/>
  <c r="CQ65" i="5"/>
  <c r="CR65" i="5"/>
  <c r="CS65" i="5"/>
  <c r="CT65" i="5"/>
  <c r="CU65" i="5"/>
  <c r="CV65" i="5"/>
  <c r="CW65" i="5"/>
  <c r="CX65" i="5"/>
  <c r="CY65" i="5"/>
  <c r="CZ65" i="5"/>
  <c r="DA65" i="5"/>
  <c r="DB65" i="5"/>
  <c r="DC65" i="5"/>
  <c r="DD65" i="5"/>
  <c r="DE65" i="5"/>
  <c r="DF65" i="5"/>
  <c r="DG65" i="5"/>
  <c r="DH65" i="5"/>
  <c r="DI65" i="5"/>
  <c r="DJ65" i="5"/>
  <c r="DK65" i="5"/>
  <c r="DL65" i="5"/>
  <c r="DM65" i="5"/>
  <c r="DN65" i="5"/>
  <c r="DO65" i="5"/>
  <c r="DP65" i="5"/>
  <c r="DQ65" i="5"/>
  <c r="DR65" i="5"/>
  <c r="DS65" i="5"/>
  <c r="DT65" i="5"/>
  <c r="DU65" i="5"/>
  <c r="DV65" i="5"/>
  <c r="DW65" i="5"/>
  <c r="DX65" i="5"/>
  <c r="DY65" i="5"/>
  <c r="DZ65" i="5"/>
  <c r="EA65" i="5"/>
  <c r="EB65" i="5"/>
  <c r="EC65" i="5"/>
  <c r="ED65" i="5"/>
  <c r="EE65" i="5"/>
  <c r="EF65" i="5"/>
  <c r="EG65" i="5"/>
  <c r="EH65" i="5"/>
  <c r="EI65" i="5"/>
  <c r="EJ65" i="5"/>
  <c r="EK65" i="5"/>
  <c r="EL65" i="5"/>
  <c r="EM65" i="5"/>
  <c r="EN65" i="5"/>
  <c r="EO65" i="5"/>
  <c r="EP65" i="5"/>
  <c r="EQ65" i="5"/>
  <c r="ER65" i="5"/>
  <c r="ES65" i="5"/>
  <c r="ET65" i="5"/>
  <c r="EU65" i="5"/>
  <c r="EV65" i="5"/>
  <c r="EW65" i="5"/>
  <c r="EX65" i="5"/>
  <c r="EY65" i="5"/>
  <c r="EZ65" i="5"/>
  <c r="FA65" i="5"/>
  <c r="FB65" i="5"/>
  <c r="FC65" i="5"/>
  <c r="FD65" i="5"/>
  <c r="FE65" i="5"/>
  <c r="FF65" i="5"/>
  <c r="FG65" i="5"/>
  <c r="FH65" i="5"/>
  <c r="FI65" i="5"/>
  <c r="FJ65" i="5"/>
  <c r="FK65" i="5"/>
  <c r="FL65" i="5"/>
  <c r="FM65" i="5"/>
  <c r="FN65" i="5"/>
  <c r="FO65" i="5"/>
  <c r="FP65" i="5"/>
  <c r="FQ65" i="5"/>
  <c r="FR65" i="5"/>
  <c r="FS65" i="5"/>
  <c r="FT65" i="5"/>
  <c r="FU65" i="5"/>
  <c r="FV65" i="5"/>
  <c r="FW65" i="5"/>
  <c r="FX65" i="5"/>
  <c r="FY65" i="5"/>
  <c r="FZ65" i="5"/>
  <c r="GA65" i="5"/>
  <c r="GB65" i="5"/>
  <c r="GC65" i="5"/>
  <c r="GD65" i="5"/>
  <c r="GE65" i="5"/>
  <c r="GF65" i="5"/>
  <c r="GG65" i="5"/>
  <c r="GH65" i="5"/>
  <c r="GI65" i="5"/>
  <c r="GJ65" i="5"/>
  <c r="GK65" i="5"/>
  <c r="GL65" i="5"/>
  <c r="GM65" i="5"/>
  <c r="GN65" i="5"/>
  <c r="GO65" i="5"/>
  <c r="GP65" i="5"/>
  <c r="GQ65" i="5"/>
  <c r="GR65" i="5"/>
  <c r="GS65" i="5"/>
  <c r="GT65" i="5"/>
  <c r="GU65" i="5"/>
  <c r="GV65" i="5"/>
  <c r="GW65" i="5"/>
  <c r="GX65" i="5"/>
  <c r="GY65" i="5"/>
  <c r="GZ65" i="5"/>
  <c r="HA65" i="5"/>
  <c r="HB65" i="5"/>
  <c r="HC65" i="5"/>
  <c r="HD65" i="5"/>
  <c r="HE65" i="5"/>
  <c r="HF65" i="5"/>
  <c r="HG65" i="5"/>
  <c r="A66" i="5"/>
  <c r="B66" i="5"/>
  <c r="C66" i="5"/>
  <c r="D66" i="5"/>
  <c r="E66" i="5"/>
  <c r="F66" i="5"/>
  <c r="G66" i="5"/>
  <c r="H66" i="5"/>
  <c r="I66" i="5"/>
  <c r="J66" i="5"/>
  <c r="K66" i="5"/>
  <c r="L66" i="5"/>
  <c r="M66" i="5"/>
  <c r="N66" i="5"/>
  <c r="O66" i="5"/>
  <c r="P66" i="5"/>
  <c r="Q66" i="5"/>
  <c r="R66" i="5"/>
  <c r="S66" i="5"/>
  <c r="T66" i="5"/>
  <c r="U66" i="5"/>
  <c r="V66" i="5"/>
  <c r="W66" i="5"/>
  <c r="X66" i="5"/>
  <c r="Y66" i="5"/>
  <c r="Z66" i="5"/>
  <c r="AA66" i="5"/>
  <c r="AB66" i="5"/>
  <c r="AC66" i="5"/>
  <c r="AD66" i="5"/>
  <c r="AE66" i="5"/>
  <c r="AF66" i="5"/>
  <c r="AG66" i="5"/>
  <c r="AH66" i="5"/>
  <c r="AI66" i="5"/>
  <c r="AJ66" i="5"/>
  <c r="AK66" i="5"/>
  <c r="AL66" i="5"/>
  <c r="AM66" i="5"/>
  <c r="AN66" i="5"/>
  <c r="AO66" i="5"/>
  <c r="AP66" i="5"/>
  <c r="AQ66" i="5"/>
  <c r="AR66" i="5"/>
  <c r="AS66" i="5"/>
  <c r="AT66" i="5"/>
  <c r="AU66" i="5"/>
  <c r="AV66" i="5"/>
  <c r="AW66" i="5"/>
  <c r="AX66" i="5"/>
  <c r="AY66" i="5"/>
  <c r="AZ66" i="5"/>
  <c r="BA66" i="5"/>
  <c r="BB66" i="5"/>
  <c r="BC66" i="5"/>
  <c r="BD66" i="5"/>
  <c r="BE66" i="5"/>
  <c r="BF66" i="5"/>
  <c r="BG66" i="5"/>
  <c r="BH66" i="5"/>
  <c r="BI66" i="5"/>
  <c r="BJ66" i="5"/>
  <c r="BK66" i="5"/>
  <c r="BL66" i="5"/>
  <c r="BM66" i="5"/>
  <c r="BN66" i="5"/>
  <c r="BO66" i="5"/>
  <c r="BP66" i="5"/>
  <c r="BQ66" i="5"/>
  <c r="BR66" i="5"/>
  <c r="BS66" i="5"/>
  <c r="BT66" i="5"/>
  <c r="BU66" i="5"/>
  <c r="BV66" i="5"/>
  <c r="BW66" i="5"/>
  <c r="BX66" i="5"/>
  <c r="BY66" i="5"/>
  <c r="BZ66" i="5"/>
  <c r="CA66" i="5"/>
  <c r="CB66" i="5"/>
  <c r="CC66" i="5"/>
  <c r="CD66" i="5"/>
  <c r="CE66" i="5"/>
  <c r="CF66" i="5"/>
  <c r="CG66" i="5"/>
  <c r="CH66" i="5"/>
  <c r="CI66" i="5"/>
  <c r="CJ66" i="5"/>
  <c r="CK66" i="5"/>
  <c r="CL66" i="5"/>
  <c r="CM66" i="5"/>
  <c r="CN66" i="5"/>
  <c r="CO66" i="5"/>
  <c r="CP66" i="5"/>
  <c r="CQ66" i="5"/>
  <c r="CR66" i="5"/>
  <c r="CS66" i="5"/>
  <c r="CT66" i="5"/>
  <c r="CU66" i="5"/>
  <c r="CV66" i="5"/>
  <c r="CW66" i="5"/>
  <c r="CX66" i="5"/>
  <c r="CY66" i="5"/>
  <c r="CZ66" i="5"/>
  <c r="DA66" i="5"/>
  <c r="DB66" i="5"/>
  <c r="DC66" i="5"/>
  <c r="DD66" i="5"/>
  <c r="DE66" i="5"/>
  <c r="DF66" i="5"/>
  <c r="DG66" i="5"/>
  <c r="DH66" i="5"/>
  <c r="DI66" i="5"/>
  <c r="DJ66" i="5"/>
  <c r="DK66" i="5"/>
  <c r="DL66" i="5"/>
  <c r="DM66" i="5"/>
  <c r="DN66" i="5"/>
  <c r="DO66" i="5"/>
  <c r="DP66" i="5"/>
  <c r="DQ66" i="5"/>
  <c r="DR66" i="5"/>
  <c r="DS66" i="5"/>
  <c r="DT66" i="5"/>
  <c r="DU66" i="5"/>
  <c r="DV66" i="5"/>
  <c r="DW66" i="5"/>
  <c r="DX66" i="5"/>
  <c r="DY66" i="5"/>
  <c r="DZ66" i="5"/>
  <c r="EA66" i="5"/>
  <c r="EB66" i="5"/>
  <c r="EC66" i="5"/>
  <c r="ED66" i="5"/>
  <c r="EE66" i="5"/>
  <c r="EF66" i="5"/>
  <c r="EG66" i="5"/>
  <c r="EH66" i="5"/>
  <c r="EI66" i="5"/>
  <c r="EJ66" i="5"/>
  <c r="EK66" i="5"/>
  <c r="EL66" i="5"/>
  <c r="EM66" i="5"/>
  <c r="EN66" i="5"/>
  <c r="EO66" i="5"/>
  <c r="EP66" i="5"/>
  <c r="EQ66" i="5"/>
  <c r="ER66" i="5"/>
  <c r="ES66" i="5"/>
  <c r="ET66" i="5"/>
  <c r="EU66" i="5"/>
  <c r="EV66" i="5"/>
  <c r="EW66" i="5"/>
  <c r="EX66" i="5"/>
  <c r="EY66" i="5"/>
  <c r="EZ66" i="5"/>
  <c r="FA66" i="5"/>
  <c r="FB66" i="5"/>
  <c r="FC66" i="5"/>
  <c r="FD66" i="5"/>
  <c r="FE66" i="5"/>
  <c r="FF66" i="5"/>
  <c r="FG66" i="5"/>
  <c r="FH66" i="5"/>
  <c r="FI66" i="5"/>
  <c r="FJ66" i="5"/>
  <c r="FK66" i="5"/>
  <c r="FL66" i="5"/>
  <c r="FM66" i="5"/>
  <c r="FN66" i="5"/>
  <c r="FO66" i="5"/>
  <c r="FP66" i="5"/>
  <c r="FQ66" i="5"/>
  <c r="FR66" i="5"/>
  <c r="FS66" i="5"/>
  <c r="FT66" i="5"/>
  <c r="FU66" i="5"/>
  <c r="FV66" i="5"/>
  <c r="FW66" i="5"/>
  <c r="FX66" i="5"/>
  <c r="FY66" i="5"/>
  <c r="FZ66" i="5"/>
  <c r="GA66" i="5"/>
  <c r="GB66" i="5"/>
  <c r="GC66" i="5"/>
  <c r="GD66" i="5"/>
  <c r="GE66" i="5"/>
  <c r="GF66" i="5"/>
  <c r="GG66" i="5"/>
  <c r="GH66" i="5"/>
  <c r="GI66" i="5"/>
  <c r="GJ66" i="5"/>
  <c r="GK66" i="5"/>
  <c r="GL66" i="5"/>
  <c r="GM66" i="5"/>
  <c r="GN66" i="5"/>
  <c r="GO66" i="5"/>
  <c r="GP66" i="5"/>
  <c r="GQ66" i="5"/>
  <c r="GR66" i="5"/>
  <c r="GS66" i="5"/>
  <c r="GT66" i="5"/>
  <c r="GU66" i="5"/>
  <c r="GV66" i="5"/>
  <c r="GW66" i="5"/>
  <c r="GX66" i="5"/>
  <c r="GY66" i="5"/>
  <c r="GZ66" i="5"/>
  <c r="HA66" i="5"/>
  <c r="HB66" i="5"/>
  <c r="HC66" i="5"/>
  <c r="HD66" i="5"/>
  <c r="HE66" i="5"/>
  <c r="HF66" i="5"/>
  <c r="HG66" i="5"/>
  <c r="A67" i="5"/>
  <c r="B67" i="5"/>
  <c r="C67" i="5"/>
  <c r="D67" i="5"/>
  <c r="E67" i="5"/>
  <c r="F67" i="5"/>
  <c r="G67" i="5"/>
  <c r="H67" i="5"/>
  <c r="I67" i="5"/>
  <c r="J67" i="5"/>
  <c r="K67" i="5"/>
  <c r="L67" i="5"/>
  <c r="M67" i="5"/>
  <c r="N67" i="5"/>
  <c r="O67" i="5"/>
  <c r="P67" i="5"/>
  <c r="Q67" i="5"/>
  <c r="R67" i="5"/>
  <c r="S67" i="5"/>
  <c r="T67" i="5"/>
  <c r="U67" i="5"/>
  <c r="V67" i="5"/>
  <c r="W67" i="5"/>
  <c r="X67" i="5"/>
  <c r="Y67" i="5"/>
  <c r="Z67" i="5"/>
  <c r="AA67" i="5"/>
  <c r="AB67" i="5"/>
  <c r="AC67" i="5"/>
  <c r="AD67" i="5"/>
  <c r="AE67" i="5"/>
  <c r="AF67" i="5"/>
  <c r="AG67" i="5"/>
  <c r="AH67" i="5"/>
  <c r="AI67" i="5"/>
  <c r="AJ67" i="5"/>
  <c r="AK67" i="5"/>
  <c r="AL67" i="5"/>
  <c r="AM67" i="5"/>
  <c r="AN67" i="5"/>
  <c r="AO67" i="5"/>
  <c r="AP67" i="5"/>
  <c r="AQ67" i="5"/>
  <c r="AR67" i="5"/>
  <c r="AS67" i="5"/>
  <c r="AT67" i="5"/>
  <c r="AU67" i="5"/>
  <c r="AV67" i="5"/>
  <c r="AW67" i="5"/>
  <c r="AX67" i="5"/>
  <c r="AY67" i="5"/>
  <c r="AZ67" i="5"/>
  <c r="BA67" i="5"/>
  <c r="BB67" i="5"/>
  <c r="BC67" i="5"/>
  <c r="BD67" i="5"/>
  <c r="BE67" i="5"/>
  <c r="BF67" i="5"/>
  <c r="BG67" i="5"/>
  <c r="BH67" i="5"/>
  <c r="BI67" i="5"/>
  <c r="BJ67" i="5"/>
  <c r="BK67" i="5"/>
  <c r="BL67" i="5"/>
  <c r="BM67" i="5"/>
  <c r="BN67" i="5"/>
  <c r="BO67" i="5"/>
  <c r="BP67" i="5"/>
  <c r="BQ67" i="5"/>
  <c r="BR67" i="5"/>
  <c r="BS67" i="5"/>
  <c r="BT67" i="5"/>
  <c r="BU67" i="5"/>
  <c r="BV67" i="5"/>
  <c r="BW67" i="5"/>
  <c r="BX67" i="5"/>
  <c r="BY67" i="5"/>
  <c r="BZ67" i="5"/>
  <c r="CA67" i="5"/>
  <c r="CB67" i="5"/>
  <c r="CC67" i="5"/>
  <c r="CD67" i="5"/>
  <c r="CE67" i="5"/>
  <c r="CF67" i="5"/>
  <c r="CG67" i="5"/>
  <c r="CH67" i="5"/>
  <c r="CI67" i="5"/>
  <c r="CJ67" i="5"/>
  <c r="CK67" i="5"/>
  <c r="CL67" i="5"/>
  <c r="CM67" i="5"/>
  <c r="CN67" i="5"/>
  <c r="CO67" i="5"/>
  <c r="CP67" i="5"/>
  <c r="CQ67" i="5"/>
  <c r="CR67" i="5"/>
  <c r="CS67" i="5"/>
  <c r="CT67" i="5"/>
  <c r="CU67" i="5"/>
  <c r="CV67" i="5"/>
  <c r="CW67" i="5"/>
  <c r="CX67" i="5"/>
  <c r="CY67" i="5"/>
  <c r="CZ67" i="5"/>
  <c r="DA67" i="5"/>
  <c r="DB67" i="5"/>
  <c r="DC67" i="5"/>
  <c r="DD67" i="5"/>
  <c r="DE67" i="5"/>
  <c r="DF67" i="5"/>
  <c r="DG67" i="5"/>
  <c r="DH67" i="5"/>
  <c r="DI67" i="5"/>
  <c r="DJ67" i="5"/>
  <c r="DK67" i="5"/>
  <c r="DL67" i="5"/>
  <c r="DM67" i="5"/>
  <c r="DN67" i="5"/>
  <c r="DO67" i="5"/>
  <c r="DP67" i="5"/>
  <c r="DQ67" i="5"/>
  <c r="DR67" i="5"/>
  <c r="DS67" i="5"/>
  <c r="DT67" i="5"/>
  <c r="DU67" i="5"/>
  <c r="DV67" i="5"/>
  <c r="DW67" i="5"/>
  <c r="DX67" i="5"/>
  <c r="DY67" i="5"/>
  <c r="DZ67" i="5"/>
  <c r="EA67" i="5"/>
  <c r="EB67" i="5"/>
  <c r="EC67" i="5"/>
  <c r="ED67" i="5"/>
  <c r="EE67" i="5"/>
  <c r="EF67" i="5"/>
  <c r="EG67" i="5"/>
  <c r="EH67" i="5"/>
  <c r="EI67" i="5"/>
  <c r="EJ67" i="5"/>
  <c r="EK67" i="5"/>
  <c r="EL67" i="5"/>
  <c r="EM67" i="5"/>
  <c r="EN67" i="5"/>
  <c r="EO67" i="5"/>
  <c r="EP67" i="5"/>
  <c r="EQ67" i="5"/>
  <c r="ER67" i="5"/>
  <c r="ES67" i="5"/>
  <c r="ET67" i="5"/>
  <c r="EU67" i="5"/>
  <c r="EV67" i="5"/>
  <c r="EW67" i="5"/>
  <c r="EX67" i="5"/>
  <c r="EY67" i="5"/>
  <c r="EZ67" i="5"/>
  <c r="FA67" i="5"/>
  <c r="FB67" i="5"/>
  <c r="FC67" i="5"/>
  <c r="FD67" i="5"/>
  <c r="FE67" i="5"/>
  <c r="FF67" i="5"/>
  <c r="FG67" i="5"/>
  <c r="FH67" i="5"/>
  <c r="FI67" i="5"/>
  <c r="FJ67" i="5"/>
  <c r="FK67" i="5"/>
  <c r="FL67" i="5"/>
  <c r="FM67" i="5"/>
  <c r="FN67" i="5"/>
  <c r="FO67" i="5"/>
  <c r="FP67" i="5"/>
  <c r="FQ67" i="5"/>
  <c r="FR67" i="5"/>
  <c r="FS67" i="5"/>
  <c r="FT67" i="5"/>
  <c r="FU67" i="5"/>
  <c r="FV67" i="5"/>
  <c r="FW67" i="5"/>
  <c r="FX67" i="5"/>
  <c r="FY67" i="5"/>
  <c r="FZ67" i="5"/>
  <c r="GA67" i="5"/>
  <c r="GB67" i="5"/>
  <c r="GC67" i="5"/>
  <c r="GD67" i="5"/>
  <c r="GE67" i="5"/>
  <c r="GF67" i="5"/>
  <c r="GG67" i="5"/>
  <c r="GH67" i="5"/>
  <c r="GI67" i="5"/>
  <c r="GJ67" i="5"/>
  <c r="GK67" i="5"/>
  <c r="GL67" i="5"/>
  <c r="GM67" i="5"/>
  <c r="GN67" i="5"/>
  <c r="GO67" i="5"/>
  <c r="GP67" i="5"/>
  <c r="GQ67" i="5"/>
  <c r="GR67" i="5"/>
  <c r="GS67" i="5"/>
  <c r="GT67" i="5"/>
  <c r="GU67" i="5"/>
  <c r="GV67" i="5"/>
  <c r="GW67" i="5"/>
  <c r="GX67" i="5"/>
  <c r="GY67" i="5"/>
  <c r="GZ67" i="5"/>
  <c r="HA67" i="5"/>
  <c r="HB67" i="5"/>
  <c r="HC67" i="5"/>
  <c r="HD67" i="5"/>
  <c r="HE67" i="5"/>
  <c r="HF67" i="5"/>
  <c r="HG67" i="5"/>
  <c r="A68" i="5"/>
  <c r="B68" i="5"/>
  <c r="C68" i="5"/>
  <c r="D68" i="5"/>
  <c r="E68" i="5"/>
  <c r="F68" i="5"/>
  <c r="G68" i="5"/>
  <c r="H68" i="5"/>
  <c r="I68" i="5"/>
  <c r="J68" i="5"/>
  <c r="K68" i="5"/>
  <c r="L68" i="5"/>
  <c r="M68" i="5"/>
  <c r="N68" i="5"/>
  <c r="O68" i="5"/>
  <c r="P68" i="5"/>
  <c r="Q68" i="5"/>
  <c r="R68" i="5"/>
  <c r="S68" i="5"/>
  <c r="T68" i="5"/>
  <c r="U68" i="5"/>
  <c r="V68" i="5"/>
  <c r="W68" i="5"/>
  <c r="X68" i="5"/>
  <c r="Y68" i="5"/>
  <c r="Z68" i="5"/>
  <c r="AA68" i="5"/>
  <c r="AB68" i="5"/>
  <c r="AC68" i="5"/>
  <c r="AD68" i="5"/>
  <c r="AE68" i="5"/>
  <c r="AF68" i="5"/>
  <c r="AG68" i="5"/>
  <c r="AH68" i="5"/>
  <c r="AI68" i="5"/>
  <c r="AJ68" i="5"/>
  <c r="AK68" i="5"/>
  <c r="AL68" i="5"/>
  <c r="AM68" i="5"/>
  <c r="AN68" i="5"/>
  <c r="AO68" i="5"/>
  <c r="AP68" i="5"/>
  <c r="AQ68" i="5"/>
  <c r="AR68" i="5"/>
  <c r="AS68" i="5"/>
  <c r="AT68" i="5"/>
  <c r="AU68" i="5"/>
  <c r="AV68" i="5"/>
  <c r="AW68" i="5"/>
  <c r="AX68" i="5"/>
  <c r="AY68" i="5"/>
  <c r="AZ68" i="5"/>
  <c r="BA68" i="5"/>
  <c r="BB68" i="5"/>
  <c r="BC68" i="5"/>
  <c r="BD68" i="5"/>
  <c r="BE68" i="5"/>
  <c r="BF68" i="5"/>
  <c r="BG68" i="5"/>
  <c r="BH68" i="5"/>
  <c r="BI68" i="5"/>
  <c r="BJ68" i="5"/>
  <c r="BK68" i="5"/>
  <c r="BL68" i="5"/>
  <c r="BM68" i="5"/>
  <c r="BN68" i="5"/>
  <c r="BO68" i="5"/>
  <c r="BP68" i="5"/>
  <c r="BQ68" i="5"/>
  <c r="BR68" i="5"/>
  <c r="BS68" i="5"/>
  <c r="BT68" i="5"/>
  <c r="BU68" i="5"/>
  <c r="BV68" i="5"/>
  <c r="BW68" i="5"/>
  <c r="BX68" i="5"/>
  <c r="BY68" i="5"/>
  <c r="BZ68" i="5"/>
  <c r="CA68" i="5"/>
  <c r="CB68" i="5"/>
  <c r="CC68" i="5"/>
  <c r="CD68" i="5"/>
  <c r="CE68" i="5"/>
  <c r="CF68" i="5"/>
  <c r="CG68" i="5"/>
  <c r="CH68" i="5"/>
  <c r="CI68" i="5"/>
  <c r="CJ68" i="5"/>
  <c r="CK68" i="5"/>
  <c r="CL68" i="5"/>
  <c r="CM68" i="5"/>
  <c r="CN68" i="5"/>
  <c r="CO68" i="5"/>
  <c r="CP68" i="5"/>
  <c r="CQ68" i="5"/>
  <c r="CR68" i="5"/>
  <c r="CS68" i="5"/>
  <c r="CT68" i="5"/>
  <c r="CU68" i="5"/>
  <c r="CV68" i="5"/>
  <c r="CW68" i="5"/>
  <c r="CX68" i="5"/>
  <c r="CY68" i="5"/>
  <c r="CZ68" i="5"/>
  <c r="DA68" i="5"/>
  <c r="DB68" i="5"/>
  <c r="DC68" i="5"/>
  <c r="DD68" i="5"/>
  <c r="DE68" i="5"/>
  <c r="DF68" i="5"/>
  <c r="DG68" i="5"/>
  <c r="DH68" i="5"/>
  <c r="DI68" i="5"/>
  <c r="DJ68" i="5"/>
  <c r="DK68" i="5"/>
  <c r="DL68" i="5"/>
  <c r="DM68" i="5"/>
  <c r="DN68" i="5"/>
  <c r="DO68" i="5"/>
  <c r="DP68" i="5"/>
  <c r="DQ68" i="5"/>
  <c r="DR68" i="5"/>
  <c r="DS68" i="5"/>
  <c r="DT68" i="5"/>
  <c r="DU68" i="5"/>
  <c r="DV68" i="5"/>
  <c r="DW68" i="5"/>
  <c r="DX68" i="5"/>
  <c r="DY68" i="5"/>
  <c r="DZ68" i="5"/>
  <c r="EA68" i="5"/>
  <c r="EB68" i="5"/>
  <c r="EC68" i="5"/>
  <c r="ED68" i="5"/>
  <c r="EE68" i="5"/>
  <c r="EF68" i="5"/>
  <c r="EG68" i="5"/>
  <c r="EH68" i="5"/>
  <c r="EI68" i="5"/>
  <c r="EJ68" i="5"/>
  <c r="EK68" i="5"/>
  <c r="EL68" i="5"/>
  <c r="EM68" i="5"/>
  <c r="EN68" i="5"/>
  <c r="EO68" i="5"/>
  <c r="EP68" i="5"/>
  <c r="EQ68" i="5"/>
  <c r="ER68" i="5"/>
  <c r="ES68" i="5"/>
  <c r="ET68" i="5"/>
  <c r="EU68" i="5"/>
  <c r="EV68" i="5"/>
  <c r="EW68" i="5"/>
  <c r="EX68" i="5"/>
  <c r="EY68" i="5"/>
  <c r="EZ68" i="5"/>
  <c r="FA68" i="5"/>
  <c r="FB68" i="5"/>
  <c r="FC68" i="5"/>
  <c r="FD68" i="5"/>
  <c r="FE68" i="5"/>
  <c r="FF68" i="5"/>
  <c r="FG68" i="5"/>
  <c r="FH68" i="5"/>
  <c r="FI68" i="5"/>
  <c r="FJ68" i="5"/>
  <c r="FK68" i="5"/>
  <c r="FL68" i="5"/>
  <c r="FM68" i="5"/>
  <c r="FN68" i="5"/>
  <c r="FO68" i="5"/>
  <c r="FP68" i="5"/>
  <c r="FQ68" i="5"/>
  <c r="FR68" i="5"/>
  <c r="FS68" i="5"/>
  <c r="FT68" i="5"/>
  <c r="FU68" i="5"/>
  <c r="FV68" i="5"/>
  <c r="FW68" i="5"/>
  <c r="FX68" i="5"/>
  <c r="FY68" i="5"/>
  <c r="FZ68" i="5"/>
  <c r="GA68" i="5"/>
  <c r="GB68" i="5"/>
  <c r="GC68" i="5"/>
  <c r="GD68" i="5"/>
  <c r="GE68" i="5"/>
  <c r="GF68" i="5"/>
  <c r="GG68" i="5"/>
  <c r="GH68" i="5"/>
  <c r="GI68" i="5"/>
  <c r="GJ68" i="5"/>
  <c r="GK68" i="5"/>
  <c r="GL68" i="5"/>
  <c r="GM68" i="5"/>
  <c r="GN68" i="5"/>
  <c r="GO68" i="5"/>
  <c r="GP68" i="5"/>
  <c r="GQ68" i="5"/>
  <c r="GR68" i="5"/>
  <c r="GS68" i="5"/>
  <c r="GT68" i="5"/>
  <c r="GU68" i="5"/>
  <c r="GV68" i="5"/>
  <c r="GW68" i="5"/>
  <c r="GX68" i="5"/>
  <c r="GY68" i="5"/>
  <c r="GZ68" i="5"/>
  <c r="HA68" i="5"/>
  <c r="HB68" i="5"/>
  <c r="HC68" i="5"/>
  <c r="HD68" i="5"/>
  <c r="HE68" i="5"/>
  <c r="HF68" i="5"/>
  <c r="HG68" i="5"/>
  <c r="A69" i="5"/>
  <c r="B69" i="5"/>
  <c r="C69" i="5"/>
  <c r="D69" i="5"/>
  <c r="E69" i="5"/>
  <c r="F69" i="5"/>
  <c r="G69" i="5"/>
  <c r="H69" i="5"/>
  <c r="I69" i="5"/>
  <c r="J69" i="5"/>
  <c r="K69" i="5"/>
  <c r="L69" i="5"/>
  <c r="M69" i="5"/>
  <c r="N69" i="5"/>
  <c r="O69" i="5"/>
  <c r="P69" i="5"/>
  <c r="Q69" i="5"/>
  <c r="R69" i="5"/>
  <c r="S69" i="5"/>
  <c r="T69" i="5"/>
  <c r="U69" i="5"/>
  <c r="V69" i="5"/>
  <c r="W69" i="5"/>
  <c r="X69" i="5"/>
  <c r="Y69" i="5"/>
  <c r="Z69" i="5"/>
  <c r="AA69" i="5"/>
  <c r="AB69" i="5"/>
  <c r="AC69" i="5"/>
  <c r="AD69" i="5"/>
  <c r="AE69" i="5"/>
  <c r="AF69" i="5"/>
  <c r="AG69" i="5"/>
  <c r="AH69" i="5"/>
  <c r="AI69" i="5"/>
  <c r="AJ69" i="5"/>
  <c r="AK69" i="5"/>
  <c r="AL69" i="5"/>
  <c r="AM69" i="5"/>
  <c r="AN69" i="5"/>
  <c r="AO69" i="5"/>
  <c r="AP69" i="5"/>
  <c r="AQ69" i="5"/>
  <c r="AR69" i="5"/>
  <c r="AS69" i="5"/>
  <c r="AT69" i="5"/>
  <c r="AU69" i="5"/>
  <c r="AV69" i="5"/>
  <c r="AW69" i="5"/>
  <c r="AX69" i="5"/>
  <c r="AY69" i="5"/>
  <c r="AZ69" i="5"/>
  <c r="BA69" i="5"/>
  <c r="BB69" i="5"/>
  <c r="BC69" i="5"/>
  <c r="BD69" i="5"/>
  <c r="BE69" i="5"/>
  <c r="BF69" i="5"/>
  <c r="BG69" i="5"/>
  <c r="BH69" i="5"/>
  <c r="BI69" i="5"/>
  <c r="BJ69" i="5"/>
  <c r="BK69" i="5"/>
  <c r="BL69" i="5"/>
  <c r="BM69" i="5"/>
  <c r="BN69" i="5"/>
  <c r="BO69" i="5"/>
  <c r="BP69" i="5"/>
  <c r="BQ69" i="5"/>
  <c r="BR69" i="5"/>
  <c r="BS69" i="5"/>
  <c r="BT69" i="5"/>
  <c r="BU69" i="5"/>
  <c r="BV69" i="5"/>
  <c r="BW69" i="5"/>
  <c r="BX69" i="5"/>
  <c r="BY69" i="5"/>
  <c r="BZ69" i="5"/>
  <c r="CA69" i="5"/>
  <c r="CB69" i="5"/>
  <c r="CC69" i="5"/>
  <c r="CD69" i="5"/>
  <c r="CE69" i="5"/>
  <c r="CF69" i="5"/>
  <c r="CG69" i="5"/>
  <c r="CH69" i="5"/>
  <c r="CI69" i="5"/>
  <c r="CJ69" i="5"/>
  <c r="CK69" i="5"/>
  <c r="CL69" i="5"/>
  <c r="CM69" i="5"/>
  <c r="CN69" i="5"/>
  <c r="CO69" i="5"/>
  <c r="CP69" i="5"/>
  <c r="CQ69" i="5"/>
  <c r="CR69" i="5"/>
  <c r="CS69" i="5"/>
  <c r="CT69" i="5"/>
  <c r="CU69" i="5"/>
  <c r="CV69" i="5"/>
  <c r="CW69" i="5"/>
  <c r="CX69" i="5"/>
  <c r="CY69" i="5"/>
  <c r="CZ69" i="5"/>
  <c r="DA69" i="5"/>
  <c r="DB69" i="5"/>
  <c r="DC69" i="5"/>
  <c r="DD69" i="5"/>
  <c r="DE69" i="5"/>
  <c r="DF69" i="5"/>
  <c r="DG69" i="5"/>
  <c r="DH69" i="5"/>
  <c r="DI69" i="5"/>
  <c r="DJ69" i="5"/>
  <c r="DK69" i="5"/>
  <c r="DL69" i="5"/>
  <c r="DM69" i="5"/>
  <c r="DN69" i="5"/>
  <c r="DO69" i="5"/>
  <c r="DP69" i="5"/>
  <c r="DQ69" i="5"/>
  <c r="DR69" i="5"/>
  <c r="DS69" i="5"/>
  <c r="DT69" i="5"/>
  <c r="DU69" i="5"/>
  <c r="DV69" i="5"/>
  <c r="DW69" i="5"/>
  <c r="DX69" i="5"/>
  <c r="DY69" i="5"/>
  <c r="DZ69" i="5"/>
  <c r="EA69" i="5"/>
  <c r="EB69" i="5"/>
  <c r="EC69" i="5"/>
  <c r="ED69" i="5"/>
  <c r="EE69" i="5"/>
  <c r="EF69" i="5"/>
  <c r="EG69" i="5"/>
  <c r="EH69" i="5"/>
  <c r="EI69" i="5"/>
  <c r="EJ69" i="5"/>
  <c r="EK69" i="5"/>
  <c r="EL69" i="5"/>
  <c r="EM69" i="5"/>
  <c r="EN69" i="5"/>
  <c r="EO69" i="5"/>
  <c r="EP69" i="5"/>
  <c r="EQ69" i="5"/>
  <c r="ER69" i="5"/>
  <c r="ES69" i="5"/>
  <c r="ET69" i="5"/>
  <c r="EU69" i="5"/>
  <c r="EV69" i="5"/>
  <c r="EW69" i="5"/>
  <c r="EX69" i="5"/>
  <c r="EY69" i="5"/>
  <c r="EZ69" i="5"/>
  <c r="FA69" i="5"/>
  <c r="FB69" i="5"/>
  <c r="FC69" i="5"/>
  <c r="FD69" i="5"/>
  <c r="FE69" i="5"/>
  <c r="FF69" i="5"/>
  <c r="FG69" i="5"/>
  <c r="FH69" i="5"/>
  <c r="FI69" i="5"/>
  <c r="FJ69" i="5"/>
  <c r="FK69" i="5"/>
  <c r="FL69" i="5"/>
  <c r="FM69" i="5"/>
  <c r="FN69" i="5"/>
  <c r="FO69" i="5"/>
  <c r="FP69" i="5"/>
  <c r="FQ69" i="5"/>
  <c r="FR69" i="5"/>
  <c r="FS69" i="5"/>
  <c r="FT69" i="5"/>
  <c r="FU69" i="5"/>
  <c r="FV69" i="5"/>
  <c r="FW69" i="5"/>
  <c r="FX69" i="5"/>
  <c r="FY69" i="5"/>
  <c r="FZ69" i="5"/>
  <c r="GA69" i="5"/>
  <c r="GB69" i="5"/>
  <c r="GC69" i="5"/>
  <c r="GD69" i="5"/>
  <c r="GE69" i="5"/>
  <c r="GF69" i="5"/>
  <c r="GG69" i="5"/>
  <c r="GH69" i="5"/>
  <c r="GI69" i="5"/>
  <c r="GJ69" i="5"/>
  <c r="GK69" i="5"/>
  <c r="GL69" i="5"/>
  <c r="GM69" i="5"/>
  <c r="GN69" i="5"/>
  <c r="GO69" i="5"/>
  <c r="GP69" i="5"/>
  <c r="GQ69" i="5"/>
  <c r="GR69" i="5"/>
  <c r="GS69" i="5"/>
  <c r="GT69" i="5"/>
  <c r="GU69" i="5"/>
  <c r="GV69" i="5"/>
  <c r="GW69" i="5"/>
  <c r="GX69" i="5"/>
  <c r="GY69" i="5"/>
  <c r="GZ69" i="5"/>
  <c r="HA69" i="5"/>
  <c r="HB69" i="5"/>
  <c r="HC69" i="5"/>
  <c r="HD69" i="5"/>
  <c r="HE69" i="5"/>
  <c r="HF69" i="5"/>
  <c r="HG69" i="5"/>
  <c r="A70" i="5"/>
  <c r="B70" i="5"/>
  <c r="C70" i="5"/>
  <c r="D70" i="5"/>
  <c r="E70" i="5"/>
  <c r="F70" i="5"/>
  <c r="G70" i="5"/>
  <c r="H70" i="5"/>
  <c r="I70" i="5"/>
  <c r="J70" i="5"/>
  <c r="K70" i="5"/>
  <c r="L70" i="5"/>
  <c r="M70" i="5"/>
  <c r="N70" i="5"/>
  <c r="O70" i="5"/>
  <c r="P70" i="5"/>
  <c r="Q70" i="5"/>
  <c r="R70" i="5"/>
  <c r="S70" i="5"/>
  <c r="T70" i="5"/>
  <c r="U70" i="5"/>
  <c r="V70" i="5"/>
  <c r="W70" i="5"/>
  <c r="X70" i="5"/>
  <c r="Y70" i="5"/>
  <c r="Z70" i="5"/>
  <c r="AA70" i="5"/>
  <c r="AB70" i="5"/>
  <c r="AC70" i="5"/>
  <c r="AD70" i="5"/>
  <c r="AE70" i="5"/>
  <c r="AF70" i="5"/>
  <c r="AG70" i="5"/>
  <c r="AH70" i="5"/>
  <c r="AI70" i="5"/>
  <c r="AJ70" i="5"/>
  <c r="AK70" i="5"/>
  <c r="AL70" i="5"/>
  <c r="AM70" i="5"/>
  <c r="AN70" i="5"/>
  <c r="AO70" i="5"/>
  <c r="AP70" i="5"/>
  <c r="AQ70" i="5"/>
  <c r="AR70" i="5"/>
  <c r="AS70" i="5"/>
  <c r="AT70" i="5"/>
  <c r="AU70" i="5"/>
  <c r="AV70" i="5"/>
  <c r="AW70" i="5"/>
  <c r="AX70" i="5"/>
  <c r="AY70" i="5"/>
  <c r="AZ70" i="5"/>
  <c r="BA70" i="5"/>
  <c r="BB70" i="5"/>
  <c r="BC70" i="5"/>
  <c r="BD70" i="5"/>
  <c r="BE70" i="5"/>
  <c r="BF70" i="5"/>
  <c r="BG70" i="5"/>
  <c r="BH70" i="5"/>
  <c r="BI70" i="5"/>
  <c r="BJ70" i="5"/>
  <c r="BK70" i="5"/>
  <c r="BL70" i="5"/>
  <c r="BM70" i="5"/>
  <c r="BN70" i="5"/>
  <c r="BO70" i="5"/>
  <c r="BP70" i="5"/>
  <c r="BQ70" i="5"/>
  <c r="BR70" i="5"/>
  <c r="BS70" i="5"/>
  <c r="BT70" i="5"/>
  <c r="BU70" i="5"/>
  <c r="BV70" i="5"/>
  <c r="BW70" i="5"/>
  <c r="BX70" i="5"/>
  <c r="BY70" i="5"/>
  <c r="BZ70" i="5"/>
  <c r="CA70" i="5"/>
  <c r="CB70" i="5"/>
  <c r="CC70" i="5"/>
  <c r="CD70" i="5"/>
  <c r="CE70" i="5"/>
  <c r="CF70" i="5"/>
  <c r="CG70" i="5"/>
  <c r="CH70" i="5"/>
  <c r="CI70" i="5"/>
  <c r="CJ70" i="5"/>
  <c r="CK70" i="5"/>
  <c r="CL70" i="5"/>
  <c r="CM70" i="5"/>
  <c r="CN70" i="5"/>
  <c r="CO70" i="5"/>
  <c r="CP70" i="5"/>
  <c r="CQ70" i="5"/>
  <c r="CR70" i="5"/>
  <c r="CS70" i="5"/>
  <c r="CT70" i="5"/>
  <c r="CU70" i="5"/>
  <c r="CV70" i="5"/>
  <c r="CW70" i="5"/>
  <c r="CX70" i="5"/>
  <c r="CY70" i="5"/>
  <c r="CZ70" i="5"/>
  <c r="DA70" i="5"/>
  <c r="DB70" i="5"/>
  <c r="DC70" i="5"/>
  <c r="DD70" i="5"/>
  <c r="DE70" i="5"/>
  <c r="DF70" i="5"/>
  <c r="DG70" i="5"/>
  <c r="DH70" i="5"/>
  <c r="DI70" i="5"/>
  <c r="DJ70" i="5"/>
  <c r="DK70" i="5"/>
  <c r="DL70" i="5"/>
  <c r="DM70" i="5"/>
  <c r="DN70" i="5"/>
  <c r="DO70" i="5"/>
  <c r="DP70" i="5"/>
  <c r="DQ70" i="5"/>
  <c r="DR70" i="5"/>
  <c r="DS70" i="5"/>
  <c r="DT70" i="5"/>
  <c r="DU70" i="5"/>
  <c r="DV70" i="5"/>
  <c r="DW70" i="5"/>
  <c r="DX70" i="5"/>
  <c r="DY70" i="5"/>
  <c r="DZ70" i="5"/>
  <c r="EA70" i="5"/>
  <c r="EB70" i="5"/>
  <c r="EC70" i="5"/>
  <c r="ED70" i="5"/>
  <c r="EE70" i="5"/>
  <c r="EF70" i="5"/>
  <c r="EG70" i="5"/>
  <c r="EH70" i="5"/>
  <c r="EI70" i="5"/>
  <c r="EJ70" i="5"/>
  <c r="EK70" i="5"/>
  <c r="EL70" i="5"/>
  <c r="EM70" i="5"/>
  <c r="EN70" i="5"/>
  <c r="EO70" i="5"/>
  <c r="EP70" i="5"/>
  <c r="EQ70" i="5"/>
  <c r="ER70" i="5"/>
  <c r="ES70" i="5"/>
  <c r="ET70" i="5"/>
  <c r="EU70" i="5"/>
  <c r="EV70" i="5"/>
  <c r="EW70" i="5"/>
  <c r="EX70" i="5"/>
  <c r="EY70" i="5"/>
  <c r="EZ70" i="5"/>
  <c r="FA70" i="5"/>
  <c r="FB70" i="5"/>
  <c r="FC70" i="5"/>
  <c r="FD70" i="5"/>
  <c r="FE70" i="5"/>
  <c r="FF70" i="5"/>
  <c r="FG70" i="5"/>
  <c r="FH70" i="5"/>
  <c r="FI70" i="5"/>
  <c r="FJ70" i="5"/>
  <c r="FK70" i="5"/>
  <c r="FL70" i="5"/>
  <c r="FM70" i="5"/>
  <c r="FN70" i="5"/>
  <c r="FO70" i="5"/>
  <c r="FP70" i="5"/>
  <c r="FQ70" i="5"/>
  <c r="FR70" i="5"/>
  <c r="FS70" i="5"/>
  <c r="FT70" i="5"/>
  <c r="FU70" i="5"/>
  <c r="FV70" i="5"/>
  <c r="FW70" i="5"/>
  <c r="FX70" i="5"/>
  <c r="FY70" i="5"/>
  <c r="FZ70" i="5"/>
  <c r="GA70" i="5"/>
  <c r="GB70" i="5"/>
  <c r="GC70" i="5"/>
  <c r="GD70" i="5"/>
  <c r="GE70" i="5"/>
  <c r="GF70" i="5"/>
  <c r="GG70" i="5"/>
  <c r="GH70" i="5"/>
  <c r="GI70" i="5"/>
  <c r="GJ70" i="5"/>
  <c r="GK70" i="5"/>
  <c r="GL70" i="5"/>
  <c r="GM70" i="5"/>
  <c r="GN70" i="5"/>
  <c r="GO70" i="5"/>
  <c r="GP70" i="5"/>
  <c r="GQ70" i="5"/>
  <c r="GR70" i="5"/>
  <c r="GS70" i="5"/>
  <c r="GT70" i="5"/>
  <c r="GU70" i="5"/>
  <c r="GV70" i="5"/>
  <c r="GW70" i="5"/>
  <c r="GX70" i="5"/>
  <c r="GY70" i="5"/>
  <c r="GZ70" i="5"/>
  <c r="HA70" i="5"/>
  <c r="HB70" i="5"/>
  <c r="HC70" i="5"/>
  <c r="HD70" i="5"/>
  <c r="HE70" i="5"/>
  <c r="HF70" i="5"/>
  <c r="HG70" i="5"/>
  <c r="A71" i="5"/>
  <c r="B71" i="5"/>
  <c r="C71" i="5"/>
  <c r="D71" i="5"/>
  <c r="E71" i="5"/>
  <c r="F71" i="5"/>
  <c r="G71" i="5"/>
  <c r="H71" i="5"/>
  <c r="I71" i="5"/>
  <c r="J71" i="5"/>
  <c r="K71" i="5"/>
  <c r="L71" i="5"/>
  <c r="M71" i="5"/>
  <c r="N71" i="5"/>
  <c r="O71" i="5"/>
  <c r="P71" i="5"/>
  <c r="Q71" i="5"/>
  <c r="R71" i="5"/>
  <c r="S71" i="5"/>
  <c r="T71" i="5"/>
  <c r="U71" i="5"/>
  <c r="V71" i="5"/>
  <c r="W71" i="5"/>
  <c r="X71" i="5"/>
  <c r="Y71" i="5"/>
  <c r="Z71" i="5"/>
  <c r="AA71" i="5"/>
  <c r="AB71" i="5"/>
  <c r="AC71" i="5"/>
  <c r="AD71" i="5"/>
  <c r="AE71" i="5"/>
  <c r="AF71" i="5"/>
  <c r="AG71" i="5"/>
  <c r="AH71" i="5"/>
  <c r="AI71" i="5"/>
  <c r="AJ71" i="5"/>
  <c r="AK71" i="5"/>
  <c r="AL71" i="5"/>
  <c r="AM71" i="5"/>
  <c r="AN71" i="5"/>
  <c r="AO71" i="5"/>
  <c r="AP71" i="5"/>
  <c r="AQ71" i="5"/>
  <c r="AR71" i="5"/>
  <c r="AS71" i="5"/>
  <c r="AT71" i="5"/>
  <c r="AU71" i="5"/>
  <c r="AV71" i="5"/>
  <c r="AW71" i="5"/>
  <c r="AX71" i="5"/>
  <c r="AY71" i="5"/>
  <c r="AZ71" i="5"/>
  <c r="BA71" i="5"/>
  <c r="BB71" i="5"/>
  <c r="BC71" i="5"/>
  <c r="BD71" i="5"/>
  <c r="BE71" i="5"/>
  <c r="BF71" i="5"/>
  <c r="BG71" i="5"/>
  <c r="BH71" i="5"/>
  <c r="BI71" i="5"/>
  <c r="BJ71" i="5"/>
  <c r="BK71" i="5"/>
  <c r="BL71" i="5"/>
  <c r="BM71" i="5"/>
  <c r="BN71" i="5"/>
  <c r="BO71" i="5"/>
  <c r="BP71" i="5"/>
  <c r="BQ71" i="5"/>
  <c r="BR71" i="5"/>
  <c r="BS71" i="5"/>
  <c r="BT71" i="5"/>
  <c r="BU71" i="5"/>
  <c r="BV71" i="5"/>
  <c r="BW71" i="5"/>
  <c r="BX71" i="5"/>
  <c r="BY71" i="5"/>
  <c r="BZ71" i="5"/>
  <c r="CA71" i="5"/>
  <c r="CB71" i="5"/>
  <c r="CC71" i="5"/>
  <c r="CD71" i="5"/>
  <c r="CE71" i="5"/>
  <c r="CF71" i="5"/>
  <c r="CG71" i="5"/>
  <c r="CH71" i="5"/>
  <c r="CI71" i="5"/>
  <c r="CJ71" i="5"/>
  <c r="CK71" i="5"/>
  <c r="CL71" i="5"/>
  <c r="CM71" i="5"/>
  <c r="CN71" i="5"/>
  <c r="CO71" i="5"/>
  <c r="CP71" i="5"/>
  <c r="CQ71" i="5"/>
  <c r="CR71" i="5"/>
  <c r="CS71" i="5"/>
  <c r="CT71" i="5"/>
  <c r="CU71" i="5"/>
  <c r="CV71" i="5"/>
  <c r="CW71" i="5"/>
  <c r="CX71" i="5"/>
  <c r="CY71" i="5"/>
  <c r="CZ71" i="5"/>
  <c r="DA71" i="5"/>
  <c r="DB71" i="5"/>
  <c r="DC71" i="5"/>
  <c r="DD71" i="5"/>
  <c r="DE71" i="5"/>
  <c r="DF71" i="5"/>
  <c r="DG71" i="5"/>
  <c r="DH71" i="5"/>
  <c r="DI71" i="5"/>
  <c r="DJ71" i="5"/>
  <c r="DK71" i="5"/>
  <c r="DL71" i="5"/>
  <c r="DM71" i="5"/>
  <c r="DN71" i="5"/>
  <c r="DO71" i="5"/>
  <c r="DP71" i="5"/>
  <c r="DQ71" i="5"/>
  <c r="DR71" i="5"/>
  <c r="DS71" i="5"/>
  <c r="DT71" i="5"/>
  <c r="DU71" i="5"/>
  <c r="DV71" i="5"/>
  <c r="DW71" i="5"/>
  <c r="DX71" i="5"/>
  <c r="DY71" i="5"/>
  <c r="DZ71" i="5"/>
  <c r="EA71" i="5"/>
  <c r="EB71" i="5"/>
  <c r="EC71" i="5"/>
  <c r="ED71" i="5"/>
  <c r="EE71" i="5"/>
  <c r="EF71" i="5"/>
  <c r="EG71" i="5"/>
  <c r="EH71" i="5"/>
  <c r="EI71" i="5"/>
  <c r="EJ71" i="5"/>
  <c r="EK71" i="5"/>
  <c r="EL71" i="5"/>
  <c r="EM71" i="5"/>
  <c r="EN71" i="5"/>
  <c r="EO71" i="5"/>
  <c r="EP71" i="5"/>
  <c r="EQ71" i="5"/>
  <c r="ER71" i="5"/>
  <c r="ES71" i="5"/>
  <c r="ET71" i="5"/>
  <c r="EU71" i="5"/>
  <c r="EV71" i="5"/>
  <c r="EW71" i="5"/>
  <c r="EX71" i="5"/>
  <c r="EY71" i="5"/>
  <c r="EZ71" i="5"/>
  <c r="FA71" i="5"/>
  <c r="FB71" i="5"/>
  <c r="FC71" i="5"/>
  <c r="FD71" i="5"/>
  <c r="FE71" i="5"/>
  <c r="FF71" i="5"/>
  <c r="FG71" i="5"/>
  <c r="FH71" i="5"/>
  <c r="FI71" i="5"/>
  <c r="FJ71" i="5"/>
  <c r="FK71" i="5"/>
  <c r="FL71" i="5"/>
  <c r="FM71" i="5"/>
  <c r="FN71" i="5"/>
  <c r="FO71" i="5"/>
  <c r="FP71" i="5"/>
  <c r="FQ71" i="5"/>
  <c r="FR71" i="5"/>
  <c r="FS71" i="5"/>
  <c r="FT71" i="5"/>
  <c r="FU71" i="5"/>
  <c r="FV71" i="5"/>
  <c r="FW71" i="5"/>
  <c r="FX71" i="5"/>
  <c r="FY71" i="5"/>
  <c r="FZ71" i="5"/>
  <c r="GA71" i="5"/>
  <c r="GB71" i="5"/>
  <c r="GC71" i="5"/>
  <c r="GD71" i="5"/>
  <c r="GE71" i="5"/>
  <c r="GF71" i="5"/>
  <c r="GG71" i="5"/>
  <c r="GH71" i="5"/>
  <c r="GI71" i="5"/>
  <c r="GJ71" i="5"/>
  <c r="GK71" i="5"/>
  <c r="GL71" i="5"/>
  <c r="GM71" i="5"/>
  <c r="GN71" i="5"/>
  <c r="GO71" i="5"/>
  <c r="GP71" i="5"/>
  <c r="GQ71" i="5"/>
  <c r="GR71" i="5"/>
  <c r="GS71" i="5"/>
  <c r="GT71" i="5"/>
  <c r="GU71" i="5"/>
  <c r="GV71" i="5"/>
  <c r="GW71" i="5"/>
  <c r="GX71" i="5"/>
  <c r="GY71" i="5"/>
  <c r="GZ71" i="5"/>
  <c r="HA71" i="5"/>
  <c r="HB71" i="5"/>
  <c r="HC71" i="5"/>
  <c r="HD71" i="5"/>
  <c r="HE71" i="5"/>
  <c r="HF71" i="5"/>
  <c r="HG71" i="5"/>
  <c r="A72" i="5"/>
  <c r="B72" i="5"/>
  <c r="C72" i="5"/>
  <c r="D72" i="5"/>
  <c r="E72" i="5"/>
  <c r="F72" i="5"/>
  <c r="G72" i="5"/>
  <c r="H72" i="5"/>
  <c r="I72" i="5"/>
  <c r="J72" i="5"/>
  <c r="K72" i="5"/>
  <c r="L72" i="5"/>
  <c r="M72" i="5"/>
  <c r="N72" i="5"/>
  <c r="O72" i="5"/>
  <c r="P72" i="5"/>
  <c r="Q72" i="5"/>
  <c r="R72" i="5"/>
  <c r="S72" i="5"/>
  <c r="T72" i="5"/>
  <c r="U72" i="5"/>
  <c r="V72" i="5"/>
  <c r="W72" i="5"/>
  <c r="X72" i="5"/>
  <c r="Y72" i="5"/>
  <c r="Z72" i="5"/>
  <c r="AA72" i="5"/>
  <c r="AB72" i="5"/>
  <c r="AC72" i="5"/>
  <c r="AD72" i="5"/>
  <c r="AE72" i="5"/>
  <c r="AF72" i="5"/>
  <c r="AG72" i="5"/>
  <c r="AH72" i="5"/>
  <c r="AI72" i="5"/>
  <c r="AJ72" i="5"/>
  <c r="AK72" i="5"/>
  <c r="AL72" i="5"/>
  <c r="AM72" i="5"/>
  <c r="AN72" i="5"/>
  <c r="AO72" i="5"/>
  <c r="AP72" i="5"/>
  <c r="AQ72" i="5"/>
  <c r="AR72" i="5"/>
  <c r="AS72" i="5"/>
  <c r="AT72" i="5"/>
  <c r="AU72" i="5"/>
  <c r="AV72" i="5"/>
  <c r="AW72" i="5"/>
  <c r="AX72" i="5"/>
  <c r="AY72" i="5"/>
  <c r="AZ72" i="5"/>
  <c r="BA72" i="5"/>
  <c r="BB72" i="5"/>
  <c r="BC72" i="5"/>
  <c r="BD72" i="5"/>
  <c r="BE72" i="5"/>
  <c r="BF72" i="5"/>
  <c r="BG72" i="5"/>
  <c r="BH72" i="5"/>
  <c r="BI72" i="5"/>
  <c r="BJ72" i="5"/>
  <c r="BK72" i="5"/>
  <c r="BL72" i="5"/>
  <c r="BM72" i="5"/>
  <c r="BN72" i="5"/>
  <c r="BO72" i="5"/>
  <c r="BP72" i="5"/>
  <c r="BQ72" i="5"/>
  <c r="BR72" i="5"/>
  <c r="BS72" i="5"/>
  <c r="BT72" i="5"/>
  <c r="BU72" i="5"/>
  <c r="BV72" i="5"/>
  <c r="BW72" i="5"/>
  <c r="BX72" i="5"/>
  <c r="BY72" i="5"/>
  <c r="BZ72" i="5"/>
  <c r="CA72" i="5"/>
  <c r="CB72" i="5"/>
  <c r="CC72" i="5"/>
  <c r="CD72" i="5"/>
  <c r="CE72" i="5"/>
  <c r="CF72" i="5"/>
  <c r="CG72" i="5"/>
  <c r="CH72" i="5"/>
  <c r="CI72" i="5"/>
  <c r="CJ72" i="5"/>
  <c r="CK72" i="5"/>
  <c r="CL72" i="5"/>
  <c r="CM72" i="5"/>
  <c r="CN72" i="5"/>
  <c r="CO72" i="5"/>
  <c r="CP72" i="5"/>
  <c r="CQ72" i="5"/>
  <c r="CR72" i="5"/>
  <c r="CS72" i="5"/>
  <c r="CT72" i="5"/>
  <c r="CU72" i="5"/>
  <c r="CV72" i="5"/>
  <c r="CW72" i="5"/>
  <c r="CX72" i="5"/>
  <c r="CY72" i="5"/>
  <c r="CZ72" i="5"/>
  <c r="DA72" i="5"/>
  <c r="DB72" i="5"/>
  <c r="DC72" i="5"/>
  <c r="DD72" i="5"/>
  <c r="DE72" i="5"/>
  <c r="DF72" i="5"/>
  <c r="DG72" i="5"/>
  <c r="DH72" i="5"/>
  <c r="DI72" i="5"/>
  <c r="DJ72" i="5"/>
  <c r="DK72" i="5"/>
  <c r="DL72" i="5"/>
  <c r="DM72" i="5"/>
  <c r="DN72" i="5"/>
  <c r="DO72" i="5"/>
  <c r="DP72" i="5"/>
  <c r="DQ72" i="5"/>
  <c r="DR72" i="5"/>
  <c r="DS72" i="5"/>
  <c r="DT72" i="5"/>
  <c r="DU72" i="5"/>
  <c r="DV72" i="5"/>
  <c r="DW72" i="5"/>
  <c r="DX72" i="5"/>
  <c r="DY72" i="5"/>
  <c r="DZ72" i="5"/>
  <c r="EA72" i="5"/>
  <c r="EB72" i="5"/>
  <c r="EC72" i="5"/>
  <c r="ED72" i="5"/>
  <c r="EE72" i="5"/>
  <c r="EF72" i="5"/>
  <c r="EG72" i="5"/>
  <c r="EH72" i="5"/>
  <c r="EI72" i="5"/>
  <c r="EJ72" i="5"/>
  <c r="EK72" i="5"/>
  <c r="EL72" i="5"/>
  <c r="EM72" i="5"/>
  <c r="EN72" i="5"/>
  <c r="EO72" i="5"/>
  <c r="EP72" i="5"/>
  <c r="EQ72" i="5"/>
  <c r="ER72" i="5"/>
  <c r="ES72" i="5"/>
  <c r="ET72" i="5"/>
  <c r="EU72" i="5"/>
  <c r="EV72" i="5"/>
  <c r="EW72" i="5"/>
  <c r="EX72" i="5"/>
  <c r="EY72" i="5"/>
  <c r="EZ72" i="5"/>
  <c r="FA72" i="5"/>
  <c r="FB72" i="5"/>
  <c r="FC72" i="5"/>
  <c r="FD72" i="5"/>
  <c r="FE72" i="5"/>
  <c r="FF72" i="5"/>
  <c r="FG72" i="5"/>
  <c r="FH72" i="5"/>
  <c r="FI72" i="5"/>
  <c r="FJ72" i="5"/>
  <c r="FK72" i="5"/>
  <c r="FL72" i="5"/>
  <c r="FM72" i="5"/>
  <c r="FN72" i="5"/>
  <c r="FO72" i="5"/>
  <c r="FP72" i="5"/>
  <c r="FQ72" i="5"/>
  <c r="FR72" i="5"/>
  <c r="FS72" i="5"/>
  <c r="FT72" i="5"/>
  <c r="FU72" i="5"/>
  <c r="FV72" i="5"/>
  <c r="FW72" i="5"/>
  <c r="FX72" i="5"/>
  <c r="FY72" i="5"/>
  <c r="FZ72" i="5"/>
  <c r="GA72" i="5"/>
  <c r="GB72" i="5"/>
  <c r="GC72" i="5"/>
  <c r="GD72" i="5"/>
  <c r="GE72" i="5"/>
  <c r="GF72" i="5"/>
  <c r="GG72" i="5"/>
  <c r="GH72" i="5"/>
  <c r="GI72" i="5"/>
  <c r="GJ72" i="5"/>
  <c r="GK72" i="5"/>
  <c r="GL72" i="5"/>
  <c r="GM72" i="5"/>
  <c r="GN72" i="5"/>
  <c r="GO72" i="5"/>
  <c r="GP72" i="5"/>
  <c r="GQ72" i="5"/>
  <c r="GR72" i="5"/>
  <c r="GS72" i="5"/>
  <c r="GT72" i="5"/>
  <c r="GU72" i="5"/>
  <c r="GV72" i="5"/>
  <c r="GW72" i="5"/>
  <c r="GX72" i="5"/>
  <c r="GY72" i="5"/>
  <c r="GZ72" i="5"/>
  <c r="HA72" i="5"/>
  <c r="HB72" i="5"/>
  <c r="HC72" i="5"/>
  <c r="HD72" i="5"/>
  <c r="HE72" i="5"/>
  <c r="HF72" i="5"/>
  <c r="HG72" i="5"/>
  <c r="A73" i="5"/>
  <c r="B73" i="5"/>
  <c r="C73" i="5"/>
  <c r="D73" i="5"/>
  <c r="E73" i="5"/>
  <c r="F73" i="5"/>
  <c r="G73" i="5"/>
  <c r="H73" i="5"/>
  <c r="I73" i="5"/>
  <c r="J73" i="5"/>
  <c r="K73" i="5"/>
  <c r="L73" i="5"/>
  <c r="M73" i="5"/>
  <c r="N73" i="5"/>
  <c r="O73" i="5"/>
  <c r="P73" i="5"/>
  <c r="Q73" i="5"/>
  <c r="R73" i="5"/>
  <c r="S73" i="5"/>
  <c r="T73" i="5"/>
  <c r="U73" i="5"/>
  <c r="V73" i="5"/>
  <c r="W73" i="5"/>
  <c r="X73" i="5"/>
  <c r="Y73" i="5"/>
  <c r="Z73" i="5"/>
  <c r="AA73" i="5"/>
  <c r="AB73" i="5"/>
  <c r="AC73" i="5"/>
  <c r="AD73" i="5"/>
  <c r="AE73" i="5"/>
  <c r="AF73" i="5"/>
  <c r="AG73" i="5"/>
  <c r="AH73" i="5"/>
  <c r="AI73" i="5"/>
  <c r="AJ73" i="5"/>
  <c r="AK73" i="5"/>
  <c r="AL73" i="5"/>
  <c r="AM73" i="5"/>
  <c r="AN73" i="5"/>
  <c r="AO73" i="5"/>
  <c r="AP73" i="5"/>
  <c r="AQ73" i="5"/>
  <c r="AR73" i="5"/>
  <c r="AS73" i="5"/>
  <c r="AT73" i="5"/>
  <c r="AU73" i="5"/>
  <c r="AV73" i="5"/>
  <c r="AW73" i="5"/>
  <c r="AX73" i="5"/>
  <c r="AY73" i="5"/>
  <c r="AZ73" i="5"/>
  <c r="BA73" i="5"/>
  <c r="BB73" i="5"/>
  <c r="BC73" i="5"/>
  <c r="BD73" i="5"/>
  <c r="BE73" i="5"/>
  <c r="BF73" i="5"/>
  <c r="BG73" i="5"/>
  <c r="BH73" i="5"/>
  <c r="BI73" i="5"/>
  <c r="BJ73" i="5"/>
  <c r="BK73" i="5"/>
  <c r="BL73" i="5"/>
  <c r="BM73" i="5"/>
  <c r="BN73" i="5"/>
  <c r="BO73" i="5"/>
  <c r="BP73" i="5"/>
  <c r="BQ73" i="5"/>
  <c r="BR73" i="5"/>
  <c r="BS73" i="5"/>
  <c r="BT73" i="5"/>
  <c r="BU73" i="5"/>
  <c r="BV73" i="5"/>
  <c r="BW73" i="5"/>
  <c r="BX73" i="5"/>
  <c r="BY73" i="5"/>
  <c r="BZ73" i="5"/>
  <c r="CA73" i="5"/>
  <c r="CB73" i="5"/>
  <c r="CC73" i="5"/>
  <c r="CD73" i="5"/>
  <c r="CE73" i="5"/>
  <c r="CF73" i="5"/>
  <c r="CG73" i="5"/>
  <c r="CH73" i="5"/>
  <c r="CI73" i="5"/>
  <c r="CJ73" i="5"/>
  <c r="CK73" i="5"/>
  <c r="CL73" i="5"/>
  <c r="CM73" i="5"/>
  <c r="CN73" i="5"/>
  <c r="CO73" i="5"/>
  <c r="CP73" i="5"/>
  <c r="CQ73" i="5"/>
  <c r="CR73" i="5"/>
  <c r="CS73" i="5"/>
  <c r="CT73" i="5"/>
  <c r="CU73" i="5"/>
  <c r="CV73" i="5"/>
  <c r="CW73" i="5"/>
  <c r="CX73" i="5"/>
  <c r="CY73" i="5"/>
  <c r="CZ73" i="5"/>
  <c r="DA73" i="5"/>
  <c r="DB73" i="5"/>
  <c r="DC73" i="5"/>
  <c r="DD73" i="5"/>
  <c r="DE73" i="5"/>
  <c r="DF73" i="5"/>
  <c r="DG73" i="5"/>
  <c r="DH73" i="5"/>
  <c r="DI73" i="5"/>
  <c r="DJ73" i="5"/>
  <c r="DK73" i="5"/>
  <c r="DL73" i="5"/>
  <c r="DM73" i="5"/>
  <c r="DN73" i="5"/>
  <c r="DO73" i="5"/>
  <c r="DP73" i="5"/>
  <c r="DQ73" i="5"/>
  <c r="DR73" i="5"/>
  <c r="DS73" i="5"/>
  <c r="DT73" i="5"/>
  <c r="DU73" i="5"/>
  <c r="DV73" i="5"/>
  <c r="DW73" i="5"/>
  <c r="DX73" i="5"/>
  <c r="DY73" i="5"/>
  <c r="DZ73" i="5"/>
  <c r="EA73" i="5"/>
  <c r="EB73" i="5"/>
  <c r="EC73" i="5"/>
  <c r="ED73" i="5"/>
  <c r="EE73" i="5"/>
  <c r="EF73" i="5"/>
  <c r="EG73" i="5"/>
  <c r="EH73" i="5"/>
  <c r="EI73" i="5"/>
  <c r="EJ73" i="5"/>
  <c r="EK73" i="5"/>
  <c r="EL73" i="5"/>
  <c r="EM73" i="5"/>
  <c r="EN73" i="5"/>
  <c r="EO73" i="5"/>
  <c r="EP73" i="5"/>
  <c r="EQ73" i="5"/>
  <c r="ER73" i="5"/>
  <c r="ES73" i="5"/>
  <c r="ET73" i="5"/>
  <c r="EU73" i="5"/>
  <c r="EV73" i="5"/>
  <c r="EW73" i="5"/>
  <c r="EX73" i="5"/>
  <c r="EY73" i="5"/>
  <c r="EZ73" i="5"/>
  <c r="FA73" i="5"/>
  <c r="FB73" i="5"/>
  <c r="FC73" i="5"/>
  <c r="FD73" i="5"/>
  <c r="FE73" i="5"/>
  <c r="FF73" i="5"/>
  <c r="FG73" i="5"/>
  <c r="FH73" i="5"/>
  <c r="FI73" i="5"/>
  <c r="FJ73" i="5"/>
  <c r="FK73" i="5"/>
  <c r="FL73" i="5"/>
  <c r="FM73" i="5"/>
  <c r="FN73" i="5"/>
  <c r="FO73" i="5"/>
  <c r="FP73" i="5"/>
  <c r="FQ73" i="5"/>
  <c r="FR73" i="5"/>
  <c r="FS73" i="5"/>
  <c r="FT73" i="5"/>
  <c r="FU73" i="5"/>
  <c r="FV73" i="5"/>
  <c r="FW73" i="5"/>
  <c r="FX73" i="5"/>
  <c r="FY73" i="5"/>
  <c r="FZ73" i="5"/>
  <c r="GA73" i="5"/>
  <c r="GB73" i="5"/>
  <c r="GC73" i="5"/>
  <c r="GD73" i="5"/>
  <c r="GE73" i="5"/>
  <c r="GF73" i="5"/>
  <c r="GG73" i="5"/>
  <c r="GH73" i="5"/>
  <c r="GI73" i="5"/>
  <c r="GJ73" i="5"/>
  <c r="GK73" i="5"/>
  <c r="GL73" i="5"/>
  <c r="GM73" i="5"/>
  <c r="GN73" i="5"/>
  <c r="GO73" i="5"/>
  <c r="GP73" i="5"/>
  <c r="GQ73" i="5"/>
  <c r="GR73" i="5"/>
  <c r="GS73" i="5"/>
  <c r="GT73" i="5"/>
  <c r="GU73" i="5"/>
  <c r="GV73" i="5"/>
  <c r="GW73" i="5"/>
  <c r="GX73" i="5"/>
  <c r="GY73" i="5"/>
  <c r="GZ73" i="5"/>
  <c r="HA73" i="5"/>
  <c r="HB73" i="5"/>
  <c r="HC73" i="5"/>
  <c r="HD73" i="5"/>
  <c r="HE73" i="5"/>
  <c r="HF73" i="5"/>
  <c r="HG73" i="5"/>
  <c r="A74" i="5"/>
  <c r="B74" i="5"/>
  <c r="C74" i="5"/>
  <c r="D74" i="5"/>
  <c r="E74" i="5"/>
  <c r="F74" i="5"/>
  <c r="G74" i="5"/>
  <c r="H74" i="5"/>
  <c r="I74" i="5"/>
  <c r="J74" i="5"/>
  <c r="K74" i="5"/>
  <c r="L74" i="5"/>
  <c r="M74" i="5"/>
  <c r="N74" i="5"/>
  <c r="O74" i="5"/>
  <c r="P74" i="5"/>
  <c r="Q74" i="5"/>
  <c r="R74" i="5"/>
  <c r="S74" i="5"/>
  <c r="T74" i="5"/>
  <c r="U74" i="5"/>
  <c r="V74" i="5"/>
  <c r="W74" i="5"/>
  <c r="X74" i="5"/>
  <c r="Y74" i="5"/>
  <c r="Z74" i="5"/>
  <c r="AA74" i="5"/>
  <c r="AB74" i="5"/>
  <c r="AC74" i="5"/>
  <c r="AD74" i="5"/>
  <c r="AE74" i="5"/>
  <c r="AF74" i="5"/>
  <c r="AG74" i="5"/>
  <c r="AH74" i="5"/>
  <c r="AI74" i="5"/>
  <c r="AJ74" i="5"/>
  <c r="AK74" i="5"/>
  <c r="AL74" i="5"/>
  <c r="AM74" i="5"/>
  <c r="AN74" i="5"/>
  <c r="AO74" i="5"/>
  <c r="AP74" i="5"/>
  <c r="AQ74" i="5"/>
  <c r="AR74" i="5"/>
  <c r="AS74" i="5"/>
  <c r="AT74" i="5"/>
  <c r="AU74" i="5"/>
  <c r="AV74" i="5"/>
  <c r="AW74" i="5"/>
  <c r="AX74" i="5"/>
  <c r="AY74" i="5"/>
  <c r="AZ74" i="5"/>
  <c r="BA74" i="5"/>
  <c r="BB74" i="5"/>
  <c r="BC74" i="5"/>
  <c r="BD74" i="5"/>
  <c r="BE74" i="5"/>
  <c r="BF74" i="5"/>
  <c r="BG74" i="5"/>
  <c r="BH74" i="5"/>
  <c r="BI74" i="5"/>
  <c r="BJ74" i="5"/>
  <c r="BK74" i="5"/>
  <c r="BL74" i="5"/>
  <c r="BM74" i="5"/>
  <c r="BN74" i="5"/>
  <c r="BO74" i="5"/>
  <c r="BP74" i="5"/>
  <c r="BQ74" i="5"/>
  <c r="BR74" i="5"/>
  <c r="BS74" i="5"/>
  <c r="BT74" i="5"/>
  <c r="BU74" i="5"/>
  <c r="BV74" i="5"/>
  <c r="BW74" i="5"/>
  <c r="BX74" i="5"/>
  <c r="BY74" i="5"/>
  <c r="BZ74" i="5"/>
  <c r="CA74" i="5"/>
  <c r="CB74" i="5"/>
  <c r="CC74" i="5"/>
  <c r="CD74" i="5"/>
  <c r="CE74" i="5"/>
  <c r="CF74" i="5"/>
  <c r="CG74" i="5"/>
  <c r="CH74" i="5"/>
  <c r="CI74" i="5"/>
  <c r="CJ74" i="5"/>
  <c r="CK74" i="5"/>
  <c r="CL74" i="5"/>
  <c r="CM74" i="5"/>
  <c r="CN74" i="5"/>
  <c r="CO74" i="5"/>
  <c r="CP74" i="5"/>
  <c r="CQ74" i="5"/>
  <c r="CR74" i="5"/>
  <c r="CS74" i="5"/>
  <c r="CT74" i="5"/>
  <c r="CU74" i="5"/>
  <c r="CV74" i="5"/>
  <c r="CW74" i="5"/>
  <c r="CX74" i="5"/>
  <c r="CY74" i="5"/>
  <c r="CZ74" i="5"/>
  <c r="DA74" i="5"/>
  <c r="DB74" i="5"/>
  <c r="DC74" i="5"/>
  <c r="DD74" i="5"/>
  <c r="DE74" i="5"/>
  <c r="DF74" i="5"/>
  <c r="DG74" i="5"/>
  <c r="DH74" i="5"/>
  <c r="DI74" i="5"/>
  <c r="DJ74" i="5"/>
  <c r="DK74" i="5"/>
  <c r="DL74" i="5"/>
  <c r="DM74" i="5"/>
  <c r="DN74" i="5"/>
  <c r="DO74" i="5"/>
  <c r="DP74" i="5"/>
  <c r="DQ74" i="5"/>
  <c r="DR74" i="5"/>
  <c r="DS74" i="5"/>
  <c r="DT74" i="5"/>
  <c r="DU74" i="5"/>
  <c r="DV74" i="5"/>
  <c r="DW74" i="5"/>
  <c r="DX74" i="5"/>
  <c r="DY74" i="5"/>
  <c r="DZ74" i="5"/>
  <c r="EA74" i="5"/>
  <c r="EB74" i="5"/>
  <c r="EC74" i="5"/>
  <c r="ED74" i="5"/>
  <c r="EE74" i="5"/>
  <c r="EF74" i="5"/>
  <c r="EG74" i="5"/>
  <c r="EH74" i="5"/>
  <c r="EI74" i="5"/>
  <c r="EJ74" i="5"/>
  <c r="EK74" i="5"/>
  <c r="EL74" i="5"/>
  <c r="EM74" i="5"/>
  <c r="EN74" i="5"/>
  <c r="EO74" i="5"/>
  <c r="EP74" i="5"/>
  <c r="EQ74" i="5"/>
  <c r="ER74" i="5"/>
  <c r="ES74" i="5"/>
  <c r="ET74" i="5"/>
  <c r="EU74" i="5"/>
  <c r="EV74" i="5"/>
  <c r="EW74" i="5"/>
  <c r="EX74" i="5"/>
  <c r="EY74" i="5"/>
  <c r="EZ74" i="5"/>
  <c r="FA74" i="5"/>
  <c r="FB74" i="5"/>
  <c r="FC74" i="5"/>
  <c r="FD74" i="5"/>
  <c r="FE74" i="5"/>
  <c r="FF74" i="5"/>
  <c r="FG74" i="5"/>
  <c r="FH74" i="5"/>
  <c r="FI74" i="5"/>
  <c r="FJ74" i="5"/>
  <c r="FK74" i="5"/>
  <c r="FL74" i="5"/>
  <c r="FM74" i="5"/>
  <c r="FN74" i="5"/>
  <c r="FO74" i="5"/>
  <c r="FP74" i="5"/>
  <c r="FQ74" i="5"/>
  <c r="FR74" i="5"/>
  <c r="FS74" i="5"/>
  <c r="FT74" i="5"/>
  <c r="FU74" i="5"/>
  <c r="FV74" i="5"/>
  <c r="FW74" i="5"/>
  <c r="FX74" i="5"/>
  <c r="FY74" i="5"/>
  <c r="FZ74" i="5"/>
  <c r="GA74" i="5"/>
  <c r="GB74" i="5"/>
  <c r="GC74" i="5"/>
  <c r="GD74" i="5"/>
  <c r="GE74" i="5"/>
  <c r="GF74" i="5"/>
  <c r="GG74" i="5"/>
  <c r="GH74" i="5"/>
  <c r="GI74" i="5"/>
  <c r="GJ74" i="5"/>
  <c r="GK74" i="5"/>
  <c r="GL74" i="5"/>
  <c r="GM74" i="5"/>
  <c r="GN74" i="5"/>
  <c r="GO74" i="5"/>
  <c r="GP74" i="5"/>
  <c r="GQ74" i="5"/>
  <c r="GR74" i="5"/>
  <c r="GS74" i="5"/>
  <c r="GT74" i="5"/>
  <c r="GU74" i="5"/>
  <c r="GV74" i="5"/>
  <c r="GW74" i="5"/>
  <c r="GX74" i="5"/>
  <c r="GY74" i="5"/>
  <c r="GZ74" i="5"/>
  <c r="HA74" i="5"/>
  <c r="HB74" i="5"/>
  <c r="HC74" i="5"/>
  <c r="HD74" i="5"/>
  <c r="HE74" i="5"/>
  <c r="HF74" i="5"/>
  <c r="HG74" i="5"/>
  <c r="A75" i="5"/>
  <c r="B75" i="5"/>
  <c r="C75" i="5"/>
  <c r="D75" i="5"/>
  <c r="E75" i="5"/>
  <c r="F75" i="5"/>
  <c r="G75" i="5"/>
  <c r="H75" i="5"/>
  <c r="I75" i="5"/>
  <c r="J75" i="5"/>
  <c r="K75" i="5"/>
  <c r="L75" i="5"/>
  <c r="M75" i="5"/>
  <c r="N75" i="5"/>
  <c r="O75" i="5"/>
  <c r="P75" i="5"/>
  <c r="Q75" i="5"/>
  <c r="R75" i="5"/>
  <c r="S75" i="5"/>
  <c r="T75" i="5"/>
  <c r="U75" i="5"/>
  <c r="V75" i="5"/>
  <c r="W75" i="5"/>
  <c r="X75" i="5"/>
  <c r="Y75" i="5"/>
  <c r="Z75" i="5"/>
  <c r="AA75" i="5"/>
  <c r="AB75" i="5"/>
  <c r="AC75" i="5"/>
  <c r="AD75" i="5"/>
  <c r="AE75" i="5"/>
  <c r="AF75" i="5"/>
  <c r="AG75" i="5"/>
  <c r="AH75" i="5"/>
  <c r="AI75" i="5"/>
  <c r="AJ75" i="5"/>
  <c r="AK75" i="5"/>
  <c r="AL75" i="5"/>
  <c r="AM75" i="5"/>
  <c r="AN75" i="5"/>
  <c r="AO75" i="5"/>
  <c r="AP75" i="5"/>
  <c r="AQ75" i="5"/>
  <c r="AR75" i="5"/>
  <c r="AS75" i="5"/>
  <c r="AT75" i="5"/>
  <c r="AU75" i="5"/>
  <c r="AV75" i="5"/>
  <c r="AW75" i="5"/>
  <c r="AX75" i="5"/>
  <c r="AY75" i="5"/>
  <c r="AZ75" i="5"/>
  <c r="BA75" i="5"/>
  <c r="BB75" i="5"/>
  <c r="BC75" i="5"/>
  <c r="BD75" i="5"/>
  <c r="BE75" i="5"/>
  <c r="BF75" i="5"/>
  <c r="BG75" i="5"/>
  <c r="BH75" i="5"/>
  <c r="BI75" i="5"/>
  <c r="BJ75" i="5"/>
  <c r="BK75" i="5"/>
  <c r="BL75" i="5"/>
  <c r="BM75" i="5"/>
  <c r="BN75" i="5"/>
  <c r="BO75" i="5"/>
  <c r="BP75" i="5"/>
  <c r="BQ75" i="5"/>
  <c r="BR75" i="5"/>
  <c r="BS75" i="5"/>
  <c r="BT75" i="5"/>
  <c r="BU75" i="5"/>
  <c r="BV75" i="5"/>
  <c r="BW75" i="5"/>
  <c r="BX75" i="5"/>
  <c r="BY75" i="5"/>
  <c r="BZ75" i="5"/>
  <c r="CA75" i="5"/>
  <c r="CB75" i="5"/>
  <c r="CC75" i="5"/>
  <c r="CD75" i="5"/>
  <c r="CE75" i="5"/>
  <c r="CF75" i="5"/>
  <c r="CG75" i="5"/>
  <c r="CH75" i="5"/>
  <c r="CI75" i="5"/>
  <c r="CJ75" i="5"/>
  <c r="CK75" i="5"/>
  <c r="CL75" i="5"/>
  <c r="CM75" i="5"/>
  <c r="CN75" i="5"/>
  <c r="CO75" i="5"/>
  <c r="CP75" i="5"/>
  <c r="CQ75" i="5"/>
  <c r="CR75" i="5"/>
  <c r="CS75" i="5"/>
  <c r="CT75" i="5"/>
  <c r="CU75" i="5"/>
  <c r="CV75" i="5"/>
  <c r="CW75" i="5"/>
  <c r="CX75" i="5"/>
  <c r="CY75" i="5"/>
  <c r="CZ75" i="5"/>
  <c r="DA75" i="5"/>
  <c r="DB75" i="5"/>
  <c r="DC75" i="5"/>
  <c r="DD75" i="5"/>
  <c r="DE75" i="5"/>
  <c r="DF75" i="5"/>
  <c r="DG75" i="5"/>
  <c r="DH75" i="5"/>
  <c r="DI75" i="5"/>
  <c r="DJ75" i="5"/>
  <c r="DK75" i="5"/>
  <c r="DL75" i="5"/>
  <c r="DM75" i="5"/>
  <c r="DN75" i="5"/>
  <c r="DO75" i="5"/>
  <c r="DP75" i="5"/>
  <c r="DQ75" i="5"/>
  <c r="DR75" i="5"/>
  <c r="DS75" i="5"/>
  <c r="DT75" i="5"/>
  <c r="DU75" i="5"/>
  <c r="DV75" i="5"/>
  <c r="DW75" i="5"/>
  <c r="DX75" i="5"/>
  <c r="DY75" i="5"/>
  <c r="DZ75" i="5"/>
  <c r="EA75" i="5"/>
  <c r="EB75" i="5"/>
  <c r="EC75" i="5"/>
  <c r="ED75" i="5"/>
  <c r="EE75" i="5"/>
  <c r="EF75" i="5"/>
  <c r="EG75" i="5"/>
  <c r="EH75" i="5"/>
  <c r="EI75" i="5"/>
  <c r="EJ75" i="5"/>
  <c r="EK75" i="5"/>
  <c r="EL75" i="5"/>
  <c r="EM75" i="5"/>
  <c r="EN75" i="5"/>
  <c r="EO75" i="5"/>
  <c r="EP75" i="5"/>
  <c r="EQ75" i="5"/>
  <c r="ER75" i="5"/>
  <c r="ES75" i="5"/>
  <c r="ET75" i="5"/>
  <c r="EU75" i="5"/>
  <c r="EV75" i="5"/>
  <c r="EW75" i="5"/>
  <c r="EX75" i="5"/>
  <c r="EY75" i="5"/>
  <c r="EZ75" i="5"/>
  <c r="FA75" i="5"/>
  <c r="FB75" i="5"/>
  <c r="FC75" i="5"/>
  <c r="FD75" i="5"/>
  <c r="FE75" i="5"/>
  <c r="FF75" i="5"/>
  <c r="FG75" i="5"/>
  <c r="FH75" i="5"/>
  <c r="FI75" i="5"/>
  <c r="FJ75" i="5"/>
  <c r="FK75" i="5"/>
  <c r="FL75" i="5"/>
  <c r="FM75" i="5"/>
  <c r="FN75" i="5"/>
  <c r="FO75" i="5"/>
  <c r="FP75" i="5"/>
  <c r="FQ75" i="5"/>
  <c r="FR75" i="5"/>
  <c r="FS75" i="5"/>
  <c r="FT75" i="5"/>
  <c r="FU75" i="5"/>
  <c r="FV75" i="5"/>
  <c r="FW75" i="5"/>
  <c r="FX75" i="5"/>
  <c r="FY75" i="5"/>
  <c r="FZ75" i="5"/>
  <c r="GA75" i="5"/>
  <c r="GB75" i="5"/>
  <c r="GC75" i="5"/>
  <c r="GD75" i="5"/>
  <c r="GE75" i="5"/>
  <c r="GF75" i="5"/>
  <c r="GG75" i="5"/>
  <c r="GH75" i="5"/>
  <c r="GI75" i="5"/>
  <c r="GJ75" i="5"/>
  <c r="GK75" i="5"/>
  <c r="GL75" i="5"/>
  <c r="GM75" i="5"/>
  <c r="GN75" i="5"/>
  <c r="GO75" i="5"/>
  <c r="GP75" i="5"/>
  <c r="GQ75" i="5"/>
  <c r="GR75" i="5"/>
  <c r="GS75" i="5"/>
  <c r="GT75" i="5"/>
  <c r="GU75" i="5"/>
  <c r="GV75" i="5"/>
  <c r="GW75" i="5"/>
  <c r="GX75" i="5"/>
  <c r="GY75" i="5"/>
  <c r="GZ75" i="5"/>
  <c r="HA75" i="5"/>
  <c r="HB75" i="5"/>
  <c r="HC75" i="5"/>
  <c r="HD75" i="5"/>
  <c r="HE75" i="5"/>
  <c r="HF75" i="5"/>
  <c r="HG75" i="5"/>
  <c r="A76" i="5"/>
  <c r="B76" i="5"/>
  <c r="C76" i="5"/>
  <c r="D76" i="5"/>
  <c r="E76" i="5"/>
  <c r="F76" i="5"/>
  <c r="G76" i="5"/>
  <c r="H76" i="5"/>
  <c r="I76" i="5"/>
  <c r="J76" i="5"/>
  <c r="K76" i="5"/>
  <c r="L76" i="5"/>
  <c r="M76" i="5"/>
  <c r="N76" i="5"/>
  <c r="O76" i="5"/>
  <c r="P76" i="5"/>
  <c r="Q76" i="5"/>
  <c r="R76" i="5"/>
  <c r="S76" i="5"/>
  <c r="T76" i="5"/>
  <c r="U76" i="5"/>
  <c r="V76" i="5"/>
  <c r="W76" i="5"/>
  <c r="X76" i="5"/>
  <c r="Y76" i="5"/>
  <c r="Z76" i="5"/>
  <c r="AA76" i="5"/>
  <c r="AB76" i="5"/>
  <c r="AC76" i="5"/>
  <c r="AD76" i="5"/>
  <c r="AE76" i="5"/>
  <c r="AF76" i="5"/>
  <c r="AG76" i="5"/>
  <c r="AH76" i="5"/>
  <c r="AI76" i="5"/>
  <c r="AJ76" i="5"/>
  <c r="AK76" i="5"/>
  <c r="AL76" i="5"/>
  <c r="AM76" i="5"/>
  <c r="AN76" i="5"/>
  <c r="AO76" i="5"/>
  <c r="AP76" i="5"/>
  <c r="AQ76" i="5"/>
  <c r="AR76" i="5"/>
  <c r="AS76" i="5"/>
  <c r="AT76" i="5"/>
  <c r="AU76" i="5"/>
  <c r="AV76" i="5"/>
  <c r="AW76" i="5"/>
  <c r="AX76" i="5"/>
  <c r="AY76" i="5"/>
  <c r="AZ76" i="5"/>
  <c r="BA76" i="5"/>
  <c r="BB76" i="5"/>
  <c r="BC76" i="5"/>
  <c r="BD76" i="5"/>
  <c r="BE76" i="5"/>
  <c r="BF76" i="5"/>
  <c r="BG76" i="5"/>
  <c r="BH76" i="5"/>
  <c r="BI76" i="5"/>
  <c r="BJ76" i="5"/>
  <c r="BK76" i="5"/>
  <c r="BL76" i="5"/>
  <c r="BM76" i="5"/>
  <c r="BN76" i="5"/>
  <c r="BO76" i="5"/>
  <c r="BP76" i="5"/>
  <c r="BQ76" i="5"/>
  <c r="BR76" i="5"/>
  <c r="BS76" i="5"/>
  <c r="BT76" i="5"/>
  <c r="BU76" i="5"/>
  <c r="BV76" i="5"/>
  <c r="BW76" i="5"/>
  <c r="BX76" i="5"/>
  <c r="BY76" i="5"/>
  <c r="BZ76" i="5"/>
  <c r="CA76" i="5"/>
  <c r="CB76" i="5"/>
  <c r="CC76" i="5"/>
  <c r="CD76" i="5"/>
  <c r="CE76" i="5"/>
  <c r="CF76" i="5"/>
  <c r="CG76" i="5"/>
  <c r="CH76" i="5"/>
  <c r="CI76" i="5"/>
  <c r="CJ76" i="5"/>
  <c r="CK76" i="5"/>
  <c r="CL76" i="5"/>
  <c r="CM76" i="5"/>
  <c r="CN76" i="5"/>
  <c r="CO76" i="5"/>
  <c r="CP76" i="5"/>
  <c r="CQ76" i="5"/>
  <c r="CR76" i="5"/>
  <c r="CS76" i="5"/>
  <c r="CT76" i="5"/>
  <c r="CU76" i="5"/>
  <c r="CV76" i="5"/>
  <c r="CW76" i="5"/>
  <c r="CX76" i="5"/>
  <c r="CY76" i="5"/>
  <c r="CZ76" i="5"/>
  <c r="DA76" i="5"/>
  <c r="DB76" i="5"/>
  <c r="DC76" i="5"/>
  <c r="DD76" i="5"/>
  <c r="DE76" i="5"/>
  <c r="DF76" i="5"/>
  <c r="DG76" i="5"/>
  <c r="DH76" i="5"/>
  <c r="DI76" i="5"/>
  <c r="DJ76" i="5"/>
  <c r="DK76" i="5"/>
  <c r="DL76" i="5"/>
  <c r="DM76" i="5"/>
  <c r="DN76" i="5"/>
  <c r="DO76" i="5"/>
  <c r="DP76" i="5"/>
  <c r="DQ76" i="5"/>
  <c r="DR76" i="5"/>
  <c r="DS76" i="5"/>
  <c r="DT76" i="5"/>
  <c r="DU76" i="5"/>
  <c r="DV76" i="5"/>
  <c r="DW76" i="5"/>
  <c r="DX76" i="5"/>
  <c r="DY76" i="5"/>
  <c r="DZ76" i="5"/>
  <c r="EA76" i="5"/>
  <c r="EB76" i="5"/>
  <c r="EC76" i="5"/>
  <c r="ED76" i="5"/>
  <c r="EE76" i="5"/>
  <c r="EF76" i="5"/>
  <c r="EG76" i="5"/>
  <c r="EH76" i="5"/>
  <c r="EI76" i="5"/>
  <c r="EJ76" i="5"/>
  <c r="EK76" i="5"/>
  <c r="EL76" i="5"/>
  <c r="EM76" i="5"/>
  <c r="EN76" i="5"/>
  <c r="EO76" i="5"/>
  <c r="EP76" i="5"/>
  <c r="EQ76" i="5"/>
  <c r="ER76" i="5"/>
  <c r="ES76" i="5"/>
  <c r="ET76" i="5"/>
  <c r="EU76" i="5"/>
  <c r="EV76" i="5"/>
  <c r="EW76" i="5"/>
  <c r="EX76" i="5"/>
  <c r="EY76" i="5"/>
  <c r="EZ76" i="5"/>
  <c r="FA76" i="5"/>
  <c r="FB76" i="5"/>
  <c r="FC76" i="5"/>
  <c r="FD76" i="5"/>
  <c r="FE76" i="5"/>
  <c r="FF76" i="5"/>
  <c r="FG76" i="5"/>
  <c r="FH76" i="5"/>
  <c r="FI76" i="5"/>
  <c r="FJ76" i="5"/>
  <c r="FK76" i="5"/>
  <c r="FL76" i="5"/>
  <c r="FM76" i="5"/>
  <c r="FN76" i="5"/>
  <c r="FO76" i="5"/>
  <c r="FP76" i="5"/>
  <c r="FQ76" i="5"/>
  <c r="FR76" i="5"/>
  <c r="FS76" i="5"/>
  <c r="FT76" i="5"/>
  <c r="FU76" i="5"/>
  <c r="FV76" i="5"/>
  <c r="FW76" i="5"/>
  <c r="FX76" i="5"/>
  <c r="FY76" i="5"/>
  <c r="FZ76" i="5"/>
  <c r="GA76" i="5"/>
  <c r="GB76" i="5"/>
  <c r="GC76" i="5"/>
  <c r="GD76" i="5"/>
  <c r="GE76" i="5"/>
  <c r="GF76" i="5"/>
  <c r="GG76" i="5"/>
  <c r="GH76" i="5"/>
  <c r="GI76" i="5"/>
  <c r="GJ76" i="5"/>
  <c r="GK76" i="5"/>
  <c r="GL76" i="5"/>
  <c r="GM76" i="5"/>
  <c r="GN76" i="5"/>
  <c r="GO76" i="5"/>
  <c r="GP76" i="5"/>
  <c r="GQ76" i="5"/>
  <c r="GR76" i="5"/>
  <c r="GS76" i="5"/>
  <c r="GT76" i="5"/>
  <c r="GU76" i="5"/>
  <c r="GV76" i="5"/>
  <c r="GW76" i="5"/>
  <c r="GX76" i="5"/>
  <c r="GY76" i="5"/>
  <c r="GZ76" i="5"/>
  <c r="HA76" i="5"/>
  <c r="HB76" i="5"/>
  <c r="HC76" i="5"/>
  <c r="HD76" i="5"/>
  <c r="HE76" i="5"/>
  <c r="HF76" i="5"/>
  <c r="HG76" i="5"/>
  <c r="A77" i="5"/>
  <c r="B77" i="5"/>
  <c r="C77" i="5"/>
  <c r="D77" i="5"/>
  <c r="E77" i="5"/>
  <c r="F77" i="5"/>
  <c r="G77" i="5"/>
  <c r="H77" i="5"/>
  <c r="I77" i="5"/>
  <c r="J77" i="5"/>
  <c r="K77" i="5"/>
  <c r="L77" i="5"/>
  <c r="M77" i="5"/>
  <c r="N77" i="5"/>
  <c r="O77" i="5"/>
  <c r="P77" i="5"/>
  <c r="Q77" i="5"/>
  <c r="R77" i="5"/>
  <c r="S77" i="5"/>
  <c r="T77" i="5"/>
  <c r="U77" i="5"/>
  <c r="V77" i="5"/>
  <c r="W77" i="5"/>
  <c r="X77" i="5"/>
  <c r="Y77" i="5"/>
  <c r="Z77" i="5"/>
  <c r="AA77" i="5"/>
  <c r="AB77" i="5"/>
  <c r="AC77" i="5"/>
  <c r="AD77" i="5"/>
  <c r="AE77" i="5"/>
  <c r="AF77" i="5"/>
  <c r="AG77" i="5"/>
  <c r="AH77" i="5"/>
  <c r="AI77" i="5"/>
  <c r="AJ77" i="5"/>
  <c r="AK77" i="5"/>
  <c r="AL77" i="5"/>
  <c r="AM77" i="5"/>
  <c r="AN77" i="5"/>
  <c r="AO77" i="5"/>
  <c r="AP77" i="5"/>
  <c r="AQ77" i="5"/>
  <c r="AR77" i="5"/>
  <c r="AS77" i="5"/>
  <c r="AT77" i="5"/>
  <c r="AU77" i="5"/>
  <c r="AV77" i="5"/>
  <c r="AW77" i="5"/>
  <c r="AX77" i="5"/>
  <c r="AY77" i="5"/>
  <c r="AZ77" i="5"/>
  <c r="BA77" i="5"/>
  <c r="BB77" i="5"/>
  <c r="BC77" i="5"/>
  <c r="BD77" i="5"/>
  <c r="BE77" i="5"/>
  <c r="BF77" i="5"/>
  <c r="BG77" i="5"/>
  <c r="BH77" i="5"/>
  <c r="BI77" i="5"/>
  <c r="BJ77" i="5"/>
  <c r="BK77" i="5"/>
  <c r="BL77" i="5"/>
  <c r="BM77" i="5"/>
  <c r="BN77" i="5"/>
  <c r="BO77" i="5"/>
  <c r="BP77" i="5"/>
  <c r="BQ77" i="5"/>
  <c r="BR77" i="5"/>
  <c r="BS77" i="5"/>
  <c r="BT77" i="5"/>
  <c r="BU77" i="5"/>
  <c r="BV77" i="5"/>
  <c r="BW77" i="5"/>
  <c r="BX77" i="5"/>
  <c r="BY77" i="5"/>
  <c r="BZ77" i="5"/>
  <c r="CA77" i="5"/>
  <c r="CB77" i="5"/>
  <c r="CC77" i="5"/>
  <c r="CD77" i="5"/>
  <c r="CE77" i="5"/>
  <c r="CF77" i="5"/>
  <c r="CG77" i="5"/>
  <c r="CH77" i="5"/>
  <c r="CI77" i="5"/>
  <c r="CJ77" i="5"/>
  <c r="CK77" i="5"/>
  <c r="CL77" i="5"/>
  <c r="CM77" i="5"/>
  <c r="CN77" i="5"/>
  <c r="CO77" i="5"/>
  <c r="CP77" i="5"/>
  <c r="CQ77" i="5"/>
  <c r="CR77" i="5"/>
  <c r="CS77" i="5"/>
  <c r="CT77" i="5"/>
  <c r="CU77" i="5"/>
  <c r="CV77" i="5"/>
  <c r="CW77" i="5"/>
  <c r="CX77" i="5"/>
  <c r="CY77" i="5"/>
  <c r="CZ77" i="5"/>
  <c r="DA77" i="5"/>
  <c r="DB77" i="5"/>
  <c r="DC77" i="5"/>
  <c r="DD77" i="5"/>
  <c r="DE77" i="5"/>
  <c r="DF77" i="5"/>
  <c r="DG77" i="5"/>
  <c r="DH77" i="5"/>
  <c r="DI77" i="5"/>
  <c r="DJ77" i="5"/>
  <c r="DK77" i="5"/>
  <c r="DL77" i="5"/>
  <c r="DM77" i="5"/>
  <c r="DN77" i="5"/>
  <c r="DO77" i="5"/>
  <c r="DP77" i="5"/>
  <c r="DQ77" i="5"/>
  <c r="DR77" i="5"/>
  <c r="DS77" i="5"/>
  <c r="DT77" i="5"/>
  <c r="DU77" i="5"/>
  <c r="DV77" i="5"/>
  <c r="DW77" i="5"/>
  <c r="DX77" i="5"/>
  <c r="DY77" i="5"/>
  <c r="DZ77" i="5"/>
  <c r="EA77" i="5"/>
  <c r="EB77" i="5"/>
  <c r="EC77" i="5"/>
  <c r="ED77" i="5"/>
  <c r="EE77" i="5"/>
  <c r="EF77" i="5"/>
  <c r="EG77" i="5"/>
  <c r="EH77" i="5"/>
  <c r="EI77" i="5"/>
  <c r="EJ77" i="5"/>
  <c r="EK77" i="5"/>
  <c r="EL77" i="5"/>
  <c r="EM77" i="5"/>
  <c r="EN77" i="5"/>
  <c r="EO77" i="5"/>
  <c r="EP77" i="5"/>
  <c r="EQ77" i="5"/>
  <c r="ER77" i="5"/>
  <c r="ES77" i="5"/>
  <c r="ET77" i="5"/>
  <c r="EU77" i="5"/>
  <c r="EV77" i="5"/>
  <c r="EW77" i="5"/>
  <c r="EX77" i="5"/>
  <c r="EY77" i="5"/>
  <c r="EZ77" i="5"/>
  <c r="FA77" i="5"/>
  <c r="FB77" i="5"/>
  <c r="FC77" i="5"/>
  <c r="FD77" i="5"/>
  <c r="FE77" i="5"/>
  <c r="FF77" i="5"/>
  <c r="FG77" i="5"/>
  <c r="FH77" i="5"/>
  <c r="FI77" i="5"/>
  <c r="FJ77" i="5"/>
  <c r="FK77" i="5"/>
  <c r="FL77" i="5"/>
  <c r="FM77" i="5"/>
  <c r="FN77" i="5"/>
  <c r="FO77" i="5"/>
  <c r="FP77" i="5"/>
  <c r="FQ77" i="5"/>
  <c r="FR77" i="5"/>
  <c r="FS77" i="5"/>
  <c r="FT77" i="5"/>
  <c r="FU77" i="5"/>
  <c r="FV77" i="5"/>
  <c r="FW77" i="5"/>
  <c r="FX77" i="5"/>
  <c r="FY77" i="5"/>
  <c r="FZ77" i="5"/>
  <c r="GA77" i="5"/>
  <c r="GB77" i="5"/>
  <c r="GC77" i="5"/>
  <c r="GD77" i="5"/>
  <c r="GE77" i="5"/>
  <c r="GF77" i="5"/>
  <c r="GG77" i="5"/>
  <c r="GH77" i="5"/>
  <c r="GI77" i="5"/>
  <c r="GJ77" i="5"/>
  <c r="GK77" i="5"/>
  <c r="GL77" i="5"/>
  <c r="GM77" i="5"/>
  <c r="GN77" i="5"/>
  <c r="GO77" i="5"/>
  <c r="GP77" i="5"/>
  <c r="GQ77" i="5"/>
  <c r="GR77" i="5"/>
  <c r="GS77" i="5"/>
  <c r="GT77" i="5"/>
  <c r="GU77" i="5"/>
  <c r="GV77" i="5"/>
  <c r="GW77" i="5"/>
  <c r="GX77" i="5"/>
  <c r="GY77" i="5"/>
  <c r="GZ77" i="5"/>
  <c r="HA77" i="5"/>
  <c r="HB77" i="5"/>
  <c r="HC77" i="5"/>
  <c r="HD77" i="5"/>
  <c r="HE77" i="5"/>
  <c r="HF77" i="5"/>
  <c r="HG77" i="5"/>
  <c r="A78" i="5"/>
  <c r="B78" i="5"/>
  <c r="C78" i="5"/>
  <c r="D78" i="5"/>
  <c r="E78" i="5"/>
  <c r="F78" i="5"/>
  <c r="G78" i="5"/>
  <c r="H78" i="5"/>
  <c r="I78" i="5"/>
  <c r="J78" i="5"/>
  <c r="K78" i="5"/>
  <c r="L78" i="5"/>
  <c r="M78" i="5"/>
  <c r="N78" i="5"/>
  <c r="O78" i="5"/>
  <c r="P78" i="5"/>
  <c r="Q78" i="5"/>
  <c r="R78" i="5"/>
  <c r="S78" i="5"/>
  <c r="T78" i="5"/>
  <c r="U78" i="5"/>
  <c r="V78" i="5"/>
  <c r="W78" i="5"/>
  <c r="X78" i="5"/>
  <c r="Y78" i="5"/>
  <c r="Z78" i="5"/>
  <c r="AA78" i="5"/>
  <c r="AB78" i="5"/>
  <c r="AC78" i="5"/>
  <c r="AD78" i="5"/>
  <c r="AE78" i="5"/>
  <c r="AF78" i="5"/>
  <c r="AG78" i="5"/>
  <c r="AH78" i="5"/>
  <c r="AI78" i="5"/>
  <c r="AJ78" i="5"/>
  <c r="AK78" i="5"/>
  <c r="AL78" i="5"/>
  <c r="AM78" i="5"/>
  <c r="AN78" i="5"/>
  <c r="AO78" i="5"/>
  <c r="AP78" i="5"/>
  <c r="AQ78" i="5"/>
  <c r="AR78" i="5"/>
  <c r="AS78" i="5"/>
  <c r="AT78" i="5"/>
  <c r="AU78" i="5"/>
  <c r="AV78" i="5"/>
  <c r="AW78" i="5"/>
  <c r="AX78" i="5"/>
  <c r="AY78" i="5"/>
  <c r="AZ78" i="5"/>
  <c r="BA78" i="5"/>
  <c r="BB78" i="5"/>
  <c r="BC78" i="5"/>
  <c r="BD78" i="5"/>
  <c r="BE78" i="5"/>
  <c r="BF78" i="5"/>
  <c r="BG78" i="5"/>
  <c r="BH78" i="5"/>
  <c r="BI78" i="5"/>
  <c r="BJ78" i="5"/>
  <c r="BK78" i="5"/>
  <c r="BL78" i="5"/>
  <c r="BM78" i="5"/>
  <c r="BN78" i="5"/>
  <c r="BO78" i="5"/>
  <c r="BP78" i="5"/>
  <c r="BQ78" i="5"/>
  <c r="BR78" i="5"/>
  <c r="BS78" i="5"/>
  <c r="BT78" i="5"/>
  <c r="BU78" i="5"/>
  <c r="BV78" i="5"/>
  <c r="BW78" i="5"/>
  <c r="BX78" i="5"/>
  <c r="BY78" i="5"/>
  <c r="BZ78" i="5"/>
  <c r="CA78" i="5"/>
  <c r="CB78" i="5"/>
  <c r="CC78" i="5"/>
  <c r="CD78" i="5"/>
  <c r="CE78" i="5"/>
  <c r="CF78" i="5"/>
  <c r="CG78" i="5"/>
  <c r="CH78" i="5"/>
  <c r="CI78" i="5"/>
  <c r="CJ78" i="5"/>
  <c r="CK78" i="5"/>
  <c r="CL78" i="5"/>
  <c r="CM78" i="5"/>
  <c r="CN78" i="5"/>
  <c r="CO78" i="5"/>
  <c r="CP78" i="5"/>
  <c r="CQ78" i="5"/>
  <c r="CR78" i="5"/>
  <c r="CS78" i="5"/>
  <c r="CT78" i="5"/>
  <c r="CU78" i="5"/>
  <c r="CV78" i="5"/>
  <c r="CW78" i="5"/>
  <c r="CX78" i="5"/>
  <c r="CY78" i="5"/>
  <c r="CZ78" i="5"/>
  <c r="DA78" i="5"/>
  <c r="DB78" i="5"/>
  <c r="DC78" i="5"/>
  <c r="DD78" i="5"/>
  <c r="DE78" i="5"/>
  <c r="DF78" i="5"/>
  <c r="DG78" i="5"/>
  <c r="DH78" i="5"/>
  <c r="DI78" i="5"/>
  <c r="DJ78" i="5"/>
  <c r="DK78" i="5"/>
  <c r="DL78" i="5"/>
  <c r="DM78" i="5"/>
  <c r="DN78" i="5"/>
  <c r="DO78" i="5"/>
  <c r="DP78" i="5"/>
  <c r="DQ78" i="5"/>
  <c r="DR78" i="5"/>
  <c r="DS78" i="5"/>
  <c r="DT78" i="5"/>
  <c r="DU78" i="5"/>
  <c r="DV78" i="5"/>
  <c r="DW78" i="5"/>
  <c r="DX78" i="5"/>
  <c r="DY78" i="5"/>
  <c r="DZ78" i="5"/>
  <c r="EA78" i="5"/>
  <c r="EB78" i="5"/>
  <c r="EC78" i="5"/>
  <c r="ED78" i="5"/>
  <c r="EE78" i="5"/>
  <c r="EF78" i="5"/>
  <c r="EG78" i="5"/>
  <c r="EH78" i="5"/>
  <c r="EI78" i="5"/>
  <c r="EJ78" i="5"/>
  <c r="EK78" i="5"/>
  <c r="EL78" i="5"/>
  <c r="EM78" i="5"/>
  <c r="EN78" i="5"/>
  <c r="EO78" i="5"/>
  <c r="EP78" i="5"/>
  <c r="EQ78" i="5"/>
  <c r="ER78" i="5"/>
  <c r="ES78" i="5"/>
  <c r="ET78" i="5"/>
  <c r="EU78" i="5"/>
  <c r="EV78" i="5"/>
  <c r="EW78" i="5"/>
  <c r="EX78" i="5"/>
  <c r="EY78" i="5"/>
  <c r="EZ78" i="5"/>
  <c r="FA78" i="5"/>
  <c r="FB78" i="5"/>
  <c r="FC78" i="5"/>
  <c r="FD78" i="5"/>
  <c r="FE78" i="5"/>
  <c r="FF78" i="5"/>
  <c r="FG78" i="5"/>
  <c r="FH78" i="5"/>
  <c r="FI78" i="5"/>
  <c r="FJ78" i="5"/>
  <c r="FK78" i="5"/>
  <c r="FL78" i="5"/>
  <c r="FM78" i="5"/>
  <c r="FN78" i="5"/>
  <c r="FO78" i="5"/>
  <c r="FP78" i="5"/>
  <c r="FQ78" i="5"/>
  <c r="FR78" i="5"/>
  <c r="FS78" i="5"/>
  <c r="FT78" i="5"/>
  <c r="FU78" i="5"/>
  <c r="FV78" i="5"/>
  <c r="FW78" i="5"/>
  <c r="FX78" i="5"/>
  <c r="FY78" i="5"/>
  <c r="FZ78" i="5"/>
  <c r="GA78" i="5"/>
  <c r="GB78" i="5"/>
  <c r="GC78" i="5"/>
  <c r="GD78" i="5"/>
  <c r="GE78" i="5"/>
  <c r="GF78" i="5"/>
  <c r="GG78" i="5"/>
  <c r="GH78" i="5"/>
  <c r="GI78" i="5"/>
  <c r="GJ78" i="5"/>
  <c r="GK78" i="5"/>
  <c r="GL78" i="5"/>
  <c r="GM78" i="5"/>
  <c r="GN78" i="5"/>
  <c r="GO78" i="5"/>
  <c r="GP78" i="5"/>
  <c r="GQ78" i="5"/>
  <c r="GR78" i="5"/>
  <c r="GS78" i="5"/>
  <c r="GT78" i="5"/>
  <c r="GU78" i="5"/>
  <c r="GV78" i="5"/>
  <c r="GW78" i="5"/>
  <c r="GX78" i="5"/>
  <c r="GY78" i="5"/>
  <c r="GZ78" i="5"/>
  <c r="HA78" i="5"/>
  <c r="HB78" i="5"/>
  <c r="HC78" i="5"/>
  <c r="HD78" i="5"/>
  <c r="HE78" i="5"/>
  <c r="HF78" i="5"/>
  <c r="HG78" i="5"/>
  <c r="A79" i="5"/>
  <c r="B79" i="5"/>
  <c r="C79" i="5"/>
  <c r="D79" i="5"/>
  <c r="E79" i="5"/>
  <c r="F79" i="5"/>
  <c r="G79" i="5"/>
  <c r="H79" i="5"/>
  <c r="I79" i="5"/>
  <c r="J79" i="5"/>
  <c r="K79" i="5"/>
  <c r="L79" i="5"/>
  <c r="M79" i="5"/>
  <c r="N79" i="5"/>
  <c r="O79" i="5"/>
  <c r="P79" i="5"/>
  <c r="Q79" i="5"/>
  <c r="R79" i="5"/>
  <c r="S79" i="5"/>
  <c r="T79" i="5"/>
  <c r="U79" i="5"/>
  <c r="V79" i="5"/>
  <c r="W79" i="5"/>
  <c r="X79" i="5"/>
  <c r="Y79" i="5"/>
  <c r="Z79" i="5"/>
  <c r="AA79" i="5"/>
  <c r="AB79" i="5"/>
  <c r="AC79" i="5"/>
  <c r="AD79" i="5"/>
  <c r="AE79" i="5"/>
  <c r="AF79" i="5"/>
  <c r="AG79" i="5"/>
  <c r="AH79" i="5"/>
  <c r="AI79" i="5"/>
  <c r="AJ79" i="5"/>
  <c r="AK79" i="5"/>
  <c r="AL79" i="5"/>
  <c r="AM79" i="5"/>
  <c r="AN79" i="5"/>
  <c r="AO79" i="5"/>
  <c r="AP79" i="5"/>
  <c r="AQ79" i="5"/>
  <c r="AR79" i="5"/>
  <c r="AS79" i="5"/>
  <c r="AT79" i="5"/>
  <c r="AU79" i="5"/>
  <c r="AV79" i="5"/>
  <c r="AW79" i="5"/>
  <c r="AX79" i="5"/>
  <c r="AY79" i="5"/>
  <c r="AZ79" i="5"/>
  <c r="BA79" i="5"/>
  <c r="BB79" i="5"/>
  <c r="BC79" i="5"/>
  <c r="BD79" i="5"/>
  <c r="BE79" i="5"/>
  <c r="BF79" i="5"/>
  <c r="BG79" i="5"/>
  <c r="BH79" i="5"/>
  <c r="BI79" i="5"/>
  <c r="BJ79" i="5"/>
  <c r="BK79" i="5"/>
  <c r="BL79" i="5"/>
  <c r="BM79" i="5"/>
  <c r="BN79" i="5"/>
  <c r="BO79" i="5"/>
  <c r="BP79" i="5"/>
  <c r="BQ79" i="5"/>
  <c r="BR79" i="5"/>
  <c r="BS79" i="5"/>
  <c r="BT79" i="5"/>
  <c r="BU79" i="5"/>
  <c r="BV79" i="5"/>
  <c r="BW79" i="5"/>
  <c r="BX79" i="5"/>
  <c r="BY79" i="5"/>
  <c r="BZ79" i="5"/>
  <c r="CA79" i="5"/>
  <c r="CB79" i="5"/>
  <c r="CC79" i="5"/>
  <c r="CD79" i="5"/>
  <c r="CE79" i="5"/>
  <c r="CF79" i="5"/>
  <c r="CG79" i="5"/>
  <c r="CH79" i="5"/>
  <c r="CI79" i="5"/>
  <c r="CJ79" i="5"/>
  <c r="CK79" i="5"/>
  <c r="CL79" i="5"/>
  <c r="CM79" i="5"/>
  <c r="CN79" i="5"/>
  <c r="CO79" i="5"/>
  <c r="CP79" i="5"/>
  <c r="CQ79" i="5"/>
  <c r="CR79" i="5"/>
  <c r="CS79" i="5"/>
  <c r="CT79" i="5"/>
  <c r="CU79" i="5"/>
  <c r="CV79" i="5"/>
  <c r="CW79" i="5"/>
  <c r="CX79" i="5"/>
  <c r="CY79" i="5"/>
  <c r="CZ79" i="5"/>
  <c r="DA79" i="5"/>
  <c r="DB79" i="5"/>
  <c r="DC79" i="5"/>
  <c r="DD79" i="5"/>
  <c r="DE79" i="5"/>
  <c r="DF79" i="5"/>
  <c r="DG79" i="5"/>
  <c r="DH79" i="5"/>
  <c r="DI79" i="5"/>
  <c r="DJ79" i="5"/>
  <c r="DK79" i="5"/>
  <c r="DL79" i="5"/>
  <c r="DM79" i="5"/>
  <c r="DN79" i="5"/>
  <c r="DO79" i="5"/>
  <c r="DP79" i="5"/>
  <c r="DQ79" i="5"/>
  <c r="DR79" i="5"/>
  <c r="DS79" i="5"/>
  <c r="DT79" i="5"/>
  <c r="DU79" i="5"/>
  <c r="DV79" i="5"/>
  <c r="DW79" i="5"/>
  <c r="DX79" i="5"/>
  <c r="DY79" i="5"/>
  <c r="DZ79" i="5"/>
  <c r="EA79" i="5"/>
  <c r="EB79" i="5"/>
  <c r="EC79" i="5"/>
  <c r="ED79" i="5"/>
  <c r="EE79" i="5"/>
  <c r="EF79" i="5"/>
  <c r="EG79" i="5"/>
  <c r="EH79" i="5"/>
  <c r="EI79" i="5"/>
  <c r="EJ79" i="5"/>
  <c r="EK79" i="5"/>
  <c r="EL79" i="5"/>
  <c r="EM79" i="5"/>
  <c r="EN79" i="5"/>
  <c r="EO79" i="5"/>
  <c r="EP79" i="5"/>
  <c r="EQ79" i="5"/>
  <c r="ER79" i="5"/>
  <c r="ES79" i="5"/>
  <c r="ET79" i="5"/>
  <c r="EU79" i="5"/>
  <c r="EV79" i="5"/>
  <c r="EW79" i="5"/>
  <c r="EX79" i="5"/>
  <c r="EY79" i="5"/>
  <c r="EZ79" i="5"/>
  <c r="FA79" i="5"/>
  <c r="FB79" i="5"/>
  <c r="FC79" i="5"/>
  <c r="FD79" i="5"/>
  <c r="FE79" i="5"/>
  <c r="FF79" i="5"/>
  <c r="FG79" i="5"/>
  <c r="FH79" i="5"/>
  <c r="FI79" i="5"/>
  <c r="FJ79" i="5"/>
  <c r="FK79" i="5"/>
  <c r="FL79" i="5"/>
  <c r="FM79" i="5"/>
  <c r="FN79" i="5"/>
  <c r="FO79" i="5"/>
  <c r="FP79" i="5"/>
  <c r="FQ79" i="5"/>
  <c r="FR79" i="5"/>
  <c r="FS79" i="5"/>
  <c r="FT79" i="5"/>
  <c r="FU79" i="5"/>
  <c r="FV79" i="5"/>
  <c r="FW79" i="5"/>
  <c r="FX79" i="5"/>
  <c r="FY79" i="5"/>
  <c r="FZ79" i="5"/>
  <c r="GA79" i="5"/>
  <c r="GB79" i="5"/>
  <c r="GC79" i="5"/>
  <c r="GD79" i="5"/>
  <c r="GE79" i="5"/>
  <c r="GF79" i="5"/>
  <c r="GG79" i="5"/>
  <c r="GH79" i="5"/>
  <c r="GI79" i="5"/>
  <c r="GJ79" i="5"/>
  <c r="GK79" i="5"/>
  <c r="GL79" i="5"/>
  <c r="GM79" i="5"/>
  <c r="GN79" i="5"/>
  <c r="GO79" i="5"/>
  <c r="GP79" i="5"/>
  <c r="GQ79" i="5"/>
  <c r="GR79" i="5"/>
  <c r="GS79" i="5"/>
  <c r="GT79" i="5"/>
  <c r="GU79" i="5"/>
  <c r="GV79" i="5"/>
  <c r="GW79" i="5"/>
  <c r="GX79" i="5"/>
  <c r="GY79" i="5"/>
  <c r="GZ79" i="5"/>
  <c r="HA79" i="5"/>
  <c r="HB79" i="5"/>
  <c r="HC79" i="5"/>
  <c r="HD79" i="5"/>
  <c r="HE79" i="5"/>
  <c r="HF79" i="5"/>
  <c r="HG79" i="5"/>
  <c r="A80" i="5"/>
  <c r="B80" i="5"/>
  <c r="C80" i="5"/>
  <c r="D80" i="5"/>
  <c r="E80" i="5"/>
  <c r="F80" i="5"/>
  <c r="G80" i="5"/>
  <c r="H80" i="5"/>
  <c r="I80" i="5"/>
  <c r="J80" i="5"/>
  <c r="K80" i="5"/>
  <c r="L80" i="5"/>
  <c r="M80" i="5"/>
  <c r="N80" i="5"/>
  <c r="O80" i="5"/>
  <c r="P80" i="5"/>
  <c r="Q80" i="5"/>
  <c r="R80" i="5"/>
  <c r="S80" i="5"/>
  <c r="T80" i="5"/>
  <c r="U80" i="5"/>
  <c r="V80" i="5"/>
  <c r="W80" i="5"/>
  <c r="X80" i="5"/>
  <c r="Y80" i="5"/>
  <c r="Z80" i="5"/>
  <c r="AA80" i="5"/>
  <c r="AB80" i="5"/>
  <c r="AC80" i="5"/>
  <c r="AD80" i="5"/>
  <c r="AE80" i="5"/>
  <c r="AF80" i="5"/>
  <c r="AG80" i="5"/>
  <c r="AH80" i="5"/>
  <c r="AI80" i="5"/>
  <c r="AJ80" i="5"/>
  <c r="AK80" i="5"/>
  <c r="AL80" i="5"/>
  <c r="AM80" i="5"/>
  <c r="AN80" i="5"/>
  <c r="AO80" i="5"/>
  <c r="AP80" i="5"/>
  <c r="AQ80" i="5"/>
  <c r="AR80" i="5"/>
  <c r="AS80" i="5"/>
  <c r="AT80" i="5"/>
  <c r="AU80" i="5"/>
  <c r="AV80" i="5"/>
  <c r="AW80" i="5"/>
  <c r="AX80" i="5"/>
  <c r="AY80" i="5"/>
  <c r="AZ80" i="5"/>
  <c r="BA80" i="5"/>
  <c r="BB80" i="5"/>
  <c r="BC80" i="5"/>
  <c r="BD80" i="5"/>
  <c r="BE80" i="5"/>
  <c r="BF80" i="5"/>
  <c r="BG80" i="5"/>
  <c r="BH80" i="5"/>
  <c r="BI80" i="5"/>
  <c r="BJ80" i="5"/>
  <c r="BK80" i="5"/>
  <c r="BL80" i="5"/>
  <c r="BM80" i="5"/>
  <c r="BN80" i="5"/>
  <c r="BO80" i="5"/>
  <c r="BP80" i="5"/>
  <c r="BQ80" i="5"/>
  <c r="BR80" i="5"/>
  <c r="BS80" i="5"/>
  <c r="BT80" i="5"/>
  <c r="BU80" i="5"/>
  <c r="BV80" i="5"/>
  <c r="BW80" i="5"/>
  <c r="BX80" i="5"/>
  <c r="BY80" i="5"/>
  <c r="BZ80" i="5"/>
  <c r="CA80" i="5"/>
  <c r="CB80" i="5"/>
  <c r="CC80" i="5"/>
  <c r="CD80" i="5"/>
  <c r="CE80" i="5"/>
  <c r="CF80" i="5"/>
  <c r="CG80" i="5"/>
  <c r="CH80" i="5"/>
  <c r="CI80" i="5"/>
  <c r="CJ80" i="5"/>
  <c r="CK80" i="5"/>
  <c r="CL80" i="5"/>
  <c r="CM80" i="5"/>
  <c r="CN80" i="5"/>
  <c r="CO80" i="5"/>
  <c r="CP80" i="5"/>
  <c r="CQ80" i="5"/>
  <c r="CR80" i="5"/>
  <c r="CS80" i="5"/>
  <c r="CT80" i="5"/>
  <c r="CU80" i="5"/>
  <c r="CV80" i="5"/>
  <c r="CW80" i="5"/>
  <c r="CX80" i="5"/>
  <c r="CY80" i="5"/>
  <c r="CZ80" i="5"/>
  <c r="DA80" i="5"/>
  <c r="DB80" i="5"/>
  <c r="DC80" i="5"/>
  <c r="DD80" i="5"/>
  <c r="DE80" i="5"/>
  <c r="DF80" i="5"/>
  <c r="DG80" i="5"/>
  <c r="DH80" i="5"/>
  <c r="DI80" i="5"/>
  <c r="DJ80" i="5"/>
  <c r="DK80" i="5"/>
  <c r="DL80" i="5"/>
  <c r="DM80" i="5"/>
  <c r="DN80" i="5"/>
  <c r="DO80" i="5"/>
  <c r="DP80" i="5"/>
  <c r="DQ80" i="5"/>
  <c r="DR80" i="5"/>
  <c r="DS80" i="5"/>
  <c r="DT80" i="5"/>
  <c r="DU80" i="5"/>
  <c r="DV80" i="5"/>
  <c r="DW80" i="5"/>
  <c r="DX80" i="5"/>
  <c r="DY80" i="5"/>
  <c r="DZ80" i="5"/>
  <c r="EA80" i="5"/>
  <c r="EB80" i="5"/>
  <c r="EC80" i="5"/>
  <c r="ED80" i="5"/>
  <c r="EE80" i="5"/>
  <c r="EF80" i="5"/>
  <c r="EG80" i="5"/>
  <c r="EH80" i="5"/>
  <c r="EI80" i="5"/>
  <c r="EJ80" i="5"/>
  <c r="EK80" i="5"/>
  <c r="EL80" i="5"/>
  <c r="EM80" i="5"/>
  <c r="EN80" i="5"/>
  <c r="EO80" i="5"/>
  <c r="EP80" i="5"/>
  <c r="EQ80" i="5"/>
  <c r="ER80" i="5"/>
  <c r="ES80" i="5"/>
  <c r="ET80" i="5"/>
  <c r="EU80" i="5"/>
  <c r="EV80" i="5"/>
  <c r="EW80" i="5"/>
  <c r="EX80" i="5"/>
  <c r="EY80" i="5"/>
  <c r="EZ80" i="5"/>
  <c r="FA80" i="5"/>
  <c r="FB80" i="5"/>
  <c r="FC80" i="5"/>
  <c r="FD80" i="5"/>
  <c r="FE80" i="5"/>
  <c r="FF80" i="5"/>
  <c r="FG80" i="5"/>
  <c r="FH80" i="5"/>
  <c r="FI80" i="5"/>
  <c r="FJ80" i="5"/>
  <c r="FK80" i="5"/>
  <c r="FL80" i="5"/>
  <c r="FM80" i="5"/>
  <c r="FN80" i="5"/>
  <c r="FO80" i="5"/>
  <c r="FP80" i="5"/>
  <c r="FQ80" i="5"/>
  <c r="FR80" i="5"/>
  <c r="FS80" i="5"/>
  <c r="FT80" i="5"/>
  <c r="FU80" i="5"/>
  <c r="FV80" i="5"/>
  <c r="FW80" i="5"/>
  <c r="FX80" i="5"/>
  <c r="FY80" i="5"/>
  <c r="FZ80" i="5"/>
  <c r="GA80" i="5"/>
  <c r="GB80" i="5"/>
  <c r="GC80" i="5"/>
  <c r="GD80" i="5"/>
  <c r="GE80" i="5"/>
  <c r="GF80" i="5"/>
  <c r="GG80" i="5"/>
  <c r="GH80" i="5"/>
  <c r="GI80" i="5"/>
  <c r="GJ80" i="5"/>
  <c r="GK80" i="5"/>
  <c r="GL80" i="5"/>
  <c r="GM80" i="5"/>
  <c r="GN80" i="5"/>
  <c r="GO80" i="5"/>
  <c r="GP80" i="5"/>
  <c r="GQ80" i="5"/>
  <c r="GR80" i="5"/>
  <c r="GS80" i="5"/>
  <c r="GT80" i="5"/>
  <c r="GU80" i="5"/>
  <c r="GV80" i="5"/>
  <c r="GW80" i="5"/>
  <c r="GX80" i="5"/>
  <c r="GY80" i="5"/>
  <c r="GZ80" i="5"/>
  <c r="HA80" i="5"/>
  <c r="HB80" i="5"/>
  <c r="HC80" i="5"/>
  <c r="HD80" i="5"/>
  <c r="HE80" i="5"/>
  <c r="HF80" i="5"/>
  <c r="HG80" i="5"/>
  <c r="A81" i="5"/>
  <c r="B81" i="5"/>
  <c r="C81" i="5"/>
  <c r="D81" i="5"/>
  <c r="E81" i="5"/>
  <c r="F81" i="5"/>
  <c r="G81" i="5"/>
  <c r="H81" i="5"/>
  <c r="I81" i="5"/>
  <c r="J81" i="5"/>
  <c r="K81" i="5"/>
  <c r="L81" i="5"/>
  <c r="M81" i="5"/>
  <c r="N81" i="5"/>
  <c r="O81" i="5"/>
  <c r="P81" i="5"/>
  <c r="Q81" i="5"/>
  <c r="R81" i="5"/>
  <c r="S81" i="5"/>
  <c r="T81" i="5"/>
  <c r="U81" i="5"/>
  <c r="V81" i="5"/>
  <c r="W81" i="5"/>
  <c r="X81" i="5"/>
  <c r="Y81" i="5"/>
  <c r="Z81" i="5"/>
  <c r="AA81" i="5"/>
  <c r="AB81" i="5"/>
  <c r="AC81" i="5"/>
  <c r="AD81" i="5"/>
  <c r="AE81" i="5"/>
  <c r="AF81" i="5"/>
  <c r="AG81" i="5"/>
  <c r="AH81" i="5"/>
  <c r="AI81" i="5"/>
  <c r="AJ81" i="5"/>
  <c r="AK81" i="5"/>
  <c r="AL81" i="5"/>
  <c r="AM81" i="5"/>
  <c r="AN81" i="5"/>
  <c r="AO81" i="5"/>
  <c r="AP81" i="5"/>
  <c r="AQ81" i="5"/>
  <c r="AR81" i="5"/>
  <c r="AS81" i="5"/>
  <c r="AT81" i="5"/>
  <c r="AU81" i="5"/>
  <c r="AV81" i="5"/>
  <c r="AW81" i="5"/>
  <c r="AX81" i="5"/>
  <c r="AY81" i="5"/>
  <c r="AZ81" i="5"/>
  <c r="BA81" i="5"/>
  <c r="BB81" i="5"/>
  <c r="BC81" i="5"/>
  <c r="BD81" i="5"/>
  <c r="BE81" i="5"/>
  <c r="BF81" i="5"/>
  <c r="BG81" i="5"/>
  <c r="BH81" i="5"/>
  <c r="BI81" i="5"/>
  <c r="BJ81" i="5"/>
  <c r="BK81" i="5"/>
  <c r="BL81" i="5"/>
  <c r="BM81" i="5"/>
  <c r="BN81" i="5"/>
  <c r="BO81" i="5"/>
  <c r="BP81" i="5"/>
  <c r="BQ81" i="5"/>
  <c r="BR81" i="5"/>
  <c r="BS81" i="5"/>
  <c r="BT81" i="5"/>
  <c r="BU81" i="5"/>
  <c r="BV81" i="5"/>
  <c r="BW81" i="5"/>
  <c r="BX81" i="5"/>
  <c r="BY81" i="5"/>
  <c r="BZ81" i="5"/>
  <c r="CA81" i="5"/>
  <c r="CB81" i="5"/>
  <c r="CC81" i="5"/>
  <c r="CD81" i="5"/>
  <c r="CE81" i="5"/>
  <c r="CF81" i="5"/>
  <c r="CG81" i="5"/>
  <c r="CH81" i="5"/>
  <c r="CI81" i="5"/>
  <c r="CJ81" i="5"/>
  <c r="CK81" i="5"/>
  <c r="CL81" i="5"/>
  <c r="CM81" i="5"/>
  <c r="CN81" i="5"/>
  <c r="CO81" i="5"/>
  <c r="CP81" i="5"/>
  <c r="CQ81" i="5"/>
  <c r="CR81" i="5"/>
  <c r="CS81" i="5"/>
  <c r="CT81" i="5"/>
  <c r="CU81" i="5"/>
  <c r="CV81" i="5"/>
  <c r="CW81" i="5"/>
  <c r="CX81" i="5"/>
  <c r="CY81" i="5"/>
  <c r="CZ81" i="5"/>
  <c r="DA81" i="5"/>
  <c r="DB81" i="5"/>
  <c r="DC81" i="5"/>
  <c r="DD81" i="5"/>
  <c r="DE81" i="5"/>
  <c r="DF81" i="5"/>
  <c r="DG81" i="5"/>
  <c r="DH81" i="5"/>
  <c r="DI81" i="5"/>
  <c r="DJ81" i="5"/>
  <c r="DK81" i="5"/>
  <c r="DL81" i="5"/>
  <c r="DM81" i="5"/>
  <c r="DN81" i="5"/>
  <c r="DO81" i="5"/>
  <c r="DP81" i="5"/>
  <c r="DQ81" i="5"/>
  <c r="DR81" i="5"/>
  <c r="DS81" i="5"/>
  <c r="DT81" i="5"/>
  <c r="DU81" i="5"/>
  <c r="DV81" i="5"/>
  <c r="DW81" i="5"/>
  <c r="DX81" i="5"/>
  <c r="DY81" i="5"/>
  <c r="DZ81" i="5"/>
  <c r="EA81" i="5"/>
  <c r="EB81" i="5"/>
  <c r="EC81" i="5"/>
  <c r="ED81" i="5"/>
  <c r="EE81" i="5"/>
  <c r="EF81" i="5"/>
  <c r="EG81" i="5"/>
  <c r="EH81" i="5"/>
  <c r="EI81" i="5"/>
  <c r="EJ81" i="5"/>
  <c r="EK81" i="5"/>
  <c r="EL81" i="5"/>
  <c r="EM81" i="5"/>
  <c r="EN81" i="5"/>
  <c r="EO81" i="5"/>
  <c r="EP81" i="5"/>
  <c r="EQ81" i="5"/>
  <c r="ER81" i="5"/>
  <c r="ES81" i="5"/>
  <c r="ET81" i="5"/>
  <c r="EU81" i="5"/>
  <c r="EV81" i="5"/>
  <c r="EW81" i="5"/>
  <c r="EX81" i="5"/>
  <c r="EY81" i="5"/>
  <c r="EZ81" i="5"/>
  <c r="FA81" i="5"/>
  <c r="FB81" i="5"/>
  <c r="FC81" i="5"/>
  <c r="FD81" i="5"/>
  <c r="FE81" i="5"/>
  <c r="FF81" i="5"/>
  <c r="FG81" i="5"/>
  <c r="FH81" i="5"/>
  <c r="FI81" i="5"/>
  <c r="FJ81" i="5"/>
  <c r="FK81" i="5"/>
  <c r="FL81" i="5"/>
  <c r="FM81" i="5"/>
  <c r="FN81" i="5"/>
  <c r="FO81" i="5"/>
  <c r="FP81" i="5"/>
  <c r="FQ81" i="5"/>
  <c r="FR81" i="5"/>
  <c r="FS81" i="5"/>
  <c r="FT81" i="5"/>
  <c r="FU81" i="5"/>
  <c r="FV81" i="5"/>
  <c r="FW81" i="5"/>
  <c r="FX81" i="5"/>
  <c r="FY81" i="5"/>
  <c r="FZ81" i="5"/>
  <c r="GA81" i="5"/>
  <c r="GB81" i="5"/>
  <c r="GC81" i="5"/>
  <c r="GD81" i="5"/>
  <c r="GE81" i="5"/>
  <c r="GF81" i="5"/>
  <c r="GG81" i="5"/>
  <c r="GH81" i="5"/>
  <c r="GI81" i="5"/>
  <c r="GJ81" i="5"/>
  <c r="GK81" i="5"/>
  <c r="GL81" i="5"/>
  <c r="GM81" i="5"/>
  <c r="GN81" i="5"/>
  <c r="GO81" i="5"/>
  <c r="GP81" i="5"/>
  <c r="GQ81" i="5"/>
  <c r="GR81" i="5"/>
  <c r="GS81" i="5"/>
  <c r="GT81" i="5"/>
  <c r="GU81" i="5"/>
  <c r="GV81" i="5"/>
  <c r="GW81" i="5"/>
  <c r="GX81" i="5"/>
  <c r="GY81" i="5"/>
  <c r="GZ81" i="5"/>
  <c r="HA81" i="5"/>
  <c r="HB81" i="5"/>
  <c r="HC81" i="5"/>
  <c r="HD81" i="5"/>
  <c r="HE81" i="5"/>
  <c r="HF81" i="5"/>
  <c r="HG81" i="5"/>
  <c r="A82" i="5"/>
  <c r="B82" i="5"/>
  <c r="C82" i="5"/>
  <c r="D82" i="5"/>
  <c r="E82" i="5"/>
  <c r="F82" i="5"/>
  <c r="G82" i="5"/>
  <c r="H82" i="5"/>
  <c r="I82" i="5"/>
  <c r="J82" i="5"/>
  <c r="K82" i="5"/>
  <c r="L82" i="5"/>
  <c r="M82" i="5"/>
  <c r="N82" i="5"/>
  <c r="O82" i="5"/>
  <c r="P82" i="5"/>
  <c r="Q82" i="5"/>
  <c r="R82" i="5"/>
  <c r="S82" i="5"/>
  <c r="T82" i="5"/>
  <c r="U82" i="5"/>
  <c r="V82" i="5"/>
  <c r="W82" i="5"/>
  <c r="X82" i="5"/>
  <c r="Y82" i="5"/>
  <c r="Z82" i="5"/>
  <c r="AA82" i="5"/>
  <c r="AB82" i="5"/>
  <c r="AC82" i="5"/>
  <c r="AD82" i="5"/>
  <c r="AE82" i="5"/>
  <c r="AF82" i="5"/>
  <c r="AG82" i="5"/>
  <c r="AH82" i="5"/>
  <c r="AI82" i="5"/>
  <c r="AJ82" i="5"/>
  <c r="AK82" i="5"/>
  <c r="AL82" i="5"/>
  <c r="AM82" i="5"/>
  <c r="AN82" i="5"/>
  <c r="AO82" i="5"/>
  <c r="AP82" i="5"/>
  <c r="AQ82" i="5"/>
  <c r="AR82" i="5"/>
  <c r="AS82" i="5"/>
  <c r="AT82" i="5"/>
  <c r="AU82" i="5"/>
  <c r="AV82" i="5"/>
  <c r="AW82" i="5"/>
  <c r="AX82" i="5"/>
  <c r="AY82" i="5"/>
  <c r="AZ82" i="5"/>
  <c r="BA82" i="5"/>
  <c r="BB82" i="5"/>
  <c r="BC82" i="5"/>
  <c r="BD82" i="5"/>
  <c r="BE82" i="5"/>
  <c r="BF82" i="5"/>
  <c r="BG82" i="5"/>
  <c r="BH82" i="5"/>
  <c r="BI82" i="5"/>
  <c r="BJ82" i="5"/>
  <c r="BK82" i="5"/>
  <c r="BL82" i="5"/>
  <c r="BM82" i="5"/>
  <c r="BN82" i="5"/>
  <c r="BO82" i="5"/>
  <c r="BP82" i="5"/>
  <c r="BQ82" i="5"/>
  <c r="BR82" i="5"/>
  <c r="BS82" i="5"/>
  <c r="BT82" i="5"/>
  <c r="BU82" i="5"/>
  <c r="BV82" i="5"/>
  <c r="BW82" i="5"/>
  <c r="BX82" i="5"/>
  <c r="BY82" i="5"/>
  <c r="BZ82" i="5"/>
  <c r="CA82" i="5"/>
  <c r="CB82" i="5"/>
  <c r="CC82" i="5"/>
  <c r="CD82" i="5"/>
  <c r="CE82" i="5"/>
  <c r="CF82" i="5"/>
  <c r="CG82" i="5"/>
  <c r="CH82" i="5"/>
  <c r="CI82" i="5"/>
  <c r="CJ82" i="5"/>
  <c r="CK82" i="5"/>
  <c r="CL82" i="5"/>
  <c r="CM82" i="5"/>
  <c r="CN82" i="5"/>
  <c r="CO82" i="5"/>
  <c r="CP82" i="5"/>
  <c r="CQ82" i="5"/>
  <c r="CR82" i="5"/>
  <c r="CS82" i="5"/>
  <c r="CT82" i="5"/>
  <c r="CU82" i="5"/>
  <c r="CV82" i="5"/>
  <c r="CW82" i="5"/>
  <c r="CX82" i="5"/>
  <c r="CY82" i="5"/>
  <c r="CZ82" i="5"/>
  <c r="DA82" i="5"/>
  <c r="DB82" i="5"/>
  <c r="DC82" i="5"/>
  <c r="DD82" i="5"/>
  <c r="DE82" i="5"/>
  <c r="DF82" i="5"/>
  <c r="DG82" i="5"/>
  <c r="DH82" i="5"/>
  <c r="DI82" i="5"/>
  <c r="DJ82" i="5"/>
  <c r="DK82" i="5"/>
  <c r="DL82" i="5"/>
  <c r="DM82" i="5"/>
  <c r="DN82" i="5"/>
  <c r="DO82" i="5"/>
  <c r="DP82" i="5"/>
  <c r="DQ82" i="5"/>
  <c r="DR82" i="5"/>
  <c r="DS82" i="5"/>
  <c r="DT82" i="5"/>
  <c r="DU82" i="5"/>
  <c r="DV82" i="5"/>
  <c r="DW82" i="5"/>
  <c r="DX82" i="5"/>
  <c r="DY82" i="5"/>
  <c r="DZ82" i="5"/>
  <c r="EA82" i="5"/>
  <c r="EB82" i="5"/>
  <c r="EC82" i="5"/>
  <c r="ED82" i="5"/>
  <c r="EE82" i="5"/>
  <c r="EF82" i="5"/>
  <c r="EG82" i="5"/>
  <c r="EH82" i="5"/>
  <c r="EI82" i="5"/>
  <c r="EJ82" i="5"/>
  <c r="EK82" i="5"/>
  <c r="EL82" i="5"/>
  <c r="EM82" i="5"/>
  <c r="EN82" i="5"/>
  <c r="EO82" i="5"/>
  <c r="EP82" i="5"/>
  <c r="EQ82" i="5"/>
  <c r="ER82" i="5"/>
  <c r="ES82" i="5"/>
  <c r="ET82" i="5"/>
  <c r="EU82" i="5"/>
  <c r="EV82" i="5"/>
  <c r="EW82" i="5"/>
  <c r="EX82" i="5"/>
  <c r="EY82" i="5"/>
  <c r="EZ82" i="5"/>
  <c r="FA82" i="5"/>
  <c r="FB82" i="5"/>
  <c r="FC82" i="5"/>
  <c r="FD82" i="5"/>
  <c r="FE82" i="5"/>
  <c r="FF82" i="5"/>
  <c r="FG82" i="5"/>
  <c r="FH82" i="5"/>
  <c r="FI82" i="5"/>
  <c r="FJ82" i="5"/>
  <c r="FK82" i="5"/>
  <c r="FL82" i="5"/>
  <c r="FM82" i="5"/>
  <c r="FN82" i="5"/>
  <c r="FO82" i="5"/>
  <c r="FP82" i="5"/>
  <c r="FQ82" i="5"/>
  <c r="FR82" i="5"/>
  <c r="FS82" i="5"/>
  <c r="FT82" i="5"/>
  <c r="FU82" i="5"/>
  <c r="FV82" i="5"/>
  <c r="FW82" i="5"/>
  <c r="FX82" i="5"/>
  <c r="FY82" i="5"/>
  <c r="FZ82" i="5"/>
  <c r="GA82" i="5"/>
  <c r="GB82" i="5"/>
  <c r="GC82" i="5"/>
  <c r="GD82" i="5"/>
  <c r="GE82" i="5"/>
  <c r="GF82" i="5"/>
  <c r="GG82" i="5"/>
  <c r="GH82" i="5"/>
  <c r="GI82" i="5"/>
  <c r="GJ82" i="5"/>
  <c r="GK82" i="5"/>
  <c r="GL82" i="5"/>
  <c r="GM82" i="5"/>
  <c r="GN82" i="5"/>
  <c r="GO82" i="5"/>
  <c r="GP82" i="5"/>
  <c r="GQ82" i="5"/>
  <c r="GR82" i="5"/>
  <c r="GS82" i="5"/>
  <c r="GT82" i="5"/>
  <c r="GU82" i="5"/>
  <c r="GV82" i="5"/>
  <c r="GW82" i="5"/>
  <c r="GX82" i="5"/>
  <c r="GY82" i="5"/>
  <c r="GZ82" i="5"/>
  <c r="HA82" i="5"/>
  <c r="HB82" i="5"/>
  <c r="HC82" i="5"/>
  <c r="HD82" i="5"/>
  <c r="HE82" i="5"/>
  <c r="HF82" i="5"/>
  <c r="HG82" i="5"/>
  <c r="A83" i="5"/>
  <c r="B83" i="5"/>
  <c r="C83" i="5"/>
  <c r="D83" i="5"/>
  <c r="E83" i="5"/>
  <c r="F83" i="5"/>
  <c r="G83" i="5"/>
  <c r="H83" i="5"/>
  <c r="I83" i="5"/>
  <c r="J83" i="5"/>
  <c r="K83" i="5"/>
  <c r="L83" i="5"/>
  <c r="M83" i="5"/>
  <c r="N83" i="5"/>
  <c r="O83" i="5"/>
  <c r="P83" i="5"/>
  <c r="Q83" i="5"/>
  <c r="R83" i="5"/>
  <c r="S83" i="5"/>
  <c r="T83" i="5"/>
  <c r="U83" i="5"/>
  <c r="V83" i="5"/>
  <c r="W83" i="5"/>
  <c r="X83" i="5"/>
  <c r="Y83" i="5"/>
  <c r="Z83" i="5"/>
  <c r="AA83" i="5"/>
  <c r="AB83" i="5"/>
  <c r="AC83" i="5"/>
  <c r="AD83" i="5"/>
  <c r="AE83" i="5"/>
  <c r="AF83" i="5"/>
  <c r="AG83" i="5"/>
  <c r="AH83" i="5"/>
  <c r="AI83" i="5"/>
  <c r="AJ83" i="5"/>
  <c r="AK83" i="5"/>
  <c r="AL83" i="5"/>
  <c r="AM83" i="5"/>
  <c r="AN83" i="5"/>
  <c r="AO83" i="5"/>
  <c r="AP83" i="5"/>
  <c r="AQ83" i="5"/>
  <c r="AR83" i="5"/>
  <c r="AS83" i="5"/>
  <c r="AT83" i="5"/>
  <c r="AU83" i="5"/>
  <c r="AV83" i="5"/>
  <c r="AW83" i="5"/>
  <c r="AX83" i="5"/>
  <c r="AY83" i="5"/>
  <c r="AZ83" i="5"/>
  <c r="BA83" i="5"/>
  <c r="BB83" i="5"/>
  <c r="BC83" i="5"/>
  <c r="BD83" i="5"/>
  <c r="BE83" i="5"/>
  <c r="BF83" i="5"/>
  <c r="BG83" i="5"/>
  <c r="BH83" i="5"/>
  <c r="BI83" i="5"/>
  <c r="BJ83" i="5"/>
  <c r="BK83" i="5"/>
  <c r="BL83" i="5"/>
  <c r="BM83" i="5"/>
  <c r="BN83" i="5"/>
  <c r="BO83" i="5"/>
  <c r="BP83" i="5"/>
  <c r="BQ83" i="5"/>
  <c r="BR83" i="5"/>
  <c r="BS83" i="5"/>
  <c r="BT83" i="5"/>
  <c r="BU83" i="5"/>
  <c r="BV83" i="5"/>
  <c r="BW83" i="5"/>
  <c r="BX83" i="5"/>
  <c r="BY83" i="5"/>
  <c r="BZ83" i="5"/>
  <c r="CA83" i="5"/>
  <c r="CB83" i="5"/>
  <c r="CC83" i="5"/>
  <c r="CD83" i="5"/>
  <c r="CE83" i="5"/>
  <c r="CF83" i="5"/>
  <c r="CG83" i="5"/>
  <c r="CH83" i="5"/>
  <c r="CI83" i="5"/>
  <c r="CJ83" i="5"/>
  <c r="CK83" i="5"/>
  <c r="CL83" i="5"/>
  <c r="CM83" i="5"/>
  <c r="CN83" i="5"/>
  <c r="CO83" i="5"/>
  <c r="CP83" i="5"/>
  <c r="CQ83" i="5"/>
  <c r="CR83" i="5"/>
  <c r="CS83" i="5"/>
  <c r="CT83" i="5"/>
  <c r="CU83" i="5"/>
  <c r="CV83" i="5"/>
  <c r="CW83" i="5"/>
  <c r="CX83" i="5"/>
  <c r="CY83" i="5"/>
  <c r="CZ83" i="5"/>
  <c r="DA83" i="5"/>
  <c r="DB83" i="5"/>
  <c r="DC83" i="5"/>
  <c r="DD83" i="5"/>
  <c r="DE83" i="5"/>
  <c r="DF83" i="5"/>
  <c r="DG83" i="5"/>
  <c r="DH83" i="5"/>
  <c r="DI83" i="5"/>
  <c r="DJ83" i="5"/>
  <c r="DK83" i="5"/>
  <c r="DL83" i="5"/>
  <c r="DM83" i="5"/>
  <c r="DN83" i="5"/>
  <c r="DO83" i="5"/>
  <c r="DP83" i="5"/>
  <c r="DQ83" i="5"/>
  <c r="DR83" i="5"/>
  <c r="DS83" i="5"/>
  <c r="DT83" i="5"/>
  <c r="DU83" i="5"/>
  <c r="DV83" i="5"/>
  <c r="DW83" i="5"/>
  <c r="DX83" i="5"/>
  <c r="DY83" i="5"/>
  <c r="DZ83" i="5"/>
  <c r="EA83" i="5"/>
  <c r="EB83" i="5"/>
  <c r="EC83" i="5"/>
  <c r="ED83" i="5"/>
  <c r="EE83" i="5"/>
  <c r="EF83" i="5"/>
  <c r="EG83" i="5"/>
  <c r="EH83" i="5"/>
  <c r="EI83" i="5"/>
  <c r="EJ83" i="5"/>
  <c r="EK83" i="5"/>
  <c r="EL83" i="5"/>
  <c r="EM83" i="5"/>
  <c r="EN83" i="5"/>
  <c r="EO83" i="5"/>
  <c r="EP83" i="5"/>
  <c r="EQ83" i="5"/>
  <c r="ER83" i="5"/>
  <c r="ES83" i="5"/>
  <c r="ET83" i="5"/>
  <c r="EU83" i="5"/>
  <c r="EV83" i="5"/>
  <c r="EW83" i="5"/>
  <c r="EX83" i="5"/>
  <c r="EY83" i="5"/>
  <c r="EZ83" i="5"/>
  <c r="FA83" i="5"/>
  <c r="FB83" i="5"/>
  <c r="FC83" i="5"/>
  <c r="FD83" i="5"/>
  <c r="FE83" i="5"/>
  <c r="FF83" i="5"/>
  <c r="FG83" i="5"/>
  <c r="FH83" i="5"/>
  <c r="FI83" i="5"/>
  <c r="FJ83" i="5"/>
  <c r="FK83" i="5"/>
  <c r="FL83" i="5"/>
  <c r="FM83" i="5"/>
  <c r="FN83" i="5"/>
  <c r="FO83" i="5"/>
  <c r="FP83" i="5"/>
  <c r="FQ83" i="5"/>
  <c r="FR83" i="5"/>
  <c r="FS83" i="5"/>
  <c r="FT83" i="5"/>
  <c r="FU83" i="5"/>
  <c r="FV83" i="5"/>
  <c r="FW83" i="5"/>
  <c r="FX83" i="5"/>
  <c r="FY83" i="5"/>
  <c r="FZ83" i="5"/>
  <c r="GA83" i="5"/>
  <c r="GB83" i="5"/>
  <c r="GC83" i="5"/>
  <c r="GD83" i="5"/>
  <c r="GE83" i="5"/>
  <c r="GF83" i="5"/>
  <c r="GG83" i="5"/>
  <c r="GH83" i="5"/>
  <c r="GI83" i="5"/>
  <c r="GJ83" i="5"/>
  <c r="GK83" i="5"/>
  <c r="GL83" i="5"/>
  <c r="GM83" i="5"/>
  <c r="GN83" i="5"/>
  <c r="GO83" i="5"/>
  <c r="GP83" i="5"/>
  <c r="GQ83" i="5"/>
  <c r="GR83" i="5"/>
  <c r="GS83" i="5"/>
  <c r="GT83" i="5"/>
  <c r="GU83" i="5"/>
  <c r="GV83" i="5"/>
  <c r="GW83" i="5"/>
  <c r="GX83" i="5"/>
  <c r="GY83" i="5"/>
  <c r="GZ83" i="5"/>
  <c r="HA83" i="5"/>
  <c r="HB83" i="5"/>
  <c r="HC83" i="5"/>
  <c r="HD83" i="5"/>
  <c r="HE83" i="5"/>
  <c r="HF83" i="5"/>
  <c r="HG83" i="5"/>
  <c r="A84" i="5"/>
  <c r="B84" i="5"/>
  <c r="C84" i="5"/>
  <c r="D84" i="5"/>
  <c r="E84" i="5"/>
  <c r="F84" i="5"/>
  <c r="G84" i="5"/>
  <c r="H84" i="5"/>
  <c r="I84" i="5"/>
  <c r="J84" i="5"/>
  <c r="K84" i="5"/>
  <c r="L84" i="5"/>
  <c r="M84" i="5"/>
  <c r="N84" i="5"/>
  <c r="O84" i="5"/>
  <c r="P84" i="5"/>
  <c r="Q84" i="5"/>
  <c r="R84" i="5"/>
  <c r="S84" i="5"/>
  <c r="T84" i="5"/>
  <c r="U84" i="5"/>
  <c r="V84" i="5"/>
  <c r="W84" i="5"/>
  <c r="X84" i="5"/>
  <c r="Y84" i="5"/>
  <c r="Z84" i="5"/>
  <c r="AA84" i="5"/>
  <c r="AB84" i="5"/>
  <c r="AC84" i="5"/>
  <c r="AD84" i="5"/>
  <c r="AE84" i="5"/>
  <c r="AF84" i="5"/>
  <c r="AG84" i="5"/>
  <c r="AH84" i="5"/>
  <c r="AI84" i="5"/>
  <c r="AJ84" i="5"/>
  <c r="AK84" i="5"/>
  <c r="AL84" i="5"/>
  <c r="AM84" i="5"/>
  <c r="AN84" i="5"/>
  <c r="AO84" i="5"/>
  <c r="AP84" i="5"/>
  <c r="AQ84" i="5"/>
  <c r="AR84" i="5"/>
  <c r="AS84" i="5"/>
  <c r="AT84" i="5"/>
  <c r="AU84" i="5"/>
  <c r="AV84" i="5"/>
  <c r="AW84" i="5"/>
  <c r="AX84" i="5"/>
  <c r="AY84" i="5"/>
  <c r="AZ84" i="5"/>
  <c r="BA84" i="5"/>
  <c r="BB84" i="5"/>
  <c r="BC84" i="5"/>
  <c r="BD84" i="5"/>
  <c r="BE84" i="5"/>
  <c r="BF84" i="5"/>
  <c r="BG84" i="5"/>
  <c r="BH84" i="5"/>
  <c r="BI84" i="5"/>
  <c r="BJ84" i="5"/>
  <c r="BK84" i="5"/>
  <c r="BL84" i="5"/>
  <c r="BM84" i="5"/>
  <c r="BN84" i="5"/>
  <c r="BO84" i="5"/>
  <c r="BP84" i="5"/>
  <c r="BQ84" i="5"/>
  <c r="BR84" i="5"/>
  <c r="BS84" i="5"/>
  <c r="BT84" i="5"/>
  <c r="BU84" i="5"/>
  <c r="BV84" i="5"/>
  <c r="BW84" i="5"/>
  <c r="BX84" i="5"/>
  <c r="BY84" i="5"/>
  <c r="BZ84" i="5"/>
  <c r="CA84" i="5"/>
  <c r="CB84" i="5"/>
  <c r="CC84" i="5"/>
  <c r="CD84" i="5"/>
  <c r="CE84" i="5"/>
  <c r="CF84" i="5"/>
  <c r="CG84" i="5"/>
  <c r="CH84" i="5"/>
  <c r="CI84" i="5"/>
  <c r="CJ84" i="5"/>
  <c r="CK84" i="5"/>
  <c r="CL84" i="5"/>
  <c r="CM84" i="5"/>
  <c r="CN84" i="5"/>
  <c r="CO84" i="5"/>
  <c r="CP84" i="5"/>
  <c r="CQ84" i="5"/>
  <c r="CR84" i="5"/>
  <c r="CS84" i="5"/>
  <c r="CT84" i="5"/>
  <c r="CU84" i="5"/>
  <c r="CV84" i="5"/>
  <c r="CW84" i="5"/>
  <c r="CX84" i="5"/>
  <c r="CY84" i="5"/>
  <c r="CZ84" i="5"/>
  <c r="DA84" i="5"/>
  <c r="DB84" i="5"/>
  <c r="DC84" i="5"/>
  <c r="DD84" i="5"/>
  <c r="DE84" i="5"/>
  <c r="DF84" i="5"/>
  <c r="DG84" i="5"/>
  <c r="DH84" i="5"/>
  <c r="DI84" i="5"/>
  <c r="DJ84" i="5"/>
  <c r="DK84" i="5"/>
  <c r="DL84" i="5"/>
  <c r="DM84" i="5"/>
  <c r="DN84" i="5"/>
  <c r="DO84" i="5"/>
  <c r="DP84" i="5"/>
  <c r="DQ84" i="5"/>
  <c r="DR84" i="5"/>
  <c r="DS84" i="5"/>
  <c r="DT84" i="5"/>
  <c r="DU84" i="5"/>
  <c r="DV84" i="5"/>
  <c r="DW84" i="5"/>
  <c r="DX84" i="5"/>
  <c r="DY84" i="5"/>
  <c r="DZ84" i="5"/>
  <c r="EA84" i="5"/>
  <c r="EB84" i="5"/>
  <c r="EC84" i="5"/>
  <c r="ED84" i="5"/>
  <c r="EE84" i="5"/>
  <c r="EF84" i="5"/>
  <c r="EG84" i="5"/>
  <c r="EH84" i="5"/>
  <c r="EI84" i="5"/>
  <c r="EJ84" i="5"/>
  <c r="EK84" i="5"/>
  <c r="EL84" i="5"/>
  <c r="EM84" i="5"/>
  <c r="EN84" i="5"/>
  <c r="EO84" i="5"/>
  <c r="EP84" i="5"/>
  <c r="EQ84" i="5"/>
  <c r="ER84" i="5"/>
  <c r="ES84" i="5"/>
  <c r="ET84" i="5"/>
  <c r="EU84" i="5"/>
  <c r="EV84" i="5"/>
  <c r="EW84" i="5"/>
  <c r="EX84" i="5"/>
  <c r="EY84" i="5"/>
  <c r="EZ84" i="5"/>
  <c r="FA84" i="5"/>
  <c r="FB84" i="5"/>
  <c r="FC84" i="5"/>
  <c r="FD84" i="5"/>
  <c r="FE84" i="5"/>
  <c r="FF84" i="5"/>
  <c r="FG84" i="5"/>
  <c r="FH84" i="5"/>
  <c r="FI84" i="5"/>
  <c r="FJ84" i="5"/>
  <c r="FK84" i="5"/>
  <c r="FL84" i="5"/>
  <c r="FM84" i="5"/>
  <c r="FN84" i="5"/>
  <c r="FO84" i="5"/>
  <c r="FP84" i="5"/>
  <c r="FQ84" i="5"/>
  <c r="FR84" i="5"/>
  <c r="FS84" i="5"/>
  <c r="FT84" i="5"/>
  <c r="FU84" i="5"/>
  <c r="FV84" i="5"/>
  <c r="FW84" i="5"/>
  <c r="FX84" i="5"/>
  <c r="FY84" i="5"/>
  <c r="FZ84" i="5"/>
  <c r="GA84" i="5"/>
  <c r="GB84" i="5"/>
  <c r="GC84" i="5"/>
  <c r="GD84" i="5"/>
  <c r="GE84" i="5"/>
  <c r="GF84" i="5"/>
  <c r="GG84" i="5"/>
  <c r="GH84" i="5"/>
  <c r="GI84" i="5"/>
  <c r="GJ84" i="5"/>
  <c r="GK84" i="5"/>
  <c r="GL84" i="5"/>
  <c r="GM84" i="5"/>
  <c r="GN84" i="5"/>
  <c r="GO84" i="5"/>
  <c r="GP84" i="5"/>
  <c r="GQ84" i="5"/>
  <c r="GR84" i="5"/>
  <c r="GS84" i="5"/>
  <c r="GT84" i="5"/>
  <c r="GU84" i="5"/>
  <c r="GV84" i="5"/>
  <c r="GW84" i="5"/>
  <c r="GX84" i="5"/>
  <c r="GY84" i="5"/>
  <c r="GZ84" i="5"/>
  <c r="HA84" i="5"/>
  <c r="HB84" i="5"/>
  <c r="HC84" i="5"/>
  <c r="HD84" i="5"/>
  <c r="HE84" i="5"/>
  <c r="HF84" i="5"/>
  <c r="HG84" i="5"/>
  <c r="A85" i="5"/>
  <c r="B85" i="5"/>
  <c r="C85" i="5"/>
  <c r="D85" i="5"/>
  <c r="E85" i="5"/>
  <c r="F85" i="5"/>
  <c r="G85" i="5"/>
  <c r="H85" i="5"/>
  <c r="I85" i="5"/>
  <c r="J85" i="5"/>
  <c r="K85" i="5"/>
  <c r="L85" i="5"/>
  <c r="M85" i="5"/>
  <c r="N85" i="5"/>
  <c r="O85" i="5"/>
  <c r="P85" i="5"/>
  <c r="Q85" i="5"/>
  <c r="R85" i="5"/>
  <c r="S85" i="5"/>
  <c r="T85" i="5"/>
  <c r="U85" i="5"/>
  <c r="V85" i="5"/>
  <c r="W85" i="5"/>
  <c r="X85" i="5"/>
  <c r="Y85" i="5"/>
  <c r="Z85" i="5"/>
  <c r="AA85" i="5"/>
  <c r="AB85" i="5"/>
  <c r="AC85" i="5"/>
  <c r="AD85" i="5"/>
  <c r="AE85" i="5"/>
  <c r="AF85" i="5"/>
  <c r="AG85" i="5"/>
  <c r="AH85" i="5"/>
  <c r="AI85" i="5"/>
  <c r="AJ85" i="5"/>
  <c r="AK85" i="5"/>
  <c r="AL85" i="5"/>
  <c r="AM85" i="5"/>
  <c r="AN85" i="5"/>
  <c r="AO85" i="5"/>
  <c r="AP85" i="5"/>
  <c r="AQ85" i="5"/>
  <c r="AR85" i="5"/>
  <c r="AS85" i="5"/>
  <c r="AT85" i="5"/>
  <c r="AU85" i="5"/>
  <c r="AV85" i="5"/>
  <c r="AW85" i="5"/>
  <c r="AX85" i="5"/>
  <c r="AY85" i="5"/>
  <c r="AZ85" i="5"/>
  <c r="BA85" i="5"/>
  <c r="BB85" i="5"/>
  <c r="BC85" i="5"/>
  <c r="BD85" i="5"/>
  <c r="BE85" i="5"/>
  <c r="BF85" i="5"/>
  <c r="BG85" i="5"/>
  <c r="BH85" i="5"/>
  <c r="BI85" i="5"/>
  <c r="BJ85" i="5"/>
  <c r="BK85" i="5"/>
  <c r="BL85" i="5"/>
  <c r="BM85" i="5"/>
  <c r="BN85" i="5"/>
  <c r="BO85" i="5"/>
  <c r="BP85" i="5"/>
  <c r="BQ85" i="5"/>
  <c r="BR85" i="5"/>
  <c r="BS85" i="5"/>
  <c r="BT85" i="5"/>
  <c r="BU85" i="5"/>
  <c r="BV85" i="5"/>
  <c r="BW85" i="5"/>
  <c r="BX85" i="5"/>
  <c r="BY85" i="5"/>
  <c r="BZ85" i="5"/>
  <c r="CA85" i="5"/>
  <c r="CB85" i="5"/>
  <c r="CC85" i="5"/>
  <c r="CD85" i="5"/>
  <c r="CE85" i="5"/>
  <c r="CF85" i="5"/>
  <c r="CG85" i="5"/>
  <c r="CH85" i="5"/>
  <c r="CI85" i="5"/>
  <c r="CJ85" i="5"/>
  <c r="CK85" i="5"/>
  <c r="CL85" i="5"/>
  <c r="CM85" i="5"/>
  <c r="CN85" i="5"/>
  <c r="CO85" i="5"/>
  <c r="CP85" i="5"/>
  <c r="CQ85" i="5"/>
  <c r="CR85" i="5"/>
  <c r="CS85" i="5"/>
  <c r="CT85" i="5"/>
  <c r="CU85" i="5"/>
  <c r="CV85" i="5"/>
  <c r="CW85" i="5"/>
  <c r="CX85" i="5"/>
  <c r="CY85" i="5"/>
  <c r="CZ85" i="5"/>
  <c r="DA85" i="5"/>
  <c r="DB85" i="5"/>
  <c r="DC85" i="5"/>
  <c r="DD85" i="5"/>
  <c r="DE85" i="5"/>
  <c r="DF85" i="5"/>
  <c r="DG85" i="5"/>
  <c r="DH85" i="5"/>
  <c r="DI85" i="5"/>
  <c r="DJ85" i="5"/>
  <c r="DK85" i="5"/>
  <c r="DL85" i="5"/>
  <c r="DM85" i="5"/>
  <c r="DN85" i="5"/>
  <c r="DO85" i="5"/>
  <c r="DP85" i="5"/>
  <c r="DQ85" i="5"/>
  <c r="DR85" i="5"/>
  <c r="DS85" i="5"/>
  <c r="DT85" i="5"/>
  <c r="DU85" i="5"/>
  <c r="DV85" i="5"/>
  <c r="DW85" i="5"/>
  <c r="DX85" i="5"/>
  <c r="DY85" i="5"/>
  <c r="DZ85" i="5"/>
  <c r="EA85" i="5"/>
  <c r="EB85" i="5"/>
  <c r="EC85" i="5"/>
  <c r="ED85" i="5"/>
  <c r="EE85" i="5"/>
  <c r="EF85" i="5"/>
  <c r="EG85" i="5"/>
  <c r="EH85" i="5"/>
  <c r="EI85" i="5"/>
  <c r="EJ85" i="5"/>
  <c r="EK85" i="5"/>
  <c r="EL85" i="5"/>
  <c r="EM85" i="5"/>
  <c r="EN85" i="5"/>
  <c r="EO85" i="5"/>
  <c r="EP85" i="5"/>
  <c r="EQ85" i="5"/>
  <c r="ER85" i="5"/>
  <c r="ES85" i="5"/>
  <c r="ET85" i="5"/>
  <c r="EU85" i="5"/>
  <c r="EV85" i="5"/>
  <c r="EW85" i="5"/>
  <c r="EX85" i="5"/>
  <c r="EY85" i="5"/>
  <c r="EZ85" i="5"/>
  <c r="FA85" i="5"/>
  <c r="FB85" i="5"/>
  <c r="FC85" i="5"/>
  <c r="FD85" i="5"/>
  <c r="FE85" i="5"/>
  <c r="FF85" i="5"/>
  <c r="FG85" i="5"/>
  <c r="FH85" i="5"/>
  <c r="FI85" i="5"/>
  <c r="FJ85" i="5"/>
  <c r="FK85" i="5"/>
  <c r="FL85" i="5"/>
  <c r="FM85" i="5"/>
  <c r="FN85" i="5"/>
  <c r="FO85" i="5"/>
  <c r="FP85" i="5"/>
  <c r="FQ85" i="5"/>
  <c r="FR85" i="5"/>
  <c r="FS85" i="5"/>
  <c r="FT85" i="5"/>
  <c r="FU85" i="5"/>
  <c r="FV85" i="5"/>
  <c r="FW85" i="5"/>
  <c r="FX85" i="5"/>
  <c r="FY85" i="5"/>
  <c r="FZ85" i="5"/>
  <c r="GA85" i="5"/>
  <c r="GB85" i="5"/>
  <c r="GC85" i="5"/>
  <c r="GD85" i="5"/>
  <c r="GE85" i="5"/>
  <c r="GF85" i="5"/>
  <c r="GG85" i="5"/>
  <c r="GH85" i="5"/>
  <c r="GI85" i="5"/>
  <c r="GJ85" i="5"/>
  <c r="GK85" i="5"/>
  <c r="GL85" i="5"/>
  <c r="GM85" i="5"/>
  <c r="GN85" i="5"/>
  <c r="GO85" i="5"/>
  <c r="GP85" i="5"/>
  <c r="GQ85" i="5"/>
  <c r="GR85" i="5"/>
  <c r="GS85" i="5"/>
  <c r="GT85" i="5"/>
  <c r="GU85" i="5"/>
  <c r="GV85" i="5"/>
  <c r="GW85" i="5"/>
  <c r="GX85" i="5"/>
  <c r="GY85" i="5"/>
  <c r="GZ85" i="5"/>
  <c r="HA85" i="5"/>
  <c r="HB85" i="5"/>
  <c r="HC85" i="5"/>
  <c r="HD85" i="5"/>
  <c r="HE85" i="5"/>
  <c r="HF85" i="5"/>
  <c r="HG85" i="5"/>
  <c r="A86" i="5"/>
  <c r="B86" i="5"/>
  <c r="C86" i="5"/>
  <c r="D86" i="5"/>
  <c r="E86" i="5"/>
  <c r="F86" i="5"/>
  <c r="G86" i="5"/>
  <c r="H86" i="5"/>
  <c r="I86" i="5"/>
  <c r="J86" i="5"/>
  <c r="K86" i="5"/>
  <c r="L86" i="5"/>
  <c r="M86" i="5"/>
  <c r="N86" i="5"/>
  <c r="O86" i="5"/>
  <c r="P86" i="5"/>
  <c r="Q86" i="5"/>
  <c r="R86" i="5"/>
  <c r="S86" i="5"/>
  <c r="T86" i="5"/>
  <c r="U86" i="5"/>
  <c r="V86" i="5"/>
  <c r="W86" i="5"/>
  <c r="X86" i="5"/>
  <c r="Y86" i="5"/>
  <c r="Z86" i="5"/>
  <c r="AA86" i="5"/>
  <c r="AB86" i="5"/>
  <c r="AC86" i="5"/>
  <c r="AD86" i="5"/>
  <c r="AE86" i="5"/>
  <c r="AF86" i="5"/>
  <c r="AG86" i="5"/>
  <c r="AH86" i="5"/>
  <c r="AI86" i="5"/>
  <c r="AJ86" i="5"/>
  <c r="AK86" i="5"/>
  <c r="AL86" i="5"/>
  <c r="AM86" i="5"/>
  <c r="AN86" i="5"/>
  <c r="AO86" i="5"/>
  <c r="AP86" i="5"/>
  <c r="AQ86" i="5"/>
  <c r="AR86" i="5"/>
  <c r="AS86" i="5"/>
  <c r="AT86" i="5"/>
  <c r="AU86" i="5"/>
  <c r="AV86" i="5"/>
  <c r="AW86" i="5"/>
  <c r="AX86" i="5"/>
  <c r="AY86" i="5"/>
  <c r="AZ86" i="5"/>
  <c r="BA86" i="5"/>
  <c r="BB86" i="5"/>
  <c r="BC86" i="5"/>
  <c r="BD86" i="5"/>
  <c r="BE86" i="5"/>
  <c r="BF86" i="5"/>
  <c r="BG86" i="5"/>
  <c r="BH86" i="5"/>
  <c r="BI86" i="5"/>
  <c r="BJ86" i="5"/>
  <c r="BK86" i="5"/>
  <c r="BL86" i="5"/>
  <c r="BM86" i="5"/>
  <c r="BN86" i="5"/>
  <c r="BO86" i="5"/>
  <c r="BP86" i="5"/>
  <c r="BQ86" i="5"/>
  <c r="BR86" i="5"/>
  <c r="BS86" i="5"/>
  <c r="BT86" i="5"/>
  <c r="BU86" i="5"/>
  <c r="BV86" i="5"/>
  <c r="BW86" i="5"/>
  <c r="BX86" i="5"/>
  <c r="BY86" i="5"/>
  <c r="BZ86" i="5"/>
  <c r="CA86" i="5"/>
  <c r="CB86" i="5"/>
  <c r="CC86" i="5"/>
  <c r="CD86" i="5"/>
  <c r="CE86" i="5"/>
  <c r="CF86" i="5"/>
  <c r="CG86" i="5"/>
  <c r="CH86" i="5"/>
  <c r="CI86" i="5"/>
  <c r="CJ86" i="5"/>
  <c r="CK86" i="5"/>
  <c r="CL86" i="5"/>
  <c r="CM86" i="5"/>
  <c r="CN86" i="5"/>
  <c r="CO86" i="5"/>
  <c r="CP86" i="5"/>
  <c r="CQ86" i="5"/>
  <c r="CR86" i="5"/>
  <c r="CS86" i="5"/>
  <c r="CT86" i="5"/>
  <c r="CU86" i="5"/>
  <c r="CV86" i="5"/>
  <c r="CW86" i="5"/>
  <c r="CX86" i="5"/>
  <c r="CY86" i="5"/>
  <c r="CZ86" i="5"/>
  <c r="DA86" i="5"/>
  <c r="DB86" i="5"/>
  <c r="DC86" i="5"/>
  <c r="DD86" i="5"/>
  <c r="DE86" i="5"/>
  <c r="DF86" i="5"/>
  <c r="DG86" i="5"/>
  <c r="DH86" i="5"/>
  <c r="DI86" i="5"/>
  <c r="DJ86" i="5"/>
  <c r="DK86" i="5"/>
  <c r="DL86" i="5"/>
  <c r="DM86" i="5"/>
  <c r="DN86" i="5"/>
  <c r="DO86" i="5"/>
  <c r="DP86" i="5"/>
  <c r="DQ86" i="5"/>
  <c r="DR86" i="5"/>
  <c r="DS86" i="5"/>
  <c r="DT86" i="5"/>
  <c r="DU86" i="5"/>
  <c r="DV86" i="5"/>
  <c r="DW86" i="5"/>
  <c r="DX86" i="5"/>
  <c r="DY86" i="5"/>
  <c r="DZ86" i="5"/>
  <c r="EA86" i="5"/>
  <c r="EB86" i="5"/>
  <c r="EC86" i="5"/>
  <c r="ED86" i="5"/>
  <c r="EE86" i="5"/>
  <c r="EF86" i="5"/>
  <c r="EG86" i="5"/>
  <c r="EH86" i="5"/>
  <c r="EI86" i="5"/>
  <c r="EJ86" i="5"/>
  <c r="EK86" i="5"/>
  <c r="EL86" i="5"/>
  <c r="EM86" i="5"/>
  <c r="EN86" i="5"/>
  <c r="EO86" i="5"/>
  <c r="EP86" i="5"/>
  <c r="EQ86" i="5"/>
  <c r="ER86" i="5"/>
  <c r="ES86" i="5"/>
  <c r="ET86" i="5"/>
  <c r="EU86" i="5"/>
  <c r="EV86" i="5"/>
  <c r="EW86" i="5"/>
  <c r="EX86" i="5"/>
  <c r="EY86" i="5"/>
  <c r="EZ86" i="5"/>
  <c r="FA86" i="5"/>
  <c r="FB86" i="5"/>
  <c r="FC86" i="5"/>
  <c r="FD86" i="5"/>
  <c r="FE86" i="5"/>
  <c r="FF86" i="5"/>
  <c r="FG86" i="5"/>
  <c r="FH86" i="5"/>
  <c r="FI86" i="5"/>
  <c r="FJ86" i="5"/>
  <c r="FK86" i="5"/>
  <c r="FL86" i="5"/>
  <c r="FM86" i="5"/>
  <c r="FN86" i="5"/>
  <c r="FO86" i="5"/>
  <c r="FP86" i="5"/>
  <c r="FQ86" i="5"/>
  <c r="FR86" i="5"/>
  <c r="FS86" i="5"/>
  <c r="FT86" i="5"/>
  <c r="FU86" i="5"/>
  <c r="FV86" i="5"/>
  <c r="FW86" i="5"/>
  <c r="FX86" i="5"/>
  <c r="FY86" i="5"/>
  <c r="FZ86" i="5"/>
  <c r="GA86" i="5"/>
  <c r="GB86" i="5"/>
  <c r="GC86" i="5"/>
  <c r="GD86" i="5"/>
  <c r="GE86" i="5"/>
  <c r="GF86" i="5"/>
  <c r="GG86" i="5"/>
  <c r="GH86" i="5"/>
  <c r="GI86" i="5"/>
  <c r="GJ86" i="5"/>
  <c r="GK86" i="5"/>
  <c r="GL86" i="5"/>
  <c r="GM86" i="5"/>
  <c r="GN86" i="5"/>
  <c r="GO86" i="5"/>
  <c r="GP86" i="5"/>
  <c r="GQ86" i="5"/>
  <c r="GR86" i="5"/>
  <c r="GS86" i="5"/>
  <c r="GT86" i="5"/>
  <c r="GU86" i="5"/>
  <c r="GV86" i="5"/>
  <c r="GW86" i="5"/>
  <c r="GX86" i="5"/>
  <c r="GY86" i="5"/>
  <c r="GZ86" i="5"/>
  <c r="HA86" i="5"/>
  <c r="HB86" i="5"/>
  <c r="HC86" i="5"/>
  <c r="HD86" i="5"/>
  <c r="HE86" i="5"/>
  <c r="HF86" i="5"/>
  <c r="HG86" i="5"/>
  <c r="A87" i="5"/>
  <c r="B87" i="5"/>
  <c r="C87" i="5"/>
  <c r="D87" i="5"/>
  <c r="E87" i="5"/>
  <c r="F87" i="5"/>
  <c r="G87" i="5"/>
  <c r="H87" i="5"/>
  <c r="I87" i="5"/>
  <c r="J87" i="5"/>
  <c r="K87" i="5"/>
  <c r="L87" i="5"/>
  <c r="M87" i="5"/>
  <c r="N87" i="5"/>
  <c r="O87" i="5"/>
  <c r="P87" i="5"/>
  <c r="Q87" i="5"/>
  <c r="R87" i="5"/>
  <c r="S87" i="5"/>
  <c r="T87" i="5"/>
  <c r="U87" i="5"/>
  <c r="V87" i="5"/>
  <c r="W87" i="5"/>
  <c r="X87" i="5"/>
  <c r="Y87" i="5"/>
  <c r="Z87" i="5"/>
  <c r="AA87" i="5"/>
  <c r="AB87" i="5"/>
  <c r="AC87" i="5"/>
  <c r="AD87" i="5"/>
  <c r="AE87" i="5"/>
  <c r="AF87" i="5"/>
  <c r="AG87" i="5"/>
  <c r="AH87" i="5"/>
  <c r="AI87" i="5"/>
  <c r="AJ87" i="5"/>
  <c r="AK87" i="5"/>
  <c r="AL87" i="5"/>
  <c r="AM87" i="5"/>
  <c r="AN87" i="5"/>
  <c r="AO87" i="5"/>
  <c r="AP87" i="5"/>
  <c r="AQ87" i="5"/>
  <c r="AR87" i="5"/>
  <c r="AS87" i="5"/>
  <c r="AT87" i="5"/>
  <c r="AU87" i="5"/>
  <c r="AV87" i="5"/>
  <c r="AW87" i="5"/>
  <c r="AX87" i="5"/>
  <c r="AY87" i="5"/>
  <c r="AZ87" i="5"/>
  <c r="BA87" i="5"/>
  <c r="BB87" i="5"/>
  <c r="BC87" i="5"/>
  <c r="BD87" i="5"/>
  <c r="BE87" i="5"/>
  <c r="BF87" i="5"/>
  <c r="BG87" i="5"/>
  <c r="BH87" i="5"/>
  <c r="BI87" i="5"/>
  <c r="BJ87" i="5"/>
  <c r="BK87" i="5"/>
  <c r="BL87" i="5"/>
  <c r="BM87" i="5"/>
  <c r="BN87" i="5"/>
  <c r="BO87" i="5"/>
  <c r="BP87" i="5"/>
  <c r="BQ87" i="5"/>
  <c r="BR87" i="5"/>
  <c r="BS87" i="5"/>
  <c r="BT87" i="5"/>
  <c r="BU87" i="5"/>
  <c r="BV87" i="5"/>
  <c r="BW87" i="5"/>
  <c r="BX87" i="5"/>
  <c r="BY87" i="5"/>
  <c r="BZ87" i="5"/>
  <c r="CA87" i="5"/>
  <c r="CB87" i="5"/>
  <c r="CC87" i="5"/>
  <c r="CD87" i="5"/>
  <c r="CE87" i="5"/>
  <c r="CF87" i="5"/>
  <c r="CG87" i="5"/>
  <c r="CH87" i="5"/>
  <c r="CI87" i="5"/>
  <c r="CJ87" i="5"/>
  <c r="CK87" i="5"/>
  <c r="CL87" i="5"/>
  <c r="CM87" i="5"/>
  <c r="CN87" i="5"/>
  <c r="CO87" i="5"/>
  <c r="CP87" i="5"/>
  <c r="CQ87" i="5"/>
  <c r="CR87" i="5"/>
  <c r="CS87" i="5"/>
  <c r="CT87" i="5"/>
  <c r="CU87" i="5"/>
  <c r="CV87" i="5"/>
  <c r="CW87" i="5"/>
  <c r="CX87" i="5"/>
  <c r="CY87" i="5"/>
  <c r="CZ87" i="5"/>
  <c r="DA87" i="5"/>
  <c r="DB87" i="5"/>
  <c r="DC87" i="5"/>
  <c r="DD87" i="5"/>
  <c r="DE87" i="5"/>
  <c r="DF87" i="5"/>
  <c r="DG87" i="5"/>
  <c r="DH87" i="5"/>
  <c r="DI87" i="5"/>
  <c r="DJ87" i="5"/>
  <c r="DK87" i="5"/>
  <c r="DL87" i="5"/>
  <c r="DM87" i="5"/>
  <c r="DN87" i="5"/>
  <c r="DO87" i="5"/>
  <c r="DP87" i="5"/>
  <c r="DQ87" i="5"/>
  <c r="DR87" i="5"/>
  <c r="DS87" i="5"/>
  <c r="DT87" i="5"/>
  <c r="DU87" i="5"/>
  <c r="DV87" i="5"/>
  <c r="DW87" i="5"/>
  <c r="DX87" i="5"/>
  <c r="DY87" i="5"/>
  <c r="DZ87" i="5"/>
  <c r="EA87" i="5"/>
  <c r="EB87" i="5"/>
  <c r="EC87" i="5"/>
  <c r="ED87" i="5"/>
  <c r="EE87" i="5"/>
  <c r="EF87" i="5"/>
  <c r="EG87" i="5"/>
  <c r="EH87" i="5"/>
  <c r="EI87" i="5"/>
  <c r="EJ87" i="5"/>
  <c r="EK87" i="5"/>
  <c r="EL87" i="5"/>
  <c r="EM87" i="5"/>
  <c r="EN87" i="5"/>
  <c r="EO87" i="5"/>
  <c r="EP87" i="5"/>
  <c r="EQ87" i="5"/>
  <c r="ER87" i="5"/>
  <c r="ES87" i="5"/>
  <c r="ET87" i="5"/>
  <c r="EU87" i="5"/>
  <c r="EV87" i="5"/>
  <c r="EW87" i="5"/>
  <c r="EX87" i="5"/>
  <c r="EY87" i="5"/>
  <c r="EZ87" i="5"/>
  <c r="FA87" i="5"/>
  <c r="FB87" i="5"/>
  <c r="FC87" i="5"/>
  <c r="FD87" i="5"/>
  <c r="FE87" i="5"/>
  <c r="FF87" i="5"/>
  <c r="FG87" i="5"/>
  <c r="FH87" i="5"/>
  <c r="FI87" i="5"/>
  <c r="FJ87" i="5"/>
  <c r="FK87" i="5"/>
  <c r="FL87" i="5"/>
  <c r="FM87" i="5"/>
  <c r="FN87" i="5"/>
  <c r="FO87" i="5"/>
  <c r="FP87" i="5"/>
  <c r="FQ87" i="5"/>
  <c r="FR87" i="5"/>
  <c r="FS87" i="5"/>
  <c r="FT87" i="5"/>
  <c r="FU87" i="5"/>
  <c r="FV87" i="5"/>
  <c r="FW87" i="5"/>
  <c r="FX87" i="5"/>
  <c r="FY87" i="5"/>
  <c r="FZ87" i="5"/>
  <c r="GA87" i="5"/>
  <c r="GB87" i="5"/>
  <c r="GC87" i="5"/>
  <c r="GD87" i="5"/>
  <c r="GE87" i="5"/>
  <c r="GF87" i="5"/>
  <c r="GG87" i="5"/>
  <c r="GH87" i="5"/>
  <c r="GI87" i="5"/>
  <c r="GJ87" i="5"/>
  <c r="GK87" i="5"/>
  <c r="GL87" i="5"/>
  <c r="GM87" i="5"/>
  <c r="GN87" i="5"/>
  <c r="GO87" i="5"/>
  <c r="GP87" i="5"/>
  <c r="GQ87" i="5"/>
  <c r="GR87" i="5"/>
  <c r="GS87" i="5"/>
  <c r="GT87" i="5"/>
  <c r="GU87" i="5"/>
  <c r="GV87" i="5"/>
  <c r="GW87" i="5"/>
  <c r="GX87" i="5"/>
  <c r="GY87" i="5"/>
  <c r="GZ87" i="5"/>
  <c r="HA87" i="5"/>
  <c r="HB87" i="5"/>
  <c r="HC87" i="5"/>
  <c r="HD87" i="5"/>
  <c r="HE87" i="5"/>
  <c r="HF87" i="5"/>
  <c r="HG87" i="5"/>
  <c r="A88" i="5"/>
  <c r="B88" i="5"/>
  <c r="C88" i="5"/>
  <c r="D88" i="5"/>
  <c r="E88" i="5"/>
  <c r="F88" i="5"/>
  <c r="G88" i="5"/>
  <c r="H88" i="5"/>
  <c r="I88" i="5"/>
  <c r="J88" i="5"/>
  <c r="K88" i="5"/>
  <c r="L88" i="5"/>
  <c r="M88" i="5"/>
  <c r="N88" i="5"/>
  <c r="O88" i="5"/>
  <c r="P88" i="5"/>
  <c r="Q88" i="5"/>
  <c r="R88" i="5"/>
  <c r="S88" i="5"/>
  <c r="T88" i="5"/>
  <c r="U88" i="5"/>
  <c r="V88" i="5"/>
  <c r="W88" i="5"/>
  <c r="X88" i="5"/>
  <c r="Y88" i="5"/>
  <c r="Z88" i="5"/>
  <c r="AA88" i="5"/>
  <c r="AB88" i="5"/>
  <c r="AC88" i="5"/>
  <c r="AD88" i="5"/>
  <c r="AE88" i="5"/>
  <c r="AF88" i="5"/>
  <c r="AG88" i="5"/>
  <c r="AH88" i="5"/>
  <c r="AI88" i="5"/>
  <c r="AJ88" i="5"/>
  <c r="AK88" i="5"/>
  <c r="AL88" i="5"/>
  <c r="AM88" i="5"/>
  <c r="AN88" i="5"/>
  <c r="AO88" i="5"/>
  <c r="AP88" i="5"/>
  <c r="AQ88" i="5"/>
  <c r="AR88" i="5"/>
  <c r="AS88" i="5"/>
  <c r="AT88" i="5"/>
  <c r="AU88" i="5"/>
  <c r="AV88" i="5"/>
  <c r="AW88" i="5"/>
  <c r="AX88" i="5"/>
  <c r="AY88" i="5"/>
  <c r="AZ88" i="5"/>
  <c r="BA88" i="5"/>
  <c r="BB88" i="5"/>
  <c r="BC88" i="5"/>
  <c r="BD88" i="5"/>
  <c r="BE88" i="5"/>
  <c r="BF88" i="5"/>
  <c r="BG88" i="5"/>
  <c r="BH88" i="5"/>
  <c r="BI88" i="5"/>
  <c r="BJ88" i="5"/>
  <c r="BK88" i="5"/>
  <c r="BL88" i="5"/>
  <c r="BM88" i="5"/>
  <c r="BN88" i="5"/>
  <c r="BO88" i="5"/>
  <c r="BP88" i="5"/>
  <c r="BQ88" i="5"/>
  <c r="BR88" i="5"/>
  <c r="BS88" i="5"/>
  <c r="BT88" i="5"/>
  <c r="BU88" i="5"/>
  <c r="BV88" i="5"/>
  <c r="BW88" i="5"/>
  <c r="BX88" i="5"/>
  <c r="BY88" i="5"/>
  <c r="BZ88" i="5"/>
  <c r="CA88" i="5"/>
  <c r="CB88" i="5"/>
  <c r="CC88" i="5"/>
  <c r="CD88" i="5"/>
  <c r="CE88" i="5"/>
  <c r="CF88" i="5"/>
  <c r="CG88" i="5"/>
  <c r="CH88" i="5"/>
  <c r="CI88" i="5"/>
  <c r="CJ88" i="5"/>
  <c r="CK88" i="5"/>
  <c r="CL88" i="5"/>
  <c r="CM88" i="5"/>
  <c r="CN88" i="5"/>
  <c r="CO88" i="5"/>
  <c r="CP88" i="5"/>
  <c r="CQ88" i="5"/>
  <c r="CR88" i="5"/>
  <c r="CS88" i="5"/>
  <c r="CT88" i="5"/>
  <c r="CU88" i="5"/>
  <c r="CV88" i="5"/>
  <c r="CW88" i="5"/>
  <c r="CX88" i="5"/>
  <c r="CY88" i="5"/>
  <c r="CZ88" i="5"/>
  <c r="DA88" i="5"/>
  <c r="DB88" i="5"/>
  <c r="DC88" i="5"/>
  <c r="DD88" i="5"/>
  <c r="DE88" i="5"/>
  <c r="DF88" i="5"/>
  <c r="DG88" i="5"/>
  <c r="DH88" i="5"/>
  <c r="DI88" i="5"/>
  <c r="DJ88" i="5"/>
  <c r="DK88" i="5"/>
  <c r="DL88" i="5"/>
  <c r="DM88" i="5"/>
  <c r="DN88" i="5"/>
  <c r="DO88" i="5"/>
  <c r="DP88" i="5"/>
  <c r="DQ88" i="5"/>
  <c r="DR88" i="5"/>
  <c r="DS88" i="5"/>
  <c r="DT88" i="5"/>
  <c r="DU88" i="5"/>
  <c r="DV88" i="5"/>
  <c r="DW88" i="5"/>
  <c r="DX88" i="5"/>
  <c r="DY88" i="5"/>
  <c r="DZ88" i="5"/>
  <c r="EA88" i="5"/>
  <c r="EB88" i="5"/>
  <c r="EC88" i="5"/>
  <c r="ED88" i="5"/>
  <c r="EE88" i="5"/>
  <c r="EF88" i="5"/>
  <c r="EG88" i="5"/>
  <c r="EH88" i="5"/>
  <c r="EI88" i="5"/>
  <c r="EJ88" i="5"/>
  <c r="EK88" i="5"/>
  <c r="EL88" i="5"/>
  <c r="EM88" i="5"/>
  <c r="EN88" i="5"/>
  <c r="EO88" i="5"/>
  <c r="EP88" i="5"/>
  <c r="EQ88" i="5"/>
  <c r="ER88" i="5"/>
  <c r="ES88" i="5"/>
  <c r="ET88" i="5"/>
  <c r="EU88" i="5"/>
  <c r="EV88" i="5"/>
  <c r="EW88" i="5"/>
  <c r="EX88" i="5"/>
  <c r="EY88" i="5"/>
  <c r="EZ88" i="5"/>
  <c r="FA88" i="5"/>
  <c r="FB88" i="5"/>
  <c r="FC88" i="5"/>
  <c r="FD88" i="5"/>
  <c r="FE88" i="5"/>
  <c r="FF88" i="5"/>
  <c r="FG88" i="5"/>
  <c r="FH88" i="5"/>
  <c r="FI88" i="5"/>
  <c r="FJ88" i="5"/>
  <c r="FK88" i="5"/>
  <c r="FL88" i="5"/>
  <c r="FM88" i="5"/>
  <c r="FN88" i="5"/>
  <c r="FO88" i="5"/>
  <c r="FP88" i="5"/>
  <c r="FQ88" i="5"/>
  <c r="FR88" i="5"/>
  <c r="FS88" i="5"/>
  <c r="FT88" i="5"/>
  <c r="FU88" i="5"/>
  <c r="FV88" i="5"/>
  <c r="FW88" i="5"/>
  <c r="FX88" i="5"/>
  <c r="FY88" i="5"/>
  <c r="FZ88" i="5"/>
  <c r="GA88" i="5"/>
  <c r="GB88" i="5"/>
  <c r="GC88" i="5"/>
  <c r="GD88" i="5"/>
  <c r="GE88" i="5"/>
  <c r="GF88" i="5"/>
  <c r="GG88" i="5"/>
  <c r="GH88" i="5"/>
  <c r="GI88" i="5"/>
  <c r="GJ88" i="5"/>
  <c r="GK88" i="5"/>
  <c r="GL88" i="5"/>
  <c r="GM88" i="5"/>
  <c r="GN88" i="5"/>
  <c r="GO88" i="5"/>
  <c r="GP88" i="5"/>
  <c r="GQ88" i="5"/>
  <c r="GR88" i="5"/>
  <c r="GS88" i="5"/>
  <c r="GT88" i="5"/>
  <c r="GU88" i="5"/>
  <c r="GV88" i="5"/>
  <c r="GW88" i="5"/>
  <c r="GX88" i="5"/>
  <c r="GY88" i="5"/>
  <c r="GZ88" i="5"/>
  <c r="HA88" i="5"/>
  <c r="HB88" i="5"/>
  <c r="HC88" i="5"/>
  <c r="HD88" i="5"/>
  <c r="HE88" i="5"/>
  <c r="HF88" i="5"/>
  <c r="HG88" i="5"/>
  <c r="A89" i="5"/>
  <c r="B89" i="5"/>
  <c r="C89" i="5"/>
  <c r="D89" i="5"/>
  <c r="E89" i="5"/>
  <c r="F89" i="5"/>
  <c r="G89" i="5"/>
  <c r="H89" i="5"/>
  <c r="I89" i="5"/>
  <c r="J89" i="5"/>
  <c r="K89" i="5"/>
  <c r="L89" i="5"/>
  <c r="M89" i="5"/>
  <c r="N89" i="5"/>
  <c r="O89" i="5"/>
  <c r="P89" i="5"/>
  <c r="Q89" i="5"/>
  <c r="R89" i="5"/>
  <c r="S89" i="5"/>
  <c r="T89" i="5"/>
  <c r="U89" i="5"/>
  <c r="V89" i="5"/>
  <c r="W89" i="5"/>
  <c r="X89" i="5"/>
  <c r="Y89" i="5"/>
  <c r="Z89" i="5"/>
  <c r="AA89" i="5"/>
  <c r="AB89" i="5"/>
  <c r="AC89" i="5"/>
  <c r="AD89" i="5"/>
  <c r="AE89" i="5"/>
  <c r="AF89" i="5"/>
  <c r="AG89" i="5"/>
  <c r="AH89" i="5"/>
  <c r="AI89" i="5"/>
  <c r="AJ89" i="5"/>
  <c r="AK89" i="5"/>
  <c r="AL89" i="5"/>
  <c r="AM89" i="5"/>
  <c r="AN89" i="5"/>
  <c r="AO89" i="5"/>
  <c r="AP89" i="5"/>
  <c r="AQ89" i="5"/>
  <c r="AR89" i="5"/>
  <c r="AS89" i="5"/>
  <c r="AT89" i="5"/>
  <c r="AU89" i="5"/>
  <c r="AV89" i="5"/>
  <c r="AW89" i="5"/>
  <c r="AX89" i="5"/>
  <c r="AY89" i="5"/>
  <c r="AZ89" i="5"/>
  <c r="BA89" i="5"/>
  <c r="BB89" i="5"/>
  <c r="BC89" i="5"/>
  <c r="BD89" i="5"/>
  <c r="BE89" i="5"/>
  <c r="BF89" i="5"/>
  <c r="BG89" i="5"/>
  <c r="BH89" i="5"/>
  <c r="BI89" i="5"/>
  <c r="BJ89" i="5"/>
  <c r="BK89" i="5"/>
  <c r="BL89" i="5"/>
  <c r="BM89" i="5"/>
  <c r="BN89" i="5"/>
  <c r="BO89" i="5"/>
  <c r="BP89" i="5"/>
  <c r="BQ89" i="5"/>
  <c r="BR89" i="5"/>
  <c r="BS89" i="5"/>
  <c r="BT89" i="5"/>
  <c r="BU89" i="5"/>
  <c r="BV89" i="5"/>
  <c r="BW89" i="5"/>
  <c r="BX89" i="5"/>
  <c r="BY89" i="5"/>
  <c r="BZ89" i="5"/>
  <c r="CA89" i="5"/>
  <c r="CB89" i="5"/>
  <c r="CC89" i="5"/>
  <c r="CD89" i="5"/>
  <c r="CE89" i="5"/>
  <c r="CF89" i="5"/>
  <c r="CG89" i="5"/>
  <c r="CH89" i="5"/>
  <c r="CI89" i="5"/>
  <c r="CJ89" i="5"/>
  <c r="CK89" i="5"/>
  <c r="CL89" i="5"/>
  <c r="CM89" i="5"/>
  <c r="CN89" i="5"/>
  <c r="CO89" i="5"/>
  <c r="CP89" i="5"/>
  <c r="CQ89" i="5"/>
  <c r="CR89" i="5"/>
  <c r="CS89" i="5"/>
  <c r="CT89" i="5"/>
  <c r="CU89" i="5"/>
  <c r="CV89" i="5"/>
  <c r="CW89" i="5"/>
  <c r="CX89" i="5"/>
  <c r="CY89" i="5"/>
  <c r="CZ89" i="5"/>
  <c r="DA89" i="5"/>
  <c r="DB89" i="5"/>
  <c r="DC89" i="5"/>
  <c r="DD89" i="5"/>
  <c r="DE89" i="5"/>
  <c r="DF89" i="5"/>
  <c r="DG89" i="5"/>
  <c r="DH89" i="5"/>
  <c r="DI89" i="5"/>
  <c r="DJ89" i="5"/>
  <c r="DK89" i="5"/>
  <c r="DL89" i="5"/>
  <c r="DM89" i="5"/>
  <c r="DN89" i="5"/>
  <c r="DO89" i="5"/>
  <c r="DP89" i="5"/>
  <c r="DQ89" i="5"/>
  <c r="DR89" i="5"/>
  <c r="DS89" i="5"/>
  <c r="DT89" i="5"/>
  <c r="DU89" i="5"/>
  <c r="DV89" i="5"/>
  <c r="DW89" i="5"/>
  <c r="DX89" i="5"/>
  <c r="DY89" i="5"/>
  <c r="DZ89" i="5"/>
  <c r="EA89" i="5"/>
  <c r="EB89" i="5"/>
  <c r="EC89" i="5"/>
  <c r="ED89" i="5"/>
  <c r="EE89" i="5"/>
  <c r="EF89" i="5"/>
  <c r="EG89" i="5"/>
  <c r="EH89" i="5"/>
  <c r="EI89" i="5"/>
  <c r="EJ89" i="5"/>
  <c r="EK89" i="5"/>
  <c r="EL89" i="5"/>
  <c r="EM89" i="5"/>
  <c r="EN89" i="5"/>
  <c r="EO89" i="5"/>
  <c r="EP89" i="5"/>
  <c r="EQ89" i="5"/>
  <c r="ER89" i="5"/>
  <c r="ES89" i="5"/>
  <c r="ET89" i="5"/>
  <c r="EU89" i="5"/>
  <c r="EV89" i="5"/>
  <c r="EW89" i="5"/>
  <c r="EX89" i="5"/>
  <c r="EY89" i="5"/>
  <c r="EZ89" i="5"/>
  <c r="FA89" i="5"/>
  <c r="FB89" i="5"/>
  <c r="FC89" i="5"/>
  <c r="FD89" i="5"/>
  <c r="FE89" i="5"/>
  <c r="FF89" i="5"/>
  <c r="FG89" i="5"/>
  <c r="FH89" i="5"/>
  <c r="FI89" i="5"/>
  <c r="FJ89" i="5"/>
  <c r="FK89" i="5"/>
  <c r="FL89" i="5"/>
  <c r="FM89" i="5"/>
  <c r="FN89" i="5"/>
  <c r="FO89" i="5"/>
  <c r="FP89" i="5"/>
  <c r="FQ89" i="5"/>
  <c r="FR89" i="5"/>
  <c r="FS89" i="5"/>
  <c r="FT89" i="5"/>
  <c r="FU89" i="5"/>
  <c r="FV89" i="5"/>
  <c r="FW89" i="5"/>
  <c r="FX89" i="5"/>
  <c r="FY89" i="5"/>
  <c r="FZ89" i="5"/>
  <c r="GA89" i="5"/>
  <c r="GB89" i="5"/>
  <c r="GC89" i="5"/>
  <c r="GD89" i="5"/>
  <c r="GE89" i="5"/>
  <c r="GF89" i="5"/>
  <c r="GG89" i="5"/>
  <c r="GH89" i="5"/>
  <c r="GI89" i="5"/>
  <c r="GJ89" i="5"/>
  <c r="GK89" i="5"/>
  <c r="GL89" i="5"/>
  <c r="GM89" i="5"/>
  <c r="GN89" i="5"/>
  <c r="GO89" i="5"/>
  <c r="GP89" i="5"/>
  <c r="GQ89" i="5"/>
  <c r="GR89" i="5"/>
  <c r="GS89" i="5"/>
  <c r="GT89" i="5"/>
  <c r="GU89" i="5"/>
  <c r="GV89" i="5"/>
  <c r="GW89" i="5"/>
  <c r="GX89" i="5"/>
  <c r="GY89" i="5"/>
  <c r="GZ89" i="5"/>
  <c r="HA89" i="5"/>
  <c r="HB89" i="5"/>
  <c r="HC89" i="5"/>
  <c r="HD89" i="5"/>
  <c r="HE89" i="5"/>
  <c r="HF89" i="5"/>
  <c r="HG89" i="5"/>
  <c r="A90" i="5"/>
  <c r="B90" i="5"/>
  <c r="C90" i="5"/>
  <c r="D90" i="5"/>
  <c r="E90" i="5"/>
  <c r="F90" i="5"/>
  <c r="G90" i="5"/>
  <c r="H90" i="5"/>
  <c r="I90" i="5"/>
  <c r="J90" i="5"/>
  <c r="K90" i="5"/>
  <c r="L90" i="5"/>
  <c r="M90" i="5"/>
  <c r="N90" i="5"/>
  <c r="O90" i="5"/>
  <c r="P90" i="5"/>
  <c r="Q90" i="5"/>
  <c r="R90" i="5"/>
  <c r="S90" i="5"/>
  <c r="T90" i="5"/>
  <c r="U90" i="5"/>
  <c r="V90" i="5"/>
  <c r="W90" i="5"/>
  <c r="X90" i="5"/>
  <c r="Y90" i="5"/>
  <c r="Z90" i="5"/>
  <c r="AA90" i="5"/>
  <c r="AB90" i="5"/>
  <c r="AC90" i="5"/>
  <c r="AD90" i="5"/>
  <c r="AE90" i="5"/>
  <c r="AF90" i="5"/>
  <c r="AG90" i="5"/>
  <c r="AH90" i="5"/>
  <c r="AI90" i="5"/>
  <c r="AJ90" i="5"/>
  <c r="AK90" i="5"/>
  <c r="AL90" i="5"/>
  <c r="AM90" i="5"/>
  <c r="AN90" i="5"/>
  <c r="AO90" i="5"/>
  <c r="AP90" i="5"/>
  <c r="AQ90" i="5"/>
  <c r="AR90" i="5"/>
  <c r="AS90" i="5"/>
  <c r="AT90" i="5"/>
  <c r="AU90" i="5"/>
  <c r="AV90" i="5"/>
  <c r="AW90" i="5"/>
  <c r="AX90" i="5"/>
  <c r="AY90" i="5"/>
  <c r="AZ90" i="5"/>
  <c r="BA90" i="5"/>
  <c r="BB90" i="5"/>
  <c r="BC90" i="5"/>
  <c r="BD90" i="5"/>
  <c r="BE90" i="5"/>
  <c r="BF90" i="5"/>
  <c r="BG90" i="5"/>
  <c r="BH90" i="5"/>
  <c r="BI90" i="5"/>
  <c r="BJ90" i="5"/>
  <c r="BK90" i="5"/>
  <c r="BL90" i="5"/>
  <c r="BM90" i="5"/>
  <c r="BN90" i="5"/>
  <c r="BO90" i="5"/>
  <c r="BP90" i="5"/>
  <c r="BQ90" i="5"/>
  <c r="BR90" i="5"/>
  <c r="BS90" i="5"/>
  <c r="BT90" i="5"/>
  <c r="BU90" i="5"/>
  <c r="BV90" i="5"/>
  <c r="BW90" i="5"/>
  <c r="BX90" i="5"/>
  <c r="BY90" i="5"/>
  <c r="BZ90" i="5"/>
  <c r="CA90" i="5"/>
  <c r="CB90" i="5"/>
  <c r="CC90" i="5"/>
  <c r="CD90" i="5"/>
  <c r="CE90" i="5"/>
  <c r="CF90" i="5"/>
  <c r="CG90" i="5"/>
  <c r="CH90" i="5"/>
  <c r="CI90" i="5"/>
  <c r="CJ90" i="5"/>
  <c r="CK90" i="5"/>
  <c r="CL90" i="5"/>
  <c r="CM90" i="5"/>
  <c r="CN90" i="5"/>
  <c r="CO90" i="5"/>
  <c r="CP90" i="5"/>
  <c r="CQ90" i="5"/>
  <c r="CR90" i="5"/>
  <c r="CS90" i="5"/>
  <c r="CT90" i="5"/>
  <c r="CU90" i="5"/>
  <c r="CV90" i="5"/>
  <c r="CW90" i="5"/>
  <c r="CX90" i="5"/>
  <c r="CY90" i="5"/>
  <c r="CZ90" i="5"/>
  <c r="DA90" i="5"/>
  <c r="DB90" i="5"/>
  <c r="DC90" i="5"/>
  <c r="DD90" i="5"/>
  <c r="DE90" i="5"/>
  <c r="DF90" i="5"/>
  <c r="DG90" i="5"/>
  <c r="DH90" i="5"/>
  <c r="DI90" i="5"/>
  <c r="DJ90" i="5"/>
  <c r="DK90" i="5"/>
  <c r="DL90" i="5"/>
  <c r="DM90" i="5"/>
  <c r="DN90" i="5"/>
  <c r="DO90" i="5"/>
  <c r="DP90" i="5"/>
  <c r="DQ90" i="5"/>
  <c r="DR90" i="5"/>
  <c r="DS90" i="5"/>
  <c r="DT90" i="5"/>
  <c r="DU90" i="5"/>
  <c r="DV90" i="5"/>
  <c r="DW90" i="5"/>
  <c r="DX90" i="5"/>
  <c r="DY90" i="5"/>
  <c r="DZ90" i="5"/>
  <c r="EA90" i="5"/>
  <c r="EB90" i="5"/>
  <c r="EC90" i="5"/>
  <c r="ED90" i="5"/>
  <c r="EE90" i="5"/>
  <c r="EF90" i="5"/>
  <c r="EG90" i="5"/>
  <c r="EH90" i="5"/>
  <c r="EI90" i="5"/>
  <c r="EJ90" i="5"/>
  <c r="EK90" i="5"/>
  <c r="EL90" i="5"/>
  <c r="EM90" i="5"/>
  <c r="EN90" i="5"/>
  <c r="EO90" i="5"/>
  <c r="EP90" i="5"/>
  <c r="EQ90" i="5"/>
  <c r="ER90" i="5"/>
  <c r="ES90" i="5"/>
  <c r="ET90" i="5"/>
  <c r="EU90" i="5"/>
  <c r="EV90" i="5"/>
  <c r="EW90" i="5"/>
  <c r="EX90" i="5"/>
  <c r="EY90" i="5"/>
  <c r="EZ90" i="5"/>
  <c r="FA90" i="5"/>
  <c r="FB90" i="5"/>
  <c r="FC90" i="5"/>
  <c r="FD90" i="5"/>
  <c r="FE90" i="5"/>
  <c r="FF90" i="5"/>
  <c r="FG90" i="5"/>
  <c r="FH90" i="5"/>
  <c r="FI90" i="5"/>
  <c r="FJ90" i="5"/>
  <c r="FK90" i="5"/>
  <c r="FL90" i="5"/>
  <c r="FM90" i="5"/>
  <c r="FN90" i="5"/>
  <c r="FO90" i="5"/>
  <c r="FP90" i="5"/>
  <c r="FQ90" i="5"/>
  <c r="FR90" i="5"/>
  <c r="FS90" i="5"/>
  <c r="FT90" i="5"/>
  <c r="FU90" i="5"/>
  <c r="FV90" i="5"/>
  <c r="FW90" i="5"/>
  <c r="FX90" i="5"/>
  <c r="FY90" i="5"/>
  <c r="FZ90" i="5"/>
  <c r="GA90" i="5"/>
  <c r="GB90" i="5"/>
  <c r="GC90" i="5"/>
  <c r="GD90" i="5"/>
  <c r="GE90" i="5"/>
  <c r="GF90" i="5"/>
  <c r="GG90" i="5"/>
  <c r="GH90" i="5"/>
  <c r="GI90" i="5"/>
  <c r="GJ90" i="5"/>
  <c r="GK90" i="5"/>
  <c r="GL90" i="5"/>
  <c r="GM90" i="5"/>
  <c r="GN90" i="5"/>
  <c r="GO90" i="5"/>
  <c r="GP90" i="5"/>
  <c r="GQ90" i="5"/>
  <c r="GR90" i="5"/>
  <c r="GS90" i="5"/>
  <c r="GT90" i="5"/>
  <c r="GU90" i="5"/>
  <c r="GV90" i="5"/>
  <c r="GW90" i="5"/>
  <c r="GX90" i="5"/>
  <c r="GY90" i="5"/>
  <c r="GZ90" i="5"/>
  <c r="HA90" i="5"/>
  <c r="HB90" i="5"/>
  <c r="HC90" i="5"/>
  <c r="HD90" i="5"/>
  <c r="HE90" i="5"/>
  <c r="HF90" i="5"/>
  <c r="HG90" i="5"/>
  <c r="A91" i="5"/>
  <c r="B91" i="5"/>
  <c r="C91" i="5"/>
  <c r="D91" i="5"/>
  <c r="E91" i="5"/>
  <c r="F91" i="5"/>
  <c r="G91" i="5"/>
  <c r="H91" i="5"/>
  <c r="I91" i="5"/>
  <c r="J91" i="5"/>
  <c r="K91" i="5"/>
  <c r="L91" i="5"/>
  <c r="M91" i="5"/>
  <c r="N91" i="5"/>
  <c r="O91" i="5"/>
  <c r="P91" i="5"/>
  <c r="Q91" i="5"/>
  <c r="R91" i="5"/>
  <c r="S91" i="5"/>
  <c r="T91" i="5"/>
  <c r="U91" i="5"/>
  <c r="V91" i="5"/>
  <c r="W91" i="5"/>
  <c r="X91" i="5"/>
  <c r="Y91" i="5"/>
  <c r="Z91" i="5"/>
  <c r="AA91" i="5"/>
  <c r="AB91" i="5"/>
  <c r="AC91" i="5"/>
  <c r="AD91" i="5"/>
  <c r="AE91" i="5"/>
  <c r="AF91" i="5"/>
  <c r="AG91" i="5"/>
  <c r="AH91" i="5"/>
  <c r="AI91" i="5"/>
  <c r="AJ91" i="5"/>
  <c r="AK91" i="5"/>
  <c r="AL91" i="5"/>
  <c r="AM91" i="5"/>
  <c r="AN91" i="5"/>
  <c r="AO91" i="5"/>
  <c r="AP91" i="5"/>
  <c r="AQ91" i="5"/>
  <c r="AR91" i="5"/>
  <c r="AS91" i="5"/>
  <c r="AT91" i="5"/>
  <c r="AU91" i="5"/>
  <c r="AV91" i="5"/>
  <c r="AW91" i="5"/>
  <c r="AX91" i="5"/>
  <c r="AY91" i="5"/>
  <c r="AZ91" i="5"/>
  <c r="BA91" i="5"/>
  <c r="BB91" i="5"/>
  <c r="BC91" i="5"/>
  <c r="BD91" i="5"/>
  <c r="BE91" i="5"/>
  <c r="BF91" i="5"/>
  <c r="BG91" i="5"/>
  <c r="BH91" i="5"/>
  <c r="BI91" i="5"/>
  <c r="BJ91" i="5"/>
  <c r="BK91" i="5"/>
  <c r="BL91" i="5"/>
  <c r="BM91" i="5"/>
  <c r="BN91" i="5"/>
  <c r="BO91" i="5"/>
  <c r="BP91" i="5"/>
  <c r="BQ91" i="5"/>
  <c r="BR91" i="5"/>
  <c r="BS91" i="5"/>
  <c r="BT91" i="5"/>
  <c r="BU91" i="5"/>
  <c r="BV91" i="5"/>
  <c r="BW91" i="5"/>
  <c r="BX91" i="5"/>
  <c r="BY91" i="5"/>
  <c r="BZ91" i="5"/>
  <c r="CA91" i="5"/>
  <c r="CB91" i="5"/>
  <c r="CC91" i="5"/>
  <c r="CD91" i="5"/>
  <c r="CE91" i="5"/>
  <c r="CF91" i="5"/>
  <c r="CG91" i="5"/>
  <c r="CH91" i="5"/>
  <c r="CI91" i="5"/>
  <c r="CJ91" i="5"/>
  <c r="CK91" i="5"/>
  <c r="CL91" i="5"/>
  <c r="CM91" i="5"/>
  <c r="CN91" i="5"/>
  <c r="CO91" i="5"/>
  <c r="CP91" i="5"/>
  <c r="CQ91" i="5"/>
  <c r="CR91" i="5"/>
  <c r="CS91" i="5"/>
  <c r="CT91" i="5"/>
  <c r="CU91" i="5"/>
  <c r="CV91" i="5"/>
  <c r="CW91" i="5"/>
  <c r="CX91" i="5"/>
  <c r="CY91" i="5"/>
  <c r="CZ91" i="5"/>
  <c r="DA91" i="5"/>
  <c r="DB91" i="5"/>
  <c r="DC91" i="5"/>
  <c r="DD91" i="5"/>
  <c r="DE91" i="5"/>
  <c r="DF91" i="5"/>
  <c r="DG91" i="5"/>
  <c r="DH91" i="5"/>
  <c r="DI91" i="5"/>
  <c r="DJ91" i="5"/>
  <c r="DK91" i="5"/>
  <c r="DL91" i="5"/>
  <c r="DM91" i="5"/>
  <c r="DN91" i="5"/>
  <c r="DO91" i="5"/>
  <c r="DP91" i="5"/>
  <c r="DQ91" i="5"/>
  <c r="DR91" i="5"/>
  <c r="DS91" i="5"/>
  <c r="DT91" i="5"/>
  <c r="DU91" i="5"/>
  <c r="DV91" i="5"/>
  <c r="DW91" i="5"/>
  <c r="DX91" i="5"/>
  <c r="DY91" i="5"/>
  <c r="DZ91" i="5"/>
  <c r="EA91" i="5"/>
  <c r="EB91" i="5"/>
  <c r="EC91" i="5"/>
  <c r="ED91" i="5"/>
  <c r="EE91" i="5"/>
  <c r="EF91" i="5"/>
  <c r="EG91" i="5"/>
  <c r="EH91" i="5"/>
  <c r="EI91" i="5"/>
  <c r="EJ91" i="5"/>
  <c r="EK91" i="5"/>
  <c r="EL91" i="5"/>
  <c r="EM91" i="5"/>
  <c r="EN91" i="5"/>
  <c r="EO91" i="5"/>
  <c r="EP91" i="5"/>
  <c r="EQ91" i="5"/>
  <c r="ER91" i="5"/>
  <c r="ES91" i="5"/>
  <c r="ET91" i="5"/>
  <c r="EU91" i="5"/>
  <c r="EV91" i="5"/>
  <c r="EW91" i="5"/>
  <c r="EX91" i="5"/>
  <c r="EY91" i="5"/>
  <c r="EZ91" i="5"/>
  <c r="FA91" i="5"/>
  <c r="FB91" i="5"/>
  <c r="FC91" i="5"/>
  <c r="FD91" i="5"/>
  <c r="FE91" i="5"/>
  <c r="FF91" i="5"/>
  <c r="FG91" i="5"/>
  <c r="FH91" i="5"/>
  <c r="FI91" i="5"/>
  <c r="FJ91" i="5"/>
  <c r="FK91" i="5"/>
  <c r="FL91" i="5"/>
  <c r="FM91" i="5"/>
  <c r="FN91" i="5"/>
  <c r="FO91" i="5"/>
  <c r="FP91" i="5"/>
  <c r="FQ91" i="5"/>
  <c r="FR91" i="5"/>
  <c r="FS91" i="5"/>
  <c r="FT91" i="5"/>
  <c r="FU91" i="5"/>
  <c r="FV91" i="5"/>
  <c r="FW91" i="5"/>
  <c r="FX91" i="5"/>
  <c r="FY91" i="5"/>
  <c r="FZ91" i="5"/>
  <c r="GA91" i="5"/>
  <c r="GB91" i="5"/>
  <c r="GC91" i="5"/>
  <c r="GD91" i="5"/>
  <c r="GE91" i="5"/>
  <c r="GF91" i="5"/>
  <c r="GG91" i="5"/>
  <c r="GH91" i="5"/>
  <c r="GI91" i="5"/>
  <c r="GJ91" i="5"/>
  <c r="GK91" i="5"/>
  <c r="GL91" i="5"/>
  <c r="GM91" i="5"/>
  <c r="GN91" i="5"/>
  <c r="GO91" i="5"/>
  <c r="GP91" i="5"/>
  <c r="GQ91" i="5"/>
  <c r="GR91" i="5"/>
  <c r="GS91" i="5"/>
  <c r="GT91" i="5"/>
  <c r="GU91" i="5"/>
  <c r="GV91" i="5"/>
  <c r="GW91" i="5"/>
  <c r="GX91" i="5"/>
  <c r="GY91" i="5"/>
  <c r="GZ91" i="5"/>
  <c r="HA91" i="5"/>
  <c r="HB91" i="5"/>
  <c r="HC91" i="5"/>
  <c r="HD91" i="5"/>
  <c r="HE91" i="5"/>
  <c r="HF91" i="5"/>
  <c r="HG91" i="5"/>
  <c r="A92" i="5"/>
  <c r="B92" i="5"/>
  <c r="C92" i="5"/>
  <c r="D92" i="5"/>
  <c r="E92" i="5"/>
  <c r="F92" i="5"/>
  <c r="G92" i="5"/>
  <c r="H92" i="5"/>
  <c r="I92" i="5"/>
  <c r="J92" i="5"/>
  <c r="K92" i="5"/>
  <c r="L92" i="5"/>
  <c r="M92" i="5"/>
  <c r="N92" i="5"/>
  <c r="O92" i="5"/>
  <c r="P92" i="5"/>
  <c r="Q92" i="5"/>
  <c r="R92" i="5"/>
  <c r="S92" i="5"/>
  <c r="T92" i="5"/>
  <c r="U92" i="5"/>
  <c r="V92" i="5"/>
  <c r="W92" i="5"/>
  <c r="X92" i="5"/>
  <c r="Y92" i="5"/>
  <c r="Z92" i="5"/>
  <c r="AA92" i="5"/>
  <c r="AB92" i="5"/>
  <c r="AC92" i="5"/>
  <c r="AD92" i="5"/>
  <c r="AE92" i="5"/>
  <c r="AF92" i="5"/>
  <c r="AG92" i="5"/>
  <c r="AH92" i="5"/>
  <c r="AI92" i="5"/>
  <c r="AJ92" i="5"/>
  <c r="AK92" i="5"/>
  <c r="AL92" i="5"/>
  <c r="AM92" i="5"/>
  <c r="AN92" i="5"/>
  <c r="AO92" i="5"/>
  <c r="AP92" i="5"/>
  <c r="AQ92" i="5"/>
  <c r="AR92" i="5"/>
  <c r="AS92" i="5"/>
  <c r="AT92" i="5"/>
  <c r="AU92" i="5"/>
  <c r="AV92" i="5"/>
  <c r="AW92" i="5"/>
  <c r="AX92" i="5"/>
  <c r="AY92" i="5"/>
  <c r="AZ92" i="5"/>
  <c r="BA92" i="5"/>
  <c r="BB92" i="5"/>
  <c r="BC92" i="5"/>
  <c r="BD92" i="5"/>
  <c r="BE92" i="5"/>
  <c r="BF92" i="5"/>
  <c r="BG92" i="5"/>
  <c r="BH92" i="5"/>
  <c r="BI92" i="5"/>
  <c r="BJ92" i="5"/>
  <c r="BK92" i="5"/>
  <c r="BL92" i="5"/>
  <c r="BM92" i="5"/>
  <c r="BN92" i="5"/>
  <c r="BO92" i="5"/>
  <c r="BP92" i="5"/>
  <c r="BQ92" i="5"/>
  <c r="BR92" i="5"/>
  <c r="BS92" i="5"/>
  <c r="BT92" i="5"/>
  <c r="BU92" i="5"/>
  <c r="BV92" i="5"/>
  <c r="BW92" i="5"/>
  <c r="BX92" i="5"/>
  <c r="BY92" i="5"/>
  <c r="BZ92" i="5"/>
  <c r="CA92" i="5"/>
  <c r="CB92" i="5"/>
  <c r="CC92" i="5"/>
  <c r="CD92" i="5"/>
  <c r="CE92" i="5"/>
  <c r="CF92" i="5"/>
  <c r="CG92" i="5"/>
  <c r="CH92" i="5"/>
  <c r="CI92" i="5"/>
  <c r="CJ92" i="5"/>
  <c r="CK92" i="5"/>
  <c r="CL92" i="5"/>
  <c r="CM92" i="5"/>
  <c r="CN92" i="5"/>
  <c r="CO92" i="5"/>
  <c r="CP92" i="5"/>
  <c r="CQ92" i="5"/>
  <c r="CR92" i="5"/>
  <c r="CS92" i="5"/>
  <c r="CT92" i="5"/>
  <c r="CU92" i="5"/>
  <c r="CV92" i="5"/>
  <c r="CW92" i="5"/>
  <c r="CX92" i="5"/>
  <c r="CY92" i="5"/>
  <c r="CZ92" i="5"/>
  <c r="DA92" i="5"/>
  <c r="DB92" i="5"/>
  <c r="DC92" i="5"/>
  <c r="DD92" i="5"/>
  <c r="DE92" i="5"/>
  <c r="DF92" i="5"/>
  <c r="DG92" i="5"/>
  <c r="DH92" i="5"/>
  <c r="DI92" i="5"/>
  <c r="DJ92" i="5"/>
  <c r="DK92" i="5"/>
  <c r="DL92" i="5"/>
  <c r="DM92" i="5"/>
  <c r="DN92" i="5"/>
  <c r="DO92" i="5"/>
  <c r="DP92" i="5"/>
  <c r="DQ92" i="5"/>
  <c r="DR92" i="5"/>
  <c r="DS92" i="5"/>
  <c r="DT92" i="5"/>
  <c r="DU92" i="5"/>
  <c r="DV92" i="5"/>
  <c r="DW92" i="5"/>
  <c r="DX92" i="5"/>
  <c r="DY92" i="5"/>
  <c r="DZ92" i="5"/>
  <c r="EA92" i="5"/>
  <c r="EB92" i="5"/>
  <c r="EC92" i="5"/>
  <c r="ED92" i="5"/>
  <c r="EE92" i="5"/>
  <c r="EF92" i="5"/>
  <c r="EG92" i="5"/>
  <c r="EH92" i="5"/>
  <c r="EI92" i="5"/>
  <c r="EJ92" i="5"/>
  <c r="EK92" i="5"/>
  <c r="EL92" i="5"/>
  <c r="EM92" i="5"/>
  <c r="EN92" i="5"/>
  <c r="EO92" i="5"/>
  <c r="EP92" i="5"/>
  <c r="EQ92" i="5"/>
  <c r="ER92" i="5"/>
  <c r="ES92" i="5"/>
  <c r="ET92" i="5"/>
  <c r="EU92" i="5"/>
  <c r="EV92" i="5"/>
  <c r="EW92" i="5"/>
  <c r="EX92" i="5"/>
  <c r="EY92" i="5"/>
  <c r="EZ92" i="5"/>
  <c r="FA92" i="5"/>
  <c r="FB92" i="5"/>
  <c r="FC92" i="5"/>
  <c r="FD92" i="5"/>
  <c r="FE92" i="5"/>
  <c r="FF92" i="5"/>
  <c r="FG92" i="5"/>
  <c r="FH92" i="5"/>
  <c r="FI92" i="5"/>
  <c r="FJ92" i="5"/>
  <c r="FK92" i="5"/>
  <c r="FL92" i="5"/>
  <c r="FM92" i="5"/>
  <c r="FN92" i="5"/>
  <c r="FO92" i="5"/>
  <c r="FP92" i="5"/>
  <c r="FQ92" i="5"/>
  <c r="FR92" i="5"/>
  <c r="FS92" i="5"/>
  <c r="FT92" i="5"/>
  <c r="FU92" i="5"/>
  <c r="FV92" i="5"/>
  <c r="FW92" i="5"/>
  <c r="FX92" i="5"/>
  <c r="FY92" i="5"/>
  <c r="FZ92" i="5"/>
  <c r="GA92" i="5"/>
  <c r="GB92" i="5"/>
  <c r="GC92" i="5"/>
  <c r="GD92" i="5"/>
  <c r="GE92" i="5"/>
  <c r="GF92" i="5"/>
  <c r="GG92" i="5"/>
  <c r="GH92" i="5"/>
  <c r="GI92" i="5"/>
  <c r="GJ92" i="5"/>
  <c r="GK92" i="5"/>
  <c r="GL92" i="5"/>
  <c r="GM92" i="5"/>
  <c r="GN92" i="5"/>
  <c r="GO92" i="5"/>
  <c r="GP92" i="5"/>
  <c r="GQ92" i="5"/>
  <c r="GR92" i="5"/>
  <c r="GS92" i="5"/>
  <c r="GT92" i="5"/>
  <c r="GU92" i="5"/>
  <c r="GV92" i="5"/>
  <c r="GW92" i="5"/>
  <c r="GX92" i="5"/>
  <c r="GY92" i="5"/>
  <c r="GZ92" i="5"/>
  <c r="HA92" i="5"/>
  <c r="HB92" i="5"/>
  <c r="HC92" i="5"/>
  <c r="HD92" i="5"/>
  <c r="HE92" i="5"/>
  <c r="HF92" i="5"/>
  <c r="HG92" i="5"/>
  <c r="A93" i="5"/>
  <c r="B93" i="5"/>
  <c r="C93" i="5"/>
  <c r="D93" i="5"/>
  <c r="E93" i="5"/>
  <c r="F93" i="5"/>
  <c r="G93" i="5"/>
  <c r="H93" i="5"/>
  <c r="I93" i="5"/>
  <c r="J93" i="5"/>
  <c r="K93" i="5"/>
  <c r="L93" i="5"/>
  <c r="M93" i="5"/>
  <c r="N93" i="5"/>
  <c r="O93" i="5"/>
  <c r="P93" i="5"/>
  <c r="Q93" i="5"/>
  <c r="R93" i="5"/>
  <c r="S93" i="5"/>
  <c r="T93" i="5"/>
  <c r="U93" i="5"/>
  <c r="V93" i="5"/>
  <c r="W93" i="5"/>
  <c r="X93" i="5"/>
  <c r="Y93" i="5"/>
  <c r="Z93" i="5"/>
  <c r="AA93" i="5"/>
  <c r="AB93" i="5"/>
  <c r="AC93" i="5"/>
  <c r="AD93" i="5"/>
  <c r="AE93" i="5"/>
  <c r="AF93" i="5"/>
  <c r="AG93" i="5"/>
  <c r="AH93" i="5"/>
  <c r="AI93" i="5"/>
  <c r="AJ93" i="5"/>
  <c r="AK93" i="5"/>
  <c r="AL93" i="5"/>
  <c r="AM93" i="5"/>
  <c r="AN93" i="5"/>
  <c r="AO93" i="5"/>
  <c r="AP93" i="5"/>
  <c r="AQ93" i="5"/>
  <c r="AR93" i="5"/>
  <c r="AS93" i="5"/>
  <c r="AT93" i="5"/>
  <c r="AU93" i="5"/>
  <c r="AV93" i="5"/>
  <c r="AW93" i="5"/>
  <c r="AX93" i="5"/>
  <c r="AY93" i="5"/>
  <c r="AZ93" i="5"/>
  <c r="BA93" i="5"/>
  <c r="BB93" i="5"/>
  <c r="BC93" i="5"/>
  <c r="BD93" i="5"/>
  <c r="BE93" i="5"/>
  <c r="BF93" i="5"/>
  <c r="BG93" i="5"/>
  <c r="BH93" i="5"/>
  <c r="BI93" i="5"/>
  <c r="BJ93" i="5"/>
  <c r="BK93" i="5"/>
  <c r="BL93" i="5"/>
  <c r="BM93" i="5"/>
  <c r="BN93" i="5"/>
  <c r="BO93" i="5"/>
  <c r="BP93" i="5"/>
  <c r="BQ93" i="5"/>
  <c r="BR93" i="5"/>
  <c r="BS93" i="5"/>
  <c r="BT93" i="5"/>
  <c r="BU93" i="5"/>
  <c r="BV93" i="5"/>
  <c r="BW93" i="5"/>
  <c r="BX93" i="5"/>
  <c r="BY93" i="5"/>
  <c r="BZ93" i="5"/>
  <c r="CA93" i="5"/>
  <c r="CB93" i="5"/>
  <c r="CC93" i="5"/>
  <c r="CD93" i="5"/>
  <c r="CE93" i="5"/>
  <c r="CF93" i="5"/>
  <c r="CG93" i="5"/>
  <c r="CH93" i="5"/>
  <c r="CI93" i="5"/>
  <c r="CJ93" i="5"/>
  <c r="CK93" i="5"/>
  <c r="CL93" i="5"/>
  <c r="CM93" i="5"/>
  <c r="CN93" i="5"/>
  <c r="CO93" i="5"/>
  <c r="CP93" i="5"/>
  <c r="CQ93" i="5"/>
  <c r="CR93" i="5"/>
  <c r="CS93" i="5"/>
  <c r="CT93" i="5"/>
  <c r="CU93" i="5"/>
  <c r="CV93" i="5"/>
  <c r="CW93" i="5"/>
  <c r="CX93" i="5"/>
  <c r="CY93" i="5"/>
  <c r="CZ93" i="5"/>
  <c r="DA93" i="5"/>
  <c r="DB93" i="5"/>
  <c r="DC93" i="5"/>
  <c r="DD93" i="5"/>
  <c r="DE93" i="5"/>
  <c r="DF93" i="5"/>
  <c r="DG93" i="5"/>
  <c r="DH93" i="5"/>
  <c r="DI93" i="5"/>
  <c r="DJ93" i="5"/>
  <c r="DK93" i="5"/>
  <c r="DL93" i="5"/>
  <c r="DM93" i="5"/>
  <c r="DN93" i="5"/>
  <c r="DO93" i="5"/>
  <c r="DP93" i="5"/>
  <c r="DQ93" i="5"/>
  <c r="DR93" i="5"/>
  <c r="DS93" i="5"/>
  <c r="DT93" i="5"/>
  <c r="DU93" i="5"/>
  <c r="DV93" i="5"/>
  <c r="DW93" i="5"/>
  <c r="DX93" i="5"/>
  <c r="DY93" i="5"/>
  <c r="DZ93" i="5"/>
  <c r="EA93" i="5"/>
  <c r="EB93" i="5"/>
  <c r="EC93" i="5"/>
  <c r="ED93" i="5"/>
  <c r="EE93" i="5"/>
  <c r="EF93" i="5"/>
  <c r="EG93" i="5"/>
  <c r="EH93" i="5"/>
  <c r="EI93" i="5"/>
  <c r="EJ93" i="5"/>
  <c r="EK93" i="5"/>
  <c r="EL93" i="5"/>
  <c r="EM93" i="5"/>
  <c r="EN93" i="5"/>
  <c r="EO93" i="5"/>
  <c r="EP93" i="5"/>
  <c r="EQ93" i="5"/>
  <c r="ER93" i="5"/>
  <c r="ES93" i="5"/>
  <c r="ET93" i="5"/>
  <c r="EU93" i="5"/>
  <c r="EV93" i="5"/>
  <c r="EW93" i="5"/>
  <c r="EX93" i="5"/>
  <c r="EY93" i="5"/>
  <c r="EZ93" i="5"/>
  <c r="FA93" i="5"/>
  <c r="FB93" i="5"/>
  <c r="FC93" i="5"/>
  <c r="FD93" i="5"/>
  <c r="FE93" i="5"/>
  <c r="FF93" i="5"/>
  <c r="FG93" i="5"/>
  <c r="FH93" i="5"/>
  <c r="FI93" i="5"/>
  <c r="FJ93" i="5"/>
  <c r="FK93" i="5"/>
  <c r="FL93" i="5"/>
  <c r="FM93" i="5"/>
  <c r="FN93" i="5"/>
  <c r="FO93" i="5"/>
  <c r="FP93" i="5"/>
  <c r="FQ93" i="5"/>
  <c r="FR93" i="5"/>
  <c r="FS93" i="5"/>
  <c r="FT93" i="5"/>
  <c r="FU93" i="5"/>
  <c r="FV93" i="5"/>
  <c r="FW93" i="5"/>
  <c r="FX93" i="5"/>
  <c r="FY93" i="5"/>
  <c r="FZ93" i="5"/>
  <c r="GA93" i="5"/>
  <c r="GB93" i="5"/>
  <c r="GC93" i="5"/>
  <c r="GD93" i="5"/>
  <c r="GE93" i="5"/>
  <c r="GF93" i="5"/>
  <c r="GG93" i="5"/>
  <c r="GH93" i="5"/>
  <c r="GI93" i="5"/>
  <c r="GJ93" i="5"/>
  <c r="GK93" i="5"/>
  <c r="GL93" i="5"/>
  <c r="GM93" i="5"/>
  <c r="GN93" i="5"/>
  <c r="GO93" i="5"/>
  <c r="GP93" i="5"/>
  <c r="GQ93" i="5"/>
  <c r="GR93" i="5"/>
  <c r="GS93" i="5"/>
  <c r="GT93" i="5"/>
  <c r="GU93" i="5"/>
  <c r="GV93" i="5"/>
  <c r="GW93" i="5"/>
  <c r="GX93" i="5"/>
  <c r="GY93" i="5"/>
  <c r="GZ93" i="5"/>
  <c r="HA93" i="5"/>
  <c r="HB93" i="5"/>
  <c r="HC93" i="5"/>
  <c r="HD93" i="5"/>
  <c r="HE93" i="5"/>
  <c r="HF93" i="5"/>
  <c r="HG93" i="5"/>
  <c r="A94" i="5"/>
  <c r="B94" i="5"/>
  <c r="C94" i="5"/>
  <c r="D94" i="5"/>
  <c r="E94" i="5"/>
  <c r="F94" i="5"/>
  <c r="G94" i="5"/>
  <c r="H94" i="5"/>
  <c r="I94" i="5"/>
  <c r="J94" i="5"/>
  <c r="K94" i="5"/>
  <c r="L94" i="5"/>
  <c r="M94" i="5"/>
  <c r="N94" i="5"/>
  <c r="O94" i="5"/>
  <c r="P94" i="5"/>
  <c r="Q94" i="5"/>
  <c r="R94" i="5"/>
  <c r="S94" i="5"/>
  <c r="T94" i="5"/>
  <c r="U94" i="5"/>
  <c r="V94" i="5"/>
  <c r="W94" i="5"/>
  <c r="X94" i="5"/>
  <c r="Y94" i="5"/>
  <c r="Z94" i="5"/>
  <c r="AA94" i="5"/>
  <c r="AB94" i="5"/>
  <c r="AC94" i="5"/>
  <c r="AD94" i="5"/>
  <c r="AE94" i="5"/>
  <c r="AF94" i="5"/>
  <c r="AG94" i="5"/>
  <c r="AH94" i="5"/>
  <c r="AI94" i="5"/>
  <c r="AJ94" i="5"/>
  <c r="AK94" i="5"/>
  <c r="AL94" i="5"/>
  <c r="AM94" i="5"/>
  <c r="AN94" i="5"/>
  <c r="AO94" i="5"/>
  <c r="AP94" i="5"/>
  <c r="AQ94" i="5"/>
  <c r="AR94" i="5"/>
  <c r="AS94" i="5"/>
  <c r="AT94" i="5"/>
  <c r="AU94" i="5"/>
  <c r="AV94" i="5"/>
  <c r="AW94" i="5"/>
  <c r="AX94" i="5"/>
  <c r="AY94" i="5"/>
  <c r="AZ94" i="5"/>
  <c r="BA94" i="5"/>
  <c r="BB94" i="5"/>
  <c r="BC94" i="5"/>
  <c r="BD94" i="5"/>
  <c r="BE94" i="5"/>
  <c r="BF94" i="5"/>
  <c r="BG94" i="5"/>
  <c r="BH94" i="5"/>
  <c r="BI94" i="5"/>
  <c r="BJ94" i="5"/>
  <c r="BK94" i="5"/>
  <c r="BL94" i="5"/>
  <c r="BM94" i="5"/>
  <c r="BN94" i="5"/>
  <c r="BO94" i="5"/>
  <c r="BP94" i="5"/>
  <c r="BQ94" i="5"/>
  <c r="BR94" i="5"/>
  <c r="BS94" i="5"/>
  <c r="BT94" i="5"/>
  <c r="BU94" i="5"/>
  <c r="BV94" i="5"/>
  <c r="BW94" i="5"/>
  <c r="BX94" i="5"/>
  <c r="BY94" i="5"/>
  <c r="BZ94" i="5"/>
  <c r="CA94" i="5"/>
  <c r="CB94" i="5"/>
  <c r="CC94" i="5"/>
  <c r="CD94" i="5"/>
  <c r="CE94" i="5"/>
  <c r="CF94" i="5"/>
  <c r="CG94" i="5"/>
  <c r="CH94" i="5"/>
  <c r="CI94" i="5"/>
  <c r="CJ94" i="5"/>
  <c r="CK94" i="5"/>
  <c r="CL94" i="5"/>
  <c r="CM94" i="5"/>
  <c r="CN94" i="5"/>
  <c r="CO94" i="5"/>
  <c r="CP94" i="5"/>
  <c r="CQ94" i="5"/>
  <c r="CR94" i="5"/>
  <c r="CS94" i="5"/>
  <c r="CT94" i="5"/>
  <c r="CU94" i="5"/>
  <c r="CV94" i="5"/>
  <c r="CW94" i="5"/>
  <c r="CX94" i="5"/>
  <c r="CY94" i="5"/>
  <c r="CZ94" i="5"/>
  <c r="DA94" i="5"/>
  <c r="DB94" i="5"/>
  <c r="DC94" i="5"/>
  <c r="DD94" i="5"/>
  <c r="DE94" i="5"/>
  <c r="DF94" i="5"/>
  <c r="DG94" i="5"/>
  <c r="DH94" i="5"/>
  <c r="DI94" i="5"/>
  <c r="DJ94" i="5"/>
  <c r="DK94" i="5"/>
  <c r="DL94" i="5"/>
  <c r="DM94" i="5"/>
  <c r="DN94" i="5"/>
  <c r="DO94" i="5"/>
  <c r="DP94" i="5"/>
  <c r="DQ94" i="5"/>
  <c r="DR94" i="5"/>
  <c r="DS94" i="5"/>
  <c r="DT94" i="5"/>
  <c r="DU94" i="5"/>
  <c r="DV94" i="5"/>
  <c r="DW94" i="5"/>
  <c r="DX94" i="5"/>
  <c r="DY94" i="5"/>
  <c r="DZ94" i="5"/>
  <c r="EA94" i="5"/>
  <c r="EB94" i="5"/>
  <c r="EC94" i="5"/>
  <c r="ED94" i="5"/>
  <c r="EE94" i="5"/>
  <c r="EF94" i="5"/>
  <c r="EG94" i="5"/>
  <c r="EH94" i="5"/>
  <c r="EI94" i="5"/>
  <c r="EJ94" i="5"/>
  <c r="EK94" i="5"/>
  <c r="EL94" i="5"/>
  <c r="EM94" i="5"/>
  <c r="EN94" i="5"/>
  <c r="EO94" i="5"/>
  <c r="EP94" i="5"/>
  <c r="EQ94" i="5"/>
  <c r="ER94" i="5"/>
  <c r="ES94" i="5"/>
  <c r="ET94" i="5"/>
  <c r="EU94" i="5"/>
  <c r="EV94" i="5"/>
  <c r="EW94" i="5"/>
  <c r="EX94" i="5"/>
  <c r="EY94" i="5"/>
  <c r="EZ94" i="5"/>
  <c r="FA94" i="5"/>
  <c r="FB94" i="5"/>
  <c r="FC94" i="5"/>
  <c r="FD94" i="5"/>
  <c r="FE94" i="5"/>
  <c r="FF94" i="5"/>
  <c r="FG94" i="5"/>
  <c r="FH94" i="5"/>
  <c r="FI94" i="5"/>
  <c r="FJ94" i="5"/>
  <c r="FK94" i="5"/>
  <c r="FL94" i="5"/>
  <c r="FM94" i="5"/>
  <c r="FN94" i="5"/>
  <c r="FO94" i="5"/>
  <c r="FP94" i="5"/>
  <c r="FQ94" i="5"/>
  <c r="FR94" i="5"/>
  <c r="FS94" i="5"/>
  <c r="FT94" i="5"/>
  <c r="FU94" i="5"/>
  <c r="FV94" i="5"/>
  <c r="FW94" i="5"/>
  <c r="FX94" i="5"/>
  <c r="FY94" i="5"/>
  <c r="FZ94" i="5"/>
  <c r="GA94" i="5"/>
  <c r="GB94" i="5"/>
  <c r="GC94" i="5"/>
  <c r="GD94" i="5"/>
  <c r="GE94" i="5"/>
  <c r="GF94" i="5"/>
  <c r="GG94" i="5"/>
  <c r="GH94" i="5"/>
  <c r="GI94" i="5"/>
  <c r="GJ94" i="5"/>
  <c r="GK94" i="5"/>
  <c r="GL94" i="5"/>
  <c r="GM94" i="5"/>
  <c r="GN94" i="5"/>
  <c r="GO94" i="5"/>
  <c r="GP94" i="5"/>
  <c r="GQ94" i="5"/>
  <c r="GR94" i="5"/>
  <c r="GS94" i="5"/>
  <c r="GT94" i="5"/>
  <c r="GU94" i="5"/>
  <c r="GV94" i="5"/>
  <c r="GW94" i="5"/>
  <c r="GX94" i="5"/>
  <c r="GY94" i="5"/>
  <c r="GZ94" i="5"/>
  <c r="HA94" i="5"/>
  <c r="HB94" i="5"/>
  <c r="HC94" i="5"/>
  <c r="HD94" i="5"/>
  <c r="HE94" i="5"/>
  <c r="HF94" i="5"/>
  <c r="HG94" i="5"/>
  <c r="A95" i="5"/>
  <c r="B95" i="5"/>
  <c r="C95" i="5"/>
  <c r="D95" i="5"/>
  <c r="E95" i="5"/>
  <c r="F95" i="5"/>
  <c r="G95" i="5"/>
  <c r="H95" i="5"/>
  <c r="I95" i="5"/>
  <c r="J95" i="5"/>
  <c r="K95" i="5"/>
  <c r="L95" i="5"/>
  <c r="M95" i="5"/>
  <c r="N95" i="5"/>
  <c r="O95" i="5"/>
  <c r="P95" i="5"/>
  <c r="Q95" i="5"/>
  <c r="R95" i="5"/>
  <c r="S95" i="5"/>
  <c r="T95" i="5"/>
  <c r="U95" i="5"/>
  <c r="V95" i="5"/>
  <c r="W95" i="5"/>
  <c r="X95" i="5"/>
  <c r="Y95" i="5"/>
  <c r="Z95" i="5"/>
  <c r="AA95" i="5"/>
  <c r="AB95" i="5"/>
  <c r="AC95" i="5"/>
  <c r="AD95" i="5"/>
  <c r="AE95" i="5"/>
  <c r="AF95" i="5"/>
  <c r="AG95" i="5"/>
  <c r="AH95" i="5"/>
  <c r="AI95" i="5"/>
  <c r="AJ95" i="5"/>
  <c r="AK95" i="5"/>
  <c r="AL95" i="5"/>
  <c r="AM95" i="5"/>
  <c r="AN95" i="5"/>
  <c r="AO95" i="5"/>
  <c r="AP95" i="5"/>
  <c r="AQ95" i="5"/>
  <c r="AR95" i="5"/>
  <c r="AS95" i="5"/>
  <c r="AT95" i="5"/>
  <c r="AU95" i="5"/>
  <c r="AV95" i="5"/>
  <c r="AW95" i="5"/>
  <c r="AX95" i="5"/>
  <c r="AY95" i="5"/>
  <c r="AZ95" i="5"/>
  <c r="BA95" i="5"/>
  <c r="BB95" i="5"/>
  <c r="BC95" i="5"/>
  <c r="BD95" i="5"/>
  <c r="BE95" i="5"/>
  <c r="BF95" i="5"/>
  <c r="BG95" i="5"/>
  <c r="BH95" i="5"/>
  <c r="BI95" i="5"/>
  <c r="BJ95" i="5"/>
  <c r="BK95" i="5"/>
  <c r="BL95" i="5"/>
  <c r="BM95" i="5"/>
  <c r="BN95" i="5"/>
  <c r="BO95" i="5"/>
  <c r="BP95" i="5"/>
  <c r="BQ95" i="5"/>
  <c r="BR95" i="5"/>
  <c r="BS95" i="5"/>
  <c r="BT95" i="5"/>
  <c r="BU95" i="5"/>
  <c r="BV95" i="5"/>
  <c r="BW95" i="5"/>
  <c r="BX95" i="5"/>
  <c r="BY95" i="5"/>
  <c r="BZ95" i="5"/>
  <c r="CA95" i="5"/>
  <c r="CB95" i="5"/>
  <c r="CC95" i="5"/>
  <c r="CD95" i="5"/>
  <c r="CE95" i="5"/>
  <c r="CF95" i="5"/>
  <c r="CG95" i="5"/>
  <c r="CH95" i="5"/>
  <c r="CI95" i="5"/>
  <c r="CJ95" i="5"/>
  <c r="CK95" i="5"/>
  <c r="CL95" i="5"/>
  <c r="CM95" i="5"/>
  <c r="CN95" i="5"/>
  <c r="CO95" i="5"/>
  <c r="CP95" i="5"/>
  <c r="CQ95" i="5"/>
  <c r="CR95" i="5"/>
  <c r="CS95" i="5"/>
  <c r="CT95" i="5"/>
  <c r="CU95" i="5"/>
  <c r="CV95" i="5"/>
  <c r="CW95" i="5"/>
  <c r="CX95" i="5"/>
  <c r="CY95" i="5"/>
  <c r="CZ95" i="5"/>
  <c r="DA95" i="5"/>
  <c r="DB95" i="5"/>
  <c r="DC95" i="5"/>
  <c r="DD95" i="5"/>
  <c r="DE95" i="5"/>
  <c r="DF95" i="5"/>
  <c r="DG95" i="5"/>
  <c r="DH95" i="5"/>
  <c r="DI95" i="5"/>
  <c r="DJ95" i="5"/>
  <c r="DK95" i="5"/>
  <c r="DL95" i="5"/>
  <c r="DM95" i="5"/>
  <c r="DN95" i="5"/>
  <c r="DO95" i="5"/>
  <c r="DP95" i="5"/>
  <c r="DQ95" i="5"/>
  <c r="DR95" i="5"/>
  <c r="DS95" i="5"/>
  <c r="DT95" i="5"/>
  <c r="DU95" i="5"/>
  <c r="DV95" i="5"/>
  <c r="DW95" i="5"/>
  <c r="DX95" i="5"/>
  <c r="DY95" i="5"/>
  <c r="DZ95" i="5"/>
  <c r="EA95" i="5"/>
  <c r="EB95" i="5"/>
  <c r="EC95" i="5"/>
  <c r="ED95" i="5"/>
  <c r="EE95" i="5"/>
  <c r="EF95" i="5"/>
  <c r="EG95" i="5"/>
  <c r="EH95" i="5"/>
  <c r="EI95" i="5"/>
  <c r="EJ95" i="5"/>
  <c r="EK95" i="5"/>
  <c r="EL95" i="5"/>
  <c r="EM95" i="5"/>
  <c r="EN95" i="5"/>
  <c r="EO95" i="5"/>
  <c r="EP95" i="5"/>
  <c r="EQ95" i="5"/>
  <c r="ER95" i="5"/>
  <c r="ES95" i="5"/>
  <c r="ET95" i="5"/>
  <c r="EU95" i="5"/>
  <c r="EV95" i="5"/>
  <c r="EW95" i="5"/>
  <c r="EX95" i="5"/>
  <c r="EY95" i="5"/>
  <c r="EZ95" i="5"/>
  <c r="FA95" i="5"/>
  <c r="FB95" i="5"/>
  <c r="FC95" i="5"/>
  <c r="FD95" i="5"/>
  <c r="FE95" i="5"/>
  <c r="FF95" i="5"/>
  <c r="FG95" i="5"/>
  <c r="FH95" i="5"/>
  <c r="FI95" i="5"/>
  <c r="FJ95" i="5"/>
  <c r="FK95" i="5"/>
  <c r="FL95" i="5"/>
  <c r="FM95" i="5"/>
  <c r="FN95" i="5"/>
  <c r="FO95" i="5"/>
  <c r="FP95" i="5"/>
  <c r="FQ95" i="5"/>
  <c r="FR95" i="5"/>
  <c r="FS95" i="5"/>
  <c r="FT95" i="5"/>
  <c r="FU95" i="5"/>
  <c r="FV95" i="5"/>
  <c r="FW95" i="5"/>
  <c r="FX95" i="5"/>
  <c r="FY95" i="5"/>
  <c r="FZ95" i="5"/>
  <c r="GA95" i="5"/>
  <c r="GB95" i="5"/>
  <c r="GC95" i="5"/>
  <c r="GD95" i="5"/>
  <c r="GE95" i="5"/>
  <c r="GF95" i="5"/>
  <c r="GG95" i="5"/>
  <c r="GH95" i="5"/>
  <c r="GI95" i="5"/>
  <c r="GJ95" i="5"/>
  <c r="GK95" i="5"/>
  <c r="GL95" i="5"/>
  <c r="GM95" i="5"/>
  <c r="GN95" i="5"/>
  <c r="GO95" i="5"/>
  <c r="GP95" i="5"/>
  <c r="GQ95" i="5"/>
  <c r="GR95" i="5"/>
  <c r="GS95" i="5"/>
  <c r="GT95" i="5"/>
  <c r="GU95" i="5"/>
  <c r="GV95" i="5"/>
  <c r="GW95" i="5"/>
  <c r="GX95" i="5"/>
  <c r="GY95" i="5"/>
  <c r="GZ95" i="5"/>
  <c r="HA95" i="5"/>
  <c r="HB95" i="5"/>
  <c r="HC95" i="5"/>
  <c r="HD95" i="5"/>
  <c r="HE95" i="5"/>
  <c r="HF95" i="5"/>
  <c r="HG95" i="5"/>
  <c r="A96" i="5"/>
  <c r="B96" i="5"/>
  <c r="C96" i="5"/>
  <c r="D96" i="5"/>
  <c r="E96" i="5"/>
  <c r="F96" i="5"/>
  <c r="G96" i="5"/>
  <c r="H96" i="5"/>
  <c r="I96" i="5"/>
  <c r="J96" i="5"/>
  <c r="K96" i="5"/>
  <c r="L96" i="5"/>
  <c r="M96" i="5"/>
  <c r="N96" i="5"/>
  <c r="O96" i="5"/>
  <c r="P96" i="5"/>
  <c r="Q96" i="5"/>
  <c r="R96" i="5"/>
  <c r="S96" i="5"/>
  <c r="T96" i="5"/>
  <c r="U96" i="5"/>
  <c r="V96" i="5"/>
  <c r="W96" i="5"/>
  <c r="X96" i="5"/>
  <c r="Y96" i="5"/>
  <c r="Z96" i="5"/>
  <c r="AA96" i="5"/>
  <c r="AB96" i="5"/>
  <c r="AC96" i="5"/>
  <c r="AD96" i="5"/>
  <c r="AE96" i="5"/>
  <c r="AF96" i="5"/>
  <c r="AG96" i="5"/>
  <c r="AH96" i="5"/>
  <c r="AI96" i="5"/>
  <c r="AJ96" i="5"/>
  <c r="AK96" i="5"/>
  <c r="AL96" i="5"/>
  <c r="AM96" i="5"/>
  <c r="AN96" i="5"/>
  <c r="AO96" i="5"/>
  <c r="AP96" i="5"/>
  <c r="AQ96" i="5"/>
  <c r="AR96" i="5"/>
  <c r="AS96" i="5"/>
  <c r="AT96" i="5"/>
  <c r="AU96" i="5"/>
  <c r="AV96" i="5"/>
  <c r="AW96" i="5"/>
  <c r="AX96" i="5"/>
  <c r="AY96" i="5"/>
  <c r="AZ96" i="5"/>
  <c r="BA96" i="5"/>
  <c r="BB96" i="5"/>
  <c r="BC96" i="5"/>
  <c r="BD96" i="5"/>
  <c r="BE96" i="5"/>
  <c r="BF96" i="5"/>
  <c r="BG96" i="5"/>
  <c r="BH96" i="5"/>
  <c r="BI96" i="5"/>
  <c r="BJ96" i="5"/>
  <c r="BK96" i="5"/>
  <c r="BL96" i="5"/>
  <c r="BM96" i="5"/>
  <c r="BN96" i="5"/>
  <c r="BO96" i="5"/>
  <c r="BP96" i="5"/>
  <c r="BQ96" i="5"/>
  <c r="BR96" i="5"/>
  <c r="BS96" i="5"/>
  <c r="BT96" i="5"/>
  <c r="BU96" i="5"/>
  <c r="BV96" i="5"/>
  <c r="BW96" i="5"/>
  <c r="BX96" i="5"/>
  <c r="BY96" i="5"/>
  <c r="BZ96" i="5"/>
  <c r="CA96" i="5"/>
  <c r="CB96" i="5"/>
  <c r="CC96" i="5"/>
  <c r="CD96" i="5"/>
  <c r="CE96" i="5"/>
  <c r="CF96" i="5"/>
  <c r="CG96" i="5"/>
  <c r="CH96" i="5"/>
  <c r="CI96" i="5"/>
  <c r="CJ96" i="5"/>
  <c r="CK96" i="5"/>
  <c r="CL96" i="5"/>
  <c r="CM96" i="5"/>
  <c r="CN96" i="5"/>
  <c r="CO96" i="5"/>
  <c r="CP96" i="5"/>
  <c r="CQ96" i="5"/>
  <c r="CR96" i="5"/>
  <c r="CS96" i="5"/>
  <c r="CT96" i="5"/>
  <c r="CU96" i="5"/>
  <c r="CV96" i="5"/>
  <c r="CW96" i="5"/>
  <c r="CX96" i="5"/>
  <c r="CY96" i="5"/>
  <c r="CZ96" i="5"/>
  <c r="DA96" i="5"/>
  <c r="DB96" i="5"/>
  <c r="DC96" i="5"/>
  <c r="DD96" i="5"/>
  <c r="DE96" i="5"/>
  <c r="DF96" i="5"/>
  <c r="DG96" i="5"/>
  <c r="DH96" i="5"/>
  <c r="DI96" i="5"/>
  <c r="DJ96" i="5"/>
  <c r="DK96" i="5"/>
  <c r="DL96" i="5"/>
  <c r="DM96" i="5"/>
  <c r="DN96" i="5"/>
  <c r="DO96" i="5"/>
  <c r="DP96" i="5"/>
  <c r="DQ96" i="5"/>
  <c r="DR96" i="5"/>
  <c r="DS96" i="5"/>
  <c r="DT96" i="5"/>
  <c r="DU96" i="5"/>
  <c r="DV96" i="5"/>
  <c r="DW96" i="5"/>
  <c r="DX96" i="5"/>
  <c r="DY96" i="5"/>
  <c r="DZ96" i="5"/>
  <c r="EA96" i="5"/>
  <c r="EB96" i="5"/>
  <c r="EC96" i="5"/>
  <c r="ED96" i="5"/>
  <c r="EE96" i="5"/>
  <c r="EF96" i="5"/>
  <c r="EG96" i="5"/>
  <c r="EH96" i="5"/>
  <c r="EI96" i="5"/>
  <c r="EJ96" i="5"/>
  <c r="EK96" i="5"/>
  <c r="EL96" i="5"/>
  <c r="EM96" i="5"/>
  <c r="EN96" i="5"/>
  <c r="EO96" i="5"/>
  <c r="EP96" i="5"/>
  <c r="EQ96" i="5"/>
  <c r="ER96" i="5"/>
  <c r="ES96" i="5"/>
  <c r="ET96" i="5"/>
  <c r="EU96" i="5"/>
  <c r="EV96" i="5"/>
  <c r="EW96" i="5"/>
  <c r="EX96" i="5"/>
  <c r="EY96" i="5"/>
  <c r="EZ96" i="5"/>
  <c r="FA96" i="5"/>
  <c r="FB96" i="5"/>
  <c r="FC96" i="5"/>
  <c r="FD96" i="5"/>
  <c r="FE96" i="5"/>
  <c r="FF96" i="5"/>
  <c r="FG96" i="5"/>
  <c r="FH96" i="5"/>
  <c r="FI96" i="5"/>
  <c r="FJ96" i="5"/>
  <c r="FK96" i="5"/>
  <c r="FL96" i="5"/>
  <c r="FM96" i="5"/>
  <c r="FN96" i="5"/>
  <c r="FO96" i="5"/>
  <c r="FP96" i="5"/>
  <c r="FQ96" i="5"/>
  <c r="FR96" i="5"/>
  <c r="FS96" i="5"/>
  <c r="FT96" i="5"/>
  <c r="FU96" i="5"/>
  <c r="FV96" i="5"/>
  <c r="FW96" i="5"/>
  <c r="FX96" i="5"/>
  <c r="FY96" i="5"/>
  <c r="FZ96" i="5"/>
  <c r="GA96" i="5"/>
  <c r="GB96" i="5"/>
  <c r="GC96" i="5"/>
  <c r="GD96" i="5"/>
  <c r="GE96" i="5"/>
  <c r="GF96" i="5"/>
  <c r="GG96" i="5"/>
  <c r="GH96" i="5"/>
  <c r="GI96" i="5"/>
  <c r="GJ96" i="5"/>
  <c r="GK96" i="5"/>
  <c r="GL96" i="5"/>
  <c r="GM96" i="5"/>
  <c r="GN96" i="5"/>
  <c r="GO96" i="5"/>
  <c r="GP96" i="5"/>
  <c r="GQ96" i="5"/>
  <c r="GR96" i="5"/>
  <c r="GS96" i="5"/>
  <c r="GT96" i="5"/>
  <c r="GU96" i="5"/>
  <c r="GV96" i="5"/>
  <c r="GW96" i="5"/>
  <c r="GX96" i="5"/>
  <c r="GY96" i="5"/>
  <c r="GZ96" i="5"/>
  <c r="HA96" i="5"/>
  <c r="HB96" i="5"/>
  <c r="HC96" i="5"/>
  <c r="HD96" i="5"/>
  <c r="HE96" i="5"/>
  <c r="HF96" i="5"/>
  <c r="HG96" i="5"/>
  <c r="A97" i="5"/>
  <c r="B97" i="5"/>
  <c r="C97" i="5"/>
  <c r="D97" i="5"/>
  <c r="E97" i="5"/>
  <c r="F97" i="5"/>
  <c r="G97" i="5"/>
  <c r="H97" i="5"/>
  <c r="I97" i="5"/>
  <c r="J97" i="5"/>
  <c r="K97" i="5"/>
  <c r="L97" i="5"/>
  <c r="M97" i="5"/>
  <c r="N97" i="5"/>
  <c r="O97" i="5"/>
  <c r="P97" i="5"/>
  <c r="Q97" i="5"/>
  <c r="R97" i="5"/>
  <c r="S97" i="5"/>
  <c r="T97" i="5"/>
  <c r="U97" i="5"/>
  <c r="V97" i="5"/>
  <c r="W97" i="5"/>
  <c r="X97" i="5"/>
  <c r="Y97" i="5"/>
  <c r="Z97" i="5"/>
  <c r="AA97" i="5"/>
  <c r="AB97" i="5"/>
  <c r="AC97" i="5"/>
  <c r="AD97" i="5"/>
  <c r="AE97" i="5"/>
  <c r="AF97" i="5"/>
  <c r="AG97" i="5"/>
  <c r="AH97" i="5"/>
  <c r="AI97" i="5"/>
  <c r="AJ97" i="5"/>
  <c r="AK97" i="5"/>
  <c r="AL97" i="5"/>
  <c r="AM97" i="5"/>
  <c r="AN97" i="5"/>
  <c r="AO97" i="5"/>
  <c r="AP97" i="5"/>
  <c r="AQ97" i="5"/>
  <c r="AR97" i="5"/>
  <c r="AS97" i="5"/>
  <c r="AT97" i="5"/>
  <c r="AU97" i="5"/>
  <c r="AV97" i="5"/>
  <c r="AW97" i="5"/>
  <c r="AX97" i="5"/>
  <c r="AY97" i="5"/>
  <c r="AZ97" i="5"/>
  <c r="BA97" i="5"/>
  <c r="BB97" i="5"/>
  <c r="BC97" i="5"/>
  <c r="BD97" i="5"/>
  <c r="BE97" i="5"/>
  <c r="BF97" i="5"/>
  <c r="BG97" i="5"/>
  <c r="BH97" i="5"/>
  <c r="BI97" i="5"/>
  <c r="BJ97" i="5"/>
  <c r="BK97" i="5"/>
  <c r="BL97" i="5"/>
  <c r="BM97" i="5"/>
  <c r="BN97" i="5"/>
  <c r="BO97" i="5"/>
  <c r="BP97" i="5"/>
  <c r="BQ97" i="5"/>
  <c r="BR97" i="5"/>
  <c r="BS97" i="5"/>
  <c r="BT97" i="5"/>
  <c r="BU97" i="5"/>
  <c r="BV97" i="5"/>
  <c r="BW97" i="5"/>
  <c r="BX97" i="5"/>
  <c r="BY97" i="5"/>
  <c r="BZ97" i="5"/>
  <c r="CA97" i="5"/>
  <c r="CB97" i="5"/>
  <c r="CC97" i="5"/>
  <c r="CD97" i="5"/>
  <c r="CE97" i="5"/>
  <c r="CF97" i="5"/>
  <c r="CG97" i="5"/>
  <c r="CH97" i="5"/>
  <c r="CI97" i="5"/>
  <c r="CJ97" i="5"/>
  <c r="CK97" i="5"/>
  <c r="CL97" i="5"/>
  <c r="CM97" i="5"/>
  <c r="CN97" i="5"/>
  <c r="CO97" i="5"/>
  <c r="CP97" i="5"/>
  <c r="CQ97" i="5"/>
  <c r="CR97" i="5"/>
  <c r="CS97" i="5"/>
  <c r="CT97" i="5"/>
  <c r="CU97" i="5"/>
  <c r="CV97" i="5"/>
  <c r="CW97" i="5"/>
  <c r="CX97" i="5"/>
  <c r="CY97" i="5"/>
  <c r="CZ97" i="5"/>
  <c r="DA97" i="5"/>
  <c r="DB97" i="5"/>
  <c r="DC97" i="5"/>
  <c r="DD97" i="5"/>
  <c r="DE97" i="5"/>
  <c r="DF97" i="5"/>
  <c r="DG97" i="5"/>
  <c r="DH97" i="5"/>
  <c r="DI97" i="5"/>
  <c r="DJ97" i="5"/>
  <c r="DK97" i="5"/>
  <c r="DL97" i="5"/>
  <c r="DM97" i="5"/>
  <c r="DN97" i="5"/>
  <c r="DO97" i="5"/>
  <c r="DP97" i="5"/>
  <c r="DQ97" i="5"/>
  <c r="DR97" i="5"/>
  <c r="DS97" i="5"/>
  <c r="DT97" i="5"/>
  <c r="DU97" i="5"/>
  <c r="DV97" i="5"/>
  <c r="DW97" i="5"/>
  <c r="DX97" i="5"/>
  <c r="DY97" i="5"/>
  <c r="DZ97" i="5"/>
  <c r="EA97" i="5"/>
  <c r="EB97" i="5"/>
  <c r="EC97" i="5"/>
  <c r="ED97" i="5"/>
  <c r="EE97" i="5"/>
  <c r="EF97" i="5"/>
  <c r="EG97" i="5"/>
  <c r="EH97" i="5"/>
  <c r="EI97" i="5"/>
  <c r="EJ97" i="5"/>
  <c r="EK97" i="5"/>
  <c r="EL97" i="5"/>
  <c r="EM97" i="5"/>
  <c r="EN97" i="5"/>
  <c r="EO97" i="5"/>
  <c r="EP97" i="5"/>
  <c r="EQ97" i="5"/>
  <c r="ER97" i="5"/>
  <c r="ES97" i="5"/>
  <c r="ET97" i="5"/>
  <c r="EU97" i="5"/>
  <c r="EV97" i="5"/>
  <c r="EW97" i="5"/>
  <c r="EX97" i="5"/>
  <c r="EY97" i="5"/>
  <c r="EZ97" i="5"/>
  <c r="FA97" i="5"/>
  <c r="FB97" i="5"/>
  <c r="FC97" i="5"/>
  <c r="FD97" i="5"/>
  <c r="FE97" i="5"/>
  <c r="FF97" i="5"/>
  <c r="FG97" i="5"/>
  <c r="FH97" i="5"/>
  <c r="FI97" i="5"/>
  <c r="FJ97" i="5"/>
  <c r="FK97" i="5"/>
  <c r="FL97" i="5"/>
  <c r="FM97" i="5"/>
  <c r="FN97" i="5"/>
  <c r="FO97" i="5"/>
  <c r="FP97" i="5"/>
  <c r="FQ97" i="5"/>
  <c r="FR97" i="5"/>
  <c r="FS97" i="5"/>
  <c r="FT97" i="5"/>
  <c r="FU97" i="5"/>
  <c r="FV97" i="5"/>
  <c r="FW97" i="5"/>
  <c r="FX97" i="5"/>
  <c r="FY97" i="5"/>
  <c r="FZ97" i="5"/>
  <c r="GA97" i="5"/>
  <c r="GB97" i="5"/>
  <c r="GC97" i="5"/>
  <c r="GD97" i="5"/>
  <c r="GE97" i="5"/>
  <c r="GF97" i="5"/>
  <c r="GG97" i="5"/>
  <c r="GH97" i="5"/>
  <c r="GI97" i="5"/>
  <c r="GJ97" i="5"/>
  <c r="GK97" i="5"/>
  <c r="GL97" i="5"/>
  <c r="GM97" i="5"/>
  <c r="GN97" i="5"/>
  <c r="GO97" i="5"/>
  <c r="GP97" i="5"/>
  <c r="GQ97" i="5"/>
  <c r="GR97" i="5"/>
  <c r="GS97" i="5"/>
  <c r="GT97" i="5"/>
  <c r="GU97" i="5"/>
  <c r="GV97" i="5"/>
  <c r="GW97" i="5"/>
  <c r="GX97" i="5"/>
  <c r="GY97" i="5"/>
  <c r="GZ97" i="5"/>
  <c r="HA97" i="5"/>
  <c r="HB97" i="5"/>
  <c r="HC97" i="5"/>
  <c r="HD97" i="5"/>
  <c r="HE97" i="5"/>
  <c r="HF97" i="5"/>
  <c r="HG97" i="5"/>
  <c r="A98" i="5"/>
  <c r="B98" i="5"/>
  <c r="C98" i="5"/>
  <c r="D98" i="5"/>
  <c r="E98" i="5"/>
  <c r="F98" i="5"/>
  <c r="G98" i="5"/>
  <c r="H98" i="5"/>
  <c r="I98" i="5"/>
  <c r="J98" i="5"/>
  <c r="K98" i="5"/>
  <c r="L98" i="5"/>
  <c r="M98" i="5"/>
  <c r="N98" i="5"/>
  <c r="O98" i="5"/>
  <c r="P98" i="5"/>
  <c r="Q98" i="5"/>
  <c r="R98" i="5"/>
  <c r="S98" i="5"/>
  <c r="T98" i="5"/>
  <c r="U98" i="5"/>
  <c r="V98" i="5"/>
  <c r="W98" i="5"/>
  <c r="X98" i="5"/>
  <c r="Y98" i="5"/>
  <c r="Z98" i="5"/>
  <c r="AA98" i="5"/>
  <c r="AB98" i="5"/>
  <c r="AC98" i="5"/>
  <c r="AD98" i="5"/>
  <c r="AE98" i="5"/>
  <c r="AF98" i="5"/>
  <c r="AG98" i="5"/>
  <c r="AH98" i="5"/>
  <c r="AI98" i="5"/>
  <c r="AJ98" i="5"/>
  <c r="AK98" i="5"/>
  <c r="AL98" i="5"/>
  <c r="AM98" i="5"/>
  <c r="AN98" i="5"/>
  <c r="AO98" i="5"/>
  <c r="AP98" i="5"/>
  <c r="AQ98" i="5"/>
  <c r="AR98" i="5"/>
  <c r="AS98" i="5"/>
  <c r="AT98" i="5"/>
  <c r="AU98" i="5"/>
  <c r="AV98" i="5"/>
  <c r="AW98" i="5"/>
  <c r="AX98" i="5"/>
  <c r="AY98" i="5"/>
  <c r="AZ98" i="5"/>
  <c r="BA98" i="5"/>
  <c r="BB98" i="5"/>
  <c r="BC98" i="5"/>
  <c r="BD98" i="5"/>
  <c r="BE98" i="5"/>
  <c r="BF98" i="5"/>
  <c r="BG98" i="5"/>
  <c r="BH98" i="5"/>
  <c r="BI98" i="5"/>
  <c r="BJ98" i="5"/>
  <c r="BK98" i="5"/>
  <c r="BL98" i="5"/>
  <c r="BM98" i="5"/>
  <c r="BN98" i="5"/>
  <c r="BO98" i="5"/>
  <c r="BP98" i="5"/>
  <c r="BQ98" i="5"/>
  <c r="BR98" i="5"/>
  <c r="BS98" i="5"/>
  <c r="BT98" i="5"/>
  <c r="BU98" i="5"/>
  <c r="BV98" i="5"/>
  <c r="BW98" i="5"/>
  <c r="BX98" i="5"/>
  <c r="BY98" i="5"/>
  <c r="BZ98" i="5"/>
  <c r="CA98" i="5"/>
  <c r="CB98" i="5"/>
  <c r="CC98" i="5"/>
  <c r="CD98" i="5"/>
  <c r="CE98" i="5"/>
  <c r="CF98" i="5"/>
  <c r="CG98" i="5"/>
  <c r="CH98" i="5"/>
  <c r="CI98" i="5"/>
  <c r="CJ98" i="5"/>
  <c r="CK98" i="5"/>
  <c r="CL98" i="5"/>
  <c r="CM98" i="5"/>
  <c r="CN98" i="5"/>
  <c r="CO98" i="5"/>
  <c r="CP98" i="5"/>
  <c r="CQ98" i="5"/>
  <c r="CR98" i="5"/>
  <c r="CS98" i="5"/>
  <c r="CT98" i="5"/>
  <c r="CU98" i="5"/>
  <c r="CV98" i="5"/>
  <c r="CW98" i="5"/>
  <c r="CX98" i="5"/>
  <c r="CY98" i="5"/>
  <c r="CZ98" i="5"/>
  <c r="DA98" i="5"/>
  <c r="DB98" i="5"/>
  <c r="DC98" i="5"/>
  <c r="DD98" i="5"/>
  <c r="DE98" i="5"/>
  <c r="DF98" i="5"/>
  <c r="DG98" i="5"/>
  <c r="DH98" i="5"/>
  <c r="DI98" i="5"/>
  <c r="DJ98" i="5"/>
  <c r="DK98" i="5"/>
  <c r="DL98" i="5"/>
  <c r="DM98" i="5"/>
  <c r="DN98" i="5"/>
  <c r="DO98" i="5"/>
  <c r="DP98" i="5"/>
  <c r="DQ98" i="5"/>
  <c r="DR98" i="5"/>
  <c r="DS98" i="5"/>
  <c r="DT98" i="5"/>
  <c r="DU98" i="5"/>
  <c r="DV98" i="5"/>
  <c r="DW98" i="5"/>
  <c r="DX98" i="5"/>
  <c r="DY98" i="5"/>
  <c r="DZ98" i="5"/>
  <c r="EA98" i="5"/>
  <c r="EB98" i="5"/>
  <c r="EC98" i="5"/>
  <c r="ED98" i="5"/>
  <c r="EE98" i="5"/>
  <c r="EF98" i="5"/>
  <c r="EG98" i="5"/>
  <c r="EH98" i="5"/>
  <c r="EI98" i="5"/>
  <c r="EJ98" i="5"/>
  <c r="EK98" i="5"/>
  <c r="EL98" i="5"/>
  <c r="EM98" i="5"/>
  <c r="EN98" i="5"/>
  <c r="EO98" i="5"/>
  <c r="EP98" i="5"/>
  <c r="EQ98" i="5"/>
  <c r="ER98" i="5"/>
  <c r="ES98" i="5"/>
  <c r="ET98" i="5"/>
  <c r="EU98" i="5"/>
  <c r="EV98" i="5"/>
  <c r="EW98" i="5"/>
  <c r="EX98" i="5"/>
  <c r="EY98" i="5"/>
  <c r="EZ98" i="5"/>
  <c r="FA98" i="5"/>
  <c r="FB98" i="5"/>
  <c r="FC98" i="5"/>
  <c r="FD98" i="5"/>
  <c r="FE98" i="5"/>
  <c r="FF98" i="5"/>
  <c r="FG98" i="5"/>
  <c r="FH98" i="5"/>
  <c r="FI98" i="5"/>
  <c r="FJ98" i="5"/>
  <c r="FK98" i="5"/>
  <c r="FL98" i="5"/>
  <c r="FM98" i="5"/>
  <c r="FN98" i="5"/>
  <c r="FO98" i="5"/>
  <c r="FP98" i="5"/>
  <c r="FQ98" i="5"/>
  <c r="FR98" i="5"/>
  <c r="FS98" i="5"/>
  <c r="FT98" i="5"/>
  <c r="FU98" i="5"/>
  <c r="FV98" i="5"/>
  <c r="FW98" i="5"/>
  <c r="FX98" i="5"/>
  <c r="FY98" i="5"/>
  <c r="FZ98" i="5"/>
  <c r="GA98" i="5"/>
  <c r="GB98" i="5"/>
  <c r="GC98" i="5"/>
  <c r="GD98" i="5"/>
  <c r="GE98" i="5"/>
  <c r="GF98" i="5"/>
  <c r="GG98" i="5"/>
  <c r="GH98" i="5"/>
  <c r="GI98" i="5"/>
  <c r="GJ98" i="5"/>
  <c r="GK98" i="5"/>
  <c r="GL98" i="5"/>
  <c r="GM98" i="5"/>
  <c r="GN98" i="5"/>
  <c r="GO98" i="5"/>
  <c r="GP98" i="5"/>
  <c r="GQ98" i="5"/>
  <c r="GR98" i="5"/>
  <c r="GS98" i="5"/>
  <c r="GT98" i="5"/>
  <c r="GU98" i="5"/>
  <c r="GV98" i="5"/>
  <c r="GW98" i="5"/>
  <c r="GX98" i="5"/>
  <c r="GY98" i="5"/>
  <c r="GZ98" i="5"/>
  <c r="HA98" i="5"/>
  <c r="HB98" i="5"/>
  <c r="HC98" i="5"/>
  <c r="HD98" i="5"/>
  <c r="HE98" i="5"/>
  <c r="HF98" i="5"/>
  <c r="HG98" i="5"/>
  <c r="A99" i="5"/>
  <c r="B99" i="5"/>
  <c r="C99" i="5"/>
  <c r="D99" i="5"/>
  <c r="E99" i="5"/>
  <c r="F99" i="5"/>
  <c r="G99" i="5"/>
  <c r="H99" i="5"/>
  <c r="I99" i="5"/>
  <c r="J99" i="5"/>
  <c r="K99" i="5"/>
  <c r="L99" i="5"/>
  <c r="M99" i="5"/>
  <c r="N99" i="5"/>
  <c r="O99" i="5"/>
  <c r="P99" i="5"/>
  <c r="Q99" i="5"/>
  <c r="R99" i="5"/>
  <c r="S99" i="5"/>
  <c r="T99" i="5"/>
  <c r="U99" i="5"/>
  <c r="V99" i="5"/>
  <c r="W99" i="5"/>
  <c r="X99" i="5"/>
  <c r="Y99" i="5"/>
  <c r="Z99" i="5"/>
  <c r="AA99" i="5"/>
  <c r="AB99" i="5"/>
  <c r="AC99" i="5"/>
  <c r="AD99" i="5"/>
  <c r="AE99" i="5"/>
  <c r="AF99" i="5"/>
  <c r="AG99" i="5"/>
  <c r="AH99" i="5"/>
  <c r="AI99" i="5"/>
  <c r="AJ99" i="5"/>
  <c r="AK99" i="5"/>
  <c r="AL99" i="5"/>
  <c r="AM99" i="5"/>
  <c r="AN99" i="5"/>
  <c r="AO99" i="5"/>
  <c r="AP99" i="5"/>
  <c r="AQ99" i="5"/>
  <c r="AR99" i="5"/>
  <c r="AS99" i="5"/>
  <c r="AT99" i="5"/>
  <c r="AU99" i="5"/>
  <c r="AV99" i="5"/>
  <c r="AW99" i="5"/>
  <c r="AX99" i="5"/>
  <c r="AY99" i="5"/>
  <c r="AZ99" i="5"/>
  <c r="BA99" i="5"/>
  <c r="BB99" i="5"/>
  <c r="BC99" i="5"/>
  <c r="BD99" i="5"/>
  <c r="BE99" i="5"/>
  <c r="BF99" i="5"/>
  <c r="BG99" i="5"/>
  <c r="BH99" i="5"/>
  <c r="BI99" i="5"/>
  <c r="BJ99" i="5"/>
  <c r="BK99" i="5"/>
  <c r="BL99" i="5"/>
  <c r="BM99" i="5"/>
  <c r="BN99" i="5"/>
  <c r="BO99" i="5"/>
  <c r="BP99" i="5"/>
  <c r="BQ99" i="5"/>
  <c r="BR99" i="5"/>
  <c r="BS99" i="5"/>
  <c r="BT99" i="5"/>
  <c r="BU99" i="5"/>
  <c r="BV99" i="5"/>
  <c r="BW99" i="5"/>
  <c r="BX99" i="5"/>
  <c r="BY99" i="5"/>
  <c r="BZ99" i="5"/>
  <c r="CA99" i="5"/>
  <c r="CB99" i="5"/>
  <c r="CC99" i="5"/>
  <c r="CD99" i="5"/>
  <c r="CE99" i="5"/>
  <c r="CF99" i="5"/>
  <c r="CG99" i="5"/>
  <c r="CH99" i="5"/>
  <c r="CI99" i="5"/>
  <c r="CJ99" i="5"/>
  <c r="CK99" i="5"/>
  <c r="CL99" i="5"/>
  <c r="CM99" i="5"/>
  <c r="CN99" i="5"/>
  <c r="CO99" i="5"/>
  <c r="CP99" i="5"/>
  <c r="CQ99" i="5"/>
  <c r="CR99" i="5"/>
  <c r="CS99" i="5"/>
  <c r="CT99" i="5"/>
  <c r="CU99" i="5"/>
  <c r="CV99" i="5"/>
  <c r="CW99" i="5"/>
  <c r="CX99" i="5"/>
  <c r="CY99" i="5"/>
  <c r="CZ99" i="5"/>
  <c r="DA99" i="5"/>
  <c r="DB99" i="5"/>
  <c r="DC99" i="5"/>
  <c r="DD99" i="5"/>
  <c r="DE99" i="5"/>
  <c r="DF99" i="5"/>
  <c r="DG99" i="5"/>
  <c r="DH99" i="5"/>
  <c r="DI99" i="5"/>
  <c r="DJ99" i="5"/>
  <c r="DK99" i="5"/>
  <c r="DL99" i="5"/>
  <c r="DM99" i="5"/>
  <c r="DN99" i="5"/>
  <c r="DO99" i="5"/>
  <c r="DP99" i="5"/>
  <c r="DQ99" i="5"/>
  <c r="DR99" i="5"/>
  <c r="DS99" i="5"/>
  <c r="DT99" i="5"/>
  <c r="DU99" i="5"/>
  <c r="DV99" i="5"/>
  <c r="DW99" i="5"/>
  <c r="DX99" i="5"/>
  <c r="DY99" i="5"/>
  <c r="DZ99" i="5"/>
  <c r="EA99" i="5"/>
  <c r="EB99" i="5"/>
  <c r="EC99" i="5"/>
  <c r="ED99" i="5"/>
  <c r="EE99" i="5"/>
  <c r="EF99" i="5"/>
  <c r="EG99" i="5"/>
  <c r="EH99" i="5"/>
  <c r="EI99" i="5"/>
  <c r="EJ99" i="5"/>
  <c r="EK99" i="5"/>
  <c r="EL99" i="5"/>
  <c r="EM99" i="5"/>
  <c r="EN99" i="5"/>
  <c r="EO99" i="5"/>
  <c r="EP99" i="5"/>
  <c r="EQ99" i="5"/>
  <c r="ER99" i="5"/>
  <c r="ES99" i="5"/>
  <c r="ET99" i="5"/>
  <c r="EU99" i="5"/>
  <c r="EV99" i="5"/>
  <c r="EW99" i="5"/>
  <c r="EX99" i="5"/>
  <c r="EY99" i="5"/>
  <c r="EZ99" i="5"/>
  <c r="FA99" i="5"/>
  <c r="FB99" i="5"/>
  <c r="FC99" i="5"/>
  <c r="FD99" i="5"/>
  <c r="FE99" i="5"/>
  <c r="FF99" i="5"/>
  <c r="FG99" i="5"/>
  <c r="FH99" i="5"/>
  <c r="FI99" i="5"/>
  <c r="FJ99" i="5"/>
  <c r="FK99" i="5"/>
  <c r="FL99" i="5"/>
  <c r="FM99" i="5"/>
  <c r="FN99" i="5"/>
  <c r="FO99" i="5"/>
  <c r="FP99" i="5"/>
  <c r="FQ99" i="5"/>
  <c r="FR99" i="5"/>
  <c r="FS99" i="5"/>
  <c r="FT99" i="5"/>
  <c r="FU99" i="5"/>
  <c r="FV99" i="5"/>
  <c r="FW99" i="5"/>
  <c r="FX99" i="5"/>
  <c r="FY99" i="5"/>
  <c r="FZ99" i="5"/>
  <c r="GA99" i="5"/>
  <c r="GB99" i="5"/>
  <c r="GC99" i="5"/>
  <c r="GD99" i="5"/>
  <c r="GE99" i="5"/>
  <c r="GF99" i="5"/>
  <c r="GG99" i="5"/>
  <c r="GH99" i="5"/>
  <c r="GI99" i="5"/>
  <c r="GJ99" i="5"/>
  <c r="GK99" i="5"/>
  <c r="GL99" i="5"/>
  <c r="GM99" i="5"/>
  <c r="GN99" i="5"/>
  <c r="GO99" i="5"/>
  <c r="GP99" i="5"/>
  <c r="GQ99" i="5"/>
  <c r="GR99" i="5"/>
  <c r="GS99" i="5"/>
  <c r="GT99" i="5"/>
  <c r="GU99" i="5"/>
  <c r="GV99" i="5"/>
  <c r="GW99" i="5"/>
  <c r="GX99" i="5"/>
  <c r="GY99" i="5"/>
  <c r="GZ99" i="5"/>
  <c r="HA99" i="5"/>
  <c r="HB99" i="5"/>
  <c r="HC99" i="5"/>
  <c r="HD99" i="5"/>
  <c r="HE99" i="5"/>
  <c r="HF99" i="5"/>
  <c r="HG99" i="5"/>
  <c r="A100" i="5"/>
  <c r="B100" i="5"/>
  <c r="C100" i="5"/>
  <c r="D100" i="5"/>
  <c r="E100" i="5"/>
  <c r="F100" i="5"/>
  <c r="G100" i="5"/>
  <c r="H100" i="5"/>
  <c r="I100" i="5"/>
  <c r="J100" i="5"/>
  <c r="K100" i="5"/>
  <c r="L100" i="5"/>
  <c r="M100" i="5"/>
  <c r="N100" i="5"/>
  <c r="O100" i="5"/>
  <c r="P100" i="5"/>
  <c r="Q100" i="5"/>
  <c r="R100" i="5"/>
  <c r="S100" i="5"/>
  <c r="T100" i="5"/>
  <c r="U100" i="5"/>
  <c r="V100" i="5"/>
  <c r="W100" i="5"/>
  <c r="X100" i="5"/>
  <c r="Y100" i="5"/>
  <c r="Z100" i="5"/>
  <c r="AA100" i="5"/>
  <c r="AB100" i="5"/>
  <c r="AC100" i="5"/>
  <c r="AD100" i="5"/>
  <c r="AE100" i="5"/>
  <c r="AF100" i="5"/>
  <c r="AG100" i="5"/>
  <c r="AH100" i="5"/>
  <c r="AI100" i="5"/>
  <c r="AJ100" i="5"/>
  <c r="AK100" i="5"/>
  <c r="AL100" i="5"/>
  <c r="AM100" i="5"/>
  <c r="AN100" i="5"/>
  <c r="AO100" i="5"/>
  <c r="AP100" i="5"/>
  <c r="AQ100" i="5"/>
  <c r="AR100" i="5"/>
  <c r="AS100" i="5"/>
  <c r="AT100" i="5"/>
  <c r="AU100" i="5"/>
  <c r="AV100" i="5"/>
  <c r="AW100" i="5"/>
  <c r="AX100" i="5"/>
  <c r="AY100" i="5"/>
  <c r="AZ100" i="5"/>
  <c r="BA100" i="5"/>
  <c r="BB100" i="5"/>
  <c r="BC100" i="5"/>
  <c r="BD100" i="5"/>
  <c r="BE100" i="5"/>
  <c r="BF100" i="5"/>
  <c r="BG100" i="5"/>
  <c r="BH100" i="5"/>
  <c r="BI100" i="5"/>
  <c r="BJ100" i="5"/>
  <c r="BK100" i="5"/>
  <c r="BL100" i="5"/>
  <c r="BM100" i="5"/>
  <c r="BN100" i="5"/>
  <c r="BO100" i="5"/>
  <c r="BP100" i="5"/>
  <c r="BQ100" i="5"/>
  <c r="BR100" i="5"/>
  <c r="BS100" i="5"/>
  <c r="BT100" i="5"/>
  <c r="BU100" i="5"/>
  <c r="BV100" i="5"/>
  <c r="BW100" i="5"/>
  <c r="BX100" i="5"/>
  <c r="BY100" i="5"/>
  <c r="BZ100" i="5"/>
  <c r="CA100" i="5"/>
  <c r="CB100" i="5"/>
  <c r="CC100" i="5"/>
  <c r="CD100" i="5"/>
  <c r="CE100" i="5"/>
  <c r="CF100" i="5"/>
  <c r="CG100" i="5"/>
  <c r="CH100" i="5"/>
  <c r="CI100" i="5"/>
  <c r="CJ100" i="5"/>
  <c r="CK100" i="5"/>
  <c r="CL100" i="5"/>
  <c r="CM100" i="5"/>
  <c r="CN100" i="5"/>
  <c r="CO100" i="5"/>
  <c r="CP100" i="5"/>
  <c r="CQ100" i="5"/>
  <c r="CR100" i="5"/>
  <c r="CS100" i="5"/>
  <c r="CT100" i="5"/>
  <c r="CU100" i="5"/>
  <c r="CV100" i="5"/>
  <c r="CW100" i="5"/>
  <c r="CX100" i="5"/>
  <c r="CY100" i="5"/>
  <c r="CZ100" i="5"/>
  <c r="DA100" i="5"/>
  <c r="DB100" i="5"/>
  <c r="DC100" i="5"/>
  <c r="DD100" i="5"/>
  <c r="DE100" i="5"/>
  <c r="DF100" i="5"/>
  <c r="DG100" i="5"/>
  <c r="DH100" i="5"/>
  <c r="DI100" i="5"/>
  <c r="DJ100" i="5"/>
  <c r="DK100" i="5"/>
  <c r="DL100" i="5"/>
  <c r="DM100" i="5"/>
  <c r="DN100" i="5"/>
  <c r="DO100" i="5"/>
  <c r="DP100" i="5"/>
  <c r="DQ100" i="5"/>
  <c r="DR100" i="5"/>
  <c r="DS100" i="5"/>
  <c r="DT100" i="5"/>
  <c r="DU100" i="5"/>
  <c r="DV100" i="5"/>
  <c r="DW100" i="5"/>
  <c r="DX100" i="5"/>
  <c r="DY100" i="5"/>
  <c r="DZ100" i="5"/>
  <c r="EA100" i="5"/>
  <c r="EB100" i="5"/>
  <c r="EC100" i="5"/>
  <c r="ED100" i="5"/>
  <c r="EE100" i="5"/>
  <c r="EF100" i="5"/>
  <c r="EG100" i="5"/>
  <c r="EH100" i="5"/>
  <c r="EI100" i="5"/>
  <c r="EJ100" i="5"/>
  <c r="EK100" i="5"/>
  <c r="EL100" i="5"/>
  <c r="EM100" i="5"/>
  <c r="EN100" i="5"/>
  <c r="EO100" i="5"/>
  <c r="EP100" i="5"/>
  <c r="EQ100" i="5"/>
  <c r="ER100" i="5"/>
  <c r="ES100" i="5"/>
  <c r="ET100" i="5"/>
  <c r="EU100" i="5"/>
  <c r="EV100" i="5"/>
  <c r="EW100" i="5"/>
  <c r="EX100" i="5"/>
  <c r="EY100" i="5"/>
  <c r="EZ100" i="5"/>
  <c r="FA100" i="5"/>
  <c r="FB100" i="5"/>
  <c r="FC100" i="5"/>
  <c r="FD100" i="5"/>
  <c r="FE100" i="5"/>
  <c r="FF100" i="5"/>
  <c r="FG100" i="5"/>
  <c r="FH100" i="5"/>
  <c r="FI100" i="5"/>
  <c r="FJ100" i="5"/>
  <c r="FK100" i="5"/>
  <c r="FL100" i="5"/>
  <c r="FM100" i="5"/>
  <c r="FN100" i="5"/>
  <c r="FO100" i="5"/>
  <c r="FP100" i="5"/>
  <c r="FQ100" i="5"/>
  <c r="FR100" i="5"/>
  <c r="FS100" i="5"/>
  <c r="FT100" i="5"/>
  <c r="FU100" i="5"/>
  <c r="FV100" i="5"/>
  <c r="FW100" i="5"/>
  <c r="FX100" i="5"/>
  <c r="FY100" i="5"/>
  <c r="FZ100" i="5"/>
  <c r="GA100" i="5"/>
  <c r="GB100" i="5"/>
  <c r="GC100" i="5"/>
  <c r="GD100" i="5"/>
  <c r="GE100" i="5"/>
  <c r="GF100" i="5"/>
  <c r="GG100" i="5"/>
  <c r="GH100" i="5"/>
  <c r="GI100" i="5"/>
  <c r="GJ100" i="5"/>
  <c r="GK100" i="5"/>
  <c r="GL100" i="5"/>
  <c r="GM100" i="5"/>
  <c r="GN100" i="5"/>
  <c r="GO100" i="5"/>
  <c r="GP100" i="5"/>
  <c r="GQ100" i="5"/>
  <c r="GR100" i="5"/>
  <c r="GS100" i="5"/>
  <c r="GT100" i="5"/>
  <c r="GU100" i="5"/>
  <c r="GV100" i="5"/>
  <c r="GW100" i="5"/>
  <c r="GX100" i="5"/>
  <c r="GY100" i="5"/>
  <c r="GZ100" i="5"/>
  <c r="HA100" i="5"/>
  <c r="HB100" i="5"/>
  <c r="HC100" i="5"/>
  <c r="HD100" i="5"/>
  <c r="HE100" i="5"/>
  <c r="HF100" i="5"/>
  <c r="HG100" i="5"/>
  <c r="A101" i="5"/>
  <c r="B101" i="5"/>
  <c r="C101" i="5"/>
  <c r="D101" i="5"/>
  <c r="E101" i="5"/>
  <c r="F101" i="5"/>
  <c r="G101" i="5"/>
  <c r="H101" i="5"/>
  <c r="I101" i="5"/>
  <c r="J101" i="5"/>
  <c r="K101" i="5"/>
  <c r="L101" i="5"/>
  <c r="M101" i="5"/>
  <c r="N101" i="5"/>
  <c r="O101" i="5"/>
  <c r="P101" i="5"/>
  <c r="Q101" i="5"/>
  <c r="R101" i="5"/>
  <c r="S101" i="5"/>
  <c r="T101" i="5"/>
  <c r="U101" i="5"/>
  <c r="V101" i="5"/>
  <c r="W101" i="5"/>
  <c r="X101" i="5"/>
  <c r="Y101" i="5"/>
  <c r="Z101" i="5"/>
  <c r="AA101" i="5"/>
  <c r="AB101" i="5"/>
  <c r="AC101" i="5"/>
  <c r="AD101" i="5"/>
  <c r="AE101" i="5"/>
  <c r="AF101" i="5"/>
  <c r="AG101" i="5"/>
  <c r="AH101" i="5"/>
  <c r="AI101" i="5"/>
  <c r="AJ101" i="5"/>
  <c r="AK101" i="5"/>
  <c r="AL101" i="5"/>
  <c r="AM101" i="5"/>
  <c r="AN101" i="5"/>
  <c r="AO101" i="5"/>
  <c r="AP101" i="5"/>
  <c r="AQ101" i="5"/>
  <c r="AR101" i="5"/>
  <c r="AS101" i="5"/>
  <c r="AT101" i="5"/>
  <c r="AU101" i="5"/>
  <c r="AV101" i="5"/>
  <c r="AW101" i="5"/>
  <c r="AX101" i="5"/>
  <c r="AY101" i="5"/>
  <c r="AZ101" i="5"/>
  <c r="BA101" i="5"/>
  <c r="BB101" i="5"/>
  <c r="BC101" i="5"/>
  <c r="BD101" i="5"/>
  <c r="BE101" i="5"/>
  <c r="BF101" i="5"/>
  <c r="BG101" i="5"/>
  <c r="BH101" i="5"/>
  <c r="BI101" i="5"/>
  <c r="BJ101" i="5"/>
  <c r="BK101" i="5"/>
  <c r="BL101" i="5"/>
  <c r="BM101" i="5"/>
  <c r="BN101" i="5"/>
  <c r="BO101" i="5"/>
  <c r="BP101" i="5"/>
  <c r="BQ101" i="5"/>
  <c r="BR101" i="5"/>
  <c r="BS101" i="5"/>
  <c r="BT101" i="5"/>
  <c r="BU101" i="5"/>
  <c r="BV101" i="5"/>
  <c r="BW101" i="5"/>
  <c r="BX101" i="5"/>
  <c r="BY101" i="5"/>
  <c r="BZ101" i="5"/>
  <c r="CA101" i="5"/>
  <c r="CB101" i="5"/>
  <c r="CC101" i="5"/>
  <c r="CD101" i="5"/>
  <c r="CE101" i="5"/>
  <c r="CF101" i="5"/>
  <c r="CG101" i="5"/>
  <c r="CH101" i="5"/>
  <c r="CI101" i="5"/>
  <c r="CJ101" i="5"/>
  <c r="CK101" i="5"/>
  <c r="CL101" i="5"/>
  <c r="CM101" i="5"/>
  <c r="CN101" i="5"/>
  <c r="CO101" i="5"/>
  <c r="CP101" i="5"/>
  <c r="CQ101" i="5"/>
  <c r="CR101" i="5"/>
  <c r="CS101" i="5"/>
  <c r="CT101" i="5"/>
  <c r="CU101" i="5"/>
  <c r="CV101" i="5"/>
  <c r="CW101" i="5"/>
  <c r="CX101" i="5"/>
  <c r="CY101" i="5"/>
  <c r="CZ101" i="5"/>
  <c r="DA101" i="5"/>
  <c r="DB101" i="5"/>
  <c r="DC101" i="5"/>
  <c r="DD101" i="5"/>
  <c r="DE101" i="5"/>
  <c r="DF101" i="5"/>
  <c r="DG101" i="5"/>
  <c r="DH101" i="5"/>
  <c r="DI101" i="5"/>
  <c r="DJ101" i="5"/>
  <c r="DK101" i="5"/>
  <c r="DL101" i="5"/>
  <c r="DM101" i="5"/>
  <c r="DN101" i="5"/>
  <c r="DO101" i="5"/>
  <c r="DP101" i="5"/>
  <c r="DQ101" i="5"/>
  <c r="DR101" i="5"/>
  <c r="DS101" i="5"/>
  <c r="DT101" i="5"/>
  <c r="DU101" i="5"/>
  <c r="DV101" i="5"/>
  <c r="DW101" i="5"/>
  <c r="DX101" i="5"/>
  <c r="DY101" i="5"/>
  <c r="DZ101" i="5"/>
  <c r="EA101" i="5"/>
  <c r="EB101" i="5"/>
  <c r="EC101" i="5"/>
  <c r="ED101" i="5"/>
  <c r="EE101" i="5"/>
  <c r="EF101" i="5"/>
  <c r="EG101" i="5"/>
  <c r="EH101" i="5"/>
  <c r="EI101" i="5"/>
  <c r="EJ101" i="5"/>
  <c r="EK101" i="5"/>
  <c r="EL101" i="5"/>
  <c r="EM101" i="5"/>
  <c r="EN101" i="5"/>
  <c r="EO101" i="5"/>
  <c r="EP101" i="5"/>
  <c r="EQ101" i="5"/>
  <c r="ER101" i="5"/>
  <c r="ES101" i="5"/>
  <c r="ET101" i="5"/>
  <c r="EU101" i="5"/>
  <c r="EV101" i="5"/>
  <c r="EW101" i="5"/>
  <c r="EX101" i="5"/>
  <c r="EY101" i="5"/>
  <c r="EZ101" i="5"/>
  <c r="FA101" i="5"/>
  <c r="FB101" i="5"/>
  <c r="FC101" i="5"/>
  <c r="FD101" i="5"/>
  <c r="FE101" i="5"/>
  <c r="FF101" i="5"/>
  <c r="FG101" i="5"/>
  <c r="FH101" i="5"/>
  <c r="FI101" i="5"/>
  <c r="FJ101" i="5"/>
  <c r="FK101" i="5"/>
  <c r="FL101" i="5"/>
  <c r="FM101" i="5"/>
  <c r="FN101" i="5"/>
  <c r="FO101" i="5"/>
  <c r="FP101" i="5"/>
  <c r="FQ101" i="5"/>
  <c r="FR101" i="5"/>
  <c r="FS101" i="5"/>
  <c r="FT101" i="5"/>
  <c r="FU101" i="5"/>
  <c r="FV101" i="5"/>
  <c r="FW101" i="5"/>
  <c r="FX101" i="5"/>
  <c r="FY101" i="5"/>
  <c r="FZ101" i="5"/>
  <c r="GA101" i="5"/>
  <c r="GB101" i="5"/>
  <c r="GC101" i="5"/>
  <c r="GD101" i="5"/>
  <c r="GE101" i="5"/>
  <c r="GF101" i="5"/>
  <c r="GG101" i="5"/>
  <c r="GH101" i="5"/>
  <c r="GI101" i="5"/>
  <c r="GJ101" i="5"/>
  <c r="GK101" i="5"/>
  <c r="GL101" i="5"/>
  <c r="GM101" i="5"/>
  <c r="GN101" i="5"/>
  <c r="GO101" i="5"/>
  <c r="GP101" i="5"/>
  <c r="GQ101" i="5"/>
  <c r="GR101" i="5"/>
  <c r="GS101" i="5"/>
  <c r="GT101" i="5"/>
  <c r="GU101" i="5"/>
  <c r="GV101" i="5"/>
  <c r="GW101" i="5"/>
  <c r="GX101" i="5"/>
  <c r="GY101" i="5"/>
  <c r="GZ101" i="5"/>
  <c r="HA101" i="5"/>
  <c r="HB101" i="5"/>
  <c r="HC101" i="5"/>
  <c r="HD101" i="5"/>
  <c r="HE101" i="5"/>
  <c r="HF101" i="5"/>
  <c r="HG101" i="5"/>
  <c r="A102" i="5"/>
  <c r="B102" i="5"/>
  <c r="C102" i="5"/>
  <c r="D102" i="5"/>
  <c r="E102" i="5"/>
  <c r="F102" i="5"/>
  <c r="G102" i="5"/>
  <c r="H102" i="5"/>
  <c r="I102" i="5"/>
  <c r="J102" i="5"/>
  <c r="K102" i="5"/>
  <c r="L102" i="5"/>
  <c r="M102" i="5"/>
  <c r="N102" i="5"/>
  <c r="O102" i="5"/>
  <c r="P102" i="5"/>
  <c r="Q102" i="5"/>
  <c r="R102" i="5"/>
  <c r="S102" i="5"/>
  <c r="T102" i="5"/>
  <c r="U102" i="5"/>
  <c r="V102" i="5"/>
  <c r="W102" i="5"/>
  <c r="X102" i="5"/>
  <c r="Y102" i="5"/>
  <c r="Z102" i="5"/>
  <c r="AA102" i="5"/>
  <c r="AB102" i="5"/>
  <c r="AC102" i="5"/>
  <c r="AD102" i="5"/>
  <c r="AE102" i="5"/>
  <c r="AF102" i="5"/>
  <c r="AG102" i="5"/>
  <c r="AH102" i="5"/>
  <c r="AI102" i="5"/>
  <c r="AJ102" i="5"/>
  <c r="AK102" i="5"/>
  <c r="AL102" i="5"/>
  <c r="AM102" i="5"/>
  <c r="AN102" i="5"/>
  <c r="AO102" i="5"/>
  <c r="AP102" i="5"/>
  <c r="AQ102" i="5"/>
  <c r="AR102" i="5"/>
  <c r="AS102" i="5"/>
  <c r="AT102" i="5"/>
  <c r="AU102" i="5"/>
  <c r="AV102" i="5"/>
  <c r="AW102" i="5"/>
  <c r="AX102" i="5"/>
  <c r="AY102" i="5"/>
  <c r="AZ102" i="5"/>
  <c r="BA102" i="5"/>
  <c r="BB102" i="5"/>
  <c r="BC102" i="5"/>
  <c r="BD102" i="5"/>
  <c r="BE102" i="5"/>
  <c r="BF102" i="5"/>
  <c r="BG102" i="5"/>
  <c r="BH102" i="5"/>
  <c r="BI102" i="5"/>
  <c r="BJ102" i="5"/>
  <c r="BK102" i="5"/>
  <c r="BL102" i="5"/>
  <c r="BM102" i="5"/>
  <c r="BN102" i="5"/>
  <c r="BO102" i="5"/>
  <c r="BP102" i="5"/>
  <c r="BQ102" i="5"/>
  <c r="BR102" i="5"/>
  <c r="BS102" i="5"/>
  <c r="BT102" i="5"/>
  <c r="BU102" i="5"/>
  <c r="BV102" i="5"/>
  <c r="BW102" i="5"/>
  <c r="BX102" i="5"/>
  <c r="BY102" i="5"/>
  <c r="BZ102" i="5"/>
  <c r="CA102" i="5"/>
  <c r="CB102" i="5"/>
  <c r="CC102" i="5"/>
  <c r="CD102" i="5"/>
  <c r="CE102" i="5"/>
  <c r="CF102" i="5"/>
  <c r="CG102" i="5"/>
  <c r="CH102" i="5"/>
  <c r="CI102" i="5"/>
  <c r="CJ102" i="5"/>
  <c r="CK102" i="5"/>
  <c r="CL102" i="5"/>
  <c r="CM102" i="5"/>
  <c r="CN102" i="5"/>
  <c r="CO102" i="5"/>
  <c r="CP102" i="5"/>
  <c r="CQ102" i="5"/>
  <c r="CR102" i="5"/>
  <c r="CS102" i="5"/>
  <c r="CT102" i="5"/>
  <c r="CU102" i="5"/>
  <c r="CV102" i="5"/>
  <c r="CW102" i="5"/>
  <c r="CX102" i="5"/>
  <c r="CY102" i="5"/>
  <c r="CZ102" i="5"/>
  <c r="DA102" i="5"/>
  <c r="DB102" i="5"/>
  <c r="DC102" i="5"/>
  <c r="DD102" i="5"/>
  <c r="DE102" i="5"/>
  <c r="DF102" i="5"/>
  <c r="DG102" i="5"/>
  <c r="DH102" i="5"/>
  <c r="DI102" i="5"/>
  <c r="DJ102" i="5"/>
  <c r="DK102" i="5"/>
  <c r="DL102" i="5"/>
  <c r="DM102" i="5"/>
  <c r="DN102" i="5"/>
  <c r="DO102" i="5"/>
  <c r="DP102" i="5"/>
  <c r="DQ102" i="5"/>
  <c r="DR102" i="5"/>
  <c r="DS102" i="5"/>
  <c r="DT102" i="5"/>
  <c r="DU102" i="5"/>
  <c r="DV102" i="5"/>
  <c r="DW102" i="5"/>
  <c r="DX102" i="5"/>
  <c r="DY102" i="5"/>
  <c r="DZ102" i="5"/>
  <c r="EA102" i="5"/>
  <c r="EB102" i="5"/>
  <c r="EC102" i="5"/>
  <c r="ED102" i="5"/>
  <c r="EE102" i="5"/>
  <c r="EF102" i="5"/>
  <c r="EG102" i="5"/>
  <c r="EH102" i="5"/>
  <c r="EI102" i="5"/>
  <c r="EJ102" i="5"/>
  <c r="EK102" i="5"/>
  <c r="EL102" i="5"/>
  <c r="EM102" i="5"/>
  <c r="EN102" i="5"/>
  <c r="EO102" i="5"/>
  <c r="EP102" i="5"/>
  <c r="EQ102" i="5"/>
  <c r="ER102" i="5"/>
  <c r="ES102" i="5"/>
  <c r="ET102" i="5"/>
  <c r="EU102" i="5"/>
  <c r="EV102" i="5"/>
  <c r="EW102" i="5"/>
  <c r="EX102" i="5"/>
  <c r="EY102" i="5"/>
  <c r="EZ102" i="5"/>
  <c r="FA102" i="5"/>
  <c r="FB102" i="5"/>
  <c r="FC102" i="5"/>
  <c r="FD102" i="5"/>
  <c r="FE102" i="5"/>
  <c r="FF102" i="5"/>
  <c r="FG102" i="5"/>
  <c r="FH102" i="5"/>
  <c r="FI102" i="5"/>
  <c r="FJ102" i="5"/>
  <c r="FK102" i="5"/>
  <c r="FL102" i="5"/>
  <c r="FM102" i="5"/>
  <c r="FN102" i="5"/>
  <c r="FO102" i="5"/>
  <c r="FP102" i="5"/>
  <c r="FQ102" i="5"/>
  <c r="FR102" i="5"/>
  <c r="FS102" i="5"/>
  <c r="FT102" i="5"/>
  <c r="FU102" i="5"/>
  <c r="FV102" i="5"/>
  <c r="FW102" i="5"/>
  <c r="FX102" i="5"/>
  <c r="FY102" i="5"/>
  <c r="FZ102" i="5"/>
  <c r="GA102" i="5"/>
  <c r="GB102" i="5"/>
  <c r="GC102" i="5"/>
  <c r="GD102" i="5"/>
  <c r="GE102" i="5"/>
  <c r="GF102" i="5"/>
  <c r="GG102" i="5"/>
  <c r="GH102" i="5"/>
  <c r="GI102" i="5"/>
  <c r="GJ102" i="5"/>
  <c r="GK102" i="5"/>
  <c r="GL102" i="5"/>
  <c r="GM102" i="5"/>
  <c r="GN102" i="5"/>
  <c r="GO102" i="5"/>
  <c r="GP102" i="5"/>
  <c r="GQ102" i="5"/>
  <c r="GR102" i="5"/>
  <c r="GS102" i="5"/>
  <c r="GT102" i="5"/>
  <c r="GU102" i="5"/>
  <c r="GV102" i="5"/>
  <c r="GW102" i="5"/>
  <c r="GX102" i="5"/>
  <c r="GY102" i="5"/>
  <c r="GZ102" i="5"/>
  <c r="HA102" i="5"/>
  <c r="HB102" i="5"/>
  <c r="HC102" i="5"/>
  <c r="HD102" i="5"/>
  <c r="HE102" i="5"/>
  <c r="HF102" i="5"/>
  <c r="HG102" i="5"/>
  <c r="A103" i="5"/>
  <c r="B103" i="5"/>
  <c r="C103" i="5"/>
  <c r="D103" i="5"/>
  <c r="E103" i="5"/>
  <c r="F103" i="5"/>
  <c r="G103" i="5"/>
  <c r="H103" i="5"/>
  <c r="I103" i="5"/>
  <c r="J103" i="5"/>
  <c r="K103" i="5"/>
  <c r="L103" i="5"/>
  <c r="M103" i="5"/>
  <c r="N103" i="5"/>
  <c r="O103" i="5"/>
  <c r="P103" i="5"/>
  <c r="Q103" i="5"/>
  <c r="R103" i="5"/>
  <c r="S103" i="5"/>
  <c r="T103" i="5"/>
  <c r="U103" i="5"/>
  <c r="V103" i="5"/>
  <c r="W103" i="5"/>
  <c r="X103" i="5"/>
  <c r="Y103" i="5"/>
  <c r="Z103" i="5"/>
  <c r="AA103" i="5"/>
  <c r="AB103" i="5"/>
  <c r="AC103" i="5"/>
  <c r="AD103" i="5"/>
  <c r="AE103" i="5"/>
  <c r="AF103" i="5"/>
  <c r="AG103" i="5"/>
  <c r="AH103" i="5"/>
  <c r="AI103" i="5"/>
  <c r="AJ103" i="5"/>
  <c r="AK103" i="5"/>
  <c r="AL103" i="5"/>
  <c r="AM103" i="5"/>
  <c r="AN103" i="5"/>
  <c r="AO103" i="5"/>
  <c r="AP103" i="5"/>
  <c r="AQ103" i="5"/>
  <c r="AR103" i="5"/>
  <c r="AS103" i="5"/>
  <c r="AT103" i="5"/>
  <c r="AU103" i="5"/>
  <c r="AV103" i="5"/>
  <c r="AW103" i="5"/>
  <c r="AX103" i="5"/>
  <c r="AY103" i="5"/>
  <c r="AZ103" i="5"/>
  <c r="BA103" i="5"/>
  <c r="BB103" i="5"/>
  <c r="BC103" i="5"/>
  <c r="BD103" i="5"/>
  <c r="BE103" i="5"/>
  <c r="BF103" i="5"/>
  <c r="BG103" i="5"/>
  <c r="BH103" i="5"/>
  <c r="BI103" i="5"/>
  <c r="BJ103" i="5"/>
  <c r="BK103" i="5"/>
  <c r="BL103" i="5"/>
  <c r="BM103" i="5"/>
  <c r="BN103" i="5"/>
  <c r="BO103" i="5"/>
  <c r="BP103" i="5"/>
  <c r="BQ103" i="5"/>
  <c r="BR103" i="5"/>
  <c r="BS103" i="5"/>
  <c r="BT103" i="5"/>
  <c r="BU103" i="5"/>
  <c r="BV103" i="5"/>
  <c r="BW103" i="5"/>
  <c r="BX103" i="5"/>
  <c r="BY103" i="5"/>
  <c r="BZ103" i="5"/>
  <c r="CA103" i="5"/>
  <c r="CB103" i="5"/>
  <c r="CC103" i="5"/>
  <c r="CD103" i="5"/>
  <c r="CE103" i="5"/>
  <c r="CF103" i="5"/>
  <c r="CG103" i="5"/>
  <c r="CH103" i="5"/>
  <c r="CI103" i="5"/>
  <c r="CJ103" i="5"/>
  <c r="CK103" i="5"/>
  <c r="CL103" i="5"/>
  <c r="CM103" i="5"/>
  <c r="CN103" i="5"/>
  <c r="CO103" i="5"/>
  <c r="CP103" i="5"/>
  <c r="CQ103" i="5"/>
  <c r="CR103" i="5"/>
  <c r="CS103" i="5"/>
  <c r="CT103" i="5"/>
  <c r="CU103" i="5"/>
  <c r="CV103" i="5"/>
  <c r="CW103" i="5"/>
  <c r="CX103" i="5"/>
  <c r="CY103" i="5"/>
  <c r="CZ103" i="5"/>
  <c r="DA103" i="5"/>
  <c r="DB103" i="5"/>
  <c r="DC103" i="5"/>
  <c r="DD103" i="5"/>
  <c r="DE103" i="5"/>
  <c r="DF103" i="5"/>
  <c r="DG103" i="5"/>
  <c r="DH103" i="5"/>
  <c r="DI103" i="5"/>
  <c r="DJ103" i="5"/>
  <c r="DK103" i="5"/>
  <c r="DL103" i="5"/>
  <c r="DM103" i="5"/>
  <c r="DN103" i="5"/>
  <c r="DO103" i="5"/>
  <c r="DP103" i="5"/>
  <c r="DQ103" i="5"/>
  <c r="DR103" i="5"/>
  <c r="DS103" i="5"/>
  <c r="DT103" i="5"/>
  <c r="DU103" i="5"/>
  <c r="DV103" i="5"/>
  <c r="DW103" i="5"/>
  <c r="DX103" i="5"/>
  <c r="DY103" i="5"/>
  <c r="DZ103" i="5"/>
  <c r="EA103" i="5"/>
  <c r="EB103" i="5"/>
  <c r="EC103" i="5"/>
  <c r="ED103" i="5"/>
  <c r="EE103" i="5"/>
  <c r="EF103" i="5"/>
  <c r="EG103" i="5"/>
  <c r="EH103" i="5"/>
  <c r="EI103" i="5"/>
  <c r="EJ103" i="5"/>
  <c r="EK103" i="5"/>
  <c r="EL103" i="5"/>
  <c r="EM103" i="5"/>
  <c r="EN103" i="5"/>
  <c r="EO103" i="5"/>
  <c r="EP103" i="5"/>
  <c r="EQ103" i="5"/>
  <c r="ER103" i="5"/>
  <c r="ES103" i="5"/>
  <c r="ET103" i="5"/>
  <c r="EU103" i="5"/>
  <c r="EV103" i="5"/>
  <c r="EW103" i="5"/>
  <c r="EX103" i="5"/>
  <c r="EY103" i="5"/>
  <c r="EZ103" i="5"/>
  <c r="FA103" i="5"/>
  <c r="FB103" i="5"/>
  <c r="FC103" i="5"/>
  <c r="FD103" i="5"/>
  <c r="FE103" i="5"/>
  <c r="FF103" i="5"/>
  <c r="FG103" i="5"/>
  <c r="FH103" i="5"/>
  <c r="FI103" i="5"/>
  <c r="FJ103" i="5"/>
  <c r="FK103" i="5"/>
  <c r="FL103" i="5"/>
  <c r="FM103" i="5"/>
  <c r="FN103" i="5"/>
  <c r="FO103" i="5"/>
  <c r="FP103" i="5"/>
  <c r="FQ103" i="5"/>
  <c r="FR103" i="5"/>
  <c r="FS103" i="5"/>
  <c r="FT103" i="5"/>
  <c r="FU103" i="5"/>
  <c r="FV103" i="5"/>
  <c r="FW103" i="5"/>
  <c r="FX103" i="5"/>
  <c r="FY103" i="5"/>
  <c r="FZ103" i="5"/>
  <c r="GA103" i="5"/>
  <c r="GB103" i="5"/>
  <c r="GC103" i="5"/>
  <c r="GD103" i="5"/>
  <c r="GE103" i="5"/>
  <c r="GF103" i="5"/>
  <c r="GG103" i="5"/>
  <c r="GH103" i="5"/>
  <c r="GI103" i="5"/>
  <c r="GJ103" i="5"/>
  <c r="GK103" i="5"/>
  <c r="GL103" i="5"/>
  <c r="GM103" i="5"/>
  <c r="GN103" i="5"/>
  <c r="GO103" i="5"/>
  <c r="GP103" i="5"/>
  <c r="GQ103" i="5"/>
  <c r="GR103" i="5"/>
  <c r="GS103" i="5"/>
  <c r="GT103" i="5"/>
  <c r="GU103" i="5"/>
  <c r="GV103" i="5"/>
  <c r="GW103" i="5"/>
  <c r="GX103" i="5"/>
  <c r="GY103" i="5"/>
  <c r="GZ103" i="5"/>
  <c r="HA103" i="5"/>
  <c r="HB103" i="5"/>
  <c r="HC103" i="5"/>
  <c r="HD103" i="5"/>
  <c r="HE103" i="5"/>
  <c r="HF103" i="5"/>
  <c r="HG103" i="5"/>
  <c r="A104" i="5"/>
  <c r="B104" i="5"/>
  <c r="C104" i="5"/>
  <c r="D104" i="5"/>
  <c r="E104" i="5"/>
  <c r="F104" i="5"/>
  <c r="G104" i="5"/>
  <c r="H104" i="5"/>
  <c r="I104" i="5"/>
  <c r="J104" i="5"/>
  <c r="K104" i="5"/>
  <c r="L104" i="5"/>
  <c r="M104" i="5"/>
  <c r="N104" i="5"/>
  <c r="O104" i="5"/>
  <c r="P104" i="5"/>
  <c r="Q104" i="5"/>
  <c r="R104" i="5"/>
  <c r="S104" i="5"/>
  <c r="T104" i="5"/>
  <c r="U104" i="5"/>
  <c r="V104" i="5"/>
  <c r="W104" i="5"/>
  <c r="X104" i="5"/>
  <c r="Y104" i="5"/>
  <c r="Z104" i="5"/>
  <c r="AA104" i="5"/>
  <c r="AB104" i="5"/>
  <c r="AC104" i="5"/>
  <c r="AD104" i="5"/>
  <c r="AE104" i="5"/>
  <c r="AF104" i="5"/>
  <c r="AG104" i="5"/>
  <c r="AH104" i="5"/>
  <c r="AI104" i="5"/>
  <c r="AJ104" i="5"/>
  <c r="AK104" i="5"/>
  <c r="AL104" i="5"/>
  <c r="AM104" i="5"/>
  <c r="AN104" i="5"/>
  <c r="AO104" i="5"/>
  <c r="AP104" i="5"/>
  <c r="AQ104" i="5"/>
  <c r="AR104" i="5"/>
  <c r="AS104" i="5"/>
  <c r="AT104" i="5"/>
  <c r="AU104" i="5"/>
  <c r="AV104" i="5"/>
  <c r="AW104" i="5"/>
  <c r="AX104" i="5"/>
  <c r="AY104" i="5"/>
  <c r="AZ104" i="5"/>
  <c r="BA104" i="5"/>
  <c r="BB104" i="5"/>
  <c r="BC104" i="5"/>
  <c r="BD104" i="5"/>
  <c r="BE104" i="5"/>
  <c r="BF104" i="5"/>
  <c r="BG104" i="5"/>
  <c r="BH104" i="5"/>
  <c r="BI104" i="5"/>
  <c r="BJ104" i="5"/>
  <c r="BK104" i="5"/>
  <c r="BL104" i="5"/>
  <c r="BM104" i="5"/>
  <c r="BN104" i="5"/>
  <c r="BO104" i="5"/>
  <c r="BP104" i="5"/>
  <c r="BQ104" i="5"/>
  <c r="BR104" i="5"/>
  <c r="BS104" i="5"/>
  <c r="BT104" i="5"/>
  <c r="BU104" i="5"/>
  <c r="BV104" i="5"/>
  <c r="BW104" i="5"/>
  <c r="BX104" i="5"/>
  <c r="BY104" i="5"/>
  <c r="BZ104" i="5"/>
  <c r="CA104" i="5"/>
  <c r="CB104" i="5"/>
  <c r="CC104" i="5"/>
  <c r="CD104" i="5"/>
  <c r="CE104" i="5"/>
  <c r="CF104" i="5"/>
  <c r="CG104" i="5"/>
  <c r="CH104" i="5"/>
  <c r="CI104" i="5"/>
  <c r="CJ104" i="5"/>
  <c r="CK104" i="5"/>
  <c r="CL104" i="5"/>
  <c r="CM104" i="5"/>
  <c r="CN104" i="5"/>
  <c r="CO104" i="5"/>
  <c r="CP104" i="5"/>
  <c r="CQ104" i="5"/>
  <c r="CR104" i="5"/>
  <c r="CS104" i="5"/>
  <c r="CT104" i="5"/>
  <c r="CU104" i="5"/>
  <c r="CV104" i="5"/>
  <c r="CW104" i="5"/>
  <c r="CX104" i="5"/>
  <c r="CY104" i="5"/>
  <c r="CZ104" i="5"/>
  <c r="DA104" i="5"/>
  <c r="DB104" i="5"/>
  <c r="DC104" i="5"/>
  <c r="DD104" i="5"/>
  <c r="DE104" i="5"/>
  <c r="DF104" i="5"/>
  <c r="DG104" i="5"/>
  <c r="DH104" i="5"/>
  <c r="DI104" i="5"/>
  <c r="DJ104" i="5"/>
  <c r="DK104" i="5"/>
  <c r="DL104" i="5"/>
  <c r="DM104" i="5"/>
  <c r="DN104" i="5"/>
  <c r="DO104" i="5"/>
  <c r="DP104" i="5"/>
  <c r="DQ104" i="5"/>
  <c r="DR104" i="5"/>
  <c r="DS104" i="5"/>
  <c r="DT104" i="5"/>
  <c r="DU104" i="5"/>
  <c r="DV104" i="5"/>
  <c r="DW104" i="5"/>
  <c r="DX104" i="5"/>
  <c r="DY104" i="5"/>
  <c r="DZ104" i="5"/>
  <c r="EA104" i="5"/>
  <c r="EB104" i="5"/>
  <c r="EC104" i="5"/>
  <c r="ED104" i="5"/>
  <c r="EE104" i="5"/>
  <c r="EF104" i="5"/>
  <c r="EG104" i="5"/>
  <c r="EH104" i="5"/>
  <c r="EI104" i="5"/>
  <c r="EJ104" i="5"/>
  <c r="EK104" i="5"/>
  <c r="EL104" i="5"/>
  <c r="EM104" i="5"/>
  <c r="EN104" i="5"/>
  <c r="EO104" i="5"/>
  <c r="EP104" i="5"/>
  <c r="EQ104" i="5"/>
  <c r="ER104" i="5"/>
  <c r="ES104" i="5"/>
  <c r="ET104" i="5"/>
  <c r="EU104" i="5"/>
  <c r="EV104" i="5"/>
  <c r="EW104" i="5"/>
  <c r="EX104" i="5"/>
  <c r="EY104" i="5"/>
  <c r="EZ104" i="5"/>
  <c r="FA104" i="5"/>
  <c r="FB104" i="5"/>
  <c r="FC104" i="5"/>
  <c r="FD104" i="5"/>
  <c r="FE104" i="5"/>
  <c r="FF104" i="5"/>
  <c r="FG104" i="5"/>
  <c r="FH104" i="5"/>
  <c r="FI104" i="5"/>
  <c r="FJ104" i="5"/>
  <c r="FK104" i="5"/>
  <c r="FL104" i="5"/>
  <c r="FM104" i="5"/>
  <c r="FN104" i="5"/>
  <c r="FO104" i="5"/>
  <c r="FP104" i="5"/>
  <c r="FQ104" i="5"/>
  <c r="FR104" i="5"/>
  <c r="FS104" i="5"/>
  <c r="FT104" i="5"/>
  <c r="FU104" i="5"/>
  <c r="FV104" i="5"/>
  <c r="FW104" i="5"/>
  <c r="FX104" i="5"/>
  <c r="FY104" i="5"/>
  <c r="FZ104" i="5"/>
  <c r="GA104" i="5"/>
  <c r="GB104" i="5"/>
  <c r="GC104" i="5"/>
  <c r="GD104" i="5"/>
  <c r="GE104" i="5"/>
  <c r="GF104" i="5"/>
  <c r="GG104" i="5"/>
  <c r="GH104" i="5"/>
  <c r="GI104" i="5"/>
  <c r="GJ104" i="5"/>
  <c r="GK104" i="5"/>
  <c r="GL104" i="5"/>
  <c r="GM104" i="5"/>
  <c r="GN104" i="5"/>
  <c r="GO104" i="5"/>
  <c r="GP104" i="5"/>
  <c r="GQ104" i="5"/>
  <c r="GR104" i="5"/>
  <c r="GS104" i="5"/>
  <c r="GT104" i="5"/>
  <c r="GU104" i="5"/>
  <c r="GV104" i="5"/>
  <c r="GW104" i="5"/>
  <c r="GX104" i="5"/>
  <c r="GY104" i="5"/>
  <c r="GZ104" i="5"/>
  <c r="HA104" i="5"/>
  <c r="HB104" i="5"/>
  <c r="HC104" i="5"/>
  <c r="HD104" i="5"/>
  <c r="HE104" i="5"/>
  <c r="HF104" i="5"/>
  <c r="HG104" i="5"/>
  <c r="A105" i="5"/>
  <c r="B105" i="5"/>
  <c r="C105" i="5"/>
  <c r="D105" i="5"/>
  <c r="E105" i="5"/>
  <c r="F105" i="5"/>
  <c r="G105" i="5"/>
  <c r="H105" i="5"/>
  <c r="I105" i="5"/>
  <c r="J105" i="5"/>
  <c r="K105" i="5"/>
  <c r="L105" i="5"/>
  <c r="M105" i="5"/>
  <c r="N105" i="5"/>
  <c r="O105" i="5"/>
  <c r="P105" i="5"/>
  <c r="Q105" i="5"/>
  <c r="R105" i="5"/>
  <c r="S105" i="5"/>
  <c r="T105" i="5"/>
  <c r="U105" i="5"/>
  <c r="V105" i="5"/>
  <c r="W105" i="5"/>
  <c r="X105" i="5"/>
  <c r="Y105" i="5"/>
  <c r="Z105" i="5"/>
  <c r="AA105" i="5"/>
  <c r="AB105" i="5"/>
  <c r="AC105" i="5"/>
  <c r="AD105" i="5"/>
  <c r="AE105" i="5"/>
  <c r="AF105" i="5"/>
  <c r="AG105" i="5"/>
  <c r="AH105" i="5"/>
  <c r="AI105" i="5"/>
  <c r="AJ105" i="5"/>
  <c r="AK105" i="5"/>
  <c r="AL105" i="5"/>
  <c r="AM105" i="5"/>
  <c r="AN105" i="5"/>
  <c r="AO105" i="5"/>
  <c r="AP105" i="5"/>
  <c r="AQ105" i="5"/>
  <c r="AR105" i="5"/>
  <c r="AS105" i="5"/>
  <c r="AT105" i="5"/>
  <c r="AU105" i="5"/>
  <c r="AV105" i="5"/>
  <c r="AW105" i="5"/>
  <c r="AX105" i="5"/>
  <c r="AY105" i="5"/>
  <c r="AZ105" i="5"/>
  <c r="BA105" i="5"/>
  <c r="BB105" i="5"/>
  <c r="BC105" i="5"/>
  <c r="BD105" i="5"/>
  <c r="BE105" i="5"/>
  <c r="BF105" i="5"/>
  <c r="BG105" i="5"/>
  <c r="BH105" i="5"/>
  <c r="BI105" i="5"/>
  <c r="BJ105" i="5"/>
  <c r="BK105" i="5"/>
  <c r="BL105" i="5"/>
  <c r="BM105" i="5"/>
  <c r="BN105" i="5"/>
  <c r="BO105" i="5"/>
  <c r="BP105" i="5"/>
  <c r="BQ105" i="5"/>
  <c r="BR105" i="5"/>
  <c r="BS105" i="5"/>
  <c r="BT105" i="5"/>
  <c r="BU105" i="5"/>
  <c r="BV105" i="5"/>
  <c r="BW105" i="5"/>
  <c r="BX105" i="5"/>
  <c r="BY105" i="5"/>
  <c r="BZ105" i="5"/>
  <c r="CA105" i="5"/>
  <c r="CB105" i="5"/>
  <c r="CC105" i="5"/>
  <c r="CD105" i="5"/>
  <c r="CE105" i="5"/>
  <c r="CF105" i="5"/>
  <c r="CG105" i="5"/>
  <c r="CH105" i="5"/>
  <c r="CI105" i="5"/>
  <c r="CJ105" i="5"/>
  <c r="CK105" i="5"/>
  <c r="CL105" i="5"/>
  <c r="CM105" i="5"/>
  <c r="CN105" i="5"/>
  <c r="CO105" i="5"/>
  <c r="CP105" i="5"/>
  <c r="CQ105" i="5"/>
  <c r="CR105" i="5"/>
  <c r="CS105" i="5"/>
  <c r="CT105" i="5"/>
  <c r="CU105" i="5"/>
  <c r="CV105" i="5"/>
  <c r="CW105" i="5"/>
  <c r="CX105" i="5"/>
  <c r="CY105" i="5"/>
  <c r="CZ105" i="5"/>
  <c r="DA105" i="5"/>
  <c r="DB105" i="5"/>
  <c r="DC105" i="5"/>
  <c r="DD105" i="5"/>
  <c r="DE105" i="5"/>
  <c r="DF105" i="5"/>
  <c r="DG105" i="5"/>
  <c r="DH105" i="5"/>
  <c r="DI105" i="5"/>
  <c r="DJ105" i="5"/>
  <c r="DK105" i="5"/>
  <c r="DL105" i="5"/>
  <c r="DM105" i="5"/>
  <c r="DN105" i="5"/>
  <c r="DO105" i="5"/>
  <c r="DP105" i="5"/>
  <c r="DQ105" i="5"/>
  <c r="DR105" i="5"/>
  <c r="DS105" i="5"/>
  <c r="DT105" i="5"/>
  <c r="DU105" i="5"/>
  <c r="DV105" i="5"/>
  <c r="DW105" i="5"/>
  <c r="DX105" i="5"/>
  <c r="DY105" i="5"/>
  <c r="DZ105" i="5"/>
  <c r="EA105" i="5"/>
  <c r="EB105" i="5"/>
  <c r="EC105" i="5"/>
  <c r="ED105" i="5"/>
  <c r="EE105" i="5"/>
  <c r="EF105" i="5"/>
  <c r="EG105" i="5"/>
  <c r="EH105" i="5"/>
  <c r="EI105" i="5"/>
  <c r="EJ105" i="5"/>
  <c r="EK105" i="5"/>
  <c r="EL105" i="5"/>
  <c r="EM105" i="5"/>
  <c r="EN105" i="5"/>
  <c r="EO105" i="5"/>
  <c r="EP105" i="5"/>
  <c r="EQ105" i="5"/>
  <c r="ER105" i="5"/>
  <c r="ES105" i="5"/>
  <c r="ET105" i="5"/>
  <c r="EU105" i="5"/>
  <c r="EV105" i="5"/>
  <c r="EW105" i="5"/>
  <c r="EX105" i="5"/>
  <c r="EY105" i="5"/>
  <c r="EZ105" i="5"/>
  <c r="FA105" i="5"/>
  <c r="FB105" i="5"/>
  <c r="FC105" i="5"/>
  <c r="FD105" i="5"/>
  <c r="FE105" i="5"/>
  <c r="FF105" i="5"/>
  <c r="FG105" i="5"/>
  <c r="FH105" i="5"/>
  <c r="FI105" i="5"/>
  <c r="FJ105" i="5"/>
  <c r="FK105" i="5"/>
  <c r="FL105" i="5"/>
  <c r="FM105" i="5"/>
  <c r="FN105" i="5"/>
  <c r="FO105" i="5"/>
  <c r="FP105" i="5"/>
  <c r="FQ105" i="5"/>
  <c r="FR105" i="5"/>
  <c r="FS105" i="5"/>
  <c r="FT105" i="5"/>
  <c r="FU105" i="5"/>
  <c r="FV105" i="5"/>
  <c r="FW105" i="5"/>
  <c r="FX105" i="5"/>
  <c r="FY105" i="5"/>
  <c r="FZ105" i="5"/>
  <c r="GA105" i="5"/>
  <c r="GB105" i="5"/>
  <c r="GC105" i="5"/>
  <c r="GD105" i="5"/>
  <c r="GE105" i="5"/>
  <c r="GF105" i="5"/>
  <c r="GG105" i="5"/>
  <c r="GH105" i="5"/>
  <c r="GI105" i="5"/>
  <c r="GJ105" i="5"/>
  <c r="GK105" i="5"/>
  <c r="GL105" i="5"/>
  <c r="GM105" i="5"/>
  <c r="GN105" i="5"/>
  <c r="GO105" i="5"/>
  <c r="GP105" i="5"/>
  <c r="GQ105" i="5"/>
  <c r="GR105" i="5"/>
  <c r="GS105" i="5"/>
  <c r="GT105" i="5"/>
  <c r="GU105" i="5"/>
  <c r="GV105" i="5"/>
  <c r="GW105" i="5"/>
  <c r="GX105" i="5"/>
  <c r="GY105" i="5"/>
  <c r="GZ105" i="5"/>
  <c r="HA105" i="5"/>
  <c r="HB105" i="5"/>
  <c r="HC105" i="5"/>
  <c r="HD105" i="5"/>
  <c r="HE105" i="5"/>
  <c r="HF105" i="5"/>
  <c r="HG105" i="5"/>
  <c r="A106" i="5"/>
  <c r="B106" i="5"/>
  <c r="C106" i="5"/>
  <c r="D106" i="5"/>
  <c r="E106" i="5"/>
  <c r="F106" i="5"/>
  <c r="G106" i="5"/>
  <c r="H106" i="5"/>
  <c r="I106" i="5"/>
  <c r="J106" i="5"/>
  <c r="K106" i="5"/>
  <c r="L106" i="5"/>
  <c r="M106" i="5"/>
  <c r="N106" i="5"/>
  <c r="O106" i="5"/>
  <c r="P106" i="5"/>
  <c r="Q106" i="5"/>
  <c r="R106" i="5"/>
  <c r="S106" i="5"/>
  <c r="T106" i="5"/>
  <c r="U106" i="5"/>
  <c r="V106" i="5"/>
  <c r="W106" i="5"/>
  <c r="X106" i="5"/>
  <c r="Y106" i="5"/>
  <c r="Z106" i="5"/>
  <c r="AA106" i="5"/>
  <c r="AB106" i="5"/>
  <c r="AC106" i="5"/>
  <c r="AD106" i="5"/>
  <c r="AE106" i="5"/>
  <c r="AF106" i="5"/>
  <c r="AG106" i="5"/>
  <c r="AH106" i="5"/>
  <c r="AI106" i="5"/>
  <c r="AJ106" i="5"/>
  <c r="AK106" i="5"/>
  <c r="AL106" i="5"/>
  <c r="AM106" i="5"/>
  <c r="AN106" i="5"/>
  <c r="AO106" i="5"/>
  <c r="AP106" i="5"/>
  <c r="AQ106" i="5"/>
  <c r="AR106" i="5"/>
  <c r="AS106" i="5"/>
  <c r="AT106" i="5"/>
  <c r="AU106" i="5"/>
  <c r="AV106" i="5"/>
  <c r="AW106" i="5"/>
  <c r="AX106" i="5"/>
  <c r="AY106" i="5"/>
  <c r="AZ106" i="5"/>
  <c r="BA106" i="5"/>
  <c r="BB106" i="5"/>
  <c r="BC106" i="5"/>
  <c r="BD106" i="5"/>
  <c r="BE106" i="5"/>
  <c r="BF106" i="5"/>
  <c r="BG106" i="5"/>
  <c r="BH106" i="5"/>
  <c r="BI106" i="5"/>
  <c r="BJ106" i="5"/>
  <c r="BK106" i="5"/>
  <c r="BL106" i="5"/>
  <c r="BM106" i="5"/>
  <c r="BN106" i="5"/>
  <c r="BO106" i="5"/>
  <c r="BP106" i="5"/>
  <c r="BQ106" i="5"/>
  <c r="BR106" i="5"/>
  <c r="BS106" i="5"/>
  <c r="BT106" i="5"/>
  <c r="BU106" i="5"/>
  <c r="BV106" i="5"/>
  <c r="BW106" i="5"/>
  <c r="BX106" i="5"/>
  <c r="BY106" i="5"/>
  <c r="BZ106" i="5"/>
  <c r="CA106" i="5"/>
  <c r="CB106" i="5"/>
  <c r="CC106" i="5"/>
  <c r="CD106" i="5"/>
  <c r="CE106" i="5"/>
  <c r="CF106" i="5"/>
  <c r="CG106" i="5"/>
  <c r="CH106" i="5"/>
  <c r="CI106" i="5"/>
  <c r="CJ106" i="5"/>
  <c r="CK106" i="5"/>
  <c r="CL106" i="5"/>
  <c r="CM106" i="5"/>
  <c r="CN106" i="5"/>
  <c r="CO106" i="5"/>
  <c r="CP106" i="5"/>
  <c r="CQ106" i="5"/>
  <c r="CR106" i="5"/>
  <c r="CS106" i="5"/>
  <c r="CT106" i="5"/>
  <c r="CU106" i="5"/>
  <c r="CV106" i="5"/>
  <c r="CW106" i="5"/>
  <c r="CX106" i="5"/>
  <c r="CY106" i="5"/>
  <c r="CZ106" i="5"/>
  <c r="DA106" i="5"/>
  <c r="DB106" i="5"/>
  <c r="DC106" i="5"/>
  <c r="DD106" i="5"/>
  <c r="DE106" i="5"/>
  <c r="DF106" i="5"/>
  <c r="DG106" i="5"/>
  <c r="DH106" i="5"/>
  <c r="DI106" i="5"/>
  <c r="DJ106" i="5"/>
  <c r="DK106" i="5"/>
  <c r="DL106" i="5"/>
  <c r="DM106" i="5"/>
  <c r="DN106" i="5"/>
  <c r="DO106" i="5"/>
  <c r="DP106" i="5"/>
  <c r="DQ106" i="5"/>
  <c r="DR106" i="5"/>
  <c r="DS106" i="5"/>
  <c r="DT106" i="5"/>
  <c r="DU106" i="5"/>
  <c r="DV106" i="5"/>
  <c r="DW106" i="5"/>
  <c r="DX106" i="5"/>
  <c r="DY106" i="5"/>
  <c r="DZ106" i="5"/>
  <c r="EA106" i="5"/>
  <c r="EB106" i="5"/>
  <c r="EC106" i="5"/>
  <c r="ED106" i="5"/>
  <c r="EE106" i="5"/>
  <c r="EF106" i="5"/>
  <c r="EG106" i="5"/>
  <c r="EH106" i="5"/>
  <c r="EI106" i="5"/>
  <c r="EJ106" i="5"/>
  <c r="EK106" i="5"/>
  <c r="EL106" i="5"/>
  <c r="EM106" i="5"/>
  <c r="EN106" i="5"/>
  <c r="EO106" i="5"/>
  <c r="EP106" i="5"/>
  <c r="EQ106" i="5"/>
  <c r="ER106" i="5"/>
  <c r="ES106" i="5"/>
  <c r="ET106" i="5"/>
  <c r="EU106" i="5"/>
  <c r="EV106" i="5"/>
  <c r="EW106" i="5"/>
  <c r="EX106" i="5"/>
  <c r="EY106" i="5"/>
  <c r="EZ106" i="5"/>
  <c r="FA106" i="5"/>
  <c r="FB106" i="5"/>
  <c r="FC106" i="5"/>
  <c r="FD106" i="5"/>
  <c r="FE106" i="5"/>
  <c r="FF106" i="5"/>
  <c r="FG106" i="5"/>
  <c r="FH106" i="5"/>
  <c r="FI106" i="5"/>
  <c r="FJ106" i="5"/>
  <c r="FK106" i="5"/>
  <c r="FL106" i="5"/>
  <c r="FM106" i="5"/>
  <c r="FN106" i="5"/>
  <c r="FO106" i="5"/>
  <c r="FP106" i="5"/>
  <c r="FQ106" i="5"/>
  <c r="FR106" i="5"/>
  <c r="FS106" i="5"/>
  <c r="FT106" i="5"/>
  <c r="FU106" i="5"/>
  <c r="FV106" i="5"/>
  <c r="FW106" i="5"/>
  <c r="FX106" i="5"/>
  <c r="FY106" i="5"/>
  <c r="FZ106" i="5"/>
  <c r="GA106" i="5"/>
  <c r="GB106" i="5"/>
  <c r="GC106" i="5"/>
  <c r="GD106" i="5"/>
  <c r="GE106" i="5"/>
  <c r="GF106" i="5"/>
  <c r="GG106" i="5"/>
  <c r="GH106" i="5"/>
  <c r="GI106" i="5"/>
  <c r="GJ106" i="5"/>
  <c r="GK106" i="5"/>
  <c r="GL106" i="5"/>
  <c r="GM106" i="5"/>
  <c r="GN106" i="5"/>
  <c r="GO106" i="5"/>
  <c r="GP106" i="5"/>
  <c r="GQ106" i="5"/>
  <c r="GR106" i="5"/>
  <c r="GS106" i="5"/>
  <c r="GT106" i="5"/>
  <c r="GU106" i="5"/>
  <c r="GV106" i="5"/>
  <c r="GW106" i="5"/>
  <c r="GX106" i="5"/>
  <c r="GY106" i="5"/>
  <c r="GZ106" i="5"/>
  <c r="HA106" i="5"/>
  <c r="HB106" i="5"/>
  <c r="HC106" i="5"/>
  <c r="HD106" i="5"/>
  <c r="HE106" i="5"/>
  <c r="HF106" i="5"/>
  <c r="HG106" i="5"/>
  <c r="A107" i="5"/>
  <c r="B107" i="5"/>
  <c r="C107" i="5"/>
  <c r="D107" i="5"/>
  <c r="E107" i="5"/>
  <c r="F107" i="5"/>
  <c r="G107" i="5"/>
  <c r="H107" i="5"/>
  <c r="I107" i="5"/>
  <c r="J107" i="5"/>
  <c r="K107" i="5"/>
  <c r="L107" i="5"/>
  <c r="M107" i="5"/>
  <c r="N107" i="5"/>
  <c r="O107" i="5"/>
  <c r="P107" i="5"/>
  <c r="Q107" i="5"/>
  <c r="R107" i="5"/>
  <c r="S107" i="5"/>
  <c r="T107" i="5"/>
  <c r="U107" i="5"/>
  <c r="V107" i="5"/>
  <c r="W107" i="5"/>
  <c r="X107" i="5"/>
  <c r="Y107" i="5"/>
  <c r="Z107" i="5"/>
  <c r="AA107" i="5"/>
  <c r="AB107" i="5"/>
  <c r="AC107" i="5"/>
  <c r="AD107" i="5"/>
  <c r="AE107" i="5"/>
  <c r="AF107" i="5"/>
  <c r="AG107" i="5"/>
  <c r="AH107" i="5"/>
  <c r="AI107" i="5"/>
  <c r="AJ107" i="5"/>
  <c r="AK107" i="5"/>
  <c r="AL107" i="5"/>
  <c r="AM107" i="5"/>
  <c r="AN107" i="5"/>
  <c r="AO107" i="5"/>
  <c r="AP107" i="5"/>
  <c r="AQ107" i="5"/>
  <c r="AR107" i="5"/>
  <c r="AS107" i="5"/>
  <c r="AT107" i="5"/>
  <c r="AU107" i="5"/>
  <c r="AV107" i="5"/>
  <c r="AW107" i="5"/>
  <c r="AX107" i="5"/>
  <c r="AY107" i="5"/>
  <c r="AZ107" i="5"/>
  <c r="BA107" i="5"/>
  <c r="BB107" i="5"/>
  <c r="BC107" i="5"/>
  <c r="BD107" i="5"/>
  <c r="BE107" i="5"/>
  <c r="BF107" i="5"/>
  <c r="BG107" i="5"/>
  <c r="BH107" i="5"/>
  <c r="BI107" i="5"/>
  <c r="BJ107" i="5"/>
  <c r="BK107" i="5"/>
  <c r="BL107" i="5"/>
  <c r="BM107" i="5"/>
  <c r="BN107" i="5"/>
  <c r="BO107" i="5"/>
  <c r="BP107" i="5"/>
  <c r="BQ107" i="5"/>
  <c r="BR107" i="5"/>
  <c r="BS107" i="5"/>
  <c r="BT107" i="5"/>
  <c r="BU107" i="5"/>
  <c r="BV107" i="5"/>
  <c r="BW107" i="5"/>
  <c r="BX107" i="5"/>
  <c r="BY107" i="5"/>
  <c r="BZ107" i="5"/>
  <c r="CA107" i="5"/>
  <c r="CB107" i="5"/>
  <c r="CC107" i="5"/>
  <c r="CD107" i="5"/>
  <c r="CE107" i="5"/>
  <c r="CF107" i="5"/>
  <c r="CG107" i="5"/>
  <c r="CH107" i="5"/>
  <c r="CI107" i="5"/>
  <c r="CJ107" i="5"/>
  <c r="CK107" i="5"/>
  <c r="CL107" i="5"/>
  <c r="CM107" i="5"/>
  <c r="CN107" i="5"/>
  <c r="CO107" i="5"/>
  <c r="CP107" i="5"/>
  <c r="CQ107" i="5"/>
  <c r="CR107" i="5"/>
  <c r="CS107" i="5"/>
  <c r="CT107" i="5"/>
  <c r="CU107" i="5"/>
  <c r="CV107" i="5"/>
  <c r="CW107" i="5"/>
  <c r="CX107" i="5"/>
  <c r="CY107" i="5"/>
  <c r="CZ107" i="5"/>
  <c r="DA107" i="5"/>
  <c r="DB107" i="5"/>
  <c r="DC107" i="5"/>
  <c r="DD107" i="5"/>
  <c r="DE107" i="5"/>
  <c r="DF107" i="5"/>
  <c r="DG107" i="5"/>
  <c r="DH107" i="5"/>
  <c r="DI107" i="5"/>
  <c r="DJ107" i="5"/>
  <c r="DK107" i="5"/>
  <c r="DL107" i="5"/>
  <c r="DM107" i="5"/>
  <c r="DN107" i="5"/>
  <c r="DO107" i="5"/>
  <c r="DP107" i="5"/>
  <c r="DQ107" i="5"/>
  <c r="DR107" i="5"/>
  <c r="DS107" i="5"/>
  <c r="DT107" i="5"/>
  <c r="DU107" i="5"/>
  <c r="DV107" i="5"/>
  <c r="DW107" i="5"/>
  <c r="DX107" i="5"/>
  <c r="DY107" i="5"/>
  <c r="DZ107" i="5"/>
  <c r="EA107" i="5"/>
  <c r="EB107" i="5"/>
  <c r="EC107" i="5"/>
  <c r="ED107" i="5"/>
  <c r="EE107" i="5"/>
  <c r="EF107" i="5"/>
  <c r="EG107" i="5"/>
  <c r="EH107" i="5"/>
  <c r="EI107" i="5"/>
  <c r="EJ107" i="5"/>
  <c r="EK107" i="5"/>
  <c r="EL107" i="5"/>
  <c r="EM107" i="5"/>
  <c r="EN107" i="5"/>
  <c r="EO107" i="5"/>
  <c r="EP107" i="5"/>
  <c r="EQ107" i="5"/>
  <c r="ER107" i="5"/>
  <c r="ES107" i="5"/>
  <c r="ET107" i="5"/>
  <c r="EU107" i="5"/>
  <c r="EV107" i="5"/>
  <c r="EW107" i="5"/>
  <c r="EX107" i="5"/>
  <c r="EY107" i="5"/>
  <c r="EZ107" i="5"/>
  <c r="FA107" i="5"/>
  <c r="FB107" i="5"/>
  <c r="FC107" i="5"/>
  <c r="FD107" i="5"/>
  <c r="FE107" i="5"/>
  <c r="FF107" i="5"/>
  <c r="FG107" i="5"/>
  <c r="FH107" i="5"/>
  <c r="FI107" i="5"/>
  <c r="FJ107" i="5"/>
  <c r="FK107" i="5"/>
  <c r="FL107" i="5"/>
  <c r="FM107" i="5"/>
  <c r="FN107" i="5"/>
  <c r="FO107" i="5"/>
  <c r="FP107" i="5"/>
  <c r="FQ107" i="5"/>
  <c r="FR107" i="5"/>
  <c r="FS107" i="5"/>
  <c r="FT107" i="5"/>
  <c r="FU107" i="5"/>
  <c r="FV107" i="5"/>
  <c r="FW107" i="5"/>
  <c r="FX107" i="5"/>
  <c r="FY107" i="5"/>
  <c r="FZ107" i="5"/>
  <c r="GA107" i="5"/>
  <c r="GB107" i="5"/>
  <c r="GC107" i="5"/>
  <c r="GD107" i="5"/>
  <c r="GE107" i="5"/>
  <c r="GF107" i="5"/>
  <c r="GG107" i="5"/>
  <c r="GH107" i="5"/>
  <c r="GI107" i="5"/>
  <c r="GJ107" i="5"/>
  <c r="GK107" i="5"/>
  <c r="GL107" i="5"/>
  <c r="GM107" i="5"/>
  <c r="GN107" i="5"/>
  <c r="GO107" i="5"/>
  <c r="GP107" i="5"/>
  <c r="GQ107" i="5"/>
  <c r="GR107" i="5"/>
  <c r="GS107" i="5"/>
  <c r="GT107" i="5"/>
  <c r="GU107" i="5"/>
  <c r="GV107" i="5"/>
  <c r="GW107" i="5"/>
  <c r="GX107" i="5"/>
  <c r="GY107" i="5"/>
  <c r="GZ107" i="5"/>
  <c r="HA107" i="5"/>
  <c r="HB107" i="5"/>
  <c r="HC107" i="5"/>
  <c r="HD107" i="5"/>
  <c r="HE107" i="5"/>
  <c r="HF107" i="5"/>
  <c r="HG107" i="5"/>
  <c r="A108" i="5"/>
  <c r="B108" i="5"/>
  <c r="C108" i="5"/>
  <c r="D108" i="5"/>
  <c r="E108" i="5"/>
  <c r="F108" i="5"/>
  <c r="G108" i="5"/>
  <c r="H108" i="5"/>
  <c r="I108" i="5"/>
  <c r="J108" i="5"/>
  <c r="K108" i="5"/>
  <c r="L108" i="5"/>
  <c r="M108" i="5"/>
  <c r="N108" i="5"/>
  <c r="O108" i="5"/>
  <c r="P108" i="5"/>
  <c r="Q108" i="5"/>
  <c r="R108" i="5"/>
  <c r="S108" i="5"/>
  <c r="T108" i="5"/>
  <c r="U108" i="5"/>
  <c r="V108" i="5"/>
  <c r="W108" i="5"/>
  <c r="X108" i="5"/>
  <c r="Y108" i="5"/>
  <c r="Z108" i="5"/>
  <c r="AA108" i="5"/>
  <c r="AB108" i="5"/>
  <c r="AC108" i="5"/>
  <c r="AD108" i="5"/>
  <c r="AE108" i="5"/>
  <c r="AF108" i="5"/>
  <c r="AG108" i="5"/>
  <c r="AH108" i="5"/>
  <c r="AI108" i="5"/>
  <c r="AJ108" i="5"/>
  <c r="AK108" i="5"/>
  <c r="AL108" i="5"/>
  <c r="AM108" i="5"/>
  <c r="AN108" i="5"/>
  <c r="AO108" i="5"/>
  <c r="AP108" i="5"/>
  <c r="AQ108" i="5"/>
  <c r="AR108" i="5"/>
  <c r="AS108" i="5"/>
  <c r="AT108" i="5"/>
  <c r="AU108" i="5"/>
  <c r="AV108" i="5"/>
  <c r="AW108" i="5"/>
  <c r="AX108" i="5"/>
  <c r="AY108" i="5"/>
  <c r="AZ108" i="5"/>
  <c r="BA108" i="5"/>
  <c r="BB108" i="5"/>
  <c r="BC108" i="5"/>
  <c r="BD108" i="5"/>
  <c r="BE108" i="5"/>
  <c r="BF108" i="5"/>
  <c r="BG108" i="5"/>
  <c r="BH108" i="5"/>
  <c r="BI108" i="5"/>
  <c r="BJ108" i="5"/>
  <c r="BK108" i="5"/>
  <c r="BL108" i="5"/>
  <c r="BM108" i="5"/>
  <c r="BN108" i="5"/>
  <c r="BO108" i="5"/>
  <c r="BP108" i="5"/>
  <c r="BQ108" i="5"/>
  <c r="BR108" i="5"/>
  <c r="BS108" i="5"/>
  <c r="BT108" i="5"/>
  <c r="BU108" i="5"/>
  <c r="BV108" i="5"/>
  <c r="BW108" i="5"/>
  <c r="BX108" i="5"/>
  <c r="BY108" i="5"/>
  <c r="BZ108" i="5"/>
  <c r="CA108" i="5"/>
  <c r="CB108" i="5"/>
  <c r="CC108" i="5"/>
  <c r="CD108" i="5"/>
  <c r="CE108" i="5"/>
  <c r="CF108" i="5"/>
  <c r="CG108" i="5"/>
  <c r="CH108" i="5"/>
  <c r="CI108" i="5"/>
  <c r="CJ108" i="5"/>
  <c r="CK108" i="5"/>
  <c r="CL108" i="5"/>
  <c r="CM108" i="5"/>
  <c r="CN108" i="5"/>
  <c r="CO108" i="5"/>
  <c r="CP108" i="5"/>
  <c r="CQ108" i="5"/>
  <c r="CR108" i="5"/>
  <c r="CS108" i="5"/>
  <c r="CT108" i="5"/>
  <c r="CU108" i="5"/>
  <c r="CV108" i="5"/>
  <c r="CW108" i="5"/>
  <c r="CX108" i="5"/>
  <c r="CY108" i="5"/>
  <c r="CZ108" i="5"/>
  <c r="DA108" i="5"/>
  <c r="DB108" i="5"/>
  <c r="DC108" i="5"/>
  <c r="DD108" i="5"/>
  <c r="DE108" i="5"/>
  <c r="DF108" i="5"/>
  <c r="DG108" i="5"/>
  <c r="DH108" i="5"/>
  <c r="DI108" i="5"/>
  <c r="DJ108" i="5"/>
  <c r="DK108" i="5"/>
  <c r="DL108" i="5"/>
  <c r="DM108" i="5"/>
  <c r="DN108" i="5"/>
  <c r="DO108" i="5"/>
  <c r="DP108" i="5"/>
  <c r="DQ108" i="5"/>
  <c r="DR108" i="5"/>
  <c r="DS108" i="5"/>
  <c r="DT108" i="5"/>
  <c r="DU108" i="5"/>
  <c r="DV108" i="5"/>
  <c r="DW108" i="5"/>
  <c r="DX108" i="5"/>
  <c r="DY108" i="5"/>
  <c r="DZ108" i="5"/>
  <c r="EA108" i="5"/>
  <c r="EB108" i="5"/>
  <c r="EC108" i="5"/>
  <c r="ED108" i="5"/>
  <c r="EE108" i="5"/>
  <c r="EF108" i="5"/>
  <c r="EG108" i="5"/>
  <c r="EH108" i="5"/>
  <c r="EI108" i="5"/>
  <c r="EJ108" i="5"/>
  <c r="EK108" i="5"/>
  <c r="EL108" i="5"/>
  <c r="EM108" i="5"/>
  <c r="EN108" i="5"/>
  <c r="EO108" i="5"/>
  <c r="EP108" i="5"/>
  <c r="EQ108" i="5"/>
  <c r="ER108" i="5"/>
  <c r="ES108" i="5"/>
  <c r="ET108" i="5"/>
  <c r="EU108" i="5"/>
  <c r="EV108" i="5"/>
  <c r="EW108" i="5"/>
  <c r="EX108" i="5"/>
  <c r="EY108" i="5"/>
  <c r="EZ108" i="5"/>
  <c r="FA108" i="5"/>
  <c r="FB108" i="5"/>
  <c r="FC108" i="5"/>
  <c r="FD108" i="5"/>
  <c r="FE108" i="5"/>
  <c r="FF108" i="5"/>
  <c r="FG108" i="5"/>
  <c r="FH108" i="5"/>
  <c r="FI108" i="5"/>
  <c r="FJ108" i="5"/>
  <c r="FK108" i="5"/>
  <c r="FL108" i="5"/>
  <c r="FM108" i="5"/>
  <c r="FN108" i="5"/>
  <c r="FO108" i="5"/>
  <c r="FP108" i="5"/>
  <c r="FQ108" i="5"/>
  <c r="FR108" i="5"/>
  <c r="FS108" i="5"/>
  <c r="FT108" i="5"/>
  <c r="FU108" i="5"/>
  <c r="FV108" i="5"/>
  <c r="FW108" i="5"/>
  <c r="FX108" i="5"/>
  <c r="FY108" i="5"/>
  <c r="FZ108" i="5"/>
  <c r="GA108" i="5"/>
  <c r="GB108" i="5"/>
  <c r="GC108" i="5"/>
  <c r="GD108" i="5"/>
  <c r="GE108" i="5"/>
  <c r="GF108" i="5"/>
  <c r="GG108" i="5"/>
  <c r="GH108" i="5"/>
  <c r="GI108" i="5"/>
  <c r="GJ108" i="5"/>
  <c r="GK108" i="5"/>
  <c r="GL108" i="5"/>
  <c r="GM108" i="5"/>
  <c r="GN108" i="5"/>
  <c r="GO108" i="5"/>
  <c r="GP108" i="5"/>
  <c r="GQ108" i="5"/>
  <c r="GR108" i="5"/>
  <c r="GS108" i="5"/>
  <c r="GT108" i="5"/>
  <c r="GU108" i="5"/>
  <c r="GV108" i="5"/>
  <c r="GW108" i="5"/>
  <c r="GX108" i="5"/>
  <c r="GY108" i="5"/>
  <c r="GZ108" i="5"/>
  <c r="HA108" i="5"/>
  <c r="HB108" i="5"/>
  <c r="HC108" i="5"/>
  <c r="HD108" i="5"/>
  <c r="HE108" i="5"/>
  <c r="HF108" i="5"/>
  <c r="HG108" i="5"/>
  <c r="A109" i="5"/>
  <c r="B109" i="5"/>
  <c r="C109" i="5"/>
  <c r="D109" i="5"/>
  <c r="E109" i="5"/>
  <c r="F109" i="5"/>
  <c r="G109" i="5"/>
  <c r="H109" i="5"/>
  <c r="I109" i="5"/>
  <c r="J109" i="5"/>
  <c r="K109" i="5"/>
  <c r="L109" i="5"/>
  <c r="M109" i="5"/>
  <c r="N109" i="5"/>
  <c r="O109" i="5"/>
  <c r="P109" i="5"/>
  <c r="Q109" i="5"/>
  <c r="R109" i="5"/>
  <c r="S109" i="5"/>
  <c r="T109" i="5"/>
  <c r="U109" i="5"/>
  <c r="V109" i="5"/>
  <c r="W109" i="5"/>
  <c r="X109" i="5"/>
  <c r="Y109" i="5"/>
  <c r="Z109" i="5"/>
  <c r="AA109" i="5"/>
  <c r="AB109" i="5"/>
  <c r="AC109" i="5"/>
  <c r="AD109" i="5"/>
  <c r="AE109" i="5"/>
  <c r="AF109" i="5"/>
  <c r="AG109" i="5"/>
  <c r="AH109" i="5"/>
  <c r="AI109" i="5"/>
  <c r="AJ109" i="5"/>
  <c r="AK109" i="5"/>
  <c r="AL109" i="5"/>
  <c r="AM109" i="5"/>
  <c r="AN109" i="5"/>
  <c r="AO109" i="5"/>
  <c r="AP109" i="5"/>
  <c r="AQ109" i="5"/>
  <c r="AR109" i="5"/>
  <c r="AS109" i="5"/>
  <c r="AT109" i="5"/>
  <c r="AU109" i="5"/>
  <c r="AV109" i="5"/>
  <c r="AW109" i="5"/>
  <c r="AX109" i="5"/>
  <c r="AY109" i="5"/>
  <c r="AZ109" i="5"/>
  <c r="BA109" i="5"/>
  <c r="BB109" i="5"/>
  <c r="BC109" i="5"/>
  <c r="BD109" i="5"/>
  <c r="BE109" i="5"/>
  <c r="BF109" i="5"/>
  <c r="BG109" i="5"/>
  <c r="BH109" i="5"/>
  <c r="BI109" i="5"/>
  <c r="BJ109" i="5"/>
  <c r="BK109" i="5"/>
  <c r="BL109" i="5"/>
  <c r="BM109" i="5"/>
  <c r="BN109" i="5"/>
  <c r="BO109" i="5"/>
  <c r="BP109" i="5"/>
  <c r="BQ109" i="5"/>
  <c r="BR109" i="5"/>
  <c r="BS109" i="5"/>
  <c r="BT109" i="5"/>
  <c r="BU109" i="5"/>
  <c r="BV109" i="5"/>
  <c r="BW109" i="5"/>
  <c r="BX109" i="5"/>
  <c r="BY109" i="5"/>
  <c r="BZ109" i="5"/>
  <c r="CA109" i="5"/>
  <c r="CB109" i="5"/>
  <c r="CC109" i="5"/>
  <c r="CD109" i="5"/>
  <c r="CE109" i="5"/>
  <c r="CF109" i="5"/>
  <c r="CG109" i="5"/>
  <c r="CH109" i="5"/>
  <c r="CI109" i="5"/>
  <c r="CJ109" i="5"/>
  <c r="CK109" i="5"/>
  <c r="CL109" i="5"/>
  <c r="CM109" i="5"/>
  <c r="CN109" i="5"/>
  <c r="CO109" i="5"/>
  <c r="CP109" i="5"/>
  <c r="CQ109" i="5"/>
  <c r="CR109" i="5"/>
  <c r="CS109" i="5"/>
  <c r="CT109" i="5"/>
  <c r="CU109" i="5"/>
  <c r="CV109" i="5"/>
  <c r="CW109" i="5"/>
  <c r="CX109" i="5"/>
  <c r="CY109" i="5"/>
  <c r="CZ109" i="5"/>
  <c r="DA109" i="5"/>
  <c r="DB109" i="5"/>
  <c r="DC109" i="5"/>
  <c r="DD109" i="5"/>
  <c r="DE109" i="5"/>
  <c r="DF109" i="5"/>
  <c r="DG109" i="5"/>
  <c r="DH109" i="5"/>
  <c r="DI109" i="5"/>
  <c r="DJ109" i="5"/>
  <c r="DK109" i="5"/>
  <c r="DL109" i="5"/>
  <c r="DM109" i="5"/>
  <c r="DN109" i="5"/>
  <c r="DO109" i="5"/>
  <c r="DP109" i="5"/>
  <c r="DQ109" i="5"/>
  <c r="DR109" i="5"/>
  <c r="DS109" i="5"/>
  <c r="DT109" i="5"/>
  <c r="DU109" i="5"/>
  <c r="DV109" i="5"/>
  <c r="DW109" i="5"/>
  <c r="DX109" i="5"/>
  <c r="DY109" i="5"/>
  <c r="DZ109" i="5"/>
  <c r="EA109" i="5"/>
  <c r="EB109" i="5"/>
  <c r="EC109" i="5"/>
  <c r="ED109" i="5"/>
  <c r="EE109" i="5"/>
  <c r="EF109" i="5"/>
  <c r="EG109" i="5"/>
  <c r="EH109" i="5"/>
  <c r="EI109" i="5"/>
  <c r="EJ109" i="5"/>
  <c r="EK109" i="5"/>
  <c r="EL109" i="5"/>
  <c r="EM109" i="5"/>
  <c r="EN109" i="5"/>
  <c r="EO109" i="5"/>
  <c r="EP109" i="5"/>
  <c r="EQ109" i="5"/>
  <c r="ER109" i="5"/>
  <c r="ES109" i="5"/>
  <c r="ET109" i="5"/>
  <c r="EU109" i="5"/>
  <c r="EV109" i="5"/>
  <c r="EW109" i="5"/>
  <c r="EX109" i="5"/>
  <c r="EY109" i="5"/>
  <c r="EZ109" i="5"/>
  <c r="FA109" i="5"/>
  <c r="FB109" i="5"/>
  <c r="FC109" i="5"/>
  <c r="FD109" i="5"/>
  <c r="FE109" i="5"/>
  <c r="FF109" i="5"/>
  <c r="FG109" i="5"/>
  <c r="FH109" i="5"/>
  <c r="FI109" i="5"/>
  <c r="FJ109" i="5"/>
  <c r="FK109" i="5"/>
  <c r="FL109" i="5"/>
  <c r="FM109" i="5"/>
  <c r="FN109" i="5"/>
  <c r="FO109" i="5"/>
  <c r="FP109" i="5"/>
  <c r="FQ109" i="5"/>
  <c r="FR109" i="5"/>
  <c r="FS109" i="5"/>
  <c r="FT109" i="5"/>
  <c r="FU109" i="5"/>
  <c r="FV109" i="5"/>
  <c r="FW109" i="5"/>
  <c r="FX109" i="5"/>
  <c r="FY109" i="5"/>
  <c r="FZ109" i="5"/>
  <c r="GA109" i="5"/>
  <c r="GB109" i="5"/>
  <c r="GC109" i="5"/>
  <c r="GD109" i="5"/>
  <c r="GE109" i="5"/>
  <c r="GF109" i="5"/>
  <c r="GG109" i="5"/>
  <c r="GH109" i="5"/>
  <c r="GI109" i="5"/>
  <c r="GJ109" i="5"/>
  <c r="GK109" i="5"/>
  <c r="GL109" i="5"/>
  <c r="GM109" i="5"/>
  <c r="GN109" i="5"/>
  <c r="GO109" i="5"/>
  <c r="GP109" i="5"/>
  <c r="GQ109" i="5"/>
  <c r="GR109" i="5"/>
  <c r="GS109" i="5"/>
  <c r="GT109" i="5"/>
  <c r="GU109" i="5"/>
  <c r="GV109" i="5"/>
  <c r="GW109" i="5"/>
  <c r="GX109" i="5"/>
  <c r="GY109" i="5"/>
  <c r="GZ109" i="5"/>
  <c r="HA109" i="5"/>
  <c r="HB109" i="5"/>
  <c r="HC109" i="5"/>
  <c r="HD109" i="5"/>
  <c r="HE109" i="5"/>
  <c r="HF109" i="5"/>
  <c r="HG109" i="5"/>
  <c r="A110" i="5"/>
  <c r="B110" i="5"/>
  <c r="C110" i="5"/>
  <c r="D110" i="5"/>
  <c r="E110" i="5"/>
  <c r="F110" i="5"/>
  <c r="G110" i="5"/>
  <c r="H110" i="5"/>
  <c r="I110" i="5"/>
  <c r="J110" i="5"/>
  <c r="K110" i="5"/>
  <c r="L110" i="5"/>
  <c r="M110" i="5"/>
  <c r="N110" i="5"/>
  <c r="O110" i="5"/>
  <c r="P110" i="5"/>
  <c r="Q110" i="5"/>
  <c r="R110" i="5"/>
  <c r="S110" i="5"/>
  <c r="T110" i="5"/>
  <c r="U110" i="5"/>
  <c r="V110" i="5"/>
  <c r="W110" i="5"/>
  <c r="X110" i="5"/>
  <c r="Y110" i="5"/>
  <c r="Z110" i="5"/>
  <c r="AA110" i="5"/>
  <c r="AB110" i="5"/>
  <c r="AC110" i="5"/>
  <c r="AD110" i="5"/>
  <c r="AE110" i="5"/>
  <c r="AF110" i="5"/>
  <c r="AG110" i="5"/>
  <c r="AH110" i="5"/>
  <c r="AI110" i="5"/>
  <c r="AJ110" i="5"/>
  <c r="AK110" i="5"/>
  <c r="AL110" i="5"/>
  <c r="AM110" i="5"/>
  <c r="AN110" i="5"/>
  <c r="AO110" i="5"/>
  <c r="AP110" i="5"/>
  <c r="AQ110" i="5"/>
  <c r="AR110" i="5"/>
  <c r="AS110" i="5"/>
  <c r="AT110" i="5"/>
  <c r="AU110" i="5"/>
  <c r="AV110" i="5"/>
  <c r="AW110" i="5"/>
  <c r="AX110" i="5"/>
  <c r="AY110" i="5"/>
  <c r="AZ110" i="5"/>
  <c r="BA110" i="5"/>
  <c r="BB110" i="5"/>
  <c r="BC110" i="5"/>
  <c r="BD110" i="5"/>
  <c r="BE110" i="5"/>
  <c r="BF110" i="5"/>
  <c r="BG110" i="5"/>
  <c r="BH110" i="5"/>
  <c r="BI110" i="5"/>
  <c r="BJ110" i="5"/>
  <c r="BK110" i="5"/>
  <c r="BL110" i="5"/>
  <c r="BM110" i="5"/>
  <c r="BN110" i="5"/>
  <c r="BO110" i="5"/>
  <c r="BP110" i="5"/>
  <c r="BQ110" i="5"/>
  <c r="BR110" i="5"/>
  <c r="BS110" i="5"/>
  <c r="BT110" i="5"/>
  <c r="BU110" i="5"/>
  <c r="BV110" i="5"/>
  <c r="BW110" i="5"/>
  <c r="BX110" i="5"/>
  <c r="BY110" i="5"/>
  <c r="BZ110" i="5"/>
  <c r="CA110" i="5"/>
  <c r="CB110" i="5"/>
  <c r="CC110" i="5"/>
  <c r="CD110" i="5"/>
  <c r="CE110" i="5"/>
  <c r="CF110" i="5"/>
  <c r="CG110" i="5"/>
  <c r="CH110" i="5"/>
  <c r="CI110" i="5"/>
  <c r="CJ110" i="5"/>
  <c r="CK110" i="5"/>
  <c r="CL110" i="5"/>
  <c r="CM110" i="5"/>
  <c r="CN110" i="5"/>
  <c r="CO110" i="5"/>
  <c r="CP110" i="5"/>
  <c r="CQ110" i="5"/>
  <c r="CR110" i="5"/>
  <c r="CS110" i="5"/>
  <c r="CT110" i="5"/>
  <c r="CU110" i="5"/>
  <c r="CV110" i="5"/>
  <c r="CW110" i="5"/>
  <c r="CX110" i="5"/>
  <c r="CY110" i="5"/>
  <c r="CZ110" i="5"/>
  <c r="DA110" i="5"/>
  <c r="DB110" i="5"/>
  <c r="DC110" i="5"/>
  <c r="DD110" i="5"/>
  <c r="DE110" i="5"/>
  <c r="DF110" i="5"/>
  <c r="DG110" i="5"/>
  <c r="DH110" i="5"/>
  <c r="DI110" i="5"/>
  <c r="DJ110" i="5"/>
  <c r="DK110" i="5"/>
  <c r="DL110" i="5"/>
  <c r="DM110" i="5"/>
  <c r="DN110" i="5"/>
  <c r="DO110" i="5"/>
  <c r="DP110" i="5"/>
  <c r="DQ110" i="5"/>
  <c r="DR110" i="5"/>
  <c r="DS110" i="5"/>
  <c r="DT110" i="5"/>
  <c r="DU110" i="5"/>
  <c r="DV110" i="5"/>
  <c r="DW110" i="5"/>
  <c r="DX110" i="5"/>
  <c r="DY110" i="5"/>
  <c r="DZ110" i="5"/>
  <c r="EA110" i="5"/>
  <c r="EB110" i="5"/>
  <c r="EC110" i="5"/>
  <c r="ED110" i="5"/>
  <c r="EE110" i="5"/>
  <c r="EF110" i="5"/>
  <c r="EG110" i="5"/>
  <c r="EH110" i="5"/>
  <c r="EI110" i="5"/>
  <c r="EJ110" i="5"/>
  <c r="EK110" i="5"/>
  <c r="EL110" i="5"/>
  <c r="EM110" i="5"/>
  <c r="EN110" i="5"/>
  <c r="EO110" i="5"/>
  <c r="EP110" i="5"/>
  <c r="EQ110" i="5"/>
  <c r="ER110" i="5"/>
  <c r="ES110" i="5"/>
  <c r="ET110" i="5"/>
  <c r="EU110" i="5"/>
  <c r="EV110" i="5"/>
  <c r="EW110" i="5"/>
  <c r="EX110" i="5"/>
  <c r="EY110" i="5"/>
  <c r="EZ110" i="5"/>
  <c r="FA110" i="5"/>
  <c r="FB110" i="5"/>
  <c r="FC110" i="5"/>
  <c r="FD110" i="5"/>
  <c r="FE110" i="5"/>
  <c r="FF110" i="5"/>
  <c r="FG110" i="5"/>
  <c r="FH110" i="5"/>
  <c r="FI110" i="5"/>
  <c r="FJ110" i="5"/>
  <c r="FK110" i="5"/>
  <c r="FL110" i="5"/>
  <c r="FM110" i="5"/>
  <c r="FN110" i="5"/>
  <c r="FO110" i="5"/>
  <c r="FP110" i="5"/>
  <c r="FQ110" i="5"/>
  <c r="FR110" i="5"/>
  <c r="FS110" i="5"/>
  <c r="FT110" i="5"/>
  <c r="FU110" i="5"/>
  <c r="FV110" i="5"/>
  <c r="FW110" i="5"/>
  <c r="FX110" i="5"/>
  <c r="FY110" i="5"/>
  <c r="FZ110" i="5"/>
  <c r="GA110" i="5"/>
  <c r="GB110" i="5"/>
  <c r="GC110" i="5"/>
  <c r="GD110" i="5"/>
  <c r="GE110" i="5"/>
  <c r="GF110" i="5"/>
  <c r="GG110" i="5"/>
  <c r="GH110" i="5"/>
  <c r="GI110" i="5"/>
  <c r="GJ110" i="5"/>
  <c r="GK110" i="5"/>
  <c r="GL110" i="5"/>
  <c r="GM110" i="5"/>
  <c r="GN110" i="5"/>
  <c r="GO110" i="5"/>
  <c r="GP110" i="5"/>
  <c r="GQ110" i="5"/>
  <c r="GR110" i="5"/>
  <c r="GS110" i="5"/>
  <c r="GT110" i="5"/>
  <c r="GU110" i="5"/>
  <c r="GV110" i="5"/>
  <c r="GW110" i="5"/>
  <c r="GX110" i="5"/>
  <c r="GY110" i="5"/>
  <c r="GZ110" i="5"/>
  <c r="HA110" i="5"/>
  <c r="HB110" i="5"/>
  <c r="HC110" i="5"/>
  <c r="HD110" i="5"/>
  <c r="HE110" i="5"/>
  <c r="HF110" i="5"/>
  <c r="HG110" i="5"/>
  <c r="A111" i="5"/>
  <c r="B111" i="5"/>
  <c r="C111" i="5"/>
  <c r="D111" i="5"/>
  <c r="E111" i="5"/>
  <c r="F111" i="5"/>
  <c r="G111" i="5"/>
  <c r="H111" i="5"/>
  <c r="I111" i="5"/>
  <c r="J111" i="5"/>
  <c r="K111" i="5"/>
  <c r="L111" i="5"/>
  <c r="M111" i="5"/>
  <c r="N111" i="5"/>
  <c r="O111" i="5"/>
  <c r="P111" i="5"/>
  <c r="Q111" i="5"/>
  <c r="R111" i="5"/>
  <c r="S111" i="5"/>
  <c r="T111" i="5"/>
  <c r="U111" i="5"/>
  <c r="V111" i="5"/>
  <c r="W111" i="5"/>
  <c r="X111" i="5"/>
  <c r="Y111" i="5"/>
  <c r="Z111" i="5"/>
  <c r="AA111" i="5"/>
  <c r="AB111" i="5"/>
  <c r="AC111" i="5"/>
  <c r="AD111" i="5"/>
  <c r="AE111" i="5"/>
  <c r="AF111" i="5"/>
  <c r="AG111" i="5"/>
  <c r="AH111" i="5"/>
  <c r="AI111" i="5"/>
  <c r="AJ111" i="5"/>
  <c r="AK111" i="5"/>
  <c r="AL111" i="5"/>
  <c r="AM111" i="5"/>
  <c r="AN111" i="5"/>
  <c r="AO111" i="5"/>
  <c r="AP111" i="5"/>
  <c r="AQ111" i="5"/>
  <c r="AR111" i="5"/>
  <c r="AS111" i="5"/>
  <c r="AT111" i="5"/>
  <c r="AU111" i="5"/>
  <c r="AV111" i="5"/>
  <c r="AW111" i="5"/>
  <c r="AX111" i="5"/>
  <c r="AY111" i="5"/>
  <c r="AZ111" i="5"/>
  <c r="BA111" i="5"/>
  <c r="BB111" i="5"/>
  <c r="BC111" i="5"/>
  <c r="BD111" i="5"/>
  <c r="BE111" i="5"/>
  <c r="BF111" i="5"/>
  <c r="BG111" i="5"/>
  <c r="BH111" i="5"/>
  <c r="BI111" i="5"/>
  <c r="BJ111" i="5"/>
  <c r="BK111" i="5"/>
  <c r="BL111" i="5"/>
  <c r="BM111" i="5"/>
  <c r="BN111" i="5"/>
  <c r="BO111" i="5"/>
  <c r="BP111" i="5"/>
  <c r="BQ111" i="5"/>
  <c r="BR111" i="5"/>
  <c r="BS111" i="5"/>
  <c r="BT111" i="5"/>
  <c r="BU111" i="5"/>
  <c r="BV111" i="5"/>
  <c r="BW111" i="5"/>
  <c r="BX111" i="5"/>
  <c r="BY111" i="5"/>
  <c r="BZ111" i="5"/>
  <c r="CA111" i="5"/>
  <c r="CB111" i="5"/>
  <c r="CC111" i="5"/>
  <c r="CD111" i="5"/>
  <c r="CE111" i="5"/>
  <c r="CF111" i="5"/>
  <c r="CG111" i="5"/>
  <c r="CH111" i="5"/>
  <c r="CI111" i="5"/>
  <c r="CJ111" i="5"/>
  <c r="CK111" i="5"/>
  <c r="CL111" i="5"/>
  <c r="CM111" i="5"/>
  <c r="CN111" i="5"/>
  <c r="CO111" i="5"/>
  <c r="CP111" i="5"/>
  <c r="CQ111" i="5"/>
  <c r="CR111" i="5"/>
  <c r="CS111" i="5"/>
  <c r="CT111" i="5"/>
  <c r="CU111" i="5"/>
  <c r="CV111" i="5"/>
  <c r="CW111" i="5"/>
  <c r="CX111" i="5"/>
  <c r="CY111" i="5"/>
  <c r="CZ111" i="5"/>
  <c r="DA111" i="5"/>
  <c r="DB111" i="5"/>
  <c r="DC111" i="5"/>
  <c r="DD111" i="5"/>
  <c r="DE111" i="5"/>
  <c r="DF111" i="5"/>
  <c r="DG111" i="5"/>
  <c r="DH111" i="5"/>
  <c r="DI111" i="5"/>
  <c r="DJ111" i="5"/>
  <c r="DK111" i="5"/>
  <c r="DL111" i="5"/>
  <c r="DM111" i="5"/>
  <c r="DN111" i="5"/>
  <c r="DO111" i="5"/>
  <c r="DP111" i="5"/>
  <c r="DQ111" i="5"/>
  <c r="DR111" i="5"/>
  <c r="DS111" i="5"/>
  <c r="DT111" i="5"/>
  <c r="DU111" i="5"/>
  <c r="DV111" i="5"/>
  <c r="DW111" i="5"/>
  <c r="DX111" i="5"/>
  <c r="DY111" i="5"/>
  <c r="DZ111" i="5"/>
  <c r="EA111" i="5"/>
  <c r="EB111" i="5"/>
  <c r="EC111" i="5"/>
  <c r="ED111" i="5"/>
  <c r="EE111" i="5"/>
  <c r="EF111" i="5"/>
  <c r="EG111" i="5"/>
  <c r="EH111" i="5"/>
  <c r="EI111" i="5"/>
  <c r="EJ111" i="5"/>
  <c r="EK111" i="5"/>
  <c r="EL111" i="5"/>
  <c r="EM111" i="5"/>
  <c r="EN111" i="5"/>
  <c r="EO111" i="5"/>
  <c r="EP111" i="5"/>
  <c r="EQ111" i="5"/>
  <c r="ER111" i="5"/>
  <c r="ES111" i="5"/>
  <c r="ET111" i="5"/>
  <c r="EU111" i="5"/>
  <c r="EV111" i="5"/>
  <c r="EW111" i="5"/>
  <c r="EX111" i="5"/>
  <c r="EY111" i="5"/>
  <c r="EZ111" i="5"/>
  <c r="FA111" i="5"/>
  <c r="FB111" i="5"/>
  <c r="FC111" i="5"/>
  <c r="FD111" i="5"/>
  <c r="FE111" i="5"/>
  <c r="FF111" i="5"/>
  <c r="FG111" i="5"/>
  <c r="FH111" i="5"/>
  <c r="FI111" i="5"/>
  <c r="FJ111" i="5"/>
  <c r="FK111" i="5"/>
  <c r="FL111" i="5"/>
  <c r="FM111" i="5"/>
  <c r="FN111" i="5"/>
  <c r="FO111" i="5"/>
  <c r="FP111" i="5"/>
  <c r="FQ111" i="5"/>
  <c r="FR111" i="5"/>
  <c r="FS111" i="5"/>
  <c r="FT111" i="5"/>
  <c r="FU111" i="5"/>
  <c r="FV111" i="5"/>
  <c r="FW111" i="5"/>
  <c r="FX111" i="5"/>
  <c r="FY111" i="5"/>
  <c r="FZ111" i="5"/>
  <c r="GA111" i="5"/>
  <c r="GB111" i="5"/>
  <c r="GC111" i="5"/>
  <c r="GD111" i="5"/>
  <c r="GE111" i="5"/>
  <c r="GF111" i="5"/>
  <c r="GG111" i="5"/>
  <c r="GH111" i="5"/>
  <c r="GI111" i="5"/>
  <c r="GJ111" i="5"/>
  <c r="GK111" i="5"/>
  <c r="GL111" i="5"/>
  <c r="GM111" i="5"/>
  <c r="GN111" i="5"/>
  <c r="GO111" i="5"/>
  <c r="GP111" i="5"/>
  <c r="GQ111" i="5"/>
  <c r="GR111" i="5"/>
  <c r="GS111" i="5"/>
  <c r="GT111" i="5"/>
  <c r="GU111" i="5"/>
  <c r="GV111" i="5"/>
  <c r="GW111" i="5"/>
  <c r="GX111" i="5"/>
  <c r="GY111" i="5"/>
  <c r="GZ111" i="5"/>
  <c r="HA111" i="5"/>
  <c r="HB111" i="5"/>
  <c r="HC111" i="5"/>
  <c r="HD111" i="5"/>
  <c r="HE111" i="5"/>
  <c r="HF111" i="5"/>
  <c r="HG111" i="5"/>
  <c r="A112" i="5"/>
  <c r="B112" i="5"/>
  <c r="C112" i="5"/>
  <c r="D112" i="5"/>
  <c r="E112" i="5"/>
  <c r="F112" i="5"/>
  <c r="G112" i="5"/>
  <c r="H112" i="5"/>
  <c r="I112" i="5"/>
  <c r="J112" i="5"/>
  <c r="K112" i="5"/>
  <c r="L112" i="5"/>
  <c r="M112" i="5"/>
  <c r="N112" i="5"/>
  <c r="O112" i="5"/>
  <c r="P112" i="5"/>
  <c r="Q112" i="5"/>
  <c r="R112" i="5"/>
  <c r="S112" i="5"/>
  <c r="T112" i="5"/>
  <c r="U112" i="5"/>
  <c r="V112" i="5"/>
  <c r="W112" i="5"/>
  <c r="X112" i="5"/>
  <c r="Y112" i="5"/>
  <c r="Z112" i="5"/>
  <c r="AA112" i="5"/>
  <c r="AB112" i="5"/>
  <c r="AC112" i="5"/>
  <c r="AD112" i="5"/>
  <c r="AE112" i="5"/>
  <c r="AF112" i="5"/>
  <c r="AG112" i="5"/>
  <c r="AH112" i="5"/>
  <c r="AI112" i="5"/>
  <c r="AJ112" i="5"/>
  <c r="AK112" i="5"/>
  <c r="AL112" i="5"/>
  <c r="AM112" i="5"/>
  <c r="AN112" i="5"/>
  <c r="AO112" i="5"/>
  <c r="AP112" i="5"/>
  <c r="AQ112" i="5"/>
  <c r="AR112" i="5"/>
  <c r="AS112" i="5"/>
  <c r="AT112" i="5"/>
  <c r="AU112" i="5"/>
  <c r="AV112" i="5"/>
  <c r="AW112" i="5"/>
  <c r="AX112" i="5"/>
  <c r="AY112" i="5"/>
  <c r="AZ112" i="5"/>
  <c r="BA112" i="5"/>
  <c r="BB112" i="5"/>
  <c r="BC112" i="5"/>
  <c r="BD112" i="5"/>
  <c r="BE112" i="5"/>
  <c r="BF112" i="5"/>
  <c r="BG112" i="5"/>
  <c r="BH112" i="5"/>
  <c r="BI112" i="5"/>
  <c r="BJ112" i="5"/>
  <c r="BK112" i="5"/>
  <c r="BL112" i="5"/>
  <c r="BM112" i="5"/>
  <c r="BN112" i="5"/>
  <c r="BO112" i="5"/>
  <c r="BP112" i="5"/>
  <c r="BQ112" i="5"/>
  <c r="BR112" i="5"/>
  <c r="BS112" i="5"/>
  <c r="BT112" i="5"/>
  <c r="BU112" i="5"/>
  <c r="BV112" i="5"/>
  <c r="BW112" i="5"/>
  <c r="BX112" i="5"/>
  <c r="BY112" i="5"/>
  <c r="BZ112" i="5"/>
  <c r="CA112" i="5"/>
  <c r="CB112" i="5"/>
  <c r="CC112" i="5"/>
  <c r="CD112" i="5"/>
  <c r="CE112" i="5"/>
  <c r="CF112" i="5"/>
  <c r="CG112" i="5"/>
  <c r="CH112" i="5"/>
  <c r="CI112" i="5"/>
  <c r="CJ112" i="5"/>
  <c r="CK112" i="5"/>
  <c r="CL112" i="5"/>
  <c r="CM112" i="5"/>
  <c r="CN112" i="5"/>
  <c r="CO112" i="5"/>
  <c r="CP112" i="5"/>
  <c r="CQ112" i="5"/>
  <c r="CR112" i="5"/>
  <c r="CS112" i="5"/>
  <c r="CT112" i="5"/>
  <c r="CU112" i="5"/>
  <c r="CV112" i="5"/>
  <c r="CW112" i="5"/>
  <c r="CX112" i="5"/>
  <c r="CY112" i="5"/>
  <c r="CZ112" i="5"/>
  <c r="DA112" i="5"/>
  <c r="DB112" i="5"/>
  <c r="DC112" i="5"/>
  <c r="DD112" i="5"/>
  <c r="DE112" i="5"/>
  <c r="DF112" i="5"/>
  <c r="DG112" i="5"/>
  <c r="DH112" i="5"/>
  <c r="DI112" i="5"/>
  <c r="DJ112" i="5"/>
  <c r="DK112" i="5"/>
  <c r="DL112" i="5"/>
  <c r="DM112" i="5"/>
  <c r="DN112" i="5"/>
  <c r="DO112" i="5"/>
  <c r="DP112" i="5"/>
  <c r="DQ112" i="5"/>
  <c r="DR112" i="5"/>
  <c r="DS112" i="5"/>
  <c r="DT112" i="5"/>
  <c r="DU112" i="5"/>
  <c r="DV112" i="5"/>
  <c r="DW112" i="5"/>
  <c r="DX112" i="5"/>
  <c r="DY112" i="5"/>
  <c r="DZ112" i="5"/>
  <c r="EA112" i="5"/>
  <c r="EB112" i="5"/>
  <c r="EC112" i="5"/>
  <c r="ED112" i="5"/>
  <c r="EE112" i="5"/>
  <c r="EF112" i="5"/>
  <c r="EG112" i="5"/>
  <c r="EH112" i="5"/>
  <c r="EI112" i="5"/>
  <c r="EJ112" i="5"/>
  <c r="EK112" i="5"/>
  <c r="EL112" i="5"/>
  <c r="EM112" i="5"/>
  <c r="EN112" i="5"/>
  <c r="EO112" i="5"/>
  <c r="EP112" i="5"/>
  <c r="EQ112" i="5"/>
  <c r="ER112" i="5"/>
  <c r="ES112" i="5"/>
  <c r="ET112" i="5"/>
  <c r="EU112" i="5"/>
  <c r="EV112" i="5"/>
  <c r="EW112" i="5"/>
  <c r="EX112" i="5"/>
  <c r="EY112" i="5"/>
  <c r="EZ112" i="5"/>
  <c r="FA112" i="5"/>
  <c r="FB112" i="5"/>
  <c r="FC112" i="5"/>
  <c r="FD112" i="5"/>
  <c r="FE112" i="5"/>
  <c r="FF112" i="5"/>
  <c r="FG112" i="5"/>
  <c r="FH112" i="5"/>
  <c r="FI112" i="5"/>
  <c r="FJ112" i="5"/>
  <c r="FK112" i="5"/>
  <c r="FL112" i="5"/>
  <c r="FM112" i="5"/>
  <c r="FN112" i="5"/>
  <c r="FO112" i="5"/>
  <c r="FP112" i="5"/>
  <c r="FQ112" i="5"/>
  <c r="FR112" i="5"/>
  <c r="FS112" i="5"/>
  <c r="FT112" i="5"/>
  <c r="FU112" i="5"/>
  <c r="FV112" i="5"/>
  <c r="FW112" i="5"/>
  <c r="FX112" i="5"/>
  <c r="FY112" i="5"/>
  <c r="FZ112" i="5"/>
  <c r="GA112" i="5"/>
  <c r="GB112" i="5"/>
  <c r="GC112" i="5"/>
  <c r="GD112" i="5"/>
  <c r="GE112" i="5"/>
  <c r="GF112" i="5"/>
  <c r="GG112" i="5"/>
  <c r="GH112" i="5"/>
  <c r="GI112" i="5"/>
  <c r="GJ112" i="5"/>
  <c r="GK112" i="5"/>
  <c r="GL112" i="5"/>
  <c r="GM112" i="5"/>
  <c r="GN112" i="5"/>
  <c r="GO112" i="5"/>
  <c r="GP112" i="5"/>
  <c r="GQ112" i="5"/>
  <c r="GR112" i="5"/>
  <c r="GS112" i="5"/>
  <c r="GT112" i="5"/>
  <c r="GU112" i="5"/>
  <c r="GV112" i="5"/>
  <c r="GW112" i="5"/>
  <c r="GX112" i="5"/>
  <c r="GY112" i="5"/>
  <c r="GZ112" i="5"/>
  <c r="HA112" i="5"/>
  <c r="HB112" i="5"/>
  <c r="HC112" i="5"/>
  <c r="HD112" i="5"/>
  <c r="HE112" i="5"/>
  <c r="HF112" i="5"/>
  <c r="HG112" i="5"/>
  <c r="A113" i="5"/>
  <c r="B113" i="5"/>
  <c r="C113" i="5"/>
  <c r="D113" i="5"/>
  <c r="E113" i="5"/>
  <c r="F113" i="5"/>
  <c r="G113" i="5"/>
  <c r="H113" i="5"/>
  <c r="I113" i="5"/>
  <c r="J113" i="5"/>
  <c r="K113" i="5"/>
  <c r="L113" i="5"/>
  <c r="M113" i="5"/>
  <c r="N113" i="5"/>
  <c r="O113" i="5"/>
  <c r="P113" i="5"/>
  <c r="Q113" i="5"/>
  <c r="R113" i="5"/>
  <c r="S113" i="5"/>
  <c r="T113" i="5"/>
  <c r="U113" i="5"/>
  <c r="V113" i="5"/>
  <c r="W113" i="5"/>
  <c r="X113" i="5"/>
  <c r="Y113" i="5"/>
  <c r="Z113" i="5"/>
  <c r="AA113" i="5"/>
  <c r="AB113" i="5"/>
  <c r="AC113" i="5"/>
  <c r="AD113" i="5"/>
  <c r="AE113" i="5"/>
  <c r="AF113" i="5"/>
  <c r="AG113" i="5"/>
  <c r="AH113" i="5"/>
  <c r="AI113" i="5"/>
  <c r="AJ113" i="5"/>
  <c r="AK113" i="5"/>
  <c r="AL113" i="5"/>
  <c r="AM113" i="5"/>
  <c r="AN113" i="5"/>
  <c r="AO113" i="5"/>
  <c r="AP113" i="5"/>
  <c r="AQ113" i="5"/>
  <c r="AR113" i="5"/>
  <c r="AS113" i="5"/>
  <c r="AT113" i="5"/>
  <c r="AU113" i="5"/>
  <c r="AV113" i="5"/>
  <c r="AW113" i="5"/>
  <c r="AX113" i="5"/>
  <c r="AY113" i="5"/>
  <c r="AZ113" i="5"/>
  <c r="BA113" i="5"/>
  <c r="BB113" i="5"/>
  <c r="BC113" i="5"/>
  <c r="BD113" i="5"/>
  <c r="BE113" i="5"/>
  <c r="BF113" i="5"/>
  <c r="BG113" i="5"/>
  <c r="BH113" i="5"/>
  <c r="BI113" i="5"/>
  <c r="BJ113" i="5"/>
  <c r="BK113" i="5"/>
  <c r="BL113" i="5"/>
  <c r="BM113" i="5"/>
  <c r="BN113" i="5"/>
  <c r="BO113" i="5"/>
  <c r="BP113" i="5"/>
  <c r="BQ113" i="5"/>
  <c r="BR113" i="5"/>
  <c r="BS113" i="5"/>
  <c r="BT113" i="5"/>
  <c r="BU113" i="5"/>
  <c r="BV113" i="5"/>
  <c r="BW113" i="5"/>
  <c r="BX113" i="5"/>
  <c r="BY113" i="5"/>
  <c r="BZ113" i="5"/>
  <c r="CA113" i="5"/>
  <c r="CB113" i="5"/>
  <c r="CC113" i="5"/>
  <c r="CD113" i="5"/>
  <c r="CE113" i="5"/>
  <c r="CF113" i="5"/>
  <c r="CG113" i="5"/>
  <c r="CH113" i="5"/>
  <c r="CI113" i="5"/>
  <c r="CJ113" i="5"/>
  <c r="CK113" i="5"/>
  <c r="CL113" i="5"/>
  <c r="CM113" i="5"/>
  <c r="CN113" i="5"/>
  <c r="CO113" i="5"/>
  <c r="CP113" i="5"/>
  <c r="CQ113" i="5"/>
  <c r="CR113" i="5"/>
  <c r="CS113" i="5"/>
  <c r="CT113" i="5"/>
  <c r="CU113" i="5"/>
  <c r="CV113" i="5"/>
  <c r="CW113" i="5"/>
  <c r="CX113" i="5"/>
  <c r="CY113" i="5"/>
  <c r="CZ113" i="5"/>
  <c r="DA113" i="5"/>
  <c r="DB113" i="5"/>
  <c r="DC113" i="5"/>
  <c r="DD113" i="5"/>
  <c r="DE113" i="5"/>
  <c r="DF113" i="5"/>
  <c r="DG113" i="5"/>
  <c r="DH113" i="5"/>
  <c r="DI113" i="5"/>
  <c r="DJ113" i="5"/>
  <c r="DK113" i="5"/>
  <c r="DL113" i="5"/>
  <c r="DM113" i="5"/>
  <c r="DN113" i="5"/>
  <c r="DO113" i="5"/>
  <c r="DP113" i="5"/>
  <c r="DQ113" i="5"/>
  <c r="DR113" i="5"/>
  <c r="DS113" i="5"/>
  <c r="DT113" i="5"/>
  <c r="DU113" i="5"/>
  <c r="DV113" i="5"/>
  <c r="DW113" i="5"/>
  <c r="DX113" i="5"/>
  <c r="DY113" i="5"/>
  <c r="DZ113" i="5"/>
  <c r="EA113" i="5"/>
  <c r="EB113" i="5"/>
  <c r="EC113" i="5"/>
  <c r="ED113" i="5"/>
  <c r="EE113" i="5"/>
  <c r="EF113" i="5"/>
  <c r="EG113" i="5"/>
  <c r="EH113" i="5"/>
  <c r="EI113" i="5"/>
  <c r="EJ113" i="5"/>
  <c r="EK113" i="5"/>
  <c r="EL113" i="5"/>
  <c r="EM113" i="5"/>
  <c r="EN113" i="5"/>
  <c r="EO113" i="5"/>
  <c r="EP113" i="5"/>
  <c r="EQ113" i="5"/>
  <c r="ER113" i="5"/>
  <c r="ES113" i="5"/>
  <c r="ET113" i="5"/>
  <c r="EU113" i="5"/>
  <c r="EV113" i="5"/>
  <c r="EW113" i="5"/>
  <c r="EX113" i="5"/>
  <c r="EY113" i="5"/>
  <c r="EZ113" i="5"/>
  <c r="FA113" i="5"/>
  <c r="FB113" i="5"/>
  <c r="FC113" i="5"/>
  <c r="FD113" i="5"/>
  <c r="FE113" i="5"/>
  <c r="FF113" i="5"/>
  <c r="FG113" i="5"/>
  <c r="FH113" i="5"/>
  <c r="FI113" i="5"/>
  <c r="FJ113" i="5"/>
  <c r="FK113" i="5"/>
  <c r="FL113" i="5"/>
  <c r="FM113" i="5"/>
  <c r="FN113" i="5"/>
  <c r="FO113" i="5"/>
  <c r="FP113" i="5"/>
  <c r="FQ113" i="5"/>
  <c r="FR113" i="5"/>
  <c r="FS113" i="5"/>
  <c r="FT113" i="5"/>
  <c r="FU113" i="5"/>
  <c r="FV113" i="5"/>
  <c r="FW113" i="5"/>
  <c r="FX113" i="5"/>
  <c r="FY113" i="5"/>
  <c r="FZ113" i="5"/>
  <c r="GA113" i="5"/>
  <c r="GB113" i="5"/>
  <c r="GC113" i="5"/>
  <c r="GD113" i="5"/>
  <c r="GE113" i="5"/>
  <c r="GF113" i="5"/>
  <c r="GG113" i="5"/>
  <c r="GH113" i="5"/>
  <c r="GI113" i="5"/>
  <c r="GJ113" i="5"/>
  <c r="GK113" i="5"/>
  <c r="GL113" i="5"/>
  <c r="GM113" i="5"/>
  <c r="GN113" i="5"/>
  <c r="GO113" i="5"/>
  <c r="GP113" i="5"/>
  <c r="GQ113" i="5"/>
  <c r="GR113" i="5"/>
  <c r="GS113" i="5"/>
  <c r="GT113" i="5"/>
  <c r="GU113" i="5"/>
  <c r="GV113" i="5"/>
  <c r="GW113" i="5"/>
  <c r="GX113" i="5"/>
  <c r="GY113" i="5"/>
  <c r="GZ113" i="5"/>
  <c r="HA113" i="5"/>
  <c r="HB113" i="5"/>
  <c r="HC113" i="5"/>
  <c r="HD113" i="5"/>
  <c r="HE113" i="5"/>
  <c r="HF113" i="5"/>
  <c r="HG113" i="5"/>
  <c r="A114" i="5"/>
  <c r="B114" i="5"/>
  <c r="C114" i="5"/>
  <c r="D114" i="5"/>
  <c r="E114" i="5"/>
  <c r="F114" i="5"/>
  <c r="G114" i="5"/>
  <c r="H114" i="5"/>
  <c r="I114" i="5"/>
  <c r="J114" i="5"/>
  <c r="K114" i="5"/>
  <c r="L114" i="5"/>
  <c r="M114" i="5"/>
  <c r="N114" i="5"/>
  <c r="O114" i="5"/>
  <c r="P114" i="5"/>
  <c r="Q114" i="5"/>
  <c r="R114" i="5"/>
  <c r="S114" i="5"/>
  <c r="T114" i="5"/>
  <c r="U114" i="5"/>
  <c r="V114" i="5"/>
  <c r="W114" i="5"/>
  <c r="X114" i="5"/>
  <c r="Y114" i="5"/>
  <c r="Z114" i="5"/>
  <c r="AA114" i="5"/>
  <c r="AB114" i="5"/>
  <c r="AC114" i="5"/>
  <c r="AD114" i="5"/>
  <c r="AE114" i="5"/>
  <c r="AF114" i="5"/>
  <c r="AG114" i="5"/>
  <c r="AH114" i="5"/>
  <c r="AI114" i="5"/>
  <c r="AJ114" i="5"/>
  <c r="AK114" i="5"/>
  <c r="AL114" i="5"/>
  <c r="AM114" i="5"/>
  <c r="AN114" i="5"/>
  <c r="AO114" i="5"/>
  <c r="AP114" i="5"/>
  <c r="AQ114" i="5"/>
  <c r="AR114" i="5"/>
  <c r="AS114" i="5"/>
  <c r="AT114" i="5"/>
  <c r="AU114" i="5"/>
  <c r="AV114" i="5"/>
  <c r="AW114" i="5"/>
  <c r="AX114" i="5"/>
  <c r="AY114" i="5"/>
  <c r="AZ114" i="5"/>
  <c r="BA114" i="5"/>
  <c r="BB114" i="5"/>
  <c r="BC114" i="5"/>
  <c r="BD114" i="5"/>
  <c r="BE114" i="5"/>
  <c r="BF114" i="5"/>
  <c r="BG114" i="5"/>
  <c r="BH114" i="5"/>
  <c r="BI114" i="5"/>
  <c r="BJ114" i="5"/>
  <c r="BK114" i="5"/>
  <c r="BL114" i="5"/>
  <c r="BM114" i="5"/>
  <c r="BN114" i="5"/>
  <c r="BO114" i="5"/>
  <c r="BP114" i="5"/>
  <c r="BQ114" i="5"/>
  <c r="BR114" i="5"/>
  <c r="BS114" i="5"/>
  <c r="BT114" i="5"/>
  <c r="BU114" i="5"/>
  <c r="BV114" i="5"/>
  <c r="BW114" i="5"/>
  <c r="BX114" i="5"/>
  <c r="BY114" i="5"/>
  <c r="BZ114" i="5"/>
  <c r="CA114" i="5"/>
  <c r="CB114" i="5"/>
  <c r="CC114" i="5"/>
  <c r="CD114" i="5"/>
  <c r="CE114" i="5"/>
  <c r="CF114" i="5"/>
  <c r="CG114" i="5"/>
  <c r="CH114" i="5"/>
  <c r="CI114" i="5"/>
  <c r="CJ114" i="5"/>
  <c r="CK114" i="5"/>
  <c r="CL114" i="5"/>
  <c r="CM114" i="5"/>
  <c r="CN114" i="5"/>
  <c r="CO114" i="5"/>
  <c r="CP114" i="5"/>
  <c r="CQ114" i="5"/>
  <c r="CR114" i="5"/>
  <c r="CS114" i="5"/>
  <c r="CT114" i="5"/>
  <c r="CU114" i="5"/>
  <c r="CV114" i="5"/>
  <c r="CW114" i="5"/>
  <c r="CX114" i="5"/>
  <c r="CY114" i="5"/>
  <c r="CZ114" i="5"/>
  <c r="DA114" i="5"/>
  <c r="DB114" i="5"/>
  <c r="DC114" i="5"/>
  <c r="DD114" i="5"/>
  <c r="DE114" i="5"/>
  <c r="DF114" i="5"/>
  <c r="DG114" i="5"/>
  <c r="DH114" i="5"/>
  <c r="DI114" i="5"/>
  <c r="DJ114" i="5"/>
  <c r="DK114" i="5"/>
  <c r="DL114" i="5"/>
  <c r="DM114" i="5"/>
  <c r="DN114" i="5"/>
  <c r="DO114" i="5"/>
  <c r="DP114" i="5"/>
  <c r="DQ114" i="5"/>
  <c r="DR114" i="5"/>
  <c r="DS114" i="5"/>
  <c r="DT114" i="5"/>
  <c r="DU114" i="5"/>
  <c r="DV114" i="5"/>
  <c r="DW114" i="5"/>
  <c r="DX114" i="5"/>
  <c r="DY114" i="5"/>
  <c r="DZ114" i="5"/>
  <c r="EA114" i="5"/>
  <c r="EB114" i="5"/>
  <c r="EC114" i="5"/>
  <c r="ED114" i="5"/>
  <c r="EE114" i="5"/>
  <c r="EF114" i="5"/>
  <c r="EG114" i="5"/>
  <c r="EH114" i="5"/>
  <c r="EI114" i="5"/>
  <c r="EJ114" i="5"/>
  <c r="EK114" i="5"/>
  <c r="EL114" i="5"/>
  <c r="EM114" i="5"/>
  <c r="EN114" i="5"/>
  <c r="EO114" i="5"/>
  <c r="EP114" i="5"/>
  <c r="EQ114" i="5"/>
  <c r="ER114" i="5"/>
  <c r="ES114" i="5"/>
  <c r="ET114" i="5"/>
  <c r="EU114" i="5"/>
  <c r="EV114" i="5"/>
  <c r="EW114" i="5"/>
  <c r="EX114" i="5"/>
  <c r="EY114" i="5"/>
  <c r="EZ114" i="5"/>
  <c r="FA114" i="5"/>
  <c r="FB114" i="5"/>
  <c r="FC114" i="5"/>
  <c r="FD114" i="5"/>
  <c r="FE114" i="5"/>
  <c r="FF114" i="5"/>
  <c r="FG114" i="5"/>
  <c r="FH114" i="5"/>
  <c r="FI114" i="5"/>
  <c r="FJ114" i="5"/>
  <c r="FK114" i="5"/>
  <c r="FL114" i="5"/>
  <c r="FM114" i="5"/>
  <c r="FN114" i="5"/>
  <c r="FO114" i="5"/>
  <c r="FP114" i="5"/>
  <c r="FQ114" i="5"/>
  <c r="FR114" i="5"/>
  <c r="FS114" i="5"/>
  <c r="FT114" i="5"/>
  <c r="FU114" i="5"/>
  <c r="FV114" i="5"/>
  <c r="FW114" i="5"/>
  <c r="FX114" i="5"/>
  <c r="FY114" i="5"/>
  <c r="FZ114" i="5"/>
  <c r="GA114" i="5"/>
  <c r="GB114" i="5"/>
  <c r="GC114" i="5"/>
  <c r="GD114" i="5"/>
  <c r="GE114" i="5"/>
  <c r="GF114" i="5"/>
  <c r="GG114" i="5"/>
  <c r="GH114" i="5"/>
  <c r="GI114" i="5"/>
  <c r="GJ114" i="5"/>
  <c r="GK114" i="5"/>
  <c r="GL114" i="5"/>
  <c r="GM114" i="5"/>
  <c r="GN114" i="5"/>
  <c r="GO114" i="5"/>
  <c r="GP114" i="5"/>
  <c r="GQ114" i="5"/>
  <c r="GR114" i="5"/>
  <c r="GS114" i="5"/>
  <c r="GT114" i="5"/>
  <c r="GU114" i="5"/>
  <c r="GV114" i="5"/>
  <c r="GW114" i="5"/>
  <c r="GX114" i="5"/>
  <c r="GY114" i="5"/>
  <c r="GZ114" i="5"/>
  <c r="HA114" i="5"/>
  <c r="HB114" i="5"/>
  <c r="HC114" i="5"/>
  <c r="HD114" i="5"/>
  <c r="HE114" i="5"/>
  <c r="HF114" i="5"/>
  <c r="HG114" i="5"/>
  <c r="A115" i="5"/>
  <c r="B115" i="5"/>
  <c r="C115" i="5"/>
  <c r="D115" i="5"/>
  <c r="E115" i="5"/>
  <c r="F115" i="5"/>
  <c r="G115" i="5"/>
  <c r="H115" i="5"/>
  <c r="I115" i="5"/>
  <c r="J115" i="5"/>
  <c r="K115" i="5"/>
  <c r="L115" i="5"/>
  <c r="M115" i="5"/>
  <c r="N115" i="5"/>
  <c r="O115" i="5"/>
  <c r="P115" i="5"/>
  <c r="Q115" i="5"/>
  <c r="R115" i="5"/>
  <c r="S115" i="5"/>
  <c r="T115" i="5"/>
  <c r="U115" i="5"/>
  <c r="V115" i="5"/>
  <c r="W115" i="5"/>
  <c r="X115" i="5"/>
  <c r="Y115" i="5"/>
  <c r="Z115" i="5"/>
  <c r="AA115" i="5"/>
  <c r="AB115" i="5"/>
  <c r="AC115" i="5"/>
  <c r="AD115" i="5"/>
  <c r="AE115" i="5"/>
  <c r="AF115" i="5"/>
  <c r="AG115" i="5"/>
  <c r="AH115" i="5"/>
  <c r="AI115" i="5"/>
  <c r="AJ115" i="5"/>
  <c r="AK115" i="5"/>
  <c r="AL115" i="5"/>
  <c r="AM115" i="5"/>
  <c r="AN115" i="5"/>
  <c r="AO115" i="5"/>
  <c r="AP115" i="5"/>
  <c r="AQ115" i="5"/>
  <c r="AR115" i="5"/>
  <c r="AS115" i="5"/>
  <c r="AT115" i="5"/>
  <c r="AU115" i="5"/>
  <c r="AV115" i="5"/>
  <c r="AW115" i="5"/>
  <c r="AX115" i="5"/>
  <c r="AY115" i="5"/>
  <c r="AZ115" i="5"/>
  <c r="BA115" i="5"/>
  <c r="BB115" i="5"/>
  <c r="BC115" i="5"/>
  <c r="BD115" i="5"/>
  <c r="BE115" i="5"/>
  <c r="BF115" i="5"/>
  <c r="BG115" i="5"/>
  <c r="BH115" i="5"/>
  <c r="BI115" i="5"/>
  <c r="BJ115" i="5"/>
  <c r="BK115" i="5"/>
  <c r="BL115" i="5"/>
  <c r="BM115" i="5"/>
  <c r="BN115" i="5"/>
  <c r="BO115" i="5"/>
  <c r="BP115" i="5"/>
  <c r="BQ115" i="5"/>
  <c r="BR115" i="5"/>
  <c r="BS115" i="5"/>
  <c r="BT115" i="5"/>
  <c r="BU115" i="5"/>
  <c r="BV115" i="5"/>
  <c r="BW115" i="5"/>
  <c r="BX115" i="5"/>
  <c r="BY115" i="5"/>
  <c r="BZ115" i="5"/>
  <c r="CA115" i="5"/>
  <c r="CB115" i="5"/>
  <c r="CC115" i="5"/>
  <c r="CD115" i="5"/>
  <c r="CE115" i="5"/>
  <c r="CF115" i="5"/>
  <c r="CG115" i="5"/>
  <c r="CH115" i="5"/>
  <c r="CI115" i="5"/>
  <c r="CJ115" i="5"/>
  <c r="CK115" i="5"/>
  <c r="CL115" i="5"/>
  <c r="CM115" i="5"/>
  <c r="CN115" i="5"/>
  <c r="CO115" i="5"/>
  <c r="CP115" i="5"/>
  <c r="CQ115" i="5"/>
  <c r="CR115" i="5"/>
  <c r="CS115" i="5"/>
  <c r="CT115" i="5"/>
  <c r="CU115" i="5"/>
  <c r="CV115" i="5"/>
  <c r="CW115" i="5"/>
  <c r="CX115" i="5"/>
  <c r="CY115" i="5"/>
  <c r="CZ115" i="5"/>
  <c r="DA115" i="5"/>
  <c r="DB115" i="5"/>
  <c r="DC115" i="5"/>
  <c r="DD115" i="5"/>
  <c r="DE115" i="5"/>
  <c r="DF115" i="5"/>
  <c r="DG115" i="5"/>
  <c r="DH115" i="5"/>
  <c r="DI115" i="5"/>
  <c r="DJ115" i="5"/>
  <c r="DK115" i="5"/>
  <c r="DL115" i="5"/>
  <c r="DM115" i="5"/>
  <c r="DN115" i="5"/>
  <c r="DO115" i="5"/>
  <c r="DP115" i="5"/>
  <c r="DQ115" i="5"/>
  <c r="DR115" i="5"/>
  <c r="DS115" i="5"/>
  <c r="DT115" i="5"/>
  <c r="DU115" i="5"/>
  <c r="DV115" i="5"/>
  <c r="DW115" i="5"/>
  <c r="DX115" i="5"/>
  <c r="DY115" i="5"/>
  <c r="DZ115" i="5"/>
  <c r="EA115" i="5"/>
  <c r="EB115" i="5"/>
  <c r="EC115" i="5"/>
  <c r="ED115" i="5"/>
  <c r="EE115" i="5"/>
  <c r="EF115" i="5"/>
  <c r="EG115" i="5"/>
  <c r="EH115" i="5"/>
  <c r="EI115" i="5"/>
  <c r="EJ115" i="5"/>
  <c r="EK115" i="5"/>
  <c r="EL115" i="5"/>
  <c r="EM115" i="5"/>
  <c r="EN115" i="5"/>
  <c r="EO115" i="5"/>
  <c r="EP115" i="5"/>
  <c r="EQ115" i="5"/>
  <c r="ER115" i="5"/>
  <c r="ES115" i="5"/>
  <c r="ET115" i="5"/>
  <c r="EU115" i="5"/>
  <c r="EV115" i="5"/>
  <c r="EW115" i="5"/>
  <c r="EX115" i="5"/>
  <c r="EY115" i="5"/>
  <c r="EZ115" i="5"/>
  <c r="FA115" i="5"/>
  <c r="FB115" i="5"/>
  <c r="FC115" i="5"/>
  <c r="FD115" i="5"/>
  <c r="FE115" i="5"/>
  <c r="FF115" i="5"/>
  <c r="FG115" i="5"/>
  <c r="FH115" i="5"/>
  <c r="FI115" i="5"/>
  <c r="FJ115" i="5"/>
  <c r="FK115" i="5"/>
  <c r="FL115" i="5"/>
  <c r="FM115" i="5"/>
  <c r="FN115" i="5"/>
  <c r="FO115" i="5"/>
  <c r="FP115" i="5"/>
  <c r="FQ115" i="5"/>
  <c r="FR115" i="5"/>
  <c r="FS115" i="5"/>
  <c r="FT115" i="5"/>
  <c r="FU115" i="5"/>
  <c r="FV115" i="5"/>
  <c r="FW115" i="5"/>
  <c r="FX115" i="5"/>
  <c r="FY115" i="5"/>
  <c r="FZ115" i="5"/>
  <c r="GA115" i="5"/>
  <c r="GB115" i="5"/>
  <c r="GC115" i="5"/>
  <c r="GD115" i="5"/>
  <c r="GE115" i="5"/>
  <c r="GF115" i="5"/>
  <c r="GG115" i="5"/>
  <c r="GH115" i="5"/>
  <c r="GI115" i="5"/>
  <c r="GJ115" i="5"/>
  <c r="GK115" i="5"/>
  <c r="GL115" i="5"/>
  <c r="GM115" i="5"/>
  <c r="GN115" i="5"/>
  <c r="GO115" i="5"/>
  <c r="GP115" i="5"/>
  <c r="GQ115" i="5"/>
  <c r="GR115" i="5"/>
  <c r="GS115" i="5"/>
  <c r="GT115" i="5"/>
  <c r="GU115" i="5"/>
  <c r="GV115" i="5"/>
  <c r="GW115" i="5"/>
  <c r="GX115" i="5"/>
  <c r="GY115" i="5"/>
  <c r="GZ115" i="5"/>
  <c r="HA115" i="5"/>
  <c r="HB115" i="5"/>
  <c r="HC115" i="5"/>
  <c r="HD115" i="5"/>
  <c r="HE115" i="5"/>
  <c r="HF115" i="5"/>
  <c r="HG115" i="5"/>
  <c r="A116" i="5"/>
  <c r="B116" i="5"/>
  <c r="C116" i="5"/>
  <c r="D116" i="5"/>
  <c r="E116" i="5"/>
  <c r="F116" i="5"/>
  <c r="G116" i="5"/>
  <c r="H116" i="5"/>
  <c r="I116" i="5"/>
  <c r="J116" i="5"/>
  <c r="K116" i="5"/>
  <c r="L116" i="5"/>
  <c r="M116" i="5"/>
  <c r="N116" i="5"/>
  <c r="O116" i="5"/>
  <c r="P116" i="5"/>
  <c r="Q116" i="5"/>
  <c r="R116" i="5"/>
  <c r="S116" i="5"/>
  <c r="T116" i="5"/>
  <c r="U116" i="5"/>
  <c r="V116" i="5"/>
  <c r="W116" i="5"/>
  <c r="X116" i="5"/>
  <c r="Y116" i="5"/>
  <c r="Z116" i="5"/>
  <c r="AA116" i="5"/>
  <c r="AB116" i="5"/>
  <c r="AC116" i="5"/>
  <c r="AD116" i="5"/>
  <c r="AE116" i="5"/>
  <c r="AF116" i="5"/>
  <c r="AG116" i="5"/>
  <c r="AH116" i="5"/>
  <c r="AI116" i="5"/>
  <c r="AJ116" i="5"/>
  <c r="AK116" i="5"/>
  <c r="AL116" i="5"/>
  <c r="AM116" i="5"/>
  <c r="AN116" i="5"/>
  <c r="AO116" i="5"/>
  <c r="AP116" i="5"/>
  <c r="AQ116" i="5"/>
  <c r="AR116" i="5"/>
  <c r="AS116" i="5"/>
  <c r="AT116" i="5"/>
  <c r="AU116" i="5"/>
  <c r="AV116" i="5"/>
  <c r="AW116" i="5"/>
  <c r="AX116" i="5"/>
  <c r="AY116" i="5"/>
  <c r="AZ116" i="5"/>
  <c r="BA116" i="5"/>
  <c r="BB116" i="5"/>
  <c r="BC116" i="5"/>
  <c r="BD116" i="5"/>
  <c r="BE116" i="5"/>
  <c r="BF116" i="5"/>
  <c r="BG116" i="5"/>
  <c r="BH116" i="5"/>
  <c r="BI116" i="5"/>
  <c r="BJ116" i="5"/>
  <c r="BK116" i="5"/>
  <c r="BL116" i="5"/>
  <c r="BM116" i="5"/>
  <c r="BN116" i="5"/>
  <c r="BO116" i="5"/>
  <c r="BP116" i="5"/>
  <c r="BQ116" i="5"/>
  <c r="BR116" i="5"/>
  <c r="BS116" i="5"/>
  <c r="BT116" i="5"/>
  <c r="BU116" i="5"/>
  <c r="BV116" i="5"/>
  <c r="BW116" i="5"/>
  <c r="BX116" i="5"/>
  <c r="BY116" i="5"/>
  <c r="BZ116" i="5"/>
  <c r="CA116" i="5"/>
  <c r="CB116" i="5"/>
  <c r="CC116" i="5"/>
  <c r="CD116" i="5"/>
  <c r="CE116" i="5"/>
  <c r="CF116" i="5"/>
  <c r="CG116" i="5"/>
  <c r="CH116" i="5"/>
  <c r="CI116" i="5"/>
  <c r="CJ116" i="5"/>
  <c r="CK116" i="5"/>
  <c r="CL116" i="5"/>
  <c r="CM116" i="5"/>
  <c r="CN116" i="5"/>
  <c r="CO116" i="5"/>
  <c r="CP116" i="5"/>
  <c r="CQ116" i="5"/>
  <c r="CR116" i="5"/>
  <c r="CS116" i="5"/>
  <c r="CT116" i="5"/>
  <c r="CU116" i="5"/>
  <c r="CV116" i="5"/>
  <c r="CW116" i="5"/>
  <c r="CX116" i="5"/>
  <c r="CY116" i="5"/>
  <c r="CZ116" i="5"/>
  <c r="DA116" i="5"/>
  <c r="DB116" i="5"/>
  <c r="DC116" i="5"/>
  <c r="DD116" i="5"/>
  <c r="DE116" i="5"/>
  <c r="DF116" i="5"/>
  <c r="DG116" i="5"/>
  <c r="DH116" i="5"/>
  <c r="DI116" i="5"/>
  <c r="DJ116" i="5"/>
  <c r="DK116" i="5"/>
  <c r="DL116" i="5"/>
  <c r="DM116" i="5"/>
  <c r="DN116" i="5"/>
  <c r="DO116" i="5"/>
  <c r="DP116" i="5"/>
  <c r="DQ116" i="5"/>
  <c r="DR116" i="5"/>
  <c r="DS116" i="5"/>
  <c r="DT116" i="5"/>
  <c r="DU116" i="5"/>
  <c r="DV116" i="5"/>
  <c r="DW116" i="5"/>
  <c r="DX116" i="5"/>
  <c r="DY116" i="5"/>
  <c r="DZ116" i="5"/>
  <c r="EA116" i="5"/>
  <c r="EB116" i="5"/>
  <c r="EC116" i="5"/>
  <c r="ED116" i="5"/>
  <c r="EE116" i="5"/>
  <c r="EF116" i="5"/>
  <c r="EG116" i="5"/>
  <c r="EH116" i="5"/>
  <c r="EI116" i="5"/>
  <c r="EJ116" i="5"/>
  <c r="EK116" i="5"/>
  <c r="EL116" i="5"/>
  <c r="EM116" i="5"/>
  <c r="EN116" i="5"/>
  <c r="EO116" i="5"/>
  <c r="EP116" i="5"/>
  <c r="EQ116" i="5"/>
  <c r="ER116" i="5"/>
  <c r="ES116" i="5"/>
  <c r="ET116" i="5"/>
  <c r="EU116" i="5"/>
  <c r="EV116" i="5"/>
  <c r="EW116" i="5"/>
  <c r="EX116" i="5"/>
  <c r="EY116" i="5"/>
  <c r="EZ116" i="5"/>
  <c r="FA116" i="5"/>
  <c r="FB116" i="5"/>
  <c r="FC116" i="5"/>
  <c r="FD116" i="5"/>
  <c r="FE116" i="5"/>
  <c r="FF116" i="5"/>
  <c r="FG116" i="5"/>
  <c r="FH116" i="5"/>
  <c r="FI116" i="5"/>
  <c r="FJ116" i="5"/>
  <c r="FK116" i="5"/>
  <c r="FL116" i="5"/>
  <c r="FM116" i="5"/>
  <c r="FN116" i="5"/>
  <c r="FO116" i="5"/>
  <c r="FP116" i="5"/>
  <c r="FQ116" i="5"/>
  <c r="FR116" i="5"/>
  <c r="FS116" i="5"/>
  <c r="FT116" i="5"/>
  <c r="FU116" i="5"/>
  <c r="FV116" i="5"/>
  <c r="FW116" i="5"/>
  <c r="FX116" i="5"/>
  <c r="FY116" i="5"/>
  <c r="FZ116" i="5"/>
  <c r="GA116" i="5"/>
  <c r="GB116" i="5"/>
  <c r="GC116" i="5"/>
  <c r="GD116" i="5"/>
  <c r="GE116" i="5"/>
  <c r="GF116" i="5"/>
  <c r="GG116" i="5"/>
  <c r="GH116" i="5"/>
  <c r="GI116" i="5"/>
  <c r="GJ116" i="5"/>
  <c r="GK116" i="5"/>
  <c r="GL116" i="5"/>
  <c r="GM116" i="5"/>
  <c r="GN116" i="5"/>
  <c r="GO116" i="5"/>
  <c r="GP116" i="5"/>
  <c r="GQ116" i="5"/>
  <c r="GR116" i="5"/>
  <c r="GS116" i="5"/>
  <c r="GT116" i="5"/>
  <c r="GU116" i="5"/>
  <c r="GV116" i="5"/>
  <c r="GW116" i="5"/>
  <c r="GX116" i="5"/>
  <c r="GY116" i="5"/>
  <c r="GZ116" i="5"/>
  <c r="HA116" i="5"/>
  <c r="HB116" i="5"/>
  <c r="HC116" i="5"/>
  <c r="HD116" i="5"/>
  <c r="HE116" i="5"/>
  <c r="HF116" i="5"/>
  <c r="HG116" i="5"/>
  <c r="A117" i="5"/>
  <c r="B117" i="5"/>
  <c r="C117" i="5"/>
  <c r="D117" i="5"/>
  <c r="E117" i="5"/>
  <c r="F117" i="5"/>
  <c r="G117" i="5"/>
  <c r="H117" i="5"/>
  <c r="I117" i="5"/>
  <c r="J117" i="5"/>
  <c r="K117" i="5"/>
  <c r="L117" i="5"/>
  <c r="M117" i="5"/>
  <c r="N117" i="5"/>
  <c r="O117" i="5"/>
  <c r="P117" i="5"/>
  <c r="Q117" i="5"/>
  <c r="R117" i="5"/>
  <c r="S117" i="5"/>
  <c r="T117" i="5"/>
  <c r="U117" i="5"/>
  <c r="V117" i="5"/>
  <c r="W117" i="5"/>
  <c r="X117" i="5"/>
  <c r="Y117" i="5"/>
  <c r="Z117" i="5"/>
  <c r="AA117" i="5"/>
  <c r="AB117" i="5"/>
  <c r="AC117" i="5"/>
  <c r="AD117" i="5"/>
  <c r="AE117" i="5"/>
  <c r="AF117" i="5"/>
  <c r="AG117" i="5"/>
  <c r="AH117" i="5"/>
  <c r="AI117" i="5"/>
  <c r="AJ117" i="5"/>
  <c r="AK117" i="5"/>
  <c r="AL117" i="5"/>
  <c r="AM117" i="5"/>
  <c r="AN117" i="5"/>
  <c r="AO117" i="5"/>
  <c r="AP117" i="5"/>
  <c r="AQ117" i="5"/>
  <c r="AR117" i="5"/>
  <c r="AS117" i="5"/>
  <c r="AT117" i="5"/>
  <c r="AU117" i="5"/>
  <c r="AV117" i="5"/>
  <c r="AW117" i="5"/>
  <c r="AX117" i="5"/>
  <c r="AY117" i="5"/>
  <c r="AZ117" i="5"/>
  <c r="BA117" i="5"/>
  <c r="BB117" i="5"/>
  <c r="BC117" i="5"/>
  <c r="BD117" i="5"/>
  <c r="BE117" i="5"/>
  <c r="BF117" i="5"/>
  <c r="BG117" i="5"/>
  <c r="BH117" i="5"/>
  <c r="BI117" i="5"/>
  <c r="BJ117" i="5"/>
  <c r="BK117" i="5"/>
  <c r="BL117" i="5"/>
  <c r="BM117" i="5"/>
  <c r="BN117" i="5"/>
  <c r="BO117" i="5"/>
  <c r="BP117" i="5"/>
  <c r="BQ117" i="5"/>
  <c r="BR117" i="5"/>
  <c r="BS117" i="5"/>
  <c r="BT117" i="5"/>
  <c r="BU117" i="5"/>
  <c r="BV117" i="5"/>
  <c r="BW117" i="5"/>
  <c r="BX117" i="5"/>
  <c r="BY117" i="5"/>
  <c r="BZ117" i="5"/>
  <c r="CA117" i="5"/>
  <c r="CB117" i="5"/>
  <c r="CC117" i="5"/>
  <c r="CD117" i="5"/>
  <c r="CE117" i="5"/>
  <c r="CF117" i="5"/>
  <c r="CG117" i="5"/>
  <c r="CH117" i="5"/>
  <c r="CI117" i="5"/>
  <c r="CJ117" i="5"/>
  <c r="CK117" i="5"/>
  <c r="CL117" i="5"/>
  <c r="CM117" i="5"/>
  <c r="CN117" i="5"/>
  <c r="CO117" i="5"/>
  <c r="CP117" i="5"/>
  <c r="CQ117" i="5"/>
  <c r="CR117" i="5"/>
  <c r="CS117" i="5"/>
  <c r="CT117" i="5"/>
  <c r="CU117" i="5"/>
  <c r="CV117" i="5"/>
  <c r="CW117" i="5"/>
  <c r="CX117" i="5"/>
  <c r="CY117" i="5"/>
  <c r="CZ117" i="5"/>
  <c r="DA117" i="5"/>
  <c r="DB117" i="5"/>
  <c r="DC117" i="5"/>
  <c r="DD117" i="5"/>
  <c r="DE117" i="5"/>
  <c r="DF117" i="5"/>
  <c r="DG117" i="5"/>
  <c r="DH117" i="5"/>
  <c r="DI117" i="5"/>
  <c r="DJ117" i="5"/>
  <c r="DK117" i="5"/>
  <c r="DL117" i="5"/>
  <c r="DM117" i="5"/>
  <c r="DN117" i="5"/>
  <c r="DO117" i="5"/>
  <c r="DP117" i="5"/>
  <c r="DQ117" i="5"/>
  <c r="DR117" i="5"/>
  <c r="DS117" i="5"/>
  <c r="DT117" i="5"/>
  <c r="DU117" i="5"/>
  <c r="DV117" i="5"/>
  <c r="DW117" i="5"/>
  <c r="DX117" i="5"/>
  <c r="DY117" i="5"/>
  <c r="DZ117" i="5"/>
  <c r="EA117" i="5"/>
  <c r="EB117" i="5"/>
  <c r="EC117" i="5"/>
  <c r="ED117" i="5"/>
  <c r="EE117" i="5"/>
  <c r="EF117" i="5"/>
  <c r="EG117" i="5"/>
  <c r="EH117" i="5"/>
  <c r="EI117" i="5"/>
  <c r="EJ117" i="5"/>
  <c r="EK117" i="5"/>
  <c r="EL117" i="5"/>
  <c r="EM117" i="5"/>
  <c r="EN117" i="5"/>
  <c r="EO117" i="5"/>
  <c r="EP117" i="5"/>
  <c r="EQ117" i="5"/>
  <c r="ER117" i="5"/>
  <c r="ES117" i="5"/>
  <c r="ET117" i="5"/>
  <c r="EU117" i="5"/>
  <c r="EV117" i="5"/>
  <c r="EW117" i="5"/>
  <c r="EX117" i="5"/>
  <c r="EY117" i="5"/>
  <c r="EZ117" i="5"/>
  <c r="FA117" i="5"/>
  <c r="FB117" i="5"/>
  <c r="FC117" i="5"/>
  <c r="FD117" i="5"/>
  <c r="FE117" i="5"/>
  <c r="FF117" i="5"/>
  <c r="FG117" i="5"/>
  <c r="FH117" i="5"/>
  <c r="FI117" i="5"/>
  <c r="FJ117" i="5"/>
  <c r="FK117" i="5"/>
  <c r="FL117" i="5"/>
  <c r="FM117" i="5"/>
  <c r="FN117" i="5"/>
  <c r="FO117" i="5"/>
  <c r="FP117" i="5"/>
  <c r="FQ117" i="5"/>
  <c r="FR117" i="5"/>
  <c r="FS117" i="5"/>
  <c r="FT117" i="5"/>
  <c r="FU117" i="5"/>
  <c r="FV117" i="5"/>
  <c r="FW117" i="5"/>
  <c r="FX117" i="5"/>
  <c r="FY117" i="5"/>
  <c r="FZ117" i="5"/>
  <c r="GA117" i="5"/>
  <c r="GB117" i="5"/>
  <c r="GC117" i="5"/>
  <c r="GD117" i="5"/>
  <c r="GE117" i="5"/>
  <c r="GF117" i="5"/>
  <c r="GG117" i="5"/>
  <c r="GH117" i="5"/>
  <c r="GI117" i="5"/>
  <c r="GJ117" i="5"/>
  <c r="GK117" i="5"/>
  <c r="GL117" i="5"/>
  <c r="GM117" i="5"/>
  <c r="GN117" i="5"/>
  <c r="GO117" i="5"/>
  <c r="GP117" i="5"/>
  <c r="GQ117" i="5"/>
  <c r="GR117" i="5"/>
  <c r="GS117" i="5"/>
  <c r="GT117" i="5"/>
  <c r="GU117" i="5"/>
  <c r="GV117" i="5"/>
  <c r="GW117" i="5"/>
  <c r="GX117" i="5"/>
  <c r="GY117" i="5"/>
  <c r="GZ117" i="5"/>
  <c r="HA117" i="5"/>
  <c r="HB117" i="5"/>
  <c r="HC117" i="5"/>
  <c r="HD117" i="5"/>
  <c r="HE117" i="5"/>
  <c r="HF117" i="5"/>
  <c r="HG117" i="5"/>
  <c r="A118" i="5"/>
  <c r="B118" i="5"/>
  <c r="C118" i="5"/>
  <c r="D118" i="5"/>
  <c r="E118" i="5"/>
  <c r="F118" i="5"/>
  <c r="G118" i="5"/>
  <c r="H118" i="5"/>
  <c r="I118" i="5"/>
  <c r="J118" i="5"/>
  <c r="K118" i="5"/>
  <c r="L118" i="5"/>
  <c r="M118" i="5"/>
  <c r="N118" i="5"/>
  <c r="O118" i="5"/>
  <c r="P118" i="5"/>
  <c r="Q118" i="5"/>
  <c r="R118" i="5"/>
  <c r="S118" i="5"/>
  <c r="T118" i="5"/>
  <c r="U118" i="5"/>
  <c r="V118" i="5"/>
  <c r="W118" i="5"/>
  <c r="X118" i="5"/>
  <c r="Y118" i="5"/>
  <c r="Z118" i="5"/>
  <c r="AA118" i="5"/>
  <c r="AB118" i="5"/>
  <c r="AC118" i="5"/>
  <c r="AD118" i="5"/>
  <c r="AE118" i="5"/>
  <c r="AF118" i="5"/>
  <c r="AG118" i="5"/>
  <c r="AH118" i="5"/>
  <c r="AI118" i="5"/>
  <c r="AJ118" i="5"/>
  <c r="AK118" i="5"/>
  <c r="AL118" i="5"/>
  <c r="AM118" i="5"/>
  <c r="AN118" i="5"/>
  <c r="AO118" i="5"/>
  <c r="AP118" i="5"/>
  <c r="AQ118" i="5"/>
  <c r="AR118" i="5"/>
  <c r="AS118" i="5"/>
  <c r="AT118" i="5"/>
  <c r="AU118" i="5"/>
  <c r="AV118" i="5"/>
  <c r="AW118" i="5"/>
  <c r="AX118" i="5"/>
  <c r="AY118" i="5"/>
  <c r="AZ118" i="5"/>
  <c r="BA118" i="5"/>
  <c r="BB118" i="5"/>
  <c r="BC118" i="5"/>
  <c r="BD118" i="5"/>
  <c r="BE118" i="5"/>
  <c r="BF118" i="5"/>
  <c r="BG118" i="5"/>
  <c r="BH118" i="5"/>
  <c r="BI118" i="5"/>
  <c r="BJ118" i="5"/>
  <c r="BK118" i="5"/>
  <c r="BL118" i="5"/>
  <c r="BM118" i="5"/>
  <c r="BN118" i="5"/>
  <c r="BO118" i="5"/>
  <c r="BP118" i="5"/>
  <c r="BQ118" i="5"/>
  <c r="BR118" i="5"/>
  <c r="BS118" i="5"/>
  <c r="BT118" i="5"/>
  <c r="BU118" i="5"/>
  <c r="BV118" i="5"/>
  <c r="BW118" i="5"/>
  <c r="BX118" i="5"/>
  <c r="BY118" i="5"/>
  <c r="BZ118" i="5"/>
  <c r="CA118" i="5"/>
  <c r="CB118" i="5"/>
  <c r="CC118" i="5"/>
  <c r="CD118" i="5"/>
  <c r="CE118" i="5"/>
  <c r="CF118" i="5"/>
  <c r="CG118" i="5"/>
  <c r="CH118" i="5"/>
  <c r="CI118" i="5"/>
  <c r="CJ118" i="5"/>
  <c r="CK118" i="5"/>
  <c r="CL118" i="5"/>
  <c r="CM118" i="5"/>
  <c r="CN118" i="5"/>
  <c r="CO118" i="5"/>
  <c r="CP118" i="5"/>
  <c r="CQ118" i="5"/>
  <c r="CR118" i="5"/>
  <c r="CS118" i="5"/>
  <c r="CT118" i="5"/>
  <c r="CU118" i="5"/>
  <c r="CV118" i="5"/>
  <c r="CW118" i="5"/>
  <c r="CX118" i="5"/>
  <c r="CY118" i="5"/>
  <c r="CZ118" i="5"/>
  <c r="DA118" i="5"/>
  <c r="DB118" i="5"/>
  <c r="DC118" i="5"/>
  <c r="DD118" i="5"/>
  <c r="DE118" i="5"/>
  <c r="DF118" i="5"/>
  <c r="DG118" i="5"/>
  <c r="DH118" i="5"/>
  <c r="DI118" i="5"/>
  <c r="DJ118" i="5"/>
  <c r="DK118" i="5"/>
  <c r="DL118" i="5"/>
  <c r="DM118" i="5"/>
  <c r="DN118" i="5"/>
  <c r="DO118" i="5"/>
  <c r="DP118" i="5"/>
  <c r="DQ118" i="5"/>
  <c r="DR118" i="5"/>
  <c r="DS118" i="5"/>
  <c r="DT118" i="5"/>
  <c r="DU118" i="5"/>
  <c r="DV118" i="5"/>
  <c r="DW118" i="5"/>
  <c r="DX118" i="5"/>
  <c r="DY118" i="5"/>
  <c r="DZ118" i="5"/>
  <c r="EA118" i="5"/>
  <c r="EB118" i="5"/>
  <c r="EC118" i="5"/>
  <c r="ED118" i="5"/>
  <c r="EE118" i="5"/>
  <c r="EF118" i="5"/>
  <c r="EG118" i="5"/>
  <c r="EH118" i="5"/>
  <c r="EI118" i="5"/>
  <c r="EJ118" i="5"/>
  <c r="EK118" i="5"/>
  <c r="EL118" i="5"/>
  <c r="EM118" i="5"/>
  <c r="EN118" i="5"/>
  <c r="EO118" i="5"/>
  <c r="EP118" i="5"/>
  <c r="EQ118" i="5"/>
  <c r="ER118" i="5"/>
  <c r="ES118" i="5"/>
  <c r="ET118" i="5"/>
  <c r="EU118" i="5"/>
  <c r="EV118" i="5"/>
  <c r="EW118" i="5"/>
  <c r="EX118" i="5"/>
  <c r="EY118" i="5"/>
  <c r="EZ118" i="5"/>
  <c r="FA118" i="5"/>
  <c r="FB118" i="5"/>
  <c r="FC118" i="5"/>
  <c r="FD118" i="5"/>
  <c r="FE118" i="5"/>
  <c r="FF118" i="5"/>
  <c r="FG118" i="5"/>
  <c r="FH118" i="5"/>
  <c r="FI118" i="5"/>
  <c r="FJ118" i="5"/>
  <c r="FK118" i="5"/>
  <c r="FL118" i="5"/>
  <c r="FM118" i="5"/>
  <c r="FN118" i="5"/>
  <c r="FO118" i="5"/>
  <c r="FP118" i="5"/>
  <c r="FQ118" i="5"/>
  <c r="FR118" i="5"/>
  <c r="FS118" i="5"/>
  <c r="FT118" i="5"/>
  <c r="FU118" i="5"/>
  <c r="FV118" i="5"/>
  <c r="FW118" i="5"/>
  <c r="FX118" i="5"/>
  <c r="FY118" i="5"/>
  <c r="FZ118" i="5"/>
  <c r="GA118" i="5"/>
  <c r="GB118" i="5"/>
  <c r="GC118" i="5"/>
  <c r="GD118" i="5"/>
  <c r="GE118" i="5"/>
  <c r="GF118" i="5"/>
  <c r="GG118" i="5"/>
  <c r="GH118" i="5"/>
  <c r="GI118" i="5"/>
  <c r="GJ118" i="5"/>
  <c r="GK118" i="5"/>
  <c r="GL118" i="5"/>
  <c r="GM118" i="5"/>
  <c r="GN118" i="5"/>
  <c r="GO118" i="5"/>
  <c r="GP118" i="5"/>
  <c r="GQ118" i="5"/>
  <c r="GR118" i="5"/>
  <c r="GS118" i="5"/>
  <c r="GT118" i="5"/>
  <c r="GU118" i="5"/>
  <c r="GV118" i="5"/>
  <c r="GW118" i="5"/>
  <c r="GX118" i="5"/>
  <c r="GY118" i="5"/>
  <c r="GZ118" i="5"/>
  <c r="HA118" i="5"/>
  <c r="HB118" i="5"/>
  <c r="HC118" i="5"/>
  <c r="HD118" i="5"/>
  <c r="HE118" i="5"/>
  <c r="HF118" i="5"/>
  <c r="HG118" i="5"/>
  <c r="A119" i="5"/>
  <c r="B119" i="5"/>
  <c r="C119" i="5"/>
  <c r="D119" i="5"/>
  <c r="E119" i="5"/>
  <c r="F119" i="5"/>
  <c r="G119" i="5"/>
  <c r="H119" i="5"/>
  <c r="I119" i="5"/>
  <c r="J119" i="5"/>
  <c r="K119" i="5"/>
  <c r="L119" i="5"/>
  <c r="M119" i="5"/>
  <c r="N119" i="5"/>
  <c r="O119" i="5"/>
  <c r="P119" i="5"/>
  <c r="Q119" i="5"/>
  <c r="R119" i="5"/>
  <c r="S119" i="5"/>
  <c r="T119" i="5"/>
  <c r="U119" i="5"/>
  <c r="V119" i="5"/>
  <c r="W119" i="5"/>
  <c r="X119" i="5"/>
  <c r="Y119" i="5"/>
  <c r="Z119" i="5"/>
  <c r="AA119" i="5"/>
  <c r="AB119" i="5"/>
  <c r="AC119" i="5"/>
  <c r="AD119" i="5"/>
  <c r="AE119" i="5"/>
  <c r="AF119" i="5"/>
  <c r="AG119" i="5"/>
  <c r="AH119" i="5"/>
  <c r="AI119" i="5"/>
  <c r="AJ119" i="5"/>
  <c r="AK119" i="5"/>
  <c r="AL119" i="5"/>
  <c r="AM119" i="5"/>
  <c r="AN119" i="5"/>
  <c r="AO119" i="5"/>
  <c r="AP119" i="5"/>
  <c r="AQ119" i="5"/>
  <c r="AR119" i="5"/>
  <c r="AS119" i="5"/>
  <c r="AT119" i="5"/>
  <c r="AU119" i="5"/>
  <c r="AV119" i="5"/>
  <c r="AW119" i="5"/>
  <c r="AX119" i="5"/>
  <c r="AY119" i="5"/>
  <c r="AZ119" i="5"/>
  <c r="BA119" i="5"/>
  <c r="BB119" i="5"/>
  <c r="BC119" i="5"/>
  <c r="BD119" i="5"/>
  <c r="BE119" i="5"/>
  <c r="BF119" i="5"/>
  <c r="BG119" i="5"/>
  <c r="BH119" i="5"/>
  <c r="BI119" i="5"/>
  <c r="BJ119" i="5"/>
  <c r="BK119" i="5"/>
  <c r="BL119" i="5"/>
  <c r="BM119" i="5"/>
  <c r="BN119" i="5"/>
  <c r="BO119" i="5"/>
  <c r="BP119" i="5"/>
  <c r="BQ119" i="5"/>
  <c r="BR119" i="5"/>
  <c r="BS119" i="5"/>
  <c r="BT119" i="5"/>
  <c r="BU119" i="5"/>
  <c r="BV119" i="5"/>
  <c r="BW119" i="5"/>
  <c r="BX119" i="5"/>
  <c r="BY119" i="5"/>
  <c r="BZ119" i="5"/>
  <c r="CA119" i="5"/>
  <c r="CB119" i="5"/>
  <c r="CC119" i="5"/>
  <c r="CD119" i="5"/>
  <c r="CE119" i="5"/>
  <c r="CF119" i="5"/>
  <c r="CG119" i="5"/>
  <c r="CH119" i="5"/>
  <c r="CI119" i="5"/>
  <c r="CJ119" i="5"/>
  <c r="CK119" i="5"/>
  <c r="CL119" i="5"/>
  <c r="CM119" i="5"/>
  <c r="CN119" i="5"/>
  <c r="CO119" i="5"/>
  <c r="CP119" i="5"/>
  <c r="CQ119" i="5"/>
  <c r="CR119" i="5"/>
  <c r="CS119" i="5"/>
  <c r="CT119" i="5"/>
  <c r="CU119" i="5"/>
  <c r="CV119" i="5"/>
  <c r="CW119" i="5"/>
  <c r="CX119" i="5"/>
  <c r="CY119" i="5"/>
  <c r="CZ119" i="5"/>
  <c r="DA119" i="5"/>
  <c r="DB119" i="5"/>
  <c r="DC119" i="5"/>
  <c r="DD119" i="5"/>
  <c r="DE119" i="5"/>
  <c r="DF119" i="5"/>
  <c r="DG119" i="5"/>
  <c r="DH119" i="5"/>
  <c r="DI119" i="5"/>
  <c r="DJ119" i="5"/>
  <c r="DK119" i="5"/>
  <c r="DL119" i="5"/>
  <c r="DM119" i="5"/>
  <c r="DN119" i="5"/>
  <c r="DO119" i="5"/>
  <c r="DP119" i="5"/>
  <c r="DQ119" i="5"/>
  <c r="DR119" i="5"/>
  <c r="DS119" i="5"/>
  <c r="DT119" i="5"/>
  <c r="DU119" i="5"/>
  <c r="DV119" i="5"/>
  <c r="DW119" i="5"/>
  <c r="DX119" i="5"/>
  <c r="DY119" i="5"/>
  <c r="DZ119" i="5"/>
  <c r="EA119" i="5"/>
  <c r="EB119" i="5"/>
  <c r="EC119" i="5"/>
  <c r="ED119" i="5"/>
  <c r="EE119" i="5"/>
  <c r="EF119" i="5"/>
  <c r="EG119" i="5"/>
  <c r="EH119" i="5"/>
  <c r="EI119" i="5"/>
  <c r="EJ119" i="5"/>
  <c r="EK119" i="5"/>
  <c r="EL119" i="5"/>
  <c r="EM119" i="5"/>
  <c r="EN119" i="5"/>
  <c r="EO119" i="5"/>
  <c r="EP119" i="5"/>
  <c r="EQ119" i="5"/>
  <c r="ER119" i="5"/>
  <c r="ES119" i="5"/>
  <c r="ET119" i="5"/>
  <c r="EU119" i="5"/>
  <c r="EV119" i="5"/>
  <c r="EW119" i="5"/>
  <c r="EX119" i="5"/>
  <c r="EY119" i="5"/>
  <c r="EZ119" i="5"/>
  <c r="FA119" i="5"/>
  <c r="FB119" i="5"/>
  <c r="FC119" i="5"/>
  <c r="FD119" i="5"/>
  <c r="FE119" i="5"/>
  <c r="FF119" i="5"/>
  <c r="FG119" i="5"/>
  <c r="FH119" i="5"/>
  <c r="FI119" i="5"/>
  <c r="FJ119" i="5"/>
  <c r="FK119" i="5"/>
  <c r="FL119" i="5"/>
  <c r="FM119" i="5"/>
  <c r="FN119" i="5"/>
  <c r="FO119" i="5"/>
  <c r="FP119" i="5"/>
  <c r="FQ119" i="5"/>
  <c r="FR119" i="5"/>
  <c r="FS119" i="5"/>
  <c r="FT119" i="5"/>
  <c r="FU119" i="5"/>
  <c r="FV119" i="5"/>
  <c r="FW119" i="5"/>
  <c r="FX119" i="5"/>
  <c r="FY119" i="5"/>
  <c r="FZ119" i="5"/>
  <c r="GA119" i="5"/>
  <c r="GB119" i="5"/>
  <c r="GC119" i="5"/>
  <c r="GD119" i="5"/>
  <c r="GE119" i="5"/>
  <c r="GF119" i="5"/>
  <c r="GG119" i="5"/>
  <c r="GH119" i="5"/>
  <c r="GI119" i="5"/>
  <c r="GJ119" i="5"/>
  <c r="GK119" i="5"/>
  <c r="GL119" i="5"/>
  <c r="GM119" i="5"/>
  <c r="GN119" i="5"/>
  <c r="GO119" i="5"/>
  <c r="GP119" i="5"/>
  <c r="GQ119" i="5"/>
  <c r="GR119" i="5"/>
  <c r="GS119" i="5"/>
  <c r="GT119" i="5"/>
  <c r="GU119" i="5"/>
  <c r="GV119" i="5"/>
  <c r="GW119" i="5"/>
  <c r="GX119" i="5"/>
  <c r="GY119" i="5"/>
  <c r="GZ119" i="5"/>
  <c r="HA119" i="5"/>
  <c r="HB119" i="5"/>
  <c r="HC119" i="5"/>
  <c r="HD119" i="5"/>
  <c r="HE119" i="5"/>
  <c r="HF119" i="5"/>
  <c r="HG119" i="5"/>
  <c r="A120" i="5"/>
  <c r="B120" i="5"/>
  <c r="C120" i="5"/>
  <c r="D120" i="5"/>
  <c r="E120" i="5"/>
  <c r="F120" i="5"/>
  <c r="G120" i="5"/>
  <c r="H120" i="5"/>
  <c r="I120" i="5"/>
  <c r="J120" i="5"/>
  <c r="K120" i="5"/>
  <c r="L120" i="5"/>
  <c r="M120" i="5"/>
  <c r="N120" i="5"/>
  <c r="O120" i="5"/>
  <c r="P120" i="5"/>
  <c r="Q120" i="5"/>
  <c r="R120" i="5"/>
  <c r="S120" i="5"/>
  <c r="T120" i="5"/>
  <c r="U120" i="5"/>
  <c r="V120" i="5"/>
  <c r="W120" i="5"/>
  <c r="X120" i="5"/>
  <c r="Y120" i="5"/>
  <c r="Z120" i="5"/>
  <c r="AA120" i="5"/>
  <c r="AB120" i="5"/>
  <c r="AC120" i="5"/>
  <c r="AD120" i="5"/>
  <c r="AE120" i="5"/>
  <c r="AF120" i="5"/>
  <c r="AG120" i="5"/>
  <c r="AH120" i="5"/>
  <c r="AI120" i="5"/>
  <c r="AJ120" i="5"/>
  <c r="AK120" i="5"/>
  <c r="AL120" i="5"/>
  <c r="AM120" i="5"/>
  <c r="AN120" i="5"/>
  <c r="AO120" i="5"/>
  <c r="AP120" i="5"/>
  <c r="AQ120" i="5"/>
  <c r="AR120" i="5"/>
  <c r="AS120" i="5"/>
  <c r="AT120" i="5"/>
  <c r="AU120" i="5"/>
  <c r="AV120" i="5"/>
  <c r="AW120" i="5"/>
  <c r="AX120" i="5"/>
  <c r="AY120" i="5"/>
  <c r="AZ120" i="5"/>
  <c r="BA120" i="5"/>
  <c r="BB120" i="5"/>
  <c r="BC120" i="5"/>
  <c r="BD120" i="5"/>
  <c r="BE120" i="5"/>
  <c r="BF120" i="5"/>
  <c r="BG120" i="5"/>
  <c r="BH120" i="5"/>
  <c r="BI120" i="5"/>
  <c r="BJ120" i="5"/>
  <c r="BK120" i="5"/>
  <c r="BL120" i="5"/>
  <c r="BM120" i="5"/>
  <c r="BN120" i="5"/>
  <c r="BO120" i="5"/>
  <c r="BP120" i="5"/>
  <c r="BQ120" i="5"/>
  <c r="BR120" i="5"/>
  <c r="BS120" i="5"/>
  <c r="BT120" i="5"/>
  <c r="BU120" i="5"/>
  <c r="BV120" i="5"/>
  <c r="BW120" i="5"/>
  <c r="BX120" i="5"/>
  <c r="BY120" i="5"/>
  <c r="BZ120" i="5"/>
  <c r="CA120" i="5"/>
  <c r="CB120" i="5"/>
  <c r="CC120" i="5"/>
  <c r="CD120" i="5"/>
  <c r="CE120" i="5"/>
  <c r="CF120" i="5"/>
  <c r="CG120" i="5"/>
  <c r="CH120" i="5"/>
  <c r="CI120" i="5"/>
  <c r="CJ120" i="5"/>
  <c r="CK120" i="5"/>
  <c r="CL120" i="5"/>
  <c r="CM120" i="5"/>
  <c r="CN120" i="5"/>
  <c r="CO120" i="5"/>
  <c r="CP120" i="5"/>
  <c r="CQ120" i="5"/>
  <c r="CR120" i="5"/>
  <c r="CS120" i="5"/>
  <c r="CT120" i="5"/>
  <c r="CU120" i="5"/>
  <c r="CV120" i="5"/>
  <c r="CW120" i="5"/>
  <c r="CX120" i="5"/>
  <c r="CY120" i="5"/>
  <c r="CZ120" i="5"/>
  <c r="DA120" i="5"/>
  <c r="DB120" i="5"/>
  <c r="DC120" i="5"/>
  <c r="DD120" i="5"/>
  <c r="DE120" i="5"/>
  <c r="DF120" i="5"/>
  <c r="DG120" i="5"/>
  <c r="DH120" i="5"/>
  <c r="DI120" i="5"/>
  <c r="DJ120" i="5"/>
  <c r="DK120" i="5"/>
  <c r="DL120" i="5"/>
  <c r="DM120" i="5"/>
  <c r="DN120" i="5"/>
  <c r="DO120" i="5"/>
  <c r="DP120" i="5"/>
  <c r="DQ120" i="5"/>
  <c r="DR120" i="5"/>
  <c r="DS120" i="5"/>
  <c r="DT120" i="5"/>
  <c r="DU120" i="5"/>
  <c r="DV120" i="5"/>
  <c r="DW120" i="5"/>
  <c r="DX120" i="5"/>
  <c r="DY120" i="5"/>
  <c r="DZ120" i="5"/>
  <c r="EA120" i="5"/>
  <c r="EB120" i="5"/>
  <c r="EC120" i="5"/>
  <c r="ED120" i="5"/>
  <c r="EE120" i="5"/>
  <c r="EF120" i="5"/>
  <c r="EG120" i="5"/>
  <c r="EH120" i="5"/>
  <c r="EI120" i="5"/>
  <c r="EJ120" i="5"/>
  <c r="EK120" i="5"/>
  <c r="EL120" i="5"/>
  <c r="EM120" i="5"/>
  <c r="EN120" i="5"/>
  <c r="EO120" i="5"/>
  <c r="EP120" i="5"/>
  <c r="EQ120" i="5"/>
  <c r="ER120" i="5"/>
  <c r="ES120" i="5"/>
  <c r="ET120" i="5"/>
  <c r="EU120" i="5"/>
  <c r="EV120" i="5"/>
  <c r="EW120" i="5"/>
  <c r="EX120" i="5"/>
  <c r="EY120" i="5"/>
  <c r="EZ120" i="5"/>
  <c r="FA120" i="5"/>
  <c r="FB120" i="5"/>
  <c r="FC120" i="5"/>
  <c r="FD120" i="5"/>
  <c r="FE120" i="5"/>
  <c r="FF120" i="5"/>
  <c r="FG120" i="5"/>
  <c r="FH120" i="5"/>
  <c r="FI120" i="5"/>
  <c r="FJ120" i="5"/>
  <c r="FK120" i="5"/>
  <c r="FL120" i="5"/>
  <c r="FM120" i="5"/>
  <c r="FN120" i="5"/>
  <c r="FO120" i="5"/>
  <c r="FP120" i="5"/>
  <c r="FQ120" i="5"/>
  <c r="FR120" i="5"/>
  <c r="FS120" i="5"/>
  <c r="FT120" i="5"/>
  <c r="FU120" i="5"/>
  <c r="FV120" i="5"/>
  <c r="FW120" i="5"/>
  <c r="FX120" i="5"/>
  <c r="FY120" i="5"/>
  <c r="FZ120" i="5"/>
  <c r="GA120" i="5"/>
  <c r="GB120" i="5"/>
  <c r="GC120" i="5"/>
  <c r="GD120" i="5"/>
  <c r="GE120" i="5"/>
  <c r="GF120" i="5"/>
  <c r="GG120" i="5"/>
  <c r="GH120" i="5"/>
  <c r="GI120" i="5"/>
  <c r="GJ120" i="5"/>
  <c r="GK120" i="5"/>
  <c r="GL120" i="5"/>
  <c r="GM120" i="5"/>
  <c r="GN120" i="5"/>
  <c r="GO120" i="5"/>
  <c r="GP120" i="5"/>
  <c r="GQ120" i="5"/>
  <c r="GR120" i="5"/>
  <c r="GS120" i="5"/>
  <c r="GT120" i="5"/>
  <c r="GU120" i="5"/>
  <c r="GV120" i="5"/>
  <c r="GW120" i="5"/>
  <c r="GX120" i="5"/>
  <c r="GY120" i="5"/>
  <c r="GZ120" i="5"/>
  <c r="HA120" i="5"/>
  <c r="HB120" i="5"/>
  <c r="HC120" i="5"/>
  <c r="HD120" i="5"/>
  <c r="HE120" i="5"/>
  <c r="HF120" i="5"/>
  <c r="HG120" i="5"/>
  <c r="A121" i="5"/>
  <c r="B121" i="5"/>
  <c r="C121" i="5"/>
  <c r="D121" i="5"/>
  <c r="E121" i="5"/>
  <c r="F121" i="5"/>
  <c r="G121" i="5"/>
  <c r="H121" i="5"/>
  <c r="I121" i="5"/>
  <c r="J121" i="5"/>
  <c r="K121" i="5"/>
  <c r="L121" i="5"/>
  <c r="M121" i="5"/>
  <c r="N121" i="5"/>
  <c r="O121" i="5"/>
  <c r="P121" i="5"/>
  <c r="Q121" i="5"/>
  <c r="R121" i="5"/>
  <c r="S121" i="5"/>
  <c r="T121" i="5"/>
  <c r="U121" i="5"/>
  <c r="V121" i="5"/>
  <c r="W121" i="5"/>
  <c r="X121" i="5"/>
  <c r="Y121" i="5"/>
  <c r="Z121" i="5"/>
  <c r="AA121" i="5"/>
  <c r="AB121" i="5"/>
  <c r="AC121" i="5"/>
  <c r="AD121" i="5"/>
  <c r="AE121" i="5"/>
  <c r="AF121" i="5"/>
  <c r="AG121" i="5"/>
  <c r="AH121" i="5"/>
  <c r="AI121" i="5"/>
  <c r="AJ121" i="5"/>
  <c r="AK121" i="5"/>
  <c r="AL121" i="5"/>
  <c r="AM121" i="5"/>
  <c r="AN121" i="5"/>
  <c r="AO121" i="5"/>
  <c r="AP121" i="5"/>
  <c r="AQ121" i="5"/>
  <c r="AR121" i="5"/>
  <c r="AS121" i="5"/>
  <c r="AT121" i="5"/>
  <c r="AU121" i="5"/>
  <c r="AV121" i="5"/>
  <c r="AW121" i="5"/>
  <c r="AX121" i="5"/>
  <c r="AY121" i="5"/>
  <c r="AZ121" i="5"/>
  <c r="BA121" i="5"/>
  <c r="BB121" i="5"/>
  <c r="BC121" i="5"/>
  <c r="BD121" i="5"/>
  <c r="BE121" i="5"/>
  <c r="BF121" i="5"/>
  <c r="BG121" i="5"/>
  <c r="BH121" i="5"/>
  <c r="BI121" i="5"/>
  <c r="BJ121" i="5"/>
  <c r="BK121" i="5"/>
  <c r="BL121" i="5"/>
  <c r="BM121" i="5"/>
  <c r="BN121" i="5"/>
  <c r="BO121" i="5"/>
  <c r="BP121" i="5"/>
  <c r="BQ121" i="5"/>
  <c r="BR121" i="5"/>
  <c r="BS121" i="5"/>
  <c r="BT121" i="5"/>
  <c r="BU121" i="5"/>
  <c r="BV121" i="5"/>
  <c r="BW121" i="5"/>
  <c r="BX121" i="5"/>
  <c r="BY121" i="5"/>
  <c r="BZ121" i="5"/>
  <c r="CA121" i="5"/>
  <c r="CB121" i="5"/>
  <c r="CC121" i="5"/>
  <c r="CD121" i="5"/>
  <c r="CE121" i="5"/>
  <c r="CF121" i="5"/>
  <c r="CG121" i="5"/>
  <c r="CH121" i="5"/>
  <c r="CI121" i="5"/>
  <c r="CJ121" i="5"/>
  <c r="CK121" i="5"/>
  <c r="CL121" i="5"/>
  <c r="CM121" i="5"/>
  <c r="CN121" i="5"/>
  <c r="CO121" i="5"/>
  <c r="CP121" i="5"/>
  <c r="CQ121" i="5"/>
  <c r="CR121" i="5"/>
  <c r="CS121" i="5"/>
  <c r="CT121" i="5"/>
  <c r="CU121" i="5"/>
  <c r="CV121" i="5"/>
  <c r="CW121" i="5"/>
  <c r="CX121" i="5"/>
  <c r="CY121" i="5"/>
  <c r="CZ121" i="5"/>
  <c r="DA121" i="5"/>
  <c r="DB121" i="5"/>
  <c r="DC121" i="5"/>
  <c r="DD121" i="5"/>
  <c r="DE121" i="5"/>
  <c r="DF121" i="5"/>
  <c r="DG121" i="5"/>
  <c r="DH121" i="5"/>
  <c r="DI121" i="5"/>
  <c r="DJ121" i="5"/>
  <c r="DK121" i="5"/>
  <c r="DL121" i="5"/>
  <c r="DM121" i="5"/>
  <c r="DN121" i="5"/>
  <c r="DO121" i="5"/>
  <c r="DP121" i="5"/>
  <c r="DQ121" i="5"/>
  <c r="DR121" i="5"/>
  <c r="DS121" i="5"/>
  <c r="DT121" i="5"/>
  <c r="DU121" i="5"/>
  <c r="DV121" i="5"/>
  <c r="DW121" i="5"/>
  <c r="DX121" i="5"/>
  <c r="DY121" i="5"/>
  <c r="DZ121" i="5"/>
  <c r="EA121" i="5"/>
  <c r="EB121" i="5"/>
  <c r="EC121" i="5"/>
  <c r="ED121" i="5"/>
  <c r="EE121" i="5"/>
  <c r="EF121" i="5"/>
  <c r="EG121" i="5"/>
  <c r="EH121" i="5"/>
  <c r="EI121" i="5"/>
  <c r="EJ121" i="5"/>
  <c r="EK121" i="5"/>
  <c r="EL121" i="5"/>
  <c r="EM121" i="5"/>
  <c r="EN121" i="5"/>
  <c r="EO121" i="5"/>
  <c r="EP121" i="5"/>
  <c r="EQ121" i="5"/>
  <c r="ER121" i="5"/>
  <c r="ES121" i="5"/>
  <c r="ET121" i="5"/>
  <c r="EU121" i="5"/>
  <c r="EV121" i="5"/>
  <c r="EW121" i="5"/>
  <c r="EX121" i="5"/>
  <c r="EY121" i="5"/>
  <c r="EZ121" i="5"/>
  <c r="FA121" i="5"/>
  <c r="FB121" i="5"/>
  <c r="FC121" i="5"/>
  <c r="FD121" i="5"/>
  <c r="FE121" i="5"/>
  <c r="FF121" i="5"/>
  <c r="FG121" i="5"/>
  <c r="FH121" i="5"/>
  <c r="FI121" i="5"/>
  <c r="FJ121" i="5"/>
  <c r="FK121" i="5"/>
  <c r="FL121" i="5"/>
  <c r="FM121" i="5"/>
  <c r="FN121" i="5"/>
  <c r="FO121" i="5"/>
  <c r="FP121" i="5"/>
  <c r="FQ121" i="5"/>
  <c r="FR121" i="5"/>
  <c r="FS121" i="5"/>
  <c r="FT121" i="5"/>
  <c r="FU121" i="5"/>
  <c r="FV121" i="5"/>
  <c r="FW121" i="5"/>
  <c r="FX121" i="5"/>
  <c r="FY121" i="5"/>
  <c r="FZ121" i="5"/>
  <c r="GA121" i="5"/>
  <c r="GB121" i="5"/>
  <c r="GC121" i="5"/>
  <c r="GD121" i="5"/>
  <c r="GE121" i="5"/>
  <c r="GF121" i="5"/>
  <c r="GG121" i="5"/>
  <c r="GH121" i="5"/>
  <c r="GI121" i="5"/>
  <c r="GJ121" i="5"/>
  <c r="GK121" i="5"/>
  <c r="GL121" i="5"/>
  <c r="GM121" i="5"/>
  <c r="GN121" i="5"/>
  <c r="GO121" i="5"/>
  <c r="GP121" i="5"/>
  <c r="GQ121" i="5"/>
  <c r="GR121" i="5"/>
  <c r="GS121" i="5"/>
  <c r="GT121" i="5"/>
  <c r="GU121" i="5"/>
  <c r="GV121" i="5"/>
  <c r="GW121" i="5"/>
  <c r="GX121" i="5"/>
  <c r="GY121" i="5"/>
  <c r="GZ121" i="5"/>
  <c r="HA121" i="5"/>
  <c r="HB121" i="5"/>
  <c r="HC121" i="5"/>
  <c r="HD121" i="5"/>
  <c r="HE121" i="5"/>
  <c r="HF121" i="5"/>
  <c r="HG121" i="5"/>
  <c r="A122" i="5"/>
  <c r="B122" i="5"/>
  <c r="C122" i="5"/>
  <c r="D122" i="5"/>
  <c r="E122" i="5"/>
  <c r="F122" i="5"/>
  <c r="G122" i="5"/>
  <c r="H122" i="5"/>
  <c r="I122" i="5"/>
  <c r="J122" i="5"/>
  <c r="K122" i="5"/>
  <c r="L122" i="5"/>
  <c r="M122" i="5"/>
  <c r="N122" i="5"/>
  <c r="O122" i="5"/>
  <c r="P122" i="5"/>
  <c r="Q122" i="5"/>
  <c r="R122" i="5"/>
  <c r="S122" i="5"/>
  <c r="T122" i="5"/>
  <c r="U122" i="5"/>
  <c r="V122" i="5"/>
  <c r="W122" i="5"/>
  <c r="X122" i="5"/>
  <c r="Y122" i="5"/>
  <c r="Z122" i="5"/>
  <c r="AA122" i="5"/>
  <c r="AB122" i="5"/>
  <c r="AC122" i="5"/>
  <c r="AD122" i="5"/>
  <c r="AE122" i="5"/>
  <c r="AF122" i="5"/>
  <c r="AG122" i="5"/>
  <c r="AH122" i="5"/>
  <c r="AI122" i="5"/>
  <c r="AJ122" i="5"/>
  <c r="AK122" i="5"/>
  <c r="AL122" i="5"/>
  <c r="AM122" i="5"/>
  <c r="AN122" i="5"/>
  <c r="AO122" i="5"/>
  <c r="AP122" i="5"/>
  <c r="AQ122" i="5"/>
  <c r="AR122" i="5"/>
  <c r="AS122" i="5"/>
  <c r="AT122" i="5"/>
  <c r="AU122" i="5"/>
  <c r="AV122" i="5"/>
  <c r="AW122" i="5"/>
  <c r="AX122" i="5"/>
  <c r="AY122" i="5"/>
  <c r="AZ122" i="5"/>
  <c r="BA122" i="5"/>
  <c r="BB122" i="5"/>
  <c r="BC122" i="5"/>
  <c r="BD122" i="5"/>
  <c r="BE122" i="5"/>
  <c r="BF122" i="5"/>
  <c r="BG122" i="5"/>
  <c r="BH122" i="5"/>
  <c r="BI122" i="5"/>
  <c r="BJ122" i="5"/>
  <c r="BK122" i="5"/>
  <c r="BL122" i="5"/>
  <c r="BM122" i="5"/>
  <c r="BN122" i="5"/>
  <c r="BO122" i="5"/>
  <c r="BP122" i="5"/>
  <c r="BQ122" i="5"/>
  <c r="BR122" i="5"/>
  <c r="BS122" i="5"/>
  <c r="BT122" i="5"/>
  <c r="BU122" i="5"/>
  <c r="BV122" i="5"/>
  <c r="BW122" i="5"/>
  <c r="BX122" i="5"/>
  <c r="BY122" i="5"/>
  <c r="BZ122" i="5"/>
  <c r="CA122" i="5"/>
  <c r="CB122" i="5"/>
  <c r="CC122" i="5"/>
  <c r="CD122" i="5"/>
  <c r="CE122" i="5"/>
  <c r="CF122" i="5"/>
  <c r="CG122" i="5"/>
  <c r="CH122" i="5"/>
  <c r="CI122" i="5"/>
  <c r="CJ122" i="5"/>
  <c r="CK122" i="5"/>
  <c r="CL122" i="5"/>
  <c r="CM122" i="5"/>
  <c r="CN122" i="5"/>
  <c r="CO122" i="5"/>
  <c r="CP122" i="5"/>
  <c r="CQ122" i="5"/>
  <c r="CR122" i="5"/>
  <c r="CS122" i="5"/>
  <c r="CT122" i="5"/>
  <c r="CU122" i="5"/>
  <c r="CV122" i="5"/>
  <c r="CW122" i="5"/>
  <c r="CX122" i="5"/>
  <c r="CY122" i="5"/>
  <c r="CZ122" i="5"/>
  <c r="DA122" i="5"/>
  <c r="DB122" i="5"/>
  <c r="DC122" i="5"/>
  <c r="DD122" i="5"/>
  <c r="DE122" i="5"/>
  <c r="DF122" i="5"/>
  <c r="DG122" i="5"/>
  <c r="DH122" i="5"/>
  <c r="DI122" i="5"/>
  <c r="DJ122" i="5"/>
  <c r="DK122" i="5"/>
  <c r="DL122" i="5"/>
  <c r="DM122" i="5"/>
  <c r="DN122" i="5"/>
  <c r="DO122" i="5"/>
  <c r="DP122" i="5"/>
  <c r="DQ122" i="5"/>
  <c r="DR122" i="5"/>
  <c r="DS122" i="5"/>
  <c r="DT122" i="5"/>
  <c r="DU122" i="5"/>
  <c r="DV122" i="5"/>
  <c r="DW122" i="5"/>
  <c r="DX122" i="5"/>
  <c r="DY122" i="5"/>
  <c r="DZ122" i="5"/>
  <c r="EA122" i="5"/>
  <c r="EB122" i="5"/>
  <c r="EC122" i="5"/>
  <c r="ED122" i="5"/>
  <c r="EE122" i="5"/>
  <c r="EF122" i="5"/>
  <c r="EG122" i="5"/>
  <c r="EH122" i="5"/>
  <c r="EI122" i="5"/>
  <c r="EJ122" i="5"/>
  <c r="EK122" i="5"/>
  <c r="EL122" i="5"/>
  <c r="EM122" i="5"/>
  <c r="EN122" i="5"/>
  <c r="EO122" i="5"/>
  <c r="EP122" i="5"/>
  <c r="EQ122" i="5"/>
  <c r="ER122" i="5"/>
  <c r="ES122" i="5"/>
  <c r="ET122" i="5"/>
  <c r="EU122" i="5"/>
  <c r="EV122" i="5"/>
  <c r="EW122" i="5"/>
  <c r="EX122" i="5"/>
  <c r="EY122" i="5"/>
  <c r="EZ122" i="5"/>
  <c r="FA122" i="5"/>
  <c r="FB122" i="5"/>
  <c r="FC122" i="5"/>
  <c r="FD122" i="5"/>
  <c r="FE122" i="5"/>
  <c r="FF122" i="5"/>
  <c r="FG122" i="5"/>
  <c r="FH122" i="5"/>
  <c r="FI122" i="5"/>
  <c r="FJ122" i="5"/>
  <c r="FK122" i="5"/>
  <c r="FL122" i="5"/>
  <c r="FM122" i="5"/>
  <c r="FN122" i="5"/>
  <c r="FO122" i="5"/>
  <c r="FP122" i="5"/>
  <c r="FQ122" i="5"/>
  <c r="FR122" i="5"/>
  <c r="FS122" i="5"/>
  <c r="FT122" i="5"/>
  <c r="FU122" i="5"/>
  <c r="FV122" i="5"/>
  <c r="FW122" i="5"/>
  <c r="FX122" i="5"/>
  <c r="FY122" i="5"/>
  <c r="FZ122" i="5"/>
  <c r="GA122" i="5"/>
  <c r="GB122" i="5"/>
  <c r="GC122" i="5"/>
  <c r="GD122" i="5"/>
  <c r="GE122" i="5"/>
  <c r="GF122" i="5"/>
  <c r="GG122" i="5"/>
  <c r="GH122" i="5"/>
  <c r="GI122" i="5"/>
  <c r="GJ122" i="5"/>
  <c r="GK122" i="5"/>
  <c r="GL122" i="5"/>
  <c r="GM122" i="5"/>
  <c r="GN122" i="5"/>
  <c r="GO122" i="5"/>
  <c r="GP122" i="5"/>
  <c r="GQ122" i="5"/>
  <c r="GR122" i="5"/>
  <c r="GS122" i="5"/>
  <c r="GT122" i="5"/>
  <c r="GU122" i="5"/>
  <c r="GV122" i="5"/>
  <c r="GW122" i="5"/>
  <c r="GX122" i="5"/>
  <c r="GY122" i="5"/>
  <c r="GZ122" i="5"/>
  <c r="HA122" i="5"/>
  <c r="HB122" i="5"/>
  <c r="HC122" i="5"/>
  <c r="HD122" i="5"/>
  <c r="HE122" i="5"/>
  <c r="HF122" i="5"/>
  <c r="HG122" i="5"/>
  <c r="A123" i="5"/>
  <c r="B123" i="5"/>
  <c r="C123" i="5"/>
  <c r="D123" i="5"/>
  <c r="E123" i="5"/>
  <c r="F123" i="5"/>
  <c r="G123" i="5"/>
  <c r="H123" i="5"/>
  <c r="I123" i="5"/>
  <c r="J123" i="5"/>
  <c r="K123" i="5"/>
  <c r="L123" i="5"/>
  <c r="M123" i="5"/>
  <c r="N123" i="5"/>
  <c r="O123" i="5"/>
  <c r="P123" i="5"/>
  <c r="Q123" i="5"/>
  <c r="R123" i="5"/>
  <c r="S123" i="5"/>
  <c r="T123" i="5"/>
  <c r="U123" i="5"/>
  <c r="V123" i="5"/>
  <c r="W123" i="5"/>
  <c r="X123" i="5"/>
  <c r="Y123" i="5"/>
  <c r="Z123" i="5"/>
  <c r="AA123" i="5"/>
  <c r="AB123" i="5"/>
  <c r="AC123" i="5"/>
  <c r="AD123" i="5"/>
  <c r="AE123" i="5"/>
  <c r="AF123" i="5"/>
  <c r="AG123" i="5"/>
  <c r="AH123" i="5"/>
  <c r="AI123" i="5"/>
  <c r="AJ123" i="5"/>
  <c r="AK123" i="5"/>
  <c r="AL123" i="5"/>
  <c r="AM123" i="5"/>
  <c r="AN123" i="5"/>
  <c r="AO123" i="5"/>
  <c r="AP123" i="5"/>
  <c r="AQ123" i="5"/>
  <c r="AR123" i="5"/>
  <c r="AS123" i="5"/>
  <c r="AT123" i="5"/>
  <c r="AU123" i="5"/>
  <c r="AV123" i="5"/>
  <c r="AW123" i="5"/>
  <c r="AX123" i="5"/>
  <c r="AY123" i="5"/>
  <c r="AZ123" i="5"/>
  <c r="BA123" i="5"/>
  <c r="BB123" i="5"/>
  <c r="BC123" i="5"/>
  <c r="BD123" i="5"/>
  <c r="BE123" i="5"/>
  <c r="BF123" i="5"/>
  <c r="BG123" i="5"/>
  <c r="BH123" i="5"/>
  <c r="BI123" i="5"/>
  <c r="BJ123" i="5"/>
  <c r="BK123" i="5"/>
  <c r="BL123" i="5"/>
  <c r="BM123" i="5"/>
  <c r="BN123" i="5"/>
  <c r="BO123" i="5"/>
  <c r="BP123" i="5"/>
  <c r="BQ123" i="5"/>
  <c r="BR123" i="5"/>
  <c r="BS123" i="5"/>
  <c r="BT123" i="5"/>
  <c r="BU123" i="5"/>
  <c r="BV123" i="5"/>
  <c r="BW123" i="5"/>
  <c r="BX123" i="5"/>
  <c r="BY123" i="5"/>
  <c r="BZ123" i="5"/>
  <c r="CA123" i="5"/>
  <c r="CB123" i="5"/>
  <c r="CC123" i="5"/>
  <c r="CD123" i="5"/>
  <c r="CE123" i="5"/>
  <c r="CF123" i="5"/>
  <c r="CG123" i="5"/>
  <c r="CH123" i="5"/>
  <c r="CI123" i="5"/>
  <c r="CJ123" i="5"/>
  <c r="CK123" i="5"/>
  <c r="CL123" i="5"/>
  <c r="CM123" i="5"/>
  <c r="CN123" i="5"/>
  <c r="CO123" i="5"/>
  <c r="CP123" i="5"/>
  <c r="CQ123" i="5"/>
  <c r="CR123" i="5"/>
  <c r="CS123" i="5"/>
  <c r="CT123" i="5"/>
  <c r="CU123" i="5"/>
  <c r="CV123" i="5"/>
  <c r="CW123" i="5"/>
  <c r="CX123" i="5"/>
  <c r="CY123" i="5"/>
  <c r="CZ123" i="5"/>
  <c r="DA123" i="5"/>
  <c r="DB123" i="5"/>
  <c r="DC123" i="5"/>
  <c r="DD123" i="5"/>
  <c r="DE123" i="5"/>
  <c r="DF123" i="5"/>
  <c r="DG123" i="5"/>
  <c r="DH123" i="5"/>
  <c r="DI123" i="5"/>
  <c r="DJ123" i="5"/>
  <c r="DK123" i="5"/>
  <c r="DL123" i="5"/>
  <c r="DM123" i="5"/>
  <c r="DN123" i="5"/>
  <c r="DO123" i="5"/>
  <c r="DP123" i="5"/>
  <c r="DQ123" i="5"/>
  <c r="DR123" i="5"/>
  <c r="DS123" i="5"/>
  <c r="DT123" i="5"/>
  <c r="DU123" i="5"/>
  <c r="DV123" i="5"/>
  <c r="DW123" i="5"/>
  <c r="DX123" i="5"/>
  <c r="DY123" i="5"/>
  <c r="DZ123" i="5"/>
  <c r="EA123" i="5"/>
  <c r="EB123" i="5"/>
  <c r="EC123" i="5"/>
  <c r="ED123" i="5"/>
  <c r="EE123" i="5"/>
  <c r="EF123" i="5"/>
  <c r="EG123" i="5"/>
  <c r="EH123" i="5"/>
  <c r="EI123" i="5"/>
  <c r="EJ123" i="5"/>
  <c r="EK123" i="5"/>
  <c r="EL123" i="5"/>
  <c r="EM123" i="5"/>
  <c r="EN123" i="5"/>
  <c r="EO123" i="5"/>
  <c r="EP123" i="5"/>
  <c r="EQ123" i="5"/>
  <c r="ER123" i="5"/>
  <c r="ES123" i="5"/>
  <c r="ET123" i="5"/>
  <c r="EU123" i="5"/>
  <c r="EV123" i="5"/>
  <c r="EW123" i="5"/>
  <c r="EX123" i="5"/>
  <c r="EY123" i="5"/>
  <c r="EZ123" i="5"/>
  <c r="FA123" i="5"/>
  <c r="FB123" i="5"/>
  <c r="FC123" i="5"/>
  <c r="FD123" i="5"/>
  <c r="FE123" i="5"/>
  <c r="FF123" i="5"/>
  <c r="FG123" i="5"/>
  <c r="FH123" i="5"/>
  <c r="FI123" i="5"/>
  <c r="FJ123" i="5"/>
  <c r="FK123" i="5"/>
  <c r="FL123" i="5"/>
  <c r="FM123" i="5"/>
  <c r="FN123" i="5"/>
  <c r="FO123" i="5"/>
  <c r="FP123" i="5"/>
  <c r="FQ123" i="5"/>
  <c r="FR123" i="5"/>
  <c r="FS123" i="5"/>
  <c r="FT123" i="5"/>
  <c r="FU123" i="5"/>
  <c r="FV123" i="5"/>
  <c r="FW123" i="5"/>
  <c r="FX123" i="5"/>
  <c r="FY123" i="5"/>
  <c r="FZ123" i="5"/>
  <c r="GA123" i="5"/>
  <c r="GB123" i="5"/>
  <c r="GC123" i="5"/>
  <c r="GD123" i="5"/>
  <c r="GE123" i="5"/>
  <c r="GF123" i="5"/>
  <c r="GG123" i="5"/>
  <c r="GH123" i="5"/>
  <c r="GI123" i="5"/>
  <c r="GJ123" i="5"/>
  <c r="GK123" i="5"/>
  <c r="GL123" i="5"/>
  <c r="GM123" i="5"/>
  <c r="GN123" i="5"/>
  <c r="GO123" i="5"/>
  <c r="GP123" i="5"/>
  <c r="GQ123" i="5"/>
  <c r="GR123" i="5"/>
  <c r="GS123" i="5"/>
  <c r="GT123" i="5"/>
  <c r="GU123" i="5"/>
  <c r="GV123" i="5"/>
  <c r="GW123" i="5"/>
  <c r="GX123" i="5"/>
  <c r="GY123" i="5"/>
  <c r="GZ123" i="5"/>
  <c r="HA123" i="5"/>
  <c r="HB123" i="5"/>
  <c r="HC123" i="5"/>
  <c r="HD123" i="5"/>
  <c r="HE123" i="5"/>
  <c r="HF123" i="5"/>
  <c r="HG123" i="5"/>
  <c r="A124" i="5"/>
  <c r="B124" i="5"/>
  <c r="C124" i="5"/>
  <c r="D124" i="5"/>
  <c r="E124" i="5"/>
  <c r="F124" i="5"/>
  <c r="G124" i="5"/>
  <c r="H124" i="5"/>
  <c r="I124" i="5"/>
  <c r="J124" i="5"/>
  <c r="K124" i="5"/>
  <c r="L124" i="5"/>
  <c r="M124" i="5"/>
  <c r="N124" i="5"/>
  <c r="O124" i="5"/>
  <c r="P124" i="5"/>
  <c r="Q124" i="5"/>
  <c r="R124" i="5"/>
  <c r="S124" i="5"/>
  <c r="T124" i="5"/>
  <c r="U124" i="5"/>
  <c r="V124" i="5"/>
  <c r="W124" i="5"/>
  <c r="X124" i="5"/>
  <c r="Y124" i="5"/>
  <c r="Z124" i="5"/>
  <c r="AA124" i="5"/>
  <c r="AB124" i="5"/>
  <c r="AC124" i="5"/>
  <c r="AD124" i="5"/>
  <c r="AE124" i="5"/>
  <c r="AF124" i="5"/>
  <c r="AG124" i="5"/>
  <c r="AH124" i="5"/>
  <c r="AI124" i="5"/>
  <c r="AJ124" i="5"/>
  <c r="AK124" i="5"/>
  <c r="AL124" i="5"/>
  <c r="AM124" i="5"/>
  <c r="AN124" i="5"/>
  <c r="AO124" i="5"/>
  <c r="AP124" i="5"/>
  <c r="AQ124" i="5"/>
  <c r="AR124" i="5"/>
  <c r="AS124" i="5"/>
  <c r="AT124" i="5"/>
  <c r="AU124" i="5"/>
  <c r="AV124" i="5"/>
  <c r="AW124" i="5"/>
  <c r="AX124" i="5"/>
  <c r="AY124" i="5"/>
  <c r="AZ124" i="5"/>
  <c r="BA124" i="5"/>
  <c r="BB124" i="5"/>
  <c r="BC124" i="5"/>
  <c r="BD124" i="5"/>
  <c r="BE124" i="5"/>
  <c r="BF124" i="5"/>
  <c r="BG124" i="5"/>
  <c r="BH124" i="5"/>
  <c r="BI124" i="5"/>
  <c r="BJ124" i="5"/>
  <c r="BK124" i="5"/>
  <c r="BL124" i="5"/>
  <c r="BM124" i="5"/>
  <c r="BN124" i="5"/>
  <c r="BO124" i="5"/>
  <c r="BP124" i="5"/>
  <c r="BQ124" i="5"/>
  <c r="BR124" i="5"/>
  <c r="BS124" i="5"/>
  <c r="BT124" i="5"/>
  <c r="BU124" i="5"/>
  <c r="BV124" i="5"/>
  <c r="BW124" i="5"/>
  <c r="BX124" i="5"/>
  <c r="BY124" i="5"/>
  <c r="BZ124" i="5"/>
  <c r="CA124" i="5"/>
  <c r="CB124" i="5"/>
  <c r="CC124" i="5"/>
  <c r="CD124" i="5"/>
  <c r="CE124" i="5"/>
  <c r="CF124" i="5"/>
  <c r="CG124" i="5"/>
  <c r="CH124" i="5"/>
  <c r="CI124" i="5"/>
  <c r="CJ124" i="5"/>
  <c r="CK124" i="5"/>
  <c r="CL124" i="5"/>
  <c r="CM124" i="5"/>
  <c r="CN124" i="5"/>
  <c r="CO124" i="5"/>
  <c r="CP124" i="5"/>
  <c r="CQ124" i="5"/>
  <c r="CR124" i="5"/>
  <c r="CS124" i="5"/>
  <c r="CT124" i="5"/>
  <c r="CU124" i="5"/>
  <c r="CV124" i="5"/>
  <c r="CW124" i="5"/>
  <c r="CX124" i="5"/>
  <c r="CY124" i="5"/>
  <c r="CZ124" i="5"/>
  <c r="DA124" i="5"/>
  <c r="DB124" i="5"/>
  <c r="DC124" i="5"/>
  <c r="DD124" i="5"/>
  <c r="DE124" i="5"/>
  <c r="DF124" i="5"/>
  <c r="DG124" i="5"/>
  <c r="DH124" i="5"/>
  <c r="DI124" i="5"/>
  <c r="DJ124" i="5"/>
  <c r="DK124" i="5"/>
  <c r="DL124" i="5"/>
  <c r="DM124" i="5"/>
  <c r="DN124" i="5"/>
  <c r="DO124" i="5"/>
  <c r="DP124" i="5"/>
  <c r="DQ124" i="5"/>
  <c r="DR124" i="5"/>
  <c r="DS124" i="5"/>
  <c r="DT124" i="5"/>
  <c r="DU124" i="5"/>
  <c r="DV124" i="5"/>
  <c r="DW124" i="5"/>
  <c r="DX124" i="5"/>
  <c r="DY124" i="5"/>
  <c r="DZ124" i="5"/>
  <c r="EA124" i="5"/>
  <c r="EB124" i="5"/>
  <c r="EC124" i="5"/>
  <c r="ED124" i="5"/>
  <c r="EE124" i="5"/>
  <c r="EF124" i="5"/>
  <c r="EG124" i="5"/>
  <c r="EH124" i="5"/>
  <c r="EI124" i="5"/>
  <c r="EJ124" i="5"/>
  <c r="EK124" i="5"/>
  <c r="EL124" i="5"/>
  <c r="EM124" i="5"/>
  <c r="EN124" i="5"/>
  <c r="EO124" i="5"/>
  <c r="EP124" i="5"/>
  <c r="EQ124" i="5"/>
  <c r="ER124" i="5"/>
  <c r="ES124" i="5"/>
  <c r="ET124" i="5"/>
  <c r="EU124" i="5"/>
  <c r="EV124" i="5"/>
  <c r="EW124" i="5"/>
  <c r="EX124" i="5"/>
  <c r="EY124" i="5"/>
  <c r="EZ124" i="5"/>
  <c r="FA124" i="5"/>
  <c r="FB124" i="5"/>
  <c r="FC124" i="5"/>
  <c r="FD124" i="5"/>
  <c r="FE124" i="5"/>
  <c r="FF124" i="5"/>
  <c r="FG124" i="5"/>
  <c r="FH124" i="5"/>
  <c r="FI124" i="5"/>
  <c r="FJ124" i="5"/>
  <c r="FK124" i="5"/>
  <c r="FL124" i="5"/>
  <c r="FM124" i="5"/>
  <c r="FN124" i="5"/>
  <c r="FO124" i="5"/>
  <c r="FP124" i="5"/>
  <c r="FQ124" i="5"/>
  <c r="FR124" i="5"/>
  <c r="FS124" i="5"/>
  <c r="FT124" i="5"/>
  <c r="FU124" i="5"/>
  <c r="FV124" i="5"/>
  <c r="FW124" i="5"/>
  <c r="FX124" i="5"/>
  <c r="FY124" i="5"/>
  <c r="FZ124" i="5"/>
  <c r="GA124" i="5"/>
  <c r="GB124" i="5"/>
  <c r="GC124" i="5"/>
  <c r="GD124" i="5"/>
  <c r="GE124" i="5"/>
  <c r="GF124" i="5"/>
  <c r="GG124" i="5"/>
  <c r="GH124" i="5"/>
  <c r="GI124" i="5"/>
  <c r="GJ124" i="5"/>
  <c r="GK124" i="5"/>
  <c r="GL124" i="5"/>
  <c r="GM124" i="5"/>
  <c r="GN124" i="5"/>
  <c r="GO124" i="5"/>
  <c r="GP124" i="5"/>
  <c r="GQ124" i="5"/>
  <c r="GR124" i="5"/>
  <c r="GS124" i="5"/>
  <c r="GT124" i="5"/>
  <c r="GU124" i="5"/>
  <c r="GV124" i="5"/>
  <c r="GW124" i="5"/>
  <c r="GX124" i="5"/>
  <c r="GY124" i="5"/>
  <c r="GZ124" i="5"/>
  <c r="HA124" i="5"/>
  <c r="HB124" i="5"/>
  <c r="HC124" i="5"/>
  <c r="HD124" i="5"/>
  <c r="HE124" i="5"/>
  <c r="HF124" i="5"/>
  <c r="HG124" i="5"/>
  <c r="A125" i="5"/>
  <c r="B125" i="5"/>
  <c r="C125" i="5"/>
  <c r="D125" i="5"/>
  <c r="E125" i="5"/>
  <c r="F125" i="5"/>
  <c r="G125" i="5"/>
  <c r="H125" i="5"/>
  <c r="I125" i="5"/>
  <c r="J125" i="5"/>
  <c r="K125" i="5"/>
  <c r="L125" i="5"/>
  <c r="M125" i="5"/>
  <c r="N125" i="5"/>
  <c r="O125" i="5"/>
  <c r="P125" i="5"/>
  <c r="Q125" i="5"/>
  <c r="R125" i="5"/>
  <c r="S125" i="5"/>
  <c r="T125" i="5"/>
  <c r="U125" i="5"/>
  <c r="V125" i="5"/>
  <c r="W125" i="5"/>
  <c r="X125" i="5"/>
  <c r="Y125" i="5"/>
  <c r="Z125" i="5"/>
  <c r="AA125" i="5"/>
  <c r="AB125" i="5"/>
  <c r="AC125" i="5"/>
  <c r="AD125" i="5"/>
  <c r="AE125" i="5"/>
  <c r="AF125" i="5"/>
  <c r="AG125" i="5"/>
  <c r="AH125" i="5"/>
  <c r="AI125" i="5"/>
  <c r="AJ125" i="5"/>
  <c r="AK125" i="5"/>
  <c r="AL125" i="5"/>
  <c r="AM125" i="5"/>
  <c r="AN125" i="5"/>
  <c r="AO125" i="5"/>
  <c r="AP125" i="5"/>
  <c r="AQ125" i="5"/>
  <c r="AR125" i="5"/>
  <c r="AS125" i="5"/>
  <c r="AT125" i="5"/>
  <c r="AU125" i="5"/>
  <c r="AV125" i="5"/>
  <c r="AW125" i="5"/>
  <c r="AX125" i="5"/>
  <c r="AY125" i="5"/>
  <c r="AZ125" i="5"/>
  <c r="BA125" i="5"/>
  <c r="BB125" i="5"/>
  <c r="BC125" i="5"/>
  <c r="BD125" i="5"/>
  <c r="BE125" i="5"/>
  <c r="BF125" i="5"/>
  <c r="BG125" i="5"/>
  <c r="BH125" i="5"/>
  <c r="BI125" i="5"/>
  <c r="BJ125" i="5"/>
  <c r="BK125" i="5"/>
  <c r="BL125" i="5"/>
  <c r="BM125" i="5"/>
  <c r="BN125" i="5"/>
  <c r="BO125" i="5"/>
  <c r="BP125" i="5"/>
  <c r="BQ125" i="5"/>
  <c r="BR125" i="5"/>
  <c r="BS125" i="5"/>
  <c r="BT125" i="5"/>
  <c r="BU125" i="5"/>
  <c r="BV125" i="5"/>
  <c r="BW125" i="5"/>
  <c r="BX125" i="5"/>
  <c r="BY125" i="5"/>
  <c r="BZ125" i="5"/>
  <c r="CA125" i="5"/>
  <c r="CB125" i="5"/>
  <c r="CC125" i="5"/>
  <c r="CD125" i="5"/>
  <c r="CE125" i="5"/>
  <c r="CF125" i="5"/>
  <c r="CG125" i="5"/>
  <c r="CH125" i="5"/>
  <c r="CI125" i="5"/>
  <c r="CJ125" i="5"/>
  <c r="CK125" i="5"/>
  <c r="CL125" i="5"/>
  <c r="CM125" i="5"/>
  <c r="CN125" i="5"/>
  <c r="CO125" i="5"/>
  <c r="CP125" i="5"/>
  <c r="CQ125" i="5"/>
  <c r="CR125" i="5"/>
  <c r="CS125" i="5"/>
  <c r="CT125" i="5"/>
  <c r="CU125" i="5"/>
  <c r="CV125" i="5"/>
  <c r="CW125" i="5"/>
  <c r="CX125" i="5"/>
  <c r="CY125" i="5"/>
  <c r="CZ125" i="5"/>
  <c r="DA125" i="5"/>
  <c r="DB125" i="5"/>
  <c r="DC125" i="5"/>
  <c r="DD125" i="5"/>
  <c r="DE125" i="5"/>
  <c r="DF125" i="5"/>
  <c r="DG125" i="5"/>
  <c r="DH125" i="5"/>
  <c r="DI125" i="5"/>
  <c r="DJ125" i="5"/>
  <c r="DK125" i="5"/>
  <c r="DL125" i="5"/>
  <c r="DM125" i="5"/>
  <c r="DN125" i="5"/>
  <c r="DO125" i="5"/>
  <c r="DP125" i="5"/>
  <c r="DQ125" i="5"/>
  <c r="DR125" i="5"/>
  <c r="DS125" i="5"/>
  <c r="DT125" i="5"/>
  <c r="DU125" i="5"/>
  <c r="DV125" i="5"/>
  <c r="DW125" i="5"/>
  <c r="DX125" i="5"/>
  <c r="DY125" i="5"/>
  <c r="DZ125" i="5"/>
  <c r="EA125" i="5"/>
  <c r="EB125" i="5"/>
  <c r="EC125" i="5"/>
  <c r="ED125" i="5"/>
  <c r="EE125" i="5"/>
  <c r="EF125" i="5"/>
  <c r="EG125" i="5"/>
  <c r="EH125" i="5"/>
  <c r="EI125" i="5"/>
  <c r="EJ125" i="5"/>
  <c r="EK125" i="5"/>
  <c r="EL125" i="5"/>
  <c r="EM125" i="5"/>
  <c r="EN125" i="5"/>
  <c r="EO125" i="5"/>
  <c r="EP125" i="5"/>
  <c r="EQ125" i="5"/>
  <c r="ER125" i="5"/>
  <c r="ES125" i="5"/>
  <c r="ET125" i="5"/>
  <c r="EU125" i="5"/>
  <c r="EV125" i="5"/>
  <c r="EW125" i="5"/>
  <c r="EX125" i="5"/>
  <c r="EY125" i="5"/>
  <c r="EZ125" i="5"/>
  <c r="FA125" i="5"/>
  <c r="FB125" i="5"/>
  <c r="FC125" i="5"/>
  <c r="FD125" i="5"/>
  <c r="FE125" i="5"/>
  <c r="FF125" i="5"/>
  <c r="FG125" i="5"/>
  <c r="FH125" i="5"/>
  <c r="FI125" i="5"/>
  <c r="FJ125" i="5"/>
  <c r="FK125" i="5"/>
  <c r="FL125" i="5"/>
  <c r="FM125" i="5"/>
  <c r="FN125" i="5"/>
  <c r="FO125" i="5"/>
  <c r="FP125" i="5"/>
  <c r="FQ125" i="5"/>
  <c r="FR125" i="5"/>
  <c r="FS125" i="5"/>
  <c r="FT125" i="5"/>
  <c r="FU125" i="5"/>
  <c r="FV125" i="5"/>
  <c r="FW125" i="5"/>
  <c r="FX125" i="5"/>
  <c r="FY125" i="5"/>
  <c r="FZ125" i="5"/>
  <c r="GA125" i="5"/>
  <c r="GB125" i="5"/>
  <c r="GC125" i="5"/>
  <c r="GD125" i="5"/>
  <c r="GE125" i="5"/>
  <c r="GF125" i="5"/>
  <c r="GG125" i="5"/>
  <c r="GH125" i="5"/>
  <c r="GI125" i="5"/>
  <c r="GJ125" i="5"/>
  <c r="GK125" i="5"/>
  <c r="GL125" i="5"/>
  <c r="GM125" i="5"/>
  <c r="GN125" i="5"/>
  <c r="GO125" i="5"/>
  <c r="GP125" i="5"/>
  <c r="GQ125" i="5"/>
  <c r="GR125" i="5"/>
  <c r="GS125" i="5"/>
  <c r="GT125" i="5"/>
  <c r="GU125" i="5"/>
  <c r="GV125" i="5"/>
  <c r="GW125" i="5"/>
  <c r="GX125" i="5"/>
  <c r="GY125" i="5"/>
  <c r="GZ125" i="5"/>
  <c r="HA125" i="5"/>
  <c r="HB125" i="5"/>
  <c r="HC125" i="5"/>
  <c r="HD125" i="5"/>
  <c r="HE125" i="5"/>
  <c r="HF125" i="5"/>
  <c r="HG125" i="5"/>
  <c r="A126" i="5"/>
  <c r="B126" i="5"/>
  <c r="C126" i="5"/>
  <c r="D126" i="5"/>
  <c r="E126" i="5"/>
  <c r="F126" i="5"/>
  <c r="G126" i="5"/>
  <c r="H126" i="5"/>
  <c r="I126" i="5"/>
  <c r="J126" i="5"/>
  <c r="K126" i="5"/>
  <c r="L126" i="5"/>
  <c r="M126" i="5"/>
  <c r="N126" i="5"/>
  <c r="O126" i="5"/>
  <c r="P126" i="5"/>
  <c r="Q126" i="5"/>
  <c r="R126" i="5"/>
  <c r="S126" i="5"/>
  <c r="T126" i="5"/>
  <c r="U126" i="5"/>
  <c r="V126" i="5"/>
  <c r="W126" i="5"/>
  <c r="X126" i="5"/>
  <c r="Y126" i="5"/>
  <c r="Z126" i="5"/>
  <c r="AA126" i="5"/>
  <c r="AB126" i="5"/>
  <c r="AC126" i="5"/>
  <c r="AD126" i="5"/>
  <c r="AE126" i="5"/>
  <c r="AF126" i="5"/>
  <c r="AG126" i="5"/>
  <c r="AH126" i="5"/>
  <c r="AI126" i="5"/>
  <c r="AJ126" i="5"/>
  <c r="AK126" i="5"/>
  <c r="AL126" i="5"/>
  <c r="AM126" i="5"/>
  <c r="AN126" i="5"/>
  <c r="AO126" i="5"/>
  <c r="AP126" i="5"/>
  <c r="AQ126" i="5"/>
  <c r="AR126" i="5"/>
  <c r="AS126" i="5"/>
  <c r="AT126" i="5"/>
  <c r="AU126" i="5"/>
  <c r="AV126" i="5"/>
  <c r="AW126" i="5"/>
  <c r="AX126" i="5"/>
  <c r="AY126" i="5"/>
  <c r="AZ126" i="5"/>
  <c r="BA126" i="5"/>
  <c r="BB126" i="5"/>
  <c r="BC126" i="5"/>
  <c r="BD126" i="5"/>
  <c r="BE126" i="5"/>
  <c r="BF126" i="5"/>
  <c r="BG126" i="5"/>
  <c r="BH126" i="5"/>
  <c r="BI126" i="5"/>
  <c r="BJ126" i="5"/>
  <c r="BK126" i="5"/>
  <c r="BL126" i="5"/>
  <c r="BM126" i="5"/>
  <c r="BN126" i="5"/>
  <c r="BO126" i="5"/>
  <c r="BP126" i="5"/>
  <c r="BQ126" i="5"/>
  <c r="BR126" i="5"/>
  <c r="BS126" i="5"/>
  <c r="BT126" i="5"/>
  <c r="BU126" i="5"/>
  <c r="BV126" i="5"/>
  <c r="BW126" i="5"/>
  <c r="BX126" i="5"/>
  <c r="BY126" i="5"/>
  <c r="BZ126" i="5"/>
  <c r="CA126" i="5"/>
  <c r="CB126" i="5"/>
  <c r="CC126" i="5"/>
  <c r="CD126" i="5"/>
  <c r="CE126" i="5"/>
  <c r="CF126" i="5"/>
  <c r="CG126" i="5"/>
  <c r="CH126" i="5"/>
  <c r="CI126" i="5"/>
  <c r="CJ126" i="5"/>
  <c r="CK126" i="5"/>
  <c r="CL126" i="5"/>
  <c r="CM126" i="5"/>
  <c r="CN126" i="5"/>
  <c r="CO126" i="5"/>
  <c r="CP126" i="5"/>
  <c r="CQ126" i="5"/>
  <c r="CR126" i="5"/>
  <c r="CS126" i="5"/>
  <c r="CT126" i="5"/>
  <c r="CU126" i="5"/>
  <c r="CV126" i="5"/>
  <c r="CW126" i="5"/>
  <c r="CX126" i="5"/>
  <c r="CY126" i="5"/>
  <c r="CZ126" i="5"/>
  <c r="DA126" i="5"/>
  <c r="DB126" i="5"/>
  <c r="DC126" i="5"/>
  <c r="DD126" i="5"/>
  <c r="DE126" i="5"/>
  <c r="DF126" i="5"/>
  <c r="DG126" i="5"/>
  <c r="DH126" i="5"/>
  <c r="DI126" i="5"/>
  <c r="DJ126" i="5"/>
  <c r="DK126" i="5"/>
  <c r="DL126" i="5"/>
  <c r="DM126" i="5"/>
  <c r="DN126" i="5"/>
  <c r="DO126" i="5"/>
  <c r="DP126" i="5"/>
  <c r="DQ126" i="5"/>
  <c r="DR126" i="5"/>
  <c r="DS126" i="5"/>
  <c r="DT126" i="5"/>
  <c r="DU126" i="5"/>
  <c r="DV126" i="5"/>
  <c r="DW126" i="5"/>
  <c r="DX126" i="5"/>
  <c r="DY126" i="5"/>
  <c r="DZ126" i="5"/>
  <c r="EA126" i="5"/>
  <c r="EB126" i="5"/>
  <c r="EC126" i="5"/>
  <c r="ED126" i="5"/>
  <c r="EE126" i="5"/>
  <c r="EF126" i="5"/>
  <c r="EG126" i="5"/>
  <c r="EH126" i="5"/>
  <c r="EI126" i="5"/>
  <c r="EJ126" i="5"/>
  <c r="EK126" i="5"/>
  <c r="EL126" i="5"/>
  <c r="EM126" i="5"/>
  <c r="EN126" i="5"/>
  <c r="EO126" i="5"/>
  <c r="EP126" i="5"/>
  <c r="EQ126" i="5"/>
  <c r="ER126" i="5"/>
  <c r="ES126" i="5"/>
  <c r="ET126" i="5"/>
  <c r="EU126" i="5"/>
  <c r="EV126" i="5"/>
  <c r="EW126" i="5"/>
  <c r="EX126" i="5"/>
  <c r="EY126" i="5"/>
  <c r="EZ126" i="5"/>
  <c r="FA126" i="5"/>
  <c r="FB126" i="5"/>
  <c r="FC126" i="5"/>
  <c r="FD126" i="5"/>
  <c r="FE126" i="5"/>
  <c r="FF126" i="5"/>
  <c r="FG126" i="5"/>
  <c r="FH126" i="5"/>
  <c r="FI126" i="5"/>
  <c r="FJ126" i="5"/>
  <c r="FK126" i="5"/>
  <c r="FL126" i="5"/>
  <c r="FM126" i="5"/>
  <c r="FN126" i="5"/>
  <c r="FO126" i="5"/>
  <c r="FP126" i="5"/>
  <c r="FQ126" i="5"/>
  <c r="FR126" i="5"/>
  <c r="FS126" i="5"/>
  <c r="FT126" i="5"/>
  <c r="FU126" i="5"/>
  <c r="FV126" i="5"/>
  <c r="FW126" i="5"/>
  <c r="FX126" i="5"/>
  <c r="FY126" i="5"/>
  <c r="FZ126" i="5"/>
  <c r="GA126" i="5"/>
  <c r="GB126" i="5"/>
  <c r="GC126" i="5"/>
  <c r="GD126" i="5"/>
  <c r="GE126" i="5"/>
  <c r="GF126" i="5"/>
  <c r="GG126" i="5"/>
  <c r="GH126" i="5"/>
  <c r="GI126" i="5"/>
  <c r="GJ126" i="5"/>
  <c r="GK126" i="5"/>
  <c r="GL126" i="5"/>
  <c r="GM126" i="5"/>
  <c r="GN126" i="5"/>
  <c r="GO126" i="5"/>
  <c r="GP126" i="5"/>
  <c r="GQ126" i="5"/>
  <c r="GR126" i="5"/>
  <c r="GS126" i="5"/>
  <c r="GT126" i="5"/>
  <c r="GU126" i="5"/>
  <c r="GV126" i="5"/>
  <c r="GW126" i="5"/>
  <c r="GX126" i="5"/>
  <c r="GY126" i="5"/>
  <c r="GZ126" i="5"/>
  <c r="HA126" i="5"/>
  <c r="HB126" i="5"/>
  <c r="HC126" i="5"/>
  <c r="HD126" i="5"/>
  <c r="HE126" i="5"/>
  <c r="HF126" i="5"/>
  <c r="HG126" i="5"/>
  <c r="A127" i="5"/>
  <c r="B127" i="5"/>
  <c r="C127" i="5"/>
  <c r="D127" i="5"/>
  <c r="E127" i="5"/>
  <c r="F127" i="5"/>
  <c r="G127" i="5"/>
  <c r="H127" i="5"/>
  <c r="I127" i="5"/>
  <c r="J127" i="5"/>
  <c r="K127" i="5"/>
  <c r="L127" i="5"/>
  <c r="M127" i="5"/>
  <c r="N127" i="5"/>
  <c r="O127" i="5"/>
  <c r="P127" i="5"/>
  <c r="Q127" i="5"/>
  <c r="R127" i="5"/>
  <c r="S127" i="5"/>
  <c r="T127" i="5"/>
  <c r="U127" i="5"/>
  <c r="V127" i="5"/>
  <c r="W127" i="5"/>
  <c r="X127" i="5"/>
  <c r="Y127" i="5"/>
  <c r="Z127" i="5"/>
  <c r="AA127" i="5"/>
  <c r="AB127" i="5"/>
  <c r="AC127" i="5"/>
  <c r="AD127" i="5"/>
  <c r="AE127" i="5"/>
  <c r="AF127" i="5"/>
  <c r="AG127" i="5"/>
  <c r="AH127" i="5"/>
  <c r="AI127" i="5"/>
  <c r="AJ127" i="5"/>
  <c r="AK127" i="5"/>
  <c r="AL127" i="5"/>
  <c r="AM127" i="5"/>
  <c r="AN127" i="5"/>
  <c r="AO127" i="5"/>
  <c r="AP127" i="5"/>
  <c r="AQ127" i="5"/>
  <c r="AR127" i="5"/>
  <c r="AS127" i="5"/>
  <c r="AT127" i="5"/>
  <c r="AU127" i="5"/>
  <c r="AV127" i="5"/>
  <c r="AW127" i="5"/>
  <c r="AX127" i="5"/>
  <c r="AY127" i="5"/>
  <c r="AZ127" i="5"/>
  <c r="BA127" i="5"/>
  <c r="BB127" i="5"/>
  <c r="BC127" i="5"/>
  <c r="BD127" i="5"/>
  <c r="BE127" i="5"/>
  <c r="BF127" i="5"/>
  <c r="BG127" i="5"/>
  <c r="BH127" i="5"/>
  <c r="BI127" i="5"/>
  <c r="BJ127" i="5"/>
  <c r="BK127" i="5"/>
  <c r="BL127" i="5"/>
  <c r="BM127" i="5"/>
  <c r="BN127" i="5"/>
  <c r="BO127" i="5"/>
  <c r="BP127" i="5"/>
  <c r="BQ127" i="5"/>
  <c r="BR127" i="5"/>
  <c r="BS127" i="5"/>
  <c r="BT127" i="5"/>
  <c r="BU127" i="5"/>
  <c r="BV127" i="5"/>
  <c r="BW127" i="5"/>
  <c r="BX127" i="5"/>
  <c r="BY127" i="5"/>
  <c r="BZ127" i="5"/>
  <c r="CA127" i="5"/>
  <c r="CB127" i="5"/>
  <c r="CC127" i="5"/>
  <c r="CD127" i="5"/>
  <c r="CE127" i="5"/>
  <c r="CF127" i="5"/>
  <c r="CG127" i="5"/>
  <c r="CH127" i="5"/>
  <c r="CI127" i="5"/>
  <c r="CJ127" i="5"/>
  <c r="CK127" i="5"/>
  <c r="CL127" i="5"/>
  <c r="CM127" i="5"/>
  <c r="CN127" i="5"/>
  <c r="CO127" i="5"/>
  <c r="CP127" i="5"/>
  <c r="CQ127" i="5"/>
  <c r="CR127" i="5"/>
  <c r="CS127" i="5"/>
  <c r="CT127" i="5"/>
  <c r="CU127" i="5"/>
  <c r="CV127" i="5"/>
  <c r="CW127" i="5"/>
  <c r="CX127" i="5"/>
  <c r="CY127" i="5"/>
  <c r="CZ127" i="5"/>
  <c r="DA127" i="5"/>
  <c r="DB127" i="5"/>
  <c r="DC127" i="5"/>
  <c r="DD127" i="5"/>
  <c r="DE127" i="5"/>
  <c r="DF127" i="5"/>
  <c r="DG127" i="5"/>
  <c r="DH127" i="5"/>
  <c r="DI127" i="5"/>
  <c r="DJ127" i="5"/>
  <c r="DK127" i="5"/>
  <c r="DL127" i="5"/>
  <c r="DM127" i="5"/>
  <c r="DN127" i="5"/>
  <c r="DO127" i="5"/>
  <c r="DP127" i="5"/>
  <c r="DQ127" i="5"/>
  <c r="DR127" i="5"/>
  <c r="DS127" i="5"/>
  <c r="DT127" i="5"/>
  <c r="DU127" i="5"/>
  <c r="DV127" i="5"/>
  <c r="DW127" i="5"/>
  <c r="DX127" i="5"/>
  <c r="DY127" i="5"/>
  <c r="DZ127" i="5"/>
  <c r="EA127" i="5"/>
  <c r="EB127" i="5"/>
  <c r="EC127" i="5"/>
  <c r="ED127" i="5"/>
  <c r="EE127" i="5"/>
  <c r="EF127" i="5"/>
  <c r="EG127" i="5"/>
  <c r="EH127" i="5"/>
  <c r="EI127" i="5"/>
  <c r="EJ127" i="5"/>
  <c r="EK127" i="5"/>
  <c r="EL127" i="5"/>
  <c r="EM127" i="5"/>
  <c r="EN127" i="5"/>
  <c r="EO127" i="5"/>
  <c r="EP127" i="5"/>
  <c r="EQ127" i="5"/>
  <c r="ER127" i="5"/>
  <c r="ES127" i="5"/>
  <c r="ET127" i="5"/>
  <c r="EU127" i="5"/>
  <c r="EV127" i="5"/>
  <c r="EW127" i="5"/>
  <c r="EX127" i="5"/>
  <c r="EY127" i="5"/>
  <c r="EZ127" i="5"/>
  <c r="FA127" i="5"/>
  <c r="FB127" i="5"/>
  <c r="FC127" i="5"/>
  <c r="FD127" i="5"/>
  <c r="FE127" i="5"/>
  <c r="FF127" i="5"/>
  <c r="FG127" i="5"/>
  <c r="FH127" i="5"/>
  <c r="FI127" i="5"/>
  <c r="FJ127" i="5"/>
  <c r="FK127" i="5"/>
  <c r="FL127" i="5"/>
  <c r="FM127" i="5"/>
  <c r="FN127" i="5"/>
  <c r="FO127" i="5"/>
  <c r="FP127" i="5"/>
  <c r="FQ127" i="5"/>
  <c r="FR127" i="5"/>
  <c r="FS127" i="5"/>
  <c r="FT127" i="5"/>
  <c r="FU127" i="5"/>
  <c r="FV127" i="5"/>
  <c r="FW127" i="5"/>
  <c r="FX127" i="5"/>
  <c r="FY127" i="5"/>
  <c r="FZ127" i="5"/>
  <c r="GA127" i="5"/>
  <c r="GB127" i="5"/>
  <c r="GC127" i="5"/>
  <c r="GD127" i="5"/>
  <c r="GE127" i="5"/>
  <c r="GF127" i="5"/>
  <c r="GG127" i="5"/>
  <c r="GH127" i="5"/>
  <c r="GI127" i="5"/>
  <c r="GJ127" i="5"/>
  <c r="GK127" i="5"/>
  <c r="GL127" i="5"/>
  <c r="GM127" i="5"/>
  <c r="GN127" i="5"/>
  <c r="GO127" i="5"/>
  <c r="GP127" i="5"/>
  <c r="GQ127" i="5"/>
  <c r="GR127" i="5"/>
  <c r="GS127" i="5"/>
  <c r="GT127" i="5"/>
  <c r="GU127" i="5"/>
  <c r="GV127" i="5"/>
  <c r="GW127" i="5"/>
  <c r="GX127" i="5"/>
  <c r="GY127" i="5"/>
  <c r="GZ127" i="5"/>
  <c r="HA127" i="5"/>
  <c r="HB127" i="5"/>
  <c r="HC127" i="5"/>
  <c r="HD127" i="5"/>
  <c r="HE127" i="5"/>
  <c r="HF127" i="5"/>
  <c r="HG127" i="5"/>
  <c r="A128" i="5"/>
  <c r="B128" i="5"/>
  <c r="C128" i="5"/>
  <c r="D128" i="5"/>
  <c r="E128" i="5"/>
  <c r="F128" i="5"/>
  <c r="G128" i="5"/>
  <c r="H128" i="5"/>
  <c r="I128" i="5"/>
  <c r="J128" i="5"/>
  <c r="K128" i="5"/>
  <c r="L128" i="5"/>
  <c r="M128" i="5"/>
  <c r="N128" i="5"/>
  <c r="O128" i="5"/>
  <c r="P128" i="5"/>
  <c r="Q128" i="5"/>
  <c r="R128" i="5"/>
  <c r="S128" i="5"/>
  <c r="T128" i="5"/>
  <c r="U128" i="5"/>
  <c r="V128" i="5"/>
  <c r="W128" i="5"/>
  <c r="X128" i="5"/>
  <c r="Y128" i="5"/>
  <c r="Z128" i="5"/>
  <c r="AA128" i="5"/>
  <c r="AB128" i="5"/>
  <c r="AC128" i="5"/>
  <c r="AD128" i="5"/>
  <c r="AE128" i="5"/>
  <c r="AF128" i="5"/>
  <c r="AG128" i="5"/>
  <c r="AH128" i="5"/>
  <c r="AI128" i="5"/>
  <c r="AJ128" i="5"/>
  <c r="AK128" i="5"/>
  <c r="AL128" i="5"/>
  <c r="AM128" i="5"/>
  <c r="AN128" i="5"/>
  <c r="AO128" i="5"/>
  <c r="AP128" i="5"/>
  <c r="AQ128" i="5"/>
  <c r="AR128" i="5"/>
  <c r="AS128" i="5"/>
  <c r="AT128" i="5"/>
  <c r="AU128" i="5"/>
  <c r="AV128" i="5"/>
  <c r="AW128" i="5"/>
  <c r="AX128" i="5"/>
  <c r="AY128" i="5"/>
  <c r="AZ128" i="5"/>
  <c r="BA128" i="5"/>
  <c r="BB128" i="5"/>
  <c r="BC128" i="5"/>
  <c r="BD128" i="5"/>
  <c r="BE128" i="5"/>
  <c r="BF128" i="5"/>
  <c r="BG128" i="5"/>
  <c r="BH128" i="5"/>
  <c r="BI128" i="5"/>
  <c r="BJ128" i="5"/>
  <c r="BK128" i="5"/>
  <c r="BL128" i="5"/>
  <c r="BM128" i="5"/>
  <c r="BN128" i="5"/>
  <c r="BO128" i="5"/>
  <c r="BP128" i="5"/>
  <c r="BQ128" i="5"/>
  <c r="BR128" i="5"/>
  <c r="BS128" i="5"/>
  <c r="BT128" i="5"/>
  <c r="BU128" i="5"/>
  <c r="BV128" i="5"/>
  <c r="BW128" i="5"/>
  <c r="BX128" i="5"/>
  <c r="BY128" i="5"/>
  <c r="BZ128" i="5"/>
  <c r="CA128" i="5"/>
  <c r="CB128" i="5"/>
  <c r="CC128" i="5"/>
  <c r="CD128" i="5"/>
  <c r="CE128" i="5"/>
  <c r="CF128" i="5"/>
  <c r="CG128" i="5"/>
  <c r="CH128" i="5"/>
  <c r="CI128" i="5"/>
  <c r="CJ128" i="5"/>
  <c r="CK128" i="5"/>
  <c r="CL128" i="5"/>
  <c r="CM128" i="5"/>
  <c r="CN128" i="5"/>
  <c r="CO128" i="5"/>
  <c r="CP128" i="5"/>
  <c r="CQ128" i="5"/>
  <c r="CR128" i="5"/>
  <c r="CS128" i="5"/>
  <c r="CT128" i="5"/>
  <c r="CU128" i="5"/>
  <c r="CV128" i="5"/>
  <c r="CW128" i="5"/>
  <c r="CX128" i="5"/>
  <c r="CY128" i="5"/>
  <c r="CZ128" i="5"/>
  <c r="DA128" i="5"/>
  <c r="DB128" i="5"/>
  <c r="DC128" i="5"/>
  <c r="DD128" i="5"/>
  <c r="DE128" i="5"/>
  <c r="DF128" i="5"/>
  <c r="DG128" i="5"/>
  <c r="DH128" i="5"/>
  <c r="DI128" i="5"/>
  <c r="DJ128" i="5"/>
  <c r="DK128" i="5"/>
  <c r="DL128" i="5"/>
  <c r="DM128" i="5"/>
  <c r="DN128" i="5"/>
  <c r="DO128" i="5"/>
  <c r="DP128" i="5"/>
  <c r="DQ128" i="5"/>
  <c r="DR128" i="5"/>
  <c r="DS128" i="5"/>
  <c r="DT128" i="5"/>
  <c r="DU128" i="5"/>
  <c r="DV128" i="5"/>
  <c r="DW128" i="5"/>
  <c r="DX128" i="5"/>
  <c r="DY128" i="5"/>
  <c r="DZ128" i="5"/>
  <c r="EA128" i="5"/>
  <c r="EB128" i="5"/>
  <c r="EC128" i="5"/>
  <c r="ED128" i="5"/>
  <c r="EE128" i="5"/>
  <c r="EF128" i="5"/>
  <c r="EG128" i="5"/>
  <c r="EH128" i="5"/>
  <c r="EI128" i="5"/>
  <c r="EJ128" i="5"/>
  <c r="EK128" i="5"/>
  <c r="EL128" i="5"/>
  <c r="EM128" i="5"/>
  <c r="EN128" i="5"/>
  <c r="EO128" i="5"/>
  <c r="EP128" i="5"/>
  <c r="EQ128" i="5"/>
  <c r="ER128" i="5"/>
  <c r="ES128" i="5"/>
  <c r="ET128" i="5"/>
  <c r="EU128" i="5"/>
  <c r="EV128" i="5"/>
  <c r="EW128" i="5"/>
  <c r="EX128" i="5"/>
  <c r="EY128" i="5"/>
  <c r="EZ128" i="5"/>
  <c r="FA128" i="5"/>
  <c r="FB128" i="5"/>
  <c r="FC128" i="5"/>
  <c r="FD128" i="5"/>
  <c r="FE128" i="5"/>
  <c r="FF128" i="5"/>
  <c r="FG128" i="5"/>
  <c r="FH128" i="5"/>
  <c r="FI128" i="5"/>
  <c r="FJ128" i="5"/>
  <c r="FK128" i="5"/>
  <c r="FL128" i="5"/>
  <c r="FM128" i="5"/>
  <c r="FN128" i="5"/>
  <c r="FO128" i="5"/>
  <c r="FP128" i="5"/>
  <c r="FQ128" i="5"/>
  <c r="FR128" i="5"/>
  <c r="FS128" i="5"/>
  <c r="FT128" i="5"/>
  <c r="FU128" i="5"/>
  <c r="FV128" i="5"/>
  <c r="FW128" i="5"/>
  <c r="FX128" i="5"/>
  <c r="FY128" i="5"/>
  <c r="FZ128" i="5"/>
  <c r="GA128" i="5"/>
  <c r="GB128" i="5"/>
  <c r="GC128" i="5"/>
  <c r="GD128" i="5"/>
  <c r="GE128" i="5"/>
  <c r="GF128" i="5"/>
  <c r="GG128" i="5"/>
  <c r="GH128" i="5"/>
  <c r="GI128" i="5"/>
  <c r="GJ128" i="5"/>
  <c r="GK128" i="5"/>
  <c r="GL128" i="5"/>
  <c r="GM128" i="5"/>
  <c r="GN128" i="5"/>
  <c r="GO128" i="5"/>
  <c r="GP128" i="5"/>
  <c r="GQ128" i="5"/>
  <c r="GR128" i="5"/>
  <c r="GS128" i="5"/>
  <c r="GT128" i="5"/>
  <c r="GU128" i="5"/>
  <c r="GV128" i="5"/>
  <c r="GW128" i="5"/>
  <c r="GX128" i="5"/>
  <c r="GY128" i="5"/>
  <c r="GZ128" i="5"/>
  <c r="HA128" i="5"/>
  <c r="HB128" i="5"/>
  <c r="HC128" i="5"/>
  <c r="HD128" i="5"/>
  <c r="HE128" i="5"/>
  <c r="HF128" i="5"/>
  <c r="HG128" i="5"/>
  <c r="A129" i="5"/>
  <c r="B129" i="5"/>
  <c r="C129" i="5"/>
  <c r="D129" i="5"/>
  <c r="E129" i="5"/>
  <c r="F129" i="5"/>
  <c r="G129" i="5"/>
  <c r="H129" i="5"/>
  <c r="I129" i="5"/>
  <c r="J129" i="5"/>
  <c r="K129" i="5"/>
  <c r="L129" i="5"/>
  <c r="M129" i="5"/>
  <c r="N129" i="5"/>
  <c r="O129" i="5"/>
  <c r="P129" i="5"/>
  <c r="Q129" i="5"/>
  <c r="R129" i="5"/>
  <c r="S129" i="5"/>
  <c r="T129" i="5"/>
  <c r="U129" i="5"/>
  <c r="V129" i="5"/>
  <c r="W129" i="5"/>
  <c r="X129" i="5"/>
  <c r="Y129" i="5"/>
  <c r="Z129" i="5"/>
  <c r="AA129" i="5"/>
  <c r="AB129" i="5"/>
  <c r="AC129" i="5"/>
  <c r="AD129" i="5"/>
  <c r="AE129" i="5"/>
  <c r="AF129" i="5"/>
  <c r="AG129" i="5"/>
  <c r="AH129" i="5"/>
  <c r="AI129" i="5"/>
  <c r="AJ129" i="5"/>
  <c r="AK129" i="5"/>
  <c r="AL129" i="5"/>
  <c r="AM129" i="5"/>
  <c r="AN129" i="5"/>
  <c r="AO129" i="5"/>
  <c r="AP129" i="5"/>
  <c r="AQ129" i="5"/>
  <c r="AR129" i="5"/>
  <c r="AS129" i="5"/>
  <c r="AT129" i="5"/>
  <c r="AU129" i="5"/>
  <c r="AV129" i="5"/>
  <c r="AW129" i="5"/>
  <c r="AX129" i="5"/>
  <c r="AY129" i="5"/>
  <c r="AZ129" i="5"/>
  <c r="BA129" i="5"/>
  <c r="BB129" i="5"/>
  <c r="BC129" i="5"/>
  <c r="BD129" i="5"/>
  <c r="BE129" i="5"/>
  <c r="BF129" i="5"/>
  <c r="BG129" i="5"/>
  <c r="BH129" i="5"/>
  <c r="BI129" i="5"/>
  <c r="BJ129" i="5"/>
  <c r="BK129" i="5"/>
  <c r="BL129" i="5"/>
  <c r="BM129" i="5"/>
  <c r="BN129" i="5"/>
  <c r="BO129" i="5"/>
  <c r="BP129" i="5"/>
  <c r="BQ129" i="5"/>
  <c r="BR129" i="5"/>
  <c r="BS129" i="5"/>
  <c r="BT129" i="5"/>
  <c r="BU129" i="5"/>
  <c r="BV129" i="5"/>
  <c r="BW129" i="5"/>
  <c r="BX129" i="5"/>
  <c r="BY129" i="5"/>
  <c r="BZ129" i="5"/>
  <c r="CA129" i="5"/>
  <c r="CB129" i="5"/>
  <c r="CC129" i="5"/>
  <c r="CD129" i="5"/>
  <c r="CE129" i="5"/>
  <c r="CF129" i="5"/>
  <c r="CG129" i="5"/>
  <c r="CH129" i="5"/>
  <c r="CI129" i="5"/>
  <c r="CJ129" i="5"/>
  <c r="CK129" i="5"/>
  <c r="CL129" i="5"/>
  <c r="CM129" i="5"/>
  <c r="CN129" i="5"/>
  <c r="CO129" i="5"/>
  <c r="CP129" i="5"/>
  <c r="CQ129" i="5"/>
  <c r="CR129" i="5"/>
  <c r="CS129" i="5"/>
  <c r="CT129" i="5"/>
  <c r="CU129" i="5"/>
  <c r="CV129" i="5"/>
  <c r="CW129" i="5"/>
  <c r="CX129" i="5"/>
  <c r="CY129" i="5"/>
  <c r="CZ129" i="5"/>
  <c r="DA129" i="5"/>
  <c r="DB129" i="5"/>
  <c r="DC129" i="5"/>
  <c r="DD129" i="5"/>
  <c r="DE129" i="5"/>
  <c r="DF129" i="5"/>
  <c r="DG129" i="5"/>
  <c r="DH129" i="5"/>
  <c r="DI129" i="5"/>
  <c r="DJ129" i="5"/>
  <c r="DK129" i="5"/>
  <c r="DL129" i="5"/>
  <c r="DM129" i="5"/>
  <c r="DN129" i="5"/>
  <c r="DO129" i="5"/>
  <c r="DP129" i="5"/>
  <c r="DQ129" i="5"/>
  <c r="DR129" i="5"/>
  <c r="DS129" i="5"/>
  <c r="DT129" i="5"/>
  <c r="DU129" i="5"/>
  <c r="DV129" i="5"/>
  <c r="DW129" i="5"/>
  <c r="DX129" i="5"/>
  <c r="DY129" i="5"/>
  <c r="DZ129" i="5"/>
  <c r="EA129" i="5"/>
  <c r="EB129" i="5"/>
  <c r="EC129" i="5"/>
  <c r="ED129" i="5"/>
  <c r="EE129" i="5"/>
  <c r="EF129" i="5"/>
  <c r="EG129" i="5"/>
  <c r="EH129" i="5"/>
  <c r="EI129" i="5"/>
  <c r="EJ129" i="5"/>
  <c r="EK129" i="5"/>
  <c r="EL129" i="5"/>
  <c r="EM129" i="5"/>
  <c r="EN129" i="5"/>
  <c r="EO129" i="5"/>
  <c r="EP129" i="5"/>
  <c r="EQ129" i="5"/>
  <c r="ER129" i="5"/>
  <c r="ES129" i="5"/>
  <c r="ET129" i="5"/>
  <c r="EU129" i="5"/>
  <c r="EV129" i="5"/>
  <c r="EW129" i="5"/>
  <c r="EX129" i="5"/>
  <c r="EY129" i="5"/>
  <c r="EZ129" i="5"/>
  <c r="FA129" i="5"/>
  <c r="FB129" i="5"/>
  <c r="FC129" i="5"/>
  <c r="FD129" i="5"/>
  <c r="FE129" i="5"/>
  <c r="FF129" i="5"/>
  <c r="FG129" i="5"/>
  <c r="FH129" i="5"/>
  <c r="FI129" i="5"/>
  <c r="FJ129" i="5"/>
  <c r="FK129" i="5"/>
  <c r="FL129" i="5"/>
  <c r="FM129" i="5"/>
  <c r="FN129" i="5"/>
  <c r="FO129" i="5"/>
  <c r="FP129" i="5"/>
  <c r="FQ129" i="5"/>
  <c r="FR129" i="5"/>
  <c r="FS129" i="5"/>
  <c r="FT129" i="5"/>
  <c r="FU129" i="5"/>
  <c r="FV129" i="5"/>
  <c r="FW129" i="5"/>
  <c r="FX129" i="5"/>
  <c r="FY129" i="5"/>
  <c r="FZ129" i="5"/>
  <c r="GA129" i="5"/>
  <c r="GB129" i="5"/>
  <c r="GC129" i="5"/>
  <c r="GD129" i="5"/>
  <c r="GE129" i="5"/>
  <c r="GF129" i="5"/>
  <c r="GG129" i="5"/>
  <c r="GH129" i="5"/>
  <c r="GI129" i="5"/>
  <c r="GJ129" i="5"/>
  <c r="GK129" i="5"/>
  <c r="GL129" i="5"/>
  <c r="GM129" i="5"/>
  <c r="GN129" i="5"/>
  <c r="GO129" i="5"/>
  <c r="GP129" i="5"/>
  <c r="GQ129" i="5"/>
  <c r="GR129" i="5"/>
  <c r="GS129" i="5"/>
  <c r="GT129" i="5"/>
  <c r="GU129" i="5"/>
  <c r="GV129" i="5"/>
  <c r="GW129" i="5"/>
  <c r="GX129" i="5"/>
  <c r="GY129" i="5"/>
  <c r="GZ129" i="5"/>
  <c r="HA129" i="5"/>
  <c r="HB129" i="5"/>
  <c r="HC129" i="5"/>
  <c r="HD129" i="5"/>
  <c r="HE129" i="5"/>
  <c r="HF129" i="5"/>
  <c r="HG129" i="5"/>
  <c r="A130" i="5"/>
  <c r="B130" i="5"/>
  <c r="C130" i="5"/>
  <c r="D130" i="5"/>
  <c r="E130" i="5"/>
  <c r="F130" i="5"/>
  <c r="G130" i="5"/>
  <c r="H130" i="5"/>
  <c r="I130" i="5"/>
  <c r="J130" i="5"/>
  <c r="K130" i="5"/>
  <c r="L130" i="5"/>
  <c r="M130" i="5"/>
  <c r="N130" i="5"/>
  <c r="O130" i="5"/>
  <c r="P130" i="5"/>
  <c r="Q130" i="5"/>
  <c r="R130" i="5"/>
  <c r="S130" i="5"/>
  <c r="T130" i="5"/>
  <c r="U130" i="5"/>
  <c r="V130" i="5"/>
  <c r="W130" i="5"/>
  <c r="X130" i="5"/>
  <c r="Y130" i="5"/>
  <c r="Z130" i="5"/>
  <c r="AA130" i="5"/>
  <c r="AB130" i="5"/>
  <c r="AC130" i="5"/>
  <c r="AD130" i="5"/>
  <c r="AE130" i="5"/>
  <c r="AF130" i="5"/>
  <c r="AG130" i="5"/>
  <c r="AH130" i="5"/>
  <c r="AI130" i="5"/>
  <c r="AJ130" i="5"/>
  <c r="AK130" i="5"/>
  <c r="AL130" i="5"/>
  <c r="AM130" i="5"/>
  <c r="AN130" i="5"/>
  <c r="AO130" i="5"/>
  <c r="AP130" i="5"/>
  <c r="AQ130" i="5"/>
  <c r="AR130" i="5"/>
  <c r="AS130" i="5"/>
  <c r="AT130" i="5"/>
  <c r="AU130" i="5"/>
  <c r="AV130" i="5"/>
  <c r="AW130" i="5"/>
  <c r="AX130" i="5"/>
  <c r="AY130" i="5"/>
  <c r="AZ130" i="5"/>
  <c r="BA130" i="5"/>
  <c r="BB130" i="5"/>
  <c r="BC130" i="5"/>
  <c r="BD130" i="5"/>
  <c r="BE130" i="5"/>
  <c r="BF130" i="5"/>
  <c r="BG130" i="5"/>
  <c r="BH130" i="5"/>
  <c r="BI130" i="5"/>
  <c r="BJ130" i="5"/>
  <c r="BK130" i="5"/>
  <c r="BL130" i="5"/>
  <c r="BM130" i="5"/>
  <c r="BN130" i="5"/>
  <c r="BO130" i="5"/>
  <c r="BP130" i="5"/>
  <c r="BQ130" i="5"/>
  <c r="BR130" i="5"/>
  <c r="BS130" i="5"/>
  <c r="BT130" i="5"/>
  <c r="BU130" i="5"/>
  <c r="BV130" i="5"/>
  <c r="BW130" i="5"/>
  <c r="BX130" i="5"/>
  <c r="BY130" i="5"/>
  <c r="BZ130" i="5"/>
  <c r="CA130" i="5"/>
  <c r="CB130" i="5"/>
  <c r="CC130" i="5"/>
  <c r="CD130" i="5"/>
  <c r="CE130" i="5"/>
  <c r="CF130" i="5"/>
  <c r="CG130" i="5"/>
  <c r="CH130" i="5"/>
  <c r="CI130" i="5"/>
  <c r="CJ130" i="5"/>
  <c r="CK130" i="5"/>
  <c r="CL130" i="5"/>
  <c r="CM130" i="5"/>
  <c r="CN130" i="5"/>
  <c r="CO130" i="5"/>
  <c r="CP130" i="5"/>
  <c r="CQ130" i="5"/>
  <c r="CR130" i="5"/>
  <c r="CS130" i="5"/>
  <c r="CT130" i="5"/>
  <c r="CU130" i="5"/>
  <c r="CV130" i="5"/>
  <c r="CW130" i="5"/>
  <c r="CX130" i="5"/>
  <c r="CY130" i="5"/>
  <c r="CZ130" i="5"/>
  <c r="DA130" i="5"/>
  <c r="DB130" i="5"/>
  <c r="DC130" i="5"/>
  <c r="DD130" i="5"/>
  <c r="DE130" i="5"/>
  <c r="DF130" i="5"/>
  <c r="DG130" i="5"/>
  <c r="DH130" i="5"/>
  <c r="DI130" i="5"/>
  <c r="DJ130" i="5"/>
  <c r="DK130" i="5"/>
  <c r="DL130" i="5"/>
  <c r="DM130" i="5"/>
  <c r="DN130" i="5"/>
  <c r="DO130" i="5"/>
  <c r="DP130" i="5"/>
  <c r="DQ130" i="5"/>
  <c r="DR130" i="5"/>
  <c r="DS130" i="5"/>
  <c r="DT130" i="5"/>
  <c r="DU130" i="5"/>
  <c r="DV130" i="5"/>
  <c r="DW130" i="5"/>
  <c r="DX130" i="5"/>
  <c r="DY130" i="5"/>
  <c r="DZ130" i="5"/>
  <c r="EA130" i="5"/>
  <c r="EB130" i="5"/>
  <c r="EC130" i="5"/>
  <c r="ED130" i="5"/>
  <c r="EE130" i="5"/>
  <c r="EF130" i="5"/>
  <c r="EG130" i="5"/>
  <c r="EH130" i="5"/>
  <c r="EI130" i="5"/>
  <c r="EJ130" i="5"/>
  <c r="EK130" i="5"/>
  <c r="EL130" i="5"/>
  <c r="EM130" i="5"/>
  <c r="EN130" i="5"/>
  <c r="EO130" i="5"/>
  <c r="EP130" i="5"/>
  <c r="EQ130" i="5"/>
  <c r="ER130" i="5"/>
  <c r="ES130" i="5"/>
  <c r="ET130" i="5"/>
  <c r="EU130" i="5"/>
  <c r="EV130" i="5"/>
  <c r="EW130" i="5"/>
  <c r="EX130" i="5"/>
  <c r="EY130" i="5"/>
  <c r="EZ130" i="5"/>
  <c r="FA130" i="5"/>
  <c r="FB130" i="5"/>
  <c r="FC130" i="5"/>
  <c r="FD130" i="5"/>
  <c r="FE130" i="5"/>
  <c r="FF130" i="5"/>
  <c r="FG130" i="5"/>
  <c r="FH130" i="5"/>
  <c r="FI130" i="5"/>
  <c r="FJ130" i="5"/>
  <c r="FK130" i="5"/>
  <c r="FL130" i="5"/>
  <c r="FM130" i="5"/>
  <c r="FN130" i="5"/>
  <c r="FO130" i="5"/>
  <c r="FP130" i="5"/>
  <c r="FQ130" i="5"/>
  <c r="FR130" i="5"/>
  <c r="FS130" i="5"/>
  <c r="FT130" i="5"/>
  <c r="FU130" i="5"/>
  <c r="FV130" i="5"/>
  <c r="FW130" i="5"/>
  <c r="FX130" i="5"/>
  <c r="FY130" i="5"/>
  <c r="FZ130" i="5"/>
  <c r="GA130" i="5"/>
  <c r="GB130" i="5"/>
  <c r="GC130" i="5"/>
  <c r="GD130" i="5"/>
  <c r="GE130" i="5"/>
  <c r="GF130" i="5"/>
  <c r="GG130" i="5"/>
  <c r="GH130" i="5"/>
  <c r="GI130" i="5"/>
  <c r="GJ130" i="5"/>
  <c r="GK130" i="5"/>
  <c r="GL130" i="5"/>
  <c r="GM130" i="5"/>
  <c r="GN130" i="5"/>
  <c r="GO130" i="5"/>
  <c r="GP130" i="5"/>
  <c r="GQ130" i="5"/>
  <c r="GR130" i="5"/>
  <c r="GS130" i="5"/>
  <c r="GT130" i="5"/>
  <c r="GU130" i="5"/>
  <c r="GV130" i="5"/>
  <c r="GW130" i="5"/>
  <c r="GX130" i="5"/>
  <c r="GY130" i="5"/>
  <c r="GZ130" i="5"/>
  <c r="HA130" i="5"/>
  <c r="HB130" i="5"/>
  <c r="HC130" i="5"/>
  <c r="HD130" i="5"/>
  <c r="HE130" i="5"/>
  <c r="HF130" i="5"/>
  <c r="HG130" i="5"/>
  <c r="A131" i="5"/>
  <c r="B131" i="5"/>
  <c r="C131" i="5"/>
  <c r="D131" i="5"/>
  <c r="E131" i="5"/>
  <c r="F131" i="5"/>
  <c r="G131" i="5"/>
  <c r="H131" i="5"/>
  <c r="I131" i="5"/>
  <c r="J131" i="5"/>
  <c r="K131" i="5"/>
  <c r="L131" i="5"/>
  <c r="M131" i="5"/>
  <c r="N131" i="5"/>
  <c r="O131" i="5"/>
  <c r="P131" i="5"/>
  <c r="Q131" i="5"/>
  <c r="R131" i="5"/>
  <c r="S131" i="5"/>
  <c r="T131" i="5"/>
  <c r="U131" i="5"/>
  <c r="V131" i="5"/>
  <c r="W131" i="5"/>
  <c r="X131" i="5"/>
  <c r="Y131" i="5"/>
  <c r="Z131" i="5"/>
  <c r="AA131" i="5"/>
  <c r="AB131" i="5"/>
  <c r="AC131" i="5"/>
  <c r="AD131" i="5"/>
  <c r="AE131" i="5"/>
  <c r="AF131" i="5"/>
  <c r="AG131" i="5"/>
  <c r="AH131" i="5"/>
  <c r="AI131" i="5"/>
  <c r="AJ131" i="5"/>
  <c r="AK131" i="5"/>
  <c r="AL131" i="5"/>
  <c r="AM131" i="5"/>
  <c r="AN131" i="5"/>
  <c r="AO131" i="5"/>
  <c r="AP131" i="5"/>
  <c r="AQ131" i="5"/>
  <c r="AR131" i="5"/>
  <c r="AS131" i="5"/>
  <c r="AT131" i="5"/>
  <c r="AU131" i="5"/>
  <c r="AV131" i="5"/>
  <c r="AW131" i="5"/>
  <c r="AX131" i="5"/>
  <c r="AY131" i="5"/>
  <c r="AZ131" i="5"/>
  <c r="BA131" i="5"/>
  <c r="BB131" i="5"/>
  <c r="BC131" i="5"/>
  <c r="BD131" i="5"/>
  <c r="BE131" i="5"/>
  <c r="BF131" i="5"/>
  <c r="BG131" i="5"/>
  <c r="BH131" i="5"/>
  <c r="BI131" i="5"/>
  <c r="BJ131" i="5"/>
  <c r="BK131" i="5"/>
  <c r="BL131" i="5"/>
  <c r="BM131" i="5"/>
  <c r="BN131" i="5"/>
  <c r="BO131" i="5"/>
  <c r="BP131" i="5"/>
  <c r="BQ131" i="5"/>
  <c r="BR131" i="5"/>
  <c r="BS131" i="5"/>
  <c r="BT131" i="5"/>
  <c r="BU131" i="5"/>
  <c r="BV131" i="5"/>
  <c r="BW131" i="5"/>
  <c r="BX131" i="5"/>
  <c r="BY131" i="5"/>
  <c r="BZ131" i="5"/>
  <c r="CA131" i="5"/>
  <c r="CB131" i="5"/>
  <c r="CC131" i="5"/>
  <c r="CD131" i="5"/>
  <c r="CE131" i="5"/>
  <c r="CF131" i="5"/>
  <c r="CG131" i="5"/>
  <c r="CH131" i="5"/>
  <c r="CI131" i="5"/>
  <c r="CJ131" i="5"/>
  <c r="CK131" i="5"/>
  <c r="CL131" i="5"/>
  <c r="CM131" i="5"/>
  <c r="CN131" i="5"/>
  <c r="CO131" i="5"/>
  <c r="CP131" i="5"/>
  <c r="CQ131" i="5"/>
  <c r="CR131" i="5"/>
  <c r="CS131" i="5"/>
  <c r="CT131" i="5"/>
  <c r="CU131" i="5"/>
  <c r="CV131" i="5"/>
  <c r="CW131" i="5"/>
  <c r="CX131" i="5"/>
  <c r="CY131" i="5"/>
  <c r="CZ131" i="5"/>
  <c r="DA131" i="5"/>
  <c r="DB131" i="5"/>
  <c r="DC131" i="5"/>
  <c r="DD131" i="5"/>
  <c r="DE131" i="5"/>
  <c r="DF131" i="5"/>
  <c r="DG131" i="5"/>
  <c r="DH131" i="5"/>
  <c r="DI131" i="5"/>
  <c r="DJ131" i="5"/>
  <c r="DK131" i="5"/>
  <c r="DL131" i="5"/>
  <c r="DM131" i="5"/>
  <c r="DN131" i="5"/>
  <c r="DO131" i="5"/>
  <c r="DP131" i="5"/>
  <c r="DQ131" i="5"/>
  <c r="DR131" i="5"/>
  <c r="DS131" i="5"/>
  <c r="DT131" i="5"/>
  <c r="DU131" i="5"/>
  <c r="DV131" i="5"/>
  <c r="DW131" i="5"/>
  <c r="DX131" i="5"/>
  <c r="DY131" i="5"/>
  <c r="DZ131" i="5"/>
  <c r="EA131" i="5"/>
  <c r="EB131" i="5"/>
  <c r="EC131" i="5"/>
  <c r="ED131" i="5"/>
  <c r="EE131" i="5"/>
  <c r="EF131" i="5"/>
  <c r="EG131" i="5"/>
  <c r="EH131" i="5"/>
  <c r="EI131" i="5"/>
  <c r="EJ131" i="5"/>
  <c r="EK131" i="5"/>
  <c r="EL131" i="5"/>
  <c r="EM131" i="5"/>
  <c r="EN131" i="5"/>
  <c r="EO131" i="5"/>
  <c r="EP131" i="5"/>
  <c r="EQ131" i="5"/>
  <c r="ER131" i="5"/>
  <c r="ES131" i="5"/>
  <c r="ET131" i="5"/>
  <c r="EU131" i="5"/>
  <c r="EV131" i="5"/>
  <c r="EW131" i="5"/>
  <c r="EX131" i="5"/>
  <c r="EY131" i="5"/>
  <c r="EZ131" i="5"/>
  <c r="FA131" i="5"/>
  <c r="FB131" i="5"/>
  <c r="FC131" i="5"/>
  <c r="FD131" i="5"/>
  <c r="FE131" i="5"/>
  <c r="FF131" i="5"/>
  <c r="FG131" i="5"/>
  <c r="FH131" i="5"/>
  <c r="FI131" i="5"/>
  <c r="FJ131" i="5"/>
  <c r="FK131" i="5"/>
  <c r="FL131" i="5"/>
  <c r="FM131" i="5"/>
  <c r="FN131" i="5"/>
  <c r="FO131" i="5"/>
  <c r="FP131" i="5"/>
  <c r="FQ131" i="5"/>
  <c r="FR131" i="5"/>
  <c r="FS131" i="5"/>
  <c r="FT131" i="5"/>
  <c r="FU131" i="5"/>
  <c r="FV131" i="5"/>
  <c r="FW131" i="5"/>
  <c r="FX131" i="5"/>
  <c r="FY131" i="5"/>
  <c r="FZ131" i="5"/>
  <c r="GA131" i="5"/>
  <c r="GB131" i="5"/>
  <c r="GC131" i="5"/>
  <c r="GD131" i="5"/>
  <c r="GE131" i="5"/>
  <c r="GF131" i="5"/>
  <c r="GG131" i="5"/>
  <c r="GH131" i="5"/>
  <c r="GI131" i="5"/>
  <c r="GJ131" i="5"/>
  <c r="GK131" i="5"/>
  <c r="GL131" i="5"/>
  <c r="GM131" i="5"/>
  <c r="GN131" i="5"/>
  <c r="GO131" i="5"/>
  <c r="GP131" i="5"/>
  <c r="GQ131" i="5"/>
  <c r="GR131" i="5"/>
  <c r="GS131" i="5"/>
  <c r="GT131" i="5"/>
  <c r="GU131" i="5"/>
  <c r="GV131" i="5"/>
  <c r="GW131" i="5"/>
  <c r="GX131" i="5"/>
  <c r="GY131" i="5"/>
  <c r="GZ131" i="5"/>
  <c r="HA131" i="5"/>
  <c r="HB131" i="5"/>
  <c r="HC131" i="5"/>
  <c r="HD131" i="5"/>
  <c r="HE131" i="5"/>
  <c r="HF131" i="5"/>
  <c r="HG131" i="5"/>
  <c r="A132" i="5"/>
  <c r="B132" i="5"/>
  <c r="C132" i="5"/>
  <c r="D132" i="5"/>
  <c r="E132" i="5"/>
  <c r="F132" i="5"/>
  <c r="G132" i="5"/>
  <c r="H132" i="5"/>
  <c r="I132" i="5"/>
  <c r="J132" i="5"/>
  <c r="K132" i="5"/>
  <c r="L132" i="5"/>
  <c r="M132" i="5"/>
  <c r="N132" i="5"/>
  <c r="O132" i="5"/>
  <c r="P132" i="5"/>
  <c r="Q132" i="5"/>
  <c r="R132" i="5"/>
  <c r="S132" i="5"/>
  <c r="T132" i="5"/>
  <c r="U132" i="5"/>
  <c r="V132" i="5"/>
  <c r="W132" i="5"/>
  <c r="X132" i="5"/>
  <c r="Y132" i="5"/>
  <c r="Z132" i="5"/>
  <c r="AA132" i="5"/>
  <c r="AB132" i="5"/>
  <c r="AC132" i="5"/>
  <c r="AD132" i="5"/>
  <c r="AE132" i="5"/>
  <c r="AF132" i="5"/>
  <c r="AG132" i="5"/>
  <c r="AH132" i="5"/>
  <c r="AI132" i="5"/>
  <c r="AJ132" i="5"/>
  <c r="AK132" i="5"/>
  <c r="AL132" i="5"/>
  <c r="AM132" i="5"/>
  <c r="AN132" i="5"/>
  <c r="AO132" i="5"/>
  <c r="AP132" i="5"/>
  <c r="AQ132" i="5"/>
  <c r="AR132" i="5"/>
  <c r="AS132" i="5"/>
  <c r="AT132" i="5"/>
  <c r="AU132" i="5"/>
  <c r="AV132" i="5"/>
  <c r="AW132" i="5"/>
  <c r="AX132" i="5"/>
  <c r="AY132" i="5"/>
  <c r="AZ132" i="5"/>
  <c r="BA132" i="5"/>
  <c r="BB132" i="5"/>
  <c r="BC132" i="5"/>
  <c r="BD132" i="5"/>
  <c r="BE132" i="5"/>
  <c r="BF132" i="5"/>
  <c r="BG132" i="5"/>
  <c r="BH132" i="5"/>
  <c r="BI132" i="5"/>
  <c r="BJ132" i="5"/>
  <c r="BK132" i="5"/>
  <c r="BL132" i="5"/>
  <c r="BM132" i="5"/>
  <c r="BN132" i="5"/>
  <c r="BO132" i="5"/>
  <c r="BP132" i="5"/>
  <c r="BQ132" i="5"/>
  <c r="BR132" i="5"/>
  <c r="BS132" i="5"/>
  <c r="BT132" i="5"/>
  <c r="BU132" i="5"/>
  <c r="BV132" i="5"/>
  <c r="BW132" i="5"/>
  <c r="BX132" i="5"/>
  <c r="BY132" i="5"/>
  <c r="BZ132" i="5"/>
  <c r="CA132" i="5"/>
  <c r="CB132" i="5"/>
  <c r="CC132" i="5"/>
  <c r="CD132" i="5"/>
  <c r="CE132" i="5"/>
  <c r="CF132" i="5"/>
  <c r="CG132" i="5"/>
  <c r="CH132" i="5"/>
  <c r="CI132" i="5"/>
  <c r="CJ132" i="5"/>
  <c r="CK132" i="5"/>
  <c r="CL132" i="5"/>
  <c r="CM132" i="5"/>
  <c r="CN132" i="5"/>
  <c r="CO132" i="5"/>
  <c r="CP132" i="5"/>
  <c r="CQ132" i="5"/>
  <c r="CR132" i="5"/>
  <c r="CS132" i="5"/>
  <c r="CT132" i="5"/>
  <c r="CU132" i="5"/>
  <c r="CV132" i="5"/>
  <c r="CW132" i="5"/>
  <c r="CX132" i="5"/>
  <c r="CY132" i="5"/>
  <c r="CZ132" i="5"/>
  <c r="DA132" i="5"/>
  <c r="DB132" i="5"/>
  <c r="DC132" i="5"/>
  <c r="DD132" i="5"/>
  <c r="DE132" i="5"/>
  <c r="DF132" i="5"/>
  <c r="DG132" i="5"/>
  <c r="DH132" i="5"/>
  <c r="DI132" i="5"/>
  <c r="DJ132" i="5"/>
  <c r="DK132" i="5"/>
  <c r="DL132" i="5"/>
  <c r="DM132" i="5"/>
  <c r="DN132" i="5"/>
  <c r="DO132" i="5"/>
  <c r="DP132" i="5"/>
  <c r="DQ132" i="5"/>
  <c r="DR132" i="5"/>
  <c r="DS132" i="5"/>
  <c r="DT132" i="5"/>
  <c r="DU132" i="5"/>
  <c r="DV132" i="5"/>
  <c r="DW132" i="5"/>
  <c r="DX132" i="5"/>
  <c r="DY132" i="5"/>
  <c r="DZ132" i="5"/>
  <c r="EA132" i="5"/>
  <c r="EB132" i="5"/>
  <c r="EC132" i="5"/>
  <c r="ED132" i="5"/>
  <c r="EE132" i="5"/>
  <c r="EF132" i="5"/>
  <c r="EG132" i="5"/>
  <c r="EH132" i="5"/>
  <c r="EI132" i="5"/>
  <c r="EJ132" i="5"/>
  <c r="EK132" i="5"/>
  <c r="EL132" i="5"/>
  <c r="EM132" i="5"/>
  <c r="EN132" i="5"/>
  <c r="EO132" i="5"/>
  <c r="EP132" i="5"/>
  <c r="EQ132" i="5"/>
  <c r="ER132" i="5"/>
  <c r="ES132" i="5"/>
  <c r="ET132" i="5"/>
  <c r="EU132" i="5"/>
  <c r="EV132" i="5"/>
  <c r="EW132" i="5"/>
  <c r="EX132" i="5"/>
  <c r="EY132" i="5"/>
  <c r="EZ132" i="5"/>
  <c r="FA132" i="5"/>
  <c r="FB132" i="5"/>
  <c r="FC132" i="5"/>
  <c r="FD132" i="5"/>
  <c r="FE132" i="5"/>
  <c r="FF132" i="5"/>
  <c r="FG132" i="5"/>
  <c r="FH132" i="5"/>
  <c r="FI132" i="5"/>
  <c r="FJ132" i="5"/>
  <c r="FK132" i="5"/>
  <c r="FL132" i="5"/>
  <c r="FM132" i="5"/>
  <c r="FN132" i="5"/>
  <c r="FO132" i="5"/>
  <c r="FP132" i="5"/>
  <c r="FQ132" i="5"/>
  <c r="FR132" i="5"/>
  <c r="FS132" i="5"/>
  <c r="FT132" i="5"/>
  <c r="FU132" i="5"/>
  <c r="FV132" i="5"/>
  <c r="FW132" i="5"/>
  <c r="FX132" i="5"/>
  <c r="FY132" i="5"/>
  <c r="FZ132" i="5"/>
  <c r="GA132" i="5"/>
  <c r="GB132" i="5"/>
  <c r="GC132" i="5"/>
  <c r="GD132" i="5"/>
  <c r="GE132" i="5"/>
  <c r="GF132" i="5"/>
  <c r="GG132" i="5"/>
  <c r="GH132" i="5"/>
  <c r="GI132" i="5"/>
  <c r="GJ132" i="5"/>
  <c r="GK132" i="5"/>
  <c r="GL132" i="5"/>
  <c r="GM132" i="5"/>
  <c r="GN132" i="5"/>
  <c r="GO132" i="5"/>
  <c r="GP132" i="5"/>
  <c r="GQ132" i="5"/>
  <c r="GR132" i="5"/>
  <c r="GS132" i="5"/>
  <c r="GT132" i="5"/>
  <c r="GU132" i="5"/>
  <c r="GV132" i="5"/>
  <c r="GW132" i="5"/>
  <c r="GX132" i="5"/>
  <c r="GY132" i="5"/>
  <c r="GZ132" i="5"/>
  <c r="HA132" i="5"/>
  <c r="HB132" i="5"/>
  <c r="HC132" i="5"/>
  <c r="HD132" i="5"/>
  <c r="HE132" i="5"/>
  <c r="HF132" i="5"/>
  <c r="HG132" i="5"/>
  <c r="A133" i="5"/>
  <c r="B133" i="5"/>
  <c r="C133" i="5"/>
  <c r="D133" i="5"/>
  <c r="E133" i="5"/>
  <c r="F133" i="5"/>
  <c r="G133" i="5"/>
  <c r="H133" i="5"/>
  <c r="I133" i="5"/>
  <c r="J133" i="5"/>
  <c r="K133" i="5"/>
  <c r="L133" i="5"/>
  <c r="M133" i="5"/>
  <c r="N133" i="5"/>
  <c r="O133" i="5"/>
  <c r="P133" i="5"/>
  <c r="Q133" i="5"/>
  <c r="R133" i="5"/>
  <c r="S133" i="5"/>
  <c r="T133" i="5"/>
  <c r="U133" i="5"/>
  <c r="V133" i="5"/>
  <c r="W133" i="5"/>
  <c r="X133" i="5"/>
  <c r="Y133" i="5"/>
  <c r="Z133" i="5"/>
  <c r="AA133" i="5"/>
  <c r="AB133" i="5"/>
  <c r="AC133" i="5"/>
  <c r="AD133" i="5"/>
  <c r="AE133" i="5"/>
  <c r="AF133" i="5"/>
  <c r="AG133" i="5"/>
  <c r="AH133" i="5"/>
  <c r="AI133" i="5"/>
  <c r="AJ133" i="5"/>
  <c r="AK133" i="5"/>
  <c r="AL133" i="5"/>
  <c r="AM133" i="5"/>
  <c r="AN133" i="5"/>
  <c r="AO133" i="5"/>
  <c r="AP133" i="5"/>
  <c r="AQ133" i="5"/>
  <c r="AR133" i="5"/>
  <c r="AS133" i="5"/>
  <c r="AT133" i="5"/>
  <c r="AU133" i="5"/>
  <c r="AV133" i="5"/>
  <c r="AW133" i="5"/>
  <c r="AX133" i="5"/>
  <c r="AY133" i="5"/>
  <c r="AZ133" i="5"/>
  <c r="BA133" i="5"/>
  <c r="BB133" i="5"/>
  <c r="BC133" i="5"/>
  <c r="BD133" i="5"/>
  <c r="BE133" i="5"/>
  <c r="BF133" i="5"/>
  <c r="BG133" i="5"/>
  <c r="BH133" i="5"/>
  <c r="BI133" i="5"/>
  <c r="BJ133" i="5"/>
  <c r="BK133" i="5"/>
  <c r="BL133" i="5"/>
  <c r="BM133" i="5"/>
  <c r="BN133" i="5"/>
  <c r="BO133" i="5"/>
  <c r="BP133" i="5"/>
  <c r="BQ133" i="5"/>
  <c r="BR133" i="5"/>
  <c r="BS133" i="5"/>
  <c r="BT133" i="5"/>
  <c r="BU133" i="5"/>
  <c r="BV133" i="5"/>
  <c r="BW133" i="5"/>
  <c r="BX133" i="5"/>
  <c r="BY133" i="5"/>
  <c r="BZ133" i="5"/>
  <c r="CA133" i="5"/>
  <c r="CB133" i="5"/>
  <c r="CC133" i="5"/>
  <c r="CD133" i="5"/>
  <c r="CE133" i="5"/>
  <c r="CF133" i="5"/>
  <c r="CG133" i="5"/>
  <c r="CH133" i="5"/>
  <c r="CI133" i="5"/>
  <c r="CJ133" i="5"/>
  <c r="CK133" i="5"/>
  <c r="CL133" i="5"/>
  <c r="CM133" i="5"/>
  <c r="CN133" i="5"/>
  <c r="CO133" i="5"/>
  <c r="CP133" i="5"/>
  <c r="CQ133" i="5"/>
  <c r="CR133" i="5"/>
  <c r="CS133" i="5"/>
  <c r="CT133" i="5"/>
  <c r="CU133" i="5"/>
  <c r="CV133" i="5"/>
  <c r="CW133" i="5"/>
  <c r="CX133" i="5"/>
  <c r="CY133" i="5"/>
  <c r="CZ133" i="5"/>
  <c r="DA133" i="5"/>
  <c r="DB133" i="5"/>
  <c r="DC133" i="5"/>
  <c r="DD133" i="5"/>
  <c r="DE133" i="5"/>
  <c r="DF133" i="5"/>
  <c r="DG133" i="5"/>
  <c r="DH133" i="5"/>
  <c r="DI133" i="5"/>
  <c r="DJ133" i="5"/>
  <c r="DK133" i="5"/>
  <c r="DL133" i="5"/>
  <c r="DM133" i="5"/>
  <c r="DN133" i="5"/>
  <c r="DO133" i="5"/>
  <c r="DP133" i="5"/>
  <c r="DQ133" i="5"/>
  <c r="DR133" i="5"/>
  <c r="DS133" i="5"/>
  <c r="DT133" i="5"/>
  <c r="DU133" i="5"/>
  <c r="DV133" i="5"/>
  <c r="DW133" i="5"/>
  <c r="DX133" i="5"/>
  <c r="DY133" i="5"/>
  <c r="DZ133" i="5"/>
  <c r="EA133" i="5"/>
  <c r="EB133" i="5"/>
  <c r="EC133" i="5"/>
  <c r="ED133" i="5"/>
  <c r="EE133" i="5"/>
  <c r="EF133" i="5"/>
  <c r="EG133" i="5"/>
  <c r="EH133" i="5"/>
  <c r="EI133" i="5"/>
  <c r="EJ133" i="5"/>
  <c r="EK133" i="5"/>
  <c r="EL133" i="5"/>
  <c r="EM133" i="5"/>
  <c r="EN133" i="5"/>
  <c r="EO133" i="5"/>
  <c r="EP133" i="5"/>
  <c r="EQ133" i="5"/>
  <c r="ER133" i="5"/>
  <c r="ES133" i="5"/>
  <c r="ET133" i="5"/>
  <c r="EU133" i="5"/>
  <c r="EV133" i="5"/>
  <c r="EW133" i="5"/>
  <c r="EX133" i="5"/>
  <c r="EY133" i="5"/>
  <c r="EZ133" i="5"/>
  <c r="FA133" i="5"/>
  <c r="FB133" i="5"/>
  <c r="FC133" i="5"/>
  <c r="FD133" i="5"/>
  <c r="FE133" i="5"/>
  <c r="FF133" i="5"/>
  <c r="FG133" i="5"/>
  <c r="FH133" i="5"/>
  <c r="FI133" i="5"/>
  <c r="FJ133" i="5"/>
  <c r="FK133" i="5"/>
  <c r="FL133" i="5"/>
  <c r="FM133" i="5"/>
  <c r="FN133" i="5"/>
  <c r="FO133" i="5"/>
  <c r="FP133" i="5"/>
  <c r="FQ133" i="5"/>
  <c r="FR133" i="5"/>
  <c r="FS133" i="5"/>
  <c r="FT133" i="5"/>
  <c r="FU133" i="5"/>
  <c r="FV133" i="5"/>
  <c r="FW133" i="5"/>
  <c r="FX133" i="5"/>
  <c r="FY133" i="5"/>
  <c r="FZ133" i="5"/>
  <c r="GA133" i="5"/>
  <c r="GB133" i="5"/>
  <c r="GC133" i="5"/>
  <c r="GD133" i="5"/>
  <c r="GE133" i="5"/>
  <c r="GF133" i="5"/>
  <c r="GG133" i="5"/>
  <c r="GH133" i="5"/>
  <c r="GI133" i="5"/>
  <c r="GJ133" i="5"/>
  <c r="GK133" i="5"/>
  <c r="GL133" i="5"/>
  <c r="GM133" i="5"/>
  <c r="GN133" i="5"/>
  <c r="GO133" i="5"/>
  <c r="GP133" i="5"/>
  <c r="GQ133" i="5"/>
  <c r="GR133" i="5"/>
  <c r="GS133" i="5"/>
  <c r="GT133" i="5"/>
  <c r="GU133" i="5"/>
  <c r="GV133" i="5"/>
  <c r="GW133" i="5"/>
  <c r="GX133" i="5"/>
  <c r="GY133" i="5"/>
  <c r="GZ133" i="5"/>
  <c r="HA133" i="5"/>
  <c r="HB133" i="5"/>
  <c r="HC133" i="5"/>
  <c r="HD133" i="5"/>
  <c r="HE133" i="5"/>
  <c r="HF133" i="5"/>
  <c r="HG133" i="5"/>
  <c r="A134" i="5"/>
  <c r="B134" i="5"/>
  <c r="C134" i="5"/>
  <c r="D134" i="5"/>
  <c r="E134" i="5"/>
  <c r="F134" i="5"/>
  <c r="G134" i="5"/>
  <c r="H134" i="5"/>
  <c r="I134" i="5"/>
  <c r="J134" i="5"/>
  <c r="K134" i="5"/>
  <c r="L134" i="5"/>
  <c r="M134" i="5"/>
  <c r="N134" i="5"/>
  <c r="O134" i="5"/>
  <c r="P134" i="5"/>
  <c r="Q134" i="5"/>
  <c r="R134" i="5"/>
  <c r="S134" i="5"/>
  <c r="T134" i="5"/>
  <c r="U134" i="5"/>
  <c r="V134" i="5"/>
  <c r="W134" i="5"/>
  <c r="X134" i="5"/>
  <c r="Y134" i="5"/>
  <c r="Z134" i="5"/>
  <c r="AA134" i="5"/>
  <c r="AB134" i="5"/>
  <c r="AC134" i="5"/>
  <c r="AD134" i="5"/>
  <c r="AE134" i="5"/>
  <c r="AF134" i="5"/>
  <c r="AG134" i="5"/>
  <c r="AH134" i="5"/>
  <c r="AI134" i="5"/>
  <c r="AJ134" i="5"/>
  <c r="AK134" i="5"/>
  <c r="AL134" i="5"/>
  <c r="AM134" i="5"/>
  <c r="AN134" i="5"/>
  <c r="AO134" i="5"/>
  <c r="AP134" i="5"/>
  <c r="AQ134" i="5"/>
  <c r="AR134" i="5"/>
  <c r="AS134" i="5"/>
  <c r="AT134" i="5"/>
  <c r="AU134" i="5"/>
  <c r="AV134" i="5"/>
  <c r="AW134" i="5"/>
  <c r="AX134" i="5"/>
  <c r="AY134" i="5"/>
  <c r="AZ134" i="5"/>
  <c r="BA134" i="5"/>
  <c r="BB134" i="5"/>
  <c r="BC134" i="5"/>
  <c r="BD134" i="5"/>
  <c r="BE134" i="5"/>
  <c r="BF134" i="5"/>
  <c r="BG134" i="5"/>
  <c r="BH134" i="5"/>
  <c r="BI134" i="5"/>
  <c r="BJ134" i="5"/>
  <c r="BK134" i="5"/>
  <c r="BL134" i="5"/>
  <c r="BM134" i="5"/>
  <c r="BN134" i="5"/>
  <c r="BO134" i="5"/>
  <c r="BP134" i="5"/>
  <c r="BQ134" i="5"/>
  <c r="BR134" i="5"/>
  <c r="BS134" i="5"/>
  <c r="BT134" i="5"/>
  <c r="BU134" i="5"/>
  <c r="BV134" i="5"/>
  <c r="BW134" i="5"/>
  <c r="BX134" i="5"/>
  <c r="BY134" i="5"/>
  <c r="BZ134" i="5"/>
  <c r="CA134" i="5"/>
  <c r="CB134" i="5"/>
  <c r="CC134" i="5"/>
  <c r="CD134" i="5"/>
  <c r="CE134" i="5"/>
  <c r="CF134" i="5"/>
  <c r="CG134" i="5"/>
  <c r="CH134" i="5"/>
  <c r="CI134" i="5"/>
  <c r="CJ134" i="5"/>
  <c r="CK134" i="5"/>
  <c r="CL134" i="5"/>
  <c r="CM134" i="5"/>
  <c r="CN134" i="5"/>
  <c r="CO134" i="5"/>
  <c r="CP134" i="5"/>
  <c r="CQ134" i="5"/>
  <c r="CR134" i="5"/>
  <c r="CS134" i="5"/>
  <c r="CT134" i="5"/>
  <c r="CU134" i="5"/>
  <c r="CV134" i="5"/>
  <c r="CW134" i="5"/>
  <c r="CX134" i="5"/>
  <c r="CY134" i="5"/>
  <c r="CZ134" i="5"/>
  <c r="DA134" i="5"/>
  <c r="DB134" i="5"/>
  <c r="DC134" i="5"/>
  <c r="DD134" i="5"/>
  <c r="DE134" i="5"/>
  <c r="DF134" i="5"/>
  <c r="DG134" i="5"/>
  <c r="DH134" i="5"/>
  <c r="DI134" i="5"/>
  <c r="DJ134" i="5"/>
  <c r="DK134" i="5"/>
  <c r="DL134" i="5"/>
  <c r="DM134" i="5"/>
  <c r="DN134" i="5"/>
  <c r="DO134" i="5"/>
  <c r="DP134" i="5"/>
  <c r="DQ134" i="5"/>
  <c r="DR134" i="5"/>
  <c r="DS134" i="5"/>
  <c r="DT134" i="5"/>
  <c r="DU134" i="5"/>
  <c r="DV134" i="5"/>
  <c r="DW134" i="5"/>
  <c r="DX134" i="5"/>
  <c r="DY134" i="5"/>
  <c r="DZ134" i="5"/>
  <c r="EA134" i="5"/>
  <c r="EB134" i="5"/>
  <c r="EC134" i="5"/>
  <c r="ED134" i="5"/>
  <c r="EE134" i="5"/>
  <c r="EF134" i="5"/>
  <c r="EG134" i="5"/>
  <c r="EH134" i="5"/>
  <c r="EI134" i="5"/>
  <c r="EJ134" i="5"/>
  <c r="EK134" i="5"/>
  <c r="EL134" i="5"/>
  <c r="EM134" i="5"/>
  <c r="EN134" i="5"/>
  <c r="EO134" i="5"/>
  <c r="EP134" i="5"/>
  <c r="EQ134" i="5"/>
  <c r="ER134" i="5"/>
  <c r="ES134" i="5"/>
  <c r="ET134" i="5"/>
  <c r="EU134" i="5"/>
  <c r="EV134" i="5"/>
  <c r="EW134" i="5"/>
  <c r="EX134" i="5"/>
  <c r="EY134" i="5"/>
  <c r="EZ134" i="5"/>
  <c r="FA134" i="5"/>
  <c r="FB134" i="5"/>
  <c r="FC134" i="5"/>
  <c r="FD134" i="5"/>
  <c r="FE134" i="5"/>
  <c r="FF134" i="5"/>
  <c r="FG134" i="5"/>
  <c r="FH134" i="5"/>
  <c r="FI134" i="5"/>
  <c r="FJ134" i="5"/>
  <c r="FK134" i="5"/>
  <c r="FL134" i="5"/>
  <c r="FM134" i="5"/>
  <c r="FN134" i="5"/>
  <c r="FO134" i="5"/>
  <c r="FP134" i="5"/>
  <c r="FQ134" i="5"/>
  <c r="FR134" i="5"/>
  <c r="FS134" i="5"/>
  <c r="FT134" i="5"/>
  <c r="FU134" i="5"/>
  <c r="FV134" i="5"/>
  <c r="FW134" i="5"/>
  <c r="FX134" i="5"/>
  <c r="FY134" i="5"/>
  <c r="FZ134" i="5"/>
  <c r="GA134" i="5"/>
  <c r="GB134" i="5"/>
  <c r="GC134" i="5"/>
  <c r="GD134" i="5"/>
  <c r="GE134" i="5"/>
  <c r="GF134" i="5"/>
  <c r="GG134" i="5"/>
  <c r="GH134" i="5"/>
  <c r="GI134" i="5"/>
  <c r="GJ134" i="5"/>
  <c r="GK134" i="5"/>
  <c r="GL134" i="5"/>
  <c r="GM134" i="5"/>
  <c r="GN134" i="5"/>
  <c r="GO134" i="5"/>
  <c r="GP134" i="5"/>
  <c r="GQ134" i="5"/>
  <c r="GR134" i="5"/>
  <c r="GS134" i="5"/>
  <c r="GT134" i="5"/>
  <c r="GU134" i="5"/>
  <c r="GV134" i="5"/>
  <c r="GW134" i="5"/>
  <c r="GX134" i="5"/>
  <c r="GY134" i="5"/>
  <c r="GZ134" i="5"/>
  <c r="HA134" i="5"/>
  <c r="HB134" i="5"/>
  <c r="HC134" i="5"/>
  <c r="HD134" i="5"/>
  <c r="HE134" i="5"/>
  <c r="HF134" i="5"/>
  <c r="HG134" i="5"/>
  <c r="A135" i="5"/>
  <c r="B135" i="5"/>
  <c r="C135" i="5"/>
  <c r="D135" i="5"/>
  <c r="E135" i="5"/>
  <c r="F135" i="5"/>
  <c r="G135" i="5"/>
  <c r="H135" i="5"/>
  <c r="I135" i="5"/>
  <c r="J135" i="5"/>
  <c r="K135" i="5"/>
  <c r="L135" i="5"/>
  <c r="M135" i="5"/>
  <c r="N135" i="5"/>
  <c r="O135" i="5"/>
  <c r="P135" i="5"/>
  <c r="Q135" i="5"/>
  <c r="R135" i="5"/>
  <c r="S135" i="5"/>
  <c r="T135" i="5"/>
  <c r="U135" i="5"/>
  <c r="V135" i="5"/>
  <c r="W135" i="5"/>
  <c r="X135" i="5"/>
  <c r="Y135" i="5"/>
  <c r="Z135" i="5"/>
  <c r="AA135" i="5"/>
  <c r="AB135" i="5"/>
  <c r="AC135" i="5"/>
  <c r="AD135" i="5"/>
  <c r="AE135" i="5"/>
  <c r="AF135" i="5"/>
  <c r="AG135" i="5"/>
  <c r="AH135" i="5"/>
  <c r="AI135" i="5"/>
  <c r="AJ135" i="5"/>
  <c r="AK135" i="5"/>
  <c r="AL135" i="5"/>
  <c r="AM135" i="5"/>
  <c r="AN135" i="5"/>
  <c r="AO135" i="5"/>
  <c r="AP135" i="5"/>
  <c r="AQ135" i="5"/>
  <c r="AR135" i="5"/>
  <c r="AS135" i="5"/>
  <c r="AT135" i="5"/>
  <c r="AU135" i="5"/>
  <c r="AV135" i="5"/>
  <c r="AW135" i="5"/>
  <c r="AX135" i="5"/>
  <c r="AY135" i="5"/>
  <c r="AZ135" i="5"/>
  <c r="BA135" i="5"/>
  <c r="BB135" i="5"/>
  <c r="BC135" i="5"/>
  <c r="BD135" i="5"/>
  <c r="BE135" i="5"/>
  <c r="BF135" i="5"/>
  <c r="BG135" i="5"/>
  <c r="BH135" i="5"/>
  <c r="BI135" i="5"/>
  <c r="BJ135" i="5"/>
  <c r="BK135" i="5"/>
  <c r="BL135" i="5"/>
  <c r="BM135" i="5"/>
  <c r="BN135" i="5"/>
  <c r="BO135" i="5"/>
  <c r="BP135" i="5"/>
  <c r="BQ135" i="5"/>
  <c r="BR135" i="5"/>
  <c r="BS135" i="5"/>
  <c r="BT135" i="5"/>
  <c r="BU135" i="5"/>
  <c r="BV135" i="5"/>
  <c r="BW135" i="5"/>
  <c r="BX135" i="5"/>
  <c r="BY135" i="5"/>
  <c r="BZ135" i="5"/>
  <c r="CA135" i="5"/>
  <c r="CB135" i="5"/>
  <c r="CC135" i="5"/>
  <c r="CD135" i="5"/>
  <c r="CE135" i="5"/>
  <c r="CF135" i="5"/>
  <c r="CG135" i="5"/>
  <c r="CH135" i="5"/>
  <c r="CI135" i="5"/>
  <c r="CJ135" i="5"/>
  <c r="CK135" i="5"/>
  <c r="CL135" i="5"/>
  <c r="CM135" i="5"/>
  <c r="CN135" i="5"/>
  <c r="CO135" i="5"/>
  <c r="CP135" i="5"/>
  <c r="CQ135" i="5"/>
  <c r="CR135" i="5"/>
  <c r="CS135" i="5"/>
  <c r="CT135" i="5"/>
  <c r="CU135" i="5"/>
  <c r="CV135" i="5"/>
  <c r="CW135" i="5"/>
  <c r="CX135" i="5"/>
  <c r="CY135" i="5"/>
  <c r="CZ135" i="5"/>
  <c r="DA135" i="5"/>
  <c r="DB135" i="5"/>
  <c r="DC135" i="5"/>
  <c r="DD135" i="5"/>
  <c r="DE135" i="5"/>
  <c r="DF135" i="5"/>
  <c r="DG135" i="5"/>
  <c r="DH135" i="5"/>
  <c r="DI135" i="5"/>
  <c r="DJ135" i="5"/>
  <c r="DK135" i="5"/>
  <c r="DL135" i="5"/>
  <c r="DM135" i="5"/>
  <c r="DN135" i="5"/>
  <c r="DO135" i="5"/>
  <c r="DP135" i="5"/>
  <c r="DQ135" i="5"/>
  <c r="DR135" i="5"/>
  <c r="DS135" i="5"/>
  <c r="DT135" i="5"/>
  <c r="DU135" i="5"/>
  <c r="DV135" i="5"/>
  <c r="DW135" i="5"/>
  <c r="DX135" i="5"/>
  <c r="DY135" i="5"/>
  <c r="DZ135" i="5"/>
  <c r="EA135" i="5"/>
  <c r="EB135" i="5"/>
  <c r="EC135" i="5"/>
  <c r="ED135" i="5"/>
  <c r="EE135" i="5"/>
  <c r="EF135" i="5"/>
  <c r="EG135" i="5"/>
  <c r="EH135" i="5"/>
  <c r="EI135" i="5"/>
  <c r="EJ135" i="5"/>
  <c r="EK135" i="5"/>
  <c r="EL135" i="5"/>
  <c r="EM135" i="5"/>
  <c r="EN135" i="5"/>
  <c r="EO135" i="5"/>
  <c r="EP135" i="5"/>
  <c r="EQ135" i="5"/>
  <c r="ER135" i="5"/>
  <c r="ES135" i="5"/>
  <c r="ET135" i="5"/>
  <c r="EU135" i="5"/>
  <c r="EV135" i="5"/>
  <c r="EW135" i="5"/>
  <c r="EX135" i="5"/>
  <c r="EY135" i="5"/>
  <c r="EZ135" i="5"/>
  <c r="FA135" i="5"/>
  <c r="FB135" i="5"/>
  <c r="FC135" i="5"/>
  <c r="FD135" i="5"/>
  <c r="FE135" i="5"/>
  <c r="FF135" i="5"/>
  <c r="FG135" i="5"/>
  <c r="FH135" i="5"/>
  <c r="FI135" i="5"/>
  <c r="FJ135" i="5"/>
  <c r="FK135" i="5"/>
  <c r="FL135" i="5"/>
  <c r="FM135" i="5"/>
  <c r="FN135" i="5"/>
  <c r="FO135" i="5"/>
  <c r="FP135" i="5"/>
  <c r="FQ135" i="5"/>
  <c r="FR135" i="5"/>
  <c r="FS135" i="5"/>
  <c r="FT135" i="5"/>
  <c r="FU135" i="5"/>
  <c r="FV135" i="5"/>
  <c r="FW135" i="5"/>
  <c r="FX135" i="5"/>
  <c r="FY135" i="5"/>
  <c r="FZ135" i="5"/>
  <c r="GA135" i="5"/>
  <c r="GB135" i="5"/>
  <c r="GC135" i="5"/>
  <c r="GD135" i="5"/>
  <c r="GE135" i="5"/>
  <c r="GF135" i="5"/>
  <c r="GG135" i="5"/>
  <c r="GH135" i="5"/>
  <c r="GI135" i="5"/>
  <c r="GJ135" i="5"/>
  <c r="GK135" i="5"/>
  <c r="GL135" i="5"/>
  <c r="GM135" i="5"/>
  <c r="GN135" i="5"/>
  <c r="GO135" i="5"/>
  <c r="GP135" i="5"/>
  <c r="GQ135" i="5"/>
  <c r="GR135" i="5"/>
  <c r="GS135" i="5"/>
  <c r="GT135" i="5"/>
  <c r="GU135" i="5"/>
  <c r="GV135" i="5"/>
  <c r="GW135" i="5"/>
  <c r="GX135" i="5"/>
  <c r="GY135" i="5"/>
  <c r="GZ135" i="5"/>
  <c r="HA135" i="5"/>
  <c r="HB135" i="5"/>
  <c r="HC135" i="5"/>
  <c r="HD135" i="5"/>
  <c r="HE135" i="5"/>
  <c r="HF135" i="5"/>
  <c r="HG135" i="5"/>
  <c r="A136" i="5"/>
  <c r="B136" i="5"/>
  <c r="C136" i="5"/>
  <c r="D136" i="5"/>
  <c r="E136" i="5"/>
  <c r="F136" i="5"/>
  <c r="G136" i="5"/>
  <c r="H136" i="5"/>
  <c r="I136" i="5"/>
  <c r="J136" i="5"/>
  <c r="K136" i="5"/>
  <c r="L136" i="5"/>
  <c r="M136" i="5"/>
  <c r="N136" i="5"/>
  <c r="O136" i="5"/>
  <c r="P136" i="5"/>
  <c r="Q136" i="5"/>
  <c r="R136" i="5"/>
  <c r="S136" i="5"/>
  <c r="T136" i="5"/>
  <c r="U136" i="5"/>
  <c r="V136" i="5"/>
  <c r="W136" i="5"/>
  <c r="X136" i="5"/>
  <c r="Y136" i="5"/>
  <c r="Z136" i="5"/>
  <c r="AA136" i="5"/>
  <c r="AB136" i="5"/>
  <c r="AC136" i="5"/>
  <c r="AD136" i="5"/>
  <c r="AE136" i="5"/>
  <c r="AF136" i="5"/>
  <c r="AG136" i="5"/>
  <c r="AH136" i="5"/>
  <c r="AI136" i="5"/>
  <c r="AJ136" i="5"/>
  <c r="AK136" i="5"/>
  <c r="AL136" i="5"/>
  <c r="AM136" i="5"/>
  <c r="AN136" i="5"/>
  <c r="AO136" i="5"/>
  <c r="AP136" i="5"/>
  <c r="AQ136" i="5"/>
  <c r="AR136" i="5"/>
  <c r="AS136" i="5"/>
  <c r="AT136" i="5"/>
  <c r="AU136" i="5"/>
  <c r="AV136" i="5"/>
  <c r="AW136" i="5"/>
  <c r="AX136" i="5"/>
  <c r="AY136" i="5"/>
  <c r="AZ136" i="5"/>
  <c r="BA136" i="5"/>
  <c r="BB136" i="5"/>
  <c r="BC136" i="5"/>
  <c r="BD136" i="5"/>
  <c r="BE136" i="5"/>
  <c r="BF136" i="5"/>
  <c r="BG136" i="5"/>
  <c r="BH136" i="5"/>
  <c r="BI136" i="5"/>
  <c r="BJ136" i="5"/>
  <c r="BK136" i="5"/>
  <c r="BL136" i="5"/>
  <c r="BM136" i="5"/>
  <c r="BN136" i="5"/>
  <c r="BO136" i="5"/>
  <c r="BP136" i="5"/>
  <c r="BQ136" i="5"/>
  <c r="BR136" i="5"/>
  <c r="BS136" i="5"/>
  <c r="BT136" i="5"/>
  <c r="BU136" i="5"/>
  <c r="BV136" i="5"/>
  <c r="BW136" i="5"/>
  <c r="BX136" i="5"/>
  <c r="BY136" i="5"/>
  <c r="BZ136" i="5"/>
  <c r="CA136" i="5"/>
  <c r="CB136" i="5"/>
  <c r="CC136" i="5"/>
  <c r="CD136" i="5"/>
  <c r="CE136" i="5"/>
  <c r="CF136" i="5"/>
  <c r="CG136" i="5"/>
  <c r="CH136" i="5"/>
  <c r="CI136" i="5"/>
  <c r="CJ136" i="5"/>
  <c r="CK136" i="5"/>
  <c r="CL136" i="5"/>
  <c r="CM136" i="5"/>
  <c r="CN136" i="5"/>
  <c r="CO136" i="5"/>
  <c r="CP136" i="5"/>
  <c r="CQ136" i="5"/>
  <c r="CR136" i="5"/>
  <c r="CS136" i="5"/>
  <c r="CT136" i="5"/>
  <c r="CU136" i="5"/>
  <c r="CV136" i="5"/>
  <c r="CW136" i="5"/>
  <c r="CX136" i="5"/>
  <c r="CY136" i="5"/>
  <c r="CZ136" i="5"/>
  <c r="DA136" i="5"/>
  <c r="DB136" i="5"/>
  <c r="DC136" i="5"/>
  <c r="DD136" i="5"/>
  <c r="DE136" i="5"/>
  <c r="DF136" i="5"/>
  <c r="DG136" i="5"/>
  <c r="DH136" i="5"/>
  <c r="DI136" i="5"/>
  <c r="DJ136" i="5"/>
  <c r="DK136" i="5"/>
  <c r="DL136" i="5"/>
  <c r="DM136" i="5"/>
  <c r="DN136" i="5"/>
  <c r="DO136" i="5"/>
  <c r="DP136" i="5"/>
  <c r="DQ136" i="5"/>
  <c r="DR136" i="5"/>
  <c r="DS136" i="5"/>
  <c r="DT136" i="5"/>
  <c r="DU136" i="5"/>
  <c r="DV136" i="5"/>
  <c r="DW136" i="5"/>
  <c r="DX136" i="5"/>
  <c r="DY136" i="5"/>
  <c r="DZ136" i="5"/>
  <c r="EA136" i="5"/>
  <c r="EB136" i="5"/>
  <c r="EC136" i="5"/>
  <c r="ED136" i="5"/>
  <c r="EE136" i="5"/>
  <c r="EF136" i="5"/>
  <c r="EG136" i="5"/>
  <c r="EH136" i="5"/>
  <c r="EI136" i="5"/>
  <c r="EJ136" i="5"/>
  <c r="EK136" i="5"/>
  <c r="EL136" i="5"/>
  <c r="EM136" i="5"/>
  <c r="EN136" i="5"/>
  <c r="EO136" i="5"/>
  <c r="EP136" i="5"/>
  <c r="EQ136" i="5"/>
  <c r="ER136" i="5"/>
  <c r="ES136" i="5"/>
  <c r="ET136" i="5"/>
  <c r="EU136" i="5"/>
  <c r="EV136" i="5"/>
  <c r="EW136" i="5"/>
  <c r="EX136" i="5"/>
  <c r="EY136" i="5"/>
  <c r="EZ136" i="5"/>
  <c r="FA136" i="5"/>
  <c r="FB136" i="5"/>
  <c r="FC136" i="5"/>
  <c r="FD136" i="5"/>
  <c r="FE136" i="5"/>
  <c r="FF136" i="5"/>
  <c r="FG136" i="5"/>
  <c r="FH136" i="5"/>
  <c r="FI136" i="5"/>
  <c r="FJ136" i="5"/>
  <c r="FK136" i="5"/>
  <c r="FL136" i="5"/>
  <c r="FM136" i="5"/>
  <c r="FN136" i="5"/>
  <c r="FO136" i="5"/>
  <c r="FP136" i="5"/>
  <c r="FQ136" i="5"/>
  <c r="FR136" i="5"/>
  <c r="FS136" i="5"/>
  <c r="FT136" i="5"/>
  <c r="FU136" i="5"/>
  <c r="FV136" i="5"/>
  <c r="FW136" i="5"/>
  <c r="FX136" i="5"/>
  <c r="FY136" i="5"/>
  <c r="FZ136" i="5"/>
  <c r="GA136" i="5"/>
  <c r="GB136" i="5"/>
  <c r="GC136" i="5"/>
  <c r="GD136" i="5"/>
  <c r="GE136" i="5"/>
  <c r="GF136" i="5"/>
  <c r="GG136" i="5"/>
  <c r="GH136" i="5"/>
  <c r="GI136" i="5"/>
  <c r="GJ136" i="5"/>
  <c r="GK136" i="5"/>
  <c r="GL136" i="5"/>
  <c r="GM136" i="5"/>
  <c r="GN136" i="5"/>
  <c r="GO136" i="5"/>
  <c r="GP136" i="5"/>
  <c r="GQ136" i="5"/>
  <c r="GR136" i="5"/>
  <c r="GS136" i="5"/>
  <c r="GT136" i="5"/>
  <c r="GU136" i="5"/>
  <c r="GV136" i="5"/>
  <c r="GW136" i="5"/>
  <c r="GX136" i="5"/>
  <c r="GY136" i="5"/>
  <c r="GZ136" i="5"/>
  <c r="HA136" i="5"/>
  <c r="HB136" i="5"/>
  <c r="HC136" i="5"/>
  <c r="HD136" i="5"/>
  <c r="HE136" i="5"/>
  <c r="HF136" i="5"/>
  <c r="HG136" i="5"/>
  <c r="A137" i="5"/>
  <c r="B137" i="5"/>
  <c r="C137" i="5"/>
  <c r="D137" i="5"/>
  <c r="E137" i="5"/>
  <c r="F137" i="5"/>
  <c r="G137" i="5"/>
  <c r="H137" i="5"/>
  <c r="I137" i="5"/>
  <c r="J137" i="5"/>
  <c r="K137" i="5"/>
  <c r="L137" i="5"/>
  <c r="M137" i="5"/>
  <c r="N137" i="5"/>
  <c r="O137" i="5"/>
  <c r="P137" i="5"/>
  <c r="Q137" i="5"/>
  <c r="R137" i="5"/>
  <c r="S137" i="5"/>
  <c r="T137" i="5"/>
  <c r="U137" i="5"/>
  <c r="V137" i="5"/>
  <c r="W137" i="5"/>
  <c r="X137" i="5"/>
  <c r="Y137" i="5"/>
  <c r="Z137" i="5"/>
  <c r="AA137" i="5"/>
  <c r="AB137" i="5"/>
  <c r="AC137" i="5"/>
  <c r="AD137" i="5"/>
  <c r="AE137" i="5"/>
  <c r="AF137" i="5"/>
  <c r="AG137" i="5"/>
  <c r="AH137" i="5"/>
  <c r="AI137" i="5"/>
  <c r="AJ137" i="5"/>
  <c r="AK137" i="5"/>
  <c r="AL137" i="5"/>
  <c r="AM137" i="5"/>
  <c r="AN137" i="5"/>
  <c r="AO137" i="5"/>
  <c r="AP137" i="5"/>
  <c r="AQ137" i="5"/>
  <c r="AR137" i="5"/>
  <c r="AS137" i="5"/>
  <c r="AT137" i="5"/>
  <c r="AU137" i="5"/>
  <c r="AV137" i="5"/>
  <c r="AW137" i="5"/>
  <c r="AX137" i="5"/>
  <c r="AY137" i="5"/>
  <c r="AZ137" i="5"/>
  <c r="BA137" i="5"/>
  <c r="BB137" i="5"/>
  <c r="BC137" i="5"/>
  <c r="BD137" i="5"/>
  <c r="BE137" i="5"/>
  <c r="BF137" i="5"/>
  <c r="BG137" i="5"/>
  <c r="BH137" i="5"/>
  <c r="BI137" i="5"/>
  <c r="BJ137" i="5"/>
  <c r="BK137" i="5"/>
  <c r="BL137" i="5"/>
  <c r="BM137" i="5"/>
  <c r="BN137" i="5"/>
  <c r="BO137" i="5"/>
  <c r="BP137" i="5"/>
  <c r="BQ137" i="5"/>
  <c r="BR137" i="5"/>
  <c r="BS137" i="5"/>
  <c r="BT137" i="5"/>
  <c r="BU137" i="5"/>
  <c r="BV137" i="5"/>
  <c r="BW137" i="5"/>
  <c r="BX137" i="5"/>
  <c r="BY137" i="5"/>
  <c r="BZ137" i="5"/>
  <c r="CA137" i="5"/>
  <c r="CB137" i="5"/>
  <c r="CC137" i="5"/>
  <c r="CD137" i="5"/>
  <c r="CE137" i="5"/>
  <c r="CF137" i="5"/>
  <c r="CG137" i="5"/>
  <c r="CH137" i="5"/>
  <c r="CI137" i="5"/>
  <c r="CJ137" i="5"/>
  <c r="CK137" i="5"/>
  <c r="CL137" i="5"/>
  <c r="CM137" i="5"/>
  <c r="CN137" i="5"/>
  <c r="CO137" i="5"/>
  <c r="CP137" i="5"/>
  <c r="CQ137" i="5"/>
  <c r="CR137" i="5"/>
  <c r="CS137" i="5"/>
  <c r="CT137" i="5"/>
  <c r="CU137" i="5"/>
  <c r="CV137" i="5"/>
  <c r="CW137" i="5"/>
  <c r="CX137" i="5"/>
  <c r="CY137" i="5"/>
  <c r="CZ137" i="5"/>
  <c r="DA137" i="5"/>
  <c r="DB137" i="5"/>
  <c r="DC137" i="5"/>
  <c r="DD137" i="5"/>
  <c r="DE137" i="5"/>
  <c r="DF137" i="5"/>
  <c r="DG137" i="5"/>
  <c r="DH137" i="5"/>
  <c r="DI137" i="5"/>
  <c r="DJ137" i="5"/>
  <c r="DK137" i="5"/>
  <c r="DL137" i="5"/>
  <c r="DM137" i="5"/>
  <c r="DN137" i="5"/>
  <c r="DO137" i="5"/>
  <c r="DP137" i="5"/>
  <c r="DQ137" i="5"/>
  <c r="DR137" i="5"/>
  <c r="DS137" i="5"/>
  <c r="DT137" i="5"/>
  <c r="DU137" i="5"/>
  <c r="DV137" i="5"/>
  <c r="DW137" i="5"/>
  <c r="DX137" i="5"/>
  <c r="DY137" i="5"/>
  <c r="DZ137" i="5"/>
  <c r="EA137" i="5"/>
  <c r="EB137" i="5"/>
  <c r="EC137" i="5"/>
  <c r="ED137" i="5"/>
  <c r="EE137" i="5"/>
  <c r="EF137" i="5"/>
  <c r="EG137" i="5"/>
  <c r="EH137" i="5"/>
  <c r="EI137" i="5"/>
  <c r="EJ137" i="5"/>
  <c r="EK137" i="5"/>
  <c r="EL137" i="5"/>
  <c r="EM137" i="5"/>
  <c r="EN137" i="5"/>
  <c r="EO137" i="5"/>
  <c r="EP137" i="5"/>
  <c r="EQ137" i="5"/>
  <c r="ER137" i="5"/>
  <c r="ES137" i="5"/>
  <c r="ET137" i="5"/>
  <c r="EU137" i="5"/>
  <c r="EV137" i="5"/>
  <c r="EW137" i="5"/>
  <c r="EX137" i="5"/>
  <c r="EY137" i="5"/>
  <c r="EZ137" i="5"/>
  <c r="FA137" i="5"/>
  <c r="FB137" i="5"/>
  <c r="FC137" i="5"/>
  <c r="FD137" i="5"/>
  <c r="FE137" i="5"/>
  <c r="FF137" i="5"/>
  <c r="FG137" i="5"/>
  <c r="FH137" i="5"/>
  <c r="FI137" i="5"/>
  <c r="FJ137" i="5"/>
  <c r="FK137" i="5"/>
  <c r="FL137" i="5"/>
  <c r="FM137" i="5"/>
  <c r="FN137" i="5"/>
  <c r="FO137" i="5"/>
  <c r="FP137" i="5"/>
  <c r="FQ137" i="5"/>
  <c r="FR137" i="5"/>
  <c r="FS137" i="5"/>
  <c r="FT137" i="5"/>
  <c r="FU137" i="5"/>
  <c r="FV137" i="5"/>
  <c r="FW137" i="5"/>
  <c r="FX137" i="5"/>
  <c r="FY137" i="5"/>
  <c r="FZ137" i="5"/>
  <c r="GA137" i="5"/>
  <c r="GB137" i="5"/>
  <c r="GC137" i="5"/>
  <c r="GD137" i="5"/>
  <c r="GE137" i="5"/>
  <c r="GF137" i="5"/>
  <c r="GG137" i="5"/>
  <c r="GH137" i="5"/>
  <c r="GI137" i="5"/>
  <c r="GJ137" i="5"/>
  <c r="GK137" i="5"/>
  <c r="GL137" i="5"/>
  <c r="GM137" i="5"/>
  <c r="GN137" i="5"/>
  <c r="GO137" i="5"/>
  <c r="GP137" i="5"/>
  <c r="GQ137" i="5"/>
  <c r="GR137" i="5"/>
  <c r="GS137" i="5"/>
  <c r="GT137" i="5"/>
  <c r="GU137" i="5"/>
  <c r="GV137" i="5"/>
  <c r="GW137" i="5"/>
  <c r="GX137" i="5"/>
  <c r="GY137" i="5"/>
  <c r="GZ137" i="5"/>
  <c r="HA137" i="5"/>
  <c r="HB137" i="5"/>
  <c r="HC137" i="5"/>
  <c r="HD137" i="5"/>
  <c r="HE137" i="5"/>
  <c r="HF137" i="5"/>
  <c r="HG137" i="5"/>
  <c r="A138" i="5"/>
  <c r="B138" i="5"/>
  <c r="C138" i="5"/>
  <c r="D138" i="5"/>
  <c r="E138" i="5"/>
  <c r="F138" i="5"/>
  <c r="G138" i="5"/>
  <c r="H138" i="5"/>
  <c r="I138" i="5"/>
  <c r="J138" i="5"/>
  <c r="K138" i="5"/>
  <c r="L138" i="5"/>
  <c r="M138" i="5"/>
  <c r="N138" i="5"/>
  <c r="O138" i="5"/>
  <c r="P138" i="5"/>
  <c r="Q138" i="5"/>
  <c r="R138" i="5"/>
  <c r="S138" i="5"/>
  <c r="T138" i="5"/>
  <c r="U138" i="5"/>
  <c r="V138" i="5"/>
  <c r="W138" i="5"/>
  <c r="X138" i="5"/>
  <c r="Y138" i="5"/>
  <c r="Z138" i="5"/>
  <c r="AA138" i="5"/>
  <c r="AB138" i="5"/>
  <c r="AC138" i="5"/>
  <c r="AD138" i="5"/>
  <c r="AE138" i="5"/>
  <c r="AF138" i="5"/>
  <c r="AG138" i="5"/>
  <c r="AH138" i="5"/>
  <c r="AI138" i="5"/>
  <c r="AJ138" i="5"/>
  <c r="AK138" i="5"/>
  <c r="AL138" i="5"/>
  <c r="AM138" i="5"/>
  <c r="AN138" i="5"/>
  <c r="AO138" i="5"/>
  <c r="AP138" i="5"/>
  <c r="AQ138" i="5"/>
  <c r="AR138" i="5"/>
  <c r="AS138" i="5"/>
  <c r="AT138" i="5"/>
  <c r="AU138" i="5"/>
  <c r="AV138" i="5"/>
  <c r="AW138" i="5"/>
  <c r="AX138" i="5"/>
  <c r="AY138" i="5"/>
  <c r="AZ138" i="5"/>
  <c r="BA138" i="5"/>
  <c r="BB138" i="5"/>
  <c r="BC138" i="5"/>
  <c r="BD138" i="5"/>
  <c r="BE138" i="5"/>
  <c r="BF138" i="5"/>
  <c r="BG138" i="5"/>
  <c r="BH138" i="5"/>
  <c r="BI138" i="5"/>
  <c r="BJ138" i="5"/>
  <c r="BK138" i="5"/>
  <c r="BL138" i="5"/>
  <c r="BM138" i="5"/>
  <c r="BN138" i="5"/>
  <c r="BO138" i="5"/>
  <c r="BP138" i="5"/>
  <c r="BQ138" i="5"/>
  <c r="BR138" i="5"/>
  <c r="BS138" i="5"/>
  <c r="BT138" i="5"/>
  <c r="BU138" i="5"/>
  <c r="BV138" i="5"/>
  <c r="BW138" i="5"/>
  <c r="BX138" i="5"/>
  <c r="BY138" i="5"/>
  <c r="BZ138" i="5"/>
  <c r="CA138" i="5"/>
  <c r="CB138" i="5"/>
  <c r="CC138" i="5"/>
  <c r="CD138" i="5"/>
  <c r="CE138" i="5"/>
  <c r="CF138" i="5"/>
  <c r="CG138" i="5"/>
  <c r="CH138" i="5"/>
  <c r="CI138" i="5"/>
  <c r="CJ138" i="5"/>
  <c r="CK138" i="5"/>
  <c r="CL138" i="5"/>
  <c r="CM138" i="5"/>
  <c r="CN138" i="5"/>
  <c r="CO138" i="5"/>
  <c r="CP138" i="5"/>
  <c r="CQ138" i="5"/>
  <c r="CR138" i="5"/>
  <c r="CS138" i="5"/>
  <c r="CT138" i="5"/>
  <c r="CU138" i="5"/>
  <c r="CV138" i="5"/>
  <c r="CW138" i="5"/>
  <c r="CX138" i="5"/>
  <c r="CY138" i="5"/>
  <c r="CZ138" i="5"/>
  <c r="DA138" i="5"/>
  <c r="DB138" i="5"/>
  <c r="DC138" i="5"/>
  <c r="DD138" i="5"/>
  <c r="DE138" i="5"/>
  <c r="DF138" i="5"/>
  <c r="DG138" i="5"/>
  <c r="DH138" i="5"/>
  <c r="DI138" i="5"/>
  <c r="DJ138" i="5"/>
  <c r="DK138" i="5"/>
  <c r="DL138" i="5"/>
  <c r="DM138" i="5"/>
  <c r="DN138" i="5"/>
  <c r="DO138" i="5"/>
  <c r="DP138" i="5"/>
  <c r="DQ138" i="5"/>
  <c r="DR138" i="5"/>
  <c r="DS138" i="5"/>
  <c r="DT138" i="5"/>
  <c r="DU138" i="5"/>
  <c r="DV138" i="5"/>
  <c r="DW138" i="5"/>
  <c r="DX138" i="5"/>
  <c r="DY138" i="5"/>
  <c r="DZ138" i="5"/>
  <c r="EA138" i="5"/>
  <c r="EB138" i="5"/>
  <c r="EC138" i="5"/>
  <c r="ED138" i="5"/>
  <c r="EE138" i="5"/>
  <c r="EF138" i="5"/>
  <c r="EG138" i="5"/>
  <c r="EH138" i="5"/>
  <c r="EI138" i="5"/>
  <c r="EJ138" i="5"/>
  <c r="EK138" i="5"/>
  <c r="EL138" i="5"/>
  <c r="EM138" i="5"/>
  <c r="EN138" i="5"/>
  <c r="EO138" i="5"/>
  <c r="EP138" i="5"/>
  <c r="EQ138" i="5"/>
  <c r="ER138" i="5"/>
  <c r="ES138" i="5"/>
  <c r="ET138" i="5"/>
  <c r="EU138" i="5"/>
  <c r="EV138" i="5"/>
  <c r="EW138" i="5"/>
  <c r="EX138" i="5"/>
  <c r="EY138" i="5"/>
  <c r="EZ138" i="5"/>
  <c r="FA138" i="5"/>
  <c r="FB138" i="5"/>
  <c r="FC138" i="5"/>
  <c r="FD138" i="5"/>
  <c r="FE138" i="5"/>
  <c r="FF138" i="5"/>
  <c r="FG138" i="5"/>
  <c r="FH138" i="5"/>
  <c r="FI138" i="5"/>
  <c r="FJ138" i="5"/>
  <c r="FK138" i="5"/>
  <c r="FL138" i="5"/>
  <c r="FM138" i="5"/>
  <c r="FN138" i="5"/>
  <c r="FO138" i="5"/>
  <c r="FP138" i="5"/>
  <c r="FQ138" i="5"/>
  <c r="FR138" i="5"/>
  <c r="FS138" i="5"/>
  <c r="FT138" i="5"/>
  <c r="FU138" i="5"/>
  <c r="FV138" i="5"/>
  <c r="FW138" i="5"/>
  <c r="FX138" i="5"/>
  <c r="FY138" i="5"/>
  <c r="FZ138" i="5"/>
  <c r="GA138" i="5"/>
  <c r="GB138" i="5"/>
  <c r="GC138" i="5"/>
  <c r="GD138" i="5"/>
  <c r="GE138" i="5"/>
  <c r="GF138" i="5"/>
  <c r="GG138" i="5"/>
  <c r="GH138" i="5"/>
  <c r="GI138" i="5"/>
  <c r="GJ138" i="5"/>
  <c r="GK138" i="5"/>
  <c r="GL138" i="5"/>
  <c r="GM138" i="5"/>
  <c r="GN138" i="5"/>
  <c r="GO138" i="5"/>
  <c r="GP138" i="5"/>
  <c r="GQ138" i="5"/>
  <c r="GR138" i="5"/>
  <c r="GS138" i="5"/>
  <c r="GT138" i="5"/>
  <c r="GU138" i="5"/>
  <c r="GV138" i="5"/>
  <c r="GW138" i="5"/>
  <c r="GX138" i="5"/>
  <c r="GY138" i="5"/>
  <c r="GZ138" i="5"/>
  <c r="HA138" i="5"/>
  <c r="HB138" i="5"/>
  <c r="HC138" i="5"/>
  <c r="HD138" i="5"/>
  <c r="HE138" i="5"/>
  <c r="HF138" i="5"/>
  <c r="HG138" i="5"/>
  <c r="A139" i="5"/>
  <c r="B139" i="5"/>
  <c r="C139" i="5"/>
  <c r="D139" i="5"/>
  <c r="E139" i="5"/>
  <c r="F139" i="5"/>
  <c r="G139" i="5"/>
  <c r="H139" i="5"/>
  <c r="I139" i="5"/>
  <c r="J139" i="5"/>
  <c r="K139" i="5"/>
  <c r="L139" i="5"/>
  <c r="M139" i="5"/>
  <c r="N139" i="5"/>
  <c r="O139" i="5"/>
  <c r="P139" i="5"/>
  <c r="Q139" i="5"/>
  <c r="R139" i="5"/>
  <c r="S139" i="5"/>
  <c r="T139" i="5"/>
  <c r="U139" i="5"/>
  <c r="V139" i="5"/>
  <c r="W139" i="5"/>
  <c r="X139" i="5"/>
  <c r="Y139" i="5"/>
  <c r="Z139" i="5"/>
  <c r="AA139" i="5"/>
  <c r="AB139" i="5"/>
  <c r="AC139" i="5"/>
  <c r="AD139" i="5"/>
  <c r="AE139" i="5"/>
  <c r="AF139" i="5"/>
  <c r="AG139" i="5"/>
  <c r="AH139" i="5"/>
  <c r="AI139" i="5"/>
  <c r="AJ139" i="5"/>
  <c r="AK139" i="5"/>
  <c r="AL139" i="5"/>
  <c r="AM139" i="5"/>
  <c r="AN139" i="5"/>
  <c r="AO139" i="5"/>
  <c r="AP139" i="5"/>
  <c r="AQ139" i="5"/>
  <c r="AR139" i="5"/>
  <c r="AS139" i="5"/>
  <c r="AT139" i="5"/>
  <c r="AU139" i="5"/>
  <c r="AV139" i="5"/>
  <c r="AW139" i="5"/>
  <c r="AX139" i="5"/>
  <c r="AY139" i="5"/>
  <c r="AZ139" i="5"/>
  <c r="BA139" i="5"/>
  <c r="BB139" i="5"/>
  <c r="BC139" i="5"/>
  <c r="BD139" i="5"/>
  <c r="BE139" i="5"/>
  <c r="BF139" i="5"/>
  <c r="BG139" i="5"/>
  <c r="BH139" i="5"/>
  <c r="BI139" i="5"/>
  <c r="BJ139" i="5"/>
  <c r="BK139" i="5"/>
  <c r="BL139" i="5"/>
  <c r="BM139" i="5"/>
  <c r="BN139" i="5"/>
  <c r="BO139" i="5"/>
  <c r="BP139" i="5"/>
  <c r="BQ139" i="5"/>
  <c r="BR139" i="5"/>
  <c r="BS139" i="5"/>
  <c r="BT139" i="5"/>
  <c r="BU139" i="5"/>
  <c r="BV139" i="5"/>
  <c r="BW139" i="5"/>
  <c r="BX139" i="5"/>
  <c r="BY139" i="5"/>
  <c r="BZ139" i="5"/>
  <c r="CA139" i="5"/>
  <c r="CB139" i="5"/>
  <c r="CC139" i="5"/>
  <c r="CD139" i="5"/>
  <c r="CE139" i="5"/>
  <c r="CF139" i="5"/>
  <c r="CG139" i="5"/>
  <c r="CH139" i="5"/>
  <c r="CI139" i="5"/>
  <c r="CJ139" i="5"/>
  <c r="CK139" i="5"/>
  <c r="CL139" i="5"/>
  <c r="CM139" i="5"/>
  <c r="CN139" i="5"/>
  <c r="CO139" i="5"/>
  <c r="CP139" i="5"/>
  <c r="CQ139" i="5"/>
  <c r="CR139" i="5"/>
  <c r="CS139" i="5"/>
  <c r="CT139" i="5"/>
  <c r="CU139" i="5"/>
  <c r="CV139" i="5"/>
  <c r="CW139" i="5"/>
  <c r="CX139" i="5"/>
  <c r="CY139" i="5"/>
  <c r="CZ139" i="5"/>
  <c r="DA139" i="5"/>
  <c r="DB139" i="5"/>
  <c r="DC139" i="5"/>
  <c r="DD139" i="5"/>
  <c r="DE139" i="5"/>
  <c r="DF139" i="5"/>
  <c r="DG139" i="5"/>
  <c r="DH139" i="5"/>
  <c r="DI139" i="5"/>
  <c r="DJ139" i="5"/>
  <c r="DK139" i="5"/>
  <c r="DL139" i="5"/>
  <c r="DM139" i="5"/>
  <c r="DN139" i="5"/>
  <c r="DO139" i="5"/>
  <c r="DP139" i="5"/>
  <c r="DQ139" i="5"/>
  <c r="DR139" i="5"/>
  <c r="DS139" i="5"/>
  <c r="DT139" i="5"/>
  <c r="DU139" i="5"/>
  <c r="DV139" i="5"/>
  <c r="DW139" i="5"/>
  <c r="DX139" i="5"/>
  <c r="DY139" i="5"/>
  <c r="DZ139" i="5"/>
  <c r="EA139" i="5"/>
  <c r="EB139" i="5"/>
  <c r="EC139" i="5"/>
  <c r="ED139" i="5"/>
  <c r="EE139" i="5"/>
  <c r="EF139" i="5"/>
  <c r="EG139" i="5"/>
  <c r="EH139" i="5"/>
  <c r="EI139" i="5"/>
  <c r="EJ139" i="5"/>
  <c r="EK139" i="5"/>
  <c r="EL139" i="5"/>
  <c r="EM139" i="5"/>
  <c r="EN139" i="5"/>
  <c r="EO139" i="5"/>
  <c r="EP139" i="5"/>
  <c r="EQ139" i="5"/>
  <c r="ER139" i="5"/>
  <c r="ES139" i="5"/>
  <c r="ET139" i="5"/>
  <c r="EU139" i="5"/>
  <c r="EV139" i="5"/>
  <c r="EW139" i="5"/>
  <c r="EX139" i="5"/>
  <c r="EY139" i="5"/>
  <c r="EZ139" i="5"/>
  <c r="FA139" i="5"/>
  <c r="FB139" i="5"/>
  <c r="FC139" i="5"/>
  <c r="FD139" i="5"/>
  <c r="FE139" i="5"/>
  <c r="FF139" i="5"/>
  <c r="FG139" i="5"/>
  <c r="FH139" i="5"/>
  <c r="FI139" i="5"/>
  <c r="FJ139" i="5"/>
  <c r="FK139" i="5"/>
  <c r="FL139" i="5"/>
  <c r="FM139" i="5"/>
  <c r="FN139" i="5"/>
  <c r="FO139" i="5"/>
  <c r="FP139" i="5"/>
  <c r="FQ139" i="5"/>
  <c r="FR139" i="5"/>
  <c r="FS139" i="5"/>
  <c r="FT139" i="5"/>
  <c r="FU139" i="5"/>
  <c r="FV139" i="5"/>
  <c r="FW139" i="5"/>
  <c r="FX139" i="5"/>
  <c r="FY139" i="5"/>
  <c r="FZ139" i="5"/>
  <c r="GA139" i="5"/>
  <c r="GB139" i="5"/>
  <c r="GC139" i="5"/>
  <c r="GD139" i="5"/>
  <c r="GE139" i="5"/>
  <c r="GF139" i="5"/>
  <c r="GG139" i="5"/>
  <c r="GH139" i="5"/>
  <c r="GI139" i="5"/>
  <c r="GJ139" i="5"/>
  <c r="GK139" i="5"/>
  <c r="GL139" i="5"/>
  <c r="GM139" i="5"/>
  <c r="GN139" i="5"/>
  <c r="GO139" i="5"/>
  <c r="GP139" i="5"/>
  <c r="GQ139" i="5"/>
  <c r="GR139" i="5"/>
  <c r="GS139" i="5"/>
  <c r="GT139" i="5"/>
  <c r="GU139" i="5"/>
  <c r="GV139" i="5"/>
  <c r="GW139" i="5"/>
  <c r="GX139" i="5"/>
  <c r="GY139" i="5"/>
  <c r="GZ139" i="5"/>
  <c r="HA139" i="5"/>
  <c r="HB139" i="5"/>
  <c r="HC139" i="5"/>
  <c r="HD139" i="5"/>
  <c r="HE139" i="5"/>
  <c r="HF139" i="5"/>
  <c r="HG139" i="5"/>
  <c r="A140" i="5"/>
  <c r="B140" i="5"/>
  <c r="C140" i="5"/>
  <c r="D140" i="5"/>
  <c r="E140" i="5"/>
  <c r="F140" i="5"/>
  <c r="G140" i="5"/>
  <c r="H140" i="5"/>
  <c r="I140" i="5"/>
  <c r="J140" i="5"/>
  <c r="K140" i="5"/>
  <c r="L140" i="5"/>
  <c r="M140" i="5"/>
  <c r="N140" i="5"/>
  <c r="O140" i="5"/>
  <c r="P140" i="5"/>
  <c r="Q140" i="5"/>
  <c r="R140" i="5"/>
  <c r="S140" i="5"/>
  <c r="T140" i="5"/>
  <c r="U140" i="5"/>
  <c r="V140" i="5"/>
  <c r="W140" i="5"/>
  <c r="X140" i="5"/>
  <c r="Y140" i="5"/>
  <c r="Z140" i="5"/>
  <c r="AA140" i="5"/>
  <c r="AB140" i="5"/>
  <c r="AC140" i="5"/>
  <c r="AD140" i="5"/>
  <c r="AE140" i="5"/>
  <c r="AF140" i="5"/>
  <c r="AG140" i="5"/>
  <c r="AH140" i="5"/>
  <c r="AI140" i="5"/>
  <c r="AJ140" i="5"/>
  <c r="AK140" i="5"/>
  <c r="AL140" i="5"/>
  <c r="AM140" i="5"/>
  <c r="AN140" i="5"/>
  <c r="AO140" i="5"/>
  <c r="AP140" i="5"/>
  <c r="AQ140" i="5"/>
  <c r="AR140" i="5"/>
  <c r="AS140" i="5"/>
  <c r="AT140" i="5"/>
  <c r="AU140" i="5"/>
  <c r="AV140" i="5"/>
  <c r="AW140" i="5"/>
  <c r="AX140" i="5"/>
  <c r="AY140" i="5"/>
  <c r="AZ140" i="5"/>
  <c r="BA140" i="5"/>
  <c r="BB140" i="5"/>
  <c r="BC140" i="5"/>
  <c r="BD140" i="5"/>
  <c r="BE140" i="5"/>
  <c r="BF140" i="5"/>
  <c r="BG140" i="5"/>
  <c r="BH140" i="5"/>
  <c r="BI140" i="5"/>
  <c r="BJ140" i="5"/>
  <c r="BK140" i="5"/>
  <c r="BL140" i="5"/>
  <c r="BM140" i="5"/>
  <c r="BN140" i="5"/>
  <c r="BO140" i="5"/>
  <c r="BP140" i="5"/>
  <c r="BQ140" i="5"/>
  <c r="BR140" i="5"/>
  <c r="BS140" i="5"/>
  <c r="BT140" i="5"/>
  <c r="BU140" i="5"/>
  <c r="BV140" i="5"/>
  <c r="BW140" i="5"/>
  <c r="BX140" i="5"/>
  <c r="BY140" i="5"/>
  <c r="BZ140" i="5"/>
  <c r="CA140" i="5"/>
  <c r="CB140" i="5"/>
  <c r="CC140" i="5"/>
  <c r="CD140" i="5"/>
  <c r="CE140" i="5"/>
  <c r="CF140" i="5"/>
  <c r="CG140" i="5"/>
  <c r="CH140" i="5"/>
  <c r="CI140" i="5"/>
  <c r="CJ140" i="5"/>
  <c r="CK140" i="5"/>
  <c r="CL140" i="5"/>
  <c r="CM140" i="5"/>
  <c r="CN140" i="5"/>
  <c r="CO140" i="5"/>
  <c r="CP140" i="5"/>
  <c r="CQ140" i="5"/>
  <c r="CR140" i="5"/>
  <c r="CS140" i="5"/>
  <c r="CT140" i="5"/>
  <c r="CU140" i="5"/>
  <c r="CV140" i="5"/>
  <c r="CW140" i="5"/>
  <c r="CX140" i="5"/>
  <c r="CY140" i="5"/>
  <c r="CZ140" i="5"/>
  <c r="DA140" i="5"/>
  <c r="DB140" i="5"/>
  <c r="DC140" i="5"/>
  <c r="DD140" i="5"/>
  <c r="DE140" i="5"/>
  <c r="DF140" i="5"/>
  <c r="DG140" i="5"/>
  <c r="DH140" i="5"/>
  <c r="DI140" i="5"/>
  <c r="DJ140" i="5"/>
  <c r="DK140" i="5"/>
  <c r="DL140" i="5"/>
  <c r="DM140" i="5"/>
  <c r="DN140" i="5"/>
  <c r="DO140" i="5"/>
  <c r="DP140" i="5"/>
  <c r="DQ140" i="5"/>
  <c r="DR140" i="5"/>
  <c r="DS140" i="5"/>
  <c r="DT140" i="5"/>
  <c r="DU140" i="5"/>
  <c r="DV140" i="5"/>
  <c r="DW140" i="5"/>
  <c r="DX140" i="5"/>
  <c r="DY140" i="5"/>
  <c r="DZ140" i="5"/>
  <c r="EA140" i="5"/>
  <c r="EB140" i="5"/>
  <c r="EC140" i="5"/>
  <c r="ED140" i="5"/>
  <c r="EE140" i="5"/>
  <c r="EF140" i="5"/>
  <c r="EG140" i="5"/>
  <c r="EH140" i="5"/>
  <c r="EI140" i="5"/>
  <c r="EJ140" i="5"/>
  <c r="EK140" i="5"/>
  <c r="EL140" i="5"/>
  <c r="EM140" i="5"/>
  <c r="EN140" i="5"/>
  <c r="EO140" i="5"/>
  <c r="EP140" i="5"/>
  <c r="EQ140" i="5"/>
  <c r="ER140" i="5"/>
  <c r="ES140" i="5"/>
  <c r="ET140" i="5"/>
  <c r="EU140" i="5"/>
  <c r="EV140" i="5"/>
  <c r="EW140" i="5"/>
  <c r="EX140" i="5"/>
  <c r="EY140" i="5"/>
  <c r="EZ140" i="5"/>
  <c r="FA140" i="5"/>
  <c r="FB140" i="5"/>
  <c r="FC140" i="5"/>
  <c r="FD140" i="5"/>
  <c r="FE140" i="5"/>
  <c r="FF140" i="5"/>
  <c r="FG140" i="5"/>
  <c r="FH140" i="5"/>
  <c r="FI140" i="5"/>
  <c r="FJ140" i="5"/>
  <c r="FK140" i="5"/>
  <c r="FL140" i="5"/>
  <c r="FM140" i="5"/>
  <c r="FN140" i="5"/>
  <c r="FO140" i="5"/>
  <c r="FP140" i="5"/>
  <c r="FQ140" i="5"/>
  <c r="FR140" i="5"/>
  <c r="FS140" i="5"/>
  <c r="FT140" i="5"/>
  <c r="FU140" i="5"/>
  <c r="FV140" i="5"/>
  <c r="FW140" i="5"/>
  <c r="FX140" i="5"/>
  <c r="FY140" i="5"/>
  <c r="FZ140" i="5"/>
  <c r="GA140" i="5"/>
  <c r="GB140" i="5"/>
  <c r="GC140" i="5"/>
  <c r="GD140" i="5"/>
  <c r="GE140" i="5"/>
  <c r="GF140" i="5"/>
  <c r="GG140" i="5"/>
  <c r="GH140" i="5"/>
  <c r="GI140" i="5"/>
  <c r="GJ140" i="5"/>
  <c r="GK140" i="5"/>
  <c r="GL140" i="5"/>
  <c r="GM140" i="5"/>
  <c r="GN140" i="5"/>
  <c r="GO140" i="5"/>
  <c r="GP140" i="5"/>
  <c r="GQ140" i="5"/>
  <c r="GR140" i="5"/>
  <c r="GS140" i="5"/>
  <c r="GT140" i="5"/>
  <c r="GU140" i="5"/>
  <c r="GV140" i="5"/>
  <c r="GW140" i="5"/>
  <c r="GX140" i="5"/>
  <c r="GY140" i="5"/>
  <c r="GZ140" i="5"/>
  <c r="HA140" i="5"/>
  <c r="HB140" i="5"/>
  <c r="HC140" i="5"/>
  <c r="HD140" i="5"/>
  <c r="HE140" i="5"/>
  <c r="HF140" i="5"/>
  <c r="HG140" i="5"/>
  <c r="A141" i="5"/>
  <c r="B141" i="5"/>
  <c r="C141" i="5"/>
  <c r="D141" i="5"/>
  <c r="E141" i="5"/>
  <c r="F141" i="5"/>
  <c r="G141" i="5"/>
  <c r="H141" i="5"/>
  <c r="I141" i="5"/>
  <c r="J141" i="5"/>
  <c r="K141" i="5"/>
  <c r="L141" i="5"/>
  <c r="M141" i="5"/>
  <c r="N141" i="5"/>
  <c r="O141" i="5"/>
  <c r="P141" i="5"/>
  <c r="Q141" i="5"/>
  <c r="R141" i="5"/>
  <c r="S141" i="5"/>
  <c r="T141" i="5"/>
  <c r="U141" i="5"/>
  <c r="V141" i="5"/>
  <c r="W141" i="5"/>
  <c r="X141" i="5"/>
  <c r="Y141" i="5"/>
  <c r="Z141" i="5"/>
  <c r="AA141" i="5"/>
  <c r="AB141" i="5"/>
  <c r="AC141" i="5"/>
  <c r="AD141" i="5"/>
  <c r="AE141" i="5"/>
  <c r="AF141" i="5"/>
  <c r="AG141" i="5"/>
  <c r="AH141" i="5"/>
  <c r="AI141" i="5"/>
  <c r="AJ141" i="5"/>
  <c r="AK141" i="5"/>
  <c r="AL141" i="5"/>
  <c r="AM141" i="5"/>
  <c r="AN141" i="5"/>
  <c r="AO141" i="5"/>
  <c r="AP141" i="5"/>
  <c r="AQ141" i="5"/>
  <c r="AR141" i="5"/>
  <c r="AS141" i="5"/>
  <c r="AT141" i="5"/>
  <c r="AU141" i="5"/>
  <c r="AV141" i="5"/>
  <c r="AW141" i="5"/>
  <c r="AX141" i="5"/>
  <c r="AY141" i="5"/>
  <c r="AZ141" i="5"/>
  <c r="BA141" i="5"/>
  <c r="BB141" i="5"/>
  <c r="BC141" i="5"/>
  <c r="BD141" i="5"/>
  <c r="BE141" i="5"/>
  <c r="BF141" i="5"/>
  <c r="BG141" i="5"/>
  <c r="BH141" i="5"/>
  <c r="BI141" i="5"/>
  <c r="BJ141" i="5"/>
  <c r="BK141" i="5"/>
  <c r="BL141" i="5"/>
  <c r="BM141" i="5"/>
  <c r="BN141" i="5"/>
  <c r="BO141" i="5"/>
  <c r="BP141" i="5"/>
  <c r="BQ141" i="5"/>
  <c r="BR141" i="5"/>
  <c r="BS141" i="5"/>
  <c r="BT141" i="5"/>
  <c r="BU141" i="5"/>
  <c r="BV141" i="5"/>
  <c r="BW141" i="5"/>
  <c r="BX141" i="5"/>
  <c r="BY141" i="5"/>
  <c r="BZ141" i="5"/>
  <c r="CA141" i="5"/>
  <c r="CB141" i="5"/>
  <c r="CC141" i="5"/>
  <c r="CD141" i="5"/>
  <c r="CE141" i="5"/>
  <c r="CF141" i="5"/>
  <c r="CG141" i="5"/>
  <c r="CH141" i="5"/>
  <c r="CI141" i="5"/>
  <c r="CJ141" i="5"/>
  <c r="CK141" i="5"/>
  <c r="CL141" i="5"/>
  <c r="CM141" i="5"/>
  <c r="CN141" i="5"/>
  <c r="CO141" i="5"/>
  <c r="CP141" i="5"/>
  <c r="CQ141" i="5"/>
  <c r="CR141" i="5"/>
  <c r="CS141" i="5"/>
  <c r="CT141" i="5"/>
  <c r="CU141" i="5"/>
  <c r="CV141" i="5"/>
  <c r="CW141" i="5"/>
  <c r="CX141" i="5"/>
  <c r="CY141" i="5"/>
  <c r="CZ141" i="5"/>
  <c r="DA141" i="5"/>
  <c r="DB141" i="5"/>
  <c r="DC141" i="5"/>
  <c r="DD141" i="5"/>
  <c r="DE141" i="5"/>
  <c r="DF141" i="5"/>
  <c r="DG141" i="5"/>
  <c r="DH141" i="5"/>
  <c r="DI141" i="5"/>
  <c r="DJ141" i="5"/>
  <c r="DK141" i="5"/>
  <c r="DL141" i="5"/>
  <c r="DM141" i="5"/>
  <c r="DN141" i="5"/>
  <c r="DO141" i="5"/>
  <c r="DP141" i="5"/>
  <c r="DQ141" i="5"/>
  <c r="DR141" i="5"/>
  <c r="DS141" i="5"/>
  <c r="DT141" i="5"/>
  <c r="DU141" i="5"/>
  <c r="DV141" i="5"/>
  <c r="DW141" i="5"/>
  <c r="DX141" i="5"/>
  <c r="DY141" i="5"/>
  <c r="DZ141" i="5"/>
  <c r="EA141" i="5"/>
  <c r="EB141" i="5"/>
  <c r="EC141" i="5"/>
  <c r="ED141" i="5"/>
  <c r="EE141" i="5"/>
  <c r="EF141" i="5"/>
  <c r="EG141" i="5"/>
  <c r="EH141" i="5"/>
  <c r="EI141" i="5"/>
  <c r="EJ141" i="5"/>
  <c r="EK141" i="5"/>
  <c r="EL141" i="5"/>
  <c r="EM141" i="5"/>
  <c r="EN141" i="5"/>
  <c r="EO141" i="5"/>
  <c r="EP141" i="5"/>
  <c r="EQ141" i="5"/>
  <c r="ER141" i="5"/>
  <c r="ES141" i="5"/>
  <c r="ET141" i="5"/>
  <c r="EU141" i="5"/>
  <c r="EV141" i="5"/>
  <c r="EW141" i="5"/>
  <c r="EX141" i="5"/>
  <c r="EY141" i="5"/>
  <c r="EZ141" i="5"/>
  <c r="FA141" i="5"/>
  <c r="FB141" i="5"/>
  <c r="FC141" i="5"/>
  <c r="FD141" i="5"/>
  <c r="FE141" i="5"/>
  <c r="FF141" i="5"/>
  <c r="FG141" i="5"/>
  <c r="FH141" i="5"/>
  <c r="FI141" i="5"/>
  <c r="FJ141" i="5"/>
  <c r="FK141" i="5"/>
  <c r="FL141" i="5"/>
  <c r="FM141" i="5"/>
  <c r="FN141" i="5"/>
  <c r="FO141" i="5"/>
  <c r="FP141" i="5"/>
  <c r="FQ141" i="5"/>
  <c r="FR141" i="5"/>
  <c r="FS141" i="5"/>
  <c r="FT141" i="5"/>
  <c r="FU141" i="5"/>
  <c r="FV141" i="5"/>
  <c r="FW141" i="5"/>
  <c r="FX141" i="5"/>
  <c r="FY141" i="5"/>
  <c r="FZ141" i="5"/>
  <c r="GA141" i="5"/>
  <c r="GB141" i="5"/>
  <c r="GC141" i="5"/>
  <c r="GD141" i="5"/>
  <c r="GE141" i="5"/>
  <c r="GF141" i="5"/>
  <c r="GG141" i="5"/>
  <c r="GH141" i="5"/>
  <c r="GI141" i="5"/>
  <c r="GJ141" i="5"/>
  <c r="GK141" i="5"/>
  <c r="GL141" i="5"/>
  <c r="GM141" i="5"/>
  <c r="GN141" i="5"/>
  <c r="GO141" i="5"/>
  <c r="GP141" i="5"/>
  <c r="GQ141" i="5"/>
  <c r="GR141" i="5"/>
  <c r="GS141" i="5"/>
  <c r="GT141" i="5"/>
  <c r="GU141" i="5"/>
  <c r="GV141" i="5"/>
  <c r="GW141" i="5"/>
  <c r="GX141" i="5"/>
  <c r="GY141" i="5"/>
  <c r="GZ141" i="5"/>
  <c r="HA141" i="5"/>
  <c r="HB141" i="5"/>
  <c r="HC141" i="5"/>
  <c r="HD141" i="5"/>
  <c r="HE141" i="5"/>
  <c r="HF141" i="5"/>
  <c r="HG141" i="5"/>
  <c r="A142" i="5"/>
  <c r="B142" i="5"/>
  <c r="C142" i="5"/>
  <c r="D142" i="5"/>
  <c r="E142" i="5"/>
  <c r="F142" i="5"/>
  <c r="G142" i="5"/>
  <c r="H142" i="5"/>
  <c r="I142" i="5"/>
  <c r="J142" i="5"/>
  <c r="K142" i="5"/>
  <c r="L142" i="5"/>
  <c r="M142" i="5"/>
  <c r="N142" i="5"/>
  <c r="O142" i="5"/>
  <c r="P142" i="5"/>
  <c r="Q142" i="5"/>
  <c r="R142" i="5"/>
  <c r="S142" i="5"/>
  <c r="T142" i="5"/>
  <c r="U142" i="5"/>
  <c r="V142" i="5"/>
  <c r="W142" i="5"/>
  <c r="X142" i="5"/>
  <c r="Y142" i="5"/>
  <c r="Z142" i="5"/>
  <c r="AA142" i="5"/>
  <c r="AB142" i="5"/>
  <c r="AC142" i="5"/>
  <c r="AD142" i="5"/>
  <c r="AE142" i="5"/>
  <c r="AF142" i="5"/>
  <c r="AG142" i="5"/>
  <c r="AH142" i="5"/>
  <c r="AI142" i="5"/>
  <c r="AJ142" i="5"/>
  <c r="AK142" i="5"/>
  <c r="AL142" i="5"/>
  <c r="AM142" i="5"/>
  <c r="AN142" i="5"/>
  <c r="AO142" i="5"/>
  <c r="AP142" i="5"/>
  <c r="AQ142" i="5"/>
  <c r="AR142" i="5"/>
  <c r="AS142" i="5"/>
  <c r="AT142" i="5"/>
  <c r="AU142" i="5"/>
  <c r="AV142" i="5"/>
  <c r="AW142" i="5"/>
  <c r="AX142" i="5"/>
  <c r="AY142" i="5"/>
  <c r="AZ142" i="5"/>
  <c r="BA142" i="5"/>
  <c r="BB142" i="5"/>
  <c r="BC142" i="5"/>
  <c r="BD142" i="5"/>
  <c r="BE142" i="5"/>
  <c r="BF142" i="5"/>
  <c r="BG142" i="5"/>
  <c r="BH142" i="5"/>
  <c r="BI142" i="5"/>
  <c r="BJ142" i="5"/>
  <c r="BK142" i="5"/>
  <c r="BL142" i="5"/>
  <c r="BM142" i="5"/>
  <c r="BN142" i="5"/>
  <c r="BO142" i="5"/>
  <c r="BP142" i="5"/>
  <c r="BQ142" i="5"/>
  <c r="BR142" i="5"/>
  <c r="BS142" i="5"/>
  <c r="BT142" i="5"/>
  <c r="BU142" i="5"/>
  <c r="BV142" i="5"/>
  <c r="BW142" i="5"/>
  <c r="BX142" i="5"/>
  <c r="BY142" i="5"/>
  <c r="BZ142" i="5"/>
  <c r="CA142" i="5"/>
  <c r="CB142" i="5"/>
  <c r="CC142" i="5"/>
  <c r="CD142" i="5"/>
  <c r="CE142" i="5"/>
  <c r="CF142" i="5"/>
  <c r="CG142" i="5"/>
  <c r="CH142" i="5"/>
  <c r="CI142" i="5"/>
  <c r="CJ142" i="5"/>
  <c r="CK142" i="5"/>
  <c r="CL142" i="5"/>
  <c r="CM142" i="5"/>
  <c r="CN142" i="5"/>
  <c r="CO142" i="5"/>
  <c r="CP142" i="5"/>
  <c r="CQ142" i="5"/>
  <c r="CR142" i="5"/>
  <c r="CS142" i="5"/>
  <c r="CT142" i="5"/>
  <c r="CU142" i="5"/>
  <c r="CV142" i="5"/>
  <c r="CW142" i="5"/>
  <c r="CX142" i="5"/>
  <c r="CY142" i="5"/>
  <c r="CZ142" i="5"/>
  <c r="DA142" i="5"/>
  <c r="DB142" i="5"/>
  <c r="DC142" i="5"/>
  <c r="DD142" i="5"/>
  <c r="DE142" i="5"/>
  <c r="DF142" i="5"/>
  <c r="DG142" i="5"/>
  <c r="DH142" i="5"/>
  <c r="DI142" i="5"/>
  <c r="DJ142" i="5"/>
  <c r="DK142" i="5"/>
  <c r="DL142" i="5"/>
  <c r="DM142" i="5"/>
  <c r="DN142" i="5"/>
  <c r="DO142" i="5"/>
  <c r="DP142" i="5"/>
  <c r="DQ142" i="5"/>
  <c r="DR142" i="5"/>
  <c r="DS142" i="5"/>
  <c r="DT142" i="5"/>
  <c r="DU142" i="5"/>
  <c r="DV142" i="5"/>
  <c r="DW142" i="5"/>
  <c r="DX142" i="5"/>
  <c r="DY142" i="5"/>
  <c r="DZ142" i="5"/>
  <c r="EA142" i="5"/>
  <c r="EB142" i="5"/>
  <c r="EC142" i="5"/>
  <c r="ED142" i="5"/>
  <c r="EE142" i="5"/>
  <c r="EF142" i="5"/>
  <c r="EG142" i="5"/>
  <c r="EH142" i="5"/>
  <c r="EI142" i="5"/>
  <c r="EJ142" i="5"/>
  <c r="EK142" i="5"/>
  <c r="EL142" i="5"/>
  <c r="EM142" i="5"/>
  <c r="EN142" i="5"/>
  <c r="EO142" i="5"/>
  <c r="EP142" i="5"/>
  <c r="EQ142" i="5"/>
  <c r="ER142" i="5"/>
  <c r="ES142" i="5"/>
  <c r="ET142" i="5"/>
  <c r="EU142" i="5"/>
  <c r="EV142" i="5"/>
  <c r="EW142" i="5"/>
  <c r="EX142" i="5"/>
  <c r="EY142" i="5"/>
  <c r="EZ142" i="5"/>
  <c r="FA142" i="5"/>
  <c r="FB142" i="5"/>
  <c r="FC142" i="5"/>
  <c r="FD142" i="5"/>
  <c r="FE142" i="5"/>
  <c r="FF142" i="5"/>
  <c r="FG142" i="5"/>
  <c r="FH142" i="5"/>
  <c r="FI142" i="5"/>
  <c r="FJ142" i="5"/>
  <c r="FK142" i="5"/>
  <c r="FL142" i="5"/>
  <c r="FM142" i="5"/>
  <c r="FN142" i="5"/>
  <c r="FO142" i="5"/>
  <c r="FP142" i="5"/>
  <c r="FQ142" i="5"/>
  <c r="FR142" i="5"/>
  <c r="FS142" i="5"/>
  <c r="FT142" i="5"/>
  <c r="FU142" i="5"/>
  <c r="FV142" i="5"/>
  <c r="FW142" i="5"/>
  <c r="FX142" i="5"/>
  <c r="FY142" i="5"/>
  <c r="FZ142" i="5"/>
  <c r="GA142" i="5"/>
  <c r="GB142" i="5"/>
  <c r="GC142" i="5"/>
  <c r="GD142" i="5"/>
  <c r="GE142" i="5"/>
  <c r="GF142" i="5"/>
  <c r="GG142" i="5"/>
  <c r="GH142" i="5"/>
  <c r="GI142" i="5"/>
  <c r="GJ142" i="5"/>
  <c r="GK142" i="5"/>
  <c r="GL142" i="5"/>
  <c r="GM142" i="5"/>
  <c r="GN142" i="5"/>
  <c r="GO142" i="5"/>
  <c r="GP142" i="5"/>
  <c r="GQ142" i="5"/>
  <c r="GR142" i="5"/>
  <c r="GS142" i="5"/>
  <c r="GT142" i="5"/>
  <c r="GU142" i="5"/>
  <c r="GV142" i="5"/>
  <c r="GW142" i="5"/>
  <c r="GX142" i="5"/>
  <c r="GY142" i="5"/>
  <c r="GZ142" i="5"/>
  <c r="HA142" i="5"/>
  <c r="HB142" i="5"/>
  <c r="HC142" i="5"/>
  <c r="HD142" i="5"/>
  <c r="HE142" i="5"/>
  <c r="HF142" i="5"/>
  <c r="HG142" i="5"/>
  <c r="A143" i="5"/>
  <c r="B143" i="5"/>
  <c r="C143" i="5"/>
  <c r="D143" i="5"/>
  <c r="E143" i="5"/>
  <c r="F143" i="5"/>
  <c r="G143" i="5"/>
  <c r="H143" i="5"/>
  <c r="I143" i="5"/>
  <c r="J143" i="5"/>
  <c r="K143" i="5"/>
  <c r="L143" i="5"/>
  <c r="M143" i="5"/>
  <c r="N143" i="5"/>
  <c r="O143" i="5"/>
  <c r="P143" i="5"/>
  <c r="Q143" i="5"/>
  <c r="R143" i="5"/>
  <c r="S143" i="5"/>
  <c r="T143" i="5"/>
  <c r="U143" i="5"/>
  <c r="V143" i="5"/>
  <c r="W143" i="5"/>
  <c r="X143" i="5"/>
  <c r="Y143" i="5"/>
  <c r="Z143" i="5"/>
  <c r="AA143" i="5"/>
  <c r="AB143" i="5"/>
  <c r="AC143" i="5"/>
  <c r="AD143" i="5"/>
  <c r="AE143" i="5"/>
  <c r="AF143" i="5"/>
  <c r="AG143" i="5"/>
  <c r="AH143" i="5"/>
  <c r="AI143" i="5"/>
  <c r="AJ143" i="5"/>
  <c r="AK143" i="5"/>
  <c r="AL143" i="5"/>
  <c r="AM143" i="5"/>
  <c r="AN143" i="5"/>
  <c r="AO143" i="5"/>
  <c r="AP143" i="5"/>
  <c r="AQ143" i="5"/>
  <c r="AR143" i="5"/>
  <c r="AS143" i="5"/>
  <c r="AT143" i="5"/>
  <c r="AU143" i="5"/>
  <c r="AV143" i="5"/>
  <c r="AW143" i="5"/>
  <c r="AX143" i="5"/>
  <c r="AY143" i="5"/>
  <c r="AZ143" i="5"/>
  <c r="BA143" i="5"/>
  <c r="BB143" i="5"/>
  <c r="BC143" i="5"/>
  <c r="BD143" i="5"/>
  <c r="BE143" i="5"/>
  <c r="BF143" i="5"/>
  <c r="BG143" i="5"/>
  <c r="BH143" i="5"/>
  <c r="BI143" i="5"/>
  <c r="BJ143" i="5"/>
  <c r="BK143" i="5"/>
  <c r="BL143" i="5"/>
  <c r="BM143" i="5"/>
  <c r="BN143" i="5"/>
  <c r="BO143" i="5"/>
  <c r="BP143" i="5"/>
  <c r="BQ143" i="5"/>
  <c r="BR143" i="5"/>
  <c r="BS143" i="5"/>
  <c r="BT143" i="5"/>
  <c r="BU143" i="5"/>
  <c r="BV143" i="5"/>
  <c r="BW143" i="5"/>
  <c r="BX143" i="5"/>
  <c r="BY143" i="5"/>
  <c r="BZ143" i="5"/>
  <c r="CA143" i="5"/>
  <c r="CB143" i="5"/>
  <c r="CC143" i="5"/>
  <c r="CD143" i="5"/>
  <c r="CE143" i="5"/>
  <c r="CF143" i="5"/>
  <c r="CG143" i="5"/>
  <c r="CH143" i="5"/>
  <c r="CI143" i="5"/>
  <c r="CJ143" i="5"/>
  <c r="CK143" i="5"/>
  <c r="CL143" i="5"/>
  <c r="CM143" i="5"/>
  <c r="CN143" i="5"/>
  <c r="CO143" i="5"/>
  <c r="CP143" i="5"/>
  <c r="CQ143" i="5"/>
  <c r="CR143" i="5"/>
  <c r="CS143" i="5"/>
  <c r="CT143" i="5"/>
  <c r="CU143" i="5"/>
  <c r="CV143" i="5"/>
  <c r="CW143" i="5"/>
  <c r="CX143" i="5"/>
  <c r="CY143" i="5"/>
  <c r="CZ143" i="5"/>
  <c r="DA143" i="5"/>
  <c r="DB143" i="5"/>
  <c r="DC143" i="5"/>
  <c r="DD143" i="5"/>
  <c r="DE143" i="5"/>
  <c r="DF143" i="5"/>
  <c r="DG143" i="5"/>
  <c r="DH143" i="5"/>
  <c r="DI143" i="5"/>
  <c r="DJ143" i="5"/>
  <c r="DK143" i="5"/>
  <c r="DL143" i="5"/>
  <c r="DM143" i="5"/>
  <c r="DN143" i="5"/>
  <c r="DO143" i="5"/>
  <c r="DP143" i="5"/>
  <c r="DQ143" i="5"/>
  <c r="DR143" i="5"/>
  <c r="DS143" i="5"/>
  <c r="DT143" i="5"/>
  <c r="DU143" i="5"/>
  <c r="DV143" i="5"/>
  <c r="DW143" i="5"/>
  <c r="DX143" i="5"/>
  <c r="DY143" i="5"/>
  <c r="DZ143" i="5"/>
  <c r="EA143" i="5"/>
  <c r="EB143" i="5"/>
  <c r="EC143" i="5"/>
  <c r="ED143" i="5"/>
  <c r="EE143" i="5"/>
  <c r="EF143" i="5"/>
  <c r="EG143" i="5"/>
  <c r="EH143" i="5"/>
  <c r="EI143" i="5"/>
  <c r="EJ143" i="5"/>
  <c r="EK143" i="5"/>
  <c r="EL143" i="5"/>
  <c r="EM143" i="5"/>
  <c r="EN143" i="5"/>
  <c r="EO143" i="5"/>
  <c r="EP143" i="5"/>
  <c r="EQ143" i="5"/>
  <c r="ER143" i="5"/>
  <c r="ES143" i="5"/>
  <c r="ET143" i="5"/>
  <c r="EU143" i="5"/>
  <c r="EV143" i="5"/>
  <c r="EW143" i="5"/>
  <c r="EX143" i="5"/>
  <c r="EY143" i="5"/>
  <c r="EZ143" i="5"/>
  <c r="FA143" i="5"/>
  <c r="FB143" i="5"/>
  <c r="FC143" i="5"/>
  <c r="FD143" i="5"/>
  <c r="FE143" i="5"/>
  <c r="FF143" i="5"/>
  <c r="FG143" i="5"/>
  <c r="FH143" i="5"/>
  <c r="FI143" i="5"/>
  <c r="FJ143" i="5"/>
  <c r="FK143" i="5"/>
  <c r="FL143" i="5"/>
  <c r="FM143" i="5"/>
  <c r="FN143" i="5"/>
  <c r="FO143" i="5"/>
  <c r="FP143" i="5"/>
  <c r="FQ143" i="5"/>
  <c r="FR143" i="5"/>
  <c r="FS143" i="5"/>
  <c r="FT143" i="5"/>
  <c r="FU143" i="5"/>
  <c r="FV143" i="5"/>
  <c r="FW143" i="5"/>
  <c r="FX143" i="5"/>
  <c r="FY143" i="5"/>
  <c r="FZ143" i="5"/>
  <c r="GA143" i="5"/>
  <c r="GB143" i="5"/>
  <c r="GC143" i="5"/>
  <c r="GD143" i="5"/>
  <c r="GE143" i="5"/>
  <c r="GF143" i="5"/>
  <c r="GG143" i="5"/>
  <c r="GH143" i="5"/>
  <c r="GI143" i="5"/>
  <c r="GJ143" i="5"/>
  <c r="GK143" i="5"/>
  <c r="GL143" i="5"/>
  <c r="GM143" i="5"/>
  <c r="GN143" i="5"/>
  <c r="GO143" i="5"/>
  <c r="GP143" i="5"/>
  <c r="GQ143" i="5"/>
  <c r="GR143" i="5"/>
  <c r="GS143" i="5"/>
  <c r="GT143" i="5"/>
  <c r="GU143" i="5"/>
  <c r="GV143" i="5"/>
  <c r="GW143" i="5"/>
  <c r="GX143" i="5"/>
  <c r="GY143" i="5"/>
  <c r="GZ143" i="5"/>
  <c r="HA143" i="5"/>
  <c r="HB143" i="5"/>
  <c r="HC143" i="5"/>
  <c r="HD143" i="5"/>
  <c r="HE143" i="5"/>
  <c r="HF143" i="5"/>
  <c r="HG143" i="5"/>
  <c r="A144" i="5"/>
  <c r="B144" i="5"/>
  <c r="C144" i="5"/>
  <c r="D144" i="5"/>
  <c r="E144" i="5"/>
  <c r="F144" i="5"/>
  <c r="G144" i="5"/>
  <c r="H144" i="5"/>
  <c r="I144" i="5"/>
  <c r="J144" i="5"/>
  <c r="K144" i="5"/>
  <c r="L144" i="5"/>
  <c r="M144" i="5"/>
  <c r="N144" i="5"/>
  <c r="O144" i="5"/>
  <c r="P144" i="5"/>
  <c r="Q144" i="5"/>
  <c r="R144" i="5"/>
  <c r="S144" i="5"/>
  <c r="T144" i="5"/>
  <c r="U144" i="5"/>
  <c r="V144" i="5"/>
  <c r="W144" i="5"/>
  <c r="X144" i="5"/>
  <c r="Y144" i="5"/>
  <c r="Z144" i="5"/>
  <c r="AA144" i="5"/>
  <c r="AB144" i="5"/>
  <c r="AC144" i="5"/>
  <c r="AD144" i="5"/>
  <c r="AE144" i="5"/>
  <c r="AF144" i="5"/>
  <c r="AG144" i="5"/>
  <c r="AH144" i="5"/>
  <c r="AI144" i="5"/>
  <c r="AJ144" i="5"/>
  <c r="AK144" i="5"/>
  <c r="AL144" i="5"/>
  <c r="AM144" i="5"/>
  <c r="AN144" i="5"/>
  <c r="AO144" i="5"/>
  <c r="AP144" i="5"/>
  <c r="AQ144" i="5"/>
  <c r="AR144" i="5"/>
  <c r="AS144" i="5"/>
  <c r="AT144" i="5"/>
  <c r="AU144" i="5"/>
  <c r="AV144" i="5"/>
  <c r="AW144" i="5"/>
  <c r="AX144" i="5"/>
  <c r="AY144" i="5"/>
  <c r="AZ144" i="5"/>
  <c r="BA144" i="5"/>
  <c r="BB144" i="5"/>
  <c r="BC144" i="5"/>
  <c r="BD144" i="5"/>
  <c r="BE144" i="5"/>
  <c r="BF144" i="5"/>
  <c r="BG144" i="5"/>
  <c r="BH144" i="5"/>
  <c r="BI144" i="5"/>
  <c r="BJ144" i="5"/>
  <c r="BK144" i="5"/>
  <c r="BL144" i="5"/>
  <c r="BM144" i="5"/>
  <c r="BN144" i="5"/>
  <c r="BO144" i="5"/>
  <c r="BP144" i="5"/>
  <c r="BQ144" i="5"/>
  <c r="BR144" i="5"/>
  <c r="BS144" i="5"/>
  <c r="BT144" i="5"/>
  <c r="BU144" i="5"/>
  <c r="BV144" i="5"/>
  <c r="BW144" i="5"/>
  <c r="BX144" i="5"/>
  <c r="BY144" i="5"/>
  <c r="BZ144" i="5"/>
  <c r="CA144" i="5"/>
  <c r="CB144" i="5"/>
  <c r="CC144" i="5"/>
  <c r="CD144" i="5"/>
  <c r="CE144" i="5"/>
  <c r="CF144" i="5"/>
  <c r="CG144" i="5"/>
  <c r="CH144" i="5"/>
  <c r="CI144" i="5"/>
  <c r="CJ144" i="5"/>
  <c r="CK144" i="5"/>
  <c r="CL144" i="5"/>
  <c r="CM144" i="5"/>
  <c r="CN144" i="5"/>
  <c r="CO144" i="5"/>
  <c r="CP144" i="5"/>
  <c r="CQ144" i="5"/>
  <c r="CR144" i="5"/>
  <c r="CS144" i="5"/>
  <c r="CT144" i="5"/>
  <c r="CU144" i="5"/>
  <c r="CV144" i="5"/>
  <c r="CW144" i="5"/>
  <c r="CX144" i="5"/>
  <c r="CY144" i="5"/>
  <c r="CZ144" i="5"/>
  <c r="DA144" i="5"/>
  <c r="DB144" i="5"/>
  <c r="DC144" i="5"/>
  <c r="DD144" i="5"/>
  <c r="DE144" i="5"/>
  <c r="DF144" i="5"/>
  <c r="DG144" i="5"/>
  <c r="DH144" i="5"/>
  <c r="DI144" i="5"/>
  <c r="DJ144" i="5"/>
  <c r="DK144" i="5"/>
  <c r="DL144" i="5"/>
  <c r="DM144" i="5"/>
  <c r="DN144" i="5"/>
  <c r="DO144" i="5"/>
  <c r="DP144" i="5"/>
  <c r="DQ144" i="5"/>
  <c r="DR144" i="5"/>
  <c r="DS144" i="5"/>
  <c r="DT144" i="5"/>
  <c r="DU144" i="5"/>
  <c r="DV144" i="5"/>
  <c r="DW144" i="5"/>
  <c r="DX144" i="5"/>
  <c r="DY144" i="5"/>
  <c r="DZ144" i="5"/>
  <c r="EA144" i="5"/>
  <c r="EB144" i="5"/>
  <c r="EC144" i="5"/>
  <c r="ED144" i="5"/>
  <c r="EE144" i="5"/>
  <c r="EF144" i="5"/>
  <c r="EG144" i="5"/>
  <c r="EH144" i="5"/>
  <c r="EI144" i="5"/>
  <c r="EJ144" i="5"/>
  <c r="EK144" i="5"/>
  <c r="EL144" i="5"/>
  <c r="EM144" i="5"/>
  <c r="EN144" i="5"/>
  <c r="EO144" i="5"/>
  <c r="EP144" i="5"/>
  <c r="EQ144" i="5"/>
  <c r="ER144" i="5"/>
  <c r="ES144" i="5"/>
  <c r="ET144" i="5"/>
  <c r="EU144" i="5"/>
  <c r="EV144" i="5"/>
  <c r="EW144" i="5"/>
  <c r="EX144" i="5"/>
  <c r="EY144" i="5"/>
  <c r="EZ144" i="5"/>
  <c r="FA144" i="5"/>
  <c r="FB144" i="5"/>
  <c r="FC144" i="5"/>
  <c r="FD144" i="5"/>
  <c r="FE144" i="5"/>
  <c r="FF144" i="5"/>
  <c r="FG144" i="5"/>
  <c r="FH144" i="5"/>
  <c r="FI144" i="5"/>
  <c r="FJ144" i="5"/>
  <c r="FK144" i="5"/>
  <c r="FL144" i="5"/>
  <c r="FM144" i="5"/>
  <c r="FN144" i="5"/>
  <c r="FO144" i="5"/>
  <c r="FP144" i="5"/>
  <c r="FQ144" i="5"/>
  <c r="FR144" i="5"/>
  <c r="FS144" i="5"/>
  <c r="FT144" i="5"/>
  <c r="FU144" i="5"/>
  <c r="FV144" i="5"/>
  <c r="FW144" i="5"/>
  <c r="FX144" i="5"/>
  <c r="FY144" i="5"/>
  <c r="FZ144" i="5"/>
  <c r="GA144" i="5"/>
  <c r="GB144" i="5"/>
  <c r="GC144" i="5"/>
  <c r="GD144" i="5"/>
  <c r="GE144" i="5"/>
  <c r="GF144" i="5"/>
  <c r="GG144" i="5"/>
  <c r="GH144" i="5"/>
  <c r="GI144" i="5"/>
  <c r="GJ144" i="5"/>
  <c r="GK144" i="5"/>
  <c r="GL144" i="5"/>
  <c r="GM144" i="5"/>
  <c r="GN144" i="5"/>
  <c r="GO144" i="5"/>
  <c r="GP144" i="5"/>
  <c r="GQ144" i="5"/>
  <c r="GR144" i="5"/>
  <c r="GS144" i="5"/>
  <c r="GT144" i="5"/>
  <c r="GU144" i="5"/>
  <c r="GV144" i="5"/>
  <c r="GW144" i="5"/>
  <c r="GX144" i="5"/>
  <c r="GY144" i="5"/>
  <c r="GZ144" i="5"/>
  <c r="HA144" i="5"/>
  <c r="HB144" i="5"/>
  <c r="HC144" i="5"/>
  <c r="HD144" i="5"/>
  <c r="HE144" i="5"/>
  <c r="HF144" i="5"/>
  <c r="HG144" i="5"/>
  <c r="A145" i="5"/>
  <c r="B145" i="5"/>
  <c r="C145" i="5"/>
  <c r="D145" i="5"/>
  <c r="E145" i="5"/>
  <c r="F145" i="5"/>
  <c r="G145" i="5"/>
  <c r="H145" i="5"/>
  <c r="I145" i="5"/>
  <c r="J145" i="5"/>
  <c r="K145" i="5"/>
  <c r="L145" i="5"/>
  <c r="M145" i="5"/>
  <c r="N145" i="5"/>
  <c r="O145" i="5"/>
  <c r="P145" i="5"/>
  <c r="Q145" i="5"/>
  <c r="R145" i="5"/>
  <c r="S145" i="5"/>
  <c r="T145" i="5"/>
  <c r="U145" i="5"/>
  <c r="V145" i="5"/>
  <c r="W145" i="5"/>
  <c r="X145" i="5"/>
  <c r="Y145" i="5"/>
  <c r="Z145" i="5"/>
  <c r="AA145" i="5"/>
  <c r="AB145" i="5"/>
  <c r="AC145" i="5"/>
  <c r="AD145" i="5"/>
  <c r="AE145" i="5"/>
  <c r="AF145" i="5"/>
  <c r="AG145" i="5"/>
  <c r="AH145" i="5"/>
  <c r="AI145" i="5"/>
  <c r="AJ145" i="5"/>
  <c r="AK145" i="5"/>
  <c r="AL145" i="5"/>
  <c r="AM145" i="5"/>
  <c r="AN145" i="5"/>
  <c r="AO145" i="5"/>
  <c r="AP145" i="5"/>
  <c r="AQ145" i="5"/>
  <c r="AR145" i="5"/>
  <c r="AS145" i="5"/>
  <c r="AT145" i="5"/>
  <c r="AU145" i="5"/>
  <c r="AV145" i="5"/>
  <c r="AW145" i="5"/>
  <c r="AX145" i="5"/>
  <c r="AY145" i="5"/>
  <c r="AZ145" i="5"/>
  <c r="BA145" i="5"/>
  <c r="BB145" i="5"/>
  <c r="BC145" i="5"/>
  <c r="BD145" i="5"/>
  <c r="BE145" i="5"/>
  <c r="BF145" i="5"/>
  <c r="BG145" i="5"/>
  <c r="BH145" i="5"/>
  <c r="BI145" i="5"/>
  <c r="BJ145" i="5"/>
  <c r="BK145" i="5"/>
  <c r="BL145" i="5"/>
  <c r="BM145" i="5"/>
  <c r="BN145" i="5"/>
  <c r="BO145" i="5"/>
  <c r="BP145" i="5"/>
  <c r="BQ145" i="5"/>
  <c r="BR145" i="5"/>
  <c r="BS145" i="5"/>
  <c r="BT145" i="5"/>
  <c r="BU145" i="5"/>
  <c r="BV145" i="5"/>
  <c r="BW145" i="5"/>
  <c r="BX145" i="5"/>
  <c r="BY145" i="5"/>
  <c r="BZ145" i="5"/>
  <c r="CA145" i="5"/>
  <c r="CB145" i="5"/>
  <c r="CC145" i="5"/>
  <c r="CD145" i="5"/>
  <c r="CE145" i="5"/>
  <c r="CF145" i="5"/>
  <c r="CG145" i="5"/>
  <c r="CH145" i="5"/>
  <c r="CI145" i="5"/>
  <c r="CJ145" i="5"/>
  <c r="CK145" i="5"/>
  <c r="CL145" i="5"/>
  <c r="CM145" i="5"/>
  <c r="CN145" i="5"/>
  <c r="CO145" i="5"/>
  <c r="CP145" i="5"/>
  <c r="CQ145" i="5"/>
  <c r="CR145" i="5"/>
  <c r="CS145" i="5"/>
  <c r="CT145" i="5"/>
  <c r="CU145" i="5"/>
  <c r="CV145" i="5"/>
  <c r="CW145" i="5"/>
  <c r="CX145" i="5"/>
  <c r="CY145" i="5"/>
  <c r="CZ145" i="5"/>
  <c r="DA145" i="5"/>
  <c r="DB145" i="5"/>
  <c r="DC145" i="5"/>
  <c r="DD145" i="5"/>
  <c r="DE145" i="5"/>
  <c r="DF145" i="5"/>
  <c r="DG145" i="5"/>
  <c r="DH145" i="5"/>
  <c r="DI145" i="5"/>
  <c r="DJ145" i="5"/>
  <c r="DK145" i="5"/>
  <c r="DL145" i="5"/>
  <c r="DM145" i="5"/>
  <c r="DN145" i="5"/>
  <c r="DO145" i="5"/>
  <c r="DP145" i="5"/>
  <c r="DQ145" i="5"/>
  <c r="DR145" i="5"/>
  <c r="DS145" i="5"/>
  <c r="DT145" i="5"/>
  <c r="DU145" i="5"/>
  <c r="DV145" i="5"/>
  <c r="DW145" i="5"/>
  <c r="DX145" i="5"/>
  <c r="DY145" i="5"/>
  <c r="DZ145" i="5"/>
  <c r="EA145" i="5"/>
  <c r="EB145" i="5"/>
  <c r="EC145" i="5"/>
  <c r="ED145" i="5"/>
  <c r="EE145" i="5"/>
  <c r="EF145" i="5"/>
  <c r="EG145" i="5"/>
  <c r="EH145" i="5"/>
  <c r="EI145" i="5"/>
  <c r="EJ145" i="5"/>
  <c r="EK145" i="5"/>
  <c r="EL145" i="5"/>
  <c r="EM145" i="5"/>
  <c r="EN145" i="5"/>
  <c r="EO145" i="5"/>
  <c r="EP145" i="5"/>
  <c r="EQ145" i="5"/>
  <c r="ER145" i="5"/>
  <c r="ES145" i="5"/>
  <c r="ET145" i="5"/>
  <c r="EU145" i="5"/>
  <c r="EV145" i="5"/>
  <c r="EW145" i="5"/>
  <c r="EX145" i="5"/>
  <c r="EY145" i="5"/>
  <c r="EZ145" i="5"/>
  <c r="FA145" i="5"/>
  <c r="FB145" i="5"/>
  <c r="FC145" i="5"/>
  <c r="FD145" i="5"/>
  <c r="FE145" i="5"/>
  <c r="FF145" i="5"/>
  <c r="FG145" i="5"/>
  <c r="FH145" i="5"/>
  <c r="FI145" i="5"/>
  <c r="FJ145" i="5"/>
  <c r="FK145" i="5"/>
  <c r="FL145" i="5"/>
  <c r="FM145" i="5"/>
  <c r="FN145" i="5"/>
  <c r="FO145" i="5"/>
  <c r="FP145" i="5"/>
  <c r="FQ145" i="5"/>
  <c r="FR145" i="5"/>
  <c r="FS145" i="5"/>
  <c r="FT145" i="5"/>
  <c r="FU145" i="5"/>
  <c r="FV145" i="5"/>
  <c r="FW145" i="5"/>
  <c r="FX145" i="5"/>
  <c r="FY145" i="5"/>
  <c r="FZ145" i="5"/>
  <c r="GA145" i="5"/>
  <c r="GB145" i="5"/>
  <c r="GC145" i="5"/>
  <c r="GD145" i="5"/>
  <c r="GE145" i="5"/>
  <c r="GF145" i="5"/>
  <c r="GG145" i="5"/>
  <c r="GH145" i="5"/>
  <c r="GI145" i="5"/>
  <c r="GJ145" i="5"/>
  <c r="GK145" i="5"/>
  <c r="GL145" i="5"/>
  <c r="GM145" i="5"/>
  <c r="GN145" i="5"/>
  <c r="GO145" i="5"/>
  <c r="GP145" i="5"/>
  <c r="GQ145" i="5"/>
  <c r="GR145" i="5"/>
  <c r="GS145" i="5"/>
  <c r="GT145" i="5"/>
  <c r="GU145" i="5"/>
  <c r="GV145" i="5"/>
  <c r="GW145" i="5"/>
  <c r="GX145" i="5"/>
  <c r="GY145" i="5"/>
  <c r="GZ145" i="5"/>
  <c r="HA145" i="5"/>
  <c r="HB145" i="5"/>
  <c r="HC145" i="5"/>
  <c r="HD145" i="5"/>
  <c r="HE145" i="5"/>
  <c r="HF145" i="5"/>
  <c r="HG145" i="5"/>
  <c r="A146" i="5"/>
  <c r="B146" i="5"/>
  <c r="C146" i="5"/>
  <c r="D146" i="5"/>
  <c r="E146" i="5"/>
  <c r="F146" i="5"/>
  <c r="G146" i="5"/>
  <c r="H146" i="5"/>
  <c r="I146" i="5"/>
  <c r="J146" i="5"/>
  <c r="K146" i="5"/>
  <c r="L146" i="5"/>
  <c r="M146" i="5"/>
  <c r="N146" i="5"/>
  <c r="O146" i="5"/>
  <c r="P146" i="5"/>
  <c r="Q146" i="5"/>
  <c r="R146" i="5"/>
  <c r="S146" i="5"/>
  <c r="T146" i="5"/>
  <c r="U146" i="5"/>
  <c r="V146" i="5"/>
  <c r="W146" i="5"/>
  <c r="X146" i="5"/>
  <c r="Y146" i="5"/>
  <c r="Z146" i="5"/>
  <c r="AA146" i="5"/>
  <c r="AB146" i="5"/>
  <c r="AC146" i="5"/>
  <c r="AD146" i="5"/>
  <c r="AE146" i="5"/>
  <c r="AF146" i="5"/>
  <c r="AG146" i="5"/>
  <c r="AH146" i="5"/>
  <c r="AI146" i="5"/>
  <c r="AJ146" i="5"/>
  <c r="AK146" i="5"/>
  <c r="AL146" i="5"/>
  <c r="AM146" i="5"/>
  <c r="AN146" i="5"/>
  <c r="AO146" i="5"/>
  <c r="AP146" i="5"/>
  <c r="AQ146" i="5"/>
  <c r="AR146" i="5"/>
  <c r="AS146" i="5"/>
  <c r="AT146" i="5"/>
  <c r="AU146" i="5"/>
  <c r="AV146" i="5"/>
  <c r="AW146" i="5"/>
  <c r="AX146" i="5"/>
  <c r="AY146" i="5"/>
  <c r="AZ146" i="5"/>
  <c r="BA146" i="5"/>
  <c r="BB146" i="5"/>
  <c r="BC146" i="5"/>
  <c r="BD146" i="5"/>
  <c r="BE146" i="5"/>
  <c r="BF146" i="5"/>
  <c r="BG146" i="5"/>
  <c r="BH146" i="5"/>
  <c r="BI146" i="5"/>
  <c r="BJ146" i="5"/>
  <c r="BK146" i="5"/>
  <c r="BL146" i="5"/>
  <c r="BM146" i="5"/>
  <c r="BN146" i="5"/>
  <c r="BO146" i="5"/>
  <c r="BP146" i="5"/>
  <c r="BQ146" i="5"/>
  <c r="BR146" i="5"/>
  <c r="BS146" i="5"/>
  <c r="BT146" i="5"/>
  <c r="BU146" i="5"/>
  <c r="BV146" i="5"/>
  <c r="BW146" i="5"/>
  <c r="BX146" i="5"/>
  <c r="BY146" i="5"/>
  <c r="BZ146" i="5"/>
  <c r="CA146" i="5"/>
  <c r="CB146" i="5"/>
  <c r="CC146" i="5"/>
  <c r="CD146" i="5"/>
  <c r="CE146" i="5"/>
  <c r="CF146" i="5"/>
  <c r="CG146" i="5"/>
  <c r="CH146" i="5"/>
  <c r="CI146" i="5"/>
  <c r="CJ146" i="5"/>
  <c r="CK146" i="5"/>
  <c r="CL146" i="5"/>
  <c r="CM146" i="5"/>
  <c r="CN146" i="5"/>
  <c r="CO146" i="5"/>
  <c r="CP146" i="5"/>
  <c r="CQ146" i="5"/>
  <c r="CR146" i="5"/>
  <c r="CS146" i="5"/>
  <c r="CT146" i="5"/>
  <c r="CU146" i="5"/>
  <c r="CV146" i="5"/>
  <c r="CW146" i="5"/>
  <c r="CX146" i="5"/>
  <c r="CY146" i="5"/>
  <c r="CZ146" i="5"/>
  <c r="DA146" i="5"/>
  <c r="DB146" i="5"/>
  <c r="DC146" i="5"/>
  <c r="DD146" i="5"/>
  <c r="DE146" i="5"/>
  <c r="DF146" i="5"/>
  <c r="DG146" i="5"/>
  <c r="DH146" i="5"/>
  <c r="DI146" i="5"/>
  <c r="DJ146" i="5"/>
  <c r="DK146" i="5"/>
  <c r="DL146" i="5"/>
  <c r="DM146" i="5"/>
  <c r="DN146" i="5"/>
  <c r="DO146" i="5"/>
  <c r="DP146" i="5"/>
  <c r="DQ146" i="5"/>
  <c r="DR146" i="5"/>
  <c r="DS146" i="5"/>
  <c r="DT146" i="5"/>
  <c r="DU146" i="5"/>
  <c r="DV146" i="5"/>
  <c r="DW146" i="5"/>
  <c r="DX146" i="5"/>
  <c r="DY146" i="5"/>
  <c r="DZ146" i="5"/>
  <c r="EA146" i="5"/>
  <c r="EB146" i="5"/>
  <c r="EC146" i="5"/>
  <c r="ED146" i="5"/>
  <c r="EE146" i="5"/>
  <c r="EF146" i="5"/>
  <c r="EG146" i="5"/>
  <c r="EH146" i="5"/>
  <c r="EI146" i="5"/>
  <c r="EJ146" i="5"/>
  <c r="EK146" i="5"/>
  <c r="EL146" i="5"/>
  <c r="EM146" i="5"/>
  <c r="EN146" i="5"/>
  <c r="EO146" i="5"/>
  <c r="EP146" i="5"/>
  <c r="EQ146" i="5"/>
  <c r="ER146" i="5"/>
  <c r="ES146" i="5"/>
  <c r="ET146" i="5"/>
  <c r="EU146" i="5"/>
  <c r="EV146" i="5"/>
  <c r="EW146" i="5"/>
  <c r="EX146" i="5"/>
  <c r="EY146" i="5"/>
  <c r="EZ146" i="5"/>
  <c r="FA146" i="5"/>
  <c r="FB146" i="5"/>
  <c r="FC146" i="5"/>
  <c r="FD146" i="5"/>
  <c r="FE146" i="5"/>
  <c r="FF146" i="5"/>
  <c r="FG146" i="5"/>
  <c r="FH146" i="5"/>
  <c r="FI146" i="5"/>
  <c r="FJ146" i="5"/>
  <c r="FK146" i="5"/>
  <c r="FL146" i="5"/>
  <c r="FM146" i="5"/>
  <c r="FN146" i="5"/>
  <c r="FO146" i="5"/>
  <c r="FP146" i="5"/>
  <c r="FQ146" i="5"/>
  <c r="FR146" i="5"/>
  <c r="FS146" i="5"/>
  <c r="FT146" i="5"/>
  <c r="FU146" i="5"/>
  <c r="FV146" i="5"/>
  <c r="FW146" i="5"/>
  <c r="FX146" i="5"/>
  <c r="FY146" i="5"/>
  <c r="FZ146" i="5"/>
  <c r="GA146" i="5"/>
  <c r="GB146" i="5"/>
  <c r="GC146" i="5"/>
  <c r="GD146" i="5"/>
  <c r="GE146" i="5"/>
  <c r="GF146" i="5"/>
  <c r="GG146" i="5"/>
  <c r="GH146" i="5"/>
  <c r="GI146" i="5"/>
  <c r="GJ146" i="5"/>
  <c r="GK146" i="5"/>
  <c r="GL146" i="5"/>
  <c r="GM146" i="5"/>
  <c r="GN146" i="5"/>
  <c r="GO146" i="5"/>
  <c r="GP146" i="5"/>
  <c r="GQ146" i="5"/>
  <c r="GR146" i="5"/>
  <c r="GS146" i="5"/>
  <c r="GT146" i="5"/>
  <c r="GU146" i="5"/>
  <c r="GV146" i="5"/>
  <c r="GW146" i="5"/>
  <c r="GX146" i="5"/>
  <c r="GY146" i="5"/>
  <c r="GZ146" i="5"/>
  <c r="HA146" i="5"/>
  <c r="HB146" i="5"/>
  <c r="HC146" i="5"/>
  <c r="HD146" i="5"/>
  <c r="HE146" i="5"/>
  <c r="HF146" i="5"/>
  <c r="HG146" i="5"/>
  <c r="A147" i="5"/>
  <c r="B147" i="5"/>
  <c r="C147" i="5"/>
  <c r="D147" i="5"/>
  <c r="E147" i="5"/>
  <c r="F147" i="5"/>
  <c r="G147" i="5"/>
  <c r="H147" i="5"/>
  <c r="I147" i="5"/>
  <c r="J147" i="5"/>
  <c r="K147" i="5"/>
  <c r="L147" i="5"/>
  <c r="M147" i="5"/>
  <c r="N147" i="5"/>
  <c r="O147" i="5"/>
  <c r="P147" i="5"/>
  <c r="Q147" i="5"/>
  <c r="R147" i="5"/>
  <c r="S147" i="5"/>
  <c r="T147" i="5"/>
  <c r="U147" i="5"/>
  <c r="V147" i="5"/>
  <c r="W147" i="5"/>
  <c r="X147" i="5"/>
  <c r="Y147" i="5"/>
  <c r="Z147" i="5"/>
  <c r="AA147" i="5"/>
  <c r="AB147" i="5"/>
  <c r="AC147" i="5"/>
  <c r="AD147" i="5"/>
  <c r="AE147" i="5"/>
  <c r="AF147" i="5"/>
  <c r="AG147" i="5"/>
  <c r="AH147" i="5"/>
  <c r="AI147" i="5"/>
  <c r="AJ147" i="5"/>
  <c r="AK147" i="5"/>
  <c r="AL147" i="5"/>
  <c r="AM147" i="5"/>
  <c r="AN147" i="5"/>
  <c r="AO147" i="5"/>
  <c r="AP147" i="5"/>
  <c r="AQ147" i="5"/>
  <c r="AR147" i="5"/>
  <c r="AS147" i="5"/>
  <c r="AT147" i="5"/>
  <c r="AU147" i="5"/>
  <c r="AV147" i="5"/>
  <c r="AW147" i="5"/>
  <c r="AX147" i="5"/>
  <c r="AY147" i="5"/>
  <c r="AZ147" i="5"/>
  <c r="BA147" i="5"/>
  <c r="BB147" i="5"/>
  <c r="BC147" i="5"/>
  <c r="BD147" i="5"/>
  <c r="BE147" i="5"/>
  <c r="BF147" i="5"/>
  <c r="BG147" i="5"/>
  <c r="BH147" i="5"/>
  <c r="BI147" i="5"/>
  <c r="BJ147" i="5"/>
  <c r="BK147" i="5"/>
  <c r="BL147" i="5"/>
  <c r="BM147" i="5"/>
  <c r="BN147" i="5"/>
  <c r="BO147" i="5"/>
  <c r="BP147" i="5"/>
  <c r="BQ147" i="5"/>
  <c r="BR147" i="5"/>
  <c r="BS147" i="5"/>
  <c r="BT147" i="5"/>
  <c r="BU147" i="5"/>
  <c r="BV147" i="5"/>
  <c r="BW147" i="5"/>
  <c r="BX147" i="5"/>
  <c r="BY147" i="5"/>
  <c r="BZ147" i="5"/>
  <c r="CA147" i="5"/>
  <c r="CB147" i="5"/>
  <c r="CC147" i="5"/>
  <c r="CD147" i="5"/>
  <c r="CE147" i="5"/>
  <c r="CF147" i="5"/>
  <c r="CG147" i="5"/>
  <c r="CH147" i="5"/>
  <c r="CI147" i="5"/>
  <c r="CJ147" i="5"/>
  <c r="CK147" i="5"/>
  <c r="CL147" i="5"/>
  <c r="CM147" i="5"/>
  <c r="CN147" i="5"/>
  <c r="CO147" i="5"/>
  <c r="CP147" i="5"/>
  <c r="CQ147" i="5"/>
  <c r="CR147" i="5"/>
  <c r="CS147" i="5"/>
  <c r="CT147" i="5"/>
  <c r="CU147" i="5"/>
  <c r="CV147" i="5"/>
  <c r="CW147" i="5"/>
  <c r="CX147" i="5"/>
  <c r="CY147" i="5"/>
  <c r="CZ147" i="5"/>
  <c r="DA147" i="5"/>
  <c r="DB147" i="5"/>
  <c r="DC147" i="5"/>
  <c r="DD147" i="5"/>
  <c r="DE147" i="5"/>
  <c r="DF147" i="5"/>
  <c r="DG147" i="5"/>
  <c r="DH147" i="5"/>
  <c r="DI147" i="5"/>
  <c r="DJ147" i="5"/>
  <c r="DK147" i="5"/>
  <c r="DL147" i="5"/>
  <c r="DM147" i="5"/>
  <c r="DN147" i="5"/>
  <c r="DO147" i="5"/>
  <c r="DP147" i="5"/>
  <c r="DQ147" i="5"/>
  <c r="DR147" i="5"/>
  <c r="DS147" i="5"/>
  <c r="DT147" i="5"/>
  <c r="DU147" i="5"/>
  <c r="DV147" i="5"/>
  <c r="DW147" i="5"/>
  <c r="DX147" i="5"/>
  <c r="DY147" i="5"/>
  <c r="DZ147" i="5"/>
  <c r="EA147" i="5"/>
  <c r="EB147" i="5"/>
  <c r="EC147" i="5"/>
  <c r="ED147" i="5"/>
  <c r="EE147" i="5"/>
  <c r="EF147" i="5"/>
  <c r="EG147" i="5"/>
  <c r="EH147" i="5"/>
  <c r="EI147" i="5"/>
  <c r="EJ147" i="5"/>
  <c r="EK147" i="5"/>
  <c r="EL147" i="5"/>
  <c r="EM147" i="5"/>
  <c r="EN147" i="5"/>
  <c r="EO147" i="5"/>
  <c r="EP147" i="5"/>
  <c r="EQ147" i="5"/>
  <c r="ER147" i="5"/>
  <c r="ES147" i="5"/>
  <c r="ET147" i="5"/>
  <c r="EU147" i="5"/>
  <c r="EV147" i="5"/>
  <c r="EW147" i="5"/>
  <c r="EX147" i="5"/>
  <c r="EY147" i="5"/>
  <c r="EZ147" i="5"/>
  <c r="FA147" i="5"/>
  <c r="FB147" i="5"/>
  <c r="FC147" i="5"/>
  <c r="FD147" i="5"/>
  <c r="FE147" i="5"/>
  <c r="FF147" i="5"/>
  <c r="FG147" i="5"/>
  <c r="FH147" i="5"/>
  <c r="FI147" i="5"/>
  <c r="FJ147" i="5"/>
  <c r="FK147" i="5"/>
  <c r="FL147" i="5"/>
  <c r="FM147" i="5"/>
  <c r="FN147" i="5"/>
  <c r="FO147" i="5"/>
  <c r="FP147" i="5"/>
  <c r="FQ147" i="5"/>
  <c r="FR147" i="5"/>
  <c r="FS147" i="5"/>
  <c r="FT147" i="5"/>
  <c r="FU147" i="5"/>
  <c r="FV147" i="5"/>
  <c r="FW147" i="5"/>
  <c r="FX147" i="5"/>
  <c r="FY147" i="5"/>
  <c r="FZ147" i="5"/>
  <c r="GA147" i="5"/>
  <c r="GB147" i="5"/>
  <c r="GC147" i="5"/>
  <c r="GD147" i="5"/>
  <c r="GE147" i="5"/>
  <c r="GF147" i="5"/>
  <c r="GG147" i="5"/>
  <c r="GH147" i="5"/>
  <c r="GI147" i="5"/>
  <c r="GJ147" i="5"/>
  <c r="GK147" i="5"/>
  <c r="GL147" i="5"/>
  <c r="GM147" i="5"/>
  <c r="GN147" i="5"/>
  <c r="GO147" i="5"/>
  <c r="GP147" i="5"/>
  <c r="GQ147" i="5"/>
  <c r="GR147" i="5"/>
  <c r="GS147" i="5"/>
  <c r="GT147" i="5"/>
  <c r="GU147" i="5"/>
  <c r="GV147" i="5"/>
  <c r="GW147" i="5"/>
  <c r="GX147" i="5"/>
  <c r="GY147" i="5"/>
  <c r="GZ147" i="5"/>
  <c r="HA147" i="5"/>
  <c r="HB147" i="5"/>
  <c r="HC147" i="5"/>
  <c r="HD147" i="5"/>
  <c r="HE147" i="5"/>
  <c r="HF147" i="5"/>
  <c r="HG147" i="5"/>
  <c r="A148" i="5"/>
  <c r="B148" i="5"/>
  <c r="C148" i="5"/>
  <c r="D148" i="5"/>
  <c r="E148" i="5"/>
  <c r="F148" i="5"/>
  <c r="G148" i="5"/>
  <c r="H148" i="5"/>
  <c r="I148" i="5"/>
  <c r="J148" i="5"/>
  <c r="K148" i="5"/>
  <c r="L148" i="5"/>
  <c r="M148" i="5"/>
  <c r="N148" i="5"/>
  <c r="O148" i="5"/>
  <c r="P148" i="5"/>
  <c r="Q148" i="5"/>
  <c r="R148" i="5"/>
  <c r="S148" i="5"/>
  <c r="T148" i="5"/>
  <c r="U148" i="5"/>
  <c r="V148" i="5"/>
  <c r="W148" i="5"/>
  <c r="X148" i="5"/>
  <c r="Y148" i="5"/>
  <c r="Z148" i="5"/>
  <c r="AA148" i="5"/>
  <c r="AB148" i="5"/>
  <c r="AC148" i="5"/>
  <c r="AD148" i="5"/>
  <c r="AE148" i="5"/>
  <c r="AF148" i="5"/>
  <c r="AG148" i="5"/>
  <c r="AH148" i="5"/>
  <c r="AI148" i="5"/>
  <c r="AJ148" i="5"/>
  <c r="AK148" i="5"/>
  <c r="AL148" i="5"/>
  <c r="AM148" i="5"/>
  <c r="AN148" i="5"/>
  <c r="AO148" i="5"/>
  <c r="AP148" i="5"/>
  <c r="AQ148" i="5"/>
  <c r="AR148" i="5"/>
  <c r="AS148" i="5"/>
  <c r="AT148" i="5"/>
  <c r="AU148" i="5"/>
  <c r="AV148" i="5"/>
  <c r="AW148" i="5"/>
  <c r="AX148" i="5"/>
  <c r="AY148" i="5"/>
  <c r="AZ148" i="5"/>
  <c r="BA148" i="5"/>
  <c r="BB148" i="5"/>
  <c r="BC148" i="5"/>
  <c r="BD148" i="5"/>
  <c r="BE148" i="5"/>
  <c r="BF148" i="5"/>
  <c r="BG148" i="5"/>
  <c r="BH148" i="5"/>
  <c r="BI148" i="5"/>
  <c r="BJ148" i="5"/>
  <c r="BK148" i="5"/>
  <c r="BL148" i="5"/>
  <c r="BM148" i="5"/>
  <c r="BN148" i="5"/>
  <c r="BO148" i="5"/>
  <c r="BP148" i="5"/>
  <c r="BQ148" i="5"/>
  <c r="BR148" i="5"/>
  <c r="BS148" i="5"/>
  <c r="BT148" i="5"/>
  <c r="BU148" i="5"/>
  <c r="BV148" i="5"/>
  <c r="BW148" i="5"/>
  <c r="BX148" i="5"/>
  <c r="BY148" i="5"/>
  <c r="BZ148" i="5"/>
  <c r="CA148" i="5"/>
  <c r="CB148" i="5"/>
  <c r="CC148" i="5"/>
  <c r="CD148" i="5"/>
  <c r="CE148" i="5"/>
  <c r="CF148" i="5"/>
  <c r="CG148" i="5"/>
  <c r="CH148" i="5"/>
  <c r="CI148" i="5"/>
  <c r="CJ148" i="5"/>
  <c r="CK148" i="5"/>
  <c r="CL148" i="5"/>
  <c r="CM148" i="5"/>
  <c r="CN148" i="5"/>
  <c r="CO148" i="5"/>
  <c r="CP148" i="5"/>
  <c r="CQ148" i="5"/>
  <c r="CR148" i="5"/>
  <c r="CS148" i="5"/>
  <c r="CT148" i="5"/>
  <c r="CU148" i="5"/>
  <c r="CV148" i="5"/>
  <c r="CW148" i="5"/>
  <c r="CX148" i="5"/>
  <c r="CY148" i="5"/>
  <c r="CZ148" i="5"/>
  <c r="DA148" i="5"/>
  <c r="DB148" i="5"/>
  <c r="DC148" i="5"/>
  <c r="DD148" i="5"/>
  <c r="DE148" i="5"/>
  <c r="DF148" i="5"/>
  <c r="DG148" i="5"/>
  <c r="DH148" i="5"/>
  <c r="DI148" i="5"/>
  <c r="DJ148" i="5"/>
  <c r="DK148" i="5"/>
  <c r="DL148" i="5"/>
  <c r="DM148" i="5"/>
  <c r="DN148" i="5"/>
  <c r="DO148" i="5"/>
  <c r="DP148" i="5"/>
  <c r="DQ148" i="5"/>
  <c r="DR148" i="5"/>
  <c r="DS148" i="5"/>
  <c r="DT148" i="5"/>
  <c r="DU148" i="5"/>
  <c r="DV148" i="5"/>
  <c r="DW148" i="5"/>
  <c r="DX148" i="5"/>
  <c r="DY148" i="5"/>
  <c r="DZ148" i="5"/>
  <c r="EA148" i="5"/>
  <c r="EB148" i="5"/>
  <c r="EC148" i="5"/>
  <c r="ED148" i="5"/>
  <c r="EE148" i="5"/>
  <c r="EF148" i="5"/>
  <c r="EG148" i="5"/>
  <c r="EH148" i="5"/>
  <c r="EI148" i="5"/>
  <c r="EJ148" i="5"/>
  <c r="EK148" i="5"/>
  <c r="EL148" i="5"/>
  <c r="EM148" i="5"/>
  <c r="EN148" i="5"/>
  <c r="EO148" i="5"/>
  <c r="EP148" i="5"/>
  <c r="EQ148" i="5"/>
  <c r="ER148" i="5"/>
  <c r="ES148" i="5"/>
  <c r="ET148" i="5"/>
  <c r="EU148" i="5"/>
  <c r="EV148" i="5"/>
  <c r="EW148" i="5"/>
  <c r="EX148" i="5"/>
  <c r="EY148" i="5"/>
  <c r="EZ148" i="5"/>
  <c r="FA148" i="5"/>
  <c r="FB148" i="5"/>
  <c r="FC148" i="5"/>
  <c r="FD148" i="5"/>
  <c r="FE148" i="5"/>
  <c r="FF148" i="5"/>
  <c r="FG148" i="5"/>
  <c r="FH148" i="5"/>
  <c r="FI148" i="5"/>
  <c r="FJ148" i="5"/>
  <c r="FK148" i="5"/>
  <c r="FL148" i="5"/>
  <c r="FM148" i="5"/>
  <c r="FN148" i="5"/>
  <c r="FO148" i="5"/>
  <c r="FP148" i="5"/>
  <c r="FQ148" i="5"/>
  <c r="FR148" i="5"/>
  <c r="FS148" i="5"/>
  <c r="FT148" i="5"/>
  <c r="FU148" i="5"/>
  <c r="FV148" i="5"/>
  <c r="FW148" i="5"/>
  <c r="FX148" i="5"/>
  <c r="FY148" i="5"/>
  <c r="FZ148" i="5"/>
  <c r="GA148" i="5"/>
  <c r="GB148" i="5"/>
  <c r="GC148" i="5"/>
  <c r="GD148" i="5"/>
  <c r="GE148" i="5"/>
  <c r="GF148" i="5"/>
  <c r="GG148" i="5"/>
  <c r="GH148" i="5"/>
  <c r="GI148" i="5"/>
  <c r="GJ148" i="5"/>
  <c r="GK148" i="5"/>
  <c r="GL148" i="5"/>
  <c r="GM148" i="5"/>
  <c r="GN148" i="5"/>
  <c r="GO148" i="5"/>
  <c r="GP148" i="5"/>
  <c r="GQ148" i="5"/>
  <c r="GR148" i="5"/>
  <c r="GS148" i="5"/>
  <c r="GT148" i="5"/>
  <c r="GU148" i="5"/>
  <c r="GV148" i="5"/>
  <c r="GW148" i="5"/>
  <c r="GX148" i="5"/>
  <c r="GY148" i="5"/>
  <c r="GZ148" i="5"/>
  <c r="HA148" i="5"/>
  <c r="HB148" i="5"/>
  <c r="HC148" i="5"/>
  <c r="HD148" i="5"/>
  <c r="HE148" i="5"/>
  <c r="HF148" i="5"/>
  <c r="HG148" i="5"/>
  <c r="A149" i="5"/>
  <c r="B149" i="5"/>
  <c r="C149" i="5"/>
  <c r="D149" i="5"/>
  <c r="E149" i="5"/>
  <c r="F149" i="5"/>
  <c r="G149" i="5"/>
  <c r="H149" i="5"/>
  <c r="I149" i="5"/>
  <c r="J149" i="5"/>
  <c r="K149" i="5"/>
  <c r="L149" i="5"/>
  <c r="M149" i="5"/>
  <c r="N149" i="5"/>
  <c r="O149" i="5"/>
  <c r="P149" i="5"/>
  <c r="Q149" i="5"/>
  <c r="R149" i="5"/>
  <c r="S149" i="5"/>
  <c r="T149" i="5"/>
  <c r="U149" i="5"/>
  <c r="V149" i="5"/>
  <c r="W149" i="5"/>
  <c r="X149" i="5"/>
  <c r="Y149" i="5"/>
  <c r="Z149" i="5"/>
  <c r="AA149" i="5"/>
  <c r="AB149" i="5"/>
  <c r="AC149" i="5"/>
  <c r="AD149" i="5"/>
  <c r="AE149" i="5"/>
  <c r="AF149" i="5"/>
  <c r="AG149" i="5"/>
  <c r="AH149" i="5"/>
  <c r="AI149" i="5"/>
  <c r="AJ149" i="5"/>
  <c r="AK149" i="5"/>
  <c r="AL149" i="5"/>
  <c r="AM149" i="5"/>
  <c r="AN149" i="5"/>
  <c r="AO149" i="5"/>
  <c r="AP149" i="5"/>
  <c r="AQ149" i="5"/>
  <c r="AR149" i="5"/>
  <c r="AS149" i="5"/>
  <c r="AT149" i="5"/>
  <c r="AU149" i="5"/>
  <c r="AV149" i="5"/>
  <c r="AW149" i="5"/>
  <c r="AX149" i="5"/>
  <c r="AY149" i="5"/>
  <c r="AZ149" i="5"/>
  <c r="BA149" i="5"/>
  <c r="BB149" i="5"/>
  <c r="BC149" i="5"/>
  <c r="BD149" i="5"/>
  <c r="BE149" i="5"/>
  <c r="BF149" i="5"/>
  <c r="BG149" i="5"/>
  <c r="BH149" i="5"/>
  <c r="BI149" i="5"/>
  <c r="BJ149" i="5"/>
  <c r="BK149" i="5"/>
  <c r="BL149" i="5"/>
  <c r="BM149" i="5"/>
  <c r="BN149" i="5"/>
  <c r="BO149" i="5"/>
  <c r="BP149" i="5"/>
  <c r="BQ149" i="5"/>
  <c r="BR149" i="5"/>
  <c r="BS149" i="5"/>
  <c r="BT149" i="5"/>
  <c r="BU149" i="5"/>
  <c r="BV149" i="5"/>
  <c r="BW149" i="5"/>
  <c r="BX149" i="5"/>
  <c r="BY149" i="5"/>
  <c r="BZ149" i="5"/>
  <c r="CA149" i="5"/>
  <c r="CB149" i="5"/>
  <c r="CC149" i="5"/>
  <c r="CD149" i="5"/>
  <c r="CE149" i="5"/>
  <c r="CF149" i="5"/>
  <c r="CG149" i="5"/>
  <c r="CH149" i="5"/>
  <c r="CI149" i="5"/>
  <c r="CJ149" i="5"/>
  <c r="CK149" i="5"/>
  <c r="CL149" i="5"/>
  <c r="CM149" i="5"/>
  <c r="CN149" i="5"/>
  <c r="CO149" i="5"/>
  <c r="CP149" i="5"/>
  <c r="CQ149" i="5"/>
  <c r="CR149" i="5"/>
  <c r="CS149" i="5"/>
  <c r="CT149" i="5"/>
  <c r="CU149" i="5"/>
  <c r="CV149" i="5"/>
  <c r="CW149" i="5"/>
  <c r="CX149" i="5"/>
  <c r="CY149" i="5"/>
  <c r="CZ149" i="5"/>
  <c r="DA149" i="5"/>
  <c r="DB149" i="5"/>
  <c r="DC149" i="5"/>
  <c r="DD149" i="5"/>
  <c r="DE149" i="5"/>
  <c r="DF149" i="5"/>
  <c r="DG149" i="5"/>
  <c r="DH149" i="5"/>
  <c r="DI149" i="5"/>
  <c r="DJ149" i="5"/>
  <c r="DK149" i="5"/>
  <c r="DL149" i="5"/>
  <c r="DM149" i="5"/>
  <c r="DN149" i="5"/>
  <c r="DO149" i="5"/>
  <c r="DP149" i="5"/>
  <c r="DQ149" i="5"/>
  <c r="DR149" i="5"/>
  <c r="DS149" i="5"/>
  <c r="DT149" i="5"/>
  <c r="DU149" i="5"/>
  <c r="DV149" i="5"/>
  <c r="DW149" i="5"/>
  <c r="DX149" i="5"/>
  <c r="DY149" i="5"/>
  <c r="DZ149" i="5"/>
  <c r="EA149" i="5"/>
  <c r="EB149" i="5"/>
  <c r="EC149" i="5"/>
  <c r="ED149" i="5"/>
  <c r="EE149" i="5"/>
  <c r="EF149" i="5"/>
  <c r="EG149" i="5"/>
  <c r="EH149" i="5"/>
  <c r="EI149" i="5"/>
  <c r="EJ149" i="5"/>
  <c r="EK149" i="5"/>
  <c r="EL149" i="5"/>
  <c r="EM149" i="5"/>
  <c r="EN149" i="5"/>
  <c r="EO149" i="5"/>
  <c r="EP149" i="5"/>
  <c r="EQ149" i="5"/>
  <c r="ER149" i="5"/>
  <c r="ES149" i="5"/>
  <c r="ET149" i="5"/>
  <c r="EU149" i="5"/>
  <c r="EV149" i="5"/>
  <c r="EW149" i="5"/>
  <c r="EX149" i="5"/>
  <c r="EY149" i="5"/>
  <c r="EZ149" i="5"/>
  <c r="FA149" i="5"/>
  <c r="FB149" i="5"/>
  <c r="FC149" i="5"/>
  <c r="FD149" i="5"/>
  <c r="FE149" i="5"/>
  <c r="FF149" i="5"/>
  <c r="FG149" i="5"/>
  <c r="FH149" i="5"/>
  <c r="FI149" i="5"/>
  <c r="FJ149" i="5"/>
  <c r="FK149" i="5"/>
  <c r="FL149" i="5"/>
  <c r="FM149" i="5"/>
  <c r="FN149" i="5"/>
  <c r="FO149" i="5"/>
  <c r="FP149" i="5"/>
  <c r="FQ149" i="5"/>
  <c r="FR149" i="5"/>
  <c r="FS149" i="5"/>
  <c r="FT149" i="5"/>
  <c r="FU149" i="5"/>
  <c r="FV149" i="5"/>
  <c r="FW149" i="5"/>
  <c r="FX149" i="5"/>
  <c r="FY149" i="5"/>
  <c r="FZ149" i="5"/>
  <c r="GA149" i="5"/>
  <c r="GB149" i="5"/>
  <c r="GC149" i="5"/>
  <c r="GD149" i="5"/>
  <c r="GE149" i="5"/>
  <c r="GF149" i="5"/>
  <c r="GG149" i="5"/>
  <c r="GH149" i="5"/>
  <c r="GI149" i="5"/>
  <c r="GJ149" i="5"/>
  <c r="GK149" i="5"/>
  <c r="GL149" i="5"/>
  <c r="GM149" i="5"/>
  <c r="GN149" i="5"/>
  <c r="GO149" i="5"/>
  <c r="GP149" i="5"/>
  <c r="GQ149" i="5"/>
  <c r="GR149" i="5"/>
  <c r="GS149" i="5"/>
  <c r="GT149" i="5"/>
  <c r="GU149" i="5"/>
  <c r="GV149" i="5"/>
  <c r="GW149" i="5"/>
  <c r="GX149" i="5"/>
  <c r="GY149" i="5"/>
  <c r="GZ149" i="5"/>
  <c r="HA149" i="5"/>
  <c r="HB149" i="5"/>
  <c r="HC149" i="5"/>
  <c r="HD149" i="5"/>
  <c r="HE149" i="5"/>
  <c r="HF149" i="5"/>
  <c r="HG149" i="5"/>
  <c r="A150" i="5"/>
  <c r="B150" i="5"/>
  <c r="C150" i="5"/>
  <c r="D150" i="5"/>
  <c r="E150" i="5"/>
  <c r="F150" i="5"/>
  <c r="G150" i="5"/>
  <c r="H150" i="5"/>
  <c r="I150" i="5"/>
  <c r="J150" i="5"/>
  <c r="K150" i="5"/>
  <c r="L150" i="5"/>
  <c r="M150" i="5"/>
  <c r="N150" i="5"/>
  <c r="O150" i="5"/>
  <c r="P150" i="5"/>
  <c r="Q150" i="5"/>
  <c r="R150" i="5"/>
  <c r="S150" i="5"/>
  <c r="T150" i="5"/>
  <c r="U150" i="5"/>
  <c r="V150" i="5"/>
  <c r="W150" i="5"/>
  <c r="X150" i="5"/>
  <c r="Y150" i="5"/>
  <c r="Z150" i="5"/>
  <c r="AA150" i="5"/>
  <c r="AB150" i="5"/>
  <c r="AC150" i="5"/>
  <c r="AD150" i="5"/>
  <c r="AE150" i="5"/>
  <c r="AF150" i="5"/>
  <c r="AG150" i="5"/>
  <c r="AH150" i="5"/>
  <c r="AI150" i="5"/>
  <c r="AJ150" i="5"/>
  <c r="AK150" i="5"/>
  <c r="AL150" i="5"/>
  <c r="AM150" i="5"/>
  <c r="AN150" i="5"/>
  <c r="AO150" i="5"/>
  <c r="AP150" i="5"/>
  <c r="AQ150" i="5"/>
  <c r="AR150" i="5"/>
  <c r="AS150" i="5"/>
  <c r="AT150" i="5"/>
  <c r="AU150" i="5"/>
  <c r="AV150" i="5"/>
  <c r="AW150" i="5"/>
  <c r="AX150" i="5"/>
  <c r="AY150" i="5"/>
  <c r="AZ150" i="5"/>
  <c r="BA150" i="5"/>
  <c r="BB150" i="5"/>
  <c r="BC150" i="5"/>
  <c r="BD150" i="5"/>
  <c r="BE150" i="5"/>
  <c r="BF150" i="5"/>
  <c r="BG150" i="5"/>
  <c r="BH150" i="5"/>
  <c r="BI150" i="5"/>
  <c r="BJ150" i="5"/>
  <c r="BK150" i="5"/>
  <c r="BL150" i="5"/>
  <c r="BM150" i="5"/>
  <c r="BN150" i="5"/>
  <c r="BO150" i="5"/>
  <c r="BP150" i="5"/>
  <c r="BQ150" i="5"/>
  <c r="BR150" i="5"/>
  <c r="BS150" i="5"/>
  <c r="BT150" i="5"/>
  <c r="BU150" i="5"/>
  <c r="BV150" i="5"/>
  <c r="BW150" i="5"/>
  <c r="BX150" i="5"/>
  <c r="BY150" i="5"/>
  <c r="BZ150" i="5"/>
  <c r="CA150" i="5"/>
  <c r="CB150" i="5"/>
  <c r="CC150" i="5"/>
  <c r="CD150" i="5"/>
  <c r="CE150" i="5"/>
  <c r="CF150" i="5"/>
  <c r="CG150" i="5"/>
  <c r="CH150" i="5"/>
  <c r="CI150" i="5"/>
  <c r="CJ150" i="5"/>
  <c r="CK150" i="5"/>
  <c r="CL150" i="5"/>
  <c r="CM150" i="5"/>
  <c r="CN150" i="5"/>
  <c r="CO150" i="5"/>
  <c r="CP150" i="5"/>
  <c r="CQ150" i="5"/>
  <c r="CR150" i="5"/>
  <c r="CS150" i="5"/>
  <c r="CT150" i="5"/>
  <c r="CU150" i="5"/>
  <c r="CV150" i="5"/>
  <c r="CW150" i="5"/>
  <c r="CX150" i="5"/>
  <c r="CY150" i="5"/>
  <c r="CZ150" i="5"/>
  <c r="DA150" i="5"/>
  <c r="DB150" i="5"/>
  <c r="DC150" i="5"/>
  <c r="DD150" i="5"/>
  <c r="DE150" i="5"/>
  <c r="DF150" i="5"/>
  <c r="DG150" i="5"/>
  <c r="DH150" i="5"/>
  <c r="DI150" i="5"/>
  <c r="DJ150" i="5"/>
  <c r="DK150" i="5"/>
  <c r="DL150" i="5"/>
  <c r="DM150" i="5"/>
  <c r="DN150" i="5"/>
  <c r="DO150" i="5"/>
  <c r="DP150" i="5"/>
  <c r="DQ150" i="5"/>
  <c r="DR150" i="5"/>
  <c r="DS150" i="5"/>
  <c r="DT150" i="5"/>
  <c r="DU150" i="5"/>
  <c r="DV150" i="5"/>
  <c r="DW150" i="5"/>
  <c r="DX150" i="5"/>
  <c r="DY150" i="5"/>
  <c r="DZ150" i="5"/>
  <c r="EA150" i="5"/>
  <c r="EB150" i="5"/>
  <c r="EC150" i="5"/>
  <c r="ED150" i="5"/>
  <c r="EE150" i="5"/>
  <c r="EF150" i="5"/>
  <c r="EG150" i="5"/>
  <c r="EH150" i="5"/>
  <c r="EI150" i="5"/>
  <c r="EJ150" i="5"/>
  <c r="EK150" i="5"/>
  <c r="EL150" i="5"/>
  <c r="EM150" i="5"/>
  <c r="EN150" i="5"/>
  <c r="EO150" i="5"/>
  <c r="EP150" i="5"/>
  <c r="EQ150" i="5"/>
  <c r="ER150" i="5"/>
  <c r="ES150" i="5"/>
  <c r="ET150" i="5"/>
  <c r="EU150" i="5"/>
  <c r="EV150" i="5"/>
  <c r="EW150" i="5"/>
  <c r="EX150" i="5"/>
  <c r="EY150" i="5"/>
  <c r="EZ150" i="5"/>
  <c r="FA150" i="5"/>
  <c r="FB150" i="5"/>
  <c r="FC150" i="5"/>
  <c r="FD150" i="5"/>
  <c r="FE150" i="5"/>
  <c r="FF150" i="5"/>
  <c r="FG150" i="5"/>
  <c r="FH150" i="5"/>
  <c r="FI150" i="5"/>
  <c r="FJ150" i="5"/>
  <c r="FK150" i="5"/>
  <c r="FL150" i="5"/>
  <c r="FM150" i="5"/>
  <c r="FN150" i="5"/>
  <c r="FO150" i="5"/>
  <c r="FP150" i="5"/>
  <c r="FQ150" i="5"/>
  <c r="FR150" i="5"/>
  <c r="FS150" i="5"/>
  <c r="FT150" i="5"/>
  <c r="FU150" i="5"/>
  <c r="FV150" i="5"/>
  <c r="FW150" i="5"/>
  <c r="FX150" i="5"/>
  <c r="FY150" i="5"/>
  <c r="FZ150" i="5"/>
  <c r="GA150" i="5"/>
  <c r="GB150" i="5"/>
  <c r="GC150" i="5"/>
  <c r="GD150" i="5"/>
  <c r="GE150" i="5"/>
  <c r="GF150" i="5"/>
  <c r="GG150" i="5"/>
  <c r="GH150" i="5"/>
  <c r="GI150" i="5"/>
  <c r="GJ150" i="5"/>
  <c r="GK150" i="5"/>
  <c r="GL150" i="5"/>
  <c r="GM150" i="5"/>
  <c r="GN150" i="5"/>
  <c r="GO150" i="5"/>
  <c r="GP150" i="5"/>
  <c r="GQ150" i="5"/>
  <c r="GR150" i="5"/>
  <c r="GS150" i="5"/>
  <c r="GT150" i="5"/>
  <c r="GU150" i="5"/>
  <c r="GV150" i="5"/>
  <c r="GW150" i="5"/>
  <c r="GX150" i="5"/>
  <c r="GY150" i="5"/>
  <c r="GZ150" i="5"/>
  <c r="HA150" i="5"/>
  <c r="HB150" i="5"/>
  <c r="HC150" i="5"/>
  <c r="HD150" i="5"/>
  <c r="HE150" i="5"/>
  <c r="HF150" i="5"/>
  <c r="HG150" i="5"/>
  <c r="A151" i="5"/>
  <c r="B151" i="5"/>
  <c r="C151" i="5"/>
  <c r="D151" i="5"/>
  <c r="E151" i="5"/>
  <c r="F151" i="5"/>
  <c r="G151" i="5"/>
  <c r="H151" i="5"/>
  <c r="I151" i="5"/>
  <c r="J151" i="5"/>
  <c r="K151" i="5"/>
  <c r="L151" i="5"/>
  <c r="M151" i="5"/>
  <c r="N151" i="5"/>
  <c r="O151" i="5"/>
  <c r="P151" i="5"/>
  <c r="Q151" i="5"/>
  <c r="R151" i="5"/>
  <c r="S151" i="5"/>
  <c r="T151" i="5"/>
  <c r="U151" i="5"/>
  <c r="V151" i="5"/>
  <c r="W151" i="5"/>
  <c r="X151" i="5"/>
  <c r="Y151" i="5"/>
  <c r="Z151" i="5"/>
  <c r="AA151" i="5"/>
  <c r="AB151" i="5"/>
  <c r="AC151" i="5"/>
  <c r="AD151" i="5"/>
  <c r="AE151" i="5"/>
  <c r="AF151" i="5"/>
  <c r="AG151" i="5"/>
  <c r="AH151" i="5"/>
  <c r="AI151" i="5"/>
  <c r="AJ151" i="5"/>
  <c r="AK151" i="5"/>
  <c r="AL151" i="5"/>
  <c r="AM151" i="5"/>
  <c r="AN151" i="5"/>
  <c r="AO151" i="5"/>
  <c r="AP151" i="5"/>
  <c r="AQ151" i="5"/>
  <c r="AR151" i="5"/>
  <c r="AS151" i="5"/>
  <c r="AT151" i="5"/>
  <c r="AU151" i="5"/>
  <c r="AV151" i="5"/>
  <c r="AW151" i="5"/>
  <c r="AX151" i="5"/>
  <c r="AY151" i="5"/>
  <c r="AZ151" i="5"/>
  <c r="BA151" i="5"/>
  <c r="BB151" i="5"/>
  <c r="BC151" i="5"/>
  <c r="BD151" i="5"/>
  <c r="BE151" i="5"/>
  <c r="BF151" i="5"/>
  <c r="BG151" i="5"/>
  <c r="BH151" i="5"/>
  <c r="BI151" i="5"/>
  <c r="BJ151" i="5"/>
  <c r="BK151" i="5"/>
  <c r="BL151" i="5"/>
  <c r="BM151" i="5"/>
  <c r="BN151" i="5"/>
  <c r="BO151" i="5"/>
  <c r="BP151" i="5"/>
  <c r="BQ151" i="5"/>
  <c r="BR151" i="5"/>
  <c r="BS151" i="5"/>
  <c r="BT151" i="5"/>
  <c r="BU151" i="5"/>
  <c r="BV151" i="5"/>
  <c r="BW151" i="5"/>
  <c r="BX151" i="5"/>
  <c r="BY151" i="5"/>
  <c r="BZ151" i="5"/>
  <c r="CA151" i="5"/>
  <c r="CB151" i="5"/>
  <c r="CC151" i="5"/>
  <c r="CD151" i="5"/>
  <c r="CE151" i="5"/>
  <c r="CF151" i="5"/>
  <c r="CG151" i="5"/>
  <c r="CH151" i="5"/>
  <c r="CI151" i="5"/>
  <c r="CJ151" i="5"/>
  <c r="CK151" i="5"/>
  <c r="CL151" i="5"/>
  <c r="CM151" i="5"/>
  <c r="CN151" i="5"/>
  <c r="CO151" i="5"/>
  <c r="CP151" i="5"/>
  <c r="CQ151" i="5"/>
  <c r="CR151" i="5"/>
  <c r="CS151" i="5"/>
  <c r="CT151" i="5"/>
  <c r="CU151" i="5"/>
  <c r="CV151" i="5"/>
  <c r="CW151" i="5"/>
  <c r="CX151" i="5"/>
  <c r="CY151" i="5"/>
  <c r="CZ151" i="5"/>
  <c r="DA151" i="5"/>
  <c r="DB151" i="5"/>
  <c r="DC151" i="5"/>
  <c r="DD151" i="5"/>
  <c r="DE151" i="5"/>
  <c r="DF151" i="5"/>
  <c r="DG151" i="5"/>
  <c r="DH151" i="5"/>
  <c r="DI151" i="5"/>
  <c r="DJ151" i="5"/>
  <c r="DK151" i="5"/>
  <c r="DL151" i="5"/>
  <c r="DM151" i="5"/>
  <c r="DN151" i="5"/>
  <c r="DO151" i="5"/>
  <c r="DP151" i="5"/>
  <c r="DQ151" i="5"/>
  <c r="DR151" i="5"/>
  <c r="DS151" i="5"/>
  <c r="DT151" i="5"/>
  <c r="DU151" i="5"/>
  <c r="DV151" i="5"/>
  <c r="DW151" i="5"/>
  <c r="DX151" i="5"/>
  <c r="DY151" i="5"/>
  <c r="DZ151" i="5"/>
  <c r="EA151" i="5"/>
  <c r="EB151" i="5"/>
  <c r="EC151" i="5"/>
  <c r="ED151" i="5"/>
  <c r="EE151" i="5"/>
  <c r="EF151" i="5"/>
  <c r="EG151" i="5"/>
  <c r="EH151" i="5"/>
  <c r="EI151" i="5"/>
  <c r="EJ151" i="5"/>
  <c r="EK151" i="5"/>
  <c r="EL151" i="5"/>
  <c r="EM151" i="5"/>
  <c r="EN151" i="5"/>
  <c r="EO151" i="5"/>
  <c r="EP151" i="5"/>
  <c r="EQ151" i="5"/>
  <c r="ER151" i="5"/>
  <c r="ES151" i="5"/>
  <c r="ET151" i="5"/>
  <c r="EU151" i="5"/>
  <c r="EV151" i="5"/>
  <c r="EW151" i="5"/>
  <c r="EX151" i="5"/>
  <c r="EY151" i="5"/>
  <c r="EZ151" i="5"/>
  <c r="FA151" i="5"/>
  <c r="FB151" i="5"/>
  <c r="FC151" i="5"/>
  <c r="FD151" i="5"/>
  <c r="FE151" i="5"/>
  <c r="FF151" i="5"/>
  <c r="FG151" i="5"/>
  <c r="FH151" i="5"/>
  <c r="FI151" i="5"/>
  <c r="FJ151" i="5"/>
  <c r="FK151" i="5"/>
  <c r="FL151" i="5"/>
  <c r="FM151" i="5"/>
  <c r="FN151" i="5"/>
  <c r="FO151" i="5"/>
  <c r="FP151" i="5"/>
  <c r="FQ151" i="5"/>
  <c r="FR151" i="5"/>
  <c r="FS151" i="5"/>
  <c r="FT151" i="5"/>
  <c r="FU151" i="5"/>
  <c r="FV151" i="5"/>
  <c r="FW151" i="5"/>
  <c r="FX151" i="5"/>
  <c r="FY151" i="5"/>
  <c r="FZ151" i="5"/>
  <c r="GA151" i="5"/>
  <c r="GB151" i="5"/>
  <c r="GC151" i="5"/>
  <c r="GD151" i="5"/>
  <c r="GE151" i="5"/>
  <c r="GF151" i="5"/>
  <c r="GG151" i="5"/>
  <c r="GH151" i="5"/>
  <c r="GI151" i="5"/>
  <c r="GJ151" i="5"/>
  <c r="GK151" i="5"/>
  <c r="GL151" i="5"/>
  <c r="GM151" i="5"/>
  <c r="GN151" i="5"/>
  <c r="GO151" i="5"/>
  <c r="GP151" i="5"/>
  <c r="GQ151" i="5"/>
  <c r="GR151" i="5"/>
  <c r="GS151" i="5"/>
  <c r="GT151" i="5"/>
  <c r="GU151" i="5"/>
  <c r="GV151" i="5"/>
  <c r="GW151" i="5"/>
  <c r="GX151" i="5"/>
  <c r="GY151" i="5"/>
  <c r="GZ151" i="5"/>
  <c r="HA151" i="5"/>
  <c r="HB151" i="5"/>
  <c r="HC151" i="5"/>
  <c r="HD151" i="5"/>
  <c r="HE151" i="5"/>
  <c r="HF151" i="5"/>
  <c r="HG151" i="5"/>
  <c r="A152" i="5"/>
  <c r="B152" i="5"/>
  <c r="C152" i="5"/>
  <c r="D152" i="5"/>
  <c r="E152" i="5"/>
  <c r="F152" i="5"/>
  <c r="G152" i="5"/>
  <c r="H152" i="5"/>
  <c r="I152" i="5"/>
  <c r="J152" i="5"/>
  <c r="K152" i="5"/>
  <c r="L152" i="5"/>
  <c r="M152" i="5"/>
  <c r="N152" i="5"/>
  <c r="O152" i="5"/>
  <c r="P152" i="5"/>
  <c r="Q152" i="5"/>
  <c r="R152" i="5"/>
  <c r="S152" i="5"/>
  <c r="T152" i="5"/>
  <c r="U152" i="5"/>
  <c r="V152" i="5"/>
  <c r="W152" i="5"/>
  <c r="X152" i="5"/>
  <c r="Y152" i="5"/>
  <c r="Z152" i="5"/>
  <c r="AA152" i="5"/>
  <c r="AB152" i="5"/>
  <c r="AC152" i="5"/>
  <c r="AD152" i="5"/>
  <c r="AE152" i="5"/>
  <c r="AF152" i="5"/>
  <c r="AG152" i="5"/>
  <c r="AH152" i="5"/>
  <c r="AI152" i="5"/>
  <c r="AJ152" i="5"/>
  <c r="AK152" i="5"/>
  <c r="AL152" i="5"/>
  <c r="AM152" i="5"/>
  <c r="AN152" i="5"/>
  <c r="AO152" i="5"/>
  <c r="AP152" i="5"/>
  <c r="AQ152" i="5"/>
  <c r="AR152" i="5"/>
  <c r="AS152" i="5"/>
  <c r="AT152" i="5"/>
  <c r="AU152" i="5"/>
  <c r="AV152" i="5"/>
  <c r="AW152" i="5"/>
  <c r="AX152" i="5"/>
  <c r="AY152" i="5"/>
  <c r="AZ152" i="5"/>
  <c r="BA152" i="5"/>
  <c r="BB152" i="5"/>
  <c r="BC152" i="5"/>
  <c r="BD152" i="5"/>
  <c r="BE152" i="5"/>
  <c r="BF152" i="5"/>
  <c r="BG152" i="5"/>
  <c r="BH152" i="5"/>
  <c r="BI152" i="5"/>
  <c r="BJ152" i="5"/>
  <c r="BK152" i="5"/>
  <c r="BL152" i="5"/>
  <c r="BM152" i="5"/>
  <c r="BN152" i="5"/>
  <c r="BO152" i="5"/>
  <c r="BP152" i="5"/>
  <c r="BQ152" i="5"/>
  <c r="BR152" i="5"/>
  <c r="BS152" i="5"/>
  <c r="BT152" i="5"/>
  <c r="BU152" i="5"/>
  <c r="BV152" i="5"/>
  <c r="BW152" i="5"/>
  <c r="BX152" i="5"/>
  <c r="BY152" i="5"/>
  <c r="BZ152" i="5"/>
  <c r="CA152" i="5"/>
  <c r="CB152" i="5"/>
  <c r="CC152" i="5"/>
  <c r="CD152" i="5"/>
  <c r="CE152" i="5"/>
  <c r="CF152" i="5"/>
  <c r="CG152" i="5"/>
  <c r="CH152" i="5"/>
  <c r="CI152" i="5"/>
  <c r="CJ152" i="5"/>
  <c r="CK152" i="5"/>
  <c r="CL152" i="5"/>
  <c r="CM152" i="5"/>
  <c r="CN152" i="5"/>
  <c r="CO152" i="5"/>
  <c r="CP152" i="5"/>
  <c r="CQ152" i="5"/>
  <c r="CR152" i="5"/>
  <c r="CS152" i="5"/>
  <c r="CT152" i="5"/>
  <c r="CU152" i="5"/>
  <c r="CV152" i="5"/>
  <c r="CW152" i="5"/>
  <c r="CX152" i="5"/>
  <c r="CY152" i="5"/>
  <c r="CZ152" i="5"/>
  <c r="DA152" i="5"/>
  <c r="DB152" i="5"/>
  <c r="DC152" i="5"/>
  <c r="DD152" i="5"/>
  <c r="DE152" i="5"/>
  <c r="DF152" i="5"/>
  <c r="DG152" i="5"/>
  <c r="DH152" i="5"/>
  <c r="DI152" i="5"/>
  <c r="DJ152" i="5"/>
  <c r="DK152" i="5"/>
  <c r="DL152" i="5"/>
  <c r="DM152" i="5"/>
  <c r="DN152" i="5"/>
  <c r="DO152" i="5"/>
  <c r="DP152" i="5"/>
  <c r="DQ152" i="5"/>
  <c r="DR152" i="5"/>
  <c r="DS152" i="5"/>
  <c r="DT152" i="5"/>
  <c r="DU152" i="5"/>
  <c r="DV152" i="5"/>
  <c r="DW152" i="5"/>
  <c r="DX152" i="5"/>
  <c r="DY152" i="5"/>
  <c r="DZ152" i="5"/>
  <c r="EA152" i="5"/>
  <c r="EB152" i="5"/>
  <c r="EC152" i="5"/>
  <c r="ED152" i="5"/>
  <c r="EE152" i="5"/>
  <c r="EF152" i="5"/>
  <c r="EG152" i="5"/>
  <c r="EH152" i="5"/>
  <c r="EI152" i="5"/>
  <c r="EJ152" i="5"/>
  <c r="EK152" i="5"/>
  <c r="EL152" i="5"/>
  <c r="EM152" i="5"/>
  <c r="EN152" i="5"/>
  <c r="EO152" i="5"/>
  <c r="EP152" i="5"/>
  <c r="EQ152" i="5"/>
  <c r="ER152" i="5"/>
  <c r="ES152" i="5"/>
  <c r="ET152" i="5"/>
  <c r="EU152" i="5"/>
  <c r="EV152" i="5"/>
  <c r="EW152" i="5"/>
  <c r="EX152" i="5"/>
  <c r="EY152" i="5"/>
  <c r="EZ152" i="5"/>
  <c r="FA152" i="5"/>
  <c r="FB152" i="5"/>
  <c r="FC152" i="5"/>
  <c r="FD152" i="5"/>
  <c r="FE152" i="5"/>
  <c r="FF152" i="5"/>
  <c r="FG152" i="5"/>
  <c r="FH152" i="5"/>
  <c r="FI152" i="5"/>
  <c r="FJ152" i="5"/>
  <c r="FK152" i="5"/>
  <c r="FL152" i="5"/>
  <c r="FM152" i="5"/>
  <c r="FN152" i="5"/>
  <c r="FO152" i="5"/>
  <c r="FP152" i="5"/>
  <c r="FQ152" i="5"/>
  <c r="FR152" i="5"/>
  <c r="FS152" i="5"/>
  <c r="FT152" i="5"/>
  <c r="FU152" i="5"/>
  <c r="FV152" i="5"/>
  <c r="FW152" i="5"/>
  <c r="FX152" i="5"/>
  <c r="FY152" i="5"/>
  <c r="FZ152" i="5"/>
  <c r="GA152" i="5"/>
  <c r="GB152" i="5"/>
  <c r="GC152" i="5"/>
  <c r="GD152" i="5"/>
  <c r="GE152" i="5"/>
  <c r="GF152" i="5"/>
  <c r="GG152" i="5"/>
  <c r="GH152" i="5"/>
  <c r="GI152" i="5"/>
  <c r="GJ152" i="5"/>
  <c r="GK152" i="5"/>
  <c r="GL152" i="5"/>
  <c r="GM152" i="5"/>
  <c r="GN152" i="5"/>
  <c r="GO152" i="5"/>
  <c r="GP152" i="5"/>
  <c r="GQ152" i="5"/>
  <c r="GR152" i="5"/>
  <c r="GS152" i="5"/>
  <c r="GT152" i="5"/>
  <c r="GU152" i="5"/>
  <c r="GV152" i="5"/>
  <c r="GW152" i="5"/>
  <c r="GX152" i="5"/>
  <c r="GY152" i="5"/>
  <c r="GZ152" i="5"/>
  <c r="HA152" i="5"/>
  <c r="HB152" i="5"/>
  <c r="HC152" i="5"/>
  <c r="HD152" i="5"/>
  <c r="HE152" i="5"/>
  <c r="HF152" i="5"/>
  <c r="HG152" i="5"/>
  <c r="A153" i="5"/>
  <c r="B153" i="5"/>
  <c r="C153" i="5"/>
  <c r="D153" i="5"/>
  <c r="E153" i="5"/>
  <c r="F153" i="5"/>
  <c r="G153" i="5"/>
  <c r="H153" i="5"/>
  <c r="I153" i="5"/>
  <c r="J153" i="5"/>
  <c r="K153" i="5"/>
  <c r="L153" i="5"/>
  <c r="M153" i="5"/>
  <c r="N153" i="5"/>
  <c r="O153" i="5"/>
  <c r="P153" i="5"/>
  <c r="Q153" i="5"/>
  <c r="R153" i="5"/>
  <c r="S153" i="5"/>
  <c r="T153" i="5"/>
  <c r="U153" i="5"/>
  <c r="V153" i="5"/>
  <c r="W153" i="5"/>
  <c r="X153" i="5"/>
  <c r="Y153" i="5"/>
  <c r="Z153" i="5"/>
  <c r="AA153" i="5"/>
  <c r="AB153" i="5"/>
  <c r="AC153" i="5"/>
  <c r="AD153" i="5"/>
  <c r="AE153" i="5"/>
  <c r="AF153" i="5"/>
  <c r="AG153" i="5"/>
  <c r="AH153" i="5"/>
  <c r="AI153" i="5"/>
  <c r="AJ153" i="5"/>
  <c r="AK153" i="5"/>
  <c r="AL153" i="5"/>
  <c r="AM153" i="5"/>
  <c r="AN153" i="5"/>
  <c r="AO153" i="5"/>
  <c r="AP153" i="5"/>
  <c r="AQ153" i="5"/>
  <c r="AR153" i="5"/>
  <c r="AS153" i="5"/>
  <c r="AT153" i="5"/>
  <c r="AU153" i="5"/>
  <c r="AV153" i="5"/>
  <c r="AW153" i="5"/>
  <c r="AX153" i="5"/>
  <c r="AY153" i="5"/>
  <c r="AZ153" i="5"/>
  <c r="BA153" i="5"/>
  <c r="BB153" i="5"/>
  <c r="BC153" i="5"/>
  <c r="BD153" i="5"/>
  <c r="BE153" i="5"/>
  <c r="BF153" i="5"/>
  <c r="BG153" i="5"/>
  <c r="BH153" i="5"/>
  <c r="BI153" i="5"/>
  <c r="BJ153" i="5"/>
  <c r="BK153" i="5"/>
  <c r="BL153" i="5"/>
  <c r="BM153" i="5"/>
  <c r="BN153" i="5"/>
  <c r="BO153" i="5"/>
  <c r="BP153" i="5"/>
  <c r="BQ153" i="5"/>
  <c r="BR153" i="5"/>
  <c r="BS153" i="5"/>
  <c r="BT153" i="5"/>
  <c r="BU153" i="5"/>
  <c r="BV153" i="5"/>
  <c r="BW153" i="5"/>
  <c r="BX153" i="5"/>
  <c r="BY153" i="5"/>
  <c r="BZ153" i="5"/>
  <c r="CA153" i="5"/>
  <c r="CB153" i="5"/>
  <c r="CC153" i="5"/>
  <c r="CD153" i="5"/>
  <c r="CE153" i="5"/>
  <c r="CF153" i="5"/>
  <c r="CG153" i="5"/>
  <c r="CH153" i="5"/>
  <c r="CI153" i="5"/>
  <c r="CJ153" i="5"/>
  <c r="CK153" i="5"/>
  <c r="CL153" i="5"/>
  <c r="CM153" i="5"/>
  <c r="CN153" i="5"/>
  <c r="CO153" i="5"/>
  <c r="CP153" i="5"/>
  <c r="CQ153" i="5"/>
  <c r="CR153" i="5"/>
  <c r="CS153" i="5"/>
  <c r="CT153" i="5"/>
  <c r="CU153" i="5"/>
  <c r="CV153" i="5"/>
  <c r="CW153" i="5"/>
  <c r="CX153" i="5"/>
  <c r="CY153" i="5"/>
  <c r="CZ153" i="5"/>
  <c r="DA153" i="5"/>
  <c r="DB153" i="5"/>
  <c r="DC153" i="5"/>
  <c r="DD153" i="5"/>
  <c r="DE153" i="5"/>
  <c r="DF153" i="5"/>
  <c r="DG153" i="5"/>
  <c r="DH153" i="5"/>
  <c r="DI153" i="5"/>
  <c r="DJ153" i="5"/>
  <c r="DK153" i="5"/>
  <c r="DL153" i="5"/>
  <c r="DM153" i="5"/>
  <c r="DN153" i="5"/>
  <c r="DO153" i="5"/>
  <c r="DP153" i="5"/>
  <c r="DQ153" i="5"/>
  <c r="DR153" i="5"/>
  <c r="DS153" i="5"/>
  <c r="DT153" i="5"/>
  <c r="DU153" i="5"/>
  <c r="DV153" i="5"/>
  <c r="DW153" i="5"/>
  <c r="DX153" i="5"/>
  <c r="DY153" i="5"/>
  <c r="DZ153" i="5"/>
  <c r="EA153" i="5"/>
  <c r="EB153" i="5"/>
  <c r="EC153" i="5"/>
  <c r="ED153" i="5"/>
  <c r="EE153" i="5"/>
  <c r="EF153" i="5"/>
  <c r="EG153" i="5"/>
  <c r="EH153" i="5"/>
  <c r="EI153" i="5"/>
  <c r="EJ153" i="5"/>
  <c r="EK153" i="5"/>
  <c r="EL153" i="5"/>
  <c r="EM153" i="5"/>
  <c r="EN153" i="5"/>
  <c r="EO153" i="5"/>
  <c r="EP153" i="5"/>
  <c r="EQ153" i="5"/>
  <c r="ER153" i="5"/>
  <c r="ES153" i="5"/>
  <c r="ET153" i="5"/>
  <c r="EU153" i="5"/>
  <c r="EV153" i="5"/>
  <c r="EW153" i="5"/>
  <c r="EX153" i="5"/>
  <c r="EY153" i="5"/>
  <c r="EZ153" i="5"/>
  <c r="FA153" i="5"/>
  <c r="FB153" i="5"/>
  <c r="FC153" i="5"/>
  <c r="FD153" i="5"/>
  <c r="FE153" i="5"/>
  <c r="FF153" i="5"/>
  <c r="FG153" i="5"/>
  <c r="FH153" i="5"/>
  <c r="FI153" i="5"/>
  <c r="FJ153" i="5"/>
  <c r="FK153" i="5"/>
  <c r="FL153" i="5"/>
  <c r="FM153" i="5"/>
  <c r="FN153" i="5"/>
  <c r="FO153" i="5"/>
  <c r="FP153" i="5"/>
  <c r="FQ153" i="5"/>
  <c r="FR153" i="5"/>
  <c r="FS153" i="5"/>
  <c r="FT153" i="5"/>
  <c r="FU153" i="5"/>
  <c r="FV153" i="5"/>
  <c r="FW153" i="5"/>
  <c r="FX153" i="5"/>
  <c r="FY153" i="5"/>
  <c r="FZ153" i="5"/>
  <c r="GA153" i="5"/>
  <c r="GB153" i="5"/>
  <c r="GC153" i="5"/>
  <c r="GD153" i="5"/>
  <c r="GE153" i="5"/>
  <c r="GF153" i="5"/>
  <c r="GG153" i="5"/>
  <c r="GH153" i="5"/>
  <c r="GI153" i="5"/>
  <c r="GJ153" i="5"/>
  <c r="GK153" i="5"/>
  <c r="GL153" i="5"/>
  <c r="GM153" i="5"/>
  <c r="GN153" i="5"/>
  <c r="GO153" i="5"/>
  <c r="GP153" i="5"/>
  <c r="GQ153" i="5"/>
  <c r="GR153" i="5"/>
  <c r="GS153" i="5"/>
  <c r="GT153" i="5"/>
  <c r="GU153" i="5"/>
  <c r="GV153" i="5"/>
  <c r="GW153" i="5"/>
  <c r="GX153" i="5"/>
  <c r="GY153" i="5"/>
  <c r="GZ153" i="5"/>
  <c r="HA153" i="5"/>
  <c r="HB153" i="5"/>
  <c r="HC153" i="5"/>
  <c r="HD153" i="5"/>
  <c r="HE153" i="5"/>
  <c r="HF153" i="5"/>
  <c r="HG153" i="5"/>
  <c r="A154" i="5"/>
  <c r="B154" i="5"/>
  <c r="C154" i="5"/>
  <c r="D154" i="5"/>
  <c r="E154" i="5"/>
  <c r="F154" i="5"/>
  <c r="G154" i="5"/>
  <c r="H154" i="5"/>
  <c r="I154" i="5"/>
  <c r="J154" i="5"/>
  <c r="K154" i="5"/>
  <c r="L154" i="5"/>
  <c r="M154" i="5"/>
  <c r="N154" i="5"/>
  <c r="O154" i="5"/>
  <c r="P154" i="5"/>
  <c r="Q154" i="5"/>
  <c r="R154" i="5"/>
  <c r="S154" i="5"/>
  <c r="T154" i="5"/>
  <c r="U154" i="5"/>
  <c r="V154" i="5"/>
  <c r="W154" i="5"/>
  <c r="X154" i="5"/>
  <c r="Y154" i="5"/>
  <c r="Z154" i="5"/>
  <c r="AA154" i="5"/>
  <c r="AB154" i="5"/>
  <c r="AC154" i="5"/>
  <c r="AD154" i="5"/>
  <c r="AE154" i="5"/>
  <c r="AF154" i="5"/>
  <c r="AG154" i="5"/>
  <c r="AH154" i="5"/>
  <c r="AI154" i="5"/>
  <c r="AJ154" i="5"/>
  <c r="AK154" i="5"/>
  <c r="AL154" i="5"/>
  <c r="AM154" i="5"/>
  <c r="AN154" i="5"/>
  <c r="AO154" i="5"/>
  <c r="AP154" i="5"/>
  <c r="AQ154" i="5"/>
  <c r="AR154" i="5"/>
  <c r="AS154" i="5"/>
  <c r="AT154" i="5"/>
  <c r="AU154" i="5"/>
  <c r="AV154" i="5"/>
  <c r="AW154" i="5"/>
  <c r="AX154" i="5"/>
  <c r="AY154" i="5"/>
  <c r="AZ154" i="5"/>
  <c r="BA154" i="5"/>
  <c r="BB154" i="5"/>
  <c r="BC154" i="5"/>
  <c r="BD154" i="5"/>
  <c r="BE154" i="5"/>
  <c r="BF154" i="5"/>
  <c r="BG154" i="5"/>
  <c r="BH154" i="5"/>
  <c r="BI154" i="5"/>
  <c r="BJ154" i="5"/>
  <c r="BK154" i="5"/>
  <c r="BL154" i="5"/>
  <c r="BM154" i="5"/>
  <c r="BN154" i="5"/>
  <c r="BO154" i="5"/>
  <c r="BP154" i="5"/>
  <c r="BQ154" i="5"/>
  <c r="BR154" i="5"/>
  <c r="BS154" i="5"/>
  <c r="BT154" i="5"/>
  <c r="BU154" i="5"/>
  <c r="BV154" i="5"/>
  <c r="BW154" i="5"/>
  <c r="BX154" i="5"/>
  <c r="BY154" i="5"/>
  <c r="BZ154" i="5"/>
  <c r="CA154" i="5"/>
  <c r="CB154" i="5"/>
  <c r="CC154" i="5"/>
  <c r="CD154" i="5"/>
  <c r="CE154" i="5"/>
  <c r="CF154" i="5"/>
  <c r="CG154" i="5"/>
  <c r="CH154" i="5"/>
  <c r="CI154" i="5"/>
  <c r="CJ154" i="5"/>
  <c r="CK154" i="5"/>
  <c r="CL154" i="5"/>
  <c r="CM154" i="5"/>
  <c r="CN154" i="5"/>
  <c r="CO154" i="5"/>
  <c r="CP154" i="5"/>
  <c r="CQ154" i="5"/>
  <c r="CR154" i="5"/>
  <c r="CS154" i="5"/>
  <c r="CT154" i="5"/>
  <c r="CU154" i="5"/>
  <c r="CV154" i="5"/>
  <c r="CW154" i="5"/>
  <c r="CX154" i="5"/>
  <c r="CY154" i="5"/>
  <c r="CZ154" i="5"/>
  <c r="DA154" i="5"/>
  <c r="DB154" i="5"/>
  <c r="DC154" i="5"/>
  <c r="DD154" i="5"/>
  <c r="DE154" i="5"/>
  <c r="DF154" i="5"/>
  <c r="DG154" i="5"/>
  <c r="DH154" i="5"/>
  <c r="DI154" i="5"/>
  <c r="DJ154" i="5"/>
  <c r="DK154" i="5"/>
  <c r="DL154" i="5"/>
  <c r="DM154" i="5"/>
  <c r="DN154" i="5"/>
  <c r="DO154" i="5"/>
  <c r="DP154" i="5"/>
  <c r="DQ154" i="5"/>
  <c r="DR154" i="5"/>
  <c r="DS154" i="5"/>
  <c r="DT154" i="5"/>
  <c r="DU154" i="5"/>
  <c r="DV154" i="5"/>
  <c r="DW154" i="5"/>
  <c r="DX154" i="5"/>
  <c r="DY154" i="5"/>
  <c r="DZ154" i="5"/>
  <c r="EA154" i="5"/>
  <c r="EB154" i="5"/>
  <c r="EC154" i="5"/>
  <c r="ED154" i="5"/>
  <c r="EE154" i="5"/>
  <c r="EF154" i="5"/>
  <c r="EG154" i="5"/>
  <c r="EH154" i="5"/>
  <c r="EI154" i="5"/>
  <c r="EJ154" i="5"/>
  <c r="EK154" i="5"/>
  <c r="EL154" i="5"/>
  <c r="EM154" i="5"/>
  <c r="EN154" i="5"/>
  <c r="EO154" i="5"/>
  <c r="EP154" i="5"/>
  <c r="EQ154" i="5"/>
  <c r="ER154" i="5"/>
  <c r="ES154" i="5"/>
  <c r="ET154" i="5"/>
  <c r="EU154" i="5"/>
  <c r="EV154" i="5"/>
  <c r="EW154" i="5"/>
  <c r="EX154" i="5"/>
  <c r="EY154" i="5"/>
  <c r="EZ154" i="5"/>
  <c r="FA154" i="5"/>
  <c r="FB154" i="5"/>
  <c r="FC154" i="5"/>
  <c r="FD154" i="5"/>
  <c r="FE154" i="5"/>
  <c r="FF154" i="5"/>
  <c r="FG154" i="5"/>
  <c r="FH154" i="5"/>
  <c r="FI154" i="5"/>
  <c r="FJ154" i="5"/>
  <c r="FK154" i="5"/>
  <c r="FL154" i="5"/>
  <c r="FM154" i="5"/>
  <c r="FN154" i="5"/>
  <c r="FO154" i="5"/>
  <c r="FP154" i="5"/>
  <c r="FQ154" i="5"/>
  <c r="FR154" i="5"/>
  <c r="FS154" i="5"/>
  <c r="FT154" i="5"/>
  <c r="FU154" i="5"/>
  <c r="FV154" i="5"/>
  <c r="FW154" i="5"/>
  <c r="FX154" i="5"/>
  <c r="FY154" i="5"/>
  <c r="FZ154" i="5"/>
  <c r="GA154" i="5"/>
  <c r="GB154" i="5"/>
  <c r="GC154" i="5"/>
  <c r="GD154" i="5"/>
  <c r="GE154" i="5"/>
  <c r="GF154" i="5"/>
  <c r="GG154" i="5"/>
  <c r="GH154" i="5"/>
  <c r="GI154" i="5"/>
  <c r="GJ154" i="5"/>
  <c r="GK154" i="5"/>
  <c r="GL154" i="5"/>
  <c r="GM154" i="5"/>
  <c r="GN154" i="5"/>
  <c r="GO154" i="5"/>
  <c r="GP154" i="5"/>
  <c r="GQ154" i="5"/>
  <c r="GR154" i="5"/>
  <c r="GS154" i="5"/>
  <c r="GT154" i="5"/>
  <c r="GU154" i="5"/>
  <c r="GV154" i="5"/>
  <c r="GW154" i="5"/>
  <c r="GX154" i="5"/>
  <c r="GY154" i="5"/>
  <c r="GZ154" i="5"/>
  <c r="HA154" i="5"/>
  <c r="HB154" i="5"/>
  <c r="HC154" i="5"/>
  <c r="HD154" i="5"/>
  <c r="HE154" i="5"/>
  <c r="HF154" i="5"/>
  <c r="HG154" i="5"/>
  <c r="A155" i="5"/>
  <c r="B155" i="5"/>
  <c r="C155" i="5"/>
  <c r="D155" i="5"/>
  <c r="E155" i="5"/>
  <c r="F155" i="5"/>
  <c r="G155" i="5"/>
  <c r="H155" i="5"/>
  <c r="I155" i="5"/>
  <c r="J155" i="5"/>
  <c r="K155" i="5"/>
  <c r="L155" i="5"/>
  <c r="M155" i="5"/>
  <c r="N155" i="5"/>
  <c r="O155" i="5"/>
  <c r="P155" i="5"/>
  <c r="Q155" i="5"/>
  <c r="R155" i="5"/>
  <c r="S155" i="5"/>
  <c r="T155" i="5"/>
  <c r="U155" i="5"/>
  <c r="V155" i="5"/>
  <c r="W155" i="5"/>
  <c r="X155" i="5"/>
  <c r="Y155" i="5"/>
  <c r="Z155" i="5"/>
  <c r="AA155" i="5"/>
  <c r="AB155" i="5"/>
  <c r="AC155" i="5"/>
  <c r="AD155" i="5"/>
  <c r="AE155" i="5"/>
  <c r="AF155" i="5"/>
  <c r="AG155" i="5"/>
  <c r="AH155" i="5"/>
  <c r="AI155" i="5"/>
  <c r="AJ155" i="5"/>
  <c r="AK155" i="5"/>
  <c r="AL155" i="5"/>
  <c r="AM155" i="5"/>
  <c r="AN155" i="5"/>
  <c r="AO155" i="5"/>
  <c r="AP155" i="5"/>
  <c r="AQ155" i="5"/>
  <c r="AR155" i="5"/>
  <c r="AS155" i="5"/>
  <c r="AT155" i="5"/>
  <c r="AU155" i="5"/>
  <c r="AV155" i="5"/>
  <c r="AW155" i="5"/>
  <c r="AX155" i="5"/>
  <c r="AY155" i="5"/>
  <c r="AZ155" i="5"/>
  <c r="BA155" i="5"/>
  <c r="BB155" i="5"/>
  <c r="BC155" i="5"/>
  <c r="BD155" i="5"/>
  <c r="BE155" i="5"/>
  <c r="BF155" i="5"/>
  <c r="BG155" i="5"/>
  <c r="BH155" i="5"/>
  <c r="BI155" i="5"/>
  <c r="BJ155" i="5"/>
  <c r="BK155" i="5"/>
  <c r="BL155" i="5"/>
  <c r="BM155" i="5"/>
  <c r="BN155" i="5"/>
  <c r="BO155" i="5"/>
  <c r="BP155" i="5"/>
  <c r="BQ155" i="5"/>
  <c r="BR155" i="5"/>
  <c r="BS155" i="5"/>
  <c r="BT155" i="5"/>
  <c r="BU155" i="5"/>
  <c r="BV155" i="5"/>
  <c r="BW155" i="5"/>
  <c r="BX155" i="5"/>
  <c r="BY155" i="5"/>
  <c r="BZ155" i="5"/>
  <c r="CA155" i="5"/>
  <c r="CB155" i="5"/>
  <c r="CC155" i="5"/>
  <c r="CD155" i="5"/>
  <c r="CE155" i="5"/>
  <c r="CF155" i="5"/>
  <c r="CG155" i="5"/>
  <c r="CH155" i="5"/>
  <c r="CI155" i="5"/>
  <c r="CJ155" i="5"/>
  <c r="CK155" i="5"/>
  <c r="CL155" i="5"/>
  <c r="CM155" i="5"/>
  <c r="CN155" i="5"/>
  <c r="CO155" i="5"/>
  <c r="CP155" i="5"/>
  <c r="CQ155" i="5"/>
  <c r="CR155" i="5"/>
  <c r="CS155" i="5"/>
  <c r="CT155" i="5"/>
  <c r="CU155" i="5"/>
  <c r="CV155" i="5"/>
  <c r="CW155" i="5"/>
  <c r="CX155" i="5"/>
  <c r="CY155" i="5"/>
  <c r="CZ155" i="5"/>
  <c r="DA155" i="5"/>
  <c r="DB155" i="5"/>
  <c r="DC155" i="5"/>
  <c r="DD155" i="5"/>
  <c r="DE155" i="5"/>
  <c r="DF155" i="5"/>
  <c r="DG155" i="5"/>
  <c r="DH155" i="5"/>
  <c r="DI155" i="5"/>
  <c r="DJ155" i="5"/>
  <c r="DK155" i="5"/>
  <c r="DL155" i="5"/>
  <c r="DM155" i="5"/>
  <c r="DN155" i="5"/>
  <c r="DO155" i="5"/>
  <c r="DP155" i="5"/>
  <c r="DQ155" i="5"/>
  <c r="DR155" i="5"/>
  <c r="DS155" i="5"/>
  <c r="DT155" i="5"/>
  <c r="DU155" i="5"/>
  <c r="DV155" i="5"/>
  <c r="DW155" i="5"/>
  <c r="DX155" i="5"/>
  <c r="DY155" i="5"/>
  <c r="DZ155" i="5"/>
  <c r="EA155" i="5"/>
  <c r="EB155" i="5"/>
  <c r="EC155" i="5"/>
  <c r="ED155" i="5"/>
  <c r="EE155" i="5"/>
  <c r="EF155" i="5"/>
  <c r="EG155" i="5"/>
  <c r="EH155" i="5"/>
  <c r="EI155" i="5"/>
  <c r="EJ155" i="5"/>
  <c r="EK155" i="5"/>
  <c r="EL155" i="5"/>
  <c r="EM155" i="5"/>
  <c r="EN155" i="5"/>
  <c r="EO155" i="5"/>
  <c r="EP155" i="5"/>
  <c r="EQ155" i="5"/>
  <c r="ER155" i="5"/>
  <c r="ES155" i="5"/>
  <c r="ET155" i="5"/>
  <c r="EU155" i="5"/>
  <c r="EV155" i="5"/>
  <c r="EW155" i="5"/>
  <c r="EX155" i="5"/>
  <c r="EY155" i="5"/>
  <c r="EZ155" i="5"/>
  <c r="FA155" i="5"/>
  <c r="FB155" i="5"/>
  <c r="FC155" i="5"/>
  <c r="FD155" i="5"/>
  <c r="FE155" i="5"/>
  <c r="FF155" i="5"/>
  <c r="FG155" i="5"/>
  <c r="FH155" i="5"/>
  <c r="FI155" i="5"/>
  <c r="FJ155" i="5"/>
  <c r="FK155" i="5"/>
  <c r="FL155" i="5"/>
  <c r="FM155" i="5"/>
  <c r="FN155" i="5"/>
  <c r="FO155" i="5"/>
  <c r="FP155" i="5"/>
  <c r="FQ155" i="5"/>
  <c r="FR155" i="5"/>
  <c r="FS155" i="5"/>
  <c r="FT155" i="5"/>
  <c r="FU155" i="5"/>
  <c r="FV155" i="5"/>
  <c r="FW155" i="5"/>
  <c r="FX155" i="5"/>
  <c r="FY155" i="5"/>
  <c r="FZ155" i="5"/>
  <c r="GA155" i="5"/>
  <c r="GB155" i="5"/>
  <c r="GC155" i="5"/>
  <c r="GD155" i="5"/>
  <c r="GE155" i="5"/>
  <c r="GF155" i="5"/>
  <c r="GG155" i="5"/>
  <c r="GH155" i="5"/>
  <c r="GI155" i="5"/>
  <c r="GJ155" i="5"/>
  <c r="GK155" i="5"/>
  <c r="GL155" i="5"/>
  <c r="GM155" i="5"/>
  <c r="GN155" i="5"/>
  <c r="GO155" i="5"/>
  <c r="GP155" i="5"/>
  <c r="GQ155" i="5"/>
  <c r="GR155" i="5"/>
  <c r="GS155" i="5"/>
  <c r="GT155" i="5"/>
  <c r="GU155" i="5"/>
  <c r="GV155" i="5"/>
  <c r="GW155" i="5"/>
  <c r="GX155" i="5"/>
  <c r="GY155" i="5"/>
  <c r="GZ155" i="5"/>
  <c r="HA155" i="5"/>
  <c r="HB155" i="5"/>
  <c r="HC155" i="5"/>
  <c r="HD155" i="5"/>
  <c r="HE155" i="5"/>
  <c r="HF155" i="5"/>
  <c r="HG155" i="5"/>
  <c r="A156" i="5"/>
  <c r="B156" i="5"/>
  <c r="C156" i="5"/>
  <c r="D156" i="5"/>
  <c r="E156" i="5"/>
  <c r="F156" i="5"/>
  <c r="G156" i="5"/>
  <c r="H156" i="5"/>
  <c r="I156" i="5"/>
  <c r="J156" i="5"/>
  <c r="K156" i="5"/>
  <c r="L156" i="5"/>
  <c r="M156" i="5"/>
  <c r="N156" i="5"/>
  <c r="O156" i="5"/>
  <c r="P156" i="5"/>
  <c r="Q156" i="5"/>
  <c r="R156" i="5"/>
  <c r="S156" i="5"/>
  <c r="T156" i="5"/>
  <c r="U156" i="5"/>
  <c r="V156" i="5"/>
  <c r="W156" i="5"/>
  <c r="X156" i="5"/>
  <c r="Y156" i="5"/>
  <c r="Z156" i="5"/>
  <c r="AA156" i="5"/>
  <c r="AB156" i="5"/>
  <c r="AC156" i="5"/>
  <c r="AD156" i="5"/>
  <c r="AE156" i="5"/>
  <c r="AF156" i="5"/>
  <c r="AG156" i="5"/>
  <c r="AH156" i="5"/>
  <c r="AI156" i="5"/>
  <c r="AJ156" i="5"/>
  <c r="AK156" i="5"/>
  <c r="AL156" i="5"/>
  <c r="AM156" i="5"/>
  <c r="AN156" i="5"/>
  <c r="AO156" i="5"/>
  <c r="AP156" i="5"/>
  <c r="AQ156" i="5"/>
  <c r="AR156" i="5"/>
  <c r="AS156" i="5"/>
  <c r="AT156" i="5"/>
  <c r="AU156" i="5"/>
  <c r="AV156" i="5"/>
  <c r="AW156" i="5"/>
  <c r="AX156" i="5"/>
  <c r="AY156" i="5"/>
  <c r="AZ156" i="5"/>
  <c r="BA156" i="5"/>
  <c r="BB156" i="5"/>
  <c r="BC156" i="5"/>
  <c r="BD156" i="5"/>
  <c r="BE156" i="5"/>
  <c r="BF156" i="5"/>
  <c r="BG156" i="5"/>
  <c r="BH156" i="5"/>
  <c r="BI156" i="5"/>
  <c r="BJ156" i="5"/>
  <c r="BK156" i="5"/>
  <c r="BL156" i="5"/>
  <c r="BM156" i="5"/>
  <c r="BN156" i="5"/>
  <c r="BO156" i="5"/>
  <c r="BP156" i="5"/>
  <c r="BQ156" i="5"/>
  <c r="BR156" i="5"/>
  <c r="BS156" i="5"/>
  <c r="BT156" i="5"/>
  <c r="BU156" i="5"/>
  <c r="BV156" i="5"/>
  <c r="BW156" i="5"/>
  <c r="BX156" i="5"/>
  <c r="BY156" i="5"/>
  <c r="BZ156" i="5"/>
  <c r="CA156" i="5"/>
  <c r="CB156" i="5"/>
  <c r="CC156" i="5"/>
  <c r="CD156" i="5"/>
  <c r="CE156" i="5"/>
  <c r="CF156" i="5"/>
  <c r="CG156" i="5"/>
  <c r="CH156" i="5"/>
  <c r="CI156" i="5"/>
  <c r="CJ156" i="5"/>
  <c r="CK156" i="5"/>
  <c r="CL156" i="5"/>
  <c r="CM156" i="5"/>
  <c r="CN156" i="5"/>
  <c r="CO156" i="5"/>
  <c r="CP156" i="5"/>
  <c r="CQ156" i="5"/>
  <c r="CR156" i="5"/>
  <c r="CS156" i="5"/>
  <c r="CT156" i="5"/>
  <c r="CU156" i="5"/>
  <c r="CV156" i="5"/>
  <c r="CW156" i="5"/>
  <c r="CX156" i="5"/>
  <c r="CY156" i="5"/>
  <c r="CZ156" i="5"/>
  <c r="DA156" i="5"/>
  <c r="DB156" i="5"/>
  <c r="DC156" i="5"/>
  <c r="DD156" i="5"/>
  <c r="DE156" i="5"/>
  <c r="DF156" i="5"/>
  <c r="DG156" i="5"/>
  <c r="DH156" i="5"/>
  <c r="DI156" i="5"/>
  <c r="DJ156" i="5"/>
  <c r="DK156" i="5"/>
  <c r="DL156" i="5"/>
  <c r="DM156" i="5"/>
  <c r="DN156" i="5"/>
  <c r="DO156" i="5"/>
  <c r="DP156" i="5"/>
  <c r="DQ156" i="5"/>
  <c r="DR156" i="5"/>
  <c r="DS156" i="5"/>
  <c r="DT156" i="5"/>
  <c r="DU156" i="5"/>
  <c r="DV156" i="5"/>
  <c r="DW156" i="5"/>
  <c r="DX156" i="5"/>
  <c r="DY156" i="5"/>
  <c r="DZ156" i="5"/>
  <c r="EA156" i="5"/>
  <c r="EB156" i="5"/>
  <c r="EC156" i="5"/>
  <c r="ED156" i="5"/>
  <c r="EE156" i="5"/>
  <c r="EF156" i="5"/>
  <c r="EG156" i="5"/>
  <c r="EH156" i="5"/>
  <c r="EI156" i="5"/>
  <c r="EJ156" i="5"/>
  <c r="EK156" i="5"/>
  <c r="EL156" i="5"/>
  <c r="EM156" i="5"/>
  <c r="EN156" i="5"/>
  <c r="EO156" i="5"/>
  <c r="EP156" i="5"/>
  <c r="EQ156" i="5"/>
  <c r="ER156" i="5"/>
  <c r="ES156" i="5"/>
  <c r="ET156" i="5"/>
  <c r="EU156" i="5"/>
  <c r="EV156" i="5"/>
  <c r="EW156" i="5"/>
  <c r="EX156" i="5"/>
  <c r="EY156" i="5"/>
  <c r="EZ156" i="5"/>
  <c r="FA156" i="5"/>
  <c r="FB156" i="5"/>
  <c r="FC156" i="5"/>
  <c r="FD156" i="5"/>
  <c r="FE156" i="5"/>
  <c r="FF156" i="5"/>
  <c r="FG156" i="5"/>
  <c r="FH156" i="5"/>
  <c r="FI156" i="5"/>
  <c r="FJ156" i="5"/>
  <c r="FK156" i="5"/>
  <c r="FL156" i="5"/>
  <c r="FM156" i="5"/>
  <c r="FN156" i="5"/>
  <c r="FO156" i="5"/>
  <c r="FP156" i="5"/>
  <c r="FQ156" i="5"/>
  <c r="FR156" i="5"/>
  <c r="FS156" i="5"/>
  <c r="FT156" i="5"/>
  <c r="FU156" i="5"/>
  <c r="FV156" i="5"/>
  <c r="FW156" i="5"/>
  <c r="FX156" i="5"/>
  <c r="FY156" i="5"/>
  <c r="FZ156" i="5"/>
  <c r="GA156" i="5"/>
  <c r="GB156" i="5"/>
  <c r="GC156" i="5"/>
  <c r="GD156" i="5"/>
  <c r="GE156" i="5"/>
  <c r="GF156" i="5"/>
  <c r="GG156" i="5"/>
  <c r="GH156" i="5"/>
  <c r="GI156" i="5"/>
  <c r="GJ156" i="5"/>
  <c r="GK156" i="5"/>
  <c r="GL156" i="5"/>
  <c r="GM156" i="5"/>
  <c r="GN156" i="5"/>
  <c r="GO156" i="5"/>
  <c r="GP156" i="5"/>
  <c r="GQ156" i="5"/>
  <c r="GR156" i="5"/>
  <c r="GS156" i="5"/>
  <c r="GT156" i="5"/>
  <c r="GU156" i="5"/>
  <c r="GV156" i="5"/>
  <c r="GW156" i="5"/>
  <c r="GX156" i="5"/>
  <c r="GY156" i="5"/>
  <c r="GZ156" i="5"/>
  <c r="HA156" i="5"/>
  <c r="HB156" i="5"/>
  <c r="HC156" i="5"/>
  <c r="HD156" i="5"/>
  <c r="HE156" i="5"/>
  <c r="HF156" i="5"/>
  <c r="HG156" i="5"/>
  <c r="A157" i="5"/>
  <c r="B157" i="5"/>
  <c r="C157" i="5"/>
  <c r="D157" i="5"/>
  <c r="E157" i="5"/>
  <c r="F157" i="5"/>
  <c r="G157" i="5"/>
  <c r="H157" i="5"/>
  <c r="I157" i="5"/>
  <c r="J157" i="5"/>
  <c r="K157" i="5"/>
  <c r="L157" i="5"/>
  <c r="M157" i="5"/>
  <c r="N157" i="5"/>
  <c r="O157" i="5"/>
  <c r="P157" i="5"/>
  <c r="Q157" i="5"/>
  <c r="R157" i="5"/>
  <c r="S157" i="5"/>
  <c r="T157" i="5"/>
  <c r="U157" i="5"/>
  <c r="V157" i="5"/>
  <c r="W157" i="5"/>
  <c r="X157" i="5"/>
  <c r="Y157" i="5"/>
  <c r="Z157" i="5"/>
  <c r="AA157" i="5"/>
  <c r="AB157" i="5"/>
  <c r="AC157" i="5"/>
  <c r="AD157" i="5"/>
  <c r="AE157" i="5"/>
  <c r="AF157" i="5"/>
  <c r="AG157" i="5"/>
  <c r="AH157" i="5"/>
  <c r="AI157" i="5"/>
  <c r="AJ157" i="5"/>
  <c r="AK157" i="5"/>
  <c r="AL157" i="5"/>
  <c r="AM157" i="5"/>
  <c r="AN157" i="5"/>
  <c r="AO157" i="5"/>
  <c r="AP157" i="5"/>
  <c r="AQ157" i="5"/>
  <c r="AR157" i="5"/>
  <c r="AS157" i="5"/>
  <c r="AT157" i="5"/>
  <c r="AU157" i="5"/>
  <c r="AV157" i="5"/>
  <c r="AW157" i="5"/>
  <c r="AX157" i="5"/>
  <c r="AY157" i="5"/>
  <c r="AZ157" i="5"/>
  <c r="BA157" i="5"/>
  <c r="BB157" i="5"/>
  <c r="BC157" i="5"/>
  <c r="BD157" i="5"/>
  <c r="BE157" i="5"/>
  <c r="BF157" i="5"/>
  <c r="BG157" i="5"/>
  <c r="BH157" i="5"/>
  <c r="BI157" i="5"/>
  <c r="BJ157" i="5"/>
  <c r="BK157" i="5"/>
  <c r="BL157" i="5"/>
  <c r="BM157" i="5"/>
  <c r="BN157" i="5"/>
  <c r="BO157" i="5"/>
  <c r="BP157" i="5"/>
  <c r="BQ157" i="5"/>
  <c r="BR157" i="5"/>
  <c r="BS157" i="5"/>
  <c r="BT157" i="5"/>
  <c r="BU157" i="5"/>
  <c r="BV157" i="5"/>
  <c r="BW157" i="5"/>
  <c r="BX157" i="5"/>
  <c r="BY157" i="5"/>
  <c r="BZ157" i="5"/>
  <c r="CA157" i="5"/>
  <c r="CB157" i="5"/>
  <c r="CC157" i="5"/>
  <c r="CD157" i="5"/>
  <c r="CE157" i="5"/>
  <c r="CF157" i="5"/>
  <c r="CG157" i="5"/>
  <c r="CH157" i="5"/>
  <c r="CI157" i="5"/>
  <c r="CJ157" i="5"/>
  <c r="CK157" i="5"/>
  <c r="CL157" i="5"/>
  <c r="CM157" i="5"/>
  <c r="CN157" i="5"/>
  <c r="CO157" i="5"/>
  <c r="CP157" i="5"/>
  <c r="CQ157" i="5"/>
  <c r="CR157" i="5"/>
  <c r="CS157" i="5"/>
  <c r="CT157" i="5"/>
  <c r="CU157" i="5"/>
  <c r="CV157" i="5"/>
  <c r="CW157" i="5"/>
  <c r="CX157" i="5"/>
  <c r="CY157" i="5"/>
  <c r="CZ157" i="5"/>
  <c r="DA157" i="5"/>
  <c r="DB157" i="5"/>
  <c r="DC157" i="5"/>
  <c r="DD157" i="5"/>
  <c r="DE157" i="5"/>
  <c r="DF157" i="5"/>
  <c r="DG157" i="5"/>
  <c r="DH157" i="5"/>
  <c r="DI157" i="5"/>
  <c r="DJ157" i="5"/>
  <c r="DK157" i="5"/>
  <c r="DL157" i="5"/>
  <c r="DM157" i="5"/>
  <c r="DN157" i="5"/>
  <c r="DO157" i="5"/>
  <c r="DP157" i="5"/>
  <c r="DQ157" i="5"/>
  <c r="DR157" i="5"/>
  <c r="DS157" i="5"/>
  <c r="DT157" i="5"/>
  <c r="DU157" i="5"/>
  <c r="DV157" i="5"/>
  <c r="DW157" i="5"/>
  <c r="DX157" i="5"/>
  <c r="DY157" i="5"/>
  <c r="DZ157" i="5"/>
  <c r="EA157" i="5"/>
  <c r="EB157" i="5"/>
  <c r="EC157" i="5"/>
  <c r="ED157" i="5"/>
  <c r="EE157" i="5"/>
  <c r="EF157" i="5"/>
  <c r="EG157" i="5"/>
  <c r="EH157" i="5"/>
  <c r="EI157" i="5"/>
  <c r="EJ157" i="5"/>
  <c r="EK157" i="5"/>
  <c r="EL157" i="5"/>
  <c r="EM157" i="5"/>
  <c r="EN157" i="5"/>
  <c r="EO157" i="5"/>
  <c r="EP157" i="5"/>
  <c r="EQ157" i="5"/>
  <c r="ER157" i="5"/>
  <c r="ES157" i="5"/>
  <c r="ET157" i="5"/>
  <c r="EU157" i="5"/>
  <c r="EV157" i="5"/>
  <c r="EW157" i="5"/>
  <c r="EX157" i="5"/>
  <c r="EY157" i="5"/>
  <c r="EZ157" i="5"/>
  <c r="FA157" i="5"/>
  <c r="FB157" i="5"/>
  <c r="FC157" i="5"/>
  <c r="FD157" i="5"/>
  <c r="FE157" i="5"/>
  <c r="FF157" i="5"/>
  <c r="FG157" i="5"/>
  <c r="FH157" i="5"/>
  <c r="FI157" i="5"/>
  <c r="FJ157" i="5"/>
  <c r="FK157" i="5"/>
  <c r="FL157" i="5"/>
  <c r="FM157" i="5"/>
  <c r="FN157" i="5"/>
  <c r="FO157" i="5"/>
  <c r="FP157" i="5"/>
  <c r="FQ157" i="5"/>
  <c r="FR157" i="5"/>
  <c r="FS157" i="5"/>
  <c r="FT157" i="5"/>
  <c r="FU157" i="5"/>
  <c r="FV157" i="5"/>
  <c r="FW157" i="5"/>
  <c r="FX157" i="5"/>
  <c r="FY157" i="5"/>
  <c r="FZ157" i="5"/>
  <c r="GA157" i="5"/>
  <c r="GB157" i="5"/>
  <c r="GC157" i="5"/>
  <c r="GD157" i="5"/>
  <c r="GE157" i="5"/>
  <c r="GF157" i="5"/>
  <c r="GG157" i="5"/>
  <c r="GH157" i="5"/>
  <c r="GI157" i="5"/>
  <c r="GJ157" i="5"/>
  <c r="GK157" i="5"/>
  <c r="GL157" i="5"/>
  <c r="GM157" i="5"/>
  <c r="GN157" i="5"/>
  <c r="GO157" i="5"/>
  <c r="GP157" i="5"/>
  <c r="GQ157" i="5"/>
  <c r="GR157" i="5"/>
  <c r="GS157" i="5"/>
  <c r="GT157" i="5"/>
  <c r="GU157" i="5"/>
  <c r="GV157" i="5"/>
  <c r="GW157" i="5"/>
  <c r="GX157" i="5"/>
  <c r="GY157" i="5"/>
  <c r="GZ157" i="5"/>
  <c r="HA157" i="5"/>
  <c r="HB157" i="5"/>
  <c r="HC157" i="5"/>
  <c r="HD157" i="5"/>
  <c r="HE157" i="5"/>
  <c r="HF157" i="5"/>
  <c r="HG157" i="5"/>
  <c r="A158" i="5"/>
  <c r="B158" i="5"/>
  <c r="C158" i="5"/>
  <c r="D158" i="5"/>
  <c r="E158" i="5"/>
  <c r="F158" i="5"/>
  <c r="G158" i="5"/>
  <c r="H158" i="5"/>
  <c r="I158" i="5"/>
  <c r="J158" i="5"/>
  <c r="K158" i="5"/>
  <c r="L158" i="5"/>
  <c r="M158" i="5"/>
  <c r="N158" i="5"/>
  <c r="O158" i="5"/>
  <c r="P158" i="5"/>
  <c r="Q158" i="5"/>
  <c r="R158" i="5"/>
  <c r="S158" i="5"/>
  <c r="T158" i="5"/>
  <c r="U158" i="5"/>
  <c r="V158" i="5"/>
  <c r="W158" i="5"/>
  <c r="X158" i="5"/>
  <c r="Y158" i="5"/>
  <c r="Z158" i="5"/>
  <c r="AA158" i="5"/>
  <c r="AB158" i="5"/>
  <c r="AC158" i="5"/>
  <c r="AD158" i="5"/>
  <c r="AE158" i="5"/>
  <c r="AF158" i="5"/>
  <c r="AG158" i="5"/>
  <c r="AH158" i="5"/>
  <c r="AI158" i="5"/>
  <c r="AJ158" i="5"/>
  <c r="AK158" i="5"/>
  <c r="AL158" i="5"/>
  <c r="AM158" i="5"/>
  <c r="AN158" i="5"/>
  <c r="AO158" i="5"/>
  <c r="AP158" i="5"/>
  <c r="AQ158" i="5"/>
  <c r="AR158" i="5"/>
  <c r="AS158" i="5"/>
  <c r="AT158" i="5"/>
  <c r="AU158" i="5"/>
  <c r="AV158" i="5"/>
  <c r="AW158" i="5"/>
  <c r="AX158" i="5"/>
  <c r="AY158" i="5"/>
  <c r="AZ158" i="5"/>
  <c r="BA158" i="5"/>
  <c r="BB158" i="5"/>
  <c r="BC158" i="5"/>
  <c r="BD158" i="5"/>
  <c r="BE158" i="5"/>
  <c r="BF158" i="5"/>
  <c r="BG158" i="5"/>
  <c r="BH158" i="5"/>
  <c r="BI158" i="5"/>
  <c r="BJ158" i="5"/>
  <c r="BK158" i="5"/>
  <c r="BL158" i="5"/>
  <c r="BM158" i="5"/>
  <c r="BN158" i="5"/>
  <c r="BO158" i="5"/>
  <c r="BP158" i="5"/>
  <c r="BQ158" i="5"/>
  <c r="BR158" i="5"/>
  <c r="BS158" i="5"/>
  <c r="BT158" i="5"/>
  <c r="BU158" i="5"/>
  <c r="BV158" i="5"/>
  <c r="BW158" i="5"/>
  <c r="BX158" i="5"/>
  <c r="BY158" i="5"/>
  <c r="BZ158" i="5"/>
  <c r="CA158" i="5"/>
  <c r="CB158" i="5"/>
  <c r="CC158" i="5"/>
  <c r="CD158" i="5"/>
  <c r="CE158" i="5"/>
  <c r="CF158" i="5"/>
  <c r="CG158" i="5"/>
  <c r="CH158" i="5"/>
  <c r="CI158" i="5"/>
  <c r="CJ158" i="5"/>
  <c r="CK158" i="5"/>
  <c r="CL158" i="5"/>
  <c r="CM158" i="5"/>
  <c r="CN158" i="5"/>
  <c r="CO158" i="5"/>
  <c r="CP158" i="5"/>
  <c r="CQ158" i="5"/>
  <c r="CR158" i="5"/>
  <c r="CS158" i="5"/>
  <c r="CT158" i="5"/>
  <c r="CU158" i="5"/>
  <c r="CV158" i="5"/>
  <c r="CW158" i="5"/>
  <c r="CX158" i="5"/>
  <c r="CY158" i="5"/>
  <c r="CZ158" i="5"/>
  <c r="DA158" i="5"/>
  <c r="DB158" i="5"/>
  <c r="DC158" i="5"/>
  <c r="DD158" i="5"/>
  <c r="DE158" i="5"/>
  <c r="DF158" i="5"/>
  <c r="DG158" i="5"/>
  <c r="DH158" i="5"/>
  <c r="DI158" i="5"/>
  <c r="DJ158" i="5"/>
  <c r="DK158" i="5"/>
  <c r="DL158" i="5"/>
  <c r="DM158" i="5"/>
  <c r="DN158" i="5"/>
  <c r="DO158" i="5"/>
  <c r="DP158" i="5"/>
  <c r="DQ158" i="5"/>
  <c r="DR158" i="5"/>
  <c r="DS158" i="5"/>
  <c r="DT158" i="5"/>
  <c r="DU158" i="5"/>
  <c r="DV158" i="5"/>
  <c r="DW158" i="5"/>
  <c r="DX158" i="5"/>
  <c r="DY158" i="5"/>
  <c r="DZ158" i="5"/>
  <c r="EA158" i="5"/>
  <c r="EB158" i="5"/>
  <c r="EC158" i="5"/>
  <c r="ED158" i="5"/>
  <c r="EE158" i="5"/>
  <c r="EF158" i="5"/>
  <c r="EG158" i="5"/>
  <c r="EH158" i="5"/>
  <c r="EI158" i="5"/>
  <c r="EJ158" i="5"/>
  <c r="EK158" i="5"/>
  <c r="EL158" i="5"/>
  <c r="EM158" i="5"/>
  <c r="EN158" i="5"/>
  <c r="EO158" i="5"/>
  <c r="EP158" i="5"/>
  <c r="EQ158" i="5"/>
  <c r="ER158" i="5"/>
  <c r="ES158" i="5"/>
  <c r="ET158" i="5"/>
  <c r="EU158" i="5"/>
  <c r="EV158" i="5"/>
  <c r="EW158" i="5"/>
  <c r="EX158" i="5"/>
  <c r="EY158" i="5"/>
  <c r="EZ158" i="5"/>
  <c r="FA158" i="5"/>
  <c r="FB158" i="5"/>
  <c r="FC158" i="5"/>
  <c r="FD158" i="5"/>
  <c r="FE158" i="5"/>
  <c r="FF158" i="5"/>
  <c r="FG158" i="5"/>
  <c r="FH158" i="5"/>
  <c r="FI158" i="5"/>
  <c r="FJ158" i="5"/>
  <c r="FK158" i="5"/>
  <c r="FL158" i="5"/>
  <c r="FM158" i="5"/>
  <c r="FN158" i="5"/>
  <c r="FO158" i="5"/>
  <c r="FP158" i="5"/>
  <c r="FQ158" i="5"/>
  <c r="FR158" i="5"/>
  <c r="FS158" i="5"/>
  <c r="FT158" i="5"/>
  <c r="FU158" i="5"/>
  <c r="FV158" i="5"/>
  <c r="FW158" i="5"/>
  <c r="FX158" i="5"/>
  <c r="FY158" i="5"/>
  <c r="FZ158" i="5"/>
  <c r="GA158" i="5"/>
  <c r="GB158" i="5"/>
  <c r="GC158" i="5"/>
  <c r="GD158" i="5"/>
  <c r="GE158" i="5"/>
  <c r="GF158" i="5"/>
  <c r="GG158" i="5"/>
  <c r="GH158" i="5"/>
  <c r="GI158" i="5"/>
  <c r="GJ158" i="5"/>
  <c r="GK158" i="5"/>
  <c r="GL158" i="5"/>
  <c r="GM158" i="5"/>
  <c r="GN158" i="5"/>
  <c r="GO158" i="5"/>
  <c r="GP158" i="5"/>
  <c r="GQ158" i="5"/>
  <c r="GR158" i="5"/>
  <c r="GS158" i="5"/>
  <c r="GT158" i="5"/>
  <c r="GU158" i="5"/>
  <c r="GV158" i="5"/>
  <c r="GW158" i="5"/>
  <c r="GX158" i="5"/>
  <c r="GY158" i="5"/>
  <c r="GZ158" i="5"/>
  <c r="HA158" i="5"/>
  <c r="HB158" i="5"/>
  <c r="HC158" i="5"/>
  <c r="HD158" i="5"/>
  <c r="HE158" i="5"/>
  <c r="HF158" i="5"/>
  <c r="HG158" i="5"/>
  <c r="A159" i="5"/>
  <c r="B159" i="5"/>
  <c r="C159" i="5"/>
  <c r="D159" i="5"/>
  <c r="E159" i="5"/>
  <c r="F159" i="5"/>
  <c r="G159" i="5"/>
  <c r="H159" i="5"/>
  <c r="I159" i="5"/>
  <c r="J159" i="5"/>
  <c r="K159" i="5"/>
  <c r="L159" i="5"/>
  <c r="M159" i="5"/>
  <c r="N159" i="5"/>
  <c r="O159" i="5"/>
  <c r="P159" i="5"/>
  <c r="Q159" i="5"/>
  <c r="R159" i="5"/>
  <c r="S159" i="5"/>
  <c r="T159" i="5"/>
  <c r="U159" i="5"/>
  <c r="V159" i="5"/>
  <c r="W159" i="5"/>
  <c r="X159" i="5"/>
  <c r="Y159" i="5"/>
  <c r="Z159" i="5"/>
  <c r="AA159" i="5"/>
  <c r="AB159" i="5"/>
  <c r="AC159" i="5"/>
  <c r="AD159" i="5"/>
  <c r="AE159" i="5"/>
  <c r="AF159" i="5"/>
  <c r="AG159" i="5"/>
  <c r="AH159" i="5"/>
  <c r="AI159" i="5"/>
  <c r="AJ159" i="5"/>
  <c r="AK159" i="5"/>
  <c r="AL159" i="5"/>
  <c r="AM159" i="5"/>
  <c r="AN159" i="5"/>
  <c r="AO159" i="5"/>
  <c r="AP159" i="5"/>
  <c r="AQ159" i="5"/>
  <c r="AR159" i="5"/>
  <c r="AS159" i="5"/>
  <c r="AT159" i="5"/>
  <c r="AU159" i="5"/>
  <c r="AV159" i="5"/>
  <c r="AW159" i="5"/>
  <c r="AX159" i="5"/>
  <c r="AY159" i="5"/>
  <c r="AZ159" i="5"/>
  <c r="BA159" i="5"/>
  <c r="BB159" i="5"/>
  <c r="BC159" i="5"/>
  <c r="BD159" i="5"/>
  <c r="BE159" i="5"/>
  <c r="BF159" i="5"/>
  <c r="BG159" i="5"/>
  <c r="BH159" i="5"/>
  <c r="BI159" i="5"/>
  <c r="BJ159" i="5"/>
  <c r="BK159" i="5"/>
  <c r="BL159" i="5"/>
  <c r="BM159" i="5"/>
  <c r="BN159" i="5"/>
  <c r="BO159" i="5"/>
  <c r="BP159" i="5"/>
  <c r="BQ159" i="5"/>
  <c r="BR159" i="5"/>
  <c r="BS159" i="5"/>
  <c r="BT159" i="5"/>
  <c r="BU159" i="5"/>
  <c r="BV159" i="5"/>
  <c r="BW159" i="5"/>
  <c r="BX159" i="5"/>
  <c r="BY159" i="5"/>
  <c r="BZ159" i="5"/>
  <c r="CA159" i="5"/>
  <c r="CB159" i="5"/>
  <c r="CC159" i="5"/>
  <c r="CD159" i="5"/>
  <c r="CE159" i="5"/>
  <c r="CF159" i="5"/>
  <c r="CG159" i="5"/>
  <c r="CH159" i="5"/>
  <c r="CI159" i="5"/>
  <c r="CJ159" i="5"/>
  <c r="CK159" i="5"/>
  <c r="CL159" i="5"/>
  <c r="CM159" i="5"/>
  <c r="CN159" i="5"/>
  <c r="CO159" i="5"/>
  <c r="CP159" i="5"/>
  <c r="CQ159" i="5"/>
  <c r="CR159" i="5"/>
  <c r="CS159" i="5"/>
  <c r="CT159" i="5"/>
  <c r="CU159" i="5"/>
  <c r="CV159" i="5"/>
  <c r="CW159" i="5"/>
  <c r="CX159" i="5"/>
  <c r="CY159" i="5"/>
  <c r="CZ159" i="5"/>
  <c r="DA159" i="5"/>
  <c r="DB159" i="5"/>
  <c r="DC159" i="5"/>
  <c r="DD159" i="5"/>
  <c r="DE159" i="5"/>
  <c r="DF159" i="5"/>
  <c r="DG159" i="5"/>
  <c r="DH159" i="5"/>
  <c r="DI159" i="5"/>
  <c r="DJ159" i="5"/>
  <c r="DK159" i="5"/>
  <c r="DL159" i="5"/>
  <c r="DM159" i="5"/>
  <c r="DN159" i="5"/>
  <c r="DO159" i="5"/>
  <c r="DP159" i="5"/>
  <c r="DQ159" i="5"/>
  <c r="DR159" i="5"/>
  <c r="DS159" i="5"/>
  <c r="DT159" i="5"/>
  <c r="DU159" i="5"/>
  <c r="DV159" i="5"/>
  <c r="DW159" i="5"/>
  <c r="DX159" i="5"/>
  <c r="DY159" i="5"/>
  <c r="DZ159" i="5"/>
  <c r="EA159" i="5"/>
  <c r="EB159" i="5"/>
  <c r="EC159" i="5"/>
  <c r="ED159" i="5"/>
  <c r="EE159" i="5"/>
  <c r="EF159" i="5"/>
  <c r="EG159" i="5"/>
  <c r="EH159" i="5"/>
  <c r="EI159" i="5"/>
  <c r="EJ159" i="5"/>
  <c r="EK159" i="5"/>
  <c r="EL159" i="5"/>
  <c r="EM159" i="5"/>
  <c r="EN159" i="5"/>
  <c r="EO159" i="5"/>
  <c r="EP159" i="5"/>
  <c r="EQ159" i="5"/>
  <c r="ER159" i="5"/>
  <c r="ES159" i="5"/>
  <c r="ET159" i="5"/>
  <c r="EU159" i="5"/>
  <c r="EV159" i="5"/>
  <c r="EW159" i="5"/>
  <c r="EX159" i="5"/>
  <c r="EY159" i="5"/>
  <c r="EZ159" i="5"/>
  <c r="FA159" i="5"/>
  <c r="FB159" i="5"/>
  <c r="FC159" i="5"/>
  <c r="FD159" i="5"/>
  <c r="FE159" i="5"/>
  <c r="FF159" i="5"/>
  <c r="FG159" i="5"/>
  <c r="FH159" i="5"/>
  <c r="FI159" i="5"/>
  <c r="FJ159" i="5"/>
  <c r="FK159" i="5"/>
  <c r="FL159" i="5"/>
  <c r="FM159" i="5"/>
  <c r="FN159" i="5"/>
  <c r="FO159" i="5"/>
  <c r="FP159" i="5"/>
  <c r="FQ159" i="5"/>
  <c r="FR159" i="5"/>
  <c r="FS159" i="5"/>
  <c r="FT159" i="5"/>
  <c r="FU159" i="5"/>
  <c r="FV159" i="5"/>
  <c r="FW159" i="5"/>
  <c r="FX159" i="5"/>
  <c r="FY159" i="5"/>
  <c r="FZ159" i="5"/>
  <c r="GA159" i="5"/>
  <c r="GB159" i="5"/>
  <c r="GC159" i="5"/>
  <c r="GD159" i="5"/>
  <c r="GE159" i="5"/>
  <c r="GF159" i="5"/>
  <c r="GG159" i="5"/>
  <c r="GH159" i="5"/>
  <c r="GI159" i="5"/>
  <c r="GJ159" i="5"/>
  <c r="GK159" i="5"/>
  <c r="GL159" i="5"/>
  <c r="GM159" i="5"/>
  <c r="GN159" i="5"/>
  <c r="GO159" i="5"/>
  <c r="GP159" i="5"/>
  <c r="GQ159" i="5"/>
  <c r="GR159" i="5"/>
  <c r="GS159" i="5"/>
  <c r="GT159" i="5"/>
  <c r="GU159" i="5"/>
  <c r="GV159" i="5"/>
  <c r="GW159" i="5"/>
  <c r="GX159" i="5"/>
  <c r="GY159" i="5"/>
  <c r="GZ159" i="5"/>
  <c r="HA159" i="5"/>
  <c r="HB159" i="5"/>
  <c r="HC159" i="5"/>
  <c r="HD159" i="5"/>
  <c r="HE159" i="5"/>
  <c r="HF159" i="5"/>
  <c r="HG159" i="5"/>
  <c r="A160" i="5"/>
  <c r="B160" i="5"/>
  <c r="C160" i="5"/>
  <c r="D160" i="5"/>
  <c r="E160" i="5"/>
  <c r="F160" i="5"/>
  <c r="G160" i="5"/>
  <c r="H160" i="5"/>
  <c r="I160" i="5"/>
  <c r="J160" i="5"/>
  <c r="K160" i="5"/>
  <c r="L160" i="5"/>
  <c r="M160" i="5"/>
  <c r="N160" i="5"/>
  <c r="O160" i="5"/>
  <c r="P160" i="5"/>
  <c r="Q160" i="5"/>
  <c r="R160" i="5"/>
  <c r="S160" i="5"/>
  <c r="T160" i="5"/>
  <c r="U160" i="5"/>
  <c r="V160" i="5"/>
  <c r="W160" i="5"/>
  <c r="X160" i="5"/>
  <c r="Y160" i="5"/>
  <c r="Z160" i="5"/>
  <c r="AA160" i="5"/>
  <c r="AB160" i="5"/>
  <c r="AC160" i="5"/>
  <c r="AD160" i="5"/>
  <c r="AE160" i="5"/>
  <c r="AF160" i="5"/>
  <c r="AG160" i="5"/>
  <c r="AH160" i="5"/>
  <c r="AI160" i="5"/>
  <c r="AJ160" i="5"/>
  <c r="AK160" i="5"/>
  <c r="AL160" i="5"/>
  <c r="AM160" i="5"/>
  <c r="AN160" i="5"/>
  <c r="AO160" i="5"/>
  <c r="AP160" i="5"/>
  <c r="AQ160" i="5"/>
  <c r="AR160" i="5"/>
  <c r="AS160" i="5"/>
  <c r="AT160" i="5"/>
  <c r="AU160" i="5"/>
  <c r="AV160" i="5"/>
  <c r="AW160" i="5"/>
  <c r="AX160" i="5"/>
  <c r="AY160" i="5"/>
  <c r="AZ160" i="5"/>
  <c r="BA160" i="5"/>
  <c r="BB160" i="5"/>
  <c r="BC160" i="5"/>
  <c r="BD160" i="5"/>
  <c r="BE160" i="5"/>
  <c r="BF160" i="5"/>
  <c r="BG160" i="5"/>
  <c r="BH160" i="5"/>
  <c r="BI160" i="5"/>
  <c r="BJ160" i="5"/>
  <c r="BK160" i="5"/>
  <c r="BL160" i="5"/>
  <c r="BM160" i="5"/>
  <c r="BN160" i="5"/>
  <c r="BO160" i="5"/>
  <c r="BP160" i="5"/>
  <c r="BQ160" i="5"/>
  <c r="BR160" i="5"/>
  <c r="BS160" i="5"/>
  <c r="BT160" i="5"/>
  <c r="BU160" i="5"/>
  <c r="BV160" i="5"/>
  <c r="BW160" i="5"/>
  <c r="BX160" i="5"/>
  <c r="BY160" i="5"/>
  <c r="BZ160" i="5"/>
  <c r="CA160" i="5"/>
  <c r="CB160" i="5"/>
  <c r="CC160" i="5"/>
  <c r="CD160" i="5"/>
  <c r="CE160" i="5"/>
  <c r="CF160" i="5"/>
  <c r="CG160" i="5"/>
  <c r="CH160" i="5"/>
  <c r="CI160" i="5"/>
  <c r="CJ160" i="5"/>
  <c r="CK160" i="5"/>
  <c r="CL160" i="5"/>
  <c r="CM160" i="5"/>
  <c r="CN160" i="5"/>
  <c r="CO160" i="5"/>
  <c r="CP160" i="5"/>
  <c r="CQ160" i="5"/>
  <c r="CR160" i="5"/>
  <c r="CS160" i="5"/>
  <c r="CT160" i="5"/>
  <c r="CU160" i="5"/>
  <c r="CV160" i="5"/>
  <c r="CW160" i="5"/>
  <c r="CX160" i="5"/>
  <c r="CY160" i="5"/>
  <c r="CZ160" i="5"/>
  <c r="DA160" i="5"/>
  <c r="DB160" i="5"/>
  <c r="DC160" i="5"/>
  <c r="DD160" i="5"/>
  <c r="DE160" i="5"/>
  <c r="DF160" i="5"/>
  <c r="DG160" i="5"/>
  <c r="DH160" i="5"/>
  <c r="DI160" i="5"/>
  <c r="DJ160" i="5"/>
  <c r="DK160" i="5"/>
  <c r="DL160" i="5"/>
  <c r="DM160" i="5"/>
  <c r="DN160" i="5"/>
  <c r="DO160" i="5"/>
  <c r="DP160" i="5"/>
  <c r="DQ160" i="5"/>
  <c r="DR160" i="5"/>
  <c r="DS160" i="5"/>
  <c r="DT160" i="5"/>
  <c r="DU160" i="5"/>
  <c r="DV160" i="5"/>
  <c r="DW160" i="5"/>
  <c r="DX160" i="5"/>
  <c r="DY160" i="5"/>
  <c r="DZ160" i="5"/>
  <c r="EA160" i="5"/>
  <c r="EB160" i="5"/>
  <c r="EC160" i="5"/>
  <c r="ED160" i="5"/>
  <c r="EE160" i="5"/>
  <c r="EF160" i="5"/>
  <c r="EG160" i="5"/>
  <c r="EH160" i="5"/>
  <c r="EI160" i="5"/>
  <c r="EJ160" i="5"/>
  <c r="EK160" i="5"/>
  <c r="EL160" i="5"/>
  <c r="EM160" i="5"/>
  <c r="EN160" i="5"/>
  <c r="EO160" i="5"/>
  <c r="EP160" i="5"/>
  <c r="EQ160" i="5"/>
  <c r="ER160" i="5"/>
  <c r="ES160" i="5"/>
  <c r="ET160" i="5"/>
  <c r="EU160" i="5"/>
  <c r="EV160" i="5"/>
  <c r="EW160" i="5"/>
  <c r="EX160" i="5"/>
  <c r="EY160" i="5"/>
  <c r="EZ160" i="5"/>
  <c r="FA160" i="5"/>
  <c r="FB160" i="5"/>
  <c r="FC160" i="5"/>
  <c r="FD160" i="5"/>
  <c r="FE160" i="5"/>
  <c r="FF160" i="5"/>
  <c r="FG160" i="5"/>
  <c r="FH160" i="5"/>
  <c r="FI160" i="5"/>
  <c r="FJ160" i="5"/>
  <c r="FK160" i="5"/>
  <c r="FL160" i="5"/>
  <c r="FM160" i="5"/>
  <c r="FN160" i="5"/>
  <c r="FO160" i="5"/>
  <c r="FP160" i="5"/>
  <c r="FQ160" i="5"/>
  <c r="FR160" i="5"/>
  <c r="FS160" i="5"/>
  <c r="FT160" i="5"/>
  <c r="FU160" i="5"/>
  <c r="FV160" i="5"/>
  <c r="FW160" i="5"/>
  <c r="FX160" i="5"/>
  <c r="FY160" i="5"/>
  <c r="FZ160" i="5"/>
  <c r="GA160" i="5"/>
  <c r="GB160" i="5"/>
  <c r="GC160" i="5"/>
  <c r="GD160" i="5"/>
  <c r="GE160" i="5"/>
  <c r="GF160" i="5"/>
  <c r="GG160" i="5"/>
  <c r="GH160" i="5"/>
  <c r="GI160" i="5"/>
  <c r="GJ160" i="5"/>
  <c r="GK160" i="5"/>
  <c r="GL160" i="5"/>
  <c r="GM160" i="5"/>
  <c r="GN160" i="5"/>
  <c r="GO160" i="5"/>
  <c r="GP160" i="5"/>
  <c r="GQ160" i="5"/>
  <c r="GR160" i="5"/>
  <c r="GS160" i="5"/>
  <c r="GT160" i="5"/>
  <c r="GU160" i="5"/>
  <c r="GV160" i="5"/>
  <c r="GW160" i="5"/>
  <c r="GX160" i="5"/>
  <c r="GY160" i="5"/>
  <c r="GZ160" i="5"/>
  <c r="HA160" i="5"/>
  <c r="HB160" i="5"/>
  <c r="HC160" i="5"/>
  <c r="HD160" i="5"/>
  <c r="HE160" i="5"/>
  <c r="HF160" i="5"/>
  <c r="HG160" i="5"/>
  <c r="A161" i="5"/>
  <c r="B161" i="5"/>
  <c r="C161" i="5"/>
  <c r="D161" i="5"/>
  <c r="E161" i="5"/>
  <c r="F161" i="5"/>
  <c r="G161" i="5"/>
  <c r="H161" i="5"/>
  <c r="I161" i="5"/>
  <c r="J161" i="5"/>
  <c r="K161" i="5"/>
  <c r="L161" i="5"/>
  <c r="M161" i="5"/>
  <c r="N161" i="5"/>
  <c r="O161" i="5"/>
  <c r="P161" i="5"/>
  <c r="Q161" i="5"/>
  <c r="R161" i="5"/>
  <c r="S161" i="5"/>
  <c r="T161" i="5"/>
  <c r="U161" i="5"/>
  <c r="V161" i="5"/>
  <c r="W161" i="5"/>
  <c r="X161" i="5"/>
  <c r="Y161" i="5"/>
  <c r="Z161" i="5"/>
  <c r="AA161" i="5"/>
  <c r="AB161" i="5"/>
  <c r="AC161" i="5"/>
  <c r="AD161" i="5"/>
  <c r="AE161" i="5"/>
  <c r="AF161" i="5"/>
  <c r="AG161" i="5"/>
  <c r="AH161" i="5"/>
  <c r="AI161" i="5"/>
  <c r="AJ161" i="5"/>
  <c r="AK161" i="5"/>
  <c r="AL161" i="5"/>
  <c r="AM161" i="5"/>
  <c r="AN161" i="5"/>
  <c r="AO161" i="5"/>
  <c r="AP161" i="5"/>
  <c r="AQ161" i="5"/>
  <c r="AR161" i="5"/>
  <c r="AS161" i="5"/>
  <c r="AT161" i="5"/>
  <c r="AU161" i="5"/>
  <c r="AV161" i="5"/>
  <c r="AW161" i="5"/>
  <c r="AX161" i="5"/>
  <c r="AY161" i="5"/>
  <c r="AZ161" i="5"/>
  <c r="BA161" i="5"/>
  <c r="BB161" i="5"/>
  <c r="BC161" i="5"/>
  <c r="BD161" i="5"/>
  <c r="BE161" i="5"/>
  <c r="BF161" i="5"/>
  <c r="BG161" i="5"/>
  <c r="BH161" i="5"/>
  <c r="BI161" i="5"/>
  <c r="BJ161" i="5"/>
  <c r="BK161" i="5"/>
  <c r="BL161" i="5"/>
  <c r="BM161" i="5"/>
  <c r="BN161" i="5"/>
  <c r="BO161" i="5"/>
  <c r="BP161" i="5"/>
  <c r="BQ161" i="5"/>
  <c r="BR161" i="5"/>
  <c r="BS161" i="5"/>
  <c r="BT161" i="5"/>
  <c r="BU161" i="5"/>
  <c r="BV161" i="5"/>
  <c r="BW161" i="5"/>
  <c r="BX161" i="5"/>
  <c r="BY161" i="5"/>
  <c r="BZ161" i="5"/>
  <c r="CA161" i="5"/>
  <c r="CB161" i="5"/>
  <c r="CC161" i="5"/>
  <c r="CD161" i="5"/>
  <c r="CE161" i="5"/>
  <c r="CF161" i="5"/>
  <c r="CG161" i="5"/>
  <c r="CH161" i="5"/>
  <c r="CI161" i="5"/>
  <c r="CJ161" i="5"/>
  <c r="CK161" i="5"/>
  <c r="CL161" i="5"/>
  <c r="CM161" i="5"/>
  <c r="CN161" i="5"/>
  <c r="CO161" i="5"/>
  <c r="CP161" i="5"/>
  <c r="CQ161" i="5"/>
  <c r="CR161" i="5"/>
  <c r="CS161" i="5"/>
  <c r="CT161" i="5"/>
  <c r="CU161" i="5"/>
  <c r="CV161" i="5"/>
  <c r="CW161" i="5"/>
  <c r="CX161" i="5"/>
  <c r="CY161" i="5"/>
  <c r="CZ161" i="5"/>
  <c r="DA161" i="5"/>
  <c r="DB161" i="5"/>
  <c r="DC161" i="5"/>
  <c r="DD161" i="5"/>
  <c r="DE161" i="5"/>
  <c r="DF161" i="5"/>
  <c r="DG161" i="5"/>
  <c r="DH161" i="5"/>
  <c r="DI161" i="5"/>
  <c r="DJ161" i="5"/>
  <c r="DK161" i="5"/>
  <c r="DL161" i="5"/>
  <c r="DM161" i="5"/>
  <c r="DN161" i="5"/>
  <c r="DO161" i="5"/>
  <c r="DP161" i="5"/>
  <c r="DQ161" i="5"/>
  <c r="DR161" i="5"/>
  <c r="DS161" i="5"/>
  <c r="DT161" i="5"/>
  <c r="DU161" i="5"/>
  <c r="DV161" i="5"/>
  <c r="DW161" i="5"/>
  <c r="DX161" i="5"/>
  <c r="DY161" i="5"/>
  <c r="DZ161" i="5"/>
  <c r="EA161" i="5"/>
  <c r="EB161" i="5"/>
  <c r="EC161" i="5"/>
  <c r="ED161" i="5"/>
  <c r="EE161" i="5"/>
  <c r="EF161" i="5"/>
  <c r="EG161" i="5"/>
  <c r="EH161" i="5"/>
  <c r="EI161" i="5"/>
  <c r="EJ161" i="5"/>
  <c r="EK161" i="5"/>
  <c r="EL161" i="5"/>
  <c r="EM161" i="5"/>
  <c r="EN161" i="5"/>
  <c r="EO161" i="5"/>
  <c r="EP161" i="5"/>
  <c r="EQ161" i="5"/>
  <c r="ER161" i="5"/>
  <c r="ES161" i="5"/>
  <c r="ET161" i="5"/>
  <c r="EU161" i="5"/>
  <c r="EV161" i="5"/>
  <c r="EW161" i="5"/>
  <c r="EX161" i="5"/>
  <c r="EY161" i="5"/>
  <c r="EZ161" i="5"/>
  <c r="FA161" i="5"/>
  <c r="FB161" i="5"/>
  <c r="FC161" i="5"/>
  <c r="FD161" i="5"/>
  <c r="FE161" i="5"/>
  <c r="FF161" i="5"/>
  <c r="FG161" i="5"/>
  <c r="FH161" i="5"/>
  <c r="FI161" i="5"/>
  <c r="FJ161" i="5"/>
  <c r="FK161" i="5"/>
  <c r="FL161" i="5"/>
  <c r="FM161" i="5"/>
  <c r="FN161" i="5"/>
  <c r="FO161" i="5"/>
  <c r="FP161" i="5"/>
  <c r="FQ161" i="5"/>
  <c r="FR161" i="5"/>
  <c r="FS161" i="5"/>
  <c r="FT161" i="5"/>
  <c r="FU161" i="5"/>
  <c r="FV161" i="5"/>
  <c r="FW161" i="5"/>
  <c r="FX161" i="5"/>
  <c r="FY161" i="5"/>
  <c r="FZ161" i="5"/>
  <c r="GA161" i="5"/>
  <c r="GB161" i="5"/>
  <c r="GC161" i="5"/>
  <c r="GD161" i="5"/>
  <c r="GE161" i="5"/>
  <c r="GF161" i="5"/>
  <c r="GG161" i="5"/>
  <c r="GH161" i="5"/>
  <c r="GI161" i="5"/>
  <c r="GJ161" i="5"/>
  <c r="GK161" i="5"/>
  <c r="GL161" i="5"/>
  <c r="GM161" i="5"/>
  <c r="GN161" i="5"/>
  <c r="GO161" i="5"/>
  <c r="GP161" i="5"/>
  <c r="GQ161" i="5"/>
  <c r="GR161" i="5"/>
  <c r="GS161" i="5"/>
  <c r="GT161" i="5"/>
  <c r="GU161" i="5"/>
  <c r="GV161" i="5"/>
  <c r="GW161" i="5"/>
  <c r="GX161" i="5"/>
  <c r="GY161" i="5"/>
  <c r="GZ161" i="5"/>
  <c r="HA161" i="5"/>
  <c r="HB161" i="5"/>
  <c r="HC161" i="5"/>
  <c r="HD161" i="5"/>
  <c r="HE161" i="5"/>
  <c r="HF161" i="5"/>
  <c r="HG161" i="5"/>
  <c r="A162" i="5"/>
  <c r="B162" i="5"/>
  <c r="C162" i="5"/>
  <c r="D162" i="5"/>
  <c r="E162" i="5"/>
  <c r="F162" i="5"/>
  <c r="G162" i="5"/>
  <c r="H162" i="5"/>
  <c r="I162" i="5"/>
  <c r="J162" i="5"/>
  <c r="K162" i="5"/>
  <c r="L162" i="5"/>
  <c r="M162" i="5"/>
  <c r="N162" i="5"/>
  <c r="O162" i="5"/>
  <c r="P162" i="5"/>
  <c r="Q162" i="5"/>
  <c r="R162" i="5"/>
  <c r="S162" i="5"/>
  <c r="T162" i="5"/>
  <c r="U162" i="5"/>
  <c r="V162" i="5"/>
  <c r="W162" i="5"/>
  <c r="X162" i="5"/>
  <c r="Y162" i="5"/>
  <c r="Z162" i="5"/>
  <c r="AA162" i="5"/>
  <c r="AB162" i="5"/>
  <c r="AC162" i="5"/>
  <c r="AD162" i="5"/>
  <c r="AE162" i="5"/>
  <c r="AF162" i="5"/>
  <c r="AG162" i="5"/>
  <c r="AH162" i="5"/>
  <c r="AI162" i="5"/>
  <c r="AJ162" i="5"/>
  <c r="AK162" i="5"/>
  <c r="AL162" i="5"/>
  <c r="AM162" i="5"/>
  <c r="AN162" i="5"/>
  <c r="AO162" i="5"/>
  <c r="AP162" i="5"/>
  <c r="AQ162" i="5"/>
  <c r="AR162" i="5"/>
  <c r="AS162" i="5"/>
  <c r="AT162" i="5"/>
  <c r="AU162" i="5"/>
  <c r="AV162" i="5"/>
  <c r="AW162" i="5"/>
  <c r="AX162" i="5"/>
  <c r="AY162" i="5"/>
  <c r="AZ162" i="5"/>
  <c r="BA162" i="5"/>
  <c r="BB162" i="5"/>
  <c r="BC162" i="5"/>
  <c r="BD162" i="5"/>
  <c r="BE162" i="5"/>
  <c r="BF162" i="5"/>
  <c r="BG162" i="5"/>
  <c r="BH162" i="5"/>
  <c r="BI162" i="5"/>
  <c r="BJ162" i="5"/>
  <c r="BK162" i="5"/>
  <c r="BL162" i="5"/>
  <c r="BM162" i="5"/>
  <c r="BN162" i="5"/>
  <c r="BO162" i="5"/>
  <c r="BP162" i="5"/>
  <c r="BQ162" i="5"/>
  <c r="BR162" i="5"/>
  <c r="BS162" i="5"/>
  <c r="BT162" i="5"/>
  <c r="BU162" i="5"/>
  <c r="BV162" i="5"/>
  <c r="BW162" i="5"/>
  <c r="BX162" i="5"/>
  <c r="BY162" i="5"/>
  <c r="BZ162" i="5"/>
  <c r="CA162" i="5"/>
  <c r="CB162" i="5"/>
  <c r="CC162" i="5"/>
  <c r="CD162" i="5"/>
  <c r="CE162" i="5"/>
  <c r="CF162" i="5"/>
  <c r="CG162" i="5"/>
  <c r="CH162" i="5"/>
  <c r="CI162" i="5"/>
  <c r="CJ162" i="5"/>
  <c r="CK162" i="5"/>
  <c r="CL162" i="5"/>
  <c r="CM162" i="5"/>
  <c r="CN162" i="5"/>
  <c r="CO162" i="5"/>
  <c r="CP162" i="5"/>
  <c r="CQ162" i="5"/>
  <c r="CR162" i="5"/>
  <c r="CS162" i="5"/>
  <c r="CT162" i="5"/>
  <c r="CU162" i="5"/>
  <c r="CV162" i="5"/>
  <c r="CW162" i="5"/>
  <c r="CX162" i="5"/>
  <c r="CY162" i="5"/>
  <c r="CZ162" i="5"/>
  <c r="DA162" i="5"/>
  <c r="DB162" i="5"/>
  <c r="DC162" i="5"/>
  <c r="DD162" i="5"/>
  <c r="DE162" i="5"/>
  <c r="DF162" i="5"/>
  <c r="DG162" i="5"/>
  <c r="DH162" i="5"/>
  <c r="DI162" i="5"/>
  <c r="DJ162" i="5"/>
  <c r="DK162" i="5"/>
  <c r="DL162" i="5"/>
  <c r="DM162" i="5"/>
  <c r="DN162" i="5"/>
  <c r="DO162" i="5"/>
  <c r="DP162" i="5"/>
  <c r="DQ162" i="5"/>
  <c r="DR162" i="5"/>
  <c r="DS162" i="5"/>
  <c r="DT162" i="5"/>
  <c r="DU162" i="5"/>
  <c r="DV162" i="5"/>
  <c r="DW162" i="5"/>
  <c r="DX162" i="5"/>
  <c r="DY162" i="5"/>
  <c r="DZ162" i="5"/>
  <c r="EA162" i="5"/>
  <c r="EB162" i="5"/>
  <c r="EC162" i="5"/>
  <c r="ED162" i="5"/>
  <c r="EE162" i="5"/>
  <c r="EF162" i="5"/>
  <c r="EG162" i="5"/>
  <c r="EH162" i="5"/>
  <c r="EI162" i="5"/>
  <c r="EJ162" i="5"/>
  <c r="EK162" i="5"/>
  <c r="EL162" i="5"/>
  <c r="EM162" i="5"/>
  <c r="EN162" i="5"/>
  <c r="EO162" i="5"/>
  <c r="EP162" i="5"/>
  <c r="EQ162" i="5"/>
  <c r="ER162" i="5"/>
  <c r="ES162" i="5"/>
  <c r="ET162" i="5"/>
  <c r="EU162" i="5"/>
  <c r="EV162" i="5"/>
  <c r="EW162" i="5"/>
  <c r="EX162" i="5"/>
  <c r="EY162" i="5"/>
  <c r="EZ162" i="5"/>
  <c r="FA162" i="5"/>
  <c r="FB162" i="5"/>
  <c r="FC162" i="5"/>
  <c r="FD162" i="5"/>
  <c r="FE162" i="5"/>
  <c r="FF162" i="5"/>
  <c r="FG162" i="5"/>
  <c r="FH162" i="5"/>
  <c r="FI162" i="5"/>
  <c r="FJ162" i="5"/>
  <c r="FK162" i="5"/>
  <c r="FL162" i="5"/>
  <c r="FM162" i="5"/>
  <c r="FN162" i="5"/>
  <c r="FO162" i="5"/>
  <c r="FP162" i="5"/>
  <c r="FQ162" i="5"/>
  <c r="FR162" i="5"/>
  <c r="FS162" i="5"/>
  <c r="FT162" i="5"/>
  <c r="FU162" i="5"/>
  <c r="FV162" i="5"/>
  <c r="FW162" i="5"/>
  <c r="FX162" i="5"/>
  <c r="FY162" i="5"/>
  <c r="FZ162" i="5"/>
  <c r="GA162" i="5"/>
  <c r="GB162" i="5"/>
  <c r="GC162" i="5"/>
  <c r="GD162" i="5"/>
  <c r="GE162" i="5"/>
  <c r="GF162" i="5"/>
  <c r="GG162" i="5"/>
  <c r="GH162" i="5"/>
  <c r="GI162" i="5"/>
  <c r="GJ162" i="5"/>
  <c r="GK162" i="5"/>
  <c r="GL162" i="5"/>
  <c r="GM162" i="5"/>
  <c r="GN162" i="5"/>
  <c r="GO162" i="5"/>
  <c r="GP162" i="5"/>
  <c r="GQ162" i="5"/>
  <c r="GR162" i="5"/>
  <c r="GS162" i="5"/>
  <c r="GT162" i="5"/>
  <c r="GU162" i="5"/>
  <c r="GV162" i="5"/>
  <c r="GW162" i="5"/>
  <c r="GX162" i="5"/>
  <c r="GY162" i="5"/>
  <c r="GZ162" i="5"/>
  <c r="HA162" i="5"/>
  <c r="HB162" i="5"/>
  <c r="HC162" i="5"/>
  <c r="HD162" i="5"/>
  <c r="HE162" i="5"/>
  <c r="HF162" i="5"/>
  <c r="HG162" i="5"/>
  <c r="A163" i="5"/>
  <c r="B163" i="5"/>
  <c r="C163" i="5"/>
  <c r="D163" i="5"/>
  <c r="E163" i="5"/>
  <c r="F163" i="5"/>
  <c r="G163" i="5"/>
  <c r="H163" i="5"/>
  <c r="I163" i="5"/>
  <c r="J163" i="5"/>
  <c r="K163" i="5"/>
  <c r="L163" i="5"/>
  <c r="M163" i="5"/>
  <c r="N163" i="5"/>
  <c r="O163" i="5"/>
  <c r="P163" i="5"/>
  <c r="Q163" i="5"/>
  <c r="R163" i="5"/>
  <c r="S163" i="5"/>
  <c r="T163" i="5"/>
  <c r="U163" i="5"/>
  <c r="V163" i="5"/>
  <c r="W163" i="5"/>
  <c r="X163" i="5"/>
  <c r="Y163" i="5"/>
  <c r="Z163" i="5"/>
  <c r="AA163" i="5"/>
  <c r="AB163" i="5"/>
  <c r="AC163" i="5"/>
  <c r="AD163" i="5"/>
  <c r="AE163" i="5"/>
  <c r="AF163" i="5"/>
  <c r="AG163" i="5"/>
  <c r="AH163" i="5"/>
  <c r="AI163" i="5"/>
  <c r="AJ163" i="5"/>
  <c r="AK163" i="5"/>
  <c r="AL163" i="5"/>
  <c r="AM163" i="5"/>
  <c r="AN163" i="5"/>
  <c r="AO163" i="5"/>
  <c r="AP163" i="5"/>
  <c r="AQ163" i="5"/>
  <c r="AR163" i="5"/>
  <c r="AS163" i="5"/>
  <c r="AT163" i="5"/>
  <c r="AU163" i="5"/>
  <c r="AV163" i="5"/>
  <c r="AW163" i="5"/>
  <c r="AX163" i="5"/>
  <c r="AY163" i="5"/>
  <c r="AZ163" i="5"/>
  <c r="BA163" i="5"/>
  <c r="BB163" i="5"/>
  <c r="BC163" i="5"/>
  <c r="BD163" i="5"/>
  <c r="BE163" i="5"/>
  <c r="BF163" i="5"/>
  <c r="BG163" i="5"/>
  <c r="BH163" i="5"/>
  <c r="BI163" i="5"/>
  <c r="BJ163" i="5"/>
  <c r="BK163" i="5"/>
  <c r="BL163" i="5"/>
  <c r="BM163" i="5"/>
  <c r="BN163" i="5"/>
  <c r="BO163" i="5"/>
  <c r="BP163" i="5"/>
  <c r="BQ163" i="5"/>
  <c r="BR163" i="5"/>
  <c r="BS163" i="5"/>
  <c r="BT163" i="5"/>
  <c r="BU163" i="5"/>
  <c r="BV163" i="5"/>
  <c r="BW163" i="5"/>
  <c r="BX163" i="5"/>
  <c r="BY163" i="5"/>
  <c r="BZ163" i="5"/>
  <c r="CA163" i="5"/>
  <c r="CB163" i="5"/>
  <c r="CC163" i="5"/>
  <c r="CD163" i="5"/>
  <c r="CE163" i="5"/>
  <c r="CF163" i="5"/>
  <c r="CG163" i="5"/>
  <c r="CH163" i="5"/>
  <c r="CI163" i="5"/>
  <c r="CJ163" i="5"/>
  <c r="CK163" i="5"/>
  <c r="CL163" i="5"/>
  <c r="CM163" i="5"/>
  <c r="CN163" i="5"/>
  <c r="CO163" i="5"/>
  <c r="CP163" i="5"/>
  <c r="CQ163" i="5"/>
  <c r="CR163" i="5"/>
  <c r="CS163" i="5"/>
  <c r="CT163" i="5"/>
  <c r="CU163" i="5"/>
  <c r="CV163" i="5"/>
  <c r="CW163" i="5"/>
  <c r="CX163" i="5"/>
  <c r="CY163" i="5"/>
  <c r="CZ163" i="5"/>
  <c r="DA163" i="5"/>
  <c r="DB163" i="5"/>
  <c r="DC163" i="5"/>
  <c r="DD163" i="5"/>
  <c r="DE163" i="5"/>
  <c r="DF163" i="5"/>
  <c r="DG163" i="5"/>
  <c r="DH163" i="5"/>
  <c r="DI163" i="5"/>
  <c r="DJ163" i="5"/>
  <c r="DK163" i="5"/>
  <c r="DL163" i="5"/>
  <c r="DM163" i="5"/>
  <c r="DN163" i="5"/>
  <c r="DO163" i="5"/>
  <c r="DP163" i="5"/>
  <c r="DQ163" i="5"/>
  <c r="DR163" i="5"/>
  <c r="DS163" i="5"/>
  <c r="DT163" i="5"/>
  <c r="DU163" i="5"/>
  <c r="DV163" i="5"/>
  <c r="DW163" i="5"/>
  <c r="DX163" i="5"/>
  <c r="DY163" i="5"/>
  <c r="DZ163" i="5"/>
  <c r="EA163" i="5"/>
  <c r="EB163" i="5"/>
  <c r="EC163" i="5"/>
  <c r="ED163" i="5"/>
  <c r="EE163" i="5"/>
  <c r="EF163" i="5"/>
  <c r="EG163" i="5"/>
  <c r="EH163" i="5"/>
  <c r="EI163" i="5"/>
  <c r="EJ163" i="5"/>
  <c r="EK163" i="5"/>
  <c r="EL163" i="5"/>
  <c r="EM163" i="5"/>
  <c r="EN163" i="5"/>
  <c r="EO163" i="5"/>
  <c r="EP163" i="5"/>
  <c r="EQ163" i="5"/>
  <c r="ER163" i="5"/>
  <c r="ES163" i="5"/>
  <c r="ET163" i="5"/>
  <c r="EU163" i="5"/>
  <c r="EV163" i="5"/>
  <c r="EW163" i="5"/>
  <c r="EX163" i="5"/>
  <c r="EY163" i="5"/>
  <c r="EZ163" i="5"/>
  <c r="FA163" i="5"/>
  <c r="FB163" i="5"/>
  <c r="FC163" i="5"/>
  <c r="FD163" i="5"/>
  <c r="FE163" i="5"/>
  <c r="FF163" i="5"/>
  <c r="FG163" i="5"/>
  <c r="FH163" i="5"/>
  <c r="FI163" i="5"/>
  <c r="FJ163" i="5"/>
  <c r="FK163" i="5"/>
  <c r="FL163" i="5"/>
  <c r="FM163" i="5"/>
  <c r="FN163" i="5"/>
  <c r="FO163" i="5"/>
  <c r="FP163" i="5"/>
  <c r="FQ163" i="5"/>
  <c r="FR163" i="5"/>
  <c r="FS163" i="5"/>
  <c r="FT163" i="5"/>
  <c r="FU163" i="5"/>
  <c r="FV163" i="5"/>
  <c r="FW163" i="5"/>
  <c r="FX163" i="5"/>
  <c r="FY163" i="5"/>
  <c r="FZ163" i="5"/>
  <c r="GA163" i="5"/>
  <c r="GB163" i="5"/>
  <c r="GC163" i="5"/>
  <c r="GD163" i="5"/>
  <c r="GE163" i="5"/>
  <c r="GF163" i="5"/>
  <c r="GG163" i="5"/>
  <c r="GH163" i="5"/>
  <c r="GI163" i="5"/>
  <c r="GJ163" i="5"/>
  <c r="GK163" i="5"/>
  <c r="GL163" i="5"/>
  <c r="GM163" i="5"/>
  <c r="GN163" i="5"/>
  <c r="GO163" i="5"/>
  <c r="GP163" i="5"/>
  <c r="GQ163" i="5"/>
  <c r="GR163" i="5"/>
  <c r="GS163" i="5"/>
  <c r="GT163" i="5"/>
  <c r="GU163" i="5"/>
  <c r="GV163" i="5"/>
  <c r="GW163" i="5"/>
  <c r="GX163" i="5"/>
  <c r="GY163" i="5"/>
  <c r="GZ163" i="5"/>
  <c r="HA163" i="5"/>
  <c r="HB163" i="5"/>
  <c r="HC163" i="5"/>
  <c r="HD163" i="5"/>
  <c r="HE163" i="5"/>
  <c r="HF163" i="5"/>
  <c r="HG163" i="5"/>
  <c r="A164" i="5"/>
  <c r="B164" i="5"/>
  <c r="C164" i="5"/>
  <c r="D164" i="5"/>
  <c r="E164" i="5"/>
  <c r="F164" i="5"/>
  <c r="G164" i="5"/>
  <c r="H164" i="5"/>
  <c r="I164" i="5"/>
  <c r="J164" i="5"/>
  <c r="K164" i="5"/>
  <c r="L164" i="5"/>
  <c r="M164" i="5"/>
  <c r="N164" i="5"/>
  <c r="O164" i="5"/>
  <c r="P164" i="5"/>
  <c r="Q164" i="5"/>
  <c r="R164" i="5"/>
  <c r="S164" i="5"/>
  <c r="T164" i="5"/>
  <c r="U164" i="5"/>
  <c r="V164" i="5"/>
  <c r="W164" i="5"/>
  <c r="X164" i="5"/>
  <c r="Y164" i="5"/>
  <c r="Z164" i="5"/>
  <c r="AA164" i="5"/>
  <c r="AB164" i="5"/>
  <c r="AC164" i="5"/>
  <c r="AD164" i="5"/>
  <c r="AE164" i="5"/>
  <c r="AF164" i="5"/>
  <c r="AG164" i="5"/>
  <c r="AH164" i="5"/>
  <c r="AI164" i="5"/>
  <c r="AJ164" i="5"/>
  <c r="AK164" i="5"/>
  <c r="AL164" i="5"/>
  <c r="AM164" i="5"/>
  <c r="AN164" i="5"/>
  <c r="AO164" i="5"/>
  <c r="AP164" i="5"/>
  <c r="AQ164" i="5"/>
  <c r="AR164" i="5"/>
  <c r="AS164" i="5"/>
  <c r="AT164" i="5"/>
  <c r="AU164" i="5"/>
  <c r="AV164" i="5"/>
  <c r="AW164" i="5"/>
  <c r="AX164" i="5"/>
  <c r="AY164" i="5"/>
  <c r="AZ164" i="5"/>
  <c r="BA164" i="5"/>
  <c r="BB164" i="5"/>
  <c r="BC164" i="5"/>
  <c r="BD164" i="5"/>
  <c r="BE164" i="5"/>
  <c r="BF164" i="5"/>
  <c r="BG164" i="5"/>
  <c r="BH164" i="5"/>
  <c r="BI164" i="5"/>
  <c r="BJ164" i="5"/>
  <c r="BK164" i="5"/>
  <c r="BL164" i="5"/>
  <c r="BM164" i="5"/>
  <c r="BN164" i="5"/>
  <c r="BO164" i="5"/>
  <c r="BP164" i="5"/>
  <c r="BQ164" i="5"/>
  <c r="BR164" i="5"/>
  <c r="BS164" i="5"/>
  <c r="BT164" i="5"/>
  <c r="BU164" i="5"/>
  <c r="BV164" i="5"/>
  <c r="BW164" i="5"/>
  <c r="BX164" i="5"/>
  <c r="BY164" i="5"/>
  <c r="BZ164" i="5"/>
  <c r="CA164" i="5"/>
  <c r="CB164" i="5"/>
  <c r="CC164" i="5"/>
  <c r="CD164" i="5"/>
  <c r="CE164" i="5"/>
  <c r="CF164" i="5"/>
  <c r="CG164" i="5"/>
  <c r="CH164" i="5"/>
  <c r="CI164" i="5"/>
  <c r="CJ164" i="5"/>
  <c r="CK164" i="5"/>
  <c r="CL164" i="5"/>
  <c r="CM164" i="5"/>
  <c r="CN164" i="5"/>
  <c r="CO164" i="5"/>
  <c r="CP164" i="5"/>
  <c r="CQ164" i="5"/>
  <c r="CR164" i="5"/>
  <c r="CS164" i="5"/>
  <c r="CT164" i="5"/>
  <c r="CU164" i="5"/>
  <c r="CV164" i="5"/>
  <c r="CW164" i="5"/>
  <c r="CX164" i="5"/>
  <c r="CY164" i="5"/>
  <c r="CZ164" i="5"/>
  <c r="DA164" i="5"/>
  <c r="DB164" i="5"/>
  <c r="DC164" i="5"/>
  <c r="DD164" i="5"/>
  <c r="DE164" i="5"/>
  <c r="DF164" i="5"/>
  <c r="DG164" i="5"/>
  <c r="DH164" i="5"/>
  <c r="DI164" i="5"/>
  <c r="DJ164" i="5"/>
  <c r="DK164" i="5"/>
  <c r="DL164" i="5"/>
  <c r="DM164" i="5"/>
  <c r="DN164" i="5"/>
  <c r="DO164" i="5"/>
  <c r="DP164" i="5"/>
  <c r="DQ164" i="5"/>
  <c r="DR164" i="5"/>
  <c r="DS164" i="5"/>
  <c r="DT164" i="5"/>
  <c r="DU164" i="5"/>
  <c r="DV164" i="5"/>
  <c r="DW164" i="5"/>
  <c r="DX164" i="5"/>
  <c r="DY164" i="5"/>
  <c r="DZ164" i="5"/>
  <c r="EA164" i="5"/>
  <c r="EB164" i="5"/>
  <c r="EC164" i="5"/>
  <c r="ED164" i="5"/>
  <c r="EE164" i="5"/>
  <c r="EF164" i="5"/>
  <c r="EG164" i="5"/>
  <c r="EH164" i="5"/>
  <c r="EI164" i="5"/>
  <c r="EJ164" i="5"/>
  <c r="EK164" i="5"/>
  <c r="EL164" i="5"/>
  <c r="EM164" i="5"/>
  <c r="EN164" i="5"/>
  <c r="EO164" i="5"/>
  <c r="EP164" i="5"/>
  <c r="EQ164" i="5"/>
  <c r="ER164" i="5"/>
  <c r="ES164" i="5"/>
  <c r="ET164" i="5"/>
  <c r="EU164" i="5"/>
  <c r="EV164" i="5"/>
  <c r="EW164" i="5"/>
  <c r="EX164" i="5"/>
  <c r="EY164" i="5"/>
  <c r="EZ164" i="5"/>
  <c r="FA164" i="5"/>
  <c r="FB164" i="5"/>
  <c r="FC164" i="5"/>
  <c r="FD164" i="5"/>
  <c r="FE164" i="5"/>
  <c r="FF164" i="5"/>
  <c r="FG164" i="5"/>
  <c r="FH164" i="5"/>
  <c r="FI164" i="5"/>
  <c r="FJ164" i="5"/>
  <c r="FK164" i="5"/>
  <c r="FL164" i="5"/>
  <c r="FM164" i="5"/>
  <c r="FN164" i="5"/>
  <c r="FO164" i="5"/>
  <c r="FP164" i="5"/>
  <c r="FQ164" i="5"/>
  <c r="FR164" i="5"/>
  <c r="FS164" i="5"/>
  <c r="FT164" i="5"/>
  <c r="FU164" i="5"/>
  <c r="FV164" i="5"/>
  <c r="FW164" i="5"/>
  <c r="FX164" i="5"/>
  <c r="FY164" i="5"/>
  <c r="FZ164" i="5"/>
  <c r="GA164" i="5"/>
  <c r="GB164" i="5"/>
  <c r="GC164" i="5"/>
  <c r="GD164" i="5"/>
  <c r="GE164" i="5"/>
  <c r="GF164" i="5"/>
  <c r="GG164" i="5"/>
  <c r="GH164" i="5"/>
  <c r="GI164" i="5"/>
  <c r="GJ164" i="5"/>
  <c r="GK164" i="5"/>
  <c r="GL164" i="5"/>
  <c r="GM164" i="5"/>
  <c r="GN164" i="5"/>
  <c r="GO164" i="5"/>
  <c r="GP164" i="5"/>
  <c r="GQ164" i="5"/>
  <c r="GR164" i="5"/>
  <c r="GS164" i="5"/>
  <c r="GT164" i="5"/>
  <c r="GU164" i="5"/>
  <c r="GV164" i="5"/>
  <c r="GW164" i="5"/>
  <c r="GX164" i="5"/>
  <c r="GY164" i="5"/>
  <c r="GZ164" i="5"/>
  <c r="HA164" i="5"/>
  <c r="HB164" i="5"/>
  <c r="HC164" i="5"/>
  <c r="HD164" i="5"/>
  <c r="HE164" i="5"/>
  <c r="HF164" i="5"/>
  <c r="HG164" i="5"/>
  <c r="A165" i="5"/>
  <c r="B165" i="5"/>
  <c r="C165" i="5"/>
  <c r="D165" i="5"/>
  <c r="E165" i="5"/>
  <c r="F165" i="5"/>
  <c r="G165" i="5"/>
  <c r="H165" i="5"/>
  <c r="I165" i="5"/>
  <c r="J165" i="5"/>
  <c r="K165" i="5"/>
  <c r="L165" i="5"/>
  <c r="M165" i="5"/>
  <c r="N165" i="5"/>
  <c r="O165" i="5"/>
  <c r="P165" i="5"/>
  <c r="Q165" i="5"/>
  <c r="R165" i="5"/>
  <c r="S165" i="5"/>
  <c r="T165" i="5"/>
  <c r="U165" i="5"/>
  <c r="V165" i="5"/>
  <c r="W165" i="5"/>
  <c r="X165" i="5"/>
  <c r="Y165" i="5"/>
  <c r="Z165" i="5"/>
  <c r="AA165" i="5"/>
  <c r="AB165" i="5"/>
  <c r="AC165" i="5"/>
  <c r="AD165" i="5"/>
  <c r="AE165" i="5"/>
  <c r="AF165" i="5"/>
  <c r="AG165" i="5"/>
  <c r="AH165" i="5"/>
  <c r="AI165" i="5"/>
  <c r="AJ165" i="5"/>
  <c r="AK165" i="5"/>
  <c r="AL165" i="5"/>
  <c r="AM165" i="5"/>
  <c r="AN165" i="5"/>
  <c r="AO165" i="5"/>
  <c r="AP165" i="5"/>
  <c r="AQ165" i="5"/>
  <c r="AR165" i="5"/>
  <c r="AS165" i="5"/>
  <c r="AT165" i="5"/>
  <c r="AU165" i="5"/>
  <c r="AV165" i="5"/>
  <c r="AW165" i="5"/>
  <c r="AX165" i="5"/>
  <c r="AY165" i="5"/>
  <c r="AZ165" i="5"/>
  <c r="BA165" i="5"/>
  <c r="BB165" i="5"/>
  <c r="BC165" i="5"/>
  <c r="BD165" i="5"/>
  <c r="BE165" i="5"/>
  <c r="BF165" i="5"/>
  <c r="BG165" i="5"/>
  <c r="BH165" i="5"/>
  <c r="BI165" i="5"/>
  <c r="BJ165" i="5"/>
  <c r="BK165" i="5"/>
  <c r="BL165" i="5"/>
  <c r="BM165" i="5"/>
  <c r="BN165" i="5"/>
  <c r="BO165" i="5"/>
  <c r="BP165" i="5"/>
  <c r="BQ165" i="5"/>
  <c r="BR165" i="5"/>
  <c r="BS165" i="5"/>
  <c r="BT165" i="5"/>
  <c r="BU165" i="5"/>
  <c r="BV165" i="5"/>
  <c r="BW165" i="5"/>
  <c r="BX165" i="5"/>
  <c r="BY165" i="5"/>
  <c r="BZ165" i="5"/>
  <c r="CA165" i="5"/>
  <c r="CB165" i="5"/>
  <c r="CC165" i="5"/>
  <c r="CD165" i="5"/>
  <c r="CE165" i="5"/>
  <c r="CF165" i="5"/>
  <c r="CG165" i="5"/>
  <c r="CH165" i="5"/>
  <c r="CI165" i="5"/>
  <c r="CJ165" i="5"/>
  <c r="CK165" i="5"/>
  <c r="CL165" i="5"/>
  <c r="CM165" i="5"/>
  <c r="CN165" i="5"/>
  <c r="CO165" i="5"/>
  <c r="CP165" i="5"/>
  <c r="CQ165" i="5"/>
  <c r="CR165" i="5"/>
  <c r="CS165" i="5"/>
  <c r="CT165" i="5"/>
  <c r="CU165" i="5"/>
  <c r="CV165" i="5"/>
  <c r="CW165" i="5"/>
  <c r="CX165" i="5"/>
  <c r="CY165" i="5"/>
  <c r="CZ165" i="5"/>
  <c r="DA165" i="5"/>
  <c r="DB165" i="5"/>
  <c r="DC165" i="5"/>
  <c r="DD165" i="5"/>
  <c r="DE165" i="5"/>
  <c r="DF165" i="5"/>
  <c r="DG165" i="5"/>
  <c r="DH165" i="5"/>
  <c r="DI165" i="5"/>
  <c r="DJ165" i="5"/>
  <c r="DK165" i="5"/>
  <c r="DL165" i="5"/>
  <c r="DM165" i="5"/>
  <c r="DN165" i="5"/>
  <c r="DO165" i="5"/>
  <c r="DP165" i="5"/>
  <c r="DQ165" i="5"/>
  <c r="DR165" i="5"/>
  <c r="DS165" i="5"/>
  <c r="DT165" i="5"/>
  <c r="DU165" i="5"/>
  <c r="DV165" i="5"/>
  <c r="DW165" i="5"/>
  <c r="DX165" i="5"/>
  <c r="DY165" i="5"/>
  <c r="DZ165" i="5"/>
  <c r="EA165" i="5"/>
  <c r="EB165" i="5"/>
  <c r="EC165" i="5"/>
  <c r="ED165" i="5"/>
  <c r="EE165" i="5"/>
  <c r="EF165" i="5"/>
  <c r="EG165" i="5"/>
  <c r="EH165" i="5"/>
  <c r="EI165" i="5"/>
  <c r="EJ165" i="5"/>
  <c r="EK165" i="5"/>
  <c r="EL165" i="5"/>
  <c r="EM165" i="5"/>
  <c r="EN165" i="5"/>
  <c r="EO165" i="5"/>
  <c r="EP165" i="5"/>
  <c r="EQ165" i="5"/>
  <c r="ER165" i="5"/>
  <c r="ES165" i="5"/>
  <c r="ET165" i="5"/>
  <c r="EU165" i="5"/>
  <c r="EV165" i="5"/>
  <c r="EW165" i="5"/>
  <c r="EX165" i="5"/>
  <c r="EY165" i="5"/>
  <c r="EZ165" i="5"/>
  <c r="FA165" i="5"/>
  <c r="FB165" i="5"/>
  <c r="FC165" i="5"/>
  <c r="FD165" i="5"/>
  <c r="FE165" i="5"/>
  <c r="FF165" i="5"/>
  <c r="FG165" i="5"/>
  <c r="FH165" i="5"/>
  <c r="FI165" i="5"/>
  <c r="FJ165" i="5"/>
  <c r="FK165" i="5"/>
  <c r="FL165" i="5"/>
  <c r="FM165" i="5"/>
  <c r="FN165" i="5"/>
  <c r="FO165" i="5"/>
  <c r="FP165" i="5"/>
  <c r="FQ165" i="5"/>
  <c r="FR165" i="5"/>
  <c r="FS165" i="5"/>
  <c r="FT165" i="5"/>
  <c r="FU165" i="5"/>
  <c r="FV165" i="5"/>
  <c r="FW165" i="5"/>
  <c r="FX165" i="5"/>
  <c r="FY165" i="5"/>
  <c r="FZ165" i="5"/>
  <c r="GA165" i="5"/>
  <c r="GB165" i="5"/>
  <c r="GC165" i="5"/>
  <c r="GD165" i="5"/>
  <c r="GE165" i="5"/>
  <c r="GF165" i="5"/>
  <c r="GG165" i="5"/>
  <c r="GH165" i="5"/>
  <c r="GI165" i="5"/>
  <c r="GJ165" i="5"/>
  <c r="GK165" i="5"/>
  <c r="GL165" i="5"/>
  <c r="GM165" i="5"/>
  <c r="GN165" i="5"/>
  <c r="GO165" i="5"/>
  <c r="GP165" i="5"/>
  <c r="GQ165" i="5"/>
  <c r="GR165" i="5"/>
  <c r="GS165" i="5"/>
  <c r="GT165" i="5"/>
  <c r="GU165" i="5"/>
  <c r="GV165" i="5"/>
  <c r="GW165" i="5"/>
  <c r="GX165" i="5"/>
  <c r="GY165" i="5"/>
  <c r="GZ165" i="5"/>
  <c r="HA165" i="5"/>
  <c r="HB165" i="5"/>
  <c r="HC165" i="5"/>
  <c r="HD165" i="5"/>
  <c r="HE165" i="5"/>
  <c r="HF165" i="5"/>
  <c r="HG165" i="5"/>
  <c r="A166" i="5"/>
  <c r="B166" i="5"/>
  <c r="C166" i="5"/>
  <c r="D166" i="5"/>
  <c r="E166" i="5"/>
  <c r="F166" i="5"/>
  <c r="G166" i="5"/>
  <c r="H166" i="5"/>
  <c r="I166" i="5"/>
  <c r="J166" i="5"/>
  <c r="K166" i="5"/>
  <c r="L166" i="5"/>
  <c r="M166" i="5"/>
  <c r="N166" i="5"/>
  <c r="O166" i="5"/>
  <c r="P166" i="5"/>
  <c r="Q166" i="5"/>
  <c r="R166" i="5"/>
  <c r="S166" i="5"/>
  <c r="T166" i="5"/>
  <c r="U166" i="5"/>
  <c r="V166" i="5"/>
  <c r="W166" i="5"/>
  <c r="X166" i="5"/>
  <c r="Y166" i="5"/>
  <c r="Z166" i="5"/>
  <c r="AA166" i="5"/>
  <c r="AB166" i="5"/>
  <c r="AC166" i="5"/>
  <c r="AD166" i="5"/>
  <c r="AE166" i="5"/>
  <c r="AF166" i="5"/>
  <c r="AG166" i="5"/>
  <c r="AH166" i="5"/>
  <c r="AI166" i="5"/>
  <c r="AJ166" i="5"/>
  <c r="AK166" i="5"/>
  <c r="AL166" i="5"/>
  <c r="AM166" i="5"/>
  <c r="AN166" i="5"/>
  <c r="AO166" i="5"/>
  <c r="AP166" i="5"/>
  <c r="AQ166" i="5"/>
  <c r="AR166" i="5"/>
  <c r="AS166" i="5"/>
  <c r="AT166" i="5"/>
  <c r="AU166" i="5"/>
  <c r="AV166" i="5"/>
  <c r="AW166" i="5"/>
  <c r="AX166" i="5"/>
  <c r="AY166" i="5"/>
  <c r="AZ166" i="5"/>
  <c r="BA166" i="5"/>
  <c r="BB166" i="5"/>
  <c r="BC166" i="5"/>
  <c r="BD166" i="5"/>
  <c r="BE166" i="5"/>
  <c r="BF166" i="5"/>
  <c r="BG166" i="5"/>
  <c r="BH166" i="5"/>
  <c r="BI166" i="5"/>
  <c r="BJ166" i="5"/>
  <c r="BK166" i="5"/>
  <c r="BL166" i="5"/>
  <c r="BM166" i="5"/>
  <c r="BN166" i="5"/>
  <c r="BO166" i="5"/>
  <c r="BP166" i="5"/>
  <c r="BQ166" i="5"/>
  <c r="BR166" i="5"/>
  <c r="BS166" i="5"/>
  <c r="BT166" i="5"/>
  <c r="BU166" i="5"/>
  <c r="BV166" i="5"/>
  <c r="BW166" i="5"/>
  <c r="BX166" i="5"/>
  <c r="BY166" i="5"/>
  <c r="BZ166" i="5"/>
  <c r="CA166" i="5"/>
  <c r="CB166" i="5"/>
  <c r="CC166" i="5"/>
  <c r="CD166" i="5"/>
  <c r="CE166" i="5"/>
  <c r="CF166" i="5"/>
  <c r="CG166" i="5"/>
  <c r="CH166" i="5"/>
  <c r="CI166" i="5"/>
  <c r="CJ166" i="5"/>
  <c r="CK166" i="5"/>
  <c r="CL166" i="5"/>
  <c r="CM166" i="5"/>
  <c r="CN166" i="5"/>
  <c r="CO166" i="5"/>
  <c r="CP166" i="5"/>
  <c r="CQ166" i="5"/>
  <c r="CR166" i="5"/>
  <c r="CS166" i="5"/>
  <c r="CT166" i="5"/>
  <c r="CU166" i="5"/>
  <c r="CV166" i="5"/>
  <c r="CW166" i="5"/>
  <c r="CX166" i="5"/>
  <c r="CY166" i="5"/>
  <c r="CZ166" i="5"/>
  <c r="DA166" i="5"/>
  <c r="DB166" i="5"/>
  <c r="DC166" i="5"/>
  <c r="DD166" i="5"/>
  <c r="DE166" i="5"/>
  <c r="DF166" i="5"/>
  <c r="DG166" i="5"/>
  <c r="DH166" i="5"/>
  <c r="DI166" i="5"/>
  <c r="DJ166" i="5"/>
  <c r="DK166" i="5"/>
  <c r="DL166" i="5"/>
  <c r="DM166" i="5"/>
  <c r="DN166" i="5"/>
  <c r="DO166" i="5"/>
  <c r="DP166" i="5"/>
  <c r="DQ166" i="5"/>
  <c r="DR166" i="5"/>
  <c r="DS166" i="5"/>
  <c r="DT166" i="5"/>
  <c r="DU166" i="5"/>
  <c r="DV166" i="5"/>
  <c r="DW166" i="5"/>
  <c r="DX166" i="5"/>
  <c r="DY166" i="5"/>
  <c r="DZ166" i="5"/>
  <c r="EA166" i="5"/>
  <c r="EB166" i="5"/>
  <c r="EC166" i="5"/>
  <c r="ED166" i="5"/>
  <c r="EE166" i="5"/>
  <c r="EF166" i="5"/>
  <c r="EG166" i="5"/>
  <c r="EH166" i="5"/>
  <c r="EI166" i="5"/>
  <c r="EJ166" i="5"/>
  <c r="EK166" i="5"/>
  <c r="EL166" i="5"/>
  <c r="EM166" i="5"/>
  <c r="EN166" i="5"/>
  <c r="EO166" i="5"/>
  <c r="EP166" i="5"/>
  <c r="EQ166" i="5"/>
  <c r="ER166" i="5"/>
  <c r="ES166" i="5"/>
  <c r="ET166" i="5"/>
  <c r="EU166" i="5"/>
  <c r="EV166" i="5"/>
  <c r="EW166" i="5"/>
  <c r="EX166" i="5"/>
  <c r="EY166" i="5"/>
  <c r="EZ166" i="5"/>
  <c r="FA166" i="5"/>
  <c r="FB166" i="5"/>
  <c r="FC166" i="5"/>
  <c r="FD166" i="5"/>
  <c r="FE166" i="5"/>
  <c r="FF166" i="5"/>
  <c r="FG166" i="5"/>
  <c r="FH166" i="5"/>
  <c r="FI166" i="5"/>
  <c r="FJ166" i="5"/>
  <c r="FK166" i="5"/>
  <c r="FL166" i="5"/>
  <c r="FM166" i="5"/>
  <c r="FN166" i="5"/>
  <c r="FO166" i="5"/>
  <c r="FP166" i="5"/>
  <c r="FQ166" i="5"/>
  <c r="FR166" i="5"/>
  <c r="FS166" i="5"/>
  <c r="FT166" i="5"/>
  <c r="FU166" i="5"/>
  <c r="FV166" i="5"/>
  <c r="FW166" i="5"/>
  <c r="FX166" i="5"/>
  <c r="FY166" i="5"/>
  <c r="FZ166" i="5"/>
  <c r="GA166" i="5"/>
  <c r="GB166" i="5"/>
  <c r="GC166" i="5"/>
  <c r="GD166" i="5"/>
  <c r="GE166" i="5"/>
  <c r="GF166" i="5"/>
  <c r="GG166" i="5"/>
  <c r="GH166" i="5"/>
  <c r="GI166" i="5"/>
  <c r="GJ166" i="5"/>
  <c r="GK166" i="5"/>
  <c r="GL166" i="5"/>
  <c r="GM166" i="5"/>
  <c r="GN166" i="5"/>
  <c r="GO166" i="5"/>
  <c r="GP166" i="5"/>
  <c r="GQ166" i="5"/>
  <c r="GR166" i="5"/>
  <c r="GS166" i="5"/>
  <c r="GT166" i="5"/>
  <c r="GU166" i="5"/>
  <c r="GV166" i="5"/>
  <c r="GW166" i="5"/>
  <c r="GX166" i="5"/>
  <c r="GY166" i="5"/>
  <c r="GZ166" i="5"/>
  <c r="HA166" i="5"/>
  <c r="HB166" i="5"/>
  <c r="HC166" i="5"/>
  <c r="HD166" i="5"/>
  <c r="HE166" i="5"/>
  <c r="HF166" i="5"/>
  <c r="HG166" i="5"/>
  <c r="A167" i="5"/>
  <c r="B167" i="5"/>
  <c r="C167" i="5"/>
  <c r="D167" i="5"/>
  <c r="E167" i="5"/>
  <c r="F167" i="5"/>
  <c r="G167" i="5"/>
  <c r="H167" i="5"/>
  <c r="I167" i="5"/>
  <c r="J167" i="5"/>
  <c r="K167" i="5"/>
  <c r="L167" i="5"/>
  <c r="M167" i="5"/>
  <c r="N167" i="5"/>
  <c r="O167" i="5"/>
  <c r="P167" i="5"/>
  <c r="Q167" i="5"/>
  <c r="R167" i="5"/>
  <c r="S167" i="5"/>
  <c r="T167" i="5"/>
  <c r="U167" i="5"/>
  <c r="V167" i="5"/>
  <c r="W167" i="5"/>
  <c r="X167" i="5"/>
  <c r="Y167" i="5"/>
  <c r="Z167" i="5"/>
  <c r="AA167" i="5"/>
  <c r="AB167" i="5"/>
  <c r="AC167" i="5"/>
  <c r="AD167" i="5"/>
  <c r="AE167" i="5"/>
  <c r="AF167" i="5"/>
  <c r="AG167" i="5"/>
  <c r="AH167" i="5"/>
  <c r="AI167" i="5"/>
  <c r="AJ167" i="5"/>
  <c r="AK167" i="5"/>
  <c r="AL167" i="5"/>
  <c r="AM167" i="5"/>
  <c r="AN167" i="5"/>
  <c r="AO167" i="5"/>
  <c r="AP167" i="5"/>
  <c r="AQ167" i="5"/>
  <c r="AR167" i="5"/>
  <c r="AS167" i="5"/>
  <c r="AT167" i="5"/>
  <c r="AU167" i="5"/>
  <c r="AV167" i="5"/>
  <c r="AW167" i="5"/>
  <c r="AX167" i="5"/>
  <c r="AY167" i="5"/>
  <c r="AZ167" i="5"/>
  <c r="BA167" i="5"/>
  <c r="BB167" i="5"/>
  <c r="BC167" i="5"/>
  <c r="BD167" i="5"/>
  <c r="BE167" i="5"/>
  <c r="BF167" i="5"/>
  <c r="BG167" i="5"/>
  <c r="BH167" i="5"/>
  <c r="BI167" i="5"/>
  <c r="BJ167" i="5"/>
  <c r="BK167" i="5"/>
  <c r="BL167" i="5"/>
  <c r="BM167" i="5"/>
  <c r="BN167" i="5"/>
  <c r="BO167" i="5"/>
  <c r="BP167" i="5"/>
  <c r="BQ167" i="5"/>
  <c r="BR167" i="5"/>
  <c r="BS167" i="5"/>
  <c r="BT167" i="5"/>
  <c r="BU167" i="5"/>
  <c r="BV167" i="5"/>
  <c r="BW167" i="5"/>
  <c r="BX167" i="5"/>
  <c r="BY167" i="5"/>
  <c r="BZ167" i="5"/>
  <c r="CA167" i="5"/>
  <c r="CB167" i="5"/>
  <c r="CC167" i="5"/>
  <c r="CD167" i="5"/>
  <c r="CE167" i="5"/>
  <c r="CF167" i="5"/>
  <c r="CG167" i="5"/>
  <c r="CH167" i="5"/>
  <c r="CI167" i="5"/>
  <c r="CJ167" i="5"/>
  <c r="CK167" i="5"/>
  <c r="CL167" i="5"/>
  <c r="CM167" i="5"/>
  <c r="CN167" i="5"/>
  <c r="CO167" i="5"/>
  <c r="CP167" i="5"/>
  <c r="CQ167" i="5"/>
  <c r="CR167" i="5"/>
  <c r="CS167" i="5"/>
  <c r="CT167" i="5"/>
  <c r="CU167" i="5"/>
  <c r="CV167" i="5"/>
  <c r="CW167" i="5"/>
  <c r="CX167" i="5"/>
  <c r="CY167" i="5"/>
  <c r="CZ167" i="5"/>
  <c r="DA167" i="5"/>
  <c r="DB167" i="5"/>
  <c r="DC167" i="5"/>
  <c r="DD167" i="5"/>
  <c r="DE167" i="5"/>
  <c r="DF167" i="5"/>
  <c r="DG167" i="5"/>
  <c r="DH167" i="5"/>
  <c r="DI167" i="5"/>
  <c r="DJ167" i="5"/>
  <c r="DK167" i="5"/>
  <c r="DL167" i="5"/>
  <c r="DM167" i="5"/>
  <c r="DN167" i="5"/>
  <c r="DO167" i="5"/>
  <c r="DP167" i="5"/>
  <c r="DQ167" i="5"/>
  <c r="DR167" i="5"/>
  <c r="DS167" i="5"/>
  <c r="DT167" i="5"/>
  <c r="DU167" i="5"/>
  <c r="DV167" i="5"/>
  <c r="DW167" i="5"/>
  <c r="DX167" i="5"/>
  <c r="DY167" i="5"/>
  <c r="DZ167" i="5"/>
  <c r="EA167" i="5"/>
  <c r="EB167" i="5"/>
  <c r="EC167" i="5"/>
  <c r="ED167" i="5"/>
  <c r="EE167" i="5"/>
  <c r="EF167" i="5"/>
  <c r="EG167" i="5"/>
  <c r="EH167" i="5"/>
  <c r="EI167" i="5"/>
  <c r="EJ167" i="5"/>
  <c r="EK167" i="5"/>
  <c r="EL167" i="5"/>
  <c r="EM167" i="5"/>
  <c r="EN167" i="5"/>
  <c r="EO167" i="5"/>
  <c r="EP167" i="5"/>
  <c r="EQ167" i="5"/>
  <c r="ER167" i="5"/>
  <c r="ES167" i="5"/>
  <c r="ET167" i="5"/>
  <c r="EU167" i="5"/>
  <c r="EV167" i="5"/>
  <c r="EW167" i="5"/>
  <c r="EX167" i="5"/>
  <c r="EY167" i="5"/>
  <c r="EZ167" i="5"/>
  <c r="FA167" i="5"/>
  <c r="FB167" i="5"/>
  <c r="FC167" i="5"/>
  <c r="FD167" i="5"/>
  <c r="FE167" i="5"/>
  <c r="FF167" i="5"/>
  <c r="FG167" i="5"/>
  <c r="FH167" i="5"/>
  <c r="FI167" i="5"/>
  <c r="FJ167" i="5"/>
  <c r="FK167" i="5"/>
  <c r="FL167" i="5"/>
  <c r="FM167" i="5"/>
  <c r="FN167" i="5"/>
  <c r="FO167" i="5"/>
  <c r="FP167" i="5"/>
  <c r="FQ167" i="5"/>
  <c r="FR167" i="5"/>
  <c r="FS167" i="5"/>
  <c r="FT167" i="5"/>
  <c r="FU167" i="5"/>
  <c r="FV167" i="5"/>
  <c r="FW167" i="5"/>
  <c r="FX167" i="5"/>
  <c r="FY167" i="5"/>
  <c r="FZ167" i="5"/>
  <c r="GA167" i="5"/>
  <c r="GB167" i="5"/>
  <c r="GC167" i="5"/>
  <c r="GD167" i="5"/>
  <c r="GE167" i="5"/>
  <c r="GF167" i="5"/>
  <c r="GG167" i="5"/>
  <c r="GH167" i="5"/>
  <c r="GI167" i="5"/>
  <c r="GJ167" i="5"/>
  <c r="GK167" i="5"/>
  <c r="GL167" i="5"/>
  <c r="GM167" i="5"/>
  <c r="GN167" i="5"/>
  <c r="GO167" i="5"/>
  <c r="GP167" i="5"/>
  <c r="GQ167" i="5"/>
  <c r="GR167" i="5"/>
  <c r="GS167" i="5"/>
  <c r="GT167" i="5"/>
  <c r="GU167" i="5"/>
  <c r="GV167" i="5"/>
  <c r="GW167" i="5"/>
  <c r="GX167" i="5"/>
  <c r="GY167" i="5"/>
  <c r="GZ167" i="5"/>
  <c r="HA167" i="5"/>
  <c r="HB167" i="5"/>
  <c r="HC167" i="5"/>
  <c r="HD167" i="5"/>
  <c r="HE167" i="5"/>
  <c r="HF167" i="5"/>
  <c r="HG167" i="5"/>
  <c r="A168" i="5"/>
  <c r="B168" i="5"/>
  <c r="C168" i="5"/>
  <c r="D168" i="5"/>
  <c r="E168" i="5"/>
  <c r="F168" i="5"/>
  <c r="G168" i="5"/>
  <c r="H168" i="5"/>
  <c r="I168" i="5"/>
  <c r="J168" i="5"/>
  <c r="K168" i="5"/>
  <c r="L168" i="5"/>
  <c r="M168" i="5"/>
  <c r="N168" i="5"/>
  <c r="O168" i="5"/>
  <c r="P168" i="5"/>
  <c r="Q168" i="5"/>
  <c r="R168" i="5"/>
  <c r="S168" i="5"/>
  <c r="T168" i="5"/>
  <c r="U168" i="5"/>
  <c r="V168" i="5"/>
  <c r="W168" i="5"/>
  <c r="X168" i="5"/>
  <c r="Y168" i="5"/>
  <c r="Z168" i="5"/>
  <c r="AA168" i="5"/>
  <c r="AB168" i="5"/>
  <c r="AC168" i="5"/>
  <c r="AD168" i="5"/>
  <c r="AE168" i="5"/>
  <c r="AF168" i="5"/>
  <c r="AG168" i="5"/>
  <c r="AH168" i="5"/>
  <c r="AI168" i="5"/>
  <c r="AJ168" i="5"/>
  <c r="AK168" i="5"/>
  <c r="AL168" i="5"/>
  <c r="AM168" i="5"/>
  <c r="AN168" i="5"/>
  <c r="AO168" i="5"/>
  <c r="AP168" i="5"/>
  <c r="AQ168" i="5"/>
  <c r="AR168" i="5"/>
  <c r="AS168" i="5"/>
  <c r="AT168" i="5"/>
  <c r="AU168" i="5"/>
  <c r="AV168" i="5"/>
  <c r="AW168" i="5"/>
  <c r="AX168" i="5"/>
  <c r="AY168" i="5"/>
  <c r="AZ168" i="5"/>
  <c r="BA168" i="5"/>
  <c r="BB168" i="5"/>
  <c r="BC168" i="5"/>
  <c r="BD168" i="5"/>
  <c r="BE168" i="5"/>
  <c r="BF168" i="5"/>
  <c r="BG168" i="5"/>
  <c r="BH168" i="5"/>
  <c r="BI168" i="5"/>
  <c r="BJ168" i="5"/>
  <c r="BK168" i="5"/>
  <c r="BL168" i="5"/>
  <c r="BM168" i="5"/>
  <c r="BN168" i="5"/>
  <c r="BO168" i="5"/>
  <c r="BP168" i="5"/>
  <c r="BQ168" i="5"/>
  <c r="BR168" i="5"/>
  <c r="BS168" i="5"/>
  <c r="BT168" i="5"/>
  <c r="BU168" i="5"/>
  <c r="BV168" i="5"/>
  <c r="BW168" i="5"/>
  <c r="BX168" i="5"/>
  <c r="BY168" i="5"/>
  <c r="BZ168" i="5"/>
  <c r="CA168" i="5"/>
  <c r="CB168" i="5"/>
  <c r="CC168" i="5"/>
  <c r="CD168" i="5"/>
  <c r="CE168" i="5"/>
  <c r="CF168" i="5"/>
  <c r="CG168" i="5"/>
  <c r="CH168" i="5"/>
  <c r="CI168" i="5"/>
  <c r="CJ168" i="5"/>
  <c r="CK168" i="5"/>
  <c r="CL168" i="5"/>
  <c r="CM168" i="5"/>
  <c r="CN168" i="5"/>
  <c r="CO168" i="5"/>
  <c r="CP168" i="5"/>
  <c r="CQ168" i="5"/>
  <c r="CR168" i="5"/>
  <c r="CS168" i="5"/>
  <c r="CT168" i="5"/>
  <c r="CU168" i="5"/>
  <c r="CV168" i="5"/>
  <c r="CW168" i="5"/>
  <c r="CX168" i="5"/>
  <c r="CY168" i="5"/>
  <c r="CZ168" i="5"/>
  <c r="DA168" i="5"/>
  <c r="DB168" i="5"/>
  <c r="DC168" i="5"/>
  <c r="DD168" i="5"/>
  <c r="DE168" i="5"/>
  <c r="DF168" i="5"/>
  <c r="DG168" i="5"/>
  <c r="DH168" i="5"/>
  <c r="DI168" i="5"/>
  <c r="DJ168" i="5"/>
  <c r="DK168" i="5"/>
  <c r="DL168" i="5"/>
  <c r="DM168" i="5"/>
  <c r="DN168" i="5"/>
  <c r="DO168" i="5"/>
  <c r="DP168" i="5"/>
  <c r="DQ168" i="5"/>
  <c r="DR168" i="5"/>
  <c r="DS168" i="5"/>
  <c r="DT168" i="5"/>
  <c r="DU168" i="5"/>
  <c r="DV168" i="5"/>
  <c r="DW168" i="5"/>
  <c r="DX168" i="5"/>
  <c r="DY168" i="5"/>
  <c r="DZ168" i="5"/>
  <c r="EA168" i="5"/>
  <c r="EB168" i="5"/>
  <c r="EC168" i="5"/>
  <c r="ED168" i="5"/>
  <c r="EE168" i="5"/>
  <c r="EF168" i="5"/>
  <c r="EG168" i="5"/>
  <c r="EH168" i="5"/>
  <c r="EI168" i="5"/>
  <c r="EJ168" i="5"/>
  <c r="EK168" i="5"/>
  <c r="EL168" i="5"/>
  <c r="EM168" i="5"/>
  <c r="EN168" i="5"/>
  <c r="EO168" i="5"/>
  <c r="EP168" i="5"/>
  <c r="EQ168" i="5"/>
  <c r="ER168" i="5"/>
  <c r="ES168" i="5"/>
  <c r="ET168" i="5"/>
  <c r="EU168" i="5"/>
  <c r="EV168" i="5"/>
  <c r="EW168" i="5"/>
  <c r="EX168" i="5"/>
  <c r="EY168" i="5"/>
  <c r="EZ168" i="5"/>
  <c r="FA168" i="5"/>
  <c r="FB168" i="5"/>
  <c r="FC168" i="5"/>
  <c r="FD168" i="5"/>
  <c r="FE168" i="5"/>
  <c r="FF168" i="5"/>
  <c r="FG168" i="5"/>
  <c r="FH168" i="5"/>
  <c r="FI168" i="5"/>
  <c r="FJ168" i="5"/>
  <c r="FK168" i="5"/>
  <c r="FL168" i="5"/>
  <c r="FM168" i="5"/>
  <c r="FN168" i="5"/>
  <c r="FO168" i="5"/>
  <c r="FP168" i="5"/>
  <c r="FQ168" i="5"/>
  <c r="FR168" i="5"/>
  <c r="FS168" i="5"/>
  <c r="FT168" i="5"/>
  <c r="FU168" i="5"/>
  <c r="FV168" i="5"/>
  <c r="FW168" i="5"/>
  <c r="FX168" i="5"/>
  <c r="FY168" i="5"/>
  <c r="FZ168" i="5"/>
  <c r="GA168" i="5"/>
  <c r="GB168" i="5"/>
  <c r="GC168" i="5"/>
  <c r="GD168" i="5"/>
  <c r="GE168" i="5"/>
  <c r="GF168" i="5"/>
  <c r="GG168" i="5"/>
  <c r="GH168" i="5"/>
  <c r="GI168" i="5"/>
  <c r="GJ168" i="5"/>
  <c r="GK168" i="5"/>
  <c r="GL168" i="5"/>
  <c r="GM168" i="5"/>
  <c r="GN168" i="5"/>
  <c r="GO168" i="5"/>
  <c r="GP168" i="5"/>
  <c r="GQ168" i="5"/>
  <c r="GR168" i="5"/>
  <c r="GS168" i="5"/>
  <c r="GT168" i="5"/>
  <c r="GU168" i="5"/>
  <c r="GV168" i="5"/>
  <c r="GW168" i="5"/>
  <c r="GX168" i="5"/>
  <c r="GY168" i="5"/>
  <c r="GZ168" i="5"/>
  <c r="HA168" i="5"/>
  <c r="HB168" i="5"/>
  <c r="HC168" i="5"/>
  <c r="HD168" i="5"/>
  <c r="HE168" i="5"/>
  <c r="HF168" i="5"/>
  <c r="HG168" i="5"/>
  <c r="A169" i="5"/>
  <c r="B169" i="5"/>
  <c r="C169" i="5"/>
  <c r="D169" i="5"/>
  <c r="E169" i="5"/>
  <c r="F169" i="5"/>
  <c r="G169" i="5"/>
  <c r="H169" i="5"/>
  <c r="I169" i="5"/>
  <c r="J169" i="5"/>
  <c r="K169" i="5"/>
  <c r="L169" i="5"/>
  <c r="M169" i="5"/>
  <c r="N169" i="5"/>
  <c r="O169" i="5"/>
  <c r="P169" i="5"/>
  <c r="Q169" i="5"/>
  <c r="R169" i="5"/>
  <c r="S169" i="5"/>
  <c r="T169" i="5"/>
  <c r="U169" i="5"/>
  <c r="V169" i="5"/>
  <c r="W169" i="5"/>
  <c r="X169" i="5"/>
  <c r="Y169" i="5"/>
  <c r="Z169" i="5"/>
  <c r="AA169" i="5"/>
  <c r="AB169" i="5"/>
  <c r="AC169" i="5"/>
  <c r="AD169" i="5"/>
  <c r="AE169" i="5"/>
  <c r="AF169" i="5"/>
  <c r="AG169" i="5"/>
  <c r="AH169" i="5"/>
  <c r="AI169" i="5"/>
  <c r="AJ169" i="5"/>
  <c r="AK169" i="5"/>
  <c r="AL169" i="5"/>
  <c r="AM169" i="5"/>
  <c r="AN169" i="5"/>
  <c r="AO169" i="5"/>
  <c r="AP169" i="5"/>
  <c r="AQ169" i="5"/>
  <c r="AR169" i="5"/>
  <c r="AS169" i="5"/>
  <c r="AT169" i="5"/>
  <c r="AU169" i="5"/>
  <c r="AV169" i="5"/>
  <c r="AW169" i="5"/>
  <c r="AX169" i="5"/>
  <c r="AY169" i="5"/>
  <c r="AZ169" i="5"/>
  <c r="BA169" i="5"/>
  <c r="BB169" i="5"/>
  <c r="BC169" i="5"/>
  <c r="BD169" i="5"/>
  <c r="BE169" i="5"/>
  <c r="BF169" i="5"/>
  <c r="BG169" i="5"/>
  <c r="BH169" i="5"/>
  <c r="BI169" i="5"/>
  <c r="BJ169" i="5"/>
  <c r="BK169" i="5"/>
  <c r="BL169" i="5"/>
  <c r="BM169" i="5"/>
  <c r="BN169" i="5"/>
  <c r="BO169" i="5"/>
  <c r="BP169" i="5"/>
  <c r="BQ169" i="5"/>
  <c r="BR169" i="5"/>
  <c r="BS169" i="5"/>
  <c r="BT169" i="5"/>
  <c r="BU169" i="5"/>
  <c r="BV169" i="5"/>
  <c r="BW169" i="5"/>
  <c r="BX169" i="5"/>
  <c r="BY169" i="5"/>
  <c r="BZ169" i="5"/>
  <c r="CA169" i="5"/>
  <c r="CB169" i="5"/>
  <c r="CC169" i="5"/>
  <c r="CD169" i="5"/>
  <c r="CE169" i="5"/>
  <c r="CF169" i="5"/>
  <c r="CG169" i="5"/>
  <c r="CH169" i="5"/>
  <c r="CI169" i="5"/>
  <c r="CJ169" i="5"/>
  <c r="CK169" i="5"/>
  <c r="CL169" i="5"/>
  <c r="CM169" i="5"/>
  <c r="CN169" i="5"/>
  <c r="CO169" i="5"/>
  <c r="CP169" i="5"/>
  <c r="CQ169" i="5"/>
  <c r="CR169" i="5"/>
  <c r="CS169" i="5"/>
  <c r="CT169" i="5"/>
  <c r="CU169" i="5"/>
  <c r="CV169" i="5"/>
  <c r="CW169" i="5"/>
  <c r="CX169" i="5"/>
  <c r="CY169" i="5"/>
  <c r="CZ169" i="5"/>
  <c r="DA169" i="5"/>
  <c r="DB169" i="5"/>
  <c r="DC169" i="5"/>
  <c r="DD169" i="5"/>
  <c r="DE169" i="5"/>
  <c r="DF169" i="5"/>
  <c r="DG169" i="5"/>
  <c r="DH169" i="5"/>
  <c r="DI169" i="5"/>
  <c r="DJ169" i="5"/>
  <c r="DK169" i="5"/>
  <c r="DL169" i="5"/>
  <c r="DM169" i="5"/>
  <c r="DN169" i="5"/>
  <c r="DO169" i="5"/>
  <c r="DP169" i="5"/>
  <c r="DQ169" i="5"/>
  <c r="DR169" i="5"/>
  <c r="DS169" i="5"/>
  <c r="DT169" i="5"/>
  <c r="DU169" i="5"/>
  <c r="DV169" i="5"/>
  <c r="DW169" i="5"/>
  <c r="DX169" i="5"/>
  <c r="DY169" i="5"/>
  <c r="DZ169" i="5"/>
  <c r="EA169" i="5"/>
  <c r="EB169" i="5"/>
  <c r="EC169" i="5"/>
  <c r="ED169" i="5"/>
  <c r="EE169" i="5"/>
  <c r="EF169" i="5"/>
  <c r="EG169" i="5"/>
  <c r="EH169" i="5"/>
  <c r="EI169" i="5"/>
  <c r="EJ169" i="5"/>
  <c r="EK169" i="5"/>
  <c r="EL169" i="5"/>
  <c r="EM169" i="5"/>
  <c r="EN169" i="5"/>
  <c r="EO169" i="5"/>
  <c r="EP169" i="5"/>
  <c r="EQ169" i="5"/>
  <c r="ER169" i="5"/>
  <c r="ES169" i="5"/>
  <c r="ET169" i="5"/>
  <c r="EU169" i="5"/>
  <c r="EV169" i="5"/>
  <c r="EW169" i="5"/>
  <c r="EX169" i="5"/>
  <c r="EY169" i="5"/>
  <c r="EZ169" i="5"/>
  <c r="FA169" i="5"/>
  <c r="FB169" i="5"/>
  <c r="FC169" i="5"/>
  <c r="FD169" i="5"/>
  <c r="FE169" i="5"/>
  <c r="FF169" i="5"/>
  <c r="FG169" i="5"/>
  <c r="FH169" i="5"/>
  <c r="FI169" i="5"/>
  <c r="FJ169" i="5"/>
  <c r="FK169" i="5"/>
  <c r="FL169" i="5"/>
  <c r="FM169" i="5"/>
  <c r="FN169" i="5"/>
  <c r="FO169" i="5"/>
  <c r="FP169" i="5"/>
  <c r="FQ169" i="5"/>
  <c r="FR169" i="5"/>
  <c r="FS169" i="5"/>
  <c r="FT169" i="5"/>
  <c r="FU169" i="5"/>
  <c r="FV169" i="5"/>
  <c r="FW169" i="5"/>
  <c r="FX169" i="5"/>
  <c r="FY169" i="5"/>
  <c r="FZ169" i="5"/>
  <c r="GA169" i="5"/>
  <c r="GB169" i="5"/>
  <c r="GC169" i="5"/>
  <c r="GD169" i="5"/>
  <c r="GE169" i="5"/>
  <c r="GF169" i="5"/>
  <c r="GG169" i="5"/>
  <c r="GH169" i="5"/>
  <c r="GI169" i="5"/>
  <c r="GJ169" i="5"/>
  <c r="GK169" i="5"/>
  <c r="GL169" i="5"/>
  <c r="GM169" i="5"/>
  <c r="GN169" i="5"/>
  <c r="GO169" i="5"/>
  <c r="GP169" i="5"/>
  <c r="GQ169" i="5"/>
  <c r="GR169" i="5"/>
  <c r="GS169" i="5"/>
  <c r="GT169" i="5"/>
  <c r="GU169" i="5"/>
  <c r="GV169" i="5"/>
  <c r="GW169" i="5"/>
  <c r="GX169" i="5"/>
  <c r="GY169" i="5"/>
  <c r="GZ169" i="5"/>
  <c r="HA169" i="5"/>
  <c r="HB169" i="5"/>
  <c r="HC169" i="5"/>
  <c r="HD169" i="5"/>
  <c r="HE169" i="5"/>
  <c r="HF169" i="5"/>
  <c r="HG169" i="5"/>
  <c r="A170" i="5"/>
  <c r="B170" i="5"/>
  <c r="C170" i="5"/>
  <c r="D170" i="5"/>
  <c r="E170" i="5"/>
  <c r="F170" i="5"/>
  <c r="G170" i="5"/>
  <c r="H170" i="5"/>
  <c r="I170" i="5"/>
  <c r="J170" i="5"/>
  <c r="K170" i="5"/>
  <c r="L170" i="5"/>
  <c r="M170" i="5"/>
  <c r="N170" i="5"/>
  <c r="O170" i="5"/>
  <c r="P170" i="5"/>
  <c r="Q170" i="5"/>
  <c r="R170" i="5"/>
  <c r="S170" i="5"/>
  <c r="T170" i="5"/>
  <c r="U170" i="5"/>
  <c r="V170" i="5"/>
  <c r="W170" i="5"/>
  <c r="X170" i="5"/>
  <c r="Y170" i="5"/>
  <c r="Z170" i="5"/>
  <c r="AA170" i="5"/>
  <c r="AB170" i="5"/>
  <c r="AC170" i="5"/>
  <c r="AD170" i="5"/>
  <c r="AE170" i="5"/>
  <c r="AF170" i="5"/>
  <c r="AG170" i="5"/>
  <c r="AH170" i="5"/>
  <c r="AI170" i="5"/>
  <c r="AJ170" i="5"/>
  <c r="AK170" i="5"/>
  <c r="AL170" i="5"/>
  <c r="AM170" i="5"/>
  <c r="AN170" i="5"/>
  <c r="AO170" i="5"/>
  <c r="AP170" i="5"/>
  <c r="AQ170" i="5"/>
  <c r="AR170" i="5"/>
  <c r="AS170" i="5"/>
  <c r="AT170" i="5"/>
  <c r="AU170" i="5"/>
  <c r="AV170" i="5"/>
  <c r="AW170" i="5"/>
  <c r="AX170" i="5"/>
  <c r="AY170" i="5"/>
  <c r="AZ170" i="5"/>
  <c r="BA170" i="5"/>
  <c r="BB170" i="5"/>
  <c r="BC170" i="5"/>
  <c r="BD170" i="5"/>
  <c r="BE170" i="5"/>
  <c r="BF170" i="5"/>
  <c r="BG170" i="5"/>
  <c r="BH170" i="5"/>
  <c r="BI170" i="5"/>
  <c r="BJ170" i="5"/>
  <c r="BK170" i="5"/>
  <c r="BL170" i="5"/>
  <c r="BM170" i="5"/>
  <c r="BN170" i="5"/>
  <c r="BO170" i="5"/>
  <c r="BP170" i="5"/>
  <c r="BQ170" i="5"/>
  <c r="BR170" i="5"/>
  <c r="BS170" i="5"/>
  <c r="BT170" i="5"/>
  <c r="BU170" i="5"/>
  <c r="BV170" i="5"/>
  <c r="BW170" i="5"/>
  <c r="BX170" i="5"/>
  <c r="BY170" i="5"/>
  <c r="BZ170" i="5"/>
  <c r="CA170" i="5"/>
  <c r="CB170" i="5"/>
  <c r="CC170" i="5"/>
  <c r="CD170" i="5"/>
  <c r="CE170" i="5"/>
  <c r="CF170" i="5"/>
  <c r="CG170" i="5"/>
  <c r="CH170" i="5"/>
  <c r="CI170" i="5"/>
  <c r="CJ170" i="5"/>
  <c r="CK170" i="5"/>
  <c r="CL170" i="5"/>
  <c r="CM170" i="5"/>
  <c r="CN170" i="5"/>
  <c r="CO170" i="5"/>
  <c r="CP170" i="5"/>
  <c r="CQ170" i="5"/>
  <c r="CR170" i="5"/>
  <c r="CS170" i="5"/>
  <c r="CT170" i="5"/>
  <c r="CU170" i="5"/>
  <c r="CV170" i="5"/>
  <c r="CW170" i="5"/>
  <c r="CX170" i="5"/>
  <c r="CY170" i="5"/>
  <c r="CZ170" i="5"/>
  <c r="DA170" i="5"/>
  <c r="DB170" i="5"/>
  <c r="DC170" i="5"/>
  <c r="DD170" i="5"/>
  <c r="DE170" i="5"/>
  <c r="DF170" i="5"/>
  <c r="DG170" i="5"/>
  <c r="DH170" i="5"/>
  <c r="DI170" i="5"/>
  <c r="DJ170" i="5"/>
  <c r="DK170" i="5"/>
  <c r="DL170" i="5"/>
  <c r="DM170" i="5"/>
  <c r="DN170" i="5"/>
  <c r="DO170" i="5"/>
  <c r="DP170" i="5"/>
  <c r="DQ170" i="5"/>
  <c r="DR170" i="5"/>
  <c r="DS170" i="5"/>
  <c r="DT170" i="5"/>
  <c r="DU170" i="5"/>
  <c r="DV170" i="5"/>
  <c r="DW170" i="5"/>
  <c r="DX170" i="5"/>
  <c r="DY170" i="5"/>
  <c r="DZ170" i="5"/>
  <c r="EA170" i="5"/>
  <c r="EB170" i="5"/>
  <c r="EC170" i="5"/>
  <c r="ED170" i="5"/>
  <c r="EE170" i="5"/>
  <c r="EF170" i="5"/>
  <c r="EG170" i="5"/>
  <c r="EH170" i="5"/>
  <c r="EI170" i="5"/>
  <c r="EJ170" i="5"/>
  <c r="EK170" i="5"/>
  <c r="EL170" i="5"/>
  <c r="EM170" i="5"/>
  <c r="EN170" i="5"/>
  <c r="EO170" i="5"/>
  <c r="EP170" i="5"/>
  <c r="EQ170" i="5"/>
  <c r="ER170" i="5"/>
  <c r="ES170" i="5"/>
  <c r="ET170" i="5"/>
  <c r="EU170" i="5"/>
  <c r="EV170" i="5"/>
  <c r="EW170" i="5"/>
  <c r="EX170" i="5"/>
  <c r="EY170" i="5"/>
  <c r="EZ170" i="5"/>
  <c r="FA170" i="5"/>
  <c r="FB170" i="5"/>
  <c r="FC170" i="5"/>
  <c r="FD170" i="5"/>
  <c r="FE170" i="5"/>
  <c r="FF170" i="5"/>
  <c r="FG170" i="5"/>
  <c r="FH170" i="5"/>
  <c r="FI170" i="5"/>
  <c r="FJ170" i="5"/>
  <c r="FK170" i="5"/>
  <c r="FL170" i="5"/>
  <c r="FM170" i="5"/>
  <c r="FN170" i="5"/>
  <c r="FO170" i="5"/>
  <c r="FP170" i="5"/>
  <c r="FQ170" i="5"/>
  <c r="FR170" i="5"/>
  <c r="FS170" i="5"/>
  <c r="FT170" i="5"/>
  <c r="FU170" i="5"/>
  <c r="FV170" i="5"/>
  <c r="FW170" i="5"/>
  <c r="FX170" i="5"/>
  <c r="FY170" i="5"/>
  <c r="FZ170" i="5"/>
  <c r="GA170" i="5"/>
  <c r="GB170" i="5"/>
  <c r="GC170" i="5"/>
  <c r="GD170" i="5"/>
  <c r="GE170" i="5"/>
  <c r="GF170" i="5"/>
  <c r="GG170" i="5"/>
  <c r="GH170" i="5"/>
  <c r="GI170" i="5"/>
  <c r="GJ170" i="5"/>
  <c r="GK170" i="5"/>
  <c r="GL170" i="5"/>
  <c r="GM170" i="5"/>
  <c r="GN170" i="5"/>
  <c r="GO170" i="5"/>
  <c r="GP170" i="5"/>
  <c r="GQ170" i="5"/>
  <c r="GR170" i="5"/>
  <c r="GS170" i="5"/>
  <c r="GT170" i="5"/>
  <c r="GU170" i="5"/>
  <c r="GV170" i="5"/>
  <c r="GW170" i="5"/>
  <c r="GX170" i="5"/>
  <c r="GY170" i="5"/>
  <c r="GZ170" i="5"/>
  <c r="HA170" i="5"/>
  <c r="HB170" i="5"/>
  <c r="HC170" i="5"/>
  <c r="HD170" i="5"/>
  <c r="HE170" i="5"/>
  <c r="HF170" i="5"/>
  <c r="HG170" i="5"/>
  <c r="A171" i="5"/>
  <c r="B171" i="5"/>
  <c r="C171" i="5"/>
  <c r="D171" i="5"/>
  <c r="E171" i="5"/>
  <c r="F171" i="5"/>
  <c r="G171" i="5"/>
  <c r="H171" i="5"/>
  <c r="I171" i="5"/>
  <c r="J171" i="5"/>
  <c r="K171" i="5"/>
  <c r="L171" i="5"/>
  <c r="M171" i="5"/>
  <c r="N171" i="5"/>
  <c r="O171" i="5"/>
  <c r="P171" i="5"/>
  <c r="Q171" i="5"/>
  <c r="R171" i="5"/>
  <c r="S171" i="5"/>
  <c r="T171" i="5"/>
  <c r="U171" i="5"/>
  <c r="V171" i="5"/>
  <c r="W171" i="5"/>
  <c r="X171" i="5"/>
  <c r="Y171" i="5"/>
  <c r="Z171" i="5"/>
  <c r="AA171" i="5"/>
  <c r="AB171" i="5"/>
  <c r="AC171" i="5"/>
  <c r="AD171" i="5"/>
  <c r="AE171" i="5"/>
  <c r="AF171" i="5"/>
  <c r="AG171" i="5"/>
  <c r="AH171" i="5"/>
  <c r="AI171" i="5"/>
  <c r="AJ171" i="5"/>
  <c r="AK171" i="5"/>
  <c r="AL171" i="5"/>
  <c r="AM171" i="5"/>
  <c r="AN171" i="5"/>
  <c r="AO171" i="5"/>
  <c r="AP171" i="5"/>
  <c r="AQ171" i="5"/>
  <c r="AR171" i="5"/>
  <c r="AS171" i="5"/>
  <c r="AT171" i="5"/>
  <c r="AU171" i="5"/>
  <c r="AV171" i="5"/>
  <c r="AW171" i="5"/>
  <c r="AX171" i="5"/>
  <c r="AY171" i="5"/>
  <c r="AZ171" i="5"/>
  <c r="BA171" i="5"/>
  <c r="BB171" i="5"/>
  <c r="BC171" i="5"/>
  <c r="BD171" i="5"/>
  <c r="BE171" i="5"/>
  <c r="BF171" i="5"/>
  <c r="BG171" i="5"/>
  <c r="BH171" i="5"/>
  <c r="BI171" i="5"/>
  <c r="BJ171" i="5"/>
  <c r="BK171" i="5"/>
  <c r="BL171" i="5"/>
  <c r="BM171" i="5"/>
  <c r="BN171" i="5"/>
  <c r="BO171" i="5"/>
  <c r="BP171" i="5"/>
  <c r="BQ171" i="5"/>
  <c r="BR171" i="5"/>
  <c r="BS171" i="5"/>
  <c r="BT171" i="5"/>
  <c r="BU171" i="5"/>
  <c r="BV171" i="5"/>
  <c r="BW171" i="5"/>
  <c r="BX171" i="5"/>
  <c r="BY171" i="5"/>
  <c r="BZ171" i="5"/>
  <c r="CA171" i="5"/>
  <c r="CB171" i="5"/>
  <c r="CC171" i="5"/>
  <c r="CD171" i="5"/>
  <c r="CE171" i="5"/>
  <c r="CF171" i="5"/>
  <c r="CG171" i="5"/>
  <c r="CH171" i="5"/>
  <c r="CI171" i="5"/>
  <c r="CJ171" i="5"/>
  <c r="CK171" i="5"/>
  <c r="CL171" i="5"/>
  <c r="CM171" i="5"/>
  <c r="CN171" i="5"/>
  <c r="CO171" i="5"/>
  <c r="CP171" i="5"/>
  <c r="CQ171" i="5"/>
  <c r="CR171" i="5"/>
  <c r="CS171" i="5"/>
  <c r="CT171" i="5"/>
  <c r="CU171" i="5"/>
  <c r="CV171" i="5"/>
  <c r="CW171" i="5"/>
  <c r="CX171" i="5"/>
  <c r="CY171" i="5"/>
  <c r="CZ171" i="5"/>
  <c r="DA171" i="5"/>
  <c r="DB171" i="5"/>
  <c r="DC171" i="5"/>
  <c r="DD171" i="5"/>
  <c r="DE171" i="5"/>
  <c r="DF171" i="5"/>
  <c r="DG171" i="5"/>
  <c r="DH171" i="5"/>
  <c r="DI171" i="5"/>
  <c r="DJ171" i="5"/>
  <c r="DK171" i="5"/>
  <c r="DL171" i="5"/>
  <c r="DM171" i="5"/>
  <c r="DN171" i="5"/>
  <c r="DO171" i="5"/>
  <c r="DP171" i="5"/>
  <c r="DQ171" i="5"/>
  <c r="DR171" i="5"/>
  <c r="DS171" i="5"/>
  <c r="DT171" i="5"/>
  <c r="DU171" i="5"/>
  <c r="DV171" i="5"/>
  <c r="DW171" i="5"/>
  <c r="DX171" i="5"/>
  <c r="DY171" i="5"/>
  <c r="DZ171" i="5"/>
  <c r="EA171" i="5"/>
  <c r="EB171" i="5"/>
  <c r="EC171" i="5"/>
  <c r="ED171" i="5"/>
  <c r="EE171" i="5"/>
  <c r="EF171" i="5"/>
  <c r="EG171" i="5"/>
  <c r="EH171" i="5"/>
  <c r="EI171" i="5"/>
  <c r="EJ171" i="5"/>
  <c r="EK171" i="5"/>
  <c r="EL171" i="5"/>
  <c r="EM171" i="5"/>
  <c r="EN171" i="5"/>
  <c r="EO171" i="5"/>
  <c r="EP171" i="5"/>
  <c r="EQ171" i="5"/>
  <c r="ER171" i="5"/>
  <c r="ES171" i="5"/>
  <c r="ET171" i="5"/>
  <c r="EU171" i="5"/>
  <c r="EV171" i="5"/>
  <c r="EW171" i="5"/>
  <c r="EX171" i="5"/>
  <c r="EY171" i="5"/>
  <c r="EZ171" i="5"/>
  <c r="FA171" i="5"/>
  <c r="FB171" i="5"/>
  <c r="FC171" i="5"/>
  <c r="FD171" i="5"/>
  <c r="FE171" i="5"/>
  <c r="FF171" i="5"/>
  <c r="FG171" i="5"/>
  <c r="FH171" i="5"/>
  <c r="FI171" i="5"/>
  <c r="FJ171" i="5"/>
  <c r="FK171" i="5"/>
  <c r="FL171" i="5"/>
  <c r="FM171" i="5"/>
  <c r="FN171" i="5"/>
  <c r="FO171" i="5"/>
  <c r="FP171" i="5"/>
  <c r="FQ171" i="5"/>
  <c r="FR171" i="5"/>
  <c r="FS171" i="5"/>
  <c r="FT171" i="5"/>
  <c r="FU171" i="5"/>
  <c r="FV171" i="5"/>
  <c r="FW171" i="5"/>
  <c r="FX171" i="5"/>
  <c r="FY171" i="5"/>
  <c r="FZ171" i="5"/>
  <c r="GA171" i="5"/>
  <c r="GB171" i="5"/>
  <c r="GC171" i="5"/>
  <c r="GD171" i="5"/>
  <c r="GE171" i="5"/>
  <c r="GF171" i="5"/>
  <c r="GG171" i="5"/>
  <c r="GH171" i="5"/>
  <c r="GI171" i="5"/>
  <c r="GJ171" i="5"/>
  <c r="GK171" i="5"/>
  <c r="GL171" i="5"/>
  <c r="GM171" i="5"/>
  <c r="GN171" i="5"/>
  <c r="GO171" i="5"/>
  <c r="GP171" i="5"/>
  <c r="GQ171" i="5"/>
  <c r="GR171" i="5"/>
  <c r="GS171" i="5"/>
  <c r="GT171" i="5"/>
  <c r="GU171" i="5"/>
  <c r="GV171" i="5"/>
  <c r="GW171" i="5"/>
  <c r="GX171" i="5"/>
  <c r="GY171" i="5"/>
  <c r="GZ171" i="5"/>
  <c r="HA171" i="5"/>
  <c r="HB171" i="5"/>
  <c r="HC171" i="5"/>
  <c r="HD171" i="5"/>
  <c r="HE171" i="5"/>
  <c r="HF171" i="5"/>
  <c r="HG171" i="5"/>
  <c r="A172" i="5"/>
  <c r="B172" i="5"/>
  <c r="C172" i="5"/>
  <c r="D172" i="5"/>
  <c r="E172" i="5"/>
  <c r="F172" i="5"/>
  <c r="G172" i="5"/>
  <c r="H172" i="5"/>
  <c r="I172" i="5"/>
  <c r="J172" i="5"/>
  <c r="K172" i="5"/>
  <c r="L172" i="5"/>
  <c r="M172" i="5"/>
  <c r="N172" i="5"/>
  <c r="O172" i="5"/>
  <c r="P172" i="5"/>
  <c r="Q172" i="5"/>
  <c r="R172" i="5"/>
  <c r="S172" i="5"/>
  <c r="T172" i="5"/>
  <c r="U172" i="5"/>
  <c r="V172" i="5"/>
  <c r="W172" i="5"/>
  <c r="X172" i="5"/>
  <c r="Y172" i="5"/>
  <c r="Z172" i="5"/>
  <c r="AA172" i="5"/>
  <c r="AB172" i="5"/>
  <c r="AC172" i="5"/>
  <c r="AD172" i="5"/>
  <c r="AE172" i="5"/>
  <c r="AF172" i="5"/>
  <c r="AG172" i="5"/>
  <c r="AH172" i="5"/>
  <c r="AI172" i="5"/>
  <c r="AJ172" i="5"/>
  <c r="AK172" i="5"/>
  <c r="AL172" i="5"/>
  <c r="AM172" i="5"/>
  <c r="AN172" i="5"/>
  <c r="AO172" i="5"/>
  <c r="AP172" i="5"/>
  <c r="AQ172" i="5"/>
  <c r="AR172" i="5"/>
  <c r="AS172" i="5"/>
  <c r="AT172" i="5"/>
  <c r="AU172" i="5"/>
  <c r="AV172" i="5"/>
  <c r="AW172" i="5"/>
  <c r="AX172" i="5"/>
  <c r="AY172" i="5"/>
  <c r="AZ172" i="5"/>
  <c r="BA172" i="5"/>
  <c r="BB172" i="5"/>
  <c r="BC172" i="5"/>
  <c r="BD172" i="5"/>
  <c r="BE172" i="5"/>
  <c r="BF172" i="5"/>
  <c r="BG172" i="5"/>
  <c r="BH172" i="5"/>
  <c r="BI172" i="5"/>
  <c r="BJ172" i="5"/>
  <c r="BK172" i="5"/>
  <c r="BL172" i="5"/>
  <c r="BM172" i="5"/>
  <c r="BN172" i="5"/>
  <c r="BO172" i="5"/>
  <c r="BP172" i="5"/>
  <c r="BQ172" i="5"/>
  <c r="BR172" i="5"/>
  <c r="BS172" i="5"/>
  <c r="BT172" i="5"/>
  <c r="BU172" i="5"/>
  <c r="BV172" i="5"/>
  <c r="BW172" i="5"/>
  <c r="BX172" i="5"/>
  <c r="BY172" i="5"/>
  <c r="BZ172" i="5"/>
  <c r="CA172" i="5"/>
  <c r="CB172" i="5"/>
  <c r="CC172" i="5"/>
  <c r="CD172" i="5"/>
  <c r="CE172" i="5"/>
  <c r="CF172" i="5"/>
  <c r="CG172" i="5"/>
  <c r="CH172" i="5"/>
  <c r="CI172" i="5"/>
  <c r="CJ172" i="5"/>
  <c r="CK172" i="5"/>
  <c r="CL172" i="5"/>
  <c r="CM172" i="5"/>
  <c r="CN172" i="5"/>
  <c r="CO172" i="5"/>
  <c r="CP172" i="5"/>
  <c r="CQ172" i="5"/>
  <c r="CR172" i="5"/>
  <c r="CS172" i="5"/>
  <c r="CT172" i="5"/>
  <c r="CU172" i="5"/>
  <c r="CV172" i="5"/>
  <c r="CW172" i="5"/>
  <c r="CX172" i="5"/>
  <c r="CY172" i="5"/>
  <c r="CZ172" i="5"/>
  <c r="DA172" i="5"/>
  <c r="DB172" i="5"/>
  <c r="DC172" i="5"/>
  <c r="DD172" i="5"/>
  <c r="DE172" i="5"/>
  <c r="DF172" i="5"/>
  <c r="DG172" i="5"/>
  <c r="DH172" i="5"/>
  <c r="DI172" i="5"/>
  <c r="DJ172" i="5"/>
  <c r="DK172" i="5"/>
  <c r="DL172" i="5"/>
  <c r="DM172" i="5"/>
  <c r="DN172" i="5"/>
  <c r="DO172" i="5"/>
  <c r="DP172" i="5"/>
  <c r="DQ172" i="5"/>
  <c r="DR172" i="5"/>
  <c r="DS172" i="5"/>
  <c r="DT172" i="5"/>
  <c r="DU172" i="5"/>
  <c r="DV172" i="5"/>
  <c r="DW172" i="5"/>
  <c r="DX172" i="5"/>
  <c r="DY172" i="5"/>
  <c r="DZ172" i="5"/>
  <c r="EA172" i="5"/>
  <c r="EB172" i="5"/>
  <c r="EC172" i="5"/>
  <c r="ED172" i="5"/>
  <c r="EE172" i="5"/>
  <c r="EF172" i="5"/>
  <c r="EG172" i="5"/>
  <c r="EH172" i="5"/>
  <c r="EI172" i="5"/>
  <c r="EJ172" i="5"/>
  <c r="EK172" i="5"/>
  <c r="EL172" i="5"/>
  <c r="EM172" i="5"/>
  <c r="EN172" i="5"/>
  <c r="EO172" i="5"/>
  <c r="EP172" i="5"/>
  <c r="EQ172" i="5"/>
  <c r="ER172" i="5"/>
  <c r="ES172" i="5"/>
  <c r="ET172" i="5"/>
  <c r="EU172" i="5"/>
  <c r="EV172" i="5"/>
  <c r="EW172" i="5"/>
  <c r="EX172" i="5"/>
  <c r="EY172" i="5"/>
  <c r="EZ172" i="5"/>
  <c r="FA172" i="5"/>
  <c r="FB172" i="5"/>
  <c r="FC172" i="5"/>
  <c r="FD172" i="5"/>
  <c r="FE172" i="5"/>
  <c r="FF172" i="5"/>
  <c r="FG172" i="5"/>
  <c r="FH172" i="5"/>
  <c r="FI172" i="5"/>
  <c r="FJ172" i="5"/>
  <c r="FK172" i="5"/>
  <c r="FL172" i="5"/>
  <c r="FM172" i="5"/>
  <c r="FN172" i="5"/>
  <c r="FO172" i="5"/>
  <c r="FP172" i="5"/>
  <c r="FQ172" i="5"/>
  <c r="FR172" i="5"/>
  <c r="FS172" i="5"/>
  <c r="FT172" i="5"/>
  <c r="FU172" i="5"/>
  <c r="FV172" i="5"/>
  <c r="FW172" i="5"/>
  <c r="FX172" i="5"/>
  <c r="FY172" i="5"/>
  <c r="FZ172" i="5"/>
  <c r="GA172" i="5"/>
  <c r="GB172" i="5"/>
  <c r="GC172" i="5"/>
  <c r="GD172" i="5"/>
  <c r="GE172" i="5"/>
  <c r="GF172" i="5"/>
  <c r="GG172" i="5"/>
  <c r="GH172" i="5"/>
  <c r="GI172" i="5"/>
  <c r="GJ172" i="5"/>
  <c r="GK172" i="5"/>
  <c r="GL172" i="5"/>
  <c r="GM172" i="5"/>
  <c r="GN172" i="5"/>
  <c r="GO172" i="5"/>
  <c r="GP172" i="5"/>
  <c r="GQ172" i="5"/>
  <c r="GR172" i="5"/>
  <c r="GS172" i="5"/>
  <c r="GT172" i="5"/>
  <c r="GU172" i="5"/>
  <c r="GV172" i="5"/>
  <c r="GW172" i="5"/>
  <c r="GX172" i="5"/>
  <c r="GY172" i="5"/>
  <c r="GZ172" i="5"/>
  <c r="HA172" i="5"/>
  <c r="HB172" i="5"/>
  <c r="HC172" i="5"/>
  <c r="HD172" i="5"/>
  <c r="HE172" i="5"/>
  <c r="HF172" i="5"/>
  <c r="HG172" i="5"/>
  <c r="A173" i="5"/>
  <c r="B173" i="5"/>
  <c r="C173" i="5"/>
  <c r="D173" i="5"/>
  <c r="E173" i="5"/>
  <c r="F173" i="5"/>
  <c r="G173" i="5"/>
  <c r="H173" i="5"/>
  <c r="I173" i="5"/>
  <c r="J173" i="5"/>
  <c r="K173" i="5"/>
  <c r="L173" i="5"/>
  <c r="M173" i="5"/>
  <c r="N173" i="5"/>
  <c r="O173" i="5"/>
  <c r="P173" i="5"/>
  <c r="Q173" i="5"/>
  <c r="R173" i="5"/>
  <c r="S173" i="5"/>
  <c r="T173" i="5"/>
  <c r="U173" i="5"/>
  <c r="V173" i="5"/>
  <c r="W173" i="5"/>
  <c r="X173" i="5"/>
  <c r="Y173" i="5"/>
  <c r="Z173" i="5"/>
  <c r="AA173" i="5"/>
  <c r="AB173" i="5"/>
  <c r="AC173" i="5"/>
  <c r="AD173" i="5"/>
  <c r="AE173" i="5"/>
  <c r="AF173" i="5"/>
  <c r="AG173" i="5"/>
  <c r="AH173" i="5"/>
  <c r="AI173" i="5"/>
  <c r="AJ173" i="5"/>
  <c r="AK173" i="5"/>
  <c r="AL173" i="5"/>
  <c r="AM173" i="5"/>
  <c r="AN173" i="5"/>
  <c r="AO173" i="5"/>
  <c r="AP173" i="5"/>
  <c r="AQ173" i="5"/>
  <c r="AR173" i="5"/>
  <c r="AS173" i="5"/>
  <c r="AT173" i="5"/>
  <c r="AU173" i="5"/>
  <c r="AV173" i="5"/>
  <c r="AW173" i="5"/>
  <c r="AX173" i="5"/>
  <c r="AY173" i="5"/>
  <c r="AZ173" i="5"/>
  <c r="BA173" i="5"/>
  <c r="BB173" i="5"/>
  <c r="BC173" i="5"/>
  <c r="BD173" i="5"/>
  <c r="BE173" i="5"/>
  <c r="BF173" i="5"/>
  <c r="BG173" i="5"/>
  <c r="BH173" i="5"/>
  <c r="BI173" i="5"/>
  <c r="BJ173" i="5"/>
  <c r="BK173" i="5"/>
  <c r="BL173" i="5"/>
  <c r="BM173" i="5"/>
  <c r="BN173" i="5"/>
  <c r="BO173" i="5"/>
  <c r="BP173" i="5"/>
  <c r="BQ173" i="5"/>
  <c r="BR173" i="5"/>
  <c r="BS173" i="5"/>
  <c r="BT173" i="5"/>
  <c r="BU173" i="5"/>
  <c r="BV173" i="5"/>
  <c r="BW173" i="5"/>
  <c r="BX173" i="5"/>
  <c r="BY173" i="5"/>
  <c r="BZ173" i="5"/>
  <c r="CA173" i="5"/>
  <c r="CB173" i="5"/>
  <c r="CC173" i="5"/>
  <c r="CD173" i="5"/>
  <c r="CE173" i="5"/>
  <c r="CF173" i="5"/>
  <c r="CG173" i="5"/>
  <c r="CH173" i="5"/>
  <c r="CI173" i="5"/>
  <c r="CJ173" i="5"/>
  <c r="CK173" i="5"/>
  <c r="CL173" i="5"/>
  <c r="CM173" i="5"/>
  <c r="CN173" i="5"/>
  <c r="CO173" i="5"/>
  <c r="CP173" i="5"/>
  <c r="CQ173" i="5"/>
  <c r="CR173" i="5"/>
  <c r="CS173" i="5"/>
  <c r="CT173" i="5"/>
  <c r="CU173" i="5"/>
  <c r="CV173" i="5"/>
  <c r="CW173" i="5"/>
  <c r="CX173" i="5"/>
  <c r="CY173" i="5"/>
  <c r="CZ173" i="5"/>
  <c r="DA173" i="5"/>
  <c r="DB173" i="5"/>
  <c r="DC173" i="5"/>
  <c r="DD173" i="5"/>
  <c r="DE173" i="5"/>
  <c r="DF173" i="5"/>
  <c r="DG173" i="5"/>
  <c r="DH173" i="5"/>
  <c r="DI173" i="5"/>
  <c r="DJ173" i="5"/>
  <c r="DK173" i="5"/>
  <c r="DL173" i="5"/>
  <c r="DM173" i="5"/>
  <c r="DN173" i="5"/>
  <c r="DO173" i="5"/>
  <c r="DP173" i="5"/>
  <c r="DQ173" i="5"/>
  <c r="DR173" i="5"/>
  <c r="DS173" i="5"/>
  <c r="DT173" i="5"/>
  <c r="DU173" i="5"/>
  <c r="DV173" i="5"/>
  <c r="DW173" i="5"/>
  <c r="DX173" i="5"/>
  <c r="DY173" i="5"/>
  <c r="DZ173" i="5"/>
  <c r="EA173" i="5"/>
  <c r="EB173" i="5"/>
  <c r="EC173" i="5"/>
  <c r="ED173" i="5"/>
  <c r="EE173" i="5"/>
  <c r="EF173" i="5"/>
  <c r="EG173" i="5"/>
  <c r="EH173" i="5"/>
  <c r="EI173" i="5"/>
  <c r="EJ173" i="5"/>
  <c r="EK173" i="5"/>
  <c r="EL173" i="5"/>
  <c r="EM173" i="5"/>
  <c r="EN173" i="5"/>
  <c r="EO173" i="5"/>
  <c r="EP173" i="5"/>
  <c r="EQ173" i="5"/>
  <c r="ER173" i="5"/>
  <c r="ES173" i="5"/>
  <c r="ET173" i="5"/>
  <c r="EU173" i="5"/>
  <c r="EV173" i="5"/>
  <c r="EW173" i="5"/>
  <c r="EX173" i="5"/>
  <c r="EY173" i="5"/>
  <c r="EZ173" i="5"/>
  <c r="FA173" i="5"/>
  <c r="FB173" i="5"/>
  <c r="FC173" i="5"/>
  <c r="FD173" i="5"/>
  <c r="FE173" i="5"/>
  <c r="FF173" i="5"/>
  <c r="FG173" i="5"/>
  <c r="FH173" i="5"/>
  <c r="FI173" i="5"/>
  <c r="FJ173" i="5"/>
  <c r="FK173" i="5"/>
  <c r="FL173" i="5"/>
  <c r="FM173" i="5"/>
  <c r="FN173" i="5"/>
  <c r="FO173" i="5"/>
  <c r="FP173" i="5"/>
  <c r="FQ173" i="5"/>
  <c r="FR173" i="5"/>
  <c r="FS173" i="5"/>
  <c r="FT173" i="5"/>
  <c r="FU173" i="5"/>
  <c r="FV173" i="5"/>
  <c r="FW173" i="5"/>
  <c r="FX173" i="5"/>
  <c r="FY173" i="5"/>
  <c r="FZ173" i="5"/>
  <c r="GA173" i="5"/>
  <c r="GB173" i="5"/>
  <c r="GC173" i="5"/>
  <c r="GD173" i="5"/>
  <c r="GE173" i="5"/>
  <c r="GF173" i="5"/>
  <c r="GG173" i="5"/>
  <c r="GH173" i="5"/>
  <c r="GI173" i="5"/>
  <c r="GJ173" i="5"/>
  <c r="GK173" i="5"/>
  <c r="GL173" i="5"/>
  <c r="GM173" i="5"/>
  <c r="GN173" i="5"/>
  <c r="GO173" i="5"/>
  <c r="GP173" i="5"/>
  <c r="GQ173" i="5"/>
  <c r="GR173" i="5"/>
  <c r="GS173" i="5"/>
  <c r="GT173" i="5"/>
  <c r="GU173" i="5"/>
  <c r="GV173" i="5"/>
  <c r="GW173" i="5"/>
  <c r="GX173" i="5"/>
  <c r="GY173" i="5"/>
  <c r="GZ173" i="5"/>
  <c r="HA173" i="5"/>
  <c r="HB173" i="5"/>
  <c r="HC173" i="5"/>
  <c r="HD173" i="5"/>
  <c r="HE173" i="5"/>
  <c r="HF173" i="5"/>
  <c r="HG173" i="5"/>
  <c r="A174" i="5"/>
  <c r="B174" i="5"/>
  <c r="C174" i="5"/>
  <c r="D174" i="5"/>
  <c r="E174" i="5"/>
  <c r="F174" i="5"/>
  <c r="G174" i="5"/>
  <c r="H174" i="5"/>
  <c r="I174" i="5"/>
  <c r="J174" i="5"/>
  <c r="K174" i="5"/>
  <c r="L174" i="5"/>
  <c r="M174" i="5"/>
  <c r="N174" i="5"/>
  <c r="O174" i="5"/>
  <c r="P174" i="5"/>
  <c r="Q174" i="5"/>
  <c r="R174" i="5"/>
  <c r="S174" i="5"/>
  <c r="T174" i="5"/>
  <c r="U174" i="5"/>
  <c r="V174" i="5"/>
  <c r="W174" i="5"/>
  <c r="X174" i="5"/>
  <c r="Y174" i="5"/>
  <c r="Z174" i="5"/>
  <c r="AA174" i="5"/>
  <c r="AB174" i="5"/>
  <c r="AC174" i="5"/>
  <c r="AD174" i="5"/>
  <c r="AE174" i="5"/>
  <c r="AF174" i="5"/>
  <c r="AG174" i="5"/>
  <c r="AH174" i="5"/>
  <c r="AI174" i="5"/>
  <c r="AJ174" i="5"/>
  <c r="AK174" i="5"/>
  <c r="AL174" i="5"/>
  <c r="AM174" i="5"/>
  <c r="AN174" i="5"/>
  <c r="AO174" i="5"/>
  <c r="AP174" i="5"/>
  <c r="AQ174" i="5"/>
  <c r="AR174" i="5"/>
  <c r="AS174" i="5"/>
  <c r="AT174" i="5"/>
  <c r="AU174" i="5"/>
  <c r="AV174" i="5"/>
  <c r="AW174" i="5"/>
  <c r="AX174" i="5"/>
  <c r="AY174" i="5"/>
  <c r="AZ174" i="5"/>
  <c r="BA174" i="5"/>
  <c r="BB174" i="5"/>
  <c r="BC174" i="5"/>
  <c r="BD174" i="5"/>
  <c r="BE174" i="5"/>
  <c r="BF174" i="5"/>
  <c r="BG174" i="5"/>
  <c r="BH174" i="5"/>
  <c r="BI174" i="5"/>
  <c r="BJ174" i="5"/>
  <c r="BK174" i="5"/>
  <c r="BL174" i="5"/>
  <c r="BM174" i="5"/>
  <c r="BN174" i="5"/>
  <c r="BO174" i="5"/>
  <c r="BP174" i="5"/>
  <c r="BQ174" i="5"/>
  <c r="BR174" i="5"/>
  <c r="BS174" i="5"/>
  <c r="BT174" i="5"/>
  <c r="BU174" i="5"/>
  <c r="BV174" i="5"/>
  <c r="BW174" i="5"/>
  <c r="BX174" i="5"/>
  <c r="BY174" i="5"/>
  <c r="BZ174" i="5"/>
  <c r="CA174" i="5"/>
  <c r="CB174" i="5"/>
  <c r="CC174" i="5"/>
  <c r="CD174" i="5"/>
  <c r="CE174" i="5"/>
  <c r="CF174" i="5"/>
  <c r="CG174" i="5"/>
  <c r="CH174" i="5"/>
  <c r="CI174" i="5"/>
  <c r="CJ174" i="5"/>
  <c r="CK174" i="5"/>
  <c r="CL174" i="5"/>
  <c r="CM174" i="5"/>
  <c r="CN174" i="5"/>
  <c r="CO174" i="5"/>
  <c r="CP174" i="5"/>
  <c r="CQ174" i="5"/>
  <c r="CR174" i="5"/>
  <c r="CS174" i="5"/>
  <c r="CT174" i="5"/>
  <c r="CU174" i="5"/>
  <c r="CV174" i="5"/>
  <c r="CW174" i="5"/>
  <c r="CX174" i="5"/>
  <c r="CY174" i="5"/>
  <c r="CZ174" i="5"/>
  <c r="DA174" i="5"/>
  <c r="DB174" i="5"/>
  <c r="DC174" i="5"/>
  <c r="DD174" i="5"/>
  <c r="DE174" i="5"/>
  <c r="DF174" i="5"/>
  <c r="DG174" i="5"/>
  <c r="DH174" i="5"/>
  <c r="DI174" i="5"/>
  <c r="DJ174" i="5"/>
  <c r="DK174" i="5"/>
  <c r="DL174" i="5"/>
  <c r="DM174" i="5"/>
  <c r="DN174" i="5"/>
  <c r="DO174" i="5"/>
  <c r="DP174" i="5"/>
  <c r="DQ174" i="5"/>
  <c r="DR174" i="5"/>
  <c r="DS174" i="5"/>
  <c r="DT174" i="5"/>
  <c r="DU174" i="5"/>
  <c r="DV174" i="5"/>
  <c r="DW174" i="5"/>
  <c r="DX174" i="5"/>
  <c r="DY174" i="5"/>
  <c r="DZ174" i="5"/>
  <c r="EA174" i="5"/>
  <c r="EB174" i="5"/>
  <c r="EC174" i="5"/>
  <c r="ED174" i="5"/>
  <c r="EE174" i="5"/>
  <c r="EF174" i="5"/>
  <c r="EG174" i="5"/>
  <c r="EH174" i="5"/>
  <c r="EI174" i="5"/>
  <c r="EJ174" i="5"/>
  <c r="EK174" i="5"/>
  <c r="EL174" i="5"/>
  <c r="EM174" i="5"/>
  <c r="EN174" i="5"/>
  <c r="EO174" i="5"/>
  <c r="EP174" i="5"/>
  <c r="EQ174" i="5"/>
  <c r="ER174" i="5"/>
  <c r="ES174" i="5"/>
  <c r="ET174" i="5"/>
  <c r="EU174" i="5"/>
  <c r="EV174" i="5"/>
  <c r="EW174" i="5"/>
  <c r="EX174" i="5"/>
  <c r="EY174" i="5"/>
  <c r="EZ174" i="5"/>
  <c r="FA174" i="5"/>
  <c r="FB174" i="5"/>
  <c r="FC174" i="5"/>
  <c r="FD174" i="5"/>
  <c r="FE174" i="5"/>
  <c r="FF174" i="5"/>
  <c r="FG174" i="5"/>
  <c r="FH174" i="5"/>
  <c r="FI174" i="5"/>
  <c r="FJ174" i="5"/>
  <c r="FK174" i="5"/>
  <c r="FL174" i="5"/>
  <c r="FM174" i="5"/>
  <c r="FN174" i="5"/>
  <c r="FO174" i="5"/>
  <c r="FP174" i="5"/>
  <c r="FQ174" i="5"/>
  <c r="FR174" i="5"/>
  <c r="FS174" i="5"/>
  <c r="FT174" i="5"/>
  <c r="FU174" i="5"/>
  <c r="FV174" i="5"/>
  <c r="FW174" i="5"/>
  <c r="FX174" i="5"/>
  <c r="FY174" i="5"/>
  <c r="FZ174" i="5"/>
  <c r="GA174" i="5"/>
  <c r="GB174" i="5"/>
  <c r="GC174" i="5"/>
  <c r="GD174" i="5"/>
  <c r="GE174" i="5"/>
  <c r="GF174" i="5"/>
  <c r="GG174" i="5"/>
  <c r="GH174" i="5"/>
  <c r="GI174" i="5"/>
  <c r="GJ174" i="5"/>
  <c r="GK174" i="5"/>
  <c r="GL174" i="5"/>
  <c r="GM174" i="5"/>
  <c r="GN174" i="5"/>
  <c r="GO174" i="5"/>
  <c r="GP174" i="5"/>
  <c r="GQ174" i="5"/>
  <c r="GR174" i="5"/>
  <c r="GS174" i="5"/>
  <c r="GT174" i="5"/>
  <c r="GU174" i="5"/>
  <c r="GV174" i="5"/>
  <c r="GW174" i="5"/>
  <c r="GX174" i="5"/>
  <c r="GY174" i="5"/>
  <c r="GZ174" i="5"/>
  <c r="HA174" i="5"/>
  <c r="HB174" i="5"/>
  <c r="HC174" i="5"/>
  <c r="HD174" i="5"/>
  <c r="HE174" i="5"/>
  <c r="HF174" i="5"/>
  <c r="HG174" i="5"/>
  <c r="A175" i="5"/>
  <c r="B175" i="5"/>
  <c r="C175" i="5"/>
  <c r="D175" i="5"/>
  <c r="E175" i="5"/>
  <c r="F175" i="5"/>
  <c r="G175" i="5"/>
  <c r="H175" i="5"/>
  <c r="I175" i="5"/>
  <c r="J175" i="5"/>
  <c r="K175" i="5"/>
  <c r="L175" i="5"/>
  <c r="M175" i="5"/>
  <c r="N175" i="5"/>
  <c r="O175" i="5"/>
  <c r="P175" i="5"/>
  <c r="Q175" i="5"/>
  <c r="R175" i="5"/>
  <c r="S175" i="5"/>
  <c r="T175" i="5"/>
  <c r="U175" i="5"/>
  <c r="V175" i="5"/>
  <c r="W175" i="5"/>
  <c r="X175" i="5"/>
  <c r="Y175" i="5"/>
  <c r="Z175" i="5"/>
  <c r="AA175" i="5"/>
  <c r="AB175" i="5"/>
  <c r="AC175" i="5"/>
  <c r="AD175" i="5"/>
  <c r="AE175" i="5"/>
  <c r="AF175" i="5"/>
  <c r="AG175" i="5"/>
  <c r="AH175" i="5"/>
  <c r="AI175" i="5"/>
  <c r="AJ175" i="5"/>
  <c r="AK175" i="5"/>
  <c r="AL175" i="5"/>
  <c r="AM175" i="5"/>
  <c r="AN175" i="5"/>
  <c r="AO175" i="5"/>
  <c r="AP175" i="5"/>
  <c r="AQ175" i="5"/>
  <c r="AR175" i="5"/>
  <c r="AS175" i="5"/>
  <c r="AT175" i="5"/>
  <c r="AU175" i="5"/>
  <c r="AV175" i="5"/>
  <c r="AW175" i="5"/>
  <c r="AX175" i="5"/>
  <c r="AY175" i="5"/>
  <c r="AZ175" i="5"/>
  <c r="BA175" i="5"/>
  <c r="BB175" i="5"/>
  <c r="BC175" i="5"/>
  <c r="BD175" i="5"/>
  <c r="BE175" i="5"/>
  <c r="BF175" i="5"/>
  <c r="BG175" i="5"/>
  <c r="BH175" i="5"/>
  <c r="BI175" i="5"/>
  <c r="BJ175" i="5"/>
  <c r="BK175" i="5"/>
  <c r="BL175" i="5"/>
  <c r="BM175" i="5"/>
  <c r="BN175" i="5"/>
  <c r="BO175" i="5"/>
  <c r="BP175" i="5"/>
  <c r="BQ175" i="5"/>
  <c r="BR175" i="5"/>
  <c r="BS175" i="5"/>
  <c r="BT175" i="5"/>
  <c r="BU175" i="5"/>
  <c r="BV175" i="5"/>
  <c r="BW175" i="5"/>
  <c r="BX175" i="5"/>
  <c r="BY175" i="5"/>
  <c r="BZ175" i="5"/>
  <c r="CA175" i="5"/>
  <c r="CB175" i="5"/>
  <c r="CC175" i="5"/>
  <c r="CD175" i="5"/>
  <c r="CE175" i="5"/>
  <c r="CF175" i="5"/>
  <c r="CG175" i="5"/>
  <c r="CH175" i="5"/>
  <c r="CI175" i="5"/>
  <c r="CJ175" i="5"/>
  <c r="CK175" i="5"/>
  <c r="CL175" i="5"/>
  <c r="CM175" i="5"/>
  <c r="CN175" i="5"/>
  <c r="CO175" i="5"/>
  <c r="CP175" i="5"/>
  <c r="CQ175" i="5"/>
  <c r="CR175" i="5"/>
  <c r="CS175" i="5"/>
  <c r="CT175" i="5"/>
  <c r="CU175" i="5"/>
  <c r="CV175" i="5"/>
  <c r="CW175" i="5"/>
  <c r="CX175" i="5"/>
  <c r="CY175" i="5"/>
  <c r="CZ175" i="5"/>
  <c r="DA175" i="5"/>
  <c r="DB175" i="5"/>
  <c r="DC175" i="5"/>
  <c r="DD175" i="5"/>
  <c r="DE175" i="5"/>
  <c r="DF175" i="5"/>
  <c r="DG175" i="5"/>
  <c r="DH175" i="5"/>
  <c r="DI175" i="5"/>
  <c r="DJ175" i="5"/>
  <c r="DK175" i="5"/>
  <c r="DL175" i="5"/>
  <c r="DM175" i="5"/>
  <c r="DN175" i="5"/>
  <c r="DO175" i="5"/>
  <c r="DP175" i="5"/>
  <c r="DQ175" i="5"/>
  <c r="DR175" i="5"/>
  <c r="DS175" i="5"/>
  <c r="DT175" i="5"/>
  <c r="DU175" i="5"/>
  <c r="DV175" i="5"/>
  <c r="DW175" i="5"/>
  <c r="DX175" i="5"/>
  <c r="DY175" i="5"/>
  <c r="DZ175" i="5"/>
  <c r="EA175" i="5"/>
  <c r="EB175" i="5"/>
  <c r="EC175" i="5"/>
  <c r="ED175" i="5"/>
  <c r="EE175" i="5"/>
  <c r="EF175" i="5"/>
  <c r="EG175" i="5"/>
  <c r="EH175" i="5"/>
  <c r="EI175" i="5"/>
  <c r="EJ175" i="5"/>
  <c r="EK175" i="5"/>
  <c r="EL175" i="5"/>
  <c r="EM175" i="5"/>
  <c r="EN175" i="5"/>
  <c r="EO175" i="5"/>
  <c r="EP175" i="5"/>
  <c r="EQ175" i="5"/>
  <c r="ER175" i="5"/>
  <c r="ES175" i="5"/>
  <c r="ET175" i="5"/>
  <c r="EU175" i="5"/>
  <c r="EV175" i="5"/>
  <c r="EW175" i="5"/>
  <c r="EX175" i="5"/>
  <c r="EY175" i="5"/>
  <c r="EZ175" i="5"/>
  <c r="FA175" i="5"/>
  <c r="FB175" i="5"/>
  <c r="FC175" i="5"/>
  <c r="FD175" i="5"/>
  <c r="FE175" i="5"/>
  <c r="FF175" i="5"/>
  <c r="FG175" i="5"/>
  <c r="FH175" i="5"/>
  <c r="FI175" i="5"/>
  <c r="FJ175" i="5"/>
  <c r="FK175" i="5"/>
  <c r="FL175" i="5"/>
  <c r="FM175" i="5"/>
  <c r="FN175" i="5"/>
  <c r="FO175" i="5"/>
  <c r="FP175" i="5"/>
  <c r="FQ175" i="5"/>
  <c r="FR175" i="5"/>
  <c r="FS175" i="5"/>
  <c r="FT175" i="5"/>
  <c r="FU175" i="5"/>
  <c r="FV175" i="5"/>
  <c r="FW175" i="5"/>
  <c r="FX175" i="5"/>
  <c r="FY175" i="5"/>
  <c r="FZ175" i="5"/>
  <c r="GA175" i="5"/>
  <c r="GB175" i="5"/>
  <c r="GC175" i="5"/>
  <c r="GD175" i="5"/>
  <c r="GE175" i="5"/>
  <c r="GF175" i="5"/>
  <c r="GG175" i="5"/>
  <c r="GH175" i="5"/>
  <c r="GI175" i="5"/>
  <c r="GJ175" i="5"/>
  <c r="GK175" i="5"/>
  <c r="GL175" i="5"/>
  <c r="GM175" i="5"/>
  <c r="GN175" i="5"/>
  <c r="GO175" i="5"/>
  <c r="GP175" i="5"/>
  <c r="GQ175" i="5"/>
  <c r="GR175" i="5"/>
  <c r="GS175" i="5"/>
  <c r="GT175" i="5"/>
  <c r="GU175" i="5"/>
  <c r="GV175" i="5"/>
  <c r="GW175" i="5"/>
  <c r="GX175" i="5"/>
  <c r="GY175" i="5"/>
  <c r="GZ175" i="5"/>
  <c r="HA175" i="5"/>
  <c r="HB175" i="5"/>
  <c r="HC175" i="5"/>
  <c r="HD175" i="5"/>
  <c r="HE175" i="5"/>
  <c r="HF175" i="5"/>
  <c r="HG175" i="5"/>
  <c r="A176" i="5"/>
  <c r="B176" i="5"/>
  <c r="C176" i="5"/>
  <c r="D176" i="5"/>
  <c r="E176" i="5"/>
  <c r="F176" i="5"/>
  <c r="G176" i="5"/>
  <c r="H176" i="5"/>
  <c r="I176" i="5"/>
  <c r="J176" i="5"/>
  <c r="K176" i="5"/>
  <c r="L176" i="5"/>
  <c r="M176" i="5"/>
  <c r="N176" i="5"/>
  <c r="O176" i="5"/>
  <c r="P176" i="5"/>
  <c r="Q176" i="5"/>
  <c r="R176" i="5"/>
  <c r="S176" i="5"/>
  <c r="T176" i="5"/>
  <c r="U176" i="5"/>
  <c r="V176" i="5"/>
  <c r="W176" i="5"/>
  <c r="X176" i="5"/>
  <c r="Y176" i="5"/>
  <c r="Z176" i="5"/>
  <c r="AA176" i="5"/>
  <c r="AB176" i="5"/>
  <c r="AC176" i="5"/>
  <c r="AD176" i="5"/>
  <c r="AE176" i="5"/>
  <c r="AF176" i="5"/>
  <c r="AG176" i="5"/>
  <c r="AH176" i="5"/>
  <c r="AI176" i="5"/>
  <c r="AJ176" i="5"/>
  <c r="AK176" i="5"/>
  <c r="AL176" i="5"/>
  <c r="AM176" i="5"/>
  <c r="AN176" i="5"/>
  <c r="AO176" i="5"/>
  <c r="AP176" i="5"/>
  <c r="AQ176" i="5"/>
  <c r="AR176" i="5"/>
  <c r="AS176" i="5"/>
  <c r="AT176" i="5"/>
  <c r="AU176" i="5"/>
  <c r="AV176" i="5"/>
  <c r="AW176" i="5"/>
  <c r="AX176" i="5"/>
  <c r="AY176" i="5"/>
  <c r="AZ176" i="5"/>
  <c r="BA176" i="5"/>
  <c r="BB176" i="5"/>
  <c r="BC176" i="5"/>
  <c r="BD176" i="5"/>
  <c r="BE176" i="5"/>
  <c r="BF176" i="5"/>
  <c r="BG176" i="5"/>
  <c r="BH176" i="5"/>
  <c r="BI176" i="5"/>
  <c r="BJ176" i="5"/>
  <c r="BK176" i="5"/>
  <c r="BL176" i="5"/>
  <c r="BM176" i="5"/>
  <c r="BN176" i="5"/>
  <c r="BO176" i="5"/>
  <c r="BP176" i="5"/>
  <c r="BQ176" i="5"/>
  <c r="BR176" i="5"/>
  <c r="BS176" i="5"/>
  <c r="BT176" i="5"/>
  <c r="BU176" i="5"/>
  <c r="BV176" i="5"/>
  <c r="BW176" i="5"/>
  <c r="BX176" i="5"/>
  <c r="BY176" i="5"/>
  <c r="BZ176" i="5"/>
  <c r="CA176" i="5"/>
  <c r="CB176" i="5"/>
  <c r="CC176" i="5"/>
  <c r="CD176" i="5"/>
  <c r="CE176" i="5"/>
  <c r="CF176" i="5"/>
  <c r="CG176" i="5"/>
  <c r="CH176" i="5"/>
  <c r="CI176" i="5"/>
  <c r="CJ176" i="5"/>
  <c r="CK176" i="5"/>
  <c r="CL176" i="5"/>
  <c r="CM176" i="5"/>
  <c r="CN176" i="5"/>
  <c r="CO176" i="5"/>
  <c r="CP176" i="5"/>
  <c r="CQ176" i="5"/>
  <c r="CR176" i="5"/>
  <c r="CS176" i="5"/>
  <c r="CT176" i="5"/>
  <c r="CU176" i="5"/>
  <c r="CV176" i="5"/>
  <c r="CW176" i="5"/>
  <c r="CX176" i="5"/>
  <c r="CY176" i="5"/>
  <c r="CZ176" i="5"/>
  <c r="DA176" i="5"/>
  <c r="DB176" i="5"/>
  <c r="DC176" i="5"/>
  <c r="DD176" i="5"/>
  <c r="DE176" i="5"/>
  <c r="DF176" i="5"/>
  <c r="DG176" i="5"/>
  <c r="DH176" i="5"/>
  <c r="DI176" i="5"/>
  <c r="DJ176" i="5"/>
  <c r="DK176" i="5"/>
  <c r="DL176" i="5"/>
  <c r="DM176" i="5"/>
  <c r="DN176" i="5"/>
  <c r="DO176" i="5"/>
  <c r="DP176" i="5"/>
  <c r="DQ176" i="5"/>
  <c r="DR176" i="5"/>
  <c r="DS176" i="5"/>
  <c r="DT176" i="5"/>
  <c r="DU176" i="5"/>
  <c r="DV176" i="5"/>
  <c r="DW176" i="5"/>
  <c r="DX176" i="5"/>
  <c r="DY176" i="5"/>
  <c r="DZ176" i="5"/>
  <c r="EA176" i="5"/>
  <c r="EB176" i="5"/>
  <c r="EC176" i="5"/>
  <c r="ED176" i="5"/>
  <c r="EE176" i="5"/>
  <c r="EF176" i="5"/>
  <c r="EG176" i="5"/>
  <c r="EH176" i="5"/>
  <c r="EI176" i="5"/>
  <c r="EJ176" i="5"/>
  <c r="EK176" i="5"/>
  <c r="EL176" i="5"/>
  <c r="EM176" i="5"/>
  <c r="EN176" i="5"/>
  <c r="EO176" i="5"/>
  <c r="EP176" i="5"/>
  <c r="EQ176" i="5"/>
  <c r="ER176" i="5"/>
  <c r="ES176" i="5"/>
  <c r="ET176" i="5"/>
  <c r="EU176" i="5"/>
  <c r="EV176" i="5"/>
  <c r="EW176" i="5"/>
  <c r="EX176" i="5"/>
  <c r="EY176" i="5"/>
  <c r="EZ176" i="5"/>
  <c r="FA176" i="5"/>
  <c r="FB176" i="5"/>
  <c r="FC176" i="5"/>
  <c r="FD176" i="5"/>
  <c r="FE176" i="5"/>
  <c r="FF176" i="5"/>
  <c r="FG176" i="5"/>
  <c r="FH176" i="5"/>
  <c r="FI176" i="5"/>
  <c r="FJ176" i="5"/>
  <c r="FK176" i="5"/>
  <c r="FL176" i="5"/>
  <c r="FM176" i="5"/>
  <c r="FN176" i="5"/>
  <c r="FO176" i="5"/>
  <c r="FP176" i="5"/>
  <c r="FQ176" i="5"/>
  <c r="FR176" i="5"/>
  <c r="FS176" i="5"/>
  <c r="FT176" i="5"/>
  <c r="FU176" i="5"/>
  <c r="FV176" i="5"/>
  <c r="FW176" i="5"/>
  <c r="FX176" i="5"/>
  <c r="FY176" i="5"/>
  <c r="FZ176" i="5"/>
  <c r="GA176" i="5"/>
  <c r="GB176" i="5"/>
  <c r="GC176" i="5"/>
  <c r="GD176" i="5"/>
  <c r="GE176" i="5"/>
  <c r="GF176" i="5"/>
  <c r="GG176" i="5"/>
  <c r="GH176" i="5"/>
  <c r="GI176" i="5"/>
  <c r="GJ176" i="5"/>
  <c r="GK176" i="5"/>
  <c r="GL176" i="5"/>
  <c r="GM176" i="5"/>
  <c r="GN176" i="5"/>
  <c r="GO176" i="5"/>
  <c r="GP176" i="5"/>
  <c r="GQ176" i="5"/>
  <c r="GR176" i="5"/>
  <c r="GS176" i="5"/>
  <c r="GT176" i="5"/>
  <c r="GU176" i="5"/>
  <c r="GV176" i="5"/>
  <c r="GW176" i="5"/>
  <c r="GX176" i="5"/>
  <c r="GY176" i="5"/>
  <c r="GZ176" i="5"/>
  <c r="HA176" i="5"/>
  <c r="HB176" i="5"/>
  <c r="HC176" i="5"/>
  <c r="HD176" i="5"/>
  <c r="HE176" i="5"/>
  <c r="HF176" i="5"/>
  <c r="HG176" i="5"/>
  <c r="A177" i="5"/>
  <c r="B177" i="5"/>
  <c r="C177" i="5"/>
  <c r="D177" i="5"/>
  <c r="E177" i="5"/>
  <c r="F177" i="5"/>
  <c r="G177" i="5"/>
  <c r="H177" i="5"/>
  <c r="I177" i="5"/>
  <c r="J177" i="5"/>
  <c r="K177" i="5"/>
  <c r="L177" i="5"/>
  <c r="M177" i="5"/>
  <c r="N177" i="5"/>
  <c r="O177" i="5"/>
  <c r="P177" i="5"/>
  <c r="Q177" i="5"/>
  <c r="R177" i="5"/>
  <c r="S177" i="5"/>
  <c r="T177" i="5"/>
  <c r="U177" i="5"/>
  <c r="V177" i="5"/>
  <c r="W177" i="5"/>
  <c r="X177" i="5"/>
  <c r="Y177" i="5"/>
  <c r="Z177" i="5"/>
  <c r="AA177" i="5"/>
  <c r="AB177" i="5"/>
  <c r="AC177" i="5"/>
  <c r="AD177" i="5"/>
  <c r="AE177" i="5"/>
  <c r="AF177" i="5"/>
  <c r="AG177" i="5"/>
  <c r="AH177" i="5"/>
  <c r="AI177" i="5"/>
  <c r="AJ177" i="5"/>
  <c r="AK177" i="5"/>
  <c r="AL177" i="5"/>
  <c r="AM177" i="5"/>
  <c r="AN177" i="5"/>
  <c r="AO177" i="5"/>
  <c r="AP177" i="5"/>
  <c r="AQ177" i="5"/>
  <c r="AR177" i="5"/>
  <c r="AS177" i="5"/>
  <c r="AT177" i="5"/>
  <c r="AU177" i="5"/>
  <c r="AV177" i="5"/>
  <c r="AW177" i="5"/>
  <c r="AX177" i="5"/>
  <c r="AY177" i="5"/>
  <c r="AZ177" i="5"/>
  <c r="BA177" i="5"/>
  <c r="BB177" i="5"/>
  <c r="BC177" i="5"/>
  <c r="BD177" i="5"/>
  <c r="BE177" i="5"/>
  <c r="BF177" i="5"/>
  <c r="BG177" i="5"/>
  <c r="BH177" i="5"/>
  <c r="BI177" i="5"/>
  <c r="BJ177" i="5"/>
  <c r="BK177" i="5"/>
  <c r="BL177" i="5"/>
  <c r="BM177" i="5"/>
  <c r="BN177" i="5"/>
  <c r="BO177" i="5"/>
  <c r="BP177" i="5"/>
  <c r="BQ177" i="5"/>
  <c r="BR177" i="5"/>
  <c r="BS177" i="5"/>
  <c r="BT177" i="5"/>
  <c r="BU177" i="5"/>
  <c r="BV177" i="5"/>
  <c r="BW177" i="5"/>
  <c r="BX177" i="5"/>
  <c r="BY177" i="5"/>
  <c r="BZ177" i="5"/>
  <c r="CA177" i="5"/>
  <c r="CB177" i="5"/>
  <c r="CC177" i="5"/>
  <c r="CD177" i="5"/>
  <c r="CE177" i="5"/>
  <c r="CF177" i="5"/>
  <c r="CG177" i="5"/>
  <c r="CH177" i="5"/>
  <c r="CI177" i="5"/>
  <c r="CJ177" i="5"/>
  <c r="CK177" i="5"/>
  <c r="CL177" i="5"/>
  <c r="CM177" i="5"/>
  <c r="CN177" i="5"/>
  <c r="CO177" i="5"/>
  <c r="CP177" i="5"/>
  <c r="CQ177" i="5"/>
  <c r="CR177" i="5"/>
  <c r="CS177" i="5"/>
  <c r="CT177" i="5"/>
  <c r="CU177" i="5"/>
  <c r="CV177" i="5"/>
  <c r="CW177" i="5"/>
  <c r="CX177" i="5"/>
  <c r="CY177" i="5"/>
  <c r="CZ177" i="5"/>
  <c r="DA177" i="5"/>
  <c r="DB177" i="5"/>
  <c r="DC177" i="5"/>
  <c r="DD177" i="5"/>
  <c r="DE177" i="5"/>
  <c r="DF177" i="5"/>
  <c r="DG177" i="5"/>
  <c r="DH177" i="5"/>
  <c r="DI177" i="5"/>
  <c r="DJ177" i="5"/>
  <c r="DK177" i="5"/>
  <c r="DL177" i="5"/>
  <c r="DM177" i="5"/>
  <c r="DN177" i="5"/>
  <c r="DO177" i="5"/>
  <c r="DP177" i="5"/>
  <c r="DQ177" i="5"/>
  <c r="DR177" i="5"/>
  <c r="DS177" i="5"/>
  <c r="DT177" i="5"/>
  <c r="DU177" i="5"/>
  <c r="DV177" i="5"/>
  <c r="DW177" i="5"/>
  <c r="DX177" i="5"/>
  <c r="DY177" i="5"/>
  <c r="DZ177" i="5"/>
  <c r="EA177" i="5"/>
  <c r="EB177" i="5"/>
  <c r="EC177" i="5"/>
  <c r="ED177" i="5"/>
  <c r="EE177" i="5"/>
  <c r="EF177" i="5"/>
  <c r="EG177" i="5"/>
  <c r="EH177" i="5"/>
  <c r="EI177" i="5"/>
  <c r="EJ177" i="5"/>
  <c r="EK177" i="5"/>
  <c r="EL177" i="5"/>
  <c r="EM177" i="5"/>
  <c r="EN177" i="5"/>
  <c r="EO177" i="5"/>
  <c r="EP177" i="5"/>
  <c r="EQ177" i="5"/>
  <c r="ER177" i="5"/>
  <c r="ES177" i="5"/>
  <c r="ET177" i="5"/>
  <c r="EU177" i="5"/>
  <c r="EV177" i="5"/>
  <c r="EW177" i="5"/>
  <c r="EX177" i="5"/>
  <c r="EY177" i="5"/>
  <c r="EZ177" i="5"/>
  <c r="FA177" i="5"/>
  <c r="FB177" i="5"/>
  <c r="FC177" i="5"/>
  <c r="FD177" i="5"/>
  <c r="FE177" i="5"/>
  <c r="FF177" i="5"/>
  <c r="FG177" i="5"/>
  <c r="FH177" i="5"/>
  <c r="FI177" i="5"/>
  <c r="FJ177" i="5"/>
  <c r="FK177" i="5"/>
  <c r="FL177" i="5"/>
  <c r="FM177" i="5"/>
  <c r="FN177" i="5"/>
  <c r="FO177" i="5"/>
  <c r="FP177" i="5"/>
  <c r="FQ177" i="5"/>
  <c r="FR177" i="5"/>
  <c r="FS177" i="5"/>
  <c r="FT177" i="5"/>
  <c r="FU177" i="5"/>
  <c r="FV177" i="5"/>
  <c r="FW177" i="5"/>
  <c r="FX177" i="5"/>
  <c r="FY177" i="5"/>
  <c r="FZ177" i="5"/>
  <c r="GA177" i="5"/>
  <c r="GB177" i="5"/>
  <c r="GC177" i="5"/>
  <c r="GD177" i="5"/>
  <c r="GE177" i="5"/>
  <c r="GF177" i="5"/>
  <c r="GG177" i="5"/>
  <c r="GH177" i="5"/>
  <c r="GI177" i="5"/>
  <c r="GJ177" i="5"/>
  <c r="GK177" i="5"/>
  <c r="GL177" i="5"/>
  <c r="GM177" i="5"/>
  <c r="GN177" i="5"/>
  <c r="GO177" i="5"/>
  <c r="GP177" i="5"/>
  <c r="GQ177" i="5"/>
  <c r="GR177" i="5"/>
  <c r="GS177" i="5"/>
  <c r="GT177" i="5"/>
  <c r="GU177" i="5"/>
  <c r="GV177" i="5"/>
  <c r="GW177" i="5"/>
  <c r="GX177" i="5"/>
  <c r="GY177" i="5"/>
  <c r="GZ177" i="5"/>
  <c r="HA177" i="5"/>
  <c r="HB177" i="5"/>
  <c r="HC177" i="5"/>
  <c r="HD177" i="5"/>
  <c r="HE177" i="5"/>
  <c r="HF177" i="5"/>
  <c r="HG177" i="5"/>
  <c r="A178" i="5"/>
  <c r="B178" i="5"/>
  <c r="C178" i="5"/>
  <c r="D178" i="5"/>
  <c r="E178" i="5"/>
  <c r="F178" i="5"/>
  <c r="G178" i="5"/>
  <c r="H178" i="5"/>
  <c r="I178" i="5"/>
  <c r="J178" i="5"/>
  <c r="K178" i="5"/>
  <c r="L178" i="5"/>
  <c r="M178" i="5"/>
  <c r="N178" i="5"/>
  <c r="O178" i="5"/>
  <c r="P178" i="5"/>
  <c r="Q178" i="5"/>
  <c r="R178" i="5"/>
  <c r="S178" i="5"/>
  <c r="T178" i="5"/>
  <c r="U178" i="5"/>
  <c r="V178" i="5"/>
  <c r="W178" i="5"/>
  <c r="X178" i="5"/>
  <c r="Y178" i="5"/>
  <c r="Z178" i="5"/>
  <c r="AA178" i="5"/>
  <c r="AB178" i="5"/>
  <c r="AC178" i="5"/>
  <c r="AD178" i="5"/>
  <c r="AE178" i="5"/>
  <c r="AF178" i="5"/>
  <c r="AG178" i="5"/>
  <c r="AH178" i="5"/>
  <c r="AI178" i="5"/>
  <c r="AJ178" i="5"/>
  <c r="AK178" i="5"/>
  <c r="AL178" i="5"/>
  <c r="AM178" i="5"/>
  <c r="AN178" i="5"/>
  <c r="AO178" i="5"/>
  <c r="AP178" i="5"/>
  <c r="AQ178" i="5"/>
  <c r="AR178" i="5"/>
  <c r="AS178" i="5"/>
  <c r="AT178" i="5"/>
  <c r="AU178" i="5"/>
  <c r="AV178" i="5"/>
  <c r="AW178" i="5"/>
  <c r="AX178" i="5"/>
  <c r="AY178" i="5"/>
  <c r="AZ178" i="5"/>
  <c r="BA178" i="5"/>
  <c r="BB178" i="5"/>
  <c r="BC178" i="5"/>
  <c r="BD178" i="5"/>
  <c r="BE178" i="5"/>
  <c r="BF178" i="5"/>
  <c r="BG178" i="5"/>
  <c r="BH178" i="5"/>
  <c r="BI178" i="5"/>
  <c r="BJ178" i="5"/>
  <c r="BK178" i="5"/>
  <c r="BL178" i="5"/>
  <c r="BM178" i="5"/>
  <c r="BN178" i="5"/>
  <c r="BO178" i="5"/>
  <c r="BP178" i="5"/>
  <c r="BQ178" i="5"/>
  <c r="BR178" i="5"/>
  <c r="BS178" i="5"/>
  <c r="BT178" i="5"/>
  <c r="BU178" i="5"/>
  <c r="BV178" i="5"/>
  <c r="BW178" i="5"/>
  <c r="BX178" i="5"/>
  <c r="BY178" i="5"/>
  <c r="BZ178" i="5"/>
  <c r="CA178" i="5"/>
  <c r="CB178" i="5"/>
  <c r="CC178" i="5"/>
  <c r="CD178" i="5"/>
  <c r="CE178" i="5"/>
  <c r="CF178" i="5"/>
  <c r="CG178" i="5"/>
  <c r="CH178" i="5"/>
  <c r="CI178" i="5"/>
  <c r="CJ178" i="5"/>
  <c r="CK178" i="5"/>
  <c r="CL178" i="5"/>
  <c r="CM178" i="5"/>
  <c r="CN178" i="5"/>
  <c r="CO178" i="5"/>
  <c r="CP178" i="5"/>
  <c r="CQ178" i="5"/>
  <c r="CR178" i="5"/>
  <c r="CS178" i="5"/>
  <c r="CT178" i="5"/>
  <c r="CU178" i="5"/>
  <c r="CV178" i="5"/>
  <c r="CW178" i="5"/>
  <c r="CX178" i="5"/>
  <c r="CY178" i="5"/>
  <c r="CZ178" i="5"/>
  <c r="DA178" i="5"/>
  <c r="DB178" i="5"/>
  <c r="DC178" i="5"/>
  <c r="DD178" i="5"/>
  <c r="DE178" i="5"/>
  <c r="DF178" i="5"/>
  <c r="DG178" i="5"/>
  <c r="DH178" i="5"/>
  <c r="DI178" i="5"/>
  <c r="DJ178" i="5"/>
  <c r="DK178" i="5"/>
  <c r="DL178" i="5"/>
  <c r="DM178" i="5"/>
  <c r="DN178" i="5"/>
  <c r="DO178" i="5"/>
  <c r="DP178" i="5"/>
  <c r="DQ178" i="5"/>
  <c r="DR178" i="5"/>
  <c r="DS178" i="5"/>
  <c r="DT178" i="5"/>
  <c r="DU178" i="5"/>
  <c r="DV178" i="5"/>
  <c r="DW178" i="5"/>
  <c r="DX178" i="5"/>
  <c r="DY178" i="5"/>
  <c r="DZ178" i="5"/>
  <c r="EA178" i="5"/>
  <c r="EB178" i="5"/>
  <c r="EC178" i="5"/>
  <c r="ED178" i="5"/>
  <c r="EE178" i="5"/>
  <c r="EF178" i="5"/>
  <c r="EG178" i="5"/>
  <c r="EH178" i="5"/>
  <c r="EI178" i="5"/>
  <c r="EJ178" i="5"/>
  <c r="EK178" i="5"/>
  <c r="EL178" i="5"/>
  <c r="EM178" i="5"/>
  <c r="EN178" i="5"/>
  <c r="EO178" i="5"/>
  <c r="EP178" i="5"/>
  <c r="EQ178" i="5"/>
  <c r="ER178" i="5"/>
  <c r="ES178" i="5"/>
  <c r="ET178" i="5"/>
  <c r="EU178" i="5"/>
  <c r="EV178" i="5"/>
  <c r="EW178" i="5"/>
  <c r="EX178" i="5"/>
  <c r="EY178" i="5"/>
  <c r="EZ178" i="5"/>
  <c r="FA178" i="5"/>
  <c r="FB178" i="5"/>
  <c r="FC178" i="5"/>
  <c r="FD178" i="5"/>
  <c r="FE178" i="5"/>
  <c r="FF178" i="5"/>
  <c r="FG178" i="5"/>
  <c r="FH178" i="5"/>
  <c r="FI178" i="5"/>
  <c r="FJ178" i="5"/>
  <c r="FK178" i="5"/>
  <c r="FL178" i="5"/>
  <c r="FM178" i="5"/>
  <c r="FN178" i="5"/>
  <c r="FO178" i="5"/>
  <c r="FP178" i="5"/>
  <c r="FQ178" i="5"/>
  <c r="FR178" i="5"/>
  <c r="FS178" i="5"/>
  <c r="FT178" i="5"/>
  <c r="FU178" i="5"/>
  <c r="FV178" i="5"/>
  <c r="FW178" i="5"/>
  <c r="FX178" i="5"/>
  <c r="FY178" i="5"/>
  <c r="FZ178" i="5"/>
  <c r="GA178" i="5"/>
  <c r="GB178" i="5"/>
  <c r="GC178" i="5"/>
  <c r="GD178" i="5"/>
  <c r="GE178" i="5"/>
  <c r="GF178" i="5"/>
  <c r="GG178" i="5"/>
  <c r="GH178" i="5"/>
  <c r="GI178" i="5"/>
  <c r="GJ178" i="5"/>
  <c r="GK178" i="5"/>
  <c r="GL178" i="5"/>
  <c r="GM178" i="5"/>
  <c r="GN178" i="5"/>
  <c r="GO178" i="5"/>
  <c r="GP178" i="5"/>
  <c r="GQ178" i="5"/>
  <c r="GR178" i="5"/>
  <c r="GS178" i="5"/>
  <c r="GT178" i="5"/>
  <c r="GU178" i="5"/>
  <c r="GV178" i="5"/>
  <c r="GW178" i="5"/>
  <c r="GX178" i="5"/>
  <c r="GY178" i="5"/>
  <c r="GZ178" i="5"/>
  <c r="HA178" i="5"/>
  <c r="HB178" i="5"/>
  <c r="HC178" i="5"/>
  <c r="HD178" i="5"/>
  <c r="HE178" i="5"/>
  <c r="HF178" i="5"/>
  <c r="HG178" i="5"/>
  <c r="A179" i="5"/>
  <c r="B179" i="5"/>
  <c r="C179" i="5"/>
  <c r="D179" i="5"/>
  <c r="E179" i="5"/>
  <c r="F179" i="5"/>
  <c r="G179" i="5"/>
  <c r="H179" i="5"/>
  <c r="I179" i="5"/>
  <c r="J179" i="5"/>
  <c r="K179" i="5"/>
  <c r="L179" i="5"/>
  <c r="M179" i="5"/>
  <c r="N179" i="5"/>
  <c r="O179" i="5"/>
  <c r="P179" i="5"/>
  <c r="Q179" i="5"/>
  <c r="R179" i="5"/>
  <c r="S179" i="5"/>
  <c r="T179" i="5"/>
  <c r="U179" i="5"/>
  <c r="V179" i="5"/>
  <c r="W179" i="5"/>
  <c r="X179" i="5"/>
  <c r="Y179" i="5"/>
  <c r="Z179" i="5"/>
  <c r="AA179" i="5"/>
  <c r="AB179" i="5"/>
  <c r="AC179" i="5"/>
  <c r="AD179" i="5"/>
  <c r="AE179" i="5"/>
  <c r="AF179" i="5"/>
  <c r="AG179" i="5"/>
  <c r="AH179" i="5"/>
  <c r="AI179" i="5"/>
  <c r="AJ179" i="5"/>
  <c r="AK179" i="5"/>
  <c r="AL179" i="5"/>
  <c r="AM179" i="5"/>
  <c r="AN179" i="5"/>
  <c r="AO179" i="5"/>
  <c r="AP179" i="5"/>
  <c r="AQ179" i="5"/>
  <c r="AR179" i="5"/>
  <c r="AS179" i="5"/>
  <c r="AT179" i="5"/>
  <c r="AU179" i="5"/>
  <c r="AV179" i="5"/>
  <c r="AW179" i="5"/>
  <c r="AX179" i="5"/>
  <c r="AY179" i="5"/>
  <c r="AZ179" i="5"/>
  <c r="BA179" i="5"/>
  <c r="BB179" i="5"/>
  <c r="BC179" i="5"/>
  <c r="BD179" i="5"/>
  <c r="BE179" i="5"/>
  <c r="BF179" i="5"/>
  <c r="BG179" i="5"/>
  <c r="BH179" i="5"/>
  <c r="BI179" i="5"/>
  <c r="BJ179" i="5"/>
  <c r="BK179" i="5"/>
  <c r="BL179" i="5"/>
  <c r="BM179" i="5"/>
  <c r="BN179" i="5"/>
  <c r="BO179" i="5"/>
  <c r="BP179" i="5"/>
  <c r="BQ179" i="5"/>
  <c r="BR179" i="5"/>
  <c r="BS179" i="5"/>
  <c r="BT179" i="5"/>
  <c r="BU179" i="5"/>
  <c r="BV179" i="5"/>
  <c r="BW179" i="5"/>
  <c r="BX179" i="5"/>
  <c r="BY179" i="5"/>
  <c r="BZ179" i="5"/>
  <c r="CA179" i="5"/>
  <c r="CB179" i="5"/>
  <c r="CC179" i="5"/>
  <c r="CD179" i="5"/>
  <c r="CE179" i="5"/>
  <c r="CF179" i="5"/>
  <c r="CG179" i="5"/>
  <c r="CH179" i="5"/>
  <c r="CI179" i="5"/>
  <c r="CJ179" i="5"/>
  <c r="CK179" i="5"/>
  <c r="CL179" i="5"/>
  <c r="CM179" i="5"/>
  <c r="CN179" i="5"/>
  <c r="CO179" i="5"/>
  <c r="CP179" i="5"/>
  <c r="CQ179" i="5"/>
  <c r="CR179" i="5"/>
  <c r="CS179" i="5"/>
  <c r="CT179" i="5"/>
  <c r="CU179" i="5"/>
  <c r="CV179" i="5"/>
  <c r="CW179" i="5"/>
  <c r="CX179" i="5"/>
  <c r="CY179" i="5"/>
  <c r="CZ179" i="5"/>
  <c r="DA179" i="5"/>
  <c r="DB179" i="5"/>
  <c r="DC179" i="5"/>
  <c r="DD179" i="5"/>
  <c r="DE179" i="5"/>
  <c r="DF179" i="5"/>
  <c r="DG179" i="5"/>
  <c r="DH179" i="5"/>
  <c r="DI179" i="5"/>
  <c r="DJ179" i="5"/>
  <c r="DK179" i="5"/>
  <c r="DL179" i="5"/>
  <c r="DM179" i="5"/>
  <c r="DN179" i="5"/>
  <c r="DO179" i="5"/>
  <c r="DP179" i="5"/>
  <c r="DQ179" i="5"/>
  <c r="DR179" i="5"/>
  <c r="DS179" i="5"/>
  <c r="DT179" i="5"/>
  <c r="DU179" i="5"/>
  <c r="DV179" i="5"/>
  <c r="DW179" i="5"/>
  <c r="DX179" i="5"/>
  <c r="DY179" i="5"/>
  <c r="DZ179" i="5"/>
  <c r="EA179" i="5"/>
  <c r="EB179" i="5"/>
  <c r="EC179" i="5"/>
  <c r="ED179" i="5"/>
  <c r="EE179" i="5"/>
  <c r="EF179" i="5"/>
  <c r="EG179" i="5"/>
  <c r="EH179" i="5"/>
  <c r="EI179" i="5"/>
  <c r="EJ179" i="5"/>
  <c r="EK179" i="5"/>
  <c r="EL179" i="5"/>
  <c r="EM179" i="5"/>
  <c r="EN179" i="5"/>
  <c r="EO179" i="5"/>
  <c r="EP179" i="5"/>
  <c r="EQ179" i="5"/>
  <c r="ER179" i="5"/>
  <c r="ES179" i="5"/>
  <c r="ET179" i="5"/>
  <c r="EU179" i="5"/>
  <c r="EV179" i="5"/>
  <c r="EW179" i="5"/>
  <c r="EX179" i="5"/>
  <c r="EY179" i="5"/>
  <c r="EZ179" i="5"/>
  <c r="FA179" i="5"/>
  <c r="FB179" i="5"/>
  <c r="FC179" i="5"/>
  <c r="FD179" i="5"/>
  <c r="FE179" i="5"/>
  <c r="FF179" i="5"/>
  <c r="FG179" i="5"/>
  <c r="FH179" i="5"/>
  <c r="FI179" i="5"/>
  <c r="FJ179" i="5"/>
  <c r="FK179" i="5"/>
  <c r="FL179" i="5"/>
  <c r="FM179" i="5"/>
  <c r="FN179" i="5"/>
  <c r="FO179" i="5"/>
  <c r="FP179" i="5"/>
  <c r="FQ179" i="5"/>
  <c r="FR179" i="5"/>
  <c r="FS179" i="5"/>
  <c r="FT179" i="5"/>
  <c r="FU179" i="5"/>
  <c r="FV179" i="5"/>
  <c r="FW179" i="5"/>
  <c r="FX179" i="5"/>
  <c r="FY179" i="5"/>
  <c r="FZ179" i="5"/>
  <c r="GA179" i="5"/>
  <c r="GB179" i="5"/>
  <c r="GC179" i="5"/>
  <c r="GD179" i="5"/>
  <c r="GE179" i="5"/>
  <c r="GF179" i="5"/>
  <c r="GG179" i="5"/>
  <c r="GH179" i="5"/>
  <c r="GI179" i="5"/>
  <c r="GJ179" i="5"/>
  <c r="GK179" i="5"/>
  <c r="GL179" i="5"/>
  <c r="GM179" i="5"/>
  <c r="GN179" i="5"/>
  <c r="GO179" i="5"/>
  <c r="GP179" i="5"/>
  <c r="GQ179" i="5"/>
  <c r="GR179" i="5"/>
  <c r="GS179" i="5"/>
  <c r="GT179" i="5"/>
  <c r="GU179" i="5"/>
  <c r="GV179" i="5"/>
  <c r="GW179" i="5"/>
  <c r="GX179" i="5"/>
  <c r="GY179" i="5"/>
  <c r="GZ179" i="5"/>
  <c r="HA179" i="5"/>
  <c r="HB179" i="5"/>
  <c r="HC179" i="5"/>
  <c r="HD179" i="5"/>
  <c r="HE179" i="5"/>
  <c r="HF179" i="5"/>
  <c r="HG179" i="5"/>
  <c r="A180" i="5"/>
  <c r="B180" i="5"/>
  <c r="C180" i="5"/>
  <c r="D180" i="5"/>
  <c r="E180" i="5"/>
  <c r="F180" i="5"/>
  <c r="G180" i="5"/>
  <c r="H180" i="5"/>
  <c r="I180" i="5"/>
  <c r="J180" i="5"/>
  <c r="K180" i="5"/>
  <c r="L180" i="5"/>
  <c r="M180" i="5"/>
  <c r="N180" i="5"/>
  <c r="O180" i="5"/>
  <c r="P180" i="5"/>
  <c r="Q180" i="5"/>
  <c r="R180" i="5"/>
  <c r="S180" i="5"/>
  <c r="T180" i="5"/>
  <c r="U180" i="5"/>
  <c r="V180" i="5"/>
  <c r="W180" i="5"/>
  <c r="X180" i="5"/>
  <c r="Y180" i="5"/>
  <c r="Z180" i="5"/>
  <c r="AA180" i="5"/>
  <c r="AB180" i="5"/>
  <c r="AC180" i="5"/>
  <c r="AD180" i="5"/>
  <c r="AE180" i="5"/>
  <c r="AF180" i="5"/>
  <c r="AG180" i="5"/>
  <c r="AH180" i="5"/>
  <c r="AI180" i="5"/>
  <c r="AJ180" i="5"/>
  <c r="AK180" i="5"/>
  <c r="AL180" i="5"/>
  <c r="AM180" i="5"/>
  <c r="AN180" i="5"/>
  <c r="AO180" i="5"/>
  <c r="AP180" i="5"/>
  <c r="AQ180" i="5"/>
  <c r="AR180" i="5"/>
  <c r="AS180" i="5"/>
  <c r="AT180" i="5"/>
  <c r="AU180" i="5"/>
  <c r="AV180" i="5"/>
  <c r="AW180" i="5"/>
  <c r="AX180" i="5"/>
  <c r="AY180" i="5"/>
  <c r="AZ180" i="5"/>
  <c r="BA180" i="5"/>
  <c r="BB180" i="5"/>
  <c r="BC180" i="5"/>
  <c r="BD180" i="5"/>
  <c r="BE180" i="5"/>
  <c r="BF180" i="5"/>
  <c r="BG180" i="5"/>
  <c r="BH180" i="5"/>
  <c r="BI180" i="5"/>
  <c r="BJ180" i="5"/>
  <c r="BK180" i="5"/>
  <c r="BL180" i="5"/>
  <c r="BM180" i="5"/>
  <c r="BN180" i="5"/>
  <c r="BO180" i="5"/>
  <c r="BP180" i="5"/>
  <c r="BQ180" i="5"/>
  <c r="BR180" i="5"/>
  <c r="BS180" i="5"/>
  <c r="BT180" i="5"/>
  <c r="BU180" i="5"/>
  <c r="BV180" i="5"/>
  <c r="BW180" i="5"/>
  <c r="BX180" i="5"/>
  <c r="BY180" i="5"/>
  <c r="BZ180" i="5"/>
  <c r="CA180" i="5"/>
  <c r="CB180" i="5"/>
  <c r="CC180" i="5"/>
  <c r="CD180" i="5"/>
  <c r="CE180" i="5"/>
  <c r="CF180" i="5"/>
  <c r="CG180" i="5"/>
  <c r="CH180" i="5"/>
  <c r="CI180" i="5"/>
  <c r="CJ180" i="5"/>
  <c r="CK180" i="5"/>
  <c r="CL180" i="5"/>
  <c r="CM180" i="5"/>
  <c r="CN180" i="5"/>
  <c r="CO180" i="5"/>
  <c r="CP180" i="5"/>
  <c r="CQ180" i="5"/>
  <c r="CR180" i="5"/>
  <c r="CS180" i="5"/>
  <c r="CT180" i="5"/>
  <c r="CU180" i="5"/>
  <c r="CV180" i="5"/>
  <c r="CW180" i="5"/>
  <c r="CX180" i="5"/>
  <c r="CY180" i="5"/>
  <c r="CZ180" i="5"/>
  <c r="DA180" i="5"/>
  <c r="DB180" i="5"/>
  <c r="DC180" i="5"/>
  <c r="DD180" i="5"/>
  <c r="DE180" i="5"/>
  <c r="DF180" i="5"/>
  <c r="DG180" i="5"/>
  <c r="DH180" i="5"/>
  <c r="DI180" i="5"/>
  <c r="DJ180" i="5"/>
  <c r="DK180" i="5"/>
  <c r="DL180" i="5"/>
  <c r="DM180" i="5"/>
  <c r="DN180" i="5"/>
  <c r="DO180" i="5"/>
  <c r="DP180" i="5"/>
  <c r="DQ180" i="5"/>
  <c r="DR180" i="5"/>
  <c r="DS180" i="5"/>
  <c r="DT180" i="5"/>
  <c r="DU180" i="5"/>
  <c r="DV180" i="5"/>
  <c r="DW180" i="5"/>
  <c r="DX180" i="5"/>
  <c r="DY180" i="5"/>
  <c r="DZ180" i="5"/>
  <c r="EA180" i="5"/>
  <c r="EB180" i="5"/>
  <c r="EC180" i="5"/>
  <c r="ED180" i="5"/>
  <c r="EE180" i="5"/>
  <c r="EF180" i="5"/>
  <c r="EG180" i="5"/>
  <c r="EH180" i="5"/>
  <c r="EI180" i="5"/>
  <c r="EJ180" i="5"/>
  <c r="EK180" i="5"/>
  <c r="EL180" i="5"/>
  <c r="EM180" i="5"/>
  <c r="EN180" i="5"/>
  <c r="EO180" i="5"/>
  <c r="EP180" i="5"/>
  <c r="EQ180" i="5"/>
  <c r="ER180" i="5"/>
  <c r="ES180" i="5"/>
  <c r="ET180" i="5"/>
  <c r="EU180" i="5"/>
  <c r="EV180" i="5"/>
  <c r="EW180" i="5"/>
  <c r="EX180" i="5"/>
  <c r="EY180" i="5"/>
  <c r="EZ180" i="5"/>
  <c r="FA180" i="5"/>
  <c r="FB180" i="5"/>
  <c r="FC180" i="5"/>
  <c r="FD180" i="5"/>
  <c r="FE180" i="5"/>
  <c r="FF180" i="5"/>
  <c r="FG180" i="5"/>
  <c r="FH180" i="5"/>
  <c r="FI180" i="5"/>
  <c r="FJ180" i="5"/>
  <c r="FK180" i="5"/>
  <c r="FL180" i="5"/>
  <c r="FM180" i="5"/>
  <c r="FN180" i="5"/>
  <c r="FO180" i="5"/>
  <c r="FP180" i="5"/>
  <c r="FQ180" i="5"/>
  <c r="FR180" i="5"/>
  <c r="FS180" i="5"/>
  <c r="FT180" i="5"/>
  <c r="FU180" i="5"/>
  <c r="FV180" i="5"/>
  <c r="FW180" i="5"/>
  <c r="FX180" i="5"/>
  <c r="FY180" i="5"/>
  <c r="FZ180" i="5"/>
  <c r="GA180" i="5"/>
  <c r="GB180" i="5"/>
  <c r="GC180" i="5"/>
  <c r="GD180" i="5"/>
  <c r="GE180" i="5"/>
  <c r="GF180" i="5"/>
  <c r="GG180" i="5"/>
  <c r="GH180" i="5"/>
  <c r="GI180" i="5"/>
  <c r="GJ180" i="5"/>
  <c r="GK180" i="5"/>
  <c r="GL180" i="5"/>
  <c r="GM180" i="5"/>
  <c r="GN180" i="5"/>
  <c r="GO180" i="5"/>
  <c r="GP180" i="5"/>
  <c r="GQ180" i="5"/>
  <c r="GR180" i="5"/>
  <c r="GS180" i="5"/>
  <c r="GT180" i="5"/>
  <c r="GU180" i="5"/>
  <c r="GV180" i="5"/>
  <c r="GW180" i="5"/>
  <c r="GX180" i="5"/>
  <c r="GY180" i="5"/>
  <c r="GZ180" i="5"/>
  <c r="HA180" i="5"/>
  <c r="HB180" i="5"/>
  <c r="HC180" i="5"/>
  <c r="HD180" i="5"/>
  <c r="HE180" i="5"/>
  <c r="HF180" i="5"/>
  <c r="HG180" i="5"/>
  <c r="A181" i="5"/>
  <c r="B181" i="5"/>
  <c r="C181" i="5"/>
  <c r="D181" i="5"/>
  <c r="E181" i="5"/>
  <c r="F181" i="5"/>
  <c r="G181" i="5"/>
  <c r="H181" i="5"/>
  <c r="I181" i="5"/>
  <c r="J181" i="5"/>
  <c r="K181" i="5"/>
  <c r="L181" i="5"/>
  <c r="M181" i="5"/>
  <c r="N181" i="5"/>
  <c r="O181" i="5"/>
  <c r="P181" i="5"/>
  <c r="Q181" i="5"/>
  <c r="R181" i="5"/>
  <c r="S181" i="5"/>
  <c r="T181" i="5"/>
  <c r="U181" i="5"/>
  <c r="V181" i="5"/>
  <c r="W181" i="5"/>
  <c r="X181" i="5"/>
  <c r="Y181" i="5"/>
  <c r="Z181" i="5"/>
  <c r="AA181" i="5"/>
  <c r="AB181" i="5"/>
  <c r="AC181" i="5"/>
  <c r="AD181" i="5"/>
  <c r="AE181" i="5"/>
  <c r="AF181" i="5"/>
  <c r="AG181" i="5"/>
  <c r="AH181" i="5"/>
  <c r="AI181" i="5"/>
  <c r="AJ181" i="5"/>
  <c r="AK181" i="5"/>
  <c r="AL181" i="5"/>
  <c r="AM181" i="5"/>
  <c r="AN181" i="5"/>
  <c r="AO181" i="5"/>
  <c r="AP181" i="5"/>
  <c r="AQ181" i="5"/>
  <c r="AR181" i="5"/>
  <c r="AS181" i="5"/>
  <c r="AT181" i="5"/>
  <c r="AU181" i="5"/>
  <c r="AV181" i="5"/>
  <c r="AW181" i="5"/>
  <c r="AX181" i="5"/>
  <c r="AY181" i="5"/>
  <c r="AZ181" i="5"/>
  <c r="BA181" i="5"/>
  <c r="BB181" i="5"/>
  <c r="BC181" i="5"/>
  <c r="BD181" i="5"/>
  <c r="BE181" i="5"/>
  <c r="BF181" i="5"/>
  <c r="BG181" i="5"/>
  <c r="BH181" i="5"/>
  <c r="BI181" i="5"/>
  <c r="BJ181" i="5"/>
  <c r="BK181" i="5"/>
  <c r="BL181" i="5"/>
  <c r="BM181" i="5"/>
  <c r="BN181" i="5"/>
  <c r="BO181" i="5"/>
  <c r="BP181" i="5"/>
  <c r="BQ181" i="5"/>
  <c r="BR181" i="5"/>
  <c r="BS181" i="5"/>
  <c r="BT181" i="5"/>
  <c r="BU181" i="5"/>
  <c r="BV181" i="5"/>
  <c r="BW181" i="5"/>
  <c r="BX181" i="5"/>
  <c r="BY181" i="5"/>
  <c r="BZ181" i="5"/>
  <c r="CA181" i="5"/>
  <c r="CB181" i="5"/>
  <c r="CC181" i="5"/>
  <c r="CD181" i="5"/>
  <c r="CE181" i="5"/>
  <c r="CF181" i="5"/>
  <c r="CG181" i="5"/>
  <c r="CH181" i="5"/>
  <c r="CI181" i="5"/>
  <c r="CJ181" i="5"/>
  <c r="CK181" i="5"/>
  <c r="CL181" i="5"/>
  <c r="CM181" i="5"/>
  <c r="CN181" i="5"/>
  <c r="CO181" i="5"/>
  <c r="CP181" i="5"/>
  <c r="CQ181" i="5"/>
  <c r="CR181" i="5"/>
  <c r="CS181" i="5"/>
  <c r="CT181" i="5"/>
  <c r="CU181" i="5"/>
  <c r="CV181" i="5"/>
  <c r="CW181" i="5"/>
  <c r="CX181" i="5"/>
  <c r="CY181" i="5"/>
  <c r="CZ181" i="5"/>
  <c r="DA181" i="5"/>
  <c r="DB181" i="5"/>
  <c r="DC181" i="5"/>
  <c r="DD181" i="5"/>
  <c r="DE181" i="5"/>
  <c r="DF181" i="5"/>
  <c r="DG181" i="5"/>
  <c r="DH181" i="5"/>
  <c r="DI181" i="5"/>
  <c r="DJ181" i="5"/>
  <c r="DK181" i="5"/>
  <c r="DL181" i="5"/>
  <c r="DM181" i="5"/>
  <c r="DN181" i="5"/>
  <c r="DO181" i="5"/>
  <c r="DP181" i="5"/>
  <c r="DQ181" i="5"/>
  <c r="DR181" i="5"/>
  <c r="DS181" i="5"/>
  <c r="DT181" i="5"/>
  <c r="DU181" i="5"/>
  <c r="DV181" i="5"/>
  <c r="DW181" i="5"/>
  <c r="DX181" i="5"/>
  <c r="DY181" i="5"/>
  <c r="DZ181" i="5"/>
  <c r="EA181" i="5"/>
  <c r="EB181" i="5"/>
  <c r="EC181" i="5"/>
  <c r="ED181" i="5"/>
  <c r="EE181" i="5"/>
  <c r="EF181" i="5"/>
  <c r="EG181" i="5"/>
  <c r="EH181" i="5"/>
  <c r="EI181" i="5"/>
  <c r="EJ181" i="5"/>
  <c r="EK181" i="5"/>
  <c r="EL181" i="5"/>
  <c r="EM181" i="5"/>
  <c r="EN181" i="5"/>
  <c r="EO181" i="5"/>
  <c r="EP181" i="5"/>
  <c r="EQ181" i="5"/>
  <c r="ER181" i="5"/>
  <c r="ES181" i="5"/>
  <c r="ET181" i="5"/>
  <c r="EU181" i="5"/>
  <c r="EV181" i="5"/>
  <c r="EW181" i="5"/>
  <c r="EX181" i="5"/>
  <c r="EY181" i="5"/>
  <c r="EZ181" i="5"/>
  <c r="FA181" i="5"/>
  <c r="FB181" i="5"/>
  <c r="FC181" i="5"/>
  <c r="FD181" i="5"/>
  <c r="FE181" i="5"/>
  <c r="FF181" i="5"/>
  <c r="FG181" i="5"/>
  <c r="FH181" i="5"/>
  <c r="FI181" i="5"/>
  <c r="FJ181" i="5"/>
  <c r="FK181" i="5"/>
  <c r="FL181" i="5"/>
  <c r="FM181" i="5"/>
  <c r="FN181" i="5"/>
  <c r="FO181" i="5"/>
  <c r="FP181" i="5"/>
  <c r="FQ181" i="5"/>
  <c r="FR181" i="5"/>
  <c r="FS181" i="5"/>
  <c r="FT181" i="5"/>
  <c r="FU181" i="5"/>
  <c r="FV181" i="5"/>
  <c r="FW181" i="5"/>
  <c r="FX181" i="5"/>
  <c r="FY181" i="5"/>
  <c r="FZ181" i="5"/>
  <c r="GA181" i="5"/>
  <c r="GB181" i="5"/>
  <c r="GC181" i="5"/>
  <c r="GD181" i="5"/>
  <c r="GE181" i="5"/>
  <c r="GF181" i="5"/>
  <c r="GG181" i="5"/>
  <c r="GH181" i="5"/>
  <c r="GI181" i="5"/>
  <c r="GJ181" i="5"/>
  <c r="GK181" i="5"/>
  <c r="GL181" i="5"/>
  <c r="GM181" i="5"/>
  <c r="GN181" i="5"/>
  <c r="GO181" i="5"/>
  <c r="GP181" i="5"/>
  <c r="GQ181" i="5"/>
  <c r="GR181" i="5"/>
  <c r="GS181" i="5"/>
  <c r="GT181" i="5"/>
  <c r="GU181" i="5"/>
  <c r="GV181" i="5"/>
  <c r="GW181" i="5"/>
  <c r="GX181" i="5"/>
  <c r="GY181" i="5"/>
  <c r="GZ181" i="5"/>
  <c r="HA181" i="5"/>
  <c r="HB181" i="5"/>
  <c r="HC181" i="5"/>
  <c r="HD181" i="5"/>
  <c r="HE181" i="5"/>
  <c r="HF181" i="5"/>
  <c r="HG181" i="5"/>
  <c r="A182" i="5"/>
  <c r="B182" i="5"/>
  <c r="C182" i="5"/>
  <c r="D182" i="5"/>
  <c r="E182" i="5"/>
  <c r="F182" i="5"/>
  <c r="G182" i="5"/>
  <c r="H182" i="5"/>
  <c r="I182" i="5"/>
  <c r="J182" i="5"/>
  <c r="K182" i="5"/>
  <c r="L182" i="5"/>
  <c r="M182" i="5"/>
  <c r="N182" i="5"/>
  <c r="O182" i="5"/>
  <c r="P182" i="5"/>
  <c r="Q182" i="5"/>
  <c r="R182" i="5"/>
  <c r="S182" i="5"/>
  <c r="T182" i="5"/>
  <c r="U182" i="5"/>
  <c r="V182" i="5"/>
  <c r="W182" i="5"/>
  <c r="X182" i="5"/>
  <c r="Y182" i="5"/>
  <c r="Z182" i="5"/>
  <c r="AA182" i="5"/>
  <c r="AB182" i="5"/>
  <c r="AC182" i="5"/>
  <c r="AD182" i="5"/>
  <c r="AE182" i="5"/>
  <c r="AF182" i="5"/>
  <c r="AG182" i="5"/>
  <c r="AH182" i="5"/>
  <c r="AI182" i="5"/>
  <c r="AJ182" i="5"/>
  <c r="AK182" i="5"/>
  <c r="AL182" i="5"/>
  <c r="AM182" i="5"/>
  <c r="AN182" i="5"/>
  <c r="AO182" i="5"/>
  <c r="AP182" i="5"/>
  <c r="AQ182" i="5"/>
  <c r="AR182" i="5"/>
  <c r="AS182" i="5"/>
  <c r="AT182" i="5"/>
  <c r="AU182" i="5"/>
  <c r="AV182" i="5"/>
  <c r="AW182" i="5"/>
  <c r="AX182" i="5"/>
  <c r="AY182" i="5"/>
  <c r="AZ182" i="5"/>
  <c r="BA182" i="5"/>
  <c r="BB182" i="5"/>
  <c r="BC182" i="5"/>
  <c r="BD182" i="5"/>
  <c r="BE182" i="5"/>
  <c r="BF182" i="5"/>
  <c r="BG182" i="5"/>
  <c r="BH182" i="5"/>
  <c r="BI182" i="5"/>
  <c r="BJ182" i="5"/>
  <c r="BK182" i="5"/>
  <c r="BL182" i="5"/>
  <c r="BM182" i="5"/>
  <c r="BN182" i="5"/>
  <c r="BO182" i="5"/>
  <c r="BP182" i="5"/>
  <c r="BQ182" i="5"/>
  <c r="BR182" i="5"/>
  <c r="BS182" i="5"/>
  <c r="BT182" i="5"/>
  <c r="BU182" i="5"/>
  <c r="BV182" i="5"/>
  <c r="BW182" i="5"/>
  <c r="BX182" i="5"/>
  <c r="BY182" i="5"/>
  <c r="BZ182" i="5"/>
  <c r="CA182" i="5"/>
  <c r="CB182" i="5"/>
  <c r="CC182" i="5"/>
  <c r="CD182" i="5"/>
  <c r="CE182" i="5"/>
  <c r="CF182" i="5"/>
  <c r="CG182" i="5"/>
  <c r="CH182" i="5"/>
  <c r="CI182" i="5"/>
  <c r="CJ182" i="5"/>
  <c r="CK182" i="5"/>
  <c r="CL182" i="5"/>
  <c r="CM182" i="5"/>
  <c r="CN182" i="5"/>
  <c r="CO182" i="5"/>
  <c r="CP182" i="5"/>
  <c r="CQ182" i="5"/>
  <c r="CR182" i="5"/>
  <c r="CS182" i="5"/>
  <c r="CT182" i="5"/>
  <c r="CU182" i="5"/>
  <c r="CV182" i="5"/>
  <c r="CW182" i="5"/>
  <c r="CX182" i="5"/>
  <c r="CY182" i="5"/>
  <c r="CZ182" i="5"/>
  <c r="DA182" i="5"/>
  <c r="DB182" i="5"/>
  <c r="DC182" i="5"/>
  <c r="DD182" i="5"/>
  <c r="DE182" i="5"/>
  <c r="DF182" i="5"/>
  <c r="DG182" i="5"/>
  <c r="DH182" i="5"/>
  <c r="DI182" i="5"/>
  <c r="DJ182" i="5"/>
  <c r="DK182" i="5"/>
  <c r="DL182" i="5"/>
  <c r="DM182" i="5"/>
  <c r="DN182" i="5"/>
  <c r="DO182" i="5"/>
  <c r="DP182" i="5"/>
  <c r="DQ182" i="5"/>
  <c r="DR182" i="5"/>
  <c r="DS182" i="5"/>
  <c r="DT182" i="5"/>
  <c r="DU182" i="5"/>
  <c r="DV182" i="5"/>
  <c r="DW182" i="5"/>
  <c r="DX182" i="5"/>
  <c r="DY182" i="5"/>
  <c r="DZ182" i="5"/>
  <c r="EA182" i="5"/>
  <c r="EB182" i="5"/>
  <c r="EC182" i="5"/>
  <c r="ED182" i="5"/>
  <c r="EE182" i="5"/>
  <c r="EF182" i="5"/>
  <c r="EG182" i="5"/>
  <c r="EH182" i="5"/>
  <c r="EI182" i="5"/>
  <c r="EJ182" i="5"/>
  <c r="EK182" i="5"/>
  <c r="EL182" i="5"/>
  <c r="EM182" i="5"/>
  <c r="EN182" i="5"/>
  <c r="EO182" i="5"/>
  <c r="EP182" i="5"/>
  <c r="EQ182" i="5"/>
  <c r="ER182" i="5"/>
  <c r="ES182" i="5"/>
  <c r="ET182" i="5"/>
  <c r="EU182" i="5"/>
  <c r="EV182" i="5"/>
  <c r="EW182" i="5"/>
  <c r="EX182" i="5"/>
  <c r="EY182" i="5"/>
  <c r="EZ182" i="5"/>
  <c r="FA182" i="5"/>
  <c r="FB182" i="5"/>
  <c r="FC182" i="5"/>
  <c r="FD182" i="5"/>
  <c r="FE182" i="5"/>
  <c r="FF182" i="5"/>
  <c r="FG182" i="5"/>
  <c r="FH182" i="5"/>
  <c r="FI182" i="5"/>
  <c r="FJ182" i="5"/>
  <c r="FK182" i="5"/>
  <c r="FL182" i="5"/>
  <c r="FM182" i="5"/>
  <c r="FN182" i="5"/>
  <c r="FO182" i="5"/>
  <c r="FP182" i="5"/>
  <c r="FQ182" i="5"/>
  <c r="FR182" i="5"/>
  <c r="FS182" i="5"/>
  <c r="FT182" i="5"/>
  <c r="FU182" i="5"/>
  <c r="FV182" i="5"/>
  <c r="FW182" i="5"/>
  <c r="FX182" i="5"/>
  <c r="FY182" i="5"/>
  <c r="FZ182" i="5"/>
  <c r="GA182" i="5"/>
  <c r="GB182" i="5"/>
  <c r="GC182" i="5"/>
  <c r="GD182" i="5"/>
  <c r="GE182" i="5"/>
  <c r="GF182" i="5"/>
  <c r="GG182" i="5"/>
  <c r="GH182" i="5"/>
  <c r="GI182" i="5"/>
  <c r="GJ182" i="5"/>
  <c r="GK182" i="5"/>
  <c r="GL182" i="5"/>
  <c r="GM182" i="5"/>
  <c r="GN182" i="5"/>
  <c r="GO182" i="5"/>
  <c r="GP182" i="5"/>
  <c r="GQ182" i="5"/>
  <c r="GR182" i="5"/>
  <c r="GS182" i="5"/>
  <c r="GT182" i="5"/>
  <c r="GU182" i="5"/>
  <c r="GV182" i="5"/>
  <c r="GW182" i="5"/>
  <c r="GX182" i="5"/>
  <c r="GY182" i="5"/>
  <c r="GZ182" i="5"/>
  <c r="HA182" i="5"/>
  <c r="HB182" i="5"/>
  <c r="HC182" i="5"/>
  <c r="HD182" i="5"/>
  <c r="HE182" i="5"/>
  <c r="HF182" i="5"/>
  <c r="HG182" i="5"/>
  <c r="A183" i="5"/>
  <c r="B183" i="5"/>
  <c r="C183" i="5"/>
  <c r="D183" i="5"/>
  <c r="E183" i="5"/>
  <c r="F183" i="5"/>
  <c r="G183" i="5"/>
  <c r="H183" i="5"/>
  <c r="I183" i="5"/>
  <c r="J183" i="5"/>
  <c r="K183" i="5"/>
  <c r="L183" i="5"/>
  <c r="M183" i="5"/>
  <c r="N183" i="5"/>
  <c r="O183" i="5"/>
  <c r="P183" i="5"/>
  <c r="Q183" i="5"/>
  <c r="R183" i="5"/>
  <c r="S183" i="5"/>
  <c r="T183" i="5"/>
  <c r="U183" i="5"/>
  <c r="V183" i="5"/>
  <c r="W183" i="5"/>
  <c r="X183" i="5"/>
  <c r="Y183" i="5"/>
  <c r="Z183" i="5"/>
  <c r="AA183" i="5"/>
  <c r="AB183" i="5"/>
  <c r="AC183" i="5"/>
  <c r="AD183" i="5"/>
  <c r="AE183" i="5"/>
  <c r="AF183" i="5"/>
  <c r="AG183" i="5"/>
  <c r="AH183" i="5"/>
  <c r="AI183" i="5"/>
  <c r="AJ183" i="5"/>
  <c r="AK183" i="5"/>
  <c r="AL183" i="5"/>
  <c r="AM183" i="5"/>
  <c r="AN183" i="5"/>
  <c r="AO183" i="5"/>
  <c r="AP183" i="5"/>
  <c r="AQ183" i="5"/>
  <c r="AR183" i="5"/>
  <c r="AS183" i="5"/>
  <c r="AT183" i="5"/>
  <c r="AU183" i="5"/>
  <c r="AV183" i="5"/>
  <c r="AW183" i="5"/>
  <c r="AX183" i="5"/>
  <c r="AY183" i="5"/>
  <c r="AZ183" i="5"/>
  <c r="BA183" i="5"/>
  <c r="BB183" i="5"/>
  <c r="BC183" i="5"/>
  <c r="BD183" i="5"/>
  <c r="BE183" i="5"/>
  <c r="BF183" i="5"/>
  <c r="BG183" i="5"/>
  <c r="BH183" i="5"/>
  <c r="BI183" i="5"/>
  <c r="BJ183" i="5"/>
  <c r="BK183" i="5"/>
  <c r="BL183" i="5"/>
  <c r="BM183" i="5"/>
  <c r="BN183" i="5"/>
  <c r="BO183" i="5"/>
  <c r="BP183" i="5"/>
  <c r="BQ183" i="5"/>
  <c r="BR183" i="5"/>
  <c r="BS183" i="5"/>
  <c r="BT183" i="5"/>
  <c r="BU183" i="5"/>
  <c r="BV183" i="5"/>
  <c r="BW183" i="5"/>
  <c r="BX183" i="5"/>
  <c r="BY183" i="5"/>
  <c r="BZ183" i="5"/>
  <c r="CA183" i="5"/>
  <c r="CB183" i="5"/>
  <c r="CC183" i="5"/>
  <c r="CD183" i="5"/>
  <c r="CE183" i="5"/>
  <c r="CF183" i="5"/>
  <c r="CG183" i="5"/>
  <c r="CH183" i="5"/>
  <c r="CI183" i="5"/>
  <c r="CJ183" i="5"/>
  <c r="CK183" i="5"/>
  <c r="CL183" i="5"/>
  <c r="CM183" i="5"/>
  <c r="CN183" i="5"/>
  <c r="CO183" i="5"/>
  <c r="CP183" i="5"/>
  <c r="CQ183" i="5"/>
  <c r="CR183" i="5"/>
  <c r="CS183" i="5"/>
  <c r="CT183" i="5"/>
  <c r="CU183" i="5"/>
  <c r="CV183" i="5"/>
  <c r="CW183" i="5"/>
  <c r="CX183" i="5"/>
  <c r="CY183" i="5"/>
  <c r="CZ183" i="5"/>
  <c r="DA183" i="5"/>
  <c r="DB183" i="5"/>
  <c r="DC183" i="5"/>
  <c r="DD183" i="5"/>
  <c r="DE183" i="5"/>
  <c r="DF183" i="5"/>
  <c r="DG183" i="5"/>
  <c r="DH183" i="5"/>
  <c r="DI183" i="5"/>
  <c r="DJ183" i="5"/>
  <c r="DK183" i="5"/>
  <c r="DL183" i="5"/>
  <c r="DM183" i="5"/>
  <c r="DN183" i="5"/>
  <c r="DO183" i="5"/>
  <c r="DP183" i="5"/>
  <c r="DQ183" i="5"/>
  <c r="DR183" i="5"/>
  <c r="DS183" i="5"/>
  <c r="DT183" i="5"/>
  <c r="DU183" i="5"/>
  <c r="DV183" i="5"/>
  <c r="DW183" i="5"/>
  <c r="DX183" i="5"/>
  <c r="DY183" i="5"/>
  <c r="DZ183" i="5"/>
  <c r="EA183" i="5"/>
  <c r="EB183" i="5"/>
  <c r="EC183" i="5"/>
  <c r="ED183" i="5"/>
  <c r="EE183" i="5"/>
  <c r="EF183" i="5"/>
  <c r="EG183" i="5"/>
  <c r="EH183" i="5"/>
  <c r="EI183" i="5"/>
  <c r="EJ183" i="5"/>
  <c r="EK183" i="5"/>
  <c r="EL183" i="5"/>
  <c r="EM183" i="5"/>
  <c r="EN183" i="5"/>
  <c r="EO183" i="5"/>
  <c r="EP183" i="5"/>
  <c r="EQ183" i="5"/>
  <c r="ER183" i="5"/>
  <c r="ES183" i="5"/>
  <c r="ET183" i="5"/>
  <c r="EU183" i="5"/>
  <c r="EV183" i="5"/>
  <c r="EW183" i="5"/>
  <c r="EX183" i="5"/>
  <c r="EY183" i="5"/>
  <c r="EZ183" i="5"/>
  <c r="FA183" i="5"/>
  <c r="FB183" i="5"/>
  <c r="FC183" i="5"/>
  <c r="FD183" i="5"/>
  <c r="FE183" i="5"/>
  <c r="FF183" i="5"/>
  <c r="FG183" i="5"/>
  <c r="FH183" i="5"/>
  <c r="FI183" i="5"/>
  <c r="FJ183" i="5"/>
  <c r="FK183" i="5"/>
  <c r="FL183" i="5"/>
  <c r="FM183" i="5"/>
  <c r="FN183" i="5"/>
  <c r="FO183" i="5"/>
  <c r="FP183" i="5"/>
  <c r="FQ183" i="5"/>
  <c r="FR183" i="5"/>
  <c r="FS183" i="5"/>
  <c r="FT183" i="5"/>
  <c r="FU183" i="5"/>
  <c r="FV183" i="5"/>
  <c r="FW183" i="5"/>
  <c r="FX183" i="5"/>
  <c r="FY183" i="5"/>
  <c r="FZ183" i="5"/>
  <c r="GA183" i="5"/>
  <c r="GB183" i="5"/>
  <c r="GC183" i="5"/>
  <c r="GD183" i="5"/>
  <c r="GE183" i="5"/>
  <c r="GF183" i="5"/>
  <c r="GG183" i="5"/>
  <c r="GH183" i="5"/>
  <c r="GI183" i="5"/>
  <c r="GJ183" i="5"/>
  <c r="GK183" i="5"/>
  <c r="GL183" i="5"/>
  <c r="GM183" i="5"/>
  <c r="GN183" i="5"/>
  <c r="GO183" i="5"/>
  <c r="GP183" i="5"/>
  <c r="GQ183" i="5"/>
  <c r="GR183" i="5"/>
  <c r="GS183" i="5"/>
  <c r="GT183" i="5"/>
  <c r="GU183" i="5"/>
  <c r="GV183" i="5"/>
  <c r="GW183" i="5"/>
  <c r="GX183" i="5"/>
  <c r="GY183" i="5"/>
  <c r="GZ183" i="5"/>
  <c r="HA183" i="5"/>
  <c r="HB183" i="5"/>
  <c r="HC183" i="5"/>
  <c r="HD183" i="5"/>
  <c r="HE183" i="5"/>
  <c r="HF183" i="5"/>
  <c r="HG183" i="5"/>
  <c r="A184" i="5"/>
  <c r="B184" i="5"/>
  <c r="C184" i="5"/>
  <c r="D184" i="5"/>
  <c r="E184" i="5"/>
  <c r="F184" i="5"/>
  <c r="G184" i="5"/>
  <c r="H184" i="5"/>
  <c r="I184" i="5"/>
  <c r="J184" i="5"/>
  <c r="K184" i="5"/>
  <c r="L184" i="5"/>
  <c r="M184" i="5"/>
  <c r="N184" i="5"/>
  <c r="O184" i="5"/>
  <c r="P184" i="5"/>
  <c r="Q184" i="5"/>
  <c r="R184" i="5"/>
  <c r="S184" i="5"/>
  <c r="T184" i="5"/>
  <c r="U184" i="5"/>
  <c r="V184" i="5"/>
  <c r="W184" i="5"/>
  <c r="X184" i="5"/>
  <c r="Y184" i="5"/>
  <c r="Z184" i="5"/>
  <c r="AA184" i="5"/>
  <c r="AB184" i="5"/>
  <c r="AC184" i="5"/>
  <c r="AD184" i="5"/>
  <c r="AE184" i="5"/>
  <c r="AF184" i="5"/>
  <c r="AG184" i="5"/>
  <c r="AH184" i="5"/>
  <c r="AI184" i="5"/>
  <c r="AJ184" i="5"/>
  <c r="AK184" i="5"/>
  <c r="AL184" i="5"/>
  <c r="AM184" i="5"/>
  <c r="AN184" i="5"/>
  <c r="AO184" i="5"/>
  <c r="AP184" i="5"/>
  <c r="AQ184" i="5"/>
  <c r="AR184" i="5"/>
  <c r="AS184" i="5"/>
  <c r="AT184" i="5"/>
  <c r="AU184" i="5"/>
  <c r="AV184" i="5"/>
  <c r="AW184" i="5"/>
  <c r="AX184" i="5"/>
  <c r="AY184" i="5"/>
  <c r="AZ184" i="5"/>
  <c r="BA184" i="5"/>
  <c r="BB184" i="5"/>
  <c r="BC184" i="5"/>
  <c r="BD184" i="5"/>
  <c r="BE184" i="5"/>
  <c r="BF184" i="5"/>
  <c r="BG184" i="5"/>
  <c r="BH184" i="5"/>
  <c r="BI184" i="5"/>
  <c r="BJ184" i="5"/>
  <c r="BK184" i="5"/>
  <c r="BL184" i="5"/>
  <c r="BM184" i="5"/>
  <c r="BN184" i="5"/>
  <c r="BO184" i="5"/>
  <c r="BP184" i="5"/>
  <c r="BQ184" i="5"/>
  <c r="BR184" i="5"/>
  <c r="BS184" i="5"/>
  <c r="BT184" i="5"/>
  <c r="BU184" i="5"/>
  <c r="BV184" i="5"/>
  <c r="BW184" i="5"/>
  <c r="BX184" i="5"/>
  <c r="BY184" i="5"/>
  <c r="BZ184" i="5"/>
  <c r="CA184" i="5"/>
  <c r="CB184" i="5"/>
  <c r="CC184" i="5"/>
  <c r="CD184" i="5"/>
  <c r="CE184" i="5"/>
  <c r="CF184" i="5"/>
  <c r="CG184" i="5"/>
  <c r="CH184" i="5"/>
  <c r="CI184" i="5"/>
  <c r="CJ184" i="5"/>
  <c r="CK184" i="5"/>
  <c r="CL184" i="5"/>
  <c r="CM184" i="5"/>
  <c r="CN184" i="5"/>
  <c r="CO184" i="5"/>
  <c r="CP184" i="5"/>
  <c r="CQ184" i="5"/>
  <c r="CR184" i="5"/>
  <c r="CS184" i="5"/>
  <c r="CT184" i="5"/>
  <c r="CU184" i="5"/>
  <c r="CV184" i="5"/>
  <c r="CW184" i="5"/>
  <c r="CX184" i="5"/>
  <c r="CY184" i="5"/>
  <c r="CZ184" i="5"/>
  <c r="DA184" i="5"/>
  <c r="DB184" i="5"/>
  <c r="DC184" i="5"/>
  <c r="DD184" i="5"/>
  <c r="DE184" i="5"/>
  <c r="DF184" i="5"/>
  <c r="DG184" i="5"/>
  <c r="DH184" i="5"/>
  <c r="DI184" i="5"/>
  <c r="DJ184" i="5"/>
  <c r="DK184" i="5"/>
  <c r="DL184" i="5"/>
  <c r="DM184" i="5"/>
  <c r="DN184" i="5"/>
  <c r="DO184" i="5"/>
  <c r="DP184" i="5"/>
  <c r="DQ184" i="5"/>
  <c r="DR184" i="5"/>
  <c r="DS184" i="5"/>
  <c r="DT184" i="5"/>
  <c r="DU184" i="5"/>
  <c r="DV184" i="5"/>
  <c r="DW184" i="5"/>
  <c r="DX184" i="5"/>
  <c r="DY184" i="5"/>
  <c r="DZ184" i="5"/>
  <c r="EA184" i="5"/>
  <c r="EB184" i="5"/>
  <c r="EC184" i="5"/>
  <c r="ED184" i="5"/>
  <c r="EE184" i="5"/>
  <c r="EF184" i="5"/>
  <c r="EG184" i="5"/>
  <c r="EH184" i="5"/>
  <c r="EI184" i="5"/>
  <c r="EJ184" i="5"/>
  <c r="EK184" i="5"/>
  <c r="EL184" i="5"/>
  <c r="EM184" i="5"/>
  <c r="EN184" i="5"/>
  <c r="EO184" i="5"/>
  <c r="EP184" i="5"/>
  <c r="EQ184" i="5"/>
  <c r="ER184" i="5"/>
  <c r="ES184" i="5"/>
  <c r="ET184" i="5"/>
  <c r="EU184" i="5"/>
  <c r="EV184" i="5"/>
  <c r="EW184" i="5"/>
  <c r="EX184" i="5"/>
  <c r="EY184" i="5"/>
  <c r="EZ184" i="5"/>
  <c r="FA184" i="5"/>
  <c r="FB184" i="5"/>
  <c r="FC184" i="5"/>
  <c r="FD184" i="5"/>
  <c r="FE184" i="5"/>
  <c r="FF184" i="5"/>
  <c r="FG184" i="5"/>
  <c r="FH184" i="5"/>
  <c r="FI184" i="5"/>
  <c r="FJ184" i="5"/>
  <c r="FK184" i="5"/>
  <c r="FL184" i="5"/>
  <c r="FM184" i="5"/>
  <c r="FN184" i="5"/>
  <c r="FO184" i="5"/>
  <c r="FP184" i="5"/>
  <c r="FQ184" i="5"/>
  <c r="FR184" i="5"/>
  <c r="FS184" i="5"/>
  <c r="FT184" i="5"/>
  <c r="FU184" i="5"/>
  <c r="FV184" i="5"/>
  <c r="FW184" i="5"/>
  <c r="FX184" i="5"/>
  <c r="FY184" i="5"/>
  <c r="FZ184" i="5"/>
  <c r="GA184" i="5"/>
  <c r="GB184" i="5"/>
  <c r="GC184" i="5"/>
  <c r="GD184" i="5"/>
  <c r="GE184" i="5"/>
  <c r="GF184" i="5"/>
  <c r="GG184" i="5"/>
  <c r="GH184" i="5"/>
  <c r="GI184" i="5"/>
  <c r="GJ184" i="5"/>
  <c r="GK184" i="5"/>
  <c r="GL184" i="5"/>
  <c r="GM184" i="5"/>
  <c r="GN184" i="5"/>
  <c r="GO184" i="5"/>
  <c r="GP184" i="5"/>
  <c r="GQ184" i="5"/>
  <c r="GR184" i="5"/>
  <c r="GS184" i="5"/>
  <c r="GT184" i="5"/>
  <c r="GU184" i="5"/>
  <c r="GV184" i="5"/>
  <c r="GW184" i="5"/>
  <c r="GX184" i="5"/>
  <c r="GY184" i="5"/>
  <c r="GZ184" i="5"/>
  <c r="HA184" i="5"/>
  <c r="HB184" i="5"/>
  <c r="HC184" i="5"/>
  <c r="HD184" i="5"/>
  <c r="HE184" i="5"/>
  <c r="HF184" i="5"/>
  <c r="HG184" i="5"/>
  <c r="A185" i="5"/>
  <c r="B185" i="5"/>
  <c r="C185" i="5"/>
  <c r="D185" i="5"/>
  <c r="E185" i="5"/>
  <c r="F185" i="5"/>
  <c r="G185" i="5"/>
  <c r="H185" i="5"/>
  <c r="I185" i="5"/>
  <c r="J185" i="5"/>
  <c r="K185" i="5"/>
  <c r="L185" i="5"/>
  <c r="M185" i="5"/>
  <c r="N185" i="5"/>
  <c r="O185" i="5"/>
  <c r="P185" i="5"/>
  <c r="Q185" i="5"/>
  <c r="R185" i="5"/>
  <c r="S185" i="5"/>
  <c r="T185" i="5"/>
  <c r="U185" i="5"/>
  <c r="V185" i="5"/>
  <c r="W185" i="5"/>
  <c r="X185" i="5"/>
  <c r="Y185" i="5"/>
  <c r="Z185" i="5"/>
  <c r="AA185" i="5"/>
  <c r="AB185" i="5"/>
  <c r="AC185" i="5"/>
  <c r="AD185" i="5"/>
  <c r="AE185" i="5"/>
  <c r="AF185" i="5"/>
  <c r="AG185" i="5"/>
  <c r="AH185" i="5"/>
  <c r="AI185" i="5"/>
  <c r="AJ185" i="5"/>
  <c r="AK185" i="5"/>
  <c r="AL185" i="5"/>
  <c r="AM185" i="5"/>
  <c r="AN185" i="5"/>
  <c r="AO185" i="5"/>
  <c r="AP185" i="5"/>
  <c r="AQ185" i="5"/>
  <c r="AR185" i="5"/>
  <c r="AS185" i="5"/>
  <c r="AT185" i="5"/>
  <c r="AU185" i="5"/>
  <c r="AV185" i="5"/>
  <c r="AW185" i="5"/>
  <c r="AX185" i="5"/>
  <c r="AY185" i="5"/>
  <c r="AZ185" i="5"/>
  <c r="BA185" i="5"/>
  <c r="BB185" i="5"/>
  <c r="BC185" i="5"/>
  <c r="BD185" i="5"/>
  <c r="BE185" i="5"/>
  <c r="BF185" i="5"/>
  <c r="BG185" i="5"/>
  <c r="BH185" i="5"/>
  <c r="BI185" i="5"/>
  <c r="BJ185" i="5"/>
  <c r="BK185" i="5"/>
  <c r="BL185" i="5"/>
  <c r="BM185" i="5"/>
  <c r="BN185" i="5"/>
  <c r="BO185" i="5"/>
  <c r="BP185" i="5"/>
  <c r="BQ185" i="5"/>
  <c r="BR185" i="5"/>
  <c r="BS185" i="5"/>
  <c r="BT185" i="5"/>
  <c r="BU185" i="5"/>
  <c r="BV185" i="5"/>
  <c r="BW185" i="5"/>
  <c r="BX185" i="5"/>
  <c r="BY185" i="5"/>
  <c r="BZ185" i="5"/>
  <c r="CA185" i="5"/>
  <c r="CB185" i="5"/>
  <c r="CC185" i="5"/>
  <c r="CD185" i="5"/>
  <c r="CE185" i="5"/>
  <c r="CF185" i="5"/>
  <c r="CG185" i="5"/>
  <c r="CH185" i="5"/>
  <c r="CI185" i="5"/>
  <c r="CJ185" i="5"/>
  <c r="CK185" i="5"/>
  <c r="CL185" i="5"/>
  <c r="CM185" i="5"/>
  <c r="CN185" i="5"/>
  <c r="CO185" i="5"/>
  <c r="CP185" i="5"/>
  <c r="CQ185" i="5"/>
  <c r="CR185" i="5"/>
  <c r="CS185" i="5"/>
  <c r="CT185" i="5"/>
  <c r="CU185" i="5"/>
  <c r="CV185" i="5"/>
  <c r="CW185" i="5"/>
  <c r="CX185" i="5"/>
  <c r="CY185" i="5"/>
  <c r="CZ185" i="5"/>
  <c r="DA185" i="5"/>
  <c r="DB185" i="5"/>
  <c r="DC185" i="5"/>
  <c r="DD185" i="5"/>
  <c r="DE185" i="5"/>
  <c r="DF185" i="5"/>
  <c r="DG185" i="5"/>
  <c r="DH185" i="5"/>
  <c r="DI185" i="5"/>
  <c r="DJ185" i="5"/>
  <c r="DK185" i="5"/>
  <c r="DL185" i="5"/>
  <c r="DM185" i="5"/>
  <c r="DN185" i="5"/>
  <c r="DO185" i="5"/>
  <c r="DP185" i="5"/>
  <c r="DQ185" i="5"/>
  <c r="DR185" i="5"/>
  <c r="DS185" i="5"/>
  <c r="DT185" i="5"/>
  <c r="DU185" i="5"/>
  <c r="DV185" i="5"/>
  <c r="DW185" i="5"/>
  <c r="DX185" i="5"/>
  <c r="DY185" i="5"/>
  <c r="DZ185" i="5"/>
  <c r="EA185" i="5"/>
  <c r="EB185" i="5"/>
  <c r="EC185" i="5"/>
  <c r="ED185" i="5"/>
  <c r="EE185" i="5"/>
  <c r="EF185" i="5"/>
  <c r="EG185" i="5"/>
  <c r="EH185" i="5"/>
  <c r="EI185" i="5"/>
  <c r="EJ185" i="5"/>
  <c r="EK185" i="5"/>
  <c r="EL185" i="5"/>
  <c r="EM185" i="5"/>
  <c r="EN185" i="5"/>
  <c r="EO185" i="5"/>
  <c r="EP185" i="5"/>
  <c r="EQ185" i="5"/>
  <c r="ER185" i="5"/>
  <c r="ES185" i="5"/>
  <c r="ET185" i="5"/>
  <c r="EU185" i="5"/>
  <c r="EV185" i="5"/>
  <c r="EW185" i="5"/>
  <c r="EX185" i="5"/>
  <c r="EY185" i="5"/>
  <c r="EZ185" i="5"/>
  <c r="FA185" i="5"/>
  <c r="FB185" i="5"/>
  <c r="FC185" i="5"/>
  <c r="FD185" i="5"/>
  <c r="FE185" i="5"/>
  <c r="FF185" i="5"/>
  <c r="FG185" i="5"/>
  <c r="FH185" i="5"/>
  <c r="FI185" i="5"/>
  <c r="FJ185" i="5"/>
  <c r="FK185" i="5"/>
  <c r="FL185" i="5"/>
  <c r="FM185" i="5"/>
  <c r="FN185" i="5"/>
  <c r="FO185" i="5"/>
  <c r="FP185" i="5"/>
  <c r="FQ185" i="5"/>
  <c r="FR185" i="5"/>
  <c r="FS185" i="5"/>
  <c r="FT185" i="5"/>
  <c r="FU185" i="5"/>
  <c r="FV185" i="5"/>
  <c r="FW185" i="5"/>
  <c r="FX185" i="5"/>
  <c r="FY185" i="5"/>
  <c r="FZ185" i="5"/>
  <c r="GA185" i="5"/>
  <c r="GB185" i="5"/>
  <c r="GC185" i="5"/>
  <c r="GD185" i="5"/>
  <c r="GE185" i="5"/>
  <c r="GF185" i="5"/>
  <c r="GG185" i="5"/>
  <c r="GH185" i="5"/>
  <c r="GI185" i="5"/>
  <c r="GJ185" i="5"/>
  <c r="GK185" i="5"/>
  <c r="GL185" i="5"/>
  <c r="GM185" i="5"/>
  <c r="GN185" i="5"/>
  <c r="GO185" i="5"/>
  <c r="GP185" i="5"/>
  <c r="GQ185" i="5"/>
  <c r="GR185" i="5"/>
  <c r="GS185" i="5"/>
  <c r="GT185" i="5"/>
  <c r="GU185" i="5"/>
  <c r="GV185" i="5"/>
  <c r="GW185" i="5"/>
  <c r="GX185" i="5"/>
  <c r="GY185" i="5"/>
  <c r="GZ185" i="5"/>
  <c r="HA185" i="5"/>
  <c r="HB185" i="5"/>
  <c r="HC185" i="5"/>
  <c r="HD185" i="5"/>
  <c r="HE185" i="5"/>
  <c r="HF185" i="5"/>
  <c r="HG185" i="5"/>
  <c r="A186" i="5"/>
  <c r="B186" i="5"/>
  <c r="C186" i="5"/>
  <c r="D186" i="5"/>
  <c r="E186" i="5"/>
  <c r="F186" i="5"/>
  <c r="G186" i="5"/>
  <c r="H186" i="5"/>
  <c r="I186" i="5"/>
  <c r="J186" i="5"/>
  <c r="K186" i="5"/>
  <c r="L186" i="5"/>
  <c r="M186" i="5"/>
  <c r="N186" i="5"/>
  <c r="O186" i="5"/>
  <c r="P186" i="5"/>
  <c r="Q186" i="5"/>
  <c r="R186" i="5"/>
  <c r="S186" i="5"/>
  <c r="T186" i="5"/>
  <c r="U186" i="5"/>
  <c r="V186" i="5"/>
  <c r="W186" i="5"/>
  <c r="X186" i="5"/>
  <c r="Y186" i="5"/>
  <c r="Z186" i="5"/>
  <c r="AA186" i="5"/>
  <c r="AB186" i="5"/>
  <c r="AC186" i="5"/>
  <c r="AD186" i="5"/>
  <c r="AE186" i="5"/>
  <c r="AF186" i="5"/>
  <c r="AG186" i="5"/>
  <c r="AH186" i="5"/>
  <c r="AI186" i="5"/>
  <c r="AJ186" i="5"/>
  <c r="AK186" i="5"/>
  <c r="AL186" i="5"/>
  <c r="AM186" i="5"/>
  <c r="AN186" i="5"/>
  <c r="AO186" i="5"/>
  <c r="AP186" i="5"/>
  <c r="AQ186" i="5"/>
  <c r="AR186" i="5"/>
  <c r="AS186" i="5"/>
  <c r="AT186" i="5"/>
  <c r="AU186" i="5"/>
  <c r="AV186" i="5"/>
  <c r="AW186" i="5"/>
  <c r="AX186" i="5"/>
  <c r="AY186" i="5"/>
  <c r="AZ186" i="5"/>
  <c r="BA186" i="5"/>
  <c r="BB186" i="5"/>
  <c r="BC186" i="5"/>
  <c r="BD186" i="5"/>
  <c r="BE186" i="5"/>
  <c r="BF186" i="5"/>
  <c r="BG186" i="5"/>
  <c r="BH186" i="5"/>
  <c r="BI186" i="5"/>
  <c r="BJ186" i="5"/>
  <c r="BK186" i="5"/>
  <c r="BL186" i="5"/>
  <c r="BM186" i="5"/>
  <c r="BN186" i="5"/>
  <c r="BO186" i="5"/>
  <c r="BP186" i="5"/>
  <c r="BQ186" i="5"/>
  <c r="BR186" i="5"/>
  <c r="BS186" i="5"/>
  <c r="BT186" i="5"/>
  <c r="BU186" i="5"/>
  <c r="BV186" i="5"/>
  <c r="BW186" i="5"/>
  <c r="BX186" i="5"/>
  <c r="BY186" i="5"/>
  <c r="BZ186" i="5"/>
  <c r="CA186" i="5"/>
  <c r="CB186" i="5"/>
  <c r="CC186" i="5"/>
  <c r="CD186" i="5"/>
  <c r="CE186" i="5"/>
  <c r="CF186" i="5"/>
  <c r="CG186" i="5"/>
  <c r="CH186" i="5"/>
  <c r="CI186" i="5"/>
  <c r="CJ186" i="5"/>
  <c r="CK186" i="5"/>
  <c r="CL186" i="5"/>
  <c r="CM186" i="5"/>
  <c r="CN186" i="5"/>
  <c r="CO186" i="5"/>
  <c r="CP186" i="5"/>
  <c r="CQ186" i="5"/>
  <c r="CR186" i="5"/>
  <c r="CS186" i="5"/>
  <c r="CT186" i="5"/>
  <c r="CU186" i="5"/>
  <c r="CV186" i="5"/>
  <c r="CW186" i="5"/>
  <c r="CX186" i="5"/>
  <c r="CY186" i="5"/>
  <c r="CZ186" i="5"/>
  <c r="DA186" i="5"/>
  <c r="DB186" i="5"/>
  <c r="DC186" i="5"/>
  <c r="DD186" i="5"/>
  <c r="DE186" i="5"/>
  <c r="DF186" i="5"/>
  <c r="DG186" i="5"/>
  <c r="DH186" i="5"/>
  <c r="DI186" i="5"/>
  <c r="DJ186" i="5"/>
  <c r="DK186" i="5"/>
  <c r="DL186" i="5"/>
  <c r="DM186" i="5"/>
  <c r="DN186" i="5"/>
  <c r="DO186" i="5"/>
  <c r="DP186" i="5"/>
  <c r="DQ186" i="5"/>
  <c r="DR186" i="5"/>
  <c r="DS186" i="5"/>
  <c r="DT186" i="5"/>
  <c r="DU186" i="5"/>
  <c r="DV186" i="5"/>
  <c r="DW186" i="5"/>
  <c r="DX186" i="5"/>
  <c r="DY186" i="5"/>
  <c r="DZ186" i="5"/>
  <c r="EA186" i="5"/>
  <c r="EB186" i="5"/>
  <c r="EC186" i="5"/>
  <c r="ED186" i="5"/>
  <c r="EE186" i="5"/>
  <c r="EF186" i="5"/>
  <c r="EG186" i="5"/>
  <c r="EH186" i="5"/>
  <c r="EI186" i="5"/>
  <c r="EJ186" i="5"/>
  <c r="EK186" i="5"/>
  <c r="EL186" i="5"/>
  <c r="EM186" i="5"/>
  <c r="EN186" i="5"/>
  <c r="EO186" i="5"/>
  <c r="EP186" i="5"/>
  <c r="EQ186" i="5"/>
  <c r="ER186" i="5"/>
  <c r="ES186" i="5"/>
  <c r="ET186" i="5"/>
  <c r="EU186" i="5"/>
  <c r="EV186" i="5"/>
  <c r="EW186" i="5"/>
  <c r="EX186" i="5"/>
  <c r="EY186" i="5"/>
  <c r="EZ186" i="5"/>
  <c r="FA186" i="5"/>
  <c r="FB186" i="5"/>
  <c r="FC186" i="5"/>
  <c r="FD186" i="5"/>
  <c r="FE186" i="5"/>
  <c r="FF186" i="5"/>
  <c r="FG186" i="5"/>
  <c r="FH186" i="5"/>
  <c r="FI186" i="5"/>
  <c r="FJ186" i="5"/>
  <c r="FK186" i="5"/>
  <c r="FL186" i="5"/>
  <c r="FM186" i="5"/>
  <c r="FN186" i="5"/>
  <c r="FO186" i="5"/>
  <c r="FP186" i="5"/>
  <c r="FQ186" i="5"/>
  <c r="FR186" i="5"/>
  <c r="FS186" i="5"/>
  <c r="FT186" i="5"/>
  <c r="FU186" i="5"/>
  <c r="FV186" i="5"/>
  <c r="FW186" i="5"/>
  <c r="FX186" i="5"/>
  <c r="FY186" i="5"/>
  <c r="FZ186" i="5"/>
  <c r="GA186" i="5"/>
  <c r="GB186" i="5"/>
  <c r="GC186" i="5"/>
  <c r="GD186" i="5"/>
  <c r="GE186" i="5"/>
  <c r="GF186" i="5"/>
  <c r="GG186" i="5"/>
  <c r="GH186" i="5"/>
  <c r="GI186" i="5"/>
  <c r="GJ186" i="5"/>
  <c r="GK186" i="5"/>
  <c r="GL186" i="5"/>
  <c r="GM186" i="5"/>
  <c r="GN186" i="5"/>
  <c r="GO186" i="5"/>
  <c r="GP186" i="5"/>
  <c r="GQ186" i="5"/>
  <c r="GR186" i="5"/>
  <c r="GS186" i="5"/>
  <c r="GT186" i="5"/>
  <c r="GU186" i="5"/>
  <c r="GV186" i="5"/>
  <c r="GW186" i="5"/>
  <c r="GX186" i="5"/>
  <c r="GY186" i="5"/>
  <c r="GZ186" i="5"/>
  <c r="HA186" i="5"/>
  <c r="HB186" i="5"/>
  <c r="HC186" i="5"/>
  <c r="HD186" i="5"/>
  <c r="HE186" i="5"/>
  <c r="HF186" i="5"/>
  <c r="HG186" i="5"/>
  <c r="A187" i="5"/>
  <c r="B187" i="5"/>
  <c r="C187" i="5"/>
  <c r="D187" i="5"/>
  <c r="E187" i="5"/>
  <c r="F187" i="5"/>
  <c r="G187" i="5"/>
  <c r="H187" i="5"/>
  <c r="I187" i="5"/>
  <c r="J187" i="5"/>
  <c r="K187" i="5"/>
  <c r="L187" i="5"/>
  <c r="M187" i="5"/>
  <c r="N187" i="5"/>
  <c r="O187" i="5"/>
  <c r="P187" i="5"/>
  <c r="Q187" i="5"/>
  <c r="R187" i="5"/>
  <c r="S187" i="5"/>
  <c r="T187" i="5"/>
  <c r="U187" i="5"/>
  <c r="V187" i="5"/>
  <c r="W187" i="5"/>
  <c r="X187" i="5"/>
  <c r="Y187" i="5"/>
  <c r="Z187" i="5"/>
  <c r="AA187" i="5"/>
  <c r="AB187" i="5"/>
  <c r="AC187" i="5"/>
  <c r="AD187" i="5"/>
  <c r="AE187" i="5"/>
  <c r="AF187" i="5"/>
  <c r="AG187" i="5"/>
  <c r="AH187" i="5"/>
  <c r="AI187" i="5"/>
  <c r="AJ187" i="5"/>
  <c r="AK187" i="5"/>
  <c r="AL187" i="5"/>
  <c r="AM187" i="5"/>
  <c r="AN187" i="5"/>
  <c r="AO187" i="5"/>
  <c r="AP187" i="5"/>
  <c r="AQ187" i="5"/>
  <c r="AR187" i="5"/>
  <c r="AS187" i="5"/>
  <c r="AT187" i="5"/>
  <c r="AU187" i="5"/>
  <c r="AV187" i="5"/>
  <c r="AW187" i="5"/>
  <c r="AX187" i="5"/>
  <c r="AY187" i="5"/>
  <c r="AZ187" i="5"/>
  <c r="BA187" i="5"/>
  <c r="BB187" i="5"/>
  <c r="BC187" i="5"/>
  <c r="BD187" i="5"/>
  <c r="BE187" i="5"/>
  <c r="BF187" i="5"/>
  <c r="BG187" i="5"/>
  <c r="BH187" i="5"/>
  <c r="BI187" i="5"/>
  <c r="BJ187" i="5"/>
  <c r="BK187" i="5"/>
  <c r="BL187" i="5"/>
  <c r="BM187" i="5"/>
  <c r="BN187" i="5"/>
  <c r="BO187" i="5"/>
  <c r="BP187" i="5"/>
  <c r="BQ187" i="5"/>
  <c r="BR187" i="5"/>
  <c r="BS187" i="5"/>
  <c r="BT187" i="5"/>
  <c r="BU187" i="5"/>
  <c r="BV187" i="5"/>
  <c r="BW187" i="5"/>
  <c r="BX187" i="5"/>
  <c r="BY187" i="5"/>
  <c r="BZ187" i="5"/>
  <c r="CA187" i="5"/>
  <c r="CB187" i="5"/>
  <c r="CC187" i="5"/>
  <c r="CD187" i="5"/>
  <c r="CE187" i="5"/>
  <c r="CF187" i="5"/>
  <c r="CG187" i="5"/>
  <c r="CH187" i="5"/>
  <c r="CI187" i="5"/>
  <c r="CJ187" i="5"/>
  <c r="CK187" i="5"/>
  <c r="CL187" i="5"/>
  <c r="CM187" i="5"/>
  <c r="CN187" i="5"/>
  <c r="CO187" i="5"/>
  <c r="CP187" i="5"/>
  <c r="CQ187" i="5"/>
  <c r="CR187" i="5"/>
  <c r="CS187" i="5"/>
  <c r="CT187" i="5"/>
  <c r="CU187" i="5"/>
  <c r="CV187" i="5"/>
  <c r="CW187" i="5"/>
  <c r="CX187" i="5"/>
  <c r="CY187" i="5"/>
  <c r="CZ187" i="5"/>
  <c r="DA187" i="5"/>
  <c r="DB187" i="5"/>
  <c r="DC187" i="5"/>
  <c r="DD187" i="5"/>
  <c r="DE187" i="5"/>
  <c r="DF187" i="5"/>
  <c r="DG187" i="5"/>
  <c r="DH187" i="5"/>
  <c r="DI187" i="5"/>
  <c r="DJ187" i="5"/>
  <c r="DK187" i="5"/>
  <c r="DL187" i="5"/>
  <c r="DM187" i="5"/>
  <c r="DN187" i="5"/>
  <c r="DO187" i="5"/>
  <c r="DP187" i="5"/>
  <c r="DQ187" i="5"/>
  <c r="DR187" i="5"/>
  <c r="DS187" i="5"/>
  <c r="DT187" i="5"/>
  <c r="DU187" i="5"/>
  <c r="DV187" i="5"/>
  <c r="DW187" i="5"/>
  <c r="DX187" i="5"/>
  <c r="DY187" i="5"/>
  <c r="DZ187" i="5"/>
  <c r="EA187" i="5"/>
  <c r="EB187" i="5"/>
  <c r="EC187" i="5"/>
  <c r="ED187" i="5"/>
  <c r="EE187" i="5"/>
  <c r="EF187" i="5"/>
  <c r="EG187" i="5"/>
  <c r="EH187" i="5"/>
  <c r="EI187" i="5"/>
  <c r="EJ187" i="5"/>
  <c r="EK187" i="5"/>
  <c r="EL187" i="5"/>
  <c r="EM187" i="5"/>
  <c r="EN187" i="5"/>
  <c r="EO187" i="5"/>
  <c r="EP187" i="5"/>
  <c r="EQ187" i="5"/>
  <c r="ER187" i="5"/>
  <c r="ES187" i="5"/>
  <c r="ET187" i="5"/>
  <c r="EU187" i="5"/>
  <c r="EV187" i="5"/>
  <c r="EW187" i="5"/>
  <c r="EX187" i="5"/>
  <c r="EY187" i="5"/>
  <c r="EZ187" i="5"/>
  <c r="FA187" i="5"/>
  <c r="FB187" i="5"/>
  <c r="FC187" i="5"/>
  <c r="FD187" i="5"/>
  <c r="FE187" i="5"/>
  <c r="FF187" i="5"/>
  <c r="FG187" i="5"/>
  <c r="FH187" i="5"/>
  <c r="FI187" i="5"/>
  <c r="FJ187" i="5"/>
  <c r="FK187" i="5"/>
  <c r="FL187" i="5"/>
  <c r="FM187" i="5"/>
  <c r="FN187" i="5"/>
  <c r="FO187" i="5"/>
  <c r="FP187" i="5"/>
  <c r="FQ187" i="5"/>
  <c r="FR187" i="5"/>
  <c r="FS187" i="5"/>
  <c r="FT187" i="5"/>
  <c r="FU187" i="5"/>
  <c r="FV187" i="5"/>
  <c r="FW187" i="5"/>
  <c r="FX187" i="5"/>
  <c r="FY187" i="5"/>
  <c r="FZ187" i="5"/>
  <c r="GA187" i="5"/>
  <c r="GB187" i="5"/>
  <c r="GC187" i="5"/>
  <c r="GD187" i="5"/>
  <c r="GE187" i="5"/>
  <c r="GF187" i="5"/>
  <c r="GG187" i="5"/>
  <c r="GH187" i="5"/>
  <c r="GI187" i="5"/>
  <c r="GJ187" i="5"/>
  <c r="GK187" i="5"/>
  <c r="GL187" i="5"/>
  <c r="GM187" i="5"/>
  <c r="GN187" i="5"/>
  <c r="GO187" i="5"/>
  <c r="GP187" i="5"/>
  <c r="GQ187" i="5"/>
  <c r="GR187" i="5"/>
  <c r="GS187" i="5"/>
  <c r="GT187" i="5"/>
  <c r="GU187" i="5"/>
  <c r="GV187" i="5"/>
  <c r="GW187" i="5"/>
  <c r="GX187" i="5"/>
  <c r="GY187" i="5"/>
  <c r="GZ187" i="5"/>
  <c r="HA187" i="5"/>
  <c r="HB187" i="5"/>
  <c r="HC187" i="5"/>
  <c r="HD187" i="5"/>
  <c r="HE187" i="5"/>
  <c r="HF187" i="5"/>
  <c r="HG187" i="5"/>
  <c r="A188" i="5"/>
  <c r="B188" i="5"/>
  <c r="C188" i="5"/>
  <c r="D188" i="5"/>
  <c r="E188" i="5"/>
  <c r="F188" i="5"/>
  <c r="G188" i="5"/>
  <c r="H188" i="5"/>
  <c r="I188" i="5"/>
  <c r="J188" i="5"/>
  <c r="K188" i="5"/>
  <c r="L188" i="5"/>
  <c r="M188" i="5"/>
  <c r="N188" i="5"/>
  <c r="O188" i="5"/>
  <c r="P188" i="5"/>
  <c r="Q188" i="5"/>
  <c r="R188" i="5"/>
  <c r="S188" i="5"/>
  <c r="T188" i="5"/>
  <c r="U188" i="5"/>
  <c r="V188" i="5"/>
  <c r="W188" i="5"/>
  <c r="X188" i="5"/>
  <c r="Y188" i="5"/>
  <c r="Z188" i="5"/>
  <c r="AA188" i="5"/>
  <c r="AB188" i="5"/>
  <c r="AC188" i="5"/>
  <c r="AD188" i="5"/>
  <c r="AE188" i="5"/>
  <c r="AF188" i="5"/>
  <c r="AG188" i="5"/>
  <c r="AH188" i="5"/>
  <c r="AI188" i="5"/>
  <c r="AJ188" i="5"/>
  <c r="AK188" i="5"/>
  <c r="AL188" i="5"/>
  <c r="AM188" i="5"/>
  <c r="AN188" i="5"/>
  <c r="AO188" i="5"/>
  <c r="AP188" i="5"/>
  <c r="AQ188" i="5"/>
  <c r="AR188" i="5"/>
  <c r="AS188" i="5"/>
  <c r="AT188" i="5"/>
  <c r="AU188" i="5"/>
  <c r="AV188" i="5"/>
  <c r="AW188" i="5"/>
  <c r="AX188" i="5"/>
  <c r="AY188" i="5"/>
  <c r="AZ188" i="5"/>
  <c r="BA188" i="5"/>
  <c r="BB188" i="5"/>
  <c r="BC188" i="5"/>
  <c r="BD188" i="5"/>
  <c r="BE188" i="5"/>
  <c r="BF188" i="5"/>
  <c r="BG188" i="5"/>
  <c r="BH188" i="5"/>
  <c r="BI188" i="5"/>
  <c r="BJ188" i="5"/>
  <c r="BK188" i="5"/>
  <c r="BL188" i="5"/>
  <c r="BM188" i="5"/>
  <c r="BN188" i="5"/>
  <c r="BO188" i="5"/>
  <c r="BP188" i="5"/>
  <c r="BQ188" i="5"/>
  <c r="BR188" i="5"/>
  <c r="BS188" i="5"/>
  <c r="BT188" i="5"/>
  <c r="BU188" i="5"/>
  <c r="BV188" i="5"/>
  <c r="BW188" i="5"/>
  <c r="BX188" i="5"/>
  <c r="BY188" i="5"/>
  <c r="BZ188" i="5"/>
  <c r="CA188" i="5"/>
  <c r="CB188" i="5"/>
  <c r="CC188" i="5"/>
  <c r="CD188" i="5"/>
  <c r="CE188" i="5"/>
  <c r="CF188" i="5"/>
  <c r="CG188" i="5"/>
  <c r="CH188" i="5"/>
  <c r="CI188" i="5"/>
  <c r="CJ188" i="5"/>
  <c r="CK188" i="5"/>
  <c r="CL188" i="5"/>
  <c r="CM188" i="5"/>
  <c r="CN188" i="5"/>
  <c r="CO188" i="5"/>
  <c r="CP188" i="5"/>
  <c r="CQ188" i="5"/>
  <c r="CR188" i="5"/>
  <c r="CS188" i="5"/>
  <c r="CT188" i="5"/>
  <c r="CU188" i="5"/>
  <c r="CV188" i="5"/>
  <c r="CW188" i="5"/>
  <c r="CX188" i="5"/>
  <c r="CY188" i="5"/>
  <c r="CZ188" i="5"/>
  <c r="DA188" i="5"/>
  <c r="DB188" i="5"/>
  <c r="DC188" i="5"/>
  <c r="DD188" i="5"/>
  <c r="DE188" i="5"/>
  <c r="DF188" i="5"/>
  <c r="DG188" i="5"/>
  <c r="DH188" i="5"/>
  <c r="DI188" i="5"/>
  <c r="DJ188" i="5"/>
  <c r="DK188" i="5"/>
  <c r="DL188" i="5"/>
  <c r="DM188" i="5"/>
  <c r="DN188" i="5"/>
  <c r="DO188" i="5"/>
  <c r="DP188" i="5"/>
  <c r="DQ188" i="5"/>
  <c r="DR188" i="5"/>
  <c r="DS188" i="5"/>
  <c r="DT188" i="5"/>
  <c r="DU188" i="5"/>
  <c r="DV188" i="5"/>
  <c r="DW188" i="5"/>
  <c r="DX188" i="5"/>
  <c r="DY188" i="5"/>
  <c r="DZ188" i="5"/>
  <c r="EA188" i="5"/>
  <c r="EB188" i="5"/>
  <c r="EC188" i="5"/>
  <c r="ED188" i="5"/>
  <c r="EE188" i="5"/>
  <c r="EF188" i="5"/>
  <c r="EG188" i="5"/>
  <c r="EH188" i="5"/>
  <c r="EI188" i="5"/>
  <c r="EJ188" i="5"/>
  <c r="EK188" i="5"/>
  <c r="EL188" i="5"/>
  <c r="EM188" i="5"/>
  <c r="EN188" i="5"/>
  <c r="EO188" i="5"/>
  <c r="EP188" i="5"/>
  <c r="EQ188" i="5"/>
  <c r="ER188" i="5"/>
  <c r="ES188" i="5"/>
  <c r="ET188" i="5"/>
  <c r="EU188" i="5"/>
  <c r="EV188" i="5"/>
  <c r="EW188" i="5"/>
  <c r="EX188" i="5"/>
  <c r="EY188" i="5"/>
  <c r="EZ188" i="5"/>
  <c r="FA188" i="5"/>
  <c r="FB188" i="5"/>
  <c r="FC188" i="5"/>
  <c r="FD188" i="5"/>
  <c r="FE188" i="5"/>
  <c r="FF188" i="5"/>
  <c r="FG188" i="5"/>
  <c r="FH188" i="5"/>
  <c r="FI188" i="5"/>
  <c r="FJ188" i="5"/>
  <c r="FK188" i="5"/>
  <c r="FL188" i="5"/>
  <c r="FM188" i="5"/>
  <c r="FN188" i="5"/>
  <c r="FO188" i="5"/>
  <c r="FP188" i="5"/>
  <c r="FQ188" i="5"/>
  <c r="FR188" i="5"/>
  <c r="FS188" i="5"/>
  <c r="FT188" i="5"/>
  <c r="FU188" i="5"/>
  <c r="FV188" i="5"/>
  <c r="FW188" i="5"/>
  <c r="FX188" i="5"/>
  <c r="FY188" i="5"/>
  <c r="FZ188" i="5"/>
  <c r="GA188" i="5"/>
  <c r="GB188" i="5"/>
  <c r="GC188" i="5"/>
  <c r="GD188" i="5"/>
  <c r="GE188" i="5"/>
  <c r="GF188" i="5"/>
  <c r="GG188" i="5"/>
  <c r="GH188" i="5"/>
  <c r="GI188" i="5"/>
  <c r="GJ188" i="5"/>
  <c r="GK188" i="5"/>
  <c r="GL188" i="5"/>
  <c r="GM188" i="5"/>
  <c r="GN188" i="5"/>
  <c r="GO188" i="5"/>
  <c r="GP188" i="5"/>
  <c r="GQ188" i="5"/>
  <c r="GR188" i="5"/>
  <c r="GS188" i="5"/>
  <c r="GT188" i="5"/>
  <c r="GU188" i="5"/>
  <c r="GV188" i="5"/>
  <c r="GW188" i="5"/>
  <c r="GX188" i="5"/>
  <c r="GY188" i="5"/>
  <c r="GZ188" i="5"/>
  <c r="HA188" i="5"/>
  <c r="HB188" i="5"/>
  <c r="HC188" i="5"/>
  <c r="HD188" i="5"/>
  <c r="HE188" i="5"/>
  <c r="HF188" i="5"/>
  <c r="HG188" i="5"/>
  <c r="A189" i="5"/>
  <c r="B189" i="5"/>
  <c r="C189" i="5"/>
  <c r="D189" i="5"/>
  <c r="E189" i="5"/>
  <c r="F189" i="5"/>
  <c r="G189" i="5"/>
  <c r="H189" i="5"/>
  <c r="I189" i="5"/>
  <c r="J189" i="5"/>
  <c r="K189" i="5"/>
  <c r="L189" i="5"/>
  <c r="M189" i="5"/>
  <c r="N189" i="5"/>
  <c r="O189" i="5"/>
  <c r="P189" i="5"/>
  <c r="Q189" i="5"/>
  <c r="R189" i="5"/>
  <c r="S189" i="5"/>
  <c r="T189" i="5"/>
  <c r="U189" i="5"/>
  <c r="V189" i="5"/>
  <c r="W189" i="5"/>
  <c r="X189" i="5"/>
  <c r="Y189" i="5"/>
  <c r="Z189" i="5"/>
  <c r="AA189" i="5"/>
  <c r="AB189" i="5"/>
  <c r="AC189" i="5"/>
  <c r="AD189" i="5"/>
  <c r="AE189" i="5"/>
  <c r="AF189" i="5"/>
  <c r="AG189" i="5"/>
  <c r="AH189" i="5"/>
  <c r="AI189" i="5"/>
  <c r="AJ189" i="5"/>
  <c r="AK189" i="5"/>
  <c r="AL189" i="5"/>
  <c r="AM189" i="5"/>
  <c r="AN189" i="5"/>
  <c r="AO189" i="5"/>
  <c r="AP189" i="5"/>
  <c r="AQ189" i="5"/>
  <c r="AR189" i="5"/>
  <c r="AS189" i="5"/>
  <c r="AT189" i="5"/>
  <c r="AU189" i="5"/>
  <c r="AV189" i="5"/>
  <c r="AW189" i="5"/>
  <c r="AX189" i="5"/>
  <c r="AY189" i="5"/>
  <c r="AZ189" i="5"/>
  <c r="BA189" i="5"/>
  <c r="BB189" i="5"/>
  <c r="BC189" i="5"/>
  <c r="BD189" i="5"/>
  <c r="BE189" i="5"/>
  <c r="BF189" i="5"/>
  <c r="BG189" i="5"/>
  <c r="BH189" i="5"/>
  <c r="BI189" i="5"/>
  <c r="BJ189" i="5"/>
  <c r="BK189" i="5"/>
  <c r="BL189" i="5"/>
  <c r="BM189" i="5"/>
  <c r="BN189" i="5"/>
  <c r="BO189" i="5"/>
  <c r="BP189" i="5"/>
  <c r="BQ189" i="5"/>
  <c r="BR189" i="5"/>
  <c r="BS189" i="5"/>
  <c r="BT189" i="5"/>
  <c r="BU189" i="5"/>
  <c r="BV189" i="5"/>
  <c r="BW189" i="5"/>
  <c r="BX189" i="5"/>
  <c r="BY189" i="5"/>
  <c r="BZ189" i="5"/>
  <c r="CA189" i="5"/>
  <c r="CB189" i="5"/>
  <c r="CC189" i="5"/>
  <c r="CD189" i="5"/>
  <c r="CE189" i="5"/>
  <c r="CF189" i="5"/>
  <c r="CG189" i="5"/>
  <c r="CH189" i="5"/>
  <c r="CI189" i="5"/>
  <c r="CJ189" i="5"/>
  <c r="CK189" i="5"/>
  <c r="CL189" i="5"/>
  <c r="CM189" i="5"/>
  <c r="CN189" i="5"/>
  <c r="CO189" i="5"/>
  <c r="CP189" i="5"/>
  <c r="CQ189" i="5"/>
  <c r="CR189" i="5"/>
  <c r="CS189" i="5"/>
  <c r="CT189" i="5"/>
  <c r="CU189" i="5"/>
  <c r="CV189" i="5"/>
  <c r="CW189" i="5"/>
  <c r="CX189" i="5"/>
  <c r="CY189" i="5"/>
  <c r="CZ189" i="5"/>
  <c r="DA189" i="5"/>
  <c r="DB189" i="5"/>
  <c r="DC189" i="5"/>
  <c r="DD189" i="5"/>
  <c r="DE189" i="5"/>
  <c r="DF189" i="5"/>
  <c r="DG189" i="5"/>
  <c r="DH189" i="5"/>
  <c r="DI189" i="5"/>
  <c r="DJ189" i="5"/>
  <c r="DK189" i="5"/>
  <c r="DL189" i="5"/>
  <c r="DM189" i="5"/>
  <c r="DN189" i="5"/>
  <c r="DO189" i="5"/>
  <c r="DP189" i="5"/>
  <c r="DQ189" i="5"/>
  <c r="DR189" i="5"/>
  <c r="DS189" i="5"/>
  <c r="DT189" i="5"/>
  <c r="DU189" i="5"/>
  <c r="DV189" i="5"/>
  <c r="DW189" i="5"/>
  <c r="DX189" i="5"/>
  <c r="DY189" i="5"/>
  <c r="DZ189" i="5"/>
  <c r="EA189" i="5"/>
  <c r="EB189" i="5"/>
  <c r="EC189" i="5"/>
  <c r="ED189" i="5"/>
  <c r="EE189" i="5"/>
  <c r="EF189" i="5"/>
  <c r="EG189" i="5"/>
  <c r="EH189" i="5"/>
  <c r="EI189" i="5"/>
  <c r="EJ189" i="5"/>
  <c r="EK189" i="5"/>
  <c r="EL189" i="5"/>
  <c r="EM189" i="5"/>
  <c r="EN189" i="5"/>
  <c r="EO189" i="5"/>
  <c r="EP189" i="5"/>
  <c r="EQ189" i="5"/>
  <c r="ER189" i="5"/>
  <c r="ES189" i="5"/>
  <c r="ET189" i="5"/>
  <c r="EU189" i="5"/>
  <c r="EV189" i="5"/>
  <c r="EW189" i="5"/>
  <c r="EX189" i="5"/>
  <c r="EY189" i="5"/>
  <c r="EZ189" i="5"/>
  <c r="FA189" i="5"/>
  <c r="FB189" i="5"/>
  <c r="FC189" i="5"/>
  <c r="FD189" i="5"/>
  <c r="FE189" i="5"/>
  <c r="FF189" i="5"/>
  <c r="FG189" i="5"/>
  <c r="FH189" i="5"/>
  <c r="FI189" i="5"/>
  <c r="FJ189" i="5"/>
  <c r="FK189" i="5"/>
  <c r="FL189" i="5"/>
  <c r="FM189" i="5"/>
  <c r="FN189" i="5"/>
  <c r="FO189" i="5"/>
  <c r="FP189" i="5"/>
  <c r="FQ189" i="5"/>
  <c r="FR189" i="5"/>
  <c r="FS189" i="5"/>
  <c r="FT189" i="5"/>
  <c r="FU189" i="5"/>
  <c r="FV189" i="5"/>
  <c r="FW189" i="5"/>
  <c r="FX189" i="5"/>
  <c r="FY189" i="5"/>
  <c r="FZ189" i="5"/>
  <c r="GA189" i="5"/>
  <c r="GB189" i="5"/>
  <c r="GC189" i="5"/>
  <c r="GD189" i="5"/>
  <c r="GE189" i="5"/>
  <c r="GF189" i="5"/>
  <c r="GG189" i="5"/>
  <c r="GH189" i="5"/>
  <c r="GI189" i="5"/>
  <c r="GJ189" i="5"/>
  <c r="GK189" i="5"/>
  <c r="GL189" i="5"/>
  <c r="GM189" i="5"/>
  <c r="GN189" i="5"/>
  <c r="GO189" i="5"/>
  <c r="GP189" i="5"/>
  <c r="GQ189" i="5"/>
  <c r="GR189" i="5"/>
  <c r="GS189" i="5"/>
  <c r="GT189" i="5"/>
  <c r="GU189" i="5"/>
  <c r="GV189" i="5"/>
  <c r="GW189" i="5"/>
  <c r="GX189" i="5"/>
  <c r="GY189" i="5"/>
  <c r="GZ189" i="5"/>
  <c r="HA189" i="5"/>
  <c r="HB189" i="5"/>
  <c r="HC189" i="5"/>
  <c r="HD189" i="5"/>
  <c r="HE189" i="5"/>
  <c r="HF189" i="5"/>
  <c r="HG189" i="5"/>
  <c r="A190" i="5"/>
  <c r="B190" i="5"/>
  <c r="C190" i="5"/>
  <c r="D190" i="5"/>
  <c r="E190" i="5"/>
  <c r="F190" i="5"/>
  <c r="G190" i="5"/>
  <c r="H190" i="5"/>
  <c r="I190" i="5"/>
  <c r="J190" i="5"/>
  <c r="K190" i="5"/>
  <c r="L190" i="5"/>
  <c r="M190" i="5"/>
  <c r="N190" i="5"/>
  <c r="O190" i="5"/>
  <c r="P190" i="5"/>
  <c r="Q190" i="5"/>
  <c r="R190" i="5"/>
  <c r="S190" i="5"/>
  <c r="T190" i="5"/>
  <c r="U190" i="5"/>
  <c r="V190" i="5"/>
  <c r="W190" i="5"/>
  <c r="X190" i="5"/>
  <c r="Y190" i="5"/>
  <c r="Z190" i="5"/>
  <c r="AA190" i="5"/>
  <c r="AB190" i="5"/>
  <c r="AC190" i="5"/>
  <c r="AD190" i="5"/>
  <c r="AE190" i="5"/>
  <c r="AF190" i="5"/>
  <c r="AG190" i="5"/>
  <c r="AH190" i="5"/>
  <c r="AI190" i="5"/>
  <c r="AJ190" i="5"/>
  <c r="AK190" i="5"/>
  <c r="AL190" i="5"/>
  <c r="AM190" i="5"/>
  <c r="AN190" i="5"/>
  <c r="AO190" i="5"/>
  <c r="AP190" i="5"/>
  <c r="AQ190" i="5"/>
  <c r="AR190" i="5"/>
  <c r="AS190" i="5"/>
  <c r="AT190" i="5"/>
  <c r="AU190" i="5"/>
  <c r="AV190" i="5"/>
  <c r="AW190" i="5"/>
  <c r="AX190" i="5"/>
  <c r="AY190" i="5"/>
  <c r="AZ190" i="5"/>
  <c r="BA190" i="5"/>
  <c r="BB190" i="5"/>
  <c r="BC190" i="5"/>
  <c r="BD190" i="5"/>
  <c r="BE190" i="5"/>
  <c r="BF190" i="5"/>
  <c r="BG190" i="5"/>
  <c r="BH190" i="5"/>
  <c r="BI190" i="5"/>
  <c r="BJ190" i="5"/>
  <c r="BK190" i="5"/>
  <c r="BL190" i="5"/>
  <c r="BM190" i="5"/>
  <c r="BN190" i="5"/>
  <c r="BO190" i="5"/>
  <c r="BP190" i="5"/>
  <c r="BQ190" i="5"/>
  <c r="BR190" i="5"/>
  <c r="BS190" i="5"/>
  <c r="BT190" i="5"/>
  <c r="BU190" i="5"/>
  <c r="BV190" i="5"/>
  <c r="BW190" i="5"/>
  <c r="BX190" i="5"/>
  <c r="BY190" i="5"/>
  <c r="BZ190" i="5"/>
  <c r="CA190" i="5"/>
  <c r="CB190" i="5"/>
  <c r="CC190" i="5"/>
  <c r="CD190" i="5"/>
  <c r="CE190" i="5"/>
  <c r="CF190" i="5"/>
  <c r="CG190" i="5"/>
  <c r="CH190" i="5"/>
  <c r="CI190" i="5"/>
  <c r="CJ190" i="5"/>
  <c r="CK190" i="5"/>
  <c r="CL190" i="5"/>
  <c r="CM190" i="5"/>
  <c r="CN190" i="5"/>
  <c r="CO190" i="5"/>
  <c r="CP190" i="5"/>
  <c r="CQ190" i="5"/>
  <c r="CR190" i="5"/>
  <c r="CS190" i="5"/>
  <c r="CT190" i="5"/>
  <c r="CU190" i="5"/>
  <c r="CV190" i="5"/>
  <c r="CW190" i="5"/>
  <c r="CX190" i="5"/>
  <c r="CY190" i="5"/>
  <c r="CZ190" i="5"/>
  <c r="DA190" i="5"/>
  <c r="DB190" i="5"/>
  <c r="DC190" i="5"/>
  <c r="DD190" i="5"/>
  <c r="DE190" i="5"/>
  <c r="DF190" i="5"/>
  <c r="DG190" i="5"/>
  <c r="DH190" i="5"/>
  <c r="DI190" i="5"/>
  <c r="DJ190" i="5"/>
  <c r="DK190" i="5"/>
  <c r="DL190" i="5"/>
  <c r="DM190" i="5"/>
  <c r="DN190" i="5"/>
  <c r="DO190" i="5"/>
  <c r="DP190" i="5"/>
  <c r="DQ190" i="5"/>
  <c r="DR190" i="5"/>
  <c r="DS190" i="5"/>
  <c r="DT190" i="5"/>
  <c r="DU190" i="5"/>
  <c r="DV190" i="5"/>
  <c r="DW190" i="5"/>
  <c r="DX190" i="5"/>
  <c r="DY190" i="5"/>
  <c r="DZ190" i="5"/>
  <c r="EA190" i="5"/>
  <c r="EB190" i="5"/>
  <c r="EC190" i="5"/>
  <c r="ED190" i="5"/>
  <c r="EE190" i="5"/>
  <c r="EF190" i="5"/>
  <c r="EG190" i="5"/>
  <c r="EH190" i="5"/>
  <c r="EI190" i="5"/>
  <c r="EJ190" i="5"/>
  <c r="EK190" i="5"/>
  <c r="EL190" i="5"/>
  <c r="EM190" i="5"/>
  <c r="EN190" i="5"/>
  <c r="EO190" i="5"/>
  <c r="EP190" i="5"/>
  <c r="EQ190" i="5"/>
  <c r="ER190" i="5"/>
  <c r="ES190" i="5"/>
  <c r="ET190" i="5"/>
  <c r="EU190" i="5"/>
  <c r="EV190" i="5"/>
  <c r="EW190" i="5"/>
  <c r="EX190" i="5"/>
  <c r="EY190" i="5"/>
  <c r="EZ190" i="5"/>
  <c r="FA190" i="5"/>
  <c r="FB190" i="5"/>
  <c r="FC190" i="5"/>
  <c r="FD190" i="5"/>
  <c r="FE190" i="5"/>
  <c r="FF190" i="5"/>
  <c r="FG190" i="5"/>
  <c r="FH190" i="5"/>
  <c r="FI190" i="5"/>
  <c r="FJ190" i="5"/>
  <c r="FK190" i="5"/>
  <c r="FL190" i="5"/>
  <c r="FM190" i="5"/>
  <c r="FN190" i="5"/>
  <c r="FO190" i="5"/>
  <c r="FP190" i="5"/>
  <c r="FQ190" i="5"/>
  <c r="FR190" i="5"/>
  <c r="FS190" i="5"/>
  <c r="FT190" i="5"/>
  <c r="FU190" i="5"/>
  <c r="FV190" i="5"/>
  <c r="FW190" i="5"/>
  <c r="FX190" i="5"/>
  <c r="FY190" i="5"/>
  <c r="FZ190" i="5"/>
  <c r="GA190" i="5"/>
  <c r="GB190" i="5"/>
  <c r="GC190" i="5"/>
  <c r="GD190" i="5"/>
  <c r="GE190" i="5"/>
  <c r="GF190" i="5"/>
  <c r="GG190" i="5"/>
  <c r="GH190" i="5"/>
  <c r="GI190" i="5"/>
  <c r="GJ190" i="5"/>
  <c r="GK190" i="5"/>
  <c r="GL190" i="5"/>
  <c r="GM190" i="5"/>
  <c r="GN190" i="5"/>
  <c r="GO190" i="5"/>
  <c r="GP190" i="5"/>
  <c r="GQ190" i="5"/>
  <c r="GR190" i="5"/>
  <c r="GS190" i="5"/>
  <c r="GT190" i="5"/>
  <c r="GU190" i="5"/>
  <c r="GV190" i="5"/>
  <c r="GW190" i="5"/>
  <c r="GX190" i="5"/>
  <c r="GY190" i="5"/>
  <c r="GZ190" i="5"/>
  <c r="HA190" i="5"/>
  <c r="HB190" i="5"/>
  <c r="HC190" i="5"/>
  <c r="HD190" i="5"/>
  <c r="HE190" i="5"/>
  <c r="HF190" i="5"/>
  <c r="HG190" i="5"/>
  <c r="A191" i="5"/>
  <c r="B191" i="5"/>
  <c r="C191" i="5"/>
  <c r="D191" i="5"/>
  <c r="E191" i="5"/>
  <c r="F191" i="5"/>
  <c r="G191" i="5"/>
  <c r="H191" i="5"/>
  <c r="I191" i="5"/>
  <c r="J191" i="5"/>
  <c r="K191" i="5"/>
  <c r="L191" i="5"/>
  <c r="M191" i="5"/>
  <c r="N191" i="5"/>
  <c r="O191" i="5"/>
  <c r="P191" i="5"/>
  <c r="Q191" i="5"/>
  <c r="R191" i="5"/>
  <c r="S191" i="5"/>
  <c r="T191" i="5"/>
  <c r="U191" i="5"/>
  <c r="V191" i="5"/>
  <c r="W191" i="5"/>
  <c r="X191" i="5"/>
  <c r="Y191" i="5"/>
  <c r="Z191" i="5"/>
  <c r="AA191" i="5"/>
  <c r="AB191" i="5"/>
  <c r="AC191" i="5"/>
  <c r="AD191" i="5"/>
  <c r="AE191" i="5"/>
  <c r="AF191" i="5"/>
  <c r="AG191" i="5"/>
  <c r="AH191" i="5"/>
  <c r="AI191" i="5"/>
  <c r="AJ191" i="5"/>
  <c r="AK191" i="5"/>
  <c r="AL191" i="5"/>
  <c r="AM191" i="5"/>
  <c r="AN191" i="5"/>
  <c r="AO191" i="5"/>
  <c r="AP191" i="5"/>
  <c r="AQ191" i="5"/>
  <c r="AR191" i="5"/>
  <c r="AS191" i="5"/>
  <c r="AT191" i="5"/>
  <c r="AU191" i="5"/>
  <c r="AV191" i="5"/>
  <c r="AW191" i="5"/>
  <c r="AX191" i="5"/>
  <c r="AY191" i="5"/>
  <c r="AZ191" i="5"/>
  <c r="BA191" i="5"/>
  <c r="BB191" i="5"/>
  <c r="BC191" i="5"/>
  <c r="BD191" i="5"/>
  <c r="BE191" i="5"/>
  <c r="BF191" i="5"/>
  <c r="BG191" i="5"/>
  <c r="BH191" i="5"/>
  <c r="BI191" i="5"/>
  <c r="BJ191" i="5"/>
  <c r="BK191" i="5"/>
  <c r="BL191" i="5"/>
  <c r="BM191" i="5"/>
  <c r="BN191" i="5"/>
  <c r="BO191" i="5"/>
  <c r="BP191" i="5"/>
  <c r="BQ191" i="5"/>
  <c r="BR191" i="5"/>
  <c r="BS191" i="5"/>
  <c r="BT191" i="5"/>
  <c r="BU191" i="5"/>
  <c r="BV191" i="5"/>
  <c r="BW191" i="5"/>
  <c r="BX191" i="5"/>
  <c r="BY191" i="5"/>
  <c r="BZ191" i="5"/>
  <c r="CA191" i="5"/>
  <c r="CB191" i="5"/>
  <c r="CC191" i="5"/>
  <c r="CD191" i="5"/>
  <c r="CE191" i="5"/>
  <c r="CF191" i="5"/>
  <c r="CG191" i="5"/>
  <c r="CH191" i="5"/>
  <c r="CI191" i="5"/>
  <c r="CJ191" i="5"/>
  <c r="CK191" i="5"/>
  <c r="CL191" i="5"/>
  <c r="CM191" i="5"/>
  <c r="CN191" i="5"/>
  <c r="CO191" i="5"/>
  <c r="CP191" i="5"/>
  <c r="CQ191" i="5"/>
  <c r="CR191" i="5"/>
  <c r="CS191" i="5"/>
  <c r="CT191" i="5"/>
  <c r="CU191" i="5"/>
  <c r="CV191" i="5"/>
  <c r="CW191" i="5"/>
  <c r="CX191" i="5"/>
  <c r="CY191" i="5"/>
  <c r="CZ191" i="5"/>
  <c r="DA191" i="5"/>
  <c r="DB191" i="5"/>
  <c r="DC191" i="5"/>
  <c r="DD191" i="5"/>
  <c r="DE191" i="5"/>
  <c r="DF191" i="5"/>
  <c r="DG191" i="5"/>
  <c r="DH191" i="5"/>
  <c r="DI191" i="5"/>
  <c r="DJ191" i="5"/>
  <c r="DK191" i="5"/>
  <c r="DL191" i="5"/>
  <c r="DM191" i="5"/>
  <c r="DN191" i="5"/>
  <c r="DO191" i="5"/>
  <c r="DP191" i="5"/>
  <c r="DQ191" i="5"/>
  <c r="DR191" i="5"/>
  <c r="DS191" i="5"/>
  <c r="DT191" i="5"/>
  <c r="DU191" i="5"/>
  <c r="DV191" i="5"/>
  <c r="DW191" i="5"/>
  <c r="DX191" i="5"/>
  <c r="DY191" i="5"/>
  <c r="DZ191" i="5"/>
  <c r="EA191" i="5"/>
  <c r="EB191" i="5"/>
  <c r="EC191" i="5"/>
  <c r="ED191" i="5"/>
  <c r="EE191" i="5"/>
  <c r="EF191" i="5"/>
  <c r="EG191" i="5"/>
  <c r="EH191" i="5"/>
  <c r="EI191" i="5"/>
  <c r="EJ191" i="5"/>
  <c r="EK191" i="5"/>
  <c r="EL191" i="5"/>
  <c r="EM191" i="5"/>
  <c r="EN191" i="5"/>
  <c r="EO191" i="5"/>
  <c r="EP191" i="5"/>
  <c r="EQ191" i="5"/>
  <c r="ER191" i="5"/>
  <c r="ES191" i="5"/>
  <c r="ET191" i="5"/>
  <c r="EU191" i="5"/>
  <c r="EV191" i="5"/>
  <c r="EW191" i="5"/>
  <c r="EX191" i="5"/>
  <c r="EY191" i="5"/>
  <c r="EZ191" i="5"/>
  <c r="FA191" i="5"/>
  <c r="FB191" i="5"/>
  <c r="FC191" i="5"/>
  <c r="FD191" i="5"/>
  <c r="FE191" i="5"/>
  <c r="FF191" i="5"/>
  <c r="FG191" i="5"/>
  <c r="FH191" i="5"/>
  <c r="FI191" i="5"/>
  <c r="FJ191" i="5"/>
  <c r="FK191" i="5"/>
  <c r="FL191" i="5"/>
  <c r="FM191" i="5"/>
  <c r="FN191" i="5"/>
  <c r="FO191" i="5"/>
  <c r="FP191" i="5"/>
  <c r="FQ191" i="5"/>
  <c r="FR191" i="5"/>
  <c r="FS191" i="5"/>
  <c r="FT191" i="5"/>
  <c r="FU191" i="5"/>
  <c r="FV191" i="5"/>
  <c r="FW191" i="5"/>
  <c r="FX191" i="5"/>
  <c r="FY191" i="5"/>
  <c r="FZ191" i="5"/>
  <c r="GA191" i="5"/>
  <c r="GB191" i="5"/>
  <c r="GC191" i="5"/>
  <c r="GD191" i="5"/>
  <c r="GE191" i="5"/>
  <c r="GF191" i="5"/>
  <c r="GG191" i="5"/>
  <c r="GH191" i="5"/>
  <c r="GI191" i="5"/>
  <c r="GJ191" i="5"/>
  <c r="GK191" i="5"/>
  <c r="GL191" i="5"/>
  <c r="GM191" i="5"/>
  <c r="GN191" i="5"/>
  <c r="GO191" i="5"/>
  <c r="GP191" i="5"/>
  <c r="GQ191" i="5"/>
  <c r="GR191" i="5"/>
  <c r="GS191" i="5"/>
  <c r="GT191" i="5"/>
  <c r="GU191" i="5"/>
  <c r="GV191" i="5"/>
  <c r="GW191" i="5"/>
  <c r="GX191" i="5"/>
  <c r="GY191" i="5"/>
  <c r="GZ191" i="5"/>
  <c r="HA191" i="5"/>
  <c r="HB191" i="5"/>
  <c r="HC191" i="5"/>
  <c r="HD191" i="5"/>
  <c r="HE191" i="5"/>
  <c r="HF191" i="5"/>
  <c r="HG191" i="5"/>
  <c r="A192" i="5"/>
  <c r="B192" i="5"/>
  <c r="C192" i="5"/>
  <c r="D192" i="5"/>
  <c r="E192" i="5"/>
  <c r="F192" i="5"/>
  <c r="G192" i="5"/>
  <c r="H192" i="5"/>
  <c r="I192" i="5"/>
  <c r="J192" i="5"/>
  <c r="K192" i="5"/>
  <c r="L192" i="5"/>
  <c r="M192" i="5"/>
  <c r="N192" i="5"/>
  <c r="O192" i="5"/>
  <c r="P192" i="5"/>
  <c r="Q192" i="5"/>
  <c r="R192" i="5"/>
  <c r="S192" i="5"/>
  <c r="T192" i="5"/>
  <c r="U192" i="5"/>
  <c r="V192" i="5"/>
  <c r="W192" i="5"/>
  <c r="X192" i="5"/>
  <c r="Y192" i="5"/>
  <c r="Z192" i="5"/>
  <c r="AA192" i="5"/>
  <c r="AB192" i="5"/>
  <c r="AC192" i="5"/>
  <c r="AD192" i="5"/>
  <c r="AE192" i="5"/>
  <c r="AF192" i="5"/>
  <c r="AG192" i="5"/>
  <c r="AH192" i="5"/>
  <c r="AI192" i="5"/>
  <c r="AJ192" i="5"/>
  <c r="AK192" i="5"/>
  <c r="AL192" i="5"/>
  <c r="AM192" i="5"/>
  <c r="AN192" i="5"/>
  <c r="AO192" i="5"/>
  <c r="AP192" i="5"/>
  <c r="AQ192" i="5"/>
  <c r="AR192" i="5"/>
  <c r="AS192" i="5"/>
  <c r="AT192" i="5"/>
  <c r="AU192" i="5"/>
  <c r="AV192" i="5"/>
  <c r="AW192" i="5"/>
  <c r="AX192" i="5"/>
  <c r="AY192" i="5"/>
  <c r="AZ192" i="5"/>
  <c r="BA192" i="5"/>
  <c r="BB192" i="5"/>
  <c r="BC192" i="5"/>
  <c r="BD192" i="5"/>
  <c r="BE192" i="5"/>
  <c r="BF192" i="5"/>
  <c r="BG192" i="5"/>
  <c r="BH192" i="5"/>
  <c r="BI192" i="5"/>
  <c r="BJ192" i="5"/>
  <c r="BK192" i="5"/>
  <c r="BL192" i="5"/>
  <c r="BM192" i="5"/>
  <c r="BN192" i="5"/>
  <c r="BO192" i="5"/>
  <c r="BP192" i="5"/>
  <c r="BQ192" i="5"/>
  <c r="BR192" i="5"/>
  <c r="BS192" i="5"/>
  <c r="BT192" i="5"/>
  <c r="BU192" i="5"/>
  <c r="BV192" i="5"/>
  <c r="BW192" i="5"/>
  <c r="BX192" i="5"/>
  <c r="BY192" i="5"/>
  <c r="BZ192" i="5"/>
  <c r="CA192" i="5"/>
  <c r="CB192" i="5"/>
  <c r="CC192" i="5"/>
  <c r="CD192" i="5"/>
  <c r="CE192" i="5"/>
  <c r="CF192" i="5"/>
  <c r="CG192" i="5"/>
  <c r="CH192" i="5"/>
  <c r="CI192" i="5"/>
  <c r="CJ192" i="5"/>
  <c r="CK192" i="5"/>
  <c r="CL192" i="5"/>
  <c r="CM192" i="5"/>
  <c r="CN192" i="5"/>
  <c r="CO192" i="5"/>
  <c r="CP192" i="5"/>
  <c r="CQ192" i="5"/>
  <c r="CR192" i="5"/>
  <c r="CS192" i="5"/>
  <c r="CT192" i="5"/>
  <c r="CU192" i="5"/>
  <c r="CV192" i="5"/>
  <c r="CW192" i="5"/>
  <c r="CX192" i="5"/>
  <c r="CY192" i="5"/>
  <c r="CZ192" i="5"/>
  <c r="DA192" i="5"/>
  <c r="DB192" i="5"/>
  <c r="DC192" i="5"/>
  <c r="DD192" i="5"/>
  <c r="DE192" i="5"/>
  <c r="DF192" i="5"/>
  <c r="DG192" i="5"/>
  <c r="DH192" i="5"/>
  <c r="DI192" i="5"/>
  <c r="DJ192" i="5"/>
  <c r="DK192" i="5"/>
  <c r="DL192" i="5"/>
  <c r="DM192" i="5"/>
  <c r="DN192" i="5"/>
  <c r="DO192" i="5"/>
  <c r="DP192" i="5"/>
  <c r="DQ192" i="5"/>
  <c r="DR192" i="5"/>
  <c r="DS192" i="5"/>
  <c r="DT192" i="5"/>
  <c r="DU192" i="5"/>
  <c r="DV192" i="5"/>
  <c r="DW192" i="5"/>
  <c r="DX192" i="5"/>
  <c r="DY192" i="5"/>
  <c r="DZ192" i="5"/>
  <c r="EA192" i="5"/>
  <c r="EB192" i="5"/>
  <c r="EC192" i="5"/>
  <c r="ED192" i="5"/>
  <c r="EE192" i="5"/>
  <c r="EF192" i="5"/>
  <c r="EG192" i="5"/>
  <c r="EH192" i="5"/>
  <c r="EI192" i="5"/>
  <c r="EJ192" i="5"/>
  <c r="EK192" i="5"/>
  <c r="EL192" i="5"/>
  <c r="EM192" i="5"/>
  <c r="EN192" i="5"/>
  <c r="EO192" i="5"/>
  <c r="EP192" i="5"/>
  <c r="EQ192" i="5"/>
  <c r="ER192" i="5"/>
  <c r="ES192" i="5"/>
  <c r="ET192" i="5"/>
  <c r="EU192" i="5"/>
  <c r="EV192" i="5"/>
  <c r="EW192" i="5"/>
  <c r="EX192" i="5"/>
  <c r="EY192" i="5"/>
  <c r="EZ192" i="5"/>
  <c r="FA192" i="5"/>
  <c r="FB192" i="5"/>
  <c r="FC192" i="5"/>
  <c r="FD192" i="5"/>
  <c r="FE192" i="5"/>
  <c r="FF192" i="5"/>
  <c r="FG192" i="5"/>
  <c r="FH192" i="5"/>
  <c r="FI192" i="5"/>
  <c r="FJ192" i="5"/>
  <c r="FK192" i="5"/>
  <c r="FL192" i="5"/>
  <c r="FM192" i="5"/>
  <c r="FN192" i="5"/>
  <c r="FO192" i="5"/>
  <c r="FP192" i="5"/>
  <c r="FQ192" i="5"/>
  <c r="FR192" i="5"/>
  <c r="FS192" i="5"/>
  <c r="FT192" i="5"/>
  <c r="FU192" i="5"/>
  <c r="FV192" i="5"/>
  <c r="FW192" i="5"/>
  <c r="FX192" i="5"/>
  <c r="FY192" i="5"/>
  <c r="FZ192" i="5"/>
  <c r="GA192" i="5"/>
  <c r="GB192" i="5"/>
  <c r="GC192" i="5"/>
  <c r="GD192" i="5"/>
  <c r="GE192" i="5"/>
  <c r="GF192" i="5"/>
  <c r="GG192" i="5"/>
  <c r="GH192" i="5"/>
  <c r="GI192" i="5"/>
  <c r="GJ192" i="5"/>
  <c r="GK192" i="5"/>
  <c r="GL192" i="5"/>
  <c r="GM192" i="5"/>
  <c r="GN192" i="5"/>
  <c r="GO192" i="5"/>
  <c r="GP192" i="5"/>
  <c r="GQ192" i="5"/>
  <c r="GR192" i="5"/>
  <c r="GS192" i="5"/>
  <c r="GT192" i="5"/>
  <c r="GU192" i="5"/>
  <c r="GV192" i="5"/>
  <c r="GW192" i="5"/>
  <c r="GX192" i="5"/>
  <c r="GY192" i="5"/>
  <c r="GZ192" i="5"/>
  <c r="HA192" i="5"/>
  <c r="HB192" i="5"/>
  <c r="HC192" i="5"/>
  <c r="HD192" i="5"/>
  <c r="HE192" i="5"/>
  <c r="HF192" i="5"/>
  <c r="HG192" i="5"/>
  <c r="A193" i="5"/>
  <c r="B193" i="5"/>
  <c r="C193" i="5"/>
  <c r="D193" i="5"/>
  <c r="E193" i="5"/>
  <c r="F193" i="5"/>
  <c r="G193" i="5"/>
  <c r="H193" i="5"/>
  <c r="I193" i="5"/>
  <c r="J193" i="5"/>
  <c r="K193" i="5"/>
  <c r="L193" i="5"/>
  <c r="M193" i="5"/>
  <c r="N193" i="5"/>
  <c r="O193" i="5"/>
  <c r="P193" i="5"/>
  <c r="Q193" i="5"/>
  <c r="R193" i="5"/>
  <c r="S193" i="5"/>
  <c r="T193" i="5"/>
  <c r="U193" i="5"/>
  <c r="V193" i="5"/>
  <c r="W193" i="5"/>
  <c r="X193" i="5"/>
  <c r="Y193" i="5"/>
  <c r="Z193" i="5"/>
  <c r="AA193" i="5"/>
  <c r="AB193" i="5"/>
  <c r="AC193" i="5"/>
  <c r="AD193" i="5"/>
  <c r="AE193" i="5"/>
  <c r="AF193" i="5"/>
  <c r="AG193" i="5"/>
  <c r="AH193" i="5"/>
  <c r="AI193" i="5"/>
  <c r="AJ193" i="5"/>
  <c r="AK193" i="5"/>
  <c r="AL193" i="5"/>
  <c r="AM193" i="5"/>
  <c r="AN193" i="5"/>
  <c r="AO193" i="5"/>
  <c r="AP193" i="5"/>
  <c r="AQ193" i="5"/>
  <c r="AR193" i="5"/>
  <c r="AS193" i="5"/>
  <c r="AT193" i="5"/>
  <c r="AU193" i="5"/>
  <c r="AV193" i="5"/>
  <c r="AW193" i="5"/>
  <c r="AX193" i="5"/>
  <c r="AY193" i="5"/>
  <c r="AZ193" i="5"/>
  <c r="BA193" i="5"/>
  <c r="BB193" i="5"/>
  <c r="BC193" i="5"/>
  <c r="BD193" i="5"/>
  <c r="BE193" i="5"/>
  <c r="BF193" i="5"/>
  <c r="BG193" i="5"/>
  <c r="BH193" i="5"/>
  <c r="BI193" i="5"/>
  <c r="BJ193" i="5"/>
  <c r="BK193" i="5"/>
  <c r="BL193" i="5"/>
  <c r="BM193" i="5"/>
  <c r="BN193" i="5"/>
  <c r="BO193" i="5"/>
  <c r="BP193" i="5"/>
  <c r="BQ193" i="5"/>
  <c r="BR193" i="5"/>
  <c r="BS193" i="5"/>
  <c r="BT193" i="5"/>
  <c r="BU193" i="5"/>
  <c r="BV193" i="5"/>
  <c r="BW193" i="5"/>
  <c r="BX193" i="5"/>
  <c r="BY193" i="5"/>
  <c r="BZ193" i="5"/>
  <c r="CA193" i="5"/>
  <c r="CB193" i="5"/>
  <c r="CC193" i="5"/>
  <c r="CD193" i="5"/>
  <c r="CE193" i="5"/>
  <c r="CF193" i="5"/>
  <c r="CG193" i="5"/>
  <c r="CH193" i="5"/>
  <c r="CI193" i="5"/>
  <c r="CJ193" i="5"/>
  <c r="CK193" i="5"/>
  <c r="CL193" i="5"/>
  <c r="CM193" i="5"/>
  <c r="CN193" i="5"/>
  <c r="CO193" i="5"/>
  <c r="CP193" i="5"/>
  <c r="CQ193" i="5"/>
  <c r="CR193" i="5"/>
  <c r="CS193" i="5"/>
  <c r="CT193" i="5"/>
  <c r="CU193" i="5"/>
  <c r="CV193" i="5"/>
  <c r="CW193" i="5"/>
  <c r="CX193" i="5"/>
  <c r="CY193" i="5"/>
  <c r="CZ193" i="5"/>
  <c r="DA193" i="5"/>
  <c r="DB193" i="5"/>
  <c r="DC193" i="5"/>
  <c r="DD193" i="5"/>
  <c r="DE193" i="5"/>
  <c r="DF193" i="5"/>
  <c r="DG193" i="5"/>
  <c r="DH193" i="5"/>
  <c r="DI193" i="5"/>
  <c r="DJ193" i="5"/>
  <c r="DK193" i="5"/>
  <c r="DL193" i="5"/>
  <c r="DM193" i="5"/>
  <c r="DN193" i="5"/>
  <c r="DO193" i="5"/>
  <c r="DP193" i="5"/>
  <c r="DQ193" i="5"/>
  <c r="DR193" i="5"/>
  <c r="DS193" i="5"/>
  <c r="DT193" i="5"/>
  <c r="DU193" i="5"/>
  <c r="DV193" i="5"/>
  <c r="DW193" i="5"/>
  <c r="DX193" i="5"/>
  <c r="DY193" i="5"/>
  <c r="DZ193" i="5"/>
  <c r="EA193" i="5"/>
  <c r="EB193" i="5"/>
  <c r="EC193" i="5"/>
  <c r="ED193" i="5"/>
  <c r="EE193" i="5"/>
  <c r="EF193" i="5"/>
  <c r="EG193" i="5"/>
  <c r="EH193" i="5"/>
  <c r="EI193" i="5"/>
  <c r="EJ193" i="5"/>
  <c r="EK193" i="5"/>
  <c r="EL193" i="5"/>
  <c r="EM193" i="5"/>
  <c r="EN193" i="5"/>
  <c r="EO193" i="5"/>
  <c r="EP193" i="5"/>
  <c r="EQ193" i="5"/>
  <c r="ER193" i="5"/>
  <c r="ES193" i="5"/>
  <c r="ET193" i="5"/>
  <c r="EU193" i="5"/>
  <c r="EV193" i="5"/>
  <c r="EW193" i="5"/>
  <c r="EX193" i="5"/>
  <c r="EY193" i="5"/>
  <c r="EZ193" i="5"/>
  <c r="FA193" i="5"/>
  <c r="FB193" i="5"/>
  <c r="FC193" i="5"/>
  <c r="FD193" i="5"/>
  <c r="FE193" i="5"/>
  <c r="FF193" i="5"/>
  <c r="FG193" i="5"/>
  <c r="FH193" i="5"/>
  <c r="FI193" i="5"/>
  <c r="FJ193" i="5"/>
  <c r="FK193" i="5"/>
  <c r="FL193" i="5"/>
  <c r="FM193" i="5"/>
  <c r="FN193" i="5"/>
  <c r="FO193" i="5"/>
  <c r="FP193" i="5"/>
  <c r="FQ193" i="5"/>
  <c r="FR193" i="5"/>
  <c r="FS193" i="5"/>
  <c r="FT193" i="5"/>
  <c r="FU193" i="5"/>
  <c r="FV193" i="5"/>
  <c r="FW193" i="5"/>
  <c r="FX193" i="5"/>
  <c r="FY193" i="5"/>
  <c r="FZ193" i="5"/>
  <c r="GA193" i="5"/>
  <c r="GB193" i="5"/>
  <c r="GC193" i="5"/>
  <c r="GD193" i="5"/>
  <c r="GE193" i="5"/>
  <c r="GF193" i="5"/>
  <c r="GG193" i="5"/>
  <c r="GH193" i="5"/>
  <c r="GI193" i="5"/>
  <c r="GJ193" i="5"/>
  <c r="GK193" i="5"/>
  <c r="GL193" i="5"/>
  <c r="GM193" i="5"/>
  <c r="GN193" i="5"/>
  <c r="GO193" i="5"/>
  <c r="GP193" i="5"/>
  <c r="GQ193" i="5"/>
  <c r="GR193" i="5"/>
  <c r="GS193" i="5"/>
  <c r="GT193" i="5"/>
  <c r="GU193" i="5"/>
  <c r="GV193" i="5"/>
  <c r="GW193" i="5"/>
  <c r="GX193" i="5"/>
  <c r="GY193" i="5"/>
  <c r="GZ193" i="5"/>
  <c r="HA193" i="5"/>
  <c r="HB193" i="5"/>
  <c r="HC193" i="5"/>
  <c r="HD193" i="5"/>
  <c r="HE193" i="5"/>
  <c r="HF193" i="5"/>
  <c r="HG193" i="5"/>
  <c r="A194" i="5"/>
  <c r="B194" i="5"/>
  <c r="C194" i="5"/>
  <c r="D194" i="5"/>
  <c r="E194" i="5"/>
  <c r="F194" i="5"/>
  <c r="G194" i="5"/>
  <c r="H194" i="5"/>
  <c r="I194" i="5"/>
  <c r="J194" i="5"/>
  <c r="K194" i="5"/>
  <c r="L194" i="5"/>
  <c r="M194" i="5"/>
  <c r="N194" i="5"/>
  <c r="O194" i="5"/>
  <c r="P194" i="5"/>
  <c r="Q194" i="5"/>
  <c r="R194" i="5"/>
  <c r="S194" i="5"/>
  <c r="T194" i="5"/>
  <c r="U194" i="5"/>
  <c r="V194" i="5"/>
  <c r="W194" i="5"/>
  <c r="X194" i="5"/>
  <c r="Y194" i="5"/>
  <c r="Z194" i="5"/>
  <c r="AA194" i="5"/>
  <c r="AB194" i="5"/>
  <c r="AC194" i="5"/>
  <c r="AD194" i="5"/>
  <c r="AE194" i="5"/>
  <c r="AF194" i="5"/>
  <c r="AG194" i="5"/>
  <c r="AH194" i="5"/>
  <c r="AI194" i="5"/>
  <c r="AJ194" i="5"/>
  <c r="AK194" i="5"/>
  <c r="AL194" i="5"/>
  <c r="AM194" i="5"/>
  <c r="AN194" i="5"/>
  <c r="AO194" i="5"/>
  <c r="AP194" i="5"/>
  <c r="AQ194" i="5"/>
  <c r="AR194" i="5"/>
  <c r="AS194" i="5"/>
  <c r="AT194" i="5"/>
  <c r="AU194" i="5"/>
  <c r="AV194" i="5"/>
  <c r="AW194" i="5"/>
  <c r="AX194" i="5"/>
  <c r="AY194" i="5"/>
  <c r="AZ194" i="5"/>
  <c r="BA194" i="5"/>
  <c r="BB194" i="5"/>
  <c r="BC194" i="5"/>
  <c r="BD194" i="5"/>
  <c r="BE194" i="5"/>
  <c r="BF194" i="5"/>
  <c r="BG194" i="5"/>
  <c r="BH194" i="5"/>
  <c r="BI194" i="5"/>
  <c r="BJ194" i="5"/>
  <c r="BK194" i="5"/>
  <c r="BL194" i="5"/>
  <c r="BM194" i="5"/>
  <c r="BN194" i="5"/>
  <c r="BO194" i="5"/>
  <c r="BP194" i="5"/>
  <c r="BQ194" i="5"/>
  <c r="BR194" i="5"/>
  <c r="BS194" i="5"/>
  <c r="BT194" i="5"/>
  <c r="BU194" i="5"/>
  <c r="BV194" i="5"/>
  <c r="BW194" i="5"/>
  <c r="BX194" i="5"/>
  <c r="BY194" i="5"/>
  <c r="BZ194" i="5"/>
  <c r="CA194" i="5"/>
  <c r="CB194" i="5"/>
  <c r="CC194" i="5"/>
  <c r="CD194" i="5"/>
  <c r="CE194" i="5"/>
  <c r="CF194" i="5"/>
  <c r="CG194" i="5"/>
  <c r="CH194" i="5"/>
  <c r="CI194" i="5"/>
  <c r="CJ194" i="5"/>
  <c r="CK194" i="5"/>
  <c r="CL194" i="5"/>
  <c r="CM194" i="5"/>
  <c r="CN194" i="5"/>
  <c r="CO194" i="5"/>
  <c r="CP194" i="5"/>
  <c r="CQ194" i="5"/>
  <c r="CR194" i="5"/>
  <c r="CS194" i="5"/>
  <c r="CT194" i="5"/>
  <c r="CU194" i="5"/>
  <c r="CV194" i="5"/>
  <c r="CW194" i="5"/>
  <c r="CX194" i="5"/>
  <c r="CY194" i="5"/>
  <c r="CZ194" i="5"/>
  <c r="DA194" i="5"/>
  <c r="DB194" i="5"/>
  <c r="DC194" i="5"/>
  <c r="DD194" i="5"/>
  <c r="DE194" i="5"/>
  <c r="DF194" i="5"/>
  <c r="DG194" i="5"/>
  <c r="DH194" i="5"/>
  <c r="DI194" i="5"/>
  <c r="DJ194" i="5"/>
  <c r="DK194" i="5"/>
  <c r="DL194" i="5"/>
  <c r="DM194" i="5"/>
  <c r="DN194" i="5"/>
  <c r="DO194" i="5"/>
  <c r="DP194" i="5"/>
  <c r="DQ194" i="5"/>
  <c r="DR194" i="5"/>
  <c r="DS194" i="5"/>
  <c r="DT194" i="5"/>
  <c r="DU194" i="5"/>
  <c r="DV194" i="5"/>
  <c r="DW194" i="5"/>
  <c r="DX194" i="5"/>
  <c r="DY194" i="5"/>
  <c r="DZ194" i="5"/>
  <c r="EA194" i="5"/>
  <c r="EB194" i="5"/>
  <c r="EC194" i="5"/>
  <c r="ED194" i="5"/>
  <c r="EE194" i="5"/>
  <c r="EF194" i="5"/>
  <c r="EG194" i="5"/>
  <c r="EH194" i="5"/>
  <c r="EI194" i="5"/>
  <c r="EJ194" i="5"/>
  <c r="EK194" i="5"/>
  <c r="EL194" i="5"/>
  <c r="EM194" i="5"/>
  <c r="EN194" i="5"/>
  <c r="EO194" i="5"/>
  <c r="EP194" i="5"/>
  <c r="EQ194" i="5"/>
  <c r="ER194" i="5"/>
  <c r="ES194" i="5"/>
  <c r="ET194" i="5"/>
  <c r="EU194" i="5"/>
  <c r="EV194" i="5"/>
  <c r="EW194" i="5"/>
  <c r="EX194" i="5"/>
  <c r="EY194" i="5"/>
  <c r="EZ194" i="5"/>
  <c r="FA194" i="5"/>
  <c r="FB194" i="5"/>
  <c r="FC194" i="5"/>
  <c r="FD194" i="5"/>
  <c r="FE194" i="5"/>
  <c r="FF194" i="5"/>
  <c r="FG194" i="5"/>
  <c r="FH194" i="5"/>
  <c r="FI194" i="5"/>
  <c r="FJ194" i="5"/>
  <c r="FK194" i="5"/>
  <c r="FL194" i="5"/>
  <c r="FM194" i="5"/>
  <c r="FN194" i="5"/>
  <c r="FO194" i="5"/>
  <c r="FP194" i="5"/>
  <c r="FQ194" i="5"/>
  <c r="FR194" i="5"/>
  <c r="FS194" i="5"/>
  <c r="FT194" i="5"/>
  <c r="FU194" i="5"/>
  <c r="FV194" i="5"/>
  <c r="FW194" i="5"/>
  <c r="FX194" i="5"/>
  <c r="FY194" i="5"/>
  <c r="FZ194" i="5"/>
  <c r="GA194" i="5"/>
  <c r="GB194" i="5"/>
  <c r="GC194" i="5"/>
  <c r="GD194" i="5"/>
  <c r="GE194" i="5"/>
  <c r="GF194" i="5"/>
  <c r="GG194" i="5"/>
  <c r="GH194" i="5"/>
  <c r="GI194" i="5"/>
  <c r="GJ194" i="5"/>
  <c r="GK194" i="5"/>
  <c r="GL194" i="5"/>
  <c r="GM194" i="5"/>
  <c r="GN194" i="5"/>
  <c r="GO194" i="5"/>
  <c r="GP194" i="5"/>
  <c r="GQ194" i="5"/>
  <c r="GR194" i="5"/>
  <c r="GS194" i="5"/>
  <c r="GT194" i="5"/>
  <c r="GU194" i="5"/>
  <c r="GV194" i="5"/>
  <c r="GW194" i="5"/>
  <c r="GX194" i="5"/>
  <c r="GY194" i="5"/>
  <c r="GZ194" i="5"/>
  <c r="HA194" i="5"/>
  <c r="HB194" i="5"/>
  <c r="HC194" i="5"/>
  <c r="HD194" i="5"/>
  <c r="HE194" i="5"/>
  <c r="HF194" i="5"/>
  <c r="HG194" i="5"/>
  <c r="A195" i="5"/>
  <c r="B195" i="5"/>
  <c r="C195" i="5"/>
  <c r="D195" i="5"/>
  <c r="E195" i="5"/>
  <c r="F195" i="5"/>
  <c r="G195" i="5"/>
  <c r="H195" i="5"/>
  <c r="I195" i="5"/>
  <c r="J195" i="5"/>
  <c r="K195" i="5"/>
  <c r="L195" i="5"/>
  <c r="M195" i="5"/>
  <c r="N195" i="5"/>
  <c r="O195" i="5"/>
  <c r="P195" i="5"/>
  <c r="Q195" i="5"/>
  <c r="R195" i="5"/>
  <c r="S195" i="5"/>
  <c r="T195" i="5"/>
  <c r="U195" i="5"/>
  <c r="V195" i="5"/>
  <c r="W195" i="5"/>
  <c r="X195" i="5"/>
  <c r="Y195" i="5"/>
  <c r="Z195" i="5"/>
  <c r="AA195" i="5"/>
  <c r="AB195" i="5"/>
  <c r="AC195" i="5"/>
  <c r="AD195" i="5"/>
  <c r="AE195" i="5"/>
  <c r="AF195" i="5"/>
  <c r="AG195" i="5"/>
  <c r="AH195" i="5"/>
  <c r="AI195" i="5"/>
  <c r="AJ195" i="5"/>
  <c r="AK195" i="5"/>
  <c r="AL195" i="5"/>
  <c r="AM195" i="5"/>
  <c r="AN195" i="5"/>
  <c r="AO195" i="5"/>
  <c r="AP195" i="5"/>
  <c r="AQ195" i="5"/>
  <c r="AR195" i="5"/>
  <c r="AS195" i="5"/>
  <c r="AT195" i="5"/>
  <c r="AU195" i="5"/>
  <c r="AV195" i="5"/>
  <c r="AW195" i="5"/>
  <c r="AX195" i="5"/>
  <c r="AY195" i="5"/>
  <c r="AZ195" i="5"/>
  <c r="BA195" i="5"/>
  <c r="BB195" i="5"/>
  <c r="BC195" i="5"/>
  <c r="BD195" i="5"/>
  <c r="BE195" i="5"/>
  <c r="BF195" i="5"/>
  <c r="BG195" i="5"/>
  <c r="BH195" i="5"/>
  <c r="BI195" i="5"/>
  <c r="BJ195" i="5"/>
  <c r="BK195" i="5"/>
  <c r="BL195" i="5"/>
  <c r="BM195" i="5"/>
  <c r="BN195" i="5"/>
  <c r="BO195" i="5"/>
  <c r="BP195" i="5"/>
  <c r="BQ195" i="5"/>
  <c r="BR195" i="5"/>
  <c r="BS195" i="5"/>
  <c r="BT195" i="5"/>
  <c r="BU195" i="5"/>
  <c r="BV195" i="5"/>
  <c r="BW195" i="5"/>
  <c r="BX195" i="5"/>
  <c r="BY195" i="5"/>
  <c r="BZ195" i="5"/>
  <c r="CA195" i="5"/>
  <c r="CB195" i="5"/>
  <c r="CC195" i="5"/>
  <c r="CD195" i="5"/>
  <c r="CE195" i="5"/>
  <c r="CF195" i="5"/>
  <c r="CG195" i="5"/>
  <c r="CH195" i="5"/>
  <c r="CI195" i="5"/>
  <c r="CJ195" i="5"/>
  <c r="CK195" i="5"/>
  <c r="CL195" i="5"/>
  <c r="CM195" i="5"/>
  <c r="CN195" i="5"/>
  <c r="CO195" i="5"/>
  <c r="CP195" i="5"/>
  <c r="CQ195" i="5"/>
  <c r="CR195" i="5"/>
  <c r="CS195" i="5"/>
  <c r="CT195" i="5"/>
  <c r="CU195" i="5"/>
  <c r="CV195" i="5"/>
  <c r="CW195" i="5"/>
  <c r="CX195" i="5"/>
  <c r="CY195" i="5"/>
  <c r="CZ195" i="5"/>
  <c r="DA195" i="5"/>
  <c r="DB195" i="5"/>
  <c r="DC195" i="5"/>
  <c r="DD195" i="5"/>
  <c r="DE195" i="5"/>
  <c r="DF195" i="5"/>
  <c r="DG195" i="5"/>
  <c r="DH195" i="5"/>
  <c r="DI195" i="5"/>
  <c r="DJ195" i="5"/>
  <c r="DK195" i="5"/>
  <c r="DL195" i="5"/>
  <c r="DM195" i="5"/>
  <c r="DN195" i="5"/>
  <c r="DO195" i="5"/>
  <c r="DP195" i="5"/>
  <c r="DQ195" i="5"/>
  <c r="DR195" i="5"/>
  <c r="DS195" i="5"/>
  <c r="DT195" i="5"/>
  <c r="DU195" i="5"/>
  <c r="DV195" i="5"/>
  <c r="DW195" i="5"/>
  <c r="DX195" i="5"/>
  <c r="DY195" i="5"/>
  <c r="DZ195" i="5"/>
  <c r="EA195" i="5"/>
  <c r="EB195" i="5"/>
  <c r="EC195" i="5"/>
  <c r="ED195" i="5"/>
  <c r="EE195" i="5"/>
  <c r="EF195" i="5"/>
  <c r="EG195" i="5"/>
  <c r="EH195" i="5"/>
  <c r="EI195" i="5"/>
  <c r="EJ195" i="5"/>
  <c r="EK195" i="5"/>
  <c r="EL195" i="5"/>
  <c r="EM195" i="5"/>
  <c r="EN195" i="5"/>
  <c r="EO195" i="5"/>
  <c r="EP195" i="5"/>
  <c r="EQ195" i="5"/>
  <c r="ER195" i="5"/>
  <c r="ES195" i="5"/>
  <c r="ET195" i="5"/>
  <c r="EU195" i="5"/>
  <c r="EV195" i="5"/>
  <c r="EW195" i="5"/>
  <c r="EX195" i="5"/>
  <c r="EY195" i="5"/>
  <c r="EZ195" i="5"/>
  <c r="FA195" i="5"/>
  <c r="FB195" i="5"/>
  <c r="FC195" i="5"/>
  <c r="FD195" i="5"/>
  <c r="FE195" i="5"/>
  <c r="FF195" i="5"/>
  <c r="FG195" i="5"/>
  <c r="FH195" i="5"/>
  <c r="FI195" i="5"/>
  <c r="FJ195" i="5"/>
  <c r="FK195" i="5"/>
  <c r="FL195" i="5"/>
  <c r="FM195" i="5"/>
  <c r="FN195" i="5"/>
  <c r="FO195" i="5"/>
  <c r="FP195" i="5"/>
  <c r="FQ195" i="5"/>
  <c r="FR195" i="5"/>
  <c r="FS195" i="5"/>
  <c r="FT195" i="5"/>
  <c r="FU195" i="5"/>
  <c r="FV195" i="5"/>
  <c r="FW195" i="5"/>
  <c r="FX195" i="5"/>
  <c r="FY195" i="5"/>
  <c r="FZ195" i="5"/>
  <c r="GA195" i="5"/>
  <c r="GB195" i="5"/>
  <c r="GC195" i="5"/>
  <c r="GD195" i="5"/>
  <c r="GE195" i="5"/>
  <c r="GF195" i="5"/>
  <c r="GG195" i="5"/>
  <c r="GH195" i="5"/>
  <c r="GI195" i="5"/>
  <c r="GJ195" i="5"/>
  <c r="GK195" i="5"/>
  <c r="GL195" i="5"/>
  <c r="GM195" i="5"/>
  <c r="GN195" i="5"/>
  <c r="GO195" i="5"/>
  <c r="GP195" i="5"/>
  <c r="GQ195" i="5"/>
  <c r="GR195" i="5"/>
  <c r="GS195" i="5"/>
  <c r="GT195" i="5"/>
  <c r="GU195" i="5"/>
  <c r="GV195" i="5"/>
  <c r="GW195" i="5"/>
  <c r="GX195" i="5"/>
  <c r="GY195" i="5"/>
  <c r="GZ195" i="5"/>
  <c r="HA195" i="5"/>
  <c r="HB195" i="5"/>
  <c r="HC195" i="5"/>
  <c r="HD195" i="5"/>
  <c r="HE195" i="5"/>
  <c r="HF195" i="5"/>
  <c r="HG195" i="5"/>
  <c r="A196" i="5"/>
  <c r="B196" i="5"/>
  <c r="C196" i="5"/>
  <c r="D196" i="5"/>
  <c r="E196" i="5"/>
  <c r="F196" i="5"/>
  <c r="G196" i="5"/>
  <c r="H196" i="5"/>
  <c r="I196" i="5"/>
  <c r="J196" i="5"/>
  <c r="K196" i="5"/>
  <c r="L196" i="5"/>
  <c r="M196" i="5"/>
  <c r="N196" i="5"/>
  <c r="O196" i="5"/>
  <c r="P196" i="5"/>
  <c r="Q196" i="5"/>
  <c r="R196" i="5"/>
  <c r="S196" i="5"/>
  <c r="T196" i="5"/>
  <c r="U196" i="5"/>
  <c r="V196" i="5"/>
  <c r="W196" i="5"/>
  <c r="X196" i="5"/>
  <c r="Y196" i="5"/>
  <c r="Z196" i="5"/>
  <c r="AA196" i="5"/>
  <c r="AB196" i="5"/>
  <c r="AC196" i="5"/>
  <c r="AD196" i="5"/>
  <c r="AE196" i="5"/>
  <c r="AF196" i="5"/>
  <c r="AG196" i="5"/>
  <c r="AH196" i="5"/>
  <c r="AI196" i="5"/>
  <c r="AJ196" i="5"/>
  <c r="AK196" i="5"/>
  <c r="AL196" i="5"/>
  <c r="AM196" i="5"/>
  <c r="AN196" i="5"/>
  <c r="AO196" i="5"/>
  <c r="AP196" i="5"/>
  <c r="AQ196" i="5"/>
  <c r="AR196" i="5"/>
  <c r="AS196" i="5"/>
  <c r="AT196" i="5"/>
  <c r="AU196" i="5"/>
  <c r="AV196" i="5"/>
  <c r="AW196" i="5"/>
  <c r="AX196" i="5"/>
  <c r="AY196" i="5"/>
  <c r="AZ196" i="5"/>
  <c r="BA196" i="5"/>
  <c r="BB196" i="5"/>
  <c r="BC196" i="5"/>
  <c r="BD196" i="5"/>
  <c r="BE196" i="5"/>
  <c r="BF196" i="5"/>
  <c r="BG196" i="5"/>
  <c r="BH196" i="5"/>
  <c r="BI196" i="5"/>
  <c r="BJ196" i="5"/>
  <c r="BK196" i="5"/>
  <c r="BL196" i="5"/>
  <c r="BM196" i="5"/>
  <c r="BN196" i="5"/>
  <c r="BO196" i="5"/>
  <c r="BP196" i="5"/>
  <c r="BQ196" i="5"/>
  <c r="BR196" i="5"/>
  <c r="BS196" i="5"/>
  <c r="BT196" i="5"/>
  <c r="BU196" i="5"/>
  <c r="BV196" i="5"/>
  <c r="BW196" i="5"/>
  <c r="BX196" i="5"/>
  <c r="BY196" i="5"/>
  <c r="BZ196" i="5"/>
  <c r="CA196" i="5"/>
  <c r="CB196" i="5"/>
  <c r="CC196" i="5"/>
  <c r="CD196" i="5"/>
  <c r="CE196" i="5"/>
  <c r="CF196" i="5"/>
  <c r="CG196" i="5"/>
  <c r="CH196" i="5"/>
  <c r="CI196" i="5"/>
  <c r="CJ196" i="5"/>
  <c r="CK196" i="5"/>
  <c r="CL196" i="5"/>
  <c r="CM196" i="5"/>
  <c r="CN196" i="5"/>
  <c r="CO196" i="5"/>
  <c r="CP196" i="5"/>
  <c r="CQ196" i="5"/>
  <c r="CR196" i="5"/>
  <c r="CS196" i="5"/>
  <c r="CT196" i="5"/>
  <c r="CU196" i="5"/>
  <c r="CV196" i="5"/>
  <c r="CW196" i="5"/>
  <c r="CX196" i="5"/>
  <c r="CY196" i="5"/>
  <c r="CZ196" i="5"/>
  <c r="DA196" i="5"/>
  <c r="DB196" i="5"/>
  <c r="DC196" i="5"/>
  <c r="DD196" i="5"/>
  <c r="DE196" i="5"/>
  <c r="DF196" i="5"/>
  <c r="DG196" i="5"/>
  <c r="DH196" i="5"/>
  <c r="DI196" i="5"/>
  <c r="DJ196" i="5"/>
  <c r="DK196" i="5"/>
  <c r="DL196" i="5"/>
  <c r="DM196" i="5"/>
  <c r="DN196" i="5"/>
  <c r="DO196" i="5"/>
  <c r="DP196" i="5"/>
  <c r="DQ196" i="5"/>
  <c r="DR196" i="5"/>
  <c r="DS196" i="5"/>
  <c r="DT196" i="5"/>
  <c r="DU196" i="5"/>
  <c r="DV196" i="5"/>
  <c r="DW196" i="5"/>
  <c r="DX196" i="5"/>
  <c r="DY196" i="5"/>
  <c r="DZ196" i="5"/>
  <c r="EA196" i="5"/>
  <c r="EB196" i="5"/>
  <c r="EC196" i="5"/>
  <c r="ED196" i="5"/>
  <c r="EE196" i="5"/>
  <c r="EF196" i="5"/>
  <c r="EG196" i="5"/>
  <c r="EH196" i="5"/>
  <c r="EI196" i="5"/>
  <c r="EJ196" i="5"/>
  <c r="EK196" i="5"/>
  <c r="EL196" i="5"/>
  <c r="EM196" i="5"/>
  <c r="EN196" i="5"/>
  <c r="EO196" i="5"/>
  <c r="EP196" i="5"/>
  <c r="EQ196" i="5"/>
  <c r="ER196" i="5"/>
  <c r="ES196" i="5"/>
  <c r="ET196" i="5"/>
  <c r="EU196" i="5"/>
  <c r="EV196" i="5"/>
  <c r="EW196" i="5"/>
  <c r="EX196" i="5"/>
  <c r="EY196" i="5"/>
  <c r="EZ196" i="5"/>
  <c r="FA196" i="5"/>
  <c r="FB196" i="5"/>
  <c r="FC196" i="5"/>
  <c r="FD196" i="5"/>
  <c r="FE196" i="5"/>
  <c r="FF196" i="5"/>
  <c r="FG196" i="5"/>
  <c r="FH196" i="5"/>
  <c r="FI196" i="5"/>
  <c r="FJ196" i="5"/>
  <c r="FK196" i="5"/>
  <c r="FL196" i="5"/>
  <c r="FM196" i="5"/>
  <c r="FN196" i="5"/>
  <c r="FO196" i="5"/>
  <c r="FP196" i="5"/>
  <c r="FQ196" i="5"/>
  <c r="FR196" i="5"/>
  <c r="FS196" i="5"/>
  <c r="FT196" i="5"/>
  <c r="FU196" i="5"/>
  <c r="FV196" i="5"/>
  <c r="FW196" i="5"/>
  <c r="FX196" i="5"/>
  <c r="FY196" i="5"/>
  <c r="FZ196" i="5"/>
  <c r="GA196" i="5"/>
  <c r="GB196" i="5"/>
  <c r="GC196" i="5"/>
  <c r="GD196" i="5"/>
  <c r="GE196" i="5"/>
  <c r="GF196" i="5"/>
  <c r="GG196" i="5"/>
  <c r="GH196" i="5"/>
  <c r="GI196" i="5"/>
  <c r="GJ196" i="5"/>
  <c r="GK196" i="5"/>
  <c r="GL196" i="5"/>
  <c r="GM196" i="5"/>
  <c r="GN196" i="5"/>
  <c r="GO196" i="5"/>
  <c r="GP196" i="5"/>
  <c r="GQ196" i="5"/>
  <c r="GR196" i="5"/>
  <c r="GS196" i="5"/>
  <c r="GT196" i="5"/>
  <c r="GU196" i="5"/>
  <c r="GV196" i="5"/>
  <c r="GW196" i="5"/>
  <c r="GX196" i="5"/>
  <c r="GY196" i="5"/>
  <c r="GZ196" i="5"/>
  <c r="HA196" i="5"/>
  <c r="HB196" i="5"/>
  <c r="HC196" i="5"/>
  <c r="HD196" i="5"/>
  <c r="HE196" i="5"/>
  <c r="HF196" i="5"/>
  <c r="HG196" i="5"/>
  <c r="A197" i="5"/>
  <c r="B197" i="5"/>
  <c r="C197" i="5"/>
  <c r="D197" i="5"/>
  <c r="E197" i="5"/>
  <c r="F197" i="5"/>
  <c r="G197" i="5"/>
  <c r="H197" i="5"/>
  <c r="I197" i="5"/>
  <c r="J197" i="5"/>
  <c r="K197" i="5"/>
  <c r="L197" i="5"/>
  <c r="M197" i="5"/>
  <c r="N197" i="5"/>
  <c r="O197" i="5"/>
  <c r="P197" i="5"/>
  <c r="Q197" i="5"/>
  <c r="R197" i="5"/>
  <c r="S197" i="5"/>
  <c r="T197" i="5"/>
  <c r="U197" i="5"/>
  <c r="V197" i="5"/>
  <c r="W197" i="5"/>
  <c r="X197" i="5"/>
  <c r="Y197" i="5"/>
  <c r="Z197" i="5"/>
  <c r="AA197" i="5"/>
  <c r="AB197" i="5"/>
  <c r="AC197" i="5"/>
  <c r="AD197" i="5"/>
  <c r="AE197" i="5"/>
  <c r="AF197" i="5"/>
  <c r="AG197" i="5"/>
  <c r="AH197" i="5"/>
  <c r="AI197" i="5"/>
  <c r="AJ197" i="5"/>
  <c r="AK197" i="5"/>
  <c r="AL197" i="5"/>
  <c r="AM197" i="5"/>
  <c r="AN197" i="5"/>
  <c r="AO197" i="5"/>
  <c r="AP197" i="5"/>
  <c r="AQ197" i="5"/>
  <c r="AR197" i="5"/>
  <c r="AS197" i="5"/>
  <c r="AT197" i="5"/>
  <c r="AU197" i="5"/>
  <c r="AV197" i="5"/>
  <c r="AW197" i="5"/>
  <c r="AX197" i="5"/>
  <c r="AY197" i="5"/>
  <c r="AZ197" i="5"/>
  <c r="BA197" i="5"/>
  <c r="BB197" i="5"/>
  <c r="BC197" i="5"/>
  <c r="BD197" i="5"/>
  <c r="BE197" i="5"/>
  <c r="BF197" i="5"/>
  <c r="BG197" i="5"/>
  <c r="BH197" i="5"/>
  <c r="BI197" i="5"/>
  <c r="BJ197" i="5"/>
  <c r="BK197" i="5"/>
  <c r="BL197" i="5"/>
  <c r="BM197" i="5"/>
  <c r="BN197" i="5"/>
  <c r="BO197" i="5"/>
  <c r="BP197" i="5"/>
  <c r="BQ197" i="5"/>
  <c r="BR197" i="5"/>
  <c r="BS197" i="5"/>
  <c r="BT197" i="5"/>
  <c r="BU197" i="5"/>
  <c r="BV197" i="5"/>
  <c r="BW197" i="5"/>
  <c r="BX197" i="5"/>
  <c r="BY197" i="5"/>
  <c r="BZ197" i="5"/>
  <c r="CA197" i="5"/>
  <c r="CB197" i="5"/>
  <c r="CC197" i="5"/>
  <c r="CD197" i="5"/>
  <c r="CE197" i="5"/>
  <c r="CF197" i="5"/>
  <c r="CG197" i="5"/>
  <c r="CH197" i="5"/>
  <c r="CI197" i="5"/>
  <c r="CJ197" i="5"/>
  <c r="CK197" i="5"/>
  <c r="CL197" i="5"/>
  <c r="CM197" i="5"/>
  <c r="CN197" i="5"/>
  <c r="CO197" i="5"/>
  <c r="CP197" i="5"/>
  <c r="CQ197" i="5"/>
  <c r="CR197" i="5"/>
  <c r="CS197" i="5"/>
  <c r="CT197" i="5"/>
  <c r="CU197" i="5"/>
  <c r="CV197" i="5"/>
  <c r="CW197" i="5"/>
  <c r="CX197" i="5"/>
  <c r="CY197" i="5"/>
  <c r="CZ197" i="5"/>
  <c r="DA197" i="5"/>
  <c r="DB197" i="5"/>
  <c r="DC197" i="5"/>
  <c r="DD197" i="5"/>
  <c r="DE197" i="5"/>
  <c r="DF197" i="5"/>
  <c r="DG197" i="5"/>
  <c r="DH197" i="5"/>
  <c r="DI197" i="5"/>
  <c r="DJ197" i="5"/>
  <c r="DK197" i="5"/>
  <c r="DL197" i="5"/>
  <c r="DM197" i="5"/>
  <c r="DN197" i="5"/>
  <c r="DO197" i="5"/>
  <c r="DP197" i="5"/>
  <c r="DQ197" i="5"/>
  <c r="DR197" i="5"/>
  <c r="DS197" i="5"/>
  <c r="DT197" i="5"/>
  <c r="DU197" i="5"/>
  <c r="DV197" i="5"/>
  <c r="DW197" i="5"/>
  <c r="DX197" i="5"/>
  <c r="DY197" i="5"/>
  <c r="DZ197" i="5"/>
  <c r="EA197" i="5"/>
  <c r="EB197" i="5"/>
  <c r="EC197" i="5"/>
  <c r="ED197" i="5"/>
  <c r="EE197" i="5"/>
  <c r="EF197" i="5"/>
  <c r="EG197" i="5"/>
  <c r="EH197" i="5"/>
  <c r="EI197" i="5"/>
  <c r="EJ197" i="5"/>
  <c r="EK197" i="5"/>
  <c r="EL197" i="5"/>
  <c r="EM197" i="5"/>
  <c r="EN197" i="5"/>
  <c r="EO197" i="5"/>
  <c r="EP197" i="5"/>
  <c r="EQ197" i="5"/>
  <c r="ER197" i="5"/>
  <c r="ES197" i="5"/>
  <c r="ET197" i="5"/>
  <c r="EU197" i="5"/>
  <c r="EV197" i="5"/>
  <c r="EW197" i="5"/>
  <c r="EX197" i="5"/>
  <c r="EY197" i="5"/>
  <c r="EZ197" i="5"/>
  <c r="FA197" i="5"/>
  <c r="FB197" i="5"/>
  <c r="FC197" i="5"/>
  <c r="FD197" i="5"/>
  <c r="FE197" i="5"/>
  <c r="FF197" i="5"/>
  <c r="FG197" i="5"/>
  <c r="FH197" i="5"/>
  <c r="FI197" i="5"/>
  <c r="FJ197" i="5"/>
  <c r="FK197" i="5"/>
  <c r="FL197" i="5"/>
  <c r="FM197" i="5"/>
  <c r="FN197" i="5"/>
  <c r="FO197" i="5"/>
  <c r="FP197" i="5"/>
  <c r="FQ197" i="5"/>
  <c r="FR197" i="5"/>
  <c r="FS197" i="5"/>
  <c r="FT197" i="5"/>
  <c r="FU197" i="5"/>
  <c r="FV197" i="5"/>
  <c r="FW197" i="5"/>
  <c r="FX197" i="5"/>
  <c r="FY197" i="5"/>
  <c r="FZ197" i="5"/>
  <c r="GA197" i="5"/>
  <c r="GB197" i="5"/>
  <c r="GC197" i="5"/>
  <c r="GD197" i="5"/>
  <c r="GE197" i="5"/>
  <c r="GF197" i="5"/>
  <c r="GG197" i="5"/>
  <c r="GH197" i="5"/>
  <c r="GI197" i="5"/>
  <c r="GJ197" i="5"/>
  <c r="GK197" i="5"/>
  <c r="GL197" i="5"/>
  <c r="GM197" i="5"/>
  <c r="GN197" i="5"/>
  <c r="GO197" i="5"/>
  <c r="GP197" i="5"/>
  <c r="GQ197" i="5"/>
  <c r="GR197" i="5"/>
  <c r="GS197" i="5"/>
  <c r="GT197" i="5"/>
  <c r="GU197" i="5"/>
  <c r="GV197" i="5"/>
  <c r="GW197" i="5"/>
  <c r="GX197" i="5"/>
  <c r="GY197" i="5"/>
  <c r="GZ197" i="5"/>
  <c r="HA197" i="5"/>
  <c r="HB197" i="5"/>
  <c r="HC197" i="5"/>
  <c r="HD197" i="5"/>
  <c r="HE197" i="5"/>
  <c r="HF197" i="5"/>
  <c r="HG197" i="5"/>
  <c r="A198" i="5"/>
  <c r="B198" i="5"/>
  <c r="C198" i="5"/>
  <c r="D198" i="5"/>
  <c r="E198" i="5"/>
  <c r="F198" i="5"/>
  <c r="G198" i="5"/>
  <c r="H198" i="5"/>
  <c r="I198" i="5"/>
  <c r="J198" i="5"/>
  <c r="K198" i="5"/>
  <c r="L198" i="5"/>
  <c r="M198" i="5"/>
  <c r="N198" i="5"/>
  <c r="O198" i="5"/>
  <c r="P198" i="5"/>
  <c r="Q198" i="5"/>
  <c r="R198" i="5"/>
  <c r="S198" i="5"/>
  <c r="T198" i="5"/>
  <c r="U198" i="5"/>
  <c r="V198" i="5"/>
  <c r="W198" i="5"/>
  <c r="X198" i="5"/>
  <c r="Y198" i="5"/>
  <c r="Z198" i="5"/>
  <c r="AA198" i="5"/>
  <c r="AB198" i="5"/>
  <c r="AC198" i="5"/>
  <c r="AD198" i="5"/>
  <c r="AE198" i="5"/>
  <c r="AF198" i="5"/>
  <c r="AG198" i="5"/>
  <c r="AH198" i="5"/>
  <c r="AI198" i="5"/>
  <c r="AJ198" i="5"/>
  <c r="AK198" i="5"/>
  <c r="AL198" i="5"/>
  <c r="AM198" i="5"/>
  <c r="AN198" i="5"/>
  <c r="AO198" i="5"/>
  <c r="AP198" i="5"/>
  <c r="AQ198" i="5"/>
  <c r="AR198" i="5"/>
  <c r="AS198" i="5"/>
  <c r="AT198" i="5"/>
  <c r="AU198" i="5"/>
  <c r="AV198" i="5"/>
  <c r="AW198" i="5"/>
  <c r="AX198" i="5"/>
  <c r="AY198" i="5"/>
  <c r="AZ198" i="5"/>
  <c r="BA198" i="5"/>
  <c r="BB198" i="5"/>
  <c r="BC198" i="5"/>
  <c r="BD198" i="5"/>
  <c r="BE198" i="5"/>
  <c r="BF198" i="5"/>
  <c r="BG198" i="5"/>
  <c r="BH198" i="5"/>
  <c r="BI198" i="5"/>
  <c r="BJ198" i="5"/>
  <c r="BK198" i="5"/>
  <c r="BL198" i="5"/>
  <c r="BM198" i="5"/>
  <c r="BN198" i="5"/>
  <c r="BO198" i="5"/>
  <c r="BP198" i="5"/>
  <c r="BQ198" i="5"/>
  <c r="BR198" i="5"/>
  <c r="BS198" i="5"/>
  <c r="BT198" i="5"/>
  <c r="BU198" i="5"/>
  <c r="BV198" i="5"/>
  <c r="BW198" i="5"/>
  <c r="BX198" i="5"/>
  <c r="BY198" i="5"/>
  <c r="BZ198" i="5"/>
  <c r="CA198" i="5"/>
  <c r="CB198" i="5"/>
  <c r="CC198" i="5"/>
  <c r="CD198" i="5"/>
  <c r="CE198" i="5"/>
  <c r="CF198" i="5"/>
  <c r="CG198" i="5"/>
  <c r="CH198" i="5"/>
  <c r="CI198" i="5"/>
  <c r="CJ198" i="5"/>
  <c r="CK198" i="5"/>
  <c r="CL198" i="5"/>
  <c r="CM198" i="5"/>
  <c r="CN198" i="5"/>
  <c r="CO198" i="5"/>
  <c r="CP198" i="5"/>
  <c r="CQ198" i="5"/>
  <c r="CR198" i="5"/>
  <c r="CS198" i="5"/>
  <c r="CT198" i="5"/>
  <c r="CU198" i="5"/>
  <c r="CV198" i="5"/>
  <c r="CW198" i="5"/>
  <c r="CX198" i="5"/>
  <c r="CY198" i="5"/>
  <c r="CZ198" i="5"/>
  <c r="DA198" i="5"/>
  <c r="DB198" i="5"/>
  <c r="DC198" i="5"/>
  <c r="DD198" i="5"/>
  <c r="DE198" i="5"/>
  <c r="DF198" i="5"/>
  <c r="DG198" i="5"/>
  <c r="DH198" i="5"/>
  <c r="DI198" i="5"/>
  <c r="DJ198" i="5"/>
  <c r="DK198" i="5"/>
  <c r="DL198" i="5"/>
  <c r="DM198" i="5"/>
  <c r="DN198" i="5"/>
  <c r="DO198" i="5"/>
  <c r="DP198" i="5"/>
  <c r="DQ198" i="5"/>
  <c r="DR198" i="5"/>
  <c r="DS198" i="5"/>
  <c r="DT198" i="5"/>
  <c r="DU198" i="5"/>
  <c r="DV198" i="5"/>
  <c r="DW198" i="5"/>
  <c r="DX198" i="5"/>
  <c r="DY198" i="5"/>
  <c r="DZ198" i="5"/>
  <c r="EA198" i="5"/>
  <c r="EB198" i="5"/>
  <c r="EC198" i="5"/>
  <c r="ED198" i="5"/>
  <c r="EE198" i="5"/>
  <c r="EF198" i="5"/>
  <c r="EG198" i="5"/>
  <c r="EH198" i="5"/>
  <c r="EI198" i="5"/>
  <c r="EJ198" i="5"/>
  <c r="EK198" i="5"/>
  <c r="EL198" i="5"/>
  <c r="EM198" i="5"/>
  <c r="EN198" i="5"/>
  <c r="EO198" i="5"/>
  <c r="EP198" i="5"/>
  <c r="EQ198" i="5"/>
  <c r="ER198" i="5"/>
  <c r="ES198" i="5"/>
  <c r="ET198" i="5"/>
  <c r="EU198" i="5"/>
  <c r="EV198" i="5"/>
  <c r="EW198" i="5"/>
  <c r="EX198" i="5"/>
  <c r="EY198" i="5"/>
  <c r="EZ198" i="5"/>
  <c r="FA198" i="5"/>
  <c r="FB198" i="5"/>
  <c r="FC198" i="5"/>
  <c r="FD198" i="5"/>
  <c r="FE198" i="5"/>
  <c r="FF198" i="5"/>
  <c r="FG198" i="5"/>
  <c r="FH198" i="5"/>
  <c r="FI198" i="5"/>
  <c r="FJ198" i="5"/>
  <c r="FK198" i="5"/>
  <c r="FL198" i="5"/>
  <c r="FM198" i="5"/>
  <c r="FN198" i="5"/>
  <c r="FO198" i="5"/>
  <c r="FP198" i="5"/>
  <c r="FQ198" i="5"/>
  <c r="FR198" i="5"/>
  <c r="FS198" i="5"/>
  <c r="FT198" i="5"/>
  <c r="FU198" i="5"/>
  <c r="FV198" i="5"/>
  <c r="FW198" i="5"/>
  <c r="FX198" i="5"/>
  <c r="FY198" i="5"/>
  <c r="FZ198" i="5"/>
  <c r="GA198" i="5"/>
  <c r="GB198" i="5"/>
  <c r="GC198" i="5"/>
  <c r="GD198" i="5"/>
  <c r="GE198" i="5"/>
  <c r="GF198" i="5"/>
  <c r="GG198" i="5"/>
  <c r="GH198" i="5"/>
  <c r="GI198" i="5"/>
  <c r="GJ198" i="5"/>
  <c r="GK198" i="5"/>
  <c r="GL198" i="5"/>
  <c r="GM198" i="5"/>
  <c r="GN198" i="5"/>
  <c r="GO198" i="5"/>
  <c r="GP198" i="5"/>
  <c r="GQ198" i="5"/>
  <c r="GR198" i="5"/>
  <c r="GS198" i="5"/>
  <c r="GT198" i="5"/>
  <c r="GU198" i="5"/>
  <c r="GV198" i="5"/>
  <c r="GW198" i="5"/>
  <c r="GX198" i="5"/>
  <c r="GY198" i="5"/>
  <c r="GZ198" i="5"/>
  <c r="HA198" i="5"/>
  <c r="HB198" i="5"/>
  <c r="HC198" i="5"/>
  <c r="HD198" i="5"/>
  <c r="HE198" i="5"/>
  <c r="HF198" i="5"/>
  <c r="HG198" i="5"/>
  <c r="A199" i="5"/>
  <c r="B199" i="5"/>
  <c r="C199" i="5"/>
  <c r="D199" i="5"/>
  <c r="E199" i="5"/>
  <c r="F199" i="5"/>
  <c r="G199" i="5"/>
  <c r="H199" i="5"/>
  <c r="I199" i="5"/>
  <c r="J199" i="5"/>
  <c r="K199" i="5"/>
  <c r="L199" i="5"/>
  <c r="M199" i="5"/>
  <c r="N199" i="5"/>
  <c r="O199" i="5"/>
  <c r="P199" i="5"/>
  <c r="Q199" i="5"/>
  <c r="R199" i="5"/>
  <c r="S199" i="5"/>
  <c r="T199" i="5"/>
  <c r="U199" i="5"/>
  <c r="V199" i="5"/>
  <c r="W199" i="5"/>
  <c r="X199" i="5"/>
  <c r="Y199" i="5"/>
  <c r="Z199" i="5"/>
  <c r="AA199" i="5"/>
  <c r="AB199" i="5"/>
  <c r="AC199" i="5"/>
  <c r="AD199" i="5"/>
  <c r="AE199" i="5"/>
  <c r="AF199" i="5"/>
  <c r="AG199" i="5"/>
  <c r="AH199" i="5"/>
  <c r="AI199" i="5"/>
  <c r="AJ199" i="5"/>
  <c r="AK199" i="5"/>
  <c r="AL199" i="5"/>
  <c r="AM199" i="5"/>
  <c r="AN199" i="5"/>
  <c r="AO199" i="5"/>
  <c r="AP199" i="5"/>
  <c r="AQ199" i="5"/>
  <c r="AR199" i="5"/>
  <c r="AS199" i="5"/>
  <c r="AT199" i="5"/>
  <c r="AU199" i="5"/>
  <c r="AV199" i="5"/>
  <c r="AW199" i="5"/>
  <c r="AX199" i="5"/>
  <c r="AY199" i="5"/>
  <c r="AZ199" i="5"/>
  <c r="BA199" i="5"/>
  <c r="BB199" i="5"/>
  <c r="BC199" i="5"/>
  <c r="BD199" i="5"/>
  <c r="BE199" i="5"/>
  <c r="BF199" i="5"/>
  <c r="BG199" i="5"/>
  <c r="BH199" i="5"/>
  <c r="BI199" i="5"/>
  <c r="BJ199" i="5"/>
  <c r="BK199" i="5"/>
  <c r="BL199" i="5"/>
  <c r="BM199" i="5"/>
  <c r="BN199" i="5"/>
  <c r="BO199" i="5"/>
  <c r="BP199" i="5"/>
  <c r="BQ199" i="5"/>
  <c r="BR199" i="5"/>
  <c r="BS199" i="5"/>
  <c r="BT199" i="5"/>
  <c r="BU199" i="5"/>
  <c r="BV199" i="5"/>
  <c r="BW199" i="5"/>
  <c r="BX199" i="5"/>
  <c r="BY199" i="5"/>
  <c r="BZ199" i="5"/>
  <c r="CA199" i="5"/>
  <c r="CB199" i="5"/>
  <c r="CC199" i="5"/>
  <c r="CD199" i="5"/>
  <c r="CE199" i="5"/>
  <c r="CF199" i="5"/>
  <c r="CG199" i="5"/>
  <c r="CH199" i="5"/>
  <c r="CI199" i="5"/>
  <c r="CJ199" i="5"/>
  <c r="CK199" i="5"/>
  <c r="CL199" i="5"/>
  <c r="CM199" i="5"/>
  <c r="CN199" i="5"/>
  <c r="CO199" i="5"/>
  <c r="CP199" i="5"/>
  <c r="CQ199" i="5"/>
  <c r="CR199" i="5"/>
  <c r="CS199" i="5"/>
  <c r="CT199" i="5"/>
  <c r="CU199" i="5"/>
  <c r="CV199" i="5"/>
  <c r="CW199" i="5"/>
  <c r="CX199" i="5"/>
  <c r="CY199" i="5"/>
  <c r="CZ199" i="5"/>
  <c r="DA199" i="5"/>
  <c r="DB199" i="5"/>
  <c r="DC199" i="5"/>
  <c r="DD199" i="5"/>
  <c r="DE199" i="5"/>
  <c r="DF199" i="5"/>
  <c r="DG199" i="5"/>
  <c r="DH199" i="5"/>
  <c r="DI199" i="5"/>
  <c r="DJ199" i="5"/>
  <c r="DK199" i="5"/>
  <c r="DL199" i="5"/>
  <c r="DM199" i="5"/>
  <c r="DN199" i="5"/>
  <c r="DO199" i="5"/>
  <c r="DP199" i="5"/>
  <c r="DQ199" i="5"/>
  <c r="DR199" i="5"/>
  <c r="DS199" i="5"/>
  <c r="DT199" i="5"/>
  <c r="DU199" i="5"/>
  <c r="DV199" i="5"/>
  <c r="DW199" i="5"/>
  <c r="DX199" i="5"/>
  <c r="DY199" i="5"/>
  <c r="DZ199" i="5"/>
  <c r="EA199" i="5"/>
  <c r="EB199" i="5"/>
  <c r="EC199" i="5"/>
  <c r="ED199" i="5"/>
  <c r="EE199" i="5"/>
  <c r="EF199" i="5"/>
  <c r="EG199" i="5"/>
  <c r="EH199" i="5"/>
  <c r="EI199" i="5"/>
  <c r="EJ199" i="5"/>
  <c r="EK199" i="5"/>
  <c r="EL199" i="5"/>
  <c r="EM199" i="5"/>
  <c r="EN199" i="5"/>
  <c r="EO199" i="5"/>
  <c r="EP199" i="5"/>
  <c r="EQ199" i="5"/>
  <c r="ER199" i="5"/>
  <c r="ES199" i="5"/>
  <c r="ET199" i="5"/>
  <c r="EU199" i="5"/>
  <c r="EV199" i="5"/>
  <c r="EW199" i="5"/>
  <c r="EX199" i="5"/>
  <c r="EY199" i="5"/>
  <c r="EZ199" i="5"/>
  <c r="FA199" i="5"/>
  <c r="FB199" i="5"/>
  <c r="FC199" i="5"/>
  <c r="FD199" i="5"/>
  <c r="FE199" i="5"/>
  <c r="FF199" i="5"/>
  <c r="FG199" i="5"/>
  <c r="FH199" i="5"/>
  <c r="FI199" i="5"/>
  <c r="FJ199" i="5"/>
  <c r="FK199" i="5"/>
  <c r="FL199" i="5"/>
  <c r="FM199" i="5"/>
  <c r="FN199" i="5"/>
  <c r="FO199" i="5"/>
  <c r="FP199" i="5"/>
  <c r="FQ199" i="5"/>
  <c r="FR199" i="5"/>
  <c r="FS199" i="5"/>
  <c r="FT199" i="5"/>
  <c r="FU199" i="5"/>
  <c r="FV199" i="5"/>
  <c r="FW199" i="5"/>
  <c r="FX199" i="5"/>
  <c r="FY199" i="5"/>
  <c r="FZ199" i="5"/>
  <c r="GA199" i="5"/>
  <c r="GB199" i="5"/>
  <c r="GC199" i="5"/>
  <c r="GD199" i="5"/>
  <c r="GE199" i="5"/>
  <c r="GF199" i="5"/>
  <c r="GG199" i="5"/>
  <c r="GH199" i="5"/>
  <c r="GI199" i="5"/>
  <c r="GJ199" i="5"/>
  <c r="GK199" i="5"/>
  <c r="GL199" i="5"/>
  <c r="GM199" i="5"/>
  <c r="GN199" i="5"/>
  <c r="GO199" i="5"/>
  <c r="GP199" i="5"/>
  <c r="GQ199" i="5"/>
  <c r="GR199" i="5"/>
  <c r="GS199" i="5"/>
  <c r="GT199" i="5"/>
  <c r="GU199" i="5"/>
  <c r="GV199" i="5"/>
  <c r="GW199" i="5"/>
  <c r="GX199" i="5"/>
  <c r="GY199" i="5"/>
  <c r="GZ199" i="5"/>
  <c r="HA199" i="5"/>
  <c r="HB199" i="5"/>
  <c r="HC199" i="5"/>
  <c r="HD199" i="5"/>
  <c r="HE199" i="5"/>
  <c r="HF199" i="5"/>
  <c r="HG199" i="5"/>
  <c r="A200" i="5"/>
  <c r="B200" i="5"/>
  <c r="C200" i="5"/>
  <c r="D200" i="5"/>
  <c r="E200" i="5"/>
  <c r="F200" i="5"/>
  <c r="G200" i="5"/>
  <c r="H200" i="5"/>
  <c r="I200" i="5"/>
  <c r="J200" i="5"/>
  <c r="K200" i="5"/>
  <c r="L200" i="5"/>
  <c r="M200" i="5"/>
  <c r="N200" i="5"/>
  <c r="O200" i="5"/>
  <c r="P200" i="5"/>
  <c r="Q200" i="5"/>
  <c r="R200" i="5"/>
  <c r="S200" i="5"/>
  <c r="T200" i="5"/>
  <c r="U200" i="5"/>
  <c r="V200" i="5"/>
  <c r="W200" i="5"/>
  <c r="X200" i="5"/>
  <c r="Y200" i="5"/>
  <c r="Z200" i="5"/>
  <c r="AA200" i="5"/>
  <c r="AB200" i="5"/>
  <c r="AC200" i="5"/>
  <c r="AD200" i="5"/>
  <c r="AE200" i="5"/>
  <c r="AF200" i="5"/>
  <c r="AG200" i="5"/>
  <c r="AH200" i="5"/>
  <c r="AI200" i="5"/>
  <c r="AJ200" i="5"/>
  <c r="AK200" i="5"/>
  <c r="AL200" i="5"/>
  <c r="AM200" i="5"/>
  <c r="AN200" i="5"/>
  <c r="AO200" i="5"/>
  <c r="AP200" i="5"/>
  <c r="AQ200" i="5"/>
  <c r="AR200" i="5"/>
  <c r="AS200" i="5"/>
  <c r="AT200" i="5"/>
  <c r="AU200" i="5"/>
  <c r="AV200" i="5"/>
  <c r="AW200" i="5"/>
  <c r="AX200" i="5"/>
  <c r="AY200" i="5"/>
  <c r="AZ200" i="5"/>
  <c r="BA200" i="5"/>
  <c r="BB200" i="5"/>
  <c r="BC200" i="5"/>
  <c r="BD200" i="5"/>
  <c r="BE200" i="5"/>
  <c r="BF200" i="5"/>
  <c r="BG200" i="5"/>
  <c r="BH200" i="5"/>
  <c r="BI200" i="5"/>
  <c r="BJ200" i="5"/>
  <c r="BK200" i="5"/>
  <c r="BL200" i="5"/>
  <c r="BM200" i="5"/>
  <c r="BN200" i="5"/>
  <c r="BO200" i="5"/>
  <c r="BP200" i="5"/>
  <c r="BQ200" i="5"/>
  <c r="BR200" i="5"/>
  <c r="BS200" i="5"/>
  <c r="BT200" i="5"/>
  <c r="BU200" i="5"/>
  <c r="BV200" i="5"/>
  <c r="BW200" i="5"/>
  <c r="BX200" i="5"/>
  <c r="BY200" i="5"/>
  <c r="BZ200" i="5"/>
  <c r="CA200" i="5"/>
  <c r="CB200" i="5"/>
  <c r="CC200" i="5"/>
  <c r="CD200" i="5"/>
  <c r="CE200" i="5"/>
  <c r="CF200" i="5"/>
  <c r="CG200" i="5"/>
  <c r="CH200" i="5"/>
  <c r="CI200" i="5"/>
  <c r="CJ200" i="5"/>
  <c r="CK200" i="5"/>
  <c r="CL200" i="5"/>
  <c r="CM200" i="5"/>
  <c r="CN200" i="5"/>
  <c r="CO200" i="5"/>
  <c r="CP200" i="5"/>
  <c r="CQ200" i="5"/>
  <c r="CR200" i="5"/>
  <c r="CS200" i="5"/>
  <c r="CT200" i="5"/>
  <c r="CU200" i="5"/>
  <c r="CV200" i="5"/>
  <c r="CW200" i="5"/>
  <c r="CX200" i="5"/>
  <c r="CY200" i="5"/>
  <c r="CZ200" i="5"/>
  <c r="DA200" i="5"/>
  <c r="DB200" i="5"/>
  <c r="DC200" i="5"/>
  <c r="DD200" i="5"/>
  <c r="DE200" i="5"/>
  <c r="DF200" i="5"/>
  <c r="DG200" i="5"/>
  <c r="DH200" i="5"/>
  <c r="DI200" i="5"/>
  <c r="DJ200" i="5"/>
  <c r="DK200" i="5"/>
  <c r="DL200" i="5"/>
  <c r="DM200" i="5"/>
  <c r="DN200" i="5"/>
  <c r="DO200" i="5"/>
  <c r="DP200" i="5"/>
  <c r="DQ200" i="5"/>
  <c r="DR200" i="5"/>
  <c r="DS200" i="5"/>
  <c r="DT200" i="5"/>
  <c r="DU200" i="5"/>
  <c r="DV200" i="5"/>
  <c r="DW200" i="5"/>
  <c r="DX200" i="5"/>
  <c r="DY200" i="5"/>
  <c r="DZ200" i="5"/>
  <c r="EA200" i="5"/>
  <c r="EB200" i="5"/>
  <c r="EC200" i="5"/>
  <c r="ED200" i="5"/>
  <c r="EE200" i="5"/>
  <c r="EF200" i="5"/>
  <c r="EG200" i="5"/>
  <c r="EH200" i="5"/>
  <c r="EI200" i="5"/>
  <c r="EJ200" i="5"/>
  <c r="EK200" i="5"/>
  <c r="EL200" i="5"/>
  <c r="EM200" i="5"/>
  <c r="EN200" i="5"/>
  <c r="EO200" i="5"/>
  <c r="EP200" i="5"/>
  <c r="EQ200" i="5"/>
  <c r="ER200" i="5"/>
  <c r="ES200" i="5"/>
  <c r="ET200" i="5"/>
  <c r="EU200" i="5"/>
  <c r="EV200" i="5"/>
  <c r="EW200" i="5"/>
  <c r="EX200" i="5"/>
  <c r="EY200" i="5"/>
  <c r="EZ200" i="5"/>
  <c r="FA200" i="5"/>
  <c r="FB200" i="5"/>
  <c r="FC200" i="5"/>
  <c r="FD200" i="5"/>
  <c r="FE200" i="5"/>
  <c r="FF200" i="5"/>
  <c r="FG200" i="5"/>
  <c r="FH200" i="5"/>
  <c r="FI200" i="5"/>
  <c r="FJ200" i="5"/>
  <c r="FK200" i="5"/>
  <c r="FL200" i="5"/>
  <c r="FM200" i="5"/>
  <c r="FN200" i="5"/>
  <c r="FO200" i="5"/>
  <c r="FP200" i="5"/>
  <c r="FQ200" i="5"/>
  <c r="FR200" i="5"/>
  <c r="FS200" i="5"/>
  <c r="FT200" i="5"/>
  <c r="FU200" i="5"/>
  <c r="FV200" i="5"/>
  <c r="FW200" i="5"/>
  <c r="FX200" i="5"/>
  <c r="FY200" i="5"/>
  <c r="FZ200" i="5"/>
  <c r="GA200" i="5"/>
  <c r="GB200" i="5"/>
  <c r="GC200" i="5"/>
  <c r="GD200" i="5"/>
  <c r="GE200" i="5"/>
  <c r="GF200" i="5"/>
  <c r="GG200" i="5"/>
  <c r="GH200" i="5"/>
  <c r="GI200" i="5"/>
  <c r="GJ200" i="5"/>
  <c r="GK200" i="5"/>
  <c r="GL200" i="5"/>
  <c r="GM200" i="5"/>
  <c r="GN200" i="5"/>
  <c r="GO200" i="5"/>
  <c r="GP200" i="5"/>
  <c r="GQ200" i="5"/>
  <c r="GR200" i="5"/>
  <c r="GS200" i="5"/>
  <c r="GT200" i="5"/>
  <c r="GU200" i="5"/>
  <c r="GV200" i="5"/>
  <c r="GW200" i="5"/>
  <c r="GX200" i="5"/>
  <c r="GY200" i="5"/>
  <c r="GZ200" i="5"/>
  <c r="HA200" i="5"/>
  <c r="HB200" i="5"/>
  <c r="HC200" i="5"/>
  <c r="HD200" i="5"/>
  <c r="HE200" i="5"/>
  <c r="HF200" i="5"/>
  <c r="HG200" i="5"/>
  <c r="A201" i="5"/>
  <c r="B201" i="5"/>
  <c r="C201" i="5"/>
  <c r="D201" i="5"/>
  <c r="E201" i="5"/>
  <c r="F201" i="5"/>
  <c r="G201" i="5"/>
  <c r="H201" i="5"/>
  <c r="I201" i="5"/>
  <c r="J201" i="5"/>
  <c r="K201" i="5"/>
  <c r="L201" i="5"/>
  <c r="M201" i="5"/>
  <c r="N201" i="5"/>
  <c r="O201" i="5"/>
  <c r="P201" i="5"/>
  <c r="Q201" i="5"/>
  <c r="R201" i="5"/>
  <c r="S201" i="5"/>
  <c r="T201" i="5"/>
  <c r="U201" i="5"/>
  <c r="V201" i="5"/>
  <c r="W201" i="5"/>
  <c r="X201" i="5"/>
  <c r="Y201" i="5"/>
  <c r="Z201" i="5"/>
  <c r="AA201" i="5"/>
  <c r="AB201" i="5"/>
  <c r="AC201" i="5"/>
  <c r="AD201" i="5"/>
  <c r="AE201" i="5"/>
  <c r="AF201" i="5"/>
  <c r="AG201" i="5"/>
  <c r="AH201" i="5"/>
  <c r="AI201" i="5"/>
  <c r="AJ201" i="5"/>
  <c r="AK201" i="5"/>
  <c r="AL201" i="5"/>
  <c r="AM201" i="5"/>
  <c r="AN201" i="5"/>
  <c r="AO201" i="5"/>
  <c r="AP201" i="5"/>
  <c r="AQ201" i="5"/>
  <c r="AR201" i="5"/>
  <c r="AS201" i="5"/>
  <c r="AT201" i="5"/>
  <c r="AU201" i="5"/>
  <c r="AV201" i="5"/>
  <c r="AW201" i="5"/>
  <c r="AX201" i="5"/>
  <c r="AY201" i="5"/>
  <c r="AZ201" i="5"/>
  <c r="BA201" i="5"/>
  <c r="BB201" i="5"/>
  <c r="BC201" i="5"/>
  <c r="BD201" i="5"/>
  <c r="BE201" i="5"/>
  <c r="BF201" i="5"/>
  <c r="BG201" i="5"/>
  <c r="BH201" i="5"/>
  <c r="BI201" i="5"/>
  <c r="BJ201" i="5"/>
  <c r="BK201" i="5"/>
  <c r="BL201" i="5"/>
  <c r="BM201" i="5"/>
  <c r="BN201" i="5"/>
  <c r="BO201" i="5"/>
  <c r="BP201" i="5"/>
  <c r="BQ201" i="5"/>
  <c r="BR201" i="5"/>
  <c r="BS201" i="5"/>
  <c r="BT201" i="5"/>
  <c r="BU201" i="5"/>
  <c r="BV201" i="5"/>
  <c r="BW201" i="5"/>
  <c r="BX201" i="5"/>
  <c r="BY201" i="5"/>
  <c r="BZ201" i="5"/>
  <c r="CA201" i="5"/>
  <c r="CB201" i="5"/>
  <c r="CC201" i="5"/>
  <c r="CD201" i="5"/>
  <c r="CE201" i="5"/>
  <c r="CF201" i="5"/>
  <c r="CG201" i="5"/>
  <c r="CH201" i="5"/>
  <c r="CI201" i="5"/>
  <c r="CJ201" i="5"/>
  <c r="CK201" i="5"/>
  <c r="CL201" i="5"/>
  <c r="CM201" i="5"/>
  <c r="CN201" i="5"/>
  <c r="CO201" i="5"/>
  <c r="CP201" i="5"/>
  <c r="CQ201" i="5"/>
  <c r="CR201" i="5"/>
  <c r="CS201" i="5"/>
  <c r="CT201" i="5"/>
  <c r="CU201" i="5"/>
  <c r="CV201" i="5"/>
  <c r="CW201" i="5"/>
  <c r="CX201" i="5"/>
  <c r="CY201" i="5"/>
  <c r="CZ201" i="5"/>
  <c r="DA201" i="5"/>
  <c r="DB201" i="5"/>
  <c r="DC201" i="5"/>
  <c r="DD201" i="5"/>
  <c r="DE201" i="5"/>
  <c r="DF201" i="5"/>
  <c r="DG201" i="5"/>
  <c r="DH201" i="5"/>
  <c r="DI201" i="5"/>
  <c r="DJ201" i="5"/>
  <c r="DK201" i="5"/>
  <c r="DL201" i="5"/>
  <c r="DM201" i="5"/>
  <c r="DN201" i="5"/>
  <c r="DO201" i="5"/>
  <c r="DP201" i="5"/>
  <c r="DQ201" i="5"/>
  <c r="DR201" i="5"/>
  <c r="DS201" i="5"/>
  <c r="DT201" i="5"/>
  <c r="DU201" i="5"/>
  <c r="DV201" i="5"/>
  <c r="DW201" i="5"/>
  <c r="DX201" i="5"/>
  <c r="DY201" i="5"/>
  <c r="DZ201" i="5"/>
  <c r="EA201" i="5"/>
  <c r="EB201" i="5"/>
  <c r="EC201" i="5"/>
  <c r="ED201" i="5"/>
  <c r="EE201" i="5"/>
  <c r="EF201" i="5"/>
  <c r="EG201" i="5"/>
  <c r="EH201" i="5"/>
  <c r="EI201" i="5"/>
  <c r="EJ201" i="5"/>
  <c r="EK201" i="5"/>
  <c r="EL201" i="5"/>
  <c r="EM201" i="5"/>
  <c r="EN201" i="5"/>
  <c r="EO201" i="5"/>
  <c r="EP201" i="5"/>
  <c r="EQ201" i="5"/>
  <c r="ER201" i="5"/>
  <c r="ES201" i="5"/>
  <c r="ET201" i="5"/>
  <c r="EU201" i="5"/>
  <c r="EV201" i="5"/>
  <c r="EW201" i="5"/>
  <c r="EX201" i="5"/>
  <c r="EY201" i="5"/>
  <c r="EZ201" i="5"/>
  <c r="FA201" i="5"/>
  <c r="FB201" i="5"/>
  <c r="FC201" i="5"/>
  <c r="FD201" i="5"/>
  <c r="FE201" i="5"/>
  <c r="FF201" i="5"/>
  <c r="FG201" i="5"/>
  <c r="FH201" i="5"/>
  <c r="FI201" i="5"/>
  <c r="FJ201" i="5"/>
  <c r="FK201" i="5"/>
  <c r="FL201" i="5"/>
  <c r="FM201" i="5"/>
  <c r="FN201" i="5"/>
  <c r="FO201" i="5"/>
  <c r="FP201" i="5"/>
  <c r="FQ201" i="5"/>
  <c r="FR201" i="5"/>
  <c r="FS201" i="5"/>
  <c r="FT201" i="5"/>
  <c r="FU201" i="5"/>
  <c r="FV201" i="5"/>
  <c r="FW201" i="5"/>
  <c r="FX201" i="5"/>
  <c r="FY201" i="5"/>
  <c r="FZ201" i="5"/>
  <c r="GA201" i="5"/>
  <c r="GB201" i="5"/>
  <c r="GC201" i="5"/>
  <c r="GD201" i="5"/>
  <c r="GE201" i="5"/>
  <c r="GF201" i="5"/>
  <c r="GG201" i="5"/>
  <c r="GH201" i="5"/>
  <c r="GI201" i="5"/>
  <c r="GJ201" i="5"/>
  <c r="GK201" i="5"/>
  <c r="GL201" i="5"/>
  <c r="GM201" i="5"/>
  <c r="GN201" i="5"/>
  <c r="GO201" i="5"/>
  <c r="GP201" i="5"/>
  <c r="GQ201" i="5"/>
  <c r="GR201" i="5"/>
  <c r="GS201" i="5"/>
  <c r="GT201" i="5"/>
  <c r="GU201" i="5"/>
  <c r="GV201" i="5"/>
  <c r="GW201" i="5"/>
  <c r="GX201" i="5"/>
  <c r="GY201" i="5"/>
  <c r="GZ201" i="5"/>
  <c r="HA201" i="5"/>
  <c r="HB201" i="5"/>
  <c r="HC201" i="5"/>
  <c r="HD201" i="5"/>
  <c r="HE201" i="5"/>
  <c r="HF201" i="5"/>
  <c r="HG201" i="5"/>
  <c r="A202" i="5"/>
  <c r="B202" i="5"/>
  <c r="C202" i="5"/>
  <c r="D202" i="5"/>
  <c r="E202" i="5"/>
  <c r="F202" i="5"/>
  <c r="G202" i="5"/>
  <c r="H202" i="5"/>
  <c r="I202" i="5"/>
  <c r="J202" i="5"/>
  <c r="K202" i="5"/>
  <c r="L202" i="5"/>
  <c r="M202" i="5"/>
  <c r="N202" i="5"/>
  <c r="O202" i="5"/>
  <c r="P202" i="5"/>
  <c r="Q202" i="5"/>
  <c r="R202" i="5"/>
  <c r="S202" i="5"/>
  <c r="T202" i="5"/>
  <c r="U202" i="5"/>
  <c r="V202" i="5"/>
  <c r="W202" i="5"/>
  <c r="X202" i="5"/>
  <c r="Y202" i="5"/>
  <c r="Z202" i="5"/>
  <c r="AA202" i="5"/>
  <c r="AB202" i="5"/>
  <c r="AC202" i="5"/>
  <c r="AD202" i="5"/>
  <c r="AE202" i="5"/>
  <c r="AF202" i="5"/>
  <c r="AG202" i="5"/>
  <c r="AH202" i="5"/>
  <c r="AI202" i="5"/>
  <c r="AJ202" i="5"/>
  <c r="AK202" i="5"/>
  <c r="AL202" i="5"/>
  <c r="AM202" i="5"/>
  <c r="AN202" i="5"/>
  <c r="AO202" i="5"/>
  <c r="AP202" i="5"/>
  <c r="AQ202" i="5"/>
  <c r="AR202" i="5"/>
  <c r="AS202" i="5"/>
  <c r="AT202" i="5"/>
  <c r="AU202" i="5"/>
  <c r="AV202" i="5"/>
  <c r="AW202" i="5"/>
  <c r="AX202" i="5"/>
  <c r="AY202" i="5"/>
  <c r="AZ202" i="5"/>
  <c r="BA202" i="5"/>
  <c r="BB202" i="5"/>
  <c r="BC202" i="5"/>
  <c r="BD202" i="5"/>
  <c r="BE202" i="5"/>
  <c r="BF202" i="5"/>
  <c r="BG202" i="5"/>
  <c r="BH202" i="5"/>
  <c r="BI202" i="5"/>
  <c r="BJ202" i="5"/>
  <c r="BK202" i="5"/>
  <c r="BL202" i="5"/>
  <c r="BM202" i="5"/>
  <c r="BN202" i="5"/>
  <c r="BO202" i="5"/>
  <c r="BP202" i="5"/>
  <c r="BQ202" i="5"/>
  <c r="BR202" i="5"/>
  <c r="BS202" i="5"/>
  <c r="BT202" i="5"/>
  <c r="BU202" i="5"/>
  <c r="BV202" i="5"/>
  <c r="BW202" i="5"/>
  <c r="BX202" i="5"/>
  <c r="BY202" i="5"/>
  <c r="BZ202" i="5"/>
  <c r="CA202" i="5"/>
  <c r="CB202" i="5"/>
  <c r="CC202" i="5"/>
  <c r="CD202" i="5"/>
  <c r="CE202" i="5"/>
  <c r="CF202" i="5"/>
  <c r="CG202" i="5"/>
  <c r="CH202" i="5"/>
  <c r="CI202" i="5"/>
  <c r="CJ202" i="5"/>
  <c r="CK202" i="5"/>
  <c r="CL202" i="5"/>
  <c r="CM202" i="5"/>
  <c r="CN202" i="5"/>
  <c r="CO202" i="5"/>
  <c r="CP202" i="5"/>
  <c r="CQ202" i="5"/>
  <c r="CR202" i="5"/>
  <c r="CS202" i="5"/>
  <c r="CT202" i="5"/>
  <c r="CU202" i="5"/>
  <c r="CV202" i="5"/>
  <c r="CW202" i="5"/>
  <c r="CX202" i="5"/>
  <c r="CY202" i="5"/>
  <c r="CZ202" i="5"/>
  <c r="DA202" i="5"/>
  <c r="DB202" i="5"/>
  <c r="DC202" i="5"/>
  <c r="DD202" i="5"/>
  <c r="DE202" i="5"/>
  <c r="DF202" i="5"/>
  <c r="DG202" i="5"/>
  <c r="DH202" i="5"/>
  <c r="DI202" i="5"/>
  <c r="DJ202" i="5"/>
  <c r="DK202" i="5"/>
  <c r="DL202" i="5"/>
  <c r="DM202" i="5"/>
  <c r="DN202" i="5"/>
  <c r="DO202" i="5"/>
  <c r="DP202" i="5"/>
  <c r="DQ202" i="5"/>
  <c r="DR202" i="5"/>
  <c r="DS202" i="5"/>
  <c r="DT202" i="5"/>
  <c r="DU202" i="5"/>
  <c r="DV202" i="5"/>
  <c r="DW202" i="5"/>
  <c r="DX202" i="5"/>
  <c r="DY202" i="5"/>
  <c r="DZ202" i="5"/>
  <c r="EA202" i="5"/>
  <c r="EB202" i="5"/>
  <c r="EC202" i="5"/>
  <c r="ED202" i="5"/>
  <c r="EE202" i="5"/>
  <c r="EF202" i="5"/>
  <c r="EG202" i="5"/>
  <c r="EH202" i="5"/>
  <c r="EI202" i="5"/>
  <c r="EJ202" i="5"/>
  <c r="EK202" i="5"/>
  <c r="EL202" i="5"/>
  <c r="EM202" i="5"/>
  <c r="EN202" i="5"/>
  <c r="EO202" i="5"/>
  <c r="EP202" i="5"/>
  <c r="EQ202" i="5"/>
  <c r="ER202" i="5"/>
  <c r="ES202" i="5"/>
  <c r="ET202" i="5"/>
  <c r="EU202" i="5"/>
  <c r="EV202" i="5"/>
  <c r="EW202" i="5"/>
  <c r="EX202" i="5"/>
  <c r="EY202" i="5"/>
  <c r="EZ202" i="5"/>
  <c r="FA202" i="5"/>
  <c r="FB202" i="5"/>
  <c r="FC202" i="5"/>
  <c r="FD202" i="5"/>
  <c r="FE202" i="5"/>
  <c r="FF202" i="5"/>
  <c r="FG202" i="5"/>
  <c r="FH202" i="5"/>
  <c r="FI202" i="5"/>
  <c r="FJ202" i="5"/>
  <c r="FK202" i="5"/>
  <c r="FL202" i="5"/>
  <c r="FM202" i="5"/>
  <c r="FN202" i="5"/>
  <c r="FO202" i="5"/>
  <c r="FP202" i="5"/>
  <c r="FQ202" i="5"/>
  <c r="FR202" i="5"/>
  <c r="FS202" i="5"/>
  <c r="FT202" i="5"/>
  <c r="FU202" i="5"/>
  <c r="FV202" i="5"/>
  <c r="FW202" i="5"/>
  <c r="FX202" i="5"/>
  <c r="FY202" i="5"/>
  <c r="FZ202" i="5"/>
  <c r="GA202" i="5"/>
  <c r="GB202" i="5"/>
  <c r="GC202" i="5"/>
  <c r="GD202" i="5"/>
  <c r="GE202" i="5"/>
  <c r="GF202" i="5"/>
  <c r="GG202" i="5"/>
  <c r="GH202" i="5"/>
  <c r="GI202" i="5"/>
  <c r="GJ202" i="5"/>
  <c r="GK202" i="5"/>
  <c r="GL202" i="5"/>
  <c r="GM202" i="5"/>
  <c r="GN202" i="5"/>
  <c r="GO202" i="5"/>
  <c r="GP202" i="5"/>
  <c r="GQ202" i="5"/>
  <c r="GR202" i="5"/>
  <c r="GS202" i="5"/>
  <c r="GT202" i="5"/>
  <c r="GU202" i="5"/>
  <c r="GV202" i="5"/>
  <c r="GW202" i="5"/>
  <c r="GX202" i="5"/>
  <c r="GY202" i="5"/>
  <c r="GZ202" i="5"/>
  <c r="HA202" i="5"/>
  <c r="HB202" i="5"/>
  <c r="HC202" i="5"/>
  <c r="HD202" i="5"/>
  <c r="HE202" i="5"/>
  <c r="HF202" i="5"/>
  <c r="HG202" i="5"/>
  <c r="A203" i="5"/>
  <c r="B203" i="5"/>
  <c r="C203" i="5"/>
  <c r="D203" i="5"/>
  <c r="E203" i="5"/>
  <c r="F203" i="5"/>
  <c r="G203" i="5"/>
  <c r="H203" i="5"/>
  <c r="I203" i="5"/>
  <c r="J203" i="5"/>
  <c r="K203" i="5"/>
  <c r="L203" i="5"/>
  <c r="M203" i="5"/>
  <c r="N203" i="5"/>
  <c r="O203" i="5"/>
  <c r="P203" i="5"/>
  <c r="Q203" i="5"/>
  <c r="R203" i="5"/>
  <c r="S203" i="5"/>
  <c r="T203" i="5"/>
  <c r="U203" i="5"/>
  <c r="V203" i="5"/>
  <c r="W203" i="5"/>
  <c r="X203" i="5"/>
  <c r="Y203" i="5"/>
  <c r="Z203" i="5"/>
  <c r="AA203" i="5"/>
  <c r="AB203" i="5"/>
  <c r="AC203" i="5"/>
  <c r="AD203" i="5"/>
  <c r="AE203" i="5"/>
  <c r="AF203" i="5"/>
  <c r="AG203" i="5"/>
  <c r="AH203" i="5"/>
  <c r="AI203" i="5"/>
  <c r="AJ203" i="5"/>
  <c r="AK203" i="5"/>
  <c r="AL203" i="5"/>
  <c r="AM203" i="5"/>
  <c r="AN203" i="5"/>
  <c r="AO203" i="5"/>
  <c r="AP203" i="5"/>
  <c r="AQ203" i="5"/>
  <c r="AR203" i="5"/>
  <c r="AS203" i="5"/>
  <c r="AT203" i="5"/>
  <c r="AU203" i="5"/>
  <c r="AV203" i="5"/>
  <c r="AW203" i="5"/>
  <c r="AX203" i="5"/>
  <c r="AY203" i="5"/>
  <c r="AZ203" i="5"/>
  <c r="BA203" i="5"/>
  <c r="BB203" i="5"/>
  <c r="BC203" i="5"/>
  <c r="BD203" i="5"/>
  <c r="BE203" i="5"/>
  <c r="BF203" i="5"/>
  <c r="BG203" i="5"/>
  <c r="BH203" i="5"/>
  <c r="BI203" i="5"/>
  <c r="BJ203" i="5"/>
  <c r="BK203" i="5"/>
  <c r="BL203" i="5"/>
  <c r="BM203" i="5"/>
  <c r="BN203" i="5"/>
  <c r="BO203" i="5"/>
  <c r="BP203" i="5"/>
  <c r="BQ203" i="5"/>
  <c r="BR203" i="5"/>
  <c r="BS203" i="5"/>
  <c r="BT203" i="5"/>
  <c r="BU203" i="5"/>
  <c r="BV203" i="5"/>
  <c r="BW203" i="5"/>
  <c r="BX203" i="5"/>
  <c r="BY203" i="5"/>
  <c r="BZ203" i="5"/>
  <c r="CA203" i="5"/>
  <c r="CB203" i="5"/>
  <c r="CC203" i="5"/>
  <c r="CD203" i="5"/>
  <c r="CE203" i="5"/>
  <c r="CF203" i="5"/>
  <c r="CG203" i="5"/>
  <c r="CH203" i="5"/>
  <c r="CI203" i="5"/>
  <c r="CJ203" i="5"/>
  <c r="CK203" i="5"/>
  <c r="CL203" i="5"/>
  <c r="CM203" i="5"/>
  <c r="CN203" i="5"/>
  <c r="CO203" i="5"/>
  <c r="CP203" i="5"/>
  <c r="CQ203" i="5"/>
  <c r="CR203" i="5"/>
  <c r="CS203" i="5"/>
  <c r="CT203" i="5"/>
  <c r="CU203" i="5"/>
  <c r="CV203" i="5"/>
  <c r="CW203" i="5"/>
  <c r="CX203" i="5"/>
  <c r="CY203" i="5"/>
  <c r="CZ203" i="5"/>
  <c r="DA203" i="5"/>
  <c r="DB203" i="5"/>
  <c r="DC203" i="5"/>
  <c r="DD203" i="5"/>
  <c r="DE203" i="5"/>
  <c r="DF203" i="5"/>
  <c r="DG203" i="5"/>
  <c r="DH203" i="5"/>
  <c r="DI203" i="5"/>
  <c r="DJ203" i="5"/>
  <c r="DK203" i="5"/>
  <c r="DL203" i="5"/>
  <c r="DM203" i="5"/>
  <c r="DN203" i="5"/>
  <c r="DO203" i="5"/>
  <c r="DP203" i="5"/>
  <c r="DQ203" i="5"/>
  <c r="DR203" i="5"/>
  <c r="DS203" i="5"/>
  <c r="DT203" i="5"/>
  <c r="DU203" i="5"/>
  <c r="DV203" i="5"/>
  <c r="DW203" i="5"/>
  <c r="DX203" i="5"/>
  <c r="DY203" i="5"/>
  <c r="DZ203" i="5"/>
  <c r="EA203" i="5"/>
  <c r="EB203" i="5"/>
  <c r="EC203" i="5"/>
  <c r="ED203" i="5"/>
  <c r="EE203" i="5"/>
  <c r="EF203" i="5"/>
  <c r="EG203" i="5"/>
  <c r="EH203" i="5"/>
  <c r="EI203" i="5"/>
  <c r="EJ203" i="5"/>
  <c r="EK203" i="5"/>
  <c r="EL203" i="5"/>
  <c r="EM203" i="5"/>
  <c r="EN203" i="5"/>
  <c r="EO203" i="5"/>
  <c r="EP203" i="5"/>
  <c r="EQ203" i="5"/>
  <c r="ER203" i="5"/>
  <c r="ES203" i="5"/>
  <c r="ET203" i="5"/>
  <c r="EU203" i="5"/>
  <c r="EV203" i="5"/>
  <c r="EW203" i="5"/>
  <c r="EX203" i="5"/>
  <c r="EY203" i="5"/>
  <c r="EZ203" i="5"/>
  <c r="FA203" i="5"/>
  <c r="FB203" i="5"/>
  <c r="FC203" i="5"/>
  <c r="FD203" i="5"/>
  <c r="FE203" i="5"/>
  <c r="FF203" i="5"/>
  <c r="FG203" i="5"/>
  <c r="FH203" i="5"/>
  <c r="FI203" i="5"/>
  <c r="FJ203" i="5"/>
  <c r="FK203" i="5"/>
  <c r="FL203" i="5"/>
  <c r="FM203" i="5"/>
  <c r="FN203" i="5"/>
  <c r="FO203" i="5"/>
  <c r="FP203" i="5"/>
  <c r="FQ203" i="5"/>
  <c r="FR203" i="5"/>
  <c r="FS203" i="5"/>
  <c r="FT203" i="5"/>
  <c r="FU203" i="5"/>
  <c r="FV203" i="5"/>
  <c r="FW203" i="5"/>
  <c r="FX203" i="5"/>
  <c r="FY203" i="5"/>
  <c r="FZ203" i="5"/>
  <c r="GA203" i="5"/>
  <c r="GB203" i="5"/>
  <c r="GC203" i="5"/>
  <c r="GD203" i="5"/>
  <c r="GE203" i="5"/>
  <c r="GF203" i="5"/>
  <c r="GG203" i="5"/>
  <c r="GH203" i="5"/>
  <c r="GI203" i="5"/>
  <c r="GJ203" i="5"/>
  <c r="GK203" i="5"/>
  <c r="GL203" i="5"/>
  <c r="GM203" i="5"/>
  <c r="GN203" i="5"/>
  <c r="GO203" i="5"/>
  <c r="GP203" i="5"/>
  <c r="GQ203" i="5"/>
  <c r="GR203" i="5"/>
  <c r="GS203" i="5"/>
  <c r="GT203" i="5"/>
  <c r="GU203" i="5"/>
  <c r="GV203" i="5"/>
  <c r="GW203" i="5"/>
  <c r="GX203" i="5"/>
  <c r="GY203" i="5"/>
  <c r="GZ203" i="5"/>
  <c r="HA203" i="5"/>
  <c r="HB203" i="5"/>
  <c r="HC203" i="5"/>
  <c r="HD203" i="5"/>
  <c r="HE203" i="5"/>
  <c r="HF203" i="5"/>
  <c r="HG203" i="5"/>
  <c r="A204" i="5"/>
  <c r="B204" i="5"/>
  <c r="C204" i="5"/>
  <c r="D204" i="5"/>
  <c r="E204" i="5"/>
  <c r="F204" i="5"/>
  <c r="G204" i="5"/>
  <c r="H204" i="5"/>
  <c r="I204" i="5"/>
  <c r="J204" i="5"/>
  <c r="K204" i="5"/>
  <c r="L204" i="5"/>
  <c r="M204" i="5"/>
  <c r="N204" i="5"/>
  <c r="O204" i="5"/>
  <c r="P204" i="5"/>
  <c r="Q204" i="5"/>
  <c r="R204" i="5"/>
  <c r="S204" i="5"/>
  <c r="T204" i="5"/>
  <c r="U204" i="5"/>
  <c r="V204" i="5"/>
  <c r="W204" i="5"/>
  <c r="X204" i="5"/>
  <c r="Y204" i="5"/>
  <c r="Z204" i="5"/>
  <c r="AA204" i="5"/>
  <c r="AB204" i="5"/>
  <c r="AC204" i="5"/>
  <c r="AD204" i="5"/>
  <c r="AE204" i="5"/>
  <c r="AF204" i="5"/>
  <c r="AG204" i="5"/>
  <c r="AH204" i="5"/>
  <c r="AI204" i="5"/>
  <c r="AJ204" i="5"/>
  <c r="AK204" i="5"/>
  <c r="AL204" i="5"/>
  <c r="AM204" i="5"/>
  <c r="AN204" i="5"/>
  <c r="AO204" i="5"/>
  <c r="AP204" i="5"/>
  <c r="AQ204" i="5"/>
  <c r="AR204" i="5"/>
  <c r="AS204" i="5"/>
  <c r="AT204" i="5"/>
  <c r="AU204" i="5"/>
  <c r="AV204" i="5"/>
  <c r="AW204" i="5"/>
  <c r="AX204" i="5"/>
  <c r="AY204" i="5"/>
  <c r="AZ204" i="5"/>
  <c r="BA204" i="5"/>
  <c r="BB204" i="5"/>
  <c r="BC204" i="5"/>
  <c r="BD204" i="5"/>
  <c r="BE204" i="5"/>
  <c r="BF204" i="5"/>
  <c r="BG204" i="5"/>
  <c r="BH204" i="5"/>
  <c r="BI204" i="5"/>
  <c r="BJ204" i="5"/>
  <c r="BK204" i="5"/>
  <c r="BL204" i="5"/>
  <c r="BM204" i="5"/>
  <c r="BN204" i="5"/>
  <c r="BO204" i="5"/>
  <c r="BP204" i="5"/>
  <c r="BQ204" i="5"/>
  <c r="BR204" i="5"/>
  <c r="BS204" i="5"/>
  <c r="BT204" i="5"/>
  <c r="BU204" i="5"/>
  <c r="BV204" i="5"/>
  <c r="BW204" i="5"/>
  <c r="BX204" i="5"/>
  <c r="BY204" i="5"/>
  <c r="BZ204" i="5"/>
  <c r="CA204" i="5"/>
  <c r="CB204" i="5"/>
  <c r="CC204" i="5"/>
  <c r="CD204" i="5"/>
  <c r="CE204" i="5"/>
  <c r="CF204" i="5"/>
  <c r="CG204" i="5"/>
  <c r="CH204" i="5"/>
  <c r="CI204" i="5"/>
  <c r="CJ204" i="5"/>
  <c r="CK204" i="5"/>
  <c r="CL204" i="5"/>
  <c r="CM204" i="5"/>
  <c r="CN204" i="5"/>
  <c r="CO204" i="5"/>
  <c r="CP204" i="5"/>
  <c r="CQ204" i="5"/>
  <c r="CR204" i="5"/>
  <c r="CS204" i="5"/>
  <c r="CT204" i="5"/>
  <c r="CU204" i="5"/>
  <c r="CV204" i="5"/>
  <c r="CW204" i="5"/>
  <c r="CX204" i="5"/>
  <c r="CY204" i="5"/>
  <c r="CZ204" i="5"/>
  <c r="DA204" i="5"/>
  <c r="DB204" i="5"/>
  <c r="DC204" i="5"/>
  <c r="DD204" i="5"/>
  <c r="DE204" i="5"/>
  <c r="DF204" i="5"/>
  <c r="DG204" i="5"/>
  <c r="DH204" i="5"/>
  <c r="DI204" i="5"/>
  <c r="DJ204" i="5"/>
  <c r="DK204" i="5"/>
  <c r="DL204" i="5"/>
  <c r="DM204" i="5"/>
  <c r="DN204" i="5"/>
  <c r="DO204" i="5"/>
  <c r="DP204" i="5"/>
  <c r="DQ204" i="5"/>
  <c r="DR204" i="5"/>
  <c r="DS204" i="5"/>
  <c r="DT204" i="5"/>
  <c r="DU204" i="5"/>
  <c r="DV204" i="5"/>
  <c r="DW204" i="5"/>
  <c r="DX204" i="5"/>
  <c r="DY204" i="5"/>
  <c r="DZ204" i="5"/>
  <c r="EA204" i="5"/>
  <c r="EB204" i="5"/>
  <c r="EC204" i="5"/>
  <c r="ED204" i="5"/>
  <c r="EE204" i="5"/>
  <c r="EF204" i="5"/>
  <c r="EG204" i="5"/>
  <c r="EH204" i="5"/>
  <c r="EI204" i="5"/>
  <c r="EJ204" i="5"/>
  <c r="EK204" i="5"/>
  <c r="EL204" i="5"/>
  <c r="EM204" i="5"/>
  <c r="EN204" i="5"/>
  <c r="EO204" i="5"/>
  <c r="EP204" i="5"/>
  <c r="EQ204" i="5"/>
  <c r="ER204" i="5"/>
  <c r="ES204" i="5"/>
  <c r="ET204" i="5"/>
  <c r="EU204" i="5"/>
  <c r="EV204" i="5"/>
  <c r="EW204" i="5"/>
  <c r="EX204" i="5"/>
  <c r="EY204" i="5"/>
  <c r="EZ204" i="5"/>
  <c r="FA204" i="5"/>
  <c r="FB204" i="5"/>
  <c r="FC204" i="5"/>
  <c r="FD204" i="5"/>
  <c r="FE204" i="5"/>
  <c r="FF204" i="5"/>
  <c r="FG204" i="5"/>
  <c r="FH204" i="5"/>
  <c r="FI204" i="5"/>
  <c r="FJ204" i="5"/>
  <c r="FK204" i="5"/>
  <c r="FL204" i="5"/>
  <c r="FM204" i="5"/>
  <c r="FN204" i="5"/>
  <c r="FO204" i="5"/>
  <c r="FP204" i="5"/>
  <c r="FQ204" i="5"/>
  <c r="FR204" i="5"/>
  <c r="FS204" i="5"/>
  <c r="FT204" i="5"/>
  <c r="FU204" i="5"/>
  <c r="FV204" i="5"/>
  <c r="FW204" i="5"/>
  <c r="FX204" i="5"/>
  <c r="FY204" i="5"/>
  <c r="FZ204" i="5"/>
  <c r="GA204" i="5"/>
  <c r="GB204" i="5"/>
  <c r="GC204" i="5"/>
  <c r="GD204" i="5"/>
  <c r="GE204" i="5"/>
  <c r="GF204" i="5"/>
  <c r="GG204" i="5"/>
  <c r="GH204" i="5"/>
  <c r="GI204" i="5"/>
  <c r="GJ204" i="5"/>
  <c r="GK204" i="5"/>
  <c r="GL204" i="5"/>
  <c r="GM204" i="5"/>
  <c r="GN204" i="5"/>
  <c r="GO204" i="5"/>
  <c r="GP204" i="5"/>
  <c r="GQ204" i="5"/>
  <c r="GR204" i="5"/>
  <c r="GS204" i="5"/>
  <c r="GT204" i="5"/>
  <c r="GU204" i="5"/>
  <c r="GV204" i="5"/>
  <c r="GW204" i="5"/>
  <c r="GX204" i="5"/>
  <c r="GY204" i="5"/>
  <c r="GZ204" i="5"/>
  <c r="HA204" i="5"/>
  <c r="HB204" i="5"/>
  <c r="HC204" i="5"/>
  <c r="HD204" i="5"/>
  <c r="HE204" i="5"/>
  <c r="HF204" i="5"/>
  <c r="HG204" i="5"/>
  <c r="A205" i="5"/>
  <c r="B205" i="5"/>
  <c r="C205" i="5"/>
  <c r="D205" i="5"/>
  <c r="E205" i="5"/>
  <c r="F205" i="5"/>
  <c r="G205" i="5"/>
  <c r="H205" i="5"/>
  <c r="I205" i="5"/>
  <c r="J205" i="5"/>
  <c r="K205" i="5"/>
  <c r="L205" i="5"/>
  <c r="M205" i="5"/>
  <c r="N205" i="5"/>
  <c r="O205" i="5"/>
  <c r="P205" i="5"/>
  <c r="Q205" i="5"/>
  <c r="R205" i="5"/>
  <c r="S205" i="5"/>
  <c r="T205" i="5"/>
  <c r="U205" i="5"/>
  <c r="V205" i="5"/>
  <c r="W205" i="5"/>
  <c r="X205" i="5"/>
  <c r="Y205" i="5"/>
  <c r="Z205" i="5"/>
  <c r="AA205" i="5"/>
  <c r="AB205" i="5"/>
  <c r="AC205" i="5"/>
  <c r="AD205" i="5"/>
  <c r="AE205" i="5"/>
  <c r="AF205" i="5"/>
  <c r="AG205" i="5"/>
  <c r="AH205" i="5"/>
  <c r="AI205" i="5"/>
  <c r="AJ205" i="5"/>
  <c r="AK205" i="5"/>
  <c r="AL205" i="5"/>
  <c r="AM205" i="5"/>
  <c r="AN205" i="5"/>
  <c r="AO205" i="5"/>
  <c r="AP205" i="5"/>
  <c r="AQ205" i="5"/>
  <c r="AR205" i="5"/>
  <c r="AS205" i="5"/>
  <c r="AT205" i="5"/>
  <c r="AU205" i="5"/>
  <c r="AV205" i="5"/>
  <c r="AW205" i="5"/>
  <c r="AX205" i="5"/>
  <c r="AY205" i="5"/>
  <c r="AZ205" i="5"/>
  <c r="BA205" i="5"/>
  <c r="BB205" i="5"/>
  <c r="BC205" i="5"/>
  <c r="BD205" i="5"/>
  <c r="BE205" i="5"/>
  <c r="BF205" i="5"/>
  <c r="BG205" i="5"/>
  <c r="BH205" i="5"/>
  <c r="BI205" i="5"/>
  <c r="BJ205" i="5"/>
  <c r="BK205" i="5"/>
  <c r="BL205" i="5"/>
  <c r="BM205" i="5"/>
  <c r="BN205" i="5"/>
  <c r="BO205" i="5"/>
  <c r="BP205" i="5"/>
  <c r="BQ205" i="5"/>
  <c r="BR205" i="5"/>
  <c r="BS205" i="5"/>
  <c r="BT205" i="5"/>
  <c r="BU205" i="5"/>
  <c r="BV205" i="5"/>
  <c r="BW205" i="5"/>
  <c r="BX205" i="5"/>
  <c r="BY205" i="5"/>
  <c r="BZ205" i="5"/>
  <c r="CA205" i="5"/>
  <c r="CB205" i="5"/>
  <c r="CC205" i="5"/>
  <c r="CD205" i="5"/>
  <c r="CE205" i="5"/>
  <c r="CF205" i="5"/>
  <c r="CG205" i="5"/>
  <c r="CH205" i="5"/>
  <c r="CI205" i="5"/>
  <c r="CJ205" i="5"/>
  <c r="CK205" i="5"/>
  <c r="CL205" i="5"/>
  <c r="CM205" i="5"/>
  <c r="CN205" i="5"/>
  <c r="CO205" i="5"/>
  <c r="CP205" i="5"/>
  <c r="CQ205" i="5"/>
  <c r="CR205" i="5"/>
  <c r="CS205" i="5"/>
  <c r="CT205" i="5"/>
  <c r="CU205" i="5"/>
  <c r="CV205" i="5"/>
  <c r="CW205" i="5"/>
  <c r="CX205" i="5"/>
  <c r="CY205" i="5"/>
  <c r="CZ205" i="5"/>
  <c r="DA205" i="5"/>
  <c r="DB205" i="5"/>
  <c r="DC205" i="5"/>
  <c r="DD205" i="5"/>
  <c r="DE205" i="5"/>
  <c r="DF205" i="5"/>
  <c r="DG205" i="5"/>
  <c r="DH205" i="5"/>
  <c r="DI205" i="5"/>
  <c r="DJ205" i="5"/>
  <c r="DK205" i="5"/>
  <c r="DL205" i="5"/>
  <c r="DM205" i="5"/>
  <c r="DN205" i="5"/>
  <c r="DO205" i="5"/>
  <c r="DP205" i="5"/>
  <c r="DQ205" i="5"/>
  <c r="DR205" i="5"/>
  <c r="DS205" i="5"/>
  <c r="DT205" i="5"/>
  <c r="DU205" i="5"/>
  <c r="DV205" i="5"/>
  <c r="DW205" i="5"/>
  <c r="DX205" i="5"/>
  <c r="DY205" i="5"/>
  <c r="DZ205" i="5"/>
  <c r="EA205" i="5"/>
  <c r="EB205" i="5"/>
  <c r="EC205" i="5"/>
  <c r="ED205" i="5"/>
  <c r="EE205" i="5"/>
  <c r="EF205" i="5"/>
  <c r="EG205" i="5"/>
  <c r="EH205" i="5"/>
  <c r="EI205" i="5"/>
  <c r="EJ205" i="5"/>
  <c r="EK205" i="5"/>
  <c r="EL205" i="5"/>
  <c r="EM205" i="5"/>
  <c r="EN205" i="5"/>
  <c r="EO205" i="5"/>
  <c r="EP205" i="5"/>
  <c r="EQ205" i="5"/>
  <c r="ER205" i="5"/>
  <c r="ES205" i="5"/>
  <c r="ET205" i="5"/>
  <c r="EU205" i="5"/>
  <c r="EV205" i="5"/>
  <c r="EW205" i="5"/>
  <c r="EX205" i="5"/>
  <c r="EY205" i="5"/>
  <c r="EZ205" i="5"/>
  <c r="FA205" i="5"/>
  <c r="FB205" i="5"/>
  <c r="FC205" i="5"/>
  <c r="FD205" i="5"/>
  <c r="FE205" i="5"/>
  <c r="FF205" i="5"/>
  <c r="FG205" i="5"/>
  <c r="FH205" i="5"/>
  <c r="FI205" i="5"/>
  <c r="FJ205" i="5"/>
  <c r="FK205" i="5"/>
  <c r="FL205" i="5"/>
  <c r="FM205" i="5"/>
  <c r="FN205" i="5"/>
  <c r="FO205" i="5"/>
  <c r="FP205" i="5"/>
  <c r="FQ205" i="5"/>
  <c r="FR205" i="5"/>
  <c r="FS205" i="5"/>
  <c r="FT205" i="5"/>
  <c r="FU205" i="5"/>
  <c r="FV205" i="5"/>
  <c r="FW205" i="5"/>
  <c r="FX205" i="5"/>
  <c r="FY205" i="5"/>
  <c r="FZ205" i="5"/>
  <c r="GA205" i="5"/>
  <c r="GB205" i="5"/>
  <c r="GC205" i="5"/>
  <c r="GD205" i="5"/>
  <c r="GE205" i="5"/>
  <c r="GF205" i="5"/>
  <c r="GG205" i="5"/>
  <c r="GH205" i="5"/>
  <c r="GI205" i="5"/>
  <c r="GJ205" i="5"/>
  <c r="GK205" i="5"/>
  <c r="GL205" i="5"/>
  <c r="GM205" i="5"/>
  <c r="GN205" i="5"/>
  <c r="GO205" i="5"/>
  <c r="GP205" i="5"/>
  <c r="GQ205" i="5"/>
  <c r="GR205" i="5"/>
  <c r="GS205" i="5"/>
  <c r="GT205" i="5"/>
  <c r="GU205" i="5"/>
  <c r="GV205" i="5"/>
  <c r="GW205" i="5"/>
  <c r="GX205" i="5"/>
  <c r="GY205" i="5"/>
  <c r="GZ205" i="5"/>
  <c r="HA205" i="5"/>
  <c r="HB205" i="5"/>
  <c r="HC205" i="5"/>
  <c r="HD205" i="5"/>
  <c r="HE205" i="5"/>
  <c r="HF205" i="5"/>
  <c r="HG205" i="5"/>
  <c r="A206" i="5"/>
  <c r="B206" i="5"/>
  <c r="C206" i="5"/>
  <c r="D206" i="5"/>
  <c r="E206" i="5"/>
  <c r="F206" i="5"/>
  <c r="G206" i="5"/>
  <c r="H206" i="5"/>
  <c r="I206" i="5"/>
  <c r="J206" i="5"/>
  <c r="K206" i="5"/>
  <c r="L206" i="5"/>
  <c r="M206" i="5"/>
  <c r="N206" i="5"/>
  <c r="O206" i="5"/>
  <c r="P206" i="5"/>
  <c r="Q206" i="5"/>
  <c r="R206" i="5"/>
  <c r="S206" i="5"/>
  <c r="T206" i="5"/>
  <c r="U206" i="5"/>
  <c r="V206" i="5"/>
  <c r="W206" i="5"/>
  <c r="X206" i="5"/>
  <c r="Y206" i="5"/>
  <c r="Z206" i="5"/>
  <c r="AA206" i="5"/>
  <c r="AB206" i="5"/>
  <c r="AC206" i="5"/>
  <c r="AD206" i="5"/>
  <c r="AE206" i="5"/>
  <c r="AF206" i="5"/>
  <c r="AG206" i="5"/>
  <c r="AH206" i="5"/>
  <c r="AI206" i="5"/>
  <c r="AJ206" i="5"/>
  <c r="AK206" i="5"/>
  <c r="AL206" i="5"/>
  <c r="AM206" i="5"/>
  <c r="AN206" i="5"/>
  <c r="AO206" i="5"/>
  <c r="AP206" i="5"/>
  <c r="AQ206" i="5"/>
  <c r="AR206" i="5"/>
  <c r="AS206" i="5"/>
  <c r="AT206" i="5"/>
  <c r="AU206" i="5"/>
  <c r="AV206" i="5"/>
  <c r="AW206" i="5"/>
  <c r="AX206" i="5"/>
  <c r="AY206" i="5"/>
  <c r="AZ206" i="5"/>
  <c r="BA206" i="5"/>
  <c r="BB206" i="5"/>
  <c r="BC206" i="5"/>
  <c r="BD206" i="5"/>
  <c r="BE206" i="5"/>
  <c r="BF206" i="5"/>
  <c r="BG206" i="5"/>
  <c r="BH206" i="5"/>
  <c r="BI206" i="5"/>
  <c r="BJ206" i="5"/>
  <c r="BK206" i="5"/>
  <c r="BL206" i="5"/>
  <c r="BM206" i="5"/>
  <c r="BN206" i="5"/>
  <c r="BO206" i="5"/>
  <c r="BP206" i="5"/>
  <c r="BQ206" i="5"/>
  <c r="BR206" i="5"/>
  <c r="BS206" i="5"/>
  <c r="BT206" i="5"/>
  <c r="BU206" i="5"/>
  <c r="BV206" i="5"/>
  <c r="BW206" i="5"/>
  <c r="BX206" i="5"/>
  <c r="BY206" i="5"/>
  <c r="BZ206" i="5"/>
  <c r="CA206" i="5"/>
  <c r="CB206" i="5"/>
  <c r="CC206" i="5"/>
  <c r="CD206" i="5"/>
  <c r="CE206" i="5"/>
  <c r="CF206" i="5"/>
  <c r="CG206" i="5"/>
  <c r="CH206" i="5"/>
  <c r="CI206" i="5"/>
  <c r="CJ206" i="5"/>
  <c r="CK206" i="5"/>
  <c r="CL206" i="5"/>
  <c r="CM206" i="5"/>
  <c r="CN206" i="5"/>
  <c r="CO206" i="5"/>
  <c r="CP206" i="5"/>
  <c r="CQ206" i="5"/>
  <c r="CR206" i="5"/>
  <c r="CS206" i="5"/>
  <c r="CT206" i="5"/>
  <c r="CU206" i="5"/>
  <c r="CV206" i="5"/>
  <c r="CW206" i="5"/>
  <c r="CX206" i="5"/>
  <c r="CY206" i="5"/>
  <c r="CZ206" i="5"/>
  <c r="DA206" i="5"/>
  <c r="DB206" i="5"/>
  <c r="DC206" i="5"/>
  <c r="DD206" i="5"/>
  <c r="DE206" i="5"/>
  <c r="DF206" i="5"/>
  <c r="DG206" i="5"/>
  <c r="DH206" i="5"/>
  <c r="DI206" i="5"/>
  <c r="DJ206" i="5"/>
  <c r="DK206" i="5"/>
  <c r="DL206" i="5"/>
  <c r="DM206" i="5"/>
  <c r="DN206" i="5"/>
  <c r="DO206" i="5"/>
  <c r="DP206" i="5"/>
  <c r="DQ206" i="5"/>
  <c r="DR206" i="5"/>
  <c r="DS206" i="5"/>
  <c r="DT206" i="5"/>
  <c r="DU206" i="5"/>
  <c r="DV206" i="5"/>
  <c r="DW206" i="5"/>
  <c r="DX206" i="5"/>
  <c r="DY206" i="5"/>
  <c r="DZ206" i="5"/>
  <c r="EA206" i="5"/>
  <c r="EB206" i="5"/>
  <c r="EC206" i="5"/>
  <c r="ED206" i="5"/>
  <c r="EE206" i="5"/>
  <c r="EF206" i="5"/>
  <c r="EG206" i="5"/>
  <c r="EH206" i="5"/>
  <c r="EI206" i="5"/>
  <c r="EJ206" i="5"/>
  <c r="EK206" i="5"/>
  <c r="EL206" i="5"/>
  <c r="EM206" i="5"/>
  <c r="EN206" i="5"/>
  <c r="EO206" i="5"/>
  <c r="EP206" i="5"/>
  <c r="EQ206" i="5"/>
  <c r="ER206" i="5"/>
  <c r="ES206" i="5"/>
  <c r="ET206" i="5"/>
  <c r="EU206" i="5"/>
  <c r="EV206" i="5"/>
  <c r="EW206" i="5"/>
  <c r="EX206" i="5"/>
  <c r="EY206" i="5"/>
  <c r="EZ206" i="5"/>
  <c r="FA206" i="5"/>
  <c r="FB206" i="5"/>
  <c r="FC206" i="5"/>
  <c r="FD206" i="5"/>
  <c r="FE206" i="5"/>
  <c r="FF206" i="5"/>
  <c r="FG206" i="5"/>
  <c r="FH206" i="5"/>
  <c r="FI206" i="5"/>
  <c r="FJ206" i="5"/>
  <c r="FK206" i="5"/>
  <c r="FL206" i="5"/>
  <c r="FM206" i="5"/>
  <c r="FN206" i="5"/>
  <c r="FO206" i="5"/>
  <c r="FP206" i="5"/>
  <c r="FQ206" i="5"/>
  <c r="FR206" i="5"/>
  <c r="FS206" i="5"/>
  <c r="FT206" i="5"/>
  <c r="FU206" i="5"/>
  <c r="FV206" i="5"/>
  <c r="FW206" i="5"/>
  <c r="FX206" i="5"/>
  <c r="FY206" i="5"/>
  <c r="FZ206" i="5"/>
  <c r="GA206" i="5"/>
  <c r="GB206" i="5"/>
  <c r="GC206" i="5"/>
  <c r="GD206" i="5"/>
  <c r="GE206" i="5"/>
  <c r="GF206" i="5"/>
  <c r="GG206" i="5"/>
  <c r="GH206" i="5"/>
  <c r="GI206" i="5"/>
  <c r="GJ206" i="5"/>
  <c r="GK206" i="5"/>
  <c r="GL206" i="5"/>
  <c r="GM206" i="5"/>
  <c r="GN206" i="5"/>
  <c r="GO206" i="5"/>
  <c r="GP206" i="5"/>
  <c r="GQ206" i="5"/>
  <c r="GR206" i="5"/>
  <c r="GS206" i="5"/>
  <c r="GT206" i="5"/>
  <c r="GU206" i="5"/>
  <c r="GV206" i="5"/>
  <c r="GW206" i="5"/>
  <c r="GX206" i="5"/>
  <c r="GY206" i="5"/>
  <c r="GZ206" i="5"/>
  <c r="HA206" i="5"/>
  <c r="HB206" i="5"/>
  <c r="HC206" i="5"/>
  <c r="HD206" i="5"/>
  <c r="HE206" i="5"/>
  <c r="HF206" i="5"/>
  <c r="HG206" i="5"/>
  <c r="A207" i="5"/>
  <c r="B207" i="5"/>
  <c r="C207" i="5"/>
  <c r="D207" i="5"/>
  <c r="E207" i="5"/>
  <c r="F207" i="5"/>
  <c r="G207" i="5"/>
  <c r="H207" i="5"/>
  <c r="I207" i="5"/>
  <c r="J207" i="5"/>
  <c r="K207" i="5"/>
  <c r="L207" i="5"/>
  <c r="M207" i="5"/>
  <c r="N207" i="5"/>
  <c r="O207" i="5"/>
  <c r="P207" i="5"/>
  <c r="Q207" i="5"/>
  <c r="R207" i="5"/>
  <c r="S207" i="5"/>
  <c r="T207" i="5"/>
  <c r="U207" i="5"/>
  <c r="V207" i="5"/>
  <c r="W207" i="5"/>
  <c r="X207" i="5"/>
  <c r="Y207" i="5"/>
  <c r="Z207" i="5"/>
  <c r="AA207" i="5"/>
  <c r="AB207" i="5"/>
  <c r="AC207" i="5"/>
  <c r="AD207" i="5"/>
  <c r="AE207" i="5"/>
  <c r="AF207" i="5"/>
  <c r="AG207" i="5"/>
  <c r="AH207" i="5"/>
  <c r="AI207" i="5"/>
  <c r="AJ207" i="5"/>
  <c r="AK207" i="5"/>
  <c r="AL207" i="5"/>
  <c r="AM207" i="5"/>
  <c r="AN207" i="5"/>
  <c r="AO207" i="5"/>
  <c r="AP207" i="5"/>
  <c r="AQ207" i="5"/>
  <c r="AR207" i="5"/>
  <c r="AS207" i="5"/>
  <c r="AT207" i="5"/>
  <c r="AU207" i="5"/>
  <c r="AV207" i="5"/>
  <c r="AW207" i="5"/>
  <c r="AX207" i="5"/>
  <c r="AY207" i="5"/>
  <c r="AZ207" i="5"/>
  <c r="BA207" i="5"/>
  <c r="BB207" i="5"/>
  <c r="BC207" i="5"/>
  <c r="BD207" i="5"/>
  <c r="BE207" i="5"/>
  <c r="BF207" i="5"/>
  <c r="BG207" i="5"/>
  <c r="BH207" i="5"/>
  <c r="BI207" i="5"/>
  <c r="BJ207" i="5"/>
  <c r="BK207" i="5"/>
  <c r="BL207" i="5"/>
  <c r="BM207" i="5"/>
  <c r="BN207" i="5"/>
  <c r="BO207" i="5"/>
  <c r="BP207" i="5"/>
  <c r="BQ207" i="5"/>
  <c r="BR207" i="5"/>
  <c r="BS207" i="5"/>
  <c r="BT207" i="5"/>
  <c r="BU207" i="5"/>
  <c r="BV207" i="5"/>
  <c r="BW207" i="5"/>
  <c r="BX207" i="5"/>
  <c r="BY207" i="5"/>
  <c r="BZ207" i="5"/>
  <c r="CA207" i="5"/>
  <c r="CB207" i="5"/>
  <c r="CC207" i="5"/>
  <c r="CD207" i="5"/>
  <c r="CE207" i="5"/>
  <c r="CF207" i="5"/>
  <c r="CG207" i="5"/>
  <c r="CH207" i="5"/>
  <c r="CI207" i="5"/>
  <c r="CJ207" i="5"/>
  <c r="CK207" i="5"/>
  <c r="CL207" i="5"/>
  <c r="CM207" i="5"/>
  <c r="CN207" i="5"/>
  <c r="CO207" i="5"/>
  <c r="CP207" i="5"/>
  <c r="CQ207" i="5"/>
  <c r="CR207" i="5"/>
  <c r="CS207" i="5"/>
  <c r="CT207" i="5"/>
  <c r="CU207" i="5"/>
  <c r="CV207" i="5"/>
  <c r="CW207" i="5"/>
  <c r="CX207" i="5"/>
  <c r="CY207" i="5"/>
  <c r="CZ207" i="5"/>
  <c r="DA207" i="5"/>
  <c r="DB207" i="5"/>
  <c r="DC207" i="5"/>
  <c r="DD207" i="5"/>
  <c r="DE207" i="5"/>
  <c r="DF207" i="5"/>
  <c r="DG207" i="5"/>
  <c r="DH207" i="5"/>
  <c r="DI207" i="5"/>
  <c r="DJ207" i="5"/>
  <c r="DK207" i="5"/>
  <c r="DL207" i="5"/>
  <c r="DM207" i="5"/>
  <c r="DN207" i="5"/>
  <c r="DO207" i="5"/>
  <c r="DP207" i="5"/>
  <c r="DQ207" i="5"/>
  <c r="DR207" i="5"/>
  <c r="DS207" i="5"/>
  <c r="DT207" i="5"/>
  <c r="DU207" i="5"/>
  <c r="DV207" i="5"/>
  <c r="DW207" i="5"/>
  <c r="DX207" i="5"/>
  <c r="DY207" i="5"/>
  <c r="DZ207" i="5"/>
  <c r="EA207" i="5"/>
  <c r="EB207" i="5"/>
  <c r="EC207" i="5"/>
  <c r="ED207" i="5"/>
  <c r="EE207" i="5"/>
  <c r="EF207" i="5"/>
  <c r="EG207" i="5"/>
  <c r="EH207" i="5"/>
  <c r="EI207" i="5"/>
  <c r="EJ207" i="5"/>
  <c r="EK207" i="5"/>
  <c r="EL207" i="5"/>
  <c r="EM207" i="5"/>
  <c r="EN207" i="5"/>
  <c r="EO207" i="5"/>
  <c r="EP207" i="5"/>
  <c r="EQ207" i="5"/>
  <c r="ER207" i="5"/>
  <c r="ES207" i="5"/>
  <c r="ET207" i="5"/>
  <c r="EU207" i="5"/>
  <c r="EV207" i="5"/>
  <c r="EW207" i="5"/>
  <c r="EX207" i="5"/>
  <c r="EY207" i="5"/>
  <c r="EZ207" i="5"/>
  <c r="FA207" i="5"/>
  <c r="FB207" i="5"/>
  <c r="FC207" i="5"/>
  <c r="FD207" i="5"/>
  <c r="FE207" i="5"/>
  <c r="FF207" i="5"/>
  <c r="FG207" i="5"/>
  <c r="FH207" i="5"/>
  <c r="FI207" i="5"/>
  <c r="FJ207" i="5"/>
  <c r="FK207" i="5"/>
  <c r="FL207" i="5"/>
  <c r="FM207" i="5"/>
  <c r="FN207" i="5"/>
  <c r="FO207" i="5"/>
  <c r="FP207" i="5"/>
  <c r="FQ207" i="5"/>
  <c r="FR207" i="5"/>
  <c r="FS207" i="5"/>
  <c r="FT207" i="5"/>
  <c r="FU207" i="5"/>
  <c r="FV207" i="5"/>
  <c r="FW207" i="5"/>
  <c r="FX207" i="5"/>
  <c r="FY207" i="5"/>
  <c r="FZ207" i="5"/>
  <c r="GA207" i="5"/>
  <c r="GB207" i="5"/>
  <c r="GC207" i="5"/>
  <c r="GD207" i="5"/>
  <c r="GE207" i="5"/>
  <c r="GF207" i="5"/>
  <c r="GG207" i="5"/>
  <c r="GH207" i="5"/>
  <c r="GI207" i="5"/>
  <c r="GJ207" i="5"/>
  <c r="GK207" i="5"/>
  <c r="GL207" i="5"/>
  <c r="GM207" i="5"/>
  <c r="GN207" i="5"/>
  <c r="GO207" i="5"/>
  <c r="GP207" i="5"/>
  <c r="GQ207" i="5"/>
  <c r="GR207" i="5"/>
  <c r="GS207" i="5"/>
  <c r="GT207" i="5"/>
  <c r="GU207" i="5"/>
  <c r="GV207" i="5"/>
  <c r="GW207" i="5"/>
  <c r="GX207" i="5"/>
  <c r="GY207" i="5"/>
  <c r="GZ207" i="5"/>
  <c r="HA207" i="5"/>
  <c r="HB207" i="5"/>
  <c r="HC207" i="5"/>
  <c r="HD207" i="5"/>
  <c r="HE207" i="5"/>
  <c r="HF207" i="5"/>
  <c r="HG207" i="5"/>
  <c r="A208" i="5"/>
  <c r="B208" i="5"/>
  <c r="C208" i="5"/>
  <c r="D208" i="5"/>
  <c r="E208" i="5"/>
  <c r="F208" i="5"/>
  <c r="G208" i="5"/>
  <c r="H208" i="5"/>
  <c r="I208" i="5"/>
  <c r="J208" i="5"/>
  <c r="K208" i="5"/>
  <c r="L208" i="5"/>
  <c r="M208" i="5"/>
  <c r="N208" i="5"/>
  <c r="O208" i="5"/>
  <c r="P208" i="5"/>
  <c r="Q208" i="5"/>
  <c r="R208" i="5"/>
  <c r="S208" i="5"/>
  <c r="T208" i="5"/>
  <c r="U208" i="5"/>
  <c r="V208" i="5"/>
  <c r="W208" i="5"/>
  <c r="X208" i="5"/>
  <c r="Y208" i="5"/>
  <c r="Z208" i="5"/>
  <c r="AA208" i="5"/>
  <c r="AB208" i="5"/>
  <c r="AC208" i="5"/>
  <c r="AD208" i="5"/>
  <c r="AE208" i="5"/>
  <c r="AF208" i="5"/>
  <c r="AG208" i="5"/>
  <c r="AH208" i="5"/>
  <c r="AI208" i="5"/>
  <c r="AJ208" i="5"/>
  <c r="AK208" i="5"/>
  <c r="AL208" i="5"/>
  <c r="AM208" i="5"/>
  <c r="AN208" i="5"/>
  <c r="AO208" i="5"/>
  <c r="AP208" i="5"/>
  <c r="AQ208" i="5"/>
  <c r="AR208" i="5"/>
  <c r="AS208" i="5"/>
  <c r="AT208" i="5"/>
  <c r="AU208" i="5"/>
  <c r="AV208" i="5"/>
  <c r="AW208" i="5"/>
  <c r="AX208" i="5"/>
  <c r="AY208" i="5"/>
  <c r="AZ208" i="5"/>
  <c r="BA208" i="5"/>
  <c r="BB208" i="5"/>
  <c r="BC208" i="5"/>
  <c r="BD208" i="5"/>
  <c r="BE208" i="5"/>
  <c r="BF208" i="5"/>
  <c r="BG208" i="5"/>
  <c r="BH208" i="5"/>
  <c r="BI208" i="5"/>
  <c r="BJ208" i="5"/>
  <c r="BK208" i="5"/>
  <c r="BL208" i="5"/>
  <c r="BM208" i="5"/>
  <c r="BN208" i="5"/>
  <c r="BO208" i="5"/>
  <c r="BP208" i="5"/>
  <c r="BQ208" i="5"/>
  <c r="BR208" i="5"/>
  <c r="BS208" i="5"/>
  <c r="BT208" i="5"/>
  <c r="BU208" i="5"/>
  <c r="BV208" i="5"/>
  <c r="BW208" i="5"/>
  <c r="BX208" i="5"/>
  <c r="BY208" i="5"/>
  <c r="BZ208" i="5"/>
  <c r="CA208" i="5"/>
  <c r="CB208" i="5"/>
  <c r="CC208" i="5"/>
  <c r="CD208" i="5"/>
  <c r="CE208" i="5"/>
  <c r="CF208" i="5"/>
  <c r="CG208" i="5"/>
  <c r="CH208" i="5"/>
  <c r="CI208" i="5"/>
  <c r="CJ208" i="5"/>
  <c r="CK208" i="5"/>
  <c r="CL208" i="5"/>
  <c r="CM208" i="5"/>
  <c r="CN208" i="5"/>
  <c r="CO208" i="5"/>
  <c r="CP208" i="5"/>
  <c r="CQ208" i="5"/>
  <c r="CR208" i="5"/>
  <c r="CS208" i="5"/>
  <c r="CT208" i="5"/>
  <c r="CU208" i="5"/>
  <c r="CV208" i="5"/>
  <c r="CW208" i="5"/>
  <c r="CX208" i="5"/>
  <c r="CY208" i="5"/>
  <c r="CZ208" i="5"/>
  <c r="DA208" i="5"/>
  <c r="DB208" i="5"/>
  <c r="DC208" i="5"/>
  <c r="DD208" i="5"/>
  <c r="DE208" i="5"/>
  <c r="DF208" i="5"/>
  <c r="DG208" i="5"/>
  <c r="DH208" i="5"/>
  <c r="DI208" i="5"/>
  <c r="DJ208" i="5"/>
  <c r="DK208" i="5"/>
  <c r="DL208" i="5"/>
  <c r="DM208" i="5"/>
  <c r="DN208" i="5"/>
  <c r="DO208" i="5"/>
  <c r="DP208" i="5"/>
  <c r="DQ208" i="5"/>
  <c r="DR208" i="5"/>
  <c r="DS208" i="5"/>
  <c r="DT208" i="5"/>
  <c r="DU208" i="5"/>
  <c r="DV208" i="5"/>
  <c r="DW208" i="5"/>
  <c r="DX208" i="5"/>
  <c r="DY208" i="5"/>
  <c r="DZ208" i="5"/>
  <c r="EA208" i="5"/>
  <c r="EB208" i="5"/>
  <c r="EC208" i="5"/>
  <c r="ED208" i="5"/>
  <c r="EE208" i="5"/>
  <c r="EF208" i="5"/>
  <c r="EG208" i="5"/>
  <c r="EH208" i="5"/>
  <c r="EI208" i="5"/>
  <c r="EJ208" i="5"/>
  <c r="EK208" i="5"/>
  <c r="EL208" i="5"/>
  <c r="EM208" i="5"/>
  <c r="EN208" i="5"/>
  <c r="EO208" i="5"/>
  <c r="EP208" i="5"/>
  <c r="EQ208" i="5"/>
  <c r="ER208" i="5"/>
  <c r="ES208" i="5"/>
  <c r="ET208" i="5"/>
  <c r="EU208" i="5"/>
  <c r="EV208" i="5"/>
  <c r="EW208" i="5"/>
  <c r="EX208" i="5"/>
  <c r="EY208" i="5"/>
  <c r="EZ208" i="5"/>
  <c r="FA208" i="5"/>
  <c r="FB208" i="5"/>
  <c r="FC208" i="5"/>
  <c r="FD208" i="5"/>
  <c r="FE208" i="5"/>
  <c r="FF208" i="5"/>
  <c r="FG208" i="5"/>
  <c r="FH208" i="5"/>
  <c r="FI208" i="5"/>
  <c r="FJ208" i="5"/>
  <c r="FK208" i="5"/>
  <c r="FL208" i="5"/>
  <c r="FM208" i="5"/>
  <c r="FN208" i="5"/>
  <c r="FO208" i="5"/>
  <c r="FP208" i="5"/>
  <c r="FQ208" i="5"/>
  <c r="FR208" i="5"/>
  <c r="FS208" i="5"/>
  <c r="FT208" i="5"/>
  <c r="FU208" i="5"/>
  <c r="FV208" i="5"/>
  <c r="FW208" i="5"/>
  <c r="FX208" i="5"/>
  <c r="FY208" i="5"/>
  <c r="FZ208" i="5"/>
  <c r="GA208" i="5"/>
  <c r="GB208" i="5"/>
  <c r="GC208" i="5"/>
  <c r="GD208" i="5"/>
  <c r="GE208" i="5"/>
  <c r="GF208" i="5"/>
  <c r="GG208" i="5"/>
  <c r="GH208" i="5"/>
  <c r="GI208" i="5"/>
  <c r="GJ208" i="5"/>
  <c r="GK208" i="5"/>
  <c r="GL208" i="5"/>
  <c r="GM208" i="5"/>
  <c r="GN208" i="5"/>
  <c r="GO208" i="5"/>
  <c r="GP208" i="5"/>
  <c r="GQ208" i="5"/>
  <c r="GR208" i="5"/>
  <c r="GS208" i="5"/>
  <c r="GT208" i="5"/>
  <c r="GU208" i="5"/>
  <c r="GV208" i="5"/>
  <c r="GW208" i="5"/>
  <c r="GX208" i="5"/>
  <c r="GY208" i="5"/>
  <c r="GZ208" i="5"/>
  <c r="HA208" i="5"/>
  <c r="HB208" i="5"/>
  <c r="HC208" i="5"/>
  <c r="HD208" i="5"/>
  <c r="HE208" i="5"/>
  <c r="HF208" i="5"/>
  <c r="HG208" i="5"/>
  <c r="A209" i="5"/>
  <c r="B209" i="5"/>
  <c r="C209" i="5"/>
  <c r="D209" i="5"/>
  <c r="E209" i="5"/>
  <c r="F209" i="5"/>
  <c r="G209" i="5"/>
  <c r="H209" i="5"/>
  <c r="I209" i="5"/>
  <c r="J209" i="5"/>
  <c r="K209" i="5"/>
  <c r="L209" i="5"/>
  <c r="M209" i="5"/>
  <c r="N209" i="5"/>
  <c r="O209" i="5"/>
  <c r="P209" i="5"/>
  <c r="Q209" i="5"/>
  <c r="R209" i="5"/>
  <c r="S209" i="5"/>
  <c r="T209" i="5"/>
  <c r="U209" i="5"/>
  <c r="V209" i="5"/>
  <c r="W209" i="5"/>
  <c r="X209" i="5"/>
  <c r="Y209" i="5"/>
  <c r="Z209" i="5"/>
  <c r="AA209" i="5"/>
  <c r="AB209" i="5"/>
  <c r="AC209" i="5"/>
  <c r="AD209" i="5"/>
  <c r="AE209" i="5"/>
  <c r="AF209" i="5"/>
  <c r="AG209" i="5"/>
  <c r="AH209" i="5"/>
  <c r="AI209" i="5"/>
  <c r="AJ209" i="5"/>
  <c r="AK209" i="5"/>
  <c r="AL209" i="5"/>
  <c r="AM209" i="5"/>
  <c r="AN209" i="5"/>
  <c r="AO209" i="5"/>
  <c r="AP209" i="5"/>
  <c r="AQ209" i="5"/>
  <c r="AR209" i="5"/>
  <c r="AS209" i="5"/>
  <c r="AT209" i="5"/>
  <c r="AU209" i="5"/>
  <c r="AV209" i="5"/>
  <c r="AW209" i="5"/>
  <c r="AX209" i="5"/>
  <c r="AY209" i="5"/>
  <c r="AZ209" i="5"/>
  <c r="BA209" i="5"/>
  <c r="BB209" i="5"/>
  <c r="BC209" i="5"/>
  <c r="BD209" i="5"/>
  <c r="BE209" i="5"/>
  <c r="BF209" i="5"/>
  <c r="BG209" i="5"/>
  <c r="BH209" i="5"/>
  <c r="BI209" i="5"/>
  <c r="BJ209" i="5"/>
  <c r="BK209" i="5"/>
  <c r="BL209" i="5"/>
  <c r="BM209" i="5"/>
  <c r="BN209" i="5"/>
  <c r="BO209" i="5"/>
  <c r="BP209" i="5"/>
  <c r="BQ209" i="5"/>
  <c r="BR209" i="5"/>
  <c r="BS209" i="5"/>
  <c r="BT209" i="5"/>
  <c r="BU209" i="5"/>
  <c r="BV209" i="5"/>
  <c r="BW209" i="5"/>
  <c r="BX209" i="5"/>
  <c r="BY209" i="5"/>
  <c r="BZ209" i="5"/>
  <c r="CA209" i="5"/>
  <c r="CB209" i="5"/>
  <c r="CC209" i="5"/>
  <c r="CD209" i="5"/>
  <c r="CE209" i="5"/>
  <c r="CF209" i="5"/>
  <c r="CG209" i="5"/>
  <c r="CH209" i="5"/>
  <c r="CI209" i="5"/>
  <c r="CJ209" i="5"/>
  <c r="CK209" i="5"/>
  <c r="CL209" i="5"/>
  <c r="CM209" i="5"/>
  <c r="CN209" i="5"/>
  <c r="CO209" i="5"/>
  <c r="CP209" i="5"/>
  <c r="CQ209" i="5"/>
  <c r="CR209" i="5"/>
  <c r="CS209" i="5"/>
  <c r="CT209" i="5"/>
  <c r="CU209" i="5"/>
  <c r="CV209" i="5"/>
  <c r="CW209" i="5"/>
  <c r="CX209" i="5"/>
  <c r="CY209" i="5"/>
  <c r="CZ209" i="5"/>
  <c r="DA209" i="5"/>
  <c r="DB209" i="5"/>
  <c r="DC209" i="5"/>
  <c r="DD209" i="5"/>
  <c r="DE209" i="5"/>
  <c r="DF209" i="5"/>
  <c r="DG209" i="5"/>
  <c r="DH209" i="5"/>
  <c r="DI209" i="5"/>
  <c r="DJ209" i="5"/>
  <c r="DK209" i="5"/>
  <c r="DL209" i="5"/>
  <c r="DM209" i="5"/>
  <c r="DN209" i="5"/>
  <c r="DO209" i="5"/>
  <c r="DP209" i="5"/>
  <c r="DQ209" i="5"/>
  <c r="DR209" i="5"/>
  <c r="DS209" i="5"/>
  <c r="DT209" i="5"/>
  <c r="DU209" i="5"/>
  <c r="DV209" i="5"/>
  <c r="DW209" i="5"/>
  <c r="DX209" i="5"/>
  <c r="DY209" i="5"/>
  <c r="DZ209" i="5"/>
  <c r="EA209" i="5"/>
  <c r="EB209" i="5"/>
  <c r="EC209" i="5"/>
  <c r="ED209" i="5"/>
  <c r="EE209" i="5"/>
  <c r="EF209" i="5"/>
  <c r="EG209" i="5"/>
  <c r="EH209" i="5"/>
  <c r="EI209" i="5"/>
  <c r="EJ209" i="5"/>
  <c r="EK209" i="5"/>
  <c r="EL209" i="5"/>
  <c r="EM209" i="5"/>
  <c r="EN209" i="5"/>
  <c r="EO209" i="5"/>
  <c r="EP209" i="5"/>
  <c r="EQ209" i="5"/>
  <c r="ER209" i="5"/>
  <c r="ES209" i="5"/>
  <c r="ET209" i="5"/>
  <c r="EU209" i="5"/>
  <c r="EV209" i="5"/>
  <c r="EW209" i="5"/>
  <c r="EX209" i="5"/>
  <c r="EY209" i="5"/>
  <c r="EZ209" i="5"/>
  <c r="FA209" i="5"/>
  <c r="FB209" i="5"/>
  <c r="FC209" i="5"/>
  <c r="FD209" i="5"/>
  <c r="FE209" i="5"/>
  <c r="FF209" i="5"/>
  <c r="FG209" i="5"/>
  <c r="FH209" i="5"/>
  <c r="FI209" i="5"/>
  <c r="FJ209" i="5"/>
  <c r="FK209" i="5"/>
  <c r="FL209" i="5"/>
  <c r="FM209" i="5"/>
  <c r="FN209" i="5"/>
  <c r="FO209" i="5"/>
  <c r="FP209" i="5"/>
  <c r="FQ209" i="5"/>
  <c r="FR209" i="5"/>
  <c r="FS209" i="5"/>
  <c r="FT209" i="5"/>
  <c r="FU209" i="5"/>
  <c r="FV209" i="5"/>
  <c r="FW209" i="5"/>
  <c r="FX209" i="5"/>
  <c r="FY209" i="5"/>
  <c r="FZ209" i="5"/>
  <c r="GA209" i="5"/>
  <c r="GB209" i="5"/>
  <c r="GC209" i="5"/>
  <c r="GD209" i="5"/>
  <c r="GE209" i="5"/>
  <c r="GF209" i="5"/>
  <c r="GG209" i="5"/>
  <c r="GH209" i="5"/>
  <c r="GI209" i="5"/>
  <c r="GJ209" i="5"/>
  <c r="GK209" i="5"/>
  <c r="GL209" i="5"/>
  <c r="GM209" i="5"/>
  <c r="GN209" i="5"/>
  <c r="GO209" i="5"/>
  <c r="GP209" i="5"/>
  <c r="GQ209" i="5"/>
  <c r="GR209" i="5"/>
  <c r="GS209" i="5"/>
  <c r="GT209" i="5"/>
  <c r="GU209" i="5"/>
  <c r="GV209" i="5"/>
  <c r="GW209" i="5"/>
  <c r="GX209" i="5"/>
  <c r="GY209" i="5"/>
  <c r="GZ209" i="5"/>
  <c r="HA209" i="5"/>
  <c r="HB209" i="5"/>
  <c r="HC209" i="5"/>
  <c r="HD209" i="5"/>
  <c r="HE209" i="5"/>
  <c r="HF209" i="5"/>
  <c r="HG209" i="5"/>
  <c r="A210" i="5"/>
  <c r="B210" i="5"/>
  <c r="C210" i="5"/>
  <c r="D210" i="5"/>
  <c r="E210" i="5"/>
  <c r="F210" i="5"/>
  <c r="G210" i="5"/>
  <c r="H210" i="5"/>
  <c r="I210" i="5"/>
  <c r="J210" i="5"/>
  <c r="K210" i="5"/>
  <c r="L210" i="5"/>
  <c r="M210" i="5"/>
  <c r="N210" i="5"/>
  <c r="O210" i="5"/>
  <c r="P210" i="5"/>
  <c r="Q210" i="5"/>
  <c r="R210" i="5"/>
  <c r="S210" i="5"/>
  <c r="T210" i="5"/>
  <c r="U210" i="5"/>
  <c r="V210" i="5"/>
  <c r="W210" i="5"/>
  <c r="X210" i="5"/>
  <c r="Y210" i="5"/>
  <c r="Z210" i="5"/>
  <c r="AA210" i="5"/>
  <c r="AB210" i="5"/>
  <c r="AC210" i="5"/>
  <c r="AD210" i="5"/>
  <c r="AE210" i="5"/>
  <c r="AF210" i="5"/>
  <c r="AG210" i="5"/>
  <c r="AH210" i="5"/>
  <c r="AI210" i="5"/>
  <c r="AJ210" i="5"/>
  <c r="AK210" i="5"/>
  <c r="AL210" i="5"/>
  <c r="AM210" i="5"/>
  <c r="AN210" i="5"/>
  <c r="AO210" i="5"/>
  <c r="AP210" i="5"/>
  <c r="AQ210" i="5"/>
  <c r="AR210" i="5"/>
  <c r="AS210" i="5"/>
  <c r="AT210" i="5"/>
  <c r="AU210" i="5"/>
  <c r="AV210" i="5"/>
  <c r="AW210" i="5"/>
  <c r="AX210" i="5"/>
  <c r="AY210" i="5"/>
  <c r="AZ210" i="5"/>
  <c r="BA210" i="5"/>
  <c r="BB210" i="5"/>
  <c r="BC210" i="5"/>
  <c r="BD210" i="5"/>
  <c r="BE210" i="5"/>
  <c r="BF210" i="5"/>
  <c r="BG210" i="5"/>
  <c r="BH210" i="5"/>
  <c r="BI210" i="5"/>
  <c r="BJ210" i="5"/>
  <c r="BK210" i="5"/>
  <c r="BL210" i="5"/>
  <c r="BM210" i="5"/>
  <c r="BN210" i="5"/>
  <c r="BO210" i="5"/>
  <c r="BP210" i="5"/>
  <c r="BQ210" i="5"/>
  <c r="BR210" i="5"/>
  <c r="BS210" i="5"/>
  <c r="BT210" i="5"/>
  <c r="BU210" i="5"/>
  <c r="BV210" i="5"/>
  <c r="BW210" i="5"/>
  <c r="BX210" i="5"/>
  <c r="BY210" i="5"/>
  <c r="BZ210" i="5"/>
  <c r="CA210" i="5"/>
  <c r="CB210" i="5"/>
  <c r="CC210" i="5"/>
  <c r="CD210" i="5"/>
  <c r="CE210" i="5"/>
  <c r="CF210" i="5"/>
  <c r="CG210" i="5"/>
  <c r="CH210" i="5"/>
  <c r="CI210" i="5"/>
  <c r="CJ210" i="5"/>
  <c r="CK210" i="5"/>
  <c r="CL210" i="5"/>
  <c r="CM210" i="5"/>
  <c r="CN210" i="5"/>
  <c r="CO210" i="5"/>
  <c r="CP210" i="5"/>
  <c r="CQ210" i="5"/>
  <c r="CR210" i="5"/>
  <c r="CS210" i="5"/>
  <c r="CT210" i="5"/>
  <c r="CU210" i="5"/>
  <c r="CV210" i="5"/>
  <c r="CW210" i="5"/>
  <c r="CX210" i="5"/>
  <c r="CY210" i="5"/>
  <c r="CZ210" i="5"/>
  <c r="DA210" i="5"/>
  <c r="DB210" i="5"/>
  <c r="DC210" i="5"/>
  <c r="DD210" i="5"/>
  <c r="DE210" i="5"/>
  <c r="DF210" i="5"/>
  <c r="DG210" i="5"/>
  <c r="DH210" i="5"/>
  <c r="DI210" i="5"/>
  <c r="DJ210" i="5"/>
  <c r="DK210" i="5"/>
  <c r="DL210" i="5"/>
  <c r="DM210" i="5"/>
  <c r="DN210" i="5"/>
  <c r="DO210" i="5"/>
  <c r="DP210" i="5"/>
  <c r="DQ210" i="5"/>
  <c r="DR210" i="5"/>
  <c r="DS210" i="5"/>
  <c r="DT210" i="5"/>
  <c r="DU210" i="5"/>
  <c r="DV210" i="5"/>
  <c r="DW210" i="5"/>
  <c r="DX210" i="5"/>
  <c r="DY210" i="5"/>
  <c r="DZ210" i="5"/>
  <c r="EA210" i="5"/>
  <c r="EB210" i="5"/>
  <c r="EC210" i="5"/>
  <c r="ED210" i="5"/>
  <c r="EE210" i="5"/>
  <c r="EF210" i="5"/>
  <c r="EG210" i="5"/>
  <c r="EH210" i="5"/>
  <c r="EI210" i="5"/>
  <c r="EJ210" i="5"/>
  <c r="EK210" i="5"/>
  <c r="EL210" i="5"/>
  <c r="EM210" i="5"/>
  <c r="EN210" i="5"/>
  <c r="EO210" i="5"/>
  <c r="EP210" i="5"/>
  <c r="EQ210" i="5"/>
  <c r="ER210" i="5"/>
  <c r="ES210" i="5"/>
  <c r="ET210" i="5"/>
  <c r="EU210" i="5"/>
  <c r="EV210" i="5"/>
  <c r="EW210" i="5"/>
  <c r="EX210" i="5"/>
  <c r="EY210" i="5"/>
  <c r="EZ210" i="5"/>
  <c r="FA210" i="5"/>
  <c r="FB210" i="5"/>
  <c r="FC210" i="5"/>
  <c r="FD210" i="5"/>
  <c r="FE210" i="5"/>
  <c r="FF210" i="5"/>
  <c r="FG210" i="5"/>
  <c r="FH210" i="5"/>
  <c r="FI210" i="5"/>
  <c r="FJ210" i="5"/>
  <c r="FK210" i="5"/>
  <c r="FL210" i="5"/>
  <c r="FM210" i="5"/>
  <c r="FN210" i="5"/>
  <c r="FO210" i="5"/>
  <c r="FP210" i="5"/>
  <c r="FQ210" i="5"/>
  <c r="FR210" i="5"/>
  <c r="FS210" i="5"/>
  <c r="FT210" i="5"/>
  <c r="FU210" i="5"/>
  <c r="FV210" i="5"/>
  <c r="FW210" i="5"/>
  <c r="FX210" i="5"/>
  <c r="FY210" i="5"/>
  <c r="FZ210" i="5"/>
  <c r="GA210" i="5"/>
  <c r="GB210" i="5"/>
  <c r="GC210" i="5"/>
  <c r="GD210" i="5"/>
  <c r="GE210" i="5"/>
  <c r="GF210" i="5"/>
  <c r="GG210" i="5"/>
  <c r="GH210" i="5"/>
  <c r="GI210" i="5"/>
  <c r="GJ210" i="5"/>
  <c r="GK210" i="5"/>
  <c r="GL210" i="5"/>
  <c r="GM210" i="5"/>
  <c r="GN210" i="5"/>
  <c r="GO210" i="5"/>
  <c r="GP210" i="5"/>
  <c r="GQ210" i="5"/>
  <c r="GR210" i="5"/>
  <c r="GS210" i="5"/>
  <c r="GT210" i="5"/>
  <c r="GU210" i="5"/>
  <c r="GV210" i="5"/>
  <c r="GW210" i="5"/>
  <c r="GX210" i="5"/>
  <c r="GY210" i="5"/>
  <c r="GZ210" i="5"/>
  <c r="HA210" i="5"/>
  <c r="HB210" i="5"/>
  <c r="HC210" i="5"/>
  <c r="HD210" i="5"/>
  <c r="HE210" i="5"/>
  <c r="HF210" i="5"/>
  <c r="HG210" i="5"/>
  <c r="A211" i="5"/>
  <c r="B211" i="5"/>
  <c r="C211" i="5"/>
  <c r="D211" i="5"/>
  <c r="E211" i="5"/>
  <c r="F211" i="5"/>
  <c r="G211" i="5"/>
  <c r="H211" i="5"/>
  <c r="I211" i="5"/>
  <c r="J211" i="5"/>
  <c r="K211" i="5"/>
  <c r="L211" i="5"/>
  <c r="M211" i="5"/>
  <c r="N211" i="5"/>
  <c r="O211" i="5"/>
  <c r="P211" i="5"/>
  <c r="Q211" i="5"/>
  <c r="R211" i="5"/>
  <c r="S211" i="5"/>
  <c r="T211" i="5"/>
  <c r="U211" i="5"/>
  <c r="V211" i="5"/>
  <c r="W211" i="5"/>
  <c r="X211" i="5"/>
  <c r="Y211" i="5"/>
  <c r="Z211" i="5"/>
  <c r="AA211" i="5"/>
  <c r="AB211" i="5"/>
  <c r="AC211" i="5"/>
  <c r="AD211" i="5"/>
  <c r="AE211" i="5"/>
  <c r="AF211" i="5"/>
  <c r="AG211" i="5"/>
  <c r="AH211" i="5"/>
  <c r="AI211" i="5"/>
  <c r="AJ211" i="5"/>
  <c r="AK211" i="5"/>
  <c r="AL211" i="5"/>
  <c r="AM211" i="5"/>
  <c r="AN211" i="5"/>
  <c r="AO211" i="5"/>
  <c r="AP211" i="5"/>
  <c r="AQ211" i="5"/>
  <c r="AR211" i="5"/>
  <c r="AS211" i="5"/>
  <c r="AT211" i="5"/>
  <c r="AU211" i="5"/>
  <c r="AV211" i="5"/>
  <c r="AW211" i="5"/>
  <c r="AX211" i="5"/>
  <c r="AY211" i="5"/>
  <c r="AZ211" i="5"/>
  <c r="BA211" i="5"/>
  <c r="BB211" i="5"/>
  <c r="BC211" i="5"/>
  <c r="BD211" i="5"/>
  <c r="BE211" i="5"/>
  <c r="BF211" i="5"/>
  <c r="BG211" i="5"/>
  <c r="BH211" i="5"/>
  <c r="BI211" i="5"/>
  <c r="BJ211" i="5"/>
  <c r="BK211" i="5"/>
  <c r="BL211" i="5"/>
  <c r="BM211" i="5"/>
  <c r="BN211" i="5"/>
  <c r="BO211" i="5"/>
  <c r="BP211" i="5"/>
  <c r="BQ211" i="5"/>
  <c r="BR211" i="5"/>
  <c r="BS211" i="5"/>
  <c r="BT211" i="5"/>
  <c r="BU211" i="5"/>
  <c r="BV211" i="5"/>
  <c r="BW211" i="5"/>
  <c r="BX211" i="5"/>
  <c r="BY211" i="5"/>
  <c r="BZ211" i="5"/>
  <c r="CA211" i="5"/>
  <c r="CB211" i="5"/>
  <c r="CC211" i="5"/>
  <c r="CD211" i="5"/>
  <c r="CE211" i="5"/>
  <c r="CF211" i="5"/>
  <c r="CG211" i="5"/>
  <c r="CH211" i="5"/>
  <c r="CI211" i="5"/>
  <c r="CJ211" i="5"/>
  <c r="CK211" i="5"/>
  <c r="CL211" i="5"/>
  <c r="CM211" i="5"/>
  <c r="CN211" i="5"/>
  <c r="CO211" i="5"/>
  <c r="CP211" i="5"/>
  <c r="CQ211" i="5"/>
  <c r="CR211" i="5"/>
  <c r="CS211" i="5"/>
  <c r="CT211" i="5"/>
  <c r="CU211" i="5"/>
  <c r="CV211" i="5"/>
  <c r="CW211" i="5"/>
  <c r="CX211" i="5"/>
  <c r="CY211" i="5"/>
  <c r="CZ211" i="5"/>
  <c r="DA211" i="5"/>
  <c r="DB211" i="5"/>
  <c r="DC211" i="5"/>
  <c r="DD211" i="5"/>
  <c r="DE211" i="5"/>
  <c r="DF211" i="5"/>
  <c r="DG211" i="5"/>
  <c r="DH211" i="5"/>
  <c r="DI211" i="5"/>
  <c r="DJ211" i="5"/>
  <c r="DK211" i="5"/>
  <c r="DL211" i="5"/>
  <c r="DM211" i="5"/>
  <c r="DN211" i="5"/>
  <c r="DO211" i="5"/>
  <c r="DP211" i="5"/>
  <c r="DQ211" i="5"/>
  <c r="DR211" i="5"/>
  <c r="DS211" i="5"/>
  <c r="DT211" i="5"/>
  <c r="DU211" i="5"/>
  <c r="DV211" i="5"/>
  <c r="DW211" i="5"/>
  <c r="DX211" i="5"/>
  <c r="DY211" i="5"/>
  <c r="DZ211" i="5"/>
  <c r="EA211" i="5"/>
  <c r="EB211" i="5"/>
  <c r="EC211" i="5"/>
  <c r="ED211" i="5"/>
  <c r="EE211" i="5"/>
  <c r="EF211" i="5"/>
  <c r="EG211" i="5"/>
  <c r="EH211" i="5"/>
  <c r="EI211" i="5"/>
  <c r="EJ211" i="5"/>
  <c r="EK211" i="5"/>
  <c r="EL211" i="5"/>
  <c r="EM211" i="5"/>
  <c r="EN211" i="5"/>
  <c r="EO211" i="5"/>
  <c r="EP211" i="5"/>
  <c r="EQ211" i="5"/>
  <c r="ER211" i="5"/>
  <c r="ES211" i="5"/>
  <c r="ET211" i="5"/>
  <c r="EU211" i="5"/>
  <c r="EV211" i="5"/>
  <c r="EW211" i="5"/>
  <c r="EX211" i="5"/>
  <c r="EY211" i="5"/>
  <c r="EZ211" i="5"/>
  <c r="FA211" i="5"/>
  <c r="FB211" i="5"/>
  <c r="FC211" i="5"/>
  <c r="FD211" i="5"/>
  <c r="FE211" i="5"/>
  <c r="FF211" i="5"/>
  <c r="FG211" i="5"/>
  <c r="FH211" i="5"/>
  <c r="FI211" i="5"/>
  <c r="FJ211" i="5"/>
  <c r="FK211" i="5"/>
  <c r="FL211" i="5"/>
  <c r="FM211" i="5"/>
  <c r="FN211" i="5"/>
  <c r="FO211" i="5"/>
  <c r="FP211" i="5"/>
  <c r="FQ211" i="5"/>
  <c r="FR211" i="5"/>
  <c r="FS211" i="5"/>
  <c r="FT211" i="5"/>
  <c r="FU211" i="5"/>
  <c r="FV211" i="5"/>
  <c r="FW211" i="5"/>
  <c r="FX211" i="5"/>
  <c r="FY211" i="5"/>
  <c r="FZ211" i="5"/>
  <c r="GA211" i="5"/>
  <c r="GB211" i="5"/>
  <c r="GC211" i="5"/>
  <c r="GD211" i="5"/>
  <c r="GE211" i="5"/>
  <c r="GF211" i="5"/>
  <c r="GG211" i="5"/>
  <c r="GH211" i="5"/>
  <c r="GI211" i="5"/>
  <c r="GJ211" i="5"/>
  <c r="GK211" i="5"/>
  <c r="GL211" i="5"/>
  <c r="GM211" i="5"/>
  <c r="GN211" i="5"/>
  <c r="GO211" i="5"/>
  <c r="GP211" i="5"/>
  <c r="GQ211" i="5"/>
  <c r="GR211" i="5"/>
  <c r="GS211" i="5"/>
  <c r="GT211" i="5"/>
  <c r="GU211" i="5"/>
  <c r="GV211" i="5"/>
  <c r="GW211" i="5"/>
  <c r="GX211" i="5"/>
  <c r="GY211" i="5"/>
  <c r="GZ211" i="5"/>
  <c r="HA211" i="5"/>
  <c r="HB211" i="5"/>
  <c r="HC211" i="5"/>
  <c r="HD211" i="5"/>
  <c r="HE211" i="5"/>
  <c r="HF211" i="5"/>
  <c r="HG211" i="5"/>
  <c r="A212" i="5"/>
  <c r="B212" i="5"/>
  <c r="C212" i="5"/>
  <c r="D212" i="5"/>
  <c r="E212" i="5"/>
  <c r="F212" i="5"/>
  <c r="G212" i="5"/>
  <c r="H212" i="5"/>
  <c r="I212" i="5"/>
  <c r="J212" i="5"/>
  <c r="K212" i="5"/>
  <c r="L212" i="5"/>
  <c r="M212" i="5"/>
  <c r="N212" i="5"/>
  <c r="O212" i="5"/>
  <c r="P212" i="5"/>
  <c r="Q212" i="5"/>
  <c r="R212" i="5"/>
  <c r="S212" i="5"/>
  <c r="T212" i="5"/>
  <c r="U212" i="5"/>
  <c r="V212" i="5"/>
  <c r="W212" i="5"/>
  <c r="X212" i="5"/>
  <c r="Y212" i="5"/>
  <c r="Z212" i="5"/>
  <c r="AA212" i="5"/>
  <c r="AB212" i="5"/>
  <c r="AC212" i="5"/>
  <c r="AD212" i="5"/>
  <c r="AE212" i="5"/>
  <c r="AF212" i="5"/>
  <c r="AG212" i="5"/>
  <c r="AH212" i="5"/>
  <c r="AI212" i="5"/>
  <c r="AJ212" i="5"/>
  <c r="AK212" i="5"/>
  <c r="AL212" i="5"/>
  <c r="AM212" i="5"/>
  <c r="AN212" i="5"/>
  <c r="AO212" i="5"/>
  <c r="AP212" i="5"/>
  <c r="AQ212" i="5"/>
  <c r="AR212" i="5"/>
  <c r="AS212" i="5"/>
  <c r="AT212" i="5"/>
  <c r="AU212" i="5"/>
  <c r="AV212" i="5"/>
  <c r="AW212" i="5"/>
  <c r="AX212" i="5"/>
  <c r="AY212" i="5"/>
  <c r="AZ212" i="5"/>
  <c r="BA212" i="5"/>
  <c r="BB212" i="5"/>
  <c r="BC212" i="5"/>
  <c r="BD212" i="5"/>
  <c r="BE212" i="5"/>
  <c r="BF212" i="5"/>
  <c r="BG212" i="5"/>
  <c r="BH212" i="5"/>
  <c r="BI212" i="5"/>
  <c r="BJ212" i="5"/>
  <c r="BK212" i="5"/>
  <c r="BL212" i="5"/>
  <c r="BM212" i="5"/>
  <c r="BN212" i="5"/>
  <c r="BO212" i="5"/>
  <c r="BP212" i="5"/>
  <c r="BQ212" i="5"/>
  <c r="BR212" i="5"/>
  <c r="BS212" i="5"/>
  <c r="BT212" i="5"/>
  <c r="BU212" i="5"/>
  <c r="BV212" i="5"/>
  <c r="BW212" i="5"/>
  <c r="BX212" i="5"/>
  <c r="BY212" i="5"/>
  <c r="BZ212" i="5"/>
  <c r="CA212" i="5"/>
  <c r="CB212" i="5"/>
  <c r="CC212" i="5"/>
  <c r="CD212" i="5"/>
  <c r="CE212" i="5"/>
  <c r="CF212" i="5"/>
  <c r="CG212" i="5"/>
  <c r="CH212" i="5"/>
  <c r="CI212" i="5"/>
  <c r="CJ212" i="5"/>
  <c r="CK212" i="5"/>
  <c r="CL212" i="5"/>
  <c r="CM212" i="5"/>
  <c r="CN212" i="5"/>
  <c r="CO212" i="5"/>
  <c r="CP212" i="5"/>
  <c r="CQ212" i="5"/>
  <c r="CR212" i="5"/>
  <c r="CS212" i="5"/>
  <c r="CT212" i="5"/>
  <c r="CU212" i="5"/>
  <c r="CV212" i="5"/>
  <c r="CW212" i="5"/>
  <c r="CX212" i="5"/>
  <c r="CY212" i="5"/>
  <c r="CZ212" i="5"/>
  <c r="DA212" i="5"/>
  <c r="DB212" i="5"/>
  <c r="DC212" i="5"/>
  <c r="DD212" i="5"/>
  <c r="DE212" i="5"/>
  <c r="DF212" i="5"/>
  <c r="DG212" i="5"/>
  <c r="DH212" i="5"/>
  <c r="DI212" i="5"/>
  <c r="DJ212" i="5"/>
  <c r="DK212" i="5"/>
  <c r="DL212" i="5"/>
  <c r="DM212" i="5"/>
  <c r="DN212" i="5"/>
  <c r="DO212" i="5"/>
  <c r="DP212" i="5"/>
  <c r="DQ212" i="5"/>
  <c r="DR212" i="5"/>
  <c r="DS212" i="5"/>
  <c r="DT212" i="5"/>
  <c r="DU212" i="5"/>
  <c r="DV212" i="5"/>
  <c r="DW212" i="5"/>
  <c r="DX212" i="5"/>
  <c r="DY212" i="5"/>
  <c r="DZ212" i="5"/>
  <c r="EA212" i="5"/>
  <c r="EB212" i="5"/>
  <c r="EC212" i="5"/>
  <c r="ED212" i="5"/>
  <c r="EE212" i="5"/>
  <c r="EF212" i="5"/>
  <c r="EG212" i="5"/>
  <c r="EH212" i="5"/>
  <c r="EI212" i="5"/>
  <c r="EJ212" i="5"/>
  <c r="EK212" i="5"/>
  <c r="EL212" i="5"/>
  <c r="EM212" i="5"/>
  <c r="EN212" i="5"/>
  <c r="EO212" i="5"/>
  <c r="EP212" i="5"/>
  <c r="EQ212" i="5"/>
  <c r="ER212" i="5"/>
  <c r="ES212" i="5"/>
  <c r="ET212" i="5"/>
  <c r="EU212" i="5"/>
  <c r="EV212" i="5"/>
  <c r="EW212" i="5"/>
  <c r="EX212" i="5"/>
  <c r="EY212" i="5"/>
  <c r="EZ212" i="5"/>
  <c r="FA212" i="5"/>
  <c r="FB212" i="5"/>
  <c r="FC212" i="5"/>
  <c r="FD212" i="5"/>
  <c r="FE212" i="5"/>
  <c r="FF212" i="5"/>
  <c r="FG212" i="5"/>
  <c r="FH212" i="5"/>
  <c r="FI212" i="5"/>
  <c r="FJ212" i="5"/>
  <c r="FK212" i="5"/>
  <c r="FL212" i="5"/>
  <c r="FM212" i="5"/>
  <c r="FN212" i="5"/>
  <c r="FO212" i="5"/>
  <c r="FP212" i="5"/>
  <c r="FQ212" i="5"/>
  <c r="FR212" i="5"/>
  <c r="FS212" i="5"/>
  <c r="FT212" i="5"/>
  <c r="FU212" i="5"/>
  <c r="FV212" i="5"/>
  <c r="FW212" i="5"/>
  <c r="FX212" i="5"/>
  <c r="FY212" i="5"/>
  <c r="FZ212" i="5"/>
  <c r="GA212" i="5"/>
  <c r="GB212" i="5"/>
  <c r="GC212" i="5"/>
  <c r="GD212" i="5"/>
  <c r="GE212" i="5"/>
  <c r="GF212" i="5"/>
  <c r="GG212" i="5"/>
  <c r="GH212" i="5"/>
  <c r="GI212" i="5"/>
  <c r="GJ212" i="5"/>
  <c r="GK212" i="5"/>
  <c r="GL212" i="5"/>
  <c r="GM212" i="5"/>
  <c r="GN212" i="5"/>
  <c r="GO212" i="5"/>
  <c r="GP212" i="5"/>
  <c r="GQ212" i="5"/>
  <c r="GR212" i="5"/>
  <c r="GS212" i="5"/>
  <c r="GT212" i="5"/>
  <c r="GU212" i="5"/>
  <c r="GV212" i="5"/>
  <c r="GW212" i="5"/>
  <c r="GX212" i="5"/>
  <c r="GY212" i="5"/>
  <c r="GZ212" i="5"/>
  <c r="HA212" i="5"/>
  <c r="HB212" i="5"/>
  <c r="HC212" i="5"/>
  <c r="HD212" i="5"/>
  <c r="HE212" i="5"/>
  <c r="HF212" i="5"/>
  <c r="HG212" i="5"/>
  <c r="A213" i="5"/>
  <c r="B213" i="5"/>
  <c r="C213" i="5"/>
  <c r="D213" i="5"/>
  <c r="E213" i="5"/>
  <c r="F213" i="5"/>
  <c r="G213" i="5"/>
  <c r="H213" i="5"/>
  <c r="I213" i="5"/>
  <c r="J213" i="5"/>
  <c r="K213" i="5"/>
  <c r="L213" i="5"/>
  <c r="M213" i="5"/>
  <c r="N213" i="5"/>
  <c r="O213" i="5"/>
  <c r="P213" i="5"/>
  <c r="Q213" i="5"/>
  <c r="R213" i="5"/>
  <c r="S213" i="5"/>
  <c r="T213" i="5"/>
  <c r="U213" i="5"/>
  <c r="V213" i="5"/>
  <c r="W213" i="5"/>
  <c r="X213" i="5"/>
  <c r="Y213" i="5"/>
  <c r="Z213" i="5"/>
  <c r="AA213" i="5"/>
  <c r="AB213" i="5"/>
  <c r="AC213" i="5"/>
  <c r="AD213" i="5"/>
  <c r="AE213" i="5"/>
  <c r="AF213" i="5"/>
  <c r="AG213" i="5"/>
  <c r="AH213" i="5"/>
  <c r="AI213" i="5"/>
  <c r="AJ213" i="5"/>
  <c r="AK213" i="5"/>
  <c r="AL213" i="5"/>
  <c r="AM213" i="5"/>
  <c r="AN213" i="5"/>
  <c r="AO213" i="5"/>
  <c r="AP213" i="5"/>
  <c r="AQ213" i="5"/>
  <c r="AR213" i="5"/>
  <c r="AS213" i="5"/>
  <c r="AT213" i="5"/>
  <c r="AU213" i="5"/>
  <c r="AV213" i="5"/>
  <c r="AW213" i="5"/>
  <c r="AX213" i="5"/>
  <c r="AY213" i="5"/>
  <c r="AZ213" i="5"/>
  <c r="BA213" i="5"/>
  <c r="BB213" i="5"/>
  <c r="BC213" i="5"/>
  <c r="BD213" i="5"/>
  <c r="BE213" i="5"/>
  <c r="BF213" i="5"/>
  <c r="BG213" i="5"/>
  <c r="BH213" i="5"/>
  <c r="BI213" i="5"/>
  <c r="BJ213" i="5"/>
  <c r="BK213" i="5"/>
  <c r="BL213" i="5"/>
  <c r="BM213" i="5"/>
  <c r="BN213" i="5"/>
  <c r="BO213" i="5"/>
  <c r="BP213" i="5"/>
  <c r="BQ213" i="5"/>
  <c r="BR213" i="5"/>
  <c r="BS213" i="5"/>
  <c r="BT213" i="5"/>
  <c r="BU213" i="5"/>
  <c r="BV213" i="5"/>
  <c r="BW213" i="5"/>
  <c r="BX213" i="5"/>
  <c r="BY213" i="5"/>
  <c r="BZ213" i="5"/>
  <c r="CA213" i="5"/>
  <c r="CB213" i="5"/>
  <c r="CC213" i="5"/>
  <c r="CD213" i="5"/>
  <c r="CE213" i="5"/>
  <c r="CF213" i="5"/>
  <c r="CG213" i="5"/>
  <c r="CH213" i="5"/>
  <c r="CI213" i="5"/>
  <c r="CJ213" i="5"/>
  <c r="CK213" i="5"/>
  <c r="CL213" i="5"/>
  <c r="CM213" i="5"/>
  <c r="CN213" i="5"/>
  <c r="CO213" i="5"/>
  <c r="CP213" i="5"/>
  <c r="CQ213" i="5"/>
  <c r="CR213" i="5"/>
  <c r="CS213" i="5"/>
  <c r="CT213" i="5"/>
  <c r="CU213" i="5"/>
  <c r="CV213" i="5"/>
  <c r="CW213" i="5"/>
  <c r="CX213" i="5"/>
  <c r="CY213" i="5"/>
  <c r="CZ213" i="5"/>
  <c r="DA213" i="5"/>
  <c r="DB213" i="5"/>
  <c r="DC213" i="5"/>
  <c r="DD213" i="5"/>
  <c r="DE213" i="5"/>
  <c r="DF213" i="5"/>
  <c r="DG213" i="5"/>
  <c r="DH213" i="5"/>
  <c r="DI213" i="5"/>
  <c r="DJ213" i="5"/>
  <c r="DK213" i="5"/>
  <c r="DL213" i="5"/>
  <c r="DM213" i="5"/>
  <c r="DN213" i="5"/>
  <c r="DO213" i="5"/>
  <c r="DP213" i="5"/>
  <c r="DQ213" i="5"/>
  <c r="DR213" i="5"/>
  <c r="DS213" i="5"/>
  <c r="DT213" i="5"/>
  <c r="DU213" i="5"/>
  <c r="DV213" i="5"/>
  <c r="DW213" i="5"/>
  <c r="DX213" i="5"/>
  <c r="DY213" i="5"/>
  <c r="DZ213" i="5"/>
  <c r="EA213" i="5"/>
  <c r="EB213" i="5"/>
  <c r="EC213" i="5"/>
  <c r="ED213" i="5"/>
  <c r="EE213" i="5"/>
  <c r="EF213" i="5"/>
  <c r="EG213" i="5"/>
  <c r="EH213" i="5"/>
  <c r="EI213" i="5"/>
  <c r="EJ213" i="5"/>
  <c r="EK213" i="5"/>
  <c r="EL213" i="5"/>
  <c r="EM213" i="5"/>
  <c r="EN213" i="5"/>
  <c r="EO213" i="5"/>
  <c r="EP213" i="5"/>
  <c r="EQ213" i="5"/>
  <c r="ER213" i="5"/>
  <c r="ES213" i="5"/>
  <c r="ET213" i="5"/>
  <c r="EU213" i="5"/>
  <c r="EV213" i="5"/>
  <c r="EW213" i="5"/>
  <c r="EX213" i="5"/>
  <c r="EY213" i="5"/>
  <c r="EZ213" i="5"/>
  <c r="FA213" i="5"/>
  <c r="FB213" i="5"/>
  <c r="FC213" i="5"/>
  <c r="FD213" i="5"/>
  <c r="FE213" i="5"/>
  <c r="FF213" i="5"/>
  <c r="FG213" i="5"/>
  <c r="FH213" i="5"/>
  <c r="FI213" i="5"/>
  <c r="FJ213" i="5"/>
  <c r="FK213" i="5"/>
  <c r="FL213" i="5"/>
  <c r="FM213" i="5"/>
  <c r="FN213" i="5"/>
  <c r="FO213" i="5"/>
  <c r="FP213" i="5"/>
  <c r="FQ213" i="5"/>
  <c r="FR213" i="5"/>
  <c r="FS213" i="5"/>
  <c r="FT213" i="5"/>
  <c r="FU213" i="5"/>
  <c r="FV213" i="5"/>
  <c r="FW213" i="5"/>
  <c r="FX213" i="5"/>
  <c r="FY213" i="5"/>
  <c r="FZ213" i="5"/>
  <c r="GA213" i="5"/>
  <c r="GB213" i="5"/>
  <c r="GC213" i="5"/>
  <c r="GD213" i="5"/>
  <c r="GE213" i="5"/>
  <c r="GF213" i="5"/>
  <c r="GG213" i="5"/>
  <c r="GH213" i="5"/>
  <c r="GI213" i="5"/>
  <c r="GJ213" i="5"/>
  <c r="GK213" i="5"/>
  <c r="GL213" i="5"/>
  <c r="GM213" i="5"/>
  <c r="GN213" i="5"/>
  <c r="GO213" i="5"/>
  <c r="GP213" i="5"/>
  <c r="GQ213" i="5"/>
  <c r="GR213" i="5"/>
  <c r="GS213" i="5"/>
  <c r="GT213" i="5"/>
  <c r="GU213" i="5"/>
  <c r="GV213" i="5"/>
  <c r="GW213" i="5"/>
  <c r="GX213" i="5"/>
  <c r="GY213" i="5"/>
  <c r="GZ213" i="5"/>
  <c r="HA213" i="5"/>
  <c r="HB213" i="5"/>
  <c r="HC213" i="5"/>
  <c r="HD213" i="5"/>
  <c r="HE213" i="5"/>
  <c r="HF213" i="5"/>
  <c r="HG213" i="5"/>
  <c r="A214" i="5"/>
  <c r="B214" i="5"/>
  <c r="C214" i="5"/>
  <c r="D214" i="5"/>
  <c r="E214" i="5"/>
  <c r="F214" i="5"/>
  <c r="G214" i="5"/>
  <c r="H214" i="5"/>
  <c r="I214" i="5"/>
  <c r="J214" i="5"/>
  <c r="K214" i="5"/>
  <c r="L214" i="5"/>
  <c r="M214" i="5"/>
  <c r="N214" i="5"/>
  <c r="O214" i="5"/>
  <c r="P214" i="5"/>
  <c r="Q214" i="5"/>
  <c r="R214" i="5"/>
  <c r="S214" i="5"/>
  <c r="T214" i="5"/>
  <c r="U214" i="5"/>
  <c r="V214" i="5"/>
  <c r="W214" i="5"/>
  <c r="X214" i="5"/>
  <c r="Y214" i="5"/>
  <c r="Z214" i="5"/>
  <c r="AA214" i="5"/>
  <c r="AB214" i="5"/>
  <c r="AC214" i="5"/>
  <c r="AD214" i="5"/>
  <c r="AE214" i="5"/>
  <c r="AF214" i="5"/>
  <c r="AG214" i="5"/>
  <c r="AH214" i="5"/>
  <c r="AI214" i="5"/>
  <c r="AJ214" i="5"/>
  <c r="AK214" i="5"/>
  <c r="AL214" i="5"/>
  <c r="AM214" i="5"/>
  <c r="AN214" i="5"/>
  <c r="AO214" i="5"/>
  <c r="AP214" i="5"/>
  <c r="AQ214" i="5"/>
  <c r="AR214" i="5"/>
  <c r="AS214" i="5"/>
  <c r="AT214" i="5"/>
  <c r="AU214" i="5"/>
  <c r="AV214" i="5"/>
  <c r="AW214" i="5"/>
  <c r="AX214" i="5"/>
  <c r="AY214" i="5"/>
  <c r="AZ214" i="5"/>
  <c r="BA214" i="5"/>
  <c r="BB214" i="5"/>
  <c r="BC214" i="5"/>
  <c r="BD214" i="5"/>
  <c r="BE214" i="5"/>
  <c r="BF214" i="5"/>
  <c r="BG214" i="5"/>
  <c r="BH214" i="5"/>
  <c r="BI214" i="5"/>
  <c r="BJ214" i="5"/>
  <c r="BK214" i="5"/>
  <c r="BL214" i="5"/>
  <c r="BM214" i="5"/>
  <c r="BN214" i="5"/>
  <c r="BO214" i="5"/>
  <c r="BP214" i="5"/>
  <c r="BQ214" i="5"/>
  <c r="BR214" i="5"/>
  <c r="BS214" i="5"/>
  <c r="BT214" i="5"/>
  <c r="BU214" i="5"/>
  <c r="BV214" i="5"/>
  <c r="BW214" i="5"/>
  <c r="BX214" i="5"/>
  <c r="BY214" i="5"/>
  <c r="BZ214" i="5"/>
  <c r="CA214" i="5"/>
  <c r="CB214" i="5"/>
  <c r="CC214" i="5"/>
  <c r="CD214" i="5"/>
  <c r="CE214" i="5"/>
  <c r="CF214" i="5"/>
  <c r="CG214" i="5"/>
  <c r="CH214" i="5"/>
  <c r="CI214" i="5"/>
  <c r="CJ214" i="5"/>
  <c r="CK214" i="5"/>
  <c r="CL214" i="5"/>
  <c r="CM214" i="5"/>
  <c r="CN214" i="5"/>
  <c r="CO214" i="5"/>
  <c r="CP214" i="5"/>
  <c r="CQ214" i="5"/>
  <c r="CR214" i="5"/>
  <c r="CS214" i="5"/>
  <c r="CT214" i="5"/>
  <c r="CU214" i="5"/>
  <c r="CV214" i="5"/>
  <c r="CW214" i="5"/>
  <c r="CX214" i="5"/>
  <c r="CY214" i="5"/>
  <c r="CZ214" i="5"/>
  <c r="DA214" i="5"/>
  <c r="DB214" i="5"/>
  <c r="DC214" i="5"/>
  <c r="DD214" i="5"/>
  <c r="DE214" i="5"/>
  <c r="DF214" i="5"/>
  <c r="DG214" i="5"/>
  <c r="DH214" i="5"/>
  <c r="DI214" i="5"/>
  <c r="DJ214" i="5"/>
  <c r="DK214" i="5"/>
  <c r="DL214" i="5"/>
  <c r="DM214" i="5"/>
  <c r="DN214" i="5"/>
  <c r="DO214" i="5"/>
  <c r="DP214" i="5"/>
  <c r="DQ214" i="5"/>
  <c r="DR214" i="5"/>
  <c r="DS214" i="5"/>
  <c r="DT214" i="5"/>
  <c r="DU214" i="5"/>
  <c r="DV214" i="5"/>
  <c r="DW214" i="5"/>
  <c r="DX214" i="5"/>
  <c r="DY214" i="5"/>
  <c r="DZ214" i="5"/>
  <c r="EA214" i="5"/>
  <c r="EB214" i="5"/>
  <c r="EC214" i="5"/>
  <c r="ED214" i="5"/>
  <c r="EE214" i="5"/>
  <c r="EF214" i="5"/>
  <c r="EG214" i="5"/>
  <c r="EH214" i="5"/>
  <c r="EI214" i="5"/>
  <c r="EJ214" i="5"/>
  <c r="EK214" i="5"/>
  <c r="EL214" i="5"/>
  <c r="EM214" i="5"/>
  <c r="EN214" i="5"/>
  <c r="EO214" i="5"/>
  <c r="EP214" i="5"/>
  <c r="EQ214" i="5"/>
  <c r="ER214" i="5"/>
  <c r="ES214" i="5"/>
  <c r="ET214" i="5"/>
  <c r="EU214" i="5"/>
  <c r="EV214" i="5"/>
  <c r="EW214" i="5"/>
  <c r="EX214" i="5"/>
  <c r="EY214" i="5"/>
  <c r="EZ214" i="5"/>
  <c r="FA214" i="5"/>
  <c r="FB214" i="5"/>
  <c r="FC214" i="5"/>
  <c r="FD214" i="5"/>
  <c r="FE214" i="5"/>
  <c r="FF214" i="5"/>
  <c r="FG214" i="5"/>
  <c r="FH214" i="5"/>
  <c r="FI214" i="5"/>
  <c r="FJ214" i="5"/>
  <c r="FK214" i="5"/>
  <c r="FL214" i="5"/>
  <c r="FM214" i="5"/>
  <c r="FN214" i="5"/>
  <c r="FO214" i="5"/>
  <c r="FP214" i="5"/>
  <c r="FQ214" i="5"/>
  <c r="FR214" i="5"/>
  <c r="FS214" i="5"/>
  <c r="FT214" i="5"/>
  <c r="FU214" i="5"/>
  <c r="FV214" i="5"/>
  <c r="FW214" i="5"/>
  <c r="FX214" i="5"/>
  <c r="FY214" i="5"/>
  <c r="FZ214" i="5"/>
  <c r="GA214" i="5"/>
  <c r="GB214" i="5"/>
  <c r="GC214" i="5"/>
  <c r="GD214" i="5"/>
  <c r="GE214" i="5"/>
  <c r="GF214" i="5"/>
  <c r="GG214" i="5"/>
  <c r="GH214" i="5"/>
  <c r="GI214" i="5"/>
  <c r="GJ214" i="5"/>
  <c r="GK214" i="5"/>
  <c r="GL214" i="5"/>
  <c r="GM214" i="5"/>
  <c r="GN214" i="5"/>
  <c r="GO214" i="5"/>
  <c r="GP214" i="5"/>
  <c r="GQ214" i="5"/>
  <c r="GR214" i="5"/>
  <c r="GS214" i="5"/>
  <c r="GT214" i="5"/>
  <c r="GU214" i="5"/>
  <c r="GV214" i="5"/>
  <c r="GW214" i="5"/>
  <c r="GX214" i="5"/>
  <c r="GY214" i="5"/>
  <c r="GZ214" i="5"/>
  <c r="HA214" i="5"/>
  <c r="HB214" i="5"/>
  <c r="HC214" i="5"/>
  <c r="HD214" i="5"/>
  <c r="HE214" i="5"/>
  <c r="HF214" i="5"/>
  <c r="HG214" i="5"/>
  <c r="A215" i="5"/>
  <c r="B215" i="5"/>
  <c r="C215" i="5"/>
  <c r="D215" i="5"/>
  <c r="E215" i="5"/>
  <c r="F215" i="5"/>
  <c r="G215" i="5"/>
  <c r="H215" i="5"/>
  <c r="I215" i="5"/>
  <c r="J215" i="5"/>
  <c r="K215" i="5"/>
  <c r="L215" i="5"/>
  <c r="M215" i="5"/>
  <c r="N215" i="5"/>
  <c r="O215" i="5"/>
  <c r="P215" i="5"/>
  <c r="Q215" i="5"/>
  <c r="R215" i="5"/>
  <c r="S215" i="5"/>
  <c r="T215" i="5"/>
  <c r="U215" i="5"/>
  <c r="V215" i="5"/>
  <c r="W215" i="5"/>
  <c r="X215" i="5"/>
  <c r="Y215" i="5"/>
  <c r="Z215" i="5"/>
  <c r="AA215" i="5"/>
  <c r="AB215" i="5"/>
  <c r="AC215" i="5"/>
  <c r="AD215" i="5"/>
  <c r="AE215" i="5"/>
  <c r="AF215" i="5"/>
  <c r="AG215" i="5"/>
  <c r="AH215" i="5"/>
  <c r="AI215" i="5"/>
  <c r="AJ215" i="5"/>
  <c r="AK215" i="5"/>
  <c r="AL215" i="5"/>
  <c r="AM215" i="5"/>
  <c r="AN215" i="5"/>
  <c r="AO215" i="5"/>
  <c r="AP215" i="5"/>
  <c r="AQ215" i="5"/>
  <c r="AR215" i="5"/>
  <c r="AS215" i="5"/>
  <c r="AT215" i="5"/>
  <c r="AU215" i="5"/>
  <c r="AV215" i="5"/>
  <c r="AW215" i="5"/>
  <c r="AX215" i="5"/>
  <c r="AY215" i="5"/>
  <c r="AZ215" i="5"/>
  <c r="BA215" i="5"/>
  <c r="BB215" i="5"/>
  <c r="BC215" i="5"/>
  <c r="BD215" i="5"/>
  <c r="BE215" i="5"/>
  <c r="BF215" i="5"/>
  <c r="BG215" i="5"/>
  <c r="BH215" i="5"/>
  <c r="BI215" i="5"/>
  <c r="BJ215" i="5"/>
  <c r="BK215" i="5"/>
  <c r="BL215" i="5"/>
  <c r="BM215" i="5"/>
  <c r="BN215" i="5"/>
  <c r="BO215" i="5"/>
  <c r="BP215" i="5"/>
  <c r="BQ215" i="5"/>
  <c r="BR215" i="5"/>
  <c r="BS215" i="5"/>
  <c r="BT215" i="5"/>
  <c r="BU215" i="5"/>
  <c r="BV215" i="5"/>
  <c r="BW215" i="5"/>
  <c r="BX215" i="5"/>
  <c r="BY215" i="5"/>
  <c r="BZ215" i="5"/>
  <c r="CA215" i="5"/>
  <c r="CB215" i="5"/>
  <c r="CC215" i="5"/>
  <c r="CD215" i="5"/>
  <c r="CE215" i="5"/>
  <c r="CF215" i="5"/>
  <c r="CG215" i="5"/>
  <c r="CH215" i="5"/>
  <c r="CI215" i="5"/>
  <c r="CJ215" i="5"/>
  <c r="CK215" i="5"/>
  <c r="CL215" i="5"/>
  <c r="CM215" i="5"/>
  <c r="CN215" i="5"/>
  <c r="CO215" i="5"/>
  <c r="CP215" i="5"/>
  <c r="CQ215" i="5"/>
  <c r="CR215" i="5"/>
  <c r="CS215" i="5"/>
  <c r="CT215" i="5"/>
  <c r="CU215" i="5"/>
  <c r="CV215" i="5"/>
  <c r="CW215" i="5"/>
  <c r="CX215" i="5"/>
  <c r="CY215" i="5"/>
  <c r="CZ215" i="5"/>
  <c r="DA215" i="5"/>
  <c r="DB215" i="5"/>
  <c r="DC215" i="5"/>
  <c r="DD215" i="5"/>
  <c r="DE215" i="5"/>
  <c r="DF215" i="5"/>
  <c r="DG215" i="5"/>
  <c r="DH215" i="5"/>
  <c r="DI215" i="5"/>
  <c r="DJ215" i="5"/>
  <c r="DK215" i="5"/>
  <c r="DL215" i="5"/>
  <c r="DM215" i="5"/>
  <c r="DN215" i="5"/>
  <c r="DO215" i="5"/>
  <c r="DP215" i="5"/>
  <c r="DQ215" i="5"/>
  <c r="DR215" i="5"/>
  <c r="DS215" i="5"/>
  <c r="DT215" i="5"/>
  <c r="DU215" i="5"/>
  <c r="DV215" i="5"/>
  <c r="DW215" i="5"/>
  <c r="DX215" i="5"/>
  <c r="DY215" i="5"/>
  <c r="DZ215" i="5"/>
  <c r="EA215" i="5"/>
  <c r="EB215" i="5"/>
  <c r="EC215" i="5"/>
  <c r="ED215" i="5"/>
  <c r="EE215" i="5"/>
  <c r="EF215" i="5"/>
  <c r="EG215" i="5"/>
  <c r="EH215" i="5"/>
  <c r="EI215" i="5"/>
  <c r="EJ215" i="5"/>
  <c r="EK215" i="5"/>
  <c r="EL215" i="5"/>
  <c r="EM215" i="5"/>
  <c r="EN215" i="5"/>
  <c r="EO215" i="5"/>
  <c r="EP215" i="5"/>
  <c r="EQ215" i="5"/>
  <c r="ER215" i="5"/>
  <c r="ES215" i="5"/>
  <c r="ET215" i="5"/>
  <c r="EU215" i="5"/>
  <c r="EV215" i="5"/>
  <c r="EW215" i="5"/>
  <c r="EX215" i="5"/>
  <c r="EY215" i="5"/>
  <c r="EZ215" i="5"/>
  <c r="FA215" i="5"/>
  <c r="FB215" i="5"/>
  <c r="FC215" i="5"/>
  <c r="FD215" i="5"/>
  <c r="FE215" i="5"/>
  <c r="FF215" i="5"/>
  <c r="FG215" i="5"/>
  <c r="FH215" i="5"/>
  <c r="FI215" i="5"/>
  <c r="FJ215" i="5"/>
  <c r="FK215" i="5"/>
  <c r="FL215" i="5"/>
  <c r="FM215" i="5"/>
  <c r="FN215" i="5"/>
  <c r="FO215" i="5"/>
  <c r="FP215" i="5"/>
  <c r="FQ215" i="5"/>
  <c r="FR215" i="5"/>
  <c r="FS215" i="5"/>
  <c r="FT215" i="5"/>
  <c r="FU215" i="5"/>
  <c r="FV215" i="5"/>
  <c r="FW215" i="5"/>
  <c r="FX215" i="5"/>
  <c r="FY215" i="5"/>
  <c r="FZ215" i="5"/>
  <c r="GA215" i="5"/>
  <c r="GB215" i="5"/>
  <c r="GC215" i="5"/>
  <c r="GD215" i="5"/>
  <c r="GE215" i="5"/>
  <c r="GF215" i="5"/>
  <c r="GG215" i="5"/>
  <c r="GH215" i="5"/>
  <c r="GI215" i="5"/>
  <c r="GJ215" i="5"/>
  <c r="GK215" i="5"/>
  <c r="GL215" i="5"/>
  <c r="GM215" i="5"/>
  <c r="GN215" i="5"/>
  <c r="GO215" i="5"/>
  <c r="GP215" i="5"/>
  <c r="GQ215" i="5"/>
  <c r="GR215" i="5"/>
  <c r="GS215" i="5"/>
  <c r="GT215" i="5"/>
  <c r="GU215" i="5"/>
  <c r="GV215" i="5"/>
  <c r="GW215" i="5"/>
  <c r="GX215" i="5"/>
  <c r="GY215" i="5"/>
  <c r="GZ215" i="5"/>
  <c r="HA215" i="5"/>
  <c r="HB215" i="5"/>
  <c r="HC215" i="5"/>
  <c r="HD215" i="5"/>
  <c r="HE215" i="5"/>
  <c r="HF215" i="5"/>
  <c r="HG215" i="5"/>
  <c r="A216" i="5"/>
  <c r="B216" i="5"/>
  <c r="C216" i="5"/>
  <c r="D216" i="5"/>
  <c r="E216" i="5"/>
  <c r="F216" i="5"/>
  <c r="G216" i="5"/>
  <c r="H216" i="5"/>
  <c r="I216" i="5"/>
  <c r="J216" i="5"/>
  <c r="K216" i="5"/>
  <c r="L216" i="5"/>
  <c r="M216" i="5"/>
  <c r="N216" i="5"/>
  <c r="O216" i="5"/>
  <c r="P216" i="5"/>
  <c r="Q216" i="5"/>
  <c r="R216" i="5"/>
  <c r="S216" i="5"/>
  <c r="T216" i="5"/>
  <c r="U216" i="5"/>
  <c r="V216" i="5"/>
  <c r="W216" i="5"/>
  <c r="X216" i="5"/>
  <c r="Y216" i="5"/>
  <c r="Z216" i="5"/>
  <c r="AA216" i="5"/>
  <c r="AB216" i="5"/>
  <c r="AC216" i="5"/>
  <c r="AD216" i="5"/>
  <c r="AE216" i="5"/>
  <c r="AF216" i="5"/>
  <c r="AG216" i="5"/>
  <c r="AH216" i="5"/>
  <c r="AI216" i="5"/>
  <c r="AJ216" i="5"/>
  <c r="AK216" i="5"/>
  <c r="AL216" i="5"/>
  <c r="AM216" i="5"/>
  <c r="AN216" i="5"/>
  <c r="AO216" i="5"/>
  <c r="AP216" i="5"/>
  <c r="AQ216" i="5"/>
  <c r="AR216" i="5"/>
  <c r="AS216" i="5"/>
  <c r="AT216" i="5"/>
  <c r="AU216" i="5"/>
  <c r="AV216" i="5"/>
  <c r="AW216" i="5"/>
  <c r="AX216" i="5"/>
  <c r="AY216" i="5"/>
  <c r="AZ216" i="5"/>
  <c r="BA216" i="5"/>
  <c r="BB216" i="5"/>
  <c r="BC216" i="5"/>
  <c r="BD216" i="5"/>
  <c r="BE216" i="5"/>
  <c r="BF216" i="5"/>
  <c r="BG216" i="5"/>
  <c r="BH216" i="5"/>
  <c r="BI216" i="5"/>
  <c r="BJ216" i="5"/>
  <c r="BK216" i="5"/>
  <c r="BL216" i="5"/>
  <c r="BM216" i="5"/>
  <c r="BN216" i="5"/>
  <c r="BO216" i="5"/>
  <c r="BP216" i="5"/>
  <c r="BQ216" i="5"/>
  <c r="BR216" i="5"/>
  <c r="BS216" i="5"/>
  <c r="BT216" i="5"/>
  <c r="BU216" i="5"/>
  <c r="BV216" i="5"/>
  <c r="BW216" i="5"/>
  <c r="BX216" i="5"/>
  <c r="BY216" i="5"/>
  <c r="BZ216" i="5"/>
  <c r="CA216" i="5"/>
  <c r="CB216" i="5"/>
  <c r="CC216" i="5"/>
  <c r="CD216" i="5"/>
  <c r="CE216" i="5"/>
  <c r="CF216" i="5"/>
  <c r="CG216" i="5"/>
  <c r="CH216" i="5"/>
  <c r="CI216" i="5"/>
  <c r="CJ216" i="5"/>
  <c r="CK216" i="5"/>
  <c r="CL216" i="5"/>
  <c r="CM216" i="5"/>
  <c r="CN216" i="5"/>
  <c r="CO216" i="5"/>
  <c r="CP216" i="5"/>
  <c r="CQ216" i="5"/>
  <c r="CR216" i="5"/>
  <c r="CS216" i="5"/>
  <c r="CT216" i="5"/>
  <c r="CU216" i="5"/>
  <c r="CV216" i="5"/>
  <c r="CW216" i="5"/>
  <c r="CX216" i="5"/>
  <c r="CY216" i="5"/>
  <c r="CZ216" i="5"/>
  <c r="DA216" i="5"/>
  <c r="DB216" i="5"/>
  <c r="DC216" i="5"/>
  <c r="DD216" i="5"/>
  <c r="DE216" i="5"/>
  <c r="DF216" i="5"/>
  <c r="DG216" i="5"/>
  <c r="DH216" i="5"/>
  <c r="DI216" i="5"/>
  <c r="DJ216" i="5"/>
  <c r="DK216" i="5"/>
  <c r="DL216" i="5"/>
  <c r="DM216" i="5"/>
  <c r="DN216" i="5"/>
  <c r="DO216" i="5"/>
  <c r="DP216" i="5"/>
  <c r="DQ216" i="5"/>
  <c r="DR216" i="5"/>
  <c r="DS216" i="5"/>
  <c r="DT216" i="5"/>
  <c r="DU216" i="5"/>
  <c r="DV216" i="5"/>
  <c r="DW216" i="5"/>
  <c r="DX216" i="5"/>
  <c r="DY216" i="5"/>
  <c r="DZ216" i="5"/>
  <c r="EA216" i="5"/>
  <c r="EB216" i="5"/>
  <c r="EC216" i="5"/>
  <c r="ED216" i="5"/>
  <c r="EE216" i="5"/>
  <c r="EF216" i="5"/>
  <c r="EG216" i="5"/>
  <c r="EH216" i="5"/>
  <c r="EI216" i="5"/>
  <c r="EJ216" i="5"/>
  <c r="EK216" i="5"/>
  <c r="EL216" i="5"/>
  <c r="EM216" i="5"/>
  <c r="EN216" i="5"/>
  <c r="EO216" i="5"/>
  <c r="EP216" i="5"/>
  <c r="EQ216" i="5"/>
  <c r="ER216" i="5"/>
  <c r="ES216" i="5"/>
  <c r="ET216" i="5"/>
  <c r="EU216" i="5"/>
  <c r="EV216" i="5"/>
  <c r="EW216" i="5"/>
  <c r="EX216" i="5"/>
  <c r="EY216" i="5"/>
  <c r="EZ216" i="5"/>
  <c r="FA216" i="5"/>
  <c r="FB216" i="5"/>
  <c r="FC216" i="5"/>
  <c r="FD216" i="5"/>
  <c r="FE216" i="5"/>
  <c r="FF216" i="5"/>
  <c r="FG216" i="5"/>
  <c r="FH216" i="5"/>
  <c r="FI216" i="5"/>
  <c r="FJ216" i="5"/>
  <c r="FK216" i="5"/>
  <c r="FL216" i="5"/>
  <c r="FM216" i="5"/>
  <c r="FN216" i="5"/>
  <c r="FO216" i="5"/>
  <c r="FP216" i="5"/>
  <c r="FQ216" i="5"/>
  <c r="FR216" i="5"/>
  <c r="FS216" i="5"/>
  <c r="FT216" i="5"/>
  <c r="FU216" i="5"/>
  <c r="FV216" i="5"/>
  <c r="FW216" i="5"/>
  <c r="FX216" i="5"/>
  <c r="FY216" i="5"/>
  <c r="FZ216" i="5"/>
  <c r="GA216" i="5"/>
  <c r="GB216" i="5"/>
  <c r="GC216" i="5"/>
  <c r="GD216" i="5"/>
  <c r="GE216" i="5"/>
  <c r="GF216" i="5"/>
  <c r="GG216" i="5"/>
  <c r="GH216" i="5"/>
  <c r="GI216" i="5"/>
  <c r="GJ216" i="5"/>
  <c r="GK216" i="5"/>
  <c r="GL216" i="5"/>
  <c r="GM216" i="5"/>
  <c r="GN216" i="5"/>
  <c r="GO216" i="5"/>
  <c r="GP216" i="5"/>
  <c r="GQ216" i="5"/>
  <c r="GR216" i="5"/>
  <c r="GS216" i="5"/>
  <c r="GT216" i="5"/>
  <c r="GU216" i="5"/>
  <c r="GV216" i="5"/>
  <c r="GW216" i="5"/>
  <c r="GX216" i="5"/>
  <c r="GY216" i="5"/>
  <c r="GZ216" i="5"/>
  <c r="HA216" i="5"/>
  <c r="HB216" i="5"/>
  <c r="HC216" i="5"/>
  <c r="HD216" i="5"/>
  <c r="HE216" i="5"/>
  <c r="HF216" i="5"/>
  <c r="HG216" i="5"/>
  <c r="A217" i="5"/>
  <c r="B217" i="5"/>
  <c r="C217" i="5"/>
  <c r="D217" i="5"/>
  <c r="E217" i="5"/>
  <c r="F217" i="5"/>
  <c r="G217" i="5"/>
  <c r="H217" i="5"/>
  <c r="I217" i="5"/>
  <c r="J217" i="5"/>
  <c r="K217" i="5"/>
  <c r="L217" i="5"/>
  <c r="M217" i="5"/>
  <c r="N217" i="5"/>
  <c r="O217" i="5"/>
  <c r="P217" i="5"/>
  <c r="Q217" i="5"/>
  <c r="R217" i="5"/>
  <c r="S217" i="5"/>
  <c r="T217" i="5"/>
  <c r="U217" i="5"/>
  <c r="V217" i="5"/>
  <c r="W217" i="5"/>
  <c r="X217" i="5"/>
  <c r="Y217" i="5"/>
  <c r="Z217" i="5"/>
  <c r="AA217" i="5"/>
  <c r="AB217" i="5"/>
  <c r="AC217" i="5"/>
  <c r="AD217" i="5"/>
  <c r="AE217" i="5"/>
  <c r="AF217" i="5"/>
  <c r="AG217" i="5"/>
  <c r="AH217" i="5"/>
  <c r="AI217" i="5"/>
  <c r="AJ217" i="5"/>
  <c r="AK217" i="5"/>
  <c r="AL217" i="5"/>
  <c r="AM217" i="5"/>
  <c r="AN217" i="5"/>
  <c r="AO217" i="5"/>
  <c r="AP217" i="5"/>
  <c r="AQ217" i="5"/>
  <c r="AR217" i="5"/>
  <c r="AS217" i="5"/>
  <c r="AT217" i="5"/>
  <c r="AU217" i="5"/>
  <c r="AV217" i="5"/>
  <c r="AW217" i="5"/>
  <c r="AX217" i="5"/>
  <c r="AY217" i="5"/>
  <c r="AZ217" i="5"/>
  <c r="BA217" i="5"/>
  <c r="BB217" i="5"/>
  <c r="BC217" i="5"/>
  <c r="BD217" i="5"/>
  <c r="BE217" i="5"/>
  <c r="BF217" i="5"/>
  <c r="BG217" i="5"/>
  <c r="BH217" i="5"/>
  <c r="BI217" i="5"/>
  <c r="BJ217" i="5"/>
  <c r="BK217" i="5"/>
  <c r="BL217" i="5"/>
  <c r="BM217" i="5"/>
  <c r="BN217" i="5"/>
  <c r="BO217" i="5"/>
  <c r="BP217" i="5"/>
  <c r="BQ217" i="5"/>
  <c r="BR217" i="5"/>
  <c r="BS217" i="5"/>
  <c r="BT217" i="5"/>
  <c r="BU217" i="5"/>
  <c r="BV217" i="5"/>
  <c r="BW217" i="5"/>
  <c r="BX217" i="5"/>
  <c r="BY217" i="5"/>
  <c r="BZ217" i="5"/>
  <c r="CA217" i="5"/>
  <c r="CB217" i="5"/>
  <c r="CC217" i="5"/>
  <c r="CD217" i="5"/>
  <c r="CE217" i="5"/>
  <c r="CF217" i="5"/>
  <c r="CG217" i="5"/>
  <c r="CH217" i="5"/>
  <c r="CI217" i="5"/>
  <c r="CJ217" i="5"/>
  <c r="CK217" i="5"/>
  <c r="CL217" i="5"/>
  <c r="CM217" i="5"/>
  <c r="CN217" i="5"/>
  <c r="CO217" i="5"/>
  <c r="CP217" i="5"/>
  <c r="CQ217" i="5"/>
  <c r="CR217" i="5"/>
  <c r="CS217" i="5"/>
  <c r="CT217" i="5"/>
  <c r="CU217" i="5"/>
  <c r="CV217" i="5"/>
  <c r="CW217" i="5"/>
  <c r="CX217" i="5"/>
  <c r="CY217" i="5"/>
  <c r="CZ217" i="5"/>
  <c r="DA217" i="5"/>
  <c r="DB217" i="5"/>
  <c r="DC217" i="5"/>
  <c r="DD217" i="5"/>
  <c r="DE217" i="5"/>
  <c r="DF217" i="5"/>
  <c r="DG217" i="5"/>
  <c r="DH217" i="5"/>
  <c r="DI217" i="5"/>
  <c r="DJ217" i="5"/>
  <c r="DK217" i="5"/>
  <c r="DL217" i="5"/>
  <c r="DM217" i="5"/>
  <c r="DN217" i="5"/>
  <c r="DO217" i="5"/>
  <c r="DP217" i="5"/>
  <c r="DQ217" i="5"/>
  <c r="DR217" i="5"/>
  <c r="DS217" i="5"/>
  <c r="DT217" i="5"/>
  <c r="DU217" i="5"/>
  <c r="DV217" i="5"/>
  <c r="DW217" i="5"/>
  <c r="DX217" i="5"/>
  <c r="DY217" i="5"/>
  <c r="DZ217" i="5"/>
  <c r="EA217" i="5"/>
  <c r="EB217" i="5"/>
  <c r="EC217" i="5"/>
  <c r="ED217" i="5"/>
  <c r="EE217" i="5"/>
  <c r="EF217" i="5"/>
  <c r="EG217" i="5"/>
  <c r="EH217" i="5"/>
  <c r="EI217" i="5"/>
  <c r="EJ217" i="5"/>
  <c r="EK217" i="5"/>
  <c r="EL217" i="5"/>
  <c r="EM217" i="5"/>
  <c r="EN217" i="5"/>
  <c r="EO217" i="5"/>
  <c r="EP217" i="5"/>
  <c r="EQ217" i="5"/>
  <c r="ER217" i="5"/>
  <c r="ES217" i="5"/>
  <c r="ET217" i="5"/>
  <c r="EU217" i="5"/>
  <c r="EV217" i="5"/>
  <c r="EW217" i="5"/>
  <c r="EX217" i="5"/>
  <c r="EY217" i="5"/>
  <c r="EZ217" i="5"/>
  <c r="FA217" i="5"/>
  <c r="FB217" i="5"/>
  <c r="FC217" i="5"/>
  <c r="FD217" i="5"/>
  <c r="FE217" i="5"/>
  <c r="FF217" i="5"/>
  <c r="FG217" i="5"/>
  <c r="FH217" i="5"/>
  <c r="FI217" i="5"/>
  <c r="FJ217" i="5"/>
  <c r="FK217" i="5"/>
  <c r="FL217" i="5"/>
  <c r="FM217" i="5"/>
  <c r="FN217" i="5"/>
  <c r="FO217" i="5"/>
  <c r="FP217" i="5"/>
  <c r="FQ217" i="5"/>
  <c r="FR217" i="5"/>
  <c r="FS217" i="5"/>
  <c r="FT217" i="5"/>
  <c r="FU217" i="5"/>
  <c r="FV217" i="5"/>
  <c r="FW217" i="5"/>
  <c r="FX217" i="5"/>
  <c r="FY217" i="5"/>
  <c r="FZ217" i="5"/>
  <c r="GA217" i="5"/>
  <c r="GB217" i="5"/>
  <c r="GC217" i="5"/>
  <c r="GD217" i="5"/>
  <c r="GE217" i="5"/>
  <c r="GF217" i="5"/>
  <c r="GG217" i="5"/>
  <c r="GH217" i="5"/>
  <c r="GI217" i="5"/>
  <c r="GJ217" i="5"/>
  <c r="GK217" i="5"/>
  <c r="GL217" i="5"/>
  <c r="GM217" i="5"/>
  <c r="GN217" i="5"/>
  <c r="GO217" i="5"/>
  <c r="GP217" i="5"/>
  <c r="GQ217" i="5"/>
  <c r="GR217" i="5"/>
  <c r="GS217" i="5"/>
  <c r="GT217" i="5"/>
  <c r="GU217" i="5"/>
  <c r="GV217" i="5"/>
  <c r="GW217" i="5"/>
  <c r="GX217" i="5"/>
  <c r="GY217" i="5"/>
  <c r="GZ217" i="5"/>
  <c r="HA217" i="5"/>
  <c r="HB217" i="5"/>
  <c r="HC217" i="5"/>
  <c r="HD217" i="5"/>
  <c r="HE217" i="5"/>
  <c r="HF217" i="5"/>
  <c r="HG217" i="5"/>
  <c r="A218" i="5"/>
  <c r="B218" i="5"/>
  <c r="C218" i="5"/>
  <c r="D218" i="5"/>
  <c r="E218" i="5"/>
  <c r="F218" i="5"/>
  <c r="G218" i="5"/>
  <c r="H218" i="5"/>
  <c r="I218" i="5"/>
  <c r="J218" i="5"/>
  <c r="K218" i="5"/>
  <c r="L218" i="5"/>
  <c r="M218" i="5"/>
  <c r="N218" i="5"/>
  <c r="O218" i="5"/>
  <c r="P218" i="5"/>
  <c r="Q218" i="5"/>
  <c r="R218" i="5"/>
  <c r="S218" i="5"/>
  <c r="T218" i="5"/>
  <c r="U218" i="5"/>
  <c r="V218" i="5"/>
  <c r="W218" i="5"/>
  <c r="X218" i="5"/>
  <c r="Y218" i="5"/>
  <c r="Z218" i="5"/>
  <c r="AA218" i="5"/>
  <c r="AB218" i="5"/>
  <c r="AC218" i="5"/>
  <c r="AD218" i="5"/>
  <c r="AE218" i="5"/>
  <c r="AF218" i="5"/>
  <c r="AG218" i="5"/>
  <c r="AH218" i="5"/>
  <c r="AI218" i="5"/>
  <c r="AJ218" i="5"/>
  <c r="AK218" i="5"/>
  <c r="AL218" i="5"/>
  <c r="AM218" i="5"/>
  <c r="AN218" i="5"/>
  <c r="AO218" i="5"/>
  <c r="AP218" i="5"/>
  <c r="AQ218" i="5"/>
  <c r="AR218" i="5"/>
  <c r="AS218" i="5"/>
  <c r="AT218" i="5"/>
  <c r="AU218" i="5"/>
  <c r="AV218" i="5"/>
  <c r="AW218" i="5"/>
  <c r="AX218" i="5"/>
  <c r="AY218" i="5"/>
  <c r="AZ218" i="5"/>
  <c r="BA218" i="5"/>
  <c r="BB218" i="5"/>
  <c r="BC218" i="5"/>
  <c r="BD218" i="5"/>
  <c r="BE218" i="5"/>
  <c r="BF218" i="5"/>
  <c r="BG218" i="5"/>
  <c r="BH218" i="5"/>
  <c r="BI218" i="5"/>
  <c r="BJ218" i="5"/>
  <c r="BK218" i="5"/>
  <c r="BL218" i="5"/>
  <c r="BM218" i="5"/>
  <c r="BN218" i="5"/>
  <c r="BO218" i="5"/>
  <c r="BP218" i="5"/>
  <c r="BQ218" i="5"/>
  <c r="BR218" i="5"/>
  <c r="BS218" i="5"/>
  <c r="BT218" i="5"/>
  <c r="BU218" i="5"/>
  <c r="BV218" i="5"/>
  <c r="BW218" i="5"/>
  <c r="BX218" i="5"/>
  <c r="BY218" i="5"/>
  <c r="BZ218" i="5"/>
  <c r="CA218" i="5"/>
  <c r="CB218" i="5"/>
  <c r="CC218" i="5"/>
  <c r="CD218" i="5"/>
  <c r="CE218" i="5"/>
  <c r="CF218" i="5"/>
  <c r="CG218" i="5"/>
  <c r="CH218" i="5"/>
  <c r="CI218" i="5"/>
  <c r="CJ218" i="5"/>
  <c r="CK218" i="5"/>
  <c r="CL218" i="5"/>
  <c r="CM218" i="5"/>
  <c r="CN218" i="5"/>
  <c r="CO218" i="5"/>
  <c r="CP218" i="5"/>
  <c r="CQ218" i="5"/>
  <c r="CR218" i="5"/>
  <c r="CS218" i="5"/>
  <c r="CT218" i="5"/>
  <c r="CU218" i="5"/>
  <c r="CV218" i="5"/>
  <c r="CW218" i="5"/>
  <c r="CX218" i="5"/>
  <c r="CY218" i="5"/>
  <c r="CZ218" i="5"/>
  <c r="DA218" i="5"/>
  <c r="DB218" i="5"/>
  <c r="DC218" i="5"/>
  <c r="DD218" i="5"/>
  <c r="DE218" i="5"/>
  <c r="DF218" i="5"/>
  <c r="DG218" i="5"/>
  <c r="DH218" i="5"/>
  <c r="DI218" i="5"/>
  <c r="DJ218" i="5"/>
  <c r="DK218" i="5"/>
  <c r="DL218" i="5"/>
  <c r="DM218" i="5"/>
  <c r="DN218" i="5"/>
  <c r="DO218" i="5"/>
  <c r="DP218" i="5"/>
  <c r="DQ218" i="5"/>
  <c r="DR218" i="5"/>
  <c r="DS218" i="5"/>
  <c r="DT218" i="5"/>
  <c r="DU218" i="5"/>
  <c r="DV218" i="5"/>
  <c r="DW218" i="5"/>
  <c r="DX218" i="5"/>
  <c r="DY218" i="5"/>
  <c r="DZ218" i="5"/>
  <c r="EA218" i="5"/>
  <c r="EB218" i="5"/>
  <c r="EC218" i="5"/>
  <c r="ED218" i="5"/>
  <c r="EE218" i="5"/>
  <c r="EF218" i="5"/>
  <c r="EG218" i="5"/>
  <c r="EH218" i="5"/>
  <c r="EI218" i="5"/>
  <c r="EJ218" i="5"/>
  <c r="EK218" i="5"/>
  <c r="EL218" i="5"/>
  <c r="EM218" i="5"/>
  <c r="EN218" i="5"/>
  <c r="EO218" i="5"/>
  <c r="EP218" i="5"/>
  <c r="EQ218" i="5"/>
  <c r="ER218" i="5"/>
  <c r="ES218" i="5"/>
  <c r="ET218" i="5"/>
  <c r="EU218" i="5"/>
  <c r="EV218" i="5"/>
  <c r="EW218" i="5"/>
  <c r="EX218" i="5"/>
  <c r="EY218" i="5"/>
  <c r="EZ218" i="5"/>
  <c r="FA218" i="5"/>
  <c r="FB218" i="5"/>
  <c r="FC218" i="5"/>
  <c r="FD218" i="5"/>
  <c r="FE218" i="5"/>
  <c r="FF218" i="5"/>
  <c r="FG218" i="5"/>
  <c r="FH218" i="5"/>
  <c r="FI218" i="5"/>
  <c r="FJ218" i="5"/>
  <c r="FK218" i="5"/>
  <c r="FL218" i="5"/>
  <c r="FM218" i="5"/>
  <c r="FN218" i="5"/>
  <c r="FO218" i="5"/>
  <c r="FP218" i="5"/>
  <c r="FQ218" i="5"/>
  <c r="FR218" i="5"/>
  <c r="FS218" i="5"/>
  <c r="FT218" i="5"/>
  <c r="FU218" i="5"/>
  <c r="FV218" i="5"/>
  <c r="FW218" i="5"/>
  <c r="FX218" i="5"/>
  <c r="FY218" i="5"/>
  <c r="FZ218" i="5"/>
  <c r="GA218" i="5"/>
  <c r="GB218" i="5"/>
  <c r="GC218" i="5"/>
  <c r="GD218" i="5"/>
  <c r="GE218" i="5"/>
  <c r="GF218" i="5"/>
  <c r="GG218" i="5"/>
  <c r="GH218" i="5"/>
  <c r="GI218" i="5"/>
  <c r="GJ218" i="5"/>
  <c r="GK218" i="5"/>
  <c r="GL218" i="5"/>
  <c r="GM218" i="5"/>
  <c r="GN218" i="5"/>
  <c r="GO218" i="5"/>
  <c r="GP218" i="5"/>
  <c r="GQ218" i="5"/>
  <c r="GR218" i="5"/>
  <c r="GS218" i="5"/>
  <c r="GT218" i="5"/>
  <c r="GU218" i="5"/>
  <c r="GV218" i="5"/>
  <c r="GW218" i="5"/>
  <c r="GX218" i="5"/>
  <c r="GY218" i="5"/>
  <c r="GZ218" i="5"/>
  <c r="HA218" i="5"/>
  <c r="HB218" i="5"/>
  <c r="HC218" i="5"/>
  <c r="HD218" i="5"/>
  <c r="HE218" i="5"/>
  <c r="HF218" i="5"/>
  <c r="HG218" i="5"/>
  <c r="A219" i="5"/>
  <c r="B219" i="5"/>
  <c r="C219" i="5"/>
  <c r="D219" i="5"/>
  <c r="E219" i="5"/>
  <c r="F219" i="5"/>
  <c r="G219" i="5"/>
  <c r="H219" i="5"/>
  <c r="I219" i="5"/>
  <c r="J219" i="5"/>
  <c r="K219" i="5"/>
  <c r="L219" i="5"/>
  <c r="M219" i="5"/>
  <c r="N219" i="5"/>
  <c r="O219" i="5"/>
  <c r="P219" i="5"/>
  <c r="Q219" i="5"/>
  <c r="R219" i="5"/>
  <c r="S219" i="5"/>
  <c r="T219" i="5"/>
  <c r="U219" i="5"/>
  <c r="V219" i="5"/>
  <c r="W219" i="5"/>
  <c r="X219" i="5"/>
  <c r="Y219" i="5"/>
  <c r="Z219" i="5"/>
  <c r="AA219" i="5"/>
  <c r="AB219" i="5"/>
  <c r="AC219" i="5"/>
  <c r="AD219" i="5"/>
  <c r="AE219" i="5"/>
  <c r="AF219" i="5"/>
  <c r="AG219" i="5"/>
  <c r="AH219" i="5"/>
  <c r="AI219" i="5"/>
  <c r="AJ219" i="5"/>
  <c r="AK219" i="5"/>
  <c r="AL219" i="5"/>
  <c r="AM219" i="5"/>
  <c r="AN219" i="5"/>
  <c r="AO219" i="5"/>
  <c r="AP219" i="5"/>
  <c r="AQ219" i="5"/>
  <c r="AR219" i="5"/>
  <c r="AS219" i="5"/>
  <c r="AT219" i="5"/>
  <c r="AU219" i="5"/>
  <c r="AV219" i="5"/>
  <c r="AW219" i="5"/>
  <c r="AX219" i="5"/>
  <c r="AY219" i="5"/>
  <c r="AZ219" i="5"/>
  <c r="BA219" i="5"/>
  <c r="BB219" i="5"/>
  <c r="BC219" i="5"/>
  <c r="BD219" i="5"/>
  <c r="BE219" i="5"/>
  <c r="BF219" i="5"/>
  <c r="BG219" i="5"/>
  <c r="BH219" i="5"/>
  <c r="BI219" i="5"/>
  <c r="BJ219" i="5"/>
  <c r="BK219" i="5"/>
  <c r="BL219" i="5"/>
  <c r="BM219" i="5"/>
  <c r="BN219" i="5"/>
  <c r="BO219" i="5"/>
  <c r="BP219" i="5"/>
  <c r="BQ219" i="5"/>
  <c r="BR219" i="5"/>
  <c r="BS219" i="5"/>
  <c r="BT219" i="5"/>
  <c r="BU219" i="5"/>
  <c r="BV219" i="5"/>
  <c r="BW219" i="5"/>
  <c r="BX219" i="5"/>
  <c r="BY219" i="5"/>
  <c r="BZ219" i="5"/>
  <c r="CA219" i="5"/>
  <c r="CB219" i="5"/>
  <c r="CC219" i="5"/>
  <c r="CD219" i="5"/>
  <c r="CE219" i="5"/>
  <c r="CF219" i="5"/>
  <c r="CG219" i="5"/>
  <c r="CH219" i="5"/>
  <c r="CI219" i="5"/>
  <c r="CJ219" i="5"/>
  <c r="CK219" i="5"/>
  <c r="CL219" i="5"/>
  <c r="CM219" i="5"/>
  <c r="CN219" i="5"/>
  <c r="CO219" i="5"/>
  <c r="CP219" i="5"/>
  <c r="CQ219" i="5"/>
  <c r="CR219" i="5"/>
  <c r="CS219" i="5"/>
  <c r="CT219" i="5"/>
  <c r="CU219" i="5"/>
  <c r="CV219" i="5"/>
  <c r="CW219" i="5"/>
  <c r="CX219" i="5"/>
  <c r="CY219" i="5"/>
  <c r="CZ219" i="5"/>
  <c r="DA219" i="5"/>
  <c r="DB219" i="5"/>
  <c r="DC219" i="5"/>
  <c r="DD219" i="5"/>
  <c r="DE219" i="5"/>
  <c r="DF219" i="5"/>
  <c r="DG219" i="5"/>
  <c r="DH219" i="5"/>
  <c r="DI219" i="5"/>
  <c r="DJ219" i="5"/>
  <c r="DK219" i="5"/>
  <c r="DL219" i="5"/>
  <c r="DM219" i="5"/>
  <c r="DN219" i="5"/>
  <c r="DO219" i="5"/>
  <c r="DP219" i="5"/>
  <c r="DQ219" i="5"/>
  <c r="DR219" i="5"/>
  <c r="DS219" i="5"/>
  <c r="DT219" i="5"/>
  <c r="DU219" i="5"/>
  <c r="DV219" i="5"/>
  <c r="DW219" i="5"/>
  <c r="DX219" i="5"/>
  <c r="DY219" i="5"/>
  <c r="DZ219" i="5"/>
  <c r="EA219" i="5"/>
  <c r="EB219" i="5"/>
  <c r="EC219" i="5"/>
  <c r="ED219" i="5"/>
  <c r="EE219" i="5"/>
  <c r="EF219" i="5"/>
  <c r="EG219" i="5"/>
  <c r="EH219" i="5"/>
  <c r="EI219" i="5"/>
  <c r="EJ219" i="5"/>
  <c r="EK219" i="5"/>
  <c r="EL219" i="5"/>
  <c r="EM219" i="5"/>
  <c r="EN219" i="5"/>
  <c r="EO219" i="5"/>
  <c r="EP219" i="5"/>
  <c r="EQ219" i="5"/>
  <c r="ER219" i="5"/>
  <c r="ES219" i="5"/>
  <c r="ET219" i="5"/>
  <c r="EU219" i="5"/>
  <c r="EV219" i="5"/>
  <c r="EW219" i="5"/>
  <c r="EX219" i="5"/>
  <c r="EY219" i="5"/>
  <c r="EZ219" i="5"/>
  <c r="FA219" i="5"/>
  <c r="FB219" i="5"/>
  <c r="FC219" i="5"/>
  <c r="FD219" i="5"/>
  <c r="FE219" i="5"/>
  <c r="FF219" i="5"/>
  <c r="FG219" i="5"/>
  <c r="FH219" i="5"/>
  <c r="FI219" i="5"/>
  <c r="FJ219" i="5"/>
  <c r="FK219" i="5"/>
  <c r="FL219" i="5"/>
  <c r="FM219" i="5"/>
  <c r="FN219" i="5"/>
  <c r="FO219" i="5"/>
  <c r="FP219" i="5"/>
  <c r="FQ219" i="5"/>
  <c r="FR219" i="5"/>
  <c r="FS219" i="5"/>
  <c r="FT219" i="5"/>
  <c r="FU219" i="5"/>
  <c r="FV219" i="5"/>
  <c r="FW219" i="5"/>
  <c r="FX219" i="5"/>
  <c r="FY219" i="5"/>
  <c r="FZ219" i="5"/>
  <c r="GA219" i="5"/>
  <c r="GB219" i="5"/>
  <c r="GC219" i="5"/>
  <c r="GD219" i="5"/>
  <c r="GE219" i="5"/>
  <c r="GF219" i="5"/>
  <c r="GG219" i="5"/>
  <c r="GH219" i="5"/>
  <c r="GI219" i="5"/>
  <c r="GJ219" i="5"/>
  <c r="GK219" i="5"/>
  <c r="GL219" i="5"/>
  <c r="GM219" i="5"/>
  <c r="GN219" i="5"/>
  <c r="GO219" i="5"/>
  <c r="GP219" i="5"/>
  <c r="GQ219" i="5"/>
  <c r="GR219" i="5"/>
  <c r="GS219" i="5"/>
  <c r="GT219" i="5"/>
  <c r="GU219" i="5"/>
  <c r="GV219" i="5"/>
  <c r="GW219" i="5"/>
  <c r="GX219" i="5"/>
  <c r="GY219" i="5"/>
  <c r="GZ219" i="5"/>
  <c r="HA219" i="5"/>
  <c r="HB219" i="5"/>
  <c r="HC219" i="5"/>
  <c r="HD219" i="5"/>
  <c r="HE219" i="5"/>
  <c r="HF219" i="5"/>
  <c r="HG219" i="5"/>
  <c r="A220" i="5"/>
  <c r="B220" i="5"/>
  <c r="C220" i="5"/>
  <c r="D220" i="5"/>
  <c r="E220" i="5"/>
  <c r="F220" i="5"/>
  <c r="G220" i="5"/>
  <c r="H220" i="5"/>
  <c r="I220" i="5"/>
  <c r="J220" i="5"/>
  <c r="K220" i="5"/>
  <c r="L220" i="5"/>
  <c r="M220" i="5"/>
  <c r="N220" i="5"/>
  <c r="O220" i="5"/>
  <c r="P220" i="5"/>
  <c r="Q220" i="5"/>
  <c r="R220" i="5"/>
  <c r="S220" i="5"/>
  <c r="T220" i="5"/>
  <c r="U220" i="5"/>
  <c r="V220" i="5"/>
  <c r="W220" i="5"/>
  <c r="X220" i="5"/>
  <c r="Y220" i="5"/>
  <c r="Z220" i="5"/>
  <c r="AA220" i="5"/>
  <c r="AB220" i="5"/>
  <c r="AC220" i="5"/>
  <c r="AD220" i="5"/>
  <c r="AE220" i="5"/>
  <c r="AF220" i="5"/>
  <c r="AG220" i="5"/>
  <c r="AH220" i="5"/>
  <c r="AI220" i="5"/>
  <c r="AJ220" i="5"/>
  <c r="AK220" i="5"/>
  <c r="AL220" i="5"/>
  <c r="AM220" i="5"/>
  <c r="AN220" i="5"/>
  <c r="AO220" i="5"/>
  <c r="AP220" i="5"/>
  <c r="AQ220" i="5"/>
  <c r="AR220" i="5"/>
  <c r="AS220" i="5"/>
  <c r="AT220" i="5"/>
  <c r="AU220" i="5"/>
  <c r="AV220" i="5"/>
  <c r="AW220" i="5"/>
  <c r="AX220" i="5"/>
  <c r="AY220" i="5"/>
  <c r="AZ220" i="5"/>
  <c r="BA220" i="5"/>
  <c r="BB220" i="5"/>
  <c r="BC220" i="5"/>
  <c r="BD220" i="5"/>
  <c r="BE220" i="5"/>
  <c r="BF220" i="5"/>
  <c r="BG220" i="5"/>
  <c r="BH220" i="5"/>
  <c r="BI220" i="5"/>
  <c r="BJ220" i="5"/>
  <c r="BK220" i="5"/>
  <c r="BL220" i="5"/>
  <c r="BM220" i="5"/>
  <c r="BN220" i="5"/>
  <c r="BO220" i="5"/>
  <c r="BP220" i="5"/>
  <c r="BQ220" i="5"/>
  <c r="BR220" i="5"/>
  <c r="BS220" i="5"/>
  <c r="BT220" i="5"/>
  <c r="BU220" i="5"/>
  <c r="BV220" i="5"/>
  <c r="BW220" i="5"/>
  <c r="BX220" i="5"/>
  <c r="BY220" i="5"/>
  <c r="BZ220" i="5"/>
  <c r="CA220" i="5"/>
  <c r="CB220" i="5"/>
  <c r="CC220" i="5"/>
  <c r="CD220" i="5"/>
  <c r="CE220" i="5"/>
  <c r="CF220" i="5"/>
  <c r="CG220" i="5"/>
  <c r="CH220" i="5"/>
  <c r="CI220" i="5"/>
  <c r="CJ220" i="5"/>
  <c r="CK220" i="5"/>
  <c r="CL220" i="5"/>
  <c r="CM220" i="5"/>
  <c r="CN220" i="5"/>
  <c r="CO220" i="5"/>
  <c r="CP220" i="5"/>
  <c r="CQ220" i="5"/>
  <c r="CR220" i="5"/>
  <c r="CS220" i="5"/>
  <c r="CT220" i="5"/>
  <c r="CU220" i="5"/>
  <c r="CV220" i="5"/>
  <c r="CW220" i="5"/>
  <c r="CX220" i="5"/>
  <c r="CY220" i="5"/>
  <c r="CZ220" i="5"/>
  <c r="DA220" i="5"/>
  <c r="DB220" i="5"/>
  <c r="DC220" i="5"/>
  <c r="DD220" i="5"/>
  <c r="DE220" i="5"/>
  <c r="DF220" i="5"/>
  <c r="DG220" i="5"/>
  <c r="DH220" i="5"/>
  <c r="DI220" i="5"/>
  <c r="DJ220" i="5"/>
  <c r="DK220" i="5"/>
  <c r="DL220" i="5"/>
  <c r="DM220" i="5"/>
  <c r="DN220" i="5"/>
  <c r="DO220" i="5"/>
  <c r="DP220" i="5"/>
  <c r="DQ220" i="5"/>
  <c r="DR220" i="5"/>
  <c r="DS220" i="5"/>
  <c r="DT220" i="5"/>
  <c r="DU220" i="5"/>
  <c r="DV220" i="5"/>
  <c r="DW220" i="5"/>
  <c r="DX220" i="5"/>
  <c r="DY220" i="5"/>
  <c r="DZ220" i="5"/>
  <c r="EA220" i="5"/>
  <c r="EB220" i="5"/>
  <c r="EC220" i="5"/>
  <c r="ED220" i="5"/>
  <c r="EE220" i="5"/>
  <c r="EF220" i="5"/>
  <c r="EG220" i="5"/>
  <c r="EH220" i="5"/>
  <c r="EI220" i="5"/>
  <c r="EJ220" i="5"/>
  <c r="EK220" i="5"/>
  <c r="EL220" i="5"/>
  <c r="EM220" i="5"/>
  <c r="EN220" i="5"/>
  <c r="EO220" i="5"/>
  <c r="EP220" i="5"/>
  <c r="EQ220" i="5"/>
  <c r="ER220" i="5"/>
  <c r="ES220" i="5"/>
  <c r="ET220" i="5"/>
  <c r="EU220" i="5"/>
  <c r="EV220" i="5"/>
  <c r="EW220" i="5"/>
  <c r="EX220" i="5"/>
  <c r="EY220" i="5"/>
  <c r="EZ220" i="5"/>
  <c r="FA220" i="5"/>
  <c r="FB220" i="5"/>
  <c r="FC220" i="5"/>
  <c r="FD220" i="5"/>
  <c r="FE220" i="5"/>
  <c r="FF220" i="5"/>
  <c r="FG220" i="5"/>
  <c r="FH220" i="5"/>
  <c r="FI220" i="5"/>
  <c r="FJ220" i="5"/>
  <c r="FK220" i="5"/>
  <c r="FL220" i="5"/>
  <c r="FM220" i="5"/>
  <c r="FN220" i="5"/>
  <c r="FO220" i="5"/>
  <c r="FP220" i="5"/>
  <c r="FQ220" i="5"/>
  <c r="FR220" i="5"/>
  <c r="FS220" i="5"/>
  <c r="FT220" i="5"/>
  <c r="FU220" i="5"/>
  <c r="FV220" i="5"/>
  <c r="FW220" i="5"/>
  <c r="FX220" i="5"/>
  <c r="FY220" i="5"/>
  <c r="FZ220" i="5"/>
  <c r="GA220" i="5"/>
  <c r="GB220" i="5"/>
  <c r="GC220" i="5"/>
  <c r="GD220" i="5"/>
  <c r="GE220" i="5"/>
  <c r="GF220" i="5"/>
  <c r="GG220" i="5"/>
  <c r="GH220" i="5"/>
  <c r="GI220" i="5"/>
  <c r="GJ220" i="5"/>
  <c r="GK220" i="5"/>
  <c r="GL220" i="5"/>
  <c r="GM220" i="5"/>
  <c r="GN220" i="5"/>
  <c r="GO220" i="5"/>
  <c r="GP220" i="5"/>
  <c r="GQ220" i="5"/>
  <c r="GR220" i="5"/>
  <c r="GS220" i="5"/>
  <c r="GT220" i="5"/>
  <c r="GU220" i="5"/>
  <c r="GV220" i="5"/>
  <c r="GW220" i="5"/>
  <c r="GX220" i="5"/>
  <c r="GY220" i="5"/>
  <c r="GZ220" i="5"/>
  <c r="HA220" i="5"/>
  <c r="HB220" i="5"/>
  <c r="HC220" i="5"/>
  <c r="HD220" i="5"/>
  <c r="HE220" i="5"/>
  <c r="HF220" i="5"/>
  <c r="HG220" i="5"/>
  <c r="A221" i="5"/>
  <c r="B221" i="5"/>
  <c r="C221" i="5"/>
  <c r="D221" i="5"/>
  <c r="E221" i="5"/>
  <c r="F221" i="5"/>
  <c r="G221" i="5"/>
  <c r="H221" i="5"/>
  <c r="I221" i="5"/>
  <c r="J221" i="5"/>
  <c r="K221" i="5"/>
  <c r="L221" i="5"/>
  <c r="M221" i="5"/>
  <c r="N221" i="5"/>
  <c r="O221" i="5"/>
  <c r="P221" i="5"/>
  <c r="Q221" i="5"/>
  <c r="R221" i="5"/>
  <c r="S221" i="5"/>
  <c r="T221" i="5"/>
  <c r="U221" i="5"/>
  <c r="V221" i="5"/>
  <c r="W221" i="5"/>
  <c r="X221" i="5"/>
  <c r="Y221" i="5"/>
  <c r="Z221" i="5"/>
  <c r="AA221" i="5"/>
  <c r="AB221" i="5"/>
  <c r="AC221" i="5"/>
  <c r="AD221" i="5"/>
  <c r="AE221" i="5"/>
  <c r="AF221" i="5"/>
  <c r="AG221" i="5"/>
  <c r="AH221" i="5"/>
  <c r="AI221" i="5"/>
  <c r="AJ221" i="5"/>
  <c r="AK221" i="5"/>
  <c r="AL221" i="5"/>
  <c r="AM221" i="5"/>
  <c r="AN221" i="5"/>
  <c r="AO221" i="5"/>
  <c r="AP221" i="5"/>
  <c r="AQ221" i="5"/>
  <c r="AR221" i="5"/>
  <c r="AS221" i="5"/>
  <c r="AT221" i="5"/>
  <c r="AU221" i="5"/>
  <c r="AV221" i="5"/>
  <c r="AW221" i="5"/>
  <c r="AX221" i="5"/>
  <c r="AY221" i="5"/>
  <c r="AZ221" i="5"/>
  <c r="BA221" i="5"/>
  <c r="BB221" i="5"/>
  <c r="BC221" i="5"/>
  <c r="BD221" i="5"/>
  <c r="BE221" i="5"/>
  <c r="BF221" i="5"/>
  <c r="BG221" i="5"/>
  <c r="BH221" i="5"/>
  <c r="BI221" i="5"/>
  <c r="BJ221" i="5"/>
  <c r="BK221" i="5"/>
  <c r="BL221" i="5"/>
  <c r="BM221" i="5"/>
  <c r="BN221" i="5"/>
  <c r="BO221" i="5"/>
  <c r="BP221" i="5"/>
  <c r="BQ221" i="5"/>
  <c r="BR221" i="5"/>
  <c r="BS221" i="5"/>
  <c r="BT221" i="5"/>
  <c r="BU221" i="5"/>
  <c r="BV221" i="5"/>
  <c r="BW221" i="5"/>
  <c r="BX221" i="5"/>
  <c r="BY221" i="5"/>
  <c r="BZ221" i="5"/>
  <c r="CA221" i="5"/>
  <c r="CB221" i="5"/>
  <c r="CC221" i="5"/>
  <c r="CD221" i="5"/>
  <c r="CE221" i="5"/>
  <c r="CF221" i="5"/>
  <c r="CG221" i="5"/>
  <c r="CH221" i="5"/>
  <c r="CI221" i="5"/>
  <c r="CJ221" i="5"/>
  <c r="CK221" i="5"/>
  <c r="CL221" i="5"/>
  <c r="CM221" i="5"/>
  <c r="CN221" i="5"/>
  <c r="CO221" i="5"/>
  <c r="CP221" i="5"/>
  <c r="CQ221" i="5"/>
  <c r="CR221" i="5"/>
  <c r="CS221" i="5"/>
  <c r="CT221" i="5"/>
  <c r="CU221" i="5"/>
  <c r="CV221" i="5"/>
  <c r="CW221" i="5"/>
  <c r="CX221" i="5"/>
  <c r="CY221" i="5"/>
  <c r="CZ221" i="5"/>
  <c r="DA221" i="5"/>
  <c r="DB221" i="5"/>
  <c r="DC221" i="5"/>
  <c r="DD221" i="5"/>
  <c r="DE221" i="5"/>
  <c r="DF221" i="5"/>
  <c r="DG221" i="5"/>
  <c r="DH221" i="5"/>
  <c r="DI221" i="5"/>
  <c r="DJ221" i="5"/>
  <c r="DK221" i="5"/>
  <c r="DL221" i="5"/>
  <c r="DM221" i="5"/>
  <c r="DN221" i="5"/>
  <c r="DO221" i="5"/>
  <c r="DP221" i="5"/>
  <c r="DQ221" i="5"/>
  <c r="DR221" i="5"/>
  <c r="DS221" i="5"/>
  <c r="DT221" i="5"/>
  <c r="DU221" i="5"/>
  <c r="DV221" i="5"/>
  <c r="DW221" i="5"/>
  <c r="DX221" i="5"/>
  <c r="DY221" i="5"/>
  <c r="DZ221" i="5"/>
  <c r="EA221" i="5"/>
  <c r="EB221" i="5"/>
  <c r="EC221" i="5"/>
  <c r="ED221" i="5"/>
  <c r="EE221" i="5"/>
  <c r="EF221" i="5"/>
  <c r="EG221" i="5"/>
  <c r="EH221" i="5"/>
  <c r="EI221" i="5"/>
  <c r="EJ221" i="5"/>
  <c r="EK221" i="5"/>
  <c r="EL221" i="5"/>
  <c r="EM221" i="5"/>
  <c r="EN221" i="5"/>
  <c r="EO221" i="5"/>
  <c r="EP221" i="5"/>
  <c r="EQ221" i="5"/>
  <c r="ER221" i="5"/>
  <c r="ES221" i="5"/>
  <c r="ET221" i="5"/>
  <c r="EU221" i="5"/>
  <c r="EV221" i="5"/>
  <c r="EW221" i="5"/>
  <c r="EX221" i="5"/>
  <c r="EY221" i="5"/>
  <c r="EZ221" i="5"/>
  <c r="FA221" i="5"/>
  <c r="FB221" i="5"/>
  <c r="FC221" i="5"/>
  <c r="FD221" i="5"/>
  <c r="FE221" i="5"/>
  <c r="FF221" i="5"/>
  <c r="FG221" i="5"/>
  <c r="FH221" i="5"/>
  <c r="FI221" i="5"/>
  <c r="FJ221" i="5"/>
  <c r="FK221" i="5"/>
  <c r="FL221" i="5"/>
  <c r="FM221" i="5"/>
  <c r="FN221" i="5"/>
  <c r="FO221" i="5"/>
  <c r="FP221" i="5"/>
  <c r="FQ221" i="5"/>
  <c r="FR221" i="5"/>
  <c r="FS221" i="5"/>
  <c r="FT221" i="5"/>
  <c r="FU221" i="5"/>
  <c r="FV221" i="5"/>
  <c r="FW221" i="5"/>
  <c r="FX221" i="5"/>
  <c r="FY221" i="5"/>
  <c r="FZ221" i="5"/>
  <c r="GA221" i="5"/>
  <c r="GB221" i="5"/>
  <c r="GC221" i="5"/>
  <c r="GD221" i="5"/>
  <c r="GE221" i="5"/>
  <c r="GF221" i="5"/>
  <c r="GG221" i="5"/>
  <c r="GH221" i="5"/>
  <c r="GI221" i="5"/>
  <c r="GJ221" i="5"/>
  <c r="GK221" i="5"/>
  <c r="GL221" i="5"/>
  <c r="GM221" i="5"/>
  <c r="GN221" i="5"/>
  <c r="GO221" i="5"/>
  <c r="GP221" i="5"/>
  <c r="GQ221" i="5"/>
  <c r="GR221" i="5"/>
  <c r="GS221" i="5"/>
  <c r="GT221" i="5"/>
  <c r="GU221" i="5"/>
  <c r="GV221" i="5"/>
  <c r="GW221" i="5"/>
  <c r="GX221" i="5"/>
  <c r="GY221" i="5"/>
  <c r="GZ221" i="5"/>
  <c r="HA221" i="5"/>
  <c r="HB221" i="5"/>
  <c r="HC221" i="5"/>
  <c r="HD221" i="5"/>
  <c r="HE221" i="5"/>
  <c r="HF221" i="5"/>
  <c r="HG221" i="5"/>
  <c r="A222" i="5"/>
  <c r="B222" i="5"/>
  <c r="C222" i="5"/>
  <c r="D222" i="5"/>
  <c r="E222" i="5"/>
  <c r="F222" i="5"/>
  <c r="G222" i="5"/>
  <c r="H222" i="5"/>
  <c r="I222" i="5"/>
  <c r="J222" i="5"/>
  <c r="K222" i="5"/>
  <c r="L222" i="5"/>
  <c r="M222" i="5"/>
  <c r="N222" i="5"/>
  <c r="O222" i="5"/>
  <c r="P222" i="5"/>
  <c r="Q222" i="5"/>
  <c r="R222" i="5"/>
  <c r="S222" i="5"/>
  <c r="T222" i="5"/>
  <c r="U222" i="5"/>
  <c r="V222" i="5"/>
  <c r="W222" i="5"/>
  <c r="X222" i="5"/>
  <c r="Y222" i="5"/>
  <c r="Z222" i="5"/>
  <c r="AA222" i="5"/>
  <c r="AB222" i="5"/>
  <c r="AC222" i="5"/>
  <c r="AD222" i="5"/>
  <c r="AE222" i="5"/>
  <c r="AF222" i="5"/>
  <c r="AG222" i="5"/>
  <c r="AH222" i="5"/>
  <c r="AI222" i="5"/>
  <c r="AJ222" i="5"/>
  <c r="AK222" i="5"/>
  <c r="AL222" i="5"/>
  <c r="AM222" i="5"/>
  <c r="AN222" i="5"/>
  <c r="AO222" i="5"/>
  <c r="AP222" i="5"/>
  <c r="AQ222" i="5"/>
  <c r="AR222" i="5"/>
  <c r="AS222" i="5"/>
  <c r="AT222" i="5"/>
  <c r="AU222" i="5"/>
  <c r="AV222" i="5"/>
  <c r="AW222" i="5"/>
  <c r="AX222" i="5"/>
  <c r="AY222" i="5"/>
  <c r="AZ222" i="5"/>
  <c r="BA222" i="5"/>
  <c r="BB222" i="5"/>
  <c r="BC222" i="5"/>
  <c r="BD222" i="5"/>
  <c r="BE222" i="5"/>
  <c r="BF222" i="5"/>
  <c r="BG222" i="5"/>
  <c r="BH222" i="5"/>
  <c r="BI222" i="5"/>
  <c r="BJ222" i="5"/>
  <c r="BK222" i="5"/>
  <c r="BL222" i="5"/>
  <c r="BM222" i="5"/>
  <c r="BN222" i="5"/>
  <c r="BO222" i="5"/>
  <c r="BP222" i="5"/>
  <c r="BQ222" i="5"/>
  <c r="BR222" i="5"/>
  <c r="BS222" i="5"/>
  <c r="BT222" i="5"/>
  <c r="BU222" i="5"/>
  <c r="BV222" i="5"/>
  <c r="BW222" i="5"/>
  <c r="BX222" i="5"/>
  <c r="BY222" i="5"/>
  <c r="BZ222" i="5"/>
  <c r="CA222" i="5"/>
  <c r="CB222" i="5"/>
  <c r="CC222" i="5"/>
  <c r="CD222" i="5"/>
  <c r="CE222" i="5"/>
  <c r="CF222" i="5"/>
  <c r="CG222" i="5"/>
  <c r="CH222" i="5"/>
  <c r="CI222" i="5"/>
  <c r="CJ222" i="5"/>
  <c r="CK222" i="5"/>
  <c r="CL222" i="5"/>
  <c r="CM222" i="5"/>
  <c r="CN222" i="5"/>
  <c r="CO222" i="5"/>
  <c r="CP222" i="5"/>
  <c r="CQ222" i="5"/>
  <c r="CR222" i="5"/>
  <c r="CS222" i="5"/>
  <c r="CT222" i="5"/>
  <c r="CU222" i="5"/>
  <c r="CV222" i="5"/>
  <c r="CW222" i="5"/>
  <c r="CX222" i="5"/>
  <c r="CY222" i="5"/>
  <c r="CZ222" i="5"/>
  <c r="DA222" i="5"/>
  <c r="DB222" i="5"/>
  <c r="DC222" i="5"/>
  <c r="DD222" i="5"/>
  <c r="DE222" i="5"/>
  <c r="DF222" i="5"/>
  <c r="DG222" i="5"/>
  <c r="DH222" i="5"/>
  <c r="DI222" i="5"/>
  <c r="DJ222" i="5"/>
  <c r="DK222" i="5"/>
  <c r="DL222" i="5"/>
  <c r="DM222" i="5"/>
  <c r="DN222" i="5"/>
  <c r="DO222" i="5"/>
  <c r="DP222" i="5"/>
  <c r="DQ222" i="5"/>
  <c r="DR222" i="5"/>
  <c r="DS222" i="5"/>
  <c r="DT222" i="5"/>
  <c r="DU222" i="5"/>
  <c r="DV222" i="5"/>
  <c r="DW222" i="5"/>
  <c r="DX222" i="5"/>
  <c r="DY222" i="5"/>
  <c r="DZ222" i="5"/>
  <c r="EA222" i="5"/>
  <c r="EB222" i="5"/>
  <c r="EC222" i="5"/>
  <c r="ED222" i="5"/>
  <c r="EE222" i="5"/>
  <c r="EF222" i="5"/>
  <c r="EG222" i="5"/>
  <c r="EH222" i="5"/>
  <c r="EI222" i="5"/>
  <c r="EJ222" i="5"/>
  <c r="EK222" i="5"/>
  <c r="EL222" i="5"/>
  <c r="EM222" i="5"/>
  <c r="EN222" i="5"/>
  <c r="EO222" i="5"/>
  <c r="EP222" i="5"/>
  <c r="EQ222" i="5"/>
  <c r="ER222" i="5"/>
  <c r="ES222" i="5"/>
  <c r="ET222" i="5"/>
  <c r="EU222" i="5"/>
  <c r="EV222" i="5"/>
  <c r="EW222" i="5"/>
  <c r="EX222" i="5"/>
  <c r="EY222" i="5"/>
  <c r="EZ222" i="5"/>
  <c r="FA222" i="5"/>
  <c r="FB222" i="5"/>
  <c r="FC222" i="5"/>
  <c r="FD222" i="5"/>
  <c r="FE222" i="5"/>
  <c r="FF222" i="5"/>
  <c r="FG222" i="5"/>
  <c r="FH222" i="5"/>
  <c r="FI222" i="5"/>
  <c r="FJ222" i="5"/>
  <c r="FK222" i="5"/>
  <c r="FL222" i="5"/>
  <c r="FM222" i="5"/>
  <c r="FN222" i="5"/>
  <c r="FO222" i="5"/>
  <c r="FP222" i="5"/>
  <c r="FQ222" i="5"/>
  <c r="FR222" i="5"/>
  <c r="FS222" i="5"/>
  <c r="FT222" i="5"/>
  <c r="FU222" i="5"/>
  <c r="FV222" i="5"/>
  <c r="FW222" i="5"/>
  <c r="FX222" i="5"/>
  <c r="FY222" i="5"/>
  <c r="FZ222" i="5"/>
  <c r="GA222" i="5"/>
  <c r="GB222" i="5"/>
  <c r="GC222" i="5"/>
  <c r="GD222" i="5"/>
  <c r="GE222" i="5"/>
  <c r="GF222" i="5"/>
  <c r="GG222" i="5"/>
  <c r="GH222" i="5"/>
  <c r="GI222" i="5"/>
  <c r="GJ222" i="5"/>
  <c r="GK222" i="5"/>
  <c r="GL222" i="5"/>
  <c r="GM222" i="5"/>
  <c r="GN222" i="5"/>
  <c r="GO222" i="5"/>
  <c r="GP222" i="5"/>
  <c r="GQ222" i="5"/>
  <c r="GR222" i="5"/>
  <c r="GS222" i="5"/>
  <c r="GT222" i="5"/>
  <c r="GU222" i="5"/>
  <c r="GV222" i="5"/>
  <c r="GW222" i="5"/>
  <c r="GX222" i="5"/>
  <c r="GY222" i="5"/>
  <c r="GZ222" i="5"/>
  <c r="HA222" i="5"/>
  <c r="HB222" i="5"/>
  <c r="HC222" i="5"/>
  <c r="HD222" i="5"/>
  <c r="HE222" i="5"/>
  <c r="HF222" i="5"/>
  <c r="HG222" i="5"/>
  <c r="A223" i="5"/>
  <c r="B223" i="5"/>
  <c r="C223" i="5"/>
  <c r="D223" i="5"/>
  <c r="E223" i="5"/>
  <c r="F223" i="5"/>
  <c r="G223" i="5"/>
  <c r="H223" i="5"/>
  <c r="I223" i="5"/>
  <c r="J223" i="5"/>
  <c r="K223" i="5"/>
  <c r="L223" i="5"/>
  <c r="M223" i="5"/>
  <c r="N223" i="5"/>
  <c r="O223" i="5"/>
  <c r="P223" i="5"/>
  <c r="Q223" i="5"/>
  <c r="R223" i="5"/>
  <c r="S223" i="5"/>
  <c r="T223" i="5"/>
  <c r="U223" i="5"/>
  <c r="V223" i="5"/>
  <c r="W223" i="5"/>
  <c r="X223" i="5"/>
  <c r="Y223" i="5"/>
  <c r="Z223" i="5"/>
  <c r="AA223" i="5"/>
  <c r="AB223" i="5"/>
  <c r="AC223" i="5"/>
  <c r="AD223" i="5"/>
  <c r="AE223" i="5"/>
  <c r="AF223" i="5"/>
  <c r="AG223" i="5"/>
  <c r="AH223" i="5"/>
  <c r="AI223" i="5"/>
  <c r="AJ223" i="5"/>
  <c r="AK223" i="5"/>
  <c r="AL223" i="5"/>
  <c r="AM223" i="5"/>
  <c r="AN223" i="5"/>
  <c r="AO223" i="5"/>
  <c r="AP223" i="5"/>
  <c r="AQ223" i="5"/>
  <c r="AR223" i="5"/>
  <c r="AS223" i="5"/>
  <c r="AT223" i="5"/>
  <c r="AU223" i="5"/>
  <c r="AV223" i="5"/>
  <c r="AW223" i="5"/>
  <c r="AX223" i="5"/>
  <c r="AY223" i="5"/>
  <c r="AZ223" i="5"/>
  <c r="BA223" i="5"/>
  <c r="BB223" i="5"/>
  <c r="BC223" i="5"/>
  <c r="BD223" i="5"/>
  <c r="BE223" i="5"/>
  <c r="BF223" i="5"/>
  <c r="BG223" i="5"/>
  <c r="BH223" i="5"/>
  <c r="BI223" i="5"/>
  <c r="BJ223" i="5"/>
  <c r="BK223" i="5"/>
  <c r="BL223" i="5"/>
  <c r="BM223" i="5"/>
  <c r="BN223" i="5"/>
  <c r="BO223" i="5"/>
  <c r="BP223" i="5"/>
  <c r="BQ223" i="5"/>
  <c r="BR223" i="5"/>
  <c r="BS223" i="5"/>
  <c r="BT223" i="5"/>
  <c r="BU223" i="5"/>
  <c r="BV223" i="5"/>
  <c r="BW223" i="5"/>
  <c r="BX223" i="5"/>
  <c r="BY223" i="5"/>
  <c r="BZ223" i="5"/>
  <c r="CA223" i="5"/>
  <c r="CB223" i="5"/>
  <c r="CC223" i="5"/>
  <c r="CD223" i="5"/>
  <c r="CE223" i="5"/>
  <c r="CF223" i="5"/>
  <c r="CG223" i="5"/>
  <c r="CH223" i="5"/>
  <c r="CI223" i="5"/>
  <c r="CJ223" i="5"/>
  <c r="CK223" i="5"/>
  <c r="CL223" i="5"/>
  <c r="CM223" i="5"/>
  <c r="CN223" i="5"/>
  <c r="CO223" i="5"/>
  <c r="CP223" i="5"/>
  <c r="CQ223" i="5"/>
  <c r="CR223" i="5"/>
  <c r="CS223" i="5"/>
  <c r="CT223" i="5"/>
  <c r="CU223" i="5"/>
  <c r="CV223" i="5"/>
  <c r="CW223" i="5"/>
  <c r="CX223" i="5"/>
  <c r="CY223" i="5"/>
  <c r="CZ223" i="5"/>
  <c r="DA223" i="5"/>
  <c r="DB223" i="5"/>
  <c r="DC223" i="5"/>
  <c r="DD223" i="5"/>
  <c r="DE223" i="5"/>
  <c r="DF223" i="5"/>
  <c r="DG223" i="5"/>
  <c r="DH223" i="5"/>
  <c r="DI223" i="5"/>
  <c r="DJ223" i="5"/>
  <c r="DK223" i="5"/>
  <c r="DL223" i="5"/>
  <c r="DM223" i="5"/>
  <c r="DN223" i="5"/>
  <c r="DO223" i="5"/>
  <c r="DP223" i="5"/>
  <c r="DQ223" i="5"/>
  <c r="DR223" i="5"/>
  <c r="DS223" i="5"/>
  <c r="DT223" i="5"/>
  <c r="DU223" i="5"/>
  <c r="DV223" i="5"/>
  <c r="DW223" i="5"/>
  <c r="DX223" i="5"/>
  <c r="DY223" i="5"/>
  <c r="DZ223" i="5"/>
  <c r="EA223" i="5"/>
  <c r="EB223" i="5"/>
  <c r="EC223" i="5"/>
  <c r="ED223" i="5"/>
  <c r="EE223" i="5"/>
  <c r="EF223" i="5"/>
  <c r="EG223" i="5"/>
  <c r="EH223" i="5"/>
  <c r="EI223" i="5"/>
  <c r="EJ223" i="5"/>
  <c r="EK223" i="5"/>
  <c r="EL223" i="5"/>
  <c r="EM223" i="5"/>
  <c r="EN223" i="5"/>
  <c r="EO223" i="5"/>
  <c r="EP223" i="5"/>
  <c r="EQ223" i="5"/>
  <c r="ER223" i="5"/>
  <c r="ES223" i="5"/>
  <c r="ET223" i="5"/>
  <c r="EU223" i="5"/>
  <c r="EV223" i="5"/>
  <c r="EW223" i="5"/>
  <c r="EX223" i="5"/>
  <c r="EY223" i="5"/>
  <c r="EZ223" i="5"/>
  <c r="FA223" i="5"/>
  <c r="FB223" i="5"/>
  <c r="FC223" i="5"/>
  <c r="FD223" i="5"/>
  <c r="FE223" i="5"/>
  <c r="FF223" i="5"/>
  <c r="FG223" i="5"/>
  <c r="FH223" i="5"/>
  <c r="FI223" i="5"/>
  <c r="FJ223" i="5"/>
  <c r="FK223" i="5"/>
  <c r="FL223" i="5"/>
  <c r="FM223" i="5"/>
  <c r="FN223" i="5"/>
  <c r="FO223" i="5"/>
  <c r="FP223" i="5"/>
  <c r="FQ223" i="5"/>
  <c r="FR223" i="5"/>
  <c r="FS223" i="5"/>
  <c r="FT223" i="5"/>
  <c r="FU223" i="5"/>
  <c r="FV223" i="5"/>
  <c r="FW223" i="5"/>
  <c r="FX223" i="5"/>
  <c r="FY223" i="5"/>
  <c r="FZ223" i="5"/>
  <c r="GA223" i="5"/>
  <c r="GB223" i="5"/>
  <c r="GC223" i="5"/>
  <c r="GD223" i="5"/>
  <c r="GE223" i="5"/>
  <c r="GF223" i="5"/>
  <c r="GG223" i="5"/>
  <c r="GH223" i="5"/>
  <c r="GI223" i="5"/>
  <c r="GJ223" i="5"/>
  <c r="GK223" i="5"/>
  <c r="GL223" i="5"/>
  <c r="GM223" i="5"/>
  <c r="GN223" i="5"/>
  <c r="GO223" i="5"/>
  <c r="GP223" i="5"/>
  <c r="GQ223" i="5"/>
  <c r="GR223" i="5"/>
  <c r="GS223" i="5"/>
  <c r="GT223" i="5"/>
  <c r="GU223" i="5"/>
  <c r="GV223" i="5"/>
  <c r="GW223" i="5"/>
  <c r="GX223" i="5"/>
  <c r="GY223" i="5"/>
  <c r="GZ223" i="5"/>
  <c r="HA223" i="5"/>
  <c r="HB223" i="5"/>
  <c r="HC223" i="5"/>
  <c r="HD223" i="5"/>
  <c r="HE223" i="5"/>
  <c r="HF223" i="5"/>
  <c r="HG223" i="5"/>
  <c r="A224" i="5"/>
  <c r="B224" i="5"/>
  <c r="C224" i="5"/>
  <c r="D224" i="5"/>
  <c r="E224" i="5"/>
  <c r="F224" i="5"/>
  <c r="G224" i="5"/>
  <c r="H224" i="5"/>
  <c r="I224" i="5"/>
  <c r="J224" i="5"/>
  <c r="K224" i="5"/>
  <c r="L224" i="5"/>
  <c r="M224" i="5"/>
  <c r="N224" i="5"/>
  <c r="O224" i="5"/>
  <c r="P224" i="5"/>
  <c r="Q224" i="5"/>
  <c r="R224" i="5"/>
  <c r="S224" i="5"/>
  <c r="T224" i="5"/>
  <c r="U224" i="5"/>
  <c r="V224" i="5"/>
  <c r="W224" i="5"/>
  <c r="X224" i="5"/>
  <c r="Y224" i="5"/>
  <c r="Z224" i="5"/>
  <c r="AA224" i="5"/>
  <c r="AB224" i="5"/>
  <c r="AC224" i="5"/>
  <c r="AD224" i="5"/>
  <c r="AE224" i="5"/>
  <c r="AF224" i="5"/>
  <c r="AG224" i="5"/>
  <c r="AH224" i="5"/>
  <c r="AI224" i="5"/>
  <c r="AJ224" i="5"/>
  <c r="AK224" i="5"/>
  <c r="AL224" i="5"/>
  <c r="AM224" i="5"/>
  <c r="AN224" i="5"/>
  <c r="AO224" i="5"/>
  <c r="AP224" i="5"/>
  <c r="AQ224" i="5"/>
  <c r="AR224" i="5"/>
  <c r="AS224" i="5"/>
  <c r="AT224" i="5"/>
  <c r="AU224" i="5"/>
  <c r="AV224" i="5"/>
  <c r="AW224" i="5"/>
  <c r="AX224" i="5"/>
  <c r="AY224" i="5"/>
  <c r="AZ224" i="5"/>
  <c r="BA224" i="5"/>
  <c r="BB224" i="5"/>
  <c r="BC224" i="5"/>
  <c r="BD224" i="5"/>
  <c r="BE224" i="5"/>
  <c r="BF224" i="5"/>
  <c r="BG224" i="5"/>
  <c r="BH224" i="5"/>
  <c r="BI224" i="5"/>
  <c r="BJ224" i="5"/>
  <c r="BK224" i="5"/>
  <c r="BL224" i="5"/>
  <c r="BM224" i="5"/>
  <c r="BN224" i="5"/>
  <c r="BO224" i="5"/>
  <c r="BP224" i="5"/>
  <c r="BQ224" i="5"/>
  <c r="BR224" i="5"/>
  <c r="BS224" i="5"/>
  <c r="BT224" i="5"/>
  <c r="BU224" i="5"/>
  <c r="BV224" i="5"/>
  <c r="BW224" i="5"/>
  <c r="BX224" i="5"/>
  <c r="BY224" i="5"/>
  <c r="BZ224" i="5"/>
  <c r="CA224" i="5"/>
  <c r="CB224" i="5"/>
  <c r="CC224" i="5"/>
  <c r="CD224" i="5"/>
  <c r="CE224" i="5"/>
  <c r="CF224" i="5"/>
  <c r="CG224" i="5"/>
  <c r="CH224" i="5"/>
  <c r="CI224" i="5"/>
  <c r="CJ224" i="5"/>
  <c r="CK224" i="5"/>
  <c r="CL224" i="5"/>
  <c r="CM224" i="5"/>
  <c r="CN224" i="5"/>
  <c r="CO224" i="5"/>
  <c r="CP224" i="5"/>
  <c r="CQ224" i="5"/>
  <c r="CR224" i="5"/>
  <c r="CS224" i="5"/>
  <c r="CT224" i="5"/>
  <c r="CU224" i="5"/>
  <c r="CV224" i="5"/>
  <c r="CW224" i="5"/>
  <c r="CX224" i="5"/>
  <c r="CY224" i="5"/>
  <c r="CZ224" i="5"/>
  <c r="DA224" i="5"/>
  <c r="DB224" i="5"/>
  <c r="DC224" i="5"/>
  <c r="DD224" i="5"/>
  <c r="DE224" i="5"/>
  <c r="DF224" i="5"/>
  <c r="DG224" i="5"/>
  <c r="DH224" i="5"/>
  <c r="DI224" i="5"/>
  <c r="DJ224" i="5"/>
  <c r="DK224" i="5"/>
  <c r="DL224" i="5"/>
  <c r="DM224" i="5"/>
  <c r="DN224" i="5"/>
  <c r="DO224" i="5"/>
  <c r="DP224" i="5"/>
  <c r="DQ224" i="5"/>
  <c r="DR224" i="5"/>
  <c r="DS224" i="5"/>
  <c r="DT224" i="5"/>
  <c r="DU224" i="5"/>
  <c r="DV224" i="5"/>
  <c r="DW224" i="5"/>
  <c r="DX224" i="5"/>
  <c r="DY224" i="5"/>
  <c r="DZ224" i="5"/>
  <c r="EA224" i="5"/>
  <c r="EB224" i="5"/>
  <c r="EC224" i="5"/>
  <c r="ED224" i="5"/>
  <c r="EE224" i="5"/>
  <c r="EF224" i="5"/>
  <c r="EG224" i="5"/>
  <c r="EH224" i="5"/>
  <c r="EI224" i="5"/>
  <c r="EJ224" i="5"/>
  <c r="EK224" i="5"/>
  <c r="EL224" i="5"/>
  <c r="EM224" i="5"/>
  <c r="EN224" i="5"/>
  <c r="EO224" i="5"/>
  <c r="EP224" i="5"/>
  <c r="EQ224" i="5"/>
  <c r="ER224" i="5"/>
  <c r="ES224" i="5"/>
  <c r="ET224" i="5"/>
  <c r="EU224" i="5"/>
  <c r="EV224" i="5"/>
  <c r="EW224" i="5"/>
  <c r="EX224" i="5"/>
  <c r="EY224" i="5"/>
  <c r="EZ224" i="5"/>
  <c r="FA224" i="5"/>
  <c r="FB224" i="5"/>
  <c r="FC224" i="5"/>
  <c r="FD224" i="5"/>
  <c r="FE224" i="5"/>
  <c r="FF224" i="5"/>
  <c r="FG224" i="5"/>
  <c r="FH224" i="5"/>
  <c r="FI224" i="5"/>
  <c r="FJ224" i="5"/>
  <c r="FK224" i="5"/>
  <c r="FL224" i="5"/>
  <c r="FM224" i="5"/>
  <c r="FN224" i="5"/>
  <c r="FO224" i="5"/>
  <c r="FP224" i="5"/>
  <c r="FQ224" i="5"/>
  <c r="FR224" i="5"/>
  <c r="FS224" i="5"/>
  <c r="FT224" i="5"/>
  <c r="FU224" i="5"/>
  <c r="FV224" i="5"/>
  <c r="FW224" i="5"/>
  <c r="FX224" i="5"/>
  <c r="FY224" i="5"/>
  <c r="FZ224" i="5"/>
  <c r="GA224" i="5"/>
  <c r="GB224" i="5"/>
  <c r="GC224" i="5"/>
  <c r="GD224" i="5"/>
  <c r="GE224" i="5"/>
  <c r="GF224" i="5"/>
  <c r="GG224" i="5"/>
  <c r="GH224" i="5"/>
  <c r="GI224" i="5"/>
  <c r="GJ224" i="5"/>
  <c r="GK224" i="5"/>
  <c r="GL224" i="5"/>
  <c r="GM224" i="5"/>
  <c r="GN224" i="5"/>
  <c r="GO224" i="5"/>
  <c r="GP224" i="5"/>
  <c r="GQ224" i="5"/>
  <c r="GR224" i="5"/>
  <c r="GS224" i="5"/>
  <c r="GT224" i="5"/>
  <c r="GU224" i="5"/>
  <c r="GV224" i="5"/>
  <c r="GW224" i="5"/>
  <c r="GX224" i="5"/>
  <c r="GY224" i="5"/>
  <c r="GZ224" i="5"/>
  <c r="HA224" i="5"/>
  <c r="HB224" i="5"/>
  <c r="HC224" i="5"/>
  <c r="HD224" i="5"/>
  <c r="HE224" i="5"/>
  <c r="HF224" i="5"/>
  <c r="HG224" i="5"/>
  <c r="A225" i="5"/>
  <c r="B225" i="5"/>
  <c r="C225" i="5"/>
  <c r="D225" i="5"/>
  <c r="E225" i="5"/>
  <c r="F225" i="5"/>
  <c r="G225" i="5"/>
  <c r="H225" i="5"/>
  <c r="I225" i="5"/>
  <c r="J225" i="5"/>
  <c r="K225" i="5"/>
  <c r="L225" i="5"/>
  <c r="M225" i="5"/>
  <c r="N225" i="5"/>
  <c r="O225" i="5"/>
  <c r="P225" i="5"/>
  <c r="Q225" i="5"/>
  <c r="R225" i="5"/>
  <c r="S225" i="5"/>
  <c r="T225" i="5"/>
  <c r="U225" i="5"/>
  <c r="V225" i="5"/>
  <c r="W225" i="5"/>
  <c r="X225" i="5"/>
  <c r="Y225" i="5"/>
  <c r="Z225" i="5"/>
  <c r="AA225" i="5"/>
  <c r="AB225" i="5"/>
  <c r="AC225" i="5"/>
  <c r="AD225" i="5"/>
  <c r="AE225" i="5"/>
  <c r="AF225" i="5"/>
  <c r="AG225" i="5"/>
  <c r="AH225" i="5"/>
  <c r="AI225" i="5"/>
  <c r="AJ225" i="5"/>
  <c r="AK225" i="5"/>
  <c r="AL225" i="5"/>
  <c r="AM225" i="5"/>
  <c r="AN225" i="5"/>
  <c r="AO225" i="5"/>
  <c r="AP225" i="5"/>
  <c r="AQ225" i="5"/>
  <c r="AR225" i="5"/>
  <c r="AS225" i="5"/>
  <c r="AT225" i="5"/>
  <c r="AU225" i="5"/>
  <c r="AV225" i="5"/>
  <c r="AW225" i="5"/>
  <c r="AX225" i="5"/>
  <c r="AY225" i="5"/>
  <c r="AZ225" i="5"/>
  <c r="BA225" i="5"/>
  <c r="BB225" i="5"/>
  <c r="BC225" i="5"/>
  <c r="BD225" i="5"/>
  <c r="BE225" i="5"/>
  <c r="BF225" i="5"/>
  <c r="BG225" i="5"/>
  <c r="BH225" i="5"/>
  <c r="BI225" i="5"/>
  <c r="BJ225" i="5"/>
  <c r="BK225" i="5"/>
  <c r="BL225" i="5"/>
  <c r="BM225" i="5"/>
  <c r="BN225" i="5"/>
  <c r="BO225" i="5"/>
  <c r="BP225" i="5"/>
  <c r="BQ225" i="5"/>
  <c r="BR225" i="5"/>
  <c r="BS225" i="5"/>
  <c r="BT225" i="5"/>
  <c r="BU225" i="5"/>
  <c r="BV225" i="5"/>
  <c r="BW225" i="5"/>
  <c r="BX225" i="5"/>
  <c r="BY225" i="5"/>
  <c r="BZ225" i="5"/>
  <c r="CA225" i="5"/>
  <c r="CB225" i="5"/>
  <c r="CC225" i="5"/>
  <c r="CD225" i="5"/>
  <c r="CE225" i="5"/>
  <c r="CF225" i="5"/>
  <c r="CG225" i="5"/>
  <c r="CH225" i="5"/>
  <c r="CI225" i="5"/>
  <c r="CJ225" i="5"/>
  <c r="CK225" i="5"/>
  <c r="CL225" i="5"/>
  <c r="CM225" i="5"/>
  <c r="CN225" i="5"/>
  <c r="CO225" i="5"/>
  <c r="CP225" i="5"/>
  <c r="CQ225" i="5"/>
  <c r="CR225" i="5"/>
  <c r="CS225" i="5"/>
  <c r="CT225" i="5"/>
  <c r="CU225" i="5"/>
  <c r="CV225" i="5"/>
  <c r="CW225" i="5"/>
  <c r="CX225" i="5"/>
  <c r="CY225" i="5"/>
  <c r="CZ225" i="5"/>
  <c r="DA225" i="5"/>
  <c r="DB225" i="5"/>
  <c r="DC225" i="5"/>
  <c r="DD225" i="5"/>
  <c r="DE225" i="5"/>
  <c r="DF225" i="5"/>
  <c r="DG225" i="5"/>
  <c r="DH225" i="5"/>
  <c r="DI225" i="5"/>
  <c r="DJ225" i="5"/>
  <c r="DK225" i="5"/>
  <c r="DL225" i="5"/>
  <c r="DM225" i="5"/>
  <c r="DN225" i="5"/>
  <c r="DO225" i="5"/>
  <c r="DP225" i="5"/>
  <c r="DQ225" i="5"/>
  <c r="DR225" i="5"/>
  <c r="DS225" i="5"/>
  <c r="DT225" i="5"/>
  <c r="DU225" i="5"/>
  <c r="DV225" i="5"/>
  <c r="DW225" i="5"/>
  <c r="DX225" i="5"/>
  <c r="DY225" i="5"/>
  <c r="DZ225" i="5"/>
  <c r="EA225" i="5"/>
  <c r="EB225" i="5"/>
  <c r="EC225" i="5"/>
  <c r="ED225" i="5"/>
  <c r="EE225" i="5"/>
  <c r="EF225" i="5"/>
  <c r="EG225" i="5"/>
  <c r="EH225" i="5"/>
  <c r="EI225" i="5"/>
  <c r="EJ225" i="5"/>
  <c r="EK225" i="5"/>
  <c r="EL225" i="5"/>
  <c r="EM225" i="5"/>
  <c r="EN225" i="5"/>
  <c r="EO225" i="5"/>
  <c r="EP225" i="5"/>
  <c r="EQ225" i="5"/>
  <c r="ER225" i="5"/>
  <c r="ES225" i="5"/>
  <c r="ET225" i="5"/>
  <c r="EU225" i="5"/>
  <c r="EV225" i="5"/>
  <c r="EW225" i="5"/>
  <c r="EX225" i="5"/>
  <c r="EY225" i="5"/>
  <c r="EZ225" i="5"/>
  <c r="FA225" i="5"/>
  <c r="FB225" i="5"/>
  <c r="FC225" i="5"/>
  <c r="FD225" i="5"/>
  <c r="FE225" i="5"/>
  <c r="FF225" i="5"/>
  <c r="FG225" i="5"/>
  <c r="FH225" i="5"/>
  <c r="FI225" i="5"/>
  <c r="FJ225" i="5"/>
  <c r="FK225" i="5"/>
  <c r="FL225" i="5"/>
  <c r="FM225" i="5"/>
  <c r="FN225" i="5"/>
  <c r="FO225" i="5"/>
  <c r="FP225" i="5"/>
  <c r="FQ225" i="5"/>
  <c r="FR225" i="5"/>
  <c r="FS225" i="5"/>
  <c r="FT225" i="5"/>
  <c r="FU225" i="5"/>
  <c r="FV225" i="5"/>
  <c r="FW225" i="5"/>
  <c r="FX225" i="5"/>
  <c r="FY225" i="5"/>
  <c r="FZ225" i="5"/>
  <c r="GA225" i="5"/>
  <c r="GB225" i="5"/>
  <c r="GC225" i="5"/>
  <c r="GD225" i="5"/>
  <c r="GE225" i="5"/>
  <c r="GF225" i="5"/>
  <c r="GG225" i="5"/>
  <c r="GH225" i="5"/>
  <c r="GI225" i="5"/>
  <c r="GJ225" i="5"/>
  <c r="GK225" i="5"/>
  <c r="GL225" i="5"/>
  <c r="GM225" i="5"/>
  <c r="GN225" i="5"/>
  <c r="GO225" i="5"/>
  <c r="GP225" i="5"/>
  <c r="GQ225" i="5"/>
  <c r="GR225" i="5"/>
  <c r="GS225" i="5"/>
  <c r="GT225" i="5"/>
  <c r="GU225" i="5"/>
  <c r="GV225" i="5"/>
  <c r="GW225" i="5"/>
  <c r="GX225" i="5"/>
  <c r="GY225" i="5"/>
  <c r="GZ225" i="5"/>
  <c r="HA225" i="5"/>
  <c r="HB225" i="5"/>
  <c r="HC225" i="5"/>
  <c r="HD225" i="5"/>
  <c r="HE225" i="5"/>
  <c r="HF225" i="5"/>
  <c r="HG225" i="5"/>
  <c r="A226" i="5"/>
  <c r="B226" i="5"/>
  <c r="C226" i="5"/>
  <c r="D226" i="5"/>
  <c r="E226" i="5"/>
  <c r="F226" i="5"/>
  <c r="G226" i="5"/>
  <c r="H226" i="5"/>
  <c r="I226" i="5"/>
  <c r="J226" i="5"/>
  <c r="K226" i="5"/>
  <c r="L226" i="5"/>
  <c r="M226" i="5"/>
  <c r="N226" i="5"/>
  <c r="O226" i="5"/>
  <c r="P226" i="5"/>
  <c r="Q226" i="5"/>
  <c r="R226" i="5"/>
  <c r="S226" i="5"/>
  <c r="T226" i="5"/>
  <c r="U226" i="5"/>
  <c r="V226" i="5"/>
  <c r="W226" i="5"/>
  <c r="X226" i="5"/>
  <c r="Y226" i="5"/>
  <c r="Z226" i="5"/>
  <c r="AA226" i="5"/>
  <c r="AB226" i="5"/>
  <c r="AC226" i="5"/>
  <c r="AD226" i="5"/>
  <c r="AE226" i="5"/>
  <c r="AF226" i="5"/>
  <c r="AG226" i="5"/>
  <c r="AH226" i="5"/>
  <c r="AI226" i="5"/>
  <c r="AJ226" i="5"/>
  <c r="AK226" i="5"/>
  <c r="AL226" i="5"/>
  <c r="AM226" i="5"/>
  <c r="AN226" i="5"/>
  <c r="AO226" i="5"/>
  <c r="AP226" i="5"/>
  <c r="AQ226" i="5"/>
  <c r="AR226" i="5"/>
  <c r="AS226" i="5"/>
  <c r="AT226" i="5"/>
  <c r="AU226" i="5"/>
  <c r="AV226" i="5"/>
  <c r="AW226" i="5"/>
  <c r="AX226" i="5"/>
  <c r="AY226" i="5"/>
  <c r="AZ226" i="5"/>
  <c r="BA226" i="5"/>
  <c r="BB226" i="5"/>
  <c r="BC226" i="5"/>
  <c r="BD226" i="5"/>
  <c r="BE226" i="5"/>
  <c r="BF226" i="5"/>
  <c r="BG226" i="5"/>
  <c r="BH226" i="5"/>
  <c r="BI226" i="5"/>
  <c r="BJ226" i="5"/>
  <c r="BK226" i="5"/>
  <c r="BL226" i="5"/>
  <c r="BM226" i="5"/>
  <c r="BN226" i="5"/>
  <c r="BO226" i="5"/>
  <c r="BP226" i="5"/>
  <c r="BQ226" i="5"/>
  <c r="BR226" i="5"/>
  <c r="BS226" i="5"/>
  <c r="BT226" i="5"/>
  <c r="BU226" i="5"/>
  <c r="BV226" i="5"/>
  <c r="BW226" i="5"/>
  <c r="BX226" i="5"/>
  <c r="BY226" i="5"/>
  <c r="BZ226" i="5"/>
  <c r="CA226" i="5"/>
  <c r="CB226" i="5"/>
  <c r="CC226" i="5"/>
  <c r="CD226" i="5"/>
  <c r="CE226" i="5"/>
  <c r="CF226" i="5"/>
  <c r="CG226" i="5"/>
  <c r="CH226" i="5"/>
  <c r="CI226" i="5"/>
  <c r="CJ226" i="5"/>
  <c r="CK226" i="5"/>
  <c r="CL226" i="5"/>
  <c r="CM226" i="5"/>
  <c r="CN226" i="5"/>
  <c r="CO226" i="5"/>
  <c r="CP226" i="5"/>
  <c r="CQ226" i="5"/>
  <c r="CR226" i="5"/>
  <c r="CS226" i="5"/>
  <c r="CT226" i="5"/>
  <c r="CU226" i="5"/>
  <c r="CV226" i="5"/>
  <c r="CW226" i="5"/>
  <c r="CX226" i="5"/>
  <c r="CY226" i="5"/>
  <c r="CZ226" i="5"/>
  <c r="DA226" i="5"/>
  <c r="DB226" i="5"/>
  <c r="DC226" i="5"/>
  <c r="DD226" i="5"/>
  <c r="DE226" i="5"/>
  <c r="DF226" i="5"/>
  <c r="DG226" i="5"/>
  <c r="DH226" i="5"/>
  <c r="DI226" i="5"/>
  <c r="DJ226" i="5"/>
  <c r="DK226" i="5"/>
  <c r="DL226" i="5"/>
  <c r="DM226" i="5"/>
  <c r="DN226" i="5"/>
  <c r="DO226" i="5"/>
  <c r="DP226" i="5"/>
  <c r="DQ226" i="5"/>
  <c r="DR226" i="5"/>
  <c r="DS226" i="5"/>
  <c r="DT226" i="5"/>
  <c r="DU226" i="5"/>
  <c r="DV226" i="5"/>
  <c r="DW226" i="5"/>
  <c r="DX226" i="5"/>
  <c r="DY226" i="5"/>
  <c r="DZ226" i="5"/>
  <c r="EA226" i="5"/>
  <c r="EB226" i="5"/>
  <c r="EC226" i="5"/>
  <c r="ED226" i="5"/>
  <c r="EE226" i="5"/>
  <c r="EF226" i="5"/>
  <c r="EG226" i="5"/>
  <c r="EH226" i="5"/>
  <c r="EI226" i="5"/>
  <c r="EJ226" i="5"/>
  <c r="EK226" i="5"/>
  <c r="EL226" i="5"/>
  <c r="EM226" i="5"/>
  <c r="EN226" i="5"/>
  <c r="EO226" i="5"/>
  <c r="EP226" i="5"/>
  <c r="EQ226" i="5"/>
  <c r="ER226" i="5"/>
  <c r="ES226" i="5"/>
  <c r="ET226" i="5"/>
  <c r="EU226" i="5"/>
  <c r="EV226" i="5"/>
  <c r="EW226" i="5"/>
  <c r="EX226" i="5"/>
  <c r="EY226" i="5"/>
  <c r="EZ226" i="5"/>
  <c r="FA226" i="5"/>
  <c r="FB226" i="5"/>
  <c r="FC226" i="5"/>
  <c r="FD226" i="5"/>
  <c r="FE226" i="5"/>
  <c r="FF226" i="5"/>
  <c r="FG226" i="5"/>
  <c r="FH226" i="5"/>
  <c r="FI226" i="5"/>
  <c r="FJ226" i="5"/>
  <c r="FK226" i="5"/>
  <c r="FL226" i="5"/>
  <c r="FM226" i="5"/>
  <c r="FN226" i="5"/>
  <c r="FO226" i="5"/>
  <c r="FP226" i="5"/>
  <c r="FQ226" i="5"/>
  <c r="FR226" i="5"/>
  <c r="FS226" i="5"/>
  <c r="FT226" i="5"/>
  <c r="FU226" i="5"/>
  <c r="FV226" i="5"/>
  <c r="FW226" i="5"/>
  <c r="FX226" i="5"/>
  <c r="FY226" i="5"/>
  <c r="FZ226" i="5"/>
  <c r="GA226" i="5"/>
  <c r="GB226" i="5"/>
  <c r="GC226" i="5"/>
  <c r="GD226" i="5"/>
  <c r="GE226" i="5"/>
  <c r="GF226" i="5"/>
  <c r="GG226" i="5"/>
  <c r="GH226" i="5"/>
  <c r="GI226" i="5"/>
  <c r="GJ226" i="5"/>
  <c r="GK226" i="5"/>
  <c r="GL226" i="5"/>
  <c r="GM226" i="5"/>
  <c r="GN226" i="5"/>
  <c r="GO226" i="5"/>
  <c r="GP226" i="5"/>
  <c r="GQ226" i="5"/>
  <c r="GR226" i="5"/>
  <c r="GS226" i="5"/>
  <c r="GT226" i="5"/>
  <c r="GU226" i="5"/>
  <c r="GV226" i="5"/>
  <c r="GW226" i="5"/>
  <c r="GX226" i="5"/>
  <c r="GY226" i="5"/>
  <c r="GZ226" i="5"/>
  <c r="HA226" i="5"/>
  <c r="HB226" i="5"/>
  <c r="HC226" i="5"/>
  <c r="HD226" i="5"/>
  <c r="HE226" i="5"/>
  <c r="HF226" i="5"/>
  <c r="HG226" i="5"/>
  <c r="A227" i="5"/>
  <c r="B227" i="5"/>
  <c r="C227" i="5"/>
  <c r="D227" i="5"/>
  <c r="E227" i="5"/>
  <c r="F227" i="5"/>
  <c r="G227" i="5"/>
  <c r="H227" i="5"/>
  <c r="I227" i="5"/>
  <c r="J227" i="5"/>
  <c r="K227" i="5"/>
  <c r="L227" i="5"/>
  <c r="M227" i="5"/>
  <c r="N227" i="5"/>
  <c r="O227" i="5"/>
  <c r="P227" i="5"/>
  <c r="Q227" i="5"/>
  <c r="R227" i="5"/>
  <c r="S227" i="5"/>
  <c r="T227" i="5"/>
  <c r="U227" i="5"/>
  <c r="V227" i="5"/>
  <c r="W227" i="5"/>
  <c r="X227" i="5"/>
  <c r="Y227" i="5"/>
  <c r="Z227" i="5"/>
  <c r="AA227" i="5"/>
  <c r="AB227" i="5"/>
  <c r="AC227" i="5"/>
  <c r="AD227" i="5"/>
  <c r="AE227" i="5"/>
  <c r="AF227" i="5"/>
  <c r="AG227" i="5"/>
  <c r="AH227" i="5"/>
  <c r="AI227" i="5"/>
  <c r="AJ227" i="5"/>
  <c r="AK227" i="5"/>
  <c r="AL227" i="5"/>
  <c r="AM227" i="5"/>
  <c r="AN227" i="5"/>
  <c r="AO227" i="5"/>
  <c r="AP227" i="5"/>
  <c r="AQ227" i="5"/>
  <c r="AR227" i="5"/>
  <c r="AS227" i="5"/>
  <c r="AT227" i="5"/>
  <c r="AU227" i="5"/>
  <c r="AV227" i="5"/>
  <c r="AW227" i="5"/>
  <c r="AX227" i="5"/>
  <c r="AY227" i="5"/>
  <c r="AZ227" i="5"/>
  <c r="BA227" i="5"/>
  <c r="BB227" i="5"/>
  <c r="BC227" i="5"/>
  <c r="BD227" i="5"/>
  <c r="BE227" i="5"/>
  <c r="BF227" i="5"/>
  <c r="BG227" i="5"/>
  <c r="BH227" i="5"/>
  <c r="BI227" i="5"/>
  <c r="BJ227" i="5"/>
  <c r="BK227" i="5"/>
  <c r="BL227" i="5"/>
  <c r="BM227" i="5"/>
  <c r="BN227" i="5"/>
  <c r="BO227" i="5"/>
  <c r="BP227" i="5"/>
  <c r="BQ227" i="5"/>
  <c r="BR227" i="5"/>
  <c r="BS227" i="5"/>
  <c r="BT227" i="5"/>
  <c r="BU227" i="5"/>
  <c r="BV227" i="5"/>
  <c r="BW227" i="5"/>
  <c r="BX227" i="5"/>
  <c r="BY227" i="5"/>
  <c r="BZ227" i="5"/>
  <c r="CA227" i="5"/>
  <c r="CB227" i="5"/>
  <c r="CC227" i="5"/>
  <c r="CD227" i="5"/>
  <c r="CE227" i="5"/>
  <c r="CF227" i="5"/>
  <c r="CG227" i="5"/>
  <c r="CH227" i="5"/>
  <c r="CI227" i="5"/>
  <c r="CJ227" i="5"/>
  <c r="CK227" i="5"/>
  <c r="CL227" i="5"/>
  <c r="CM227" i="5"/>
  <c r="CN227" i="5"/>
  <c r="CO227" i="5"/>
  <c r="CP227" i="5"/>
  <c r="CQ227" i="5"/>
  <c r="CR227" i="5"/>
  <c r="CS227" i="5"/>
  <c r="CT227" i="5"/>
  <c r="CU227" i="5"/>
  <c r="CV227" i="5"/>
  <c r="CW227" i="5"/>
  <c r="CX227" i="5"/>
  <c r="CY227" i="5"/>
  <c r="CZ227" i="5"/>
  <c r="DA227" i="5"/>
  <c r="DB227" i="5"/>
  <c r="DC227" i="5"/>
  <c r="DD227" i="5"/>
  <c r="DE227" i="5"/>
  <c r="DF227" i="5"/>
  <c r="DG227" i="5"/>
  <c r="DH227" i="5"/>
  <c r="DI227" i="5"/>
  <c r="DJ227" i="5"/>
  <c r="DK227" i="5"/>
  <c r="DL227" i="5"/>
  <c r="DM227" i="5"/>
  <c r="DN227" i="5"/>
  <c r="DO227" i="5"/>
  <c r="DP227" i="5"/>
  <c r="DQ227" i="5"/>
  <c r="DR227" i="5"/>
  <c r="DS227" i="5"/>
  <c r="DT227" i="5"/>
  <c r="DU227" i="5"/>
  <c r="DV227" i="5"/>
  <c r="DW227" i="5"/>
  <c r="DX227" i="5"/>
  <c r="DY227" i="5"/>
  <c r="DZ227" i="5"/>
  <c r="EA227" i="5"/>
  <c r="EB227" i="5"/>
  <c r="EC227" i="5"/>
  <c r="ED227" i="5"/>
  <c r="EE227" i="5"/>
  <c r="EF227" i="5"/>
  <c r="EG227" i="5"/>
  <c r="EH227" i="5"/>
  <c r="EI227" i="5"/>
  <c r="EJ227" i="5"/>
  <c r="EK227" i="5"/>
  <c r="EL227" i="5"/>
  <c r="EM227" i="5"/>
  <c r="EN227" i="5"/>
  <c r="EO227" i="5"/>
  <c r="EP227" i="5"/>
  <c r="EQ227" i="5"/>
  <c r="ER227" i="5"/>
  <c r="ES227" i="5"/>
  <c r="ET227" i="5"/>
  <c r="EU227" i="5"/>
  <c r="EV227" i="5"/>
  <c r="EW227" i="5"/>
  <c r="EX227" i="5"/>
  <c r="EY227" i="5"/>
  <c r="EZ227" i="5"/>
  <c r="FA227" i="5"/>
  <c r="FB227" i="5"/>
  <c r="FC227" i="5"/>
  <c r="FD227" i="5"/>
  <c r="FE227" i="5"/>
  <c r="FF227" i="5"/>
  <c r="FG227" i="5"/>
  <c r="FH227" i="5"/>
  <c r="FI227" i="5"/>
  <c r="FJ227" i="5"/>
  <c r="FK227" i="5"/>
  <c r="FL227" i="5"/>
  <c r="FM227" i="5"/>
  <c r="FN227" i="5"/>
  <c r="FO227" i="5"/>
  <c r="FP227" i="5"/>
  <c r="FQ227" i="5"/>
  <c r="FR227" i="5"/>
  <c r="FS227" i="5"/>
  <c r="FT227" i="5"/>
  <c r="FU227" i="5"/>
  <c r="FV227" i="5"/>
  <c r="FW227" i="5"/>
  <c r="FX227" i="5"/>
  <c r="FY227" i="5"/>
  <c r="FZ227" i="5"/>
  <c r="GA227" i="5"/>
  <c r="GB227" i="5"/>
  <c r="GC227" i="5"/>
  <c r="GD227" i="5"/>
  <c r="GE227" i="5"/>
  <c r="GF227" i="5"/>
  <c r="GG227" i="5"/>
  <c r="GH227" i="5"/>
  <c r="GI227" i="5"/>
  <c r="GJ227" i="5"/>
  <c r="GK227" i="5"/>
  <c r="GL227" i="5"/>
  <c r="GM227" i="5"/>
  <c r="GN227" i="5"/>
  <c r="GO227" i="5"/>
  <c r="GP227" i="5"/>
  <c r="GQ227" i="5"/>
  <c r="GR227" i="5"/>
  <c r="GS227" i="5"/>
  <c r="GT227" i="5"/>
  <c r="GU227" i="5"/>
  <c r="GV227" i="5"/>
  <c r="GW227" i="5"/>
  <c r="GX227" i="5"/>
  <c r="GY227" i="5"/>
  <c r="GZ227" i="5"/>
  <c r="HA227" i="5"/>
  <c r="HB227" i="5"/>
  <c r="HC227" i="5"/>
  <c r="HD227" i="5"/>
  <c r="HE227" i="5"/>
  <c r="HF227" i="5"/>
  <c r="HG227" i="5"/>
  <c r="A228" i="5"/>
  <c r="B228" i="5"/>
  <c r="C228" i="5"/>
  <c r="D228" i="5"/>
  <c r="E228" i="5"/>
  <c r="F228" i="5"/>
  <c r="G228" i="5"/>
  <c r="H228" i="5"/>
  <c r="I228" i="5"/>
  <c r="J228" i="5"/>
  <c r="K228" i="5"/>
  <c r="L228" i="5"/>
  <c r="M228" i="5"/>
  <c r="N228" i="5"/>
  <c r="O228" i="5"/>
  <c r="P228" i="5"/>
  <c r="Q228" i="5"/>
  <c r="R228" i="5"/>
  <c r="S228" i="5"/>
  <c r="T228" i="5"/>
  <c r="U228" i="5"/>
  <c r="V228" i="5"/>
  <c r="W228" i="5"/>
  <c r="X228" i="5"/>
  <c r="Y228" i="5"/>
  <c r="Z228" i="5"/>
  <c r="AA228" i="5"/>
  <c r="AB228" i="5"/>
  <c r="AC228" i="5"/>
  <c r="AD228" i="5"/>
  <c r="AE228" i="5"/>
  <c r="AF228" i="5"/>
  <c r="AG228" i="5"/>
  <c r="AH228" i="5"/>
  <c r="AI228" i="5"/>
  <c r="AJ228" i="5"/>
  <c r="AK228" i="5"/>
  <c r="AL228" i="5"/>
  <c r="AM228" i="5"/>
  <c r="AN228" i="5"/>
  <c r="AO228" i="5"/>
  <c r="AP228" i="5"/>
  <c r="AQ228" i="5"/>
  <c r="AR228" i="5"/>
  <c r="AS228" i="5"/>
  <c r="AT228" i="5"/>
  <c r="AU228" i="5"/>
  <c r="AV228" i="5"/>
  <c r="AW228" i="5"/>
  <c r="AX228" i="5"/>
  <c r="AY228" i="5"/>
  <c r="AZ228" i="5"/>
  <c r="BA228" i="5"/>
  <c r="BB228" i="5"/>
  <c r="BC228" i="5"/>
  <c r="BD228" i="5"/>
  <c r="BE228" i="5"/>
  <c r="BF228" i="5"/>
  <c r="BG228" i="5"/>
  <c r="BH228" i="5"/>
  <c r="BI228" i="5"/>
  <c r="BJ228" i="5"/>
  <c r="BK228" i="5"/>
  <c r="BL228" i="5"/>
  <c r="BM228" i="5"/>
  <c r="BN228" i="5"/>
  <c r="BO228" i="5"/>
  <c r="BP228" i="5"/>
  <c r="BQ228" i="5"/>
  <c r="BR228" i="5"/>
  <c r="BS228" i="5"/>
  <c r="BT228" i="5"/>
  <c r="BU228" i="5"/>
  <c r="BV228" i="5"/>
  <c r="BW228" i="5"/>
  <c r="BX228" i="5"/>
  <c r="BY228" i="5"/>
  <c r="BZ228" i="5"/>
  <c r="CA228" i="5"/>
  <c r="CB228" i="5"/>
  <c r="CC228" i="5"/>
  <c r="CD228" i="5"/>
  <c r="CE228" i="5"/>
  <c r="CF228" i="5"/>
  <c r="CG228" i="5"/>
  <c r="CH228" i="5"/>
  <c r="CI228" i="5"/>
  <c r="CJ228" i="5"/>
  <c r="CK228" i="5"/>
  <c r="CL228" i="5"/>
  <c r="CM228" i="5"/>
  <c r="CN228" i="5"/>
  <c r="CO228" i="5"/>
  <c r="CP228" i="5"/>
  <c r="CQ228" i="5"/>
  <c r="CR228" i="5"/>
  <c r="CS228" i="5"/>
  <c r="CT228" i="5"/>
  <c r="CU228" i="5"/>
  <c r="CV228" i="5"/>
  <c r="CW228" i="5"/>
  <c r="CX228" i="5"/>
  <c r="CY228" i="5"/>
  <c r="CZ228" i="5"/>
  <c r="DA228" i="5"/>
  <c r="DB228" i="5"/>
  <c r="DC228" i="5"/>
  <c r="DD228" i="5"/>
  <c r="DE228" i="5"/>
  <c r="DF228" i="5"/>
  <c r="DG228" i="5"/>
  <c r="DH228" i="5"/>
  <c r="DI228" i="5"/>
  <c r="DJ228" i="5"/>
  <c r="DK228" i="5"/>
  <c r="DL228" i="5"/>
  <c r="DM228" i="5"/>
  <c r="DN228" i="5"/>
  <c r="DO228" i="5"/>
  <c r="DP228" i="5"/>
  <c r="DQ228" i="5"/>
  <c r="DR228" i="5"/>
  <c r="DS228" i="5"/>
  <c r="DT228" i="5"/>
  <c r="DU228" i="5"/>
  <c r="DV228" i="5"/>
  <c r="DW228" i="5"/>
  <c r="DX228" i="5"/>
  <c r="DY228" i="5"/>
  <c r="DZ228" i="5"/>
  <c r="EA228" i="5"/>
  <c r="EB228" i="5"/>
  <c r="EC228" i="5"/>
  <c r="ED228" i="5"/>
  <c r="EE228" i="5"/>
  <c r="EF228" i="5"/>
  <c r="EG228" i="5"/>
  <c r="EH228" i="5"/>
  <c r="EI228" i="5"/>
  <c r="EJ228" i="5"/>
  <c r="EK228" i="5"/>
  <c r="EL228" i="5"/>
  <c r="EM228" i="5"/>
  <c r="EN228" i="5"/>
  <c r="EO228" i="5"/>
  <c r="EP228" i="5"/>
  <c r="EQ228" i="5"/>
  <c r="ER228" i="5"/>
  <c r="ES228" i="5"/>
  <c r="ET228" i="5"/>
  <c r="EU228" i="5"/>
  <c r="EV228" i="5"/>
  <c r="EW228" i="5"/>
  <c r="EX228" i="5"/>
  <c r="EY228" i="5"/>
  <c r="EZ228" i="5"/>
  <c r="FA228" i="5"/>
  <c r="FB228" i="5"/>
  <c r="FC228" i="5"/>
  <c r="FD228" i="5"/>
  <c r="FE228" i="5"/>
  <c r="FF228" i="5"/>
  <c r="FG228" i="5"/>
  <c r="FH228" i="5"/>
  <c r="FI228" i="5"/>
  <c r="FJ228" i="5"/>
  <c r="FK228" i="5"/>
  <c r="FL228" i="5"/>
  <c r="FM228" i="5"/>
  <c r="FN228" i="5"/>
  <c r="FO228" i="5"/>
  <c r="FP228" i="5"/>
  <c r="FQ228" i="5"/>
  <c r="FR228" i="5"/>
  <c r="FS228" i="5"/>
  <c r="FT228" i="5"/>
  <c r="FU228" i="5"/>
  <c r="FV228" i="5"/>
  <c r="FW228" i="5"/>
  <c r="FX228" i="5"/>
  <c r="FY228" i="5"/>
  <c r="FZ228" i="5"/>
  <c r="GA228" i="5"/>
  <c r="GB228" i="5"/>
  <c r="GC228" i="5"/>
  <c r="GD228" i="5"/>
  <c r="GE228" i="5"/>
  <c r="GF228" i="5"/>
  <c r="GG228" i="5"/>
  <c r="GH228" i="5"/>
  <c r="GI228" i="5"/>
  <c r="GJ228" i="5"/>
  <c r="GK228" i="5"/>
  <c r="GL228" i="5"/>
  <c r="GM228" i="5"/>
  <c r="GN228" i="5"/>
  <c r="GO228" i="5"/>
  <c r="GP228" i="5"/>
  <c r="GQ228" i="5"/>
  <c r="GR228" i="5"/>
  <c r="GS228" i="5"/>
  <c r="GT228" i="5"/>
  <c r="GU228" i="5"/>
  <c r="GV228" i="5"/>
  <c r="GW228" i="5"/>
  <c r="GX228" i="5"/>
  <c r="GY228" i="5"/>
  <c r="GZ228" i="5"/>
  <c r="HA228" i="5"/>
  <c r="HB228" i="5"/>
  <c r="HC228" i="5"/>
  <c r="HD228" i="5"/>
  <c r="HE228" i="5"/>
  <c r="HF228" i="5"/>
  <c r="HG228" i="5"/>
  <c r="A229" i="5"/>
  <c r="B229" i="5"/>
  <c r="C229" i="5"/>
  <c r="D229" i="5"/>
  <c r="E229" i="5"/>
  <c r="F229" i="5"/>
  <c r="G229" i="5"/>
  <c r="H229" i="5"/>
  <c r="I229" i="5"/>
  <c r="J229" i="5"/>
  <c r="K229" i="5"/>
  <c r="L229" i="5"/>
  <c r="M229" i="5"/>
  <c r="N229" i="5"/>
  <c r="O229" i="5"/>
  <c r="P229" i="5"/>
  <c r="Q229" i="5"/>
  <c r="R229" i="5"/>
  <c r="S229" i="5"/>
  <c r="T229" i="5"/>
  <c r="U229" i="5"/>
  <c r="V229" i="5"/>
  <c r="W229" i="5"/>
  <c r="X229" i="5"/>
  <c r="Y229" i="5"/>
  <c r="Z229" i="5"/>
  <c r="AA229" i="5"/>
  <c r="AB229" i="5"/>
  <c r="AC229" i="5"/>
  <c r="AD229" i="5"/>
  <c r="AE229" i="5"/>
  <c r="AF229" i="5"/>
  <c r="AG229" i="5"/>
  <c r="AH229" i="5"/>
  <c r="AI229" i="5"/>
  <c r="AJ229" i="5"/>
  <c r="AK229" i="5"/>
  <c r="AL229" i="5"/>
  <c r="AM229" i="5"/>
  <c r="AN229" i="5"/>
  <c r="AO229" i="5"/>
  <c r="AP229" i="5"/>
  <c r="AQ229" i="5"/>
  <c r="AR229" i="5"/>
  <c r="AS229" i="5"/>
  <c r="AT229" i="5"/>
  <c r="AU229" i="5"/>
  <c r="AV229" i="5"/>
  <c r="AW229" i="5"/>
  <c r="AX229" i="5"/>
  <c r="AY229" i="5"/>
  <c r="AZ229" i="5"/>
  <c r="BA229" i="5"/>
  <c r="BB229" i="5"/>
  <c r="BC229" i="5"/>
  <c r="BD229" i="5"/>
  <c r="BE229" i="5"/>
  <c r="BF229" i="5"/>
  <c r="BG229" i="5"/>
  <c r="BH229" i="5"/>
  <c r="BI229" i="5"/>
  <c r="BJ229" i="5"/>
  <c r="BK229" i="5"/>
  <c r="BL229" i="5"/>
  <c r="BM229" i="5"/>
  <c r="BN229" i="5"/>
  <c r="BO229" i="5"/>
  <c r="BP229" i="5"/>
  <c r="BQ229" i="5"/>
  <c r="BR229" i="5"/>
  <c r="BS229" i="5"/>
  <c r="BT229" i="5"/>
  <c r="BU229" i="5"/>
  <c r="BV229" i="5"/>
  <c r="BW229" i="5"/>
  <c r="BX229" i="5"/>
  <c r="BY229" i="5"/>
  <c r="BZ229" i="5"/>
  <c r="CA229" i="5"/>
  <c r="CB229" i="5"/>
  <c r="CC229" i="5"/>
  <c r="CD229" i="5"/>
  <c r="CE229" i="5"/>
  <c r="CF229" i="5"/>
  <c r="CG229" i="5"/>
  <c r="CH229" i="5"/>
  <c r="CI229" i="5"/>
  <c r="CJ229" i="5"/>
  <c r="CK229" i="5"/>
  <c r="CL229" i="5"/>
  <c r="CM229" i="5"/>
  <c r="CN229" i="5"/>
  <c r="CO229" i="5"/>
  <c r="CP229" i="5"/>
  <c r="CQ229" i="5"/>
  <c r="CR229" i="5"/>
  <c r="CS229" i="5"/>
  <c r="CT229" i="5"/>
  <c r="CU229" i="5"/>
  <c r="CV229" i="5"/>
  <c r="CW229" i="5"/>
  <c r="CX229" i="5"/>
  <c r="CY229" i="5"/>
  <c r="CZ229" i="5"/>
  <c r="DA229" i="5"/>
  <c r="DB229" i="5"/>
  <c r="DC229" i="5"/>
  <c r="DD229" i="5"/>
  <c r="DE229" i="5"/>
  <c r="DF229" i="5"/>
  <c r="DG229" i="5"/>
  <c r="DH229" i="5"/>
  <c r="DI229" i="5"/>
  <c r="DJ229" i="5"/>
  <c r="DK229" i="5"/>
  <c r="DL229" i="5"/>
  <c r="DM229" i="5"/>
  <c r="DN229" i="5"/>
  <c r="DO229" i="5"/>
  <c r="DP229" i="5"/>
  <c r="DQ229" i="5"/>
  <c r="DR229" i="5"/>
  <c r="DS229" i="5"/>
  <c r="DT229" i="5"/>
  <c r="DU229" i="5"/>
  <c r="DV229" i="5"/>
  <c r="DW229" i="5"/>
  <c r="DX229" i="5"/>
  <c r="DY229" i="5"/>
  <c r="DZ229" i="5"/>
  <c r="EA229" i="5"/>
  <c r="EB229" i="5"/>
  <c r="EC229" i="5"/>
  <c r="ED229" i="5"/>
  <c r="EE229" i="5"/>
  <c r="EF229" i="5"/>
  <c r="EG229" i="5"/>
  <c r="EH229" i="5"/>
  <c r="EI229" i="5"/>
  <c r="EJ229" i="5"/>
  <c r="EK229" i="5"/>
  <c r="EL229" i="5"/>
  <c r="EM229" i="5"/>
  <c r="EN229" i="5"/>
  <c r="EO229" i="5"/>
  <c r="EP229" i="5"/>
  <c r="EQ229" i="5"/>
  <c r="ER229" i="5"/>
  <c r="ES229" i="5"/>
  <c r="ET229" i="5"/>
  <c r="EU229" i="5"/>
  <c r="EV229" i="5"/>
  <c r="EW229" i="5"/>
  <c r="EX229" i="5"/>
  <c r="EY229" i="5"/>
  <c r="EZ229" i="5"/>
  <c r="FA229" i="5"/>
  <c r="FB229" i="5"/>
  <c r="FC229" i="5"/>
  <c r="FD229" i="5"/>
  <c r="FE229" i="5"/>
  <c r="FF229" i="5"/>
  <c r="FG229" i="5"/>
  <c r="FH229" i="5"/>
  <c r="FI229" i="5"/>
  <c r="FJ229" i="5"/>
  <c r="FK229" i="5"/>
  <c r="FL229" i="5"/>
  <c r="FM229" i="5"/>
  <c r="FN229" i="5"/>
  <c r="FO229" i="5"/>
  <c r="FP229" i="5"/>
  <c r="FQ229" i="5"/>
  <c r="FR229" i="5"/>
  <c r="FS229" i="5"/>
  <c r="FT229" i="5"/>
  <c r="FU229" i="5"/>
  <c r="FV229" i="5"/>
  <c r="FW229" i="5"/>
  <c r="FX229" i="5"/>
  <c r="FY229" i="5"/>
  <c r="FZ229" i="5"/>
  <c r="GA229" i="5"/>
  <c r="GB229" i="5"/>
  <c r="GC229" i="5"/>
  <c r="GD229" i="5"/>
  <c r="GE229" i="5"/>
  <c r="GF229" i="5"/>
  <c r="GG229" i="5"/>
  <c r="GH229" i="5"/>
  <c r="GI229" i="5"/>
  <c r="GJ229" i="5"/>
  <c r="GK229" i="5"/>
  <c r="GL229" i="5"/>
  <c r="GM229" i="5"/>
  <c r="GN229" i="5"/>
  <c r="GO229" i="5"/>
  <c r="GP229" i="5"/>
  <c r="GQ229" i="5"/>
  <c r="GR229" i="5"/>
  <c r="GS229" i="5"/>
  <c r="GT229" i="5"/>
  <c r="GU229" i="5"/>
  <c r="GV229" i="5"/>
  <c r="GW229" i="5"/>
  <c r="GX229" i="5"/>
  <c r="GY229" i="5"/>
  <c r="GZ229" i="5"/>
  <c r="HA229" i="5"/>
  <c r="HB229" i="5"/>
  <c r="HC229" i="5"/>
  <c r="HD229" i="5"/>
  <c r="HE229" i="5"/>
  <c r="HF229" i="5"/>
  <c r="HG229" i="5"/>
  <c r="A230" i="5"/>
  <c r="B230" i="5"/>
  <c r="C230" i="5"/>
  <c r="D230" i="5"/>
  <c r="E230" i="5"/>
  <c r="F230" i="5"/>
  <c r="G230" i="5"/>
  <c r="H230" i="5"/>
  <c r="I230" i="5"/>
  <c r="J230" i="5"/>
  <c r="K230" i="5"/>
  <c r="L230" i="5"/>
  <c r="M230" i="5"/>
  <c r="N230" i="5"/>
  <c r="O230" i="5"/>
  <c r="P230" i="5"/>
  <c r="Q230" i="5"/>
  <c r="R230" i="5"/>
  <c r="S230" i="5"/>
  <c r="T230" i="5"/>
  <c r="U230" i="5"/>
  <c r="V230" i="5"/>
  <c r="W230" i="5"/>
  <c r="X230" i="5"/>
  <c r="Y230" i="5"/>
  <c r="Z230" i="5"/>
  <c r="AA230" i="5"/>
  <c r="AB230" i="5"/>
  <c r="AC230" i="5"/>
  <c r="AD230" i="5"/>
  <c r="AE230" i="5"/>
  <c r="AF230" i="5"/>
  <c r="AG230" i="5"/>
  <c r="AH230" i="5"/>
  <c r="AI230" i="5"/>
  <c r="AJ230" i="5"/>
  <c r="AK230" i="5"/>
  <c r="AL230" i="5"/>
  <c r="AM230" i="5"/>
  <c r="AN230" i="5"/>
  <c r="AO230" i="5"/>
  <c r="AP230" i="5"/>
  <c r="AQ230" i="5"/>
  <c r="AR230" i="5"/>
  <c r="AS230" i="5"/>
  <c r="AT230" i="5"/>
  <c r="AU230" i="5"/>
  <c r="AV230" i="5"/>
  <c r="AW230" i="5"/>
  <c r="AX230" i="5"/>
  <c r="AY230" i="5"/>
  <c r="AZ230" i="5"/>
  <c r="BA230" i="5"/>
  <c r="BB230" i="5"/>
  <c r="BC230" i="5"/>
  <c r="BD230" i="5"/>
  <c r="BE230" i="5"/>
  <c r="BF230" i="5"/>
  <c r="BG230" i="5"/>
  <c r="BH230" i="5"/>
  <c r="BI230" i="5"/>
  <c r="BJ230" i="5"/>
  <c r="BK230" i="5"/>
  <c r="BL230" i="5"/>
  <c r="BM230" i="5"/>
  <c r="BN230" i="5"/>
  <c r="BO230" i="5"/>
  <c r="BP230" i="5"/>
  <c r="BQ230" i="5"/>
  <c r="BR230" i="5"/>
  <c r="BS230" i="5"/>
  <c r="BT230" i="5"/>
  <c r="BU230" i="5"/>
  <c r="BV230" i="5"/>
  <c r="BW230" i="5"/>
  <c r="BX230" i="5"/>
  <c r="BY230" i="5"/>
  <c r="BZ230" i="5"/>
  <c r="CA230" i="5"/>
  <c r="CB230" i="5"/>
  <c r="CC230" i="5"/>
  <c r="CD230" i="5"/>
  <c r="CE230" i="5"/>
  <c r="CF230" i="5"/>
  <c r="CG230" i="5"/>
  <c r="CH230" i="5"/>
  <c r="CI230" i="5"/>
  <c r="CJ230" i="5"/>
  <c r="CK230" i="5"/>
  <c r="CL230" i="5"/>
  <c r="CM230" i="5"/>
  <c r="CN230" i="5"/>
  <c r="CO230" i="5"/>
  <c r="CP230" i="5"/>
  <c r="CQ230" i="5"/>
  <c r="CR230" i="5"/>
  <c r="CS230" i="5"/>
  <c r="CT230" i="5"/>
  <c r="CU230" i="5"/>
  <c r="CV230" i="5"/>
  <c r="CW230" i="5"/>
  <c r="CX230" i="5"/>
  <c r="CY230" i="5"/>
  <c r="CZ230" i="5"/>
  <c r="DA230" i="5"/>
  <c r="DB230" i="5"/>
  <c r="DC230" i="5"/>
  <c r="DD230" i="5"/>
  <c r="DE230" i="5"/>
  <c r="DF230" i="5"/>
  <c r="DG230" i="5"/>
  <c r="DH230" i="5"/>
  <c r="DI230" i="5"/>
  <c r="DJ230" i="5"/>
  <c r="DK230" i="5"/>
  <c r="DL230" i="5"/>
  <c r="DM230" i="5"/>
  <c r="DN230" i="5"/>
  <c r="DO230" i="5"/>
  <c r="DP230" i="5"/>
  <c r="DQ230" i="5"/>
  <c r="DR230" i="5"/>
  <c r="DS230" i="5"/>
  <c r="DT230" i="5"/>
  <c r="DU230" i="5"/>
  <c r="DV230" i="5"/>
  <c r="DW230" i="5"/>
  <c r="DX230" i="5"/>
  <c r="DY230" i="5"/>
  <c r="DZ230" i="5"/>
  <c r="EA230" i="5"/>
  <c r="EB230" i="5"/>
  <c r="EC230" i="5"/>
  <c r="ED230" i="5"/>
  <c r="EE230" i="5"/>
  <c r="EF230" i="5"/>
  <c r="EG230" i="5"/>
  <c r="EH230" i="5"/>
  <c r="EI230" i="5"/>
  <c r="EJ230" i="5"/>
  <c r="EK230" i="5"/>
  <c r="EL230" i="5"/>
  <c r="EM230" i="5"/>
  <c r="EN230" i="5"/>
  <c r="EO230" i="5"/>
  <c r="EP230" i="5"/>
  <c r="EQ230" i="5"/>
  <c r="ER230" i="5"/>
  <c r="ES230" i="5"/>
  <c r="ET230" i="5"/>
  <c r="EU230" i="5"/>
  <c r="EV230" i="5"/>
  <c r="EW230" i="5"/>
  <c r="EX230" i="5"/>
  <c r="EY230" i="5"/>
  <c r="EZ230" i="5"/>
  <c r="FA230" i="5"/>
  <c r="FB230" i="5"/>
  <c r="FC230" i="5"/>
  <c r="FD230" i="5"/>
  <c r="FE230" i="5"/>
  <c r="FF230" i="5"/>
  <c r="FG230" i="5"/>
  <c r="FH230" i="5"/>
  <c r="FI230" i="5"/>
  <c r="FJ230" i="5"/>
  <c r="FK230" i="5"/>
  <c r="FL230" i="5"/>
  <c r="FM230" i="5"/>
  <c r="FN230" i="5"/>
  <c r="FO230" i="5"/>
  <c r="FP230" i="5"/>
  <c r="FQ230" i="5"/>
  <c r="FR230" i="5"/>
  <c r="FS230" i="5"/>
  <c r="FT230" i="5"/>
  <c r="FU230" i="5"/>
  <c r="FV230" i="5"/>
  <c r="FW230" i="5"/>
  <c r="FX230" i="5"/>
  <c r="FY230" i="5"/>
  <c r="FZ230" i="5"/>
  <c r="GA230" i="5"/>
  <c r="GB230" i="5"/>
  <c r="GC230" i="5"/>
  <c r="GD230" i="5"/>
  <c r="GE230" i="5"/>
  <c r="GF230" i="5"/>
  <c r="GG230" i="5"/>
  <c r="GH230" i="5"/>
  <c r="GI230" i="5"/>
  <c r="GJ230" i="5"/>
  <c r="GK230" i="5"/>
  <c r="GL230" i="5"/>
  <c r="GM230" i="5"/>
  <c r="GN230" i="5"/>
  <c r="GO230" i="5"/>
  <c r="GP230" i="5"/>
  <c r="GQ230" i="5"/>
  <c r="GR230" i="5"/>
  <c r="GS230" i="5"/>
  <c r="GT230" i="5"/>
  <c r="GU230" i="5"/>
  <c r="GV230" i="5"/>
  <c r="GW230" i="5"/>
  <c r="GX230" i="5"/>
  <c r="GY230" i="5"/>
  <c r="GZ230" i="5"/>
  <c r="HA230" i="5"/>
  <c r="HB230" i="5"/>
  <c r="HC230" i="5"/>
  <c r="HD230" i="5"/>
  <c r="HE230" i="5"/>
  <c r="HF230" i="5"/>
  <c r="HG230" i="5"/>
  <c r="A231" i="5"/>
  <c r="B231" i="5"/>
  <c r="C231" i="5"/>
  <c r="D231" i="5"/>
  <c r="E231" i="5"/>
  <c r="F231" i="5"/>
  <c r="G231" i="5"/>
  <c r="H231" i="5"/>
  <c r="I231" i="5"/>
  <c r="J231" i="5"/>
  <c r="K231" i="5"/>
  <c r="L231" i="5"/>
  <c r="M231" i="5"/>
  <c r="N231" i="5"/>
  <c r="O231" i="5"/>
  <c r="P231" i="5"/>
  <c r="Q231" i="5"/>
  <c r="R231" i="5"/>
  <c r="S231" i="5"/>
  <c r="T231" i="5"/>
  <c r="U231" i="5"/>
  <c r="V231" i="5"/>
  <c r="W231" i="5"/>
  <c r="X231" i="5"/>
  <c r="Y231" i="5"/>
  <c r="Z231" i="5"/>
  <c r="AA231" i="5"/>
  <c r="AB231" i="5"/>
  <c r="AC231" i="5"/>
  <c r="AD231" i="5"/>
  <c r="AE231" i="5"/>
  <c r="AF231" i="5"/>
  <c r="AG231" i="5"/>
  <c r="AH231" i="5"/>
  <c r="AI231" i="5"/>
  <c r="AJ231" i="5"/>
  <c r="AK231" i="5"/>
  <c r="AL231" i="5"/>
  <c r="AM231" i="5"/>
  <c r="AN231" i="5"/>
  <c r="AO231" i="5"/>
  <c r="AP231" i="5"/>
  <c r="AQ231" i="5"/>
  <c r="AR231" i="5"/>
  <c r="AS231" i="5"/>
  <c r="AT231" i="5"/>
  <c r="AU231" i="5"/>
  <c r="AV231" i="5"/>
  <c r="AW231" i="5"/>
  <c r="AX231" i="5"/>
  <c r="AY231" i="5"/>
  <c r="AZ231" i="5"/>
  <c r="BA231" i="5"/>
  <c r="BB231" i="5"/>
  <c r="BC231" i="5"/>
  <c r="BD231" i="5"/>
  <c r="BE231" i="5"/>
  <c r="BF231" i="5"/>
  <c r="BG231" i="5"/>
  <c r="BH231" i="5"/>
  <c r="BI231" i="5"/>
  <c r="BJ231" i="5"/>
  <c r="BK231" i="5"/>
  <c r="BL231" i="5"/>
  <c r="BM231" i="5"/>
  <c r="BN231" i="5"/>
  <c r="BO231" i="5"/>
  <c r="BP231" i="5"/>
  <c r="BQ231" i="5"/>
  <c r="BR231" i="5"/>
  <c r="BS231" i="5"/>
  <c r="BT231" i="5"/>
  <c r="BU231" i="5"/>
  <c r="BV231" i="5"/>
  <c r="BW231" i="5"/>
  <c r="BX231" i="5"/>
  <c r="BY231" i="5"/>
  <c r="BZ231" i="5"/>
  <c r="CA231" i="5"/>
  <c r="CB231" i="5"/>
  <c r="CC231" i="5"/>
  <c r="CD231" i="5"/>
  <c r="CE231" i="5"/>
  <c r="CF231" i="5"/>
  <c r="CG231" i="5"/>
  <c r="CH231" i="5"/>
  <c r="CI231" i="5"/>
  <c r="CJ231" i="5"/>
  <c r="CK231" i="5"/>
  <c r="CL231" i="5"/>
  <c r="CM231" i="5"/>
  <c r="CN231" i="5"/>
  <c r="CO231" i="5"/>
  <c r="CP231" i="5"/>
  <c r="CQ231" i="5"/>
  <c r="CR231" i="5"/>
  <c r="CS231" i="5"/>
  <c r="CT231" i="5"/>
  <c r="CU231" i="5"/>
  <c r="CV231" i="5"/>
  <c r="CW231" i="5"/>
  <c r="CX231" i="5"/>
  <c r="CY231" i="5"/>
  <c r="CZ231" i="5"/>
  <c r="DA231" i="5"/>
  <c r="DB231" i="5"/>
  <c r="DC231" i="5"/>
  <c r="DD231" i="5"/>
  <c r="DE231" i="5"/>
  <c r="DF231" i="5"/>
  <c r="DG231" i="5"/>
  <c r="DH231" i="5"/>
  <c r="DI231" i="5"/>
  <c r="DJ231" i="5"/>
  <c r="DK231" i="5"/>
  <c r="DL231" i="5"/>
  <c r="DM231" i="5"/>
  <c r="DN231" i="5"/>
  <c r="DO231" i="5"/>
  <c r="DP231" i="5"/>
  <c r="DQ231" i="5"/>
  <c r="DR231" i="5"/>
  <c r="DS231" i="5"/>
  <c r="DT231" i="5"/>
  <c r="DU231" i="5"/>
  <c r="DV231" i="5"/>
  <c r="DW231" i="5"/>
  <c r="DX231" i="5"/>
  <c r="DY231" i="5"/>
  <c r="DZ231" i="5"/>
  <c r="EA231" i="5"/>
  <c r="EB231" i="5"/>
  <c r="EC231" i="5"/>
  <c r="ED231" i="5"/>
  <c r="EE231" i="5"/>
  <c r="EF231" i="5"/>
  <c r="EG231" i="5"/>
  <c r="EH231" i="5"/>
  <c r="EI231" i="5"/>
  <c r="EJ231" i="5"/>
  <c r="EK231" i="5"/>
  <c r="EL231" i="5"/>
  <c r="EM231" i="5"/>
  <c r="EN231" i="5"/>
  <c r="EO231" i="5"/>
  <c r="EP231" i="5"/>
  <c r="EQ231" i="5"/>
  <c r="ER231" i="5"/>
  <c r="ES231" i="5"/>
  <c r="ET231" i="5"/>
  <c r="EU231" i="5"/>
  <c r="EV231" i="5"/>
  <c r="EW231" i="5"/>
  <c r="EX231" i="5"/>
  <c r="EY231" i="5"/>
  <c r="EZ231" i="5"/>
  <c r="FA231" i="5"/>
  <c r="FB231" i="5"/>
  <c r="FC231" i="5"/>
  <c r="FD231" i="5"/>
  <c r="FE231" i="5"/>
  <c r="FF231" i="5"/>
  <c r="FG231" i="5"/>
  <c r="FH231" i="5"/>
  <c r="FI231" i="5"/>
  <c r="FJ231" i="5"/>
  <c r="FK231" i="5"/>
  <c r="FL231" i="5"/>
  <c r="FM231" i="5"/>
  <c r="FN231" i="5"/>
  <c r="FO231" i="5"/>
  <c r="FP231" i="5"/>
  <c r="FQ231" i="5"/>
  <c r="FR231" i="5"/>
  <c r="FS231" i="5"/>
  <c r="FT231" i="5"/>
  <c r="FU231" i="5"/>
  <c r="FV231" i="5"/>
  <c r="FW231" i="5"/>
  <c r="FX231" i="5"/>
  <c r="FY231" i="5"/>
  <c r="FZ231" i="5"/>
  <c r="GA231" i="5"/>
  <c r="GB231" i="5"/>
  <c r="GC231" i="5"/>
  <c r="GD231" i="5"/>
  <c r="GE231" i="5"/>
  <c r="GF231" i="5"/>
  <c r="GG231" i="5"/>
  <c r="GH231" i="5"/>
  <c r="GI231" i="5"/>
  <c r="GJ231" i="5"/>
  <c r="GK231" i="5"/>
  <c r="GL231" i="5"/>
  <c r="GM231" i="5"/>
  <c r="GN231" i="5"/>
  <c r="GO231" i="5"/>
  <c r="GP231" i="5"/>
  <c r="GQ231" i="5"/>
  <c r="GR231" i="5"/>
  <c r="GS231" i="5"/>
  <c r="GT231" i="5"/>
  <c r="GU231" i="5"/>
  <c r="GV231" i="5"/>
  <c r="GW231" i="5"/>
  <c r="GX231" i="5"/>
  <c r="GY231" i="5"/>
  <c r="GZ231" i="5"/>
  <c r="HA231" i="5"/>
  <c r="HB231" i="5"/>
  <c r="HC231" i="5"/>
  <c r="HD231" i="5"/>
  <c r="HE231" i="5"/>
  <c r="HF231" i="5"/>
  <c r="HG231" i="5"/>
  <c r="A232" i="5"/>
  <c r="B232" i="5"/>
  <c r="C232" i="5"/>
  <c r="D232" i="5"/>
  <c r="E232" i="5"/>
  <c r="F232" i="5"/>
  <c r="G232" i="5"/>
  <c r="H232" i="5"/>
  <c r="I232" i="5"/>
  <c r="J232" i="5"/>
  <c r="K232" i="5"/>
  <c r="L232" i="5"/>
  <c r="M232" i="5"/>
  <c r="N232" i="5"/>
  <c r="O232" i="5"/>
  <c r="P232" i="5"/>
  <c r="Q232" i="5"/>
  <c r="R232" i="5"/>
  <c r="S232" i="5"/>
  <c r="T232" i="5"/>
  <c r="U232" i="5"/>
  <c r="V232" i="5"/>
  <c r="W232" i="5"/>
  <c r="X232" i="5"/>
  <c r="Y232" i="5"/>
  <c r="Z232" i="5"/>
  <c r="AA232" i="5"/>
  <c r="AB232" i="5"/>
  <c r="AC232" i="5"/>
  <c r="AD232" i="5"/>
  <c r="AE232" i="5"/>
  <c r="AF232" i="5"/>
  <c r="AG232" i="5"/>
  <c r="AH232" i="5"/>
  <c r="AI232" i="5"/>
  <c r="AJ232" i="5"/>
  <c r="AK232" i="5"/>
  <c r="AL232" i="5"/>
  <c r="AM232" i="5"/>
  <c r="AN232" i="5"/>
  <c r="AO232" i="5"/>
  <c r="AP232" i="5"/>
  <c r="AQ232" i="5"/>
  <c r="AR232" i="5"/>
  <c r="AS232" i="5"/>
  <c r="AT232" i="5"/>
  <c r="AU232" i="5"/>
  <c r="AV232" i="5"/>
  <c r="AW232" i="5"/>
  <c r="AX232" i="5"/>
  <c r="AY232" i="5"/>
  <c r="AZ232" i="5"/>
  <c r="BA232" i="5"/>
  <c r="BB232" i="5"/>
  <c r="BC232" i="5"/>
  <c r="BD232" i="5"/>
  <c r="BE232" i="5"/>
  <c r="BF232" i="5"/>
  <c r="BG232" i="5"/>
  <c r="BH232" i="5"/>
  <c r="BI232" i="5"/>
  <c r="BJ232" i="5"/>
  <c r="BK232" i="5"/>
  <c r="BL232" i="5"/>
  <c r="BM232" i="5"/>
  <c r="BN232" i="5"/>
  <c r="BO232" i="5"/>
  <c r="BP232" i="5"/>
  <c r="BQ232" i="5"/>
  <c r="BR232" i="5"/>
  <c r="BS232" i="5"/>
  <c r="BT232" i="5"/>
  <c r="BU232" i="5"/>
  <c r="BV232" i="5"/>
  <c r="BW232" i="5"/>
  <c r="BX232" i="5"/>
  <c r="BY232" i="5"/>
  <c r="BZ232" i="5"/>
  <c r="CA232" i="5"/>
  <c r="CB232" i="5"/>
  <c r="CC232" i="5"/>
  <c r="CD232" i="5"/>
  <c r="CE232" i="5"/>
  <c r="CF232" i="5"/>
  <c r="CG232" i="5"/>
  <c r="CH232" i="5"/>
  <c r="CI232" i="5"/>
  <c r="CJ232" i="5"/>
  <c r="CK232" i="5"/>
  <c r="CL232" i="5"/>
  <c r="CM232" i="5"/>
  <c r="CN232" i="5"/>
  <c r="CO232" i="5"/>
  <c r="CP232" i="5"/>
  <c r="CQ232" i="5"/>
  <c r="CR232" i="5"/>
  <c r="CS232" i="5"/>
  <c r="CT232" i="5"/>
  <c r="CU232" i="5"/>
  <c r="CV232" i="5"/>
  <c r="CW232" i="5"/>
  <c r="CX232" i="5"/>
  <c r="CY232" i="5"/>
  <c r="CZ232" i="5"/>
  <c r="DA232" i="5"/>
  <c r="DB232" i="5"/>
  <c r="DC232" i="5"/>
  <c r="DD232" i="5"/>
  <c r="DE232" i="5"/>
  <c r="DF232" i="5"/>
  <c r="DG232" i="5"/>
  <c r="DH232" i="5"/>
  <c r="DI232" i="5"/>
  <c r="DJ232" i="5"/>
  <c r="DK232" i="5"/>
  <c r="DL232" i="5"/>
  <c r="DM232" i="5"/>
  <c r="DN232" i="5"/>
  <c r="DO232" i="5"/>
  <c r="DP232" i="5"/>
  <c r="DQ232" i="5"/>
  <c r="DR232" i="5"/>
  <c r="DS232" i="5"/>
  <c r="DT232" i="5"/>
  <c r="DU232" i="5"/>
  <c r="DV232" i="5"/>
  <c r="DW232" i="5"/>
  <c r="DX232" i="5"/>
  <c r="DY232" i="5"/>
  <c r="DZ232" i="5"/>
  <c r="EA232" i="5"/>
  <c r="EB232" i="5"/>
  <c r="EC232" i="5"/>
  <c r="ED232" i="5"/>
  <c r="EE232" i="5"/>
  <c r="EF232" i="5"/>
  <c r="EG232" i="5"/>
  <c r="EH232" i="5"/>
  <c r="EI232" i="5"/>
  <c r="EJ232" i="5"/>
  <c r="EK232" i="5"/>
  <c r="EL232" i="5"/>
  <c r="EM232" i="5"/>
  <c r="EN232" i="5"/>
  <c r="EO232" i="5"/>
  <c r="EP232" i="5"/>
  <c r="EQ232" i="5"/>
  <c r="ER232" i="5"/>
  <c r="ES232" i="5"/>
  <c r="ET232" i="5"/>
  <c r="EU232" i="5"/>
  <c r="EV232" i="5"/>
  <c r="EW232" i="5"/>
  <c r="EX232" i="5"/>
  <c r="EY232" i="5"/>
  <c r="EZ232" i="5"/>
  <c r="FA232" i="5"/>
  <c r="FB232" i="5"/>
  <c r="FC232" i="5"/>
  <c r="FD232" i="5"/>
  <c r="FE232" i="5"/>
  <c r="FF232" i="5"/>
  <c r="FG232" i="5"/>
  <c r="FH232" i="5"/>
  <c r="FI232" i="5"/>
  <c r="FJ232" i="5"/>
  <c r="FK232" i="5"/>
  <c r="FL232" i="5"/>
  <c r="FM232" i="5"/>
  <c r="FN232" i="5"/>
  <c r="FO232" i="5"/>
  <c r="FP232" i="5"/>
  <c r="FQ232" i="5"/>
  <c r="FR232" i="5"/>
  <c r="FS232" i="5"/>
  <c r="FT232" i="5"/>
  <c r="FU232" i="5"/>
  <c r="FV232" i="5"/>
  <c r="FW232" i="5"/>
  <c r="FX232" i="5"/>
  <c r="FY232" i="5"/>
  <c r="FZ232" i="5"/>
  <c r="GA232" i="5"/>
  <c r="GB232" i="5"/>
  <c r="GC232" i="5"/>
  <c r="GD232" i="5"/>
  <c r="GE232" i="5"/>
  <c r="GF232" i="5"/>
  <c r="GG232" i="5"/>
  <c r="GH232" i="5"/>
  <c r="GI232" i="5"/>
  <c r="GJ232" i="5"/>
  <c r="GK232" i="5"/>
  <c r="GL232" i="5"/>
  <c r="GM232" i="5"/>
  <c r="GN232" i="5"/>
  <c r="GO232" i="5"/>
  <c r="GP232" i="5"/>
  <c r="GQ232" i="5"/>
  <c r="GR232" i="5"/>
  <c r="GS232" i="5"/>
  <c r="GT232" i="5"/>
  <c r="GU232" i="5"/>
  <c r="GV232" i="5"/>
  <c r="GW232" i="5"/>
  <c r="GX232" i="5"/>
  <c r="GY232" i="5"/>
  <c r="GZ232" i="5"/>
  <c r="HA232" i="5"/>
  <c r="HB232" i="5"/>
  <c r="HC232" i="5"/>
  <c r="HD232" i="5"/>
  <c r="HE232" i="5"/>
  <c r="HF232" i="5"/>
  <c r="HG232" i="5"/>
  <c r="A233" i="5"/>
  <c r="B233" i="5"/>
  <c r="C233" i="5"/>
  <c r="D233" i="5"/>
  <c r="E233" i="5"/>
  <c r="F233" i="5"/>
  <c r="G233" i="5"/>
  <c r="H233" i="5"/>
  <c r="I233" i="5"/>
  <c r="J233" i="5"/>
  <c r="K233" i="5"/>
  <c r="L233" i="5"/>
  <c r="M233" i="5"/>
  <c r="N233" i="5"/>
  <c r="O233" i="5"/>
  <c r="P233" i="5"/>
  <c r="Q233" i="5"/>
  <c r="R233" i="5"/>
  <c r="S233" i="5"/>
  <c r="T233" i="5"/>
  <c r="U233" i="5"/>
  <c r="V233" i="5"/>
  <c r="W233" i="5"/>
  <c r="X233" i="5"/>
  <c r="Y233" i="5"/>
  <c r="Z233" i="5"/>
  <c r="AA233" i="5"/>
  <c r="AB233" i="5"/>
  <c r="AC233" i="5"/>
  <c r="AD233" i="5"/>
  <c r="AE233" i="5"/>
  <c r="AF233" i="5"/>
  <c r="AG233" i="5"/>
  <c r="AH233" i="5"/>
  <c r="AI233" i="5"/>
  <c r="AJ233" i="5"/>
  <c r="AK233" i="5"/>
  <c r="AL233" i="5"/>
  <c r="AM233" i="5"/>
  <c r="AN233" i="5"/>
  <c r="AO233" i="5"/>
  <c r="AP233" i="5"/>
  <c r="AQ233" i="5"/>
  <c r="AR233" i="5"/>
  <c r="AS233" i="5"/>
  <c r="AT233" i="5"/>
  <c r="AU233" i="5"/>
  <c r="AV233" i="5"/>
  <c r="AW233" i="5"/>
  <c r="AX233" i="5"/>
  <c r="AY233" i="5"/>
  <c r="AZ233" i="5"/>
  <c r="BA233" i="5"/>
  <c r="BB233" i="5"/>
  <c r="BC233" i="5"/>
  <c r="BD233" i="5"/>
  <c r="BE233" i="5"/>
  <c r="BF233" i="5"/>
  <c r="BG233" i="5"/>
  <c r="BH233" i="5"/>
  <c r="BI233" i="5"/>
  <c r="BJ233" i="5"/>
  <c r="BK233" i="5"/>
  <c r="BL233" i="5"/>
  <c r="BM233" i="5"/>
  <c r="BN233" i="5"/>
  <c r="BO233" i="5"/>
  <c r="BP233" i="5"/>
  <c r="BQ233" i="5"/>
  <c r="BR233" i="5"/>
  <c r="BS233" i="5"/>
  <c r="BT233" i="5"/>
  <c r="BU233" i="5"/>
  <c r="BV233" i="5"/>
  <c r="BW233" i="5"/>
  <c r="BX233" i="5"/>
  <c r="BY233" i="5"/>
  <c r="BZ233" i="5"/>
  <c r="CA233" i="5"/>
  <c r="CB233" i="5"/>
  <c r="CC233" i="5"/>
  <c r="CD233" i="5"/>
  <c r="CE233" i="5"/>
  <c r="CF233" i="5"/>
  <c r="CG233" i="5"/>
  <c r="CH233" i="5"/>
  <c r="CI233" i="5"/>
  <c r="CJ233" i="5"/>
  <c r="CK233" i="5"/>
  <c r="CL233" i="5"/>
  <c r="CM233" i="5"/>
  <c r="CN233" i="5"/>
  <c r="CO233" i="5"/>
  <c r="CP233" i="5"/>
  <c r="CQ233" i="5"/>
  <c r="CR233" i="5"/>
  <c r="CS233" i="5"/>
  <c r="CT233" i="5"/>
  <c r="CU233" i="5"/>
  <c r="CV233" i="5"/>
  <c r="CW233" i="5"/>
  <c r="CX233" i="5"/>
  <c r="CY233" i="5"/>
  <c r="CZ233" i="5"/>
  <c r="DA233" i="5"/>
  <c r="DB233" i="5"/>
  <c r="DC233" i="5"/>
  <c r="DD233" i="5"/>
  <c r="DE233" i="5"/>
  <c r="DF233" i="5"/>
  <c r="DG233" i="5"/>
  <c r="DH233" i="5"/>
  <c r="DI233" i="5"/>
  <c r="DJ233" i="5"/>
  <c r="DK233" i="5"/>
  <c r="DL233" i="5"/>
  <c r="DM233" i="5"/>
  <c r="DN233" i="5"/>
  <c r="DO233" i="5"/>
  <c r="DP233" i="5"/>
  <c r="DQ233" i="5"/>
  <c r="DR233" i="5"/>
  <c r="DS233" i="5"/>
  <c r="DT233" i="5"/>
  <c r="DU233" i="5"/>
  <c r="DV233" i="5"/>
  <c r="DW233" i="5"/>
  <c r="DX233" i="5"/>
  <c r="DY233" i="5"/>
  <c r="DZ233" i="5"/>
  <c r="EA233" i="5"/>
  <c r="EB233" i="5"/>
  <c r="EC233" i="5"/>
  <c r="ED233" i="5"/>
  <c r="EE233" i="5"/>
  <c r="EF233" i="5"/>
  <c r="EG233" i="5"/>
  <c r="EH233" i="5"/>
  <c r="EI233" i="5"/>
  <c r="EJ233" i="5"/>
  <c r="EK233" i="5"/>
  <c r="EL233" i="5"/>
  <c r="EM233" i="5"/>
  <c r="EN233" i="5"/>
  <c r="EO233" i="5"/>
  <c r="EP233" i="5"/>
  <c r="EQ233" i="5"/>
  <c r="ER233" i="5"/>
  <c r="ES233" i="5"/>
  <c r="ET233" i="5"/>
  <c r="EU233" i="5"/>
  <c r="EV233" i="5"/>
  <c r="EW233" i="5"/>
  <c r="EX233" i="5"/>
  <c r="EY233" i="5"/>
  <c r="EZ233" i="5"/>
  <c r="FA233" i="5"/>
  <c r="FB233" i="5"/>
  <c r="FC233" i="5"/>
  <c r="FD233" i="5"/>
  <c r="FE233" i="5"/>
  <c r="FF233" i="5"/>
  <c r="FG233" i="5"/>
  <c r="FH233" i="5"/>
  <c r="FI233" i="5"/>
  <c r="FJ233" i="5"/>
  <c r="FK233" i="5"/>
  <c r="FL233" i="5"/>
  <c r="FM233" i="5"/>
  <c r="FN233" i="5"/>
  <c r="FO233" i="5"/>
  <c r="FP233" i="5"/>
  <c r="FQ233" i="5"/>
  <c r="FR233" i="5"/>
  <c r="FS233" i="5"/>
  <c r="FT233" i="5"/>
  <c r="FU233" i="5"/>
  <c r="FV233" i="5"/>
  <c r="FW233" i="5"/>
  <c r="FX233" i="5"/>
  <c r="FY233" i="5"/>
  <c r="FZ233" i="5"/>
  <c r="GA233" i="5"/>
  <c r="GB233" i="5"/>
  <c r="GC233" i="5"/>
  <c r="GD233" i="5"/>
  <c r="GE233" i="5"/>
  <c r="GF233" i="5"/>
  <c r="GG233" i="5"/>
  <c r="GH233" i="5"/>
  <c r="GI233" i="5"/>
  <c r="GJ233" i="5"/>
  <c r="GK233" i="5"/>
  <c r="GL233" i="5"/>
  <c r="GM233" i="5"/>
  <c r="GN233" i="5"/>
  <c r="GO233" i="5"/>
  <c r="GP233" i="5"/>
  <c r="GQ233" i="5"/>
  <c r="GR233" i="5"/>
  <c r="GS233" i="5"/>
  <c r="GT233" i="5"/>
  <c r="GU233" i="5"/>
  <c r="GV233" i="5"/>
  <c r="GW233" i="5"/>
  <c r="GX233" i="5"/>
  <c r="GY233" i="5"/>
  <c r="GZ233" i="5"/>
  <c r="HA233" i="5"/>
  <c r="HB233" i="5"/>
  <c r="HC233" i="5"/>
  <c r="HD233" i="5"/>
  <c r="HE233" i="5"/>
  <c r="HF233" i="5"/>
  <c r="HG233" i="5"/>
  <c r="A234" i="5"/>
  <c r="B234" i="5"/>
  <c r="C234" i="5"/>
  <c r="D234" i="5"/>
  <c r="E234" i="5"/>
  <c r="F234" i="5"/>
  <c r="G234" i="5"/>
  <c r="H234" i="5"/>
  <c r="I234" i="5"/>
  <c r="J234" i="5"/>
  <c r="K234" i="5"/>
  <c r="L234" i="5"/>
  <c r="M234" i="5"/>
  <c r="N234" i="5"/>
  <c r="O234" i="5"/>
  <c r="P234" i="5"/>
  <c r="Q234" i="5"/>
  <c r="R234" i="5"/>
  <c r="S234" i="5"/>
  <c r="T234" i="5"/>
  <c r="U234" i="5"/>
  <c r="V234" i="5"/>
  <c r="W234" i="5"/>
  <c r="X234" i="5"/>
  <c r="Y234" i="5"/>
  <c r="Z234" i="5"/>
  <c r="AA234" i="5"/>
  <c r="AB234" i="5"/>
  <c r="AC234" i="5"/>
  <c r="AD234" i="5"/>
  <c r="AE234" i="5"/>
  <c r="AF234" i="5"/>
  <c r="AG234" i="5"/>
  <c r="AH234" i="5"/>
  <c r="AI234" i="5"/>
  <c r="AJ234" i="5"/>
  <c r="AK234" i="5"/>
  <c r="AL234" i="5"/>
  <c r="AM234" i="5"/>
  <c r="AN234" i="5"/>
  <c r="AO234" i="5"/>
  <c r="AP234" i="5"/>
  <c r="AQ234" i="5"/>
  <c r="AR234" i="5"/>
  <c r="AS234" i="5"/>
  <c r="AT234" i="5"/>
  <c r="AU234" i="5"/>
  <c r="AV234" i="5"/>
  <c r="AW234" i="5"/>
  <c r="AX234" i="5"/>
  <c r="AY234" i="5"/>
  <c r="AZ234" i="5"/>
  <c r="BA234" i="5"/>
  <c r="BB234" i="5"/>
  <c r="BC234" i="5"/>
  <c r="BD234" i="5"/>
  <c r="BE234" i="5"/>
  <c r="BF234" i="5"/>
  <c r="BG234" i="5"/>
  <c r="BH234" i="5"/>
  <c r="BI234" i="5"/>
  <c r="BJ234" i="5"/>
  <c r="BK234" i="5"/>
  <c r="BL234" i="5"/>
  <c r="BM234" i="5"/>
  <c r="BN234" i="5"/>
  <c r="BO234" i="5"/>
  <c r="BP234" i="5"/>
  <c r="BQ234" i="5"/>
  <c r="BR234" i="5"/>
  <c r="BS234" i="5"/>
  <c r="BT234" i="5"/>
  <c r="BU234" i="5"/>
  <c r="BV234" i="5"/>
  <c r="BW234" i="5"/>
  <c r="BX234" i="5"/>
  <c r="BY234" i="5"/>
  <c r="BZ234" i="5"/>
  <c r="CA234" i="5"/>
  <c r="CB234" i="5"/>
  <c r="CC234" i="5"/>
  <c r="CD234" i="5"/>
  <c r="CE234" i="5"/>
  <c r="CF234" i="5"/>
  <c r="CG234" i="5"/>
  <c r="CH234" i="5"/>
  <c r="CI234" i="5"/>
  <c r="CJ234" i="5"/>
  <c r="CK234" i="5"/>
  <c r="CL234" i="5"/>
  <c r="CM234" i="5"/>
  <c r="CN234" i="5"/>
  <c r="CO234" i="5"/>
  <c r="CP234" i="5"/>
  <c r="CQ234" i="5"/>
  <c r="CR234" i="5"/>
  <c r="CS234" i="5"/>
  <c r="CT234" i="5"/>
  <c r="CU234" i="5"/>
  <c r="CV234" i="5"/>
  <c r="CW234" i="5"/>
  <c r="CX234" i="5"/>
  <c r="CY234" i="5"/>
  <c r="CZ234" i="5"/>
  <c r="DA234" i="5"/>
  <c r="DB234" i="5"/>
  <c r="DC234" i="5"/>
  <c r="DD234" i="5"/>
  <c r="DE234" i="5"/>
  <c r="DF234" i="5"/>
  <c r="DG234" i="5"/>
  <c r="DH234" i="5"/>
  <c r="DI234" i="5"/>
  <c r="DJ234" i="5"/>
  <c r="DK234" i="5"/>
  <c r="DL234" i="5"/>
  <c r="DM234" i="5"/>
  <c r="DN234" i="5"/>
  <c r="DO234" i="5"/>
  <c r="DP234" i="5"/>
  <c r="DQ234" i="5"/>
  <c r="DR234" i="5"/>
  <c r="DS234" i="5"/>
  <c r="DT234" i="5"/>
  <c r="DU234" i="5"/>
  <c r="DV234" i="5"/>
  <c r="DW234" i="5"/>
  <c r="DX234" i="5"/>
  <c r="DY234" i="5"/>
  <c r="DZ234" i="5"/>
  <c r="EA234" i="5"/>
  <c r="EB234" i="5"/>
  <c r="EC234" i="5"/>
  <c r="ED234" i="5"/>
  <c r="EE234" i="5"/>
  <c r="EF234" i="5"/>
  <c r="EG234" i="5"/>
  <c r="EH234" i="5"/>
  <c r="EI234" i="5"/>
  <c r="EJ234" i="5"/>
  <c r="EK234" i="5"/>
  <c r="EL234" i="5"/>
  <c r="EM234" i="5"/>
  <c r="EN234" i="5"/>
  <c r="EO234" i="5"/>
  <c r="EP234" i="5"/>
  <c r="EQ234" i="5"/>
  <c r="ER234" i="5"/>
  <c r="ES234" i="5"/>
  <c r="ET234" i="5"/>
  <c r="EU234" i="5"/>
  <c r="EV234" i="5"/>
  <c r="EW234" i="5"/>
  <c r="EX234" i="5"/>
  <c r="EY234" i="5"/>
  <c r="EZ234" i="5"/>
  <c r="FA234" i="5"/>
  <c r="FB234" i="5"/>
  <c r="FC234" i="5"/>
  <c r="FD234" i="5"/>
  <c r="FE234" i="5"/>
  <c r="FF234" i="5"/>
  <c r="FG234" i="5"/>
  <c r="FH234" i="5"/>
  <c r="FI234" i="5"/>
  <c r="FJ234" i="5"/>
  <c r="FK234" i="5"/>
  <c r="FL234" i="5"/>
  <c r="FM234" i="5"/>
  <c r="FN234" i="5"/>
  <c r="FO234" i="5"/>
  <c r="FP234" i="5"/>
  <c r="FQ234" i="5"/>
  <c r="FR234" i="5"/>
  <c r="FS234" i="5"/>
  <c r="FT234" i="5"/>
  <c r="FU234" i="5"/>
  <c r="FV234" i="5"/>
  <c r="FW234" i="5"/>
  <c r="FX234" i="5"/>
  <c r="FY234" i="5"/>
  <c r="FZ234" i="5"/>
  <c r="GA234" i="5"/>
  <c r="GB234" i="5"/>
  <c r="GC234" i="5"/>
  <c r="GD234" i="5"/>
  <c r="GE234" i="5"/>
  <c r="GF234" i="5"/>
  <c r="GG234" i="5"/>
  <c r="GH234" i="5"/>
  <c r="GI234" i="5"/>
  <c r="GJ234" i="5"/>
  <c r="GK234" i="5"/>
  <c r="GL234" i="5"/>
  <c r="GM234" i="5"/>
  <c r="GN234" i="5"/>
  <c r="GO234" i="5"/>
  <c r="GP234" i="5"/>
  <c r="GQ234" i="5"/>
  <c r="GR234" i="5"/>
  <c r="GS234" i="5"/>
  <c r="GT234" i="5"/>
  <c r="GU234" i="5"/>
  <c r="GV234" i="5"/>
  <c r="GW234" i="5"/>
  <c r="GX234" i="5"/>
  <c r="GY234" i="5"/>
  <c r="GZ234" i="5"/>
  <c r="HA234" i="5"/>
  <c r="HB234" i="5"/>
  <c r="HC234" i="5"/>
  <c r="HD234" i="5"/>
  <c r="HE234" i="5"/>
  <c r="HF234" i="5"/>
  <c r="HG234" i="5"/>
  <c r="A235" i="5"/>
  <c r="B235" i="5"/>
  <c r="C235" i="5"/>
  <c r="D235" i="5"/>
  <c r="E235" i="5"/>
  <c r="F235" i="5"/>
  <c r="G235" i="5"/>
  <c r="H235" i="5"/>
  <c r="I235" i="5"/>
  <c r="J235" i="5"/>
  <c r="K235" i="5"/>
  <c r="L235" i="5"/>
  <c r="M235" i="5"/>
  <c r="N235" i="5"/>
  <c r="O235" i="5"/>
  <c r="P235" i="5"/>
  <c r="Q235" i="5"/>
  <c r="R235" i="5"/>
  <c r="S235" i="5"/>
  <c r="T235" i="5"/>
  <c r="U235" i="5"/>
  <c r="V235" i="5"/>
  <c r="W235" i="5"/>
  <c r="X235" i="5"/>
  <c r="Y235" i="5"/>
  <c r="Z235" i="5"/>
  <c r="AA235" i="5"/>
  <c r="AB235" i="5"/>
  <c r="AC235" i="5"/>
  <c r="AD235" i="5"/>
  <c r="AE235" i="5"/>
  <c r="AF235" i="5"/>
  <c r="AG235" i="5"/>
  <c r="AH235" i="5"/>
  <c r="AI235" i="5"/>
  <c r="AJ235" i="5"/>
  <c r="AK235" i="5"/>
  <c r="AL235" i="5"/>
  <c r="AM235" i="5"/>
  <c r="AN235" i="5"/>
  <c r="AO235" i="5"/>
  <c r="AP235" i="5"/>
  <c r="AQ235" i="5"/>
  <c r="AR235" i="5"/>
  <c r="AS235" i="5"/>
  <c r="AT235" i="5"/>
  <c r="AU235" i="5"/>
  <c r="AV235" i="5"/>
  <c r="AW235" i="5"/>
  <c r="AX235" i="5"/>
  <c r="AY235" i="5"/>
  <c r="AZ235" i="5"/>
  <c r="BA235" i="5"/>
  <c r="BB235" i="5"/>
  <c r="BC235" i="5"/>
  <c r="BD235" i="5"/>
  <c r="BE235" i="5"/>
  <c r="BF235" i="5"/>
  <c r="BG235" i="5"/>
  <c r="BH235" i="5"/>
  <c r="BI235" i="5"/>
  <c r="BJ235" i="5"/>
  <c r="BK235" i="5"/>
  <c r="BL235" i="5"/>
  <c r="BM235" i="5"/>
  <c r="BN235" i="5"/>
  <c r="BO235" i="5"/>
  <c r="BP235" i="5"/>
  <c r="BQ235" i="5"/>
  <c r="BR235" i="5"/>
  <c r="BS235" i="5"/>
  <c r="BT235" i="5"/>
  <c r="BU235" i="5"/>
  <c r="BV235" i="5"/>
  <c r="BW235" i="5"/>
  <c r="BX235" i="5"/>
  <c r="BY235" i="5"/>
  <c r="BZ235" i="5"/>
  <c r="CA235" i="5"/>
  <c r="CB235" i="5"/>
  <c r="CC235" i="5"/>
  <c r="CD235" i="5"/>
  <c r="CE235" i="5"/>
  <c r="CF235" i="5"/>
  <c r="CG235" i="5"/>
  <c r="CH235" i="5"/>
  <c r="CI235" i="5"/>
  <c r="CJ235" i="5"/>
  <c r="CK235" i="5"/>
  <c r="CL235" i="5"/>
  <c r="CM235" i="5"/>
  <c r="CN235" i="5"/>
  <c r="CO235" i="5"/>
  <c r="CP235" i="5"/>
  <c r="CQ235" i="5"/>
  <c r="CR235" i="5"/>
  <c r="CS235" i="5"/>
  <c r="CT235" i="5"/>
  <c r="CU235" i="5"/>
  <c r="CV235" i="5"/>
  <c r="CW235" i="5"/>
  <c r="CX235" i="5"/>
  <c r="CY235" i="5"/>
  <c r="CZ235" i="5"/>
  <c r="DA235" i="5"/>
  <c r="DB235" i="5"/>
  <c r="DC235" i="5"/>
  <c r="DD235" i="5"/>
  <c r="DE235" i="5"/>
  <c r="DF235" i="5"/>
  <c r="DG235" i="5"/>
  <c r="DH235" i="5"/>
  <c r="DI235" i="5"/>
  <c r="DJ235" i="5"/>
  <c r="DK235" i="5"/>
  <c r="DL235" i="5"/>
  <c r="DM235" i="5"/>
  <c r="DN235" i="5"/>
  <c r="DO235" i="5"/>
  <c r="DP235" i="5"/>
  <c r="DQ235" i="5"/>
  <c r="DR235" i="5"/>
  <c r="DS235" i="5"/>
  <c r="DT235" i="5"/>
  <c r="DU235" i="5"/>
  <c r="DV235" i="5"/>
  <c r="DW235" i="5"/>
  <c r="DX235" i="5"/>
  <c r="DY235" i="5"/>
  <c r="DZ235" i="5"/>
  <c r="EA235" i="5"/>
  <c r="EB235" i="5"/>
  <c r="EC235" i="5"/>
  <c r="ED235" i="5"/>
  <c r="EE235" i="5"/>
  <c r="EF235" i="5"/>
  <c r="EG235" i="5"/>
  <c r="EH235" i="5"/>
  <c r="EI235" i="5"/>
  <c r="EJ235" i="5"/>
  <c r="EK235" i="5"/>
  <c r="EL235" i="5"/>
  <c r="EM235" i="5"/>
  <c r="EN235" i="5"/>
  <c r="EO235" i="5"/>
  <c r="EP235" i="5"/>
  <c r="EQ235" i="5"/>
  <c r="ER235" i="5"/>
  <c r="ES235" i="5"/>
  <c r="ET235" i="5"/>
  <c r="EU235" i="5"/>
  <c r="EV235" i="5"/>
  <c r="EW235" i="5"/>
  <c r="EX235" i="5"/>
  <c r="EY235" i="5"/>
  <c r="EZ235" i="5"/>
  <c r="FA235" i="5"/>
  <c r="FB235" i="5"/>
  <c r="FC235" i="5"/>
  <c r="FD235" i="5"/>
  <c r="FE235" i="5"/>
  <c r="FF235" i="5"/>
  <c r="FG235" i="5"/>
  <c r="FH235" i="5"/>
  <c r="FI235" i="5"/>
  <c r="FJ235" i="5"/>
  <c r="FK235" i="5"/>
  <c r="FL235" i="5"/>
  <c r="FM235" i="5"/>
  <c r="FN235" i="5"/>
  <c r="FO235" i="5"/>
  <c r="FP235" i="5"/>
  <c r="FQ235" i="5"/>
  <c r="FR235" i="5"/>
  <c r="FS235" i="5"/>
  <c r="FT235" i="5"/>
  <c r="FU235" i="5"/>
  <c r="FV235" i="5"/>
  <c r="FW235" i="5"/>
  <c r="FX235" i="5"/>
  <c r="FY235" i="5"/>
  <c r="FZ235" i="5"/>
  <c r="GA235" i="5"/>
  <c r="GB235" i="5"/>
  <c r="GC235" i="5"/>
  <c r="GD235" i="5"/>
  <c r="GE235" i="5"/>
  <c r="GF235" i="5"/>
  <c r="GG235" i="5"/>
  <c r="GH235" i="5"/>
  <c r="GI235" i="5"/>
  <c r="GJ235" i="5"/>
  <c r="GK235" i="5"/>
  <c r="GL235" i="5"/>
  <c r="GM235" i="5"/>
  <c r="GN235" i="5"/>
  <c r="GO235" i="5"/>
  <c r="GP235" i="5"/>
  <c r="GQ235" i="5"/>
  <c r="GR235" i="5"/>
  <c r="GS235" i="5"/>
  <c r="GT235" i="5"/>
  <c r="GU235" i="5"/>
  <c r="GV235" i="5"/>
  <c r="GW235" i="5"/>
  <c r="GX235" i="5"/>
  <c r="GY235" i="5"/>
  <c r="GZ235" i="5"/>
  <c r="HA235" i="5"/>
  <c r="HB235" i="5"/>
  <c r="HC235" i="5"/>
  <c r="HD235" i="5"/>
  <c r="HE235" i="5"/>
  <c r="HF235" i="5"/>
  <c r="HG235" i="5"/>
  <c r="A236" i="5"/>
  <c r="B236" i="5"/>
  <c r="C236" i="5"/>
  <c r="D236" i="5"/>
  <c r="E236" i="5"/>
  <c r="F236" i="5"/>
  <c r="G236" i="5"/>
  <c r="H236" i="5"/>
  <c r="I236" i="5"/>
  <c r="J236" i="5"/>
  <c r="K236" i="5"/>
  <c r="L236" i="5"/>
  <c r="M236" i="5"/>
  <c r="N236" i="5"/>
  <c r="O236" i="5"/>
  <c r="P236" i="5"/>
  <c r="Q236" i="5"/>
  <c r="R236" i="5"/>
  <c r="S236" i="5"/>
  <c r="T236" i="5"/>
  <c r="U236" i="5"/>
  <c r="V236" i="5"/>
  <c r="W236" i="5"/>
  <c r="X236" i="5"/>
  <c r="Y236" i="5"/>
  <c r="Z236" i="5"/>
  <c r="AA236" i="5"/>
  <c r="AB236" i="5"/>
  <c r="AC236" i="5"/>
  <c r="AD236" i="5"/>
  <c r="AE236" i="5"/>
  <c r="AF236" i="5"/>
  <c r="AG236" i="5"/>
  <c r="AH236" i="5"/>
  <c r="AI236" i="5"/>
  <c r="AJ236" i="5"/>
  <c r="AK236" i="5"/>
  <c r="AL236" i="5"/>
  <c r="AM236" i="5"/>
  <c r="AN236" i="5"/>
  <c r="AO236" i="5"/>
  <c r="AP236" i="5"/>
  <c r="AQ236" i="5"/>
  <c r="AR236" i="5"/>
  <c r="AS236" i="5"/>
  <c r="AT236" i="5"/>
  <c r="AU236" i="5"/>
  <c r="AV236" i="5"/>
  <c r="AW236" i="5"/>
  <c r="AX236" i="5"/>
  <c r="AY236" i="5"/>
  <c r="AZ236" i="5"/>
  <c r="BA236" i="5"/>
  <c r="BB236" i="5"/>
  <c r="BC236" i="5"/>
  <c r="BD236" i="5"/>
  <c r="BE236" i="5"/>
  <c r="BF236" i="5"/>
  <c r="BG236" i="5"/>
  <c r="BH236" i="5"/>
  <c r="BI236" i="5"/>
  <c r="BJ236" i="5"/>
  <c r="BK236" i="5"/>
  <c r="BL236" i="5"/>
  <c r="BM236" i="5"/>
  <c r="BN236" i="5"/>
  <c r="BO236" i="5"/>
  <c r="BP236" i="5"/>
  <c r="BQ236" i="5"/>
  <c r="BR236" i="5"/>
  <c r="BS236" i="5"/>
  <c r="BT236" i="5"/>
  <c r="BU236" i="5"/>
  <c r="BV236" i="5"/>
  <c r="BW236" i="5"/>
  <c r="BX236" i="5"/>
  <c r="BY236" i="5"/>
  <c r="BZ236" i="5"/>
  <c r="CA236" i="5"/>
  <c r="CB236" i="5"/>
  <c r="CC236" i="5"/>
  <c r="CD236" i="5"/>
  <c r="CE236" i="5"/>
  <c r="CF236" i="5"/>
  <c r="CG236" i="5"/>
  <c r="CH236" i="5"/>
  <c r="CI236" i="5"/>
  <c r="CJ236" i="5"/>
  <c r="CK236" i="5"/>
  <c r="CL236" i="5"/>
  <c r="CM236" i="5"/>
  <c r="CN236" i="5"/>
  <c r="CO236" i="5"/>
  <c r="CP236" i="5"/>
  <c r="CQ236" i="5"/>
  <c r="CR236" i="5"/>
  <c r="CS236" i="5"/>
  <c r="CT236" i="5"/>
  <c r="CU236" i="5"/>
  <c r="CV236" i="5"/>
  <c r="CW236" i="5"/>
  <c r="CX236" i="5"/>
  <c r="CY236" i="5"/>
  <c r="CZ236" i="5"/>
  <c r="DA236" i="5"/>
  <c r="DB236" i="5"/>
  <c r="DC236" i="5"/>
  <c r="DD236" i="5"/>
  <c r="DE236" i="5"/>
  <c r="DF236" i="5"/>
  <c r="DG236" i="5"/>
  <c r="DH236" i="5"/>
  <c r="DI236" i="5"/>
  <c r="DJ236" i="5"/>
  <c r="DK236" i="5"/>
  <c r="DL236" i="5"/>
  <c r="DM236" i="5"/>
  <c r="DN236" i="5"/>
  <c r="DO236" i="5"/>
  <c r="DP236" i="5"/>
  <c r="DQ236" i="5"/>
  <c r="DR236" i="5"/>
  <c r="DS236" i="5"/>
  <c r="DT236" i="5"/>
  <c r="DU236" i="5"/>
  <c r="DV236" i="5"/>
  <c r="DW236" i="5"/>
  <c r="DX236" i="5"/>
  <c r="DY236" i="5"/>
  <c r="DZ236" i="5"/>
  <c r="EA236" i="5"/>
  <c r="EB236" i="5"/>
  <c r="EC236" i="5"/>
  <c r="ED236" i="5"/>
  <c r="EE236" i="5"/>
  <c r="EF236" i="5"/>
  <c r="EG236" i="5"/>
  <c r="EH236" i="5"/>
  <c r="EI236" i="5"/>
  <c r="EJ236" i="5"/>
  <c r="EK236" i="5"/>
  <c r="EL236" i="5"/>
  <c r="EM236" i="5"/>
  <c r="EN236" i="5"/>
  <c r="EO236" i="5"/>
  <c r="EP236" i="5"/>
  <c r="EQ236" i="5"/>
  <c r="ER236" i="5"/>
  <c r="ES236" i="5"/>
  <c r="ET236" i="5"/>
  <c r="EU236" i="5"/>
  <c r="EV236" i="5"/>
  <c r="EW236" i="5"/>
  <c r="EX236" i="5"/>
  <c r="EY236" i="5"/>
  <c r="EZ236" i="5"/>
  <c r="FA236" i="5"/>
  <c r="FB236" i="5"/>
  <c r="FC236" i="5"/>
  <c r="FD236" i="5"/>
  <c r="FE236" i="5"/>
  <c r="FF236" i="5"/>
  <c r="FG236" i="5"/>
  <c r="FH236" i="5"/>
  <c r="FI236" i="5"/>
  <c r="FJ236" i="5"/>
  <c r="FK236" i="5"/>
  <c r="FL236" i="5"/>
  <c r="FM236" i="5"/>
  <c r="FN236" i="5"/>
  <c r="FO236" i="5"/>
  <c r="FP236" i="5"/>
  <c r="FQ236" i="5"/>
  <c r="FR236" i="5"/>
  <c r="FS236" i="5"/>
  <c r="FT236" i="5"/>
  <c r="FU236" i="5"/>
  <c r="FV236" i="5"/>
  <c r="FW236" i="5"/>
  <c r="FX236" i="5"/>
  <c r="FY236" i="5"/>
  <c r="FZ236" i="5"/>
  <c r="GA236" i="5"/>
  <c r="GB236" i="5"/>
  <c r="GC236" i="5"/>
  <c r="GD236" i="5"/>
  <c r="GE236" i="5"/>
  <c r="GF236" i="5"/>
  <c r="GG236" i="5"/>
  <c r="GH236" i="5"/>
  <c r="GI236" i="5"/>
  <c r="GJ236" i="5"/>
  <c r="GK236" i="5"/>
  <c r="GL236" i="5"/>
  <c r="GM236" i="5"/>
  <c r="GN236" i="5"/>
  <c r="GO236" i="5"/>
  <c r="GP236" i="5"/>
  <c r="GQ236" i="5"/>
  <c r="GR236" i="5"/>
  <c r="GS236" i="5"/>
  <c r="GT236" i="5"/>
  <c r="GU236" i="5"/>
  <c r="GV236" i="5"/>
  <c r="GW236" i="5"/>
  <c r="GX236" i="5"/>
  <c r="GY236" i="5"/>
  <c r="GZ236" i="5"/>
  <c r="HA236" i="5"/>
  <c r="HB236" i="5"/>
  <c r="HC236" i="5"/>
  <c r="HD236" i="5"/>
  <c r="HE236" i="5"/>
  <c r="HF236" i="5"/>
  <c r="HG236" i="5"/>
  <c r="A237" i="5"/>
  <c r="B237" i="5"/>
  <c r="C237" i="5"/>
  <c r="D237" i="5"/>
  <c r="E237" i="5"/>
  <c r="F237" i="5"/>
  <c r="G237" i="5"/>
  <c r="H237" i="5"/>
  <c r="I237" i="5"/>
  <c r="J237" i="5"/>
  <c r="K237" i="5"/>
  <c r="L237" i="5"/>
  <c r="M237" i="5"/>
  <c r="N237" i="5"/>
  <c r="O237" i="5"/>
  <c r="P237" i="5"/>
  <c r="Q237" i="5"/>
  <c r="R237" i="5"/>
  <c r="S237" i="5"/>
  <c r="T237" i="5"/>
  <c r="U237" i="5"/>
  <c r="V237" i="5"/>
  <c r="W237" i="5"/>
  <c r="X237" i="5"/>
  <c r="Y237" i="5"/>
  <c r="Z237" i="5"/>
  <c r="AA237" i="5"/>
  <c r="AB237" i="5"/>
  <c r="AC237" i="5"/>
  <c r="AD237" i="5"/>
  <c r="AE237" i="5"/>
  <c r="AF237" i="5"/>
  <c r="AG237" i="5"/>
  <c r="AH237" i="5"/>
  <c r="AI237" i="5"/>
  <c r="AJ237" i="5"/>
  <c r="AK237" i="5"/>
  <c r="AL237" i="5"/>
  <c r="AM237" i="5"/>
  <c r="AN237" i="5"/>
  <c r="AO237" i="5"/>
  <c r="AP237" i="5"/>
  <c r="AQ237" i="5"/>
  <c r="AR237" i="5"/>
  <c r="AS237" i="5"/>
  <c r="AT237" i="5"/>
  <c r="AU237" i="5"/>
  <c r="AV237" i="5"/>
  <c r="AW237" i="5"/>
  <c r="AX237" i="5"/>
  <c r="AY237" i="5"/>
  <c r="AZ237" i="5"/>
  <c r="BA237" i="5"/>
  <c r="BB237" i="5"/>
  <c r="BC237" i="5"/>
  <c r="BD237" i="5"/>
  <c r="BE237" i="5"/>
  <c r="BF237" i="5"/>
  <c r="BG237" i="5"/>
  <c r="BH237" i="5"/>
  <c r="BI237" i="5"/>
  <c r="BJ237" i="5"/>
  <c r="BK237" i="5"/>
  <c r="BL237" i="5"/>
  <c r="BM237" i="5"/>
  <c r="BN237" i="5"/>
  <c r="BO237" i="5"/>
  <c r="BP237" i="5"/>
  <c r="BQ237" i="5"/>
  <c r="BR237" i="5"/>
  <c r="BS237" i="5"/>
  <c r="BT237" i="5"/>
  <c r="BU237" i="5"/>
  <c r="BV237" i="5"/>
  <c r="BW237" i="5"/>
  <c r="BX237" i="5"/>
  <c r="BY237" i="5"/>
  <c r="BZ237" i="5"/>
  <c r="CA237" i="5"/>
  <c r="CB237" i="5"/>
  <c r="CC237" i="5"/>
  <c r="CD237" i="5"/>
  <c r="CE237" i="5"/>
  <c r="CF237" i="5"/>
  <c r="CG237" i="5"/>
  <c r="CH237" i="5"/>
  <c r="CI237" i="5"/>
  <c r="CJ237" i="5"/>
  <c r="CK237" i="5"/>
  <c r="CL237" i="5"/>
  <c r="CM237" i="5"/>
  <c r="CN237" i="5"/>
  <c r="CO237" i="5"/>
  <c r="CP237" i="5"/>
  <c r="CQ237" i="5"/>
  <c r="CR237" i="5"/>
  <c r="CS237" i="5"/>
  <c r="CT237" i="5"/>
  <c r="CU237" i="5"/>
  <c r="CV237" i="5"/>
  <c r="CW237" i="5"/>
  <c r="CX237" i="5"/>
  <c r="CY237" i="5"/>
  <c r="CZ237" i="5"/>
  <c r="DA237" i="5"/>
  <c r="DB237" i="5"/>
  <c r="DC237" i="5"/>
  <c r="DD237" i="5"/>
  <c r="DE237" i="5"/>
  <c r="DF237" i="5"/>
  <c r="DG237" i="5"/>
  <c r="DH237" i="5"/>
  <c r="DI237" i="5"/>
  <c r="DJ237" i="5"/>
  <c r="DK237" i="5"/>
  <c r="DL237" i="5"/>
  <c r="DM237" i="5"/>
  <c r="DN237" i="5"/>
  <c r="DO237" i="5"/>
  <c r="DP237" i="5"/>
  <c r="DQ237" i="5"/>
  <c r="DR237" i="5"/>
  <c r="DS237" i="5"/>
  <c r="DT237" i="5"/>
  <c r="DU237" i="5"/>
  <c r="DV237" i="5"/>
  <c r="DW237" i="5"/>
  <c r="DX237" i="5"/>
  <c r="DY237" i="5"/>
  <c r="DZ237" i="5"/>
  <c r="EA237" i="5"/>
  <c r="EB237" i="5"/>
  <c r="EC237" i="5"/>
  <c r="ED237" i="5"/>
  <c r="EE237" i="5"/>
  <c r="EF237" i="5"/>
  <c r="EG237" i="5"/>
  <c r="EH237" i="5"/>
  <c r="EI237" i="5"/>
  <c r="EJ237" i="5"/>
  <c r="EK237" i="5"/>
  <c r="EL237" i="5"/>
  <c r="EM237" i="5"/>
  <c r="EN237" i="5"/>
  <c r="EO237" i="5"/>
  <c r="EP237" i="5"/>
  <c r="EQ237" i="5"/>
  <c r="ER237" i="5"/>
  <c r="ES237" i="5"/>
  <c r="ET237" i="5"/>
  <c r="EU237" i="5"/>
  <c r="EV237" i="5"/>
  <c r="EW237" i="5"/>
  <c r="EX237" i="5"/>
  <c r="EY237" i="5"/>
  <c r="EZ237" i="5"/>
  <c r="FA237" i="5"/>
  <c r="FB237" i="5"/>
  <c r="FC237" i="5"/>
  <c r="FD237" i="5"/>
  <c r="FE237" i="5"/>
  <c r="FF237" i="5"/>
  <c r="FG237" i="5"/>
  <c r="FH237" i="5"/>
  <c r="FI237" i="5"/>
  <c r="FJ237" i="5"/>
  <c r="FK237" i="5"/>
  <c r="FL237" i="5"/>
  <c r="FM237" i="5"/>
  <c r="FN237" i="5"/>
  <c r="FO237" i="5"/>
  <c r="FP237" i="5"/>
  <c r="FQ237" i="5"/>
  <c r="FR237" i="5"/>
  <c r="FS237" i="5"/>
  <c r="FT237" i="5"/>
  <c r="FU237" i="5"/>
  <c r="FV237" i="5"/>
  <c r="FW237" i="5"/>
  <c r="FX237" i="5"/>
  <c r="FY237" i="5"/>
  <c r="FZ237" i="5"/>
  <c r="GA237" i="5"/>
  <c r="GB237" i="5"/>
  <c r="GC237" i="5"/>
  <c r="GD237" i="5"/>
  <c r="GE237" i="5"/>
  <c r="GF237" i="5"/>
  <c r="GG237" i="5"/>
  <c r="GH237" i="5"/>
  <c r="GI237" i="5"/>
  <c r="GJ237" i="5"/>
  <c r="GK237" i="5"/>
  <c r="GL237" i="5"/>
  <c r="GM237" i="5"/>
  <c r="GN237" i="5"/>
  <c r="GO237" i="5"/>
  <c r="GP237" i="5"/>
  <c r="GQ237" i="5"/>
  <c r="GR237" i="5"/>
  <c r="GS237" i="5"/>
  <c r="GT237" i="5"/>
  <c r="GU237" i="5"/>
  <c r="GV237" i="5"/>
  <c r="GW237" i="5"/>
  <c r="GX237" i="5"/>
  <c r="GY237" i="5"/>
  <c r="GZ237" i="5"/>
  <c r="HA237" i="5"/>
  <c r="HB237" i="5"/>
  <c r="HC237" i="5"/>
  <c r="HD237" i="5"/>
  <c r="HE237" i="5"/>
  <c r="HF237" i="5"/>
  <c r="HG237" i="5"/>
  <c r="A238" i="5"/>
  <c r="B238" i="5"/>
  <c r="C238" i="5"/>
  <c r="D238" i="5"/>
  <c r="E238" i="5"/>
  <c r="F238" i="5"/>
  <c r="G238" i="5"/>
  <c r="H238" i="5"/>
  <c r="I238" i="5"/>
  <c r="J238" i="5"/>
  <c r="K238" i="5"/>
  <c r="L238" i="5"/>
  <c r="M238" i="5"/>
  <c r="N238" i="5"/>
  <c r="O238" i="5"/>
  <c r="P238" i="5"/>
  <c r="Q238" i="5"/>
  <c r="R238" i="5"/>
  <c r="S238" i="5"/>
  <c r="T238" i="5"/>
  <c r="U238" i="5"/>
  <c r="V238" i="5"/>
  <c r="W238" i="5"/>
  <c r="X238" i="5"/>
  <c r="Y238" i="5"/>
  <c r="Z238" i="5"/>
  <c r="AA238" i="5"/>
  <c r="AB238" i="5"/>
  <c r="AC238" i="5"/>
  <c r="AD238" i="5"/>
  <c r="AE238" i="5"/>
  <c r="AF238" i="5"/>
  <c r="AG238" i="5"/>
  <c r="AH238" i="5"/>
  <c r="AI238" i="5"/>
  <c r="AJ238" i="5"/>
  <c r="AK238" i="5"/>
  <c r="AL238" i="5"/>
  <c r="AM238" i="5"/>
  <c r="AN238" i="5"/>
  <c r="AO238" i="5"/>
  <c r="AP238" i="5"/>
  <c r="AQ238" i="5"/>
  <c r="AR238" i="5"/>
  <c r="AS238" i="5"/>
  <c r="AT238" i="5"/>
  <c r="AU238" i="5"/>
  <c r="AV238" i="5"/>
  <c r="AW238" i="5"/>
  <c r="AX238" i="5"/>
  <c r="AY238" i="5"/>
  <c r="AZ238" i="5"/>
  <c r="BA238" i="5"/>
  <c r="BB238" i="5"/>
  <c r="BC238" i="5"/>
  <c r="BD238" i="5"/>
  <c r="BE238" i="5"/>
  <c r="BF238" i="5"/>
  <c r="BG238" i="5"/>
  <c r="BH238" i="5"/>
  <c r="BI238" i="5"/>
  <c r="BJ238" i="5"/>
  <c r="BK238" i="5"/>
  <c r="BL238" i="5"/>
  <c r="BM238" i="5"/>
  <c r="BN238" i="5"/>
  <c r="BO238" i="5"/>
  <c r="BP238" i="5"/>
  <c r="BQ238" i="5"/>
  <c r="BR238" i="5"/>
  <c r="BS238" i="5"/>
  <c r="BT238" i="5"/>
  <c r="BU238" i="5"/>
  <c r="BV238" i="5"/>
  <c r="BW238" i="5"/>
  <c r="BX238" i="5"/>
  <c r="BY238" i="5"/>
  <c r="BZ238" i="5"/>
  <c r="CA238" i="5"/>
  <c r="CB238" i="5"/>
  <c r="CC238" i="5"/>
  <c r="CD238" i="5"/>
  <c r="CE238" i="5"/>
  <c r="CF238" i="5"/>
  <c r="CG238" i="5"/>
  <c r="CH238" i="5"/>
  <c r="CI238" i="5"/>
  <c r="CJ238" i="5"/>
  <c r="CK238" i="5"/>
  <c r="CL238" i="5"/>
  <c r="CM238" i="5"/>
  <c r="CN238" i="5"/>
  <c r="CO238" i="5"/>
  <c r="CP238" i="5"/>
  <c r="CQ238" i="5"/>
  <c r="CR238" i="5"/>
  <c r="CS238" i="5"/>
  <c r="CT238" i="5"/>
  <c r="CU238" i="5"/>
  <c r="CV238" i="5"/>
  <c r="CW238" i="5"/>
  <c r="CX238" i="5"/>
  <c r="CY238" i="5"/>
  <c r="CZ238" i="5"/>
  <c r="DA238" i="5"/>
  <c r="DB238" i="5"/>
  <c r="DC238" i="5"/>
  <c r="DD238" i="5"/>
  <c r="DE238" i="5"/>
  <c r="DF238" i="5"/>
  <c r="DG238" i="5"/>
  <c r="DH238" i="5"/>
  <c r="DI238" i="5"/>
  <c r="DJ238" i="5"/>
  <c r="DK238" i="5"/>
  <c r="DL238" i="5"/>
  <c r="DM238" i="5"/>
  <c r="DN238" i="5"/>
  <c r="DO238" i="5"/>
  <c r="DP238" i="5"/>
  <c r="DQ238" i="5"/>
  <c r="DR238" i="5"/>
  <c r="DS238" i="5"/>
  <c r="DT238" i="5"/>
  <c r="DU238" i="5"/>
  <c r="DV238" i="5"/>
  <c r="DW238" i="5"/>
  <c r="DX238" i="5"/>
  <c r="DY238" i="5"/>
  <c r="DZ238" i="5"/>
  <c r="EA238" i="5"/>
  <c r="EB238" i="5"/>
  <c r="EC238" i="5"/>
  <c r="ED238" i="5"/>
  <c r="EE238" i="5"/>
  <c r="EF238" i="5"/>
  <c r="EG238" i="5"/>
  <c r="EH238" i="5"/>
  <c r="EI238" i="5"/>
  <c r="EJ238" i="5"/>
  <c r="EK238" i="5"/>
  <c r="EL238" i="5"/>
  <c r="EM238" i="5"/>
  <c r="EN238" i="5"/>
  <c r="EO238" i="5"/>
  <c r="EP238" i="5"/>
  <c r="EQ238" i="5"/>
  <c r="ER238" i="5"/>
  <c r="ES238" i="5"/>
  <c r="ET238" i="5"/>
  <c r="EU238" i="5"/>
  <c r="EV238" i="5"/>
  <c r="EW238" i="5"/>
  <c r="EX238" i="5"/>
  <c r="EY238" i="5"/>
  <c r="EZ238" i="5"/>
  <c r="FA238" i="5"/>
  <c r="FB238" i="5"/>
  <c r="FC238" i="5"/>
  <c r="FD238" i="5"/>
  <c r="FE238" i="5"/>
  <c r="FF238" i="5"/>
  <c r="FG238" i="5"/>
  <c r="FH238" i="5"/>
  <c r="FI238" i="5"/>
  <c r="FJ238" i="5"/>
  <c r="FK238" i="5"/>
  <c r="FL238" i="5"/>
  <c r="FM238" i="5"/>
  <c r="FN238" i="5"/>
  <c r="FO238" i="5"/>
  <c r="FP238" i="5"/>
  <c r="FQ238" i="5"/>
  <c r="FR238" i="5"/>
  <c r="FS238" i="5"/>
  <c r="FT238" i="5"/>
  <c r="FU238" i="5"/>
  <c r="FV238" i="5"/>
  <c r="FW238" i="5"/>
  <c r="FX238" i="5"/>
  <c r="FY238" i="5"/>
  <c r="FZ238" i="5"/>
  <c r="GA238" i="5"/>
  <c r="GB238" i="5"/>
  <c r="GC238" i="5"/>
  <c r="GD238" i="5"/>
  <c r="GE238" i="5"/>
  <c r="GF238" i="5"/>
  <c r="GG238" i="5"/>
  <c r="GH238" i="5"/>
  <c r="GI238" i="5"/>
  <c r="GJ238" i="5"/>
  <c r="GK238" i="5"/>
  <c r="GL238" i="5"/>
  <c r="GM238" i="5"/>
  <c r="GN238" i="5"/>
  <c r="GO238" i="5"/>
  <c r="GP238" i="5"/>
  <c r="GQ238" i="5"/>
  <c r="GR238" i="5"/>
  <c r="GS238" i="5"/>
  <c r="GT238" i="5"/>
  <c r="GU238" i="5"/>
  <c r="GV238" i="5"/>
  <c r="GW238" i="5"/>
  <c r="GX238" i="5"/>
  <c r="GY238" i="5"/>
  <c r="GZ238" i="5"/>
  <c r="HA238" i="5"/>
  <c r="HB238" i="5"/>
  <c r="HC238" i="5"/>
  <c r="HD238" i="5"/>
  <c r="HE238" i="5"/>
  <c r="HF238" i="5"/>
  <c r="HG238" i="5"/>
  <c r="A239" i="5"/>
  <c r="B239" i="5"/>
  <c r="C239" i="5"/>
  <c r="D239" i="5"/>
  <c r="E239" i="5"/>
  <c r="F239" i="5"/>
  <c r="G239" i="5"/>
  <c r="H239" i="5"/>
  <c r="I239" i="5"/>
  <c r="J239" i="5"/>
  <c r="K239" i="5"/>
  <c r="L239" i="5"/>
  <c r="M239" i="5"/>
  <c r="N239" i="5"/>
  <c r="O239" i="5"/>
  <c r="P239" i="5"/>
  <c r="Q239" i="5"/>
  <c r="R239" i="5"/>
  <c r="S239" i="5"/>
  <c r="T239" i="5"/>
  <c r="U239" i="5"/>
  <c r="V239" i="5"/>
  <c r="W239" i="5"/>
  <c r="X239" i="5"/>
  <c r="Y239" i="5"/>
  <c r="Z239" i="5"/>
  <c r="AA239" i="5"/>
  <c r="AB239" i="5"/>
  <c r="AC239" i="5"/>
  <c r="AD239" i="5"/>
  <c r="AE239" i="5"/>
  <c r="AF239" i="5"/>
  <c r="AG239" i="5"/>
  <c r="AH239" i="5"/>
  <c r="AI239" i="5"/>
  <c r="AJ239" i="5"/>
  <c r="AK239" i="5"/>
  <c r="AL239" i="5"/>
  <c r="AM239" i="5"/>
  <c r="AN239" i="5"/>
  <c r="AO239" i="5"/>
  <c r="AP239" i="5"/>
  <c r="AQ239" i="5"/>
  <c r="AR239" i="5"/>
  <c r="AS239" i="5"/>
  <c r="AT239" i="5"/>
  <c r="AU239" i="5"/>
  <c r="AV239" i="5"/>
  <c r="AW239" i="5"/>
  <c r="AX239" i="5"/>
  <c r="AY239" i="5"/>
  <c r="AZ239" i="5"/>
  <c r="BA239" i="5"/>
  <c r="BB239" i="5"/>
  <c r="BC239" i="5"/>
  <c r="BD239" i="5"/>
  <c r="BE239" i="5"/>
  <c r="BF239" i="5"/>
  <c r="BG239" i="5"/>
  <c r="BH239" i="5"/>
  <c r="BI239" i="5"/>
  <c r="BJ239" i="5"/>
  <c r="BK239" i="5"/>
  <c r="BL239" i="5"/>
  <c r="BM239" i="5"/>
  <c r="BN239" i="5"/>
  <c r="BO239" i="5"/>
  <c r="BP239" i="5"/>
  <c r="BQ239" i="5"/>
  <c r="BR239" i="5"/>
  <c r="BS239" i="5"/>
  <c r="BT239" i="5"/>
  <c r="BU239" i="5"/>
  <c r="BV239" i="5"/>
  <c r="BW239" i="5"/>
  <c r="BX239" i="5"/>
  <c r="BY239" i="5"/>
  <c r="BZ239" i="5"/>
  <c r="CA239" i="5"/>
  <c r="CB239" i="5"/>
  <c r="CC239" i="5"/>
  <c r="CD239" i="5"/>
  <c r="CE239" i="5"/>
  <c r="CF239" i="5"/>
  <c r="CG239" i="5"/>
  <c r="CH239" i="5"/>
  <c r="CI239" i="5"/>
  <c r="CJ239" i="5"/>
  <c r="CK239" i="5"/>
  <c r="CL239" i="5"/>
  <c r="CM239" i="5"/>
  <c r="CN239" i="5"/>
  <c r="CO239" i="5"/>
  <c r="CP239" i="5"/>
  <c r="CQ239" i="5"/>
  <c r="CR239" i="5"/>
  <c r="CS239" i="5"/>
  <c r="CT239" i="5"/>
  <c r="CU239" i="5"/>
  <c r="CV239" i="5"/>
  <c r="CW239" i="5"/>
  <c r="CX239" i="5"/>
  <c r="CY239" i="5"/>
  <c r="CZ239" i="5"/>
  <c r="DA239" i="5"/>
  <c r="DB239" i="5"/>
  <c r="DC239" i="5"/>
  <c r="DD239" i="5"/>
  <c r="DE239" i="5"/>
  <c r="DF239" i="5"/>
  <c r="DG239" i="5"/>
  <c r="DH239" i="5"/>
  <c r="DI239" i="5"/>
  <c r="DJ239" i="5"/>
  <c r="DK239" i="5"/>
  <c r="DL239" i="5"/>
  <c r="DM239" i="5"/>
  <c r="DN239" i="5"/>
  <c r="DO239" i="5"/>
  <c r="DP239" i="5"/>
  <c r="DQ239" i="5"/>
  <c r="DR239" i="5"/>
  <c r="DS239" i="5"/>
  <c r="DT239" i="5"/>
  <c r="DU239" i="5"/>
  <c r="DV239" i="5"/>
  <c r="DW239" i="5"/>
  <c r="DX239" i="5"/>
  <c r="DY239" i="5"/>
  <c r="DZ239" i="5"/>
  <c r="EA239" i="5"/>
  <c r="EB239" i="5"/>
  <c r="EC239" i="5"/>
  <c r="ED239" i="5"/>
  <c r="EE239" i="5"/>
  <c r="EF239" i="5"/>
  <c r="EG239" i="5"/>
  <c r="EH239" i="5"/>
  <c r="EI239" i="5"/>
  <c r="EJ239" i="5"/>
  <c r="EK239" i="5"/>
  <c r="EL239" i="5"/>
  <c r="EM239" i="5"/>
  <c r="EN239" i="5"/>
  <c r="EO239" i="5"/>
  <c r="EP239" i="5"/>
  <c r="EQ239" i="5"/>
  <c r="ER239" i="5"/>
  <c r="ES239" i="5"/>
  <c r="ET239" i="5"/>
  <c r="EU239" i="5"/>
  <c r="EV239" i="5"/>
  <c r="EW239" i="5"/>
  <c r="EX239" i="5"/>
  <c r="EY239" i="5"/>
  <c r="EZ239" i="5"/>
  <c r="FA239" i="5"/>
  <c r="FB239" i="5"/>
  <c r="FC239" i="5"/>
  <c r="FD239" i="5"/>
  <c r="FE239" i="5"/>
  <c r="FF239" i="5"/>
  <c r="FG239" i="5"/>
  <c r="FH239" i="5"/>
  <c r="FI239" i="5"/>
  <c r="FJ239" i="5"/>
  <c r="FK239" i="5"/>
  <c r="FL239" i="5"/>
  <c r="FM239" i="5"/>
  <c r="FN239" i="5"/>
  <c r="FO239" i="5"/>
  <c r="FP239" i="5"/>
  <c r="FQ239" i="5"/>
  <c r="FR239" i="5"/>
  <c r="FS239" i="5"/>
  <c r="FT239" i="5"/>
  <c r="FU239" i="5"/>
  <c r="FV239" i="5"/>
  <c r="FW239" i="5"/>
  <c r="FX239" i="5"/>
  <c r="FY239" i="5"/>
  <c r="FZ239" i="5"/>
  <c r="GA239" i="5"/>
  <c r="GB239" i="5"/>
  <c r="GC239" i="5"/>
  <c r="GD239" i="5"/>
  <c r="GE239" i="5"/>
  <c r="GF239" i="5"/>
  <c r="GG239" i="5"/>
  <c r="GH239" i="5"/>
  <c r="GI239" i="5"/>
  <c r="GJ239" i="5"/>
  <c r="GK239" i="5"/>
  <c r="GL239" i="5"/>
  <c r="GM239" i="5"/>
  <c r="GN239" i="5"/>
  <c r="GO239" i="5"/>
  <c r="GP239" i="5"/>
  <c r="GQ239" i="5"/>
  <c r="GR239" i="5"/>
  <c r="GS239" i="5"/>
  <c r="GT239" i="5"/>
  <c r="GU239" i="5"/>
  <c r="GV239" i="5"/>
  <c r="GW239" i="5"/>
  <c r="GX239" i="5"/>
  <c r="GY239" i="5"/>
  <c r="GZ239" i="5"/>
  <c r="HA239" i="5"/>
  <c r="HB239" i="5"/>
  <c r="HC239" i="5"/>
  <c r="HD239" i="5"/>
  <c r="HE239" i="5"/>
  <c r="HF239" i="5"/>
  <c r="HG239" i="5"/>
  <c r="A240" i="5"/>
  <c r="B240" i="5"/>
  <c r="C240" i="5"/>
  <c r="D240" i="5"/>
  <c r="E240" i="5"/>
  <c r="F240" i="5"/>
  <c r="G240" i="5"/>
  <c r="H240" i="5"/>
  <c r="I240" i="5"/>
  <c r="J240" i="5"/>
  <c r="K240" i="5"/>
  <c r="L240" i="5"/>
  <c r="M240" i="5"/>
  <c r="N240" i="5"/>
  <c r="O240" i="5"/>
  <c r="P240" i="5"/>
  <c r="Q240" i="5"/>
  <c r="R240" i="5"/>
  <c r="S240" i="5"/>
  <c r="T240" i="5"/>
  <c r="U240" i="5"/>
  <c r="V240" i="5"/>
  <c r="W240" i="5"/>
  <c r="X240" i="5"/>
  <c r="Y240" i="5"/>
  <c r="Z240" i="5"/>
  <c r="AA240" i="5"/>
  <c r="AB240" i="5"/>
  <c r="AC240" i="5"/>
  <c r="AD240" i="5"/>
  <c r="AE240" i="5"/>
  <c r="AF240" i="5"/>
  <c r="AG240" i="5"/>
  <c r="AH240" i="5"/>
  <c r="AI240" i="5"/>
  <c r="AJ240" i="5"/>
  <c r="AK240" i="5"/>
  <c r="AL240" i="5"/>
  <c r="AM240" i="5"/>
  <c r="AN240" i="5"/>
  <c r="AO240" i="5"/>
  <c r="AP240" i="5"/>
  <c r="AQ240" i="5"/>
  <c r="AR240" i="5"/>
  <c r="AS240" i="5"/>
  <c r="AT240" i="5"/>
  <c r="AU240" i="5"/>
  <c r="AV240" i="5"/>
  <c r="AW240" i="5"/>
  <c r="AX240" i="5"/>
  <c r="AY240" i="5"/>
  <c r="AZ240" i="5"/>
  <c r="BA240" i="5"/>
  <c r="BB240" i="5"/>
  <c r="BC240" i="5"/>
  <c r="BD240" i="5"/>
  <c r="BE240" i="5"/>
  <c r="BF240" i="5"/>
  <c r="BG240" i="5"/>
  <c r="BH240" i="5"/>
  <c r="BI240" i="5"/>
  <c r="BJ240" i="5"/>
  <c r="BK240" i="5"/>
  <c r="BL240" i="5"/>
  <c r="BM240" i="5"/>
  <c r="BN240" i="5"/>
  <c r="BO240" i="5"/>
  <c r="BP240" i="5"/>
  <c r="BQ240" i="5"/>
  <c r="BR240" i="5"/>
  <c r="BS240" i="5"/>
  <c r="BT240" i="5"/>
  <c r="BU240" i="5"/>
  <c r="BV240" i="5"/>
  <c r="BW240" i="5"/>
  <c r="BX240" i="5"/>
  <c r="BY240" i="5"/>
  <c r="BZ240" i="5"/>
  <c r="CA240" i="5"/>
  <c r="CB240" i="5"/>
  <c r="CC240" i="5"/>
  <c r="CD240" i="5"/>
  <c r="CE240" i="5"/>
  <c r="CF240" i="5"/>
  <c r="CG240" i="5"/>
  <c r="CH240" i="5"/>
  <c r="CI240" i="5"/>
  <c r="CJ240" i="5"/>
  <c r="CK240" i="5"/>
  <c r="CL240" i="5"/>
  <c r="CM240" i="5"/>
  <c r="CN240" i="5"/>
  <c r="CO240" i="5"/>
  <c r="CP240" i="5"/>
  <c r="CQ240" i="5"/>
  <c r="CR240" i="5"/>
  <c r="CS240" i="5"/>
  <c r="CT240" i="5"/>
  <c r="CU240" i="5"/>
  <c r="CV240" i="5"/>
  <c r="CW240" i="5"/>
  <c r="CX240" i="5"/>
  <c r="CY240" i="5"/>
  <c r="CZ240" i="5"/>
  <c r="DA240" i="5"/>
  <c r="DB240" i="5"/>
  <c r="DC240" i="5"/>
  <c r="DD240" i="5"/>
  <c r="DE240" i="5"/>
  <c r="DF240" i="5"/>
  <c r="DG240" i="5"/>
  <c r="DH240" i="5"/>
  <c r="DI240" i="5"/>
  <c r="DJ240" i="5"/>
  <c r="DK240" i="5"/>
  <c r="DL240" i="5"/>
  <c r="DM240" i="5"/>
  <c r="DN240" i="5"/>
  <c r="DO240" i="5"/>
  <c r="DP240" i="5"/>
  <c r="DQ240" i="5"/>
  <c r="DR240" i="5"/>
  <c r="DS240" i="5"/>
  <c r="DT240" i="5"/>
  <c r="DU240" i="5"/>
  <c r="DV240" i="5"/>
  <c r="DW240" i="5"/>
  <c r="DX240" i="5"/>
  <c r="DY240" i="5"/>
  <c r="DZ240" i="5"/>
  <c r="EA240" i="5"/>
  <c r="EB240" i="5"/>
  <c r="EC240" i="5"/>
  <c r="ED240" i="5"/>
  <c r="EE240" i="5"/>
  <c r="EF240" i="5"/>
  <c r="EG240" i="5"/>
  <c r="EH240" i="5"/>
  <c r="EI240" i="5"/>
  <c r="EJ240" i="5"/>
  <c r="EK240" i="5"/>
  <c r="EL240" i="5"/>
  <c r="EM240" i="5"/>
  <c r="EN240" i="5"/>
  <c r="EO240" i="5"/>
  <c r="EP240" i="5"/>
  <c r="EQ240" i="5"/>
  <c r="ER240" i="5"/>
  <c r="ES240" i="5"/>
  <c r="ET240" i="5"/>
  <c r="EU240" i="5"/>
  <c r="EV240" i="5"/>
  <c r="EW240" i="5"/>
  <c r="EX240" i="5"/>
  <c r="EY240" i="5"/>
  <c r="EZ240" i="5"/>
  <c r="FA240" i="5"/>
  <c r="FB240" i="5"/>
  <c r="FC240" i="5"/>
  <c r="FD240" i="5"/>
  <c r="FE240" i="5"/>
  <c r="FF240" i="5"/>
  <c r="FG240" i="5"/>
  <c r="FH240" i="5"/>
  <c r="FI240" i="5"/>
  <c r="FJ240" i="5"/>
  <c r="FK240" i="5"/>
  <c r="FL240" i="5"/>
  <c r="FM240" i="5"/>
  <c r="FN240" i="5"/>
  <c r="FO240" i="5"/>
  <c r="FP240" i="5"/>
  <c r="FQ240" i="5"/>
  <c r="FR240" i="5"/>
  <c r="FS240" i="5"/>
  <c r="FT240" i="5"/>
  <c r="FU240" i="5"/>
  <c r="FV240" i="5"/>
  <c r="FW240" i="5"/>
  <c r="FX240" i="5"/>
  <c r="FY240" i="5"/>
  <c r="FZ240" i="5"/>
  <c r="GA240" i="5"/>
  <c r="GB240" i="5"/>
  <c r="GC240" i="5"/>
  <c r="GD240" i="5"/>
  <c r="GE240" i="5"/>
  <c r="GF240" i="5"/>
  <c r="GG240" i="5"/>
  <c r="GH240" i="5"/>
  <c r="GI240" i="5"/>
  <c r="GJ240" i="5"/>
  <c r="GK240" i="5"/>
  <c r="GL240" i="5"/>
  <c r="GM240" i="5"/>
  <c r="GN240" i="5"/>
  <c r="GO240" i="5"/>
  <c r="GP240" i="5"/>
  <c r="GQ240" i="5"/>
  <c r="GR240" i="5"/>
  <c r="GS240" i="5"/>
  <c r="GT240" i="5"/>
  <c r="GU240" i="5"/>
  <c r="GV240" i="5"/>
  <c r="GW240" i="5"/>
  <c r="GX240" i="5"/>
  <c r="GY240" i="5"/>
  <c r="GZ240" i="5"/>
  <c r="HA240" i="5"/>
  <c r="HB240" i="5"/>
  <c r="HC240" i="5"/>
  <c r="HD240" i="5"/>
  <c r="HE240" i="5"/>
  <c r="HF240" i="5"/>
  <c r="HG240" i="5"/>
  <c r="A241" i="5"/>
  <c r="B241" i="5"/>
  <c r="C241" i="5"/>
  <c r="D241" i="5"/>
  <c r="E241" i="5"/>
  <c r="F241" i="5"/>
  <c r="G241" i="5"/>
  <c r="H241" i="5"/>
  <c r="I241" i="5"/>
  <c r="J241" i="5"/>
  <c r="K241" i="5"/>
  <c r="L241" i="5"/>
  <c r="M241" i="5"/>
  <c r="N241" i="5"/>
  <c r="O241" i="5"/>
  <c r="P241" i="5"/>
  <c r="Q241" i="5"/>
  <c r="R241" i="5"/>
  <c r="S241" i="5"/>
  <c r="T241" i="5"/>
  <c r="U241" i="5"/>
  <c r="V241" i="5"/>
  <c r="W241" i="5"/>
  <c r="X241" i="5"/>
  <c r="Y241" i="5"/>
  <c r="Z241" i="5"/>
  <c r="AA241" i="5"/>
  <c r="AB241" i="5"/>
  <c r="AC241" i="5"/>
  <c r="AD241" i="5"/>
  <c r="AE241" i="5"/>
  <c r="AF241" i="5"/>
  <c r="AG241" i="5"/>
  <c r="AH241" i="5"/>
  <c r="AI241" i="5"/>
  <c r="AJ241" i="5"/>
  <c r="AK241" i="5"/>
  <c r="AL241" i="5"/>
  <c r="AM241" i="5"/>
  <c r="AN241" i="5"/>
  <c r="AO241" i="5"/>
  <c r="AP241" i="5"/>
  <c r="AQ241" i="5"/>
  <c r="AR241" i="5"/>
  <c r="AS241" i="5"/>
  <c r="AT241" i="5"/>
  <c r="AU241" i="5"/>
  <c r="AV241" i="5"/>
  <c r="AW241" i="5"/>
  <c r="AX241" i="5"/>
  <c r="AY241" i="5"/>
  <c r="AZ241" i="5"/>
  <c r="BA241" i="5"/>
  <c r="BB241" i="5"/>
  <c r="BC241" i="5"/>
  <c r="BD241" i="5"/>
  <c r="BE241" i="5"/>
  <c r="BF241" i="5"/>
  <c r="BG241" i="5"/>
  <c r="BH241" i="5"/>
  <c r="BI241" i="5"/>
  <c r="BJ241" i="5"/>
  <c r="BK241" i="5"/>
  <c r="BL241" i="5"/>
  <c r="BM241" i="5"/>
  <c r="BN241" i="5"/>
  <c r="BO241" i="5"/>
  <c r="BP241" i="5"/>
  <c r="BQ241" i="5"/>
  <c r="BR241" i="5"/>
  <c r="BS241" i="5"/>
  <c r="BT241" i="5"/>
  <c r="BU241" i="5"/>
  <c r="BV241" i="5"/>
  <c r="BW241" i="5"/>
  <c r="BX241" i="5"/>
  <c r="BY241" i="5"/>
  <c r="BZ241" i="5"/>
  <c r="CA241" i="5"/>
  <c r="CB241" i="5"/>
  <c r="CC241" i="5"/>
  <c r="CD241" i="5"/>
  <c r="CE241" i="5"/>
  <c r="CF241" i="5"/>
  <c r="CG241" i="5"/>
  <c r="CH241" i="5"/>
  <c r="CI241" i="5"/>
  <c r="CJ241" i="5"/>
  <c r="CK241" i="5"/>
  <c r="CL241" i="5"/>
  <c r="CM241" i="5"/>
  <c r="CN241" i="5"/>
  <c r="CO241" i="5"/>
  <c r="CP241" i="5"/>
  <c r="CQ241" i="5"/>
  <c r="CR241" i="5"/>
  <c r="CS241" i="5"/>
  <c r="CT241" i="5"/>
  <c r="CU241" i="5"/>
  <c r="CV241" i="5"/>
  <c r="CW241" i="5"/>
  <c r="CX241" i="5"/>
  <c r="CY241" i="5"/>
  <c r="CZ241" i="5"/>
  <c r="DA241" i="5"/>
  <c r="DB241" i="5"/>
  <c r="DC241" i="5"/>
  <c r="DD241" i="5"/>
  <c r="DE241" i="5"/>
  <c r="DF241" i="5"/>
  <c r="DG241" i="5"/>
  <c r="DH241" i="5"/>
  <c r="DI241" i="5"/>
  <c r="DJ241" i="5"/>
  <c r="DK241" i="5"/>
  <c r="DL241" i="5"/>
  <c r="DM241" i="5"/>
  <c r="DN241" i="5"/>
  <c r="DO241" i="5"/>
  <c r="DP241" i="5"/>
  <c r="DQ241" i="5"/>
  <c r="DR241" i="5"/>
  <c r="DS241" i="5"/>
  <c r="DT241" i="5"/>
  <c r="DU241" i="5"/>
  <c r="DV241" i="5"/>
  <c r="DW241" i="5"/>
  <c r="DX241" i="5"/>
  <c r="DY241" i="5"/>
  <c r="DZ241" i="5"/>
  <c r="EA241" i="5"/>
  <c r="EB241" i="5"/>
  <c r="EC241" i="5"/>
  <c r="ED241" i="5"/>
  <c r="EE241" i="5"/>
  <c r="EF241" i="5"/>
  <c r="EG241" i="5"/>
  <c r="EH241" i="5"/>
  <c r="EI241" i="5"/>
  <c r="EJ241" i="5"/>
  <c r="EK241" i="5"/>
  <c r="EL241" i="5"/>
  <c r="EM241" i="5"/>
  <c r="EN241" i="5"/>
  <c r="EO241" i="5"/>
  <c r="EP241" i="5"/>
  <c r="EQ241" i="5"/>
  <c r="ER241" i="5"/>
  <c r="ES241" i="5"/>
  <c r="ET241" i="5"/>
  <c r="EU241" i="5"/>
  <c r="EV241" i="5"/>
  <c r="EW241" i="5"/>
  <c r="EX241" i="5"/>
  <c r="EY241" i="5"/>
  <c r="EZ241" i="5"/>
  <c r="FA241" i="5"/>
  <c r="FB241" i="5"/>
  <c r="FC241" i="5"/>
  <c r="FD241" i="5"/>
  <c r="FE241" i="5"/>
  <c r="FF241" i="5"/>
  <c r="FG241" i="5"/>
  <c r="FH241" i="5"/>
  <c r="FI241" i="5"/>
  <c r="FJ241" i="5"/>
  <c r="FK241" i="5"/>
  <c r="FL241" i="5"/>
  <c r="FM241" i="5"/>
  <c r="FN241" i="5"/>
  <c r="FO241" i="5"/>
  <c r="FP241" i="5"/>
  <c r="FQ241" i="5"/>
  <c r="FR241" i="5"/>
  <c r="FS241" i="5"/>
  <c r="FT241" i="5"/>
  <c r="FU241" i="5"/>
  <c r="FV241" i="5"/>
  <c r="FW241" i="5"/>
  <c r="FX241" i="5"/>
  <c r="FY241" i="5"/>
  <c r="FZ241" i="5"/>
  <c r="GA241" i="5"/>
  <c r="GB241" i="5"/>
  <c r="GC241" i="5"/>
  <c r="GD241" i="5"/>
  <c r="GE241" i="5"/>
  <c r="GF241" i="5"/>
  <c r="GG241" i="5"/>
  <c r="GH241" i="5"/>
  <c r="GI241" i="5"/>
  <c r="GJ241" i="5"/>
  <c r="GK241" i="5"/>
  <c r="GL241" i="5"/>
  <c r="GM241" i="5"/>
  <c r="GN241" i="5"/>
  <c r="GO241" i="5"/>
  <c r="GP241" i="5"/>
  <c r="GQ241" i="5"/>
  <c r="GR241" i="5"/>
  <c r="GS241" i="5"/>
  <c r="GT241" i="5"/>
  <c r="GU241" i="5"/>
  <c r="GV241" i="5"/>
  <c r="GW241" i="5"/>
  <c r="GX241" i="5"/>
  <c r="GY241" i="5"/>
  <c r="GZ241" i="5"/>
  <c r="HA241" i="5"/>
  <c r="HB241" i="5"/>
  <c r="HC241" i="5"/>
  <c r="HD241" i="5"/>
  <c r="HE241" i="5"/>
  <c r="HF241" i="5"/>
  <c r="HG241" i="5"/>
  <c r="A242" i="5"/>
  <c r="B242" i="5"/>
  <c r="C242" i="5"/>
  <c r="D242" i="5"/>
  <c r="E242" i="5"/>
  <c r="F242" i="5"/>
  <c r="G242" i="5"/>
  <c r="H242" i="5"/>
  <c r="I242" i="5"/>
  <c r="J242" i="5"/>
  <c r="K242" i="5"/>
  <c r="L242" i="5"/>
  <c r="M242" i="5"/>
  <c r="N242" i="5"/>
  <c r="O242" i="5"/>
  <c r="P242" i="5"/>
  <c r="Q242" i="5"/>
  <c r="R242" i="5"/>
  <c r="S242" i="5"/>
  <c r="T242" i="5"/>
  <c r="U242" i="5"/>
  <c r="V242" i="5"/>
  <c r="W242" i="5"/>
  <c r="X242" i="5"/>
  <c r="Y242" i="5"/>
  <c r="Z242" i="5"/>
  <c r="AA242" i="5"/>
  <c r="AB242" i="5"/>
  <c r="AC242" i="5"/>
  <c r="AD242" i="5"/>
  <c r="AE242" i="5"/>
  <c r="AF242" i="5"/>
  <c r="AG242" i="5"/>
  <c r="AH242" i="5"/>
  <c r="AI242" i="5"/>
  <c r="AJ242" i="5"/>
  <c r="AK242" i="5"/>
  <c r="AL242" i="5"/>
  <c r="AM242" i="5"/>
  <c r="AN242" i="5"/>
  <c r="AO242" i="5"/>
  <c r="AP242" i="5"/>
  <c r="AQ242" i="5"/>
  <c r="AR242" i="5"/>
  <c r="AS242" i="5"/>
  <c r="AT242" i="5"/>
  <c r="AU242" i="5"/>
  <c r="AV242" i="5"/>
  <c r="AW242" i="5"/>
  <c r="AX242" i="5"/>
  <c r="AY242" i="5"/>
  <c r="AZ242" i="5"/>
  <c r="BA242" i="5"/>
  <c r="BB242" i="5"/>
  <c r="BC242" i="5"/>
  <c r="BD242" i="5"/>
  <c r="BE242" i="5"/>
  <c r="BF242" i="5"/>
  <c r="BG242" i="5"/>
  <c r="BH242" i="5"/>
  <c r="BI242" i="5"/>
  <c r="BJ242" i="5"/>
  <c r="BK242" i="5"/>
  <c r="BL242" i="5"/>
  <c r="BM242" i="5"/>
  <c r="BN242" i="5"/>
  <c r="BO242" i="5"/>
  <c r="BP242" i="5"/>
  <c r="BQ242" i="5"/>
  <c r="BR242" i="5"/>
  <c r="BS242" i="5"/>
  <c r="BT242" i="5"/>
  <c r="BU242" i="5"/>
  <c r="BV242" i="5"/>
  <c r="BW242" i="5"/>
  <c r="BX242" i="5"/>
  <c r="BY242" i="5"/>
  <c r="BZ242" i="5"/>
  <c r="CA242" i="5"/>
  <c r="CB242" i="5"/>
  <c r="CC242" i="5"/>
  <c r="CD242" i="5"/>
  <c r="CE242" i="5"/>
  <c r="CF242" i="5"/>
  <c r="CG242" i="5"/>
  <c r="CH242" i="5"/>
  <c r="CI242" i="5"/>
  <c r="CJ242" i="5"/>
  <c r="CK242" i="5"/>
  <c r="CL242" i="5"/>
  <c r="CM242" i="5"/>
  <c r="CN242" i="5"/>
  <c r="CO242" i="5"/>
  <c r="CP242" i="5"/>
  <c r="CQ242" i="5"/>
  <c r="CR242" i="5"/>
  <c r="CS242" i="5"/>
  <c r="CT242" i="5"/>
  <c r="CU242" i="5"/>
  <c r="CV242" i="5"/>
  <c r="CW242" i="5"/>
  <c r="CX242" i="5"/>
  <c r="CY242" i="5"/>
  <c r="CZ242" i="5"/>
  <c r="DA242" i="5"/>
  <c r="DB242" i="5"/>
  <c r="DC242" i="5"/>
  <c r="DD242" i="5"/>
  <c r="DE242" i="5"/>
  <c r="DF242" i="5"/>
  <c r="DG242" i="5"/>
  <c r="DH242" i="5"/>
  <c r="DI242" i="5"/>
  <c r="DJ242" i="5"/>
  <c r="DK242" i="5"/>
  <c r="DL242" i="5"/>
  <c r="DM242" i="5"/>
  <c r="DN242" i="5"/>
  <c r="DO242" i="5"/>
  <c r="DP242" i="5"/>
  <c r="DQ242" i="5"/>
  <c r="DR242" i="5"/>
  <c r="DS242" i="5"/>
  <c r="DT242" i="5"/>
  <c r="DU242" i="5"/>
  <c r="DV242" i="5"/>
  <c r="DW242" i="5"/>
  <c r="DX242" i="5"/>
  <c r="DY242" i="5"/>
  <c r="DZ242" i="5"/>
  <c r="EA242" i="5"/>
  <c r="EB242" i="5"/>
  <c r="EC242" i="5"/>
  <c r="ED242" i="5"/>
  <c r="EE242" i="5"/>
  <c r="EF242" i="5"/>
  <c r="EG242" i="5"/>
  <c r="EH242" i="5"/>
  <c r="EI242" i="5"/>
  <c r="EJ242" i="5"/>
  <c r="EK242" i="5"/>
  <c r="EL242" i="5"/>
  <c r="EM242" i="5"/>
  <c r="EN242" i="5"/>
  <c r="EO242" i="5"/>
  <c r="EP242" i="5"/>
  <c r="EQ242" i="5"/>
  <c r="ER242" i="5"/>
  <c r="ES242" i="5"/>
  <c r="ET242" i="5"/>
  <c r="EU242" i="5"/>
  <c r="EV242" i="5"/>
  <c r="EW242" i="5"/>
  <c r="EX242" i="5"/>
  <c r="EY242" i="5"/>
  <c r="EZ242" i="5"/>
  <c r="FA242" i="5"/>
  <c r="FB242" i="5"/>
  <c r="FC242" i="5"/>
  <c r="FD242" i="5"/>
  <c r="FE242" i="5"/>
  <c r="FF242" i="5"/>
  <c r="FG242" i="5"/>
  <c r="FH242" i="5"/>
  <c r="FI242" i="5"/>
  <c r="FJ242" i="5"/>
  <c r="FK242" i="5"/>
  <c r="FL242" i="5"/>
  <c r="FM242" i="5"/>
  <c r="FN242" i="5"/>
  <c r="FO242" i="5"/>
  <c r="FP242" i="5"/>
  <c r="FQ242" i="5"/>
  <c r="FR242" i="5"/>
  <c r="FS242" i="5"/>
  <c r="FT242" i="5"/>
  <c r="FU242" i="5"/>
  <c r="FV242" i="5"/>
  <c r="FW242" i="5"/>
  <c r="FX242" i="5"/>
  <c r="FY242" i="5"/>
  <c r="FZ242" i="5"/>
  <c r="GA242" i="5"/>
  <c r="GB242" i="5"/>
  <c r="GC242" i="5"/>
  <c r="GD242" i="5"/>
  <c r="GE242" i="5"/>
  <c r="GF242" i="5"/>
  <c r="GG242" i="5"/>
  <c r="GH242" i="5"/>
  <c r="GI242" i="5"/>
  <c r="GJ242" i="5"/>
  <c r="GK242" i="5"/>
  <c r="GL242" i="5"/>
  <c r="GM242" i="5"/>
  <c r="GN242" i="5"/>
  <c r="GO242" i="5"/>
  <c r="GP242" i="5"/>
  <c r="GQ242" i="5"/>
  <c r="GR242" i="5"/>
  <c r="GS242" i="5"/>
  <c r="GT242" i="5"/>
  <c r="GU242" i="5"/>
  <c r="GV242" i="5"/>
  <c r="GW242" i="5"/>
  <c r="GX242" i="5"/>
  <c r="GY242" i="5"/>
  <c r="GZ242" i="5"/>
  <c r="HA242" i="5"/>
  <c r="HB242" i="5"/>
  <c r="HC242" i="5"/>
  <c r="HD242" i="5"/>
  <c r="HE242" i="5"/>
  <c r="HF242" i="5"/>
  <c r="HG242" i="5"/>
  <c r="A243" i="5"/>
  <c r="B243" i="5"/>
  <c r="C243" i="5"/>
  <c r="D243" i="5"/>
  <c r="E243" i="5"/>
  <c r="F243" i="5"/>
  <c r="G243" i="5"/>
  <c r="H243" i="5"/>
  <c r="I243" i="5"/>
  <c r="J243" i="5"/>
  <c r="K243" i="5"/>
  <c r="L243" i="5"/>
  <c r="M243" i="5"/>
  <c r="N243" i="5"/>
  <c r="O243" i="5"/>
  <c r="P243" i="5"/>
  <c r="Q243" i="5"/>
  <c r="R243" i="5"/>
  <c r="S243" i="5"/>
  <c r="T243" i="5"/>
  <c r="U243" i="5"/>
  <c r="V243" i="5"/>
  <c r="W243" i="5"/>
  <c r="X243" i="5"/>
  <c r="Y243" i="5"/>
  <c r="Z243" i="5"/>
  <c r="AA243" i="5"/>
  <c r="AB243" i="5"/>
  <c r="AC243" i="5"/>
  <c r="AD243" i="5"/>
  <c r="AE243" i="5"/>
  <c r="AF243" i="5"/>
  <c r="AG243" i="5"/>
  <c r="AH243" i="5"/>
  <c r="AI243" i="5"/>
  <c r="AJ243" i="5"/>
  <c r="AK243" i="5"/>
  <c r="AL243" i="5"/>
  <c r="AM243" i="5"/>
  <c r="AN243" i="5"/>
  <c r="AO243" i="5"/>
  <c r="AP243" i="5"/>
  <c r="AQ243" i="5"/>
  <c r="AR243" i="5"/>
  <c r="AS243" i="5"/>
  <c r="AT243" i="5"/>
  <c r="AU243" i="5"/>
  <c r="AV243" i="5"/>
  <c r="AW243" i="5"/>
  <c r="AX243" i="5"/>
  <c r="AY243" i="5"/>
  <c r="AZ243" i="5"/>
  <c r="BA243" i="5"/>
  <c r="BB243" i="5"/>
  <c r="BC243" i="5"/>
  <c r="BD243" i="5"/>
  <c r="BE243" i="5"/>
  <c r="BF243" i="5"/>
  <c r="BG243" i="5"/>
  <c r="BH243" i="5"/>
  <c r="BI243" i="5"/>
  <c r="BJ243" i="5"/>
  <c r="BK243" i="5"/>
  <c r="BL243" i="5"/>
  <c r="BM243" i="5"/>
  <c r="BN243" i="5"/>
  <c r="BO243" i="5"/>
  <c r="BP243" i="5"/>
  <c r="BQ243" i="5"/>
  <c r="BR243" i="5"/>
  <c r="BS243" i="5"/>
  <c r="BT243" i="5"/>
  <c r="BU243" i="5"/>
  <c r="BV243" i="5"/>
  <c r="BW243" i="5"/>
  <c r="BX243" i="5"/>
  <c r="BY243" i="5"/>
  <c r="BZ243" i="5"/>
  <c r="CA243" i="5"/>
  <c r="CB243" i="5"/>
  <c r="CC243" i="5"/>
  <c r="CD243" i="5"/>
  <c r="CE243" i="5"/>
  <c r="CF243" i="5"/>
  <c r="CG243" i="5"/>
  <c r="CH243" i="5"/>
  <c r="CI243" i="5"/>
  <c r="CJ243" i="5"/>
  <c r="CK243" i="5"/>
  <c r="CL243" i="5"/>
  <c r="CM243" i="5"/>
  <c r="CN243" i="5"/>
  <c r="CO243" i="5"/>
  <c r="CP243" i="5"/>
  <c r="CQ243" i="5"/>
  <c r="CR243" i="5"/>
  <c r="CS243" i="5"/>
  <c r="CT243" i="5"/>
  <c r="CU243" i="5"/>
  <c r="CV243" i="5"/>
  <c r="CW243" i="5"/>
  <c r="CX243" i="5"/>
  <c r="CY243" i="5"/>
  <c r="CZ243" i="5"/>
  <c r="DA243" i="5"/>
  <c r="DB243" i="5"/>
  <c r="DC243" i="5"/>
  <c r="DD243" i="5"/>
  <c r="DE243" i="5"/>
  <c r="DF243" i="5"/>
  <c r="DG243" i="5"/>
  <c r="DH243" i="5"/>
  <c r="DI243" i="5"/>
  <c r="DJ243" i="5"/>
  <c r="DK243" i="5"/>
  <c r="DL243" i="5"/>
  <c r="DM243" i="5"/>
  <c r="DN243" i="5"/>
  <c r="DO243" i="5"/>
  <c r="DP243" i="5"/>
  <c r="DQ243" i="5"/>
  <c r="DR243" i="5"/>
  <c r="DS243" i="5"/>
  <c r="DT243" i="5"/>
  <c r="DU243" i="5"/>
  <c r="DV243" i="5"/>
  <c r="DW243" i="5"/>
  <c r="DX243" i="5"/>
  <c r="DY243" i="5"/>
  <c r="DZ243" i="5"/>
  <c r="EA243" i="5"/>
  <c r="EB243" i="5"/>
  <c r="EC243" i="5"/>
  <c r="ED243" i="5"/>
  <c r="EE243" i="5"/>
  <c r="EF243" i="5"/>
  <c r="EG243" i="5"/>
  <c r="EH243" i="5"/>
  <c r="EI243" i="5"/>
  <c r="EJ243" i="5"/>
  <c r="EK243" i="5"/>
  <c r="EL243" i="5"/>
  <c r="EM243" i="5"/>
  <c r="EN243" i="5"/>
  <c r="EO243" i="5"/>
  <c r="EP243" i="5"/>
  <c r="EQ243" i="5"/>
  <c r="ER243" i="5"/>
  <c r="ES243" i="5"/>
  <c r="ET243" i="5"/>
  <c r="EU243" i="5"/>
  <c r="EV243" i="5"/>
  <c r="EW243" i="5"/>
  <c r="EX243" i="5"/>
  <c r="EY243" i="5"/>
  <c r="EZ243" i="5"/>
  <c r="FA243" i="5"/>
  <c r="FB243" i="5"/>
  <c r="FC243" i="5"/>
  <c r="FD243" i="5"/>
  <c r="FE243" i="5"/>
  <c r="FF243" i="5"/>
  <c r="FG243" i="5"/>
  <c r="FH243" i="5"/>
  <c r="FI243" i="5"/>
  <c r="FJ243" i="5"/>
  <c r="FK243" i="5"/>
  <c r="FL243" i="5"/>
  <c r="FM243" i="5"/>
  <c r="FN243" i="5"/>
  <c r="FO243" i="5"/>
  <c r="FP243" i="5"/>
  <c r="FQ243" i="5"/>
  <c r="FR243" i="5"/>
  <c r="FS243" i="5"/>
  <c r="FT243" i="5"/>
  <c r="FU243" i="5"/>
  <c r="FV243" i="5"/>
  <c r="FW243" i="5"/>
  <c r="FX243" i="5"/>
  <c r="FY243" i="5"/>
  <c r="FZ243" i="5"/>
  <c r="GA243" i="5"/>
  <c r="GB243" i="5"/>
  <c r="GC243" i="5"/>
  <c r="GD243" i="5"/>
  <c r="GE243" i="5"/>
  <c r="GF243" i="5"/>
  <c r="GG243" i="5"/>
  <c r="GH243" i="5"/>
  <c r="GI243" i="5"/>
  <c r="GJ243" i="5"/>
  <c r="GK243" i="5"/>
  <c r="GL243" i="5"/>
  <c r="GM243" i="5"/>
  <c r="GN243" i="5"/>
  <c r="GO243" i="5"/>
  <c r="GP243" i="5"/>
  <c r="GQ243" i="5"/>
  <c r="GR243" i="5"/>
  <c r="GS243" i="5"/>
  <c r="GT243" i="5"/>
  <c r="GU243" i="5"/>
  <c r="GV243" i="5"/>
  <c r="GW243" i="5"/>
  <c r="GX243" i="5"/>
  <c r="GY243" i="5"/>
  <c r="GZ243" i="5"/>
  <c r="HA243" i="5"/>
  <c r="HB243" i="5"/>
  <c r="HC243" i="5"/>
  <c r="HD243" i="5"/>
  <c r="HE243" i="5"/>
  <c r="HF243" i="5"/>
  <c r="HG243" i="5"/>
  <c r="A244" i="5"/>
  <c r="B244" i="5"/>
  <c r="C244" i="5"/>
  <c r="D244" i="5"/>
  <c r="E244" i="5"/>
  <c r="F244" i="5"/>
  <c r="G244" i="5"/>
  <c r="H244" i="5"/>
  <c r="I244" i="5"/>
  <c r="J244" i="5"/>
  <c r="K244" i="5"/>
  <c r="L244" i="5"/>
  <c r="M244" i="5"/>
  <c r="N244" i="5"/>
  <c r="O244" i="5"/>
  <c r="P244" i="5"/>
  <c r="Q244" i="5"/>
  <c r="R244" i="5"/>
  <c r="S244" i="5"/>
  <c r="T244" i="5"/>
  <c r="U244" i="5"/>
  <c r="V244" i="5"/>
  <c r="W244" i="5"/>
  <c r="X244" i="5"/>
  <c r="Y244" i="5"/>
  <c r="Z244" i="5"/>
  <c r="AA244" i="5"/>
  <c r="AB244" i="5"/>
  <c r="AC244" i="5"/>
  <c r="AD244" i="5"/>
  <c r="AE244" i="5"/>
  <c r="AF244" i="5"/>
  <c r="AG244" i="5"/>
  <c r="AH244" i="5"/>
  <c r="AI244" i="5"/>
  <c r="AJ244" i="5"/>
  <c r="AK244" i="5"/>
  <c r="AL244" i="5"/>
  <c r="AM244" i="5"/>
  <c r="AN244" i="5"/>
  <c r="AO244" i="5"/>
  <c r="AP244" i="5"/>
  <c r="AQ244" i="5"/>
  <c r="AR244" i="5"/>
  <c r="AS244" i="5"/>
  <c r="AT244" i="5"/>
  <c r="AU244" i="5"/>
  <c r="AV244" i="5"/>
  <c r="AW244" i="5"/>
  <c r="AX244" i="5"/>
  <c r="AY244" i="5"/>
  <c r="AZ244" i="5"/>
  <c r="BA244" i="5"/>
  <c r="BB244" i="5"/>
  <c r="BC244" i="5"/>
  <c r="BD244" i="5"/>
  <c r="BE244" i="5"/>
  <c r="BF244" i="5"/>
  <c r="BG244" i="5"/>
  <c r="BH244" i="5"/>
  <c r="BI244" i="5"/>
  <c r="BJ244" i="5"/>
  <c r="BK244" i="5"/>
  <c r="BL244" i="5"/>
  <c r="BM244" i="5"/>
  <c r="BN244" i="5"/>
  <c r="BO244" i="5"/>
  <c r="BP244" i="5"/>
  <c r="BQ244" i="5"/>
  <c r="BR244" i="5"/>
  <c r="BS244" i="5"/>
  <c r="BT244" i="5"/>
  <c r="BU244" i="5"/>
  <c r="BV244" i="5"/>
  <c r="BW244" i="5"/>
  <c r="BX244" i="5"/>
  <c r="BY244" i="5"/>
  <c r="BZ244" i="5"/>
  <c r="CA244" i="5"/>
  <c r="CB244" i="5"/>
  <c r="CC244" i="5"/>
  <c r="CD244" i="5"/>
  <c r="CE244" i="5"/>
  <c r="CF244" i="5"/>
  <c r="CG244" i="5"/>
  <c r="CH244" i="5"/>
  <c r="CI244" i="5"/>
  <c r="CJ244" i="5"/>
  <c r="CK244" i="5"/>
  <c r="CL244" i="5"/>
  <c r="CM244" i="5"/>
  <c r="CN244" i="5"/>
  <c r="CO244" i="5"/>
  <c r="CP244" i="5"/>
  <c r="CQ244" i="5"/>
  <c r="CR244" i="5"/>
  <c r="CS244" i="5"/>
  <c r="CT244" i="5"/>
  <c r="CU244" i="5"/>
  <c r="CV244" i="5"/>
  <c r="CW244" i="5"/>
  <c r="CX244" i="5"/>
  <c r="CY244" i="5"/>
  <c r="CZ244" i="5"/>
  <c r="DA244" i="5"/>
  <c r="DB244" i="5"/>
  <c r="DC244" i="5"/>
  <c r="DD244" i="5"/>
  <c r="DE244" i="5"/>
  <c r="DF244" i="5"/>
  <c r="DG244" i="5"/>
  <c r="DH244" i="5"/>
  <c r="DI244" i="5"/>
  <c r="DJ244" i="5"/>
  <c r="DK244" i="5"/>
  <c r="DL244" i="5"/>
  <c r="DM244" i="5"/>
  <c r="DN244" i="5"/>
  <c r="DO244" i="5"/>
  <c r="DP244" i="5"/>
  <c r="DQ244" i="5"/>
  <c r="DR244" i="5"/>
  <c r="DS244" i="5"/>
  <c r="DT244" i="5"/>
  <c r="DU244" i="5"/>
  <c r="DV244" i="5"/>
  <c r="DW244" i="5"/>
  <c r="DX244" i="5"/>
  <c r="DY244" i="5"/>
  <c r="DZ244" i="5"/>
  <c r="EA244" i="5"/>
  <c r="EB244" i="5"/>
  <c r="EC244" i="5"/>
  <c r="ED244" i="5"/>
  <c r="EE244" i="5"/>
  <c r="EF244" i="5"/>
  <c r="EG244" i="5"/>
  <c r="EH244" i="5"/>
  <c r="EI244" i="5"/>
  <c r="EJ244" i="5"/>
  <c r="EK244" i="5"/>
  <c r="EL244" i="5"/>
  <c r="EM244" i="5"/>
  <c r="EN244" i="5"/>
  <c r="EO244" i="5"/>
  <c r="EP244" i="5"/>
  <c r="EQ244" i="5"/>
  <c r="ER244" i="5"/>
  <c r="ES244" i="5"/>
  <c r="ET244" i="5"/>
  <c r="EU244" i="5"/>
  <c r="EV244" i="5"/>
  <c r="EW244" i="5"/>
  <c r="EX244" i="5"/>
  <c r="EY244" i="5"/>
  <c r="EZ244" i="5"/>
  <c r="FA244" i="5"/>
  <c r="FB244" i="5"/>
  <c r="FC244" i="5"/>
  <c r="FD244" i="5"/>
  <c r="FE244" i="5"/>
  <c r="FF244" i="5"/>
  <c r="FG244" i="5"/>
  <c r="FH244" i="5"/>
  <c r="FI244" i="5"/>
  <c r="FJ244" i="5"/>
  <c r="FK244" i="5"/>
  <c r="FL244" i="5"/>
  <c r="FM244" i="5"/>
  <c r="FN244" i="5"/>
  <c r="FO244" i="5"/>
  <c r="FP244" i="5"/>
  <c r="FQ244" i="5"/>
  <c r="FR244" i="5"/>
  <c r="FS244" i="5"/>
  <c r="FT244" i="5"/>
  <c r="FU244" i="5"/>
  <c r="FV244" i="5"/>
  <c r="FW244" i="5"/>
  <c r="FX244" i="5"/>
  <c r="FY244" i="5"/>
  <c r="FZ244" i="5"/>
  <c r="GA244" i="5"/>
  <c r="GB244" i="5"/>
  <c r="GC244" i="5"/>
  <c r="GD244" i="5"/>
  <c r="GE244" i="5"/>
  <c r="GF244" i="5"/>
  <c r="GG244" i="5"/>
  <c r="GH244" i="5"/>
  <c r="GI244" i="5"/>
  <c r="GJ244" i="5"/>
  <c r="GK244" i="5"/>
  <c r="GL244" i="5"/>
  <c r="GM244" i="5"/>
  <c r="GN244" i="5"/>
  <c r="GO244" i="5"/>
  <c r="GP244" i="5"/>
  <c r="GQ244" i="5"/>
  <c r="GR244" i="5"/>
  <c r="GS244" i="5"/>
  <c r="GT244" i="5"/>
  <c r="GU244" i="5"/>
  <c r="GV244" i="5"/>
  <c r="GW244" i="5"/>
  <c r="GX244" i="5"/>
  <c r="GY244" i="5"/>
  <c r="GZ244" i="5"/>
  <c r="HA244" i="5"/>
  <c r="HB244" i="5"/>
  <c r="HC244" i="5"/>
  <c r="HD244" i="5"/>
  <c r="HE244" i="5"/>
  <c r="HF244" i="5"/>
  <c r="HG244" i="5"/>
  <c r="A245" i="5"/>
  <c r="B245" i="5"/>
  <c r="C245" i="5"/>
  <c r="D245" i="5"/>
  <c r="E245" i="5"/>
  <c r="F245" i="5"/>
  <c r="G245" i="5"/>
  <c r="H245" i="5"/>
  <c r="I245" i="5"/>
  <c r="J245" i="5"/>
  <c r="K245" i="5"/>
  <c r="L245" i="5"/>
  <c r="M245" i="5"/>
  <c r="N245" i="5"/>
  <c r="O245" i="5"/>
  <c r="P245" i="5"/>
  <c r="Q245" i="5"/>
  <c r="R245" i="5"/>
  <c r="S245" i="5"/>
  <c r="T245" i="5"/>
  <c r="U245" i="5"/>
  <c r="V245" i="5"/>
  <c r="W245" i="5"/>
  <c r="X245" i="5"/>
  <c r="Y245" i="5"/>
  <c r="Z245" i="5"/>
  <c r="AA245" i="5"/>
  <c r="AB245" i="5"/>
  <c r="AC245" i="5"/>
  <c r="AD245" i="5"/>
  <c r="AE245" i="5"/>
  <c r="AF245" i="5"/>
  <c r="AG245" i="5"/>
  <c r="AH245" i="5"/>
  <c r="AI245" i="5"/>
  <c r="AJ245" i="5"/>
  <c r="AK245" i="5"/>
  <c r="AL245" i="5"/>
  <c r="AM245" i="5"/>
  <c r="AN245" i="5"/>
  <c r="AO245" i="5"/>
  <c r="AP245" i="5"/>
  <c r="AQ245" i="5"/>
  <c r="AR245" i="5"/>
  <c r="AS245" i="5"/>
  <c r="AT245" i="5"/>
  <c r="AU245" i="5"/>
  <c r="AV245" i="5"/>
  <c r="AW245" i="5"/>
  <c r="AX245" i="5"/>
  <c r="AY245" i="5"/>
  <c r="AZ245" i="5"/>
  <c r="BA245" i="5"/>
  <c r="BB245" i="5"/>
  <c r="BC245" i="5"/>
  <c r="BD245" i="5"/>
  <c r="BE245" i="5"/>
  <c r="BF245" i="5"/>
  <c r="BG245" i="5"/>
  <c r="BH245" i="5"/>
  <c r="BI245" i="5"/>
  <c r="BJ245" i="5"/>
  <c r="BK245" i="5"/>
  <c r="BL245" i="5"/>
  <c r="BM245" i="5"/>
  <c r="BN245" i="5"/>
  <c r="BO245" i="5"/>
  <c r="BP245" i="5"/>
  <c r="BQ245" i="5"/>
  <c r="BR245" i="5"/>
  <c r="BS245" i="5"/>
  <c r="BT245" i="5"/>
  <c r="BU245" i="5"/>
  <c r="BV245" i="5"/>
  <c r="BW245" i="5"/>
  <c r="BX245" i="5"/>
  <c r="BY245" i="5"/>
  <c r="BZ245" i="5"/>
  <c r="CA245" i="5"/>
  <c r="CB245" i="5"/>
  <c r="CC245" i="5"/>
  <c r="CD245" i="5"/>
  <c r="CE245" i="5"/>
  <c r="CF245" i="5"/>
  <c r="CG245" i="5"/>
  <c r="CH245" i="5"/>
  <c r="CI245" i="5"/>
  <c r="CJ245" i="5"/>
  <c r="CK245" i="5"/>
  <c r="CL245" i="5"/>
  <c r="CM245" i="5"/>
  <c r="CN245" i="5"/>
  <c r="CO245" i="5"/>
  <c r="CP245" i="5"/>
  <c r="CQ245" i="5"/>
  <c r="CR245" i="5"/>
  <c r="CS245" i="5"/>
  <c r="CT245" i="5"/>
  <c r="CU245" i="5"/>
  <c r="CV245" i="5"/>
  <c r="CW245" i="5"/>
  <c r="CX245" i="5"/>
  <c r="CY245" i="5"/>
  <c r="CZ245" i="5"/>
  <c r="DA245" i="5"/>
  <c r="DB245" i="5"/>
  <c r="DC245" i="5"/>
  <c r="DD245" i="5"/>
  <c r="DE245" i="5"/>
  <c r="DF245" i="5"/>
  <c r="DG245" i="5"/>
  <c r="DH245" i="5"/>
  <c r="DI245" i="5"/>
  <c r="DJ245" i="5"/>
  <c r="DK245" i="5"/>
  <c r="DL245" i="5"/>
  <c r="DM245" i="5"/>
  <c r="DN245" i="5"/>
  <c r="DO245" i="5"/>
  <c r="DP245" i="5"/>
  <c r="DQ245" i="5"/>
  <c r="DR245" i="5"/>
  <c r="DS245" i="5"/>
  <c r="DT245" i="5"/>
  <c r="DU245" i="5"/>
  <c r="DV245" i="5"/>
  <c r="DW245" i="5"/>
  <c r="DX245" i="5"/>
  <c r="DY245" i="5"/>
  <c r="DZ245" i="5"/>
  <c r="EA245" i="5"/>
  <c r="EB245" i="5"/>
  <c r="EC245" i="5"/>
  <c r="ED245" i="5"/>
  <c r="EE245" i="5"/>
  <c r="EF245" i="5"/>
  <c r="EG245" i="5"/>
  <c r="EH245" i="5"/>
  <c r="EI245" i="5"/>
  <c r="EJ245" i="5"/>
  <c r="EK245" i="5"/>
  <c r="EL245" i="5"/>
  <c r="EM245" i="5"/>
  <c r="EN245" i="5"/>
  <c r="EO245" i="5"/>
  <c r="EP245" i="5"/>
  <c r="EQ245" i="5"/>
  <c r="ER245" i="5"/>
  <c r="ES245" i="5"/>
  <c r="ET245" i="5"/>
  <c r="EU245" i="5"/>
  <c r="EV245" i="5"/>
  <c r="EW245" i="5"/>
  <c r="EX245" i="5"/>
  <c r="EY245" i="5"/>
  <c r="EZ245" i="5"/>
  <c r="FA245" i="5"/>
  <c r="FB245" i="5"/>
  <c r="FC245" i="5"/>
  <c r="FD245" i="5"/>
  <c r="FE245" i="5"/>
  <c r="FF245" i="5"/>
  <c r="FG245" i="5"/>
  <c r="FH245" i="5"/>
  <c r="FI245" i="5"/>
  <c r="FJ245" i="5"/>
  <c r="FK245" i="5"/>
  <c r="FL245" i="5"/>
  <c r="FM245" i="5"/>
  <c r="FN245" i="5"/>
  <c r="FO245" i="5"/>
  <c r="FP245" i="5"/>
  <c r="FQ245" i="5"/>
  <c r="FR245" i="5"/>
  <c r="FS245" i="5"/>
  <c r="FT245" i="5"/>
  <c r="FU245" i="5"/>
  <c r="FV245" i="5"/>
  <c r="FW245" i="5"/>
  <c r="FX245" i="5"/>
  <c r="FY245" i="5"/>
  <c r="FZ245" i="5"/>
  <c r="GA245" i="5"/>
  <c r="GB245" i="5"/>
  <c r="GC245" i="5"/>
  <c r="GD245" i="5"/>
  <c r="GE245" i="5"/>
  <c r="GF245" i="5"/>
  <c r="GG245" i="5"/>
  <c r="GH245" i="5"/>
  <c r="GI245" i="5"/>
  <c r="GJ245" i="5"/>
  <c r="GK245" i="5"/>
  <c r="GL245" i="5"/>
  <c r="GM245" i="5"/>
  <c r="GN245" i="5"/>
  <c r="GO245" i="5"/>
  <c r="GP245" i="5"/>
  <c r="GQ245" i="5"/>
  <c r="GR245" i="5"/>
  <c r="GS245" i="5"/>
  <c r="GT245" i="5"/>
  <c r="GU245" i="5"/>
  <c r="GV245" i="5"/>
  <c r="GW245" i="5"/>
  <c r="GX245" i="5"/>
  <c r="GY245" i="5"/>
  <c r="GZ245" i="5"/>
  <c r="HA245" i="5"/>
  <c r="HB245" i="5"/>
  <c r="HC245" i="5"/>
  <c r="HD245" i="5"/>
  <c r="HE245" i="5"/>
  <c r="HF245" i="5"/>
  <c r="HG245" i="5"/>
  <c r="A246" i="5"/>
  <c r="B246" i="5"/>
  <c r="C246" i="5"/>
  <c r="D246" i="5"/>
  <c r="E246" i="5"/>
  <c r="F246" i="5"/>
  <c r="G246" i="5"/>
  <c r="H246" i="5"/>
  <c r="I246" i="5"/>
  <c r="J246" i="5"/>
  <c r="K246" i="5"/>
  <c r="L246" i="5"/>
  <c r="M246" i="5"/>
  <c r="N246" i="5"/>
  <c r="O246" i="5"/>
  <c r="P246" i="5"/>
  <c r="Q246" i="5"/>
  <c r="R246" i="5"/>
  <c r="S246" i="5"/>
  <c r="T246" i="5"/>
  <c r="U246" i="5"/>
  <c r="V246" i="5"/>
  <c r="W246" i="5"/>
  <c r="X246" i="5"/>
  <c r="Y246" i="5"/>
  <c r="Z246" i="5"/>
  <c r="AA246" i="5"/>
  <c r="AB246" i="5"/>
  <c r="AC246" i="5"/>
  <c r="AD246" i="5"/>
  <c r="AE246" i="5"/>
  <c r="AF246" i="5"/>
  <c r="AG246" i="5"/>
  <c r="AH246" i="5"/>
  <c r="AI246" i="5"/>
  <c r="AJ246" i="5"/>
  <c r="AK246" i="5"/>
  <c r="AL246" i="5"/>
  <c r="AM246" i="5"/>
  <c r="AN246" i="5"/>
  <c r="AO246" i="5"/>
  <c r="AP246" i="5"/>
  <c r="AQ246" i="5"/>
  <c r="AR246" i="5"/>
  <c r="AS246" i="5"/>
  <c r="AT246" i="5"/>
  <c r="AU246" i="5"/>
  <c r="AV246" i="5"/>
  <c r="AW246" i="5"/>
  <c r="AX246" i="5"/>
  <c r="AY246" i="5"/>
  <c r="AZ246" i="5"/>
  <c r="BA246" i="5"/>
  <c r="BB246" i="5"/>
  <c r="BC246" i="5"/>
  <c r="BD246" i="5"/>
  <c r="BE246" i="5"/>
  <c r="BF246" i="5"/>
  <c r="BG246" i="5"/>
  <c r="BH246" i="5"/>
  <c r="BI246" i="5"/>
  <c r="BJ246" i="5"/>
  <c r="BK246" i="5"/>
  <c r="BL246" i="5"/>
  <c r="BM246" i="5"/>
  <c r="BN246" i="5"/>
  <c r="BO246" i="5"/>
  <c r="BP246" i="5"/>
  <c r="BQ246" i="5"/>
  <c r="BR246" i="5"/>
  <c r="BS246" i="5"/>
  <c r="BT246" i="5"/>
  <c r="BU246" i="5"/>
  <c r="BV246" i="5"/>
  <c r="BW246" i="5"/>
  <c r="BX246" i="5"/>
  <c r="BY246" i="5"/>
  <c r="BZ246" i="5"/>
  <c r="CA246" i="5"/>
  <c r="CB246" i="5"/>
  <c r="CC246" i="5"/>
  <c r="CD246" i="5"/>
  <c r="CE246" i="5"/>
  <c r="CF246" i="5"/>
  <c r="CG246" i="5"/>
  <c r="CH246" i="5"/>
  <c r="CI246" i="5"/>
  <c r="CJ246" i="5"/>
  <c r="CK246" i="5"/>
  <c r="CL246" i="5"/>
  <c r="CM246" i="5"/>
  <c r="CN246" i="5"/>
  <c r="CO246" i="5"/>
  <c r="CP246" i="5"/>
  <c r="CQ246" i="5"/>
  <c r="CR246" i="5"/>
  <c r="CS246" i="5"/>
  <c r="CT246" i="5"/>
  <c r="CU246" i="5"/>
  <c r="CV246" i="5"/>
  <c r="CW246" i="5"/>
  <c r="CX246" i="5"/>
  <c r="CY246" i="5"/>
  <c r="CZ246" i="5"/>
  <c r="DA246" i="5"/>
  <c r="DB246" i="5"/>
  <c r="DC246" i="5"/>
  <c r="DD246" i="5"/>
  <c r="DE246" i="5"/>
  <c r="DF246" i="5"/>
  <c r="DG246" i="5"/>
  <c r="DH246" i="5"/>
  <c r="DI246" i="5"/>
  <c r="DJ246" i="5"/>
  <c r="DK246" i="5"/>
  <c r="DL246" i="5"/>
  <c r="DM246" i="5"/>
  <c r="DN246" i="5"/>
  <c r="DO246" i="5"/>
  <c r="DP246" i="5"/>
  <c r="DQ246" i="5"/>
  <c r="DR246" i="5"/>
  <c r="DS246" i="5"/>
  <c r="DT246" i="5"/>
  <c r="DU246" i="5"/>
  <c r="DV246" i="5"/>
  <c r="DW246" i="5"/>
  <c r="DX246" i="5"/>
  <c r="DY246" i="5"/>
  <c r="DZ246" i="5"/>
  <c r="EA246" i="5"/>
  <c r="EB246" i="5"/>
  <c r="EC246" i="5"/>
  <c r="ED246" i="5"/>
  <c r="EE246" i="5"/>
  <c r="EF246" i="5"/>
  <c r="EG246" i="5"/>
  <c r="EH246" i="5"/>
  <c r="EI246" i="5"/>
  <c r="EJ246" i="5"/>
  <c r="EK246" i="5"/>
  <c r="EL246" i="5"/>
  <c r="EM246" i="5"/>
  <c r="EN246" i="5"/>
  <c r="EO246" i="5"/>
  <c r="EP246" i="5"/>
  <c r="EQ246" i="5"/>
  <c r="ER246" i="5"/>
  <c r="ES246" i="5"/>
  <c r="ET246" i="5"/>
  <c r="EU246" i="5"/>
  <c r="EV246" i="5"/>
  <c r="EW246" i="5"/>
  <c r="EX246" i="5"/>
  <c r="EY246" i="5"/>
  <c r="EZ246" i="5"/>
  <c r="FA246" i="5"/>
  <c r="FB246" i="5"/>
  <c r="FC246" i="5"/>
  <c r="FD246" i="5"/>
  <c r="FE246" i="5"/>
  <c r="FF246" i="5"/>
  <c r="FG246" i="5"/>
  <c r="FH246" i="5"/>
  <c r="FI246" i="5"/>
  <c r="FJ246" i="5"/>
  <c r="FK246" i="5"/>
  <c r="FL246" i="5"/>
  <c r="FM246" i="5"/>
  <c r="FN246" i="5"/>
  <c r="FO246" i="5"/>
  <c r="FP246" i="5"/>
  <c r="FQ246" i="5"/>
  <c r="FR246" i="5"/>
  <c r="FS246" i="5"/>
  <c r="FT246" i="5"/>
  <c r="FU246" i="5"/>
  <c r="FV246" i="5"/>
  <c r="FW246" i="5"/>
  <c r="FX246" i="5"/>
  <c r="FY246" i="5"/>
  <c r="FZ246" i="5"/>
  <c r="GA246" i="5"/>
  <c r="GB246" i="5"/>
  <c r="GC246" i="5"/>
  <c r="GD246" i="5"/>
  <c r="GE246" i="5"/>
  <c r="GF246" i="5"/>
  <c r="GG246" i="5"/>
  <c r="GH246" i="5"/>
  <c r="GI246" i="5"/>
  <c r="GJ246" i="5"/>
  <c r="GK246" i="5"/>
  <c r="GL246" i="5"/>
  <c r="GM246" i="5"/>
  <c r="GN246" i="5"/>
  <c r="GO246" i="5"/>
  <c r="GP246" i="5"/>
  <c r="GQ246" i="5"/>
  <c r="GR246" i="5"/>
  <c r="GS246" i="5"/>
  <c r="GT246" i="5"/>
  <c r="GU246" i="5"/>
  <c r="GV246" i="5"/>
  <c r="GW246" i="5"/>
  <c r="GX246" i="5"/>
  <c r="GY246" i="5"/>
  <c r="GZ246" i="5"/>
  <c r="HA246" i="5"/>
  <c r="HB246" i="5"/>
  <c r="HC246" i="5"/>
  <c r="HD246" i="5"/>
  <c r="HE246" i="5"/>
  <c r="HF246" i="5"/>
  <c r="HG246" i="5"/>
  <c r="A247" i="5"/>
  <c r="B247" i="5"/>
  <c r="C247" i="5"/>
  <c r="D247" i="5"/>
  <c r="E247" i="5"/>
  <c r="F247" i="5"/>
  <c r="G247" i="5"/>
  <c r="H247" i="5"/>
  <c r="I247" i="5"/>
  <c r="J247" i="5"/>
  <c r="K247" i="5"/>
  <c r="L247" i="5"/>
  <c r="M247" i="5"/>
  <c r="N247" i="5"/>
  <c r="O247" i="5"/>
  <c r="P247" i="5"/>
  <c r="Q247" i="5"/>
  <c r="R247" i="5"/>
  <c r="S247" i="5"/>
  <c r="T247" i="5"/>
  <c r="U247" i="5"/>
  <c r="V247" i="5"/>
  <c r="W247" i="5"/>
  <c r="X247" i="5"/>
  <c r="Y247" i="5"/>
  <c r="Z247" i="5"/>
  <c r="AA247" i="5"/>
  <c r="AB247" i="5"/>
  <c r="AC247" i="5"/>
  <c r="AD247" i="5"/>
  <c r="AE247" i="5"/>
  <c r="AF247" i="5"/>
  <c r="AG247" i="5"/>
  <c r="AH247" i="5"/>
  <c r="AI247" i="5"/>
  <c r="AJ247" i="5"/>
  <c r="AK247" i="5"/>
  <c r="AL247" i="5"/>
  <c r="AM247" i="5"/>
  <c r="AN247" i="5"/>
  <c r="AO247" i="5"/>
  <c r="AP247" i="5"/>
  <c r="AQ247" i="5"/>
  <c r="AR247" i="5"/>
  <c r="AS247" i="5"/>
  <c r="AT247" i="5"/>
  <c r="AU247" i="5"/>
  <c r="AV247" i="5"/>
  <c r="AW247" i="5"/>
  <c r="AX247" i="5"/>
  <c r="AY247" i="5"/>
  <c r="AZ247" i="5"/>
  <c r="BA247" i="5"/>
  <c r="BB247" i="5"/>
  <c r="BC247" i="5"/>
  <c r="BD247" i="5"/>
  <c r="BE247" i="5"/>
  <c r="BF247" i="5"/>
  <c r="BG247" i="5"/>
  <c r="BH247" i="5"/>
  <c r="BI247" i="5"/>
  <c r="BJ247" i="5"/>
  <c r="BK247" i="5"/>
  <c r="BL247" i="5"/>
  <c r="BM247" i="5"/>
  <c r="BN247" i="5"/>
  <c r="BO247" i="5"/>
  <c r="BP247" i="5"/>
  <c r="BQ247" i="5"/>
  <c r="BR247" i="5"/>
  <c r="BS247" i="5"/>
  <c r="BT247" i="5"/>
  <c r="BU247" i="5"/>
  <c r="BV247" i="5"/>
  <c r="BW247" i="5"/>
  <c r="BX247" i="5"/>
  <c r="BY247" i="5"/>
  <c r="BZ247" i="5"/>
  <c r="CA247" i="5"/>
  <c r="CB247" i="5"/>
  <c r="CC247" i="5"/>
  <c r="CD247" i="5"/>
  <c r="CE247" i="5"/>
  <c r="CF247" i="5"/>
  <c r="CG247" i="5"/>
  <c r="CH247" i="5"/>
  <c r="CI247" i="5"/>
  <c r="CJ247" i="5"/>
  <c r="CK247" i="5"/>
  <c r="CL247" i="5"/>
  <c r="CM247" i="5"/>
  <c r="CN247" i="5"/>
  <c r="CO247" i="5"/>
  <c r="CP247" i="5"/>
  <c r="CQ247" i="5"/>
  <c r="CR247" i="5"/>
  <c r="CS247" i="5"/>
  <c r="CT247" i="5"/>
  <c r="CU247" i="5"/>
  <c r="CV247" i="5"/>
  <c r="CW247" i="5"/>
  <c r="CX247" i="5"/>
  <c r="CY247" i="5"/>
  <c r="CZ247" i="5"/>
  <c r="DA247" i="5"/>
  <c r="DB247" i="5"/>
  <c r="DC247" i="5"/>
  <c r="DD247" i="5"/>
  <c r="DE247" i="5"/>
  <c r="DF247" i="5"/>
  <c r="DG247" i="5"/>
  <c r="DH247" i="5"/>
  <c r="DI247" i="5"/>
  <c r="DJ247" i="5"/>
  <c r="DK247" i="5"/>
  <c r="DL247" i="5"/>
  <c r="DM247" i="5"/>
  <c r="DN247" i="5"/>
  <c r="DO247" i="5"/>
  <c r="DP247" i="5"/>
  <c r="DQ247" i="5"/>
  <c r="DR247" i="5"/>
  <c r="DS247" i="5"/>
  <c r="DT247" i="5"/>
  <c r="DU247" i="5"/>
  <c r="DV247" i="5"/>
  <c r="DW247" i="5"/>
  <c r="DX247" i="5"/>
  <c r="DY247" i="5"/>
  <c r="DZ247" i="5"/>
  <c r="EA247" i="5"/>
  <c r="EB247" i="5"/>
  <c r="EC247" i="5"/>
  <c r="ED247" i="5"/>
  <c r="EE247" i="5"/>
  <c r="EF247" i="5"/>
  <c r="EG247" i="5"/>
  <c r="EH247" i="5"/>
  <c r="EI247" i="5"/>
  <c r="EJ247" i="5"/>
  <c r="EK247" i="5"/>
  <c r="EL247" i="5"/>
  <c r="EM247" i="5"/>
  <c r="EN247" i="5"/>
  <c r="EO247" i="5"/>
  <c r="EP247" i="5"/>
  <c r="EQ247" i="5"/>
  <c r="ER247" i="5"/>
  <c r="ES247" i="5"/>
  <c r="ET247" i="5"/>
  <c r="EU247" i="5"/>
  <c r="EV247" i="5"/>
  <c r="EW247" i="5"/>
  <c r="EX247" i="5"/>
  <c r="EY247" i="5"/>
  <c r="EZ247" i="5"/>
  <c r="FA247" i="5"/>
  <c r="FB247" i="5"/>
  <c r="FC247" i="5"/>
  <c r="FD247" i="5"/>
  <c r="FE247" i="5"/>
  <c r="FF247" i="5"/>
  <c r="FG247" i="5"/>
  <c r="FH247" i="5"/>
  <c r="FI247" i="5"/>
  <c r="FJ247" i="5"/>
  <c r="FK247" i="5"/>
  <c r="FL247" i="5"/>
  <c r="FM247" i="5"/>
  <c r="FN247" i="5"/>
  <c r="FO247" i="5"/>
  <c r="FP247" i="5"/>
  <c r="FQ247" i="5"/>
  <c r="FR247" i="5"/>
  <c r="FS247" i="5"/>
  <c r="FT247" i="5"/>
  <c r="FU247" i="5"/>
  <c r="FV247" i="5"/>
  <c r="FW247" i="5"/>
  <c r="FX247" i="5"/>
  <c r="FY247" i="5"/>
  <c r="FZ247" i="5"/>
  <c r="GA247" i="5"/>
  <c r="GB247" i="5"/>
  <c r="GC247" i="5"/>
  <c r="GD247" i="5"/>
  <c r="GE247" i="5"/>
  <c r="GF247" i="5"/>
  <c r="GG247" i="5"/>
  <c r="GH247" i="5"/>
  <c r="GI247" i="5"/>
  <c r="GJ247" i="5"/>
  <c r="GK247" i="5"/>
  <c r="GL247" i="5"/>
  <c r="GM247" i="5"/>
  <c r="GN247" i="5"/>
  <c r="GO247" i="5"/>
  <c r="GP247" i="5"/>
  <c r="GQ247" i="5"/>
  <c r="GR247" i="5"/>
  <c r="GS247" i="5"/>
  <c r="GT247" i="5"/>
  <c r="GU247" i="5"/>
  <c r="GV247" i="5"/>
  <c r="GW247" i="5"/>
  <c r="GX247" i="5"/>
  <c r="GY247" i="5"/>
  <c r="GZ247" i="5"/>
  <c r="HA247" i="5"/>
  <c r="HB247" i="5"/>
  <c r="HC247" i="5"/>
  <c r="HD247" i="5"/>
  <c r="HE247" i="5"/>
  <c r="HF247" i="5"/>
  <c r="HG247" i="5"/>
  <c r="A248" i="5"/>
  <c r="B248" i="5"/>
  <c r="C248" i="5"/>
  <c r="D248" i="5"/>
  <c r="E248" i="5"/>
  <c r="F248" i="5"/>
  <c r="G248" i="5"/>
  <c r="H248" i="5"/>
  <c r="I248" i="5"/>
  <c r="J248" i="5"/>
  <c r="K248" i="5"/>
  <c r="L248" i="5"/>
  <c r="M248" i="5"/>
  <c r="N248" i="5"/>
  <c r="O248" i="5"/>
  <c r="P248" i="5"/>
  <c r="Q248" i="5"/>
  <c r="R248" i="5"/>
  <c r="S248" i="5"/>
  <c r="T248" i="5"/>
  <c r="U248" i="5"/>
  <c r="V248" i="5"/>
  <c r="W248" i="5"/>
  <c r="X248" i="5"/>
  <c r="Y248" i="5"/>
  <c r="Z248" i="5"/>
  <c r="AA248" i="5"/>
  <c r="AB248" i="5"/>
  <c r="AC248" i="5"/>
  <c r="AD248" i="5"/>
  <c r="AE248" i="5"/>
  <c r="AF248" i="5"/>
  <c r="AG248" i="5"/>
  <c r="AH248" i="5"/>
  <c r="AI248" i="5"/>
  <c r="AJ248" i="5"/>
  <c r="AK248" i="5"/>
  <c r="AL248" i="5"/>
  <c r="AM248" i="5"/>
  <c r="AN248" i="5"/>
  <c r="AO248" i="5"/>
  <c r="AP248" i="5"/>
  <c r="AQ248" i="5"/>
  <c r="AR248" i="5"/>
  <c r="AS248" i="5"/>
  <c r="AT248" i="5"/>
  <c r="AU248" i="5"/>
  <c r="AV248" i="5"/>
  <c r="AW248" i="5"/>
  <c r="AX248" i="5"/>
  <c r="AY248" i="5"/>
  <c r="AZ248" i="5"/>
  <c r="BA248" i="5"/>
  <c r="BB248" i="5"/>
  <c r="BC248" i="5"/>
  <c r="BD248" i="5"/>
  <c r="BE248" i="5"/>
  <c r="BF248" i="5"/>
  <c r="BG248" i="5"/>
  <c r="BH248" i="5"/>
  <c r="BI248" i="5"/>
  <c r="BJ248" i="5"/>
  <c r="BK248" i="5"/>
  <c r="BL248" i="5"/>
  <c r="BM248" i="5"/>
  <c r="BN248" i="5"/>
  <c r="BO248" i="5"/>
  <c r="BP248" i="5"/>
  <c r="BQ248" i="5"/>
  <c r="BR248" i="5"/>
  <c r="BS248" i="5"/>
  <c r="BT248" i="5"/>
  <c r="BU248" i="5"/>
  <c r="BV248" i="5"/>
  <c r="BW248" i="5"/>
  <c r="BX248" i="5"/>
  <c r="BY248" i="5"/>
  <c r="BZ248" i="5"/>
  <c r="CA248" i="5"/>
  <c r="CB248" i="5"/>
  <c r="CC248" i="5"/>
  <c r="CD248" i="5"/>
  <c r="CE248" i="5"/>
  <c r="CF248" i="5"/>
  <c r="CG248" i="5"/>
  <c r="CH248" i="5"/>
  <c r="CI248" i="5"/>
  <c r="CJ248" i="5"/>
  <c r="CK248" i="5"/>
  <c r="CL248" i="5"/>
  <c r="CM248" i="5"/>
  <c r="CN248" i="5"/>
  <c r="CO248" i="5"/>
  <c r="CP248" i="5"/>
  <c r="CQ248" i="5"/>
  <c r="CR248" i="5"/>
  <c r="CS248" i="5"/>
  <c r="CT248" i="5"/>
  <c r="CU248" i="5"/>
  <c r="CV248" i="5"/>
  <c r="CW248" i="5"/>
  <c r="CX248" i="5"/>
  <c r="CY248" i="5"/>
  <c r="CZ248" i="5"/>
  <c r="DA248" i="5"/>
  <c r="DB248" i="5"/>
  <c r="DC248" i="5"/>
  <c r="DD248" i="5"/>
  <c r="DE248" i="5"/>
  <c r="DF248" i="5"/>
  <c r="DG248" i="5"/>
  <c r="DH248" i="5"/>
  <c r="DI248" i="5"/>
  <c r="DJ248" i="5"/>
  <c r="DK248" i="5"/>
  <c r="DL248" i="5"/>
  <c r="DM248" i="5"/>
  <c r="DN248" i="5"/>
  <c r="DO248" i="5"/>
  <c r="DP248" i="5"/>
  <c r="DQ248" i="5"/>
  <c r="DR248" i="5"/>
  <c r="DS248" i="5"/>
  <c r="DT248" i="5"/>
  <c r="DU248" i="5"/>
  <c r="DV248" i="5"/>
  <c r="DW248" i="5"/>
  <c r="DX248" i="5"/>
  <c r="DY248" i="5"/>
  <c r="DZ248" i="5"/>
  <c r="EA248" i="5"/>
  <c r="EB248" i="5"/>
  <c r="EC248" i="5"/>
  <c r="ED248" i="5"/>
  <c r="EE248" i="5"/>
  <c r="EF248" i="5"/>
  <c r="EG248" i="5"/>
  <c r="EH248" i="5"/>
  <c r="EI248" i="5"/>
  <c r="EJ248" i="5"/>
  <c r="EK248" i="5"/>
  <c r="EL248" i="5"/>
  <c r="EM248" i="5"/>
  <c r="EN248" i="5"/>
  <c r="EO248" i="5"/>
  <c r="EP248" i="5"/>
  <c r="EQ248" i="5"/>
  <c r="ER248" i="5"/>
  <c r="ES248" i="5"/>
  <c r="ET248" i="5"/>
  <c r="EU248" i="5"/>
  <c r="EV248" i="5"/>
  <c r="EW248" i="5"/>
  <c r="EX248" i="5"/>
  <c r="EY248" i="5"/>
  <c r="EZ248" i="5"/>
  <c r="FA248" i="5"/>
  <c r="FB248" i="5"/>
  <c r="FC248" i="5"/>
  <c r="FD248" i="5"/>
  <c r="FE248" i="5"/>
  <c r="FF248" i="5"/>
  <c r="FG248" i="5"/>
  <c r="FH248" i="5"/>
  <c r="FI248" i="5"/>
  <c r="FJ248" i="5"/>
  <c r="FK248" i="5"/>
  <c r="FL248" i="5"/>
  <c r="FM248" i="5"/>
  <c r="FN248" i="5"/>
  <c r="FO248" i="5"/>
  <c r="FP248" i="5"/>
  <c r="FQ248" i="5"/>
  <c r="FR248" i="5"/>
  <c r="FS248" i="5"/>
  <c r="FT248" i="5"/>
  <c r="FU248" i="5"/>
  <c r="FV248" i="5"/>
  <c r="FW248" i="5"/>
  <c r="FX248" i="5"/>
  <c r="FY248" i="5"/>
  <c r="FZ248" i="5"/>
  <c r="GA248" i="5"/>
  <c r="GB248" i="5"/>
  <c r="GC248" i="5"/>
  <c r="GD248" i="5"/>
  <c r="GE248" i="5"/>
  <c r="GF248" i="5"/>
  <c r="GG248" i="5"/>
  <c r="GH248" i="5"/>
  <c r="GI248" i="5"/>
  <c r="GJ248" i="5"/>
  <c r="GK248" i="5"/>
  <c r="GL248" i="5"/>
  <c r="GM248" i="5"/>
  <c r="GN248" i="5"/>
  <c r="GO248" i="5"/>
  <c r="GP248" i="5"/>
  <c r="GQ248" i="5"/>
  <c r="GR248" i="5"/>
  <c r="GS248" i="5"/>
  <c r="GT248" i="5"/>
  <c r="GU248" i="5"/>
  <c r="GV248" i="5"/>
  <c r="GW248" i="5"/>
  <c r="GX248" i="5"/>
  <c r="GY248" i="5"/>
  <c r="GZ248" i="5"/>
  <c r="HA248" i="5"/>
  <c r="HB248" i="5"/>
  <c r="HC248" i="5"/>
  <c r="HD248" i="5"/>
  <c r="HE248" i="5"/>
  <c r="HF248" i="5"/>
  <c r="HG248" i="5"/>
  <c r="A249" i="5"/>
  <c r="B249" i="5"/>
  <c r="C249" i="5"/>
  <c r="D249" i="5"/>
  <c r="E249" i="5"/>
  <c r="F249" i="5"/>
  <c r="G249" i="5"/>
  <c r="H249" i="5"/>
  <c r="I249" i="5"/>
  <c r="J249" i="5"/>
  <c r="K249" i="5"/>
  <c r="L249" i="5"/>
  <c r="M249" i="5"/>
  <c r="N249" i="5"/>
  <c r="O249" i="5"/>
  <c r="P249" i="5"/>
  <c r="Q249" i="5"/>
  <c r="R249" i="5"/>
  <c r="S249" i="5"/>
  <c r="T249" i="5"/>
  <c r="U249" i="5"/>
  <c r="V249" i="5"/>
  <c r="W249" i="5"/>
  <c r="X249" i="5"/>
  <c r="Y249" i="5"/>
  <c r="Z249" i="5"/>
  <c r="AA249" i="5"/>
  <c r="AB249" i="5"/>
  <c r="AC249" i="5"/>
  <c r="AD249" i="5"/>
  <c r="AE249" i="5"/>
  <c r="AF249" i="5"/>
  <c r="AG249" i="5"/>
  <c r="AH249" i="5"/>
  <c r="AI249" i="5"/>
  <c r="AJ249" i="5"/>
  <c r="AK249" i="5"/>
  <c r="AL249" i="5"/>
  <c r="AM249" i="5"/>
  <c r="AN249" i="5"/>
  <c r="AO249" i="5"/>
  <c r="AP249" i="5"/>
  <c r="AQ249" i="5"/>
  <c r="AR249" i="5"/>
  <c r="AS249" i="5"/>
  <c r="AT249" i="5"/>
  <c r="AU249" i="5"/>
  <c r="AV249" i="5"/>
  <c r="AW249" i="5"/>
  <c r="AX249" i="5"/>
  <c r="AY249" i="5"/>
  <c r="AZ249" i="5"/>
  <c r="BA249" i="5"/>
  <c r="BB249" i="5"/>
  <c r="BC249" i="5"/>
  <c r="BD249" i="5"/>
  <c r="BE249" i="5"/>
  <c r="BF249" i="5"/>
  <c r="BG249" i="5"/>
  <c r="BH249" i="5"/>
  <c r="BI249" i="5"/>
  <c r="BJ249" i="5"/>
  <c r="BK249" i="5"/>
  <c r="BL249" i="5"/>
  <c r="BM249" i="5"/>
  <c r="BN249" i="5"/>
  <c r="BO249" i="5"/>
  <c r="BP249" i="5"/>
  <c r="BQ249" i="5"/>
  <c r="BR249" i="5"/>
  <c r="BS249" i="5"/>
  <c r="BT249" i="5"/>
  <c r="BU249" i="5"/>
  <c r="BV249" i="5"/>
  <c r="BW249" i="5"/>
  <c r="BX249" i="5"/>
  <c r="BY249" i="5"/>
  <c r="BZ249" i="5"/>
  <c r="CA249" i="5"/>
  <c r="CB249" i="5"/>
  <c r="CC249" i="5"/>
  <c r="CD249" i="5"/>
  <c r="CE249" i="5"/>
  <c r="CF249" i="5"/>
  <c r="CG249" i="5"/>
  <c r="CH249" i="5"/>
  <c r="CI249" i="5"/>
  <c r="CJ249" i="5"/>
  <c r="CK249" i="5"/>
  <c r="CL249" i="5"/>
  <c r="CM249" i="5"/>
  <c r="CN249" i="5"/>
  <c r="CO249" i="5"/>
  <c r="CP249" i="5"/>
  <c r="CQ249" i="5"/>
  <c r="CR249" i="5"/>
  <c r="CS249" i="5"/>
  <c r="CT249" i="5"/>
  <c r="CU249" i="5"/>
  <c r="CV249" i="5"/>
  <c r="CW249" i="5"/>
  <c r="CX249" i="5"/>
  <c r="CY249" i="5"/>
  <c r="CZ249" i="5"/>
  <c r="DA249" i="5"/>
  <c r="DB249" i="5"/>
  <c r="DC249" i="5"/>
  <c r="DD249" i="5"/>
  <c r="DE249" i="5"/>
  <c r="DF249" i="5"/>
  <c r="DG249" i="5"/>
  <c r="DH249" i="5"/>
  <c r="DI249" i="5"/>
  <c r="DJ249" i="5"/>
  <c r="DK249" i="5"/>
  <c r="DL249" i="5"/>
  <c r="DM249" i="5"/>
  <c r="DN249" i="5"/>
  <c r="DO249" i="5"/>
  <c r="DP249" i="5"/>
  <c r="DQ249" i="5"/>
  <c r="DR249" i="5"/>
  <c r="DS249" i="5"/>
  <c r="DT249" i="5"/>
  <c r="DU249" i="5"/>
  <c r="DV249" i="5"/>
  <c r="DW249" i="5"/>
  <c r="DX249" i="5"/>
  <c r="DY249" i="5"/>
  <c r="DZ249" i="5"/>
  <c r="EA249" i="5"/>
  <c r="EB249" i="5"/>
  <c r="EC249" i="5"/>
  <c r="ED249" i="5"/>
  <c r="EE249" i="5"/>
  <c r="EF249" i="5"/>
  <c r="EG249" i="5"/>
  <c r="EH249" i="5"/>
  <c r="EI249" i="5"/>
  <c r="EJ249" i="5"/>
  <c r="EK249" i="5"/>
  <c r="EL249" i="5"/>
  <c r="EM249" i="5"/>
  <c r="EN249" i="5"/>
  <c r="EO249" i="5"/>
  <c r="EP249" i="5"/>
  <c r="EQ249" i="5"/>
  <c r="ER249" i="5"/>
  <c r="ES249" i="5"/>
  <c r="ET249" i="5"/>
  <c r="EU249" i="5"/>
  <c r="EV249" i="5"/>
  <c r="EW249" i="5"/>
  <c r="EX249" i="5"/>
  <c r="EY249" i="5"/>
  <c r="EZ249" i="5"/>
  <c r="FA249" i="5"/>
  <c r="FB249" i="5"/>
  <c r="FC249" i="5"/>
  <c r="FD249" i="5"/>
  <c r="FE249" i="5"/>
  <c r="FF249" i="5"/>
  <c r="FG249" i="5"/>
  <c r="FH249" i="5"/>
  <c r="FI249" i="5"/>
  <c r="FJ249" i="5"/>
  <c r="FK249" i="5"/>
  <c r="FL249" i="5"/>
  <c r="FM249" i="5"/>
  <c r="FN249" i="5"/>
  <c r="FO249" i="5"/>
  <c r="FP249" i="5"/>
  <c r="FQ249" i="5"/>
  <c r="FR249" i="5"/>
  <c r="FS249" i="5"/>
  <c r="FT249" i="5"/>
  <c r="FU249" i="5"/>
  <c r="FV249" i="5"/>
  <c r="FW249" i="5"/>
  <c r="FX249" i="5"/>
  <c r="FY249" i="5"/>
  <c r="FZ249" i="5"/>
  <c r="GA249" i="5"/>
  <c r="GB249" i="5"/>
  <c r="GC249" i="5"/>
  <c r="GD249" i="5"/>
  <c r="GE249" i="5"/>
  <c r="GF249" i="5"/>
  <c r="GG249" i="5"/>
  <c r="GH249" i="5"/>
  <c r="GI249" i="5"/>
  <c r="GJ249" i="5"/>
  <c r="GK249" i="5"/>
  <c r="GL249" i="5"/>
  <c r="GM249" i="5"/>
  <c r="GN249" i="5"/>
  <c r="GO249" i="5"/>
  <c r="GP249" i="5"/>
  <c r="GQ249" i="5"/>
  <c r="GR249" i="5"/>
  <c r="GS249" i="5"/>
  <c r="GT249" i="5"/>
  <c r="GU249" i="5"/>
  <c r="GV249" i="5"/>
  <c r="GW249" i="5"/>
  <c r="GX249" i="5"/>
  <c r="GY249" i="5"/>
  <c r="GZ249" i="5"/>
  <c r="HA249" i="5"/>
  <c r="HB249" i="5"/>
  <c r="HC249" i="5"/>
  <c r="HD249" i="5"/>
  <c r="HE249" i="5"/>
  <c r="HF249" i="5"/>
  <c r="HG249" i="5"/>
  <c r="A250" i="5"/>
  <c r="B250" i="5"/>
  <c r="C250" i="5"/>
  <c r="D250" i="5"/>
  <c r="E250" i="5"/>
  <c r="F250" i="5"/>
  <c r="G250" i="5"/>
  <c r="H250" i="5"/>
  <c r="I250" i="5"/>
  <c r="J250" i="5"/>
  <c r="K250" i="5"/>
  <c r="L250" i="5"/>
  <c r="M250" i="5"/>
  <c r="N250" i="5"/>
  <c r="O250" i="5"/>
  <c r="P250" i="5"/>
  <c r="Q250" i="5"/>
  <c r="R250" i="5"/>
  <c r="S250" i="5"/>
  <c r="T250" i="5"/>
  <c r="U250" i="5"/>
  <c r="V250" i="5"/>
  <c r="W250" i="5"/>
  <c r="X250" i="5"/>
  <c r="Y250" i="5"/>
  <c r="Z250" i="5"/>
  <c r="AA250" i="5"/>
  <c r="AB250" i="5"/>
  <c r="AC250" i="5"/>
  <c r="AD250" i="5"/>
  <c r="AE250" i="5"/>
  <c r="AF250" i="5"/>
  <c r="AG250" i="5"/>
  <c r="AH250" i="5"/>
  <c r="AI250" i="5"/>
  <c r="AJ250" i="5"/>
  <c r="AK250" i="5"/>
  <c r="AL250" i="5"/>
  <c r="AM250" i="5"/>
  <c r="AN250" i="5"/>
  <c r="AO250" i="5"/>
  <c r="AP250" i="5"/>
  <c r="AQ250" i="5"/>
  <c r="AR250" i="5"/>
  <c r="AS250" i="5"/>
  <c r="AT250" i="5"/>
  <c r="AU250" i="5"/>
  <c r="AV250" i="5"/>
  <c r="AW250" i="5"/>
  <c r="AX250" i="5"/>
  <c r="AY250" i="5"/>
  <c r="AZ250" i="5"/>
  <c r="BA250" i="5"/>
  <c r="BB250" i="5"/>
  <c r="BC250" i="5"/>
  <c r="BD250" i="5"/>
  <c r="BE250" i="5"/>
  <c r="BF250" i="5"/>
  <c r="BG250" i="5"/>
  <c r="BH250" i="5"/>
  <c r="BI250" i="5"/>
  <c r="BJ250" i="5"/>
  <c r="BK250" i="5"/>
  <c r="BL250" i="5"/>
  <c r="BM250" i="5"/>
  <c r="BN250" i="5"/>
  <c r="BO250" i="5"/>
  <c r="BP250" i="5"/>
  <c r="BQ250" i="5"/>
  <c r="BR250" i="5"/>
  <c r="BS250" i="5"/>
  <c r="BT250" i="5"/>
  <c r="BU250" i="5"/>
  <c r="BV250" i="5"/>
  <c r="BW250" i="5"/>
  <c r="BX250" i="5"/>
  <c r="BY250" i="5"/>
  <c r="BZ250" i="5"/>
  <c r="CA250" i="5"/>
  <c r="CB250" i="5"/>
  <c r="CC250" i="5"/>
  <c r="CD250" i="5"/>
  <c r="CE250" i="5"/>
  <c r="CF250" i="5"/>
  <c r="CG250" i="5"/>
  <c r="CH250" i="5"/>
  <c r="CI250" i="5"/>
  <c r="CJ250" i="5"/>
  <c r="CK250" i="5"/>
  <c r="CL250" i="5"/>
  <c r="CM250" i="5"/>
  <c r="CN250" i="5"/>
  <c r="CO250" i="5"/>
  <c r="CP250" i="5"/>
  <c r="CQ250" i="5"/>
  <c r="CR250" i="5"/>
  <c r="CS250" i="5"/>
  <c r="CT250" i="5"/>
  <c r="CU250" i="5"/>
  <c r="CV250" i="5"/>
  <c r="CW250" i="5"/>
  <c r="CX250" i="5"/>
  <c r="CY250" i="5"/>
  <c r="CZ250" i="5"/>
  <c r="DA250" i="5"/>
  <c r="DB250" i="5"/>
  <c r="DC250" i="5"/>
  <c r="DD250" i="5"/>
  <c r="DE250" i="5"/>
  <c r="DF250" i="5"/>
  <c r="DG250" i="5"/>
  <c r="DH250" i="5"/>
  <c r="DI250" i="5"/>
  <c r="DJ250" i="5"/>
  <c r="DK250" i="5"/>
  <c r="DL250" i="5"/>
  <c r="DM250" i="5"/>
  <c r="DN250" i="5"/>
  <c r="DO250" i="5"/>
  <c r="DP250" i="5"/>
  <c r="DQ250" i="5"/>
  <c r="DR250" i="5"/>
  <c r="DS250" i="5"/>
  <c r="DT250" i="5"/>
  <c r="DU250" i="5"/>
  <c r="DV250" i="5"/>
  <c r="DW250" i="5"/>
  <c r="DX250" i="5"/>
  <c r="DY250" i="5"/>
  <c r="DZ250" i="5"/>
  <c r="EA250" i="5"/>
  <c r="EB250" i="5"/>
  <c r="EC250" i="5"/>
  <c r="ED250" i="5"/>
  <c r="EE250" i="5"/>
  <c r="EF250" i="5"/>
  <c r="EG250" i="5"/>
  <c r="EH250" i="5"/>
  <c r="EI250" i="5"/>
  <c r="EJ250" i="5"/>
  <c r="EK250" i="5"/>
  <c r="EL250" i="5"/>
  <c r="EM250" i="5"/>
  <c r="EN250" i="5"/>
  <c r="EO250" i="5"/>
  <c r="EP250" i="5"/>
  <c r="EQ250" i="5"/>
  <c r="ER250" i="5"/>
  <c r="ES250" i="5"/>
  <c r="ET250" i="5"/>
  <c r="EU250" i="5"/>
  <c r="EV250" i="5"/>
  <c r="EW250" i="5"/>
  <c r="EX250" i="5"/>
  <c r="EY250" i="5"/>
  <c r="EZ250" i="5"/>
  <c r="FA250" i="5"/>
  <c r="FB250" i="5"/>
  <c r="FC250" i="5"/>
  <c r="FD250" i="5"/>
  <c r="FE250" i="5"/>
  <c r="FF250" i="5"/>
  <c r="FG250" i="5"/>
  <c r="FH250" i="5"/>
  <c r="FI250" i="5"/>
  <c r="FJ250" i="5"/>
  <c r="FK250" i="5"/>
  <c r="FL250" i="5"/>
  <c r="FM250" i="5"/>
  <c r="FN250" i="5"/>
  <c r="FO250" i="5"/>
  <c r="FP250" i="5"/>
  <c r="FQ250" i="5"/>
  <c r="FR250" i="5"/>
  <c r="FS250" i="5"/>
  <c r="FT250" i="5"/>
  <c r="FU250" i="5"/>
  <c r="FV250" i="5"/>
  <c r="FW250" i="5"/>
  <c r="FX250" i="5"/>
  <c r="FY250" i="5"/>
  <c r="FZ250" i="5"/>
  <c r="GA250" i="5"/>
  <c r="GB250" i="5"/>
  <c r="GC250" i="5"/>
  <c r="GD250" i="5"/>
  <c r="GE250" i="5"/>
  <c r="GF250" i="5"/>
  <c r="GG250" i="5"/>
  <c r="GH250" i="5"/>
  <c r="GI250" i="5"/>
  <c r="GJ250" i="5"/>
  <c r="GK250" i="5"/>
  <c r="GL250" i="5"/>
  <c r="GM250" i="5"/>
  <c r="GN250" i="5"/>
  <c r="GO250" i="5"/>
  <c r="GP250" i="5"/>
  <c r="GQ250" i="5"/>
  <c r="GR250" i="5"/>
  <c r="GS250" i="5"/>
  <c r="GT250" i="5"/>
  <c r="GU250" i="5"/>
  <c r="GV250" i="5"/>
  <c r="GW250" i="5"/>
  <c r="GX250" i="5"/>
  <c r="GY250" i="5"/>
  <c r="GZ250" i="5"/>
  <c r="HA250" i="5"/>
  <c r="HB250" i="5"/>
  <c r="HC250" i="5"/>
  <c r="HD250" i="5"/>
  <c r="HE250" i="5"/>
  <c r="HF250" i="5"/>
  <c r="HG250" i="5"/>
  <c r="A251" i="5"/>
  <c r="B251" i="5"/>
  <c r="C251" i="5"/>
  <c r="D251" i="5"/>
  <c r="E251" i="5"/>
  <c r="F251" i="5"/>
  <c r="G251" i="5"/>
  <c r="H251" i="5"/>
  <c r="I251" i="5"/>
  <c r="J251" i="5"/>
  <c r="K251" i="5"/>
  <c r="L251" i="5"/>
  <c r="M251" i="5"/>
  <c r="N251" i="5"/>
  <c r="O251" i="5"/>
  <c r="P251" i="5"/>
  <c r="Q251" i="5"/>
  <c r="R251" i="5"/>
  <c r="S251" i="5"/>
  <c r="T251" i="5"/>
  <c r="U251" i="5"/>
  <c r="V251" i="5"/>
  <c r="W251" i="5"/>
  <c r="X251" i="5"/>
  <c r="Y251" i="5"/>
  <c r="Z251" i="5"/>
  <c r="AA251" i="5"/>
  <c r="AB251" i="5"/>
  <c r="AC251" i="5"/>
  <c r="AD251" i="5"/>
  <c r="AE251" i="5"/>
  <c r="AF251" i="5"/>
  <c r="AG251" i="5"/>
  <c r="AH251" i="5"/>
  <c r="AI251" i="5"/>
  <c r="AJ251" i="5"/>
  <c r="AK251" i="5"/>
  <c r="AL251" i="5"/>
  <c r="AM251" i="5"/>
  <c r="AN251" i="5"/>
  <c r="AO251" i="5"/>
  <c r="AP251" i="5"/>
  <c r="AQ251" i="5"/>
  <c r="AR251" i="5"/>
  <c r="AS251" i="5"/>
  <c r="AT251" i="5"/>
  <c r="AU251" i="5"/>
  <c r="AV251" i="5"/>
  <c r="AW251" i="5"/>
  <c r="AX251" i="5"/>
  <c r="AY251" i="5"/>
  <c r="AZ251" i="5"/>
  <c r="BA251" i="5"/>
  <c r="BB251" i="5"/>
  <c r="BC251" i="5"/>
  <c r="BD251" i="5"/>
  <c r="BE251" i="5"/>
  <c r="BF251" i="5"/>
  <c r="BG251" i="5"/>
  <c r="BH251" i="5"/>
  <c r="BI251" i="5"/>
  <c r="BJ251" i="5"/>
  <c r="BK251" i="5"/>
  <c r="BL251" i="5"/>
  <c r="BM251" i="5"/>
  <c r="BN251" i="5"/>
  <c r="BO251" i="5"/>
  <c r="BP251" i="5"/>
  <c r="BQ251" i="5"/>
  <c r="BR251" i="5"/>
  <c r="BS251" i="5"/>
  <c r="BT251" i="5"/>
  <c r="BU251" i="5"/>
  <c r="BV251" i="5"/>
  <c r="BW251" i="5"/>
  <c r="BX251" i="5"/>
  <c r="BY251" i="5"/>
  <c r="BZ251" i="5"/>
  <c r="CA251" i="5"/>
  <c r="CB251" i="5"/>
  <c r="CC251" i="5"/>
  <c r="CD251" i="5"/>
  <c r="CE251" i="5"/>
  <c r="CF251" i="5"/>
  <c r="CG251" i="5"/>
  <c r="CH251" i="5"/>
  <c r="CI251" i="5"/>
  <c r="CJ251" i="5"/>
  <c r="CK251" i="5"/>
  <c r="CL251" i="5"/>
  <c r="CM251" i="5"/>
  <c r="CN251" i="5"/>
  <c r="CO251" i="5"/>
  <c r="CP251" i="5"/>
  <c r="CQ251" i="5"/>
  <c r="CR251" i="5"/>
  <c r="CS251" i="5"/>
  <c r="CT251" i="5"/>
  <c r="CU251" i="5"/>
  <c r="CV251" i="5"/>
  <c r="CW251" i="5"/>
  <c r="CX251" i="5"/>
  <c r="CY251" i="5"/>
  <c r="CZ251" i="5"/>
  <c r="DA251" i="5"/>
  <c r="DB251" i="5"/>
  <c r="DC251" i="5"/>
  <c r="DD251" i="5"/>
  <c r="DE251" i="5"/>
  <c r="DF251" i="5"/>
  <c r="DG251" i="5"/>
  <c r="DH251" i="5"/>
  <c r="DI251" i="5"/>
  <c r="DJ251" i="5"/>
  <c r="DK251" i="5"/>
  <c r="DL251" i="5"/>
  <c r="DM251" i="5"/>
  <c r="DN251" i="5"/>
  <c r="DO251" i="5"/>
  <c r="DP251" i="5"/>
  <c r="DQ251" i="5"/>
  <c r="DR251" i="5"/>
  <c r="DS251" i="5"/>
  <c r="DT251" i="5"/>
  <c r="DU251" i="5"/>
  <c r="DV251" i="5"/>
  <c r="DW251" i="5"/>
  <c r="DX251" i="5"/>
  <c r="DY251" i="5"/>
  <c r="DZ251" i="5"/>
  <c r="EA251" i="5"/>
  <c r="EB251" i="5"/>
  <c r="EC251" i="5"/>
  <c r="ED251" i="5"/>
  <c r="EE251" i="5"/>
  <c r="EF251" i="5"/>
  <c r="EG251" i="5"/>
  <c r="EH251" i="5"/>
  <c r="EI251" i="5"/>
  <c r="EJ251" i="5"/>
  <c r="EK251" i="5"/>
  <c r="EL251" i="5"/>
  <c r="EM251" i="5"/>
  <c r="EN251" i="5"/>
  <c r="EO251" i="5"/>
  <c r="EP251" i="5"/>
  <c r="EQ251" i="5"/>
  <c r="ER251" i="5"/>
  <c r="ES251" i="5"/>
  <c r="ET251" i="5"/>
  <c r="EU251" i="5"/>
  <c r="EV251" i="5"/>
  <c r="EW251" i="5"/>
  <c r="EX251" i="5"/>
  <c r="EY251" i="5"/>
  <c r="EZ251" i="5"/>
  <c r="FA251" i="5"/>
  <c r="FB251" i="5"/>
  <c r="FC251" i="5"/>
  <c r="FD251" i="5"/>
  <c r="FE251" i="5"/>
  <c r="FF251" i="5"/>
  <c r="FG251" i="5"/>
  <c r="FH251" i="5"/>
  <c r="FI251" i="5"/>
  <c r="FJ251" i="5"/>
  <c r="FK251" i="5"/>
  <c r="FL251" i="5"/>
  <c r="FM251" i="5"/>
  <c r="FN251" i="5"/>
  <c r="FO251" i="5"/>
  <c r="FP251" i="5"/>
  <c r="FQ251" i="5"/>
  <c r="FR251" i="5"/>
  <c r="FS251" i="5"/>
  <c r="FT251" i="5"/>
  <c r="FU251" i="5"/>
  <c r="FV251" i="5"/>
  <c r="FW251" i="5"/>
  <c r="FX251" i="5"/>
  <c r="FY251" i="5"/>
  <c r="FZ251" i="5"/>
  <c r="GA251" i="5"/>
  <c r="GB251" i="5"/>
  <c r="GC251" i="5"/>
  <c r="GD251" i="5"/>
  <c r="GE251" i="5"/>
  <c r="GF251" i="5"/>
  <c r="GG251" i="5"/>
  <c r="GH251" i="5"/>
  <c r="GI251" i="5"/>
  <c r="GJ251" i="5"/>
  <c r="GK251" i="5"/>
  <c r="GL251" i="5"/>
  <c r="GM251" i="5"/>
  <c r="GN251" i="5"/>
  <c r="GO251" i="5"/>
  <c r="GP251" i="5"/>
  <c r="GQ251" i="5"/>
  <c r="GR251" i="5"/>
  <c r="GS251" i="5"/>
  <c r="GT251" i="5"/>
  <c r="GU251" i="5"/>
  <c r="GV251" i="5"/>
  <c r="GW251" i="5"/>
  <c r="GX251" i="5"/>
  <c r="GY251" i="5"/>
  <c r="GZ251" i="5"/>
  <c r="HA251" i="5"/>
  <c r="HB251" i="5"/>
  <c r="HC251" i="5"/>
  <c r="HD251" i="5"/>
  <c r="HE251" i="5"/>
  <c r="HF251" i="5"/>
  <c r="HG251" i="5"/>
  <c r="A252" i="5"/>
  <c r="B252" i="5"/>
  <c r="C252" i="5"/>
  <c r="D252" i="5"/>
  <c r="E252" i="5"/>
  <c r="F252" i="5"/>
  <c r="G252" i="5"/>
  <c r="H252" i="5"/>
  <c r="I252" i="5"/>
  <c r="J252" i="5"/>
  <c r="K252" i="5"/>
  <c r="L252" i="5"/>
  <c r="M252" i="5"/>
  <c r="N252" i="5"/>
  <c r="O252" i="5"/>
  <c r="P252" i="5"/>
  <c r="Q252" i="5"/>
  <c r="R252" i="5"/>
  <c r="S252" i="5"/>
  <c r="T252" i="5"/>
  <c r="U252" i="5"/>
  <c r="V252" i="5"/>
  <c r="W252" i="5"/>
  <c r="X252" i="5"/>
  <c r="Y252" i="5"/>
  <c r="Z252" i="5"/>
  <c r="AA252" i="5"/>
  <c r="AB252" i="5"/>
  <c r="AC252" i="5"/>
  <c r="AD252" i="5"/>
  <c r="AE252" i="5"/>
  <c r="AF252" i="5"/>
  <c r="AG252" i="5"/>
  <c r="AH252" i="5"/>
  <c r="AI252" i="5"/>
  <c r="AJ252" i="5"/>
  <c r="AK252" i="5"/>
  <c r="AL252" i="5"/>
  <c r="AM252" i="5"/>
  <c r="AN252" i="5"/>
  <c r="AO252" i="5"/>
  <c r="AP252" i="5"/>
  <c r="AQ252" i="5"/>
  <c r="AR252" i="5"/>
  <c r="AS252" i="5"/>
  <c r="AT252" i="5"/>
  <c r="AU252" i="5"/>
  <c r="AV252" i="5"/>
  <c r="AW252" i="5"/>
  <c r="AX252" i="5"/>
  <c r="AY252" i="5"/>
  <c r="AZ252" i="5"/>
  <c r="BA252" i="5"/>
  <c r="BB252" i="5"/>
  <c r="BC252" i="5"/>
  <c r="BD252" i="5"/>
  <c r="BE252" i="5"/>
  <c r="BF252" i="5"/>
  <c r="BG252" i="5"/>
  <c r="BH252" i="5"/>
  <c r="BI252" i="5"/>
  <c r="BJ252" i="5"/>
  <c r="BK252" i="5"/>
  <c r="BL252" i="5"/>
  <c r="BM252" i="5"/>
  <c r="BN252" i="5"/>
  <c r="BO252" i="5"/>
  <c r="BP252" i="5"/>
  <c r="BQ252" i="5"/>
  <c r="BR252" i="5"/>
  <c r="BS252" i="5"/>
  <c r="BT252" i="5"/>
  <c r="BU252" i="5"/>
  <c r="BV252" i="5"/>
  <c r="BW252" i="5"/>
  <c r="BX252" i="5"/>
  <c r="BY252" i="5"/>
  <c r="BZ252" i="5"/>
  <c r="CA252" i="5"/>
  <c r="CB252" i="5"/>
  <c r="CC252" i="5"/>
  <c r="CD252" i="5"/>
  <c r="CE252" i="5"/>
  <c r="CF252" i="5"/>
  <c r="CG252" i="5"/>
  <c r="CH252" i="5"/>
  <c r="CI252" i="5"/>
  <c r="CJ252" i="5"/>
  <c r="CK252" i="5"/>
  <c r="CL252" i="5"/>
  <c r="CM252" i="5"/>
  <c r="CN252" i="5"/>
  <c r="CO252" i="5"/>
  <c r="CP252" i="5"/>
  <c r="CQ252" i="5"/>
  <c r="CR252" i="5"/>
  <c r="CS252" i="5"/>
  <c r="CT252" i="5"/>
  <c r="CU252" i="5"/>
  <c r="CV252" i="5"/>
  <c r="CW252" i="5"/>
  <c r="CX252" i="5"/>
  <c r="CY252" i="5"/>
  <c r="CZ252" i="5"/>
  <c r="DA252" i="5"/>
  <c r="DB252" i="5"/>
  <c r="DC252" i="5"/>
  <c r="DD252" i="5"/>
  <c r="DE252" i="5"/>
  <c r="DF252" i="5"/>
  <c r="DG252" i="5"/>
  <c r="DH252" i="5"/>
  <c r="DI252" i="5"/>
  <c r="DJ252" i="5"/>
  <c r="DK252" i="5"/>
  <c r="DL252" i="5"/>
  <c r="DM252" i="5"/>
  <c r="DN252" i="5"/>
  <c r="DO252" i="5"/>
  <c r="DP252" i="5"/>
  <c r="DQ252" i="5"/>
  <c r="DR252" i="5"/>
  <c r="DS252" i="5"/>
  <c r="DT252" i="5"/>
  <c r="DU252" i="5"/>
  <c r="DV252" i="5"/>
  <c r="DW252" i="5"/>
  <c r="DX252" i="5"/>
  <c r="DY252" i="5"/>
  <c r="DZ252" i="5"/>
  <c r="EA252" i="5"/>
  <c r="EB252" i="5"/>
  <c r="EC252" i="5"/>
  <c r="ED252" i="5"/>
  <c r="EE252" i="5"/>
  <c r="EF252" i="5"/>
  <c r="EG252" i="5"/>
  <c r="EH252" i="5"/>
  <c r="EI252" i="5"/>
  <c r="EJ252" i="5"/>
  <c r="EK252" i="5"/>
  <c r="EL252" i="5"/>
  <c r="EM252" i="5"/>
  <c r="EN252" i="5"/>
  <c r="EO252" i="5"/>
  <c r="EP252" i="5"/>
  <c r="EQ252" i="5"/>
  <c r="ER252" i="5"/>
  <c r="ES252" i="5"/>
  <c r="ET252" i="5"/>
  <c r="EU252" i="5"/>
  <c r="EV252" i="5"/>
  <c r="EW252" i="5"/>
  <c r="EX252" i="5"/>
  <c r="EY252" i="5"/>
  <c r="EZ252" i="5"/>
  <c r="FA252" i="5"/>
  <c r="FB252" i="5"/>
  <c r="FC252" i="5"/>
  <c r="FD252" i="5"/>
  <c r="FE252" i="5"/>
  <c r="FF252" i="5"/>
  <c r="FG252" i="5"/>
  <c r="FH252" i="5"/>
  <c r="FI252" i="5"/>
  <c r="FJ252" i="5"/>
  <c r="FK252" i="5"/>
  <c r="FL252" i="5"/>
  <c r="FM252" i="5"/>
  <c r="FN252" i="5"/>
  <c r="FO252" i="5"/>
  <c r="FP252" i="5"/>
  <c r="FQ252" i="5"/>
  <c r="FR252" i="5"/>
  <c r="FS252" i="5"/>
  <c r="FT252" i="5"/>
  <c r="FU252" i="5"/>
  <c r="FV252" i="5"/>
  <c r="FW252" i="5"/>
  <c r="FX252" i="5"/>
  <c r="FY252" i="5"/>
  <c r="FZ252" i="5"/>
  <c r="GA252" i="5"/>
  <c r="GB252" i="5"/>
  <c r="GC252" i="5"/>
  <c r="GD252" i="5"/>
  <c r="GE252" i="5"/>
  <c r="GF252" i="5"/>
  <c r="GG252" i="5"/>
  <c r="GH252" i="5"/>
  <c r="GI252" i="5"/>
  <c r="GJ252" i="5"/>
  <c r="GK252" i="5"/>
  <c r="GL252" i="5"/>
  <c r="GM252" i="5"/>
  <c r="GN252" i="5"/>
  <c r="GO252" i="5"/>
  <c r="GP252" i="5"/>
  <c r="GQ252" i="5"/>
  <c r="GR252" i="5"/>
  <c r="GS252" i="5"/>
  <c r="GT252" i="5"/>
  <c r="GU252" i="5"/>
  <c r="GV252" i="5"/>
  <c r="GW252" i="5"/>
  <c r="GX252" i="5"/>
  <c r="GY252" i="5"/>
  <c r="GZ252" i="5"/>
  <c r="HA252" i="5"/>
  <c r="HB252" i="5"/>
  <c r="HC252" i="5"/>
  <c r="HD252" i="5"/>
  <c r="HE252" i="5"/>
  <c r="HF252" i="5"/>
  <c r="HG252" i="5"/>
  <c r="A253" i="5"/>
  <c r="B253" i="5"/>
  <c r="C253" i="5"/>
  <c r="D253" i="5"/>
  <c r="E253" i="5"/>
  <c r="F253" i="5"/>
  <c r="G253" i="5"/>
  <c r="H253" i="5"/>
  <c r="I253" i="5"/>
  <c r="J253" i="5"/>
  <c r="K253" i="5"/>
  <c r="L253" i="5"/>
  <c r="M253" i="5"/>
  <c r="N253" i="5"/>
  <c r="O253" i="5"/>
  <c r="P253" i="5"/>
  <c r="Q253" i="5"/>
  <c r="R253" i="5"/>
  <c r="S253" i="5"/>
  <c r="T253" i="5"/>
  <c r="U253" i="5"/>
  <c r="V253" i="5"/>
  <c r="W253" i="5"/>
  <c r="X253" i="5"/>
  <c r="Y253" i="5"/>
  <c r="Z253" i="5"/>
  <c r="AA253" i="5"/>
  <c r="AB253" i="5"/>
  <c r="AC253" i="5"/>
  <c r="AD253" i="5"/>
  <c r="AE253" i="5"/>
  <c r="AF253" i="5"/>
  <c r="AG253" i="5"/>
  <c r="AH253" i="5"/>
  <c r="AI253" i="5"/>
  <c r="AJ253" i="5"/>
  <c r="AK253" i="5"/>
  <c r="AL253" i="5"/>
  <c r="AM253" i="5"/>
  <c r="AN253" i="5"/>
  <c r="AO253" i="5"/>
  <c r="AP253" i="5"/>
  <c r="AQ253" i="5"/>
  <c r="AR253" i="5"/>
  <c r="AS253" i="5"/>
  <c r="AT253" i="5"/>
  <c r="AU253" i="5"/>
  <c r="AV253" i="5"/>
  <c r="AW253" i="5"/>
  <c r="AX253" i="5"/>
  <c r="AY253" i="5"/>
  <c r="AZ253" i="5"/>
  <c r="BA253" i="5"/>
  <c r="BB253" i="5"/>
  <c r="BC253" i="5"/>
  <c r="BD253" i="5"/>
  <c r="BE253" i="5"/>
  <c r="BF253" i="5"/>
  <c r="BG253" i="5"/>
  <c r="BH253" i="5"/>
  <c r="BI253" i="5"/>
  <c r="BJ253" i="5"/>
  <c r="BK253" i="5"/>
  <c r="BL253" i="5"/>
  <c r="BM253" i="5"/>
  <c r="BN253" i="5"/>
  <c r="BO253" i="5"/>
  <c r="BP253" i="5"/>
  <c r="BQ253" i="5"/>
  <c r="BR253" i="5"/>
  <c r="BS253" i="5"/>
  <c r="BT253" i="5"/>
  <c r="BU253" i="5"/>
  <c r="BV253" i="5"/>
  <c r="BW253" i="5"/>
  <c r="BX253" i="5"/>
  <c r="BY253" i="5"/>
  <c r="BZ253" i="5"/>
  <c r="CA253" i="5"/>
  <c r="CB253" i="5"/>
  <c r="CC253" i="5"/>
  <c r="CD253" i="5"/>
  <c r="CE253" i="5"/>
  <c r="CF253" i="5"/>
  <c r="CG253" i="5"/>
  <c r="CH253" i="5"/>
  <c r="CI253" i="5"/>
  <c r="CJ253" i="5"/>
  <c r="CK253" i="5"/>
  <c r="CL253" i="5"/>
  <c r="CM253" i="5"/>
  <c r="CN253" i="5"/>
  <c r="CO253" i="5"/>
  <c r="CP253" i="5"/>
  <c r="CQ253" i="5"/>
  <c r="CR253" i="5"/>
  <c r="CS253" i="5"/>
  <c r="CT253" i="5"/>
  <c r="CU253" i="5"/>
  <c r="CV253" i="5"/>
  <c r="CW253" i="5"/>
  <c r="CX253" i="5"/>
  <c r="CY253" i="5"/>
  <c r="CZ253" i="5"/>
  <c r="DA253" i="5"/>
  <c r="DB253" i="5"/>
  <c r="DC253" i="5"/>
  <c r="DD253" i="5"/>
  <c r="DE253" i="5"/>
  <c r="DF253" i="5"/>
  <c r="DG253" i="5"/>
  <c r="DH253" i="5"/>
  <c r="DI253" i="5"/>
  <c r="DJ253" i="5"/>
  <c r="DK253" i="5"/>
  <c r="DL253" i="5"/>
  <c r="DM253" i="5"/>
  <c r="DN253" i="5"/>
  <c r="DO253" i="5"/>
  <c r="DP253" i="5"/>
  <c r="DQ253" i="5"/>
  <c r="DR253" i="5"/>
  <c r="DS253" i="5"/>
  <c r="DT253" i="5"/>
  <c r="DU253" i="5"/>
  <c r="DV253" i="5"/>
  <c r="DW253" i="5"/>
  <c r="DX253" i="5"/>
  <c r="DY253" i="5"/>
  <c r="DZ253" i="5"/>
  <c r="EA253" i="5"/>
  <c r="EB253" i="5"/>
  <c r="EC253" i="5"/>
  <c r="ED253" i="5"/>
  <c r="EE253" i="5"/>
  <c r="EF253" i="5"/>
  <c r="EG253" i="5"/>
  <c r="EH253" i="5"/>
  <c r="EI253" i="5"/>
  <c r="EJ253" i="5"/>
  <c r="EK253" i="5"/>
  <c r="EL253" i="5"/>
  <c r="EM253" i="5"/>
  <c r="EN253" i="5"/>
  <c r="EO253" i="5"/>
  <c r="EP253" i="5"/>
  <c r="EQ253" i="5"/>
  <c r="ER253" i="5"/>
  <c r="ES253" i="5"/>
  <c r="ET253" i="5"/>
  <c r="EU253" i="5"/>
  <c r="EV253" i="5"/>
  <c r="EW253" i="5"/>
  <c r="EX253" i="5"/>
  <c r="EY253" i="5"/>
  <c r="EZ253" i="5"/>
  <c r="FA253" i="5"/>
  <c r="FB253" i="5"/>
  <c r="FC253" i="5"/>
  <c r="FD253" i="5"/>
  <c r="FE253" i="5"/>
  <c r="FF253" i="5"/>
  <c r="FG253" i="5"/>
  <c r="FH253" i="5"/>
  <c r="FI253" i="5"/>
  <c r="FJ253" i="5"/>
  <c r="FK253" i="5"/>
  <c r="FL253" i="5"/>
  <c r="FM253" i="5"/>
  <c r="FN253" i="5"/>
  <c r="FO253" i="5"/>
  <c r="FP253" i="5"/>
  <c r="FQ253" i="5"/>
  <c r="FR253" i="5"/>
  <c r="FS253" i="5"/>
  <c r="FT253" i="5"/>
  <c r="FU253" i="5"/>
  <c r="FV253" i="5"/>
  <c r="FW253" i="5"/>
  <c r="FX253" i="5"/>
  <c r="FY253" i="5"/>
  <c r="FZ253" i="5"/>
  <c r="GA253" i="5"/>
  <c r="GB253" i="5"/>
  <c r="GC253" i="5"/>
  <c r="GD253" i="5"/>
  <c r="GE253" i="5"/>
  <c r="GF253" i="5"/>
  <c r="GG253" i="5"/>
  <c r="GH253" i="5"/>
  <c r="GI253" i="5"/>
  <c r="GJ253" i="5"/>
  <c r="GK253" i="5"/>
  <c r="GL253" i="5"/>
  <c r="GM253" i="5"/>
  <c r="GN253" i="5"/>
  <c r="GO253" i="5"/>
  <c r="GP253" i="5"/>
  <c r="GQ253" i="5"/>
  <c r="GR253" i="5"/>
  <c r="GS253" i="5"/>
  <c r="GT253" i="5"/>
  <c r="GU253" i="5"/>
  <c r="GV253" i="5"/>
  <c r="GW253" i="5"/>
  <c r="GX253" i="5"/>
  <c r="GY253" i="5"/>
  <c r="GZ253" i="5"/>
  <c r="HA253" i="5"/>
  <c r="HB253" i="5"/>
  <c r="HC253" i="5"/>
  <c r="HD253" i="5"/>
  <c r="HE253" i="5"/>
  <c r="HF253" i="5"/>
  <c r="HG253" i="5"/>
  <c r="A254" i="5"/>
  <c r="B254" i="5"/>
  <c r="C254" i="5"/>
  <c r="D254" i="5"/>
  <c r="E254" i="5"/>
  <c r="F254" i="5"/>
  <c r="G254" i="5"/>
  <c r="H254" i="5"/>
  <c r="I254" i="5"/>
  <c r="J254" i="5"/>
  <c r="K254" i="5"/>
  <c r="L254" i="5"/>
  <c r="M254" i="5"/>
  <c r="N254" i="5"/>
  <c r="O254" i="5"/>
  <c r="P254" i="5"/>
  <c r="Q254" i="5"/>
  <c r="R254" i="5"/>
  <c r="S254" i="5"/>
  <c r="T254" i="5"/>
  <c r="U254" i="5"/>
  <c r="V254" i="5"/>
  <c r="W254" i="5"/>
  <c r="X254" i="5"/>
  <c r="Y254" i="5"/>
  <c r="Z254" i="5"/>
  <c r="AA254" i="5"/>
  <c r="AB254" i="5"/>
  <c r="AC254" i="5"/>
  <c r="AD254" i="5"/>
  <c r="AE254" i="5"/>
  <c r="AF254" i="5"/>
  <c r="AG254" i="5"/>
  <c r="AH254" i="5"/>
  <c r="AI254" i="5"/>
  <c r="AJ254" i="5"/>
  <c r="AK254" i="5"/>
  <c r="AL254" i="5"/>
  <c r="AM254" i="5"/>
  <c r="AN254" i="5"/>
  <c r="AO254" i="5"/>
  <c r="AP254" i="5"/>
  <c r="AQ254" i="5"/>
  <c r="AR254" i="5"/>
  <c r="AS254" i="5"/>
  <c r="AT254" i="5"/>
  <c r="AU254" i="5"/>
  <c r="AV254" i="5"/>
  <c r="AW254" i="5"/>
  <c r="AX254" i="5"/>
  <c r="AY254" i="5"/>
  <c r="AZ254" i="5"/>
  <c r="BA254" i="5"/>
  <c r="BB254" i="5"/>
  <c r="BC254" i="5"/>
  <c r="BD254" i="5"/>
  <c r="BE254" i="5"/>
  <c r="BF254" i="5"/>
  <c r="BG254" i="5"/>
  <c r="BH254" i="5"/>
  <c r="BI254" i="5"/>
  <c r="BJ254" i="5"/>
  <c r="BK254" i="5"/>
  <c r="BL254" i="5"/>
  <c r="BM254" i="5"/>
  <c r="BN254" i="5"/>
  <c r="BO254" i="5"/>
  <c r="BP254" i="5"/>
  <c r="BQ254" i="5"/>
  <c r="BR254" i="5"/>
  <c r="BS254" i="5"/>
  <c r="BT254" i="5"/>
  <c r="BU254" i="5"/>
  <c r="BV254" i="5"/>
  <c r="BW254" i="5"/>
  <c r="BX254" i="5"/>
  <c r="BY254" i="5"/>
  <c r="BZ254" i="5"/>
  <c r="CA254" i="5"/>
  <c r="CB254" i="5"/>
  <c r="CC254" i="5"/>
  <c r="CD254" i="5"/>
  <c r="CE254" i="5"/>
  <c r="CF254" i="5"/>
  <c r="CG254" i="5"/>
  <c r="CH254" i="5"/>
  <c r="CI254" i="5"/>
  <c r="CJ254" i="5"/>
  <c r="CK254" i="5"/>
  <c r="CL254" i="5"/>
  <c r="CM254" i="5"/>
  <c r="CN254" i="5"/>
  <c r="CO254" i="5"/>
  <c r="CP254" i="5"/>
  <c r="CQ254" i="5"/>
  <c r="CR254" i="5"/>
  <c r="CS254" i="5"/>
  <c r="CT254" i="5"/>
  <c r="CU254" i="5"/>
  <c r="CV254" i="5"/>
  <c r="CW254" i="5"/>
  <c r="CX254" i="5"/>
  <c r="CY254" i="5"/>
  <c r="CZ254" i="5"/>
  <c r="DA254" i="5"/>
  <c r="DB254" i="5"/>
  <c r="DC254" i="5"/>
  <c r="DD254" i="5"/>
  <c r="DE254" i="5"/>
  <c r="DF254" i="5"/>
  <c r="DG254" i="5"/>
  <c r="DH254" i="5"/>
  <c r="DI254" i="5"/>
  <c r="DJ254" i="5"/>
  <c r="DK254" i="5"/>
  <c r="DL254" i="5"/>
  <c r="DM254" i="5"/>
  <c r="DN254" i="5"/>
  <c r="DO254" i="5"/>
  <c r="DP254" i="5"/>
  <c r="DQ254" i="5"/>
  <c r="DR254" i="5"/>
  <c r="DS254" i="5"/>
  <c r="DT254" i="5"/>
  <c r="DU254" i="5"/>
  <c r="DV254" i="5"/>
  <c r="DW254" i="5"/>
  <c r="DX254" i="5"/>
  <c r="DY254" i="5"/>
  <c r="DZ254" i="5"/>
  <c r="EA254" i="5"/>
  <c r="EB254" i="5"/>
  <c r="EC254" i="5"/>
  <c r="ED254" i="5"/>
  <c r="EE254" i="5"/>
  <c r="EF254" i="5"/>
  <c r="EG254" i="5"/>
  <c r="EH254" i="5"/>
  <c r="EI254" i="5"/>
  <c r="EJ254" i="5"/>
  <c r="EK254" i="5"/>
  <c r="EL254" i="5"/>
  <c r="EM254" i="5"/>
  <c r="EN254" i="5"/>
  <c r="EO254" i="5"/>
  <c r="EP254" i="5"/>
  <c r="EQ254" i="5"/>
  <c r="ER254" i="5"/>
  <c r="ES254" i="5"/>
  <c r="ET254" i="5"/>
  <c r="EU254" i="5"/>
  <c r="EV254" i="5"/>
  <c r="EW254" i="5"/>
  <c r="EX254" i="5"/>
  <c r="EY254" i="5"/>
  <c r="EZ254" i="5"/>
  <c r="FA254" i="5"/>
  <c r="FB254" i="5"/>
  <c r="FC254" i="5"/>
  <c r="FD254" i="5"/>
  <c r="FE254" i="5"/>
  <c r="FF254" i="5"/>
  <c r="FG254" i="5"/>
  <c r="FH254" i="5"/>
  <c r="FI254" i="5"/>
  <c r="FJ254" i="5"/>
  <c r="FK254" i="5"/>
  <c r="FL254" i="5"/>
  <c r="FM254" i="5"/>
  <c r="FN254" i="5"/>
  <c r="FO254" i="5"/>
  <c r="FP254" i="5"/>
  <c r="FQ254" i="5"/>
  <c r="FR254" i="5"/>
  <c r="FS254" i="5"/>
  <c r="FT254" i="5"/>
  <c r="FU254" i="5"/>
  <c r="FV254" i="5"/>
  <c r="FW254" i="5"/>
  <c r="FX254" i="5"/>
  <c r="FY254" i="5"/>
  <c r="FZ254" i="5"/>
  <c r="GA254" i="5"/>
  <c r="GB254" i="5"/>
  <c r="GC254" i="5"/>
  <c r="GD254" i="5"/>
  <c r="GE254" i="5"/>
  <c r="GF254" i="5"/>
  <c r="GG254" i="5"/>
  <c r="GH254" i="5"/>
  <c r="GI254" i="5"/>
  <c r="GJ254" i="5"/>
  <c r="GK254" i="5"/>
  <c r="GL254" i="5"/>
  <c r="GM254" i="5"/>
  <c r="GN254" i="5"/>
  <c r="GO254" i="5"/>
  <c r="GP254" i="5"/>
  <c r="GQ254" i="5"/>
  <c r="GR254" i="5"/>
  <c r="GS254" i="5"/>
  <c r="GT254" i="5"/>
  <c r="GU254" i="5"/>
  <c r="GV254" i="5"/>
  <c r="GW254" i="5"/>
  <c r="GX254" i="5"/>
  <c r="GY254" i="5"/>
  <c r="GZ254" i="5"/>
  <c r="HA254" i="5"/>
  <c r="HB254" i="5"/>
  <c r="HC254" i="5"/>
  <c r="HD254" i="5"/>
  <c r="HE254" i="5"/>
  <c r="HF254" i="5"/>
  <c r="HG254" i="5"/>
  <c r="A255" i="5"/>
  <c r="B255" i="5"/>
  <c r="C255" i="5"/>
  <c r="D255" i="5"/>
  <c r="E255" i="5"/>
  <c r="F255" i="5"/>
  <c r="G255" i="5"/>
  <c r="H255" i="5"/>
  <c r="I255" i="5"/>
  <c r="J255" i="5"/>
  <c r="K255" i="5"/>
  <c r="L255" i="5"/>
  <c r="M255" i="5"/>
  <c r="N255" i="5"/>
  <c r="O255" i="5"/>
  <c r="P255" i="5"/>
  <c r="Q255" i="5"/>
  <c r="R255" i="5"/>
  <c r="S255" i="5"/>
  <c r="T255" i="5"/>
  <c r="U255" i="5"/>
  <c r="V255" i="5"/>
  <c r="W255" i="5"/>
  <c r="X255" i="5"/>
  <c r="Y255" i="5"/>
  <c r="Z255" i="5"/>
  <c r="AA255" i="5"/>
  <c r="AB255" i="5"/>
  <c r="AC255" i="5"/>
  <c r="AD255" i="5"/>
  <c r="AE255" i="5"/>
  <c r="AF255" i="5"/>
  <c r="AG255" i="5"/>
  <c r="AH255" i="5"/>
  <c r="AI255" i="5"/>
  <c r="AJ255" i="5"/>
  <c r="AK255" i="5"/>
  <c r="AL255" i="5"/>
  <c r="AM255" i="5"/>
  <c r="AN255" i="5"/>
  <c r="AO255" i="5"/>
  <c r="AP255" i="5"/>
  <c r="AQ255" i="5"/>
  <c r="AR255" i="5"/>
  <c r="AS255" i="5"/>
  <c r="AT255" i="5"/>
  <c r="AU255" i="5"/>
  <c r="AV255" i="5"/>
  <c r="AW255" i="5"/>
  <c r="AX255" i="5"/>
  <c r="AY255" i="5"/>
  <c r="AZ255" i="5"/>
  <c r="BA255" i="5"/>
  <c r="BB255" i="5"/>
  <c r="BC255" i="5"/>
  <c r="BD255" i="5"/>
  <c r="BE255" i="5"/>
  <c r="BF255" i="5"/>
  <c r="BG255" i="5"/>
  <c r="BH255" i="5"/>
  <c r="BI255" i="5"/>
  <c r="BJ255" i="5"/>
  <c r="BK255" i="5"/>
  <c r="BL255" i="5"/>
  <c r="BM255" i="5"/>
  <c r="BN255" i="5"/>
  <c r="BO255" i="5"/>
  <c r="BP255" i="5"/>
  <c r="BQ255" i="5"/>
  <c r="BR255" i="5"/>
  <c r="BS255" i="5"/>
  <c r="BT255" i="5"/>
  <c r="BU255" i="5"/>
  <c r="BV255" i="5"/>
  <c r="BW255" i="5"/>
  <c r="BX255" i="5"/>
  <c r="BY255" i="5"/>
  <c r="BZ255" i="5"/>
  <c r="CA255" i="5"/>
  <c r="CB255" i="5"/>
  <c r="CC255" i="5"/>
  <c r="CD255" i="5"/>
  <c r="CE255" i="5"/>
  <c r="CF255" i="5"/>
  <c r="CG255" i="5"/>
  <c r="CH255" i="5"/>
  <c r="CI255" i="5"/>
  <c r="CJ255" i="5"/>
  <c r="CK255" i="5"/>
  <c r="CL255" i="5"/>
  <c r="CM255" i="5"/>
  <c r="CN255" i="5"/>
  <c r="CO255" i="5"/>
  <c r="CP255" i="5"/>
  <c r="CQ255" i="5"/>
  <c r="CR255" i="5"/>
  <c r="CS255" i="5"/>
  <c r="CT255" i="5"/>
  <c r="CU255" i="5"/>
  <c r="CV255" i="5"/>
  <c r="CW255" i="5"/>
  <c r="CX255" i="5"/>
  <c r="CY255" i="5"/>
  <c r="CZ255" i="5"/>
  <c r="DA255" i="5"/>
  <c r="DB255" i="5"/>
  <c r="DC255" i="5"/>
  <c r="DD255" i="5"/>
  <c r="DE255" i="5"/>
  <c r="DF255" i="5"/>
  <c r="DG255" i="5"/>
  <c r="DH255" i="5"/>
  <c r="DI255" i="5"/>
  <c r="DJ255" i="5"/>
  <c r="DK255" i="5"/>
  <c r="DL255" i="5"/>
  <c r="DM255" i="5"/>
  <c r="DN255" i="5"/>
  <c r="DO255" i="5"/>
  <c r="DP255" i="5"/>
  <c r="DQ255" i="5"/>
  <c r="DR255" i="5"/>
  <c r="DS255" i="5"/>
  <c r="DT255" i="5"/>
  <c r="DU255" i="5"/>
  <c r="DV255" i="5"/>
  <c r="DW255" i="5"/>
  <c r="DX255" i="5"/>
  <c r="DY255" i="5"/>
  <c r="DZ255" i="5"/>
  <c r="EA255" i="5"/>
  <c r="EB255" i="5"/>
  <c r="EC255" i="5"/>
  <c r="ED255" i="5"/>
  <c r="EE255" i="5"/>
  <c r="EF255" i="5"/>
  <c r="EG255" i="5"/>
  <c r="EH255" i="5"/>
  <c r="EI255" i="5"/>
  <c r="EJ255" i="5"/>
  <c r="EK255" i="5"/>
  <c r="EL255" i="5"/>
  <c r="EM255" i="5"/>
  <c r="EN255" i="5"/>
  <c r="EO255" i="5"/>
  <c r="EP255" i="5"/>
  <c r="EQ255" i="5"/>
  <c r="ER255" i="5"/>
  <c r="ES255" i="5"/>
  <c r="ET255" i="5"/>
  <c r="EU255" i="5"/>
  <c r="EV255" i="5"/>
  <c r="EW255" i="5"/>
  <c r="EX255" i="5"/>
  <c r="EY255" i="5"/>
  <c r="EZ255" i="5"/>
  <c r="FA255" i="5"/>
  <c r="FB255" i="5"/>
  <c r="FC255" i="5"/>
  <c r="FD255" i="5"/>
  <c r="FE255" i="5"/>
  <c r="FF255" i="5"/>
  <c r="FG255" i="5"/>
  <c r="FH255" i="5"/>
  <c r="FI255" i="5"/>
  <c r="FJ255" i="5"/>
  <c r="FK255" i="5"/>
  <c r="FL255" i="5"/>
  <c r="FM255" i="5"/>
  <c r="FN255" i="5"/>
  <c r="FO255" i="5"/>
  <c r="FP255" i="5"/>
  <c r="FQ255" i="5"/>
  <c r="FR255" i="5"/>
  <c r="FS255" i="5"/>
  <c r="FT255" i="5"/>
  <c r="FU255" i="5"/>
  <c r="FV255" i="5"/>
  <c r="FW255" i="5"/>
  <c r="FX255" i="5"/>
  <c r="FY255" i="5"/>
  <c r="FZ255" i="5"/>
  <c r="GA255" i="5"/>
  <c r="GB255" i="5"/>
  <c r="GC255" i="5"/>
  <c r="GD255" i="5"/>
  <c r="GE255" i="5"/>
  <c r="GF255" i="5"/>
  <c r="GG255" i="5"/>
  <c r="GH255" i="5"/>
  <c r="GI255" i="5"/>
  <c r="GJ255" i="5"/>
  <c r="GK255" i="5"/>
  <c r="GL255" i="5"/>
  <c r="GM255" i="5"/>
  <c r="GN255" i="5"/>
  <c r="GO255" i="5"/>
  <c r="GP255" i="5"/>
  <c r="GQ255" i="5"/>
  <c r="GR255" i="5"/>
  <c r="GS255" i="5"/>
  <c r="GT255" i="5"/>
  <c r="GU255" i="5"/>
  <c r="GV255" i="5"/>
  <c r="GW255" i="5"/>
  <c r="GX255" i="5"/>
  <c r="GY255" i="5"/>
  <c r="GZ255" i="5"/>
  <c r="HA255" i="5"/>
  <c r="HB255" i="5"/>
  <c r="HC255" i="5"/>
  <c r="HD255" i="5"/>
  <c r="HE255" i="5"/>
  <c r="HF255" i="5"/>
  <c r="HG255" i="5"/>
  <c r="A256" i="5"/>
  <c r="B256" i="5"/>
  <c r="C256" i="5"/>
  <c r="D256" i="5"/>
  <c r="E256" i="5"/>
  <c r="F256" i="5"/>
  <c r="G256" i="5"/>
  <c r="H256" i="5"/>
  <c r="I256" i="5"/>
  <c r="J256" i="5"/>
  <c r="K256" i="5"/>
  <c r="L256" i="5"/>
  <c r="M256" i="5"/>
  <c r="N256" i="5"/>
  <c r="O256" i="5"/>
  <c r="P256" i="5"/>
  <c r="Q256" i="5"/>
  <c r="R256" i="5"/>
  <c r="S256" i="5"/>
  <c r="T256" i="5"/>
  <c r="U256" i="5"/>
  <c r="V256" i="5"/>
  <c r="W256" i="5"/>
  <c r="X256" i="5"/>
  <c r="Y256" i="5"/>
  <c r="Z256" i="5"/>
  <c r="AA256" i="5"/>
  <c r="AB256" i="5"/>
  <c r="AC256" i="5"/>
  <c r="AD256" i="5"/>
  <c r="AE256" i="5"/>
  <c r="AF256" i="5"/>
  <c r="AG256" i="5"/>
  <c r="AH256" i="5"/>
  <c r="AI256" i="5"/>
  <c r="AJ256" i="5"/>
  <c r="AK256" i="5"/>
  <c r="AL256" i="5"/>
  <c r="AM256" i="5"/>
  <c r="AN256" i="5"/>
  <c r="AO256" i="5"/>
  <c r="AP256" i="5"/>
  <c r="AQ256" i="5"/>
  <c r="AR256" i="5"/>
  <c r="AS256" i="5"/>
  <c r="AT256" i="5"/>
  <c r="AU256" i="5"/>
  <c r="AV256" i="5"/>
  <c r="AW256" i="5"/>
  <c r="AX256" i="5"/>
  <c r="AY256" i="5"/>
  <c r="AZ256" i="5"/>
  <c r="BA256" i="5"/>
  <c r="BB256" i="5"/>
  <c r="BC256" i="5"/>
  <c r="BD256" i="5"/>
  <c r="BE256" i="5"/>
  <c r="BF256" i="5"/>
  <c r="BG256" i="5"/>
  <c r="BH256" i="5"/>
  <c r="BI256" i="5"/>
  <c r="BJ256" i="5"/>
  <c r="BK256" i="5"/>
  <c r="BL256" i="5"/>
  <c r="BM256" i="5"/>
  <c r="BN256" i="5"/>
  <c r="BO256" i="5"/>
  <c r="BP256" i="5"/>
  <c r="BQ256" i="5"/>
  <c r="BR256" i="5"/>
  <c r="BS256" i="5"/>
  <c r="BT256" i="5"/>
  <c r="BU256" i="5"/>
  <c r="BV256" i="5"/>
  <c r="BW256" i="5"/>
  <c r="BX256" i="5"/>
  <c r="BY256" i="5"/>
  <c r="BZ256" i="5"/>
  <c r="CA256" i="5"/>
  <c r="CB256" i="5"/>
  <c r="CC256" i="5"/>
  <c r="CD256" i="5"/>
  <c r="CE256" i="5"/>
  <c r="CF256" i="5"/>
  <c r="CG256" i="5"/>
  <c r="CH256" i="5"/>
  <c r="CI256" i="5"/>
  <c r="CJ256" i="5"/>
  <c r="CK256" i="5"/>
  <c r="CL256" i="5"/>
  <c r="CM256" i="5"/>
  <c r="CN256" i="5"/>
  <c r="CO256" i="5"/>
  <c r="CP256" i="5"/>
  <c r="CQ256" i="5"/>
  <c r="CR256" i="5"/>
  <c r="CS256" i="5"/>
  <c r="CT256" i="5"/>
  <c r="CU256" i="5"/>
  <c r="CV256" i="5"/>
  <c r="CW256" i="5"/>
  <c r="CX256" i="5"/>
  <c r="CY256" i="5"/>
  <c r="CZ256" i="5"/>
  <c r="DA256" i="5"/>
  <c r="DB256" i="5"/>
  <c r="DC256" i="5"/>
  <c r="DD256" i="5"/>
  <c r="DE256" i="5"/>
  <c r="DF256" i="5"/>
  <c r="DG256" i="5"/>
  <c r="DH256" i="5"/>
  <c r="DI256" i="5"/>
  <c r="DJ256" i="5"/>
  <c r="DK256" i="5"/>
  <c r="DL256" i="5"/>
  <c r="DM256" i="5"/>
  <c r="DN256" i="5"/>
  <c r="DO256" i="5"/>
  <c r="DP256" i="5"/>
  <c r="DQ256" i="5"/>
  <c r="DR256" i="5"/>
  <c r="DS256" i="5"/>
  <c r="DT256" i="5"/>
  <c r="DU256" i="5"/>
  <c r="DV256" i="5"/>
  <c r="DW256" i="5"/>
  <c r="DX256" i="5"/>
  <c r="DY256" i="5"/>
  <c r="DZ256" i="5"/>
  <c r="EA256" i="5"/>
  <c r="EB256" i="5"/>
  <c r="EC256" i="5"/>
  <c r="ED256" i="5"/>
  <c r="EE256" i="5"/>
  <c r="EF256" i="5"/>
  <c r="EG256" i="5"/>
  <c r="EH256" i="5"/>
  <c r="EI256" i="5"/>
  <c r="EJ256" i="5"/>
  <c r="EK256" i="5"/>
  <c r="EL256" i="5"/>
  <c r="EM256" i="5"/>
  <c r="EN256" i="5"/>
  <c r="EO256" i="5"/>
  <c r="EP256" i="5"/>
  <c r="EQ256" i="5"/>
  <c r="ER256" i="5"/>
  <c r="ES256" i="5"/>
  <c r="ET256" i="5"/>
  <c r="EU256" i="5"/>
  <c r="EV256" i="5"/>
  <c r="EW256" i="5"/>
  <c r="EX256" i="5"/>
  <c r="EY256" i="5"/>
  <c r="EZ256" i="5"/>
  <c r="FA256" i="5"/>
  <c r="FB256" i="5"/>
  <c r="FC256" i="5"/>
  <c r="FD256" i="5"/>
  <c r="FE256" i="5"/>
  <c r="FF256" i="5"/>
  <c r="FG256" i="5"/>
  <c r="FH256" i="5"/>
  <c r="FI256" i="5"/>
  <c r="FJ256" i="5"/>
  <c r="FK256" i="5"/>
  <c r="FL256" i="5"/>
  <c r="FM256" i="5"/>
  <c r="FN256" i="5"/>
  <c r="FO256" i="5"/>
  <c r="FP256" i="5"/>
  <c r="FQ256" i="5"/>
  <c r="FR256" i="5"/>
  <c r="FS256" i="5"/>
  <c r="FT256" i="5"/>
  <c r="FU256" i="5"/>
  <c r="FV256" i="5"/>
  <c r="FW256" i="5"/>
  <c r="FX256" i="5"/>
  <c r="FY256" i="5"/>
  <c r="FZ256" i="5"/>
  <c r="GA256" i="5"/>
  <c r="GB256" i="5"/>
  <c r="GC256" i="5"/>
  <c r="GD256" i="5"/>
  <c r="GE256" i="5"/>
  <c r="GF256" i="5"/>
  <c r="GG256" i="5"/>
  <c r="GH256" i="5"/>
  <c r="GI256" i="5"/>
  <c r="GJ256" i="5"/>
  <c r="GK256" i="5"/>
  <c r="GL256" i="5"/>
  <c r="GM256" i="5"/>
  <c r="GN256" i="5"/>
  <c r="GO256" i="5"/>
  <c r="GP256" i="5"/>
  <c r="GQ256" i="5"/>
  <c r="GR256" i="5"/>
  <c r="GS256" i="5"/>
  <c r="GT256" i="5"/>
  <c r="GU256" i="5"/>
  <c r="GV256" i="5"/>
  <c r="GW256" i="5"/>
  <c r="GX256" i="5"/>
  <c r="GY256" i="5"/>
  <c r="GZ256" i="5"/>
  <c r="HA256" i="5"/>
  <c r="HB256" i="5"/>
  <c r="HC256" i="5"/>
  <c r="HD256" i="5"/>
  <c r="HE256" i="5"/>
  <c r="HF256" i="5"/>
  <c r="HG256" i="5"/>
  <c r="A257" i="5"/>
  <c r="B257" i="5"/>
  <c r="C257" i="5"/>
  <c r="D257" i="5"/>
  <c r="E257" i="5"/>
  <c r="F257" i="5"/>
  <c r="G257" i="5"/>
  <c r="H257" i="5"/>
  <c r="I257" i="5"/>
  <c r="J257" i="5"/>
  <c r="K257" i="5"/>
  <c r="L257" i="5"/>
  <c r="M257" i="5"/>
  <c r="N257" i="5"/>
  <c r="O257" i="5"/>
  <c r="P257" i="5"/>
  <c r="Q257" i="5"/>
  <c r="R257" i="5"/>
  <c r="S257" i="5"/>
  <c r="T257" i="5"/>
  <c r="U257" i="5"/>
  <c r="V257" i="5"/>
  <c r="W257" i="5"/>
  <c r="X257" i="5"/>
  <c r="Y257" i="5"/>
  <c r="Z257" i="5"/>
  <c r="AA257" i="5"/>
  <c r="AB257" i="5"/>
  <c r="AC257" i="5"/>
  <c r="AD257" i="5"/>
  <c r="AE257" i="5"/>
  <c r="AF257" i="5"/>
  <c r="AG257" i="5"/>
  <c r="AH257" i="5"/>
  <c r="AI257" i="5"/>
  <c r="AJ257" i="5"/>
  <c r="AK257" i="5"/>
  <c r="AL257" i="5"/>
  <c r="AM257" i="5"/>
  <c r="AN257" i="5"/>
  <c r="AO257" i="5"/>
  <c r="AP257" i="5"/>
  <c r="AQ257" i="5"/>
  <c r="AR257" i="5"/>
  <c r="AS257" i="5"/>
  <c r="AT257" i="5"/>
  <c r="AU257" i="5"/>
  <c r="AV257" i="5"/>
  <c r="AW257" i="5"/>
  <c r="AX257" i="5"/>
  <c r="AY257" i="5"/>
  <c r="AZ257" i="5"/>
  <c r="BA257" i="5"/>
  <c r="BB257" i="5"/>
  <c r="BC257" i="5"/>
  <c r="BD257" i="5"/>
  <c r="BE257" i="5"/>
  <c r="BF257" i="5"/>
  <c r="BG257" i="5"/>
  <c r="BH257" i="5"/>
  <c r="BI257" i="5"/>
  <c r="BJ257" i="5"/>
  <c r="BK257" i="5"/>
  <c r="BL257" i="5"/>
  <c r="BM257" i="5"/>
  <c r="BN257" i="5"/>
  <c r="BO257" i="5"/>
  <c r="BP257" i="5"/>
  <c r="BQ257" i="5"/>
  <c r="BR257" i="5"/>
  <c r="BS257" i="5"/>
  <c r="BT257" i="5"/>
  <c r="BU257" i="5"/>
  <c r="BV257" i="5"/>
  <c r="BW257" i="5"/>
  <c r="BX257" i="5"/>
  <c r="BY257" i="5"/>
  <c r="BZ257" i="5"/>
  <c r="CA257" i="5"/>
  <c r="CB257" i="5"/>
  <c r="CC257" i="5"/>
  <c r="CD257" i="5"/>
  <c r="CE257" i="5"/>
  <c r="CF257" i="5"/>
  <c r="CG257" i="5"/>
  <c r="CH257" i="5"/>
  <c r="CI257" i="5"/>
  <c r="CJ257" i="5"/>
  <c r="CK257" i="5"/>
  <c r="CL257" i="5"/>
  <c r="CM257" i="5"/>
  <c r="CN257" i="5"/>
  <c r="CO257" i="5"/>
  <c r="CP257" i="5"/>
  <c r="CQ257" i="5"/>
  <c r="CR257" i="5"/>
  <c r="CS257" i="5"/>
  <c r="CT257" i="5"/>
  <c r="CU257" i="5"/>
  <c r="CV257" i="5"/>
  <c r="CW257" i="5"/>
  <c r="CX257" i="5"/>
  <c r="CY257" i="5"/>
  <c r="CZ257" i="5"/>
  <c r="DA257" i="5"/>
  <c r="DB257" i="5"/>
  <c r="DC257" i="5"/>
  <c r="DD257" i="5"/>
  <c r="DE257" i="5"/>
  <c r="DF257" i="5"/>
  <c r="DG257" i="5"/>
  <c r="DH257" i="5"/>
  <c r="DI257" i="5"/>
  <c r="DJ257" i="5"/>
  <c r="DK257" i="5"/>
  <c r="DL257" i="5"/>
  <c r="DM257" i="5"/>
  <c r="DN257" i="5"/>
  <c r="DO257" i="5"/>
  <c r="DP257" i="5"/>
  <c r="DQ257" i="5"/>
  <c r="DR257" i="5"/>
  <c r="DS257" i="5"/>
  <c r="DT257" i="5"/>
  <c r="DU257" i="5"/>
  <c r="DV257" i="5"/>
  <c r="DW257" i="5"/>
  <c r="DX257" i="5"/>
  <c r="DY257" i="5"/>
  <c r="DZ257" i="5"/>
  <c r="EA257" i="5"/>
  <c r="EB257" i="5"/>
  <c r="EC257" i="5"/>
  <c r="ED257" i="5"/>
  <c r="EE257" i="5"/>
  <c r="EF257" i="5"/>
  <c r="EG257" i="5"/>
  <c r="EH257" i="5"/>
  <c r="EI257" i="5"/>
  <c r="EJ257" i="5"/>
  <c r="EK257" i="5"/>
  <c r="EL257" i="5"/>
  <c r="EM257" i="5"/>
  <c r="EN257" i="5"/>
  <c r="EO257" i="5"/>
  <c r="EP257" i="5"/>
  <c r="EQ257" i="5"/>
  <c r="ER257" i="5"/>
  <c r="ES257" i="5"/>
  <c r="ET257" i="5"/>
  <c r="EU257" i="5"/>
  <c r="EV257" i="5"/>
  <c r="EW257" i="5"/>
  <c r="EX257" i="5"/>
  <c r="EY257" i="5"/>
  <c r="EZ257" i="5"/>
  <c r="FA257" i="5"/>
  <c r="FB257" i="5"/>
  <c r="FC257" i="5"/>
  <c r="FD257" i="5"/>
  <c r="FE257" i="5"/>
  <c r="FF257" i="5"/>
  <c r="FG257" i="5"/>
  <c r="FH257" i="5"/>
  <c r="FI257" i="5"/>
  <c r="FJ257" i="5"/>
  <c r="FK257" i="5"/>
  <c r="FL257" i="5"/>
  <c r="FM257" i="5"/>
  <c r="FN257" i="5"/>
  <c r="FO257" i="5"/>
  <c r="FP257" i="5"/>
  <c r="FQ257" i="5"/>
  <c r="FR257" i="5"/>
  <c r="FS257" i="5"/>
  <c r="FT257" i="5"/>
  <c r="FU257" i="5"/>
  <c r="FV257" i="5"/>
  <c r="FW257" i="5"/>
  <c r="FX257" i="5"/>
  <c r="FY257" i="5"/>
  <c r="FZ257" i="5"/>
  <c r="GA257" i="5"/>
  <c r="GB257" i="5"/>
  <c r="GC257" i="5"/>
  <c r="GD257" i="5"/>
  <c r="GE257" i="5"/>
  <c r="GF257" i="5"/>
  <c r="GG257" i="5"/>
  <c r="GH257" i="5"/>
  <c r="GI257" i="5"/>
  <c r="GJ257" i="5"/>
  <c r="GK257" i="5"/>
  <c r="GL257" i="5"/>
  <c r="GM257" i="5"/>
  <c r="GN257" i="5"/>
  <c r="GO257" i="5"/>
  <c r="GP257" i="5"/>
  <c r="GQ257" i="5"/>
  <c r="GR257" i="5"/>
  <c r="GS257" i="5"/>
  <c r="GT257" i="5"/>
  <c r="GU257" i="5"/>
  <c r="GV257" i="5"/>
  <c r="GW257" i="5"/>
  <c r="GX257" i="5"/>
  <c r="GY257" i="5"/>
  <c r="GZ257" i="5"/>
  <c r="HA257" i="5"/>
  <c r="HB257" i="5"/>
  <c r="HC257" i="5"/>
  <c r="HD257" i="5"/>
  <c r="HE257" i="5"/>
  <c r="HF257" i="5"/>
  <c r="HG257" i="5"/>
  <c r="A258" i="5"/>
  <c r="B258" i="5"/>
  <c r="C258" i="5"/>
  <c r="D258" i="5"/>
  <c r="E258" i="5"/>
  <c r="F258" i="5"/>
  <c r="G258" i="5"/>
  <c r="H258" i="5"/>
  <c r="I258" i="5"/>
  <c r="J258" i="5"/>
  <c r="K258" i="5"/>
  <c r="L258" i="5"/>
  <c r="M258" i="5"/>
  <c r="N258" i="5"/>
  <c r="O258" i="5"/>
  <c r="P258" i="5"/>
  <c r="Q258" i="5"/>
  <c r="R258" i="5"/>
  <c r="S258" i="5"/>
  <c r="T258" i="5"/>
  <c r="U258" i="5"/>
  <c r="V258" i="5"/>
  <c r="W258" i="5"/>
  <c r="X258" i="5"/>
  <c r="Y258" i="5"/>
  <c r="Z258" i="5"/>
  <c r="AA258" i="5"/>
  <c r="AB258" i="5"/>
  <c r="AC258" i="5"/>
  <c r="AD258" i="5"/>
  <c r="AE258" i="5"/>
  <c r="AF258" i="5"/>
  <c r="AG258" i="5"/>
  <c r="AH258" i="5"/>
  <c r="AI258" i="5"/>
  <c r="AJ258" i="5"/>
  <c r="AK258" i="5"/>
  <c r="AL258" i="5"/>
  <c r="AM258" i="5"/>
  <c r="AN258" i="5"/>
  <c r="AO258" i="5"/>
  <c r="AP258" i="5"/>
  <c r="AQ258" i="5"/>
  <c r="AR258" i="5"/>
  <c r="AS258" i="5"/>
  <c r="AT258" i="5"/>
  <c r="AU258" i="5"/>
  <c r="AV258" i="5"/>
  <c r="AW258" i="5"/>
  <c r="AX258" i="5"/>
  <c r="AY258" i="5"/>
  <c r="AZ258" i="5"/>
  <c r="BA258" i="5"/>
  <c r="BB258" i="5"/>
  <c r="BC258" i="5"/>
  <c r="BD258" i="5"/>
  <c r="BE258" i="5"/>
  <c r="BF258" i="5"/>
  <c r="BG258" i="5"/>
  <c r="BH258" i="5"/>
  <c r="BI258" i="5"/>
  <c r="BJ258" i="5"/>
  <c r="BK258" i="5"/>
  <c r="BL258" i="5"/>
  <c r="BM258" i="5"/>
  <c r="BN258" i="5"/>
  <c r="BO258" i="5"/>
  <c r="BP258" i="5"/>
  <c r="BQ258" i="5"/>
  <c r="BR258" i="5"/>
  <c r="BS258" i="5"/>
  <c r="BT258" i="5"/>
  <c r="BU258" i="5"/>
  <c r="BV258" i="5"/>
  <c r="BW258" i="5"/>
  <c r="BX258" i="5"/>
  <c r="BY258" i="5"/>
  <c r="BZ258" i="5"/>
  <c r="CA258" i="5"/>
  <c r="CB258" i="5"/>
  <c r="CC258" i="5"/>
  <c r="CD258" i="5"/>
  <c r="CE258" i="5"/>
  <c r="CF258" i="5"/>
  <c r="CG258" i="5"/>
  <c r="CH258" i="5"/>
  <c r="CI258" i="5"/>
  <c r="CJ258" i="5"/>
  <c r="CK258" i="5"/>
  <c r="CL258" i="5"/>
  <c r="CM258" i="5"/>
  <c r="CN258" i="5"/>
  <c r="CO258" i="5"/>
  <c r="CP258" i="5"/>
  <c r="CQ258" i="5"/>
  <c r="CR258" i="5"/>
  <c r="CS258" i="5"/>
  <c r="CT258" i="5"/>
  <c r="CU258" i="5"/>
  <c r="CV258" i="5"/>
  <c r="CW258" i="5"/>
  <c r="CX258" i="5"/>
  <c r="CY258" i="5"/>
  <c r="CZ258" i="5"/>
  <c r="DA258" i="5"/>
  <c r="DB258" i="5"/>
  <c r="DC258" i="5"/>
  <c r="DD258" i="5"/>
  <c r="DE258" i="5"/>
  <c r="DF258" i="5"/>
  <c r="DG258" i="5"/>
  <c r="DH258" i="5"/>
  <c r="DI258" i="5"/>
  <c r="DJ258" i="5"/>
  <c r="DK258" i="5"/>
  <c r="DL258" i="5"/>
  <c r="DM258" i="5"/>
  <c r="DN258" i="5"/>
  <c r="DO258" i="5"/>
  <c r="DP258" i="5"/>
  <c r="DQ258" i="5"/>
  <c r="DR258" i="5"/>
  <c r="DS258" i="5"/>
  <c r="DT258" i="5"/>
  <c r="DU258" i="5"/>
  <c r="DV258" i="5"/>
  <c r="DW258" i="5"/>
  <c r="DX258" i="5"/>
  <c r="DY258" i="5"/>
  <c r="DZ258" i="5"/>
  <c r="EA258" i="5"/>
  <c r="EB258" i="5"/>
  <c r="EC258" i="5"/>
  <c r="ED258" i="5"/>
  <c r="EE258" i="5"/>
  <c r="EF258" i="5"/>
  <c r="EG258" i="5"/>
  <c r="EH258" i="5"/>
  <c r="EI258" i="5"/>
  <c r="EJ258" i="5"/>
  <c r="EK258" i="5"/>
  <c r="EL258" i="5"/>
  <c r="EM258" i="5"/>
  <c r="EN258" i="5"/>
  <c r="EO258" i="5"/>
  <c r="EP258" i="5"/>
  <c r="EQ258" i="5"/>
  <c r="ER258" i="5"/>
  <c r="ES258" i="5"/>
  <c r="ET258" i="5"/>
  <c r="EU258" i="5"/>
  <c r="EV258" i="5"/>
  <c r="EW258" i="5"/>
  <c r="EX258" i="5"/>
  <c r="EY258" i="5"/>
  <c r="EZ258" i="5"/>
  <c r="FA258" i="5"/>
  <c r="FB258" i="5"/>
  <c r="FC258" i="5"/>
  <c r="FD258" i="5"/>
  <c r="FE258" i="5"/>
  <c r="FF258" i="5"/>
  <c r="FG258" i="5"/>
  <c r="FH258" i="5"/>
  <c r="FI258" i="5"/>
  <c r="FJ258" i="5"/>
  <c r="FK258" i="5"/>
  <c r="FL258" i="5"/>
  <c r="FM258" i="5"/>
  <c r="FN258" i="5"/>
  <c r="FO258" i="5"/>
  <c r="FP258" i="5"/>
  <c r="FQ258" i="5"/>
  <c r="FR258" i="5"/>
  <c r="FS258" i="5"/>
  <c r="FT258" i="5"/>
  <c r="FU258" i="5"/>
  <c r="FV258" i="5"/>
  <c r="FW258" i="5"/>
  <c r="FX258" i="5"/>
  <c r="FY258" i="5"/>
  <c r="FZ258" i="5"/>
  <c r="GA258" i="5"/>
  <c r="GB258" i="5"/>
  <c r="GC258" i="5"/>
  <c r="GD258" i="5"/>
  <c r="GE258" i="5"/>
  <c r="GF258" i="5"/>
  <c r="GG258" i="5"/>
  <c r="GH258" i="5"/>
  <c r="GI258" i="5"/>
  <c r="GJ258" i="5"/>
  <c r="GK258" i="5"/>
  <c r="GL258" i="5"/>
  <c r="GM258" i="5"/>
  <c r="GN258" i="5"/>
  <c r="GO258" i="5"/>
  <c r="GP258" i="5"/>
  <c r="GQ258" i="5"/>
  <c r="GR258" i="5"/>
  <c r="GS258" i="5"/>
  <c r="GT258" i="5"/>
  <c r="GU258" i="5"/>
  <c r="GV258" i="5"/>
  <c r="GW258" i="5"/>
  <c r="GX258" i="5"/>
  <c r="GY258" i="5"/>
  <c r="GZ258" i="5"/>
  <c r="HA258" i="5"/>
  <c r="HB258" i="5"/>
  <c r="HC258" i="5"/>
  <c r="HD258" i="5"/>
  <c r="HE258" i="5"/>
  <c r="HF258" i="5"/>
  <c r="HG258" i="5"/>
  <c r="A259" i="5"/>
  <c r="B259" i="5"/>
  <c r="C259" i="5"/>
  <c r="D259" i="5"/>
  <c r="E259" i="5"/>
  <c r="F259" i="5"/>
  <c r="G259" i="5"/>
  <c r="H259" i="5"/>
  <c r="I259" i="5"/>
  <c r="J259" i="5"/>
  <c r="K259" i="5"/>
  <c r="L259" i="5"/>
  <c r="M259" i="5"/>
  <c r="N259" i="5"/>
  <c r="O259" i="5"/>
  <c r="P259" i="5"/>
  <c r="Q259" i="5"/>
  <c r="R259" i="5"/>
  <c r="S259" i="5"/>
  <c r="T259" i="5"/>
  <c r="U259" i="5"/>
  <c r="V259" i="5"/>
  <c r="W259" i="5"/>
  <c r="X259" i="5"/>
  <c r="Y259" i="5"/>
  <c r="Z259" i="5"/>
  <c r="AA259" i="5"/>
  <c r="AB259" i="5"/>
  <c r="AC259" i="5"/>
  <c r="AD259" i="5"/>
  <c r="AE259" i="5"/>
  <c r="AF259" i="5"/>
  <c r="AG259" i="5"/>
  <c r="AH259" i="5"/>
  <c r="AI259" i="5"/>
  <c r="AJ259" i="5"/>
  <c r="AK259" i="5"/>
  <c r="AL259" i="5"/>
  <c r="AM259" i="5"/>
  <c r="AN259" i="5"/>
  <c r="AO259" i="5"/>
  <c r="AP259" i="5"/>
  <c r="AQ259" i="5"/>
  <c r="AR259" i="5"/>
  <c r="AS259" i="5"/>
  <c r="AT259" i="5"/>
  <c r="AU259" i="5"/>
  <c r="AV259" i="5"/>
  <c r="AW259" i="5"/>
  <c r="AX259" i="5"/>
  <c r="AY259" i="5"/>
  <c r="AZ259" i="5"/>
  <c r="BA259" i="5"/>
  <c r="BB259" i="5"/>
  <c r="BC259" i="5"/>
  <c r="BD259" i="5"/>
  <c r="BE259" i="5"/>
  <c r="BF259" i="5"/>
  <c r="BG259" i="5"/>
  <c r="BH259" i="5"/>
  <c r="BI259" i="5"/>
  <c r="BJ259" i="5"/>
  <c r="BK259" i="5"/>
  <c r="BL259" i="5"/>
  <c r="BM259" i="5"/>
  <c r="BN259" i="5"/>
  <c r="BO259" i="5"/>
  <c r="BP259" i="5"/>
  <c r="BQ259" i="5"/>
  <c r="BR259" i="5"/>
  <c r="BS259" i="5"/>
  <c r="BT259" i="5"/>
  <c r="BU259" i="5"/>
  <c r="BV259" i="5"/>
  <c r="BW259" i="5"/>
  <c r="BX259" i="5"/>
  <c r="BY259" i="5"/>
  <c r="BZ259" i="5"/>
  <c r="CA259" i="5"/>
  <c r="CB259" i="5"/>
  <c r="CC259" i="5"/>
  <c r="CD259" i="5"/>
  <c r="CE259" i="5"/>
  <c r="CF259" i="5"/>
  <c r="CG259" i="5"/>
  <c r="CH259" i="5"/>
  <c r="CI259" i="5"/>
  <c r="CJ259" i="5"/>
  <c r="CK259" i="5"/>
  <c r="CL259" i="5"/>
  <c r="CM259" i="5"/>
  <c r="CN259" i="5"/>
  <c r="CO259" i="5"/>
  <c r="CP259" i="5"/>
  <c r="CQ259" i="5"/>
  <c r="CR259" i="5"/>
  <c r="CS259" i="5"/>
  <c r="CT259" i="5"/>
  <c r="CU259" i="5"/>
  <c r="CV259" i="5"/>
  <c r="CW259" i="5"/>
  <c r="CX259" i="5"/>
  <c r="CY259" i="5"/>
  <c r="CZ259" i="5"/>
  <c r="DA259" i="5"/>
  <c r="DB259" i="5"/>
  <c r="DC259" i="5"/>
  <c r="DD259" i="5"/>
  <c r="DE259" i="5"/>
  <c r="DF259" i="5"/>
  <c r="DG259" i="5"/>
  <c r="DH259" i="5"/>
  <c r="DI259" i="5"/>
  <c r="DJ259" i="5"/>
  <c r="DK259" i="5"/>
  <c r="DL259" i="5"/>
  <c r="DM259" i="5"/>
  <c r="DN259" i="5"/>
  <c r="DO259" i="5"/>
  <c r="DP259" i="5"/>
  <c r="DQ259" i="5"/>
  <c r="DR259" i="5"/>
  <c r="DS259" i="5"/>
  <c r="DT259" i="5"/>
  <c r="DU259" i="5"/>
  <c r="DV259" i="5"/>
  <c r="DW259" i="5"/>
  <c r="DX259" i="5"/>
  <c r="DY259" i="5"/>
  <c r="DZ259" i="5"/>
  <c r="EA259" i="5"/>
  <c r="EB259" i="5"/>
  <c r="EC259" i="5"/>
  <c r="ED259" i="5"/>
  <c r="EE259" i="5"/>
  <c r="EF259" i="5"/>
  <c r="EG259" i="5"/>
  <c r="EH259" i="5"/>
  <c r="EI259" i="5"/>
  <c r="EJ259" i="5"/>
  <c r="EK259" i="5"/>
  <c r="EL259" i="5"/>
  <c r="EM259" i="5"/>
  <c r="EN259" i="5"/>
  <c r="EO259" i="5"/>
  <c r="EP259" i="5"/>
  <c r="EQ259" i="5"/>
  <c r="ER259" i="5"/>
  <c r="ES259" i="5"/>
  <c r="ET259" i="5"/>
  <c r="EU259" i="5"/>
  <c r="EV259" i="5"/>
  <c r="EW259" i="5"/>
  <c r="EX259" i="5"/>
  <c r="EY259" i="5"/>
  <c r="EZ259" i="5"/>
  <c r="FA259" i="5"/>
  <c r="FB259" i="5"/>
  <c r="FC259" i="5"/>
  <c r="FD259" i="5"/>
  <c r="FE259" i="5"/>
  <c r="FF259" i="5"/>
  <c r="FG259" i="5"/>
  <c r="FH259" i="5"/>
  <c r="FI259" i="5"/>
  <c r="FJ259" i="5"/>
  <c r="FK259" i="5"/>
  <c r="FL259" i="5"/>
  <c r="FM259" i="5"/>
  <c r="FN259" i="5"/>
  <c r="FO259" i="5"/>
  <c r="FP259" i="5"/>
  <c r="FQ259" i="5"/>
  <c r="FR259" i="5"/>
  <c r="FS259" i="5"/>
  <c r="FT259" i="5"/>
  <c r="FU259" i="5"/>
  <c r="FV259" i="5"/>
  <c r="FW259" i="5"/>
  <c r="FX259" i="5"/>
  <c r="FY259" i="5"/>
  <c r="FZ259" i="5"/>
  <c r="GA259" i="5"/>
  <c r="GB259" i="5"/>
  <c r="GC259" i="5"/>
  <c r="GD259" i="5"/>
  <c r="GE259" i="5"/>
  <c r="GF259" i="5"/>
  <c r="GG259" i="5"/>
  <c r="GH259" i="5"/>
  <c r="GI259" i="5"/>
  <c r="GJ259" i="5"/>
  <c r="GK259" i="5"/>
  <c r="GL259" i="5"/>
  <c r="GM259" i="5"/>
  <c r="GN259" i="5"/>
  <c r="GO259" i="5"/>
  <c r="GP259" i="5"/>
  <c r="GQ259" i="5"/>
  <c r="GR259" i="5"/>
  <c r="GS259" i="5"/>
  <c r="GT259" i="5"/>
  <c r="GU259" i="5"/>
  <c r="GV259" i="5"/>
  <c r="GW259" i="5"/>
  <c r="GX259" i="5"/>
  <c r="GY259" i="5"/>
  <c r="GZ259" i="5"/>
  <c r="HA259" i="5"/>
  <c r="HB259" i="5"/>
  <c r="HC259" i="5"/>
  <c r="HD259" i="5"/>
  <c r="HE259" i="5"/>
  <c r="HF259" i="5"/>
  <c r="HG259" i="5"/>
  <c r="A260" i="5"/>
  <c r="B260" i="5"/>
  <c r="C260" i="5"/>
  <c r="D260" i="5"/>
  <c r="E260" i="5"/>
  <c r="F260" i="5"/>
  <c r="G260" i="5"/>
  <c r="H260" i="5"/>
  <c r="I260" i="5"/>
  <c r="J260" i="5"/>
  <c r="K260" i="5"/>
  <c r="L260" i="5"/>
  <c r="M260" i="5"/>
  <c r="N260" i="5"/>
  <c r="O260" i="5"/>
  <c r="P260" i="5"/>
  <c r="Q260" i="5"/>
  <c r="R260" i="5"/>
  <c r="S260" i="5"/>
  <c r="T260" i="5"/>
  <c r="U260" i="5"/>
  <c r="V260" i="5"/>
  <c r="W260" i="5"/>
  <c r="X260" i="5"/>
  <c r="Y260" i="5"/>
  <c r="Z260" i="5"/>
  <c r="AA260" i="5"/>
  <c r="AB260" i="5"/>
  <c r="AC260" i="5"/>
  <c r="AD260" i="5"/>
  <c r="AE260" i="5"/>
  <c r="AF260" i="5"/>
  <c r="AG260" i="5"/>
  <c r="AH260" i="5"/>
  <c r="AI260" i="5"/>
  <c r="AJ260" i="5"/>
  <c r="AK260" i="5"/>
  <c r="AL260" i="5"/>
  <c r="AM260" i="5"/>
  <c r="AN260" i="5"/>
  <c r="AO260" i="5"/>
  <c r="AP260" i="5"/>
  <c r="AQ260" i="5"/>
  <c r="AR260" i="5"/>
  <c r="AS260" i="5"/>
  <c r="AT260" i="5"/>
  <c r="AU260" i="5"/>
  <c r="AV260" i="5"/>
  <c r="AW260" i="5"/>
  <c r="AX260" i="5"/>
  <c r="AY260" i="5"/>
  <c r="AZ260" i="5"/>
  <c r="BA260" i="5"/>
  <c r="BB260" i="5"/>
  <c r="BC260" i="5"/>
  <c r="BD260" i="5"/>
  <c r="BE260" i="5"/>
  <c r="BF260" i="5"/>
  <c r="BG260" i="5"/>
  <c r="BH260" i="5"/>
  <c r="BI260" i="5"/>
  <c r="BJ260" i="5"/>
  <c r="BK260" i="5"/>
  <c r="BL260" i="5"/>
  <c r="BM260" i="5"/>
  <c r="BN260" i="5"/>
  <c r="BO260" i="5"/>
  <c r="BP260" i="5"/>
  <c r="BQ260" i="5"/>
  <c r="BR260" i="5"/>
  <c r="BS260" i="5"/>
  <c r="BT260" i="5"/>
  <c r="BU260" i="5"/>
  <c r="BV260" i="5"/>
  <c r="BW260" i="5"/>
  <c r="BX260" i="5"/>
  <c r="BY260" i="5"/>
  <c r="BZ260" i="5"/>
  <c r="CA260" i="5"/>
  <c r="CB260" i="5"/>
  <c r="CC260" i="5"/>
  <c r="CD260" i="5"/>
  <c r="CE260" i="5"/>
  <c r="CF260" i="5"/>
  <c r="CG260" i="5"/>
  <c r="CH260" i="5"/>
  <c r="CI260" i="5"/>
  <c r="CJ260" i="5"/>
  <c r="CK260" i="5"/>
  <c r="CL260" i="5"/>
  <c r="CM260" i="5"/>
  <c r="CN260" i="5"/>
  <c r="CO260" i="5"/>
  <c r="CP260" i="5"/>
  <c r="CQ260" i="5"/>
  <c r="CR260" i="5"/>
  <c r="CS260" i="5"/>
  <c r="CT260" i="5"/>
  <c r="CU260" i="5"/>
  <c r="CV260" i="5"/>
  <c r="CW260" i="5"/>
  <c r="CX260" i="5"/>
  <c r="CY260" i="5"/>
  <c r="CZ260" i="5"/>
  <c r="DA260" i="5"/>
  <c r="DB260" i="5"/>
  <c r="DC260" i="5"/>
  <c r="DD260" i="5"/>
  <c r="DE260" i="5"/>
  <c r="DF260" i="5"/>
  <c r="DG260" i="5"/>
  <c r="DH260" i="5"/>
  <c r="DI260" i="5"/>
  <c r="DJ260" i="5"/>
  <c r="DK260" i="5"/>
  <c r="DL260" i="5"/>
  <c r="DM260" i="5"/>
  <c r="DN260" i="5"/>
  <c r="DO260" i="5"/>
  <c r="DP260" i="5"/>
  <c r="DQ260" i="5"/>
  <c r="DR260" i="5"/>
  <c r="DS260" i="5"/>
  <c r="DT260" i="5"/>
  <c r="DU260" i="5"/>
  <c r="DV260" i="5"/>
  <c r="DW260" i="5"/>
  <c r="DX260" i="5"/>
  <c r="DY260" i="5"/>
  <c r="DZ260" i="5"/>
  <c r="EA260" i="5"/>
  <c r="EB260" i="5"/>
  <c r="EC260" i="5"/>
  <c r="ED260" i="5"/>
  <c r="EE260" i="5"/>
  <c r="EF260" i="5"/>
  <c r="EG260" i="5"/>
  <c r="EH260" i="5"/>
  <c r="EI260" i="5"/>
  <c r="EJ260" i="5"/>
  <c r="EK260" i="5"/>
  <c r="EL260" i="5"/>
  <c r="EM260" i="5"/>
  <c r="EN260" i="5"/>
  <c r="EO260" i="5"/>
  <c r="EP260" i="5"/>
  <c r="EQ260" i="5"/>
  <c r="ER260" i="5"/>
  <c r="ES260" i="5"/>
  <c r="ET260" i="5"/>
  <c r="EU260" i="5"/>
  <c r="EV260" i="5"/>
  <c r="EW260" i="5"/>
  <c r="EX260" i="5"/>
  <c r="EY260" i="5"/>
  <c r="EZ260" i="5"/>
  <c r="FA260" i="5"/>
  <c r="FB260" i="5"/>
  <c r="FC260" i="5"/>
  <c r="FD260" i="5"/>
  <c r="FE260" i="5"/>
  <c r="FF260" i="5"/>
  <c r="FG260" i="5"/>
  <c r="FH260" i="5"/>
  <c r="FI260" i="5"/>
  <c r="FJ260" i="5"/>
  <c r="FK260" i="5"/>
  <c r="FL260" i="5"/>
  <c r="FM260" i="5"/>
  <c r="FN260" i="5"/>
  <c r="FO260" i="5"/>
  <c r="FP260" i="5"/>
  <c r="FQ260" i="5"/>
  <c r="FR260" i="5"/>
  <c r="FS260" i="5"/>
  <c r="FT260" i="5"/>
  <c r="FU260" i="5"/>
  <c r="FV260" i="5"/>
  <c r="FW260" i="5"/>
  <c r="FX260" i="5"/>
  <c r="FY260" i="5"/>
  <c r="FZ260" i="5"/>
  <c r="GA260" i="5"/>
  <c r="GB260" i="5"/>
  <c r="GC260" i="5"/>
  <c r="GD260" i="5"/>
  <c r="GE260" i="5"/>
  <c r="GF260" i="5"/>
  <c r="GG260" i="5"/>
  <c r="GH260" i="5"/>
  <c r="GI260" i="5"/>
  <c r="GJ260" i="5"/>
  <c r="GK260" i="5"/>
  <c r="GL260" i="5"/>
  <c r="GM260" i="5"/>
  <c r="GN260" i="5"/>
  <c r="GO260" i="5"/>
  <c r="GP260" i="5"/>
  <c r="GQ260" i="5"/>
  <c r="GR260" i="5"/>
  <c r="GS260" i="5"/>
  <c r="GT260" i="5"/>
  <c r="GU260" i="5"/>
  <c r="GV260" i="5"/>
  <c r="GW260" i="5"/>
  <c r="GX260" i="5"/>
  <c r="GY260" i="5"/>
  <c r="GZ260" i="5"/>
  <c r="HA260" i="5"/>
  <c r="HB260" i="5"/>
  <c r="HC260" i="5"/>
  <c r="HD260" i="5"/>
  <c r="HE260" i="5"/>
  <c r="HF260" i="5"/>
  <c r="HG260" i="5"/>
  <c r="A261" i="5"/>
  <c r="B261" i="5"/>
  <c r="C261" i="5"/>
  <c r="D261" i="5"/>
  <c r="E261" i="5"/>
  <c r="F261" i="5"/>
  <c r="G261" i="5"/>
  <c r="H261" i="5"/>
  <c r="I261" i="5"/>
  <c r="J261" i="5"/>
  <c r="K261" i="5"/>
  <c r="L261" i="5"/>
  <c r="M261" i="5"/>
  <c r="N261" i="5"/>
  <c r="O261" i="5"/>
  <c r="P261" i="5"/>
  <c r="Q261" i="5"/>
  <c r="R261" i="5"/>
  <c r="S261" i="5"/>
  <c r="T261" i="5"/>
  <c r="U261" i="5"/>
  <c r="V261" i="5"/>
  <c r="W261" i="5"/>
  <c r="X261" i="5"/>
  <c r="Y261" i="5"/>
  <c r="Z261" i="5"/>
  <c r="AA261" i="5"/>
  <c r="AB261" i="5"/>
  <c r="AC261" i="5"/>
  <c r="AD261" i="5"/>
  <c r="AE261" i="5"/>
  <c r="AF261" i="5"/>
  <c r="AG261" i="5"/>
  <c r="AH261" i="5"/>
  <c r="AI261" i="5"/>
  <c r="AJ261" i="5"/>
  <c r="AK261" i="5"/>
  <c r="AL261" i="5"/>
  <c r="AM261" i="5"/>
  <c r="AN261" i="5"/>
  <c r="AO261" i="5"/>
  <c r="AP261" i="5"/>
  <c r="AQ261" i="5"/>
  <c r="AR261" i="5"/>
  <c r="AS261" i="5"/>
  <c r="AT261" i="5"/>
  <c r="AU261" i="5"/>
  <c r="AV261" i="5"/>
  <c r="AW261" i="5"/>
  <c r="AX261" i="5"/>
  <c r="AY261" i="5"/>
  <c r="AZ261" i="5"/>
  <c r="BA261" i="5"/>
  <c r="BB261" i="5"/>
  <c r="BC261" i="5"/>
  <c r="BD261" i="5"/>
  <c r="BE261" i="5"/>
  <c r="BF261" i="5"/>
  <c r="BG261" i="5"/>
  <c r="BH261" i="5"/>
  <c r="BI261" i="5"/>
  <c r="BJ261" i="5"/>
  <c r="BK261" i="5"/>
  <c r="BL261" i="5"/>
  <c r="BM261" i="5"/>
  <c r="BN261" i="5"/>
  <c r="BO261" i="5"/>
  <c r="BP261" i="5"/>
  <c r="BQ261" i="5"/>
  <c r="BR261" i="5"/>
  <c r="BS261" i="5"/>
  <c r="BT261" i="5"/>
  <c r="BU261" i="5"/>
  <c r="BV261" i="5"/>
  <c r="BW261" i="5"/>
  <c r="BX261" i="5"/>
  <c r="BY261" i="5"/>
  <c r="BZ261" i="5"/>
  <c r="CA261" i="5"/>
  <c r="CB261" i="5"/>
  <c r="CC261" i="5"/>
  <c r="CD261" i="5"/>
  <c r="CE261" i="5"/>
  <c r="CF261" i="5"/>
  <c r="CG261" i="5"/>
  <c r="CH261" i="5"/>
  <c r="CI261" i="5"/>
  <c r="CJ261" i="5"/>
  <c r="CK261" i="5"/>
  <c r="CL261" i="5"/>
  <c r="CM261" i="5"/>
  <c r="CN261" i="5"/>
  <c r="CO261" i="5"/>
  <c r="CP261" i="5"/>
  <c r="CQ261" i="5"/>
  <c r="CR261" i="5"/>
  <c r="CS261" i="5"/>
  <c r="CT261" i="5"/>
  <c r="CU261" i="5"/>
  <c r="CV261" i="5"/>
  <c r="CW261" i="5"/>
  <c r="CX261" i="5"/>
  <c r="CY261" i="5"/>
  <c r="CZ261" i="5"/>
  <c r="DA261" i="5"/>
  <c r="DB261" i="5"/>
  <c r="DC261" i="5"/>
  <c r="DD261" i="5"/>
  <c r="DE261" i="5"/>
  <c r="DF261" i="5"/>
  <c r="DG261" i="5"/>
  <c r="DH261" i="5"/>
  <c r="DI261" i="5"/>
  <c r="DJ261" i="5"/>
  <c r="DK261" i="5"/>
  <c r="DL261" i="5"/>
  <c r="DM261" i="5"/>
  <c r="DN261" i="5"/>
  <c r="DO261" i="5"/>
  <c r="DP261" i="5"/>
  <c r="DQ261" i="5"/>
  <c r="DR261" i="5"/>
  <c r="DS261" i="5"/>
  <c r="DT261" i="5"/>
  <c r="DU261" i="5"/>
  <c r="DV261" i="5"/>
  <c r="DW261" i="5"/>
  <c r="DX261" i="5"/>
  <c r="DY261" i="5"/>
  <c r="DZ261" i="5"/>
  <c r="EA261" i="5"/>
  <c r="EB261" i="5"/>
  <c r="EC261" i="5"/>
  <c r="ED261" i="5"/>
  <c r="EE261" i="5"/>
  <c r="EF261" i="5"/>
  <c r="EG261" i="5"/>
  <c r="EH261" i="5"/>
  <c r="EI261" i="5"/>
  <c r="EJ261" i="5"/>
  <c r="EK261" i="5"/>
  <c r="EL261" i="5"/>
  <c r="EM261" i="5"/>
  <c r="EN261" i="5"/>
  <c r="EO261" i="5"/>
  <c r="EP261" i="5"/>
  <c r="EQ261" i="5"/>
  <c r="ER261" i="5"/>
  <c r="ES261" i="5"/>
  <c r="ET261" i="5"/>
  <c r="EU261" i="5"/>
  <c r="EV261" i="5"/>
  <c r="EW261" i="5"/>
  <c r="EX261" i="5"/>
  <c r="EY261" i="5"/>
  <c r="EZ261" i="5"/>
  <c r="FA261" i="5"/>
  <c r="FB261" i="5"/>
  <c r="FC261" i="5"/>
  <c r="FD261" i="5"/>
  <c r="FE261" i="5"/>
  <c r="FF261" i="5"/>
  <c r="FG261" i="5"/>
  <c r="FH261" i="5"/>
  <c r="FI261" i="5"/>
  <c r="FJ261" i="5"/>
  <c r="FK261" i="5"/>
  <c r="FL261" i="5"/>
  <c r="FM261" i="5"/>
  <c r="FN261" i="5"/>
  <c r="FO261" i="5"/>
  <c r="FP261" i="5"/>
  <c r="FQ261" i="5"/>
  <c r="FR261" i="5"/>
  <c r="FS261" i="5"/>
  <c r="FT261" i="5"/>
  <c r="FU261" i="5"/>
  <c r="FV261" i="5"/>
  <c r="FW261" i="5"/>
  <c r="FX261" i="5"/>
  <c r="FY261" i="5"/>
  <c r="FZ261" i="5"/>
  <c r="GA261" i="5"/>
  <c r="GB261" i="5"/>
  <c r="GC261" i="5"/>
  <c r="GD261" i="5"/>
  <c r="GE261" i="5"/>
  <c r="GF261" i="5"/>
  <c r="GG261" i="5"/>
  <c r="GH261" i="5"/>
  <c r="GI261" i="5"/>
  <c r="GJ261" i="5"/>
  <c r="GK261" i="5"/>
  <c r="GL261" i="5"/>
  <c r="GM261" i="5"/>
  <c r="GN261" i="5"/>
  <c r="GO261" i="5"/>
  <c r="GP261" i="5"/>
  <c r="GQ261" i="5"/>
  <c r="GR261" i="5"/>
  <c r="GS261" i="5"/>
  <c r="GT261" i="5"/>
  <c r="GU261" i="5"/>
  <c r="GV261" i="5"/>
  <c r="GW261" i="5"/>
  <c r="GX261" i="5"/>
  <c r="GY261" i="5"/>
  <c r="GZ261" i="5"/>
  <c r="HA261" i="5"/>
  <c r="HB261" i="5"/>
  <c r="HC261" i="5"/>
  <c r="HD261" i="5"/>
  <c r="HE261" i="5"/>
  <c r="HF261" i="5"/>
  <c r="HG261" i="5"/>
  <c r="A262" i="5"/>
  <c r="B262" i="5"/>
  <c r="C262" i="5"/>
  <c r="D262" i="5"/>
  <c r="E262" i="5"/>
  <c r="F262" i="5"/>
  <c r="G262" i="5"/>
  <c r="H262" i="5"/>
  <c r="I262" i="5"/>
  <c r="J262" i="5"/>
  <c r="K262" i="5"/>
  <c r="L262" i="5"/>
  <c r="M262" i="5"/>
  <c r="N262" i="5"/>
  <c r="O262" i="5"/>
  <c r="P262" i="5"/>
  <c r="Q262" i="5"/>
  <c r="R262" i="5"/>
  <c r="S262" i="5"/>
  <c r="T262" i="5"/>
  <c r="U262" i="5"/>
  <c r="V262" i="5"/>
  <c r="W262" i="5"/>
  <c r="X262" i="5"/>
  <c r="Y262" i="5"/>
  <c r="Z262" i="5"/>
  <c r="AA262" i="5"/>
  <c r="AB262" i="5"/>
  <c r="AC262" i="5"/>
  <c r="AD262" i="5"/>
  <c r="AE262" i="5"/>
  <c r="AF262" i="5"/>
  <c r="AG262" i="5"/>
  <c r="AH262" i="5"/>
  <c r="AI262" i="5"/>
  <c r="AJ262" i="5"/>
  <c r="AK262" i="5"/>
  <c r="AL262" i="5"/>
  <c r="AM262" i="5"/>
  <c r="AN262" i="5"/>
  <c r="AO262" i="5"/>
  <c r="AP262" i="5"/>
  <c r="AQ262" i="5"/>
  <c r="AR262" i="5"/>
  <c r="AS262" i="5"/>
  <c r="AT262" i="5"/>
  <c r="AU262" i="5"/>
  <c r="AV262" i="5"/>
  <c r="AW262" i="5"/>
  <c r="AX262" i="5"/>
  <c r="AY262" i="5"/>
  <c r="AZ262" i="5"/>
  <c r="BA262" i="5"/>
  <c r="BB262" i="5"/>
  <c r="BC262" i="5"/>
  <c r="BD262" i="5"/>
  <c r="BE262" i="5"/>
  <c r="BF262" i="5"/>
  <c r="BG262" i="5"/>
  <c r="BH262" i="5"/>
  <c r="BI262" i="5"/>
  <c r="BJ262" i="5"/>
  <c r="BK262" i="5"/>
  <c r="BL262" i="5"/>
  <c r="BM262" i="5"/>
  <c r="BN262" i="5"/>
  <c r="BO262" i="5"/>
  <c r="BP262" i="5"/>
  <c r="BQ262" i="5"/>
  <c r="BR262" i="5"/>
  <c r="BS262" i="5"/>
  <c r="BT262" i="5"/>
  <c r="BU262" i="5"/>
  <c r="BV262" i="5"/>
  <c r="BW262" i="5"/>
  <c r="BX262" i="5"/>
  <c r="BY262" i="5"/>
  <c r="BZ262" i="5"/>
  <c r="CA262" i="5"/>
  <c r="CB262" i="5"/>
  <c r="CC262" i="5"/>
  <c r="CD262" i="5"/>
  <c r="CE262" i="5"/>
  <c r="CF262" i="5"/>
  <c r="CG262" i="5"/>
  <c r="CH262" i="5"/>
  <c r="CI262" i="5"/>
  <c r="CJ262" i="5"/>
  <c r="CK262" i="5"/>
  <c r="CL262" i="5"/>
  <c r="CM262" i="5"/>
  <c r="CN262" i="5"/>
  <c r="CO262" i="5"/>
  <c r="CP262" i="5"/>
  <c r="CQ262" i="5"/>
  <c r="CR262" i="5"/>
  <c r="CS262" i="5"/>
  <c r="CT262" i="5"/>
  <c r="CU262" i="5"/>
  <c r="CV262" i="5"/>
  <c r="CW262" i="5"/>
  <c r="CX262" i="5"/>
  <c r="CY262" i="5"/>
  <c r="CZ262" i="5"/>
  <c r="DA262" i="5"/>
  <c r="DB262" i="5"/>
  <c r="DC262" i="5"/>
  <c r="DD262" i="5"/>
  <c r="DE262" i="5"/>
  <c r="DF262" i="5"/>
  <c r="DG262" i="5"/>
  <c r="DH262" i="5"/>
  <c r="DI262" i="5"/>
  <c r="DJ262" i="5"/>
  <c r="DK262" i="5"/>
  <c r="DL262" i="5"/>
  <c r="DM262" i="5"/>
  <c r="DN262" i="5"/>
  <c r="DO262" i="5"/>
  <c r="DP262" i="5"/>
  <c r="DQ262" i="5"/>
  <c r="DR262" i="5"/>
  <c r="DS262" i="5"/>
  <c r="DT262" i="5"/>
  <c r="DU262" i="5"/>
  <c r="DV262" i="5"/>
  <c r="DW262" i="5"/>
  <c r="DX262" i="5"/>
  <c r="DY262" i="5"/>
  <c r="DZ262" i="5"/>
  <c r="EA262" i="5"/>
  <c r="EB262" i="5"/>
  <c r="EC262" i="5"/>
  <c r="ED262" i="5"/>
  <c r="EE262" i="5"/>
  <c r="EF262" i="5"/>
  <c r="EG262" i="5"/>
  <c r="EH262" i="5"/>
  <c r="EI262" i="5"/>
  <c r="EJ262" i="5"/>
  <c r="EK262" i="5"/>
  <c r="EL262" i="5"/>
  <c r="EM262" i="5"/>
  <c r="EN262" i="5"/>
  <c r="EO262" i="5"/>
  <c r="EP262" i="5"/>
  <c r="EQ262" i="5"/>
  <c r="ER262" i="5"/>
  <c r="ES262" i="5"/>
  <c r="ET262" i="5"/>
  <c r="EU262" i="5"/>
  <c r="EV262" i="5"/>
  <c r="EW262" i="5"/>
  <c r="EX262" i="5"/>
  <c r="EY262" i="5"/>
  <c r="EZ262" i="5"/>
  <c r="FA262" i="5"/>
  <c r="FB262" i="5"/>
  <c r="FC262" i="5"/>
  <c r="FD262" i="5"/>
  <c r="FE262" i="5"/>
  <c r="FF262" i="5"/>
  <c r="FG262" i="5"/>
  <c r="FH262" i="5"/>
  <c r="FI262" i="5"/>
  <c r="FJ262" i="5"/>
  <c r="FK262" i="5"/>
  <c r="FL262" i="5"/>
  <c r="FM262" i="5"/>
  <c r="FN262" i="5"/>
  <c r="FO262" i="5"/>
  <c r="FP262" i="5"/>
  <c r="FQ262" i="5"/>
  <c r="FR262" i="5"/>
  <c r="FS262" i="5"/>
  <c r="FT262" i="5"/>
  <c r="FU262" i="5"/>
  <c r="FV262" i="5"/>
  <c r="FW262" i="5"/>
  <c r="FX262" i="5"/>
  <c r="FY262" i="5"/>
  <c r="FZ262" i="5"/>
  <c r="GA262" i="5"/>
  <c r="GB262" i="5"/>
  <c r="GC262" i="5"/>
  <c r="GD262" i="5"/>
  <c r="GE262" i="5"/>
  <c r="GF262" i="5"/>
  <c r="GG262" i="5"/>
  <c r="GH262" i="5"/>
  <c r="GI262" i="5"/>
  <c r="GJ262" i="5"/>
  <c r="GK262" i="5"/>
  <c r="GL262" i="5"/>
  <c r="GM262" i="5"/>
  <c r="GN262" i="5"/>
  <c r="GO262" i="5"/>
  <c r="GP262" i="5"/>
  <c r="GQ262" i="5"/>
  <c r="GR262" i="5"/>
  <c r="GS262" i="5"/>
  <c r="GT262" i="5"/>
  <c r="GU262" i="5"/>
  <c r="GV262" i="5"/>
  <c r="GW262" i="5"/>
  <c r="GX262" i="5"/>
  <c r="GY262" i="5"/>
  <c r="GZ262" i="5"/>
  <c r="HA262" i="5"/>
  <c r="HB262" i="5"/>
  <c r="HC262" i="5"/>
  <c r="HD262" i="5"/>
  <c r="HE262" i="5"/>
  <c r="HF262" i="5"/>
  <c r="HG262" i="5"/>
  <c r="A263" i="5"/>
  <c r="B263" i="5"/>
  <c r="C263" i="5"/>
  <c r="D263" i="5"/>
  <c r="E263" i="5"/>
  <c r="F263" i="5"/>
  <c r="G263" i="5"/>
  <c r="H263" i="5"/>
  <c r="I263" i="5"/>
  <c r="J263" i="5"/>
  <c r="K263" i="5"/>
  <c r="L263" i="5"/>
  <c r="M263" i="5"/>
  <c r="N263" i="5"/>
  <c r="O263" i="5"/>
  <c r="P263" i="5"/>
  <c r="Q263" i="5"/>
  <c r="R263" i="5"/>
  <c r="S263" i="5"/>
  <c r="T263" i="5"/>
  <c r="U263" i="5"/>
  <c r="V263" i="5"/>
  <c r="W263" i="5"/>
  <c r="X263" i="5"/>
  <c r="Y263" i="5"/>
  <c r="Z263" i="5"/>
  <c r="AA263" i="5"/>
  <c r="AB263" i="5"/>
  <c r="AC263" i="5"/>
  <c r="AD263" i="5"/>
  <c r="AE263" i="5"/>
  <c r="AF263" i="5"/>
  <c r="AG263" i="5"/>
  <c r="AH263" i="5"/>
  <c r="AI263" i="5"/>
  <c r="AJ263" i="5"/>
  <c r="AK263" i="5"/>
  <c r="AL263" i="5"/>
  <c r="AM263" i="5"/>
  <c r="AN263" i="5"/>
  <c r="AO263" i="5"/>
  <c r="AP263" i="5"/>
  <c r="AQ263" i="5"/>
  <c r="AR263" i="5"/>
  <c r="AS263" i="5"/>
  <c r="AT263" i="5"/>
  <c r="AU263" i="5"/>
  <c r="AV263" i="5"/>
  <c r="AW263" i="5"/>
  <c r="AX263" i="5"/>
  <c r="AY263" i="5"/>
  <c r="AZ263" i="5"/>
  <c r="BA263" i="5"/>
  <c r="BB263" i="5"/>
  <c r="BC263" i="5"/>
  <c r="BD263" i="5"/>
  <c r="BE263" i="5"/>
  <c r="BF263" i="5"/>
  <c r="BG263" i="5"/>
  <c r="BH263" i="5"/>
  <c r="BI263" i="5"/>
  <c r="BJ263" i="5"/>
  <c r="BK263" i="5"/>
  <c r="BL263" i="5"/>
  <c r="BM263" i="5"/>
  <c r="BN263" i="5"/>
  <c r="BO263" i="5"/>
  <c r="BP263" i="5"/>
  <c r="BQ263" i="5"/>
  <c r="BR263" i="5"/>
  <c r="BS263" i="5"/>
  <c r="BT263" i="5"/>
  <c r="BU263" i="5"/>
  <c r="BV263" i="5"/>
  <c r="BW263" i="5"/>
  <c r="BX263" i="5"/>
  <c r="BY263" i="5"/>
  <c r="BZ263" i="5"/>
  <c r="CA263" i="5"/>
  <c r="CB263" i="5"/>
  <c r="CC263" i="5"/>
  <c r="CD263" i="5"/>
  <c r="CE263" i="5"/>
  <c r="CF263" i="5"/>
  <c r="CG263" i="5"/>
  <c r="CH263" i="5"/>
  <c r="CI263" i="5"/>
  <c r="CJ263" i="5"/>
  <c r="CK263" i="5"/>
  <c r="CL263" i="5"/>
  <c r="CM263" i="5"/>
  <c r="CN263" i="5"/>
  <c r="CO263" i="5"/>
  <c r="CP263" i="5"/>
  <c r="CQ263" i="5"/>
  <c r="CR263" i="5"/>
  <c r="CS263" i="5"/>
  <c r="CT263" i="5"/>
  <c r="CU263" i="5"/>
  <c r="CV263" i="5"/>
  <c r="CW263" i="5"/>
  <c r="CX263" i="5"/>
  <c r="CY263" i="5"/>
  <c r="CZ263" i="5"/>
  <c r="DA263" i="5"/>
  <c r="DB263" i="5"/>
  <c r="DC263" i="5"/>
  <c r="DD263" i="5"/>
  <c r="DE263" i="5"/>
  <c r="DF263" i="5"/>
  <c r="DG263" i="5"/>
  <c r="DH263" i="5"/>
  <c r="DI263" i="5"/>
  <c r="DJ263" i="5"/>
  <c r="DK263" i="5"/>
  <c r="DL263" i="5"/>
  <c r="DM263" i="5"/>
  <c r="DN263" i="5"/>
  <c r="DO263" i="5"/>
  <c r="DP263" i="5"/>
  <c r="DQ263" i="5"/>
  <c r="DR263" i="5"/>
  <c r="DS263" i="5"/>
  <c r="DT263" i="5"/>
  <c r="DU263" i="5"/>
  <c r="DV263" i="5"/>
  <c r="DW263" i="5"/>
  <c r="DX263" i="5"/>
  <c r="DY263" i="5"/>
  <c r="DZ263" i="5"/>
  <c r="EA263" i="5"/>
  <c r="EB263" i="5"/>
  <c r="EC263" i="5"/>
  <c r="ED263" i="5"/>
  <c r="EE263" i="5"/>
  <c r="EF263" i="5"/>
  <c r="EG263" i="5"/>
  <c r="EH263" i="5"/>
  <c r="EI263" i="5"/>
  <c r="EJ263" i="5"/>
  <c r="EK263" i="5"/>
  <c r="EL263" i="5"/>
  <c r="EM263" i="5"/>
  <c r="EN263" i="5"/>
  <c r="EO263" i="5"/>
  <c r="EP263" i="5"/>
  <c r="EQ263" i="5"/>
  <c r="ER263" i="5"/>
  <c r="ES263" i="5"/>
  <c r="ET263" i="5"/>
  <c r="EU263" i="5"/>
  <c r="EV263" i="5"/>
  <c r="EW263" i="5"/>
  <c r="EX263" i="5"/>
  <c r="EY263" i="5"/>
  <c r="EZ263" i="5"/>
  <c r="FA263" i="5"/>
  <c r="FB263" i="5"/>
  <c r="FC263" i="5"/>
  <c r="FD263" i="5"/>
  <c r="FE263" i="5"/>
  <c r="FF263" i="5"/>
  <c r="FG263" i="5"/>
  <c r="FH263" i="5"/>
  <c r="FI263" i="5"/>
  <c r="FJ263" i="5"/>
  <c r="FK263" i="5"/>
  <c r="FL263" i="5"/>
  <c r="FM263" i="5"/>
  <c r="FN263" i="5"/>
  <c r="FO263" i="5"/>
  <c r="FP263" i="5"/>
  <c r="FQ263" i="5"/>
  <c r="FR263" i="5"/>
  <c r="FS263" i="5"/>
  <c r="FT263" i="5"/>
  <c r="FU263" i="5"/>
  <c r="FV263" i="5"/>
  <c r="FW263" i="5"/>
  <c r="FX263" i="5"/>
  <c r="FY263" i="5"/>
  <c r="FZ263" i="5"/>
  <c r="GA263" i="5"/>
  <c r="GB263" i="5"/>
  <c r="GC263" i="5"/>
  <c r="GD263" i="5"/>
  <c r="GE263" i="5"/>
  <c r="GF263" i="5"/>
  <c r="GG263" i="5"/>
  <c r="GH263" i="5"/>
  <c r="GI263" i="5"/>
  <c r="GJ263" i="5"/>
  <c r="GK263" i="5"/>
  <c r="GL263" i="5"/>
  <c r="GM263" i="5"/>
  <c r="GN263" i="5"/>
  <c r="GO263" i="5"/>
  <c r="GP263" i="5"/>
  <c r="GQ263" i="5"/>
  <c r="GR263" i="5"/>
  <c r="GS263" i="5"/>
  <c r="GT263" i="5"/>
  <c r="GU263" i="5"/>
  <c r="GV263" i="5"/>
  <c r="GW263" i="5"/>
  <c r="GX263" i="5"/>
  <c r="GY263" i="5"/>
  <c r="GZ263" i="5"/>
  <c r="HA263" i="5"/>
  <c r="HB263" i="5"/>
  <c r="HC263" i="5"/>
  <c r="HD263" i="5"/>
  <c r="HE263" i="5"/>
  <c r="HF263" i="5"/>
  <c r="HG263" i="5"/>
  <c r="A264" i="5"/>
  <c r="B264" i="5"/>
  <c r="C264" i="5"/>
  <c r="D264" i="5"/>
  <c r="E264" i="5"/>
  <c r="F264" i="5"/>
  <c r="G264" i="5"/>
  <c r="H264" i="5"/>
  <c r="I264" i="5"/>
  <c r="J264" i="5"/>
  <c r="K264" i="5"/>
  <c r="L264" i="5"/>
  <c r="M264" i="5"/>
  <c r="N264" i="5"/>
  <c r="O264" i="5"/>
  <c r="P264" i="5"/>
  <c r="Q264" i="5"/>
  <c r="R264" i="5"/>
  <c r="S264" i="5"/>
  <c r="T264" i="5"/>
  <c r="U264" i="5"/>
  <c r="V264" i="5"/>
  <c r="W264" i="5"/>
  <c r="X264" i="5"/>
  <c r="Y264" i="5"/>
  <c r="Z264" i="5"/>
  <c r="AA264" i="5"/>
  <c r="AB264" i="5"/>
  <c r="AC264" i="5"/>
  <c r="AD264" i="5"/>
  <c r="AE264" i="5"/>
  <c r="AF264" i="5"/>
  <c r="AG264" i="5"/>
  <c r="AH264" i="5"/>
  <c r="AI264" i="5"/>
  <c r="AJ264" i="5"/>
  <c r="AK264" i="5"/>
  <c r="AL264" i="5"/>
  <c r="AM264" i="5"/>
  <c r="AN264" i="5"/>
  <c r="AO264" i="5"/>
  <c r="AP264" i="5"/>
  <c r="AQ264" i="5"/>
  <c r="AR264" i="5"/>
  <c r="AS264" i="5"/>
  <c r="AT264" i="5"/>
  <c r="AU264" i="5"/>
  <c r="AV264" i="5"/>
  <c r="AW264" i="5"/>
  <c r="AX264" i="5"/>
  <c r="AY264" i="5"/>
  <c r="AZ264" i="5"/>
  <c r="BA264" i="5"/>
  <c r="BB264" i="5"/>
  <c r="BC264" i="5"/>
  <c r="BD264" i="5"/>
  <c r="BE264" i="5"/>
  <c r="BF264" i="5"/>
  <c r="BG264" i="5"/>
  <c r="BH264" i="5"/>
  <c r="BI264" i="5"/>
  <c r="BJ264" i="5"/>
  <c r="BK264" i="5"/>
  <c r="BL264" i="5"/>
  <c r="BM264" i="5"/>
  <c r="BN264" i="5"/>
  <c r="BO264" i="5"/>
  <c r="BP264" i="5"/>
  <c r="BQ264" i="5"/>
  <c r="BR264" i="5"/>
  <c r="BS264" i="5"/>
  <c r="BT264" i="5"/>
  <c r="BU264" i="5"/>
  <c r="BV264" i="5"/>
  <c r="BW264" i="5"/>
  <c r="BX264" i="5"/>
  <c r="BY264" i="5"/>
  <c r="BZ264" i="5"/>
  <c r="CA264" i="5"/>
  <c r="CB264" i="5"/>
  <c r="CC264" i="5"/>
  <c r="CD264" i="5"/>
  <c r="CE264" i="5"/>
  <c r="CF264" i="5"/>
  <c r="CG264" i="5"/>
  <c r="CH264" i="5"/>
  <c r="CI264" i="5"/>
  <c r="CJ264" i="5"/>
  <c r="CK264" i="5"/>
  <c r="CL264" i="5"/>
  <c r="CM264" i="5"/>
  <c r="CN264" i="5"/>
  <c r="CO264" i="5"/>
  <c r="CP264" i="5"/>
  <c r="CQ264" i="5"/>
  <c r="CR264" i="5"/>
  <c r="CS264" i="5"/>
  <c r="CT264" i="5"/>
  <c r="CU264" i="5"/>
  <c r="CV264" i="5"/>
  <c r="CW264" i="5"/>
  <c r="CX264" i="5"/>
  <c r="CY264" i="5"/>
  <c r="CZ264" i="5"/>
  <c r="DA264" i="5"/>
  <c r="DB264" i="5"/>
  <c r="DC264" i="5"/>
  <c r="DD264" i="5"/>
  <c r="DE264" i="5"/>
  <c r="DF264" i="5"/>
  <c r="DG264" i="5"/>
  <c r="DH264" i="5"/>
  <c r="DI264" i="5"/>
  <c r="DJ264" i="5"/>
  <c r="DK264" i="5"/>
  <c r="DL264" i="5"/>
  <c r="DM264" i="5"/>
  <c r="DN264" i="5"/>
  <c r="DO264" i="5"/>
  <c r="DP264" i="5"/>
  <c r="DQ264" i="5"/>
  <c r="DR264" i="5"/>
  <c r="DS264" i="5"/>
  <c r="DT264" i="5"/>
  <c r="DU264" i="5"/>
  <c r="DV264" i="5"/>
  <c r="DW264" i="5"/>
  <c r="DX264" i="5"/>
  <c r="DY264" i="5"/>
  <c r="DZ264" i="5"/>
  <c r="EA264" i="5"/>
  <c r="EB264" i="5"/>
  <c r="EC264" i="5"/>
  <c r="ED264" i="5"/>
  <c r="EE264" i="5"/>
  <c r="EF264" i="5"/>
  <c r="EG264" i="5"/>
  <c r="EH264" i="5"/>
  <c r="EI264" i="5"/>
  <c r="EJ264" i="5"/>
  <c r="EK264" i="5"/>
  <c r="EL264" i="5"/>
  <c r="EM264" i="5"/>
  <c r="EN264" i="5"/>
  <c r="EO264" i="5"/>
  <c r="EP264" i="5"/>
  <c r="EQ264" i="5"/>
  <c r="ER264" i="5"/>
  <c r="ES264" i="5"/>
  <c r="ET264" i="5"/>
  <c r="EU264" i="5"/>
  <c r="EV264" i="5"/>
  <c r="EW264" i="5"/>
  <c r="EX264" i="5"/>
  <c r="EY264" i="5"/>
  <c r="EZ264" i="5"/>
  <c r="FA264" i="5"/>
  <c r="FB264" i="5"/>
  <c r="FC264" i="5"/>
  <c r="FD264" i="5"/>
  <c r="FE264" i="5"/>
  <c r="FF264" i="5"/>
  <c r="FG264" i="5"/>
  <c r="FH264" i="5"/>
  <c r="FI264" i="5"/>
  <c r="FJ264" i="5"/>
  <c r="FK264" i="5"/>
  <c r="FL264" i="5"/>
  <c r="FM264" i="5"/>
  <c r="FN264" i="5"/>
  <c r="FO264" i="5"/>
  <c r="FP264" i="5"/>
  <c r="FQ264" i="5"/>
  <c r="FR264" i="5"/>
  <c r="FS264" i="5"/>
  <c r="FT264" i="5"/>
  <c r="FU264" i="5"/>
  <c r="FV264" i="5"/>
  <c r="FW264" i="5"/>
  <c r="FX264" i="5"/>
  <c r="FY264" i="5"/>
  <c r="FZ264" i="5"/>
  <c r="GA264" i="5"/>
  <c r="GB264" i="5"/>
  <c r="GC264" i="5"/>
  <c r="GD264" i="5"/>
  <c r="GE264" i="5"/>
  <c r="GF264" i="5"/>
  <c r="GG264" i="5"/>
  <c r="GH264" i="5"/>
  <c r="GI264" i="5"/>
  <c r="GJ264" i="5"/>
  <c r="GK264" i="5"/>
  <c r="GL264" i="5"/>
  <c r="GM264" i="5"/>
  <c r="GN264" i="5"/>
  <c r="GO264" i="5"/>
  <c r="GP264" i="5"/>
  <c r="GQ264" i="5"/>
  <c r="GR264" i="5"/>
  <c r="GS264" i="5"/>
  <c r="GT264" i="5"/>
  <c r="GU264" i="5"/>
  <c r="GV264" i="5"/>
  <c r="GW264" i="5"/>
  <c r="GX264" i="5"/>
  <c r="GY264" i="5"/>
  <c r="GZ264" i="5"/>
  <c r="HA264" i="5"/>
  <c r="HB264" i="5"/>
  <c r="HC264" i="5"/>
  <c r="HD264" i="5"/>
  <c r="HE264" i="5"/>
  <c r="HF264" i="5"/>
  <c r="HG264" i="5"/>
  <c r="A265" i="5"/>
  <c r="B265" i="5"/>
  <c r="C265" i="5"/>
  <c r="D265" i="5"/>
  <c r="E265" i="5"/>
  <c r="F265" i="5"/>
  <c r="G265" i="5"/>
  <c r="H265" i="5"/>
  <c r="I265" i="5"/>
  <c r="J265" i="5"/>
  <c r="K265" i="5"/>
  <c r="L265" i="5"/>
  <c r="M265" i="5"/>
  <c r="N265" i="5"/>
  <c r="O265" i="5"/>
  <c r="P265" i="5"/>
  <c r="Q265" i="5"/>
  <c r="R265" i="5"/>
  <c r="S265" i="5"/>
  <c r="T265" i="5"/>
  <c r="U265" i="5"/>
  <c r="V265" i="5"/>
  <c r="W265" i="5"/>
  <c r="X265" i="5"/>
  <c r="Y265" i="5"/>
  <c r="Z265" i="5"/>
  <c r="AA265" i="5"/>
  <c r="AB265" i="5"/>
  <c r="AC265" i="5"/>
  <c r="AD265" i="5"/>
  <c r="AE265" i="5"/>
  <c r="AF265" i="5"/>
  <c r="AG265" i="5"/>
  <c r="AH265" i="5"/>
  <c r="AI265" i="5"/>
  <c r="AJ265" i="5"/>
  <c r="AK265" i="5"/>
  <c r="AL265" i="5"/>
  <c r="AM265" i="5"/>
  <c r="AN265" i="5"/>
  <c r="AO265" i="5"/>
  <c r="AP265" i="5"/>
  <c r="AQ265" i="5"/>
  <c r="AR265" i="5"/>
  <c r="AS265" i="5"/>
  <c r="AT265" i="5"/>
  <c r="AU265" i="5"/>
  <c r="AV265" i="5"/>
  <c r="AW265" i="5"/>
  <c r="AX265" i="5"/>
  <c r="AY265" i="5"/>
  <c r="AZ265" i="5"/>
  <c r="BA265" i="5"/>
  <c r="BB265" i="5"/>
  <c r="BC265" i="5"/>
  <c r="BD265" i="5"/>
  <c r="BE265" i="5"/>
  <c r="BF265" i="5"/>
  <c r="BG265" i="5"/>
  <c r="BH265" i="5"/>
  <c r="BI265" i="5"/>
  <c r="BJ265" i="5"/>
  <c r="BK265" i="5"/>
  <c r="BL265" i="5"/>
  <c r="BM265" i="5"/>
  <c r="BN265" i="5"/>
  <c r="BO265" i="5"/>
  <c r="BP265" i="5"/>
  <c r="BQ265" i="5"/>
  <c r="BR265" i="5"/>
  <c r="BS265" i="5"/>
  <c r="BT265" i="5"/>
  <c r="BU265" i="5"/>
  <c r="BV265" i="5"/>
  <c r="BW265" i="5"/>
  <c r="BX265" i="5"/>
  <c r="BY265" i="5"/>
  <c r="BZ265" i="5"/>
  <c r="CA265" i="5"/>
  <c r="CB265" i="5"/>
  <c r="CC265" i="5"/>
  <c r="CD265" i="5"/>
  <c r="CE265" i="5"/>
  <c r="CF265" i="5"/>
  <c r="CG265" i="5"/>
  <c r="CH265" i="5"/>
  <c r="CI265" i="5"/>
  <c r="CJ265" i="5"/>
  <c r="CK265" i="5"/>
  <c r="CL265" i="5"/>
  <c r="CM265" i="5"/>
  <c r="CN265" i="5"/>
  <c r="CO265" i="5"/>
  <c r="CP265" i="5"/>
  <c r="CQ265" i="5"/>
  <c r="CR265" i="5"/>
  <c r="CS265" i="5"/>
  <c r="CT265" i="5"/>
  <c r="CU265" i="5"/>
  <c r="CV265" i="5"/>
  <c r="CW265" i="5"/>
  <c r="CX265" i="5"/>
  <c r="CY265" i="5"/>
  <c r="CZ265" i="5"/>
  <c r="DA265" i="5"/>
  <c r="DB265" i="5"/>
  <c r="DC265" i="5"/>
  <c r="DD265" i="5"/>
  <c r="DE265" i="5"/>
  <c r="DF265" i="5"/>
  <c r="DG265" i="5"/>
  <c r="DH265" i="5"/>
  <c r="DI265" i="5"/>
  <c r="DJ265" i="5"/>
  <c r="DK265" i="5"/>
  <c r="DL265" i="5"/>
  <c r="DM265" i="5"/>
  <c r="DN265" i="5"/>
  <c r="DO265" i="5"/>
  <c r="DP265" i="5"/>
  <c r="DQ265" i="5"/>
  <c r="DR265" i="5"/>
  <c r="DS265" i="5"/>
  <c r="DT265" i="5"/>
  <c r="DU265" i="5"/>
  <c r="DV265" i="5"/>
  <c r="DW265" i="5"/>
  <c r="DX265" i="5"/>
  <c r="DY265" i="5"/>
  <c r="DZ265" i="5"/>
  <c r="EA265" i="5"/>
  <c r="EB265" i="5"/>
  <c r="EC265" i="5"/>
  <c r="ED265" i="5"/>
  <c r="EE265" i="5"/>
  <c r="EF265" i="5"/>
  <c r="EG265" i="5"/>
  <c r="EH265" i="5"/>
  <c r="EI265" i="5"/>
  <c r="EJ265" i="5"/>
  <c r="EK265" i="5"/>
  <c r="EL265" i="5"/>
  <c r="EM265" i="5"/>
  <c r="EN265" i="5"/>
  <c r="EO265" i="5"/>
  <c r="EP265" i="5"/>
  <c r="EQ265" i="5"/>
  <c r="ER265" i="5"/>
  <c r="ES265" i="5"/>
  <c r="ET265" i="5"/>
  <c r="EU265" i="5"/>
  <c r="EV265" i="5"/>
  <c r="EW265" i="5"/>
  <c r="EX265" i="5"/>
  <c r="EY265" i="5"/>
  <c r="EZ265" i="5"/>
  <c r="FA265" i="5"/>
  <c r="FB265" i="5"/>
  <c r="FC265" i="5"/>
  <c r="FD265" i="5"/>
  <c r="FE265" i="5"/>
  <c r="FF265" i="5"/>
  <c r="FG265" i="5"/>
  <c r="FH265" i="5"/>
  <c r="FI265" i="5"/>
  <c r="FJ265" i="5"/>
  <c r="FK265" i="5"/>
  <c r="FL265" i="5"/>
  <c r="FM265" i="5"/>
  <c r="FN265" i="5"/>
  <c r="FO265" i="5"/>
  <c r="FP265" i="5"/>
  <c r="FQ265" i="5"/>
  <c r="FR265" i="5"/>
  <c r="FS265" i="5"/>
  <c r="FT265" i="5"/>
  <c r="FU265" i="5"/>
  <c r="FV265" i="5"/>
  <c r="FW265" i="5"/>
  <c r="FX265" i="5"/>
  <c r="FY265" i="5"/>
  <c r="FZ265" i="5"/>
  <c r="GA265" i="5"/>
  <c r="GB265" i="5"/>
  <c r="GC265" i="5"/>
  <c r="GD265" i="5"/>
  <c r="GE265" i="5"/>
  <c r="GF265" i="5"/>
  <c r="GG265" i="5"/>
  <c r="GH265" i="5"/>
  <c r="GI265" i="5"/>
  <c r="GJ265" i="5"/>
  <c r="GK265" i="5"/>
  <c r="GL265" i="5"/>
  <c r="GM265" i="5"/>
  <c r="GN265" i="5"/>
  <c r="GO265" i="5"/>
  <c r="GP265" i="5"/>
  <c r="GQ265" i="5"/>
  <c r="GR265" i="5"/>
  <c r="GS265" i="5"/>
  <c r="GT265" i="5"/>
  <c r="GU265" i="5"/>
  <c r="GV265" i="5"/>
  <c r="GW265" i="5"/>
  <c r="GX265" i="5"/>
  <c r="GY265" i="5"/>
  <c r="GZ265" i="5"/>
  <c r="HA265" i="5"/>
  <c r="HB265" i="5"/>
  <c r="HC265" i="5"/>
  <c r="HD265" i="5"/>
  <c r="HE265" i="5"/>
  <c r="HF265" i="5"/>
  <c r="HG265" i="5"/>
  <c r="A266" i="5"/>
  <c r="B266" i="5"/>
  <c r="C266" i="5"/>
  <c r="D266" i="5"/>
  <c r="E266" i="5"/>
  <c r="F266" i="5"/>
  <c r="G266" i="5"/>
  <c r="H266" i="5"/>
  <c r="I266" i="5"/>
  <c r="J266" i="5"/>
  <c r="K266" i="5"/>
  <c r="L266" i="5"/>
  <c r="M266" i="5"/>
  <c r="N266" i="5"/>
  <c r="O266" i="5"/>
  <c r="P266" i="5"/>
  <c r="Q266" i="5"/>
  <c r="R266" i="5"/>
  <c r="S266" i="5"/>
  <c r="T266" i="5"/>
  <c r="U266" i="5"/>
  <c r="V266" i="5"/>
  <c r="W266" i="5"/>
  <c r="X266" i="5"/>
  <c r="Y266" i="5"/>
  <c r="Z266" i="5"/>
  <c r="AA266" i="5"/>
  <c r="AB266" i="5"/>
  <c r="AC266" i="5"/>
  <c r="AD266" i="5"/>
  <c r="AE266" i="5"/>
  <c r="AF266" i="5"/>
  <c r="AG266" i="5"/>
  <c r="AH266" i="5"/>
  <c r="AI266" i="5"/>
  <c r="AJ266" i="5"/>
  <c r="AK266" i="5"/>
  <c r="AL266" i="5"/>
  <c r="AM266" i="5"/>
  <c r="AN266" i="5"/>
  <c r="AO266" i="5"/>
  <c r="AP266" i="5"/>
  <c r="AQ266" i="5"/>
  <c r="AR266" i="5"/>
  <c r="AS266" i="5"/>
  <c r="AT266" i="5"/>
  <c r="AU266" i="5"/>
  <c r="AV266" i="5"/>
  <c r="AW266" i="5"/>
  <c r="AX266" i="5"/>
  <c r="AY266" i="5"/>
  <c r="AZ266" i="5"/>
  <c r="BA266" i="5"/>
  <c r="BB266" i="5"/>
  <c r="BC266" i="5"/>
  <c r="BD266" i="5"/>
  <c r="BE266" i="5"/>
  <c r="BF266" i="5"/>
  <c r="BG266" i="5"/>
  <c r="BH266" i="5"/>
  <c r="BI266" i="5"/>
  <c r="BJ266" i="5"/>
  <c r="BK266" i="5"/>
  <c r="BL266" i="5"/>
  <c r="BM266" i="5"/>
  <c r="BN266" i="5"/>
  <c r="BO266" i="5"/>
  <c r="BP266" i="5"/>
  <c r="BQ266" i="5"/>
  <c r="BR266" i="5"/>
  <c r="BS266" i="5"/>
  <c r="BT266" i="5"/>
  <c r="BU266" i="5"/>
  <c r="BV266" i="5"/>
  <c r="BW266" i="5"/>
  <c r="BX266" i="5"/>
  <c r="BY266" i="5"/>
  <c r="BZ266" i="5"/>
  <c r="CA266" i="5"/>
  <c r="CB266" i="5"/>
  <c r="CC266" i="5"/>
  <c r="CD266" i="5"/>
  <c r="CE266" i="5"/>
  <c r="CF266" i="5"/>
  <c r="CG266" i="5"/>
  <c r="CH266" i="5"/>
  <c r="CI266" i="5"/>
  <c r="CJ266" i="5"/>
  <c r="CK266" i="5"/>
  <c r="CL266" i="5"/>
  <c r="CM266" i="5"/>
  <c r="CN266" i="5"/>
  <c r="CO266" i="5"/>
  <c r="CP266" i="5"/>
  <c r="CQ266" i="5"/>
  <c r="CR266" i="5"/>
  <c r="CS266" i="5"/>
  <c r="CT266" i="5"/>
  <c r="CU266" i="5"/>
  <c r="CV266" i="5"/>
  <c r="CW266" i="5"/>
  <c r="CX266" i="5"/>
  <c r="CY266" i="5"/>
  <c r="CZ266" i="5"/>
  <c r="DA266" i="5"/>
  <c r="DB266" i="5"/>
  <c r="DC266" i="5"/>
  <c r="DD266" i="5"/>
  <c r="DE266" i="5"/>
  <c r="DF266" i="5"/>
  <c r="DG266" i="5"/>
  <c r="DH266" i="5"/>
  <c r="DI266" i="5"/>
  <c r="DJ266" i="5"/>
  <c r="DK266" i="5"/>
  <c r="DL266" i="5"/>
  <c r="DM266" i="5"/>
  <c r="DN266" i="5"/>
  <c r="DO266" i="5"/>
  <c r="DP266" i="5"/>
  <c r="DQ266" i="5"/>
  <c r="DR266" i="5"/>
  <c r="DS266" i="5"/>
  <c r="DT266" i="5"/>
  <c r="DU266" i="5"/>
  <c r="DV266" i="5"/>
  <c r="DW266" i="5"/>
  <c r="DX266" i="5"/>
  <c r="DY266" i="5"/>
  <c r="DZ266" i="5"/>
  <c r="EA266" i="5"/>
  <c r="EB266" i="5"/>
  <c r="EC266" i="5"/>
  <c r="ED266" i="5"/>
  <c r="EE266" i="5"/>
  <c r="EF266" i="5"/>
  <c r="EG266" i="5"/>
  <c r="EH266" i="5"/>
  <c r="EI266" i="5"/>
  <c r="EJ266" i="5"/>
  <c r="EK266" i="5"/>
  <c r="EL266" i="5"/>
  <c r="EM266" i="5"/>
  <c r="EN266" i="5"/>
  <c r="EO266" i="5"/>
  <c r="EP266" i="5"/>
  <c r="EQ266" i="5"/>
  <c r="ER266" i="5"/>
  <c r="ES266" i="5"/>
  <c r="ET266" i="5"/>
  <c r="EU266" i="5"/>
  <c r="EV266" i="5"/>
  <c r="EW266" i="5"/>
  <c r="EX266" i="5"/>
  <c r="EY266" i="5"/>
  <c r="EZ266" i="5"/>
  <c r="FA266" i="5"/>
  <c r="FB266" i="5"/>
  <c r="FC266" i="5"/>
  <c r="FD266" i="5"/>
  <c r="FE266" i="5"/>
  <c r="FF266" i="5"/>
  <c r="FG266" i="5"/>
  <c r="FH266" i="5"/>
  <c r="FI266" i="5"/>
  <c r="FJ266" i="5"/>
  <c r="FK266" i="5"/>
  <c r="FL266" i="5"/>
  <c r="FM266" i="5"/>
  <c r="FN266" i="5"/>
  <c r="FO266" i="5"/>
  <c r="FP266" i="5"/>
  <c r="FQ266" i="5"/>
  <c r="FR266" i="5"/>
  <c r="FS266" i="5"/>
  <c r="FT266" i="5"/>
  <c r="FU266" i="5"/>
  <c r="FV266" i="5"/>
  <c r="FW266" i="5"/>
  <c r="FX266" i="5"/>
  <c r="FY266" i="5"/>
  <c r="FZ266" i="5"/>
  <c r="GA266" i="5"/>
  <c r="GB266" i="5"/>
  <c r="GC266" i="5"/>
  <c r="GD266" i="5"/>
  <c r="GE266" i="5"/>
  <c r="GF266" i="5"/>
  <c r="GG266" i="5"/>
  <c r="GH266" i="5"/>
  <c r="GI266" i="5"/>
  <c r="GJ266" i="5"/>
  <c r="GK266" i="5"/>
  <c r="GL266" i="5"/>
  <c r="GM266" i="5"/>
  <c r="GN266" i="5"/>
  <c r="GO266" i="5"/>
  <c r="GP266" i="5"/>
  <c r="GQ266" i="5"/>
  <c r="GR266" i="5"/>
  <c r="GS266" i="5"/>
  <c r="GT266" i="5"/>
  <c r="GU266" i="5"/>
  <c r="GV266" i="5"/>
  <c r="GW266" i="5"/>
  <c r="GX266" i="5"/>
  <c r="GY266" i="5"/>
  <c r="GZ266" i="5"/>
  <c r="HA266" i="5"/>
  <c r="HB266" i="5"/>
  <c r="HC266" i="5"/>
  <c r="HD266" i="5"/>
  <c r="HE266" i="5"/>
  <c r="HF266" i="5"/>
  <c r="HG266" i="5"/>
  <c r="A267" i="5"/>
  <c r="B267" i="5"/>
  <c r="C267" i="5"/>
  <c r="D267" i="5"/>
  <c r="E267" i="5"/>
  <c r="F267" i="5"/>
  <c r="G267" i="5"/>
  <c r="H267" i="5"/>
  <c r="I267" i="5"/>
  <c r="J267" i="5"/>
  <c r="K267" i="5"/>
  <c r="L267" i="5"/>
  <c r="M267" i="5"/>
  <c r="N267" i="5"/>
  <c r="O267" i="5"/>
  <c r="P267" i="5"/>
  <c r="Q267" i="5"/>
  <c r="R267" i="5"/>
  <c r="S267" i="5"/>
  <c r="T267" i="5"/>
  <c r="U267" i="5"/>
  <c r="V267" i="5"/>
  <c r="W267" i="5"/>
  <c r="X267" i="5"/>
  <c r="Y267" i="5"/>
  <c r="Z267" i="5"/>
  <c r="AA267" i="5"/>
  <c r="AB267" i="5"/>
  <c r="AC267" i="5"/>
  <c r="AD267" i="5"/>
  <c r="AE267" i="5"/>
  <c r="AF267" i="5"/>
  <c r="AG267" i="5"/>
  <c r="AH267" i="5"/>
  <c r="AI267" i="5"/>
  <c r="AJ267" i="5"/>
  <c r="AK267" i="5"/>
  <c r="AL267" i="5"/>
  <c r="AM267" i="5"/>
  <c r="AN267" i="5"/>
  <c r="AO267" i="5"/>
  <c r="AP267" i="5"/>
  <c r="AQ267" i="5"/>
  <c r="AR267" i="5"/>
  <c r="AS267" i="5"/>
  <c r="AT267" i="5"/>
  <c r="AU267" i="5"/>
  <c r="AV267" i="5"/>
  <c r="AW267" i="5"/>
  <c r="AX267" i="5"/>
  <c r="AY267" i="5"/>
  <c r="AZ267" i="5"/>
  <c r="BA267" i="5"/>
  <c r="BB267" i="5"/>
  <c r="BC267" i="5"/>
  <c r="BD267" i="5"/>
  <c r="BE267" i="5"/>
  <c r="BF267" i="5"/>
  <c r="BG267" i="5"/>
  <c r="BH267" i="5"/>
  <c r="BI267" i="5"/>
  <c r="BJ267" i="5"/>
  <c r="BK267" i="5"/>
  <c r="BL267" i="5"/>
  <c r="BM267" i="5"/>
  <c r="BN267" i="5"/>
  <c r="BO267" i="5"/>
  <c r="BP267" i="5"/>
  <c r="BQ267" i="5"/>
  <c r="BR267" i="5"/>
  <c r="BS267" i="5"/>
  <c r="BT267" i="5"/>
  <c r="BU267" i="5"/>
  <c r="BV267" i="5"/>
  <c r="BW267" i="5"/>
  <c r="BX267" i="5"/>
  <c r="BY267" i="5"/>
  <c r="BZ267" i="5"/>
  <c r="CA267" i="5"/>
  <c r="CB267" i="5"/>
  <c r="CC267" i="5"/>
  <c r="CD267" i="5"/>
  <c r="CE267" i="5"/>
  <c r="CF267" i="5"/>
  <c r="CG267" i="5"/>
  <c r="CH267" i="5"/>
  <c r="CI267" i="5"/>
  <c r="CJ267" i="5"/>
  <c r="CK267" i="5"/>
  <c r="CL267" i="5"/>
  <c r="CM267" i="5"/>
  <c r="CN267" i="5"/>
  <c r="CO267" i="5"/>
  <c r="CP267" i="5"/>
  <c r="CQ267" i="5"/>
  <c r="CR267" i="5"/>
  <c r="CS267" i="5"/>
  <c r="CT267" i="5"/>
  <c r="CU267" i="5"/>
  <c r="CV267" i="5"/>
  <c r="CW267" i="5"/>
  <c r="CX267" i="5"/>
  <c r="CY267" i="5"/>
  <c r="CZ267" i="5"/>
  <c r="DA267" i="5"/>
  <c r="DB267" i="5"/>
  <c r="DC267" i="5"/>
  <c r="DD267" i="5"/>
  <c r="DE267" i="5"/>
  <c r="DF267" i="5"/>
  <c r="DG267" i="5"/>
  <c r="DH267" i="5"/>
  <c r="DI267" i="5"/>
  <c r="DJ267" i="5"/>
  <c r="DK267" i="5"/>
  <c r="DL267" i="5"/>
  <c r="DM267" i="5"/>
  <c r="DN267" i="5"/>
  <c r="DO267" i="5"/>
  <c r="DP267" i="5"/>
  <c r="DQ267" i="5"/>
  <c r="DR267" i="5"/>
  <c r="DS267" i="5"/>
  <c r="DT267" i="5"/>
  <c r="DU267" i="5"/>
  <c r="DV267" i="5"/>
  <c r="DW267" i="5"/>
  <c r="DX267" i="5"/>
  <c r="DY267" i="5"/>
  <c r="DZ267" i="5"/>
  <c r="EA267" i="5"/>
  <c r="EB267" i="5"/>
  <c r="EC267" i="5"/>
  <c r="ED267" i="5"/>
  <c r="EE267" i="5"/>
  <c r="EF267" i="5"/>
  <c r="EG267" i="5"/>
  <c r="EH267" i="5"/>
  <c r="EI267" i="5"/>
  <c r="EJ267" i="5"/>
  <c r="EK267" i="5"/>
  <c r="EL267" i="5"/>
  <c r="EM267" i="5"/>
  <c r="EN267" i="5"/>
  <c r="EO267" i="5"/>
  <c r="EP267" i="5"/>
  <c r="EQ267" i="5"/>
  <c r="ER267" i="5"/>
  <c r="ES267" i="5"/>
  <c r="ET267" i="5"/>
  <c r="EU267" i="5"/>
  <c r="EV267" i="5"/>
  <c r="EW267" i="5"/>
  <c r="EX267" i="5"/>
  <c r="EY267" i="5"/>
  <c r="EZ267" i="5"/>
  <c r="FA267" i="5"/>
  <c r="FB267" i="5"/>
  <c r="FC267" i="5"/>
  <c r="FD267" i="5"/>
  <c r="FE267" i="5"/>
  <c r="FF267" i="5"/>
  <c r="FG267" i="5"/>
  <c r="FH267" i="5"/>
  <c r="FI267" i="5"/>
  <c r="FJ267" i="5"/>
  <c r="FK267" i="5"/>
  <c r="FL267" i="5"/>
  <c r="FM267" i="5"/>
  <c r="FN267" i="5"/>
  <c r="FO267" i="5"/>
  <c r="FP267" i="5"/>
  <c r="FQ267" i="5"/>
  <c r="FR267" i="5"/>
  <c r="FS267" i="5"/>
  <c r="FT267" i="5"/>
  <c r="FU267" i="5"/>
  <c r="FV267" i="5"/>
  <c r="FW267" i="5"/>
  <c r="FX267" i="5"/>
  <c r="FY267" i="5"/>
  <c r="FZ267" i="5"/>
  <c r="GA267" i="5"/>
  <c r="GB267" i="5"/>
  <c r="GC267" i="5"/>
  <c r="GD267" i="5"/>
  <c r="GE267" i="5"/>
  <c r="GF267" i="5"/>
  <c r="GG267" i="5"/>
  <c r="GH267" i="5"/>
  <c r="GI267" i="5"/>
  <c r="GJ267" i="5"/>
  <c r="GK267" i="5"/>
  <c r="GL267" i="5"/>
  <c r="GM267" i="5"/>
  <c r="GN267" i="5"/>
  <c r="GO267" i="5"/>
  <c r="GP267" i="5"/>
  <c r="GQ267" i="5"/>
  <c r="GR267" i="5"/>
  <c r="GS267" i="5"/>
  <c r="GT267" i="5"/>
  <c r="GU267" i="5"/>
  <c r="GV267" i="5"/>
  <c r="GW267" i="5"/>
  <c r="GX267" i="5"/>
  <c r="GY267" i="5"/>
  <c r="GZ267" i="5"/>
  <c r="HA267" i="5"/>
  <c r="HB267" i="5"/>
  <c r="HC267" i="5"/>
  <c r="HD267" i="5"/>
  <c r="HE267" i="5"/>
  <c r="HF267" i="5"/>
  <c r="HG267" i="5"/>
  <c r="A268" i="5"/>
  <c r="B268" i="5"/>
  <c r="C268" i="5"/>
  <c r="D268" i="5"/>
  <c r="E268" i="5"/>
  <c r="F268" i="5"/>
  <c r="G268" i="5"/>
  <c r="H268" i="5"/>
  <c r="I268" i="5"/>
  <c r="J268" i="5"/>
  <c r="K268" i="5"/>
  <c r="L268" i="5"/>
  <c r="M268" i="5"/>
  <c r="N268" i="5"/>
  <c r="O268" i="5"/>
  <c r="P268" i="5"/>
  <c r="Q268" i="5"/>
  <c r="R268" i="5"/>
  <c r="S268" i="5"/>
  <c r="T268" i="5"/>
  <c r="U268" i="5"/>
  <c r="V268" i="5"/>
  <c r="W268" i="5"/>
  <c r="X268" i="5"/>
  <c r="Y268" i="5"/>
  <c r="Z268" i="5"/>
  <c r="AA268" i="5"/>
  <c r="AB268" i="5"/>
  <c r="AC268" i="5"/>
  <c r="AD268" i="5"/>
  <c r="AE268" i="5"/>
  <c r="AF268" i="5"/>
  <c r="AG268" i="5"/>
  <c r="AH268" i="5"/>
  <c r="AI268" i="5"/>
  <c r="AJ268" i="5"/>
  <c r="AK268" i="5"/>
  <c r="AL268" i="5"/>
  <c r="AM268" i="5"/>
  <c r="AN268" i="5"/>
  <c r="AO268" i="5"/>
  <c r="AP268" i="5"/>
  <c r="AQ268" i="5"/>
  <c r="AR268" i="5"/>
  <c r="AS268" i="5"/>
  <c r="AT268" i="5"/>
  <c r="AU268" i="5"/>
  <c r="AV268" i="5"/>
  <c r="AW268" i="5"/>
  <c r="AX268" i="5"/>
  <c r="AY268" i="5"/>
  <c r="AZ268" i="5"/>
  <c r="BA268" i="5"/>
  <c r="BB268" i="5"/>
  <c r="BC268" i="5"/>
  <c r="BD268" i="5"/>
  <c r="BE268" i="5"/>
  <c r="BF268" i="5"/>
  <c r="BG268" i="5"/>
  <c r="BH268" i="5"/>
  <c r="BI268" i="5"/>
  <c r="BJ268" i="5"/>
  <c r="BK268" i="5"/>
  <c r="BL268" i="5"/>
  <c r="BM268" i="5"/>
  <c r="BN268" i="5"/>
  <c r="BO268" i="5"/>
  <c r="BP268" i="5"/>
  <c r="BQ268" i="5"/>
  <c r="BR268" i="5"/>
  <c r="BS268" i="5"/>
  <c r="BT268" i="5"/>
  <c r="BU268" i="5"/>
  <c r="BV268" i="5"/>
  <c r="BW268" i="5"/>
  <c r="BX268" i="5"/>
  <c r="BY268" i="5"/>
  <c r="BZ268" i="5"/>
  <c r="CA268" i="5"/>
  <c r="CB268" i="5"/>
  <c r="CC268" i="5"/>
  <c r="CD268" i="5"/>
  <c r="CE268" i="5"/>
  <c r="CF268" i="5"/>
  <c r="CG268" i="5"/>
  <c r="CH268" i="5"/>
  <c r="CI268" i="5"/>
  <c r="CJ268" i="5"/>
  <c r="CK268" i="5"/>
  <c r="CL268" i="5"/>
  <c r="CM268" i="5"/>
  <c r="CN268" i="5"/>
  <c r="CO268" i="5"/>
  <c r="CP268" i="5"/>
  <c r="CQ268" i="5"/>
  <c r="CR268" i="5"/>
  <c r="CS268" i="5"/>
  <c r="CT268" i="5"/>
  <c r="CU268" i="5"/>
  <c r="CV268" i="5"/>
  <c r="CW268" i="5"/>
  <c r="CX268" i="5"/>
  <c r="CY268" i="5"/>
  <c r="CZ268" i="5"/>
  <c r="DA268" i="5"/>
  <c r="DB268" i="5"/>
  <c r="DC268" i="5"/>
  <c r="DD268" i="5"/>
  <c r="DE268" i="5"/>
  <c r="DF268" i="5"/>
  <c r="DG268" i="5"/>
  <c r="DH268" i="5"/>
  <c r="DI268" i="5"/>
  <c r="DJ268" i="5"/>
  <c r="DK268" i="5"/>
  <c r="DL268" i="5"/>
  <c r="DM268" i="5"/>
  <c r="DN268" i="5"/>
  <c r="DO268" i="5"/>
  <c r="DP268" i="5"/>
  <c r="DQ268" i="5"/>
  <c r="DR268" i="5"/>
  <c r="DS268" i="5"/>
  <c r="DT268" i="5"/>
  <c r="DU268" i="5"/>
  <c r="DV268" i="5"/>
  <c r="DW268" i="5"/>
  <c r="DX268" i="5"/>
  <c r="DY268" i="5"/>
  <c r="DZ268" i="5"/>
  <c r="EA268" i="5"/>
  <c r="EB268" i="5"/>
  <c r="EC268" i="5"/>
  <c r="ED268" i="5"/>
  <c r="EE268" i="5"/>
  <c r="EF268" i="5"/>
  <c r="EG268" i="5"/>
  <c r="EH268" i="5"/>
  <c r="EI268" i="5"/>
  <c r="EJ268" i="5"/>
  <c r="EK268" i="5"/>
  <c r="EL268" i="5"/>
  <c r="EM268" i="5"/>
  <c r="EN268" i="5"/>
  <c r="EO268" i="5"/>
  <c r="EP268" i="5"/>
  <c r="EQ268" i="5"/>
  <c r="ER268" i="5"/>
  <c r="ES268" i="5"/>
  <c r="ET268" i="5"/>
  <c r="EU268" i="5"/>
  <c r="EV268" i="5"/>
  <c r="EW268" i="5"/>
  <c r="EX268" i="5"/>
  <c r="EY268" i="5"/>
  <c r="EZ268" i="5"/>
  <c r="FA268" i="5"/>
  <c r="FB268" i="5"/>
  <c r="FC268" i="5"/>
  <c r="FD268" i="5"/>
  <c r="FE268" i="5"/>
  <c r="FF268" i="5"/>
  <c r="FG268" i="5"/>
  <c r="FH268" i="5"/>
  <c r="FI268" i="5"/>
  <c r="FJ268" i="5"/>
  <c r="FK268" i="5"/>
  <c r="FL268" i="5"/>
  <c r="FM268" i="5"/>
  <c r="FN268" i="5"/>
  <c r="FO268" i="5"/>
  <c r="FP268" i="5"/>
  <c r="FQ268" i="5"/>
  <c r="FR268" i="5"/>
  <c r="FS268" i="5"/>
  <c r="FT268" i="5"/>
  <c r="FU268" i="5"/>
  <c r="FV268" i="5"/>
  <c r="FW268" i="5"/>
  <c r="FX268" i="5"/>
  <c r="FY268" i="5"/>
  <c r="FZ268" i="5"/>
  <c r="GA268" i="5"/>
  <c r="GB268" i="5"/>
  <c r="GC268" i="5"/>
  <c r="GD268" i="5"/>
  <c r="GE268" i="5"/>
  <c r="GF268" i="5"/>
  <c r="GG268" i="5"/>
  <c r="GH268" i="5"/>
  <c r="GI268" i="5"/>
  <c r="GJ268" i="5"/>
  <c r="GK268" i="5"/>
  <c r="GL268" i="5"/>
  <c r="GM268" i="5"/>
  <c r="GN268" i="5"/>
  <c r="GO268" i="5"/>
  <c r="GP268" i="5"/>
  <c r="GQ268" i="5"/>
  <c r="GR268" i="5"/>
  <c r="GS268" i="5"/>
  <c r="GT268" i="5"/>
  <c r="GU268" i="5"/>
  <c r="GV268" i="5"/>
  <c r="GW268" i="5"/>
  <c r="GX268" i="5"/>
  <c r="GY268" i="5"/>
  <c r="GZ268" i="5"/>
  <c r="HA268" i="5"/>
  <c r="HB268" i="5"/>
  <c r="HC268" i="5"/>
  <c r="HD268" i="5"/>
  <c r="HE268" i="5"/>
  <c r="HF268" i="5"/>
  <c r="HG268" i="5"/>
  <c r="A269" i="5"/>
  <c r="B269" i="5"/>
  <c r="C269" i="5"/>
  <c r="D269" i="5"/>
  <c r="E269" i="5"/>
  <c r="F269" i="5"/>
  <c r="G269" i="5"/>
  <c r="H269" i="5"/>
  <c r="I269" i="5"/>
  <c r="J269" i="5"/>
  <c r="K269" i="5"/>
  <c r="L269" i="5"/>
  <c r="M269" i="5"/>
  <c r="N269" i="5"/>
  <c r="O269" i="5"/>
  <c r="P269" i="5"/>
  <c r="Q269" i="5"/>
  <c r="R269" i="5"/>
  <c r="S269" i="5"/>
  <c r="T269" i="5"/>
  <c r="U269" i="5"/>
  <c r="V269" i="5"/>
  <c r="W269" i="5"/>
  <c r="X269" i="5"/>
  <c r="Y269" i="5"/>
  <c r="Z269" i="5"/>
  <c r="AA269" i="5"/>
  <c r="AB269" i="5"/>
  <c r="AC269" i="5"/>
  <c r="AD269" i="5"/>
  <c r="AE269" i="5"/>
  <c r="AF269" i="5"/>
  <c r="AG269" i="5"/>
  <c r="AH269" i="5"/>
  <c r="AI269" i="5"/>
  <c r="AJ269" i="5"/>
  <c r="AK269" i="5"/>
  <c r="AL269" i="5"/>
  <c r="AM269" i="5"/>
  <c r="AN269" i="5"/>
  <c r="AO269" i="5"/>
  <c r="AP269" i="5"/>
  <c r="AQ269" i="5"/>
  <c r="AR269" i="5"/>
  <c r="AS269" i="5"/>
  <c r="AT269" i="5"/>
  <c r="AU269" i="5"/>
  <c r="AV269" i="5"/>
  <c r="AW269" i="5"/>
  <c r="AX269" i="5"/>
  <c r="AY269" i="5"/>
  <c r="AZ269" i="5"/>
  <c r="BA269" i="5"/>
  <c r="BB269" i="5"/>
  <c r="BC269" i="5"/>
  <c r="BD269" i="5"/>
  <c r="BE269" i="5"/>
  <c r="BF269" i="5"/>
  <c r="BG269" i="5"/>
  <c r="BH269" i="5"/>
  <c r="BI269" i="5"/>
  <c r="BJ269" i="5"/>
  <c r="BK269" i="5"/>
  <c r="BL269" i="5"/>
  <c r="BM269" i="5"/>
  <c r="BN269" i="5"/>
  <c r="BO269" i="5"/>
  <c r="BP269" i="5"/>
  <c r="BQ269" i="5"/>
  <c r="BR269" i="5"/>
  <c r="BS269" i="5"/>
  <c r="BT269" i="5"/>
  <c r="BU269" i="5"/>
  <c r="BV269" i="5"/>
  <c r="BW269" i="5"/>
  <c r="BX269" i="5"/>
  <c r="BY269" i="5"/>
  <c r="BZ269" i="5"/>
  <c r="CA269" i="5"/>
  <c r="CB269" i="5"/>
  <c r="CC269" i="5"/>
  <c r="CD269" i="5"/>
  <c r="CE269" i="5"/>
  <c r="CF269" i="5"/>
  <c r="CG269" i="5"/>
  <c r="CH269" i="5"/>
  <c r="CI269" i="5"/>
  <c r="CJ269" i="5"/>
  <c r="CK269" i="5"/>
  <c r="CL269" i="5"/>
  <c r="CM269" i="5"/>
  <c r="CN269" i="5"/>
  <c r="CO269" i="5"/>
  <c r="CP269" i="5"/>
  <c r="CQ269" i="5"/>
  <c r="CR269" i="5"/>
  <c r="CS269" i="5"/>
  <c r="CT269" i="5"/>
  <c r="CU269" i="5"/>
  <c r="CV269" i="5"/>
  <c r="CW269" i="5"/>
  <c r="CX269" i="5"/>
  <c r="CY269" i="5"/>
  <c r="CZ269" i="5"/>
  <c r="DA269" i="5"/>
  <c r="DB269" i="5"/>
  <c r="DC269" i="5"/>
  <c r="DD269" i="5"/>
  <c r="DE269" i="5"/>
  <c r="DF269" i="5"/>
  <c r="DG269" i="5"/>
  <c r="DH269" i="5"/>
  <c r="DI269" i="5"/>
  <c r="DJ269" i="5"/>
  <c r="DK269" i="5"/>
  <c r="DL269" i="5"/>
  <c r="DM269" i="5"/>
  <c r="DN269" i="5"/>
  <c r="DO269" i="5"/>
  <c r="DP269" i="5"/>
  <c r="DQ269" i="5"/>
  <c r="DR269" i="5"/>
  <c r="DS269" i="5"/>
  <c r="DT269" i="5"/>
  <c r="DU269" i="5"/>
  <c r="DV269" i="5"/>
  <c r="DW269" i="5"/>
  <c r="DX269" i="5"/>
  <c r="DY269" i="5"/>
  <c r="DZ269" i="5"/>
  <c r="EA269" i="5"/>
  <c r="EB269" i="5"/>
  <c r="EC269" i="5"/>
  <c r="ED269" i="5"/>
  <c r="EE269" i="5"/>
  <c r="EF269" i="5"/>
  <c r="EG269" i="5"/>
  <c r="EH269" i="5"/>
  <c r="EI269" i="5"/>
  <c r="EJ269" i="5"/>
  <c r="EK269" i="5"/>
  <c r="EL269" i="5"/>
  <c r="EM269" i="5"/>
  <c r="EN269" i="5"/>
  <c r="EO269" i="5"/>
  <c r="EP269" i="5"/>
  <c r="EQ269" i="5"/>
  <c r="ER269" i="5"/>
  <c r="ES269" i="5"/>
  <c r="ET269" i="5"/>
  <c r="EU269" i="5"/>
  <c r="EV269" i="5"/>
  <c r="EW269" i="5"/>
  <c r="EX269" i="5"/>
  <c r="EY269" i="5"/>
  <c r="EZ269" i="5"/>
  <c r="FA269" i="5"/>
  <c r="FB269" i="5"/>
  <c r="FC269" i="5"/>
  <c r="FD269" i="5"/>
  <c r="FE269" i="5"/>
  <c r="FF269" i="5"/>
  <c r="FG269" i="5"/>
  <c r="FH269" i="5"/>
  <c r="FI269" i="5"/>
  <c r="FJ269" i="5"/>
  <c r="FK269" i="5"/>
  <c r="FL269" i="5"/>
  <c r="FM269" i="5"/>
  <c r="FN269" i="5"/>
  <c r="FO269" i="5"/>
  <c r="FP269" i="5"/>
  <c r="FQ269" i="5"/>
  <c r="FR269" i="5"/>
  <c r="FS269" i="5"/>
  <c r="FT269" i="5"/>
  <c r="FU269" i="5"/>
  <c r="FV269" i="5"/>
  <c r="FW269" i="5"/>
  <c r="FX269" i="5"/>
  <c r="FY269" i="5"/>
  <c r="FZ269" i="5"/>
  <c r="GA269" i="5"/>
  <c r="GB269" i="5"/>
  <c r="GC269" i="5"/>
  <c r="GD269" i="5"/>
  <c r="GE269" i="5"/>
  <c r="GF269" i="5"/>
  <c r="GG269" i="5"/>
  <c r="GH269" i="5"/>
  <c r="GI269" i="5"/>
  <c r="GJ269" i="5"/>
  <c r="GK269" i="5"/>
  <c r="GL269" i="5"/>
  <c r="GM269" i="5"/>
  <c r="GN269" i="5"/>
  <c r="GO269" i="5"/>
  <c r="GP269" i="5"/>
  <c r="GQ269" i="5"/>
  <c r="GR269" i="5"/>
  <c r="GS269" i="5"/>
  <c r="GT269" i="5"/>
  <c r="GU269" i="5"/>
  <c r="GV269" i="5"/>
  <c r="GW269" i="5"/>
  <c r="GX269" i="5"/>
  <c r="GY269" i="5"/>
  <c r="GZ269" i="5"/>
  <c r="HA269" i="5"/>
  <c r="HB269" i="5"/>
  <c r="HC269" i="5"/>
  <c r="HD269" i="5"/>
  <c r="HE269" i="5"/>
  <c r="HF269" i="5"/>
  <c r="HG269" i="5"/>
  <c r="A270" i="5"/>
  <c r="B270" i="5"/>
  <c r="C270" i="5"/>
  <c r="D270" i="5"/>
  <c r="E270" i="5"/>
  <c r="F270" i="5"/>
  <c r="G270" i="5"/>
  <c r="H270" i="5"/>
  <c r="I270" i="5"/>
  <c r="J270" i="5"/>
  <c r="K270" i="5"/>
  <c r="L270" i="5"/>
  <c r="M270" i="5"/>
  <c r="N270" i="5"/>
  <c r="O270" i="5"/>
  <c r="P270" i="5"/>
  <c r="Q270" i="5"/>
  <c r="R270" i="5"/>
  <c r="S270" i="5"/>
  <c r="T270" i="5"/>
  <c r="U270" i="5"/>
  <c r="V270" i="5"/>
  <c r="W270" i="5"/>
  <c r="X270" i="5"/>
  <c r="Y270" i="5"/>
  <c r="Z270" i="5"/>
  <c r="AA270" i="5"/>
  <c r="AB270" i="5"/>
  <c r="AC270" i="5"/>
  <c r="AD270" i="5"/>
  <c r="AE270" i="5"/>
  <c r="AF270" i="5"/>
  <c r="AG270" i="5"/>
  <c r="AH270" i="5"/>
  <c r="AI270" i="5"/>
  <c r="AJ270" i="5"/>
  <c r="AK270" i="5"/>
  <c r="AL270" i="5"/>
  <c r="AM270" i="5"/>
  <c r="AN270" i="5"/>
  <c r="AO270" i="5"/>
  <c r="AP270" i="5"/>
  <c r="AQ270" i="5"/>
  <c r="AR270" i="5"/>
  <c r="AS270" i="5"/>
  <c r="AT270" i="5"/>
  <c r="AU270" i="5"/>
  <c r="AV270" i="5"/>
  <c r="AW270" i="5"/>
  <c r="AX270" i="5"/>
  <c r="AY270" i="5"/>
  <c r="AZ270" i="5"/>
  <c r="BA270" i="5"/>
  <c r="BB270" i="5"/>
  <c r="BC270" i="5"/>
  <c r="BD270" i="5"/>
  <c r="BE270" i="5"/>
  <c r="BF270" i="5"/>
  <c r="BG270" i="5"/>
  <c r="BH270" i="5"/>
  <c r="BI270" i="5"/>
  <c r="BJ270" i="5"/>
  <c r="BK270" i="5"/>
  <c r="BL270" i="5"/>
  <c r="BM270" i="5"/>
  <c r="BN270" i="5"/>
  <c r="BO270" i="5"/>
  <c r="BP270" i="5"/>
  <c r="BQ270" i="5"/>
  <c r="BR270" i="5"/>
  <c r="BS270" i="5"/>
  <c r="BT270" i="5"/>
  <c r="BU270" i="5"/>
  <c r="BV270" i="5"/>
  <c r="BW270" i="5"/>
  <c r="BX270" i="5"/>
  <c r="BY270" i="5"/>
  <c r="BZ270" i="5"/>
  <c r="CA270" i="5"/>
  <c r="CB270" i="5"/>
  <c r="CC270" i="5"/>
  <c r="CD270" i="5"/>
  <c r="CE270" i="5"/>
  <c r="CF270" i="5"/>
  <c r="CG270" i="5"/>
  <c r="CH270" i="5"/>
  <c r="CI270" i="5"/>
  <c r="CJ270" i="5"/>
  <c r="CK270" i="5"/>
  <c r="CL270" i="5"/>
  <c r="CM270" i="5"/>
  <c r="CN270" i="5"/>
  <c r="CO270" i="5"/>
  <c r="CP270" i="5"/>
  <c r="CQ270" i="5"/>
  <c r="CR270" i="5"/>
  <c r="CS270" i="5"/>
  <c r="CT270" i="5"/>
  <c r="CU270" i="5"/>
  <c r="CV270" i="5"/>
  <c r="CW270" i="5"/>
  <c r="CX270" i="5"/>
  <c r="CY270" i="5"/>
  <c r="CZ270" i="5"/>
  <c r="DA270" i="5"/>
  <c r="DB270" i="5"/>
  <c r="DC270" i="5"/>
  <c r="DD270" i="5"/>
  <c r="DE270" i="5"/>
  <c r="DF270" i="5"/>
  <c r="DG270" i="5"/>
  <c r="DH270" i="5"/>
  <c r="DI270" i="5"/>
  <c r="DJ270" i="5"/>
  <c r="DK270" i="5"/>
  <c r="DL270" i="5"/>
  <c r="DM270" i="5"/>
  <c r="DN270" i="5"/>
  <c r="DO270" i="5"/>
  <c r="DP270" i="5"/>
  <c r="DQ270" i="5"/>
  <c r="DR270" i="5"/>
  <c r="DS270" i="5"/>
  <c r="DT270" i="5"/>
  <c r="DU270" i="5"/>
  <c r="DV270" i="5"/>
  <c r="DW270" i="5"/>
  <c r="DX270" i="5"/>
  <c r="DY270" i="5"/>
  <c r="DZ270" i="5"/>
  <c r="EA270" i="5"/>
  <c r="EB270" i="5"/>
  <c r="EC270" i="5"/>
  <c r="ED270" i="5"/>
  <c r="EE270" i="5"/>
  <c r="EF270" i="5"/>
  <c r="EG270" i="5"/>
  <c r="EH270" i="5"/>
  <c r="EI270" i="5"/>
  <c r="EJ270" i="5"/>
  <c r="EK270" i="5"/>
  <c r="EL270" i="5"/>
  <c r="EM270" i="5"/>
  <c r="EN270" i="5"/>
  <c r="EO270" i="5"/>
  <c r="EP270" i="5"/>
  <c r="EQ270" i="5"/>
  <c r="ER270" i="5"/>
  <c r="ES270" i="5"/>
  <c r="ET270" i="5"/>
  <c r="EU270" i="5"/>
  <c r="EV270" i="5"/>
  <c r="EW270" i="5"/>
  <c r="EX270" i="5"/>
  <c r="EY270" i="5"/>
  <c r="EZ270" i="5"/>
  <c r="FA270" i="5"/>
  <c r="FB270" i="5"/>
  <c r="FC270" i="5"/>
  <c r="FD270" i="5"/>
  <c r="FE270" i="5"/>
  <c r="FF270" i="5"/>
  <c r="FG270" i="5"/>
  <c r="FH270" i="5"/>
  <c r="FI270" i="5"/>
  <c r="FJ270" i="5"/>
  <c r="FK270" i="5"/>
  <c r="FL270" i="5"/>
  <c r="FM270" i="5"/>
  <c r="FN270" i="5"/>
  <c r="FO270" i="5"/>
  <c r="FP270" i="5"/>
  <c r="FQ270" i="5"/>
  <c r="FR270" i="5"/>
  <c r="FS270" i="5"/>
  <c r="FT270" i="5"/>
  <c r="FU270" i="5"/>
  <c r="FV270" i="5"/>
  <c r="FW270" i="5"/>
  <c r="FX270" i="5"/>
  <c r="FY270" i="5"/>
  <c r="FZ270" i="5"/>
  <c r="GA270" i="5"/>
  <c r="GB270" i="5"/>
  <c r="GC270" i="5"/>
  <c r="GD270" i="5"/>
  <c r="GE270" i="5"/>
  <c r="GF270" i="5"/>
  <c r="GG270" i="5"/>
  <c r="GH270" i="5"/>
  <c r="GI270" i="5"/>
  <c r="GJ270" i="5"/>
  <c r="GK270" i="5"/>
  <c r="GL270" i="5"/>
  <c r="GM270" i="5"/>
  <c r="GN270" i="5"/>
  <c r="GO270" i="5"/>
  <c r="GP270" i="5"/>
  <c r="GQ270" i="5"/>
  <c r="GR270" i="5"/>
  <c r="GS270" i="5"/>
  <c r="GT270" i="5"/>
  <c r="GU270" i="5"/>
  <c r="GV270" i="5"/>
  <c r="GW270" i="5"/>
  <c r="GX270" i="5"/>
  <c r="GY270" i="5"/>
  <c r="GZ270" i="5"/>
  <c r="HA270" i="5"/>
  <c r="HB270" i="5"/>
  <c r="HC270" i="5"/>
  <c r="HD270" i="5"/>
  <c r="HE270" i="5"/>
  <c r="HF270" i="5"/>
  <c r="HG270" i="5"/>
  <c r="A271" i="5"/>
  <c r="B271" i="5"/>
  <c r="C271" i="5"/>
  <c r="D271" i="5"/>
  <c r="E271" i="5"/>
  <c r="F271" i="5"/>
  <c r="G271" i="5"/>
  <c r="H271" i="5"/>
  <c r="I271" i="5"/>
  <c r="J271" i="5"/>
  <c r="K271" i="5"/>
  <c r="L271" i="5"/>
  <c r="M271" i="5"/>
  <c r="N271" i="5"/>
  <c r="O271" i="5"/>
  <c r="P271" i="5"/>
  <c r="Q271" i="5"/>
  <c r="R271" i="5"/>
  <c r="S271" i="5"/>
  <c r="T271" i="5"/>
  <c r="U271" i="5"/>
  <c r="V271" i="5"/>
  <c r="W271" i="5"/>
  <c r="X271" i="5"/>
  <c r="Y271" i="5"/>
  <c r="Z271" i="5"/>
  <c r="AA271" i="5"/>
  <c r="AB271" i="5"/>
  <c r="AC271" i="5"/>
  <c r="AD271" i="5"/>
  <c r="AE271" i="5"/>
  <c r="AF271" i="5"/>
  <c r="AG271" i="5"/>
  <c r="AH271" i="5"/>
  <c r="AI271" i="5"/>
  <c r="AJ271" i="5"/>
  <c r="AK271" i="5"/>
  <c r="AL271" i="5"/>
  <c r="AM271" i="5"/>
  <c r="AN271" i="5"/>
  <c r="AO271" i="5"/>
  <c r="AP271" i="5"/>
  <c r="AQ271" i="5"/>
  <c r="AR271" i="5"/>
  <c r="AS271" i="5"/>
  <c r="AT271" i="5"/>
  <c r="AU271" i="5"/>
  <c r="AV271" i="5"/>
  <c r="AW271" i="5"/>
  <c r="AX271" i="5"/>
  <c r="AY271" i="5"/>
  <c r="AZ271" i="5"/>
  <c r="BA271" i="5"/>
  <c r="BB271" i="5"/>
  <c r="BC271" i="5"/>
  <c r="BD271" i="5"/>
  <c r="BE271" i="5"/>
  <c r="BF271" i="5"/>
  <c r="BG271" i="5"/>
  <c r="BH271" i="5"/>
  <c r="BI271" i="5"/>
  <c r="BJ271" i="5"/>
  <c r="BK271" i="5"/>
  <c r="BL271" i="5"/>
  <c r="BM271" i="5"/>
  <c r="BN271" i="5"/>
  <c r="BO271" i="5"/>
  <c r="BP271" i="5"/>
  <c r="BQ271" i="5"/>
  <c r="BR271" i="5"/>
  <c r="BS271" i="5"/>
  <c r="BT271" i="5"/>
  <c r="BU271" i="5"/>
  <c r="BV271" i="5"/>
  <c r="BW271" i="5"/>
  <c r="BX271" i="5"/>
  <c r="BY271" i="5"/>
  <c r="BZ271" i="5"/>
  <c r="CA271" i="5"/>
  <c r="CB271" i="5"/>
  <c r="CC271" i="5"/>
  <c r="CD271" i="5"/>
  <c r="CE271" i="5"/>
  <c r="CF271" i="5"/>
  <c r="CG271" i="5"/>
  <c r="CH271" i="5"/>
  <c r="CI271" i="5"/>
  <c r="CJ271" i="5"/>
  <c r="CK271" i="5"/>
  <c r="CL271" i="5"/>
  <c r="CM271" i="5"/>
  <c r="CN271" i="5"/>
  <c r="CO271" i="5"/>
  <c r="CP271" i="5"/>
  <c r="CQ271" i="5"/>
  <c r="CR271" i="5"/>
  <c r="CS271" i="5"/>
  <c r="CT271" i="5"/>
  <c r="CU271" i="5"/>
  <c r="CV271" i="5"/>
  <c r="CW271" i="5"/>
  <c r="CX271" i="5"/>
  <c r="CY271" i="5"/>
  <c r="CZ271" i="5"/>
  <c r="DA271" i="5"/>
  <c r="DB271" i="5"/>
  <c r="DC271" i="5"/>
  <c r="DD271" i="5"/>
  <c r="DE271" i="5"/>
  <c r="DF271" i="5"/>
  <c r="DG271" i="5"/>
  <c r="DH271" i="5"/>
  <c r="DI271" i="5"/>
  <c r="DJ271" i="5"/>
  <c r="DK271" i="5"/>
  <c r="DL271" i="5"/>
  <c r="DM271" i="5"/>
  <c r="DN271" i="5"/>
  <c r="DO271" i="5"/>
  <c r="DP271" i="5"/>
  <c r="DQ271" i="5"/>
  <c r="DR271" i="5"/>
  <c r="DS271" i="5"/>
  <c r="DT271" i="5"/>
  <c r="DU271" i="5"/>
  <c r="DV271" i="5"/>
  <c r="DW271" i="5"/>
  <c r="DX271" i="5"/>
  <c r="DY271" i="5"/>
  <c r="DZ271" i="5"/>
  <c r="EA271" i="5"/>
  <c r="EB271" i="5"/>
  <c r="EC271" i="5"/>
  <c r="ED271" i="5"/>
  <c r="EE271" i="5"/>
  <c r="EF271" i="5"/>
  <c r="EG271" i="5"/>
  <c r="EH271" i="5"/>
  <c r="EI271" i="5"/>
  <c r="EJ271" i="5"/>
  <c r="EK271" i="5"/>
  <c r="EL271" i="5"/>
  <c r="EM271" i="5"/>
  <c r="EN271" i="5"/>
  <c r="EO271" i="5"/>
  <c r="EP271" i="5"/>
  <c r="EQ271" i="5"/>
  <c r="ER271" i="5"/>
  <c r="ES271" i="5"/>
  <c r="ET271" i="5"/>
  <c r="EU271" i="5"/>
  <c r="EV271" i="5"/>
  <c r="EW271" i="5"/>
  <c r="EX271" i="5"/>
  <c r="EY271" i="5"/>
  <c r="EZ271" i="5"/>
  <c r="FA271" i="5"/>
  <c r="FB271" i="5"/>
  <c r="FC271" i="5"/>
  <c r="FD271" i="5"/>
  <c r="FE271" i="5"/>
  <c r="FF271" i="5"/>
  <c r="FG271" i="5"/>
  <c r="FH271" i="5"/>
  <c r="FI271" i="5"/>
  <c r="FJ271" i="5"/>
  <c r="FK271" i="5"/>
  <c r="FL271" i="5"/>
  <c r="FM271" i="5"/>
  <c r="FN271" i="5"/>
  <c r="FO271" i="5"/>
  <c r="FP271" i="5"/>
  <c r="FQ271" i="5"/>
  <c r="FR271" i="5"/>
  <c r="FS271" i="5"/>
  <c r="FT271" i="5"/>
  <c r="FU271" i="5"/>
  <c r="FV271" i="5"/>
  <c r="FW271" i="5"/>
  <c r="FX271" i="5"/>
  <c r="FY271" i="5"/>
  <c r="FZ271" i="5"/>
  <c r="GA271" i="5"/>
  <c r="GB271" i="5"/>
  <c r="GC271" i="5"/>
  <c r="GD271" i="5"/>
  <c r="GE271" i="5"/>
  <c r="GF271" i="5"/>
  <c r="GG271" i="5"/>
  <c r="GH271" i="5"/>
  <c r="GI271" i="5"/>
  <c r="GJ271" i="5"/>
  <c r="GK271" i="5"/>
  <c r="GL271" i="5"/>
  <c r="GM271" i="5"/>
  <c r="GN271" i="5"/>
  <c r="GO271" i="5"/>
  <c r="GP271" i="5"/>
  <c r="GQ271" i="5"/>
  <c r="GR271" i="5"/>
  <c r="GS271" i="5"/>
  <c r="GT271" i="5"/>
  <c r="GU271" i="5"/>
  <c r="GV271" i="5"/>
  <c r="GW271" i="5"/>
  <c r="GX271" i="5"/>
  <c r="GY271" i="5"/>
  <c r="GZ271" i="5"/>
  <c r="HA271" i="5"/>
  <c r="HB271" i="5"/>
  <c r="HC271" i="5"/>
  <c r="HD271" i="5"/>
  <c r="HE271" i="5"/>
  <c r="HF271" i="5"/>
  <c r="HG271" i="5"/>
  <c r="A272" i="5"/>
  <c r="B272" i="5"/>
  <c r="C272" i="5"/>
  <c r="D272" i="5"/>
  <c r="E272" i="5"/>
  <c r="F272" i="5"/>
  <c r="G272" i="5"/>
  <c r="H272" i="5"/>
  <c r="I272" i="5"/>
  <c r="J272" i="5"/>
  <c r="K272" i="5"/>
  <c r="L272" i="5"/>
  <c r="M272" i="5"/>
  <c r="N272" i="5"/>
  <c r="O272" i="5"/>
  <c r="P272" i="5"/>
  <c r="Q272" i="5"/>
  <c r="R272" i="5"/>
  <c r="S272" i="5"/>
  <c r="T272" i="5"/>
  <c r="U272" i="5"/>
  <c r="V272" i="5"/>
  <c r="W272" i="5"/>
  <c r="X272" i="5"/>
  <c r="Y272" i="5"/>
  <c r="Z272" i="5"/>
  <c r="AA272" i="5"/>
  <c r="AB272" i="5"/>
  <c r="AC272" i="5"/>
  <c r="AD272" i="5"/>
  <c r="AE272" i="5"/>
  <c r="AF272" i="5"/>
  <c r="AG272" i="5"/>
  <c r="AH272" i="5"/>
  <c r="AI272" i="5"/>
  <c r="AJ272" i="5"/>
  <c r="AK272" i="5"/>
  <c r="AL272" i="5"/>
  <c r="AM272" i="5"/>
  <c r="AN272" i="5"/>
  <c r="AO272" i="5"/>
  <c r="AP272" i="5"/>
  <c r="AQ272" i="5"/>
  <c r="AR272" i="5"/>
  <c r="AS272" i="5"/>
  <c r="AT272" i="5"/>
  <c r="AU272" i="5"/>
  <c r="AV272" i="5"/>
  <c r="AW272" i="5"/>
  <c r="AX272" i="5"/>
  <c r="AY272" i="5"/>
  <c r="AZ272" i="5"/>
  <c r="BA272" i="5"/>
  <c r="BB272" i="5"/>
  <c r="BC272" i="5"/>
  <c r="BD272" i="5"/>
  <c r="BE272" i="5"/>
  <c r="BF272" i="5"/>
  <c r="BG272" i="5"/>
  <c r="BH272" i="5"/>
  <c r="BI272" i="5"/>
  <c r="BJ272" i="5"/>
  <c r="BK272" i="5"/>
  <c r="BL272" i="5"/>
  <c r="BM272" i="5"/>
  <c r="BN272" i="5"/>
  <c r="BO272" i="5"/>
  <c r="BP272" i="5"/>
  <c r="BQ272" i="5"/>
  <c r="BR272" i="5"/>
  <c r="BS272" i="5"/>
  <c r="BT272" i="5"/>
  <c r="BU272" i="5"/>
  <c r="BV272" i="5"/>
  <c r="BW272" i="5"/>
  <c r="BX272" i="5"/>
  <c r="BY272" i="5"/>
  <c r="BZ272" i="5"/>
  <c r="CA272" i="5"/>
  <c r="CB272" i="5"/>
  <c r="CC272" i="5"/>
  <c r="CD272" i="5"/>
  <c r="CE272" i="5"/>
  <c r="CF272" i="5"/>
  <c r="CG272" i="5"/>
  <c r="CH272" i="5"/>
  <c r="CI272" i="5"/>
  <c r="CJ272" i="5"/>
  <c r="CK272" i="5"/>
  <c r="CL272" i="5"/>
  <c r="CM272" i="5"/>
  <c r="CN272" i="5"/>
  <c r="CO272" i="5"/>
  <c r="CP272" i="5"/>
  <c r="CQ272" i="5"/>
  <c r="CR272" i="5"/>
  <c r="CS272" i="5"/>
  <c r="CT272" i="5"/>
  <c r="CU272" i="5"/>
  <c r="CV272" i="5"/>
  <c r="CW272" i="5"/>
  <c r="CX272" i="5"/>
  <c r="CY272" i="5"/>
  <c r="CZ272" i="5"/>
  <c r="DA272" i="5"/>
  <c r="DB272" i="5"/>
  <c r="DC272" i="5"/>
  <c r="DD272" i="5"/>
  <c r="DE272" i="5"/>
  <c r="DF272" i="5"/>
  <c r="DG272" i="5"/>
  <c r="DH272" i="5"/>
  <c r="DI272" i="5"/>
  <c r="DJ272" i="5"/>
  <c r="DK272" i="5"/>
  <c r="DL272" i="5"/>
  <c r="DM272" i="5"/>
  <c r="DN272" i="5"/>
  <c r="DO272" i="5"/>
  <c r="DP272" i="5"/>
  <c r="DQ272" i="5"/>
  <c r="DR272" i="5"/>
  <c r="DS272" i="5"/>
  <c r="DT272" i="5"/>
  <c r="DU272" i="5"/>
  <c r="DV272" i="5"/>
  <c r="DW272" i="5"/>
  <c r="DX272" i="5"/>
  <c r="DY272" i="5"/>
  <c r="DZ272" i="5"/>
  <c r="EA272" i="5"/>
  <c r="EB272" i="5"/>
  <c r="EC272" i="5"/>
  <c r="ED272" i="5"/>
  <c r="EE272" i="5"/>
  <c r="EF272" i="5"/>
  <c r="EG272" i="5"/>
  <c r="EH272" i="5"/>
  <c r="EI272" i="5"/>
  <c r="EJ272" i="5"/>
  <c r="EK272" i="5"/>
  <c r="EL272" i="5"/>
  <c r="EM272" i="5"/>
  <c r="EN272" i="5"/>
  <c r="EO272" i="5"/>
  <c r="EP272" i="5"/>
  <c r="EQ272" i="5"/>
  <c r="ER272" i="5"/>
  <c r="ES272" i="5"/>
  <c r="ET272" i="5"/>
  <c r="EU272" i="5"/>
  <c r="EV272" i="5"/>
  <c r="EW272" i="5"/>
  <c r="EX272" i="5"/>
  <c r="EY272" i="5"/>
  <c r="EZ272" i="5"/>
  <c r="FA272" i="5"/>
  <c r="FB272" i="5"/>
  <c r="FC272" i="5"/>
  <c r="FD272" i="5"/>
  <c r="FE272" i="5"/>
  <c r="FF272" i="5"/>
  <c r="FG272" i="5"/>
  <c r="FH272" i="5"/>
  <c r="FI272" i="5"/>
  <c r="FJ272" i="5"/>
  <c r="FK272" i="5"/>
  <c r="FL272" i="5"/>
  <c r="FM272" i="5"/>
  <c r="FN272" i="5"/>
  <c r="FO272" i="5"/>
  <c r="FP272" i="5"/>
  <c r="FQ272" i="5"/>
  <c r="FR272" i="5"/>
  <c r="FS272" i="5"/>
  <c r="FT272" i="5"/>
  <c r="FU272" i="5"/>
  <c r="FV272" i="5"/>
  <c r="FW272" i="5"/>
  <c r="FX272" i="5"/>
  <c r="FY272" i="5"/>
  <c r="FZ272" i="5"/>
  <c r="GA272" i="5"/>
  <c r="GB272" i="5"/>
  <c r="GC272" i="5"/>
  <c r="GD272" i="5"/>
  <c r="GE272" i="5"/>
  <c r="GF272" i="5"/>
  <c r="GG272" i="5"/>
  <c r="GH272" i="5"/>
  <c r="GI272" i="5"/>
  <c r="GJ272" i="5"/>
  <c r="GK272" i="5"/>
  <c r="GL272" i="5"/>
  <c r="GM272" i="5"/>
  <c r="GN272" i="5"/>
  <c r="GO272" i="5"/>
  <c r="GP272" i="5"/>
  <c r="GQ272" i="5"/>
  <c r="GR272" i="5"/>
  <c r="GS272" i="5"/>
  <c r="GT272" i="5"/>
  <c r="GU272" i="5"/>
  <c r="GV272" i="5"/>
  <c r="GW272" i="5"/>
  <c r="GX272" i="5"/>
  <c r="GY272" i="5"/>
  <c r="GZ272" i="5"/>
  <c r="HA272" i="5"/>
  <c r="HB272" i="5"/>
  <c r="HC272" i="5"/>
  <c r="HD272" i="5"/>
  <c r="HE272" i="5"/>
  <c r="HF272" i="5"/>
  <c r="HG272" i="5"/>
  <c r="A273" i="5"/>
  <c r="B273" i="5"/>
  <c r="C273" i="5"/>
  <c r="D273" i="5"/>
  <c r="E273" i="5"/>
  <c r="F273" i="5"/>
  <c r="G273" i="5"/>
  <c r="H273" i="5"/>
  <c r="I273" i="5"/>
  <c r="J273" i="5"/>
  <c r="K273" i="5"/>
  <c r="L273" i="5"/>
  <c r="M273" i="5"/>
  <c r="N273" i="5"/>
  <c r="O273" i="5"/>
  <c r="P273" i="5"/>
  <c r="Q273" i="5"/>
  <c r="R273" i="5"/>
  <c r="S273" i="5"/>
  <c r="T273" i="5"/>
  <c r="U273" i="5"/>
  <c r="V273" i="5"/>
  <c r="W273" i="5"/>
  <c r="X273" i="5"/>
  <c r="Y273" i="5"/>
  <c r="Z273" i="5"/>
  <c r="AA273" i="5"/>
  <c r="AB273" i="5"/>
  <c r="AC273" i="5"/>
  <c r="AD273" i="5"/>
  <c r="AE273" i="5"/>
  <c r="AF273" i="5"/>
  <c r="AG273" i="5"/>
  <c r="AH273" i="5"/>
  <c r="AI273" i="5"/>
  <c r="AJ273" i="5"/>
  <c r="AK273" i="5"/>
  <c r="AL273" i="5"/>
  <c r="AM273" i="5"/>
  <c r="AN273" i="5"/>
  <c r="AO273" i="5"/>
  <c r="AP273" i="5"/>
  <c r="AQ273" i="5"/>
  <c r="AR273" i="5"/>
  <c r="AS273" i="5"/>
  <c r="AT273" i="5"/>
  <c r="AU273" i="5"/>
  <c r="AV273" i="5"/>
  <c r="AW273" i="5"/>
  <c r="AX273" i="5"/>
  <c r="AY273" i="5"/>
  <c r="AZ273" i="5"/>
  <c r="BA273" i="5"/>
  <c r="BB273" i="5"/>
  <c r="BC273" i="5"/>
  <c r="BD273" i="5"/>
  <c r="BE273" i="5"/>
  <c r="BF273" i="5"/>
  <c r="BG273" i="5"/>
  <c r="BH273" i="5"/>
  <c r="BI273" i="5"/>
  <c r="BJ273" i="5"/>
  <c r="BK273" i="5"/>
  <c r="BL273" i="5"/>
  <c r="BM273" i="5"/>
  <c r="BN273" i="5"/>
  <c r="BO273" i="5"/>
  <c r="BP273" i="5"/>
  <c r="BQ273" i="5"/>
  <c r="BR273" i="5"/>
  <c r="BS273" i="5"/>
  <c r="BT273" i="5"/>
  <c r="BU273" i="5"/>
  <c r="BV273" i="5"/>
  <c r="BW273" i="5"/>
  <c r="BX273" i="5"/>
  <c r="BY273" i="5"/>
  <c r="BZ273" i="5"/>
  <c r="CA273" i="5"/>
  <c r="CB273" i="5"/>
  <c r="CC273" i="5"/>
  <c r="CD273" i="5"/>
  <c r="CE273" i="5"/>
  <c r="CF273" i="5"/>
  <c r="CG273" i="5"/>
  <c r="CH273" i="5"/>
  <c r="CI273" i="5"/>
  <c r="CJ273" i="5"/>
  <c r="CK273" i="5"/>
  <c r="CL273" i="5"/>
  <c r="CM273" i="5"/>
  <c r="CN273" i="5"/>
  <c r="CO273" i="5"/>
  <c r="CP273" i="5"/>
  <c r="CQ273" i="5"/>
  <c r="CR273" i="5"/>
  <c r="CS273" i="5"/>
  <c r="CT273" i="5"/>
  <c r="CU273" i="5"/>
  <c r="CV273" i="5"/>
  <c r="CW273" i="5"/>
  <c r="CX273" i="5"/>
  <c r="CY273" i="5"/>
  <c r="CZ273" i="5"/>
  <c r="DA273" i="5"/>
  <c r="DB273" i="5"/>
  <c r="DC273" i="5"/>
  <c r="DD273" i="5"/>
  <c r="DE273" i="5"/>
  <c r="DF273" i="5"/>
  <c r="DG273" i="5"/>
  <c r="DH273" i="5"/>
  <c r="DI273" i="5"/>
  <c r="DJ273" i="5"/>
  <c r="DK273" i="5"/>
  <c r="DL273" i="5"/>
  <c r="DM273" i="5"/>
  <c r="DN273" i="5"/>
  <c r="DO273" i="5"/>
  <c r="DP273" i="5"/>
  <c r="DQ273" i="5"/>
  <c r="DR273" i="5"/>
  <c r="DS273" i="5"/>
  <c r="DT273" i="5"/>
  <c r="DU273" i="5"/>
  <c r="DV273" i="5"/>
  <c r="DW273" i="5"/>
  <c r="DX273" i="5"/>
  <c r="DY273" i="5"/>
  <c r="DZ273" i="5"/>
  <c r="EA273" i="5"/>
  <c r="EB273" i="5"/>
  <c r="EC273" i="5"/>
  <c r="ED273" i="5"/>
  <c r="EE273" i="5"/>
  <c r="EF273" i="5"/>
  <c r="EG273" i="5"/>
  <c r="EH273" i="5"/>
  <c r="EI273" i="5"/>
  <c r="EJ273" i="5"/>
  <c r="EK273" i="5"/>
  <c r="EL273" i="5"/>
  <c r="EM273" i="5"/>
  <c r="EN273" i="5"/>
  <c r="EO273" i="5"/>
  <c r="EP273" i="5"/>
  <c r="EQ273" i="5"/>
  <c r="ER273" i="5"/>
  <c r="ES273" i="5"/>
  <c r="ET273" i="5"/>
  <c r="EU273" i="5"/>
  <c r="EV273" i="5"/>
  <c r="EW273" i="5"/>
  <c r="EX273" i="5"/>
  <c r="EY273" i="5"/>
  <c r="EZ273" i="5"/>
  <c r="FA273" i="5"/>
  <c r="FB273" i="5"/>
  <c r="FC273" i="5"/>
  <c r="FD273" i="5"/>
  <c r="FE273" i="5"/>
  <c r="FF273" i="5"/>
  <c r="FG273" i="5"/>
  <c r="FH273" i="5"/>
  <c r="FI273" i="5"/>
  <c r="FJ273" i="5"/>
  <c r="FK273" i="5"/>
  <c r="FL273" i="5"/>
  <c r="FM273" i="5"/>
  <c r="FN273" i="5"/>
  <c r="FO273" i="5"/>
  <c r="FP273" i="5"/>
  <c r="FQ273" i="5"/>
  <c r="FR273" i="5"/>
  <c r="FS273" i="5"/>
  <c r="FT273" i="5"/>
  <c r="FU273" i="5"/>
  <c r="FV273" i="5"/>
  <c r="FW273" i="5"/>
  <c r="FX273" i="5"/>
  <c r="FY273" i="5"/>
  <c r="FZ273" i="5"/>
  <c r="GA273" i="5"/>
  <c r="GB273" i="5"/>
  <c r="GC273" i="5"/>
  <c r="GD273" i="5"/>
  <c r="GE273" i="5"/>
  <c r="GF273" i="5"/>
  <c r="GG273" i="5"/>
  <c r="GH273" i="5"/>
  <c r="GI273" i="5"/>
  <c r="GJ273" i="5"/>
  <c r="GK273" i="5"/>
  <c r="GL273" i="5"/>
  <c r="GM273" i="5"/>
  <c r="GN273" i="5"/>
  <c r="GO273" i="5"/>
  <c r="GP273" i="5"/>
  <c r="GQ273" i="5"/>
  <c r="GR273" i="5"/>
  <c r="GS273" i="5"/>
  <c r="GT273" i="5"/>
  <c r="GU273" i="5"/>
  <c r="GV273" i="5"/>
  <c r="GW273" i="5"/>
  <c r="GX273" i="5"/>
  <c r="GY273" i="5"/>
  <c r="GZ273" i="5"/>
  <c r="HA273" i="5"/>
  <c r="HB273" i="5"/>
  <c r="HC273" i="5"/>
  <c r="HD273" i="5"/>
  <c r="HE273" i="5"/>
  <c r="HF273" i="5"/>
  <c r="HG273" i="5"/>
  <c r="A274" i="5"/>
  <c r="B274" i="5"/>
  <c r="C274" i="5"/>
  <c r="D274" i="5"/>
  <c r="E274" i="5"/>
  <c r="F274" i="5"/>
  <c r="G274" i="5"/>
  <c r="H274" i="5"/>
  <c r="I274" i="5"/>
  <c r="J274" i="5"/>
  <c r="K274" i="5"/>
  <c r="L274" i="5"/>
  <c r="M274" i="5"/>
  <c r="N274" i="5"/>
  <c r="O274" i="5"/>
  <c r="P274" i="5"/>
  <c r="Q274" i="5"/>
  <c r="R274" i="5"/>
  <c r="S274" i="5"/>
  <c r="T274" i="5"/>
  <c r="U274" i="5"/>
  <c r="V274" i="5"/>
  <c r="W274" i="5"/>
  <c r="X274" i="5"/>
  <c r="Y274" i="5"/>
  <c r="Z274" i="5"/>
  <c r="AA274" i="5"/>
  <c r="AB274" i="5"/>
  <c r="AC274" i="5"/>
  <c r="AD274" i="5"/>
  <c r="AE274" i="5"/>
  <c r="AF274" i="5"/>
  <c r="AG274" i="5"/>
  <c r="AH274" i="5"/>
  <c r="AI274" i="5"/>
  <c r="AJ274" i="5"/>
  <c r="AK274" i="5"/>
  <c r="AL274" i="5"/>
  <c r="AM274" i="5"/>
  <c r="AN274" i="5"/>
  <c r="AO274" i="5"/>
  <c r="AP274" i="5"/>
  <c r="AQ274" i="5"/>
  <c r="AR274" i="5"/>
  <c r="AS274" i="5"/>
  <c r="AT274" i="5"/>
  <c r="AU274" i="5"/>
  <c r="AV274" i="5"/>
  <c r="AW274" i="5"/>
  <c r="AX274" i="5"/>
  <c r="AY274" i="5"/>
  <c r="AZ274" i="5"/>
  <c r="BA274" i="5"/>
  <c r="BB274" i="5"/>
  <c r="BC274" i="5"/>
  <c r="BD274" i="5"/>
  <c r="BE274" i="5"/>
  <c r="BF274" i="5"/>
  <c r="BG274" i="5"/>
  <c r="BH274" i="5"/>
  <c r="BI274" i="5"/>
  <c r="BJ274" i="5"/>
  <c r="BK274" i="5"/>
  <c r="BL274" i="5"/>
  <c r="BM274" i="5"/>
  <c r="BN274" i="5"/>
  <c r="BO274" i="5"/>
  <c r="BP274" i="5"/>
  <c r="BQ274" i="5"/>
  <c r="BR274" i="5"/>
  <c r="BS274" i="5"/>
  <c r="BT274" i="5"/>
  <c r="BU274" i="5"/>
  <c r="BV274" i="5"/>
  <c r="BW274" i="5"/>
  <c r="BX274" i="5"/>
  <c r="BY274" i="5"/>
  <c r="BZ274" i="5"/>
  <c r="CA274" i="5"/>
  <c r="CB274" i="5"/>
  <c r="CC274" i="5"/>
  <c r="CD274" i="5"/>
  <c r="CE274" i="5"/>
  <c r="CF274" i="5"/>
  <c r="CG274" i="5"/>
  <c r="CH274" i="5"/>
  <c r="CI274" i="5"/>
  <c r="CJ274" i="5"/>
  <c r="CK274" i="5"/>
  <c r="CL274" i="5"/>
  <c r="CM274" i="5"/>
  <c r="CN274" i="5"/>
  <c r="CO274" i="5"/>
  <c r="CP274" i="5"/>
  <c r="CQ274" i="5"/>
  <c r="CR274" i="5"/>
  <c r="CS274" i="5"/>
  <c r="CT274" i="5"/>
  <c r="CU274" i="5"/>
  <c r="CV274" i="5"/>
  <c r="CW274" i="5"/>
  <c r="CX274" i="5"/>
  <c r="CY274" i="5"/>
  <c r="CZ274" i="5"/>
  <c r="DA274" i="5"/>
  <c r="DB274" i="5"/>
  <c r="DC274" i="5"/>
  <c r="DD274" i="5"/>
  <c r="DE274" i="5"/>
  <c r="DF274" i="5"/>
  <c r="DG274" i="5"/>
  <c r="DH274" i="5"/>
  <c r="DI274" i="5"/>
  <c r="DJ274" i="5"/>
  <c r="DK274" i="5"/>
  <c r="DL274" i="5"/>
  <c r="DM274" i="5"/>
  <c r="DN274" i="5"/>
  <c r="DO274" i="5"/>
  <c r="DP274" i="5"/>
  <c r="DQ274" i="5"/>
  <c r="DR274" i="5"/>
  <c r="DS274" i="5"/>
  <c r="DT274" i="5"/>
  <c r="DU274" i="5"/>
  <c r="DV274" i="5"/>
  <c r="DW274" i="5"/>
  <c r="DX274" i="5"/>
  <c r="DY274" i="5"/>
  <c r="DZ274" i="5"/>
  <c r="EA274" i="5"/>
  <c r="EB274" i="5"/>
  <c r="EC274" i="5"/>
  <c r="ED274" i="5"/>
  <c r="EE274" i="5"/>
  <c r="EF274" i="5"/>
  <c r="EG274" i="5"/>
  <c r="EH274" i="5"/>
  <c r="EI274" i="5"/>
  <c r="EJ274" i="5"/>
  <c r="EK274" i="5"/>
  <c r="EL274" i="5"/>
  <c r="EM274" i="5"/>
  <c r="EN274" i="5"/>
  <c r="EO274" i="5"/>
  <c r="EP274" i="5"/>
  <c r="EQ274" i="5"/>
  <c r="ER274" i="5"/>
  <c r="ES274" i="5"/>
  <c r="ET274" i="5"/>
  <c r="EU274" i="5"/>
  <c r="EV274" i="5"/>
  <c r="EW274" i="5"/>
  <c r="EX274" i="5"/>
  <c r="EY274" i="5"/>
  <c r="EZ274" i="5"/>
  <c r="FA274" i="5"/>
  <c r="FB274" i="5"/>
  <c r="FC274" i="5"/>
  <c r="FD274" i="5"/>
  <c r="FE274" i="5"/>
  <c r="FF274" i="5"/>
  <c r="FG274" i="5"/>
  <c r="FH274" i="5"/>
  <c r="FI274" i="5"/>
  <c r="FJ274" i="5"/>
  <c r="FK274" i="5"/>
  <c r="FL274" i="5"/>
  <c r="FM274" i="5"/>
  <c r="FN274" i="5"/>
  <c r="FO274" i="5"/>
  <c r="FP274" i="5"/>
  <c r="FQ274" i="5"/>
  <c r="FR274" i="5"/>
  <c r="FS274" i="5"/>
  <c r="FT274" i="5"/>
  <c r="FU274" i="5"/>
  <c r="FV274" i="5"/>
  <c r="FW274" i="5"/>
  <c r="FX274" i="5"/>
  <c r="FY274" i="5"/>
  <c r="FZ274" i="5"/>
  <c r="GA274" i="5"/>
  <c r="GB274" i="5"/>
  <c r="GC274" i="5"/>
  <c r="GD274" i="5"/>
  <c r="GE274" i="5"/>
  <c r="GF274" i="5"/>
  <c r="GG274" i="5"/>
  <c r="GH274" i="5"/>
  <c r="GI274" i="5"/>
  <c r="GJ274" i="5"/>
  <c r="GK274" i="5"/>
  <c r="GL274" i="5"/>
  <c r="GM274" i="5"/>
  <c r="GN274" i="5"/>
  <c r="GO274" i="5"/>
  <c r="GP274" i="5"/>
  <c r="GQ274" i="5"/>
  <c r="GR274" i="5"/>
  <c r="GS274" i="5"/>
  <c r="GT274" i="5"/>
  <c r="GU274" i="5"/>
  <c r="GV274" i="5"/>
  <c r="GW274" i="5"/>
  <c r="GX274" i="5"/>
  <c r="GY274" i="5"/>
  <c r="GZ274" i="5"/>
  <c r="HA274" i="5"/>
  <c r="HB274" i="5"/>
  <c r="HC274" i="5"/>
  <c r="HD274" i="5"/>
  <c r="HE274" i="5"/>
  <c r="HF274" i="5"/>
  <c r="HG274" i="5"/>
  <c r="A275" i="5"/>
  <c r="B275" i="5"/>
  <c r="C275" i="5"/>
  <c r="D275" i="5"/>
  <c r="E275" i="5"/>
  <c r="F275" i="5"/>
  <c r="G275" i="5"/>
  <c r="H275" i="5"/>
  <c r="I275" i="5"/>
  <c r="J275" i="5"/>
  <c r="K275" i="5"/>
  <c r="L275" i="5"/>
  <c r="M275" i="5"/>
  <c r="N275" i="5"/>
  <c r="O275" i="5"/>
  <c r="P275" i="5"/>
  <c r="Q275" i="5"/>
  <c r="R275" i="5"/>
  <c r="S275" i="5"/>
  <c r="T275" i="5"/>
  <c r="U275" i="5"/>
  <c r="V275" i="5"/>
  <c r="W275" i="5"/>
  <c r="X275" i="5"/>
  <c r="Y275" i="5"/>
  <c r="Z275" i="5"/>
  <c r="AA275" i="5"/>
  <c r="AB275" i="5"/>
  <c r="AC275" i="5"/>
  <c r="AD275" i="5"/>
  <c r="AE275" i="5"/>
  <c r="AF275" i="5"/>
  <c r="AG275" i="5"/>
  <c r="AH275" i="5"/>
  <c r="AI275" i="5"/>
  <c r="AJ275" i="5"/>
  <c r="AK275" i="5"/>
  <c r="AL275" i="5"/>
  <c r="AM275" i="5"/>
  <c r="AN275" i="5"/>
  <c r="AO275" i="5"/>
  <c r="AP275" i="5"/>
  <c r="AQ275" i="5"/>
  <c r="AR275" i="5"/>
  <c r="AS275" i="5"/>
  <c r="AT275" i="5"/>
  <c r="AU275" i="5"/>
  <c r="AV275" i="5"/>
  <c r="AW275" i="5"/>
  <c r="AX275" i="5"/>
  <c r="AY275" i="5"/>
  <c r="AZ275" i="5"/>
  <c r="BA275" i="5"/>
  <c r="BB275" i="5"/>
  <c r="BC275" i="5"/>
  <c r="BD275" i="5"/>
  <c r="BE275" i="5"/>
  <c r="BF275" i="5"/>
  <c r="BG275" i="5"/>
  <c r="BH275" i="5"/>
  <c r="BI275" i="5"/>
  <c r="BJ275" i="5"/>
  <c r="BK275" i="5"/>
  <c r="BL275" i="5"/>
  <c r="BM275" i="5"/>
  <c r="BN275" i="5"/>
  <c r="BO275" i="5"/>
  <c r="BP275" i="5"/>
  <c r="BQ275" i="5"/>
  <c r="BR275" i="5"/>
  <c r="BS275" i="5"/>
  <c r="BT275" i="5"/>
  <c r="BU275" i="5"/>
  <c r="BV275" i="5"/>
  <c r="BW275" i="5"/>
  <c r="BX275" i="5"/>
  <c r="BY275" i="5"/>
  <c r="BZ275" i="5"/>
  <c r="CA275" i="5"/>
  <c r="CB275" i="5"/>
  <c r="CC275" i="5"/>
  <c r="CD275" i="5"/>
  <c r="CE275" i="5"/>
  <c r="CF275" i="5"/>
  <c r="CG275" i="5"/>
  <c r="CH275" i="5"/>
  <c r="CI275" i="5"/>
  <c r="CJ275" i="5"/>
  <c r="CK275" i="5"/>
  <c r="CL275" i="5"/>
  <c r="CM275" i="5"/>
  <c r="CN275" i="5"/>
  <c r="CO275" i="5"/>
  <c r="CP275" i="5"/>
  <c r="CQ275" i="5"/>
  <c r="CR275" i="5"/>
  <c r="CS275" i="5"/>
  <c r="CT275" i="5"/>
  <c r="CU275" i="5"/>
  <c r="CV275" i="5"/>
  <c r="CW275" i="5"/>
  <c r="CX275" i="5"/>
  <c r="CY275" i="5"/>
  <c r="CZ275" i="5"/>
  <c r="DA275" i="5"/>
  <c r="DB275" i="5"/>
  <c r="DC275" i="5"/>
  <c r="DD275" i="5"/>
  <c r="DE275" i="5"/>
  <c r="DF275" i="5"/>
  <c r="DG275" i="5"/>
  <c r="DH275" i="5"/>
  <c r="DI275" i="5"/>
  <c r="DJ275" i="5"/>
  <c r="DK275" i="5"/>
  <c r="DL275" i="5"/>
  <c r="DM275" i="5"/>
  <c r="DN275" i="5"/>
  <c r="DO275" i="5"/>
  <c r="DP275" i="5"/>
  <c r="DQ275" i="5"/>
  <c r="DR275" i="5"/>
  <c r="DS275" i="5"/>
  <c r="DT275" i="5"/>
  <c r="DU275" i="5"/>
  <c r="DV275" i="5"/>
  <c r="DW275" i="5"/>
  <c r="DX275" i="5"/>
  <c r="DY275" i="5"/>
  <c r="DZ275" i="5"/>
  <c r="EA275" i="5"/>
  <c r="EB275" i="5"/>
  <c r="EC275" i="5"/>
  <c r="ED275" i="5"/>
  <c r="EE275" i="5"/>
  <c r="EF275" i="5"/>
  <c r="EG275" i="5"/>
  <c r="EH275" i="5"/>
  <c r="EI275" i="5"/>
  <c r="EJ275" i="5"/>
  <c r="EK275" i="5"/>
  <c r="EL275" i="5"/>
  <c r="EM275" i="5"/>
  <c r="EN275" i="5"/>
  <c r="EO275" i="5"/>
  <c r="EP275" i="5"/>
  <c r="EQ275" i="5"/>
  <c r="ER275" i="5"/>
  <c r="ES275" i="5"/>
  <c r="ET275" i="5"/>
  <c r="EU275" i="5"/>
  <c r="EV275" i="5"/>
  <c r="EW275" i="5"/>
  <c r="EX275" i="5"/>
  <c r="EY275" i="5"/>
  <c r="EZ275" i="5"/>
  <c r="FA275" i="5"/>
  <c r="FB275" i="5"/>
  <c r="FC275" i="5"/>
  <c r="FD275" i="5"/>
  <c r="FE275" i="5"/>
  <c r="FF275" i="5"/>
  <c r="FG275" i="5"/>
  <c r="FH275" i="5"/>
  <c r="FI275" i="5"/>
  <c r="FJ275" i="5"/>
  <c r="FK275" i="5"/>
  <c r="FL275" i="5"/>
  <c r="FM275" i="5"/>
  <c r="FN275" i="5"/>
  <c r="FO275" i="5"/>
  <c r="FP275" i="5"/>
  <c r="FQ275" i="5"/>
  <c r="FR275" i="5"/>
  <c r="FS275" i="5"/>
  <c r="FT275" i="5"/>
  <c r="FU275" i="5"/>
  <c r="FV275" i="5"/>
  <c r="FW275" i="5"/>
  <c r="FX275" i="5"/>
  <c r="FY275" i="5"/>
  <c r="FZ275" i="5"/>
  <c r="GA275" i="5"/>
  <c r="GB275" i="5"/>
  <c r="GC275" i="5"/>
  <c r="GD275" i="5"/>
  <c r="GE275" i="5"/>
  <c r="GF275" i="5"/>
  <c r="GG275" i="5"/>
  <c r="GH275" i="5"/>
  <c r="GI275" i="5"/>
  <c r="GJ275" i="5"/>
  <c r="GK275" i="5"/>
  <c r="GL275" i="5"/>
  <c r="GM275" i="5"/>
  <c r="GN275" i="5"/>
  <c r="GO275" i="5"/>
  <c r="GP275" i="5"/>
  <c r="GQ275" i="5"/>
  <c r="GR275" i="5"/>
  <c r="GS275" i="5"/>
  <c r="GT275" i="5"/>
  <c r="GU275" i="5"/>
  <c r="GV275" i="5"/>
  <c r="GW275" i="5"/>
  <c r="GX275" i="5"/>
  <c r="GY275" i="5"/>
  <c r="GZ275" i="5"/>
  <c r="HA275" i="5"/>
  <c r="HB275" i="5"/>
  <c r="HC275" i="5"/>
  <c r="HD275" i="5"/>
  <c r="HE275" i="5"/>
  <c r="HF275" i="5"/>
  <c r="HG275" i="5"/>
  <c r="A276" i="5"/>
  <c r="B276" i="5"/>
  <c r="C276" i="5"/>
  <c r="D276" i="5"/>
  <c r="E276" i="5"/>
  <c r="F276" i="5"/>
  <c r="G276" i="5"/>
  <c r="H276" i="5"/>
  <c r="I276" i="5"/>
  <c r="J276" i="5"/>
  <c r="K276" i="5"/>
  <c r="L276" i="5"/>
  <c r="M276" i="5"/>
  <c r="N276" i="5"/>
  <c r="O276" i="5"/>
  <c r="P276" i="5"/>
  <c r="Q276" i="5"/>
  <c r="R276" i="5"/>
  <c r="S276" i="5"/>
  <c r="T276" i="5"/>
  <c r="U276" i="5"/>
  <c r="V276" i="5"/>
  <c r="W276" i="5"/>
  <c r="X276" i="5"/>
  <c r="Y276" i="5"/>
  <c r="Z276" i="5"/>
  <c r="AA276" i="5"/>
  <c r="AB276" i="5"/>
  <c r="AC276" i="5"/>
  <c r="AD276" i="5"/>
  <c r="AE276" i="5"/>
  <c r="AF276" i="5"/>
  <c r="AG276" i="5"/>
  <c r="AH276" i="5"/>
  <c r="AI276" i="5"/>
  <c r="AJ276" i="5"/>
  <c r="AK276" i="5"/>
  <c r="AL276" i="5"/>
  <c r="AM276" i="5"/>
  <c r="AN276" i="5"/>
  <c r="AO276" i="5"/>
  <c r="AP276" i="5"/>
  <c r="AQ276" i="5"/>
  <c r="AR276" i="5"/>
  <c r="AS276" i="5"/>
  <c r="AT276" i="5"/>
  <c r="AU276" i="5"/>
  <c r="AV276" i="5"/>
  <c r="AW276" i="5"/>
  <c r="AX276" i="5"/>
  <c r="AY276" i="5"/>
  <c r="AZ276" i="5"/>
  <c r="BA276" i="5"/>
  <c r="BB276" i="5"/>
  <c r="BC276" i="5"/>
  <c r="BD276" i="5"/>
  <c r="BE276" i="5"/>
  <c r="BF276" i="5"/>
  <c r="BG276" i="5"/>
  <c r="BH276" i="5"/>
  <c r="BI276" i="5"/>
  <c r="BJ276" i="5"/>
  <c r="BK276" i="5"/>
  <c r="BL276" i="5"/>
  <c r="BM276" i="5"/>
  <c r="BN276" i="5"/>
  <c r="BO276" i="5"/>
  <c r="BP276" i="5"/>
  <c r="BQ276" i="5"/>
  <c r="BR276" i="5"/>
  <c r="BS276" i="5"/>
  <c r="BT276" i="5"/>
  <c r="BU276" i="5"/>
  <c r="BV276" i="5"/>
  <c r="BW276" i="5"/>
  <c r="BX276" i="5"/>
  <c r="BY276" i="5"/>
  <c r="BZ276" i="5"/>
  <c r="CA276" i="5"/>
  <c r="CB276" i="5"/>
  <c r="CC276" i="5"/>
  <c r="CD276" i="5"/>
  <c r="CE276" i="5"/>
  <c r="CF276" i="5"/>
  <c r="CG276" i="5"/>
  <c r="CH276" i="5"/>
  <c r="CI276" i="5"/>
  <c r="CJ276" i="5"/>
  <c r="CK276" i="5"/>
  <c r="CL276" i="5"/>
  <c r="CM276" i="5"/>
  <c r="CN276" i="5"/>
  <c r="CO276" i="5"/>
  <c r="CP276" i="5"/>
  <c r="CQ276" i="5"/>
  <c r="CR276" i="5"/>
  <c r="CS276" i="5"/>
  <c r="CT276" i="5"/>
  <c r="CU276" i="5"/>
  <c r="CV276" i="5"/>
  <c r="CW276" i="5"/>
  <c r="CX276" i="5"/>
  <c r="CY276" i="5"/>
  <c r="CZ276" i="5"/>
  <c r="DA276" i="5"/>
  <c r="DB276" i="5"/>
  <c r="DC276" i="5"/>
  <c r="DD276" i="5"/>
  <c r="DE276" i="5"/>
  <c r="DF276" i="5"/>
  <c r="DG276" i="5"/>
  <c r="DH276" i="5"/>
  <c r="DI276" i="5"/>
  <c r="DJ276" i="5"/>
  <c r="DK276" i="5"/>
  <c r="DL276" i="5"/>
  <c r="DM276" i="5"/>
  <c r="DN276" i="5"/>
  <c r="DO276" i="5"/>
  <c r="DP276" i="5"/>
  <c r="DQ276" i="5"/>
  <c r="DR276" i="5"/>
  <c r="DS276" i="5"/>
  <c r="DT276" i="5"/>
  <c r="DU276" i="5"/>
  <c r="DV276" i="5"/>
  <c r="DW276" i="5"/>
  <c r="DX276" i="5"/>
  <c r="DY276" i="5"/>
  <c r="DZ276" i="5"/>
  <c r="EA276" i="5"/>
  <c r="EB276" i="5"/>
  <c r="EC276" i="5"/>
  <c r="ED276" i="5"/>
  <c r="EE276" i="5"/>
  <c r="EF276" i="5"/>
  <c r="EG276" i="5"/>
  <c r="EH276" i="5"/>
  <c r="EI276" i="5"/>
  <c r="EJ276" i="5"/>
  <c r="EK276" i="5"/>
  <c r="EL276" i="5"/>
  <c r="EM276" i="5"/>
  <c r="EN276" i="5"/>
  <c r="EO276" i="5"/>
  <c r="EP276" i="5"/>
  <c r="EQ276" i="5"/>
  <c r="ER276" i="5"/>
  <c r="ES276" i="5"/>
  <c r="ET276" i="5"/>
  <c r="EU276" i="5"/>
  <c r="EV276" i="5"/>
  <c r="EW276" i="5"/>
  <c r="EX276" i="5"/>
  <c r="EY276" i="5"/>
  <c r="EZ276" i="5"/>
  <c r="FA276" i="5"/>
  <c r="FB276" i="5"/>
  <c r="FC276" i="5"/>
  <c r="FD276" i="5"/>
  <c r="FE276" i="5"/>
  <c r="FF276" i="5"/>
  <c r="FG276" i="5"/>
  <c r="FH276" i="5"/>
  <c r="FI276" i="5"/>
  <c r="FJ276" i="5"/>
  <c r="FK276" i="5"/>
  <c r="FL276" i="5"/>
  <c r="FM276" i="5"/>
  <c r="FN276" i="5"/>
  <c r="FO276" i="5"/>
  <c r="FP276" i="5"/>
  <c r="FQ276" i="5"/>
  <c r="FR276" i="5"/>
  <c r="FS276" i="5"/>
  <c r="FT276" i="5"/>
  <c r="FU276" i="5"/>
  <c r="FV276" i="5"/>
  <c r="FW276" i="5"/>
  <c r="FX276" i="5"/>
  <c r="FY276" i="5"/>
  <c r="FZ276" i="5"/>
  <c r="GA276" i="5"/>
  <c r="GB276" i="5"/>
  <c r="GC276" i="5"/>
  <c r="GD276" i="5"/>
  <c r="GE276" i="5"/>
  <c r="GF276" i="5"/>
  <c r="GG276" i="5"/>
  <c r="GH276" i="5"/>
  <c r="GI276" i="5"/>
  <c r="GJ276" i="5"/>
  <c r="GK276" i="5"/>
  <c r="GL276" i="5"/>
  <c r="GM276" i="5"/>
  <c r="GN276" i="5"/>
  <c r="GO276" i="5"/>
  <c r="GP276" i="5"/>
  <c r="GQ276" i="5"/>
  <c r="GR276" i="5"/>
  <c r="GS276" i="5"/>
  <c r="GT276" i="5"/>
  <c r="GU276" i="5"/>
  <c r="GV276" i="5"/>
  <c r="GW276" i="5"/>
  <c r="GX276" i="5"/>
  <c r="GY276" i="5"/>
  <c r="GZ276" i="5"/>
  <c r="HA276" i="5"/>
  <c r="HB276" i="5"/>
  <c r="HC276" i="5"/>
  <c r="HD276" i="5"/>
  <c r="HE276" i="5"/>
  <c r="HF276" i="5"/>
  <c r="HG276" i="5"/>
  <c r="A277" i="5"/>
  <c r="B277" i="5"/>
  <c r="C277" i="5"/>
  <c r="D277" i="5"/>
  <c r="E277" i="5"/>
  <c r="F277" i="5"/>
  <c r="G277" i="5"/>
  <c r="H277" i="5"/>
  <c r="I277" i="5"/>
  <c r="J277" i="5"/>
  <c r="K277" i="5"/>
  <c r="L277" i="5"/>
  <c r="M277" i="5"/>
  <c r="N277" i="5"/>
  <c r="O277" i="5"/>
  <c r="P277" i="5"/>
  <c r="Q277" i="5"/>
  <c r="R277" i="5"/>
  <c r="S277" i="5"/>
  <c r="T277" i="5"/>
  <c r="U277" i="5"/>
  <c r="V277" i="5"/>
  <c r="W277" i="5"/>
  <c r="X277" i="5"/>
  <c r="Y277" i="5"/>
  <c r="Z277" i="5"/>
  <c r="AA277" i="5"/>
  <c r="AB277" i="5"/>
  <c r="AC277" i="5"/>
  <c r="AD277" i="5"/>
  <c r="AE277" i="5"/>
  <c r="AF277" i="5"/>
  <c r="AG277" i="5"/>
  <c r="AH277" i="5"/>
  <c r="AI277" i="5"/>
  <c r="AJ277" i="5"/>
  <c r="AK277" i="5"/>
  <c r="AL277" i="5"/>
  <c r="AM277" i="5"/>
  <c r="AN277" i="5"/>
  <c r="AO277" i="5"/>
  <c r="AP277" i="5"/>
  <c r="AQ277" i="5"/>
  <c r="AR277" i="5"/>
  <c r="AS277" i="5"/>
  <c r="AT277" i="5"/>
  <c r="AU277" i="5"/>
  <c r="AV277" i="5"/>
  <c r="AW277" i="5"/>
  <c r="AX277" i="5"/>
  <c r="AY277" i="5"/>
  <c r="AZ277" i="5"/>
  <c r="BA277" i="5"/>
  <c r="BB277" i="5"/>
  <c r="BC277" i="5"/>
  <c r="BD277" i="5"/>
  <c r="BE277" i="5"/>
  <c r="BF277" i="5"/>
  <c r="BG277" i="5"/>
  <c r="BH277" i="5"/>
  <c r="BI277" i="5"/>
  <c r="BJ277" i="5"/>
  <c r="BK277" i="5"/>
  <c r="BL277" i="5"/>
  <c r="BM277" i="5"/>
  <c r="BN277" i="5"/>
  <c r="BO277" i="5"/>
  <c r="BP277" i="5"/>
  <c r="BQ277" i="5"/>
  <c r="BR277" i="5"/>
  <c r="BS277" i="5"/>
  <c r="BT277" i="5"/>
  <c r="BU277" i="5"/>
  <c r="BV277" i="5"/>
  <c r="BW277" i="5"/>
  <c r="BX277" i="5"/>
  <c r="BY277" i="5"/>
  <c r="BZ277" i="5"/>
  <c r="CA277" i="5"/>
  <c r="CB277" i="5"/>
  <c r="CC277" i="5"/>
  <c r="CD277" i="5"/>
  <c r="CE277" i="5"/>
  <c r="CF277" i="5"/>
  <c r="CG277" i="5"/>
  <c r="CH277" i="5"/>
  <c r="CI277" i="5"/>
  <c r="CJ277" i="5"/>
  <c r="CK277" i="5"/>
  <c r="CL277" i="5"/>
  <c r="CM277" i="5"/>
  <c r="CN277" i="5"/>
  <c r="CO277" i="5"/>
  <c r="CP277" i="5"/>
  <c r="CQ277" i="5"/>
  <c r="CR277" i="5"/>
  <c r="CS277" i="5"/>
  <c r="CT277" i="5"/>
  <c r="CU277" i="5"/>
  <c r="CV277" i="5"/>
  <c r="CW277" i="5"/>
  <c r="CX277" i="5"/>
  <c r="CY277" i="5"/>
  <c r="CZ277" i="5"/>
  <c r="DA277" i="5"/>
  <c r="DB277" i="5"/>
  <c r="DC277" i="5"/>
  <c r="DD277" i="5"/>
  <c r="DE277" i="5"/>
  <c r="DF277" i="5"/>
  <c r="DG277" i="5"/>
  <c r="DH277" i="5"/>
  <c r="DI277" i="5"/>
  <c r="DJ277" i="5"/>
  <c r="DK277" i="5"/>
  <c r="DL277" i="5"/>
  <c r="DM277" i="5"/>
  <c r="DN277" i="5"/>
  <c r="DO277" i="5"/>
  <c r="DP277" i="5"/>
  <c r="DQ277" i="5"/>
  <c r="DR277" i="5"/>
  <c r="DS277" i="5"/>
  <c r="DT277" i="5"/>
  <c r="DU277" i="5"/>
  <c r="DV277" i="5"/>
  <c r="DW277" i="5"/>
  <c r="DX277" i="5"/>
  <c r="DY277" i="5"/>
  <c r="DZ277" i="5"/>
  <c r="EA277" i="5"/>
  <c r="EB277" i="5"/>
  <c r="EC277" i="5"/>
  <c r="ED277" i="5"/>
  <c r="EE277" i="5"/>
  <c r="EF277" i="5"/>
  <c r="EG277" i="5"/>
  <c r="EH277" i="5"/>
  <c r="EI277" i="5"/>
  <c r="EJ277" i="5"/>
  <c r="EK277" i="5"/>
  <c r="EL277" i="5"/>
  <c r="EM277" i="5"/>
  <c r="EN277" i="5"/>
  <c r="EO277" i="5"/>
  <c r="EP277" i="5"/>
  <c r="EQ277" i="5"/>
  <c r="ER277" i="5"/>
  <c r="ES277" i="5"/>
  <c r="ET277" i="5"/>
  <c r="EU277" i="5"/>
  <c r="EV277" i="5"/>
  <c r="EW277" i="5"/>
  <c r="EX277" i="5"/>
  <c r="EY277" i="5"/>
  <c r="EZ277" i="5"/>
  <c r="FA277" i="5"/>
  <c r="FB277" i="5"/>
  <c r="FC277" i="5"/>
  <c r="FD277" i="5"/>
  <c r="FE277" i="5"/>
  <c r="FF277" i="5"/>
  <c r="FG277" i="5"/>
  <c r="FH277" i="5"/>
  <c r="FI277" i="5"/>
  <c r="FJ277" i="5"/>
  <c r="FK277" i="5"/>
  <c r="FL277" i="5"/>
  <c r="FM277" i="5"/>
  <c r="FN277" i="5"/>
  <c r="FO277" i="5"/>
  <c r="FP277" i="5"/>
  <c r="FQ277" i="5"/>
  <c r="FR277" i="5"/>
  <c r="FS277" i="5"/>
  <c r="FT277" i="5"/>
  <c r="FU277" i="5"/>
  <c r="FV277" i="5"/>
  <c r="FW277" i="5"/>
  <c r="FX277" i="5"/>
  <c r="FY277" i="5"/>
  <c r="FZ277" i="5"/>
  <c r="GA277" i="5"/>
  <c r="GB277" i="5"/>
  <c r="GC277" i="5"/>
  <c r="GD277" i="5"/>
  <c r="GE277" i="5"/>
  <c r="GF277" i="5"/>
  <c r="GG277" i="5"/>
  <c r="GH277" i="5"/>
  <c r="GI277" i="5"/>
  <c r="GJ277" i="5"/>
  <c r="GK277" i="5"/>
  <c r="GL277" i="5"/>
  <c r="GM277" i="5"/>
  <c r="GN277" i="5"/>
  <c r="GO277" i="5"/>
  <c r="GP277" i="5"/>
  <c r="GQ277" i="5"/>
  <c r="GR277" i="5"/>
  <c r="GS277" i="5"/>
  <c r="GT277" i="5"/>
  <c r="GU277" i="5"/>
  <c r="GV277" i="5"/>
  <c r="GW277" i="5"/>
  <c r="GX277" i="5"/>
  <c r="GY277" i="5"/>
  <c r="GZ277" i="5"/>
  <c r="HA277" i="5"/>
  <c r="HB277" i="5"/>
  <c r="HC277" i="5"/>
  <c r="HD277" i="5"/>
  <c r="HE277" i="5"/>
  <c r="HF277" i="5"/>
  <c r="HG277" i="5"/>
  <c r="A278" i="5"/>
  <c r="B278" i="5"/>
  <c r="C278" i="5"/>
  <c r="D278" i="5"/>
  <c r="E278" i="5"/>
  <c r="F278" i="5"/>
  <c r="G278" i="5"/>
  <c r="H278" i="5"/>
  <c r="I278" i="5"/>
  <c r="J278" i="5"/>
  <c r="K278" i="5"/>
  <c r="L278" i="5"/>
  <c r="M278" i="5"/>
  <c r="N278" i="5"/>
  <c r="O278" i="5"/>
  <c r="P278" i="5"/>
  <c r="Q278" i="5"/>
  <c r="R278" i="5"/>
  <c r="S278" i="5"/>
  <c r="T278" i="5"/>
  <c r="U278" i="5"/>
  <c r="V278" i="5"/>
  <c r="W278" i="5"/>
  <c r="X278" i="5"/>
  <c r="Y278" i="5"/>
  <c r="Z278" i="5"/>
  <c r="AA278" i="5"/>
  <c r="AB278" i="5"/>
  <c r="AC278" i="5"/>
  <c r="AD278" i="5"/>
  <c r="AE278" i="5"/>
  <c r="AF278" i="5"/>
  <c r="AG278" i="5"/>
  <c r="AH278" i="5"/>
  <c r="AI278" i="5"/>
  <c r="AJ278" i="5"/>
  <c r="AK278" i="5"/>
  <c r="AL278" i="5"/>
  <c r="AM278" i="5"/>
  <c r="AN278" i="5"/>
  <c r="AO278" i="5"/>
  <c r="AP278" i="5"/>
  <c r="AQ278" i="5"/>
  <c r="AR278" i="5"/>
  <c r="AS278" i="5"/>
  <c r="AT278" i="5"/>
  <c r="AU278" i="5"/>
  <c r="AV278" i="5"/>
  <c r="AW278" i="5"/>
  <c r="AX278" i="5"/>
  <c r="AY278" i="5"/>
  <c r="AZ278" i="5"/>
  <c r="BA278" i="5"/>
  <c r="BB278" i="5"/>
  <c r="BC278" i="5"/>
  <c r="BD278" i="5"/>
  <c r="BE278" i="5"/>
  <c r="BF278" i="5"/>
  <c r="BG278" i="5"/>
  <c r="BH278" i="5"/>
  <c r="BI278" i="5"/>
  <c r="BJ278" i="5"/>
  <c r="BK278" i="5"/>
  <c r="BL278" i="5"/>
  <c r="BM278" i="5"/>
  <c r="BN278" i="5"/>
  <c r="BO278" i="5"/>
  <c r="BP278" i="5"/>
  <c r="BQ278" i="5"/>
  <c r="BR278" i="5"/>
  <c r="BS278" i="5"/>
  <c r="BT278" i="5"/>
  <c r="BU278" i="5"/>
  <c r="BV278" i="5"/>
  <c r="BW278" i="5"/>
  <c r="BX278" i="5"/>
  <c r="BY278" i="5"/>
  <c r="BZ278" i="5"/>
  <c r="CA278" i="5"/>
  <c r="CB278" i="5"/>
  <c r="CC278" i="5"/>
  <c r="CD278" i="5"/>
  <c r="CE278" i="5"/>
  <c r="CF278" i="5"/>
  <c r="CG278" i="5"/>
  <c r="CH278" i="5"/>
  <c r="CI278" i="5"/>
  <c r="CJ278" i="5"/>
  <c r="CK278" i="5"/>
  <c r="CL278" i="5"/>
  <c r="CM278" i="5"/>
  <c r="CN278" i="5"/>
  <c r="CO278" i="5"/>
  <c r="CP278" i="5"/>
  <c r="CQ278" i="5"/>
  <c r="CR278" i="5"/>
  <c r="CS278" i="5"/>
  <c r="CT278" i="5"/>
  <c r="CU278" i="5"/>
  <c r="CV278" i="5"/>
  <c r="CW278" i="5"/>
  <c r="CX278" i="5"/>
  <c r="CY278" i="5"/>
  <c r="CZ278" i="5"/>
  <c r="DA278" i="5"/>
  <c r="DB278" i="5"/>
  <c r="DC278" i="5"/>
  <c r="DD278" i="5"/>
  <c r="DE278" i="5"/>
  <c r="DF278" i="5"/>
  <c r="DG278" i="5"/>
  <c r="DH278" i="5"/>
  <c r="DI278" i="5"/>
  <c r="DJ278" i="5"/>
  <c r="DK278" i="5"/>
  <c r="DL278" i="5"/>
  <c r="DM278" i="5"/>
  <c r="DN278" i="5"/>
  <c r="DO278" i="5"/>
  <c r="DP278" i="5"/>
  <c r="DQ278" i="5"/>
  <c r="DR278" i="5"/>
  <c r="DS278" i="5"/>
  <c r="DT278" i="5"/>
  <c r="DU278" i="5"/>
  <c r="DV278" i="5"/>
  <c r="DW278" i="5"/>
  <c r="DX278" i="5"/>
  <c r="DY278" i="5"/>
  <c r="DZ278" i="5"/>
  <c r="EA278" i="5"/>
  <c r="EB278" i="5"/>
  <c r="EC278" i="5"/>
  <c r="ED278" i="5"/>
  <c r="EE278" i="5"/>
  <c r="EF278" i="5"/>
  <c r="EG278" i="5"/>
  <c r="EH278" i="5"/>
  <c r="EI278" i="5"/>
  <c r="EJ278" i="5"/>
  <c r="EK278" i="5"/>
  <c r="EL278" i="5"/>
  <c r="EM278" i="5"/>
  <c r="EN278" i="5"/>
  <c r="EO278" i="5"/>
  <c r="EP278" i="5"/>
  <c r="EQ278" i="5"/>
  <c r="ER278" i="5"/>
  <c r="ES278" i="5"/>
  <c r="ET278" i="5"/>
  <c r="EU278" i="5"/>
  <c r="EV278" i="5"/>
  <c r="EW278" i="5"/>
  <c r="EX278" i="5"/>
  <c r="EY278" i="5"/>
  <c r="EZ278" i="5"/>
  <c r="FA278" i="5"/>
  <c r="FB278" i="5"/>
  <c r="FC278" i="5"/>
  <c r="FD278" i="5"/>
  <c r="FE278" i="5"/>
  <c r="FF278" i="5"/>
  <c r="FG278" i="5"/>
  <c r="FH278" i="5"/>
  <c r="FI278" i="5"/>
  <c r="FJ278" i="5"/>
  <c r="FK278" i="5"/>
  <c r="FL278" i="5"/>
  <c r="FM278" i="5"/>
  <c r="FN278" i="5"/>
  <c r="FO278" i="5"/>
  <c r="FP278" i="5"/>
  <c r="FQ278" i="5"/>
  <c r="FR278" i="5"/>
  <c r="FS278" i="5"/>
  <c r="FT278" i="5"/>
  <c r="FU278" i="5"/>
  <c r="FV278" i="5"/>
  <c r="FW278" i="5"/>
  <c r="FX278" i="5"/>
  <c r="FY278" i="5"/>
  <c r="FZ278" i="5"/>
  <c r="GA278" i="5"/>
  <c r="GB278" i="5"/>
  <c r="GC278" i="5"/>
  <c r="GD278" i="5"/>
  <c r="GE278" i="5"/>
  <c r="GF278" i="5"/>
  <c r="GG278" i="5"/>
  <c r="GH278" i="5"/>
  <c r="GI278" i="5"/>
  <c r="GJ278" i="5"/>
  <c r="GK278" i="5"/>
  <c r="GL278" i="5"/>
  <c r="GM278" i="5"/>
  <c r="GN278" i="5"/>
  <c r="GO278" i="5"/>
  <c r="GP278" i="5"/>
  <c r="GQ278" i="5"/>
  <c r="GR278" i="5"/>
  <c r="GS278" i="5"/>
  <c r="GT278" i="5"/>
  <c r="GU278" i="5"/>
  <c r="GV278" i="5"/>
  <c r="GW278" i="5"/>
  <c r="GX278" i="5"/>
  <c r="GY278" i="5"/>
  <c r="GZ278" i="5"/>
  <c r="HA278" i="5"/>
  <c r="HB278" i="5"/>
  <c r="HC278" i="5"/>
  <c r="HD278" i="5"/>
  <c r="HE278" i="5"/>
  <c r="HF278" i="5"/>
  <c r="HG278" i="5"/>
  <c r="A279" i="5"/>
  <c r="B279" i="5"/>
  <c r="C279" i="5"/>
  <c r="D279" i="5"/>
  <c r="E279" i="5"/>
  <c r="F279" i="5"/>
  <c r="G279" i="5"/>
  <c r="H279" i="5"/>
  <c r="I279" i="5"/>
  <c r="J279" i="5"/>
  <c r="K279" i="5"/>
  <c r="L279" i="5"/>
  <c r="M279" i="5"/>
  <c r="N279" i="5"/>
  <c r="O279" i="5"/>
  <c r="P279" i="5"/>
  <c r="Q279" i="5"/>
  <c r="R279" i="5"/>
  <c r="S279" i="5"/>
  <c r="T279" i="5"/>
  <c r="U279" i="5"/>
  <c r="V279" i="5"/>
  <c r="W279" i="5"/>
  <c r="X279" i="5"/>
  <c r="Y279" i="5"/>
  <c r="Z279" i="5"/>
  <c r="AA279" i="5"/>
  <c r="AB279" i="5"/>
  <c r="AC279" i="5"/>
  <c r="AD279" i="5"/>
  <c r="AE279" i="5"/>
  <c r="AF279" i="5"/>
  <c r="AG279" i="5"/>
  <c r="AH279" i="5"/>
  <c r="AI279" i="5"/>
  <c r="AJ279" i="5"/>
  <c r="AK279" i="5"/>
  <c r="AL279" i="5"/>
  <c r="AM279" i="5"/>
  <c r="AN279" i="5"/>
  <c r="AO279" i="5"/>
  <c r="AP279" i="5"/>
  <c r="AQ279" i="5"/>
  <c r="AR279" i="5"/>
  <c r="AS279" i="5"/>
  <c r="AT279" i="5"/>
  <c r="AU279" i="5"/>
  <c r="AV279" i="5"/>
  <c r="AW279" i="5"/>
  <c r="AX279" i="5"/>
  <c r="AY279" i="5"/>
  <c r="AZ279" i="5"/>
  <c r="BA279" i="5"/>
  <c r="BB279" i="5"/>
  <c r="BC279" i="5"/>
  <c r="BD279" i="5"/>
  <c r="BE279" i="5"/>
  <c r="BF279" i="5"/>
  <c r="BG279" i="5"/>
  <c r="BH279" i="5"/>
  <c r="BI279" i="5"/>
  <c r="BJ279" i="5"/>
  <c r="BK279" i="5"/>
  <c r="BL279" i="5"/>
  <c r="BM279" i="5"/>
  <c r="BN279" i="5"/>
  <c r="BO279" i="5"/>
  <c r="BP279" i="5"/>
  <c r="BQ279" i="5"/>
  <c r="BR279" i="5"/>
  <c r="BS279" i="5"/>
  <c r="BT279" i="5"/>
  <c r="BU279" i="5"/>
  <c r="BV279" i="5"/>
  <c r="BW279" i="5"/>
  <c r="BX279" i="5"/>
  <c r="BY279" i="5"/>
  <c r="BZ279" i="5"/>
  <c r="CA279" i="5"/>
  <c r="CB279" i="5"/>
  <c r="CC279" i="5"/>
  <c r="CD279" i="5"/>
  <c r="CE279" i="5"/>
  <c r="CF279" i="5"/>
  <c r="CG279" i="5"/>
  <c r="CH279" i="5"/>
  <c r="CI279" i="5"/>
  <c r="CJ279" i="5"/>
  <c r="CK279" i="5"/>
  <c r="CL279" i="5"/>
  <c r="CM279" i="5"/>
  <c r="CN279" i="5"/>
  <c r="CO279" i="5"/>
  <c r="CP279" i="5"/>
  <c r="CQ279" i="5"/>
  <c r="CR279" i="5"/>
  <c r="CS279" i="5"/>
  <c r="CT279" i="5"/>
  <c r="CU279" i="5"/>
  <c r="CV279" i="5"/>
  <c r="CW279" i="5"/>
  <c r="CX279" i="5"/>
  <c r="CY279" i="5"/>
  <c r="CZ279" i="5"/>
  <c r="DA279" i="5"/>
  <c r="DB279" i="5"/>
  <c r="DC279" i="5"/>
  <c r="DD279" i="5"/>
  <c r="DE279" i="5"/>
  <c r="DF279" i="5"/>
  <c r="DG279" i="5"/>
  <c r="DH279" i="5"/>
  <c r="DI279" i="5"/>
  <c r="DJ279" i="5"/>
  <c r="DK279" i="5"/>
  <c r="DL279" i="5"/>
  <c r="DM279" i="5"/>
  <c r="DN279" i="5"/>
  <c r="DO279" i="5"/>
  <c r="DP279" i="5"/>
  <c r="DQ279" i="5"/>
  <c r="DR279" i="5"/>
  <c r="DS279" i="5"/>
  <c r="DT279" i="5"/>
  <c r="DU279" i="5"/>
  <c r="DV279" i="5"/>
  <c r="DW279" i="5"/>
  <c r="DX279" i="5"/>
  <c r="DY279" i="5"/>
  <c r="DZ279" i="5"/>
  <c r="EA279" i="5"/>
  <c r="EB279" i="5"/>
  <c r="EC279" i="5"/>
  <c r="ED279" i="5"/>
  <c r="EE279" i="5"/>
  <c r="EF279" i="5"/>
  <c r="EG279" i="5"/>
  <c r="EH279" i="5"/>
  <c r="EI279" i="5"/>
  <c r="EJ279" i="5"/>
  <c r="EK279" i="5"/>
  <c r="EL279" i="5"/>
  <c r="EM279" i="5"/>
  <c r="EN279" i="5"/>
  <c r="EO279" i="5"/>
  <c r="EP279" i="5"/>
  <c r="EQ279" i="5"/>
  <c r="ER279" i="5"/>
  <c r="ES279" i="5"/>
  <c r="ET279" i="5"/>
  <c r="EU279" i="5"/>
  <c r="EV279" i="5"/>
  <c r="EW279" i="5"/>
  <c r="EX279" i="5"/>
  <c r="EY279" i="5"/>
  <c r="EZ279" i="5"/>
  <c r="FA279" i="5"/>
  <c r="FB279" i="5"/>
  <c r="FC279" i="5"/>
  <c r="FD279" i="5"/>
  <c r="FE279" i="5"/>
  <c r="FF279" i="5"/>
  <c r="FG279" i="5"/>
  <c r="FH279" i="5"/>
  <c r="FI279" i="5"/>
  <c r="FJ279" i="5"/>
  <c r="FK279" i="5"/>
  <c r="FL279" i="5"/>
  <c r="FM279" i="5"/>
  <c r="FN279" i="5"/>
  <c r="FO279" i="5"/>
  <c r="FP279" i="5"/>
  <c r="FQ279" i="5"/>
  <c r="FR279" i="5"/>
  <c r="FS279" i="5"/>
  <c r="FT279" i="5"/>
  <c r="FU279" i="5"/>
  <c r="FV279" i="5"/>
  <c r="FW279" i="5"/>
  <c r="FX279" i="5"/>
  <c r="FY279" i="5"/>
  <c r="FZ279" i="5"/>
  <c r="GA279" i="5"/>
  <c r="GB279" i="5"/>
  <c r="GC279" i="5"/>
  <c r="GD279" i="5"/>
  <c r="GE279" i="5"/>
  <c r="GF279" i="5"/>
  <c r="GG279" i="5"/>
  <c r="GH279" i="5"/>
  <c r="GI279" i="5"/>
  <c r="GJ279" i="5"/>
  <c r="GK279" i="5"/>
  <c r="GL279" i="5"/>
  <c r="GM279" i="5"/>
  <c r="GN279" i="5"/>
  <c r="GO279" i="5"/>
  <c r="GP279" i="5"/>
  <c r="GQ279" i="5"/>
  <c r="GR279" i="5"/>
  <c r="GS279" i="5"/>
  <c r="GT279" i="5"/>
  <c r="GU279" i="5"/>
  <c r="GV279" i="5"/>
  <c r="GW279" i="5"/>
  <c r="GX279" i="5"/>
  <c r="GY279" i="5"/>
  <c r="GZ279" i="5"/>
  <c r="HA279" i="5"/>
  <c r="HB279" i="5"/>
  <c r="HC279" i="5"/>
  <c r="HD279" i="5"/>
  <c r="HE279" i="5"/>
  <c r="HF279" i="5"/>
  <c r="HG279" i="5"/>
  <c r="A280" i="5"/>
  <c r="B280" i="5"/>
  <c r="C280" i="5"/>
  <c r="D280" i="5"/>
  <c r="E280" i="5"/>
  <c r="F280" i="5"/>
  <c r="G280" i="5"/>
  <c r="H280" i="5"/>
  <c r="I280" i="5"/>
  <c r="J280" i="5"/>
  <c r="K280" i="5"/>
  <c r="L280" i="5"/>
  <c r="M280" i="5"/>
  <c r="N280" i="5"/>
  <c r="O280" i="5"/>
  <c r="P280" i="5"/>
  <c r="Q280" i="5"/>
  <c r="R280" i="5"/>
  <c r="S280" i="5"/>
  <c r="T280" i="5"/>
  <c r="U280" i="5"/>
  <c r="V280" i="5"/>
  <c r="W280" i="5"/>
  <c r="X280" i="5"/>
  <c r="Y280" i="5"/>
  <c r="Z280" i="5"/>
  <c r="AA280" i="5"/>
  <c r="AB280" i="5"/>
  <c r="AC280" i="5"/>
  <c r="AD280" i="5"/>
  <c r="AE280" i="5"/>
  <c r="AF280" i="5"/>
  <c r="AG280" i="5"/>
  <c r="AH280" i="5"/>
  <c r="AI280" i="5"/>
  <c r="AJ280" i="5"/>
  <c r="AK280" i="5"/>
  <c r="AL280" i="5"/>
  <c r="AM280" i="5"/>
  <c r="AN280" i="5"/>
  <c r="AO280" i="5"/>
  <c r="AP280" i="5"/>
  <c r="AQ280" i="5"/>
  <c r="AR280" i="5"/>
  <c r="AS280" i="5"/>
  <c r="AT280" i="5"/>
  <c r="AU280" i="5"/>
  <c r="AV280" i="5"/>
  <c r="AW280" i="5"/>
  <c r="AX280" i="5"/>
  <c r="AY280" i="5"/>
  <c r="AZ280" i="5"/>
  <c r="BA280" i="5"/>
  <c r="BB280" i="5"/>
  <c r="BC280" i="5"/>
  <c r="BD280" i="5"/>
  <c r="BE280" i="5"/>
  <c r="BF280" i="5"/>
  <c r="BG280" i="5"/>
  <c r="BH280" i="5"/>
  <c r="BI280" i="5"/>
  <c r="BJ280" i="5"/>
  <c r="BK280" i="5"/>
  <c r="BL280" i="5"/>
  <c r="BM280" i="5"/>
  <c r="BN280" i="5"/>
  <c r="BO280" i="5"/>
  <c r="BP280" i="5"/>
  <c r="BQ280" i="5"/>
  <c r="BR280" i="5"/>
  <c r="BS280" i="5"/>
  <c r="BT280" i="5"/>
  <c r="BU280" i="5"/>
  <c r="BV280" i="5"/>
  <c r="BW280" i="5"/>
  <c r="BX280" i="5"/>
  <c r="BY280" i="5"/>
  <c r="BZ280" i="5"/>
  <c r="CA280" i="5"/>
  <c r="CB280" i="5"/>
  <c r="CC280" i="5"/>
  <c r="CD280" i="5"/>
  <c r="CE280" i="5"/>
  <c r="CF280" i="5"/>
  <c r="CG280" i="5"/>
  <c r="CH280" i="5"/>
  <c r="CI280" i="5"/>
  <c r="CJ280" i="5"/>
  <c r="CK280" i="5"/>
  <c r="CL280" i="5"/>
  <c r="CM280" i="5"/>
  <c r="CN280" i="5"/>
  <c r="CO280" i="5"/>
  <c r="CP280" i="5"/>
  <c r="CQ280" i="5"/>
  <c r="CR280" i="5"/>
  <c r="CS280" i="5"/>
  <c r="CT280" i="5"/>
  <c r="CU280" i="5"/>
  <c r="CV280" i="5"/>
  <c r="CW280" i="5"/>
  <c r="CX280" i="5"/>
  <c r="CY280" i="5"/>
  <c r="CZ280" i="5"/>
  <c r="DA280" i="5"/>
  <c r="DB280" i="5"/>
  <c r="DC280" i="5"/>
  <c r="DD280" i="5"/>
  <c r="DE280" i="5"/>
  <c r="DF280" i="5"/>
  <c r="DG280" i="5"/>
  <c r="DH280" i="5"/>
  <c r="DI280" i="5"/>
  <c r="DJ280" i="5"/>
  <c r="DK280" i="5"/>
  <c r="DL280" i="5"/>
  <c r="DM280" i="5"/>
  <c r="DN280" i="5"/>
  <c r="DO280" i="5"/>
  <c r="DP280" i="5"/>
  <c r="DQ280" i="5"/>
  <c r="DR280" i="5"/>
  <c r="DS280" i="5"/>
  <c r="DT280" i="5"/>
  <c r="DU280" i="5"/>
  <c r="DV280" i="5"/>
  <c r="DW280" i="5"/>
  <c r="DX280" i="5"/>
  <c r="DY280" i="5"/>
  <c r="DZ280" i="5"/>
  <c r="EA280" i="5"/>
  <c r="EB280" i="5"/>
  <c r="EC280" i="5"/>
  <c r="ED280" i="5"/>
  <c r="EE280" i="5"/>
  <c r="EF280" i="5"/>
  <c r="EG280" i="5"/>
  <c r="EH280" i="5"/>
  <c r="EI280" i="5"/>
  <c r="EJ280" i="5"/>
  <c r="EK280" i="5"/>
  <c r="EL280" i="5"/>
  <c r="EM280" i="5"/>
  <c r="EN280" i="5"/>
  <c r="EO280" i="5"/>
  <c r="EP280" i="5"/>
  <c r="EQ280" i="5"/>
  <c r="ER280" i="5"/>
  <c r="ES280" i="5"/>
  <c r="ET280" i="5"/>
  <c r="EU280" i="5"/>
  <c r="EV280" i="5"/>
  <c r="EW280" i="5"/>
  <c r="EX280" i="5"/>
  <c r="EY280" i="5"/>
  <c r="EZ280" i="5"/>
  <c r="FA280" i="5"/>
  <c r="FB280" i="5"/>
  <c r="FC280" i="5"/>
  <c r="FD280" i="5"/>
  <c r="FE280" i="5"/>
  <c r="FF280" i="5"/>
  <c r="FG280" i="5"/>
  <c r="FH280" i="5"/>
  <c r="FI280" i="5"/>
  <c r="FJ280" i="5"/>
  <c r="FK280" i="5"/>
  <c r="FL280" i="5"/>
  <c r="FM280" i="5"/>
  <c r="FN280" i="5"/>
  <c r="FO280" i="5"/>
  <c r="FP280" i="5"/>
  <c r="FQ280" i="5"/>
  <c r="FR280" i="5"/>
  <c r="FS280" i="5"/>
  <c r="FT280" i="5"/>
  <c r="FU280" i="5"/>
  <c r="FV280" i="5"/>
  <c r="FW280" i="5"/>
  <c r="FX280" i="5"/>
  <c r="FY280" i="5"/>
  <c r="FZ280" i="5"/>
  <c r="GA280" i="5"/>
  <c r="GB280" i="5"/>
  <c r="GC280" i="5"/>
  <c r="GD280" i="5"/>
  <c r="GE280" i="5"/>
  <c r="GF280" i="5"/>
  <c r="GG280" i="5"/>
  <c r="GH280" i="5"/>
  <c r="GI280" i="5"/>
  <c r="GJ280" i="5"/>
  <c r="GK280" i="5"/>
  <c r="GL280" i="5"/>
  <c r="GM280" i="5"/>
  <c r="GN280" i="5"/>
  <c r="GO280" i="5"/>
  <c r="GP280" i="5"/>
  <c r="GQ280" i="5"/>
  <c r="GR280" i="5"/>
  <c r="GS280" i="5"/>
  <c r="GT280" i="5"/>
  <c r="GU280" i="5"/>
  <c r="GV280" i="5"/>
  <c r="GW280" i="5"/>
  <c r="GX280" i="5"/>
  <c r="GY280" i="5"/>
  <c r="GZ280" i="5"/>
  <c r="HA280" i="5"/>
  <c r="HB280" i="5"/>
  <c r="HC280" i="5"/>
  <c r="HD280" i="5"/>
  <c r="HE280" i="5"/>
  <c r="HF280" i="5"/>
  <c r="HG280" i="5"/>
  <c r="A281" i="5"/>
  <c r="B281" i="5"/>
  <c r="C281" i="5"/>
  <c r="D281" i="5"/>
  <c r="E281" i="5"/>
  <c r="F281" i="5"/>
  <c r="G281" i="5"/>
  <c r="H281" i="5"/>
  <c r="I281" i="5"/>
  <c r="J281" i="5"/>
  <c r="K281" i="5"/>
  <c r="L281" i="5"/>
  <c r="M281" i="5"/>
  <c r="N281" i="5"/>
  <c r="O281" i="5"/>
  <c r="P281" i="5"/>
  <c r="Q281" i="5"/>
  <c r="R281" i="5"/>
  <c r="S281" i="5"/>
  <c r="T281" i="5"/>
  <c r="U281" i="5"/>
  <c r="V281" i="5"/>
  <c r="W281" i="5"/>
  <c r="X281" i="5"/>
  <c r="Y281" i="5"/>
  <c r="Z281" i="5"/>
  <c r="AA281" i="5"/>
  <c r="AB281" i="5"/>
  <c r="AC281" i="5"/>
  <c r="AD281" i="5"/>
  <c r="AE281" i="5"/>
  <c r="AF281" i="5"/>
  <c r="AG281" i="5"/>
  <c r="AH281" i="5"/>
  <c r="AI281" i="5"/>
  <c r="AJ281" i="5"/>
  <c r="AK281" i="5"/>
  <c r="AL281" i="5"/>
  <c r="AM281" i="5"/>
  <c r="AN281" i="5"/>
  <c r="AO281" i="5"/>
  <c r="AP281" i="5"/>
  <c r="AQ281" i="5"/>
  <c r="AR281" i="5"/>
  <c r="AS281" i="5"/>
  <c r="AT281" i="5"/>
  <c r="AU281" i="5"/>
  <c r="AV281" i="5"/>
  <c r="AW281" i="5"/>
  <c r="AX281" i="5"/>
  <c r="AY281" i="5"/>
  <c r="AZ281" i="5"/>
  <c r="BA281" i="5"/>
  <c r="BB281" i="5"/>
  <c r="BC281" i="5"/>
  <c r="BD281" i="5"/>
  <c r="BE281" i="5"/>
  <c r="BF281" i="5"/>
  <c r="BG281" i="5"/>
  <c r="BH281" i="5"/>
  <c r="BI281" i="5"/>
  <c r="BJ281" i="5"/>
  <c r="BK281" i="5"/>
  <c r="BL281" i="5"/>
  <c r="BM281" i="5"/>
  <c r="BN281" i="5"/>
  <c r="BO281" i="5"/>
  <c r="BP281" i="5"/>
  <c r="BQ281" i="5"/>
  <c r="BR281" i="5"/>
  <c r="BS281" i="5"/>
  <c r="BT281" i="5"/>
  <c r="BU281" i="5"/>
  <c r="BV281" i="5"/>
  <c r="BW281" i="5"/>
  <c r="BX281" i="5"/>
  <c r="BY281" i="5"/>
  <c r="BZ281" i="5"/>
  <c r="CA281" i="5"/>
  <c r="CB281" i="5"/>
  <c r="CC281" i="5"/>
  <c r="CD281" i="5"/>
  <c r="CE281" i="5"/>
  <c r="CF281" i="5"/>
  <c r="CG281" i="5"/>
  <c r="CH281" i="5"/>
  <c r="CI281" i="5"/>
  <c r="CJ281" i="5"/>
  <c r="CK281" i="5"/>
  <c r="CL281" i="5"/>
  <c r="CM281" i="5"/>
  <c r="CN281" i="5"/>
  <c r="CO281" i="5"/>
  <c r="CP281" i="5"/>
  <c r="CQ281" i="5"/>
  <c r="CR281" i="5"/>
  <c r="CS281" i="5"/>
  <c r="CT281" i="5"/>
  <c r="CU281" i="5"/>
  <c r="CV281" i="5"/>
  <c r="CW281" i="5"/>
  <c r="CX281" i="5"/>
  <c r="CY281" i="5"/>
  <c r="CZ281" i="5"/>
  <c r="DA281" i="5"/>
  <c r="DB281" i="5"/>
  <c r="DC281" i="5"/>
  <c r="DD281" i="5"/>
  <c r="DE281" i="5"/>
  <c r="DF281" i="5"/>
  <c r="DG281" i="5"/>
  <c r="DH281" i="5"/>
  <c r="DI281" i="5"/>
  <c r="DJ281" i="5"/>
  <c r="DK281" i="5"/>
  <c r="DL281" i="5"/>
  <c r="DM281" i="5"/>
  <c r="DN281" i="5"/>
  <c r="DO281" i="5"/>
  <c r="DP281" i="5"/>
  <c r="DQ281" i="5"/>
  <c r="DR281" i="5"/>
  <c r="DS281" i="5"/>
  <c r="DT281" i="5"/>
  <c r="DU281" i="5"/>
  <c r="DV281" i="5"/>
  <c r="DW281" i="5"/>
  <c r="DX281" i="5"/>
  <c r="DY281" i="5"/>
  <c r="DZ281" i="5"/>
  <c r="EA281" i="5"/>
  <c r="EB281" i="5"/>
  <c r="EC281" i="5"/>
  <c r="ED281" i="5"/>
  <c r="EE281" i="5"/>
  <c r="EF281" i="5"/>
  <c r="EG281" i="5"/>
  <c r="EH281" i="5"/>
  <c r="EI281" i="5"/>
  <c r="EJ281" i="5"/>
  <c r="EK281" i="5"/>
  <c r="EL281" i="5"/>
  <c r="EM281" i="5"/>
  <c r="EN281" i="5"/>
  <c r="EO281" i="5"/>
  <c r="EP281" i="5"/>
  <c r="EQ281" i="5"/>
  <c r="ER281" i="5"/>
  <c r="ES281" i="5"/>
  <c r="ET281" i="5"/>
  <c r="EU281" i="5"/>
  <c r="EV281" i="5"/>
  <c r="EW281" i="5"/>
  <c r="EX281" i="5"/>
  <c r="EY281" i="5"/>
  <c r="EZ281" i="5"/>
  <c r="FA281" i="5"/>
  <c r="FB281" i="5"/>
  <c r="FC281" i="5"/>
  <c r="FD281" i="5"/>
  <c r="FE281" i="5"/>
  <c r="FF281" i="5"/>
  <c r="FG281" i="5"/>
  <c r="FH281" i="5"/>
  <c r="FI281" i="5"/>
  <c r="FJ281" i="5"/>
  <c r="FK281" i="5"/>
  <c r="FL281" i="5"/>
  <c r="FM281" i="5"/>
  <c r="FN281" i="5"/>
  <c r="FO281" i="5"/>
  <c r="FP281" i="5"/>
  <c r="FQ281" i="5"/>
  <c r="FR281" i="5"/>
  <c r="FS281" i="5"/>
  <c r="FT281" i="5"/>
  <c r="FU281" i="5"/>
  <c r="FV281" i="5"/>
  <c r="FW281" i="5"/>
  <c r="FX281" i="5"/>
  <c r="FY281" i="5"/>
  <c r="FZ281" i="5"/>
  <c r="GA281" i="5"/>
  <c r="GB281" i="5"/>
  <c r="GC281" i="5"/>
  <c r="GD281" i="5"/>
  <c r="GE281" i="5"/>
  <c r="GF281" i="5"/>
  <c r="GG281" i="5"/>
  <c r="GH281" i="5"/>
  <c r="GI281" i="5"/>
  <c r="GJ281" i="5"/>
  <c r="GK281" i="5"/>
  <c r="GL281" i="5"/>
  <c r="GM281" i="5"/>
  <c r="GN281" i="5"/>
  <c r="GO281" i="5"/>
  <c r="GP281" i="5"/>
  <c r="GQ281" i="5"/>
  <c r="GR281" i="5"/>
  <c r="GS281" i="5"/>
  <c r="GT281" i="5"/>
  <c r="GU281" i="5"/>
  <c r="GV281" i="5"/>
  <c r="GW281" i="5"/>
  <c r="GX281" i="5"/>
  <c r="GY281" i="5"/>
  <c r="GZ281" i="5"/>
  <c r="HA281" i="5"/>
  <c r="HB281" i="5"/>
  <c r="HC281" i="5"/>
  <c r="HD281" i="5"/>
  <c r="HE281" i="5"/>
  <c r="HF281" i="5"/>
  <c r="HG281" i="5"/>
  <c r="A282" i="5"/>
  <c r="B282" i="5"/>
  <c r="C282" i="5"/>
  <c r="D282" i="5"/>
  <c r="E282" i="5"/>
  <c r="F282" i="5"/>
  <c r="G282" i="5"/>
  <c r="H282" i="5"/>
  <c r="I282" i="5"/>
  <c r="J282" i="5"/>
  <c r="K282" i="5"/>
  <c r="L282" i="5"/>
  <c r="M282" i="5"/>
  <c r="N282" i="5"/>
  <c r="O282" i="5"/>
  <c r="P282" i="5"/>
  <c r="Q282" i="5"/>
  <c r="R282" i="5"/>
  <c r="S282" i="5"/>
  <c r="T282" i="5"/>
  <c r="U282" i="5"/>
  <c r="V282" i="5"/>
  <c r="W282" i="5"/>
  <c r="X282" i="5"/>
  <c r="Y282" i="5"/>
  <c r="Z282" i="5"/>
  <c r="AA282" i="5"/>
  <c r="AB282" i="5"/>
  <c r="AC282" i="5"/>
  <c r="AD282" i="5"/>
  <c r="AE282" i="5"/>
  <c r="AF282" i="5"/>
  <c r="AG282" i="5"/>
  <c r="AH282" i="5"/>
  <c r="AI282" i="5"/>
  <c r="AJ282" i="5"/>
  <c r="AK282" i="5"/>
  <c r="AL282" i="5"/>
  <c r="AM282" i="5"/>
  <c r="AN282" i="5"/>
  <c r="AO282" i="5"/>
  <c r="AP282" i="5"/>
  <c r="AQ282" i="5"/>
  <c r="AR282" i="5"/>
  <c r="AS282" i="5"/>
  <c r="AT282" i="5"/>
  <c r="AU282" i="5"/>
  <c r="AV282" i="5"/>
  <c r="AW282" i="5"/>
  <c r="AX282" i="5"/>
  <c r="AY282" i="5"/>
  <c r="AZ282" i="5"/>
  <c r="BA282" i="5"/>
  <c r="BB282" i="5"/>
  <c r="BC282" i="5"/>
  <c r="BD282" i="5"/>
  <c r="BE282" i="5"/>
  <c r="BF282" i="5"/>
  <c r="BG282" i="5"/>
  <c r="BH282" i="5"/>
  <c r="BI282" i="5"/>
  <c r="BJ282" i="5"/>
  <c r="BK282" i="5"/>
  <c r="BL282" i="5"/>
  <c r="BM282" i="5"/>
  <c r="BN282" i="5"/>
  <c r="BO282" i="5"/>
  <c r="BP282" i="5"/>
  <c r="BQ282" i="5"/>
  <c r="BR282" i="5"/>
  <c r="BS282" i="5"/>
  <c r="BT282" i="5"/>
  <c r="BU282" i="5"/>
  <c r="BV282" i="5"/>
  <c r="BW282" i="5"/>
  <c r="BX282" i="5"/>
  <c r="BY282" i="5"/>
  <c r="BZ282" i="5"/>
  <c r="CA282" i="5"/>
  <c r="CB282" i="5"/>
  <c r="CC282" i="5"/>
  <c r="CD282" i="5"/>
  <c r="CE282" i="5"/>
  <c r="CF282" i="5"/>
  <c r="CG282" i="5"/>
  <c r="CH282" i="5"/>
  <c r="CI282" i="5"/>
  <c r="CJ282" i="5"/>
  <c r="CK282" i="5"/>
  <c r="CL282" i="5"/>
  <c r="CM282" i="5"/>
  <c r="CN282" i="5"/>
  <c r="CO282" i="5"/>
  <c r="CP282" i="5"/>
  <c r="CQ282" i="5"/>
  <c r="CR282" i="5"/>
  <c r="CS282" i="5"/>
  <c r="CT282" i="5"/>
  <c r="CU282" i="5"/>
  <c r="CV282" i="5"/>
  <c r="CW282" i="5"/>
  <c r="CX282" i="5"/>
  <c r="CY282" i="5"/>
  <c r="CZ282" i="5"/>
  <c r="DA282" i="5"/>
  <c r="DB282" i="5"/>
  <c r="DC282" i="5"/>
  <c r="DD282" i="5"/>
  <c r="DE282" i="5"/>
  <c r="DF282" i="5"/>
  <c r="DG282" i="5"/>
  <c r="DH282" i="5"/>
  <c r="DI282" i="5"/>
  <c r="DJ282" i="5"/>
  <c r="DK282" i="5"/>
  <c r="DL282" i="5"/>
  <c r="DM282" i="5"/>
  <c r="DN282" i="5"/>
  <c r="DO282" i="5"/>
  <c r="DP282" i="5"/>
  <c r="DQ282" i="5"/>
  <c r="DR282" i="5"/>
  <c r="DS282" i="5"/>
  <c r="DT282" i="5"/>
  <c r="DU282" i="5"/>
  <c r="DV282" i="5"/>
  <c r="DW282" i="5"/>
  <c r="DX282" i="5"/>
  <c r="DY282" i="5"/>
  <c r="DZ282" i="5"/>
  <c r="EA282" i="5"/>
  <c r="EB282" i="5"/>
  <c r="EC282" i="5"/>
  <c r="ED282" i="5"/>
  <c r="EE282" i="5"/>
  <c r="EF282" i="5"/>
  <c r="EG282" i="5"/>
  <c r="EH282" i="5"/>
  <c r="EI282" i="5"/>
  <c r="EJ282" i="5"/>
  <c r="EK282" i="5"/>
  <c r="EL282" i="5"/>
  <c r="EM282" i="5"/>
  <c r="EN282" i="5"/>
  <c r="EO282" i="5"/>
  <c r="EP282" i="5"/>
  <c r="EQ282" i="5"/>
  <c r="ER282" i="5"/>
  <c r="ES282" i="5"/>
  <c r="ET282" i="5"/>
  <c r="EU282" i="5"/>
  <c r="EV282" i="5"/>
  <c r="EW282" i="5"/>
  <c r="EX282" i="5"/>
  <c r="EY282" i="5"/>
  <c r="EZ282" i="5"/>
  <c r="FA282" i="5"/>
  <c r="FB282" i="5"/>
  <c r="FC282" i="5"/>
  <c r="FD282" i="5"/>
  <c r="FE282" i="5"/>
  <c r="FF282" i="5"/>
  <c r="FG282" i="5"/>
  <c r="FH282" i="5"/>
  <c r="FI282" i="5"/>
  <c r="FJ282" i="5"/>
  <c r="FK282" i="5"/>
  <c r="FL282" i="5"/>
  <c r="FM282" i="5"/>
  <c r="FN282" i="5"/>
  <c r="FO282" i="5"/>
  <c r="FP282" i="5"/>
  <c r="FQ282" i="5"/>
  <c r="FR282" i="5"/>
  <c r="FS282" i="5"/>
  <c r="FT282" i="5"/>
  <c r="FU282" i="5"/>
  <c r="FV282" i="5"/>
  <c r="FW282" i="5"/>
  <c r="FX282" i="5"/>
  <c r="FY282" i="5"/>
  <c r="FZ282" i="5"/>
  <c r="GA282" i="5"/>
  <c r="GB282" i="5"/>
  <c r="GC282" i="5"/>
  <c r="GD282" i="5"/>
  <c r="GE282" i="5"/>
  <c r="GF282" i="5"/>
  <c r="GG282" i="5"/>
  <c r="GH282" i="5"/>
  <c r="GI282" i="5"/>
  <c r="GJ282" i="5"/>
  <c r="GK282" i="5"/>
  <c r="GL282" i="5"/>
  <c r="GM282" i="5"/>
  <c r="GN282" i="5"/>
  <c r="GO282" i="5"/>
  <c r="GP282" i="5"/>
  <c r="GQ282" i="5"/>
  <c r="GR282" i="5"/>
  <c r="GS282" i="5"/>
  <c r="GT282" i="5"/>
  <c r="GU282" i="5"/>
  <c r="GV282" i="5"/>
  <c r="GW282" i="5"/>
  <c r="GX282" i="5"/>
  <c r="GY282" i="5"/>
  <c r="GZ282" i="5"/>
  <c r="HA282" i="5"/>
  <c r="HB282" i="5"/>
  <c r="HC282" i="5"/>
  <c r="HD282" i="5"/>
  <c r="HE282" i="5"/>
  <c r="HF282" i="5"/>
  <c r="HG282" i="5"/>
  <c r="A283" i="5"/>
  <c r="B283" i="5"/>
  <c r="C283" i="5"/>
  <c r="D283" i="5"/>
  <c r="E283" i="5"/>
  <c r="F283" i="5"/>
  <c r="G283" i="5"/>
  <c r="H283" i="5"/>
  <c r="I283" i="5"/>
  <c r="J283" i="5"/>
  <c r="K283" i="5"/>
  <c r="L283" i="5"/>
  <c r="M283" i="5"/>
  <c r="N283" i="5"/>
  <c r="O283" i="5"/>
  <c r="P283" i="5"/>
  <c r="Q283" i="5"/>
  <c r="R283" i="5"/>
  <c r="S283" i="5"/>
  <c r="T283" i="5"/>
  <c r="U283" i="5"/>
  <c r="V283" i="5"/>
  <c r="W283" i="5"/>
  <c r="X283" i="5"/>
  <c r="Y283" i="5"/>
  <c r="Z283" i="5"/>
  <c r="AA283" i="5"/>
  <c r="AB283" i="5"/>
  <c r="AC283" i="5"/>
  <c r="AD283" i="5"/>
  <c r="AE283" i="5"/>
  <c r="AF283" i="5"/>
  <c r="AG283" i="5"/>
  <c r="AH283" i="5"/>
  <c r="AI283" i="5"/>
  <c r="AJ283" i="5"/>
  <c r="AK283" i="5"/>
  <c r="AL283" i="5"/>
  <c r="AM283" i="5"/>
  <c r="AN283" i="5"/>
  <c r="AO283" i="5"/>
  <c r="AP283" i="5"/>
  <c r="AQ283" i="5"/>
  <c r="AR283" i="5"/>
  <c r="AS283" i="5"/>
  <c r="AT283" i="5"/>
  <c r="AU283" i="5"/>
  <c r="AV283" i="5"/>
  <c r="AW283" i="5"/>
  <c r="AX283" i="5"/>
  <c r="AY283" i="5"/>
  <c r="AZ283" i="5"/>
  <c r="BA283" i="5"/>
  <c r="BB283" i="5"/>
  <c r="BC283" i="5"/>
  <c r="BD283" i="5"/>
  <c r="BE283" i="5"/>
  <c r="BF283" i="5"/>
  <c r="BG283" i="5"/>
  <c r="BH283" i="5"/>
  <c r="BI283" i="5"/>
  <c r="BJ283" i="5"/>
  <c r="BK283" i="5"/>
  <c r="BL283" i="5"/>
  <c r="BM283" i="5"/>
  <c r="BN283" i="5"/>
  <c r="BO283" i="5"/>
  <c r="BP283" i="5"/>
  <c r="BQ283" i="5"/>
  <c r="BR283" i="5"/>
  <c r="BS283" i="5"/>
  <c r="BT283" i="5"/>
  <c r="BU283" i="5"/>
  <c r="BV283" i="5"/>
  <c r="BW283" i="5"/>
  <c r="BX283" i="5"/>
  <c r="BY283" i="5"/>
  <c r="BZ283" i="5"/>
  <c r="CA283" i="5"/>
  <c r="CB283" i="5"/>
  <c r="CC283" i="5"/>
  <c r="CD283" i="5"/>
  <c r="CE283" i="5"/>
  <c r="CF283" i="5"/>
  <c r="CG283" i="5"/>
  <c r="CH283" i="5"/>
  <c r="CI283" i="5"/>
  <c r="CJ283" i="5"/>
  <c r="CK283" i="5"/>
  <c r="CL283" i="5"/>
  <c r="CM283" i="5"/>
  <c r="CN283" i="5"/>
  <c r="CO283" i="5"/>
  <c r="CP283" i="5"/>
  <c r="CQ283" i="5"/>
  <c r="CR283" i="5"/>
  <c r="CS283" i="5"/>
  <c r="CT283" i="5"/>
  <c r="CU283" i="5"/>
  <c r="CV283" i="5"/>
  <c r="CW283" i="5"/>
  <c r="CX283" i="5"/>
  <c r="CY283" i="5"/>
  <c r="CZ283" i="5"/>
  <c r="DA283" i="5"/>
  <c r="DB283" i="5"/>
  <c r="DC283" i="5"/>
  <c r="DD283" i="5"/>
  <c r="DE283" i="5"/>
  <c r="DF283" i="5"/>
  <c r="DG283" i="5"/>
  <c r="DH283" i="5"/>
  <c r="DI283" i="5"/>
  <c r="DJ283" i="5"/>
  <c r="DK283" i="5"/>
  <c r="DL283" i="5"/>
  <c r="DM283" i="5"/>
  <c r="DN283" i="5"/>
  <c r="DO283" i="5"/>
  <c r="DP283" i="5"/>
  <c r="DQ283" i="5"/>
  <c r="DR283" i="5"/>
  <c r="DS283" i="5"/>
  <c r="DT283" i="5"/>
  <c r="DU283" i="5"/>
  <c r="DV283" i="5"/>
  <c r="DW283" i="5"/>
  <c r="DX283" i="5"/>
  <c r="DY283" i="5"/>
  <c r="DZ283" i="5"/>
  <c r="EA283" i="5"/>
  <c r="EB283" i="5"/>
  <c r="EC283" i="5"/>
  <c r="ED283" i="5"/>
  <c r="EE283" i="5"/>
  <c r="EF283" i="5"/>
  <c r="EG283" i="5"/>
  <c r="EH283" i="5"/>
  <c r="EI283" i="5"/>
  <c r="EJ283" i="5"/>
  <c r="EK283" i="5"/>
  <c r="EL283" i="5"/>
  <c r="EM283" i="5"/>
  <c r="EN283" i="5"/>
  <c r="EO283" i="5"/>
  <c r="EP283" i="5"/>
  <c r="EQ283" i="5"/>
  <c r="ER283" i="5"/>
  <c r="ES283" i="5"/>
  <c r="ET283" i="5"/>
  <c r="EU283" i="5"/>
  <c r="EV283" i="5"/>
  <c r="EW283" i="5"/>
  <c r="EX283" i="5"/>
  <c r="EY283" i="5"/>
  <c r="EZ283" i="5"/>
  <c r="FA283" i="5"/>
  <c r="FB283" i="5"/>
  <c r="FC283" i="5"/>
  <c r="FD283" i="5"/>
  <c r="FE283" i="5"/>
  <c r="FF283" i="5"/>
  <c r="FG283" i="5"/>
  <c r="FH283" i="5"/>
  <c r="FI283" i="5"/>
  <c r="FJ283" i="5"/>
  <c r="FK283" i="5"/>
  <c r="FL283" i="5"/>
  <c r="FM283" i="5"/>
  <c r="FN283" i="5"/>
  <c r="FO283" i="5"/>
  <c r="FP283" i="5"/>
  <c r="FQ283" i="5"/>
  <c r="FR283" i="5"/>
  <c r="FS283" i="5"/>
  <c r="FT283" i="5"/>
  <c r="FU283" i="5"/>
  <c r="FV283" i="5"/>
  <c r="FW283" i="5"/>
  <c r="FX283" i="5"/>
  <c r="FY283" i="5"/>
  <c r="FZ283" i="5"/>
  <c r="GA283" i="5"/>
  <c r="GB283" i="5"/>
  <c r="GC283" i="5"/>
  <c r="GD283" i="5"/>
  <c r="GE283" i="5"/>
  <c r="GF283" i="5"/>
  <c r="GG283" i="5"/>
  <c r="GH283" i="5"/>
  <c r="GI283" i="5"/>
  <c r="GJ283" i="5"/>
  <c r="GK283" i="5"/>
  <c r="GL283" i="5"/>
  <c r="GM283" i="5"/>
  <c r="GN283" i="5"/>
  <c r="GO283" i="5"/>
  <c r="GP283" i="5"/>
  <c r="GQ283" i="5"/>
  <c r="GR283" i="5"/>
  <c r="GS283" i="5"/>
  <c r="GT283" i="5"/>
  <c r="GU283" i="5"/>
  <c r="GV283" i="5"/>
  <c r="GW283" i="5"/>
  <c r="GX283" i="5"/>
  <c r="GY283" i="5"/>
  <c r="GZ283" i="5"/>
  <c r="HA283" i="5"/>
  <c r="HB283" i="5"/>
  <c r="HC283" i="5"/>
  <c r="HD283" i="5"/>
  <c r="HE283" i="5"/>
  <c r="HF283" i="5"/>
  <c r="HG283" i="5"/>
  <c r="A284" i="5"/>
  <c r="B284" i="5"/>
  <c r="C284" i="5"/>
  <c r="D284" i="5"/>
  <c r="E284" i="5"/>
  <c r="F284" i="5"/>
  <c r="G284" i="5"/>
  <c r="H284" i="5"/>
  <c r="I284" i="5"/>
  <c r="J284" i="5"/>
  <c r="K284" i="5"/>
  <c r="L284" i="5"/>
  <c r="M284" i="5"/>
  <c r="N284" i="5"/>
  <c r="O284" i="5"/>
  <c r="P284" i="5"/>
  <c r="Q284" i="5"/>
  <c r="R284" i="5"/>
  <c r="S284" i="5"/>
  <c r="T284" i="5"/>
  <c r="U284" i="5"/>
  <c r="V284" i="5"/>
  <c r="W284" i="5"/>
  <c r="X284" i="5"/>
  <c r="Y284" i="5"/>
  <c r="Z284" i="5"/>
  <c r="AA284" i="5"/>
  <c r="AB284" i="5"/>
  <c r="AC284" i="5"/>
  <c r="AD284" i="5"/>
  <c r="AE284" i="5"/>
  <c r="AF284" i="5"/>
  <c r="AG284" i="5"/>
  <c r="AH284" i="5"/>
  <c r="AI284" i="5"/>
  <c r="AJ284" i="5"/>
  <c r="AK284" i="5"/>
  <c r="AL284" i="5"/>
  <c r="AM284" i="5"/>
  <c r="AN284" i="5"/>
  <c r="AO284" i="5"/>
  <c r="AP284" i="5"/>
  <c r="AQ284" i="5"/>
  <c r="AR284" i="5"/>
  <c r="AS284" i="5"/>
  <c r="AT284" i="5"/>
  <c r="AU284" i="5"/>
  <c r="AV284" i="5"/>
  <c r="AW284" i="5"/>
  <c r="AX284" i="5"/>
  <c r="AY284" i="5"/>
  <c r="AZ284" i="5"/>
  <c r="BA284" i="5"/>
  <c r="BB284" i="5"/>
  <c r="BC284" i="5"/>
  <c r="BD284" i="5"/>
  <c r="BE284" i="5"/>
  <c r="BF284" i="5"/>
  <c r="BG284" i="5"/>
  <c r="BH284" i="5"/>
  <c r="BI284" i="5"/>
  <c r="BJ284" i="5"/>
  <c r="BK284" i="5"/>
  <c r="BL284" i="5"/>
  <c r="BM284" i="5"/>
  <c r="BN284" i="5"/>
  <c r="BO284" i="5"/>
  <c r="BP284" i="5"/>
  <c r="BQ284" i="5"/>
  <c r="BR284" i="5"/>
  <c r="BS284" i="5"/>
  <c r="BT284" i="5"/>
  <c r="BU284" i="5"/>
  <c r="BV284" i="5"/>
  <c r="BW284" i="5"/>
  <c r="BX284" i="5"/>
  <c r="BY284" i="5"/>
  <c r="BZ284" i="5"/>
  <c r="CA284" i="5"/>
  <c r="CB284" i="5"/>
  <c r="CC284" i="5"/>
  <c r="CD284" i="5"/>
  <c r="CE284" i="5"/>
  <c r="CF284" i="5"/>
  <c r="CG284" i="5"/>
  <c r="CH284" i="5"/>
  <c r="CI284" i="5"/>
  <c r="CJ284" i="5"/>
  <c r="CK284" i="5"/>
  <c r="CL284" i="5"/>
  <c r="CM284" i="5"/>
  <c r="CN284" i="5"/>
  <c r="CO284" i="5"/>
  <c r="CP284" i="5"/>
  <c r="CQ284" i="5"/>
  <c r="CR284" i="5"/>
  <c r="CS284" i="5"/>
  <c r="CT284" i="5"/>
  <c r="CU284" i="5"/>
  <c r="CV284" i="5"/>
  <c r="CW284" i="5"/>
  <c r="CX284" i="5"/>
  <c r="CY284" i="5"/>
  <c r="CZ284" i="5"/>
  <c r="DA284" i="5"/>
  <c r="DB284" i="5"/>
  <c r="DC284" i="5"/>
  <c r="DD284" i="5"/>
  <c r="DE284" i="5"/>
  <c r="DF284" i="5"/>
  <c r="DG284" i="5"/>
  <c r="DH284" i="5"/>
  <c r="DI284" i="5"/>
  <c r="DJ284" i="5"/>
  <c r="DK284" i="5"/>
  <c r="DL284" i="5"/>
  <c r="DM284" i="5"/>
  <c r="DN284" i="5"/>
  <c r="DO284" i="5"/>
  <c r="DP284" i="5"/>
  <c r="DQ284" i="5"/>
  <c r="DR284" i="5"/>
  <c r="DS284" i="5"/>
  <c r="DT284" i="5"/>
  <c r="DU284" i="5"/>
  <c r="DV284" i="5"/>
  <c r="DW284" i="5"/>
  <c r="DX284" i="5"/>
  <c r="DY284" i="5"/>
  <c r="DZ284" i="5"/>
  <c r="EA284" i="5"/>
  <c r="EB284" i="5"/>
  <c r="EC284" i="5"/>
  <c r="ED284" i="5"/>
  <c r="EE284" i="5"/>
  <c r="EF284" i="5"/>
  <c r="EG284" i="5"/>
  <c r="EH284" i="5"/>
  <c r="EI284" i="5"/>
  <c r="EJ284" i="5"/>
  <c r="EK284" i="5"/>
  <c r="EL284" i="5"/>
  <c r="EM284" i="5"/>
  <c r="EN284" i="5"/>
  <c r="EO284" i="5"/>
  <c r="EP284" i="5"/>
  <c r="EQ284" i="5"/>
  <c r="ER284" i="5"/>
  <c r="ES284" i="5"/>
  <c r="ET284" i="5"/>
  <c r="EU284" i="5"/>
  <c r="EV284" i="5"/>
  <c r="EW284" i="5"/>
  <c r="EX284" i="5"/>
  <c r="EY284" i="5"/>
  <c r="EZ284" i="5"/>
  <c r="FA284" i="5"/>
  <c r="FB284" i="5"/>
  <c r="FC284" i="5"/>
  <c r="FD284" i="5"/>
  <c r="FE284" i="5"/>
  <c r="FF284" i="5"/>
  <c r="FG284" i="5"/>
  <c r="FH284" i="5"/>
  <c r="FI284" i="5"/>
  <c r="FJ284" i="5"/>
  <c r="FK284" i="5"/>
  <c r="FL284" i="5"/>
  <c r="FM284" i="5"/>
  <c r="FN284" i="5"/>
  <c r="FO284" i="5"/>
  <c r="FP284" i="5"/>
  <c r="FQ284" i="5"/>
  <c r="FR284" i="5"/>
  <c r="FS284" i="5"/>
  <c r="FT284" i="5"/>
  <c r="FU284" i="5"/>
  <c r="FV284" i="5"/>
  <c r="FW284" i="5"/>
  <c r="FX284" i="5"/>
  <c r="FY284" i="5"/>
  <c r="FZ284" i="5"/>
  <c r="GA284" i="5"/>
  <c r="GB284" i="5"/>
  <c r="GC284" i="5"/>
  <c r="GD284" i="5"/>
  <c r="GE284" i="5"/>
  <c r="GF284" i="5"/>
  <c r="GG284" i="5"/>
  <c r="GH284" i="5"/>
  <c r="GI284" i="5"/>
  <c r="GJ284" i="5"/>
  <c r="GK284" i="5"/>
  <c r="GL284" i="5"/>
  <c r="GM284" i="5"/>
  <c r="GN284" i="5"/>
  <c r="GO284" i="5"/>
  <c r="GP284" i="5"/>
  <c r="GQ284" i="5"/>
  <c r="GR284" i="5"/>
  <c r="GS284" i="5"/>
  <c r="GT284" i="5"/>
  <c r="GU284" i="5"/>
  <c r="GV284" i="5"/>
  <c r="GW284" i="5"/>
  <c r="GX284" i="5"/>
  <c r="GY284" i="5"/>
  <c r="GZ284" i="5"/>
  <c r="HA284" i="5"/>
  <c r="HB284" i="5"/>
  <c r="HC284" i="5"/>
  <c r="HD284" i="5"/>
  <c r="HE284" i="5"/>
  <c r="HF284" i="5"/>
  <c r="HG284" i="5"/>
  <c r="A285" i="5"/>
  <c r="B285" i="5"/>
  <c r="C285" i="5"/>
  <c r="D285" i="5"/>
  <c r="E285" i="5"/>
  <c r="F285" i="5"/>
  <c r="G285" i="5"/>
  <c r="H285" i="5"/>
  <c r="I285" i="5"/>
  <c r="J285" i="5"/>
  <c r="K285" i="5"/>
  <c r="L285" i="5"/>
  <c r="M285" i="5"/>
  <c r="N285" i="5"/>
  <c r="O285" i="5"/>
  <c r="P285" i="5"/>
  <c r="Q285" i="5"/>
  <c r="R285" i="5"/>
  <c r="S285" i="5"/>
  <c r="T285" i="5"/>
  <c r="U285" i="5"/>
  <c r="V285" i="5"/>
  <c r="W285" i="5"/>
  <c r="X285" i="5"/>
  <c r="Y285" i="5"/>
  <c r="Z285" i="5"/>
  <c r="AA285" i="5"/>
  <c r="AB285" i="5"/>
  <c r="AC285" i="5"/>
  <c r="AD285" i="5"/>
  <c r="AE285" i="5"/>
  <c r="AF285" i="5"/>
  <c r="AG285" i="5"/>
  <c r="AH285" i="5"/>
  <c r="AI285" i="5"/>
  <c r="AJ285" i="5"/>
  <c r="AK285" i="5"/>
  <c r="AL285" i="5"/>
  <c r="AM285" i="5"/>
  <c r="AN285" i="5"/>
  <c r="AO285" i="5"/>
  <c r="AP285" i="5"/>
  <c r="AQ285" i="5"/>
  <c r="AR285" i="5"/>
  <c r="AS285" i="5"/>
  <c r="AT285" i="5"/>
  <c r="AU285" i="5"/>
  <c r="AV285" i="5"/>
  <c r="AW285" i="5"/>
  <c r="AX285" i="5"/>
  <c r="AY285" i="5"/>
  <c r="AZ285" i="5"/>
  <c r="BA285" i="5"/>
  <c r="BB285" i="5"/>
  <c r="BC285" i="5"/>
  <c r="BD285" i="5"/>
  <c r="BE285" i="5"/>
  <c r="BF285" i="5"/>
  <c r="BG285" i="5"/>
  <c r="BH285" i="5"/>
  <c r="BI285" i="5"/>
  <c r="BJ285" i="5"/>
  <c r="BK285" i="5"/>
  <c r="BL285" i="5"/>
  <c r="BM285" i="5"/>
  <c r="BN285" i="5"/>
  <c r="BO285" i="5"/>
  <c r="BP285" i="5"/>
  <c r="BQ285" i="5"/>
  <c r="BR285" i="5"/>
  <c r="BS285" i="5"/>
  <c r="BT285" i="5"/>
  <c r="BU285" i="5"/>
  <c r="BV285" i="5"/>
  <c r="BW285" i="5"/>
  <c r="BX285" i="5"/>
  <c r="BY285" i="5"/>
  <c r="BZ285" i="5"/>
  <c r="CA285" i="5"/>
  <c r="CB285" i="5"/>
  <c r="CC285" i="5"/>
  <c r="CD285" i="5"/>
  <c r="CE285" i="5"/>
  <c r="CF285" i="5"/>
  <c r="CG285" i="5"/>
  <c r="CH285" i="5"/>
  <c r="CI285" i="5"/>
  <c r="CJ285" i="5"/>
  <c r="CK285" i="5"/>
  <c r="CL285" i="5"/>
  <c r="CM285" i="5"/>
  <c r="CN285" i="5"/>
  <c r="CO285" i="5"/>
  <c r="CP285" i="5"/>
  <c r="CQ285" i="5"/>
  <c r="CR285" i="5"/>
  <c r="CS285" i="5"/>
  <c r="CT285" i="5"/>
  <c r="CU285" i="5"/>
  <c r="CV285" i="5"/>
  <c r="CW285" i="5"/>
  <c r="CX285" i="5"/>
  <c r="CY285" i="5"/>
  <c r="CZ285" i="5"/>
  <c r="DA285" i="5"/>
  <c r="DB285" i="5"/>
  <c r="DC285" i="5"/>
  <c r="DD285" i="5"/>
  <c r="DE285" i="5"/>
  <c r="DF285" i="5"/>
  <c r="DG285" i="5"/>
  <c r="DH285" i="5"/>
  <c r="DI285" i="5"/>
  <c r="DJ285" i="5"/>
  <c r="DK285" i="5"/>
  <c r="DL285" i="5"/>
  <c r="DM285" i="5"/>
  <c r="DN285" i="5"/>
  <c r="DO285" i="5"/>
  <c r="DP285" i="5"/>
  <c r="DQ285" i="5"/>
  <c r="DR285" i="5"/>
  <c r="DS285" i="5"/>
  <c r="DT285" i="5"/>
  <c r="DU285" i="5"/>
  <c r="DV285" i="5"/>
  <c r="DW285" i="5"/>
  <c r="DX285" i="5"/>
  <c r="DY285" i="5"/>
  <c r="DZ285" i="5"/>
  <c r="EA285" i="5"/>
  <c r="EB285" i="5"/>
  <c r="EC285" i="5"/>
  <c r="ED285" i="5"/>
  <c r="EE285" i="5"/>
  <c r="EF285" i="5"/>
  <c r="EG285" i="5"/>
  <c r="EH285" i="5"/>
  <c r="EI285" i="5"/>
  <c r="EJ285" i="5"/>
  <c r="EK285" i="5"/>
  <c r="EL285" i="5"/>
  <c r="EM285" i="5"/>
  <c r="EN285" i="5"/>
  <c r="EO285" i="5"/>
  <c r="EP285" i="5"/>
  <c r="EQ285" i="5"/>
  <c r="ER285" i="5"/>
  <c r="ES285" i="5"/>
  <c r="ET285" i="5"/>
  <c r="EU285" i="5"/>
  <c r="EV285" i="5"/>
  <c r="EW285" i="5"/>
  <c r="EX285" i="5"/>
  <c r="EY285" i="5"/>
  <c r="EZ285" i="5"/>
  <c r="FA285" i="5"/>
  <c r="FB285" i="5"/>
  <c r="FC285" i="5"/>
  <c r="FD285" i="5"/>
  <c r="FE285" i="5"/>
  <c r="FF285" i="5"/>
  <c r="FG285" i="5"/>
  <c r="FH285" i="5"/>
  <c r="FI285" i="5"/>
  <c r="FJ285" i="5"/>
  <c r="FK285" i="5"/>
  <c r="FL285" i="5"/>
  <c r="FM285" i="5"/>
  <c r="FN285" i="5"/>
  <c r="FO285" i="5"/>
  <c r="FP285" i="5"/>
  <c r="FQ285" i="5"/>
  <c r="FR285" i="5"/>
  <c r="FS285" i="5"/>
  <c r="FT285" i="5"/>
  <c r="FU285" i="5"/>
  <c r="FV285" i="5"/>
  <c r="FW285" i="5"/>
  <c r="FX285" i="5"/>
  <c r="FY285" i="5"/>
  <c r="FZ285" i="5"/>
  <c r="GA285" i="5"/>
  <c r="GB285" i="5"/>
  <c r="GC285" i="5"/>
  <c r="GD285" i="5"/>
  <c r="GE285" i="5"/>
  <c r="GF285" i="5"/>
  <c r="GG285" i="5"/>
  <c r="GH285" i="5"/>
  <c r="GI285" i="5"/>
  <c r="GJ285" i="5"/>
  <c r="GK285" i="5"/>
  <c r="GL285" i="5"/>
  <c r="GM285" i="5"/>
  <c r="GN285" i="5"/>
  <c r="GO285" i="5"/>
  <c r="GP285" i="5"/>
  <c r="GQ285" i="5"/>
  <c r="GR285" i="5"/>
  <c r="GS285" i="5"/>
  <c r="GT285" i="5"/>
  <c r="GU285" i="5"/>
  <c r="GV285" i="5"/>
  <c r="GW285" i="5"/>
  <c r="GX285" i="5"/>
  <c r="GY285" i="5"/>
  <c r="GZ285" i="5"/>
  <c r="HA285" i="5"/>
  <c r="HB285" i="5"/>
  <c r="HC285" i="5"/>
  <c r="HD285" i="5"/>
  <c r="HE285" i="5"/>
  <c r="HF285" i="5"/>
  <c r="HG285" i="5"/>
  <c r="A286" i="5"/>
  <c r="B286" i="5"/>
  <c r="C286" i="5"/>
  <c r="D286" i="5"/>
  <c r="E286" i="5"/>
  <c r="F286" i="5"/>
  <c r="G286" i="5"/>
  <c r="H286" i="5"/>
  <c r="I286" i="5"/>
  <c r="J286" i="5"/>
  <c r="K286" i="5"/>
  <c r="L286" i="5"/>
  <c r="M286" i="5"/>
  <c r="N286" i="5"/>
  <c r="O286" i="5"/>
  <c r="P286" i="5"/>
  <c r="Q286" i="5"/>
  <c r="R286" i="5"/>
  <c r="S286" i="5"/>
  <c r="T286" i="5"/>
  <c r="U286" i="5"/>
  <c r="V286" i="5"/>
  <c r="W286" i="5"/>
  <c r="X286" i="5"/>
  <c r="Y286" i="5"/>
  <c r="Z286" i="5"/>
  <c r="AA286" i="5"/>
  <c r="AB286" i="5"/>
  <c r="AC286" i="5"/>
  <c r="AD286" i="5"/>
  <c r="AE286" i="5"/>
  <c r="AF286" i="5"/>
  <c r="AG286" i="5"/>
  <c r="AH286" i="5"/>
  <c r="AI286" i="5"/>
  <c r="AJ286" i="5"/>
  <c r="AK286" i="5"/>
  <c r="AL286" i="5"/>
  <c r="AM286" i="5"/>
  <c r="AN286" i="5"/>
  <c r="AO286" i="5"/>
  <c r="AP286" i="5"/>
  <c r="AQ286" i="5"/>
  <c r="AR286" i="5"/>
  <c r="AS286" i="5"/>
  <c r="AT286" i="5"/>
  <c r="AU286" i="5"/>
  <c r="AV286" i="5"/>
  <c r="AW286" i="5"/>
  <c r="AX286" i="5"/>
  <c r="AY286" i="5"/>
  <c r="AZ286" i="5"/>
  <c r="BA286" i="5"/>
  <c r="BB286" i="5"/>
  <c r="BC286" i="5"/>
  <c r="BD286" i="5"/>
  <c r="BE286" i="5"/>
  <c r="BF286" i="5"/>
  <c r="BG286" i="5"/>
  <c r="BH286" i="5"/>
  <c r="BI286" i="5"/>
  <c r="BJ286" i="5"/>
  <c r="BK286" i="5"/>
  <c r="BL286" i="5"/>
  <c r="BM286" i="5"/>
  <c r="BN286" i="5"/>
  <c r="BO286" i="5"/>
  <c r="BP286" i="5"/>
  <c r="BQ286" i="5"/>
  <c r="BR286" i="5"/>
  <c r="BS286" i="5"/>
  <c r="BT286" i="5"/>
  <c r="BU286" i="5"/>
  <c r="BV286" i="5"/>
  <c r="BW286" i="5"/>
  <c r="BX286" i="5"/>
  <c r="BY286" i="5"/>
  <c r="BZ286" i="5"/>
  <c r="CA286" i="5"/>
  <c r="CB286" i="5"/>
  <c r="CC286" i="5"/>
  <c r="CD286" i="5"/>
  <c r="CE286" i="5"/>
  <c r="CF286" i="5"/>
  <c r="CG286" i="5"/>
  <c r="CH286" i="5"/>
  <c r="CI286" i="5"/>
  <c r="CJ286" i="5"/>
  <c r="CK286" i="5"/>
  <c r="CL286" i="5"/>
  <c r="CM286" i="5"/>
  <c r="CN286" i="5"/>
  <c r="CO286" i="5"/>
  <c r="CP286" i="5"/>
  <c r="CQ286" i="5"/>
  <c r="CR286" i="5"/>
  <c r="CS286" i="5"/>
  <c r="CT286" i="5"/>
  <c r="CU286" i="5"/>
  <c r="CV286" i="5"/>
  <c r="CW286" i="5"/>
  <c r="CX286" i="5"/>
  <c r="CY286" i="5"/>
  <c r="CZ286" i="5"/>
  <c r="DA286" i="5"/>
  <c r="DB286" i="5"/>
  <c r="DC286" i="5"/>
  <c r="DD286" i="5"/>
  <c r="DE286" i="5"/>
  <c r="DF286" i="5"/>
  <c r="DG286" i="5"/>
  <c r="DH286" i="5"/>
  <c r="DI286" i="5"/>
  <c r="DJ286" i="5"/>
  <c r="DK286" i="5"/>
  <c r="DL286" i="5"/>
  <c r="DM286" i="5"/>
  <c r="DN286" i="5"/>
  <c r="DO286" i="5"/>
  <c r="DP286" i="5"/>
  <c r="DQ286" i="5"/>
  <c r="DR286" i="5"/>
  <c r="DS286" i="5"/>
  <c r="DT286" i="5"/>
  <c r="DU286" i="5"/>
  <c r="DV286" i="5"/>
  <c r="DW286" i="5"/>
  <c r="DX286" i="5"/>
  <c r="DY286" i="5"/>
  <c r="DZ286" i="5"/>
  <c r="EA286" i="5"/>
  <c r="EB286" i="5"/>
  <c r="EC286" i="5"/>
  <c r="ED286" i="5"/>
  <c r="EE286" i="5"/>
  <c r="EF286" i="5"/>
  <c r="EG286" i="5"/>
  <c r="EH286" i="5"/>
  <c r="EI286" i="5"/>
  <c r="EJ286" i="5"/>
  <c r="EK286" i="5"/>
  <c r="EL286" i="5"/>
  <c r="EM286" i="5"/>
  <c r="EN286" i="5"/>
  <c r="EO286" i="5"/>
  <c r="EP286" i="5"/>
  <c r="EQ286" i="5"/>
  <c r="ER286" i="5"/>
  <c r="ES286" i="5"/>
  <c r="ET286" i="5"/>
  <c r="EU286" i="5"/>
  <c r="EV286" i="5"/>
  <c r="EW286" i="5"/>
  <c r="EX286" i="5"/>
  <c r="EY286" i="5"/>
  <c r="EZ286" i="5"/>
  <c r="FA286" i="5"/>
  <c r="FB286" i="5"/>
  <c r="FC286" i="5"/>
  <c r="FD286" i="5"/>
  <c r="FE286" i="5"/>
  <c r="FF286" i="5"/>
  <c r="FG286" i="5"/>
  <c r="FH286" i="5"/>
  <c r="FI286" i="5"/>
  <c r="FJ286" i="5"/>
  <c r="FK286" i="5"/>
  <c r="FL286" i="5"/>
  <c r="FM286" i="5"/>
  <c r="FN286" i="5"/>
  <c r="FO286" i="5"/>
  <c r="FP286" i="5"/>
  <c r="FQ286" i="5"/>
  <c r="FR286" i="5"/>
  <c r="FS286" i="5"/>
  <c r="FT286" i="5"/>
  <c r="FU286" i="5"/>
  <c r="FV286" i="5"/>
  <c r="FW286" i="5"/>
  <c r="FX286" i="5"/>
  <c r="FY286" i="5"/>
  <c r="FZ286" i="5"/>
  <c r="GA286" i="5"/>
  <c r="GB286" i="5"/>
  <c r="GC286" i="5"/>
  <c r="GD286" i="5"/>
  <c r="GE286" i="5"/>
  <c r="GF286" i="5"/>
  <c r="GG286" i="5"/>
  <c r="GH286" i="5"/>
  <c r="GI286" i="5"/>
  <c r="GJ286" i="5"/>
  <c r="GK286" i="5"/>
  <c r="GL286" i="5"/>
  <c r="GM286" i="5"/>
  <c r="GN286" i="5"/>
  <c r="GO286" i="5"/>
  <c r="GP286" i="5"/>
  <c r="GQ286" i="5"/>
  <c r="GR286" i="5"/>
  <c r="GS286" i="5"/>
  <c r="GT286" i="5"/>
  <c r="GU286" i="5"/>
  <c r="GV286" i="5"/>
  <c r="GW286" i="5"/>
  <c r="GX286" i="5"/>
  <c r="GY286" i="5"/>
  <c r="GZ286" i="5"/>
  <c r="HA286" i="5"/>
  <c r="HB286" i="5"/>
  <c r="HC286" i="5"/>
  <c r="HD286" i="5"/>
  <c r="HE286" i="5"/>
  <c r="HF286" i="5"/>
  <c r="HG286" i="5"/>
  <c r="A287" i="5"/>
  <c r="B287" i="5"/>
  <c r="C287" i="5"/>
  <c r="D287" i="5"/>
  <c r="E287" i="5"/>
  <c r="F287" i="5"/>
  <c r="G287" i="5"/>
  <c r="H287" i="5"/>
  <c r="I287" i="5"/>
  <c r="J287" i="5"/>
  <c r="K287" i="5"/>
  <c r="L287" i="5"/>
  <c r="M287" i="5"/>
  <c r="N287" i="5"/>
  <c r="O287" i="5"/>
  <c r="P287" i="5"/>
  <c r="Q287" i="5"/>
  <c r="R287" i="5"/>
  <c r="S287" i="5"/>
  <c r="T287" i="5"/>
  <c r="U287" i="5"/>
  <c r="V287" i="5"/>
  <c r="W287" i="5"/>
  <c r="X287" i="5"/>
  <c r="Y287" i="5"/>
  <c r="Z287" i="5"/>
  <c r="AA287" i="5"/>
  <c r="AB287" i="5"/>
  <c r="AC287" i="5"/>
  <c r="AD287" i="5"/>
  <c r="AE287" i="5"/>
  <c r="AF287" i="5"/>
  <c r="AG287" i="5"/>
  <c r="AH287" i="5"/>
  <c r="AI287" i="5"/>
  <c r="AJ287" i="5"/>
  <c r="AK287" i="5"/>
  <c r="AL287" i="5"/>
  <c r="AM287" i="5"/>
  <c r="AN287" i="5"/>
  <c r="AO287" i="5"/>
  <c r="AP287" i="5"/>
  <c r="AQ287" i="5"/>
  <c r="AR287" i="5"/>
  <c r="AS287" i="5"/>
  <c r="AT287" i="5"/>
  <c r="AU287" i="5"/>
  <c r="AV287" i="5"/>
  <c r="AW287" i="5"/>
  <c r="AX287" i="5"/>
  <c r="AY287" i="5"/>
  <c r="AZ287" i="5"/>
  <c r="BA287" i="5"/>
  <c r="BB287" i="5"/>
  <c r="BC287" i="5"/>
  <c r="BD287" i="5"/>
  <c r="BE287" i="5"/>
  <c r="BF287" i="5"/>
  <c r="BG287" i="5"/>
  <c r="BH287" i="5"/>
  <c r="BI287" i="5"/>
  <c r="BJ287" i="5"/>
  <c r="BK287" i="5"/>
  <c r="BL287" i="5"/>
  <c r="BM287" i="5"/>
  <c r="BN287" i="5"/>
  <c r="BO287" i="5"/>
  <c r="BP287" i="5"/>
  <c r="BQ287" i="5"/>
  <c r="BR287" i="5"/>
  <c r="BS287" i="5"/>
  <c r="BT287" i="5"/>
  <c r="BU287" i="5"/>
  <c r="BV287" i="5"/>
  <c r="BW287" i="5"/>
  <c r="BX287" i="5"/>
  <c r="BY287" i="5"/>
  <c r="BZ287" i="5"/>
  <c r="CA287" i="5"/>
  <c r="CB287" i="5"/>
  <c r="CC287" i="5"/>
  <c r="CD287" i="5"/>
  <c r="CE287" i="5"/>
  <c r="CF287" i="5"/>
  <c r="CG287" i="5"/>
  <c r="CH287" i="5"/>
  <c r="CI287" i="5"/>
  <c r="CJ287" i="5"/>
  <c r="CK287" i="5"/>
  <c r="CL287" i="5"/>
  <c r="CM287" i="5"/>
  <c r="CN287" i="5"/>
  <c r="CO287" i="5"/>
  <c r="CP287" i="5"/>
  <c r="CQ287" i="5"/>
  <c r="CR287" i="5"/>
  <c r="CS287" i="5"/>
  <c r="CT287" i="5"/>
  <c r="CU287" i="5"/>
  <c r="CV287" i="5"/>
  <c r="CW287" i="5"/>
  <c r="CX287" i="5"/>
  <c r="CY287" i="5"/>
  <c r="CZ287" i="5"/>
  <c r="DA287" i="5"/>
  <c r="DB287" i="5"/>
  <c r="DC287" i="5"/>
  <c r="DD287" i="5"/>
  <c r="DE287" i="5"/>
  <c r="DF287" i="5"/>
  <c r="DG287" i="5"/>
  <c r="DH287" i="5"/>
  <c r="DI287" i="5"/>
  <c r="DJ287" i="5"/>
  <c r="DK287" i="5"/>
  <c r="DL287" i="5"/>
  <c r="DM287" i="5"/>
  <c r="DN287" i="5"/>
  <c r="DO287" i="5"/>
  <c r="DP287" i="5"/>
  <c r="DQ287" i="5"/>
  <c r="DR287" i="5"/>
  <c r="DS287" i="5"/>
  <c r="DT287" i="5"/>
  <c r="DU287" i="5"/>
  <c r="DV287" i="5"/>
  <c r="DW287" i="5"/>
  <c r="DX287" i="5"/>
  <c r="DY287" i="5"/>
  <c r="DZ287" i="5"/>
  <c r="EA287" i="5"/>
  <c r="EB287" i="5"/>
  <c r="EC287" i="5"/>
  <c r="ED287" i="5"/>
  <c r="EE287" i="5"/>
  <c r="EF287" i="5"/>
  <c r="EG287" i="5"/>
  <c r="EH287" i="5"/>
  <c r="EI287" i="5"/>
  <c r="EJ287" i="5"/>
  <c r="EK287" i="5"/>
  <c r="EL287" i="5"/>
  <c r="EM287" i="5"/>
  <c r="EN287" i="5"/>
  <c r="EO287" i="5"/>
  <c r="EP287" i="5"/>
  <c r="EQ287" i="5"/>
  <c r="ER287" i="5"/>
  <c r="ES287" i="5"/>
  <c r="ET287" i="5"/>
  <c r="EU287" i="5"/>
  <c r="EV287" i="5"/>
  <c r="EW287" i="5"/>
  <c r="EX287" i="5"/>
  <c r="EY287" i="5"/>
  <c r="EZ287" i="5"/>
  <c r="FA287" i="5"/>
  <c r="FB287" i="5"/>
  <c r="FC287" i="5"/>
  <c r="FD287" i="5"/>
  <c r="FE287" i="5"/>
  <c r="FF287" i="5"/>
  <c r="FG287" i="5"/>
  <c r="FH287" i="5"/>
  <c r="FI287" i="5"/>
  <c r="FJ287" i="5"/>
  <c r="FK287" i="5"/>
  <c r="FL287" i="5"/>
  <c r="FM287" i="5"/>
  <c r="FN287" i="5"/>
  <c r="FO287" i="5"/>
  <c r="FP287" i="5"/>
  <c r="FQ287" i="5"/>
  <c r="FR287" i="5"/>
  <c r="FS287" i="5"/>
  <c r="FT287" i="5"/>
  <c r="FU287" i="5"/>
  <c r="FV287" i="5"/>
  <c r="FW287" i="5"/>
  <c r="FX287" i="5"/>
  <c r="FY287" i="5"/>
  <c r="FZ287" i="5"/>
  <c r="GA287" i="5"/>
  <c r="GB287" i="5"/>
  <c r="GC287" i="5"/>
  <c r="GD287" i="5"/>
  <c r="GE287" i="5"/>
  <c r="GF287" i="5"/>
  <c r="GG287" i="5"/>
  <c r="GH287" i="5"/>
  <c r="GI287" i="5"/>
  <c r="GJ287" i="5"/>
  <c r="GK287" i="5"/>
  <c r="GL287" i="5"/>
  <c r="GM287" i="5"/>
  <c r="GN287" i="5"/>
  <c r="GO287" i="5"/>
  <c r="GP287" i="5"/>
  <c r="GQ287" i="5"/>
  <c r="GR287" i="5"/>
  <c r="GS287" i="5"/>
  <c r="GT287" i="5"/>
  <c r="GU287" i="5"/>
  <c r="GV287" i="5"/>
  <c r="GW287" i="5"/>
  <c r="GX287" i="5"/>
  <c r="GY287" i="5"/>
  <c r="GZ287" i="5"/>
  <c r="HA287" i="5"/>
  <c r="HB287" i="5"/>
  <c r="HC287" i="5"/>
  <c r="HD287" i="5"/>
  <c r="HE287" i="5"/>
  <c r="HF287" i="5"/>
  <c r="HG287" i="5"/>
  <c r="A288" i="5"/>
  <c r="B288" i="5"/>
  <c r="C288" i="5"/>
  <c r="D288" i="5"/>
  <c r="E288" i="5"/>
  <c r="F288" i="5"/>
  <c r="G288" i="5"/>
  <c r="H288" i="5"/>
  <c r="I288" i="5"/>
  <c r="J288" i="5"/>
  <c r="K288" i="5"/>
  <c r="L288" i="5"/>
  <c r="M288" i="5"/>
  <c r="N288" i="5"/>
  <c r="O288" i="5"/>
  <c r="P288" i="5"/>
  <c r="Q288" i="5"/>
  <c r="R288" i="5"/>
  <c r="S288" i="5"/>
  <c r="T288" i="5"/>
  <c r="U288" i="5"/>
  <c r="V288" i="5"/>
  <c r="W288" i="5"/>
  <c r="X288" i="5"/>
  <c r="Y288" i="5"/>
  <c r="Z288" i="5"/>
  <c r="AA288" i="5"/>
  <c r="AB288" i="5"/>
  <c r="AC288" i="5"/>
  <c r="AD288" i="5"/>
  <c r="AE288" i="5"/>
  <c r="AF288" i="5"/>
  <c r="AG288" i="5"/>
  <c r="AH288" i="5"/>
  <c r="AI288" i="5"/>
  <c r="AJ288" i="5"/>
  <c r="AK288" i="5"/>
  <c r="AL288" i="5"/>
  <c r="AM288" i="5"/>
  <c r="AN288" i="5"/>
  <c r="AO288" i="5"/>
  <c r="AP288" i="5"/>
  <c r="AQ288" i="5"/>
  <c r="AR288" i="5"/>
  <c r="AS288" i="5"/>
  <c r="AT288" i="5"/>
  <c r="AU288" i="5"/>
  <c r="AV288" i="5"/>
  <c r="AW288" i="5"/>
  <c r="AX288" i="5"/>
  <c r="AY288" i="5"/>
  <c r="AZ288" i="5"/>
  <c r="BA288" i="5"/>
  <c r="BB288" i="5"/>
  <c r="BC288" i="5"/>
  <c r="BD288" i="5"/>
  <c r="BE288" i="5"/>
  <c r="BF288" i="5"/>
  <c r="BG288" i="5"/>
  <c r="BH288" i="5"/>
  <c r="BI288" i="5"/>
  <c r="BJ288" i="5"/>
  <c r="BK288" i="5"/>
  <c r="BL288" i="5"/>
  <c r="BM288" i="5"/>
  <c r="BN288" i="5"/>
  <c r="BO288" i="5"/>
  <c r="BP288" i="5"/>
  <c r="BQ288" i="5"/>
  <c r="BR288" i="5"/>
  <c r="BS288" i="5"/>
  <c r="BT288" i="5"/>
  <c r="BU288" i="5"/>
  <c r="BV288" i="5"/>
  <c r="BW288" i="5"/>
  <c r="BX288" i="5"/>
  <c r="BY288" i="5"/>
  <c r="BZ288" i="5"/>
  <c r="CA288" i="5"/>
  <c r="CB288" i="5"/>
  <c r="CC288" i="5"/>
  <c r="CD288" i="5"/>
  <c r="CE288" i="5"/>
  <c r="CF288" i="5"/>
  <c r="CG288" i="5"/>
  <c r="CH288" i="5"/>
  <c r="CI288" i="5"/>
  <c r="CJ288" i="5"/>
  <c r="CK288" i="5"/>
  <c r="CL288" i="5"/>
  <c r="CM288" i="5"/>
  <c r="CN288" i="5"/>
  <c r="CO288" i="5"/>
  <c r="CP288" i="5"/>
  <c r="CQ288" i="5"/>
  <c r="CR288" i="5"/>
  <c r="CS288" i="5"/>
  <c r="CT288" i="5"/>
  <c r="CU288" i="5"/>
  <c r="CV288" i="5"/>
  <c r="CW288" i="5"/>
  <c r="CX288" i="5"/>
  <c r="CY288" i="5"/>
  <c r="CZ288" i="5"/>
  <c r="DA288" i="5"/>
  <c r="DB288" i="5"/>
  <c r="DC288" i="5"/>
  <c r="DD288" i="5"/>
  <c r="DE288" i="5"/>
  <c r="DF288" i="5"/>
  <c r="DG288" i="5"/>
  <c r="DH288" i="5"/>
  <c r="DI288" i="5"/>
  <c r="DJ288" i="5"/>
  <c r="DK288" i="5"/>
  <c r="DL288" i="5"/>
  <c r="DM288" i="5"/>
  <c r="DN288" i="5"/>
  <c r="DO288" i="5"/>
  <c r="DP288" i="5"/>
  <c r="DQ288" i="5"/>
  <c r="DR288" i="5"/>
  <c r="DS288" i="5"/>
  <c r="DT288" i="5"/>
  <c r="DU288" i="5"/>
  <c r="DV288" i="5"/>
  <c r="DW288" i="5"/>
  <c r="DX288" i="5"/>
  <c r="DY288" i="5"/>
  <c r="DZ288" i="5"/>
  <c r="EA288" i="5"/>
  <c r="EB288" i="5"/>
  <c r="EC288" i="5"/>
  <c r="ED288" i="5"/>
  <c r="EE288" i="5"/>
  <c r="EF288" i="5"/>
  <c r="EG288" i="5"/>
  <c r="EH288" i="5"/>
  <c r="EI288" i="5"/>
  <c r="EJ288" i="5"/>
  <c r="EK288" i="5"/>
  <c r="EL288" i="5"/>
  <c r="EM288" i="5"/>
  <c r="EN288" i="5"/>
  <c r="EO288" i="5"/>
  <c r="EP288" i="5"/>
  <c r="EQ288" i="5"/>
  <c r="ER288" i="5"/>
  <c r="ES288" i="5"/>
  <c r="ET288" i="5"/>
  <c r="EU288" i="5"/>
  <c r="EV288" i="5"/>
  <c r="EW288" i="5"/>
  <c r="EX288" i="5"/>
  <c r="EY288" i="5"/>
  <c r="EZ288" i="5"/>
  <c r="FA288" i="5"/>
  <c r="FB288" i="5"/>
  <c r="FC288" i="5"/>
  <c r="FD288" i="5"/>
  <c r="FE288" i="5"/>
  <c r="FF288" i="5"/>
  <c r="FG288" i="5"/>
  <c r="FH288" i="5"/>
  <c r="FI288" i="5"/>
  <c r="FJ288" i="5"/>
  <c r="FK288" i="5"/>
  <c r="FL288" i="5"/>
  <c r="FM288" i="5"/>
  <c r="FN288" i="5"/>
  <c r="FO288" i="5"/>
  <c r="FP288" i="5"/>
  <c r="FQ288" i="5"/>
  <c r="FR288" i="5"/>
  <c r="FS288" i="5"/>
  <c r="FT288" i="5"/>
  <c r="FU288" i="5"/>
  <c r="FV288" i="5"/>
  <c r="FW288" i="5"/>
  <c r="FX288" i="5"/>
  <c r="FY288" i="5"/>
  <c r="FZ288" i="5"/>
  <c r="GA288" i="5"/>
  <c r="GB288" i="5"/>
  <c r="GC288" i="5"/>
  <c r="GD288" i="5"/>
  <c r="GE288" i="5"/>
  <c r="GF288" i="5"/>
  <c r="GG288" i="5"/>
  <c r="GH288" i="5"/>
  <c r="GI288" i="5"/>
  <c r="GJ288" i="5"/>
  <c r="GK288" i="5"/>
  <c r="GL288" i="5"/>
  <c r="GM288" i="5"/>
  <c r="GN288" i="5"/>
  <c r="GO288" i="5"/>
  <c r="GP288" i="5"/>
  <c r="GQ288" i="5"/>
  <c r="GR288" i="5"/>
  <c r="GS288" i="5"/>
  <c r="GT288" i="5"/>
  <c r="GU288" i="5"/>
  <c r="GV288" i="5"/>
  <c r="GW288" i="5"/>
  <c r="GX288" i="5"/>
  <c r="GY288" i="5"/>
  <c r="GZ288" i="5"/>
  <c r="HA288" i="5"/>
  <c r="HB288" i="5"/>
  <c r="HC288" i="5"/>
  <c r="HD288" i="5"/>
  <c r="HE288" i="5"/>
  <c r="HF288" i="5"/>
  <c r="HG288" i="5"/>
  <c r="A289" i="5"/>
  <c r="B289" i="5"/>
  <c r="C289" i="5"/>
  <c r="D289" i="5"/>
  <c r="E289" i="5"/>
  <c r="F289" i="5"/>
  <c r="G289" i="5"/>
  <c r="H289" i="5"/>
  <c r="I289" i="5"/>
  <c r="J289" i="5"/>
  <c r="K289" i="5"/>
  <c r="L289" i="5"/>
  <c r="M289" i="5"/>
  <c r="N289" i="5"/>
  <c r="O289" i="5"/>
  <c r="P289" i="5"/>
  <c r="Q289" i="5"/>
  <c r="R289" i="5"/>
  <c r="S289" i="5"/>
  <c r="T289" i="5"/>
  <c r="U289" i="5"/>
  <c r="V289" i="5"/>
  <c r="W289" i="5"/>
  <c r="X289" i="5"/>
  <c r="Y289" i="5"/>
  <c r="Z289" i="5"/>
  <c r="AA289" i="5"/>
  <c r="AB289" i="5"/>
  <c r="AC289" i="5"/>
  <c r="AD289" i="5"/>
  <c r="AE289" i="5"/>
  <c r="AF289" i="5"/>
  <c r="AG289" i="5"/>
  <c r="AH289" i="5"/>
  <c r="AI289" i="5"/>
  <c r="AJ289" i="5"/>
  <c r="AK289" i="5"/>
  <c r="AL289" i="5"/>
  <c r="AM289" i="5"/>
  <c r="AN289" i="5"/>
  <c r="AO289" i="5"/>
  <c r="AP289" i="5"/>
  <c r="AQ289" i="5"/>
  <c r="AR289" i="5"/>
  <c r="AS289" i="5"/>
  <c r="AT289" i="5"/>
  <c r="AU289" i="5"/>
  <c r="AV289" i="5"/>
  <c r="AW289" i="5"/>
  <c r="AX289" i="5"/>
  <c r="AY289" i="5"/>
  <c r="AZ289" i="5"/>
  <c r="BA289" i="5"/>
  <c r="BB289" i="5"/>
  <c r="BC289" i="5"/>
  <c r="BD289" i="5"/>
  <c r="BE289" i="5"/>
  <c r="BF289" i="5"/>
  <c r="BG289" i="5"/>
  <c r="BH289" i="5"/>
  <c r="BI289" i="5"/>
  <c r="BJ289" i="5"/>
  <c r="BK289" i="5"/>
  <c r="BL289" i="5"/>
  <c r="BM289" i="5"/>
  <c r="BN289" i="5"/>
  <c r="BO289" i="5"/>
  <c r="BP289" i="5"/>
  <c r="BQ289" i="5"/>
  <c r="BR289" i="5"/>
  <c r="BS289" i="5"/>
  <c r="BT289" i="5"/>
  <c r="BU289" i="5"/>
  <c r="BV289" i="5"/>
  <c r="BW289" i="5"/>
  <c r="BX289" i="5"/>
  <c r="BY289" i="5"/>
  <c r="BZ289" i="5"/>
  <c r="CA289" i="5"/>
  <c r="CB289" i="5"/>
  <c r="CC289" i="5"/>
  <c r="CD289" i="5"/>
  <c r="CE289" i="5"/>
  <c r="CF289" i="5"/>
  <c r="CG289" i="5"/>
  <c r="CH289" i="5"/>
  <c r="CI289" i="5"/>
  <c r="CJ289" i="5"/>
  <c r="CK289" i="5"/>
  <c r="CL289" i="5"/>
  <c r="CM289" i="5"/>
  <c r="CN289" i="5"/>
  <c r="CO289" i="5"/>
  <c r="CP289" i="5"/>
  <c r="CQ289" i="5"/>
  <c r="CR289" i="5"/>
  <c r="CS289" i="5"/>
  <c r="CT289" i="5"/>
  <c r="CU289" i="5"/>
  <c r="CV289" i="5"/>
  <c r="CW289" i="5"/>
  <c r="CX289" i="5"/>
  <c r="CY289" i="5"/>
  <c r="CZ289" i="5"/>
  <c r="DA289" i="5"/>
  <c r="DB289" i="5"/>
  <c r="DC289" i="5"/>
  <c r="DD289" i="5"/>
  <c r="DE289" i="5"/>
  <c r="DF289" i="5"/>
  <c r="DG289" i="5"/>
  <c r="DH289" i="5"/>
  <c r="DI289" i="5"/>
  <c r="DJ289" i="5"/>
  <c r="DK289" i="5"/>
  <c r="DL289" i="5"/>
  <c r="DM289" i="5"/>
  <c r="DN289" i="5"/>
  <c r="DO289" i="5"/>
  <c r="DP289" i="5"/>
  <c r="DQ289" i="5"/>
  <c r="DR289" i="5"/>
  <c r="DS289" i="5"/>
  <c r="DT289" i="5"/>
  <c r="DU289" i="5"/>
  <c r="DV289" i="5"/>
  <c r="DW289" i="5"/>
  <c r="DX289" i="5"/>
  <c r="DY289" i="5"/>
  <c r="DZ289" i="5"/>
  <c r="EA289" i="5"/>
  <c r="EB289" i="5"/>
  <c r="EC289" i="5"/>
  <c r="ED289" i="5"/>
  <c r="EE289" i="5"/>
  <c r="EF289" i="5"/>
  <c r="EG289" i="5"/>
  <c r="EH289" i="5"/>
  <c r="EI289" i="5"/>
  <c r="EJ289" i="5"/>
  <c r="EK289" i="5"/>
  <c r="EL289" i="5"/>
  <c r="EM289" i="5"/>
  <c r="EN289" i="5"/>
  <c r="EO289" i="5"/>
  <c r="EP289" i="5"/>
  <c r="EQ289" i="5"/>
  <c r="ER289" i="5"/>
  <c r="ES289" i="5"/>
  <c r="ET289" i="5"/>
  <c r="EU289" i="5"/>
  <c r="EV289" i="5"/>
  <c r="EW289" i="5"/>
  <c r="EX289" i="5"/>
  <c r="EY289" i="5"/>
  <c r="EZ289" i="5"/>
  <c r="FA289" i="5"/>
  <c r="FB289" i="5"/>
  <c r="FC289" i="5"/>
  <c r="FD289" i="5"/>
  <c r="FE289" i="5"/>
  <c r="FF289" i="5"/>
  <c r="FG289" i="5"/>
  <c r="FH289" i="5"/>
  <c r="FI289" i="5"/>
  <c r="FJ289" i="5"/>
  <c r="FK289" i="5"/>
  <c r="FL289" i="5"/>
  <c r="FM289" i="5"/>
  <c r="FN289" i="5"/>
  <c r="FO289" i="5"/>
  <c r="FP289" i="5"/>
  <c r="FQ289" i="5"/>
  <c r="FR289" i="5"/>
  <c r="FS289" i="5"/>
  <c r="FT289" i="5"/>
  <c r="FU289" i="5"/>
  <c r="FV289" i="5"/>
  <c r="FW289" i="5"/>
  <c r="FX289" i="5"/>
  <c r="FY289" i="5"/>
  <c r="FZ289" i="5"/>
  <c r="GA289" i="5"/>
  <c r="GB289" i="5"/>
  <c r="GC289" i="5"/>
  <c r="GD289" i="5"/>
  <c r="GE289" i="5"/>
  <c r="GF289" i="5"/>
  <c r="GG289" i="5"/>
  <c r="GH289" i="5"/>
  <c r="GI289" i="5"/>
  <c r="GJ289" i="5"/>
  <c r="GK289" i="5"/>
  <c r="GL289" i="5"/>
  <c r="GM289" i="5"/>
  <c r="GN289" i="5"/>
  <c r="GO289" i="5"/>
  <c r="GP289" i="5"/>
  <c r="GQ289" i="5"/>
  <c r="GR289" i="5"/>
  <c r="GS289" i="5"/>
  <c r="GT289" i="5"/>
  <c r="GU289" i="5"/>
  <c r="GV289" i="5"/>
  <c r="GW289" i="5"/>
  <c r="GX289" i="5"/>
  <c r="GY289" i="5"/>
  <c r="GZ289" i="5"/>
  <c r="HA289" i="5"/>
  <c r="HB289" i="5"/>
  <c r="HC289" i="5"/>
  <c r="HD289" i="5"/>
  <c r="HE289" i="5"/>
  <c r="HF289" i="5"/>
  <c r="HG289" i="5"/>
  <c r="A290" i="5"/>
  <c r="B290" i="5"/>
  <c r="C290" i="5"/>
  <c r="D290" i="5"/>
  <c r="E290" i="5"/>
  <c r="F290" i="5"/>
  <c r="G290" i="5"/>
  <c r="H290" i="5"/>
  <c r="I290" i="5"/>
  <c r="J290" i="5"/>
  <c r="K290" i="5"/>
  <c r="L290" i="5"/>
  <c r="M290" i="5"/>
  <c r="N290" i="5"/>
  <c r="O290" i="5"/>
  <c r="P290" i="5"/>
  <c r="Q290" i="5"/>
  <c r="R290" i="5"/>
  <c r="S290" i="5"/>
  <c r="T290" i="5"/>
  <c r="U290" i="5"/>
  <c r="V290" i="5"/>
  <c r="W290" i="5"/>
  <c r="X290" i="5"/>
  <c r="Y290" i="5"/>
  <c r="Z290" i="5"/>
  <c r="AA290" i="5"/>
  <c r="AB290" i="5"/>
  <c r="AC290" i="5"/>
  <c r="AD290" i="5"/>
  <c r="AE290" i="5"/>
  <c r="AF290" i="5"/>
  <c r="AG290" i="5"/>
  <c r="AH290" i="5"/>
  <c r="AI290" i="5"/>
  <c r="AJ290" i="5"/>
  <c r="AK290" i="5"/>
  <c r="AL290" i="5"/>
  <c r="AM290" i="5"/>
  <c r="AN290" i="5"/>
  <c r="AO290" i="5"/>
  <c r="AP290" i="5"/>
  <c r="AQ290" i="5"/>
  <c r="AR290" i="5"/>
  <c r="AS290" i="5"/>
  <c r="AT290" i="5"/>
  <c r="AU290" i="5"/>
  <c r="AV290" i="5"/>
  <c r="AW290" i="5"/>
  <c r="AX290" i="5"/>
  <c r="AY290" i="5"/>
  <c r="AZ290" i="5"/>
  <c r="BA290" i="5"/>
  <c r="BB290" i="5"/>
  <c r="BC290" i="5"/>
  <c r="BD290" i="5"/>
  <c r="BE290" i="5"/>
  <c r="BF290" i="5"/>
  <c r="BG290" i="5"/>
  <c r="BH290" i="5"/>
  <c r="BI290" i="5"/>
  <c r="BJ290" i="5"/>
  <c r="BK290" i="5"/>
  <c r="BL290" i="5"/>
  <c r="BM290" i="5"/>
  <c r="BN290" i="5"/>
  <c r="BO290" i="5"/>
  <c r="BP290" i="5"/>
  <c r="BQ290" i="5"/>
  <c r="BR290" i="5"/>
  <c r="BS290" i="5"/>
  <c r="BT290" i="5"/>
  <c r="BU290" i="5"/>
  <c r="BV290" i="5"/>
  <c r="BW290" i="5"/>
  <c r="BX290" i="5"/>
  <c r="BY290" i="5"/>
  <c r="BZ290" i="5"/>
  <c r="CA290" i="5"/>
  <c r="CB290" i="5"/>
  <c r="CC290" i="5"/>
  <c r="CD290" i="5"/>
  <c r="CE290" i="5"/>
  <c r="CF290" i="5"/>
  <c r="CG290" i="5"/>
  <c r="CH290" i="5"/>
  <c r="CI290" i="5"/>
  <c r="CJ290" i="5"/>
  <c r="CK290" i="5"/>
  <c r="CL290" i="5"/>
  <c r="CM290" i="5"/>
  <c r="CN290" i="5"/>
  <c r="CO290" i="5"/>
  <c r="CP290" i="5"/>
  <c r="CQ290" i="5"/>
  <c r="CR290" i="5"/>
  <c r="CS290" i="5"/>
  <c r="CT290" i="5"/>
  <c r="CU290" i="5"/>
  <c r="CV290" i="5"/>
  <c r="CW290" i="5"/>
  <c r="CX290" i="5"/>
  <c r="CY290" i="5"/>
  <c r="CZ290" i="5"/>
  <c r="DA290" i="5"/>
  <c r="DB290" i="5"/>
  <c r="DC290" i="5"/>
  <c r="DD290" i="5"/>
  <c r="DE290" i="5"/>
  <c r="DF290" i="5"/>
  <c r="DG290" i="5"/>
  <c r="DH290" i="5"/>
  <c r="DI290" i="5"/>
  <c r="DJ290" i="5"/>
  <c r="DK290" i="5"/>
  <c r="DL290" i="5"/>
  <c r="DM290" i="5"/>
  <c r="DN290" i="5"/>
  <c r="DO290" i="5"/>
  <c r="DP290" i="5"/>
  <c r="DQ290" i="5"/>
  <c r="DR290" i="5"/>
  <c r="DS290" i="5"/>
  <c r="DT290" i="5"/>
  <c r="DU290" i="5"/>
  <c r="DV290" i="5"/>
  <c r="DW290" i="5"/>
  <c r="DX290" i="5"/>
  <c r="DY290" i="5"/>
  <c r="DZ290" i="5"/>
  <c r="EA290" i="5"/>
  <c r="EB290" i="5"/>
  <c r="EC290" i="5"/>
  <c r="ED290" i="5"/>
  <c r="EE290" i="5"/>
  <c r="EF290" i="5"/>
  <c r="EG290" i="5"/>
  <c r="EH290" i="5"/>
  <c r="EI290" i="5"/>
  <c r="EJ290" i="5"/>
  <c r="EK290" i="5"/>
  <c r="EL290" i="5"/>
  <c r="EM290" i="5"/>
  <c r="EN290" i="5"/>
  <c r="EO290" i="5"/>
  <c r="EP290" i="5"/>
  <c r="EQ290" i="5"/>
  <c r="ER290" i="5"/>
  <c r="ES290" i="5"/>
  <c r="ET290" i="5"/>
  <c r="EU290" i="5"/>
  <c r="EV290" i="5"/>
  <c r="EW290" i="5"/>
  <c r="EX290" i="5"/>
  <c r="EY290" i="5"/>
  <c r="EZ290" i="5"/>
  <c r="FA290" i="5"/>
  <c r="FB290" i="5"/>
  <c r="FC290" i="5"/>
  <c r="FD290" i="5"/>
  <c r="FE290" i="5"/>
  <c r="FF290" i="5"/>
  <c r="FG290" i="5"/>
  <c r="FH290" i="5"/>
  <c r="FI290" i="5"/>
  <c r="FJ290" i="5"/>
  <c r="FK290" i="5"/>
  <c r="FL290" i="5"/>
  <c r="FM290" i="5"/>
  <c r="FN290" i="5"/>
  <c r="FO290" i="5"/>
  <c r="FP290" i="5"/>
  <c r="FQ290" i="5"/>
  <c r="FR290" i="5"/>
  <c r="FS290" i="5"/>
  <c r="FT290" i="5"/>
  <c r="FU290" i="5"/>
  <c r="FV290" i="5"/>
  <c r="FW290" i="5"/>
  <c r="FX290" i="5"/>
  <c r="FY290" i="5"/>
  <c r="FZ290" i="5"/>
  <c r="GA290" i="5"/>
  <c r="GB290" i="5"/>
  <c r="GC290" i="5"/>
  <c r="GD290" i="5"/>
  <c r="GE290" i="5"/>
  <c r="GF290" i="5"/>
  <c r="GG290" i="5"/>
  <c r="GH290" i="5"/>
  <c r="GI290" i="5"/>
  <c r="GJ290" i="5"/>
  <c r="GK290" i="5"/>
  <c r="GL290" i="5"/>
  <c r="GM290" i="5"/>
  <c r="GN290" i="5"/>
  <c r="GO290" i="5"/>
  <c r="GP290" i="5"/>
  <c r="GQ290" i="5"/>
  <c r="GR290" i="5"/>
  <c r="GS290" i="5"/>
  <c r="GT290" i="5"/>
  <c r="GU290" i="5"/>
  <c r="GV290" i="5"/>
  <c r="GW290" i="5"/>
  <c r="GX290" i="5"/>
  <c r="GY290" i="5"/>
  <c r="GZ290" i="5"/>
  <c r="HA290" i="5"/>
  <c r="HB290" i="5"/>
  <c r="HC290" i="5"/>
  <c r="HD290" i="5"/>
  <c r="HE290" i="5"/>
  <c r="HF290" i="5"/>
  <c r="HG290" i="5"/>
  <c r="A291" i="5"/>
  <c r="B291" i="5"/>
  <c r="C291" i="5"/>
  <c r="D291" i="5"/>
  <c r="E291" i="5"/>
  <c r="F291" i="5"/>
  <c r="G291" i="5"/>
  <c r="H291" i="5"/>
  <c r="I291" i="5"/>
  <c r="J291" i="5"/>
  <c r="K291" i="5"/>
  <c r="L291" i="5"/>
  <c r="M291" i="5"/>
  <c r="N291" i="5"/>
  <c r="O291" i="5"/>
  <c r="P291" i="5"/>
  <c r="Q291" i="5"/>
  <c r="R291" i="5"/>
  <c r="S291" i="5"/>
  <c r="T291" i="5"/>
  <c r="U291" i="5"/>
  <c r="V291" i="5"/>
  <c r="W291" i="5"/>
  <c r="X291" i="5"/>
  <c r="Y291" i="5"/>
  <c r="Z291" i="5"/>
  <c r="AA291" i="5"/>
  <c r="AB291" i="5"/>
  <c r="AC291" i="5"/>
  <c r="AD291" i="5"/>
  <c r="AE291" i="5"/>
  <c r="AF291" i="5"/>
  <c r="AG291" i="5"/>
  <c r="AH291" i="5"/>
  <c r="AI291" i="5"/>
  <c r="AJ291" i="5"/>
  <c r="AK291" i="5"/>
  <c r="AL291" i="5"/>
  <c r="AM291" i="5"/>
  <c r="AN291" i="5"/>
  <c r="AO291" i="5"/>
  <c r="AP291" i="5"/>
  <c r="AQ291" i="5"/>
  <c r="AR291" i="5"/>
  <c r="AS291" i="5"/>
  <c r="AT291" i="5"/>
  <c r="AU291" i="5"/>
  <c r="AV291" i="5"/>
  <c r="AW291" i="5"/>
  <c r="AX291" i="5"/>
  <c r="AY291" i="5"/>
  <c r="AZ291" i="5"/>
  <c r="BA291" i="5"/>
  <c r="BB291" i="5"/>
  <c r="BC291" i="5"/>
  <c r="BD291" i="5"/>
  <c r="BE291" i="5"/>
  <c r="BF291" i="5"/>
  <c r="BG291" i="5"/>
  <c r="BH291" i="5"/>
  <c r="BI291" i="5"/>
  <c r="BJ291" i="5"/>
  <c r="BK291" i="5"/>
  <c r="BL291" i="5"/>
  <c r="BM291" i="5"/>
  <c r="BN291" i="5"/>
  <c r="BO291" i="5"/>
  <c r="BP291" i="5"/>
  <c r="BQ291" i="5"/>
  <c r="BR291" i="5"/>
  <c r="BS291" i="5"/>
  <c r="BT291" i="5"/>
  <c r="BU291" i="5"/>
  <c r="BV291" i="5"/>
  <c r="BW291" i="5"/>
  <c r="BX291" i="5"/>
  <c r="BY291" i="5"/>
  <c r="BZ291" i="5"/>
  <c r="CA291" i="5"/>
  <c r="CB291" i="5"/>
  <c r="CC291" i="5"/>
  <c r="CD291" i="5"/>
  <c r="CE291" i="5"/>
  <c r="CF291" i="5"/>
  <c r="CG291" i="5"/>
  <c r="CH291" i="5"/>
  <c r="CI291" i="5"/>
  <c r="CJ291" i="5"/>
  <c r="CK291" i="5"/>
  <c r="CL291" i="5"/>
  <c r="CM291" i="5"/>
  <c r="CN291" i="5"/>
  <c r="CO291" i="5"/>
  <c r="CP291" i="5"/>
  <c r="CQ291" i="5"/>
  <c r="CR291" i="5"/>
  <c r="CS291" i="5"/>
  <c r="CT291" i="5"/>
  <c r="CU291" i="5"/>
  <c r="CV291" i="5"/>
  <c r="CW291" i="5"/>
  <c r="CX291" i="5"/>
  <c r="CY291" i="5"/>
  <c r="CZ291" i="5"/>
  <c r="DA291" i="5"/>
  <c r="DB291" i="5"/>
  <c r="DC291" i="5"/>
  <c r="DD291" i="5"/>
  <c r="DE291" i="5"/>
  <c r="DF291" i="5"/>
  <c r="DG291" i="5"/>
  <c r="DH291" i="5"/>
  <c r="DI291" i="5"/>
  <c r="DJ291" i="5"/>
  <c r="DK291" i="5"/>
  <c r="DL291" i="5"/>
  <c r="DM291" i="5"/>
  <c r="DN291" i="5"/>
  <c r="DO291" i="5"/>
  <c r="DP291" i="5"/>
  <c r="DQ291" i="5"/>
  <c r="DR291" i="5"/>
  <c r="DS291" i="5"/>
  <c r="DT291" i="5"/>
  <c r="DU291" i="5"/>
  <c r="DV291" i="5"/>
  <c r="DW291" i="5"/>
  <c r="DX291" i="5"/>
  <c r="DY291" i="5"/>
  <c r="DZ291" i="5"/>
  <c r="EA291" i="5"/>
  <c r="EB291" i="5"/>
  <c r="EC291" i="5"/>
  <c r="ED291" i="5"/>
  <c r="EE291" i="5"/>
  <c r="EF291" i="5"/>
  <c r="EG291" i="5"/>
  <c r="EH291" i="5"/>
  <c r="EI291" i="5"/>
  <c r="EJ291" i="5"/>
  <c r="EK291" i="5"/>
  <c r="EL291" i="5"/>
  <c r="EM291" i="5"/>
  <c r="EN291" i="5"/>
  <c r="EO291" i="5"/>
  <c r="EP291" i="5"/>
  <c r="EQ291" i="5"/>
  <c r="ER291" i="5"/>
  <c r="ES291" i="5"/>
  <c r="ET291" i="5"/>
  <c r="EU291" i="5"/>
  <c r="EV291" i="5"/>
  <c r="EW291" i="5"/>
  <c r="EX291" i="5"/>
  <c r="EY291" i="5"/>
  <c r="EZ291" i="5"/>
  <c r="FA291" i="5"/>
  <c r="FB291" i="5"/>
  <c r="FC291" i="5"/>
  <c r="FD291" i="5"/>
  <c r="FE291" i="5"/>
  <c r="FF291" i="5"/>
  <c r="FG291" i="5"/>
  <c r="FH291" i="5"/>
  <c r="FI291" i="5"/>
  <c r="FJ291" i="5"/>
  <c r="FK291" i="5"/>
  <c r="FL291" i="5"/>
  <c r="FM291" i="5"/>
  <c r="FN291" i="5"/>
  <c r="FO291" i="5"/>
  <c r="FP291" i="5"/>
  <c r="FQ291" i="5"/>
  <c r="FR291" i="5"/>
  <c r="FS291" i="5"/>
  <c r="FT291" i="5"/>
  <c r="FU291" i="5"/>
  <c r="FV291" i="5"/>
  <c r="FW291" i="5"/>
  <c r="FX291" i="5"/>
  <c r="FY291" i="5"/>
  <c r="FZ291" i="5"/>
  <c r="GA291" i="5"/>
  <c r="GB291" i="5"/>
  <c r="GC291" i="5"/>
  <c r="GD291" i="5"/>
  <c r="GE291" i="5"/>
  <c r="GF291" i="5"/>
  <c r="GG291" i="5"/>
  <c r="GH291" i="5"/>
  <c r="GI291" i="5"/>
  <c r="GJ291" i="5"/>
  <c r="GK291" i="5"/>
  <c r="GL291" i="5"/>
  <c r="GM291" i="5"/>
  <c r="GN291" i="5"/>
  <c r="GO291" i="5"/>
  <c r="GP291" i="5"/>
  <c r="GQ291" i="5"/>
  <c r="GR291" i="5"/>
  <c r="GS291" i="5"/>
  <c r="GT291" i="5"/>
  <c r="GU291" i="5"/>
  <c r="GV291" i="5"/>
  <c r="GW291" i="5"/>
  <c r="GX291" i="5"/>
  <c r="GY291" i="5"/>
  <c r="GZ291" i="5"/>
  <c r="HA291" i="5"/>
  <c r="HB291" i="5"/>
  <c r="HC291" i="5"/>
  <c r="HD291" i="5"/>
  <c r="HE291" i="5"/>
  <c r="HF291" i="5"/>
  <c r="HG291" i="5"/>
  <c r="A292" i="5"/>
  <c r="B292" i="5"/>
  <c r="C292" i="5"/>
  <c r="D292" i="5"/>
  <c r="E292" i="5"/>
  <c r="F292" i="5"/>
  <c r="G292" i="5"/>
  <c r="H292" i="5"/>
  <c r="I292" i="5"/>
  <c r="J292" i="5"/>
  <c r="K292" i="5"/>
  <c r="L292" i="5"/>
  <c r="M292" i="5"/>
  <c r="N292" i="5"/>
  <c r="O292" i="5"/>
  <c r="P292" i="5"/>
  <c r="Q292" i="5"/>
  <c r="R292" i="5"/>
  <c r="S292" i="5"/>
  <c r="T292" i="5"/>
  <c r="U292" i="5"/>
  <c r="V292" i="5"/>
  <c r="W292" i="5"/>
  <c r="X292" i="5"/>
  <c r="Y292" i="5"/>
  <c r="Z292" i="5"/>
  <c r="AA292" i="5"/>
  <c r="AB292" i="5"/>
  <c r="AC292" i="5"/>
  <c r="AD292" i="5"/>
  <c r="AE292" i="5"/>
  <c r="AF292" i="5"/>
  <c r="AG292" i="5"/>
  <c r="AH292" i="5"/>
  <c r="AI292" i="5"/>
  <c r="AJ292" i="5"/>
  <c r="AK292" i="5"/>
  <c r="AL292" i="5"/>
  <c r="AM292" i="5"/>
  <c r="AN292" i="5"/>
  <c r="AO292" i="5"/>
  <c r="AP292" i="5"/>
  <c r="AQ292" i="5"/>
  <c r="AR292" i="5"/>
  <c r="AS292" i="5"/>
  <c r="AT292" i="5"/>
  <c r="AU292" i="5"/>
  <c r="AV292" i="5"/>
  <c r="AW292" i="5"/>
  <c r="AX292" i="5"/>
  <c r="AY292" i="5"/>
  <c r="AZ292" i="5"/>
  <c r="BA292" i="5"/>
  <c r="BB292" i="5"/>
  <c r="BC292" i="5"/>
  <c r="BD292" i="5"/>
  <c r="BE292" i="5"/>
  <c r="BF292" i="5"/>
  <c r="BG292" i="5"/>
  <c r="BH292" i="5"/>
  <c r="BI292" i="5"/>
  <c r="BJ292" i="5"/>
  <c r="BK292" i="5"/>
  <c r="BL292" i="5"/>
  <c r="BM292" i="5"/>
  <c r="BN292" i="5"/>
  <c r="BO292" i="5"/>
  <c r="BP292" i="5"/>
  <c r="BQ292" i="5"/>
  <c r="BR292" i="5"/>
  <c r="BS292" i="5"/>
  <c r="BT292" i="5"/>
  <c r="BU292" i="5"/>
  <c r="BV292" i="5"/>
  <c r="BW292" i="5"/>
  <c r="BX292" i="5"/>
  <c r="BY292" i="5"/>
  <c r="BZ292" i="5"/>
  <c r="CA292" i="5"/>
  <c r="CB292" i="5"/>
  <c r="CC292" i="5"/>
  <c r="CD292" i="5"/>
  <c r="CE292" i="5"/>
  <c r="CF292" i="5"/>
  <c r="CG292" i="5"/>
  <c r="CH292" i="5"/>
  <c r="CI292" i="5"/>
  <c r="CJ292" i="5"/>
  <c r="CK292" i="5"/>
  <c r="CL292" i="5"/>
  <c r="CM292" i="5"/>
  <c r="CN292" i="5"/>
  <c r="CO292" i="5"/>
  <c r="CP292" i="5"/>
  <c r="CQ292" i="5"/>
  <c r="CR292" i="5"/>
  <c r="CS292" i="5"/>
  <c r="CT292" i="5"/>
  <c r="CU292" i="5"/>
  <c r="CV292" i="5"/>
  <c r="CW292" i="5"/>
  <c r="CX292" i="5"/>
  <c r="CY292" i="5"/>
  <c r="CZ292" i="5"/>
  <c r="DA292" i="5"/>
  <c r="DB292" i="5"/>
  <c r="DC292" i="5"/>
  <c r="DD292" i="5"/>
  <c r="DE292" i="5"/>
  <c r="DF292" i="5"/>
  <c r="DG292" i="5"/>
  <c r="DH292" i="5"/>
  <c r="DI292" i="5"/>
  <c r="DJ292" i="5"/>
  <c r="DK292" i="5"/>
  <c r="DL292" i="5"/>
  <c r="DM292" i="5"/>
  <c r="DN292" i="5"/>
  <c r="DO292" i="5"/>
  <c r="DP292" i="5"/>
  <c r="DQ292" i="5"/>
  <c r="DR292" i="5"/>
  <c r="DS292" i="5"/>
  <c r="DT292" i="5"/>
  <c r="DU292" i="5"/>
  <c r="DV292" i="5"/>
  <c r="DW292" i="5"/>
  <c r="DX292" i="5"/>
  <c r="DY292" i="5"/>
  <c r="DZ292" i="5"/>
  <c r="EA292" i="5"/>
  <c r="EB292" i="5"/>
  <c r="EC292" i="5"/>
  <c r="ED292" i="5"/>
  <c r="EE292" i="5"/>
  <c r="EF292" i="5"/>
  <c r="EG292" i="5"/>
  <c r="EH292" i="5"/>
  <c r="EI292" i="5"/>
  <c r="EJ292" i="5"/>
  <c r="EK292" i="5"/>
  <c r="EL292" i="5"/>
  <c r="EM292" i="5"/>
  <c r="EN292" i="5"/>
  <c r="EO292" i="5"/>
  <c r="EP292" i="5"/>
  <c r="EQ292" i="5"/>
  <c r="ER292" i="5"/>
  <c r="ES292" i="5"/>
  <c r="ET292" i="5"/>
  <c r="EU292" i="5"/>
  <c r="EV292" i="5"/>
  <c r="EW292" i="5"/>
  <c r="EX292" i="5"/>
  <c r="EY292" i="5"/>
  <c r="EZ292" i="5"/>
  <c r="FA292" i="5"/>
  <c r="FB292" i="5"/>
  <c r="FC292" i="5"/>
  <c r="FD292" i="5"/>
  <c r="FE292" i="5"/>
  <c r="FF292" i="5"/>
  <c r="FG292" i="5"/>
  <c r="FH292" i="5"/>
  <c r="FI292" i="5"/>
  <c r="FJ292" i="5"/>
  <c r="FK292" i="5"/>
  <c r="FL292" i="5"/>
  <c r="FM292" i="5"/>
  <c r="FN292" i="5"/>
  <c r="FO292" i="5"/>
  <c r="FP292" i="5"/>
  <c r="FQ292" i="5"/>
  <c r="FR292" i="5"/>
  <c r="FS292" i="5"/>
  <c r="FT292" i="5"/>
  <c r="FU292" i="5"/>
  <c r="FV292" i="5"/>
  <c r="FW292" i="5"/>
  <c r="FX292" i="5"/>
  <c r="FY292" i="5"/>
  <c r="FZ292" i="5"/>
  <c r="GA292" i="5"/>
  <c r="GB292" i="5"/>
  <c r="GC292" i="5"/>
  <c r="GD292" i="5"/>
  <c r="GE292" i="5"/>
  <c r="GF292" i="5"/>
  <c r="GG292" i="5"/>
  <c r="GH292" i="5"/>
  <c r="GI292" i="5"/>
  <c r="GJ292" i="5"/>
  <c r="GK292" i="5"/>
  <c r="GL292" i="5"/>
  <c r="GM292" i="5"/>
  <c r="GN292" i="5"/>
  <c r="GO292" i="5"/>
  <c r="GP292" i="5"/>
  <c r="GQ292" i="5"/>
  <c r="GR292" i="5"/>
  <c r="GS292" i="5"/>
  <c r="GT292" i="5"/>
  <c r="GU292" i="5"/>
  <c r="GV292" i="5"/>
  <c r="GW292" i="5"/>
  <c r="GX292" i="5"/>
  <c r="GY292" i="5"/>
  <c r="GZ292" i="5"/>
  <c r="HA292" i="5"/>
  <c r="HB292" i="5"/>
  <c r="HC292" i="5"/>
  <c r="HD292" i="5"/>
  <c r="HE292" i="5"/>
  <c r="HF292" i="5"/>
  <c r="HG292" i="5"/>
  <c r="A293" i="5"/>
  <c r="B293" i="5"/>
  <c r="C293" i="5"/>
  <c r="A4" i="3"/>
  <c r="A5" i="3"/>
  <c r="A6" i="3"/>
  <c r="BX6" i="3"/>
  <c r="BZ6" i="3"/>
  <c r="CB6" i="3"/>
  <c r="CC6" i="3"/>
  <c r="CD6" i="3"/>
  <c r="A7" i="3"/>
  <c r="BQ7" i="3"/>
  <c r="BX7" i="3"/>
  <c r="BZ7" i="3"/>
  <c r="CB7" i="3"/>
  <c r="CC7" i="3"/>
  <c r="CD7" i="3"/>
  <c r="A8" i="3"/>
  <c r="BQ8" i="3"/>
  <c r="BX8" i="3"/>
  <c r="BZ8" i="3"/>
  <c r="CB8" i="3"/>
  <c r="CC8" i="3"/>
  <c r="CD8" i="3"/>
  <c r="A9" i="3"/>
  <c r="BQ9" i="3"/>
  <c r="BX9" i="3"/>
  <c r="BZ9" i="3"/>
  <c r="CB9" i="3"/>
  <c r="CC9" i="3"/>
  <c r="CD9" i="3"/>
  <c r="A10" i="3"/>
  <c r="BQ10" i="3"/>
  <c r="BX10" i="3"/>
  <c r="BZ10" i="3"/>
  <c r="CB10" i="3"/>
  <c r="CC10" i="3"/>
  <c r="CD10" i="3"/>
  <c r="A11" i="3"/>
  <c r="BQ11" i="3"/>
  <c r="BX11" i="3"/>
  <c r="BZ11" i="3"/>
  <c r="CB11" i="3"/>
  <c r="CC11" i="3"/>
  <c r="CD11" i="3"/>
  <c r="A12" i="3"/>
  <c r="BQ12" i="3"/>
  <c r="BX12" i="3"/>
  <c r="BZ12" i="3"/>
  <c r="CB12" i="3"/>
  <c r="CC12" i="3"/>
  <c r="CD12" i="3"/>
  <c r="A13" i="3"/>
  <c r="BQ13" i="3"/>
  <c r="BX13" i="3"/>
  <c r="BZ13" i="3"/>
  <c r="CB13" i="3"/>
  <c r="CC13" i="3"/>
  <c r="CD13" i="3"/>
  <c r="A14" i="3"/>
  <c r="BQ14" i="3"/>
  <c r="BX14" i="3"/>
  <c r="BZ14" i="3"/>
  <c r="CB14" i="3"/>
  <c r="CC14" i="3"/>
  <c r="CD14" i="3"/>
  <c r="A15" i="3"/>
  <c r="BQ15" i="3"/>
  <c r="BX15" i="3"/>
  <c r="BZ15" i="3"/>
  <c r="CB15" i="3"/>
  <c r="CC15" i="3"/>
  <c r="CD15" i="3"/>
  <c r="A16" i="3"/>
  <c r="BQ16" i="3"/>
  <c r="BX16" i="3"/>
  <c r="BZ16" i="3"/>
  <c r="CB16" i="3"/>
  <c r="CC16" i="3"/>
  <c r="CD16" i="3"/>
  <c r="A17" i="3"/>
  <c r="BQ17" i="3"/>
  <c r="BX17" i="3"/>
  <c r="BZ17" i="3"/>
  <c r="CB17" i="3"/>
  <c r="CC17" i="3"/>
  <c r="CD17" i="3"/>
  <c r="A18" i="3"/>
  <c r="BQ18" i="3"/>
  <c r="BX18" i="3"/>
  <c r="BZ18" i="3"/>
  <c r="CB18" i="3"/>
  <c r="CC18" i="3"/>
  <c r="CD18" i="3"/>
  <c r="A19" i="3"/>
  <c r="BQ19" i="3"/>
  <c r="BX19" i="3"/>
  <c r="BZ19" i="3"/>
  <c r="CB19" i="3"/>
  <c r="CC19" i="3"/>
  <c r="CD19" i="3"/>
  <c r="A20" i="3"/>
  <c r="BQ20" i="3"/>
  <c r="BX20" i="3"/>
  <c r="BZ20" i="3"/>
  <c r="CB20" i="3"/>
  <c r="CC20" i="3"/>
  <c r="CD20" i="3"/>
  <c r="A21" i="3"/>
  <c r="BQ21" i="3"/>
  <c r="BX21" i="3"/>
  <c r="BZ21" i="3"/>
  <c r="CB21" i="3"/>
  <c r="CC21" i="3"/>
  <c r="CD21" i="3"/>
  <c r="A22" i="3"/>
  <c r="BQ22" i="3"/>
  <c r="BX22" i="3"/>
  <c r="BZ22" i="3"/>
  <c r="CB22" i="3"/>
  <c r="CC22" i="3"/>
  <c r="CD22" i="3"/>
  <c r="A23" i="3"/>
  <c r="BQ23" i="3"/>
  <c r="BX23" i="3"/>
  <c r="BZ23" i="3"/>
  <c r="CB23" i="3"/>
  <c r="CC23" i="3"/>
  <c r="CD23" i="3"/>
  <c r="A24" i="3"/>
  <c r="BQ24" i="3"/>
  <c r="BX24" i="3"/>
  <c r="BZ24" i="3"/>
  <c r="CB24" i="3"/>
  <c r="CC24" i="3"/>
  <c r="CD24" i="3"/>
  <c r="A25" i="3"/>
  <c r="BQ25" i="3"/>
  <c r="BX25" i="3"/>
  <c r="BZ25" i="3"/>
  <c r="CB25" i="3"/>
  <c r="CC25" i="3"/>
  <c r="CD25" i="3"/>
  <c r="A26" i="3"/>
  <c r="BQ26" i="3"/>
  <c r="BX26" i="3"/>
  <c r="BZ26" i="3"/>
  <c r="CB26" i="3"/>
  <c r="CC26" i="3"/>
  <c r="CD26" i="3"/>
  <c r="A27" i="3"/>
  <c r="BQ27" i="3"/>
  <c r="BX27" i="3"/>
  <c r="BZ27" i="3"/>
  <c r="CB27" i="3"/>
  <c r="CC27" i="3"/>
  <c r="CD27" i="3"/>
  <c r="A28" i="3"/>
  <c r="BQ28" i="3"/>
  <c r="BX28" i="3"/>
  <c r="BZ28" i="3"/>
  <c r="CB28" i="3"/>
  <c r="CC28" i="3"/>
  <c r="CD28" i="3"/>
  <c r="A29" i="3"/>
  <c r="BQ29" i="3"/>
  <c r="BX29" i="3"/>
  <c r="BZ29" i="3"/>
  <c r="CB29" i="3"/>
  <c r="CC29" i="3"/>
  <c r="CD29" i="3"/>
  <c r="A30" i="3"/>
  <c r="BQ30" i="3"/>
  <c r="BX30" i="3"/>
  <c r="BZ30" i="3"/>
  <c r="CB30" i="3"/>
  <c r="CC30" i="3"/>
  <c r="CD30" i="3"/>
  <c r="A31" i="3"/>
  <c r="BQ31" i="3"/>
  <c r="BX31" i="3"/>
  <c r="BZ31" i="3"/>
  <c r="CB31" i="3"/>
  <c r="CC31" i="3"/>
  <c r="CD31" i="3"/>
  <c r="A32" i="3"/>
  <c r="BQ32" i="3"/>
  <c r="BX32" i="3"/>
  <c r="BZ32" i="3"/>
  <c r="CB32" i="3"/>
  <c r="CC32" i="3"/>
  <c r="CD32" i="3"/>
  <c r="A33" i="3"/>
  <c r="BQ33" i="3"/>
  <c r="BX33" i="3"/>
  <c r="BZ33" i="3"/>
  <c r="CB33" i="3"/>
  <c r="CC33" i="3"/>
  <c r="CD33" i="3"/>
  <c r="A34" i="3"/>
  <c r="BQ34" i="3"/>
  <c r="BX34" i="3"/>
  <c r="BZ34" i="3"/>
  <c r="CB34" i="3"/>
  <c r="CC34" i="3"/>
  <c r="CD34" i="3"/>
  <c r="A35" i="3"/>
  <c r="BQ35" i="3"/>
  <c r="BX35" i="3"/>
  <c r="BZ35" i="3"/>
  <c r="CB35" i="3"/>
  <c r="CC35" i="3"/>
  <c r="CD35" i="3"/>
  <c r="A36" i="3"/>
  <c r="BQ36" i="3"/>
  <c r="BX36" i="3"/>
  <c r="BZ36" i="3"/>
  <c r="CB36" i="3"/>
  <c r="CC36" i="3"/>
  <c r="CD36" i="3"/>
  <c r="A37" i="3"/>
  <c r="BQ37" i="3"/>
  <c r="BX37" i="3"/>
  <c r="BZ37" i="3"/>
  <c r="CB37" i="3"/>
  <c r="CC37" i="3"/>
  <c r="CD37" i="3"/>
  <c r="A38" i="3"/>
  <c r="BQ38" i="3"/>
  <c r="BX38" i="3"/>
  <c r="BZ38" i="3"/>
  <c r="CB38" i="3"/>
  <c r="CC38" i="3"/>
  <c r="CD38" i="3"/>
  <c r="A39" i="3"/>
  <c r="BQ39" i="3"/>
  <c r="BX39" i="3"/>
  <c r="BZ39" i="3"/>
  <c r="CB39" i="3"/>
  <c r="CC39" i="3"/>
  <c r="CD39" i="3"/>
  <c r="A40" i="3"/>
  <c r="BQ40" i="3"/>
  <c r="BX40" i="3"/>
  <c r="BZ40" i="3"/>
  <c r="CB40" i="3"/>
  <c r="CC40" i="3"/>
  <c r="CD40" i="3"/>
  <c r="A41" i="3"/>
  <c r="BQ41" i="3"/>
  <c r="BX41" i="3"/>
  <c r="BZ41" i="3"/>
  <c r="CB41" i="3"/>
  <c r="CC41" i="3"/>
  <c r="CD41" i="3"/>
  <c r="A42" i="3"/>
  <c r="BQ42" i="3"/>
  <c r="BX42" i="3"/>
  <c r="BZ42" i="3"/>
  <c r="CA42" i="3"/>
  <c r="CB42" i="3"/>
  <c r="CC42" i="3"/>
  <c r="CD42" i="3"/>
  <c r="A43" i="3"/>
  <c r="BQ43" i="3"/>
  <c r="BX43" i="3"/>
  <c r="BZ43" i="3"/>
  <c r="CA43" i="3"/>
  <c r="CB43" i="3"/>
  <c r="CC43" i="3"/>
  <c r="CD43" i="3"/>
  <c r="A44" i="3"/>
  <c r="BQ44" i="3"/>
  <c r="BX44" i="3"/>
  <c r="BZ44" i="3"/>
  <c r="CA44" i="3"/>
  <c r="CB44" i="3"/>
  <c r="CC44" i="3"/>
  <c r="CD44" i="3"/>
  <c r="A45" i="3"/>
  <c r="BQ45" i="3"/>
  <c r="BX45" i="3"/>
  <c r="BZ45" i="3"/>
  <c r="CA45" i="3"/>
  <c r="CB45" i="3"/>
  <c r="CC45" i="3"/>
  <c r="CD45" i="3"/>
  <c r="A46" i="3"/>
  <c r="BQ46" i="3"/>
  <c r="BX46" i="3"/>
  <c r="BZ46" i="3"/>
  <c r="CA46" i="3"/>
  <c r="CB46" i="3"/>
  <c r="CC46" i="3"/>
  <c r="CD46" i="3"/>
  <c r="A47" i="3"/>
  <c r="BQ47" i="3"/>
  <c r="BX47" i="3"/>
  <c r="BZ47" i="3"/>
  <c r="CA47" i="3"/>
  <c r="CB47" i="3"/>
  <c r="CC47" i="3"/>
  <c r="CD47" i="3"/>
  <c r="A48" i="3"/>
  <c r="BQ48" i="3"/>
  <c r="BX48" i="3"/>
  <c r="BZ48" i="3"/>
  <c r="CA48" i="3"/>
  <c r="CB48" i="3"/>
  <c r="CC48" i="3"/>
  <c r="CD48" i="3"/>
  <c r="A49" i="3"/>
  <c r="BQ49" i="3"/>
  <c r="BX49" i="3"/>
  <c r="BZ49" i="3"/>
  <c r="CA49" i="3"/>
  <c r="CB49" i="3"/>
  <c r="CC49" i="3"/>
  <c r="CD49" i="3"/>
  <c r="A50" i="3"/>
  <c r="BQ50" i="3"/>
  <c r="BX50" i="3"/>
  <c r="BZ50" i="3"/>
  <c r="CA50" i="3"/>
  <c r="CB50" i="3"/>
  <c r="CC50" i="3"/>
  <c r="CD50" i="3"/>
  <c r="A51" i="3"/>
  <c r="BQ51" i="3"/>
  <c r="BX51" i="3"/>
  <c r="BZ51" i="3"/>
  <c r="CA51" i="3"/>
  <c r="CB51" i="3"/>
  <c r="CC51" i="3"/>
  <c r="CD51" i="3"/>
  <c r="A52" i="3"/>
  <c r="BQ52" i="3"/>
  <c r="BX52" i="3"/>
  <c r="BZ52" i="3"/>
  <c r="CA52" i="3"/>
  <c r="CB52" i="3"/>
  <c r="CC52" i="3"/>
  <c r="CD52" i="3"/>
  <c r="A53" i="3"/>
  <c r="BQ53" i="3"/>
  <c r="BX53" i="3"/>
  <c r="BZ53" i="3"/>
  <c r="CA53" i="3"/>
  <c r="CB53" i="3"/>
  <c r="CC53" i="3"/>
  <c r="CD53" i="3"/>
  <c r="A54" i="3"/>
  <c r="BQ54" i="3"/>
  <c r="BX54" i="3"/>
  <c r="BZ54" i="3"/>
  <c r="CA54" i="3"/>
  <c r="CB54" i="3"/>
  <c r="CC54" i="3"/>
  <c r="CD54" i="3"/>
  <c r="A55" i="3"/>
  <c r="BQ55" i="3"/>
  <c r="BX55" i="3"/>
  <c r="BZ55" i="3"/>
  <c r="CA55" i="3"/>
  <c r="CB55" i="3"/>
  <c r="CC55" i="3"/>
  <c r="CD55" i="3"/>
  <c r="A56" i="3"/>
  <c r="BQ56" i="3"/>
  <c r="BX56" i="3"/>
  <c r="BZ56" i="3"/>
  <c r="CA56" i="3"/>
  <c r="CB56" i="3"/>
  <c r="CC56" i="3"/>
  <c r="CD56" i="3"/>
  <c r="A57" i="3"/>
  <c r="BQ57" i="3"/>
  <c r="BX57" i="3"/>
  <c r="BZ57" i="3"/>
  <c r="CA57" i="3"/>
  <c r="CB57" i="3"/>
  <c r="CC57" i="3"/>
  <c r="CD57" i="3"/>
  <c r="A58" i="3"/>
  <c r="BQ58" i="3"/>
  <c r="BX58" i="3"/>
  <c r="BZ58" i="3"/>
  <c r="CA58" i="3"/>
  <c r="CB58" i="3"/>
  <c r="CC58" i="3"/>
  <c r="CD58" i="3"/>
  <c r="A59" i="3"/>
  <c r="BQ59" i="3"/>
  <c r="BX59" i="3"/>
  <c r="BZ59" i="3"/>
  <c r="CA59" i="3"/>
  <c r="CB59" i="3"/>
  <c r="CC59" i="3"/>
  <c r="CD59" i="3"/>
  <c r="A60" i="3"/>
  <c r="BQ60" i="3"/>
  <c r="BX60" i="3"/>
  <c r="BZ60" i="3"/>
  <c r="CA60" i="3"/>
  <c r="CB60" i="3"/>
  <c r="CC60" i="3"/>
  <c r="CD60" i="3"/>
  <c r="A61" i="3"/>
  <c r="BQ61" i="3"/>
  <c r="BX61" i="3"/>
  <c r="BZ61" i="3"/>
  <c r="CA61" i="3"/>
  <c r="CB61" i="3"/>
  <c r="CC61" i="3"/>
  <c r="CD61" i="3"/>
  <c r="A62" i="3"/>
  <c r="BQ62" i="3"/>
  <c r="BX62" i="3"/>
  <c r="BZ62" i="3"/>
  <c r="CA62" i="3"/>
  <c r="CB62" i="3"/>
  <c r="CC62" i="3"/>
  <c r="CD62" i="3"/>
  <c r="A63" i="3"/>
  <c r="BQ63" i="3"/>
  <c r="BX63" i="3"/>
  <c r="BZ63" i="3"/>
  <c r="CA63" i="3"/>
  <c r="CB63" i="3"/>
  <c r="CC63" i="3"/>
  <c r="CD63" i="3"/>
  <c r="A64" i="3"/>
  <c r="BQ64" i="3"/>
  <c r="BX64" i="3"/>
  <c r="BZ64" i="3"/>
  <c r="CA64" i="3"/>
  <c r="CB64" i="3"/>
  <c r="CC64" i="3"/>
  <c r="CD64" i="3"/>
  <c r="A65" i="3"/>
  <c r="BQ65" i="3"/>
  <c r="BX65" i="3"/>
  <c r="BZ65" i="3"/>
  <c r="CA65" i="3"/>
  <c r="CB65" i="3"/>
  <c r="CC65" i="3"/>
  <c r="CD65" i="3"/>
  <c r="A66" i="3"/>
  <c r="BQ66" i="3"/>
  <c r="BX66" i="3"/>
  <c r="BZ66" i="3"/>
  <c r="CA66" i="3"/>
  <c r="CB66" i="3"/>
  <c r="CC66" i="3"/>
  <c r="CD66" i="3"/>
  <c r="A67" i="3"/>
  <c r="BQ67" i="3"/>
  <c r="BX67" i="3"/>
  <c r="BZ67" i="3"/>
  <c r="CA67" i="3"/>
  <c r="CB67" i="3"/>
  <c r="CC67" i="3"/>
  <c r="CD67" i="3"/>
  <c r="A68" i="3"/>
  <c r="BQ68" i="3"/>
  <c r="BX68" i="3"/>
  <c r="BZ68" i="3"/>
  <c r="CA68" i="3"/>
  <c r="CB68" i="3"/>
  <c r="CC68" i="3"/>
  <c r="CD68" i="3"/>
  <c r="A69" i="3"/>
  <c r="BQ69" i="3"/>
  <c r="BX69" i="3"/>
  <c r="BZ69" i="3"/>
  <c r="CA69" i="3"/>
  <c r="CB69" i="3"/>
  <c r="CC69" i="3"/>
  <c r="CD69" i="3"/>
  <c r="A70" i="3"/>
  <c r="BQ70" i="3"/>
  <c r="BX70" i="3"/>
  <c r="BZ70" i="3"/>
  <c r="CA70" i="3"/>
  <c r="CB70" i="3"/>
  <c r="CC70" i="3"/>
  <c r="CD70" i="3"/>
  <c r="A71" i="3"/>
  <c r="BQ71" i="3"/>
  <c r="BX71" i="3"/>
  <c r="BZ71" i="3"/>
  <c r="CA71" i="3"/>
  <c r="CB71" i="3"/>
  <c r="CC71" i="3"/>
  <c r="CD71" i="3"/>
  <c r="A72" i="3"/>
  <c r="BQ72" i="3"/>
  <c r="BX72" i="3"/>
  <c r="BZ72" i="3"/>
  <c r="CA72" i="3"/>
  <c r="CB72" i="3"/>
  <c r="CC72" i="3"/>
  <c r="CD72" i="3"/>
  <c r="A73" i="3"/>
  <c r="BQ73" i="3"/>
  <c r="BX73" i="3"/>
  <c r="BZ73" i="3"/>
  <c r="CA73" i="3"/>
  <c r="CB73" i="3"/>
  <c r="CC73" i="3"/>
  <c r="CD73" i="3"/>
  <c r="A74" i="3"/>
  <c r="BQ74" i="3"/>
  <c r="BX74" i="3"/>
  <c r="BZ74" i="3"/>
  <c r="CA74" i="3"/>
  <c r="CB74" i="3"/>
  <c r="CC74" i="3"/>
  <c r="CD74" i="3"/>
  <c r="A75" i="3"/>
  <c r="BQ75" i="3"/>
  <c r="BX75" i="3"/>
  <c r="BZ75" i="3"/>
  <c r="CA75" i="3"/>
  <c r="CB75" i="3"/>
  <c r="CC75" i="3"/>
  <c r="CD75" i="3"/>
  <c r="A76" i="3"/>
  <c r="BQ76" i="3"/>
  <c r="BX76" i="3"/>
  <c r="BZ76" i="3"/>
  <c r="CA76" i="3"/>
  <c r="CB76" i="3"/>
  <c r="CC76" i="3"/>
  <c r="CD76" i="3"/>
  <c r="A77" i="3"/>
  <c r="BQ77" i="3"/>
  <c r="BX77" i="3"/>
  <c r="BZ77" i="3"/>
  <c r="CA77" i="3"/>
  <c r="CB77" i="3"/>
  <c r="CC77" i="3"/>
  <c r="CD77" i="3"/>
  <c r="A78" i="3"/>
  <c r="BQ78" i="3"/>
  <c r="BX78" i="3"/>
  <c r="BZ78" i="3"/>
  <c r="CA78" i="3"/>
  <c r="CB78" i="3"/>
  <c r="CC78" i="3"/>
  <c r="CD78" i="3"/>
  <c r="A79" i="3"/>
  <c r="BQ79" i="3"/>
  <c r="BX79" i="3"/>
  <c r="BZ79" i="3"/>
  <c r="CA79" i="3"/>
  <c r="CB79" i="3"/>
  <c r="CC79" i="3"/>
  <c r="CD79" i="3"/>
  <c r="A80" i="3"/>
  <c r="BQ80" i="3"/>
  <c r="BX80" i="3"/>
  <c r="BZ80" i="3"/>
  <c r="CA80" i="3"/>
  <c r="CB80" i="3"/>
  <c r="CC80" i="3"/>
  <c r="CD80" i="3"/>
  <c r="A81" i="3"/>
  <c r="BQ81" i="3"/>
  <c r="BX81" i="3"/>
  <c r="BZ81" i="3"/>
  <c r="CA81" i="3"/>
  <c r="CB81" i="3"/>
  <c r="CC81" i="3"/>
  <c r="CD81" i="3"/>
  <c r="A82" i="3"/>
  <c r="BQ82" i="3"/>
  <c r="BX82" i="3"/>
  <c r="BZ82" i="3"/>
  <c r="CA82" i="3"/>
  <c r="CB82" i="3"/>
  <c r="CC82" i="3"/>
  <c r="CD82" i="3"/>
  <c r="A83" i="3"/>
  <c r="BQ83" i="3"/>
  <c r="BX83" i="3"/>
  <c r="BZ83" i="3"/>
  <c r="CA83" i="3"/>
  <c r="CB83" i="3"/>
  <c r="CC83" i="3"/>
  <c r="CD83" i="3"/>
  <c r="A84" i="3"/>
  <c r="BQ84" i="3"/>
  <c r="BX84" i="3"/>
  <c r="BZ84" i="3"/>
  <c r="CA84" i="3"/>
  <c r="CB84" i="3"/>
  <c r="CC84" i="3"/>
  <c r="CD84" i="3"/>
  <c r="A85" i="3"/>
  <c r="BQ85" i="3"/>
  <c r="BX85" i="3"/>
  <c r="BZ85" i="3"/>
  <c r="CA85" i="3"/>
  <c r="CB85" i="3"/>
  <c r="CC85" i="3"/>
  <c r="CD85" i="3"/>
  <c r="A86" i="3"/>
  <c r="BQ86" i="3"/>
  <c r="BX86" i="3"/>
  <c r="BZ86" i="3"/>
  <c r="CA86" i="3"/>
  <c r="CB86" i="3"/>
  <c r="CC86" i="3"/>
  <c r="CD86" i="3"/>
  <c r="A87" i="3"/>
  <c r="BQ87" i="3"/>
  <c r="BX87" i="3"/>
  <c r="BZ87" i="3"/>
  <c r="CA87" i="3"/>
  <c r="CB87" i="3"/>
  <c r="CC87" i="3"/>
  <c r="CD87" i="3"/>
  <c r="A88" i="3"/>
  <c r="BQ88" i="3"/>
  <c r="BX88" i="3"/>
  <c r="BZ88" i="3"/>
  <c r="CA88" i="3"/>
  <c r="CB88" i="3"/>
  <c r="CC88" i="3"/>
  <c r="CD88" i="3"/>
  <c r="A89" i="3"/>
  <c r="BQ89" i="3"/>
  <c r="BX89" i="3"/>
  <c r="BZ89" i="3"/>
  <c r="CA89" i="3"/>
  <c r="CB89" i="3"/>
  <c r="CC89" i="3"/>
  <c r="CD89" i="3"/>
  <c r="A90" i="3"/>
  <c r="BQ90" i="3"/>
  <c r="BX90" i="3"/>
  <c r="BZ90" i="3"/>
  <c r="CA90" i="3"/>
  <c r="CB90" i="3"/>
  <c r="CC90" i="3"/>
  <c r="CD90" i="3"/>
  <c r="A91" i="3"/>
  <c r="BQ91" i="3"/>
  <c r="BX91" i="3"/>
  <c r="BZ91" i="3"/>
  <c r="CA91" i="3"/>
  <c r="CB91" i="3"/>
  <c r="CC91" i="3"/>
  <c r="CD91" i="3"/>
  <c r="A92" i="3"/>
  <c r="BQ92" i="3"/>
  <c r="BX92" i="3"/>
  <c r="BZ92" i="3"/>
  <c r="CA92" i="3"/>
  <c r="CB92" i="3"/>
  <c r="CC92" i="3"/>
  <c r="CD92" i="3"/>
  <c r="A93" i="3"/>
  <c r="BQ93" i="3"/>
  <c r="BX93" i="3"/>
  <c r="BZ93" i="3"/>
  <c r="CA93" i="3"/>
  <c r="CB93" i="3"/>
  <c r="CC93" i="3"/>
  <c r="CD93" i="3"/>
  <c r="A94" i="3"/>
  <c r="BQ94" i="3"/>
  <c r="BX94" i="3"/>
  <c r="BZ94" i="3"/>
  <c r="CA94" i="3"/>
  <c r="CB94" i="3"/>
  <c r="CC94" i="3"/>
  <c r="CD94" i="3"/>
  <c r="A95" i="3"/>
  <c r="BQ95" i="3"/>
  <c r="BX95" i="3"/>
  <c r="BZ95" i="3"/>
  <c r="CA95" i="3"/>
  <c r="CB95" i="3"/>
  <c r="CC95" i="3"/>
  <c r="CD95" i="3"/>
  <c r="A96" i="3"/>
  <c r="BQ96" i="3"/>
  <c r="BX96" i="3"/>
  <c r="BZ96" i="3"/>
  <c r="CA96" i="3"/>
  <c r="CB96" i="3"/>
  <c r="CC96" i="3"/>
  <c r="CD96" i="3"/>
  <c r="A97" i="3"/>
  <c r="BQ97" i="3"/>
  <c r="BX97" i="3"/>
  <c r="BZ97" i="3"/>
  <c r="CA97" i="3"/>
  <c r="CB97" i="3"/>
  <c r="CC97" i="3"/>
  <c r="CD97" i="3"/>
  <c r="A98" i="3"/>
  <c r="BQ98" i="3"/>
  <c r="BX98" i="3"/>
  <c r="BZ98" i="3"/>
  <c r="CA98" i="3"/>
  <c r="CB98" i="3"/>
  <c r="CC98" i="3"/>
  <c r="CD98" i="3"/>
  <c r="A99" i="3"/>
  <c r="BQ99" i="3"/>
  <c r="BX99" i="3"/>
  <c r="BZ99" i="3"/>
  <c r="CA99" i="3"/>
  <c r="CB99" i="3"/>
  <c r="CC99" i="3"/>
  <c r="CD99" i="3"/>
  <c r="A100" i="3"/>
  <c r="BQ100" i="3"/>
  <c r="BX100" i="3"/>
  <c r="BZ100" i="3"/>
  <c r="CA100" i="3"/>
  <c r="CB100" i="3"/>
  <c r="CC100" i="3"/>
  <c r="CD100" i="3"/>
  <c r="A101" i="3"/>
  <c r="BQ101" i="3"/>
  <c r="BX101" i="3"/>
  <c r="BZ101" i="3"/>
  <c r="CA101" i="3"/>
  <c r="CB101" i="3"/>
  <c r="CC101" i="3"/>
  <c r="CD101" i="3"/>
  <c r="A102" i="3"/>
  <c r="BQ102" i="3"/>
  <c r="BX102" i="3"/>
  <c r="BZ102" i="3"/>
  <c r="CA102" i="3"/>
  <c r="CB102" i="3"/>
  <c r="CC102" i="3"/>
  <c r="CD102" i="3"/>
  <c r="A103" i="3"/>
  <c r="BQ103" i="3"/>
  <c r="BX103" i="3"/>
  <c r="BZ103" i="3"/>
  <c r="CA103" i="3"/>
  <c r="CB103" i="3"/>
  <c r="CC103" i="3"/>
  <c r="CD103" i="3"/>
  <c r="A104" i="3"/>
  <c r="BQ104" i="3"/>
  <c r="BX104" i="3"/>
  <c r="BZ104" i="3"/>
  <c r="CA104" i="3"/>
  <c r="CB104" i="3"/>
  <c r="CC104" i="3"/>
  <c r="CD104" i="3"/>
  <c r="A105" i="3"/>
  <c r="BQ105" i="3"/>
  <c r="BX105" i="3"/>
  <c r="BZ105" i="3"/>
  <c r="CA105" i="3"/>
  <c r="CB105" i="3"/>
  <c r="CC105" i="3"/>
  <c r="CD105" i="3"/>
  <c r="A106" i="3"/>
  <c r="BQ106" i="3"/>
  <c r="BX106" i="3"/>
  <c r="BZ106" i="3"/>
  <c r="CA106" i="3"/>
  <c r="CB106" i="3"/>
  <c r="CC106" i="3"/>
  <c r="CD106" i="3"/>
  <c r="A107" i="3"/>
  <c r="BQ107" i="3"/>
  <c r="BX107" i="3"/>
  <c r="BZ107" i="3"/>
  <c r="CA107" i="3"/>
  <c r="CB107" i="3"/>
  <c r="CC107" i="3"/>
  <c r="CD107" i="3"/>
  <c r="A108" i="3"/>
  <c r="BQ108" i="3"/>
  <c r="BX108" i="3"/>
  <c r="BZ108" i="3"/>
  <c r="CA108" i="3"/>
  <c r="CB108" i="3"/>
  <c r="CC108" i="3"/>
  <c r="CD108" i="3"/>
  <c r="A109" i="3"/>
  <c r="BQ109" i="3"/>
  <c r="BX109" i="3"/>
  <c r="BZ109" i="3"/>
  <c r="CA109" i="3"/>
  <c r="CB109" i="3"/>
  <c r="CC109" i="3"/>
  <c r="CD109" i="3"/>
  <c r="A110" i="3"/>
  <c r="BQ110" i="3"/>
  <c r="BX110" i="3"/>
  <c r="BZ110" i="3"/>
  <c r="CA110" i="3"/>
  <c r="CB110" i="3"/>
  <c r="CC110" i="3"/>
  <c r="CD110" i="3"/>
  <c r="A111" i="3"/>
  <c r="BQ111" i="3"/>
  <c r="BX111" i="3"/>
  <c r="BZ111" i="3"/>
  <c r="CA111" i="3"/>
  <c r="CB111" i="3"/>
  <c r="CC111" i="3"/>
  <c r="CD111" i="3"/>
  <c r="A112" i="3"/>
  <c r="BQ112" i="3"/>
  <c r="BX112" i="3"/>
  <c r="BZ112" i="3"/>
  <c r="CA112" i="3"/>
  <c r="CB112" i="3"/>
  <c r="CC112" i="3"/>
  <c r="CD112" i="3"/>
  <c r="A113" i="3"/>
  <c r="BQ113" i="3"/>
  <c r="BX113" i="3"/>
  <c r="BZ113" i="3"/>
  <c r="CA113" i="3"/>
  <c r="CB113" i="3"/>
  <c r="CC113" i="3"/>
  <c r="CD113" i="3"/>
  <c r="A114" i="3"/>
  <c r="BQ114" i="3"/>
  <c r="BX114" i="3"/>
  <c r="BZ114" i="3"/>
  <c r="CA114" i="3"/>
  <c r="CB114" i="3"/>
  <c r="CC114" i="3"/>
  <c r="CD114" i="3"/>
  <c r="A115" i="3"/>
  <c r="BQ115" i="3"/>
  <c r="BX115" i="3"/>
  <c r="BZ115" i="3"/>
  <c r="CA115" i="3"/>
  <c r="CB115" i="3"/>
  <c r="CC115" i="3"/>
  <c r="CD115" i="3"/>
  <c r="A116" i="3"/>
  <c r="BQ116" i="3"/>
  <c r="BX116" i="3"/>
  <c r="BZ116" i="3"/>
  <c r="CA116" i="3"/>
  <c r="CB116" i="3"/>
  <c r="CC116" i="3"/>
  <c r="CD116" i="3"/>
  <c r="A117" i="3"/>
  <c r="BQ117" i="3"/>
  <c r="BX117" i="3"/>
  <c r="BZ117" i="3"/>
  <c r="CA117" i="3"/>
  <c r="CB117" i="3"/>
  <c r="CC117" i="3"/>
  <c r="CD117" i="3"/>
  <c r="A118" i="3"/>
  <c r="BQ118" i="3"/>
  <c r="BX118" i="3"/>
  <c r="BZ118" i="3"/>
  <c r="CA118" i="3"/>
  <c r="CB118" i="3"/>
  <c r="CC118" i="3"/>
  <c r="CD118" i="3"/>
  <c r="A119" i="3"/>
  <c r="BQ119" i="3"/>
  <c r="BX119" i="3"/>
  <c r="BZ119" i="3"/>
  <c r="CA119" i="3"/>
  <c r="CB119" i="3"/>
  <c r="CC119" i="3"/>
  <c r="CD119" i="3"/>
  <c r="A120" i="3"/>
  <c r="BQ120" i="3"/>
  <c r="BX120" i="3"/>
  <c r="BZ120" i="3"/>
  <c r="CA120" i="3"/>
  <c r="CB120" i="3"/>
  <c r="CC120" i="3"/>
  <c r="CD120" i="3"/>
  <c r="A121" i="3"/>
  <c r="BQ121" i="3"/>
  <c r="BX121" i="3"/>
  <c r="BZ121" i="3"/>
  <c r="CA121" i="3"/>
  <c r="CB121" i="3"/>
  <c r="CC121" i="3"/>
  <c r="CD121" i="3"/>
  <c r="A122" i="3"/>
  <c r="BQ122" i="3"/>
  <c r="BX122" i="3"/>
  <c r="BZ122" i="3"/>
  <c r="CA122" i="3"/>
  <c r="CB122" i="3"/>
  <c r="CC122" i="3"/>
  <c r="CD122" i="3"/>
  <c r="A123" i="3"/>
  <c r="BQ123" i="3"/>
  <c r="BX123" i="3"/>
  <c r="BZ123" i="3"/>
  <c r="CA123" i="3"/>
  <c r="CB123" i="3"/>
  <c r="CC123" i="3"/>
  <c r="CD123" i="3"/>
  <c r="A124" i="3"/>
  <c r="BQ124" i="3"/>
  <c r="BX124" i="3"/>
  <c r="BZ124" i="3"/>
  <c r="CA124" i="3"/>
  <c r="CB124" i="3"/>
  <c r="CC124" i="3"/>
  <c r="CD124" i="3"/>
  <c r="A125" i="3"/>
  <c r="BQ125" i="3"/>
  <c r="BX125" i="3"/>
  <c r="BZ125" i="3"/>
  <c r="CA125" i="3"/>
  <c r="CB125" i="3"/>
  <c r="CC125" i="3"/>
  <c r="CD125" i="3"/>
  <c r="A126" i="3"/>
  <c r="BQ126" i="3"/>
  <c r="BX126" i="3"/>
  <c r="BZ126" i="3"/>
  <c r="CA126" i="3"/>
  <c r="CB126" i="3"/>
  <c r="CC126" i="3"/>
  <c r="CD126" i="3"/>
  <c r="A127" i="3"/>
  <c r="BQ127" i="3"/>
  <c r="BX127" i="3"/>
  <c r="BZ127" i="3"/>
  <c r="CA127" i="3"/>
  <c r="CB127" i="3"/>
  <c r="CC127" i="3"/>
  <c r="CD127" i="3"/>
  <c r="A128" i="3"/>
  <c r="BQ128" i="3"/>
  <c r="BX128" i="3"/>
  <c r="BZ128" i="3"/>
  <c r="CA128" i="3"/>
  <c r="CB128" i="3"/>
  <c r="CC128" i="3"/>
  <c r="CD128" i="3"/>
  <c r="A129" i="3"/>
  <c r="BQ129" i="3"/>
  <c r="BX129" i="3"/>
  <c r="BZ129" i="3"/>
  <c r="CA129" i="3"/>
  <c r="CB129" i="3"/>
  <c r="CC129" i="3"/>
  <c r="CD129" i="3"/>
  <c r="A130" i="3"/>
  <c r="BQ130" i="3"/>
  <c r="BX130" i="3"/>
  <c r="BZ130" i="3"/>
  <c r="CA130" i="3"/>
  <c r="CB130" i="3"/>
  <c r="CC130" i="3"/>
  <c r="CD130" i="3"/>
  <c r="A131" i="3"/>
  <c r="BQ131" i="3"/>
  <c r="BX131" i="3"/>
  <c r="BZ131" i="3"/>
  <c r="CA131" i="3"/>
  <c r="CB131" i="3"/>
  <c r="CC131" i="3"/>
  <c r="CD131" i="3"/>
  <c r="A132" i="3"/>
  <c r="BQ132" i="3"/>
  <c r="BX132" i="3"/>
  <c r="BZ132" i="3"/>
  <c r="CA132" i="3"/>
  <c r="CB132" i="3"/>
  <c r="CC132" i="3"/>
  <c r="CD132" i="3"/>
  <c r="A133" i="3"/>
  <c r="BQ133" i="3"/>
  <c r="BX133" i="3"/>
  <c r="BZ133" i="3"/>
  <c r="CA133" i="3"/>
  <c r="CB133" i="3"/>
  <c r="CC133" i="3"/>
  <c r="CD133" i="3"/>
  <c r="A134" i="3"/>
  <c r="BQ134" i="3"/>
  <c r="BX134" i="3"/>
  <c r="BZ134" i="3"/>
  <c r="CA134" i="3"/>
  <c r="CB134" i="3"/>
  <c r="CC134" i="3"/>
  <c r="CD134" i="3"/>
  <c r="A135" i="3"/>
  <c r="BQ135" i="3"/>
  <c r="BX135" i="3"/>
  <c r="BZ135" i="3"/>
  <c r="CA135" i="3"/>
  <c r="CB135" i="3"/>
  <c r="CC135" i="3"/>
  <c r="CD135" i="3"/>
  <c r="A136" i="3"/>
  <c r="BQ136" i="3"/>
  <c r="BX136" i="3"/>
  <c r="BZ136" i="3"/>
  <c r="CA136" i="3"/>
  <c r="CB136" i="3"/>
  <c r="CC136" i="3"/>
  <c r="CD136" i="3"/>
  <c r="A137" i="3"/>
  <c r="BQ137" i="3"/>
  <c r="BX137" i="3"/>
  <c r="BZ137" i="3"/>
  <c r="CA137" i="3"/>
  <c r="CB137" i="3"/>
  <c r="CC137" i="3"/>
  <c r="CD137" i="3"/>
  <c r="A138" i="3"/>
  <c r="BQ138" i="3"/>
  <c r="BX138" i="3"/>
  <c r="BZ138" i="3"/>
  <c r="CA138" i="3"/>
  <c r="CB138" i="3"/>
  <c r="CC138" i="3"/>
  <c r="CD138" i="3"/>
  <c r="A139" i="3"/>
  <c r="BQ139" i="3"/>
  <c r="BX139" i="3"/>
  <c r="BZ139" i="3"/>
  <c r="CA139" i="3"/>
  <c r="CB139" i="3"/>
  <c r="CC139" i="3"/>
  <c r="CD139" i="3"/>
  <c r="A140" i="3"/>
  <c r="BQ140" i="3"/>
  <c r="BX140" i="3"/>
  <c r="BZ140" i="3"/>
  <c r="CA140" i="3"/>
  <c r="CB140" i="3"/>
  <c r="CC140" i="3"/>
  <c r="CD140" i="3"/>
  <c r="A141" i="3"/>
  <c r="BQ141" i="3"/>
  <c r="BX141" i="3"/>
  <c r="BZ141" i="3"/>
  <c r="CA141" i="3"/>
  <c r="CB141" i="3"/>
  <c r="CC141" i="3"/>
  <c r="CD141" i="3"/>
  <c r="A142" i="3"/>
  <c r="BQ142" i="3"/>
  <c r="BX142" i="3"/>
  <c r="BZ142" i="3"/>
  <c r="CA142" i="3"/>
  <c r="CB142" i="3"/>
  <c r="CC142" i="3"/>
  <c r="CD142" i="3"/>
  <c r="A143" i="3"/>
  <c r="BQ143" i="3"/>
  <c r="BX143" i="3"/>
  <c r="BZ143" i="3"/>
  <c r="CA143" i="3"/>
  <c r="CB143" i="3"/>
  <c r="CC143" i="3"/>
  <c r="CD143" i="3"/>
  <c r="A144" i="3"/>
  <c r="BQ144" i="3"/>
  <c r="BX144" i="3"/>
  <c r="BZ144" i="3"/>
  <c r="CA144" i="3"/>
  <c r="CB144" i="3"/>
  <c r="CC144" i="3"/>
  <c r="CD144" i="3"/>
  <c r="A145" i="3"/>
  <c r="BQ145" i="3"/>
  <c r="BX145" i="3"/>
  <c r="BZ145" i="3"/>
  <c r="CA145" i="3"/>
  <c r="CB145" i="3"/>
  <c r="CC145" i="3"/>
  <c r="CD145" i="3"/>
  <c r="A146" i="3"/>
  <c r="BQ146" i="3"/>
  <c r="BX146" i="3"/>
  <c r="BZ146" i="3"/>
  <c r="CA146" i="3"/>
  <c r="CB146" i="3"/>
  <c r="CC146" i="3"/>
  <c r="CD146" i="3"/>
  <c r="A147" i="3"/>
  <c r="BQ147" i="3"/>
  <c r="BX147" i="3"/>
  <c r="BZ147" i="3"/>
  <c r="CA147" i="3"/>
  <c r="CB147" i="3"/>
  <c r="CC147" i="3"/>
  <c r="CD147" i="3"/>
  <c r="A148" i="3"/>
  <c r="BQ148" i="3"/>
  <c r="BX148" i="3"/>
  <c r="BZ148" i="3"/>
  <c r="CA148" i="3"/>
  <c r="CB148" i="3"/>
  <c r="CC148" i="3"/>
  <c r="CD148" i="3"/>
  <c r="A149" i="3"/>
  <c r="BQ149" i="3"/>
  <c r="BX149" i="3"/>
  <c r="BZ149" i="3"/>
  <c r="CA149" i="3"/>
  <c r="CB149" i="3"/>
  <c r="CC149" i="3"/>
  <c r="CD149" i="3"/>
  <c r="A150" i="3"/>
  <c r="BQ150" i="3"/>
  <c r="BX150" i="3"/>
  <c r="BZ150" i="3"/>
  <c r="CA150" i="3"/>
  <c r="CB150" i="3"/>
  <c r="CC150" i="3"/>
  <c r="CD150" i="3"/>
  <c r="A151" i="3"/>
  <c r="BQ151" i="3"/>
  <c r="BX151" i="3"/>
  <c r="BZ151" i="3"/>
  <c r="CA151" i="3"/>
  <c r="CB151" i="3"/>
  <c r="CC151" i="3"/>
  <c r="CD151" i="3"/>
  <c r="A152" i="3"/>
  <c r="BQ152" i="3"/>
  <c r="BX152" i="3"/>
  <c r="BZ152" i="3"/>
  <c r="CA152" i="3"/>
  <c r="CB152" i="3"/>
  <c r="CC152" i="3"/>
  <c r="CD152" i="3"/>
  <c r="A153" i="3"/>
  <c r="BQ153" i="3"/>
  <c r="BX153" i="3"/>
  <c r="BZ153" i="3"/>
  <c r="CA153" i="3"/>
  <c r="CB153" i="3"/>
  <c r="CC153" i="3"/>
  <c r="CD153" i="3"/>
  <c r="A154" i="3"/>
  <c r="BQ154" i="3"/>
  <c r="BX154" i="3"/>
  <c r="BZ154" i="3"/>
  <c r="CA154" i="3"/>
  <c r="CB154" i="3"/>
  <c r="CC154" i="3"/>
  <c r="CD154" i="3"/>
  <c r="A155" i="3"/>
  <c r="BQ155" i="3"/>
  <c r="BX155" i="3"/>
  <c r="BZ155" i="3"/>
  <c r="CA155" i="3"/>
  <c r="CB155" i="3"/>
  <c r="CC155" i="3"/>
  <c r="CD155" i="3"/>
  <c r="A156" i="3"/>
  <c r="BQ156" i="3"/>
  <c r="BX156" i="3"/>
  <c r="BZ156" i="3"/>
  <c r="CA156" i="3"/>
  <c r="CB156" i="3"/>
  <c r="CC156" i="3"/>
  <c r="CD156" i="3"/>
  <c r="A157" i="3"/>
  <c r="BQ157" i="3"/>
  <c r="BX157" i="3"/>
  <c r="BZ157" i="3"/>
  <c r="CA157" i="3"/>
  <c r="CB157" i="3"/>
  <c r="CC157" i="3"/>
  <c r="CD157" i="3"/>
  <c r="A158" i="3"/>
  <c r="BQ158" i="3"/>
  <c r="BX158" i="3"/>
  <c r="BZ158" i="3"/>
  <c r="CA158" i="3"/>
  <c r="CB158" i="3"/>
  <c r="CC158" i="3"/>
  <c r="CD158" i="3"/>
  <c r="A159" i="3"/>
  <c r="BQ159" i="3"/>
  <c r="BX159" i="3"/>
  <c r="BZ159" i="3"/>
  <c r="CA159" i="3"/>
  <c r="CB159" i="3"/>
  <c r="CC159" i="3"/>
  <c r="CD159" i="3"/>
  <c r="A160" i="3"/>
  <c r="BQ160" i="3"/>
  <c r="BX160" i="3"/>
  <c r="BZ160" i="3"/>
  <c r="CA160" i="3"/>
  <c r="CB160" i="3"/>
  <c r="CC160" i="3"/>
  <c r="CD160" i="3"/>
  <c r="A161" i="3"/>
  <c r="BQ161" i="3"/>
  <c r="BX161" i="3"/>
  <c r="BZ161" i="3"/>
  <c r="CA161" i="3"/>
  <c r="CB161" i="3"/>
  <c r="CC161" i="3"/>
  <c r="CD161" i="3"/>
  <c r="A162" i="3"/>
  <c r="BQ162" i="3"/>
  <c r="BX162" i="3"/>
  <c r="BZ162" i="3"/>
  <c r="CA162" i="3"/>
  <c r="CB162" i="3"/>
  <c r="CC162" i="3"/>
  <c r="CD162" i="3"/>
  <c r="A163" i="3"/>
  <c r="BQ163" i="3"/>
  <c r="BX163" i="3"/>
  <c r="BZ163" i="3"/>
  <c r="CA163" i="3"/>
  <c r="CB163" i="3"/>
  <c r="CC163" i="3"/>
  <c r="CD163" i="3"/>
  <c r="A164" i="3"/>
  <c r="BQ164" i="3"/>
  <c r="BX164" i="3"/>
  <c r="BZ164" i="3"/>
  <c r="CA164" i="3"/>
  <c r="CB164" i="3"/>
  <c r="CC164" i="3"/>
  <c r="CD164" i="3"/>
  <c r="A165" i="3"/>
  <c r="BQ165" i="3"/>
  <c r="BX165" i="3"/>
  <c r="BZ165" i="3"/>
  <c r="CA165" i="3"/>
  <c r="CB165" i="3"/>
  <c r="CC165" i="3"/>
  <c r="CD165" i="3"/>
  <c r="A166" i="3"/>
  <c r="BQ166" i="3"/>
  <c r="BX166" i="3"/>
  <c r="BZ166" i="3"/>
  <c r="CA166" i="3"/>
  <c r="CB166" i="3"/>
  <c r="CC166" i="3"/>
  <c r="CD166" i="3"/>
  <c r="A167" i="3"/>
  <c r="BQ167" i="3"/>
  <c r="BX167" i="3"/>
  <c r="BZ167" i="3"/>
  <c r="CA167" i="3"/>
  <c r="CB167" i="3"/>
  <c r="CC167" i="3"/>
  <c r="CD167" i="3"/>
  <c r="A168" i="3"/>
  <c r="BQ168" i="3"/>
  <c r="BX168" i="3"/>
  <c r="BZ168" i="3"/>
  <c r="CA168" i="3"/>
  <c r="CB168" i="3"/>
  <c r="CC168" i="3"/>
  <c r="CD168" i="3"/>
  <c r="A169" i="3"/>
  <c r="BQ169" i="3"/>
  <c r="BX169" i="3"/>
  <c r="BZ169" i="3"/>
  <c r="CA169" i="3"/>
  <c r="CB169" i="3"/>
  <c r="CC169" i="3"/>
  <c r="CD169" i="3"/>
  <c r="A170" i="3"/>
  <c r="BQ170" i="3"/>
  <c r="BX170" i="3"/>
  <c r="BZ170" i="3"/>
  <c r="CA170" i="3"/>
  <c r="CB170" i="3"/>
  <c r="CC170" i="3"/>
  <c r="CD170" i="3"/>
  <c r="A171" i="3"/>
  <c r="BQ171" i="3"/>
  <c r="BX171" i="3"/>
  <c r="BZ171" i="3"/>
  <c r="CA171" i="3"/>
  <c r="CB171" i="3"/>
  <c r="CC171" i="3"/>
  <c r="CD171" i="3"/>
  <c r="A172" i="3"/>
  <c r="BQ172" i="3"/>
  <c r="BX172" i="3"/>
  <c r="BZ172" i="3"/>
  <c r="CA172" i="3"/>
  <c r="CB172" i="3"/>
  <c r="CC172" i="3"/>
  <c r="CD172" i="3"/>
  <c r="A173" i="3"/>
  <c r="BQ173" i="3"/>
  <c r="BX173" i="3"/>
  <c r="BZ173" i="3"/>
  <c r="CA173" i="3"/>
  <c r="CB173" i="3"/>
  <c r="CC173" i="3"/>
  <c r="CD173" i="3"/>
  <c r="A174" i="3"/>
  <c r="BQ174" i="3"/>
  <c r="BX174" i="3"/>
  <c r="BZ174" i="3"/>
  <c r="CA174" i="3"/>
  <c r="CB174" i="3"/>
  <c r="CC174" i="3"/>
  <c r="CD174" i="3"/>
  <c r="A175" i="3"/>
  <c r="BQ175" i="3"/>
  <c r="BX175" i="3"/>
  <c r="BZ175" i="3"/>
  <c r="CA175" i="3"/>
  <c r="CB175" i="3"/>
  <c r="CC175" i="3"/>
  <c r="CD175" i="3"/>
  <c r="A176" i="3"/>
  <c r="BQ176" i="3"/>
  <c r="BX176" i="3"/>
  <c r="BZ176" i="3"/>
  <c r="CA176" i="3"/>
  <c r="CB176" i="3"/>
  <c r="CC176" i="3"/>
  <c r="CD176" i="3"/>
  <c r="A177" i="3"/>
  <c r="BQ177" i="3"/>
  <c r="BX177" i="3"/>
  <c r="BZ177" i="3"/>
  <c r="CA177" i="3"/>
  <c r="CB177" i="3"/>
  <c r="CC177" i="3"/>
  <c r="CD177" i="3"/>
  <c r="A178" i="3"/>
  <c r="BQ178" i="3"/>
  <c r="BX178" i="3"/>
  <c r="BZ178" i="3"/>
  <c r="CA178" i="3"/>
  <c r="CB178" i="3"/>
  <c r="CC178" i="3"/>
  <c r="CD178" i="3"/>
  <c r="A179" i="3"/>
  <c r="BQ179" i="3"/>
  <c r="BX179" i="3"/>
  <c r="BZ179" i="3"/>
  <c r="CA179" i="3"/>
  <c r="CB179" i="3"/>
  <c r="CC179" i="3"/>
  <c r="CD179" i="3"/>
  <c r="A180" i="3"/>
  <c r="BQ180" i="3"/>
  <c r="BX180" i="3"/>
  <c r="BZ180" i="3"/>
  <c r="CA180" i="3"/>
  <c r="CB180" i="3"/>
  <c r="CC180" i="3"/>
  <c r="CD180" i="3"/>
  <c r="A181" i="3"/>
  <c r="BQ181" i="3"/>
  <c r="BX181" i="3"/>
  <c r="BZ181" i="3"/>
  <c r="CA181" i="3"/>
  <c r="CB181" i="3"/>
  <c r="CC181" i="3"/>
  <c r="CD181" i="3"/>
  <c r="A182" i="3"/>
  <c r="BQ182" i="3"/>
  <c r="BX182" i="3"/>
  <c r="BZ182" i="3"/>
  <c r="CA182" i="3"/>
  <c r="CB182" i="3"/>
  <c r="CC182" i="3"/>
  <c r="CD182" i="3"/>
  <c r="A183" i="3"/>
  <c r="BQ183" i="3"/>
  <c r="BX183" i="3"/>
  <c r="BZ183" i="3"/>
  <c r="CA183" i="3"/>
  <c r="CB183" i="3"/>
  <c r="CC183" i="3"/>
  <c r="CD183" i="3"/>
  <c r="A184" i="3"/>
  <c r="BQ184" i="3"/>
  <c r="BX184" i="3"/>
  <c r="BZ184" i="3"/>
  <c r="CA184" i="3"/>
  <c r="CB184" i="3"/>
  <c r="CC184" i="3"/>
  <c r="CD184" i="3"/>
  <c r="A185" i="3"/>
  <c r="BQ185" i="3"/>
  <c r="BX185" i="3"/>
  <c r="BZ185" i="3"/>
  <c r="CA185" i="3"/>
  <c r="CB185" i="3"/>
  <c r="CC185" i="3"/>
  <c r="CD185" i="3"/>
  <c r="A186" i="3"/>
  <c r="BQ186" i="3"/>
  <c r="BX186" i="3"/>
  <c r="BZ186" i="3"/>
  <c r="CA186" i="3"/>
  <c r="CB186" i="3"/>
  <c r="CC186" i="3"/>
  <c r="CD186" i="3"/>
  <c r="A187" i="3"/>
  <c r="BQ187" i="3"/>
  <c r="BX187" i="3"/>
  <c r="BZ187" i="3"/>
  <c r="CA187" i="3"/>
  <c r="CB187" i="3"/>
  <c r="CC187" i="3"/>
  <c r="CD187" i="3"/>
  <c r="A188" i="3"/>
  <c r="BQ188" i="3"/>
  <c r="BX188" i="3"/>
  <c r="BZ188" i="3"/>
  <c r="CA188" i="3"/>
  <c r="CB188" i="3"/>
  <c r="CC188" i="3"/>
  <c r="CD188" i="3"/>
  <c r="A189" i="3"/>
  <c r="BQ189" i="3"/>
  <c r="BX189" i="3"/>
  <c r="BZ189" i="3"/>
  <c r="CA189" i="3"/>
  <c r="CB189" i="3"/>
  <c r="CC189" i="3"/>
  <c r="CD189" i="3"/>
  <c r="A190" i="3"/>
  <c r="BQ190" i="3"/>
  <c r="BX190" i="3"/>
  <c r="BZ190" i="3"/>
  <c r="CA190" i="3"/>
  <c r="CB190" i="3"/>
  <c r="CC190" i="3"/>
  <c r="CD190" i="3"/>
  <c r="A191" i="3"/>
  <c r="BQ191" i="3"/>
  <c r="BX191" i="3"/>
  <c r="BZ191" i="3"/>
  <c r="CA191" i="3"/>
  <c r="CB191" i="3"/>
  <c r="CC191" i="3"/>
  <c r="CD191" i="3"/>
  <c r="A192" i="3"/>
  <c r="BQ192" i="3"/>
  <c r="BX192" i="3"/>
  <c r="BZ192" i="3"/>
  <c r="CA192" i="3"/>
  <c r="CB192" i="3"/>
  <c r="CC192" i="3"/>
  <c r="CD192" i="3"/>
  <c r="A193" i="3"/>
  <c r="BQ193" i="3"/>
  <c r="BX193" i="3"/>
  <c r="BZ193" i="3"/>
  <c r="CA193" i="3"/>
  <c r="CB193" i="3"/>
  <c r="CC193" i="3"/>
  <c r="CD193" i="3"/>
  <c r="A194" i="3"/>
  <c r="BQ194" i="3"/>
  <c r="BX194" i="3"/>
  <c r="BZ194" i="3"/>
  <c r="CA194" i="3"/>
  <c r="CB194" i="3"/>
  <c r="CC194" i="3"/>
  <c r="CD194" i="3"/>
  <c r="A195" i="3"/>
  <c r="BQ195" i="3"/>
  <c r="BX195" i="3"/>
  <c r="BZ195" i="3"/>
  <c r="CA195" i="3"/>
  <c r="CB195" i="3"/>
  <c r="CC195" i="3"/>
  <c r="CD195" i="3"/>
  <c r="A196" i="3"/>
  <c r="BQ196" i="3"/>
  <c r="BX196" i="3"/>
  <c r="BZ196" i="3"/>
  <c r="CA196" i="3"/>
  <c r="CB196" i="3"/>
  <c r="CC196" i="3"/>
  <c r="CD196" i="3"/>
  <c r="A197" i="3"/>
  <c r="BQ197" i="3"/>
  <c r="BX197" i="3"/>
  <c r="BZ197" i="3"/>
  <c r="CA197" i="3"/>
  <c r="CB197" i="3"/>
  <c r="CC197" i="3"/>
  <c r="CD197" i="3"/>
  <c r="A198" i="3"/>
  <c r="BQ198" i="3"/>
  <c r="BX198" i="3"/>
  <c r="BZ198" i="3"/>
  <c r="CA198" i="3"/>
  <c r="CB198" i="3"/>
  <c r="CC198" i="3"/>
  <c r="CD198" i="3"/>
  <c r="A199" i="3"/>
  <c r="BQ199" i="3"/>
  <c r="BX199" i="3"/>
  <c r="BZ199" i="3"/>
  <c r="CA199" i="3"/>
  <c r="CB199" i="3"/>
  <c r="CC199" i="3"/>
  <c r="CD199" i="3"/>
  <c r="A200" i="3"/>
  <c r="BQ200" i="3"/>
  <c r="BX200" i="3"/>
  <c r="BZ200" i="3"/>
  <c r="CA200" i="3"/>
  <c r="CB200" i="3"/>
  <c r="CC200" i="3"/>
  <c r="CD200" i="3"/>
  <c r="A201" i="3"/>
  <c r="BQ201" i="3"/>
  <c r="BX201" i="3"/>
  <c r="BZ201" i="3"/>
  <c r="CA201" i="3"/>
  <c r="CB201" i="3"/>
  <c r="CC201" i="3"/>
  <c r="CD201" i="3"/>
  <c r="A202" i="3"/>
  <c r="BQ202" i="3"/>
  <c r="BX202" i="3"/>
  <c r="BZ202" i="3"/>
  <c r="CA202" i="3"/>
  <c r="CB202" i="3"/>
  <c r="CC202" i="3"/>
  <c r="CD202" i="3"/>
  <c r="A203" i="3"/>
  <c r="BQ203" i="3"/>
  <c r="BX203" i="3"/>
  <c r="BZ203" i="3"/>
  <c r="CA203" i="3"/>
  <c r="CB203" i="3"/>
  <c r="CC203" i="3"/>
  <c r="CD203" i="3"/>
  <c r="A204" i="3"/>
  <c r="BQ204" i="3"/>
  <c r="BX204" i="3"/>
  <c r="BZ204" i="3"/>
  <c r="CA204" i="3"/>
  <c r="CB204" i="3"/>
  <c r="CC204" i="3"/>
  <c r="CD204" i="3"/>
  <c r="A205" i="3"/>
  <c r="BQ205" i="3"/>
  <c r="BX205" i="3"/>
  <c r="BZ205" i="3"/>
  <c r="CA205" i="3"/>
  <c r="CB205" i="3"/>
  <c r="CC205" i="3"/>
  <c r="CD205" i="3"/>
  <c r="A206" i="3"/>
  <c r="BQ206" i="3"/>
  <c r="BX206" i="3"/>
  <c r="BZ206" i="3"/>
  <c r="CA206" i="3"/>
  <c r="CB206" i="3"/>
  <c r="CC206" i="3"/>
  <c r="CD206" i="3"/>
  <c r="A207" i="3"/>
  <c r="BQ207" i="3"/>
  <c r="BX207" i="3"/>
  <c r="BZ207" i="3"/>
  <c r="CA207" i="3"/>
  <c r="CB207" i="3"/>
  <c r="CC207" i="3"/>
  <c r="CD207" i="3"/>
  <c r="A208" i="3"/>
  <c r="BQ208" i="3"/>
  <c r="BX208" i="3"/>
  <c r="BZ208" i="3"/>
  <c r="CA208" i="3"/>
  <c r="CB208" i="3"/>
  <c r="CC208" i="3"/>
  <c r="CD208" i="3"/>
  <c r="A209" i="3"/>
  <c r="BQ209" i="3"/>
  <c r="BX209" i="3"/>
  <c r="BZ209" i="3"/>
  <c r="CA209" i="3"/>
  <c r="CB209" i="3"/>
  <c r="CC209" i="3"/>
  <c r="CD209" i="3"/>
  <c r="A210" i="3"/>
  <c r="BQ210" i="3"/>
  <c r="BX210" i="3"/>
  <c r="BZ210" i="3"/>
  <c r="CA210" i="3"/>
  <c r="CB210" i="3"/>
  <c r="CC210" i="3"/>
  <c r="CD210" i="3"/>
  <c r="A211" i="3"/>
  <c r="BQ211" i="3"/>
  <c r="BX211" i="3"/>
  <c r="BZ211" i="3"/>
  <c r="CA211" i="3"/>
  <c r="CB211" i="3"/>
  <c r="CC211" i="3"/>
  <c r="CD211" i="3"/>
  <c r="A212" i="3"/>
  <c r="BQ212" i="3"/>
  <c r="BX212" i="3"/>
  <c r="BZ212" i="3"/>
  <c r="CA212" i="3"/>
  <c r="CB212" i="3"/>
  <c r="CC212" i="3"/>
  <c r="CD212" i="3"/>
  <c r="A213" i="3"/>
  <c r="BQ213" i="3"/>
  <c r="BX213" i="3"/>
  <c r="BZ213" i="3"/>
  <c r="CA213" i="3"/>
  <c r="CB213" i="3"/>
  <c r="CC213" i="3"/>
  <c r="CD213" i="3"/>
  <c r="A214" i="3"/>
  <c r="BQ214" i="3"/>
  <c r="BX214" i="3"/>
  <c r="BZ214" i="3"/>
  <c r="CA214" i="3"/>
  <c r="CB214" i="3"/>
  <c r="CC214" i="3"/>
  <c r="CD214" i="3"/>
  <c r="A215" i="3"/>
  <c r="BQ215" i="3"/>
  <c r="BX215" i="3"/>
  <c r="BZ215" i="3"/>
  <c r="CA215" i="3"/>
  <c r="CB215" i="3"/>
  <c r="CC215" i="3"/>
  <c r="CD215" i="3"/>
  <c r="A216" i="3"/>
  <c r="BQ216" i="3"/>
  <c r="BX216" i="3"/>
  <c r="BZ216" i="3"/>
  <c r="CA216" i="3"/>
  <c r="CB216" i="3"/>
  <c r="CC216" i="3"/>
  <c r="CD216" i="3"/>
  <c r="A217" i="3"/>
  <c r="BQ217" i="3"/>
  <c r="BX217" i="3"/>
  <c r="BZ217" i="3"/>
  <c r="CA217" i="3"/>
  <c r="CB217" i="3"/>
  <c r="CC217" i="3"/>
  <c r="CD217" i="3"/>
  <c r="A218" i="3"/>
  <c r="BQ218" i="3"/>
  <c r="BX218" i="3"/>
  <c r="BZ218" i="3"/>
  <c r="CA218" i="3"/>
  <c r="CB218" i="3"/>
  <c r="CC218" i="3"/>
  <c r="CD218" i="3"/>
  <c r="A219" i="3"/>
  <c r="BQ219" i="3"/>
  <c r="BX219" i="3"/>
  <c r="BZ219" i="3"/>
  <c r="CA219" i="3"/>
  <c r="CB219" i="3"/>
  <c r="CC219" i="3"/>
  <c r="CD219" i="3"/>
  <c r="A220" i="3"/>
  <c r="BQ220" i="3"/>
  <c r="BX220" i="3"/>
  <c r="BZ220" i="3"/>
  <c r="CA220" i="3"/>
  <c r="CB220" i="3"/>
  <c r="CC220" i="3"/>
  <c r="CD220" i="3"/>
  <c r="A221" i="3"/>
  <c r="BQ221" i="3"/>
  <c r="BX221" i="3"/>
  <c r="BZ221" i="3"/>
  <c r="CA221" i="3"/>
  <c r="CB221" i="3"/>
  <c r="CC221" i="3"/>
  <c r="CD221" i="3"/>
  <c r="A222" i="3"/>
  <c r="BQ222" i="3"/>
  <c r="BX222" i="3"/>
  <c r="BZ222" i="3"/>
  <c r="CA222" i="3"/>
  <c r="CB222" i="3"/>
  <c r="CC222" i="3"/>
  <c r="CD222" i="3"/>
  <c r="A223" i="3"/>
  <c r="BQ223" i="3"/>
  <c r="BX223" i="3"/>
  <c r="BZ223" i="3"/>
  <c r="CA223" i="3"/>
  <c r="CB223" i="3"/>
  <c r="CC223" i="3"/>
  <c r="CD223" i="3"/>
  <c r="A224" i="3"/>
  <c r="BQ224" i="3"/>
  <c r="BX224" i="3"/>
  <c r="BZ224" i="3"/>
  <c r="CA224" i="3"/>
  <c r="CB224" i="3"/>
  <c r="CC224" i="3"/>
  <c r="CD224" i="3"/>
  <c r="A225" i="3"/>
  <c r="BQ225" i="3"/>
  <c r="BX225" i="3"/>
  <c r="BZ225" i="3"/>
  <c r="CA225" i="3"/>
  <c r="CB225" i="3"/>
  <c r="CC225" i="3"/>
  <c r="CD225" i="3"/>
  <c r="A226" i="3"/>
  <c r="BQ226" i="3"/>
  <c r="BX226" i="3"/>
  <c r="BZ226" i="3"/>
  <c r="CA226" i="3"/>
  <c r="CB226" i="3"/>
  <c r="CC226" i="3"/>
  <c r="CD226" i="3"/>
  <c r="A227" i="3"/>
  <c r="BQ227" i="3"/>
  <c r="BX227" i="3"/>
  <c r="BZ227" i="3"/>
  <c r="CA227" i="3"/>
  <c r="CB227" i="3"/>
  <c r="CC227" i="3"/>
  <c r="CD227" i="3"/>
  <c r="A228" i="3"/>
  <c r="BQ228" i="3"/>
  <c r="BX228" i="3"/>
  <c r="BZ228" i="3"/>
  <c r="CA228" i="3"/>
  <c r="CB228" i="3"/>
  <c r="CC228" i="3"/>
  <c r="CD228" i="3"/>
  <c r="A229" i="3"/>
  <c r="BQ229" i="3"/>
  <c r="BX229" i="3"/>
  <c r="BZ229" i="3"/>
  <c r="CA229" i="3"/>
  <c r="CB229" i="3"/>
  <c r="CC229" i="3"/>
  <c r="CD229" i="3"/>
  <c r="A230" i="3"/>
  <c r="BQ230" i="3"/>
  <c r="BX230" i="3"/>
  <c r="BZ230" i="3"/>
  <c r="CA230" i="3"/>
  <c r="CB230" i="3"/>
  <c r="CC230" i="3"/>
  <c r="CD230" i="3"/>
  <c r="A231" i="3"/>
  <c r="BQ231" i="3"/>
  <c r="BX231" i="3"/>
  <c r="BZ231" i="3"/>
  <c r="CA231" i="3"/>
  <c r="CB231" i="3"/>
  <c r="CC231" i="3"/>
  <c r="CD231" i="3"/>
  <c r="A232" i="3"/>
  <c r="BQ232" i="3"/>
  <c r="BX232" i="3"/>
  <c r="BZ232" i="3"/>
  <c r="CA232" i="3"/>
  <c r="CB232" i="3"/>
  <c r="CC232" i="3"/>
  <c r="CD232" i="3"/>
  <c r="A233" i="3"/>
  <c r="BQ233" i="3"/>
  <c r="BX233" i="3"/>
  <c r="BZ233" i="3"/>
  <c r="CA233" i="3"/>
  <c r="CB233" i="3"/>
  <c r="CC233" i="3"/>
  <c r="CD233" i="3"/>
  <c r="A234" i="3"/>
  <c r="BQ234" i="3"/>
  <c r="BX234" i="3"/>
  <c r="BZ234" i="3"/>
  <c r="CA234" i="3"/>
  <c r="CB234" i="3"/>
  <c r="CC234" i="3"/>
  <c r="CD234" i="3"/>
  <c r="A235" i="3"/>
  <c r="BQ235" i="3"/>
  <c r="BX235" i="3"/>
  <c r="BZ235" i="3"/>
  <c r="CA235" i="3"/>
  <c r="CB235" i="3"/>
  <c r="CC235" i="3"/>
  <c r="CD235" i="3"/>
  <c r="A236" i="3"/>
  <c r="BQ236" i="3"/>
  <c r="BX236" i="3"/>
  <c r="BZ236" i="3"/>
  <c r="CA236" i="3"/>
  <c r="CB236" i="3"/>
  <c r="CC236" i="3"/>
  <c r="CD236" i="3"/>
  <c r="A237" i="3"/>
  <c r="BQ237" i="3"/>
  <c r="BX237" i="3"/>
  <c r="BZ237" i="3"/>
  <c r="CA237" i="3"/>
  <c r="CB237" i="3"/>
  <c r="CC237" i="3"/>
  <c r="CD237" i="3"/>
  <c r="A238" i="3"/>
  <c r="BQ238" i="3"/>
  <c r="BX238" i="3"/>
  <c r="BZ238" i="3"/>
  <c r="CA238" i="3"/>
  <c r="CB238" i="3"/>
  <c r="CC238" i="3"/>
  <c r="CD238" i="3"/>
  <c r="A239" i="3"/>
  <c r="BQ239" i="3"/>
  <c r="BX239" i="3"/>
  <c r="BZ239" i="3"/>
  <c r="CA239" i="3"/>
  <c r="CB239" i="3"/>
  <c r="CC239" i="3"/>
  <c r="CD239" i="3"/>
  <c r="A240" i="3"/>
  <c r="BQ240" i="3"/>
  <c r="BX240" i="3"/>
  <c r="BZ240" i="3"/>
  <c r="CA240" i="3"/>
  <c r="CB240" i="3"/>
  <c r="CC240" i="3"/>
  <c r="CD240" i="3"/>
  <c r="A241" i="3"/>
  <c r="BQ241" i="3"/>
  <c r="BX241" i="3"/>
  <c r="BZ241" i="3"/>
  <c r="CA241" i="3"/>
  <c r="CB241" i="3"/>
  <c r="CC241" i="3"/>
  <c r="CD241" i="3"/>
  <c r="A242" i="3"/>
  <c r="BQ242" i="3"/>
  <c r="BX242" i="3"/>
  <c r="BZ242" i="3"/>
  <c r="CA242" i="3"/>
  <c r="CB242" i="3"/>
  <c r="CC242" i="3"/>
  <c r="CD242" i="3"/>
  <c r="A243" i="3"/>
  <c r="BQ243" i="3"/>
  <c r="BX243" i="3"/>
  <c r="BZ243" i="3"/>
  <c r="CA243" i="3"/>
  <c r="CB243" i="3"/>
  <c r="CC243" i="3"/>
  <c r="CD243" i="3"/>
  <c r="A244" i="3"/>
  <c r="BQ244" i="3"/>
  <c r="BX244" i="3"/>
  <c r="BZ244" i="3"/>
  <c r="CA244" i="3"/>
  <c r="CB244" i="3"/>
  <c r="CC244" i="3"/>
  <c r="CD244" i="3"/>
  <c r="A245" i="3"/>
  <c r="BQ245" i="3"/>
  <c r="BX245" i="3"/>
  <c r="BZ245" i="3"/>
  <c r="CA245" i="3"/>
  <c r="CB245" i="3"/>
  <c r="CC245" i="3"/>
  <c r="CD245" i="3"/>
  <c r="A246" i="3"/>
  <c r="BQ246" i="3"/>
  <c r="BX246" i="3"/>
  <c r="BZ246" i="3"/>
  <c r="CA246" i="3"/>
  <c r="CB246" i="3"/>
  <c r="CC246" i="3"/>
  <c r="CD246" i="3"/>
  <c r="A247" i="3"/>
  <c r="BQ247" i="3"/>
  <c r="BX247" i="3"/>
  <c r="BZ247" i="3"/>
  <c r="CA247" i="3"/>
  <c r="CB247" i="3"/>
  <c r="CC247" i="3"/>
  <c r="CD247" i="3"/>
  <c r="A248" i="3"/>
  <c r="BQ248" i="3"/>
  <c r="BX248" i="3"/>
  <c r="BZ248" i="3"/>
  <c r="CA248" i="3"/>
  <c r="CB248" i="3"/>
  <c r="CC248" i="3"/>
  <c r="CD248" i="3"/>
  <c r="A249" i="3"/>
  <c r="BQ249" i="3"/>
  <c r="BX249" i="3"/>
  <c r="BZ249" i="3"/>
  <c r="CA249" i="3"/>
  <c r="CB249" i="3"/>
  <c r="CC249" i="3"/>
  <c r="CD249" i="3"/>
  <c r="A250" i="3"/>
  <c r="BQ250" i="3"/>
  <c r="BX250" i="3"/>
  <c r="BZ250" i="3"/>
  <c r="CA250" i="3"/>
  <c r="CB250" i="3"/>
  <c r="CC250" i="3"/>
  <c r="CD250" i="3"/>
  <c r="A251" i="3"/>
  <c r="BQ251" i="3"/>
  <c r="BX251" i="3"/>
  <c r="BZ251" i="3"/>
  <c r="CA251" i="3"/>
  <c r="CB251" i="3"/>
  <c r="CC251" i="3"/>
  <c r="CD251" i="3"/>
  <c r="A252" i="3"/>
  <c r="BQ252" i="3"/>
  <c r="BX252" i="3"/>
  <c r="BZ252" i="3"/>
  <c r="CA252" i="3"/>
  <c r="CB252" i="3"/>
  <c r="CC252" i="3"/>
  <c r="CD252" i="3"/>
  <c r="A253" i="3"/>
  <c r="BQ253" i="3"/>
  <c r="BX253" i="3"/>
  <c r="BZ253" i="3"/>
  <c r="CA253" i="3"/>
  <c r="CB253" i="3"/>
  <c r="CC253" i="3"/>
  <c r="CD253" i="3"/>
  <c r="A254" i="3"/>
  <c r="BQ254" i="3"/>
  <c r="BX254" i="3"/>
  <c r="BZ254" i="3"/>
  <c r="CA254" i="3"/>
  <c r="CB254" i="3"/>
  <c r="CC254" i="3"/>
  <c r="CD254" i="3"/>
  <c r="A255" i="3"/>
  <c r="BQ255" i="3"/>
  <c r="BX255" i="3"/>
  <c r="BZ255" i="3"/>
  <c r="CA255" i="3"/>
  <c r="CB255" i="3"/>
  <c r="CC255" i="3"/>
  <c r="CD255" i="3"/>
  <c r="A256" i="3"/>
  <c r="BQ256" i="3"/>
  <c r="BX256" i="3"/>
  <c r="BZ256" i="3"/>
  <c r="CA256" i="3"/>
  <c r="CB256" i="3"/>
  <c r="CC256" i="3"/>
  <c r="CD256" i="3"/>
  <c r="A257" i="3"/>
  <c r="BQ257" i="3"/>
  <c r="BX257" i="3"/>
  <c r="BZ257" i="3"/>
  <c r="CA257" i="3"/>
  <c r="CB257" i="3"/>
  <c r="CC257" i="3"/>
  <c r="CD257" i="3"/>
  <c r="A258" i="3"/>
  <c r="BQ258" i="3"/>
  <c r="BX258" i="3"/>
  <c r="BZ258" i="3"/>
  <c r="CA258" i="3"/>
  <c r="CB258" i="3"/>
  <c r="CC258" i="3"/>
  <c r="CD258" i="3"/>
  <c r="A259" i="3"/>
  <c r="BQ259" i="3"/>
  <c r="BX259" i="3"/>
  <c r="BZ259" i="3"/>
  <c r="CA259" i="3"/>
  <c r="CB259" i="3"/>
  <c r="CC259" i="3"/>
  <c r="CD259" i="3"/>
  <c r="A260" i="3"/>
  <c r="BQ260" i="3"/>
  <c r="BX260" i="3"/>
  <c r="BZ260" i="3"/>
  <c r="CA260" i="3"/>
  <c r="CB260" i="3"/>
  <c r="CC260" i="3"/>
  <c r="CD260" i="3"/>
  <c r="A261" i="3"/>
  <c r="BQ261" i="3"/>
  <c r="BX261" i="3"/>
  <c r="BZ261" i="3"/>
  <c r="CA261" i="3"/>
  <c r="CB261" i="3"/>
  <c r="CC261" i="3"/>
  <c r="CD261" i="3"/>
  <c r="A262" i="3"/>
  <c r="BQ262" i="3"/>
  <c r="BX262" i="3"/>
  <c r="BZ262" i="3"/>
  <c r="CA262" i="3"/>
  <c r="CB262" i="3"/>
  <c r="CC262" i="3"/>
  <c r="CD262" i="3"/>
  <c r="A263" i="3"/>
  <c r="BQ263" i="3"/>
  <c r="BX263" i="3"/>
  <c r="BZ263" i="3"/>
  <c r="CA263" i="3"/>
  <c r="CB263" i="3"/>
  <c r="CC263" i="3"/>
  <c r="CD263" i="3"/>
  <c r="A264" i="3"/>
  <c r="BQ264" i="3"/>
  <c r="BX264" i="3"/>
  <c r="BZ264" i="3"/>
  <c r="CA264" i="3"/>
  <c r="CB264" i="3"/>
  <c r="CC264" i="3"/>
  <c r="CD264" i="3"/>
  <c r="A265" i="3"/>
  <c r="BQ265" i="3"/>
  <c r="BX265" i="3"/>
  <c r="BZ265" i="3"/>
  <c r="CA265" i="3"/>
  <c r="CB265" i="3"/>
  <c r="CC265" i="3"/>
  <c r="CD265" i="3"/>
  <c r="A266" i="3"/>
  <c r="BQ266" i="3"/>
  <c r="BX266" i="3"/>
  <c r="BZ266" i="3"/>
  <c r="CA266" i="3"/>
  <c r="CB266" i="3"/>
  <c r="CC266" i="3"/>
  <c r="CD266" i="3"/>
  <c r="A267" i="3"/>
  <c r="BQ267" i="3"/>
  <c r="BX267" i="3"/>
  <c r="BZ267" i="3"/>
  <c r="CA267" i="3"/>
  <c r="CB267" i="3"/>
  <c r="CC267" i="3"/>
  <c r="CD267" i="3"/>
  <c r="A268" i="3"/>
  <c r="BQ268" i="3"/>
  <c r="BX268" i="3"/>
  <c r="BZ268" i="3"/>
  <c r="CA268" i="3"/>
  <c r="CB268" i="3"/>
  <c r="CC268" i="3"/>
  <c r="CD268" i="3"/>
  <c r="A269" i="3"/>
  <c r="BQ269" i="3"/>
  <c r="BX269" i="3"/>
  <c r="BZ269" i="3"/>
  <c r="CA269" i="3"/>
  <c r="CB269" i="3"/>
  <c r="CC269" i="3"/>
  <c r="CD269" i="3"/>
  <c r="A270" i="3"/>
  <c r="BQ270" i="3"/>
  <c r="BX270" i="3"/>
  <c r="BZ270" i="3"/>
  <c r="CA270" i="3"/>
  <c r="CB270" i="3"/>
  <c r="CC270" i="3"/>
  <c r="CD270" i="3"/>
  <c r="A271" i="3"/>
  <c r="BQ271" i="3"/>
  <c r="BX271" i="3"/>
  <c r="BZ271" i="3"/>
  <c r="CA271" i="3"/>
  <c r="CB271" i="3"/>
  <c r="CC271" i="3"/>
  <c r="CD271" i="3"/>
  <c r="A272" i="3"/>
  <c r="BQ272" i="3"/>
  <c r="BX272" i="3"/>
  <c r="BZ272" i="3"/>
  <c r="CA272" i="3"/>
  <c r="CB272" i="3"/>
  <c r="CC272" i="3"/>
  <c r="CD272" i="3"/>
  <c r="A273" i="3"/>
  <c r="BQ273" i="3"/>
  <c r="BX273" i="3"/>
  <c r="BZ273" i="3"/>
  <c r="CA273" i="3"/>
  <c r="CB273" i="3"/>
  <c r="CC273" i="3"/>
  <c r="CD273" i="3"/>
  <c r="A274" i="3"/>
  <c r="BQ274" i="3"/>
  <c r="BX274" i="3"/>
  <c r="BZ274" i="3"/>
  <c r="CA274" i="3"/>
  <c r="CB274" i="3"/>
  <c r="CC274" i="3"/>
  <c r="CD274" i="3"/>
  <c r="A275" i="3"/>
  <c r="BQ275" i="3"/>
  <c r="BX275" i="3"/>
  <c r="BZ275" i="3"/>
  <c r="CA275" i="3"/>
  <c r="CB275" i="3"/>
  <c r="CC275" i="3"/>
  <c r="CD275" i="3"/>
  <c r="A276" i="3"/>
  <c r="BQ276" i="3"/>
  <c r="BX276" i="3"/>
  <c r="BZ276" i="3"/>
  <c r="CA276" i="3"/>
  <c r="CB276" i="3"/>
  <c r="CC276" i="3"/>
  <c r="CD276" i="3"/>
  <c r="A277" i="3"/>
  <c r="BQ277" i="3"/>
  <c r="BX277" i="3"/>
  <c r="BZ277" i="3"/>
  <c r="CA277" i="3"/>
  <c r="CB277" i="3"/>
  <c r="CC277" i="3"/>
  <c r="CD277" i="3"/>
  <c r="A278" i="3"/>
  <c r="BQ278" i="3"/>
  <c r="BX278" i="3"/>
  <c r="BZ278" i="3"/>
  <c r="CA278" i="3"/>
  <c r="CB278" i="3"/>
  <c r="CC278" i="3"/>
  <c r="CD278" i="3"/>
  <c r="A279" i="3"/>
  <c r="BQ279" i="3"/>
  <c r="BX279" i="3"/>
  <c r="BZ279" i="3"/>
  <c r="CA279" i="3"/>
  <c r="CB279" i="3"/>
  <c r="CC279" i="3"/>
  <c r="CD279" i="3"/>
  <c r="BQ280" i="3"/>
  <c r="BX280" i="3"/>
  <c r="BZ280" i="3"/>
  <c r="CA280" i="3"/>
  <c r="CB280" i="3"/>
  <c r="CC280" i="3"/>
  <c r="CD280" i="3"/>
  <c r="BQ281" i="3"/>
  <c r="BX281" i="3"/>
  <c r="BZ281" i="3"/>
  <c r="CA281" i="3"/>
  <c r="CB281" i="3"/>
  <c r="CC281" i="3"/>
  <c r="CD281" i="3"/>
  <c r="BQ282" i="3"/>
  <c r="BX282" i="3"/>
  <c r="BZ282" i="3"/>
  <c r="CA282" i="3"/>
  <c r="CB282" i="3"/>
  <c r="CC282" i="3"/>
  <c r="CD282" i="3"/>
  <c r="BQ283" i="3"/>
  <c r="BX283" i="3"/>
  <c r="BZ283" i="3"/>
  <c r="CA283" i="3"/>
  <c r="CB283" i="3"/>
  <c r="CC283" i="3"/>
  <c r="CD283" i="3"/>
  <c r="BT1" i="2"/>
  <c r="C2" i="2"/>
  <c r="C3" i="2"/>
  <c r="BE3" i="2"/>
  <c r="S4" i="2"/>
  <c r="BE4" i="2"/>
  <c r="S5" i="2"/>
  <c r="Z5" i="2"/>
  <c r="AA5" i="2"/>
  <c r="AR5" i="2"/>
  <c r="AS5" i="2"/>
  <c r="AT5" i="2"/>
  <c r="AU5" i="2"/>
  <c r="AV5" i="2"/>
  <c r="AW5" i="2"/>
  <c r="S6" i="2"/>
  <c r="Z6" i="2"/>
  <c r="AA6" i="2"/>
  <c r="AR6" i="2"/>
  <c r="AS6" i="2"/>
  <c r="AT6" i="2"/>
  <c r="AU6" i="2"/>
  <c r="AV6" i="2"/>
  <c r="AW6" i="2"/>
  <c r="S7" i="2"/>
  <c r="Z7" i="2"/>
  <c r="AA7" i="2"/>
  <c r="AR7" i="2"/>
  <c r="AS7" i="2"/>
  <c r="AT7" i="2"/>
  <c r="AU7" i="2"/>
  <c r="AV7" i="2"/>
  <c r="AW7" i="2"/>
  <c r="BE7" i="2"/>
  <c r="BF7" i="2"/>
  <c r="BG7" i="2"/>
  <c r="BH7" i="2"/>
  <c r="BI7" i="2"/>
  <c r="BJ7" i="2"/>
  <c r="BK7" i="2"/>
  <c r="L8" i="2"/>
  <c r="S8" i="2"/>
  <c r="Z8" i="2"/>
  <c r="AA8" i="2"/>
  <c r="AR8" i="2"/>
  <c r="AS8" i="2"/>
  <c r="AT8" i="2"/>
  <c r="AU8" i="2"/>
  <c r="AV8" i="2"/>
  <c r="AW8" i="2"/>
  <c r="AZ8" i="2"/>
  <c r="BE8" i="2"/>
  <c r="BF8" i="2"/>
  <c r="BI8" i="2"/>
  <c r="BJ8" i="2"/>
  <c r="BK8" i="2"/>
  <c r="C9" i="2"/>
  <c r="L9" i="2"/>
  <c r="S9" i="2"/>
  <c r="Z9" i="2"/>
  <c r="AA9" i="2"/>
  <c r="AR9" i="2"/>
  <c r="AS9" i="2"/>
  <c r="AT9" i="2"/>
  <c r="AU9" i="2"/>
  <c r="AV9" i="2"/>
  <c r="AW9" i="2"/>
  <c r="BI9" i="2"/>
  <c r="BJ9" i="2"/>
  <c r="BK9" i="2"/>
  <c r="L10" i="2"/>
  <c r="S10" i="2"/>
  <c r="Z10" i="2"/>
  <c r="AA10" i="2"/>
  <c r="AR10" i="2"/>
  <c r="AS10" i="2"/>
  <c r="AT10" i="2"/>
  <c r="AU10" i="2"/>
  <c r="AV10" i="2"/>
  <c r="AW10" i="2"/>
  <c r="BD10" i="2"/>
  <c r="BE10" i="2"/>
  <c r="BF10" i="2"/>
  <c r="BG10" i="2"/>
  <c r="BH10" i="2"/>
  <c r="BI10" i="2"/>
  <c r="BJ10" i="2"/>
  <c r="BK10" i="2"/>
  <c r="L11" i="2"/>
  <c r="S11" i="2"/>
  <c r="Z11" i="2"/>
  <c r="AA11" i="2"/>
  <c r="AR11" i="2"/>
  <c r="AS11" i="2"/>
  <c r="AT11" i="2"/>
  <c r="AU11" i="2"/>
  <c r="AV11" i="2"/>
  <c r="AW11" i="2"/>
  <c r="AZ11" i="2"/>
  <c r="C12" i="2"/>
  <c r="F12" i="2"/>
  <c r="S12" i="2"/>
  <c r="Z12" i="2"/>
  <c r="AA12" i="2"/>
  <c r="AR12" i="2"/>
  <c r="AS12" i="2"/>
  <c r="AT12" i="2"/>
  <c r="AU12" i="2"/>
  <c r="AV12" i="2"/>
  <c r="AW12" i="2"/>
  <c r="AZ12" i="2"/>
  <c r="B13" i="2"/>
  <c r="C13" i="2"/>
  <c r="E13" i="2"/>
  <c r="F13" i="2"/>
  <c r="H13" i="2"/>
  <c r="I13" i="2"/>
  <c r="L13" i="2"/>
  <c r="S13" i="2"/>
  <c r="Z13" i="2"/>
  <c r="AA13" i="2"/>
  <c r="AR13" i="2"/>
  <c r="AS13" i="2"/>
  <c r="AT13" i="2"/>
  <c r="AU13" i="2"/>
  <c r="AV13" i="2"/>
  <c r="AW13" i="2"/>
  <c r="AZ13" i="2"/>
  <c r="BG13" i="2"/>
  <c r="C14" i="2"/>
  <c r="F14" i="2"/>
  <c r="H14" i="2"/>
  <c r="I14" i="2"/>
  <c r="K14" i="2"/>
  <c r="L14" i="2"/>
  <c r="S14" i="2"/>
  <c r="Z14" i="2"/>
  <c r="AA14" i="2"/>
  <c r="AR14" i="2"/>
  <c r="AS14" i="2"/>
  <c r="AT14" i="2"/>
  <c r="AU14" i="2"/>
  <c r="AV14" i="2"/>
  <c r="AW14" i="2"/>
  <c r="AZ14" i="2"/>
  <c r="S15" i="2"/>
  <c r="Z15" i="2"/>
  <c r="AA15" i="2"/>
  <c r="AR15" i="2"/>
  <c r="AS15" i="2"/>
  <c r="AT15" i="2"/>
  <c r="AU15" i="2"/>
  <c r="AV15" i="2"/>
  <c r="AW15" i="2"/>
  <c r="AZ15" i="2"/>
  <c r="F16" i="2"/>
  <c r="I16" i="2"/>
  <c r="L16" i="2"/>
  <c r="S16" i="2"/>
  <c r="Z16" i="2"/>
  <c r="AA16" i="2"/>
  <c r="AR16" i="2"/>
  <c r="AS16" i="2"/>
  <c r="AT16" i="2"/>
  <c r="AU16" i="2"/>
  <c r="AV16" i="2"/>
  <c r="AW16" i="2"/>
  <c r="AZ16" i="2"/>
  <c r="I17" i="2"/>
  <c r="L17" i="2"/>
  <c r="S17" i="2"/>
  <c r="AZ17" i="2"/>
  <c r="I18" i="2"/>
  <c r="L18" i="2"/>
  <c r="S18" i="2"/>
  <c r="AZ18" i="2"/>
  <c r="BD18" i="2"/>
  <c r="S19" i="2"/>
  <c r="AZ19" i="2"/>
  <c r="I20" i="2"/>
  <c r="L20" i="2"/>
  <c r="S20" i="2"/>
  <c r="AZ20" i="2"/>
  <c r="I21" i="2"/>
  <c r="L21" i="2"/>
  <c r="S21" i="2"/>
  <c r="Z21" i="2"/>
  <c r="AA21" i="2"/>
  <c r="AB21" i="2"/>
  <c r="AC21" i="2"/>
  <c r="AD21" i="2"/>
  <c r="AE21" i="2"/>
  <c r="AF21" i="2"/>
  <c r="AG21" i="2"/>
  <c r="AH21" i="2"/>
  <c r="AI21" i="2"/>
  <c r="AJ21" i="2"/>
  <c r="AK21" i="2"/>
  <c r="AL21" i="2"/>
  <c r="AM21" i="2"/>
  <c r="AN21" i="2"/>
  <c r="AZ21" i="2"/>
  <c r="I22" i="2"/>
  <c r="S22" i="2"/>
  <c r="Z22" i="2"/>
  <c r="AA22" i="2"/>
  <c r="AB22" i="2"/>
  <c r="AC22" i="2"/>
  <c r="AD22" i="2"/>
  <c r="AE22" i="2"/>
  <c r="AF22" i="2"/>
  <c r="AG22" i="2"/>
  <c r="AH22" i="2"/>
  <c r="AI22" i="2"/>
  <c r="AJ22" i="2"/>
  <c r="AK22" i="2"/>
  <c r="AL22" i="2"/>
  <c r="AM22" i="2"/>
  <c r="AN22" i="2"/>
  <c r="AZ22" i="2"/>
  <c r="I23" i="2"/>
  <c r="S23" i="2"/>
  <c r="Z23" i="2"/>
  <c r="AA23" i="2"/>
  <c r="AB23" i="2"/>
  <c r="AC23" i="2"/>
  <c r="AD23" i="2"/>
  <c r="AE23" i="2"/>
  <c r="AF23" i="2"/>
  <c r="AG23" i="2"/>
  <c r="AH23" i="2"/>
  <c r="AI23" i="2"/>
  <c r="AJ23" i="2"/>
  <c r="AK23" i="2"/>
  <c r="AL23" i="2"/>
  <c r="AM23" i="2"/>
  <c r="AN23" i="2"/>
  <c r="F24" i="2"/>
  <c r="I24" i="2"/>
  <c r="S24" i="2"/>
  <c r="Z24" i="2"/>
  <c r="AA24" i="2"/>
  <c r="AB24" i="2"/>
  <c r="AC24" i="2"/>
  <c r="AD24" i="2"/>
  <c r="AE24" i="2"/>
  <c r="AF24" i="2"/>
  <c r="AG24" i="2"/>
  <c r="AH24" i="2"/>
  <c r="AI24" i="2"/>
  <c r="AJ24" i="2"/>
  <c r="AK24" i="2"/>
  <c r="AL24" i="2"/>
  <c r="AM24" i="2"/>
  <c r="AN24" i="2"/>
  <c r="AZ24" i="2"/>
  <c r="F25" i="2"/>
  <c r="I25" i="2"/>
  <c r="S25" i="2"/>
  <c r="Z25" i="2"/>
  <c r="AA25" i="2"/>
  <c r="AB25" i="2"/>
  <c r="AC25" i="2"/>
  <c r="AD25" i="2"/>
  <c r="AE25" i="2"/>
  <c r="AF25" i="2"/>
  <c r="AG25" i="2"/>
  <c r="AH25" i="2"/>
  <c r="AI25" i="2"/>
  <c r="AJ25" i="2"/>
  <c r="AK25" i="2"/>
  <c r="AL25" i="2"/>
  <c r="AM25" i="2"/>
  <c r="AN25" i="2"/>
  <c r="AZ25" i="2"/>
  <c r="C26" i="2"/>
  <c r="F26" i="2"/>
  <c r="I26" i="2"/>
  <c r="S26" i="2"/>
  <c r="Z26" i="2"/>
  <c r="AA26" i="2"/>
  <c r="AB26" i="2"/>
  <c r="AC26" i="2"/>
  <c r="AD26" i="2"/>
  <c r="AE26" i="2"/>
  <c r="AF26" i="2"/>
  <c r="AG26" i="2"/>
  <c r="AH26" i="2"/>
  <c r="AI26" i="2"/>
  <c r="AJ26" i="2"/>
  <c r="AK26" i="2"/>
  <c r="AL26" i="2"/>
  <c r="AM26" i="2"/>
  <c r="AN26" i="2"/>
  <c r="AZ26" i="2"/>
  <c r="S27" i="2"/>
  <c r="Z27" i="2"/>
  <c r="AA27" i="2"/>
  <c r="AB27" i="2"/>
  <c r="AC27" i="2"/>
  <c r="AD27" i="2"/>
  <c r="AE27" i="2"/>
  <c r="AF27" i="2"/>
  <c r="AG27" i="2"/>
  <c r="AH27" i="2"/>
  <c r="AI27" i="2"/>
  <c r="AJ27" i="2"/>
  <c r="AK27" i="2"/>
  <c r="AL27" i="2"/>
  <c r="AM27" i="2"/>
  <c r="AN27" i="2"/>
  <c r="AZ27" i="2"/>
  <c r="BJ27" i="2"/>
  <c r="B28" i="2"/>
  <c r="L28" i="2"/>
  <c r="Z28" i="2"/>
  <c r="AA28" i="2"/>
  <c r="AB28" i="2"/>
  <c r="AC28" i="2"/>
  <c r="AD28" i="2"/>
  <c r="AE28" i="2"/>
  <c r="AF28" i="2"/>
  <c r="AG28" i="2"/>
  <c r="AH28" i="2"/>
  <c r="AI28" i="2"/>
  <c r="AJ28" i="2"/>
  <c r="AK28" i="2"/>
  <c r="AL28" i="2"/>
  <c r="AM28" i="2"/>
  <c r="AN28" i="2"/>
  <c r="AZ28" i="2"/>
  <c r="BJ28" i="2"/>
  <c r="F29" i="2"/>
  <c r="L29" i="2"/>
  <c r="Z29" i="2"/>
  <c r="AA29" i="2"/>
  <c r="AB29" i="2"/>
  <c r="AC29" i="2"/>
  <c r="AD29" i="2"/>
  <c r="AE29" i="2"/>
  <c r="AF29" i="2"/>
  <c r="AG29" i="2"/>
  <c r="AH29" i="2"/>
  <c r="AI29" i="2"/>
  <c r="AJ29" i="2"/>
  <c r="AK29" i="2"/>
  <c r="AL29" i="2"/>
  <c r="AM29" i="2"/>
  <c r="AN29" i="2"/>
  <c r="AZ29" i="2"/>
  <c r="L30" i="2"/>
  <c r="Z30" i="2"/>
  <c r="AA30" i="2"/>
  <c r="AB30" i="2"/>
  <c r="AC30" i="2"/>
  <c r="AD30" i="2"/>
  <c r="AE30" i="2"/>
  <c r="AF30" i="2"/>
  <c r="AG30" i="2"/>
  <c r="AH30" i="2"/>
  <c r="AI30" i="2"/>
  <c r="AJ30" i="2"/>
  <c r="AK30" i="2"/>
  <c r="AL30" i="2"/>
  <c r="AM30" i="2"/>
  <c r="AN30" i="2"/>
  <c r="AZ30" i="2"/>
  <c r="L31" i="2"/>
  <c r="S31" i="2"/>
  <c r="Z31" i="2"/>
  <c r="AA31" i="2"/>
  <c r="AB31" i="2"/>
  <c r="AC31" i="2"/>
  <c r="AD31" i="2"/>
  <c r="AE31" i="2"/>
  <c r="AF31" i="2"/>
  <c r="AG31" i="2"/>
  <c r="AH31" i="2"/>
  <c r="AI31" i="2"/>
  <c r="AJ31" i="2"/>
  <c r="AK31" i="2"/>
  <c r="AL31" i="2"/>
  <c r="AM31" i="2"/>
  <c r="AN31" i="2"/>
  <c r="L32" i="2"/>
  <c r="S32" i="2"/>
  <c r="Z32" i="2"/>
  <c r="AA32" i="2"/>
  <c r="AB32" i="2"/>
  <c r="AC32" i="2"/>
  <c r="AD32" i="2"/>
  <c r="AE32" i="2"/>
  <c r="AF32" i="2"/>
  <c r="AG32" i="2"/>
  <c r="AH32" i="2"/>
  <c r="AI32" i="2"/>
  <c r="AJ32" i="2"/>
  <c r="AK32" i="2"/>
  <c r="AL32" i="2"/>
  <c r="AM32" i="2"/>
  <c r="AN32" i="2"/>
  <c r="I33" i="2"/>
  <c r="L33" i="2"/>
  <c r="S33" i="2"/>
  <c r="I34" i="2"/>
  <c r="L34" i="2"/>
  <c r="S34" i="2"/>
  <c r="F35" i="2"/>
  <c r="I35" i="2"/>
  <c r="L35" i="2"/>
  <c r="S35" i="2"/>
  <c r="S36" i="2"/>
  <c r="L37" i="2"/>
  <c r="S37" i="2"/>
  <c r="L38" i="2"/>
  <c r="O38" i="2"/>
  <c r="P38" i="2"/>
  <c r="Q38" i="2"/>
  <c r="S38" i="2"/>
  <c r="L39" i="2"/>
  <c r="O39" i="2"/>
  <c r="P39" i="2"/>
  <c r="Q39" i="2"/>
  <c r="S39" i="2"/>
  <c r="S40" i="2"/>
  <c r="S41" i="2"/>
  <c r="S42" i="2"/>
  <c r="O43" i="2"/>
  <c r="P43" i="2"/>
  <c r="Q43" i="2"/>
  <c r="S43" i="2"/>
  <c r="BK43" i="2"/>
  <c r="O44" i="2"/>
  <c r="P44" i="2"/>
  <c r="Q44" i="2"/>
  <c r="S44" i="2"/>
  <c r="BK44" i="2"/>
  <c r="O45" i="2"/>
  <c r="P45" i="2"/>
  <c r="Q45" i="2"/>
  <c r="S45" i="2"/>
  <c r="O46" i="2"/>
  <c r="P46" i="2"/>
  <c r="Q46" i="2"/>
  <c r="S46" i="2"/>
  <c r="O47" i="2"/>
  <c r="P47" i="2"/>
  <c r="Q47" i="2"/>
  <c r="S47" i="2"/>
  <c r="O48" i="2"/>
  <c r="P48" i="2"/>
  <c r="Q48" i="2"/>
  <c r="S48" i="2"/>
  <c r="O49" i="2"/>
  <c r="P49" i="2"/>
  <c r="Q49" i="2"/>
  <c r="S49" i="2"/>
  <c r="O50" i="2"/>
  <c r="P50" i="2"/>
  <c r="Q50" i="2"/>
  <c r="S50" i="2"/>
  <c r="O51" i="2"/>
  <c r="P51" i="2"/>
  <c r="Q51" i="2"/>
  <c r="S51" i="2"/>
  <c r="O52" i="2"/>
  <c r="P52" i="2"/>
  <c r="Q52" i="2"/>
  <c r="S52" i="2"/>
  <c r="O53" i="2"/>
  <c r="P53" i="2"/>
  <c r="Q53" i="2"/>
  <c r="S53" i="2"/>
  <c r="O54" i="2"/>
  <c r="P54" i="2"/>
  <c r="Q54" i="2"/>
  <c r="S54" i="2"/>
  <c r="H6" i="12"/>
  <c r="I6" i="12"/>
  <c r="J6" i="12"/>
  <c r="K6" i="12"/>
  <c r="L6" i="12"/>
  <c r="M6" i="12"/>
  <c r="N6" i="12"/>
  <c r="O6" i="12"/>
  <c r="P6" i="12"/>
  <c r="Q6" i="12"/>
  <c r="R6" i="12"/>
  <c r="S6" i="12"/>
  <c r="T6" i="12"/>
  <c r="U6" i="12"/>
  <c r="V6" i="12"/>
  <c r="W6" i="12"/>
  <c r="X6" i="12"/>
  <c r="Y6" i="12"/>
  <c r="Z6" i="12"/>
  <c r="AA6" i="12"/>
  <c r="AB6" i="12"/>
  <c r="AC6" i="12"/>
  <c r="AD6" i="12"/>
  <c r="AE6" i="12"/>
  <c r="AG6" i="12"/>
  <c r="AH6" i="12"/>
  <c r="AI6" i="12"/>
  <c r="AJ6" i="12"/>
  <c r="AK6" i="12"/>
  <c r="AL6" i="12"/>
  <c r="AM6" i="12"/>
  <c r="AN6" i="12"/>
  <c r="AO6" i="12"/>
  <c r="AP6" i="12"/>
  <c r="AQ6" i="12"/>
  <c r="AR6" i="12"/>
  <c r="AS6" i="12"/>
  <c r="AT6" i="12"/>
  <c r="AU6" i="12"/>
  <c r="AV6" i="12"/>
  <c r="AW6" i="12"/>
  <c r="AX6" i="12"/>
  <c r="AY6" i="12"/>
  <c r="AZ6" i="12"/>
  <c r="BA6" i="12"/>
  <c r="BB6" i="12"/>
  <c r="BC6" i="12"/>
  <c r="BD6" i="12"/>
  <c r="BF6" i="12"/>
  <c r="BG6" i="12"/>
  <c r="BH6" i="12"/>
  <c r="BI6" i="12"/>
  <c r="BJ6" i="12"/>
  <c r="BK6" i="12"/>
  <c r="BL6" i="12"/>
  <c r="BM6" i="12"/>
  <c r="BN6" i="12"/>
  <c r="BO6" i="12"/>
  <c r="BP6" i="12"/>
  <c r="BQ6" i="12"/>
  <c r="BR6" i="12"/>
  <c r="BS6" i="12"/>
  <c r="BT6" i="12"/>
  <c r="BU6" i="12"/>
  <c r="BV6" i="12"/>
  <c r="BW6" i="12"/>
  <c r="BX6" i="12"/>
  <c r="BY6" i="12"/>
  <c r="BZ6" i="12"/>
  <c r="CA6" i="12"/>
  <c r="CB6" i="12"/>
  <c r="CC6" i="12"/>
  <c r="CE6" i="12"/>
  <c r="CF6" i="12"/>
  <c r="CG6" i="12"/>
  <c r="CH6" i="12"/>
  <c r="CI6" i="12"/>
  <c r="CJ6" i="12"/>
  <c r="CK6" i="12"/>
  <c r="CL6" i="12"/>
  <c r="CM6" i="12"/>
  <c r="CN6" i="12"/>
  <c r="CO6" i="12"/>
  <c r="CP6" i="12"/>
  <c r="CQ6" i="12"/>
  <c r="CR6" i="12"/>
  <c r="CS6" i="12"/>
  <c r="CT6" i="12"/>
  <c r="CU6" i="12"/>
  <c r="CV6" i="12"/>
  <c r="CW6" i="12"/>
  <c r="CX6" i="12"/>
  <c r="CY6" i="12"/>
  <c r="CZ6" i="12"/>
  <c r="DA6" i="12"/>
  <c r="DB6" i="12"/>
  <c r="DH6" i="12"/>
  <c r="DI6" i="12"/>
  <c r="DJ6" i="12"/>
  <c r="H7" i="12"/>
  <c r="I7" i="12"/>
  <c r="J7" i="12"/>
  <c r="K7" i="12"/>
  <c r="L7" i="12"/>
  <c r="M7" i="12"/>
  <c r="N7" i="12"/>
  <c r="O7" i="12"/>
  <c r="P7" i="12"/>
  <c r="Q7" i="12"/>
  <c r="R7" i="12"/>
  <c r="S7" i="12"/>
  <c r="T7" i="12"/>
  <c r="U7" i="12"/>
  <c r="V7" i="12"/>
  <c r="W7" i="12"/>
  <c r="X7" i="12"/>
  <c r="Y7" i="12"/>
  <c r="Z7" i="12"/>
  <c r="AA7" i="12"/>
  <c r="AB7" i="12"/>
  <c r="AC7" i="12"/>
  <c r="AD7" i="12"/>
  <c r="AE7" i="12"/>
  <c r="AG7" i="12"/>
  <c r="AH7" i="12"/>
  <c r="AI7" i="12"/>
  <c r="AJ7" i="12"/>
  <c r="AK7" i="12"/>
  <c r="AL7" i="12"/>
  <c r="AM7" i="12"/>
  <c r="AN7" i="12"/>
  <c r="AO7" i="12"/>
  <c r="AP7" i="12"/>
  <c r="AQ7" i="12"/>
  <c r="AR7" i="12"/>
  <c r="AS7" i="12"/>
  <c r="AT7" i="12"/>
  <c r="AU7" i="12"/>
  <c r="AV7" i="12"/>
  <c r="AW7" i="12"/>
  <c r="AX7" i="12"/>
  <c r="AY7" i="12"/>
  <c r="AZ7" i="12"/>
  <c r="BA7" i="12"/>
  <c r="BB7" i="12"/>
  <c r="BC7" i="12"/>
  <c r="BD7" i="12"/>
  <c r="BF7" i="12"/>
  <c r="BG7" i="12"/>
  <c r="BH7" i="12"/>
  <c r="BI7" i="12"/>
  <c r="BJ7" i="12"/>
  <c r="BK7" i="12"/>
  <c r="BL7" i="12"/>
  <c r="BM7" i="12"/>
  <c r="BN7" i="12"/>
  <c r="BO7" i="12"/>
  <c r="BP7" i="12"/>
  <c r="BQ7" i="12"/>
  <c r="BR7" i="12"/>
  <c r="BS7" i="12"/>
  <c r="BT7" i="12"/>
  <c r="BU7" i="12"/>
  <c r="BV7" i="12"/>
  <c r="BW7" i="12"/>
  <c r="BX7" i="12"/>
  <c r="BY7" i="12"/>
  <c r="BZ7" i="12"/>
  <c r="CA7" i="12"/>
  <c r="CB7" i="12"/>
  <c r="CC7" i="12"/>
  <c r="CE7" i="12"/>
  <c r="CF7" i="12"/>
  <c r="CG7" i="12"/>
  <c r="CH7" i="12"/>
  <c r="CI7" i="12"/>
  <c r="CJ7" i="12"/>
  <c r="CK7" i="12"/>
  <c r="CL7" i="12"/>
  <c r="CM7" i="12"/>
  <c r="CN7" i="12"/>
  <c r="CO7" i="12"/>
  <c r="CP7" i="12"/>
  <c r="CQ7" i="12"/>
  <c r="CR7" i="12"/>
  <c r="CS7" i="12"/>
  <c r="CT7" i="12"/>
  <c r="CU7" i="12"/>
  <c r="CV7" i="12"/>
  <c r="CW7" i="12"/>
  <c r="CX7" i="12"/>
  <c r="CY7" i="12"/>
  <c r="CZ7" i="12"/>
  <c r="DA7" i="12"/>
  <c r="DB7" i="12"/>
  <c r="DH7" i="12"/>
  <c r="DI7" i="12"/>
  <c r="DJ7" i="12"/>
  <c r="H8" i="12"/>
  <c r="I8" i="12"/>
  <c r="J8" i="12"/>
  <c r="K8" i="12"/>
  <c r="L8" i="12"/>
  <c r="M8" i="12"/>
  <c r="N8" i="12"/>
  <c r="O8" i="12"/>
  <c r="P8" i="12"/>
  <c r="Q8" i="12"/>
  <c r="R8" i="12"/>
  <c r="S8" i="12"/>
  <c r="T8" i="12"/>
  <c r="U8" i="12"/>
  <c r="V8" i="12"/>
  <c r="W8" i="12"/>
  <c r="X8" i="12"/>
  <c r="Y8" i="12"/>
  <c r="Z8" i="12"/>
  <c r="AA8" i="12"/>
  <c r="AB8" i="12"/>
  <c r="AC8" i="12"/>
  <c r="AD8" i="12"/>
  <c r="AE8" i="12"/>
  <c r="AG8" i="12"/>
  <c r="AH8" i="12"/>
  <c r="AI8" i="12"/>
  <c r="AJ8" i="12"/>
  <c r="AK8" i="12"/>
  <c r="AL8" i="12"/>
  <c r="AM8" i="12"/>
  <c r="AN8" i="12"/>
  <c r="AO8" i="12"/>
  <c r="AP8" i="12"/>
  <c r="AQ8" i="12"/>
  <c r="AR8" i="12"/>
  <c r="AS8" i="12"/>
  <c r="AT8" i="12"/>
  <c r="AU8" i="12"/>
  <c r="AV8" i="12"/>
  <c r="AW8" i="12"/>
  <c r="AX8" i="12"/>
  <c r="AY8" i="12"/>
  <c r="AZ8" i="12"/>
  <c r="BA8" i="12"/>
  <c r="BB8" i="12"/>
  <c r="BC8" i="12"/>
  <c r="BD8" i="12"/>
  <c r="BF8" i="12"/>
  <c r="BG8" i="12"/>
  <c r="BH8" i="12"/>
  <c r="BI8" i="12"/>
  <c r="BJ8" i="12"/>
  <c r="BK8" i="12"/>
  <c r="BL8" i="12"/>
  <c r="BM8" i="12"/>
  <c r="BN8" i="12"/>
  <c r="BO8" i="12"/>
  <c r="BP8" i="12"/>
  <c r="BQ8" i="12"/>
  <c r="BR8" i="12"/>
  <c r="BS8" i="12"/>
  <c r="BT8" i="12"/>
  <c r="BU8" i="12"/>
  <c r="BV8" i="12"/>
  <c r="BW8" i="12"/>
  <c r="BX8" i="12"/>
  <c r="BY8" i="12"/>
  <c r="BZ8" i="12"/>
  <c r="CA8" i="12"/>
  <c r="CB8" i="12"/>
  <c r="CC8" i="12"/>
  <c r="CE8" i="12"/>
  <c r="CF8" i="12"/>
  <c r="CG8" i="12"/>
  <c r="CH8" i="12"/>
  <c r="CI8" i="12"/>
  <c r="CJ8" i="12"/>
  <c r="CK8" i="12"/>
  <c r="CL8" i="12"/>
  <c r="CM8" i="12"/>
  <c r="CN8" i="12"/>
  <c r="CO8" i="12"/>
  <c r="CP8" i="12"/>
  <c r="CQ8" i="12"/>
  <c r="CR8" i="12"/>
  <c r="CS8" i="12"/>
  <c r="CT8" i="12"/>
  <c r="CU8" i="12"/>
  <c r="CV8" i="12"/>
  <c r="CW8" i="12"/>
  <c r="CX8" i="12"/>
  <c r="CY8" i="12"/>
  <c r="CZ8" i="12"/>
  <c r="DA8" i="12"/>
  <c r="DB8" i="12"/>
  <c r="DH8" i="12"/>
  <c r="DI8" i="12"/>
  <c r="DJ8" i="12"/>
  <c r="H9" i="12"/>
  <c r="I9" i="12"/>
  <c r="J9" i="12"/>
  <c r="K9" i="12"/>
  <c r="L9" i="12"/>
  <c r="M9" i="12"/>
  <c r="N9" i="12"/>
  <c r="O9" i="12"/>
  <c r="P9" i="12"/>
  <c r="Q9" i="12"/>
  <c r="R9" i="12"/>
  <c r="S9" i="12"/>
  <c r="T9" i="12"/>
  <c r="U9" i="12"/>
  <c r="V9" i="12"/>
  <c r="W9" i="12"/>
  <c r="X9" i="12"/>
  <c r="Y9" i="12"/>
  <c r="Z9" i="12"/>
  <c r="AA9" i="12"/>
  <c r="AB9" i="12"/>
  <c r="AC9" i="12"/>
  <c r="AD9" i="12"/>
  <c r="AE9" i="12"/>
  <c r="AG9" i="12"/>
  <c r="AH9" i="12"/>
  <c r="AI9" i="12"/>
  <c r="AJ9" i="12"/>
  <c r="AK9" i="12"/>
  <c r="AL9" i="12"/>
  <c r="AM9" i="12"/>
  <c r="AN9" i="12"/>
  <c r="AO9" i="12"/>
  <c r="AP9" i="12"/>
  <c r="AQ9" i="12"/>
  <c r="AR9" i="12"/>
  <c r="AS9" i="12"/>
  <c r="AT9" i="12"/>
  <c r="AU9" i="12"/>
  <c r="AV9" i="12"/>
  <c r="AW9" i="12"/>
  <c r="AX9" i="12"/>
  <c r="AY9" i="12"/>
  <c r="AZ9" i="12"/>
  <c r="BA9" i="12"/>
  <c r="BB9" i="12"/>
  <c r="BC9" i="12"/>
  <c r="BD9" i="12"/>
  <c r="BF9" i="12"/>
  <c r="BG9" i="12"/>
  <c r="BH9" i="12"/>
  <c r="BI9" i="12"/>
  <c r="BJ9" i="12"/>
  <c r="BK9" i="12"/>
  <c r="BL9" i="12"/>
  <c r="BM9" i="12"/>
  <c r="BN9" i="12"/>
  <c r="BO9" i="12"/>
  <c r="BP9" i="12"/>
  <c r="BQ9" i="12"/>
  <c r="BR9" i="12"/>
  <c r="BS9" i="12"/>
  <c r="BT9" i="12"/>
  <c r="BU9" i="12"/>
  <c r="BV9" i="12"/>
  <c r="BW9" i="12"/>
  <c r="BX9" i="12"/>
  <c r="BY9" i="12"/>
  <c r="BZ9" i="12"/>
  <c r="CA9" i="12"/>
  <c r="CB9" i="12"/>
  <c r="CC9" i="12"/>
  <c r="CE9" i="12"/>
  <c r="CF9" i="12"/>
  <c r="CG9" i="12"/>
  <c r="CH9" i="12"/>
  <c r="CI9" i="12"/>
  <c r="CJ9" i="12"/>
  <c r="CK9" i="12"/>
  <c r="CL9" i="12"/>
  <c r="CM9" i="12"/>
  <c r="CN9" i="12"/>
  <c r="CO9" i="12"/>
  <c r="CP9" i="12"/>
  <c r="CQ9" i="12"/>
  <c r="CR9" i="12"/>
  <c r="CS9" i="12"/>
  <c r="CT9" i="12"/>
  <c r="CU9" i="12"/>
  <c r="CV9" i="12"/>
  <c r="CW9" i="12"/>
  <c r="CX9" i="12"/>
  <c r="CY9" i="12"/>
  <c r="CZ9" i="12"/>
  <c r="DA9" i="12"/>
  <c r="DB9" i="12"/>
  <c r="DH9" i="12"/>
  <c r="DI9" i="12"/>
  <c r="DJ9" i="12"/>
  <c r="H10" i="12"/>
  <c r="I10" i="12"/>
  <c r="J10" i="12"/>
  <c r="K10" i="12"/>
  <c r="L10" i="12"/>
  <c r="M10" i="12"/>
  <c r="N10" i="12"/>
  <c r="O10" i="12"/>
  <c r="P10" i="12"/>
  <c r="Q10" i="12"/>
  <c r="R10" i="12"/>
  <c r="S10" i="12"/>
  <c r="T10" i="12"/>
  <c r="U10" i="12"/>
  <c r="V10" i="12"/>
  <c r="W10" i="12"/>
  <c r="X10" i="12"/>
  <c r="Y10" i="12"/>
  <c r="Z10" i="12"/>
  <c r="AA10" i="12"/>
  <c r="AB10" i="12"/>
  <c r="AC10" i="12"/>
  <c r="AD10" i="12"/>
  <c r="AE10" i="12"/>
  <c r="AG10" i="12"/>
  <c r="AH10" i="12"/>
  <c r="AI10" i="12"/>
  <c r="AJ10" i="12"/>
  <c r="AK10" i="12"/>
  <c r="AL10" i="12"/>
  <c r="AM10" i="12"/>
  <c r="AN10" i="12"/>
  <c r="AO10" i="12"/>
  <c r="AP10" i="12"/>
  <c r="AQ10" i="12"/>
  <c r="AR10" i="12"/>
  <c r="AS10" i="12"/>
  <c r="AT10" i="12"/>
  <c r="AU10" i="12"/>
  <c r="AV10" i="12"/>
  <c r="AW10" i="12"/>
  <c r="AX10" i="12"/>
  <c r="AY10" i="12"/>
  <c r="AZ10" i="12"/>
  <c r="BA10" i="12"/>
  <c r="BB10" i="12"/>
  <c r="BC10" i="12"/>
  <c r="BD10" i="12"/>
  <c r="BF10" i="12"/>
  <c r="BG10" i="12"/>
  <c r="BH10" i="12"/>
  <c r="BI10" i="12"/>
  <c r="BJ10" i="12"/>
  <c r="BK10" i="12"/>
  <c r="BL10" i="12"/>
  <c r="BM10" i="12"/>
  <c r="BN10" i="12"/>
  <c r="BO10" i="12"/>
  <c r="BP10" i="12"/>
  <c r="BQ10" i="12"/>
  <c r="BR10" i="12"/>
  <c r="BS10" i="12"/>
  <c r="BT10" i="12"/>
  <c r="BU10" i="12"/>
  <c r="BV10" i="12"/>
  <c r="BW10" i="12"/>
  <c r="BX10" i="12"/>
  <c r="BY10" i="12"/>
  <c r="BZ10" i="12"/>
  <c r="CA10" i="12"/>
  <c r="CB10" i="12"/>
  <c r="CC10" i="12"/>
  <c r="CE10" i="12"/>
  <c r="CF10" i="12"/>
  <c r="CG10" i="12"/>
  <c r="CH10" i="12"/>
  <c r="CI10" i="12"/>
  <c r="CJ10" i="12"/>
  <c r="CK10" i="12"/>
  <c r="CL10" i="12"/>
  <c r="CM10" i="12"/>
  <c r="CN10" i="12"/>
  <c r="CO10" i="12"/>
  <c r="CP10" i="12"/>
  <c r="CQ10" i="12"/>
  <c r="CR10" i="12"/>
  <c r="CS10" i="12"/>
  <c r="CT10" i="12"/>
  <c r="CU10" i="12"/>
  <c r="CV10" i="12"/>
  <c r="CW10" i="12"/>
  <c r="CX10" i="12"/>
  <c r="CY10" i="12"/>
  <c r="CZ10" i="12"/>
  <c r="DA10" i="12"/>
  <c r="DB10" i="12"/>
  <c r="DH10" i="12"/>
  <c r="DI10" i="12"/>
  <c r="DJ10" i="12"/>
  <c r="H11" i="12"/>
  <c r="I11" i="12"/>
  <c r="J11" i="12"/>
  <c r="K11" i="12"/>
  <c r="L11" i="12"/>
  <c r="M11" i="12"/>
  <c r="N11" i="12"/>
  <c r="O11" i="12"/>
  <c r="P11" i="12"/>
  <c r="Q11" i="12"/>
  <c r="R11" i="12"/>
  <c r="S11" i="12"/>
  <c r="T11" i="12"/>
  <c r="U11" i="12"/>
  <c r="V11" i="12"/>
  <c r="W11" i="12"/>
  <c r="X11" i="12"/>
  <c r="Y11" i="12"/>
  <c r="Z11" i="12"/>
  <c r="AA11" i="12"/>
  <c r="AB11" i="12"/>
  <c r="AC11" i="12"/>
  <c r="AD11" i="12"/>
  <c r="AE11" i="12"/>
  <c r="AG11" i="12"/>
  <c r="AH11" i="12"/>
  <c r="AI11" i="12"/>
  <c r="AJ11" i="12"/>
  <c r="AK11" i="12"/>
  <c r="AL11" i="12"/>
  <c r="AM11" i="12"/>
  <c r="AN11" i="12"/>
  <c r="AO11" i="12"/>
  <c r="AP11" i="12"/>
  <c r="AQ11" i="12"/>
  <c r="AR11" i="12"/>
  <c r="AS11" i="12"/>
  <c r="AT11" i="12"/>
  <c r="AU11" i="12"/>
  <c r="AV11" i="12"/>
  <c r="AW11" i="12"/>
  <c r="AX11" i="12"/>
  <c r="AY11" i="12"/>
  <c r="AZ11" i="12"/>
  <c r="BA11" i="12"/>
  <c r="BB11" i="12"/>
  <c r="BC11" i="12"/>
  <c r="BD11" i="12"/>
  <c r="BF11" i="12"/>
  <c r="BG11" i="12"/>
  <c r="BH11" i="12"/>
  <c r="BI11" i="12"/>
  <c r="BJ11" i="12"/>
  <c r="BK11" i="12"/>
  <c r="BL11" i="12"/>
  <c r="BM11" i="12"/>
  <c r="BN11" i="12"/>
  <c r="BO11" i="12"/>
  <c r="BP11" i="12"/>
  <c r="BQ11" i="12"/>
  <c r="BR11" i="12"/>
  <c r="BS11" i="12"/>
  <c r="BT11" i="12"/>
  <c r="BU11" i="12"/>
  <c r="BV11" i="12"/>
  <c r="BW11" i="12"/>
  <c r="BX11" i="12"/>
  <c r="BY11" i="12"/>
  <c r="BZ11" i="12"/>
  <c r="CA11" i="12"/>
  <c r="CB11" i="12"/>
  <c r="CC11" i="12"/>
  <c r="CE11" i="12"/>
  <c r="CF11" i="12"/>
  <c r="CG11" i="12"/>
  <c r="CH11" i="12"/>
  <c r="CI11" i="12"/>
  <c r="CJ11" i="12"/>
  <c r="CK11" i="12"/>
  <c r="CL11" i="12"/>
  <c r="CM11" i="12"/>
  <c r="CN11" i="12"/>
  <c r="CO11" i="12"/>
  <c r="CP11" i="12"/>
  <c r="CQ11" i="12"/>
  <c r="CR11" i="12"/>
  <c r="CS11" i="12"/>
  <c r="CT11" i="12"/>
  <c r="CU11" i="12"/>
  <c r="CV11" i="12"/>
  <c r="CW11" i="12"/>
  <c r="CX11" i="12"/>
  <c r="CY11" i="12"/>
  <c r="CZ11" i="12"/>
  <c r="DA11" i="12"/>
  <c r="DB11" i="12"/>
  <c r="DH11" i="12"/>
  <c r="DI11" i="12"/>
  <c r="DJ11" i="12"/>
  <c r="H12" i="12"/>
  <c r="I12" i="12"/>
  <c r="J12" i="12"/>
  <c r="K12" i="12"/>
  <c r="L12" i="12"/>
  <c r="M12" i="12"/>
  <c r="N12" i="12"/>
  <c r="O12" i="12"/>
  <c r="P12" i="12"/>
  <c r="Q12" i="12"/>
  <c r="R12" i="12"/>
  <c r="S12" i="12"/>
  <c r="T12" i="12"/>
  <c r="U12" i="12"/>
  <c r="V12" i="12"/>
  <c r="W12" i="12"/>
  <c r="X12" i="12"/>
  <c r="Y12" i="12"/>
  <c r="Z12" i="12"/>
  <c r="AA12" i="12"/>
  <c r="AB12" i="12"/>
  <c r="AC12" i="12"/>
  <c r="AD12" i="12"/>
  <c r="AE12" i="12"/>
  <c r="AG12" i="12"/>
  <c r="AH12" i="12"/>
  <c r="AI12" i="12"/>
  <c r="AJ12" i="12"/>
  <c r="AK12" i="12"/>
  <c r="AL12" i="12"/>
  <c r="AM12" i="12"/>
  <c r="AN12" i="12"/>
  <c r="AO12" i="12"/>
  <c r="AP12" i="12"/>
  <c r="AQ12" i="12"/>
  <c r="AR12" i="12"/>
  <c r="AS12" i="12"/>
  <c r="AT12" i="12"/>
  <c r="AU12" i="12"/>
  <c r="AV12" i="12"/>
  <c r="AW12" i="12"/>
  <c r="AX12" i="12"/>
  <c r="AY12" i="12"/>
  <c r="AZ12" i="12"/>
  <c r="BA12" i="12"/>
  <c r="BB12" i="12"/>
  <c r="BC12" i="12"/>
  <c r="BD12" i="12"/>
  <c r="BF12" i="12"/>
  <c r="BG12" i="12"/>
  <c r="BH12" i="12"/>
  <c r="BI12" i="12"/>
  <c r="BJ12" i="12"/>
  <c r="BK12" i="12"/>
  <c r="BL12" i="12"/>
  <c r="BM12" i="12"/>
  <c r="BN12" i="12"/>
  <c r="BO12" i="12"/>
  <c r="BP12" i="12"/>
  <c r="BQ12" i="12"/>
  <c r="BR12" i="12"/>
  <c r="BS12" i="12"/>
  <c r="BT12" i="12"/>
  <c r="BU12" i="12"/>
  <c r="BV12" i="12"/>
  <c r="BW12" i="12"/>
  <c r="BX12" i="12"/>
  <c r="BY12" i="12"/>
  <c r="BZ12" i="12"/>
  <c r="CA12" i="12"/>
  <c r="CB12" i="12"/>
  <c r="CC12" i="12"/>
  <c r="CE12" i="12"/>
  <c r="CF12" i="12"/>
  <c r="CG12" i="12"/>
  <c r="CH12" i="12"/>
  <c r="CI12" i="12"/>
  <c r="CJ12" i="12"/>
  <c r="CK12" i="12"/>
  <c r="CL12" i="12"/>
  <c r="CM12" i="12"/>
  <c r="CN12" i="12"/>
  <c r="CO12" i="12"/>
  <c r="CP12" i="12"/>
  <c r="CQ12" i="12"/>
  <c r="CR12" i="12"/>
  <c r="CS12" i="12"/>
  <c r="CT12" i="12"/>
  <c r="CU12" i="12"/>
  <c r="CV12" i="12"/>
  <c r="CW12" i="12"/>
  <c r="CX12" i="12"/>
  <c r="CY12" i="12"/>
  <c r="CZ12" i="12"/>
  <c r="DA12" i="12"/>
  <c r="DB12" i="12"/>
  <c r="DH12" i="12"/>
  <c r="DI12" i="12"/>
  <c r="DJ12" i="12"/>
  <c r="H13" i="12"/>
  <c r="I13" i="12"/>
  <c r="J13" i="12"/>
  <c r="K13" i="12"/>
  <c r="L13" i="12"/>
  <c r="M13" i="12"/>
  <c r="N13" i="12"/>
  <c r="O13" i="12"/>
  <c r="P13" i="12"/>
  <c r="Q13" i="12"/>
  <c r="R13" i="12"/>
  <c r="S13" i="12"/>
  <c r="T13" i="12"/>
  <c r="U13" i="12"/>
  <c r="V13" i="12"/>
  <c r="W13" i="12"/>
  <c r="X13" i="12"/>
  <c r="Y13" i="12"/>
  <c r="Z13" i="12"/>
  <c r="AA13" i="12"/>
  <c r="AB13" i="12"/>
  <c r="AC13" i="12"/>
  <c r="AD13" i="12"/>
  <c r="AE13" i="12"/>
  <c r="AG13" i="12"/>
  <c r="AH13" i="12"/>
  <c r="AI13" i="12"/>
  <c r="AJ13" i="12"/>
  <c r="AK13" i="12"/>
  <c r="AL13" i="12"/>
  <c r="AM13" i="12"/>
  <c r="AN13" i="12"/>
  <c r="AO13" i="12"/>
  <c r="AP13" i="12"/>
  <c r="AQ13" i="12"/>
  <c r="AR13" i="12"/>
  <c r="AS13" i="12"/>
  <c r="AT13" i="12"/>
  <c r="AU13" i="12"/>
  <c r="AV13" i="12"/>
  <c r="AW13" i="12"/>
  <c r="AX13" i="12"/>
  <c r="AY13" i="12"/>
  <c r="AZ13" i="12"/>
  <c r="BA13" i="12"/>
  <c r="BB13" i="12"/>
  <c r="BC13" i="12"/>
  <c r="BD13" i="12"/>
  <c r="BF13" i="12"/>
  <c r="BG13" i="12"/>
  <c r="BH13" i="12"/>
  <c r="BI13" i="12"/>
  <c r="BJ13" i="12"/>
  <c r="BK13" i="12"/>
  <c r="BL13" i="12"/>
  <c r="BM13" i="12"/>
  <c r="BN13" i="12"/>
  <c r="BO13" i="12"/>
  <c r="BP13" i="12"/>
  <c r="BQ13" i="12"/>
  <c r="BR13" i="12"/>
  <c r="BS13" i="12"/>
  <c r="BT13" i="12"/>
  <c r="BU13" i="12"/>
  <c r="BV13" i="12"/>
  <c r="BW13" i="12"/>
  <c r="BX13" i="12"/>
  <c r="BY13" i="12"/>
  <c r="BZ13" i="12"/>
  <c r="CA13" i="12"/>
  <c r="CB13" i="12"/>
  <c r="CC13" i="12"/>
  <c r="CE13" i="12"/>
  <c r="CF13" i="12"/>
  <c r="CG13" i="12"/>
  <c r="CH13" i="12"/>
  <c r="CI13" i="12"/>
  <c r="CJ13" i="12"/>
  <c r="CK13" i="12"/>
  <c r="CL13" i="12"/>
  <c r="CM13" i="12"/>
  <c r="CN13" i="12"/>
  <c r="CO13" i="12"/>
  <c r="CP13" i="12"/>
  <c r="CQ13" i="12"/>
  <c r="CR13" i="12"/>
  <c r="CS13" i="12"/>
  <c r="CT13" i="12"/>
  <c r="CU13" i="12"/>
  <c r="CV13" i="12"/>
  <c r="CW13" i="12"/>
  <c r="CX13" i="12"/>
  <c r="CY13" i="12"/>
  <c r="CZ13" i="12"/>
  <c r="DA13" i="12"/>
  <c r="DB13" i="12"/>
  <c r="DH13" i="12"/>
  <c r="DI13" i="12"/>
  <c r="DJ13" i="12"/>
  <c r="H14" i="12"/>
  <c r="I14" i="12"/>
  <c r="J14" i="12"/>
  <c r="K14" i="12"/>
  <c r="L14" i="12"/>
  <c r="M14" i="12"/>
  <c r="N14" i="12"/>
  <c r="O14" i="12"/>
  <c r="P14" i="12"/>
  <c r="Q14" i="12"/>
  <c r="R14" i="12"/>
  <c r="S14" i="12"/>
  <c r="T14" i="12"/>
  <c r="U14" i="12"/>
  <c r="V14" i="12"/>
  <c r="W14" i="12"/>
  <c r="X14" i="12"/>
  <c r="Y14" i="12"/>
  <c r="Z14" i="12"/>
  <c r="AA14" i="12"/>
  <c r="AB14" i="12"/>
  <c r="AC14" i="12"/>
  <c r="AD14" i="12"/>
  <c r="AE14" i="12"/>
  <c r="AG14" i="12"/>
  <c r="AH14" i="12"/>
  <c r="AI14" i="12"/>
  <c r="AJ14" i="12"/>
  <c r="AK14" i="12"/>
  <c r="AL14" i="12"/>
  <c r="AM14" i="12"/>
  <c r="AN14" i="12"/>
  <c r="AO14" i="12"/>
  <c r="AP14" i="12"/>
  <c r="AQ14" i="12"/>
  <c r="AR14" i="12"/>
  <c r="AS14" i="12"/>
  <c r="AT14" i="12"/>
  <c r="AU14" i="12"/>
  <c r="AV14" i="12"/>
  <c r="AW14" i="12"/>
  <c r="AX14" i="12"/>
  <c r="AY14" i="12"/>
  <c r="AZ14" i="12"/>
  <c r="BA14" i="12"/>
  <c r="BB14" i="12"/>
  <c r="BC14" i="12"/>
  <c r="BD14" i="12"/>
  <c r="BF14" i="12"/>
  <c r="BG14" i="12"/>
  <c r="BH14" i="12"/>
  <c r="BI14" i="12"/>
  <c r="BJ14" i="12"/>
  <c r="BK14" i="12"/>
  <c r="BL14" i="12"/>
  <c r="BM14" i="12"/>
  <c r="BN14" i="12"/>
  <c r="BO14" i="12"/>
  <c r="BP14" i="12"/>
  <c r="BQ14" i="12"/>
  <c r="BR14" i="12"/>
  <c r="BS14" i="12"/>
  <c r="BT14" i="12"/>
  <c r="BU14" i="12"/>
  <c r="BV14" i="12"/>
  <c r="BW14" i="12"/>
  <c r="BX14" i="12"/>
  <c r="BY14" i="12"/>
  <c r="BZ14" i="12"/>
  <c r="CA14" i="12"/>
  <c r="CB14" i="12"/>
  <c r="CC14" i="12"/>
  <c r="CE14" i="12"/>
  <c r="CF14" i="12"/>
  <c r="CG14" i="12"/>
  <c r="CH14" i="12"/>
  <c r="CI14" i="12"/>
  <c r="CJ14" i="12"/>
  <c r="CK14" i="12"/>
  <c r="CL14" i="12"/>
  <c r="CM14" i="12"/>
  <c r="CN14" i="12"/>
  <c r="CO14" i="12"/>
  <c r="CP14" i="12"/>
  <c r="CQ14" i="12"/>
  <c r="CR14" i="12"/>
  <c r="CS14" i="12"/>
  <c r="CT14" i="12"/>
  <c r="CU14" i="12"/>
  <c r="CV14" i="12"/>
  <c r="CW14" i="12"/>
  <c r="CX14" i="12"/>
  <c r="CY14" i="12"/>
  <c r="CZ14" i="12"/>
  <c r="DA14" i="12"/>
  <c r="DB14" i="12"/>
  <c r="DH14" i="12"/>
  <c r="DI14" i="12"/>
  <c r="DJ14" i="12"/>
  <c r="H15" i="12"/>
  <c r="I15" i="12"/>
  <c r="J15" i="12"/>
  <c r="K15" i="12"/>
  <c r="L15" i="12"/>
  <c r="M15" i="12"/>
  <c r="N15" i="12"/>
  <c r="O15" i="12"/>
  <c r="P15" i="12"/>
  <c r="Q15" i="12"/>
  <c r="R15" i="12"/>
  <c r="S15" i="12"/>
  <c r="T15" i="12"/>
  <c r="U15" i="12"/>
  <c r="V15" i="12"/>
  <c r="W15" i="12"/>
  <c r="X15" i="12"/>
  <c r="Y15" i="12"/>
  <c r="Z15" i="12"/>
  <c r="AA15" i="12"/>
  <c r="AB15" i="12"/>
  <c r="AC15" i="12"/>
  <c r="AD15" i="12"/>
  <c r="AE15" i="12"/>
  <c r="AG15" i="12"/>
  <c r="AH15" i="12"/>
  <c r="AI15" i="12"/>
  <c r="AJ15" i="12"/>
  <c r="AK15" i="12"/>
  <c r="AL15" i="12"/>
  <c r="AM15" i="12"/>
  <c r="AN15" i="12"/>
  <c r="AO15" i="12"/>
  <c r="AP15" i="12"/>
  <c r="AQ15" i="12"/>
  <c r="AR15" i="12"/>
  <c r="AS15" i="12"/>
  <c r="AT15" i="12"/>
  <c r="AU15" i="12"/>
  <c r="AV15" i="12"/>
  <c r="AW15" i="12"/>
  <c r="AX15" i="12"/>
  <c r="AY15" i="12"/>
  <c r="AZ15" i="12"/>
  <c r="BA15" i="12"/>
  <c r="BB15" i="12"/>
  <c r="BC15" i="12"/>
  <c r="BD15" i="12"/>
  <c r="BF15" i="12"/>
  <c r="BG15" i="12"/>
  <c r="BH15" i="12"/>
  <c r="BI15" i="12"/>
  <c r="BJ15" i="12"/>
  <c r="BK15" i="12"/>
  <c r="BL15" i="12"/>
  <c r="BM15" i="12"/>
  <c r="BN15" i="12"/>
  <c r="BO15" i="12"/>
  <c r="BP15" i="12"/>
  <c r="BQ15" i="12"/>
  <c r="BR15" i="12"/>
  <c r="BS15" i="12"/>
  <c r="BT15" i="12"/>
  <c r="BU15" i="12"/>
  <c r="BV15" i="12"/>
  <c r="BW15" i="12"/>
  <c r="BX15" i="12"/>
  <c r="BY15" i="12"/>
  <c r="BZ15" i="12"/>
  <c r="CA15" i="12"/>
  <c r="CB15" i="12"/>
  <c r="CC15" i="12"/>
  <c r="CE15" i="12"/>
  <c r="CF15" i="12"/>
  <c r="CG15" i="12"/>
  <c r="CH15" i="12"/>
  <c r="CI15" i="12"/>
  <c r="CJ15" i="12"/>
  <c r="CK15" i="12"/>
  <c r="CL15" i="12"/>
  <c r="CM15" i="12"/>
  <c r="CN15" i="12"/>
  <c r="CO15" i="12"/>
  <c r="CP15" i="12"/>
  <c r="CQ15" i="12"/>
  <c r="CR15" i="12"/>
  <c r="CS15" i="12"/>
  <c r="CT15" i="12"/>
  <c r="CU15" i="12"/>
  <c r="CV15" i="12"/>
  <c r="CW15" i="12"/>
  <c r="CX15" i="12"/>
  <c r="CY15" i="12"/>
  <c r="CZ15" i="12"/>
  <c r="DA15" i="12"/>
  <c r="DB15" i="12"/>
  <c r="DH15" i="12"/>
  <c r="DI15" i="12"/>
  <c r="DJ15" i="12"/>
  <c r="H16" i="12"/>
  <c r="I16" i="12"/>
  <c r="J16" i="12"/>
  <c r="K16" i="12"/>
  <c r="L16" i="12"/>
  <c r="M16" i="12"/>
  <c r="N16" i="12"/>
  <c r="O16" i="12"/>
  <c r="P16" i="12"/>
  <c r="Q16" i="12"/>
  <c r="R16" i="12"/>
  <c r="S16" i="12"/>
  <c r="T16" i="12"/>
  <c r="U16" i="12"/>
  <c r="V16" i="12"/>
  <c r="W16" i="12"/>
  <c r="X16" i="12"/>
  <c r="Y16" i="12"/>
  <c r="Z16" i="12"/>
  <c r="AA16" i="12"/>
  <c r="AB16" i="12"/>
  <c r="AC16" i="12"/>
  <c r="AD16" i="12"/>
  <c r="AE16" i="12"/>
  <c r="AG16" i="12"/>
  <c r="AH16" i="12"/>
  <c r="AI16" i="12"/>
  <c r="AJ16" i="12"/>
  <c r="AK16" i="12"/>
  <c r="AL16" i="12"/>
  <c r="AM16" i="12"/>
  <c r="AN16" i="12"/>
  <c r="AO16" i="12"/>
  <c r="AP16" i="12"/>
  <c r="AQ16" i="12"/>
  <c r="AR16" i="12"/>
  <c r="AS16" i="12"/>
  <c r="AT16" i="12"/>
  <c r="AU16" i="12"/>
  <c r="AV16" i="12"/>
  <c r="AW16" i="12"/>
  <c r="AX16" i="12"/>
  <c r="AY16" i="12"/>
  <c r="AZ16" i="12"/>
  <c r="BA16" i="12"/>
  <c r="BB16" i="12"/>
  <c r="BC16" i="12"/>
  <c r="BD16" i="12"/>
  <c r="BF16" i="12"/>
  <c r="BG16" i="12"/>
  <c r="BH16" i="12"/>
  <c r="BI16" i="12"/>
  <c r="BJ16" i="12"/>
  <c r="BK16" i="12"/>
  <c r="BL16" i="12"/>
  <c r="BM16" i="12"/>
  <c r="BN16" i="12"/>
  <c r="BO16" i="12"/>
  <c r="BP16" i="12"/>
  <c r="BQ16" i="12"/>
  <c r="BR16" i="12"/>
  <c r="BS16" i="12"/>
  <c r="BT16" i="12"/>
  <c r="BU16" i="12"/>
  <c r="BV16" i="12"/>
  <c r="BW16" i="12"/>
  <c r="BX16" i="12"/>
  <c r="BY16" i="12"/>
  <c r="BZ16" i="12"/>
  <c r="CA16" i="12"/>
  <c r="CB16" i="12"/>
  <c r="CC16" i="12"/>
  <c r="CE16" i="12"/>
  <c r="CF16" i="12"/>
  <c r="CG16" i="12"/>
  <c r="CH16" i="12"/>
  <c r="CI16" i="12"/>
  <c r="CJ16" i="12"/>
  <c r="CK16" i="12"/>
  <c r="CL16" i="12"/>
  <c r="CM16" i="12"/>
  <c r="CN16" i="12"/>
  <c r="CO16" i="12"/>
  <c r="CP16" i="12"/>
  <c r="CQ16" i="12"/>
  <c r="CR16" i="12"/>
  <c r="CS16" i="12"/>
  <c r="CT16" i="12"/>
  <c r="CU16" i="12"/>
  <c r="CV16" i="12"/>
  <c r="CW16" i="12"/>
  <c r="CX16" i="12"/>
  <c r="CY16" i="12"/>
  <c r="CZ16" i="12"/>
  <c r="DA16" i="12"/>
  <c r="DB16" i="12"/>
  <c r="DH16" i="12"/>
  <c r="DI16" i="12"/>
  <c r="DJ16" i="12"/>
  <c r="H17" i="12"/>
  <c r="I17" i="12"/>
  <c r="J17" i="12"/>
  <c r="K17" i="12"/>
  <c r="L17" i="12"/>
  <c r="M17" i="12"/>
  <c r="N17" i="12"/>
  <c r="O17" i="12"/>
  <c r="P17" i="12"/>
  <c r="Q17" i="12"/>
  <c r="R17" i="12"/>
  <c r="S17" i="12"/>
  <c r="T17" i="12"/>
  <c r="U17" i="12"/>
  <c r="V17" i="12"/>
  <c r="W17" i="12"/>
  <c r="X17" i="12"/>
  <c r="Y17" i="12"/>
  <c r="Z17" i="12"/>
  <c r="AA17" i="12"/>
  <c r="AB17" i="12"/>
  <c r="AC17" i="12"/>
  <c r="AD17" i="12"/>
  <c r="AE17" i="12"/>
  <c r="AG17" i="12"/>
  <c r="AH17" i="12"/>
  <c r="AI17" i="12"/>
  <c r="AJ17" i="12"/>
  <c r="AK17" i="12"/>
  <c r="AL17" i="12"/>
  <c r="AM17" i="12"/>
  <c r="AN17" i="12"/>
  <c r="AO17" i="12"/>
  <c r="AP17" i="12"/>
  <c r="AQ17" i="12"/>
  <c r="AR17" i="12"/>
  <c r="AS17" i="12"/>
  <c r="AT17" i="12"/>
  <c r="AU17" i="12"/>
  <c r="AV17" i="12"/>
  <c r="AW17" i="12"/>
  <c r="AX17" i="12"/>
  <c r="AY17" i="12"/>
  <c r="AZ17" i="12"/>
  <c r="BA17" i="12"/>
  <c r="BB17" i="12"/>
  <c r="BC17" i="12"/>
  <c r="BD17" i="12"/>
  <c r="BF17" i="12"/>
  <c r="BG17" i="12"/>
  <c r="BH17" i="12"/>
  <c r="BI17" i="12"/>
  <c r="BJ17" i="12"/>
  <c r="BK17" i="12"/>
  <c r="BL17" i="12"/>
  <c r="BM17" i="12"/>
  <c r="BN17" i="12"/>
  <c r="BO17" i="12"/>
  <c r="BP17" i="12"/>
  <c r="BQ17" i="12"/>
  <c r="BR17" i="12"/>
  <c r="BS17" i="12"/>
  <c r="BT17" i="12"/>
  <c r="BU17" i="12"/>
  <c r="BV17" i="12"/>
  <c r="BW17" i="12"/>
  <c r="BX17" i="12"/>
  <c r="BY17" i="12"/>
  <c r="BZ17" i="12"/>
  <c r="CA17" i="12"/>
  <c r="CB17" i="12"/>
  <c r="CC17" i="12"/>
  <c r="CE17" i="12"/>
  <c r="CF17" i="12"/>
  <c r="CG17" i="12"/>
  <c r="CH17" i="12"/>
  <c r="CI17" i="12"/>
  <c r="CJ17" i="12"/>
  <c r="CK17" i="12"/>
  <c r="CL17" i="12"/>
  <c r="CM17" i="12"/>
  <c r="CN17" i="12"/>
  <c r="CO17" i="12"/>
  <c r="CP17" i="12"/>
  <c r="CQ17" i="12"/>
  <c r="CR17" i="12"/>
  <c r="CS17" i="12"/>
  <c r="CT17" i="12"/>
  <c r="CU17" i="12"/>
  <c r="CV17" i="12"/>
  <c r="CW17" i="12"/>
  <c r="CX17" i="12"/>
  <c r="CY17" i="12"/>
  <c r="CZ17" i="12"/>
  <c r="DA17" i="12"/>
  <c r="DB17" i="12"/>
  <c r="DH17" i="12"/>
  <c r="DI17" i="12"/>
  <c r="DJ17" i="12"/>
  <c r="H18" i="12"/>
  <c r="I18" i="12"/>
  <c r="J18" i="12"/>
  <c r="K18" i="12"/>
  <c r="L18" i="12"/>
  <c r="M18" i="12"/>
  <c r="N18" i="12"/>
  <c r="O18" i="12"/>
  <c r="P18" i="12"/>
  <c r="Q18" i="12"/>
  <c r="R18" i="12"/>
  <c r="S18" i="12"/>
  <c r="T18" i="12"/>
  <c r="U18" i="12"/>
  <c r="V18" i="12"/>
  <c r="W18" i="12"/>
  <c r="X18" i="12"/>
  <c r="Y18" i="12"/>
  <c r="Z18" i="12"/>
  <c r="AA18" i="12"/>
  <c r="AB18" i="12"/>
  <c r="AC18" i="12"/>
  <c r="AD18" i="12"/>
  <c r="AE18" i="12"/>
  <c r="AG18" i="12"/>
  <c r="AH18" i="12"/>
  <c r="AI18" i="12"/>
  <c r="AJ18" i="12"/>
  <c r="AK18" i="12"/>
  <c r="AL18" i="12"/>
  <c r="AM18" i="12"/>
  <c r="AN18" i="12"/>
  <c r="AO18" i="12"/>
  <c r="AP18" i="12"/>
  <c r="AQ18" i="12"/>
  <c r="AR18" i="12"/>
  <c r="AS18" i="12"/>
  <c r="AT18" i="12"/>
  <c r="AU18" i="12"/>
  <c r="AV18" i="12"/>
  <c r="AW18" i="12"/>
  <c r="AX18" i="12"/>
  <c r="AY18" i="12"/>
  <c r="AZ18" i="12"/>
  <c r="BA18" i="12"/>
  <c r="BB18" i="12"/>
  <c r="BC18" i="12"/>
  <c r="BD18" i="12"/>
  <c r="BF18" i="12"/>
  <c r="BG18" i="12"/>
  <c r="BH18" i="12"/>
  <c r="BI18" i="12"/>
  <c r="BJ18" i="12"/>
  <c r="BK18" i="12"/>
  <c r="BL18" i="12"/>
  <c r="BM18" i="12"/>
  <c r="BN18" i="12"/>
  <c r="BO18" i="12"/>
  <c r="BP18" i="12"/>
  <c r="BQ18" i="12"/>
  <c r="BR18" i="12"/>
  <c r="BS18" i="12"/>
  <c r="BT18" i="12"/>
  <c r="BU18" i="12"/>
  <c r="BV18" i="12"/>
  <c r="BW18" i="12"/>
  <c r="BX18" i="12"/>
  <c r="BY18" i="12"/>
  <c r="BZ18" i="12"/>
  <c r="CA18" i="12"/>
  <c r="CB18" i="12"/>
  <c r="CC18" i="12"/>
  <c r="CE18" i="12"/>
  <c r="CF18" i="12"/>
  <c r="CG18" i="12"/>
  <c r="CH18" i="12"/>
  <c r="CI18" i="12"/>
  <c r="CJ18" i="12"/>
  <c r="CK18" i="12"/>
  <c r="CL18" i="12"/>
  <c r="CM18" i="12"/>
  <c r="CN18" i="12"/>
  <c r="CO18" i="12"/>
  <c r="CP18" i="12"/>
  <c r="CQ18" i="12"/>
  <c r="CR18" i="12"/>
  <c r="CS18" i="12"/>
  <c r="CT18" i="12"/>
  <c r="CU18" i="12"/>
  <c r="CV18" i="12"/>
  <c r="CW18" i="12"/>
  <c r="CX18" i="12"/>
  <c r="CY18" i="12"/>
  <c r="CZ18" i="12"/>
  <c r="DA18" i="12"/>
  <c r="DB18" i="12"/>
  <c r="DH18" i="12"/>
  <c r="DI18" i="12"/>
  <c r="DJ18" i="12"/>
  <c r="H19" i="12"/>
  <c r="I19" i="12"/>
  <c r="J19" i="12"/>
  <c r="K19" i="12"/>
  <c r="L19" i="12"/>
  <c r="M19" i="12"/>
  <c r="N19" i="12"/>
  <c r="O19" i="12"/>
  <c r="P19" i="12"/>
  <c r="Q19" i="12"/>
  <c r="R19" i="12"/>
  <c r="S19" i="12"/>
  <c r="T19" i="12"/>
  <c r="U19" i="12"/>
  <c r="V19" i="12"/>
  <c r="W19" i="12"/>
  <c r="X19" i="12"/>
  <c r="Y19" i="12"/>
  <c r="Z19" i="12"/>
  <c r="AA19" i="12"/>
  <c r="AB19" i="12"/>
  <c r="AC19" i="12"/>
  <c r="AD19" i="12"/>
  <c r="AE19" i="12"/>
  <c r="AG19" i="12"/>
  <c r="AH19" i="12"/>
  <c r="AI19" i="12"/>
  <c r="AJ19" i="12"/>
  <c r="AK19" i="12"/>
  <c r="AL19" i="12"/>
  <c r="AM19" i="12"/>
  <c r="AN19" i="12"/>
  <c r="AO19" i="12"/>
  <c r="AP19" i="12"/>
  <c r="AQ19" i="12"/>
  <c r="AR19" i="12"/>
  <c r="AS19" i="12"/>
  <c r="AT19" i="12"/>
  <c r="AU19" i="12"/>
  <c r="AV19" i="12"/>
  <c r="AW19" i="12"/>
  <c r="AX19" i="12"/>
  <c r="AY19" i="12"/>
  <c r="AZ19" i="12"/>
  <c r="BA19" i="12"/>
  <c r="BB19" i="12"/>
  <c r="BC19" i="12"/>
  <c r="BD19" i="12"/>
  <c r="BF19" i="12"/>
  <c r="BG19" i="12"/>
  <c r="BH19" i="12"/>
  <c r="BI19" i="12"/>
  <c r="BJ19" i="12"/>
  <c r="BK19" i="12"/>
  <c r="BL19" i="12"/>
  <c r="BM19" i="12"/>
  <c r="BN19" i="12"/>
  <c r="BO19" i="12"/>
  <c r="BP19" i="12"/>
  <c r="BQ19" i="12"/>
  <c r="BR19" i="12"/>
  <c r="BS19" i="12"/>
  <c r="BT19" i="12"/>
  <c r="BU19" i="12"/>
  <c r="BV19" i="12"/>
  <c r="BW19" i="12"/>
  <c r="BX19" i="12"/>
  <c r="BY19" i="12"/>
  <c r="BZ19" i="12"/>
  <c r="CA19" i="12"/>
  <c r="CB19" i="12"/>
  <c r="CC19" i="12"/>
  <c r="CE19" i="12"/>
  <c r="CF19" i="12"/>
  <c r="CG19" i="12"/>
  <c r="CH19" i="12"/>
  <c r="CI19" i="12"/>
  <c r="CJ19" i="12"/>
  <c r="CK19" i="12"/>
  <c r="CL19" i="12"/>
  <c r="CM19" i="12"/>
  <c r="CN19" i="12"/>
  <c r="CO19" i="12"/>
  <c r="CP19" i="12"/>
  <c r="CQ19" i="12"/>
  <c r="CR19" i="12"/>
  <c r="CS19" i="12"/>
  <c r="CT19" i="12"/>
  <c r="CU19" i="12"/>
  <c r="CV19" i="12"/>
  <c r="CW19" i="12"/>
  <c r="CX19" i="12"/>
  <c r="CY19" i="12"/>
  <c r="CZ19" i="12"/>
  <c r="DA19" i="12"/>
  <c r="DB19" i="12"/>
  <c r="DH19" i="12"/>
  <c r="DI19" i="12"/>
  <c r="DJ19" i="12"/>
  <c r="H20" i="12"/>
  <c r="I20" i="12"/>
  <c r="J20" i="12"/>
  <c r="K20" i="12"/>
  <c r="L20" i="12"/>
  <c r="M20" i="12"/>
  <c r="N20" i="12"/>
  <c r="O20" i="12"/>
  <c r="P20" i="12"/>
  <c r="Q20" i="12"/>
  <c r="R20" i="12"/>
  <c r="S20" i="12"/>
  <c r="T20" i="12"/>
  <c r="U20" i="12"/>
  <c r="V20" i="12"/>
  <c r="W20" i="12"/>
  <c r="X20" i="12"/>
  <c r="Y20" i="12"/>
  <c r="Z20" i="12"/>
  <c r="AA20" i="12"/>
  <c r="AB20" i="12"/>
  <c r="AC20" i="12"/>
  <c r="AD20" i="12"/>
  <c r="AE20" i="12"/>
  <c r="AG20" i="12"/>
  <c r="AH20" i="12"/>
  <c r="AI20" i="12"/>
  <c r="AJ20" i="12"/>
  <c r="AK20" i="12"/>
  <c r="AL20" i="12"/>
  <c r="AM20" i="12"/>
  <c r="AN20" i="12"/>
  <c r="AO20" i="12"/>
  <c r="AP20" i="12"/>
  <c r="AQ20" i="12"/>
  <c r="AR20" i="12"/>
  <c r="AS20" i="12"/>
  <c r="AT20" i="12"/>
  <c r="AU20" i="12"/>
  <c r="AV20" i="12"/>
  <c r="AW20" i="12"/>
  <c r="AX20" i="12"/>
  <c r="AY20" i="12"/>
  <c r="AZ20" i="12"/>
  <c r="BA20" i="12"/>
  <c r="BB20" i="12"/>
  <c r="BC20" i="12"/>
  <c r="BD20" i="12"/>
  <c r="BF20" i="12"/>
  <c r="BG20" i="12"/>
  <c r="BH20" i="12"/>
  <c r="BI20" i="12"/>
  <c r="BJ20" i="12"/>
  <c r="BK20" i="12"/>
  <c r="BL20" i="12"/>
  <c r="BM20" i="12"/>
  <c r="BN20" i="12"/>
  <c r="BO20" i="12"/>
  <c r="BP20" i="12"/>
  <c r="BQ20" i="12"/>
  <c r="BR20" i="12"/>
  <c r="BS20" i="12"/>
  <c r="BT20" i="12"/>
  <c r="BU20" i="12"/>
  <c r="BV20" i="12"/>
  <c r="BW20" i="12"/>
  <c r="BX20" i="12"/>
  <c r="BY20" i="12"/>
  <c r="BZ20" i="12"/>
  <c r="CA20" i="12"/>
  <c r="CB20" i="12"/>
  <c r="CC20" i="12"/>
  <c r="CE20" i="12"/>
  <c r="CF20" i="12"/>
  <c r="CG20" i="12"/>
  <c r="CH20" i="12"/>
  <c r="CI20" i="12"/>
  <c r="CJ20" i="12"/>
  <c r="CK20" i="12"/>
  <c r="CL20" i="12"/>
  <c r="CM20" i="12"/>
  <c r="CN20" i="12"/>
  <c r="CO20" i="12"/>
  <c r="CP20" i="12"/>
  <c r="CQ20" i="12"/>
  <c r="CR20" i="12"/>
  <c r="CS20" i="12"/>
  <c r="CT20" i="12"/>
  <c r="CU20" i="12"/>
  <c r="CV20" i="12"/>
  <c r="CW20" i="12"/>
  <c r="CX20" i="12"/>
  <c r="CY20" i="12"/>
  <c r="CZ20" i="12"/>
  <c r="DA20" i="12"/>
  <c r="DB20" i="12"/>
  <c r="DH20" i="12"/>
  <c r="DI20" i="12"/>
  <c r="DJ20" i="12"/>
  <c r="H21" i="12"/>
  <c r="I21" i="12"/>
  <c r="J21" i="12"/>
  <c r="K21" i="12"/>
  <c r="L21" i="12"/>
  <c r="M21" i="12"/>
  <c r="N21" i="12"/>
  <c r="O21" i="12"/>
  <c r="P21" i="12"/>
  <c r="Q21" i="12"/>
  <c r="R21" i="12"/>
  <c r="S21" i="12"/>
  <c r="T21" i="12"/>
  <c r="U21" i="12"/>
  <c r="V21" i="12"/>
  <c r="W21" i="12"/>
  <c r="X21" i="12"/>
  <c r="Y21" i="12"/>
  <c r="Z21" i="12"/>
  <c r="AA21" i="12"/>
  <c r="AB21" i="12"/>
  <c r="AC21" i="12"/>
  <c r="AD21" i="12"/>
  <c r="AE21" i="12"/>
  <c r="AG21" i="12"/>
  <c r="AH21" i="12"/>
  <c r="AI21" i="12"/>
  <c r="AJ21" i="12"/>
  <c r="AK21" i="12"/>
  <c r="AL21" i="12"/>
  <c r="AM21" i="12"/>
  <c r="AN21" i="12"/>
  <c r="AO21" i="12"/>
  <c r="AP21" i="12"/>
  <c r="AQ21" i="12"/>
  <c r="AR21" i="12"/>
  <c r="AS21" i="12"/>
  <c r="AT21" i="12"/>
  <c r="AU21" i="12"/>
  <c r="AV21" i="12"/>
  <c r="AW21" i="12"/>
  <c r="AX21" i="12"/>
  <c r="AY21" i="12"/>
  <c r="AZ21" i="12"/>
  <c r="BA21" i="12"/>
  <c r="BB21" i="12"/>
  <c r="BC21" i="12"/>
  <c r="BD21" i="12"/>
  <c r="BF21" i="12"/>
  <c r="BG21" i="12"/>
  <c r="BH21" i="12"/>
  <c r="BI21" i="12"/>
  <c r="BJ21" i="12"/>
  <c r="BK21" i="12"/>
  <c r="BL21" i="12"/>
  <c r="BM21" i="12"/>
  <c r="BN21" i="12"/>
  <c r="BO21" i="12"/>
  <c r="BP21" i="12"/>
  <c r="BQ21" i="12"/>
  <c r="BR21" i="12"/>
  <c r="BS21" i="12"/>
  <c r="BT21" i="12"/>
  <c r="BU21" i="12"/>
  <c r="BV21" i="12"/>
  <c r="BW21" i="12"/>
  <c r="BX21" i="12"/>
  <c r="BY21" i="12"/>
  <c r="BZ21" i="12"/>
  <c r="CA21" i="12"/>
  <c r="CB21" i="12"/>
  <c r="CC21" i="12"/>
  <c r="CE21" i="12"/>
  <c r="CF21" i="12"/>
  <c r="CG21" i="12"/>
  <c r="CH21" i="12"/>
  <c r="CI21" i="12"/>
  <c r="CJ21" i="12"/>
  <c r="CK21" i="12"/>
  <c r="CL21" i="12"/>
  <c r="CM21" i="12"/>
  <c r="CN21" i="12"/>
  <c r="CO21" i="12"/>
  <c r="CP21" i="12"/>
  <c r="CQ21" i="12"/>
  <c r="CR21" i="12"/>
  <c r="CS21" i="12"/>
  <c r="CT21" i="12"/>
  <c r="CU21" i="12"/>
  <c r="CV21" i="12"/>
  <c r="CW21" i="12"/>
  <c r="CX21" i="12"/>
  <c r="CY21" i="12"/>
  <c r="CZ21" i="12"/>
  <c r="DA21" i="12"/>
  <c r="DB21" i="12"/>
  <c r="DH21" i="12"/>
  <c r="DI21" i="12"/>
  <c r="DJ21" i="12"/>
  <c r="H22" i="12"/>
  <c r="I22" i="12"/>
  <c r="J22" i="12"/>
  <c r="K22" i="12"/>
  <c r="L22" i="12"/>
  <c r="M22" i="12"/>
  <c r="N22" i="12"/>
  <c r="O22" i="12"/>
  <c r="P22" i="12"/>
  <c r="Q22" i="12"/>
  <c r="R22" i="12"/>
  <c r="S22" i="12"/>
  <c r="T22" i="12"/>
  <c r="U22" i="12"/>
  <c r="V22" i="12"/>
  <c r="W22" i="12"/>
  <c r="X22" i="12"/>
  <c r="Y22" i="12"/>
  <c r="Z22" i="12"/>
  <c r="AA22" i="12"/>
  <c r="AB22" i="12"/>
  <c r="AC22" i="12"/>
  <c r="AD22" i="12"/>
  <c r="AE22" i="12"/>
  <c r="AG22" i="12"/>
  <c r="AH22" i="12"/>
  <c r="AI22" i="12"/>
  <c r="AJ22" i="12"/>
  <c r="AK22" i="12"/>
  <c r="AL22" i="12"/>
  <c r="AM22" i="12"/>
  <c r="AN22" i="12"/>
  <c r="AO22" i="12"/>
  <c r="AP22" i="12"/>
  <c r="AQ22" i="12"/>
  <c r="AR22" i="12"/>
  <c r="AS22" i="12"/>
  <c r="AT22" i="12"/>
  <c r="AU22" i="12"/>
  <c r="AV22" i="12"/>
  <c r="AW22" i="12"/>
  <c r="AX22" i="12"/>
  <c r="AY22" i="12"/>
  <c r="AZ22" i="12"/>
  <c r="BA22" i="12"/>
  <c r="BB22" i="12"/>
  <c r="BC22" i="12"/>
  <c r="BD22" i="12"/>
  <c r="BF22" i="12"/>
  <c r="BG22" i="12"/>
  <c r="BH22" i="12"/>
  <c r="BI22" i="12"/>
  <c r="BJ22" i="12"/>
  <c r="BK22" i="12"/>
  <c r="BL22" i="12"/>
  <c r="BM22" i="12"/>
  <c r="BN22" i="12"/>
  <c r="BO22" i="12"/>
  <c r="BP22" i="12"/>
  <c r="BQ22" i="12"/>
  <c r="BR22" i="12"/>
  <c r="BS22" i="12"/>
  <c r="BT22" i="12"/>
  <c r="BU22" i="12"/>
  <c r="BV22" i="12"/>
  <c r="BW22" i="12"/>
  <c r="BX22" i="12"/>
  <c r="BY22" i="12"/>
  <c r="BZ22" i="12"/>
  <c r="CA22" i="12"/>
  <c r="CB22" i="12"/>
  <c r="CC22" i="12"/>
  <c r="CE22" i="12"/>
  <c r="CF22" i="12"/>
  <c r="CG22" i="12"/>
  <c r="CH22" i="12"/>
  <c r="CI22" i="12"/>
  <c r="CJ22" i="12"/>
  <c r="CK22" i="12"/>
  <c r="CL22" i="12"/>
  <c r="CM22" i="12"/>
  <c r="CN22" i="12"/>
  <c r="CO22" i="12"/>
  <c r="CP22" i="12"/>
  <c r="CQ22" i="12"/>
  <c r="CR22" i="12"/>
  <c r="CS22" i="12"/>
  <c r="CT22" i="12"/>
  <c r="CU22" i="12"/>
  <c r="CV22" i="12"/>
  <c r="CW22" i="12"/>
  <c r="CX22" i="12"/>
  <c r="CY22" i="12"/>
  <c r="CZ22" i="12"/>
  <c r="DA22" i="12"/>
  <c r="DB22" i="12"/>
  <c r="DH22" i="12"/>
  <c r="DI22" i="12"/>
  <c r="DJ22" i="12"/>
  <c r="H23" i="12"/>
  <c r="I23" i="12"/>
  <c r="J23" i="12"/>
  <c r="K23" i="12"/>
  <c r="L23" i="12"/>
  <c r="M23" i="12"/>
  <c r="N23" i="12"/>
  <c r="O23" i="12"/>
  <c r="P23" i="12"/>
  <c r="Q23" i="12"/>
  <c r="R23" i="12"/>
  <c r="S23" i="12"/>
  <c r="T23" i="12"/>
  <c r="U23" i="12"/>
  <c r="V23" i="12"/>
  <c r="W23" i="12"/>
  <c r="X23" i="12"/>
  <c r="Y23" i="12"/>
  <c r="Z23" i="12"/>
  <c r="AA23" i="12"/>
  <c r="AB23" i="12"/>
  <c r="AC23" i="12"/>
  <c r="AD23" i="12"/>
  <c r="AE23" i="12"/>
  <c r="AG23" i="12"/>
  <c r="AH23" i="12"/>
  <c r="AI23" i="12"/>
  <c r="AJ23" i="12"/>
  <c r="AK23" i="12"/>
  <c r="AL23" i="12"/>
  <c r="AM23" i="12"/>
  <c r="AN23" i="12"/>
  <c r="AO23" i="12"/>
  <c r="AP23" i="12"/>
  <c r="AQ23" i="12"/>
  <c r="AR23" i="12"/>
  <c r="AS23" i="12"/>
  <c r="AT23" i="12"/>
  <c r="AU23" i="12"/>
  <c r="AV23" i="12"/>
  <c r="AW23" i="12"/>
  <c r="AX23" i="12"/>
  <c r="AY23" i="12"/>
  <c r="AZ23" i="12"/>
  <c r="BA23" i="12"/>
  <c r="BB23" i="12"/>
  <c r="BC23" i="12"/>
  <c r="BD23" i="12"/>
  <c r="BF23" i="12"/>
  <c r="BG23" i="12"/>
  <c r="BH23" i="12"/>
  <c r="BI23" i="12"/>
  <c r="BJ23" i="12"/>
  <c r="BK23" i="12"/>
  <c r="BL23" i="12"/>
  <c r="BM23" i="12"/>
  <c r="BN23" i="12"/>
  <c r="BO23" i="12"/>
  <c r="BP23" i="12"/>
  <c r="BQ23" i="12"/>
  <c r="BR23" i="12"/>
  <c r="BS23" i="12"/>
  <c r="BT23" i="12"/>
  <c r="BU23" i="12"/>
  <c r="BV23" i="12"/>
  <c r="BW23" i="12"/>
  <c r="BX23" i="12"/>
  <c r="BY23" i="12"/>
  <c r="BZ23" i="12"/>
  <c r="CA23" i="12"/>
  <c r="CB23" i="12"/>
  <c r="CC23" i="12"/>
  <c r="CE23" i="12"/>
  <c r="CF23" i="12"/>
  <c r="CG23" i="12"/>
  <c r="CH23" i="12"/>
  <c r="CI23" i="12"/>
  <c r="CJ23" i="12"/>
  <c r="CK23" i="12"/>
  <c r="CL23" i="12"/>
  <c r="CM23" i="12"/>
  <c r="CN23" i="12"/>
  <c r="CO23" i="12"/>
  <c r="CP23" i="12"/>
  <c r="CQ23" i="12"/>
  <c r="CR23" i="12"/>
  <c r="CS23" i="12"/>
  <c r="CT23" i="12"/>
  <c r="CU23" i="12"/>
  <c r="CV23" i="12"/>
  <c r="CW23" i="12"/>
  <c r="CX23" i="12"/>
  <c r="CY23" i="12"/>
  <c r="CZ23" i="12"/>
  <c r="DA23" i="12"/>
  <c r="DB23" i="12"/>
  <c r="DH23" i="12"/>
  <c r="DI23" i="12"/>
  <c r="DJ23" i="12"/>
  <c r="H24" i="12"/>
  <c r="I24" i="12"/>
  <c r="J24" i="12"/>
  <c r="K24" i="12"/>
  <c r="L24" i="12"/>
  <c r="M24" i="12"/>
  <c r="N24" i="12"/>
  <c r="O24" i="12"/>
  <c r="P24" i="12"/>
  <c r="Q24" i="12"/>
  <c r="R24" i="12"/>
  <c r="S24" i="12"/>
  <c r="T24" i="12"/>
  <c r="U24" i="12"/>
  <c r="V24" i="12"/>
  <c r="W24" i="12"/>
  <c r="X24" i="12"/>
  <c r="Y24" i="12"/>
  <c r="Z24" i="12"/>
  <c r="AA24" i="12"/>
  <c r="AB24" i="12"/>
  <c r="AC24" i="12"/>
  <c r="AD24" i="12"/>
  <c r="AE24" i="12"/>
  <c r="AG24" i="12"/>
  <c r="AH24" i="12"/>
  <c r="AI24" i="12"/>
  <c r="AJ24" i="12"/>
  <c r="AK24" i="12"/>
  <c r="AL24" i="12"/>
  <c r="AM24" i="12"/>
  <c r="AN24" i="12"/>
  <c r="AO24" i="12"/>
  <c r="AP24" i="12"/>
  <c r="AQ24" i="12"/>
  <c r="AR24" i="12"/>
  <c r="AS24" i="12"/>
  <c r="AT24" i="12"/>
  <c r="AU24" i="12"/>
  <c r="AV24" i="12"/>
  <c r="AW24" i="12"/>
  <c r="AX24" i="12"/>
  <c r="AY24" i="12"/>
  <c r="AZ24" i="12"/>
  <c r="BA24" i="12"/>
  <c r="BB24" i="12"/>
  <c r="BC24" i="12"/>
  <c r="BD24" i="12"/>
  <c r="BF24" i="12"/>
  <c r="BG24" i="12"/>
  <c r="BH24" i="12"/>
  <c r="BI24" i="12"/>
  <c r="BJ24" i="12"/>
  <c r="BK24" i="12"/>
  <c r="BL24" i="12"/>
  <c r="BM24" i="12"/>
  <c r="BN24" i="12"/>
  <c r="BO24" i="12"/>
  <c r="BP24" i="12"/>
  <c r="BQ24" i="12"/>
  <c r="BR24" i="12"/>
  <c r="BS24" i="12"/>
  <c r="BT24" i="12"/>
  <c r="BU24" i="12"/>
  <c r="BV24" i="12"/>
  <c r="BW24" i="12"/>
  <c r="BX24" i="12"/>
  <c r="BY24" i="12"/>
  <c r="BZ24" i="12"/>
  <c r="CA24" i="12"/>
  <c r="CB24" i="12"/>
  <c r="CC24" i="12"/>
  <c r="CE24" i="12"/>
  <c r="CF24" i="12"/>
  <c r="CG24" i="12"/>
  <c r="CH24" i="12"/>
  <c r="CI24" i="12"/>
  <c r="CJ24" i="12"/>
  <c r="CK24" i="12"/>
  <c r="CL24" i="12"/>
  <c r="CM24" i="12"/>
  <c r="CN24" i="12"/>
  <c r="CO24" i="12"/>
  <c r="CP24" i="12"/>
  <c r="CQ24" i="12"/>
  <c r="CR24" i="12"/>
  <c r="CS24" i="12"/>
  <c r="CT24" i="12"/>
  <c r="CU24" i="12"/>
  <c r="CV24" i="12"/>
  <c r="CW24" i="12"/>
  <c r="CX24" i="12"/>
  <c r="CY24" i="12"/>
  <c r="CZ24" i="12"/>
  <c r="DA24" i="12"/>
  <c r="DB24" i="12"/>
  <c r="DH24" i="12"/>
  <c r="DI24" i="12"/>
  <c r="DJ24" i="12"/>
  <c r="H25" i="12"/>
  <c r="I25" i="12"/>
  <c r="J25" i="12"/>
  <c r="K25" i="12"/>
  <c r="L25" i="12"/>
  <c r="M25" i="12"/>
  <c r="N25" i="12"/>
  <c r="O25" i="12"/>
  <c r="P25" i="12"/>
  <c r="Q25" i="12"/>
  <c r="R25" i="12"/>
  <c r="S25" i="12"/>
  <c r="T25" i="12"/>
  <c r="U25" i="12"/>
  <c r="V25" i="12"/>
  <c r="W25" i="12"/>
  <c r="X25" i="12"/>
  <c r="Y25" i="12"/>
  <c r="Z25" i="12"/>
  <c r="AA25" i="12"/>
  <c r="AB25" i="12"/>
  <c r="AC25" i="12"/>
  <c r="AD25" i="12"/>
  <c r="AE25" i="12"/>
  <c r="AG25" i="12"/>
  <c r="AH25" i="12"/>
  <c r="AI25" i="12"/>
  <c r="AJ25" i="12"/>
  <c r="AK25" i="12"/>
  <c r="AL25" i="12"/>
  <c r="AM25" i="12"/>
  <c r="AN25" i="12"/>
  <c r="AO25" i="12"/>
  <c r="AP25" i="12"/>
  <c r="AQ25" i="12"/>
  <c r="AR25" i="12"/>
  <c r="AS25" i="12"/>
  <c r="AT25" i="12"/>
  <c r="AU25" i="12"/>
  <c r="AV25" i="12"/>
  <c r="AW25" i="12"/>
  <c r="AX25" i="12"/>
  <c r="AY25" i="12"/>
  <c r="AZ25" i="12"/>
  <c r="BA25" i="12"/>
  <c r="BB25" i="12"/>
  <c r="BC25" i="12"/>
  <c r="BD25" i="12"/>
  <c r="BF25" i="12"/>
  <c r="BG25" i="12"/>
  <c r="BH25" i="12"/>
  <c r="BI25" i="12"/>
  <c r="BJ25" i="12"/>
  <c r="BK25" i="12"/>
  <c r="BL25" i="12"/>
  <c r="BM25" i="12"/>
  <c r="BN25" i="12"/>
  <c r="BO25" i="12"/>
  <c r="BP25" i="12"/>
  <c r="BQ25" i="12"/>
  <c r="BR25" i="12"/>
  <c r="BS25" i="12"/>
  <c r="BT25" i="12"/>
  <c r="BU25" i="12"/>
  <c r="BV25" i="12"/>
  <c r="BW25" i="12"/>
  <c r="BX25" i="12"/>
  <c r="BY25" i="12"/>
  <c r="BZ25" i="12"/>
  <c r="CA25" i="12"/>
  <c r="CB25" i="12"/>
  <c r="CC25" i="12"/>
  <c r="CE25" i="12"/>
  <c r="CF25" i="12"/>
  <c r="CG25" i="12"/>
  <c r="CH25" i="12"/>
  <c r="CI25" i="12"/>
  <c r="CJ25" i="12"/>
  <c r="CK25" i="12"/>
  <c r="CL25" i="12"/>
  <c r="CM25" i="12"/>
  <c r="CN25" i="12"/>
  <c r="CO25" i="12"/>
  <c r="CP25" i="12"/>
  <c r="CQ25" i="12"/>
  <c r="CR25" i="12"/>
  <c r="CS25" i="12"/>
  <c r="CT25" i="12"/>
  <c r="CU25" i="12"/>
  <c r="CV25" i="12"/>
  <c r="CW25" i="12"/>
  <c r="CX25" i="12"/>
  <c r="CY25" i="12"/>
  <c r="CZ25" i="12"/>
  <c r="DA25" i="12"/>
  <c r="DB25" i="12"/>
  <c r="DH25" i="12"/>
  <c r="DI25" i="12"/>
  <c r="DJ25" i="12"/>
  <c r="H26" i="12"/>
  <c r="I26" i="12"/>
  <c r="J26" i="12"/>
  <c r="K26" i="12"/>
  <c r="L26" i="12"/>
  <c r="M26" i="12"/>
  <c r="N26" i="12"/>
  <c r="O26" i="12"/>
  <c r="P26" i="12"/>
  <c r="Q26" i="12"/>
  <c r="R26" i="12"/>
  <c r="S26" i="12"/>
  <c r="T26" i="12"/>
  <c r="U26" i="12"/>
  <c r="V26" i="12"/>
  <c r="W26" i="12"/>
  <c r="X26" i="12"/>
  <c r="Y26" i="12"/>
  <c r="Z26" i="12"/>
  <c r="AA26" i="12"/>
  <c r="AB26" i="12"/>
  <c r="AC26" i="12"/>
  <c r="AD26" i="12"/>
  <c r="AE26" i="12"/>
  <c r="AG26" i="12"/>
  <c r="AH26" i="12"/>
  <c r="AI26" i="12"/>
  <c r="AJ26" i="12"/>
  <c r="AK26" i="12"/>
  <c r="AL26" i="12"/>
  <c r="AM26" i="12"/>
  <c r="AN26" i="12"/>
  <c r="AO26" i="12"/>
  <c r="AP26" i="12"/>
  <c r="AQ26" i="12"/>
  <c r="AR26" i="12"/>
  <c r="AS26" i="12"/>
  <c r="AT26" i="12"/>
  <c r="AU26" i="12"/>
  <c r="AV26" i="12"/>
  <c r="AW26" i="12"/>
  <c r="AX26" i="12"/>
  <c r="AY26" i="12"/>
  <c r="AZ26" i="12"/>
  <c r="BA26" i="12"/>
  <c r="BB26" i="12"/>
  <c r="BC26" i="12"/>
  <c r="BD26" i="12"/>
  <c r="BF26" i="12"/>
  <c r="BG26" i="12"/>
  <c r="BH26" i="12"/>
  <c r="BI26" i="12"/>
  <c r="BJ26" i="12"/>
  <c r="BK26" i="12"/>
  <c r="BL26" i="12"/>
  <c r="BM26" i="12"/>
  <c r="BN26" i="12"/>
  <c r="BO26" i="12"/>
  <c r="BP26" i="12"/>
  <c r="BQ26" i="12"/>
  <c r="BR26" i="12"/>
  <c r="BS26" i="12"/>
  <c r="BT26" i="12"/>
  <c r="BU26" i="12"/>
  <c r="BV26" i="12"/>
  <c r="BW26" i="12"/>
  <c r="BX26" i="12"/>
  <c r="BY26" i="12"/>
  <c r="BZ26" i="12"/>
  <c r="CA26" i="12"/>
  <c r="CB26" i="12"/>
  <c r="CC26" i="12"/>
  <c r="CE26" i="12"/>
  <c r="CF26" i="12"/>
  <c r="CG26" i="12"/>
  <c r="CH26" i="12"/>
  <c r="CI26" i="12"/>
  <c r="CJ26" i="12"/>
  <c r="CK26" i="12"/>
  <c r="CL26" i="12"/>
  <c r="CM26" i="12"/>
  <c r="CN26" i="12"/>
  <c r="CO26" i="12"/>
  <c r="CP26" i="12"/>
  <c r="CQ26" i="12"/>
  <c r="CR26" i="12"/>
  <c r="CS26" i="12"/>
  <c r="CT26" i="12"/>
  <c r="CU26" i="12"/>
  <c r="CV26" i="12"/>
  <c r="CW26" i="12"/>
  <c r="CX26" i="12"/>
  <c r="CY26" i="12"/>
  <c r="CZ26" i="12"/>
  <c r="DA26" i="12"/>
  <c r="DB26" i="12"/>
  <c r="DH26" i="12"/>
  <c r="DI26" i="12"/>
  <c r="DJ26" i="12"/>
  <c r="H27" i="12"/>
  <c r="I27" i="12"/>
  <c r="J27" i="12"/>
  <c r="K27" i="12"/>
  <c r="L27" i="12"/>
  <c r="M27" i="12"/>
  <c r="N27" i="12"/>
  <c r="O27" i="12"/>
  <c r="P27" i="12"/>
  <c r="Q27" i="12"/>
  <c r="R27" i="12"/>
  <c r="S27" i="12"/>
  <c r="T27" i="12"/>
  <c r="U27" i="12"/>
  <c r="V27" i="12"/>
  <c r="W27" i="12"/>
  <c r="X27" i="12"/>
  <c r="Y27" i="12"/>
  <c r="Z27" i="12"/>
  <c r="AA27" i="12"/>
  <c r="AB27" i="12"/>
  <c r="AC27" i="12"/>
  <c r="AD27" i="12"/>
  <c r="AE27" i="12"/>
  <c r="AG27" i="12"/>
  <c r="AH27" i="12"/>
  <c r="AI27" i="12"/>
  <c r="AJ27" i="12"/>
  <c r="AK27" i="12"/>
  <c r="AL27" i="12"/>
  <c r="AM27" i="12"/>
  <c r="AN27" i="12"/>
  <c r="AO27" i="12"/>
  <c r="AP27" i="12"/>
  <c r="AQ27" i="12"/>
  <c r="AR27" i="12"/>
  <c r="AS27" i="12"/>
  <c r="AT27" i="12"/>
  <c r="AU27" i="12"/>
  <c r="AV27" i="12"/>
  <c r="AW27" i="12"/>
  <c r="AX27" i="12"/>
  <c r="AY27" i="12"/>
  <c r="AZ27" i="12"/>
  <c r="BA27" i="12"/>
  <c r="BB27" i="12"/>
  <c r="BC27" i="12"/>
  <c r="BD27" i="12"/>
  <c r="BF27" i="12"/>
  <c r="BG27" i="12"/>
  <c r="BH27" i="12"/>
  <c r="BI27" i="12"/>
  <c r="BJ27" i="12"/>
  <c r="BK27" i="12"/>
  <c r="BL27" i="12"/>
  <c r="BM27" i="12"/>
  <c r="BN27" i="12"/>
  <c r="BO27" i="12"/>
  <c r="BP27" i="12"/>
  <c r="BQ27" i="12"/>
  <c r="BR27" i="12"/>
  <c r="BS27" i="12"/>
  <c r="BT27" i="12"/>
  <c r="BU27" i="12"/>
  <c r="BV27" i="12"/>
  <c r="BW27" i="12"/>
  <c r="BX27" i="12"/>
  <c r="BY27" i="12"/>
  <c r="BZ27" i="12"/>
  <c r="CA27" i="12"/>
  <c r="CB27" i="12"/>
  <c r="CC27" i="12"/>
  <c r="CE27" i="12"/>
  <c r="CF27" i="12"/>
  <c r="CG27" i="12"/>
  <c r="CH27" i="12"/>
  <c r="CI27" i="12"/>
  <c r="CJ27" i="12"/>
  <c r="CK27" i="12"/>
  <c r="CL27" i="12"/>
  <c r="CM27" i="12"/>
  <c r="CN27" i="12"/>
  <c r="CO27" i="12"/>
  <c r="CP27" i="12"/>
  <c r="CQ27" i="12"/>
  <c r="CR27" i="12"/>
  <c r="CS27" i="12"/>
  <c r="CT27" i="12"/>
  <c r="CU27" i="12"/>
  <c r="CV27" i="12"/>
  <c r="CW27" i="12"/>
  <c r="CX27" i="12"/>
  <c r="CY27" i="12"/>
  <c r="CZ27" i="12"/>
  <c r="DA27" i="12"/>
  <c r="DB27" i="12"/>
  <c r="DH27" i="12"/>
  <c r="DI27" i="12"/>
  <c r="DJ27" i="12"/>
  <c r="H28" i="12"/>
  <c r="I28" i="12"/>
  <c r="J28" i="12"/>
  <c r="K28" i="12"/>
  <c r="L28" i="12"/>
  <c r="M28" i="12"/>
  <c r="N28" i="12"/>
  <c r="O28" i="12"/>
  <c r="P28" i="12"/>
  <c r="Q28" i="12"/>
  <c r="R28" i="12"/>
  <c r="S28" i="12"/>
  <c r="T28" i="12"/>
  <c r="U28" i="12"/>
  <c r="V28" i="12"/>
  <c r="W28" i="12"/>
  <c r="X28" i="12"/>
  <c r="Y28" i="12"/>
  <c r="Z28" i="12"/>
  <c r="AA28" i="12"/>
  <c r="AB28" i="12"/>
  <c r="AC28" i="12"/>
  <c r="AD28" i="12"/>
  <c r="AE28" i="12"/>
  <c r="AG28" i="12"/>
  <c r="AH28" i="12"/>
  <c r="AI28" i="12"/>
  <c r="AJ28" i="12"/>
  <c r="AK28" i="12"/>
  <c r="AL28" i="12"/>
  <c r="AM28" i="12"/>
  <c r="AN28" i="12"/>
  <c r="AO28" i="12"/>
  <c r="AP28" i="12"/>
  <c r="AQ28" i="12"/>
  <c r="AR28" i="12"/>
  <c r="AS28" i="12"/>
  <c r="AT28" i="12"/>
  <c r="AU28" i="12"/>
  <c r="AV28" i="12"/>
  <c r="AW28" i="12"/>
  <c r="AX28" i="12"/>
  <c r="AY28" i="12"/>
  <c r="AZ28" i="12"/>
  <c r="BA28" i="12"/>
  <c r="BB28" i="12"/>
  <c r="BC28" i="12"/>
  <c r="BD28" i="12"/>
  <c r="BF28" i="12"/>
  <c r="BG28" i="12"/>
  <c r="BH28" i="12"/>
  <c r="BI28" i="12"/>
  <c r="BJ28" i="12"/>
  <c r="BK28" i="12"/>
  <c r="BL28" i="12"/>
  <c r="BM28" i="12"/>
  <c r="BN28" i="12"/>
  <c r="BO28" i="12"/>
  <c r="BP28" i="12"/>
  <c r="BQ28" i="12"/>
  <c r="BR28" i="12"/>
  <c r="BS28" i="12"/>
  <c r="BT28" i="12"/>
  <c r="BU28" i="12"/>
  <c r="BV28" i="12"/>
  <c r="BW28" i="12"/>
  <c r="BX28" i="12"/>
  <c r="BY28" i="12"/>
  <c r="BZ28" i="12"/>
  <c r="CA28" i="12"/>
  <c r="CB28" i="12"/>
  <c r="CC28" i="12"/>
  <c r="CE28" i="12"/>
  <c r="CF28" i="12"/>
  <c r="CG28" i="12"/>
  <c r="CH28" i="12"/>
  <c r="CI28" i="12"/>
  <c r="CJ28" i="12"/>
  <c r="CK28" i="12"/>
  <c r="CL28" i="12"/>
  <c r="CM28" i="12"/>
  <c r="CN28" i="12"/>
  <c r="CO28" i="12"/>
  <c r="CP28" i="12"/>
  <c r="CQ28" i="12"/>
  <c r="CR28" i="12"/>
  <c r="CS28" i="12"/>
  <c r="CT28" i="12"/>
  <c r="CU28" i="12"/>
  <c r="CV28" i="12"/>
  <c r="CW28" i="12"/>
  <c r="CX28" i="12"/>
  <c r="CY28" i="12"/>
  <c r="CZ28" i="12"/>
  <c r="DA28" i="12"/>
  <c r="DB28" i="12"/>
  <c r="DH28" i="12"/>
  <c r="DI28" i="12"/>
  <c r="DJ28" i="12"/>
  <c r="H29" i="12"/>
  <c r="I29" i="12"/>
  <c r="J29" i="12"/>
  <c r="K29" i="12"/>
  <c r="L29" i="12"/>
  <c r="M29" i="12"/>
  <c r="N29" i="12"/>
  <c r="O29" i="12"/>
  <c r="P29" i="12"/>
  <c r="Q29" i="12"/>
  <c r="R29" i="12"/>
  <c r="S29" i="12"/>
  <c r="T29" i="12"/>
  <c r="U29" i="12"/>
  <c r="V29" i="12"/>
  <c r="W29" i="12"/>
  <c r="X29" i="12"/>
  <c r="Y29" i="12"/>
  <c r="Z29" i="12"/>
  <c r="AA29" i="12"/>
  <c r="AB29" i="12"/>
  <c r="AC29" i="12"/>
  <c r="AD29" i="12"/>
  <c r="AE29" i="12"/>
  <c r="AG29" i="12"/>
  <c r="AH29" i="12"/>
  <c r="AI29" i="12"/>
  <c r="AJ29" i="12"/>
  <c r="AK29" i="12"/>
  <c r="AL29" i="12"/>
  <c r="AM29" i="12"/>
  <c r="AN29" i="12"/>
  <c r="AO29" i="12"/>
  <c r="AP29" i="12"/>
  <c r="AQ29" i="12"/>
  <c r="AR29" i="12"/>
  <c r="AS29" i="12"/>
  <c r="AT29" i="12"/>
  <c r="AU29" i="12"/>
  <c r="AV29" i="12"/>
  <c r="AW29" i="12"/>
  <c r="AX29" i="12"/>
  <c r="AY29" i="12"/>
  <c r="AZ29" i="12"/>
  <c r="BA29" i="12"/>
  <c r="BB29" i="12"/>
  <c r="BC29" i="12"/>
  <c r="BD29" i="12"/>
  <c r="BF29" i="12"/>
  <c r="BG29" i="12"/>
  <c r="BH29" i="12"/>
  <c r="BI29" i="12"/>
  <c r="BJ29" i="12"/>
  <c r="BK29" i="12"/>
  <c r="BL29" i="12"/>
  <c r="BM29" i="12"/>
  <c r="BN29" i="12"/>
  <c r="BO29" i="12"/>
  <c r="BP29" i="12"/>
  <c r="BQ29" i="12"/>
  <c r="BR29" i="12"/>
  <c r="BS29" i="12"/>
  <c r="BT29" i="12"/>
  <c r="BU29" i="12"/>
  <c r="BV29" i="12"/>
  <c r="BW29" i="12"/>
  <c r="BX29" i="12"/>
  <c r="BY29" i="12"/>
  <c r="BZ29" i="12"/>
  <c r="CA29" i="12"/>
  <c r="CB29" i="12"/>
  <c r="CC29" i="12"/>
  <c r="CE29" i="12"/>
  <c r="CF29" i="12"/>
  <c r="CG29" i="12"/>
  <c r="CH29" i="12"/>
  <c r="CI29" i="12"/>
  <c r="CJ29" i="12"/>
  <c r="CK29" i="12"/>
  <c r="CL29" i="12"/>
  <c r="CM29" i="12"/>
  <c r="CN29" i="12"/>
  <c r="CO29" i="12"/>
  <c r="CP29" i="12"/>
  <c r="CQ29" i="12"/>
  <c r="CR29" i="12"/>
  <c r="CS29" i="12"/>
  <c r="CT29" i="12"/>
  <c r="CU29" i="12"/>
  <c r="CV29" i="12"/>
  <c r="CW29" i="12"/>
  <c r="CX29" i="12"/>
  <c r="CY29" i="12"/>
  <c r="CZ29" i="12"/>
  <c r="DA29" i="12"/>
  <c r="DB29" i="12"/>
  <c r="DH29" i="12"/>
  <c r="DI29" i="12"/>
  <c r="DJ29" i="12"/>
  <c r="H30" i="12"/>
  <c r="I30" i="12"/>
  <c r="J30" i="12"/>
  <c r="K30" i="12"/>
  <c r="L30" i="12"/>
  <c r="M30" i="12"/>
  <c r="N30" i="12"/>
  <c r="O30" i="12"/>
  <c r="P30" i="12"/>
  <c r="Q30" i="12"/>
  <c r="R30" i="12"/>
  <c r="S30" i="12"/>
  <c r="T30" i="12"/>
  <c r="U30" i="12"/>
  <c r="V30" i="12"/>
  <c r="W30" i="12"/>
  <c r="X30" i="12"/>
  <c r="Y30" i="12"/>
  <c r="Z30" i="12"/>
  <c r="AA30" i="12"/>
  <c r="AB30" i="12"/>
  <c r="AC30" i="12"/>
  <c r="AD30" i="12"/>
  <c r="AE30" i="12"/>
  <c r="AG30" i="12"/>
  <c r="AH30" i="12"/>
  <c r="AI30" i="12"/>
  <c r="AJ30" i="12"/>
  <c r="AK30" i="12"/>
  <c r="AL30" i="12"/>
  <c r="AM30" i="12"/>
  <c r="AN30" i="12"/>
  <c r="AO30" i="12"/>
  <c r="AP30" i="12"/>
  <c r="AQ30" i="12"/>
  <c r="AR30" i="12"/>
  <c r="AS30" i="12"/>
  <c r="AT30" i="12"/>
  <c r="AU30" i="12"/>
  <c r="AV30" i="12"/>
  <c r="AW30" i="12"/>
  <c r="AX30" i="12"/>
  <c r="AY30" i="12"/>
  <c r="AZ30" i="12"/>
  <c r="BA30" i="12"/>
  <c r="BB30" i="12"/>
  <c r="BC30" i="12"/>
  <c r="BD30" i="12"/>
  <c r="BF30" i="12"/>
  <c r="BG30" i="12"/>
  <c r="BH30" i="12"/>
  <c r="BI30" i="12"/>
  <c r="BJ30" i="12"/>
  <c r="BK30" i="12"/>
  <c r="BL30" i="12"/>
  <c r="BM30" i="12"/>
  <c r="BN30" i="12"/>
  <c r="BO30" i="12"/>
  <c r="BP30" i="12"/>
  <c r="BQ30" i="12"/>
  <c r="BR30" i="12"/>
  <c r="BS30" i="12"/>
  <c r="BT30" i="12"/>
  <c r="BU30" i="12"/>
  <c r="BV30" i="12"/>
  <c r="BW30" i="12"/>
  <c r="BX30" i="12"/>
  <c r="BY30" i="12"/>
  <c r="BZ30" i="12"/>
  <c r="CA30" i="12"/>
  <c r="CB30" i="12"/>
  <c r="CC30" i="12"/>
  <c r="CE30" i="12"/>
  <c r="CF30" i="12"/>
  <c r="CG30" i="12"/>
  <c r="CH30" i="12"/>
  <c r="CI30" i="12"/>
  <c r="CJ30" i="12"/>
  <c r="CK30" i="12"/>
  <c r="CL30" i="12"/>
  <c r="CM30" i="12"/>
  <c r="CN30" i="12"/>
  <c r="CO30" i="12"/>
  <c r="CP30" i="12"/>
  <c r="CQ30" i="12"/>
  <c r="CR30" i="12"/>
  <c r="CS30" i="12"/>
  <c r="CT30" i="12"/>
  <c r="CU30" i="12"/>
  <c r="CV30" i="12"/>
  <c r="CW30" i="12"/>
  <c r="CX30" i="12"/>
  <c r="CY30" i="12"/>
  <c r="CZ30" i="12"/>
  <c r="DA30" i="12"/>
  <c r="DB30" i="12"/>
  <c r="DH30" i="12"/>
  <c r="DI30" i="12"/>
  <c r="DJ30" i="12"/>
  <c r="H31" i="12"/>
  <c r="I31" i="12"/>
  <c r="J31" i="12"/>
  <c r="K31" i="12"/>
  <c r="L31" i="12"/>
  <c r="M31" i="12"/>
  <c r="N31" i="12"/>
  <c r="O31" i="12"/>
  <c r="P31" i="12"/>
  <c r="Q31" i="12"/>
  <c r="R31" i="12"/>
  <c r="S31" i="12"/>
  <c r="T31" i="12"/>
  <c r="U31" i="12"/>
  <c r="V31" i="12"/>
  <c r="W31" i="12"/>
  <c r="X31" i="12"/>
  <c r="Y31" i="12"/>
  <c r="Z31" i="12"/>
  <c r="AA31" i="12"/>
  <c r="AB31" i="12"/>
  <c r="AC31" i="12"/>
  <c r="AD31" i="12"/>
  <c r="AE31" i="12"/>
  <c r="AG31" i="12"/>
  <c r="AH31" i="12"/>
  <c r="AI31" i="12"/>
  <c r="AJ31" i="12"/>
  <c r="AK31" i="12"/>
  <c r="AL31" i="12"/>
  <c r="AM31" i="12"/>
  <c r="AN31" i="12"/>
  <c r="AO31" i="12"/>
  <c r="AP31" i="12"/>
  <c r="AQ31" i="12"/>
  <c r="AR31" i="12"/>
  <c r="AS31" i="12"/>
  <c r="AT31" i="12"/>
  <c r="AU31" i="12"/>
  <c r="AV31" i="12"/>
  <c r="AW31" i="12"/>
  <c r="AX31" i="12"/>
  <c r="AY31" i="12"/>
  <c r="AZ31" i="12"/>
  <c r="BA31" i="12"/>
  <c r="BB31" i="12"/>
  <c r="BC31" i="12"/>
  <c r="BD31" i="12"/>
  <c r="BF31" i="12"/>
  <c r="BG31" i="12"/>
  <c r="BH31" i="12"/>
  <c r="BI31" i="12"/>
  <c r="BJ31" i="12"/>
  <c r="BK31" i="12"/>
  <c r="BL31" i="12"/>
  <c r="BM31" i="12"/>
  <c r="BN31" i="12"/>
  <c r="BO31" i="12"/>
  <c r="BP31" i="12"/>
  <c r="BQ31" i="12"/>
  <c r="BR31" i="12"/>
  <c r="BS31" i="12"/>
  <c r="BT31" i="12"/>
  <c r="BU31" i="12"/>
  <c r="BV31" i="12"/>
  <c r="BW31" i="12"/>
  <c r="BX31" i="12"/>
  <c r="BY31" i="12"/>
  <c r="BZ31" i="12"/>
  <c r="CA31" i="12"/>
  <c r="CB31" i="12"/>
  <c r="CC31" i="12"/>
  <c r="CE31" i="12"/>
  <c r="CF31" i="12"/>
  <c r="CG31" i="12"/>
  <c r="CH31" i="12"/>
  <c r="CI31" i="12"/>
  <c r="CJ31" i="12"/>
  <c r="CK31" i="12"/>
  <c r="CL31" i="12"/>
  <c r="CM31" i="12"/>
  <c r="CN31" i="12"/>
  <c r="CO31" i="12"/>
  <c r="CP31" i="12"/>
  <c r="CQ31" i="12"/>
  <c r="CR31" i="12"/>
  <c r="CS31" i="12"/>
  <c r="CT31" i="12"/>
  <c r="CU31" i="12"/>
  <c r="CV31" i="12"/>
  <c r="CW31" i="12"/>
  <c r="CX31" i="12"/>
  <c r="CY31" i="12"/>
  <c r="CZ31" i="12"/>
  <c r="DA31" i="12"/>
  <c r="DB31" i="12"/>
  <c r="DH31" i="12"/>
  <c r="DI31" i="12"/>
  <c r="DJ31" i="12"/>
  <c r="H32" i="12"/>
  <c r="I32" i="12"/>
  <c r="J32" i="12"/>
  <c r="K32" i="12"/>
  <c r="L32" i="12"/>
  <c r="M32" i="12"/>
  <c r="N32" i="12"/>
  <c r="O32" i="12"/>
  <c r="P32" i="12"/>
  <c r="Q32" i="12"/>
  <c r="R32" i="12"/>
  <c r="S32" i="12"/>
  <c r="T32" i="12"/>
  <c r="U32" i="12"/>
  <c r="V32" i="12"/>
  <c r="W32" i="12"/>
  <c r="X32" i="12"/>
  <c r="Y32" i="12"/>
  <c r="Z32" i="12"/>
  <c r="AA32" i="12"/>
  <c r="AB32" i="12"/>
  <c r="AC32" i="12"/>
  <c r="AD32" i="12"/>
  <c r="AE32" i="12"/>
  <c r="AG32" i="12"/>
  <c r="AH32" i="12"/>
  <c r="AI32" i="12"/>
  <c r="AJ32" i="12"/>
  <c r="AK32" i="12"/>
  <c r="AL32" i="12"/>
  <c r="AM32" i="12"/>
  <c r="AN32" i="12"/>
  <c r="AO32" i="12"/>
  <c r="AP32" i="12"/>
  <c r="AQ32" i="12"/>
  <c r="AR32" i="12"/>
  <c r="AS32" i="12"/>
  <c r="AT32" i="12"/>
  <c r="AU32" i="12"/>
  <c r="AV32" i="12"/>
  <c r="AW32" i="12"/>
  <c r="AX32" i="12"/>
  <c r="AY32" i="12"/>
  <c r="AZ32" i="12"/>
  <c r="BA32" i="12"/>
  <c r="BB32" i="12"/>
  <c r="BC32" i="12"/>
  <c r="BD32" i="12"/>
  <c r="BF32" i="12"/>
  <c r="BG32" i="12"/>
  <c r="BH32" i="12"/>
  <c r="BI32" i="12"/>
  <c r="BJ32" i="12"/>
  <c r="BK32" i="12"/>
  <c r="BL32" i="12"/>
  <c r="BM32" i="12"/>
  <c r="BN32" i="12"/>
  <c r="BO32" i="12"/>
  <c r="BP32" i="12"/>
  <c r="BQ32" i="12"/>
  <c r="BR32" i="12"/>
  <c r="BS32" i="12"/>
  <c r="BT32" i="12"/>
  <c r="BU32" i="12"/>
  <c r="BV32" i="12"/>
  <c r="BW32" i="12"/>
  <c r="BX32" i="12"/>
  <c r="BY32" i="12"/>
  <c r="BZ32" i="12"/>
  <c r="CA32" i="12"/>
  <c r="CB32" i="12"/>
  <c r="CC32" i="12"/>
  <c r="CE32" i="12"/>
  <c r="CF32" i="12"/>
  <c r="CG32" i="12"/>
  <c r="CH32" i="12"/>
  <c r="CI32" i="12"/>
  <c r="CJ32" i="12"/>
  <c r="CK32" i="12"/>
  <c r="CL32" i="12"/>
  <c r="CM32" i="12"/>
  <c r="CN32" i="12"/>
  <c r="CO32" i="12"/>
  <c r="CP32" i="12"/>
  <c r="CQ32" i="12"/>
  <c r="CR32" i="12"/>
  <c r="CS32" i="12"/>
  <c r="CT32" i="12"/>
  <c r="CU32" i="12"/>
  <c r="CV32" i="12"/>
  <c r="CW32" i="12"/>
  <c r="CX32" i="12"/>
  <c r="CY32" i="12"/>
  <c r="CZ32" i="12"/>
  <c r="DA32" i="12"/>
  <c r="DB32" i="12"/>
  <c r="DH32" i="12"/>
  <c r="DI32" i="12"/>
  <c r="DJ32" i="12"/>
  <c r="H33" i="12"/>
  <c r="I33" i="12"/>
  <c r="J33" i="12"/>
  <c r="K33" i="12"/>
  <c r="L33" i="12"/>
  <c r="M33" i="12"/>
  <c r="N33" i="12"/>
  <c r="O33" i="12"/>
  <c r="P33" i="12"/>
  <c r="Q33" i="12"/>
  <c r="R33" i="12"/>
  <c r="S33" i="12"/>
  <c r="T33" i="12"/>
  <c r="U33" i="12"/>
  <c r="V33" i="12"/>
  <c r="W33" i="12"/>
  <c r="X33" i="12"/>
  <c r="Y33" i="12"/>
  <c r="Z33" i="12"/>
  <c r="AA33" i="12"/>
  <c r="AB33" i="12"/>
  <c r="AC33" i="12"/>
  <c r="AD33" i="12"/>
  <c r="AE33" i="12"/>
  <c r="AG33" i="12"/>
  <c r="AH33" i="12"/>
  <c r="AI33" i="12"/>
  <c r="AJ33" i="12"/>
  <c r="AK33" i="12"/>
  <c r="AL33" i="12"/>
  <c r="AM33" i="12"/>
  <c r="AN33" i="12"/>
  <c r="AO33" i="12"/>
  <c r="AP33" i="12"/>
  <c r="AQ33" i="12"/>
  <c r="AR33" i="12"/>
  <c r="AS33" i="12"/>
  <c r="AT33" i="12"/>
  <c r="AU33" i="12"/>
  <c r="AV33" i="12"/>
  <c r="AW33" i="12"/>
  <c r="AX33" i="12"/>
  <c r="AY33" i="12"/>
  <c r="AZ33" i="12"/>
  <c r="BA33" i="12"/>
  <c r="BB33" i="12"/>
  <c r="BC33" i="12"/>
  <c r="BD33" i="12"/>
  <c r="BF33" i="12"/>
  <c r="BG33" i="12"/>
  <c r="BH33" i="12"/>
  <c r="BI33" i="12"/>
  <c r="BJ33" i="12"/>
  <c r="BK33" i="12"/>
  <c r="BL33" i="12"/>
  <c r="BM33" i="12"/>
  <c r="BN33" i="12"/>
  <c r="BO33" i="12"/>
  <c r="BP33" i="12"/>
  <c r="BQ33" i="12"/>
  <c r="BR33" i="12"/>
  <c r="BS33" i="12"/>
  <c r="BT33" i="12"/>
  <c r="BU33" i="12"/>
  <c r="BV33" i="12"/>
  <c r="BW33" i="12"/>
  <c r="BX33" i="12"/>
  <c r="BY33" i="12"/>
  <c r="BZ33" i="12"/>
  <c r="CA33" i="12"/>
  <c r="CB33" i="12"/>
  <c r="CC33" i="12"/>
  <c r="CE33" i="12"/>
  <c r="CF33" i="12"/>
  <c r="CG33" i="12"/>
  <c r="CH33" i="12"/>
  <c r="CI33" i="12"/>
  <c r="CJ33" i="12"/>
  <c r="CK33" i="12"/>
  <c r="CL33" i="12"/>
  <c r="CM33" i="12"/>
  <c r="CN33" i="12"/>
  <c r="CO33" i="12"/>
  <c r="CP33" i="12"/>
  <c r="CQ33" i="12"/>
  <c r="CR33" i="12"/>
  <c r="CS33" i="12"/>
  <c r="CT33" i="12"/>
  <c r="CU33" i="12"/>
  <c r="CV33" i="12"/>
  <c r="CW33" i="12"/>
  <c r="CX33" i="12"/>
  <c r="CY33" i="12"/>
  <c r="CZ33" i="12"/>
  <c r="DA33" i="12"/>
  <c r="DB33" i="12"/>
  <c r="DH33" i="12"/>
  <c r="DI33" i="12"/>
  <c r="DJ33" i="12"/>
  <c r="H34" i="12"/>
  <c r="I34" i="12"/>
  <c r="J34" i="12"/>
  <c r="K34" i="12"/>
  <c r="L34" i="12"/>
  <c r="M34" i="12"/>
  <c r="N34" i="12"/>
  <c r="O34" i="12"/>
  <c r="P34" i="12"/>
  <c r="Q34" i="12"/>
  <c r="R34" i="12"/>
  <c r="S34" i="12"/>
  <c r="T34" i="12"/>
  <c r="U34" i="12"/>
  <c r="V34" i="12"/>
  <c r="W34" i="12"/>
  <c r="X34" i="12"/>
  <c r="Y34" i="12"/>
  <c r="Z34" i="12"/>
  <c r="AA34" i="12"/>
  <c r="AB34" i="12"/>
  <c r="AC34" i="12"/>
  <c r="AD34" i="12"/>
  <c r="AE34" i="12"/>
  <c r="AG34" i="12"/>
  <c r="AH34" i="12"/>
  <c r="AI34" i="12"/>
  <c r="AJ34" i="12"/>
  <c r="AK34" i="12"/>
  <c r="AL34" i="12"/>
  <c r="AM34" i="12"/>
  <c r="AN34" i="12"/>
  <c r="AO34" i="12"/>
  <c r="AP34" i="12"/>
  <c r="AQ34" i="12"/>
  <c r="AR34" i="12"/>
  <c r="AS34" i="12"/>
  <c r="AT34" i="12"/>
  <c r="AU34" i="12"/>
  <c r="AV34" i="12"/>
  <c r="AW34" i="12"/>
  <c r="AX34" i="12"/>
  <c r="AY34" i="12"/>
  <c r="AZ34" i="12"/>
  <c r="BA34" i="12"/>
  <c r="BB34" i="12"/>
  <c r="BC34" i="12"/>
  <c r="BD34" i="12"/>
  <c r="BF34" i="12"/>
  <c r="BG34" i="12"/>
  <c r="BH34" i="12"/>
  <c r="BI34" i="12"/>
  <c r="BJ34" i="12"/>
  <c r="BK34" i="12"/>
  <c r="BL34" i="12"/>
  <c r="BM34" i="12"/>
  <c r="BN34" i="12"/>
  <c r="BO34" i="12"/>
  <c r="BP34" i="12"/>
  <c r="BQ34" i="12"/>
  <c r="BR34" i="12"/>
  <c r="BS34" i="12"/>
  <c r="BT34" i="12"/>
  <c r="BU34" i="12"/>
  <c r="BV34" i="12"/>
  <c r="BW34" i="12"/>
  <c r="BX34" i="12"/>
  <c r="BY34" i="12"/>
  <c r="BZ34" i="12"/>
  <c r="CA34" i="12"/>
  <c r="CB34" i="12"/>
  <c r="CC34" i="12"/>
  <c r="CE34" i="12"/>
  <c r="CF34" i="12"/>
  <c r="CG34" i="12"/>
  <c r="CH34" i="12"/>
  <c r="CI34" i="12"/>
  <c r="CJ34" i="12"/>
  <c r="CK34" i="12"/>
  <c r="CL34" i="12"/>
  <c r="CM34" i="12"/>
  <c r="CN34" i="12"/>
  <c r="CO34" i="12"/>
  <c r="CP34" i="12"/>
  <c r="CQ34" i="12"/>
  <c r="CR34" i="12"/>
  <c r="CS34" i="12"/>
  <c r="CT34" i="12"/>
  <c r="CU34" i="12"/>
  <c r="CV34" i="12"/>
  <c r="CW34" i="12"/>
  <c r="CX34" i="12"/>
  <c r="CY34" i="12"/>
  <c r="CZ34" i="12"/>
  <c r="DA34" i="12"/>
  <c r="DB34" i="12"/>
  <c r="DH34" i="12"/>
  <c r="DI34" i="12"/>
  <c r="DJ34" i="12"/>
  <c r="H35" i="12"/>
  <c r="I35" i="12"/>
  <c r="J35" i="12"/>
  <c r="K35" i="12"/>
  <c r="L35" i="12"/>
  <c r="M35" i="12"/>
  <c r="N35" i="12"/>
  <c r="O35" i="12"/>
  <c r="P35" i="12"/>
  <c r="Q35" i="12"/>
  <c r="R35" i="12"/>
  <c r="S35" i="12"/>
  <c r="T35" i="12"/>
  <c r="U35" i="12"/>
  <c r="V35" i="12"/>
  <c r="W35" i="12"/>
  <c r="X35" i="12"/>
  <c r="Y35" i="12"/>
  <c r="Z35" i="12"/>
  <c r="AA35" i="12"/>
  <c r="AB35" i="12"/>
  <c r="AC35" i="12"/>
  <c r="AD35" i="12"/>
  <c r="AE35" i="12"/>
  <c r="AG35" i="12"/>
  <c r="AH35" i="12"/>
  <c r="AI35" i="12"/>
  <c r="AJ35" i="12"/>
  <c r="AK35" i="12"/>
  <c r="AL35" i="12"/>
  <c r="AM35" i="12"/>
  <c r="AN35" i="12"/>
  <c r="AO35" i="12"/>
  <c r="AP35" i="12"/>
  <c r="AQ35" i="12"/>
  <c r="AR35" i="12"/>
  <c r="AS35" i="12"/>
  <c r="AT35" i="12"/>
  <c r="AU35" i="12"/>
  <c r="AV35" i="12"/>
  <c r="AW35" i="12"/>
  <c r="AX35" i="12"/>
  <c r="AY35" i="12"/>
  <c r="AZ35" i="12"/>
  <c r="BA35" i="12"/>
  <c r="BB35" i="12"/>
  <c r="BC35" i="12"/>
  <c r="BD35" i="12"/>
  <c r="BF35" i="12"/>
  <c r="BG35" i="12"/>
  <c r="BH35" i="12"/>
  <c r="BI35" i="12"/>
  <c r="BJ35" i="12"/>
  <c r="BK35" i="12"/>
  <c r="BL35" i="12"/>
  <c r="BM35" i="12"/>
  <c r="BN35" i="12"/>
  <c r="BO35" i="12"/>
  <c r="BP35" i="12"/>
  <c r="BQ35" i="12"/>
  <c r="BR35" i="12"/>
  <c r="BS35" i="12"/>
  <c r="BT35" i="12"/>
  <c r="BU35" i="12"/>
  <c r="BV35" i="12"/>
  <c r="BW35" i="12"/>
  <c r="BX35" i="12"/>
  <c r="BY35" i="12"/>
  <c r="BZ35" i="12"/>
  <c r="CA35" i="12"/>
  <c r="CB35" i="12"/>
  <c r="CC35" i="12"/>
  <c r="CE35" i="12"/>
  <c r="CF35" i="12"/>
  <c r="CG35" i="12"/>
  <c r="CH35" i="12"/>
  <c r="CI35" i="12"/>
  <c r="CJ35" i="12"/>
  <c r="CK35" i="12"/>
  <c r="CL35" i="12"/>
  <c r="CM35" i="12"/>
  <c r="CN35" i="12"/>
  <c r="CO35" i="12"/>
  <c r="CP35" i="12"/>
  <c r="CQ35" i="12"/>
  <c r="CR35" i="12"/>
  <c r="CS35" i="12"/>
  <c r="CT35" i="12"/>
  <c r="CU35" i="12"/>
  <c r="CV35" i="12"/>
  <c r="CW35" i="12"/>
  <c r="CX35" i="12"/>
  <c r="CY35" i="12"/>
  <c r="CZ35" i="12"/>
  <c r="DA35" i="12"/>
  <c r="DB35" i="12"/>
  <c r="DH35" i="12"/>
  <c r="DI35" i="12"/>
  <c r="DJ35" i="12"/>
  <c r="H36" i="12"/>
  <c r="I36" i="12"/>
  <c r="J36" i="12"/>
  <c r="K36" i="12"/>
  <c r="L36" i="12"/>
  <c r="M36" i="12"/>
  <c r="N36" i="12"/>
  <c r="O36" i="12"/>
  <c r="P36" i="12"/>
  <c r="Q36" i="12"/>
  <c r="R36" i="12"/>
  <c r="S36" i="12"/>
  <c r="T36" i="12"/>
  <c r="U36" i="12"/>
  <c r="V36" i="12"/>
  <c r="W36" i="12"/>
  <c r="X36" i="12"/>
  <c r="Y36" i="12"/>
  <c r="Z36" i="12"/>
  <c r="AA36" i="12"/>
  <c r="AB36" i="12"/>
  <c r="AC36" i="12"/>
  <c r="AD36" i="12"/>
  <c r="AE36" i="12"/>
  <c r="AG36" i="12"/>
  <c r="AH36" i="12"/>
  <c r="AI36" i="12"/>
  <c r="AJ36" i="12"/>
  <c r="AK36" i="12"/>
  <c r="AL36" i="12"/>
  <c r="AM36" i="12"/>
  <c r="AN36" i="12"/>
  <c r="AO36" i="12"/>
  <c r="AP36" i="12"/>
  <c r="AQ36" i="12"/>
  <c r="AR36" i="12"/>
  <c r="AS36" i="12"/>
  <c r="AT36" i="12"/>
  <c r="AU36" i="12"/>
  <c r="AV36" i="12"/>
  <c r="AW36" i="12"/>
  <c r="AX36" i="12"/>
  <c r="AY36" i="12"/>
  <c r="AZ36" i="12"/>
  <c r="BA36" i="12"/>
  <c r="BB36" i="12"/>
  <c r="BC36" i="12"/>
  <c r="BD36" i="12"/>
  <c r="BF36" i="12"/>
  <c r="BG36" i="12"/>
  <c r="BH36" i="12"/>
  <c r="BI36" i="12"/>
  <c r="BJ36" i="12"/>
  <c r="BK36" i="12"/>
  <c r="BL36" i="12"/>
  <c r="BM36" i="12"/>
  <c r="BN36" i="12"/>
  <c r="BO36" i="12"/>
  <c r="BP36" i="12"/>
  <c r="BQ36" i="12"/>
  <c r="BR36" i="12"/>
  <c r="BS36" i="12"/>
  <c r="BT36" i="12"/>
  <c r="BU36" i="12"/>
  <c r="BV36" i="12"/>
  <c r="BW36" i="12"/>
  <c r="BX36" i="12"/>
  <c r="BY36" i="12"/>
  <c r="BZ36" i="12"/>
  <c r="CA36" i="12"/>
  <c r="CB36" i="12"/>
  <c r="CC36" i="12"/>
  <c r="CE36" i="12"/>
  <c r="CF36" i="12"/>
  <c r="CG36" i="12"/>
  <c r="CH36" i="12"/>
  <c r="CI36" i="12"/>
  <c r="CJ36" i="12"/>
  <c r="CK36" i="12"/>
  <c r="CL36" i="12"/>
  <c r="CM36" i="12"/>
  <c r="CN36" i="12"/>
  <c r="CO36" i="12"/>
  <c r="CP36" i="12"/>
  <c r="CQ36" i="12"/>
  <c r="CR36" i="12"/>
  <c r="CS36" i="12"/>
  <c r="CT36" i="12"/>
  <c r="CU36" i="12"/>
  <c r="CV36" i="12"/>
  <c r="CW36" i="12"/>
  <c r="CX36" i="12"/>
  <c r="CY36" i="12"/>
  <c r="CZ36" i="12"/>
  <c r="DA36" i="12"/>
  <c r="DB36" i="12"/>
  <c r="DH36" i="12"/>
  <c r="DI36" i="12"/>
  <c r="DJ36" i="12"/>
  <c r="H37" i="12"/>
  <c r="I37" i="12"/>
  <c r="J37" i="12"/>
  <c r="K37" i="12"/>
  <c r="L37" i="12"/>
  <c r="M37" i="12"/>
  <c r="N37" i="12"/>
  <c r="O37" i="12"/>
  <c r="P37" i="12"/>
  <c r="Q37" i="12"/>
  <c r="R37" i="12"/>
  <c r="S37" i="12"/>
  <c r="T37" i="12"/>
  <c r="U37" i="12"/>
  <c r="V37" i="12"/>
  <c r="W37" i="12"/>
  <c r="X37" i="12"/>
  <c r="Y37" i="12"/>
  <c r="Z37" i="12"/>
  <c r="AA37" i="12"/>
  <c r="AB37" i="12"/>
  <c r="AC37" i="12"/>
  <c r="AD37" i="12"/>
  <c r="AE37" i="12"/>
  <c r="AG37" i="12"/>
  <c r="AH37" i="12"/>
  <c r="AI37" i="12"/>
  <c r="AJ37" i="12"/>
  <c r="AK37" i="12"/>
  <c r="AL37" i="12"/>
  <c r="AM37" i="12"/>
  <c r="AN37" i="12"/>
  <c r="AO37" i="12"/>
  <c r="AP37" i="12"/>
  <c r="AQ37" i="12"/>
  <c r="AR37" i="12"/>
  <c r="AS37" i="12"/>
  <c r="AT37" i="12"/>
  <c r="AU37" i="12"/>
  <c r="AV37" i="12"/>
  <c r="AW37" i="12"/>
  <c r="AX37" i="12"/>
  <c r="AY37" i="12"/>
  <c r="AZ37" i="12"/>
  <c r="BA37" i="12"/>
  <c r="BB37" i="12"/>
  <c r="BC37" i="12"/>
  <c r="BD37" i="12"/>
  <c r="BF37" i="12"/>
  <c r="BG37" i="12"/>
  <c r="BH37" i="12"/>
  <c r="BI37" i="12"/>
  <c r="BJ37" i="12"/>
  <c r="BK37" i="12"/>
  <c r="BL37" i="12"/>
  <c r="BM37" i="12"/>
  <c r="BN37" i="12"/>
  <c r="BO37" i="12"/>
  <c r="BP37" i="12"/>
  <c r="BQ37" i="12"/>
  <c r="BR37" i="12"/>
  <c r="BS37" i="12"/>
  <c r="BT37" i="12"/>
  <c r="BU37" i="12"/>
  <c r="BV37" i="12"/>
  <c r="BW37" i="12"/>
  <c r="BX37" i="12"/>
  <c r="BY37" i="12"/>
  <c r="BZ37" i="12"/>
  <c r="CA37" i="12"/>
  <c r="CB37" i="12"/>
  <c r="CC37" i="12"/>
  <c r="CE37" i="12"/>
  <c r="CF37" i="12"/>
  <c r="CG37" i="12"/>
  <c r="CH37" i="12"/>
  <c r="CI37" i="12"/>
  <c r="CJ37" i="12"/>
  <c r="CK37" i="12"/>
  <c r="CL37" i="12"/>
  <c r="CM37" i="12"/>
  <c r="CN37" i="12"/>
  <c r="CO37" i="12"/>
  <c r="CP37" i="12"/>
  <c r="CQ37" i="12"/>
  <c r="CR37" i="12"/>
  <c r="CS37" i="12"/>
  <c r="CT37" i="12"/>
  <c r="CU37" i="12"/>
  <c r="CV37" i="12"/>
  <c r="CW37" i="12"/>
  <c r="CX37" i="12"/>
  <c r="CY37" i="12"/>
  <c r="CZ37" i="12"/>
  <c r="DA37" i="12"/>
  <c r="DB37" i="12"/>
  <c r="DH37" i="12"/>
  <c r="DI37" i="12"/>
  <c r="DJ37" i="12"/>
  <c r="H38" i="12"/>
  <c r="I38" i="12"/>
  <c r="J38" i="12"/>
  <c r="K38" i="12"/>
  <c r="L38" i="12"/>
  <c r="M38" i="12"/>
  <c r="N38" i="12"/>
  <c r="O38" i="12"/>
  <c r="P38" i="12"/>
  <c r="Q38" i="12"/>
  <c r="R38" i="12"/>
  <c r="S38" i="12"/>
  <c r="T38" i="12"/>
  <c r="U38" i="12"/>
  <c r="V38" i="12"/>
  <c r="W38" i="12"/>
  <c r="X38" i="12"/>
  <c r="Y38" i="12"/>
  <c r="Z38" i="12"/>
  <c r="AA38" i="12"/>
  <c r="AB38" i="12"/>
  <c r="AC38" i="12"/>
  <c r="AD38" i="12"/>
  <c r="AE38" i="12"/>
  <c r="AG38" i="12"/>
  <c r="AH38" i="12"/>
  <c r="AI38" i="12"/>
  <c r="AJ38" i="12"/>
  <c r="AK38" i="12"/>
  <c r="AL38" i="12"/>
  <c r="AM38" i="12"/>
  <c r="AN38" i="12"/>
  <c r="AO38" i="12"/>
  <c r="AP38" i="12"/>
  <c r="AQ38" i="12"/>
  <c r="AR38" i="12"/>
  <c r="AS38" i="12"/>
  <c r="AT38" i="12"/>
  <c r="AU38" i="12"/>
  <c r="AV38" i="12"/>
  <c r="AW38" i="12"/>
  <c r="AX38" i="12"/>
  <c r="AY38" i="12"/>
  <c r="AZ38" i="12"/>
  <c r="BA38" i="12"/>
  <c r="BB38" i="12"/>
  <c r="BC38" i="12"/>
  <c r="BD38" i="12"/>
  <c r="BF38" i="12"/>
  <c r="BG38" i="12"/>
  <c r="BH38" i="12"/>
  <c r="BI38" i="12"/>
  <c r="BJ38" i="12"/>
  <c r="BK38" i="12"/>
  <c r="BL38" i="12"/>
  <c r="BM38" i="12"/>
  <c r="BN38" i="12"/>
  <c r="BO38" i="12"/>
  <c r="BP38" i="12"/>
  <c r="BQ38" i="12"/>
  <c r="BR38" i="12"/>
  <c r="BS38" i="12"/>
  <c r="BT38" i="12"/>
  <c r="BU38" i="12"/>
  <c r="BV38" i="12"/>
  <c r="BW38" i="12"/>
  <c r="BX38" i="12"/>
  <c r="BY38" i="12"/>
  <c r="BZ38" i="12"/>
  <c r="CA38" i="12"/>
  <c r="CB38" i="12"/>
  <c r="CC38" i="12"/>
  <c r="CE38" i="12"/>
  <c r="CF38" i="12"/>
  <c r="CG38" i="12"/>
  <c r="CH38" i="12"/>
  <c r="CI38" i="12"/>
  <c r="CJ38" i="12"/>
  <c r="CK38" i="12"/>
  <c r="CL38" i="12"/>
  <c r="CM38" i="12"/>
  <c r="CN38" i="12"/>
  <c r="CO38" i="12"/>
  <c r="CP38" i="12"/>
  <c r="CQ38" i="12"/>
  <c r="CR38" i="12"/>
  <c r="CS38" i="12"/>
  <c r="CT38" i="12"/>
  <c r="CU38" i="12"/>
  <c r="CV38" i="12"/>
  <c r="CW38" i="12"/>
  <c r="CX38" i="12"/>
  <c r="CY38" i="12"/>
  <c r="CZ38" i="12"/>
  <c r="DA38" i="12"/>
  <c r="DB38" i="12"/>
  <c r="DH38" i="12"/>
  <c r="DI38" i="12"/>
  <c r="DJ38" i="12"/>
  <c r="H39" i="12"/>
  <c r="I39" i="12"/>
  <c r="J39" i="12"/>
  <c r="K39" i="12"/>
  <c r="L39" i="12"/>
  <c r="M39" i="12"/>
  <c r="N39" i="12"/>
  <c r="O39" i="12"/>
  <c r="P39" i="12"/>
  <c r="Q39" i="12"/>
  <c r="R39" i="12"/>
  <c r="S39" i="12"/>
  <c r="T39" i="12"/>
  <c r="U39" i="12"/>
  <c r="V39" i="12"/>
  <c r="W39" i="12"/>
  <c r="X39" i="12"/>
  <c r="Y39" i="12"/>
  <c r="Z39" i="12"/>
  <c r="AA39" i="12"/>
  <c r="AB39" i="12"/>
  <c r="AC39" i="12"/>
  <c r="AD39" i="12"/>
  <c r="AE39" i="12"/>
  <c r="AG39" i="12"/>
  <c r="AH39" i="12"/>
  <c r="AI39" i="12"/>
  <c r="AJ39" i="12"/>
  <c r="AK39" i="12"/>
  <c r="AL39" i="12"/>
  <c r="AM39" i="12"/>
  <c r="AN39" i="12"/>
  <c r="AO39" i="12"/>
  <c r="AP39" i="12"/>
  <c r="AQ39" i="12"/>
  <c r="AR39" i="12"/>
  <c r="AS39" i="12"/>
  <c r="AT39" i="12"/>
  <c r="AU39" i="12"/>
  <c r="AV39" i="12"/>
  <c r="AW39" i="12"/>
  <c r="AX39" i="12"/>
  <c r="AY39" i="12"/>
  <c r="AZ39" i="12"/>
  <c r="BA39" i="12"/>
  <c r="BB39" i="12"/>
  <c r="BC39" i="12"/>
  <c r="BD39" i="12"/>
  <c r="BF39" i="12"/>
  <c r="BG39" i="12"/>
  <c r="BH39" i="12"/>
  <c r="BI39" i="12"/>
  <c r="BJ39" i="12"/>
  <c r="BK39" i="12"/>
  <c r="BL39" i="12"/>
  <c r="BM39" i="12"/>
  <c r="BN39" i="12"/>
  <c r="BO39" i="12"/>
  <c r="BP39" i="12"/>
  <c r="BQ39" i="12"/>
  <c r="BR39" i="12"/>
  <c r="BS39" i="12"/>
  <c r="BT39" i="12"/>
  <c r="BU39" i="12"/>
  <c r="BV39" i="12"/>
  <c r="BW39" i="12"/>
  <c r="BX39" i="12"/>
  <c r="BY39" i="12"/>
  <c r="BZ39" i="12"/>
  <c r="CA39" i="12"/>
  <c r="CB39" i="12"/>
  <c r="CC39" i="12"/>
  <c r="CE39" i="12"/>
  <c r="CF39" i="12"/>
  <c r="CG39" i="12"/>
  <c r="CH39" i="12"/>
  <c r="CI39" i="12"/>
  <c r="CJ39" i="12"/>
  <c r="CK39" i="12"/>
  <c r="CL39" i="12"/>
  <c r="CM39" i="12"/>
  <c r="CN39" i="12"/>
  <c r="CO39" i="12"/>
  <c r="CP39" i="12"/>
  <c r="CQ39" i="12"/>
  <c r="CR39" i="12"/>
  <c r="CS39" i="12"/>
  <c r="CT39" i="12"/>
  <c r="CU39" i="12"/>
  <c r="CV39" i="12"/>
  <c r="CW39" i="12"/>
  <c r="CX39" i="12"/>
  <c r="CY39" i="12"/>
  <c r="CZ39" i="12"/>
  <c r="DA39" i="12"/>
  <c r="DB39" i="12"/>
  <c r="DH39" i="12"/>
  <c r="DI39" i="12"/>
  <c r="DJ39" i="12"/>
  <c r="H40" i="12"/>
  <c r="I40" i="12"/>
  <c r="J40" i="12"/>
  <c r="K40" i="12"/>
  <c r="L40" i="12"/>
  <c r="M40" i="12"/>
  <c r="N40" i="12"/>
  <c r="O40" i="12"/>
  <c r="P40" i="12"/>
  <c r="Q40" i="12"/>
  <c r="R40" i="12"/>
  <c r="S40" i="12"/>
  <c r="T40" i="12"/>
  <c r="U40" i="12"/>
  <c r="V40" i="12"/>
  <c r="W40" i="12"/>
  <c r="X40" i="12"/>
  <c r="Y40" i="12"/>
  <c r="Z40" i="12"/>
  <c r="AA40" i="12"/>
  <c r="AB40" i="12"/>
  <c r="AC40" i="12"/>
  <c r="AD40" i="12"/>
  <c r="AE40" i="12"/>
  <c r="AG40" i="12"/>
  <c r="AH40" i="12"/>
  <c r="AI40" i="12"/>
  <c r="AJ40" i="12"/>
  <c r="AK40" i="12"/>
  <c r="AL40" i="12"/>
  <c r="AM40" i="12"/>
  <c r="AN40" i="12"/>
  <c r="AO40" i="12"/>
  <c r="AP40" i="12"/>
  <c r="AQ40" i="12"/>
  <c r="AR40" i="12"/>
  <c r="AS40" i="12"/>
  <c r="AT40" i="12"/>
  <c r="AU40" i="12"/>
  <c r="AV40" i="12"/>
  <c r="AW40" i="12"/>
  <c r="AX40" i="12"/>
  <c r="AY40" i="12"/>
  <c r="AZ40" i="12"/>
  <c r="BA40" i="12"/>
  <c r="BB40" i="12"/>
  <c r="BC40" i="12"/>
  <c r="BD40" i="12"/>
  <c r="BF40" i="12"/>
  <c r="BG40" i="12"/>
  <c r="BH40" i="12"/>
  <c r="BI40" i="12"/>
  <c r="BJ40" i="12"/>
  <c r="BK40" i="12"/>
  <c r="BL40" i="12"/>
  <c r="BM40" i="12"/>
  <c r="BN40" i="12"/>
  <c r="BO40" i="12"/>
  <c r="BP40" i="12"/>
  <c r="BQ40" i="12"/>
  <c r="BR40" i="12"/>
  <c r="BS40" i="12"/>
  <c r="BT40" i="12"/>
  <c r="BU40" i="12"/>
  <c r="BV40" i="12"/>
  <c r="BW40" i="12"/>
  <c r="BX40" i="12"/>
  <c r="BY40" i="12"/>
  <c r="BZ40" i="12"/>
  <c r="CA40" i="12"/>
  <c r="CB40" i="12"/>
  <c r="CC40" i="12"/>
  <c r="CE40" i="12"/>
  <c r="CF40" i="12"/>
  <c r="CG40" i="12"/>
  <c r="CH40" i="12"/>
  <c r="CI40" i="12"/>
  <c r="CJ40" i="12"/>
  <c r="CK40" i="12"/>
  <c r="CL40" i="12"/>
  <c r="CM40" i="12"/>
  <c r="CN40" i="12"/>
  <c r="CO40" i="12"/>
  <c r="CP40" i="12"/>
  <c r="CQ40" i="12"/>
  <c r="CR40" i="12"/>
  <c r="CS40" i="12"/>
  <c r="CT40" i="12"/>
  <c r="CU40" i="12"/>
  <c r="CV40" i="12"/>
  <c r="CW40" i="12"/>
  <c r="CX40" i="12"/>
  <c r="CY40" i="12"/>
  <c r="CZ40" i="12"/>
  <c r="DA40" i="12"/>
  <c r="DB40" i="12"/>
  <c r="DH40" i="12"/>
  <c r="DI40" i="12"/>
  <c r="DJ40" i="12"/>
  <c r="H41" i="12"/>
  <c r="I41" i="12"/>
  <c r="J41" i="12"/>
  <c r="K41" i="12"/>
  <c r="L41" i="12"/>
  <c r="M41" i="12"/>
  <c r="N41" i="12"/>
  <c r="O41" i="12"/>
  <c r="P41" i="12"/>
  <c r="Q41" i="12"/>
  <c r="R41" i="12"/>
  <c r="S41" i="12"/>
  <c r="T41" i="12"/>
  <c r="U41" i="12"/>
  <c r="V41" i="12"/>
  <c r="W41" i="12"/>
  <c r="X41" i="12"/>
  <c r="Y41" i="12"/>
  <c r="Z41" i="12"/>
  <c r="AA41" i="12"/>
  <c r="AB41" i="12"/>
  <c r="AC41" i="12"/>
  <c r="AD41" i="12"/>
  <c r="AE41" i="12"/>
  <c r="AG41" i="12"/>
  <c r="AH41" i="12"/>
  <c r="AI41" i="12"/>
  <c r="AJ41" i="12"/>
  <c r="AK41" i="12"/>
  <c r="AL41" i="12"/>
  <c r="AM41" i="12"/>
  <c r="AN41" i="12"/>
  <c r="AO41" i="12"/>
  <c r="AP41" i="12"/>
  <c r="AQ41" i="12"/>
  <c r="AR41" i="12"/>
  <c r="AS41" i="12"/>
  <c r="AT41" i="12"/>
  <c r="AU41" i="12"/>
  <c r="AV41" i="12"/>
  <c r="AW41" i="12"/>
  <c r="AX41" i="12"/>
  <c r="AY41" i="12"/>
  <c r="AZ41" i="12"/>
  <c r="BA41" i="12"/>
  <c r="BB41" i="12"/>
  <c r="BC41" i="12"/>
  <c r="BD41" i="12"/>
  <c r="BF41" i="12"/>
  <c r="BG41" i="12"/>
  <c r="BH41" i="12"/>
  <c r="BI41" i="12"/>
  <c r="BJ41" i="12"/>
  <c r="BK41" i="12"/>
  <c r="BL41" i="12"/>
  <c r="BM41" i="12"/>
  <c r="BN41" i="12"/>
  <c r="BO41" i="12"/>
  <c r="BP41" i="12"/>
  <c r="BQ41" i="12"/>
  <c r="BR41" i="12"/>
  <c r="BS41" i="12"/>
  <c r="BT41" i="12"/>
  <c r="BU41" i="12"/>
  <c r="BV41" i="12"/>
  <c r="BW41" i="12"/>
  <c r="BX41" i="12"/>
  <c r="BY41" i="12"/>
  <c r="BZ41" i="12"/>
  <c r="CA41" i="12"/>
  <c r="CB41" i="12"/>
  <c r="CC41" i="12"/>
  <c r="CE41" i="12"/>
  <c r="CF41" i="12"/>
  <c r="CG41" i="12"/>
  <c r="CH41" i="12"/>
  <c r="CI41" i="12"/>
  <c r="CJ41" i="12"/>
  <c r="CK41" i="12"/>
  <c r="CL41" i="12"/>
  <c r="CM41" i="12"/>
  <c r="CN41" i="12"/>
  <c r="CO41" i="12"/>
  <c r="CP41" i="12"/>
  <c r="CQ41" i="12"/>
  <c r="CR41" i="12"/>
  <c r="CS41" i="12"/>
  <c r="CT41" i="12"/>
  <c r="CU41" i="12"/>
  <c r="CV41" i="12"/>
  <c r="CW41" i="12"/>
  <c r="CX41" i="12"/>
  <c r="CY41" i="12"/>
  <c r="CZ41" i="12"/>
  <c r="DA41" i="12"/>
  <c r="DB41" i="12"/>
  <c r="DH41" i="12"/>
  <c r="DI41" i="12"/>
  <c r="DJ41" i="12"/>
  <c r="H42" i="12"/>
  <c r="I42" i="12"/>
  <c r="J42" i="12"/>
  <c r="K42" i="12"/>
  <c r="L42" i="12"/>
  <c r="M42" i="12"/>
  <c r="N42" i="12"/>
  <c r="O42" i="12"/>
  <c r="P42" i="12"/>
  <c r="Q42" i="12"/>
  <c r="R42" i="12"/>
  <c r="S42" i="12"/>
  <c r="T42" i="12"/>
  <c r="U42" i="12"/>
  <c r="V42" i="12"/>
  <c r="W42" i="12"/>
  <c r="X42" i="12"/>
  <c r="Y42" i="12"/>
  <c r="Z42" i="12"/>
  <c r="AA42" i="12"/>
  <c r="AB42" i="12"/>
  <c r="AC42" i="12"/>
  <c r="AD42" i="12"/>
  <c r="AE42" i="12"/>
  <c r="AG42" i="12"/>
  <c r="AH42" i="12"/>
  <c r="AI42" i="12"/>
  <c r="AJ42" i="12"/>
  <c r="AK42" i="12"/>
  <c r="AL42" i="12"/>
  <c r="AM42" i="12"/>
  <c r="AN42" i="12"/>
  <c r="AO42" i="12"/>
  <c r="AP42" i="12"/>
  <c r="AQ42" i="12"/>
  <c r="AR42" i="12"/>
  <c r="AS42" i="12"/>
  <c r="AT42" i="12"/>
  <c r="AU42" i="12"/>
  <c r="AV42" i="12"/>
  <c r="AW42" i="12"/>
  <c r="AX42" i="12"/>
  <c r="AY42" i="12"/>
  <c r="AZ42" i="12"/>
  <c r="BA42" i="12"/>
  <c r="BB42" i="12"/>
  <c r="BC42" i="12"/>
  <c r="BD42" i="12"/>
  <c r="BF42" i="12"/>
  <c r="BG42" i="12"/>
  <c r="BH42" i="12"/>
  <c r="BI42" i="12"/>
  <c r="BJ42" i="12"/>
  <c r="BK42" i="12"/>
  <c r="BL42" i="12"/>
  <c r="BM42" i="12"/>
  <c r="BN42" i="12"/>
  <c r="BO42" i="12"/>
  <c r="BP42" i="12"/>
  <c r="BQ42" i="12"/>
  <c r="BR42" i="12"/>
  <c r="BS42" i="12"/>
  <c r="BT42" i="12"/>
  <c r="BU42" i="12"/>
  <c r="BV42" i="12"/>
  <c r="BW42" i="12"/>
  <c r="BX42" i="12"/>
  <c r="BY42" i="12"/>
  <c r="BZ42" i="12"/>
  <c r="CA42" i="12"/>
  <c r="CB42" i="12"/>
  <c r="CC42" i="12"/>
  <c r="CE42" i="12"/>
  <c r="CF42" i="12"/>
  <c r="CG42" i="12"/>
  <c r="CH42" i="12"/>
  <c r="CI42" i="12"/>
  <c r="CJ42" i="12"/>
  <c r="CK42" i="12"/>
  <c r="CL42" i="12"/>
  <c r="CM42" i="12"/>
  <c r="CN42" i="12"/>
  <c r="CO42" i="12"/>
  <c r="CP42" i="12"/>
  <c r="CQ42" i="12"/>
  <c r="CR42" i="12"/>
  <c r="CS42" i="12"/>
  <c r="CT42" i="12"/>
  <c r="CU42" i="12"/>
  <c r="CV42" i="12"/>
  <c r="CW42" i="12"/>
  <c r="CX42" i="12"/>
  <c r="CY42" i="12"/>
  <c r="CZ42" i="12"/>
  <c r="DA42" i="12"/>
  <c r="DB42" i="12"/>
  <c r="DH42" i="12"/>
  <c r="DI42" i="12"/>
  <c r="DJ42" i="12"/>
  <c r="H43" i="12"/>
  <c r="I43" i="12"/>
  <c r="J43" i="12"/>
  <c r="K43" i="12"/>
  <c r="L43" i="12"/>
  <c r="M43" i="12"/>
  <c r="N43" i="12"/>
  <c r="O43" i="12"/>
  <c r="P43" i="12"/>
  <c r="Q43" i="12"/>
  <c r="R43" i="12"/>
  <c r="S43" i="12"/>
  <c r="T43" i="12"/>
  <c r="U43" i="12"/>
  <c r="V43" i="12"/>
  <c r="W43" i="12"/>
  <c r="X43" i="12"/>
  <c r="Y43" i="12"/>
  <c r="Z43" i="12"/>
  <c r="AA43" i="12"/>
  <c r="AB43" i="12"/>
  <c r="AC43" i="12"/>
  <c r="AD43" i="12"/>
  <c r="AE43" i="12"/>
  <c r="AG43" i="12"/>
  <c r="AH43" i="12"/>
  <c r="AI43" i="12"/>
  <c r="AJ43" i="12"/>
  <c r="AK43" i="12"/>
  <c r="AL43" i="12"/>
  <c r="AM43" i="12"/>
  <c r="AN43" i="12"/>
  <c r="AO43" i="12"/>
  <c r="AP43" i="12"/>
  <c r="AQ43" i="12"/>
  <c r="AR43" i="12"/>
  <c r="AS43" i="12"/>
  <c r="AT43" i="12"/>
  <c r="AU43" i="12"/>
  <c r="AV43" i="12"/>
  <c r="AW43" i="12"/>
  <c r="AX43" i="12"/>
  <c r="AY43" i="12"/>
  <c r="AZ43" i="12"/>
  <c r="BA43" i="12"/>
  <c r="BB43" i="12"/>
  <c r="BC43" i="12"/>
  <c r="BD43" i="12"/>
  <c r="BF43" i="12"/>
  <c r="BG43" i="12"/>
  <c r="BH43" i="12"/>
  <c r="BI43" i="12"/>
  <c r="BJ43" i="12"/>
  <c r="BK43" i="12"/>
  <c r="BL43" i="12"/>
  <c r="BM43" i="12"/>
  <c r="BN43" i="12"/>
  <c r="BO43" i="12"/>
  <c r="BP43" i="12"/>
  <c r="BQ43" i="12"/>
  <c r="BR43" i="12"/>
  <c r="BS43" i="12"/>
  <c r="BT43" i="12"/>
  <c r="BU43" i="12"/>
  <c r="BV43" i="12"/>
  <c r="BW43" i="12"/>
  <c r="BX43" i="12"/>
  <c r="BY43" i="12"/>
  <c r="BZ43" i="12"/>
  <c r="CA43" i="12"/>
  <c r="CB43" i="12"/>
  <c r="CC43" i="12"/>
  <c r="CE43" i="12"/>
  <c r="CF43" i="12"/>
  <c r="CG43" i="12"/>
  <c r="CH43" i="12"/>
  <c r="CI43" i="12"/>
  <c r="CJ43" i="12"/>
  <c r="CK43" i="12"/>
  <c r="CL43" i="12"/>
  <c r="CM43" i="12"/>
  <c r="CN43" i="12"/>
  <c r="CO43" i="12"/>
  <c r="CP43" i="12"/>
  <c r="CQ43" i="12"/>
  <c r="CR43" i="12"/>
  <c r="CS43" i="12"/>
  <c r="CT43" i="12"/>
  <c r="CU43" i="12"/>
  <c r="CV43" i="12"/>
  <c r="CW43" i="12"/>
  <c r="CX43" i="12"/>
  <c r="CY43" i="12"/>
  <c r="CZ43" i="12"/>
  <c r="DA43" i="12"/>
  <c r="DB43" i="12"/>
  <c r="DH43" i="12"/>
  <c r="DI43" i="12"/>
  <c r="DJ43" i="12"/>
  <c r="H44" i="12"/>
  <c r="I44" i="12"/>
  <c r="J44" i="12"/>
  <c r="K44" i="12"/>
  <c r="L44" i="12"/>
  <c r="M44" i="12"/>
  <c r="N44" i="12"/>
  <c r="O44" i="12"/>
  <c r="P44" i="12"/>
  <c r="Q44" i="12"/>
  <c r="R44" i="12"/>
  <c r="S44" i="12"/>
  <c r="T44" i="12"/>
  <c r="U44" i="12"/>
  <c r="V44" i="12"/>
  <c r="W44" i="12"/>
  <c r="X44" i="12"/>
  <c r="Y44" i="12"/>
  <c r="Z44" i="12"/>
  <c r="AA44" i="12"/>
  <c r="AB44" i="12"/>
  <c r="AC44" i="12"/>
  <c r="AD44" i="12"/>
  <c r="AE44" i="12"/>
  <c r="AG44" i="12"/>
  <c r="AH44" i="12"/>
  <c r="AI44" i="12"/>
  <c r="AJ44" i="12"/>
  <c r="AK44" i="12"/>
  <c r="AL44" i="12"/>
  <c r="AM44" i="12"/>
  <c r="AN44" i="12"/>
  <c r="AO44" i="12"/>
  <c r="AP44" i="12"/>
  <c r="AQ44" i="12"/>
  <c r="AR44" i="12"/>
  <c r="AS44" i="12"/>
  <c r="AT44" i="12"/>
  <c r="AU44" i="12"/>
  <c r="AV44" i="12"/>
  <c r="AW44" i="12"/>
  <c r="AX44" i="12"/>
  <c r="AY44" i="12"/>
  <c r="AZ44" i="12"/>
  <c r="BA44" i="12"/>
  <c r="BB44" i="12"/>
  <c r="BC44" i="12"/>
  <c r="BD44" i="12"/>
  <c r="BF44" i="12"/>
  <c r="BG44" i="12"/>
  <c r="BH44" i="12"/>
  <c r="BI44" i="12"/>
  <c r="BJ44" i="12"/>
  <c r="BK44" i="12"/>
  <c r="BL44" i="12"/>
  <c r="BM44" i="12"/>
  <c r="BN44" i="12"/>
  <c r="BO44" i="12"/>
  <c r="BP44" i="12"/>
  <c r="BQ44" i="12"/>
  <c r="BR44" i="12"/>
  <c r="BS44" i="12"/>
  <c r="BT44" i="12"/>
  <c r="BU44" i="12"/>
  <c r="BV44" i="12"/>
  <c r="BW44" i="12"/>
  <c r="BX44" i="12"/>
  <c r="BY44" i="12"/>
  <c r="BZ44" i="12"/>
  <c r="CA44" i="12"/>
  <c r="CB44" i="12"/>
  <c r="CC44" i="12"/>
  <c r="CE44" i="12"/>
  <c r="CF44" i="12"/>
  <c r="CG44" i="12"/>
  <c r="CH44" i="12"/>
  <c r="CI44" i="12"/>
  <c r="CJ44" i="12"/>
  <c r="CK44" i="12"/>
  <c r="CL44" i="12"/>
  <c r="CM44" i="12"/>
  <c r="CN44" i="12"/>
  <c r="CO44" i="12"/>
  <c r="CP44" i="12"/>
  <c r="CQ44" i="12"/>
  <c r="CR44" i="12"/>
  <c r="CS44" i="12"/>
  <c r="CT44" i="12"/>
  <c r="CU44" i="12"/>
  <c r="CV44" i="12"/>
  <c r="CW44" i="12"/>
  <c r="CX44" i="12"/>
  <c r="CY44" i="12"/>
  <c r="CZ44" i="12"/>
  <c r="DA44" i="12"/>
  <c r="DB44" i="12"/>
  <c r="DH44" i="12"/>
  <c r="DI44" i="12"/>
  <c r="DJ44" i="12"/>
  <c r="H45" i="12"/>
  <c r="I45" i="12"/>
  <c r="J45" i="12"/>
  <c r="K45" i="12"/>
  <c r="L45" i="12"/>
  <c r="M45" i="12"/>
  <c r="N45" i="12"/>
  <c r="O45" i="12"/>
  <c r="P45" i="12"/>
  <c r="Q45" i="12"/>
  <c r="R45" i="12"/>
  <c r="S45" i="12"/>
  <c r="T45" i="12"/>
  <c r="U45" i="12"/>
  <c r="V45" i="12"/>
  <c r="W45" i="12"/>
  <c r="X45" i="12"/>
  <c r="Y45" i="12"/>
  <c r="Z45" i="12"/>
  <c r="AA45" i="12"/>
  <c r="AB45" i="12"/>
  <c r="AC45" i="12"/>
  <c r="AD45" i="12"/>
  <c r="AE45" i="12"/>
  <c r="AG45" i="12"/>
  <c r="AH45" i="12"/>
  <c r="AI45" i="12"/>
  <c r="AJ45" i="12"/>
  <c r="AK45" i="12"/>
  <c r="AL45" i="12"/>
  <c r="AM45" i="12"/>
  <c r="AN45" i="12"/>
  <c r="AO45" i="12"/>
  <c r="AP45" i="12"/>
  <c r="AQ45" i="12"/>
  <c r="AR45" i="12"/>
  <c r="AS45" i="12"/>
  <c r="AT45" i="12"/>
  <c r="AU45" i="12"/>
  <c r="AV45" i="12"/>
  <c r="AW45" i="12"/>
  <c r="AX45" i="12"/>
  <c r="AY45" i="12"/>
  <c r="AZ45" i="12"/>
  <c r="BA45" i="12"/>
  <c r="BB45" i="12"/>
  <c r="BC45" i="12"/>
  <c r="BD45" i="12"/>
  <c r="BF45" i="12"/>
  <c r="BG45" i="12"/>
  <c r="BH45" i="12"/>
  <c r="BI45" i="12"/>
  <c r="BJ45" i="12"/>
  <c r="BK45" i="12"/>
  <c r="BL45" i="12"/>
  <c r="BM45" i="12"/>
  <c r="BN45" i="12"/>
  <c r="BO45" i="12"/>
  <c r="BP45" i="12"/>
  <c r="BQ45" i="12"/>
  <c r="BR45" i="12"/>
  <c r="BS45" i="12"/>
  <c r="BT45" i="12"/>
  <c r="BU45" i="12"/>
  <c r="BV45" i="12"/>
  <c r="BW45" i="12"/>
  <c r="BX45" i="12"/>
  <c r="BY45" i="12"/>
  <c r="BZ45" i="12"/>
  <c r="CA45" i="12"/>
  <c r="CB45" i="12"/>
  <c r="CC45" i="12"/>
  <c r="CE45" i="12"/>
  <c r="CF45" i="12"/>
  <c r="CG45" i="12"/>
  <c r="CH45" i="12"/>
  <c r="CI45" i="12"/>
  <c r="CJ45" i="12"/>
  <c r="CK45" i="12"/>
  <c r="CL45" i="12"/>
  <c r="CM45" i="12"/>
  <c r="CN45" i="12"/>
  <c r="CO45" i="12"/>
  <c r="CP45" i="12"/>
  <c r="CQ45" i="12"/>
  <c r="CR45" i="12"/>
  <c r="CS45" i="12"/>
  <c r="CT45" i="12"/>
  <c r="CU45" i="12"/>
  <c r="CV45" i="12"/>
  <c r="CW45" i="12"/>
  <c r="CX45" i="12"/>
  <c r="CY45" i="12"/>
  <c r="CZ45" i="12"/>
  <c r="DA45" i="12"/>
  <c r="DB45" i="12"/>
  <c r="DH45" i="12"/>
  <c r="DI45" i="12"/>
  <c r="DJ45" i="12"/>
  <c r="H46" i="12"/>
  <c r="I46" i="12"/>
  <c r="J46" i="12"/>
  <c r="K46" i="12"/>
  <c r="L46" i="12"/>
  <c r="M46" i="12"/>
  <c r="N46" i="12"/>
  <c r="O46" i="12"/>
  <c r="P46" i="12"/>
  <c r="Q46" i="12"/>
  <c r="R46" i="12"/>
  <c r="S46" i="12"/>
  <c r="T46" i="12"/>
  <c r="U46" i="12"/>
  <c r="V46" i="12"/>
  <c r="W46" i="12"/>
  <c r="X46" i="12"/>
  <c r="Y46" i="12"/>
  <c r="Z46" i="12"/>
  <c r="AA46" i="12"/>
  <c r="AB46" i="12"/>
  <c r="AC46" i="12"/>
  <c r="AD46" i="12"/>
  <c r="AE46" i="12"/>
  <c r="AG46" i="12"/>
  <c r="AH46" i="12"/>
  <c r="AI46" i="12"/>
  <c r="AJ46" i="12"/>
  <c r="AK46" i="12"/>
  <c r="AL46" i="12"/>
  <c r="AM46" i="12"/>
  <c r="AN46" i="12"/>
  <c r="AO46" i="12"/>
  <c r="AP46" i="12"/>
  <c r="AQ46" i="12"/>
  <c r="AR46" i="12"/>
  <c r="AS46" i="12"/>
  <c r="AT46" i="12"/>
  <c r="AU46" i="12"/>
  <c r="AV46" i="12"/>
  <c r="AW46" i="12"/>
  <c r="AX46" i="12"/>
  <c r="AY46" i="12"/>
  <c r="AZ46" i="12"/>
  <c r="BA46" i="12"/>
  <c r="BB46" i="12"/>
  <c r="BC46" i="12"/>
  <c r="BD46" i="12"/>
  <c r="BF46" i="12"/>
  <c r="BG46" i="12"/>
  <c r="BH46" i="12"/>
  <c r="BI46" i="12"/>
  <c r="BJ46" i="12"/>
  <c r="BK46" i="12"/>
  <c r="BL46" i="12"/>
  <c r="BM46" i="12"/>
  <c r="BN46" i="12"/>
  <c r="BO46" i="12"/>
  <c r="BP46" i="12"/>
  <c r="BQ46" i="12"/>
  <c r="BR46" i="12"/>
  <c r="BS46" i="12"/>
  <c r="BT46" i="12"/>
  <c r="BU46" i="12"/>
  <c r="BV46" i="12"/>
  <c r="BW46" i="12"/>
  <c r="BX46" i="12"/>
  <c r="BY46" i="12"/>
  <c r="BZ46" i="12"/>
  <c r="CA46" i="12"/>
  <c r="CB46" i="12"/>
  <c r="CC46" i="12"/>
  <c r="CE46" i="12"/>
  <c r="CF46" i="12"/>
  <c r="CG46" i="12"/>
  <c r="CH46" i="12"/>
  <c r="CI46" i="12"/>
  <c r="CJ46" i="12"/>
  <c r="CK46" i="12"/>
  <c r="CL46" i="12"/>
  <c r="CM46" i="12"/>
  <c r="CN46" i="12"/>
  <c r="CO46" i="12"/>
  <c r="CP46" i="12"/>
  <c r="CQ46" i="12"/>
  <c r="CR46" i="12"/>
  <c r="CS46" i="12"/>
  <c r="CT46" i="12"/>
  <c r="CU46" i="12"/>
  <c r="CV46" i="12"/>
  <c r="CW46" i="12"/>
  <c r="CX46" i="12"/>
  <c r="CY46" i="12"/>
  <c r="CZ46" i="12"/>
  <c r="DA46" i="12"/>
  <c r="DB46" i="12"/>
  <c r="DH46" i="12"/>
  <c r="DI46" i="12"/>
  <c r="DJ46" i="12"/>
  <c r="H47" i="12"/>
  <c r="I47" i="12"/>
  <c r="J47" i="12"/>
  <c r="K47" i="12"/>
  <c r="L47" i="12"/>
  <c r="M47" i="12"/>
  <c r="N47" i="12"/>
  <c r="O47" i="12"/>
  <c r="P47" i="12"/>
  <c r="Q47" i="12"/>
  <c r="R47" i="12"/>
  <c r="S47" i="12"/>
  <c r="T47" i="12"/>
  <c r="U47" i="12"/>
  <c r="V47" i="12"/>
  <c r="W47" i="12"/>
  <c r="X47" i="12"/>
  <c r="Y47" i="12"/>
  <c r="Z47" i="12"/>
  <c r="AA47" i="12"/>
  <c r="AB47" i="12"/>
  <c r="AC47" i="12"/>
  <c r="AD47" i="12"/>
  <c r="AE47" i="12"/>
  <c r="AG47" i="12"/>
  <c r="AH47" i="12"/>
  <c r="AI47" i="12"/>
  <c r="AJ47" i="12"/>
  <c r="AK47" i="12"/>
  <c r="AL47" i="12"/>
  <c r="AM47" i="12"/>
  <c r="AN47" i="12"/>
  <c r="AO47" i="12"/>
  <c r="AP47" i="12"/>
  <c r="AQ47" i="12"/>
  <c r="AR47" i="12"/>
  <c r="AS47" i="12"/>
  <c r="AT47" i="12"/>
  <c r="AU47" i="12"/>
  <c r="AV47" i="12"/>
  <c r="AW47" i="12"/>
  <c r="AX47" i="12"/>
  <c r="AY47" i="12"/>
  <c r="AZ47" i="12"/>
  <c r="BA47" i="12"/>
  <c r="BB47" i="12"/>
  <c r="BC47" i="12"/>
  <c r="BD47" i="12"/>
  <c r="BF47" i="12"/>
  <c r="BG47" i="12"/>
  <c r="BH47" i="12"/>
  <c r="BI47" i="12"/>
  <c r="BJ47" i="12"/>
  <c r="BK47" i="12"/>
  <c r="BL47" i="12"/>
  <c r="BM47" i="12"/>
  <c r="BN47" i="12"/>
  <c r="BO47" i="12"/>
  <c r="BP47" i="12"/>
  <c r="BQ47" i="12"/>
  <c r="BR47" i="12"/>
  <c r="BS47" i="12"/>
  <c r="BT47" i="12"/>
  <c r="BU47" i="12"/>
  <c r="BV47" i="12"/>
  <c r="BW47" i="12"/>
  <c r="BX47" i="12"/>
  <c r="BY47" i="12"/>
  <c r="BZ47" i="12"/>
  <c r="CA47" i="12"/>
  <c r="CB47" i="12"/>
  <c r="CC47" i="12"/>
  <c r="CE47" i="12"/>
  <c r="CF47" i="12"/>
  <c r="CG47" i="12"/>
  <c r="CH47" i="12"/>
  <c r="CI47" i="12"/>
  <c r="CJ47" i="12"/>
  <c r="CK47" i="12"/>
  <c r="CL47" i="12"/>
  <c r="CM47" i="12"/>
  <c r="CN47" i="12"/>
  <c r="CO47" i="12"/>
  <c r="CP47" i="12"/>
  <c r="CQ47" i="12"/>
  <c r="CR47" i="12"/>
  <c r="CS47" i="12"/>
  <c r="CT47" i="12"/>
  <c r="CU47" i="12"/>
  <c r="CV47" i="12"/>
  <c r="CW47" i="12"/>
  <c r="CX47" i="12"/>
  <c r="CY47" i="12"/>
  <c r="CZ47" i="12"/>
  <c r="DA47" i="12"/>
  <c r="DB47" i="12"/>
  <c r="DH47" i="12"/>
  <c r="DI47" i="12"/>
  <c r="DJ47" i="12"/>
  <c r="H48" i="12"/>
  <c r="I48" i="12"/>
  <c r="J48" i="12"/>
  <c r="K48" i="12"/>
  <c r="L48" i="12"/>
  <c r="M48" i="12"/>
  <c r="N48" i="12"/>
  <c r="O48" i="12"/>
  <c r="P48" i="12"/>
  <c r="Q48" i="12"/>
  <c r="R48" i="12"/>
  <c r="S48" i="12"/>
  <c r="T48" i="12"/>
  <c r="U48" i="12"/>
  <c r="V48" i="12"/>
  <c r="W48" i="12"/>
  <c r="X48" i="12"/>
  <c r="Y48" i="12"/>
  <c r="Z48" i="12"/>
  <c r="AA48" i="12"/>
  <c r="AB48" i="12"/>
  <c r="AC48" i="12"/>
  <c r="AD48" i="12"/>
  <c r="AE48" i="12"/>
  <c r="AG48" i="12"/>
  <c r="AH48" i="12"/>
  <c r="AI48" i="12"/>
  <c r="AJ48" i="12"/>
  <c r="AK48" i="12"/>
  <c r="AL48" i="12"/>
  <c r="AM48" i="12"/>
  <c r="AN48" i="12"/>
  <c r="AO48" i="12"/>
  <c r="AP48" i="12"/>
  <c r="AQ48" i="12"/>
  <c r="AR48" i="12"/>
  <c r="AS48" i="12"/>
  <c r="AT48" i="12"/>
  <c r="AU48" i="12"/>
  <c r="AV48" i="12"/>
  <c r="AW48" i="12"/>
  <c r="AX48" i="12"/>
  <c r="AY48" i="12"/>
  <c r="AZ48" i="12"/>
  <c r="BA48" i="12"/>
  <c r="BB48" i="12"/>
  <c r="BC48" i="12"/>
  <c r="BD48" i="12"/>
  <c r="BF48" i="12"/>
  <c r="BG48" i="12"/>
  <c r="BH48" i="12"/>
  <c r="BI48" i="12"/>
  <c r="BJ48" i="12"/>
  <c r="BK48" i="12"/>
  <c r="BL48" i="12"/>
  <c r="BM48" i="12"/>
  <c r="BN48" i="12"/>
  <c r="BO48" i="12"/>
  <c r="BP48" i="12"/>
  <c r="BQ48" i="12"/>
  <c r="BR48" i="12"/>
  <c r="BS48" i="12"/>
  <c r="BT48" i="12"/>
  <c r="BU48" i="12"/>
  <c r="BV48" i="12"/>
  <c r="BW48" i="12"/>
  <c r="BX48" i="12"/>
  <c r="BY48" i="12"/>
  <c r="BZ48" i="12"/>
  <c r="CA48" i="12"/>
  <c r="CB48" i="12"/>
  <c r="CC48" i="12"/>
  <c r="CE48" i="12"/>
  <c r="CF48" i="12"/>
  <c r="CG48" i="12"/>
  <c r="CH48" i="12"/>
  <c r="CI48" i="12"/>
  <c r="CJ48" i="12"/>
  <c r="CK48" i="12"/>
  <c r="CL48" i="12"/>
  <c r="CM48" i="12"/>
  <c r="CN48" i="12"/>
  <c r="CO48" i="12"/>
  <c r="CP48" i="12"/>
  <c r="CQ48" i="12"/>
  <c r="CR48" i="12"/>
  <c r="CS48" i="12"/>
  <c r="CT48" i="12"/>
  <c r="CU48" i="12"/>
  <c r="CV48" i="12"/>
  <c r="CW48" i="12"/>
  <c r="CX48" i="12"/>
  <c r="CY48" i="12"/>
  <c r="CZ48" i="12"/>
  <c r="DA48" i="12"/>
  <c r="DB48" i="12"/>
  <c r="DH48" i="12"/>
  <c r="DI48" i="12"/>
  <c r="DJ48" i="12"/>
  <c r="H49" i="12"/>
  <c r="I49" i="12"/>
  <c r="J49" i="12"/>
  <c r="K49" i="12"/>
  <c r="L49" i="12"/>
  <c r="M49" i="12"/>
  <c r="N49" i="12"/>
  <c r="O49" i="12"/>
  <c r="P49" i="12"/>
  <c r="Q49" i="12"/>
  <c r="R49" i="12"/>
  <c r="S49" i="12"/>
  <c r="T49" i="12"/>
  <c r="U49" i="12"/>
  <c r="V49" i="12"/>
  <c r="W49" i="12"/>
  <c r="X49" i="12"/>
  <c r="Y49" i="12"/>
  <c r="Z49" i="12"/>
  <c r="AA49" i="12"/>
  <c r="AB49" i="12"/>
  <c r="AC49" i="12"/>
  <c r="AD49" i="12"/>
  <c r="AE49" i="12"/>
  <c r="AG49" i="12"/>
  <c r="AH49" i="12"/>
  <c r="AI49" i="12"/>
  <c r="AJ49" i="12"/>
  <c r="AK49" i="12"/>
  <c r="AL49" i="12"/>
  <c r="AM49" i="12"/>
  <c r="AN49" i="12"/>
  <c r="AO49" i="12"/>
  <c r="AP49" i="12"/>
  <c r="AQ49" i="12"/>
  <c r="AR49" i="12"/>
  <c r="AS49" i="12"/>
  <c r="AT49" i="12"/>
  <c r="AU49" i="12"/>
  <c r="AV49" i="12"/>
  <c r="AW49" i="12"/>
  <c r="AX49" i="12"/>
  <c r="AY49" i="12"/>
  <c r="AZ49" i="12"/>
  <c r="BA49" i="12"/>
  <c r="BB49" i="12"/>
  <c r="BC49" i="12"/>
  <c r="BD49" i="12"/>
  <c r="BF49" i="12"/>
  <c r="BG49" i="12"/>
  <c r="BH49" i="12"/>
  <c r="BI49" i="12"/>
  <c r="BJ49" i="12"/>
  <c r="BK49" i="12"/>
  <c r="BL49" i="12"/>
  <c r="BM49" i="12"/>
  <c r="BN49" i="12"/>
  <c r="BO49" i="12"/>
  <c r="BP49" i="12"/>
  <c r="BQ49" i="12"/>
  <c r="BR49" i="12"/>
  <c r="BS49" i="12"/>
  <c r="BT49" i="12"/>
  <c r="BU49" i="12"/>
  <c r="BV49" i="12"/>
  <c r="BW49" i="12"/>
  <c r="BX49" i="12"/>
  <c r="BY49" i="12"/>
  <c r="BZ49" i="12"/>
  <c r="CA49" i="12"/>
  <c r="CB49" i="12"/>
  <c r="CC49" i="12"/>
  <c r="CE49" i="12"/>
  <c r="CF49" i="12"/>
  <c r="CG49" i="12"/>
  <c r="CH49" i="12"/>
  <c r="CI49" i="12"/>
  <c r="CJ49" i="12"/>
  <c r="CK49" i="12"/>
  <c r="CL49" i="12"/>
  <c r="CM49" i="12"/>
  <c r="CN49" i="12"/>
  <c r="CO49" i="12"/>
  <c r="CP49" i="12"/>
  <c r="CQ49" i="12"/>
  <c r="CR49" i="12"/>
  <c r="CS49" i="12"/>
  <c r="CT49" i="12"/>
  <c r="CU49" i="12"/>
  <c r="CV49" i="12"/>
  <c r="CW49" i="12"/>
  <c r="CX49" i="12"/>
  <c r="CY49" i="12"/>
  <c r="CZ49" i="12"/>
  <c r="DA49" i="12"/>
  <c r="DB49" i="12"/>
  <c r="DH49" i="12"/>
  <c r="DI49" i="12"/>
  <c r="DJ49" i="12"/>
  <c r="H50" i="12"/>
  <c r="I50" i="12"/>
  <c r="J50" i="12"/>
  <c r="K50" i="12"/>
  <c r="L50" i="12"/>
  <c r="M50" i="12"/>
  <c r="N50" i="12"/>
  <c r="O50" i="12"/>
  <c r="P50" i="12"/>
  <c r="Q50" i="12"/>
  <c r="R50" i="12"/>
  <c r="S50" i="12"/>
  <c r="T50" i="12"/>
  <c r="U50" i="12"/>
  <c r="V50" i="12"/>
  <c r="W50" i="12"/>
  <c r="X50" i="12"/>
  <c r="Y50" i="12"/>
  <c r="Z50" i="12"/>
  <c r="AA50" i="12"/>
  <c r="AB50" i="12"/>
  <c r="AC50" i="12"/>
  <c r="AD50" i="12"/>
  <c r="AE50" i="12"/>
  <c r="AG50" i="12"/>
  <c r="AH50" i="12"/>
  <c r="AI50" i="12"/>
  <c r="AJ50" i="12"/>
  <c r="AK50" i="12"/>
  <c r="AL50" i="12"/>
  <c r="AM50" i="12"/>
  <c r="AN50" i="12"/>
  <c r="AO50" i="12"/>
  <c r="AP50" i="12"/>
  <c r="AQ50" i="12"/>
  <c r="AR50" i="12"/>
  <c r="AS50" i="12"/>
  <c r="AT50" i="12"/>
  <c r="AU50" i="12"/>
  <c r="AV50" i="12"/>
  <c r="AW50" i="12"/>
  <c r="AX50" i="12"/>
  <c r="AY50" i="12"/>
  <c r="AZ50" i="12"/>
  <c r="BA50" i="12"/>
  <c r="BB50" i="12"/>
  <c r="BC50" i="12"/>
  <c r="BD50" i="12"/>
  <c r="BF50" i="12"/>
  <c r="BG50" i="12"/>
  <c r="BH50" i="12"/>
  <c r="BI50" i="12"/>
  <c r="BJ50" i="12"/>
  <c r="BK50" i="12"/>
  <c r="BL50" i="12"/>
  <c r="BM50" i="12"/>
  <c r="BN50" i="12"/>
  <c r="BO50" i="12"/>
  <c r="BP50" i="12"/>
  <c r="BQ50" i="12"/>
  <c r="BR50" i="12"/>
  <c r="BS50" i="12"/>
  <c r="BT50" i="12"/>
  <c r="BU50" i="12"/>
  <c r="BV50" i="12"/>
  <c r="BW50" i="12"/>
  <c r="BX50" i="12"/>
  <c r="BY50" i="12"/>
  <c r="BZ50" i="12"/>
  <c r="CA50" i="12"/>
  <c r="CB50" i="12"/>
  <c r="CC50" i="12"/>
  <c r="CE50" i="12"/>
  <c r="CF50" i="12"/>
  <c r="CG50" i="12"/>
  <c r="CH50" i="12"/>
  <c r="CI50" i="12"/>
  <c r="CJ50" i="12"/>
  <c r="CK50" i="12"/>
  <c r="CL50" i="12"/>
  <c r="CM50" i="12"/>
  <c r="CN50" i="12"/>
  <c r="CO50" i="12"/>
  <c r="CP50" i="12"/>
  <c r="CQ50" i="12"/>
  <c r="CR50" i="12"/>
  <c r="CS50" i="12"/>
  <c r="CT50" i="12"/>
  <c r="CU50" i="12"/>
  <c r="CV50" i="12"/>
  <c r="CW50" i="12"/>
  <c r="CX50" i="12"/>
  <c r="CY50" i="12"/>
  <c r="CZ50" i="12"/>
  <c r="DA50" i="12"/>
  <c r="DB50" i="12"/>
  <c r="DH50" i="12"/>
  <c r="DI50" i="12"/>
  <c r="DJ50" i="12"/>
  <c r="H51" i="12"/>
  <c r="I51" i="12"/>
  <c r="J51" i="12"/>
  <c r="K51" i="12"/>
  <c r="L51" i="12"/>
  <c r="M51" i="12"/>
  <c r="N51" i="12"/>
  <c r="O51" i="12"/>
  <c r="P51" i="12"/>
  <c r="Q51" i="12"/>
  <c r="R51" i="12"/>
  <c r="S51" i="12"/>
  <c r="T51" i="12"/>
  <c r="U51" i="12"/>
  <c r="V51" i="12"/>
  <c r="W51" i="12"/>
  <c r="X51" i="12"/>
  <c r="Y51" i="12"/>
  <c r="Z51" i="12"/>
  <c r="AA51" i="12"/>
  <c r="AB51" i="12"/>
  <c r="AC51" i="12"/>
  <c r="AD51" i="12"/>
  <c r="AE51" i="12"/>
  <c r="AG51" i="12"/>
  <c r="AH51" i="12"/>
  <c r="AI51" i="12"/>
  <c r="AJ51" i="12"/>
  <c r="AK51" i="12"/>
  <c r="AL51" i="12"/>
  <c r="AM51" i="12"/>
  <c r="AN51" i="12"/>
  <c r="AO51" i="12"/>
  <c r="AP51" i="12"/>
  <c r="AQ51" i="12"/>
  <c r="AR51" i="12"/>
  <c r="AS51" i="12"/>
  <c r="AT51" i="12"/>
  <c r="AU51" i="12"/>
  <c r="AV51" i="12"/>
  <c r="AW51" i="12"/>
  <c r="AX51" i="12"/>
  <c r="AY51" i="12"/>
  <c r="AZ51" i="12"/>
  <c r="BA51" i="12"/>
  <c r="BB51" i="12"/>
  <c r="BC51" i="12"/>
  <c r="BD51" i="12"/>
  <c r="BF51" i="12"/>
  <c r="BG51" i="12"/>
  <c r="BH51" i="12"/>
  <c r="BI51" i="12"/>
  <c r="BJ51" i="12"/>
  <c r="BK51" i="12"/>
  <c r="BL51" i="12"/>
  <c r="BM51" i="12"/>
  <c r="BN51" i="12"/>
  <c r="BO51" i="12"/>
  <c r="BP51" i="12"/>
  <c r="BQ51" i="12"/>
  <c r="BR51" i="12"/>
  <c r="BS51" i="12"/>
  <c r="BT51" i="12"/>
  <c r="BU51" i="12"/>
  <c r="BV51" i="12"/>
  <c r="BW51" i="12"/>
  <c r="BX51" i="12"/>
  <c r="BY51" i="12"/>
  <c r="BZ51" i="12"/>
  <c r="CA51" i="12"/>
  <c r="CB51" i="12"/>
  <c r="CC51" i="12"/>
  <c r="CE51" i="12"/>
  <c r="CF51" i="12"/>
  <c r="CG51" i="12"/>
  <c r="CH51" i="12"/>
  <c r="CI51" i="12"/>
  <c r="CJ51" i="12"/>
  <c r="CK51" i="12"/>
  <c r="CL51" i="12"/>
  <c r="CM51" i="12"/>
  <c r="CN51" i="12"/>
  <c r="CO51" i="12"/>
  <c r="CP51" i="12"/>
  <c r="CQ51" i="12"/>
  <c r="CR51" i="12"/>
  <c r="CS51" i="12"/>
  <c r="CT51" i="12"/>
  <c r="CU51" i="12"/>
  <c r="CV51" i="12"/>
  <c r="CW51" i="12"/>
  <c r="CX51" i="12"/>
  <c r="CY51" i="12"/>
  <c r="CZ51" i="12"/>
  <c r="DA51" i="12"/>
  <c r="DB51" i="12"/>
  <c r="DH51" i="12"/>
  <c r="DI51" i="12"/>
  <c r="DJ51" i="12"/>
  <c r="H52" i="12"/>
  <c r="I52" i="12"/>
  <c r="J52" i="12"/>
  <c r="K52" i="12"/>
  <c r="L52" i="12"/>
  <c r="M52" i="12"/>
  <c r="N52" i="12"/>
  <c r="O52" i="12"/>
  <c r="P52" i="12"/>
  <c r="Q52" i="12"/>
  <c r="R52" i="12"/>
  <c r="S52" i="12"/>
  <c r="T52" i="12"/>
  <c r="U52" i="12"/>
  <c r="V52" i="12"/>
  <c r="W52" i="12"/>
  <c r="X52" i="12"/>
  <c r="Y52" i="12"/>
  <c r="Z52" i="12"/>
  <c r="AA52" i="12"/>
  <c r="AB52" i="12"/>
  <c r="AC52" i="12"/>
  <c r="AD52" i="12"/>
  <c r="AE52" i="12"/>
  <c r="AG52" i="12"/>
  <c r="AH52" i="12"/>
  <c r="AI52" i="12"/>
  <c r="AJ52" i="12"/>
  <c r="AK52" i="12"/>
  <c r="AL52" i="12"/>
  <c r="AM52" i="12"/>
  <c r="AN52" i="12"/>
  <c r="AO52" i="12"/>
  <c r="AP52" i="12"/>
  <c r="AQ52" i="12"/>
  <c r="AR52" i="12"/>
  <c r="AS52" i="12"/>
  <c r="AT52" i="12"/>
  <c r="AU52" i="12"/>
  <c r="AV52" i="12"/>
  <c r="AW52" i="12"/>
  <c r="AX52" i="12"/>
  <c r="AY52" i="12"/>
  <c r="AZ52" i="12"/>
  <c r="BA52" i="12"/>
  <c r="BB52" i="12"/>
  <c r="BC52" i="12"/>
  <c r="BD52" i="12"/>
  <c r="BF52" i="12"/>
  <c r="BG52" i="12"/>
  <c r="BH52" i="12"/>
  <c r="BI52" i="12"/>
  <c r="BJ52" i="12"/>
  <c r="BK52" i="12"/>
  <c r="BL52" i="12"/>
  <c r="BM52" i="12"/>
  <c r="BN52" i="12"/>
  <c r="BO52" i="12"/>
  <c r="BP52" i="12"/>
  <c r="BQ52" i="12"/>
  <c r="BR52" i="12"/>
  <c r="BS52" i="12"/>
  <c r="BT52" i="12"/>
  <c r="BU52" i="12"/>
  <c r="BV52" i="12"/>
  <c r="BW52" i="12"/>
  <c r="BX52" i="12"/>
  <c r="BY52" i="12"/>
  <c r="BZ52" i="12"/>
  <c r="CA52" i="12"/>
  <c r="CB52" i="12"/>
  <c r="CC52" i="12"/>
  <c r="CE52" i="12"/>
  <c r="CF52" i="12"/>
  <c r="CG52" i="12"/>
  <c r="CH52" i="12"/>
  <c r="CI52" i="12"/>
  <c r="CJ52" i="12"/>
  <c r="CK52" i="12"/>
  <c r="CL52" i="12"/>
  <c r="CM52" i="12"/>
  <c r="CN52" i="12"/>
  <c r="CO52" i="12"/>
  <c r="CP52" i="12"/>
  <c r="CQ52" i="12"/>
  <c r="CR52" i="12"/>
  <c r="CS52" i="12"/>
  <c r="CT52" i="12"/>
  <c r="CU52" i="12"/>
  <c r="CV52" i="12"/>
  <c r="CW52" i="12"/>
  <c r="CX52" i="12"/>
  <c r="CY52" i="12"/>
  <c r="CZ52" i="12"/>
  <c r="DA52" i="12"/>
  <c r="DB52" i="12"/>
  <c r="DH52" i="12"/>
  <c r="DI52" i="12"/>
  <c r="DJ52" i="12"/>
  <c r="H53" i="12"/>
  <c r="I53" i="12"/>
  <c r="J53" i="12"/>
  <c r="K53" i="12"/>
  <c r="L53" i="12"/>
  <c r="M53" i="12"/>
  <c r="N53" i="12"/>
  <c r="O53" i="12"/>
  <c r="P53" i="12"/>
  <c r="Q53" i="12"/>
  <c r="R53" i="12"/>
  <c r="S53" i="12"/>
  <c r="T53" i="12"/>
  <c r="U53" i="12"/>
  <c r="V53" i="12"/>
  <c r="W53" i="12"/>
  <c r="X53" i="12"/>
  <c r="Y53" i="12"/>
  <c r="Z53" i="12"/>
  <c r="AA53" i="12"/>
  <c r="AB53" i="12"/>
  <c r="AC53" i="12"/>
  <c r="AD53" i="12"/>
  <c r="AE53" i="12"/>
  <c r="AG53" i="12"/>
  <c r="AH53" i="12"/>
  <c r="AI53" i="12"/>
  <c r="AJ53" i="12"/>
  <c r="AK53" i="12"/>
  <c r="AL53" i="12"/>
  <c r="AM53" i="12"/>
  <c r="AN53" i="12"/>
  <c r="AO53" i="12"/>
  <c r="AP53" i="12"/>
  <c r="AQ53" i="12"/>
  <c r="AR53" i="12"/>
  <c r="AS53" i="12"/>
  <c r="AT53" i="12"/>
  <c r="AU53" i="12"/>
  <c r="AV53" i="12"/>
  <c r="AW53" i="12"/>
  <c r="AX53" i="12"/>
  <c r="AY53" i="12"/>
  <c r="AZ53" i="12"/>
  <c r="BA53" i="12"/>
  <c r="BB53" i="12"/>
  <c r="BC53" i="12"/>
  <c r="BD53" i="12"/>
  <c r="BF53" i="12"/>
  <c r="BG53" i="12"/>
  <c r="BH53" i="12"/>
  <c r="BI53" i="12"/>
  <c r="BJ53" i="12"/>
  <c r="BK53" i="12"/>
  <c r="BL53" i="12"/>
  <c r="BM53" i="12"/>
  <c r="BN53" i="12"/>
  <c r="BO53" i="12"/>
  <c r="BP53" i="12"/>
  <c r="BQ53" i="12"/>
  <c r="BR53" i="12"/>
  <c r="BS53" i="12"/>
  <c r="BT53" i="12"/>
  <c r="BU53" i="12"/>
  <c r="BV53" i="12"/>
  <c r="BW53" i="12"/>
  <c r="BX53" i="12"/>
  <c r="BY53" i="12"/>
  <c r="BZ53" i="12"/>
  <c r="CA53" i="12"/>
  <c r="CB53" i="12"/>
  <c r="CC53" i="12"/>
  <c r="CE53" i="12"/>
  <c r="CF53" i="12"/>
  <c r="CG53" i="12"/>
  <c r="CH53" i="12"/>
  <c r="CI53" i="12"/>
  <c r="CJ53" i="12"/>
  <c r="CK53" i="12"/>
  <c r="CL53" i="12"/>
  <c r="CM53" i="12"/>
  <c r="CN53" i="12"/>
  <c r="CO53" i="12"/>
  <c r="CP53" i="12"/>
  <c r="CQ53" i="12"/>
  <c r="CR53" i="12"/>
  <c r="CS53" i="12"/>
  <c r="CT53" i="12"/>
  <c r="CU53" i="12"/>
  <c r="CV53" i="12"/>
  <c r="CW53" i="12"/>
  <c r="CX53" i="12"/>
  <c r="CY53" i="12"/>
  <c r="CZ53" i="12"/>
  <c r="DA53" i="12"/>
  <c r="DB53" i="12"/>
  <c r="DH53" i="12"/>
  <c r="DI53" i="12"/>
  <c r="DJ53" i="12"/>
  <c r="H54" i="12"/>
  <c r="I54" i="12"/>
  <c r="J54" i="12"/>
  <c r="K54" i="12"/>
  <c r="L54" i="12"/>
  <c r="M54" i="12"/>
  <c r="N54" i="12"/>
  <c r="O54" i="12"/>
  <c r="P54" i="12"/>
  <c r="Q54" i="12"/>
  <c r="R54" i="12"/>
  <c r="S54" i="12"/>
  <c r="T54" i="12"/>
  <c r="U54" i="12"/>
  <c r="V54" i="12"/>
  <c r="W54" i="12"/>
  <c r="X54" i="12"/>
  <c r="Y54" i="12"/>
  <c r="Z54" i="12"/>
  <c r="AA54" i="12"/>
  <c r="AB54" i="12"/>
  <c r="AC54" i="12"/>
  <c r="AD54" i="12"/>
  <c r="AE54" i="12"/>
  <c r="AG54" i="12"/>
  <c r="AH54" i="12"/>
  <c r="AI54" i="12"/>
  <c r="AJ54" i="12"/>
  <c r="AK54" i="12"/>
  <c r="AL54" i="12"/>
  <c r="AM54" i="12"/>
  <c r="AN54" i="12"/>
  <c r="AO54" i="12"/>
  <c r="AP54" i="12"/>
  <c r="AQ54" i="12"/>
  <c r="AR54" i="12"/>
  <c r="AS54" i="12"/>
  <c r="AT54" i="12"/>
  <c r="AU54" i="12"/>
  <c r="AV54" i="12"/>
  <c r="AW54" i="12"/>
  <c r="AX54" i="12"/>
  <c r="AY54" i="12"/>
  <c r="AZ54" i="12"/>
  <c r="BA54" i="12"/>
  <c r="BB54" i="12"/>
  <c r="BC54" i="12"/>
  <c r="BD54" i="12"/>
  <c r="BF54" i="12"/>
  <c r="BG54" i="12"/>
  <c r="BH54" i="12"/>
  <c r="BI54" i="12"/>
  <c r="BJ54" i="12"/>
  <c r="BK54" i="12"/>
  <c r="BL54" i="12"/>
  <c r="BM54" i="12"/>
  <c r="BN54" i="12"/>
  <c r="BO54" i="12"/>
  <c r="BP54" i="12"/>
  <c r="BQ54" i="12"/>
  <c r="BR54" i="12"/>
  <c r="BS54" i="12"/>
  <c r="BT54" i="12"/>
  <c r="BU54" i="12"/>
  <c r="BV54" i="12"/>
  <c r="BW54" i="12"/>
  <c r="BX54" i="12"/>
  <c r="BY54" i="12"/>
  <c r="BZ54" i="12"/>
  <c r="CA54" i="12"/>
  <c r="CB54" i="12"/>
  <c r="CC54" i="12"/>
  <c r="CE54" i="12"/>
  <c r="CF54" i="12"/>
  <c r="CG54" i="12"/>
  <c r="CH54" i="12"/>
  <c r="CI54" i="12"/>
  <c r="CJ54" i="12"/>
  <c r="CK54" i="12"/>
  <c r="CL54" i="12"/>
  <c r="CM54" i="12"/>
  <c r="CN54" i="12"/>
  <c r="CO54" i="12"/>
  <c r="CP54" i="12"/>
  <c r="CQ54" i="12"/>
  <c r="CR54" i="12"/>
  <c r="CS54" i="12"/>
  <c r="CT54" i="12"/>
  <c r="CU54" i="12"/>
  <c r="CV54" i="12"/>
  <c r="CW54" i="12"/>
  <c r="CX54" i="12"/>
  <c r="CY54" i="12"/>
  <c r="CZ54" i="12"/>
  <c r="DA54" i="12"/>
  <c r="DB54" i="12"/>
  <c r="DH54" i="12"/>
  <c r="DI54" i="12"/>
  <c r="DJ54" i="12"/>
  <c r="H55" i="12"/>
  <c r="I55" i="12"/>
  <c r="J55" i="12"/>
  <c r="K55" i="12"/>
  <c r="L55" i="12"/>
  <c r="M55" i="12"/>
  <c r="N55" i="12"/>
  <c r="O55" i="12"/>
  <c r="P55" i="12"/>
  <c r="Q55" i="12"/>
  <c r="R55" i="12"/>
  <c r="S55" i="12"/>
  <c r="T55" i="12"/>
  <c r="U55" i="12"/>
  <c r="V55" i="12"/>
  <c r="W55" i="12"/>
  <c r="X55" i="12"/>
  <c r="Y55" i="12"/>
  <c r="Z55" i="12"/>
  <c r="AA55" i="12"/>
  <c r="AB55" i="12"/>
  <c r="AC55" i="12"/>
  <c r="AD55" i="12"/>
  <c r="AE55" i="12"/>
  <c r="AG55" i="12"/>
  <c r="AH55" i="12"/>
  <c r="AI55" i="12"/>
  <c r="AJ55" i="12"/>
  <c r="AK55" i="12"/>
  <c r="AL55" i="12"/>
  <c r="AM55" i="12"/>
  <c r="AN55" i="12"/>
  <c r="AO55" i="12"/>
  <c r="AP55" i="12"/>
  <c r="AQ55" i="12"/>
  <c r="AR55" i="12"/>
  <c r="AS55" i="12"/>
  <c r="AT55" i="12"/>
  <c r="AU55" i="12"/>
  <c r="AV55" i="12"/>
  <c r="AW55" i="12"/>
  <c r="AX55" i="12"/>
  <c r="AY55" i="12"/>
  <c r="AZ55" i="12"/>
  <c r="BA55" i="12"/>
  <c r="BB55" i="12"/>
  <c r="BC55" i="12"/>
  <c r="BD55" i="12"/>
  <c r="BF55" i="12"/>
  <c r="BG55" i="12"/>
  <c r="BH55" i="12"/>
  <c r="BI55" i="12"/>
  <c r="BJ55" i="12"/>
  <c r="BK55" i="12"/>
  <c r="BL55" i="12"/>
  <c r="BM55" i="12"/>
  <c r="BN55" i="12"/>
  <c r="BO55" i="12"/>
  <c r="BP55" i="12"/>
  <c r="BQ55" i="12"/>
  <c r="BR55" i="12"/>
  <c r="BS55" i="12"/>
  <c r="BT55" i="12"/>
  <c r="BU55" i="12"/>
  <c r="BV55" i="12"/>
  <c r="BW55" i="12"/>
  <c r="BX55" i="12"/>
  <c r="BY55" i="12"/>
  <c r="BZ55" i="12"/>
  <c r="CA55" i="12"/>
  <c r="CB55" i="12"/>
  <c r="CC55" i="12"/>
  <c r="CE55" i="12"/>
  <c r="CF55" i="12"/>
  <c r="CG55" i="12"/>
  <c r="CH55" i="12"/>
  <c r="CI55" i="12"/>
  <c r="CJ55" i="12"/>
  <c r="CK55" i="12"/>
  <c r="CL55" i="12"/>
  <c r="CM55" i="12"/>
  <c r="CN55" i="12"/>
  <c r="CO55" i="12"/>
  <c r="CP55" i="12"/>
  <c r="CQ55" i="12"/>
  <c r="CR55" i="12"/>
  <c r="CS55" i="12"/>
  <c r="CT55" i="12"/>
  <c r="CU55" i="12"/>
  <c r="CV55" i="12"/>
  <c r="CW55" i="12"/>
  <c r="CX55" i="12"/>
  <c r="CY55" i="12"/>
  <c r="CZ55" i="12"/>
  <c r="DA55" i="12"/>
  <c r="DB55" i="12"/>
  <c r="DH55" i="12"/>
  <c r="DI55" i="12"/>
  <c r="DJ55" i="12"/>
  <c r="H56" i="12"/>
  <c r="I56" i="12"/>
  <c r="J56" i="12"/>
  <c r="K56" i="12"/>
  <c r="L56" i="12"/>
  <c r="M56" i="12"/>
  <c r="N56" i="12"/>
  <c r="O56" i="12"/>
  <c r="P56" i="12"/>
  <c r="Q56" i="12"/>
  <c r="R56" i="12"/>
  <c r="S56" i="12"/>
  <c r="T56" i="12"/>
  <c r="U56" i="12"/>
  <c r="V56" i="12"/>
  <c r="W56" i="12"/>
  <c r="X56" i="12"/>
  <c r="Y56" i="12"/>
  <c r="Z56" i="12"/>
  <c r="AA56" i="12"/>
  <c r="AB56" i="12"/>
  <c r="AC56" i="12"/>
  <c r="AD56" i="12"/>
  <c r="AE56" i="12"/>
  <c r="AG56" i="12"/>
  <c r="AH56" i="12"/>
  <c r="AI56" i="12"/>
  <c r="AJ56" i="12"/>
  <c r="AK56" i="12"/>
  <c r="AL56" i="12"/>
  <c r="AM56" i="12"/>
  <c r="AN56" i="12"/>
  <c r="AO56" i="12"/>
  <c r="AP56" i="12"/>
  <c r="AQ56" i="12"/>
  <c r="AR56" i="12"/>
  <c r="AS56" i="12"/>
  <c r="AT56" i="12"/>
  <c r="AU56" i="12"/>
  <c r="AV56" i="12"/>
  <c r="AW56" i="12"/>
  <c r="AX56" i="12"/>
  <c r="AY56" i="12"/>
  <c r="AZ56" i="12"/>
  <c r="BA56" i="12"/>
  <c r="BB56" i="12"/>
  <c r="BC56" i="12"/>
  <c r="BD56" i="12"/>
  <c r="BF56" i="12"/>
  <c r="BG56" i="12"/>
  <c r="BH56" i="12"/>
  <c r="BI56" i="12"/>
  <c r="BJ56" i="12"/>
  <c r="BK56" i="12"/>
  <c r="BL56" i="12"/>
  <c r="BM56" i="12"/>
  <c r="BN56" i="12"/>
  <c r="BO56" i="12"/>
  <c r="BP56" i="12"/>
  <c r="BQ56" i="12"/>
  <c r="BR56" i="12"/>
  <c r="BS56" i="12"/>
  <c r="BT56" i="12"/>
  <c r="BU56" i="12"/>
  <c r="BV56" i="12"/>
  <c r="BW56" i="12"/>
  <c r="BX56" i="12"/>
  <c r="BY56" i="12"/>
  <c r="BZ56" i="12"/>
  <c r="CA56" i="12"/>
  <c r="CB56" i="12"/>
  <c r="CC56" i="12"/>
  <c r="CE56" i="12"/>
  <c r="CF56" i="12"/>
  <c r="CG56" i="12"/>
  <c r="CH56" i="12"/>
  <c r="CI56" i="12"/>
  <c r="CJ56" i="12"/>
  <c r="CK56" i="12"/>
  <c r="CL56" i="12"/>
  <c r="CM56" i="12"/>
  <c r="CN56" i="12"/>
  <c r="CO56" i="12"/>
  <c r="CP56" i="12"/>
  <c r="CQ56" i="12"/>
  <c r="CR56" i="12"/>
  <c r="CS56" i="12"/>
  <c r="CT56" i="12"/>
  <c r="CU56" i="12"/>
  <c r="CV56" i="12"/>
  <c r="CW56" i="12"/>
  <c r="CX56" i="12"/>
  <c r="CY56" i="12"/>
  <c r="CZ56" i="12"/>
  <c r="DA56" i="12"/>
  <c r="DB56" i="12"/>
  <c r="DH56" i="12"/>
  <c r="DI56" i="12"/>
  <c r="DJ56" i="12"/>
  <c r="H57" i="12"/>
  <c r="I57" i="12"/>
  <c r="J57" i="12"/>
  <c r="K57" i="12"/>
  <c r="L57" i="12"/>
  <c r="M57" i="12"/>
  <c r="N57" i="12"/>
  <c r="O57" i="12"/>
  <c r="P57" i="12"/>
  <c r="Q57" i="12"/>
  <c r="R57" i="12"/>
  <c r="S57" i="12"/>
  <c r="T57" i="12"/>
  <c r="U57" i="12"/>
  <c r="V57" i="12"/>
  <c r="W57" i="12"/>
  <c r="X57" i="12"/>
  <c r="Y57" i="12"/>
  <c r="Z57" i="12"/>
  <c r="AA57" i="12"/>
  <c r="AB57" i="12"/>
  <c r="AC57" i="12"/>
  <c r="AD57" i="12"/>
  <c r="AE57" i="12"/>
  <c r="AG57" i="12"/>
  <c r="AH57" i="12"/>
  <c r="AI57" i="12"/>
  <c r="AJ57" i="12"/>
  <c r="AK57" i="12"/>
  <c r="AL57" i="12"/>
  <c r="AM57" i="12"/>
  <c r="AN57" i="12"/>
  <c r="AO57" i="12"/>
  <c r="AP57" i="12"/>
  <c r="AQ57" i="12"/>
  <c r="AR57" i="12"/>
  <c r="AS57" i="12"/>
  <c r="AT57" i="12"/>
  <c r="AU57" i="12"/>
  <c r="AV57" i="12"/>
  <c r="AW57" i="12"/>
  <c r="AX57" i="12"/>
  <c r="AY57" i="12"/>
  <c r="AZ57" i="12"/>
  <c r="BA57" i="12"/>
  <c r="BB57" i="12"/>
  <c r="BC57" i="12"/>
  <c r="BD57" i="12"/>
  <c r="BF57" i="12"/>
  <c r="BG57" i="12"/>
  <c r="BH57" i="12"/>
  <c r="BI57" i="12"/>
  <c r="BJ57" i="12"/>
  <c r="BK57" i="12"/>
  <c r="BL57" i="12"/>
  <c r="BM57" i="12"/>
  <c r="BN57" i="12"/>
  <c r="BO57" i="12"/>
  <c r="BP57" i="12"/>
  <c r="BQ57" i="12"/>
  <c r="BR57" i="12"/>
  <c r="BS57" i="12"/>
  <c r="BT57" i="12"/>
  <c r="BU57" i="12"/>
  <c r="BV57" i="12"/>
  <c r="BW57" i="12"/>
  <c r="BX57" i="12"/>
  <c r="BY57" i="12"/>
  <c r="BZ57" i="12"/>
  <c r="CA57" i="12"/>
  <c r="CB57" i="12"/>
  <c r="CC57" i="12"/>
  <c r="CE57" i="12"/>
  <c r="CF57" i="12"/>
  <c r="CG57" i="12"/>
  <c r="CH57" i="12"/>
  <c r="CI57" i="12"/>
  <c r="CJ57" i="12"/>
  <c r="CK57" i="12"/>
  <c r="CL57" i="12"/>
  <c r="CM57" i="12"/>
  <c r="CN57" i="12"/>
  <c r="CO57" i="12"/>
  <c r="CP57" i="12"/>
  <c r="CQ57" i="12"/>
  <c r="CR57" i="12"/>
  <c r="CS57" i="12"/>
  <c r="CT57" i="12"/>
  <c r="CU57" i="12"/>
  <c r="CV57" i="12"/>
  <c r="CW57" i="12"/>
  <c r="CX57" i="12"/>
  <c r="CY57" i="12"/>
  <c r="CZ57" i="12"/>
  <c r="DA57" i="12"/>
  <c r="DB57" i="12"/>
  <c r="DH57" i="12"/>
  <c r="DI57" i="12"/>
  <c r="DJ57" i="12"/>
  <c r="H58" i="12"/>
  <c r="I58" i="12"/>
  <c r="J58" i="12"/>
  <c r="K58" i="12"/>
  <c r="L58" i="12"/>
  <c r="M58" i="12"/>
  <c r="N58" i="12"/>
  <c r="O58" i="12"/>
  <c r="P58" i="12"/>
  <c r="Q58" i="12"/>
  <c r="R58" i="12"/>
  <c r="S58" i="12"/>
  <c r="T58" i="12"/>
  <c r="U58" i="12"/>
  <c r="V58" i="12"/>
  <c r="W58" i="12"/>
  <c r="X58" i="12"/>
  <c r="Y58" i="12"/>
  <c r="Z58" i="12"/>
  <c r="AA58" i="12"/>
  <c r="AB58" i="12"/>
  <c r="AC58" i="12"/>
  <c r="AD58" i="12"/>
  <c r="AE58" i="12"/>
  <c r="AG58" i="12"/>
  <c r="AH58" i="12"/>
  <c r="AI58" i="12"/>
  <c r="AJ58" i="12"/>
  <c r="AK58" i="12"/>
  <c r="AL58" i="12"/>
  <c r="AM58" i="12"/>
  <c r="AN58" i="12"/>
  <c r="AO58" i="12"/>
  <c r="AP58" i="12"/>
  <c r="AQ58" i="12"/>
  <c r="AR58" i="12"/>
  <c r="AS58" i="12"/>
  <c r="AT58" i="12"/>
  <c r="AU58" i="12"/>
  <c r="AV58" i="12"/>
  <c r="AW58" i="12"/>
  <c r="AX58" i="12"/>
  <c r="AY58" i="12"/>
  <c r="AZ58" i="12"/>
  <c r="BA58" i="12"/>
  <c r="BB58" i="12"/>
  <c r="BC58" i="12"/>
  <c r="BD58" i="12"/>
  <c r="BF58" i="12"/>
  <c r="BG58" i="12"/>
  <c r="BH58" i="12"/>
  <c r="BI58" i="12"/>
  <c r="BJ58" i="12"/>
  <c r="BK58" i="12"/>
  <c r="BL58" i="12"/>
  <c r="BM58" i="12"/>
  <c r="BN58" i="12"/>
  <c r="BO58" i="12"/>
  <c r="BP58" i="12"/>
  <c r="BQ58" i="12"/>
  <c r="BR58" i="12"/>
  <c r="BS58" i="12"/>
  <c r="BT58" i="12"/>
  <c r="BU58" i="12"/>
  <c r="BV58" i="12"/>
  <c r="BW58" i="12"/>
  <c r="BX58" i="12"/>
  <c r="BY58" i="12"/>
  <c r="BZ58" i="12"/>
  <c r="CA58" i="12"/>
  <c r="CB58" i="12"/>
  <c r="CC58" i="12"/>
  <c r="CE58" i="12"/>
  <c r="CF58" i="12"/>
  <c r="CG58" i="12"/>
  <c r="CH58" i="12"/>
  <c r="CI58" i="12"/>
  <c r="CJ58" i="12"/>
  <c r="CK58" i="12"/>
  <c r="CL58" i="12"/>
  <c r="CM58" i="12"/>
  <c r="CN58" i="12"/>
  <c r="CO58" i="12"/>
  <c r="CP58" i="12"/>
  <c r="CQ58" i="12"/>
  <c r="CR58" i="12"/>
  <c r="CS58" i="12"/>
  <c r="CT58" i="12"/>
  <c r="CU58" i="12"/>
  <c r="CV58" i="12"/>
  <c r="CW58" i="12"/>
  <c r="CX58" i="12"/>
  <c r="CY58" i="12"/>
  <c r="CZ58" i="12"/>
  <c r="DA58" i="12"/>
  <c r="DB58" i="12"/>
  <c r="DH58" i="12"/>
  <c r="DI58" i="12"/>
  <c r="DJ58" i="12"/>
  <c r="H59" i="12"/>
  <c r="I59" i="12"/>
  <c r="J59" i="12"/>
  <c r="K59" i="12"/>
  <c r="L59" i="12"/>
  <c r="M59" i="12"/>
  <c r="N59" i="12"/>
  <c r="O59" i="12"/>
  <c r="P59" i="12"/>
  <c r="Q59" i="12"/>
  <c r="R59" i="12"/>
  <c r="S59" i="12"/>
  <c r="T59" i="12"/>
  <c r="U59" i="12"/>
  <c r="V59" i="12"/>
  <c r="W59" i="12"/>
  <c r="X59" i="12"/>
  <c r="Y59" i="12"/>
  <c r="Z59" i="12"/>
  <c r="AA59" i="12"/>
  <c r="AB59" i="12"/>
  <c r="AC59" i="12"/>
  <c r="AD59" i="12"/>
  <c r="AE59" i="12"/>
  <c r="AG59" i="12"/>
  <c r="AH59" i="12"/>
  <c r="AI59" i="12"/>
  <c r="AJ59" i="12"/>
  <c r="AK59" i="12"/>
  <c r="AL59" i="12"/>
  <c r="AM59" i="12"/>
  <c r="AN59" i="12"/>
  <c r="AO59" i="12"/>
  <c r="AP59" i="12"/>
  <c r="AQ59" i="12"/>
  <c r="AR59" i="12"/>
  <c r="AS59" i="12"/>
  <c r="AT59" i="12"/>
  <c r="AU59" i="12"/>
  <c r="AV59" i="12"/>
  <c r="AW59" i="12"/>
  <c r="AX59" i="12"/>
  <c r="AY59" i="12"/>
  <c r="AZ59" i="12"/>
  <c r="BA59" i="12"/>
  <c r="BB59" i="12"/>
  <c r="BC59" i="12"/>
  <c r="BD59" i="12"/>
  <c r="BF59" i="12"/>
  <c r="BG59" i="12"/>
  <c r="BH59" i="12"/>
  <c r="BI59" i="12"/>
  <c r="BJ59" i="12"/>
  <c r="BK59" i="12"/>
  <c r="BL59" i="12"/>
  <c r="BM59" i="12"/>
  <c r="BN59" i="12"/>
  <c r="BO59" i="12"/>
  <c r="BP59" i="12"/>
  <c r="BQ59" i="12"/>
  <c r="BR59" i="12"/>
  <c r="BS59" i="12"/>
  <c r="BT59" i="12"/>
  <c r="BU59" i="12"/>
  <c r="BV59" i="12"/>
  <c r="BW59" i="12"/>
  <c r="BX59" i="12"/>
  <c r="BY59" i="12"/>
  <c r="BZ59" i="12"/>
  <c r="CA59" i="12"/>
  <c r="CB59" i="12"/>
  <c r="CC59" i="12"/>
  <c r="CE59" i="12"/>
  <c r="CF59" i="12"/>
  <c r="CG59" i="12"/>
  <c r="CH59" i="12"/>
  <c r="CI59" i="12"/>
  <c r="CJ59" i="12"/>
  <c r="CK59" i="12"/>
  <c r="CL59" i="12"/>
  <c r="CM59" i="12"/>
  <c r="CN59" i="12"/>
  <c r="CO59" i="12"/>
  <c r="CP59" i="12"/>
  <c r="CQ59" i="12"/>
  <c r="CR59" i="12"/>
  <c r="CS59" i="12"/>
  <c r="CT59" i="12"/>
  <c r="CU59" i="12"/>
  <c r="CV59" i="12"/>
  <c r="CW59" i="12"/>
  <c r="CX59" i="12"/>
  <c r="CY59" i="12"/>
  <c r="CZ59" i="12"/>
  <c r="DA59" i="12"/>
  <c r="DB59" i="12"/>
  <c r="DH59" i="12"/>
  <c r="DI59" i="12"/>
  <c r="DJ59" i="12"/>
  <c r="H60" i="12"/>
  <c r="I60" i="12"/>
  <c r="J60" i="12"/>
  <c r="K60" i="12"/>
  <c r="L60" i="12"/>
  <c r="M60" i="12"/>
  <c r="N60" i="12"/>
  <c r="O60" i="12"/>
  <c r="P60" i="12"/>
  <c r="Q60" i="12"/>
  <c r="R60" i="12"/>
  <c r="S60" i="12"/>
  <c r="T60" i="12"/>
  <c r="U60" i="12"/>
  <c r="V60" i="12"/>
  <c r="W60" i="12"/>
  <c r="X60" i="12"/>
  <c r="Y60" i="12"/>
  <c r="Z60" i="12"/>
  <c r="AA60" i="12"/>
  <c r="AB60" i="12"/>
  <c r="AC60" i="12"/>
  <c r="AD60" i="12"/>
  <c r="AE60" i="12"/>
  <c r="AG60" i="12"/>
  <c r="AH60" i="12"/>
  <c r="AI60" i="12"/>
  <c r="AJ60" i="12"/>
  <c r="AK60" i="12"/>
  <c r="AL60" i="12"/>
  <c r="AM60" i="12"/>
  <c r="AN60" i="12"/>
  <c r="AO60" i="12"/>
  <c r="AP60" i="12"/>
  <c r="AQ60" i="12"/>
  <c r="AR60" i="12"/>
  <c r="AS60" i="12"/>
  <c r="AT60" i="12"/>
  <c r="AU60" i="12"/>
  <c r="AV60" i="12"/>
  <c r="AW60" i="12"/>
  <c r="AX60" i="12"/>
  <c r="AY60" i="12"/>
  <c r="AZ60" i="12"/>
  <c r="BA60" i="12"/>
  <c r="BB60" i="12"/>
  <c r="BC60" i="12"/>
  <c r="BD60" i="12"/>
  <c r="BF60" i="12"/>
  <c r="BG60" i="12"/>
  <c r="BH60" i="12"/>
  <c r="BI60" i="12"/>
  <c r="BJ60" i="12"/>
  <c r="BK60" i="12"/>
  <c r="BL60" i="12"/>
  <c r="BM60" i="12"/>
  <c r="BN60" i="12"/>
  <c r="BO60" i="12"/>
  <c r="BP60" i="12"/>
  <c r="BQ60" i="12"/>
  <c r="BR60" i="12"/>
  <c r="BS60" i="12"/>
  <c r="BT60" i="12"/>
  <c r="BU60" i="12"/>
  <c r="BV60" i="12"/>
  <c r="BW60" i="12"/>
  <c r="BX60" i="12"/>
  <c r="BY60" i="12"/>
  <c r="BZ60" i="12"/>
  <c r="CA60" i="12"/>
  <c r="CB60" i="12"/>
  <c r="CC60" i="12"/>
  <c r="CE60" i="12"/>
  <c r="CF60" i="12"/>
  <c r="CG60" i="12"/>
  <c r="CH60" i="12"/>
  <c r="CI60" i="12"/>
  <c r="CJ60" i="12"/>
  <c r="CK60" i="12"/>
  <c r="CL60" i="12"/>
  <c r="CM60" i="12"/>
  <c r="CN60" i="12"/>
  <c r="CO60" i="12"/>
  <c r="CP60" i="12"/>
  <c r="CQ60" i="12"/>
  <c r="CR60" i="12"/>
  <c r="CS60" i="12"/>
  <c r="CT60" i="12"/>
  <c r="CU60" i="12"/>
  <c r="CV60" i="12"/>
  <c r="CW60" i="12"/>
  <c r="CX60" i="12"/>
  <c r="CY60" i="12"/>
  <c r="CZ60" i="12"/>
  <c r="DA60" i="12"/>
  <c r="DB60" i="12"/>
  <c r="DH60" i="12"/>
  <c r="DI60" i="12"/>
  <c r="DJ60" i="12"/>
  <c r="H61" i="12"/>
  <c r="I61" i="12"/>
  <c r="J61" i="12"/>
  <c r="K61" i="12"/>
  <c r="L61" i="12"/>
  <c r="M61" i="12"/>
  <c r="N61" i="12"/>
  <c r="O61" i="12"/>
  <c r="P61" i="12"/>
  <c r="Q61" i="12"/>
  <c r="R61" i="12"/>
  <c r="S61" i="12"/>
  <c r="T61" i="12"/>
  <c r="U61" i="12"/>
  <c r="V61" i="12"/>
  <c r="W61" i="12"/>
  <c r="X61" i="12"/>
  <c r="Y61" i="12"/>
  <c r="Z61" i="12"/>
  <c r="AA61" i="12"/>
  <c r="AB61" i="12"/>
  <c r="AC61" i="12"/>
  <c r="AD61" i="12"/>
  <c r="AE61" i="12"/>
  <c r="AG61" i="12"/>
  <c r="AH61" i="12"/>
  <c r="AI61" i="12"/>
  <c r="AJ61" i="12"/>
  <c r="AK61" i="12"/>
  <c r="AL61" i="12"/>
  <c r="AM61" i="12"/>
  <c r="AN61" i="12"/>
  <c r="AO61" i="12"/>
  <c r="AP61" i="12"/>
  <c r="AQ61" i="12"/>
  <c r="AR61" i="12"/>
  <c r="AS61" i="12"/>
  <c r="AT61" i="12"/>
  <c r="AU61" i="12"/>
  <c r="AV61" i="12"/>
  <c r="AW61" i="12"/>
  <c r="AX61" i="12"/>
  <c r="AY61" i="12"/>
  <c r="AZ61" i="12"/>
  <c r="BA61" i="12"/>
  <c r="BB61" i="12"/>
  <c r="BC61" i="12"/>
  <c r="BD61" i="12"/>
  <c r="BF61" i="12"/>
  <c r="BG61" i="12"/>
  <c r="BH61" i="12"/>
  <c r="BI61" i="12"/>
  <c r="BJ61" i="12"/>
  <c r="BK61" i="12"/>
  <c r="BL61" i="12"/>
  <c r="BM61" i="12"/>
  <c r="BN61" i="12"/>
  <c r="BO61" i="12"/>
  <c r="BP61" i="12"/>
  <c r="BQ61" i="12"/>
  <c r="BR61" i="12"/>
  <c r="BS61" i="12"/>
  <c r="BT61" i="12"/>
  <c r="BU61" i="12"/>
  <c r="BV61" i="12"/>
  <c r="BW61" i="12"/>
  <c r="BX61" i="12"/>
  <c r="BY61" i="12"/>
  <c r="BZ61" i="12"/>
  <c r="CA61" i="12"/>
  <c r="CB61" i="12"/>
  <c r="CC61" i="12"/>
  <c r="CE61" i="12"/>
  <c r="CF61" i="12"/>
  <c r="CG61" i="12"/>
  <c r="CH61" i="12"/>
  <c r="CI61" i="12"/>
  <c r="CJ61" i="12"/>
  <c r="CK61" i="12"/>
  <c r="CL61" i="12"/>
  <c r="CM61" i="12"/>
  <c r="CN61" i="12"/>
  <c r="CO61" i="12"/>
  <c r="CP61" i="12"/>
  <c r="CQ61" i="12"/>
  <c r="CR61" i="12"/>
  <c r="CS61" i="12"/>
  <c r="CT61" i="12"/>
  <c r="CU61" i="12"/>
  <c r="CV61" i="12"/>
  <c r="CW61" i="12"/>
  <c r="CX61" i="12"/>
  <c r="CY61" i="12"/>
  <c r="CZ61" i="12"/>
  <c r="DA61" i="12"/>
  <c r="DB61" i="12"/>
  <c r="DH61" i="12"/>
  <c r="DI61" i="12"/>
  <c r="DJ61" i="12"/>
  <c r="H62" i="12"/>
  <c r="I62" i="12"/>
  <c r="J62" i="12"/>
  <c r="K62" i="12"/>
  <c r="L62" i="12"/>
  <c r="M62" i="12"/>
  <c r="N62" i="12"/>
  <c r="O62" i="12"/>
  <c r="P62" i="12"/>
  <c r="Q62" i="12"/>
  <c r="R62" i="12"/>
  <c r="S62" i="12"/>
  <c r="T62" i="12"/>
  <c r="U62" i="12"/>
  <c r="V62" i="12"/>
  <c r="W62" i="12"/>
  <c r="X62" i="12"/>
  <c r="Y62" i="12"/>
  <c r="Z62" i="12"/>
  <c r="AA62" i="12"/>
  <c r="AB62" i="12"/>
  <c r="AC62" i="12"/>
  <c r="AD62" i="12"/>
  <c r="AE62" i="12"/>
  <c r="AG62" i="12"/>
  <c r="AH62" i="12"/>
  <c r="AI62" i="12"/>
  <c r="AJ62" i="12"/>
  <c r="AK62" i="12"/>
  <c r="AL62" i="12"/>
  <c r="AM62" i="12"/>
  <c r="AN62" i="12"/>
  <c r="AO62" i="12"/>
  <c r="AP62" i="12"/>
  <c r="AQ62" i="12"/>
  <c r="AR62" i="12"/>
  <c r="AS62" i="12"/>
  <c r="AT62" i="12"/>
  <c r="AU62" i="12"/>
  <c r="AV62" i="12"/>
  <c r="AW62" i="12"/>
  <c r="AX62" i="12"/>
  <c r="AY62" i="12"/>
  <c r="AZ62" i="12"/>
  <c r="BA62" i="12"/>
  <c r="BB62" i="12"/>
  <c r="BC62" i="12"/>
  <c r="BD62" i="12"/>
  <c r="BF62" i="12"/>
  <c r="BG62" i="12"/>
  <c r="BH62" i="12"/>
  <c r="BI62" i="12"/>
  <c r="BJ62" i="12"/>
  <c r="BK62" i="12"/>
  <c r="BL62" i="12"/>
  <c r="BM62" i="12"/>
  <c r="BN62" i="12"/>
  <c r="BO62" i="12"/>
  <c r="BP62" i="12"/>
  <c r="BQ62" i="12"/>
  <c r="BR62" i="12"/>
  <c r="BS62" i="12"/>
  <c r="BT62" i="12"/>
  <c r="BU62" i="12"/>
  <c r="BV62" i="12"/>
  <c r="BW62" i="12"/>
  <c r="BX62" i="12"/>
  <c r="BY62" i="12"/>
  <c r="BZ62" i="12"/>
  <c r="CA62" i="12"/>
  <c r="CB62" i="12"/>
  <c r="CC62" i="12"/>
  <c r="CE62" i="12"/>
  <c r="CF62" i="12"/>
  <c r="CG62" i="12"/>
  <c r="CH62" i="12"/>
  <c r="CI62" i="12"/>
  <c r="CJ62" i="12"/>
  <c r="CK62" i="12"/>
  <c r="CL62" i="12"/>
  <c r="CM62" i="12"/>
  <c r="CN62" i="12"/>
  <c r="CO62" i="12"/>
  <c r="CP62" i="12"/>
  <c r="CQ62" i="12"/>
  <c r="CR62" i="12"/>
  <c r="CS62" i="12"/>
  <c r="CT62" i="12"/>
  <c r="CU62" i="12"/>
  <c r="CV62" i="12"/>
  <c r="CW62" i="12"/>
  <c r="CX62" i="12"/>
  <c r="CY62" i="12"/>
  <c r="CZ62" i="12"/>
  <c r="DA62" i="12"/>
  <c r="DB62" i="12"/>
  <c r="DH62" i="12"/>
  <c r="DI62" i="12"/>
  <c r="DJ62" i="12"/>
  <c r="H63" i="12"/>
  <c r="I63" i="12"/>
  <c r="J63" i="12"/>
  <c r="K63" i="12"/>
  <c r="L63" i="12"/>
  <c r="M63" i="12"/>
  <c r="N63" i="12"/>
  <c r="O63" i="12"/>
  <c r="P63" i="12"/>
  <c r="Q63" i="12"/>
  <c r="R63" i="12"/>
  <c r="S63" i="12"/>
  <c r="T63" i="12"/>
  <c r="U63" i="12"/>
  <c r="V63" i="12"/>
  <c r="W63" i="12"/>
  <c r="X63" i="12"/>
  <c r="Y63" i="12"/>
  <c r="Z63" i="12"/>
  <c r="AA63" i="12"/>
  <c r="AB63" i="12"/>
  <c r="AC63" i="12"/>
  <c r="AD63" i="12"/>
  <c r="AE63" i="12"/>
  <c r="AG63" i="12"/>
  <c r="AH63" i="12"/>
  <c r="AI63" i="12"/>
  <c r="AJ63" i="12"/>
  <c r="AK63" i="12"/>
  <c r="AL63" i="12"/>
  <c r="AM63" i="12"/>
  <c r="AN63" i="12"/>
  <c r="AO63" i="12"/>
  <c r="AP63" i="12"/>
  <c r="AQ63" i="12"/>
  <c r="AR63" i="12"/>
  <c r="AS63" i="12"/>
  <c r="AT63" i="12"/>
  <c r="AU63" i="12"/>
  <c r="AV63" i="12"/>
  <c r="AW63" i="12"/>
  <c r="AX63" i="12"/>
  <c r="AY63" i="12"/>
  <c r="AZ63" i="12"/>
  <c r="BA63" i="12"/>
  <c r="BB63" i="12"/>
  <c r="BC63" i="12"/>
  <c r="BD63" i="12"/>
  <c r="BF63" i="12"/>
  <c r="BG63" i="12"/>
  <c r="BH63" i="12"/>
  <c r="BI63" i="12"/>
  <c r="BJ63" i="12"/>
  <c r="BK63" i="12"/>
  <c r="BL63" i="12"/>
  <c r="BM63" i="12"/>
  <c r="BN63" i="12"/>
  <c r="BO63" i="12"/>
  <c r="BP63" i="12"/>
  <c r="BQ63" i="12"/>
  <c r="BR63" i="12"/>
  <c r="BS63" i="12"/>
  <c r="BT63" i="12"/>
  <c r="BU63" i="12"/>
  <c r="BV63" i="12"/>
  <c r="BW63" i="12"/>
  <c r="BX63" i="12"/>
  <c r="BY63" i="12"/>
  <c r="BZ63" i="12"/>
  <c r="CA63" i="12"/>
  <c r="CB63" i="12"/>
  <c r="CC63" i="12"/>
  <c r="CE63" i="12"/>
  <c r="CF63" i="12"/>
  <c r="CG63" i="12"/>
  <c r="CH63" i="12"/>
  <c r="CI63" i="12"/>
  <c r="CJ63" i="12"/>
  <c r="CK63" i="12"/>
  <c r="CL63" i="12"/>
  <c r="CM63" i="12"/>
  <c r="CN63" i="12"/>
  <c r="CO63" i="12"/>
  <c r="CP63" i="12"/>
  <c r="CQ63" i="12"/>
  <c r="CR63" i="12"/>
  <c r="CS63" i="12"/>
  <c r="CT63" i="12"/>
  <c r="CU63" i="12"/>
  <c r="CV63" i="12"/>
  <c r="CW63" i="12"/>
  <c r="CX63" i="12"/>
  <c r="CY63" i="12"/>
  <c r="CZ63" i="12"/>
  <c r="DA63" i="12"/>
  <c r="DB63" i="12"/>
  <c r="DH63" i="12"/>
  <c r="DI63" i="12"/>
  <c r="DJ63" i="12"/>
  <c r="H64" i="12"/>
  <c r="I64" i="12"/>
  <c r="J64" i="12"/>
  <c r="K64" i="12"/>
  <c r="L64" i="12"/>
  <c r="M64" i="12"/>
  <c r="N64" i="12"/>
  <c r="O64" i="12"/>
  <c r="P64" i="12"/>
  <c r="Q64" i="12"/>
  <c r="R64" i="12"/>
  <c r="S64" i="12"/>
  <c r="T64" i="12"/>
  <c r="U64" i="12"/>
  <c r="V64" i="12"/>
  <c r="W64" i="12"/>
  <c r="X64" i="12"/>
  <c r="Y64" i="12"/>
  <c r="Z64" i="12"/>
  <c r="AA64" i="12"/>
  <c r="AB64" i="12"/>
  <c r="AC64" i="12"/>
  <c r="AD64" i="12"/>
  <c r="AE64" i="12"/>
  <c r="AG64" i="12"/>
  <c r="AH64" i="12"/>
  <c r="AI64" i="12"/>
  <c r="AJ64" i="12"/>
  <c r="AK64" i="12"/>
  <c r="AL64" i="12"/>
  <c r="AM64" i="12"/>
  <c r="AN64" i="12"/>
  <c r="AO64" i="12"/>
  <c r="AP64" i="12"/>
  <c r="AQ64" i="12"/>
  <c r="AR64" i="12"/>
  <c r="AS64" i="12"/>
  <c r="AT64" i="12"/>
  <c r="AU64" i="12"/>
  <c r="AV64" i="12"/>
  <c r="AW64" i="12"/>
  <c r="AX64" i="12"/>
  <c r="AY64" i="12"/>
  <c r="AZ64" i="12"/>
  <c r="BA64" i="12"/>
  <c r="BB64" i="12"/>
  <c r="BC64" i="12"/>
  <c r="BD64" i="12"/>
  <c r="BF64" i="12"/>
  <c r="BG64" i="12"/>
  <c r="BH64" i="12"/>
  <c r="BI64" i="12"/>
  <c r="BJ64" i="12"/>
  <c r="BK64" i="12"/>
  <c r="BL64" i="12"/>
  <c r="BM64" i="12"/>
  <c r="BN64" i="12"/>
  <c r="BO64" i="12"/>
  <c r="BP64" i="12"/>
  <c r="BQ64" i="12"/>
  <c r="BR64" i="12"/>
  <c r="BS64" i="12"/>
  <c r="BT64" i="12"/>
  <c r="BU64" i="12"/>
  <c r="BV64" i="12"/>
  <c r="BW64" i="12"/>
  <c r="BX64" i="12"/>
  <c r="BY64" i="12"/>
  <c r="BZ64" i="12"/>
  <c r="CA64" i="12"/>
  <c r="CB64" i="12"/>
  <c r="CC64" i="12"/>
  <c r="CE64" i="12"/>
  <c r="CF64" i="12"/>
  <c r="CG64" i="12"/>
  <c r="CH64" i="12"/>
  <c r="CI64" i="12"/>
  <c r="CJ64" i="12"/>
  <c r="CK64" i="12"/>
  <c r="CL64" i="12"/>
  <c r="CM64" i="12"/>
  <c r="CN64" i="12"/>
  <c r="CO64" i="12"/>
  <c r="CP64" i="12"/>
  <c r="CQ64" i="12"/>
  <c r="CR64" i="12"/>
  <c r="CS64" i="12"/>
  <c r="CT64" i="12"/>
  <c r="CU64" i="12"/>
  <c r="CV64" i="12"/>
  <c r="CW64" i="12"/>
  <c r="CX64" i="12"/>
  <c r="CY64" i="12"/>
  <c r="CZ64" i="12"/>
  <c r="DA64" i="12"/>
  <c r="DB64" i="12"/>
  <c r="DH64" i="12"/>
  <c r="DI64" i="12"/>
  <c r="DJ64" i="12"/>
  <c r="H65" i="12"/>
  <c r="I65" i="12"/>
  <c r="J65" i="12"/>
  <c r="K65" i="12"/>
  <c r="L65" i="12"/>
  <c r="M65" i="12"/>
  <c r="N65" i="12"/>
  <c r="O65" i="12"/>
  <c r="P65" i="12"/>
  <c r="Q65" i="12"/>
  <c r="R65" i="12"/>
  <c r="S65" i="12"/>
  <c r="T65" i="12"/>
  <c r="U65" i="12"/>
  <c r="V65" i="12"/>
  <c r="W65" i="12"/>
  <c r="X65" i="12"/>
  <c r="Y65" i="12"/>
  <c r="Z65" i="12"/>
  <c r="AA65" i="12"/>
  <c r="AB65" i="12"/>
  <c r="AC65" i="12"/>
  <c r="AD65" i="12"/>
  <c r="AE65" i="12"/>
  <c r="AG65" i="12"/>
  <c r="AH65" i="12"/>
  <c r="AI65" i="12"/>
  <c r="AJ65" i="12"/>
  <c r="AK65" i="12"/>
  <c r="AL65" i="12"/>
  <c r="AM65" i="12"/>
  <c r="AN65" i="12"/>
  <c r="AO65" i="12"/>
  <c r="AP65" i="12"/>
  <c r="AQ65" i="12"/>
  <c r="AR65" i="12"/>
  <c r="AS65" i="12"/>
  <c r="AT65" i="12"/>
  <c r="AU65" i="12"/>
  <c r="AV65" i="12"/>
  <c r="AW65" i="12"/>
  <c r="AX65" i="12"/>
  <c r="AY65" i="12"/>
  <c r="AZ65" i="12"/>
  <c r="BA65" i="12"/>
  <c r="BB65" i="12"/>
  <c r="BC65" i="12"/>
  <c r="BD65" i="12"/>
  <c r="BF65" i="12"/>
  <c r="BG65" i="12"/>
  <c r="BH65" i="12"/>
  <c r="BI65" i="12"/>
  <c r="BJ65" i="12"/>
  <c r="BK65" i="12"/>
  <c r="BL65" i="12"/>
  <c r="BM65" i="12"/>
  <c r="BN65" i="12"/>
  <c r="BO65" i="12"/>
  <c r="BP65" i="12"/>
  <c r="BQ65" i="12"/>
  <c r="BR65" i="12"/>
  <c r="BS65" i="12"/>
  <c r="BT65" i="12"/>
  <c r="BU65" i="12"/>
  <c r="BV65" i="12"/>
  <c r="BW65" i="12"/>
  <c r="BX65" i="12"/>
  <c r="BY65" i="12"/>
  <c r="BZ65" i="12"/>
  <c r="CA65" i="12"/>
  <c r="CB65" i="12"/>
  <c r="CC65" i="12"/>
  <c r="CE65" i="12"/>
  <c r="CF65" i="12"/>
  <c r="CG65" i="12"/>
  <c r="CH65" i="12"/>
  <c r="CI65" i="12"/>
  <c r="CJ65" i="12"/>
  <c r="CK65" i="12"/>
  <c r="CL65" i="12"/>
  <c r="CM65" i="12"/>
  <c r="CN65" i="12"/>
  <c r="CO65" i="12"/>
  <c r="CP65" i="12"/>
  <c r="CQ65" i="12"/>
  <c r="CR65" i="12"/>
  <c r="CS65" i="12"/>
  <c r="CT65" i="12"/>
  <c r="CU65" i="12"/>
  <c r="CV65" i="12"/>
  <c r="CW65" i="12"/>
  <c r="CX65" i="12"/>
  <c r="CY65" i="12"/>
  <c r="CZ65" i="12"/>
  <c r="DA65" i="12"/>
  <c r="DB65" i="12"/>
  <c r="DH65" i="12"/>
  <c r="DI65" i="12"/>
  <c r="DJ65" i="12"/>
  <c r="H66" i="12"/>
  <c r="I66" i="12"/>
  <c r="J66" i="12"/>
  <c r="K66" i="12"/>
  <c r="L66" i="12"/>
  <c r="M66" i="12"/>
  <c r="N66" i="12"/>
  <c r="O66" i="12"/>
  <c r="P66" i="12"/>
  <c r="Q66" i="12"/>
  <c r="R66" i="12"/>
  <c r="S66" i="12"/>
  <c r="T66" i="12"/>
  <c r="U66" i="12"/>
  <c r="V66" i="12"/>
  <c r="W66" i="12"/>
  <c r="X66" i="12"/>
  <c r="Y66" i="12"/>
  <c r="Z66" i="12"/>
  <c r="AA66" i="12"/>
  <c r="AB66" i="12"/>
  <c r="AC66" i="12"/>
  <c r="AD66" i="12"/>
  <c r="AE66" i="12"/>
  <c r="AG66" i="12"/>
  <c r="AH66" i="12"/>
  <c r="AI66" i="12"/>
  <c r="AJ66" i="12"/>
  <c r="AK66" i="12"/>
  <c r="AL66" i="12"/>
  <c r="AM66" i="12"/>
  <c r="AN66" i="12"/>
  <c r="AO66" i="12"/>
  <c r="AP66" i="12"/>
  <c r="AQ66" i="12"/>
  <c r="AR66" i="12"/>
  <c r="AS66" i="12"/>
  <c r="AT66" i="12"/>
  <c r="AU66" i="12"/>
  <c r="AV66" i="12"/>
  <c r="AW66" i="12"/>
  <c r="AX66" i="12"/>
  <c r="AY66" i="12"/>
  <c r="AZ66" i="12"/>
  <c r="BA66" i="12"/>
  <c r="BB66" i="12"/>
  <c r="BC66" i="12"/>
  <c r="BD66" i="12"/>
  <c r="BF66" i="12"/>
  <c r="BG66" i="12"/>
  <c r="BH66" i="12"/>
  <c r="BI66" i="12"/>
  <c r="BJ66" i="12"/>
  <c r="BK66" i="12"/>
  <c r="BL66" i="12"/>
  <c r="BM66" i="12"/>
  <c r="BN66" i="12"/>
  <c r="BO66" i="12"/>
  <c r="BP66" i="12"/>
  <c r="BQ66" i="12"/>
  <c r="BR66" i="12"/>
  <c r="BS66" i="12"/>
  <c r="BT66" i="12"/>
  <c r="BU66" i="12"/>
  <c r="BV66" i="12"/>
  <c r="BW66" i="12"/>
  <c r="BX66" i="12"/>
  <c r="BY66" i="12"/>
  <c r="BZ66" i="12"/>
  <c r="CA66" i="12"/>
  <c r="CB66" i="12"/>
  <c r="CC66" i="12"/>
  <c r="CE66" i="12"/>
  <c r="CF66" i="12"/>
  <c r="CG66" i="12"/>
  <c r="CH66" i="12"/>
  <c r="CI66" i="12"/>
  <c r="CJ66" i="12"/>
  <c r="CK66" i="12"/>
  <c r="CL66" i="12"/>
  <c r="CM66" i="12"/>
  <c r="CN66" i="12"/>
  <c r="CO66" i="12"/>
  <c r="CP66" i="12"/>
  <c r="CQ66" i="12"/>
  <c r="CR66" i="12"/>
  <c r="CS66" i="12"/>
  <c r="CT66" i="12"/>
  <c r="CU66" i="12"/>
  <c r="CV66" i="12"/>
  <c r="CW66" i="12"/>
  <c r="CX66" i="12"/>
  <c r="CY66" i="12"/>
  <c r="CZ66" i="12"/>
  <c r="DA66" i="12"/>
  <c r="DB66" i="12"/>
  <c r="DH66" i="12"/>
  <c r="DI66" i="12"/>
  <c r="DJ66" i="12"/>
  <c r="H67" i="12"/>
  <c r="I67" i="12"/>
  <c r="J67" i="12"/>
  <c r="K67" i="12"/>
  <c r="L67" i="12"/>
  <c r="M67" i="12"/>
  <c r="N67" i="12"/>
  <c r="O67" i="12"/>
  <c r="P67" i="12"/>
  <c r="Q67" i="12"/>
  <c r="R67" i="12"/>
  <c r="S67" i="12"/>
  <c r="T67" i="12"/>
  <c r="U67" i="12"/>
  <c r="V67" i="12"/>
  <c r="W67" i="12"/>
  <c r="X67" i="12"/>
  <c r="Y67" i="12"/>
  <c r="Z67" i="12"/>
  <c r="AA67" i="12"/>
  <c r="AB67" i="12"/>
  <c r="AC67" i="12"/>
  <c r="AD67" i="12"/>
  <c r="AE67" i="12"/>
  <c r="AG67" i="12"/>
  <c r="AH67" i="12"/>
  <c r="AI67" i="12"/>
  <c r="AJ67" i="12"/>
  <c r="AK67" i="12"/>
  <c r="AL67" i="12"/>
  <c r="AM67" i="12"/>
  <c r="AN67" i="12"/>
  <c r="AO67" i="12"/>
  <c r="AP67" i="12"/>
  <c r="AQ67" i="12"/>
  <c r="AR67" i="12"/>
  <c r="AS67" i="12"/>
  <c r="AT67" i="12"/>
  <c r="AU67" i="12"/>
  <c r="AV67" i="12"/>
  <c r="AW67" i="12"/>
  <c r="AX67" i="12"/>
  <c r="AY67" i="12"/>
  <c r="AZ67" i="12"/>
  <c r="BA67" i="12"/>
  <c r="BB67" i="12"/>
  <c r="BC67" i="12"/>
  <c r="BD67" i="12"/>
  <c r="BF67" i="12"/>
  <c r="BG67" i="12"/>
  <c r="BH67" i="12"/>
  <c r="BI67" i="12"/>
  <c r="BJ67" i="12"/>
  <c r="BK67" i="12"/>
  <c r="BL67" i="12"/>
  <c r="BM67" i="12"/>
  <c r="BN67" i="12"/>
  <c r="BO67" i="12"/>
  <c r="BP67" i="12"/>
  <c r="BQ67" i="12"/>
  <c r="BR67" i="12"/>
  <c r="BS67" i="12"/>
  <c r="BT67" i="12"/>
  <c r="BU67" i="12"/>
  <c r="BV67" i="12"/>
  <c r="BW67" i="12"/>
  <c r="BX67" i="12"/>
  <c r="BY67" i="12"/>
  <c r="BZ67" i="12"/>
  <c r="CA67" i="12"/>
  <c r="CB67" i="12"/>
  <c r="CC67" i="12"/>
  <c r="CE67" i="12"/>
  <c r="CF67" i="12"/>
  <c r="CG67" i="12"/>
  <c r="CH67" i="12"/>
  <c r="CI67" i="12"/>
  <c r="CJ67" i="12"/>
  <c r="CK67" i="12"/>
  <c r="CL67" i="12"/>
  <c r="CM67" i="12"/>
  <c r="CN67" i="12"/>
  <c r="CO67" i="12"/>
  <c r="CP67" i="12"/>
  <c r="CQ67" i="12"/>
  <c r="CR67" i="12"/>
  <c r="CS67" i="12"/>
  <c r="CT67" i="12"/>
  <c r="CU67" i="12"/>
  <c r="CV67" i="12"/>
  <c r="CW67" i="12"/>
  <c r="CX67" i="12"/>
  <c r="CY67" i="12"/>
  <c r="CZ67" i="12"/>
  <c r="DA67" i="12"/>
  <c r="DB67" i="12"/>
  <c r="DH67" i="12"/>
  <c r="DI67" i="12"/>
  <c r="DJ67" i="12"/>
  <c r="H68" i="12"/>
  <c r="I68" i="12"/>
  <c r="J68" i="12"/>
  <c r="K68" i="12"/>
  <c r="L68" i="12"/>
  <c r="M68" i="12"/>
  <c r="N68" i="12"/>
  <c r="O68" i="12"/>
  <c r="P68" i="12"/>
  <c r="Q68" i="12"/>
  <c r="R68" i="12"/>
  <c r="S68" i="12"/>
  <c r="T68" i="12"/>
  <c r="U68" i="12"/>
  <c r="V68" i="12"/>
  <c r="W68" i="12"/>
  <c r="X68" i="12"/>
  <c r="Y68" i="12"/>
  <c r="Z68" i="12"/>
  <c r="AA68" i="12"/>
  <c r="AB68" i="12"/>
  <c r="AC68" i="12"/>
  <c r="AD68" i="12"/>
  <c r="AE68" i="12"/>
  <c r="AG68" i="12"/>
  <c r="AH68" i="12"/>
  <c r="AI68" i="12"/>
  <c r="AJ68" i="12"/>
  <c r="AK68" i="12"/>
  <c r="AL68" i="12"/>
  <c r="AM68" i="12"/>
  <c r="AN68" i="12"/>
  <c r="AO68" i="12"/>
  <c r="AP68" i="12"/>
  <c r="AQ68" i="12"/>
  <c r="AR68" i="12"/>
  <c r="AS68" i="12"/>
  <c r="AT68" i="12"/>
  <c r="AU68" i="12"/>
  <c r="AV68" i="12"/>
  <c r="AW68" i="12"/>
  <c r="AX68" i="12"/>
  <c r="AY68" i="12"/>
  <c r="AZ68" i="12"/>
  <c r="BA68" i="12"/>
  <c r="BB68" i="12"/>
  <c r="BC68" i="12"/>
  <c r="BD68" i="12"/>
  <c r="BF68" i="12"/>
  <c r="BG68" i="12"/>
  <c r="BH68" i="12"/>
  <c r="BI68" i="12"/>
  <c r="BJ68" i="12"/>
  <c r="BK68" i="12"/>
  <c r="BL68" i="12"/>
  <c r="BM68" i="12"/>
  <c r="BN68" i="12"/>
  <c r="BO68" i="12"/>
  <c r="BP68" i="12"/>
  <c r="BQ68" i="12"/>
  <c r="BR68" i="12"/>
  <c r="BS68" i="12"/>
  <c r="BT68" i="12"/>
  <c r="BU68" i="12"/>
  <c r="BV68" i="12"/>
  <c r="BW68" i="12"/>
  <c r="BX68" i="12"/>
  <c r="BY68" i="12"/>
  <c r="BZ68" i="12"/>
  <c r="CA68" i="12"/>
  <c r="CB68" i="12"/>
  <c r="CC68" i="12"/>
  <c r="CE68" i="12"/>
  <c r="CF68" i="12"/>
  <c r="CG68" i="12"/>
  <c r="CH68" i="12"/>
  <c r="CI68" i="12"/>
  <c r="CJ68" i="12"/>
  <c r="CK68" i="12"/>
  <c r="CL68" i="12"/>
  <c r="CM68" i="12"/>
  <c r="CN68" i="12"/>
  <c r="CO68" i="12"/>
  <c r="CP68" i="12"/>
  <c r="CQ68" i="12"/>
  <c r="CR68" i="12"/>
  <c r="CS68" i="12"/>
  <c r="CT68" i="12"/>
  <c r="CU68" i="12"/>
  <c r="CV68" i="12"/>
  <c r="CW68" i="12"/>
  <c r="CX68" i="12"/>
  <c r="CY68" i="12"/>
  <c r="CZ68" i="12"/>
  <c r="DA68" i="12"/>
  <c r="DB68" i="12"/>
  <c r="DH68" i="12"/>
  <c r="DI68" i="12"/>
  <c r="DJ68" i="12"/>
  <c r="H69" i="12"/>
  <c r="I69" i="12"/>
  <c r="J69" i="12"/>
  <c r="K69" i="12"/>
  <c r="L69" i="12"/>
  <c r="M69" i="12"/>
  <c r="N69" i="12"/>
  <c r="O69" i="12"/>
  <c r="P69" i="12"/>
  <c r="Q69" i="12"/>
  <c r="R69" i="12"/>
  <c r="S69" i="12"/>
  <c r="T69" i="12"/>
  <c r="U69" i="12"/>
  <c r="V69" i="12"/>
  <c r="W69" i="12"/>
  <c r="X69" i="12"/>
  <c r="Y69" i="12"/>
  <c r="Z69" i="12"/>
  <c r="AA69" i="12"/>
  <c r="AB69" i="12"/>
  <c r="AC69" i="12"/>
  <c r="AD69" i="12"/>
  <c r="AE69" i="12"/>
  <c r="AG69" i="12"/>
  <c r="AH69" i="12"/>
  <c r="AI69" i="12"/>
  <c r="AJ69" i="12"/>
  <c r="AK69" i="12"/>
  <c r="AL69" i="12"/>
  <c r="AM69" i="12"/>
  <c r="AN69" i="12"/>
  <c r="AO69" i="12"/>
  <c r="AP69" i="12"/>
  <c r="AQ69" i="12"/>
  <c r="AR69" i="12"/>
  <c r="AS69" i="12"/>
  <c r="AT69" i="12"/>
  <c r="AU69" i="12"/>
  <c r="AV69" i="12"/>
  <c r="AW69" i="12"/>
  <c r="AX69" i="12"/>
  <c r="AY69" i="12"/>
  <c r="AZ69" i="12"/>
  <c r="BA69" i="12"/>
  <c r="BB69" i="12"/>
  <c r="BC69" i="12"/>
  <c r="BD69" i="12"/>
  <c r="BF69" i="12"/>
  <c r="BG69" i="12"/>
  <c r="BH69" i="12"/>
  <c r="BI69" i="12"/>
  <c r="BJ69" i="12"/>
  <c r="BK69" i="12"/>
  <c r="BL69" i="12"/>
  <c r="BM69" i="12"/>
  <c r="BN69" i="12"/>
  <c r="BO69" i="12"/>
  <c r="BP69" i="12"/>
  <c r="BQ69" i="12"/>
  <c r="BR69" i="12"/>
  <c r="BS69" i="12"/>
  <c r="BT69" i="12"/>
  <c r="BU69" i="12"/>
  <c r="BV69" i="12"/>
  <c r="BW69" i="12"/>
  <c r="BX69" i="12"/>
  <c r="BY69" i="12"/>
  <c r="BZ69" i="12"/>
  <c r="CA69" i="12"/>
  <c r="CB69" i="12"/>
  <c r="CC69" i="12"/>
  <c r="CE69" i="12"/>
  <c r="CF69" i="12"/>
  <c r="CG69" i="12"/>
  <c r="CH69" i="12"/>
  <c r="CI69" i="12"/>
  <c r="CJ69" i="12"/>
  <c r="CK69" i="12"/>
  <c r="CL69" i="12"/>
  <c r="CM69" i="12"/>
  <c r="CN69" i="12"/>
  <c r="CO69" i="12"/>
  <c r="CP69" i="12"/>
  <c r="CQ69" i="12"/>
  <c r="CR69" i="12"/>
  <c r="CS69" i="12"/>
  <c r="CT69" i="12"/>
  <c r="CU69" i="12"/>
  <c r="CV69" i="12"/>
  <c r="CW69" i="12"/>
  <c r="CX69" i="12"/>
  <c r="CY69" i="12"/>
  <c r="CZ69" i="12"/>
  <c r="DA69" i="12"/>
  <c r="DB69" i="12"/>
  <c r="DH69" i="12"/>
  <c r="DI69" i="12"/>
  <c r="DJ69" i="12"/>
  <c r="H70" i="12"/>
  <c r="I70" i="12"/>
  <c r="J70" i="12"/>
  <c r="K70" i="12"/>
  <c r="L70" i="12"/>
  <c r="M70" i="12"/>
  <c r="N70" i="12"/>
  <c r="O70" i="12"/>
  <c r="P70" i="12"/>
  <c r="Q70" i="12"/>
  <c r="R70" i="12"/>
  <c r="S70" i="12"/>
  <c r="T70" i="12"/>
  <c r="U70" i="12"/>
  <c r="V70" i="12"/>
  <c r="W70" i="12"/>
  <c r="X70" i="12"/>
  <c r="Y70" i="12"/>
  <c r="Z70" i="12"/>
  <c r="AA70" i="12"/>
  <c r="AB70" i="12"/>
  <c r="AC70" i="12"/>
  <c r="AD70" i="12"/>
  <c r="AE70" i="12"/>
  <c r="AG70" i="12"/>
  <c r="AH70" i="12"/>
  <c r="AI70" i="12"/>
  <c r="AJ70" i="12"/>
  <c r="AK70" i="12"/>
  <c r="AL70" i="12"/>
  <c r="AM70" i="12"/>
  <c r="AN70" i="12"/>
  <c r="AO70" i="12"/>
  <c r="AP70" i="12"/>
  <c r="AQ70" i="12"/>
  <c r="AR70" i="12"/>
  <c r="AS70" i="12"/>
  <c r="AT70" i="12"/>
  <c r="AU70" i="12"/>
  <c r="AV70" i="12"/>
  <c r="AW70" i="12"/>
  <c r="AX70" i="12"/>
  <c r="AY70" i="12"/>
  <c r="AZ70" i="12"/>
  <c r="BA70" i="12"/>
  <c r="BB70" i="12"/>
  <c r="BC70" i="12"/>
  <c r="BD70" i="12"/>
  <c r="BF70" i="12"/>
  <c r="BG70" i="12"/>
  <c r="BH70" i="12"/>
  <c r="BI70" i="12"/>
  <c r="BJ70" i="12"/>
  <c r="BK70" i="12"/>
  <c r="BL70" i="12"/>
  <c r="BM70" i="12"/>
  <c r="BN70" i="12"/>
  <c r="BO70" i="12"/>
  <c r="BP70" i="12"/>
  <c r="BQ70" i="12"/>
  <c r="BR70" i="12"/>
  <c r="BS70" i="12"/>
  <c r="BT70" i="12"/>
  <c r="BU70" i="12"/>
  <c r="BV70" i="12"/>
  <c r="BW70" i="12"/>
  <c r="BX70" i="12"/>
  <c r="BY70" i="12"/>
  <c r="BZ70" i="12"/>
  <c r="CA70" i="12"/>
  <c r="CB70" i="12"/>
  <c r="CC70" i="12"/>
  <c r="CE70" i="12"/>
  <c r="CF70" i="12"/>
  <c r="CG70" i="12"/>
  <c r="CH70" i="12"/>
  <c r="CI70" i="12"/>
  <c r="CJ70" i="12"/>
  <c r="CK70" i="12"/>
  <c r="CL70" i="12"/>
  <c r="CM70" i="12"/>
  <c r="CN70" i="12"/>
  <c r="CO70" i="12"/>
  <c r="CP70" i="12"/>
  <c r="CQ70" i="12"/>
  <c r="CR70" i="12"/>
  <c r="CS70" i="12"/>
  <c r="CT70" i="12"/>
  <c r="CU70" i="12"/>
  <c r="CV70" i="12"/>
  <c r="CW70" i="12"/>
  <c r="CX70" i="12"/>
  <c r="CY70" i="12"/>
  <c r="CZ70" i="12"/>
  <c r="DA70" i="12"/>
  <c r="DB70" i="12"/>
  <c r="DH70" i="12"/>
  <c r="DI70" i="12"/>
  <c r="DJ70" i="12"/>
  <c r="H71" i="12"/>
  <c r="I71" i="12"/>
  <c r="J71" i="12"/>
  <c r="K71" i="12"/>
  <c r="L71" i="12"/>
  <c r="M71" i="12"/>
  <c r="N71" i="12"/>
  <c r="O71" i="12"/>
  <c r="P71" i="12"/>
  <c r="Q71" i="12"/>
  <c r="R71" i="12"/>
  <c r="S71" i="12"/>
  <c r="T71" i="12"/>
  <c r="U71" i="12"/>
  <c r="V71" i="12"/>
  <c r="W71" i="12"/>
  <c r="X71" i="12"/>
  <c r="Y71" i="12"/>
  <c r="Z71" i="12"/>
  <c r="AA71" i="12"/>
  <c r="AB71" i="12"/>
  <c r="AC71" i="12"/>
  <c r="AD71" i="12"/>
  <c r="AE71" i="12"/>
  <c r="AG71" i="12"/>
  <c r="AH71" i="12"/>
  <c r="AI71" i="12"/>
  <c r="AJ71" i="12"/>
  <c r="AK71" i="12"/>
  <c r="AL71" i="12"/>
  <c r="AM71" i="12"/>
  <c r="AN71" i="12"/>
  <c r="AO71" i="12"/>
  <c r="AP71" i="12"/>
  <c r="AQ71" i="12"/>
  <c r="AR71" i="12"/>
  <c r="AS71" i="12"/>
  <c r="AT71" i="12"/>
  <c r="AU71" i="12"/>
  <c r="AV71" i="12"/>
  <c r="AW71" i="12"/>
  <c r="AX71" i="12"/>
  <c r="AY71" i="12"/>
  <c r="AZ71" i="12"/>
  <c r="BA71" i="12"/>
  <c r="BB71" i="12"/>
  <c r="BC71" i="12"/>
  <c r="BD71" i="12"/>
  <c r="BF71" i="12"/>
  <c r="BG71" i="12"/>
  <c r="BH71" i="12"/>
  <c r="BI71" i="12"/>
  <c r="BJ71" i="12"/>
  <c r="BK71" i="12"/>
  <c r="BL71" i="12"/>
  <c r="BM71" i="12"/>
  <c r="BN71" i="12"/>
  <c r="BO71" i="12"/>
  <c r="BP71" i="12"/>
  <c r="BQ71" i="12"/>
  <c r="BR71" i="12"/>
  <c r="BS71" i="12"/>
  <c r="BT71" i="12"/>
  <c r="BU71" i="12"/>
  <c r="BV71" i="12"/>
  <c r="BW71" i="12"/>
  <c r="BX71" i="12"/>
  <c r="BY71" i="12"/>
  <c r="BZ71" i="12"/>
  <c r="CA71" i="12"/>
  <c r="CB71" i="12"/>
  <c r="CC71" i="12"/>
  <c r="CE71" i="12"/>
  <c r="CF71" i="12"/>
  <c r="CG71" i="12"/>
  <c r="CH71" i="12"/>
  <c r="CI71" i="12"/>
  <c r="CJ71" i="12"/>
  <c r="CK71" i="12"/>
  <c r="CL71" i="12"/>
  <c r="CM71" i="12"/>
  <c r="CN71" i="12"/>
  <c r="CO71" i="12"/>
  <c r="CP71" i="12"/>
  <c r="CQ71" i="12"/>
  <c r="CR71" i="12"/>
  <c r="CS71" i="12"/>
  <c r="CT71" i="12"/>
  <c r="CU71" i="12"/>
  <c r="CV71" i="12"/>
  <c r="CW71" i="12"/>
  <c r="CX71" i="12"/>
  <c r="CY71" i="12"/>
  <c r="CZ71" i="12"/>
  <c r="DA71" i="12"/>
  <c r="DB71" i="12"/>
  <c r="DH71" i="12"/>
  <c r="DI71" i="12"/>
  <c r="DJ71" i="12"/>
  <c r="H72" i="12"/>
  <c r="I72" i="12"/>
  <c r="J72" i="12"/>
  <c r="K72" i="12"/>
  <c r="L72" i="12"/>
  <c r="M72" i="12"/>
  <c r="N72" i="12"/>
  <c r="O72" i="12"/>
  <c r="P72" i="12"/>
  <c r="Q72" i="12"/>
  <c r="R72" i="12"/>
  <c r="S72" i="12"/>
  <c r="T72" i="12"/>
  <c r="U72" i="12"/>
  <c r="V72" i="12"/>
  <c r="W72" i="12"/>
  <c r="X72" i="12"/>
  <c r="Y72" i="12"/>
  <c r="Z72" i="12"/>
  <c r="AA72" i="12"/>
  <c r="AB72" i="12"/>
  <c r="AC72" i="12"/>
  <c r="AD72" i="12"/>
  <c r="AE72" i="12"/>
  <c r="AG72" i="12"/>
  <c r="AH72" i="12"/>
  <c r="AI72" i="12"/>
  <c r="AJ72" i="12"/>
  <c r="AK72" i="12"/>
  <c r="AL72" i="12"/>
  <c r="AM72" i="12"/>
  <c r="AN72" i="12"/>
  <c r="AO72" i="12"/>
  <c r="AP72" i="12"/>
  <c r="AQ72" i="12"/>
  <c r="AR72" i="12"/>
  <c r="AS72" i="12"/>
  <c r="AT72" i="12"/>
  <c r="AU72" i="12"/>
  <c r="AV72" i="12"/>
  <c r="AW72" i="12"/>
  <c r="AX72" i="12"/>
  <c r="AY72" i="12"/>
  <c r="AZ72" i="12"/>
  <c r="BA72" i="12"/>
  <c r="BB72" i="12"/>
  <c r="BC72" i="12"/>
  <c r="BD72" i="12"/>
  <c r="BF72" i="12"/>
  <c r="BG72" i="12"/>
  <c r="BH72" i="12"/>
  <c r="BI72" i="12"/>
  <c r="BJ72" i="12"/>
  <c r="BK72" i="12"/>
  <c r="BL72" i="12"/>
  <c r="BM72" i="12"/>
  <c r="BN72" i="12"/>
  <c r="BO72" i="12"/>
  <c r="BP72" i="12"/>
  <c r="BQ72" i="12"/>
  <c r="BR72" i="12"/>
  <c r="BS72" i="12"/>
  <c r="BT72" i="12"/>
  <c r="BU72" i="12"/>
  <c r="BV72" i="12"/>
  <c r="BW72" i="12"/>
  <c r="BX72" i="12"/>
  <c r="BY72" i="12"/>
  <c r="BZ72" i="12"/>
  <c r="CA72" i="12"/>
  <c r="CB72" i="12"/>
  <c r="CC72" i="12"/>
  <c r="CE72" i="12"/>
  <c r="CF72" i="12"/>
  <c r="CG72" i="12"/>
  <c r="CH72" i="12"/>
  <c r="CI72" i="12"/>
  <c r="CJ72" i="12"/>
  <c r="CK72" i="12"/>
  <c r="CL72" i="12"/>
  <c r="CM72" i="12"/>
  <c r="CN72" i="12"/>
  <c r="CO72" i="12"/>
  <c r="CP72" i="12"/>
  <c r="CQ72" i="12"/>
  <c r="CR72" i="12"/>
  <c r="CS72" i="12"/>
  <c r="CT72" i="12"/>
  <c r="CU72" i="12"/>
  <c r="CV72" i="12"/>
  <c r="CW72" i="12"/>
  <c r="CX72" i="12"/>
  <c r="CY72" i="12"/>
  <c r="CZ72" i="12"/>
  <c r="DA72" i="12"/>
  <c r="DB72" i="12"/>
  <c r="DH72" i="12"/>
  <c r="DI72" i="12"/>
  <c r="DJ72" i="12"/>
  <c r="H73" i="12"/>
  <c r="I73" i="12"/>
  <c r="J73" i="12"/>
  <c r="K73" i="12"/>
  <c r="L73" i="12"/>
  <c r="M73" i="12"/>
  <c r="N73" i="12"/>
  <c r="O73" i="12"/>
  <c r="P73" i="12"/>
  <c r="Q73" i="12"/>
  <c r="R73" i="12"/>
  <c r="S73" i="12"/>
  <c r="T73" i="12"/>
  <c r="U73" i="12"/>
  <c r="V73" i="12"/>
  <c r="W73" i="12"/>
  <c r="X73" i="12"/>
  <c r="Y73" i="12"/>
  <c r="Z73" i="12"/>
  <c r="AA73" i="12"/>
  <c r="AB73" i="12"/>
  <c r="AC73" i="12"/>
  <c r="AD73" i="12"/>
  <c r="AE73" i="12"/>
  <c r="AG73" i="12"/>
  <c r="AH73" i="12"/>
  <c r="AI73" i="12"/>
  <c r="AJ73" i="12"/>
  <c r="AK73" i="12"/>
  <c r="AL73" i="12"/>
  <c r="AM73" i="12"/>
  <c r="AN73" i="12"/>
  <c r="AO73" i="12"/>
  <c r="AP73" i="12"/>
  <c r="AQ73" i="12"/>
  <c r="AR73" i="12"/>
  <c r="AS73" i="12"/>
  <c r="AT73" i="12"/>
  <c r="AU73" i="12"/>
  <c r="AV73" i="12"/>
  <c r="AW73" i="12"/>
  <c r="AX73" i="12"/>
  <c r="AY73" i="12"/>
  <c r="AZ73" i="12"/>
  <c r="BA73" i="12"/>
  <c r="BB73" i="12"/>
  <c r="BC73" i="12"/>
  <c r="BD73" i="12"/>
  <c r="BF73" i="12"/>
  <c r="BG73" i="12"/>
  <c r="BH73" i="12"/>
  <c r="BI73" i="12"/>
  <c r="BJ73" i="12"/>
  <c r="BK73" i="12"/>
  <c r="BL73" i="12"/>
  <c r="BM73" i="12"/>
  <c r="BN73" i="12"/>
  <c r="BO73" i="12"/>
  <c r="BP73" i="12"/>
  <c r="BQ73" i="12"/>
  <c r="BR73" i="12"/>
  <c r="BS73" i="12"/>
  <c r="BT73" i="12"/>
  <c r="BU73" i="12"/>
  <c r="BV73" i="12"/>
  <c r="BW73" i="12"/>
  <c r="BX73" i="12"/>
  <c r="BY73" i="12"/>
  <c r="BZ73" i="12"/>
  <c r="CA73" i="12"/>
  <c r="CB73" i="12"/>
  <c r="CC73" i="12"/>
  <c r="CE73" i="12"/>
  <c r="CF73" i="12"/>
  <c r="CG73" i="12"/>
  <c r="CH73" i="12"/>
  <c r="CI73" i="12"/>
  <c r="CJ73" i="12"/>
  <c r="CK73" i="12"/>
  <c r="CL73" i="12"/>
  <c r="CM73" i="12"/>
  <c r="CN73" i="12"/>
  <c r="CO73" i="12"/>
  <c r="CP73" i="12"/>
  <c r="CQ73" i="12"/>
  <c r="CR73" i="12"/>
  <c r="CS73" i="12"/>
  <c r="CT73" i="12"/>
  <c r="CU73" i="12"/>
  <c r="CV73" i="12"/>
  <c r="CW73" i="12"/>
  <c r="CX73" i="12"/>
  <c r="CY73" i="12"/>
  <c r="CZ73" i="12"/>
  <c r="DA73" i="12"/>
  <c r="DB73" i="12"/>
  <c r="DH73" i="12"/>
  <c r="DI73" i="12"/>
  <c r="DJ73" i="12"/>
  <c r="H74" i="12"/>
  <c r="I74" i="12"/>
  <c r="J74" i="12"/>
  <c r="K74" i="12"/>
  <c r="L74" i="12"/>
  <c r="M74" i="12"/>
  <c r="N74" i="12"/>
  <c r="O74" i="12"/>
  <c r="P74" i="12"/>
  <c r="Q74" i="12"/>
  <c r="R74" i="12"/>
  <c r="S74" i="12"/>
  <c r="T74" i="12"/>
  <c r="U74" i="12"/>
  <c r="V74" i="12"/>
  <c r="W74" i="12"/>
  <c r="X74" i="12"/>
  <c r="Y74" i="12"/>
  <c r="Z74" i="12"/>
  <c r="AA74" i="12"/>
  <c r="AB74" i="12"/>
  <c r="AC74" i="12"/>
  <c r="AD74" i="12"/>
  <c r="AE74" i="12"/>
  <c r="AG74" i="12"/>
  <c r="AH74" i="12"/>
  <c r="AI74" i="12"/>
  <c r="AJ74" i="12"/>
  <c r="AK74" i="12"/>
  <c r="AL74" i="12"/>
  <c r="AM74" i="12"/>
  <c r="AN74" i="12"/>
  <c r="AO74" i="12"/>
  <c r="AP74" i="12"/>
  <c r="AQ74" i="12"/>
  <c r="AR74" i="12"/>
  <c r="AS74" i="12"/>
  <c r="AT74" i="12"/>
  <c r="AU74" i="12"/>
  <c r="AV74" i="12"/>
  <c r="AW74" i="12"/>
  <c r="AX74" i="12"/>
  <c r="AY74" i="12"/>
  <c r="AZ74" i="12"/>
  <c r="BA74" i="12"/>
  <c r="BB74" i="12"/>
  <c r="BC74" i="12"/>
  <c r="BD74" i="12"/>
  <c r="BF74" i="12"/>
  <c r="BG74" i="12"/>
  <c r="BH74" i="12"/>
  <c r="BI74" i="12"/>
  <c r="BJ74" i="12"/>
  <c r="BK74" i="12"/>
  <c r="BL74" i="12"/>
  <c r="BM74" i="12"/>
  <c r="BN74" i="12"/>
  <c r="BO74" i="12"/>
  <c r="BP74" i="12"/>
  <c r="BQ74" i="12"/>
  <c r="BR74" i="12"/>
  <c r="BS74" i="12"/>
  <c r="BT74" i="12"/>
  <c r="BU74" i="12"/>
  <c r="BV74" i="12"/>
  <c r="BW74" i="12"/>
  <c r="BX74" i="12"/>
  <c r="BY74" i="12"/>
  <c r="BZ74" i="12"/>
  <c r="CA74" i="12"/>
  <c r="CB74" i="12"/>
  <c r="CC74" i="12"/>
  <c r="CE74" i="12"/>
  <c r="CF74" i="12"/>
  <c r="CG74" i="12"/>
  <c r="CH74" i="12"/>
  <c r="CI74" i="12"/>
  <c r="CJ74" i="12"/>
  <c r="CK74" i="12"/>
  <c r="CL74" i="12"/>
  <c r="CM74" i="12"/>
  <c r="CN74" i="12"/>
  <c r="CO74" i="12"/>
  <c r="CP74" i="12"/>
  <c r="CQ74" i="12"/>
  <c r="CR74" i="12"/>
  <c r="CS74" i="12"/>
  <c r="CT74" i="12"/>
  <c r="CU74" i="12"/>
  <c r="CV74" i="12"/>
  <c r="CW74" i="12"/>
  <c r="CX74" i="12"/>
  <c r="CY74" i="12"/>
  <c r="CZ74" i="12"/>
  <c r="DA74" i="12"/>
  <c r="DB74" i="12"/>
  <c r="DH74" i="12"/>
  <c r="DI74" i="12"/>
  <c r="DJ74" i="12"/>
  <c r="H75" i="12"/>
  <c r="I75" i="12"/>
  <c r="J75" i="12"/>
  <c r="K75" i="12"/>
  <c r="L75" i="12"/>
  <c r="M75" i="12"/>
  <c r="N75" i="12"/>
  <c r="O75" i="12"/>
  <c r="P75" i="12"/>
  <c r="Q75" i="12"/>
  <c r="R75" i="12"/>
  <c r="S75" i="12"/>
  <c r="T75" i="12"/>
  <c r="U75" i="12"/>
  <c r="V75" i="12"/>
  <c r="W75" i="12"/>
  <c r="X75" i="12"/>
  <c r="Y75" i="12"/>
  <c r="Z75" i="12"/>
  <c r="AA75" i="12"/>
  <c r="AB75" i="12"/>
  <c r="AC75" i="12"/>
  <c r="AD75" i="12"/>
  <c r="AE75" i="12"/>
  <c r="AG75" i="12"/>
  <c r="AH75" i="12"/>
  <c r="AI75" i="12"/>
  <c r="AJ75" i="12"/>
  <c r="AK75" i="12"/>
  <c r="AL75" i="12"/>
  <c r="AM75" i="12"/>
  <c r="AN75" i="12"/>
  <c r="AO75" i="12"/>
  <c r="AP75" i="12"/>
  <c r="AQ75" i="12"/>
  <c r="AR75" i="12"/>
  <c r="AS75" i="12"/>
  <c r="AT75" i="12"/>
  <c r="AU75" i="12"/>
  <c r="AV75" i="12"/>
  <c r="AW75" i="12"/>
  <c r="AX75" i="12"/>
  <c r="AY75" i="12"/>
  <c r="AZ75" i="12"/>
  <c r="BA75" i="12"/>
  <c r="BB75" i="12"/>
  <c r="BC75" i="12"/>
  <c r="BD75" i="12"/>
  <c r="BF75" i="12"/>
  <c r="BG75" i="12"/>
  <c r="BH75" i="12"/>
  <c r="BI75" i="12"/>
  <c r="BJ75" i="12"/>
  <c r="BK75" i="12"/>
  <c r="BL75" i="12"/>
  <c r="BM75" i="12"/>
  <c r="BN75" i="12"/>
  <c r="BO75" i="12"/>
  <c r="BP75" i="12"/>
  <c r="BQ75" i="12"/>
  <c r="BR75" i="12"/>
  <c r="BS75" i="12"/>
  <c r="BT75" i="12"/>
  <c r="BU75" i="12"/>
  <c r="BV75" i="12"/>
  <c r="BW75" i="12"/>
  <c r="BX75" i="12"/>
  <c r="BY75" i="12"/>
  <c r="BZ75" i="12"/>
  <c r="CA75" i="12"/>
  <c r="CB75" i="12"/>
  <c r="CC75" i="12"/>
  <c r="CE75" i="12"/>
  <c r="CF75" i="12"/>
  <c r="CG75" i="12"/>
  <c r="CH75" i="12"/>
  <c r="CI75" i="12"/>
  <c r="CJ75" i="12"/>
  <c r="CK75" i="12"/>
  <c r="CL75" i="12"/>
  <c r="CM75" i="12"/>
  <c r="CN75" i="12"/>
  <c r="CO75" i="12"/>
  <c r="CP75" i="12"/>
  <c r="CQ75" i="12"/>
  <c r="CR75" i="12"/>
  <c r="CS75" i="12"/>
  <c r="CT75" i="12"/>
  <c r="CU75" i="12"/>
  <c r="CV75" i="12"/>
  <c r="CW75" i="12"/>
  <c r="CX75" i="12"/>
  <c r="CY75" i="12"/>
  <c r="CZ75" i="12"/>
  <c r="DA75" i="12"/>
  <c r="DB75" i="12"/>
  <c r="DH75" i="12"/>
  <c r="DI75" i="12"/>
  <c r="DJ75" i="12"/>
  <c r="H76" i="12"/>
  <c r="I76" i="12"/>
  <c r="J76" i="12"/>
  <c r="K76" i="12"/>
  <c r="L76" i="12"/>
  <c r="M76" i="12"/>
  <c r="N76" i="12"/>
  <c r="O76" i="12"/>
  <c r="P76" i="12"/>
  <c r="Q76" i="12"/>
  <c r="R76" i="12"/>
  <c r="S76" i="12"/>
  <c r="T76" i="12"/>
  <c r="U76" i="12"/>
  <c r="V76" i="12"/>
  <c r="W76" i="12"/>
  <c r="X76" i="12"/>
  <c r="Y76" i="12"/>
  <c r="Z76" i="12"/>
  <c r="AA76" i="12"/>
  <c r="AB76" i="12"/>
  <c r="AC76" i="12"/>
  <c r="AD76" i="12"/>
  <c r="AE76" i="12"/>
  <c r="AG76" i="12"/>
  <c r="AH76" i="12"/>
  <c r="AI76" i="12"/>
  <c r="AJ76" i="12"/>
  <c r="AK76" i="12"/>
  <c r="AL76" i="12"/>
  <c r="AM76" i="12"/>
  <c r="AN76" i="12"/>
  <c r="AO76" i="12"/>
  <c r="AP76" i="12"/>
  <c r="AQ76" i="12"/>
  <c r="AR76" i="12"/>
  <c r="AS76" i="12"/>
  <c r="AT76" i="12"/>
  <c r="AU76" i="12"/>
  <c r="AV76" i="12"/>
  <c r="AW76" i="12"/>
  <c r="AX76" i="12"/>
  <c r="AY76" i="12"/>
  <c r="AZ76" i="12"/>
  <c r="BA76" i="12"/>
  <c r="BB76" i="12"/>
  <c r="BC76" i="12"/>
  <c r="BD76" i="12"/>
  <c r="BF76" i="12"/>
  <c r="BG76" i="12"/>
  <c r="BH76" i="12"/>
  <c r="BI76" i="12"/>
  <c r="BJ76" i="12"/>
  <c r="BK76" i="12"/>
  <c r="BL76" i="12"/>
  <c r="BM76" i="12"/>
  <c r="BN76" i="12"/>
  <c r="BO76" i="12"/>
  <c r="BP76" i="12"/>
  <c r="BQ76" i="12"/>
  <c r="BR76" i="12"/>
  <c r="BS76" i="12"/>
  <c r="BT76" i="12"/>
  <c r="BU76" i="12"/>
  <c r="BV76" i="12"/>
  <c r="BW76" i="12"/>
  <c r="BX76" i="12"/>
  <c r="BY76" i="12"/>
  <c r="BZ76" i="12"/>
  <c r="CA76" i="12"/>
  <c r="CB76" i="12"/>
  <c r="CC76" i="12"/>
  <c r="CE76" i="12"/>
  <c r="CF76" i="12"/>
  <c r="CG76" i="12"/>
  <c r="CH76" i="12"/>
  <c r="CI76" i="12"/>
  <c r="CJ76" i="12"/>
  <c r="CK76" i="12"/>
  <c r="CL76" i="12"/>
  <c r="CM76" i="12"/>
  <c r="CN76" i="12"/>
  <c r="CO76" i="12"/>
  <c r="CP76" i="12"/>
  <c r="CQ76" i="12"/>
  <c r="CR76" i="12"/>
  <c r="CS76" i="12"/>
  <c r="CT76" i="12"/>
  <c r="CU76" i="12"/>
  <c r="CV76" i="12"/>
  <c r="CW76" i="12"/>
  <c r="CX76" i="12"/>
  <c r="CY76" i="12"/>
  <c r="CZ76" i="12"/>
  <c r="DA76" i="12"/>
  <c r="DB76" i="12"/>
  <c r="DH76" i="12"/>
  <c r="DI76" i="12"/>
  <c r="DJ76" i="12"/>
  <c r="H77" i="12"/>
  <c r="I77" i="12"/>
  <c r="J77" i="12"/>
  <c r="K77" i="12"/>
  <c r="L77" i="12"/>
  <c r="M77" i="12"/>
  <c r="N77" i="12"/>
  <c r="O77" i="12"/>
  <c r="P77" i="12"/>
  <c r="Q77" i="12"/>
  <c r="R77" i="12"/>
  <c r="S77" i="12"/>
  <c r="T77" i="12"/>
  <c r="U77" i="12"/>
  <c r="V77" i="12"/>
  <c r="W77" i="12"/>
  <c r="X77" i="12"/>
  <c r="Y77" i="12"/>
  <c r="Z77" i="12"/>
  <c r="AA77" i="12"/>
  <c r="AB77" i="12"/>
  <c r="AC77" i="12"/>
  <c r="AD77" i="12"/>
  <c r="AE77" i="12"/>
  <c r="AG77" i="12"/>
  <c r="AH77" i="12"/>
  <c r="AI77" i="12"/>
  <c r="AJ77" i="12"/>
  <c r="AK77" i="12"/>
  <c r="AL77" i="12"/>
  <c r="AM77" i="12"/>
  <c r="AN77" i="12"/>
  <c r="AO77" i="12"/>
  <c r="AP77" i="12"/>
  <c r="AQ77" i="12"/>
  <c r="AR77" i="12"/>
  <c r="AS77" i="12"/>
  <c r="AT77" i="12"/>
  <c r="AU77" i="12"/>
  <c r="AV77" i="12"/>
  <c r="AW77" i="12"/>
  <c r="AX77" i="12"/>
  <c r="AY77" i="12"/>
  <c r="AZ77" i="12"/>
  <c r="BA77" i="12"/>
  <c r="BB77" i="12"/>
  <c r="BC77" i="12"/>
  <c r="BD77" i="12"/>
  <c r="BF77" i="12"/>
  <c r="BG77" i="12"/>
  <c r="BH77" i="12"/>
  <c r="BI77" i="12"/>
  <c r="BJ77" i="12"/>
  <c r="BK77" i="12"/>
  <c r="BL77" i="12"/>
  <c r="BM77" i="12"/>
  <c r="BN77" i="12"/>
  <c r="BO77" i="12"/>
  <c r="BP77" i="12"/>
  <c r="BQ77" i="12"/>
  <c r="BR77" i="12"/>
  <c r="BS77" i="12"/>
  <c r="BT77" i="12"/>
  <c r="BU77" i="12"/>
  <c r="BV77" i="12"/>
  <c r="BW77" i="12"/>
  <c r="BX77" i="12"/>
  <c r="BY77" i="12"/>
  <c r="BZ77" i="12"/>
  <c r="CA77" i="12"/>
  <c r="CB77" i="12"/>
  <c r="CC77" i="12"/>
  <c r="CE77" i="12"/>
  <c r="CF77" i="12"/>
  <c r="CG77" i="12"/>
  <c r="CH77" i="12"/>
  <c r="CI77" i="12"/>
  <c r="CJ77" i="12"/>
  <c r="CK77" i="12"/>
  <c r="CL77" i="12"/>
  <c r="CM77" i="12"/>
  <c r="CN77" i="12"/>
  <c r="CO77" i="12"/>
  <c r="CP77" i="12"/>
  <c r="CQ77" i="12"/>
  <c r="CR77" i="12"/>
  <c r="CS77" i="12"/>
  <c r="CT77" i="12"/>
  <c r="CU77" i="12"/>
  <c r="CV77" i="12"/>
  <c r="CW77" i="12"/>
  <c r="CX77" i="12"/>
  <c r="CY77" i="12"/>
  <c r="CZ77" i="12"/>
  <c r="DA77" i="12"/>
  <c r="DB77" i="12"/>
  <c r="DH77" i="12"/>
  <c r="DI77" i="12"/>
  <c r="DJ77" i="12"/>
  <c r="H78" i="12"/>
  <c r="I78" i="12"/>
  <c r="J78" i="12"/>
  <c r="K78" i="12"/>
  <c r="L78" i="12"/>
  <c r="M78" i="12"/>
  <c r="N78" i="12"/>
  <c r="O78" i="12"/>
  <c r="P78" i="12"/>
  <c r="Q78" i="12"/>
  <c r="R78" i="12"/>
  <c r="S78" i="12"/>
  <c r="T78" i="12"/>
  <c r="U78" i="12"/>
  <c r="V78" i="12"/>
  <c r="W78" i="12"/>
  <c r="X78" i="12"/>
  <c r="Y78" i="12"/>
  <c r="Z78" i="12"/>
  <c r="AA78" i="12"/>
  <c r="AB78" i="12"/>
  <c r="AC78" i="12"/>
  <c r="AD78" i="12"/>
  <c r="AE78" i="12"/>
  <c r="AG78" i="12"/>
  <c r="AH78" i="12"/>
  <c r="AI78" i="12"/>
  <c r="AJ78" i="12"/>
  <c r="AK78" i="12"/>
  <c r="AL78" i="12"/>
  <c r="AM78" i="12"/>
  <c r="AN78" i="12"/>
  <c r="AO78" i="12"/>
  <c r="AP78" i="12"/>
  <c r="AQ78" i="12"/>
  <c r="AR78" i="12"/>
  <c r="AS78" i="12"/>
  <c r="AT78" i="12"/>
  <c r="AU78" i="12"/>
  <c r="AV78" i="12"/>
  <c r="AW78" i="12"/>
  <c r="AX78" i="12"/>
  <c r="AY78" i="12"/>
  <c r="AZ78" i="12"/>
  <c r="BA78" i="12"/>
  <c r="BB78" i="12"/>
  <c r="BC78" i="12"/>
  <c r="BD78" i="12"/>
  <c r="BF78" i="12"/>
  <c r="BG78" i="12"/>
  <c r="BH78" i="12"/>
  <c r="BI78" i="12"/>
  <c r="BJ78" i="12"/>
  <c r="BK78" i="12"/>
  <c r="BL78" i="12"/>
  <c r="BM78" i="12"/>
  <c r="BN78" i="12"/>
  <c r="BO78" i="12"/>
  <c r="BP78" i="12"/>
  <c r="BQ78" i="12"/>
  <c r="BR78" i="12"/>
  <c r="BS78" i="12"/>
  <c r="BT78" i="12"/>
  <c r="BU78" i="12"/>
  <c r="BV78" i="12"/>
  <c r="BW78" i="12"/>
  <c r="BX78" i="12"/>
  <c r="BY78" i="12"/>
  <c r="BZ78" i="12"/>
  <c r="CA78" i="12"/>
  <c r="CB78" i="12"/>
  <c r="CC78" i="12"/>
  <c r="CE78" i="12"/>
  <c r="CF78" i="12"/>
  <c r="CG78" i="12"/>
  <c r="CH78" i="12"/>
  <c r="CI78" i="12"/>
  <c r="CJ78" i="12"/>
  <c r="CK78" i="12"/>
  <c r="CL78" i="12"/>
  <c r="CM78" i="12"/>
  <c r="CN78" i="12"/>
  <c r="CO78" i="12"/>
  <c r="CP78" i="12"/>
  <c r="CQ78" i="12"/>
  <c r="CR78" i="12"/>
  <c r="CS78" i="12"/>
  <c r="CT78" i="12"/>
  <c r="CU78" i="12"/>
  <c r="CV78" i="12"/>
  <c r="CW78" i="12"/>
  <c r="CX78" i="12"/>
  <c r="CY78" i="12"/>
  <c r="CZ78" i="12"/>
  <c r="DA78" i="12"/>
  <c r="DB78" i="12"/>
  <c r="DH78" i="12"/>
  <c r="DI78" i="12"/>
  <c r="DJ78" i="12"/>
  <c r="H79" i="12"/>
  <c r="I79" i="12"/>
  <c r="J79" i="12"/>
  <c r="K79" i="12"/>
  <c r="L79" i="12"/>
  <c r="M79" i="12"/>
  <c r="N79" i="12"/>
  <c r="O79" i="12"/>
  <c r="P79" i="12"/>
  <c r="Q79" i="12"/>
  <c r="R79" i="12"/>
  <c r="S79" i="12"/>
  <c r="T79" i="12"/>
  <c r="U79" i="12"/>
  <c r="V79" i="12"/>
  <c r="W79" i="12"/>
  <c r="X79" i="12"/>
  <c r="Y79" i="12"/>
  <c r="Z79" i="12"/>
  <c r="AA79" i="12"/>
  <c r="AB79" i="12"/>
  <c r="AC79" i="12"/>
  <c r="AD79" i="12"/>
  <c r="AE79" i="12"/>
  <c r="AG79" i="12"/>
  <c r="AH79" i="12"/>
  <c r="AI79" i="12"/>
  <c r="AJ79" i="12"/>
  <c r="AK79" i="12"/>
  <c r="AL79" i="12"/>
  <c r="AM79" i="12"/>
  <c r="AN79" i="12"/>
  <c r="AO79" i="12"/>
  <c r="AP79" i="12"/>
  <c r="AQ79" i="12"/>
  <c r="AR79" i="12"/>
  <c r="AS79" i="12"/>
  <c r="AT79" i="12"/>
  <c r="AU79" i="12"/>
  <c r="AV79" i="12"/>
  <c r="AW79" i="12"/>
  <c r="AX79" i="12"/>
  <c r="AY79" i="12"/>
  <c r="AZ79" i="12"/>
  <c r="BA79" i="12"/>
  <c r="BB79" i="12"/>
  <c r="BC79" i="12"/>
  <c r="BD79" i="12"/>
  <c r="BF79" i="12"/>
  <c r="BG79" i="12"/>
  <c r="BH79" i="12"/>
  <c r="BI79" i="12"/>
  <c r="BJ79" i="12"/>
  <c r="BK79" i="12"/>
  <c r="BL79" i="12"/>
  <c r="BM79" i="12"/>
  <c r="BN79" i="12"/>
  <c r="BO79" i="12"/>
  <c r="BP79" i="12"/>
  <c r="BQ79" i="12"/>
  <c r="BR79" i="12"/>
  <c r="BS79" i="12"/>
  <c r="BT79" i="12"/>
  <c r="BU79" i="12"/>
  <c r="BV79" i="12"/>
  <c r="BW79" i="12"/>
  <c r="BX79" i="12"/>
  <c r="BY79" i="12"/>
  <c r="BZ79" i="12"/>
  <c r="CA79" i="12"/>
  <c r="CB79" i="12"/>
  <c r="CC79" i="12"/>
  <c r="CE79" i="12"/>
  <c r="CF79" i="12"/>
  <c r="CG79" i="12"/>
  <c r="CH79" i="12"/>
  <c r="CI79" i="12"/>
  <c r="CJ79" i="12"/>
  <c r="CK79" i="12"/>
  <c r="CL79" i="12"/>
  <c r="CM79" i="12"/>
  <c r="CN79" i="12"/>
  <c r="CO79" i="12"/>
  <c r="CP79" i="12"/>
  <c r="CQ79" i="12"/>
  <c r="CR79" i="12"/>
  <c r="CS79" i="12"/>
  <c r="CT79" i="12"/>
  <c r="CU79" i="12"/>
  <c r="CV79" i="12"/>
  <c r="CW79" i="12"/>
  <c r="CX79" i="12"/>
  <c r="CY79" i="12"/>
  <c r="CZ79" i="12"/>
  <c r="DA79" i="12"/>
  <c r="DB79" i="12"/>
  <c r="DH79" i="12"/>
  <c r="DI79" i="12"/>
  <c r="DJ79" i="12"/>
  <c r="H80" i="12"/>
  <c r="I80" i="12"/>
  <c r="J80" i="12"/>
  <c r="K80" i="12"/>
  <c r="L80" i="12"/>
  <c r="M80" i="12"/>
  <c r="N80" i="12"/>
  <c r="O80" i="12"/>
  <c r="P80" i="12"/>
  <c r="Q80" i="12"/>
  <c r="R80" i="12"/>
  <c r="S80" i="12"/>
  <c r="T80" i="12"/>
  <c r="U80" i="12"/>
  <c r="V80" i="12"/>
  <c r="W80" i="12"/>
  <c r="X80" i="12"/>
  <c r="Y80" i="12"/>
  <c r="Z80" i="12"/>
  <c r="AA80" i="12"/>
  <c r="AB80" i="12"/>
  <c r="AC80" i="12"/>
  <c r="AD80" i="12"/>
  <c r="AE80" i="12"/>
  <c r="AG80" i="12"/>
  <c r="AH80" i="12"/>
  <c r="AI80" i="12"/>
  <c r="AJ80" i="12"/>
  <c r="AK80" i="12"/>
  <c r="AL80" i="12"/>
  <c r="AM80" i="12"/>
  <c r="AN80" i="12"/>
  <c r="AO80" i="12"/>
  <c r="AP80" i="12"/>
  <c r="AQ80" i="12"/>
  <c r="AR80" i="12"/>
  <c r="AS80" i="12"/>
  <c r="AT80" i="12"/>
  <c r="AU80" i="12"/>
  <c r="AV80" i="12"/>
  <c r="AW80" i="12"/>
  <c r="AX80" i="12"/>
  <c r="AY80" i="12"/>
  <c r="AZ80" i="12"/>
  <c r="BA80" i="12"/>
  <c r="BB80" i="12"/>
  <c r="BC80" i="12"/>
  <c r="BD80" i="12"/>
  <c r="BF80" i="12"/>
  <c r="BG80" i="12"/>
  <c r="BH80" i="12"/>
  <c r="BI80" i="12"/>
  <c r="BJ80" i="12"/>
  <c r="BK80" i="12"/>
  <c r="BL80" i="12"/>
  <c r="BM80" i="12"/>
  <c r="BN80" i="12"/>
  <c r="BO80" i="12"/>
  <c r="BP80" i="12"/>
  <c r="BQ80" i="12"/>
  <c r="BR80" i="12"/>
  <c r="BS80" i="12"/>
  <c r="BT80" i="12"/>
  <c r="BU80" i="12"/>
  <c r="BV80" i="12"/>
  <c r="BW80" i="12"/>
  <c r="BX80" i="12"/>
  <c r="BY80" i="12"/>
  <c r="BZ80" i="12"/>
  <c r="CA80" i="12"/>
  <c r="CB80" i="12"/>
  <c r="CC80" i="12"/>
  <c r="CE80" i="12"/>
  <c r="CF80" i="12"/>
  <c r="CG80" i="12"/>
  <c r="CH80" i="12"/>
  <c r="CI80" i="12"/>
  <c r="CJ80" i="12"/>
  <c r="CK80" i="12"/>
  <c r="CL80" i="12"/>
  <c r="CM80" i="12"/>
  <c r="CN80" i="12"/>
  <c r="CO80" i="12"/>
  <c r="CP80" i="12"/>
  <c r="CQ80" i="12"/>
  <c r="CR80" i="12"/>
  <c r="CS80" i="12"/>
  <c r="CT80" i="12"/>
  <c r="CU80" i="12"/>
  <c r="CV80" i="12"/>
  <c r="CW80" i="12"/>
  <c r="CX80" i="12"/>
  <c r="CY80" i="12"/>
  <c r="CZ80" i="12"/>
  <c r="DA80" i="12"/>
  <c r="DB80" i="12"/>
  <c r="DH80" i="12"/>
  <c r="DI80" i="12"/>
  <c r="DJ80" i="12"/>
  <c r="H81" i="12"/>
  <c r="I81" i="12"/>
  <c r="J81" i="12"/>
  <c r="K81" i="12"/>
  <c r="L81" i="12"/>
  <c r="M81" i="12"/>
  <c r="N81" i="12"/>
  <c r="O81" i="12"/>
  <c r="P81" i="12"/>
  <c r="Q81" i="12"/>
  <c r="R81" i="12"/>
  <c r="S81" i="12"/>
  <c r="T81" i="12"/>
  <c r="U81" i="12"/>
  <c r="V81" i="12"/>
  <c r="W81" i="12"/>
  <c r="X81" i="12"/>
  <c r="Y81" i="12"/>
  <c r="Z81" i="12"/>
  <c r="AA81" i="12"/>
  <c r="AB81" i="12"/>
  <c r="AC81" i="12"/>
  <c r="AD81" i="12"/>
  <c r="AE81" i="12"/>
  <c r="AG81" i="12"/>
  <c r="AH81" i="12"/>
  <c r="AI81" i="12"/>
  <c r="AJ81" i="12"/>
  <c r="AK81" i="12"/>
  <c r="AL81" i="12"/>
  <c r="AM81" i="12"/>
  <c r="AN81" i="12"/>
  <c r="AO81" i="12"/>
  <c r="AP81" i="12"/>
  <c r="AQ81" i="12"/>
  <c r="AR81" i="12"/>
  <c r="AS81" i="12"/>
  <c r="AT81" i="12"/>
  <c r="AU81" i="12"/>
  <c r="AV81" i="12"/>
  <c r="AW81" i="12"/>
  <c r="AX81" i="12"/>
  <c r="AY81" i="12"/>
  <c r="AZ81" i="12"/>
  <c r="BA81" i="12"/>
  <c r="BB81" i="12"/>
  <c r="BC81" i="12"/>
  <c r="BD81" i="12"/>
  <c r="BF81" i="12"/>
  <c r="BG81" i="12"/>
  <c r="BH81" i="12"/>
  <c r="BI81" i="12"/>
  <c r="BJ81" i="12"/>
  <c r="BK81" i="12"/>
  <c r="BL81" i="12"/>
  <c r="BM81" i="12"/>
  <c r="BN81" i="12"/>
  <c r="BO81" i="12"/>
  <c r="BP81" i="12"/>
  <c r="BQ81" i="12"/>
  <c r="BR81" i="12"/>
  <c r="BS81" i="12"/>
  <c r="BT81" i="12"/>
  <c r="BU81" i="12"/>
  <c r="BV81" i="12"/>
  <c r="BW81" i="12"/>
  <c r="BX81" i="12"/>
  <c r="BY81" i="12"/>
  <c r="BZ81" i="12"/>
  <c r="CA81" i="12"/>
  <c r="CB81" i="12"/>
  <c r="CC81" i="12"/>
  <c r="CE81" i="12"/>
  <c r="CF81" i="12"/>
  <c r="CG81" i="12"/>
  <c r="CH81" i="12"/>
  <c r="CI81" i="12"/>
  <c r="CJ81" i="12"/>
  <c r="CK81" i="12"/>
  <c r="CL81" i="12"/>
  <c r="CM81" i="12"/>
  <c r="CN81" i="12"/>
  <c r="CO81" i="12"/>
  <c r="CP81" i="12"/>
  <c r="CQ81" i="12"/>
  <c r="CR81" i="12"/>
  <c r="CS81" i="12"/>
  <c r="CT81" i="12"/>
  <c r="CU81" i="12"/>
  <c r="CV81" i="12"/>
  <c r="CW81" i="12"/>
  <c r="CX81" i="12"/>
  <c r="CY81" i="12"/>
  <c r="CZ81" i="12"/>
  <c r="DA81" i="12"/>
  <c r="DB81" i="12"/>
  <c r="DH81" i="12"/>
  <c r="DI81" i="12"/>
  <c r="DJ81" i="12"/>
  <c r="H82" i="12"/>
  <c r="I82" i="12"/>
  <c r="J82" i="12"/>
  <c r="K82" i="12"/>
  <c r="L82" i="12"/>
  <c r="M82" i="12"/>
  <c r="N82" i="12"/>
  <c r="O82" i="12"/>
  <c r="P82" i="12"/>
  <c r="Q82" i="12"/>
  <c r="R82" i="12"/>
  <c r="S82" i="12"/>
  <c r="T82" i="12"/>
  <c r="U82" i="12"/>
  <c r="V82" i="12"/>
  <c r="W82" i="12"/>
  <c r="X82" i="12"/>
  <c r="Y82" i="12"/>
  <c r="Z82" i="12"/>
  <c r="AA82" i="12"/>
  <c r="AB82" i="12"/>
  <c r="AC82" i="12"/>
  <c r="AD82" i="12"/>
  <c r="AE82" i="12"/>
  <c r="AG82" i="12"/>
  <c r="AH82" i="12"/>
  <c r="AI82" i="12"/>
  <c r="AJ82" i="12"/>
  <c r="AK82" i="12"/>
  <c r="AL82" i="12"/>
  <c r="AM82" i="12"/>
  <c r="AN82" i="12"/>
  <c r="AO82" i="12"/>
  <c r="AP82" i="12"/>
  <c r="AQ82" i="12"/>
  <c r="AR82" i="12"/>
  <c r="AS82" i="12"/>
  <c r="AT82" i="12"/>
  <c r="AU82" i="12"/>
  <c r="AV82" i="12"/>
  <c r="AW82" i="12"/>
  <c r="AX82" i="12"/>
  <c r="AY82" i="12"/>
  <c r="AZ82" i="12"/>
  <c r="BA82" i="12"/>
  <c r="BB82" i="12"/>
  <c r="BC82" i="12"/>
  <c r="BD82" i="12"/>
  <c r="BF82" i="12"/>
  <c r="BG82" i="12"/>
  <c r="BH82" i="12"/>
  <c r="BI82" i="12"/>
  <c r="BJ82" i="12"/>
  <c r="BK82" i="12"/>
  <c r="BL82" i="12"/>
  <c r="BM82" i="12"/>
  <c r="BN82" i="12"/>
  <c r="BO82" i="12"/>
  <c r="BP82" i="12"/>
  <c r="BQ82" i="12"/>
  <c r="BR82" i="12"/>
  <c r="BS82" i="12"/>
  <c r="BT82" i="12"/>
  <c r="BU82" i="12"/>
  <c r="BV82" i="12"/>
  <c r="BW82" i="12"/>
  <c r="BX82" i="12"/>
  <c r="BY82" i="12"/>
  <c r="BZ82" i="12"/>
  <c r="CA82" i="12"/>
  <c r="CB82" i="12"/>
  <c r="CC82" i="12"/>
  <c r="CE82" i="12"/>
  <c r="CF82" i="12"/>
  <c r="CG82" i="12"/>
  <c r="CH82" i="12"/>
  <c r="CI82" i="12"/>
  <c r="CJ82" i="12"/>
  <c r="CK82" i="12"/>
  <c r="CL82" i="12"/>
  <c r="CM82" i="12"/>
  <c r="CN82" i="12"/>
  <c r="CO82" i="12"/>
  <c r="CP82" i="12"/>
  <c r="CQ82" i="12"/>
  <c r="CR82" i="12"/>
  <c r="CS82" i="12"/>
  <c r="CT82" i="12"/>
  <c r="CU82" i="12"/>
  <c r="CV82" i="12"/>
  <c r="CW82" i="12"/>
  <c r="CX82" i="12"/>
  <c r="CY82" i="12"/>
  <c r="CZ82" i="12"/>
  <c r="DA82" i="12"/>
  <c r="DB82" i="12"/>
  <c r="DH82" i="12"/>
  <c r="DI82" i="12"/>
  <c r="DJ82" i="12"/>
  <c r="H83" i="12"/>
  <c r="I83" i="12"/>
  <c r="J83" i="12"/>
  <c r="K83" i="12"/>
  <c r="L83" i="12"/>
  <c r="M83" i="12"/>
  <c r="N83" i="12"/>
  <c r="O83" i="12"/>
  <c r="P83" i="12"/>
  <c r="Q83" i="12"/>
  <c r="R83" i="12"/>
  <c r="S83" i="12"/>
  <c r="T83" i="12"/>
  <c r="U83" i="12"/>
  <c r="V83" i="12"/>
  <c r="W83" i="12"/>
  <c r="X83" i="12"/>
  <c r="Y83" i="12"/>
  <c r="Z83" i="12"/>
  <c r="AA83" i="12"/>
  <c r="AB83" i="12"/>
  <c r="AC83" i="12"/>
  <c r="AD83" i="12"/>
  <c r="AE83" i="12"/>
  <c r="AG83" i="12"/>
  <c r="AH83" i="12"/>
  <c r="AI83" i="12"/>
  <c r="AJ83" i="12"/>
  <c r="AK83" i="12"/>
  <c r="AL83" i="12"/>
  <c r="AM83" i="12"/>
  <c r="AN83" i="12"/>
  <c r="AO83" i="12"/>
  <c r="AP83" i="12"/>
  <c r="AQ83" i="12"/>
  <c r="AR83" i="12"/>
  <c r="AS83" i="12"/>
  <c r="AT83" i="12"/>
  <c r="AU83" i="12"/>
  <c r="AV83" i="12"/>
  <c r="AW83" i="12"/>
  <c r="AX83" i="12"/>
  <c r="AY83" i="12"/>
  <c r="AZ83" i="12"/>
  <c r="BA83" i="12"/>
  <c r="BB83" i="12"/>
  <c r="BC83" i="12"/>
  <c r="BD83" i="12"/>
  <c r="BF83" i="12"/>
  <c r="BG83" i="12"/>
  <c r="BH83" i="12"/>
  <c r="BI83" i="12"/>
  <c r="BJ83" i="12"/>
  <c r="BK83" i="12"/>
  <c r="BL83" i="12"/>
  <c r="BM83" i="12"/>
  <c r="BN83" i="12"/>
  <c r="BO83" i="12"/>
  <c r="BP83" i="12"/>
  <c r="BQ83" i="12"/>
  <c r="BR83" i="12"/>
  <c r="BS83" i="12"/>
  <c r="BT83" i="12"/>
  <c r="BU83" i="12"/>
  <c r="BV83" i="12"/>
  <c r="BW83" i="12"/>
  <c r="BX83" i="12"/>
  <c r="BY83" i="12"/>
  <c r="BZ83" i="12"/>
  <c r="CA83" i="12"/>
  <c r="CB83" i="12"/>
  <c r="CC83" i="12"/>
  <c r="CE83" i="12"/>
  <c r="CF83" i="12"/>
  <c r="CG83" i="12"/>
  <c r="CH83" i="12"/>
  <c r="CI83" i="12"/>
  <c r="CJ83" i="12"/>
  <c r="CK83" i="12"/>
  <c r="CL83" i="12"/>
  <c r="CM83" i="12"/>
  <c r="CN83" i="12"/>
  <c r="CO83" i="12"/>
  <c r="CP83" i="12"/>
  <c r="CQ83" i="12"/>
  <c r="CR83" i="12"/>
  <c r="CS83" i="12"/>
  <c r="CT83" i="12"/>
  <c r="CU83" i="12"/>
  <c r="CV83" i="12"/>
  <c r="CW83" i="12"/>
  <c r="CX83" i="12"/>
  <c r="CY83" i="12"/>
  <c r="CZ83" i="12"/>
  <c r="DA83" i="12"/>
  <c r="DB83" i="12"/>
  <c r="DH83" i="12"/>
  <c r="DI83" i="12"/>
  <c r="DJ83" i="12"/>
  <c r="H84" i="12"/>
  <c r="I84" i="12"/>
  <c r="J84" i="12"/>
  <c r="K84" i="12"/>
  <c r="L84" i="12"/>
  <c r="M84" i="12"/>
  <c r="N84" i="12"/>
  <c r="O84" i="12"/>
  <c r="P84" i="12"/>
  <c r="Q84" i="12"/>
  <c r="R84" i="12"/>
  <c r="S84" i="12"/>
  <c r="T84" i="12"/>
  <c r="U84" i="12"/>
  <c r="V84" i="12"/>
  <c r="W84" i="12"/>
  <c r="X84" i="12"/>
  <c r="Y84" i="12"/>
  <c r="Z84" i="12"/>
  <c r="AA84" i="12"/>
  <c r="AB84" i="12"/>
  <c r="AC84" i="12"/>
  <c r="AD84" i="12"/>
  <c r="AE84" i="12"/>
  <c r="AG84" i="12"/>
  <c r="AH84" i="12"/>
  <c r="AI84" i="12"/>
  <c r="AJ84" i="12"/>
  <c r="AK84" i="12"/>
  <c r="AL84" i="12"/>
  <c r="AM84" i="12"/>
  <c r="AN84" i="12"/>
  <c r="AO84" i="12"/>
  <c r="AP84" i="12"/>
  <c r="AQ84" i="12"/>
  <c r="AR84" i="12"/>
  <c r="AS84" i="12"/>
  <c r="AT84" i="12"/>
  <c r="AU84" i="12"/>
  <c r="AV84" i="12"/>
  <c r="AW84" i="12"/>
  <c r="AX84" i="12"/>
  <c r="AY84" i="12"/>
  <c r="AZ84" i="12"/>
  <c r="BA84" i="12"/>
  <c r="BB84" i="12"/>
  <c r="BC84" i="12"/>
  <c r="BD84" i="12"/>
  <c r="BF84" i="12"/>
  <c r="BG84" i="12"/>
  <c r="BH84" i="12"/>
  <c r="BI84" i="12"/>
  <c r="BJ84" i="12"/>
  <c r="BK84" i="12"/>
  <c r="BL84" i="12"/>
  <c r="BM84" i="12"/>
  <c r="BN84" i="12"/>
  <c r="BO84" i="12"/>
  <c r="BP84" i="12"/>
  <c r="BQ84" i="12"/>
  <c r="BR84" i="12"/>
  <c r="BS84" i="12"/>
  <c r="BT84" i="12"/>
  <c r="BU84" i="12"/>
  <c r="BV84" i="12"/>
  <c r="BW84" i="12"/>
  <c r="BX84" i="12"/>
  <c r="BY84" i="12"/>
  <c r="BZ84" i="12"/>
  <c r="CA84" i="12"/>
  <c r="CB84" i="12"/>
  <c r="CC84" i="12"/>
  <c r="CE84" i="12"/>
  <c r="CF84" i="12"/>
  <c r="CG84" i="12"/>
  <c r="CH84" i="12"/>
  <c r="CI84" i="12"/>
  <c r="CJ84" i="12"/>
  <c r="CK84" i="12"/>
  <c r="CL84" i="12"/>
  <c r="CM84" i="12"/>
  <c r="CN84" i="12"/>
  <c r="CO84" i="12"/>
  <c r="CP84" i="12"/>
  <c r="CQ84" i="12"/>
  <c r="CR84" i="12"/>
  <c r="CS84" i="12"/>
  <c r="CT84" i="12"/>
  <c r="CU84" i="12"/>
  <c r="CV84" i="12"/>
  <c r="CW84" i="12"/>
  <c r="CX84" i="12"/>
  <c r="CY84" i="12"/>
  <c r="CZ84" i="12"/>
  <c r="DA84" i="12"/>
  <c r="DB84" i="12"/>
  <c r="DH84" i="12"/>
  <c r="DI84" i="12"/>
  <c r="DJ84" i="12"/>
  <c r="H85" i="12"/>
  <c r="I85" i="12"/>
  <c r="J85" i="12"/>
  <c r="K85" i="12"/>
  <c r="L85" i="12"/>
  <c r="M85" i="12"/>
  <c r="N85" i="12"/>
  <c r="O85" i="12"/>
  <c r="P85" i="12"/>
  <c r="Q85" i="12"/>
  <c r="R85" i="12"/>
  <c r="S85" i="12"/>
  <c r="T85" i="12"/>
  <c r="U85" i="12"/>
  <c r="V85" i="12"/>
  <c r="W85" i="12"/>
  <c r="X85" i="12"/>
  <c r="Y85" i="12"/>
  <c r="Z85" i="12"/>
  <c r="AA85" i="12"/>
  <c r="AB85" i="12"/>
  <c r="AC85" i="12"/>
  <c r="AD85" i="12"/>
  <c r="AE85" i="12"/>
  <c r="AG85" i="12"/>
  <c r="AH85" i="12"/>
  <c r="AI85" i="12"/>
  <c r="AJ85" i="12"/>
  <c r="AK85" i="12"/>
  <c r="AL85" i="12"/>
  <c r="AM85" i="12"/>
  <c r="AN85" i="12"/>
  <c r="AO85" i="12"/>
  <c r="AP85" i="12"/>
  <c r="AQ85" i="12"/>
  <c r="AR85" i="12"/>
  <c r="AS85" i="12"/>
  <c r="AT85" i="12"/>
  <c r="AU85" i="12"/>
  <c r="AV85" i="12"/>
  <c r="AW85" i="12"/>
  <c r="AX85" i="12"/>
  <c r="AY85" i="12"/>
  <c r="AZ85" i="12"/>
  <c r="BA85" i="12"/>
  <c r="BB85" i="12"/>
  <c r="BC85" i="12"/>
  <c r="BD85" i="12"/>
  <c r="BF85" i="12"/>
  <c r="BG85" i="12"/>
  <c r="BH85" i="12"/>
  <c r="BI85" i="12"/>
  <c r="BJ85" i="12"/>
  <c r="BK85" i="12"/>
  <c r="BL85" i="12"/>
  <c r="BM85" i="12"/>
  <c r="BN85" i="12"/>
  <c r="BO85" i="12"/>
  <c r="BP85" i="12"/>
  <c r="BQ85" i="12"/>
  <c r="BR85" i="12"/>
  <c r="BS85" i="12"/>
  <c r="BT85" i="12"/>
  <c r="BU85" i="12"/>
  <c r="BV85" i="12"/>
  <c r="BW85" i="12"/>
  <c r="BX85" i="12"/>
  <c r="BY85" i="12"/>
  <c r="BZ85" i="12"/>
  <c r="CA85" i="12"/>
  <c r="CB85" i="12"/>
  <c r="CC85" i="12"/>
  <c r="CE85" i="12"/>
  <c r="CF85" i="12"/>
  <c r="CG85" i="12"/>
  <c r="CH85" i="12"/>
  <c r="CI85" i="12"/>
  <c r="CJ85" i="12"/>
  <c r="CK85" i="12"/>
  <c r="CL85" i="12"/>
  <c r="CM85" i="12"/>
  <c r="CN85" i="12"/>
  <c r="CO85" i="12"/>
  <c r="CP85" i="12"/>
  <c r="CQ85" i="12"/>
  <c r="CR85" i="12"/>
  <c r="CS85" i="12"/>
  <c r="CT85" i="12"/>
  <c r="CU85" i="12"/>
  <c r="CV85" i="12"/>
  <c r="CW85" i="12"/>
  <c r="CX85" i="12"/>
  <c r="CY85" i="12"/>
  <c r="CZ85" i="12"/>
  <c r="DA85" i="12"/>
  <c r="DB85" i="12"/>
  <c r="DH85" i="12"/>
  <c r="DI85" i="12"/>
  <c r="DJ85" i="12"/>
  <c r="H86" i="12"/>
  <c r="I86" i="12"/>
  <c r="J86" i="12"/>
  <c r="K86" i="12"/>
  <c r="L86" i="12"/>
  <c r="M86" i="12"/>
  <c r="N86" i="12"/>
  <c r="O86" i="12"/>
  <c r="P86" i="12"/>
  <c r="Q86" i="12"/>
  <c r="R86" i="12"/>
  <c r="S86" i="12"/>
  <c r="T86" i="12"/>
  <c r="U86" i="12"/>
  <c r="V86" i="12"/>
  <c r="W86" i="12"/>
  <c r="X86" i="12"/>
  <c r="Y86" i="12"/>
  <c r="Z86" i="12"/>
  <c r="AA86" i="12"/>
  <c r="AB86" i="12"/>
  <c r="AC86" i="12"/>
  <c r="AD86" i="12"/>
  <c r="AE86" i="12"/>
  <c r="AG86" i="12"/>
  <c r="AH86" i="12"/>
  <c r="AI86" i="12"/>
  <c r="AJ86" i="12"/>
  <c r="AK86" i="12"/>
  <c r="AL86" i="12"/>
  <c r="AM86" i="12"/>
  <c r="AN86" i="12"/>
  <c r="AO86" i="12"/>
  <c r="AP86" i="12"/>
  <c r="AQ86" i="12"/>
  <c r="AR86" i="12"/>
  <c r="AS86" i="12"/>
  <c r="AT86" i="12"/>
  <c r="AU86" i="12"/>
  <c r="AV86" i="12"/>
  <c r="AW86" i="12"/>
  <c r="AX86" i="12"/>
  <c r="AY86" i="12"/>
  <c r="AZ86" i="12"/>
  <c r="BA86" i="12"/>
  <c r="BB86" i="12"/>
  <c r="BC86" i="12"/>
  <c r="BD86" i="12"/>
  <c r="BF86" i="12"/>
  <c r="BG86" i="12"/>
  <c r="BH86" i="12"/>
  <c r="BI86" i="12"/>
  <c r="BJ86" i="12"/>
  <c r="BK86" i="12"/>
  <c r="BL86" i="12"/>
  <c r="BM86" i="12"/>
  <c r="BN86" i="12"/>
  <c r="BO86" i="12"/>
  <c r="BP86" i="12"/>
  <c r="BQ86" i="12"/>
  <c r="BR86" i="12"/>
  <c r="BS86" i="12"/>
  <c r="BT86" i="12"/>
  <c r="BU86" i="12"/>
  <c r="BV86" i="12"/>
  <c r="BW86" i="12"/>
  <c r="BX86" i="12"/>
  <c r="BY86" i="12"/>
  <c r="BZ86" i="12"/>
  <c r="CA86" i="12"/>
  <c r="CB86" i="12"/>
  <c r="CC86" i="12"/>
  <c r="CE86" i="12"/>
  <c r="CF86" i="12"/>
  <c r="CG86" i="12"/>
  <c r="CH86" i="12"/>
  <c r="CI86" i="12"/>
  <c r="CJ86" i="12"/>
  <c r="CK86" i="12"/>
  <c r="CL86" i="12"/>
  <c r="CM86" i="12"/>
  <c r="CN86" i="12"/>
  <c r="CO86" i="12"/>
  <c r="CP86" i="12"/>
  <c r="CQ86" i="12"/>
  <c r="CR86" i="12"/>
  <c r="CS86" i="12"/>
  <c r="CT86" i="12"/>
  <c r="CU86" i="12"/>
  <c r="CV86" i="12"/>
  <c r="CW86" i="12"/>
  <c r="CX86" i="12"/>
  <c r="CY86" i="12"/>
  <c r="CZ86" i="12"/>
  <c r="DA86" i="12"/>
  <c r="DB86" i="12"/>
  <c r="DH86" i="12"/>
  <c r="DI86" i="12"/>
  <c r="DJ86" i="12"/>
  <c r="H87" i="12"/>
  <c r="I87" i="12"/>
  <c r="J87" i="12"/>
  <c r="K87" i="12"/>
  <c r="L87" i="12"/>
  <c r="M87" i="12"/>
  <c r="N87" i="12"/>
  <c r="O87" i="12"/>
  <c r="P87" i="12"/>
  <c r="Q87" i="12"/>
  <c r="R87" i="12"/>
  <c r="S87" i="12"/>
  <c r="T87" i="12"/>
  <c r="U87" i="12"/>
  <c r="V87" i="12"/>
  <c r="W87" i="12"/>
  <c r="X87" i="12"/>
  <c r="Y87" i="12"/>
  <c r="Z87" i="12"/>
  <c r="AA87" i="12"/>
  <c r="AB87" i="12"/>
  <c r="AC87" i="12"/>
  <c r="AD87" i="12"/>
  <c r="AE87" i="12"/>
  <c r="AG87" i="12"/>
  <c r="AH87" i="12"/>
  <c r="AI87" i="12"/>
  <c r="AJ87" i="12"/>
  <c r="AK87" i="12"/>
  <c r="AL87" i="12"/>
  <c r="AM87" i="12"/>
  <c r="AN87" i="12"/>
  <c r="AO87" i="12"/>
  <c r="AP87" i="12"/>
  <c r="AQ87" i="12"/>
  <c r="AR87" i="12"/>
  <c r="AS87" i="12"/>
  <c r="AT87" i="12"/>
  <c r="AU87" i="12"/>
  <c r="AV87" i="12"/>
  <c r="AW87" i="12"/>
  <c r="AX87" i="12"/>
  <c r="AY87" i="12"/>
  <c r="AZ87" i="12"/>
  <c r="BA87" i="12"/>
  <c r="BB87" i="12"/>
  <c r="BC87" i="12"/>
  <c r="BD87" i="12"/>
  <c r="BF87" i="12"/>
  <c r="BG87" i="12"/>
  <c r="BH87" i="12"/>
  <c r="BI87" i="12"/>
  <c r="BJ87" i="12"/>
  <c r="BK87" i="12"/>
  <c r="BL87" i="12"/>
  <c r="BM87" i="12"/>
  <c r="BN87" i="12"/>
  <c r="BO87" i="12"/>
  <c r="BP87" i="12"/>
  <c r="BQ87" i="12"/>
  <c r="BR87" i="12"/>
  <c r="BS87" i="12"/>
  <c r="BT87" i="12"/>
  <c r="BU87" i="12"/>
  <c r="BV87" i="12"/>
  <c r="BW87" i="12"/>
  <c r="BX87" i="12"/>
  <c r="BY87" i="12"/>
  <c r="BZ87" i="12"/>
  <c r="CA87" i="12"/>
  <c r="CB87" i="12"/>
  <c r="CC87" i="12"/>
  <c r="CE87" i="12"/>
  <c r="CF87" i="12"/>
  <c r="CG87" i="12"/>
  <c r="CH87" i="12"/>
  <c r="CI87" i="12"/>
  <c r="CJ87" i="12"/>
  <c r="CK87" i="12"/>
  <c r="CL87" i="12"/>
  <c r="CM87" i="12"/>
  <c r="CN87" i="12"/>
  <c r="CO87" i="12"/>
  <c r="CP87" i="12"/>
  <c r="CQ87" i="12"/>
  <c r="CR87" i="12"/>
  <c r="CS87" i="12"/>
  <c r="CT87" i="12"/>
  <c r="CU87" i="12"/>
  <c r="CV87" i="12"/>
  <c r="CW87" i="12"/>
  <c r="CX87" i="12"/>
  <c r="CY87" i="12"/>
  <c r="CZ87" i="12"/>
  <c r="DA87" i="12"/>
  <c r="DB87" i="12"/>
  <c r="DH87" i="12"/>
  <c r="DI87" i="12"/>
  <c r="DJ87" i="12"/>
  <c r="H88" i="12"/>
  <c r="I88" i="12"/>
  <c r="J88" i="12"/>
  <c r="K88" i="12"/>
  <c r="L88" i="12"/>
  <c r="M88" i="12"/>
  <c r="N88" i="12"/>
  <c r="O88" i="12"/>
  <c r="P88" i="12"/>
  <c r="Q88" i="12"/>
  <c r="R88" i="12"/>
  <c r="S88" i="12"/>
  <c r="T88" i="12"/>
  <c r="U88" i="12"/>
  <c r="V88" i="12"/>
  <c r="W88" i="12"/>
  <c r="X88" i="12"/>
  <c r="Y88" i="12"/>
  <c r="Z88" i="12"/>
  <c r="AA88" i="12"/>
  <c r="AB88" i="12"/>
  <c r="AC88" i="12"/>
  <c r="AD88" i="12"/>
  <c r="AE88" i="12"/>
  <c r="AG88" i="12"/>
  <c r="AH88" i="12"/>
  <c r="AI88" i="12"/>
  <c r="AJ88" i="12"/>
  <c r="AK88" i="12"/>
  <c r="AL88" i="12"/>
  <c r="AM88" i="12"/>
  <c r="AN88" i="12"/>
  <c r="AO88" i="12"/>
  <c r="AP88" i="12"/>
  <c r="AQ88" i="12"/>
  <c r="AR88" i="12"/>
  <c r="AS88" i="12"/>
  <c r="AT88" i="12"/>
  <c r="AU88" i="12"/>
  <c r="AV88" i="12"/>
  <c r="AW88" i="12"/>
  <c r="AX88" i="12"/>
  <c r="AY88" i="12"/>
  <c r="AZ88" i="12"/>
  <c r="BA88" i="12"/>
  <c r="BB88" i="12"/>
  <c r="BC88" i="12"/>
  <c r="BD88" i="12"/>
  <c r="BF88" i="12"/>
  <c r="BG88" i="12"/>
  <c r="BH88" i="12"/>
  <c r="BI88" i="12"/>
  <c r="BJ88" i="12"/>
  <c r="BK88" i="12"/>
  <c r="BL88" i="12"/>
  <c r="BM88" i="12"/>
  <c r="BN88" i="12"/>
  <c r="BO88" i="12"/>
  <c r="BP88" i="12"/>
  <c r="BQ88" i="12"/>
  <c r="BR88" i="12"/>
  <c r="BS88" i="12"/>
  <c r="BT88" i="12"/>
  <c r="BU88" i="12"/>
  <c r="BV88" i="12"/>
  <c r="BW88" i="12"/>
  <c r="BX88" i="12"/>
  <c r="BY88" i="12"/>
  <c r="BZ88" i="12"/>
  <c r="CA88" i="12"/>
  <c r="CB88" i="12"/>
  <c r="CC88" i="12"/>
  <c r="CE88" i="12"/>
  <c r="CF88" i="12"/>
  <c r="CG88" i="12"/>
  <c r="CH88" i="12"/>
  <c r="CI88" i="12"/>
  <c r="CJ88" i="12"/>
  <c r="CK88" i="12"/>
  <c r="CL88" i="12"/>
  <c r="CM88" i="12"/>
  <c r="CN88" i="12"/>
  <c r="CO88" i="12"/>
  <c r="CP88" i="12"/>
  <c r="CQ88" i="12"/>
  <c r="CR88" i="12"/>
  <c r="CS88" i="12"/>
  <c r="CT88" i="12"/>
  <c r="CU88" i="12"/>
  <c r="CV88" i="12"/>
  <c r="CW88" i="12"/>
  <c r="CX88" i="12"/>
  <c r="CY88" i="12"/>
  <c r="CZ88" i="12"/>
  <c r="DA88" i="12"/>
  <c r="DB88" i="12"/>
  <c r="DH88" i="12"/>
  <c r="DI88" i="12"/>
  <c r="DJ88" i="12"/>
  <c r="H89" i="12"/>
  <c r="I89" i="12"/>
  <c r="J89" i="12"/>
  <c r="K89" i="12"/>
  <c r="L89" i="12"/>
  <c r="M89" i="12"/>
  <c r="N89" i="12"/>
  <c r="O89" i="12"/>
  <c r="P89" i="12"/>
  <c r="Q89" i="12"/>
  <c r="R89" i="12"/>
  <c r="S89" i="12"/>
  <c r="T89" i="12"/>
  <c r="U89" i="12"/>
  <c r="V89" i="12"/>
  <c r="W89" i="12"/>
  <c r="X89" i="12"/>
  <c r="Y89" i="12"/>
  <c r="Z89" i="12"/>
  <c r="AA89" i="12"/>
  <c r="AB89" i="12"/>
  <c r="AC89" i="12"/>
  <c r="AD89" i="12"/>
  <c r="AE89" i="12"/>
  <c r="AG89" i="12"/>
  <c r="AH89" i="12"/>
  <c r="AI89" i="12"/>
  <c r="AJ89" i="12"/>
  <c r="AK89" i="12"/>
  <c r="AL89" i="12"/>
  <c r="AM89" i="12"/>
  <c r="AN89" i="12"/>
  <c r="AO89" i="12"/>
  <c r="AP89" i="12"/>
  <c r="AQ89" i="12"/>
  <c r="AR89" i="12"/>
  <c r="AS89" i="12"/>
  <c r="AT89" i="12"/>
  <c r="AU89" i="12"/>
  <c r="AV89" i="12"/>
  <c r="AW89" i="12"/>
  <c r="AX89" i="12"/>
  <c r="AY89" i="12"/>
  <c r="AZ89" i="12"/>
  <c r="BA89" i="12"/>
  <c r="BB89" i="12"/>
  <c r="BC89" i="12"/>
  <c r="BD89" i="12"/>
  <c r="BF89" i="12"/>
  <c r="BG89" i="12"/>
  <c r="BH89" i="12"/>
  <c r="BI89" i="12"/>
  <c r="BJ89" i="12"/>
  <c r="BK89" i="12"/>
  <c r="BL89" i="12"/>
  <c r="BM89" i="12"/>
  <c r="BN89" i="12"/>
  <c r="BO89" i="12"/>
  <c r="BP89" i="12"/>
  <c r="BQ89" i="12"/>
  <c r="BR89" i="12"/>
  <c r="BS89" i="12"/>
  <c r="BT89" i="12"/>
  <c r="BU89" i="12"/>
  <c r="BV89" i="12"/>
  <c r="BW89" i="12"/>
  <c r="BX89" i="12"/>
  <c r="BY89" i="12"/>
  <c r="BZ89" i="12"/>
  <c r="CA89" i="12"/>
  <c r="CB89" i="12"/>
  <c r="CC89" i="12"/>
  <c r="CE89" i="12"/>
  <c r="CF89" i="12"/>
  <c r="CG89" i="12"/>
  <c r="CH89" i="12"/>
  <c r="CI89" i="12"/>
  <c r="CJ89" i="12"/>
  <c r="CK89" i="12"/>
  <c r="CL89" i="12"/>
  <c r="CM89" i="12"/>
  <c r="CN89" i="12"/>
  <c r="CO89" i="12"/>
  <c r="CP89" i="12"/>
  <c r="CQ89" i="12"/>
  <c r="CR89" i="12"/>
  <c r="CS89" i="12"/>
  <c r="CT89" i="12"/>
  <c r="CU89" i="12"/>
  <c r="CV89" i="12"/>
  <c r="CW89" i="12"/>
  <c r="CX89" i="12"/>
  <c r="CY89" i="12"/>
  <c r="CZ89" i="12"/>
  <c r="DA89" i="12"/>
  <c r="DB89" i="12"/>
  <c r="DH89" i="12"/>
  <c r="DI89" i="12"/>
  <c r="DJ89" i="12"/>
  <c r="H90" i="12"/>
  <c r="I90" i="12"/>
  <c r="J90" i="12"/>
  <c r="K90" i="12"/>
  <c r="L90" i="12"/>
  <c r="M90" i="12"/>
  <c r="N90" i="12"/>
  <c r="O90" i="12"/>
  <c r="P90" i="12"/>
  <c r="Q90" i="12"/>
  <c r="R90" i="12"/>
  <c r="S90" i="12"/>
  <c r="T90" i="12"/>
  <c r="U90" i="12"/>
  <c r="V90" i="12"/>
  <c r="W90" i="12"/>
  <c r="X90" i="12"/>
  <c r="Y90" i="12"/>
  <c r="Z90" i="12"/>
  <c r="AA90" i="12"/>
  <c r="AB90" i="12"/>
  <c r="AC90" i="12"/>
  <c r="AD90" i="12"/>
  <c r="AE90" i="12"/>
  <c r="AG90" i="12"/>
  <c r="AH90" i="12"/>
  <c r="AI90" i="12"/>
  <c r="AJ90" i="12"/>
  <c r="AK90" i="12"/>
  <c r="AL90" i="12"/>
  <c r="AM90" i="12"/>
  <c r="AN90" i="12"/>
  <c r="AO90" i="12"/>
  <c r="AP90" i="12"/>
  <c r="AQ90" i="12"/>
  <c r="AR90" i="12"/>
  <c r="AS90" i="12"/>
  <c r="AT90" i="12"/>
  <c r="AU90" i="12"/>
  <c r="AV90" i="12"/>
  <c r="AW90" i="12"/>
  <c r="AX90" i="12"/>
  <c r="AY90" i="12"/>
  <c r="AZ90" i="12"/>
  <c r="BA90" i="12"/>
  <c r="BB90" i="12"/>
  <c r="BC90" i="12"/>
  <c r="BD90" i="12"/>
  <c r="BF90" i="12"/>
  <c r="BG90" i="12"/>
  <c r="BH90" i="12"/>
  <c r="BI90" i="12"/>
  <c r="BJ90" i="12"/>
  <c r="BK90" i="12"/>
  <c r="BL90" i="12"/>
  <c r="BM90" i="12"/>
  <c r="BN90" i="12"/>
  <c r="BO90" i="12"/>
  <c r="BP90" i="12"/>
  <c r="BQ90" i="12"/>
  <c r="BR90" i="12"/>
  <c r="BS90" i="12"/>
  <c r="BT90" i="12"/>
  <c r="BU90" i="12"/>
  <c r="BV90" i="12"/>
  <c r="BW90" i="12"/>
  <c r="BX90" i="12"/>
  <c r="BY90" i="12"/>
  <c r="BZ90" i="12"/>
  <c r="CA90" i="12"/>
  <c r="CB90" i="12"/>
  <c r="CC90" i="12"/>
  <c r="CE90" i="12"/>
  <c r="CF90" i="12"/>
  <c r="CG90" i="12"/>
  <c r="CH90" i="12"/>
  <c r="CI90" i="12"/>
  <c r="CJ90" i="12"/>
  <c r="CK90" i="12"/>
  <c r="CL90" i="12"/>
  <c r="CM90" i="12"/>
  <c r="CN90" i="12"/>
  <c r="CO90" i="12"/>
  <c r="CP90" i="12"/>
  <c r="CQ90" i="12"/>
  <c r="CR90" i="12"/>
  <c r="CS90" i="12"/>
  <c r="CT90" i="12"/>
  <c r="CU90" i="12"/>
  <c r="CV90" i="12"/>
  <c r="CW90" i="12"/>
  <c r="CX90" i="12"/>
  <c r="CY90" i="12"/>
  <c r="CZ90" i="12"/>
  <c r="DA90" i="12"/>
  <c r="DB90" i="12"/>
  <c r="DH90" i="12"/>
  <c r="DI90" i="12"/>
  <c r="DJ90" i="12"/>
  <c r="H91" i="12"/>
  <c r="I91" i="12"/>
  <c r="J91" i="12"/>
  <c r="K91" i="12"/>
  <c r="L91" i="12"/>
  <c r="M91" i="12"/>
  <c r="N91" i="12"/>
  <c r="O91" i="12"/>
  <c r="P91" i="12"/>
  <c r="Q91" i="12"/>
  <c r="R91" i="12"/>
  <c r="S91" i="12"/>
  <c r="T91" i="12"/>
  <c r="U91" i="12"/>
  <c r="V91" i="12"/>
  <c r="W91" i="12"/>
  <c r="X91" i="12"/>
  <c r="Y91" i="12"/>
  <c r="Z91" i="12"/>
  <c r="AA91" i="12"/>
  <c r="AB91" i="12"/>
  <c r="AC91" i="12"/>
  <c r="AD91" i="12"/>
  <c r="AE91" i="12"/>
  <c r="AG91" i="12"/>
  <c r="AH91" i="12"/>
  <c r="AI91" i="12"/>
  <c r="AJ91" i="12"/>
  <c r="AK91" i="12"/>
  <c r="AL91" i="12"/>
  <c r="AM91" i="12"/>
  <c r="AN91" i="12"/>
  <c r="AO91" i="12"/>
  <c r="AP91" i="12"/>
  <c r="AQ91" i="12"/>
  <c r="AR91" i="12"/>
  <c r="AS91" i="12"/>
  <c r="AT91" i="12"/>
  <c r="AU91" i="12"/>
  <c r="AV91" i="12"/>
  <c r="AW91" i="12"/>
  <c r="AX91" i="12"/>
  <c r="AY91" i="12"/>
  <c r="AZ91" i="12"/>
  <c r="BA91" i="12"/>
  <c r="BB91" i="12"/>
  <c r="BC91" i="12"/>
  <c r="BD91" i="12"/>
  <c r="BF91" i="12"/>
  <c r="BG91" i="12"/>
  <c r="BH91" i="12"/>
  <c r="BI91" i="12"/>
  <c r="BJ91" i="12"/>
  <c r="BK91" i="12"/>
  <c r="BL91" i="12"/>
  <c r="BM91" i="12"/>
  <c r="BN91" i="12"/>
  <c r="BO91" i="12"/>
  <c r="BP91" i="12"/>
  <c r="BQ91" i="12"/>
  <c r="BR91" i="12"/>
  <c r="BS91" i="12"/>
  <c r="BT91" i="12"/>
  <c r="BU91" i="12"/>
  <c r="BV91" i="12"/>
  <c r="BW91" i="12"/>
  <c r="BX91" i="12"/>
  <c r="BY91" i="12"/>
  <c r="BZ91" i="12"/>
  <c r="CA91" i="12"/>
  <c r="CB91" i="12"/>
  <c r="CC91" i="12"/>
  <c r="CE91" i="12"/>
  <c r="CF91" i="12"/>
  <c r="CG91" i="12"/>
  <c r="CH91" i="12"/>
  <c r="CI91" i="12"/>
  <c r="CJ91" i="12"/>
  <c r="CK91" i="12"/>
  <c r="CL91" i="12"/>
  <c r="CM91" i="12"/>
  <c r="CN91" i="12"/>
  <c r="CO91" i="12"/>
  <c r="CP91" i="12"/>
  <c r="CQ91" i="12"/>
  <c r="CR91" i="12"/>
  <c r="CS91" i="12"/>
  <c r="CT91" i="12"/>
  <c r="CU91" i="12"/>
  <c r="CV91" i="12"/>
  <c r="CW91" i="12"/>
  <c r="CX91" i="12"/>
  <c r="CY91" i="12"/>
  <c r="CZ91" i="12"/>
  <c r="DA91" i="12"/>
  <c r="DB91" i="12"/>
  <c r="DH91" i="12"/>
  <c r="DI91" i="12"/>
  <c r="DJ91" i="12"/>
  <c r="H92" i="12"/>
  <c r="I92" i="12"/>
  <c r="J92" i="12"/>
  <c r="K92" i="12"/>
  <c r="L92" i="12"/>
  <c r="M92" i="12"/>
  <c r="N92" i="12"/>
  <c r="O92" i="12"/>
  <c r="P92" i="12"/>
  <c r="Q92" i="12"/>
  <c r="R92" i="12"/>
  <c r="S92" i="12"/>
  <c r="T92" i="12"/>
  <c r="U92" i="12"/>
  <c r="V92" i="12"/>
  <c r="W92" i="12"/>
  <c r="X92" i="12"/>
  <c r="Y92" i="12"/>
  <c r="Z92" i="12"/>
  <c r="AA92" i="12"/>
  <c r="AB92" i="12"/>
  <c r="AC92" i="12"/>
  <c r="AD92" i="12"/>
  <c r="AE92" i="12"/>
  <c r="AG92" i="12"/>
  <c r="AH92" i="12"/>
  <c r="AI92" i="12"/>
  <c r="AJ92" i="12"/>
  <c r="AK92" i="12"/>
  <c r="AL92" i="12"/>
  <c r="AM92" i="12"/>
  <c r="AN92" i="12"/>
  <c r="AO92" i="12"/>
  <c r="AP92" i="12"/>
  <c r="AQ92" i="12"/>
  <c r="AR92" i="12"/>
  <c r="AS92" i="12"/>
  <c r="AT92" i="12"/>
  <c r="AU92" i="12"/>
  <c r="AV92" i="12"/>
  <c r="AW92" i="12"/>
  <c r="AX92" i="12"/>
  <c r="AY92" i="12"/>
  <c r="AZ92" i="12"/>
  <c r="BA92" i="12"/>
  <c r="BB92" i="12"/>
  <c r="BC92" i="12"/>
  <c r="BD92" i="12"/>
  <c r="BF92" i="12"/>
  <c r="BG92" i="12"/>
  <c r="BH92" i="12"/>
  <c r="BI92" i="12"/>
  <c r="BJ92" i="12"/>
  <c r="BK92" i="12"/>
  <c r="BL92" i="12"/>
  <c r="BM92" i="12"/>
  <c r="BN92" i="12"/>
  <c r="BO92" i="12"/>
  <c r="BP92" i="12"/>
  <c r="BQ92" i="12"/>
  <c r="BR92" i="12"/>
  <c r="BS92" i="12"/>
  <c r="BT92" i="12"/>
  <c r="BU92" i="12"/>
  <c r="BV92" i="12"/>
  <c r="BW92" i="12"/>
  <c r="BX92" i="12"/>
  <c r="BY92" i="12"/>
  <c r="BZ92" i="12"/>
  <c r="CA92" i="12"/>
  <c r="CB92" i="12"/>
  <c r="CC92" i="12"/>
  <c r="CE92" i="12"/>
  <c r="CF92" i="12"/>
  <c r="CG92" i="12"/>
  <c r="CH92" i="12"/>
  <c r="CI92" i="12"/>
  <c r="CJ92" i="12"/>
  <c r="CK92" i="12"/>
  <c r="CL92" i="12"/>
  <c r="CM92" i="12"/>
  <c r="CN92" i="12"/>
  <c r="CO92" i="12"/>
  <c r="CP92" i="12"/>
  <c r="CQ92" i="12"/>
  <c r="CR92" i="12"/>
  <c r="CS92" i="12"/>
  <c r="CT92" i="12"/>
  <c r="CU92" i="12"/>
  <c r="CV92" i="12"/>
  <c r="CW92" i="12"/>
  <c r="CX92" i="12"/>
  <c r="CY92" i="12"/>
  <c r="CZ92" i="12"/>
  <c r="DA92" i="12"/>
  <c r="DB92" i="12"/>
  <c r="DH92" i="12"/>
  <c r="DI92" i="12"/>
  <c r="DJ92" i="12"/>
  <c r="H93" i="12"/>
  <c r="I93" i="12"/>
  <c r="J93" i="12"/>
  <c r="K93" i="12"/>
  <c r="L93" i="12"/>
  <c r="M93" i="12"/>
  <c r="N93" i="12"/>
  <c r="O93" i="12"/>
  <c r="P93" i="12"/>
  <c r="Q93" i="12"/>
  <c r="R93" i="12"/>
  <c r="S93" i="12"/>
  <c r="T93" i="12"/>
  <c r="U93" i="12"/>
  <c r="V93" i="12"/>
  <c r="W93" i="12"/>
  <c r="X93" i="12"/>
  <c r="Y93" i="12"/>
  <c r="Z93" i="12"/>
  <c r="AA93" i="12"/>
  <c r="AB93" i="12"/>
  <c r="AC93" i="12"/>
  <c r="AD93" i="12"/>
  <c r="AE93" i="12"/>
  <c r="AG93" i="12"/>
  <c r="AH93" i="12"/>
  <c r="AI93" i="12"/>
  <c r="AJ93" i="12"/>
  <c r="AK93" i="12"/>
  <c r="AL93" i="12"/>
  <c r="AM93" i="12"/>
  <c r="AN93" i="12"/>
  <c r="AO93" i="12"/>
  <c r="AP93" i="12"/>
  <c r="AQ93" i="12"/>
  <c r="AR93" i="12"/>
  <c r="AS93" i="12"/>
  <c r="AT93" i="12"/>
  <c r="AU93" i="12"/>
  <c r="AV93" i="12"/>
  <c r="AW93" i="12"/>
  <c r="AX93" i="12"/>
  <c r="AY93" i="12"/>
  <c r="AZ93" i="12"/>
  <c r="BA93" i="12"/>
  <c r="BB93" i="12"/>
  <c r="BC93" i="12"/>
  <c r="BD93" i="12"/>
  <c r="BF93" i="12"/>
  <c r="BG93" i="12"/>
  <c r="BH93" i="12"/>
  <c r="BI93" i="12"/>
  <c r="BJ93" i="12"/>
  <c r="BK93" i="12"/>
  <c r="BL93" i="12"/>
  <c r="BM93" i="12"/>
  <c r="BN93" i="12"/>
  <c r="BO93" i="12"/>
  <c r="BP93" i="12"/>
  <c r="BQ93" i="12"/>
  <c r="BR93" i="12"/>
  <c r="BS93" i="12"/>
  <c r="BT93" i="12"/>
  <c r="BU93" i="12"/>
  <c r="BV93" i="12"/>
  <c r="BW93" i="12"/>
  <c r="BX93" i="12"/>
  <c r="BY93" i="12"/>
  <c r="BZ93" i="12"/>
  <c r="CA93" i="12"/>
  <c r="CB93" i="12"/>
  <c r="CC93" i="12"/>
  <c r="CE93" i="12"/>
  <c r="CF93" i="12"/>
  <c r="CG93" i="12"/>
  <c r="CH93" i="12"/>
  <c r="CI93" i="12"/>
  <c r="CJ93" i="12"/>
  <c r="CK93" i="12"/>
  <c r="CL93" i="12"/>
  <c r="CM93" i="12"/>
  <c r="CN93" i="12"/>
  <c r="CO93" i="12"/>
  <c r="CP93" i="12"/>
  <c r="CQ93" i="12"/>
  <c r="CR93" i="12"/>
  <c r="CS93" i="12"/>
  <c r="CT93" i="12"/>
  <c r="CU93" i="12"/>
  <c r="CV93" i="12"/>
  <c r="CW93" i="12"/>
  <c r="CX93" i="12"/>
  <c r="CY93" i="12"/>
  <c r="CZ93" i="12"/>
  <c r="DA93" i="12"/>
  <c r="DB93" i="12"/>
  <c r="DH93" i="12"/>
  <c r="DI93" i="12"/>
  <c r="DJ93" i="12"/>
  <c r="H94" i="12"/>
  <c r="I94" i="12"/>
  <c r="J94" i="12"/>
  <c r="K94" i="12"/>
  <c r="L94" i="12"/>
  <c r="M94" i="12"/>
  <c r="N94" i="12"/>
  <c r="O94" i="12"/>
  <c r="P94" i="12"/>
  <c r="Q94" i="12"/>
  <c r="R94" i="12"/>
  <c r="S94" i="12"/>
  <c r="T94" i="12"/>
  <c r="U94" i="12"/>
  <c r="V94" i="12"/>
  <c r="W94" i="12"/>
  <c r="X94" i="12"/>
  <c r="Y94" i="12"/>
  <c r="Z94" i="12"/>
  <c r="AA94" i="12"/>
  <c r="AB94" i="12"/>
  <c r="AC94" i="12"/>
  <c r="AD94" i="12"/>
  <c r="AE94" i="12"/>
  <c r="AG94" i="12"/>
  <c r="AH94" i="12"/>
  <c r="AI94" i="12"/>
  <c r="AJ94" i="12"/>
  <c r="AK94" i="12"/>
  <c r="AL94" i="12"/>
  <c r="AM94" i="12"/>
  <c r="AN94" i="12"/>
  <c r="AO94" i="12"/>
  <c r="AP94" i="12"/>
  <c r="AQ94" i="12"/>
  <c r="AR94" i="12"/>
  <c r="AS94" i="12"/>
  <c r="AT94" i="12"/>
  <c r="AU94" i="12"/>
  <c r="AV94" i="12"/>
  <c r="AW94" i="12"/>
  <c r="AX94" i="12"/>
  <c r="AY94" i="12"/>
  <c r="AZ94" i="12"/>
  <c r="BA94" i="12"/>
  <c r="BB94" i="12"/>
  <c r="BC94" i="12"/>
  <c r="BD94" i="12"/>
  <c r="BF94" i="12"/>
  <c r="BG94" i="12"/>
  <c r="BH94" i="12"/>
  <c r="BI94" i="12"/>
  <c r="BJ94" i="12"/>
  <c r="BK94" i="12"/>
  <c r="BL94" i="12"/>
  <c r="BM94" i="12"/>
  <c r="BN94" i="12"/>
  <c r="BO94" i="12"/>
  <c r="BP94" i="12"/>
  <c r="BQ94" i="12"/>
  <c r="BR94" i="12"/>
  <c r="BS94" i="12"/>
  <c r="BT94" i="12"/>
  <c r="BU94" i="12"/>
  <c r="BV94" i="12"/>
  <c r="BW94" i="12"/>
  <c r="BX94" i="12"/>
  <c r="BY94" i="12"/>
  <c r="BZ94" i="12"/>
  <c r="CA94" i="12"/>
  <c r="CB94" i="12"/>
  <c r="CC94" i="12"/>
  <c r="CE94" i="12"/>
  <c r="CF94" i="12"/>
  <c r="CG94" i="12"/>
  <c r="CH94" i="12"/>
  <c r="CI94" i="12"/>
  <c r="CJ94" i="12"/>
  <c r="CK94" i="12"/>
  <c r="CL94" i="12"/>
  <c r="CM94" i="12"/>
  <c r="CN94" i="12"/>
  <c r="CO94" i="12"/>
  <c r="CP94" i="12"/>
  <c r="CQ94" i="12"/>
  <c r="CR94" i="12"/>
  <c r="CS94" i="12"/>
  <c r="CT94" i="12"/>
  <c r="CU94" i="12"/>
  <c r="CV94" i="12"/>
  <c r="CW94" i="12"/>
  <c r="CX94" i="12"/>
  <c r="CY94" i="12"/>
  <c r="CZ94" i="12"/>
  <c r="DA94" i="12"/>
  <c r="DB94" i="12"/>
  <c r="DH94" i="12"/>
  <c r="DI94" i="12"/>
  <c r="DJ94" i="12"/>
  <c r="H95" i="12"/>
  <c r="I95" i="12"/>
  <c r="J95" i="12"/>
  <c r="K95" i="12"/>
  <c r="L95" i="12"/>
  <c r="M95" i="12"/>
  <c r="N95" i="12"/>
  <c r="O95" i="12"/>
  <c r="P95" i="12"/>
  <c r="Q95" i="12"/>
  <c r="R95" i="12"/>
  <c r="S95" i="12"/>
  <c r="T95" i="12"/>
  <c r="U95" i="12"/>
  <c r="V95" i="12"/>
  <c r="W95" i="12"/>
  <c r="X95" i="12"/>
  <c r="Y95" i="12"/>
  <c r="Z95" i="12"/>
  <c r="AA95" i="12"/>
  <c r="AB95" i="12"/>
  <c r="AC95" i="12"/>
  <c r="AD95" i="12"/>
  <c r="AE95" i="12"/>
  <c r="AG95" i="12"/>
  <c r="AH95" i="12"/>
  <c r="AI95" i="12"/>
  <c r="AJ95" i="12"/>
  <c r="AK95" i="12"/>
  <c r="AL95" i="12"/>
  <c r="AM95" i="12"/>
  <c r="AN95" i="12"/>
  <c r="AO95" i="12"/>
  <c r="AP95" i="12"/>
  <c r="AQ95" i="12"/>
  <c r="AR95" i="12"/>
  <c r="AS95" i="12"/>
  <c r="AT95" i="12"/>
  <c r="AU95" i="12"/>
  <c r="AV95" i="12"/>
  <c r="AW95" i="12"/>
  <c r="AX95" i="12"/>
  <c r="AY95" i="12"/>
  <c r="AZ95" i="12"/>
  <c r="BA95" i="12"/>
  <c r="BB95" i="12"/>
  <c r="BC95" i="12"/>
  <c r="BD95" i="12"/>
  <c r="BF95" i="12"/>
  <c r="BG95" i="12"/>
  <c r="BH95" i="12"/>
  <c r="BI95" i="12"/>
  <c r="BJ95" i="12"/>
  <c r="BK95" i="12"/>
  <c r="BL95" i="12"/>
  <c r="BM95" i="12"/>
  <c r="BN95" i="12"/>
  <c r="BO95" i="12"/>
  <c r="BP95" i="12"/>
  <c r="BQ95" i="12"/>
  <c r="BR95" i="12"/>
  <c r="BS95" i="12"/>
  <c r="BT95" i="12"/>
  <c r="BU95" i="12"/>
  <c r="BV95" i="12"/>
  <c r="BW95" i="12"/>
  <c r="BX95" i="12"/>
  <c r="BY95" i="12"/>
  <c r="BZ95" i="12"/>
  <c r="CA95" i="12"/>
  <c r="CB95" i="12"/>
  <c r="CC95" i="12"/>
  <c r="CE95" i="12"/>
  <c r="CF95" i="12"/>
  <c r="CG95" i="12"/>
  <c r="CH95" i="12"/>
  <c r="CI95" i="12"/>
  <c r="CJ95" i="12"/>
  <c r="CK95" i="12"/>
  <c r="CL95" i="12"/>
  <c r="CM95" i="12"/>
  <c r="CN95" i="12"/>
  <c r="CO95" i="12"/>
  <c r="CP95" i="12"/>
  <c r="CQ95" i="12"/>
  <c r="CR95" i="12"/>
  <c r="CS95" i="12"/>
  <c r="CT95" i="12"/>
  <c r="CU95" i="12"/>
  <c r="CV95" i="12"/>
  <c r="CW95" i="12"/>
  <c r="CX95" i="12"/>
  <c r="CY95" i="12"/>
  <c r="CZ95" i="12"/>
  <c r="DA95" i="12"/>
  <c r="DB95" i="12"/>
  <c r="DH95" i="12"/>
  <c r="DI95" i="12"/>
  <c r="DJ95" i="12"/>
  <c r="H96" i="12"/>
  <c r="I96" i="12"/>
  <c r="J96" i="12"/>
  <c r="K96" i="12"/>
  <c r="L96" i="12"/>
  <c r="M96" i="12"/>
  <c r="N96" i="12"/>
  <c r="O96" i="12"/>
  <c r="P96" i="12"/>
  <c r="Q96" i="12"/>
  <c r="R96" i="12"/>
  <c r="S96" i="12"/>
  <c r="T96" i="12"/>
  <c r="U96" i="12"/>
  <c r="V96" i="12"/>
  <c r="W96" i="12"/>
  <c r="X96" i="12"/>
  <c r="Y96" i="12"/>
  <c r="Z96" i="12"/>
  <c r="AA96" i="12"/>
  <c r="AB96" i="12"/>
  <c r="AC96" i="12"/>
  <c r="AD96" i="12"/>
  <c r="AE96" i="12"/>
  <c r="AG96" i="12"/>
  <c r="AH96" i="12"/>
  <c r="AI96" i="12"/>
  <c r="AJ96" i="12"/>
  <c r="AK96" i="12"/>
  <c r="AL96" i="12"/>
  <c r="AM96" i="12"/>
  <c r="AN96" i="12"/>
  <c r="AO96" i="12"/>
  <c r="AP96" i="12"/>
  <c r="AQ96" i="12"/>
  <c r="AR96" i="12"/>
  <c r="AS96" i="12"/>
  <c r="AT96" i="12"/>
  <c r="AU96" i="12"/>
  <c r="AV96" i="12"/>
  <c r="AW96" i="12"/>
  <c r="AX96" i="12"/>
  <c r="AY96" i="12"/>
  <c r="AZ96" i="12"/>
  <c r="BA96" i="12"/>
  <c r="BB96" i="12"/>
  <c r="BC96" i="12"/>
  <c r="BD96" i="12"/>
  <c r="BF96" i="12"/>
  <c r="BG96" i="12"/>
  <c r="BH96" i="12"/>
  <c r="BI96" i="12"/>
  <c r="BJ96" i="12"/>
  <c r="BK96" i="12"/>
  <c r="BL96" i="12"/>
  <c r="BM96" i="12"/>
  <c r="BN96" i="12"/>
  <c r="BO96" i="12"/>
  <c r="BP96" i="12"/>
  <c r="BQ96" i="12"/>
  <c r="BR96" i="12"/>
  <c r="BS96" i="12"/>
  <c r="BT96" i="12"/>
  <c r="BU96" i="12"/>
  <c r="BV96" i="12"/>
  <c r="BW96" i="12"/>
  <c r="BX96" i="12"/>
  <c r="BY96" i="12"/>
  <c r="BZ96" i="12"/>
  <c r="CA96" i="12"/>
  <c r="CB96" i="12"/>
  <c r="CC96" i="12"/>
  <c r="CE96" i="12"/>
  <c r="CF96" i="12"/>
  <c r="CG96" i="12"/>
  <c r="CH96" i="12"/>
  <c r="CI96" i="12"/>
  <c r="CJ96" i="12"/>
  <c r="CK96" i="12"/>
  <c r="CL96" i="12"/>
  <c r="CM96" i="12"/>
  <c r="CN96" i="12"/>
  <c r="CO96" i="12"/>
  <c r="CP96" i="12"/>
  <c r="CQ96" i="12"/>
  <c r="CR96" i="12"/>
  <c r="CS96" i="12"/>
  <c r="CT96" i="12"/>
  <c r="CU96" i="12"/>
  <c r="CV96" i="12"/>
  <c r="CW96" i="12"/>
  <c r="CX96" i="12"/>
  <c r="CY96" i="12"/>
  <c r="CZ96" i="12"/>
  <c r="DA96" i="12"/>
  <c r="DB96" i="12"/>
  <c r="DH96" i="12"/>
  <c r="DI96" i="12"/>
  <c r="DJ96" i="12"/>
  <c r="H97" i="12"/>
  <c r="I97" i="12"/>
  <c r="J97" i="12"/>
  <c r="K97" i="12"/>
  <c r="L97" i="12"/>
  <c r="M97" i="12"/>
  <c r="N97" i="12"/>
  <c r="O97" i="12"/>
  <c r="P97" i="12"/>
  <c r="Q97" i="12"/>
  <c r="R97" i="12"/>
  <c r="S97" i="12"/>
  <c r="T97" i="12"/>
  <c r="U97" i="12"/>
  <c r="V97" i="12"/>
  <c r="W97" i="12"/>
  <c r="X97" i="12"/>
  <c r="Y97" i="12"/>
  <c r="Z97" i="12"/>
  <c r="AA97" i="12"/>
  <c r="AB97" i="12"/>
  <c r="AC97" i="12"/>
  <c r="AD97" i="12"/>
  <c r="AE97" i="12"/>
  <c r="AG97" i="12"/>
  <c r="AH97" i="12"/>
  <c r="AI97" i="12"/>
  <c r="AJ97" i="12"/>
  <c r="AK97" i="12"/>
  <c r="AL97" i="12"/>
  <c r="AM97" i="12"/>
  <c r="AN97" i="12"/>
  <c r="AO97" i="12"/>
  <c r="AP97" i="12"/>
  <c r="AQ97" i="12"/>
  <c r="AR97" i="12"/>
  <c r="AS97" i="12"/>
  <c r="AT97" i="12"/>
  <c r="AU97" i="12"/>
  <c r="AV97" i="12"/>
  <c r="AW97" i="12"/>
  <c r="AX97" i="12"/>
  <c r="AY97" i="12"/>
  <c r="AZ97" i="12"/>
  <c r="BA97" i="12"/>
  <c r="BB97" i="12"/>
  <c r="BC97" i="12"/>
  <c r="BD97" i="12"/>
  <c r="BF97" i="12"/>
  <c r="BG97" i="12"/>
  <c r="BH97" i="12"/>
  <c r="BI97" i="12"/>
  <c r="BJ97" i="12"/>
  <c r="BK97" i="12"/>
  <c r="BL97" i="12"/>
  <c r="BM97" i="12"/>
  <c r="BN97" i="12"/>
  <c r="BO97" i="12"/>
  <c r="BP97" i="12"/>
  <c r="BQ97" i="12"/>
  <c r="BR97" i="12"/>
  <c r="BS97" i="12"/>
  <c r="BT97" i="12"/>
  <c r="BU97" i="12"/>
  <c r="BV97" i="12"/>
  <c r="BW97" i="12"/>
  <c r="BX97" i="12"/>
  <c r="BY97" i="12"/>
  <c r="BZ97" i="12"/>
  <c r="CA97" i="12"/>
  <c r="CB97" i="12"/>
  <c r="CC97" i="12"/>
  <c r="CE97" i="12"/>
  <c r="CF97" i="12"/>
  <c r="CG97" i="12"/>
  <c r="CH97" i="12"/>
  <c r="CI97" i="12"/>
  <c r="CJ97" i="12"/>
  <c r="CK97" i="12"/>
  <c r="CL97" i="12"/>
  <c r="CM97" i="12"/>
  <c r="CN97" i="12"/>
  <c r="CO97" i="12"/>
  <c r="CP97" i="12"/>
  <c r="CQ97" i="12"/>
  <c r="CR97" i="12"/>
  <c r="CS97" i="12"/>
  <c r="CT97" i="12"/>
  <c r="CU97" i="12"/>
  <c r="CV97" i="12"/>
  <c r="CW97" i="12"/>
  <c r="CX97" i="12"/>
  <c r="CY97" i="12"/>
  <c r="CZ97" i="12"/>
  <c r="DA97" i="12"/>
  <c r="DB97" i="12"/>
  <c r="DH97" i="12"/>
  <c r="DI97" i="12"/>
  <c r="DJ97" i="12"/>
  <c r="H98" i="12"/>
  <c r="I98" i="12"/>
  <c r="J98" i="12"/>
  <c r="K98" i="12"/>
  <c r="L98" i="12"/>
  <c r="M98" i="12"/>
  <c r="N98" i="12"/>
  <c r="O98" i="12"/>
  <c r="P98" i="12"/>
  <c r="Q98" i="12"/>
  <c r="R98" i="12"/>
  <c r="S98" i="12"/>
  <c r="T98" i="12"/>
  <c r="U98" i="12"/>
  <c r="V98" i="12"/>
  <c r="W98" i="12"/>
  <c r="X98" i="12"/>
  <c r="Y98" i="12"/>
  <c r="Z98" i="12"/>
  <c r="AA98" i="12"/>
  <c r="AB98" i="12"/>
  <c r="AC98" i="12"/>
  <c r="AD98" i="12"/>
  <c r="AE98" i="12"/>
  <c r="AG98" i="12"/>
  <c r="AH98" i="12"/>
  <c r="AI98" i="12"/>
  <c r="AJ98" i="12"/>
  <c r="AK98" i="12"/>
  <c r="AL98" i="12"/>
  <c r="AM98" i="12"/>
  <c r="AN98" i="12"/>
  <c r="AO98" i="12"/>
  <c r="AP98" i="12"/>
  <c r="AQ98" i="12"/>
  <c r="AR98" i="12"/>
  <c r="AS98" i="12"/>
  <c r="AT98" i="12"/>
  <c r="AU98" i="12"/>
  <c r="AV98" i="12"/>
  <c r="AW98" i="12"/>
  <c r="AX98" i="12"/>
  <c r="AY98" i="12"/>
  <c r="AZ98" i="12"/>
  <c r="BA98" i="12"/>
  <c r="BB98" i="12"/>
  <c r="BC98" i="12"/>
  <c r="BD98" i="12"/>
  <c r="BF98" i="12"/>
  <c r="BG98" i="12"/>
  <c r="BH98" i="12"/>
  <c r="BI98" i="12"/>
  <c r="BJ98" i="12"/>
  <c r="BK98" i="12"/>
  <c r="BL98" i="12"/>
  <c r="BM98" i="12"/>
  <c r="BN98" i="12"/>
  <c r="BO98" i="12"/>
  <c r="BP98" i="12"/>
  <c r="BQ98" i="12"/>
  <c r="BR98" i="12"/>
  <c r="BS98" i="12"/>
  <c r="BT98" i="12"/>
  <c r="BU98" i="12"/>
  <c r="BV98" i="12"/>
  <c r="BW98" i="12"/>
  <c r="BX98" i="12"/>
  <c r="BY98" i="12"/>
  <c r="BZ98" i="12"/>
  <c r="CA98" i="12"/>
  <c r="CB98" i="12"/>
  <c r="CC98" i="12"/>
  <c r="CE98" i="12"/>
  <c r="CF98" i="12"/>
  <c r="CG98" i="12"/>
  <c r="CH98" i="12"/>
  <c r="CI98" i="12"/>
  <c r="CJ98" i="12"/>
  <c r="CK98" i="12"/>
  <c r="CL98" i="12"/>
  <c r="CM98" i="12"/>
  <c r="CN98" i="12"/>
  <c r="CO98" i="12"/>
  <c r="CP98" i="12"/>
  <c r="CQ98" i="12"/>
  <c r="CR98" i="12"/>
  <c r="CS98" i="12"/>
  <c r="CT98" i="12"/>
  <c r="CU98" i="12"/>
  <c r="CV98" i="12"/>
  <c r="CW98" i="12"/>
  <c r="CX98" i="12"/>
  <c r="CY98" i="12"/>
  <c r="CZ98" i="12"/>
  <c r="DA98" i="12"/>
  <c r="DB98" i="12"/>
  <c r="DH98" i="12"/>
  <c r="DI98" i="12"/>
  <c r="DJ98" i="12"/>
  <c r="H99" i="12"/>
  <c r="I99" i="12"/>
  <c r="J99" i="12"/>
  <c r="K99" i="12"/>
  <c r="L99" i="12"/>
  <c r="M99" i="12"/>
  <c r="N99" i="12"/>
  <c r="O99" i="12"/>
  <c r="P99" i="12"/>
  <c r="Q99" i="12"/>
  <c r="R99" i="12"/>
  <c r="S99" i="12"/>
  <c r="T99" i="12"/>
  <c r="U99" i="12"/>
  <c r="V99" i="12"/>
  <c r="W99" i="12"/>
  <c r="X99" i="12"/>
  <c r="Y99" i="12"/>
  <c r="Z99" i="12"/>
  <c r="AA99" i="12"/>
  <c r="AB99" i="12"/>
  <c r="AC99" i="12"/>
  <c r="AD99" i="12"/>
  <c r="AE99" i="12"/>
  <c r="AG99" i="12"/>
  <c r="AH99" i="12"/>
  <c r="AI99" i="12"/>
  <c r="AJ99" i="12"/>
  <c r="AK99" i="12"/>
  <c r="AL99" i="12"/>
  <c r="AM99" i="12"/>
  <c r="AN99" i="12"/>
  <c r="AO99" i="12"/>
  <c r="AP99" i="12"/>
  <c r="AQ99" i="12"/>
  <c r="AR99" i="12"/>
  <c r="AS99" i="12"/>
  <c r="AT99" i="12"/>
  <c r="AU99" i="12"/>
  <c r="AV99" i="12"/>
  <c r="AW99" i="12"/>
  <c r="AX99" i="12"/>
  <c r="AY99" i="12"/>
  <c r="AZ99" i="12"/>
  <c r="BA99" i="12"/>
  <c r="BB99" i="12"/>
  <c r="BC99" i="12"/>
  <c r="BD99" i="12"/>
  <c r="BF99" i="12"/>
  <c r="BG99" i="12"/>
  <c r="BH99" i="12"/>
  <c r="BI99" i="12"/>
  <c r="BJ99" i="12"/>
  <c r="BK99" i="12"/>
  <c r="BL99" i="12"/>
  <c r="BM99" i="12"/>
  <c r="BN99" i="12"/>
  <c r="BO99" i="12"/>
  <c r="BP99" i="12"/>
  <c r="BQ99" i="12"/>
  <c r="BR99" i="12"/>
  <c r="BS99" i="12"/>
  <c r="BT99" i="12"/>
  <c r="BU99" i="12"/>
  <c r="BV99" i="12"/>
  <c r="BW99" i="12"/>
  <c r="BX99" i="12"/>
  <c r="BY99" i="12"/>
  <c r="BZ99" i="12"/>
  <c r="CA99" i="12"/>
  <c r="CB99" i="12"/>
  <c r="CC99" i="12"/>
  <c r="CE99" i="12"/>
  <c r="CF99" i="12"/>
  <c r="CG99" i="12"/>
  <c r="CH99" i="12"/>
  <c r="CI99" i="12"/>
  <c r="CJ99" i="12"/>
  <c r="CK99" i="12"/>
  <c r="CL99" i="12"/>
  <c r="CM99" i="12"/>
  <c r="CN99" i="12"/>
  <c r="CO99" i="12"/>
  <c r="CP99" i="12"/>
  <c r="CQ99" i="12"/>
  <c r="CR99" i="12"/>
  <c r="CS99" i="12"/>
  <c r="CT99" i="12"/>
  <c r="CU99" i="12"/>
  <c r="CV99" i="12"/>
  <c r="CW99" i="12"/>
  <c r="CX99" i="12"/>
  <c r="CY99" i="12"/>
  <c r="CZ99" i="12"/>
  <c r="DA99" i="12"/>
  <c r="DB99" i="12"/>
  <c r="DH99" i="12"/>
  <c r="DI99" i="12"/>
  <c r="DJ99" i="12"/>
  <c r="H100" i="12"/>
  <c r="I100" i="12"/>
  <c r="J100" i="12"/>
  <c r="K100" i="12"/>
  <c r="L100" i="12"/>
  <c r="M100" i="12"/>
  <c r="N100" i="12"/>
  <c r="O100" i="12"/>
  <c r="P100" i="12"/>
  <c r="Q100" i="12"/>
  <c r="R100" i="12"/>
  <c r="S100" i="12"/>
  <c r="T100" i="12"/>
  <c r="U100" i="12"/>
  <c r="V100" i="12"/>
  <c r="W100" i="12"/>
  <c r="X100" i="12"/>
  <c r="Y100" i="12"/>
  <c r="Z100" i="12"/>
  <c r="AA100" i="12"/>
  <c r="AB100" i="12"/>
  <c r="AC100" i="12"/>
  <c r="AD100" i="12"/>
  <c r="AE100" i="12"/>
  <c r="AG100" i="12"/>
  <c r="AH100" i="12"/>
  <c r="AI100" i="12"/>
  <c r="AJ100" i="12"/>
  <c r="AK100" i="12"/>
  <c r="AL100" i="12"/>
  <c r="AM100" i="12"/>
  <c r="AN100" i="12"/>
  <c r="AO100" i="12"/>
  <c r="AP100" i="12"/>
  <c r="AQ100" i="12"/>
  <c r="AR100" i="12"/>
  <c r="AS100" i="12"/>
  <c r="AT100" i="12"/>
  <c r="AU100" i="12"/>
  <c r="AV100" i="12"/>
  <c r="AW100" i="12"/>
  <c r="AX100" i="12"/>
  <c r="AY100" i="12"/>
  <c r="AZ100" i="12"/>
  <c r="BA100" i="12"/>
  <c r="BB100" i="12"/>
  <c r="BC100" i="12"/>
  <c r="BD100" i="12"/>
  <c r="BF100" i="12"/>
  <c r="BG100" i="12"/>
  <c r="BH100" i="12"/>
  <c r="BI100" i="12"/>
  <c r="BJ100" i="12"/>
  <c r="BK100" i="12"/>
  <c r="BL100" i="12"/>
  <c r="BM100" i="12"/>
  <c r="BN100" i="12"/>
  <c r="BO100" i="12"/>
  <c r="BP100" i="12"/>
  <c r="BQ100" i="12"/>
  <c r="BR100" i="12"/>
  <c r="BS100" i="12"/>
  <c r="BT100" i="12"/>
  <c r="BU100" i="12"/>
  <c r="BV100" i="12"/>
  <c r="BW100" i="12"/>
  <c r="BX100" i="12"/>
  <c r="BY100" i="12"/>
  <c r="BZ100" i="12"/>
  <c r="CA100" i="12"/>
  <c r="CB100" i="12"/>
  <c r="CC100" i="12"/>
  <c r="CE100" i="12"/>
  <c r="CF100" i="12"/>
  <c r="CG100" i="12"/>
  <c r="CH100" i="12"/>
  <c r="CI100" i="12"/>
  <c r="CJ100" i="12"/>
  <c r="CK100" i="12"/>
  <c r="CL100" i="12"/>
  <c r="CM100" i="12"/>
  <c r="CN100" i="12"/>
  <c r="CO100" i="12"/>
  <c r="CP100" i="12"/>
  <c r="CQ100" i="12"/>
  <c r="CR100" i="12"/>
  <c r="CS100" i="12"/>
  <c r="CT100" i="12"/>
  <c r="CU100" i="12"/>
  <c r="CV100" i="12"/>
  <c r="CW100" i="12"/>
  <c r="CX100" i="12"/>
  <c r="CY100" i="12"/>
  <c r="CZ100" i="12"/>
  <c r="DA100" i="12"/>
  <c r="DB100" i="12"/>
  <c r="DH100" i="12"/>
  <c r="DI100" i="12"/>
  <c r="DJ100" i="12"/>
  <c r="H101" i="12"/>
  <c r="I101" i="12"/>
  <c r="J101" i="12"/>
  <c r="K101" i="12"/>
  <c r="L101" i="12"/>
  <c r="M101" i="12"/>
  <c r="N101" i="12"/>
  <c r="O101" i="12"/>
  <c r="P101" i="12"/>
  <c r="Q101" i="12"/>
  <c r="R101" i="12"/>
  <c r="S101" i="12"/>
  <c r="T101" i="12"/>
  <c r="U101" i="12"/>
  <c r="V101" i="12"/>
  <c r="W101" i="12"/>
  <c r="X101" i="12"/>
  <c r="Y101" i="12"/>
  <c r="Z101" i="12"/>
  <c r="AA101" i="12"/>
  <c r="AB101" i="12"/>
  <c r="AC101" i="12"/>
  <c r="AD101" i="12"/>
  <c r="AE101" i="12"/>
  <c r="AG101" i="12"/>
  <c r="AH101" i="12"/>
  <c r="AI101" i="12"/>
  <c r="AJ101" i="12"/>
  <c r="AK101" i="12"/>
  <c r="AL101" i="12"/>
  <c r="AM101" i="12"/>
  <c r="AN101" i="12"/>
  <c r="AO101" i="12"/>
  <c r="AP101" i="12"/>
  <c r="AQ101" i="12"/>
  <c r="AR101" i="12"/>
  <c r="AS101" i="12"/>
  <c r="AT101" i="12"/>
  <c r="AU101" i="12"/>
  <c r="AV101" i="12"/>
  <c r="AW101" i="12"/>
  <c r="AX101" i="12"/>
  <c r="AY101" i="12"/>
  <c r="AZ101" i="12"/>
  <c r="BA101" i="12"/>
  <c r="BB101" i="12"/>
  <c r="BC101" i="12"/>
  <c r="BD101" i="12"/>
  <c r="BF101" i="12"/>
  <c r="BG101" i="12"/>
  <c r="BH101" i="12"/>
  <c r="BI101" i="12"/>
  <c r="BJ101" i="12"/>
  <c r="BK101" i="12"/>
  <c r="BL101" i="12"/>
  <c r="BM101" i="12"/>
  <c r="BN101" i="12"/>
  <c r="BO101" i="12"/>
  <c r="BP101" i="12"/>
  <c r="BQ101" i="12"/>
  <c r="BR101" i="12"/>
  <c r="BS101" i="12"/>
  <c r="BT101" i="12"/>
  <c r="BU101" i="12"/>
  <c r="BV101" i="12"/>
  <c r="BW101" i="12"/>
  <c r="BX101" i="12"/>
  <c r="BY101" i="12"/>
  <c r="BZ101" i="12"/>
  <c r="CA101" i="12"/>
  <c r="CB101" i="12"/>
  <c r="CC101" i="12"/>
  <c r="CE101" i="12"/>
  <c r="CF101" i="12"/>
  <c r="CG101" i="12"/>
  <c r="CH101" i="12"/>
  <c r="CI101" i="12"/>
  <c r="CJ101" i="12"/>
  <c r="CK101" i="12"/>
  <c r="CL101" i="12"/>
  <c r="CM101" i="12"/>
  <c r="CN101" i="12"/>
  <c r="CO101" i="12"/>
  <c r="CP101" i="12"/>
  <c r="CQ101" i="12"/>
  <c r="CR101" i="12"/>
  <c r="CS101" i="12"/>
  <c r="CT101" i="12"/>
  <c r="CU101" i="12"/>
  <c r="CV101" i="12"/>
  <c r="CW101" i="12"/>
  <c r="CX101" i="12"/>
  <c r="CY101" i="12"/>
  <c r="CZ101" i="12"/>
  <c r="DA101" i="12"/>
  <c r="DB101" i="12"/>
  <c r="DH101" i="12"/>
  <c r="DI101" i="12"/>
  <c r="DJ101" i="12"/>
  <c r="H102" i="12"/>
  <c r="I102" i="12"/>
  <c r="J102" i="12"/>
  <c r="K102" i="12"/>
  <c r="L102" i="12"/>
  <c r="M102" i="12"/>
  <c r="N102" i="12"/>
  <c r="O102" i="12"/>
  <c r="P102" i="12"/>
  <c r="Q102" i="12"/>
  <c r="R102" i="12"/>
  <c r="S102" i="12"/>
  <c r="T102" i="12"/>
  <c r="U102" i="12"/>
  <c r="V102" i="12"/>
  <c r="W102" i="12"/>
  <c r="X102" i="12"/>
  <c r="Y102" i="12"/>
  <c r="Z102" i="12"/>
  <c r="AA102" i="12"/>
  <c r="AB102" i="12"/>
  <c r="AC102" i="12"/>
  <c r="AD102" i="12"/>
  <c r="AE102" i="12"/>
  <c r="AG102" i="12"/>
  <c r="AH102" i="12"/>
  <c r="AI102" i="12"/>
  <c r="AJ102" i="12"/>
  <c r="AK102" i="12"/>
  <c r="AL102" i="12"/>
  <c r="AM102" i="12"/>
  <c r="AN102" i="12"/>
  <c r="AO102" i="12"/>
  <c r="AP102" i="12"/>
  <c r="AQ102" i="12"/>
  <c r="AR102" i="12"/>
  <c r="AS102" i="12"/>
  <c r="AT102" i="12"/>
  <c r="AU102" i="12"/>
  <c r="AV102" i="12"/>
  <c r="AW102" i="12"/>
  <c r="AX102" i="12"/>
  <c r="AY102" i="12"/>
  <c r="AZ102" i="12"/>
  <c r="BA102" i="12"/>
  <c r="BB102" i="12"/>
  <c r="BC102" i="12"/>
  <c r="BD102" i="12"/>
  <c r="BF102" i="12"/>
  <c r="BG102" i="12"/>
  <c r="BH102" i="12"/>
  <c r="BI102" i="12"/>
  <c r="BJ102" i="12"/>
  <c r="BK102" i="12"/>
  <c r="BL102" i="12"/>
  <c r="BM102" i="12"/>
  <c r="BN102" i="12"/>
  <c r="BO102" i="12"/>
  <c r="BP102" i="12"/>
  <c r="BQ102" i="12"/>
  <c r="BR102" i="12"/>
  <c r="BS102" i="12"/>
  <c r="BT102" i="12"/>
  <c r="BU102" i="12"/>
  <c r="BV102" i="12"/>
  <c r="BW102" i="12"/>
  <c r="BX102" i="12"/>
  <c r="BY102" i="12"/>
  <c r="BZ102" i="12"/>
  <c r="CA102" i="12"/>
  <c r="CB102" i="12"/>
  <c r="CC102" i="12"/>
  <c r="CE102" i="12"/>
  <c r="CF102" i="12"/>
  <c r="CG102" i="12"/>
  <c r="CH102" i="12"/>
  <c r="CI102" i="12"/>
  <c r="CJ102" i="12"/>
  <c r="CK102" i="12"/>
  <c r="CL102" i="12"/>
  <c r="CM102" i="12"/>
  <c r="CN102" i="12"/>
  <c r="CO102" i="12"/>
  <c r="CP102" i="12"/>
  <c r="CQ102" i="12"/>
  <c r="CR102" i="12"/>
  <c r="CS102" i="12"/>
  <c r="CT102" i="12"/>
  <c r="CU102" i="12"/>
  <c r="CV102" i="12"/>
  <c r="CW102" i="12"/>
  <c r="CX102" i="12"/>
  <c r="CY102" i="12"/>
  <c r="CZ102" i="12"/>
  <c r="DA102" i="12"/>
  <c r="DB102" i="12"/>
  <c r="DH102" i="12"/>
  <c r="DI102" i="12"/>
  <c r="DJ102" i="12"/>
  <c r="H103" i="12"/>
  <c r="I103" i="12"/>
  <c r="J103" i="12"/>
  <c r="K103" i="12"/>
  <c r="L103" i="12"/>
  <c r="M103" i="12"/>
  <c r="N103" i="12"/>
  <c r="O103" i="12"/>
  <c r="P103" i="12"/>
  <c r="Q103" i="12"/>
  <c r="R103" i="12"/>
  <c r="S103" i="12"/>
  <c r="T103" i="12"/>
  <c r="U103" i="12"/>
  <c r="V103" i="12"/>
  <c r="W103" i="12"/>
  <c r="X103" i="12"/>
  <c r="Y103" i="12"/>
  <c r="Z103" i="12"/>
  <c r="AA103" i="12"/>
  <c r="AB103" i="12"/>
  <c r="AC103" i="12"/>
  <c r="AD103" i="12"/>
  <c r="AE103" i="12"/>
  <c r="AG103" i="12"/>
  <c r="AH103" i="12"/>
  <c r="AI103" i="12"/>
  <c r="AJ103" i="12"/>
  <c r="AK103" i="12"/>
  <c r="AL103" i="12"/>
  <c r="AM103" i="12"/>
  <c r="AN103" i="12"/>
  <c r="AO103" i="12"/>
  <c r="AP103" i="12"/>
  <c r="AQ103" i="12"/>
  <c r="AR103" i="12"/>
  <c r="AS103" i="12"/>
  <c r="AT103" i="12"/>
  <c r="AU103" i="12"/>
  <c r="AV103" i="12"/>
  <c r="AW103" i="12"/>
  <c r="AX103" i="12"/>
  <c r="AY103" i="12"/>
  <c r="AZ103" i="12"/>
  <c r="BA103" i="12"/>
  <c r="BB103" i="12"/>
  <c r="BC103" i="12"/>
  <c r="BD103" i="12"/>
  <c r="BF103" i="12"/>
  <c r="BG103" i="12"/>
  <c r="BH103" i="12"/>
  <c r="BI103" i="12"/>
  <c r="BJ103" i="12"/>
  <c r="BK103" i="12"/>
  <c r="BL103" i="12"/>
  <c r="BM103" i="12"/>
  <c r="BN103" i="12"/>
  <c r="BO103" i="12"/>
  <c r="BP103" i="12"/>
  <c r="BQ103" i="12"/>
  <c r="BR103" i="12"/>
  <c r="BS103" i="12"/>
  <c r="BT103" i="12"/>
  <c r="BU103" i="12"/>
  <c r="BV103" i="12"/>
  <c r="BW103" i="12"/>
  <c r="BX103" i="12"/>
  <c r="BY103" i="12"/>
  <c r="BZ103" i="12"/>
  <c r="CA103" i="12"/>
  <c r="CB103" i="12"/>
  <c r="CC103" i="12"/>
  <c r="CE103" i="12"/>
  <c r="CF103" i="12"/>
  <c r="CG103" i="12"/>
  <c r="CH103" i="12"/>
  <c r="CI103" i="12"/>
  <c r="CJ103" i="12"/>
  <c r="CK103" i="12"/>
  <c r="CL103" i="12"/>
  <c r="CM103" i="12"/>
  <c r="CN103" i="12"/>
  <c r="CO103" i="12"/>
  <c r="CP103" i="12"/>
  <c r="CQ103" i="12"/>
  <c r="CR103" i="12"/>
  <c r="CS103" i="12"/>
  <c r="CT103" i="12"/>
  <c r="CU103" i="12"/>
  <c r="CV103" i="12"/>
  <c r="CW103" i="12"/>
  <c r="CX103" i="12"/>
  <c r="CY103" i="12"/>
  <c r="CZ103" i="12"/>
  <c r="DA103" i="12"/>
  <c r="DB103" i="12"/>
  <c r="DH103" i="12"/>
  <c r="DI103" i="12"/>
  <c r="DJ103" i="12"/>
  <c r="H104" i="12"/>
  <c r="I104" i="12"/>
  <c r="J104" i="12"/>
  <c r="K104" i="12"/>
  <c r="L104" i="12"/>
  <c r="M104" i="12"/>
  <c r="N104" i="12"/>
  <c r="O104" i="12"/>
  <c r="P104" i="12"/>
  <c r="Q104" i="12"/>
  <c r="R104" i="12"/>
  <c r="S104" i="12"/>
  <c r="T104" i="12"/>
  <c r="U104" i="12"/>
  <c r="V104" i="12"/>
  <c r="W104" i="12"/>
  <c r="X104" i="12"/>
  <c r="Y104" i="12"/>
  <c r="Z104" i="12"/>
  <c r="AA104" i="12"/>
  <c r="AB104" i="12"/>
  <c r="AC104" i="12"/>
  <c r="AD104" i="12"/>
  <c r="AE104" i="12"/>
  <c r="AG104" i="12"/>
  <c r="AH104" i="12"/>
  <c r="AI104" i="12"/>
  <c r="AJ104" i="12"/>
  <c r="AK104" i="12"/>
  <c r="AL104" i="12"/>
  <c r="AM104" i="12"/>
  <c r="AN104" i="12"/>
  <c r="AO104" i="12"/>
  <c r="AP104" i="12"/>
  <c r="AQ104" i="12"/>
  <c r="AR104" i="12"/>
  <c r="AS104" i="12"/>
  <c r="AT104" i="12"/>
  <c r="AU104" i="12"/>
  <c r="AV104" i="12"/>
  <c r="AW104" i="12"/>
  <c r="AX104" i="12"/>
  <c r="AY104" i="12"/>
  <c r="AZ104" i="12"/>
  <c r="BA104" i="12"/>
  <c r="BB104" i="12"/>
  <c r="BC104" i="12"/>
  <c r="BD104" i="12"/>
  <c r="BF104" i="12"/>
  <c r="BG104" i="12"/>
  <c r="BH104" i="12"/>
  <c r="BI104" i="12"/>
  <c r="BJ104" i="12"/>
  <c r="BK104" i="12"/>
  <c r="BL104" i="12"/>
  <c r="BM104" i="12"/>
  <c r="BN104" i="12"/>
  <c r="BO104" i="12"/>
  <c r="BP104" i="12"/>
  <c r="BQ104" i="12"/>
  <c r="BR104" i="12"/>
  <c r="BS104" i="12"/>
  <c r="BT104" i="12"/>
  <c r="BU104" i="12"/>
  <c r="BV104" i="12"/>
  <c r="BW104" i="12"/>
  <c r="BX104" i="12"/>
  <c r="BY104" i="12"/>
  <c r="BZ104" i="12"/>
  <c r="CA104" i="12"/>
  <c r="CB104" i="12"/>
  <c r="CC104" i="12"/>
  <c r="CE104" i="12"/>
  <c r="CF104" i="12"/>
  <c r="CG104" i="12"/>
  <c r="CH104" i="12"/>
  <c r="CI104" i="12"/>
  <c r="CJ104" i="12"/>
  <c r="CK104" i="12"/>
  <c r="CL104" i="12"/>
  <c r="CM104" i="12"/>
  <c r="CN104" i="12"/>
  <c r="CO104" i="12"/>
  <c r="CP104" i="12"/>
  <c r="CQ104" i="12"/>
  <c r="CR104" i="12"/>
  <c r="CS104" i="12"/>
  <c r="CT104" i="12"/>
  <c r="CU104" i="12"/>
  <c r="CV104" i="12"/>
  <c r="CW104" i="12"/>
  <c r="CX104" i="12"/>
  <c r="CY104" i="12"/>
  <c r="CZ104" i="12"/>
  <c r="DA104" i="12"/>
  <c r="DB104" i="12"/>
  <c r="DH104" i="12"/>
  <c r="DI104" i="12"/>
  <c r="DJ104" i="12"/>
  <c r="H105" i="12"/>
  <c r="I105" i="12"/>
  <c r="J105" i="12"/>
  <c r="K105" i="12"/>
  <c r="L105" i="12"/>
  <c r="M105" i="12"/>
  <c r="N105" i="12"/>
  <c r="O105" i="12"/>
  <c r="P105" i="12"/>
  <c r="Q105" i="12"/>
  <c r="R105" i="12"/>
  <c r="S105" i="12"/>
  <c r="T105" i="12"/>
  <c r="U105" i="12"/>
  <c r="V105" i="12"/>
  <c r="W105" i="12"/>
  <c r="X105" i="12"/>
  <c r="Y105" i="12"/>
  <c r="Z105" i="12"/>
  <c r="AA105" i="12"/>
  <c r="AB105" i="12"/>
  <c r="AC105" i="12"/>
  <c r="AD105" i="12"/>
  <c r="AE105" i="12"/>
  <c r="AG105" i="12"/>
  <c r="AH105" i="12"/>
  <c r="AI105" i="12"/>
  <c r="AJ105" i="12"/>
  <c r="AK105" i="12"/>
  <c r="AL105" i="12"/>
  <c r="AM105" i="12"/>
  <c r="AN105" i="12"/>
  <c r="AO105" i="12"/>
  <c r="AP105" i="12"/>
  <c r="AQ105" i="12"/>
  <c r="AR105" i="12"/>
  <c r="AS105" i="12"/>
  <c r="AT105" i="12"/>
  <c r="AU105" i="12"/>
  <c r="AV105" i="12"/>
  <c r="AW105" i="12"/>
  <c r="AX105" i="12"/>
  <c r="AY105" i="12"/>
  <c r="AZ105" i="12"/>
  <c r="BA105" i="12"/>
  <c r="BB105" i="12"/>
  <c r="BC105" i="12"/>
  <c r="BD105" i="12"/>
  <c r="BF105" i="12"/>
  <c r="BG105" i="12"/>
  <c r="BH105" i="12"/>
  <c r="BI105" i="12"/>
  <c r="BJ105" i="12"/>
  <c r="BK105" i="12"/>
  <c r="BL105" i="12"/>
  <c r="BM105" i="12"/>
  <c r="BN105" i="12"/>
  <c r="BO105" i="12"/>
  <c r="BP105" i="12"/>
  <c r="BQ105" i="12"/>
  <c r="BR105" i="12"/>
  <c r="BS105" i="12"/>
  <c r="BT105" i="12"/>
  <c r="BU105" i="12"/>
  <c r="BV105" i="12"/>
  <c r="BW105" i="12"/>
  <c r="BX105" i="12"/>
  <c r="BY105" i="12"/>
  <c r="BZ105" i="12"/>
  <c r="CA105" i="12"/>
  <c r="CB105" i="12"/>
  <c r="CC105" i="12"/>
  <c r="CE105" i="12"/>
  <c r="CF105" i="12"/>
  <c r="CG105" i="12"/>
  <c r="CH105" i="12"/>
  <c r="CI105" i="12"/>
  <c r="CJ105" i="12"/>
  <c r="CK105" i="12"/>
  <c r="CL105" i="12"/>
  <c r="CM105" i="12"/>
  <c r="CN105" i="12"/>
  <c r="CO105" i="12"/>
  <c r="CP105" i="12"/>
  <c r="CQ105" i="12"/>
  <c r="CR105" i="12"/>
  <c r="CS105" i="12"/>
  <c r="CT105" i="12"/>
  <c r="CU105" i="12"/>
  <c r="CV105" i="12"/>
  <c r="CW105" i="12"/>
  <c r="CX105" i="12"/>
  <c r="CY105" i="12"/>
  <c r="CZ105" i="12"/>
  <c r="DA105" i="12"/>
  <c r="DB105" i="12"/>
  <c r="DH105" i="12"/>
  <c r="DI105" i="12"/>
  <c r="DJ105" i="12"/>
  <c r="H106" i="12"/>
  <c r="I106" i="12"/>
  <c r="J106" i="12"/>
  <c r="K106" i="12"/>
  <c r="L106" i="12"/>
  <c r="M106" i="12"/>
  <c r="N106" i="12"/>
  <c r="O106" i="12"/>
  <c r="P106" i="12"/>
  <c r="Q106" i="12"/>
  <c r="R106" i="12"/>
  <c r="S106" i="12"/>
  <c r="T106" i="12"/>
  <c r="U106" i="12"/>
  <c r="V106" i="12"/>
  <c r="W106" i="12"/>
  <c r="X106" i="12"/>
  <c r="Y106" i="12"/>
  <c r="Z106" i="12"/>
  <c r="AA106" i="12"/>
  <c r="AB106" i="12"/>
  <c r="AC106" i="12"/>
  <c r="AD106" i="12"/>
  <c r="AE106" i="12"/>
  <c r="AG106" i="12"/>
  <c r="AH106" i="12"/>
  <c r="AI106" i="12"/>
  <c r="AJ106" i="12"/>
  <c r="AK106" i="12"/>
  <c r="AL106" i="12"/>
  <c r="AM106" i="12"/>
  <c r="AN106" i="12"/>
  <c r="AO106" i="12"/>
  <c r="AP106" i="12"/>
  <c r="AQ106" i="12"/>
  <c r="AR106" i="12"/>
  <c r="AS106" i="12"/>
  <c r="AT106" i="12"/>
  <c r="AU106" i="12"/>
  <c r="AV106" i="12"/>
  <c r="AW106" i="12"/>
  <c r="AX106" i="12"/>
  <c r="AY106" i="12"/>
  <c r="AZ106" i="12"/>
  <c r="BA106" i="12"/>
  <c r="BB106" i="12"/>
  <c r="BC106" i="12"/>
  <c r="BD106" i="12"/>
  <c r="BF106" i="12"/>
  <c r="BG106" i="12"/>
  <c r="BH106" i="12"/>
  <c r="BI106" i="12"/>
  <c r="BJ106" i="12"/>
  <c r="BK106" i="12"/>
  <c r="BL106" i="12"/>
  <c r="BM106" i="12"/>
  <c r="BN106" i="12"/>
  <c r="BO106" i="12"/>
  <c r="BP106" i="12"/>
  <c r="BQ106" i="12"/>
  <c r="BR106" i="12"/>
  <c r="BS106" i="12"/>
  <c r="BT106" i="12"/>
  <c r="BU106" i="12"/>
  <c r="BV106" i="12"/>
  <c r="BW106" i="12"/>
  <c r="BX106" i="12"/>
  <c r="BY106" i="12"/>
  <c r="BZ106" i="12"/>
  <c r="CA106" i="12"/>
  <c r="CB106" i="12"/>
  <c r="CC106" i="12"/>
  <c r="CE106" i="12"/>
  <c r="CF106" i="12"/>
  <c r="CG106" i="12"/>
  <c r="CH106" i="12"/>
  <c r="CI106" i="12"/>
  <c r="CJ106" i="12"/>
  <c r="CK106" i="12"/>
  <c r="CL106" i="12"/>
  <c r="CM106" i="12"/>
  <c r="CN106" i="12"/>
  <c r="CO106" i="12"/>
  <c r="CP106" i="12"/>
  <c r="CQ106" i="12"/>
  <c r="CR106" i="12"/>
  <c r="CS106" i="12"/>
  <c r="CT106" i="12"/>
  <c r="CU106" i="12"/>
  <c r="CV106" i="12"/>
  <c r="CW106" i="12"/>
  <c r="CX106" i="12"/>
  <c r="CY106" i="12"/>
  <c r="CZ106" i="12"/>
  <c r="DA106" i="12"/>
  <c r="DB106" i="12"/>
  <c r="DH106" i="12"/>
  <c r="DI106" i="12"/>
  <c r="DJ106" i="12"/>
  <c r="H107" i="12"/>
  <c r="I107" i="12"/>
  <c r="J107" i="12"/>
  <c r="K107" i="12"/>
  <c r="L107" i="12"/>
  <c r="M107" i="12"/>
  <c r="N107" i="12"/>
  <c r="O107" i="12"/>
  <c r="P107" i="12"/>
  <c r="Q107" i="12"/>
  <c r="R107" i="12"/>
  <c r="S107" i="12"/>
  <c r="T107" i="12"/>
  <c r="U107" i="12"/>
  <c r="V107" i="12"/>
  <c r="W107" i="12"/>
  <c r="X107" i="12"/>
  <c r="Y107" i="12"/>
  <c r="Z107" i="12"/>
  <c r="AA107" i="12"/>
  <c r="AB107" i="12"/>
  <c r="AC107" i="12"/>
  <c r="AD107" i="12"/>
  <c r="AE107" i="12"/>
  <c r="AG107" i="12"/>
  <c r="AH107" i="12"/>
  <c r="AI107" i="12"/>
  <c r="AJ107" i="12"/>
  <c r="AK107" i="12"/>
  <c r="AL107" i="12"/>
  <c r="AM107" i="12"/>
  <c r="AN107" i="12"/>
  <c r="AO107" i="12"/>
  <c r="AP107" i="12"/>
  <c r="AQ107" i="12"/>
  <c r="AR107" i="12"/>
  <c r="AS107" i="12"/>
  <c r="AT107" i="12"/>
  <c r="AU107" i="12"/>
  <c r="AV107" i="12"/>
  <c r="AW107" i="12"/>
  <c r="AX107" i="12"/>
  <c r="AY107" i="12"/>
  <c r="AZ107" i="12"/>
  <c r="BA107" i="12"/>
  <c r="BB107" i="12"/>
  <c r="BC107" i="12"/>
  <c r="BD107" i="12"/>
  <c r="BF107" i="12"/>
  <c r="BG107" i="12"/>
  <c r="BH107" i="12"/>
  <c r="BI107" i="12"/>
  <c r="BJ107" i="12"/>
  <c r="BK107" i="12"/>
  <c r="BL107" i="12"/>
  <c r="BM107" i="12"/>
  <c r="BN107" i="12"/>
  <c r="BO107" i="12"/>
  <c r="BP107" i="12"/>
  <c r="BQ107" i="12"/>
  <c r="BR107" i="12"/>
  <c r="BS107" i="12"/>
  <c r="BT107" i="12"/>
  <c r="BU107" i="12"/>
  <c r="BV107" i="12"/>
  <c r="BW107" i="12"/>
  <c r="BX107" i="12"/>
  <c r="BY107" i="12"/>
  <c r="BZ107" i="12"/>
  <c r="CA107" i="12"/>
  <c r="CB107" i="12"/>
  <c r="CC107" i="12"/>
  <c r="CE107" i="12"/>
  <c r="CF107" i="12"/>
  <c r="CG107" i="12"/>
  <c r="CH107" i="12"/>
  <c r="CI107" i="12"/>
  <c r="CJ107" i="12"/>
  <c r="CK107" i="12"/>
  <c r="CL107" i="12"/>
  <c r="CM107" i="12"/>
  <c r="CN107" i="12"/>
  <c r="CO107" i="12"/>
  <c r="CP107" i="12"/>
  <c r="CQ107" i="12"/>
  <c r="CR107" i="12"/>
  <c r="CS107" i="12"/>
  <c r="CT107" i="12"/>
  <c r="CU107" i="12"/>
  <c r="CV107" i="12"/>
  <c r="CW107" i="12"/>
  <c r="CX107" i="12"/>
  <c r="CY107" i="12"/>
  <c r="CZ107" i="12"/>
  <c r="DA107" i="12"/>
  <c r="DB107" i="12"/>
  <c r="DH107" i="12"/>
  <c r="DI107" i="12"/>
  <c r="DJ107" i="12"/>
  <c r="H108" i="12"/>
  <c r="I108" i="12"/>
  <c r="J108" i="12"/>
  <c r="K108" i="12"/>
  <c r="L108" i="12"/>
  <c r="M108" i="12"/>
  <c r="N108" i="12"/>
  <c r="O108" i="12"/>
  <c r="P108" i="12"/>
  <c r="Q108" i="12"/>
  <c r="R108" i="12"/>
  <c r="S108" i="12"/>
  <c r="T108" i="12"/>
  <c r="U108" i="12"/>
  <c r="V108" i="12"/>
  <c r="W108" i="12"/>
  <c r="X108" i="12"/>
  <c r="Y108" i="12"/>
  <c r="Z108" i="12"/>
  <c r="AA108" i="12"/>
  <c r="AB108" i="12"/>
  <c r="AC108" i="12"/>
  <c r="AD108" i="12"/>
  <c r="AE108" i="12"/>
  <c r="AG108" i="12"/>
  <c r="AH108" i="12"/>
  <c r="AI108" i="12"/>
  <c r="AJ108" i="12"/>
  <c r="AK108" i="12"/>
  <c r="AL108" i="12"/>
  <c r="AM108" i="12"/>
  <c r="AN108" i="12"/>
  <c r="AO108" i="12"/>
  <c r="AP108" i="12"/>
  <c r="AQ108" i="12"/>
  <c r="AR108" i="12"/>
  <c r="AS108" i="12"/>
  <c r="AT108" i="12"/>
  <c r="AU108" i="12"/>
  <c r="AV108" i="12"/>
  <c r="AW108" i="12"/>
  <c r="AX108" i="12"/>
  <c r="AY108" i="12"/>
  <c r="AZ108" i="12"/>
  <c r="BA108" i="12"/>
  <c r="BB108" i="12"/>
  <c r="BC108" i="12"/>
  <c r="BD108" i="12"/>
  <c r="BF108" i="12"/>
  <c r="BG108" i="12"/>
  <c r="BH108" i="12"/>
  <c r="BI108" i="12"/>
  <c r="BJ108" i="12"/>
  <c r="BK108" i="12"/>
  <c r="BL108" i="12"/>
  <c r="BM108" i="12"/>
  <c r="BN108" i="12"/>
  <c r="BO108" i="12"/>
  <c r="BP108" i="12"/>
  <c r="BQ108" i="12"/>
  <c r="BR108" i="12"/>
  <c r="BS108" i="12"/>
  <c r="BT108" i="12"/>
  <c r="BU108" i="12"/>
  <c r="BV108" i="12"/>
  <c r="BW108" i="12"/>
  <c r="BX108" i="12"/>
  <c r="BY108" i="12"/>
  <c r="BZ108" i="12"/>
  <c r="CA108" i="12"/>
  <c r="CB108" i="12"/>
  <c r="CC108" i="12"/>
  <c r="CE108" i="12"/>
  <c r="CF108" i="12"/>
  <c r="CG108" i="12"/>
  <c r="CH108" i="12"/>
  <c r="CI108" i="12"/>
  <c r="CJ108" i="12"/>
  <c r="CK108" i="12"/>
  <c r="CL108" i="12"/>
  <c r="CM108" i="12"/>
  <c r="CN108" i="12"/>
  <c r="CO108" i="12"/>
  <c r="CP108" i="12"/>
  <c r="CQ108" i="12"/>
  <c r="CR108" i="12"/>
  <c r="CS108" i="12"/>
  <c r="CT108" i="12"/>
  <c r="CU108" i="12"/>
  <c r="CV108" i="12"/>
  <c r="CW108" i="12"/>
  <c r="CX108" i="12"/>
  <c r="CY108" i="12"/>
  <c r="CZ108" i="12"/>
  <c r="DA108" i="12"/>
  <c r="DB108" i="12"/>
  <c r="DH108" i="12"/>
  <c r="DI108" i="12"/>
  <c r="DJ108" i="12"/>
  <c r="H109" i="12"/>
  <c r="I109" i="12"/>
  <c r="J109" i="12"/>
  <c r="K109" i="12"/>
  <c r="L109" i="12"/>
  <c r="M109" i="12"/>
  <c r="N109" i="12"/>
  <c r="O109" i="12"/>
  <c r="P109" i="12"/>
  <c r="Q109" i="12"/>
  <c r="R109" i="12"/>
  <c r="S109" i="12"/>
  <c r="T109" i="12"/>
  <c r="U109" i="12"/>
  <c r="V109" i="12"/>
  <c r="W109" i="12"/>
  <c r="X109" i="12"/>
  <c r="Y109" i="12"/>
  <c r="Z109" i="12"/>
  <c r="AA109" i="12"/>
  <c r="AB109" i="12"/>
  <c r="AC109" i="12"/>
  <c r="AD109" i="12"/>
  <c r="AE109" i="12"/>
  <c r="AG109" i="12"/>
  <c r="AH109" i="12"/>
  <c r="AI109" i="12"/>
  <c r="AJ109" i="12"/>
  <c r="AK109" i="12"/>
  <c r="AL109" i="12"/>
  <c r="AM109" i="12"/>
  <c r="AN109" i="12"/>
  <c r="AO109" i="12"/>
  <c r="AP109" i="12"/>
  <c r="AQ109" i="12"/>
  <c r="AR109" i="12"/>
  <c r="AS109" i="12"/>
  <c r="AT109" i="12"/>
  <c r="AU109" i="12"/>
  <c r="AV109" i="12"/>
  <c r="AW109" i="12"/>
  <c r="AX109" i="12"/>
  <c r="AY109" i="12"/>
  <c r="AZ109" i="12"/>
  <c r="BA109" i="12"/>
  <c r="BB109" i="12"/>
  <c r="BC109" i="12"/>
  <c r="BD109" i="12"/>
  <c r="BF109" i="12"/>
  <c r="BG109" i="12"/>
  <c r="BH109" i="12"/>
  <c r="BI109" i="12"/>
  <c r="BJ109" i="12"/>
  <c r="BK109" i="12"/>
  <c r="BL109" i="12"/>
  <c r="BM109" i="12"/>
  <c r="BN109" i="12"/>
  <c r="BO109" i="12"/>
  <c r="BP109" i="12"/>
  <c r="BQ109" i="12"/>
  <c r="BR109" i="12"/>
  <c r="BS109" i="12"/>
  <c r="BT109" i="12"/>
  <c r="BU109" i="12"/>
  <c r="BV109" i="12"/>
  <c r="BW109" i="12"/>
  <c r="BX109" i="12"/>
  <c r="BY109" i="12"/>
  <c r="BZ109" i="12"/>
  <c r="CA109" i="12"/>
  <c r="CB109" i="12"/>
  <c r="CC109" i="12"/>
  <c r="CE109" i="12"/>
  <c r="CF109" i="12"/>
  <c r="CG109" i="12"/>
  <c r="CH109" i="12"/>
  <c r="CI109" i="12"/>
  <c r="CJ109" i="12"/>
  <c r="CK109" i="12"/>
  <c r="CL109" i="12"/>
  <c r="CM109" i="12"/>
  <c r="CN109" i="12"/>
  <c r="CO109" i="12"/>
  <c r="CP109" i="12"/>
  <c r="CQ109" i="12"/>
  <c r="CR109" i="12"/>
  <c r="CS109" i="12"/>
  <c r="CT109" i="12"/>
  <c r="CU109" i="12"/>
  <c r="CV109" i="12"/>
  <c r="CW109" i="12"/>
  <c r="CX109" i="12"/>
  <c r="CY109" i="12"/>
  <c r="CZ109" i="12"/>
  <c r="DA109" i="12"/>
  <c r="DB109" i="12"/>
  <c r="DH109" i="12"/>
  <c r="DI109" i="12"/>
  <c r="DJ109" i="12"/>
  <c r="H110" i="12"/>
  <c r="I110" i="12"/>
  <c r="J110" i="12"/>
  <c r="K110" i="12"/>
  <c r="L110" i="12"/>
  <c r="M110" i="12"/>
  <c r="N110" i="12"/>
  <c r="O110" i="12"/>
  <c r="P110" i="12"/>
  <c r="Q110" i="12"/>
  <c r="R110" i="12"/>
  <c r="S110" i="12"/>
  <c r="T110" i="12"/>
  <c r="U110" i="12"/>
  <c r="V110" i="12"/>
  <c r="W110" i="12"/>
  <c r="X110" i="12"/>
  <c r="Y110" i="12"/>
  <c r="Z110" i="12"/>
  <c r="AA110" i="12"/>
  <c r="AB110" i="12"/>
  <c r="AC110" i="12"/>
  <c r="AD110" i="12"/>
  <c r="AE110" i="12"/>
  <c r="AG110" i="12"/>
  <c r="AH110" i="12"/>
  <c r="AI110" i="12"/>
  <c r="AJ110" i="12"/>
  <c r="AK110" i="12"/>
  <c r="AL110" i="12"/>
  <c r="AM110" i="12"/>
  <c r="AN110" i="12"/>
  <c r="AO110" i="12"/>
  <c r="AP110" i="12"/>
  <c r="AQ110" i="12"/>
  <c r="AR110" i="12"/>
  <c r="AS110" i="12"/>
  <c r="AT110" i="12"/>
  <c r="AU110" i="12"/>
  <c r="AV110" i="12"/>
  <c r="AW110" i="12"/>
  <c r="AX110" i="12"/>
  <c r="AY110" i="12"/>
  <c r="AZ110" i="12"/>
  <c r="BA110" i="12"/>
  <c r="BB110" i="12"/>
  <c r="BC110" i="12"/>
  <c r="BD110" i="12"/>
  <c r="BF110" i="12"/>
  <c r="BG110" i="12"/>
  <c r="BH110" i="12"/>
  <c r="BI110" i="12"/>
  <c r="BJ110" i="12"/>
  <c r="BK110" i="12"/>
  <c r="BL110" i="12"/>
  <c r="BM110" i="12"/>
  <c r="BN110" i="12"/>
  <c r="BO110" i="12"/>
  <c r="BP110" i="12"/>
  <c r="BQ110" i="12"/>
  <c r="BR110" i="12"/>
  <c r="BS110" i="12"/>
  <c r="BT110" i="12"/>
  <c r="BU110" i="12"/>
  <c r="BV110" i="12"/>
  <c r="BW110" i="12"/>
  <c r="BX110" i="12"/>
  <c r="BY110" i="12"/>
  <c r="BZ110" i="12"/>
  <c r="CA110" i="12"/>
  <c r="CB110" i="12"/>
  <c r="CC110" i="12"/>
  <c r="CE110" i="12"/>
  <c r="CF110" i="12"/>
  <c r="CG110" i="12"/>
  <c r="CH110" i="12"/>
  <c r="CI110" i="12"/>
  <c r="CJ110" i="12"/>
  <c r="CK110" i="12"/>
  <c r="CL110" i="12"/>
  <c r="CM110" i="12"/>
  <c r="CN110" i="12"/>
  <c r="CO110" i="12"/>
  <c r="CP110" i="12"/>
  <c r="CQ110" i="12"/>
  <c r="CR110" i="12"/>
  <c r="CS110" i="12"/>
  <c r="CT110" i="12"/>
  <c r="CU110" i="12"/>
  <c r="CV110" i="12"/>
  <c r="CW110" i="12"/>
  <c r="CX110" i="12"/>
  <c r="CY110" i="12"/>
  <c r="CZ110" i="12"/>
  <c r="DA110" i="12"/>
  <c r="DB110" i="12"/>
  <c r="DH110" i="12"/>
  <c r="DI110" i="12"/>
  <c r="DJ110" i="12"/>
  <c r="H111" i="12"/>
  <c r="I111" i="12"/>
  <c r="J111" i="12"/>
  <c r="K111" i="12"/>
  <c r="L111" i="12"/>
  <c r="M111" i="12"/>
  <c r="N111" i="12"/>
  <c r="O111" i="12"/>
  <c r="P111" i="12"/>
  <c r="Q111" i="12"/>
  <c r="R111" i="12"/>
  <c r="S111" i="12"/>
  <c r="T111" i="12"/>
  <c r="U111" i="12"/>
  <c r="V111" i="12"/>
  <c r="W111" i="12"/>
  <c r="X111" i="12"/>
  <c r="Y111" i="12"/>
  <c r="Z111" i="12"/>
  <c r="AA111" i="12"/>
  <c r="AB111" i="12"/>
  <c r="AC111" i="12"/>
  <c r="AD111" i="12"/>
  <c r="AE111" i="12"/>
  <c r="AG111" i="12"/>
  <c r="AH111" i="12"/>
  <c r="AI111" i="12"/>
  <c r="AJ111" i="12"/>
  <c r="AK111" i="12"/>
  <c r="AL111" i="12"/>
  <c r="AM111" i="12"/>
  <c r="AN111" i="12"/>
  <c r="AO111" i="12"/>
  <c r="AP111" i="12"/>
  <c r="AQ111" i="12"/>
  <c r="AR111" i="12"/>
  <c r="AS111" i="12"/>
  <c r="AT111" i="12"/>
  <c r="AU111" i="12"/>
  <c r="AV111" i="12"/>
  <c r="AW111" i="12"/>
  <c r="AX111" i="12"/>
  <c r="AY111" i="12"/>
  <c r="AZ111" i="12"/>
  <c r="BA111" i="12"/>
  <c r="BB111" i="12"/>
  <c r="BC111" i="12"/>
  <c r="BD111" i="12"/>
  <c r="BF111" i="12"/>
  <c r="BG111" i="12"/>
  <c r="BH111" i="12"/>
  <c r="BI111" i="12"/>
  <c r="BJ111" i="12"/>
  <c r="BK111" i="12"/>
  <c r="BL111" i="12"/>
  <c r="BM111" i="12"/>
  <c r="BN111" i="12"/>
  <c r="BO111" i="12"/>
  <c r="BP111" i="12"/>
  <c r="BQ111" i="12"/>
  <c r="BR111" i="12"/>
  <c r="BS111" i="12"/>
  <c r="BT111" i="12"/>
  <c r="BU111" i="12"/>
  <c r="BV111" i="12"/>
  <c r="BW111" i="12"/>
  <c r="BX111" i="12"/>
  <c r="BY111" i="12"/>
  <c r="BZ111" i="12"/>
  <c r="CA111" i="12"/>
  <c r="CB111" i="12"/>
  <c r="CC111" i="12"/>
  <c r="CE111" i="12"/>
  <c r="CF111" i="12"/>
  <c r="CG111" i="12"/>
  <c r="CH111" i="12"/>
  <c r="CI111" i="12"/>
  <c r="CJ111" i="12"/>
  <c r="CK111" i="12"/>
  <c r="CL111" i="12"/>
  <c r="CM111" i="12"/>
  <c r="CN111" i="12"/>
  <c r="CO111" i="12"/>
  <c r="CP111" i="12"/>
  <c r="CQ111" i="12"/>
  <c r="CR111" i="12"/>
  <c r="CS111" i="12"/>
  <c r="CT111" i="12"/>
  <c r="CU111" i="12"/>
  <c r="CV111" i="12"/>
  <c r="CW111" i="12"/>
  <c r="CX111" i="12"/>
  <c r="CY111" i="12"/>
  <c r="CZ111" i="12"/>
  <c r="DA111" i="12"/>
  <c r="DB111" i="12"/>
  <c r="DH111" i="12"/>
  <c r="DI111" i="12"/>
  <c r="DJ111" i="12"/>
  <c r="H112" i="12"/>
  <c r="I112" i="12"/>
  <c r="J112" i="12"/>
  <c r="K112" i="12"/>
  <c r="L112" i="12"/>
  <c r="M112" i="12"/>
  <c r="N112" i="12"/>
  <c r="O112" i="12"/>
  <c r="P112" i="12"/>
  <c r="Q112" i="12"/>
  <c r="R112" i="12"/>
  <c r="S112" i="12"/>
  <c r="T112" i="12"/>
  <c r="U112" i="12"/>
  <c r="V112" i="12"/>
  <c r="W112" i="12"/>
  <c r="X112" i="12"/>
  <c r="Y112" i="12"/>
  <c r="Z112" i="12"/>
  <c r="AA112" i="12"/>
  <c r="AB112" i="12"/>
  <c r="AC112" i="12"/>
  <c r="AD112" i="12"/>
  <c r="AE112" i="12"/>
  <c r="AG112" i="12"/>
  <c r="AH112" i="12"/>
  <c r="AI112" i="12"/>
  <c r="AJ112" i="12"/>
  <c r="AK112" i="12"/>
  <c r="AL112" i="12"/>
  <c r="AM112" i="12"/>
  <c r="AN112" i="12"/>
  <c r="AO112" i="12"/>
  <c r="AP112" i="12"/>
  <c r="AQ112" i="12"/>
  <c r="AR112" i="12"/>
  <c r="AS112" i="12"/>
  <c r="AT112" i="12"/>
  <c r="AU112" i="12"/>
  <c r="AV112" i="12"/>
  <c r="AW112" i="12"/>
  <c r="AX112" i="12"/>
  <c r="AY112" i="12"/>
  <c r="AZ112" i="12"/>
  <c r="BA112" i="12"/>
  <c r="BB112" i="12"/>
  <c r="BC112" i="12"/>
  <c r="BD112" i="12"/>
  <c r="BF112" i="12"/>
  <c r="BG112" i="12"/>
  <c r="BH112" i="12"/>
  <c r="BI112" i="12"/>
  <c r="BJ112" i="12"/>
  <c r="BK112" i="12"/>
  <c r="BL112" i="12"/>
  <c r="BM112" i="12"/>
  <c r="BN112" i="12"/>
  <c r="BO112" i="12"/>
  <c r="BP112" i="12"/>
  <c r="BQ112" i="12"/>
  <c r="BR112" i="12"/>
  <c r="BS112" i="12"/>
  <c r="BT112" i="12"/>
  <c r="BU112" i="12"/>
  <c r="BV112" i="12"/>
  <c r="BW112" i="12"/>
  <c r="BX112" i="12"/>
  <c r="BY112" i="12"/>
  <c r="BZ112" i="12"/>
  <c r="CA112" i="12"/>
  <c r="CB112" i="12"/>
  <c r="CC112" i="12"/>
  <c r="CE112" i="12"/>
  <c r="CF112" i="12"/>
  <c r="CG112" i="12"/>
  <c r="CH112" i="12"/>
  <c r="CI112" i="12"/>
  <c r="CJ112" i="12"/>
  <c r="CK112" i="12"/>
  <c r="CL112" i="12"/>
  <c r="CM112" i="12"/>
  <c r="CN112" i="12"/>
  <c r="CO112" i="12"/>
  <c r="CP112" i="12"/>
  <c r="CQ112" i="12"/>
  <c r="CR112" i="12"/>
  <c r="CS112" i="12"/>
  <c r="CT112" i="12"/>
  <c r="CU112" i="12"/>
  <c r="CV112" i="12"/>
  <c r="CW112" i="12"/>
  <c r="CX112" i="12"/>
  <c r="CY112" i="12"/>
  <c r="CZ112" i="12"/>
  <c r="DA112" i="12"/>
  <c r="DB112" i="12"/>
  <c r="DH112" i="12"/>
  <c r="DI112" i="12"/>
  <c r="DJ112" i="12"/>
  <c r="H113" i="12"/>
  <c r="I113" i="12"/>
  <c r="J113" i="12"/>
  <c r="K113" i="12"/>
  <c r="L113" i="12"/>
  <c r="M113" i="12"/>
  <c r="N113" i="12"/>
  <c r="O113" i="12"/>
  <c r="P113" i="12"/>
  <c r="Q113" i="12"/>
  <c r="R113" i="12"/>
  <c r="S113" i="12"/>
  <c r="T113" i="12"/>
  <c r="U113" i="12"/>
  <c r="V113" i="12"/>
  <c r="W113" i="12"/>
  <c r="X113" i="12"/>
  <c r="Y113" i="12"/>
  <c r="Z113" i="12"/>
  <c r="AA113" i="12"/>
  <c r="AB113" i="12"/>
  <c r="AC113" i="12"/>
  <c r="AD113" i="12"/>
  <c r="AE113" i="12"/>
  <c r="AG113" i="12"/>
  <c r="AH113" i="12"/>
  <c r="AI113" i="12"/>
  <c r="AJ113" i="12"/>
  <c r="AK113" i="12"/>
  <c r="AL113" i="12"/>
  <c r="AM113" i="12"/>
  <c r="AN113" i="12"/>
  <c r="AO113" i="12"/>
  <c r="AP113" i="12"/>
  <c r="AQ113" i="12"/>
  <c r="AR113" i="12"/>
  <c r="AS113" i="12"/>
  <c r="AT113" i="12"/>
  <c r="AU113" i="12"/>
  <c r="AV113" i="12"/>
  <c r="AW113" i="12"/>
  <c r="AX113" i="12"/>
  <c r="AY113" i="12"/>
  <c r="AZ113" i="12"/>
  <c r="BA113" i="12"/>
  <c r="BB113" i="12"/>
  <c r="BC113" i="12"/>
  <c r="BD113" i="12"/>
  <c r="BF113" i="12"/>
  <c r="BG113" i="12"/>
  <c r="BH113" i="12"/>
  <c r="BI113" i="12"/>
  <c r="BJ113" i="12"/>
  <c r="BK113" i="12"/>
  <c r="BL113" i="12"/>
  <c r="BM113" i="12"/>
  <c r="BN113" i="12"/>
  <c r="BO113" i="12"/>
  <c r="BP113" i="12"/>
  <c r="BQ113" i="12"/>
  <c r="BR113" i="12"/>
  <c r="BS113" i="12"/>
  <c r="BT113" i="12"/>
  <c r="BU113" i="12"/>
  <c r="BV113" i="12"/>
  <c r="BW113" i="12"/>
  <c r="BX113" i="12"/>
  <c r="BY113" i="12"/>
  <c r="BZ113" i="12"/>
  <c r="CA113" i="12"/>
  <c r="CB113" i="12"/>
  <c r="CC113" i="12"/>
  <c r="CE113" i="12"/>
  <c r="CF113" i="12"/>
  <c r="CG113" i="12"/>
  <c r="CH113" i="12"/>
  <c r="CI113" i="12"/>
  <c r="CJ113" i="12"/>
  <c r="CK113" i="12"/>
  <c r="CL113" i="12"/>
  <c r="CM113" i="12"/>
  <c r="CN113" i="12"/>
  <c r="CO113" i="12"/>
  <c r="CP113" i="12"/>
  <c r="CQ113" i="12"/>
  <c r="CR113" i="12"/>
  <c r="CS113" i="12"/>
  <c r="CT113" i="12"/>
  <c r="CU113" i="12"/>
  <c r="CV113" i="12"/>
  <c r="CW113" i="12"/>
  <c r="CX113" i="12"/>
  <c r="CY113" i="12"/>
  <c r="CZ113" i="12"/>
  <c r="DA113" i="12"/>
  <c r="DB113" i="12"/>
  <c r="DH113" i="12"/>
  <c r="DI113" i="12"/>
  <c r="DJ113" i="12"/>
  <c r="H114" i="12"/>
  <c r="I114" i="12"/>
  <c r="J114" i="12"/>
  <c r="K114" i="12"/>
  <c r="L114" i="12"/>
  <c r="M114" i="12"/>
  <c r="N114" i="12"/>
  <c r="O114" i="12"/>
  <c r="P114" i="12"/>
  <c r="Q114" i="12"/>
  <c r="R114" i="12"/>
  <c r="S114" i="12"/>
  <c r="T114" i="12"/>
  <c r="U114" i="12"/>
  <c r="V114" i="12"/>
  <c r="W114" i="12"/>
  <c r="X114" i="12"/>
  <c r="Y114" i="12"/>
  <c r="Z114" i="12"/>
  <c r="AA114" i="12"/>
  <c r="AB114" i="12"/>
  <c r="AC114" i="12"/>
  <c r="AD114" i="12"/>
  <c r="AE114" i="12"/>
  <c r="AG114" i="12"/>
  <c r="AH114" i="12"/>
  <c r="AI114" i="12"/>
  <c r="AJ114" i="12"/>
  <c r="AK114" i="12"/>
  <c r="AL114" i="12"/>
  <c r="AM114" i="12"/>
  <c r="AN114" i="12"/>
  <c r="AO114" i="12"/>
  <c r="AP114" i="12"/>
  <c r="AQ114" i="12"/>
  <c r="AR114" i="12"/>
  <c r="AS114" i="12"/>
  <c r="AT114" i="12"/>
  <c r="AU114" i="12"/>
  <c r="AV114" i="12"/>
  <c r="AW114" i="12"/>
  <c r="AX114" i="12"/>
  <c r="AY114" i="12"/>
  <c r="AZ114" i="12"/>
  <c r="BA114" i="12"/>
  <c r="BB114" i="12"/>
  <c r="BC114" i="12"/>
  <c r="BD114" i="12"/>
  <c r="BF114" i="12"/>
  <c r="BG114" i="12"/>
  <c r="BH114" i="12"/>
  <c r="BI114" i="12"/>
  <c r="BJ114" i="12"/>
  <c r="BK114" i="12"/>
  <c r="BL114" i="12"/>
  <c r="BM114" i="12"/>
  <c r="BN114" i="12"/>
  <c r="BO114" i="12"/>
  <c r="BP114" i="12"/>
  <c r="BQ114" i="12"/>
  <c r="BR114" i="12"/>
  <c r="BS114" i="12"/>
  <c r="BT114" i="12"/>
  <c r="BU114" i="12"/>
  <c r="BV114" i="12"/>
  <c r="BW114" i="12"/>
  <c r="BX114" i="12"/>
  <c r="BY114" i="12"/>
  <c r="BZ114" i="12"/>
  <c r="CA114" i="12"/>
  <c r="CB114" i="12"/>
  <c r="CC114" i="12"/>
  <c r="CE114" i="12"/>
  <c r="CF114" i="12"/>
  <c r="CG114" i="12"/>
  <c r="CH114" i="12"/>
  <c r="CI114" i="12"/>
  <c r="CJ114" i="12"/>
  <c r="CK114" i="12"/>
  <c r="CL114" i="12"/>
  <c r="CM114" i="12"/>
  <c r="CN114" i="12"/>
  <c r="CO114" i="12"/>
  <c r="CP114" i="12"/>
  <c r="CQ114" i="12"/>
  <c r="CR114" i="12"/>
  <c r="CS114" i="12"/>
  <c r="CT114" i="12"/>
  <c r="CU114" i="12"/>
  <c r="CV114" i="12"/>
  <c r="CW114" i="12"/>
  <c r="CX114" i="12"/>
  <c r="CY114" i="12"/>
  <c r="CZ114" i="12"/>
  <c r="DA114" i="12"/>
  <c r="DB114" i="12"/>
  <c r="DH114" i="12"/>
  <c r="DI114" i="12"/>
  <c r="DJ114" i="12"/>
  <c r="H115" i="12"/>
  <c r="I115" i="12"/>
  <c r="J115" i="12"/>
  <c r="K115" i="12"/>
  <c r="L115" i="12"/>
  <c r="M115" i="12"/>
  <c r="N115" i="12"/>
  <c r="O115" i="12"/>
  <c r="P115" i="12"/>
  <c r="Q115" i="12"/>
  <c r="R115" i="12"/>
  <c r="S115" i="12"/>
  <c r="T115" i="12"/>
  <c r="U115" i="12"/>
  <c r="V115" i="12"/>
  <c r="W115" i="12"/>
  <c r="X115" i="12"/>
  <c r="Y115" i="12"/>
  <c r="Z115" i="12"/>
  <c r="AA115" i="12"/>
  <c r="AB115" i="12"/>
  <c r="AC115" i="12"/>
  <c r="AD115" i="12"/>
  <c r="AE115" i="12"/>
  <c r="AG115" i="12"/>
  <c r="AH115" i="12"/>
  <c r="AI115" i="12"/>
  <c r="AJ115" i="12"/>
  <c r="AK115" i="12"/>
  <c r="AL115" i="12"/>
  <c r="AM115" i="12"/>
  <c r="AN115" i="12"/>
  <c r="AO115" i="12"/>
  <c r="AP115" i="12"/>
  <c r="AQ115" i="12"/>
  <c r="AR115" i="12"/>
  <c r="AS115" i="12"/>
  <c r="AT115" i="12"/>
  <c r="AU115" i="12"/>
  <c r="AV115" i="12"/>
  <c r="AW115" i="12"/>
  <c r="AX115" i="12"/>
  <c r="AY115" i="12"/>
  <c r="AZ115" i="12"/>
  <c r="BA115" i="12"/>
  <c r="BB115" i="12"/>
  <c r="BC115" i="12"/>
  <c r="BD115" i="12"/>
  <c r="BF115" i="12"/>
  <c r="BG115" i="12"/>
  <c r="BH115" i="12"/>
  <c r="BI115" i="12"/>
  <c r="BJ115" i="12"/>
  <c r="BK115" i="12"/>
  <c r="BL115" i="12"/>
  <c r="BM115" i="12"/>
  <c r="BN115" i="12"/>
  <c r="BO115" i="12"/>
  <c r="BP115" i="12"/>
  <c r="BQ115" i="12"/>
  <c r="BR115" i="12"/>
  <c r="BS115" i="12"/>
  <c r="BT115" i="12"/>
  <c r="BU115" i="12"/>
  <c r="BV115" i="12"/>
  <c r="BW115" i="12"/>
  <c r="BX115" i="12"/>
  <c r="BY115" i="12"/>
  <c r="BZ115" i="12"/>
  <c r="CA115" i="12"/>
  <c r="CB115" i="12"/>
  <c r="CC115" i="12"/>
  <c r="CE115" i="12"/>
  <c r="CF115" i="12"/>
  <c r="CG115" i="12"/>
  <c r="CH115" i="12"/>
  <c r="CI115" i="12"/>
  <c r="CJ115" i="12"/>
  <c r="CK115" i="12"/>
  <c r="CL115" i="12"/>
  <c r="CM115" i="12"/>
  <c r="CN115" i="12"/>
  <c r="CO115" i="12"/>
  <c r="CP115" i="12"/>
  <c r="CQ115" i="12"/>
  <c r="CR115" i="12"/>
  <c r="CS115" i="12"/>
  <c r="CT115" i="12"/>
  <c r="CU115" i="12"/>
  <c r="CV115" i="12"/>
  <c r="CW115" i="12"/>
  <c r="CX115" i="12"/>
  <c r="CY115" i="12"/>
  <c r="CZ115" i="12"/>
  <c r="DA115" i="12"/>
  <c r="DB115" i="12"/>
  <c r="DH115" i="12"/>
  <c r="DI115" i="12"/>
  <c r="DJ115" i="12"/>
  <c r="H116" i="12"/>
  <c r="I116" i="12"/>
  <c r="J116" i="12"/>
  <c r="K116" i="12"/>
  <c r="L116" i="12"/>
  <c r="M116" i="12"/>
  <c r="N116" i="12"/>
  <c r="O116" i="12"/>
  <c r="P116" i="12"/>
  <c r="Q116" i="12"/>
  <c r="R116" i="12"/>
  <c r="S116" i="12"/>
  <c r="T116" i="12"/>
  <c r="U116" i="12"/>
  <c r="V116" i="12"/>
  <c r="W116" i="12"/>
  <c r="X116" i="12"/>
  <c r="Y116" i="12"/>
  <c r="Z116" i="12"/>
  <c r="AA116" i="12"/>
  <c r="AB116" i="12"/>
  <c r="AC116" i="12"/>
  <c r="AD116" i="12"/>
  <c r="AE116" i="12"/>
  <c r="AG116" i="12"/>
  <c r="AH116" i="12"/>
  <c r="AI116" i="12"/>
  <c r="AJ116" i="12"/>
  <c r="AK116" i="12"/>
  <c r="AL116" i="12"/>
  <c r="AM116" i="12"/>
  <c r="AN116" i="12"/>
  <c r="AO116" i="12"/>
  <c r="AP116" i="12"/>
  <c r="AQ116" i="12"/>
  <c r="AR116" i="12"/>
  <c r="AS116" i="12"/>
  <c r="AT116" i="12"/>
  <c r="AU116" i="12"/>
  <c r="AV116" i="12"/>
  <c r="AW116" i="12"/>
  <c r="AX116" i="12"/>
  <c r="AY116" i="12"/>
  <c r="AZ116" i="12"/>
  <c r="BA116" i="12"/>
  <c r="BB116" i="12"/>
  <c r="BC116" i="12"/>
  <c r="BD116" i="12"/>
  <c r="BF116" i="12"/>
  <c r="BG116" i="12"/>
  <c r="BH116" i="12"/>
  <c r="BI116" i="12"/>
  <c r="BJ116" i="12"/>
  <c r="BK116" i="12"/>
  <c r="BL116" i="12"/>
  <c r="BM116" i="12"/>
  <c r="BN116" i="12"/>
  <c r="BO116" i="12"/>
  <c r="BP116" i="12"/>
  <c r="BQ116" i="12"/>
  <c r="BR116" i="12"/>
  <c r="BS116" i="12"/>
  <c r="BT116" i="12"/>
  <c r="BU116" i="12"/>
  <c r="BV116" i="12"/>
  <c r="BW116" i="12"/>
  <c r="BX116" i="12"/>
  <c r="BY116" i="12"/>
  <c r="BZ116" i="12"/>
  <c r="CA116" i="12"/>
  <c r="CB116" i="12"/>
  <c r="CC116" i="12"/>
  <c r="CE116" i="12"/>
  <c r="CF116" i="12"/>
  <c r="CG116" i="12"/>
  <c r="CH116" i="12"/>
  <c r="CI116" i="12"/>
  <c r="CJ116" i="12"/>
  <c r="CK116" i="12"/>
  <c r="CL116" i="12"/>
  <c r="CM116" i="12"/>
  <c r="CN116" i="12"/>
  <c r="CO116" i="12"/>
  <c r="CP116" i="12"/>
  <c r="CQ116" i="12"/>
  <c r="CR116" i="12"/>
  <c r="CS116" i="12"/>
  <c r="CT116" i="12"/>
  <c r="CU116" i="12"/>
  <c r="CV116" i="12"/>
  <c r="CW116" i="12"/>
  <c r="CX116" i="12"/>
  <c r="CY116" i="12"/>
  <c r="CZ116" i="12"/>
  <c r="DA116" i="12"/>
  <c r="DB116" i="12"/>
  <c r="DH116" i="12"/>
  <c r="DI116" i="12"/>
  <c r="DJ116" i="12"/>
  <c r="H117" i="12"/>
  <c r="I117" i="12"/>
  <c r="J117" i="12"/>
  <c r="K117" i="12"/>
  <c r="L117" i="12"/>
  <c r="M117" i="12"/>
  <c r="N117" i="12"/>
  <c r="O117" i="12"/>
  <c r="P117" i="12"/>
  <c r="Q117" i="12"/>
  <c r="R117" i="12"/>
  <c r="S117" i="12"/>
  <c r="T117" i="12"/>
  <c r="U117" i="12"/>
  <c r="V117" i="12"/>
  <c r="W117" i="12"/>
  <c r="X117" i="12"/>
  <c r="Y117" i="12"/>
  <c r="Z117" i="12"/>
  <c r="AA117" i="12"/>
  <c r="AB117" i="12"/>
  <c r="AC117" i="12"/>
  <c r="AD117" i="12"/>
  <c r="AE117" i="12"/>
  <c r="AG117" i="12"/>
  <c r="AH117" i="12"/>
  <c r="AI117" i="12"/>
  <c r="AJ117" i="12"/>
  <c r="AK117" i="12"/>
  <c r="AL117" i="12"/>
  <c r="AM117" i="12"/>
  <c r="AN117" i="12"/>
  <c r="AO117" i="12"/>
  <c r="AP117" i="12"/>
  <c r="AQ117" i="12"/>
  <c r="AR117" i="12"/>
  <c r="AS117" i="12"/>
  <c r="AT117" i="12"/>
  <c r="AU117" i="12"/>
  <c r="AV117" i="12"/>
  <c r="AW117" i="12"/>
  <c r="AX117" i="12"/>
  <c r="AY117" i="12"/>
  <c r="AZ117" i="12"/>
  <c r="BA117" i="12"/>
  <c r="BB117" i="12"/>
  <c r="BC117" i="12"/>
  <c r="BD117" i="12"/>
  <c r="BF117" i="12"/>
  <c r="BG117" i="12"/>
  <c r="BH117" i="12"/>
  <c r="BI117" i="12"/>
  <c r="BJ117" i="12"/>
  <c r="BK117" i="12"/>
  <c r="BL117" i="12"/>
  <c r="BM117" i="12"/>
  <c r="BN117" i="12"/>
  <c r="BO117" i="12"/>
  <c r="BP117" i="12"/>
  <c r="BQ117" i="12"/>
  <c r="BR117" i="12"/>
  <c r="BS117" i="12"/>
  <c r="BT117" i="12"/>
  <c r="BU117" i="12"/>
  <c r="BV117" i="12"/>
  <c r="BW117" i="12"/>
  <c r="BX117" i="12"/>
  <c r="BY117" i="12"/>
  <c r="BZ117" i="12"/>
  <c r="CA117" i="12"/>
  <c r="CB117" i="12"/>
  <c r="CC117" i="12"/>
  <c r="CE117" i="12"/>
  <c r="CF117" i="12"/>
  <c r="CG117" i="12"/>
  <c r="CH117" i="12"/>
  <c r="CI117" i="12"/>
  <c r="CJ117" i="12"/>
  <c r="CK117" i="12"/>
  <c r="CL117" i="12"/>
  <c r="CM117" i="12"/>
  <c r="CN117" i="12"/>
  <c r="CO117" i="12"/>
  <c r="CP117" i="12"/>
  <c r="CQ117" i="12"/>
  <c r="CR117" i="12"/>
  <c r="CS117" i="12"/>
  <c r="CT117" i="12"/>
  <c r="CU117" i="12"/>
  <c r="CV117" i="12"/>
  <c r="CW117" i="12"/>
  <c r="CX117" i="12"/>
  <c r="CY117" i="12"/>
  <c r="CZ117" i="12"/>
  <c r="DA117" i="12"/>
  <c r="DB117" i="12"/>
  <c r="DH117" i="12"/>
  <c r="DI117" i="12"/>
  <c r="DJ117" i="12"/>
  <c r="H118" i="12"/>
  <c r="I118" i="12"/>
  <c r="J118" i="12"/>
  <c r="K118" i="12"/>
  <c r="L118" i="12"/>
  <c r="M118" i="12"/>
  <c r="N118" i="12"/>
  <c r="O118" i="12"/>
  <c r="P118" i="12"/>
  <c r="Q118" i="12"/>
  <c r="R118" i="12"/>
  <c r="S118" i="12"/>
  <c r="T118" i="12"/>
  <c r="U118" i="12"/>
  <c r="V118" i="12"/>
  <c r="W118" i="12"/>
  <c r="X118" i="12"/>
  <c r="Y118" i="12"/>
  <c r="Z118" i="12"/>
  <c r="AA118" i="12"/>
  <c r="AB118" i="12"/>
  <c r="AC118" i="12"/>
  <c r="AD118" i="12"/>
  <c r="AE118" i="12"/>
  <c r="AG118" i="12"/>
  <c r="AH118" i="12"/>
  <c r="AI118" i="12"/>
  <c r="AJ118" i="12"/>
  <c r="AK118" i="12"/>
  <c r="AL118" i="12"/>
  <c r="AM118" i="12"/>
  <c r="AN118" i="12"/>
  <c r="AO118" i="12"/>
  <c r="AP118" i="12"/>
  <c r="AQ118" i="12"/>
  <c r="AR118" i="12"/>
  <c r="AS118" i="12"/>
  <c r="AT118" i="12"/>
  <c r="AU118" i="12"/>
  <c r="AV118" i="12"/>
  <c r="AW118" i="12"/>
  <c r="AX118" i="12"/>
  <c r="AY118" i="12"/>
  <c r="AZ118" i="12"/>
  <c r="BA118" i="12"/>
  <c r="BB118" i="12"/>
  <c r="BC118" i="12"/>
  <c r="BD118" i="12"/>
  <c r="BF118" i="12"/>
  <c r="BG118" i="12"/>
  <c r="BH118" i="12"/>
  <c r="BI118" i="12"/>
  <c r="BJ118" i="12"/>
  <c r="BK118" i="12"/>
  <c r="BL118" i="12"/>
  <c r="BM118" i="12"/>
  <c r="BN118" i="12"/>
  <c r="BO118" i="12"/>
  <c r="BP118" i="12"/>
  <c r="BQ118" i="12"/>
  <c r="BR118" i="12"/>
  <c r="BS118" i="12"/>
  <c r="BT118" i="12"/>
  <c r="BU118" i="12"/>
  <c r="BV118" i="12"/>
  <c r="BW118" i="12"/>
  <c r="BX118" i="12"/>
  <c r="BY118" i="12"/>
  <c r="BZ118" i="12"/>
  <c r="CA118" i="12"/>
  <c r="CB118" i="12"/>
  <c r="CC118" i="12"/>
  <c r="CE118" i="12"/>
  <c r="CF118" i="12"/>
  <c r="CG118" i="12"/>
  <c r="CH118" i="12"/>
  <c r="CI118" i="12"/>
  <c r="CJ118" i="12"/>
  <c r="CK118" i="12"/>
  <c r="CL118" i="12"/>
  <c r="CM118" i="12"/>
  <c r="CN118" i="12"/>
  <c r="CO118" i="12"/>
  <c r="CP118" i="12"/>
  <c r="CQ118" i="12"/>
  <c r="CR118" i="12"/>
  <c r="CS118" i="12"/>
  <c r="CT118" i="12"/>
  <c r="CU118" i="12"/>
  <c r="CV118" i="12"/>
  <c r="CW118" i="12"/>
  <c r="CX118" i="12"/>
  <c r="CY118" i="12"/>
  <c r="CZ118" i="12"/>
  <c r="DA118" i="12"/>
  <c r="DB118" i="12"/>
  <c r="DH118" i="12"/>
  <c r="DI118" i="12"/>
  <c r="DJ118" i="12"/>
  <c r="H119" i="12"/>
  <c r="I119" i="12"/>
  <c r="J119" i="12"/>
  <c r="K119" i="12"/>
  <c r="L119" i="12"/>
  <c r="M119" i="12"/>
  <c r="N119" i="12"/>
  <c r="O119" i="12"/>
  <c r="P119" i="12"/>
  <c r="Q119" i="12"/>
  <c r="R119" i="12"/>
  <c r="S119" i="12"/>
  <c r="T119" i="12"/>
  <c r="U119" i="12"/>
  <c r="V119" i="12"/>
  <c r="W119" i="12"/>
  <c r="X119" i="12"/>
  <c r="Y119" i="12"/>
  <c r="Z119" i="12"/>
  <c r="AA119" i="12"/>
  <c r="AB119" i="12"/>
  <c r="AC119" i="12"/>
  <c r="AD119" i="12"/>
  <c r="AE119" i="12"/>
  <c r="AG119" i="12"/>
  <c r="AH119" i="12"/>
  <c r="AI119" i="12"/>
  <c r="AJ119" i="12"/>
  <c r="AK119" i="12"/>
  <c r="AL119" i="12"/>
  <c r="AM119" i="12"/>
  <c r="AN119" i="12"/>
  <c r="AO119" i="12"/>
  <c r="AP119" i="12"/>
  <c r="AQ119" i="12"/>
  <c r="AR119" i="12"/>
  <c r="AS119" i="12"/>
  <c r="AT119" i="12"/>
  <c r="AU119" i="12"/>
  <c r="AV119" i="12"/>
  <c r="AW119" i="12"/>
  <c r="AX119" i="12"/>
  <c r="AY119" i="12"/>
  <c r="AZ119" i="12"/>
  <c r="BA119" i="12"/>
  <c r="BB119" i="12"/>
  <c r="BC119" i="12"/>
  <c r="BD119" i="12"/>
  <c r="BF119" i="12"/>
  <c r="BG119" i="12"/>
  <c r="BH119" i="12"/>
  <c r="BI119" i="12"/>
  <c r="BJ119" i="12"/>
  <c r="BK119" i="12"/>
  <c r="BL119" i="12"/>
  <c r="BM119" i="12"/>
  <c r="BN119" i="12"/>
  <c r="BO119" i="12"/>
  <c r="BP119" i="12"/>
  <c r="BQ119" i="12"/>
  <c r="BR119" i="12"/>
  <c r="BS119" i="12"/>
  <c r="BT119" i="12"/>
  <c r="BU119" i="12"/>
  <c r="BV119" i="12"/>
  <c r="BW119" i="12"/>
  <c r="BX119" i="12"/>
  <c r="BY119" i="12"/>
  <c r="BZ119" i="12"/>
  <c r="CA119" i="12"/>
  <c r="CB119" i="12"/>
  <c r="CC119" i="12"/>
  <c r="CE119" i="12"/>
  <c r="CF119" i="12"/>
  <c r="CG119" i="12"/>
  <c r="CH119" i="12"/>
  <c r="CI119" i="12"/>
  <c r="CJ119" i="12"/>
  <c r="CK119" i="12"/>
  <c r="CL119" i="12"/>
  <c r="CM119" i="12"/>
  <c r="CN119" i="12"/>
  <c r="CO119" i="12"/>
  <c r="CP119" i="12"/>
  <c r="CQ119" i="12"/>
  <c r="CR119" i="12"/>
  <c r="CS119" i="12"/>
  <c r="CT119" i="12"/>
  <c r="CU119" i="12"/>
  <c r="CV119" i="12"/>
  <c r="CW119" i="12"/>
  <c r="CX119" i="12"/>
  <c r="CY119" i="12"/>
  <c r="CZ119" i="12"/>
  <c r="DA119" i="12"/>
  <c r="DB119" i="12"/>
  <c r="DH119" i="12"/>
  <c r="DI119" i="12"/>
  <c r="DJ119" i="12"/>
  <c r="H120" i="12"/>
  <c r="I120" i="12"/>
  <c r="J120" i="12"/>
  <c r="K120" i="12"/>
  <c r="L120" i="12"/>
  <c r="M120" i="12"/>
  <c r="N120" i="12"/>
  <c r="O120" i="12"/>
  <c r="P120" i="12"/>
  <c r="Q120" i="12"/>
  <c r="R120" i="12"/>
  <c r="S120" i="12"/>
  <c r="T120" i="12"/>
  <c r="U120" i="12"/>
  <c r="V120" i="12"/>
  <c r="W120" i="12"/>
  <c r="X120" i="12"/>
  <c r="Y120" i="12"/>
  <c r="Z120" i="12"/>
  <c r="AA120" i="12"/>
  <c r="AB120" i="12"/>
  <c r="AC120" i="12"/>
  <c r="AD120" i="12"/>
  <c r="AE120" i="12"/>
  <c r="AG120" i="12"/>
  <c r="AH120" i="12"/>
  <c r="AI120" i="12"/>
  <c r="AJ120" i="12"/>
  <c r="AK120" i="12"/>
  <c r="AL120" i="12"/>
  <c r="AM120" i="12"/>
  <c r="AN120" i="12"/>
  <c r="AO120" i="12"/>
  <c r="AP120" i="12"/>
  <c r="AQ120" i="12"/>
  <c r="AR120" i="12"/>
  <c r="AS120" i="12"/>
  <c r="AT120" i="12"/>
  <c r="AU120" i="12"/>
  <c r="AV120" i="12"/>
  <c r="AW120" i="12"/>
  <c r="AX120" i="12"/>
  <c r="AY120" i="12"/>
  <c r="AZ120" i="12"/>
  <c r="BA120" i="12"/>
  <c r="BB120" i="12"/>
  <c r="BC120" i="12"/>
  <c r="BD120" i="12"/>
  <c r="BF120" i="12"/>
  <c r="BG120" i="12"/>
  <c r="BH120" i="12"/>
  <c r="BI120" i="12"/>
  <c r="BJ120" i="12"/>
  <c r="BK120" i="12"/>
  <c r="BL120" i="12"/>
  <c r="BM120" i="12"/>
  <c r="BN120" i="12"/>
  <c r="BO120" i="12"/>
  <c r="BP120" i="12"/>
  <c r="BQ120" i="12"/>
  <c r="BR120" i="12"/>
  <c r="BS120" i="12"/>
  <c r="BT120" i="12"/>
  <c r="BU120" i="12"/>
  <c r="BV120" i="12"/>
  <c r="BW120" i="12"/>
  <c r="BX120" i="12"/>
  <c r="BY120" i="12"/>
  <c r="BZ120" i="12"/>
  <c r="CA120" i="12"/>
  <c r="CB120" i="12"/>
  <c r="CC120" i="12"/>
  <c r="CE120" i="12"/>
  <c r="CF120" i="12"/>
  <c r="CG120" i="12"/>
  <c r="CH120" i="12"/>
  <c r="CI120" i="12"/>
  <c r="CJ120" i="12"/>
  <c r="CK120" i="12"/>
  <c r="CL120" i="12"/>
  <c r="CM120" i="12"/>
  <c r="CN120" i="12"/>
  <c r="CO120" i="12"/>
  <c r="CP120" i="12"/>
  <c r="CQ120" i="12"/>
  <c r="CR120" i="12"/>
  <c r="CS120" i="12"/>
  <c r="CT120" i="12"/>
  <c r="CU120" i="12"/>
  <c r="CV120" i="12"/>
  <c r="CW120" i="12"/>
  <c r="CX120" i="12"/>
  <c r="CY120" i="12"/>
  <c r="CZ120" i="12"/>
  <c r="DA120" i="12"/>
  <c r="DB120" i="12"/>
  <c r="DH120" i="12"/>
  <c r="DI120" i="12"/>
  <c r="DJ120" i="12"/>
  <c r="H121" i="12"/>
  <c r="I121" i="12"/>
  <c r="J121" i="12"/>
  <c r="K121" i="12"/>
  <c r="L121" i="12"/>
  <c r="M121" i="12"/>
  <c r="N121" i="12"/>
  <c r="O121" i="12"/>
  <c r="P121" i="12"/>
  <c r="Q121" i="12"/>
  <c r="R121" i="12"/>
  <c r="S121" i="12"/>
  <c r="T121" i="12"/>
  <c r="U121" i="12"/>
  <c r="V121" i="12"/>
  <c r="W121" i="12"/>
  <c r="X121" i="12"/>
  <c r="Y121" i="12"/>
  <c r="Z121" i="12"/>
  <c r="AA121" i="12"/>
  <c r="AB121" i="12"/>
  <c r="AC121" i="12"/>
  <c r="AD121" i="12"/>
  <c r="AE121" i="12"/>
  <c r="AG121" i="12"/>
  <c r="AH121" i="12"/>
  <c r="AI121" i="12"/>
  <c r="AJ121" i="12"/>
  <c r="AK121" i="12"/>
  <c r="AL121" i="12"/>
  <c r="AM121" i="12"/>
  <c r="AN121" i="12"/>
  <c r="AO121" i="12"/>
  <c r="AP121" i="12"/>
  <c r="AQ121" i="12"/>
  <c r="AR121" i="12"/>
  <c r="AS121" i="12"/>
  <c r="AT121" i="12"/>
  <c r="AU121" i="12"/>
  <c r="AV121" i="12"/>
  <c r="AW121" i="12"/>
  <c r="AX121" i="12"/>
  <c r="AY121" i="12"/>
  <c r="AZ121" i="12"/>
  <c r="BA121" i="12"/>
  <c r="BB121" i="12"/>
  <c r="BC121" i="12"/>
  <c r="BD121" i="12"/>
  <c r="BF121" i="12"/>
  <c r="BG121" i="12"/>
  <c r="BH121" i="12"/>
  <c r="BI121" i="12"/>
  <c r="BJ121" i="12"/>
  <c r="BK121" i="12"/>
  <c r="BL121" i="12"/>
  <c r="BM121" i="12"/>
  <c r="BN121" i="12"/>
  <c r="BO121" i="12"/>
  <c r="BP121" i="12"/>
  <c r="BQ121" i="12"/>
  <c r="BR121" i="12"/>
  <c r="BS121" i="12"/>
  <c r="BT121" i="12"/>
  <c r="BU121" i="12"/>
  <c r="BV121" i="12"/>
  <c r="BW121" i="12"/>
  <c r="BX121" i="12"/>
  <c r="BY121" i="12"/>
  <c r="BZ121" i="12"/>
  <c r="CA121" i="12"/>
  <c r="CB121" i="12"/>
  <c r="CC121" i="12"/>
  <c r="CE121" i="12"/>
  <c r="CF121" i="12"/>
  <c r="CG121" i="12"/>
  <c r="CH121" i="12"/>
  <c r="CI121" i="12"/>
  <c r="CJ121" i="12"/>
  <c r="CK121" i="12"/>
  <c r="CL121" i="12"/>
  <c r="CM121" i="12"/>
  <c r="CN121" i="12"/>
  <c r="CO121" i="12"/>
  <c r="CP121" i="12"/>
  <c r="CQ121" i="12"/>
  <c r="CR121" i="12"/>
  <c r="CS121" i="12"/>
  <c r="CT121" i="12"/>
  <c r="CU121" i="12"/>
  <c r="CV121" i="12"/>
  <c r="CW121" i="12"/>
  <c r="CX121" i="12"/>
  <c r="CY121" i="12"/>
  <c r="CZ121" i="12"/>
  <c r="DA121" i="12"/>
  <c r="DB121" i="12"/>
  <c r="DH121" i="12"/>
  <c r="DI121" i="12"/>
  <c r="DJ121" i="12"/>
  <c r="H122" i="12"/>
  <c r="I122" i="12"/>
  <c r="J122" i="12"/>
  <c r="K122" i="12"/>
  <c r="L122" i="12"/>
  <c r="M122" i="12"/>
  <c r="N122" i="12"/>
  <c r="O122" i="12"/>
  <c r="P122" i="12"/>
  <c r="Q122" i="12"/>
  <c r="R122" i="12"/>
  <c r="S122" i="12"/>
  <c r="T122" i="12"/>
  <c r="U122" i="12"/>
  <c r="V122" i="12"/>
  <c r="W122" i="12"/>
  <c r="X122" i="12"/>
  <c r="Y122" i="12"/>
  <c r="Z122" i="12"/>
  <c r="AA122" i="12"/>
  <c r="AB122" i="12"/>
  <c r="AC122" i="12"/>
  <c r="AD122" i="12"/>
  <c r="AE122" i="12"/>
  <c r="AG122" i="12"/>
  <c r="AH122" i="12"/>
  <c r="AI122" i="12"/>
  <c r="AJ122" i="12"/>
  <c r="AK122" i="12"/>
  <c r="AL122" i="12"/>
  <c r="AM122" i="12"/>
  <c r="AN122" i="12"/>
  <c r="AO122" i="12"/>
  <c r="AP122" i="12"/>
  <c r="AQ122" i="12"/>
  <c r="AR122" i="12"/>
  <c r="AS122" i="12"/>
  <c r="AT122" i="12"/>
  <c r="AU122" i="12"/>
  <c r="AV122" i="12"/>
  <c r="AW122" i="12"/>
  <c r="AX122" i="12"/>
  <c r="AY122" i="12"/>
  <c r="AZ122" i="12"/>
  <c r="BA122" i="12"/>
  <c r="BB122" i="12"/>
  <c r="BC122" i="12"/>
  <c r="BD122" i="12"/>
  <c r="BF122" i="12"/>
  <c r="BG122" i="12"/>
  <c r="BH122" i="12"/>
  <c r="BI122" i="12"/>
  <c r="BJ122" i="12"/>
  <c r="BK122" i="12"/>
  <c r="BL122" i="12"/>
  <c r="BM122" i="12"/>
  <c r="BN122" i="12"/>
  <c r="BO122" i="12"/>
  <c r="BP122" i="12"/>
  <c r="BQ122" i="12"/>
  <c r="BR122" i="12"/>
  <c r="BS122" i="12"/>
  <c r="BT122" i="12"/>
  <c r="BU122" i="12"/>
  <c r="BV122" i="12"/>
  <c r="BW122" i="12"/>
  <c r="BX122" i="12"/>
  <c r="BY122" i="12"/>
  <c r="BZ122" i="12"/>
  <c r="CA122" i="12"/>
  <c r="CB122" i="12"/>
  <c r="CC122" i="12"/>
  <c r="CE122" i="12"/>
  <c r="CF122" i="12"/>
  <c r="CG122" i="12"/>
  <c r="CH122" i="12"/>
  <c r="CI122" i="12"/>
  <c r="CJ122" i="12"/>
  <c r="CK122" i="12"/>
  <c r="CL122" i="12"/>
  <c r="CM122" i="12"/>
  <c r="CN122" i="12"/>
  <c r="CO122" i="12"/>
  <c r="CP122" i="12"/>
  <c r="CQ122" i="12"/>
  <c r="CR122" i="12"/>
  <c r="CS122" i="12"/>
  <c r="CT122" i="12"/>
  <c r="CU122" i="12"/>
  <c r="CV122" i="12"/>
  <c r="CW122" i="12"/>
  <c r="CX122" i="12"/>
  <c r="CY122" i="12"/>
  <c r="CZ122" i="12"/>
  <c r="DA122" i="12"/>
  <c r="DB122" i="12"/>
  <c r="DH122" i="12"/>
  <c r="DI122" i="12"/>
  <c r="DJ122" i="12"/>
  <c r="H123" i="12"/>
  <c r="I123" i="12"/>
  <c r="J123" i="12"/>
  <c r="K123" i="12"/>
  <c r="L123" i="12"/>
  <c r="M123" i="12"/>
  <c r="N123" i="12"/>
  <c r="O123" i="12"/>
  <c r="P123" i="12"/>
  <c r="Q123" i="12"/>
  <c r="R123" i="12"/>
  <c r="S123" i="12"/>
  <c r="T123" i="12"/>
  <c r="U123" i="12"/>
  <c r="V123" i="12"/>
  <c r="W123" i="12"/>
  <c r="X123" i="12"/>
  <c r="Y123" i="12"/>
  <c r="Z123" i="12"/>
  <c r="AA123" i="12"/>
  <c r="AB123" i="12"/>
  <c r="AC123" i="12"/>
  <c r="AD123" i="12"/>
  <c r="AE123" i="12"/>
  <c r="AG123" i="12"/>
  <c r="AH123" i="12"/>
  <c r="AI123" i="12"/>
  <c r="AJ123" i="12"/>
  <c r="AK123" i="12"/>
  <c r="AL123" i="12"/>
  <c r="AM123" i="12"/>
  <c r="AN123" i="12"/>
  <c r="AO123" i="12"/>
  <c r="AP123" i="12"/>
  <c r="AQ123" i="12"/>
  <c r="AR123" i="12"/>
  <c r="AS123" i="12"/>
  <c r="AT123" i="12"/>
  <c r="AU123" i="12"/>
  <c r="AV123" i="12"/>
  <c r="AW123" i="12"/>
  <c r="AX123" i="12"/>
  <c r="AY123" i="12"/>
  <c r="AZ123" i="12"/>
  <c r="BA123" i="12"/>
  <c r="BB123" i="12"/>
  <c r="BC123" i="12"/>
  <c r="BD123" i="12"/>
  <c r="BF123" i="12"/>
  <c r="BG123" i="12"/>
  <c r="BH123" i="12"/>
  <c r="BI123" i="12"/>
  <c r="BJ123" i="12"/>
  <c r="BK123" i="12"/>
  <c r="BL123" i="12"/>
  <c r="BM123" i="12"/>
  <c r="BN123" i="12"/>
  <c r="BO123" i="12"/>
  <c r="BP123" i="12"/>
  <c r="BQ123" i="12"/>
  <c r="BR123" i="12"/>
  <c r="BS123" i="12"/>
  <c r="BT123" i="12"/>
  <c r="BU123" i="12"/>
  <c r="BV123" i="12"/>
  <c r="BW123" i="12"/>
  <c r="BX123" i="12"/>
  <c r="BY123" i="12"/>
  <c r="BZ123" i="12"/>
  <c r="CA123" i="12"/>
  <c r="CB123" i="12"/>
  <c r="CC123" i="12"/>
  <c r="CE123" i="12"/>
  <c r="CF123" i="12"/>
  <c r="CG123" i="12"/>
  <c r="CH123" i="12"/>
  <c r="CI123" i="12"/>
  <c r="CJ123" i="12"/>
  <c r="CK123" i="12"/>
  <c r="CL123" i="12"/>
  <c r="CM123" i="12"/>
  <c r="CN123" i="12"/>
  <c r="CO123" i="12"/>
  <c r="CP123" i="12"/>
  <c r="CQ123" i="12"/>
  <c r="CR123" i="12"/>
  <c r="CS123" i="12"/>
  <c r="CT123" i="12"/>
  <c r="CU123" i="12"/>
  <c r="CV123" i="12"/>
  <c r="CW123" i="12"/>
  <c r="CX123" i="12"/>
  <c r="CY123" i="12"/>
  <c r="CZ123" i="12"/>
  <c r="DA123" i="12"/>
  <c r="DB123" i="12"/>
  <c r="DH123" i="12"/>
  <c r="DI123" i="12"/>
  <c r="DJ123" i="12"/>
  <c r="H124" i="12"/>
  <c r="I124" i="12"/>
  <c r="J124" i="12"/>
  <c r="K124" i="12"/>
  <c r="L124" i="12"/>
  <c r="M124" i="12"/>
  <c r="N124" i="12"/>
  <c r="O124" i="12"/>
  <c r="P124" i="12"/>
  <c r="Q124" i="12"/>
  <c r="R124" i="12"/>
  <c r="S124" i="12"/>
  <c r="T124" i="12"/>
  <c r="U124" i="12"/>
  <c r="V124" i="12"/>
  <c r="W124" i="12"/>
  <c r="X124" i="12"/>
  <c r="Y124" i="12"/>
  <c r="Z124" i="12"/>
  <c r="AA124" i="12"/>
  <c r="AB124" i="12"/>
  <c r="AC124" i="12"/>
  <c r="AD124" i="12"/>
  <c r="AE124" i="12"/>
  <c r="AG124" i="12"/>
  <c r="AH124" i="12"/>
  <c r="AI124" i="12"/>
  <c r="AJ124" i="12"/>
  <c r="AK124" i="12"/>
  <c r="AL124" i="12"/>
  <c r="AM124" i="12"/>
  <c r="AN124" i="12"/>
  <c r="AO124" i="12"/>
  <c r="AP124" i="12"/>
  <c r="AQ124" i="12"/>
  <c r="AR124" i="12"/>
  <c r="AS124" i="12"/>
  <c r="AT124" i="12"/>
  <c r="AU124" i="12"/>
  <c r="AV124" i="12"/>
  <c r="AW124" i="12"/>
  <c r="AX124" i="12"/>
  <c r="AY124" i="12"/>
  <c r="AZ124" i="12"/>
  <c r="BA124" i="12"/>
  <c r="BB124" i="12"/>
  <c r="BC124" i="12"/>
  <c r="BD124" i="12"/>
  <c r="BF124" i="12"/>
  <c r="BG124" i="12"/>
  <c r="BH124" i="12"/>
  <c r="BI124" i="12"/>
  <c r="BJ124" i="12"/>
  <c r="BK124" i="12"/>
  <c r="BL124" i="12"/>
  <c r="BM124" i="12"/>
  <c r="BN124" i="12"/>
  <c r="BO124" i="12"/>
  <c r="BP124" i="12"/>
  <c r="BQ124" i="12"/>
  <c r="BR124" i="12"/>
  <c r="BS124" i="12"/>
  <c r="BT124" i="12"/>
  <c r="BU124" i="12"/>
  <c r="BV124" i="12"/>
  <c r="BW124" i="12"/>
  <c r="BX124" i="12"/>
  <c r="BY124" i="12"/>
  <c r="BZ124" i="12"/>
  <c r="CA124" i="12"/>
  <c r="CB124" i="12"/>
  <c r="CC124" i="12"/>
  <c r="CE124" i="12"/>
  <c r="CF124" i="12"/>
  <c r="CG124" i="12"/>
  <c r="CH124" i="12"/>
  <c r="CI124" i="12"/>
  <c r="CJ124" i="12"/>
  <c r="CK124" i="12"/>
  <c r="CL124" i="12"/>
  <c r="CM124" i="12"/>
  <c r="CN124" i="12"/>
  <c r="CO124" i="12"/>
  <c r="CP124" i="12"/>
  <c r="CQ124" i="12"/>
  <c r="CR124" i="12"/>
  <c r="CS124" i="12"/>
  <c r="CT124" i="12"/>
  <c r="CU124" i="12"/>
  <c r="CV124" i="12"/>
  <c r="CW124" i="12"/>
  <c r="CX124" i="12"/>
  <c r="CY124" i="12"/>
  <c r="CZ124" i="12"/>
  <c r="DA124" i="12"/>
  <c r="DB124" i="12"/>
  <c r="DH124" i="12"/>
  <c r="DI124" i="12"/>
  <c r="DJ124" i="12"/>
  <c r="H125" i="12"/>
  <c r="I125" i="12"/>
  <c r="J125" i="12"/>
  <c r="K125" i="12"/>
  <c r="L125" i="12"/>
  <c r="M125" i="12"/>
  <c r="N125" i="12"/>
  <c r="O125" i="12"/>
  <c r="P125" i="12"/>
  <c r="Q125" i="12"/>
  <c r="R125" i="12"/>
  <c r="S125" i="12"/>
  <c r="T125" i="12"/>
  <c r="U125" i="12"/>
  <c r="V125" i="12"/>
  <c r="W125" i="12"/>
  <c r="X125" i="12"/>
  <c r="Y125" i="12"/>
  <c r="Z125" i="12"/>
  <c r="AA125" i="12"/>
  <c r="AB125" i="12"/>
  <c r="AC125" i="12"/>
  <c r="AD125" i="12"/>
  <c r="AE125" i="12"/>
  <c r="AG125" i="12"/>
  <c r="AH125" i="12"/>
  <c r="AI125" i="12"/>
  <c r="AJ125" i="12"/>
  <c r="AK125" i="12"/>
  <c r="AL125" i="12"/>
  <c r="AM125" i="12"/>
  <c r="AN125" i="12"/>
  <c r="AO125" i="12"/>
  <c r="AP125" i="12"/>
  <c r="AQ125" i="12"/>
  <c r="AR125" i="12"/>
  <c r="AS125" i="12"/>
  <c r="AT125" i="12"/>
  <c r="AU125" i="12"/>
  <c r="AV125" i="12"/>
  <c r="AW125" i="12"/>
  <c r="AX125" i="12"/>
  <c r="AY125" i="12"/>
  <c r="AZ125" i="12"/>
  <c r="BA125" i="12"/>
  <c r="BB125" i="12"/>
  <c r="BC125" i="12"/>
  <c r="BD125" i="12"/>
  <c r="BF125" i="12"/>
  <c r="BG125" i="12"/>
  <c r="BH125" i="12"/>
  <c r="BI125" i="12"/>
  <c r="BJ125" i="12"/>
  <c r="BK125" i="12"/>
  <c r="BL125" i="12"/>
  <c r="BM125" i="12"/>
  <c r="BN125" i="12"/>
  <c r="BO125" i="12"/>
  <c r="BP125" i="12"/>
  <c r="BQ125" i="12"/>
  <c r="BR125" i="12"/>
  <c r="BS125" i="12"/>
  <c r="BT125" i="12"/>
  <c r="BU125" i="12"/>
  <c r="BV125" i="12"/>
  <c r="BW125" i="12"/>
  <c r="BX125" i="12"/>
  <c r="BY125" i="12"/>
  <c r="BZ125" i="12"/>
  <c r="CA125" i="12"/>
  <c r="CB125" i="12"/>
  <c r="CC125" i="12"/>
  <c r="CE125" i="12"/>
  <c r="CF125" i="12"/>
  <c r="CG125" i="12"/>
  <c r="CH125" i="12"/>
  <c r="CI125" i="12"/>
  <c r="CJ125" i="12"/>
  <c r="CK125" i="12"/>
  <c r="CL125" i="12"/>
  <c r="CM125" i="12"/>
  <c r="CN125" i="12"/>
  <c r="CO125" i="12"/>
  <c r="CP125" i="12"/>
  <c r="CQ125" i="12"/>
  <c r="CR125" i="12"/>
  <c r="CS125" i="12"/>
  <c r="CT125" i="12"/>
  <c r="CU125" i="12"/>
  <c r="CV125" i="12"/>
  <c r="CW125" i="12"/>
  <c r="CX125" i="12"/>
  <c r="CY125" i="12"/>
  <c r="CZ125" i="12"/>
  <c r="DA125" i="12"/>
  <c r="DB125" i="12"/>
  <c r="DH125" i="12"/>
  <c r="DI125" i="12"/>
  <c r="DJ125" i="12"/>
  <c r="A131" i="12"/>
  <c r="DJ131" i="12"/>
  <c r="B18" i="11"/>
  <c r="C18" i="11"/>
  <c r="D18" i="11"/>
  <c r="E18" i="11"/>
  <c r="F18" i="11"/>
  <c r="G18" i="11"/>
  <c r="H18" i="11"/>
  <c r="I18" i="11"/>
  <c r="J18" i="11"/>
  <c r="K18" i="11"/>
  <c r="L18" i="11"/>
  <c r="M18" i="11"/>
  <c r="N18" i="11"/>
  <c r="O18" i="11"/>
  <c r="P18" i="11"/>
  <c r="Q18" i="11"/>
  <c r="R18" i="11"/>
  <c r="S18" i="11"/>
  <c r="T18" i="11"/>
  <c r="U18" i="11"/>
  <c r="V18" i="11"/>
  <c r="W18" i="11"/>
  <c r="X18" i="11"/>
  <c r="Y18" i="11"/>
  <c r="Z18" i="11"/>
  <c r="AA18" i="11"/>
  <c r="AB18" i="11"/>
  <c r="AC18" i="11"/>
  <c r="AD18" i="11"/>
  <c r="AE18" i="11"/>
  <c r="AF18" i="11"/>
  <c r="AG18" i="11"/>
  <c r="AH18" i="11"/>
  <c r="AI18" i="11"/>
  <c r="AJ18" i="11"/>
  <c r="AK18" i="11"/>
  <c r="AL18" i="11"/>
  <c r="AM18" i="11"/>
  <c r="AN18" i="11"/>
  <c r="AO18" i="11"/>
  <c r="AP18" i="11"/>
  <c r="AQ18" i="11"/>
  <c r="AR18" i="11"/>
  <c r="AS18" i="11"/>
  <c r="AT18" i="11"/>
  <c r="AU18" i="11"/>
  <c r="AV18" i="11"/>
  <c r="AW18" i="11"/>
  <c r="AX18" i="11"/>
  <c r="AY18" i="11"/>
  <c r="AZ18" i="11"/>
  <c r="BA18" i="11"/>
  <c r="BB18" i="11"/>
  <c r="BC18" i="11"/>
  <c r="BD18" i="11"/>
  <c r="BE18" i="11"/>
  <c r="BF18" i="11"/>
  <c r="BG18" i="11"/>
  <c r="BH18" i="11"/>
  <c r="BI18" i="11"/>
  <c r="BJ18" i="11"/>
  <c r="BK18" i="11"/>
  <c r="BL18" i="11"/>
  <c r="BM18" i="11"/>
  <c r="BN18" i="11"/>
  <c r="BO18" i="11"/>
  <c r="BP18" i="11"/>
  <c r="BQ18" i="11"/>
  <c r="BR18" i="11"/>
  <c r="BS18" i="11"/>
  <c r="BT18" i="11"/>
  <c r="BU18" i="11"/>
  <c r="BV18" i="11"/>
  <c r="BW18" i="11"/>
  <c r="BX18" i="11"/>
  <c r="BY18" i="11"/>
  <c r="BZ18" i="11"/>
  <c r="CA18" i="11"/>
  <c r="CB18" i="11"/>
  <c r="CC18" i="11"/>
  <c r="CD18" i="11"/>
  <c r="CE18" i="11"/>
  <c r="CF18" i="11"/>
  <c r="CG18" i="11"/>
  <c r="CH18" i="11"/>
  <c r="CI18" i="11"/>
  <c r="CJ18" i="11"/>
  <c r="CK18" i="11"/>
  <c r="CL18" i="11"/>
  <c r="CM18" i="11"/>
  <c r="CN18" i="11"/>
  <c r="CO18" i="11"/>
  <c r="CP18" i="11"/>
  <c r="CQ18" i="11"/>
  <c r="CR18" i="11"/>
  <c r="CS18" i="11"/>
  <c r="CT18" i="11"/>
  <c r="CU18" i="11"/>
  <c r="CV18" i="11"/>
  <c r="CW18" i="11"/>
  <c r="CX18" i="11"/>
  <c r="CY18" i="11"/>
  <c r="CZ18" i="11"/>
  <c r="DA18" i="11"/>
  <c r="DB18" i="11"/>
  <c r="DC18" i="11"/>
  <c r="DD18" i="11"/>
  <c r="DE18" i="11"/>
  <c r="DF18" i="11"/>
  <c r="DG18" i="11"/>
  <c r="DH18" i="11"/>
  <c r="DI18" i="11"/>
  <c r="DJ18" i="11"/>
  <c r="DK18" i="11"/>
  <c r="DL18" i="11"/>
  <c r="DM18" i="11"/>
  <c r="DN18" i="11"/>
  <c r="DO18" i="11"/>
  <c r="DP18" i="11"/>
  <c r="DQ18" i="11"/>
  <c r="DR18" i="11"/>
  <c r="DS18" i="11"/>
  <c r="DT18" i="11"/>
  <c r="DU18" i="11"/>
  <c r="DV18" i="11"/>
  <c r="DW18" i="11"/>
  <c r="DX18" i="11"/>
  <c r="DY18" i="11"/>
  <c r="DZ18" i="11"/>
  <c r="EA18" i="11"/>
  <c r="EB18" i="11"/>
  <c r="EC18" i="11"/>
  <c r="ED18" i="11"/>
  <c r="EE18" i="11"/>
  <c r="EF18" i="11"/>
  <c r="EG18" i="11"/>
  <c r="EH18" i="11"/>
  <c r="EI18" i="11"/>
  <c r="EJ18" i="11"/>
  <c r="EK18" i="11"/>
  <c r="EL18" i="11"/>
  <c r="EM18" i="11"/>
  <c r="EN18" i="11"/>
  <c r="EO18" i="11"/>
  <c r="B19" i="11"/>
  <c r="C19" i="11"/>
  <c r="D19" i="11"/>
  <c r="E19" i="11"/>
  <c r="F19" i="11"/>
  <c r="G19" i="11"/>
  <c r="H19" i="11"/>
  <c r="I19" i="11"/>
  <c r="J19" i="11"/>
  <c r="K19" i="11"/>
  <c r="L19" i="11"/>
  <c r="M19" i="11"/>
  <c r="N19" i="11"/>
  <c r="O19" i="11"/>
  <c r="P19" i="11"/>
  <c r="Q19" i="11"/>
  <c r="R19" i="11"/>
  <c r="S19" i="11"/>
  <c r="T19" i="11"/>
  <c r="U19" i="11"/>
  <c r="V19" i="11"/>
  <c r="W19" i="11"/>
  <c r="X19" i="11"/>
  <c r="Y19" i="11"/>
  <c r="Z19" i="11"/>
  <c r="AA19" i="11"/>
  <c r="AB19" i="11"/>
  <c r="AC19" i="11"/>
  <c r="AD19" i="11"/>
  <c r="AE19" i="11"/>
  <c r="AF19" i="11"/>
  <c r="AG19" i="11"/>
  <c r="AH19" i="11"/>
  <c r="AI19" i="11"/>
  <c r="AJ19" i="11"/>
  <c r="AK19" i="11"/>
  <c r="AL19" i="11"/>
  <c r="AM19" i="11"/>
  <c r="AN19" i="11"/>
  <c r="AO19" i="11"/>
  <c r="AP19" i="11"/>
  <c r="AQ19" i="11"/>
  <c r="AR19" i="11"/>
  <c r="AS19" i="11"/>
  <c r="AT19" i="11"/>
  <c r="AU19" i="11"/>
  <c r="AV19" i="11"/>
  <c r="AW19" i="11"/>
  <c r="AX19" i="11"/>
  <c r="AY19" i="11"/>
  <c r="AZ19" i="11"/>
  <c r="BA19" i="11"/>
  <c r="BB19" i="11"/>
  <c r="BC19" i="11"/>
  <c r="BD19" i="11"/>
  <c r="BE19" i="11"/>
  <c r="BF19" i="11"/>
  <c r="BG19" i="11"/>
  <c r="BH19" i="11"/>
  <c r="BI19" i="11"/>
  <c r="BJ19" i="11"/>
  <c r="BK19" i="11"/>
  <c r="BL19" i="11"/>
  <c r="BM19" i="11"/>
  <c r="BN19" i="11"/>
  <c r="BO19" i="11"/>
  <c r="BP19" i="11"/>
  <c r="BQ19" i="11"/>
  <c r="BR19" i="11"/>
  <c r="BS19" i="11"/>
  <c r="BT19" i="11"/>
  <c r="BU19" i="11"/>
  <c r="BV19" i="11"/>
  <c r="BW19" i="11"/>
  <c r="BX19" i="11"/>
  <c r="BY19" i="11"/>
  <c r="BZ19" i="11"/>
  <c r="CA19" i="11"/>
  <c r="CB19" i="11"/>
  <c r="CC19" i="11"/>
  <c r="CD19" i="11"/>
  <c r="CE19" i="11"/>
  <c r="CF19" i="11"/>
  <c r="CG19" i="11"/>
  <c r="CH19" i="11"/>
  <c r="CI19" i="11"/>
  <c r="CJ19" i="11"/>
  <c r="CK19" i="11"/>
  <c r="CL19" i="11"/>
  <c r="CM19" i="11"/>
  <c r="CN19" i="11"/>
  <c r="CO19" i="11"/>
  <c r="CP19" i="11"/>
  <c r="CQ19" i="11"/>
  <c r="CR19" i="11"/>
  <c r="CS19" i="11"/>
  <c r="CT19" i="11"/>
  <c r="CU19" i="11"/>
  <c r="CV19" i="11"/>
  <c r="CW19" i="11"/>
  <c r="CX19" i="11"/>
  <c r="CY19" i="11"/>
  <c r="CZ19" i="11"/>
  <c r="DA19" i="11"/>
  <c r="DB19" i="11"/>
  <c r="DC19" i="11"/>
  <c r="DD19" i="11"/>
  <c r="DE19" i="11"/>
  <c r="DF19" i="11"/>
  <c r="DG19" i="11"/>
  <c r="DH19" i="11"/>
  <c r="DI19" i="11"/>
  <c r="DJ19" i="11"/>
  <c r="DK19" i="11"/>
  <c r="DL19" i="11"/>
  <c r="DM19" i="11"/>
  <c r="DN19" i="11"/>
  <c r="DO19" i="11"/>
  <c r="DP19" i="11"/>
  <c r="DQ19" i="11"/>
  <c r="DR19" i="11"/>
  <c r="DS19" i="11"/>
  <c r="DT19" i="11"/>
  <c r="DU19" i="11"/>
  <c r="DV19" i="11"/>
  <c r="DW19" i="11"/>
  <c r="DX19" i="11"/>
  <c r="DY19" i="11"/>
  <c r="DZ19" i="11"/>
  <c r="EA19" i="11"/>
  <c r="EB19" i="11"/>
  <c r="EC19" i="11"/>
  <c r="ED19" i="11"/>
  <c r="EE19" i="11"/>
  <c r="EF19" i="11"/>
  <c r="EG19" i="11"/>
  <c r="EH19" i="11"/>
  <c r="EI19" i="11"/>
  <c r="EJ19" i="11"/>
  <c r="EK19" i="11"/>
  <c r="EL19" i="11"/>
  <c r="EM19" i="11"/>
  <c r="EN19" i="11"/>
  <c r="EO19" i="11"/>
  <c r="B20" i="11"/>
  <c r="C20" i="11"/>
  <c r="D20" i="11"/>
  <c r="E20" i="11"/>
  <c r="F20" i="11"/>
  <c r="G20" i="11"/>
  <c r="H20" i="11"/>
  <c r="I20" i="11"/>
  <c r="J20" i="11"/>
  <c r="K20" i="11"/>
  <c r="L20" i="11"/>
  <c r="M20" i="11"/>
  <c r="N20" i="11"/>
  <c r="O20" i="11"/>
  <c r="P20" i="11"/>
  <c r="Q20" i="11"/>
  <c r="R20" i="11"/>
  <c r="S20" i="11"/>
  <c r="T20" i="11"/>
  <c r="U20" i="11"/>
  <c r="V20" i="11"/>
  <c r="W20" i="11"/>
  <c r="X20" i="11"/>
  <c r="Y20" i="11"/>
  <c r="Z20" i="11"/>
  <c r="AA20" i="11"/>
  <c r="AB20" i="11"/>
  <c r="AC20" i="11"/>
  <c r="AD20" i="11"/>
  <c r="AE20" i="11"/>
  <c r="AF20" i="11"/>
  <c r="AG20" i="11"/>
  <c r="AH20" i="11"/>
  <c r="AI20" i="11"/>
  <c r="AJ20" i="11"/>
  <c r="AK20" i="11"/>
  <c r="AL20" i="11"/>
  <c r="AM20" i="11"/>
  <c r="AN20" i="11"/>
  <c r="AO20" i="11"/>
  <c r="AP20" i="11"/>
  <c r="AQ20" i="11"/>
  <c r="AR20" i="11"/>
  <c r="AS20" i="11"/>
  <c r="AT20" i="11"/>
  <c r="AU20" i="11"/>
  <c r="AV20" i="11"/>
  <c r="AW20" i="11"/>
  <c r="AX20" i="11"/>
  <c r="AY20" i="11"/>
  <c r="AZ20" i="11"/>
  <c r="BA20" i="11"/>
  <c r="BB20" i="11"/>
  <c r="BC20" i="11"/>
  <c r="BD20" i="11"/>
  <c r="BE20" i="11"/>
  <c r="BF20" i="11"/>
  <c r="BG20" i="11"/>
  <c r="BH20" i="11"/>
  <c r="BI20" i="11"/>
  <c r="BJ20" i="11"/>
  <c r="BK20" i="11"/>
  <c r="BL20" i="11"/>
  <c r="BM20" i="11"/>
  <c r="BN20" i="11"/>
  <c r="BO20" i="11"/>
  <c r="BP20" i="11"/>
  <c r="BQ20" i="11"/>
  <c r="BR20" i="11"/>
  <c r="BS20" i="11"/>
  <c r="BT20" i="11"/>
  <c r="BU20" i="11"/>
  <c r="BV20" i="11"/>
  <c r="BW20" i="11"/>
  <c r="BX20" i="11"/>
  <c r="BY20" i="11"/>
  <c r="BZ20" i="11"/>
  <c r="CA20" i="11"/>
  <c r="CB20" i="11"/>
  <c r="CC20" i="11"/>
  <c r="CD20" i="11"/>
  <c r="CE20" i="11"/>
  <c r="CF20" i="11"/>
  <c r="CG20" i="11"/>
  <c r="CH20" i="11"/>
  <c r="CI20" i="11"/>
  <c r="CJ20" i="11"/>
  <c r="CK20" i="11"/>
  <c r="CL20" i="11"/>
  <c r="CM20" i="11"/>
  <c r="CN20" i="11"/>
  <c r="CO20" i="11"/>
  <c r="CP20" i="11"/>
  <c r="CQ20" i="11"/>
  <c r="CR20" i="11"/>
  <c r="CS20" i="11"/>
  <c r="CT20" i="11"/>
  <c r="CU20" i="11"/>
  <c r="CV20" i="11"/>
  <c r="CW20" i="11"/>
  <c r="CX20" i="11"/>
  <c r="CY20" i="11"/>
  <c r="CZ20" i="11"/>
  <c r="DA20" i="11"/>
  <c r="DB20" i="11"/>
  <c r="DC20" i="11"/>
  <c r="DD20" i="11"/>
  <c r="DE20" i="11"/>
  <c r="DF20" i="11"/>
  <c r="DG20" i="11"/>
  <c r="DH20" i="11"/>
  <c r="DI20" i="11"/>
  <c r="DJ20" i="11"/>
  <c r="DK20" i="11"/>
  <c r="DL20" i="11"/>
  <c r="DM20" i="11"/>
  <c r="DN20" i="11"/>
  <c r="DO20" i="11"/>
  <c r="DP20" i="11"/>
  <c r="DQ20" i="11"/>
  <c r="DR20" i="11"/>
  <c r="DS20" i="11"/>
  <c r="DT20" i="11"/>
  <c r="DU20" i="11"/>
  <c r="DV20" i="11"/>
  <c r="DW20" i="11"/>
  <c r="DX20" i="11"/>
  <c r="DY20" i="11"/>
  <c r="DZ20" i="11"/>
  <c r="EA20" i="11"/>
  <c r="EB20" i="11"/>
  <c r="EC20" i="11"/>
  <c r="ED20" i="11"/>
  <c r="EE20" i="11"/>
  <c r="EF20" i="11"/>
  <c r="EG20" i="11"/>
  <c r="EH20" i="11"/>
  <c r="EI20" i="11"/>
  <c r="EJ20" i="11"/>
  <c r="EK20" i="11"/>
  <c r="EL20" i="11"/>
  <c r="EM20" i="11"/>
  <c r="EN20" i="11"/>
  <c r="EO20" i="11"/>
  <c r="B21" i="11"/>
  <c r="C21" i="11"/>
  <c r="D21" i="11"/>
  <c r="E21" i="11"/>
  <c r="F21" i="11"/>
  <c r="G21" i="11"/>
  <c r="H21" i="11"/>
  <c r="I21" i="11"/>
  <c r="J21" i="11"/>
  <c r="K21" i="11"/>
  <c r="L21" i="11"/>
  <c r="M21" i="11"/>
  <c r="N21" i="11"/>
  <c r="O21" i="11"/>
  <c r="P21" i="11"/>
  <c r="Q21" i="11"/>
  <c r="R21" i="11"/>
  <c r="S21" i="11"/>
  <c r="T21" i="11"/>
  <c r="U21" i="11"/>
  <c r="V21" i="11"/>
  <c r="W21" i="11"/>
  <c r="X21" i="11"/>
  <c r="Y21" i="11"/>
  <c r="Z21" i="11"/>
  <c r="AA21" i="11"/>
  <c r="AB21" i="11"/>
  <c r="AC21" i="11"/>
  <c r="AD21" i="11"/>
  <c r="AE21" i="11"/>
  <c r="AF21" i="11"/>
  <c r="AG21" i="11"/>
  <c r="AH21" i="11"/>
  <c r="AI21" i="11"/>
  <c r="AJ21" i="11"/>
  <c r="AK21" i="11"/>
  <c r="AL21" i="11"/>
  <c r="AM21" i="11"/>
  <c r="AN21" i="11"/>
  <c r="AO21" i="11"/>
  <c r="AP21" i="11"/>
  <c r="AQ21" i="11"/>
  <c r="AR21" i="11"/>
  <c r="AS21" i="11"/>
  <c r="AT21" i="11"/>
  <c r="AU21" i="11"/>
  <c r="AV21" i="11"/>
  <c r="AW21" i="11"/>
  <c r="AX21" i="11"/>
  <c r="AY21" i="11"/>
  <c r="AZ21" i="11"/>
  <c r="BA21" i="11"/>
  <c r="BB21" i="11"/>
  <c r="BC21" i="11"/>
  <c r="BD21" i="11"/>
  <c r="BE21" i="11"/>
  <c r="BF21" i="11"/>
  <c r="BG21" i="11"/>
  <c r="BH21" i="11"/>
  <c r="BI21" i="11"/>
  <c r="BJ21" i="11"/>
  <c r="BK21" i="11"/>
  <c r="BL21" i="11"/>
  <c r="BM21" i="11"/>
  <c r="BN21" i="11"/>
  <c r="BO21" i="11"/>
  <c r="BP21" i="11"/>
  <c r="BQ21" i="11"/>
  <c r="BR21" i="11"/>
  <c r="BS21" i="11"/>
  <c r="BT21" i="11"/>
  <c r="BU21" i="11"/>
  <c r="BV21" i="11"/>
  <c r="BW21" i="11"/>
  <c r="BX21" i="11"/>
  <c r="BY21" i="11"/>
  <c r="BZ21" i="11"/>
  <c r="CA21" i="11"/>
  <c r="CB21" i="11"/>
  <c r="CC21" i="11"/>
  <c r="CD21" i="11"/>
  <c r="CE21" i="11"/>
  <c r="CF21" i="11"/>
  <c r="CG21" i="11"/>
  <c r="CH21" i="11"/>
  <c r="CI21" i="11"/>
  <c r="CJ21" i="11"/>
  <c r="CK21" i="11"/>
  <c r="CL21" i="11"/>
  <c r="CM21" i="11"/>
  <c r="CN21" i="11"/>
  <c r="CO21" i="11"/>
  <c r="CP21" i="11"/>
  <c r="CQ21" i="11"/>
  <c r="CR21" i="11"/>
  <c r="CS21" i="11"/>
  <c r="CT21" i="11"/>
  <c r="CU21" i="11"/>
  <c r="CV21" i="11"/>
  <c r="CW21" i="11"/>
  <c r="CX21" i="11"/>
  <c r="CY21" i="11"/>
  <c r="CZ21" i="11"/>
  <c r="DA21" i="11"/>
  <c r="DB21" i="11"/>
  <c r="DC21" i="11"/>
  <c r="DD21" i="11"/>
  <c r="DE21" i="11"/>
  <c r="DF21" i="11"/>
  <c r="DG21" i="11"/>
  <c r="DH21" i="11"/>
  <c r="DI21" i="11"/>
  <c r="DJ21" i="11"/>
  <c r="DK21" i="11"/>
  <c r="DL21" i="11"/>
  <c r="DM21" i="11"/>
  <c r="DN21" i="11"/>
  <c r="DO21" i="11"/>
  <c r="DP21" i="11"/>
  <c r="DQ21" i="11"/>
  <c r="DR21" i="11"/>
  <c r="DS21" i="11"/>
  <c r="DT21" i="11"/>
  <c r="DU21" i="11"/>
  <c r="DV21" i="11"/>
  <c r="DW21" i="11"/>
  <c r="DX21" i="11"/>
  <c r="DY21" i="11"/>
  <c r="DZ21" i="11"/>
  <c r="EA21" i="11"/>
  <c r="EB21" i="11"/>
  <c r="EC21" i="11"/>
  <c r="ED21" i="11"/>
  <c r="EE21" i="11"/>
  <c r="EF21" i="11"/>
  <c r="EG21" i="11"/>
  <c r="EH21" i="11"/>
  <c r="EI21" i="11"/>
  <c r="EJ21" i="11"/>
  <c r="EK21" i="11"/>
  <c r="EL21" i="11"/>
  <c r="EM21" i="11"/>
  <c r="EN21" i="11"/>
  <c r="EO21" i="11"/>
  <c r="B22" i="11"/>
  <c r="C22" i="11"/>
  <c r="D22" i="11"/>
  <c r="E22" i="11"/>
  <c r="F22" i="11"/>
  <c r="G22" i="11"/>
  <c r="H22" i="11"/>
  <c r="I22" i="11"/>
  <c r="J22" i="11"/>
  <c r="K22" i="11"/>
  <c r="L22" i="11"/>
  <c r="M22" i="11"/>
  <c r="N22" i="11"/>
  <c r="O22" i="11"/>
  <c r="P22" i="11"/>
  <c r="Q22" i="11"/>
  <c r="R22" i="11"/>
  <c r="S22" i="11"/>
  <c r="T22" i="11"/>
  <c r="U22" i="11"/>
  <c r="V22" i="11"/>
  <c r="W22" i="11"/>
  <c r="X22" i="11"/>
  <c r="Y22" i="11"/>
  <c r="Z22" i="11"/>
  <c r="AA22" i="11"/>
  <c r="AB22" i="11"/>
  <c r="AC22" i="11"/>
  <c r="AD22" i="11"/>
  <c r="AE22" i="11"/>
  <c r="AF22" i="11"/>
  <c r="AG22" i="11"/>
  <c r="AH22" i="11"/>
  <c r="AI22" i="11"/>
  <c r="AJ22" i="11"/>
  <c r="AK22" i="11"/>
  <c r="AL22" i="11"/>
  <c r="AM22" i="11"/>
  <c r="AN22" i="11"/>
  <c r="AO22" i="11"/>
  <c r="AP22" i="11"/>
  <c r="AQ22" i="11"/>
  <c r="AR22" i="11"/>
  <c r="AS22" i="11"/>
  <c r="AT22" i="11"/>
  <c r="AU22" i="11"/>
  <c r="AV22" i="11"/>
  <c r="AW22" i="11"/>
  <c r="AX22" i="11"/>
  <c r="AY22" i="11"/>
  <c r="AZ22" i="11"/>
  <c r="BA22" i="11"/>
  <c r="BB22" i="11"/>
  <c r="BC22" i="11"/>
  <c r="BD22" i="11"/>
  <c r="BE22" i="11"/>
  <c r="BF22" i="11"/>
  <c r="BG22" i="11"/>
  <c r="BH22" i="11"/>
  <c r="BI22" i="11"/>
  <c r="BJ22" i="11"/>
  <c r="BK22" i="11"/>
  <c r="BL22" i="11"/>
  <c r="BM22" i="11"/>
  <c r="BN22" i="11"/>
  <c r="BO22" i="11"/>
  <c r="BP22" i="11"/>
  <c r="BQ22" i="11"/>
  <c r="BR22" i="11"/>
  <c r="BS22" i="11"/>
  <c r="BT22" i="11"/>
  <c r="BU22" i="11"/>
  <c r="BV22" i="11"/>
  <c r="BW22" i="11"/>
  <c r="BX22" i="11"/>
  <c r="BY22" i="11"/>
  <c r="BZ22" i="11"/>
  <c r="CA22" i="11"/>
  <c r="CB22" i="11"/>
  <c r="CC22" i="11"/>
  <c r="CD22" i="11"/>
  <c r="CE22" i="11"/>
  <c r="CF22" i="11"/>
  <c r="CG22" i="11"/>
  <c r="CH22" i="11"/>
  <c r="CI22" i="11"/>
  <c r="CJ22" i="11"/>
  <c r="CK22" i="11"/>
  <c r="CL22" i="11"/>
  <c r="CM22" i="11"/>
  <c r="CN22" i="11"/>
  <c r="CO22" i="11"/>
  <c r="CP22" i="11"/>
  <c r="CQ22" i="11"/>
  <c r="CR22" i="11"/>
  <c r="CS22" i="11"/>
  <c r="CT22" i="11"/>
  <c r="CU22" i="11"/>
  <c r="CV22" i="11"/>
  <c r="CW22" i="11"/>
  <c r="CX22" i="11"/>
  <c r="CY22" i="11"/>
  <c r="CZ22" i="11"/>
  <c r="DA22" i="11"/>
  <c r="DB22" i="11"/>
  <c r="DC22" i="11"/>
  <c r="DD22" i="11"/>
  <c r="DE22" i="11"/>
  <c r="DF22" i="11"/>
  <c r="DG22" i="11"/>
  <c r="DH22" i="11"/>
  <c r="DI22" i="11"/>
  <c r="DJ22" i="11"/>
  <c r="DK22" i="11"/>
  <c r="DL22" i="11"/>
  <c r="DM22" i="11"/>
  <c r="DN22" i="11"/>
  <c r="DO22" i="11"/>
  <c r="DP22" i="11"/>
  <c r="DQ22" i="11"/>
  <c r="DR22" i="11"/>
  <c r="DS22" i="11"/>
  <c r="DT22" i="11"/>
  <c r="DU22" i="11"/>
  <c r="DV22" i="11"/>
  <c r="DW22" i="11"/>
  <c r="DX22" i="11"/>
  <c r="DY22" i="11"/>
  <c r="DZ22" i="11"/>
  <c r="EA22" i="11"/>
  <c r="EB22" i="11"/>
  <c r="EC22" i="11"/>
  <c r="ED22" i="11"/>
  <c r="EE22" i="11"/>
  <c r="EF22" i="11"/>
  <c r="EG22" i="11"/>
  <c r="EH22" i="11"/>
  <c r="EI22" i="11"/>
  <c r="EJ22" i="11"/>
  <c r="EK22" i="11"/>
  <c r="EL22" i="11"/>
  <c r="EM22" i="11"/>
  <c r="EN22" i="11"/>
  <c r="EO22" i="11"/>
  <c r="B23" i="11"/>
  <c r="C23" i="11"/>
  <c r="D23" i="11"/>
  <c r="E23" i="11"/>
  <c r="F23" i="11"/>
  <c r="G23" i="11"/>
  <c r="H23" i="11"/>
  <c r="I23" i="11"/>
  <c r="J23" i="11"/>
  <c r="K23" i="11"/>
  <c r="L23" i="11"/>
  <c r="M23" i="11"/>
  <c r="N23" i="11"/>
  <c r="O23" i="11"/>
  <c r="P23" i="11"/>
  <c r="Q23" i="11"/>
  <c r="R23" i="11"/>
  <c r="S23" i="11"/>
  <c r="T23" i="11"/>
  <c r="U23" i="11"/>
  <c r="V23" i="11"/>
  <c r="W23" i="11"/>
  <c r="X23" i="11"/>
  <c r="Y23" i="11"/>
  <c r="Z23" i="11"/>
  <c r="AA23" i="11"/>
  <c r="AB23" i="11"/>
  <c r="AC23" i="11"/>
  <c r="AD23" i="11"/>
  <c r="AE23" i="11"/>
  <c r="AF23" i="11"/>
  <c r="AG23" i="11"/>
  <c r="AH23" i="11"/>
  <c r="AI23" i="11"/>
  <c r="AJ23" i="11"/>
  <c r="AK23" i="11"/>
  <c r="AL23" i="11"/>
  <c r="AM23" i="11"/>
  <c r="AN23" i="11"/>
  <c r="AO23" i="11"/>
  <c r="AP23" i="11"/>
  <c r="AQ23" i="11"/>
  <c r="AR23" i="11"/>
  <c r="AS23" i="11"/>
  <c r="AT23" i="11"/>
  <c r="AU23" i="11"/>
  <c r="AV23" i="11"/>
  <c r="AW23" i="11"/>
  <c r="AX23" i="11"/>
  <c r="AY23" i="11"/>
  <c r="AZ23" i="11"/>
  <c r="BA23" i="11"/>
  <c r="BB23" i="11"/>
  <c r="BC23" i="11"/>
  <c r="BD23" i="11"/>
  <c r="BE23" i="11"/>
  <c r="BF23" i="11"/>
  <c r="BG23" i="11"/>
  <c r="BH23" i="11"/>
  <c r="BI23" i="11"/>
  <c r="BJ23" i="11"/>
  <c r="BK23" i="11"/>
  <c r="BL23" i="11"/>
  <c r="BM23" i="11"/>
  <c r="BN23" i="11"/>
  <c r="BO23" i="11"/>
  <c r="BP23" i="11"/>
  <c r="BQ23" i="11"/>
  <c r="BR23" i="11"/>
  <c r="BS23" i="11"/>
  <c r="BT23" i="11"/>
  <c r="BU23" i="11"/>
  <c r="BV23" i="11"/>
  <c r="BW23" i="11"/>
  <c r="BX23" i="11"/>
  <c r="BY23" i="11"/>
  <c r="BZ23" i="11"/>
  <c r="CA23" i="11"/>
  <c r="CB23" i="11"/>
  <c r="CC23" i="11"/>
  <c r="CD23" i="11"/>
  <c r="CE23" i="11"/>
  <c r="CF23" i="11"/>
  <c r="CG23" i="11"/>
  <c r="CH23" i="11"/>
  <c r="CI23" i="11"/>
  <c r="CJ23" i="11"/>
  <c r="CK23" i="11"/>
  <c r="CL23" i="11"/>
  <c r="CM23" i="11"/>
  <c r="CN23" i="11"/>
  <c r="CO23" i="11"/>
  <c r="CP23" i="11"/>
  <c r="CQ23" i="11"/>
  <c r="CR23" i="11"/>
  <c r="CS23" i="11"/>
  <c r="CT23" i="11"/>
  <c r="CU23" i="11"/>
  <c r="CV23" i="11"/>
  <c r="CW23" i="11"/>
  <c r="CX23" i="11"/>
  <c r="CY23" i="11"/>
  <c r="CZ23" i="11"/>
  <c r="DA23" i="11"/>
  <c r="DB23" i="11"/>
  <c r="DC23" i="11"/>
  <c r="DD23" i="11"/>
  <c r="DE23" i="11"/>
  <c r="DF23" i="11"/>
  <c r="DG23" i="11"/>
  <c r="DH23" i="11"/>
  <c r="DI23" i="11"/>
  <c r="DJ23" i="11"/>
  <c r="DK23" i="11"/>
  <c r="DL23" i="11"/>
  <c r="DM23" i="11"/>
  <c r="DN23" i="11"/>
  <c r="DO23" i="11"/>
  <c r="DP23" i="11"/>
  <c r="DQ23" i="11"/>
  <c r="DR23" i="11"/>
  <c r="DS23" i="11"/>
  <c r="DT23" i="11"/>
  <c r="DU23" i="11"/>
  <c r="DV23" i="11"/>
  <c r="DW23" i="11"/>
  <c r="DX23" i="11"/>
  <c r="DY23" i="11"/>
  <c r="DZ23" i="11"/>
  <c r="EA23" i="11"/>
  <c r="EB23" i="11"/>
  <c r="EC23" i="11"/>
  <c r="ED23" i="11"/>
  <c r="EE23" i="11"/>
  <c r="EF23" i="11"/>
  <c r="EG23" i="11"/>
  <c r="EH23" i="11"/>
  <c r="EI23" i="11"/>
  <c r="EJ23" i="11"/>
  <c r="EK23" i="11"/>
  <c r="EL23" i="11"/>
  <c r="EM23" i="11"/>
  <c r="EN23" i="11"/>
  <c r="EO23" i="11"/>
  <c r="B24" i="11"/>
  <c r="C24" i="11"/>
  <c r="D24" i="11"/>
  <c r="E24" i="11"/>
  <c r="F24" i="11"/>
  <c r="G24" i="11"/>
  <c r="H24" i="11"/>
  <c r="I24" i="11"/>
  <c r="J24" i="11"/>
  <c r="K24" i="11"/>
  <c r="L24" i="11"/>
  <c r="M24" i="11"/>
  <c r="N24" i="11"/>
  <c r="O24" i="11"/>
  <c r="P24" i="11"/>
  <c r="Q24" i="11"/>
  <c r="R24" i="11"/>
  <c r="S24" i="11"/>
  <c r="T24" i="11"/>
  <c r="U24" i="11"/>
  <c r="V24" i="11"/>
  <c r="W24" i="11"/>
  <c r="X24" i="11"/>
  <c r="Y24" i="11"/>
  <c r="Z24" i="11"/>
  <c r="AA24" i="11"/>
  <c r="AB24" i="11"/>
  <c r="AC24" i="11"/>
  <c r="AD24" i="11"/>
  <c r="AE24" i="11"/>
  <c r="AF24" i="11"/>
  <c r="AG24" i="11"/>
  <c r="AH24" i="11"/>
  <c r="AI24" i="11"/>
  <c r="AJ24" i="11"/>
  <c r="AK24" i="11"/>
  <c r="AL24" i="11"/>
  <c r="AM24" i="11"/>
  <c r="AN24" i="11"/>
  <c r="AO24" i="11"/>
  <c r="AP24" i="11"/>
  <c r="AQ24" i="11"/>
  <c r="AR24" i="11"/>
  <c r="AS24" i="11"/>
  <c r="AT24" i="11"/>
  <c r="AU24" i="11"/>
  <c r="AV24" i="11"/>
  <c r="AW24" i="11"/>
  <c r="AX24" i="11"/>
  <c r="AY24" i="11"/>
  <c r="AZ24" i="11"/>
  <c r="BA24" i="11"/>
  <c r="BB24" i="11"/>
  <c r="BC24" i="11"/>
  <c r="BD24" i="11"/>
  <c r="BE24" i="11"/>
  <c r="BF24" i="11"/>
  <c r="BG24" i="11"/>
  <c r="BH24" i="11"/>
  <c r="BI24" i="11"/>
  <c r="BJ24" i="11"/>
  <c r="BK24" i="11"/>
  <c r="BL24" i="11"/>
  <c r="BM24" i="11"/>
  <c r="BN24" i="11"/>
  <c r="BO24" i="11"/>
  <c r="BP24" i="11"/>
  <c r="BQ24" i="11"/>
  <c r="BR24" i="11"/>
  <c r="BS24" i="11"/>
  <c r="BT24" i="11"/>
  <c r="BU24" i="11"/>
  <c r="BV24" i="11"/>
  <c r="BW24" i="11"/>
  <c r="BX24" i="11"/>
  <c r="BY24" i="11"/>
  <c r="BZ24" i="11"/>
  <c r="CA24" i="11"/>
  <c r="CB24" i="11"/>
  <c r="CC24" i="11"/>
  <c r="CD24" i="11"/>
  <c r="CE24" i="11"/>
  <c r="CF24" i="11"/>
  <c r="CG24" i="11"/>
  <c r="CH24" i="11"/>
  <c r="CI24" i="11"/>
  <c r="CJ24" i="11"/>
  <c r="CK24" i="11"/>
  <c r="CL24" i="11"/>
  <c r="CM24" i="11"/>
  <c r="CN24" i="11"/>
  <c r="CO24" i="11"/>
  <c r="CP24" i="11"/>
  <c r="CQ24" i="11"/>
  <c r="CR24" i="11"/>
  <c r="CS24" i="11"/>
  <c r="CT24" i="11"/>
  <c r="CU24" i="11"/>
  <c r="CV24" i="11"/>
  <c r="CW24" i="11"/>
  <c r="CX24" i="11"/>
  <c r="CY24" i="11"/>
  <c r="CZ24" i="11"/>
  <c r="DA24" i="11"/>
  <c r="DB24" i="11"/>
  <c r="DC24" i="11"/>
  <c r="DD24" i="11"/>
  <c r="DE24" i="11"/>
  <c r="DF24" i="11"/>
  <c r="DG24" i="11"/>
  <c r="DH24" i="11"/>
  <c r="DI24" i="11"/>
  <c r="DJ24" i="11"/>
  <c r="DK24" i="11"/>
  <c r="DL24" i="11"/>
  <c r="DM24" i="11"/>
  <c r="DN24" i="11"/>
  <c r="DO24" i="11"/>
  <c r="DP24" i="11"/>
  <c r="DQ24" i="11"/>
  <c r="DR24" i="11"/>
  <c r="DS24" i="11"/>
  <c r="DT24" i="11"/>
  <c r="DU24" i="11"/>
  <c r="DV24" i="11"/>
  <c r="DW24" i="11"/>
  <c r="DX24" i="11"/>
  <c r="DY24" i="11"/>
  <c r="DZ24" i="11"/>
  <c r="EA24" i="11"/>
  <c r="EB24" i="11"/>
  <c r="EC24" i="11"/>
  <c r="ED24" i="11"/>
  <c r="EE24" i="11"/>
  <c r="EF24" i="11"/>
  <c r="EG24" i="11"/>
  <c r="EH24" i="11"/>
  <c r="EI24" i="11"/>
  <c r="EJ24" i="11"/>
  <c r="EK24" i="11"/>
  <c r="EL24" i="11"/>
  <c r="EM24" i="11"/>
  <c r="EN24" i="11"/>
  <c r="EO24" i="11"/>
  <c r="B25" i="11"/>
  <c r="C25" i="11"/>
  <c r="D25" i="11"/>
  <c r="E25" i="11"/>
  <c r="F25" i="11"/>
  <c r="G25" i="11"/>
  <c r="H25" i="11"/>
  <c r="I25" i="11"/>
  <c r="J25" i="11"/>
  <c r="K25" i="11"/>
  <c r="L25" i="11"/>
  <c r="M25" i="11"/>
  <c r="N25" i="11"/>
  <c r="O25" i="11"/>
  <c r="P25" i="11"/>
  <c r="Q25" i="11"/>
  <c r="R25" i="11"/>
  <c r="S25" i="11"/>
  <c r="T25" i="11"/>
  <c r="U25" i="11"/>
  <c r="V25" i="11"/>
  <c r="W25" i="11"/>
  <c r="X25" i="11"/>
  <c r="Y25" i="11"/>
  <c r="Z25" i="11"/>
  <c r="AA25" i="11"/>
  <c r="AB25" i="11"/>
  <c r="AC25" i="11"/>
  <c r="AD25" i="11"/>
  <c r="AE25" i="11"/>
  <c r="AF25" i="11"/>
  <c r="AG25" i="11"/>
  <c r="AH25" i="11"/>
  <c r="AI25" i="11"/>
  <c r="AJ25" i="11"/>
  <c r="AK25" i="11"/>
  <c r="AL25" i="11"/>
  <c r="AM25" i="11"/>
  <c r="AN25" i="11"/>
  <c r="AO25" i="11"/>
  <c r="AP25" i="11"/>
  <c r="AQ25" i="11"/>
  <c r="AR25" i="11"/>
  <c r="AS25" i="11"/>
  <c r="AT25" i="11"/>
  <c r="AU25" i="11"/>
  <c r="AV25" i="11"/>
  <c r="AW25" i="11"/>
  <c r="AX25" i="11"/>
  <c r="AY25" i="11"/>
  <c r="AZ25" i="11"/>
  <c r="BA25" i="11"/>
  <c r="BB25" i="11"/>
  <c r="BC25" i="11"/>
  <c r="BD25" i="11"/>
  <c r="BE25" i="11"/>
  <c r="BF25" i="11"/>
  <c r="BG25" i="11"/>
  <c r="BH25" i="11"/>
  <c r="BI25" i="11"/>
  <c r="BJ25" i="11"/>
  <c r="BK25" i="11"/>
  <c r="BL25" i="11"/>
  <c r="BM25" i="11"/>
  <c r="BN25" i="11"/>
  <c r="BO25" i="11"/>
  <c r="BP25" i="11"/>
  <c r="BQ25" i="11"/>
  <c r="BR25" i="11"/>
  <c r="BS25" i="11"/>
  <c r="BT25" i="11"/>
  <c r="BU25" i="11"/>
  <c r="BV25" i="11"/>
  <c r="BW25" i="11"/>
  <c r="BX25" i="11"/>
  <c r="BY25" i="11"/>
  <c r="BZ25" i="11"/>
  <c r="CA25" i="11"/>
  <c r="CB25" i="11"/>
  <c r="CC25" i="11"/>
  <c r="CD25" i="11"/>
  <c r="CE25" i="11"/>
  <c r="CF25" i="11"/>
  <c r="CG25" i="11"/>
  <c r="CH25" i="11"/>
  <c r="CI25" i="11"/>
  <c r="CJ25" i="11"/>
  <c r="CK25" i="11"/>
  <c r="CL25" i="11"/>
  <c r="CM25" i="11"/>
  <c r="CN25" i="11"/>
  <c r="CO25" i="11"/>
  <c r="CP25" i="11"/>
  <c r="CQ25" i="11"/>
  <c r="CR25" i="11"/>
  <c r="CS25" i="11"/>
  <c r="CT25" i="11"/>
  <c r="CU25" i="11"/>
  <c r="CV25" i="11"/>
  <c r="CW25" i="11"/>
  <c r="CX25" i="11"/>
  <c r="CY25" i="11"/>
  <c r="CZ25" i="11"/>
  <c r="DA25" i="11"/>
  <c r="DB25" i="11"/>
  <c r="DC25" i="11"/>
  <c r="DD25" i="11"/>
  <c r="DE25" i="11"/>
  <c r="DF25" i="11"/>
  <c r="DG25" i="11"/>
  <c r="DH25" i="11"/>
  <c r="DI25" i="11"/>
  <c r="DJ25" i="11"/>
  <c r="DK25" i="11"/>
  <c r="DL25" i="11"/>
  <c r="DM25" i="11"/>
  <c r="DN25" i="11"/>
  <c r="DO25" i="11"/>
  <c r="DP25" i="11"/>
  <c r="DQ25" i="11"/>
  <c r="DR25" i="11"/>
  <c r="DS25" i="11"/>
  <c r="DT25" i="11"/>
  <c r="DU25" i="11"/>
  <c r="DV25" i="11"/>
  <c r="DW25" i="11"/>
  <c r="DX25" i="11"/>
  <c r="DY25" i="11"/>
  <c r="DZ25" i="11"/>
  <c r="EA25" i="11"/>
  <c r="EB25" i="11"/>
  <c r="EC25" i="11"/>
  <c r="ED25" i="11"/>
  <c r="EE25" i="11"/>
  <c r="EF25" i="11"/>
  <c r="EG25" i="11"/>
  <c r="EH25" i="11"/>
  <c r="EI25" i="11"/>
  <c r="EJ25" i="11"/>
  <c r="EK25" i="11"/>
  <c r="EL25" i="11"/>
  <c r="EM25" i="11"/>
  <c r="EN25" i="11"/>
  <c r="EO25" i="11"/>
  <c r="B26" i="11"/>
  <c r="C26" i="11"/>
  <c r="D26" i="11"/>
  <c r="E26" i="11"/>
  <c r="F26" i="11"/>
  <c r="G26" i="11"/>
  <c r="H26" i="11"/>
  <c r="I26" i="11"/>
  <c r="J26" i="11"/>
  <c r="K26" i="11"/>
  <c r="L26" i="11"/>
  <c r="M26" i="11"/>
  <c r="N26" i="11"/>
  <c r="O26" i="11"/>
  <c r="P26" i="11"/>
  <c r="Q26" i="11"/>
  <c r="R26" i="11"/>
  <c r="S26" i="11"/>
  <c r="T26" i="11"/>
  <c r="U26" i="11"/>
  <c r="V26" i="11"/>
  <c r="W26" i="11"/>
  <c r="X26" i="11"/>
  <c r="Y26" i="11"/>
  <c r="Z26" i="11"/>
  <c r="AA26" i="11"/>
  <c r="AB26" i="11"/>
  <c r="AC26" i="11"/>
  <c r="AD26" i="11"/>
  <c r="AE26" i="11"/>
  <c r="AF26" i="11"/>
  <c r="AG26" i="11"/>
  <c r="AH26" i="11"/>
  <c r="AI26" i="11"/>
  <c r="AJ26" i="11"/>
  <c r="AK26" i="11"/>
  <c r="AL26" i="11"/>
  <c r="AM26" i="11"/>
  <c r="AN26" i="11"/>
  <c r="AO26" i="11"/>
  <c r="AP26" i="11"/>
  <c r="AQ26" i="11"/>
  <c r="AR26" i="11"/>
  <c r="AS26" i="11"/>
  <c r="AT26" i="11"/>
  <c r="AU26" i="11"/>
  <c r="AV26" i="11"/>
  <c r="AW26" i="11"/>
  <c r="AX26" i="11"/>
  <c r="AY26" i="11"/>
  <c r="AZ26" i="11"/>
  <c r="BA26" i="11"/>
  <c r="BB26" i="11"/>
  <c r="BC26" i="11"/>
  <c r="BD26" i="11"/>
  <c r="BE26" i="11"/>
  <c r="BF26" i="11"/>
  <c r="BG26" i="11"/>
  <c r="BH26" i="11"/>
  <c r="BI26" i="11"/>
  <c r="BJ26" i="11"/>
  <c r="BK26" i="11"/>
  <c r="BL26" i="11"/>
  <c r="BM26" i="11"/>
  <c r="BN26" i="11"/>
  <c r="BO26" i="11"/>
  <c r="BP26" i="11"/>
  <c r="BQ26" i="11"/>
  <c r="BR26" i="11"/>
  <c r="BS26" i="11"/>
  <c r="BT26" i="11"/>
  <c r="BU26" i="11"/>
  <c r="BV26" i="11"/>
  <c r="BW26" i="11"/>
  <c r="BX26" i="11"/>
  <c r="BY26" i="11"/>
  <c r="BZ26" i="11"/>
  <c r="CA26" i="11"/>
  <c r="CB26" i="11"/>
  <c r="CC26" i="11"/>
  <c r="CD26" i="11"/>
  <c r="CE26" i="11"/>
  <c r="CF26" i="11"/>
  <c r="CG26" i="11"/>
  <c r="CH26" i="11"/>
  <c r="CI26" i="11"/>
  <c r="CJ26" i="11"/>
  <c r="CK26" i="11"/>
  <c r="CL26" i="11"/>
  <c r="CM26" i="11"/>
  <c r="CN26" i="11"/>
  <c r="CO26" i="11"/>
  <c r="CP26" i="11"/>
  <c r="CQ26" i="11"/>
  <c r="CR26" i="11"/>
  <c r="CS26" i="11"/>
  <c r="CT26" i="11"/>
  <c r="CU26" i="11"/>
  <c r="CV26" i="11"/>
  <c r="CW26" i="11"/>
  <c r="CX26" i="11"/>
  <c r="CY26" i="11"/>
  <c r="CZ26" i="11"/>
  <c r="DA26" i="11"/>
  <c r="DB26" i="11"/>
  <c r="DC26" i="11"/>
  <c r="DD26" i="11"/>
  <c r="DE26" i="11"/>
  <c r="DF26" i="11"/>
  <c r="DG26" i="11"/>
  <c r="DH26" i="11"/>
  <c r="DI26" i="11"/>
  <c r="DJ26" i="11"/>
  <c r="DK26" i="11"/>
  <c r="DL26" i="11"/>
  <c r="DM26" i="11"/>
  <c r="DN26" i="11"/>
  <c r="DO26" i="11"/>
  <c r="DP26" i="11"/>
  <c r="DQ26" i="11"/>
  <c r="DR26" i="11"/>
  <c r="DS26" i="11"/>
  <c r="DT26" i="11"/>
  <c r="DU26" i="11"/>
  <c r="DV26" i="11"/>
  <c r="DW26" i="11"/>
  <c r="DX26" i="11"/>
  <c r="DY26" i="11"/>
  <c r="DZ26" i="11"/>
  <c r="EA26" i="11"/>
  <c r="EB26" i="11"/>
  <c r="EC26" i="11"/>
  <c r="ED26" i="11"/>
  <c r="EE26" i="11"/>
  <c r="EF26" i="11"/>
  <c r="EG26" i="11"/>
  <c r="EH26" i="11"/>
  <c r="EI26" i="11"/>
  <c r="EJ26" i="11"/>
  <c r="EK26" i="11"/>
  <c r="EL26" i="11"/>
  <c r="EM26" i="11"/>
  <c r="EN26" i="11"/>
  <c r="EO26" i="11"/>
  <c r="B27" i="11"/>
  <c r="C27" i="11"/>
  <c r="D27" i="11"/>
  <c r="E27" i="11"/>
  <c r="F27" i="11"/>
  <c r="G27" i="11"/>
  <c r="H27" i="11"/>
  <c r="I27" i="11"/>
  <c r="J27" i="11"/>
  <c r="K27" i="11"/>
  <c r="L27" i="11"/>
  <c r="M27" i="11"/>
  <c r="N27" i="11"/>
  <c r="O27" i="11"/>
  <c r="P27" i="11"/>
  <c r="Q27" i="11"/>
  <c r="R27" i="11"/>
  <c r="S27" i="11"/>
  <c r="T27" i="11"/>
  <c r="U27" i="11"/>
  <c r="V27" i="11"/>
  <c r="W27" i="11"/>
  <c r="X27" i="11"/>
  <c r="Y27" i="11"/>
  <c r="Z27" i="11"/>
  <c r="AA27" i="11"/>
  <c r="AB27" i="11"/>
  <c r="AC27" i="11"/>
  <c r="AD27" i="11"/>
  <c r="AE27" i="11"/>
  <c r="AF27" i="11"/>
  <c r="AG27" i="11"/>
  <c r="AH27" i="11"/>
  <c r="AI27" i="11"/>
  <c r="AJ27" i="11"/>
  <c r="AK27" i="11"/>
  <c r="AL27" i="11"/>
  <c r="AM27" i="11"/>
  <c r="AN27" i="11"/>
  <c r="AO27" i="11"/>
  <c r="AP27" i="11"/>
  <c r="AQ27" i="11"/>
  <c r="AR27" i="11"/>
  <c r="AS27" i="11"/>
  <c r="AT27" i="11"/>
  <c r="AU27" i="11"/>
  <c r="AV27" i="11"/>
  <c r="AW27" i="11"/>
  <c r="AX27" i="11"/>
  <c r="AY27" i="11"/>
  <c r="AZ27" i="11"/>
  <c r="BA27" i="11"/>
  <c r="BB27" i="11"/>
  <c r="BC27" i="11"/>
  <c r="BD27" i="11"/>
  <c r="BE27" i="11"/>
  <c r="BF27" i="11"/>
  <c r="BG27" i="11"/>
  <c r="BH27" i="11"/>
  <c r="BI27" i="11"/>
  <c r="BJ27" i="11"/>
  <c r="BK27" i="11"/>
  <c r="BL27" i="11"/>
  <c r="BM27" i="11"/>
  <c r="BN27" i="11"/>
  <c r="BO27" i="11"/>
  <c r="BP27" i="11"/>
  <c r="BQ27" i="11"/>
  <c r="BR27" i="11"/>
  <c r="BS27" i="11"/>
  <c r="BT27" i="11"/>
  <c r="BU27" i="11"/>
  <c r="BV27" i="11"/>
  <c r="BW27" i="11"/>
  <c r="BX27" i="11"/>
  <c r="BY27" i="11"/>
  <c r="BZ27" i="11"/>
  <c r="CA27" i="11"/>
  <c r="CB27" i="11"/>
  <c r="CC27" i="11"/>
  <c r="CD27" i="11"/>
  <c r="CE27" i="11"/>
  <c r="CF27" i="11"/>
  <c r="CG27" i="11"/>
  <c r="CH27" i="11"/>
  <c r="CI27" i="11"/>
  <c r="CJ27" i="11"/>
  <c r="CK27" i="11"/>
  <c r="CL27" i="11"/>
  <c r="CM27" i="11"/>
  <c r="CN27" i="11"/>
  <c r="CO27" i="11"/>
  <c r="CP27" i="11"/>
  <c r="CQ27" i="11"/>
  <c r="CR27" i="11"/>
  <c r="CS27" i="11"/>
  <c r="CT27" i="11"/>
  <c r="CU27" i="11"/>
  <c r="CV27" i="11"/>
  <c r="CW27" i="11"/>
  <c r="CX27" i="11"/>
  <c r="CY27" i="11"/>
  <c r="CZ27" i="11"/>
  <c r="DA27" i="11"/>
  <c r="DB27" i="11"/>
  <c r="DC27" i="11"/>
  <c r="DD27" i="11"/>
  <c r="DE27" i="11"/>
  <c r="DF27" i="11"/>
  <c r="DG27" i="11"/>
  <c r="DH27" i="11"/>
  <c r="DI27" i="11"/>
  <c r="DJ27" i="11"/>
  <c r="DK27" i="11"/>
  <c r="DL27" i="11"/>
  <c r="DM27" i="11"/>
  <c r="DN27" i="11"/>
  <c r="DO27" i="11"/>
  <c r="DP27" i="11"/>
  <c r="DQ27" i="11"/>
  <c r="DR27" i="11"/>
  <c r="DS27" i="11"/>
  <c r="DT27" i="11"/>
  <c r="DU27" i="11"/>
  <c r="DV27" i="11"/>
  <c r="DW27" i="11"/>
  <c r="DX27" i="11"/>
  <c r="DY27" i="11"/>
  <c r="DZ27" i="11"/>
  <c r="EA27" i="11"/>
  <c r="EB27" i="11"/>
  <c r="EC27" i="11"/>
  <c r="ED27" i="11"/>
  <c r="EE27" i="11"/>
  <c r="EF27" i="11"/>
  <c r="EG27" i="11"/>
  <c r="EH27" i="11"/>
  <c r="EI27" i="11"/>
  <c r="EJ27" i="11"/>
  <c r="EK27" i="11"/>
  <c r="EL27" i="11"/>
  <c r="EM27" i="11"/>
  <c r="EN27" i="11"/>
  <c r="EO27" i="11"/>
  <c r="B28" i="11"/>
  <c r="C28" i="11"/>
  <c r="D28" i="11"/>
  <c r="E28" i="11"/>
  <c r="F28" i="11"/>
  <c r="G28" i="11"/>
  <c r="H28" i="11"/>
  <c r="I28" i="11"/>
  <c r="J28" i="11"/>
  <c r="K28" i="11"/>
  <c r="L28" i="11"/>
  <c r="M28" i="11"/>
  <c r="N28" i="11"/>
  <c r="O28" i="11"/>
  <c r="P28" i="11"/>
  <c r="Q28" i="11"/>
  <c r="R28" i="11"/>
  <c r="S28" i="11"/>
  <c r="T28" i="11"/>
  <c r="U28" i="11"/>
  <c r="V28" i="11"/>
  <c r="W28" i="11"/>
  <c r="X28" i="11"/>
  <c r="Y28" i="11"/>
  <c r="Z28" i="11"/>
  <c r="AA28" i="11"/>
  <c r="AB28" i="11"/>
  <c r="AC28" i="11"/>
  <c r="AD28" i="11"/>
  <c r="AE28" i="11"/>
  <c r="AF28" i="11"/>
  <c r="AG28" i="11"/>
  <c r="AH28" i="11"/>
  <c r="AI28" i="11"/>
  <c r="AJ28" i="11"/>
  <c r="AK28" i="11"/>
  <c r="AL28" i="11"/>
  <c r="AM28" i="11"/>
  <c r="AN28" i="11"/>
  <c r="AO28" i="11"/>
  <c r="AP28" i="11"/>
  <c r="AQ28" i="11"/>
  <c r="AR28" i="11"/>
  <c r="AS28" i="11"/>
  <c r="AT28" i="11"/>
  <c r="AU28" i="11"/>
  <c r="AV28" i="11"/>
  <c r="AW28" i="11"/>
  <c r="AX28" i="11"/>
  <c r="AY28" i="11"/>
  <c r="AZ28" i="11"/>
  <c r="BA28" i="11"/>
  <c r="BB28" i="11"/>
  <c r="BC28" i="11"/>
  <c r="BD28" i="11"/>
  <c r="BE28" i="11"/>
  <c r="BF28" i="11"/>
  <c r="BG28" i="11"/>
  <c r="BH28" i="11"/>
  <c r="BI28" i="11"/>
  <c r="BJ28" i="11"/>
  <c r="BK28" i="11"/>
  <c r="BL28" i="11"/>
  <c r="BM28" i="11"/>
  <c r="BN28" i="11"/>
  <c r="BO28" i="11"/>
  <c r="BP28" i="11"/>
  <c r="BQ28" i="11"/>
  <c r="BR28" i="11"/>
  <c r="BS28" i="11"/>
  <c r="BT28" i="11"/>
  <c r="BU28" i="11"/>
  <c r="BV28" i="11"/>
  <c r="BW28" i="11"/>
  <c r="BX28" i="11"/>
  <c r="BY28" i="11"/>
  <c r="BZ28" i="11"/>
  <c r="CA28" i="11"/>
  <c r="CB28" i="11"/>
  <c r="CC28" i="11"/>
  <c r="CD28" i="11"/>
  <c r="CE28" i="11"/>
  <c r="CF28" i="11"/>
  <c r="CG28" i="11"/>
  <c r="CH28" i="11"/>
  <c r="CI28" i="11"/>
  <c r="CJ28" i="11"/>
  <c r="CK28" i="11"/>
  <c r="CL28" i="11"/>
  <c r="CM28" i="11"/>
  <c r="CN28" i="11"/>
  <c r="CO28" i="11"/>
  <c r="CP28" i="11"/>
  <c r="CQ28" i="11"/>
  <c r="CR28" i="11"/>
  <c r="CS28" i="11"/>
  <c r="CT28" i="11"/>
  <c r="CU28" i="11"/>
  <c r="CV28" i="11"/>
  <c r="CW28" i="11"/>
  <c r="CX28" i="11"/>
  <c r="CY28" i="11"/>
  <c r="CZ28" i="11"/>
  <c r="DA28" i="11"/>
  <c r="DB28" i="11"/>
  <c r="DC28" i="11"/>
  <c r="DD28" i="11"/>
  <c r="DE28" i="11"/>
  <c r="DF28" i="11"/>
  <c r="DG28" i="11"/>
  <c r="DH28" i="11"/>
  <c r="DI28" i="11"/>
  <c r="DJ28" i="11"/>
  <c r="DK28" i="11"/>
  <c r="DL28" i="11"/>
  <c r="DM28" i="11"/>
  <c r="DN28" i="11"/>
  <c r="DO28" i="11"/>
  <c r="DP28" i="11"/>
  <c r="DQ28" i="11"/>
  <c r="DR28" i="11"/>
  <c r="DS28" i="11"/>
  <c r="DT28" i="11"/>
  <c r="DU28" i="11"/>
  <c r="DV28" i="11"/>
  <c r="DW28" i="11"/>
  <c r="DX28" i="11"/>
  <c r="DY28" i="11"/>
  <c r="DZ28" i="11"/>
  <c r="EA28" i="11"/>
  <c r="EB28" i="11"/>
  <c r="EC28" i="11"/>
  <c r="ED28" i="11"/>
  <c r="EE28" i="11"/>
  <c r="EF28" i="11"/>
  <c r="EG28" i="11"/>
  <c r="EH28" i="11"/>
  <c r="EI28" i="11"/>
  <c r="EJ28" i="11"/>
  <c r="EK28" i="11"/>
  <c r="EL28" i="11"/>
  <c r="EM28" i="11"/>
  <c r="EN28" i="11"/>
  <c r="EO28" i="11"/>
  <c r="B29" i="11"/>
  <c r="B30" i="11"/>
  <c r="B33" i="11"/>
  <c r="C33" i="11"/>
  <c r="D33" i="11"/>
  <c r="E33" i="11"/>
  <c r="F33" i="11"/>
  <c r="G33" i="11"/>
  <c r="H33" i="11"/>
  <c r="I33" i="11"/>
  <c r="J33" i="11"/>
  <c r="K33" i="11"/>
  <c r="L33" i="11"/>
  <c r="M33" i="11"/>
  <c r="N33" i="11"/>
  <c r="B34" i="11"/>
  <c r="C34" i="11"/>
  <c r="D34" i="11"/>
  <c r="E34" i="11"/>
  <c r="F34" i="11"/>
  <c r="G34" i="11"/>
  <c r="H34" i="11"/>
  <c r="I34" i="11"/>
  <c r="J34" i="11"/>
  <c r="K34" i="11"/>
  <c r="L34" i="11"/>
  <c r="M34" i="11"/>
  <c r="N34" i="11"/>
  <c r="B35" i="11"/>
  <c r="C35" i="11"/>
  <c r="D35" i="11"/>
  <c r="E35" i="11"/>
  <c r="F35" i="11"/>
  <c r="G35" i="11"/>
  <c r="H35" i="11"/>
  <c r="I35" i="11"/>
  <c r="J35" i="11"/>
  <c r="K35" i="11"/>
  <c r="L35" i="11"/>
  <c r="M35" i="11"/>
  <c r="N35" i="11"/>
  <c r="B36" i="11"/>
  <c r="C36" i="11"/>
  <c r="D36" i="11"/>
  <c r="E36" i="11"/>
  <c r="F36" i="11"/>
  <c r="G36" i="11"/>
  <c r="H36" i="11"/>
  <c r="I36" i="11"/>
  <c r="J36" i="11"/>
  <c r="K36" i="11"/>
  <c r="L36" i="11"/>
  <c r="M36" i="11"/>
  <c r="N36" i="11"/>
  <c r="B37" i="11"/>
  <c r="C37" i="11"/>
  <c r="D37" i="11"/>
  <c r="E37" i="11"/>
  <c r="F37" i="11"/>
  <c r="G37" i="11"/>
  <c r="H37" i="11"/>
  <c r="I37" i="11"/>
  <c r="J37" i="11"/>
  <c r="K37" i="11"/>
  <c r="L37" i="11"/>
  <c r="M37" i="11"/>
  <c r="N37" i="11"/>
  <c r="B38" i="11"/>
  <c r="C38" i="11"/>
  <c r="D38" i="11"/>
  <c r="E38" i="11"/>
  <c r="F38" i="11"/>
  <c r="G38" i="11"/>
  <c r="H38" i="11"/>
  <c r="I38" i="11"/>
  <c r="J38" i="11"/>
  <c r="K38" i="11"/>
  <c r="L38" i="11"/>
  <c r="M38" i="11"/>
  <c r="N38" i="11"/>
  <c r="B39" i="11"/>
  <c r="C39" i="11"/>
  <c r="D39" i="11"/>
  <c r="E39" i="11"/>
  <c r="F39" i="11"/>
  <c r="G39" i="11"/>
  <c r="H39" i="11"/>
  <c r="I39" i="11"/>
  <c r="J39" i="11"/>
  <c r="K39" i="11"/>
  <c r="L39" i="11"/>
  <c r="M39" i="11"/>
  <c r="N39" i="11"/>
  <c r="B40" i="11"/>
  <c r="C40" i="11"/>
  <c r="D40" i="11"/>
  <c r="E40" i="11"/>
  <c r="F40" i="11"/>
  <c r="G40" i="11"/>
  <c r="H40" i="11"/>
  <c r="I40" i="11"/>
  <c r="J40" i="11"/>
  <c r="K40" i="11"/>
  <c r="L40" i="11"/>
  <c r="M40" i="11"/>
  <c r="N40" i="11"/>
  <c r="B41" i="11"/>
  <c r="C41" i="11"/>
  <c r="D41" i="11"/>
  <c r="E41" i="11"/>
  <c r="F41" i="11"/>
  <c r="G41" i="11"/>
  <c r="H41" i="11"/>
  <c r="I41" i="11"/>
  <c r="J41" i="11"/>
  <c r="K41" i="11"/>
  <c r="L41" i="11"/>
  <c r="M41" i="11"/>
  <c r="N41" i="11"/>
  <c r="B42" i="11"/>
  <c r="C42" i="11"/>
  <c r="D42" i="11"/>
  <c r="E42" i="11"/>
  <c r="F42" i="11"/>
  <c r="G42" i="11"/>
  <c r="H42" i="11"/>
  <c r="I42" i="11"/>
  <c r="J42" i="11"/>
  <c r="K42" i="11"/>
  <c r="L42" i="11"/>
  <c r="M42" i="11"/>
  <c r="N42" i="11"/>
  <c r="B43" i="11"/>
  <c r="C43" i="11"/>
  <c r="D43" i="11"/>
  <c r="E43" i="11"/>
  <c r="F43" i="11"/>
  <c r="G43" i="11"/>
  <c r="H43" i="11"/>
  <c r="I43" i="11"/>
  <c r="J43" i="11"/>
  <c r="K43" i="11"/>
  <c r="L43" i="11"/>
  <c r="M43" i="11"/>
  <c r="N43" i="11"/>
  <c r="H6" i="14"/>
  <c r="I6" i="14"/>
  <c r="J6" i="14"/>
  <c r="K6" i="14"/>
  <c r="L6" i="14"/>
  <c r="M6" i="14"/>
  <c r="N6" i="14"/>
  <c r="O6" i="14"/>
  <c r="P6" i="14"/>
  <c r="Q6" i="14"/>
  <c r="R6" i="14"/>
  <c r="S6" i="14"/>
  <c r="T6" i="14"/>
  <c r="U6" i="14"/>
  <c r="V6" i="14"/>
  <c r="W6" i="14"/>
  <c r="X6" i="14"/>
  <c r="Y6" i="14"/>
  <c r="Z6" i="14"/>
  <c r="AA6" i="14"/>
  <c r="AB6" i="14"/>
  <c r="AC6" i="14"/>
  <c r="AD6" i="14"/>
  <c r="AE6" i="14"/>
  <c r="AG6" i="14"/>
  <c r="AH6" i="14"/>
  <c r="AI6" i="14"/>
  <c r="AJ6" i="14"/>
  <c r="AK6" i="14"/>
  <c r="AL6" i="14"/>
  <c r="AM6" i="14"/>
  <c r="AN6" i="14"/>
  <c r="AO6" i="14"/>
  <c r="AP6" i="14"/>
  <c r="AQ6" i="14"/>
  <c r="AR6" i="14"/>
  <c r="AS6" i="14"/>
  <c r="AT6" i="14"/>
  <c r="AU6" i="14"/>
  <c r="AV6" i="14"/>
  <c r="AW6" i="14"/>
  <c r="AX6" i="14"/>
  <c r="AY6" i="14"/>
  <c r="AZ6" i="14"/>
  <c r="BA6" i="14"/>
  <c r="BB6" i="14"/>
  <c r="BC6" i="14"/>
  <c r="BD6" i="14"/>
  <c r="BF6" i="14"/>
  <c r="BG6" i="14"/>
  <c r="BH6" i="14"/>
  <c r="BI6" i="14"/>
  <c r="BJ6" i="14"/>
  <c r="BK6" i="14"/>
  <c r="BL6" i="14"/>
  <c r="BM6" i="14"/>
  <c r="BN6" i="14"/>
  <c r="BO6" i="14"/>
  <c r="BP6" i="14"/>
  <c r="BQ6" i="14"/>
  <c r="BR6" i="14"/>
  <c r="BS6" i="14"/>
  <c r="BT6" i="14"/>
  <c r="BU6" i="14"/>
  <c r="BV6" i="14"/>
  <c r="BW6" i="14"/>
  <c r="BX6" i="14"/>
  <c r="BY6" i="14"/>
  <c r="BZ6" i="14"/>
  <c r="CA6" i="14"/>
  <c r="CB6" i="14"/>
  <c r="CC6" i="14"/>
  <c r="CE6" i="14"/>
  <c r="CF6" i="14"/>
  <c r="CG6" i="14"/>
  <c r="CH6" i="14"/>
  <c r="CI6" i="14"/>
  <c r="CJ6" i="14"/>
  <c r="CK6" i="14"/>
  <c r="CL6" i="14"/>
  <c r="CM6" i="14"/>
  <c r="CN6" i="14"/>
  <c r="CO6" i="14"/>
  <c r="CP6" i="14"/>
  <c r="CQ6" i="14"/>
  <c r="CR6" i="14"/>
  <c r="CS6" i="14"/>
  <c r="CT6" i="14"/>
  <c r="CU6" i="14"/>
  <c r="CV6" i="14"/>
  <c r="CW6" i="14"/>
  <c r="CX6" i="14"/>
  <c r="CY6" i="14"/>
  <c r="CZ6" i="14"/>
  <c r="DA6" i="14"/>
  <c r="DB6" i="14"/>
  <c r="DH6" i="14"/>
  <c r="DI6" i="14"/>
  <c r="DJ6" i="14"/>
  <c r="H7" i="14"/>
  <c r="I7" i="14"/>
  <c r="J7" i="14"/>
  <c r="K7" i="14"/>
  <c r="L7" i="14"/>
  <c r="M7" i="14"/>
  <c r="N7" i="14"/>
  <c r="O7" i="14"/>
  <c r="P7" i="14"/>
  <c r="Q7" i="14"/>
  <c r="R7" i="14"/>
  <c r="S7" i="14"/>
  <c r="T7" i="14"/>
  <c r="U7" i="14"/>
  <c r="V7" i="14"/>
  <c r="W7" i="14"/>
  <c r="X7" i="14"/>
  <c r="Y7" i="14"/>
  <c r="Z7" i="14"/>
  <c r="AA7" i="14"/>
  <c r="AB7" i="14"/>
  <c r="AC7" i="14"/>
  <c r="AD7" i="14"/>
  <c r="AE7" i="14"/>
  <c r="AG7" i="14"/>
  <c r="AH7" i="14"/>
  <c r="AI7" i="14"/>
  <c r="AJ7" i="14"/>
  <c r="AK7" i="14"/>
  <c r="AL7" i="14"/>
  <c r="AM7" i="14"/>
  <c r="AN7" i="14"/>
  <c r="AO7" i="14"/>
  <c r="AP7" i="14"/>
  <c r="AQ7" i="14"/>
  <c r="AR7" i="14"/>
  <c r="AS7" i="14"/>
  <c r="AT7" i="14"/>
  <c r="AU7" i="14"/>
  <c r="AV7" i="14"/>
  <c r="AW7" i="14"/>
  <c r="AX7" i="14"/>
  <c r="AY7" i="14"/>
  <c r="AZ7" i="14"/>
  <c r="BA7" i="14"/>
  <c r="BB7" i="14"/>
  <c r="BC7" i="14"/>
  <c r="BD7" i="14"/>
  <c r="BF7" i="14"/>
  <c r="BG7" i="14"/>
  <c r="BH7" i="14"/>
  <c r="BI7" i="14"/>
  <c r="BJ7" i="14"/>
  <c r="BK7" i="14"/>
  <c r="BL7" i="14"/>
  <c r="BM7" i="14"/>
  <c r="BN7" i="14"/>
  <c r="BO7" i="14"/>
  <c r="BP7" i="14"/>
  <c r="BQ7" i="14"/>
  <c r="BR7" i="14"/>
  <c r="BS7" i="14"/>
  <c r="BT7" i="14"/>
  <c r="BU7" i="14"/>
  <c r="BV7" i="14"/>
  <c r="BW7" i="14"/>
  <c r="BX7" i="14"/>
  <c r="BY7" i="14"/>
  <c r="BZ7" i="14"/>
  <c r="CA7" i="14"/>
  <c r="CB7" i="14"/>
  <c r="CC7" i="14"/>
  <c r="CE7" i="14"/>
  <c r="CF7" i="14"/>
  <c r="CG7" i="14"/>
  <c r="CH7" i="14"/>
  <c r="CI7" i="14"/>
  <c r="CJ7" i="14"/>
  <c r="CK7" i="14"/>
  <c r="CL7" i="14"/>
  <c r="CM7" i="14"/>
  <c r="CN7" i="14"/>
  <c r="CO7" i="14"/>
  <c r="CP7" i="14"/>
  <c r="CQ7" i="14"/>
  <c r="CR7" i="14"/>
  <c r="CS7" i="14"/>
  <c r="CT7" i="14"/>
  <c r="CU7" i="14"/>
  <c r="CV7" i="14"/>
  <c r="CW7" i="14"/>
  <c r="CX7" i="14"/>
  <c r="CY7" i="14"/>
  <c r="CZ7" i="14"/>
  <c r="DA7" i="14"/>
  <c r="DB7" i="14"/>
  <c r="DH7" i="14"/>
  <c r="DI7" i="14"/>
  <c r="DJ7" i="14"/>
  <c r="H8" i="14"/>
  <c r="I8" i="14"/>
  <c r="J8" i="14"/>
  <c r="K8" i="14"/>
  <c r="L8" i="14"/>
  <c r="M8" i="14"/>
  <c r="N8" i="14"/>
  <c r="O8" i="14"/>
  <c r="P8" i="14"/>
  <c r="Q8" i="14"/>
  <c r="R8" i="14"/>
  <c r="S8" i="14"/>
  <c r="T8" i="14"/>
  <c r="U8" i="14"/>
  <c r="V8" i="14"/>
  <c r="W8" i="14"/>
  <c r="X8" i="14"/>
  <c r="Y8" i="14"/>
  <c r="Z8" i="14"/>
  <c r="AA8" i="14"/>
  <c r="AB8" i="14"/>
  <c r="AC8" i="14"/>
  <c r="AD8" i="14"/>
  <c r="AE8" i="14"/>
  <c r="AG8" i="14"/>
  <c r="AH8" i="14"/>
  <c r="AI8" i="14"/>
  <c r="AJ8" i="14"/>
  <c r="AK8" i="14"/>
  <c r="AL8" i="14"/>
  <c r="AM8" i="14"/>
  <c r="AN8" i="14"/>
  <c r="AO8" i="14"/>
  <c r="AP8" i="14"/>
  <c r="AQ8" i="14"/>
  <c r="AR8" i="14"/>
  <c r="AS8" i="14"/>
  <c r="AT8" i="14"/>
  <c r="AU8" i="14"/>
  <c r="AV8" i="14"/>
  <c r="AW8" i="14"/>
  <c r="AX8" i="14"/>
  <c r="AY8" i="14"/>
  <c r="AZ8" i="14"/>
  <c r="BA8" i="14"/>
  <c r="BB8" i="14"/>
  <c r="BC8" i="14"/>
  <c r="BD8" i="14"/>
  <c r="BF8" i="14"/>
  <c r="BG8" i="14"/>
  <c r="BH8" i="14"/>
  <c r="BI8" i="14"/>
  <c r="BJ8" i="14"/>
  <c r="BK8" i="14"/>
  <c r="BL8" i="14"/>
  <c r="BM8" i="14"/>
  <c r="BN8" i="14"/>
  <c r="BO8" i="14"/>
  <c r="BP8" i="14"/>
  <c r="BQ8" i="14"/>
  <c r="BR8" i="14"/>
  <c r="BS8" i="14"/>
  <c r="BT8" i="14"/>
  <c r="BU8" i="14"/>
  <c r="BV8" i="14"/>
  <c r="BW8" i="14"/>
  <c r="BX8" i="14"/>
  <c r="BY8" i="14"/>
  <c r="BZ8" i="14"/>
  <c r="CA8" i="14"/>
  <c r="CB8" i="14"/>
  <c r="CC8" i="14"/>
  <c r="CE8" i="14"/>
  <c r="CF8" i="14"/>
  <c r="CG8" i="14"/>
  <c r="CH8" i="14"/>
  <c r="CI8" i="14"/>
  <c r="CJ8" i="14"/>
  <c r="CK8" i="14"/>
  <c r="CL8" i="14"/>
  <c r="CM8" i="14"/>
  <c r="CN8" i="14"/>
  <c r="CO8" i="14"/>
  <c r="CP8" i="14"/>
  <c r="CQ8" i="14"/>
  <c r="CR8" i="14"/>
  <c r="CS8" i="14"/>
  <c r="CT8" i="14"/>
  <c r="CU8" i="14"/>
  <c r="CV8" i="14"/>
  <c r="CW8" i="14"/>
  <c r="CX8" i="14"/>
  <c r="CY8" i="14"/>
  <c r="CZ8" i="14"/>
  <c r="DA8" i="14"/>
  <c r="DB8" i="14"/>
  <c r="DH8" i="14"/>
  <c r="DI8" i="14"/>
  <c r="DJ8" i="14"/>
  <c r="H9" i="14"/>
  <c r="I9" i="14"/>
  <c r="J9" i="14"/>
  <c r="K9" i="14"/>
  <c r="L9" i="14"/>
  <c r="M9" i="14"/>
  <c r="N9" i="14"/>
  <c r="O9" i="14"/>
  <c r="P9" i="14"/>
  <c r="Q9" i="14"/>
  <c r="R9" i="14"/>
  <c r="S9" i="14"/>
  <c r="T9" i="14"/>
  <c r="U9" i="14"/>
  <c r="V9" i="14"/>
  <c r="W9" i="14"/>
  <c r="X9" i="14"/>
  <c r="Y9" i="14"/>
  <c r="Z9" i="14"/>
  <c r="AA9" i="14"/>
  <c r="AB9" i="14"/>
  <c r="AC9" i="14"/>
  <c r="AD9" i="14"/>
  <c r="AE9" i="14"/>
  <c r="AG9" i="14"/>
  <c r="AH9" i="14"/>
  <c r="AI9" i="14"/>
  <c r="AJ9" i="14"/>
  <c r="AK9" i="14"/>
  <c r="AL9" i="14"/>
  <c r="AM9" i="14"/>
  <c r="AN9" i="14"/>
  <c r="AO9" i="14"/>
  <c r="AP9" i="14"/>
  <c r="AQ9" i="14"/>
  <c r="AR9" i="14"/>
  <c r="AS9" i="14"/>
  <c r="AT9" i="14"/>
  <c r="AU9" i="14"/>
  <c r="AV9" i="14"/>
  <c r="AW9" i="14"/>
  <c r="AX9" i="14"/>
  <c r="AY9" i="14"/>
  <c r="AZ9" i="14"/>
  <c r="BA9" i="14"/>
  <c r="BB9" i="14"/>
  <c r="BC9" i="14"/>
  <c r="BD9" i="14"/>
  <c r="BF9" i="14"/>
  <c r="BG9" i="14"/>
  <c r="BH9" i="14"/>
  <c r="BI9" i="14"/>
  <c r="BJ9" i="14"/>
  <c r="BK9" i="14"/>
  <c r="BL9" i="14"/>
  <c r="BM9" i="14"/>
  <c r="BN9" i="14"/>
  <c r="BO9" i="14"/>
  <c r="BP9" i="14"/>
  <c r="BQ9" i="14"/>
  <c r="BR9" i="14"/>
  <c r="BS9" i="14"/>
  <c r="BT9" i="14"/>
  <c r="BU9" i="14"/>
  <c r="BV9" i="14"/>
  <c r="BW9" i="14"/>
  <c r="BX9" i="14"/>
  <c r="BY9" i="14"/>
  <c r="BZ9" i="14"/>
  <c r="CA9" i="14"/>
  <c r="CB9" i="14"/>
  <c r="CC9" i="14"/>
  <c r="CE9" i="14"/>
  <c r="CF9" i="14"/>
  <c r="CG9" i="14"/>
  <c r="CH9" i="14"/>
  <c r="CI9" i="14"/>
  <c r="CJ9" i="14"/>
  <c r="CK9" i="14"/>
  <c r="CL9" i="14"/>
  <c r="CM9" i="14"/>
  <c r="CN9" i="14"/>
  <c r="CO9" i="14"/>
  <c r="CP9" i="14"/>
  <c r="CQ9" i="14"/>
  <c r="CR9" i="14"/>
  <c r="CS9" i="14"/>
  <c r="CT9" i="14"/>
  <c r="CU9" i="14"/>
  <c r="CV9" i="14"/>
  <c r="CW9" i="14"/>
  <c r="CX9" i="14"/>
  <c r="CY9" i="14"/>
  <c r="CZ9" i="14"/>
  <c r="DA9" i="14"/>
  <c r="DB9" i="14"/>
  <c r="DH9" i="14"/>
  <c r="DI9" i="14"/>
  <c r="DJ9" i="14"/>
  <c r="H10" i="14"/>
  <c r="I10" i="14"/>
  <c r="J10" i="14"/>
  <c r="K10" i="14"/>
  <c r="L10" i="14"/>
  <c r="M10" i="14"/>
  <c r="N10" i="14"/>
  <c r="O10" i="14"/>
  <c r="P10" i="14"/>
  <c r="Q10" i="14"/>
  <c r="R10" i="14"/>
  <c r="S10" i="14"/>
  <c r="T10" i="14"/>
  <c r="U10" i="14"/>
  <c r="V10" i="14"/>
  <c r="W10" i="14"/>
  <c r="X10" i="14"/>
  <c r="Y10" i="14"/>
  <c r="Z10" i="14"/>
  <c r="AA10" i="14"/>
  <c r="AB10" i="14"/>
  <c r="AC10" i="14"/>
  <c r="AD10" i="14"/>
  <c r="AE10" i="14"/>
  <c r="AG10" i="14"/>
  <c r="AH10" i="14"/>
  <c r="AI10" i="14"/>
  <c r="AJ10" i="14"/>
  <c r="AK10" i="14"/>
  <c r="AL10" i="14"/>
  <c r="AM10" i="14"/>
  <c r="AN10" i="14"/>
  <c r="AO10" i="14"/>
  <c r="AP10" i="14"/>
  <c r="AQ10" i="14"/>
  <c r="AR10" i="14"/>
  <c r="AS10" i="14"/>
  <c r="AT10" i="14"/>
  <c r="AU10" i="14"/>
  <c r="AV10" i="14"/>
  <c r="AW10" i="14"/>
  <c r="AX10" i="14"/>
  <c r="AY10" i="14"/>
  <c r="AZ10" i="14"/>
  <c r="BA10" i="14"/>
  <c r="BB10" i="14"/>
  <c r="BC10" i="14"/>
  <c r="BD10" i="14"/>
  <c r="BF10" i="14"/>
  <c r="BG10" i="14"/>
  <c r="BH10" i="14"/>
  <c r="BI10" i="14"/>
  <c r="BJ10" i="14"/>
  <c r="BK10" i="14"/>
  <c r="BL10" i="14"/>
  <c r="BM10" i="14"/>
  <c r="BN10" i="14"/>
  <c r="BO10" i="14"/>
  <c r="BP10" i="14"/>
  <c r="BQ10" i="14"/>
  <c r="BR10" i="14"/>
  <c r="BS10" i="14"/>
  <c r="BT10" i="14"/>
  <c r="BU10" i="14"/>
  <c r="BV10" i="14"/>
  <c r="BW10" i="14"/>
  <c r="BX10" i="14"/>
  <c r="BY10" i="14"/>
  <c r="BZ10" i="14"/>
  <c r="CA10" i="14"/>
  <c r="CB10" i="14"/>
  <c r="CC10" i="14"/>
  <c r="CE10" i="14"/>
  <c r="CF10" i="14"/>
  <c r="CG10" i="14"/>
  <c r="CH10" i="14"/>
  <c r="CI10" i="14"/>
  <c r="CJ10" i="14"/>
  <c r="CK10" i="14"/>
  <c r="CL10" i="14"/>
  <c r="CM10" i="14"/>
  <c r="CN10" i="14"/>
  <c r="CO10" i="14"/>
  <c r="CP10" i="14"/>
  <c r="CQ10" i="14"/>
  <c r="CR10" i="14"/>
  <c r="CS10" i="14"/>
  <c r="CT10" i="14"/>
  <c r="CU10" i="14"/>
  <c r="CV10" i="14"/>
  <c r="CW10" i="14"/>
  <c r="CX10" i="14"/>
  <c r="CY10" i="14"/>
  <c r="CZ10" i="14"/>
  <c r="DA10" i="14"/>
  <c r="DB10" i="14"/>
  <c r="DH10" i="14"/>
  <c r="DI10" i="14"/>
  <c r="DJ10" i="14"/>
  <c r="H11" i="14"/>
  <c r="I11" i="14"/>
  <c r="J11" i="14"/>
  <c r="K11" i="14"/>
  <c r="L11" i="14"/>
  <c r="M11" i="14"/>
  <c r="N11" i="14"/>
  <c r="O11" i="14"/>
  <c r="P11" i="14"/>
  <c r="Q11" i="14"/>
  <c r="R11" i="14"/>
  <c r="S11" i="14"/>
  <c r="T11" i="14"/>
  <c r="U11" i="14"/>
  <c r="V11" i="14"/>
  <c r="W11" i="14"/>
  <c r="X11" i="14"/>
  <c r="Y11" i="14"/>
  <c r="Z11" i="14"/>
  <c r="AA11" i="14"/>
  <c r="AB11" i="14"/>
  <c r="AC11" i="14"/>
  <c r="AD11" i="14"/>
  <c r="AE11" i="14"/>
  <c r="AG11" i="14"/>
  <c r="AH11" i="14"/>
  <c r="AI11" i="14"/>
  <c r="AJ11" i="14"/>
  <c r="AK11" i="14"/>
  <c r="AL11" i="14"/>
  <c r="AM11" i="14"/>
  <c r="AN11" i="14"/>
  <c r="AO11" i="14"/>
  <c r="AP11" i="14"/>
  <c r="AQ11" i="14"/>
  <c r="AR11" i="14"/>
  <c r="AS11" i="14"/>
  <c r="AT11" i="14"/>
  <c r="AU11" i="14"/>
  <c r="AV11" i="14"/>
  <c r="AW11" i="14"/>
  <c r="AX11" i="14"/>
  <c r="AY11" i="14"/>
  <c r="AZ11" i="14"/>
  <c r="BA11" i="14"/>
  <c r="BB11" i="14"/>
  <c r="BC11" i="14"/>
  <c r="BD11" i="14"/>
  <c r="BF11" i="14"/>
  <c r="BG11" i="14"/>
  <c r="BH11" i="14"/>
  <c r="BI11" i="14"/>
  <c r="BJ11" i="14"/>
  <c r="BK11" i="14"/>
  <c r="BL11" i="14"/>
  <c r="BM11" i="14"/>
  <c r="BN11" i="14"/>
  <c r="BO11" i="14"/>
  <c r="BP11" i="14"/>
  <c r="BQ11" i="14"/>
  <c r="BR11" i="14"/>
  <c r="BS11" i="14"/>
  <c r="BT11" i="14"/>
  <c r="BU11" i="14"/>
  <c r="BV11" i="14"/>
  <c r="BW11" i="14"/>
  <c r="BX11" i="14"/>
  <c r="BY11" i="14"/>
  <c r="BZ11" i="14"/>
  <c r="CA11" i="14"/>
  <c r="CB11" i="14"/>
  <c r="CC11" i="14"/>
  <c r="CE11" i="14"/>
  <c r="CF11" i="14"/>
  <c r="CG11" i="14"/>
  <c r="CH11" i="14"/>
  <c r="CI11" i="14"/>
  <c r="CJ11" i="14"/>
  <c r="CK11" i="14"/>
  <c r="CL11" i="14"/>
  <c r="CM11" i="14"/>
  <c r="CN11" i="14"/>
  <c r="CO11" i="14"/>
  <c r="CP11" i="14"/>
  <c r="CQ11" i="14"/>
  <c r="CR11" i="14"/>
  <c r="CS11" i="14"/>
  <c r="CT11" i="14"/>
  <c r="CU11" i="14"/>
  <c r="CV11" i="14"/>
  <c r="CW11" i="14"/>
  <c r="CX11" i="14"/>
  <c r="CY11" i="14"/>
  <c r="CZ11" i="14"/>
  <c r="DA11" i="14"/>
  <c r="DB11" i="14"/>
  <c r="DH11" i="14"/>
  <c r="DI11" i="14"/>
  <c r="DJ11" i="14"/>
  <c r="H12" i="14"/>
  <c r="I12" i="14"/>
  <c r="J12" i="14"/>
  <c r="K12" i="14"/>
  <c r="L12" i="14"/>
  <c r="M12" i="14"/>
  <c r="N12" i="14"/>
  <c r="O12" i="14"/>
  <c r="P12" i="14"/>
  <c r="Q12" i="14"/>
  <c r="R12" i="14"/>
  <c r="S12" i="14"/>
  <c r="T12" i="14"/>
  <c r="U12" i="14"/>
  <c r="V12" i="14"/>
  <c r="W12" i="14"/>
  <c r="X12" i="14"/>
  <c r="Y12" i="14"/>
  <c r="Z12" i="14"/>
  <c r="AA12" i="14"/>
  <c r="AB12" i="14"/>
  <c r="AC12" i="14"/>
  <c r="AD12" i="14"/>
  <c r="AE12" i="14"/>
  <c r="AG12" i="14"/>
  <c r="AH12" i="14"/>
  <c r="AI12" i="14"/>
  <c r="AJ12" i="14"/>
  <c r="AK12" i="14"/>
  <c r="AL12" i="14"/>
  <c r="AM12" i="14"/>
  <c r="AN12" i="14"/>
  <c r="AO12" i="14"/>
  <c r="AP12" i="14"/>
  <c r="AQ12" i="14"/>
  <c r="AR12" i="14"/>
  <c r="AS12" i="14"/>
  <c r="AT12" i="14"/>
  <c r="AU12" i="14"/>
  <c r="AV12" i="14"/>
  <c r="AW12" i="14"/>
  <c r="AX12" i="14"/>
  <c r="AY12" i="14"/>
  <c r="AZ12" i="14"/>
  <c r="BA12" i="14"/>
  <c r="BB12" i="14"/>
  <c r="BC12" i="14"/>
  <c r="BD12" i="14"/>
  <c r="BF12" i="14"/>
  <c r="BG12" i="14"/>
  <c r="BH12" i="14"/>
  <c r="BI12" i="14"/>
  <c r="BJ12" i="14"/>
  <c r="BK12" i="14"/>
  <c r="BL12" i="14"/>
  <c r="BM12" i="14"/>
  <c r="BN12" i="14"/>
  <c r="BO12" i="14"/>
  <c r="BP12" i="14"/>
  <c r="BQ12" i="14"/>
  <c r="BR12" i="14"/>
  <c r="BS12" i="14"/>
  <c r="BT12" i="14"/>
  <c r="BU12" i="14"/>
  <c r="BV12" i="14"/>
  <c r="BW12" i="14"/>
  <c r="BX12" i="14"/>
  <c r="BY12" i="14"/>
  <c r="BZ12" i="14"/>
  <c r="CA12" i="14"/>
  <c r="CB12" i="14"/>
  <c r="CC12" i="14"/>
  <c r="CE12" i="14"/>
  <c r="CF12" i="14"/>
  <c r="CG12" i="14"/>
  <c r="CH12" i="14"/>
  <c r="CI12" i="14"/>
  <c r="CJ12" i="14"/>
  <c r="CK12" i="14"/>
  <c r="CL12" i="14"/>
  <c r="CM12" i="14"/>
  <c r="CN12" i="14"/>
  <c r="CO12" i="14"/>
  <c r="CP12" i="14"/>
  <c r="CQ12" i="14"/>
  <c r="CR12" i="14"/>
  <c r="CS12" i="14"/>
  <c r="CT12" i="14"/>
  <c r="CU12" i="14"/>
  <c r="CV12" i="14"/>
  <c r="CW12" i="14"/>
  <c r="CX12" i="14"/>
  <c r="CY12" i="14"/>
  <c r="CZ12" i="14"/>
  <c r="DA12" i="14"/>
  <c r="DB12" i="14"/>
  <c r="DH12" i="14"/>
  <c r="DI12" i="14"/>
  <c r="DJ12" i="14"/>
  <c r="H13" i="14"/>
  <c r="I13" i="14"/>
  <c r="J13" i="14"/>
  <c r="K13" i="14"/>
  <c r="L13" i="14"/>
  <c r="M13" i="14"/>
  <c r="N13" i="14"/>
  <c r="O13" i="14"/>
  <c r="P13" i="14"/>
  <c r="Q13" i="14"/>
  <c r="R13" i="14"/>
  <c r="S13" i="14"/>
  <c r="T13" i="14"/>
  <c r="U13" i="14"/>
  <c r="V13" i="14"/>
  <c r="W13" i="14"/>
  <c r="X13" i="14"/>
  <c r="Y13" i="14"/>
  <c r="Z13" i="14"/>
  <c r="AA13" i="14"/>
  <c r="AB13" i="14"/>
  <c r="AC13" i="14"/>
  <c r="AD13" i="14"/>
  <c r="AE13" i="14"/>
  <c r="AG13" i="14"/>
  <c r="AH13" i="14"/>
  <c r="AI13" i="14"/>
  <c r="AJ13" i="14"/>
  <c r="AK13" i="14"/>
  <c r="AL13" i="14"/>
  <c r="AM13" i="14"/>
  <c r="AN13" i="14"/>
  <c r="AO13" i="14"/>
  <c r="AP13" i="14"/>
  <c r="AQ13" i="14"/>
  <c r="AR13" i="14"/>
  <c r="AS13" i="14"/>
  <c r="AT13" i="14"/>
  <c r="AU13" i="14"/>
  <c r="AV13" i="14"/>
  <c r="AW13" i="14"/>
  <c r="AX13" i="14"/>
  <c r="AY13" i="14"/>
  <c r="AZ13" i="14"/>
  <c r="BA13" i="14"/>
  <c r="BB13" i="14"/>
  <c r="BC13" i="14"/>
  <c r="BD13" i="14"/>
  <c r="BF13" i="14"/>
  <c r="BG13" i="14"/>
  <c r="BH13" i="14"/>
  <c r="BI13" i="14"/>
  <c r="BJ13" i="14"/>
  <c r="BK13" i="14"/>
  <c r="BL13" i="14"/>
  <c r="BM13" i="14"/>
  <c r="BN13" i="14"/>
  <c r="BO13" i="14"/>
  <c r="BP13" i="14"/>
  <c r="BQ13" i="14"/>
  <c r="BR13" i="14"/>
  <c r="BS13" i="14"/>
  <c r="BT13" i="14"/>
  <c r="BU13" i="14"/>
  <c r="BV13" i="14"/>
  <c r="BW13" i="14"/>
  <c r="BX13" i="14"/>
  <c r="BY13" i="14"/>
  <c r="BZ13" i="14"/>
  <c r="CA13" i="14"/>
  <c r="CB13" i="14"/>
  <c r="CC13" i="14"/>
  <c r="CE13" i="14"/>
  <c r="CF13" i="14"/>
  <c r="CG13" i="14"/>
  <c r="CH13" i="14"/>
  <c r="CI13" i="14"/>
  <c r="CJ13" i="14"/>
  <c r="CK13" i="14"/>
  <c r="CL13" i="14"/>
  <c r="CM13" i="14"/>
  <c r="CN13" i="14"/>
  <c r="CO13" i="14"/>
  <c r="CP13" i="14"/>
  <c r="CQ13" i="14"/>
  <c r="CR13" i="14"/>
  <c r="CS13" i="14"/>
  <c r="CT13" i="14"/>
  <c r="CU13" i="14"/>
  <c r="CV13" i="14"/>
  <c r="CW13" i="14"/>
  <c r="CX13" i="14"/>
  <c r="CY13" i="14"/>
  <c r="CZ13" i="14"/>
  <c r="DA13" i="14"/>
  <c r="DB13" i="14"/>
  <c r="DH13" i="14"/>
  <c r="DI13" i="14"/>
  <c r="DJ13" i="14"/>
  <c r="H14" i="14"/>
  <c r="I14" i="14"/>
  <c r="J14" i="14"/>
  <c r="K14" i="14"/>
  <c r="L14" i="14"/>
  <c r="M14" i="14"/>
  <c r="N14" i="14"/>
  <c r="O14" i="14"/>
  <c r="P14" i="14"/>
  <c r="Q14" i="14"/>
  <c r="R14" i="14"/>
  <c r="S14" i="14"/>
  <c r="T14" i="14"/>
  <c r="U14" i="14"/>
  <c r="V14" i="14"/>
  <c r="W14" i="14"/>
  <c r="X14" i="14"/>
  <c r="Y14" i="14"/>
  <c r="Z14" i="14"/>
  <c r="AA14" i="14"/>
  <c r="AB14" i="14"/>
  <c r="AC14" i="14"/>
  <c r="AD14" i="14"/>
  <c r="AE14" i="14"/>
  <c r="AG14" i="14"/>
  <c r="AH14" i="14"/>
  <c r="AI14" i="14"/>
  <c r="AJ14" i="14"/>
  <c r="AK14" i="14"/>
  <c r="AL14" i="14"/>
  <c r="AM14" i="14"/>
  <c r="AN14" i="14"/>
  <c r="AO14" i="14"/>
  <c r="AP14" i="14"/>
  <c r="AQ14" i="14"/>
  <c r="AR14" i="14"/>
  <c r="AS14" i="14"/>
  <c r="AT14" i="14"/>
  <c r="AU14" i="14"/>
  <c r="AV14" i="14"/>
  <c r="AW14" i="14"/>
  <c r="AX14" i="14"/>
  <c r="AY14" i="14"/>
  <c r="AZ14" i="14"/>
  <c r="BA14" i="14"/>
  <c r="BB14" i="14"/>
  <c r="BC14" i="14"/>
  <c r="BD14" i="14"/>
  <c r="BF14" i="14"/>
  <c r="BG14" i="14"/>
  <c r="BH14" i="14"/>
  <c r="BI14" i="14"/>
  <c r="BJ14" i="14"/>
  <c r="BK14" i="14"/>
  <c r="BL14" i="14"/>
  <c r="BM14" i="14"/>
  <c r="BN14" i="14"/>
  <c r="BO14" i="14"/>
  <c r="BP14" i="14"/>
  <c r="BQ14" i="14"/>
  <c r="BR14" i="14"/>
  <c r="BS14" i="14"/>
  <c r="BT14" i="14"/>
  <c r="BU14" i="14"/>
  <c r="BV14" i="14"/>
  <c r="BW14" i="14"/>
  <c r="BX14" i="14"/>
  <c r="BY14" i="14"/>
  <c r="BZ14" i="14"/>
  <c r="CA14" i="14"/>
  <c r="CB14" i="14"/>
  <c r="CC14" i="14"/>
  <c r="CE14" i="14"/>
  <c r="CF14" i="14"/>
  <c r="CG14" i="14"/>
  <c r="CH14" i="14"/>
  <c r="CI14" i="14"/>
  <c r="CJ14" i="14"/>
  <c r="CK14" i="14"/>
  <c r="CL14" i="14"/>
  <c r="CM14" i="14"/>
  <c r="CN14" i="14"/>
  <c r="CO14" i="14"/>
  <c r="CP14" i="14"/>
  <c r="CQ14" i="14"/>
  <c r="CR14" i="14"/>
  <c r="CS14" i="14"/>
  <c r="CT14" i="14"/>
  <c r="CU14" i="14"/>
  <c r="CV14" i="14"/>
  <c r="CW14" i="14"/>
  <c r="CX14" i="14"/>
  <c r="CY14" i="14"/>
  <c r="CZ14" i="14"/>
  <c r="DA14" i="14"/>
  <c r="DB14" i="14"/>
  <c r="DH14" i="14"/>
  <c r="DI14" i="14"/>
  <c r="DJ14" i="14"/>
  <c r="H15" i="14"/>
  <c r="I15" i="14"/>
  <c r="J15" i="14"/>
  <c r="K15" i="14"/>
  <c r="L15" i="14"/>
  <c r="M15" i="14"/>
  <c r="N15" i="14"/>
  <c r="O15" i="14"/>
  <c r="P15" i="14"/>
  <c r="Q15" i="14"/>
  <c r="R15" i="14"/>
  <c r="S15" i="14"/>
  <c r="T15" i="14"/>
  <c r="U15" i="14"/>
  <c r="V15" i="14"/>
  <c r="W15" i="14"/>
  <c r="X15" i="14"/>
  <c r="Y15" i="14"/>
  <c r="Z15" i="14"/>
  <c r="AA15" i="14"/>
  <c r="AB15" i="14"/>
  <c r="AC15" i="14"/>
  <c r="AD15" i="14"/>
  <c r="AE15" i="14"/>
  <c r="AG15" i="14"/>
  <c r="AH15" i="14"/>
  <c r="AI15" i="14"/>
  <c r="AJ15" i="14"/>
  <c r="AK15" i="14"/>
  <c r="AL15" i="14"/>
  <c r="AM15" i="14"/>
  <c r="AN15" i="14"/>
  <c r="AO15" i="14"/>
  <c r="AP15" i="14"/>
  <c r="AQ15" i="14"/>
  <c r="AR15" i="14"/>
  <c r="AS15" i="14"/>
  <c r="AT15" i="14"/>
  <c r="AU15" i="14"/>
  <c r="AV15" i="14"/>
  <c r="AW15" i="14"/>
  <c r="AX15" i="14"/>
  <c r="AY15" i="14"/>
  <c r="AZ15" i="14"/>
  <c r="BA15" i="14"/>
  <c r="BB15" i="14"/>
  <c r="BC15" i="14"/>
  <c r="BD15" i="14"/>
  <c r="BF15" i="14"/>
  <c r="BG15" i="14"/>
  <c r="BH15" i="14"/>
  <c r="BI15" i="14"/>
  <c r="BJ15" i="14"/>
  <c r="BK15" i="14"/>
  <c r="BL15" i="14"/>
  <c r="BM15" i="14"/>
  <c r="BN15" i="14"/>
  <c r="BO15" i="14"/>
  <c r="BP15" i="14"/>
  <c r="BQ15" i="14"/>
  <c r="BR15" i="14"/>
  <c r="BS15" i="14"/>
  <c r="BT15" i="14"/>
  <c r="BU15" i="14"/>
  <c r="BV15" i="14"/>
  <c r="BW15" i="14"/>
  <c r="BX15" i="14"/>
  <c r="BY15" i="14"/>
  <c r="BZ15" i="14"/>
  <c r="CA15" i="14"/>
  <c r="CB15" i="14"/>
  <c r="CC15" i="14"/>
  <c r="CE15" i="14"/>
  <c r="CF15" i="14"/>
  <c r="CG15" i="14"/>
  <c r="CH15" i="14"/>
  <c r="CI15" i="14"/>
  <c r="CJ15" i="14"/>
  <c r="CK15" i="14"/>
  <c r="CL15" i="14"/>
  <c r="CM15" i="14"/>
  <c r="CN15" i="14"/>
  <c r="CO15" i="14"/>
  <c r="CP15" i="14"/>
  <c r="CQ15" i="14"/>
  <c r="CR15" i="14"/>
  <c r="CS15" i="14"/>
  <c r="CT15" i="14"/>
  <c r="CU15" i="14"/>
  <c r="CV15" i="14"/>
  <c r="CW15" i="14"/>
  <c r="CX15" i="14"/>
  <c r="CY15" i="14"/>
  <c r="CZ15" i="14"/>
  <c r="DA15" i="14"/>
  <c r="DB15" i="14"/>
  <c r="DH15" i="14"/>
  <c r="DI15" i="14"/>
  <c r="DJ15" i="14"/>
  <c r="H16" i="14"/>
  <c r="I16" i="14"/>
  <c r="J16" i="14"/>
  <c r="K16" i="14"/>
  <c r="L16" i="14"/>
  <c r="M16" i="14"/>
  <c r="N16" i="14"/>
  <c r="O16" i="14"/>
  <c r="P16" i="14"/>
  <c r="Q16" i="14"/>
  <c r="R16" i="14"/>
  <c r="S16" i="14"/>
  <c r="T16" i="14"/>
  <c r="U16" i="14"/>
  <c r="V16" i="14"/>
  <c r="W16" i="14"/>
  <c r="X16" i="14"/>
  <c r="Y16" i="14"/>
  <c r="Z16" i="14"/>
  <c r="AA16" i="14"/>
  <c r="AB16" i="14"/>
  <c r="AC16" i="14"/>
  <c r="AD16" i="14"/>
  <c r="AE16" i="14"/>
  <c r="AG16" i="14"/>
  <c r="AH16" i="14"/>
  <c r="AI16" i="14"/>
  <c r="AJ16" i="14"/>
  <c r="AK16" i="14"/>
  <c r="AL16" i="14"/>
  <c r="AM16" i="14"/>
  <c r="AN16" i="14"/>
  <c r="AO16" i="14"/>
  <c r="AP16" i="14"/>
  <c r="AQ16" i="14"/>
  <c r="AR16" i="14"/>
  <c r="AS16" i="14"/>
  <c r="AT16" i="14"/>
  <c r="AU16" i="14"/>
  <c r="AV16" i="14"/>
  <c r="AW16" i="14"/>
  <c r="AX16" i="14"/>
  <c r="AY16" i="14"/>
  <c r="AZ16" i="14"/>
  <c r="BA16" i="14"/>
  <c r="BB16" i="14"/>
  <c r="BC16" i="14"/>
  <c r="BD16" i="14"/>
  <c r="BF16" i="14"/>
  <c r="BG16" i="14"/>
  <c r="BH16" i="14"/>
  <c r="BI16" i="14"/>
  <c r="BJ16" i="14"/>
  <c r="BK16" i="14"/>
  <c r="BL16" i="14"/>
  <c r="BM16" i="14"/>
  <c r="BN16" i="14"/>
  <c r="BO16" i="14"/>
  <c r="BP16" i="14"/>
  <c r="BQ16" i="14"/>
  <c r="BR16" i="14"/>
  <c r="BS16" i="14"/>
  <c r="BT16" i="14"/>
  <c r="BU16" i="14"/>
  <c r="BV16" i="14"/>
  <c r="BW16" i="14"/>
  <c r="BX16" i="14"/>
  <c r="BY16" i="14"/>
  <c r="BZ16" i="14"/>
  <c r="CA16" i="14"/>
  <c r="CB16" i="14"/>
  <c r="CC16" i="14"/>
  <c r="CE16" i="14"/>
  <c r="CF16" i="14"/>
  <c r="CG16" i="14"/>
  <c r="CH16" i="14"/>
  <c r="CI16" i="14"/>
  <c r="CJ16" i="14"/>
  <c r="CK16" i="14"/>
  <c r="CL16" i="14"/>
  <c r="CM16" i="14"/>
  <c r="CN16" i="14"/>
  <c r="CO16" i="14"/>
  <c r="CP16" i="14"/>
  <c r="CQ16" i="14"/>
  <c r="CR16" i="14"/>
  <c r="CS16" i="14"/>
  <c r="CT16" i="14"/>
  <c r="CU16" i="14"/>
  <c r="CV16" i="14"/>
  <c r="CW16" i="14"/>
  <c r="CX16" i="14"/>
  <c r="CY16" i="14"/>
  <c r="CZ16" i="14"/>
  <c r="DA16" i="14"/>
  <c r="DB16" i="14"/>
  <c r="DH16" i="14"/>
  <c r="DI16" i="14"/>
  <c r="DJ16" i="14"/>
  <c r="H17" i="14"/>
  <c r="I17" i="14"/>
  <c r="J17" i="14"/>
  <c r="K17" i="14"/>
  <c r="L17" i="14"/>
  <c r="M17" i="14"/>
  <c r="N17" i="14"/>
  <c r="O17" i="14"/>
  <c r="P17" i="14"/>
  <c r="Q17" i="14"/>
  <c r="R17" i="14"/>
  <c r="S17" i="14"/>
  <c r="T17" i="14"/>
  <c r="U17" i="14"/>
  <c r="V17" i="14"/>
  <c r="W17" i="14"/>
  <c r="X17" i="14"/>
  <c r="Y17" i="14"/>
  <c r="Z17" i="14"/>
  <c r="AA17" i="14"/>
  <c r="AB17" i="14"/>
  <c r="AC17" i="14"/>
  <c r="AD17" i="14"/>
  <c r="AE17" i="14"/>
  <c r="AG17" i="14"/>
  <c r="AH17" i="14"/>
  <c r="AI17" i="14"/>
  <c r="AJ17" i="14"/>
  <c r="AK17" i="14"/>
  <c r="AL17" i="14"/>
  <c r="AM17" i="14"/>
  <c r="AN17" i="14"/>
  <c r="AO17" i="14"/>
  <c r="AP17" i="14"/>
  <c r="AQ17" i="14"/>
  <c r="AR17" i="14"/>
  <c r="AS17" i="14"/>
  <c r="AT17" i="14"/>
  <c r="AU17" i="14"/>
  <c r="AV17" i="14"/>
  <c r="AW17" i="14"/>
  <c r="AX17" i="14"/>
  <c r="AY17" i="14"/>
  <c r="AZ17" i="14"/>
  <c r="BA17" i="14"/>
  <c r="BB17" i="14"/>
  <c r="BC17" i="14"/>
  <c r="BD17" i="14"/>
  <c r="BF17" i="14"/>
  <c r="BG17" i="14"/>
  <c r="BH17" i="14"/>
  <c r="BI17" i="14"/>
  <c r="BJ17" i="14"/>
  <c r="BK17" i="14"/>
  <c r="BL17" i="14"/>
  <c r="BM17" i="14"/>
  <c r="BN17" i="14"/>
  <c r="BO17" i="14"/>
  <c r="BP17" i="14"/>
  <c r="BQ17" i="14"/>
  <c r="BR17" i="14"/>
  <c r="BS17" i="14"/>
  <c r="BT17" i="14"/>
  <c r="BU17" i="14"/>
  <c r="BV17" i="14"/>
  <c r="BW17" i="14"/>
  <c r="BX17" i="14"/>
  <c r="BY17" i="14"/>
  <c r="BZ17" i="14"/>
  <c r="CA17" i="14"/>
  <c r="CB17" i="14"/>
  <c r="CC17" i="14"/>
  <c r="CE17" i="14"/>
  <c r="CF17" i="14"/>
  <c r="CG17" i="14"/>
  <c r="CH17" i="14"/>
  <c r="CI17" i="14"/>
  <c r="CJ17" i="14"/>
  <c r="CK17" i="14"/>
  <c r="CL17" i="14"/>
  <c r="CM17" i="14"/>
  <c r="CN17" i="14"/>
  <c r="CO17" i="14"/>
  <c r="CP17" i="14"/>
  <c r="CQ17" i="14"/>
  <c r="CR17" i="14"/>
  <c r="CS17" i="14"/>
  <c r="CT17" i="14"/>
  <c r="CU17" i="14"/>
  <c r="CV17" i="14"/>
  <c r="CW17" i="14"/>
  <c r="CX17" i="14"/>
  <c r="CY17" i="14"/>
  <c r="CZ17" i="14"/>
  <c r="DA17" i="14"/>
  <c r="DB17" i="14"/>
  <c r="DH17" i="14"/>
  <c r="DI17" i="14"/>
  <c r="DJ17" i="14"/>
  <c r="H18" i="14"/>
  <c r="I18" i="14"/>
  <c r="J18" i="14"/>
  <c r="K18" i="14"/>
  <c r="L18" i="14"/>
  <c r="M18" i="14"/>
  <c r="N18" i="14"/>
  <c r="O18" i="14"/>
  <c r="P18" i="14"/>
  <c r="Q18" i="14"/>
  <c r="R18" i="14"/>
  <c r="S18" i="14"/>
  <c r="T18" i="14"/>
  <c r="U18" i="14"/>
  <c r="V18" i="14"/>
  <c r="W18" i="14"/>
  <c r="X18" i="14"/>
  <c r="Y18" i="14"/>
  <c r="Z18" i="14"/>
  <c r="AA18" i="14"/>
  <c r="AB18" i="14"/>
  <c r="AC18" i="14"/>
  <c r="AD18" i="14"/>
  <c r="AE18" i="14"/>
  <c r="AG18" i="14"/>
  <c r="AH18" i="14"/>
  <c r="AI18" i="14"/>
  <c r="AJ18" i="14"/>
  <c r="AK18" i="14"/>
  <c r="AL18" i="14"/>
  <c r="AM18" i="14"/>
  <c r="AN18" i="14"/>
  <c r="AO18" i="14"/>
  <c r="AP18" i="14"/>
  <c r="AQ18" i="14"/>
  <c r="AR18" i="14"/>
  <c r="AS18" i="14"/>
  <c r="AT18" i="14"/>
  <c r="AU18" i="14"/>
  <c r="AV18" i="14"/>
  <c r="AW18" i="14"/>
  <c r="AX18" i="14"/>
  <c r="AY18" i="14"/>
  <c r="AZ18" i="14"/>
  <c r="BA18" i="14"/>
  <c r="BB18" i="14"/>
  <c r="BC18" i="14"/>
  <c r="BD18" i="14"/>
  <c r="BF18" i="14"/>
  <c r="BG18" i="14"/>
  <c r="BH18" i="14"/>
  <c r="BI18" i="14"/>
  <c r="BJ18" i="14"/>
  <c r="BK18" i="14"/>
  <c r="BL18" i="14"/>
  <c r="BM18" i="14"/>
  <c r="BN18" i="14"/>
  <c r="BO18" i="14"/>
  <c r="BP18" i="14"/>
  <c r="BQ18" i="14"/>
  <c r="BR18" i="14"/>
  <c r="BS18" i="14"/>
  <c r="BT18" i="14"/>
  <c r="BU18" i="14"/>
  <c r="BV18" i="14"/>
  <c r="BW18" i="14"/>
  <c r="BX18" i="14"/>
  <c r="BY18" i="14"/>
  <c r="BZ18" i="14"/>
  <c r="CA18" i="14"/>
  <c r="CB18" i="14"/>
  <c r="CC18" i="14"/>
  <c r="CE18" i="14"/>
  <c r="CF18" i="14"/>
  <c r="CG18" i="14"/>
  <c r="CH18" i="14"/>
  <c r="CI18" i="14"/>
  <c r="CJ18" i="14"/>
  <c r="CK18" i="14"/>
  <c r="CL18" i="14"/>
  <c r="CM18" i="14"/>
  <c r="CN18" i="14"/>
  <c r="CO18" i="14"/>
  <c r="CP18" i="14"/>
  <c r="CQ18" i="14"/>
  <c r="CR18" i="14"/>
  <c r="CS18" i="14"/>
  <c r="CT18" i="14"/>
  <c r="CU18" i="14"/>
  <c r="CV18" i="14"/>
  <c r="CW18" i="14"/>
  <c r="CX18" i="14"/>
  <c r="CY18" i="14"/>
  <c r="CZ18" i="14"/>
  <c r="DA18" i="14"/>
  <c r="DB18" i="14"/>
  <c r="DH18" i="14"/>
  <c r="DI18" i="14"/>
  <c r="DJ18" i="14"/>
  <c r="H19" i="14"/>
  <c r="I19" i="14"/>
  <c r="J19" i="14"/>
  <c r="K19" i="14"/>
  <c r="L19" i="14"/>
  <c r="M19" i="14"/>
  <c r="N19" i="14"/>
  <c r="O19" i="14"/>
  <c r="P19" i="14"/>
  <c r="Q19" i="14"/>
  <c r="R19" i="14"/>
  <c r="S19" i="14"/>
  <c r="T19" i="14"/>
  <c r="U19" i="14"/>
  <c r="V19" i="14"/>
  <c r="W19" i="14"/>
  <c r="X19" i="14"/>
  <c r="Y19" i="14"/>
  <c r="Z19" i="14"/>
  <c r="AA19" i="14"/>
  <c r="AB19" i="14"/>
  <c r="AC19" i="14"/>
  <c r="AD19" i="14"/>
  <c r="AE19" i="14"/>
  <c r="AG19" i="14"/>
  <c r="AH19" i="14"/>
  <c r="AI19" i="14"/>
  <c r="AJ19" i="14"/>
  <c r="AK19" i="14"/>
  <c r="AL19" i="14"/>
  <c r="AM19" i="14"/>
  <c r="AN19" i="14"/>
  <c r="AO19" i="14"/>
  <c r="AP19" i="14"/>
  <c r="AQ19" i="14"/>
  <c r="AR19" i="14"/>
  <c r="AS19" i="14"/>
  <c r="AT19" i="14"/>
  <c r="AU19" i="14"/>
  <c r="AV19" i="14"/>
  <c r="AW19" i="14"/>
  <c r="AX19" i="14"/>
  <c r="AY19" i="14"/>
  <c r="AZ19" i="14"/>
  <c r="BA19" i="14"/>
  <c r="BB19" i="14"/>
  <c r="BC19" i="14"/>
  <c r="BD19" i="14"/>
  <c r="BF19" i="14"/>
  <c r="BG19" i="14"/>
  <c r="BH19" i="14"/>
  <c r="BI19" i="14"/>
  <c r="BJ19" i="14"/>
  <c r="BK19" i="14"/>
  <c r="BL19" i="14"/>
  <c r="BM19" i="14"/>
  <c r="BN19" i="14"/>
  <c r="BO19" i="14"/>
  <c r="BP19" i="14"/>
  <c r="BQ19" i="14"/>
  <c r="BR19" i="14"/>
  <c r="BS19" i="14"/>
  <c r="BT19" i="14"/>
  <c r="BU19" i="14"/>
  <c r="BV19" i="14"/>
  <c r="BW19" i="14"/>
  <c r="BX19" i="14"/>
  <c r="BY19" i="14"/>
  <c r="BZ19" i="14"/>
  <c r="CA19" i="14"/>
  <c r="CB19" i="14"/>
  <c r="CC19" i="14"/>
  <c r="CE19" i="14"/>
  <c r="CF19" i="14"/>
  <c r="CG19" i="14"/>
  <c r="CH19" i="14"/>
  <c r="CI19" i="14"/>
  <c r="CJ19" i="14"/>
  <c r="CK19" i="14"/>
  <c r="CL19" i="14"/>
  <c r="CM19" i="14"/>
  <c r="CN19" i="14"/>
  <c r="CO19" i="14"/>
  <c r="CP19" i="14"/>
  <c r="CQ19" i="14"/>
  <c r="CR19" i="14"/>
  <c r="CS19" i="14"/>
  <c r="CT19" i="14"/>
  <c r="CU19" i="14"/>
  <c r="CV19" i="14"/>
  <c r="CW19" i="14"/>
  <c r="CX19" i="14"/>
  <c r="CY19" i="14"/>
  <c r="CZ19" i="14"/>
  <c r="DA19" i="14"/>
  <c r="DB19" i="14"/>
  <c r="DH19" i="14"/>
  <c r="DI19" i="14"/>
  <c r="DJ19" i="14"/>
  <c r="H20" i="14"/>
  <c r="I20" i="14"/>
  <c r="J20" i="14"/>
  <c r="K20" i="14"/>
  <c r="L20" i="14"/>
  <c r="M20" i="14"/>
  <c r="N20" i="14"/>
  <c r="O20" i="14"/>
  <c r="P20" i="14"/>
  <c r="Q20" i="14"/>
  <c r="R20" i="14"/>
  <c r="S20" i="14"/>
  <c r="T20" i="14"/>
  <c r="U20" i="14"/>
  <c r="V20" i="14"/>
  <c r="W20" i="14"/>
  <c r="X20" i="14"/>
  <c r="Y20" i="14"/>
  <c r="Z20" i="14"/>
  <c r="AA20" i="14"/>
  <c r="AB20" i="14"/>
  <c r="AC20" i="14"/>
  <c r="AD20" i="14"/>
  <c r="AE20" i="14"/>
  <c r="AG20" i="14"/>
  <c r="AH20" i="14"/>
  <c r="AI20" i="14"/>
  <c r="AJ20" i="14"/>
  <c r="AK20" i="14"/>
  <c r="AL20" i="14"/>
  <c r="AM20" i="14"/>
  <c r="AN20" i="14"/>
  <c r="AO20" i="14"/>
  <c r="AP20" i="14"/>
  <c r="AQ20" i="14"/>
  <c r="AR20" i="14"/>
  <c r="AS20" i="14"/>
  <c r="AT20" i="14"/>
  <c r="AU20" i="14"/>
  <c r="AV20" i="14"/>
  <c r="AW20" i="14"/>
  <c r="AX20" i="14"/>
  <c r="AY20" i="14"/>
  <c r="AZ20" i="14"/>
  <c r="BA20" i="14"/>
  <c r="BB20" i="14"/>
  <c r="BC20" i="14"/>
  <c r="BD20" i="14"/>
  <c r="BF20" i="14"/>
  <c r="BG20" i="14"/>
  <c r="BH20" i="14"/>
  <c r="BI20" i="14"/>
  <c r="BJ20" i="14"/>
  <c r="BK20" i="14"/>
  <c r="BL20" i="14"/>
  <c r="BM20" i="14"/>
  <c r="BN20" i="14"/>
  <c r="BO20" i="14"/>
  <c r="BP20" i="14"/>
  <c r="BQ20" i="14"/>
  <c r="BR20" i="14"/>
  <c r="BS20" i="14"/>
  <c r="BT20" i="14"/>
  <c r="BU20" i="14"/>
  <c r="BV20" i="14"/>
  <c r="BW20" i="14"/>
  <c r="BX20" i="14"/>
  <c r="BY20" i="14"/>
  <c r="BZ20" i="14"/>
  <c r="CA20" i="14"/>
  <c r="CB20" i="14"/>
  <c r="CC20" i="14"/>
  <c r="CE20" i="14"/>
  <c r="CF20" i="14"/>
  <c r="CG20" i="14"/>
  <c r="CH20" i="14"/>
  <c r="CI20" i="14"/>
  <c r="CJ20" i="14"/>
  <c r="CK20" i="14"/>
  <c r="CL20" i="14"/>
  <c r="CM20" i="14"/>
  <c r="CN20" i="14"/>
  <c r="CO20" i="14"/>
  <c r="CP20" i="14"/>
  <c r="CQ20" i="14"/>
  <c r="CR20" i="14"/>
  <c r="CS20" i="14"/>
  <c r="CT20" i="14"/>
  <c r="CU20" i="14"/>
  <c r="CV20" i="14"/>
  <c r="CW20" i="14"/>
  <c r="CX20" i="14"/>
  <c r="CY20" i="14"/>
  <c r="CZ20" i="14"/>
  <c r="DA20" i="14"/>
  <c r="DB20" i="14"/>
  <c r="DH20" i="14"/>
  <c r="DI20" i="14"/>
  <c r="DJ20" i="14"/>
  <c r="H21" i="14"/>
  <c r="I21" i="14"/>
  <c r="J21" i="14"/>
  <c r="K21" i="14"/>
  <c r="L21" i="14"/>
  <c r="M21" i="14"/>
  <c r="N21" i="14"/>
  <c r="O21" i="14"/>
  <c r="P21" i="14"/>
  <c r="Q21" i="14"/>
  <c r="R21" i="14"/>
  <c r="S21" i="14"/>
  <c r="T21" i="14"/>
  <c r="U21" i="14"/>
  <c r="V21" i="14"/>
  <c r="W21" i="14"/>
  <c r="X21" i="14"/>
  <c r="Y21" i="14"/>
  <c r="Z21" i="14"/>
  <c r="AA21" i="14"/>
  <c r="AB21" i="14"/>
  <c r="AC21" i="14"/>
  <c r="AD21" i="14"/>
  <c r="AE21" i="14"/>
  <c r="AG21" i="14"/>
  <c r="AH21" i="14"/>
  <c r="AI21" i="14"/>
  <c r="AJ21" i="14"/>
  <c r="AK21" i="14"/>
  <c r="AL21" i="14"/>
  <c r="AM21" i="14"/>
  <c r="AN21" i="14"/>
  <c r="AO21" i="14"/>
  <c r="AP21" i="14"/>
  <c r="AQ21" i="14"/>
  <c r="AR21" i="14"/>
  <c r="AS21" i="14"/>
  <c r="AT21" i="14"/>
  <c r="AU21" i="14"/>
  <c r="AV21" i="14"/>
  <c r="AW21" i="14"/>
  <c r="AX21" i="14"/>
  <c r="AY21" i="14"/>
  <c r="AZ21" i="14"/>
  <c r="BA21" i="14"/>
  <c r="BB21" i="14"/>
  <c r="BC21" i="14"/>
  <c r="BD21" i="14"/>
  <c r="BF21" i="14"/>
  <c r="BG21" i="14"/>
  <c r="BH21" i="14"/>
  <c r="BI21" i="14"/>
  <c r="BJ21" i="14"/>
  <c r="BK21" i="14"/>
  <c r="BL21" i="14"/>
  <c r="BM21" i="14"/>
  <c r="BN21" i="14"/>
  <c r="BO21" i="14"/>
  <c r="BP21" i="14"/>
  <c r="BQ21" i="14"/>
  <c r="BR21" i="14"/>
  <c r="BS21" i="14"/>
  <c r="BT21" i="14"/>
  <c r="BU21" i="14"/>
  <c r="BV21" i="14"/>
  <c r="BW21" i="14"/>
  <c r="BX21" i="14"/>
  <c r="BY21" i="14"/>
  <c r="BZ21" i="14"/>
  <c r="CA21" i="14"/>
  <c r="CB21" i="14"/>
  <c r="CC21" i="14"/>
  <c r="CE21" i="14"/>
  <c r="CF21" i="14"/>
  <c r="CG21" i="14"/>
  <c r="CH21" i="14"/>
  <c r="CI21" i="14"/>
  <c r="CJ21" i="14"/>
  <c r="CK21" i="14"/>
  <c r="CL21" i="14"/>
  <c r="CM21" i="14"/>
  <c r="CN21" i="14"/>
  <c r="CO21" i="14"/>
  <c r="CP21" i="14"/>
  <c r="CQ21" i="14"/>
  <c r="CR21" i="14"/>
  <c r="CS21" i="14"/>
  <c r="CT21" i="14"/>
  <c r="CU21" i="14"/>
  <c r="CV21" i="14"/>
  <c r="CW21" i="14"/>
  <c r="CX21" i="14"/>
  <c r="CY21" i="14"/>
  <c r="CZ21" i="14"/>
  <c r="DA21" i="14"/>
  <c r="DB21" i="14"/>
  <c r="DH21" i="14"/>
  <c r="DI21" i="14"/>
  <c r="DJ21" i="14"/>
  <c r="H22" i="14"/>
  <c r="I22" i="14"/>
  <c r="J22" i="14"/>
  <c r="K22" i="14"/>
  <c r="L22" i="14"/>
  <c r="M22" i="14"/>
  <c r="N22" i="14"/>
  <c r="O22" i="14"/>
  <c r="P22" i="14"/>
  <c r="Q22" i="14"/>
  <c r="R22" i="14"/>
  <c r="S22" i="14"/>
  <c r="T22" i="14"/>
  <c r="U22" i="14"/>
  <c r="V22" i="14"/>
  <c r="W22" i="14"/>
  <c r="X22" i="14"/>
  <c r="Y22" i="14"/>
  <c r="Z22" i="14"/>
  <c r="AA22" i="14"/>
  <c r="AB22" i="14"/>
  <c r="AC22" i="14"/>
  <c r="AD22" i="14"/>
  <c r="AE22" i="14"/>
  <c r="AG22" i="14"/>
  <c r="AH22" i="14"/>
  <c r="AI22" i="14"/>
  <c r="AJ22" i="14"/>
  <c r="AK22" i="14"/>
  <c r="AL22" i="14"/>
  <c r="AM22" i="14"/>
  <c r="AN22" i="14"/>
  <c r="AO22" i="14"/>
  <c r="AP22" i="14"/>
  <c r="AQ22" i="14"/>
  <c r="AR22" i="14"/>
  <c r="AS22" i="14"/>
  <c r="AT22" i="14"/>
  <c r="AU22" i="14"/>
  <c r="AV22" i="14"/>
  <c r="AW22" i="14"/>
  <c r="AX22" i="14"/>
  <c r="AY22" i="14"/>
  <c r="AZ22" i="14"/>
  <c r="BA22" i="14"/>
  <c r="BB22" i="14"/>
  <c r="BC22" i="14"/>
  <c r="BD22" i="14"/>
  <c r="BF22" i="14"/>
  <c r="BG22" i="14"/>
  <c r="BH22" i="14"/>
  <c r="BI22" i="14"/>
  <c r="BJ22" i="14"/>
  <c r="BK22" i="14"/>
  <c r="BL22" i="14"/>
  <c r="BM22" i="14"/>
  <c r="BN22" i="14"/>
  <c r="BO22" i="14"/>
  <c r="BP22" i="14"/>
  <c r="BQ22" i="14"/>
  <c r="BR22" i="14"/>
  <c r="BS22" i="14"/>
  <c r="BT22" i="14"/>
  <c r="BU22" i="14"/>
  <c r="BV22" i="14"/>
  <c r="BW22" i="14"/>
  <c r="BX22" i="14"/>
  <c r="BY22" i="14"/>
  <c r="BZ22" i="14"/>
  <c r="CA22" i="14"/>
  <c r="CB22" i="14"/>
  <c r="CC22" i="14"/>
  <c r="CE22" i="14"/>
  <c r="CF22" i="14"/>
  <c r="CG22" i="14"/>
  <c r="CH22" i="14"/>
  <c r="CI22" i="14"/>
  <c r="CJ22" i="14"/>
  <c r="CK22" i="14"/>
  <c r="CL22" i="14"/>
  <c r="CM22" i="14"/>
  <c r="CN22" i="14"/>
  <c r="CO22" i="14"/>
  <c r="CP22" i="14"/>
  <c r="CQ22" i="14"/>
  <c r="CR22" i="14"/>
  <c r="CS22" i="14"/>
  <c r="CT22" i="14"/>
  <c r="CU22" i="14"/>
  <c r="CV22" i="14"/>
  <c r="CW22" i="14"/>
  <c r="CX22" i="14"/>
  <c r="CY22" i="14"/>
  <c r="CZ22" i="14"/>
  <c r="DA22" i="14"/>
  <c r="DB22" i="14"/>
  <c r="DH22" i="14"/>
  <c r="DI22" i="14"/>
  <c r="DJ22" i="14"/>
  <c r="H23" i="14"/>
  <c r="I23" i="14"/>
  <c r="J23" i="14"/>
  <c r="K23" i="14"/>
  <c r="L23" i="14"/>
  <c r="M23" i="14"/>
  <c r="N23" i="14"/>
  <c r="O23" i="14"/>
  <c r="P23" i="14"/>
  <c r="Q23" i="14"/>
  <c r="R23" i="14"/>
  <c r="S23" i="14"/>
  <c r="T23" i="14"/>
  <c r="U23" i="14"/>
  <c r="V23" i="14"/>
  <c r="W23" i="14"/>
  <c r="X23" i="14"/>
  <c r="Y23" i="14"/>
  <c r="Z23" i="14"/>
  <c r="AA23" i="14"/>
  <c r="AB23" i="14"/>
  <c r="AC23" i="14"/>
  <c r="AD23" i="14"/>
  <c r="AE23" i="14"/>
  <c r="AG23" i="14"/>
  <c r="AH23" i="14"/>
  <c r="AI23" i="14"/>
  <c r="AJ23" i="14"/>
  <c r="AK23" i="14"/>
  <c r="AL23" i="14"/>
  <c r="AM23" i="14"/>
  <c r="AN23" i="14"/>
  <c r="AO23" i="14"/>
  <c r="AP23" i="14"/>
  <c r="AQ23" i="14"/>
  <c r="AR23" i="14"/>
  <c r="AS23" i="14"/>
  <c r="AT23" i="14"/>
  <c r="AU23" i="14"/>
  <c r="AV23" i="14"/>
  <c r="AW23" i="14"/>
  <c r="AX23" i="14"/>
  <c r="AY23" i="14"/>
  <c r="AZ23" i="14"/>
  <c r="BA23" i="14"/>
  <c r="BB23" i="14"/>
  <c r="BC23" i="14"/>
  <c r="BD23" i="14"/>
  <c r="BF23" i="14"/>
  <c r="BG23" i="14"/>
  <c r="BH23" i="14"/>
  <c r="BI23" i="14"/>
  <c r="BJ23" i="14"/>
  <c r="BK23" i="14"/>
  <c r="BL23" i="14"/>
  <c r="BM23" i="14"/>
  <c r="BN23" i="14"/>
  <c r="BO23" i="14"/>
  <c r="BP23" i="14"/>
  <c r="BQ23" i="14"/>
  <c r="BR23" i="14"/>
  <c r="BS23" i="14"/>
  <c r="BT23" i="14"/>
  <c r="BU23" i="14"/>
  <c r="BV23" i="14"/>
  <c r="BW23" i="14"/>
  <c r="BX23" i="14"/>
  <c r="BY23" i="14"/>
  <c r="BZ23" i="14"/>
  <c r="CA23" i="14"/>
  <c r="CB23" i="14"/>
  <c r="CC23" i="14"/>
  <c r="CE23" i="14"/>
  <c r="CF23" i="14"/>
  <c r="CG23" i="14"/>
  <c r="CH23" i="14"/>
  <c r="CI23" i="14"/>
  <c r="CJ23" i="14"/>
  <c r="CK23" i="14"/>
  <c r="CL23" i="14"/>
  <c r="CM23" i="14"/>
  <c r="CN23" i="14"/>
  <c r="CO23" i="14"/>
  <c r="CP23" i="14"/>
  <c r="CQ23" i="14"/>
  <c r="CR23" i="14"/>
  <c r="CS23" i="14"/>
  <c r="CT23" i="14"/>
  <c r="CU23" i="14"/>
  <c r="CV23" i="14"/>
  <c r="CW23" i="14"/>
  <c r="CX23" i="14"/>
  <c r="CY23" i="14"/>
  <c r="CZ23" i="14"/>
  <c r="DA23" i="14"/>
  <c r="DB23" i="14"/>
  <c r="DH23" i="14"/>
  <c r="DI23" i="14"/>
  <c r="DJ23" i="14"/>
  <c r="H24" i="14"/>
  <c r="I24" i="14"/>
  <c r="J24" i="14"/>
  <c r="K24" i="14"/>
  <c r="L24" i="14"/>
  <c r="M24" i="14"/>
  <c r="N24" i="14"/>
  <c r="O24" i="14"/>
  <c r="P24" i="14"/>
  <c r="Q24" i="14"/>
  <c r="R24" i="14"/>
  <c r="S24" i="14"/>
  <c r="T24" i="14"/>
  <c r="U24" i="14"/>
  <c r="V24" i="14"/>
  <c r="W24" i="14"/>
  <c r="X24" i="14"/>
  <c r="Y24" i="14"/>
  <c r="Z24" i="14"/>
  <c r="AA24" i="14"/>
  <c r="AB24" i="14"/>
  <c r="AC24" i="14"/>
  <c r="AD24" i="14"/>
  <c r="AE24" i="14"/>
  <c r="AG24" i="14"/>
  <c r="AH24" i="14"/>
  <c r="AI24" i="14"/>
  <c r="AJ24" i="14"/>
  <c r="AK24" i="14"/>
  <c r="AL24" i="14"/>
  <c r="AM24" i="14"/>
  <c r="AN24" i="14"/>
  <c r="AO24" i="14"/>
  <c r="AP24" i="14"/>
  <c r="AQ24" i="14"/>
  <c r="AR24" i="14"/>
  <c r="AS24" i="14"/>
  <c r="AT24" i="14"/>
  <c r="AU24" i="14"/>
  <c r="AV24" i="14"/>
  <c r="AW24" i="14"/>
  <c r="AX24" i="14"/>
  <c r="AY24" i="14"/>
  <c r="AZ24" i="14"/>
  <c r="BA24" i="14"/>
  <c r="BB24" i="14"/>
  <c r="BC24" i="14"/>
  <c r="BD24" i="14"/>
  <c r="BF24" i="14"/>
  <c r="BG24" i="14"/>
  <c r="BH24" i="14"/>
  <c r="BI24" i="14"/>
  <c r="BJ24" i="14"/>
  <c r="BK24" i="14"/>
  <c r="BL24" i="14"/>
  <c r="BM24" i="14"/>
  <c r="BN24" i="14"/>
  <c r="BO24" i="14"/>
  <c r="BP24" i="14"/>
  <c r="BQ24" i="14"/>
  <c r="BR24" i="14"/>
  <c r="BS24" i="14"/>
  <c r="BT24" i="14"/>
  <c r="BU24" i="14"/>
  <c r="BV24" i="14"/>
  <c r="BW24" i="14"/>
  <c r="BX24" i="14"/>
  <c r="BY24" i="14"/>
  <c r="BZ24" i="14"/>
  <c r="CA24" i="14"/>
  <c r="CB24" i="14"/>
  <c r="CC24" i="14"/>
  <c r="CE24" i="14"/>
  <c r="CF24" i="14"/>
  <c r="CG24" i="14"/>
  <c r="CH24" i="14"/>
  <c r="CI24" i="14"/>
  <c r="CJ24" i="14"/>
  <c r="CK24" i="14"/>
  <c r="CL24" i="14"/>
  <c r="CM24" i="14"/>
  <c r="CN24" i="14"/>
  <c r="CO24" i="14"/>
  <c r="CP24" i="14"/>
  <c r="CQ24" i="14"/>
  <c r="CR24" i="14"/>
  <c r="CS24" i="14"/>
  <c r="CT24" i="14"/>
  <c r="CU24" i="14"/>
  <c r="CV24" i="14"/>
  <c r="CW24" i="14"/>
  <c r="CX24" i="14"/>
  <c r="CY24" i="14"/>
  <c r="CZ24" i="14"/>
  <c r="DA24" i="14"/>
  <c r="DB24" i="14"/>
  <c r="DH24" i="14"/>
  <c r="DI24" i="14"/>
  <c r="DJ24" i="14"/>
  <c r="H25" i="14"/>
  <c r="I25" i="14"/>
  <c r="J25" i="14"/>
  <c r="K25" i="14"/>
  <c r="L25" i="14"/>
  <c r="M25" i="14"/>
  <c r="N25" i="14"/>
  <c r="O25" i="14"/>
  <c r="P25" i="14"/>
  <c r="Q25" i="14"/>
  <c r="R25" i="14"/>
  <c r="S25" i="14"/>
  <c r="T25" i="14"/>
  <c r="U25" i="14"/>
  <c r="V25" i="14"/>
  <c r="W25" i="14"/>
  <c r="X25" i="14"/>
  <c r="Y25" i="14"/>
  <c r="Z25" i="14"/>
  <c r="AA25" i="14"/>
  <c r="AB25" i="14"/>
  <c r="AC25" i="14"/>
  <c r="AD25" i="14"/>
  <c r="AE25" i="14"/>
  <c r="AG25" i="14"/>
  <c r="AH25" i="14"/>
  <c r="AI25" i="14"/>
  <c r="AJ25" i="14"/>
  <c r="AK25" i="14"/>
  <c r="AL25" i="14"/>
  <c r="AM25" i="14"/>
  <c r="AN25" i="14"/>
  <c r="AO25" i="14"/>
  <c r="AP25" i="14"/>
  <c r="AQ25" i="14"/>
  <c r="AR25" i="14"/>
  <c r="AS25" i="14"/>
  <c r="AT25" i="14"/>
  <c r="AU25" i="14"/>
  <c r="AV25" i="14"/>
  <c r="AW25" i="14"/>
  <c r="AX25" i="14"/>
  <c r="AY25" i="14"/>
  <c r="AZ25" i="14"/>
  <c r="BA25" i="14"/>
  <c r="BB25" i="14"/>
  <c r="BC25" i="14"/>
  <c r="BD25" i="14"/>
  <c r="BF25" i="14"/>
  <c r="BG25" i="14"/>
  <c r="BH25" i="14"/>
  <c r="BI25" i="14"/>
  <c r="BJ25" i="14"/>
  <c r="BK25" i="14"/>
  <c r="BL25" i="14"/>
  <c r="BM25" i="14"/>
  <c r="BN25" i="14"/>
  <c r="BO25" i="14"/>
  <c r="BP25" i="14"/>
  <c r="BQ25" i="14"/>
  <c r="BR25" i="14"/>
  <c r="BS25" i="14"/>
  <c r="BT25" i="14"/>
  <c r="BU25" i="14"/>
  <c r="BV25" i="14"/>
  <c r="BW25" i="14"/>
  <c r="BX25" i="14"/>
  <c r="BY25" i="14"/>
  <c r="BZ25" i="14"/>
  <c r="CA25" i="14"/>
  <c r="CB25" i="14"/>
  <c r="CC25" i="14"/>
  <c r="CE25" i="14"/>
  <c r="CF25" i="14"/>
  <c r="CG25" i="14"/>
  <c r="CH25" i="14"/>
  <c r="CI25" i="14"/>
  <c r="CJ25" i="14"/>
  <c r="CK25" i="14"/>
  <c r="CL25" i="14"/>
  <c r="CM25" i="14"/>
  <c r="CN25" i="14"/>
  <c r="CO25" i="14"/>
  <c r="CP25" i="14"/>
  <c r="CQ25" i="14"/>
  <c r="CR25" i="14"/>
  <c r="CS25" i="14"/>
  <c r="CT25" i="14"/>
  <c r="CU25" i="14"/>
  <c r="CV25" i="14"/>
  <c r="CW25" i="14"/>
  <c r="CX25" i="14"/>
  <c r="CY25" i="14"/>
  <c r="CZ25" i="14"/>
  <c r="DA25" i="14"/>
  <c r="DB25" i="14"/>
  <c r="DH25" i="14"/>
  <c r="DI25" i="14"/>
  <c r="DJ25" i="14"/>
  <c r="H26" i="14"/>
  <c r="I26" i="14"/>
  <c r="J26" i="14"/>
  <c r="K26" i="14"/>
  <c r="L26" i="14"/>
  <c r="M26" i="14"/>
  <c r="N26" i="14"/>
  <c r="O26" i="14"/>
  <c r="P26" i="14"/>
  <c r="Q26" i="14"/>
  <c r="R26" i="14"/>
  <c r="S26" i="14"/>
  <c r="T26" i="14"/>
  <c r="U26" i="14"/>
  <c r="V26" i="14"/>
  <c r="W26" i="14"/>
  <c r="X26" i="14"/>
  <c r="Y26" i="14"/>
  <c r="Z26" i="14"/>
  <c r="AA26" i="14"/>
  <c r="AB26" i="14"/>
  <c r="AC26" i="14"/>
  <c r="AD26" i="14"/>
  <c r="AE26" i="14"/>
  <c r="AG26" i="14"/>
  <c r="AH26" i="14"/>
  <c r="AI26" i="14"/>
  <c r="AJ26" i="14"/>
  <c r="AK26" i="14"/>
  <c r="AL26" i="14"/>
  <c r="AM26" i="14"/>
  <c r="AN26" i="14"/>
  <c r="AO26" i="14"/>
  <c r="AP26" i="14"/>
  <c r="AQ26" i="14"/>
  <c r="AR26" i="14"/>
  <c r="AS26" i="14"/>
  <c r="AT26" i="14"/>
  <c r="AU26" i="14"/>
  <c r="AV26" i="14"/>
  <c r="AW26" i="14"/>
  <c r="AX26" i="14"/>
  <c r="AY26" i="14"/>
  <c r="AZ26" i="14"/>
  <c r="BA26" i="14"/>
  <c r="BB26" i="14"/>
  <c r="BC26" i="14"/>
  <c r="BD26" i="14"/>
  <c r="BF26" i="14"/>
  <c r="BG26" i="14"/>
  <c r="BH26" i="14"/>
  <c r="BI26" i="14"/>
  <c r="BJ26" i="14"/>
  <c r="BK26" i="14"/>
  <c r="BL26" i="14"/>
  <c r="BM26" i="14"/>
  <c r="BN26" i="14"/>
  <c r="BO26" i="14"/>
  <c r="BP26" i="14"/>
  <c r="BQ26" i="14"/>
  <c r="BR26" i="14"/>
  <c r="BS26" i="14"/>
  <c r="BT26" i="14"/>
  <c r="BU26" i="14"/>
  <c r="BV26" i="14"/>
  <c r="BW26" i="14"/>
  <c r="BX26" i="14"/>
  <c r="BY26" i="14"/>
  <c r="BZ26" i="14"/>
  <c r="CA26" i="14"/>
  <c r="CB26" i="14"/>
  <c r="CC26" i="14"/>
  <c r="CE26" i="14"/>
  <c r="CF26" i="14"/>
  <c r="CG26" i="14"/>
  <c r="CH26" i="14"/>
  <c r="CI26" i="14"/>
  <c r="CJ26" i="14"/>
  <c r="CK26" i="14"/>
  <c r="CL26" i="14"/>
  <c r="CM26" i="14"/>
  <c r="CN26" i="14"/>
  <c r="CO26" i="14"/>
  <c r="CP26" i="14"/>
  <c r="CQ26" i="14"/>
  <c r="CR26" i="14"/>
  <c r="CS26" i="14"/>
  <c r="CT26" i="14"/>
  <c r="CU26" i="14"/>
  <c r="CV26" i="14"/>
  <c r="CW26" i="14"/>
  <c r="CX26" i="14"/>
  <c r="CY26" i="14"/>
  <c r="CZ26" i="14"/>
  <c r="DA26" i="14"/>
  <c r="DB26" i="14"/>
  <c r="DH26" i="14"/>
  <c r="DI26" i="14"/>
  <c r="DJ26" i="14"/>
  <c r="H27" i="14"/>
  <c r="I27" i="14"/>
  <c r="J27" i="14"/>
  <c r="K27" i="14"/>
  <c r="L27" i="14"/>
  <c r="M27" i="14"/>
  <c r="N27" i="14"/>
  <c r="O27" i="14"/>
  <c r="P27" i="14"/>
  <c r="Q27" i="14"/>
  <c r="R27" i="14"/>
  <c r="S27" i="14"/>
  <c r="T27" i="14"/>
  <c r="U27" i="14"/>
  <c r="V27" i="14"/>
  <c r="W27" i="14"/>
  <c r="X27" i="14"/>
  <c r="Y27" i="14"/>
  <c r="Z27" i="14"/>
  <c r="AA27" i="14"/>
  <c r="AB27" i="14"/>
  <c r="AC27" i="14"/>
  <c r="AD27" i="14"/>
  <c r="AE27" i="14"/>
  <c r="AG27" i="14"/>
  <c r="AH27" i="14"/>
  <c r="AI27" i="14"/>
  <c r="AJ27" i="14"/>
  <c r="AK27" i="14"/>
  <c r="AL27" i="14"/>
  <c r="AM27" i="14"/>
  <c r="AN27" i="14"/>
  <c r="AO27" i="14"/>
  <c r="AP27" i="14"/>
  <c r="AQ27" i="14"/>
  <c r="AR27" i="14"/>
  <c r="AS27" i="14"/>
  <c r="AT27" i="14"/>
  <c r="AU27" i="14"/>
  <c r="AV27" i="14"/>
  <c r="AW27" i="14"/>
  <c r="AX27" i="14"/>
  <c r="AY27" i="14"/>
  <c r="AZ27" i="14"/>
  <c r="BA27" i="14"/>
  <c r="BB27" i="14"/>
  <c r="BC27" i="14"/>
  <c r="BD27" i="14"/>
  <c r="BF27" i="14"/>
  <c r="BG27" i="14"/>
  <c r="BH27" i="14"/>
  <c r="BI27" i="14"/>
  <c r="BJ27" i="14"/>
  <c r="BK27" i="14"/>
  <c r="BL27" i="14"/>
  <c r="BM27" i="14"/>
  <c r="BN27" i="14"/>
  <c r="BO27" i="14"/>
  <c r="BP27" i="14"/>
  <c r="BQ27" i="14"/>
  <c r="BR27" i="14"/>
  <c r="BS27" i="14"/>
  <c r="BT27" i="14"/>
  <c r="BU27" i="14"/>
  <c r="BV27" i="14"/>
  <c r="BW27" i="14"/>
  <c r="BX27" i="14"/>
  <c r="BY27" i="14"/>
  <c r="BZ27" i="14"/>
  <c r="CA27" i="14"/>
  <c r="CB27" i="14"/>
  <c r="CC27" i="14"/>
  <c r="CE27" i="14"/>
  <c r="CF27" i="14"/>
  <c r="CG27" i="14"/>
  <c r="CH27" i="14"/>
  <c r="CI27" i="14"/>
  <c r="CJ27" i="14"/>
  <c r="CK27" i="14"/>
  <c r="CL27" i="14"/>
  <c r="CM27" i="14"/>
  <c r="CN27" i="14"/>
  <c r="CO27" i="14"/>
  <c r="CP27" i="14"/>
  <c r="CQ27" i="14"/>
  <c r="CR27" i="14"/>
  <c r="CS27" i="14"/>
  <c r="CT27" i="14"/>
  <c r="CU27" i="14"/>
  <c r="CV27" i="14"/>
  <c r="CW27" i="14"/>
  <c r="CX27" i="14"/>
  <c r="CY27" i="14"/>
  <c r="CZ27" i="14"/>
  <c r="DA27" i="14"/>
  <c r="DB27" i="14"/>
  <c r="DH27" i="14"/>
  <c r="DI27" i="14"/>
  <c r="DJ27" i="14"/>
  <c r="H28" i="14"/>
  <c r="I28" i="14"/>
  <c r="J28" i="14"/>
  <c r="K28" i="14"/>
  <c r="L28" i="14"/>
  <c r="M28" i="14"/>
  <c r="N28" i="14"/>
  <c r="O28" i="14"/>
  <c r="P28" i="14"/>
  <c r="Q28" i="14"/>
  <c r="R28" i="14"/>
  <c r="S28" i="14"/>
  <c r="T28" i="14"/>
  <c r="U28" i="14"/>
  <c r="V28" i="14"/>
  <c r="W28" i="14"/>
  <c r="X28" i="14"/>
  <c r="Y28" i="14"/>
  <c r="Z28" i="14"/>
  <c r="AA28" i="14"/>
  <c r="AB28" i="14"/>
  <c r="AC28" i="14"/>
  <c r="AD28" i="14"/>
  <c r="AE28" i="14"/>
  <c r="AG28" i="14"/>
  <c r="AH28" i="14"/>
  <c r="AI28" i="14"/>
  <c r="AJ28" i="14"/>
  <c r="AK28" i="14"/>
  <c r="AL28" i="14"/>
  <c r="AM28" i="14"/>
  <c r="AN28" i="14"/>
  <c r="AO28" i="14"/>
  <c r="AP28" i="14"/>
  <c r="AQ28" i="14"/>
  <c r="AR28" i="14"/>
  <c r="AS28" i="14"/>
  <c r="AT28" i="14"/>
  <c r="AU28" i="14"/>
  <c r="AV28" i="14"/>
  <c r="AW28" i="14"/>
  <c r="AX28" i="14"/>
  <c r="AY28" i="14"/>
  <c r="AZ28" i="14"/>
  <c r="BA28" i="14"/>
  <c r="BB28" i="14"/>
  <c r="BC28" i="14"/>
  <c r="BD28" i="14"/>
  <c r="BF28" i="14"/>
  <c r="BG28" i="14"/>
  <c r="BH28" i="14"/>
  <c r="BI28" i="14"/>
  <c r="BJ28" i="14"/>
  <c r="BK28" i="14"/>
  <c r="BL28" i="14"/>
  <c r="BM28" i="14"/>
  <c r="BN28" i="14"/>
  <c r="BO28" i="14"/>
  <c r="BP28" i="14"/>
  <c r="BQ28" i="14"/>
  <c r="BR28" i="14"/>
  <c r="BS28" i="14"/>
  <c r="BT28" i="14"/>
  <c r="BU28" i="14"/>
  <c r="BV28" i="14"/>
  <c r="BW28" i="14"/>
  <c r="BX28" i="14"/>
  <c r="BY28" i="14"/>
  <c r="BZ28" i="14"/>
  <c r="CA28" i="14"/>
  <c r="CB28" i="14"/>
  <c r="CC28" i="14"/>
  <c r="CE28" i="14"/>
  <c r="CF28" i="14"/>
  <c r="CG28" i="14"/>
  <c r="CH28" i="14"/>
  <c r="CI28" i="14"/>
  <c r="CJ28" i="14"/>
  <c r="CK28" i="14"/>
  <c r="CL28" i="14"/>
  <c r="CM28" i="14"/>
  <c r="CN28" i="14"/>
  <c r="CO28" i="14"/>
  <c r="CP28" i="14"/>
  <c r="CQ28" i="14"/>
  <c r="CR28" i="14"/>
  <c r="CS28" i="14"/>
  <c r="CT28" i="14"/>
  <c r="CU28" i="14"/>
  <c r="CV28" i="14"/>
  <c r="CW28" i="14"/>
  <c r="CX28" i="14"/>
  <c r="CY28" i="14"/>
  <c r="CZ28" i="14"/>
  <c r="DA28" i="14"/>
  <c r="DB28" i="14"/>
  <c r="DH28" i="14"/>
  <c r="DI28" i="14"/>
  <c r="DJ28" i="14"/>
  <c r="H29" i="14"/>
  <c r="I29" i="14"/>
  <c r="J29" i="14"/>
  <c r="K29" i="14"/>
  <c r="L29" i="14"/>
  <c r="M29" i="14"/>
  <c r="N29" i="14"/>
  <c r="O29" i="14"/>
  <c r="P29" i="14"/>
  <c r="Q29" i="14"/>
  <c r="R29" i="14"/>
  <c r="S29" i="14"/>
  <c r="T29" i="14"/>
  <c r="U29" i="14"/>
  <c r="V29" i="14"/>
  <c r="W29" i="14"/>
  <c r="X29" i="14"/>
  <c r="Y29" i="14"/>
  <c r="Z29" i="14"/>
  <c r="AA29" i="14"/>
  <c r="AB29" i="14"/>
  <c r="AC29" i="14"/>
  <c r="AD29" i="14"/>
  <c r="AE29" i="14"/>
  <c r="AG29" i="14"/>
  <c r="AH29" i="14"/>
  <c r="AI29" i="14"/>
  <c r="AJ29" i="14"/>
  <c r="AK29" i="14"/>
  <c r="AL29" i="14"/>
  <c r="AM29" i="14"/>
  <c r="AN29" i="14"/>
  <c r="AO29" i="14"/>
  <c r="AP29" i="14"/>
  <c r="AQ29" i="14"/>
  <c r="AR29" i="14"/>
  <c r="AS29" i="14"/>
  <c r="AT29" i="14"/>
  <c r="AU29" i="14"/>
  <c r="AV29" i="14"/>
  <c r="AW29" i="14"/>
  <c r="AX29" i="14"/>
  <c r="AY29" i="14"/>
  <c r="AZ29" i="14"/>
  <c r="BA29" i="14"/>
  <c r="BB29" i="14"/>
  <c r="BC29" i="14"/>
  <c r="BD29" i="14"/>
  <c r="BF29" i="14"/>
  <c r="BG29" i="14"/>
  <c r="BH29" i="14"/>
  <c r="BI29" i="14"/>
  <c r="BJ29" i="14"/>
  <c r="BK29" i="14"/>
  <c r="BL29" i="14"/>
  <c r="BM29" i="14"/>
  <c r="BN29" i="14"/>
  <c r="BO29" i="14"/>
  <c r="BP29" i="14"/>
  <c r="BQ29" i="14"/>
  <c r="BR29" i="14"/>
  <c r="BS29" i="14"/>
  <c r="BT29" i="14"/>
  <c r="BU29" i="14"/>
  <c r="BV29" i="14"/>
  <c r="BW29" i="14"/>
  <c r="BX29" i="14"/>
  <c r="BY29" i="14"/>
  <c r="BZ29" i="14"/>
  <c r="CA29" i="14"/>
  <c r="CB29" i="14"/>
  <c r="CC29" i="14"/>
  <c r="CE29" i="14"/>
  <c r="CF29" i="14"/>
  <c r="CG29" i="14"/>
  <c r="CH29" i="14"/>
  <c r="CI29" i="14"/>
  <c r="CJ29" i="14"/>
  <c r="CK29" i="14"/>
  <c r="CL29" i="14"/>
  <c r="CM29" i="14"/>
  <c r="CN29" i="14"/>
  <c r="CO29" i="14"/>
  <c r="CP29" i="14"/>
  <c r="CQ29" i="14"/>
  <c r="CR29" i="14"/>
  <c r="CS29" i="14"/>
  <c r="CT29" i="14"/>
  <c r="CU29" i="14"/>
  <c r="CV29" i="14"/>
  <c r="CW29" i="14"/>
  <c r="CX29" i="14"/>
  <c r="CY29" i="14"/>
  <c r="CZ29" i="14"/>
  <c r="DA29" i="14"/>
  <c r="DB29" i="14"/>
  <c r="DH29" i="14"/>
  <c r="DI29" i="14"/>
  <c r="DJ29" i="14"/>
  <c r="H30" i="14"/>
  <c r="I30" i="14"/>
  <c r="J30" i="14"/>
  <c r="K30" i="14"/>
  <c r="L30" i="14"/>
  <c r="M30" i="14"/>
  <c r="N30" i="14"/>
  <c r="O30" i="14"/>
  <c r="P30" i="14"/>
  <c r="Q30" i="14"/>
  <c r="R30" i="14"/>
  <c r="S30" i="14"/>
  <c r="T30" i="14"/>
  <c r="U30" i="14"/>
  <c r="V30" i="14"/>
  <c r="W30" i="14"/>
  <c r="X30" i="14"/>
  <c r="Y30" i="14"/>
  <c r="Z30" i="14"/>
  <c r="AA30" i="14"/>
  <c r="AB30" i="14"/>
  <c r="AC30" i="14"/>
  <c r="AD30" i="14"/>
  <c r="AE30" i="14"/>
  <c r="AG30" i="14"/>
  <c r="AH30" i="14"/>
  <c r="AI30" i="14"/>
  <c r="AJ30" i="14"/>
  <c r="AK30" i="14"/>
  <c r="AL30" i="14"/>
  <c r="AM30" i="14"/>
  <c r="AN30" i="14"/>
  <c r="AO30" i="14"/>
  <c r="AP30" i="14"/>
  <c r="AQ30" i="14"/>
  <c r="AR30" i="14"/>
  <c r="AS30" i="14"/>
  <c r="AT30" i="14"/>
  <c r="AU30" i="14"/>
  <c r="AV30" i="14"/>
  <c r="AW30" i="14"/>
  <c r="AX30" i="14"/>
  <c r="AY30" i="14"/>
  <c r="AZ30" i="14"/>
  <c r="BA30" i="14"/>
  <c r="BB30" i="14"/>
  <c r="BC30" i="14"/>
  <c r="BD30" i="14"/>
  <c r="BF30" i="14"/>
  <c r="BG30" i="14"/>
  <c r="BH30" i="14"/>
  <c r="BI30" i="14"/>
  <c r="BJ30" i="14"/>
  <c r="BK30" i="14"/>
  <c r="BL30" i="14"/>
  <c r="BM30" i="14"/>
  <c r="BN30" i="14"/>
  <c r="BO30" i="14"/>
  <c r="BP30" i="14"/>
  <c r="BQ30" i="14"/>
  <c r="BR30" i="14"/>
  <c r="BS30" i="14"/>
  <c r="BT30" i="14"/>
  <c r="BU30" i="14"/>
  <c r="BV30" i="14"/>
  <c r="BW30" i="14"/>
  <c r="BX30" i="14"/>
  <c r="BY30" i="14"/>
  <c r="BZ30" i="14"/>
  <c r="CA30" i="14"/>
  <c r="CB30" i="14"/>
  <c r="CC30" i="14"/>
  <c r="CE30" i="14"/>
  <c r="CF30" i="14"/>
  <c r="CG30" i="14"/>
  <c r="CH30" i="14"/>
  <c r="CI30" i="14"/>
  <c r="CJ30" i="14"/>
  <c r="CK30" i="14"/>
  <c r="CL30" i="14"/>
  <c r="CM30" i="14"/>
  <c r="CN30" i="14"/>
  <c r="CO30" i="14"/>
  <c r="CP30" i="14"/>
  <c r="CQ30" i="14"/>
  <c r="CR30" i="14"/>
  <c r="CS30" i="14"/>
  <c r="CT30" i="14"/>
  <c r="CU30" i="14"/>
  <c r="CV30" i="14"/>
  <c r="CW30" i="14"/>
  <c r="CX30" i="14"/>
  <c r="CY30" i="14"/>
  <c r="CZ30" i="14"/>
  <c r="DA30" i="14"/>
  <c r="DB30" i="14"/>
  <c r="DH30" i="14"/>
  <c r="DI30" i="14"/>
  <c r="DJ30" i="14"/>
  <c r="H31" i="14"/>
  <c r="I31" i="14"/>
  <c r="J31" i="14"/>
  <c r="K31" i="14"/>
  <c r="L31" i="14"/>
  <c r="M31" i="14"/>
  <c r="N31" i="14"/>
  <c r="O31" i="14"/>
  <c r="P31" i="14"/>
  <c r="Q31" i="14"/>
  <c r="R31" i="14"/>
  <c r="S31" i="14"/>
  <c r="T31" i="14"/>
  <c r="U31" i="14"/>
  <c r="V31" i="14"/>
  <c r="W31" i="14"/>
  <c r="X31" i="14"/>
  <c r="Y31" i="14"/>
  <c r="Z31" i="14"/>
  <c r="AA31" i="14"/>
  <c r="AB31" i="14"/>
  <c r="AC31" i="14"/>
  <c r="AD31" i="14"/>
  <c r="AE31" i="14"/>
  <c r="AG31" i="14"/>
  <c r="AH31" i="14"/>
  <c r="AI31" i="14"/>
  <c r="AJ31" i="14"/>
  <c r="AK31" i="14"/>
  <c r="AL31" i="14"/>
  <c r="AM31" i="14"/>
  <c r="AN31" i="14"/>
  <c r="AO31" i="14"/>
  <c r="AP31" i="14"/>
  <c r="AQ31" i="14"/>
  <c r="AR31" i="14"/>
  <c r="AS31" i="14"/>
  <c r="AT31" i="14"/>
  <c r="AU31" i="14"/>
  <c r="AV31" i="14"/>
  <c r="AW31" i="14"/>
  <c r="AX31" i="14"/>
  <c r="AY31" i="14"/>
  <c r="AZ31" i="14"/>
  <c r="BA31" i="14"/>
  <c r="BB31" i="14"/>
  <c r="BC31" i="14"/>
  <c r="BD31" i="14"/>
  <c r="BF31" i="14"/>
  <c r="BG31" i="14"/>
  <c r="BH31" i="14"/>
  <c r="BI31" i="14"/>
  <c r="BJ31" i="14"/>
  <c r="BK31" i="14"/>
  <c r="BL31" i="14"/>
  <c r="BM31" i="14"/>
  <c r="BN31" i="14"/>
  <c r="BO31" i="14"/>
  <c r="BP31" i="14"/>
  <c r="BQ31" i="14"/>
  <c r="BR31" i="14"/>
  <c r="BS31" i="14"/>
  <c r="BT31" i="14"/>
  <c r="BU31" i="14"/>
  <c r="BV31" i="14"/>
  <c r="BW31" i="14"/>
  <c r="BX31" i="14"/>
  <c r="BY31" i="14"/>
  <c r="BZ31" i="14"/>
  <c r="CA31" i="14"/>
  <c r="CB31" i="14"/>
  <c r="CC31" i="14"/>
  <c r="CE31" i="14"/>
  <c r="CF31" i="14"/>
  <c r="CG31" i="14"/>
  <c r="CH31" i="14"/>
  <c r="CI31" i="14"/>
  <c r="CJ31" i="14"/>
  <c r="CK31" i="14"/>
  <c r="CL31" i="14"/>
  <c r="CM31" i="14"/>
  <c r="CN31" i="14"/>
  <c r="CO31" i="14"/>
  <c r="CP31" i="14"/>
  <c r="CQ31" i="14"/>
  <c r="CR31" i="14"/>
  <c r="CS31" i="14"/>
  <c r="CT31" i="14"/>
  <c r="CU31" i="14"/>
  <c r="CV31" i="14"/>
  <c r="CW31" i="14"/>
  <c r="CX31" i="14"/>
  <c r="CY31" i="14"/>
  <c r="CZ31" i="14"/>
  <c r="DA31" i="14"/>
  <c r="DB31" i="14"/>
  <c r="DH31" i="14"/>
  <c r="DI31" i="14"/>
  <c r="DJ31" i="14"/>
  <c r="H32" i="14"/>
  <c r="I32" i="14"/>
  <c r="J32" i="14"/>
  <c r="K32" i="14"/>
  <c r="L32" i="14"/>
  <c r="M32" i="14"/>
  <c r="N32" i="14"/>
  <c r="O32" i="14"/>
  <c r="P32" i="14"/>
  <c r="Q32" i="14"/>
  <c r="R32" i="14"/>
  <c r="S32" i="14"/>
  <c r="T32" i="14"/>
  <c r="U32" i="14"/>
  <c r="V32" i="14"/>
  <c r="W32" i="14"/>
  <c r="X32" i="14"/>
  <c r="Y32" i="14"/>
  <c r="Z32" i="14"/>
  <c r="AA32" i="14"/>
  <c r="AB32" i="14"/>
  <c r="AC32" i="14"/>
  <c r="AD32" i="14"/>
  <c r="AE32" i="14"/>
  <c r="AG32" i="14"/>
  <c r="AH32" i="14"/>
  <c r="AI32" i="14"/>
  <c r="AJ32" i="14"/>
  <c r="AK32" i="14"/>
  <c r="AL32" i="14"/>
  <c r="AM32" i="14"/>
  <c r="AN32" i="14"/>
  <c r="AO32" i="14"/>
  <c r="AP32" i="14"/>
  <c r="AQ32" i="14"/>
  <c r="AR32" i="14"/>
  <c r="AS32" i="14"/>
  <c r="AT32" i="14"/>
  <c r="AU32" i="14"/>
  <c r="AV32" i="14"/>
  <c r="AW32" i="14"/>
  <c r="AX32" i="14"/>
  <c r="AY32" i="14"/>
  <c r="AZ32" i="14"/>
  <c r="BA32" i="14"/>
  <c r="BB32" i="14"/>
  <c r="BC32" i="14"/>
  <c r="BD32" i="14"/>
  <c r="BF32" i="14"/>
  <c r="BG32" i="14"/>
  <c r="BH32" i="14"/>
  <c r="BI32" i="14"/>
  <c r="BJ32" i="14"/>
  <c r="BK32" i="14"/>
  <c r="BL32" i="14"/>
  <c r="BM32" i="14"/>
  <c r="BN32" i="14"/>
  <c r="BO32" i="14"/>
  <c r="BP32" i="14"/>
  <c r="BQ32" i="14"/>
  <c r="BR32" i="14"/>
  <c r="BS32" i="14"/>
  <c r="BT32" i="14"/>
  <c r="BU32" i="14"/>
  <c r="BV32" i="14"/>
  <c r="BW32" i="14"/>
  <c r="BX32" i="14"/>
  <c r="BY32" i="14"/>
  <c r="BZ32" i="14"/>
  <c r="CA32" i="14"/>
  <c r="CB32" i="14"/>
  <c r="CC32" i="14"/>
  <c r="CE32" i="14"/>
  <c r="CF32" i="14"/>
  <c r="CG32" i="14"/>
  <c r="CH32" i="14"/>
  <c r="CI32" i="14"/>
  <c r="CJ32" i="14"/>
  <c r="CK32" i="14"/>
  <c r="CL32" i="14"/>
  <c r="CM32" i="14"/>
  <c r="CN32" i="14"/>
  <c r="CO32" i="14"/>
  <c r="CP32" i="14"/>
  <c r="CQ32" i="14"/>
  <c r="CR32" i="14"/>
  <c r="CS32" i="14"/>
  <c r="CT32" i="14"/>
  <c r="CU32" i="14"/>
  <c r="CV32" i="14"/>
  <c r="CW32" i="14"/>
  <c r="CX32" i="14"/>
  <c r="CY32" i="14"/>
  <c r="CZ32" i="14"/>
  <c r="DA32" i="14"/>
  <c r="DB32" i="14"/>
  <c r="DH32" i="14"/>
  <c r="DI32" i="14"/>
  <c r="DJ32" i="14"/>
  <c r="H33" i="14"/>
  <c r="I33" i="14"/>
  <c r="J33" i="14"/>
  <c r="K33" i="14"/>
  <c r="L33" i="14"/>
  <c r="M33" i="14"/>
  <c r="N33" i="14"/>
  <c r="O33" i="14"/>
  <c r="P33" i="14"/>
  <c r="Q33" i="14"/>
  <c r="R33" i="14"/>
  <c r="S33" i="14"/>
  <c r="T33" i="14"/>
  <c r="U33" i="14"/>
  <c r="V33" i="14"/>
  <c r="W33" i="14"/>
  <c r="X33" i="14"/>
  <c r="Y33" i="14"/>
  <c r="Z33" i="14"/>
  <c r="AA33" i="14"/>
  <c r="AB33" i="14"/>
  <c r="AC33" i="14"/>
  <c r="AD33" i="14"/>
  <c r="AE33" i="14"/>
  <c r="AG33" i="14"/>
  <c r="AH33" i="14"/>
  <c r="AI33" i="14"/>
  <c r="AJ33" i="14"/>
  <c r="AK33" i="14"/>
  <c r="AL33" i="14"/>
  <c r="AM33" i="14"/>
  <c r="AN33" i="14"/>
  <c r="AO33" i="14"/>
  <c r="AP33" i="14"/>
  <c r="AQ33" i="14"/>
  <c r="AR33" i="14"/>
  <c r="AS33" i="14"/>
  <c r="AT33" i="14"/>
  <c r="AU33" i="14"/>
  <c r="AV33" i="14"/>
  <c r="AW33" i="14"/>
  <c r="AX33" i="14"/>
  <c r="AY33" i="14"/>
  <c r="AZ33" i="14"/>
  <c r="BA33" i="14"/>
  <c r="BB33" i="14"/>
  <c r="BC33" i="14"/>
  <c r="BD33" i="14"/>
  <c r="BF33" i="14"/>
  <c r="BG33" i="14"/>
  <c r="BH33" i="14"/>
  <c r="BI33" i="14"/>
  <c r="BJ33" i="14"/>
  <c r="BK33" i="14"/>
  <c r="BL33" i="14"/>
  <c r="BM33" i="14"/>
  <c r="BN33" i="14"/>
  <c r="BO33" i="14"/>
  <c r="BP33" i="14"/>
  <c r="BQ33" i="14"/>
  <c r="BR33" i="14"/>
  <c r="BS33" i="14"/>
  <c r="BT33" i="14"/>
  <c r="BU33" i="14"/>
  <c r="BV33" i="14"/>
  <c r="BW33" i="14"/>
  <c r="BX33" i="14"/>
  <c r="BY33" i="14"/>
  <c r="BZ33" i="14"/>
  <c r="CA33" i="14"/>
  <c r="CB33" i="14"/>
  <c r="CC33" i="14"/>
  <c r="CE33" i="14"/>
  <c r="CF33" i="14"/>
  <c r="CG33" i="14"/>
  <c r="CH33" i="14"/>
  <c r="CI33" i="14"/>
  <c r="CJ33" i="14"/>
  <c r="CK33" i="14"/>
  <c r="CL33" i="14"/>
  <c r="CM33" i="14"/>
  <c r="CN33" i="14"/>
  <c r="CO33" i="14"/>
  <c r="CP33" i="14"/>
  <c r="CQ33" i="14"/>
  <c r="CR33" i="14"/>
  <c r="CS33" i="14"/>
  <c r="CT33" i="14"/>
  <c r="CU33" i="14"/>
  <c r="CV33" i="14"/>
  <c r="CW33" i="14"/>
  <c r="CX33" i="14"/>
  <c r="CY33" i="14"/>
  <c r="CZ33" i="14"/>
  <c r="DA33" i="14"/>
  <c r="DB33" i="14"/>
  <c r="DH33" i="14"/>
  <c r="DI33" i="14"/>
  <c r="DJ33" i="14"/>
  <c r="H34" i="14"/>
  <c r="I34" i="14"/>
  <c r="J34" i="14"/>
  <c r="K34" i="14"/>
  <c r="L34" i="14"/>
  <c r="M34" i="14"/>
  <c r="N34" i="14"/>
  <c r="O34" i="14"/>
  <c r="P34" i="14"/>
  <c r="Q34" i="14"/>
  <c r="R34" i="14"/>
  <c r="S34" i="14"/>
  <c r="T34" i="14"/>
  <c r="U34" i="14"/>
  <c r="V34" i="14"/>
  <c r="W34" i="14"/>
  <c r="X34" i="14"/>
  <c r="Y34" i="14"/>
  <c r="Z34" i="14"/>
  <c r="AA34" i="14"/>
  <c r="AB34" i="14"/>
  <c r="AC34" i="14"/>
  <c r="AD34" i="14"/>
  <c r="AE34" i="14"/>
  <c r="AG34" i="14"/>
  <c r="AH34" i="14"/>
  <c r="AI34" i="14"/>
  <c r="AJ34" i="14"/>
  <c r="AK34" i="14"/>
  <c r="AL34" i="14"/>
  <c r="AM34" i="14"/>
  <c r="AN34" i="14"/>
  <c r="AO34" i="14"/>
  <c r="AP34" i="14"/>
  <c r="AQ34" i="14"/>
  <c r="AR34" i="14"/>
  <c r="AS34" i="14"/>
  <c r="AT34" i="14"/>
  <c r="AU34" i="14"/>
  <c r="AV34" i="14"/>
  <c r="AW34" i="14"/>
  <c r="AX34" i="14"/>
  <c r="AY34" i="14"/>
  <c r="AZ34" i="14"/>
  <c r="BA34" i="14"/>
  <c r="BB34" i="14"/>
  <c r="BC34" i="14"/>
  <c r="BD34" i="14"/>
  <c r="BF34" i="14"/>
  <c r="BG34" i="14"/>
  <c r="BH34" i="14"/>
  <c r="BI34" i="14"/>
  <c r="BJ34" i="14"/>
  <c r="BK34" i="14"/>
  <c r="BL34" i="14"/>
  <c r="BM34" i="14"/>
  <c r="BN34" i="14"/>
  <c r="BO34" i="14"/>
  <c r="BP34" i="14"/>
  <c r="BQ34" i="14"/>
  <c r="BR34" i="14"/>
  <c r="BS34" i="14"/>
  <c r="BT34" i="14"/>
  <c r="BU34" i="14"/>
  <c r="BV34" i="14"/>
  <c r="BW34" i="14"/>
  <c r="BX34" i="14"/>
  <c r="BY34" i="14"/>
  <c r="BZ34" i="14"/>
  <c r="CA34" i="14"/>
  <c r="CB34" i="14"/>
  <c r="CC34" i="14"/>
  <c r="CE34" i="14"/>
  <c r="CF34" i="14"/>
  <c r="CG34" i="14"/>
  <c r="CH34" i="14"/>
  <c r="CI34" i="14"/>
  <c r="CJ34" i="14"/>
  <c r="CK34" i="14"/>
  <c r="CL34" i="14"/>
  <c r="CM34" i="14"/>
  <c r="CN34" i="14"/>
  <c r="CO34" i="14"/>
  <c r="CP34" i="14"/>
  <c r="CQ34" i="14"/>
  <c r="CR34" i="14"/>
  <c r="CS34" i="14"/>
  <c r="CT34" i="14"/>
  <c r="CU34" i="14"/>
  <c r="CV34" i="14"/>
  <c r="CW34" i="14"/>
  <c r="CX34" i="14"/>
  <c r="CY34" i="14"/>
  <c r="CZ34" i="14"/>
  <c r="DA34" i="14"/>
  <c r="DB34" i="14"/>
  <c r="DH34" i="14"/>
  <c r="DI34" i="14"/>
  <c r="DJ34" i="14"/>
  <c r="H35" i="14"/>
  <c r="I35" i="14"/>
  <c r="J35" i="14"/>
  <c r="K35" i="14"/>
  <c r="L35" i="14"/>
  <c r="M35" i="14"/>
  <c r="N35" i="14"/>
  <c r="O35" i="14"/>
  <c r="P35" i="14"/>
  <c r="Q35" i="14"/>
  <c r="R35" i="14"/>
  <c r="S35" i="14"/>
  <c r="T35" i="14"/>
  <c r="U35" i="14"/>
  <c r="V35" i="14"/>
  <c r="W35" i="14"/>
  <c r="X35" i="14"/>
  <c r="Y35" i="14"/>
  <c r="Z35" i="14"/>
  <c r="AA35" i="14"/>
  <c r="AB35" i="14"/>
  <c r="AC35" i="14"/>
  <c r="AD35" i="14"/>
  <c r="AE35" i="14"/>
  <c r="AG35" i="14"/>
  <c r="AH35" i="14"/>
  <c r="AI35" i="14"/>
  <c r="AJ35" i="14"/>
  <c r="AK35" i="14"/>
  <c r="AL35" i="14"/>
  <c r="AM35" i="14"/>
  <c r="AN35" i="14"/>
  <c r="AO35" i="14"/>
  <c r="AP35" i="14"/>
  <c r="AQ35" i="14"/>
  <c r="AR35" i="14"/>
  <c r="AS35" i="14"/>
  <c r="AT35" i="14"/>
  <c r="AU35" i="14"/>
  <c r="AV35" i="14"/>
  <c r="AW35" i="14"/>
  <c r="AX35" i="14"/>
  <c r="AY35" i="14"/>
  <c r="AZ35" i="14"/>
  <c r="BA35" i="14"/>
  <c r="BB35" i="14"/>
  <c r="BC35" i="14"/>
  <c r="BD35" i="14"/>
  <c r="BF35" i="14"/>
  <c r="BG35" i="14"/>
  <c r="BH35" i="14"/>
  <c r="BI35" i="14"/>
  <c r="BJ35" i="14"/>
  <c r="BK35" i="14"/>
  <c r="BL35" i="14"/>
  <c r="BM35" i="14"/>
  <c r="BN35" i="14"/>
  <c r="BO35" i="14"/>
  <c r="BP35" i="14"/>
  <c r="BQ35" i="14"/>
  <c r="BR35" i="14"/>
  <c r="BS35" i="14"/>
  <c r="BT35" i="14"/>
  <c r="BU35" i="14"/>
  <c r="BV35" i="14"/>
  <c r="BW35" i="14"/>
  <c r="BX35" i="14"/>
  <c r="BY35" i="14"/>
  <c r="BZ35" i="14"/>
  <c r="CA35" i="14"/>
  <c r="CB35" i="14"/>
  <c r="CC35" i="14"/>
  <c r="CE35" i="14"/>
  <c r="CF35" i="14"/>
  <c r="CG35" i="14"/>
  <c r="CH35" i="14"/>
  <c r="CI35" i="14"/>
  <c r="CJ35" i="14"/>
  <c r="CK35" i="14"/>
  <c r="CL35" i="14"/>
  <c r="CM35" i="14"/>
  <c r="CN35" i="14"/>
  <c r="CO35" i="14"/>
  <c r="CP35" i="14"/>
  <c r="CQ35" i="14"/>
  <c r="CR35" i="14"/>
  <c r="CS35" i="14"/>
  <c r="CT35" i="14"/>
  <c r="CU35" i="14"/>
  <c r="CV35" i="14"/>
  <c r="CW35" i="14"/>
  <c r="CX35" i="14"/>
  <c r="CY35" i="14"/>
  <c r="CZ35" i="14"/>
  <c r="DA35" i="14"/>
  <c r="DB35" i="14"/>
  <c r="DH35" i="14"/>
  <c r="DI35" i="14"/>
  <c r="DJ35" i="14"/>
  <c r="H36" i="14"/>
  <c r="I36" i="14"/>
  <c r="J36" i="14"/>
  <c r="K36" i="14"/>
  <c r="L36" i="14"/>
  <c r="M36" i="14"/>
  <c r="N36" i="14"/>
  <c r="O36" i="14"/>
  <c r="P36" i="14"/>
  <c r="Q36" i="14"/>
  <c r="R36" i="14"/>
  <c r="S36" i="14"/>
  <c r="T36" i="14"/>
  <c r="U36" i="14"/>
  <c r="V36" i="14"/>
  <c r="W36" i="14"/>
  <c r="X36" i="14"/>
  <c r="Y36" i="14"/>
  <c r="Z36" i="14"/>
  <c r="AA36" i="14"/>
  <c r="AB36" i="14"/>
  <c r="AC36" i="14"/>
  <c r="AD36" i="14"/>
  <c r="AE36" i="14"/>
  <c r="AG36" i="14"/>
  <c r="AH36" i="14"/>
  <c r="AI36" i="14"/>
  <c r="AJ36" i="14"/>
  <c r="AK36" i="14"/>
  <c r="AL36" i="14"/>
  <c r="AM36" i="14"/>
  <c r="AN36" i="14"/>
  <c r="AO36" i="14"/>
  <c r="AP36" i="14"/>
  <c r="AQ36" i="14"/>
  <c r="AR36" i="14"/>
  <c r="AS36" i="14"/>
  <c r="AT36" i="14"/>
  <c r="AU36" i="14"/>
  <c r="AV36" i="14"/>
  <c r="AW36" i="14"/>
  <c r="AX36" i="14"/>
  <c r="AY36" i="14"/>
  <c r="AZ36" i="14"/>
  <c r="BA36" i="14"/>
  <c r="BB36" i="14"/>
  <c r="BC36" i="14"/>
  <c r="BD36" i="14"/>
  <c r="BF36" i="14"/>
  <c r="BG36" i="14"/>
  <c r="BH36" i="14"/>
  <c r="BI36" i="14"/>
  <c r="BJ36" i="14"/>
  <c r="BK36" i="14"/>
  <c r="BL36" i="14"/>
  <c r="BM36" i="14"/>
  <c r="BN36" i="14"/>
  <c r="BO36" i="14"/>
  <c r="BP36" i="14"/>
  <c r="BQ36" i="14"/>
  <c r="BR36" i="14"/>
  <c r="BS36" i="14"/>
  <c r="BT36" i="14"/>
  <c r="BU36" i="14"/>
  <c r="BV36" i="14"/>
  <c r="BW36" i="14"/>
  <c r="BX36" i="14"/>
  <c r="BY36" i="14"/>
  <c r="BZ36" i="14"/>
  <c r="CA36" i="14"/>
  <c r="CB36" i="14"/>
  <c r="CC36" i="14"/>
  <c r="CE36" i="14"/>
  <c r="CF36" i="14"/>
  <c r="CG36" i="14"/>
  <c r="CH36" i="14"/>
  <c r="CI36" i="14"/>
  <c r="CJ36" i="14"/>
  <c r="CK36" i="14"/>
  <c r="CL36" i="14"/>
  <c r="CM36" i="14"/>
  <c r="CN36" i="14"/>
  <c r="CO36" i="14"/>
  <c r="CP36" i="14"/>
  <c r="CQ36" i="14"/>
  <c r="CR36" i="14"/>
  <c r="CS36" i="14"/>
  <c r="CT36" i="14"/>
  <c r="CU36" i="14"/>
  <c r="CV36" i="14"/>
  <c r="CW36" i="14"/>
  <c r="CX36" i="14"/>
  <c r="CY36" i="14"/>
  <c r="CZ36" i="14"/>
  <c r="DA36" i="14"/>
  <c r="DB36" i="14"/>
  <c r="DH36" i="14"/>
  <c r="DI36" i="14"/>
  <c r="DJ36" i="14"/>
  <c r="H37" i="14"/>
  <c r="I37" i="14"/>
  <c r="J37" i="14"/>
  <c r="K37" i="14"/>
  <c r="L37" i="14"/>
  <c r="M37" i="14"/>
  <c r="N37" i="14"/>
  <c r="O37" i="14"/>
  <c r="P37" i="14"/>
  <c r="Q37" i="14"/>
  <c r="R37" i="14"/>
  <c r="S37" i="14"/>
  <c r="T37" i="14"/>
  <c r="U37" i="14"/>
  <c r="V37" i="14"/>
  <c r="W37" i="14"/>
  <c r="X37" i="14"/>
  <c r="Y37" i="14"/>
  <c r="Z37" i="14"/>
  <c r="AA37" i="14"/>
  <c r="AB37" i="14"/>
  <c r="AC37" i="14"/>
  <c r="AD37" i="14"/>
  <c r="AE37" i="14"/>
  <c r="AG37" i="14"/>
  <c r="AH37" i="14"/>
  <c r="AI37" i="14"/>
  <c r="AJ37" i="14"/>
  <c r="AK37" i="14"/>
  <c r="AL37" i="14"/>
  <c r="AM37" i="14"/>
  <c r="AN37" i="14"/>
  <c r="AO37" i="14"/>
  <c r="AP37" i="14"/>
  <c r="AQ37" i="14"/>
  <c r="AR37" i="14"/>
  <c r="AS37" i="14"/>
  <c r="AT37" i="14"/>
  <c r="AU37" i="14"/>
  <c r="AV37" i="14"/>
  <c r="AW37" i="14"/>
  <c r="AX37" i="14"/>
  <c r="AY37" i="14"/>
  <c r="AZ37" i="14"/>
  <c r="BA37" i="14"/>
  <c r="BB37" i="14"/>
  <c r="BC37" i="14"/>
  <c r="BD37" i="14"/>
  <c r="BF37" i="14"/>
  <c r="BG37" i="14"/>
  <c r="BH37" i="14"/>
  <c r="BI37" i="14"/>
  <c r="BJ37" i="14"/>
  <c r="BK37" i="14"/>
  <c r="BL37" i="14"/>
  <c r="BM37" i="14"/>
  <c r="BN37" i="14"/>
  <c r="BO37" i="14"/>
  <c r="BP37" i="14"/>
  <c r="BQ37" i="14"/>
  <c r="BR37" i="14"/>
  <c r="BS37" i="14"/>
  <c r="BT37" i="14"/>
  <c r="BU37" i="14"/>
  <c r="BV37" i="14"/>
  <c r="BW37" i="14"/>
  <c r="BX37" i="14"/>
  <c r="BY37" i="14"/>
  <c r="BZ37" i="14"/>
  <c r="CA37" i="14"/>
  <c r="CB37" i="14"/>
  <c r="CC37" i="14"/>
  <c r="CE37" i="14"/>
  <c r="CF37" i="14"/>
  <c r="CG37" i="14"/>
  <c r="CH37" i="14"/>
  <c r="CI37" i="14"/>
  <c r="CJ37" i="14"/>
  <c r="CK37" i="14"/>
  <c r="CL37" i="14"/>
  <c r="CM37" i="14"/>
  <c r="CN37" i="14"/>
  <c r="CO37" i="14"/>
  <c r="CP37" i="14"/>
  <c r="CQ37" i="14"/>
  <c r="CR37" i="14"/>
  <c r="CS37" i="14"/>
  <c r="CT37" i="14"/>
  <c r="CU37" i="14"/>
  <c r="CV37" i="14"/>
  <c r="CW37" i="14"/>
  <c r="CX37" i="14"/>
  <c r="CY37" i="14"/>
  <c r="CZ37" i="14"/>
  <c r="DA37" i="14"/>
  <c r="DB37" i="14"/>
  <c r="DH37" i="14"/>
  <c r="DI37" i="14"/>
  <c r="DJ37" i="14"/>
  <c r="H38" i="14"/>
  <c r="I38" i="14"/>
  <c r="J38" i="14"/>
  <c r="K38" i="14"/>
  <c r="L38" i="14"/>
  <c r="M38" i="14"/>
  <c r="N38" i="14"/>
  <c r="O38" i="14"/>
  <c r="P38" i="14"/>
  <c r="Q38" i="14"/>
  <c r="R38" i="14"/>
  <c r="S38" i="14"/>
  <c r="T38" i="14"/>
  <c r="U38" i="14"/>
  <c r="V38" i="14"/>
  <c r="W38" i="14"/>
  <c r="X38" i="14"/>
  <c r="Y38" i="14"/>
  <c r="Z38" i="14"/>
  <c r="AA38" i="14"/>
  <c r="AB38" i="14"/>
  <c r="AC38" i="14"/>
  <c r="AD38" i="14"/>
  <c r="AE38" i="14"/>
  <c r="AG38" i="14"/>
  <c r="AH38" i="14"/>
  <c r="AI38" i="14"/>
  <c r="AJ38" i="14"/>
  <c r="AK38" i="14"/>
  <c r="AL38" i="14"/>
  <c r="AM38" i="14"/>
  <c r="AN38" i="14"/>
  <c r="AO38" i="14"/>
  <c r="AP38" i="14"/>
  <c r="AQ38" i="14"/>
  <c r="AR38" i="14"/>
  <c r="AS38" i="14"/>
  <c r="AT38" i="14"/>
  <c r="AU38" i="14"/>
  <c r="AV38" i="14"/>
  <c r="AW38" i="14"/>
  <c r="AX38" i="14"/>
  <c r="AY38" i="14"/>
  <c r="AZ38" i="14"/>
  <c r="BA38" i="14"/>
  <c r="BB38" i="14"/>
  <c r="BC38" i="14"/>
  <c r="BD38" i="14"/>
  <c r="BF38" i="14"/>
  <c r="BG38" i="14"/>
  <c r="BH38" i="14"/>
  <c r="BI38" i="14"/>
  <c r="BJ38" i="14"/>
  <c r="BK38" i="14"/>
  <c r="BL38" i="14"/>
  <c r="BM38" i="14"/>
  <c r="BN38" i="14"/>
  <c r="BO38" i="14"/>
  <c r="BP38" i="14"/>
  <c r="BQ38" i="14"/>
  <c r="BR38" i="14"/>
  <c r="BS38" i="14"/>
  <c r="BT38" i="14"/>
  <c r="BU38" i="14"/>
  <c r="BV38" i="14"/>
  <c r="BW38" i="14"/>
  <c r="BX38" i="14"/>
  <c r="BY38" i="14"/>
  <c r="BZ38" i="14"/>
  <c r="CA38" i="14"/>
  <c r="CB38" i="14"/>
  <c r="CC38" i="14"/>
  <c r="CE38" i="14"/>
  <c r="CF38" i="14"/>
  <c r="CG38" i="14"/>
  <c r="CH38" i="14"/>
  <c r="CI38" i="14"/>
  <c r="CJ38" i="14"/>
  <c r="CK38" i="14"/>
  <c r="CL38" i="14"/>
  <c r="CM38" i="14"/>
  <c r="CN38" i="14"/>
  <c r="CO38" i="14"/>
  <c r="CP38" i="14"/>
  <c r="CQ38" i="14"/>
  <c r="CR38" i="14"/>
  <c r="CS38" i="14"/>
  <c r="CT38" i="14"/>
  <c r="CU38" i="14"/>
  <c r="CV38" i="14"/>
  <c r="CW38" i="14"/>
  <c r="CX38" i="14"/>
  <c r="CY38" i="14"/>
  <c r="CZ38" i="14"/>
  <c r="DA38" i="14"/>
  <c r="DB38" i="14"/>
  <c r="DH38" i="14"/>
  <c r="DI38" i="14"/>
  <c r="DJ38" i="14"/>
  <c r="H39" i="14"/>
  <c r="I39" i="14"/>
  <c r="J39" i="14"/>
  <c r="K39" i="14"/>
  <c r="L39" i="14"/>
  <c r="M39" i="14"/>
  <c r="N39" i="14"/>
  <c r="O39" i="14"/>
  <c r="P39" i="14"/>
  <c r="Q39" i="14"/>
  <c r="R39" i="14"/>
  <c r="S39" i="14"/>
  <c r="T39" i="14"/>
  <c r="U39" i="14"/>
  <c r="V39" i="14"/>
  <c r="W39" i="14"/>
  <c r="X39" i="14"/>
  <c r="Y39" i="14"/>
  <c r="Z39" i="14"/>
  <c r="AA39" i="14"/>
  <c r="AB39" i="14"/>
  <c r="AC39" i="14"/>
  <c r="AD39" i="14"/>
  <c r="AE39" i="14"/>
  <c r="AG39" i="14"/>
  <c r="AH39" i="14"/>
  <c r="AI39" i="14"/>
  <c r="AJ39" i="14"/>
  <c r="AK39" i="14"/>
  <c r="AL39" i="14"/>
  <c r="AM39" i="14"/>
  <c r="AN39" i="14"/>
  <c r="AO39" i="14"/>
  <c r="AP39" i="14"/>
  <c r="AQ39" i="14"/>
  <c r="AR39" i="14"/>
  <c r="AS39" i="14"/>
  <c r="AT39" i="14"/>
  <c r="AU39" i="14"/>
  <c r="AV39" i="14"/>
  <c r="AW39" i="14"/>
  <c r="AX39" i="14"/>
  <c r="AY39" i="14"/>
  <c r="AZ39" i="14"/>
  <c r="BA39" i="14"/>
  <c r="BB39" i="14"/>
  <c r="BC39" i="14"/>
  <c r="BD39" i="14"/>
  <c r="BF39" i="14"/>
  <c r="BG39" i="14"/>
  <c r="BH39" i="14"/>
  <c r="BI39" i="14"/>
  <c r="BJ39" i="14"/>
  <c r="BK39" i="14"/>
  <c r="BL39" i="14"/>
  <c r="BM39" i="14"/>
  <c r="BN39" i="14"/>
  <c r="BO39" i="14"/>
  <c r="BP39" i="14"/>
  <c r="BQ39" i="14"/>
  <c r="BR39" i="14"/>
  <c r="BS39" i="14"/>
  <c r="BT39" i="14"/>
  <c r="BU39" i="14"/>
  <c r="BV39" i="14"/>
  <c r="BW39" i="14"/>
  <c r="BX39" i="14"/>
  <c r="BY39" i="14"/>
  <c r="BZ39" i="14"/>
  <c r="CA39" i="14"/>
  <c r="CB39" i="14"/>
  <c r="CC39" i="14"/>
  <c r="CE39" i="14"/>
  <c r="CF39" i="14"/>
  <c r="CG39" i="14"/>
  <c r="CH39" i="14"/>
  <c r="CI39" i="14"/>
  <c r="CJ39" i="14"/>
  <c r="CK39" i="14"/>
  <c r="CL39" i="14"/>
  <c r="CM39" i="14"/>
  <c r="CN39" i="14"/>
  <c r="CO39" i="14"/>
  <c r="CP39" i="14"/>
  <c r="CQ39" i="14"/>
  <c r="CR39" i="14"/>
  <c r="CS39" i="14"/>
  <c r="CT39" i="14"/>
  <c r="CU39" i="14"/>
  <c r="CV39" i="14"/>
  <c r="CW39" i="14"/>
  <c r="CX39" i="14"/>
  <c r="CY39" i="14"/>
  <c r="CZ39" i="14"/>
  <c r="DA39" i="14"/>
  <c r="DB39" i="14"/>
  <c r="DH39" i="14"/>
  <c r="DI39" i="14"/>
  <c r="DJ39" i="14"/>
  <c r="H40" i="14"/>
  <c r="I40" i="14"/>
  <c r="J40" i="14"/>
  <c r="K40" i="14"/>
  <c r="L40" i="14"/>
  <c r="M40" i="14"/>
  <c r="N40" i="14"/>
  <c r="O40" i="14"/>
  <c r="P40" i="14"/>
  <c r="Q40" i="14"/>
  <c r="R40" i="14"/>
  <c r="S40" i="14"/>
  <c r="T40" i="14"/>
  <c r="U40" i="14"/>
  <c r="V40" i="14"/>
  <c r="W40" i="14"/>
  <c r="X40" i="14"/>
  <c r="Y40" i="14"/>
  <c r="Z40" i="14"/>
  <c r="AA40" i="14"/>
  <c r="AB40" i="14"/>
  <c r="AC40" i="14"/>
  <c r="AD40" i="14"/>
  <c r="AE40" i="14"/>
  <c r="AG40" i="14"/>
  <c r="AH40" i="14"/>
  <c r="AI40" i="14"/>
  <c r="AJ40" i="14"/>
  <c r="AK40" i="14"/>
  <c r="AL40" i="14"/>
  <c r="AM40" i="14"/>
  <c r="AN40" i="14"/>
  <c r="AO40" i="14"/>
  <c r="AP40" i="14"/>
  <c r="AQ40" i="14"/>
  <c r="AR40" i="14"/>
  <c r="AS40" i="14"/>
  <c r="AT40" i="14"/>
  <c r="AU40" i="14"/>
  <c r="AV40" i="14"/>
  <c r="AW40" i="14"/>
  <c r="AX40" i="14"/>
  <c r="AY40" i="14"/>
  <c r="AZ40" i="14"/>
  <c r="BA40" i="14"/>
  <c r="BB40" i="14"/>
  <c r="BC40" i="14"/>
  <c r="BD40" i="14"/>
  <c r="BF40" i="14"/>
  <c r="BG40" i="14"/>
  <c r="BH40" i="14"/>
  <c r="BI40" i="14"/>
  <c r="BJ40" i="14"/>
  <c r="BK40" i="14"/>
  <c r="BL40" i="14"/>
  <c r="BM40" i="14"/>
  <c r="BN40" i="14"/>
  <c r="BO40" i="14"/>
  <c r="BP40" i="14"/>
  <c r="BQ40" i="14"/>
  <c r="BR40" i="14"/>
  <c r="BS40" i="14"/>
  <c r="BT40" i="14"/>
  <c r="BU40" i="14"/>
  <c r="BV40" i="14"/>
  <c r="BW40" i="14"/>
  <c r="BX40" i="14"/>
  <c r="BY40" i="14"/>
  <c r="BZ40" i="14"/>
  <c r="CA40" i="14"/>
  <c r="CB40" i="14"/>
  <c r="CC40" i="14"/>
  <c r="CE40" i="14"/>
  <c r="CF40" i="14"/>
  <c r="CG40" i="14"/>
  <c r="CH40" i="14"/>
  <c r="CI40" i="14"/>
  <c r="CJ40" i="14"/>
  <c r="CK40" i="14"/>
  <c r="CL40" i="14"/>
  <c r="CM40" i="14"/>
  <c r="CN40" i="14"/>
  <c r="CO40" i="14"/>
  <c r="CP40" i="14"/>
  <c r="CQ40" i="14"/>
  <c r="CR40" i="14"/>
  <c r="CS40" i="14"/>
  <c r="CT40" i="14"/>
  <c r="CU40" i="14"/>
  <c r="CV40" i="14"/>
  <c r="CW40" i="14"/>
  <c r="CX40" i="14"/>
  <c r="CY40" i="14"/>
  <c r="CZ40" i="14"/>
  <c r="DA40" i="14"/>
  <c r="DB40" i="14"/>
  <c r="DH40" i="14"/>
  <c r="DI40" i="14"/>
  <c r="DJ40" i="14"/>
  <c r="H41" i="14"/>
  <c r="I41" i="14"/>
  <c r="J41" i="14"/>
  <c r="K41" i="14"/>
  <c r="L41" i="14"/>
  <c r="M41" i="14"/>
  <c r="N41" i="14"/>
  <c r="O41" i="14"/>
  <c r="P41" i="14"/>
  <c r="Q41" i="14"/>
  <c r="R41" i="14"/>
  <c r="S41" i="14"/>
  <c r="T41" i="14"/>
  <c r="U41" i="14"/>
  <c r="V41" i="14"/>
  <c r="W41" i="14"/>
  <c r="X41" i="14"/>
  <c r="Y41" i="14"/>
  <c r="Z41" i="14"/>
  <c r="AA41" i="14"/>
  <c r="AB41" i="14"/>
  <c r="AC41" i="14"/>
  <c r="AD41" i="14"/>
  <c r="AE41" i="14"/>
  <c r="AG41" i="14"/>
  <c r="AH41" i="14"/>
  <c r="AI41" i="14"/>
  <c r="AJ41" i="14"/>
  <c r="AK41" i="14"/>
  <c r="AL41" i="14"/>
  <c r="AM41" i="14"/>
  <c r="AN41" i="14"/>
  <c r="AO41" i="14"/>
  <c r="AP41" i="14"/>
  <c r="AQ41" i="14"/>
  <c r="AR41" i="14"/>
  <c r="AS41" i="14"/>
  <c r="AT41" i="14"/>
  <c r="AU41" i="14"/>
  <c r="AV41" i="14"/>
  <c r="AW41" i="14"/>
  <c r="AX41" i="14"/>
  <c r="AY41" i="14"/>
  <c r="AZ41" i="14"/>
  <c r="BA41" i="14"/>
  <c r="BB41" i="14"/>
  <c r="BC41" i="14"/>
  <c r="BD41" i="14"/>
  <c r="BF41" i="14"/>
  <c r="BG41" i="14"/>
  <c r="BH41" i="14"/>
  <c r="BI41" i="14"/>
  <c r="BJ41" i="14"/>
  <c r="BK41" i="14"/>
  <c r="BL41" i="14"/>
  <c r="BM41" i="14"/>
  <c r="BN41" i="14"/>
  <c r="BO41" i="14"/>
  <c r="BP41" i="14"/>
  <c r="BQ41" i="14"/>
  <c r="BR41" i="14"/>
  <c r="BS41" i="14"/>
  <c r="BT41" i="14"/>
  <c r="BU41" i="14"/>
  <c r="BV41" i="14"/>
  <c r="BW41" i="14"/>
  <c r="BX41" i="14"/>
  <c r="BY41" i="14"/>
  <c r="BZ41" i="14"/>
  <c r="CA41" i="14"/>
  <c r="CB41" i="14"/>
  <c r="CC41" i="14"/>
  <c r="CE41" i="14"/>
  <c r="CF41" i="14"/>
  <c r="CG41" i="14"/>
  <c r="CH41" i="14"/>
  <c r="CI41" i="14"/>
  <c r="CJ41" i="14"/>
  <c r="CK41" i="14"/>
  <c r="CL41" i="14"/>
  <c r="CM41" i="14"/>
  <c r="CN41" i="14"/>
  <c r="CO41" i="14"/>
  <c r="CP41" i="14"/>
  <c r="CQ41" i="14"/>
  <c r="CR41" i="14"/>
  <c r="CS41" i="14"/>
  <c r="CT41" i="14"/>
  <c r="CU41" i="14"/>
  <c r="CV41" i="14"/>
  <c r="CW41" i="14"/>
  <c r="CX41" i="14"/>
  <c r="CY41" i="14"/>
  <c r="CZ41" i="14"/>
  <c r="DA41" i="14"/>
  <c r="DB41" i="14"/>
  <c r="DH41" i="14"/>
  <c r="DI41" i="14"/>
  <c r="DJ41" i="14"/>
  <c r="H42" i="14"/>
  <c r="I42" i="14"/>
  <c r="J42" i="14"/>
  <c r="K42" i="14"/>
  <c r="L42" i="14"/>
  <c r="M42" i="14"/>
  <c r="N42" i="14"/>
  <c r="O42" i="14"/>
  <c r="P42" i="14"/>
  <c r="Q42" i="14"/>
  <c r="R42" i="14"/>
  <c r="S42" i="14"/>
  <c r="T42" i="14"/>
  <c r="U42" i="14"/>
  <c r="V42" i="14"/>
  <c r="W42" i="14"/>
  <c r="X42" i="14"/>
  <c r="Y42" i="14"/>
  <c r="Z42" i="14"/>
  <c r="AA42" i="14"/>
  <c r="AB42" i="14"/>
  <c r="AC42" i="14"/>
  <c r="AD42" i="14"/>
  <c r="AE42" i="14"/>
  <c r="AG42" i="14"/>
  <c r="AH42" i="14"/>
  <c r="AI42" i="14"/>
  <c r="AJ42" i="14"/>
  <c r="AK42" i="14"/>
  <c r="AL42" i="14"/>
  <c r="AM42" i="14"/>
  <c r="AN42" i="14"/>
  <c r="AO42" i="14"/>
  <c r="AP42" i="14"/>
  <c r="AQ42" i="14"/>
  <c r="AR42" i="14"/>
  <c r="AS42" i="14"/>
  <c r="AT42" i="14"/>
  <c r="AU42" i="14"/>
  <c r="AV42" i="14"/>
  <c r="AW42" i="14"/>
  <c r="AX42" i="14"/>
  <c r="AY42" i="14"/>
  <c r="AZ42" i="14"/>
  <c r="BA42" i="14"/>
  <c r="BB42" i="14"/>
  <c r="BC42" i="14"/>
  <c r="BD42" i="14"/>
  <c r="BF42" i="14"/>
  <c r="BG42" i="14"/>
  <c r="BH42" i="14"/>
  <c r="BI42" i="14"/>
  <c r="BJ42" i="14"/>
  <c r="BK42" i="14"/>
  <c r="BL42" i="14"/>
  <c r="BM42" i="14"/>
  <c r="BN42" i="14"/>
  <c r="BO42" i="14"/>
  <c r="BP42" i="14"/>
  <c r="BQ42" i="14"/>
  <c r="BR42" i="14"/>
  <c r="BS42" i="14"/>
  <c r="BT42" i="14"/>
  <c r="BU42" i="14"/>
  <c r="BV42" i="14"/>
  <c r="BW42" i="14"/>
  <c r="BX42" i="14"/>
  <c r="BY42" i="14"/>
  <c r="BZ42" i="14"/>
  <c r="CA42" i="14"/>
  <c r="CB42" i="14"/>
  <c r="CC42" i="14"/>
  <c r="CE42" i="14"/>
  <c r="CF42" i="14"/>
  <c r="CG42" i="14"/>
  <c r="CH42" i="14"/>
  <c r="CI42" i="14"/>
  <c r="CJ42" i="14"/>
  <c r="CK42" i="14"/>
  <c r="CL42" i="14"/>
  <c r="CM42" i="14"/>
  <c r="CN42" i="14"/>
  <c r="CO42" i="14"/>
  <c r="CP42" i="14"/>
  <c r="CQ42" i="14"/>
  <c r="CR42" i="14"/>
  <c r="CS42" i="14"/>
  <c r="CT42" i="14"/>
  <c r="CU42" i="14"/>
  <c r="CV42" i="14"/>
  <c r="CW42" i="14"/>
  <c r="CX42" i="14"/>
  <c r="CY42" i="14"/>
  <c r="CZ42" i="14"/>
  <c r="DA42" i="14"/>
  <c r="DB42" i="14"/>
  <c r="DH42" i="14"/>
  <c r="DI42" i="14"/>
  <c r="DJ42" i="14"/>
  <c r="H43" i="14"/>
  <c r="I43" i="14"/>
  <c r="J43" i="14"/>
  <c r="K43" i="14"/>
  <c r="L43" i="14"/>
  <c r="M43" i="14"/>
  <c r="N43" i="14"/>
  <c r="O43" i="14"/>
  <c r="P43" i="14"/>
  <c r="Q43" i="14"/>
  <c r="R43" i="14"/>
  <c r="S43" i="14"/>
  <c r="T43" i="14"/>
  <c r="U43" i="14"/>
  <c r="V43" i="14"/>
  <c r="W43" i="14"/>
  <c r="X43" i="14"/>
  <c r="Y43" i="14"/>
  <c r="Z43" i="14"/>
  <c r="AA43" i="14"/>
  <c r="AB43" i="14"/>
  <c r="AC43" i="14"/>
  <c r="AD43" i="14"/>
  <c r="AE43" i="14"/>
  <c r="AG43" i="14"/>
  <c r="AH43" i="14"/>
  <c r="AI43" i="14"/>
  <c r="AJ43" i="14"/>
  <c r="AK43" i="14"/>
  <c r="AL43" i="14"/>
  <c r="AM43" i="14"/>
  <c r="AN43" i="14"/>
  <c r="AO43" i="14"/>
  <c r="AP43" i="14"/>
  <c r="AQ43" i="14"/>
  <c r="AR43" i="14"/>
  <c r="AS43" i="14"/>
  <c r="AT43" i="14"/>
  <c r="AU43" i="14"/>
  <c r="AV43" i="14"/>
  <c r="AW43" i="14"/>
  <c r="AX43" i="14"/>
  <c r="AY43" i="14"/>
  <c r="AZ43" i="14"/>
  <c r="BA43" i="14"/>
  <c r="BB43" i="14"/>
  <c r="BC43" i="14"/>
  <c r="BD43" i="14"/>
  <c r="BF43" i="14"/>
  <c r="BG43" i="14"/>
  <c r="BH43" i="14"/>
  <c r="BI43" i="14"/>
  <c r="BJ43" i="14"/>
  <c r="BK43" i="14"/>
  <c r="BL43" i="14"/>
  <c r="BM43" i="14"/>
  <c r="BN43" i="14"/>
  <c r="BO43" i="14"/>
  <c r="BP43" i="14"/>
  <c r="BQ43" i="14"/>
  <c r="BR43" i="14"/>
  <c r="BS43" i="14"/>
  <c r="BT43" i="14"/>
  <c r="BU43" i="14"/>
  <c r="BV43" i="14"/>
  <c r="BW43" i="14"/>
  <c r="BX43" i="14"/>
  <c r="BY43" i="14"/>
  <c r="BZ43" i="14"/>
  <c r="CA43" i="14"/>
  <c r="CB43" i="14"/>
  <c r="CC43" i="14"/>
  <c r="CE43" i="14"/>
  <c r="CF43" i="14"/>
  <c r="CG43" i="14"/>
  <c r="CH43" i="14"/>
  <c r="CI43" i="14"/>
  <c r="CJ43" i="14"/>
  <c r="CK43" i="14"/>
  <c r="CL43" i="14"/>
  <c r="CM43" i="14"/>
  <c r="CN43" i="14"/>
  <c r="CO43" i="14"/>
  <c r="CP43" i="14"/>
  <c r="CQ43" i="14"/>
  <c r="CR43" i="14"/>
  <c r="CS43" i="14"/>
  <c r="CT43" i="14"/>
  <c r="CU43" i="14"/>
  <c r="CV43" i="14"/>
  <c r="CW43" i="14"/>
  <c r="CX43" i="14"/>
  <c r="CY43" i="14"/>
  <c r="CZ43" i="14"/>
  <c r="DA43" i="14"/>
  <c r="DB43" i="14"/>
  <c r="DH43" i="14"/>
  <c r="DI43" i="14"/>
  <c r="DJ43" i="14"/>
  <c r="H44" i="14"/>
  <c r="I44" i="14"/>
  <c r="J44" i="14"/>
  <c r="K44" i="14"/>
  <c r="L44" i="14"/>
  <c r="M44" i="14"/>
  <c r="N44" i="14"/>
  <c r="O44" i="14"/>
  <c r="P44" i="14"/>
  <c r="Q44" i="14"/>
  <c r="R44" i="14"/>
  <c r="S44" i="14"/>
  <c r="T44" i="14"/>
  <c r="U44" i="14"/>
  <c r="V44" i="14"/>
  <c r="W44" i="14"/>
  <c r="X44" i="14"/>
  <c r="Y44" i="14"/>
  <c r="Z44" i="14"/>
  <c r="AA44" i="14"/>
  <c r="AB44" i="14"/>
  <c r="AC44" i="14"/>
  <c r="AD44" i="14"/>
  <c r="AE44" i="14"/>
  <c r="AG44" i="14"/>
  <c r="AH44" i="14"/>
  <c r="AI44" i="14"/>
  <c r="AJ44" i="14"/>
  <c r="AK44" i="14"/>
  <c r="AL44" i="14"/>
  <c r="AM44" i="14"/>
  <c r="AN44" i="14"/>
  <c r="AO44" i="14"/>
  <c r="AP44" i="14"/>
  <c r="AQ44" i="14"/>
  <c r="AR44" i="14"/>
  <c r="AS44" i="14"/>
  <c r="AT44" i="14"/>
  <c r="AU44" i="14"/>
  <c r="AV44" i="14"/>
  <c r="AW44" i="14"/>
  <c r="AX44" i="14"/>
  <c r="AY44" i="14"/>
  <c r="AZ44" i="14"/>
  <c r="BA44" i="14"/>
  <c r="BB44" i="14"/>
  <c r="BC44" i="14"/>
  <c r="BD44" i="14"/>
  <c r="BF44" i="14"/>
  <c r="BG44" i="14"/>
  <c r="BH44" i="14"/>
  <c r="BI44" i="14"/>
  <c r="BJ44" i="14"/>
  <c r="BK44" i="14"/>
  <c r="BL44" i="14"/>
  <c r="BM44" i="14"/>
  <c r="BN44" i="14"/>
  <c r="BO44" i="14"/>
  <c r="BP44" i="14"/>
  <c r="BQ44" i="14"/>
  <c r="BR44" i="14"/>
  <c r="BS44" i="14"/>
  <c r="BT44" i="14"/>
  <c r="BU44" i="14"/>
  <c r="BV44" i="14"/>
  <c r="BW44" i="14"/>
  <c r="BX44" i="14"/>
  <c r="BY44" i="14"/>
  <c r="BZ44" i="14"/>
  <c r="CA44" i="14"/>
  <c r="CB44" i="14"/>
  <c r="CC44" i="14"/>
  <c r="CE44" i="14"/>
  <c r="CF44" i="14"/>
  <c r="CG44" i="14"/>
  <c r="CH44" i="14"/>
  <c r="CI44" i="14"/>
  <c r="CJ44" i="14"/>
  <c r="CK44" i="14"/>
  <c r="CL44" i="14"/>
  <c r="CM44" i="14"/>
  <c r="CN44" i="14"/>
  <c r="CO44" i="14"/>
  <c r="CP44" i="14"/>
  <c r="CQ44" i="14"/>
  <c r="CR44" i="14"/>
  <c r="CS44" i="14"/>
  <c r="CT44" i="14"/>
  <c r="CU44" i="14"/>
  <c r="CV44" i="14"/>
  <c r="CW44" i="14"/>
  <c r="CX44" i="14"/>
  <c r="CY44" i="14"/>
  <c r="CZ44" i="14"/>
  <c r="DA44" i="14"/>
  <c r="DB44" i="14"/>
  <c r="DH44" i="14"/>
  <c r="DI44" i="14"/>
  <c r="DJ44" i="14"/>
  <c r="H45" i="14"/>
  <c r="I45" i="14"/>
  <c r="J45" i="14"/>
  <c r="K45" i="14"/>
  <c r="L45" i="14"/>
  <c r="M45" i="14"/>
  <c r="N45" i="14"/>
  <c r="O45" i="14"/>
  <c r="P45" i="14"/>
  <c r="Q45" i="14"/>
  <c r="R45" i="14"/>
  <c r="S45" i="14"/>
  <c r="T45" i="14"/>
  <c r="U45" i="14"/>
  <c r="V45" i="14"/>
  <c r="W45" i="14"/>
  <c r="X45" i="14"/>
  <c r="Y45" i="14"/>
  <c r="Z45" i="14"/>
  <c r="AA45" i="14"/>
  <c r="AB45" i="14"/>
  <c r="AC45" i="14"/>
  <c r="AD45" i="14"/>
  <c r="AE45" i="14"/>
  <c r="AG45" i="14"/>
  <c r="AH45" i="14"/>
  <c r="AI45" i="14"/>
  <c r="AJ45" i="14"/>
  <c r="AK45" i="14"/>
  <c r="AL45" i="14"/>
  <c r="AM45" i="14"/>
  <c r="AN45" i="14"/>
  <c r="AO45" i="14"/>
  <c r="AP45" i="14"/>
  <c r="AQ45" i="14"/>
  <c r="AR45" i="14"/>
  <c r="AS45" i="14"/>
  <c r="AT45" i="14"/>
  <c r="AU45" i="14"/>
  <c r="AV45" i="14"/>
  <c r="AW45" i="14"/>
  <c r="AX45" i="14"/>
  <c r="AY45" i="14"/>
  <c r="AZ45" i="14"/>
  <c r="BA45" i="14"/>
  <c r="BB45" i="14"/>
  <c r="BC45" i="14"/>
  <c r="BD45" i="14"/>
  <c r="BF45" i="14"/>
  <c r="BG45" i="14"/>
  <c r="BH45" i="14"/>
  <c r="BI45" i="14"/>
  <c r="BJ45" i="14"/>
  <c r="BK45" i="14"/>
  <c r="BL45" i="14"/>
  <c r="BM45" i="14"/>
  <c r="BN45" i="14"/>
  <c r="BO45" i="14"/>
  <c r="BP45" i="14"/>
  <c r="BQ45" i="14"/>
  <c r="BR45" i="14"/>
  <c r="BS45" i="14"/>
  <c r="BT45" i="14"/>
  <c r="BU45" i="14"/>
  <c r="BV45" i="14"/>
  <c r="BW45" i="14"/>
  <c r="BX45" i="14"/>
  <c r="BY45" i="14"/>
  <c r="BZ45" i="14"/>
  <c r="CA45" i="14"/>
  <c r="CB45" i="14"/>
  <c r="CC45" i="14"/>
  <c r="CE45" i="14"/>
  <c r="CF45" i="14"/>
  <c r="CG45" i="14"/>
  <c r="CH45" i="14"/>
  <c r="CI45" i="14"/>
  <c r="CJ45" i="14"/>
  <c r="CK45" i="14"/>
  <c r="CL45" i="14"/>
  <c r="CM45" i="14"/>
  <c r="CN45" i="14"/>
  <c r="CO45" i="14"/>
  <c r="CP45" i="14"/>
  <c r="CQ45" i="14"/>
  <c r="CR45" i="14"/>
  <c r="CS45" i="14"/>
  <c r="CT45" i="14"/>
  <c r="CU45" i="14"/>
  <c r="CV45" i="14"/>
  <c r="CW45" i="14"/>
  <c r="CX45" i="14"/>
  <c r="CY45" i="14"/>
  <c r="CZ45" i="14"/>
  <c r="DA45" i="14"/>
  <c r="DB45" i="14"/>
  <c r="DH45" i="14"/>
  <c r="DI45" i="14"/>
  <c r="DJ45" i="14"/>
  <c r="H46" i="14"/>
  <c r="I46" i="14"/>
  <c r="J46" i="14"/>
  <c r="K46" i="14"/>
  <c r="L46" i="14"/>
  <c r="M46" i="14"/>
  <c r="N46" i="14"/>
  <c r="O46" i="14"/>
  <c r="P46" i="14"/>
  <c r="Q46" i="14"/>
  <c r="R46" i="14"/>
  <c r="S46" i="14"/>
  <c r="T46" i="14"/>
  <c r="U46" i="14"/>
  <c r="V46" i="14"/>
  <c r="W46" i="14"/>
  <c r="X46" i="14"/>
  <c r="Y46" i="14"/>
  <c r="Z46" i="14"/>
  <c r="AA46" i="14"/>
  <c r="AB46" i="14"/>
  <c r="AC46" i="14"/>
  <c r="AD46" i="14"/>
  <c r="AE46" i="14"/>
  <c r="AG46" i="14"/>
  <c r="AH46" i="14"/>
  <c r="AI46" i="14"/>
  <c r="AJ46" i="14"/>
  <c r="AK46" i="14"/>
  <c r="AL46" i="14"/>
  <c r="AM46" i="14"/>
  <c r="AN46" i="14"/>
  <c r="AO46" i="14"/>
  <c r="AP46" i="14"/>
  <c r="AQ46" i="14"/>
  <c r="AR46" i="14"/>
  <c r="AS46" i="14"/>
  <c r="AT46" i="14"/>
  <c r="AU46" i="14"/>
  <c r="AV46" i="14"/>
  <c r="AW46" i="14"/>
  <c r="AX46" i="14"/>
  <c r="AY46" i="14"/>
  <c r="AZ46" i="14"/>
  <c r="BA46" i="14"/>
  <c r="BB46" i="14"/>
  <c r="BC46" i="14"/>
  <c r="BD46" i="14"/>
  <c r="BF46" i="14"/>
  <c r="BG46" i="14"/>
  <c r="BH46" i="14"/>
  <c r="BI46" i="14"/>
  <c r="BJ46" i="14"/>
  <c r="BK46" i="14"/>
  <c r="BL46" i="14"/>
  <c r="BM46" i="14"/>
  <c r="BN46" i="14"/>
  <c r="BO46" i="14"/>
  <c r="BP46" i="14"/>
  <c r="BQ46" i="14"/>
  <c r="BR46" i="14"/>
  <c r="BS46" i="14"/>
  <c r="BT46" i="14"/>
  <c r="BU46" i="14"/>
  <c r="BV46" i="14"/>
  <c r="BW46" i="14"/>
  <c r="BX46" i="14"/>
  <c r="BY46" i="14"/>
  <c r="BZ46" i="14"/>
  <c r="CA46" i="14"/>
  <c r="CB46" i="14"/>
  <c r="CC46" i="14"/>
  <c r="CE46" i="14"/>
  <c r="CF46" i="14"/>
  <c r="CG46" i="14"/>
  <c r="CH46" i="14"/>
  <c r="CI46" i="14"/>
  <c r="CJ46" i="14"/>
  <c r="CK46" i="14"/>
  <c r="CL46" i="14"/>
  <c r="CM46" i="14"/>
  <c r="CN46" i="14"/>
  <c r="CO46" i="14"/>
  <c r="CP46" i="14"/>
  <c r="CQ46" i="14"/>
  <c r="CR46" i="14"/>
  <c r="CS46" i="14"/>
  <c r="CT46" i="14"/>
  <c r="CU46" i="14"/>
  <c r="CV46" i="14"/>
  <c r="CW46" i="14"/>
  <c r="CX46" i="14"/>
  <c r="CY46" i="14"/>
  <c r="CZ46" i="14"/>
  <c r="DA46" i="14"/>
  <c r="DB46" i="14"/>
  <c r="DH46" i="14"/>
  <c r="DI46" i="14"/>
  <c r="DJ46" i="14"/>
  <c r="H47" i="14"/>
  <c r="I47" i="14"/>
  <c r="J47" i="14"/>
  <c r="K47" i="14"/>
  <c r="L47" i="14"/>
  <c r="M47" i="14"/>
  <c r="N47" i="14"/>
  <c r="O47" i="14"/>
  <c r="P47" i="14"/>
  <c r="Q47" i="14"/>
  <c r="R47" i="14"/>
  <c r="S47" i="14"/>
  <c r="T47" i="14"/>
  <c r="U47" i="14"/>
  <c r="V47" i="14"/>
  <c r="W47" i="14"/>
  <c r="X47" i="14"/>
  <c r="Y47" i="14"/>
  <c r="Z47" i="14"/>
  <c r="AA47" i="14"/>
  <c r="AB47" i="14"/>
  <c r="AC47" i="14"/>
  <c r="AD47" i="14"/>
  <c r="AE47" i="14"/>
  <c r="AG47" i="14"/>
  <c r="AH47" i="14"/>
  <c r="AI47" i="14"/>
  <c r="AJ47" i="14"/>
  <c r="AK47" i="14"/>
  <c r="AL47" i="14"/>
  <c r="AM47" i="14"/>
  <c r="AN47" i="14"/>
  <c r="AO47" i="14"/>
  <c r="AP47" i="14"/>
  <c r="AQ47" i="14"/>
  <c r="AR47" i="14"/>
  <c r="AS47" i="14"/>
  <c r="AT47" i="14"/>
  <c r="AU47" i="14"/>
  <c r="AV47" i="14"/>
  <c r="AW47" i="14"/>
  <c r="AX47" i="14"/>
  <c r="AY47" i="14"/>
  <c r="AZ47" i="14"/>
  <c r="BA47" i="14"/>
  <c r="BB47" i="14"/>
  <c r="BC47" i="14"/>
  <c r="BD47" i="14"/>
  <c r="BF47" i="14"/>
  <c r="BG47" i="14"/>
  <c r="BH47" i="14"/>
  <c r="BI47" i="14"/>
  <c r="BJ47" i="14"/>
  <c r="BK47" i="14"/>
  <c r="BL47" i="14"/>
  <c r="BM47" i="14"/>
  <c r="BN47" i="14"/>
  <c r="BO47" i="14"/>
  <c r="BP47" i="14"/>
  <c r="BQ47" i="14"/>
  <c r="BR47" i="14"/>
  <c r="BS47" i="14"/>
  <c r="BT47" i="14"/>
  <c r="BU47" i="14"/>
  <c r="BV47" i="14"/>
  <c r="BW47" i="14"/>
  <c r="BX47" i="14"/>
  <c r="BY47" i="14"/>
  <c r="BZ47" i="14"/>
  <c r="CA47" i="14"/>
  <c r="CB47" i="14"/>
  <c r="CC47" i="14"/>
  <c r="CE47" i="14"/>
  <c r="CF47" i="14"/>
  <c r="CG47" i="14"/>
  <c r="CH47" i="14"/>
  <c r="CI47" i="14"/>
  <c r="CJ47" i="14"/>
  <c r="CK47" i="14"/>
  <c r="CL47" i="14"/>
  <c r="CM47" i="14"/>
  <c r="CN47" i="14"/>
  <c r="CO47" i="14"/>
  <c r="CP47" i="14"/>
  <c r="CQ47" i="14"/>
  <c r="CR47" i="14"/>
  <c r="CS47" i="14"/>
  <c r="CT47" i="14"/>
  <c r="CU47" i="14"/>
  <c r="CV47" i="14"/>
  <c r="CW47" i="14"/>
  <c r="CX47" i="14"/>
  <c r="CY47" i="14"/>
  <c r="CZ47" i="14"/>
  <c r="DA47" i="14"/>
  <c r="DB47" i="14"/>
  <c r="DH47" i="14"/>
  <c r="DI47" i="14"/>
  <c r="DJ47" i="14"/>
  <c r="H48" i="14"/>
  <c r="I48" i="14"/>
  <c r="J48" i="14"/>
  <c r="K48" i="14"/>
  <c r="L48" i="14"/>
  <c r="M48" i="14"/>
  <c r="N48" i="14"/>
  <c r="O48" i="14"/>
  <c r="P48" i="14"/>
  <c r="Q48" i="14"/>
  <c r="R48" i="14"/>
  <c r="S48" i="14"/>
  <c r="T48" i="14"/>
  <c r="U48" i="14"/>
  <c r="V48" i="14"/>
  <c r="W48" i="14"/>
  <c r="X48" i="14"/>
  <c r="Y48" i="14"/>
  <c r="Z48" i="14"/>
  <c r="AA48" i="14"/>
  <c r="AB48" i="14"/>
  <c r="AC48" i="14"/>
  <c r="AD48" i="14"/>
  <c r="AE48" i="14"/>
  <c r="AG48" i="14"/>
  <c r="AH48" i="14"/>
  <c r="AI48" i="14"/>
  <c r="AJ48" i="14"/>
  <c r="AK48" i="14"/>
  <c r="AL48" i="14"/>
  <c r="AM48" i="14"/>
  <c r="AN48" i="14"/>
  <c r="AO48" i="14"/>
  <c r="AP48" i="14"/>
  <c r="AQ48" i="14"/>
  <c r="AR48" i="14"/>
  <c r="AS48" i="14"/>
  <c r="AT48" i="14"/>
  <c r="AU48" i="14"/>
  <c r="AV48" i="14"/>
  <c r="AW48" i="14"/>
  <c r="AX48" i="14"/>
  <c r="AY48" i="14"/>
  <c r="AZ48" i="14"/>
  <c r="BA48" i="14"/>
  <c r="BB48" i="14"/>
  <c r="BC48" i="14"/>
  <c r="BD48" i="14"/>
  <c r="BF48" i="14"/>
  <c r="BG48" i="14"/>
  <c r="BH48" i="14"/>
  <c r="BI48" i="14"/>
  <c r="BJ48" i="14"/>
  <c r="BK48" i="14"/>
  <c r="BL48" i="14"/>
  <c r="BM48" i="14"/>
  <c r="BN48" i="14"/>
  <c r="BO48" i="14"/>
  <c r="BP48" i="14"/>
  <c r="BQ48" i="14"/>
  <c r="BR48" i="14"/>
  <c r="BS48" i="14"/>
  <c r="BT48" i="14"/>
  <c r="BU48" i="14"/>
  <c r="BV48" i="14"/>
  <c r="BW48" i="14"/>
  <c r="BX48" i="14"/>
  <c r="BY48" i="14"/>
  <c r="BZ48" i="14"/>
  <c r="CA48" i="14"/>
  <c r="CB48" i="14"/>
  <c r="CC48" i="14"/>
  <c r="CE48" i="14"/>
  <c r="CF48" i="14"/>
  <c r="CG48" i="14"/>
  <c r="CH48" i="14"/>
  <c r="CI48" i="14"/>
  <c r="CJ48" i="14"/>
  <c r="CK48" i="14"/>
  <c r="CL48" i="14"/>
  <c r="CM48" i="14"/>
  <c r="CN48" i="14"/>
  <c r="CO48" i="14"/>
  <c r="CP48" i="14"/>
  <c r="CQ48" i="14"/>
  <c r="CR48" i="14"/>
  <c r="CS48" i="14"/>
  <c r="CT48" i="14"/>
  <c r="CU48" i="14"/>
  <c r="CV48" i="14"/>
  <c r="CW48" i="14"/>
  <c r="CX48" i="14"/>
  <c r="CY48" i="14"/>
  <c r="CZ48" i="14"/>
  <c r="DA48" i="14"/>
  <c r="DB48" i="14"/>
  <c r="DH48" i="14"/>
  <c r="DI48" i="14"/>
  <c r="DJ48" i="14"/>
  <c r="H49" i="14"/>
  <c r="I49" i="14"/>
  <c r="J49" i="14"/>
  <c r="K49" i="14"/>
  <c r="L49" i="14"/>
  <c r="M49" i="14"/>
  <c r="N49" i="14"/>
  <c r="O49" i="14"/>
  <c r="P49" i="14"/>
  <c r="Q49" i="14"/>
  <c r="R49" i="14"/>
  <c r="S49" i="14"/>
  <c r="T49" i="14"/>
  <c r="U49" i="14"/>
  <c r="V49" i="14"/>
  <c r="W49" i="14"/>
  <c r="X49" i="14"/>
  <c r="Y49" i="14"/>
  <c r="Z49" i="14"/>
  <c r="AA49" i="14"/>
  <c r="AB49" i="14"/>
  <c r="AC49" i="14"/>
  <c r="AD49" i="14"/>
  <c r="AE49" i="14"/>
  <c r="AG49" i="14"/>
  <c r="AH49" i="14"/>
  <c r="AI49" i="14"/>
  <c r="AJ49" i="14"/>
  <c r="AK49" i="14"/>
  <c r="AL49" i="14"/>
  <c r="AM49" i="14"/>
  <c r="AN49" i="14"/>
  <c r="AO49" i="14"/>
  <c r="AP49" i="14"/>
  <c r="AQ49" i="14"/>
  <c r="AR49" i="14"/>
  <c r="AS49" i="14"/>
  <c r="AT49" i="14"/>
  <c r="AU49" i="14"/>
  <c r="AV49" i="14"/>
  <c r="AW49" i="14"/>
  <c r="AX49" i="14"/>
  <c r="AY49" i="14"/>
  <c r="AZ49" i="14"/>
  <c r="BA49" i="14"/>
  <c r="BB49" i="14"/>
  <c r="BC49" i="14"/>
  <c r="BD49" i="14"/>
  <c r="BF49" i="14"/>
  <c r="BG49" i="14"/>
  <c r="BH49" i="14"/>
  <c r="BI49" i="14"/>
  <c r="BJ49" i="14"/>
  <c r="BK49" i="14"/>
  <c r="BL49" i="14"/>
  <c r="BM49" i="14"/>
  <c r="BN49" i="14"/>
  <c r="BO49" i="14"/>
  <c r="BP49" i="14"/>
  <c r="BQ49" i="14"/>
  <c r="BR49" i="14"/>
  <c r="BS49" i="14"/>
  <c r="BT49" i="14"/>
  <c r="BU49" i="14"/>
  <c r="BV49" i="14"/>
  <c r="BW49" i="14"/>
  <c r="BX49" i="14"/>
  <c r="BY49" i="14"/>
  <c r="BZ49" i="14"/>
  <c r="CA49" i="14"/>
  <c r="CB49" i="14"/>
  <c r="CC49" i="14"/>
  <c r="CE49" i="14"/>
  <c r="CF49" i="14"/>
  <c r="CG49" i="14"/>
  <c r="CH49" i="14"/>
  <c r="CI49" i="14"/>
  <c r="CJ49" i="14"/>
  <c r="CK49" i="14"/>
  <c r="CL49" i="14"/>
  <c r="CM49" i="14"/>
  <c r="CN49" i="14"/>
  <c r="CO49" i="14"/>
  <c r="CP49" i="14"/>
  <c r="CQ49" i="14"/>
  <c r="CR49" i="14"/>
  <c r="CS49" i="14"/>
  <c r="CT49" i="14"/>
  <c r="CU49" i="14"/>
  <c r="CV49" i="14"/>
  <c r="CW49" i="14"/>
  <c r="CX49" i="14"/>
  <c r="CY49" i="14"/>
  <c r="CZ49" i="14"/>
  <c r="DA49" i="14"/>
  <c r="DB49" i="14"/>
  <c r="DH49" i="14"/>
  <c r="DI49" i="14"/>
  <c r="DJ49" i="14"/>
  <c r="H50" i="14"/>
  <c r="I50" i="14"/>
  <c r="J50" i="14"/>
  <c r="K50" i="14"/>
  <c r="L50" i="14"/>
  <c r="M50" i="14"/>
  <c r="N50" i="14"/>
  <c r="O50" i="14"/>
  <c r="P50" i="14"/>
  <c r="Q50" i="14"/>
  <c r="R50" i="14"/>
  <c r="S50" i="14"/>
  <c r="T50" i="14"/>
  <c r="U50" i="14"/>
  <c r="V50" i="14"/>
  <c r="W50" i="14"/>
  <c r="X50" i="14"/>
  <c r="Y50" i="14"/>
  <c r="Z50" i="14"/>
  <c r="AA50" i="14"/>
  <c r="AB50" i="14"/>
  <c r="AC50" i="14"/>
  <c r="AD50" i="14"/>
  <c r="AE50" i="14"/>
  <c r="AG50" i="14"/>
  <c r="AH50" i="14"/>
  <c r="AI50" i="14"/>
  <c r="AJ50" i="14"/>
  <c r="AK50" i="14"/>
  <c r="AL50" i="14"/>
  <c r="AM50" i="14"/>
  <c r="AN50" i="14"/>
  <c r="AO50" i="14"/>
  <c r="AP50" i="14"/>
  <c r="AQ50" i="14"/>
  <c r="AR50" i="14"/>
  <c r="AS50" i="14"/>
  <c r="AT50" i="14"/>
  <c r="AU50" i="14"/>
  <c r="AV50" i="14"/>
  <c r="AW50" i="14"/>
  <c r="AX50" i="14"/>
  <c r="AY50" i="14"/>
  <c r="AZ50" i="14"/>
  <c r="BA50" i="14"/>
  <c r="BB50" i="14"/>
  <c r="BC50" i="14"/>
  <c r="BD50" i="14"/>
  <c r="BF50" i="14"/>
  <c r="BG50" i="14"/>
  <c r="BH50" i="14"/>
  <c r="BI50" i="14"/>
  <c r="BJ50" i="14"/>
  <c r="BK50" i="14"/>
  <c r="BL50" i="14"/>
  <c r="BM50" i="14"/>
  <c r="BN50" i="14"/>
  <c r="BO50" i="14"/>
  <c r="BP50" i="14"/>
  <c r="BQ50" i="14"/>
  <c r="BR50" i="14"/>
  <c r="BS50" i="14"/>
  <c r="BT50" i="14"/>
  <c r="BU50" i="14"/>
  <c r="BV50" i="14"/>
  <c r="BW50" i="14"/>
  <c r="BX50" i="14"/>
  <c r="BY50" i="14"/>
  <c r="BZ50" i="14"/>
  <c r="CA50" i="14"/>
  <c r="CB50" i="14"/>
  <c r="CC50" i="14"/>
  <c r="CE50" i="14"/>
  <c r="CF50" i="14"/>
  <c r="CG50" i="14"/>
  <c r="CH50" i="14"/>
  <c r="CI50" i="14"/>
  <c r="CJ50" i="14"/>
  <c r="CK50" i="14"/>
  <c r="CL50" i="14"/>
  <c r="CM50" i="14"/>
  <c r="CN50" i="14"/>
  <c r="CO50" i="14"/>
  <c r="CP50" i="14"/>
  <c r="CQ50" i="14"/>
  <c r="CR50" i="14"/>
  <c r="CS50" i="14"/>
  <c r="CT50" i="14"/>
  <c r="CU50" i="14"/>
  <c r="CV50" i="14"/>
  <c r="CW50" i="14"/>
  <c r="CX50" i="14"/>
  <c r="CY50" i="14"/>
  <c r="CZ50" i="14"/>
  <c r="DA50" i="14"/>
  <c r="DB50" i="14"/>
  <c r="DH50" i="14"/>
  <c r="DI50" i="14"/>
  <c r="DJ50" i="14"/>
  <c r="H51" i="14"/>
  <c r="I51" i="14"/>
  <c r="J51" i="14"/>
  <c r="K51" i="14"/>
  <c r="L51" i="14"/>
  <c r="M51" i="14"/>
  <c r="N51" i="14"/>
  <c r="O51" i="14"/>
  <c r="P51" i="14"/>
  <c r="Q51" i="14"/>
  <c r="R51" i="14"/>
  <c r="S51" i="14"/>
  <c r="T51" i="14"/>
  <c r="U51" i="14"/>
  <c r="V51" i="14"/>
  <c r="W51" i="14"/>
  <c r="X51" i="14"/>
  <c r="Y51" i="14"/>
  <c r="Z51" i="14"/>
  <c r="AA51" i="14"/>
  <c r="AB51" i="14"/>
  <c r="AC51" i="14"/>
  <c r="AD51" i="14"/>
  <c r="AE51" i="14"/>
  <c r="AG51" i="14"/>
  <c r="AH51" i="14"/>
  <c r="AI51" i="14"/>
  <c r="AJ51" i="14"/>
  <c r="AK51" i="14"/>
  <c r="AL51" i="14"/>
  <c r="AM51" i="14"/>
  <c r="AN51" i="14"/>
  <c r="AO51" i="14"/>
  <c r="AP51" i="14"/>
  <c r="AQ51" i="14"/>
  <c r="AR51" i="14"/>
  <c r="AS51" i="14"/>
  <c r="AT51" i="14"/>
  <c r="AU51" i="14"/>
  <c r="AV51" i="14"/>
  <c r="AW51" i="14"/>
  <c r="AX51" i="14"/>
  <c r="AY51" i="14"/>
  <c r="AZ51" i="14"/>
  <c r="BA51" i="14"/>
  <c r="BB51" i="14"/>
  <c r="BC51" i="14"/>
  <c r="BD51" i="14"/>
  <c r="BF51" i="14"/>
  <c r="BG51" i="14"/>
  <c r="BH51" i="14"/>
  <c r="BI51" i="14"/>
  <c r="BJ51" i="14"/>
  <c r="BK51" i="14"/>
  <c r="BL51" i="14"/>
  <c r="BM51" i="14"/>
  <c r="BN51" i="14"/>
  <c r="BO51" i="14"/>
  <c r="BP51" i="14"/>
  <c r="BQ51" i="14"/>
  <c r="BR51" i="14"/>
  <c r="BS51" i="14"/>
  <c r="BT51" i="14"/>
  <c r="BU51" i="14"/>
  <c r="BV51" i="14"/>
  <c r="BW51" i="14"/>
  <c r="BX51" i="14"/>
  <c r="BY51" i="14"/>
  <c r="BZ51" i="14"/>
  <c r="CA51" i="14"/>
  <c r="CB51" i="14"/>
  <c r="CC51" i="14"/>
  <c r="CE51" i="14"/>
  <c r="CF51" i="14"/>
  <c r="CG51" i="14"/>
  <c r="CH51" i="14"/>
  <c r="CI51" i="14"/>
  <c r="CJ51" i="14"/>
  <c r="CK51" i="14"/>
  <c r="CL51" i="14"/>
  <c r="CM51" i="14"/>
  <c r="CN51" i="14"/>
  <c r="CO51" i="14"/>
  <c r="CP51" i="14"/>
  <c r="CQ51" i="14"/>
  <c r="CR51" i="14"/>
  <c r="CS51" i="14"/>
  <c r="CT51" i="14"/>
  <c r="CU51" i="14"/>
  <c r="CV51" i="14"/>
  <c r="CW51" i="14"/>
  <c r="CX51" i="14"/>
  <c r="CY51" i="14"/>
  <c r="CZ51" i="14"/>
  <c r="DA51" i="14"/>
  <c r="DB51" i="14"/>
  <c r="DH51" i="14"/>
  <c r="DI51" i="14"/>
  <c r="DJ51" i="14"/>
  <c r="H52" i="14"/>
  <c r="I52" i="14"/>
  <c r="J52" i="14"/>
  <c r="K52" i="14"/>
  <c r="L52" i="14"/>
  <c r="M52" i="14"/>
  <c r="N52" i="14"/>
  <c r="O52" i="14"/>
  <c r="P52" i="14"/>
  <c r="Q52" i="14"/>
  <c r="R52" i="14"/>
  <c r="S52" i="14"/>
  <c r="T52" i="14"/>
  <c r="U52" i="14"/>
  <c r="V52" i="14"/>
  <c r="W52" i="14"/>
  <c r="X52" i="14"/>
  <c r="Y52" i="14"/>
  <c r="Z52" i="14"/>
  <c r="AA52" i="14"/>
  <c r="AB52" i="14"/>
  <c r="AC52" i="14"/>
  <c r="AD52" i="14"/>
  <c r="AE52" i="14"/>
  <c r="AG52" i="14"/>
  <c r="AH52" i="14"/>
  <c r="AI52" i="14"/>
  <c r="AJ52" i="14"/>
  <c r="AK52" i="14"/>
  <c r="AL52" i="14"/>
  <c r="AM52" i="14"/>
  <c r="AN52" i="14"/>
  <c r="AO52" i="14"/>
  <c r="AP52" i="14"/>
  <c r="AQ52" i="14"/>
  <c r="AR52" i="14"/>
  <c r="AS52" i="14"/>
  <c r="AT52" i="14"/>
  <c r="AU52" i="14"/>
  <c r="AV52" i="14"/>
  <c r="AW52" i="14"/>
  <c r="AX52" i="14"/>
  <c r="AY52" i="14"/>
  <c r="AZ52" i="14"/>
  <c r="BA52" i="14"/>
  <c r="BB52" i="14"/>
  <c r="BC52" i="14"/>
  <c r="BD52" i="14"/>
  <c r="BF52" i="14"/>
  <c r="BG52" i="14"/>
  <c r="BH52" i="14"/>
  <c r="BI52" i="14"/>
  <c r="BJ52" i="14"/>
  <c r="BK52" i="14"/>
  <c r="BL52" i="14"/>
  <c r="BM52" i="14"/>
  <c r="BN52" i="14"/>
  <c r="BO52" i="14"/>
  <c r="BP52" i="14"/>
  <c r="BQ52" i="14"/>
  <c r="BR52" i="14"/>
  <c r="BS52" i="14"/>
  <c r="BT52" i="14"/>
  <c r="BU52" i="14"/>
  <c r="BV52" i="14"/>
  <c r="BW52" i="14"/>
  <c r="BX52" i="14"/>
  <c r="BY52" i="14"/>
  <c r="BZ52" i="14"/>
  <c r="CA52" i="14"/>
  <c r="CB52" i="14"/>
  <c r="CC52" i="14"/>
  <c r="CE52" i="14"/>
  <c r="CF52" i="14"/>
  <c r="CG52" i="14"/>
  <c r="CH52" i="14"/>
  <c r="CI52" i="14"/>
  <c r="CJ52" i="14"/>
  <c r="CK52" i="14"/>
  <c r="CL52" i="14"/>
  <c r="CM52" i="14"/>
  <c r="CN52" i="14"/>
  <c r="CO52" i="14"/>
  <c r="CP52" i="14"/>
  <c r="CQ52" i="14"/>
  <c r="CR52" i="14"/>
  <c r="CS52" i="14"/>
  <c r="CT52" i="14"/>
  <c r="CU52" i="14"/>
  <c r="CV52" i="14"/>
  <c r="CW52" i="14"/>
  <c r="CX52" i="14"/>
  <c r="CY52" i="14"/>
  <c r="CZ52" i="14"/>
  <c r="DA52" i="14"/>
  <c r="DB52" i="14"/>
  <c r="DH52" i="14"/>
  <c r="DI52" i="14"/>
  <c r="DJ52" i="14"/>
  <c r="H53" i="14"/>
  <c r="I53" i="14"/>
  <c r="J53" i="14"/>
  <c r="K53" i="14"/>
  <c r="L53" i="14"/>
  <c r="M53" i="14"/>
  <c r="N53" i="14"/>
  <c r="O53" i="14"/>
  <c r="P53" i="14"/>
  <c r="Q53" i="14"/>
  <c r="R53" i="14"/>
  <c r="S53" i="14"/>
  <c r="T53" i="14"/>
  <c r="U53" i="14"/>
  <c r="V53" i="14"/>
  <c r="W53" i="14"/>
  <c r="X53" i="14"/>
  <c r="Y53" i="14"/>
  <c r="Z53" i="14"/>
  <c r="AA53" i="14"/>
  <c r="AB53" i="14"/>
  <c r="AC53" i="14"/>
  <c r="AD53" i="14"/>
  <c r="AE53" i="14"/>
  <c r="AG53" i="14"/>
  <c r="AH53" i="14"/>
  <c r="AI53" i="14"/>
  <c r="AJ53" i="14"/>
  <c r="AK53" i="14"/>
  <c r="AL53" i="14"/>
  <c r="AM53" i="14"/>
  <c r="AN53" i="14"/>
  <c r="AO53" i="14"/>
  <c r="AP53" i="14"/>
  <c r="AQ53" i="14"/>
  <c r="AR53" i="14"/>
  <c r="AS53" i="14"/>
  <c r="AT53" i="14"/>
  <c r="AU53" i="14"/>
  <c r="AV53" i="14"/>
  <c r="AW53" i="14"/>
  <c r="AX53" i="14"/>
  <c r="AY53" i="14"/>
  <c r="AZ53" i="14"/>
  <c r="BA53" i="14"/>
  <c r="BB53" i="14"/>
  <c r="BC53" i="14"/>
  <c r="BD53" i="14"/>
  <c r="BF53" i="14"/>
  <c r="BG53" i="14"/>
  <c r="BH53" i="14"/>
  <c r="BI53" i="14"/>
  <c r="BJ53" i="14"/>
  <c r="BK53" i="14"/>
  <c r="BL53" i="14"/>
  <c r="BM53" i="14"/>
  <c r="BN53" i="14"/>
  <c r="BO53" i="14"/>
  <c r="BP53" i="14"/>
  <c r="BQ53" i="14"/>
  <c r="BR53" i="14"/>
  <c r="BS53" i="14"/>
  <c r="BT53" i="14"/>
  <c r="BU53" i="14"/>
  <c r="BV53" i="14"/>
  <c r="BW53" i="14"/>
  <c r="BX53" i="14"/>
  <c r="BY53" i="14"/>
  <c r="BZ53" i="14"/>
  <c r="CA53" i="14"/>
  <c r="CB53" i="14"/>
  <c r="CC53" i="14"/>
  <c r="CE53" i="14"/>
  <c r="CF53" i="14"/>
  <c r="CG53" i="14"/>
  <c r="CH53" i="14"/>
  <c r="CI53" i="14"/>
  <c r="CJ53" i="14"/>
  <c r="CK53" i="14"/>
  <c r="CL53" i="14"/>
  <c r="CM53" i="14"/>
  <c r="CN53" i="14"/>
  <c r="CO53" i="14"/>
  <c r="CP53" i="14"/>
  <c r="CQ53" i="14"/>
  <c r="CR53" i="14"/>
  <c r="CS53" i="14"/>
  <c r="CT53" i="14"/>
  <c r="CU53" i="14"/>
  <c r="CV53" i="14"/>
  <c r="CW53" i="14"/>
  <c r="CX53" i="14"/>
  <c r="CY53" i="14"/>
  <c r="CZ53" i="14"/>
  <c r="DA53" i="14"/>
  <c r="DB53" i="14"/>
  <c r="DH53" i="14"/>
  <c r="DI53" i="14"/>
  <c r="DJ53" i="14"/>
  <c r="H54" i="14"/>
  <c r="I54" i="14"/>
  <c r="J54" i="14"/>
  <c r="K54" i="14"/>
  <c r="L54" i="14"/>
  <c r="M54" i="14"/>
  <c r="N54" i="14"/>
  <c r="O54" i="14"/>
  <c r="P54" i="14"/>
  <c r="Q54" i="14"/>
  <c r="R54" i="14"/>
  <c r="S54" i="14"/>
  <c r="T54" i="14"/>
  <c r="U54" i="14"/>
  <c r="V54" i="14"/>
  <c r="W54" i="14"/>
  <c r="X54" i="14"/>
  <c r="Y54" i="14"/>
  <c r="Z54" i="14"/>
  <c r="AA54" i="14"/>
  <c r="AB54" i="14"/>
  <c r="AC54" i="14"/>
  <c r="AD54" i="14"/>
  <c r="AE54" i="14"/>
  <c r="AG54" i="14"/>
  <c r="AH54" i="14"/>
  <c r="AI54" i="14"/>
  <c r="AJ54" i="14"/>
  <c r="AK54" i="14"/>
  <c r="AL54" i="14"/>
  <c r="AM54" i="14"/>
  <c r="AN54" i="14"/>
  <c r="AO54" i="14"/>
  <c r="AP54" i="14"/>
  <c r="AQ54" i="14"/>
  <c r="AR54" i="14"/>
  <c r="AS54" i="14"/>
  <c r="AT54" i="14"/>
  <c r="AU54" i="14"/>
  <c r="AV54" i="14"/>
  <c r="AW54" i="14"/>
  <c r="AX54" i="14"/>
  <c r="AY54" i="14"/>
  <c r="AZ54" i="14"/>
  <c r="BA54" i="14"/>
  <c r="BB54" i="14"/>
  <c r="BC54" i="14"/>
  <c r="BD54" i="14"/>
  <c r="BF54" i="14"/>
  <c r="BG54" i="14"/>
  <c r="BH54" i="14"/>
  <c r="BI54" i="14"/>
  <c r="BJ54" i="14"/>
  <c r="BK54" i="14"/>
  <c r="BL54" i="14"/>
  <c r="BM54" i="14"/>
  <c r="BN54" i="14"/>
  <c r="BO54" i="14"/>
  <c r="BP54" i="14"/>
  <c r="BQ54" i="14"/>
  <c r="BR54" i="14"/>
  <c r="BS54" i="14"/>
  <c r="BT54" i="14"/>
  <c r="BU54" i="14"/>
  <c r="BV54" i="14"/>
  <c r="BW54" i="14"/>
  <c r="BX54" i="14"/>
  <c r="BY54" i="14"/>
  <c r="BZ54" i="14"/>
  <c r="CA54" i="14"/>
  <c r="CB54" i="14"/>
  <c r="CC54" i="14"/>
  <c r="CE54" i="14"/>
  <c r="CF54" i="14"/>
  <c r="CG54" i="14"/>
  <c r="CH54" i="14"/>
  <c r="CI54" i="14"/>
  <c r="CJ54" i="14"/>
  <c r="CK54" i="14"/>
  <c r="CL54" i="14"/>
  <c r="CM54" i="14"/>
  <c r="CN54" i="14"/>
  <c r="CO54" i="14"/>
  <c r="CP54" i="14"/>
  <c r="CQ54" i="14"/>
  <c r="CR54" i="14"/>
  <c r="CS54" i="14"/>
  <c r="CT54" i="14"/>
  <c r="CU54" i="14"/>
  <c r="CV54" i="14"/>
  <c r="CW54" i="14"/>
  <c r="CX54" i="14"/>
  <c r="CY54" i="14"/>
  <c r="CZ54" i="14"/>
  <c r="DA54" i="14"/>
  <c r="DB54" i="14"/>
  <c r="DH54" i="14"/>
  <c r="DI54" i="14"/>
  <c r="DJ54" i="14"/>
  <c r="H55" i="14"/>
  <c r="I55" i="14"/>
  <c r="J55" i="14"/>
  <c r="K55" i="14"/>
  <c r="L55" i="14"/>
  <c r="M55" i="14"/>
  <c r="N55" i="14"/>
  <c r="O55" i="14"/>
  <c r="P55" i="14"/>
  <c r="Q55" i="14"/>
  <c r="R55" i="14"/>
  <c r="S55" i="14"/>
  <c r="T55" i="14"/>
  <c r="U55" i="14"/>
  <c r="V55" i="14"/>
  <c r="W55" i="14"/>
  <c r="X55" i="14"/>
  <c r="Y55" i="14"/>
  <c r="Z55" i="14"/>
  <c r="AA55" i="14"/>
  <c r="AB55" i="14"/>
  <c r="AC55" i="14"/>
  <c r="AD55" i="14"/>
  <c r="AE55" i="14"/>
  <c r="AG55" i="14"/>
  <c r="AH55" i="14"/>
  <c r="AI55" i="14"/>
  <c r="AJ55" i="14"/>
  <c r="AK55" i="14"/>
  <c r="AL55" i="14"/>
  <c r="AM55" i="14"/>
  <c r="AN55" i="14"/>
  <c r="AO55" i="14"/>
  <c r="AP55" i="14"/>
  <c r="AQ55" i="14"/>
  <c r="AR55" i="14"/>
  <c r="AS55" i="14"/>
  <c r="AT55" i="14"/>
  <c r="AU55" i="14"/>
  <c r="AV55" i="14"/>
  <c r="AW55" i="14"/>
  <c r="AX55" i="14"/>
  <c r="AY55" i="14"/>
  <c r="AZ55" i="14"/>
  <c r="BA55" i="14"/>
  <c r="BB55" i="14"/>
  <c r="BC55" i="14"/>
  <c r="BD55" i="14"/>
  <c r="BF55" i="14"/>
  <c r="BG55" i="14"/>
  <c r="BH55" i="14"/>
  <c r="BI55" i="14"/>
  <c r="BJ55" i="14"/>
  <c r="BK55" i="14"/>
  <c r="BL55" i="14"/>
  <c r="BM55" i="14"/>
  <c r="BN55" i="14"/>
  <c r="BO55" i="14"/>
  <c r="BP55" i="14"/>
  <c r="BQ55" i="14"/>
  <c r="BR55" i="14"/>
  <c r="BS55" i="14"/>
  <c r="BT55" i="14"/>
  <c r="BU55" i="14"/>
  <c r="BV55" i="14"/>
  <c r="BW55" i="14"/>
  <c r="BX55" i="14"/>
  <c r="BY55" i="14"/>
  <c r="BZ55" i="14"/>
  <c r="CA55" i="14"/>
  <c r="CB55" i="14"/>
  <c r="CC55" i="14"/>
  <c r="CE55" i="14"/>
  <c r="CF55" i="14"/>
  <c r="CG55" i="14"/>
  <c r="CH55" i="14"/>
  <c r="CI55" i="14"/>
  <c r="CJ55" i="14"/>
  <c r="CK55" i="14"/>
  <c r="CL55" i="14"/>
  <c r="CM55" i="14"/>
  <c r="CN55" i="14"/>
  <c r="CO55" i="14"/>
  <c r="CP55" i="14"/>
  <c r="CQ55" i="14"/>
  <c r="CR55" i="14"/>
  <c r="CS55" i="14"/>
  <c r="CT55" i="14"/>
  <c r="CU55" i="14"/>
  <c r="CV55" i="14"/>
  <c r="CW55" i="14"/>
  <c r="CX55" i="14"/>
  <c r="CY55" i="14"/>
  <c r="CZ55" i="14"/>
  <c r="DA55" i="14"/>
  <c r="DB55" i="14"/>
  <c r="DH55" i="14"/>
  <c r="DI55" i="14"/>
  <c r="DJ55" i="14"/>
  <c r="H56" i="14"/>
  <c r="I56" i="14"/>
  <c r="J56" i="14"/>
  <c r="K56" i="14"/>
  <c r="L56" i="14"/>
  <c r="M56" i="14"/>
  <c r="N56" i="14"/>
  <c r="O56" i="14"/>
  <c r="P56" i="14"/>
  <c r="Q56" i="14"/>
  <c r="R56" i="14"/>
  <c r="S56" i="14"/>
  <c r="T56" i="14"/>
  <c r="U56" i="14"/>
  <c r="V56" i="14"/>
  <c r="W56" i="14"/>
  <c r="X56" i="14"/>
  <c r="Y56" i="14"/>
  <c r="Z56" i="14"/>
  <c r="AA56" i="14"/>
  <c r="AB56" i="14"/>
  <c r="AC56" i="14"/>
  <c r="AD56" i="14"/>
  <c r="AE56" i="14"/>
  <c r="AG56" i="14"/>
  <c r="AH56" i="14"/>
  <c r="AI56" i="14"/>
  <c r="AJ56" i="14"/>
  <c r="AK56" i="14"/>
  <c r="AL56" i="14"/>
  <c r="AM56" i="14"/>
  <c r="AN56" i="14"/>
  <c r="AO56" i="14"/>
  <c r="AP56" i="14"/>
  <c r="AQ56" i="14"/>
  <c r="AR56" i="14"/>
  <c r="AS56" i="14"/>
  <c r="AT56" i="14"/>
  <c r="AU56" i="14"/>
  <c r="AV56" i="14"/>
  <c r="AW56" i="14"/>
  <c r="AX56" i="14"/>
  <c r="AY56" i="14"/>
  <c r="AZ56" i="14"/>
  <c r="BA56" i="14"/>
  <c r="BB56" i="14"/>
  <c r="BC56" i="14"/>
  <c r="BD56" i="14"/>
  <c r="BF56" i="14"/>
  <c r="BG56" i="14"/>
  <c r="BH56" i="14"/>
  <c r="BI56" i="14"/>
  <c r="BJ56" i="14"/>
  <c r="BK56" i="14"/>
  <c r="BL56" i="14"/>
  <c r="BM56" i="14"/>
  <c r="BN56" i="14"/>
  <c r="BO56" i="14"/>
  <c r="BP56" i="14"/>
  <c r="BQ56" i="14"/>
  <c r="BR56" i="14"/>
  <c r="BS56" i="14"/>
  <c r="BT56" i="14"/>
  <c r="BU56" i="14"/>
  <c r="BV56" i="14"/>
  <c r="BW56" i="14"/>
  <c r="BX56" i="14"/>
  <c r="BY56" i="14"/>
  <c r="BZ56" i="14"/>
  <c r="CA56" i="14"/>
  <c r="CB56" i="14"/>
  <c r="CC56" i="14"/>
  <c r="CE56" i="14"/>
  <c r="CF56" i="14"/>
  <c r="CG56" i="14"/>
  <c r="CH56" i="14"/>
  <c r="CI56" i="14"/>
  <c r="CJ56" i="14"/>
  <c r="CK56" i="14"/>
  <c r="CL56" i="14"/>
  <c r="CM56" i="14"/>
  <c r="CN56" i="14"/>
  <c r="CO56" i="14"/>
  <c r="CP56" i="14"/>
  <c r="CQ56" i="14"/>
  <c r="CR56" i="14"/>
  <c r="CS56" i="14"/>
  <c r="CT56" i="14"/>
  <c r="CU56" i="14"/>
  <c r="CV56" i="14"/>
  <c r="CW56" i="14"/>
  <c r="CX56" i="14"/>
  <c r="CY56" i="14"/>
  <c r="CZ56" i="14"/>
  <c r="DA56" i="14"/>
  <c r="DB56" i="14"/>
  <c r="DH56" i="14"/>
  <c r="DI56" i="14"/>
  <c r="DJ56" i="14"/>
  <c r="H57" i="14"/>
  <c r="I57" i="14"/>
  <c r="J57" i="14"/>
  <c r="K57" i="14"/>
  <c r="L57" i="14"/>
  <c r="M57" i="14"/>
  <c r="N57" i="14"/>
  <c r="O57" i="14"/>
  <c r="P57" i="14"/>
  <c r="Q57" i="14"/>
  <c r="R57" i="14"/>
  <c r="S57" i="14"/>
  <c r="T57" i="14"/>
  <c r="U57" i="14"/>
  <c r="V57" i="14"/>
  <c r="W57" i="14"/>
  <c r="X57" i="14"/>
  <c r="Y57" i="14"/>
  <c r="Z57" i="14"/>
  <c r="AA57" i="14"/>
  <c r="AB57" i="14"/>
  <c r="AC57" i="14"/>
  <c r="AD57" i="14"/>
  <c r="AE57" i="14"/>
  <c r="AG57" i="14"/>
  <c r="AH57" i="14"/>
  <c r="AI57" i="14"/>
  <c r="AJ57" i="14"/>
  <c r="AK57" i="14"/>
  <c r="AL57" i="14"/>
  <c r="AM57" i="14"/>
  <c r="AN57" i="14"/>
  <c r="AO57" i="14"/>
  <c r="AP57" i="14"/>
  <c r="AQ57" i="14"/>
  <c r="AR57" i="14"/>
  <c r="AS57" i="14"/>
  <c r="AT57" i="14"/>
  <c r="AU57" i="14"/>
  <c r="AV57" i="14"/>
  <c r="AW57" i="14"/>
  <c r="AX57" i="14"/>
  <c r="AY57" i="14"/>
  <c r="AZ57" i="14"/>
  <c r="BA57" i="14"/>
  <c r="BB57" i="14"/>
  <c r="BC57" i="14"/>
  <c r="BD57" i="14"/>
  <c r="BF57" i="14"/>
  <c r="BG57" i="14"/>
  <c r="BH57" i="14"/>
  <c r="BI57" i="14"/>
  <c r="BJ57" i="14"/>
  <c r="BK57" i="14"/>
  <c r="BL57" i="14"/>
  <c r="BM57" i="14"/>
  <c r="BN57" i="14"/>
  <c r="BO57" i="14"/>
  <c r="BP57" i="14"/>
  <c r="BQ57" i="14"/>
  <c r="BR57" i="14"/>
  <c r="BS57" i="14"/>
  <c r="BT57" i="14"/>
  <c r="BU57" i="14"/>
  <c r="BV57" i="14"/>
  <c r="BW57" i="14"/>
  <c r="BX57" i="14"/>
  <c r="BY57" i="14"/>
  <c r="BZ57" i="14"/>
  <c r="CA57" i="14"/>
  <c r="CB57" i="14"/>
  <c r="CC57" i="14"/>
  <c r="CE57" i="14"/>
  <c r="CF57" i="14"/>
  <c r="CG57" i="14"/>
  <c r="CH57" i="14"/>
  <c r="CI57" i="14"/>
  <c r="CJ57" i="14"/>
  <c r="CK57" i="14"/>
  <c r="CL57" i="14"/>
  <c r="CM57" i="14"/>
  <c r="CN57" i="14"/>
  <c r="CO57" i="14"/>
  <c r="CP57" i="14"/>
  <c r="CQ57" i="14"/>
  <c r="CR57" i="14"/>
  <c r="CS57" i="14"/>
  <c r="CT57" i="14"/>
  <c r="CU57" i="14"/>
  <c r="CV57" i="14"/>
  <c r="CW57" i="14"/>
  <c r="CX57" i="14"/>
  <c r="CY57" i="14"/>
  <c r="CZ57" i="14"/>
  <c r="DA57" i="14"/>
  <c r="DB57" i="14"/>
  <c r="DH57" i="14"/>
  <c r="DI57" i="14"/>
  <c r="DJ57" i="14"/>
  <c r="H58" i="14"/>
  <c r="I58" i="14"/>
  <c r="J58" i="14"/>
  <c r="K58" i="14"/>
  <c r="L58" i="14"/>
  <c r="M58" i="14"/>
  <c r="N58" i="14"/>
  <c r="O58" i="14"/>
  <c r="P58" i="14"/>
  <c r="Q58" i="14"/>
  <c r="R58" i="14"/>
  <c r="S58" i="14"/>
  <c r="T58" i="14"/>
  <c r="U58" i="14"/>
  <c r="V58" i="14"/>
  <c r="W58" i="14"/>
  <c r="X58" i="14"/>
  <c r="Y58" i="14"/>
  <c r="Z58" i="14"/>
  <c r="AA58" i="14"/>
  <c r="AB58" i="14"/>
  <c r="AC58" i="14"/>
  <c r="AD58" i="14"/>
  <c r="AE58" i="14"/>
  <c r="AG58" i="14"/>
  <c r="AH58" i="14"/>
  <c r="AI58" i="14"/>
  <c r="AJ58" i="14"/>
  <c r="AK58" i="14"/>
  <c r="AL58" i="14"/>
  <c r="AM58" i="14"/>
  <c r="AN58" i="14"/>
  <c r="AO58" i="14"/>
  <c r="AP58" i="14"/>
  <c r="AQ58" i="14"/>
  <c r="AR58" i="14"/>
  <c r="AS58" i="14"/>
  <c r="AT58" i="14"/>
  <c r="AU58" i="14"/>
  <c r="AV58" i="14"/>
  <c r="AW58" i="14"/>
  <c r="AX58" i="14"/>
  <c r="AY58" i="14"/>
  <c r="AZ58" i="14"/>
  <c r="BA58" i="14"/>
  <c r="BB58" i="14"/>
  <c r="BC58" i="14"/>
  <c r="BD58" i="14"/>
  <c r="BF58" i="14"/>
  <c r="BG58" i="14"/>
  <c r="BH58" i="14"/>
  <c r="BI58" i="14"/>
  <c r="BJ58" i="14"/>
  <c r="BK58" i="14"/>
  <c r="BL58" i="14"/>
  <c r="BM58" i="14"/>
  <c r="BN58" i="14"/>
  <c r="BO58" i="14"/>
  <c r="BP58" i="14"/>
  <c r="BQ58" i="14"/>
  <c r="BR58" i="14"/>
  <c r="BS58" i="14"/>
  <c r="BT58" i="14"/>
  <c r="BU58" i="14"/>
  <c r="BV58" i="14"/>
  <c r="BW58" i="14"/>
  <c r="BX58" i="14"/>
  <c r="BY58" i="14"/>
  <c r="BZ58" i="14"/>
  <c r="CA58" i="14"/>
  <c r="CB58" i="14"/>
  <c r="CC58" i="14"/>
  <c r="CE58" i="14"/>
  <c r="CF58" i="14"/>
  <c r="CG58" i="14"/>
  <c r="CH58" i="14"/>
  <c r="CI58" i="14"/>
  <c r="CJ58" i="14"/>
  <c r="CK58" i="14"/>
  <c r="CL58" i="14"/>
  <c r="CM58" i="14"/>
  <c r="CN58" i="14"/>
  <c r="CO58" i="14"/>
  <c r="CP58" i="14"/>
  <c r="CQ58" i="14"/>
  <c r="CR58" i="14"/>
  <c r="CS58" i="14"/>
  <c r="CT58" i="14"/>
  <c r="CU58" i="14"/>
  <c r="CV58" i="14"/>
  <c r="CW58" i="14"/>
  <c r="CX58" i="14"/>
  <c r="CY58" i="14"/>
  <c r="CZ58" i="14"/>
  <c r="DA58" i="14"/>
  <c r="DB58" i="14"/>
  <c r="DH58" i="14"/>
  <c r="DI58" i="14"/>
  <c r="DJ58" i="14"/>
  <c r="H59" i="14"/>
  <c r="I59" i="14"/>
  <c r="J59" i="14"/>
  <c r="K59" i="14"/>
  <c r="L59" i="14"/>
  <c r="M59" i="14"/>
  <c r="N59" i="14"/>
  <c r="O59" i="14"/>
  <c r="P59" i="14"/>
  <c r="Q59" i="14"/>
  <c r="R59" i="14"/>
  <c r="S59" i="14"/>
  <c r="T59" i="14"/>
  <c r="U59" i="14"/>
  <c r="V59" i="14"/>
  <c r="W59" i="14"/>
  <c r="X59" i="14"/>
  <c r="Y59" i="14"/>
  <c r="Z59" i="14"/>
  <c r="AA59" i="14"/>
  <c r="AB59" i="14"/>
  <c r="AC59" i="14"/>
  <c r="AD59" i="14"/>
  <c r="AE59" i="14"/>
  <c r="AG59" i="14"/>
  <c r="AH59" i="14"/>
  <c r="AI59" i="14"/>
  <c r="AJ59" i="14"/>
  <c r="AK59" i="14"/>
  <c r="AL59" i="14"/>
  <c r="AM59" i="14"/>
  <c r="AN59" i="14"/>
  <c r="AO59" i="14"/>
  <c r="AP59" i="14"/>
  <c r="AQ59" i="14"/>
  <c r="AR59" i="14"/>
  <c r="AS59" i="14"/>
  <c r="AT59" i="14"/>
  <c r="AU59" i="14"/>
  <c r="AV59" i="14"/>
  <c r="AW59" i="14"/>
  <c r="AX59" i="14"/>
  <c r="AY59" i="14"/>
  <c r="AZ59" i="14"/>
  <c r="BA59" i="14"/>
  <c r="BB59" i="14"/>
  <c r="BC59" i="14"/>
  <c r="BD59" i="14"/>
  <c r="BF59" i="14"/>
  <c r="BG59" i="14"/>
  <c r="BH59" i="14"/>
  <c r="BI59" i="14"/>
  <c r="BJ59" i="14"/>
  <c r="BK59" i="14"/>
  <c r="BL59" i="14"/>
  <c r="BM59" i="14"/>
  <c r="BN59" i="14"/>
  <c r="BO59" i="14"/>
  <c r="BP59" i="14"/>
  <c r="BQ59" i="14"/>
  <c r="BR59" i="14"/>
  <c r="BS59" i="14"/>
  <c r="BT59" i="14"/>
  <c r="BU59" i="14"/>
  <c r="BV59" i="14"/>
  <c r="BW59" i="14"/>
  <c r="BX59" i="14"/>
  <c r="BY59" i="14"/>
  <c r="BZ59" i="14"/>
  <c r="CA59" i="14"/>
  <c r="CB59" i="14"/>
  <c r="CC59" i="14"/>
  <c r="CE59" i="14"/>
  <c r="CF59" i="14"/>
  <c r="CG59" i="14"/>
  <c r="CH59" i="14"/>
  <c r="CI59" i="14"/>
  <c r="CJ59" i="14"/>
  <c r="CK59" i="14"/>
  <c r="CL59" i="14"/>
  <c r="CM59" i="14"/>
  <c r="CN59" i="14"/>
  <c r="CO59" i="14"/>
  <c r="CP59" i="14"/>
  <c r="CQ59" i="14"/>
  <c r="CR59" i="14"/>
  <c r="CS59" i="14"/>
  <c r="CT59" i="14"/>
  <c r="CU59" i="14"/>
  <c r="CV59" i="14"/>
  <c r="CW59" i="14"/>
  <c r="CX59" i="14"/>
  <c r="CY59" i="14"/>
  <c r="CZ59" i="14"/>
  <c r="DA59" i="14"/>
  <c r="DB59" i="14"/>
  <c r="DH59" i="14"/>
  <c r="DI59" i="14"/>
  <c r="DJ59" i="14"/>
  <c r="H60" i="14"/>
  <c r="I60" i="14"/>
  <c r="J60" i="14"/>
  <c r="K60" i="14"/>
  <c r="L60" i="14"/>
  <c r="M60" i="14"/>
  <c r="N60" i="14"/>
  <c r="O60" i="14"/>
  <c r="P60" i="14"/>
  <c r="Q60" i="14"/>
  <c r="R60" i="14"/>
  <c r="S60" i="14"/>
  <c r="T60" i="14"/>
  <c r="U60" i="14"/>
  <c r="V60" i="14"/>
  <c r="W60" i="14"/>
  <c r="X60" i="14"/>
  <c r="Y60" i="14"/>
  <c r="Z60" i="14"/>
  <c r="AA60" i="14"/>
  <c r="AB60" i="14"/>
  <c r="AC60" i="14"/>
  <c r="AD60" i="14"/>
  <c r="AE60" i="14"/>
  <c r="AG60" i="14"/>
  <c r="AH60" i="14"/>
  <c r="AI60" i="14"/>
  <c r="AJ60" i="14"/>
  <c r="AK60" i="14"/>
  <c r="AL60" i="14"/>
  <c r="AM60" i="14"/>
  <c r="AN60" i="14"/>
  <c r="AO60" i="14"/>
  <c r="AP60" i="14"/>
  <c r="AQ60" i="14"/>
  <c r="AR60" i="14"/>
  <c r="AS60" i="14"/>
  <c r="AT60" i="14"/>
  <c r="AU60" i="14"/>
  <c r="AV60" i="14"/>
  <c r="AW60" i="14"/>
  <c r="AX60" i="14"/>
  <c r="AY60" i="14"/>
  <c r="AZ60" i="14"/>
  <c r="BA60" i="14"/>
  <c r="BB60" i="14"/>
  <c r="BC60" i="14"/>
  <c r="BD60" i="14"/>
  <c r="BF60" i="14"/>
  <c r="BG60" i="14"/>
  <c r="BH60" i="14"/>
  <c r="BI60" i="14"/>
  <c r="BJ60" i="14"/>
  <c r="BK60" i="14"/>
  <c r="BL60" i="14"/>
  <c r="BM60" i="14"/>
  <c r="BN60" i="14"/>
  <c r="BO60" i="14"/>
  <c r="BP60" i="14"/>
  <c r="BQ60" i="14"/>
  <c r="BR60" i="14"/>
  <c r="BS60" i="14"/>
  <c r="BT60" i="14"/>
  <c r="BU60" i="14"/>
  <c r="BV60" i="14"/>
  <c r="BW60" i="14"/>
  <c r="BX60" i="14"/>
  <c r="BY60" i="14"/>
  <c r="BZ60" i="14"/>
  <c r="CA60" i="14"/>
  <c r="CB60" i="14"/>
  <c r="CC60" i="14"/>
  <c r="CE60" i="14"/>
  <c r="CF60" i="14"/>
  <c r="CG60" i="14"/>
  <c r="CH60" i="14"/>
  <c r="CI60" i="14"/>
  <c r="CJ60" i="14"/>
  <c r="CK60" i="14"/>
  <c r="CL60" i="14"/>
  <c r="CM60" i="14"/>
  <c r="CN60" i="14"/>
  <c r="CO60" i="14"/>
  <c r="CP60" i="14"/>
  <c r="CQ60" i="14"/>
  <c r="CR60" i="14"/>
  <c r="CS60" i="14"/>
  <c r="CT60" i="14"/>
  <c r="CU60" i="14"/>
  <c r="CV60" i="14"/>
  <c r="CW60" i="14"/>
  <c r="CX60" i="14"/>
  <c r="CY60" i="14"/>
  <c r="CZ60" i="14"/>
  <c r="DA60" i="14"/>
  <c r="DB60" i="14"/>
  <c r="DH60" i="14"/>
  <c r="DI60" i="14"/>
  <c r="DJ60" i="14"/>
  <c r="H61" i="14"/>
  <c r="I61" i="14"/>
  <c r="J61" i="14"/>
  <c r="K61" i="14"/>
  <c r="L61" i="14"/>
  <c r="M61" i="14"/>
  <c r="N61" i="14"/>
  <c r="O61" i="14"/>
  <c r="P61" i="14"/>
  <c r="Q61" i="14"/>
  <c r="R61" i="14"/>
  <c r="S61" i="14"/>
  <c r="T61" i="14"/>
  <c r="U61" i="14"/>
  <c r="V61" i="14"/>
  <c r="W61" i="14"/>
  <c r="X61" i="14"/>
  <c r="Y61" i="14"/>
  <c r="Z61" i="14"/>
  <c r="AA61" i="14"/>
  <c r="AB61" i="14"/>
  <c r="AC61" i="14"/>
  <c r="AD61" i="14"/>
  <c r="AE61" i="14"/>
  <c r="AG61" i="14"/>
  <c r="AH61" i="14"/>
  <c r="AI61" i="14"/>
  <c r="AJ61" i="14"/>
  <c r="AK61" i="14"/>
  <c r="AL61" i="14"/>
  <c r="AM61" i="14"/>
  <c r="AN61" i="14"/>
  <c r="AO61" i="14"/>
  <c r="AP61" i="14"/>
  <c r="AQ61" i="14"/>
  <c r="AR61" i="14"/>
  <c r="AS61" i="14"/>
  <c r="AT61" i="14"/>
  <c r="AU61" i="14"/>
  <c r="AV61" i="14"/>
  <c r="AW61" i="14"/>
  <c r="AX61" i="14"/>
  <c r="AY61" i="14"/>
  <c r="AZ61" i="14"/>
  <c r="BA61" i="14"/>
  <c r="BB61" i="14"/>
  <c r="BC61" i="14"/>
  <c r="BD61" i="14"/>
  <c r="BF61" i="14"/>
  <c r="BG61" i="14"/>
  <c r="BH61" i="14"/>
  <c r="BI61" i="14"/>
  <c r="BJ61" i="14"/>
  <c r="BK61" i="14"/>
  <c r="BL61" i="14"/>
  <c r="BM61" i="14"/>
  <c r="BN61" i="14"/>
  <c r="BO61" i="14"/>
  <c r="BP61" i="14"/>
  <c r="BQ61" i="14"/>
  <c r="BR61" i="14"/>
  <c r="BS61" i="14"/>
  <c r="BT61" i="14"/>
  <c r="BU61" i="14"/>
  <c r="BV61" i="14"/>
  <c r="BW61" i="14"/>
  <c r="BX61" i="14"/>
  <c r="BY61" i="14"/>
  <c r="BZ61" i="14"/>
  <c r="CA61" i="14"/>
  <c r="CB61" i="14"/>
  <c r="CC61" i="14"/>
  <c r="CE61" i="14"/>
  <c r="CF61" i="14"/>
  <c r="CG61" i="14"/>
  <c r="CH61" i="14"/>
  <c r="CI61" i="14"/>
  <c r="CJ61" i="14"/>
  <c r="CK61" i="14"/>
  <c r="CL61" i="14"/>
  <c r="CM61" i="14"/>
  <c r="CN61" i="14"/>
  <c r="CO61" i="14"/>
  <c r="CP61" i="14"/>
  <c r="CQ61" i="14"/>
  <c r="CR61" i="14"/>
  <c r="CS61" i="14"/>
  <c r="CT61" i="14"/>
  <c r="CU61" i="14"/>
  <c r="CV61" i="14"/>
  <c r="CW61" i="14"/>
  <c r="CX61" i="14"/>
  <c r="CY61" i="14"/>
  <c r="CZ61" i="14"/>
  <c r="DA61" i="14"/>
  <c r="DB61" i="14"/>
  <c r="DH61" i="14"/>
  <c r="DI61" i="14"/>
  <c r="DJ61" i="14"/>
  <c r="H62" i="14"/>
  <c r="I62" i="14"/>
  <c r="J62" i="14"/>
  <c r="K62" i="14"/>
  <c r="L62" i="14"/>
  <c r="M62" i="14"/>
  <c r="N62" i="14"/>
  <c r="O62" i="14"/>
  <c r="P62" i="14"/>
  <c r="Q62" i="14"/>
  <c r="R62" i="14"/>
  <c r="S62" i="14"/>
  <c r="T62" i="14"/>
  <c r="U62" i="14"/>
  <c r="V62" i="14"/>
  <c r="W62" i="14"/>
  <c r="X62" i="14"/>
  <c r="Y62" i="14"/>
  <c r="Z62" i="14"/>
  <c r="AA62" i="14"/>
  <c r="AB62" i="14"/>
  <c r="AC62" i="14"/>
  <c r="AD62" i="14"/>
  <c r="AE62" i="14"/>
  <c r="AG62" i="14"/>
  <c r="AH62" i="14"/>
  <c r="AI62" i="14"/>
  <c r="AJ62" i="14"/>
  <c r="AK62" i="14"/>
  <c r="AL62" i="14"/>
  <c r="AM62" i="14"/>
  <c r="AN62" i="14"/>
  <c r="AO62" i="14"/>
  <c r="AP62" i="14"/>
  <c r="AQ62" i="14"/>
  <c r="AR62" i="14"/>
  <c r="AS62" i="14"/>
  <c r="AT62" i="14"/>
  <c r="AU62" i="14"/>
  <c r="AV62" i="14"/>
  <c r="AW62" i="14"/>
  <c r="AX62" i="14"/>
  <c r="AY62" i="14"/>
  <c r="AZ62" i="14"/>
  <c r="BA62" i="14"/>
  <c r="BB62" i="14"/>
  <c r="BC62" i="14"/>
  <c r="BD62" i="14"/>
  <c r="BF62" i="14"/>
  <c r="BG62" i="14"/>
  <c r="BH62" i="14"/>
  <c r="BI62" i="14"/>
  <c r="BJ62" i="14"/>
  <c r="BK62" i="14"/>
  <c r="BL62" i="14"/>
  <c r="BM62" i="14"/>
  <c r="BN62" i="14"/>
  <c r="BO62" i="14"/>
  <c r="BP62" i="14"/>
  <c r="BQ62" i="14"/>
  <c r="BR62" i="14"/>
  <c r="BS62" i="14"/>
  <c r="BT62" i="14"/>
  <c r="BU62" i="14"/>
  <c r="BV62" i="14"/>
  <c r="BW62" i="14"/>
  <c r="BX62" i="14"/>
  <c r="BY62" i="14"/>
  <c r="BZ62" i="14"/>
  <c r="CA62" i="14"/>
  <c r="CB62" i="14"/>
  <c r="CC62" i="14"/>
  <c r="CE62" i="14"/>
  <c r="CF62" i="14"/>
  <c r="CG62" i="14"/>
  <c r="CH62" i="14"/>
  <c r="CI62" i="14"/>
  <c r="CJ62" i="14"/>
  <c r="CK62" i="14"/>
  <c r="CL62" i="14"/>
  <c r="CM62" i="14"/>
  <c r="CN62" i="14"/>
  <c r="CO62" i="14"/>
  <c r="CP62" i="14"/>
  <c r="CQ62" i="14"/>
  <c r="CR62" i="14"/>
  <c r="CS62" i="14"/>
  <c r="CT62" i="14"/>
  <c r="CU62" i="14"/>
  <c r="CV62" i="14"/>
  <c r="CW62" i="14"/>
  <c r="CX62" i="14"/>
  <c r="CY62" i="14"/>
  <c r="CZ62" i="14"/>
  <c r="DA62" i="14"/>
  <c r="DB62" i="14"/>
  <c r="DH62" i="14"/>
  <c r="DI62" i="14"/>
  <c r="DJ62" i="14"/>
  <c r="H63" i="14"/>
  <c r="I63" i="14"/>
  <c r="J63" i="14"/>
  <c r="K63" i="14"/>
  <c r="L63" i="14"/>
  <c r="M63" i="14"/>
  <c r="N63" i="14"/>
  <c r="O63" i="14"/>
  <c r="P63" i="14"/>
  <c r="Q63" i="14"/>
  <c r="R63" i="14"/>
  <c r="S63" i="14"/>
  <c r="T63" i="14"/>
  <c r="U63" i="14"/>
  <c r="V63" i="14"/>
  <c r="W63" i="14"/>
  <c r="X63" i="14"/>
  <c r="Y63" i="14"/>
  <c r="Z63" i="14"/>
  <c r="AA63" i="14"/>
  <c r="AB63" i="14"/>
  <c r="AC63" i="14"/>
  <c r="AD63" i="14"/>
  <c r="AE63" i="14"/>
  <c r="AG63" i="14"/>
  <c r="AH63" i="14"/>
  <c r="AI63" i="14"/>
  <c r="AJ63" i="14"/>
  <c r="AK63" i="14"/>
  <c r="AL63" i="14"/>
  <c r="AM63" i="14"/>
  <c r="AN63" i="14"/>
  <c r="AO63" i="14"/>
  <c r="AP63" i="14"/>
  <c r="AQ63" i="14"/>
  <c r="AR63" i="14"/>
  <c r="AS63" i="14"/>
  <c r="AT63" i="14"/>
  <c r="AU63" i="14"/>
  <c r="AV63" i="14"/>
  <c r="AW63" i="14"/>
  <c r="AX63" i="14"/>
  <c r="AY63" i="14"/>
  <c r="AZ63" i="14"/>
  <c r="BA63" i="14"/>
  <c r="BB63" i="14"/>
  <c r="BC63" i="14"/>
  <c r="BD63" i="14"/>
  <c r="BF63" i="14"/>
  <c r="BG63" i="14"/>
  <c r="BH63" i="14"/>
  <c r="BI63" i="14"/>
  <c r="BJ63" i="14"/>
  <c r="BK63" i="14"/>
  <c r="BL63" i="14"/>
  <c r="BM63" i="14"/>
  <c r="BN63" i="14"/>
  <c r="BO63" i="14"/>
  <c r="BP63" i="14"/>
  <c r="BQ63" i="14"/>
  <c r="BR63" i="14"/>
  <c r="BS63" i="14"/>
  <c r="BT63" i="14"/>
  <c r="BU63" i="14"/>
  <c r="BV63" i="14"/>
  <c r="BW63" i="14"/>
  <c r="BX63" i="14"/>
  <c r="BY63" i="14"/>
  <c r="BZ63" i="14"/>
  <c r="CA63" i="14"/>
  <c r="CB63" i="14"/>
  <c r="CC63" i="14"/>
  <c r="CE63" i="14"/>
  <c r="CF63" i="14"/>
  <c r="CG63" i="14"/>
  <c r="CH63" i="14"/>
  <c r="CI63" i="14"/>
  <c r="CJ63" i="14"/>
  <c r="CK63" i="14"/>
  <c r="CL63" i="14"/>
  <c r="CM63" i="14"/>
  <c r="CN63" i="14"/>
  <c r="CO63" i="14"/>
  <c r="CP63" i="14"/>
  <c r="CQ63" i="14"/>
  <c r="CR63" i="14"/>
  <c r="CS63" i="14"/>
  <c r="CT63" i="14"/>
  <c r="CU63" i="14"/>
  <c r="CV63" i="14"/>
  <c r="CW63" i="14"/>
  <c r="CX63" i="14"/>
  <c r="CY63" i="14"/>
  <c r="CZ63" i="14"/>
  <c r="DA63" i="14"/>
  <c r="DB63" i="14"/>
  <c r="DH63" i="14"/>
  <c r="DI63" i="14"/>
  <c r="DJ63" i="14"/>
  <c r="H64" i="14"/>
  <c r="I64" i="14"/>
  <c r="J64" i="14"/>
  <c r="K64" i="14"/>
  <c r="L64" i="14"/>
  <c r="M64" i="14"/>
  <c r="N64" i="14"/>
  <c r="O64" i="14"/>
  <c r="P64" i="14"/>
  <c r="Q64" i="14"/>
  <c r="R64" i="14"/>
  <c r="S64" i="14"/>
  <c r="T64" i="14"/>
  <c r="U64" i="14"/>
  <c r="V64" i="14"/>
  <c r="W64" i="14"/>
  <c r="X64" i="14"/>
  <c r="Y64" i="14"/>
  <c r="Z64" i="14"/>
  <c r="AA64" i="14"/>
  <c r="AB64" i="14"/>
  <c r="AC64" i="14"/>
  <c r="AD64" i="14"/>
  <c r="AE64" i="14"/>
  <c r="AG64" i="14"/>
  <c r="AH64" i="14"/>
  <c r="AI64" i="14"/>
  <c r="AJ64" i="14"/>
  <c r="AK64" i="14"/>
  <c r="AL64" i="14"/>
  <c r="AM64" i="14"/>
  <c r="AN64" i="14"/>
  <c r="AO64" i="14"/>
  <c r="AP64" i="14"/>
  <c r="AQ64" i="14"/>
  <c r="AR64" i="14"/>
  <c r="AS64" i="14"/>
  <c r="AT64" i="14"/>
  <c r="AU64" i="14"/>
  <c r="AV64" i="14"/>
  <c r="AW64" i="14"/>
  <c r="AX64" i="14"/>
  <c r="AY64" i="14"/>
  <c r="AZ64" i="14"/>
  <c r="BA64" i="14"/>
  <c r="BB64" i="14"/>
  <c r="BC64" i="14"/>
  <c r="BD64" i="14"/>
  <c r="BF64" i="14"/>
  <c r="BG64" i="14"/>
  <c r="BH64" i="14"/>
  <c r="BI64" i="14"/>
  <c r="BJ64" i="14"/>
  <c r="BK64" i="14"/>
  <c r="BL64" i="14"/>
  <c r="BM64" i="14"/>
  <c r="BN64" i="14"/>
  <c r="BO64" i="14"/>
  <c r="BP64" i="14"/>
  <c r="BQ64" i="14"/>
  <c r="BR64" i="14"/>
  <c r="BS64" i="14"/>
  <c r="BT64" i="14"/>
  <c r="BU64" i="14"/>
  <c r="BV64" i="14"/>
  <c r="BW64" i="14"/>
  <c r="BX64" i="14"/>
  <c r="BY64" i="14"/>
  <c r="BZ64" i="14"/>
  <c r="CA64" i="14"/>
  <c r="CB64" i="14"/>
  <c r="CC64" i="14"/>
  <c r="CE64" i="14"/>
  <c r="CF64" i="14"/>
  <c r="CG64" i="14"/>
  <c r="CH64" i="14"/>
  <c r="CI64" i="14"/>
  <c r="CJ64" i="14"/>
  <c r="CK64" i="14"/>
  <c r="CL64" i="14"/>
  <c r="CM64" i="14"/>
  <c r="CN64" i="14"/>
  <c r="CO64" i="14"/>
  <c r="CP64" i="14"/>
  <c r="CQ64" i="14"/>
  <c r="CR64" i="14"/>
  <c r="CS64" i="14"/>
  <c r="CT64" i="14"/>
  <c r="CU64" i="14"/>
  <c r="CV64" i="14"/>
  <c r="CW64" i="14"/>
  <c r="CX64" i="14"/>
  <c r="CY64" i="14"/>
  <c r="CZ64" i="14"/>
  <c r="DA64" i="14"/>
  <c r="DB64" i="14"/>
  <c r="DH64" i="14"/>
  <c r="DI64" i="14"/>
  <c r="DJ64" i="14"/>
  <c r="H65" i="14"/>
  <c r="I65" i="14"/>
  <c r="J65" i="14"/>
  <c r="K65" i="14"/>
  <c r="L65" i="14"/>
  <c r="M65" i="14"/>
  <c r="N65" i="14"/>
  <c r="O65" i="14"/>
  <c r="P65" i="14"/>
  <c r="Q65" i="14"/>
  <c r="R65" i="14"/>
  <c r="S65" i="14"/>
  <c r="T65" i="14"/>
  <c r="U65" i="14"/>
  <c r="V65" i="14"/>
  <c r="W65" i="14"/>
  <c r="X65" i="14"/>
  <c r="Y65" i="14"/>
  <c r="Z65" i="14"/>
  <c r="AA65" i="14"/>
  <c r="AB65" i="14"/>
  <c r="AC65" i="14"/>
  <c r="AD65" i="14"/>
  <c r="AE65" i="14"/>
  <c r="AG65" i="14"/>
  <c r="AH65" i="14"/>
  <c r="AI65" i="14"/>
  <c r="AJ65" i="14"/>
  <c r="AK65" i="14"/>
  <c r="AL65" i="14"/>
  <c r="AM65" i="14"/>
  <c r="AN65" i="14"/>
  <c r="AO65" i="14"/>
  <c r="AP65" i="14"/>
  <c r="AQ65" i="14"/>
  <c r="AR65" i="14"/>
  <c r="AS65" i="14"/>
  <c r="AT65" i="14"/>
  <c r="AU65" i="14"/>
  <c r="AV65" i="14"/>
  <c r="AW65" i="14"/>
  <c r="AX65" i="14"/>
  <c r="AY65" i="14"/>
  <c r="AZ65" i="14"/>
  <c r="BA65" i="14"/>
  <c r="BB65" i="14"/>
  <c r="BC65" i="14"/>
  <c r="BD65" i="14"/>
  <c r="BF65" i="14"/>
  <c r="BG65" i="14"/>
  <c r="BH65" i="14"/>
  <c r="BI65" i="14"/>
  <c r="BJ65" i="14"/>
  <c r="BK65" i="14"/>
  <c r="BL65" i="14"/>
  <c r="BM65" i="14"/>
  <c r="BN65" i="14"/>
  <c r="BO65" i="14"/>
  <c r="BP65" i="14"/>
  <c r="BQ65" i="14"/>
  <c r="BR65" i="14"/>
  <c r="BS65" i="14"/>
  <c r="BT65" i="14"/>
  <c r="BU65" i="14"/>
  <c r="BV65" i="14"/>
  <c r="BW65" i="14"/>
  <c r="BX65" i="14"/>
  <c r="BY65" i="14"/>
  <c r="BZ65" i="14"/>
  <c r="CA65" i="14"/>
  <c r="CB65" i="14"/>
  <c r="CC65" i="14"/>
  <c r="CE65" i="14"/>
  <c r="CF65" i="14"/>
  <c r="CG65" i="14"/>
  <c r="CH65" i="14"/>
  <c r="CI65" i="14"/>
  <c r="CJ65" i="14"/>
  <c r="CK65" i="14"/>
  <c r="CL65" i="14"/>
  <c r="CM65" i="14"/>
  <c r="CN65" i="14"/>
  <c r="CO65" i="14"/>
  <c r="CP65" i="14"/>
  <c r="CQ65" i="14"/>
  <c r="CR65" i="14"/>
  <c r="CS65" i="14"/>
  <c r="CT65" i="14"/>
  <c r="CU65" i="14"/>
  <c r="CV65" i="14"/>
  <c r="CW65" i="14"/>
  <c r="CX65" i="14"/>
  <c r="CY65" i="14"/>
  <c r="CZ65" i="14"/>
  <c r="DA65" i="14"/>
  <c r="DB65" i="14"/>
  <c r="DH65" i="14"/>
  <c r="DI65" i="14"/>
  <c r="DJ65" i="14"/>
  <c r="H66" i="14"/>
  <c r="I66" i="14"/>
  <c r="J66" i="14"/>
  <c r="K66" i="14"/>
  <c r="L66" i="14"/>
  <c r="M66" i="14"/>
  <c r="N66" i="14"/>
  <c r="O66" i="14"/>
  <c r="P66" i="14"/>
  <c r="Q66" i="14"/>
  <c r="R66" i="14"/>
  <c r="S66" i="14"/>
  <c r="T66" i="14"/>
  <c r="U66" i="14"/>
  <c r="V66" i="14"/>
  <c r="W66" i="14"/>
  <c r="X66" i="14"/>
  <c r="Y66" i="14"/>
  <c r="Z66" i="14"/>
  <c r="AA66" i="14"/>
  <c r="AB66" i="14"/>
  <c r="AC66" i="14"/>
  <c r="AD66" i="14"/>
  <c r="AE66" i="14"/>
  <c r="AG66" i="14"/>
  <c r="AH66" i="14"/>
  <c r="AI66" i="14"/>
  <c r="AJ66" i="14"/>
  <c r="AK66" i="14"/>
  <c r="AL66" i="14"/>
  <c r="AM66" i="14"/>
  <c r="AN66" i="14"/>
  <c r="AO66" i="14"/>
  <c r="AP66" i="14"/>
  <c r="AQ66" i="14"/>
  <c r="AR66" i="14"/>
  <c r="AS66" i="14"/>
  <c r="AT66" i="14"/>
  <c r="AU66" i="14"/>
  <c r="AV66" i="14"/>
  <c r="AW66" i="14"/>
  <c r="AX66" i="14"/>
  <c r="AY66" i="14"/>
  <c r="AZ66" i="14"/>
  <c r="BA66" i="14"/>
  <c r="BB66" i="14"/>
  <c r="BC66" i="14"/>
  <c r="BD66" i="14"/>
  <c r="BF66" i="14"/>
  <c r="BG66" i="14"/>
  <c r="BH66" i="14"/>
  <c r="BI66" i="14"/>
  <c r="BJ66" i="14"/>
  <c r="BK66" i="14"/>
  <c r="BL66" i="14"/>
  <c r="BM66" i="14"/>
  <c r="BN66" i="14"/>
  <c r="BO66" i="14"/>
  <c r="BP66" i="14"/>
  <c r="BQ66" i="14"/>
  <c r="BR66" i="14"/>
  <c r="BS66" i="14"/>
  <c r="BT66" i="14"/>
  <c r="BU66" i="14"/>
  <c r="BV66" i="14"/>
  <c r="BW66" i="14"/>
  <c r="BX66" i="14"/>
  <c r="BY66" i="14"/>
  <c r="BZ66" i="14"/>
  <c r="CA66" i="14"/>
  <c r="CB66" i="14"/>
  <c r="CC66" i="14"/>
  <c r="CE66" i="14"/>
  <c r="CF66" i="14"/>
  <c r="CG66" i="14"/>
  <c r="CH66" i="14"/>
  <c r="CI66" i="14"/>
  <c r="CJ66" i="14"/>
  <c r="CK66" i="14"/>
  <c r="CL66" i="14"/>
  <c r="CM66" i="14"/>
  <c r="CN66" i="14"/>
  <c r="CO66" i="14"/>
  <c r="CP66" i="14"/>
  <c r="CQ66" i="14"/>
  <c r="CR66" i="14"/>
  <c r="CS66" i="14"/>
  <c r="CT66" i="14"/>
  <c r="CU66" i="14"/>
  <c r="CV66" i="14"/>
  <c r="CW66" i="14"/>
  <c r="CX66" i="14"/>
  <c r="CY66" i="14"/>
  <c r="CZ66" i="14"/>
  <c r="DA66" i="14"/>
  <c r="DB66" i="14"/>
  <c r="DH66" i="14"/>
  <c r="DI66" i="14"/>
  <c r="DJ66" i="14"/>
  <c r="H67" i="14"/>
  <c r="I67" i="14"/>
  <c r="J67" i="14"/>
  <c r="K67" i="14"/>
  <c r="L67" i="14"/>
  <c r="M67" i="14"/>
  <c r="N67" i="14"/>
  <c r="O67" i="14"/>
  <c r="P67" i="14"/>
  <c r="Q67" i="14"/>
  <c r="R67" i="14"/>
  <c r="S67" i="14"/>
  <c r="T67" i="14"/>
  <c r="U67" i="14"/>
  <c r="V67" i="14"/>
  <c r="W67" i="14"/>
  <c r="X67" i="14"/>
  <c r="Y67" i="14"/>
  <c r="Z67" i="14"/>
  <c r="AA67" i="14"/>
  <c r="AB67" i="14"/>
  <c r="AC67" i="14"/>
  <c r="AD67" i="14"/>
  <c r="AE67" i="14"/>
  <c r="AG67" i="14"/>
  <c r="AH67" i="14"/>
  <c r="AI67" i="14"/>
  <c r="AJ67" i="14"/>
  <c r="AK67" i="14"/>
  <c r="AL67" i="14"/>
  <c r="AM67" i="14"/>
  <c r="AN67" i="14"/>
  <c r="AO67" i="14"/>
  <c r="AP67" i="14"/>
  <c r="AQ67" i="14"/>
  <c r="AR67" i="14"/>
  <c r="AS67" i="14"/>
  <c r="AT67" i="14"/>
  <c r="AU67" i="14"/>
  <c r="AV67" i="14"/>
  <c r="AW67" i="14"/>
  <c r="AX67" i="14"/>
  <c r="AY67" i="14"/>
  <c r="AZ67" i="14"/>
  <c r="BA67" i="14"/>
  <c r="BB67" i="14"/>
  <c r="BC67" i="14"/>
  <c r="BD67" i="14"/>
  <c r="BF67" i="14"/>
  <c r="BG67" i="14"/>
  <c r="BH67" i="14"/>
  <c r="BI67" i="14"/>
  <c r="BJ67" i="14"/>
  <c r="BK67" i="14"/>
  <c r="BL67" i="14"/>
  <c r="BM67" i="14"/>
  <c r="BN67" i="14"/>
  <c r="BO67" i="14"/>
  <c r="BP67" i="14"/>
  <c r="BQ67" i="14"/>
  <c r="BR67" i="14"/>
  <c r="BS67" i="14"/>
  <c r="BT67" i="14"/>
  <c r="BU67" i="14"/>
  <c r="BV67" i="14"/>
  <c r="BW67" i="14"/>
  <c r="BX67" i="14"/>
  <c r="BY67" i="14"/>
  <c r="BZ67" i="14"/>
  <c r="CA67" i="14"/>
  <c r="CB67" i="14"/>
  <c r="CC67" i="14"/>
  <c r="CE67" i="14"/>
  <c r="CF67" i="14"/>
  <c r="CG67" i="14"/>
  <c r="CH67" i="14"/>
  <c r="CI67" i="14"/>
  <c r="CJ67" i="14"/>
  <c r="CK67" i="14"/>
  <c r="CL67" i="14"/>
  <c r="CM67" i="14"/>
  <c r="CN67" i="14"/>
  <c r="CO67" i="14"/>
  <c r="CP67" i="14"/>
  <c r="CQ67" i="14"/>
  <c r="CR67" i="14"/>
  <c r="CS67" i="14"/>
  <c r="CT67" i="14"/>
  <c r="CU67" i="14"/>
  <c r="CV67" i="14"/>
  <c r="CW67" i="14"/>
  <c r="CX67" i="14"/>
  <c r="CY67" i="14"/>
  <c r="CZ67" i="14"/>
  <c r="DA67" i="14"/>
  <c r="DB67" i="14"/>
  <c r="DH67" i="14"/>
  <c r="DI67" i="14"/>
  <c r="DJ67" i="14"/>
  <c r="H68" i="14"/>
  <c r="I68" i="14"/>
  <c r="J68" i="14"/>
  <c r="K68" i="14"/>
  <c r="L68" i="14"/>
  <c r="M68" i="14"/>
  <c r="N68" i="14"/>
  <c r="O68" i="14"/>
  <c r="P68" i="14"/>
  <c r="Q68" i="14"/>
  <c r="R68" i="14"/>
  <c r="S68" i="14"/>
  <c r="T68" i="14"/>
  <c r="U68" i="14"/>
  <c r="V68" i="14"/>
  <c r="W68" i="14"/>
  <c r="X68" i="14"/>
  <c r="Y68" i="14"/>
  <c r="Z68" i="14"/>
  <c r="AA68" i="14"/>
  <c r="AB68" i="14"/>
  <c r="AC68" i="14"/>
  <c r="AD68" i="14"/>
  <c r="AE68" i="14"/>
  <c r="AG68" i="14"/>
  <c r="AH68" i="14"/>
  <c r="AI68" i="14"/>
  <c r="AJ68" i="14"/>
  <c r="AK68" i="14"/>
  <c r="AL68" i="14"/>
  <c r="AM68" i="14"/>
  <c r="AN68" i="14"/>
  <c r="AO68" i="14"/>
  <c r="AP68" i="14"/>
  <c r="AQ68" i="14"/>
  <c r="AR68" i="14"/>
  <c r="AS68" i="14"/>
  <c r="AT68" i="14"/>
  <c r="AU68" i="14"/>
  <c r="AV68" i="14"/>
  <c r="AW68" i="14"/>
  <c r="AX68" i="14"/>
  <c r="AY68" i="14"/>
  <c r="AZ68" i="14"/>
  <c r="BA68" i="14"/>
  <c r="BB68" i="14"/>
  <c r="BC68" i="14"/>
  <c r="BD68" i="14"/>
  <c r="BF68" i="14"/>
  <c r="BG68" i="14"/>
  <c r="BH68" i="14"/>
  <c r="BI68" i="14"/>
  <c r="BJ68" i="14"/>
  <c r="BK68" i="14"/>
  <c r="BL68" i="14"/>
  <c r="BM68" i="14"/>
  <c r="BN68" i="14"/>
  <c r="BO68" i="14"/>
  <c r="BP68" i="14"/>
  <c r="BQ68" i="14"/>
  <c r="BR68" i="14"/>
  <c r="BS68" i="14"/>
  <c r="BT68" i="14"/>
  <c r="BU68" i="14"/>
  <c r="BV68" i="14"/>
  <c r="BW68" i="14"/>
  <c r="BX68" i="14"/>
  <c r="BY68" i="14"/>
  <c r="BZ68" i="14"/>
  <c r="CA68" i="14"/>
  <c r="CB68" i="14"/>
  <c r="CC68" i="14"/>
  <c r="CE68" i="14"/>
  <c r="CF68" i="14"/>
  <c r="CG68" i="14"/>
  <c r="CH68" i="14"/>
  <c r="CI68" i="14"/>
  <c r="CJ68" i="14"/>
  <c r="CK68" i="14"/>
  <c r="CL68" i="14"/>
  <c r="CM68" i="14"/>
  <c r="CN68" i="14"/>
  <c r="CO68" i="14"/>
  <c r="CP68" i="14"/>
  <c r="CQ68" i="14"/>
  <c r="CR68" i="14"/>
  <c r="CS68" i="14"/>
  <c r="CT68" i="14"/>
  <c r="CU68" i="14"/>
  <c r="CV68" i="14"/>
  <c r="CW68" i="14"/>
  <c r="CX68" i="14"/>
  <c r="CY68" i="14"/>
  <c r="CZ68" i="14"/>
  <c r="DA68" i="14"/>
  <c r="DB68" i="14"/>
  <c r="DH68" i="14"/>
  <c r="DI68" i="14"/>
  <c r="DJ68" i="14"/>
  <c r="H69" i="14"/>
  <c r="I69" i="14"/>
  <c r="J69" i="14"/>
  <c r="K69" i="14"/>
  <c r="L69" i="14"/>
  <c r="M69" i="14"/>
  <c r="N69" i="14"/>
  <c r="O69" i="14"/>
  <c r="P69" i="14"/>
  <c r="Q69" i="14"/>
  <c r="R69" i="14"/>
  <c r="S69" i="14"/>
  <c r="T69" i="14"/>
  <c r="U69" i="14"/>
  <c r="V69" i="14"/>
  <c r="W69" i="14"/>
  <c r="X69" i="14"/>
  <c r="Y69" i="14"/>
  <c r="Z69" i="14"/>
  <c r="AA69" i="14"/>
  <c r="AB69" i="14"/>
  <c r="AC69" i="14"/>
  <c r="AD69" i="14"/>
  <c r="AE69" i="14"/>
  <c r="AG69" i="14"/>
  <c r="AH69" i="14"/>
  <c r="AI69" i="14"/>
  <c r="AJ69" i="14"/>
  <c r="AK69" i="14"/>
  <c r="AL69" i="14"/>
  <c r="AM69" i="14"/>
  <c r="AN69" i="14"/>
  <c r="AO69" i="14"/>
  <c r="AP69" i="14"/>
  <c r="AQ69" i="14"/>
  <c r="AR69" i="14"/>
  <c r="AS69" i="14"/>
  <c r="AT69" i="14"/>
  <c r="AU69" i="14"/>
  <c r="AV69" i="14"/>
  <c r="AW69" i="14"/>
  <c r="AX69" i="14"/>
  <c r="AY69" i="14"/>
  <c r="AZ69" i="14"/>
  <c r="BA69" i="14"/>
  <c r="BB69" i="14"/>
  <c r="BC69" i="14"/>
  <c r="BD69" i="14"/>
  <c r="BF69" i="14"/>
  <c r="BG69" i="14"/>
  <c r="BH69" i="14"/>
  <c r="BI69" i="14"/>
  <c r="BJ69" i="14"/>
  <c r="BK69" i="14"/>
  <c r="BL69" i="14"/>
  <c r="BM69" i="14"/>
  <c r="BN69" i="14"/>
  <c r="BO69" i="14"/>
  <c r="BP69" i="14"/>
  <c r="BQ69" i="14"/>
  <c r="BR69" i="14"/>
  <c r="BS69" i="14"/>
  <c r="BT69" i="14"/>
  <c r="BU69" i="14"/>
  <c r="BV69" i="14"/>
  <c r="BW69" i="14"/>
  <c r="BX69" i="14"/>
  <c r="BY69" i="14"/>
  <c r="BZ69" i="14"/>
  <c r="CA69" i="14"/>
  <c r="CB69" i="14"/>
  <c r="CC69" i="14"/>
  <c r="CE69" i="14"/>
  <c r="CF69" i="14"/>
  <c r="CG69" i="14"/>
  <c r="CH69" i="14"/>
  <c r="CI69" i="14"/>
  <c r="CJ69" i="14"/>
  <c r="CK69" i="14"/>
  <c r="CL69" i="14"/>
  <c r="CM69" i="14"/>
  <c r="CN69" i="14"/>
  <c r="CO69" i="14"/>
  <c r="CP69" i="14"/>
  <c r="CQ69" i="14"/>
  <c r="CR69" i="14"/>
  <c r="CS69" i="14"/>
  <c r="CT69" i="14"/>
  <c r="CU69" i="14"/>
  <c r="CV69" i="14"/>
  <c r="CW69" i="14"/>
  <c r="CX69" i="14"/>
  <c r="CY69" i="14"/>
  <c r="CZ69" i="14"/>
  <c r="DA69" i="14"/>
  <c r="DB69" i="14"/>
  <c r="DH69" i="14"/>
  <c r="DI69" i="14"/>
  <c r="DJ69" i="14"/>
  <c r="H70" i="14"/>
  <c r="I70" i="14"/>
  <c r="J70" i="14"/>
  <c r="K70" i="14"/>
  <c r="L70" i="14"/>
  <c r="M70" i="14"/>
  <c r="N70" i="14"/>
  <c r="O70" i="14"/>
  <c r="P70" i="14"/>
  <c r="Q70" i="14"/>
  <c r="R70" i="14"/>
  <c r="S70" i="14"/>
  <c r="T70" i="14"/>
  <c r="U70" i="14"/>
  <c r="V70" i="14"/>
  <c r="W70" i="14"/>
  <c r="X70" i="14"/>
  <c r="Y70" i="14"/>
  <c r="Z70" i="14"/>
  <c r="AA70" i="14"/>
  <c r="AB70" i="14"/>
  <c r="AC70" i="14"/>
  <c r="AD70" i="14"/>
  <c r="AE70" i="14"/>
  <c r="AG70" i="14"/>
  <c r="AH70" i="14"/>
  <c r="AI70" i="14"/>
  <c r="AJ70" i="14"/>
  <c r="AK70" i="14"/>
  <c r="AL70" i="14"/>
  <c r="AM70" i="14"/>
  <c r="AN70" i="14"/>
  <c r="AO70" i="14"/>
  <c r="AP70" i="14"/>
  <c r="AQ70" i="14"/>
  <c r="AR70" i="14"/>
  <c r="AS70" i="14"/>
  <c r="AT70" i="14"/>
  <c r="AU70" i="14"/>
  <c r="AV70" i="14"/>
  <c r="AW70" i="14"/>
  <c r="AX70" i="14"/>
  <c r="AY70" i="14"/>
  <c r="AZ70" i="14"/>
  <c r="BA70" i="14"/>
  <c r="BB70" i="14"/>
  <c r="BC70" i="14"/>
  <c r="BD70" i="14"/>
  <c r="BF70" i="14"/>
  <c r="BG70" i="14"/>
  <c r="BH70" i="14"/>
  <c r="BI70" i="14"/>
  <c r="BJ70" i="14"/>
  <c r="BK70" i="14"/>
  <c r="BL70" i="14"/>
  <c r="BM70" i="14"/>
  <c r="BN70" i="14"/>
  <c r="BO70" i="14"/>
  <c r="BP70" i="14"/>
  <c r="BQ70" i="14"/>
  <c r="BR70" i="14"/>
  <c r="BS70" i="14"/>
  <c r="BT70" i="14"/>
  <c r="BU70" i="14"/>
  <c r="BV70" i="14"/>
  <c r="BW70" i="14"/>
  <c r="BX70" i="14"/>
  <c r="BY70" i="14"/>
  <c r="BZ70" i="14"/>
  <c r="CA70" i="14"/>
  <c r="CB70" i="14"/>
  <c r="CC70" i="14"/>
  <c r="CE70" i="14"/>
  <c r="CF70" i="14"/>
  <c r="CG70" i="14"/>
  <c r="CH70" i="14"/>
  <c r="CI70" i="14"/>
  <c r="CJ70" i="14"/>
  <c r="CK70" i="14"/>
  <c r="CL70" i="14"/>
  <c r="CM70" i="14"/>
  <c r="CN70" i="14"/>
  <c r="CO70" i="14"/>
  <c r="CP70" i="14"/>
  <c r="CQ70" i="14"/>
  <c r="CR70" i="14"/>
  <c r="CS70" i="14"/>
  <c r="CT70" i="14"/>
  <c r="CU70" i="14"/>
  <c r="CV70" i="14"/>
  <c r="CW70" i="14"/>
  <c r="CX70" i="14"/>
  <c r="CY70" i="14"/>
  <c r="CZ70" i="14"/>
  <c r="DA70" i="14"/>
  <c r="DB70" i="14"/>
  <c r="DH70" i="14"/>
  <c r="DI70" i="14"/>
  <c r="DJ70" i="14"/>
  <c r="H71" i="14"/>
  <c r="I71" i="14"/>
  <c r="J71" i="14"/>
  <c r="K71" i="14"/>
  <c r="L71" i="14"/>
  <c r="M71" i="14"/>
  <c r="N71" i="14"/>
  <c r="O71" i="14"/>
  <c r="P71" i="14"/>
  <c r="Q71" i="14"/>
  <c r="R71" i="14"/>
  <c r="S71" i="14"/>
  <c r="T71" i="14"/>
  <c r="U71" i="14"/>
  <c r="V71" i="14"/>
  <c r="W71" i="14"/>
  <c r="X71" i="14"/>
  <c r="Y71" i="14"/>
  <c r="Z71" i="14"/>
  <c r="AA71" i="14"/>
  <c r="AB71" i="14"/>
  <c r="AC71" i="14"/>
  <c r="AD71" i="14"/>
  <c r="AE71" i="14"/>
  <c r="AG71" i="14"/>
  <c r="AH71" i="14"/>
  <c r="AI71" i="14"/>
  <c r="AJ71" i="14"/>
  <c r="AK71" i="14"/>
  <c r="AL71" i="14"/>
  <c r="AM71" i="14"/>
  <c r="AN71" i="14"/>
  <c r="AO71" i="14"/>
  <c r="AP71" i="14"/>
  <c r="AQ71" i="14"/>
  <c r="AR71" i="14"/>
  <c r="AS71" i="14"/>
  <c r="AT71" i="14"/>
  <c r="AU71" i="14"/>
  <c r="AV71" i="14"/>
  <c r="AW71" i="14"/>
  <c r="AX71" i="14"/>
  <c r="AY71" i="14"/>
  <c r="AZ71" i="14"/>
  <c r="BA71" i="14"/>
  <c r="BB71" i="14"/>
  <c r="BC71" i="14"/>
  <c r="BD71" i="14"/>
  <c r="BF71" i="14"/>
  <c r="BG71" i="14"/>
  <c r="BH71" i="14"/>
  <c r="BI71" i="14"/>
  <c r="BJ71" i="14"/>
  <c r="BK71" i="14"/>
  <c r="BL71" i="14"/>
  <c r="BM71" i="14"/>
  <c r="BN71" i="14"/>
  <c r="BO71" i="14"/>
  <c r="BP71" i="14"/>
  <c r="BQ71" i="14"/>
  <c r="BR71" i="14"/>
  <c r="BS71" i="14"/>
  <c r="BT71" i="14"/>
  <c r="BU71" i="14"/>
  <c r="BV71" i="14"/>
  <c r="BW71" i="14"/>
  <c r="BX71" i="14"/>
  <c r="BY71" i="14"/>
  <c r="BZ71" i="14"/>
  <c r="CA71" i="14"/>
  <c r="CB71" i="14"/>
  <c r="CC71" i="14"/>
  <c r="CE71" i="14"/>
  <c r="CF71" i="14"/>
  <c r="CG71" i="14"/>
  <c r="CH71" i="14"/>
  <c r="CI71" i="14"/>
  <c r="CJ71" i="14"/>
  <c r="CK71" i="14"/>
  <c r="CL71" i="14"/>
  <c r="CM71" i="14"/>
  <c r="CN71" i="14"/>
  <c r="CO71" i="14"/>
  <c r="CP71" i="14"/>
  <c r="CQ71" i="14"/>
  <c r="CR71" i="14"/>
  <c r="CS71" i="14"/>
  <c r="CT71" i="14"/>
  <c r="CU71" i="14"/>
  <c r="CV71" i="14"/>
  <c r="CW71" i="14"/>
  <c r="CX71" i="14"/>
  <c r="CY71" i="14"/>
  <c r="CZ71" i="14"/>
  <c r="DA71" i="14"/>
  <c r="DB71" i="14"/>
  <c r="DH71" i="14"/>
  <c r="DI71" i="14"/>
  <c r="DJ71" i="14"/>
  <c r="H72" i="14"/>
  <c r="I72" i="14"/>
  <c r="J72" i="14"/>
  <c r="K72" i="14"/>
  <c r="L72" i="14"/>
  <c r="M72" i="14"/>
  <c r="N72" i="14"/>
  <c r="O72" i="14"/>
  <c r="P72" i="14"/>
  <c r="Q72" i="14"/>
  <c r="R72" i="14"/>
  <c r="S72" i="14"/>
  <c r="T72" i="14"/>
  <c r="U72" i="14"/>
  <c r="V72" i="14"/>
  <c r="W72" i="14"/>
  <c r="X72" i="14"/>
  <c r="Y72" i="14"/>
  <c r="Z72" i="14"/>
  <c r="AA72" i="14"/>
  <c r="AB72" i="14"/>
  <c r="AC72" i="14"/>
  <c r="AD72" i="14"/>
  <c r="AE72" i="14"/>
  <c r="AG72" i="14"/>
  <c r="AH72" i="14"/>
  <c r="AI72" i="14"/>
  <c r="AJ72" i="14"/>
  <c r="AK72" i="14"/>
  <c r="AL72" i="14"/>
  <c r="AM72" i="14"/>
  <c r="AN72" i="14"/>
  <c r="AO72" i="14"/>
  <c r="AP72" i="14"/>
  <c r="AQ72" i="14"/>
  <c r="AR72" i="14"/>
  <c r="AS72" i="14"/>
  <c r="AT72" i="14"/>
  <c r="AU72" i="14"/>
  <c r="AV72" i="14"/>
  <c r="AW72" i="14"/>
  <c r="AX72" i="14"/>
  <c r="AY72" i="14"/>
  <c r="AZ72" i="14"/>
  <c r="BA72" i="14"/>
  <c r="BB72" i="14"/>
  <c r="BC72" i="14"/>
  <c r="BD72" i="14"/>
  <c r="BF72" i="14"/>
  <c r="BG72" i="14"/>
  <c r="BH72" i="14"/>
  <c r="BI72" i="14"/>
  <c r="BJ72" i="14"/>
  <c r="BK72" i="14"/>
  <c r="BL72" i="14"/>
  <c r="BM72" i="14"/>
  <c r="BN72" i="14"/>
  <c r="BO72" i="14"/>
  <c r="BP72" i="14"/>
  <c r="BQ72" i="14"/>
  <c r="BR72" i="14"/>
  <c r="BS72" i="14"/>
  <c r="BT72" i="14"/>
  <c r="BU72" i="14"/>
  <c r="BV72" i="14"/>
  <c r="BW72" i="14"/>
  <c r="BX72" i="14"/>
  <c r="BY72" i="14"/>
  <c r="BZ72" i="14"/>
  <c r="CA72" i="14"/>
  <c r="CB72" i="14"/>
  <c r="CC72" i="14"/>
  <c r="CE72" i="14"/>
  <c r="CF72" i="14"/>
  <c r="CG72" i="14"/>
  <c r="CH72" i="14"/>
  <c r="CI72" i="14"/>
  <c r="CJ72" i="14"/>
  <c r="CK72" i="14"/>
  <c r="CL72" i="14"/>
  <c r="CM72" i="14"/>
  <c r="CN72" i="14"/>
  <c r="CO72" i="14"/>
  <c r="CP72" i="14"/>
  <c r="CQ72" i="14"/>
  <c r="CR72" i="14"/>
  <c r="CS72" i="14"/>
  <c r="CT72" i="14"/>
  <c r="CU72" i="14"/>
  <c r="CV72" i="14"/>
  <c r="CW72" i="14"/>
  <c r="CX72" i="14"/>
  <c r="CY72" i="14"/>
  <c r="CZ72" i="14"/>
  <c r="DA72" i="14"/>
  <c r="DB72" i="14"/>
  <c r="DH72" i="14"/>
  <c r="DI72" i="14"/>
  <c r="DJ72" i="14"/>
  <c r="H73" i="14"/>
  <c r="I73" i="14"/>
  <c r="J73" i="14"/>
  <c r="K73" i="14"/>
  <c r="L73" i="14"/>
  <c r="M73" i="14"/>
  <c r="N73" i="14"/>
  <c r="O73" i="14"/>
  <c r="P73" i="14"/>
  <c r="Q73" i="14"/>
  <c r="R73" i="14"/>
  <c r="S73" i="14"/>
  <c r="T73" i="14"/>
  <c r="U73" i="14"/>
  <c r="V73" i="14"/>
  <c r="W73" i="14"/>
  <c r="X73" i="14"/>
  <c r="Y73" i="14"/>
  <c r="Z73" i="14"/>
  <c r="AA73" i="14"/>
  <c r="AB73" i="14"/>
  <c r="AC73" i="14"/>
  <c r="AD73" i="14"/>
  <c r="AE73" i="14"/>
  <c r="AG73" i="14"/>
  <c r="AH73" i="14"/>
  <c r="AI73" i="14"/>
  <c r="AJ73" i="14"/>
  <c r="AK73" i="14"/>
  <c r="AL73" i="14"/>
  <c r="AM73" i="14"/>
  <c r="AN73" i="14"/>
  <c r="AO73" i="14"/>
  <c r="AP73" i="14"/>
  <c r="AQ73" i="14"/>
  <c r="AR73" i="14"/>
  <c r="AS73" i="14"/>
  <c r="AT73" i="14"/>
  <c r="AU73" i="14"/>
  <c r="AV73" i="14"/>
  <c r="AW73" i="14"/>
  <c r="AX73" i="14"/>
  <c r="AY73" i="14"/>
  <c r="AZ73" i="14"/>
  <c r="BA73" i="14"/>
  <c r="BB73" i="14"/>
  <c r="BC73" i="14"/>
  <c r="BD73" i="14"/>
  <c r="BF73" i="14"/>
  <c r="BG73" i="14"/>
  <c r="BH73" i="14"/>
  <c r="BI73" i="14"/>
  <c r="BJ73" i="14"/>
  <c r="BK73" i="14"/>
  <c r="BL73" i="14"/>
  <c r="BM73" i="14"/>
  <c r="BN73" i="14"/>
  <c r="BO73" i="14"/>
  <c r="BP73" i="14"/>
  <c r="BQ73" i="14"/>
  <c r="BR73" i="14"/>
  <c r="BS73" i="14"/>
  <c r="BT73" i="14"/>
  <c r="BU73" i="14"/>
  <c r="BV73" i="14"/>
  <c r="BW73" i="14"/>
  <c r="BX73" i="14"/>
  <c r="BY73" i="14"/>
  <c r="BZ73" i="14"/>
  <c r="CA73" i="14"/>
  <c r="CB73" i="14"/>
  <c r="CC73" i="14"/>
  <c r="CE73" i="14"/>
  <c r="CF73" i="14"/>
  <c r="CG73" i="14"/>
  <c r="CH73" i="14"/>
  <c r="CI73" i="14"/>
  <c r="CJ73" i="14"/>
  <c r="CK73" i="14"/>
  <c r="CL73" i="14"/>
  <c r="CM73" i="14"/>
  <c r="CN73" i="14"/>
  <c r="CO73" i="14"/>
  <c r="CP73" i="14"/>
  <c r="CQ73" i="14"/>
  <c r="CR73" i="14"/>
  <c r="CS73" i="14"/>
  <c r="CT73" i="14"/>
  <c r="CU73" i="14"/>
  <c r="CV73" i="14"/>
  <c r="CW73" i="14"/>
  <c r="CX73" i="14"/>
  <c r="CY73" i="14"/>
  <c r="CZ73" i="14"/>
  <c r="DA73" i="14"/>
  <c r="DB73" i="14"/>
  <c r="DH73" i="14"/>
  <c r="DI73" i="14"/>
  <c r="DJ73" i="14"/>
  <c r="H74" i="14"/>
  <c r="I74" i="14"/>
  <c r="J74" i="14"/>
  <c r="K74" i="14"/>
  <c r="L74" i="14"/>
  <c r="M74" i="14"/>
  <c r="N74" i="14"/>
  <c r="O74" i="14"/>
  <c r="P74" i="14"/>
  <c r="Q74" i="14"/>
  <c r="R74" i="14"/>
  <c r="S74" i="14"/>
  <c r="T74" i="14"/>
  <c r="U74" i="14"/>
  <c r="V74" i="14"/>
  <c r="W74" i="14"/>
  <c r="X74" i="14"/>
  <c r="Y74" i="14"/>
  <c r="Z74" i="14"/>
  <c r="AA74" i="14"/>
  <c r="AB74" i="14"/>
  <c r="AC74" i="14"/>
  <c r="AD74" i="14"/>
  <c r="AE74" i="14"/>
  <c r="AG74" i="14"/>
  <c r="AH74" i="14"/>
  <c r="AI74" i="14"/>
  <c r="AJ74" i="14"/>
  <c r="AK74" i="14"/>
  <c r="AL74" i="14"/>
  <c r="AM74" i="14"/>
  <c r="AN74" i="14"/>
  <c r="AO74" i="14"/>
  <c r="AP74" i="14"/>
  <c r="AQ74" i="14"/>
  <c r="AR74" i="14"/>
  <c r="AS74" i="14"/>
  <c r="AT74" i="14"/>
  <c r="AU74" i="14"/>
  <c r="AV74" i="14"/>
  <c r="AW74" i="14"/>
  <c r="AX74" i="14"/>
  <c r="AY74" i="14"/>
  <c r="AZ74" i="14"/>
  <c r="BA74" i="14"/>
  <c r="BB74" i="14"/>
  <c r="BC74" i="14"/>
  <c r="BD74" i="14"/>
  <c r="BF74" i="14"/>
  <c r="BG74" i="14"/>
  <c r="BH74" i="14"/>
  <c r="BI74" i="14"/>
  <c r="BJ74" i="14"/>
  <c r="BK74" i="14"/>
  <c r="BL74" i="14"/>
  <c r="BM74" i="14"/>
  <c r="BN74" i="14"/>
  <c r="BO74" i="14"/>
  <c r="BP74" i="14"/>
  <c r="BQ74" i="14"/>
  <c r="BR74" i="14"/>
  <c r="BS74" i="14"/>
  <c r="BT74" i="14"/>
  <c r="BU74" i="14"/>
  <c r="BV74" i="14"/>
  <c r="BW74" i="14"/>
  <c r="BX74" i="14"/>
  <c r="BY74" i="14"/>
  <c r="BZ74" i="14"/>
  <c r="CA74" i="14"/>
  <c r="CB74" i="14"/>
  <c r="CC74" i="14"/>
  <c r="CE74" i="14"/>
  <c r="CF74" i="14"/>
  <c r="CG74" i="14"/>
  <c r="CH74" i="14"/>
  <c r="CI74" i="14"/>
  <c r="CJ74" i="14"/>
  <c r="CK74" i="14"/>
  <c r="CL74" i="14"/>
  <c r="CM74" i="14"/>
  <c r="CN74" i="14"/>
  <c r="CO74" i="14"/>
  <c r="CP74" i="14"/>
  <c r="CQ74" i="14"/>
  <c r="CR74" i="14"/>
  <c r="CS74" i="14"/>
  <c r="CT74" i="14"/>
  <c r="CU74" i="14"/>
  <c r="CV74" i="14"/>
  <c r="CW74" i="14"/>
  <c r="CX74" i="14"/>
  <c r="CY74" i="14"/>
  <c r="CZ74" i="14"/>
  <c r="DA74" i="14"/>
  <c r="DB74" i="14"/>
  <c r="DH74" i="14"/>
  <c r="DI74" i="14"/>
  <c r="DJ74" i="14"/>
  <c r="H75" i="14"/>
  <c r="I75" i="14"/>
  <c r="J75" i="14"/>
  <c r="K75" i="14"/>
  <c r="L75" i="14"/>
  <c r="M75" i="14"/>
  <c r="N75" i="14"/>
  <c r="O75" i="14"/>
  <c r="P75" i="14"/>
  <c r="Q75" i="14"/>
  <c r="R75" i="14"/>
  <c r="S75" i="14"/>
  <c r="T75" i="14"/>
  <c r="U75" i="14"/>
  <c r="V75" i="14"/>
  <c r="W75" i="14"/>
  <c r="X75" i="14"/>
  <c r="Y75" i="14"/>
  <c r="Z75" i="14"/>
  <c r="AA75" i="14"/>
  <c r="AB75" i="14"/>
  <c r="AC75" i="14"/>
  <c r="AD75" i="14"/>
  <c r="AE75" i="14"/>
  <c r="AG75" i="14"/>
  <c r="AH75" i="14"/>
  <c r="AI75" i="14"/>
  <c r="AJ75" i="14"/>
  <c r="AK75" i="14"/>
  <c r="AL75" i="14"/>
  <c r="AM75" i="14"/>
  <c r="AN75" i="14"/>
  <c r="AO75" i="14"/>
  <c r="AP75" i="14"/>
  <c r="AQ75" i="14"/>
  <c r="AR75" i="14"/>
  <c r="AS75" i="14"/>
  <c r="AT75" i="14"/>
  <c r="AU75" i="14"/>
  <c r="AV75" i="14"/>
  <c r="AW75" i="14"/>
  <c r="AX75" i="14"/>
  <c r="AY75" i="14"/>
  <c r="AZ75" i="14"/>
  <c r="BA75" i="14"/>
  <c r="BB75" i="14"/>
  <c r="BC75" i="14"/>
  <c r="BD75" i="14"/>
  <c r="BF75" i="14"/>
  <c r="BG75" i="14"/>
  <c r="BH75" i="14"/>
  <c r="BI75" i="14"/>
  <c r="BJ75" i="14"/>
  <c r="BK75" i="14"/>
  <c r="BL75" i="14"/>
  <c r="BM75" i="14"/>
  <c r="BN75" i="14"/>
  <c r="BO75" i="14"/>
  <c r="BP75" i="14"/>
  <c r="BQ75" i="14"/>
  <c r="BR75" i="14"/>
  <c r="BS75" i="14"/>
  <c r="BT75" i="14"/>
  <c r="BU75" i="14"/>
  <c r="BV75" i="14"/>
  <c r="BW75" i="14"/>
  <c r="BX75" i="14"/>
  <c r="BY75" i="14"/>
  <c r="BZ75" i="14"/>
  <c r="CA75" i="14"/>
  <c r="CB75" i="14"/>
  <c r="CC75" i="14"/>
  <c r="CE75" i="14"/>
  <c r="CF75" i="14"/>
  <c r="CG75" i="14"/>
  <c r="CH75" i="14"/>
  <c r="CI75" i="14"/>
  <c r="CJ75" i="14"/>
  <c r="CK75" i="14"/>
  <c r="CL75" i="14"/>
  <c r="CM75" i="14"/>
  <c r="CN75" i="14"/>
  <c r="CO75" i="14"/>
  <c r="CP75" i="14"/>
  <c r="CQ75" i="14"/>
  <c r="CR75" i="14"/>
  <c r="CS75" i="14"/>
  <c r="CT75" i="14"/>
  <c r="CU75" i="14"/>
  <c r="CV75" i="14"/>
  <c r="CW75" i="14"/>
  <c r="CX75" i="14"/>
  <c r="CY75" i="14"/>
  <c r="CZ75" i="14"/>
  <c r="DA75" i="14"/>
  <c r="DB75" i="14"/>
  <c r="DH75" i="14"/>
  <c r="DI75" i="14"/>
  <c r="DJ75" i="14"/>
  <c r="H76" i="14"/>
  <c r="I76" i="14"/>
  <c r="J76" i="14"/>
  <c r="K76" i="14"/>
  <c r="L76" i="14"/>
  <c r="M76" i="14"/>
  <c r="N76" i="14"/>
  <c r="O76" i="14"/>
  <c r="P76" i="14"/>
  <c r="Q76" i="14"/>
  <c r="R76" i="14"/>
  <c r="S76" i="14"/>
  <c r="T76" i="14"/>
  <c r="U76" i="14"/>
  <c r="V76" i="14"/>
  <c r="W76" i="14"/>
  <c r="X76" i="14"/>
  <c r="Y76" i="14"/>
  <c r="Z76" i="14"/>
  <c r="AA76" i="14"/>
  <c r="AB76" i="14"/>
  <c r="AC76" i="14"/>
  <c r="AD76" i="14"/>
  <c r="AE76" i="14"/>
  <c r="AG76" i="14"/>
  <c r="AH76" i="14"/>
  <c r="AI76" i="14"/>
  <c r="AJ76" i="14"/>
  <c r="AK76" i="14"/>
  <c r="AL76" i="14"/>
  <c r="AM76" i="14"/>
  <c r="AN76" i="14"/>
  <c r="AO76" i="14"/>
  <c r="AP76" i="14"/>
  <c r="AQ76" i="14"/>
  <c r="AR76" i="14"/>
  <c r="AS76" i="14"/>
  <c r="AT76" i="14"/>
  <c r="AU76" i="14"/>
  <c r="AV76" i="14"/>
  <c r="AW76" i="14"/>
  <c r="AX76" i="14"/>
  <c r="AY76" i="14"/>
  <c r="AZ76" i="14"/>
  <c r="BA76" i="14"/>
  <c r="BB76" i="14"/>
  <c r="BC76" i="14"/>
  <c r="BD76" i="14"/>
  <c r="BF76" i="14"/>
  <c r="BG76" i="14"/>
  <c r="BH76" i="14"/>
  <c r="BI76" i="14"/>
  <c r="BJ76" i="14"/>
  <c r="BK76" i="14"/>
  <c r="BL76" i="14"/>
  <c r="BM76" i="14"/>
  <c r="BN76" i="14"/>
  <c r="BO76" i="14"/>
  <c r="BP76" i="14"/>
  <c r="BQ76" i="14"/>
  <c r="BR76" i="14"/>
  <c r="BS76" i="14"/>
  <c r="BT76" i="14"/>
  <c r="BU76" i="14"/>
  <c r="BV76" i="14"/>
  <c r="BW76" i="14"/>
  <c r="BX76" i="14"/>
  <c r="BY76" i="14"/>
  <c r="BZ76" i="14"/>
  <c r="CA76" i="14"/>
  <c r="CB76" i="14"/>
  <c r="CC76" i="14"/>
  <c r="CE76" i="14"/>
  <c r="CF76" i="14"/>
  <c r="CG76" i="14"/>
  <c r="CH76" i="14"/>
  <c r="CI76" i="14"/>
  <c r="CJ76" i="14"/>
  <c r="CK76" i="14"/>
  <c r="CL76" i="14"/>
  <c r="CM76" i="14"/>
  <c r="CN76" i="14"/>
  <c r="CO76" i="14"/>
  <c r="CP76" i="14"/>
  <c r="CQ76" i="14"/>
  <c r="CR76" i="14"/>
  <c r="CS76" i="14"/>
  <c r="CT76" i="14"/>
  <c r="CU76" i="14"/>
  <c r="CV76" i="14"/>
  <c r="CW76" i="14"/>
  <c r="CX76" i="14"/>
  <c r="CY76" i="14"/>
  <c r="CZ76" i="14"/>
  <c r="DA76" i="14"/>
  <c r="DB76" i="14"/>
  <c r="DH76" i="14"/>
  <c r="DI76" i="14"/>
  <c r="DJ76" i="14"/>
  <c r="H77" i="14"/>
  <c r="I77" i="14"/>
  <c r="J77" i="14"/>
  <c r="K77" i="14"/>
  <c r="L77" i="14"/>
  <c r="M77" i="14"/>
  <c r="N77" i="14"/>
  <c r="O77" i="14"/>
  <c r="P77" i="14"/>
  <c r="Q77" i="14"/>
  <c r="R77" i="14"/>
  <c r="S77" i="14"/>
  <c r="T77" i="14"/>
  <c r="U77" i="14"/>
  <c r="V77" i="14"/>
  <c r="W77" i="14"/>
  <c r="X77" i="14"/>
  <c r="Y77" i="14"/>
  <c r="Z77" i="14"/>
  <c r="AA77" i="14"/>
  <c r="AB77" i="14"/>
  <c r="AC77" i="14"/>
  <c r="AD77" i="14"/>
  <c r="AE77" i="14"/>
  <c r="AG77" i="14"/>
  <c r="AH77" i="14"/>
  <c r="AI77" i="14"/>
  <c r="AJ77" i="14"/>
  <c r="AK77" i="14"/>
  <c r="AL77" i="14"/>
  <c r="AM77" i="14"/>
  <c r="AN77" i="14"/>
  <c r="AO77" i="14"/>
  <c r="AP77" i="14"/>
  <c r="AQ77" i="14"/>
  <c r="AR77" i="14"/>
  <c r="AS77" i="14"/>
  <c r="AT77" i="14"/>
  <c r="AU77" i="14"/>
  <c r="AV77" i="14"/>
  <c r="AW77" i="14"/>
  <c r="AX77" i="14"/>
  <c r="AY77" i="14"/>
  <c r="AZ77" i="14"/>
  <c r="BA77" i="14"/>
  <c r="BB77" i="14"/>
  <c r="BC77" i="14"/>
  <c r="BD77" i="14"/>
  <c r="BF77" i="14"/>
  <c r="BG77" i="14"/>
  <c r="BH77" i="14"/>
  <c r="BI77" i="14"/>
  <c r="BJ77" i="14"/>
  <c r="BK77" i="14"/>
  <c r="BL77" i="14"/>
  <c r="BM77" i="14"/>
  <c r="BN77" i="14"/>
  <c r="BO77" i="14"/>
  <c r="BP77" i="14"/>
  <c r="BQ77" i="14"/>
  <c r="BR77" i="14"/>
  <c r="BS77" i="14"/>
  <c r="BT77" i="14"/>
  <c r="BU77" i="14"/>
  <c r="BV77" i="14"/>
  <c r="BW77" i="14"/>
  <c r="BX77" i="14"/>
  <c r="BY77" i="14"/>
  <c r="BZ77" i="14"/>
  <c r="CA77" i="14"/>
  <c r="CB77" i="14"/>
  <c r="CC77" i="14"/>
  <c r="CE77" i="14"/>
  <c r="CF77" i="14"/>
  <c r="CG77" i="14"/>
  <c r="CH77" i="14"/>
  <c r="CI77" i="14"/>
  <c r="CJ77" i="14"/>
  <c r="CK77" i="14"/>
  <c r="CL77" i="14"/>
  <c r="CM77" i="14"/>
  <c r="CN77" i="14"/>
  <c r="CO77" i="14"/>
  <c r="CP77" i="14"/>
  <c r="CQ77" i="14"/>
  <c r="CR77" i="14"/>
  <c r="CS77" i="14"/>
  <c r="CT77" i="14"/>
  <c r="CU77" i="14"/>
  <c r="CV77" i="14"/>
  <c r="CW77" i="14"/>
  <c r="CX77" i="14"/>
  <c r="CY77" i="14"/>
  <c r="CZ77" i="14"/>
  <c r="DA77" i="14"/>
  <c r="DB77" i="14"/>
  <c r="DH77" i="14"/>
  <c r="DI77" i="14"/>
  <c r="DJ77" i="14"/>
  <c r="H78" i="14"/>
  <c r="I78" i="14"/>
  <c r="J78" i="14"/>
  <c r="K78" i="14"/>
  <c r="L78" i="14"/>
  <c r="M78" i="14"/>
  <c r="N78" i="14"/>
  <c r="O78" i="14"/>
  <c r="P78" i="14"/>
  <c r="Q78" i="14"/>
  <c r="R78" i="14"/>
  <c r="S78" i="14"/>
  <c r="T78" i="14"/>
  <c r="U78" i="14"/>
  <c r="V78" i="14"/>
  <c r="W78" i="14"/>
  <c r="X78" i="14"/>
  <c r="Y78" i="14"/>
  <c r="Z78" i="14"/>
  <c r="AA78" i="14"/>
  <c r="AB78" i="14"/>
  <c r="AC78" i="14"/>
  <c r="AD78" i="14"/>
  <c r="AE78" i="14"/>
  <c r="AG78" i="14"/>
  <c r="AH78" i="14"/>
  <c r="AI78" i="14"/>
  <c r="AJ78" i="14"/>
  <c r="AK78" i="14"/>
  <c r="AL78" i="14"/>
  <c r="AM78" i="14"/>
  <c r="AN78" i="14"/>
  <c r="AO78" i="14"/>
  <c r="AP78" i="14"/>
  <c r="AQ78" i="14"/>
  <c r="AR78" i="14"/>
  <c r="AS78" i="14"/>
  <c r="AT78" i="14"/>
  <c r="AU78" i="14"/>
  <c r="AV78" i="14"/>
  <c r="AW78" i="14"/>
  <c r="AX78" i="14"/>
  <c r="AY78" i="14"/>
  <c r="AZ78" i="14"/>
  <c r="BA78" i="14"/>
  <c r="BB78" i="14"/>
  <c r="BC78" i="14"/>
  <c r="BD78" i="14"/>
  <c r="BF78" i="14"/>
  <c r="BG78" i="14"/>
  <c r="BH78" i="14"/>
  <c r="BI78" i="14"/>
  <c r="BJ78" i="14"/>
  <c r="BK78" i="14"/>
  <c r="BL78" i="14"/>
  <c r="BM78" i="14"/>
  <c r="BN78" i="14"/>
  <c r="BO78" i="14"/>
  <c r="BP78" i="14"/>
  <c r="BQ78" i="14"/>
  <c r="BR78" i="14"/>
  <c r="BS78" i="14"/>
  <c r="BT78" i="14"/>
  <c r="BU78" i="14"/>
  <c r="BV78" i="14"/>
  <c r="BW78" i="14"/>
  <c r="BX78" i="14"/>
  <c r="BY78" i="14"/>
  <c r="BZ78" i="14"/>
  <c r="CA78" i="14"/>
  <c r="CB78" i="14"/>
  <c r="CC78" i="14"/>
  <c r="CE78" i="14"/>
  <c r="CF78" i="14"/>
  <c r="CG78" i="14"/>
  <c r="CH78" i="14"/>
  <c r="CI78" i="14"/>
  <c r="CJ78" i="14"/>
  <c r="CK78" i="14"/>
  <c r="CL78" i="14"/>
  <c r="CM78" i="14"/>
  <c r="CN78" i="14"/>
  <c r="CO78" i="14"/>
  <c r="CP78" i="14"/>
  <c r="CQ78" i="14"/>
  <c r="CR78" i="14"/>
  <c r="CS78" i="14"/>
  <c r="CT78" i="14"/>
  <c r="CU78" i="14"/>
  <c r="CV78" i="14"/>
  <c r="CW78" i="14"/>
  <c r="CX78" i="14"/>
  <c r="CY78" i="14"/>
  <c r="CZ78" i="14"/>
  <c r="DA78" i="14"/>
  <c r="DB78" i="14"/>
  <c r="DH78" i="14"/>
  <c r="DI78" i="14"/>
  <c r="DJ78" i="14"/>
  <c r="H79" i="14"/>
  <c r="I79" i="14"/>
  <c r="J79" i="14"/>
  <c r="K79" i="14"/>
  <c r="L79" i="14"/>
  <c r="M79" i="14"/>
  <c r="N79" i="14"/>
  <c r="O79" i="14"/>
  <c r="P79" i="14"/>
  <c r="Q79" i="14"/>
  <c r="R79" i="14"/>
  <c r="S79" i="14"/>
  <c r="T79" i="14"/>
  <c r="U79" i="14"/>
  <c r="V79" i="14"/>
  <c r="W79" i="14"/>
  <c r="X79" i="14"/>
  <c r="Y79" i="14"/>
  <c r="Z79" i="14"/>
  <c r="AA79" i="14"/>
  <c r="AB79" i="14"/>
  <c r="AC79" i="14"/>
  <c r="AD79" i="14"/>
  <c r="AE79" i="14"/>
  <c r="AG79" i="14"/>
  <c r="AH79" i="14"/>
  <c r="AI79" i="14"/>
  <c r="AJ79" i="14"/>
  <c r="AK79" i="14"/>
  <c r="AL79" i="14"/>
  <c r="AM79" i="14"/>
  <c r="AN79" i="14"/>
  <c r="AO79" i="14"/>
  <c r="AP79" i="14"/>
  <c r="AQ79" i="14"/>
  <c r="AR79" i="14"/>
  <c r="AS79" i="14"/>
  <c r="AT79" i="14"/>
  <c r="AU79" i="14"/>
  <c r="AV79" i="14"/>
  <c r="AW79" i="14"/>
  <c r="AX79" i="14"/>
  <c r="AY79" i="14"/>
  <c r="AZ79" i="14"/>
  <c r="BA79" i="14"/>
  <c r="BB79" i="14"/>
  <c r="BC79" i="14"/>
  <c r="BD79" i="14"/>
  <c r="BF79" i="14"/>
  <c r="BG79" i="14"/>
  <c r="BH79" i="14"/>
  <c r="BI79" i="14"/>
  <c r="BJ79" i="14"/>
  <c r="BK79" i="14"/>
  <c r="BL79" i="14"/>
  <c r="BM79" i="14"/>
  <c r="BN79" i="14"/>
  <c r="BO79" i="14"/>
  <c r="BP79" i="14"/>
  <c r="BQ79" i="14"/>
  <c r="BR79" i="14"/>
  <c r="BS79" i="14"/>
  <c r="BT79" i="14"/>
  <c r="BU79" i="14"/>
  <c r="BV79" i="14"/>
  <c r="BW79" i="14"/>
  <c r="BX79" i="14"/>
  <c r="BY79" i="14"/>
  <c r="BZ79" i="14"/>
  <c r="CA79" i="14"/>
  <c r="CB79" i="14"/>
  <c r="CC79" i="14"/>
  <c r="CE79" i="14"/>
  <c r="CF79" i="14"/>
  <c r="CG79" i="14"/>
  <c r="CH79" i="14"/>
  <c r="CI79" i="14"/>
  <c r="CJ79" i="14"/>
  <c r="CK79" i="14"/>
  <c r="CL79" i="14"/>
  <c r="CM79" i="14"/>
  <c r="CN79" i="14"/>
  <c r="CO79" i="14"/>
  <c r="CP79" i="14"/>
  <c r="CQ79" i="14"/>
  <c r="CR79" i="14"/>
  <c r="CS79" i="14"/>
  <c r="CT79" i="14"/>
  <c r="CU79" i="14"/>
  <c r="CV79" i="14"/>
  <c r="CW79" i="14"/>
  <c r="CX79" i="14"/>
  <c r="CY79" i="14"/>
  <c r="CZ79" i="14"/>
  <c r="DA79" i="14"/>
  <c r="DB79" i="14"/>
  <c r="DH79" i="14"/>
  <c r="DI79" i="14"/>
  <c r="DJ79" i="14"/>
  <c r="H80" i="14"/>
  <c r="I80" i="14"/>
  <c r="J80" i="14"/>
  <c r="K80" i="14"/>
  <c r="L80" i="14"/>
  <c r="M80" i="14"/>
  <c r="N80" i="14"/>
  <c r="O80" i="14"/>
  <c r="P80" i="14"/>
  <c r="Q80" i="14"/>
  <c r="R80" i="14"/>
  <c r="S80" i="14"/>
  <c r="T80" i="14"/>
  <c r="U80" i="14"/>
  <c r="V80" i="14"/>
  <c r="W80" i="14"/>
  <c r="X80" i="14"/>
  <c r="Y80" i="14"/>
  <c r="Z80" i="14"/>
  <c r="AA80" i="14"/>
  <c r="AB80" i="14"/>
  <c r="AC80" i="14"/>
  <c r="AD80" i="14"/>
  <c r="AE80" i="14"/>
  <c r="AG80" i="14"/>
  <c r="AH80" i="14"/>
  <c r="AI80" i="14"/>
  <c r="AJ80" i="14"/>
  <c r="AK80" i="14"/>
  <c r="AL80" i="14"/>
  <c r="AM80" i="14"/>
  <c r="AN80" i="14"/>
  <c r="AO80" i="14"/>
  <c r="AP80" i="14"/>
  <c r="AQ80" i="14"/>
  <c r="AR80" i="14"/>
  <c r="AS80" i="14"/>
  <c r="AT80" i="14"/>
  <c r="AU80" i="14"/>
  <c r="AV80" i="14"/>
  <c r="AW80" i="14"/>
  <c r="AX80" i="14"/>
  <c r="AY80" i="14"/>
  <c r="AZ80" i="14"/>
  <c r="BA80" i="14"/>
  <c r="BB80" i="14"/>
  <c r="BC80" i="14"/>
  <c r="BD80" i="14"/>
  <c r="BF80" i="14"/>
  <c r="BG80" i="14"/>
  <c r="BH80" i="14"/>
  <c r="BI80" i="14"/>
  <c r="BJ80" i="14"/>
  <c r="BK80" i="14"/>
  <c r="BL80" i="14"/>
  <c r="BM80" i="14"/>
  <c r="BN80" i="14"/>
  <c r="BO80" i="14"/>
  <c r="BP80" i="14"/>
  <c r="BQ80" i="14"/>
  <c r="BR80" i="14"/>
  <c r="BS80" i="14"/>
  <c r="BT80" i="14"/>
  <c r="BU80" i="14"/>
  <c r="BV80" i="14"/>
  <c r="BW80" i="14"/>
  <c r="BX80" i="14"/>
  <c r="BY80" i="14"/>
  <c r="BZ80" i="14"/>
  <c r="CA80" i="14"/>
  <c r="CB80" i="14"/>
  <c r="CC80" i="14"/>
  <c r="CE80" i="14"/>
  <c r="CF80" i="14"/>
  <c r="CG80" i="14"/>
  <c r="CH80" i="14"/>
  <c r="CI80" i="14"/>
  <c r="CJ80" i="14"/>
  <c r="CK80" i="14"/>
  <c r="CL80" i="14"/>
  <c r="CM80" i="14"/>
  <c r="CN80" i="14"/>
  <c r="CO80" i="14"/>
  <c r="CP80" i="14"/>
  <c r="CQ80" i="14"/>
  <c r="CR80" i="14"/>
  <c r="CS80" i="14"/>
  <c r="CT80" i="14"/>
  <c r="CU80" i="14"/>
  <c r="CV80" i="14"/>
  <c r="CW80" i="14"/>
  <c r="CX80" i="14"/>
  <c r="CY80" i="14"/>
  <c r="CZ80" i="14"/>
  <c r="DA80" i="14"/>
  <c r="DB80" i="14"/>
  <c r="DH80" i="14"/>
  <c r="DI80" i="14"/>
  <c r="DJ80" i="14"/>
  <c r="H81" i="14"/>
  <c r="I81" i="14"/>
  <c r="J81" i="14"/>
  <c r="K81" i="14"/>
  <c r="L81" i="14"/>
  <c r="M81" i="14"/>
  <c r="N81" i="14"/>
  <c r="O81" i="14"/>
  <c r="P81" i="14"/>
  <c r="Q81" i="14"/>
  <c r="R81" i="14"/>
  <c r="S81" i="14"/>
  <c r="T81" i="14"/>
  <c r="U81" i="14"/>
  <c r="V81" i="14"/>
  <c r="W81" i="14"/>
  <c r="X81" i="14"/>
  <c r="Y81" i="14"/>
  <c r="Z81" i="14"/>
  <c r="AA81" i="14"/>
  <c r="AB81" i="14"/>
  <c r="AC81" i="14"/>
  <c r="AD81" i="14"/>
  <c r="AE81" i="14"/>
  <c r="AG81" i="14"/>
  <c r="AH81" i="14"/>
  <c r="AI81" i="14"/>
  <c r="AJ81" i="14"/>
  <c r="AK81" i="14"/>
  <c r="AL81" i="14"/>
  <c r="AM81" i="14"/>
  <c r="AN81" i="14"/>
  <c r="AO81" i="14"/>
  <c r="AP81" i="14"/>
  <c r="AQ81" i="14"/>
  <c r="AR81" i="14"/>
  <c r="AS81" i="14"/>
  <c r="AT81" i="14"/>
  <c r="AU81" i="14"/>
  <c r="AV81" i="14"/>
  <c r="AW81" i="14"/>
  <c r="AX81" i="14"/>
  <c r="AY81" i="14"/>
  <c r="AZ81" i="14"/>
  <c r="BA81" i="14"/>
  <c r="BB81" i="14"/>
  <c r="BC81" i="14"/>
  <c r="BD81" i="14"/>
  <c r="BF81" i="14"/>
  <c r="BG81" i="14"/>
  <c r="BH81" i="14"/>
  <c r="BI81" i="14"/>
  <c r="BJ81" i="14"/>
  <c r="BK81" i="14"/>
  <c r="BL81" i="14"/>
  <c r="BM81" i="14"/>
  <c r="BN81" i="14"/>
  <c r="BO81" i="14"/>
  <c r="BP81" i="14"/>
  <c r="BQ81" i="14"/>
  <c r="BR81" i="14"/>
  <c r="BS81" i="14"/>
  <c r="BT81" i="14"/>
  <c r="BU81" i="14"/>
  <c r="BV81" i="14"/>
  <c r="BW81" i="14"/>
  <c r="BX81" i="14"/>
  <c r="BY81" i="14"/>
  <c r="BZ81" i="14"/>
  <c r="CA81" i="14"/>
  <c r="CB81" i="14"/>
  <c r="CC81" i="14"/>
  <c r="CE81" i="14"/>
  <c r="CF81" i="14"/>
  <c r="CG81" i="14"/>
  <c r="CH81" i="14"/>
  <c r="CI81" i="14"/>
  <c r="CJ81" i="14"/>
  <c r="CK81" i="14"/>
  <c r="CL81" i="14"/>
  <c r="CM81" i="14"/>
  <c r="CN81" i="14"/>
  <c r="CO81" i="14"/>
  <c r="CP81" i="14"/>
  <c r="CQ81" i="14"/>
  <c r="CR81" i="14"/>
  <c r="CS81" i="14"/>
  <c r="CT81" i="14"/>
  <c r="CU81" i="14"/>
  <c r="CV81" i="14"/>
  <c r="CW81" i="14"/>
  <c r="CX81" i="14"/>
  <c r="CY81" i="14"/>
  <c r="CZ81" i="14"/>
  <c r="DA81" i="14"/>
  <c r="DB81" i="14"/>
  <c r="DH81" i="14"/>
  <c r="DI81" i="14"/>
  <c r="DJ81" i="14"/>
  <c r="H82" i="14"/>
  <c r="I82" i="14"/>
  <c r="J82" i="14"/>
  <c r="K82" i="14"/>
  <c r="L82" i="14"/>
  <c r="M82" i="14"/>
  <c r="N82" i="14"/>
  <c r="O82" i="14"/>
  <c r="P82" i="14"/>
  <c r="Q82" i="14"/>
  <c r="R82" i="14"/>
  <c r="S82" i="14"/>
  <c r="T82" i="14"/>
  <c r="U82" i="14"/>
  <c r="V82" i="14"/>
  <c r="W82" i="14"/>
  <c r="X82" i="14"/>
  <c r="Y82" i="14"/>
  <c r="Z82" i="14"/>
  <c r="AA82" i="14"/>
  <c r="AB82" i="14"/>
  <c r="AC82" i="14"/>
  <c r="AD82" i="14"/>
  <c r="AE82" i="14"/>
  <c r="AG82" i="14"/>
  <c r="AH82" i="14"/>
  <c r="AI82" i="14"/>
  <c r="AJ82" i="14"/>
  <c r="AK82" i="14"/>
  <c r="AL82" i="14"/>
  <c r="AM82" i="14"/>
  <c r="AN82" i="14"/>
  <c r="AO82" i="14"/>
  <c r="AP82" i="14"/>
  <c r="AQ82" i="14"/>
  <c r="AR82" i="14"/>
  <c r="AS82" i="14"/>
  <c r="AT82" i="14"/>
  <c r="AU82" i="14"/>
  <c r="AV82" i="14"/>
  <c r="AW82" i="14"/>
  <c r="AX82" i="14"/>
  <c r="AY82" i="14"/>
  <c r="AZ82" i="14"/>
  <c r="BA82" i="14"/>
  <c r="BB82" i="14"/>
  <c r="BC82" i="14"/>
  <c r="BD82" i="14"/>
  <c r="BF82" i="14"/>
  <c r="BG82" i="14"/>
  <c r="BH82" i="14"/>
  <c r="BI82" i="14"/>
  <c r="BJ82" i="14"/>
  <c r="BK82" i="14"/>
  <c r="BL82" i="14"/>
  <c r="BM82" i="14"/>
  <c r="BN82" i="14"/>
  <c r="BO82" i="14"/>
  <c r="BP82" i="14"/>
  <c r="BQ82" i="14"/>
  <c r="BR82" i="14"/>
  <c r="BS82" i="14"/>
  <c r="BT82" i="14"/>
  <c r="BU82" i="14"/>
  <c r="BV82" i="14"/>
  <c r="BW82" i="14"/>
  <c r="BX82" i="14"/>
  <c r="BY82" i="14"/>
  <c r="BZ82" i="14"/>
  <c r="CA82" i="14"/>
  <c r="CB82" i="14"/>
  <c r="CC82" i="14"/>
  <c r="CE82" i="14"/>
  <c r="CF82" i="14"/>
  <c r="CG82" i="14"/>
  <c r="CH82" i="14"/>
  <c r="CI82" i="14"/>
  <c r="CJ82" i="14"/>
  <c r="CK82" i="14"/>
  <c r="CL82" i="14"/>
  <c r="CM82" i="14"/>
  <c r="CN82" i="14"/>
  <c r="CO82" i="14"/>
  <c r="CP82" i="14"/>
  <c r="CQ82" i="14"/>
  <c r="CR82" i="14"/>
  <c r="CS82" i="14"/>
  <c r="CT82" i="14"/>
  <c r="CU82" i="14"/>
  <c r="CV82" i="14"/>
  <c r="CW82" i="14"/>
  <c r="CX82" i="14"/>
  <c r="CY82" i="14"/>
  <c r="CZ82" i="14"/>
  <c r="DA82" i="14"/>
  <c r="DB82" i="14"/>
  <c r="DH82" i="14"/>
  <c r="DI82" i="14"/>
  <c r="DJ82" i="14"/>
  <c r="H83" i="14"/>
  <c r="I83" i="14"/>
  <c r="J83" i="14"/>
  <c r="K83" i="14"/>
  <c r="L83" i="14"/>
  <c r="M83" i="14"/>
  <c r="N83" i="14"/>
  <c r="O83" i="14"/>
  <c r="P83" i="14"/>
  <c r="Q83" i="14"/>
  <c r="R83" i="14"/>
  <c r="S83" i="14"/>
  <c r="T83" i="14"/>
  <c r="U83" i="14"/>
  <c r="V83" i="14"/>
  <c r="W83" i="14"/>
  <c r="X83" i="14"/>
  <c r="Y83" i="14"/>
  <c r="Z83" i="14"/>
  <c r="AA83" i="14"/>
  <c r="AB83" i="14"/>
  <c r="AC83" i="14"/>
  <c r="AD83" i="14"/>
  <c r="AE83" i="14"/>
  <c r="AG83" i="14"/>
  <c r="AH83" i="14"/>
  <c r="AI83" i="14"/>
  <c r="AJ83" i="14"/>
  <c r="AK83" i="14"/>
  <c r="AL83" i="14"/>
  <c r="AM83" i="14"/>
  <c r="AN83" i="14"/>
  <c r="AO83" i="14"/>
  <c r="AP83" i="14"/>
  <c r="AQ83" i="14"/>
  <c r="AR83" i="14"/>
  <c r="AS83" i="14"/>
  <c r="AT83" i="14"/>
  <c r="AU83" i="14"/>
  <c r="AV83" i="14"/>
  <c r="AW83" i="14"/>
  <c r="AX83" i="14"/>
  <c r="AY83" i="14"/>
  <c r="AZ83" i="14"/>
  <c r="BA83" i="14"/>
  <c r="BB83" i="14"/>
  <c r="BC83" i="14"/>
  <c r="BD83" i="14"/>
  <c r="BF83" i="14"/>
  <c r="BG83" i="14"/>
  <c r="BH83" i="14"/>
  <c r="BI83" i="14"/>
  <c r="BJ83" i="14"/>
  <c r="BK83" i="14"/>
  <c r="BL83" i="14"/>
  <c r="BM83" i="14"/>
  <c r="BN83" i="14"/>
  <c r="BO83" i="14"/>
  <c r="BP83" i="14"/>
  <c r="BQ83" i="14"/>
  <c r="BR83" i="14"/>
  <c r="BS83" i="14"/>
  <c r="BT83" i="14"/>
  <c r="BU83" i="14"/>
  <c r="BV83" i="14"/>
  <c r="BW83" i="14"/>
  <c r="BX83" i="14"/>
  <c r="BY83" i="14"/>
  <c r="BZ83" i="14"/>
  <c r="CA83" i="14"/>
  <c r="CB83" i="14"/>
  <c r="CC83" i="14"/>
  <c r="CE83" i="14"/>
  <c r="CF83" i="14"/>
  <c r="CG83" i="14"/>
  <c r="CH83" i="14"/>
  <c r="CI83" i="14"/>
  <c r="CJ83" i="14"/>
  <c r="CK83" i="14"/>
  <c r="CL83" i="14"/>
  <c r="CM83" i="14"/>
  <c r="CN83" i="14"/>
  <c r="CO83" i="14"/>
  <c r="CP83" i="14"/>
  <c r="CQ83" i="14"/>
  <c r="CR83" i="14"/>
  <c r="CS83" i="14"/>
  <c r="CT83" i="14"/>
  <c r="CU83" i="14"/>
  <c r="CV83" i="14"/>
  <c r="CW83" i="14"/>
  <c r="CX83" i="14"/>
  <c r="CY83" i="14"/>
  <c r="CZ83" i="14"/>
  <c r="DA83" i="14"/>
  <c r="DB83" i="14"/>
  <c r="DH83" i="14"/>
  <c r="DI83" i="14"/>
  <c r="DJ83" i="14"/>
  <c r="H84" i="14"/>
  <c r="I84" i="14"/>
  <c r="J84" i="14"/>
  <c r="K84" i="14"/>
  <c r="L84" i="14"/>
  <c r="M84" i="14"/>
  <c r="N84" i="14"/>
  <c r="O84" i="14"/>
  <c r="P84" i="14"/>
  <c r="Q84" i="14"/>
  <c r="R84" i="14"/>
  <c r="S84" i="14"/>
  <c r="T84" i="14"/>
  <c r="U84" i="14"/>
  <c r="V84" i="14"/>
  <c r="W84" i="14"/>
  <c r="X84" i="14"/>
  <c r="Y84" i="14"/>
  <c r="Z84" i="14"/>
  <c r="AA84" i="14"/>
  <c r="AB84" i="14"/>
  <c r="AC84" i="14"/>
  <c r="AD84" i="14"/>
  <c r="AE84" i="14"/>
  <c r="AG84" i="14"/>
  <c r="AH84" i="14"/>
  <c r="AI84" i="14"/>
  <c r="AJ84" i="14"/>
  <c r="AK84" i="14"/>
  <c r="AL84" i="14"/>
  <c r="AM84" i="14"/>
  <c r="AN84" i="14"/>
  <c r="AO84" i="14"/>
  <c r="AP84" i="14"/>
  <c r="AQ84" i="14"/>
  <c r="AR84" i="14"/>
  <c r="AS84" i="14"/>
  <c r="AT84" i="14"/>
  <c r="AU84" i="14"/>
  <c r="AV84" i="14"/>
  <c r="AW84" i="14"/>
  <c r="AX84" i="14"/>
  <c r="AY84" i="14"/>
  <c r="AZ84" i="14"/>
  <c r="BA84" i="14"/>
  <c r="BB84" i="14"/>
  <c r="BC84" i="14"/>
  <c r="BD84" i="14"/>
  <c r="BF84" i="14"/>
  <c r="BG84" i="14"/>
  <c r="BH84" i="14"/>
  <c r="BI84" i="14"/>
  <c r="BJ84" i="14"/>
  <c r="BK84" i="14"/>
  <c r="BL84" i="14"/>
  <c r="BM84" i="14"/>
  <c r="BN84" i="14"/>
  <c r="BO84" i="14"/>
  <c r="BP84" i="14"/>
  <c r="BQ84" i="14"/>
  <c r="BR84" i="14"/>
  <c r="BS84" i="14"/>
  <c r="BT84" i="14"/>
  <c r="BU84" i="14"/>
  <c r="BV84" i="14"/>
  <c r="BW84" i="14"/>
  <c r="BX84" i="14"/>
  <c r="BY84" i="14"/>
  <c r="BZ84" i="14"/>
  <c r="CA84" i="14"/>
  <c r="CB84" i="14"/>
  <c r="CC84" i="14"/>
  <c r="CE84" i="14"/>
  <c r="CF84" i="14"/>
  <c r="CG84" i="14"/>
  <c r="CH84" i="14"/>
  <c r="CI84" i="14"/>
  <c r="CJ84" i="14"/>
  <c r="CK84" i="14"/>
  <c r="CL84" i="14"/>
  <c r="CM84" i="14"/>
  <c r="CN84" i="14"/>
  <c r="CO84" i="14"/>
  <c r="CP84" i="14"/>
  <c r="CQ84" i="14"/>
  <c r="CR84" i="14"/>
  <c r="CS84" i="14"/>
  <c r="CT84" i="14"/>
  <c r="CU84" i="14"/>
  <c r="CV84" i="14"/>
  <c r="CW84" i="14"/>
  <c r="CX84" i="14"/>
  <c r="CY84" i="14"/>
  <c r="CZ84" i="14"/>
  <c r="DA84" i="14"/>
  <c r="DB84" i="14"/>
  <c r="DH84" i="14"/>
  <c r="DI84" i="14"/>
  <c r="DJ84" i="14"/>
  <c r="H85" i="14"/>
  <c r="I85" i="14"/>
  <c r="J85" i="14"/>
  <c r="K85" i="14"/>
  <c r="L85" i="14"/>
  <c r="M85" i="14"/>
  <c r="N85" i="14"/>
  <c r="O85" i="14"/>
  <c r="P85" i="14"/>
  <c r="Q85" i="14"/>
  <c r="R85" i="14"/>
  <c r="S85" i="14"/>
  <c r="T85" i="14"/>
  <c r="U85" i="14"/>
  <c r="V85" i="14"/>
  <c r="W85" i="14"/>
  <c r="X85" i="14"/>
  <c r="Y85" i="14"/>
  <c r="Z85" i="14"/>
  <c r="AA85" i="14"/>
  <c r="AB85" i="14"/>
  <c r="AC85" i="14"/>
  <c r="AD85" i="14"/>
  <c r="AE85" i="14"/>
  <c r="AG85" i="14"/>
  <c r="AH85" i="14"/>
  <c r="AI85" i="14"/>
  <c r="AJ85" i="14"/>
  <c r="AK85" i="14"/>
  <c r="AL85" i="14"/>
  <c r="AM85" i="14"/>
  <c r="AN85" i="14"/>
  <c r="AO85" i="14"/>
  <c r="AP85" i="14"/>
  <c r="AQ85" i="14"/>
  <c r="AR85" i="14"/>
  <c r="AS85" i="14"/>
  <c r="AT85" i="14"/>
  <c r="AU85" i="14"/>
  <c r="AV85" i="14"/>
  <c r="AW85" i="14"/>
  <c r="AX85" i="14"/>
  <c r="AY85" i="14"/>
  <c r="AZ85" i="14"/>
  <c r="BA85" i="14"/>
  <c r="BB85" i="14"/>
  <c r="BC85" i="14"/>
  <c r="BD85" i="14"/>
  <c r="BF85" i="14"/>
  <c r="BG85" i="14"/>
  <c r="BH85" i="14"/>
  <c r="BI85" i="14"/>
  <c r="BJ85" i="14"/>
  <c r="BK85" i="14"/>
  <c r="BL85" i="14"/>
  <c r="BM85" i="14"/>
  <c r="BN85" i="14"/>
  <c r="BO85" i="14"/>
  <c r="BP85" i="14"/>
  <c r="BQ85" i="14"/>
  <c r="BR85" i="14"/>
  <c r="BS85" i="14"/>
  <c r="BT85" i="14"/>
  <c r="BU85" i="14"/>
  <c r="BV85" i="14"/>
  <c r="BW85" i="14"/>
  <c r="BX85" i="14"/>
  <c r="BY85" i="14"/>
  <c r="BZ85" i="14"/>
  <c r="CA85" i="14"/>
  <c r="CB85" i="14"/>
  <c r="CC85" i="14"/>
  <c r="CE85" i="14"/>
  <c r="CF85" i="14"/>
  <c r="CG85" i="14"/>
  <c r="CH85" i="14"/>
  <c r="CI85" i="14"/>
  <c r="CJ85" i="14"/>
  <c r="CK85" i="14"/>
  <c r="CL85" i="14"/>
  <c r="CM85" i="14"/>
  <c r="CN85" i="14"/>
  <c r="CO85" i="14"/>
  <c r="CP85" i="14"/>
  <c r="CQ85" i="14"/>
  <c r="CR85" i="14"/>
  <c r="CS85" i="14"/>
  <c r="CT85" i="14"/>
  <c r="CU85" i="14"/>
  <c r="CV85" i="14"/>
  <c r="CW85" i="14"/>
  <c r="CX85" i="14"/>
  <c r="CY85" i="14"/>
  <c r="CZ85" i="14"/>
  <c r="DA85" i="14"/>
  <c r="DB85" i="14"/>
  <c r="DH85" i="14"/>
  <c r="DI85" i="14"/>
  <c r="DJ85" i="14"/>
  <c r="H86" i="14"/>
  <c r="I86" i="14"/>
  <c r="J86" i="14"/>
  <c r="K86" i="14"/>
  <c r="L86" i="14"/>
  <c r="M86" i="14"/>
  <c r="N86" i="14"/>
  <c r="O86" i="14"/>
  <c r="P86" i="14"/>
  <c r="Q86" i="14"/>
  <c r="R86" i="14"/>
  <c r="S86" i="14"/>
  <c r="T86" i="14"/>
  <c r="U86" i="14"/>
  <c r="V86" i="14"/>
  <c r="W86" i="14"/>
  <c r="X86" i="14"/>
  <c r="Y86" i="14"/>
  <c r="Z86" i="14"/>
  <c r="AA86" i="14"/>
  <c r="AB86" i="14"/>
  <c r="AC86" i="14"/>
  <c r="AD86" i="14"/>
  <c r="AE86" i="14"/>
  <c r="AG86" i="14"/>
  <c r="AH86" i="14"/>
  <c r="AI86" i="14"/>
  <c r="AJ86" i="14"/>
  <c r="AK86" i="14"/>
  <c r="AL86" i="14"/>
  <c r="AM86" i="14"/>
  <c r="AN86" i="14"/>
  <c r="AO86" i="14"/>
  <c r="AP86" i="14"/>
  <c r="AQ86" i="14"/>
  <c r="AR86" i="14"/>
  <c r="AS86" i="14"/>
  <c r="AT86" i="14"/>
  <c r="AU86" i="14"/>
  <c r="AV86" i="14"/>
  <c r="AW86" i="14"/>
  <c r="AX86" i="14"/>
  <c r="AY86" i="14"/>
  <c r="AZ86" i="14"/>
  <c r="BA86" i="14"/>
  <c r="BB86" i="14"/>
  <c r="BC86" i="14"/>
  <c r="BD86" i="14"/>
  <c r="BF86" i="14"/>
  <c r="BG86" i="14"/>
  <c r="BH86" i="14"/>
  <c r="BI86" i="14"/>
  <c r="BJ86" i="14"/>
  <c r="BK86" i="14"/>
  <c r="BL86" i="14"/>
  <c r="BM86" i="14"/>
  <c r="BN86" i="14"/>
  <c r="BO86" i="14"/>
  <c r="BP86" i="14"/>
  <c r="BQ86" i="14"/>
  <c r="BR86" i="14"/>
  <c r="BS86" i="14"/>
  <c r="BT86" i="14"/>
  <c r="BU86" i="14"/>
  <c r="BV86" i="14"/>
  <c r="BW86" i="14"/>
  <c r="BX86" i="14"/>
  <c r="BY86" i="14"/>
  <c r="BZ86" i="14"/>
  <c r="CA86" i="14"/>
  <c r="CB86" i="14"/>
  <c r="CC86" i="14"/>
  <c r="CE86" i="14"/>
  <c r="CF86" i="14"/>
  <c r="CG86" i="14"/>
  <c r="CH86" i="14"/>
  <c r="CI86" i="14"/>
  <c r="CJ86" i="14"/>
  <c r="CK86" i="14"/>
  <c r="CL86" i="14"/>
  <c r="CM86" i="14"/>
  <c r="CN86" i="14"/>
  <c r="CO86" i="14"/>
  <c r="CP86" i="14"/>
  <c r="CQ86" i="14"/>
  <c r="CR86" i="14"/>
  <c r="CS86" i="14"/>
  <c r="CT86" i="14"/>
  <c r="CU86" i="14"/>
  <c r="CV86" i="14"/>
  <c r="CW86" i="14"/>
  <c r="CX86" i="14"/>
  <c r="CY86" i="14"/>
  <c r="CZ86" i="14"/>
  <c r="DA86" i="14"/>
  <c r="DB86" i="14"/>
  <c r="DH86" i="14"/>
  <c r="DI86" i="14"/>
  <c r="DJ86" i="14"/>
  <c r="H87" i="14"/>
  <c r="I87" i="14"/>
  <c r="J87" i="14"/>
  <c r="K87" i="14"/>
  <c r="L87" i="14"/>
  <c r="M87" i="14"/>
  <c r="N87" i="14"/>
  <c r="O87" i="14"/>
  <c r="P87" i="14"/>
  <c r="Q87" i="14"/>
  <c r="R87" i="14"/>
  <c r="S87" i="14"/>
  <c r="T87" i="14"/>
  <c r="U87" i="14"/>
  <c r="V87" i="14"/>
  <c r="W87" i="14"/>
  <c r="X87" i="14"/>
  <c r="Y87" i="14"/>
  <c r="Z87" i="14"/>
  <c r="AA87" i="14"/>
  <c r="AB87" i="14"/>
  <c r="AC87" i="14"/>
  <c r="AD87" i="14"/>
  <c r="AE87" i="14"/>
  <c r="AG87" i="14"/>
  <c r="AH87" i="14"/>
  <c r="AI87" i="14"/>
  <c r="AJ87" i="14"/>
  <c r="AK87" i="14"/>
  <c r="AL87" i="14"/>
  <c r="AM87" i="14"/>
  <c r="AN87" i="14"/>
  <c r="AO87" i="14"/>
  <c r="AP87" i="14"/>
  <c r="AQ87" i="14"/>
  <c r="AR87" i="14"/>
  <c r="AS87" i="14"/>
  <c r="AT87" i="14"/>
  <c r="AU87" i="14"/>
  <c r="AV87" i="14"/>
  <c r="AW87" i="14"/>
  <c r="AX87" i="14"/>
  <c r="AY87" i="14"/>
  <c r="AZ87" i="14"/>
  <c r="BA87" i="14"/>
  <c r="BB87" i="14"/>
  <c r="BC87" i="14"/>
  <c r="BD87" i="14"/>
  <c r="BF87" i="14"/>
  <c r="BG87" i="14"/>
  <c r="BH87" i="14"/>
  <c r="BI87" i="14"/>
  <c r="BJ87" i="14"/>
  <c r="BK87" i="14"/>
  <c r="BL87" i="14"/>
  <c r="BM87" i="14"/>
  <c r="BN87" i="14"/>
  <c r="BO87" i="14"/>
  <c r="BP87" i="14"/>
  <c r="BQ87" i="14"/>
  <c r="BR87" i="14"/>
  <c r="BS87" i="14"/>
  <c r="BT87" i="14"/>
  <c r="BU87" i="14"/>
  <c r="BV87" i="14"/>
  <c r="BW87" i="14"/>
  <c r="BX87" i="14"/>
  <c r="BY87" i="14"/>
  <c r="BZ87" i="14"/>
  <c r="CA87" i="14"/>
  <c r="CB87" i="14"/>
  <c r="CC87" i="14"/>
  <c r="CE87" i="14"/>
  <c r="CF87" i="14"/>
  <c r="CG87" i="14"/>
  <c r="CH87" i="14"/>
  <c r="CI87" i="14"/>
  <c r="CJ87" i="14"/>
  <c r="CK87" i="14"/>
  <c r="CL87" i="14"/>
  <c r="CM87" i="14"/>
  <c r="CN87" i="14"/>
  <c r="CO87" i="14"/>
  <c r="CP87" i="14"/>
  <c r="CQ87" i="14"/>
  <c r="CR87" i="14"/>
  <c r="CS87" i="14"/>
  <c r="CT87" i="14"/>
  <c r="CU87" i="14"/>
  <c r="CV87" i="14"/>
  <c r="CW87" i="14"/>
  <c r="CX87" i="14"/>
  <c r="CY87" i="14"/>
  <c r="CZ87" i="14"/>
  <c r="DA87" i="14"/>
  <c r="DB87" i="14"/>
  <c r="DH87" i="14"/>
  <c r="DI87" i="14"/>
  <c r="DJ87" i="14"/>
  <c r="H88" i="14"/>
  <c r="I88" i="14"/>
  <c r="J88" i="14"/>
  <c r="K88" i="14"/>
  <c r="L88" i="14"/>
  <c r="M88" i="14"/>
  <c r="N88" i="14"/>
  <c r="O88" i="14"/>
  <c r="P88" i="14"/>
  <c r="Q88" i="14"/>
  <c r="R88" i="14"/>
  <c r="S88" i="14"/>
  <c r="T88" i="14"/>
  <c r="U88" i="14"/>
  <c r="V88" i="14"/>
  <c r="W88" i="14"/>
  <c r="X88" i="14"/>
  <c r="Y88" i="14"/>
  <c r="Z88" i="14"/>
  <c r="AA88" i="14"/>
  <c r="AB88" i="14"/>
  <c r="AC88" i="14"/>
  <c r="AD88" i="14"/>
  <c r="AE88" i="14"/>
  <c r="AG88" i="14"/>
  <c r="AH88" i="14"/>
  <c r="AI88" i="14"/>
  <c r="AJ88" i="14"/>
  <c r="AK88" i="14"/>
  <c r="AL88" i="14"/>
  <c r="AM88" i="14"/>
  <c r="AN88" i="14"/>
  <c r="AO88" i="14"/>
  <c r="AP88" i="14"/>
  <c r="AQ88" i="14"/>
  <c r="AR88" i="14"/>
  <c r="AS88" i="14"/>
  <c r="AT88" i="14"/>
  <c r="AU88" i="14"/>
  <c r="AV88" i="14"/>
  <c r="AW88" i="14"/>
  <c r="AX88" i="14"/>
  <c r="AY88" i="14"/>
  <c r="AZ88" i="14"/>
  <c r="BA88" i="14"/>
  <c r="BB88" i="14"/>
  <c r="BC88" i="14"/>
  <c r="BD88" i="14"/>
  <c r="BF88" i="14"/>
  <c r="BG88" i="14"/>
  <c r="BH88" i="14"/>
  <c r="BI88" i="14"/>
  <c r="BJ88" i="14"/>
  <c r="BK88" i="14"/>
  <c r="BL88" i="14"/>
  <c r="BM88" i="14"/>
  <c r="BN88" i="14"/>
  <c r="BO88" i="14"/>
  <c r="BP88" i="14"/>
  <c r="BQ88" i="14"/>
  <c r="BR88" i="14"/>
  <c r="BS88" i="14"/>
  <c r="BT88" i="14"/>
  <c r="BU88" i="14"/>
  <c r="BV88" i="14"/>
  <c r="BW88" i="14"/>
  <c r="BX88" i="14"/>
  <c r="BY88" i="14"/>
  <c r="BZ88" i="14"/>
  <c r="CA88" i="14"/>
  <c r="CB88" i="14"/>
  <c r="CC88" i="14"/>
  <c r="CE88" i="14"/>
  <c r="CF88" i="14"/>
  <c r="CG88" i="14"/>
  <c r="CH88" i="14"/>
  <c r="CI88" i="14"/>
  <c r="CJ88" i="14"/>
  <c r="CK88" i="14"/>
  <c r="CL88" i="14"/>
  <c r="CM88" i="14"/>
  <c r="CN88" i="14"/>
  <c r="CO88" i="14"/>
  <c r="CP88" i="14"/>
  <c r="CQ88" i="14"/>
  <c r="CR88" i="14"/>
  <c r="CS88" i="14"/>
  <c r="CT88" i="14"/>
  <c r="CU88" i="14"/>
  <c r="CV88" i="14"/>
  <c r="CW88" i="14"/>
  <c r="CX88" i="14"/>
  <c r="CY88" i="14"/>
  <c r="CZ88" i="14"/>
  <c r="DA88" i="14"/>
  <c r="DB88" i="14"/>
  <c r="DH88" i="14"/>
  <c r="DI88" i="14"/>
  <c r="DJ88" i="14"/>
  <c r="H89" i="14"/>
  <c r="I89" i="14"/>
  <c r="J89" i="14"/>
  <c r="K89" i="14"/>
  <c r="L89" i="14"/>
  <c r="M89" i="14"/>
  <c r="N89" i="14"/>
  <c r="O89" i="14"/>
  <c r="P89" i="14"/>
  <c r="Q89" i="14"/>
  <c r="R89" i="14"/>
  <c r="S89" i="14"/>
  <c r="T89" i="14"/>
  <c r="U89" i="14"/>
  <c r="V89" i="14"/>
  <c r="W89" i="14"/>
  <c r="X89" i="14"/>
  <c r="Y89" i="14"/>
  <c r="Z89" i="14"/>
  <c r="AA89" i="14"/>
  <c r="AB89" i="14"/>
  <c r="AC89" i="14"/>
  <c r="AD89" i="14"/>
  <c r="AE89" i="14"/>
  <c r="AG89" i="14"/>
  <c r="AH89" i="14"/>
  <c r="AI89" i="14"/>
  <c r="AJ89" i="14"/>
  <c r="AK89" i="14"/>
  <c r="AL89" i="14"/>
  <c r="AM89" i="14"/>
  <c r="AN89" i="14"/>
  <c r="AO89" i="14"/>
  <c r="AP89" i="14"/>
  <c r="AQ89" i="14"/>
  <c r="AR89" i="14"/>
  <c r="AS89" i="14"/>
  <c r="AT89" i="14"/>
  <c r="AU89" i="14"/>
  <c r="AV89" i="14"/>
  <c r="AW89" i="14"/>
  <c r="AX89" i="14"/>
  <c r="AY89" i="14"/>
  <c r="AZ89" i="14"/>
  <c r="BA89" i="14"/>
  <c r="BB89" i="14"/>
  <c r="BC89" i="14"/>
  <c r="BD89" i="14"/>
  <c r="BF89" i="14"/>
  <c r="BG89" i="14"/>
  <c r="BH89" i="14"/>
  <c r="BI89" i="14"/>
  <c r="BJ89" i="14"/>
  <c r="BK89" i="14"/>
  <c r="BL89" i="14"/>
  <c r="BM89" i="14"/>
  <c r="BN89" i="14"/>
  <c r="BO89" i="14"/>
  <c r="BP89" i="14"/>
  <c r="BQ89" i="14"/>
  <c r="BR89" i="14"/>
  <c r="BS89" i="14"/>
  <c r="BT89" i="14"/>
  <c r="BU89" i="14"/>
  <c r="BV89" i="14"/>
  <c r="BW89" i="14"/>
  <c r="BX89" i="14"/>
  <c r="BY89" i="14"/>
  <c r="BZ89" i="14"/>
  <c r="CA89" i="14"/>
  <c r="CB89" i="14"/>
  <c r="CC89" i="14"/>
  <c r="CE89" i="14"/>
  <c r="CF89" i="14"/>
  <c r="CG89" i="14"/>
  <c r="CH89" i="14"/>
  <c r="CI89" i="14"/>
  <c r="CJ89" i="14"/>
  <c r="CK89" i="14"/>
  <c r="CL89" i="14"/>
  <c r="CM89" i="14"/>
  <c r="CN89" i="14"/>
  <c r="CO89" i="14"/>
  <c r="CP89" i="14"/>
  <c r="CQ89" i="14"/>
  <c r="CR89" i="14"/>
  <c r="CS89" i="14"/>
  <c r="CT89" i="14"/>
  <c r="CU89" i="14"/>
  <c r="CV89" i="14"/>
  <c r="CW89" i="14"/>
  <c r="CX89" i="14"/>
  <c r="CY89" i="14"/>
  <c r="CZ89" i="14"/>
  <c r="DA89" i="14"/>
  <c r="DB89" i="14"/>
  <c r="DH89" i="14"/>
  <c r="DI89" i="14"/>
  <c r="DJ89" i="14"/>
  <c r="H90" i="14"/>
  <c r="I90" i="14"/>
  <c r="J90" i="14"/>
  <c r="K90" i="14"/>
  <c r="L90" i="14"/>
  <c r="M90" i="14"/>
  <c r="N90" i="14"/>
  <c r="O90" i="14"/>
  <c r="P90" i="14"/>
  <c r="Q90" i="14"/>
  <c r="R90" i="14"/>
  <c r="S90" i="14"/>
  <c r="T90" i="14"/>
  <c r="U90" i="14"/>
  <c r="V90" i="14"/>
  <c r="W90" i="14"/>
  <c r="X90" i="14"/>
  <c r="Y90" i="14"/>
  <c r="Z90" i="14"/>
  <c r="AA90" i="14"/>
  <c r="AB90" i="14"/>
  <c r="AC90" i="14"/>
  <c r="AD90" i="14"/>
  <c r="AE90" i="14"/>
  <c r="AG90" i="14"/>
  <c r="AH90" i="14"/>
  <c r="AI90" i="14"/>
  <c r="AJ90" i="14"/>
  <c r="AK90" i="14"/>
  <c r="AL90" i="14"/>
  <c r="AM90" i="14"/>
  <c r="AN90" i="14"/>
  <c r="AO90" i="14"/>
  <c r="AP90" i="14"/>
  <c r="AQ90" i="14"/>
  <c r="AR90" i="14"/>
  <c r="AS90" i="14"/>
  <c r="AT90" i="14"/>
  <c r="AU90" i="14"/>
  <c r="AV90" i="14"/>
  <c r="AW90" i="14"/>
  <c r="AX90" i="14"/>
  <c r="AY90" i="14"/>
  <c r="AZ90" i="14"/>
  <c r="BA90" i="14"/>
  <c r="BB90" i="14"/>
  <c r="BC90" i="14"/>
  <c r="BD90" i="14"/>
  <c r="BF90" i="14"/>
  <c r="BG90" i="14"/>
  <c r="BH90" i="14"/>
  <c r="BI90" i="14"/>
  <c r="BJ90" i="14"/>
  <c r="BK90" i="14"/>
  <c r="BL90" i="14"/>
  <c r="BM90" i="14"/>
  <c r="BN90" i="14"/>
  <c r="BO90" i="14"/>
  <c r="BP90" i="14"/>
  <c r="BQ90" i="14"/>
  <c r="BR90" i="14"/>
  <c r="BS90" i="14"/>
  <c r="BT90" i="14"/>
  <c r="BU90" i="14"/>
  <c r="BV90" i="14"/>
  <c r="BW90" i="14"/>
  <c r="BX90" i="14"/>
  <c r="BY90" i="14"/>
  <c r="BZ90" i="14"/>
  <c r="CA90" i="14"/>
  <c r="CB90" i="14"/>
  <c r="CC90" i="14"/>
  <c r="CE90" i="14"/>
  <c r="CF90" i="14"/>
  <c r="CG90" i="14"/>
  <c r="CH90" i="14"/>
  <c r="CI90" i="14"/>
  <c r="CJ90" i="14"/>
  <c r="CK90" i="14"/>
  <c r="CL90" i="14"/>
  <c r="CM90" i="14"/>
  <c r="CN90" i="14"/>
  <c r="CO90" i="14"/>
  <c r="CP90" i="14"/>
  <c r="CQ90" i="14"/>
  <c r="CR90" i="14"/>
  <c r="CS90" i="14"/>
  <c r="CT90" i="14"/>
  <c r="CU90" i="14"/>
  <c r="CV90" i="14"/>
  <c r="CW90" i="14"/>
  <c r="CX90" i="14"/>
  <c r="CY90" i="14"/>
  <c r="CZ90" i="14"/>
  <c r="DA90" i="14"/>
  <c r="DB90" i="14"/>
  <c r="DH90" i="14"/>
  <c r="DI90" i="14"/>
  <c r="DJ90" i="14"/>
  <c r="H91" i="14"/>
  <c r="I91" i="14"/>
  <c r="J91" i="14"/>
  <c r="K91" i="14"/>
  <c r="L91" i="14"/>
  <c r="M91" i="14"/>
  <c r="N91" i="14"/>
  <c r="O91" i="14"/>
  <c r="P91" i="14"/>
  <c r="Q91" i="14"/>
  <c r="R91" i="14"/>
  <c r="S91" i="14"/>
  <c r="T91" i="14"/>
  <c r="U91" i="14"/>
  <c r="V91" i="14"/>
  <c r="W91" i="14"/>
  <c r="X91" i="14"/>
  <c r="Y91" i="14"/>
  <c r="Z91" i="14"/>
  <c r="AA91" i="14"/>
  <c r="AB91" i="14"/>
  <c r="AC91" i="14"/>
  <c r="AD91" i="14"/>
  <c r="AE91" i="14"/>
  <c r="AG91" i="14"/>
  <c r="AH91" i="14"/>
  <c r="AI91" i="14"/>
  <c r="AJ91" i="14"/>
  <c r="AK91" i="14"/>
  <c r="AL91" i="14"/>
  <c r="AM91" i="14"/>
  <c r="AN91" i="14"/>
  <c r="AO91" i="14"/>
  <c r="AP91" i="14"/>
  <c r="AQ91" i="14"/>
  <c r="AR91" i="14"/>
  <c r="AS91" i="14"/>
  <c r="AT91" i="14"/>
  <c r="AU91" i="14"/>
  <c r="AV91" i="14"/>
  <c r="AW91" i="14"/>
  <c r="AX91" i="14"/>
  <c r="AY91" i="14"/>
  <c r="AZ91" i="14"/>
  <c r="BA91" i="14"/>
  <c r="BB91" i="14"/>
  <c r="BC91" i="14"/>
  <c r="BD91" i="14"/>
  <c r="BF91" i="14"/>
  <c r="BG91" i="14"/>
  <c r="BH91" i="14"/>
  <c r="BI91" i="14"/>
  <c r="BJ91" i="14"/>
  <c r="BK91" i="14"/>
  <c r="BL91" i="14"/>
  <c r="BM91" i="14"/>
  <c r="BN91" i="14"/>
  <c r="BO91" i="14"/>
  <c r="BP91" i="14"/>
  <c r="BQ91" i="14"/>
  <c r="BR91" i="14"/>
  <c r="BS91" i="14"/>
  <c r="BT91" i="14"/>
  <c r="BU91" i="14"/>
  <c r="BV91" i="14"/>
  <c r="BW91" i="14"/>
  <c r="BX91" i="14"/>
  <c r="BY91" i="14"/>
  <c r="BZ91" i="14"/>
  <c r="CA91" i="14"/>
  <c r="CB91" i="14"/>
  <c r="CC91" i="14"/>
  <c r="CE91" i="14"/>
  <c r="CF91" i="14"/>
  <c r="CG91" i="14"/>
  <c r="CH91" i="14"/>
  <c r="CI91" i="14"/>
  <c r="CJ91" i="14"/>
  <c r="CK91" i="14"/>
  <c r="CL91" i="14"/>
  <c r="CM91" i="14"/>
  <c r="CN91" i="14"/>
  <c r="CO91" i="14"/>
  <c r="CP91" i="14"/>
  <c r="CQ91" i="14"/>
  <c r="CR91" i="14"/>
  <c r="CS91" i="14"/>
  <c r="CT91" i="14"/>
  <c r="CU91" i="14"/>
  <c r="CV91" i="14"/>
  <c r="CW91" i="14"/>
  <c r="CX91" i="14"/>
  <c r="CY91" i="14"/>
  <c r="CZ91" i="14"/>
  <c r="DA91" i="14"/>
  <c r="DB91" i="14"/>
  <c r="DH91" i="14"/>
  <c r="DI91" i="14"/>
  <c r="DJ91" i="14"/>
  <c r="H92" i="14"/>
  <c r="I92" i="14"/>
  <c r="J92" i="14"/>
  <c r="K92" i="14"/>
  <c r="L92" i="14"/>
  <c r="M92" i="14"/>
  <c r="N92" i="14"/>
  <c r="O92" i="14"/>
  <c r="P92" i="14"/>
  <c r="Q92" i="14"/>
  <c r="R92" i="14"/>
  <c r="S92" i="14"/>
  <c r="T92" i="14"/>
  <c r="U92" i="14"/>
  <c r="V92" i="14"/>
  <c r="W92" i="14"/>
  <c r="X92" i="14"/>
  <c r="Y92" i="14"/>
  <c r="Z92" i="14"/>
  <c r="AA92" i="14"/>
  <c r="AB92" i="14"/>
  <c r="AC92" i="14"/>
  <c r="AD92" i="14"/>
  <c r="AE92" i="14"/>
  <c r="AG92" i="14"/>
  <c r="AH92" i="14"/>
  <c r="AI92" i="14"/>
  <c r="AJ92" i="14"/>
  <c r="AK92" i="14"/>
  <c r="AL92" i="14"/>
  <c r="AM92" i="14"/>
  <c r="AN92" i="14"/>
  <c r="AO92" i="14"/>
  <c r="AP92" i="14"/>
  <c r="AQ92" i="14"/>
  <c r="AR92" i="14"/>
  <c r="AS92" i="14"/>
  <c r="AT92" i="14"/>
  <c r="AU92" i="14"/>
  <c r="AV92" i="14"/>
  <c r="AW92" i="14"/>
  <c r="AX92" i="14"/>
  <c r="AY92" i="14"/>
  <c r="AZ92" i="14"/>
  <c r="BA92" i="14"/>
  <c r="BB92" i="14"/>
  <c r="BC92" i="14"/>
  <c r="BD92" i="14"/>
  <c r="BF92" i="14"/>
  <c r="BG92" i="14"/>
  <c r="BH92" i="14"/>
  <c r="BI92" i="14"/>
  <c r="BJ92" i="14"/>
  <c r="BK92" i="14"/>
  <c r="BL92" i="14"/>
  <c r="BM92" i="14"/>
  <c r="BN92" i="14"/>
  <c r="BO92" i="14"/>
  <c r="BP92" i="14"/>
  <c r="BQ92" i="14"/>
  <c r="BR92" i="14"/>
  <c r="BS92" i="14"/>
  <c r="BT92" i="14"/>
  <c r="BU92" i="14"/>
  <c r="BV92" i="14"/>
  <c r="BW92" i="14"/>
  <c r="BX92" i="14"/>
  <c r="BY92" i="14"/>
  <c r="BZ92" i="14"/>
  <c r="CA92" i="14"/>
  <c r="CB92" i="14"/>
  <c r="CC92" i="14"/>
  <c r="CE92" i="14"/>
  <c r="CF92" i="14"/>
  <c r="CG92" i="14"/>
  <c r="CH92" i="14"/>
  <c r="CI92" i="14"/>
  <c r="CJ92" i="14"/>
  <c r="CK92" i="14"/>
  <c r="CL92" i="14"/>
  <c r="CM92" i="14"/>
  <c r="CN92" i="14"/>
  <c r="CO92" i="14"/>
  <c r="CP92" i="14"/>
  <c r="CQ92" i="14"/>
  <c r="CR92" i="14"/>
  <c r="CS92" i="14"/>
  <c r="CT92" i="14"/>
  <c r="CU92" i="14"/>
  <c r="CV92" i="14"/>
  <c r="CW92" i="14"/>
  <c r="CX92" i="14"/>
  <c r="CY92" i="14"/>
  <c r="CZ92" i="14"/>
  <c r="DA92" i="14"/>
  <c r="DB92" i="14"/>
  <c r="DH92" i="14"/>
  <c r="DI92" i="14"/>
  <c r="DJ92" i="14"/>
  <c r="H93" i="14"/>
  <c r="I93" i="14"/>
  <c r="J93" i="14"/>
  <c r="K93" i="14"/>
  <c r="L93" i="14"/>
  <c r="M93" i="14"/>
  <c r="N93" i="14"/>
  <c r="O93" i="14"/>
  <c r="P93" i="14"/>
  <c r="Q93" i="14"/>
  <c r="R93" i="14"/>
  <c r="S93" i="14"/>
  <c r="T93" i="14"/>
  <c r="U93" i="14"/>
  <c r="V93" i="14"/>
  <c r="W93" i="14"/>
  <c r="X93" i="14"/>
  <c r="Y93" i="14"/>
  <c r="Z93" i="14"/>
  <c r="AA93" i="14"/>
  <c r="AB93" i="14"/>
  <c r="AC93" i="14"/>
  <c r="AD93" i="14"/>
  <c r="AE93" i="14"/>
  <c r="AG93" i="14"/>
  <c r="AH93" i="14"/>
  <c r="AI93" i="14"/>
  <c r="AJ93" i="14"/>
  <c r="AK93" i="14"/>
  <c r="AL93" i="14"/>
  <c r="AM93" i="14"/>
  <c r="AN93" i="14"/>
  <c r="AO93" i="14"/>
  <c r="AP93" i="14"/>
  <c r="AQ93" i="14"/>
  <c r="AR93" i="14"/>
  <c r="AS93" i="14"/>
  <c r="AT93" i="14"/>
  <c r="AU93" i="14"/>
  <c r="AV93" i="14"/>
  <c r="AW93" i="14"/>
  <c r="AX93" i="14"/>
  <c r="AY93" i="14"/>
  <c r="AZ93" i="14"/>
  <c r="BA93" i="14"/>
  <c r="BB93" i="14"/>
  <c r="BC93" i="14"/>
  <c r="BD93" i="14"/>
  <c r="BF93" i="14"/>
  <c r="BG93" i="14"/>
  <c r="BH93" i="14"/>
  <c r="BI93" i="14"/>
  <c r="BJ93" i="14"/>
  <c r="BK93" i="14"/>
  <c r="BL93" i="14"/>
  <c r="BM93" i="14"/>
  <c r="BN93" i="14"/>
  <c r="BO93" i="14"/>
  <c r="BP93" i="14"/>
  <c r="BQ93" i="14"/>
  <c r="BR93" i="14"/>
  <c r="BS93" i="14"/>
  <c r="BT93" i="14"/>
  <c r="BU93" i="14"/>
  <c r="BV93" i="14"/>
  <c r="BW93" i="14"/>
  <c r="BX93" i="14"/>
  <c r="BY93" i="14"/>
  <c r="BZ93" i="14"/>
  <c r="CA93" i="14"/>
  <c r="CB93" i="14"/>
  <c r="CC93" i="14"/>
  <c r="CE93" i="14"/>
  <c r="CF93" i="14"/>
  <c r="CG93" i="14"/>
  <c r="CH93" i="14"/>
  <c r="CI93" i="14"/>
  <c r="CJ93" i="14"/>
  <c r="CK93" i="14"/>
  <c r="CL93" i="14"/>
  <c r="CM93" i="14"/>
  <c r="CN93" i="14"/>
  <c r="CO93" i="14"/>
  <c r="CP93" i="14"/>
  <c r="CQ93" i="14"/>
  <c r="CR93" i="14"/>
  <c r="CS93" i="14"/>
  <c r="CT93" i="14"/>
  <c r="CU93" i="14"/>
  <c r="CV93" i="14"/>
  <c r="CW93" i="14"/>
  <c r="CX93" i="14"/>
  <c r="CY93" i="14"/>
  <c r="CZ93" i="14"/>
  <c r="DA93" i="14"/>
  <c r="DB93" i="14"/>
  <c r="DH93" i="14"/>
  <c r="DI93" i="14"/>
  <c r="DJ93" i="14"/>
  <c r="H94" i="14"/>
  <c r="I94" i="14"/>
  <c r="J94" i="14"/>
  <c r="K94" i="14"/>
  <c r="L94" i="14"/>
  <c r="M94" i="14"/>
  <c r="N94" i="14"/>
  <c r="O94" i="14"/>
  <c r="P94" i="14"/>
  <c r="Q94" i="14"/>
  <c r="R94" i="14"/>
  <c r="S94" i="14"/>
  <c r="T94" i="14"/>
  <c r="U94" i="14"/>
  <c r="V94" i="14"/>
  <c r="W94" i="14"/>
  <c r="X94" i="14"/>
  <c r="Y94" i="14"/>
  <c r="Z94" i="14"/>
  <c r="AA94" i="14"/>
  <c r="AB94" i="14"/>
  <c r="AC94" i="14"/>
  <c r="AD94" i="14"/>
  <c r="AE94" i="14"/>
  <c r="AG94" i="14"/>
  <c r="AH94" i="14"/>
  <c r="AI94" i="14"/>
  <c r="AJ94" i="14"/>
  <c r="AK94" i="14"/>
  <c r="AL94" i="14"/>
  <c r="AM94" i="14"/>
  <c r="AN94" i="14"/>
  <c r="AO94" i="14"/>
  <c r="AP94" i="14"/>
  <c r="AQ94" i="14"/>
  <c r="AR94" i="14"/>
  <c r="AS94" i="14"/>
  <c r="AT94" i="14"/>
  <c r="AU94" i="14"/>
  <c r="AV94" i="14"/>
  <c r="AW94" i="14"/>
  <c r="AX94" i="14"/>
  <c r="AY94" i="14"/>
  <c r="AZ94" i="14"/>
  <c r="BA94" i="14"/>
  <c r="BB94" i="14"/>
  <c r="BC94" i="14"/>
  <c r="BD94" i="14"/>
  <c r="BF94" i="14"/>
  <c r="BG94" i="14"/>
  <c r="BH94" i="14"/>
  <c r="BI94" i="14"/>
  <c r="BJ94" i="14"/>
  <c r="BK94" i="14"/>
  <c r="BL94" i="14"/>
  <c r="BM94" i="14"/>
  <c r="BN94" i="14"/>
  <c r="BO94" i="14"/>
  <c r="BP94" i="14"/>
  <c r="BQ94" i="14"/>
  <c r="BR94" i="14"/>
  <c r="BS94" i="14"/>
  <c r="BT94" i="14"/>
  <c r="BU94" i="14"/>
  <c r="BV94" i="14"/>
  <c r="BW94" i="14"/>
  <c r="BX94" i="14"/>
  <c r="BY94" i="14"/>
  <c r="BZ94" i="14"/>
  <c r="CA94" i="14"/>
  <c r="CB94" i="14"/>
  <c r="CC94" i="14"/>
  <c r="CE94" i="14"/>
  <c r="CF94" i="14"/>
  <c r="CG94" i="14"/>
  <c r="CH94" i="14"/>
  <c r="CI94" i="14"/>
  <c r="CJ94" i="14"/>
  <c r="CK94" i="14"/>
  <c r="CL94" i="14"/>
  <c r="CM94" i="14"/>
  <c r="CN94" i="14"/>
  <c r="CO94" i="14"/>
  <c r="CP94" i="14"/>
  <c r="CQ94" i="14"/>
  <c r="CR94" i="14"/>
  <c r="CS94" i="14"/>
  <c r="CT94" i="14"/>
  <c r="CU94" i="14"/>
  <c r="CV94" i="14"/>
  <c r="CW94" i="14"/>
  <c r="CX94" i="14"/>
  <c r="CY94" i="14"/>
  <c r="CZ94" i="14"/>
  <c r="DA94" i="14"/>
  <c r="DB94" i="14"/>
  <c r="DH94" i="14"/>
  <c r="DI94" i="14"/>
  <c r="DJ94" i="14"/>
  <c r="H95" i="14"/>
  <c r="I95" i="14"/>
  <c r="J95" i="14"/>
  <c r="K95" i="14"/>
  <c r="L95" i="14"/>
  <c r="M95" i="14"/>
  <c r="N95" i="14"/>
  <c r="O95" i="14"/>
  <c r="P95" i="14"/>
  <c r="Q95" i="14"/>
  <c r="R95" i="14"/>
  <c r="S95" i="14"/>
  <c r="T95" i="14"/>
  <c r="U95" i="14"/>
  <c r="V95" i="14"/>
  <c r="W95" i="14"/>
  <c r="X95" i="14"/>
  <c r="Y95" i="14"/>
  <c r="Z95" i="14"/>
  <c r="AA95" i="14"/>
  <c r="AB95" i="14"/>
  <c r="AC95" i="14"/>
  <c r="AD95" i="14"/>
  <c r="AE95" i="14"/>
  <c r="AG95" i="14"/>
  <c r="AH95" i="14"/>
  <c r="AI95" i="14"/>
  <c r="AJ95" i="14"/>
  <c r="AK95" i="14"/>
  <c r="AL95" i="14"/>
  <c r="AM95" i="14"/>
  <c r="AN95" i="14"/>
  <c r="AO95" i="14"/>
  <c r="AP95" i="14"/>
  <c r="AQ95" i="14"/>
  <c r="AR95" i="14"/>
  <c r="AS95" i="14"/>
  <c r="AT95" i="14"/>
  <c r="AU95" i="14"/>
  <c r="AV95" i="14"/>
  <c r="AW95" i="14"/>
  <c r="AX95" i="14"/>
  <c r="AY95" i="14"/>
  <c r="AZ95" i="14"/>
  <c r="BA95" i="14"/>
  <c r="BB95" i="14"/>
  <c r="BC95" i="14"/>
  <c r="BD95" i="14"/>
  <c r="BF95" i="14"/>
  <c r="BG95" i="14"/>
  <c r="BH95" i="14"/>
  <c r="BI95" i="14"/>
  <c r="BJ95" i="14"/>
  <c r="BK95" i="14"/>
  <c r="BL95" i="14"/>
  <c r="BM95" i="14"/>
  <c r="BN95" i="14"/>
  <c r="BO95" i="14"/>
  <c r="BP95" i="14"/>
  <c r="BQ95" i="14"/>
  <c r="BR95" i="14"/>
  <c r="BS95" i="14"/>
  <c r="BT95" i="14"/>
  <c r="BU95" i="14"/>
  <c r="BV95" i="14"/>
  <c r="BW95" i="14"/>
  <c r="BX95" i="14"/>
  <c r="BY95" i="14"/>
  <c r="BZ95" i="14"/>
  <c r="CA95" i="14"/>
  <c r="CB95" i="14"/>
  <c r="CC95" i="14"/>
  <c r="CE95" i="14"/>
  <c r="CF95" i="14"/>
  <c r="CG95" i="14"/>
  <c r="CH95" i="14"/>
  <c r="CI95" i="14"/>
  <c r="CJ95" i="14"/>
  <c r="CK95" i="14"/>
  <c r="CL95" i="14"/>
  <c r="CM95" i="14"/>
  <c r="CN95" i="14"/>
  <c r="CO95" i="14"/>
  <c r="CP95" i="14"/>
  <c r="CQ95" i="14"/>
  <c r="CR95" i="14"/>
  <c r="CS95" i="14"/>
  <c r="CT95" i="14"/>
  <c r="CU95" i="14"/>
  <c r="CV95" i="14"/>
  <c r="CW95" i="14"/>
  <c r="CX95" i="14"/>
  <c r="CY95" i="14"/>
  <c r="CZ95" i="14"/>
  <c r="DA95" i="14"/>
  <c r="DB95" i="14"/>
  <c r="DH95" i="14"/>
  <c r="DI95" i="14"/>
  <c r="DJ95" i="14"/>
  <c r="H96" i="14"/>
  <c r="I96" i="14"/>
  <c r="J96" i="14"/>
  <c r="K96" i="14"/>
  <c r="L96" i="14"/>
  <c r="M96" i="14"/>
  <c r="N96" i="14"/>
  <c r="O96" i="14"/>
  <c r="P96" i="14"/>
  <c r="Q96" i="14"/>
  <c r="R96" i="14"/>
  <c r="S96" i="14"/>
  <c r="T96" i="14"/>
  <c r="U96" i="14"/>
  <c r="V96" i="14"/>
  <c r="W96" i="14"/>
  <c r="X96" i="14"/>
  <c r="Y96" i="14"/>
  <c r="Z96" i="14"/>
  <c r="AA96" i="14"/>
  <c r="AB96" i="14"/>
  <c r="AC96" i="14"/>
  <c r="AD96" i="14"/>
  <c r="AE96" i="14"/>
  <c r="AG96" i="14"/>
  <c r="AH96" i="14"/>
  <c r="AI96" i="14"/>
  <c r="AJ96" i="14"/>
  <c r="AK96" i="14"/>
  <c r="AL96" i="14"/>
  <c r="AM96" i="14"/>
  <c r="AN96" i="14"/>
  <c r="AO96" i="14"/>
  <c r="AP96" i="14"/>
  <c r="AQ96" i="14"/>
  <c r="AR96" i="14"/>
  <c r="AS96" i="14"/>
  <c r="AT96" i="14"/>
  <c r="AU96" i="14"/>
  <c r="AV96" i="14"/>
  <c r="AW96" i="14"/>
  <c r="AX96" i="14"/>
  <c r="AY96" i="14"/>
  <c r="AZ96" i="14"/>
  <c r="BA96" i="14"/>
  <c r="BB96" i="14"/>
  <c r="BC96" i="14"/>
  <c r="BD96" i="14"/>
  <c r="BF96" i="14"/>
  <c r="BG96" i="14"/>
  <c r="BH96" i="14"/>
  <c r="BI96" i="14"/>
  <c r="BJ96" i="14"/>
  <c r="BK96" i="14"/>
  <c r="BL96" i="14"/>
  <c r="BM96" i="14"/>
  <c r="BN96" i="14"/>
  <c r="BO96" i="14"/>
  <c r="BP96" i="14"/>
  <c r="BQ96" i="14"/>
  <c r="BR96" i="14"/>
  <c r="BS96" i="14"/>
  <c r="BT96" i="14"/>
  <c r="BU96" i="14"/>
  <c r="BV96" i="14"/>
  <c r="BW96" i="14"/>
  <c r="BX96" i="14"/>
  <c r="BY96" i="14"/>
  <c r="BZ96" i="14"/>
  <c r="CA96" i="14"/>
  <c r="CB96" i="14"/>
  <c r="CC96" i="14"/>
  <c r="CE96" i="14"/>
  <c r="CF96" i="14"/>
  <c r="CG96" i="14"/>
  <c r="CH96" i="14"/>
  <c r="CI96" i="14"/>
  <c r="CJ96" i="14"/>
  <c r="CK96" i="14"/>
  <c r="CL96" i="14"/>
  <c r="CM96" i="14"/>
  <c r="CN96" i="14"/>
  <c r="CO96" i="14"/>
  <c r="CP96" i="14"/>
  <c r="CQ96" i="14"/>
  <c r="CR96" i="14"/>
  <c r="CS96" i="14"/>
  <c r="CT96" i="14"/>
  <c r="CU96" i="14"/>
  <c r="CV96" i="14"/>
  <c r="CW96" i="14"/>
  <c r="CX96" i="14"/>
  <c r="CY96" i="14"/>
  <c r="CZ96" i="14"/>
  <c r="DA96" i="14"/>
  <c r="DB96" i="14"/>
  <c r="DH96" i="14"/>
  <c r="DI96" i="14"/>
  <c r="DJ96" i="14"/>
  <c r="H97" i="14"/>
  <c r="I97" i="14"/>
  <c r="J97" i="14"/>
  <c r="K97" i="14"/>
  <c r="L97" i="14"/>
  <c r="M97" i="14"/>
  <c r="N97" i="14"/>
  <c r="O97" i="14"/>
  <c r="P97" i="14"/>
  <c r="Q97" i="14"/>
  <c r="R97" i="14"/>
  <c r="S97" i="14"/>
  <c r="T97" i="14"/>
  <c r="U97" i="14"/>
  <c r="V97" i="14"/>
  <c r="W97" i="14"/>
  <c r="X97" i="14"/>
  <c r="Y97" i="14"/>
  <c r="Z97" i="14"/>
  <c r="AA97" i="14"/>
  <c r="AB97" i="14"/>
  <c r="AC97" i="14"/>
  <c r="AD97" i="14"/>
  <c r="AE97" i="14"/>
  <c r="AG97" i="14"/>
  <c r="AH97" i="14"/>
  <c r="AI97" i="14"/>
  <c r="AJ97" i="14"/>
  <c r="AK97" i="14"/>
  <c r="AL97" i="14"/>
  <c r="AM97" i="14"/>
  <c r="AN97" i="14"/>
  <c r="AO97" i="14"/>
  <c r="AP97" i="14"/>
  <c r="AQ97" i="14"/>
  <c r="AR97" i="14"/>
  <c r="AS97" i="14"/>
  <c r="AT97" i="14"/>
  <c r="AU97" i="14"/>
  <c r="AV97" i="14"/>
  <c r="AW97" i="14"/>
  <c r="AX97" i="14"/>
  <c r="AY97" i="14"/>
  <c r="AZ97" i="14"/>
  <c r="BA97" i="14"/>
  <c r="BB97" i="14"/>
  <c r="BC97" i="14"/>
  <c r="BD97" i="14"/>
  <c r="BF97" i="14"/>
  <c r="BG97" i="14"/>
  <c r="BH97" i="14"/>
  <c r="BI97" i="14"/>
  <c r="BJ97" i="14"/>
  <c r="BK97" i="14"/>
  <c r="BL97" i="14"/>
  <c r="BM97" i="14"/>
  <c r="BN97" i="14"/>
  <c r="BO97" i="14"/>
  <c r="BP97" i="14"/>
  <c r="BQ97" i="14"/>
  <c r="BR97" i="14"/>
  <c r="BS97" i="14"/>
  <c r="BT97" i="14"/>
  <c r="BU97" i="14"/>
  <c r="BV97" i="14"/>
  <c r="BW97" i="14"/>
  <c r="BX97" i="14"/>
  <c r="BY97" i="14"/>
  <c r="BZ97" i="14"/>
  <c r="CA97" i="14"/>
  <c r="CB97" i="14"/>
  <c r="CC97" i="14"/>
  <c r="CE97" i="14"/>
  <c r="CF97" i="14"/>
  <c r="CG97" i="14"/>
  <c r="CH97" i="14"/>
  <c r="CI97" i="14"/>
  <c r="CJ97" i="14"/>
  <c r="CK97" i="14"/>
  <c r="CL97" i="14"/>
  <c r="CM97" i="14"/>
  <c r="CN97" i="14"/>
  <c r="CO97" i="14"/>
  <c r="CP97" i="14"/>
  <c r="CQ97" i="14"/>
  <c r="CR97" i="14"/>
  <c r="CS97" i="14"/>
  <c r="CT97" i="14"/>
  <c r="CU97" i="14"/>
  <c r="CV97" i="14"/>
  <c r="CW97" i="14"/>
  <c r="CX97" i="14"/>
  <c r="CY97" i="14"/>
  <c r="CZ97" i="14"/>
  <c r="DA97" i="14"/>
  <c r="DB97" i="14"/>
  <c r="DH97" i="14"/>
  <c r="DI97" i="14"/>
  <c r="DJ97" i="14"/>
  <c r="H98" i="14"/>
  <c r="I98" i="14"/>
  <c r="J98" i="14"/>
  <c r="K98" i="14"/>
  <c r="L98" i="14"/>
  <c r="M98" i="14"/>
  <c r="N98" i="14"/>
  <c r="O98" i="14"/>
  <c r="P98" i="14"/>
  <c r="Q98" i="14"/>
  <c r="R98" i="14"/>
  <c r="S98" i="14"/>
  <c r="T98" i="14"/>
  <c r="U98" i="14"/>
  <c r="V98" i="14"/>
  <c r="W98" i="14"/>
  <c r="X98" i="14"/>
  <c r="Y98" i="14"/>
  <c r="Z98" i="14"/>
  <c r="AA98" i="14"/>
  <c r="AB98" i="14"/>
  <c r="AC98" i="14"/>
  <c r="AD98" i="14"/>
  <c r="AE98" i="14"/>
  <c r="AG98" i="14"/>
  <c r="AH98" i="14"/>
  <c r="AI98" i="14"/>
  <c r="AJ98" i="14"/>
  <c r="AK98" i="14"/>
  <c r="AL98" i="14"/>
  <c r="AM98" i="14"/>
  <c r="AN98" i="14"/>
  <c r="AO98" i="14"/>
  <c r="AP98" i="14"/>
  <c r="AQ98" i="14"/>
  <c r="AR98" i="14"/>
  <c r="AS98" i="14"/>
  <c r="AT98" i="14"/>
  <c r="AU98" i="14"/>
  <c r="AV98" i="14"/>
  <c r="AW98" i="14"/>
  <c r="AX98" i="14"/>
  <c r="AY98" i="14"/>
  <c r="AZ98" i="14"/>
  <c r="BA98" i="14"/>
  <c r="BB98" i="14"/>
  <c r="BC98" i="14"/>
  <c r="BD98" i="14"/>
  <c r="BF98" i="14"/>
  <c r="BG98" i="14"/>
  <c r="BH98" i="14"/>
  <c r="BI98" i="14"/>
  <c r="BJ98" i="14"/>
  <c r="BK98" i="14"/>
  <c r="BL98" i="14"/>
  <c r="BM98" i="14"/>
  <c r="BN98" i="14"/>
  <c r="BO98" i="14"/>
  <c r="BP98" i="14"/>
  <c r="BQ98" i="14"/>
  <c r="BR98" i="14"/>
  <c r="BS98" i="14"/>
  <c r="BT98" i="14"/>
  <c r="BU98" i="14"/>
  <c r="BV98" i="14"/>
  <c r="BW98" i="14"/>
  <c r="BX98" i="14"/>
  <c r="BY98" i="14"/>
  <c r="BZ98" i="14"/>
  <c r="CA98" i="14"/>
  <c r="CB98" i="14"/>
  <c r="CC98" i="14"/>
  <c r="CE98" i="14"/>
  <c r="CF98" i="14"/>
  <c r="CG98" i="14"/>
  <c r="CH98" i="14"/>
  <c r="CI98" i="14"/>
  <c r="CJ98" i="14"/>
  <c r="CK98" i="14"/>
  <c r="CL98" i="14"/>
  <c r="CM98" i="14"/>
  <c r="CN98" i="14"/>
  <c r="CO98" i="14"/>
  <c r="CP98" i="14"/>
  <c r="CQ98" i="14"/>
  <c r="CR98" i="14"/>
  <c r="CS98" i="14"/>
  <c r="CT98" i="14"/>
  <c r="CU98" i="14"/>
  <c r="CV98" i="14"/>
  <c r="CW98" i="14"/>
  <c r="CX98" i="14"/>
  <c r="CY98" i="14"/>
  <c r="CZ98" i="14"/>
  <c r="DA98" i="14"/>
  <c r="DB98" i="14"/>
  <c r="DH98" i="14"/>
  <c r="DI98" i="14"/>
  <c r="DJ98" i="14"/>
  <c r="H99" i="14"/>
  <c r="I99" i="14"/>
  <c r="J99" i="14"/>
  <c r="K99" i="14"/>
  <c r="L99" i="14"/>
  <c r="M99" i="14"/>
  <c r="N99" i="14"/>
  <c r="O99" i="14"/>
  <c r="P99" i="14"/>
  <c r="Q99" i="14"/>
  <c r="R99" i="14"/>
  <c r="S99" i="14"/>
  <c r="T99" i="14"/>
  <c r="U99" i="14"/>
  <c r="V99" i="14"/>
  <c r="W99" i="14"/>
  <c r="X99" i="14"/>
  <c r="Y99" i="14"/>
  <c r="Z99" i="14"/>
  <c r="AA99" i="14"/>
  <c r="AB99" i="14"/>
  <c r="AC99" i="14"/>
  <c r="AD99" i="14"/>
  <c r="AE99" i="14"/>
  <c r="AG99" i="14"/>
  <c r="AH99" i="14"/>
  <c r="AI99" i="14"/>
  <c r="AJ99" i="14"/>
  <c r="AK99" i="14"/>
  <c r="AL99" i="14"/>
  <c r="AM99" i="14"/>
  <c r="AN99" i="14"/>
  <c r="AO99" i="14"/>
  <c r="AP99" i="14"/>
  <c r="AQ99" i="14"/>
  <c r="AR99" i="14"/>
  <c r="AS99" i="14"/>
  <c r="AT99" i="14"/>
  <c r="AU99" i="14"/>
  <c r="AV99" i="14"/>
  <c r="AW99" i="14"/>
  <c r="AX99" i="14"/>
  <c r="AY99" i="14"/>
  <c r="AZ99" i="14"/>
  <c r="BA99" i="14"/>
  <c r="BB99" i="14"/>
  <c r="BC99" i="14"/>
  <c r="BD99" i="14"/>
  <c r="BF99" i="14"/>
  <c r="BG99" i="14"/>
  <c r="BH99" i="14"/>
  <c r="BI99" i="14"/>
  <c r="BJ99" i="14"/>
  <c r="BK99" i="14"/>
  <c r="BL99" i="14"/>
  <c r="BM99" i="14"/>
  <c r="BN99" i="14"/>
  <c r="BO99" i="14"/>
  <c r="BP99" i="14"/>
  <c r="BQ99" i="14"/>
  <c r="BR99" i="14"/>
  <c r="BS99" i="14"/>
  <c r="BT99" i="14"/>
  <c r="BU99" i="14"/>
  <c r="BV99" i="14"/>
  <c r="BW99" i="14"/>
  <c r="BX99" i="14"/>
  <c r="BY99" i="14"/>
  <c r="BZ99" i="14"/>
  <c r="CA99" i="14"/>
  <c r="CB99" i="14"/>
  <c r="CC99" i="14"/>
  <c r="CE99" i="14"/>
  <c r="CF99" i="14"/>
  <c r="CG99" i="14"/>
  <c r="CH99" i="14"/>
  <c r="CI99" i="14"/>
  <c r="CJ99" i="14"/>
  <c r="CK99" i="14"/>
  <c r="CL99" i="14"/>
  <c r="CM99" i="14"/>
  <c r="CN99" i="14"/>
  <c r="CO99" i="14"/>
  <c r="CP99" i="14"/>
  <c r="CQ99" i="14"/>
  <c r="CR99" i="14"/>
  <c r="CS99" i="14"/>
  <c r="CT99" i="14"/>
  <c r="CU99" i="14"/>
  <c r="CV99" i="14"/>
  <c r="CW99" i="14"/>
  <c r="CX99" i="14"/>
  <c r="CY99" i="14"/>
  <c r="CZ99" i="14"/>
  <c r="DA99" i="14"/>
  <c r="DB99" i="14"/>
  <c r="DH99" i="14"/>
  <c r="DI99" i="14"/>
  <c r="DJ99" i="14"/>
  <c r="H100" i="14"/>
  <c r="I100" i="14"/>
  <c r="J100" i="14"/>
  <c r="K100" i="14"/>
  <c r="L100" i="14"/>
  <c r="M100" i="14"/>
  <c r="N100" i="14"/>
  <c r="O100" i="14"/>
  <c r="P100" i="14"/>
  <c r="Q100" i="14"/>
  <c r="R100" i="14"/>
  <c r="S100" i="14"/>
  <c r="T100" i="14"/>
  <c r="U100" i="14"/>
  <c r="V100" i="14"/>
  <c r="W100" i="14"/>
  <c r="X100" i="14"/>
  <c r="Y100" i="14"/>
  <c r="Z100" i="14"/>
  <c r="AA100" i="14"/>
  <c r="AB100" i="14"/>
  <c r="AC100" i="14"/>
  <c r="AD100" i="14"/>
  <c r="AE100" i="14"/>
  <c r="AG100" i="14"/>
  <c r="AH100" i="14"/>
  <c r="AI100" i="14"/>
  <c r="AJ100" i="14"/>
  <c r="AK100" i="14"/>
  <c r="AL100" i="14"/>
  <c r="AM100" i="14"/>
  <c r="AN100" i="14"/>
  <c r="AO100" i="14"/>
  <c r="AP100" i="14"/>
  <c r="AQ100" i="14"/>
  <c r="AR100" i="14"/>
  <c r="AS100" i="14"/>
  <c r="AT100" i="14"/>
  <c r="AU100" i="14"/>
  <c r="AV100" i="14"/>
  <c r="AW100" i="14"/>
  <c r="AX100" i="14"/>
  <c r="AY100" i="14"/>
  <c r="AZ100" i="14"/>
  <c r="BA100" i="14"/>
  <c r="BB100" i="14"/>
  <c r="BC100" i="14"/>
  <c r="BD100" i="14"/>
  <c r="BF100" i="14"/>
  <c r="BG100" i="14"/>
  <c r="BH100" i="14"/>
  <c r="BI100" i="14"/>
  <c r="BJ100" i="14"/>
  <c r="BK100" i="14"/>
  <c r="BL100" i="14"/>
  <c r="BM100" i="14"/>
  <c r="BN100" i="14"/>
  <c r="BO100" i="14"/>
  <c r="BP100" i="14"/>
  <c r="BQ100" i="14"/>
  <c r="BR100" i="14"/>
  <c r="BS100" i="14"/>
  <c r="BT100" i="14"/>
  <c r="BU100" i="14"/>
  <c r="BV100" i="14"/>
  <c r="BW100" i="14"/>
  <c r="BX100" i="14"/>
  <c r="BY100" i="14"/>
  <c r="BZ100" i="14"/>
  <c r="CA100" i="14"/>
  <c r="CB100" i="14"/>
  <c r="CC100" i="14"/>
  <c r="CE100" i="14"/>
  <c r="CF100" i="14"/>
  <c r="CG100" i="14"/>
  <c r="CH100" i="14"/>
  <c r="CI100" i="14"/>
  <c r="CJ100" i="14"/>
  <c r="CK100" i="14"/>
  <c r="CL100" i="14"/>
  <c r="CM100" i="14"/>
  <c r="CN100" i="14"/>
  <c r="CO100" i="14"/>
  <c r="CP100" i="14"/>
  <c r="CQ100" i="14"/>
  <c r="CR100" i="14"/>
  <c r="CS100" i="14"/>
  <c r="CT100" i="14"/>
  <c r="CU100" i="14"/>
  <c r="CV100" i="14"/>
  <c r="CW100" i="14"/>
  <c r="CX100" i="14"/>
  <c r="CY100" i="14"/>
  <c r="CZ100" i="14"/>
  <c r="DA100" i="14"/>
  <c r="DB100" i="14"/>
  <c r="DH100" i="14"/>
  <c r="DI100" i="14"/>
  <c r="DJ100" i="14"/>
  <c r="H101" i="14"/>
  <c r="I101" i="14"/>
  <c r="J101" i="14"/>
  <c r="K101" i="14"/>
  <c r="L101" i="14"/>
  <c r="M101" i="14"/>
  <c r="N101" i="14"/>
  <c r="O101" i="14"/>
  <c r="P101" i="14"/>
  <c r="Q101" i="14"/>
  <c r="R101" i="14"/>
  <c r="S101" i="14"/>
  <c r="T101" i="14"/>
  <c r="U101" i="14"/>
  <c r="V101" i="14"/>
  <c r="W101" i="14"/>
  <c r="X101" i="14"/>
  <c r="Y101" i="14"/>
  <c r="Z101" i="14"/>
  <c r="AA101" i="14"/>
  <c r="AB101" i="14"/>
  <c r="AC101" i="14"/>
  <c r="AD101" i="14"/>
  <c r="AE101" i="14"/>
  <c r="AG101" i="14"/>
  <c r="AH101" i="14"/>
  <c r="AI101" i="14"/>
  <c r="AJ101" i="14"/>
  <c r="AK101" i="14"/>
  <c r="AL101" i="14"/>
  <c r="AM101" i="14"/>
  <c r="AN101" i="14"/>
  <c r="AO101" i="14"/>
  <c r="AP101" i="14"/>
  <c r="AQ101" i="14"/>
  <c r="AR101" i="14"/>
  <c r="AS101" i="14"/>
  <c r="AT101" i="14"/>
  <c r="AU101" i="14"/>
  <c r="AV101" i="14"/>
  <c r="AW101" i="14"/>
  <c r="AX101" i="14"/>
  <c r="AY101" i="14"/>
  <c r="AZ101" i="14"/>
  <c r="BA101" i="14"/>
  <c r="BB101" i="14"/>
  <c r="BC101" i="14"/>
  <c r="BD101" i="14"/>
  <c r="BF101" i="14"/>
  <c r="BG101" i="14"/>
  <c r="BH101" i="14"/>
  <c r="BI101" i="14"/>
  <c r="BJ101" i="14"/>
  <c r="BK101" i="14"/>
  <c r="BL101" i="14"/>
  <c r="BM101" i="14"/>
  <c r="BN101" i="14"/>
  <c r="BO101" i="14"/>
  <c r="BP101" i="14"/>
  <c r="BQ101" i="14"/>
  <c r="BR101" i="14"/>
  <c r="BS101" i="14"/>
  <c r="BT101" i="14"/>
  <c r="BU101" i="14"/>
  <c r="BV101" i="14"/>
  <c r="BW101" i="14"/>
  <c r="BX101" i="14"/>
  <c r="BY101" i="14"/>
  <c r="BZ101" i="14"/>
  <c r="CA101" i="14"/>
  <c r="CB101" i="14"/>
  <c r="CC101" i="14"/>
  <c r="CE101" i="14"/>
  <c r="CF101" i="14"/>
  <c r="CG101" i="14"/>
  <c r="CH101" i="14"/>
  <c r="CI101" i="14"/>
  <c r="CJ101" i="14"/>
  <c r="CK101" i="14"/>
  <c r="CL101" i="14"/>
  <c r="CM101" i="14"/>
  <c r="CN101" i="14"/>
  <c r="CO101" i="14"/>
  <c r="CP101" i="14"/>
  <c r="CQ101" i="14"/>
  <c r="CR101" i="14"/>
  <c r="CS101" i="14"/>
  <c r="CT101" i="14"/>
  <c r="CU101" i="14"/>
  <c r="CV101" i="14"/>
  <c r="CW101" i="14"/>
  <c r="CX101" i="14"/>
  <c r="CY101" i="14"/>
  <c r="CZ101" i="14"/>
  <c r="DA101" i="14"/>
  <c r="DB101" i="14"/>
  <c r="DH101" i="14"/>
  <c r="DI101" i="14"/>
  <c r="DJ101" i="14"/>
  <c r="H102" i="14"/>
  <c r="I102" i="14"/>
  <c r="J102" i="14"/>
  <c r="K102" i="14"/>
  <c r="L102" i="14"/>
  <c r="M102" i="14"/>
  <c r="N102" i="14"/>
  <c r="O102" i="14"/>
  <c r="P102" i="14"/>
  <c r="Q102" i="14"/>
  <c r="R102" i="14"/>
  <c r="S102" i="14"/>
  <c r="T102" i="14"/>
  <c r="U102" i="14"/>
  <c r="V102" i="14"/>
  <c r="W102" i="14"/>
  <c r="X102" i="14"/>
  <c r="Y102" i="14"/>
  <c r="Z102" i="14"/>
  <c r="AA102" i="14"/>
  <c r="AB102" i="14"/>
  <c r="AC102" i="14"/>
  <c r="AD102" i="14"/>
  <c r="AE102" i="14"/>
  <c r="AG102" i="14"/>
  <c r="AH102" i="14"/>
  <c r="AI102" i="14"/>
  <c r="AJ102" i="14"/>
  <c r="AK102" i="14"/>
  <c r="AL102" i="14"/>
  <c r="AM102" i="14"/>
  <c r="AN102" i="14"/>
  <c r="AO102" i="14"/>
  <c r="AP102" i="14"/>
  <c r="AQ102" i="14"/>
  <c r="AR102" i="14"/>
  <c r="AS102" i="14"/>
  <c r="AT102" i="14"/>
  <c r="AU102" i="14"/>
  <c r="AV102" i="14"/>
  <c r="AW102" i="14"/>
  <c r="AX102" i="14"/>
  <c r="AY102" i="14"/>
  <c r="AZ102" i="14"/>
  <c r="BA102" i="14"/>
  <c r="BB102" i="14"/>
  <c r="BC102" i="14"/>
  <c r="BD102" i="14"/>
  <c r="BF102" i="14"/>
  <c r="BG102" i="14"/>
  <c r="BH102" i="14"/>
  <c r="BI102" i="14"/>
  <c r="BJ102" i="14"/>
  <c r="BK102" i="14"/>
  <c r="BL102" i="14"/>
  <c r="BM102" i="14"/>
  <c r="BN102" i="14"/>
  <c r="BO102" i="14"/>
  <c r="BP102" i="14"/>
  <c r="BQ102" i="14"/>
  <c r="BR102" i="14"/>
  <c r="BS102" i="14"/>
  <c r="BT102" i="14"/>
  <c r="BU102" i="14"/>
  <c r="BV102" i="14"/>
  <c r="BW102" i="14"/>
  <c r="BX102" i="14"/>
  <c r="BY102" i="14"/>
  <c r="BZ102" i="14"/>
  <c r="CA102" i="14"/>
  <c r="CB102" i="14"/>
  <c r="CC102" i="14"/>
  <c r="CE102" i="14"/>
  <c r="CF102" i="14"/>
  <c r="CG102" i="14"/>
  <c r="CH102" i="14"/>
  <c r="CI102" i="14"/>
  <c r="CJ102" i="14"/>
  <c r="CK102" i="14"/>
  <c r="CL102" i="14"/>
  <c r="CM102" i="14"/>
  <c r="CN102" i="14"/>
  <c r="CO102" i="14"/>
  <c r="CP102" i="14"/>
  <c r="CQ102" i="14"/>
  <c r="CR102" i="14"/>
  <c r="CS102" i="14"/>
  <c r="CT102" i="14"/>
  <c r="CU102" i="14"/>
  <c r="CV102" i="14"/>
  <c r="CW102" i="14"/>
  <c r="CX102" i="14"/>
  <c r="CY102" i="14"/>
  <c r="CZ102" i="14"/>
  <c r="DA102" i="14"/>
  <c r="DB102" i="14"/>
  <c r="DH102" i="14"/>
  <c r="DI102" i="14"/>
  <c r="DJ102" i="14"/>
  <c r="H103" i="14"/>
  <c r="I103" i="14"/>
  <c r="J103" i="14"/>
  <c r="K103" i="14"/>
  <c r="L103" i="14"/>
  <c r="M103" i="14"/>
  <c r="N103" i="14"/>
  <c r="O103" i="14"/>
  <c r="P103" i="14"/>
  <c r="Q103" i="14"/>
  <c r="R103" i="14"/>
  <c r="S103" i="14"/>
  <c r="T103" i="14"/>
  <c r="U103" i="14"/>
  <c r="V103" i="14"/>
  <c r="W103" i="14"/>
  <c r="X103" i="14"/>
  <c r="Y103" i="14"/>
  <c r="Z103" i="14"/>
  <c r="AA103" i="14"/>
  <c r="AB103" i="14"/>
  <c r="AC103" i="14"/>
  <c r="AD103" i="14"/>
  <c r="AE103" i="14"/>
  <c r="AG103" i="14"/>
  <c r="AH103" i="14"/>
  <c r="AI103" i="14"/>
  <c r="AJ103" i="14"/>
  <c r="AK103" i="14"/>
  <c r="AL103" i="14"/>
  <c r="AM103" i="14"/>
  <c r="AN103" i="14"/>
  <c r="AO103" i="14"/>
  <c r="AP103" i="14"/>
  <c r="AQ103" i="14"/>
  <c r="AR103" i="14"/>
  <c r="AS103" i="14"/>
  <c r="AT103" i="14"/>
  <c r="AU103" i="14"/>
  <c r="AV103" i="14"/>
  <c r="AW103" i="14"/>
  <c r="AX103" i="14"/>
  <c r="AY103" i="14"/>
  <c r="AZ103" i="14"/>
  <c r="BA103" i="14"/>
  <c r="BB103" i="14"/>
  <c r="BC103" i="14"/>
  <c r="BD103" i="14"/>
  <c r="BF103" i="14"/>
  <c r="BG103" i="14"/>
  <c r="BH103" i="14"/>
  <c r="BI103" i="14"/>
  <c r="BJ103" i="14"/>
  <c r="BK103" i="14"/>
  <c r="BL103" i="14"/>
  <c r="BM103" i="14"/>
  <c r="BN103" i="14"/>
  <c r="BO103" i="14"/>
  <c r="BP103" i="14"/>
  <c r="BQ103" i="14"/>
  <c r="BR103" i="14"/>
  <c r="BS103" i="14"/>
  <c r="BT103" i="14"/>
  <c r="BU103" i="14"/>
  <c r="BV103" i="14"/>
  <c r="BW103" i="14"/>
  <c r="BX103" i="14"/>
  <c r="BY103" i="14"/>
  <c r="BZ103" i="14"/>
  <c r="CA103" i="14"/>
  <c r="CB103" i="14"/>
  <c r="CC103" i="14"/>
  <c r="CE103" i="14"/>
  <c r="CF103" i="14"/>
  <c r="CG103" i="14"/>
  <c r="CH103" i="14"/>
  <c r="CI103" i="14"/>
  <c r="CJ103" i="14"/>
  <c r="CK103" i="14"/>
  <c r="CL103" i="14"/>
  <c r="CM103" i="14"/>
  <c r="CN103" i="14"/>
  <c r="CO103" i="14"/>
  <c r="CP103" i="14"/>
  <c r="CQ103" i="14"/>
  <c r="CR103" i="14"/>
  <c r="CS103" i="14"/>
  <c r="CT103" i="14"/>
  <c r="CU103" i="14"/>
  <c r="CV103" i="14"/>
  <c r="CW103" i="14"/>
  <c r="CX103" i="14"/>
  <c r="CY103" i="14"/>
  <c r="CZ103" i="14"/>
  <c r="DA103" i="14"/>
  <c r="DB103" i="14"/>
  <c r="DH103" i="14"/>
  <c r="DI103" i="14"/>
  <c r="DJ103" i="14"/>
  <c r="H104" i="14"/>
  <c r="I104" i="14"/>
  <c r="J104" i="14"/>
  <c r="K104" i="14"/>
  <c r="L104" i="14"/>
  <c r="M104" i="14"/>
  <c r="N104" i="14"/>
  <c r="O104" i="14"/>
  <c r="P104" i="14"/>
  <c r="Q104" i="14"/>
  <c r="R104" i="14"/>
  <c r="S104" i="14"/>
  <c r="T104" i="14"/>
  <c r="U104" i="14"/>
  <c r="V104" i="14"/>
  <c r="W104" i="14"/>
  <c r="X104" i="14"/>
  <c r="Y104" i="14"/>
  <c r="Z104" i="14"/>
  <c r="AA104" i="14"/>
  <c r="AB104" i="14"/>
  <c r="AC104" i="14"/>
  <c r="AD104" i="14"/>
  <c r="AE104" i="14"/>
  <c r="AG104" i="14"/>
  <c r="AH104" i="14"/>
  <c r="AI104" i="14"/>
  <c r="AJ104" i="14"/>
  <c r="AK104" i="14"/>
  <c r="AL104" i="14"/>
  <c r="AM104" i="14"/>
  <c r="AN104" i="14"/>
  <c r="AO104" i="14"/>
  <c r="AP104" i="14"/>
  <c r="AQ104" i="14"/>
  <c r="AR104" i="14"/>
  <c r="AS104" i="14"/>
  <c r="AT104" i="14"/>
  <c r="AU104" i="14"/>
  <c r="AV104" i="14"/>
  <c r="AW104" i="14"/>
  <c r="AX104" i="14"/>
  <c r="AY104" i="14"/>
  <c r="AZ104" i="14"/>
  <c r="BA104" i="14"/>
  <c r="BB104" i="14"/>
  <c r="BC104" i="14"/>
  <c r="BD104" i="14"/>
  <c r="BF104" i="14"/>
  <c r="BG104" i="14"/>
  <c r="BH104" i="14"/>
  <c r="BI104" i="14"/>
  <c r="BJ104" i="14"/>
  <c r="BK104" i="14"/>
  <c r="BL104" i="14"/>
  <c r="BM104" i="14"/>
  <c r="BN104" i="14"/>
  <c r="BO104" i="14"/>
  <c r="BP104" i="14"/>
  <c r="BQ104" i="14"/>
  <c r="BR104" i="14"/>
  <c r="BS104" i="14"/>
  <c r="BT104" i="14"/>
  <c r="BU104" i="14"/>
  <c r="BV104" i="14"/>
  <c r="BW104" i="14"/>
  <c r="BX104" i="14"/>
  <c r="BY104" i="14"/>
  <c r="BZ104" i="14"/>
  <c r="CA104" i="14"/>
  <c r="CB104" i="14"/>
  <c r="CC104" i="14"/>
  <c r="CE104" i="14"/>
  <c r="CF104" i="14"/>
  <c r="CG104" i="14"/>
  <c r="CH104" i="14"/>
  <c r="CI104" i="14"/>
  <c r="CJ104" i="14"/>
  <c r="CK104" i="14"/>
  <c r="CL104" i="14"/>
  <c r="CM104" i="14"/>
  <c r="CN104" i="14"/>
  <c r="CO104" i="14"/>
  <c r="CP104" i="14"/>
  <c r="CQ104" i="14"/>
  <c r="CR104" i="14"/>
  <c r="CS104" i="14"/>
  <c r="CT104" i="14"/>
  <c r="CU104" i="14"/>
  <c r="CV104" i="14"/>
  <c r="CW104" i="14"/>
  <c r="CX104" i="14"/>
  <c r="CY104" i="14"/>
  <c r="CZ104" i="14"/>
  <c r="DA104" i="14"/>
  <c r="DB104" i="14"/>
  <c r="DH104" i="14"/>
  <c r="DI104" i="14"/>
  <c r="DJ104" i="14"/>
  <c r="H105" i="14"/>
  <c r="I105" i="14"/>
  <c r="J105" i="14"/>
  <c r="K105" i="14"/>
  <c r="L105" i="14"/>
  <c r="M105" i="14"/>
  <c r="N105" i="14"/>
  <c r="O105" i="14"/>
  <c r="P105" i="14"/>
  <c r="Q105" i="14"/>
  <c r="R105" i="14"/>
  <c r="S105" i="14"/>
  <c r="T105" i="14"/>
  <c r="U105" i="14"/>
  <c r="V105" i="14"/>
  <c r="W105" i="14"/>
  <c r="X105" i="14"/>
  <c r="Y105" i="14"/>
  <c r="Z105" i="14"/>
  <c r="AA105" i="14"/>
  <c r="AB105" i="14"/>
  <c r="AC105" i="14"/>
  <c r="AD105" i="14"/>
  <c r="AE105" i="14"/>
  <c r="AG105" i="14"/>
  <c r="AH105" i="14"/>
  <c r="AI105" i="14"/>
  <c r="AJ105" i="14"/>
  <c r="AK105" i="14"/>
  <c r="AL105" i="14"/>
  <c r="AM105" i="14"/>
  <c r="AN105" i="14"/>
  <c r="AO105" i="14"/>
  <c r="AP105" i="14"/>
  <c r="AQ105" i="14"/>
  <c r="AR105" i="14"/>
  <c r="AS105" i="14"/>
  <c r="AT105" i="14"/>
  <c r="AU105" i="14"/>
  <c r="AV105" i="14"/>
  <c r="AW105" i="14"/>
  <c r="AX105" i="14"/>
  <c r="AY105" i="14"/>
  <c r="AZ105" i="14"/>
  <c r="BA105" i="14"/>
  <c r="BB105" i="14"/>
  <c r="BC105" i="14"/>
  <c r="BD105" i="14"/>
  <c r="BF105" i="14"/>
  <c r="BG105" i="14"/>
  <c r="BH105" i="14"/>
  <c r="BI105" i="14"/>
  <c r="BJ105" i="14"/>
  <c r="BK105" i="14"/>
  <c r="BL105" i="14"/>
  <c r="BM105" i="14"/>
  <c r="BN105" i="14"/>
  <c r="BO105" i="14"/>
  <c r="BP105" i="14"/>
  <c r="BQ105" i="14"/>
  <c r="BR105" i="14"/>
  <c r="BS105" i="14"/>
  <c r="BT105" i="14"/>
  <c r="BU105" i="14"/>
  <c r="BV105" i="14"/>
  <c r="BW105" i="14"/>
  <c r="BX105" i="14"/>
  <c r="BY105" i="14"/>
  <c r="BZ105" i="14"/>
  <c r="CA105" i="14"/>
  <c r="CB105" i="14"/>
  <c r="CC105" i="14"/>
  <c r="CE105" i="14"/>
  <c r="CF105" i="14"/>
  <c r="CG105" i="14"/>
  <c r="CH105" i="14"/>
  <c r="CI105" i="14"/>
  <c r="CJ105" i="14"/>
  <c r="CK105" i="14"/>
  <c r="CL105" i="14"/>
  <c r="CM105" i="14"/>
  <c r="CN105" i="14"/>
  <c r="CO105" i="14"/>
  <c r="CP105" i="14"/>
  <c r="CQ105" i="14"/>
  <c r="CR105" i="14"/>
  <c r="CS105" i="14"/>
  <c r="CT105" i="14"/>
  <c r="CU105" i="14"/>
  <c r="CV105" i="14"/>
  <c r="CW105" i="14"/>
  <c r="CX105" i="14"/>
  <c r="CY105" i="14"/>
  <c r="CZ105" i="14"/>
  <c r="DA105" i="14"/>
  <c r="DB105" i="14"/>
  <c r="DH105" i="14"/>
  <c r="DI105" i="14"/>
  <c r="DJ105" i="14"/>
  <c r="H106" i="14"/>
  <c r="I106" i="14"/>
  <c r="J106" i="14"/>
  <c r="K106" i="14"/>
  <c r="L106" i="14"/>
  <c r="M106" i="14"/>
  <c r="N106" i="14"/>
  <c r="O106" i="14"/>
  <c r="P106" i="14"/>
  <c r="Q106" i="14"/>
  <c r="R106" i="14"/>
  <c r="S106" i="14"/>
  <c r="T106" i="14"/>
  <c r="U106" i="14"/>
  <c r="V106" i="14"/>
  <c r="W106" i="14"/>
  <c r="X106" i="14"/>
  <c r="Y106" i="14"/>
  <c r="Z106" i="14"/>
  <c r="AA106" i="14"/>
  <c r="AB106" i="14"/>
  <c r="AC106" i="14"/>
  <c r="AD106" i="14"/>
  <c r="AE106" i="14"/>
  <c r="AG106" i="14"/>
  <c r="AH106" i="14"/>
  <c r="AI106" i="14"/>
  <c r="AJ106" i="14"/>
  <c r="AK106" i="14"/>
  <c r="AL106" i="14"/>
  <c r="AM106" i="14"/>
  <c r="AN106" i="14"/>
  <c r="AO106" i="14"/>
  <c r="AP106" i="14"/>
  <c r="AQ106" i="14"/>
  <c r="AR106" i="14"/>
  <c r="AS106" i="14"/>
  <c r="AT106" i="14"/>
  <c r="AU106" i="14"/>
  <c r="AV106" i="14"/>
  <c r="AW106" i="14"/>
  <c r="AX106" i="14"/>
  <c r="AY106" i="14"/>
  <c r="AZ106" i="14"/>
  <c r="BA106" i="14"/>
  <c r="BB106" i="14"/>
  <c r="BC106" i="14"/>
  <c r="BD106" i="14"/>
  <c r="BF106" i="14"/>
  <c r="BG106" i="14"/>
  <c r="BH106" i="14"/>
  <c r="BI106" i="14"/>
  <c r="BJ106" i="14"/>
  <c r="BK106" i="14"/>
  <c r="BL106" i="14"/>
  <c r="BM106" i="14"/>
  <c r="BN106" i="14"/>
  <c r="BO106" i="14"/>
  <c r="BP106" i="14"/>
  <c r="BQ106" i="14"/>
  <c r="BR106" i="14"/>
  <c r="BS106" i="14"/>
  <c r="BT106" i="14"/>
  <c r="BU106" i="14"/>
  <c r="BV106" i="14"/>
  <c r="BW106" i="14"/>
  <c r="BX106" i="14"/>
  <c r="BY106" i="14"/>
  <c r="BZ106" i="14"/>
  <c r="CA106" i="14"/>
  <c r="CB106" i="14"/>
  <c r="CC106" i="14"/>
  <c r="CE106" i="14"/>
  <c r="CF106" i="14"/>
  <c r="CG106" i="14"/>
  <c r="CH106" i="14"/>
  <c r="CI106" i="14"/>
  <c r="CJ106" i="14"/>
  <c r="CK106" i="14"/>
  <c r="CL106" i="14"/>
  <c r="CM106" i="14"/>
  <c r="CN106" i="14"/>
  <c r="CO106" i="14"/>
  <c r="CP106" i="14"/>
  <c r="CQ106" i="14"/>
  <c r="CR106" i="14"/>
  <c r="CS106" i="14"/>
  <c r="CT106" i="14"/>
  <c r="CU106" i="14"/>
  <c r="CV106" i="14"/>
  <c r="CW106" i="14"/>
  <c r="CX106" i="14"/>
  <c r="CY106" i="14"/>
  <c r="CZ106" i="14"/>
  <c r="DA106" i="14"/>
  <c r="DB106" i="14"/>
  <c r="DH106" i="14"/>
  <c r="DI106" i="14"/>
  <c r="DJ106" i="14"/>
  <c r="H107" i="14"/>
  <c r="I107" i="14"/>
  <c r="J107" i="14"/>
  <c r="K107" i="14"/>
  <c r="L107" i="14"/>
  <c r="M107" i="14"/>
  <c r="N107" i="14"/>
  <c r="O107" i="14"/>
  <c r="P107" i="14"/>
  <c r="Q107" i="14"/>
  <c r="R107" i="14"/>
  <c r="S107" i="14"/>
  <c r="T107" i="14"/>
  <c r="U107" i="14"/>
  <c r="V107" i="14"/>
  <c r="W107" i="14"/>
  <c r="X107" i="14"/>
  <c r="Y107" i="14"/>
  <c r="Z107" i="14"/>
  <c r="AA107" i="14"/>
  <c r="AB107" i="14"/>
  <c r="AC107" i="14"/>
  <c r="AD107" i="14"/>
  <c r="AE107" i="14"/>
  <c r="AG107" i="14"/>
  <c r="AH107" i="14"/>
  <c r="AI107" i="14"/>
  <c r="AJ107" i="14"/>
  <c r="AK107" i="14"/>
  <c r="AL107" i="14"/>
  <c r="AM107" i="14"/>
  <c r="AN107" i="14"/>
  <c r="AO107" i="14"/>
  <c r="AP107" i="14"/>
  <c r="AQ107" i="14"/>
  <c r="AR107" i="14"/>
  <c r="AS107" i="14"/>
  <c r="AT107" i="14"/>
  <c r="AU107" i="14"/>
  <c r="AV107" i="14"/>
  <c r="AW107" i="14"/>
  <c r="AX107" i="14"/>
  <c r="AY107" i="14"/>
  <c r="AZ107" i="14"/>
  <c r="BA107" i="14"/>
  <c r="BB107" i="14"/>
  <c r="BC107" i="14"/>
  <c r="BD107" i="14"/>
  <c r="BF107" i="14"/>
  <c r="BG107" i="14"/>
  <c r="BH107" i="14"/>
  <c r="BI107" i="14"/>
  <c r="BJ107" i="14"/>
  <c r="BK107" i="14"/>
  <c r="BL107" i="14"/>
  <c r="BM107" i="14"/>
  <c r="BN107" i="14"/>
  <c r="BO107" i="14"/>
  <c r="BP107" i="14"/>
  <c r="BQ107" i="14"/>
  <c r="BR107" i="14"/>
  <c r="BS107" i="14"/>
  <c r="BT107" i="14"/>
  <c r="BU107" i="14"/>
  <c r="BV107" i="14"/>
  <c r="BW107" i="14"/>
  <c r="BX107" i="14"/>
  <c r="BY107" i="14"/>
  <c r="BZ107" i="14"/>
  <c r="CA107" i="14"/>
  <c r="CB107" i="14"/>
  <c r="CC107" i="14"/>
  <c r="CE107" i="14"/>
  <c r="CF107" i="14"/>
  <c r="CG107" i="14"/>
  <c r="CH107" i="14"/>
  <c r="CI107" i="14"/>
  <c r="CJ107" i="14"/>
  <c r="CK107" i="14"/>
  <c r="CL107" i="14"/>
  <c r="CM107" i="14"/>
  <c r="CN107" i="14"/>
  <c r="CO107" i="14"/>
  <c r="CP107" i="14"/>
  <c r="CQ107" i="14"/>
  <c r="CR107" i="14"/>
  <c r="CS107" i="14"/>
  <c r="CT107" i="14"/>
  <c r="CU107" i="14"/>
  <c r="CV107" i="14"/>
  <c r="CW107" i="14"/>
  <c r="CX107" i="14"/>
  <c r="CY107" i="14"/>
  <c r="CZ107" i="14"/>
  <c r="DA107" i="14"/>
  <c r="DB107" i="14"/>
  <c r="DH107" i="14"/>
  <c r="DI107" i="14"/>
  <c r="DJ107" i="14"/>
  <c r="H108" i="14"/>
  <c r="I108" i="14"/>
  <c r="J108" i="14"/>
  <c r="K108" i="14"/>
  <c r="L108" i="14"/>
  <c r="M108" i="14"/>
  <c r="N108" i="14"/>
  <c r="O108" i="14"/>
  <c r="P108" i="14"/>
  <c r="Q108" i="14"/>
  <c r="R108" i="14"/>
  <c r="S108" i="14"/>
  <c r="T108" i="14"/>
  <c r="U108" i="14"/>
  <c r="V108" i="14"/>
  <c r="W108" i="14"/>
  <c r="X108" i="14"/>
  <c r="Y108" i="14"/>
  <c r="Z108" i="14"/>
  <c r="AA108" i="14"/>
  <c r="AB108" i="14"/>
  <c r="AC108" i="14"/>
  <c r="AD108" i="14"/>
  <c r="AE108" i="14"/>
  <c r="AG108" i="14"/>
  <c r="AH108" i="14"/>
  <c r="AI108" i="14"/>
  <c r="AJ108" i="14"/>
  <c r="AK108" i="14"/>
  <c r="AL108" i="14"/>
  <c r="AM108" i="14"/>
  <c r="AN108" i="14"/>
  <c r="AO108" i="14"/>
  <c r="AP108" i="14"/>
  <c r="AQ108" i="14"/>
  <c r="AR108" i="14"/>
  <c r="AS108" i="14"/>
  <c r="AT108" i="14"/>
  <c r="AU108" i="14"/>
  <c r="AV108" i="14"/>
  <c r="AW108" i="14"/>
  <c r="AX108" i="14"/>
  <c r="AY108" i="14"/>
  <c r="AZ108" i="14"/>
  <c r="BA108" i="14"/>
  <c r="BB108" i="14"/>
  <c r="BC108" i="14"/>
  <c r="BD108" i="14"/>
  <c r="BF108" i="14"/>
  <c r="BG108" i="14"/>
  <c r="BH108" i="14"/>
  <c r="BI108" i="14"/>
  <c r="BJ108" i="14"/>
  <c r="BK108" i="14"/>
  <c r="BL108" i="14"/>
  <c r="BM108" i="14"/>
  <c r="BN108" i="14"/>
  <c r="BO108" i="14"/>
  <c r="BP108" i="14"/>
  <c r="BQ108" i="14"/>
  <c r="BR108" i="14"/>
  <c r="BS108" i="14"/>
  <c r="BT108" i="14"/>
  <c r="BU108" i="14"/>
  <c r="BV108" i="14"/>
  <c r="BW108" i="14"/>
  <c r="BX108" i="14"/>
  <c r="BY108" i="14"/>
  <c r="BZ108" i="14"/>
  <c r="CA108" i="14"/>
  <c r="CB108" i="14"/>
  <c r="CC108" i="14"/>
  <c r="CE108" i="14"/>
  <c r="CF108" i="14"/>
  <c r="CG108" i="14"/>
  <c r="CH108" i="14"/>
  <c r="CI108" i="14"/>
  <c r="CJ108" i="14"/>
  <c r="CK108" i="14"/>
  <c r="CL108" i="14"/>
  <c r="CM108" i="14"/>
  <c r="CN108" i="14"/>
  <c r="CO108" i="14"/>
  <c r="CP108" i="14"/>
  <c r="CQ108" i="14"/>
  <c r="CR108" i="14"/>
  <c r="CS108" i="14"/>
  <c r="CT108" i="14"/>
  <c r="CU108" i="14"/>
  <c r="CV108" i="14"/>
  <c r="CW108" i="14"/>
  <c r="CX108" i="14"/>
  <c r="CY108" i="14"/>
  <c r="CZ108" i="14"/>
  <c r="DA108" i="14"/>
  <c r="DB108" i="14"/>
  <c r="DH108" i="14"/>
  <c r="DI108" i="14"/>
  <c r="DJ108" i="14"/>
  <c r="H109" i="14"/>
  <c r="I109" i="14"/>
  <c r="J109" i="14"/>
  <c r="K109" i="14"/>
  <c r="L109" i="14"/>
  <c r="M109" i="14"/>
  <c r="N109" i="14"/>
  <c r="O109" i="14"/>
  <c r="P109" i="14"/>
  <c r="Q109" i="14"/>
  <c r="R109" i="14"/>
  <c r="S109" i="14"/>
  <c r="T109" i="14"/>
  <c r="U109" i="14"/>
  <c r="V109" i="14"/>
  <c r="W109" i="14"/>
  <c r="X109" i="14"/>
  <c r="Y109" i="14"/>
  <c r="Z109" i="14"/>
  <c r="AA109" i="14"/>
  <c r="AB109" i="14"/>
  <c r="AC109" i="14"/>
  <c r="AD109" i="14"/>
  <c r="AE109" i="14"/>
  <c r="AG109" i="14"/>
  <c r="AH109" i="14"/>
  <c r="AI109" i="14"/>
  <c r="AJ109" i="14"/>
  <c r="AK109" i="14"/>
  <c r="AL109" i="14"/>
  <c r="AM109" i="14"/>
  <c r="AN109" i="14"/>
  <c r="AO109" i="14"/>
  <c r="AP109" i="14"/>
  <c r="AQ109" i="14"/>
  <c r="AR109" i="14"/>
  <c r="AS109" i="14"/>
  <c r="AT109" i="14"/>
  <c r="AU109" i="14"/>
  <c r="AV109" i="14"/>
  <c r="AW109" i="14"/>
  <c r="AX109" i="14"/>
  <c r="AY109" i="14"/>
  <c r="AZ109" i="14"/>
  <c r="BA109" i="14"/>
  <c r="BB109" i="14"/>
  <c r="BC109" i="14"/>
  <c r="BD109" i="14"/>
  <c r="BF109" i="14"/>
  <c r="BG109" i="14"/>
  <c r="BH109" i="14"/>
  <c r="BI109" i="14"/>
  <c r="BJ109" i="14"/>
  <c r="BK109" i="14"/>
  <c r="BL109" i="14"/>
  <c r="BM109" i="14"/>
  <c r="BN109" i="14"/>
  <c r="BO109" i="14"/>
  <c r="BP109" i="14"/>
  <c r="BQ109" i="14"/>
  <c r="BR109" i="14"/>
  <c r="BS109" i="14"/>
  <c r="BT109" i="14"/>
  <c r="BU109" i="14"/>
  <c r="BV109" i="14"/>
  <c r="BW109" i="14"/>
  <c r="BX109" i="14"/>
  <c r="BY109" i="14"/>
  <c r="BZ109" i="14"/>
  <c r="CA109" i="14"/>
  <c r="CB109" i="14"/>
  <c r="CC109" i="14"/>
  <c r="CE109" i="14"/>
  <c r="CF109" i="14"/>
  <c r="CG109" i="14"/>
  <c r="CH109" i="14"/>
  <c r="CI109" i="14"/>
  <c r="CJ109" i="14"/>
  <c r="CK109" i="14"/>
  <c r="CL109" i="14"/>
  <c r="CM109" i="14"/>
  <c r="CN109" i="14"/>
  <c r="CO109" i="14"/>
  <c r="CP109" i="14"/>
  <c r="CQ109" i="14"/>
  <c r="CR109" i="14"/>
  <c r="CS109" i="14"/>
  <c r="CT109" i="14"/>
  <c r="CU109" i="14"/>
  <c r="CV109" i="14"/>
  <c r="CW109" i="14"/>
  <c r="CX109" i="14"/>
  <c r="CY109" i="14"/>
  <c r="CZ109" i="14"/>
  <c r="DA109" i="14"/>
  <c r="DB109" i="14"/>
  <c r="DH109" i="14"/>
  <c r="DI109" i="14"/>
  <c r="DJ109" i="14"/>
  <c r="H110" i="14"/>
  <c r="I110" i="14"/>
  <c r="J110" i="14"/>
  <c r="K110" i="14"/>
  <c r="L110" i="14"/>
  <c r="M110" i="14"/>
  <c r="N110" i="14"/>
  <c r="O110" i="14"/>
  <c r="P110" i="14"/>
  <c r="Q110" i="14"/>
  <c r="R110" i="14"/>
  <c r="S110" i="14"/>
  <c r="T110" i="14"/>
  <c r="U110" i="14"/>
  <c r="V110" i="14"/>
  <c r="W110" i="14"/>
  <c r="X110" i="14"/>
  <c r="Y110" i="14"/>
  <c r="Z110" i="14"/>
  <c r="AA110" i="14"/>
  <c r="AB110" i="14"/>
  <c r="AC110" i="14"/>
  <c r="AD110" i="14"/>
  <c r="AE110" i="14"/>
  <c r="AG110" i="14"/>
  <c r="AH110" i="14"/>
  <c r="AI110" i="14"/>
  <c r="AJ110" i="14"/>
  <c r="AK110" i="14"/>
  <c r="AL110" i="14"/>
  <c r="AM110" i="14"/>
  <c r="AN110" i="14"/>
  <c r="AO110" i="14"/>
  <c r="AP110" i="14"/>
  <c r="AQ110" i="14"/>
  <c r="AR110" i="14"/>
  <c r="AS110" i="14"/>
  <c r="AT110" i="14"/>
  <c r="AU110" i="14"/>
  <c r="AV110" i="14"/>
  <c r="AW110" i="14"/>
  <c r="AX110" i="14"/>
  <c r="AY110" i="14"/>
  <c r="AZ110" i="14"/>
  <c r="BA110" i="14"/>
  <c r="BB110" i="14"/>
  <c r="BC110" i="14"/>
  <c r="BD110" i="14"/>
  <c r="BF110" i="14"/>
  <c r="BG110" i="14"/>
  <c r="BH110" i="14"/>
  <c r="BI110" i="14"/>
  <c r="BJ110" i="14"/>
  <c r="BK110" i="14"/>
  <c r="BL110" i="14"/>
  <c r="BM110" i="14"/>
  <c r="BN110" i="14"/>
  <c r="BO110" i="14"/>
  <c r="BP110" i="14"/>
  <c r="BQ110" i="14"/>
  <c r="BR110" i="14"/>
  <c r="BS110" i="14"/>
  <c r="BT110" i="14"/>
  <c r="BU110" i="14"/>
  <c r="BV110" i="14"/>
  <c r="BW110" i="14"/>
  <c r="BX110" i="14"/>
  <c r="BY110" i="14"/>
  <c r="BZ110" i="14"/>
  <c r="CA110" i="14"/>
  <c r="CB110" i="14"/>
  <c r="CC110" i="14"/>
  <c r="CE110" i="14"/>
  <c r="CF110" i="14"/>
  <c r="CG110" i="14"/>
  <c r="CH110" i="14"/>
  <c r="CI110" i="14"/>
  <c r="CJ110" i="14"/>
  <c r="CK110" i="14"/>
  <c r="CL110" i="14"/>
  <c r="CM110" i="14"/>
  <c r="CN110" i="14"/>
  <c r="CO110" i="14"/>
  <c r="CP110" i="14"/>
  <c r="CQ110" i="14"/>
  <c r="CR110" i="14"/>
  <c r="CS110" i="14"/>
  <c r="CT110" i="14"/>
  <c r="CU110" i="14"/>
  <c r="CV110" i="14"/>
  <c r="CW110" i="14"/>
  <c r="CX110" i="14"/>
  <c r="CY110" i="14"/>
  <c r="CZ110" i="14"/>
  <c r="DA110" i="14"/>
  <c r="DB110" i="14"/>
  <c r="DH110" i="14"/>
  <c r="DI110" i="14"/>
  <c r="DJ110" i="14"/>
  <c r="H111" i="14"/>
  <c r="I111" i="14"/>
  <c r="J111" i="14"/>
  <c r="K111" i="14"/>
  <c r="L111" i="14"/>
  <c r="M111" i="14"/>
  <c r="N111" i="14"/>
  <c r="O111" i="14"/>
  <c r="P111" i="14"/>
  <c r="Q111" i="14"/>
  <c r="R111" i="14"/>
  <c r="S111" i="14"/>
  <c r="T111" i="14"/>
  <c r="U111" i="14"/>
  <c r="V111" i="14"/>
  <c r="W111" i="14"/>
  <c r="X111" i="14"/>
  <c r="Y111" i="14"/>
  <c r="Z111" i="14"/>
  <c r="AA111" i="14"/>
  <c r="AB111" i="14"/>
  <c r="AC111" i="14"/>
  <c r="AD111" i="14"/>
  <c r="AE111" i="14"/>
  <c r="AG111" i="14"/>
  <c r="AH111" i="14"/>
  <c r="AI111" i="14"/>
  <c r="AJ111" i="14"/>
  <c r="AK111" i="14"/>
  <c r="AL111" i="14"/>
  <c r="AM111" i="14"/>
  <c r="AN111" i="14"/>
  <c r="AO111" i="14"/>
  <c r="AP111" i="14"/>
  <c r="AQ111" i="14"/>
  <c r="AR111" i="14"/>
  <c r="AS111" i="14"/>
  <c r="AT111" i="14"/>
  <c r="AU111" i="14"/>
  <c r="AV111" i="14"/>
  <c r="AW111" i="14"/>
  <c r="AX111" i="14"/>
  <c r="AY111" i="14"/>
  <c r="AZ111" i="14"/>
  <c r="BA111" i="14"/>
  <c r="BB111" i="14"/>
  <c r="BC111" i="14"/>
  <c r="BD111" i="14"/>
  <c r="BF111" i="14"/>
  <c r="BG111" i="14"/>
  <c r="BH111" i="14"/>
  <c r="BI111" i="14"/>
  <c r="BJ111" i="14"/>
  <c r="BK111" i="14"/>
  <c r="BL111" i="14"/>
  <c r="BM111" i="14"/>
  <c r="BN111" i="14"/>
  <c r="BO111" i="14"/>
  <c r="BP111" i="14"/>
  <c r="BQ111" i="14"/>
  <c r="BR111" i="14"/>
  <c r="BS111" i="14"/>
  <c r="BT111" i="14"/>
  <c r="BU111" i="14"/>
  <c r="BV111" i="14"/>
  <c r="BW111" i="14"/>
  <c r="BX111" i="14"/>
  <c r="BY111" i="14"/>
  <c r="BZ111" i="14"/>
  <c r="CA111" i="14"/>
  <c r="CB111" i="14"/>
  <c r="CC111" i="14"/>
  <c r="CE111" i="14"/>
  <c r="CF111" i="14"/>
  <c r="CG111" i="14"/>
  <c r="CH111" i="14"/>
  <c r="CI111" i="14"/>
  <c r="CJ111" i="14"/>
  <c r="CK111" i="14"/>
  <c r="CL111" i="14"/>
  <c r="CM111" i="14"/>
  <c r="CN111" i="14"/>
  <c r="CO111" i="14"/>
  <c r="CP111" i="14"/>
  <c r="CQ111" i="14"/>
  <c r="CR111" i="14"/>
  <c r="CS111" i="14"/>
  <c r="CT111" i="14"/>
  <c r="CU111" i="14"/>
  <c r="CV111" i="14"/>
  <c r="CW111" i="14"/>
  <c r="CX111" i="14"/>
  <c r="CY111" i="14"/>
  <c r="CZ111" i="14"/>
  <c r="DA111" i="14"/>
  <c r="DB111" i="14"/>
  <c r="DH111" i="14"/>
  <c r="DI111" i="14"/>
  <c r="DJ111" i="14"/>
  <c r="H112" i="14"/>
  <c r="I112" i="14"/>
  <c r="J112" i="14"/>
  <c r="K112" i="14"/>
  <c r="L112" i="14"/>
  <c r="M112" i="14"/>
  <c r="N112" i="14"/>
  <c r="O112" i="14"/>
  <c r="P112" i="14"/>
  <c r="Q112" i="14"/>
  <c r="R112" i="14"/>
  <c r="S112" i="14"/>
  <c r="T112" i="14"/>
  <c r="U112" i="14"/>
  <c r="V112" i="14"/>
  <c r="W112" i="14"/>
  <c r="X112" i="14"/>
  <c r="Y112" i="14"/>
  <c r="Z112" i="14"/>
  <c r="AA112" i="14"/>
  <c r="AB112" i="14"/>
  <c r="AC112" i="14"/>
  <c r="AD112" i="14"/>
  <c r="AE112" i="14"/>
  <c r="AG112" i="14"/>
  <c r="AH112" i="14"/>
  <c r="AI112" i="14"/>
  <c r="AJ112" i="14"/>
  <c r="AK112" i="14"/>
  <c r="AL112" i="14"/>
  <c r="AM112" i="14"/>
  <c r="AN112" i="14"/>
  <c r="AO112" i="14"/>
  <c r="AP112" i="14"/>
  <c r="AQ112" i="14"/>
  <c r="AR112" i="14"/>
  <c r="AS112" i="14"/>
  <c r="AT112" i="14"/>
  <c r="AU112" i="14"/>
  <c r="AV112" i="14"/>
  <c r="AW112" i="14"/>
  <c r="AX112" i="14"/>
  <c r="AY112" i="14"/>
  <c r="AZ112" i="14"/>
  <c r="BA112" i="14"/>
  <c r="BB112" i="14"/>
  <c r="BC112" i="14"/>
  <c r="BD112" i="14"/>
  <c r="BF112" i="14"/>
  <c r="BG112" i="14"/>
  <c r="BH112" i="14"/>
  <c r="BI112" i="14"/>
  <c r="BJ112" i="14"/>
  <c r="BK112" i="14"/>
  <c r="BL112" i="14"/>
  <c r="BM112" i="14"/>
  <c r="BN112" i="14"/>
  <c r="BO112" i="14"/>
  <c r="BP112" i="14"/>
  <c r="BQ112" i="14"/>
  <c r="BR112" i="14"/>
  <c r="BS112" i="14"/>
  <c r="BT112" i="14"/>
  <c r="BU112" i="14"/>
  <c r="BV112" i="14"/>
  <c r="BW112" i="14"/>
  <c r="BX112" i="14"/>
  <c r="BY112" i="14"/>
  <c r="BZ112" i="14"/>
  <c r="CA112" i="14"/>
  <c r="CB112" i="14"/>
  <c r="CC112" i="14"/>
  <c r="CE112" i="14"/>
  <c r="CF112" i="14"/>
  <c r="CG112" i="14"/>
  <c r="CH112" i="14"/>
  <c r="CI112" i="14"/>
  <c r="CJ112" i="14"/>
  <c r="CK112" i="14"/>
  <c r="CL112" i="14"/>
  <c r="CM112" i="14"/>
  <c r="CN112" i="14"/>
  <c r="CO112" i="14"/>
  <c r="CP112" i="14"/>
  <c r="CQ112" i="14"/>
  <c r="CR112" i="14"/>
  <c r="CS112" i="14"/>
  <c r="CT112" i="14"/>
  <c r="CU112" i="14"/>
  <c r="CV112" i="14"/>
  <c r="CW112" i="14"/>
  <c r="CX112" i="14"/>
  <c r="CY112" i="14"/>
  <c r="CZ112" i="14"/>
  <c r="DA112" i="14"/>
  <c r="DB112" i="14"/>
  <c r="DH112" i="14"/>
  <c r="DI112" i="14"/>
  <c r="DJ112" i="14"/>
  <c r="H113" i="14"/>
  <c r="I113" i="14"/>
  <c r="J113" i="14"/>
  <c r="K113" i="14"/>
  <c r="L113" i="14"/>
  <c r="M113" i="14"/>
  <c r="N113" i="14"/>
  <c r="O113" i="14"/>
  <c r="P113" i="14"/>
  <c r="Q113" i="14"/>
  <c r="R113" i="14"/>
  <c r="S113" i="14"/>
  <c r="T113" i="14"/>
  <c r="U113" i="14"/>
  <c r="V113" i="14"/>
  <c r="W113" i="14"/>
  <c r="X113" i="14"/>
  <c r="Y113" i="14"/>
  <c r="Z113" i="14"/>
  <c r="AA113" i="14"/>
  <c r="AB113" i="14"/>
  <c r="AC113" i="14"/>
  <c r="AD113" i="14"/>
  <c r="AE113" i="14"/>
  <c r="AG113" i="14"/>
  <c r="AH113" i="14"/>
  <c r="AI113" i="14"/>
  <c r="AJ113" i="14"/>
  <c r="AK113" i="14"/>
  <c r="AL113" i="14"/>
  <c r="AM113" i="14"/>
  <c r="AN113" i="14"/>
  <c r="AO113" i="14"/>
  <c r="AP113" i="14"/>
  <c r="AQ113" i="14"/>
  <c r="AR113" i="14"/>
  <c r="AS113" i="14"/>
  <c r="AT113" i="14"/>
  <c r="AU113" i="14"/>
  <c r="AV113" i="14"/>
  <c r="AW113" i="14"/>
  <c r="AX113" i="14"/>
  <c r="AY113" i="14"/>
  <c r="AZ113" i="14"/>
  <c r="BA113" i="14"/>
  <c r="BB113" i="14"/>
  <c r="BC113" i="14"/>
  <c r="BD113" i="14"/>
  <c r="BF113" i="14"/>
  <c r="BG113" i="14"/>
  <c r="BH113" i="14"/>
  <c r="BI113" i="14"/>
  <c r="BJ113" i="14"/>
  <c r="BK113" i="14"/>
  <c r="BL113" i="14"/>
  <c r="BM113" i="14"/>
  <c r="BN113" i="14"/>
  <c r="BO113" i="14"/>
  <c r="BP113" i="14"/>
  <c r="BQ113" i="14"/>
  <c r="BR113" i="14"/>
  <c r="BS113" i="14"/>
  <c r="BT113" i="14"/>
  <c r="BU113" i="14"/>
  <c r="BV113" i="14"/>
  <c r="BW113" i="14"/>
  <c r="BX113" i="14"/>
  <c r="BY113" i="14"/>
  <c r="BZ113" i="14"/>
  <c r="CA113" i="14"/>
  <c r="CB113" i="14"/>
  <c r="CC113" i="14"/>
  <c r="CE113" i="14"/>
  <c r="CF113" i="14"/>
  <c r="CG113" i="14"/>
  <c r="CH113" i="14"/>
  <c r="CI113" i="14"/>
  <c r="CJ113" i="14"/>
  <c r="CK113" i="14"/>
  <c r="CL113" i="14"/>
  <c r="CM113" i="14"/>
  <c r="CN113" i="14"/>
  <c r="CO113" i="14"/>
  <c r="CP113" i="14"/>
  <c r="CQ113" i="14"/>
  <c r="CR113" i="14"/>
  <c r="CS113" i="14"/>
  <c r="CT113" i="14"/>
  <c r="CU113" i="14"/>
  <c r="CV113" i="14"/>
  <c r="CW113" i="14"/>
  <c r="CX113" i="14"/>
  <c r="CY113" i="14"/>
  <c r="CZ113" i="14"/>
  <c r="DA113" i="14"/>
  <c r="DB113" i="14"/>
  <c r="DH113" i="14"/>
  <c r="DI113" i="14"/>
  <c r="DJ113" i="14"/>
  <c r="H114" i="14"/>
  <c r="I114" i="14"/>
  <c r="J114" i="14"/>
  <c r="K114" i="14"/>
  <c r="L114" i="14"/>
  <c r="M114" i="14"/>
  <c r="N114" i="14"/>
  <c r="O114" i="14"/>
  <c r="P114" i="14"/>
  <c r="Q114" i="14"/>
  <c r="R114" i="14"/>
  <c r="S114" i="14"/>
  <c r="T114" i="14"/>
  <c r="U114" i="14"/>
  <c r="V114" i="14"/>
  <c r="W114" i="14"/>
  <c r="X114" i="14"/>
  <c r="Y114" i="14"/>
  <c r="Z114" i="14"/>
  <c r="AA114" i="14"/>
  <c r="AB114" i="14"/>
  <c r="AC114" i="14"/>
  <c r="AD114" i="14"/>
  <c r="AE114" i="14"/>
  <c r="AG114" i="14"/>
  <c r="AH114" i="14"/>
  <c r="AI114" i="14"/>
  <c r="AJ114" i="14"/>
  <c r="AK114" i="14"/>
  <c r="AL114" i="14"/>
  <c r="AM114" i="14"/>
  <c r="AN114" i="14"/>
  <c r="AO114" i="14"/>
  <c r="AP114" i="14"/>
  <c r="AQ114" i="14"/>
  <c r="AR114" i="14"/>
  <c r="AS114" i="14"/>
  <c r="AT114" i="14"/>
  <c r="AU114" i="14"/>
  <c r="AV114" i="14"/>
  <c r="AW114" i="14"/>
  <c r="AX114" i="14"/>
  <c r="AY114" i="14"/>
  <c r="AZ114" i="14"/>
  <c r="BA114" i="14"/>
  <c r="BB114" i="14"/>
  <c r="BC114" i="14"/>
  <c r="BD114" i="14"/>
  <c r="BF114" i="14"/>
  <c r="BG114" i="14"/>
  <c r="BH114" i="14"/>
  <c r="BI114" i="14"/>
  <c r="BJ114" i="14"/>
  <c r="BK114" i="14"/>
  <c r="BL114" i="14"/>
  <c r="BM114" i="14"/>
  <c r="BN114" i="14"/>
  <c r="BO114" i="14"/>
  <c r="BP114" i="14"/>
  <c r="BQ114" i="14"/>
  <c r="BR114" i="14"/>
  <c r="BS114" i="14"/>
  <c r="BT114" i="14"/>
  <c r="BU114" i="14"/>
  <c r="BV114" i="14"/>
  <c r="BW114" i="14"/>
  <c r="BX114" i="14"/>
  <c r="BY114" i="14"/>
  <c r="BZ114" i="14"/>
  <c r="CA114" i="14"/>
  <c r="CB114" i="14"/>
  <c r="CC114" i="14"/>
  <c r="CE114" i="14"/>
  <c r="CF114" i="14"/>
  <c r="CG114" i="14"/>
  <c r="CH114" i="14"/>
  <c r="CI114" i="14"/>
  <c r="CJ114" i="14"/>
  <c r="CK114" i="14"/>
  <c r="CL114" i="14"/>
  <c r="CM114" i="14"/>
  <c r="CN114" i="14"/>
  <c r="CO114" i="14"/>
  <c r="CP114" i="14"/>
  <c r="CQ114" i="14"/>
  <c r="CR114" i="14"/>
  <c r="CS114" i="14"/>
  <c r="CT114" i="14"/>
  <c r="CU114" i="14"/>
  <c r="CV114" i="14"/>
  <c r="CW114" i="14"/>
  <c r="CX114" i="14"/>
  <c r="CY114" i="14"/>
  <c r="CZ114" i="14"/>
  <c r="DA114" i="14"/>
  <c r="DB114" i="14"/>
  <c r="DH114" i="14"/>
  <c r="DI114" i="14"/>
  <c r="DJ114" i="14"/>
  <c r="H115" i="14"/>
  <c r="I115" i="14"/>
  <c r="J115" i="14"/>
  <c r="K115" i="14"/>
  <c r="L115" i="14"/>
  <c r="M115" i="14"/>
  <c r="N115" i="14"/>
  <c r="O115" i="14"/>
  <c r="P115" i="14"/>
  <c r="Q115" i="14"/>
  <c r="R115" i="14"/>
  <c r="S115" i="14"/>
  <c r="T115" i="14"/>
  <c r="U115" i="14"/>
  <c r="V115" i="14"/>
  <c r="W115" i="14"/>
  <c r="X115" i="14"/>
  <c r="Y115" i="14"/>
  <c r="Z115" i="14"/>
  <c r="AA115" i="14"/>
  <c r="AB115" i="14"/>
  <c r="AC115" i="14"/>
  <c r="AD115" i="14"/>
  <c r="AE115" i="14"/>
  <c r="AG115" i="14"/>
  <c r="AH115" i="14"/>
  <c r="AI115" i="14"/>
  <c r="AJ115" i="14"/>
  <c r="AK115" i="14"/>
  <c r="AL115" i="14"/>
  <c r="AM115" i="14"/>
  <c r="AN115" i="14"/>
  <c r="AO115" i="14"/>
  <c r="AP115" i="14"/>
  <c r="AQ115" i="14"/>
  <c r="AR115" i="14"/>
  <c r="AS115" i="14"/>
  <c r="AT115" i="14"/>
  <c r="AU115" i="14"/>
  <c r="AV115" i="14"/>
  <c r="AW115" i="14"/>
  <c r="AX115" i="14"/>
  <c r="AY115" i="14"/>
  <c r="AZ115" i="14"/>
  <c r="BA115" i="14"/>
  <c r="BB115" i="14"/>
  <c r="BC115" i="14"/>
  <c r="BD115" i="14"/>
  <c r="BF115" i="14"/>
  <c r="BG115" i="14"/>
  <c r="BH115" i="14"/>
  <c r="BI115" i="14"/>
  <c r="BJ115" i="14"/>
  <c r="BK115" i="14"/>
  <c r="BL115" i="14"/>
  <c r="BM115" i="14"/>
  <c r="BN115" i="14"/>
  <c r="BO115" i="14"/>
  <c r="BP115" i="14"/>
  <c r="BQ115" i="14"/>
  <c r="BR115" i="14"/>
  <c r="BS115" i="14"/>
  <c r="BT115" i="14"/>
  <c r="BU115" i="14"/>
  <c r="BV115" i="14"/>
  <c r="BW115" i="14"/>
  <c r="BX115" i="14"/>
  <c r="BY115" i="14"/>
  <c r="BZ115" i="14"/>
  <c r="CA115" i="14"/>
  <c r="CB115" i="14"/>
  <c r="CC115" i="14"/>
  <c r="CE115" i="14"/>
  <c r="CF115" i="14"/>
  <c r="CG115" i="14"/>
  <c r="CH115" i="14"/>
  <c r="CI115" i="14"/>
  <c r="CJ115" i="14"/>
  <c r="CK115" i="14"/>
  <c r="CL115" i="14"/>
  <c r="CM115" i="14"/>
  <c r="CN115" i="14"/>
  <c r="CO115" i="14"/>
  <c r="CP115" i="14"/>
  <c r="CQ115" i="14"/>
  <c r="CR115" i="14"/>
  <c r="CS115" i="14"/>
  <c r="CT115" i="14"/>
  <c r="CU115" i="14"/>
  <c r="CV115" i="14"/>
  <c r="CW115" i="14"/>
  <c r="CX115" i="14"/>
  <c r="CY115" i="14"/>
  <c r="CZ115" i="14"/>
  <c r="DA115" i="14"/>
  <c r="DB115" i="14"/>
  <c r="DH115" i="14"/>
  <c r="DI115" i="14"/>
  <c r="DJ115" i="14"/>
  <c r="H116" i="14"/>
  <c r="I116" i="14"/>
  <c r="J116" i="14"/>
  <c r="K116" i="14"/>
  <c r="L116" i="14"/>
  <c r="M116" i="14"/>
  <c r="N116" i="14"/>
  <c r="O116" i="14"/>
  <c r="P116" i="14"/>
  <c r="Q116" i="14"/>
  <c r="R116" i="14"/>
  <c r="S116" i="14"/>
  <c r="T116" i="14"/>
  <c r="U116" i="14"/>
  <c r="V116" i="14"/>
  <c r="W116" i="14"/>
  <c r="X116" i="14"/>
  <c r="Y116" i="14"/>
  <c r="Z116" i="14"/>
  <c r="AA116" i="14"/>
  <c r="AB116" i="14"/>
  <c r="AC116" i="14"/>
  <c r="AD116" i="14"/>
  <c r="AE116" i="14"/>
  <c r="AG116" i="14"/>
  <c r="AH116" i="14"/>
  <c r="AI116" i="14"/>
  <c r="AJ116" i="14"/>
  <c r="AK116" i="14"/>
  <c r="AL116" i="14"/>
  <c r="AM116" i="14"/>
  <c r="AN116" i="14"/>
  <c r="AO116" i="14"/>
  <c r="AP116" i="14"/>
  <c r="AQ116" i="14"/>
  <c r="AR116" i="14"/>
  <c r="AS116" i="14"/>
  <c r="AT116" i="14"/>
  <c r="AU116" i="14"/>
  <c r="AV116" i="14"/>
  <c r="AW116" i="14"/>
  <c r="AX116" i="14"/>
  <c r="AY116" i="14"/>
  <c r="AZ116" i="14"/>
  <c r="BA116" i="14"/>
  <c r="BB116" i="14"/>
  <c r="BC116" i="14"/>
  <c r="BD116" i="14"/>
  <c r="BF116" i="14"/>
  <c r="BG116" i="14"/>
  <c r="BH116" i="14"/>
  <c r="BI116" i="14"/>
  <c r="BJ116" i="14"/>
  <c r="BK116" i="14"/>
  <c r="BL116" i="14"/>
  <c r="BM116" i="14"/>
  <c r="BN116" i="14"/>
  <c r="BO116" i="14"/>
  <c r="BP116" i="14"/>
  <c r="BQ116" i="14"/>
  <c r="BR116" i="14"/>
  <c r="BS116" i="14"/>
  <c r="BT116" i="14"/>
  <c r="BU116" i="14"/>
  <c r="BV116" i="14"/>
  <c r="BW116" i="14"/>
  <c r="BX116" i="14"/>
  <c r="BY116" i="14"/>
  <c r="BZ116" i="14"/>
  <c r="CA116" i="14"/>
  <c r="CB116" i="14"/>
  <c r="CC116" i="14"/>
  <c r="CE116" i="14"/>
  <c r="CF116" i="14"/>
  <c r="CG116" i="14"/>
  <c r="CH116" i="14"/>
  <c r="CI116" i="14"/>
  <c r="CJ116" i="14"/>
  <c r="CK116" i="14"/>
  <c r="CL116" i="14"/>
  <c r="CM116" i="14"/>
  <c r="CN116" i="14"/>
  <c r="CO116" i="14"/>
  <c r="CP116" i="14"/>
  <c r="CQ116" i="14"/>
  <c r="CR116" i="14"/>
  <c r="CS116" i="14"/>
  <c r="CT116" i="14"/>
  <c r="CU116" i="14"/>
  <c r="CV116" i="14"/>
  <c r="CW116" i="14"/>
  <c r="CX116" i="14"/>
  <c r="CY116" i="14"/>
  <c r="CZ116" i="14"/>
  <c r="DA116" i="14"/>
  <c r="DB116" i="14"/>
  <c r="DH116" i="14"/>
  <c r="DI116" i="14"/>
  <c r="DJ116" i="14"/>
  <c r="H117" i="14"/>
  <c r="I117" i="14"/>
  <c r="J117" i="14"/>
  <c r="K117" i="14"/>
  <c r="L117" i="14"/>
  <c r="M117" i="14"/>
  <c r="N117" i="14"/>
  <c r="O117" i="14"/>
  <c r="P117" i="14"/>
  <c r="Q117" i="14"/>
  <c r="R117" i="14"/>
  <c r="S117" i="14"/>
  <c r="T117" i="14"/>
  <c r="U117" i="14"/>
  <c r="V117" i="14"/>
  <c r="W117" i="14"/>
  <c r="X117" i="14"/>
  <c r="Y117" i="14"/>
  <c r="Z117" i="14"/>
  <c r="AA117" i="14"/>
  <c r="AB117" i="14"/>
  <c r="AC117" i="14"/>
  <c r="AD117" i="14"/>
  <c r="AE117" i="14"/>
  <c r="AG117" i="14"/>
  <c r="AH117" i="14"/>
  <c r="AI117" i="14"/>
  <c r="AJ117" i="14"/>
  <c r="AK117" i="14"/>
  <c r="AL117" i="14"/>
  <c r="AM117" i="14"/>
  <c r="AN117" i="14"/>
  <c r="AO117" i="14"/>
  <c r="AP117" i="14"/>
  <c r="AQ117" i="14"/>
  <c r="AR117" i="14"/>
  <c r="AS117" i="14"/>
  <c r="AT117" i="14"/>
  <c r="AU117" i="14"/>
  <c r="AV117" i="14"/>
  <c r="AW117" i="14"/>
  <c r="AX117" i="14"/>
  <c r="AY117" i="14"/>
  <c r="AZ117" i="14"/>
  <c r="BA117" i="14"/>
  <c r="BB117" i="14"/>
  <c r="BC117" i="14"/>
  <c r="BD117" i="14"/>
  <c r="BF117" i="14"/>
  <c r="BG117" i="14"/>
  <c r="BH117" i="14"/>
  <c r="BI117" i="14"/>
  <c r="BJ117" i="14"/>
  <c r="BK117" i="14"/>
  <c r="BL117" i="14"/>
  <c r="BM117" i="14"/>
  <c r="BN117" i="14"/>
  <c r="BO117" i="14"/>
  <c r="BP117" i="14"/>
  <c r="BQ117" i="14"/>
  <c r="BR117" i="14"/>
  <c r="BS117" i="14"/>
  <c r="BT117" i="14"/>
  <c r="BU117" i="14"/>
  <c r="BV117" i="14"/>
  <c r="BW117" i="14"/>
  <c r="BX117" i="14"/>
  <c r="BY117" i="14"/>
  <c r="BZ117" i="14"/>
  <c r="CA117" i="14"/>
  <c r="CB117" i="14"/>
  <c r="CC117" i="14"/>
  <c r="CE117" i="14"/>
  <c r="CF117" i="14"/>
  <c r="CG117" i="14"/>
  <c r="CH117" i="14"/>
  <c r="CI117" i="14"/>
  <c r="CJ117" i="14"/>
  <c r="CK117" i="14"/>
  <c r="CL117" i="14"/>
  <c r="CM117" i="14"/>
  <c r="CN117" i="14"/>
  <c r="CO117" i="14"/>
  <c r="CP117" i="14"/>
  <c r="CQ117" i="14"/>
  <c r="CR117" i="14"/>
  <c r="CS117" i="14"/>
  <c r="CT117" i="14"/>
  <c r="CU117" i="14"/>
  <c r="CV117" i="14"/>
  <c r="CW117" i="14"/>
  <c r="CX117" i="14"/>
  <c r="CY117" i="14"/>
  <c r="CZ117" i="14"/>
  <c r="DA117" i="14"/>
  <c r="DB117" i="14"/>
  <c r="DH117" i="14"/>
  <c r="DI117" i="14"/>
  <c r="DJ117" i="14"/>
  <c r="H118" i="14"/>
  <c r="I118" i="14"/>
  <c r="J118" i="14"/>
  <c r="K118" i="14"/>
  <c r="L118" i="14"/>
  <c r="M118" i="14"/>
  <c r="N118" i="14"/>
  <c r="O118" i="14"/>
  <c r="P118" i="14"/>
  <c r="Q118" i="14"/>
  <c r="R118" i="14"/>
  <c r="S118" i="14"/>
  <c r="T118" i="14"/>
  <c r="U118" i="14"/>
  <c r="V118" i="14"/>
  <c r="W118" i="14"/>
  <c r="X118" i="14"/>
  <c r="Y118" i="14"/>
  <c r="Z118" i="14"/>
  <c r="AA118" i="14"/>
  <c r="AB118" i="14"/>
  <c r="AC118" i="14"/>
  <c r="AD118" i="14"/>
  <c r="AE118" i="14"/>
  <c r="AG118" i="14"/>
  <c r="AH118" i="14"/>
  <c r="AI118" i="14"/>
  <c r="AJ118" i="14"/>
  <c r="AK118" i="14"/>
  <c r="AL118" i="14"/>
  <c r="AM118" i="14"/>
  <c r="AN118" i="14"/>
  <c r="AO118" i="14"/>
  <c r="AP118" i="14"/>
  <c r="AQ118" i="14"/>
  <c r="AR118" i="14"/>
  <c r="AS118" i="14"/>
  <c r="AT118" i="14"/>
  <c r="AU118" i="14"/>
  <c r="AV118" i="14"/>
  <c r="AW118" i="14"/>
  <c r="AX118" i="14"/>
  <c r="AY118" i="14"/>
  <c r="AZ118" i="14"/>
  <c r="BA118" i="14"/>
  <c r="BB118" i="14"/>
  <c r="BC118" i="14"/>
  <c r="BD118" i="14"/>
  <c r="BF118" i="14"/>
  <c r="BG118" i="14"/>
  <c r="BH118" i="14"/>
  <c r="BI118" i="14"/>
  <c r="BJ118" i="14"/>
  <c r="BK118" i="14"/>
  <c r="BL118" i="14"/>
  <c r="BM118" i="14"/>
  <c r="BN118" i="14"/>
  <c r="BO118" i="14"/>
  <c r="BP118" i="14"/>
  <c r="BQ118" i="14"/>
  <c r="BR118" i="14"/>
  <c r="BS118" i="14"/>
  <c r="BT118" i="14"/>
  <c r="BU118" i="14"/>
  <c r="BV118" i="14"/>
  <c r="BW118" i="14"/>
  <c r="BX118" i="14"/>
  <c r="BY118" i="14"/>
  <c r="BZ118" i="14"/>
  <c r="CA118" i="14"/>
  <c r="CB118" i="14"/>
  <c r="CC118" i="14"/>
  <c r="CE118" i="14"/>
  <c r="CF118" i="14"/>
  <c r="CG118" i="14"/>
  <c r="CH118" i="14"/>
  <c r="CI118" i="14"/>
  <c r="CJ118" i="14"/>
  <c r="CK118" i="14"/>
  <c r="CL118" i="14"/>
  <c r="CM118" i="14"/>
  <c r="CN118" i="14"/>
  <c r="CO118" i="14"/>
  <c r="CP118" i="14"/>
  <c r="CQ118" i="14"/>
  <c r="CR118" i="14"/>
  <c r="CS118" i="14"/>
  <c r="CT118" i="14"/>
  <c r="CU118" i="14"/>
  <c r="CV118" i="14"/>
  <c r="CW118" i="14"/>
  <c r="CX118" i="14"/>
  <c r="CY118" i="14"/>
  <c r="CZ118" i="14"/>
  <c r="DA118" i="14"/>
  <c r="DB118" i="14"/>
  <c r="DH118" i="14"/>
  <c r="DI118" i="14"/>
  <c r="DJ118" i="14"/>
  <c r="H119" i="14"/>
  <c r="I119" i="14"/>
  <c r="J119" i="14"/>
  <c r="K119" i="14"/>
  <c r="L119" i="14"/>
  <c r="M119" i="14"/>
  <c r="N119" i="14"/>
  <c r="O119" i="14"/>
  <c r="P119" i="14"/>
  <c r="Q119" i="14"/>
  <c r="R119" i="14"/>
  <c r="S119" i="14"/>
  <c r="T119" i="14"/>
  <c r="U119" i="14"/>
  <c r="V119" i="14"/>
  <c r="W119" i="14"/>
  <c r="X119" i="14"/>
  <c r="Y119" i="14"/>
  <c r="Z119" i="14"/>
  <c r="AA119" i="14"/>
  <c r="AB119" i="14"/>
  <c r="AC119" i="14"/>
  <c r="AD119" i="14"/>
  <c r="AE119" i="14"/>
  <c r="AG119" i="14"/>
  <c r="AH119" i="14"/>
  <c r="AI119" i="14"/>
  <c r="AJ119" i="14"/>
  <c r="AK119" i="14"/>
  <c r="AL119" i="14"/>
  <c r="AM119" i="14"/>
  <c r="AN119" i="14"/>
  <c r="AO119" i="14"/>
  <c r="AP119" i="14"/>
  <c r="AQ119" i="14"/>
  <c r="AR119" i="14"/>
  <c r="AS119" i="14"/>
  <c r="AT119" i="14"/>
  <c r="AU119" i="14"/>
  <c r="AV119" i="14"/>
  <c r="AW119" i="14"/>
  <c r="AX119" i="14"/>
  <c r="AY119" i="14"/>
  <c r="AZ119" i="14"/>
  <c r="BA119" i="14"/>
  <c r="BB119" i="14"/>
  <c r="BC119" i="14"/>
  <c r="BD119" i="14"/>
  <c r="BF119" i="14"/>
  <c r="BG119" i="14"/>
  <c r="BH119" i="14"/>
  <c r="BI119" i="14"/>
  <c r="BJ119" i="14"/>
  <c r="BK119" i="14"/>
  <c r="BL119" i="14"/>
  <c r="BM119" i="14"/>
  <c r="BN119" i="14"/>
  <c r="BO119" i="14"/>
  <c r="BP119" i="14"/>
  <c r="BQ119" i="14"/>
  <c r="BR119" i="14"/>
  <c r="BS119" i="14"/>
  <c r="BT119" i="14"/>
  <c r="BU119" i="14"/>
  <c r="BV119" i="14"/>
  <c r="BW119" i="14"/>
  <c r="BX119" i="14"/>
  <c r="BY119" i="14"/>
  <c r="BZ119" i="14"/>
  <c r="CA119" i="14"/>
  <c r="CB119" i="14"/>
  <c r="CC119" i="14"/>
  <c r="CE119" i="14"/>
  <c r="CF119" i="14"/>
  <c r="CG119" i="14"/>
  <c r="CH119" i="14"/>
  <c r="CI119" i="14"/>
  <c r="CJ119" i="14"/>
  <c r="CK119" i="14"/>
  <c r="CL119" i="14"/>
  <c r="CM119" i="14"/>
  <c r="CN119" i="14"/>
  <c r="CO119" i="14"/>
  <c r="CP119" i="14"/>
  <c r="CQ119" i="14"/>
  <c r="CR119" i="14"/>
  <c r="CS119" i="14"/>
  <c r="CT119" i="14"/>
  <c r="CU119" i="14"/>
  <c r="CV119" i="14"/>
  <c r="CW119" i="14"/>
  <c r="CX119" i="14"/>
  <c r="CY119" i="14"/>
  <c r="CZ119" i="14"/>
  <c r="DA119" i="14"/>
  <c r="DB119" i="14"/>
  <c r="DH119" i="14"/>
  <c r="DI119" i="14"/>
  <c r="DJ119" i="14"/>
  <c r="H120" i="14"/>
  <c r="I120" i="14"/>
  <c r="J120" i="14"/>
  <c r="K120" i="14"/>
  <c r="L120" i="14"/>
  <c r="M120" i="14"/>
  <c r="N120" i="14"/>
  <c r="O120" i="14"/>
  <c r="P120" i="14"/>
  <c r="Q120" i="14"/>
  <c r="R120" i="14"/>
  <c r="S120" i="14"/>
  <c r="T120" i="14"/>
  <c r="U120" i="14"/>
  <c r="V120" i="14"/>
  <c r="W120" i="14"/>
  <c r="X120" i="14"/>
  <c r="Y120" i="14"/>
  <c r="Z120" i="14"/>
  <c r="AA120" i="14"/>
  <c r="AB120" i="14"/>
  <c r="AC120" i="14"/>
  <c r="AD120" i="14"/>
  <c r="AE120" i="14"/>
  <c r="AG120" i="14"/>
  <c r="AH120" i="14"/>
  <c r="AI120" i="14"/>
  <c r="AJ120" i="14"/>
  <c r="AK120" i="14"/>
  <c r="AL120" i="14"/>
  <c r="AM120" i="14"/>
  <c r="AN120" i="14"/>
  <c r="AO120" i="14"/>
  <c r="AP120" i="14"/>
  <c r="AQ120" i="14"/>
  <c r="AR120" i="14"/>
  <c r="AS120" i="14"/>
  <c r="AT120" i="14"/>
  <c r="AU120" i="14"/>
  <c r="AV120" i="14"/>
  <c r="AW120" i="14"/>
  <c r="AX120" i="14"/>
  <c r="AY120" i="14"/>
  <c r="AZ120" i="14"/>
  <c r="BA120" i="14"/>
  <c r="BB120" i="14"/>
  <c r="BC120" i="14"/>
  <c r="BD120" i="14"/>
  <c r="BF120" i="14"/>
  <c r="BG120" i="14"/>
  <c r="BH120" i="14"/>
  <c r="BI120" i="14"/>
  <c r="BJ120" i="14"/>
  <c r="BK120" i="14"/>
  <c r="BL120" i="14"/>
  <c r="BM120" i="14"/>
  <c r="BN120" i="14"/>
  <c r="BO120" i="14"/>
  <c r="BP120" i="14"/>
  <c r="BQ120" i="14"/>
  <c r="BR120" i="14"/>
  <c r="BS120" i="14"/>
  <c r="BT120" i="14"/>
  <c r="BU120" i="14"/>
  <c r="BV120" i="14"/>
  <c r="BW120" i="14"/>
  <c r="BX120" i="14"/>
  <c r="BY120" i="14"/>
  <c r="BZ120" i="14"/>
  <c r="CA120" i="14"/>
  <c r="CB120" i="14"/>
  <c r="CC120" i="14"/>
  <c r="CE120" i="14"/>
  <c r="CF120" i="14"/>
  <c r="CG120" i="14"/>
  <c r="CH120" i="14"/>
  <c r="CI120" i="14"/>
  <c r="CJ120" i="14"/>
  <c r="CK120" i="14"/>
  <c r="CL120" i="14"/>
  <c r="CM120" i="14"/>
  <c r="CN120" i="14"/>
  <c r="CO120" i="14"/>
  <c r="CP120" i="14"/>
  <c r="CQ120" i="14"/>
  <c r="CR120" i="14"/>
  <c r="CS120" i="14"/>
  <c r="CT120" i="14"/>
  <c r="CU120" i="14"/>
  <c r="CV120" i="14"/>
  <c r="CW120" i="14"/>
  <c r="CX120" i="14"/>
  <c r="CY120" i="14"/>
  <c r="CZ120" i="14"/>
  <c r="DA120" i="14"/>
  <c r="DB120" i="14"/>
  <c r="DH120" i="14"/>
  <c r="DI120" i="14"/>
  <c r="DJ120" i="14"/>
  <c r="H121" i="14"/>
  <c r="I121" i="14"/>
  <c r="J121" i="14"/>
  <c r="K121" i="14"/>
  <c r="L121" i="14"/>
  <c r="M121" i="14"/>
  <c r="N121" i="14"/>
  <c r="O121" i="14"/>
  <c r="P121" i="14"/>
  <c r="Q121" i="14"/>
  <c r="R121" i="14"/>
  <c r="S121" i="14"/>
  <c r="T121" i="14"/>
  <c r="U121" i="14"/>
  <c r="V121" i="14"/>
  <c r="W121" i="14"/>
  <c r="X121" i="14"/>
  <c r="Y121" i="14"/>
  <c r="Z121" i="14"/>
  <c r="AA121" i="14"/>
  <c r="AB121" i="14"/>
  <c r="AC121" i="14"/>
  <c r="AD121" i="14"/>
  <c r="AE121" i="14"/>
  <c r="AG121" i="14"/>
  <c r="AH121" i="14"/>
  <c r="AI121" i="14"/>
  <c r="AJ121" i="14"/>
  <c r="AK121" i="14"/>
  <c r="AL121" i="14"/>
  <c r="AM121" i="14"/>
  <c r="AN121" i="14"/>
  <c r="AO121" i="14"/>
  <c r="AP121" i="14"/>
  <c r="AQ121" i="14"/>
  <c r="AR121" i="14"/>
  <c r="AS121" i="14"/>
  <c r="AT121" i="14"/>
  <c r="AU121" i="14"/>
  <c r="AV121" i="14"/>
  <c r="AW121" i="14"/>
  <c r="AX121" i="14"/>
  <c r="AY121" i="14"/>
  <c r="AZ121" i="14"/>
  <c r="BA121" i="14"/>
  <c r="BB121" i="14"/>
  <c r="BC121" i="14"/>
  <c r="BD121" i="14"/>
  <c r="BF121" i="14"/>
  <c r="BG121" i="14"/>
  <c r="BH121" i="14"/>
  <c r="BI121" i="14"/>
  <c r="BJ121" i="14"/>
  <c r="BK121" i="14"/>
  <c r="BL121" i="14"/>
  <c r="BM121" i="14"/>
  <c r="BN121" i="14"/>
  <c r="BO121" i="14"/>
  <c r="BP121" i="14"/>
  <c r="BQ121" i="14"/>
  <c r="BR121" i="14"/>
  <c r="BS121" i="14"/>
  <c r="BT121" i="14"/>
  <c r="BU121" i="14"/>
  <c r="BV121" i="14"/>
  <c r="BW121" i="14"/>
  <c r="BX121" i="14"/>
  <c r="BY121" i="14"/>
  <c r="BZ121" i="14"/>
  <c r="CA121" i="14"/>
  <c r="CB121" i="14"/>
  <c r="CC121" i="14"/>
  <c r="CE121" i="14"/>
  <c r="CF121" i="14"/>
  <c r="CG121" i="14"/>
  <c r="CH121" i="14"/>
  <c r="CI121" i="14"/>
  <c r="CJ121" i="14"/>
  <c r="CK121" i="14"/>
  <c r="CL121" i="14"/>
  <c r="CM121" i="14"/>
  <c r="CN121" i="14"/>
  <c r="CO121" i="14"/>
  <c r="CP121" i="14"/>
  <c r="CQ121" i="14"/>
  <c r="CR121" i="14"/>
  <c r="CS121" i="14"/>
  <c r="CT121" i="14"/>
  <c r="CU121" i="14"/>
  <c r="CV121" i="14"/>
  <c r="CW121" i="14"/>
  <c r="CX121" i="14"/>
  <c r="CY121" i="14"/>
  <c r="CZ121" i="14"/>
  <c r="DA121" i="14"/>
  <c r="DB121" i="14"/>
  <c r="DH121" i="14"/>
  <c r="DI121" i="14"/>
  <c r="DJ121" i="14"/>
  <c r="H122" i="14"/>
  <c r="I122" i="14"/>
  <c r="J122" i="14"/>
  <c r="K122" i="14"/>
  <c r="L122" i="14"/>
  <c r="M122" i="14"/>
  <c r="N122" i="14"/>
  <c r="O122" i="14"/>
  <c r="P122" i="14"/>
  <c r="Q122" i="14"/>
  <c r="R122" i="14"/>
  <c r="S122" i="14"/>
  <c r="T122" i="14"/>
  <c r="U122" i="14"/>
  <c r="V122" i="14"/>
  <c r="W122" i="14"/>
  <c r="X122" i="14"/>
  <c r="Y122" i="14"/>
  <c r="Z122" i="14"/>
  <c r="AA122" i="14"/>
  <c r="AB122" i="14"/>
  <c r="AC122" i="14"/>
  <c r="AD122" i="14"/>
  <c r="AE122" i="14"/>
  <c r="AG122" i="14"/>
  <c r="AH122" i="14"/>
  <c r="AI122" i="14"/>
  <c r="AJ122" i="14"/>
  <c r="AK122" i="14"/>
  <c r="AL122" i="14"/>
  <c r="AM122" i="14"/>
  <c r="AN122" i="14"/>
  <c r="AO122" i="14"/>
  <c r="AP122" i="14"/>
  <c r="AQ122" i="14"/>
  <c r="AR122" i="14"/>
  <c r="AS122" i="14"/>
  <c r="AT122" i="14"/>
  <c r="AU122" i="14"/>
  <c r="AV122" i="14"/>
  <c r="AW122" i="14"/>
  <c r="AX122" i="14"/>
  <c r="AY122" i="14"/>
  <c r="AZ122" i="14"/>
  <c r="BA122" i="14"/>
  <c r="BB122" i="14"/>
  <c r="BC122" i="14"/>
  <c r="BD122" i="14"/>
  <c r="BF122" i="14"/>
  <c r="BG122" i="14"/>
  <c r="BH122" i="14"/>
  <c r="BI122" i="14"/>
  <c r="BJ122" i="14"/>
  <c r="BK122" i="14"/>
  <c r="BL122" i="14"/>
  <c r="BM122" i="14"/>
  <c r="BN122" i="14"/>
  <c r="BO122" i="14"/>
  <c r="BP122" i="14"/>
  <c r="BQ122" i="14"/>
  <c r="BR122" i="14"/>
  <c r="BS122" i="14"/>
  <c r="BT122" i="14"/>
  <c r="BU122" i="14"/>
  <c r="BV122" i="14"/>
  <c r="BW122" i="14"/>
  <c r="BX122" i="14"/>
  <c r="BY122" i="14"/>
  <c r="BZ122" i="14"/>
  <c r="CA122" i="14"/>
  <c r="CB122" i="14"/>
  <c r="CC122" i="14"/>
  <c r="CE122" i="14"/>
  <c r="CF122" i="14"/>
  <c r="CG122" i="14"/>
  <c r="CH122" i="14"/>
  <c r="CI122" i="14"/>
  <c r="CJ122" i="14"/>
  <c r="CK122" i="14"/>
  <c r="CL122" i="14"/>
  <c r="CM122" i="14"/>
  <c r="CN122" i="14"/>
  <c r="CO122" i="14"/>
  <c r="CP122" i="14"/>
  <c r="CQ122" i="14"/>
  <c r="CR122" i="14"/>
  <c r="CS122" i="14"/>
  <c r="CT122" i="14"/>
  <c r="CU122" i="14"/>
  <c r="CV122" i="14"/>
  <c r="CW122" i="14"/>
  <c r="CX122" i="14"/>
  <c r="CY122" i="14"/>
  <c r="CZ122" i="14"/>
  <c r="DA122" i="14"/>
  <c r="DB122" i="14"/>
  <c r="DH122" i="14"/>
  <c r="DI122" i="14"/>
  <c r="DJ122" i="14"/>
  <c r="H123" i="14"/>
  <c r="I123" i="14"/>
  <c r="J123" i="14"/>
  <c r="K123" i="14"/>
  <c r="L123" i="14"/>
  <c r="M123" i="14"/>
  <c r="N123" i="14"/>
  <c r="O123" i="14"/>
  <c r="P123" i="14"/>
  <c r="Q123" i="14"/>
  <c r="R123" i="14"/>
  <c r="S123" i="14"/>
  <c r="T123" i="14"/>
  <c r="U123" i="14"/>
  <c r="V123" i="14"/>
  <c r="W123" i="14"/>
  <c r="X123" i="14"/>
  <c r="Y123" i="14"/>
  <c r="Z123" i="14"/>
  <c r="AA123" i="14"/>
  <c r="AB123" i="14"/>
  <c r="AC123" i="14"/>
  <c r="AD123" i="14"/>
  <c r="AE123" i="14"/>
  <c r="AG123" i="14"/>
  <c r="AH123" i="14"/>
  <c r="AI123" i="14"/>
  <c r="AJ123" i="14"/>
  <c r="AK123" i="14"/>
  <c r="AL123" i="14"/>
  <c r="AM123" i="14"/>
  <c r="AN123" i="14"/>
  <c r="AO123" i="14"/>
  <c r="AP123" i="14"/>
  <c r="AQ123" i="14"/>
  <c r="AR123" i="14"/>
  <c r="AS123" i="14"/>
  <c r="AT123" i="14"/>
  <c r="AU123" i="14"/>
  <c r="AV123" i="14"/>
  <c r="AW123" i="14"/>
  <c r="AX123" i="14"/>
  <c r="AY123" i="14"/>
  <c r="AZ123" i="14"/>
  <c r="BA123" i="14"/>
  <c r="BB123" i="14"/>
  <c r="BC123" i="14"/>
  <c r="BD123" i="14"/>
  <c r="BF123" i="14"/>
  <c r="BG123" i="14"/>
  <c r="BH123" i="14"/>
  <c r="BI123" i="14"/>
  <c r="BJ123" i="14"/>
  <c r="BK123" i="14"/>
  <c r="BL123" i="14"/>
  <c r="BM123" i="14"/>
  <c r="BN123" i="14"/>
  <c r="BO123" i="14"/>
  <c r="BP123" i="14"/>
  <c r="BQ123" i="14"/>
  <c r="BR123" i="14"/>
  <c r="BS123" i="14"/>
  <c r="BT123" i="14"/>
  <c r="BU123" i="14"/>
  <c r="BV123" i="14"/>
  <c r="BW123" i="14"/>
  <c r="BX123" i="14"/>
  <c r="BY123" i="14"/>
  <c r="BZ123" i="14"/>
  <c r="CA123" i="14"/>
  <c r="CB123" i="14"/>
  <c r="CC123" i="14"/>
  <c r="CE123" i="14"/>
  <c r="CF123" i="14"/>
  <c r="CG123" i="14"/>
  <c r="CH123" i="14"/>
  <c r="CI123" i="14"/>
  <c r="CJ123" i="14"/>
  <c r="CK123" i="14"/>
  <c r="CL123" i="14"/>
  <c r="CM123" i="14"/>
  <c r="CN123" i="14"/>
  <c r="CO123" i="14"/>
  <c r="CP123" i="14"/>
  <c r="CQ123" i="14"/>
  <c r="CR123" i="14"/>
  <c r="CS123" i="14"/>
  <c r="CT123" i="14"/>
  <c r="CU123" i="14"/>
  <c r="CV123" i="14"/>
  <c r="CW123" i="14"/>
  <c r="CX123" i="14"/>
  <c r="CY123" i="14"/>
  <c r="CZ123" i="14"/>
  <c r="DA123" i="14"/>
  <c r="DB123" i="14"/>
  <c r="DH123" i="14"/>
  <c r="DI123" i="14"/>
  <c r="DJ123" i="14"/>
  <c r="H124" i="14"/>
  <c r="I124" i="14"/>
  <c r="J124" i="14"/>
  <c r="K124" i="14"/>
  <c r="L124" i="14"/>
  <c r="M124" i="14"/>
  <c r="N124" i="14"/>
  <c r="O124" i="14"/>
  <c r="P124" i="14"/>
  <c r="Q124" i="14"/>
  <c r="R124" i="14"/>
  <c r="S124" i="14"/>
  <c r="T124" i="14"/>
  <c r="U124" i="14"/>
  <c r="V124" i="14"/>
  <c r="W124" i="14"/>
  <c r="X124" i="14"/>
  <c r="Y124" i="14"/>
  <c r="Z124" i="14"/>
  <c r="AA124" i="14"/>
  <c r="AB124" i="14"/>
  <c r="AC124" i="14"/>
  <c r="AD124" i="14"/>
  <c r="AE124" i="14"/>
  <c r="AG124" i="14"/>
  <c r="AH124" i="14"/>
  <c r="AI124" i="14"/>
  <c r="AJ124" i="14"/>
  <c r="AK124" i="14"/>
  <c r="AL124" i="14"/>
  <c r="AM124" i="14"/>
  <c r="AN124" i="14"/>
  <c r="AO124" i="14"/>
  <c r="AP124" i="14"/>
  <c r="AQ124" i="14"/>
  <c r="AR124" i="14"/>
  <c r="AS124" i="14"/>
  <c r="AT124" i="14"/>
  <c r="AU124" i="14"/>
  <c r="AV124" i="14"/>
  <c r="AW124" i="14"/>
  <c r="AX124" i="14"/>
  <c r="AY124" i="14"/>
  <c r="AZ124" i="14"/>
  <c r="BA124" i="14"/>
  <c r="BB124" i="14"/>
  <c r="BC124" i="14"/>
  <c r="BD124" i="14"/>
  <c r="BF124" i="14"/>
  <c r="BG124" i="14"/>
  <c r="BH124" i="14"/>
  <c r="BI124" i="14"/>
  <c r="BJ124" i="14"/>
  <c r="BK124" i="14"/>
  <c r="BL124" i="14"/>
  <c r="BM124" i="14"/>
  <c r="BN124" i="14"/>
  <c r="BO124" i="14"/>
  <c r="BP124" i="14"/>
  <c r="BQ124" i="14"/>
  <c r="BR124" i="14"/>
  <c r="BS124" i="14"/>
  <c r="BT124" i="14"/>
  <c r="BU124" i="14"/>
  <c r="BV124" i="14"/>
  <c r="BW124" i="14"/>
  <c r="BX124" i="14"/>
  <c r="BY124" i="14"/>
  <c r="BZ124" i="14"/>
  <c r="CA124" i="14"/>
  <c r="CB124" i="14"/>
  <c r="CC124" i="14"/>
  <c r="CE124" i="14"/>
  <c r="CF124" i="14"/>
  <c r="CG124" i="14"/>
  <c r="CH124" i="14"/>
  <c r="CI124" i="14"/>
  <c r="CJ124" i="14"/>
  <c r="CK124" i="14"/>
  <c r="CL124" i="14"/>
  <c r="CM124" i="14"/>
  <c r="CN124" i="14"/>
  <c r="CO124" i="14"/>
  <c r="CP124" i="14"/>
  <c r="CQ124" i="14"/>
  <c r="CR124" i="14"/>
  <c r="CS124" i="14"/>
  <c r="CT124" i="14"/>
  <c r="CU124" i="14"/>
  <c r="CV124" i="14"/>
  <c r="CW124" i="14"/>
  <c r="CX124" i="14"/>
  <c r="CY124" i="14"/>
  <c r="CZ124" i="14"/>
  <c r="DA124" i="14"/>
  <c r="DB124" i="14"/>
  <c r="DH124" i="14"/>
  <c r="DI124" i="14"/>
  <c r="DJ124" i="14"/>
  <c r="H125" i="14"/>
  <c r="I125" i="14"/>
  <c r="J125" i="14"/>
  <c r="K125" i="14"/>
  <c r="L125" i="14"/>
  <c r="M125" i="14"/>
  <c r="N125" i="14"/>
  <c r="O125" i="14"/>
  <c r="P125" i="14"/>
  <c r="Q125" i="14"/>
  <c r="R125" i="14"/>
  <c r="S125" i="14"/>
  <c r="T125" i="14"/>
  <c r="U125" i="14"/>
  <c r="V125" i="14"/>
  <c r="W125" i="14"/>
  <c r="X125" i="14"/>
  <c r="Y125" i="14"/>
  <c r="Z125" i="14"/>
  <c r="AA125" i="14"/>
  <c r="AB125" i="14"/>
  <c r="AC125" i="14"/>
  <c r="AD125" i="14"/>
  <c r="AE125" i="14"/>
  <c r="AG125" i="14"/>
  <c r="AH125" i="14"/>
  <c r="AI125" i="14"/>
  <c r="AJ125" i="14"/>
  <c r="AK125" i="14"/>
  <c r="AL125" i="14"/>
  <c r="AM125" i="14"/>
  <c r="AN125" i="14"/>
  <c r="AO125" i="14"/>
  <c r="AP125" i="14"/>
  <c r="AQ125" i="14"/>
  <c r="AR125" i="14"/>
  <c r="AS125" i="14"/>
  <c r="AT125" i="14"/>
  <c r="AU125" i="14"/>
  <c r="AV125" i="14"/>
  <c r="AW125" i="14"/>
  <c r="AX125" i="14"/>
  <c r="AY125" i="14"/>
  <c r="AZ125" i="14"/>
  <c r="BA125" i="14"/>
  <c r="BB125" i="14"/>
  <c r="BC125" i="14"/>
  <c r="BD125" i="14"/>
  <c r="BF125" i="14"/>
  <c r="BG125" i="14"/>
  <c r="BH125" i="14"/>
  <c r="BI125" i="14"/>
  <c r="BJ125" i="14"/>
  <c r="BK125" i="14"/>
  <c r="BL125" i="14"/>
  <c r="BM125" i="14"/>
  <c r="BN125" i="14"/>
  <c r="BO125" i="14"/>
  <c r="BP125" i="14"/>
  <c r="BQ125" i="14"/>
  <c r="BR125" i="14"/>
  <c r="BS125" i="14"/>
  <c r="BT125" i="14"/>
  <c r="BU125" i="14"/>
  <c r="BV125" i="14"/>
  <c r="BW125" i="14"/>
  <c r="BX125" i="14"/>
  <c r="BY125" i="14"/>
  <c r="BZ125" i="14"/>
  <c r="CA125" i="14"/>
  <c r="CB125" i="14"/>
  <c r="CC125" i="14"/>
  <c r="CE125" i="14"/>
  <c r="CF125" i="14"/>
  <c r="CG125" i="14"/>
  <c r="CH125" i="14"/>
  <c r="CI125" i="14"/>
  <c r="CJ125" i="14"/>
  <c r="CK125" i="14"/>
  <c r="CL125" i="14"/>
  <c r="CM125" i="14"/>
  <c r="CN125" i="14"/>
  <c r="CO125" i="14"/>
  <c r="CP125" i="14"/>
  <c r="CQ125" i="14"/>
  <c r="CR125" i="14"/>
  <c r="CS125" i="14"/>
  <c r="CT125" i="14"/>
  <c r="CU125" i="14"/>
  <c r="CV125" i="14"/>
  <c r="CW125" i="14"/>
  <c r="CX125" i="14"/>
  <c r="CY125" i="14"/>
  <c r="CZ125" i="14"/>
  <c r="DA125" i="14"/>
  <c r="DB125" i="14"/>
  <c r="DH125" i="14"/>
  <c r="DI125" i="14"/>
  <c r="DJ125" i="14"/>
  <c r="A131" i="14"/>
  <c r="DJ131" i="14"/>
  <c r="A5" i="15"/>
  <c r="C5" i="15"/>
  <c r="A7" i="15"/>
  <c r="C7" i="15"/>
  <c r="A9" i="15"/>
  <c r="C9" i="15"/>
  <c r="A14" i="15"/>
  <c r="C14" i="15"/>
  <c r="A22" i="15"/>
  <c r="C22" i="15"/>
  <c r="A24" i="15"/>
  <c r="C24" i="15"/>
  <c r="A26" i="15"/>
  <c r="C26" i="15"/>
  <c r="D30" i="15"/>
  <c r="E30" i="15"/>
  <c r="F30" i="15"/>
  <c r="D31" i="15"/>
  <c r="E31" i="15"/>
  <c r="F31" i="15"/>
  <c r="D32" i="15"/>
  <c r="E32" i="15"/>
  <c r="F32" i="15"/>
  <c r="D33" i="15"/>
  <c r="E33" i="15"/>
  <c r="F33" i="15"/>
  <c r="D34" i="15"/>
  <c r="E34" i="15"/>
  <c r="F34" i="15"/>
  <c r="D35" i="15"/>
  <c r="E35" i="15"/>
  <c r="F35" i="15"/>
  <c r="D36" i="15"/>
  <c r="E36" i="15"/>
  <c r="F36" i="15"/>
  <c r="D37" i="15"/>
  <c r="E37" i="15"/>
  <c r="F37" i="15"/>
  <c r="D38" i="15"/>
  <c r="E38" i="15"/>
  <c r="F38" i="15"/>
  <c r="D39" i="15"/>
  <c r="E39" i="15"/>
  <c r="F39" i="15"/>
  <c r="D43" i="15"/>
  <c r="E43" i="15"/>
  <c r="F43" i="15"/>
  <c r="D44" i="15"/>
  <c r="E44" i="15"/>
  <c r="F44" i="15"/>
  <c r="D45" i="15"/>
  <c r="E45" i="15"/>
  <c r="F45" i="15"/>
  <c r="D46" i="15"/>
  <c r="E46" i="15"/>
  <c r="F46" i="15"/>
  <c r="D47" i="15"/>
  <c r="E47" i="15"/>
  <c r="F47" i="15"/>
  <c r="D48" i="15"/>
  <c r="E48" i="15"/>
  <c r="F48" i="15"/>
  <c r="D49" i="15"/>
  <c r="E49" i="15"/>
  <c r="F49" i="15"/>
  <c r="D50" i="15"/>
  <c r="E50" i="15"/>
  <c r="F50" i="15"/>
  <c r="D51" i="15"/>
  <c r="E51" i="15"/>
  <c r="F51" i="15"/>
  <c r="D52" i="15"/>
  <c r="E52" i="15"/>
  <c r="F52" i="15"/>
  <c r="D55" i="15"/>
  <c r="E55" i="15"/>
  <c r="F55" i="15"/>
  <c r="D56" i="15"/>
  <c r="E56" i="15"/>
  <c r="F56" i="15"/>
  <c r="D57" i="15"/>
  <c r="E57" i="15"/>
  <c r="F57" i="15"/>
  <c r="D58" i="15"/>
  <c r="E58" i="15"/>
  <c r="F58" i="15"/>
  <c r="D59" i="15"/>
  <c r="E59" i="15"/>
  <c r="F59" i="15"/>
  <c r="D60" i="15"/>
  <c r="E60" i="15"/>
  <c r="F60" i="15"/>
  <c r="D61" i="15"/>
  <c r="E61" i="15"/>
  <c r="F61" i="15"/>
  <c r="D62" i="15"/>
  <c r="E62" i="15"/>
  <c r="F62" i="15"/>
  <c r="D63" i="15"/>
  <c r="E63" i="15"/>
  <c r="F63" i="15"/>
  <c r="D64" i="15"/>
  <c r="E64" i="15"/>
  <c r="F64" i="15"/>
  <c r="AF5" i="4"/>
  <c r="AG5" i="4"/>
  <c r="AH5" i="4"/>
  <c r="AI5" i="4"/>
  <c r="AJ5" i="4"/>
  <c r="AK5" i="4"/>
  <c r="AL5" i="4"/>
  <c r="AM5" i="4"/>
  <c r="AN5" i="4"/>
  <c r="AO5" i="4"/>
  <c r="AP5" i="4"/>
  <c r="AQ5" i="4"/>
  <c r="AR5" i="4"/>
  <c r="AS5" i="4"/>
  <c r="AT5" i="4"/>
  <c r="AU5" i="4"/>
  <c r="AV5" i="4"/>
  <c r="AW5" i="4"/>
  <c r="AX5" i="4"/>
  <c r="AY5" i="4"/>
  <c r="AZ5" i="4"/>
  <c r="BA5" i="4"/>
  <c r="BB5" i="4"/>
  <c r="BC5" i="4"/>
  <c r="BD5" i="4"/>
  <c r="BE5" i="4"/>
  <c r="BF5" i="4"/>
  <c r="BG5" i="4"/>
  <c r="BH5" i="4"/>
  <c r="BK5" i="4"/>
  <c r="BL5" i="4"/>
  <c r="BM5" i="4"/>
  <c r="BN5" i="4"/>
  <c r="BO5" i="4"/>
  <c r="BP5" i="4"/>
  <c r="BQ5" i="4"/>
  <c r="BR5" i="4"/>
  <c r="BS5" i="4"/>
  <c r="BT5" i="4"/>
  <c r="BU5" i="4"/>
  <c r="BV5" i="4"/>
  <c r="BW5" i="4"/>
  <c r="BX5" i="4"/>
  <c r="BY5" i="4"/>
  <c r="BZ5" i="4"/>
  <c r="CA5" i="4"/>
  <c r="CB5" i="4"/>
  <c r="CC5" i="4"/>
  <c r="CD5" i="4"/>
  <c r="CE5" i="4"/>
  <c r="CF5" i="4"/>
  <c r="CG5" i="4"/>
  <c r="CH5" i="4"/>
  <c r="CI5" i="4"/>
  <c r="CJ5" i="4"/>
  <c r="CK5" i="4"/>
  <c r="CL5" i="4"/>
  <c r="CM5" i="4"/>
  <c r="CP5" i="4"/>
  <c r="CQ5" i="4"/>
  <c r="AF6" i="4"/>
  <c r="AG6" i="4"/>
  <c r="AH6" i="4"/>
  <c r="AI6" i="4"/>
  <c r="AJ6" i="4"/>
  <c r="AK6" i="4"/>
  <c r="AL6" i="4"/>
  <c r="AM6" i="4"/>
  <c r="AN6" i="4"/>
  <c r="AO6" i="4"/>
  <c r="AP6" i="4"/>
  <c r="AQ6" i="4"/>
  <c r="AR6" i="4"/>
  <c r="AS6" i="4"/>
  <c r="AT6" i="4"/>
  <c r="AU6" i="4"/>
  <c r="AV6" i="4"/>
  <c r="AW6" i="4"/>
  <c r="AX6" i="4"/>
  <c r="AY6" i="4"/>
  <c r="AZ6" i="4"/>
  <c r="BA6" i="4"/>
  <c r="BB6" i="4"/>
  <c r="BC6" i="4"/>
  <c r="BD6" i="4"/>
  <c r="BE6" i="4"/>
  <c r="BF6" i="4"/>
  <c r="BG6" i="4"/>
  <c r="BH6" i="4"/>
  <c r="BK6" i="4"/>
  <c r="BL6" i="4"/>
  <c r="BM6" i="4"/>
  <c r="BN6" i="4"/>
  <c r="BO6" i="4"/>
  <c r="BP6" i="4"/>
  <c r="BQ6" i="4"/>
  <c r="BR6" i="4"/>
  <c r="BS6" i="4"/>
  <c r="BT6" i="4"/>
  <c r="BU6" i="4"/>
  <c r="BV6" i="4"/>
  <c r="BW6" i="4"/>
  <c r="BX6" i="4"/>
  <c r="BY6" i="4"/>
  <c r="BZ6" i="4"/>
  <c r="CA6" i="4"/>
  <c r="CB6" i="4"/>
  <c r="CC6" i="4"/>
  <c r="CD6" i="4"/>
  <c r="CE6" i="4"/>
  <c r="CF6" i="4"/>
  <c r="CG6" i="4"/>
  <c r="CH6" i="4"/>
  <c r="CI6" i="4"/>
  <c r="CJ6" i="4"/>
  <c r="CK6" i="4"/>
  <c r="CL6" i="4"/>
  <c r="CM6" i="4"/>
  <c r="CP6" i="4"/>
  <c r="CQ6" i="4"/>
  <c r="AF7" i="4"/>
  <c r="AG7" i="4"/>
  <c r="AH7" i="4"/>
  <c r="AI7" i="4"/>
  <c r="AJ7" i="4"/>
  <c r="AK7" i="4"/>
  <c r="AL7" i="4"/>
  <c r="AM7" i="4"/>
  <c r="AN7" i="4"/>
  <c r="AO7" i="4"/>
  <c r="AP7" i="4"/>
  <c r="AQ7" i="4"/>
  <c r="AR7" i="4"/>
  <c r="AS7" i="4"/>
  <c r="AT7" i="4"/>
  <c r="AU7" i="4"/>
  <c r="AV7" i="4"/>
  <c r="AW7" i="4"/>
  <c r="AX7" i="4"/>
  <c r="AY7" i="4"/>
  <c r="AZ7" i="4"/>
  <c r="BA7" i="4"/>
  <c r="BB7" i="4"/>
  <c r="BC7" i="4"/>
  <c r="BD7" i="4"/>
  <c r="BE7" i="4"/>
  <c r="BF7" i="4"/>
  <c r="BG7" i="4"/>
  <c r="BH7" i="4"/>
  <c r="BK7" i="4"/>
  <c r="BL7" i="4"/>
  <c r="BM7" i="4"/>
  <c r="BN7" i="4"/>
  <c r="BO7" i="4"/>
  <c r="BP7" i="4"/>
  <c r="BQ7" i="4"/>
  <c r="BR7" i="4"/>
  <c r="BS7" i="4"/>
  <c r="BT7" i="4"/>
  <c r="BU7" i="4"/>
  <c r="BV7" i="4"/>
  <c r="BW7" i="4"/>
  <c r="BX7" i="4"/>
  <c r="BY7" i="4"/>
  <c r="BZ7" i="4"/>
  <c r="CA7" i="4"/>
  <c r="CB7" i="4"/>
  <c r="CC7" i="4"/>
  <c r="CD7" i="4"/>
  <c r="CE7" i="4"/>
  <c r="CF7" i="4"/>
  <c r="CG7" i="4"/>
  <c r="CH7" i="4"/>
  <c r="CI7" i="4"/>
  <c r="CJ7" i="4"/>
  <c r="CK7" i="4"/>
  <c r="CL7" i="4"/>
  <c r="CM7" i="4"/>
  <c r="CP7" i="4"/>
  <c r="CQ7" i="4"/>
  <c r="AF8" i="4"/>
  <c r="AG8" i="4"/>
  <c r="AH8" i="4"/>
  <c r="AI8" i="4"/>
  <c r="AJ8" i="4"/>
  <c r="AK8" i="4"/>
  <c r="AL8" i="4"/>
  <c r="AM8" i="4"/>
  <c r="AN8" i="4"/>
  <c r="AO8" i="4"/>
  <c r="AP8" i="4"/>
  <c r="AQ8" i="4"/>
  <c r="AR8" i="4"/>
  <c r="AS8" i="4"/>
  <c r="AT8" i="4"/>
  <c r="AU8" i="4"/>
  <c r="AV8" i="4"/>
  <c r="AW8" i="4"/>
  <c r="AX8" i="4"/>
  <c r="AY8" i="4"/>
  <c r="AZ8" i="4"/>
  <c r="BA8" i="4"/>
  <c r="BB8" i="4"/>
  <c r="BC8" i="4"/>
  <c r="BD8" i="4"/>
  <c r="BE8" i="4"/>
  <c r="BF8" i="4"/>
  <c r="BG8" i="4"/>
  <c r="BH8" i="4"/>
  <c r="BK8" i="4"/>
  <c r="BL8" i="4"/>
  <c r="BM8" i="4"/>
  <c r="BN8" i="4"/>
  <c r="BO8" i="4"/>
  <c r="BP8" i="4"/>
  <c r="BQ8" i="4"/>
  <c r="BR8" i="4"/>
  <c r="BS8" i="4"/>
  <c r="BT8" i="4"/>
  <c r="BU8" i="4"/>
  <c r="BV8" i="4"/>
  <c r="BW8" i="4"/>
  <c r="BX8" i="4"/>
  <c r="BY8" i="4"/>
  <c r="BZ8" i="4"/>
  <c r="CA8" i="4"/>
  <c r="CB8" i="4"/>
  <c r="CC8" i="4"/>
  <c r="CD8" i="4"/>
  <c r="CE8" i="4"/>
  <c r="CF8" i="4"/>
  <c r="CG8" i="4"/>
  <c r="CH8" i="4"/>
  <c r="CI8" i="4"/>
  <c r="CJ8" i="4"/>
  <c r="CK8" i="4"/>
  <c r="CL8" i="4"/>
  <c r="CM8" i="4"/>
  <c r="CP8" i="4"/>
  <c r="CQ8" i="4"/>
  <c r="AF9" i="4"/>
  <c r="AG9" i="4"/>
  <c r="AH9" i="4"/>
  <c r="AI9" i="4"/>
  <c r="AJ9" i="4"/>
  <c r="AK9" i="4"/>
  <c r="AL9" i="4"/>
  <c r="AM9" i="4"/>
  <c r="AN9" i="4"/>
  <c r="AO9" i="4"/>
  <c r="AP9" i="4"/>
  <c r="AQ9" i="4"/>
  <c r="AR9" i="4"/>
  <c r="AS9" i="4"/>
  <c r="AT9" i="4"/>
  <c r="AU9" i="4"/>
  <c r="AV9" i="4"/>
  <c r="AW9" i="4"/>
  <c r="AX9" i="4"/>
  <c r="AY9" i="4"/>
  <c r="AZ9" i="4"/>
  <c r="BA9" i="4"/>
  <c r="BB9" i="4"/>
  <c r="BC9" i="4"/>
  <c r="BD9" i="4"/>
  <c r="BE9" i="4"/>
  <c r="BF9" i="4"/>
  <c r="BG9" i="4"/>
  <c r="BH9" i="4"/>
  <c r="BK9" i="4"/>
  <c r="BL9" i="4"/>
  <c r="BM9" i="4"/>
  <c r="BN9" i="4"/>
  <c r="BO9" i="4"/>
  <c r="BP9" i="4"/>
  <c r="BQ9" i="4"/>
  <c r="BR9" i="4"/>
  <c r="BS9" i="4"/>
  <c r="BT9" i="4"/>
  <c r="BU9" i="4"/>
  <c r="BV9" i="4"/>
  <c r="BW9" i="4"/>
  <c r="BX9" i="4"/>
  <c r="BY9" i="4"/>
  <c r="BZ9" i="4"/>
  <c r="CA9" i="4"/>
  <c r="CB9" i="4"/>
  <c r="CC9" i="4"/>
  <c r="CD9" i="4"/>
  <c r="CE9" i="4"/>
  <c r="CF9" i="4"/>
  <c r="CG9" i="4"/>
  <c r="CH9" i="4"/>
  <c r="CI9" i="4"/>
  <c r="CJ9" i="4"/>
  <c r="CK9" i="4"/>
  <c r="CL9" i="4"/>
  <c r="CM9" i="4"/>
  <c r="CP9" i="4"/>
  <c r="CQ9" i="4"/>
  <c r="AF10" i="4"/>
  <c r="AG10" i="4"/>
  <c r="AH10" i="4"/>
  <c r="AI10" i="4"/>
  <c r="AJ10" i="4"/>
  <c r="AK10" i="4"/>
  <c r="AL10" i="4"/>
  <c r="AM10" i="4"/>
  <c r="AN10" i="4"/>
  <c r="AO10" i="4"/>
  <c r="AP10" i="4"/>
  <c r="AQ10" i="4"/>
  <c r="AR10" i="4"/>
  <c r="AS10" i="4"/>
  <c r="AT10" i="4"/>
  <c r="AU10" i="4"/>
  <c r="AV10" i="4"/>
  <c r="AW10" i="4"/>
  <c r="AX10" i="4"/>
  <c r="AY10" i="4"/>
  <c r="AZ10" i="4"/>
  <c r="BA10" i="4"/>
  <c r="BB10" i="4"/>
  <c r="BC10" i="4"/>
  <c r="BD10" i="4"/>
  <c r="BE10" i="4"/>
  <c r="BF10" i="4"/>
  <c r="BG10" i="4"/>
  <c r="BH10" i="4"/>
  <c r="BK10" i="4"/>
  <c r="BL10" i="4"/>
  <c r="BM10" i="4"/>
  <c r="BN10" i="4"/>
  <c r="BO10" i="4"/>
  <c r="BP10" i="4"/>
  <c r="BQ10" i="4"/>
  <c r="BR10" i="4"/>
  <c r="BS10" i="4"/>
  <c r="BT10" i="4"/>
  <c r="BU10" i="4"/>
  <c r="BV10" i="4"/>
  <c r="BW10" i="4"/>
  <c r="BX10" i="4"/>
  <c r="BY10" i="4"/>
  <c r="BZ10" i="4"/>
  <c r="CA10" i="4"/>
  <c r="CB10" i="4"/>
  <c r="CC10" i="4"/>
  <c r="CD10" i="4"/>
  <c r="CE10" i="4"/>
  <c r="CF10" i="4"/>
  <c r="CG10" i="4"/>
  <c r="CH10" i="4"/>
  <c r="CI10" i="4"/>
  <c r="CJ10" i="4"/>
  <c r="CK10" i="4"/>
  <c r="CL10" i="4"/>
  <c r="CM10" i="4"/>
  <c r="CP10" i="4"/>
  <c r="CQ10" i="4"/>
  <c r="AF11" i="4"/>
  <c r="AG11" i="4"/>
  <c r="AH11" i="4"/>
  <c r="AI11" i="4"/>
  <c r="AJ11" i="4"/>
  <c r="AK11" i="4"/>
  <c r="AL11" i="4"/>
  <c r="AM11" i="4"/>
  <c r="AN11" i="4"/>
  <c r="AO11" i="4"/>
  <c r="AP11" i="4"/>
  <c r="AQ11" i="4"/>
  <c r="AR11" i="4"/>
  <c r="AS11" i="4"/>
  <c r="AT11" i="4"/>
  <c r="AU11" i="4"/>
  <c r="AV11" i="4"/>
  <c r="AW11" i="4"/>
  <c r="AX11" i="4"/>
  <c r="AY11" i="4"/>
  <c r="AZ11" i="4"/>
  <c r="BA11" i="4"/>
  <c r="BB11" i="4"/>
  <c r="BC11" i="4"/>
  <c r="BD11" i="4"/>
  <c r="BE11" i="4"/>
  <c r="BF11" i="4"/>
  <c r="BG11" i="4"/>
  <c r="BH11" i="4"/>
  <c r="BK11" i="4"/>
  <c r="BL11" i="4"/>
  <c r="BM11" i="4"/>
  <c r="BN11" i="4"/>
  <c r="BO11" i="4"/>
  <c r="BP11" i="4"/>
  <c r="BQ11" i="4"/>
  <c r="BR11" i="4"/>
  <c r="BS11" i="4"/>
  <c r="BT11" i="4"/>
  <c r="BU11" i="4"/>
  <c r="BV11" i="4"/>
  <c r="BW11" i="4"/>
  <c r="BX11" i="4"/>
  <c r="BY11" i="4"/>
  <c r="BZ11" i="4"/>
  <c r="CA11" i="4"/>
  <c r="CB11" i="4"/>
  <c r="CC11" i="4"/>
  <c r="CD11" i="4"/>
  <c r="CE11" i="4"/>
  <c r="CF11" i="4"/>
  <c r="CG11" i="4"/>
  <c r="CH11" i="4"/>
  <c r="CI11" i="4"/>
  <c r="CJ11" i="4"/>
  <c r="CK11" i="4"/>
  <c r="CL11" i="4"/>
  <c r="CM11" i="4"/>
  <c r="CP11" i="4"/>
  <c r="CQ11" i="4"/>
  <c r="AF12" i="4"/>
  <c r="AG12" i="4"/>
  <c r="AH12" i="4"/>
  <c r="AI12" i="4"/>
  <c r="AJ12" i="4"/>
  <c r="AK12" i="4"/>
  <c r="AL12" i="4"/>
  <c r="AM12" i="4"/>
  <c r="AN12" i="4"/>
  <c r="AO12" i="4"/>
  <c r="AP12" i="4"/>
  <c r="AQ12" i="4"/>
  <c r="AR12" i="4"/>
  <c r="AS12" i="4"/>
  <c r="AT12" i="4"/>
  <c r="AU12" i="4"/>
  <c r="AV12" i="4"/>
  <c r="AW12" i="4"/>
  <c r="AX12" i="4"/>
  <c r="AY12" i="4"/>
  <c r="AZ12" i="4"/>
  <c r="BA12" i="4"/>
  <c r="BB12" i="4"/>
  <c r="BC12" i="4"/>
  <c r="BD12" i="4"/>
  <c r="BE12" i="4"/>
  <c r="BF12" i="4"/>
  <c r="BG12" i="4"/>
  <c r="BH12" i="4"/>
  <c r="BK12" i="4"/>
  <c r="BL12" i="4"/>
  <c r="BM12" i="4"/>
  <c r="BN12" i="4"/>
  <c r="BO12" i="4"/>
  <c r="BP12" i="4"/>
  <c r="BQ12" i="4"/>
  <c r="BR12" i="4"/>
  <c r="BS12" i="4"/>
  <c r="BT12" i="4"/>
  <c r="BU12" i="4"/>
  <c r="BV12" i="4"/>
  <c r="BW12" i="4"/>
  <c r="BX12" i="4"/>
  <c r="BY12" i="4"/>
  <c r="BZ12" i="4"/>
  <c r="CA12" i="4"/>
  <c r="CB12" i="4"/>
  <c r="CC12" i="4"/>
  <c r="CD12" i="4"/>
  <c r="CE12" i="4"/>
  <c r="CF12" i="4"/>
  <c r="CG12" i="4"/>
  <c r="CH12" i="4"/>
  <c r="CI12" i="4"/>
  <c r="CJ12" i="4"/>
  <c r="CK12" i="4"/>
  <c r="CL12" i="4"/>
  <c r="CM12" i="4"/>
  <c r="CP12" i="4"/>
  <c r="CQ12" i="4"/>
  <c r="AF13" i="4"/>
  <c r="AG13" i="4"/>
  <c r="AH13" i="4"/>
  <c r="AI13" i="4"/>
  <c r="AJ13" i="4"/>
  <c r="AK13" i="4"/>
  <c r="AL13" i="4"/>
  <c r="AM13" i="4"/>
  <c r="AN13" i="4"/>
  <c r="AO13" i="4"/>
  <c r="AP13" i="4"/>
  <c r="AQ13" i="4"/>
  <c r="AR13" i="4"/>
  <c r="AS13" i="4"/>
  <c r="AT13" i="4"/>
  <c r="AU13" i="4"/>
  <c r="AV13" i="4"/>
  <c r="AW13" i="4"/>
  <c r="AX13" i="4"/>
  <c r="AY13" i="4"/>
  <c r="AZ13" i="4"/>
  <c r="BA13" i="4"/>
  <c r="BB13" i="4"/>
  <c r="BC13" i="4"/>
  <c r="BD13" i="4"/>
  <c r="BE13" i="4"/>
  <c r="BF13" i="4"/>
  <c r="BG13" i="4"/>
  <c r="BH13" i="4"/>
  <c r="BK13" i="4"/>
  <c r="BL13" i="4"/>
  <c r="BM13" i="4"/>
  <c r="BN13" i="4"/>
  <c r="BO13" i="4"/>
  <c r="BP13" i="4"/>
  <c r="BQ13" i="4"/>
  <c r="BR13" i="4"/>
  <c r="BS13" i="4"/>
  <c r="BT13" i="4"/>
  <c r="BU13" i="4"/>
  <c r="BV13" i="4"/>
  <c r="BW13" i="4"/>
  <c r="BX13" i="4"/>
  <c r="BY13" i="4"/>
  <c r="BZ13" i="4"/>
  <c r="CA13" i="4"/>
  <c r="CB13" i="4"/>
  <c r="CC13" i="4"/>
  <c r="CD13" i="4"/>
  <c r="CE13" i="4"/>
  <c r="CF13" i="4"/>
  <c r="CG13" i="4"/>
  <c r="CH13" i="4"/>
  <c r="CI13" i="4"/>
  <c r="CJ13" i="4"/>
  <c r="CK13" i="4"/>
  <c r="CL13" i="4"/>
  <c r="CM13" i="4"/>
  <c r="CP13" i="4"/>
  <c r="CQ13" i="4"/>
  <c r="AF14" i="4"/>
  <c r="AG14" i="4"/>
  <c r="AH14" i="4"/>
  <c r="AI14" i="4"/>
  <c r="AJ14" i="4"/>
  <c r="AK14" i="4"/>
  <c r="AL14" i="4"/>
  <c r="AM14" i="4"/>
  <c r="AN14" i="4"/>
  <c r="AO14" i="4"/>
  <c r="AP14" i="4"/>
  <c r="AQ14" i="4"/>
  <c r="AR14" i="4"/>
  <c r="AS14" i="4"/>
  <c r="AT14" i="4"/>
  <c r="AU14" i="4"/>
  <c r="AV14" i="4"/>
  <c r="AW14" i="4"/>
  <c r="AX14" i="4"/>
  <c r="AY14" i="4"/>
  <c r="AZ14" i="4"/>
  <c r="BA14" i="4"/>
  <c r="BB14" i="4"/>
  <c r="BC14" i="4"/>
  <c r="BD14" i="4"/>
  <c r="BE14" i="4"/>
  <c r="BF14" i="4"/>
  <c r="BG14" i="4"/>
  <c r="BH14" i="4"/>
  <c r="BK14" i="4"/>
  <c r="BL14" i="4"/>
  <c r="BM14" i="4"/>
  <c r="BN14" i="4"/>
  <c r="BO14" i="4"/>
  <c r="BP14" i="4"/>
  <c r="BQ14" i="4"/>
  <c r="BR14" i="4"/>
  <c r="BS14" i="4"/>
  <c r="BT14" i="4"/>
  <c r="BU14" i="4"/>
  <c r="BV14" i="4"/>
  <c r="BW14" i="4"/>
  <c r="BX14" i="4"/>
  <c r="BY14" i="4"/>
  <c r="BZ14" i="4"/>
  <c r="CA14" i="4"/>
  <c r="CB14" i="4"/>
  <c r="CC14" i="4"/>
  <c r="CD14" i="4"/>
  <c r="CE14" i="4"/>
  <c r="CF14" i="4"/>
  <c r="CG14" i="4"/>
  <c r="CH14" i="4"/>
  <c r="CI14" i="4"/>
  <c r="CJ14" i="4"/>
  <c r="CK14" i="4"/>
  <c r="CL14" i="4"/>
  <c r="CM14" i="4"/>
  <c r="CP14" i="4"/>
  <c r="CQ14" i="4"/>
  <c r="AF15" i="4"/>
  <c r="AG15" i="4"/>
  <c r="AH15" i="4"/>
  <c r="AI15" i="4"/>
  <c r="AJ15" i="4"/>
  <c r="AK15" i="4"/>
  <c r="AL15" i="4"/>
  <c r="AM15" i="4"/>
  <c r="AN15" i="4"/>
  <c r="AO15" i="4"/>
  <c r="AP15" i="4"/>
  <c r="AQ15" i="4"/>
  <c r="AR15" i="4"/>
  <c r="AS15" i="4"/>
  <c r="AT15" i="4"/>
  <c r="AU15" i="4"/>
  <c r="AV15" i="4"/>
  <c r="AW15" i="4"/>
  <c r="AX15" i="4"/>
  <c r="AY15" i="4"/>
  <c r="AZ15" i="4"/>
  <c r="BA15" i="4"/>
  <c r="BB15" i="4"/>
  <c r="BC15" i="4"/>
  <c r="BD15" i="4"/>
  <c r="BE15" i="4"/>
  <c r="BF15" i="4"/>
  <c r="BG15" i="4"/>
  <c r="BH15" i="4"/>
  <c r="BK15" i="4"/>
  <c r="BL15" i="4"/>
  <c r="BM15" i="4"/>
  <c r="BN15" i="4"/>
  <c r="BO15" i="4"/>
  <c r="BP15" i="4"/>
  <c r="BQ15" i="4"/>
  <c r="BR15" i="4"/>
  <c r="BS15" i="4"/>
  <c r="BT15" i="4"/>
  <c r="BU15" i="4"/>
  <c r="BV15" i="4"/>
  <c r="BW15" i="4"/>
  <c r="BX15" i="4"/>
  <c r="BY15" i="4"/>
  <c r="BZ15" i="4"/>
  <c r="CA15" i="4"/>
  <c r="CB15" i="4"/>
  <c r="CC15" i="4"/>
  <c r="CD15" i="4"/>
  <c r="CE15" i="4"/>
  <c r="CF15" i="4"/>
  <c r="CG15" i="4"/>
  <c r="CH15" i="4"/>
  <c r="CI15" i="4"/>
  <c r="CJ15" i="4"/>
  <c r="CK15" i="4"/>
  <c r="CL15" i="4"/>
  <c r="CM15" i="4"/>
  <c r="CP15" i="4"/>
  <c r="CQ15" i="4"/>
  <c r="AF16" i="4"/>
  <c r="AG16" i="4"/>
  <c r="AH16" i="4"/>
  <c r="AI16" i="4"/>
  <c r="AJ16" i="4"/>
  <c r="AK16" i="4"/>
  <c r="AL16" i="4"/>
  <c r="AM16" i="4"/>
  <c r="AN16" i="4"/>
  <c r="AO16" i="4"/>
  <c r="AP16" i="4"/>
  <c r="AQ16" i="4"/>
  <c r="AR16" i="4"/>
  <c r="AS16" i="4"/>
  <c r="AT16" i="4"/>
  <c r="AU16" i="4"/>
  <c r="AV16" i="4"/>
  <c r="AW16" i="4"/>
  <c r="AX16" i="4"/>
  <c r="AY16" i="4"/>
  <c r="AZ16" i="4"/>
  <c r="BA16" i="4"/>
  <c r="BB16" i="4"/>
  <c r="BC16" i="4"/>
  <c r="BD16" i="4"/>
  <c r="BE16" i="4"/>
  <c r="BF16" i="4"/>
  <c r="BG16" i="4"/>
  <c r="BH16" i="4"/>
  <c r="BK16" i="4"/>
  <c r="BL16" i="4"/>
  <c r="BM16" i="4"/>
  <c r="BN16" i="4"/>
  <c r="BO16" i="4"/>
  <c r="BP16" i="4"/>
  <c r="BQ16" i="4"/>
  <c r="BR16" i="4"/>
  <c r="BS16" i="4"/>
  <c r="BT16" i="4"/>
  <c r="BU16" i="4"/>
  <c r="BV16" i="4"/>
  <c r="BW16" i="4"/>
  <c r="BX16" i="4"/>
  <c r="BY16" i="4"/>
  <c r="BZ16" i="4"/>
  <c r="CA16" i="4"/>
  <c r="CB16" i="4"/>
  <c r="CC16" i="4"/>
  <c r="CD16" i="4"/>
  <c r="CE16" i="4"/>
  <c r="CF16" i="4"/>
  <c r="CG16" i="4"/>
  <c r="CH16" i="4"/>
  <c r="CI16" i="4"/>
  <c r="CJ16" i="4"/>
  <c r="CK16" i="4"/>
  <c r="CL16" i="4"/>
  <c r="CM16" i="4"/>
  <c r="CP16" i="4"/>
  <c r="CQ16" i="4"/>
  <c r="AF19" i="4"/>
  <c r="AG19" i="4"/>
  <c r="AH19" i="4"/>
  <c r="AI19" i="4"/>
  <c r="AJ19" i="4"/>
  <c r="AK19" i="4"/>
  <c r="AL19" i="4"/>
  <c r="AM19" i="4"/>
  <c r="AN19" i="4"/>
  <c r="AO19" i="4"/>
  <c r="AP19" i="4"/>
  <c r="AQ19" i="4"/>
  <c r="AR19" i="4"/>
  <c r="AS19" i="4"/>
  <c r="AT19" i="4"/>
  <c r="AU19" i="4"/>
  <c r="AV19" i="4"/>
  <c r="AW19" i="4"/>
  <c r="AX19" i="4"/>
  <c r="AY19" i="4"/>
  <c r="AZ19" i="4"/>
  <c r="BA19" i="4"/>
  <c r="BB19" i="4"/>
  <c r="BC19" i="4"/>
  <c r="BD19" i="4"/>
  <c r="BE19" i="4"/>
  <c r="BF19" i="4"/>
  <c r="BG19" i="4"/>
  <c r="BH19" i="4"/>
  <c r="BK19" i="4"/>
  <c r="BL19" i="4"/>
  <c r="BM19" i="4"/>
  <c r="BN19" i="4"/>
  <c r="BO19" i="4"/>
  <c r="BP19" i="4"/>
  <c r="BQ19" i="4"/>
  <c r="BR19" i="4"/>
  <c r="BS19" i="4"/>
  <c r="BT19" i="4"/>
  <c r="BU19" i="4"/>
  <c r="BV19" i="4"/>
  <c r="BW19" i="4"/>
  <c r="BX19" i="4"/>
  <c r="BY19" i="4"/>
  <c r="BZ19" i="4"/>
  <c r="CA19" i="4"/>
  <c r="CB19" i="4"/>
  <c r="CC19" i="4"/>
  <c r="CD19" i="4"/>
  <c r="CE19" i="4"/>
  <c r="CF19" i="4"/>
  <c r="CG19" i="4"/>
  <c r="CH19" i="4"/>
  <c r="CI19" i="4"/>
  <c r="CJ19" i="4"/>
  <c r="CK19" i="4"/>
  <c r="CL19" i="4"/>
  <c r="CM19" i="4"/>
  <c r="AF20" i="4"/>
  <c r="AG20" i="4"/>
  <c r="AH20" i="4"/>
  <c r="AI20" i="4"/>
  <c r="AJ20" i="4"/>
  <c r="AK20" i="4"/>
  <c r="AL20" i="4"/>
  <c r="AM20" i="4"/>
  <c r="AN20" i="4"/>
  <c r="AO20" i="4"/>
  <c r="AP20" i="4"/>
  <c r="AQ20" i="4"/>
  <c r="AR20" i="4"/>
  <c r="AS20" i="4"/>
  <c r="AT20" i="4"/>
  <c r="AU20" i="4"/>
  <c r="AV20" i="4"/>
  <c r="AW20" i="4"/>
  <c r="AX20" i="4"/>
  <c r="AY20" i="4"/>
  <c r="AZ20" i="4"/>
  <c r="BA20" i="4"/>
  <c r="BB20" i="4"/>
  <c r="BC20" i="4"/>
  <c r="BD20" i="4"/>
  <c r="BE20" i="4"/>
  <c r="BF20" i="4"/>
  <c r="BG20" i="4"/>
  <c r="BH20" i="4"/>
  <c r="BK20" i="4"/>
  <c r="BL20" i="4"/>
  <c r="BM20" i="4"/>
  <c r="BN20" i="4"/>
  <c r="BO20" i="4"/>
  <c r="BP20" i="4"/>
  <c r="BQ20" i="4"/>
  <c r="BR20" i="4"/>
  <c r="BS20" i="4"/>
  <c r="BT20" i="4"/>
  <c r="BU20" i="4"/>
  <c r="BV20" i="4"/>
  <c r="BW20" i="4"/>
  <c r="BX20" i="4"/>
  <c r="BY20" i="4"/>
  <c r="BZ20" i="4"/>
  <c r="CA20" i="4"/>
  <c r="CB20" i="4"/>
  <c r="CC20" i="4"/>
  <c r="CD20" i="4"/>
  <c r="CE20" i="4"/>
  <c r="CF20" i="4"/>
  <c r="CG20" i="4"/>
  <c r="CH20" i="4"/>
  <c r="CI20" i="4"/>
  <c r="CJ20" i="4"/>
  <c r="CK20" i="4"/>
  <c r="CL20" i="4"/>
  <c r="CM20" i="4"/>
  <c r="AF21" i="4"/>
  <c r="AG21" i="4"/>
  <c r="AH21" i="4"/>
  <c r="AI21" i="4"/>
  <c r="AJ21" i="4"/>
  <c r="AK21" i="4"/>
  <c r="AL21" i="4"/>
  <c r="AM21" i="4"/>
  <c r="AN21" i="4"/>
  <c r="AO21" i="4"/>
  <c r="AP21" i="4"/>
  <c r="AQ21" i="4"/>
  <c r="AR21" i="4"/>
  <c r="AS21" i="4"/>
  <c r="AT21" i="4"/>
  <c r="AU21" i="4"/>
  <c r="AV21" i="4"/>
  <c r="AW21" i="4"/>
  <c r="AX21" i="4"/>
  <c r="AY21" i="4"/>
  <c r="AZ21" i="4"/>
  <c r="BA21" i="4"/>
  <c r="BB21" i="4"/>
  <c r="BC21" i="4"/>
  <c r="BD21" i="4"/>
  <c r="BE21" i="4"/>
  <c r="BF21" i="4"/>
  <c r="BG21" i="4"/>
  <c r="BH21" i="4"/>
  <c r="BK21" i="4"/>
  <c r="BL21" i="4"/>
  <c r="BM21" i="4"/>
  <c r="BN21" i="4"/>
  <c r="BO21" i="4"/>
  <c r="BP21" i="4"/>
  <c r="BQ21" i="4"/>
  <c r="BR21" i="4"/>
  <c r="BS21" i="4"/>
  <c r="BT21" i="4"/>
  <c r="BU21" i="4"/>
  <c r="BV21" i="4"/>
  <c r="BW21" i="4"/>
  <c r="BX21" i="4"/>
  <c r="BY21" i="4"/>
  <c r="BZ21" i="4"/>
  <c r="CA21" i="4"/>
  <c r="CB21" i="4"/>
  <c r="CC21" i="4"/>
  <c r="CD21" i="4"/>
  <c r="CE21" i="4"/>
  <c r="CF21" i="4"/>
  <c r="CG21" i="4"/>
  <c r="CH21" i="4"/>
  <c r="CI21" i="4"/>
  <c r="CJ21" i="4"/>
  <c r="CK21" i="4"/>
  <c r="CL21" i="4"/>
  <c r="CM21" i="4"/>
  <c r="AF22" i="4"/>
  <c r="AG22" i="4"/>
  <c r="AH22" i="4"/>
  <c r="AI22" i="4"/>
  <c r="AJ22" i="4"/>
  <c r="AK22" i="4"/>
  <c r="AL22" i="4"/>
  <c r="AM22" i="4"/>
  <c r="AN22" i="4"/>
  <c r="AO22" i="4"/>
  <c r="AP22" i="4"/>
  <c r="AQ22" i="4"/>
  <c r="AR22" i="4"/>
  <c r="AS22" i="4"/>
  <c r="AT22" i="4"/>
  <c r="AU22" i="4"/>
  <c r="AV22" i="4"/>
  <c r="AW22" i="4"/>
  <c r="AX22" i="4"/>
  <c r="AY22" i="4"/>
  <c r="AZ22" i="4"/>
  <c r="BA22" i="4"/>
  <c r="BB22" i="4"/>
  <c r="BC22" i="4"/>
  <c r="BD22" i="4"/>
  <c r="BE22" i="4"/>
  <c r="BF22" i="4"/>
  <c r="BG22" i="4"/>
  <c r="BH22" i="4"/>
  <c r="BK22" i="4"/>
  <c r="BL22" i="4"/>
  <c r="BM22" i="4"/>
  <c r="BN22" i="4"/>
  <c r="BO22" i="4"/>
  <c r="BP22" i="4"/>
  <c r="BQ22" i="4"/>
  <c r="BR22" i="4"/>
  <c r="BS22" i="4"/>
  <c r="BT22" i="4"/>
  <c r="BU22" i="4"/>
  <c r="BV22" i="4"/>
  <c r="BW22" i="4"/>
  <c r="BX22" i="4"/>
  <c r="BY22" i="4"/>
  <c r="BZ22" i="4"/>
  <c r="CA22" i="4"/>
  <c r="CB22" i="4"/>
  <c r="CC22" i="4"/>
  <c r="CD22" i="4"/>
  <c r="CE22" i="4"/>
  <c r="CF22" i="4"/>
  <c r="CG22" i="4"/>
  <c r="CH22" i="4"/>
  <c r="CI22" i="4"/>
  <c r="CJ22" i="4"/>
  <c r="CK22" i="4"/>
  <c r="CL22" i="4"/>
  <c r="CM22" i="4"/>
  <c r="AF23" i="4"/>
  <c r="AG23" i="4"/>
  <c r="AH23" i="4"/>
  <c r="AI23" i="4"/>
  <c r="AJ23" i="4"/>
  <c r="AK23" i="4"/>
  <c r="AL23" i="4"/>
  <c r="AM23" i="4"/>
  <c r="AN23" i="4"/>
  <c r="AO23" i="4"/>
  <c r="AP23" i="4"/>
  <c r="AQ23" i="4"/>
  <c r="AR23" i="4"/>
  <c r="AS23" i="4"/>
  <c r="AT23" i="4"/>
  <c r="AU23" i="4"/>
  <c r="AV23" i="4"/>
  <c r="AW23" i="4"/>
  <c r="AX23" i="4"/>
  <c r="AY23" i="4"/>
  <c r="AZ23" i="4"/>
  <c r="BA23" i="4"/>
  <c r="BB23" i="4"/>
  <c r="BC23" i="4"/>
  <c r="BD23" i="4"/>
  <c r="BE23" i="4"/>
  <c r="BF23" i="4"/>
  <c r="BG23" i="4"/>
  <c r="BH23" i="4"/>
  <c r="BK23" i="4"/>
  <c r="BL23" i="4"/>
  <c r="BM23" i="4"/>
  <c r="BN23" i="4"/>
  <c r="BO23" i="4"/>
  <c r="BP23" i="4"/>
  <c r="BQ23" i="4"/>
  <c r="BR23" i="4"/>
  <c r="BS23" i="4"/>
  <c r="BT23" i="4"/>
  <c r="BU23" i="4"/>
  <c r="BV23" i="4"/>
  <c r="BW23" i="4"/>
  <c r="BX23" i="4"/>
  <c r="BY23" i="4"/>
  <c r="BZ23" i="4"/>
  <c r="CA23" i="4"/>
  <c r="CB23" i="4"/>
  <c r="CC23" i="4"/>
  <c r="CD23" i="4"/>
  <c r="CE23" i="4"/>
  <c r="CF23" i="4"/>
  <c r="CG23" i="4"/>
  <c r="CH23" i="4"/>
  <c r="CI23" i="4"/>
  <c r="CJ23" i="4"/>
  <c r="CK23" i="4"/>
  <c r="CL23" i="4"/>
  <c r="CM23" i="4"/>
  <c r="AF24" i="4"/>
  <c r="AG24" i="4"/>
  <c r="AH24" i="4"/>
  <c r="AI24" i="4"/>
  <c r="AJ24" i="4"/>
  <c r="AK24" i="4"/>
  <c r="AL24" i="4"/>
  <c r="AM24" i="4"/>
  <c r="AN24" i="4"/>
  <c r="AO24" i="4"/>
  <c r="AP24" i="4"/>
  <c r="AQ24" i="4"/>
  <c r="AR24" i="4"/>
  <c r="AS24" i="4"/>
  <c r="AT24" i="4"/>
  <c r="AU24" i="4"/>
  <c r="AV24" i="4"/>
  <c r="AW24" i="4"/>
  <c r="AX24" i="4"/>
  <c r="AY24" i="4"/>
  <c r="AZ24" i="4"/>
  <c r="BA24" i="4"/>
  <c r="BB24" i="4"/>
  <c r="BC24" i="4"/>
  <c r="BD24" i="4"/>
  <c r="BE24" i="4"/>
  <c r="BF24" i="4"/>
  <c r="BG24" i="4"/>
  <c r="BH24" i="4"/>
  <c r="BK24" i="4"/>
  <c r="BL24" i="4"/>
  <c r="BM24" i="4"/>
  <c r="BN24" i="4"/>
  <c r="BO24" i="4"/>
  <c r="BP24" i="4"/>
  <c r="BQ24" i="4"/>
  <c r="BR24" i="4"/>
  <c r="BS24" i="4"/>
  <c r="BT24" i="4"/>
  <c r="BU24" i="4"/>
  <c r="BV24" i="4"/>
  <c r="BW24" i="4"/>
  <c r="BX24" i="4"/>
  <c r="BY24" i="4"/>
  <c r="BZ24" i="4"/>
  <c r="CA24" i="4"/>
  <c r="CB24" i="4"/>
  <c r="CC24" i="4"/>
  <c r="CD24" i="4"/>
  <c r="CE24" i="4"/>
  <c r="CF24" i="4"/>
  <c r="CG24" i="4"/>
  <c r="CH24" i="4"/>
  <c r="CI24" i="4"/>
  <c r="CJ24" i="4"/>
  <c r="CK24" i="4"/>
  <c r="CL24" i="4"/>
  <c r="CM24" i="4"/>
  <c r="AF25" i="4"/>
  <c r="AG25" i="4"/>
  <c r="AH25" i="4"/>
  <c r="AI25" i="4"/>
  <c r="AJ25" i="4"/>
  <c r="AK25" i="4"/>
  <c r="AL25" i="4"/>
  <c r="AM25" i="4"/>
  <c r="AN25" i="4"/>
  <c r="AO25" i="4"/>
  <c r="AP25" i="4"/>
  <c r="AQ25" i="4"/>
  <c r="AR25" i="4"/>
  <c r="AS25" i="4"/>
  <c r="AT25" i="4"/>
  <c r="AU25" i="4"/>
  <c r="AV25" i="4"/>
  <c r="AW25" i="4"/>
  <c r="AX25" i="4"/>
  <c r="AY25" i="4"/>
  <c r="AZ25" i="4"/>
  <c r="BA25" i="4"/>
  <c r="BB25" i="4"/>
  <c r="BC25" i="4"/>
  <c r="BD25" i="4"/>
  <c r="BE25" i="4"/>
  <c r="BF25" i="4"/>
  <c r="BG25" i="4"/>
  <c r="BH25" i="4"/>
  <c r="BK25" i="4"/>
  <c r="BL25" i="4"/>
  <c r="BM25" i="4"/>
  <c r="BN25" i="4"/>
  <c r="BO25" i="4"/>
  <c r="BP25" i="4"/>
  <c r="BQ25" i="4"/>
  <c r="BR25" i="4"/>
  <c r="BS25" i="4"/>
  <c r="BT25" i="4"/>
  <c r="BU25" i="4"/>
  <c r="BV25" i="4"/>
  <c r="BW25" i="4"/>
  <c r="BX25" i="4"/>
  <c r="BY25" i="4"/>
  <c r="BZ25" i="4"/>
  <c r="CA25" i="4"/>
  <c r="CB25" i="4"/>
  <c r="CC25" i="4"/>
  <c r="CD25" i="4"/>
  <c r="CE25" i="4"/>
  <c r="CF25" i="4"/>
  <c r="CG25" i="4"/>
  <c r="CH25" i="4"/>
  <c r="CI25" i="4"/>
  <c r="CJ25" i="4"/>
  <c r="CK25" i="4"/>
  <c r="CL25" i="4"/>
  <c r="CM25" i="4"/>
  <c r="AF26" i="4"/>
  <c r="AG26" i="4"/>
  <c r="AH26" i="4"/>
  <c r="AI26" i="4"/>
  <c r="AJ26" i="4"/>
  <c r="AK26" i="4"/>
  <c r="AL26" i="4"/>
  <c r="AM26" i="4"/>
  <c r="AN26" i="4"/>
  <c r="AO26" i="4"/>
  <c r="AP26" i="4"/>
  <c r="AQ26" i="4"/>
  <c r="AR26" i="4"/>
  <c r="AS26" i="4"/>
  <c r="AT26" i="4"/>
  <c r="AU26" i="4"/>
  <c r="AV26" i="4"/>
  <c r="AW26" i="4"/>
  <c r="AX26" i="4"/>
  <c r="AY26" i="4"/>
  <c r="AZ26" i="4"/>
  <c r="BA26" i="4"/>
  <c r="BB26" i="4"/>
  <c r="BC26" i="4"/>
  <c r="BD26" i="4"/>
  <c r="BE26" i="4"/>
  <c r="BF26" i="4"/>
  <c r="BG26" i="4"/>
  <c r="BH26" i="4"/>
  <c r="BK26" i="4"/>
  <c r="BL26" i="4"/>
  <c r="BM26" i="4"/>
  <c r="BN26" i="4"/>
  <c r="BO26" i="4"/>
  <c r="BP26" i="4"/>
  <c r="BQ26" i="4"/>
  <c r="BR26" i="4"/>
  <c r="BS26" i="4"/>
  <c r="BT26" i="4"/>
  <c r="BU26" i="4"/>
  <c r="BV26" i="4"/>
  <c r="BW26" i="4"/>
  <c r="BX26" i="4"/>
  <c r="BY26" i="4"/>
  <c r="BZ26" i="4"/>
  <c r="CA26" i="4"/>
  <c r="CB26" i="4"/>
  <c r="CC26" i="4"/>
  <c r="CD26" i="4"/>
  <c r="CE26" i="4"/>
  <c r="CF26" i="4"/>
  <c r="CG26" i="4"/>
  <c r="CH26" i="4"/>
  <c r="CI26" i="4"/>
  <c r="CJ26" i="4"/>
  <c r="CK26" i="4"/>
  <c r="CL26" i="4"/>
  <c r="CM26" i="4"/>
  <c r="AF27" i="4"/>
  <c r="AG27" i="4"/>
  <c r="AH27" i="4"/>
  <c r="AI27" i="4"/>
  <c r="AJ27" i="4"/>
  <c r="AK27" i="4"/>
  <c r="AL27" i="4"/>
  <c r="AM27" i="4"/>
  <c r="AN27" i="4"/>
  <c r="AO27" i="4"/>
  <c r="AP27" i="4"/>
  <c r="AQ27" i="4"/>
  <c r="AR27" i="4"/>
  <c r="AS27" i="4"/>
  <c r="AT27" i="4"/>
  <c r="AU27" i="4"/>
  <c r="AV27" i="4"/>
  <c r="AW27" i="4"/>
  <c r="AX27" i="4"/>
  <c r="AY27" i="4"/>
  <c r="AZ27" i="4"/>
  <c r="BA27" i="4"/>
  <c r="BB27" i="4"/>
  <c r="BC27" i="4"/>
  <c r="BD27" i="4"/>
  <c r="BE27" i="4"/>
  <c r="BF27" i="4"/>
  <c r="BG27" i="4"/>
  <c r="BH27" i="4"/>
  <c r="BK27" i="4"/>
  <c r="BL27" i="4"/>
  <c r="BM27" i="4"/>
  <c r="BN27" i="4"/>
  <c r="BO27" i="4"/>
  <c r="BP27" i="4"/>
  <c r="BQ27" i="4"/>
  <c r="BR27" i="4"/>
  <c r="BS27" i="4"/>
  <c r="BT27" i="4"/>
  <c r="BU27" i="4"/>
  <c r="BV27" i="4"/>
  <c r="BW27" i="4"/>
  <c r="BX27" i="4"/>
  <c r="BY27" i="4"/>
  <c r="BZ27" i="4"/>
  <c r="CA27" i="4"/>
  <c r="CB27" i="4"/>
  <c r="CC27" i="4"/>
  <c r="CD27" i="4"/>
  <c r="CE27" i="4"/>
  <c r="CF27" i="4"/>
  <c r="CG27" i="4"/>
  <c r="CH27" i="4"/>
  <c r="CI27" i="4"/>
  <c r="CJ27" i="4"/>
  <c r="CK27" i="4"/>
  <c r="CL27" i="4"/>
  <c r="CM27" i="4"/>
  <c r="AF28" i="4"/>
  <c r="AG28" i="4"/>
  <c r="AH28" i="4"/>
  <c r="AI28" i="4"/>
  <c r="AJ28" i="4"/>
  <c r="AK28" i="4"/>
  <c r="AL28" i="4"/>
  <c r="AM28" i="4"/>
  <c r="AN28" i="4"/>
  <c r="AO28" i="4"/>
  <c r="AP28" i="4"/>
  <c r="AQ28" i="4"/>
  <c r="AR28" i="4"/>
  <c r="AS28" i="4"/>
  <c r="AT28" i="4"/>
  <c r="AU28" i="4"/>
  <c r="AV28" i="4"/>
  <c r="AW28" i="4"/>
  <c r="AX28" i="4"/>
  <c r="AY28" i="4"/>
  <c r="AZ28" i="4"/>
  <c r="BA28" i="4"/>
  <c r="BB28" i="4"/>
  <c r="BC28" i="4"/>
  <c r="BD28" i="4"/>
  <c r="BE28" i="4"/>
  <c r="BF28" i="4"/>
  <c r="BG28" i="4"/>
  <c r="BH28" i="4"/>
  <c r="BK28" i="4"/>
  <c r="BL28" i="4"/>
  <c r="BM28" i="4"/>
  <c r="BN28" i="4"/>
  <c r="BO28" i="4"/>
  <c r="BP28" i="4"/>
  <c r="BQ28" i="4"/>
  <c r="BR28" i="4"/>
  <c r="BS28" i="4"/>
  <c r="BT28" i="4"/>
  <c r="BU28" i="4"/>
  <c r="BV28" i="4"/>
  <c r="BW28" i="4"/>
  <c r="BX28" i="4"/>
  <c r="BY28" i="4"/>
  <c r="BZ28" i="4"/>
  <c r="CA28" i="4"/>
  <c r="CB28" i="4"/>
  <c r="CC28" i="4"/>
  <c r="CD28" i="4"/>
  <c r="CE28" i="4"/>
  <c r="CF28" i="4"/>
  <c r="CG28" i="4"/>
  <c r="CH28" i="4"/>
  <c r="CI28" i="4"/>
  <c r="CJ28" i="4"/>
  <c r="CK28" i="4"/>
  <c r="CL28" i="4"/>
  <c r="CM28" i="4"/>
  <c r="AF29" i="4"/>
  <c r="AG29" i="4"/>
  <c r="AH29" i="4"/>
  <c r="AI29" i="4"/>
  <c r="AJ29" i="4"/>
  <c r="AK29" i="4"/>
  <c r="AL29" i="4"/>
  <c r="AM29" i="4"/>
  <c r="AN29" i="4"/>
  <c r="AO29" i="4"/>
  <c r="AP29" i="4"/>
  <c r="AQ29" i="4"/>
  <c r="AR29" i="4"/>
  <c r="AS29" i="4"/>
  <c r="AT29" i="4"/>
  <c r="AU29" i="4"/>
  <c r="AV29" i="4"/>
  <c r="AW29" i="4"/>
  <c r="AX29" i="4"/>
  <c r="AY29" i="4"/>
  <c r="AZ29" i="4"/>
  <c r="BA29" i="4"/>
  <c r="BB29" i="4"/>
  <c r="BC29" i="4"/>
  <c r="BD29" i="4"/>
  <c r="BE29" i="4"/>
  <c r="BF29" i="4"/>
  <c r="BG29" i="4"/>
  <c r="BH29" i="4"/>
  <c r="BK29" i="4"/>
  <c r="BL29" i="4"/>
  <c r="BM29" i="4"/>
  <c r="BN29" i="4"/>
  <c r="BO29" i="4"/>
  <c r="BP29" i="4"/>
  <c r="BQ29" i="4"/>
  <c r="BR29" i="4"/>
  <c r="BS29" i="4"/>
  <c r="BT29" i="4"/>
  <c r="BU29" i="4"/>
  <c r="BV29" i="4"/>
  <c r="BW29" i="4"/>
  <c r="BX29" i="4"/>
  <c r="BY29" i="4"/>
  <c r="BZ29" i="4"/>
  <c r="CA29" i="4"/>
  <c r="CB29" i="4"/>
  <c r="CC29" i="4"/>
  <c r="CD29" i="4"/>
  <c r="CE29" i="4"/>
  <c r="CF29" i="4"/>
  <c r="CG29" i="4"/>
  <c r="CH29" i="4"/>
  <c r="CI29" i="4"/>
  <c r="CJ29" i="4"/>
  <c r="CK29" i="4"/>
  <c r="CL29" i="4"/>
  <c r="CM29" i="4"/>
  <c r="AF30" i="4"/>
  <c r="AG30" i="4"/>
  <c r="AH30" i="4"/>
  <c r="AI30" i="4"/>
  <c r="AJ30" i="4"/>
  <c r="AK30" i="4"/>
  <c r="AL30" i="4"/>
  <c r="AM30" i="4"/>
  <c r="AN30" i="4"/>
  <c r="AO30" i="4"/>
  <c r="AP30" i="4"/>
  <c r="AQ30" i="4"/>
  <c r="AR30" i="4"/>
  <c r="AS30" i="4"/>
  <c r="AT30" i="4"/>
  <c r="AU30" i="4"/>
  <c r="AV30" i="4"/>
  <c r="AW30" i="4"/>
  <c r="AX30" i="4"/>
  <c r="AY30" i="4"/>
  <c r="AZ30" i="4"/>
  <c r="BA30" i="4"/>
  <c r="BB30" i="4"/>
  <c r="BC30" i="4"/>
  <c r="BD30" i="4"/>
  <c r="BE30" i="4"/>
  <c r="BF30" i="4"/>
  <c r="BG30" i="4"/>
  <c r="BH30" i="4"/>
  <c r="BK30" i="4"/>
  <c r="BL30" i="4"/>
  <c r="BM30" i="4"/>
  <c r="BN30" i="4"/>
  <c r="BO30" i="4"/>
  <c r="BP30" i="4"/>
  <c r="BQ30" i="4"/>
  <c r="BR30" i="4"/>
  <c r="BS30" i="4"/>
  <c r="BT30" i="4"/>
  <c r="BU30" i="4"/>
  <c r="BV30" i="4"/>
  <c r="BW30" i="4"/>
  <c r="BX30" i="4"/>
  <c r="BY30" i="4"/>
  <c r="BZ30" i="4"/>
  <c r="CA30" i="4"/>
  <c r="CB30" i="4"/>
  <c r="CC30" i="4"/>
  <c r="CD30" i="4"/>
  <c r="CE30" i="4"/>
  <c r="CF30" i="4"/>
  <c r="CG30" i="4"/>
  <c r="CH30" i="4"/>
  <c r="CI30" i="4"/>
  <c r="CJ30" i="4"/>
  <c r="CK30" i="4"/>
  <c r="CL30" i="4"/>
  <c r="CM30" i="4"/>
  <c r="AF33" i="4"/>
  <c r="AG33" i="4"/>
  <c r="AH33" i="4"/>
  <c r="AI33" i="4"/>
  <c r="AJ33" i="4"/>
  <c r="AK33" i="4"/>
  <c r="AL33" i="4"/>
  <c r="AM33" i="4"/>
  <c r="AN33" i="4"/>
  <c r="AO33" i="4"/>
  <c r="AP33" i="4"/>
  <c r="AQ33" i="4"/>
  <c r="AR33" i="4"/>
  <c r="AS33" i="4"/>
  <c r="AT33" i="4"/>
  <c r="AU33" i="4"/>
  <c r="AV33" i="4"/>
  <c r="AW33" i="4"/>
  <c r="AX33" i="4"/>
  <c r="AY33" i="4"/>
  <c r="AZ33" i="4"/>
  <c r="BA33" i="4"/>
  <c r="BB33" i="4"/>
  <c r="BC33" i="4"/>
  <c r="BD33" i="4"/>
  <c r="BE33" i="4"/>
  <c r="BF33" i="4"/>
  <c r="BG33" i="4"/>
  <c r="BH33" i="4"/>
  <c r="BK33" i="4"/>
  <c r="BL33" i="4"/>
  <c r="BM33" i="4"/>
  <c r="BN33" i="4"/>
  <c r="BO33" i="4"/>
  <c r="BP33" i="4"/>
  <c r="BQ33" i="4"/>
  <c r="BR33" i="4"/>
  <c r="BS33" i="4"/>
  <c r="BT33" i="4"/>
  <c r="BU33" i="4"/>
  <c r="BV33" i="4"/>
  <c r="BW33" i="4"/>
  <c r="BX33" i="4"/>
  <c r="BY33" i="4"/>
  <c r="BZ33" i="4"/>
  <c r="CA33" i="4"/>
  <c r="CB33" i="4"/>
  <c r="CC33" i="4"/>
  <c r="CD33" i="4"/>
  <c r="CE33" i="4"/>
  <c r="CF33" i="4"/>
  <c r="CG33" i="4"/>
  <c r="CH33" i="4"/>
  <c r="CI33" i="4"/>
  <c r="CJ33" i="4"/>
  <c r="CK33" i="4"/>
  <c r="CL33" i="4"/>
  <c r="CM33" i="4"/>
  <c r="AF34" i="4"/>
  <c r="AG34" i="4"/>
  <c r="AH34" i="4"/>
  <c r="AI34" i="4"/>
  <c r="AJ34" i="4"/>
  <c r="AK34" i="4"/>
  <c r="AL34" i="4"/>
  <c r="AM34" i="4"/>
  <c r="AN34" i="4"/>
  <c r="AO34" i="4"/>
  <c r="AP34" i="4"/>
  <c r="AQ34" i="4"/>
  <c r="AR34" i="4"/>
  <c r="AS34" i="4"/>
  <c r="AT34" i="4"/>
  <c r="AU34" i="4"/>
  <c r="AV34" i="4"/>
  <c r="AW34" i="4"/>
  <c r="AX34" i="4"/>
  <c r="AY34" i="4"/>
  <c r="AZ34" i="4"/>
  <c r="BA34" i="4"/>
  <c r="BB34" i="4"/>
  <c r="BC34" i="4"/>
  <c r="BD34" i="4"/>
  <c r="BE34" i="4"/>
  <c r="BF34" i="4"/>
  <c r="BG34" i="4"/>
  <c r="BH34" i="4"/>
  <c r="BK34" i="4"/>
  <c r="BL34" i="4"/>
  <c r="BM34" i="4"/>
  <c r="BN34" i="4"/>
  <c r="BO34" i="4"/>
  <c r="BP34" i="4"/>
  <c r="BQ34" i="4"/>
  <c r="BR34" i="4"/>
  <c r="BS34" i="4"/>
  <c r="BT34" i="4"/>
  <c r="BU34" i="4"/>
  <c r="BV34" i="4"/>
  <c r="BW34" i="4"/>
  <c r="BX34" i="4"/>
  <c r="BY34" i="4"/>
  <c r="BZ34" i="4"/>
  <c r="CA34" i="4"/>
  <c r="CB34" i="4"/>
  <c r="CC34" i="4"/>
  <c r="CD34" i="4"/>
  <c r="CE34" i="4"/>
  <c r="CF34" i="4"/>
  <c r="CG34" i="4"/>
  <c r="CH34" i="4"/>
  <c r="CI34" i="4"/>
  <c r="CJ34" i="4"/>
  <c r="CK34" i="4"/>
  <c r="CL34" i="4"/>
  <c r="CM34" i="4"/>
  <c r="AF35" i="4"/>
  <c r="AG35" i="4"/>
  <c r="AH35" i="4"/>
  <c r="AI35" i="4"/>
  <c r="AJ35" i="4"/>
  <c r="AK35" i="4"/>
  <c r="AL35" i="4"/>
  <c r="AM35" i="4"/>
  <c r="AN35" i="4"/>
  <c r="AO35" i="4"/>
  <c r="AP35" i="4"/>
  <c r="AQ35" i="4"/>
  <c r="AR35" i="4"/>
  <c r="AS35" i="4"/>
  <c r="AT35" i="4"/>
  <c r="AU35" i="4"/>
  <c r="AV35" i="4"/>
  <c r="AW35" i="4"/>
  <c r="AX35" i="4"/>
  <c r="AY35" i="4"/>
  <c r="AZ35" i="4"/>
  <c r="BA35" i="4"/>
  <c r="BB35" i="4"/>
  <c r="BC35" i="4"/>
  <c r="BD35" i="4"/>
  <c r="BE35" i="4"/>
  <c r="BF35" i="4"/>
  <c r="BG35" i="4"/>
  <c r="BH35" i="4"/>
  <c r="BK35" i="4"/>
  <c r="BL35" i="4"/>
  <c r="BM35" i="4"/>
  <c r="BN35" i="4"/>
  <c r="BO35" i="4"/>
  <c r="BP35" i="4"/>
  <c r="BQ35" i="4"/>
  <c r="BR35" i="4"/>
  <c r="BS35" i="4"/>
  <c r="BT35" i="4"/>
  <c r="BU35" i="4"/>
  <c r="BV35" i="4"/>
  <c r="BW35" i="4"/>
  <c r="BX35" i="4"/>
  <c r="BY35" i="4"/>
  <c r="BZ35" i="4"/>
  <c r="CA35" i="4"/>
  <c r="CB35" i="4"/>
  <c r="CC35" i="4"/>
  <c r="CD35" i="4"/>
  <c r="CE35" i="4"/>
  <c r="CF35" i="4"/>
  <c r="CG35" i="4"/>
  <c r="CH35" i="4"/>
  <c r="CI35" i="4"/>
  <c r="CJ35" i="4"/>
  <c r="CK35" i="4"/>
  <c r="CL35" i="4"/>
  <c r="CM35" i="4"/>
  <c r="AF36" i="4"/>
  <c r="AG36" i="4"/>
  <c r="AH36" i="4"/>
  <c r="AI36" i="4"/>
  <c r="AJ36" i="4"/>
  <c r="AK36" i="4"/>
  <c r="AL36" i="4"/>
  <c r="AM36" i="4"/>
  <c r="AN36" i="4"/>
  <c r="AO36" i="4"/>
  <c r="AP36" i="4"/>
  <c r="AQ36" i="4"/>
  <c r="AR36" i="4"/>
  <c r="AS36" i="4"/>
  <c r="AT36" i="4"/>
  <c r="AU36" i="4"/>
  <c r="AV36" i="4"/>
  <c r="AW36" i="4"/>
  <c r="AX36" i="4"/>
  <c r="AY36" i="4"/>
  <c r="AZ36" i="4"/>
  <c r="BA36" i="4"/>
  <c r="BB36" i="4"/>
  <c r="BC36" i="4"/>
  <c r="BD36" i="4"/>
  <c r="BE36" i="4"/>
  <c r="BF36" i="4"/>
  <c r="BG36" i="4"/>
  <c r="BH36" i="4"/>
  <c r="BK36" i="4"/>
  <c r="BL36" i="4"/>
  <c r="BM36" i="4"/>
  <c r="BN36" i="4"/>
  <c r="BO36" i="4"/>
  <c r="BP36" i="4"/>
  <c r="BQ36" i="4"/>
  <c r="BR36" i="4"/>
  <c r="BS36" i="4"/>
  <c r="BT36" i="4"/>
  <c r="BU36" i="4"/>
  <c r="BV36" i="4"/>
  <c r="BW36" i="4"/>
  <c r="BX36" i="4"/>
  <c r="BY36" i="4"/>
  <c r="BZ36" i="4"/>
  <c r="CA36" i="4"/>
  <c r="CB36" i="4"/>
  <c r="CC36" i="4"/>
  <c r="CD36" i="4"/>
  <c r="CE36" i="4"/>
  <c r="CF36" i="4"/>
  <c r="CG36" i="4"/>
  <c r="CH36" i="4"/>
  <c r="CI36" i="4"/>
  <c r="CJ36" i="4"/>
  <c r="CK36" i="4"/>
  <c r="CL36" i="4"/>
  <c r="CM36" i="4"/>
  <c r="B37" i="4"/>
  <c r="C37" i="4"/>
  <c r="D37" i="4"/>
  <c r="F37" i="4"/>
  <c r="G37" i="4"/>
  <c r="H37" i="4"/>
  <c r="I37" i="4"/>
  <c r="J37" i="4"/>
  <c r="K37" i="4"/>
  <c r="L37" i="4"/>
  <c r="M37" i="4"/>
  <c r="N37" i="4"/>
  <c r="O37" i="4"/>
  <c r="P37" i="4"/>
  <c r="Q37" i="4"/>
  <c r="R37" i="4"/>
  <c r="S37" i="4"/>
  <c r="T37" i="4"/>
  <c r="U37" i="4"/>
  <c r="V37" i="4"/>
  <c r="W37" i="4"/>
  <c r="X37" i="4"/>
  <c r="Y37" i="4"/>
  <c r="Z37" i="4"/>
  <c r="AA37" i="4"/>
  <c r="AB37" i="4"/>
  <c r="AC37" i="4"/>
  <c r="AF37" i="4"/>
  <c r="AG37" i="4"/>
  <c r="AH37" i="4"/>
  <c r="AI37" i="4"/>
  <c r="AJ37" i="4"/>
  <c r="AK37" i="4"/>
  <c r="AL37" i="4"/>
  <c r="AM37" i="4"/>
  <c r="AN37" i="4"/>
  <c r="AO37" i="4"/>
  <c r="AP37" i="4"/>
  <c r="AQ37" i="4"/>
  <c r="AR37" i="4"/>
  <c r="AS37" i="4"/>
  <c r="AT37" i="4"/>
  <c r="AU37" i="4"/>
  <c r="AV37" i="4"/>
  <c r="AW37" i="4"/>
  <c r="AX37" i="4"/>
  <c r="AY37" i="4"/>
  <c r="AZ37" i="4"/>
  <c r="BA37" i="4"/>
  <c r="BB37" i="4"/>
  <c r="BC37" i="4"/>
  <c r="BD37" i="4"/>
  <c r="BE37" i="4"/>
  <c r="BF37" i="4"/>
  <c r="BG37" i="4"/>
  <c r="BH37" i="4"/>
  <c r="BK37" i="4"/>
  <c r="BL37" i="4"/>
  <c r="BM37" i="4"/>
  <c r="BN37" i="4"/>
  <c r="BO37" i="4"/>
  <c r="BP37" i="4"/>
  <c r="BQ37" i="4"/>
  <c r="BR37" i="4"/>
  <c r="BS37" i="4"/>
  <c r="BT37" i="4"/>
  <c r="BU37" i="4"/>
  <c r="BV37" i="4"/>
  <c r="BW37" i="4"/>
  <c r="BX37" i="4"/>
  <c r="BY37" i="4"/>
  <c r="BZ37" i="4"/>
  <c r="CA37" i="4"/>
  <c r="CB37" i="4"/>
  <c r="CC37" i="4"/>
  <c r="CD37" i="4"/>
  <c r="CE37" i="4"/>
  <c r="CF37" i="4"/>
  <c r="CG37" i="4"/>
  <c r="CH37" i="4"/>
  <c r="CI37" i="4"/>
  <c r="CJ37" i="4"/>
  <c r="CK37" i="4"/>
  <c r="CL37" i="4"/>
  <c r="CM37" i="4"/>
  <c r="B38" i="4"/>
  <c r="C38" i="4"/>
  <c r="D38" i="4"/>
  <c r="F38" i="4"/>
  <c r="G38" i="4"/>
  <c r="H38" i="4"/>
  <c r="I38" i="4"/>
  <c r="J38" i="4"/>
  <c r="K38" i="4"/>
  <c r="L38" i="4"/>
  <c r="M38" i="4"/>
  <c r="N38" i="4"/>
  <c r="O38" i="4"/>
  <c r="P38" i="4"/>
  <c r="Q38" i="4"/>
  <c r="R38" i="4"/>
  <c r="S38" i="4"/>
  <c r="T38" i="4"/>
  <c r="U38" i="4"/>
  <c r="V38" i="4"/>
  <c r="W38" i="4"/>
  <c r="X38" i="4"/>
  <c r="Y38" i="4"/>
  <c r="Z38" i="4"/>
  <c r="AA38" i="4"/>
  <c r="AB38" i="4"/>
  <c r="AC38" i="4"/>
  <c r="AF38" i="4"/>
  <c r="AG38" i="4"/>
  <c r="AH38" i="4"/>
  <c r="AI38" i="4"/>
  <c r="AJ38" i="4"/>
  <c r="AK38" i="4"/>
  <c r="AL38" i="4"/>
  <c r="AM38" i="4"/>
  <c r="AN38" i="4"/>
  <c r="AO38" i="4"/>
  <c r="AP38" i="4"/>
  <c r="AQ38" i="4"/>
  <c r="AR38" i="4"/>
  <c r="AS38" i="4"/>
  <c r="AT38" i="4"/>
  <c r="AU38" i="4"/>
  <c r="AV38" i="4"/>
  <c r="AW38" i="4"/>
  <c r="AX38" i="4"/>
  <c r="AY38" i="4"/>
  <c r="AZ38" i="4"/>
  <c r="BA38" i="4"/>
  <c r="BB38" i="4"/>
  <c r="BC38" i="4"/>
  <c r="BD38" i="4"/>
  <c r="BE38" i="4"/>
  <c r="BF38" i="4"/>
  <c r="BG38" i="4"/>
  <c r="BH38" i="4"/>
  <c r="BK38" i="4"/>
  <c r="BL38" i="4"/>
  <c r="BM38" i="4"/>
  <c r="BN38" i="4"/>
  <c r="BO38" i="4"/>
  <c r="BP38" i="4"/>
  <c r="BQ38" i="4"/>
  <c r="BR38" i="4"/>
  <c r="BS38" i="4"/>
  <c r="BT38" i="4"/>
  <c r="BU38" i="4"/>
  <c r="BV38" i="4"/>
  <c r="BW38" i="4"/>
  <c r="BX38" i="4"/>
  <c r="BY38" i="4"/>
  <c r="BZ38" i="4"/>
  <c r="CA38" i="4"/>
  <c r="CB38" i="4"/>
  <c r="CC38" i="4"/>
  <c r="CD38" i="4"/>
  <c r="CE38" i="4"/>
  <c r="CF38" i="4"/>
  <c r="CG38" i="4"/>
  <c r="CH38" i="4"/>
  <c r="CI38" i="4"/>
  <c r="CJ38" i="4"/>
  <c r="CK38" i="4"/>
  <c r="CL38" i="4"/>
  <c r="CM38" i="4"/>
  <c r="B39" i="4"/>
  <c r="C39" i="4"/>
  <c r="D39" i="4"/>
  <c r="F39" i="4"/>
  <c r="G39" i="4"/>
  <c r="H39" i="4"/>
  <c r="I39" i="4"/>
  <c r="J39" i="4"/>
  <c r="K39" i="4"/>
  <c r="L39" i="4"/>
  <c r="M39" i="4"/>
  <c r="N39" i="4"/>
  <c r="O39" i="4"/>
  <c r="P39" i="4"/>
  <c r="Q39" i="4"/>
  <c r="R39" i="4"/>
  <c r="S39" i="4"/>
  <c r="T39" i="4"/>
  <c r="U39" i="4"/>
  <c r="V39" i="4"/>
  <c r="W39" i="4"/>
  <c r="X39" i="4"/>
  <c r="Y39" i="4"/>
  <c r="Z39" i="4"/>
  <c r="AA39" i="4"/>
  <c r="AB39" i="4"/>
  <c r="AC39" i="4"/>
  <c r="AF39" i="4"/>
  <c r="AG39" i="4"/>
  <c r="AH39" i="4"/>
  <c r="AI39" i="4"/>
  <c r="AJ39" i="4"/>
  <c r="AK39" i="4"/>
  <c r="AL39" i="4"/>
  <c r="AM39" i="4"/>
  <c r="AN39" i="4"/>
  <c r="AO39" i="4"/>
  <c r="AP39" i="4"/>
  <c r="AQ39" i="4"/>
  <c r="AR39" i="4"/>
  <c r="AS39" i="4"/>
  <c r="AT39" i="4"/>
  <c r="AU39" i="4"/>
  <c r="AV39" i="4"/>
  <c r="AW39" i="4"/>
  <c r="AX39" i="4"/>
  <c r="AY39" i="4"/>
  <c r="AZ39" i="4"/>
  <c r="BA39" i="4"/>
  <c r="BB39" i="4"/>
  <c r="BC39" i="4"/>
  <c r="BD39" i="4"/>
  <c r="BE39" i="4"/>
  <c r="BF39" i="4"/>
  <c r="BG39" i="4"/>
  <c r="BH39" i="4"/>
  <c r="BK39" i="4"/>
  <c r="BL39" i="4"/>
  <c r="BM39" i="4"/>
  <c r="BN39" i="4"/>
  <c r="BO39" i="4"/>
  <c r="BP39" i="4"/>
  <c r="BQ39" i="4"/>
  <c r="BR39" i="4"/>
  <c r="BS39" i="4"/>
  <c r="BT39" i="4"/>
  <c r="BU39" i="4"/>
  <c r="BV39" i="4"/>
  <c r="BW39" i="4"/>
  <c r="BX39" i="4"/>
  <c r="BY39" i="4"/>
  <c r="BZ39" i="4"/>
  <c r="CA39" i="4"/>
  <c r="CB39" i="4"/>
  <c r="CC39" i="4"/>
  <c r="CD39" i="4"/>
  <c r="CE39" i="4"/>
  <c r="CF39" i="4"/>
  <c r="CG39" i="4"/>
  <c r="CH39" i="4"/>
  <c r="CI39" i="4"/>
  <c r="CJ39" i="4"/>
  <c r="CK39" i="4"/>
  <c r="CL39" i="4"/>
  <c r="CM39" i="4"/>
  <c r="B40" i="4"/>
  <c r="C40" i="4"/>
  <c r="D40" i="4"/>
  <c r="F40" i="4"/>
  <c r="G40" i="4"/>
  <c r="H40" i="4"/>
  <c r="I40" i="4"/>
  <c r="J40" i="4"/>
  <c r="K40" i="4"/>
  <c r="L40" i="4"/>
  <c r="M40" i="4"/>
  <c r="N40" i="4"/>
  <c r="O40" i="4"/>
  <c r="P40" i="4"/>
  <c r="Q40" i="4"/>
  <c r="R40" i="4"/>
  <c r="S40" i="4"/>
  <c r="T40" i="4"/>
  <c r="U40" i="4"/>
  <c r="V40" i="4"/>
  <c r="W40" i="4"/>
  <c r="X40" i="4"/>
  <c r="Y40" i="4"/>
  <c r="Z40" i="4"/>
  <c r="AA40" i="4"/>
  <c r="AB40" i="4"/>
  <c r="AC40" i="4"/>
  <c r="AF40" i="4"/>
  <c r="AG40" i="4"/>
  <c r="AH40" i="4"/>
  <c r="AI40" i="4"/>
  <c r="AJ40" i="4"/>
  <c r="AK40" i="4"/>
  <c r="AL40" i="4"/>
  <c r="AM40" i="4"/>
  <c r="AN40" i="4"/>
  <c r="AO40" i="4"/>
  <c r="AP40" i="4"/>
  <c r="AQ40" i="4"/>
  <c r="AR40" i="4"/>
  <c r="AS40" i="4"/>
  <c r="AT40" i="4"/>
  <c r="AU40" i="4"/>
  <c r="AV40" i="4"/>
  <c r="AW40" i="4"/>
  <c r="AX40" i="4"/>
  <c r="AY40" i="4"/>
  <c r="AZ40" i="4"/>
  <c r="BA40" i="4"/>
  <c r="BB40" i="4"/>
  <c r="BC40" i="4"/>
  <c r="BD40" i="4"/>
  <c r="BE40" i="4"/>
  <c r="BF40" i="4"/>
  <c r="BG40" i="4"/>
  <c r="BH40" i="4"/>
  <c r="BK40" i="4"/>
  <c r="BL40" i="4"/>
  <c r="BM40" i="4"/>
  <c r="BN40" i="4"/>
  <c r="BO40" i="4"/>
  <c r="BP40" i="4"/>
  <c r="BQ40" i="4"/>
  <c r="BR40" i="4"/>
  <c r="BS40" i="4"/>
  <c r="BT40" i="4"/>
  <c r="BU40" i="4"/>
  <c r="BV40" i="4"/>
  <c r="BW40" i="4"/>
  <c r="BX40" i="4"/>
  <c r="BY40" i="4"/>
  <c r="BZ40" i="4"/>
  <c r="CA40" i="4"/>
  <c r="CB40" i="4"/>
  <c r="CC40" i="4"/>
  <c r="CD40" i="4"/>
  <c r="CE40" i="4"/>
  <c r="CF40" i="4"/>
  <c r="CG40" i="4"/>
  <c r="CH40" i="4"/>
  <c r="CI40" i="4"/>
  <c r="CJ40" i="4"/>
  <c r="CK40" i="4"/>
  <c r="CL40" i="4"/>
  <c r="CM40" i="4"/>
  <c r="B41" i="4"/>
  <c r="C41" i="4"/>
  <c r="D41" i="4"/>
  <c r="F41" i="4"/>
  <c r="G41" i="4"/>
  <c r="H41" i="4"/>
  <c r="I41" i="4"/>
  <c r="J41" i="4"/>
  <c r="K41" i="4"/>
  <c r="L41" i="4"/>
  <c r="M41" i="4"/>
  <c r="N41" i="4"/>
  <c r="O41" i="4"/>
  <c r="P41" i="4"/>
  <c r="Q41" i="4"/>
  <c r="R41" i="4"/>
  <c r="S41" i="4"/>
  <c r="T41" i="4"/>
  <c r="U41" i="4"/>
  <c r="V41" i="4"/>
  <c r="W41" i="4"/>
  <c r="X41" i="4"/>
  <c r="Y41" i="4"/>
  <c r="Z41" i="4"/>
  <c r="AA41" i="4"/>
  <c r="AB41" i="4"/>
  <c r="AC41" i="4"/>
  <c r="AF41" i="4"/>
  <c r="AG41" i="4"/>
  <c r="AH41" i="4"/>
  <c r="AI41" i="4"/>
  <c r="AJ41" i="4"/>
  <c r="AK41" i="4"/>
  <c r="AL41" i="4"/>
  <c r="AM41" i="4"/>
  <c r="AN41" i="4"/>
  <c r="AO41" i="4"/>
  <c r="AP41" i="4"/>
  <c r="AQ41" i="4"/>
  <c r="AR41" i="4"/>
  <c r="AS41" i="4"/>
  <c r="AT41" i="4"/>
  <c r="AU41" i="4"/>
  <c r="AV41" i="4"/>
  <c r="AW41" i="4"/>
  <c r="AX41" i="4"/>
  <c r="AY41" i="4"/>
  <c r="AZ41" i="4"/>
  <c r="BA41" i="4"/>
  <c r="BB41" i="4"/>
  <c r="BC41" i="4"/>
  <c r="BD41" i="4"/>
  <c r="BE41" i="4"/>
  <c r="BF41" i="4"/>
  <c r="BG41" i="4"/>
  <c r="BH41" i="4"/>
  <c r="BK41" i="4"/>
  <c r="BL41" i="4"/>
  <c r="BM41" i="4"/>
  <c r="BN41" i="4"/>
  <c r="BO41" i="4"/>
  <c r="BP41" i="4"/>
  <c r="BQ41" i="4"/>
  <c r="BR41" i="4"/>
  <c r="BS41" i="4"/>
  <c r="BT41" i="4"/>
  <c r="BU41" i="4"/>
  <c r="BV41" i="4"/>
  <c r="BW41" i="4"/>
  <c r="BX41" i="4"/>
  <c r="BY41" i="4"/>
  <c r="BZ41" i="4"/>
  <c r="CA41" i="4"/>
  <c r="CB41" i="4"/>
  <c r="CC41" i="4"/>
  <c r="CD41" i="4"/>
  <c r="CE41" i="4"/>
  <c r="CF41" i="4"/>
  <c r="CG41" i="4"/>
  <c r="CH41" i="4"/>
  <c r="CI41" i="4"/>
  <c r="CJ41" i="4"/>
  <c r="CK41" i="4"/>
  <c r="CL41" i="4"/>
  <c r="CM41" i="4"/>
  <c r="B42" i="4"/>
  <c r="C42" i="4"/>
  <c r="D42" i="4"/>
  <c r="F42" i="4"/>
  <c r="G42" i="4"/>
  <c r="H42" i="4"/>
  <c r="I42" i="4"/>
  <c r="J42" i="4"/>
  <c r="K42" i="4"/>
  <c r="L42" i="4"/>
  <c r="M42" i="4"/>
  <c r="N42" i="4"/>
  <c r="O42" i="4"/>
  <c r="P42" i="4"/>
  <c r="Q42" i="4"/>
  <c r="R42" i="4"/>
  <c r="S42" i="4"/>
  <c r="T42" i="4"/>
  <c r="U42" i="4"/>
  <c r="V42" i="4"/>
  <c r="W42" i="4"/>
  <c r="X42" i="4"/>
  <c r="Y42" i="4"/>
  <c r="Z42" i="4"/>
  <c r="AA42" i="4"/>
  <c r="AB42" i="4"/>
  <c r="AC42" i="4"/>
  <c r="AF42" i="4"/>
  <c r="AG42" i="4"/>
  <c r="AH42" i="4"/>
  <c r="AI42" i="4"/>
  <c r="AJ42" i="4"/>
  <c r="AK42" i="4"/>
  <c r="AL42" i="4"/>
  <c r="AM42" i="4"/>
  <c r="AN42" i="4"/>
  <c r="AO42" i="4"/>
  <c r="AP42" i="4"/>
  <c r="AQ42" i="4"/>
  <c r="AR42" i="4"/>
  <c r="AS42" i="4"/>
  <c r="AT42" i="4"/>
  <c r="AU42" i="4"/>
  <c r="AV42" i="4"/>
  <c r="AW42" i="4"/>
  <c r="AX42" i="4"/>
  <c r="AY42" i="4"/>
  <c r="AZ42" i="4"/>
  <c r="BA42" i="4"/>
  <c r="BB42" i="4"/>
  <c r="BC42" i="4"/>
  <c r="BD42" i="4"/>
  <c r="BE42" i="4"/>
  <c r="BF42" i="4"/>
  <c r="BG42" i="4"/>
  <c r="BH42" i="4"/>
  <c r="BK42" i="4"/>
  <c r="BL42" i="4"/>
  <c r="BM42" i="4"/>
  <c r="BN42" i="4"/>
  <c r="BO42" i="4"/>
  <c r="BP42" i="4"/>
  <c r="BQ42" i="4"/>
  <c r="BR42" i="4"/>
  <c r="BS42" i="4"/>
  <c r="BT42" i="4"/>
  <c r="BU42" i="4"/>
  <c r="BV42" i="4"/>
  <c r="BW42" i="4"/>
  <c r="BX42" i="4"/>
  <c r="BY42" i="4"/>
  <c r="BZ42" i="4"/>
  <c r="CA42" i="4"/>
  <c r="CB42" i="4"/>
  <c r="CC42" i="4"/>
  <c r="CD42" i="4"/>
  <c r="CE42" i="4"/>
  <c r="CF42" i="4"/>
  <c r="CG42" i="4"/>
  <c r="CH42" i="4"/>
  <c r="CI42" i="4"/>
  <c r="CJ42" i="4"/>
  <c r="CK42" i="4"/>
  <c r="CL42" i="4"/>
  <c r="CM42" i="4"/>
  <c r="B43" i="4"/>
  <c r="C43" i="4"/>
  <c r="D43" i="4"/>
  <c r="F43" i="4"/>
  <c r="G43" i="4"/>
  <c r="H43" i="4"/>
  <c r="I43" i="4"/>
  <c r="J43" i="4"/>
  <c r="K43" i="4"/>
  <c r="L43" i="4"/>
  <c r="M43" i="4"/>
  <c r="N43" i="4"/>
  <c r="O43" i="4"/>
  <c r="P43" i="4"/>
  <c r="Q43" i="4"/>
  <c r="R43" i="4"/>
  <c r="S43" i="4"/>
  <c r="T43" i="4"/>
  <c r="U43" i="4"/>
  <c r="V43" i="4"/>
  <c r="W43" i="4"/>
  <c r="X43" i="4"/>
  <c r="Y43" i="4"/>
  <c r="Z43" i="4"/>
  <c r="AA43" i="4"/>
  <c r="AB43" i="4"/>
  <c r="AC43" i="4"/>
  <c r="AF43" i="4"/>
  <c r="AG43" i="4"/>
  <c r="AH43" i="4"/>
  <c r="AI43" i="4"/>
  <c r="AJ43" i="4"/>
  <c r="AK43" i="4"/>
  <c r="AL43" i="4"/>
  <c r="AM43" i="4"/>
  <c r="AN43" i="4"/>
  <c r="AO43" i="4"/>
  <c r="AP43" i="4"/>
  <c r="AQ43" i="4"/>
  <c r="AR43" i="4"/>
  <c r="AS43" i="4"/>
  <c r="AT43" i="4"/>
  <c r="AU43" i="4"/>
  <c r="AV43" i="4"/>
  <c r="AW43" i="4"/>
  <c r="AX43" i="4"/>
  <c r="AY43" i="4"/>
  <c r="AZ43" i="4"/>
  <c r="BA43" i="4"/>
  <c r="BB43" i="4"/>
  <c r="BC43" i="4"/>
  <c r="BD43" i="4"/>
  <c r="BE43" i="4"/>
  <c r="BF43" i="4"/>
  <c r="BG43" i="4"/>
  <c r="BH43" i="4"/>
  <c r="BK43" i="4"/>
  <c r="BL43" i="4"/>
  <c r="BM43" i="4"/>
  <c r="BN43" i="4"/>
  <c r="BO43" i="4"/>
  <c r="BP43" i="4"/>
  <c r="BQ43" i="4"/>
  <c r="BR43" i="4"/>
  <c r="BS43" i="4"/>
  <c r="BT43" i="4"/>
  <c r="BU43" i="4"/>
  <c r="BV43" i="4"/>
  <c r="BW43" i="4"/>
  <c r="BX43" i="4"/>
  <c r="BY43" i="4"/>
  <c r="BZ43" i="4"/>
  <c r="CA43" i="4"/>
  <c r="CB43" i="4"/>
  <c r="CC43" i="4"/>
  <c r="CD43" i="4"/>
  <c r="CE43" i="4"/>
  <c r="CF43" i="4"/>
  <c r="CG43" i="4"/>
  <c r="CH43" i="4"/>
  <c r="CI43" i="4"/>
  <c r="CJ43" i="4"/>
  <c r="CK43" i="4"/>
  <c r="CL43" i="4"/>
  <c r="CM43" i="4"/>
  <c r="B44" i="4"/>
  <c r="C44" i="4"/>
  <c r="D44" i="4"/>
  <c r="F44" i="4"/>
  <c r="G44" i="4"/>
  <c r="H44" i="4"/>
  <c r="I44" i="4"/>
  <c r="J44" i="4"/>
  <c r="K44" i="4"/>
  <c r="L44" i="4"/>
  <c r="M44" i="4"/>
  <c r="N44" i="4"/>
  <c r="O44" i="4"/>
  <c r="P44" i="4"/>
  <c r="Q44" i="4"/>
  <c r="R44" i="4"/>
  <c r="S44" i="4"/>
  <c r="T44" i="4"/>
  <c r="U44" i="4"/>
  <c r="V44" i="4"/>
  <c r="W44" i="4"/>
  <c r="X44" i="4"/>
  <c r="Y44" i="4"/>
  <c r="Z44" i="4"/>
  <c r="AA44" i="4"/>
  <c r="AB44" i="4"/>
  <c r="AC44" i="4"/>
  <c r="AF44" i="4"/>
  <c r="AG44" i="4"/>
  <c r="AH44" i="4"/>
  <c r="AI44" i="4"/>
  <c r="AJ44" i="4"/>
  <c r="AK44" i="4"/>
  <c r="AL44" i="4"/>
  <c r="AM44" i="4"/>
  <c r="AN44" i="4"/>
  <c r="AO44" i="4"/>
  <c r="AP44" i="4"/>
  <c r="AQ44" i="4"/>
  <c r="AR44" i="4"/>
  <c r="AS44" i="4"/>
  <c r="AT44" i="4"/>
  <c r="AU44" i="4"/>
  <c r="AV44" i="4"/>
  <c r="AW44" i="4"/>
  <c r="AX44" i="4"/>
  <c r="AY44" i="4"/>
  <c r="AZ44" i="4"/>
  <c r="BA44" i="4"/>
  <c r="BB44" i="4"/>
  <c r="BC44" i="4"/>
  <c r="BD44" i="4"/>
  <c r="BE44" i="4"/>
  <c r="BF44" i="4"/>
  <c r="BG44" i="4"/>
  <c r="BH44" i="4"/>
  <c r="BK44" i="4"/>
  <c r="BL44" i="4"/>
  <c r="BM44" i="4"/>
  <c r="BN44" i="4"/>
  <c r="BO44" i="4"/>
  <c r="BP44" i="4"/>
  <c r="BQ44" i="4"/>
  <c r="BR44" i="4"/>
  <c r="BS44" i="4"/>
  <c r="BT44" i="4"/>
  <c r="BU44" i="4"/>
  <c r="BV44" i="4"/>
  <c r="BW44" i="4"/>
  <c r="BX44" i="4"/>
  <c r="BY44" i="4"/>
  <c r="BZ44" i="4"/>
  <c r="CA44" i="4"/>
  <c r="CB44" i="4"/>
  <c r="CC44" i="4"/>
  <c r="CD44" i="4"/>
  <c r="CE44" i="4"/>
  <c r="CF44" i="4"/>
  <c r="CG44" i="4"/>
  <c r="CH44" i="4"/>
  <c r="CI44" i="4"/>
  <c r="CJ44" i="4"/>
  <c r="CK44" i="4"/>
  <c r="CL44" i="4"/>
  <c r="CM44" i="4"/>
  <c r="B45" i="4"/>
  <c r="C45" i="4"/>
  <c r="D45" i="4"/>
  <c r="F45" i="4"/>
  <c r="G45" i="4"/>
  <c r="H45" i="4"/>
  <c r="I45" i="4"/>
  <c r="J45" i="4"/>
  <c r="K45" i="4"/>
  <c r="L45" i="4"/>
  <c r="M45" i="4"/>
  <c r="N45" i="4"/>
  <c r="O45" i="4"/>
  <c r="P45" i="4"/>
  <c r="Q45" i="4"/>
  <c r="R45" i="4"/>
  <c r="S45" i="4"/>
  <c r="T45" i="4"/>
  <c r="U45" i="4"/>
  <c r="V45" i="4"/>
  <c r="W45" i="4"/>
  <c r="X45" i="4"/>
  <c r="Y45" i="4"/>
  <c r="Z45" i="4"/>
  <c r="AA45" i="4"/>
  <c r="AB45" i="4"/>
  <c r="AC45" i="4"/>
  <c r="B46" i="4"/>
  <c r="C46" i="4"/>
  <c r="D46" i="4"/>
  <c r="F46" i="4"/>
  <c r="G46" i="4"/>
  <c r="H46" i="4"/>
  <c r="I46" i="4"/>
  <c r="J46" i="4"/>
  <c r="K46" i="4"/>
  <c r="L46" i="4"/>
  <c r="M46" i="4"/>
  <c r="N46" i="4"/>
  <c r="O46" i="4"/>
  <c r="P46" i="4"/>
  <c r="Q46" i="4"/>
  <c r="R46" i="4"/>
  <c r="S46" i="4"/>
  <c r="T46" i="4"/>
  <c r="U46" i="4"/>
  <c r="V46" i="4"/>
  <c r="W46" i="4"/>
  <c r="X46" i="4"/>
  <c r="Y46" i="4"/>
  <c r="Z46" i="4"/>
  <c r="AA46" i="4"/>
  <c r="AB46" i="4"/>
  <c r="AC46" i="4"/>
  <c r="B47" i="4"/>
  <c r="C47" i="4"/>
  <c r="D47" i="4"/>
  <c r="F47" i="4"/>
  <c r="G47" i="4"/>
  <c r="H47" i="4"/>
  <c r="I47" i="4"/>
  <c r="J47" i="4"/>
  <c r="K47" i="4"/>
  <c r="L47" i="4"/>
  <c r="M47" i="4"/>
  <c r="N47" i="4"/>
  <c r="O47" i="4"/>
  <c r="P47" i="4"/>
  <c r="Q47" i="4"/>
  <c r="R47" i="4"/>
  <c r="S47" i="4"/>
  <c r="T47" i="4"/>
  <c r="U47" i="4"/>
  <c r="V47" i="4"/>
  <c r="W47" i="4"/>
  <c r="X47" i="4"/>
  <c r="Y47" i="4"/>
  <c r="Z47" i="4"/>
  <c r="AA47" i="4"/>
  <c r="AB47" i="4"/>
  <c r="AC47" i="4"/>
  <c r="AF47" i="4"/>
  <c r="AG47" i="4"/>
  <c r="AH47" i="4"/>
  <c r="AI47" i="4"/>
  <c r="AJ47" i="4"/>
  <c r="AK47" i="4"/>
  <c r="AL47" i="4"/>
  <c r="AM47" i="4"/>
  <c r="AN47" i="4"/>
  <c r="AO47" i="4"/>
  <c r="AP47" i="4"/>
  <c r="AQ47" i="4"/>
  <c r="AR47" i="4"/>
  <c r="AS47" i="4"/>
  <c r="AT47" i="4"/>
  <c r="AU47" i="4"/>
  <c r="AV47" i="4"/>
  <c r="AW47" i="4"/>
  <c r="AX47" i="4"/>
  <c r="AY47" i="4"/>
  <c r="AZ47" i="4"/>
  <c r="BA47" i="4"/>
  <c r="BB47" i="4"/>
  <c r="BC47" i="4"/>
  <c r="BD47" i="4"/>
  <c r="BE47" i="4"/>
  <c r="BF47" i="4"/>
  <c r="BG47" i="4"/>
  <c r="BH47" i="4"/>
  <c r="BK47" i="4"/>
  <c r="BL47" i="4"/>
  <c r="BM47" i="4"/>
  <c r="BN47" i="4"/>
  <c r="BO47" i="4"/>
  <c r="BP47" i="4"/>
  <c r="BQ47" i="4"/>
  <c r="BR47" i="4"/>
  <c r="BS47" i="4"/>
  <c r="BT47" i="4"/>
  <c r="BU47" i="4"/>
  <c r="BV47" i="4"/>
  <c r="BW47" i="4"/>
  <c r="BX47" i="4"/>
  <c r="BY47" i="4"/>
  <c r="BZ47" i="4"/>
  <c r="CA47" i="4"/>
  <c r="CB47" i="4"/>
  <c r="CC47" i="4"/>
  <c r="CD47" i="4"/>
  <c r="CE47" i="4"/>
  <c r="CF47" i="4"/>
  <c r="CG47" i="4"/>
  <c r="CH47" i="4"/>
  <c r="CI47" i="4"/>
  <c r="CJ47" i="4"/>
  <c r="CK47" i="4"/>
  <c r="CL47" i="4"/>
  <c r="CM47" i="4"/>
  <c r="B48" i="4"/>
  <c r="C48" i="4"/>
  <c r="D48" i="4"/>
  <c r="F48" i="4"/>
  <c r="G48" i="4"/>
  <c r="H48" i="4"/>
  <c r="I48" i="4"/>
  <c r="J48" i="4"/>
  <c r="K48" i="4"/>
  <c r="L48" i="4"/>
  <c r="M48" i="4"/>
  <c r="N48" i="4"/>
  <c r="O48" i="4"/>
  <c r="P48" i="4"/>
  <c r="Q48" i="4"/>
  <c r="R48" i="4"/>
  <c r="S48" i="4"/>
  <c r="T48" i="4"/>
  <c r="U48" i="4"/>
  <c r="V48" i="4"/>
  <c r="W48" i="4"/>
  <c r="X48" i="4"/>
  <c r="Y48" i="4"/>
  <c r="Z48" i="4"/>
  <c r="AA48" i="4"/>
  <c r="AB48" i="4"/>
  <c r="AC48" i="4"/>
  <c r="AF48" i="4"/>
  <c r="AG48" i="4"/>
  <c r="AH48" i="4"/>
  <c r="AI48" i="4"/>
  <c r="AJ48" i="4"/>
  <c r="AK48" i="4"/>
  <c r="AL48" i="4"/>
  <c r="AM48" i="4"/>
  <c r="AN48" i="4"/>
  <c r="AO48" i="4"/>
  <c r="AP48" i="4"/>
  <c r="AQ48" i="4"/>
  <c r="AR48" i="4"/>
  <c r="AS48" i="4"/>
  <c r="AT48" i="4"/>
  <c r="AU48" i="4"/>
  <c r="AV48" i="4"/>
  <c r="AW48" i="4"/>
  <c r="AX48" i="4"/>
  <c r="AY48" i="4"/>
  <c r="AZ48" i="4"/>
  <c r="BA48" i="4"/>
  <c r="BB48" i="4"/>
  <c r="BC48" i="4"/>
  <c r="BD48" i="4"/>
  <c r="BE48" i="4"/>
  <c r="BF48" i="4"/>
  <c r="BG48" i="4"/>
  <c r="BH48" i="4"/>
  <c r="BK48" i="4"/>
  <c r="BL48" i="4"/>
  <c r="BM48" i="4"/>
  <c r="BN48" i="4"/>
  <c r="BO48" i="4"/>
  <c r="BP48" i="4"/>
  <c r="BQ48" i="4"/>
  <c r="BR48" i="4"/>
  <c r="BS48" i="4"/>
  <c r="BT48" i="4"/>
  <c r="BU48" i="4"/>
  <c r="BV48" i="4"/>
  <c r="BW48" i="4"/>
  <c r="BX48" i="4"/>
  <c r="BY48" i="4"/>
  <c r="BZ48" i="4"/>
  <c r="CA48" i="4"/>
  <c r="CB48" i="4"/>
  <c r="CC48" i="4"/>
  <c r="CD48" i="4"/>
  <c r="CE48" i="4"/>
  <c r="CF48" i="4"/>
  <c r="CG48" i="4"/>
  <c r="CH48" i="4"/>
  <c r="CI48" i="4"/>
  <c r="CJ48" i="4"/>
  <c r="CK48" i="4"/>
  <c r="CL48" i="4"/>
  <c r="CM48" i="4"/>
  <c r="AF49" i="4"/>
  <c r="AG49" i="4"/>
  <c r="AH49" i="4"/>
  <c r="AI49" i="4"/>
  <c r="AJ49" i="4"/>
  <c r="AK49" i="4"/>
  <c r="AL49" i="4"/>
  <c r="AM49" i="4"/>
  <c r="AN49" i="4"/>
  <c r="AO49" i="4"/>
  <c r="AP49" i="4"/>
  <c r="AQ49" i="4"/>
  <c r="AR49" i="4"/>
  <c r="AS49" i="4"/>
  <c r="AT49" i="4"/>
  <c r="AU49" i="4"/>
  <c r="AV49" i="4"/>
  <c r="AW49" i="4"/>
  <c r="AX49" i="4"/>
  <c r="AY49" i="4"/>
  <c r="AZ49" i="4"/>
  <c r="BA49" i="4"/>
  <c r="BB49" i="4"/>
  <c r="BC49" i="4"/>
  <c r="BD49" i="4"/>
  <c r="BE49" i="4"/>
  <c r="BF49" i="4"/>
  <c r="BG49" i="4"/>
  <c r="BH49" i="4"/>
  <c r="BK49" i="4"/>
  <c r="BL49" i="4"/>
  <c r="BM49" i="4"/>
  <c r="BN49" i="4"/>
  <c r="BO49" i="4"/>
  <c r="BP49" i="4"/>
  <c r="BQ49" i="4"/>
  <c r="BR49" i="4"/>
  <c r="BS49" i="4"/>
  <c r="BT49" i="4"/>
  <c r="BU49" i="4"/>
  <c r="BV49" i="4"/>
  <c r="BW49" i="4"/>
  <c r="BX49" i="4"/>
  <c r="BY49" i="4"/>
  <c r="BZ49" i="4"/>
  <c r="CA49" i="4"/>
  <c r="CB49" i="4"/>
  <c r="CC49" i="4"/>
  <c r="CD49" i="4"/>
  <c r="CE49" i="4"/>
  <c r="CF49" i="4"/>
  <c r="CG49" i="4"/>
  <c r="CH49" i="4"/>
  <c r="CI49" i="4"/>
  <c r="CJ49" i="4"/>
  <c r="CK49" i="4"/>
  <c r="CL49" i="4"/>
  <c r="CM49" i="4"/>
  <c r="AF50" i="4"/>
  <c r="AG50" i="4"/>
  <c r="AH50" i="4"/>
  <c r="AI50" i="4"/>
  <c r="AJ50" i="4"/>
  <c r="AK50" i="4"/>
  <c r="AL50" i="4"/>
  <c r="AM50" i="4"/>
  <c r="AN50" i="4"/>
  <c r="AO50" i="4"/>
  <c r="AP50" i="4"/>
  <c r="AQ50" i="4"/>
  <c r="AR50" i="4"/>
  <c r="AS50" i="4"/>
  <c r="AT50" i="4"/>
  <c r="AU50" i="4"/>
  <c r="AV50" i="4"/>
  <c r="AW50" i="4"/>
  <c r="AX50" i="4"/>
  <c r="AY50" i="4"/>
  <c r="AZ50" i="4"/>
  <c r="BA50" i="4"/>
  <c r="BB50" i="4"/>
  <c r="BC50" i="4"/>
  <c r="BD50" i="4"/>
  <c r="BE50" i="4"/>
  <c r="BF50" i="4"/>
  <c r="BG50" i="4"/>
  <c r="BH50" i="4"/>
  <c r="BK50" i="4"/>
  <c r="BL50" i="4"/>
  <c r="BM50" i="4"/>
  <c r="BN50" i="4"/>
  <c r="BO50" i="4"/>
  <c r="BP50" i="4"/>
  <c r="BQ50" i="4"/>
  <c r="BR50" i="4"/>
  <c r="BS50" i="4"/>
  <c r="BT50" i="4"/>
  <c r="BU50" i="4"/>
  <c r="BV50" i="4"/>
  <c r="BW50" i="4"/>
  <c r="BX50" i="4"/>
  <c r="BY50" i="4"/>
  <c r="BZ50" i="4"/>
  <c r="CA50" i="4"/>
  <c r="CB50" i="4"/>
  <c r="CC50" i="4"/>
  <c r="CD50" i="4"/>
  <c r="CE50" i="4"/>
  <c r="CF50" i="4"/>
  <c r="CG50" i="4"/>
  <c r="CH50" i="4"/>
  <c r="CI50" i="4"/>
  <c r="CJ50" i="4"/>
  <c r="CK50" i="4"/>
  <c r="CL50" i="4"/>
  <c r="CM50" i="4"/>
  <c r="AF51" i="4"/>
  <c r="AG51" i="4"/>
  <c r="AH51" i="4"/>
  <c r="AI51" i="4"/>
  <c r="AJ51" i="4"/>
  <c r="AK51" i="4"/>
  <c r="AL51" i="4"/>
  <c r="AM51" i="4"/>
  <c r="AN51" i="4"/>
  <c r="AO51" i="4"/>
  <c r="AP51" i="4"/>
  <c r="AQ51" i="4"/>
  <c r="AR51" i="4"/>
  <c r="AS51" i="4"/>
  <c r="AT51" i="4"/>
  <c r="AU51" i="4"/>
  <c r="AV51" i="4"/>
  <c r="AW51" i="4"/>
  <c r="AX51" i="4"/>
  <c r="AY51" i="4"/>
  <c r="AZ51" i="4"/>
  <c r="BA51" i="4"/>
  <c r="BB51" i="4"/>
  <c r="BC51" i="4"/>
  <c r="BD51" i="4"/>
  <c r="BE51" i="4"/>
  <c r="BF51" i="4"/>
  <c r="BG51" i="4"/>
  <c r="BH51" i="4"/>
  <c r="BK51" i="4"/>
  <c r="BL51" i="4"/>
  <c r="BM51" i="4"/>
  <c r="BN51" i="4"/>
  <c r="BO51" i="4"/>
  <c r="BP51" i="4"/>
  <c r="BQ51" i="4"/>
  <c r="BR51" i="4"/>
  <c r="BS51" i="4"/>
  <c r="BT51" i="4"/>
  <c r="BU51" i="4"/>
  <c r="BV51" i="4"/>
  <c r="BW51" i="4"/>
  <c r="BX51" i="4"/>
  <c r="BY51" i="4"/>
  <c r="BZ51" i="4"/>
  <c r="CA51" i="4"/>
  <c r="CB51" i="4"/>
  <c r="CC51" i="4"/>
  <c r="CD51" i="4"/>
  <c r="CE51" i="4"/>
  <c r="CF51" i="4"/>
  <c r="CG51" i="4"/>
  <c r="CH51" i="4"/>
  <c r="CI51" i="4"/>
  <c r="CJ51" i="4"/>
  <c r="CK51" i="4"/>
  <c r="CL51" i="4"/>
  <c r="CM51" i="4"/>
  <c r="AF52" i="4"/>
  <c r="AG52" i="4"/>
  <c r="AH52" i="4"/>
  <c r="AI52" i="4"/>
  <c r="AJ52" i="4"/>
  <c r="AK52" i="4"/>
  <c r="AL52" i="4"/>
  <c r="AM52" i="4"/>
  <c r="AN52" i="4"/>
  <c r="AO52" i="4"/>
  <c r="AP52" i="4"/>
  <c r="AQ52" i="4"/>
  <c r="AR52" i="4"/>
  <c r="AS52" i="4"/>
  <c r="AT52" i="4"/>
  <c r="AU52" i="4"/>
  <c r="AV52" i="4"/>
  <c r="AW52" i="4"/>
  <c r="AX52" i="4"/>
  <c r="AY52" i="4"/>
  <c r="AZ52" i="4"/>
  <c r="BA52" i="4"/>
  <c r="BB52" i="4"/>
  <c r="BC52" i="4"/>
  <c r="BD52" i="4"/>
  <c r="BE52" i="4"/>
  <c r="BF52" i="4"/>
  <c r="BG52" i="4"/>
  <c r="BH52" i="4"/>
  <c r="BK52" i="4"/>
  <c r="BL52" i="4"/>
  <c r="BM52" i="4"/>
  <c r="BN52" i="4"/>
  <c r="BO52" i="4"/>
  <c r="BP52" i="4"/>
  <c r="BQ52" i="4"/>
  <c r="BR52" i="4"/>
  <c r="BS52" i="4"/>
  <c r="BT52" i="4"/>
  <c r="BU52" i="4"/>
  <c r="BV52" i="4"/>
  <c r="BW52" i="4"/>
  <c r="BX52" i="4"/>
  <c r="BY52" i="4"/>
  <c r="BZ52" i="4"/>
  <c r="CA52" i="4"/>
  <c r="CB52" i="4"/>
  <c r="CC52" i="4"/>
  <c r="CD52" i="4"/>
  <c r="CE52" i="4"/>
  <c r="CF52" i="4"/>
  <c r="CG52" i="4"/>
  <c r="CH52" i="4"/>
  <c r="CI52" i="4"/>
  <c r="CJ52" i="4"/>
  <c r="CK52" i="4"/>
  <c r="CL52" i="4"/>
  <c r="CM52" i="4"/>
  <c r="B53" i="4"/>
  <c r="C53" i="4"/>
  <c r="D53" i="4"/>
  <c r="F53" i="4"/>
  <c r="G53" i="4"/>
  <c r="H53" i="4"/>
  <c r="I53" i="4"/>
  <c r="J53" i="4"/>
  <c r="K53" i="4"/>
  <c r="L53" i="4"/>
  <c r="M53" i="4"/>
  <c r="N53" i="4"/>
  <c r="O53" i="4"/>
  <c r="P53" i="4"/>
  <c r="Q53" i="4"/>
  <c r="R53" i="4"/>
  <c r="S53" i="4"/>
  <c r="T53" i="4"/>
  <c r="U53" i="4"/>
  <c r="V53" i="4"/>
  <c r="W53" i="4"/>
  <c r="X53" i="4"/>
  <c r="Y53" i="4"/>
  <c r="Z53" i="4"/>
  <c r="AA53" i="4"/>
  <c r="AB53" i="4"/>
  <c r="AC53" i="4"/>
  <c r="AF53" i="4"/>
  <c r="AG53" i="4"/>
  <c r="AH53" i="4"/>
  <c r="AI53" i="4"/>
  <c r="AJ53" i="4"/>
  <c r="AK53" i="4"/>
  <c r="AL53" i="4"/>
  <c r="AM53" i="4"/>
  <c r="AN53" i="4"/>
  <c r="AO53" i="4"/>
  <c r="AP53" i="4"/>
  <c r="AQ53" i="4"/>
  <c r="AR53" i="4"/>
  <c r="AS53" i="4"/>
  <c r="AT53" i="4"/>
  <c r="AU53" i="4"/>
  <c r="AV53" i="4"/>
  <c r="AW53" i="4"/>
  <c r="AX53" i="4"/>
  <c r="AY53" i="4"/>
  <c r="AZ53" i="4"/>
  <c r="BA53" i="4"/>
  <c r="BB53" i="4"/>
  <c r="BC53" i="4"/>
  <c r="BD53" i="4"/>
  <c r="BE53" i="4"/>
  <c r="BF53" i="4"/>
  <c r="BG53" i="4"/>
  <c r="BH53" i="4"/>
  <c r="BK53" i="4"/>
  <c r="BL53" i="4"/>
  <c r="BM53" i="4"/>
  <c r="BN53" i="4"/>
  <c r="BO53" i="4"/>
  <c r="BP53" i="4"/>
  <c r="BQ53" i="4"/>
  <c r="BR53" i="4"/>
  <c r="BS53" i="4"/>
  <c r="BT53" i="4"/>
  <c r="BU53" i="4"/>
  <c r="BV53" i="4"/>
  <c r="BW53" i="4"/>
  <c r="BX53" i="4"/>
  <c r="BY53" i="4"/>
  <c r="BZ53" i="4"/>
  <c r="CA53" i="4"/>
  <c r="CB53" i="4"/>
  <c r="CC53" i="4"/>
  <c r="CD53" i="4"/>
  <c r="CE53" i="4"/>
  <c r="CF53" i="4"/>
  <c r="CG53" i="4"/>
  <c r="CH53" i="4"/>
  <c r="CI53" i="4"/>
  <c r="CJ53" i="4"/>
  <c r="CK53" i="4"/>
  <c r="CL53" i="4"/>
  <c r="CM53" i="4"/>
  <c r="B54" i="4"/>
  <c r="C54" i="4"/>
  <c r="D54" i="4"/>
  <c r="F54" i="4"/>
  <c r="G54" i="4"/>
  <c r="H54" i="4"/>
  <c r="I54" i="4"/>
  <c r="J54" i="4"/>
  <c r="K54" i="4"/>
  <c r="L54" i="4"/>
  <c r="M54" i="4"/>
  <c r="N54" i="4"/>
  <c r="O54" i="4"/>
  <c r="P54" i="4"/>
  <c r="Q54" i="4"/>
  <c r="R54" i="4"/>
  <c r="S54" i="4"/>
  <c r="T54" i="4"/>
  <c r="U54" i="4"/>
  <c r="V54" i="4"/>
  <c r="W54" i="4"/>
  <c r="X54" i="4"/>
  <c r="Y54" i="4"/>
  <c r="Z54" i="4"/>
  <c r="AA54" i="4"/>
  <c r="AB54" i="4"/>
  <c r="AC54" i="4"/>
  <c r="AF54" i="4"/>
  <c r="AG54" i="4"/>
  <c r="AH54" i="4"/>
  <c r="AI54" i="4"/>
  <c r="AJ54" i="4"/>
  <c r="AK54" i="4"/>
  <c r="AL54" i="4"/>
  <c r="AM54" i="4"/>
  <c r="AN54" i="4"/>
  <c r="AO54" i="4"/>
  <c r="AP54" i="4"/>
  <c r="AQ54" i="4"/>
  <c r="AR54" i="4"/>
  <c r="AS54" i="4"/>
  <c r="AT54" i="4"/>
  <c r="AU54" i="4"/>
  <c r="AV54" i="4"/>
  <c r="AW54" i="4"/>
  <c r="AX54" i="4"/>
  <c r="AY54" i="4"/>
  <c r="AZ54" i="4"/>
  <c r="BA54" i="4"/>
  <c r="BB54" i="4"/>
  <c r="BC54" i="4"/>
  <c r="BD54" i="4"/>
  <c r="BE54" i="4"/>
  <c r="BF54" i="4"/>
  <c r="BG54" i="4"/>
  <c r="BH54" i="4"/>
  <c r="BK54" i="4"/>
  <c r="BL54" i="4"/>
  <c r="BM54" i="4"/>
  <c r="BN54" i="4"/>
  <c r="BO54" i="4"/>
  <c r="BP54" i="4"/>
  <c r="BQ54" i="4"/>
  <c r="BR54" i="4"/>
  <c r="BS54" i="4"/>
  <c r="BT54" i="4"/>
  <c r="BU54" i="4"/>
  <c r="BV54" i="4"/>
  <c r="BW54" i="4"/>
  <c r="BX54" i="4"/>
  <c r="BY54" i="4"/>
  <c r="BZ54" i="4"/>
  <c r="CA54" i="4"/>
  <c r="CB54" i="4"/>
  <c r="CC54" i="4"/>
  <c r="CD54" i="4"/>
  <c r="CE54" i="4"/>
  <c r="CF54" i="4"/>
  <c r="CG54" i="4"/>
  <c r="CH54" i="4"/>
  <c r="CI54" i="4"/>
  <c r="CJ54" i="4"/>
  <c r="CK54" i="4"/>
  <c r="CL54" i="4"/>
  <c r="CM54" i="4"/>
  <c r="B55" i="4"/>
  <c r="C55" i="4"/>
  <c r="D55" i="4"/>
  <c r="F55" i="4"/>
  <c r="G55" i="4"/>
  <c r="H55" i="4"/>
  <c r="I55" i="4"/>
  <c r="J55" i="4"/>
  <c r="K55" i="4"/>
  <c r="L55" i="4"/>
  <c r="M55" i="4"/>
  <c r="N55" i="4"/>
  <c r="O55" i="4"/>
  <c r="P55" i="4"/>
  <c r="Q55" i="4"/>
  <c r="R55" i="4"/>
  <c r="S55" i="4"/>
  <c r="T55" i="4"/>
  <c r="U55" i="4"/>
  <c r="V55" i="4"/>
  <c r="W55" i="4"/>
  <c r="X55" i="4"/>
  <c r="Y55" i="4"/>
  <c r="Z55" i="4"/>
  <c r="AA55" i="4"/>
  <c r="AB55" i="4"/>
  <c r="AC55" i="4"/>
  <c r="AF55" i="4"/>
  <c r="AG55" i="4"/>
  <c r="AH55" i="4"/>
  <c r="AI55" i="4"/>
  <c r="AJ55" i="4"/>
  <c r="AK55" i="4"/>
  <c r="AL55" i="4"/>
  <c r="AM55" i="4"/>
  <c r="AN55" i="4"/>
  <c r="AO55" i="4"/>
  <c r="AP55" i="4"/>
  <c r="AQ55" i="4"/>
  <c r="AR55" i="4"/>
  <c r="AS55" i="4"/>
  <c r="AT55" i="4"/>
  <c r="AU55" i="4"/>
  <c r="AV55" i="4"/>
  <c r="AW55" i="4"/>
  <c r="AX55" i="4"/>
  <c r="AY55" i="4"/>
  <c r="AZ55" i="4"/>
  <c r="BA55" i="4"/>
  <c r="BB55" i="4"/>
  <c r="BC55" i="4"/>
  <c r="BD55" i="4"/>
  <c r="BE55" i="4"/>
  <c r="BF55" i="4"/>
  <c r="BG55" i="4"/>
  <c r="BH55" i="4"/>
  <c r="BK55" i="4"/>
  <c r="BL55" i="4"/>
  <c r="BM55" i="4"/>
  <c r="BN55" i="4"/>
  <c r="BO55" i="4"/>
  <c r="BP55" i="4"/>
  <c r="BQ55" i="4"/>
  <c r="BR55" i="4"/>
  <c r="BS55" i="4"/>
  <c r="BT55" i="4"/>
  <c r="BU55" i="4"/>
  <c r="BV55" i="4"/>
  <c r="BW55" i="4"/>
  <c r="BX55" i="4"/>
  <c r="BY55" i="4"/>
  <c r="BZ55" i="4"/>
  <c r="CA55" i="4"/>
  <c r="CB55" i="4"/>
  <c r="CC55" i="4"/>
  <c r="CD55" i="4"/>
  <c r="CE55" i="4"/>
  <c r="CF55" i="4"/>
  <c r="CG55" i="4"/>
  <c r="CH55" i="4"/>
  <c r="CI55" i="4"/>
  <c r="CJ55" i="4"/>
  <c r="CK55" i="4"/>
  <c r="CL55" i="4"/>
  <c r="CM55" i="4"/>
  <c r="B56" i="4"/>
  <c r="C56" i="4"/>
  <c r="D56" i="4"/>
  <c r="F56" i="4"/>
  <c r="G56" i="4"/>
  <c r="H56" i="4"/>
  <c r="I56" i="4"/>
  <c r="J56" i="4"/>
  <c r="K56" i="4"/>
  <c r="L56" i="4"/>
  <c r="M56" i="4"/>
  <c r="N56" i="4"/>
  <c r="O56" i="4"/>
  <c r="P56" i="4"/>
  <c r="Q56" i="4"/>
  <c r="R56" i="4"/>
  <c r="S56" i="4"/>
  <c r="T56" i="4"/>
  <c r="U56" i="4"/>
  <c r="V56" i="4"/>
  <c r="W56" i="4"/>
  <c r="X56" i="4"/>
  <c r="Y56" i="4"/>
  <c r="Z56" i="4"/>
  <c r="AA56" i="4"/>
  <c r="AB56" i="4"/>
  <c r="AC56" i="4"/>
  <c r="AF56" i="4"/>
  <c r="AG56" i="4"/>
  <c r="AH56" i="4"/>
  <c r="AI56" i="4"/>
  <c r="AJ56" i="4"/>
  <c r="AK56" i="4"/>
  <c r="AL56" i="4"/>
  <c r="AM56" i="4"/>
  <c r="AN56" i="4"/>
  <c r="AO56" i="4"/>
  <c r="AP56" i="4"/>
  <c r="AQ56" i="4"/>
  <c r="AR56" i="4"/>
  <c r="AS56" i="4"/>
  <c r="AT56" i="4"/>
  <c r="AU56" i="4"/>
  <c r="AV56" i="4"/>
  <c r="AW56" i="4"/>
  <c r="AX56" i="4"/>
  <c r="AY56" i="4"/>
  <c r="AZ56" i="4"/>
  <c r="BA56" i="4"/>
  <c r="BB56" i="4"/>
  <c r="BC56" i="4"/>
  <c r="BD56" i="4"/>
  <c r="BE56" i="4"/>
  <c r="BF56" i="4"/>
  <c r="BG56" i="4"/>
  <c r="BH56" i="4"/>
  <c r="BK56" i="4"/>
  <c r="BL56" i="4"/>
  <c r="BM56" i="4"/>
  <c r="BN56" i="4"/>
  <c r="BO56" i="4"/>
  <c r="BP56" i="4"/>
  <c r="BQ56" i="4"/>
  <c r="BR56" i="4"/>
  <c r="BS56" i="4"/>
  <c r="BT56" i="4"/>
  <c r="BU56" i="4"/>
  <c r="BV56" i="4"/>
  <c r="BW56" i="4"/>
  <c r="BX56" i="4"/>
  <c r="BY56" i="4"/>
  <c r="BZ56" i="4"/>
  <c r="CA56" i="4"/>
  <c r="CB56" i="4"/>
  <c r="CC56" i="4"/>
  <c r="CD56" i="4"/>
  <c r="CE56" i="4"/>
  <c r="CF56" i="4"/>
  <c r="CG56" i="4"/>
  <c r="CH56" i="4"/>
  <c r="CI56" i="4"/>
  <c r="CJ56" i="4"/>
  <c r="CK56" i="4"/>
  <c r="CL56" i="4"/>
  <c r="CM56" i="4"/>
  <c r="B57" i="4"/>
  <c r="C57" i="4"/>
  <c r="D57" i="4"/>
  <c r="F57" i="4"/>
  <c r="G57" i="4"/>
  <c r="H57" i="4"/>
  <c r="I57" i="4"/>
  <c r="J57" i="4"/>
  <c r="K57" i="4"/>
  <c r="L57" i="4"/>
  <c r="M57" i="4"/>
  <c r="N57" i="4"/>
  <c r="O57" i="4"/>
  <c r="P57" i="4"/>
  <c r="Q57" i="4"/>
  <c r="R57" i="4"/>
  <c r="S57" i="4"/>
  <c r="T57" i="4"/>
  <c r="U57" i="4"/>
  <c r="V57" i="4"/>
  <c r="W57" i="4"/>
  <c r="X57" i="4"/>
  <c r="Y57" i="4"/>
  <c r="Z57" i="4"/>
  <c r="AA57" i="4"/>
  <c r="AB57" i="4"/>
  <c r="AC57" i="4"/>
  <c r="AF57" i="4"/>
  <c r="AG57" i="4"/>
  <c r="AH57" i="4"/>
  <c r="AI57" i="4"/>
  <c r="AJ57" i="4"/>
  <c r="AK57" i="4"/>
  <c r="AL57" i="4"/>
  <c r="AM57" i="4"/>
  <c r="AN57" i="4"/>
  <c r="AO57" i="4"/>
  <c r="AP57" i="4"/>
  <c r="AQ57" i="4"/>
  <c r="AR57" i="4"/>
  <c r="AS57" i="4"/>
  <c r="AT57" i="4"/>
  <c r="AU57" i="4"/>
  <c r="AV57" i="4"/>
  <c r="AW57" i="4"/>
  <c r="AX57" i="4"/>
  <c r="AY57" i="4"/>
  <c r="AZ57" i="4"/>
  <c r="BA57" i="4"/>
  <c r="BB57" i="4"/>
  <c r="BC57" i="4"/>
  <c r="BD57" i="4"/>
  <c r="BE57" i="4"/>
  <c r="BF57" i="4"/>
  <c r="BG57" i="4"/>
  <c r="BH57" i="4"/>
  <c r="BK57" i="4"/>
  <c r="BL57" i="4"/>
  <c r="BM57" i="4"/>
  <c r="BN57" i="4"/>
  <c r="BO57" i="4"/>
  <c r="BP57" i="4"/>
  <c r="BQ57" i="4"/>
  <c r="BR57" i="4"/>
  <c r="BS57" i="4"/>
  <c r="BT57" i="4"/>
  <c r="BU57" i="4"/>
  <c r="BV57" i="4"/>
  <c r="BW57" i="4"/>
  <c r="BX57" i="4"/>
  <c r="BY57" i="4"/>
  <c r="BZ57" i="4"/>
  <c r="CA57" i="4"/>
  <c r="CB57" i="4"/>
  <c r="CC57" i="4"/>
  <c r="CD57" i="4"/>
  <c r="CE57" i="4"/>
  <c r="CF57" i="4"/>
  <c r="CG57" i="4"/>
  <c r="CH57" i="4"/>
  <c r="CI57" i="4"/>
  <c r="CJ57" i="4"/>
  <c r="CK57" i="4"/>
  <c r="CL57" i="4"/>
  <c r="CM57" i="4"/>
  <c r="B58" i="4"/>
  <c r="C58" i="4"/>
  <c r="D58" i="4"/>
  <c r="F58" i="4"/>
  <c r="G58" i="4"/>
  <c r="H58" i="4"/>
  <c r="I58" i="4"/>
  <c r="J58" i="4"/>
  <c r="K58" i="4"/>
  <c r="L58" i="4"/>
  <c r="M58" i="4"/>
  <c r="N58" i="4"/>
  <c r="O58" i="4"/>
  <c r="P58" i="4"/>
  <c r="Q58" i="4"/>
  <c r="R58" i="4"/>
  <c r="S58" i="4"/>
  <c r="T58" i="4"/>
  <c r="U58" i="4"/>
  <c r="V58" i="4"/>
  <c r="W58" i="4"/>
  <c r="X58" i="4"/>
  <c r="Y58" i="4"/>
  <c r="Z58" i="4"/>
  <c r="AA58" i="4"/>
  <c r="AB58" i="4"/>
  <c r="AC58" i="4"/>
  <c r="AF58" i="4"/>
  <c r="AG58" i="4"/>
  <c r="AH58" i="4"/>
  <c r="AI58" i="4"/>
  <c r="AJ58" i="4"/>
  <c r="AK58" i="4"/>
  <c r="AL58" i="4"/>
  <c r="AM58" i="4"/>
  <c r="AN58" i="4"/>
  <c r="AO58" i="4"/>
  <c r="AP58" i="4"/>
  <c r="AQ58" i="4"/>
  <c r="AR58" i="4"/>
  <c r="AS58" i="4"/>
  <c r="AT58" i="4"/>
  <c r="AU58" i="4"/>
  <c r="AV58" i="4"/>
  <c r="AW58" i="4"/>
  <c r="AX58" i="4"/>
  <c r="AY58" i="4"/>
  <c r="AZ58" i="4"/>
  <c r="BA58" i="4"/>
  <c r="BB58" i="4"/>
  <c r="BC58" i="4"/>
  <c r="BD58" i="4"/>
  <c r="BE58" i="4"/>
  <c r="BF58" i="4"/>
  <c r="BG58" i="4"/>
  <c r="BH58" i="4"/>
  <c r="BK58" i="4"/>
  <c r="BL58" i="4"/>
  <c r="BM58" i="4"/>
  <c r="BN58" i="4"/>
  <c r="BO58" i="4"/>
  <c r="BP58" i="4"/>
  <c r="BQ58" i="4"/>
  <c r="BR58" i="4"/>
  <c r="BS58" i="4"/>
  <c r="BT58" i="4"/>
  <c r="BU58" i="4"/>
  <c r="BV58" i="4"/>
  <c r="BW58" i="4"/>
  <c r="BX58" i="4"/>
  <c r="BY58" i="4"/>
  <c r="BZ58" i="4"/>
  <c r="CA58" i="4"/>
  <c r="CB58" i="4"/>
  <c r="CC58" i="4"/>
  <c r="CD58" i="4"/>
  <c r="CE58" i="4"/>
  <c r="CF58" i="4"/>
  <c r="CG58" i="4"/>
  <c r="CH58" i="4"/>
  <c r="CI58" i="4"/>
  <c r="CJ58" i="4"/>
  <c r="CK58" i="4"/>
  <c r="CL58" i="4"/>
  <c r="CM58" i="4"/>
  <c r="B59" i="4"/>
  <c r="C59" i="4"/>
  <c r="D59" i="4"/>
  <c r="F59" i="4"/>
  <c r="G59" i="4"/>
  <c r="H59" i="4"/>
  <c r="I59" i="4"/>
  <c r="J59" i="4"/>
  <c r="K59" i="4"/>
  <c r="L59" i="4"/>
  <c r="M59" i="4"/>
  <c r="N59" i="4"/>
  <c r="O59" i="4"/>
  <c r="P59" i="4"/>
  <c r="Q59" i="4"/>
  <c r="R59" i="4"/>
  <c r="S59" i="4"/>
  <c r="T59" i="4"/>
  <c r="U59" i="4"/>
  <c r="V59" i="4"/>
  <c r="W59" i="4"/>
  <c r="X59" i="4"/>
  <c r="Y59" i="4"/>
  <c r="Z59" i="4"/>
  <c r="AA59" i="4"/>
  <c r="AB59" i="4"/>
  <c r="AC59" i="4"/>
  <c r="B60" i="4"/>
  <c r="C60" i="4"/>
  <c r="D60" i="4"/>
  <c r="F60" i="4"/>
  <c r="G60" i="4"/>
  <c r="H60" i="4"/>
  <c r="I60" i="4"/>
  <c r="J60" i="4"/>
  <c r="K60" i="4"/>
  <c r="L60" i="4"/>
  <c r="M60" i="4"/>
  <c r="N60" i="4"/>
  <c r="O60" i="4"/>
  <c r="P60" i="4"/>
  <c r="Q60" i="4"/>
  <c r="R60" i="4"/>
  <c r="S60" i="4"/>
  <c r="T60" i="4"/>
  <c r="U60" i="4"/>
  <c r="V60" i="4"/>
  <c r="W60" i="4"/>
  <c r="X60" i="4"/>
  <c r="Y60" i="4"/>
  <c r="Z60" i="4"/>
  <c r="AA60" i="4"/>
  <c r="AB60" i="4"/>
  <c r="AC60" i="4"/>
  <c r="B61" i="4"/>
  <c r="C61" i="4"/>
  <c r="D61" i="4"/>
  <c r="F61" i="4"/>
  <c r="G61" i="4"/>
  <c r="H61" i="4"/>
  <c r="I61" i="4"/>
  <c r="J61" i="4"/>
  <c r="K61" i="4"/>
  <c r="L61" i="4"/>
  <c r="M61" i="4"/>
  <c r="N61" i="4"/>
  <c r="O61" i="4"/>
  <c r="P61" i="4"/>
  <c r="Q61" i="4"/>
  <c r="R61" i="4"/>
  <c r="S61" i="4"/>
  <c r="T61" i="4"/>
  <c r="U61" i="4"/>
  <c r="V61" i="4"/>
  <c r="W61" i="4"/>
  <c r="X61" i="4"/>
  <c r="Y61" i="4"/>
  <c r="Z61" i="4"/>
  <c r="AA61" i="4"/>
  <c r="AB61" i="4"/>
  <c r="AC61" i="4"/>
  <c r="B62" i="4"/>
  <c r="C62" i="4"/>
  <c r="D62" i="4"/>
  <c r="F62" i="4"/>
  <c r="G62" i="4"/>
  <c r="H62" i="4"/>
  <c r="I62" i="4"/>
  <c r="J62" i="4"/>
  <c r="K62" i="4"/>
  <c r="L62" i="4"/>
  <c r="M62" i="4"/>
  <c r="N62" i="4"/>
  <c r="O62" i="4"/>
  <c r="P62" i="4"/>
  <c r="Q62" i="4"/>
  <c r="R62" i="4"/>
  <c r="S62" i="4"/>
  <c r="T62" i="4"/>
  <c r="U62" i="4"/>
  <c r="V62" i="4"/>
  <c r="W62" i="4"/>
  <c r="X62" i="4"/>
  <c r="Y62" i="4"/>
  <c r="Z62" i="4"/>
  <c r="AA62" i="4"/>
  <c r="AB62" i="4"/>
  <c r="AC62" i="4"/>
  <c r="B63" i="4"/>
  <c r="C63" i="4"/>
  <c r="D63" i="4"/>
  <c r="F63" i="4"/>
  <c r="G63" i="4"/>
  <c r="H63" i="4"/>
  <c r="I63" i="4"/>
  <c r="J63" i="4"/>
  <c r="K63" i="4"/>
  <c r="L63" i="4"/>
  <c r="M63" i="4"/>
  <c r="N63" i="4"/>
  <c r="O63" i="4"/>
  <c r="P63" i="4"/>
  <c r="Q63" i="4"/>
  <c r="R63" i="4"/>
  <c r="S63" i="4"/>
  <c r="T63" i="4"/>
  <c r="U63" i="4"/>
  <c r="V63" i="4"/>
  <c r="W63" i="4"/>
  <c r="X63" i="4"/>
  <c r="Y63" i="4"/>
  <c r="Z63" i="4"/>
  <c r="AA63" i="4"/>
  <c r="AB63" i="4"/>
  <c r="AC63" i="4"/>
  <c r="B64" i="4"/>
  <c r="C64" i="4"/>
  <c r="D64" i="4"/>
  <c r="F64" i="4"/>
  <c r="G64" i="4"/>
  <c r="H64" i="4"/>
  <c r="I64" i="4"/>
  <c r="J64" i="4"/>
  <c r="K64" i="4"/>
  <c r="L64" i="4"/>
  <c r="M64" i="4"/>
  <c r="N64" i="4"/>
  <c r="O64" i="4"/>
  <c r="P64" i="4"/>
  <c r="Q64" i="4"/>
  <c r="R64" i="4"/>
  <c r="S64" i="4"/>
  <c r="T64" i="4"/>
  <c r="U64" i="4"/>
  <c r="V64" i="4"/>
  <c r="W64" i="4"/>
  <c r="X64" i="4"/>
  <c r="Y64" i="4"/>
  <c r="Z64" i="4"/>
  <c r="AA64" i="4"/>
  <c r="AB64" i="4"/>
  <c r="AC64" i="4"/>
  <c r="B69" i="4"/>
  <c r="C69" i="4"/>
  <c r="D69" i="4"/>
  <c r="F69" i="4"/>
  <c r="G69" i="4"/>
  <c r="H69" i="4"/>
  <c r="I69" i="4"/>
  <c r="J69" i="4"/>
  <c r="K69" i="4"/>
  <c r="L69" i="4"/>
  <c r="M69" i="4"/>
  <c r="N69" i="4"/>
  <c r="O69" i="4"/>
  <c r="P69" i="4"/>
  <c r="Q69" i="4"/>
  <c r="R69" i="4"/>
  <c r="S69" i="4"/>
  <c r="T69" i="4"/>
  <c r="U69" i="4"/>
  <c r="V69" i="4"/>
  <c r="W69" i="4"/>
  <c r="X69" i="4"/>
  <c r="Y69" i="4"/>
  <c r="Z69" i="4"/>
  <c r="AA69" i="4"/>
  <c r="AB69" i="4"/>
  <c r="AC69" i="4"/>
  <c r="B70" i="4"/>
  <c r="C70" i="4"/>
  <c r="D70" i="4"/>
  <c r="F70" i="4"/>
  <c r="G70" i="4"/>
  <c r="H70" i="4"/>
  <c r="I70" i="4"/>
  <c r="J70" i="4"/>
  <c r="K70" i="4"/>
  <c r="L70" i="4"/>
  <c r="M70" i="4"/>
  <c r="N70" i="4"/>
  <c r="O70" i="4"/>
  <c r="P70" i="4"/>
  <c r="Q70" i="4"/>
  <c r="R70" i="4"/>
  <c r="S70" i="4"/>
  <c r="T70" i="4"/>
  <c r="U70" i="4"/>
  <c r="V70" i="4"/>
  <c r="W70" i="4"/>
  <c r="X70" i="4"/>
  <c r="Y70" i="4"/>
  <c r="Z70" i="4"/>
  <c r="AA70" i="4"/>
  <c r="AB70" i="4"/>
  <c r="AC70" i="4"/>
  <c r="B71" i="4"/>
  <c r="C71" i="4"/>
  <c r="D71" i="4"/>
  <c r="F71" i="4"/>
  <c r="G71" i="4"/>
  <c r="H71" i="4"/>
  <c r="I71" i="4"/>
  <c r="J71" i="4"/>
  <c r="K71" i="4"/>
  <c r="L71" i="4"/>
  <c r="M71" i="4"/>
  <c r="N71" i="4"/>
  <c r="O71" i="4"/>
  <c r="P71" i="4"/>
  <c r="Q71" i="4"/>
  <c r="R71" i="4"/>
  <c r="S71" i="4"/>
  <c r="T71" i="4"/>
  <c r="U71" i="4"/>
  <c r="V71" i="4"/>
  <c r="W71" i="4"/>
  <c r="X71" i="4"/>
  <c r="Y71" i="4"/>
  <c r="Z71" i="4"/>
  <c r="AA71" i="4"/>
  <c r="AB71" i="4"/>
  <c r="AC71" i="4"/>
  <c r="B72" i="4"/>
  <c r="C72" i="4"/>
  <c r="D72" i="4"/>
  <c r="F72" i="4"/>
  <c r="G72" i="4"/>
  <c r="H72" i="4"/>
  <c r="I72" i="4"/>
  <c r="J72" i="4"/>
  <c r="K72" i="4"/>
  <c r="L72" i="4"/>
  <c r="M72" i="4"/>
  <c r="N72" i="4"/>
  <c r="O72" i="4"/>
  <c r="P72" i="4"/>
  <c r="Q72" i="4"/>
  <c r="R72" i="4"/>
  <c r="S72" i="4"/>
  <c r="T72" i="4"/>
  <c r="U72" i="4"/>
  <c r="V72" i="4"/>
  <c r="W72" i="4"/>
  <c r="X72" i="4"/>
  <c r="Y72" i="4"/>
  <c r="Z72" i="4"/>
  <c r="AA72" i="4"/>
  <c r="AB72" i="4"/>
  <c r="AC72" i="4"/>
  <c r="B73" i="4"/>
  <c r="C73" i="4"/>
  <c r="D73" i="4"/>
  <c r="F73" i="4"/>
  <c r="G73" i="4"/>
  <c r="H73" i="4"/>
  <c r="I73" i="4"/>
  <c r="J73" i="4"/>
  <c r="K73" i="4"/>
  <c r="L73" i="4"/>
  <c r="M73" i="4"/>
  <c r="N73" i="4"/>
  <c r="O73" i="4"/>
  <c r="P73" i="4"/>
  <c r="Q73" i="4"/>
  <c r="R73" i="4"/>
  <c r="S73" i="4"/>
  <c r="T73" i="4"/>
  <c r="U73" i="4"/>
  <c r="V73" i="4"/>
  <c r="W73" i="4"/>
  <c r="X73" i="4"/>
  <c r="Y73" i="4"/>
  <c r="Z73" i="4"/>
  <c r="AA73" i="4"/>
  <c r="AB73" i="4"/>
  <c r="AC73" i="4"/>
  <c r="B74" i="4"/>
  <c r="C74" i="4"/>
  <c r="D74" i="4"/>
  <c r="F74" i="4"/>
  <c r="G74" i="4"/>
  <c r="H74" i="4"/>
  <c r="I74" i="4"/>
  <c r="J74" i="4"/>
  <c r="K74" i="4"/>
  <c r="L74" i="4"/>
  <c r="M74" i="4"/>
  <c r="N74" i="4"/>
  <c r="O74" i="4"/>
  <c r="P74" i="4"/>
  <c r="Q74" i="4"/>
  <c r="R74" i="4"/>
  <c r="S74" i="4"/>
  <c r="T74" i="4"/>
  <c r="U74" i="4"/>
  <c r="V74" i="4"/>
  <c r="W74" i="4"/>
  <c r="X74" i="4"/>
  <c r="Y74" i="4"/>
  <c r="Z74" i="4"/>
  <c r="AA74" i="4"/>
  <c r="AB74" i="4"/>
  <c r="AC74" i="4"/>
  <c r="B75" i="4"/>
  <c r="C75" i="4"/>
  <c r="D75" i="4"/>
  <c r="F75" i="4"/>
  <c r="G75" i="4"/>
  <c r="H75" i="4"/>
  <c r="I75" i="4"/>
  <c r="J75" i="4"/>
  <c r="K75" i="4"/>
  <c r="L75" i="4"/>
  <c r="M75" i="4"/>
  <c r="N75" i="4"/>
  <c r="O75" i="4"/>
  <c r="P75" i="4"/>
  <c r="Q75" i="4"/>
  <c r="R75" i="4"/>
  <c r="S75" i="4"/>
  <c r="T75" i="4"/>
  <c r="U75" i="4"/>
  <c r="V75" i="4"/>
  <c r="W75" i="4"/>
  <c r="X75" i="4"/>
  <c r="Y75" i="4"/>
  <c r="Z75" i="4"/>
  <c r="AA75" i="4"/>
  <c r="AB75" i="4"/>
  <c r="AC75" i="4"/>
  <c r="B76" i="4"/>
  <c r="C76" i="4"/>
  <c r="D76" i="4"/>
  <c r="F76" i="4"/>
  <c r="G76" i="4"/>
  <c r="H76" i="4"/>
  <c r="I76" i="4"/>
  <c r="J76" i="4"/>
  <c r="K76" i="4"/>
  <c r="L76" i="4"/>
  <c r="M76" i="4"/>
  <c r="N76" i="4"/>
  <c r="O76" i="4"/>
  <c r="P76" i="4"/>
  <c r="Q76" i="4"/>
  <c r="R76" i="4"/>
  <c r="S76" i="4"/>
  <c r="T76" i="4"/>
  <c r="U76" i="4"/>
  <c r="V76" i="4"/>
  <c r="W76" i="4"/>
  <c r="X76" i="4"/>
  <c r="Y76" i="4"/>
  <c r="Z76" i="4"/>
  <c r="AA76" i="4"/>
  <c r="AB76" i="4"/>
  <c r="AC76" i="4"/>
  <c r="B77" i="4"/>
  <c r="C77" i="4"/>
  <c r="D77" i="4"/>
  <c r="F77" i="4"/>
  <c r="G77" i="4"/>
  <c r="H77" i="4"/>
  <c r="I77" i="4"/>
  <c r="J77" i="4"/>
  <c r="K77" i="4"/>
  <c r="L77" i="4"/>
  <c r="M77" i="4"/>
  <c r="N77" i="4"/>
  <c r="O77" i="4"/>
  <c r="P77" i="4"/>
  <c r="Q77" i="4"/>
  <c r="R77" i="4"/>
  <c r="S77" i="4"/>
  <c r="T77" i="4"/>
  <c r="U77" i="4"/>
  <c r="V77" i="4"/>
  <c r="W77" i="4"/>
  <c r="X77" i="4"/>
  <c r="Y77" i="4"/>
  <c r="Z77" i="4"/>
  <c r="AA77" i="4"/>
  <c r="AB77" i="4"/>
  <c r="AC77" i="4"/>
  <c r="B78" i="4"/>
  <c r="C78" i="4"/>
  <c r="D78" i="4"/>
  <c r="F78" i="4"/>
  <c r="G78" i="4"/>
  <c r="H78" i="4"/>
  <c r="I78" i="4"/>
  <c r="J78" i="4"/>
  <c r="K78" i="4"/>
  <c r="L78" i="4"/>
  <c r="M78" i="4"/>
  <c r="N78" i="4"/>
  <c r="O78" i="4"/>
  <c r="P78" i="4"/>
  <c r="Q78" i="4"/>
  <c r="R78" i="4"/>
  <c r="S78" i="4"/>
  <c r="T78" i="4"/>
  <c r="U78" i="4"/>
  <c r="V78" i="4"/>
  <c r="W78" i="4"/>
  <c r="X78" i="4"/>
  <c r="Y78" i="4"/>
  <c r="Z78" i="4"/>
  <c r="AA78" i="4"/>
  <c r="AB78" i="4"/>
  <c r="AC78" i="4"/>
  <c r="B79" i="4"/>
  <c r="C79" i="4"/>
  <c r="D79" i="4"/>
  <c r="F79" i="4"/>
  <c r="G79" i="4"/>
  <c r="H79" i="4"/>
  <c r="I79" i="4"/>
  <c r="J79" i="4"/>
  <c r="K79" i="4"/>
  <c r="L79" i="4"/>
  <c r="M79" i="4"/>
  <c r="N79" i="4"/>
  <c r="O79" i="4"/>
  <c r="P79" i="4"/>
  <c r="Q79" i="4"/>
  <c r="R79" i="4"/>
  <c r="S79" i="4"/>
  <c r="T79" i="4"/>
  <c r="U79" i="4"/>
  <c r="V79" i="4"/>
  <c r="W79" i="4"/>
  <c r="X79" i="4"/>
  <c r="Y79" i="4"/>
  <c r="Z79" i="4"/>
  <c r="AA79" i="4"/>
  <c r="AB79" i="4"/>
  <c r="AC79" i="4"/>
  <c r="B80" i="4"/>
  <c r="C80" i="4"/>
  <c r="D80" i="4"/>
  <c r="F80" i="4"/>
  <c r="G80" i="4"/>
  <c r="H80" i="4"/>
  <c r="I80" i="4"/>
  <c r="J80" i="4"/>
  <c r="K80" i="4"/>
  <c r="L80" i="4"/>
  <c r="M80" i="4"/>
  <c r="N80" i="4"/>
  <c r="O80" i="4"/>
  <c r="P80" i="4"/>
  <c r="Q80" i="4"/>
  <c r="R80" i="4"/>
  <c r="S80" i="4"/>
  <c r="T80" i="4"/>
  <c r="U80" i="4"/>
  <c r="V80" i="4"/>
  <c r="W80" i="4"/>
  <c r="X80" i="4"/>
  <c r="Y80" i="4"/>
  <c r="Z80" i="4"/>
  <c r="AA80" i="4"/>
  <c r="AB80" i="4"/>
  <c r="AC80" i="4"/>
  <c r="H6" i="16"/>
  <c r="I6" i="16"/>
  <c r="J6" i="16"/>
  <c r="K6" i="16"/>
  <c r="L6" i="16"/>
  <c r="M6" i="16"/>
  <c r="N6" i="16"/>
  <c r="O6" i="16"/>
  <c r="P6" i="16"/>
  <c r="Q6" i="16"/>
  <c r="R6" i="16"/>
  <c r="S6" i="16"/>
  <c r="T6" i="16"/>
  <c r="U6" i="16"/>
  <c r="V6" i="16"/>
  <c r="W6" i="16"/>
  <c r="X6" i="16"/>
  <c r="Y6" i="16"/>
  <c r="Z6" i="16"/>
  <c r="AA6" i="16"/>
  <c r="AB6" i="16"/>
  <c r="AC6" i="16"/>
  <c r="AD6" i="16"/>
  <c r="AE6" i="16"/>
  <c r="AG6" i="16"/>
  <c r="AH6" i="16"/>
  <c r="AI6" i="16"/>
  <c r="AJ6" i="16"/>
  <c r="AK6" i="16"/>
  <c r="AL6" i="16"/>
  <c r="AM6" i="16"/>
  <c r="AN6" i="16"/>
  <c r="AO6" i="16"/>
  <c r="AP6" i="16"/>
  <c r="AQ6" i="16"/>
  <c r="AR6" i="16"/>
  <c r="AS6" i="16"/>
  <c r="AT6" i="16"/>
  <c r="AU6" i="16"/>
  <c r="AV6" i="16"/>
  <c r="AW6" i="16"/>
  <c r="AX6" i="16"/>
  <c r="AY6" i="16"/>
  <c r="AZ6" i="16"/>
  <c r="BA6" i="16"/>
  <c r="BB6" i="16"/>
  <c r="BC6" i="16"/>
  <c r="BD6" i="16"/>
  <c r="BF6" i="16"/>
  <c r="BG6" i="16"/>
  <c r="BH6" i="16"/>
  <c r="BI6" i="16"/>
  <c r="BJ6" i="16"/>
  <c r="BK6" i="16"/>
  <c r="BL6" i="16"/>
  <c r="BM6" i="16"/>
  <c r="BN6" i="16"/>
  <c r="BO6" i="16"/>
  <c r="BP6" i="16"/>
  <c r="BQ6" i="16"/>
  <c r="BR6" i="16"/>
  <c r="BS6" i="16"/>
  <c r="BT6" i="16"/>
  <c r="BU6" i="16"/>
  <c r="BV6" i="16"/>
  <c r="BW6" i="16"/>
  <c r="BX6" i="16"/>
  <c r="BY6" i="16"/>
  <c r="BZ6" i="16"/>
  <c r="CA6" i="16"/>
  <c r="CB6" i="16"/>
  <c r="CC6" i="16"/>
  <c r="CE6" i="16"/>
  <c r="CF6" i="16"/>
  <c r="CG6" i="16"/>
  <c r="CH6" i="16"/>
  <c r="CI6" i="16"/>
  <c r="CJ6" i="16"/>
  <c r="CK6" i="16"/>
  <c r="CL6" i="16"/>
  <c r="CM6" i="16"/>
  <c r="CN6" i="16"/>
  <c r="CO6" i="16"/>
  <c r="CP6" i="16"/>
  <c r="CQ6" i="16"/>
  <c r="CR6" i="16"/>
  <c r="CS6" i="16"/>
  <c r="CT6" i="16"/>
  <c r="CU6" i="16"/>
  <c r="CV6" i="16"/>
  <c r="CW6" i="16"/>
  <c r="CX6" i="16"/>
  <c r="CY6" i="16"/>
  <c r="CZ6" i="16"/>
  <c r="DA6" i="16"/>
  <c r="DB6" i="16"/>
  <c r="DH6" i="16"/>
  <c r="DI6" i="16"/>
  <c r="DJ6" i="16"/>
  <c r="H7" i="16"/>
  <c r="I7" i="16"/>
  <c r="J7" i="16"/>
  <c r="K7" i="16"/>
  <c r="L7" i="16"/>
  <c r="M7" i="16"/>
  <c r="N7" i="16"/>
  <c r="O7" i="16"/>
  <c r="P7" i="16"/>
  <c r="Q7" i="16"/>
  <c r="R7" i="16"/>
  <c r="S7" i="16"/>
  <c r="T7" i="16"/>
  <c r="U7" i="16"/>
  <c r="V7" i="16"/>
  <c r="W7" i="16"/>
  <c r="X7" i="16"/>
  <c r="Y7" i="16"/>
  <c r="Z7" i="16"/>
  <c r="AA7" i="16"/>
  <c r="AB7" i="16"/>
  <c r="AC7" i="16"/>
  <c r="AD7" i="16"/>
  <c r="AE7" i="16"/>
  <c r="AG7" i="16"/>
  <c r="AH7" i="16"/>
  <c r="AI7" i="16"/>
  <c r="AJ7" i="16"/>
  <c r="AK7" i="16"/>
  <c r="AL7" i="16"/>
  <c r="AM7" i="16"/>
  <c r="AN7" i="16"/>
  <c r="AO7" i="16"/>
  <c r="AP7" i="16"/>
  <c r="AQ7" i="16"/>
  <c r="AR7" i="16"/>
  <c r="AS7" i="16"/>
  <c r="AT7" i="16"/>
  <c r="AU7" i="16"/>
  <c r="AV7" i="16"/>
  <c r="AW7" i="16"/>
  <c r="AX7" i="16"/>
  <c r="AY7" i="16"/>
  <c r="AZ7" i="16"/>
  <c r="BA7" i="16"/>
  <c r="BB7" i="16"/>
  <c r="BC7" i="16"/>
  <c r="BD7" i="16"/>
  <c r="BF7" i="16"/>
  <c r="BG7" i="16"/>
  <c r="BH7" i="16"/>
  <c r="BI7" i="16"/>
  <c r="BJ7" i="16"/>
  <c r="BK7" i="16"/>
  <c r="BL7" i="16"/>
  <c r="BM7" i="16"/>
  <c r="BN7" i="16"/>
  <c r="BO7" i="16"/>
  <c r="BP7" i="16"/>
  <c r="BQ7" i="16"/>
  <c r="BR7" i="16"/>
  <c r="BS7" i="16"/>
  <c r="BT7" i="16"/>
  <c r="BU7" i="16"/>
  <c r="BV7" i="16"/>
  <c r="BW7" i="16"/>
  <c r="BX7" i="16"/>
  <c r="BY7" i="16"/>
  <c r="BZ7" i="16"/>
  <c r="CA7" i="16"/>
  <c r="CB7" i="16"/>
  <c r="CC7" i="16"/>
  <c r="CE7" i="16"/>
  <c r="CF7" i="16"/>
  <c r="CG7" i="16"/>
  <c r="CH7" i="16"/>
  <c r="CI7" i="16"/>
  <c r="CJ7" i="16"/>
  <c r="CK7" i="16"/>
  <c r="CL7" i="16"/>
  <c r="CM7" i="16"/>
  <c r="CN7" i="16"/>
  <c r="CO7" i="16"/>
  <c r="CP7" i="16"/>
  <c r="CQ7" i="16"/>
  <c r="CR7" i="16"/>
  <c r="CS7" i="16"/>
  <c r="CT7" i="16"/>
  <c r="CU7" i="16"/>
  <c r="CV7" i="16"/>
  <c r="CW7" i="16"/>
  <c r="CX7" i="16"/>
  <c r="CY7" i="16"/>
  <c r="CZ7" i="16"/>
  <c r="DA7" i="16"/>
  <c r="DB7" i="16"/>
  <c r="DH7" i="16"/>
  <c r="DI7" i="16"/>
  <c r="DJ7" i="16"/>
  <c r="H8" i="16"/>
  <c r="I8" i="16"/>
  <c r="J8" i="16"/>
  <c r="K8" i="16"/>
  <c r="L8" i="16"/>
  <c r="M8" i="16"/>
  <c r="N8" i="16"/>
  <c r="O8" i="16"/>
  <c r="P8" i="16"/>
  <c r="Q8" i="16"/>
  <c r="R8" i="16"/>
  <c r="S8" i="16"/>
  <c r="T8" i="16"/>
  <c r="U8" i="16"/>
  <c r="V8" i="16"/>
  <c r="W8" i="16"/>
  <c r="X8" i="16"/>
  <c r="Y8" i="16"/>
  <c r="Z8" i="16"/>
  <c r="AA8" i="16"/>
  <c r="AB8" i="16"/>
  <c r="AC8" i="16"/>
  <c r="AD8" i="16"/>
  <c r="AE8" i="16"/>
  <c r="AG8" i="16"/>
  <c r="AH8" i="16"/>
  <c r="AI8" i="16"/>
  <c r="AJ8" i="16"/>
  <c r="AK8" i="16"/>
  <c r="AL8" i="16"/>
  <c r="AM8" i="16"/>
  <c r="AN8" i="16"/>
  <c r="AO8" i="16"/>
  <c r="AP8" i="16"/>
  <c r="AQ8" i="16"/>
  <c r="AR8" i="16"/>
  <c r="AS8" i="16"/>
  <c r="AT8" i="16"/>
  <c r="AU8" i="16"/>
  <c r="AV8" i="16"/>
  <c r="AW8" i="16"/>
  <c r="AX8" i="16"/>
  <c r="AY8" i="16"/>
  <c r="AZ8" i="16"/>
  <c r="BA8" i="16"/>
  <c r="BB8" i="16"/>
  <c r="BC8" i="16"/>
  <c r="BD8" i="16"/>
  <c r="BF8" i="16"/>
  <c r="BG8" i="16"/>
  <c r="BH8" i="16"/>
  <c r="BI8" i="16"/>
  <c r="BJ8" i="16"/>
  <c r="BK8" i="16"/>
  <c r="BL8" i="16"/>
  <c r="BM8" i="16"/>
  <c r="BN8" i="16"/>
  <c r="BO8" i="16"/>
  <c r="BP8" i="16"/>
  <c r="BQ8" i="16"/>
  <c r="BR8" i="16"/>
  <c r="BS8" i="16"/>
  <c r="BT8" i="16"/>
  <c r="BU8" i="16"/>
  <c r="BV8" i="16"/>
  <c r="BW8" i="16"/>
  <c r="BX8" i="16"/>
  <c r="BY8" i="16"/>
  <c r="BZ8" i="16"/>
  <c r="CA8" i="16"/>
  <c r="CB8" i="16"/>
  <c r="CC8" i="16"/>
  <c r="CE8" i="16"/>
  <c r="CF8" i="16"/>
  <c r="CG8" i="16"/>
  <c r="CH8" i="16"/>
  <c r="CI8" i="16"/>
  <c r="CJ8" i="16"/>
  <c r="CK8" i="16"/>
  <c r="CL8" i="16"/>
  <c r="CM8" i="16"/>
  <c r="CN8" i="16"/>
  <c r="CO8" i="16"/>
  <c r="CP8" i="16"/>
  <c r="CQ8" i="16"/>
  <c r="CR8" i="16"/>
  <c r="CS8" i="16"/>
  <c r="CT8" i="16"/>
  <c r="CU8" i="16"/>
  <c r="CV8" i="16"/>
  <c r="CW8" i="16"/>
  <c r="CX8" i="16"/>
  <c r="CY8" i="16"/>
  <c r="CZ8" i="16"/>
  <c r="DA8" i="16"/>
  <c r="DB8" i="16"/>
  <c r="DH8" i="16"/>
  <c r="DI8" i="16"/>
  <c r="DJ8" i="16"/>
  <c r="H9" i="16"/>
  <c r="I9" i="16"/>
  <c r="J9" i="16"/>
  <c r="K9" i="16"/>
  <c r="L9" i="16"/>
  <c r="M9" i="16"/>
  <c r="N9" i="16"/>
  <c r="O9" i="16"/>
  <c r="P9" i="16"/>
  <c r="Q9" i="16"/>
  <c r="R9" i="16"/>
  <c r="S9" i="16"/>
  <c r="T9" i="16"/>
  <c r="U9" i="16"/>
  <c r="V9" i="16"/>
  <c r="W9" i="16"/>
  <c r="X9" i="16"/>
  <c r="Y9" i="16"/>
  <c r="Z9" i="16"/>
  <c r="AA9" i="16"/>
  <c r="AB9" i="16"/>
  <c r="AC9" i="16"/>
  <c r="AD9" i="16"/>
  <c r="AE9" i="16"/>
  <c r="AG9" i="16"/>
  <c r="AH9" i="16"/>
  <c r="AI9" i="16"/>
  <c r="AJ9" i="16"/>
  <c r="AK9" i="16"/>
  <c r="AL9" i="16"/>
  <c r="AM9" i="16"/>
  <c r="AN9" i="16"/>
  <c r="AO9" i="16"/>
  <c r="AP9" i="16"/>
  <c r="AQ9" i="16"/>
  <c r="AR9" i="16"/>
  <c r="AS9" i="16"/>
  <c r="AT9" i="16"/>
  <c r="AU9" i="16"/>
  <c r="AV9" i="16"/>
  <c r="AW9" i="16"/>
  <c r="AX9" i="16"/>
  <c r="AY9" i="16"/>
  <c r="AZ9" i="16"/>
  <c r="BA9" i="16"/>
  <c r="BB9" i="16"/>
  <c r="BC9" i="16"/>
  <c r="BD9" i="16"/>
  <c r="BF9" i="16"/>
  <c r="BG9" i="16"/>
  <c r="BH9" i="16"/>
  <c r="BI9" i="16"/>
  <c r="BJ9" i="16"/>
  <c r="BK9" i="16"/>
  <c r="BL9" i="16"/>
  <c r="BM9" i="16"/>
  <c r="BN9" i="16"/>
  <c r="BO9" i="16"/>
  <c r="BP9" i="16"/>
  <c r="BQ9" i="16"/>
  <c r="BR9" i="16"/>
  <c r="BS9" i="16"/>
  <c r="BT9" i="16"/>
  <c r="BU9" i="16"/>
  <c r="BV9" i="16"/>
  <c r="BW9" i="16"/>
  <c r="BX9" i="16"/>
  <c r="BY9" i="16"/>
  <c r="BZ9" i="16"/>
  <c r="CA9" i="16"/>
  <c r="CB9" i="16"/>
  <c r="CC9" i="16"/>
  <c r="CE9" i="16"/>
  <c r="CF9" i="16"/>
  <c r="CG9" i="16"/>
  <c r="CH9" i="16"/>
  <c r="CI9" i="16"/>
  <c r="CJ9" i="16"/>
  <c r="CK9" i="16"/>
  <c r="CL9" i="16"/>
  <c r="CM9" i="16"/>
  <c r="CN9" i="16"/>
  <c r="CO9" i="16"/>
  <c r="CP9" i="16"/>
  <c r="CQ9" i="16"/>
  <c r="CR9" i="16"/>
  <c r="CS9" i="16"/>
  <c r="CT9" i="16"/>
  <c r="CU9" i="16"/>
  <c r="CV9" i="16"/>
  <c r="CW9" i="16"/>
  <c r="CX9" i="16"/>
  <c r="CY9" i="16"/>
  <c r="CZ9" i="16"/>
  <c r="DA9" i="16"/>
  <c r="DB9" i="16"/>
  <c r="DH9" i="16"/>
  <c r="DI9" i="16"/>
  <c r="DJ9" i="16"/>
  <c r="H10" i="16"/>
  <c r="I10" i="16"/>
  <c r="J10" i="16"/>
  <c r="K10" i="16"/>
  <c r="L10" i="16"/>
  <c r="M10" i="16"/>
  <c r="N10" i="16"/>
  <c r="O10" i="16"/>
  <c r="P10" i="16"/>
  <c r="Q10" i="16"/>
  <c r="R10" i="16"/>
  <c r="S10" i="16"/>
  <c r="T10" i="16"/>
  <c r="U10" i="16"/>
  <c r="V10" i="16"/>
  <c r="W10" i="16"/>
  <c r="X10" i="16"/>
  <c r="Y10" i="16"/>
  <c r="Z10" i="16"/>
  <c r="AA10" i="16"/>
  <c r="AB10" i="16"/>
  <c r="AC10" i="16"/>
  <c r="AD10" i="16"/>
  <c r="AE10" i="16"/>
  <c r="AG10" i="16"/>
  <c r="AH10" i="16"/>
  <c r="AI10" i="16"/>
  <c r="AJ10" i="16"/>
  <c r="AK10" i="16"/>
  <c r="AL10" i="16"/>
  <c r="AM10" i="16"/>
  <c r="AN10" i="16"/>
  <c r="AO10" i="16"/>
  <c r="AP10" i="16"/>
  <c r="AQ10" i="16"/>
  <c r="AR10" i="16"/>
  <c r="AS10" i="16"/>
  <c r="AT10" i="16"/>
  <c r="AU10" i="16"/>
  <c r="AV10" i="16"/>
  <c r="AW10" i="16"/>
  <c r="AX10" i="16"/>
  <c r="AY10" i="16"/>
  <c r="AZ10" i="16"/>
  <c r="BA10" i="16"/>
  <c r="BB10" i="16"/>
  <c r="BC10" i="16"/>
  <c r="BD10" i="16"/>
  <c r="BF10" i="16"/>
  <c r="BG10" i="16"/>
  <c r="BH10" i="16"/>
  <c r="BI10" i="16"/>
  <c r="BJ10" i="16"/>
  <c r="BK10" i="16"/>
  <c r="BL10" i="16"/>
  <c r="BM10" i="16"/>
  <c r="BN10" i="16"/>
  <c r="BO10" i="16"/>
  <c r="BP10" i="16"/>
  <c r="BQ10" i="16"/>
  <c r="BR10" i="16"/>
  <c r="BS10" i="16"/>
  <c r="BT10" i="16"/>
  <c r="BU10" i="16"/>
  <c r="BV10" i="16"/>
  <c r="BW10" i="16"/>
  <c r="BX10" i="16"/>
  <c r="BY10" i="16"/>
  <c r="BZ10" i="16"/>
  <c r="CA10" i="16"/>
  <c r="CB10" i="16"/>
  <c r="CC10" i="16"/>
  <c r="CE10" i="16"/>
  <c r="CF10" i="16"/>
  <c r="CG10" i="16"/>
  <c r="CH10" i="16"/>
  <c r="CI10" i="16"/>
  <c r="CJ10" i="16"/>
  <c r="CK10" i="16"/>
  <c r="CL10" i="16"/>
  <c r="CM10" i="16"/>
  <c r="CN10" i="16"/>
  <c r="CO10" i="16"/>
  <c r="CP10" i="16"/>
  <c r="CQ10" i="16"/>
  <c r="CR10" i="16"/>
  <c r="CS10" i="16"/>
  <c r="CT10" i="16"/>
  <c r="CU10" i="16"/>
  <c r="CV10" i="16"/>
  <c r="CW10" i="16"/>
  <c r="CX10" i="16"/>
  <c r="CY10" i="16"/>
  <c r="CZ10" i="16"/>
  <c r="DA10" i="16"/>
  <c r="DB10" i="16"/>
  <c r="DH10" i="16"/>
  <c r="DI10" i="16"/>
  <c r="DJ10" i="16"/>
  <c r="H11" i="16"/>
  <c r="I11" i="16"/>
  <c r="J11" i="16"/>
  <c r="K11" i="16"/>
  <c r="L11" i="16"/>
  <c r="M11" i="16"/>
  <c r="N11" i="16"/>
  <c r="O11" i="16"/>
  <c r="P11" i="16"/>
  <c r="Q11" i="16"/>
  <c r="R11" i="16"/>
  <c r="S11" i="16"/>
  <c r="T11" i="16"/>
  <c r="U11" i="16"/>
  <c r="V11" i="16"/>
  <c r="W11" i="16"/>
  <c r="X11" i="16"/>
  <c r="Y11" i="16"/>
  <c r="Z11" i="16"/>
  <c r="AA11" i="16"/>
  <c r="AB11" i="16"/>
  <c r="AC11" i="16"/>
  <c r="AD11" i="16"/>
  <c r="AE11" i="16"/>
  <c r="AG11" i="16"/>
  <c r="AH11" i="16"/>
  <c r="AI11" i="16"/>
  <c r="AJ11" i="16"/>
  <c r="AK11" i="16"/>
  <c r="AL11" i="16"/>
  <c r="AM11" i="16"/>
  <c r="AN11" i="16"/>
  <c r="AO11" i="16"/>
  <c r="AP11" i="16"/>
  <c r="AQ11" i="16"/>
  <c r="AR11" i="16"/>
  <c r="AS11" i="16"/>
  <c r="AT11" i="16"/>
  <c r="AU11" i="16"/>
  <c r="AV11" i="16"/>
  <c r="AW11" i="16"/>
  <c r="AX11" i="16"/>
  <c r="AY11" i="16"/>
  <c r="AZ11" i="16"/>
  <c r="BA11" i="16"/>
  <c r="BB11" i="16"/>
  <c r="BC11" i="16"/>
  <c r="BD11" i="16"/>
  <c r="BF11" i="16"/>
  <c r="BG11" i="16"/>
  <c r="BH11" i="16"/>
  <c r="BI11" i="16"/>
  <c r="BJ11" i="16"/>
  <c r="BK11" i="16"/>
  <c r="BL11" i="16"/>
  <c r="BM11" i="16"/>
  <c r="BN11" i="16"/>
  <c r="BO11" i="16"/>
  <c r="BP11" i="16"/>
  <c r="BQ11" i="16"/>
  <c r="BR11" i="16"/>
  <c r="BS11" i="16"/>
  <c r="BT11" i="16"/>
  <c r="BU11" i="16"/>
  <c r="BV11" i="16"/>
  <c r="BW11" i="16"/>
  <c r="BX11" i="16"/>
  <c r="BY11" i="16"/>
  <c r="BZ11" i="16"/>
  <c r="CA11" i="16"/>
  <c r="CB11" i="16"/>
  <c r="CC11" i="16"/>
  <c r="CE11" i="16"/>
  <c r="CF11" i="16"/>
  <c r="CG11" i="16"/>
  <c r="CH11" i="16"/>
  <c r="CI11" i="16"/>
  <c r="CJ11" i="16"/>
  <c r="CK11" i="16"/>
  <c r="CL11" i="16"/>
  <c r="CM11" i="16"/>
  <c r="CN11" i="16"/>
  <c r="CO11" i="16"/>
  <c r="CP11" i="16"/>
  <c r="CQ11" i="16"/>
  <c r="CR11" i="16"/>
  <c r="CS11" i="16"/>
  <c r="CT11" i="16"/>
  <c r="CU11" i="16"/>
  <c r="CV11" i="16"/>
  <c r="CW11" i="16"/>
  <c r="CX11" i="16"/>
  <c r="CY11" i="16"/>
  <c r="CZ11" i="16"/>
  <c r="DA11" i="16"/>
  <c r="DB11" i="16"/>
  <c r="DH11" i="16"/>
  <c r="DI11" i="16"/>
  <c r="DJ11" i="16"/>
  <c r="H12" i="16"/>
  <c r="I12" i="16"/>
  <c r="J12" i="16"/>
  <c r="K12" i="16"/>
  <c r="L12" i="16"/>
  <c r="M12" i="16"/>
  <c r="N12" i="16"/>
  <c r="O12" i="16"/>
  <c r="P12" i="16"/>
  <c r="Q12" i="16"/>
  <c r="R12" i="16"/>
  <c r="S12" i="16"/>
  <c r="T12" i="16"/>
  <c r="U12" i="16"/>
  <c r="V12" i="16"/>
  <c r="W12" i="16"/>
  <c r="X12" i="16"/>
  <c r="Y12" i="16"/>
  <c r="Z12" i="16"/>
  <c r="AA12" i="16"/>
  <c r="AB12" i="16"/>
  <c r="AC12" i="16"/>
  <c r="AD12" i="16"/>
  <c r="AE12" i="16"/>
  <c r="AG12" i="16"/>
  <c r="AH12" i="16"/>
  <c r="AI12" i="16"/>
  <c r="AJ12" i="16"/>
  <c r="AK12" i="16"/>
  <c r="AL12" i="16"/>
  <c r="AM12" i="16"/>
  <c r="AN12" i="16"/>
  <c r="AO12" i="16"/>
  <c r="AP12" i="16"/>
  <c r="AQ12" i="16"/>
  <c r="AR12" i="16"/>
  <c r="AS12" i="16"/>
  <c r="AT12" i="16"/>
  <c r="AU12" i="16"/>
  <c r="AV12" i="16"/>
  <c r="AW12" i="16"/>
  <c r="AX12" i="16"/>
  <c r="AY12" i="16"/>
  <c r="AZ12" i="16"/>
  <c r="BA12" i="16"/>
  <c r="BB12" i="16"/>
  <c r="BC12" i="16"/>
  <c r="BD12" i="16"/>
  <c r="BF12" i="16"/>
  <c r="BG12" i="16"/>
  <c r="BH12" i="16"/>
  <c r="BI12" i="16"/>
  <c r="BJ12" i="16"/>
  <c r="BK12" i="16"/>
  <c r="BL12" i="16"/>
  <c r="BM12" i="16"/>
  <c r="BN12" i="16"/>
  <c r="BO12" i="16"/>
  <c r="BP12" i="16"/>
  <c r="BQ12" i="16"/>
  <c r="BR12" i="16"/>
  <c r="BS12" i="16"/>
  <c r="BT12" i="16"/>
  <c r="BU12" i="16"/>
  <c r="BV12" i="16"/>
  <c r="BW12" i="16"/>
  <c r="BX12" i="16"/>
  <c r="BY12" i="16"/>
  <c r="BZ12" i="16"/>
  <c r="CA12" i="16"/>
  <c r="CB12" i="16"/>
  <c r="CC12" i="16"/>
  <c r="CE12" i="16"/>
  <c r="CF12" i="16"/>
  <c r="CG12" i="16"/>
  <c r="CH12" i="16"/>
  <c r="CI12" i="16"/>
  <c r="CJ12" i="16"/>
  <c r="CK12" i="16"/>
  <c r="CL12" i="16"/>
  <c r="CM12" i="16"/>
  <c r="CN12" i="16"/>
  <c r="CO12" i="16"/>
  <c r="CP12" i="16"/>
  <c r="CQ12" i="16"/>
  <c r="CR12" i="16"/>
  <c r="CS12" i="16"/>
  <c r="CT12" i="16"/>
  <c r="CU12" i="16"/>
  <c r="CV12" i="16"/>
  <c r="CW12" i="16"/>
  <c r="CX12" i="16"/>
  <c r="CY12" i="16"/>
  <c r="CZ12" i="16"/>
  <c r="DA12" i="16"/>
  <c r="DB12" i="16"/>
  <c r="DH12" i="16"/>
  <c r="DI12" i="16"/>
  <c r="DJ12" i="16"/>
  <c r="H13" i="16"/>
  <c r="I13" i="16"/>
  <c r="J13" i="16"/>
  <c r="K13" i="16"/>
  <c r="L13" i="16"/>
  <c r="M13" i="16"/>
  <c r="N13" i="16"/>
  <c r="O13" i="16"/>
  <c r="P13" i="16"/>
  <c r="Q13" i="16"/>
  <c r="R13" i="16"/>
  <c r="S13" i="16"/>
  <c r="T13" i="16"/>
  <c r="U13" i="16"/>
  <c r="V13" i="16"/>
  <c r="W13" i="16"/>
  <c r="X13" i="16"/>
  <c r="Y13" i="16"/>
  <c r="Z13" i="16"/>
  <c r="AA13" i="16"/>
  <c r="AB13" i="16"/>
  <c r="AC13" i="16"/>
  <c r="AD13" i="16"/>
  <c r="AE13" i="16"/>
  <c r="AG13" i="16"/>
  <c r="AH13" i="16"/>
  <c r="AI13" i="16"/>
  <c r="AJ13" i="16"/>
  <c r="AK13" i="16"/>
  <c r="AL13" i="16"/>
  <c r="AM13" i="16"/>
  <c r="AN13" i="16"/>
  <c r="AO13" i="16"/>
  <c r="AP13" i="16"/>
  <c r="AQ13" i="16"/>
  <c r="AR13" i="16"/>
  <c r="AS13" i="16"/>
  <c r="AT13" i="16"/>
  <c r="AU13" i="16"/>
  <c r="AV13" i="16"/>
  <c r="AW13" i="16"/>
  <c r="AX13" i="16"/>
  <c r="AY13" i="16"/>
  <c r="AZ13" i="16"/>
  <c r="BA13" i="16"/>
  <c r="BB13" i="16"/>
  <c r="BC13" i="16"/>
  <c r="BD13" i="16"/>
  <c r="BF13" i="16"/>
  <c r="BG13" i="16"/>
  <c r="BH13" i="16"/>
  <c r="BI13" i="16"/>
  <c r="BJ13" i="16"/>
  <c r="BK13" i="16"/>
  <c r="BL13" i="16"/>
  <c r="BM13" i="16"/>
  <c r="BN13" i="16"/>
  <c r="BO13" i="16"/>
  <c r="BP13" i="16"/>
  <c r="BQ13" i="16"/>
  <c r="BR13" i="16"/>
  <c r="BS13" i="16"/>
  <c r="BT13" i="16"/>
  <c r="BU13" i="16"/>
  <c r="BV13" i="16"/>
  <c r="BW13" i="16"/>
  <c r="BX13" i="16"/>
  <c r="BY13" i="16"/>
  <c r="BZ13" i="16"/>
  <c r="CA13" i="16"/>
  <c r="CB13" i="16"/>
  <c r="CC13" i="16"/>
  <c r="CE13" i="16"/>
  <c r="CF13" i="16"/>
  <c r="CG13" i="16"/>
  <c r="CH13" i="16"/>
  <c r="CI13" i="16"/>
  <c r="CJ13" i="16"/>
  <c r="CK13" i="16"/>
  <c r="CL13" i="16"/>
  <c r="CM13" i="16"/>
  <c r="CN13" i="16"/>
  <c r="CO13" i="16"/>
  <c r="CP13" i="16"/>
  <c r="CQ13" i="16"/>
  <c r="CR13" i="16"/>
  <c r="CS13" i="16"/>
  <c r="CT13" i="16"/>
  <c r="CU13" i="16"/>
  <c r="CV13" i="16"/>
  <c r="CW13" i="16"/>
  <c r="CX13" i="16"/>
  <c r="CY13" i="16"/>
  <c r="CZ13" i="16"/>
  <c r="DA13" i="16"/>
  <c r="DB13" i="16"/>
  <c r="DH13" i="16"/>
  <c r="DI13" i="16"/>
  <c r="DJ13" i="16"/>
  <c r="H14" i="16"/>
  <c r="I14" i="16"/>
  <c r="J14" i="16"/>
  <c r="K14" i="16"/>
  <c r="L14" i="16"/>
  <c r="M14" i="16"/>
  <c r="N14" i="16"/>
  <c r="O14" i="16"/>
  <c r="P14" i="16"/>
  <c r="Q14" i="16"/>
  <c r="R14" i="16"/>
  <c r="S14" i="16"/>
  <c r="T14" i="16"/>
  <c r="U14" i="16"/>
  <c r="V14" i="16"/>
  <c r="W14" i="16"/>
  <c r="X14" i="16"/>
  <c r="Y14" i="16"/>
  <c r="Z14" i="16"/>
  <c r="AA14" i="16"/>
  <c r="AB14" i="16"/>
  <c r="AC14" i="16"/>
  <c r="AD14" i="16"/>
  <c r="AE14" i="16"/>
  <c r="AG14" i="16"/>
  <c r="AH14" i="16"/>
  <c r="AI14" i="16"/>
  <c r="AJ14" i="16"/>
  <c r="AK14" i="16"/>
  <c r="AL14" i="16"/>
  <c r="AM14" i="16"/>
  <c r="AN14" i="16"/>
  <c r="AO14" i="16"/>
  <c r="AP14" i="16"/>
  <c r="AQ14" i="16"/>
  <c r="AR14" i="16"/>
  <c r="AS14" i="16"/>
  <c r="AT14" i="16"/>
  <c r="AU14" i="16"/>
  <c r="AV14" i="16"/>
  <c r="AW14" i="16"/>
  <c r="AX14" i="16"/>
  <c r="AY14" i="16"/>
  <c r="AZ14" i="16"/>
  <c r="BA14" i="16"/>
  <c r="BB14" i="16"/>
  <c r="BC14" i="16"/>
  <c r="BD14" i="16"/>
  <c r="BF14" i="16"/>
  <c r="BG14" i="16"/>
  <c r="BH14" i="16"/>
  <c r="BI14" i="16"/>
  <c r="BJ14" i="16"/>
  <c r="BK14" i="16"/>
  <c r="BL14" i="16"/>
  <c r="BM14" i="16"/>
  <c r="BN14" i="16"/>
  <c r="BO14" i="16"/>
  <c r="BP14" i="16"/>
  <c r="BQ14" i="16"/>
  <c r="BR14" i="16"/>
  <c r="BS14" i="16"/>
  <c r="BT14" i="16"/>
  <c r="BU14" i="16"/>
  <c r="BV14" i="16"/>
  <c r="BW14" i="16"/>
  <c r="BX14" i="16"/>
  <c r="BY14" i="16"/>
  <c r="BZ14" i="16"/>
  <c r="CA14" i="16"/>
  <c r="CB14" i="16"/>
  <c r="CC14" i="16"/>
  <c r="CE14" i="16"/>
  <c r="CF14" i="16"/>
  <c r="CG14" i="16"/>
  <c r="CH14" i="16"/>
  <c r="CI14" i="16"/>
  <c r="CJ14" i="16"/>
  <c r="CK14" i="16"/>
  <c r="CL14" i="16"/>
  <c r="CM14" i="16"/>
  <c r="CN14" i="16"/>
  <c r="CO14" i="16"/>
  <c r="CP14" i="16"/>
  <c r="CQ14" i="16"/>
  <c r="CR14" i="16"/>
  <c r="CS14" i="16"/>
  <c r="CT14" i="16"/>
  <c r="CU14" i="16"/>
  <c r="CV14" i="16"/>
  <c r="CW14" i="16"/>
  <c r="CX14" i="16"/>
  <c r="CY14" i="16"/>
  <c r="CZ14" i="16"/>
  <c r="DA14" i="16"/>
  <c r="DB14" i="16"/>
  <c r="DH14" i="16"/>
  <c r="DI14" i="16"/>
  <c r="DJ14" i="16"/>
  <c r="H15" i="16"/>
  <c r="I15" i="16"/>
  <c r="J15" i="16"/>
  <c r="K15" i="16"/>
  <c r="L15" i="16"/>
  <c r="M15" i="16"/>
  <c r="N15" i="16"/>
  <c r="O15" i="16"/>
  <c r="P15" i="16"/>
  <c r="Q15" i="16"/>
  <c r="R15" i="16"/>
  <c r="S15" i="16"/>
  <c r="T15" i="16"/>
  <c r="U15" i="16"/>
  <c r="V15" i="16"/>
  <c r="W15" i="16"/>
  <c r="X15" i="16"/>
  <c r="Y15" i="16"/>
  <c r="Z15" i="16"/>
  <c r="AA15" i="16"/>
  <c r="AB15" i="16"/>
  <c r="AC15" i="16"/>
  <c r="AD15" i="16"/>
  <c r="AE15" i="16"/>
  <c r="AG15" i="16"/>
  <c r="AH15" i="16"/>
  <c r="AI15" i="16"/>
  <c r="AJ15" i="16"/>
  <c r="AK15" i="16"/>
  <c r="AL15" i="16"/>
  <c r="AM15" i="16"/>
  <c r="AN15" i="16"/>
  <c r="AO15" i="16"/>
  <c r="AP15" i="16"/>
  <c r="AQ15" i="16"/>
  <c r="AR15" i="16"/>
  <c r="AS15" i="16"/>
  <c r="AT15" i="16"/>
  <c r="AU15" i="16"/>
  <c r="AV15" i="16"/>
  <c r="AW15" i="16"/>
  <c r="AX15" i="16"/>
  <c r="AY15" i="16"/>
  <c r="AZ15" i="16"/>
  <c r="BA15" i="16"/>
  <c r="BB15" i="16"/>
  <c r="BC15" i="16"/>
  <c r="BD15" i="16"/>
  <c r="BF15" i="16"/>
  <c r="BG15" i="16"/>
  <c r="BH15" i="16"/>
  <c r="BI15" i="16"/>
  <c r="BJ15" i="16"/>
  <c r="BK15" i="16"/>
  <c r="BL15" i="16"/>
  <c r="BM15" i="16"/>
  <c r="BN15" i="16"/>
  <c r="BO15" i="16"/>
  <c r="BP15" i="16"/>
  <c r="BQ15" i="16"/>
  <c r="BR15" i="16"/>
  <c r="BS15" i="16"/>
  <c r="BT15" i="16"/>
  <c r="BU15" i="16"/>
  <c r="BV15" i="16"/>
  <c r="BW15" i="16"/>
  <c r="BX15" i="16"/>
  <c r="BY15" i="16"/>
  <c r="BZ15" i="16"/>
  <c r="CA15" i="16"/>
  <c r="CB15" i="16"/>
  <c r="CC15" i="16"/>
  <c r="CE15" i="16"/>
  <c r="CF15" i="16"/>
  <c r="CG15" i="16"/>
  <c r="CH15" i="16"/>
  <c r="CI15" i="16"/>
  <c r="CJ15" i="16"/>
  <c r="CK15" i="16"/>
  <c r="CL15" i="16"/>
  <c r="CM15" i="16"/>
  <c r="CN15" i="16"/>
  <c r="CO15" i="16"/>
  <c r="CP15" i="16"/>
  <c r="CQ15" i="16"/>
  <c r="CR15" i="16"/>
  <c r="CS15" i="16"/>
  <c r="CT15" i="16"/>
  <c r="CU15" i="16"/>
  <c r="CV15" i="16"/>
  <c r="CW15" i="16"/>
  <c r="CX15" i="16"/>
  <c r="CY15" i="16"/>
  <c r="CZ15" i="16"/>
  <c r="DA15" i="16"/>
  <c r="DB15" i="16"/>
  <c r="DH15" i="16"/>
  <c r="DI15" i="16"/>
  <c r="DJ15" i="16"/>
  <c r="H16" i="16"/>
  <c r="I16" i="16"/>
  <c r="J16" i="16"/>
  <c r="K16" i="16"/>
  <c r="L16" i="16"/>
  <c r="M16" i="16"/>
  <c r="N16" i="16"/>
  <c r="O16" i="16"/>
  <c r="P16" i="16"/>
  <c r="Q16" i="16"/>
  <c r="R16" i="16"/>
  <c r="S16" i="16"/>
  <c r="T16" i="16"/>
  <c r="U16" i="16"/>
  <c r="V16" i="16"/>
  <c r="W16" i="16"/>
  <c r="X16" i="16"/>
  <c r="Y16" i="16"/>
  <c r="Z16" i="16"/>
  <c r="AA16" i="16"/>
  <c r="AB16" i="16"/>
  <c r="AC16" i="16"/>
  <c r="AD16" i="16"/>
  <c r="AE16" i="16"/>
  <c r="AG16" i="16"/>
  <c r="AH16" i="16"/>
  <c r="AI16" i="16"/>
  <c r="AJ16" i="16"/>
  <c r="AK16" i="16"/>
  <c r="AL16" i="16"/>
  <c r="AM16" i="16"/>
  <c r="AN16" i="16"/>
  <c r="AO16" i="16"/>
  <c r="AP16" i="16"/>
  <c r="AQ16" i="16"/>
  <c r="AR16" i="16"/>
  <c r="AS16" i="16"/>
  <c r="AT16" i="16"/>
  <c r="AU16" i="16"/>
  <c r="AV16" i="16"/>
  <c r="AW16" i="16"/>
  <c r="AX16" i="16"/>
  <c r="AY16" i="16"/>
  <c r="AZ16" i="16"/>
  <c r="BA16" i="16"/>
  <c r="BB16" i="16"/>
  <c r="BC16" i="16"/>
  <c r="BD16" i="16"/>
  <c r="BF16" i="16"/>
  <c r="BG16" i="16"/>
  <c r="BH16" i="16"/>
  <c r="BI16" i="16"/>
  <c r="BJ16" i="16"/>
  <c r="BK16" i="16"/>
  <c r="BL16" i="16"/>
  <c r="BM16" i="16"/>
  <c r="BN16" i="16"/>
  <c r="BO16" i="16"/>
  <c r="BP16" i="16"/>
  <c r="BQ16" i="16"/>
  <c r="BR16" i="16"/>
  <c r="BS16" i="16"/>
  <c r="BT16" i="16"/>
  <c r="BU16" i="16"/>
  <c r="BV16" i="16"/>
  <c r="BW16" i="16"/>
  <c r="BX16" i="16"/>
  <c r="BY16" i="16"/>
  <c r="BZ16" i="16"/>
  <c r="CA16" i="16"/>
  <c r="CB16" i="16"/>
  <c r="CC16" i="16"/>
  <c r="CE16" i="16"/>
  <c r="CF16" i="16"/>
  <c r="CG16" i="16"/>
  <c r="CH16" i="16"/>
  <c r="CI16" i="16"/>
  <c r="CJ16" i="16"/>
  <c r="CK16" i="16"/>
  <c r="CL16" i="16"/>
  <c r="CM16" i="16"/>
  <c r="CN16" i="16"/>
  <c r="CO16" i="16"/>
  <c r="CP16" i="16"/>
  <c r="CQ16" i="16"/>
  <c r="CR16" i="16"/>
  <c r="CS16" i="16"/>
  <c r="CT16" i="16"/>
  <c r="CU16" i="16"/>
  <c r="CV16" i="16"/>
  <c r="CW16" i="16"/>
  <c r="CX16" i="16"/>
  <c r="CY16" i="16"/>
  <c r="CZ16" i="16"/>
  <c r="DA16" i="16"/>
  <c r="DB16" i="16"/>
  <c r="DH16" i="16"/>
  <c r="DI16" i="16"/>
  <c r="DJ16" i="16"/>
  <c r="H17" i="16"/>
  <c r="I17" i="16"/>
  <c r="J17" i="16"/>
  <c r="K17" i="16"/>
  <c r="L17" i="16"/>
  <c r="M17" i="16"/>
  <c r="N17" i="16"/>
  <c r="O17" i="16"/>
  <c r="P17" i="16"/>
  <c r="Q17" i="16"/>
  <c r="R17" i="16"/>
  <c r="S17" i="16"/>
  <c r="T17" i="16"/>
  <c r="U17" i="16"/>
  <c r="V17" i="16"/>
  <c r="W17" i="16"/>
  <c r="X17" i="16"/>
  <c r="Y17" i="16"/>
  <c r="Z17" i="16"/>
  <c r="AA17" i="16"/>
  <c r="AB17" i="16"/>
  <c r="AC17" i="16"/>
  <c r="AD17" i="16"/>
  <c r="AE17" i="16"/>
  <c r="AG17" i="16"/>
  <c r="AH17" i="16"/>
  <c r="AI17" i="16"/>
  <c r="AJ17" i="16"/>
  <c r="AK17" i="16"/>
  <c r="AL17" i="16"/>
  <c r="AM17" i="16"/>
  <c r="AN17" i="16"/>
  <c r="AO17" i="16"/>
  <c r="AP17" i="16"/>
  <c r="AQ17" i="16"/>
  <c r="AR17" i="16"/>
  <c r="AS17" i="16"/>
  <c r="AT17" i="16"/>
  <c r="AU17" i="16"/>
  <c r="AV17" i="16"/>
  <c r="AW17" i="16"/>
  <c r="AX17" i="16"/>
  <c r="AY17" i="16"/>
  <c r="AZ17" i="16"/>
  <c r="BA17" i="16"/>
  <c r="BB17" i="16"/>
  <c r="BC17" i="16"/>
  <c r="BD17" i="16"/>
  <c r="BF17" i="16"/>
  <c r="BG17" i="16"/>
  <c r="BH17" i="16"/>
  <c r="BI17" i="16"/>
  <c r="BJ17" i="16"/>
  <c r="BK17" i="16"/>
  <c r="BL17" i="16"/>
  <c r="BM17" i="16"/>
  <c r="BN17" i="16"/>
  <c r="BO17" i="16"/>
  <c r="BP17" i="16"/>
  <c r="BQ17" i="16"/>
  <c r="BR17" i="16"/>
  <c r="BS17" i="16"/>
  <c r="BT17" i="16"/>
  <c r="BU17" i="16"/>
  <c r="BV17" i="16"/>
  <c r="BW17" i="16"/>
  <c r="BX17" i="16"/>
  <c r="BY17" i="16"/>
  <c r="BZ17" i="16"/>
  <c r="CA17" i="16"/>
  <c r="CB17" i="16"/>
  <c r="CC17" i="16"/>
  <c r="CE17" i="16"/>
  <c r="CF17" i="16"/>
  <c r="CG17" i="16"/>
  <c r="CH17" i="16"/>
  <c r="CI17" i="16"/>
  <c r="CJ17" i="16"/>
  <c r="CK17" i="16"/>
  <c r="CL17" i="16"/>
  <c r="CM17" i="16"/>
  <c r="CN17" i="16"/>
  <c r="CO17" i="16"/>
  <c r="CP17" i="16"/>
  <c r="CQ17" i="16"/>
  <c r="CR17" i="16"/>
  <c r="CS17" i="16"/>
  <c r="CT17" i="16"/>
  <c r="CU17" i="16"/>
  <c r="CV17" i="16"/>
  <c r="CW17" i="16"/>
  <c r="CX17" i="16"/>
  <c r="CY17" i="16"/>
  <c r="CZ17" i="16"/>
  <c r="DA17" i="16"/>
  <c r="DB17" i="16"/>
  <c r="DH17" i="16"/>
  <c r="DI17" i="16"/>
  <c r="DJ17" i="16"/>
  <c r="H18" i="16"/>
  <c r="I18" i="16"/>
  <c r="J18" i="16"/>
  <c r="K18" i="16"/>
  <c r="L18" i="16"/>
  <c r="M18" i="16"/>
  <c r="N18" i="16"/>
  <c r="O18" i="16"/>
  <c r="P18" i="16"/>
  <c r="Q18" i="16"/>
  <c r="R18" i="16"/>
  <c r="S18" i="16"/>
  <c r="T18" i="16"/>
  <c r="U18" i="16"/>
  <c r="V18" i="16"/>
  <c r="W18" i="16"/>
  <c r="X18" i="16"/>
  <c r="Y18" i="16"/>
  <c r="Z18" i="16"/>
  <c r="AA18" i="16"/>
  <c r="AB18" i="16"/>
  <c r="AC18" i="16"/>
  <c r="AD18" i="16"/>
  <c r="AE18" i="16"/>
  <c r="AG18" i="16"/>
  <c r="AH18" i="16"/>
  <c r="AI18" i="16"/>
  <c r="AJ18" i="16"/>
  <c r="AK18" i="16"/>
  <c r="AL18" i="16"/>
  <c r="AM18" i="16"/>
  <c r="AN18" i="16"/>
  <c r="AO18" i="16"/>
  <c r="AP18" i="16"/>
  <c r="AQ18" i="16"/>
  <c r="AR18" i="16"/>
  <c r="AS18" i="16"/>
  <c r="AT18" i="16"/>
  <c r="AU18" i="16"/>
  <c r="AV18" i="16"/>
  <c r="AW18" i="16"/>
  <c r="AX18" i="16"/>
  <c r="AY18" i="16"/>
  <c r="AZ18" i="16"/>
  <c r="BA18" i="16"/>
  <c r="BB18" i="16"/>
  <c r="BC18" i="16"/>
  <c r="BD18" i="16"/>
  <c r="BF18" i="16"/>
  <c r="BG18" i="16"/>
  <c r="BH18" i="16"/>
  <c r="BI18" i="16"/>
  <c r="BJ18" i="16"/>
  <c r="BK18" i="16"/>
  <c r="BL18" i="16"/>
  <c r="BM18" i="16"/>
  <c r="BN18" i="16"/>
  <c r="BO18" i="16"/>
  <c r="BP18" i="16"/>
  <c r="BQ18" i="16"/>
  <c r="BR18" i="16"/>
  <c r="BS18" i="16"/>
  <c r="BT18" i="16"/>
  <c r="BU18" i="16"/>
  <c r="BV18" i="16"/>
  <c r="BW18" i="16"/>
  <c r="BX18" i="16"/>
  <c r="BY18" i="16"/>
  <c r="BZ18" i="16"/>
  <c r="CA18" i="16"/>
  <c r="CB18" i="16"/>
  <c r="CC18" i="16"/>
  <c r="CE18" i="16"/>
  <c r="CF18" i="16"/>
  <c r="CG18" i="16"/>
  <c r="CH18" i="16"/>
  <c r="CI18" i="16"/>
  <c r="CJ18" i="16"/>
  <c r="CK18" i="16"/>
  <c r="CL18" i="16"/>
  <c r="CM18" i="16"/>
  <c r="CN18" i="16"/>
  <c r="CO18" i="16"/>
  <c r="CP18" i="16"/>
  <c r="CQ18" i="16"/>
  <c r="CR18" i="16"/>
  <c r="CS18" i="16"/>
  <c r="CT18" i="16"/>
  <c r="CU18" i="16"/>
  <c r="CV18" i="16"/>
  <c r="CW18" i="16"/>
  <c r="CX18" i="16"/>
  <c r="CY18" i="16"/>
  <c r="CZ18" i="16"/>
  <c r="DA18" i="16"/>
  <c r="DB18" i="16"/>
  <c r="DH18" i="16"/>
  <c r="DI18" i="16"/>
  <c r="DJ18" i="16"/>
  <c r="H19" i="16"/>
  <c r="I19" i="16"/>
  <c r="J19" i="16"/>
  <c r="K19" i="16"/>
  <c r="L19" i="16"/>
  <c r="M19" i="16"/>
  <c r="N19" i="16"/>
  <c r="O19" i="16"/>
  <c r="P19" i="16"/>
  <c r="Q19" i="16"/>
  <c r="R19" i="16"/>
  <c r="S19" i="16"/>
  <c r="T19" i="16"/>
  <c r="U19" i="16"/>
  <c r="V19" i="16"/>
  <c r="W19" i="16"/>
  <c r="X19" i="16"/>
  <c r="Y19" i="16"/>
  <c r="Z19" i="16"/>
  <c r="AA19" i="16"/>
  <c r="AB19" i="16"/>
  <c r="AC19" i="16"/>
  <c r="AD19" i="16"/>
  <c r="AE19" i="16"/>
  <c r="AG19" i="16"/>
  <c r="AH19" i="16"/>
  <c r="AI19" i="16"/>
  <c r="AJ19" i="16"/>
  <c r="AK19" i="16"/>
  <c r="AL19" i="16"/>
  <c r="AM19" i="16"/>
  <c r="AN19" i="16"/>
  <c r="AO19" i="16"/>
  <c r="AP19" i="16"/>
  <c r="AQ19" i="16"/>
  <c r="AR19" i="16"/>
  <c r="AS19" i="16"/>
  <c r="AT19" i="16"/>
  <c r="AU19" i="16"/>
  <c r="AV19" i="16"/>
  <c r="AW19" i="16"/>
  <c r="AX19" i="16"/>
  <c r="AY19" i="16"/>
  <c r="AZ19" i="16"/>
  <c r="BA19" i="16"/>
  <c r="BB19" i="16"/>
  <c r="BC19" i="16"/>
  <c r="BD19" i="16"/>
  <c r="BF19" i="16"/>
  <c r="BG19" i="16"/>
  <c r="BH19" i="16"/>
  <c r="BI19" i="16"/>
  <c r="BJ19" i="16"/>
  <c r="BK19" i="16"/>
  <c r="BL19" i="16"/>
  <c r="BM19" i="16"/>
  <c r="BN19" i="16"/>
  <c r="BO19" i="16"/>
  <c r="BP19" i="16"/>
  <c r="BQ19" i="16"/>
  <c r="BR19" i="16"/>
  <c r="BS19" i="16"/>
  <c r="BT19" i="16"/>
  <c r="BU19" i="16"/>
  <c r="BV19" i="16"/>
  <c r="BW19" i="16"/>
  <c r="BX19" i="16"/>
  <c r="BY19" i="16"/>
  <c r="BZ19" i="16"/>
  <c r="CA19" i="16"/>
  <c r="CB19" i="16"/>
  <c r="CC19" i="16"/>
  <c r="CE19" i="16"/>
  <c r="CF19" i="16"/>
  <c r="CG19" i="16"/>
  <c r="CH19" i="16"/>
  <c r="CI19" i="16"/>
  <c r="CJ19" i="16"/>
  <c r="CK19" i="16"/>
  <c r="CL19" i="16"/>
  <c r="CM19" i="16"/>
  <c r="CN19" i="16"/>
  <c r="CO19" i="16"/>
  <c r="CP19" i="16"/>
  <c r="CQ19" i="16"/>
  <c r="CR19" i="16"/>
  <c r="CS19" i="16"/>
  <c r="CT19" i="16"/>
  <c r="CU19" i="16"/>
  <c r="CV19" i="16"/>
  <c r="CW19" i="16"/>
  <c r="CX19" i="16"/>
  <c r="CY19" i="16"/>
  <c r="CZ19" i="16"/>
  <c r="DA19" i="16"/>
  <c r="DB19" i="16"/>
  <c r="DH19" i="16"/>
  <c r="DI19" i="16"/>
  <c r="DJ19" i="16"/>
  <c r="H20" i="16"/>
  <c r="I20" i="16"/>
  <c r="J20" i="16"/>
  <c r="K20" i="16"/>
  <c r="L20" i="16"/>
  <c r="M20" i="16"/>
  <c r="N20" i="16"/>
  <c r="O20" i="16"/>
  <c r="P20" i="16"/>
  <c r="Q20" i="16"/>
  <c r="R20" i="16"/>
  <c r="S20" i="16"/>
  <c r="T20" i="16"/>
  <c r="U20" i="16"/>
  <c r="V20" i="16"/>
  <c r="W20" i="16"/>
  <c r="X20" i="16"/>
  <c r="Y20" i="16"/>
  <c r="Z20" i="16"/>
  <c r="AA20" i="16"/>
  <c r="AB20" i="16"/>
  <c r="AC20" i="16"/>
  <c r="AD20" i="16"/>
  <c r="AE20" i="16"/>
  <c r="AG20" i="16"/>
  <c r="AH20" i="16"/>
  <c r="AI20" i="16"/>
  <c r="AJ20" i="16"/>
  <c r="AK20" i="16"/>
  <c r="AL20" i="16"/>
  <c r="AM20" i="16"/>
  <c r="AN20" i="16"/>
  <c r="AO20" i="16"/>
  <c r="AP20" i="16"/>
  <c r="AQ20" i="16"/>
  <c r="AR20" i="16"/>
  <c r="AS20" i="16"/>
  <c r="AT20" i="16"/>
  <c r="AU20" i="16"/>
  <c r="AV20" i="16"/>
  <c r="AW20" i="16"/>
  <c r="AX20" i="16"/>
  <c r="AY20" i="16"/>
  <c r="AZ20" i="16"/>
  <c r="BA20" i="16"/>
  <c r="BB20" i="16"/>
  <c r="BC20" i="16"/>
  <c r="BD20" i="16"/>
  <c r="BF20" i="16"/>
  <c r="BG20" i="16"/>
  <c r="BH20" i="16"/>
  <c r="BI20" i="16"/>
  <c r="BJ20" i="16"/>
  <c r="BK20" i="16"/>
  <c r="BL20" i="16"/>
  <c r="BM20" i="16"/>
  <c r="BN20" i="16"/>
  <c r="BO20" i="16"/>
  <c r="BP20" i="16"/>
  <c r="BQ20" i="16"/>
  <c r="BR20" i="16"/>
  <c r="BS20" i="16"/>
  <c r="BT20" i="16"/>
  <c r="BU20" i="16"/>
  <c r="BV20" i="16"/>
  <c r="BW20" i="16"/>
  <c r="BX20" i="16"/>
  <c r="BY20" i="16"/>
  <c r="BZ20" i="16"/>
  <c r="CA20" i="16"/>
  <c r="CB20" i="16"/>
  <c r="CC20" i="16"/>
  <c r="CE20" i="16"/>
  <c r="CF20" i="16"/>
  <c r="CG20" i="16"/>
  <c r="CH20" i="16"/>
  <c r="CI20" i="16"/>
  <c r="CJ20" i="16"/>
  <c r="CK20" i="16"/>
  <c r="CL20" i="16"/>
  <c r="CM20" i="16"/>
  <c r="CN20" i="16"/>
  <c r="CO20" i="16"/>
  <c r="CP20" i="16"/>
  <c r="CQ20" i="16"/>
  <c r="CR20" i="16"/>
  <c r="CS20" i="16"/>
  <c r="CT20" i="16"/>
  <c r="CU20" i="16"/>
  <c r="CV20" i="16"/>
  <c r="CW20" i="16"/>
  <c r="CX20" i="16"/>
  <c r="CY20" i="16"/>
  <c r="CZ20" i="16"/>
  <c r="DA20" i="16"/>
  <c r="DB20" i="16"/>
  <c r="DH20" i="16"/>
  <c r="DI20" i="16"/>
  <c r="DJ20" i="16"/>
  <c r="H21" i="16"/>
  <c r="I21" i="16"/>
  <c r="J21" i="16"/>
  <c r="K21" i="16"/>
  <c r="L21" i="16"/>
  <c r="M21" i="16"/>
  <c r="N21" i="16"/>
  <c r="O21" i="16"/>
  <c r="P21" i="16"/>
  <c r="Q21" i="16"/>
  <c r="R21" i="16"/>
  <c r="S21" i="16"/>
  <c r="T21" i="16"/>
  <c r="U21" i="16"/>
  <c r="V21" i="16"/>
  <c r="W21" i="16"/>
  <c r="X21" i="16"/>
  <c r="Y21" i="16"/>
  <c r="Z21" i="16"/>
  <c r="AA21" i="16"/>
  <c r="AB21" i="16"/>
  <c r="AC21" i="16"/>
  <c r="AD21" i="16"/>
  <c r="AE21" i="16"/>
  <c r="AG21" i="16"/>
  <c r="AH21" i="16"/>
  <c r="AI21" i="16"/>
  <c r="AJ21" i="16"/>
  <c r="AK21" i="16"/>
  <c r="AL21" i="16"/>
  <c r="AM21" i="16"/>
  <c r="AN21" i="16"/>
  <c r="AO21" i="16"/>
  <c r="AP21" i="16"/>
  <c r="AQ21" i="16"/>
  <c r="AR21" i="16"/>
  <c r="AS21" i="16"/>
  <c r="AT21" i="16"/>
  <c r="AU21" i="16"/>
  <c r="AV21" i="16"/>
  <c r="AW21" i="16"/>
  <c r="AX21" i="16"/>
  <c r="AY21" i="16"/>
  <c r="AZ21" i="16"/>
  <c r="BA21" i="16"/>
  <c r="BB21" i="16"/>
  <c r="BC21" i="16"/>
  <c r="BD21" i="16"/>
  <c r="BF21" i="16"/>
  <c r="BG21" i="16"/>
  <c r="BH21" i="16"/>
  <c r="BI21" i="16"/>
  <c r="BJ21" i="16"/>
  <c r="BK21" i="16"/>
  <c r="BL21" i="16"/>
  <c r="BM21" i="16"/>
  <c r="BN21" i="16"/>
  <c r="BO21" i="16"/>
  <c r="BP21" i="16"/>
  <c r="BQ21" i="16"/>
  <c r="BR21" i="16"/>
  <c r="BS21" i="16"/>
  <c r="BT21" i="16"/>
  <c r="BU21" i="16"/>
  <c r="BV21" i="16"/>
  <c r="BW21" i="16"/>
  <c r="BX21" i="16"/>
  <c r="BY21" i="16"/>
  <c r="BZ21" i="16"/>
  <c r="CA21" i="16"/>
  <c r="CB21" i="16"/>
  <c r="CC21" i="16"/>
  <c r="CE21" i="16"/>
  <c r="CF21" i="16"/>
  <c r="CG21" i="16"/>
  <c r="CH21" i="16"/>
  <c r="CI21" i="16"/>
  <c r="CJ21" i="16"/>
  <c r="CK21" i="16"/>
  <c r="CL21" i="16"/>
  <c r="CM21" i="16"/>
  <c r="CN21" i="16"/>
  <c r="CO21" i="16"/>
  <c r="CP21" i="16"/>
  <c r="CQ21" i="16"/>
  <c r="CR21" i="16"/>
  <c r="CS21" i="16"/>
  <c r="CT21" i="16"/>
  <c r="CU21" i="16"/>
  <c r="CV21" i="16"/>
  <c r="CW21" i="16"/>
  <c r="CX21" i="16"/>
  <c r="CY21" i="16"/>
  <c r="CZ21" i="16"/>
  <c r="DA21" i="16"/>
  <c r="DB21" i="16"/>
  <c r="DH21" i="16"/>
  <c r="DI21" i="16"/>
  <c r="DJ21" i="16"/>
  <c r="H22" i="16"/>
  <c r="I22" i="16"/>
  <c r="J22" i="16"/>
  <c r="K22" i="16"/>
  <c r="L22" i="16"/>
  <c r="M22" i="16"/>
  <c r="N22" i="16"/>
  <c r="O22" i="16"/>
  <c r="P22" i="16"/>
  <c r="Q22" i="16"/>
  <c r="R22" i="16"/>
  <c r="S22" i="16"/>
  <c r="T22" i="16"/>
  <c r="U22" i="16"/>
  <c r="V22" i="16"/>
  <c r="W22" i="16"/>
  <c r="X22" i="16"/>
  <c r="Y22" i="16"/>
  <c r="Z22" i="16"/>
  <c r="AA22" i="16"/>
  <c r="AB22" i="16"/>
  <c r="AC22" i="16"/>
  <c r="AD22" i="16"/>
  <c r="AE22" i="16"/>
  <c r="AG22" i="16"/>
  <c r="AH22" i="16"/>
  <c r="AI22" i="16"/>
  <c r="AJ22" i="16"/>
  <c r="AK22" i="16"/>
  <c r="AL22" i="16"/>
  <c r="AM22" i="16"/>
  <c r="AN22" i="16"/>
  <c r="AO22" i="16"/>
  <c r="AP22" i="16"/>
  <c r="AQ22" i="16"/>
  <c r="AR22" i="16"/>
  <c r="AS22" i="16"/>
  <c r="AT22" i="16"/>
  <c r="AU22" i="16"/>
  <c r="AV22" i="16"/>
  <c r="AW22" i="16"/>
  <c r="AX22" i="16"/>
  <c r="AY22" i="16"/>
  <c r="AZ22" i="16"/>
  <c r="BA22" i="16"/>
  <c r="BB22" i="16"/>
  <c r="BC22" i="16"/>
  <c r="BD22" i="16"/>
  <c r="BF22" i="16"/>
  <c r="BG22" i="16"/>
  <c r="BH22" i="16"/>
  <c r="BI22" i="16"/>
  <c r="BJ22" i="16"/>
  <c r="BK22" i="16"/>
  <c r="BL22" i="16"/>
  <c r="BM22" i="16"/>
  <c r="BN22" i="16"/>
  <c r="BO22" i="16"/>
  <c r="BP22" i="16"/>
  <c r="BQ22" i="16"/>
  <c r="BR22" i="16"/>
  <c r="BS22" i="16"/>
  <c r="BT22" i="16"/>
  <c r="BU22" i="16"/>
  <c r="BV22" i="16"/>
  <c r="BW22" i="16"/>
  <c r="BX22" i="16"/>
  <c r="BY22" i="16"/>
  <c r="BZ22" i="16"/>
  <c r="CA22" i="16"/>
  <c r="CB22" i="16"/>
  <c r="CC22" i="16"/>
  <c r="CE22" i="16"/>
  <c r="CF22" i="16"/>
  <c r="CG22" i="16"/>
  <c r="CH22" i="16"/>
  <c r="CI22" i="16"/>
  <c r="CJ22" i="16"/>
  <c r="CK22" i="16"/>
  <c r="CL22" i="16"/>
  <c r="CM22" i="16"/>
  <c r="CN22" i="16"/>
  <c r="CO22" i="16"/>
  <c r="CP22" i="16"/>
  <c r="CQ22" i="16"/>
  <c r="CR22" i="16"/>
  <c r="CS22" i="16"/>
  <c r="CT22" i="16"/>
  <c r="CU22" i="16"/>
  <c r="CV22" i="16"/>
  <c r="CW22" i="16"/>
  <c r="CX22" i="16"/>
  <c r="CY22" i="16"/>
  <c r="CZ22" i="16"/>
  <c r="DA22" i="16"/>
  <c r="DB22" i="16"/>
  <c r="DH22" i="16"/>
  <c r="DI22" i="16"/>
  <c r="DJ22" i="16"/>
  <c r="H23" i="16"/>
  <c r="I23" i="16"/>
  <c r="J23" i="16"/>
  <c r="K23" i="16"/>
  <c r="L23" i="16"/>
  <c r="M23" i="16"/>
  <c r="N23" i="16"/>
  <c r="O23" i="16"/>
  <c r="P23" i="16"/>
  <c r="Q23" i="16"/>
  <c r="R23" i="16"/>
  <c r="S23" i="16"/>
  <c r="T23" i="16"/>
  <c r="U23" i="16"/>
  <c r="V23" i="16"/>
  <c r="W23" i="16"/>
  <c r="X23" i="16"/>
  <c r="Y23" i="16"/>
  <c r="Z23" i="16"/>
  <c r="AA23" i="16"/>
  <c r="AB23" i="16"/>
  <c r="AC23" i="16"/>
  <c r="AD23" i="16"/>
  <c r="AE23" i="16"/>
  <c r="AG23" i="16"/>
  <c r="AH23" i="16"/>
  <c r="AI23" i="16"/>
  <c r="AJ23" i="16"/>
  <c r="AK23" i="16"/>
  <c r="AL23" i="16"/>
  <c r="AM23" i="16"/>
  <c r="AN23" i="16"/>
  <c r="AO23" i="16"/>
  <c r="AP23" i="16"/>
  <c r="AQ23" i="16"/>
  <c r="AR23" i="16"/>
  <c r="AS23" i="16"/>
  <c r="AT23" i="16"/>
  <c r="AU23" i="16"/>
  <c r="AV23" i="16"/>
  <c r="AW23" i="16"/>
  <c r="AX23" i="16"/>
  <c r="AY23" i="16"/>
  <c r="AZ23" i="16"/>
  <c r="BA23" i="16"/>
  <c r="BB23" i="16"/>
  <c r="BC23" i="16"/>
  <c r="BD23" i="16"/>
  <c r="BF23" i="16"/>
  <c r="BG23" i="16"/>
  <c r="BH23" i="16"/>
  <c r="BI23" i="16"/>
  <c r="BJ23" i="16"/>
  <c r="BK23" i="16"/>
  <c r="BL23" i="16"/>
  <c r="BM23" i="16"/>
  <c r="BN23" i="16"/>
  <c r="BO23" i="16"/>
  <c r="BP23" i="16"/>
  <c r="BQ23" i="16"/>
  <c r="BR23" i="16"/>
  <c r="BS23" i="16"/>
  <c r="BT23" i="16"/>
  <c r="BU23" i="16"/>
  <c r="BV23" i="16"/>
  <c r="BW23" i="16"/>
  <c r="BX23" i="16"/>
  <c r="BY23" i="16"/>
  <c r="BZ23" i="16"/>
  <c r="CA23" i="16"/>
  <c r="CB23" i="16"/>
  <c r="CC23" i="16"/>
  <c r="CE23" i="16"/>
  <c r="CF23" i="16"/>
  <c r="CG23" i="16"/>
  <c r="CH23" i="16"/>
  <c r="CI23" i="16"/>
  <c r="CJ23" i="16"/>
  <c r="CK23" i="16"/>
  <c r="CL23" i="16"/>
  <c r="CM23" i="16"/>
  <c r="CN23" i="16"/>
  <c r="CO23" i="16"/>
  <c r="CP23" i="16"/>
  <c r="CQ23" i="16"/>
  <c r="CR23" i="16"/>
  <c r="CS23" i="16"/>
  <c r="CT23" i="16"/>
  <c r="CU23" i="16"/>
  <c r="CV23" i="16"/>
  <c r="CW23" i="16"/>
  <c r="CX23" i="16"/>
  <c r="CY23" i="16"/>
  <c r="CZ23" i="16"/>
  <c r="DA23" i="16"/>
  <c r="DB23" i="16"/>
  <c r="DH23" i="16"/>
  <c r="DI23" i="16"/>
  <c r="DJ23" i="16"/>
  <c r="H24" i="16"/>
  <c r="I24" i="16"/>
  <c r="J24" i="16"/>
  <c r="K24" i="16"/>
  <c r="L24" i="16"/>
  <c r="M24" i="16"/>
  <c r="N24" i="16"/>
  <c r="O24" i="16"/>
  <c r="P24" i="16"/>
  <c r="Q24" i="16"/>
  <c r="R24" i="16"/>
  <c r="S24" i="16"/>
  <c r="T24" i="16"/>
  <c r="U24" i="16"/>
  <c r="V24" i="16"/>
  <c r="W24" i="16"/>
  <c r="X24" i="16"/>
  <c r="Y24" i="16"/>
  <c r="Z24" i="16"/>
  <c r="AA24" i="16"/>
  <c r="AB24" i="16"/>
  <c r="AC24" i="16"/>
  <c r="AD24" i="16"/>
  <c r="AE24" i="16"/>
  <c r="AG24" i="16"/>
  <c r="AH24" i="16"/>
  <c r="AI24" i="16"/>
  <c r="AJ24" i="16"/>
  <c r="AK24" i="16"/>
  <c r="AL24" i="16"/>
  <c r="AM24" i="16"/>
  <c r="AN24" i="16"/>
  <c r="AO24" i="16"/>
  <c r="AP24" i="16"/>
  <c r="AQ24" i="16"/>
  <c r="AR24" i="16"/>
  <c r="AS24" i="16"/>
  <c r="AT24" i="16"/>
  <c r="AU24" i="16"/>
  <c r="AV24" i="16"/>
  <c r="AW24" i="16"/>
  <c r="AX24" i="16"/>
  <c r="AY24" i="16"/>
  <c r="AZ24" i="16"/>
  <c r="BA24" i="16"/>
  <c r="BB24" i="16"/>
  <c r="BC24" i="16"/>
  <c r="BD24" i="16"/>
  <c r="BF24" i="16"/>
  <c r="BG24" i="16"/>
  <c r="BH24" i="16"/>
  <c r="BI24" i="16"/>
  <c r="BJ24" i="16"/>
  <c r="BK24" i="16"/>
  <c r="BL24" i="16"/>
  <c r="BM24" i="16"/>
  <c r="BN24" i="16"/>
  <c r="BO24" i="16"/>
  <c r="BP24" i="16"/>
  <c r="BQ24" i="16"/>
  <c r="BR24" i="16"/>
  <c r="BS24" i="16"/>
  <c r="BT24" i="16"/>
  <c r="BU24" i="16"/>
  <c r="BV24" i="16"/>
  <c r="BW24" i="16"/>
  <c r="BX24" i="16"/>
  <c r="BY24" i="16"/>
  <c r="BZ24" i="16"/>
  <c r="CA24" i="16"/>
  <c r="CB24" i="16"/>
  <c r="CC24" i="16"/>
  <c r="CE24" i="16"/>
  <c r="CF24" i="16"/>
  <c r="CG24" i="16"/>
  <c r="CH24" i="16"/>
  <c r="CI24" i="16"/>
  <c r="CJ24" i="16"/>
  <c r="CK24" i="16"/>
  <c r="CL24" i="16"/>
  <c r="CM24" i="16"/>
  <c r="CN24" i="16"/>
  <c r="CO24" i="16"/>
  <c r="CP24" i="16"/>
  <c r="CQ24" i="16"/>
  <c r="CR24" i="16"/>
  <c r="CS24" i="16"/>
  <c r="CT24" i="16"/>
  <c r="CU24" i="16"/>
  <c r="CV24" i="16"/>
  <c r="CW24" i="16"/>
  <c r="CX24" i="16"/>
  <c r="CY24" i="16"/>
  <c r="CZ24" i="16"/>
  <c r="DA24" i="16"/>
  <c r="DB24" i="16"/>
  <c r="DH24" i="16"/>
  <c r="DI24" i="16"/>
  <c r="DJ24" i="16"/>
  <c r="H25" i="16"/>
  <c r="I25" i="16"/>
  <c r="J25" i="16"/>
  <c r="K25" i="16"/>
  <c r="L25" i="16"/>
  <c r="M25" i="16"/>
  <c r="N25" i="16"/>
  <c r="O25" i="16"/>
  <c r="P25" i="16"/>
  <c r="Q25" i="16"/>
  <c r="R25" i="16"/>
  <c r="S25" i="16"/>
  <c r="T25" i="16"/>
  <c r="U25" i="16"/>
  <c r="V25" i="16"/>
  <c r="W25" i="16"/>
  <c r="X25" i="16"/>
  <c r="Y25" i="16"/>
  <c r="Z25" i="16"/>
  <c r="AA25" i="16"/>
  <c r="AB25" i="16"/>
  <c r="AC25" i="16"/>
  <c r="AD25" i="16"/>
  <c r="AE25" i="16"/>
  <c r="AG25" i="16"/>
  <c r="AH25" i="16"/>
  <c r="AI25" i="16"/>
  <c r="AJ25" i="16"/>
  <c r="AK25" i="16"/>
  <c r="AL25" i="16"/>
  <c r="AM25" i="16"/>
  <c r="AN25" i="16"/>
  <c r="AO25" i="16"/>
  <c r="AP25" i="16"/>
  <c r="AQ25" i="16"/>
  <c r="AR25" i="16"/>
  <c r="AS25" i="16"/>
  <c r="AT25" i="16"/>
  <c r="AU25" i="16"/>
  <c r="AV25" i="16"/>
  <c r="AW25" i="16"/>
  <c r="AX25" i="16"/>
  <c r="AY25" i="16"/>
  <c r="AZ25" i="16"/>
  <c r="BA25" i="16"/>
  <c r="BB25" i="16"/>
  <c r="BC25" i="16"/>
  <c r="BD25" i="16"/>
  <c r="BF25" i="16"/>
  <c r="BG25" i="16"/>
  <c r="BH25" i="16"/>
  <c r="BI25" i="16"/>
  <c r="BJ25" i="16"/>
  <c r="BK25" i="16"/>
  <c r="BL25" i="16"/>
  <c r="BM25" i="16"/>
  <c r="BN25" i="16"/>
  <c r="BO25" i="16"/>
  <c r="BP25" i="16"/>
  <c r="BQ25" i="16"/>
  <c r="BR25" i="16"/>
  <c r="BS25" i="16"/>
  <c r="BT25" i="16"/>
  <c r="BU25" i="16"/>
  <c r="BV25" i="16"/>
  <c r="BW25" i="16"/>
  <c r="BX25" i="16"/>
  <c r="BY25" i="16"/>
  <c r="BZ25" i="16"/>
  <c r="CA25" i="16"/>
  <c r="CB25" i="16"/>
  <c r="CC25" i="16"/>
  <c r="CE25" i="16"/>
  <c r="CF25" i="16"/>
  <c r="CG25" i="16"/>
  <c r="CH25" i="16"/>
  <c r="CI25" i="16"/>
  <c r="CJ25" i="16"/>
  <c r="CK25" i="16"/>
  <c r="CL25" i="16"/>
  <c r="CM25" i="16"/>
  <c r="CN25" i="16"/>
  <c r="CO25" i="16"/>
  <c r="CP25" i="16"/>
  <c r="CQ25" i="16"/>
  <c r="CR25" i="16"/>
  <c r="CS25" i="16"/>
  <c r="CT25" i="16"/>
  <c r="CU25" i="16"/>
  <c r="CV25" i="16"/>
  <c r="CW25" i="16"/>
  <c r="CX25" i="16"/>
  <c r="CY25" i="16"/>
  <c r="CZ25" i="16"/>
  <c r="DA25" i="16"/>
  <c r="DB25" i="16"/>
  <c r="DH25" i="16"/>
  <c r="DI25" i="16"/>
  <c r="DJ25" i="16"/>
  <c r="H26" i="16"/>
  <c r="I26" i="16"/>
  <c r="J26" i="16"/>
  <c r="K26" i="16"/>
  <c r="L26" i="16"/>
  <c r="M26" i="16"/>
  <c r="N26" i="16"/>
  <c r="O26" i="16"/>
  <c r="P26" i="16"/>
  <c r="Q26" i="16"/>
  <c r="R26" i="16"/>
  <c r="S26" i="16"/>
  <c r="T26" i="16"/>
  <c r="U26" i="16"/>
  <c r="V26" i="16"/>
  <c r="W26" i="16"/>
  <c r="X26" i="16"/>
  <c r="Y26" i="16"/>
  <c r="Z26" i="16"/>
  <c r="AA26" i="16"/>
  <c r="AB26" i="16"/>
  <c r="AC26" i="16"/>
  <c r="AD26" i="16"/>
  <c r="AE26" i="16"/>
  <c r="AG26" i="16"/>
  <c r="AH26" i="16"/>
  <c r="AI26" i="16"/>
  <c r="AJ26" i="16"/>
  <c r="AK26" i="16"/>
  <c r="AL26" i="16"/>
  <c r="AM26" i="16"/>
  <c r="AN26" i="16"/>
  <c r="AO26" i="16"/>
  <c r="AP26" i="16"/>
  <c r="AQ26" i="16"/>
  <c r="AR26" i="16"/>
  <c r="AS26" i="16"/>
  <c r="AT26" i="16"/>
  <c r="AU26" i="16"/>
  <c r="AV26" i="16"/>
  <c r="AW26" i="16"/>
  <c r="AX26" i="16"/>
  <c r="AY26" i="16"/>
  <c r="AZ26" i="16"/>
  <c r="BA26" i="16"/>
  <c r="BB26" i="16"/>
  <c r="BC26" i="16"/>
  <c r="BD26" i="16"/>
  <c r="BF26" i="16"/>
  <c r="BG26" i="16"/>
  <c r="BH26" i="16"/>
  <c r="BI26" i="16"/>
  <c r="BJ26" i="16"/>
  <c r="BK26" i="16"/>
  <c r="BL26" i="16"/>
  <c r="BM26" i="16"/>
  <c r="BN26" i="16"/>
  <c r="BO26" i="16"/>
  <c r="BP26" i="16"/>
  <c r="BQ26" i="16"/>
  <c r="BR26" i="16"/>
  <c r="BS26" i="16"/>
  <c r="BT26" i="16"/>
  <c r="BU26" i="16"/>
  <c r="BV26" i="16"/>
  <c r="BW26" i="16"/>
  <c r="BX26" i="16"/>
  <c r="BY26" i="16"/>
  <c r="BZ26" i="16"/>
  <c r="CA26" i="16"/>
  <c r="CB26" i="16"/>
  <c r="CC26" i="16"/>
  <c r="CE26" i="16"/>
  <c r="CF26" i="16"/>
  <c r="CG26" i="16"/>
  <c r="CH26" i="16"/>
  <c r="CI26" i="16"/>
  <c r="CJ26" i="16"/>
  <c r="CK26" i="16"/>
  <c r="CL26" i="16"/>
  <c r="CM26" i="16"/>
  <c r="CN26" i="16"/>
  <c r="CO26" i="16"/>
  <c r="CP26" i="16"/>
  <c r="CQ26" i="16"/>
  <c r="CR26" i="16"/>
  <c r="CS26" i="16"/>
  <c r="CT26" i="16"/>
  <c r="CU26" i="16"/>
  <c r="CV26" i="16"/>
  <c r="CW26" i="16"/>
  <c r="CX26" i="16"/>
  <c r="CY26" i="16"/>
  <c r="CZ26" i="16"/>
  <c r="DA26" i="16"/>
  <c r="DB26" i="16"/>
  <c r="DH26" i="16"/>
  <c r="DI26" i="16"/>
  <c r="DJ26" i="16"/>
  <c r="H27" i="16"/>
  <c r="I27" i="16"/>
  <c r="J27" i="16"/>
  <c r="K27" i="16"/>
  <c r="L27" i="16"/>
  <c r="M27" i="16"/>
  <c r="N27" i="16"/>
  <c r="O27" i="16"/>
  <c r="P27" i="16"/>
  <c r="Q27" i="16"/>
  <c r="R27" i="16"/>
  <c r="S27" i="16"/>
  <c r="T27" i="16"/>
  <c r="U27" i="16"/>
  <c r="V27" i="16"/>
  <c r="W27" i="16"/>
  <c r="X27" i="16"/>
  <c r="Y27" i="16"/>
  <c r="Z27" i="16"/>
  <c r="AA27" i="16"/>
  <c r="AB27" i="16"/>
  <c r="AC27" i="16"/>
  <c r="AD27" i="16"/>
  <c r="AE27" i="16"/>
  <c r="AG27" i="16"/>
  <c r="AH27" i="16"/>
  <c r="AI27" i="16"/>
  <c r="AJ27" i="16"/>
  <c r="AK27" i="16"/>
  <c r="AL27" i="16"/>
  <c r="AM27" i="16"/>
  <c r="AN27" i="16"/>
  <c r="AO27" i="16"/>
  <c r="AP27" i="16"/>
  <c r="AQ27" i="16"/>
  <c r="AR27" i="16"/>
  <c r="AS27" i="16"/>
  <c r="AT27" i="16"/>
  <c r="AU27" i="16"/>
  <c r="AV27" i="16"/>
  <c r="AW27" i="16"/>
  <c r="AX27" i="16"/>
  <c r="AY27" i="16"/>
  <c r="AZ27" i="16"/>
  <c r="BA27" i="16"/>
  <c r="BB27" i="16"/>
  <c r="BC27" i="16"/>
  <c r="BD27" i="16"/>
  <c r="BF27" i="16"/>
  <c r="BG27" i="16"/>
  <c r="BH27" i="16"/>
  <c r="BI27" i="16"/>
  <c r="BJ27" i="16"/>
  <c r="BK27" i="16"/>
  <c r="BL27" i="16"/>
  <c r="BM27" i="16"/>
  <c r="BN27" i="16"/>
  <c r="BO27" i="16"/>
  <c r="BP27" i="16"/>
  <c r="BQ27" i="16"/>
  <c r="BR27" i="16"/>
  <c r="BS27" i="16"/>
  <c r="BT27" i="16"/>
  <c r="BU27" i="16"/>
  <c r="BV27" i="16"/>
  <c r="BW27" i="16"/>
  <c r="BX27" i="16"/>
  <c r="BY27" i="16"/>
  <c r="BZ27" i="16"/>
  <c r="CA27" i="16"/>
  <c r="CB27" i="16"/>
  <c r="CC27" i="16"/>
  <c r="CE27" i="16"/>
  <c r="CF27" i="16"/>
  <c r="CG27" i="16"/>
  <c r="CH27" i="16"/>
  <c r="CI27" i="16"/>
  <c r="CJ27" i="16"/>
  <c r="CK27" i="16"/>
  <c r="CL27" i="16"/>
  <c r="CM27" i="16"/>
  <c r="CN27" i="16"/>
  <c r="CO27" i="16"/>
  <c r="CP27" i="16"/>
  <c r="CQ27" i="16"/>
  <c r="CR27" i="16"/>
  <c r="CS27" i="16"/>
  <c r="CT27" i="16"/>
  <c r="CU27" i="16"/>
  <c r="CV27" i="16"/>
  <c r="CW27" i="16"/>
  <c r="CX27" i="16"/>
  <c r="CY27" i="16"/>
  <c r="CZ27" i="16"/>
  <c r="DA27" i="16"/>
  <c r="DB27" i="16"/>
  <c r="DH27" i="16"/>
  <c r="DI27" i="16"/>
  <c r="DJ27" i="16"/>
  <c r="H28" i="16"/>
  <c r="I28" i="16"/>
  <c r="J28" i="16"/>
  <c r="K28" i="16"/>
  <c r="L28" i="16"/>
  <c r="M28" i="16"/>
  <c r="N28" i="16"/>
  <c r="O28" i="16"/>
  <c r="P28" i="16"/>
  <c r="Q28" i="16"/>
  <c r="R28" i="16"/>
  <c r="S28" i="16"/>
  <c r="T28" i="16"/>
  <c r="U28" i="16"/>
  <c r="V28" i="16"/>
  <c r="W28" i="16"/>
  <c r="X28" i="16"/>
  <c r="Y28" i="16"/>
  <c r="Z28" i="16"/>
  <c r="AA28" i="16"/>
  <c r="AB28" i="16"/>
  <c r="AC28" i="16"/>
  <c r="AD28" i="16"/>
  <c r="AE28" i="16"/>
  <c r="AG28" i="16"/>
  <c r="AH28" i="16"/>
  <c r="AI28" i="16"/>
  <c r="AJ28" i="16"/>
  <c r="AK28" i="16"/>
  <c r="AL28" i="16"/>
  <c r="AM28" i="16"/>
  <c r="AN28" i="16"/>
  <c r="AO28" i="16"/>
  <c r="AP28" i="16"/>
  <c r="AQ28" i="16"/>
  <c r="AR28" i="16"/>
  <c r="AS28" i="16"/>
  <c r="AT28" i="16"/>
  <c r="AU28" i="16"/>
  <c r="AV28" i="16"/>
  <c r="AW28" i="16"/>
  <c r="AX28" i="16"/>
  <c r="AY28" i="16"/>
  <c r="AZ28" i="16"/>
  <c r="BA28" i="16"/>
  <c r="BB28" i="16"/>
  <c r="BC28" i="16"/>
  <c r="BD28" i="16"/>
  <c r="BF28" i="16"/>
  <c r="BG28" i="16"/>
  <c r="BH28" i="16"/>
  <c r="BI28" i="16"/>
  <c r="BJ28" i="16"/>
  <c r="BK28" i="16"/>
  <c r="BL28" i="16"/>
  <c r="BM28" i="16"/>
  <c r="BN28" i="16"/>
  <c r="BO28" i="16"/>
  <c r="BP28" i="16"/>
  <c r="BQ28" i="16"/>
  <c r="BR28" i="16"/>
  <c r="BS28" i="16"/>
  <c r="BT28" i="16"/>
  <c r="BU28" i="16"/>
  <c r="BV28" i="16"/>
  <c r="BW28" i="16"/>
  <c r="BX28" i="16"/>
  <c r="BY28" i="16"/>
  <c r="BZ28" i="16"/>
  <c r="CA28" i="16"/>
  <c r="CB28" i="16"/>
  <c r="CC28" i="16"/>
  <c r="CE28" i="16"/>
  <c r="CF28" i="16"/>
  <c r="CG28" i="16"/>
  <c r="CH28" i="16"/>
  <c r="CI28" i="16"/>
  <c r="CJ28" i="16"/>
  <c r="CK28" i="16"/>
  <c r="CL28" i="16"/>
  <c r="CM28" i="16"/>
  <c r="CN28" i="16"/>
  <c r="CO28" i="16"/>
  <c r="CP28" i="16"/>
  <c r="CQ28" i="16"/>
  <c r="CR28" i="16"/>
  <c r="CS28" i="16"/>
  <c r="CT28" i="16"/>
  <c r="CU28" i="16"/>
  <c r="CV28" i="16"/>
  <c r="CW28" i="16"/>
  <c r="CX28" i="16"/>
  <c r="CY28" i="16"/>
  <c r="CZ28" i="16"/>
  <c r="DA28" i="16"/>
  <c r="DB28" i="16"/>
  <c r="DH28" i="16"/>
  <c r="DI28" i="16"/>
  <c r="DJ28" i="16"/>
  <c r="H29" i="16"/>
  <c r="I29" i="16"/>
  <c r="J29" i="16"/>
  <c r="K29" i="16"/>
  <c r="L29" i="16"/>
  <c r="M29" i="16"/>
  <c r="N29" i="16"/>
  <c r="O29" i="16"/>
  <c r="P29" i="16"/>
  <c r="Q29" i="16"/>
  <c r="R29" i="16"/>
  <c r="S29" i="16"/>
  <c r="T29" i="16"/>
  <c r="U29" i="16"/>
  <c r="V29" i="16"/>
  <c r="W29" i="16"/>
  <c r="X29" i="16"/>
  <c r="Y29" i="16"/>
  <c r="Z29" i="16"/>
  <c r="AA29" i="16"/>
  <c r="AB29" i="16"/>
  <c r="AC29" i="16"/>
  <c r="AD29" i="16"/>
  <c r="AE29" i="16"/>
  <c r="AG29" i="16"/>
  <c r="AH29" i="16"/>
  <c r="AI29" i="16"/>
  <c r="AJ29" i="16"/>
  <c r="AK29" i="16"/>
  <c r="AL29" i="16"/>
  <c r="AM29" i="16"/>
  <c r="AN29" i="16"/>
  <c r="AO29" i="16"/>
  <c r="AP29" i="16"/>
  <c r="AQ29" i="16"/>
  <c r="AR29" i="16"/>
  <c r="AS29" i="16"/>
  <c r="AT29" i="16"/>
  <c r="AU29" i="16"/>
  <c r="AV29" i="16"/>
  <c r="AW29" i="16"/>
  <c r="AX29" i="16"/>
  <c r="AY29" i="16"/>
  <c r="AZ29" i="16"/>
  <c r="BA29" i="16"/>
  <c r="BB29" i="16"/>
  <c r="BC29" i="16"/>
  <c r="BD29" i="16"/>
  <c r="BF29" i="16"/>
  <c r="BG29" i="16"/>
  <c r="BH29" i="16"/>
  <c r="BI29" i="16"/>
  <c r="BJ29" i="16"/>
  <c r="BK29" i="16"/>
  <c r="BL29" i="16"/>
  <c r="BM29" i="16"/>
  <c r="BN29" i="16"/>
  <c r="BO29" i="16"/>
  <c r="BP29" i="16"/>
  <c r="BQ29" i="16"/>
  <c r="BR29" i="16"/>
  <c r="BS29" i="16"/>
  <c r="BT29" i="16"/>
  <c r="BU29" i="16"/>
  <c r="BV29" i="16"/>
  <c r="BW29" i="16"/>
  <c r="BX29" i="16"/>
  <c r="BY29" i="16"/>
  <c r="BZ29" i="16"/>
  <c r="CA29" i="16"/>
  <c r="CB29" i="16"/>
  <c r="CC29" i="16"/>
  <c r="CE29" i="16"/>
  <c r="CF29" i="16"/>
  <c r="CG29" i="16"/>
  <c r="CH29" i="16"/>
  <c r="CI29" i="16"/>
  <c r="CJ29" i="16"/>
  <c r="CK29" i="16"/>
  <c r="CL29" i="16"/>
  <c r="CM29" i="16"/>
  <c r="CN29" i="16"/>
  <c r="CO29" i="16"/>
  <c r="CP29" i="16"/>
  <c r="CQ29" i="16"/>
  <c r="CR29" i="16"/>
  <c r="CS29" i="16"/>
  <c r="CT29" i="16"/>
  <c r="CU29" i="16"/>
  <c r="CV29" i="16"/>
  <c r="CW29" i="16"/>
  <c r="CX29" i="16"/>
  <c r="CY29" i="16"/>
  <c r="CZ29" i="16"/>
  <c r="DA29" i="16"/>
  <c r="DB29" i="16"/>
  <c r="DH29" i="16"/>
  <c r="DI29" i="16"/>
  <c r="DJ29" i="16"/>
  <c r="H30" i="16"/>
  <c r="I30" i="16"/>
  <c r="J30" i="16"/>
  <c r="K30" i="16"/>
  <c r="L30" i="16"/>
  <c r="M30" i="16"/>
  <c r="N30" i="16"/>
  <c r="O30" i="16"/>
  <c r="P30" i="16"/>
  <c r="Q30" i="16"/>
  <c r="R30" i="16"/>
  <c r="S30" i="16"/>
  <c r="T30" i="16"/>
  <c r="U30" i="16"/>
  <c r="V30" i="16"/>
  <c r="W30" i="16"/>
  <c r="X30" i="16"/>
  <c r="Y30" i="16"/>
  <c r="Z30" i="16"/>
  <c r="AA30" i="16"/>
  <c r="AB30" i="16"/>
  <c r="AC30" i="16"/>
  <c r="AD30" i="16"/>
  <c r="AE30" i="16"/>
  <c r="AG30" i="16"/>
  <c r="AH30" i="16"/>
  <c r="AI30" i="16"/>
  <c r="AJ30" i="16"/>
  <c r="AK30" i="16"/>
  <c r="AL30" i="16"/>
  <c r="AM30" i="16"/>
  <c r="AN30" i="16"/>
  <c r="AO30" i="16"/>
  <c r="AP30" i="16"/>
  <c r="AQ30" i="16"/>
  <c r="AR30" i="16"/>
  <c r="AS30" i="16"/>
  <c r="AT30" i="16"/>
  <c r="AU30" i="16"/>
  <c r="AV30" i="16"/>
  <c r="AW30" i="16"/>
  <c r="AX30" i="16"/>
  <c r="AY30" i="16"/>
  <c r="AZ30" i="16"/>
  <c r="BA30" i="16"/>
  <c r="BB30" i="16"/>
  <c r="BC30" i="16"/>
  <c r="BD30" i="16"/>
  <c r="BF30" i="16"/>
  <c r="BG30" i="16"/>
  <c r="BH30" i="16"/>
  <c r="BI30" i="16"/>
  <c r="BJ30" i="16"/>
  <c r="BK30" i="16"/>
  <c r="BL30" i="16"/>
  <c r="BM30" i="16"/>
  <c r="BN30" i="16"/>
  <c r="BO30" i="16"/>
  <c r="BP30" i="16"/>
  <c r="BQ30" i="16"/>
  <c r="BR30" i="16"/>
  <c r="BS30" i="16"/>
  <c r="BT30" i="16"/>
  <c r="BU30" i="16"/>
  <c r="BV30" i="16"/>
  <c r="BW30" i="16"/>
  <c r="BX30" i="16"/>
  <c r="BY30" i="16"/>
  <c r="BZ30" i="16"/>
  <c r="CA30" i="16"/>
  <c r="CB30" i="16"/>
  <c r="CC30" i="16"/>
  <c r="CE30" i="16"/>
  <c r="CF30" i="16"/>
  <c r="CG30" i="16"/>
  <c r="CH30" i="16"/>
  <c r="CI30" i="16"/>
  <c r="CJ30" i="16"/>
  <c r="CK30" i="16"/>
  <c r="CL30" i="16"/>
  <c r="CM30" i="16"/>
  <c r="CN30" i="16"/>
  <c r="CO30" i="16"/>
  <c r="CP30" i="16"/>
  <c r="CQ30" i="16"/>
  <c r="CR30" i="16"/>
  <c r="CS30" i="16"/>
  <c r="CT30" i="16"/>
  <c r="CU30" i="16"/>
  <c r="CV30" i="16"/>
  <c r="CW30" i="16"/>
  <c r="CX30" i="16"/>
  <c r="CY30" i="16"/>
  <c r="CZ30" i="16"/>
  <c r="DA30" i="16"/>
  <c r="DB30" i="16"/>
  <c r="DH30" i="16"/>
  <c r="DI30" i="16"/>
  <c r="DJ30" i="16"/>
  <c r="H31" i="16"/>
  <c r="I31" i="16"/>
  <c r="J31" i="16"/>
  <c r="K31" i="16"/>
  <c r="L31" i="16"/>
  <c r="M31" i="16"/>
  <c r="N31" i="16"/>
  <c r="O31" i="16"/>
  <c r="P31" i="16"/>
  <c r="Q31" i="16"/>
  <c r="R31" i="16"/>
  <c r="S31" i="16"/>
  <c r="T31" i="16"/>
  <c r="U31" i="16"/>
  <c r="V31" i="16"/>
  <c r="W31" i="16"/>
  <c r="X31" i="16"/>
  <c r="Y31" i="16"/>
  <c r="Z31" i="16"/>
  <c r="AA31" i="16"/>
  <c r="AB31" i="16"/>
  <c r="AC31" i="16"/>
  <c r="AD31" i="16"/>
  <c r="AE31" i="16"/>
  <c r="AG31" i="16"/>
  <c r="AH31" i="16"/>
  <c r="AI31" i="16"/>
  <c r="AJ31" i="16"/>
  <c r="AK31" i="16"/>
  <c r="AL31" i="16"/>
  <c r="AM31" i="16"/>
  <c r="AN31" i="16"/>
  <c r="AO31" i="16"/>
  <c r="AP31" i="16"/>
  <c r="AQ31" i="16"/>
  <c r="AR31" i="16"/>
  <c r="AS31" i="16"/>
  <c r="AT31" i="16"/>
  <c r="AU31" i="16"/>
  <c r="AV31" i="16"/>
  <c r="AW31" i="16"/>
  <c r="AX31" i="16"/>
  <c r="AY31" i="16"/>
  <c r="AZ31" i="16"/>
  <c r="BA31" i="16"/>
  <c r="BB31" i="16"/>
  <c r="BC31" i="16"/>
  <c r="BD31" i="16"/>
  <c r="BF31" i="16"/>
  <c r="BG31" i="16"/>
  <c r="BH31" i="16"/>
  <c r="BI31" i="16"/>
  <c r="BJ31" i="16"/>
  <c r="BK31" i="16"/>
  <c r="BL31" i="16"/>
  <c r="BM31" i="16"/>
  <c r="BN31" i="16"/>
  <c r="BO31" i="16"/>
  <c r="BP31" i="16"/>
  <c r="BQ31" i="16"/>
  <c r="BR31" i="16"/>
  <c r="BS31" i="16"/>
  <c r="BT31" i="16"/>
  <c r="BU31" i="16"/>
  <c r="BV31" i="16"/>
  <c r="BW31" i="16"/>
  <c r="BX31" i="16"/>
  <c r="BY31" i="16"/>
  <c r="BZ31" i="16"/>
  <c r="CA31" i="16"/>
  <c r="CB31" i="16"/>
  <c r="CC31" i="16"/>
  <c r="CE31" i="16"/>
  <c r="CF31" i="16"/>
  <c r="CG31" i="16"/>
  <c r="CH31" i="16"/>
  <c r="CI31" i="16"/>
  <c r="CJ31" i="16"/>
  <c r="CK31" i="16"/>
  <c r="CL31" i="16"/>
  <c r="CM31" i="16"/>
  <c r="CN31" i="16"/>
  <c r="CO31" i="16"/>
  <c r="CP31" i="16"/>
  <c r="CQ31" i="16"/>
  <c r="CR31" i="16"/>
  <c r="CS31" i="16"/>
  <c r="CT31" i="16"/>
  <c r="CU31" i="16"/>
  <c r="CV31" i="16"/>
  <c r="CW31" i="16"/>
  <c r="CX31" i="16"/>
  <c r="CY31" i="16"/>
  <c r="CZ31" i="16"/>
  <c r="DA31" i="16"/>
  <c r="DB31" i="16"/>
  <c r="DH31" i="16"/>
  <c r="DI31" i="16"/>
  <c r="DJ31" i="16"/>
  <c r="H32" i="16"/>
  <c r="I32" i="16"/>
  <c r="J32" i="16"/>
  <c r="K32" i="16"/>
  <c r="L32" i="16"/>
  <c r="M32" i="16"/>
  <c r="N32" i="16"/>
  <c r="O32" i="16"/>
  <c r="P32" i="16"/>
  <c r="Q32" i="16"/>
  <c r="R32" i="16"/>
  <c r="S32" i="16"/>
  <c r="T32" i="16"/>
  <c r="U32" i="16"/>
  <c r="V32" i="16"/>
  <c r="W32" i="16"/>
  <c r="X32" i="16"/>
  <c r="Y32" i="16"/>
  <c r="Z32" i="16"/>
  <c r="AA32" i="16"/>
  <c r="AB32" i="16"/>
  <c r="AC32" i="16"/>
  <c r="AD32" i="16"/>
  <c r="AE32" i="16"/>
  <c r="AG32" i="16"/>
  <c r="AH32" i="16"/>
  <c r="AI32" i="16"/>
  <c r="AJ32" i="16"/>
  <c r="AK32" i="16"/>
  <c r="AL32" i="16"/>
  <c r="AM32" i="16"/>
  <c r="AN32" i="16"/>
  <c r="AO32" i="16"/>
  <c r="AP32" i="16"/>
  <c r="AQ32" i="16"/>
  <c r="AR32" i="16"/>
  <c r="AS32" i="16"/>
  <c r="AT32" i="16"/>
  <c r="AU32" i="16"/>
  <c r="AV32" i="16"/>
  <c r="AW32" i="16"/>
  <c r="AX32" i="16"/>
  <c r="AY32" i="16"/>
  <c r="AZ32" i="16"/>
  <c r="BA32" i="16"/>
  <c r="BB32" i="16"/>
  <c r="BC32" i="16"/>
  <c r="BD32" i="16"/>
  <c r="BF32" i="16"/>
  <c r="BG32" i="16"/>
  <c r="BH32" i="16"/>
  <c r="BI32" i="16"/>
  <c r="BJ32" i="16"/>
  <c r="BK32" i="16"/>
  <c r="BL32" i="16"/>
  <c r="BM32" i="16"/>
  <c r="BN32" i="16"/>
  <c r="BO32" i="16"/>
  <c r="BP32" i="16"/>
  <c r="BQ32" i="16"/>
  <c r="BR32" i="16"/>
  <c r="BS32" i="16"/>
  <c r="BT32" i="16"/>
  <c r="BU32" i="16"/>
  <c r="BV32" i="16"/>
  <c r="BW32" i="16"/>
  <c r="BX32" i="16"/>
  <c r="BY32" i="16"/>
  <c r="BZ32" i="16"/>
  <c r="CA32" i="16"/>
  <c r="CB32" i="16"/>
  <c r="CC32" i="16"/>
  <c r="CE32" i="16"/>
  <c r="CF32" i="16"/>
  <c r="CG32" i="16"/>
  <c r="CH32" i="16"/>
  <c r="CI32" i="16"/>
  <c r="CJ32" i="16"/>
  <c r="CK32" i="16"/>
  <c r="CL32" i="16"/>
  <c r="CM32" i="16"/>
  <c r="CN32" i="16"/>
  <c r="CO32" i="16"/>
  <c r="CP32" i="16"/>
  <c r="CQ32" i="16"/>
  <c r="CR32" i="16"/>
  <c r="CS32" i="16"/>
  <c r="CT32" i="16"/>
  <c r="CU32" i="16"/>
  <c r="CV32" i="16"/>
  <c r="CW32" i="16"/>
  <c r="CX32" i="16"/>
  <c r="CY32" i="16"/>
  <c r="CZ32" i="16"/>
  <c r="DA32" i="16"/>
  <c r="DB32" i="16"/>
  <c r="DH32" i="16"/>
  <c r="DI32" i="16"/>
  <c r="DJ32" i="16"/>
  <c r="H33" i="16"/>
  <c r="I33" i="16"/>
  <c r="J33" i="16"/>
  <c r="K33" i="16"/>
  <c r="L33" i="16"/>
  <c r="M33" i="16"/>
  <c r="N33" i="16"/>
  <c r="O33" i="16"/>
  <c r="P33" i="16"/>
  <c r="Q33" i="16"/>
  <c r="R33" i="16"/>
  <c r="S33" i="16"/>
  <c r="T33" i="16"/>
  <c r="U33" i="16"/>
  <c r="V33" i="16"/>
  <c r="W33" i="16"/>
  <c r="X33" i="16"/>
  <c r="Y33" i="16"/>
  <c r="Z33" i="16"/>
  <c r="AA33" i="16"/>
  <c r="AB33" i="16"/>
  <c r="AC33" i="16"/>
  <c r="AD33" i="16"/>
  <c r="AE33" i="16"/>
  <c r="AG33" i="16"/>
  <c r="AH33" i="16"/>
  <c r="AI33" i="16"/>
  <c r="AJ33" i="16"/>
  <c r="AK33" i="16"/>
  <c r="AL33" i="16"/>
  <c r="AM33" i="16"/>
  <c r="AN33" i="16"/>
  <c r="AO33" i="16"/>
  <c r="AP33" i="16"/>
  <c r="AQ33" i="16"/>
  <c r="AR33" i="16"/>
  <c r="AS33" i="16"/>
  <c r="AT33" i="16"/>
  <c r="AU33" i="16"/>
  <c r="AV33" i="16"/>
  <c r="AW33" i="16"/>
  <c r="AX33" i="16"/>
  <c r="AY33" i="16"/>
  <c r="AZ33" i="16"/>
  <c r="BA33" i="16"/>
  <c r="BB33" i="16"/>
  <c r="BC33" i="16"/>
  <c r="BD33" i="16"/>
  <c r="BF33" i="16"/>
  <c r="BG33" i="16"/>
  <c r="BH33" i="16"/>
  <c r="BI33" i="16"/>
  <c r="BJ33" i="16"/>
  <c r="BK33" i="16"/>
  <c r="BL33" i="16"/>
  <c r="BM33" i="16"/>
  <c r="BN33" i="16"/>
  <c r="BO33" i="16"/>
  <c r="BP33" i="16"/>
  <c r="BQ33" i="16"/>
  <c r="BR33" i="16"/>
  <c r="BS33" i="16"/>
  <c r="BT33" i="16"/>
  <c r="BU33" i="16"/>
  <c r="BV33" i="16"/>
  <c r="BW33" i="16"/>
  <c r="BX33" i="16"/>
  <c r="BY33" i="16"/>
  <c r="BZ33" i="16"/>
  <c r="CA33" i="16"/>
  <c r="CB33" i="16"/>
  <c r="CC33" i="16"/>
  <c r="CE33" i="16"/>
  <c r="CF33" i="16"/>
  <c r="CG33" i="16"/>
  <c r="CH33" i="16"/>
  <c r="CI33" i="16"/>
  <c r="CJ33" i="16"/>
  <c r="CK33" i="16"/>
  <c r="CL33" i="16"/>
  <c r="CM33" i="16"/>
  <c r="CN33" i="16"/>
  <c r="CO33" i="16"/>
  <c r="CP33" i="16"/>
  <c r="CQ33" i="16"/>
  <c r="CR33" i="16"/>
  <c r="CS33" i="16"/>
  <c r="CT33" i="16"/>
  <c r="CU33" i="16"/>
  <c r="CV33" i="16"/>
  <c r="CW33" i="16"/>
  <c r="CX33" i="16"/>
  <c r="CY33" i="16"/>
  <c r="CZ33" i="16"/>
  <c r="DA33" i="16"/>
  <c r="DB33" i="16"/>
  <c r="DH33" i="16"/>
  <c r="DI33" i="16"/>
  <c r="DJ33" i="16"/>
  <c r="H34" i="16"/>
  <c r="I34" i="16"/>
  <c r="J34" i="16"/>
  <c r="K34" i="16"/>
  <c r="L34" i="16"/>
  <c r="M34" i="16"/>
  <c r="N34" i="16"/>
  <c r="O34" i="16"/>
  <c r="P34" i="16"/>
  <c r="Q34" i="16"/>
  <c r="R34" i="16"/>
  <c r="S34" i="16"/>
  <c r="T34" i="16"/>
  <c r="U34" i="16"/>
  <c r="V34" i="16"/>
  <c r="W34" i="16"/>
  <c r="X34" i="16"/>
  <c r="Y34" i="16"/>
  <c r="Z34" i="16"/>
  <c r="AA34" i="16"/>
  <c r="AB34" i="16"/>
  <c r="AC34" i="16"/>
  <c r="AD34" i="16"/>
  <c r="AE34" i="16"/>
  <c r="AG34" i="16"/>
  <c r="AH34" i="16"/>
  <c r="AI34" i="16"/>
  <c r="AJ34" i="16"/>
  <c r="AK34" i="16"/>
  <c r="AL34" i="16"/>
  <c r="AM34" i="16"/>
  <c r="AN34" i="16"/>
  <c r="AO34" i="16"/>
  <c r="AP34" i="16"/>
  <c r="AQ34" i="16"/>
  <c r="AR34" i="16"/>
  <c r="AS34" i="16"/>
  <c r="AT34" i="16"/>
  <c r="AU34" i="16"/>
  <c r="AV34" i="16"/>
  <c r="AW34" i="16"/>
  <c r="AX34" i="16"/>
  <c r="AY34" i="16"/>
  <c r="AZ34" i="16"/>
  <c r="BA34" i="16"/>
  <c r="BB34" i="16"/>
  <c r="BC34" i="16"/>
  <c r="BD34" i="16"/>
  <c r="BF34" i="16"/>
  <c r="BG34" i="16"/>
  <c r="BH34" i="16"/>
  <c r="BI34" i="16"/>
  <c r="BJ34" i="16"/>
  <c r="BK34" i="16"/>
  <c r="BL34" i="16"/>
  <c r="BM34" i="16"/>
  <c r="BN34" i="16"/>
  <c r="BO34" i="16"/>
  <c r="BP34" i="16"/>
  <c r="BQ34" i="16"/>
  <c r="BR34" i="16"/>
  <c r="BS34" i="16"/>
  <c r="BT34" i="16"/>
  <c r="BU34" i="16"/>
  <c r="BV34" i="16"/>
  <c r="BW34" i="16"/>
  <c r="BX34" i="16"/>
  <c r="BY34" i="16"/>
  <c r="BZ34" i="16"/>
  <c r="CA34" i="16"/>
  <c r="CB34" i="16"/>
  <c r="CC34" i="16"/>
  <c r="CE34" i="16"/>
  <c r="CF34" i="16"/>
  <c r="CG34" i="16"/>
  <c r="CH34" i="16"/>
  <c r="CI34" i="16"/>
  <c r="CJ34" i="16"/>
  <c r="CK34" i="16"/>
  <c r="CL34" i="16"/>
  <c r="CM34" i="16"/>
  <c r="CN34" i="16"/>
  <c r="CO34" i="16"/>
  <c r="CP34" i="16"/>
  <c r="CQ34" i="16"/>
  <c r="CR34" i="16"/>
  <c r="CS34" i="16"/>
  <c r="CT34" i="16"/>
  <c r="CU34" i="16"/>
  <c r="CV34" i="16"/>
  <c r="CW34" i="16"/>
  <c r="CX34" i="16"/>
  <c r="CY34" i="16"/>
  <c r="CZ34" i="16"/>
  <c r="DA34" i="16"/>
  <c r="DB34" i="16"/>
  <c r="DH34" i="16"/>
  <c r="DI34" i="16"/>
  <c r="DJ34" i="16"/>
  <c r="H35" i="16"/>
  <c r="I35" i="16"/>
  <c r="J35" i="16"/>
  <c r="K35" i="16"/>
  <c r="L35" i="16"/>
  <c r="M35" i="16"/>
  <c r="N35" i="16"/>
  <c r="O35" i="16"/>
  <c r="P35" i="16"/>
  <c r="Q35" i="16"/>
  <c r="R35" i="16"/>
  <c r="S35" i="16"/>
  <c r="T35" i="16"/>
  <c r="U35" i="16"/>
  <c r="V35" i="16"/>
  <c r="W35" i="16"/>
  <c r="X35" i="16"/>
  <c r="Y35" i="16"/>
  <c r="Z35" i="16"/>
  <c r="AA35" i="16"/>
  <c r="AB35" i="16"/>
  <c r="AC35" i="16"/>
  <c r="AD35" i="16"/>
  <c r="AE35" i="16"/>
  <c r="AG35" i="16"/>
  <c r="AH35" i="16"/>
  <c r="AI35" i="16"/>
  <c r="AJ35" i="16"/>
  <c r="AK35" i="16"/>
  <c r="AL35" i="16"/>
  <c r="AM35" i="16"/>
  <c r="AN35" i="16"/>
  <c r="AO35" i="16"/>
  <c r="AP35" i="16"/>
  <c r="AQ35" i="16"/>
  <c r="AR35" i="16"/>
  <c r="AS35" i="16"/>
  <c r="AT35" i="16"/>
  <c r="AU35" i="16"/>
  <c r="AV35" i="16"/>
  <c r="AW35" i="16"/>
  <c r="AX35" i="16"/>
  <c r="AY35" i="16"/>
  <c r="AZ35" i="16"/>
  <c r="BA35" i="16"/>
  <c r="BB35" i="16"/>
  <c r="BC35" i="16"/>
  <c r="BD35" i="16"/>
  <c r="BF35" i="16"/>
  <c r="BG35" i="16"/>
  <c r="BH35" i="16"/>
  <c r="BI35" i="16"/>
  <c r="BJ35" i="16"/>
  <c r="BK35" i="16"/>
  <c r="BL35" i="16"/>
  <c r="BM35" i="16"/>
  <c r="BN35" i="16"/>
  <c r="BO35" i="16"/>
  <c r="BP35" i="16"/>
  <c r="BQ35" i="16"/>
  <c r="BR35" i="16"/>
  <c r="BS35" i="16"/>
  <c r="BT35" i="16"/>
  <c r="BU35" i="16"/>
  <c r="BV35" i="16"/>
  <c r="BW35" i="16"/>
  <c r="BX35" i="16"/>
  <c r="BY35" i="16"/>
  <c r="BZ35" i="16"/>
  <c r="CA35" i="16"/>
  <c r="CB35" i="16"/>
  <c r="CC35" i="16"/>
  <c r="CE35" i="16"/>
  <c r="CF35" i="16"/>
  <c r="CG35" i="16"/>
  <c r="CH35" i="16"/>
  <c r="CI35" i="16"/>
  <c r="CJ35" i="16"/>
  <c r="CK35" i="16"/>
  <c r="CL35" i="16"/>
  <c r="CM35" i="16"/>
  <c r="CN35" i="16"/>
  <c r="CO35" i="16"/>
  <c r="CP35" i="16"/>
  <c r="CQ35" i="16"/>
  <c r="CR35" i="16"/>
  <c r="CS35" i="16"/>
  <c r="CT35" i="16"/>
  <c r="CU35" i="16"/>
  <c r="CV35" i="16"/>
  <c r="CW35" i="16"/>
  <c r="CX35" i="16"/>
  <c r="CY35" i="16"/>
  <c r="CZ35" i="16"/>
  <c r="DA35" i="16"/>
  <c r="DB35" i="16"/>
  <c r="DH35" i="16"/>
  <c r="DI35" i="16"/>
  <c r="DJ35" i="16"/>
  <c r="H36" i="16"/>
  <c r="I36" i="16"/>
  <c r="J36" i="16"/>
  <c r="K36" i="16"/>
  <c r="L36" i="16"/>
  <c r="M36" i="16"/>
  <c r="N36" i="16"/>
  <c r="O36" i="16"/>
  <c r="P36" i="16"/>
  <c r="Q36" i="16"/>
  <c r="R36" i="16"/>
  <c r="S36" i="16"/>
  <c r="T36" i="16"/>
  <c r="U36" i="16"/>
  <c r="V36" i="16"/>
  <c r="W36" i="16"/>
  <c r="X36" i="16"/>
  <c r="Y36" i="16"/>
  <c r="Z36" i="16"/>
  <c r="AA36" i="16"/>
  <c r="AB36" i="16"/>
  <c r="AC36" i="16"/>
  <c r="AD36" i="16"/>
  <c r="AE36" i="16"/>
  <c r="AG36" i="16"/>
  <c r="AH36" i="16"/>
  <c r="AI36" i="16"/>
  <c r="AJ36" i="16"/>
  <c r="AK36" i="16"/>
  <c r="AL36" i="16"/>
  <c r="AM36" i="16"/>
  <c r="AN36" i="16"/>
  <c r="AO36" i="16"/>
  <c r="AP36" i="16"/>
  <c r="AQ36" i="16"/>
  <c r="AR36" i="16"/>
  <c r="AS36" i="16"/>
  <c r="AT36" i="16"/>
  <c r="AU36" i="16"/>
  <c r="AV36" i="16"/>
  <c r="AW36" i="16"/>
  <c r="AX36" i="16"/>
  <c r="AY36" i="16"/>
  <c r="AZ36" i="16"/>
  <c r="BA36" i="16"/>
  <c r="BB36" i="16"/>
  <c r="BC36" i="16"/>
  <c r="BD36" i="16"/>
  <c r="BF36" i="16"/>
  <c r="BG36" i="16"/>
  <c r="BH36" i="16"/>
  <c r="BI36" i="16"/>
  <c r="BJ36" i="16"/>
  <c r="BK36" i="16"/>
  <c r="BL36" i="16"/>
  <c r="BM36" i="16"/>
  <c r="BN36" i="16"/>
  <c r="BO36" i="16"/>
  <c r="BP36" i="16"/>
  <c r="BQ36" i="16"/>
  <c r="BR36" i="16"/>
  <c r="BS36" i="16"/>
  <c r="BT36" i="16"/>
  <c r="BU36" i="16"/>
  <c r="BV36" i="16"/>
  <c r="BW36" i="16"/>
  <c r="BX36" i="16"/>
  <c r="BY36" i="16"/>
  <c r="BZ36" i="16"/>
  <c r="CA36" i="16"/>
  <c r="CB36" i="16"/>
  <c r="CC36" i="16"/>
  <c r="CE36" i="16"/>
  <c r="CF36" i="16"/>
  <c r="CG36" i="16"/>
  <c r="CH36" i="16"/>
  <c r="CI36" i="16"/>
  <c r="CJ36" i="16"/>
  <c r="CK36" i="16"/>
  <c r="CL36" i="16"/>
  <c r="CM36" i="16"/>
  <c r="CN36" i="16"/>
  <c r="CO36" i="16"/>
  <c r="CP36" i="16"/>
  <c r="CQ36" i="16"/>
  <c r="CR36" i="16"/>
  <c r="CS36" i="16"/>
  <c r="CT36" i="16"/>
  <c r="CU36" i="16"/>
  <c r="CV36" i="16"/>
  <c r="CW36" i="16"/>
  <c r="CX36" i="16"/>
  <c r="CY36" i="16"/>
  <c r="CZ36" i="16"/>
  <c r="DA36" i="16"/>
  <c r="DB36" i="16"/>
  <c r="DH36" i="16"/>
  <c r="DI36" i="16"/>
  <c r="DJ36" i="16"/>
  <c r="H37" i="16"/>
  <c r="I37" i="16"/>
  <c r="J37" i="16"/>
  <c r="K37" i="16"/>
  <c r="L37" i="16"/>
  <c r="M37" i="16"/>
  <c r="N37" i="16"/>
  <c r="O37" i="16"/>
  <c r="P37" i="16"/>
  <c r="Q37" i="16"/>
  <c r="R37" i="16"/>
  <c r="S37" i="16"/>
  <c r="T37" i="16"/>
  <c r="U37" i="16"/>
  <c r="V37" i="16"/>
  <c r="W37" i="16"/>
  <c r="X37" i="16"/>
  <c r="Y37" i="16"/>
  <c r="Z37" i="16"/>
  <c r="AA37" i="16"/>
  <c r="AB37" i="16"/>
  <c r="AC37" i="16"/>
  <c r="AD37" i="16"/>
  <c r="AE37" i="16"/>
  <c r="AG37" i="16"/>
  <c r="AH37" i="16"/>
  <c r="AI37" i="16"/>
  <c r="AJ37" i="16"/>
  <c r="AK37" i="16"/>
  <c r="AL37" i="16"/>
  <c r="AM37" i="16"/>
  <c r="AN37" i="16"/>
  <c r="AO37" i="16"/>
  <c r="AP37" i="16"/>
  <c r="AQ37" i="16"/>
  <c r="AR37" i="16"/>
  <c r="AS37" i="16"/>
  <c r="AT37" i="16"/>
  <c r="AU37" i="16"/>
  <c r="AV37" i="16"/>
  <c r="AW37" i="16"/>
  <c r="AX37" i="16"/>
  <c r="AY37" i="16"/>
  <c r="AZ37" i="16"/>
  <c r="BA37" i="16"/>
  <c r="BB37" i="16"/>
  <c r="BC37" i="16"/>
  <c r="BD37" i="16"/>
  <c r="BF37" i="16"/>
  <c r="BG37" i="16"/>
  <c r="BH37" i="16"/>
  <c r="BI37" i="16"/>
  <c r="BJ37" i="16"/>
  <c r="BK37" i="16"/>
  <c r="BL37" i="16"/>
  <c r="BM37" i="16"/>
  <c r="BN37" i="16"/>
  <c r="BO37" i="16"/>
  <c r="BP37" i="16"/>
  <c r="BQ37" i="16"/>
  <c r="BR37" i="16"/>
  <c r="BS37" i="16"/>
  <c r="BT37" i="16"/>
  <c r="BU37" i="16"/>
  <c r="BV37" i="16"/>
  <c r="BW37" i="16"/>
  <c r="BX37" i="16"/>
  <c r="BY37" i="16"/>
  <c r="BZ37" i="16"/>
  <c r="CA37" i="16"/>
  <c r="CB37" i="16"/>
  <c r="CC37" i="16"/>
  <c r="CE37" i="16"/>
  <c r="CF37" i="16"/>
  <c r="CG37" i="16"/>
  <c r="CH37" i="16"/>
  <c r="CI37" i="16"/>
  <c r="CJ37" i="16"/>
  <c r="CK37" i="16"/>
  <c r="CL37" i="16"/>
  <c r="CM37" i="16"/>
  <c r="CN37" i="16"/>
  <c r="CO37" i="16"/>
  <c r="CP37" i="16"/>
  <c r="CQ37" i="16"/>
  <c r="CR37" i="16"/>
  <c r="CS37" i="16"/>
  <c r="CT37" i="16"/>
  <c r="CU37" i="16"/>
  <c r="CV37" i="16"/>
  <c r="CW37" i="16"/>
  <c r="CX37" i="16"/>
  <c r="CY37" i="16"/>
  <c r="CZ37" i="16"/>
  <c r="DA37" i="16"/>
  <c r="DB37" i="16"/>
  <c r="DH37" i="16"/>
  <c r="DI37" i="16"/>
  <c r="DJ37" i="16"/>
  <c r="H38" i="16"/>
  <c r="I38" i="16"/>
  <c r="J38" i="16"/>
  <c r="K38" i="16"/>
  <c r="L38" i="16"/>
  <c r="M38" i="16"/>
  <c r="N38" i="16"/>
  <c r="O38" i="16"/>
  <c r="P38" i="16"/>
  <c r="Q38" i="16"/>
  <c r="R38" i="16"/>
  <c r="S38" i="16"/>
  <c r="T38" i="16"/>
  <c r="U38" i="16"/>
  <c r="V38" i="16"/>
  <c r="W38" i="16"/>
  <c r="X38" i="16"/>
  <c r="Y38" i="16"/>
  <c r="Z38" i="16"/>
  <c r="AA38" i="16"/>
  <c r="AB38" i="16"/>
  <c r="AC38" i="16"/>
  <c r="AD38" i="16"/>
  <c r="AE38" i="16"/>
  <c r="AG38" i="16"/>
  <c r="AH38" i="16"/>
  <c r="AI38" i="16"/>
  <c r="AJ38" i="16"/>
  <c r="AK38" i="16"/>
  <c r="AL38" i="16"/>
  <c r="AM38" i="16"/>
  <c r="AN38" i="16"/>
  <c r="AO38" i="16"/>
  <c r="AP38" i="16"/>
  <c r="AQ38" i="16"/>
  <c r="AR38" i="16"/>
  <c r="AS38" i="16"/>
  <c r="AT38" i="16"/>
  <c r="AU38" i="16"/>
  <c r="AV38" i="16"/>
  <c r="AW38" i="16"/>
  <c r="AX38" i="16"/>
  <c r="AY38" i="16"/>
  <c r="AZ38" i="16"/>
  <c r="BA38" i="16"/>
  <c r="BB38" i="16"/>
  <c r="BC38" i="16"/>
  <c r="BD38" i="16"/>
  <c r="BF38" i="16"/>
  <c r="BG38" i="16"/>
  <c r="BH38" i="16"/>
  <c r="BI38" i="16"/>
  <c r="BJ38" i="16"/>
  <c r="BK38" i="16"/>
  <c r="BL38" i="16"/>
  <c r="BM38" i="16"/>
  <c r="BN38" i="16"/>
  <c r="BO38" i="16"/>
  <c r="BP38" i="16"/>
  <c r="BQ38" i="16"/>
  <c r="BR38" i="16"/>
  <c r="BS38" i="16"/>
  <c r="BT38" i="16"/>
  <c r="BU38" i="16"/>
  <c r="BV38" i="16"/>
  <c r="BW38" i="16"/>
  <c r="BX38" i="16"/>
  <c r="BY38" i="16"/>
  <c r="BZ38" i="16"/>
  <c r="CA38" i="16"/>
  <c r="CB38" i="16"/>
  <c r="CC38" i="16"/>
  <c r="CE38" i="16"/>
  <c r="CF38" i="16"/>
  <c r="CG38" i="16"/>
  <c r="CH38" i="16"/>
  <c r="CI38" i="16"/>
  <c r="CJ38" i="16"/>
  <c r="CK38" i="16"/>
  <c r="CL38" i="16"/>
  <c r="CM38" i="16"/>
  <c r="CN38" i="16"/>
  <c r="CO38" i="16"/>
  <c r="CP38" i="16"/>
  <c r="CQ38" i="16"/>
  <c r="CR38" i="16"/>
  <c r="CS38" i="16"/>
  <c r="CT38" i="16"/>
  <c r="CU38" i="16"/>
  <c r="CV38" i="16"/>
  <c r="CW38" i="16"/>
  <c r="CX38" i="16"/>
  <c r="CY38" i="16"/>
  <c r="CZ38" i="16"/>
  <c r="DA38" i="16"/>
  <c r="DB38" i="16"/>
  <c r="DH38" i="16"/>
  <c r="DI38" i="16"/>
  <c r="DJ38" i="16"/>
  <c r="H39" i="16"/>
  <c r="I39" i="16"/>
  <c r="J39" i="16"/>
  <c r="K39" i="16"/>
  <c r="L39" i="16"/>
  <c r="M39" i="16"/>
  <c r="N39" i="16"/>
  <c r="O39" i="16"/>
  <c r="P39" i="16"/>
  <c r="Q39" i="16"/>
  <c r="R39" i="16"/>
  <c r="S39" i="16"/>
  <c r="T39" i="16"/>
  <c r="U39" i="16"/>
  <c r="V39" i="16"/>
  <c r="W39" i="16"/>
  <c r="X39" i="16"/>
  <c r="Y39" i="16"/>
  <c r="Z39" i="16"/>
  <c r="AA39" i="16"/>
  <c r="AB39" i="16"/>
  <c r="AC39" i="16"/>
  <c r="AD39" i="16"/>
  <c r="AE39" i="16"/>
  <c r="AG39" i="16"/>
  <c r="AH39" i="16"/>
  <c r="AI39" i="16"/>
  <c r="AJ39" i="16"/>
  <c r="AK39" i="16"/>
  <c r="AL39" i="16"/>
  <c r="AM39" i="16"/>
  <c r="AN39" i="16"/>
  <c r="AO39" i="16"/>
  <c r="AP39" i="16"/>
  <c r="AQ39" i="16"/>
  <c r="AR39" i="16"/>
  <c r="AS39" i="16"/>
  <c r="AT39" i="16"/>
  <c r="AU39" i="16"/>
  <c r="AV39" i="16"/>
  <c r="AW39" i="16"/>
  <c r="AX39" i="16"/>
  <c r="AY39" i="16"/>
  <c r="AZ39" i="16"/>
  <c r="BA39" i="16"/>
  <c r="BB39" i="16"/>
  <c r="BC39" i="16"/>
  <c r="BD39" i="16"/>
  <c r="BF39" i="16"/>
  <c r="BG39" i="16"/>
  <c r="BH39" i="16"/>
  <c r="BI39" i="16"/>
  <c r="BJ39" i="16"/>
  <c r="BK39" i="16"/>
  <c r="BL39" i="16"/>
  <c r="BM39" i="16"/>
  <c r="BN39" i="16"/>
  <c r="BO39" i="16"/>
  <c r="BP39" i="16"/>
  <c r="BQ39" i="16"/>
  <c r="BR39" i="16"/>
  <c r="BS39" i="16"/>
  <c r="BT39" i="16"/>
  <c r="BU39" i="16"/>
  <c r="BV39" i="16"/>
  <c r="BW39" i="16"/>
  <c r="BX39" i="16"/>
  <c r="BY39" i="16"/>
  <c r="BZ39" i="16"/>
  <c r="CA39" i="16"/>
  <c r="CB39" i="16"/>
  <c r="CC39" i="16"/>
  <c r="CE39" i="16"/>
  <c r="CF39" i="16"/>
  <c r="CG39" i="16"/>
  <c r="CH39" i="16"/>
  <c r="CI39" i="16"/>
  <c r="CJ39" i="16"/>
  <c r="CK39" i="16"/>
  <c r="CL39" i="16"/>
  <c r="CM39" i="16"/>
  <c r="CN39" i="16"/>
  <c r="CO39" i="16"/>
  <c r="CP39" i="16"/>
  <c r="CQ39" i="16"/>
  <c r="CR39" i="16"/>
  <c r="CS39" i="16"/>
  <c r="CT39" i="16"/>
  <c r="CU39" i="16"/>
  <c r="CV39" i="16"/>
  <c r="CW39" i="16"/>
  <c r="CX39" i="16"/>
  <c r="CY39" i="16"/>
  <c r="CZ39" i="16"/>
  <c r="DA39" i="16"/>
  <c r="DB39" i="16"/>
  <c r="DH39" i="16"/>
  <c r="DI39" i="16"/>
  <c r="DJ39" i="16"/>
  <c r="H40" i="16"/>
  <c r="I40" i="16"/>
  <c r="J40" i="16"/>
  <c r="K40" i="16"/>
  <c r="L40" i="16"/>
  <c r="M40" i="16"/>
  <c r="N40" i="16"/>
  <c r="O40" i="16"/>
  <c r="P40" i="16"/>
  <c r="Q40" i="16"/>
  <c r="R40" i="16"/>
  <c r="S40" i="16"/>
  <c r="T40" i="16"/>
  <c r="U40" i="16"/>
  <c r="V40" i="16"/>
  <c r="W40" i="16"/>
  <c r="X40" i="16"/>
  <c r="Y40" i="16"/>
  <c r="Z40" i="16"/>
  <c r="AA40" i="16"/>
  <c r="AB40" i="16"/>
  <c r="AC40" i="16"/>
  <c r="AD40" i="16"/>
  <c r="AE40" i="16"/>
  <c r="AG40" i="16"/>
  <c r="AH40" i="16"/>
  <c r="AI40" i="16"/>
  <c r="AJ40" i="16"/>
  <c r="AK40" i="16"/>
  <c r="AL40" i="16"/>
  <c r="AM40" i="16"/>
  <c r="AN40" i="16"/>
  <c r="AO40" i="16"/>
  <c r="AP40" i="16"/>
  <c r="AQ40" i="16"/>
  <c r="AR40" i="16"/>
  <c r="AS40" i="16"/>
  <c r="AT40" i="16"/>
  <c r="AU40" i="16"/>
  <c r="AV40" i="16"/>
  <c r="AW40" i="16"/>
  <c r="AX40" i="16"/>
  <c r="AY40" i="16"/>
  <c r="AZ40" i="16"/>
  <c r="BA40" i="16"/>
  <c r="BB40" i="16"/>
  <c r="BC40" i="16"/>
  <c r="BD40" i="16"/>
  <c r="BF40" i="16"/>
  <c r="BG40" i="16"/>
  <c r="BH40" i="16"/>
  <c r="BI40" i="16"/>
  <c r="BJ40" i="16"/>
  <c r="BK40" i="16"/>
  <c r="BL40" i="16"/>
  <c r="BM40" i="16"/>
  <c r="BN40" i="16"/>
  <c r="BO40" i="16"/>
  <c r="BP40" i="16"/>
  <c r="BQ40" i="16"/>
  <c r="BR40" i="16"/>
  <c r="BS40" i="16"/>
  <c r="BT40" i="16"/>
  <c r="BU40" i="16"/>
  <c r="BV40" i="16"/>
  <c r="BW40" i="16"/>
  <c r="BX40" i="16"/>
  <c r="BY40" i="16"/>
  <c r="BZ40" i="16"/>
  <c r="CA40" i="16"/>
  <c r="CB40" i="16"/>
  <c r="CC40" i="16"/>
  <c r="CE40" i="16"/>
  <c r="CF40" i="16"/>
  <c r="CG40" i="16"/>
  <c r="CH40" i="16"/>
  <c r="CI40" i="16"/>
  <c r="CJ40" i="16"/>
  <c r="CK40" i="16"/>
  <c r="CL40" i="16"/>
  <c r="CM40" i="16"/>
  <c r="CN40" i="16"/>
  <c r="CO40" i="16"/>
  <c r="CP40" i="16"/>
  <c r="CQ40" i="16"/>
  <c r="CR40" i="16"/>
  <c r="CS40" i="16"/>
  <c r="CT40" i="16"/>
  <c r="CU40" i="16"/>
  <c r="CV40" i="16"/>
  <c r="CW40" i="16"/>
  <c r="CX40" i="16"/>
  <c r="CY40" i="16"/>
  <c r="CZ40" i="16"/>
  <c r="DA40" i="16"/>
  <c r="DB40" i="16"/>
  <c r="DH40" i="16"/>
  <c r="DI40" i="16"/>
  <c r="DJ40" i="16"/>
  <c r="H41" i="16"/>
  <c r="I41" i="16"/>
  <c r="J41" i="16"/>
  <c r="K41" i="16"/>
  <c r="L41" i="16"/>
  <c r="M41" i="16"/>
  <c r="N41" i="16"/>
  <c r="O41" i="16"/>
  <c r="P41" i="16"/>
  <c r="Q41" i="16"/>
  <c r="R41" i="16"/>
  <c r="S41" i="16"/>
  <c r="T41" i="16"/>
  <c r="U41" i="16"/>
  <c r="V41" i="16"/>
  <c r="W41" i="16"/>
  <c r="X41" i="16"/>
  <c r="Y41" i="16"/>
  <c r="Z41" i="16"/>
  <c r="AA41" i="16"/>
  <c r="AB41" i="16"/>
  <c r="AC41" i="16"/>
  <c r="AD41" i="16"/>
  <c r="AE41" i="16"/>
  <c r="AG41" i="16"/>
  <c r="AH41" i="16"/>
  <c r="AI41" i="16"/>
  <c r="AJ41" i="16"/>
  <c r="AK41" i="16"/>
  <c r="AL41" i="16"/>
  <c r="AM41" i="16"/>
  <c r="AN41" i="16"/>
  <c r="AO41" i="16"/>
  <c r="AP41" i="16"/>
  <c r="AQ41" i="16"/>
  <c r="AR41" i="16"/>
  <c r="AS41" i="16"/>
  <c r="AT41" i="16"/>
  <c r="AU41" i="16"/>
  <c r="AV41" i="16"/>
  <c r="AW41" i="16"/>
  <c r="AX41" i="16"/>
  <c r="AY41" i="16"/>
  <c r="AZ41" i="16"/>
  <c r="BA41" i="16"/>
  <c r="BB41" i="16"/>
  <c r="BC41" i="16"/>
  <c r="BD41" i="16"/>
  <c r="BF41" i="16"/>
  <c r="BG41" i="16"/>
  <c r="BH41" i="16"/>
  <c r="BI41" i="16"/>
  <c r="BJ41" i="16"/>
  <c r="BK41" i="16"/>
  <c r="BL41" i="16"/>
  <c r="BM41" i="16"/>
  <c r="BN41" i="16"/>
  <c r="BO41" i="16"/>
  <c r="BP41" i="16"/>
  <c r="BQ41" i="16"/>
  <c r="BR41" i="16"/>
  <c r="BS41" i="16"/>
  <c r="BT41" i="16"/>
  <c r="BU41" i="16"/>
  <c r="BV41" i="16"/>
  <c r="BW41" i="16"/>
  <c r="BX41" i="16"/>
  <c r="BY41" i="16"/>
  <c r="BZ41" i="16"/>
  <c r="CA41" i="16"/>
  <c r="CB41" i="16"/>
  <c r="CC41" i="16"/>
  <c r="CE41" i="16"/>
  <c r="CF41" i="16"/>
  <c r="CG41" i="16"/>
  <c r="CH41" i="16"/>
  <c r="CI41" i="16"/>
  <c r="CJ41" i="16"/>
  <c r="CK41" i="16"/>
  <c r="CL41" i="16"/>
  <c r="CM41" i="16"/>
  <c r="CN41" i="16"/>
  <c r="CO41" i="16"/>
  <c r="CP41" i="16"/>
  <c r="CQ41" i="16"/>
  <c r="CR41" i="16"/>
  <c r="CS41" i="16"/>
  <c r="CT41" i="16"/>
  <c r="CU41" i="16"/>
  <c r="CV41" i="16"/>
  <c r="CW41" i="16"/>
  <c r="CX41" i="16"/>
  <c r="CY41" i="16"/>
  <c r="CZ41" i="16"/>
  <c r="DA41" i="16"/>
  <c r="DB41" i="16"/>
  <c r="DH41" i="16"/>
  <c r="DI41" i="16"/>
  <c r="DJ41" i="16"/>
  <c r="H42" i="16"/>
  <c r="I42" i="16"/>
  <c r="J42" i="16"/>
  <c r="K42" i="16"/>
  <c r="L42" i="16"/>
  <c r="M42" i="16"/>
  <c r="N42" i="16"/>
  <c r="O42" i="16"/>
  <c r="P42" i="16"/>
  <c r="Q42" i="16"/>
  <c r="R42" i="16"/>
  <c r="S42" i="16"/>
  <c r="T42" i="16"/>
  <c r="U42" i="16"/>
  <c r="V42" i="16"/>
  <c r="W42" i="16"/>
  <c r="X42" i="16"/>
  <c r="Y42" i="16"/>
  <c r="Z42" i="16"/>
  <c r="AA42" i="16"/>
  <c r="AB42" i="16"/>
  <c r="AC42" i="16"/>
  <c r="AD42" i="16"/>
  <c r="AE42" i="16"/>
  <c r="AG42" i="16"/>
  <c r="AH42" i="16"/>
  <c r="AI42" i="16"/>
  <c r="AJ42" i="16"/>
  <c r="AK42" i="16"/>
  <c r="AL42" i="16"/>
  <c r="AM42" i="16"/>
  <c r="AN42" i="16"/>
  <c r="AO42" i="16"/>
  <c r="AP42" i="16"/>
  <c r="AQ42" i="16"/>
  <c r="AR42" i="16"/>
  <c r="AS42" i="16"/>
  <c r="AT42" i="16"/>
  <c r="AU42" i="16"/>
  <c r="AV42" i="16"/>
  <c r="AW42" i="16"/>
  <c r="AX42" i="16"/>
  <c r="AY42" i="16"/>
  <c r="AZ42" i="16"/>
  <c r="BA42" i="16"/>
  <c r="BB42" i="16"/>
  <c r="BC42" i="16"/>
  <c r="BD42" i="16"/>
  <c r="BF42" i="16"/>
  <c r="BG42" i="16"/>
  <c r="BH42" i="16"/>
  <c r="BI42" i="16"/>
  <c r="BJ42" i="16"/>
  <c r="BK42" i="16"/>
  <c r="BL42" i="16"/>
  <c r="BM42" i="16"/>
  <c r="BN42" i="16"/>
  <c r="BO42" i="16"/>
  <c r="BP42" i="16"/>
  <c r="BQ42" i="16"/>
  <c r="BR42" i="16"/>
  <c r="BS42" i="16"/>
  <c r="BT42" i="16"/>
  <c r="BU42" i="16"/>
  <c r="BV42" i="16"/>
  <c r="BW42" i="16"/>
  <c r="BX42" i="16"/>
  <c r="BY42" i="16"/>
  <c r="BZ42" i="16"/>
  <c r="CA42" i="16"/>
  <c r="CB42" i="16"/>
  <c r="CC42" i="16"/>
  <c r="CE42" i="16"/>
  <c r="CF42" i="16"/>
  <c r="CG42" i="16"/>
  <c r="CH42" i="16"/>
  <c r="CI42" i="16"/>
  <c r="CJ42" i="16"/>
  <c r="CK42" i="16"/>
  <c r="CL42" i="16"/>
  <c r="CM42" i="16"/>
  <c r="CN42" i="16"/>
  <c r="CO42" i="16"/>
  <c r="CP42" i="16"/>
  <c r="CQ42" i="16"/>
  <c r="CR42" i="16"/>
  <c r="CS42" i="16"/>
  <c r="CT42" i="16"/>
  <c r="CU42" i="16"/>
  <c r="CV42" i="16"/>
  <c r="CW42" i="16"/>
  <c r="CX42" i="16"/>
  <c r="CY42" i="16"/>
  <c r="CZ42" i="16"/>
  <c r="DA42" i="16"/>
  <c r="DB42" i="16"/>
  <c r="DH42" i="16"/>
  <c r="DI42" i="16"/>
  <c r="DJ42" i="16"/>
  <c r="H43" i="16"/>
  <c r="I43" i="16"/>
  <c r="J43" i="16"/>
  <c r="K43" i="16"/>
  <c r="L43" i="16"/>
  <c r="M43" i="16"/>
  <c r="N43" i="16"/>
  <c r="O43" i="16"/>
  <c r="P43" i="16"/>
  <c r="Q43" i="16"/>
  <c r="R43" i="16"/>
  <c r="S43" i="16"/>
  <c r="T43" i="16"/>
  <c r="U43" i="16"/>
  <c r="V43" i="16"/>
  <c r="W43" i="16"/>
  <c r="X43" i="16"/>
  <c r="Y43" i="16"/>
  <c r="Z43" i="16"/>
  <c r="AA43" i="16"/>
  <c r="AB43" i="16"/>
  <c r="AC43" i="16"/>
  <c r="AD43" i="16"/>
  <c r="AE43" i="16"/>
  <c r="AG43" i="16"/>
  <c r="AH43" i="16"/>
  <c r="AI43" i="16"/>
  <c r="AJ43" i="16"/>
  <c r="AK43" i="16"/>
  <c r="AL43" i="16"/>
  <c r="AM43" i="16"/>
  <c r="AN43" i="16"/>
  <c r="AO43" i="16"/>
  <c r="AP43" i="16"/>
  <c r="AQ43" i="16"/>
  <c r="AR43" i="16"/>
  <c r="AS43" i="16"/>
  <c r="AT43" i="16"/>
  <c r="AU43" i="16"/>
  <c r="AV43" i="16"/>
  <c r="AW43" i="16"/>
  <c r="AX43" i="16"/>
  <c r="AY43" i="16"/>
  <c r="AZ43" i="16"/>
  <c r="BA43" i="16"/>
  <c r="BB43" i="16"/>
  <c r="BC43" i="16"/>
  <c r="BD43" i="16"/>
  <c r="BF43" i="16"/>
  <c r="BG43" i="16"/>
  <c r="BH43" i="16"/>
  <c r="BI43" i="16"/>
  <c r="BJ43" i="16"/>
  <c r="BK43" i="16"/>
  <c r="BL43" i="16"/>
  <c r="BM43" i="16"/>
  <c r="BN43" i="16"/>
  <c r="BO43" i="16"/>
  <c r="BP43" i="16"/>
  <c r="BQ43" i="16"/>
  <c r="BR43" i="16"/>
  <c r="BS43" i="16"/>
  <c r="BT43" i="16"/>
  <c r="BU43" i="16"/>
  <c r="BV43" i="16"/>
  <c r="BW43" i="16"/>
  <c r="BX43" i="16"/>
  <c r="BY43" i="16"/>
  <c r="BZ43" i="16"/>
  <c r="CA43" i="16"/>
  <c r="CB43" i="16"/>
  <c r="CC43" i="16"/>
  <c r="CE43" i="16"/>
  <c r="CF43" i="16"/>
  <c r="CG43" i="16"/>
  <c r="CH43" i="16"/>
  <c r="CI43" i="16"/>
  <c r="CJ43" i="16"/>
  <c r="CK43" i="16"/>
  <c r="CL43" i="16"/>
  <c r="CM43" i="16"/>
  <c r="CN43" i="16"/>
  <c r="CO43" i="16"/>
  <c r="CP43" i="16"/>
  <c r="CQ43" i="16"/>
  <c r="CR43" i="16"/>
  <c r="CS43" i="16"/>
  <c r="CT43" i="16"/>
  <c r="CU43" i="16"/>
  <c r="CV43" i="16"/>
  <c r="CW43" i="16"/>
  <c r="CX43" i="16"/>
  <c r="CY43" i="16"/>
  <c r="CZ43" i="16"/>
  <c r="DA43" i="16"/>
  <c r="DB43" i="16"/>
  <c r="DH43" i="16"/>
  <c r="DI43" i="16"/>
  <c r="DJ43" i="16"/>
  <c r="H44" i="16"/>
  <c r="I44" i="16"/>
  <c r="J44" i="16"/>
  <c r="K44" i="16"/>
  <c r="L44" i="16"/>
  <c r="M44" i="16"/>
  <c r="N44" i="16"/>
  <c r="O44" i="16"/>
  <c r="P44" i="16"/>
  <c r="Q44" i="16"/>
  <c r="R44" i="16"/>
  <c r="S44" i="16"/>
  <c r="T44" i="16"/>
  <c r="U44" i="16"/>
  <c r="V44" i="16"/>
  <c r="W44" i="16"/>
  <c r="X44" i="16"/>
  <c r="Y44" i="16"/>
  <c r="Z44" i="16"/>
  <c r="AA44" i="16"/>
  <c r="AB44" i="16"/>
  <c r="AC44" i="16"/>
  <c r="AD44" i="16"/>
  <c r="AE44" i="16"/>
  <c r="AG44" i="16"/>
  <c r="AH44" i="16"/>
  <c r="AI44" i="16"/>
  <c r="AJ44" i="16"/>
  <c r="AK44" i="16"/>
  <c r="AL44" i="16"/>
  <c r="AM44" i="16"/>
  <c r="AN44" i="16"/>
  <c r="AO44" i="16"/>
  <c r="AP44" i="16"/>
  <c r="AQ44" i="16"/>
  <c r="AR44" i="16"/>
  <c r="AS44" i="16"/>
  <c r="AT44" i="16"/>
  <c r="AU44" i="16"/>
  <c r="AV44" i="16"/>
  <c r="AW44" i="16"/>
  <c r="AX44" i="16"/>
  <c r="AY44" i="16"/>
  <c r="AZ44" i="16"/>
  <c r="BA44" i="16"/>
  <c r="BB44" i="16"/>
  <c r="BC44" i="16"/>
  <c r="BD44" i="16"/>
  <c r="BF44" i="16"/>
  <c r="BG44" i="16"/>
  <c r="BH44" i="16"/>
  <c r="BI44" i="16"/>
  <c r="BJ44" i="16"/>
  <c r="BK44" i="16"/>
  <c r="BL44" i="16"/>
  <c r="BM44" i="16"/>
  <c r="BN44" i="16"/>
  <c r="BO44" i="16"/>
  <c r="BP44" i="16"/>
  <c r="BQ44" i="16"/>
  <c r="BR44" i="16"/>
  <c r="BS44" i="16"/>
  <c r="BT44" i="16"/>
  <c r="BU44" i="16"/>
  <c r="BV44" i="16"/>
  <c r="BW44" i="16"/>
  <c r="BX44" i="16"/>
  <c r="BY44" i="16"/>
  <c r="BZ44" i="16"/>
  <c r="CA44" i="16"/>
  <c r="CB44" i="16"/>
  <c r="CC44" i="16"/>
  <c r="CE44" i="16"/>
  <c r="CF44" i="16"/>
  <c r="CG44" i="16"/>
  <c r="CH44" i="16"/>
  <c r="CI44" i="16"/>
  <c r="CJ44" i="16"/>
  <c r="CK44" i="16"/>
  <c r="CL44" i="16"/>
  <c r="CM44" i="16"/>
  <c r="CN44" i="16"/>
  <c r="CO44" i="16"/>
  <c r="CP44" i="16"/>
  <c r="CQ44" i="16"/>
  <c r="CR44" i="16"/>
  <c r="CS44" i="16"/>
  <c r="CT44" i="16"/>
  <c r="CU44" i="16"/>
  <c r="CV44" i="16"/>
  <c r="CW44" i="16"/>
  <c r="CX44" i="16"/>
  <c r="CY44" i="16"/>
  <c r="CZ44" i="16"/>
  <c r="DA44" i="16"/>
  <c r="DB44" i="16"/>
  <c r="DH44" i="16"/>
  <c r="DI44" i="16"/>
  <c r="DJ44" i="16"/>
  <c r="H45" i="16"/>
  <c r="I45" i="16"/>
  <c r="J45" i="16"/>
  <c r="K45" i="16"/>
  <c r="L45" i="16"/>
  <c r="M45" i="16"/>
  <c r="N45" i="16"/>
  <c r="O45" i="16"/>
  <c r="P45" i="16"/>
  <c r="Q45" i="16"/>
  <c r="R45" i="16"/>
  <c r="S45" i="16"/>
  <c r="T45" i="16"/>
  <c r="U45" i="16"/>
  <c r="V45" i="16"/>
  <c r="W45" i="16"/>
  <c r="X45" i="16"/>
  <c r="Y45" i="16"/>
  <c r="Z45" i="16"/>
  <c r="AA45" i="16"/>
  <c r="AB45" i="16"/>
  <c r="AC45" i="16"/>
  <c r="AD45" i="16"/>
  <c r="AE45" i="16"/>
  <c r="AG45" i="16"/>
  <c r="AH45" i="16"/>
  <c r="AI45" i="16"/>
  <c r="AJ45" i="16"/>
  <c r="AK45" i="16"/>
  <c r="AL45" i="16"/>
  <c r="AM45" i="16"/>
  <c r="AN45" i="16"/>
  <c r="AO45" i="16"/>
  <c r="AP45" i="16"/>
  <c r="AQ45" i="16"/>
  <c r="AR45" i="16"/>
  <c r="AS45" i="16"/>
  <c r="AT45" i="16"/>
  <c r="AU45" i="16"/>
  <c r="AV45" i="16"/>
  <c r="AW45" i="16"/>
  <c r="AX45" i="16"/>
  <c r="AY45" i="16"/>
  <c r="AZ45" i="16"/>
  <c r="BA45" i="16"/>
  <c r="BB45" i="16"/>
  <c r="BC45" i="16"/>
  <c r="BD45" i="16"/>
  <c r="BF45" i="16"/>
  <c r="BG45" i="16"/>
  <c r="BH45" i="16"/>
  <c r="BI45" i="16"/>
  <c r="BJ45" i="16"/>
  <c r="BK45" i="16"/>
  <c r="BL45" i="16"/>
  <c r="BM45" i="16"/>
  <c r="BN45" i="16"/>
  <c r="BO45" i="16"/>
  <c r="BP45" i="16"/>
  <c r="BQ45" i="16"/>
  <c r="BR45" i="16"/>
  <c r="BS45" i="16"/>
  <c r="BT45" i="16"/>
  <c r="BU45" i="16"/>
  <c r="BV45" i="16"/>
  <c r="BW45" i="16"/>
  <c r="BX45" i="16"/>
  <c r="BY45" i="16"/>
  <c r="BZ45" i="16"/>
  <c r="CA45" i="16"/>
  <c r="CB45" i="16"/>
  <c r="CC45" i="16"/>
  <c r="CE45" i="16"/>
  <c r="CF45" i="16"/>
  <c r="CG45" i="16"/>
  <c r="CH45" i="16"/>
  <c r="CI45" i="16"/>
  <c r="CJ45" i="16"/>
  <c r="CK45" i="16"/>
  <c r="CL45" i="16"/>
  <c r="CM45" i="16"/>
  <c r="CN45" i="16"/>
  <c r="CO45" i="16"/>
  <c r="CP45" i="16"/>
  <c r="CQ45" i="16"/>
  <c r="CR45" i="16"/>
  <c r="CS45" i="16"/>
  <c r="CT45" i="16"/>
  <c r="CU45" i="16"/>
  <c r="CV45" i="16"/>
  <c r="CW45" i="16"/>
  <c r="CX45" i="16"/>
  <c r="CY45" i="16"/>
  <c r="CZ45" i="16"/>
  <c r="DA45" i="16"/>
  <c r="DB45" i="16"/>
  <c r="DH45" i="16"/>
  <c r="DI45" i="16"/>
  <c r="DJ45" i="16"/>
  <c r="H46" i="16"/>
  <c r="I46" i="16"/>
  <c r="J46" i="16"/>
  <c r="K46" i="16"/>
  <c r="L46" i="16"/>
  <c r="M46" i="16"/>
  <c r="N46" i="16"/>
  <c r="O46" i="16"/>
  <c r="P46" i="16"/>
  <c r="Q46" i="16"/>
  <c r="R46" i="16"/>
  <c r="S46" i="16"/>
  <c r="T46" i="16"/>
  <c r="U46" i="16"/>
  <c r="V46" i="16"/>
  <c r="W46" i="16"/>
  <c r="X46" i="16"/>
  <c r="Y46" i="16"/>
  <c r="Z46" i="16"/>
  <c r="AA46" i="16"/>
  <c r="AB46" i="16"/>
  <c r="AC46" i="16"/>
  <c r="AD46" i="16"/>
  <c r="AE46" i="16"/>
  <c r="AG46" i="16"/>
  <c r="AH46" i="16"/>
  <c r="AI46" i="16"/>
  <c r="AJ46" i="16"/>
  <c r="AK46" i="16"/>
  <c r="AL46" i="16"/>
  <c r="AM46" i="16"/>
  <c r="AN46" i="16"/>
  <c r="AO46" i="16"/>
  <c r="AP46" i="16"/>
  <c r="AQ46" i="16"/>
  <c r="AR46" i="16"/>
  <c r="AS46" i="16"/>
  <c r="AT46" i="16"/>
  <c r="AU46" i="16"/>
  <c r="AV46" i="16"/>
  <c r="AW46" i="16"/>
  <c r="AX46" i="16"/>
  <c r="AY46" i="16"/>
  <c r="AZ46" i="16"/>
  <c r="BA46" i="16"/>
  <c r="BB46" i="16"/>
  <c r="BC46" i="16"/>
  <c r="BD46" i="16"/>
  <c r="BF46" i="16"/>
  <c r="BG46" i="16"/>
  <c r="BH46" i="16"/>
  <c r="BI46" i="16"/>
  <c r="BJ46" i="16"/>
  <c r="BK46" i="16"/>
  <c r="BL46" i="16"/>
  <c r="BM46" i="16"/>
  <c r="BN46" i="16"/>
  <c r="BO46" i="16"/>
  <c r="BP46" i="16"/>
  <c r="BQ46" i="16"/>
  <c r="BR46" i="16"/>
  <c r="BS46" i="16"/>
  <c r="BT46" i="16"/>
  <c r="BU46" i="16"/>
  <c r="BV46" i="16"/>
  <c r="BW46" i="16"/>
  <c r="BX46" i="16"/>
  <c r="BY46" i="16"/>
  <c r="BZ46" i="16"/>
  <c r="CA46" i="16"/>
  <c r="CB46" i="16"/>
  <c r="CC46" i="16"/>
  <c r="CE46" i="16"/>
  <c r="CF46" i="16"/>
  <c r="CG46" i="16"/>
  <c r="CH46" i="16"/>
  <c r="CI46" i="16"/>
  <c r="CJ46" i="16"/>
  <c r="CK46" i="16"/>
  <c r="CL46" i="16"/>
  <c r="CM46" i="16"/>
  <c r="CN46" i="16"/>
  <c r="CO46" i="16"/>
  <c r="CP46" i="16"/>
  <c r="CQ46" i="16"/>
  <c r="CR46" i="16"/>
  <c r="CS46" i="16"/>
  <c r="CT46" i="16"/>
  <c r="CU46" i="16"/>
  <c r="CV46" i="16"/>
  <c r="CW46" i="16"/>
  <c r="CX46" i="16"/>
  <c r="CY46" i="16"/>
  <c r="CZ46" i="16"/>
  <c r="DA46" i="16"/>
  <c r="DB46" i="16"/>
  <c r="DH46" i="16"/>
  <c r="DI46" i="16"/>
  <c r="DJ46" i="16"/>
  <c r="H47" i="16"/>
  <c r="I47" i="16"/>
  <c r="J47" i="16"/>
  <c r="K47" i="16"/>
  <c r="L47" i="16"/>
  <c r="M47" i="16"/>
  <c r="N47" i="16"/>
  <c r="O47" i="16"/>
  <c r="P47" i="16"/>
  <c r="Q47" i="16"/>
  <c r="R47" i="16"/>
  <c r="S47" i="16"/>
  <c r="T47" i="16"/>
  <c r="U47" i="16"/>
  <c r="V47" i="16"/>
  <c r="W47" i="16"/>
  <c r="X47" i="16"/>
  <c r="Y47" i="16"/>
  <c r="Z47" i="16"/>
  <c r="AA47" i="16"/>
  <c r="AB47" i="16"/>
  <c r="AC47" i="16"/>
  <c r="AD47" i="16"/>
  <c r="AE47" i="16"/>
  <c r="AG47" i="16"/>
  <c r="AH47" i="16"/>
  <c r="AI47" i="16"/>
  <c r="AJ47" i="16"/>
  <c r="AK47" i="16"/>
  <c r="AL47" i="16"/>
  <c r="AM47" i="16"/>
  <c r="AN47" i="16"/>
  <c r="AO47" i="16"/>
  <c r="AP47" i="16"/>
  <c r="AQ47" i="16"/>
  <c r="AR47" i="16"/>
  <c r="AS47" i="16"/>
  <c r="AT47" i="16"/>
  <c r="AU47" i="16"/>
  <c r="AV47" i="16"/>
  <c r="AW47" i="16"/>
  <c r="AX47" i="16"/>
  <c r="AY47" i="16"/>
  <c r="AZ47" i="16"/>
  <c r="BA47" i="16"/>
  <c r="BB47" i="16"/>
  <c r="BC47" i="16"/>
  <c r="BD47" i="16"/>
  <c r="BF47" i="16"/>
  <c r="BG47" i="16"/>
  <c r="BH47" i="16"/>
  <c r="BI47" i="16"/>
  <c r="BJ47" i="16"/>
  <c r="BK47" i="16"/>
  <c r="BL47" i="16"/>
  <c r="BM47" i="16"/>
  <c r="BN47" i="16"/>
  <c r="BO47" i="16"/>
  <c r="BP47" i="16"/>
  <c r="BQ47" i="16"/>
  <c r="BR47" i="16"/>
  <c r="BS47" i="16"/>
  <c r="BT47" i="16"/>
  <c r="BU47" i="16"/>
  <c r="BV47" i="16"/>
  <c r="BW47" i="16"/>
  <c r="BX47" i="16"/>
  <c r="BY47" i="16"/>
  <c r="BZ47" i="16"/>
  <c r="CA47" i="16"/>
  <c r="CB47" i="16"/>
  <c r="CC47" i="16"/>
  <c r="CE47" i="16"/>
  <c r="CF47" i="16"/>
  <c r="CG47" i="16"/>
  <c r="CH47" i="16"/>
  <c r="CI47" i="16"/>
  <c r="CJ47" i="16"/>
  <c r="CK47" i="16"/>
  <c r="CL47" i="16"/>
  <c r="CM47" i="16"/>
  <c r="CN47" i="16"/>
  <c r="CO47" i="16"/>
  <c r="CP47" i="16"/>
  <c r="CQ47" i="16"/>
  <c r="CR47" i="16"/>
  <c r="CS47" i="16"/>
  <c r="CT47" i="16"/>
  <c r="CU47" i="16"/>
  <c r="CV47" i="16"/>
  <c r="CW47" i="16"/>
  <c r="CX47" i="16"/>
  <c r="CY47" i="16"/>
  <c r="CZ47" i="16"/>
  <c r="DA47" i="16"/>
  <c r="DB47" i="16"/>
  <c r="DH47" i="16"/>
  <c r="DI47" i="16"/>
  <c r="DJ47" i="16"/>
  <c r="H48" i="16"/>
  <c r="I48" i="16"/>
  <c r="J48" i="16"/>
  <c r="K48" i="16"/>
  <c r="L48" i="16"/>
  <c r="M48" i="16"/>
  <c r="N48" i="16"/>
  <c r="O48" i="16"/>
  <c r="P48" i="16"/>
  <c r="Q48" i="16"/>
  <c r="R48" i="16"/>
  <c r="S48" i="16"/>
  <c r="T48" i="16"/>
  <c r="U48" i="16"/>
  <c r="V48" i="16"/>
  <c r="W48" i="16"/>
  <c r="X48" i="16"/>
  <c r="Y48" i="16"/>
  <c r="Z48" i="16"/>
  <c r="AA48" i="16"/>
  <c r="AB48" i="16"/>
  <c r="AC48" i="16"/>
  <c r="AD48" i="16"/>
  <c r="AE48" i="16"/>
  <c r="AG48" i="16"/>
  <c r="AH48" i="16"/>
  <c r="AI48" i="16"/>
  <c r="AJ48" i="16"/>
  <c r="AK48" i="16"/>
  <c r="AL48" i="16"/>
  <c r="AM48" i="16"/>
  <c r="AN48" i="16"/>
  <c r="AO48" i="16"/>
  <c r="AP48" i="16"/>
  <c r="AQ48" i="16"/>
  <c r="AR48" i="16"/>
  <c r="AS48" i="16"/>
  <c r="AT48" i="16"/>
  <c r="AU48" i="16"/>
  <c r="AV48" i="16"/>
  <c r="AW48" i="16"/>
  <c r="AX48" i="16"/>
  <c r="AY48" i="16"/>
  <c r="AZ48" i="16"/>
  <c r="BA48" i="16"/>
  <c r="BB48" i="16"/>
  <c r="BC48" i="16"/>
  <c r="BD48" i="16"/>
  <c r="BF48" i="16"/>
  <c r="BG48" i="16"/>
  <c r="BH48" i="16"/>
  <c r="BI48" i="16"/>
  <c r="BJ48" i="16"/>
  <c r="BK48" i="16"/>
  <c r="BL48" i="16"/>
  <c r="BM48" i="16"/>
  <c r="BN48" i="16"/>
  <c r="BO48" i="16"/>
  <c r="BP48" i="16"/>
  <c r="BQ48" i="16"/>
  <c r="BR48" i="16"/>
  <c r="BS48" i="16"/>
  <c r="BT48" i="16"/>
  <c r="BU48" i="16"/>
  <c r="BV48" i="16"/>
  <c r="BW48" i="16"/>
  <c r="BX48" i="16"/>
  <c r="BY48" i="16"/>
  <c r="BZ48" i="16"/>
  <c r="CA48" i="16"/>
  <c r="CB48" i="16"/>
  <c r="CC48" i="16"/>
  <c r="CE48" i="16"/>
  <c r="CF48" i="16"/>
  <c r="CG48" i="16"/>
  <c r="CH48" i="16"/>
  <c r="CI48" i="16"/>
  <c r="CJ48" i="16"/>
  <c r="CK48" i="16"/>
  <c r="CL48" i="16"/>
  <c r="CM48" i="16"/>
  <c r="CN48" i="16"/>
  <c r="CO48" i="16"/>
  <c r="CP48" i="16"/>
  <c r="CQ48" i="16"/>
  <c r="CR48" i="16"/>
  <c r="CS48" i="16"/>
  <c r="CT48" i="16"/>
  <c r="CU48" i="16"/>
  <c r="CV48" i="16"/>
  <c r="CW48" i="16"/>
  <c r="CX48" i="16"/>
  <c r="CY48" i="16"/>
  <c r="CZ48" i="16"/>
  <c r="DA48" i="16"/>
  <c r="DB48" i="16"/>
  <c r="DH48" i="16"/>
  <c r="DI48" i="16"/>
  <c r="DJ48" i="16"/>
  <c r="H49" i="16"/>
  <c r="I49" i="16"/>
  <c r="J49" i="16"/>
  <c r="K49" i="16"/>
  <c r="L49" i="16"/>
  <c r="M49" i="16"/>
  <c r="N49" i="16"/>
  <c r="O49" i="16"/>
  <c r="P49" i="16"/>
  <c r="Q49" i="16"/>
  <c r="R49" i="16"/>
  <c r="S49" i="16"/>
  <c r="T49" i="16"/>
  <c r="U49" i="16"/>
  <c r="V49" i="16"/>
  <c r="W49" i="16"/>
  <c r="X49" i="16"/>
  <c r="Y49" i="16"/>
  <c r="Z49" i="16"/>
  <c r="AA49" i="16"/>
  <c r="AB49" i="16"/>
  <c r="AC49" i="16"/>
  <c r="AD49" i="16"/>
  <c r="AE49" i="16"/>
  <c r="AG49" i="16"/>
  <c r="AH49" i="16"/>
  <c r="AI49" i="16"/>
  <c r="AJ49" i="16"/>
  <c r="AK49" i="16"/>
  <c r="AL49" i="16"/>
  <c r="AM49" i="16"/>
  <c r="AN49" i="16"/>
  <c r="AO49" i="16"/>
  <c r="AP49" i="16"/>
  <c r="AQ49" i="16"/>
  <c r="AR49" i="16"/>
  <c r="AS49" i="16"/>
  <c r="AT49" i="16"/>
  <c r="AU49" i="16"/>
  <c r="AV49" i="16"/>
  <c r="AW49" i="16"/>
  <c r="AX49" i="16"/>
  <c r="AY49" i="16"/>
  <c r="AZ49" i="16"/>
  <c r="BA49" i="16"/>
  <c r="BB49" i="16"/>
  <c r="BC49" i="16"/>
  <c r="BD49" i="16"/>
  <c r="BF49" i="16"/>
  <c r="BG49" i="16"/>
  <c r="BH49" i="16"/>
  <c r="BI49" i="16"/>
  <c r="BJ49" i="16"/>
  <c r="BK49" i="16"/>
  <c r="BL49" i="16"/>
  <c r="BM49" i="16"/>
  <c r="BN49" i="16"/>
  <c r="BO49" i="16"/>
  <c r="BP49" i="16"/>
  <c r="BQ49" i="16"/>
  <c r="BR49" i="16"/>
  <c r="BS49" i="16"/>
  <c r="BT49" i="16"/>
  <c r="BU49" i="16"/>
  <c r="BV49" i="16"/>
  <c r="BW49" i="16"/>
  <c r="BX49" i="16"/>
  <c r="BY49" i="16"/>
  <c r="BZ49" i="16"/>
  <c r="CA49" i="16"/>
  <c r="CB49" i="16"/>
  <c r="CC49" i="16"/>
  <c r="CE49" i="16"/>
  <c r="CF49" i="16"/>
  <c r="CG49" i="16"/>
  <c r="CH49" i="16"/>
  <c r="CI49" i="16"/>
  <c r="CJ49" i="16"/>
  <c r="CK49" i="16"/>
  <c r="CL49" i="16"/>
  <c r="CM49" i="16"/>
  <c r="CN49" i="16"/>
  <c r="CO49" i="16"/>
  <c r="CP49" i="16"/>
  <c r="CQ49" i="16"/>
  <c r="CR49" i="16"/>
  <c r="CS49" i="16"/>
  <c r="CT49" i="16"/>
  <c r="CU49" i="16"/>
  <c r="CV49" i="16"/>
  <c r="CW49" i="16"/>
  <c r="CX49" i="16"/>
  <c r="CY49" i="16"/>
  <c r="CZ49" i="16"/>
  <c r="DA49" i="16"/>
  <c r="DB49" i="16"/>
  <c r="DH49" i="16"/>
  <c r="DI49" i="16"/>
  <c r="DJ49" i="16"/>
  <c r="H50" i="16"/>
  <c r="I50" i="16"/>
  <c r="J50" i="16"/>
  <c r="K50" i="16"/>
  <c r="L50" i="16"/>
  <c r="M50" i="16"/>
  <c r="N50" i="16"/>
  <c r="O50" i="16"/>
  <c r="P50" i="16"/>
  <c r="Q50" i="16"/>
  <c r="R50" i="16"/>
  <c r="S50" i="16"/>
  <c r="T50" i="16"/>
  <c r="U50" i="16"/>
  <c r="V50" i="16"/>
  <c r="W50" i="16"/>
  <c r="X50" i="16"/>
  <c r="Y50" i="16"/>
  <c r="Z50" i="16"/>
  <c r="AA50" i="16"/>
  <c r="AB50" i="16"/>
  <c r="AC50" i="16"/>
  <c r="AD50" i="16"/>
  <c r="AE50" i="16"/>
  <c r="AG50" i="16"/>
  <c r="AH50" i="16"/>
  <c r="AI50" i="16"/>
  <c r="AJ50" i="16"/>
  <c r="AK50" i="16"/>
  <c r="AL50" i="16"/>
  <c r="AM50" i="16"/>
  <c r="AN50" i="16"/>
  <c r="AO50" i="16"/>
  <c r="AP50" i="16"/>
  <c r="AQ50" i="16"/>
  <c r="AR50" i="16"/>
  <c r="AS50" i="16"/>
  <c r="AT50" i="16"/>
  <c r="AU50" i="16"/>
  <c r="AV50" i="16"/>
  <c r="AW50" i="16"/>
  <c r="AX50" i="16"/>
  <c r="AY50" i="16"/>
  <c r="AZ50" i="16"/>
  <c r="BA50" i="16"/>
  <c r="BB50" i="16"/>
  <c r="BC50" i="16"/>
  <c r="BD50" i="16"/>
  <c r="BF50" i="16"/>
  <c r="BG50" i="16"/>
  <c r="BH50" i="16"/>
  <c r="BI50" i="16"/>
  <c r="BJ50" i="16"/>
  <c r="BK50" i="16"/>
  <c r="BL50" i="16"/>
  <c r="BM50" i="16"/>
  <c r="BN50" i="16"/>
  <c r="BO50" i="16"/>
  <c r="BP50" i="16"/>
  <c r="BQ50" i="16"/>
  <c r="BR50" i="16"/>
  <c r="BS50" i="16"/>
  <c r="BT50" i="16"/>
  <c r="BU50" i="16"/>
  <c r="BV50" i="16"/>
  <c r="BW50" i="16"/>
  <c r="BX50" i="16"/>
  <c r="BY50" i="16"/>
  <c r="BZ50" i="16"/>
  <c r="CA50" i="16"/>
  <c r="CB50" i="16"/>
  <c r="CC50" i="16"/>
  <c r="CE50" i="16"/>
  <c r="CF50" i="16"/>
  <c r="CG50" i="16"/>
  <c r="CH50" i="16"/>
  <c r="CI50" i="16"/>
  <c r="CJ50" i="16"/>
  <c r="CK50" i="16"/>
  <c r="CL50" i="16"/>
  <c r="CM50" i="16"/>
  <c r="CN50" i="16"/>
  <c r="CO50" i="16"/>
  <c r="CP50" i="16"/>
  <c r="CQ50" i="16"/>
  <c r="CR50" i="16"/>
  <c r="CS50" i="16"/>
  <c r="CT50" i="16"/>
  <c r="CU50" i="16"/>
  <c r="CV50" i="16"/>
  <c r="CW50" i="16"/>
  <c r="CX50" i="16"/>
  <c r="CY50" i="16"/>
  <c r="CZ50" i="16"/>
  <c r="DA50" i="16"/>
  <c r="DB50" i="16"/>
  <c r="DH50" i="16"/>
  <c r="DI50" i="16"/>
  <c r="DJ50" i="16"/>
  <c r="H51" i="16"/>
  <c r="I51" i="16"/>
  <c r="J51" i="16"/>
  <c r="K51" i="16"/>
  <c r="L51" i="16"/>
  <c r="M51" i="16"/>
  <c r="N51" i="16"/>
  <c r="O51" i="16"/>
  <c r="P51" i="16"/>
  <c r="Q51" i="16"/>
  <c r="R51" i="16"/>
  <c r="S51" i="16"/>
  <c r="T51" i="16"/>
  <c r="U51" i="16"/>
  <c r="V51" i="16"/>
  <c r="W51" i="16"/>
  <c r="X51" i="16"/>
  <c r="Y51" i="16"/>
  <c r="Z51" i="16"/>
  <c r="AA51" i="16"/>
  <c r="AB51" i="16"/>
  <c r="AC51" i="16"/>
  <c r="AD51" i="16"/>
  <c r="AE51" i="16"/>
  <c r="AG51" i="16"/>
  <c r="AH51" i="16"/>
  <c r="AI51" i="16"/>
  <c r="AJ51" i="16"/>
  <c r="AK51" i="16"/>
  <c r="AL51" i="16"/>
  <c r="AM51" i="16"/>
  <c r="AN51" i="16"/>
  <c r="AO51" i="16"/>
  <c r="AP51" i="16"/>
  <c r="AQ51" i="16"/>
  <c r="AR51" i="16"/>
  <c r="AS51" i="16"/>
  <c r="AT51" i="16"/>
  <c r="AU51" i="16"/>
  <c r="AV51" i="16"/>
  <c r="AW51" i="16"/>
  <c r="AX51" i="16"/>
  <c r="AY51" i="16"/>
  <c r="AZ51" i="16"/>
  <c r="BA51" i="16"/>
  <c r="BB51" i="16"/>
  <c r="BC51" i="16"/>
  <c r="BD51" i="16"/>
  <c r="BF51" i="16"/>
  <c r="BG51" i="16"/>
  <c r="BH51" i="16"/>
  <c r="BI51" i="16"/>
  <c r="BJ51" i="16"/>
  <c r="BK51" i="16"/>
  <c r="BL51" i="16"/>
  <c r="BM51" i="16"/>
  <c r="BN51" i="16"/>
  <c r="BO51" i="16"/>
  <c r="BP51" i="16"/>
  <c r="BQ51" i="16"/>
  <c r="BR51" i="16"/>
  <c r="BS51" i="16"/>
  <c r="BT51" i="16"/>
  <c r="BU51" i="16"/>
  <c r="BV51" i="16"/>
  <c r="BW51" i="16"/>
  <c r="BX51" i="16"/>
  <c r="BY51" i="16"/>
  <c r="BZ51" i="16"/>
  <c r="CA51" i="16"/>
  <c r="CB51" i="16"/>
  <c r="CC51" i="16"/>
  <c r="CE51" i="16"/>
  <c r="CF51" i="16"/>
  <c r="CG51" i="16"/>
  <c r="CH51" i="16"/>
  <c r="CI51" i="16"/>
  <c r="CJ51" i="16"/>
  <c r="CK51" i="16"/>
  <c r="CL51" i="16"/>
  <c r="CM51" i="16"/>
  <c r="CN51" i="16"/>
  <c r="CO51" i="16"/>
  <c r="CP51" i="16"/>
  <c r="CQ51" i="16"/>
  <c r="CR51" i="16"/>
  <c r="CS51" i="16"/>
  <c r="CT51" i="16"/>
  <c r="CU51" i="16"/>
  <c r="CV51" i="16"/>
  <c r="CW51" i="16"/>
  <c r="CX51" i="16"/>
  <c r="CY51" i="16"/>
  <c r="CZ51" i="16"/>
  <c r="DA51" i="16"/>
  <c r="DB51" i="16"/>
  <c r="DH51" i="16"/>
  <c r="DI51" i="16"/>
  <c r="DJ51" i="16"/>
  <c r="H52" i="16"/>
  <c r="I52" i="16"/>
  <c r="J52" i="16"/>
  <c r="K52" i="16"/>
  <c r="L52" i="16"/>
  <c r="M52" i="16"/>
  <c r="N52" i="16"/>
  <c r="O52" i="16"/>
  <c r="P52" i="16"/>
  <c r="Q52" i="16"/>
  <c r="R52" i="16"/>
  <c r="S52" i="16"/>
  <c r="T52" i="16"/>
  <c r="U52" i="16"/>
  <c r="V52" i="16"/>
  <c r="W52" i="16"/>
  <c r="X52" i="16"/>
  <c r="Y52" i="16"/>
  <c r="Z52" i="16"/>
  <c r="AA52" i="16"/>
  <c r="AB52" i="16"/>
  <c r="AC52" i="16"/>
  <c r="AD52" i="16"/>
  <c r="AE52" i="16"/>
  <c r="AG52" i="16"/>
  <c r="AH52" i="16"/>
  <c r="AI52" i="16"/>
  <c r="AJ52" i="16"/>
  <c r="AK52" i="16"/>
  <c r="AL52" i="16"/>
  <c r="AM52" i="16"/>
  <c r="AN52" i="16"/>
  <c r="AO52" i="16"/>
  <c r="AP52" i="16"/>
  <c r="AQ52" i="16"/>
  <c r="AR52" i="16"/>
  <c r="AS52" i="16"/>
  <c r="AT52" i="16"/>
  <c r="AU52" i="16"/>
  <c r="AV52" i="16"/>
  <c r="AW52" i="16"/>
  <c r="AX52" i="16"/>
  <c r="AY52" i="16"/>
  <c r="AZ52" i="16"/>
  <c r="BA52" i="16"/>
  <c r="BB52" i="16"/>
  <c r="BC52" i="16"/>
  <c r="BD52" i="16"/>
  <c r="BF52" i="16"/>
  <c r="BG52" i="16"/>
  <c r="BH52" i="16"/>
  <c r="BI52" i="16"/>
  <c r="BJ52" i="16"/>
  <c r="BK52" i="16"/>
  <c r="BL52" i="16"/>
  <c r="BM52" i="16"/>
  <c r="BN52" i="16"/>
  <c r="BO52" i="16"/>
  <c r="BP52" i="16"/>
  <c r="BQ52" i="16"/>
  <c r="BR52" i="16"/>
  <c r="BS52" i="16"/>
  <c r="BT52" i="16"/>
  <c r="BU52" i="16"/>
  <c r="BV52" i="16"/>
  <c r="BW52" i="16"/>
  <c r="BX52" i="16"/>
  <c r="BY52" i="16"/>
  <c r="BZ52" i="16"/>
  <c r="CA52" i="16"/>
  <c r="CB52" i="16"/>
  <c r="CC52" i="16"/>
  <c r="CE52" i="16"/>
  <c r="CF52" i="16"/>
  <c r="CG52" i="16"/>
  <c r="CH52" i="16"/>
  <c r="CI52" i="16"/>
  <c r="CJ52" i="16"/>
  <c r="CK52" i="16"/>
  <c r="CL52" i="16"/>
  <c r="CM52" i="16"/>
  <c r="CN52" i="16"/>
  <c r="CO52" i="16"/>
  <c r="CP52" i="16"/>
  <c r="CQ52" i="16"/>
  <c r="CR52" i="16"/>
  <c r="CS52" i="16"/>
  <c r="CT52" i="16"/>
  <c r="CU52" i="16"/>
  <c r="CV52" i="16"/>
  <c r="CW52" i="16"/>
  <c r="CX52" i="16"/>
  <c r="CY52" i="16"/>
  <c r="CZ52" i="16"/>
  <c r="DA52" i="16"/>
  <c r="DB52" i="16"/>
  <c r="DH52" i="16"/>
  <c r="DI52" i="16"/>
  <c r="DJ52" i="16"/>
  <c r="H53" i="16"/>
  <c r="I53" i="16"/>
  <c r="J53" i="16"/>
  <c r="K53" i="16"/>
  <c r="L53" i="16"/>
  <c r="M53" i="16"/>
  <c r="N53" i="16"/>
  <c r="O53" i="16"/>
  <c r="P53" i="16"/>
  <c r="Q53" i="16"/>
  <c r="R53" i="16"/>
  <c r="S53" i="16"/>
  <c r="T53" i="16"/>
  <c r="U53" i="16"/>
  <c r="V53" i="16"/>
  <c r="W53" i="16"/>
  <c r="X53" i="16"/>
  <c r="Y53" i="16"/>
  <c r="Z53" i="16"/>
  <c r="AA53" i="16"/>
  <c r="AB53" i="16"/>
  <c r="AC53" i="16"/>
  <c r="AD53" i="16"/>
  <c r="AE53" i="16"/>
  <c r="AG53" i="16"/>
  <c r="AH53" i="16"/>
  <c r="AI53" i="16"/>
  <c r="AJ53" i="16"/>
  <c r="AK53" i="16"/>
  <c r="AL53" i="16"/>
  <c r="AM53" i="16"/>
  <c r="AN53" i="16"/>
  <c r="AO53" i="16"/>
  <c r="AP53" i="16"/>
  <c r="AQ53" i="16"/>
  <c r="AR53" i="16"/>
  <c r="AS53" i="16"/>
  <c r="AT53" i="16"/>
  <c r="AU53" i="16"/>
  <c r="AV53" i="16"/>
  <c r="AW53" i="16"/>
  <c r="AX53" i="16"/>
  <c r="AY53" i="16"/>
  <c r="AZ53" i="16"/>
  <c r="BA53" i="16"/>
  <c r="BB53" i="16"/>
  <c r="BC53" i="16"/>
  <c r="BD53" i="16"/>
  <c r="BF53" i="16"/>
  <c r="BG53" i="16"/>
  <c r="BH53" i="16"/>
  <c r="BI53" i="16"/>
  <c r="BJ53" i="16"/>
  <c r="BK53" i="16"/>
  <c r="BL53" i="16"/>
  <c r="BM53" i="16"/>
  <c r="BN53" i="16"/>
  <c r="BO53" i="16"/>
  <c r="BP53" i="16"/>
  <c r="BQ53" i="16"/>
  <c r="BR53" i="16"/>
  <c r="BS53" i="16"/>
  <c r="BT53" i="16"/>
  <c r="BU53" i="16"/>
  <c r="BV53" i="16"/>
  <c r="BW53" i="16"/>
  <c r="BX53" i="16"/>
  <c r="BY53" i="16"/>
  <c r="BZ53" i="16"/>
  <c r="CA53" i="16"/>
  <c r="CB53" i="16"/>
  <c r="CC53" i="16"/>
  <c r="CE53" i="16"/>
  <c r="CF53" i="16"/>
  <c r="CG53" i="16"/>
  <c r="CH53" i="16"/>
  <c r="CI53" i="16"/>
  <c r="CJ53" i="16"/>
  <c r="CK53" i="16"/>
  <c r="CL53" i="16"/>
  <c r="CM53" i="16"/>
  <c r="CN53" i="16"/>
  <c r="CO53" i="16"/>
  <c r="CP53" i="16"/>
  <c r="CQ53" i="16"/>
  <c r="CR53" i="16"/>
  <c r="CS53" i="16"/>
  <c r="CT53" i="16"/>
  <c r="CU53" i="16"/>
  <c r="CV53" i="16"/>
  <c r="CW53" i="16"/>
  <c r="CX53" i="16"/>
  <c r="CY53" i="16"/>
  <c r="CZ53" i="16"/>
  <c r="DA53" i="16"/>
  <c r="DB53" i="16"/>
  <c r="DH53" i="16"/>
  <c r="DI53" i="16"/>
  <c r="DJ53" i="16"/>
  <c r="H54" i="16"/>
  <c r="I54" i="16"/>
  <c r="J54" i="16"/>
  <c r="K54" i="16"/>
  <c r="L54" i="16"/>
  <c r="M54" i="16"/>
  <c r="N54" i="16"/>
  <c r="O54" i="16"/>
  <c r="P54" i="16"/>
  <c r="Q54" i="16"/>
  <c r="R54" i="16"/>
  <c r="S54" i="16"/>
  <c r="T54" i="16"/>
  <c r="U54" i="16"/>
  <c r="V54" i="16"/>
  <c r="W54" i="16"/>
  <c r="X54" i="16"/>
  <c r="Y54" i="16"/>
  <c r="Z54" i="16"/>
  <c r="AA54" i="16"/>
  <c r="AB54" i="16"/>
  <c r="AC54" i="16"/>
  <c r="AD54" i="16"/>
  <c r="AE54" i="16"/>
  <c r="AG54" i="16"/>
  <c r="AH54" i="16"/>
  <c r="AI54" i="16"/>
  <c r="AJ54" i="16"/>
  <c r="AK54" i="16"/>
  <c r="AL54" i="16"/>
  <c r="AM54" i="16"/>
  <c r="AN54" i="16"/>
  <c r="AO54" i="16"/>
  <c r="AP54" i="16"/>
  <c r="AQ54" i="16"/>
  <c r="AR54" i="16"/>
  <c r="AS54" i="16"/>
  <c r="AT54" i="16"/>
  <c r="AU54" i="16"/>
  <c r="AV54" i="16"/>
  <c r="AW54" i="16"/>
  <c r="AX54" i="16"/>
  <c r="AY54" i="16"/>
  <c r="AZ54" i="16"/>
  <c r="BA54" i="16"/>
  <c r="BB54" i="16"/>
  <c r="BC54" i="16"/>
  <c r="BD54" i="16"/>
  <c r="BF54" i="16"/>
  <c r="BG54" i="16"/>
  <c r="BH54" i="16"/>
  <c r="BI54" i="16"/>
  <c r="BJ54" i="16"/>
  <c r="BK54" i="16"/>
  <c r="BL54" i="16"/>
  <c r="BM54" i="16"/>
  <c r="BN54" i="16"/>
  <c r="BO54" i="16"/>
  <c r="BP54" i="16"/>
  <c r="BQ54" i="16"/>
  <c r="BR54" i="16"/>
  <c r="BS54" i="16"/>
  <c r="BT54" i="16"/>
  <c r="BU54" i="16"/>
  <c r="BV54" i="16"/>
  <c r="BW54" i="16"/>
  <c r="BX54" i="16"/>
  <c r="BY54" i="16"/>
  <c r="BZ54" i="16"/>
  <c r="CA54" i="16"/>
  <c r="CB54" i="16"/>
  <c r="CC54" i="16"/>
  <c r="CE54" i="16"/>
  <c r="CF54" i="16"/>
  <c r="CG54" i="16"/>
  <c r="CH54" i="16"/>
  <c r="CI54" i="16"/>
  <c r="CJ54" i="16"/>
  <c r="CK54" i="16"/>
  <c r="CL54" i="16"/>
  <c r="CM54" i="16"/>
  <c r="CN54" i="16"/>
  <c r="CO54" i="16"/>
  <c r="CP54" i="16"/>
  <c r="CQ54" i="16"/>
  <c r="CR54" i="16"/>
  <c r="CS54" i="16"/>
  <c r="CT54" i="16"/>
  <c r="CU54" i="16"/>
  <c r="CV54" i="16"/>
  <c r="CW54" i="16"/>
  <c r="CX54" i="16"/>
  <c r="CY54" i="16"/>
  <c r="CZ54" i="16"/>
  <c r="DA54" i="16"/>
  <c r="DB54" i="16"/>
  <c r="DH54" i="16"/>
  <c r="DI54" i="16"/>
  <c r="DJ54" i="16"/>
  <c r="H55" i="16"/>
  <c r="I55" i="16"/>
  <c r="J55" i="16"/>
  <c r="K55" i="16"/>
  <c r="L55" i="16"/>
  <c r="M55" i="16"/>
  <c r="N55" i="16"/>
  <c r="O55" i="16"/>
  <c r="P55" i="16"/>
  <c r="Q55" i="16"/>
  <c r="R55" i="16"/>
  <c r="S55" i="16"/>
  <c r="T55" i="16"/>
  <c r="U55" i="16"/>
  <c r="V55" i="16"/>
  <c r="W55" i="16"/>
  <c r="X55" i="16"/>
  <c r="Y55" i="16"/>
  <c r="Z55" i="16"/>
  <c r="AA55" i="16"/>
  <c r="AB55" i="16"/>
  <c r="AC55" i="16"/>
  <c r="AD55" i="16"/>
  <c r="AE55" i="16"/>
  <c r="AG55" i="16"/>
  <c r="AH55" i="16"/>
  <c r="AI55" i="16"/>
  <c r="AJ55" i="16"/>
  <c r="AK55" i="16"/>
  <c r="AL55" i="16"/>
  <c r="AM55" i="16"/>
  <c r="AN55" i="16"/>
  <c r="AO55" i="16"/>
  <c r="AP55" i="16"/>
  <c r="AQ55" i="16"/>
  <c r="AR55" i="16"/>
  <c r="AS55" i="16"/>
  <c r="AT55" i="16"/>
  <c r="AU55" i="16"/>
  <c r="AV55" i="16"/>
  <c r="AW55" i="16"/>
  <c r="AX55" i="16"/>
  <c r="AY55" i="16"/>
  <c r="AZ55" i="16"/>
  <c r="BA55" i="16"/>
  <c r="BB55" i="16"/>
  <c r="BC55" i="16"/>
  <c r="BD55" i="16"/>
  <c r="BF55" i="16"/>
  <c r="BG55" i="16"/>
  <c r="BH55" i="16"/>
  <c r="BI55" i="16"/>
  <c r="BJ55" i="16"/>
  <c r="BK55" i="16"/>
  <c r="BL55" i="16"/>
  <c r="BM55" i="16"/>
  <c r="BN55" i="16"/>
  <c r="BO55" i="16"/>
  <c r="BP55" i="16"/>
  <c r="BQ55" i="16"/>
  <c r="BR55" i="16"/>
  <c r="BS55" i="16"/>
  <c r="BT55" i="16"/>
  <c r="BU55" i="16"/>
  <c r="BV55" i="16"/>
  <c r="BW55" i="16"/>
  <c r="BX55" i="16"/>
  <c r="BY55" i="16"/>
  <c r="BZ55" i="16"/>
  <c r="CA55" i="16"/>
  <c r="CB55" i="16"/>
  <c r="CC55" i="16"/>
  <c r="CE55" i="16"/>
  <c r="CF55" i="16"/>
  <c r="CG55" i="16"/>
  <c r="CH55" i="16"/>
  <c r="CI55" i="16"/>
  <c r="CJ55" i="16"/>
  <c r="CK55" i="16"/>
  <c r="CL55" i="16"/>
  <c r="CM55" i="16"/>
  <c r="CN55" i="16"/>
  <c r="CO55" i="16"/>
  <c r="CP55" i="16"/>
  <c r="CQ55" i="16"/>
  <c r="CR55" i="16"/>
  <c r="CS55" i="16"/>
  <c r="CT55" i="16"/>
  <c r="CU55" i="16"/>
  <c r="CV55" i="16"/>
  <c r="CW55" i="16"/>
  <c r="CX55" i="16"/>
  <c r="CY55" i="16"/>
  <c r="CZ55" i="16"/>
  <c r="DA55" i="16"/>
  <c r="DB55" i="16"/>
  <c r="DH55" i="16"/>
  <c r="DI55" i="16"/>
  <c r="DJ55" i="16"/>
  <c r="H56" i="16"/>
  <c r="I56" i="16"/>
  <c r="J56" i="16"/>
  <c r="K56" i="16"/>
  <c r="L56" i="16"/>
  <c r="M56" i="16"/>
  <c r="N56" i="16"/>
  <c r="O56" i="16"/>
  <c r="P56" i="16"/>
  <c r="Q56" i="16"/>
  <c r="R56" i="16"/>
  <c r="S56" i="16"/>
  <c r="T56" i="16"/>
  <c r="U56" i="16"/>
  <c r="V56" i="16"/>
  <c r="W56" i="16"/>
  <c r="X56" i="16"/>
  <c r="Y56" i="16"/>
  <c r="Z56" i="16"/>
  <c r="AA56" i="16"/>
  <c r="AB56" i="16"/>
  <c r="AC56" i="16"/>
  <c r="AD56" i="16"/>
  <c r="AE56" i="16"/>
  <c r="AG56" i="16"/>
  <c r="AH56" i="16"/>
  <c r="AI56" i="16"/>
  <c r="AJ56" i="16"/>
  <c r="AK56" i="16"/>
  <c r="AL56" i="16"/>
  <c r="AM56" i="16"/>
  <c r="AN56" i="16"/>
  <c r="AO56" i="16"/>
  <c r="AP56" i="16"/>
  <c r="AQ56" i="16"/>
  <c r="AR56" i="16"/>
  <c r="AS56" i="16"/>
  <c r="AT56" i="16"/>
  <c r="AU56" i="16"/>
  <c r="AV56" i="16"/>
  <c r="AW56" i="16"/>
  <c r="AX56" i="16"/>
  <c r="AY56" i="16"/>
  <c r="AZ56" i="16"/>
  <c r="BA56" i="16"/>
  <c r="BB56" i="16"/>
  <c r="BC56" i="16"/>
  <c r="BD56" i="16"/>
  <c r="BF56" i="16"/>
  <c r="BG56" i="16"/>
  <c r="BH56" i="16"/>
  <c r="BI56" i="16"/>
  <c r="BJ56" i="16"/>
  <c r="BK56" i="16"/>
  <c r="BL56" i="16"/>
  <c r="BM56" i="16"/>
  <c r="BN56" i="16"/>
  <c r="BO56" i="16"/>
  <c r="BP56" i="16"/>
  <c r="BQ56" i="16"/>
  <c r="BR56" i="16"/>
  <c r="BS56" i="16"/>
  <c r="BT56" i="16"/>
  <c r="BU56" i="16"/>
  <c r="BV56" i="16"/>
  <c r="BW56" i="16"/>
  <c r="BX56" i="16"/>
  <c r="BY56" i="16"/>
  <c r="BZ56" i="16"/>
  <c r="CA56" i="16"/>
  <c r="CB56" i="16"/>
  <c r="CC56" i="16"/>
  <c r="CE56" i="16"/>
  <c r="CF56" i="16"/>
  <c r="CG56" i="16"/>
  <c r="CH56" i="16"/>
  <c r="CI56" i="16"/>
  <c r="CJ56" i="16"/>
  <c r="CK56" i="16"/>
  <c r="CL56" i="16"/>
  <c r="CM56" i="16"/>
  <c r="CN56" i="16"/>
  <c r="CO56" i="16"/>
  <c r="CP56" i="16"/>
  <c r="CQ56" i="16"/>
  <c r="CR56" i="16"/>
  <c r="CS56" i="16"/>
  <c r="CT56" i="16"/>
  <c r="CU56" i="16"/>
  <c r="CV56" i="16"/>
  <c r="CW56" i="16"/>
  <c r="CX56" i="16"/>
  <c r="CY56" i="16"/>
  <c r="CZ56" i="16"/>
  <c r="DA56" i="16"/>
  <c r="DB56" i="16"/>
  <c r="DH56" i="16"/>
  <c r="DI56" i="16"/>
  <c r="DJ56" i="16"/>
  <c r="H57" i="16"/>
  <c r="I57" i="16"/>
  <c r="J57" i="16"/>
  <c r="K57" i="16"/>
  <c r="L57" i="16"/>
  <c r="M57" i="16"/>
  <c r="N57" i="16"/>
  <c r="O57" i="16"/>
  <c r="P57" i="16"/>
  <c r="Q57" i="16"/>
  <c r="R57" i="16"/>
  <c r="S57" i="16"/>
  <c r="T57" i="16"/>
  <c r="U57" i="16"/>
  <c r="V57" i="16"/>
  <c r="W57" i="16"/>
  <c r="X57" i="16"/>
  <c r="Y57" i="16"/>
  <c r="Z57" i="16"/>
  <c r="AA57" i="16"/>
  <c r="AB57" i="16"/>
  <c r="AC57" i="16"/>
  <c r="AD57" i="16"/>
  <c r="AE57" i="16"/>
  <c r="AG57" i="16"/>
  <c r="AH57" i="16"/>
  <c r="AI57" i="16"/>
  <c r="AJ57" i="16"/>
  <c r="AK57" i="16"/>
  <c r="AL57" i="16"/>
  <c r="AM57" i="16"/>
  <c r="AN57" i="16"/>
  <c r="AO57" i="16"/>
  <c r="AP57" i="16"/>
  <c r="AQ57" i="16"/>
  <c r="AR57" i="16"/>
  <c r="AS57" i="16"/>
  <c r="AT57" i="16"/>
  <c r="AU57" i="16"/>
  <c r="AV57" i="16"/>
  <c r="AW57" i="16"/>
  <c r="AX57" i="16"/>
  <c r="AY57" i="16"/>
  <c r="AZ57" i="16"/>
  <c r="BA57" i="16"/>
  <c r="BB57" i="16"/>
  <c r="BC57" i="16"/>
  <c r="BD57" i="16"/>
  <c r="BF57" i="16"/>
  <c r="BG57" i="16"/>
  <c r="BH57" i="16"/>
  <c r="BI57" i="16"/>
  <c r="BJ57" i="16"/>
  <c r="BK57" i="16"/>
  <c r="BL57" i="16"/>
  <c r="BM57" i="16"/>
  <c r="BN57" i="16"/>
  <c r="BO57" i="16"/>
  <c r="BP57" i="16"/>
  <c r="BQ57" i="16"/>
  <c r="BR57" i="16"/>
  <c r="BS57" i="16"/>
  <c r="BT57" i="16"/>
  <c r="BU57" i="16"/>
  <c r="BV57" i="16"/>
  <c r="BW57" i="16"/>
  <c r="BX57" i="16"/>
  <c r="BY57" i="16"/>
  <c r="BZ57" i="16"/>
  <c r="CA57" i="16"/>
  <c r="CB57" i="16"/>
  <c r="CC57" i="16"/>
  <c r="CE57" i="16"/>
  <c r="CF57" i="16"/>
  <c r="CG57" i="16"/>
  <c r="CH57" i="16"/>
  <c r="CI57" i="16"/>
  <c r="CJ57" i="16"/>
  <c r="CK57" i="16"/>
  <c r="CL57" i="16"/>
  <c r="CM57" i="16"/>
  <c r="CN57" i="16"/>
  <c r="CO57" i="16"/>
  <c r="CP57" i="16"/>
  <c r="CQ57" i="16"/>
  <c r="CR57" i="16"/>
  <c r="CS57" i="16"/>
  <c r="CT57" i="16"/>
  <c r="CU57" i="16"/>
  <c r="CV57" i="16"/>
  <c r="CW57" i="16"/>
  <c r="CX57" i="16"/>
  <c r="CY57" i="16"/>
  <c r="CZ57" i="16"/>
  <c r="DA57" i="16"/>
  <c r="DB57" i="16"/>
  <c r="DH57" i="16"/>
  <c r="DI57" i="16"/>
  <c r="DJ57" i="16"/>
  <c r="H58" i="16"/>
  <c r="I58" i="16"/>
  <c r="J58" i="16"/>
  <c r="K58" i="16"/>
  <c r="L58" i="16"/>
  <c r="M58" i="16"/>
  <c r="N58" i="16"/>
  <c r="O58" i="16"/>
  <c r="P58" i="16"/>
  <c r="Q58" i="16"/>
  <c r="R58" i="16"/>
  <c r="S58" i="16"/>
  <c r="T58" i="16"/>
  <c r="U58" i="16"/>
  <c r="V58" i="16"/>
  <c r="W58" i="16"/>
  <c r="X58" i="16"/>
  <c r="Y58" i="16"/>
  <c r="Z58" i="16"/>
  <c r="AA58" i="16"/>
  <c r="AB58" i="16"/>
  <c r="AC58" i="16"/>
  <c r="AD58" i="16"/>
  <c r="AE58" i="16"/>
  <c r="AG58" i="16"/>
  <c r="AH58" i="16"/>
  <c r="AI58" i="16"/>
  <c r="AJ58" i="16"/>
  <c r="AK58" i="16"/>
  <c r="AL58" i="16"/>
  <c r="AM58" i="16"/>
  <c r="AN58" i="16"/>
  <c r="AO58" i="16"/>
  <c r="AP58" i="16"/>
  <c r="AQ58" i="16"/>
  <c r="AR58" i="16"/>
  <c r="AS58" i="16"/>
  <c r="AT58" i="16"/>
  <c r="AU58" i="16"/>
  <c r="AV58" i="16"/>
  <c r="AW58" i="16"/>
  <c r="AX58" i="16"/>
  <c r="AY58" i="16"/>
  <c r="AZ58" i="16"/>
  <c r="BA58" i="16"/>
  <c r="BB58" i="16"/>
  <c r="BC58" i="16"/>
  <c r="BD58" i="16"/>
  <c r="BF58" i="16"/>
  <c r="BG58" i="16"/>
  <c r="BH58" i="16"/>
  <c r="BI58" i="16"/>
  <c r="BJ58" i="16"/>
  <c r="BK58" i="16"/>
  <c r="BL58" i="16"/>
  <c r="BM58" i="16"/>
  <c r="BN58" i="16"/>
  <c r="BO58" i="16"/>
  <c r="BP58" i="16"/>
  <c r="BQ58" i="16"/>
  <c r="BR58" i="16"/>
  <c r="BS58" i="16"/>
  <c r="BT58" i="16"/>
  <c r="BU58" i="16"/>
  <c r="BV58" i="16"/>
  <c r="BW58" i="16"/>
  <c r="BX58" i="16"/>
  <c r="BY58" i="16"/>
  <c r="BZ58" i="16"/>
  <c r="CA58" i="16"/>
  <c r="CB58" i="16"/>
  <c r="CC58" i="16"/>
  <c r="CE58" i="16"/>
  <c r="CF58" i="16"/>
  <c r="CG58" i="16"/>
  <c r="CH58" i="16"/>
  <c r="CI58" i="16"/>
  <c r="CJ58" i="16"/>
  <c r="CK58" i="16"/>
  <c r="CL58" i="16"/>
  <c r="CM58" i="16"/>
  <c r="CN58" i="16"/>
  <c r="CO58" i="16"/>
  <c r="CP58" i="16"/>
  <c r="CQ58" i="16"/>
  <c r="CR58" i="16"/>
  <c r="CS58" i="16"/>
  <c r="CT58" i="16"/>
  <c r="CU58" i="16"/>
  <c r="CV58" i="16"/>
  <c r="CW58" i="16"/>
  <c r="CX58" i="16"/>
  <c r="CY58" i="16"/>
  <c r="CZ58" i="16"/>
  <c r="DA58" i="16"/>
  <c r="DB58" i="16"/>
  <c r="DH58" i="16"/>
  <c r="DI58" i="16"/>
  <c r="DJ58" i="16"/>
  <c r="H59" i="16"/>
  <c r="I59" i="16"/>
  <c r="J59" i="16"/>
  <c r="K59" i="16"/>
  <c r="L59" i="16"/>
  <c r="M59" i="16"/>
  <c r="N59" i="16"/>
  <c r="O59" i="16"/>
  <c r="P59" i="16"/>
  <c r="Q59" i="16"/>
  <c r="R59" i="16"/>
  <c r="S59" i="16"/>
  <c r="T59" i="16"/>
  <c r="U59" i="16"/>
  <c r="V59" i="16"/>
  <c r="W59" i="16"/>
  <c r="X59" i="16"/>
  <c r="Y59" i="16"/>
  <c r="Z59" i="16"/>
  <c r="AA59" i="16"/>
  <c r="AB59" i="16"/>
  <c r="AC59" i="16"/>
  <c r="AD59" i="16"/>
  <c r="AE59" i="16"/>
  <c r="AG59" i="16"/>
  <c r="AH59" i="16"/>
  <c r="AI59" i="16"/>
  <c r="AJ59" i="16"/>
  <c r="AK59" i="16"/>
  <c r="AL59" i="16"/>
  <c r="AM59" i="16"/>
  <c r="AN59" i="16"/>
  <c r="AO59" i="16"/>
  <c r="AP59" i="16"/>
  <c r="AQ59" i="16"/>
  <c r="AR59" i="16"/>
  <c r="AS59" i="16"/>
  <c r="AT59" i="16"/>
  <c r="AU59" i="16"/>
  <c r="AV59" i="16"/>
  <c r="AW59" i="16"/>
  <c r="AX59" i="16"/>
  <c r="AY59" i="16"/>
  <c r="AZ59" i="16"/>
  <c r="BA59" i="16"/>
  <c r="BB59" i="16"/>
  <c r="BC59" i="16"/>
  <c r="BD59" i="16"/>
  <c r="BF59" i="16"/>
  <c r="BG59" i="16"/>
  <c r="BH59" i="16"/>
  <c r="BI59" i="16"/>
  <c r="BJ59" i="16"/>
  <c r="BK59" i="16"/>
  <c r="BL59" i="16"/>
  <c r="BM59" i="16"/>
  <c r="BN59" i="16"/>
  <c r="BO59" i="16"/>
  <c r="BP59" i="16"/>
  <c r="BQ59" i="16"/>
  <c r="BR59" i="16"/>
  <c r="BS59" i="16"/>
  <c r="BT59" i="16"/>
  <c r="BU59" i="16"/>
  <c r="BV59" i="16"/>
  <c r="BW59" i="16"/>
  <c r="BX59" i="16"/>
  <c r="BY59" i="16"/>
  <c r="BZ59" i="16"/>
  <c r="CA59" i="16"/>
  <c r="CB59" i="16"/>
  <c r="CC59" i="16"/>
  <c r="CE59" i="16"/>
  <c r="CF59" i="16"/>
  <c r="CG59" i="16"/>
  <c r="CH59" i="16"/>
  <c r="CI59" i="16"/>
  <c r="CJ59" i="16"/>
  <c r="CK59" i="16"/>
  <c r="CL59" i="16"/>
  <c r="CM59" i="16"/>
  <c r="CN59" i="16"/>
  <c r="CO59" i="16"/>
  <c r="CP59" i="16"/>
  <c r="CQ59" i="16"/>
  <c r="CR59" i="16"/>
  <c r="CS59" i="16"/>
  <c r="CT59" i="16"/>
  <c r="CU59" i="16"/>
  <c r="CV59" i="16"/>
  <c r="CW59" i="16"/>
  <c r="CX59" i="16"/>
  <c r="CY59" i="16"/>
  <c r="CZ59" i="16"/>
  <c r="DA59" i="16"/>
  <c r="DB59" i="16"/>
  <c r="DH59" i="16"/>
  <c r="DI59" i="16"/>
  <c r="DJ59" i="16"/>
  <c r="H60" i="16"/>
  <c r="I60" i="16"/>
  <c r="J60" i="16"/>
  <c r="K60" i="16"/>
  <c r="L60" i="16"/>
  <c r="M60" i="16"/>
  <c r="N60" i="16"/>
  <c r="O60" i="16"/>
  <c r="P60" i="16"/>
  <c r="Q60" i="16"/>
  <c r="R60" i="16"/>
  <c r="S60" i="16"/>
  <c r="T60" i="16"/>
  <c r="U60" i="16"/>
  <c r="V60" i="16"/>
  <c r="W60" i="16"/>
  <c r="X60" i="16"/>
  <c r="Y60" i="16"/>
  <c r="Z60" i="16"/>
  <c r="AA60" i="16"/>
  <c r="AB60" i="16"/>
  <c r="AC60" i="16"/>
  <c r="AD60" i="16"/>
  <c r="AE60" i="16"/>
  <c r="AG60" i="16"/>
  <c r="AH60" i="16"/>
  <c r="AI60" i="16"/>
  <c r="AJ60" i="16"/>
  <c r="AK60" i="16"/>
  <c r="AL60" i="16"/>
  <c r="AM60" i="16"/>
  <c r="AN60" i="16"/>
  <c r="AO60" i="16"/>
  <c r="AP60" i="16"/>
  <c r="AQ60" i="16"/>
  <c r="AR60" i="16"/>
  <c r="AS60" i="16"/>
  <c r="AT60" i="16"/>
  <c r="AU60" i="16"/>
  <c r="AV60" i="16"/>
  <c r="AW60" i="16"/>
  <c r="AX60" i="16"/>
  <c r="AY60" i="16"/>
  <c r="AZ60" i="16"/>
  <c r="BA60" i="16"/>
  <c r="BB60" i="16"/>
  <c r="BC60" i="16"/>
  <c r="BD60" i="16"/>
  <c r="BF60" i="16"/>
  <c r="BG60" i="16"/>
  <c r="BH60" i="16"/>
  <c r="BI60" i="16"/>
  <c r="BJ60" i="16"/>
  <c r="BK60" i="16"/>
  <c r="BL60" i="16"/>
  <c r="BM60" i="16"/>
  <c r="BN60" i="16"/>
  <c r="BO60" i="16"/>
  <c r="BP60" i="16"/>
  <c r="BQ60" i="16"/>
  <c r="BR60" i="16"/>
  <c r="BS60" i="16"/>
  <c r="BT60" i="16"/>
  <c r="BU60" i="16"/>
  <c r="BV60" i="16"/>
  <c r="BW60" i="16"/>
  <c r="BX60" i="16"/>
  <c r="BY60" i="16"/>
  <c r="BZ60" i="16"/>
  <c r="CA60" i="16"/>
  <c r="CB60" i="16"/>
  <c r="CC60" i="16"/>
  <c r="CE60" i="16"/>
  <c r="CF60" i="16"/>
  <c r="CG60" i="16"/>
  <c r="CH60" i="16"/>
  <c r="CI60" i="16"/>
  <c r="CJ60" i="16"/>
  <c r="CK60" i="16"/>
  <c r="CL60" i="16"/>
  <c r="CM60" i="16"/>
  <c r="CN60" i="16"/>
  <c r="CO60" i="16"/>
  <c r="CP60" i="16"/>
  <c r="CQ60" i="16"/>
  <c r="CR60" i="16"/>
  <c r="CS60" i="16"/>
  <c r="CT60" i="16"/>
  <c r="CU60" i="16"/>
  <c r="CV60" i="16"/>
  <c r="CW60" i="16"/>
  <c r="CX60" i="16"/>
  <c r="CY60" i="16"/>
  <c r="CZ60" i="16"/>
  <c r="DA60" i="16"/>
  <c r="DB60" i="16"/>
  <c r="DH60" i="16"/>
  <c r="DI60" i="16"/>
  <c r="DJ60" i="16"/>
  <c r="H61" i="16"/>
  <c r="I61" i="16"/>
  <c r="J61" i="16"/>
  <c r="K61" i="16"/>
  <c r="L61" i="16"/>
  <c r="M61" i="16"/>
  <c r="N61" i="16"/>
  <c r="O61" i="16"/>
  <c r="P61" i="16"/>
  <c r="Q61" i="16"/>
  <c r="R61" i="16"/>
  <c r="S61" i="16"/>
  <c r="T61" i="16"/>
  <c r="U61" i="16"/>
  <c r="V61" i="16"/>
  <c r="W61" i="16"/>
  <c r="X61" i="16"/>
  <c r="Y61" i="16"/>
  <c r="Z61" i="16"/>
  <c r="AA61" i="16"/>
  <c r="AB61" i="16"/>
  <c r="AC61" i="16"/>
  <c r="AD61" i="16"/>
  <c r="AE61" i="16"/>
  <c r="AG61" i="16"/>
  <c r="AH61" i="16"/>
  <c r="AI61" i="16"/>
  <c r="AJ61" i="16"/>
  <c r="AK61" i="16"/>
  <c r="AL61" i="16"/>
  <c r="AM61" i="16"/>
  <c r="AN61" i="16"/>
  <c r="AO61" i="16"/>
  <c r="AP61" i="16"/>
  <c r="AQ61" i="16"/>
  <c r="AR61" i="16"/>
  <c r="AS61" i="16"/>
  <c r="AT61" i="16"/>
  <c r="AU61" i="16"/>
  <c r="AV61" i="16"/>
  <c r="AW61" i="16"/>
  <c r="AX61" i="16"/>
  <c r="AY61" i="16"/>
  <c r="AZ61" i="16"/>
  <c r="BA61" i="16"/>
  <c r="BB61" i="16"/>
  <c r="BC61" i="16"/>
  <c r="BD61" i="16"/>
  <c r="BF61" i="16"/>
  <c r="BG61" i="16"/>
  <c r="BH61" i="16"/>
  <c r="BI61" i="16"/>
  <c r="BJ61" i="16"/>
  <c r="BK61" i="16"/>
  <c r="BL61" i="16"/>
  <c r="BM61" i="16"/>
  <c r="BN61" i="16"/>
  <c r="BO61" i="16"/>
  <c r="BP61" i="16"/>
  <c r="BQ61" i="16"/>
  <c r="BR61" i="16"/>
  <c r="BS61" i="16"/>
  <c r="BT61" i="16"/>
  <c r="BU61" i="16"/>
  <c r="BV61" i="16"/>
  <c r="BW61" i="16"/>
  <c r="BX61" i="16"/>
  <c r="BY61" i="16"/>
  <c r="BZ61" i="16"/>
  <c r="CA61" i="16"/>
  <c r="CB61" i="16"/>
  <c r="CC61" i="16"/>
  <c r="CE61" i="16"/>
  <c r="CF61" i="16"/>
  <c r="CG61" i="16"/>
  <c r="CH61" i="16"/>
  <c r="CI61" i="16"/>
  <c r="CJ61" i="16"/>
  <c r="CK61" i="16"/>
  <c r="CL61" i="16"/>
  <c r="CM61" i="16"/>
  <c r="CN61" i="16"/>
  <c r="CO61" i="16"/>
  <c r="CP61" i="16"/>
  <c r="CQ61" i="16"/>
  <c r="CR61" i="16"/>
  <c r="CS61" i="16"/>
  <c r="CT61" i="16"/>
  <c r="CU61" i="16"/>
  <c r="CV61" i="16"/>
  <c r="CW61" i="16"/>
  <c r="CX61" i="16"/>
  <c r="CY61" i="16"/>
  <c r="CZ61" i="16"/>
  <c r="DA61" i="16"/>
  <c r="DB61" i="16"/>
  <c r="DH61" i="16"/>
  <c r="DI61" i="16"/>
  <c r="DJ61" i="16"/>
  <c r="H62" i="16"/>
  <c r="I62" i="16"/>
  <c r="J62" i="16"/>
  <c r="K62" i="16"/>
  <c r="L62" i="16"/>
  <c r="M62" i="16"/>
  <c r="N62" i="16"/>
  <c r="O62" i="16"/>
  <c r="P62" i="16"/>
  <c r="Q62" i="16"/>
  <c r="R62" i="16"/>
  <c r="S62" i="16"/>
  <c r="T62" i="16"/>
  <c r="U62" i="16"/>
  <c r="V62" i="16"/>
  <c r="W62" i="16"/>
  <c r="X62" i="16"/>
  <c r="Y62" i="16"/>
  <c r="Z62" i="16"/>
  <c r="AA62" i="16"/>
  <c r="AB62" i="16"/>
  <c r="AC62" i="16"/>
  <c r="AD62" i="16"/>
  <c r="AE62" i="16"/>
  <c r="AG62" i="16"/>
  <c r="AH62" i="16"/>
  <c r="AI62" i="16"/>
  <c r="AJ62" i="16"/>
  <c r="AK62" i="16"/>
  <c r="AL62" i="16"/>
  <c r="AM62" i="16"/>
  <c r="AN62" i="16"/>
  <c r="AO62" i="16"/>
  <c r="AP62" i="16"/>
  <c r="AQ62" i="16"/>
  <c r="AR62" i="16"/>
  <c r="AS62" i="16"/>
  <c r="AT62" i="16"/>
  <c r="AU62" i="16"/>
  <c r="AV62" i="16"/>
  <c r="AW62" i="16"/>
  <c r="AX62" i="16"/>
  <c r="AY62" i="16"/>
  <c r="AZ62" i="16"/>
  <c r="BA62" i="16"/>
  <c r="BB62" i="16"/>
  <c r="BC62" i="16"/>
  <c r="BD62" i="16"/>
  <c r="BF62" i="16"/>
  <c r="BG62" i="16"/>
  <c r="BH62" i="16"/>
  <c r="BI62" i="16"/>
  <c r="BJ62" i="16"/>
  <c r="BK62" i="16"/>
  <c r="BL62" i="16"/>
  <c r="BM62" i="16"/>
  <c r="BN62" i="16"/>
  <c r="BO62" i="16"/>
  <c r="BP62" i="16"/>
  <c r="BQ62" i="16"/>
  <c r="BR62" i="16"/>
  <c r="BS62" i="16"/>
  <c r="BT62" i="16"/>
  <c r="BU62" i="16"/>
  <c r="BV62" i="16"/>
  <c r="BW62" i="16"/>
  <c r="BX62" i="16"/>
  <c r="BY62" i="16"/>
  <c r="BZ62" i="16"/>
  <c r="CA62" i="16"/>
  <c r="CB62" i="16"/>
  <c r="CC62" i="16"/>
  <c r="CE62" i="16"/>
  <c r="CF62" i="16"/>
  <c r="CG62" i="16"/>
  <c r="CH62" i="16"/>
  <c r="CI62" i="16"/>
  <c r="CJ62" i="16"/>
  <c r="CK62" i="16"/>
  <c r="CL62" i="16"/>
  <c r="CM62" i="16"/>
  <c r="CN62" i="16"/>
  <c r="CO62" i="16"/>
  <c r="CP62" i="16"/>
  <c r="CQ62" i="16"/>
  <c r="CR62" i="16"/>
  <c r="CS62" i="16"/>
  <c r="CT62" i="16"/>
  <c r="CU62" i="16"/>
  <c r="CV62" i="16"/>
  <c r="CW62" i="16"/>
  <c r="CX62" i="16"/>
  <c r="CY62" i="16"/>
  <c r="CZ62" i="16"/>
  <c r="DA62" i="16"/>
  <c r="DB62" i="16"/>
  <c r="DH62" i="16"/>
  <c r="DI62" i="16"/>
  <c r="DJ62" i="16"/>
  <c r="H63" i="16"/>
  <c r="I63" i="16"/>
  <c r="J63" i="16"/>
  <c r="K63" i="16"/>
  <c r="L63" i="16"/>
  <c r="M63" i="16"/>
  <c r="N63" i="16"/>
  <c r="O63" i="16"/>
  <c r="P63" i="16"/>
  <c r="Q63" i="16"/>
  <c r="R63" i="16"/>
  <c r="S63" i="16"/>
  <c r="T63" i="16"/>
  <c r="U63" i="16"/>
  <c r="V63" i="16"/>
  <c r="W63" i="16"/>
  <c r="X63" i="16"/>
  <c r="Y63" i="16"/>
  <c r="Z63" i="16"/>
  <c r="AA63" i="16"/>
  <c r="AB63" i="16"/>
  <c r="AC63" i="16"/>
  <c r="AD63" i="16"/>
  <c r="AE63" i="16"/>
  <c r="AG63" i="16"/>
  <c r="AH63" i="16"/>
  <c r="AI63" i="16"/>
  <c r="AJ63" i="16"/>
  <c r="AK63" i="16"/>
  <c r="AL63" i="16"/>
  <c r="AM63" i="16"/>
  <c r="AN63" i="16"/>
  <c r="AO63" i="16"/>
  <c r="AP63" i="16"/>
  <c r="AQ63" i="16"/>
  <c r="AR63" i="16"/>
  <c r="AS63" i="16"/>
  <c r="AT63" i="16"/>
  <c r="AU63" i="16"/>
  <c r="AV63" i="16"/>
  <c r="AW63" i="16"/>
  <c r="AX63" i="16"/>
  <c r="AY63" i="16"/>
  <c r="AZ63" i="16"/>
  <c r="BA63" i="16"/>
  <c r="BB63" i="16"/>
  <c r="BC63" i="16"/>
  <c r="BD63" i="16"/>
  <c r="BF63" i="16"/>
  <c r="BG63" i="16"/>
  <c r="BH63" i="16"/>
  <c r="BI63" i="16"/>
  <c r="BJ63" i="16"/>
  <c r="BK63" i="16"/>
  <c r="BL63" i="16"/>
  <c r="BM63" i="16"/>
  <c r="BN63" i="16"/>
  <c r="BO63" i="16"/>
  <c r="BP63" i="16"/>
  <c r="BQ63" i="16"/>
  <c r="BR63" i="16"/>
  <c r="BS63" i="16"/>
  <c r="BT63" i="16"/>
  <c r="BU63" i="16"/>
  <c r="BV63" i="16"/>
  <c r="BW63" i="16"/>
  <c r="BX63" i="16"/>
  <c r="BY63" i="16"/>
  <c r="BZ63" i="16"/>
  <c r="CA63" i="16"/>
  <c r="CB63" i="16"/>
  <c r="CC63" i="16"/>
  <c r="CE63" i="16"/>
  <c r="CF63" i="16"/>
  <c r="CG63" i="16"/>
  <c r="CH63" i="16"/>
  <c r="CI63" i="16"/>
  <c r="CJ63" i="16"/>
  <c r="CK63" i="16"/>
  <c r="CL63" i="16"/>
  <c r="CM63" i="16"/>
  <c r="CN63" i="16"/>
  <c r="CO63" i="16"/>
  <c r="CP63" i="16"/>
  <c r="CQ63" i="16"/>
  <c r="CR63" i="16"/>
  <c r="CS63" i="16"/>
  <c r="CT63" i="16"/>
  <c r="CU63" i="16"/>
  <c r="CV63" i="16"/>
  <c r="CW63" i="16"/>
  <c r="CX63" i="16"/>
  <c r="CY63" i="16"/>
  <c r="CZ63" i="16"/>
  <c r="DA63" i="16"/>
  <c r="DB63" i="16"/>
  <c r="DH63" i="16"/>
  <c r="DI63" i="16"/>
  <c r="DJ63" i="16"/>
  <c r="H64" i="16"/>
  <c r="I64" i="16"/>
  <c r="J64" i="16"/>
  <c r="K64" i="16"/>
  <c r="L64" i="16"/>
  <c r="M64" i="16"/>
  <c r="N64" i="16"/>
  <c r="O64" i="16"/>
  <c r="P64" i="16"/>
  <c r="Q64" i="16"/>
  <c r="R64" i="16"/>
  <c r="S64" i="16"/>
  <c r="T64" i="16"/>
  <c r="U64" i="16"/>
  <c r="V64" i="16"/>
  <c r="W64" i="16"/>
  <c r="X64" i="16"/>
  <c r="Y64" i="16"/>
  <c r="Z64" i="16"/>
  <c r="AA64" i="16"/>
  <c r="AB64" i="16"/>
  <c r="AC64" i="16"/>
  <c r="AD64" i="16"/>
  <c r="AE64" i="16"/>
  <c r="AG64" i="16"/>
  <c r="AH64" i="16"/>
  <c r="AI64" i="16"/>
  <c r="AJ64" i="16"/>
  <c r="AK64" i="16"/>
  <c r="AL64" i="16"/>
  <c r="AM64" i="16"/>
  <c r="AN64" i="16"/>
  <c r="AO64" i="16"/>
  <c r="AP64" i="16"/>
  <c r="AQ64" i="16"/>
  <c r="AR64" i="16"/>
  <c r="AS64" i="16"/>
  <c r="AT64" i="16"/>
  <c r="AU64" i="16"/>
  <c r="AV64" i="16"/>
  <c r="AW64" i="16"/>
  <c r="AX64" i="16"/>
  <c r="AY64" i="16"/>
  <c r="AZ64" i="16"/>
  <c r="BA64" i="16"/>
  <c r="BB64" i="16"/>
  <c r="BC64" i="16"/>
  <c r="BD64" i="16"/>
  <c r="BF64" i="16"/>
  <c r="BG64" i="16"/>
  <c r="BH64" i="16"/>
  <c r="BI64" i="16"/>
  <c r="BJ64" i="16"/>
  <c r="BK64" i="16"/>
  <c r="BL64" i="16"/>
  <c r="BM64" i="16"/>
  <c r="BN64" i="16"/>
  <c r="BO64" i="16"/>
  <c r="BP64" i="16"/>
  <c r="BQ64" i="16"/>
  <c r="BR64" i="16"/>
  <c r="BS64" i="16"/>
  <c r="BT64" i="16"/>
  <c r="BU64" i="16"/>
  <c r="BV64" i="16"/>
  <c r="BW64" i="16"/>
  <c r="BX64" i="16"/>
  <c r="BY64" i="16"/>
  <c r="BZ64" i="16"/>
  <c r="CA64" i="16"/>
  <c r="CB64" i="16"/>
  <c r="CC64" i="16"/>
  <c r="CE64" i="16"/>
  <c r="CF64" i="16"/>
  <c r="CG64" i="16"/>
  <c r="CH64" i="16"/>
  <c r="CI64" i="16"/>
  <c r="CJ64" i="16"/>
  <c r="CK64" i="16"/>
  <c r="CL64" i="16"/>
  <c r="CM64" i="16"/>
  <c r="CN64" i="16"/>
  <c r="CO64" i="16"/>
  <c r="CP64" i="16"/>
  <c r="CQ64" i="16"/>
  <c r="CR64" i="16"/>
  <c r="CS64" i="16"/>
  <c r="CT64" i="16"/>
  <c r="CU64" i="16"/>
  <c r="CV64" i="16"/>
  <c r="CW64" i="16"/>
  <c r="CX64" i="16"/>
  <c r="CY64" i="16"/>
  <c r="CZ64" i="16"/>
  <c r="DA64" i="16"/>
  <c r="DB64" i="16"/>
  <c r="DH64" i="16"/>
  <c r="DI64" i="16"/>
  <c r="DJ64" i="16"/>
  <c r="H65" i="16"/>
  <c r="I65" i="16"/>
  <c r="J65" i="16"/>
  <c r="K65" i="16"/>
  <c r="L65" i="16"/>
  <c r="M65" i="16"/>
  <c r="N65" i="16"/>
  <c r="O65" i="16"/>
  <c r="P65" i="16"/>
  <c r="Q65" i="16"/>
  <c r="R65" i="16"/>
  <c r="S65" i="16"/>
  <c r="T65" i="16"/>
  <c r="U65" i="16"/>
  <c r="V65" i="16"/>
  <c r="W65" i="16"/>
  <c r="X65" i="16"/>
  <c r="Y65" i="16"/>
  <c r="Z65" i="16"/>
  <c r="AA65" i="16"/>
  <c r="AB65" i="16"/>
  <c r="AC65" i="16"/>
  <c r="AD65" i="16"/>
  <c r="AE65" i="16"/>
  <c r="AG65" i="16"/>
  <c r="AH65" i="16"/>
  <c r="AI65" i="16"/>
  <c r="AJ65" i="16"/>
  <c r="AK65" i="16"/>
  <c r="AL65" i="16"/>
  <c r="AM65" i="16"/>
  <c r="AN65" i="16"/>
  <c r="AO65" i="16"/>
  <c r="AP65" i="16"/>
  <c r="AQ65" i="16"/>
  <c r="AR65" i="16"/>
  <c r="AS65" i="16"/>
  <c r="AT65" i="16"/>
  <c r="AU65" i="16"/>
  <c r="AV65" i="16"/>
  <c r="AW65" i="16"/>
  <c r="AX65" i="16"/>
  <c r="AY65" i="16"/>
  <c r="AZ65" i="16"/>
  <c r="BA65" i="16"/>
  <c r="BB65" i="16"/>
  <c r="BC65" i="16"/>
  <c r="BD65" i="16"/>
  <c r="BF65" i="16"/>
  <c r="BG65" i="16"/>
  <c r="BH65" i="16"/>
  <c r="BI65" i="16"/>
  <c r="BJ65" i="16"/>
  <c r="BK65" i="16"/>
  <c r="BL65" i="16"/>
  <c r="BM65" i="16"/>
  <c r="BN65" i="16"/>
  <c r="BO65" i="16"/>
  <c r="BP65" i="16"/>
  <c r="BQ65" i="16"/>
  <c r="BR65" i="16"/>
  <c r="BS65" i="16"/>
  <c r="BT65" i="16"/>
  <c r="BU65" i="16"/>
  <c r="BV65" i="16"/>
  <c r="BW65" i="16"/>
  <c r="BX65" i="16"/>
  <c r="BY65" i="16"/>
  <c r="BZ65" i="16"/>
  <c r="CA65" i="16"/>
  <c r="CB65" i="16"/>
  <c r="CC65" i="16"/>
  <c r="CE65" i="16"/>
  <c r="CF65" i="16"/>
  <c r="CG65" i="16"/>
  <c r="CH65" i="16"/>
  <c r="CI65" i="16"/>
  <c r="CJ65" i="16"/>
  <c r="CK65" i="16"/>
  <c r="CL65" i="16"/>
  <c r="CM65" i="16"/>
  <c r="CN65" i="16"/>
  <c r="CO65" i="16"/>
  <c r="CP65" i="16"/>
  <c r="CQ65" i="16"/>
  <c r="CR65" i="16"/>
  <c r="CS65" i="16"/>
  <c r="CT65" i="16"/>
  <c r="CU65" i="16"/>
  <c r="CV65" i="16"/>
  <c r="CW65" i="16"/>
  <c r="CX65" i="16"/>
  <c r="CY65" i="16"/>
  <c r="CZ65" i="16"/>
  <c r="DA65" i="16"/>
  <c r="DB65" i="16"/>
  <c r="DH65" i="16"/>
  <c r="DI65" i="16"/>
  <c r="DJ65" i="16"/>
  <c r="H66" i="16"/>
  <c r="I66" i="16"/>
  <c r="J66" i="16"/>
  <c r="K66" i="16"/>
  <c r="L66" i="16"/>
  <c r="M66" i="16"/>
  <c r="N66" i="16"/>
  <c r="O66" i="16"/>
  <c r="P66" i="16"/>
  <c r="Q66" i="16"/>
  <c r="R66" i="16"/>
  <c r="S66" i="16"/>
  <c r="T66" i="16"/>
  <c r="U66" i="16"/>
  <c r="V66" i="16"/>
  <c r="W66" i="16"/>
  <c r="X66" i="16"/>
  <c r="Y66" i="16"/>
  <c r="Z66" i="16"/>
  <c r="AA66" i="16"/>
  <c r="AB66" i="16"/>
  <c r="AC66" i="16"/>
  <c r="AD66" i="16"/>
  <c r="AE66" i="16"/>
  <c r="AG66" i="16"/>
  <c r="AH66" i="16"/>
  <c r="AI66" i="16"/>
  <c r="AJ66" i="16"/>
  <c r="AK66" i="16"/>
  <c r="AL66" i="16"/>
  <c r="AM66" i="16"/>
  <c r="AN66" i="16"/>
  <c r="AO66" i="16"/>
  <c r="AP66" i="16"/>
  <c r="AQ66" i="16"/>
  <c r="AR66" i="16"/>
  <c r="AS66" i="16"/>
  <c r="AT66" i="16"/>
  <c r="AU66" i="16"/>
  <c r="AV66" i="16"/>
  <c r="AW66" i="16"/>
  <c r="AX66" i="16"/>
  <c r="AY66" i="16"/>
  <c r="AZ66" i="16"/>
  <c r="BA66" i="16"/>
  <c r="BB66" i="16"/>
  <c r="BC66" i="16"/>
  <c r="BD66" i="16"/>
  <c r="BF66" i="16"/>
  <c r="BG66" i="16"/>
  <c r="BH66" i="16"/>
  <c r="BI66" i="16"/>
  <c r="BJ66" i="16"/>
  <c r="BK66" i="16"/>
  <c r="BL66" i="16"/>
  <c r="BM66" i="16"/>
  <c r="BN66" i="16"/>
  <c r="BO66" i="16"/>
  <c r="BP66" i="16"/>
  <c r="BQ66" i="16"/>
  <c r="BR66" i="16"/>
  <c r="BS66" i="16"/>
  <c r="BT66" i="16"/>
  <c r="BU66" i="16"/>
  <c r="BV66" i="16"/>
  <c r="BW66" i="16"/>
  <c r="BX66" i="16"/>
  <c r="BY66" i="16"/>
  <c r="BZ66" i="16"/>
  <c r="CA66" i="16"/>
  <c r="CB66" i="16"/>
  <c r="CC66" i="16"/>
  <c r="CE66" i="16"/>
  <c r="CF66" i="16"/>
  <c r="CG66" i="16"/>
  <c r="CH66" i="16"/>
  <c r="CI66" i="16"/>
  <c r="CJ66" i="16"/>
  <c r="CK66" i="16"/>
  <c r="CL66" i="16"/>
  <c r="CM66" i="16"/>
  <c r="CN66" i="16"/>
  <c r="CO66" i="16"/>
  <c r="CP66" i="16"/>
  <c r="CQ66" i="16"/>
  <c r="CR66" i="16"/>
  <c r="CS66" i="16"/>
  <c r="CT66" i="16"/>
  <c r="CU66" i="16"/>
  <c r="CV66" i="16"/>
  <c r="CW66" i="16"/>
  <c r="CX66" i="16"/>
  <c r="CY66" i="16"/>
  <c r="CZ66" i="16"/>
  <c r="DA66" i="16"/>
  <c r="DB66" i="16"/>
  <c r="DH66" i="16"/>
  <c r="DI66" i="16"/>
  <c r="DJ66" i="16"/>
  <c r="H67" i="16"/>
  <c r="I67" i="16"/>
  <c r="J67" i="16"/>
  <c r="K67" i="16"/>
  <c r="L67" i="16"/>
  <c r="M67" i="16"/>
  <c r="N67" i="16"/>
  <c r="O67" i="16"/>
  <c r="P67" i="16"/>
  <c r="Q67" i="16"/>
  <c r="R67" i="16"/>
  <c r="S67" i="16"/>
  <c r="T67" i="16"/>
  <c r="U67" i="16"/>
  <c r="V67" i="16"/>
  <c r="W67" i="16"/>
  <c r="X67" i="16"/>
  <c r="Y67" i="16"/>
  <c r="Z67" i="16"/>
  <c r="AA67" i="16"/>
  <c r="AB67" i="16"/>
  <c r="AC67" i="16"/>
  <c r="AD67" i="16"/>
  <c r="AE67" i="16"/>
  <c r="AG67" i="16"/>
  <c r="AH67" i="16"/>
  <c r="AI67" i="16"/>
  <c r="AJ67" i="16"/>
  <c r="AK67" i="16"/>
  <c r="AL67" i="16"/>
  <c r="AM67" i="16"/>
  <c r="AN67" i="16"/>
  <c r="AO67" i="16"/>
  <c r="AP67" i="16"/>
  <c r="AQ67" i="16"/>
  <c r="AR67" i="16"/>
  <c r="AS67" i="16"/>
  <c r="AT67" i="16"/>
  <c r="AU67" i="16"/>
  <c r="AV67" i="16"/>
  <c r="AW67" i="16"/>
  <c r="AX67" i="16"/>
  <c r="AY67" i="16"/>
  <c r="AZ67" i="16"/>
  <c r="BA67" i="16"/>
  <c r="BB67" i="16"/>
  <c r="BC67" i="16"/>
  <c r="BD67" i="16"/>
  <c r="BF67" i="16"/>
  <c r="BG67" i="16"/>
  <c r="BH67" i="16"/>
  <c r="BI67" i="16"/>
  <c r="BJ67" i="16"/>
  <c r="BK67" i="16"/>
  <c r="BL67" i="16"/>
  <c r="BM67" i="16"/>
  <c r="BN67" i="16"/>
  <c r="BO67" i="16"/>
  <c r="BP67" i="16"/>
  <c r="BQ67" i="16"/>
  <c r="BR67" i="16"/>
  <c r="BS67" i="16"/>
  <c r="BT67" i="16"/>
  <c r="BU67" i="16"/>
  <c r="BV67" i="16"/>
  <c r="BW67" i="16"/>
  <c r="BX67" i="16"/>
  <c r="BY67" i="16"/>
  <c r="BZ67" i="16"/>
  <c r="CA67" i="16"/>
  <c r="CB67" i="16"/>
  <c r="CC67" i="16"/>
  <c r="CE67" i="16"/>
  <c r="CF67" i="16"/>
  <c r="CG67" i="16"/>
  <c r="CH67" i="16"/>
  <c r="CI67" i="16"/>
  <c r="CJ67" i="16"/>
  <c r="CK67" i="16"/>
  <c r="CL67" i="16"/>
  <c r="CM67" i="16"/>
  <c r="CN67" i="16"/>
  <c r="CO67" i="16"/>
  <c r="CP67" i="16"/>
  <c r="CQ67" i="16"/>
  <c r="CR67" i="16"/>
  <c r="CS67" i="16"/>
  <c r="CT67" i="16"/>
  <c r="CU67" i="16"/>
  <c r="CV67" i="16"/>
  <c r="CW67" i="16"/>
  <c r="CX67" i="16"/>
  <c r="CY67" i="16"/>
  <c r="CZ67" i="16"/>
  <c r="DA67" i="16"/>
  <c r="DB67" i="16"/>
  <c r="DH67" i="16"/>
  <c r="DI67" i="16"/>
  <c r="DJ67" i="16"/>
  <c r="H68" i="16"/>
  <c r="I68" i="16"/>
  <c r="J68" i="16"/>
  <c r="K68" i="16"/>
  <c r="L68" i="16"/>
  <c r="M68" i="16"/>
  <c r="N68" i="16"/>
  <c r="O68" i="16"/>
  <c r="P68" i="16"/>
  <c r="Q68" i="16"/>
  <c r="R68" i="16"/>
  <c r="S68" i="16"/>
  <c r="T68" i="16"/>
  <c r="U68" i="16"/>
  <c r="V68" i="16"/>
  <c r="W68" i="16"/>
  <c r="X68" i="16"/>
  <c r="Y68" i="16"/>
  <c r="Z68" i="16"/>
  <c r="AA68" i="16"/>
  <c r="AB68" i="16"/>
  <c r="AC68" i="16"/>
  <c r="AD68" i="16"/>
  <c r="AE68" i="16"/>
  <c r="AG68" i="16"/>
  <c r="AH68" i="16"/>
  <c r="AI68" i="16"/>
  <c r="AJ68" i="16"/>
  <c r="AK68" i="16"/>
  <c r="AL68" i="16"/>
  <c r="AM68" i="16"/>
  <c r="AN68" i="16"/>
  <c r="AO68" i="16"/>
  <c r="AP68" i="16"/>
  <c r="AQ68" i="16"/>
  <c r="AR68" i="16"/>
  <c r="AS68" i="16"/>
  <c r="AT68" i="16"/>
  <c r="AU68" i="16"/>
  <c r="AV68" i="16"/>
  <c r="AW68" i="16"/>
  <c r="AX68" i="16"/>
  <c r="AY68" i="16"/>
  <c r="AZ68" i="16"/>
  <c r="BA68" i="16"/>
  <c r="BB68" i="16"/>
  <c r="BC68" i="16"/>
  <c r="BD68" i="16"/>
  <c r="BF68" i="16"/>
  <c r="BG68" i="16"/>
  <c r="BH68" i="16"/>
  <c r="BI68" i="16"/>
  <c r="BJ68" i="16"/>
  <c r="BK68" i="16"/>
  <c r="BL68" i="16"/>
  <c r="BM68" i="16"/>
  <c r="BN68" i="16"/>
  <c r="BO68" i="16"/>
  <c r="BP68" i="16"/>
  <c r="BQ68" i="16"/>
  <c r="BR68" i="16"/>
  <c r="BS68" i="16"/>
  <c r="BT68" i="16"/>
  <c r="BU68" i="16"/>
  <c r="BV68" i="16"/>
  <c r="BW68" i="16"/>
  <c r="BX68" i="16"/>
  <c r="BY68" i="16"/>
  <c r="BZ68" i="16"/>
  <c r="CA68" i="16"/>
  <c r="CB68" i="16"/>
  <c r="CC68" i="16"/>
  <c r="CE68" i="16"/>
  <c r="CF68" i="16"/>
  <c r="CG68" i="16"/>
  <c r="CH68" i="16"/>
  <c r="CI68" i="16"/>
  <c r="CJ68" i="16"/>
  <c r="CK68" i="16"/>
  <c r="CL68" i="16"/>
  <c r="CM68" i="16"/>
  <c r="CN68" i="16"/>
  <c r="CO68" i="16"/>
  <c r="CP68" i="16"/>
  <c r="CQ68" i="16"/>
  <c r="CR68" i="16"/>
  <c r="CS68" i="16"/>
  <c r="CT68" i="16"/>
  <c r="CU68" i="16"/>
  <c r="CV68" i="16"/>
  <c r="CW68" i="16"/>
  <c r="CX68" i="16"/>
  <c r="CY68" i="16"/>
  <c r="CZ68" i="16"/>
  <c r="DA68" i="16"/>
  <c r="DB68" i="16"/>
  <c r="DH68" i="16"/>
  <c r="DI68" i="16"/>
  <c r="DJ68" i="16"/>
  <c r="H69" i="16"/>
  <c r="I69" i="16"/>
  <c r="J69" i="16"/>
  <c r="K69" i="16"/>
  <c r="L69" i="16"/>
  <c r="M69" i="16"/>
  <c r="N69" i="16"/>
  <c r="O69" i="16"/>
  <c r="P69" i="16"/>
  <c r="Q69" i="16"/>
  <c r="R69" i="16"/>
  <c r="S69" i="16"/>
  <c r="T69" i="16"/>
  <c r="U69" i="16"/>
  <c r="V69" i="16"/>
  <c r="W69" i="16"/>
  <c r="X69" i="16"/>
  <c r="Y69" i="16"/>
  <c r="Z69" i="16"/>
  <c r="AA69" i="16"/>
  <c r="AB69" i="16"/>
  <c r="AC69" i="16"/>
  <c r="AD69" i="16"/>
  <c r="AE69" i="16"/>
  <c r="AG69" i="16"/>
  <c r="AH69" i="16"/>
  <c r="AI69" i="16"/>
  <c r="AJ69" i="16"/>
  <c r="AK69" i="16"/>
  <c r="AL69" i="16"/>
  <c r="AM69" i="16"/>
  <c r="AN69" i="16"/>
  <c r="AO69" i="16"/>
  <c r="AP69" i="16"/>
  <c r="AQ69" i="16"/>
  <c r="AR69" i="16"/>
  <c r="AS69" i="16"/>
  <c r="AT69" i="16"/>
  <c r="AU69" i="16"/>
  <c r="AV69" i="16"/>
  <c r="AW69" i="16"/>
  <c r="AX69" i="16"/>
  <c r="AY69" i="16"/>
  <c r="AZ69" i="16"/>
  <c r="BA69" i="16"/>
  <c r="BB69" i="16"/>
  <c r="BC69" i="16"/>
  <c r="BD69" i="16"/>
  <c r="BF69" i="16"/>
  <c r="BG69" i="16"/>
  <c r="BH69" i="16"/>
  <c r="BI69" i="16"/>
  <c r="BJ69" i="16"/>
  <c r="BK69" i="16"/>
  <c r="BL69" i="16"/>
  <c r="BM69" i="16"/>
  <c r="BN69" i="16"/>
  <c r="BO69" i="16"/>
  <c r="BP69" i="16"/>
  <c r="BQ69" i="16"/>
  <c r="BR69" i="16"/>
  <c r="BS69" i="16"/>
  <c r="BT69" i="16"/>
  <c r="BU69" i="16"/>
  <c r="BV69" i="16"/>
  <c r="BW69" i="16"/>
  <c r="BX69" i="16"/>
  <c r="BY69" i="16"/>
  <c r="BZ69" i="16"/>
  <c r="CA69" i="16"/>
  <c r="CB69" i="16"/>
  <c r="CC69" i="16"/>
  <c r="CE69" i="16"/>
  <c r="CF69" i="16"/>
  <c r="CG69" i="16"/>
  <c r="CH69" i="16"/>
  <c r="CI69" i="16"/>
  <c r="CJ69" i="16"/>
  <c r="CK69" i="16"/>
  <c r="CL69" i="16"/>
  <c r="CM69" i="16"/>
  <c r="CN69" i="16"/>
  <c r="CO69" i="16"/>
  <c r="CP69" i="16"/>
  <c r="CQ69" i="16"/>
  <c r="CR69" i="16"/>
  <c r="CS69" i="16"/>
  <c r="CT69" i="16"/>
  <c r="CU69" i="16"/>
  <c r="CV69" i="16"/>
  <c r="CW69" i="16"/>
  <c r="CX69" i="16"/>
  <c r="CY69" i="16"/>
  <c r="CZ69" i="16"/>
  <c r="DA69" i="16"/>
  <c r="DB69" i="16"/>
  <c r="DH69" i="16"/>
  <c r="DI69" i="16"/>
  <c r="DJ69" i="16"/>
  <c r="H70" i="16"/>
  <c r="I70" i="16"/>
  <c r="J70" i="16"/>
  <c r="K70" i="16"/>
  <c r="L70" i="16"/>
  <c r="M70" i="16"/>
  <c r="N70" i="16"/>
  <c r="O70" i="16"/>
  <c r="P70" i="16"/>
  <c r="Q70" i="16"/>
  <c r="R70" i="16"/>
  <c r="S70" i="16"/>
  <c r="T70" i="16"/>
  <c r="U70" i="16"/>
  <c r="V70" i="16"/>
  <c r="W70" i="16"/>
  <c r="X70" i="16"/>
  <c r="Y70" i="16"/>
  <c r="Z70" i="16"/>
  <c r="AA70" i="16"/>
  <c r="AB70" i="16"/>
  <c r="AC70" i="16"/>
  <c r="AD70" i="16"/>
  <c r="AE70" i="16"/>
  <c r="AG70" i="16"/>
  <c r="AH70" i="16"/>
  <c r="AI70" i="16"/>
  <c r="AJ70" i="16"/>
  <c r="AK70" i="16"/>
  <c r="AL70" i="16"/>
  <c r="AM70" i="16"/>
  <c r="AN70" i="16"/>
  <c r="AO70" i="16"/>
  <c r="AP70" i="16"/>
  <c r="AQ70" i="16"/>
  <c r="AR70" i="16"/>
  <c r="AS70" i="16"/>
  <c r="AT70" i="16"/>
  <c r="AU70" i="16"/>
  <c r="AV70" i="16"/>
  <c r="AW70" i="16"/>
  <c r="AX70" i="16"/>
  <c r="AY70" i="16"/>
  <c r="AZ70" i="16"/>
  <c r="BA70" i="16"/>
  <c r="BB70" i="16"/>
  <c r="BC70" i="16"/>
  <c r="BD70" i="16"/>
  <c r="BF70" i="16"/>
  <c r="BG70" i="16"/>
  <c r="BH70" i="16"/>
  <c r="BI70" i="16"/>
  <c r="BJ70" i="16"/>
  <c r="BK70" i="16"/>
  <c r="BL70" i="16"/>
  <c r="BM70" i="16"/>
  <c r="BN70" i="16"/>
  <c r="BO70" i="16"/>
  <c r="BP70" i="16"/>
  <c r="BQ70" i="16"/>
  <c r="BR70" i="16"/>
  <c r="BS70" i="16"/>
  <c r="BT70" i="16"/>
  <c r="BU70" i="16"/>
  <c r="BV70" i="16"/>
  <c r="BW70" i="16"/>
  <c r="BX70" i="16"/>
  <c r="BY70" i="16"/>
  <c r="BZ70" i="16"/>
  <c r="CA70" i="16"/>
  <c r="CB70" i="16"/>
  <c r="CC70" i="16"/>
  <c r="CE70" i="16"/>
  <c r="CF70" i="16"/>
  <c r="CG70" i="16"/>
  <c r="CH70" i="16"/>
  <c r="CI70" i="16"/>
  <c r="CJ70" i="16"/>
  <c r="CK70" i="16"/>
  <c r="CL70" i="16"/>
  <c r="CM70" i="16"/>
  <c r="CN70" i="16"/>
  <c r="CO70" i="16"/>
  <c r="CP70" i="16"/>
  <c r="CQ70" i="16"/>
  <c r="CR70" i="16"/>
  <c r="CS70" i="16"/>
  <c r="CT70" i="16"/>
  <c r="CU70" i="16"/>
  <c r="CV70" i="16"/>
  <c r="CW70" i="16"/>
  <c r="CX70" i="16"/>
  <c r="CY70" i="16"/>
  <c r="CZ70" i="16"/>
  <c r="DA70" i="16"/>
  <c r="DB70" i="16"/>
  <c r="DH70" i="16"/>
  <c r="DI70" i="16"/>
  <c r="DJ70" i="16"/>
  <c r="H71" i="16"/>
  <c r="I71" i="16"/>
  <c r="J71" i="16"/>
  <c r="K71" i="16"/>
  <c r="L71" i="16"/>
  <c r="M71" i="16"/>
  <c r="N71" i="16"/>
  <c r="O71" i="16"/>
  <c r="P71" i="16"/>
  <c r="Q71" i="16"/>
  <c r="R71" i="16"/>
  <c r="S71" i="16"/>
  <c r="T71" i="16"/>
  <c r="U71" i="16"/>
  <c r="V71" i="16"/>
  <c r="W71" i="16"/>
  <c r="X71" i="16"/>
  <c r="Y71" i="16"/>
  <c r="Z71" i="16"/>
  <c r="AA71" i="16"/>
  <c r="AB71" i="16"/>
  <c r="AC71" i="16"/>
  <c r="AD71" i="16"/>
  <c r="AE71" i="16"/>
  <c r="AG71" i="16"/>
  <c r="AH71" i="16"/>
  <c r="AI71" i="16"/>
  <c r="AJ71" i="16"/>
  <c r="AK71" i="16"/>
  <c r="AL71" i="16"/>
  <c r="AM71" i="16"/>
  <c r="AN71" i="16"/>
  <c r="AO71" i="16"/>
  <c r="AP71" i="16"/>
  <c r="AQ71" i="16"/>
  <c r="AR71" i="16"/>
  <c r="AS71" i="16"/>
  <c r="AT71" i="16"/>
  <c r="AU71" i="16"/>
  <c r="AV71" i="16"/>
  <c r="AW71" i="16"/>
  <c r="AX71" i="16"/>
  <c r="AY71" i="16"/>
  <c r="AZ71" i="16"/>
  <c r="BA71" i="16"/>
  <c r="BB71" i="16"/>
  <c r="BC71" i="16"/>
  <c r="BD71" i="16"/>
  <c r="BF71" i="16"/>
  <c r="BG71" i="16"/>
  <c r="BH71" i="16"/>
  <c r="BI71" i="16"/>
  <c r="BJ71" i="16"/>
  <c r="BK71" i="16"/>
  <c r="BL71" i="16"/>
  <c r="BM71" i="16"/>
  <c r="BN71" i="16"/>
  <c r="BO71" i="16"/>
  <c r="BP71" i="16"/>
  <c r="BQ71" i="16"/>
  <c r="BR71" i="16"/>
  <c r="BS71" i="16"/>
  <c r="BT71" i="16"/>
  <c r="BU71" i="16"/>
  <c r="BV71" i="16"/>
  <c r="BW71" i="16"/>
  <c r="BX71" i="16"/>
  <c r="BY71" i="16"/>
  <c r="BZ71" i="16"/>
  <c r="CA71" i="16"/>
  <c r="CB71" i="16"/>
  <c r="CC71" i="16"/>
  <c r="CE71" i="16"/>
  <c r="CF71" i="16"/>
  <c r="CG71" i="16"/>
  <c r="CH71" i="16"/>
  <c r="CI71" i="16"/>
  <c r="CJ71" i="16"/>
  <c r="CK71" i="16"/>
  <c r="CL71" i="16"/>
  <c r="CM71" i="16"/>
  <c r="CN71" i="16"/>
  <c r="CO71" i="16"/>
  <c r="CP71" i="16"/>
  <c r="CQ71" i="16"/>
  <c r="CR71" i="16"/>
  <c r="CS71" i="16"/>
  <c r="CT71" i="16"/>
  <c r="CU71" i="16"/>
  <c r="CV71" i="16"/>
  <c r="CW71" i="16"/>
  <c r="CX71" i="16"/>
  <c r="CY71" i="16"/>
  <c r="CZ71" i="16"/>
  <c r="DA71" i="16"/>
  <c r="DB71" i="16"/>
  <c r="DH71" i="16"/>
  <c r="DI71" i="16"/>
  <c r="DJ71" i="16"/>
  <c r="H72" i="16"/>
  <c r="I72" i="16"/>
  <c r="J72" i="16"/>
  <c r="K72" i="16"/>
  <c r="L72" i="16"/>
  <c r="M72" i="16"/>
  <c r="N72" i="16"/>
  <c r="O72" i="16"/>
  <c r="P72" i="16"/>
  <c r="Q72" i="16"/>
  <c r="R72" i="16"/>
  <c r="S72" i="16"/>
  <c r="T72" i="16"/>
  <c r="U72" i="16"/>
  <c r="V72" i="16"/>
  <c r="W72" i="16"/>
  <c r="X72" i="16"/>
  <c r="Y72" i="16"/>
  <c r="Z72" i="16"/>
  <c r="AA72" i="16"/>
  <c r="AB72" i="16"/>
  <c r="AC72" i="16"/>
  <c r="AD72" i="16"/>
  <c r="AE72" i="16"/>
  <c r="AG72" i="16"/>
  <c r="AH72" i="16"/>
  <c r="AI72" i="16"/>
  <c r="AJ72" i="16"/>
  <c r="AK72" i="16"/>
  <c r="AL72" i="16"/>
  <c r="AM72" i="16"/>
  <c r="AN72" i="16"/>
  <c r="AO72" i="16"/>
  <c r="AP72" i="16"/>
  <c r="AQ72" i="16"/>
  <c r="AR72" i="16"/>
  <c r="AS72" i="16"/>
  <c r="AT72" i="16"/>
  <c r="AU72" i="16"/>
  <c r="AV72" i="16"/>
  <c r="AW72" i="16"/>
  <c r="AX72" i="16"/>
  <c r="AY72" i="16"/>
  <c r="AZ72" i="16"/>
  <c r="BA72" i="16"/>
  <c r="BB72" i="16"/>
  <c r="BC72" i="16"/>
  <c r="BD72" i="16"/>
  <c r="BF72" i="16"/>
  <c r="BG72" i="16"/>
  <c r="BH72" i="16"/>
  <c r="BI72" i="16"/>
  <c r="BJ72" i="16"/>
  <c r="BK72" i="16"/>
  <c r="BL72" i="16"/>
  <c r="BM72" i="16"/>
  <c r="BN72" i="16"/>
  <c r="BO72" i="16"/>
  <c r="BP72" i="16"/>
  <c r="BQ72" i="16"/>
  <c r="BR72" i="16"/>
  <c r="BS72" i="16"/>
  <c r="BT72" i="16"/>
  <c r="BU72" i="16"/>
  <c r="BV72" i="16"/>
  <c r="BW72" i="16"/>
  <c r="BX72" i="16"/>
  <c r="BY72" i="16"/>
  <c r="BZ72" i="16"/>
  <c r="CA72" i="16"/>
  <c r="CB72" i="16"/>
  <c r="CC72" i="16"/>
  <c r="CE72" i="16"/>
  <c r="CF72" i="16"/>
  <c r="CG72" i="16"/>
  <c r="CH72" i="16"/>
  <c r="CI72" i="16"/>
  <c r="CJ72" i="16"/>
  <c r="CK72" i="16"/>
  <c r="CL72" i="16"/>
  <c r="CM72" i="16"/>
  <c r="CN72" i="16"/>
  <c r="CO72" i="16"/>
  <c r="CP72" i="16"/>
  <c r="CQ72" i="16"/>
  <c r="CR72" i="16"/>
  <c r="CS72" i="16"/>
  <c r="CT72" i="16"/>
  <c r="CU72" i="16"/>
  <c r="CV72" i="16"/>
  <c r="CW72" i="16"/>
  <c r="CX72" i="16"/>
  <c r="CY72" i="16"/>
  <c r="CZ72" i="16"/>
  <c r="DA72" i="16"/>
  <c r="DB72" i="16"/>
  <c r="DH72" i="16"/>
  <c r="DI72" i="16"/>
  <c r="DJ72" i="16"/>
  <c r="H73" i="16"/>
  <c r="I73" i="16"/>
  <c r="J73" i="16"/>
  <c r="K73" i="16"/>
  <c r="L73" i="16"/>
  <c r="M73" i="16"/>
  <c r="N73" i="16"/>
  <c r="O73" i="16"/>
  <c r="P73" i="16"/>
  <c r="Q73" i="16"/>
  <c r="R73" i="16"/>
  <c r="S73" i="16"/>
  <c r="T73" i="16"/>
  <c r="U73" i="16"/>
  <c r="V73" i="16"/>
  <c r="W73" i="16"/>
  <c r="X73" i="16"/>
  <c r="Y73" i="16"/>
  <c r="Z73" i="16"/>
  <c r="AA73" i="16"/>
  <c r="AB73" i="16"/>
  <c r="AC73" i="16"/>
  <c r="AD73" i="16"/>
  <c r="AE73" i="16"/>
  <c r="AG73" i="16"/>
  <c r="AH73" i="16"/>
  <c r="AI73" i="16"/>
  <c r="AJ73" i="16"/>
  <c r="AK73" i="16"/>
  <c r="AL73" i="16"/>
  <c r="AM73" i="16"/>
  <c r="AN73" i="16"/>
  <c r="AO73" i="16"/>
  <c r="AP73" i="16"/>
  <c r="AQ73" i="16"/>
  <c r="AR73" i="16"/>
  <c r="AS73" i="16"/>
  <c r="AT73" i="16"/>
  <c r="AU73" i="16"/>
  <c r="AV73" i="16"/>
  <c r="AW73" i="16"/>
  <c r="AX73" i="16"/>
  <c r="AY73" i="16"/>
  <c r="AZ73" i="16"/>
  <c r="BA73" i="16"/>
  <c r="BB73" i="16"/>
  <c r="BC73" i="16"/>
  <c r="BD73" i="16"/>
  <c r="BF73" i="16"/>
  <c r="BG73" i="16"/>
  <c r="BH73" i="16"/>
  <c r="BI73" i="16"/>
  <c r="BJ73" i="16"/>
  <c r="BK73" i="16"/>
  <c r="BL73" i="16"/>
  <c r="BM73" i="16"/>
  <c r="BN73" i="16"/>
  <c r="BO73" i="16"/>
  <c r="BP73" i="16"/>
  <c r="BQ73" i="16"/>
  <c r="BR73" i="16"/>
  <c r="BS73" i="16"/>
  <c r="BT73" i="16"/>
  <c r="BU73" i="16"/>
  <c r="BV73" i="16"/>
  <c r="BW73" i="16"/>
  <c r="BX73" i="16"/>
  <c r="BY73" i="16"/>
  <c r="BZ73" i="16"/>
  <c r="CA73" i="16"/>
  <c r="CB73" i="16"/>
  <c r="CC73" i="16"/>
  <c r="CE73" i="16"/>
  <c r="CF73" i="16"/>
  <c r="CG73" i="16"/>
  <c r="CH73" i="16"/>
  <c r="CI73" i="16"/>
  <c r="CJ73" i="16"/>
  <c r="CK73" i="16"/>
  <c r="CL73" i="16"/>
  <c r="CM73" i="16"/>
  <c r="CN73" i="16"/>
  <c r="CO73" i="16"/>
  <c r="CP73" i="16"/>
  <c r="CQ73" i="16"/>
  <c r="CR73" i="16"/>
  <c r="CS73" i="16"/>
  <c r="CT73" i="16"/>
  <c r="CU73" i="16"/>
  <c r="CV73" i="16"/>
  <c r="CW73" i="16"/>
  <c r="CX73" i="16"/>
  <c r="CY73" i="16"/>
  <c r="CZ73" i="16"/>
  <c r="DA73" i="16"/>
  <c r="DB73" i="16"/>
  <c r="DH73" i="16"/>
  <c r="DI73" i="16"/>
  <c r="DJ73" i="16"/>
  <c r="H74" i="16"/>
  <c r="I74" i="16"/>
  <c r="J74" i="16"/>
  <c r="K74" i="16"/>
  <c r="L74" i="16"/>
  <c r="M74" i="16"/>
  <c r="N74" i="16"/>
  <c r="O74" i="16"/>
  <c r="P74" i="16"/>
  <c r="Q74" i="16"/>
  <c r="R74" i="16"/>
  <c r="S74" i="16"/>
  <c r="T74" i="16"/>
  <c r="U74" i="16"/>
  <c r="V74" i="16"/>
  <c r="W74" i="16"/>
  <c r="X74" i="16"/>
  <c r="Y74" i="16"/>
  <c r="Z74" i="16"/>
  <c r="AA74" i="16"/>
  <c r="AB74" i="16"/>
  <c r="AC74" i="16"/>
  <c r="AD74" i="16"/>
  <c r="AE74" i="16"/>
  <c r="AG74" i="16"/>
  <c r="AH74" i="16"/>
  <c r="AI74" i="16"/>
  <c r="AJ74" i="16"/>
  <c r="AK74" i="16"/>
  <c r="AL74" i="16"/>
  <c r="AM74" i="16"/>
  <c r="AN74" i="16"/>
  <c r="AO74" i="16"/>
  <c r="AP74" i="16"/>
  <c r="AQ74" i="16"/>
  <c r="AR74" i="16"/>
  <c r="AS74" i="16"/>
  <c r="AT74" i="16"/>
  <c r="AU74" i="16"/>
  <c r="AV74" i="16"/>
  <c r="AW74" i="16"/>
  <c r="AX74" i="16"/>
  <c r="AY74" i="16"/>
  <c r="AZ74" i="16"/>
  <c r="BA74" i="16"/>
  <c r="BB74" i="16"/>
  <c r="BC74" i="16"/>
  <c r="BD74" i="16"/>
  <c r="BF74" i="16"/>
  <c r="BG74" i="16"/>
  <c r="BH74" i="16"/>
  <c r="BI74" i="16"/>
  <c r="BJ74" i="16"/>
  <c r="BK74" i="16"/>
  <c r="BL74" i="16"/>
  <c r="BM74" i="16"/>
  <c r="BN74" i="16"/>
  <c r="BO74" i="16"/>
  <c r="BP74" i="16"/>
  <c r="BQ74" i="16"/>
  <c r="BR74" i="16"/>
  <c r="BS74" i="16"/>
  <c r="BT74" i="16"/>
  <c r="BU74" i="16"/>
  <c r="BV74" i="16"/>
  <c r="BW74" i="16"/>
  <c r="BX74" i="16"/>
  <c r="BY74" i="16"/>
  <c r="BZ74" i="16"/>
  <c r="CA74" i="16"/>
  <c r="CB74" i="16"/>
  <c r="CC74" i="16"/>
  <c r="CE74" i="16"/>
  <c r="CF74" i="16"/>
  <c r="CG74" i="16"/>
  <c r="CH74" i="16"/>
  <c r="CI74" i="16"/>
  <c r="CJ74" i="16"/>
  <c r="CK74" i="16"/>
  <c r="CL74" i="16"/>
  <c r="CM74" i="16"/>
  <c r="CN74" i="16"/>
  <c r="CO74" i="16"/>
  <c r="CP74" i="16"/>
  <c r="CQ74" i="16"/>
  <c r="CR74" i="16"/>
  <c r="CS74" i="16"/>
  <c r="CT74" i="16"/>
  <c r="CU74" i="16"/>
  <c r="CV74" i="16"/>
  <c r="CW74" i="16"/>
  <c r="CX74" i="16"/>
  <c r="CY74" i="16"/>
  <c r="CZ74" i="16"/>
  <c r="DA74" i="16"/>
  <c r="DB74" i="16"/>
  <c r="DH74" i="16"/>
  <c r="DI74" i="16"/>
  <c r="DJ74" i="16"/>
  <c r="H75" i="16"/>
  <c r="I75" i="16"/>
  <c r="J75" i="16"/>
  <c r="K75" i="16"/>
  <c r="L75" i="16"/>
  <c r="M75" i="16"/>
  <c r="N75" i="16"/>
  <c r="O75" i="16"/>
  <c r="P75" i="16"/>
  <c r="Q75" i="16"/>
  <c r="R75" i="16"/>
  <c r="S75" i="16"/>
  <c r="T75" i="16"/>
  <c r="U75" i="16"/>
  <c r="V75" i="16"/>
  <c r="W75" i="16"/>
  <c r="X75" i="16"/>
  <c r="Y75" i="16"/>
  <c r="Z75" i="16"/>
  <c r="AA75" i="16"/>
  <c r="AB75" i="16"/>
  <c r="AC75" i="16"/>
  <c r="AD75" i="16"/>
  <c r="AE75" i="16"/>
  <c r="AG75" i="16"/>
  <c r="AH75" i="16"/>
  <c r="AI75" i="16"/>
  <c r="AJ75" i="16"/>
  <c r="AK75" i="16"/>
  <c r="AL75" i="16"/>
  <c r="AM75" i="16"/>
  <c r="AN75" i="16"/>
  <c r="AO75" i="16"/>
  <c r="AP75" i="16"/>
  <c r="AQ75" i="16"/>
  <c r="AR75" i="16"/>
  <c r="AS75" i="16"/>
  <c r="AT75" i="16"/>
  <c r="AU75" i="16"/>
  <c r="AV75" i="16"/>
  <c r="AW75" i="16"/>
  <c r="AX75" i="16"/>
  <c r="AY75" i="16"/>
  <c r="AZ75" i="16"/>
  <c r="BA75" i="16"/>
  <c r="BB75" i="16"/>
  <c r="BC75" i="16"/>
  <c r="BD75" i="16"/>
  <c r="BF75" i="16"/>
  <c r="BG75" i="16"/>
  <c r="BH75" i="16"/>
  <c r="BI75" i="16"/>
  <c r="BJ75" i="16"/>
  <c r="BK75" i="16"/>
  <c r="BL75" i="16"/>
  <c r="BM75" i="16"/>
  <c r="BN75" i="16"/>
  <c r="BO75" i="16"/>
  <c r="BP75" i="16"/>
  <c r="BQ75" i="16"/>
  <c r="BR75" i="16"/>
  <c r="BS75" i="16"/>
  <c r="BT75" i="16"/>
  <c r="BU75" i="16"/>
  <c r="BV75" i="16"/>
  <c r="BW75" i="16"/>
  <c r="BX75" i="16"/>
  <c r="BY75" i="16"/>
  <c r="BZ75" i="16"/>
  <c r="CA75" i="16"/>
  <c r="CB75" i="16"/>
  <c r="CC75" i="16"/>
  <c r="CE75" i="16"/>
  <c r="CF75" i="16"/>
  <c r="CG75" i="16"/>
  <c r="CH75" i="16"/>
  <c r="CI75" i="16"/>
  <c r="CJ75" i="16"/>
  <c r="CK75" i="16"/>
  <c r="CL75" i="16"/>
  <c r="CM75" i="16"/>
  <c r="CN75" i="16"/>
  <c r="CO75" i="16"/>
  <c r="CP75" i="16"/>
  <c r="CQ75" i="16"/>
  <c r="CR75" i="16"/>
  <c r="CS75" i="16"/>
  <c r="CT75" i="16"/>
  <c r="CU75" i="16"/>
  <c r="CV75" i="16"/>
  <c r="CW75" i="16"/>
  <c r="CX75" i="16"/>
  <c r="CY75" i="16"/>
  <c r="CZ75" i="16"/>
  <c r="DA75" i="16"/>
  <c r="DB75" i="16"/>
  <c r="DH75" i="16"/>
  <c r="DI75" i="16"/>
  <c r="DJ75" i="16"/>
  <c r="H76" i="16"/>
  <c r="I76" i="16"/>
  <c r="J76" i="16"/>
  <c r="K76" i="16"/>
  <c r="L76" i="16"/>
  <c r="M76" i="16"/>
  <c r="N76" i="16"/>
  <c r="O76" i="16"/>
  <c r="P76" i="16"/>
  <c r="Q76" i="16"/>
  <c r="R76" i="16"/>
  <c r="S76" i="16"/>
  <c r="T76" i="16"/>
  <c r="U76" i="16"/>
  <c r="V76" i="16"/>
  <c r="W76" i="16"/>
  <c r="X76" i="16"/>
  <c r="Y76" i="16"/>
  <c r="Z76" i="16"/>
  <c r="AA76" i="16"/>
  <c r="AB76" i="16"/>
  <c r="AC76" i="16"/>
  <c r="AD76" i="16"/>
  <c r="AE76" i="16"/>
  <c r="AG76" i="16"/>
  <c r="AH76" i="16"/>
  <c r="AI76" i="16"/>
  <c r="AJ76" i="16"/>
  <c r="AK76" i="16"/>
  <c r="AL76" i="16"/>
  <c r="AM76" i="16"/>
  <c r="AN76" i="16"/>
  <c r="AO76" i="16"/>
  <c r="AP76" i="16"/>
  <c r="AQ76" i="16"/>
  <c r="AR76" i="16"/>
  <c r="AS76" i="16"/>
  <c r="AT76" i="16"/>
  <c r="AU76" i="16"/>
  <c r="AV76" i="16"/>
  <c r="AW76" i="16"/>
  <c r="AX76" i="16"/>
  <c r="AY76" i="16"/>
  <c r="AZ76" i="16"/>
  <c r="BA76" i="16"/>
  <c r="BB76" i="16"/>
  <c r="BC76" i="16"/>
  <c r="BD76" i="16"/>
  <c r="BF76" i="16"/>
  <c r="BG76" i="16"/>
  <c r="BH76" i="16"/>
  <c r="BI76" i="16"/>
  <c r="BJ76" i="16"/>
  <c r="BK76" i="16"/>
  <c r="BL76" i="16"/>
  <c r="BM76" i="16"/>
  <c r="BN76" i="16"/>
  <c r="BO76" i="16"/>
  <c r="BP76" i="16"/>
  <c r="BQ76" i="16"/>
  <c r="BR76" i="16"/>
  <c r="BS76" i="16"/>
  <c r="BT76" i="16"/>
  <c r="BU76" i="16"/>
  <c r="BV76" i="16"/>
  <c r="BW76" i="16"/>
  <c r="BX76" i="16"/>
  <c r="BY76" i="16"/>
  <c r="BZ76" i="16"/>
  <c r="CA76" i="16"/>
  <c r="CB76" i="16"/>
  <c r="CC76" i="16"/>
  <c r="CE76" i="16"/>
  <c r="CF76" i="16"/>
  <c r="CG76" i="16"/>
  <c r="CH76" i="16"/>
  <c r="CI76" i="16"/>
  <c r="CJ76" i="16"/>
  <c r="CK76" i="16"/>
  <c r="CL76" i="16"/>
  <c r="CM76" i="16"/>
  <c r="CN76" i="16"/>
  <c r="CO76" i="16"/>
  <c r="CP76" i="16"/>
  <c r="CQ76" i="16"/>
  <c r="CR76" i="16"/>
  <c r="CS76" i="16"/>
  <c r="CT76" i="16"/>
  <c r="CU76" i="16"/>
  <c r="CV76" i="16"/>
  <c r="CW76" i="16"/>
  <c r="CX76" i="16"/>
  <c r="CY76" i="16"/>
  <c r="CZ76" i="16"/>
  <c r="DA76" i="16"/>
  <c r="DB76" i="16"/>
  <c r="DH76" i="16"/>
  <c r="DI76" i="16"/>
  <c r="DJ76" i="16"/>
  <c r="H77" i="16"/>
  <c r="I77" i="16"/>
  <c r="J77" i="16"/>
  <c r="K77" i="16"/>
  <c r="L77" i="16"/>
  <c r="M77" i="16"/>
  <c r="N77" i="16"/>
  <c r="O77" i="16"/>
  <c r="P77" i="16"/>
  <c r="Q77" i="16"/>
  <c r="R77" i="16"/>
  <c r="S77" i="16"/>
  <c r="T77" i="16"/>
  <c r="U77" i="16"/>
  <c r="V77" i="16"/>
  <c r="W77" i="16"/>
  <c r="X77" i="16"/>
  <c r="Y77" i="16"/>
  <c r="Z77" i="16"/>
  <c r="AA77" i="16"/>
  <c r="AB77" i="16"/>
  <c r="AC77" i="16"/>
  <c r="AD77" i="16"/>
  <c r="AE77" i="16"/>
  <c r="AG77" i="16"/>
  <c r="AH77" i="16"/>
  <c r="AI77" i="16"/>
  <c r="AJ77" i="16"/>
  <c r="AK77" i="16"/>
  <c r="AL77" i="16"/>
  <c r="AM77" i="16"/>
  <c r="AN77" i="16"/>
  <c r="AO77" i="16"/>
  <c r="AP77" i="16"/>
  <c r="AQ77" i="16"/>
  <c r="AR77" i="16"/>
  <c r="AS77" i="16"/>
  <c r="AT77" i="16"/>
  <c r="AU77" i="16"/>
  <c r="AV77" i="16"/>
  <c r="AW77" i="16"/>
  <c r="AX77" i="16"/>
  <c r="AY77" i="16"/>
  <c r="AZ77" i="16"/>
  <c r="BA77" i="16"/>
  <c r="BB77" i="16"/>
  <c r="BC77" i="16"/>
  <c r="BD77" i="16"/>
  <c r="BF77" i="16"/>
  <c r="BG77" i="16"/>
  <c r="BH77" i="16"/>
  <c r="BI77" i="16"/>
  <c r="BJ77" i="16"/>
  <c r="BK77" i="16"/>
  <c r="BL77" i="16"/>
  <c r="BM77" i="16"/>
  <c r="BN77" i="16"/>
  <c r="BO77" i="16"/>
  <c r="BP77" i="16"/>
  <c r="BQ77" i="16"/>
  <c r="BR77" i="16"/>
  <c r="BS77" i="16"/>
  <c r="BT77" i="16"/>
  <c r="BU77" i="16"/>
  <c r="BV77" i="16"/>
  <c r="BW77" i="16"/>
  <c r="BX77" i="16"/>
  <c r="BY77" i="16"/>
  <c r="BZ77" i="16"/>
  <c r="CA77" i="16"/>
  <c r="CB77" i="16"/>
  <c r="CC77" i="16"/>
  <c r="CE77" i="16"/>
  <c r="CF77" i="16"/>
  <c r="CG77" i="16"/>
  <c r="CH77" i="16"/>
  <c r="CI77" i="16"/>
  <c r="CJ77" i="16"/>
  <c r="CK77" i="16"/>
  <c r="CL77" i="16"/>
  <c r="CM77" i="16"/>
  <c r="CN77" i="16"/>
  <c r="CO77" i="16"/>
  <c r="CP77" i="16"/>
  <c r="CQ77" i="16"/>
  <c r="CR77" i="16"/>
  <c r="CS77" i="16"/>
  <c r="CT77" i="16"/>
  <c r="CU77" i="16"/>
  <c r="CV77" i="16"/>
  <c r="CW77" i="16"/>
  <c r="CX77" i="16"/>
  <c r="CY77" i="16"/>
  <c r="CZ77" i="16"/>
  <c r="DA77" i="16"/>
  <c r="DB77" i="16"/>
  <c r="DH77" i="16"/>
  <c r="DI77" i="16"/>
  <c r="DJ77" i="16"/>
  <c r="H78" i="16"/>
  <c r="I78" i="16"/>
  <c r="J78" i="16"/>
  <c r="K78" i="16"/>
  <c r="L78" i="16"/>
  <c r="M78" i="16"/>
  <c r="N78" i="16"/>
  <c r="O78" i="16"/>
  <c r="P78" i="16"/>
  <c r="Q78" i="16"/>
  <c r="R78" i="16"/>
  <c r="S78" i="16"/>
  <c r="T78" i="16"/>
  <c r="U78" i="16"/>
  <c r="V78" i="16"/>
  <c r="W78" i="16"/>
  <c r="X78" i="16"/>
  <c r="Y78" i="16"/>
  <c r="Z78" i="16"/>
  <c r="AA78" i="16"/>
  <c r="AB78" i="16"/>
  <c r="AC78" i="16"/>
  <c r="AD78" i="16"/>
  <c r="AE78" i="16"/>
  <c r="AG78" i="16"/>
  <c r="AH78" i="16"/>
  <c r="AI78" i="16"/>
  <c r="AJ78" i="16"/>
  <c r="AK78" i="16"/>
  <c r="AL78" i="16"/>
  <c r="AM78" i="16"/>
  <c r="AN78" i="16"/>
  <c r="AO78" i="16"/>
  <c r="AP78" i="16"/>
  <c r="AQ78" i="16"/>
  <c r="AR78" i="16"/>
  <c r="AS78" i="16"/>
  <c r="AT78" i="16"/>
  <c r="AU78" i="16"/>
  <c r="AV78" i="16"/>
  <c r="AW78" i="16"/>
  <c r="AX78" i="16"/>
  <c r="AY78" i="16"/>
  <c r="AZ78" i="16"/>
  <c r="BA78" i="16"/>
  <c r="BB78" i="16"/>
  <c r="BC78" i="16"/>
  <c r="BD78" i="16"/>
  <c r="BF78" i="16"/>
  <c r="BG78" i="16"/>
  <c r="BH78" i="16"/>
  <c r="BI78" i="16"/>
  <c r="BJ78" i="16"/>
  <c r="BK78" i="16"/>
  <c r="BL78" i="16"/>
  <c r="BM78" i="16"/>
  <c r="BN78" i="16"/>
  <c r="BO78" i="16"/>
  <c r="BP78" i="16"/>
  <c r="BQ78" i="16"/>
  <c r="BR78" i="16"/>
  <c r="BS78" i="16"/>
  <c r="BT78" i="16"/>
  <c r="BU78" i="16"/>
  <c r="BV78" i="16"/>
  <c r="BW78" i="16"/>
  <c r="BX78" i="16"/>
  <c r="BY78" i="16"/>
  <c r="BZ78" i="16"/>
  <c r="CA78" i="16"/>
  <c r="CB78" i="16"/>
  <c r="CC78" i="16"/>
  <c r="CE78" i="16"/>
  <c r="CF78" i="16"/>
  <c r="CG78" i="16"/>
  <c r="CH78" i="16"/>
  <c r="CI78" i="16"/>
  <c r="CJ78" i="16"/>
  <c r="CK78" i="16"/>
  <c r="CL78" i="16"/>
  <c r="CM78" i="16"/>
  <c r="CN78" i="16"/>
  <c r="CO78" i="16"/>
  <c r="CP78" i="16"/>
  <c r="CQ78" i="16"/>
  <c r="CR78" i="16"/>
  <c r="CS78" i="16"/>
  <c r="CT78" i="16"/>
  <c r="CU78" i="16"/>
  <c r="CV78" i="16"/>
  <c r="CW78" i="16"/>
  <c r="CX78" i="16"/>
  <c r="CY78" i="16"/>
  <c r="CZ78" i="16"/>
  <c r="DA78" i="16"/>
  <c r="DB78" i="16"/>
  <c r="DH78" i="16"/>
  <c r="DI78" i="16"/>
  <c r="DJ78" i="16"/>
  <c r="H79" i="16"/>
  <c r="I79" i="16"/>
  <c r="J79" i="16"/>
  <c r="K79" i="16"/>
  <c r="L79" i="16"/>
  <c r="M79" i="16"/>
  <c r="N79" i="16"/>
  <c r="O79" i="16"/>
  <c r="P79" i="16"/>
  <c r="Q79" i="16"/>
  <c r="R79" i="16"/>
  <c r="S79" i="16"/>
  <c r="T79" i="16"/>
  <c r="U79" i="16"/>
  <c r="V79" i="16"/>
  <c r="W79" i="16"/>
  <c r="X79" i="16"/>
  <c r="Y79" i="16"/>
  <c r="Z79" i="16"/>
  <c r="AA79" i="16"/>
  <c r="AB79" i="16"/>
  <c r="AC79" i="16"/>
  <c r="AD79" i="16"/>
  <c r="AE79" i="16"/>
  <c r="AG79" i="16"/>
  <c r="AH79" i="16"/>
  <c r="AI79" i="16"/>
  <c r="AJ79" i="16"/>
  <c r="AK79" i="16"/>
  <c r="AL79" i="16"/>
  <c r="AM79" i="16"/>
  <c r="AN79" i="16"/>
  <c r="AO79" i="16"/>
  <c r="AP79" i="16"/>
  <c r="AQ79" i="16"/>
  <c r="AR79" i="16"/>
  <c r="AS79" i="16"/>
  <c r="AT79" i="16"/>
  <c r="AU79" i="16"/>
  <c r="AV79" i="16"/>
  <c r="AW79" i="16"/>
  <c r="AX79" i="16"/>
  <c r="AY79" i="16"/>
  <c r="AZ79" i="16"/>
  <c r="BA79" i="16"/>
  <c r="BB79" i="16"/>
  <c r="BC79" i="16"/>
  <c r="BD79" i="16"/>
  <c r="BF79" i="16"/>
  <c r="BG79" i="16"/>
  <c r="BH79" i="16"/>
  <c r="BI79" i="16"/>
  <c r="BJ79" i="16"/>
  <c r="BK79" i="16"/>
  <c r="BL79" i="16"/>
  <c r="BM79" i="16"/>
  <c r="BN79" i="16"/>
  <c r="BO79" i="16"/>
  <c r="BP79" i="16"/>
  <c r="BQ79" i="16"/>
  <c r="BR79" i="16"/>
  <c r="BS79" i="16"/>
  <c r="BT79" i="16"/>
  <c r="BU79" i="16"/>
  <c r="BV79" i="16"/>
  <c r="BW79" i="16"/>
  <c r="BX79" i="16"/>
  <c r="BY79" i="16"/>
  <c r="BZ79" i="16"/>
  <c r="CA79" i="16"/>
  <c r="CB79" i="16"/>
  <c r="CC79" i="16"/>
  <c r="CE79" i="16"/>
  <c r="CF79" i="16"/>
  <c r="CG79" i="16"/>
  <c r="CH79" i="16"/>
  <c r="CI79" i="16"/>
  <c r="CJ79" i="16"/>
  <c r="CK79" i="16"/>
  <c r="CL79" i="16"/>
  <c r="CM79" i="16"/>
  <c r="CN79" i="16"/>
  <c r="CO79" i="16"/>
  <c r="CP79" i="16"/>
  <c r="CQ79" i="16"/>
  <c r="CR79" i="16"/>
  <c r="CS79" i="16"/>
  <c r="CT79" i="16"/>
  <c r="CU79" i="16"/>
  <c r="CV79" i="16"/>
  <c r="CW79" i="16"/>
  <c r="CX79" i="16"/>
  <c r="CY79" i="16"/>
  <c r="CZ79" i="16"/>
  <c r="DA79" i="16"/>
  <c r="DB79" i="16"/>
  <c r="DH79" i="16"/>
  <c r="DI79" i="16"/>
  <c r="DJ79" i="16"/>
  <c r="H80" i="16"/>
  <c r="I80" i="16"/>
  <c r="J80" i="16"/>
  <c r="K80" i="16"/>
  <c r="L80" i="16"/>
  <c r="M80" i="16"/>
  <c r="N80" i="16"/>
  <c r="O80" i="16"/>
  <c r="P80" i="16"/>
  <c r="Q80" i="16"/>
  <c r="R80" i="16"/>
  <c r="S80" i="16"/>
  <c r="T80" i="16"/>
  <c r="U80" i="16"/>
  <c r="V80" i="16"/>
  <c r="W80" i="16"/>
  <c r="X80" i="16"/>
  <c r="Y80" i="16"/>
  <c r="Z80" i="16"/>
  <c r="AA80" i="16"/>
  <c r="AB80" i="16"/>
  <c r="AC80" i="16"/>
  <c r="AD80" i="16"/>
  <c r="AE80" i="16"/>
  <c r="AG80" i="16"/>
  <c r="AH80" i="16"/>
  <c r="AI80" i="16"/>
  <c r="AJ80" i="16"/>
  <c r="AK80" i="16"/>
  <c r="AL80" i="16"/>
  <c r="AM80" i="16"/>
  <c r="AN80" i="16"/>
  <c r="AO80" i="16"/>
  <c r="AP80" i="16"/>
  <c r="AQ80" i="16"/>
  <c r="AR80" i="16"/>
  <c r="AS80" i="16"/>
  <c r="AT80" i="16"/>
  <c r="AU80" i="16"/>
  <c r="AV80" i="16"/>
  <c r="AW80" i="16"/>
  <c r="AX80" i="16"/>
  <c r="AY80" i="16"/>
  <c r="AZ80" i="16"/>
  <c r="BA80" i="16"/>
  <c r="BB80" i="16"/>
  <c r="BC80" i="16"/>
  <c r="BD80" i="16"/>
  <c r="BF80" i="16"/>
  <c r="BG80" i="16"/>
  <c r="BH80" i="16"/>
  <c r="BI80" i="16"/>
  <c r="BJ80" i="16"/>
  <c r="BK80" i="16"/>
  <c r="BL80" i="16"/>
  <c r="BM80" i="16"/>
  <c r="BN80" i="16"/>
  <c r="BO80" i="16"/>
  <c r="BP80" i="16"/>
  <c r="BQ80" i="16"/>
  <c r="BR80" i="16"/>
  <c r="BS80" i="16"/>
  <c r="BT80" i="16"/>
  <c r="BU80" i="16"/>
  <c r="BV80" i="16"/>
  <c r="BW80" i="16"/>
  <c r="BX80" i="16"/>
  <c r="BY80" i="16"/>
  <c r="BZ80" i="16"/>
  <c r="CA80" i="16"/>
  <c r="CB80" i="16"/>
  <c r="CC80" i="16"/>
  <c r="CE80" i="16"/>
  <c r="CF80" i="16"/>
  <c r="CG80" i="16"/>
  <c r="CH80" i="16"/>
  <c r="CI80" i="16"/>
  <c r="CJ80" i="16"/>
  <c r="CK80" i="16"/>
  <c r="CL80" i="16"/>
  <c r="CM80" i="16"/>
  <c r="CN80" i="16"/>
  <c r="CO80" i="16"/>
  <c r="CP80" i="16"/>
  <c r="CQ80" i="16"/>
  <c r="CR80" i="16"/>
  <c r="CS80" i="16"/>
  <c r="CT80" i="16"/>
  <c r="CU80" i="16"/>
  <c r="CV80" i="16"/>
  <c r="CW80" i="16"/>
  <c r="CX80" i="16"/>
  <c r="CY80" i="16"/>
  <c r="CZ80" i="16"/>
  <c r="DA80" i="16"/>
  <c r="DB80" i="16"/>
  <c r="DH80" i="16"/>
  <c r="DI80" i="16"/>
  <c r="DJ80" i="16"/>
  <c r="H81" i="16"/>
  <c r="I81" i="16"/>
  <c r="J81" i="16"/>
  <c r="K81" i="16"/>
  <c r="L81" i="16"/>
  <c r="M81" i="16"/>
  <c r="N81" i="16"/>
  <c r="O81" i="16"/>
  <c r="P81" i="16"/>
  <c r="Q81" i="16"/>
  <c r="R81" i="16"/>
  <c r="S81" i="16"/>
  <c r="T81" i="16"/>
  <c r="U81" i="16"/>
  <c r="V81" i="16"/>
  <c r="W81" i="16"/>
  <c r="X81" i="16"/>
  <c r="Y81" i="16"/>
  <c r="Z81" i="16"/>
  <c r="AA81" i="16"/>
  <c r="AB81" i="16"/>
  <c r="AC81" i="16"/>
  <c r="AD81" i="16"/>
  <c r="AE81" i="16"/>
  <c r="AG81" i="16"/>
  <c r="AH81" i="16"/>
  <c r="AI81" i="16"/>
  <c r="AJ81" i="16"/>
  <c r="AK81" i="16"/>
  <c r="AL81" i="16"/>
  <c r="AM81" i="16"/>
  <c r="AN81" i="16"/>
  <c r="AO81" i="16"/>
  <c r="AP81" i="16"/>
  <c r="AQ81" i="16"/>
  <c r="AR81" i="16"/>
  <c r="AS81" i="16"/>
  <c r="AT81" i="16"/>
  <c r="AU81" i="16"/>
  <c r="AV81" i="16"/>
  <c r="AW81" i="16"/>
  <c r="AX81" i="16"/>
  <c r="AY81" i="16"/>
  <c r="AZ81" i="16"/>
  <c r="BA81" i="16"/>
  <c r="BB81" i="16"/>
  <c r="BC81" i="16"/>
  <c r="BD81" i="16"/>
  <c r="BF81" i="16"/>
  <c r="BG81" i="16"/>
  <c r="BH81" i="16"/>
  <c r="BI81" i="16"/>
  <c r="BJ81" i="16"/>
  <c r="BK81" i="16"/>
  <c r="BL81" i="16"/>
  <c r="BM81" i="16"/>
  <c r="BN81" i="16"/>
  <c r="BO81" i="16"/>
  <c r="BP81" i="16"/>
  <c r="BQ81" i="16"/>
  <c r="BR81" i="16"/>
  <c r="BS81" i="16"/>
  <c r="BT81" i="16"/>
  <c r="BU81" i="16"/>
  <c r="BV81" i="16"/>
  <c r="BW81" i="16"/>
  <c r="BX81" i="16"/>
  <c r="BY81" i="16"/>
  <c r="BZ81" i="16"/>
  <c r="CA81" i="16"/>
  <c r="CB81" i="16"/>
  <c r="CC81" i="16"/>
  <c r="CE81" i="16"/>
  <c r="CF81" i="16"/>
  <c r="CG81" i="16"/>
  <c r="CH81" i="16"/>
  <c r="CI81" i="16"/>
  <c r="CJ81" i="16"/>
  <c r="CK81" i="16"/>
  <c r="CL81" i="16"/>
  <c r="CM81" i="16"/>
  <c r="CN81" i="16"/>
  <c r="CO81" i="16"/>
  <c r="CP81" i="16"/>
  <c r="CQ81" i="16"/>
  <c r="CR81" i="16"/>
  <c r="CS81" i="16"/>
  <c r="CT81" i="16"/>
  <c r="CU81" i="16"/>
  <c r="CV81" i="16"/>
  <c r="CW81" i="16"/>
  <c r="CX81" i="16"/>
  <c r="CY81" i="16"/>
  <c r="CZ81" i="16"/>
  <c r="DA81" i="16"/>
  <c r="DB81" i="16"/>
  <c r="DH81" i="16"/>
  <c r="DI81" i="16"/>
  <c r="DJ81" i="16"/>
  <c r="H82" i="16"/>
  <c r="I82" i="16"/>
  <c r="J82" i="16"/>
  <c r="K82" i="16"/>
  <c r="L82" i="16"/>
  <c r="M82" i="16"/>
  <c r="N82" i="16"/>
  <c r="O82" i="16"/>
  <c r="P82" i="16"/>
  <c r="Q82" i="16"/>
  <c r="R82" i="16"/>
  <c r="S82" i="16"/>
  <c r="T82" i="16"/>
  <c r="U82" i="16"/>
  <c r="V82" i="16"/>
  <c r="W82" i="16"/>
  <c r="X82" i="16"/>
  <c r="Y82" i="16"/>
  <c r="Z82" i="16"/>
  <c r="AA82" i="16"/>
  <c r="AB82" i="16"/>
  <c r="AC82" i="16"/>
  <c r="AD82" i="16"/>
  <c r="AE82" i="16"/>
  <c r="AG82" i="16"/>
  <c r="AH82" i="16"/>
  <c r="AI82" i="16"/>
  <c r="AJ82" i="16"/>
  <c r="AK82" i="16"/>
  <c r="AL82" i="16"/>
  <c r="AM82" i="16"/>
  <c r="AN82" i="16"/>
  <c r="AO82" i="16"/>
  <c r="AP82" i="16"/>
  <c r="AQ82" i="16"/>
  <c r="AR82" i="16"/>
  <c r="AS82" i="16"/>
  <c r="AT82" i="16"/>
  <c r="AU82" i="16"/>
  <c r="AV82" i="16"/>
  <c r="AW82" i="16"/>
  <c r="AX82" i="16"/>
  <c r="AY82" i="16"/>
  <c r="AZ82" i="16"/>
  <c r="BA82" i="16"/>
  <c r="BB82" i="16"/>
  <c r="BC82" i="16"/>
  <c r="BD82" i="16"/>
  <c r="BF82" i="16"/>
  <c r="BG82" i="16"/>
  <c r="BH82" i="16"/>
  <c r="BI82" i="16"/>
  <c r="BJ82" i="16"/>
  <c r="BK82" i="16"/>
  <c r="BL82" i="16"/>
  <c r="BM82" i="16"/>
  <c r="BN82" i="16"/>
  <c r="BO82" i="16"/>
  <c r="BP82" i="16"/>
  <c r="BQ82" i="16"/>
  <c r="BR82" i="16"/>
  <c r="BS82" i="16"/>
  <c r="BT82" i="16"/>
  <c r="BU82" i="16"/>
  <c r="BV82" i="16"/>
  <c r="BW82" i="16"/>
  <c r="BX82" i="16"/>
  <c r="BY82" i="16"/>
  <c r="BZ82" i="16"/>
  <c r="CA82" i="16"/>
  <c r="CB82" i="16"/>
  <c r="CC82" i="16"/>
  <c r="CE82" i="16"/>
  <c r="CF82" i="16"/>
  <c r="CG82" i="16"/>
  <c r="CH82" i="16"/>
  <c r="CI82" i="16"/>
  <c r="CJ82" i="16"/>
  <c r="CK82" i="16"/>
  <c r="CL82" i="16"/>
  <c r="CM82" i="16"/>
  <c r="CN82" i="16"/>
  <c r="CO82" i="16"/>
  <c r="CP82" i="16"/>
  <c r="CQ82" i="16"/>
  <c r="CR82" i="16"/>
  <c r="CS82" i="16"/>
  <c r="CT82" i="16"/>
  <c r="CU82" i="16"/>
  <c r="CV82" i="16"/>
  <c r="CW82" i="16"/>
  <c r="CX82" i="16"/>
  <c r="CY82" i="16"/>
  <c r="CZ82" i="16"/>
  <c r="DA82" i="16"/>
  <c r="DB82" i="16"/>
  <c r="DH82" i="16"/>
  <c r="DI82" i="16"/>
  <c r="DJ82" i="16"/>
  <c r="H83" i="16"/>
  <c r="I83" i="16"/>
  <c r="J83" i="16"/>
  <c r="K83" i="16"/>
  <c r="L83" i="16"/>
  <c r="M83" i="16"/>
  <c r="N83" i="16"/>
  <c r="O83" i="16"/>
  <c r="P83" i="16"/>
  <c r="Q83" i="16"/>
  <c r="R83" i="16"/>
  <c r="S83" i="16"/>
  <c r="T83" i="16"/>
  <c r="U83" i="16"/>
  <c r="V83" i="16"/>
  <c r="W83" i="16"/>
  <c r="X83" i="16"/>
  <c r="Y83" i="16"/>
  <c r="Z83" i="16"/>
  <c r="AA83" i="16"/>
  <c r="AB83" i="16"/>
  <c r="AC83" i="16"/>
  <c r="AD83" i="16"/>
  <c r="AE83" i="16"/>
  <c r="AG83" i="16"/>
  <c r="AH83" i="16"/>
  <c r="AI83" i="16"/>
  <c r="AJ83" i="16"/>
  <c r="AK83" i="16"/>
  <c r="AL83" i="16"/>
  <c r="AM83" i="16"/>
  <c r="AN83" i="16"/>
  <c r="AO83" i="16"/>
  <c r="AP83" i="16"/>
  <c r="AQ83" i="16"/>
  <c r="AR83" i="16"/>
  <c r="AS83" i="16"/>
  <c r="AT83" i="16"/>
  <c r="AU83" i="16"/>
  <c r="AV83" i="16"/>
  <c r="AW83" i="16"/>
  <c r="AX83" i="16"/>
  <c r="AY83" i="16"/>
  <c r="AZ83" i="16"/>
  <c r="BA83" i="16"/>
  <c r="BB83" i="16"/>
  <c r="BC83" i="16"/>
  <c r="BD83" i="16"/>
  <c r="BF83" i="16"/>
  <c r="BG83" i="16"/>
  <c r="BH83" i="16"/>
  <c r="BI83" i="16"/>
  <c r="BJ83" i="16"/>
  <c r="BK83" i="16"/>
  <c r="BL83" i="16"/>
  <c r="BM83" i="16"/>
  <c r="BN83" i="16"/>
  <c r="BO83" i="16"/>
  <c r="BP83" i="16"/>
  <c r="BQ83" i="16"/>
  <c r="BR83" i="16"/>
  <c r="BS83" i="16"/>
  <c r="BT83" i="16"/>
  <c r="BU83" i="16"/>
  <c r="BV83" i="16"/>
  <c r="BW83" i="16"/>
  <c r="BX83" i="16"/>
  <c r="BY83" i="16"/>
  <c r="BZ83" i="16"/>
  <c r="CA83" i="16"/>
  <c r="CB83" i="16"/>
  <c r="CC83" i="16"/>
  <c r="CE83" i="16"/>
  <c r="CF83" i="16"/>
  <c r="CG83" i="16"/>
  <c r="CH83" i="16"/>
  <c r="CI83" i="16"/>
  <c r="CJ83" i="16"/>
  <c r="CK83" i="16"/>
  <c r="CL83" i="16"/>
  <c r="CM83" i="16"/>
  <c r="CN83" i="16"/>
  <c r="CO83" i="16"/>
  <c r="CP83" i="16"/>
  <c r="CQ83" i="16"/>
  <c r="CR83" i="16"/>
  <c r="CS83" i="16"/>
  <c r="CT83" i="16"/>
  <c r="CU83" i="16"/>
  <c r="CV83" i="16"/>
  <c r="CW83" i="16"/>
  <c r="CX83" i="16"/>
  <c r="CY83" i="16"/>
  <c r="CZ83" i="16"/>
  <c r="DA83" i="16"/>
  <c r="DB83" i="16"/>
  <c r="DH83" i="16"/>
  <c r="DI83" i="16"/>
  <c r="DJ83" i="16"/>
  <c r="H84" i="16"/>
  <c r="I84" i="16"/>
  <c r="J84" i="16"/>
  <c r="K84" i="16"/>
  <c r="L84" i="16"/>
  <c r="M84" i="16"/>
  <c r="N84" i="16"/>
  <c r="O84" i="16"/>
  <c r="P84" i="16"/>
  <c r="Q84" i="16"/>
  <c r="R84" i="16"/>
  <c r="S84" i="16"/>
  <c r="T84" i="16"/>
  <c r="U84" i="16"/>
  <c r="V84" i="16"/>
  <c r="W84" i="16"/>
  <c r="X84" i="16"/>
  <c r="Y84" i="16"/>
  <c r="Z84" i="16"/>
  <c r="AA84" i="16"/>
  <c r="AB84" i="16"/>
  <c r="AC84" i="16"/>
  <c r="AD84" i="16"/>
  <c r="AE84" i="16"/>
  <c r="AG84" i="16"/>
  <c r="AH84" i="16"/>
  <c r="AI84" i="16"/>
  <c r="AJ84" i="16"/>
  <c r="AK84" i="16"/>
  <c r="AL84" i="16"/>
  <c r="AM84" i="16"/>
  <c r="AN84" i="16"/>
  <c r="AO84" i="16"/>
  <c r="AP84" i="16"/>
  <c r="AQ84" i="16"/>
  <c r="AR84" i="16"/>
  <c r="AS84" i="16"/>
  <c r="AT84" i="16"/>
  <c r="AU84" i="16"/>
  <c r="AV84" i="16"/>
  <c r="AW84" i="16"/>
  <c r="AX84" i="16"/>
  <c r="AY84" i="16"/>
  <c r="AZ84" i="16"/>
  <c r="BA84" i="16"/>
  <c r="BB84" i="16"/>
  <c r="BC84" i="16"/>
  <c r="BD84" i="16"/>
  <c r="BF84" i="16"/>
  <c r="BG84" i="16"/>
  <c r="BH84" i="16"/>
  <c r="BI84" i="16"/>
  <c r="BJ84" i="16"/>
  <c r="BK84" i="16"/>
  <c r="BL84" i="16"/>
  <c r="BM84" i="16"/>
  <c r="BN84" i="16"/>
  <c r="BO84" i="16"/>
  <c r="BP84" i="16"/>
  <c r="BQ84" i="16"/>
  <c r="BR84" i="16"/>
  <c r="BS84" i="16"/>
  <c r="BT84" i="16"/>
  <c r="BU84" i="16"/>
  <c r="BV84" i="16"/>
  <c r="BW84" i="16"/>
  <c r="BX84" i="16"/>
  <c r="BY84" i="16"/>
  <c r="BZ84" i="16"/>
  <c r="CA84" i="16"/>
  <c r="CB84" i="16"/>
  <c r="CC84" i="16"/>
  <c r="CE84" i="16"/>
  <c r="CF84" i="16"/>
  <c r="CG84" i="16"/>
  <c r="CH84" i="16"/>
  <c r="CI84" i="16"/>
  <c r="CJ84" i="16"/>
  <c r="CK84" i="16"/>
  <c r="CL84" i="16"/>
  <c r="CM84" i="16"/>
  <c r="CN84" i="16"/>
  <c r="CO84" i="16"/>
  <c r="CP84" i="16"/>
  <c r="CQ84" i="16"/>
  <c r="CR84" i="16"/>
  <c r="CS84" i="16"/>
  <c r="CT84" i="16"/>
  <c r="CU84" i="16"/>
  <c r="CV84" i="16"/>
  <c r="CW84" i="16"/>
  <c r="CX84" i="16"/>
  <c r="CY84" i="16"/>
  <c r="CZ84" i="16"/>
  <c r="DA84" i="16"/>
  <c r="DB84" i="16"/>
  <c r="DH84" i="16"/>
  <c r="DI84" i="16"/>
  <c r="DJ84" i="16"/>
  <c r="H85" i="16"/>
  <c r="I85" i="16"/>
  <c r="J85" i="16"/>
  <c r="K85" i="16"/>
  <c r="L85" i="16"/>
  <c r="M85" i="16"/>
  <c r="N85" i="16"/>
  <c r="O85" i="16"/>
  <c r="P85" i="16"/>
  <c r="Q85" i="16"/>
  <c r="R85" i="16"/>
  <c r="S85" i="16"/>
  <c r="T85" i="16"/>
  <c r="U85" i="16"/>
  <c r="V85" i="16"/>
  <c r="W85" i="16"/>
  <c r="X85" i="16"/>
  <c r="Y85" i="16"/>
  <c r="Z85" i="16"/>
  <c r="AA85" i="16"/>
  <c r="AB85" i="16"/>
  <c r="AC85" i="16"/>
  <c r="AD85" i="16"/>
  <c r="AE85" i="16"/>
  <c r="AG85" i="16"/>
  <c r="AH85" i="16"/>
  <c r="AI85" i="16"/>
  <c r="AJ85" i="16"/>
  <c r="AK85" i="16"/>
  <c r="AL85" i="16"/>
  <c r="AM85" i="16"/>
  <c r="AN85" i="16"/>
  <c r="AO85" i="16"/>
  <c r="AP85" i="16"/>
  <c r="AQ85" i="16"/>
  <c r="AR85" i="16"/>
  <c r="AS85" i="16"/>
  <c r="AT85" i="16"/>
  <c r="AU85" i="16"/>
  <c r="AV85" i="16"/>
  <c r="AW85" i="16"/>
  <c r="AX85" i="16"/>
  <c r="AY85" i="16"/>
  <c r="AZ85" i="16"/>
  <c r="BA85" i="16"/>
  <c r="BB85" i="16"/>
  <c r="BC85" i="16"/>
  <c r="BD85" i="16"/>
  <c r="BF85" i="16"/>
  <c r="BG85" i="16"/>
  <c r="BH85" i="16"/>
  <c r="BI85" i="16"/>
  <c r="BJ85" i="16"/>
  <c r="BK85" i="16"/>
  <c r="BL85" i="16"/>
  <c r="BM85" i="16"/>
  <c r="BN85" i="16"/>
  <c r="BO85" i="16"/>
  <c r="BP85" i="16"/>
  <c r="BQ85" i="16"/>
  <c r="BR85" i="16"/>
  <c r="BS85" i="16"/>
  <c r="BT85" i="16"/>
  <c r="BU85" i="16"/>
  <c r="BV85" i="16"/>
  <c r="BW85" i="16"/>
  <c r="BX85" i="16"/>
  <c r="BY85" i="16"/>
  <c r="BZ85" i="16"/>
  <c r="CA85" i="16"/>
  <c r="CB85" i="16"/>
  <c r="CC85" i="16"/>
  <c r="CE85" i="16"/>
  <c r="CF85" i="16"/>
  <c r="CG85" i="16"/>
  <c r="CH85" i="16"/>
  <c r="CI85" i="16"/>
  <c r="CJ85" i="16"/>
  <c r="CK85" i="16"/>
  <c r="CL85" i="16"/>
  <c r="CM85" i="16"/>
  <c r="CN85" i="16"/>
  <c r="CO85" i="16"/>
  <c r="CP85" i="16"/>
  <c r="CQ85" i="16"/>
  <c r="CR85" i="16"/>
  <c r="CS85" i="16"/>
  <c r="CT85" i="16"/>
  <c r="CU85" i="16"/>
  <c r="CV85" i="16"/>
  <c r="CW85" i="16"/>
  <c r="CX85" i="16"/>
  <c r="CY85" i="16"/>
  <c r="CZ85" i="16"/>
  <c r="DA85" i="16"/>
  <c r="DB85" i="16"/>
  <c r="DH85" i="16"/>
  <c r="DI85" i="16"/>
  <c r="DJ85" i="16"/>
  <c r="H86" i="16"/>
  <c r="I86" i="16"/>
  <c r="J86" i="16"/>
  <c r="K86" i="16"/>
  <c r="L86" i="16"/>
  <c r="M86" i="16"/>
  <c r="N86" i="16"/>
  <c r="O86" i="16"/>
  <c r="P86" i="16"/>
  <c r="Q86" i="16"/>
  <c r="R86" i="16"/>
  <c r="S86" i="16"/>
  <c r="T86" i="16"/>
  <c r="U86" i="16"/>
  <c r="V86" i="16"/>
  <c r="W86" i="16"/>
  <c r="X86" i="16"/>
  <c r="Y86" i="16"/>
  <c r="Z86" i="16"/>
  <c r="AA86" i="16"/>
  <c r="AB86" i="16"/>
  <c r="AC86" i="16"/>
  <c r="AD86" i="16"/>
  <c r="AE86" i="16"/>
  <c r="AG86" i="16"/>
  <c r="AH86" i="16"/>
  <c r="AI86" i="16"/>
  <c r="AJ86" i="16"/>
  <c r="AK86" i="16"/>
  <c r="AL86" i="16"/>
  <c r="AM86" i="16"/>
  <c r="AN86" i="16"/>
  <c r="AO86" i="16"/>
  <c r="AP86" i="16"/>
  <c r="AQ86" i="16"/>
  <c r="AR86" i="16"/>
  <c r="AS86" i="16"/>
  <c r="AT86" i="16"/>
  <c r="AU86" i="16"/>
  <c r="AV86" i="16"/>
  <c r="AW86" i="16"/>
  <c r="AX86" i="16"/>
  <c r="AY86" i="16"/>
  <c r="AZ86" i="16"/>
  <c r="BA86" i="16"/>
  <c r="BB86" i="16"/>
  <c r="BC86" i="16"/>
  <c r="BD86" i="16"/>
  <c r="BF86" i="16"/>
  <c r="BG86" i="16"/>
  <c r="BH86" i="16"/>
  <c r="BI86" i="16"/>
  <c r="BJ86" i="16"/>
  <c r="BK86" i="16"/>
  <c r="BL86" i="16"/>
  <c r="BM86" i="16"/>
  <c r="BN86" i="16"/>
  <c r="BO86" i="16"/>
  <c r="BP86" i="16"/>
  <c r="BQ86" i="16"/>
  <c r="BR86" i="16"/>
  <c r="BS86" i="16"/>
  <c r="BT86" i="16"/>
  <c r="BU86" i="16"/>
  <c r="BV86" i="16"/>
  <c r="BW86" i="16"/>
  <c r="BX86" i="16"/>
  <c r="BY86" i="16"/>
  <c r="BZ86" i="16"/>
  <c r="CA86" i="16"/>
  <c r="CB86" i="16"/>
  <c r="CC86" i="16"/>
  <c r="CE86" i="16"/>
  <c r="CF86" i="16"/>
  <c r="CG86" i="16"/>
  <c r="CH86" i="16"/>
  <c r="CI86" i="16"/>
  <c r="CJ86" i="16"/>
  <c r="CK86" i="16"/>
  <c r="CL86" i="16"/>
  <c r="CM86" i="16"/>
  <c r="CN86" i="16"/>
  <c r="CO86" i="16"/>
  <c r="CP86" i="16"/>
  <c r="CQ86" i="16"/>
  <c r="CR86" i="16"/>
  <c r="CS86" i="16"/>
  <c r="CT86" i="16"/>
  <c r="CU86" i="16"/>
  <c r="CV86" i="16"/>
  <c r="CW86" i="16"/>
  <c r="CX86" i="16"/>
  <c r="CY86" i="16"/>
  <c r="CZ86" i="16"/>
  <c r="DA86" i="16"/>
  <c r="DB86" i="16"/>
  <c r="DH86" i="16"/>
  <c r="DI86" i="16"/>
  <c r="DJ86" i="16"/>
  <c r="H87" i="16"/>
  <c r="I87" i="16"/>
  <c r="J87" i="16"/>
  <c r="K87" i="16"/>
  <c r="L87" i="16"/>
  <c r="M87" i="16"/>
  <c r="N87" i="16"/>
  <c r="O87" i="16"/>
  <c r="P87" i="16"/>
  <c r="Q87" i="16"/>
  <c r="R87" i="16"/>
  <c r="S87" i="16"/>
  <c r="T87" i="16"/>
  <c r="U87" i="16"/>
  <c r="V87" i="16"/>
  <c r="W87" i="16"/>
  <c r="X87" i="16"/>
  <c r="Y87" i="16"/>
  <c r="Z87" i="16"/>
  <c r="AA87" i="16"/>
  <c r="AB87" i="16"/>
  <c r="AC87" i="16"/>
  <c r="AD87" i="16"/>
  <c r="AE87" i="16"/>
  <c r="AG87" i="16"/>
  <c r="AH87" i="16"/>
  <c r="AI87" i="16"/>
  <c r="AJ87" i="16"/>
  <c r="AK87" i="16"/>
  <c r="AL87" i="16"/>
  <c r="AM87" i="16"/>
  <c r="AN87" i="16"/>
  <c r="AO87" i="16"/>
  <c r="AP87" i="16"/>
  <c r="AQ87" i="16"/>
  <c r="AR87" i="16"/>
  <c r="AS87" i="16"/>
  <c r="AT87" i="16"/>
  <c r="AU87" i="16"/>
  <c r="AV87" i="16"/>
  <c r="AW87" i="16"/>
  <c r="AX87" i="16"/>
  <c r="AY87" i="16"/>
  <c r="AZ87" i="16"/>
  <c r="BA87" i="16"/>
  <c r="BB87" i="16"/>
  <c r="BC87" i="16"/>
  <c r="BD87" i="16"/>
  <c r="BF87" i="16"/>
  <c r="BG87" i="16"/>
  <c r="BH87" i="16"/>
  <c r="BI87" i="16"/>
  <c r="BJ87" i="16"/>
  <c r="BK87" i="16"/>
  <c r="BL87" i="16"/>
  <c r="BM87" i="16"/>
  <c r="BN87" i="16"/>
  <c r="BO87" i="16"/>
  <c r="BP87" i="16"/>
  <c r="BQ87" i="16"/>
  <c r="BR87" i="16"/>
  <c r="BS87" i="16"/>
  <c r="BT87" i="16"/>
  <c r="BU87" i="16"/>
  <c r="BV87" i="16"/>
  <c r="BW87" i="16"/>
  <c r="BX87" i="16"/>
  <c r="BY87" i="16"/>
  <c r="BZ87" i="16"/>
  <c r="CA87" i="16"/>
  <c r="CB87" i="16"/>
  <c r="CC87" i="16"/>
  <c r="CE87" i="16"/>
  <c r="CF87" i="16"/>
  <c r="CG87" i="16"/>
  <c r="CH87" i="16"/>
  <c r="CI87" i="16"/>
  <c r="CJ87" i="16"/>
  <c r="CK87" i="16"/>
  <c r="CL87" i="16"/>
  <c r="CM87" i="16"/>
  <c r="CN87" i="16"/>
  <c r="CO87" i="16"/>
  <c r="CP87" i="16"/>
  <c r="CQ87" i="16"/>
  <c r="CR87" i="16"/>
  <c r="CS87" i="16"/>
  <c r="CT87" i="16"/>
  <c r="CU87" i="16"/>
  <c r="CV87" i="16"/>
  <c r="CW87" i="16"/>
  <c r="CX87" i="16"/>
  <c r="CY87" i="16"/>
  <c r="CZ87" i="16"/>
  <c r="DA87" i="16"/>
  <c r="DB87" i="16"/>
  <c r="DH87" i="16"/>
  <c r="DI87" i="16"/>
  <c r="DJ87" i="16"/>
  <c r="H88" i="16"/>
  <c r="I88" i="16"/>
  <c r="J88" i="16"/>
  <c r="K88" i="16"/>
  <c r="L88" i="16"/>
  <c r="M88" i="16"/>
  <c r="N88" i="16"/>
  <c r="O88" i="16"/>
  <c r="P88" i="16"/>
  <c r="Q88" i="16"/>
  <c r="R88" i="16"/>
  <c r="S88" i="16"/>
  <c r="T88" i="16"/>
  <c r="U88" i="16"/>
  <c r="V88" i="16"/>
  <c r="W88" i="16"/>
  <c r="X88" i="16"/>
  <c r="Y88" i="16"/>
  <c r="Z88" i="16"/>
  <c r="AA88" i="16"/>
  <c r="AB88" i="16"/>
  <c r="AC88" i="16"/>
  <c r="AD88" i="16"/>
  <c r="AE88" i="16"/>
  <c r="AG88" i="16"/>
  <c r="AH88" i="16"/>
  <c r="AI88" i="16"/>
  <c r="AJ88" i="16"/>
  <c r="AK88" i="16"/>
  <c r="AL88" i="16"/>
  <c r="AM88" i="16"/>
  <c r="AN88" i="16"/>
  <c r="AO88" i="16"/>
  <c r="AP88" i="16"/>
  <c r="AQ88" i="16"/>
  <c r="AR88" i="16"/>
  <c r="AS88" i="16"/>
  <c r="AT88" i="16"/>
  <c r="AU88" i="16"/>
  <c r="AV88" i="16"/>
  <c r="AW88" i="16"/>
  <c r="AX88" i="16"/>
  <c r="AY88" i="16"/>
  <c r="AZ88" i="16"/>
  <c r="BA88" i="16"/>
  <c r="BB88" i="16"/>
  <c r="BC88" i="16"/>
  <c r="BD88" i="16"/>
  <c r="BF88" i="16"/>
  <c r="BG88" i="16"/>
  <c r="BH88" i="16"/>
  <c r="BI88" i="16"/>
  <c r="BJ88" i="16"/>
  <c r="BK88" i="16"/>
  <c r="BL88" i="16"/>
  <c r="BM88" i="16"/>
  <c r="BN88" i="16"/>
  <c r="BO88" i="16"/>
  <c r="BP88" i="16"/>
  <c r="BQ88" i="16"/>
  <c r="BR88" i="16"/>
  <c r="BS88" i="16"/>
  <c r="BT88" i="16"/>
  <c r="BU88" i="16"/>
  <c r="BV88" i="16"/>
  <c r="BW88" i="16"/>
  <c r="BX88" i="16"/>
  <c r="BY88" i="16"/>
  <c r="BZ88" i="16"/>
  <c r="CA88" i="16"/>
  <c r="CB88" i="16"/>
  <c r="CC88" i="16"/>
  <c r="CE88" i="16"/>
  <c r="CF88" i="16"/>
  <c r="CG88" i="16"/>
  <c r="CH88" i="16"/>
  <c r="CI88" i="16"/>
  <c r="CJ88" i="16"/>
  <c r="CK88" i="16"/>
  <c r="CL88" i="16"/>
  <c r="CM88" i="16"/>
  <c r="CN88" i="16"/>
  <c r="CO88" i="16"/>
  <c r="CP88" i="16"/>
  <c r="CQ88" i="16"/>
  <c r="CR88" i="16"/>
  <c r="CS88" i="16"/>
  <c r="CT88" i="16"/>
  <c r="CU88" i="16"/>
  <c r="CV88" i="16"/>
  <c r="CW88" i="16"/>
  <c r="CX88" i="16"/>
  <c r="CY88" i="16"/>
  <c r="CZ88" i="16"/>
  <c r="DA88" i="16"/>
  <c r="DB88" i="16"/>
  <c r="DH88" i="16"/>
  <c r="DI88" i="16"/>
  <c r="DJ88" i="16"/>
  <c r="H89" i="16"/>
  <c r="I89" i="16"/>
  <c r="J89" i="16"/>
  <c r="K89" i="16"/>
  <c r="L89" i="16"/>
  <c r="M89" i="16"/>
  <c r="N89" i="16"/>
  <c r="O89" i="16"/>
  <c r="P89" i="16"/>
  <c r="Q89" i="16"/>
  <c r="R89" i="16"/>
  <c r="S89" i="16"/>
  <c r="T89" i="16"/>
  <c r="U89" i="16"/>
  <c r="V89" i="16"/>
  <c r="W89" i="16"/>
  <c r="X89" i="16"/>
  <c r="Y89" i="16"/>
  <c r="Z89" i="16"/>
  <c r="AA89" i="16"/>
  <c r="AB89" i="16"/>
  <c r="AC89" i="16"/>
  <c r="AD89" i="16"/>
  <c r="AE89" i="16"/>
  <c r="AG89" i="16"/>
  <c r="AH89" i="16"/>
  <c r="AI89" i="16"/>
  <c r="AJ89" i="16"/>
  <c r="AK89" i="16"/>
  <c r="AL89" i="16"/>
  <c r="AM89" i="16"/>
  <c r="AN89" i="16"/>
  <c r="AO89" i="16"/>
  <c r="AP89" i="16"/>
  <c r="AQ89" i="16"/>
  <c r="AR89" i="16"/>
  <c r="AS89" i="16"/>
  <c r="AT89" i="16"/>
  <c r="AU89" i="16"/>
  <c r="AV89" i="16"/>
  <c r="AW89" i="16"/>
  <c r="AX89" i="16"/>
  <c r="AY89" i="16"/>
  <c r="AZ89" i="16"/>
  <c r="BA89" i="16"/>
  <c r="BB89" i="16"/>
  <c r="BC89" i="16"/>
  <c r="BD89" i="16"/>
  <c r="BF89" i="16"/>
  <c r="BG89" i="16"/>
  <c r="BH89" i="16"/>
  <c r="BI89" i="16"/>
  <c r="BJ89" i="16"/>
  <c r="BK89" i="16"/>
  <c r="BL89" i="16"/>
  <c r="BM89" i="16"/>
  <c r="BN89" i="16"/>
  <c r="BO89" i="16"/>
  <c r="BP89" i="16"/>
  <c r="BQ89" i="16"/>
  <c r="BR89" i="16"/>
  <c r="BS89" i="16"/>
  <c r="BT89" i="16"/>
  <c r="BU89" i="16"/>
  <c r="BV89" i="16"/>
  <c r="BW89" i="16"/>
  <c r="BX89" i="16"/>
  <c r="BY89" i="16"/>
  <c r="BZ89" i="16"/>
  <c r="CA89" i="16"/>
  <c r="CB89" i="16"/>
  <c r="CC89" i="16"/>
  <c r="CE89" i="16"/>
  <c r="CF89" i="16"/>
  <c r="CG89" i="16"/>
  <c r="CH89" i="16"/>
  <c r="CI89" i="16"/>
  <c r="CJ89" i="16"/>
  <c r="CK89" i="16"/>
  <c r="CL89" i="16"/>
  <c r="CM89" i="16"/>
  <c r="CN89" i="16"/>
  <c r="CO89" i="16"/>
  <c r="CP89" i="16"/>
  <c r="CQ89" i="16"/>
  <c r="CR89" i="16"/>
  <c r="CS89" i="16"/>
  <c r="CT89" i="16"/>
  <c r="CU89" i="16"/>
  <c r="CV89" i="16"/>
  <c r="CW89" i="16"/>
  <c r="CX89" i="16"/>
  <c r="CY89" i="16"/>
  <c r="CZ89" i="16"/>
  <c r="DA89" i="16"/>
  <c r="DB89" i="16"/>
  <c r="DH89" i="16"/>
  <c r="DI89" i="16"/>
  <c r="DJ89" i="16"/>
  <c r="H90" i="16"/>
  <c r="I90" i="16"/>
  <c r="J90" i="16"/>
  <c r="K90" i="16"/>
  <c r="L90" i="16"/>
  <c r="M90" i="16"/>
  <c r="N90" i="16"/>
  <c r="O90" i="16"/>
  <c r="P90" i="16"/>
  <c r="Q90" i="16"/>
  <c r="R90" i="16"/>
  <c r="S90" i="16"/>
  <c r="T90" i="16"/>
  <c r="U90" i="16"/>
  <c r="V90" i="16"/>
  <c r="W90" i="16"/>
  <c r="X90" i="16"/>
  <c r="Y90" i="16"/>
  <c r="Z90" i="16"/>
  <c r="AA90" i="16"/>
  <c r="AB90" i="16"/>
  <c r="AC90" i="16"/>
  <c r="AD90" i="16"/>
  <c r="AE90" i="16"/>
  <c r="AG90" i="16"/>
  <c r="AH90" i="16"/>
  <c r="AI90" i="16"/>
  <c r="AJ90" i="16"/>
  <c r="AK90" i="16"/>
  <c r="AL90" i="16"/>
  <c r="AM90" i="16"/>
  <c r="AN90" i="16"/>
  <c r="AO90" i="16"/>
  <c r="AP90" i="16"/>
  <c r="AQ90" i="16"/>
  <c r="AR90" i="16"/>
  <c r="AS90" i="16"/>
  <c r="AT90" i="16"/>
  <c r="AU90" i="16"/>
  <c r="AV90" i="16"/>
  <c r="AW90" i="16"/>
  <c r="AX90" i="16"/>
  <c r="AY90" i="16"/>
  <c r="AZ90" i="16"/>
  <c r="BA90" i="16"/>
  <c r="BB90" i="16"/>
  <c r="BC90" i="16"/>
  <c r="BD90" i="16"/>
  <c r="BF90" i="16"/>
  <c r="BG90" i="16"/>
  <c r="BH90" i="16"/>
  <c r="BI90" i="16"/>
  <c r="BJ90" i="16"/>
  <c r="BK90" i="16"/>
  <c r="BL90" i="16"/>
  <c r="BM90" i="16"/>
  <c r="BN90" i="16"/>
  <c r="BO90" i="16"/>
  <c r="BP90" i="16"/>
  <c r="BQ90" i="16"/>
  <c r="BR90" i="16"/>
  <c r="BS90" i="16"/>
  <c r="BT90" i="16"/>
  <c r="BU90" i="16"/>
  <c r="BV90" i="16"/>
  <c r="BW90" i="16"/>
  <c r="BX90" i="16"/>
  <c r="BY90" i="16"/>
  <c r="BZ90" i="16"/>
  <c r="CA90" i="16"/>
  <c r="CB90" i="16"/>
  <c r="CC90" i="16"/>
  <c r="CE90" i="16"/>
  <c r="CF90" i="16"/>
  <c r="CG90" i="16"/>
  <c r="CH90" i="16"/>
  <c r="CI90" i="16"/>
  <c r="CJ90" i="16"/>
  <c r="CK90" i="16"/>
  <c r="CL90" i="16"/>
  <c r="CM90" i="16"/>
  <c r="CN90" i="16"/>
  <c r="CO90" i="16"/>
  <c r="CP90" i="16"/>
  <c r="CQ90" i="16"/>
  <c r="CR90" i="16"/>
  <c r="CS90" i="16"/>
  <c r="CT90" i="16"/>
  <c r="CU90" i="16"/>
  <c r="CV90" i="16"/>
  <c r="CW90" i="16"/>
  <c r="CX90" i="16"/>
  <c r="CY90" i="16"/>
  <c r="CZ90" i="16"/>
  <c r="DA90" i="16"/>
  <c r="DB90" i="16"/>
  <c r="DH90" i="16"/>
  <c r="DI90" i="16"/>
  <c r="DJ90" i="16"/>
  <c r="H91" i="16"/>
  <c r="I91" i="16"/>
  <c r="J91" i="16"/>
  <c r="K91" i="16"/>
  <c r="L91" i="16"/>
  <c r="M91" i="16"/>
  <c r="N91" i="16"/>
  <c r="O91" i="16"/>
  <c r="P91" i="16"/>
  <c r="Q91" i="16"/>
  <c r="R91" i="16"/>
  <c r="S91" i="16"/>
  <c r="T91" i="16"/>
  <c r="U91" i="16"/>
  <c r="V91" i="16"/>
  <c r="W91" i="16"/>
  <c r="X91" i="16"/>
  <c r="Y91" i="16"/>
  <c r="Z91" i="16"/>
  <c r="AA91" i="16"/>
  <c r="AB91" i="16"/>
  <c r="AC91" i="16"/>
  <c r="AD91" i="16"/>
  <c r="AE91" i="16"/>
  <c r="AG91" i="16"/>
  <c r="AH91" i="16"/>
  <c r="AI91" i="16"/>
  <c r="AJ91" i="16"/>
  <c r="AK91" i="16"/>
  <c r="AL91" i="16"/>
  <c r="AM91" i="16"/>
  <c r="AN91" i="16"/>
  <c r="AO91" i="16"/>
  <c r="AP91" i="16"/>
  <c r="AQ91" i="16"/>
  <c r="AR91" i="16"/>
  <c r="AS91" i="16"/>
  <c r="AT91" i="16"/>
  <c r="AU91" i="16"/>
  <c r="AV91" i="16"/>
  <c r="AW91" i="16"/>
  <c r="AX91" i="16"/>
  <c r="AY91" i="16"/>
  <c r="AZ91" i="16"/>
  <c r="BA91" i="16"/>
  <c r="BB91" i="16"/>
  <c r="BC91" i="16"/>
  <c r="BD91" i="16"/>
  <c r="BF91" i="16"/>
  <c r="BG91" i="16"/>
  <c r="BH91" i="16"/>
  <c r="BI91" i="16"/>
  <c r="BJ91" i="16"/>
  <c r="BK91" i="16"/>
  <c r="BL91" i="16"/>
  <c r="BM91" i="16"/>
  <c r="BN91" i="16"/>
  <c r="BO91" i="16"/>
  <c r="BP91" i="16"/>
  <c r="BQ91" i="16"/>
  <c r="BR91" i="16"/>
  <c r="BS91" i="16"/>
  <c r="BT91" i="16"/>
  <c r="BU91" i="16"/>
  <c r="BV91" i="16"/>
  <c r="BW91" i="16"/>
  <c r="BX91" i="16"/>
  <c r="BY91" i="16"/>
  <c r="BZ91" i="16"/>
  <c r="CA91" i="16"/>
  <c r="CB91" i="16"/>
  <c r="CC91" i="16"/>
  <c r="CE91" i="16"/>
  <c r="CF91" i="16"/>
  <c r="CG91" i="16"/>
  <c r="CH91" i="16"/>
  <c r="CI91" i="16"/>
  <c r="CJ91" i="16"/>
  <c r="CK91" i="16"/>
  <c r="CL91" i="16"/>
  <c r="CM91" i="16"/>
  <c r="CN91" i="16"/>
  <c r="CO91" i="16"/>
  <c r="CP91" i="16"/>
  <c r="CQ91" i="16"/>
  <c r="CR91" i="16"/>
  <c r="CS91" i="16"/>
  <c r="CT91" i="16"/>
  <c r="CU91" i="16"/>
  <c r="CV91" i="16"/>
  <c r="CW91" i="16"/>
  <c r="CX91" i="16"/>
  <c r="CY91" i="16"/>
  <c r="CZ91" i="16"/>
  <c r="DA91" i="16"/>
  <c r="DB91" i="16"/>
  <c r="DH91" i="16"/>
  <c r="DI91" i="16"/>
  <c r="DJ91" i="16"/>
  <c r="H92" i="16"/>
  <c r="I92" i="16"/>
  <c r="J92" i="16"/>
  <c r="K92" i="16"/>
  <c r="L92" i="16"/>
  <c r="M92" i="16"/>
  <c r="N92" i="16"/>
  <c r="O92" i="16"/>
  <c r="P92" i="16"/>
  <c r="Q92" i="16"/>
  <c r="R92" i="16"/>
  <c r="S92" i="16"/>
  <c r="T92" i="16"/>
  <c r="U92" i="16"/>
  <c r="V92" i="16"/>
  <c r="W92" i="16"/>
  <c r="X92" i="16"/>
  <c r="Y92" i="16"/>
  <c r="Z92" i="16"/>
  <c r="AA92" i="16"/>
  <c r="AB92" i="16"/>
  <c r="AC92" i="16"/>
  <c r="AD92" i="16"/>
  <c r="AE92" i="16"/>
  <c r="AG92" i="16"/>
  <c r="AH92" i="16"/>
  <c r="AI92" i="16"/>
  <c r="AJ92" i="16"/>
  <c r="AK92" i="16"/>
  <c r="AL92" i="16"/>
  <c r="AM92" i="16"/>
  <c r="AN92" i="16"/>
  <c r="AO92" i="16"/>
  <c r="AP92" i="16"/>
  <c r="AQ92" i="16"/>
  <c r="AR92" i="16"/>
  <c r="AS92" i="16"/>
  <c r="AT92" i="16"/>
  <c r="AU92" i="16"/>
  <c r="AV92" i="16"/>
  <c r="AW92" i="16"/>
  <c r="AX92" i="16"/>
  <c r="AY92" i="16"/>
  <c r="AZ92" i="16"/>
  <c r="BA92" i="16"/>
  <c r="BB92" i="16"/>
  <c r="BC92" i="16"/>
  <c r="BD92" i="16"/>
  <c r="BF92" i="16"/>
  <c r="BG92" i="16"/>
  <c r="BH92" i="16"/>
  <c r="BI92" i="16"/>
  <c r="BJ92" i="16"/>
  <c r="BK92" i="16"/>
  <c r="BL92" i="16"/>
  <c r="BM92" i="16"/>
  <c r="BN92" i="16"/>
  <c r="BO92" i="16"/>
  <c r="BP92" i="16"/>
  <c r="BQ92" i="16"/>
  <c r="BR92" i="16"/>
  <c r="BS92" i="16"/>
  <c r="BT92" i="16"/>
  <c r="BU92" i="16"/>
  <c r="BV92" i="16"/>
  <c r="BW92" i="16"/>
  <c r="BX92" i="16"/>
  <c r="BY92" i="16"/>
  <c r="BZ92" i="16"/>
  <c r="CA92" i="16"/>
  <c r="CB92" i="16"/>
  <c r="CC92" i="16"/>
  <c r="CE92" i="16"/>
  <c r="CF92" i="16"/>
  <c r="CG92" i="16"/>
  <c r="CH92" i="16"/>
  <c r="CI92" i="16"/>
  <c r="CJ92" i="16"/>
  <c r="CK92" i="16"/>
  <c r="CL92" i="16"/>
  <c r="CM92" i="16"/>
  <c r="CN92" i="16"/>
  <c r="CO92" i="16"/>
  <c r="CP92" i="16"/>
  <c r="CQ92" i="16"/>
  <c r="CR92" i="16"/>
  <c r="CS92" i="16"/>
  <c r="CT92" i="16"/>
  <c r="CU92" i="16"/>
  <c r="CV92" i="16"/>
  <c r="CW92" i="16"/>
  <c r="CX92" i="16"/>
  <c r="CY92" i="16"/>
  <c r="CZ92" i="16"/>
  <c r="DA92" i="16"/>
  <c r="DB92" i="16"/>
  <c r="DH92" i="16"/>
  <c r="DI92" i="16"/>
  <c r="DJ92" i="16"/>
  <c r="H93" i="16"/>
  <c r="I93" i="16"/>
  <c r="J93" i="16"/>
  <c r="K93" i="16"/>
  <c r="L93" i="16"/>
  <c r="M93" i="16"/>
  <c r="N93" i="16"/>
  <c r="O93" i="16"/>
  <c r="P93" i="16"/>
  <c r="Q93" i="16"/>
  <c r="R93" i="16"/>
  <c r="S93" i="16"/>
  <c r="T93" i="16"/>
  <c r="U93" i="16"/>
  <c r="V93" i="16"/>
  <c r="W93" i="16"/>
  <c r="X93" i="16"/>
  <c r="Y93" i="16"/>
  <c r="Z93" i="16"/>
  <c r="AA93" i="16"/>
  <c r="AB93" i="16"/>
  <c r="AC93" i="16"/>
  <c r="AD93" i="16"/>
  <c r="AE93" i="16"/>
  <c r="AG93" i="16"/>
  <c r="AH93" i="16"/>
  <c r="AI93" i="16"/>
  <c r="AJ93" i="16"/>
  <c r="AK93" i="16"/>
  <c r="AL93" i="16"/>
  <c r="AM93" i="16"/>
  <c r="AN93" i="16"/>
  <c r="AO93" i="16"/>
  <c r="AP93" i="16"/>
  <c r="AQ93" i="16"/>
  <c r="AR93" i="16"/>
  <c r="AS93" i="16"/>
  <c r="AT93" i="16"/>
  <c r="AU93" i="16"/>
  <c r="AV93" i="16"/>
  <c r="AW93" i="16"/>
  <c r="AX93" i="16"/>
  <c r="AY93" i="16"/>
  <c r="AZ93" i="16"/>
  <c r="BA93" i="16"/>
  <c r="BB93" i="16"/>
  <c r="BC93" i="16"/>
  <c r="BD93" i="16"/>
  <c r="BF93" i="16"/>
  <c r="BG93" i="16"/>
  <c r="BH93" i="16"/>
  <c r="BI93" i="16"/>
  <c r="BJ93" i="16"/>
  <c r="BK93" i="16"/>
  <c r="BL93" i="16"/>
  <c r="BM93" i="16"/>
  <c r="BN93" i="16"/>
  <c r="BO93" i="16"/>
  <c r="BP93" i="16"/>
  <c r="BQ93" i="16"/>
  <c r="BR93" i="16"/>
  <c r="BS93" i="16"/>
  <c r="BT93" i="16"/>
  <c r="BU93" i="16"/>
  <c r="BV93" i="16"/>
  <c r="BW93" i="16"/>
  <c r="BX93" i="16"/>
  <c r="BY93" i="16"/>
  <c r="BZ93" i="16"/>
  <c r="CA93" i="16"/>
  <c r="CB93" i="16"/>
  <c r="CC93" i="16"/>
  <c r="CE93" i="16"/>
  <c r="CF93" i="16"/>
  <c r="CG93" i="16"/>
  <c r="CH93" i="16"/>
  <c r="CI93" i="16"/>
  <c r="CJ93" i="16"/>
  <c r="CK93" i="16"/>
  <c r="CL93" i="16"/>
  <c r="CM93" i="16"/>
  <c r="CN93" i="16"/>
  <c r="CO93" i="16"/>
  <c r="CP93" i="16"/>
  <c r="CQ93" i="16"/>
  <c r="CR93" i="16"/>
  <c r="CS93" i="16"/>
  <c r="CT93" i="16"/>
  <c r="CU93" i="16"/>
  <c r="CV93" i="16"/>
  <c r="CW93" i="16"/>
  <c r="CX93" i="16"/>
  <c r="CY93" i="16"/>
  <c r="CZ93" i="16"/>
  <c r="DA93" i="16"/>
  <c r="DB93" i="16"/>
  <c r="DH93" i="16"/>
  <c r="DI93" i="16"/>
  <c r="DJ93" i="16"/>
  <c r="H94" i="16"/>
  <c r="I94" i="16"/>
  <c r="J94" i="16"/>
  <c r="K94" i="16"/>
  <c r="L94" i="16"/>
  <c r="M94" i="16"/>
  <c r="N94" i="16"/>
  <c r="O94" i="16"/>
  <c r="P94" i="16"/>
  <c r="Q94" i="16"/>
  <c r="R94" i="16"/>
  <c r="S94" i="16"/>
  <c r="T94" i="16"/>
  <c r="U94" i="16"/>
  <c r="V94" i="16"/>
  <c r="W94" i="16"/>
  <c r="X94" i="16"/>
  <c r="Y94" i="16"/>
  <c r="Z94" i="16"/>
  <c r="AA94" i="16"/>
  <c r="AB94" i="16"/>
  <c r="AC94" i="16"/>
  <c r="AD94" i="16"/>
  <c r="AE94" i="16"/>
  <c r="AG94" i="16"/>
  <c r="AH94" i="16"/>
  <c r="AI94" i="16"/>
  <c r="AJ94" i="16"/>
  <c r="AK94" i="16"/>
  <c r="AL94" i="16"/>
  <c r="AM94" i="16"/>
  <c r="AN94" i="16"/>
  <c r="AO94" i="16"/>
  <c r="AP94" i="16"/>
  <c r="AQ94" i="16"/>
  <c r="AR94" i="16"/>
  <c r="AS94" i="16"/>
  <c r="AT94" i="16"/>
  <c r="AU94" i="16"/>
  <c r="AV94" i="16"/>
  <c r="AW94" i="16"/>
  <c r="AX94" i="16"/>
  <c r="AY94" i="16"/>
  <c r="AZ94" i="16"/>
  <c r="BA94" i="16"/>
  <c r="BB94" i="16"/>
  <c r="BC94" i="16"/>
  <c r="BD94" i="16"/>
  <c r="BF94" i="16"/>
  <c r="BG94" i="16"/>
  <c r="BH94" i="16"/>
  <c r="BI94" i="16"/>
  <c r="BJ94" i="16"/>
  <c r="BK94" i="16"/>
  <c r="BL94" i="16"/>
  <c r="BM94" i="16"/>
  <c r="BN94" i="16"/>
  <c r="BO94" i="16"/>
  <c r="BP94" i="16"/>
  <c r="BQ94" i="16"/>
  <c r="BR94" i="16"/>
  <c r="BS94" i="16"/>
  <c r="BT94" i="16"/>
  <c r="BU94" i="16"/>
  <c r="BV94" i="16"/>
  <c r="BW94" i="16"/>
  <c r="BX94" i="16"/>
  <c r="BY94" i="16"/>
  <c r="BZ94" i="16"/>
  <c r="CA94" i="16"/>
  <c r="CB94" i="16"/>
  <c r="CC94" i="16"/>
  <c r="CE94" i="16"/>
  <c r="CF94" i="16"/>
  <c r="CG94" i="16"/>
  <c r="CH94" i="16"/>
  <c r="CI94" i="16"/>
  <c r="CJ94" i="16"/>
  <c r="CK94" i="16"/>
  <c r="CL94" i="16"/>
  <c r="CM94" i="16"/>
  <c r="CN94" i="16"/>
  <c r="CO94" i="16"/>
  <c r="CP94" i="16"/>
  <c r="CQ94" i="16"/>
  <c r="CR94" i="16"/>
  <c r="CS94" i="16"/>
  <c r="CT94" i="16"/>
  <c r="CU94" i="16"/>
  <c r="CV94" i="16"/>
  <c r="CW94" i="16"/>
  <c r="CX94" i="16"/>
  <c r="CY94" i="16"/>
  <c r="CZ94" i="16"/>
  <c r="DA94" i="16"/>
  <c r="DB94" i="16"/>
  <c r="DH94" i="16"/>
  <c r="DI94" i="16"/>
  <c r="DJ94" i="16"/>
  <c r="H95" i="16"/>
  <c r="I95" i="16"/>
  <c r="J95" i="16"/>
  <c r="K95" i="16"/>
  <c r="L95" i="16"/>
  <c r="M95" i="16"/>
  <c r="N95" i="16"/>
  <c r="O95" i="16"/>
  <c r="P95" i="16"/>
  <c r="Q95" i="16"/>
  <c r="R95" i="16"/>
  <c r="S95" i="16"/>
  <c r="T95" i="16"/>
  <c r="U95" i="16"/>
  <c r="V95" i="16"/>
  <c r="W95" i="16"/>
  <c r="X95" i="16"/>
  <c r="Y95" i="16"/>
  <c r="Z95" i="16"/>
  <c r="AA95" i="16"/>
  <c r="AB95" i="16"/>
  <c r="AC95" i="16"/>
  <c r="AD95" i="16"/>
  <c r="AE95" i="16"/>
  <c r="AG95" i="16"/>
  <c r="AH95" i="16"/>
  <c r="AI95" i="16"/>
  <c r="AJ95" i="16"/>
  <c r="AK95" i="16"/>
  <c r="AL95" i="16"/>
  <c r="AM95" i="16"/>
  <c r="AN95" i="16"/>
  <c r="AO95" i="16"/>
  <c r="AP95" i="16"/>
  <c r="AQ95" i="16"/>
  <c r="AR95" i="16"/>
  <c r="AS95" i="16"/>
  <c r="AT95" i="16"/>
  <c r="AU95" i="16"/>
  <c r="AV95" i="16"/>
  <c r="AW95" i="16"/>
  <c r="AX95" i="16"/>
  <c r="AY95" i="16"/>
  <c r="AZ95" i="16"/>
  <c r="BA95" i="16"/>
  <c r="BB95" i="16"/>
  <c r="BC95" i="16"/>
  <c r="BD95" i="16"/>
  <c r="BF95" i="16"/>
  <c r="BG95" i="16"/>
  <c r="BH95" i="16"/>
  <c r="BI95" i="16"/>
  <c r="BJ95" i="16"/>
  <c r="BK95" i="16"/>
  <c r="BL95" i="16"/>
  <c r="BM95" i="16"/>
  <c r="BN95" i="16"/>
  <c r="BO95" i="16"/>
  <c r="BP95" i="16"/>
  <c r="BQ95" i="16"/>
  <c r="BR95" i="16"/>
  <c r="BS95" i="16"/>
  <c r="BT95" i="16"/>
  <c r="BU95" i="16"/>
  <c r="BV95" i="16"/>
  <c r="BW95" i="16"/>
  <c r="BX95" i="16"/>
  <c r="BY95" i="16"/>
  <c r="BZ95" i="16"/>
  <c r="CA95" i="16"/>
  <c r="CB95" i="16"/>
  <c r="CC95" i="16"/>
  <c r="CE95" i="16"/>
  <c r="CF95" i="16"/>
  <c r="CG95" i="16"/>
  <c r="CH95" i="16"/>
  <c r="CI95" i="16"/>
  <c r="CJ95" i="16"/>
  <c r="CK95" i="16"/>
  <c r="CL95" i="16"/>
  <c r="CM95" i="16"/>
  <c r="CN95" i="16"/>
  <c r="CO95" i="16"/>
  <c r="CP95" i="16"/>
  <c r="CQ95" i="16"/>
  <c r="CR95" i="16"/>
  <c r="CS95" i="16"/>
  <c r="CT95" i="16"/>
  <c r="CU95" i="16"/>
  <c r="CV95" i="16"/>
  <c r="CW95" i="16"/>
  <c r="CX95" i="16"/>
  <c r="CY95" i="16"/>
  <c r="CZ95" i="16"/>
  <c r="DA95" i="16"/>
  <c r="DB95" i="16"/>
  <c r="DH95" i="16"/>
  <c r="DI95" i="16"/>
  <c r="DJ95" i="16"/>
  <c r="H96" i="16"/>
  <c r="I96" i="16"/>
  <c r="J96" i="16"/>
  <c r="K96" i="16"/>
  <c r="L96" i="16"/>
  <c r="M96" i="16"/>
  <c r="N96" i="16"/>
  <c r="O96" i="16"/>
  <c r="P96" i="16"/>
  <c r="Q96" i="16"/>
  <c r="R96" i="16"/>
  <c r="S96" i="16"/>
  <c r="T96" i="16"/>
  <c r="U96" i="16"/>
  <c r="V96" i="16"/>
  <c r="W96" i="16"/>
  <c r="X96" i="16"/>
  <c r="Y96" i="16"/>
  <c r="Z96" i="16"/>
  <c r="AA96" i="16"/>
  <c r="AB96" i="16"/>
  <c r="AC96" i="16"/>
  <c r="AD96" i="16"/>
  <c r="AE96" i="16"/>
  <c r="AG96" i="16"/>
  <c r="AH96" i="16"/>
  <c r="AI96" i="16"/>
  <c r="AJ96" i="16"/>
  <c r="AK96" i="16"/>
  <c r="AL96" i="16"/>
  <c r="AM96" i="16"/>
  <c r="AN96" i="16"/>
  <c r="AO96" i="16"/>
  <c r="AP96" i="16"/>
  <c r="AQ96" i="16"/>
  <c r="AR96" i="16"/>
  <c r="AS96" i="16"/>
  <c r="AT96" i="16"/>
  <c r="AU96" i="16"/>
  <c r="AV96" i="16"/>
  <c r="AW96" i="16"/>
  <c r="AX96" i="16"/>
  <c r="AY96" i="16"/>
  <c r="AZ96" i="16"/>
  <c r="BA96" i="16"/>
  <c r="BB96" i="16"/>
  <c r="BC96" i="16"/>
  <c r="BD96" i="16"/>
  <c r="BF96" i="16"/>
  <c r="BG96" i="16"/>
  <c r="BH96" i="16"/>
  <c r="BI96" i="16"/>
  <c r="BJ96" i="16"/>
  <c r="BK96" i="16"/>
  <c r="BL96" i="16"/>
  <c r="BM96" i="16"/>
  <c r="BN96" i="16"/>
  <c r="BO96" i="16"/>
  <c r="BP96" i="16"/>
  <c r="BQ96" i="16"/>
  <c r="BR96" i="16"/>
  <c r="BS96" i="16"/>
  <c r="BT96" i="16"/>
  <c r="BU96" i="16"/>
  <c r="BV96" i="16"/>
  <c r="BW96" i="16"/>
  <c r="BX96" i="16"/>
  <c r="BY96" i="16"/>
  <c r="BZ96" i="16"/>
  <c r="CA96" i="16"/>
  <c r="CB96" i="16"/>
  <c r="CC96" i="16"/>
  <c r="CE96" i="16"/>
  <c r="CF96" i="16"/>
  <c r="CG96" i="16"/>
  <c r="CH96" i="16"/>
  <c r="CI96" i="16"/>
  <c r="CJ96" i="16"/>
  <c r="CK96" i="16"/>
  <c r="CL96" i="16"/>
  <c r="CM96" i="16"/>
  <c r="CN96" i="16"/>
  <c r="CO96" i="16"/>
  <c r="CP96" i="16"/>
  <c r="CQ96" i="16"/>
  <c r="CR96" i="16"/>
  <c r="CS96" i="16"/>
  <c r="CT96" i="16"/>
  <c r="CU96" i="16"/>
  <c r="CV96" i="16"/>
  <c r="CW96" i="16"/>
  <c r="CX96" i="16"/>
  <c r="CY96" i="16"/>
  <c r="CZ96" i="16"/>
  <c r="DA96" i="16"/>
  <c r="DB96" i="16"/>
  <c r="DH96" i="16"/>
  <c r="DI96" i="16"/>
  <c r="DJ96" i="16"/>
  <c r="H97" i="16"/>
  <c r="I97" i="16"/>
  <c r="J97" i="16"/>
  <c r="K97" i="16"/>
  <c r="L97" i="16"/>
  <c r="M97" i="16"/>
  <c r="N97" i="16"/>
  <c r="O97" i="16"/>
  <c r="P97" i="16"/>
  <c r="Q97" i="16"/>
  <c r="R97" i="16"/>
  <c r="S97" i="16"/>
  <c r="T97" i="16"/>
  <c r="U97" i="16"/>
  <c r="V97" i="16"/>
  <c r="W97" i="16"/>
  <c r="X97" i="16"/>
  <c r="Y97" i="16"/>
  <c r="Z97" i="16"/>
  <c r="AA97" i="16"/>
  <c r="AB97" i="16"/>
  <c r="AC97" i="16"/>
  <c r="AD97" i="16"/>
  <c r="AE97" i="16"/>
  <c r="AG97" i="16"/>
  <c r="AH97" i="16"/>
  <c r="AI97" i="16"/>
  <c r="AJ97" i="16"/>
  <c r="AK97" i="16"/>
  <c r="AL97" i="16"/>
  <c r="AM97" i="16"/>
  <c r="AN97" i="16"/>
  <c r="AO97" i="16"/>
  <c r="AP97" i="16"/>
  <c r="AQ97" i="16"/>
  <c r="AR97" i="16"/>
  <c r="AS97" i="16"/>
  <c r="AT97" i="16"/>
  <c r="AU97" i="16"/>
  <c r="AV97" i="16"/>
  <c r="AW97" i="16"/>
  <c r="AX97" i="16"/>
  <c r="AY97" i="16"/>
  <c r="AZ97" i="16"/>
  <c r="BA97" i="16"/>
  <c r="BB97" i="16"/>
  <c r="BC97" i="16"/>
  <c r="BD97" i="16"/>
  <c r="BF97" i="16"/>
  <c r="BG97" i="16"/>
  <c r="BH97" i="16"/>
  <c r="BI97" i="16"/>
  <c r="BJ97" i="16"/>
  <c r="BK97" i="16"/>
  <c r="BL97" i="16"/>
  <c r="BM97" i="16"/>
  <c r="BN97" i="16"/>
  <c r="BO97" i="16"/>
  <c r="BP97" i="16"/>
  <c r="BQ97" i="16"/>
  <c r="BR97" i="16"/>
  <c r="BS97" i="16"/>
  <c r="BT97" i="16"/>
  <c r="BU97" i="16"/>
  <c r="BV97" i="16"/>
  <c r="BW97" i="16"/>
  <c r="BX97" i="16"/>
  <c r="BY97" i="16"/>
  <c r="BZ97" i="16"/>
  <c r="CA97" i="16"/>
  <c r="CB97" i="16"/>
  <c r="CC97" i="16"/>
  <c r="CE97" i="16"/>
  <c r="CF97" i="16"/>
  <c r="CG97" i="16"/>
  <c r="CH97" i="16"/>
  <c r="CI97" i="16"/>
  <c r="CJ97" i="16"/>
  <c r="CK97" i="16"/>
  <c r="CL97" i="16"/>
  <c r="CM97" i="16"/>
  <c r="CN97" i="16"/>
  <c r="CO97" i="16"/>
  <c r="CP97" i="16"/>
  <c r="CQ97" i="16"/>
  <c r="CR97" i="16"/>
  <c r="CS97" i="16"/>
  <c r="CT97" i="16"/>
  <c r="CU97" i="16"/>
  <c r="CV97" i="16"/>
  <c r="CW97" i="16"/>
  <c r="CX97" i="16"/>
  <c r="CY97" i="16"/>
  <c r="CZ97" i="16"/>
  <c r="DA97" i="16"/>
  <c r="DB97" i="16"/>
  <c r="DH97" i="16"/>
  <c r="DI97" i="16"/>
  <c r="DJ97" i="16"/>
  <c r="H98" i="16"/>
  <c r="I98" i="16"/>
  <c r="J98" i="16"/>
  <c r="K98" i="16"/>
  <c r="L98" i="16"/>
  <c r="M98" i="16"/>
  <c r="N98" i="16"/>
  <c r="O98" i="16"/>
  <c r="P98" i="16"/>
  <c r="Q98" i="16"/>
  <c r="R98" i="16"/>
  <c r="S98" i="16"/>
  <c r="T98" i="16"/>
  <c r="U98" i="16"/>
  <c r="V98" i="16"/>
  <c r="W98" i="16"/>
  <c r="X98" i="16"/>
  <c r="Y98" i="16"/>
  <c r="Z98" i="16"/>
  <c r="AA98" i="16"/>
  <c r="AB98" i="16"/>
  <c r="AC98" i="16"/>
  <c r="AD98" i="16"/>
  <c r="AE98" i="16"/>
  <c r="AG98" i="16"/>
  <c r="AH98" i="16"/>
  <c r="AI98" i="16"/>
  <c r="AJ98" i="16"/>
  <c r="AK98" i="16"/>
  <c r="AL98" i="16"/>
  <c r="AM98" i="16"/>
  <c r="AN98" i="16"/>
  <c r="AO98" i="16"/>
  <c r="AP98" i="16"/>
  <c r="AQ98" i="16"/>
  <c r="AR98" i="16"/>
  <c r="AS98" i="16"/>
  <c r="AT98" i="16"/>
  <c r="AU98" i="16"/>
  <c r="AV98" i="16"/>
  <c r="AW98" i="16"/>
  <c r="AX98" i="16"/>
  <c r="AY98" i="16"/>
  <c r="AZ98" i="16"/>
  <c r="BA98" i="16"/>
  <c r="BB98" i="16"/>
  <c r="BC98" i="16"/>
  <c r="BD98" i="16"/>
  <c r="BF98" i="16"/>
  <c r="BG98" i="16"/>
  <c r="BH98" i="16"/>
  <c r="BI98" i="16"/>
  <c r="BJ98" i="16"/>
  <c r="BK98" i="16"/>
  <c r="BL98" i="16"/>
  <c r="BM98" i="16"/>
  <c r="BN98" i="16"/>
  <c r="BO98" i="16"/>
  <c r="BP98" i="16"/>
  <c r="BQ98" i="16"/>
  <c r="BR98" i="16"/>
  <c r="BS98" i="16"/>
  <c r="BT98" i="16"/>
  <c r="BU98" i="16"/>
  <c r="BV98" i="16"/>
  <c r="BW98" i="16"/>
  <c r="BX98" i="16"/>
  <c r="BY98" i="16"/>
  <c r="BZ98" i="16"/>
  <c r="CA98" i="16"/>
  <c r="CB98" i="16"/>
  <c r="CC98" i="16"/>
  <c r="CE98" i="16"/>
  <c r="CF98" i="16"/>
  <c r="CG98" i="16"/>
  <c r="CH98" i="16"/>
  <c r="CI98" i="16"/>
  <c r="CJ98" i="16"/>
  <c r="CK98" i="16"/>
  <c r="CL98" i="16"/>
  <c r="CM98" i="16"/>
  <c r="CN98" i="16"/>
  <c r="CO98" i="16"/>
  <c r="CP98" i="16"/>
  <c r="CQ98" i="16"/>
  <c r="CR98" i="16"/>
  <c r="CS98" i="16"/>
  <c r="CT98" i="16"/>
  <c r="CU98" i="16"/>
  <c r="CV98" i="16"/>
  <c r="CW98" i="16"/>
  <c r="CX98" i="16"/>
  <c r="CY98" i="16"/>
  <c r="CZ98" i="16"/>
  <c r="DA98" i="16"/>
  <c r="DB98" i="16"/>
  <c r="DH98" i="16"/>
  <c r="DI98" i="16"/>
  <c r="DJ98" i="16"/>
  <c r="H99" i="16"/>
  <c r="I99" i="16"/>
  <c r="J99" i="16"/>
  <c r="K99" i="16"/>
  <c r="L99" i="16"/>
  <c r="M99" i="16"/>
  <c r="N99" i="16"/>
  <c r="O99" i="16"/>
  <c r="P99" i="16"/>
  <c r="Q99" i="16"/>
  <c r="R99" i="16"/>
  <c r="S99" i="16"/>
  <c r="T99" i="16"/>
  <c r="U99" i="16"/>
  <c r="V99" i="16"/>
  <c r="W99" i="16"/>
  <c r="X99" i="16"/>
  <c r="Y99" i="16"/>
  <c r="Z99" i="16"/>
  <c r="AA99" i="16"/>
  <c r="AB99" i="16"/>
  <c r="AC99" i="16"/>
  <c r="AD99" i="16"/>
  <c r="AE99" i="16"/>
  <c r="AG99" i="16"/>
  <c r="AH99" i="16"/>
  <c r="AI99" i="16"/>
  <c r="AJ99" i="16"/>
  <c r="AK99" i="16"/>
  <c r="AL99" i="16"/>
  <c r="AM99" i="16"/>
  <c r="AN99" i="16"/>
  <c r="AO99" i="16"/>
  <c r="AP99" i="16"/>
  <c r="AQ99" i="16"/>
  <c r="AR99" i="16"/>
  <c r="AS99" i="16"/>
  <c r="AT99" i="16"/>
  <c r="AU99" i="16"/>
  <c r="AV99" i="16"/>
  <c r="AW99" i="16"/>
  <c r="AX99" i="16"/>
  <c r="AY99" i="16"/>
  <c r="AZ99" i="16"/>
  <c r="BA99" i="16"/>
  <c r="BB99" i="16"/>
  <c r="BC99" i="16"/>
  <c r="BD99" i="16"/>
  <c r="BF99" i="16"/>
  <c r="BG99" i="16"/>
  <c r="BH99" i="16"/>
  <c r="BI99" i="16"/>
  <c r="BJ99" i="16"/>
  <c r="BK99" i="16"/>
  <c r="BL99" i="16"/>
  <c r="BM99" i="16"/>
  <c r="BN99" i="16"/>
  <c r="BO99" i="16"/>
  <c r="BP99" i="16"/>
  <c r="BQ99" i="16"/>
  <c r="BR99" i="16"/>
  <c r="BS99" i="16"/>
  <c r="BT99" i="16"/>
  <c r="BU99" i="16"/>
  <c r="BV99" i="16"/>
  <c r="BW99" i="16"/>
  <c r="BX99" i="16"/>
  <c r="BY99" i="16"/>
  <c r="BZ99" i="16"/>
  <c r="CA99" i="16"/>
  <c r="CB99" i="16"/>
  <c r="CC99" i="16"/>
  <c r="CE99" i="16"/>
  <c r="CF99" i="16"/>
  <c r="CG99" i="16"/>
  <c r="CH99" i="16"/>
  <c r="CI99" i="16"/>
  <c r="CJ99" i="16"/>
  <c r="CK99" i="16"/>
  <c r="CL99" i="16"/>
  <c r="CM99" i="16"/>
  <c r="CN99" i="16"/>
  <c r="CO99" i="16"/>
  <c r="CP99" i="16"/>
  <c r="CQ99" i="16"/>
  <c r="CR99" i="16"/>
  <c r="CS99" i="16"/>
  <c r="CT99" i="16"/>
  <c r="CU99" i="16"/>
  <c r="CV99" i="16"/>
  <c r="CW99" i="16"/>
  <c r="CX99" i="16"/>
  <c r="CY99" i="16"/>
  <c r="CZ99" i="16"/>
  <c r="DA99" i="16"/>
  <c r="DB99" i="16"/>
  <c r="DH99" i="16"/>
  <c r="DI99" i="16"/>
  <c r="DJ99" i="16"/>
  <c r="H100" i="16"/>
  <c r="I100" i="16"/>
  <c r="J100" i="16"/>
  <c r="K100" i="16"/>
  <c r="L100" i="16"/>
  <c r="M100" i="16"/>
  <c r="N100" i="16"/>
  <c r="O100" i="16"/>
  <c r="P100" i="16"/>
  <c r="Q100" i="16"/>
  <c r="R100" i="16"/>
  <c r="S100" i="16"/>
  <c r="T100" i="16"/>
  <c r="U100" i="16"/>
  <c r="V100" i="16"/>
  <c r="W100" i="16"/>
  <c r="X100" i="16"/>
  <c r="Y100" i="16"/>
  <c r="Z100" i="16"/>
  <c r="AA100" i="16"/>
  <c r="AB100" i="16"/>
  <c r="AC100" i="16"/>
  <c r="AD100" i="16"/>
  <c r="AE100" i="16"/>
  <c r="AG100" i="16"/>
  <c r="AH100" i="16"/>
  <c r="AI100" i="16"/>
  <c r="AJ100" i="16"/>
  <c r="AK100" i="16"/>
  <c r="AL100" i="16"/>
  <c r="AM100" i="16"/>
  <c r="AN100" i="16"/>
  <c r="AO100" i="16"/>
  <c r="AP100" i="16"/>
  <c r="AQ100" i="16"/>
  <c r="AR100" i="16"/>
  <c r="AS100" i="16"/>
  <c r="AT100" i="16"/>
  <c r="AU100" i="16"/>
  <c r="AV100" i="16"/>
  <c r="AW100" i="16"/>
  <c r="AX100" i="16"/>
  <c r="AY100" i="16"/>
  <c r="AZ100" i="16"/>
  <c r="BA100" i="16"/>
  <c r="BB100" i="16"/>
  <c r="BC100" i="16"/>
  <c r="BD100" i="16"/>
  <c r="BF100" i="16"/>
  <c r="BG100" i="16"/>
  <c r="BH100" i="16"/>
  <c r="BI100" i="16"/>
  <c r="BJ100" i="16"/>
  <c r="BK100" i="16"/>
  <c r="BL100" i="16"/>
  <c r="BM100" i="16"/>
  <c r="BN100" i="16"/>
  <c r="BO100" i="16"/>
  <c r="BP100" i="16"/>
  <c r="BQ100" i="16"/>
  <c r="BR100" i="16"/>
  <c r="BS100" i="16"/>
  <c r="BT100" i="16"/>
  <c r="BU100" i="16"/>
  <c r="BV100" i="16"/>
  <c r="BW100" i="16"/>
  <c r="BX100" i="16"/>
  <c r="BY100" i="16"/>
  <c r="BZ100" i="16"/>
  <c r="CA100" i="16"/>
  <c r="CB100" i="16"/>
  <c r="CC100" i="16"/>
  <c r="CE100" i="16"/>
  <c r="CF100" i="16"/>
  <c r="CG100" i="16"/>
  <c r="CH100" i="16"/>
  <c r="CI100" i="16"/>
  <c r="CJ100" i="16"/>
  <c r="CK100" i="16"/>
  <c r="CL100" i="16"/>
  <c r="CM100" i="16"/>
  <c r="CN100" i="16"/>
  <c r="CO100" i="16"/>
  <c r="CP100" i="16"/>
  <c r="CQ100" i="16"/>
  <c r="CR100" i="16"/>
  <c r="CS100" i="16"/>
  <c r="CT100" i="16"/>
  <c r="CU100" i="16"/>
  <c r="CV100" i="16"/>
  <c r="CW100" i="16"/>
  <c r="CX100" i="16"/>
  <c r="CY100" i="16"/>
  <c r="CZ100" i="16"/>
  <c r="DA100" i="16"/>
  <c r="DB100" i="16"/>
  <c r="DH100" i="16"/>
  <c r="DI100" i="16"/>
  <c r="DJ100" i="16"/>
  <c r="H101" i="16"/>
  <c r="I101" i="16"/>
  <c r="J101" i="16"/>
  <c r="K101" i="16"/>
  <c r="L101" i="16"/>
  <c r="M101" i="16"/>
  <c r="N101" i="16"/>
  <c r="O101" i="16"/>
  <c r="P101" i="16"/>
  <c r="Q101" i="16"/>
  <c r="R101" i="16"/>
  <c r="S101" i="16"/>
  <c r="T101" i="16"/>
  <c r="U101" i="16"/>
  <c r="V101" i="16"/>
  <c r="W101" i="16"/>
  <c r="X101" i="16"/>
  <c r="Y101" i="16"/>
  <c r="Z101" i="16"/>
  <c r="AA101" i="16"/>
  <c r="AB101" i="16"/>
  <c r="AC101" i="16"/>
  <c r="AD101" i="16"/>
  <c r="AE101" i="16"/>
  <c r="AG101" i="16"/>
  <c r="AH101" i="16"/>
  <c r="AI101" i="16"/>
  <c r="AJ101" i="16"/>
  <c r="AK101" i="16"/>
  <c r="AL101" i="16"/>
  <c r="AM101" i="16"/>
  <c r="AN101" i="16"/>
  <c r="AO101" i="16"/>
  <c r="AP101" i="16"/>
  <c r="AQ101" i="16"/>
  <c r="AR101" i="16"/>
  <c r="AS101" i="16"/>
  <c r="AT101" i="16"/>
  <c r="AU101" i="16"/>
  <c r="AV101" i="16"/>
  <c r="AW101" i="16"/>
  <c r="AX101" i="16"/>
  <c r="AY101" i="16"/>
  <c r="AZ101" i="16"/>
  <c r="BA101" i="16"/>
  <c r="BB101" i="16"/>
  <c r="BC101" i="16"/>
  <c r="BD101" i="16"/>
  <c r="BF101" i="16"/>
  <c r="BG101" i="16"/>
  <c r="BH101" i="16"/>
  <c r="BI101" i="16"/>
  <c r="BJ101" i="16"/>
  <c r="BK101" i="16"/>
  <c r="BL101" i="16"/>
  <c r="BM101" i="16"/>
  <c r="BN101" i="16"/>
  <c r="BO101" i="16"/>
  <c r="BP101" i="16"/>
  <c r="BQ101" i="16"/>
  <c r="BR101" i="16"/>
  <c r="BS101" i="16"/>
  <c r="BT101" i="16"/>
  <c r="BU101" i="16"/>
  <c r="BV101" i="16"/>
  <c r="BW101" i="16"/>
  <c r="BX101" i="16"/>
  <c r="BY101" i="16"/>
  <c r="BZ101" i="16"/>
  <c r="CA101" i="16"/>
  <c r="CB101" i="16"/>
  <c r="CC101" i="16"/>
  <c r="CE101" i="16"/>
  <c r="CF101" i="16"/>
  <c r="CG101" i="16"/>
  <c r="CH101" i="16"/>
  <c r="CI101" i="16"/>
  <c r="CJ101" i="16"/>
  <c r="CK101" i="16"/>
  <c r="CL101" i="16"/>
  <c r="CM101" i="16"/>
  <c r="CN101" i="16"/>
  <c r="CO101" i="16"/>
  <c r="CP101" i="16"/>
  <c r="CQ101" i="16"/>
  <c r="CR101" i="16"/>
  <c r="CS101" i="16"/>
  <c r="CT101" i="16"/>
  <c r="CU101" i="16"/>
  <c r="CV101" i="16"/>
  <c r="CW101" i="16"/>
  <c r="CX101" i="16"/>
  <c r="CY101" i="16"/>
  <c r="CZ101" i="16"/>
  <c r="DA101" i="16"/>
  <c r="DB101" i="16"/>
  <c r="DH101" i="16"/>
  <c r="DI101" i="16"/>
  <c r="DJ101" i="16"/>
  <c r="H102" i="16"/>
  <c r="I102" i="16"/>
  <c r="J102" i="16"/>
  <c r="K102" i="16"/>
  <c r="L102" i="16"/>
  <c r="M102" i="16"/>
  <c r="N102" i="16"/>
  <c r="O102" i="16"/>
  <c r="P102" i="16"/>
  <c r="Q102" i="16"/>
  <c r="R102" i="16"/>
  <c r="S102" i="16"/>
  <c r="T102" i="16"/>
  <c r="U102" i="16"/>
  <c r="V102" i="16"/>
  <c r="W102" i="16"/>
  <c r="X102" i="16"/>
  <c r="Y102" i="16"/>
  <c r="Z102" i="16"/>
  <c r="AA102" i="16"/>
  <c r="AB102" i="16"/>
  <c r="AC102" i="16"/>
  <c r="AD102" i="16"/>
  <c r="AE102" i="16"/>
  <c r="AG102" i="16"/>
  <c r="AH102" i="16"/>
  <c r="AI102" i="16"/>
  <c r="AJ102" i="16"/>
  <c r="AK102" i="16"/>
  <c r="AL102" i="16"/>
  <c r="AM102" i="16"/>
  <c r="AN102" i="16"/>
  <c r="AO102" i="16"/>
  <c r="AP102" i="16"/>
  <c r="AQ102" i="16"/>
  <c r="AR102" i="16"/>
  <c r="AS102" i="16"/>
  <c r="AT102" i="16"/>
  <c r="AU102" i="16"/>
  <c r="AV102" i="16"/>
  <c r="AW102" i="16"/>
  <c r="AX102" i="16"/>
  <c r="AY102" i="16"/>
  <c r="AZ102" i="16"/>
  <c r="BA102" i="16"/>
  <c r="BB102" i="16"/>
  <c r="BC102" i="16"/>
  <c r="BD102" i="16"/>
  <c r="BF102" i="16"/>
  <c r="BG102" i="16"/>
  <c r="BH102" i="16"/>
  <c r="BI102" i="16"/>
  <c r="BJ102" i="16"/>
  <c r="BK102" i="16"/>
  <c r="BL102" i="16"/>
  <c r="BM102" i="16"/>
  <c r="BN102" i="16"/>
  <c r="BO102" i="16"/>
  <c r="BP102" i="16"/>
  <c r="BQ102" i="16"/>
  <c r="BR102" i="16"/>
  <c r="BS102" i="16"/>
  <c r="BT102" i="16"/>
  <c r="BU102" i="16"/>
  <c r="BV102" i="16"/>
  <c r="BW102" i="16"/>
  <c r="BX102" i="16"/>
  <c r="BY102" i="16"/>
  <c r="BZ102" i="16"/>
  <c r="CA102" i="16"/>
  <c r="CB102" i="16"/>
  <c r="CC102" i="16"/>
  <c r="CE102" i="16"/>
  <c r="CF102" i="16"/>
  <c r="CG102" i="16"/>
  <c r="CH102" i="16"/>
  <c r="CI102" i="16"/>
  <c r="CJ102" i="16"/>
  <c r="CK102" i="16"/>
  <c r="CL102" i="16"/>
  <c r="CM102" i="16"/>
  <c r="CN102" i="16"/>
  <c r="CO102" i="16"/>
  <c r="CP102" i="16"/>
  <c r="CQ102" i="16"/>
  <c r="CR102" i="16"/>
  <c r="CS102" i="16"/>
  <c r="CT102" i="16"/>
  <c r="CU102" i="16"/>
  <c r="CV102" i="16"/>
  <c r="CW102" i="16"/>
  <c r="CX102" i="16"/>
  <c r="CY102" i="16"/>
  <c r="CZ102" i="16"/>
  <c r="DA102" i="16"/>
  <c r="DB102" i="16"/>
  <c r="DH102" i="16"/>
  <c r="DI102" i="16"/>
  <c r="DJ102" i="16"/>
  <c r="H103" i="16"/>
  <c r="I103" i="16"/>
  <c r="J103" i="16"/>
  <c r="K103" i="16"/>
  <c r="L103" i="16"/>
  <c r="M103" i="16"/>
  <c r="N103" i="16"/>
  <c r="O103" i="16"/>
  <c r="P103" i="16"/>
  <c r="Q103" i="16"/>
  <c r="R103" i="16"/>
  <c r="S103" i="16"/>
  <c r="T103" i="16"/>
  <c r="U103" i="16"/>
  <c r="V103" i="16"/>
  <c r="W103" i="16"/>
  <c r="X103" i="16"/>
  <c r="Y103" i="16"/>
  <c r="Z103" i="16"/>
  <c r="AA103" i="16"/>
  <c r="AB103" i="16"/>
  <c r="AC103" i="16"/>
  <c r="AD103" i="16"/>
  <c r="AE103" i="16"/>
  <c r="AG103" i="16"/>
  <c r="AH103" i="16"/>
  <c r="AI103" i="16"/>
  <c r="AJ103" i="16"/>
  <c r="AK103" i="16"/>
  <c r="AL103" i="16"/>
  <c r="AM103" i="16"/>
  <c r="AN103" i="16"/>
  <c r="AO103" i="16"/>
  <c r="AP103" i="16"/>
  <c r="AQ103" i="16"/>
  <c r="AR103" i="16"/>
  <c r="AS103" i="16"/>
  <c r="AT103" i="16"/>
  <c r="AU103" i="16"/>
  <c r="AV103" i="16"/>
  <c r="AW103" i="16"/>
  <c r="AX103" i="16"/>
  <c r="AY103" i="16"/>
  <c r="AZ103" i="16"/>
  <c r="BA103" i="16"/>
  <c r="BB103" i="16"/>
  <c r="BC103" i="16"/>
  <c r="BD103" i="16"/>
  <c r="BF103" i="16"/>
  <c r="BG103" i="16"/>
  <c r="BH103" i="16"/>
  <c r="BI103" i="16"/>
  <c r="BJ103" i="16"/>
  <c r="BK103" i="16"/>
  <c r="BL103" i="16"/>
  <c r="BM103" i="16"/>
  <c r="BN103" i="16"/>
  <c r="BO103" i="16"/>
  <c r="BP103" i="16"/>
  <c r="BQ103" i="16"/>
  <c r="BR103" i="16"/>
  <c r="BS103" i="16"/>
  <c r="BT103" i="16"/>
  <c r="BU103" i="16"/>
  <c r="BV103" i="16"/>
  <c r="BW103" i="16"/>
  <c r="BX103" i="16"/>
  <c r="BY103" i="16"/>
  <c r="BZ103" i="16"/>
  <c r="CA103" i="16"/>
  <c r="CB103" i="16"/>
  <c r="CC103" i="16"/>
  <c r="CE103" i="16"/>
  <c r="CF103" i="16"/>
  <c r="CG103" i="16"/>
  <c r="CH103" i="16"/>
  <c r="CI103" i="16"/>
  <c r="CJ103" i="16"/>
  <c r="CK103" i="16"/>
  <c r="CL103" i="16"/>
  <c r="CM103" i="16"/>
  <c r="CN103" i="16"/>
  <c r="CO103" i="16"/>
  <c r="CP103" i="16"/>
  <c r="CQ103" i="16"/>
  <c r="CR103" i="16"/>
  <c r="CS103" i="16"/>
  <c r="CT103" i="16"/>
  <c r="CU103" i="16"/>
  <c r="CV103" i="16"/>
  <c r="CW103" i="16"/>
  <c r="CX103" i="16"/>
  <c r="CY103" i="16"/>
  <c r="CZ103" i="16"/>
  <c r="DA103" i="16"/>
  <c r="DB103" i="16"/>
  <c r="DH103" i="16"/>
  <c r="DI103" i="16"/>
  <c r="DJ103" i="16"/>
  <c r="H104" i="16"/>
  <c r="I104" i="16"/>
  <c r="J104" i="16"/>
  <c r="K104" i="16"/>
  <c r="L104" i="16"/>
  <c r="M104" i="16"/>
  <c r="N104" i="16"/>
  <c r="O104" i="16"/>
  <c r="P104" i="16"/>
  <c r="Q104" i="16"/>
  <c r="R104" i="16"/>
  <c r="S104" i="16"/>
  <c r="T104" i="16"/>
  <c r="U104" i="16"/>
  <c r="V104" i="16"/>
  <c r="W104" i="16"/>
  <c r="X104" i="16"/>
  <c r="Y104" i="16"/>
  <c r="Z104" i="16"/>
  <c r="AA104" i="16"/>
  <c r="AB104" i="16"/>
  <c r="AC104" i="16"/>
  <c r="AD104" i="16"/>
  <c r="AE104" i="16"/>
  <c r="AG104" i="16"/>
  <c r="AH104" i="16"/>
  <c r="AI104" i="16"/>
  <c r="AJ104" i="16"/>
  <c r="AK104" i="16"/>
  <c r="AL104" i="16"/>
  <c r="AM104" i="16"/>
  <c r="AN104" i="16"/>
  <c r="AO104" i="16"/>
  <c r="AP104" i="16"/>
  <c r="AQ104" i="16"/>
  <c r="AR104" i="16"/>
  <c r="AS104" i="16"/>
  <c r="AT104" i="16"/>
  <c r="AU104" i="16"/>
  <c r="AV104" i="16"/>
  <c r="AW104" i="16"/>
  <c r="AX104" i="16"/>
  <c r="AY104" i="16"/>
  <c r="AZ104" i="16"/>
  <c r="BA104" i="16"/>
  <c r="BB104" i="16"/>
  <c r="BC104" i="16"/>
  <c r="BD104" i="16"/>
  <c r="BF104" i="16"/>
  <c r="BG104" i="16"/>
  <c r="BH104" i="16"/>
  <c r="BI104" i="16"/>
  <c r="BJ104" i="16"/>
  <c r="BK104" i="16"/>
  <c r="BL104" i="16"/>
  <c r="BM104" i="16"/>
  <c r="BN104" i="16"/>
  <c r="BO104" i="16"/>
  <c r="BP104" i="16"/>
  <c r="BQ104" i="16"/>
  <c r="BR104" i="16"/>
  <c r="BS104" i="16"/>
  <c r="BT104" i="16"/>
  <c r="BU104" i="16"/>
  <c r="BV104" i="16"/>
  <c r="BW104" i="16"/>
  <c r="BX104" i="16"/>
  <c r="BY104" i="16"/>
  <c r="BZ104" i="16"/>
  <c r="CA104" i="16"/>
  <c r="CB104" i="16"/>
  <c r="CC104" i="16"/>
  <c r="CE104" i="16"/>
  <c r="CF104" i="16"/>
  <c r="CG104" i="16"/>
  <c r="CH104" i="16"/>
  <c r="CI104" i="16"/>
  <c r="CJ104" i="16"/>
  <c r="CK104" i="16"/>
  <c r="CL104" i="16"/>
  <c r="CM104" i="16"/>
  <c r="CN104" i="16"/>
  <c r="CO104" i="16"/>
  <c r="CP104" i="16"/>
  <c r="CQ104" i="16"/>
  <c r="CR104" i="16"/>
  <c r="CS104" i="16"/>
  <c r="CT104" i="16"/>
  <c r="CU104" i="16"/>
  <c r="CV104" i="16"/>
  <c r="CW104" i="16"/>
  <c r="CX104" i="16"/>
  <c r="CY104" i="16"/>
  <c r="CZ104" i="16"/>
  <c r="DA104" i="16"/>
  <c r="DB104" i="16"/>
  <c r="DH104" i="16"/>
  <c r="DI104" i="16"/>
  <c r="DJ104" i="16"/>
  <c r="H105" i="16"/>
  <c r="I105" i="16"/>
  <c r="J105" i="16"/>
  <c r="K105" i="16"/>
  <c r="L105" i="16"/>
  <c r="M105" i="16"/>
  <c r="N105" i="16"/>
  <c r="O105" i="16"/>
  <c r="P105" i="16"/>
  <c r="Q105" i="16"/>
  <c r="R105" i="16"/>
  <c r="S105" i="16"/>
  <c r="T105" i="16"/>
  <c r="U105" i="16"/>
  <c r="V105" i="16"/>
  <c r="W105" i="16"/>
  <c r="X105" i="16"/>
  <c r="Y105" i="16"/>
  <c r="Z105" i="16"/>
  <c r="AA105" i="16"/>
  <c r="AB105" i="16"/>
  <c r="AC105" i="16"/>
  <c r="AD105" i="16"/>
  <c r="AE105" i="16"/>
  <c r="AG105" i="16"/>
  <c r="AH105" i="16"/>
  <c r="AI105" i="16"/>
  <c r="AJ105" i="16"/>
  <c r="AK105" i="16"/>
  <c r="AL105" i="16"/>
  <c r="AM105" i="16"/>
  <c r="AN105" i="16"/>
  <c r="AO105" i="16"/>
  <c r="AP105" i="16"/>
  <c r="AQ105" i="16"/>
  <c r="AR105" i="16"/>
  <c r="AS105" i="16"/>
  <c r="AT105" i="16"/>
  <c r="AU105" i="16"/>
  <c r="AV105" i="16"/>
  <c r="AW105" i="16"/>
  <c r="AX105" i="16"/>
  <c r="AY105" i="16"/>
  <c r="AZ105" i="16"/>
  <c r="BA105" i="16"/>
  <c r="BB105" i="16"/>
  <c r="BC105" i="16"/>
  <c r="BD105" i="16"/>
  <c r="BF105" i="16"/>
  <c r="BG105" i="16"/>
  <c r="BH105" i="16"/>
  <c r="BI105" i="16"/>
  <c r="BJ105" i="16"/>
  <c r="BK105" i="16"/>
  <c r="BL105" i="16"/>
  <c r="BM105" i="16"/>
  <c r="BN105" i="16"/>
  <c r="BO105" i="16"/>
  <c r="BP105" i="16"/>
  <c r="BQ105" i="16"/>
  <c r="BR105" i="16"/>
  <c r="BS105" i="16"/>
  <c r="BT105" i="16"/>
  <c r="BU105" i="16"/>
  <c r="BV105" i="16"/>
  <c r="BW105" i="16"/>
  <c r="BX105" i="16"/>
  <c r="BY105" i="16"/>
  <c r="BZ105" i="16"/>
  <c r="CA105" i="16"/>
  <c r="CB105" i="16"/>
  <c r="CC105" i="16"/>
  <c r="CE105" i="16"/>
  <c r="CF105" i="16"/>
  <c r="CG105" i="16"/>
  <c r="CH105" i="16"/>
  <c r="CI105" i="16"/>
  <c r="CJ105" i="16"/>
  <c r="CK105" i="16"/>
  <c r="CL105" i="16"/>
  <c r="CM105" i="16"/>
  <c r="CN105" i="16"/>
  <c r="CO105" i="16"/>
  <c r="CP105" i="16"/>
  <c r="CQ105" i="16"/>
  <c r="CR105" i="16"/>
  <c r="CS105" i="16"/>
  <c r="CT105" i="16"/>
  <c r="CU105" i="16"/>
  <c r="CV105" i="16"/>
  <c r="CW105" i="16"/>
  <c r="CX105" i="16"/>
  <c r="CY105" i="16"/>
  <c r="CZ105" i="16"/>
  <c r="DA105" i="16"/>
  <c r="DB105" i="16"/>
  <c r="DH105" i="16"/>
  <c r="DI105" i="16"/>
  <c r="DJ105" i="16"/>
  <c r="H106" i="16"/>
  <c r="I106" i="16"/>
  <c r="J106" i="16"/>
  <c r="K106" i="16"/>
  <c r="L106" i="16"/>
  <c r="M106" i="16"/>
  <c r="N106" i="16"/>
  <c r="O106" i="16"/>
  <c r="P106" i="16"/>
  <c r="Q106" i="16"/>
  <c r="R106" i="16"/>
  <c r="S106" i="16"/>
  <c r="T106" i="16"/>
  <c r="U106" i="16"/>
  <c r="V106" i="16"/>
  <c r="W106" i="16"/>
  <c r="X106" i="16"/>
  <c r="Y106" i="16"/>
  <c r="Z106" i="16"/>
  <c r="AA106" i="16"/>
  <c r="AB106" i="16"/>
  <c r="AC106" i="16"/>
  <c r="AD106" i="16"/>
  <c r="AE106" i="16"/>
  <c r="AG106" i="16"/>
  <c r="AH106" i="16"/>
  <c r="AI106" i="16"/>
  <c r="AJ106" i="16"/>
  <c r="AK106" i="16"/>
  <c r="AL106" i="16"/>
  <c r="AM106" i="16"/>
  <c r="AN106" i="16"/>
  <c r="AO106" i="16"/>
  <c r="AP106" i="16"/>
  <c r="AQ106" i="16"/>
  <c r="AR106" i="16"/>
  <c r="AS106" i="16"/>
  <c r="AT106" i="16"/>
  <c r="AU106" i="16"/>
  <c r="AV106" i="16"/>
  <c r="AW106" i="16"/>
  <c r="AX106" i="16"/>
  <c r="AY106" i="16"/>
  <c r="AZ106" i="16"/>
  <c r="BA106" i="16"/>
  <c r="BB106" i="16"/>
  <c r="BC106" i="16"/>
  <c r="BD106" i="16"/>
  <c r="BF106" i="16"/>
  <c r="BG106" i="16"/>
  <c r="BH106" i="16"/>
  <c r="BI106" i="16"/>
  <c r="BJ106" i="16"/>
  <c r="BK106" i="16"/>
  <c r="BL106" i="16"/>
  <c r="BM106" i="16"/>
  <c r="BN106" i="16"/>
  <c r="BO106" i="16"/>
  <c r="BP106" i="16"/>
  <c r="BQ106" i="16"/>
  <c r="BR106" i="16"/>
  <c r="BS106" i="16"/>
  <c r="BT106" i="16"/>
  <c r="BU106" i="16"/>
  <c r="BV106" i="16"/>
  <c r="BW106" i="16"/>
  <c r="BX106" i="16"/>
  <c r="BY106" i="16"/>
  <c r="BZ106" i="16"/>
  <c r="CA106" i="16"/>
  <c r="CB106" i="16"/>
  <c r="CC106" i="16"/>
  <c r="CE106" i="16"/>
  <c r="CF106" i="16"/>
  <c r="CG106" i="16"/>
  <c r="CH106" i="16"/>
  <c r="CI106" i="16"/>
  <c r="CJ106" i="16"/>
  <c r="CK106" i="16"/>
  <c r="CL106" i="16"/>
  <c r="CM106" i="16"/>
  <c r="CN106" i="16"/>
  <c r="CO106" i="16"/>
  <c r="CP106" i="16"/>
  <c r="CQ106" i="16"/>
  <c r="CR106" i="16"/>
  <c r="CS106" i="16"/>
  <c r="CT106" i="16"/>
  <c r="CU106" i="16"/>
  <c r="CV106" i="16"/>
  <c r="CW106" i="16"/>
  <c r="CX106" i="16"/>
  <c r="CY106" i="16"/>
  <c r="CZ106" i="16"/>
  <c r="DA106" i="16"/>
  <c r="DB106" i="16"/>
  <c r="DH106" i="16"/>
  <c r="DI106" i="16"/>
  <c r="DJ106" i="16"/>
  <c r="H107" i="16"/>
  <c r="I107" i="16"/>
  <c r="J107" i="16"/>
  <c r="K107" i="16"/>
  <c r="L107" i="16"/>
  <c r="M107" i="16"/>
  <c r="N107" i="16"/>
  <c r="O107" i="16"/>
  <c r="P107" i="16"/>
  <c r="Q107" i="16"/>
  <c r="R107" i="16"/>
  <c r="S107" i="16"/>
  <c r="T107" i="16"/>
  <c r="U107" i="16"/>
  <c r="V107" i="16"/>
  <c r="W107" i="16"/>
  <c r="X107" i="16"/>
  <c r="Y107" i="16"/>
  <c r="Z107" i="16"/>
  <c r="AA107" i="16"/>
  <c r="AB107" i="16"/>
  <c r="AC107" i="16"/>
  <c r="AD107" i="16"/>
  <c r="AE107" i="16"/>
  <c r="AG107" i="16"/>
  <c r="AH107" i="16"/>
  <c r="AI107" i="16"/>
  <c r="AJ107" i="16"/>
  <c r="AK107" i="16"/>
  <c r="AL107" i="16"/>
  <c r="AM107" i="16"/>
  <c r="AN107" i="16"/>
  <c r="AO107" i="16"/>
  <c r="AP107" i="16"/>
  <c r="AQ107" i="16"/>
  <c r="AR107" i="16"/>
  <c r="AS107" i="16"/>
  <c r="AT107" i="16"/>
  <c r="AU107" i="16"/>
  <c r="AV107" i="16"/>
  <c r="AW107" i="16"/>
  <c r="AX107" i="16"/>
  <c r="AY107" i="16"/>
  <c r="AZ107" i="16"/>
  <c r="BA107" i="16"/>
  <c r="BB107" i="16"/>
  <c r="BC107" i="16"/>
  <c r="BD107" i="16"/>
  <c r="BF107" i="16"/>
  <c r="BG107" i="16"/>
  <c r="BH107" i="16"/>
  <c r="BI107" i="16"/>
  <c r="BJ107" i="16"/>
  <c r="BK107" i="16"/>
  <c r="BL107" i="16"/>
  <c r="BM107" i="16"/>
  <c r="BN107" i="16"/>
  <c r="BO107" i="16"/>
  <c r="BP107" i="16"/>
  <c r="BQ107" i="16"/>
  <c r="BR107" i="16"/>
  <c r="BS107" i="16"/>
  <c r="BT107" i="16"/>
  <c r="BU107" i="16"/>
  <c r="BV107" i="16"/>
  <c r="BW107" i="16"/>
  <c r="BX107" i="16"/>
  <c r="BY107" i="16"/>
  <c r="BZ107" i="16"/>
  <c r="CA107" i="16"/>
  <c r="CB107" i="16"/>
  <c r="CC107" i="16"/>
  <c r="CE107" i="16"/>
  <c r="CF107" i="16"/>
  <c r="CG107" i="16"/>
  <c r="CH107" i="16"/>
  <c r="CI107" i="16"/>
  <c r="CJ107" i="16"/>
  <c r="CK107" i="16"/>
  <c r="CL107" i="16"/>
  <c r="CM107" i="16"/>
  <c r="CN107" i="16"/>
  <c r="CO107" i="16"/>
  <c r="CP107" i="16"/>
  <c r="CQ107" i="16"/>
  <c r="CR107" i="16"/>
  <c r="CS107" i="16"/>
  <c r="CT107" i="16"/>
  <c r="CU107" i="16"/>
  <c r="CV107" i="16"/>
  <c r="CW107" i="16"/>
  <c r="CX107" i="16"/>
  <c r="CY107" i="16"/>
  <c r="CZ107" i="16"/>
  <c r="DA107" i="16"/>
  <c r="DB107" i="16"/>
  <c r="DH107" i="16"/>
  <c r="DI107" i="16"/>
  <c r="DJ107" i="16"/>
  <c r="H108" i="16"/>
  <c r="I108" i="16"/>
  <c r="J108" i="16"/>
  <c r="K108" i="16"/>
  <c r="L108" i="16"/>
  <c r="M108" i="16"/>
  <c r="N108" i="16"/>
  <c r="O108" i="16"/>
  <c r="P108" i="16"/>
  <c r="Q108" i="16"/>
  <c r="R108" i="16"/>
  <c r="S108" i="16"/>
  <c r="T108" i="16"/>
  <c r="U108" i="16"/>
  <c r="V108" i="16"/>
  <c r="W108" i="16"/>
  <c r="X108" i="16"/>
  <c r="Y108" i="16"/>
  <c r="Z108" i="16"/>
  <c r="AA108" i="16"/>
  <c r="AB108" i="16"/>
  <c r="AC108" i="16"/>
  <c r="AD108" i="16"/>
  <c r="AE108" i="16"/>
  <c r="AG108" i="16"/>
  <c r="AH108" i="16"/>
  <c r="AI108" i="16"/>
  <c r="AJ108" i="16"/>
  <c r="AK108" i="16"/>
  <c r="AL108" i="16"/>
  <c r="AM108" i="16"/>
  <c r="AN108" i="16"/>
  <c r="AO108" i="16"/>
  <c r="AP108" i="16"/>
  <c r="AQ108" i="16"/>
  <c r="AR108" i="16"/>
  <c r="AS108" i="16"/>
  <c r="AT108" i="16"/>
  <c r="AU108" i="16"/>
  <c r="AV108" i="16"/>
  <c r="AW108" i="16"/>
  <c r="AX108" i="16"/>
  <c r="AY108" i="16"/>
  <c r="AZ108" i="16"/>
  <c r="BA108" i="16"/>
  <c r="BB108" i="16"/>
  <c r="BC108" i="16"/>
  <c r="BD108" i="16"/>
  <c r="BF108" i="16"/>
  <c r="BG108" i="16"/>
  <c r="BH108" i="16"/>
  <c r="BI108" i="16"/>
  <c r="BJ108" i="16"/>
  <c r="BK108" i="16"/>
  <c r="BL108" i="16"/>
  <c r="BM108" i="16"/>
  <c r="BN108" i="16"/>
  <c r="BO108" i="16"/>
  <c r="BP108" i="16"/>
  <c r="BQ108" i="16"/>
  <c r="BR108" i="16"/>
  <c r="BS108" i="16"/>
  <c r="BT108" i="16"/>
  <c r="BU108" i="16"/>
  <c r="BV108" i="16"/>
  <c r="BW108" i="16"/>
  <c r="BX108" i="16"/>
  <c r="BY108" i="16"/>
  <c r="BZ108" i="16"/>
  <c r="CA108" i="16"/>
  <c r="CB108" i="16"/>
  <c r="CC108" i="16"/>
  <c r="CE108" i="16"/>
  <c r="CF108" i="16"/>
  <c r="CG108" i="16"/>
  <c r="CH108" i="16"/>
  <c r="CI108" i="16"/>
  <c r="CJ108" i="16"/>
  <c r="CK108" i="16"/>
  <c r="CL108" i="16"/>
  <c r="CM108" i="16"/>
  <c r="CN108" i="16"/>
  <c r="CO108" i="16"/>
  <c r="CP108" i="16"/>
  <c r="CQ108" i="16"/>
  <c r="CR108" i="16"/>
  <c r="CS108" i="16"/>
  <c r="CT108" i="16"/>
  <c r="CU108" i="16"/>
  <c r="CV108" i="16"/>
  <c r="CW108" i="16"/>
  <c r="CX108" i="16"/>
  <c r="CY108" i="16"/>
  <c r="CZ108" i="16"/>
  <c r="DA108" i="16"/>
  <c r="DB108" i="16"/>
  <c r="DH108" i="16"/>
  <c r="DI108" i="16"/>
  <c r="DJ108" i="16"/>
  <c r="H109" i="16"/>
  <c r="I109" i="16"/>
  <c r="J109" i="16"/>
  <c r="K109" i="16"/>
  <c r="L109" i="16"/>
  <c r="M109" i="16"/>
  <c r="N109" i="16"/>
  <c r="O109" i="16"/>
  <c r="P109" i="16"/>
  <c r="Q109" i="16"/>
  <c r="R109" i="16"/>
  <c r="S109" i="16"/>
  <c r="T109" i="16"/>
  <c r="U109" i="16"/>
  <c r="V109" i="16"/>
  <c r="W109" i="16"/>
  <c r="X109" i="16"/>
  <c r="Y109" i="16"/>
  <c r="Z109" i="16"/>
  <c r="AA109" i="16"/>
  <c r="AB109" i="16"/>
  <c r="AC109" i="16"/>
  <c r="AD109" i="16"/>
  <c r="AE109" i="16"/>
  <c r="AG109" i="16"/>
  <c r="AH109" i="16"/>
  <c r="AI109" i="16"/>
  <c r="AJ109" i="16"/>
  <c r="AK109" i="16"/>
  <c r="AL109" i="16"/>
  <c r="AM109" i="16"/>
  <c r="AN109" i="16"/>
  <c r="AO109" i="16"/>
  <c r="AP109" i="16"/>
  <c r="AQ109" i="16"/>
  <c r="AR109" i="16"/>
  <c r="AS109" i="16"/>
  <c r="AT109" i="16"/>
  <c r="AU109" i="16"/>
  <c r="AV109" i="16"/>
  <c r="AW109" i="16"/>
  <c r="AX109" i="16"/>
  <c r="AY109" i="16"/>
  <c r="AZ109" i="16"/>
  <c r="BA109" i="16"/>
  <c r="BB109" i="16"/>
  <c r="BC109" i="16"/>
  <c r="BD109" i="16"/>
  <c r="BF109" i="16"/>
  <c r="BG109" i="16"/>
  <c r="BH109" i="16"/>
  <c r="BI109" i="16"/>
  <c r="BJ109" i="16"/>
  <c r="BK109" i="16"/>
  <c r="BL109" i="16"/>
  <c r="BM109" i="16"/>
  <c r="BN109" i="16"/>
  <c r="BO109" i="16"/>
  <c r="BP109" i="16"/>
  <c r="BQ109" i="16"/>
  <c r="BR109" i="16"/>
  <c r="BS109" i="16"/>
  <c r="BT109" i="16"/>
  <c r="BU109" i="16"/>
  <c r="BV109" i="16"/>
  <c r="BW109" i="16"/>
  <c r="BX109" i="16"/>
  <c r="BY109" i="16"/>
  <c r="BZ109" i="16"/>
  <c r="CA109" i="16"/>
  <c r="CB109" i="16"/>
  <c r="CC109" i="16"/>
  <c r="CE109" i="16"/>
  <c r="CF109" i="16"/>
  <c r="CG109" i="16"/>
  <c r="CH109" i="16"/>
  <c r="CI109" i="16"/>
  <c r="CJ109" i="16"/>
  <c r="CK109" i="16"/>
  <c r="CL109" i="16"/>
  <c r="CM109" i="16"/>
  <c r="CN109" i="16"/>
  <c r="CO109" i="16"/>
  <c r="CP109" i="16"/>
  <c r="CQ109" i="16"/>
  <c r="CR109" i="16"/>
  <c r="CS109" i="16"/>
  <c r="CT109" i="16"/>
  <c r="CU109" i="16"/>
  <c r="CV109" i="16"/>
  <c r="CW109" i="16"/>
  <c r="CX109" i="16"/>
  <c r="CY109" i="16"/>
  <c r="CZ109" i="16"/>
  <c r="DA109" i="16"/>
  <c r="DB109" i="16"/>
  <c r="DH109" i="16"/>
  <c r="DI109" i="16"/>
  <c r="DJ109" i="16"/>
  <c r="H110" i="16"/>
  <c r="I110" i="16"/>
  <c r="J110" i="16"/>
  <c r="K110" i="16"/>
  <c r="L110" i="16"/>
  <c r="M110" i="16"/>
  <c r="N110" i="16"/>
  <c r="O110" i="16"/>
  <c r="P110" i="16"/>
  <c r="Q110" i="16"/>
  <c r="R110" i="16"/>
  <c r="S110" i="16"/>
  <c r="T110" i="16"/>
  <c r="U110" i="16"/>
  <c r="V110" i="16"/>
  <c r="W110" i="16"/>
  <c r="X110" i="16"/>
  <c r="Y110" i="16"/>
  <c r="Z110" i="16"/>
  <c r="AA110" i="16"/>
  <c r="AB110" i="16"/>
  <c r="AC110" i="16"/>
  <c r="AD110" i="16"/>
  <c r="AE110" i="16"/>
  <c r="AG110" i="16"/>
  <c r="AH110" i="16"/>
  <c r="AI110" i="16"/>
  <c r="AJ110" i="16"/>
  <c r="AK110" i="16"/>
  <c r="AL110" i="16"/>
  <c r="AM110" i="16"/>
  <c r="AN110" i="16"/>
  <c r="AO110" i="16"/>
  <c r="AP110" i="16"/>
  <c r="AQ110" i="16"/>
  <c r="AR110" i="16"/>
  <c r="AS110" i="16"/>
  <c r="AT110" i="16"/>
  <c r="AU110" i="16"/>
  <c r="AV110" i="16"/>
  <c r="AW110" i="16"/>
  <c r="AX110" i="16"/>
  <c r="AY110" i="16"/>
  <c r="AZ110" i="16"/>
  <c r="BA110" i="16"/>
  <c r="BB110" i="16"/>
  <c r="BC110" i="16"/>
  <c r="BD110" i="16"/>
  <c r="BF110" i="16"/>
  <c r="BG110" i="16"/>
  <c r="BH110" i="16"/>
  <c r="BI110" i="16"/>
  <c r="BJ110" i="16"/>
  <c r="BK110" i="16"/>
  <c r="BL110" i="16"/>
  <c r="BM110" i="16"/>
  <c r="BN110" i="16"/>
  <c r="BO110" i="16"/>
  <c r="BP110" i="16"/>
  <c r="BQ110" i="16"/>
  <c r="BR110" i="16"/>
  <c r="BS110" i="16"/>
  <c r="BT110" i="16"/>
  <c r="BU110" i="16"/>
  <c r="BV110" i="16"/>
  <c r="BW110" i="16"/>
  <c r="BX110" i="16"/>
  <c r="BY110" i="16"/>
  <c r="BZ110" i="16"/>
  <c r="CA110" i="16"/>
  <c r="CB110" i="16"/>
  <c r="CC110" i="16"/>
  <c r="CE110" i="16"/>
  <c r="CF110" i="16"/>
  <c r="CG110" i="16"/>
  <c r="CH110" i="16"/>
  <c r="CI110" i="16"/>
  <c r="CJ110" i="16"/>
  <c r="CK110" i="16"/>
  <c r="CL110" i="16"/>
  <c r="CM110" i="16"/>
  <c r="CN110" i="16"/>
  <c r="CO110" i="16"/>
  <c r="CP110" i="16"/>
  <c r="CQ110" i="16"/>
  <c r="CR110" i="16"/>
  <c r="CS110" i="16"/>
  <c r="CT110" i="16"/>
  <c r="CU110" i="16"/>
  <c r="CV110" i="16"/>
  <c r="CW110" i="16"/>
  <c r="CX110" i="16"/>
  <c r="CY110" i="16"/>
  <c r="CZ110" i="16"/>
  <c r="DA110" i="16"/>
  <c r="DB110" i="16"/>
  <c r="DH110" i="16"/>
  <c r="DI110" i="16"/>
  <c r="DJ110" i="16"/>
  <c r="H111" i="16"/>
  <c r="I111" i="16"/>
  <c r="J111" i="16"/>
  <c r="K111" i="16"/>
  <c r="L111" i="16"/>
  <c r="M111" i="16"/>
  <c r="N111" i="16"/>
  <c r="O111" i="16"/>
  <c r="P111" i="16"/>
  <c r="Q111" i="16"/>
  <c r="R111" i="16"/>
  <c r="S111" i="16"/>
  <c r="T111" i="16"/>
  <c r="U111" i="16"/>
  <c r="V111" i="16"/>
  <c r="W111" i="16"/>
  <c r="X111" i="16"/>
  <c r="Y111" i="16"/>
  <c r="Z111" i="16"/>
  <c r="AA111" i="16"/>
  <c r="AB111" i="16"/>
  <c r="AC111" i="16"/>
  <c r="AD111" i="16"/>
  <c r="AE111" i="16"/>
  <c r="AG111" i="16"/>
  <c r="AH111" i="16"/>
  <c r="AI111" i="16"/>
  <c r="AJ111" i="16"/>
  <c r="AK111" i="16"/>
  <c r="AL111" i="16"/>
  <c r="AM111" i="16"/>
  <c r="AN111" i="16"/>
  <c r="AO111" i="16"/>
  <c r="AP111" i="16"/>
  <c r="AQ111" i="16"/>
  <c r="AR111" i="16"/>
  <c r="AS111" i="16"/>
  <c r="AT111" i="16"/>
  <c r="AU111" i="16"/>
  <c r="AV111" i="16"/>
  <c r="AW111" i="16"/>
  <c r="AX111" i="16"/>
  <c r="AY111" i="16"/>
  <c r="AZ111" i="16"/>
  <c r="BA111" i="16"/>
  <c r="BB111" i="16"/>
  <c r="BC111" i="16"/>
  <c r="BD111" i="16"/>
  <c r="BF111" i="16"/>
  <c r="BG111" i="16"/>
  <c r="BH111" i="16"/>
  <c r="BI111" i="16"/>
  <c r="BJ111" i="16"/>
  <c r="BK111" i="16"/>
  <c r="BL111" i="16"/>
  <c r="BM111" i="16"/>
  <c r="BN111" i="16"/>
  <c r="BO111" i="16"/>
  <c r="BP111" i="16"/>
  <c r="BQ111" i="16"/>
  <c r="BR111" i="16"/>
  <c r="BS111" i="16"/>
  <c r="BT111" i="16"/>
  <c r="BU111" i="16"/>
  <c r="BV111" i="16"/>
  <c r="BW111" i="16"/>
  <c r="BX111" i="16"/>
  <c r="BY111" i="16"/>
  <c r="BZ111" i="16"/>
  <c r="CA111" i="16"/>
  <c r="CB111" i="16"/>
  <c r="CC111" i="16"/>
  <c r="CE111" i="16"/>
  <c r="CF111" i="16"/>
  <c r="CG111" i="16"/>
  <c r="CH111" i="16"/>
  <c r="CI111" i="16"/>
  <c r="CJ111" i="16"/>
  <c r="CK111" i="16"/>
  <c r="CL111" i="16"/>
  <c r="CM111" i="16"/>
  <c r="CN111" i="16"/>
  <c r="CO111" i="16"/>
  <c r="CP111" i="16"/>
  <c r="CQ111" i="16"/>
  <c r="CR111" i="16"/>
  <c r="CS111" i="16"/>
  <c r="CT111" i="16"/>
  <c r="CU111" i="16"/>
  <c r="CV111" i="16"/>
  <c r="CW111" i="16"/>
  <c r="CX111" i="16"/>
  <c r="CY111" i="16"/>
  <c r="CZ111" i="16"/>
  <c r="DA111" i="16"/>
  <c r="DB111" i="16"/>
  <c r="DH111" i="16"/>
  <c r="DI111" i="16"/>
  <c r="DJ111" i="16"/>
  <c r="H112" i="16"/>
  <c r="I112" i="16"/>
  <c r="J112" i="16"/>
  <c r="K112" i="16"/>
  <c r="L112" i="16"/>
  <c r="M112" i="16"/>
  <c r="N112" i="16"/>
  <c r="O112" i="16"/>
  <c r="P112" i="16"/>
  <c r="Q112" i="16"/>
  <c r="R112" i="16"/>
  <c r="S112" i="16"/>
  <c r="T112" i="16"/>
  <c r="U112" i="16"/>
  <c r="V112" i="16"/>
  <c r="W112" i="16"/>
  <c r="X112" i="16"/>
  <c r="Y112" i="16"/>
  <c r="Z112" i="16"/>
  <c r="AA112" i="16"/>
  <c r="AB112" i="16"/>
  <c r="AC112" i="16"/>
  <c r="AD112" i="16"/>
  <c r="AE112" i="16"/>
  <c r="AG112" i="16"/>
  <c r="AH112" i="16"/>
  <c r="AI112" i="16"/>
  <c r="AJ112" i="16"/>
  <c r="AK112" i="16"/>
  <c r="AL112" i="16"/>
  <c r="AM112" i="16"/>
  <c r="AN112" i="16"/>
  <c r="AO112" i="16"/>
  <c r="AP112" i="16"/>
  <c r="AQ112" i="16"/>
  <c r="AR112" i="16"/>
  <c r="AS112" i="16"/>
  <c r="AT112" i="16"/>
  <c r="AU112" i="16"/>
  <c r="AV112" i="16"/>
  <c r="AW112" i="16"/>
  <c r="AX112" i="16"/>
  <c r="AY112" i="16"/>
  <c r="AZ112" i="16"/>
  <c r="BA112" i="16"/>
  <c r="BB112" i="16"/>
  <c r="BC112" i="16"/>
  <c r="BD112" i="16"/>
  <c r="BF112" i="16"/>
  <c r="BG112" i="16"/>
  <c r="BH112" i="16"/>
  <c r="BI112" i="16"/>
  <c r="BJ112" i="16"/>
  <c r="BK112" i="16"/>
  <c r="BL112" i="16"/>
  <c r="BM112" i="16"/>
  <c r="BN112" i="16"/>
  <c r="BO112" i="16"/>
  <c r="BP112" i="16"/>
  <c r="BQ112" i="16"/>
  <c r="BR112" i="16"/>
  <c r="BS112" i="16"/>
  <c r="BT112" i="16"/>
  <c r="BU112" i="16"/>
  <c r="BV112" i="16"/>
  <c r="BW112" i="16"/>
  <c r="BX112" i="16"/>
  <c r="BY112" i="16"/>
  <c r="BZ112" i="16"/>
  <c r="CA112" i="16"/>
  <c r="CB112" i="16"/>
  <c r="CC112" i="16"/>
  <c r="CE112" i="16"/>
  <c r="CF112" i="16"/>
  <c r="CG112" i="16"/>
  <c r="CH112" i="16"/>
  <c r="CI112" i="16"/>
  <c r="CJ112" i="16"/>
  <c r="CK112" i="16"/>
  <c r="CL112" i="16"/>
  <c r="CM112" i="16"/>
  <c r="CN112" i="16"/>
  <c r="CO112" i="16"/>
  <c r="CP112" i="16"/>
  <c r="CQ112" i="16"/>
  <c r="CR112" i="16"/>
  <c r="CS112" i="16"/>
  <c r="CT112" i="16"/>
  <c r="CU112" i="16"/>
  <c r="CV112" i="16"/>
  <c r="CW112" i="16"/>
  <c r="CX112" i="16"/>
  <c r="CY112" i="16"/>
  <c r="CZ112" i="16"/>
  <c r="DA112" i="16"/>
  <c r="DB112" i="16"/>
  <c r="DH112" i="16"/>
  <c r="DI112" i="16"/>
  <c r="DJ112" i="16"/>
  <c r="H113" i="16"/>
  <c r="I113" i="16"/>
  <c r="J113" i="16"/>
  <c r="K113" i="16"/>
  <c r="L113" i="16"/>
  <c r="M113" i="16"/>
  <c r="N113" i="16"/>
  <c r="O113" i="16"/>
  <c r="P113" i="16"/>
  <c r="Q113" i="16"/>
  <c r="R113" i="16"/>
  <c r="S113" i="16"/>
  <c r="T113" i="16"/>
  <c r="U113" i="16"/>
  <c r="V113" i="16"/>
  <c r="W113" i="16"/>
  <c r="X113" i="16"/>
  <c r="Y113" i="16"/>
  <c r="Z113" i="16"/>
  <c r="AA113" i="16"/>
  <c r="AB113" i="16"/>
  <c r="AC113" i="16"/>
  <c r="AD113" i="16"/>
  <c r="AE113" i="16"/>
  <c r="AG113" i="16"/>
  <c r="AH113" i="16"/>
  <c r="AI113" i="16"/>
  <c r="AJ113" i="16"/>
  <c r="AK113" i="16"/>
  <c r="AL113" i="16"/>
  <c r="AM113" i="16"/>
  <c r="AN113" i="16"/>
  <c r="AO113" i="16"/>
  <c r="AP113" i="16"/>
  <c r="AQ113" i="16"/>
  <c r="AR113" i="16"/>
  <c r="AS113" i="16"/>
  <c r="AT113" i="16"/>
  <c r="AU113" i="16"/>
  <c r="AV113" i="16"/>
  <c r="AW113" i="16"/>
  <c r="AX113" i="16"/>
  <c r="AY113" i="16"/>
  <c r="AZ113" i="16"/>
  <c r="BA113" i="16"/>
  <c r="BB113" i="16"/>
  <c r="BC113" i="16"/>
  <c r="BD113" i="16"/>
  <c r="BF113" i="16"/>
  <c r="BG113" i="16"/>
  <c r="BH113" i="16"/>
  <c r="BI113" i="16"/>
  <c r="BJ113" i="16"/>
  <c r="BK113" i="16"/>
  <c r="BL113" i="16"/>
  <c r="BM113" i="16"/>
  <c r="BN113" i="16"/>
  <c r="BO113" i="16"/>
  <c r="BP113" i="16"/>
  <c r="BQ113" i="16"/>
  <c r="BR113" i="16"/>
  <c r="BS113" i="16"/>
  <c r="BT113" i="16"/>
  <c r="BU113" i="16"/>
  <c r="BV113" i="16"/>
  <c r="BW113" i="16"/>
  <c r="BX113" i="16"/>
  <c r="BY113" i="16"/>
  <c r="BZ113" i="16"/>
  <c r="CA113" i="16"/>
  <c r="CB113" i="16"/>
  <c r="CC113" i="16"/>
  <c r="CE113" i="16"/>
  <c r="CF113" i="16"/>
  <c r="CG113" i="16"/>
  <c r="CH113" i="16"/>
  <c r="CI113" i="16"/>
  <c r="CJ113" i="16"/>
  <c r="CK113" i="16"/>
  <c r="CL113" i="16"/>
  <c r="CM113" i="16"/>
  <c r="CN113" i="16"/>
  <c r="CO113" i="16"/>
  <c r="CP113" i="16"/>
  <c r="CQ113" i="16"/>
  <c r="CR113" i="16"/>
  <c r="CS113" i="16"/>
  <c r="CT113" i="16"/>
  <c r="CU113" i="16"/>
  <c r="CV113" i="16"/>
  <c r="CW113" i="16"/>
  <c r="CX113" i="16"/>
  <c r="CY113" i="16"/>
  <c r="CZ113" i="16"/>
  <c r="DA113" i="16"/>
  <c r="DB113" i="16"/>
  <c r="DH113" i="16"/>
  <c r="DI113" i="16"/>
  <c r="DJ113" i="16"/>
  <c r="H114" i="16"/>
  <c r="I114" i="16"/>
  <c r="J114" i="16"/>
  <c r="K114" i="16"/>
  <c r="L114" i="16"/>
  <c r="M114" i="16"/>
  <c r="N114" i="16"/>
  <c r="O114" i="16"/>
  <c r="P114" i="16"/>
  <c r="Q114" i="16"/>
  <c r="R114" i="16"/>
  <c r="S114" i="16"/>
  <c r="T114" i="16"/>
  <c r="U114" i="16"/>
  <c r="V114" i="16"/>
  <c r="W114" i="16"/>
  <c r="X114" i="16"/>
  <c r="Y114" i="16"/>
  <c r="Z114" i="16"/>
  <c r="AA114" i="16"/>
  <c r="AB114" i="16"/>
  <c r="AC114" i="16"/>
  <c r="AD114" i="16"/>
  <c r="AE114" i="16"/>
  <c r="AG114" i="16"/>
  <c r="AH114" i="16"/>
  <c r="AI114" i="16"/>
  <c r="AJ114" i="16"/>
  <c r="AK114" i="16"/>
  <c r="AL114" i="16"/>
  <c r="AM114" i="16"/>
  <c r="AN114" i="16"/>
  <c r="AO114" i="16"/>
  <c r="AP114" i="16"/>
  <c r="AQ114" i="16"/>
  <c r="AR114" i="16"/>
  <c r="AS114" i="16"/>
  <c r="AT114" i="16"/>
  <c r="AU114" i="16"/>
  <c r="AV114" i="16"/>
  <c r="AW114" i="16"/>
  <c r="AX114" i="16"/>
  <c r="AY114" i="16"/>
  <c r="AZ114" i="16"/>
  <c r="BA114" i="16"/>
  <c r="BB114" i="16"/>
  <c r="BC114" i="16"/>
  <c r="BD114" i="16"/>
  <c r="BF114" i="16"/>
  <c r="BG114" i="16"/>
  <c r="BH114" i="16"/>
  <c r="BI114" i="16"/>
  <c r="BJ114" i="16"/>
  <c r="BK114" i="16"/>
  <c r="BL114" i="16"/>
  <c r="BM114" i="16"/>
  <c r="BN114" i="16"/>
  <c r="BO114" i="16"/>
  <c r="BP114" i="16"/>
  <c r="BQ114" i="16"/>
  <c r="BR114" i="16"/>
  <c r="BS114" i="16"/>
  <c r="BT114" i="16"/>
  <c r="BU114" i="16"/>
  <c r="BV114" i="16"/>
  <c r="BW114" i="16"/>
  <c r="BX114" i="16"/>
  <c r="BY114" i="16"/>
  <c r="BZ114" i="16"/>
  <c r="CA114" i="16"/>
  <c r="CB114" i="16"/>
  <c r="CC114" i="16"/>
  <c r="CE114" i="16"/>
  <c r="CF114" i="16"/>
  <c r="CG114" i="16"/>
  <c r="CH114" i="16"/>
  <c r="CI114" i="16"/>
  <c r="CJ114" i="16"/>
  <c r="CK114" i="16"/>
  <c r="CL114" i="16"/>
  <c r="CM114" i="16"/>
  <c r="CN114" i="16"/>
  <c r="CO114" i="16"/>
  <c r="CP114" i="16"/>
  <c r="CQ114" i="16"/>
  <c r="CR114" i="16"/>
  <c r="CS114" i="16"/>
  <c r="CT114" i="16"/>
  <c r="CU114" i="16"/>
  <c r="CV114" i="16"/>
  <c r="CW114" i="16"/>
  <c r="CX114" i="16"/>
  <c r="CY114" i="16"/>
  <c r="CZ114" i="16"/>
  <c r="DA114" i="16"/>
  <c r="DB114" i="16"/>
  <c r="DH114" i="16"/>
  <c r="DI114" i="16"/>
  <c r="DJ114" i="16"/>
  <c r="H115" i="16"/>
  <c r="I115" i="16"/>
  <c r="J115" i="16"/>
  <c r="K115" i="16"/>
  <c r="L115" i="16"/>
  <c r="M115" i="16"/>
  <c r="N115" i="16"/>
  <c r="O115" i="16"/>
  <c r="P115" i="16"/>
  <c r="Q115" i="16"/>
  <c r="R115" i="16"/>
  <c r="S115" i="16"/>
  <c r="T115" i="16"/>
  <c r="U115" i="16"/>
  <c r="V115" i="16"/>
  <c r="W115" i="16"/>
  <c r="X115" i="16"/>
  <c r="Y115" i="16"/>
  <c r="Z115" i="16"/>
  <c r="AA115" i="16"/>
  <c r="AB115" i="16"/>
  <c r="AC115" i="16"/>
  <c r="AD115" i="16"/>
  <c r="AE115" i="16"/>
  <c r="AG115" i="16"/>
  <c r="AH115" i="16"/>
  <c r="AI115" i="16"/>
  <c r="AJ115" i="16"/>
  <c r="AK115" i="16"/>
  <c r="AL115" i="16"/>
  <c r="AM115" i="16"/>
  <c r="AN115" i="16"/>
  <c r="AO115" i="16"/>
  <c r="AP115" i="16"/>
  <c r="AQ115" i="16"/>
  <c r="AR115" i="16"/>
  <c r="AS115" i="16"/>
  <c r="AT115" i="16"/>
  <c r="AU115" i="16"/>
  <c r="AV115" i="16"/>
  <c r="AW115" i="16"/>
  <c r="AX115" i="16"/>
  <c r="AY115" i="16"/>
  <c r="AZ115" i="16"/>
  <c r="BA115" i="16"/>
  <c r="BB115" i="16"/>
  <c r="BC115" i="16"/>
  <c r="BD115" i="16"/>
  <c r="BF115" i="16"/>
  <c r="BG115" i="16"/>
  <c r="BH115" i="16"/>
  <c r="BI115" i="16"/>
  <c r="BJ115" i="16"/>
  <c r="BK115" i="16"/>
  <c r="BL115" i="16"/>
  <c r="BM115" i="16"/>
  <c r="BN115" i="16"/>
  <c r="BO115" i="16"/>
  <c r="BP115" i="16"/>
  <c r="BQ115" i="16"/>
  <c r="BR115" i="16"/>
  <c r="BS115" i="16"/>
  <c r="BT115" i="16"/>
  <c r="BU115" i="16"/>
  <c r="BV115" i="16"/>
  <c r="BW115" i="16"/>
  <c r="BX115" i="16"/>
  <c r="BY115" i="16"/>
  <c r="BZ115" i="16"/>
  <c r="CA115" i="16"/>
  <c r="CB115" i="16"/>
  <c r="CC115" i="16"/>
  <c r="CE115" i="16"/>
  <c r="CF115" i="16"/>
  <c r="CG115" i="16"/>
  <c r="CH115" i="16"/>
  <c r="CI115" i="16"/>
  <c r="CJ115" i="16"/>
  <c r="CK115" i="16"/>
  <c r="CL115" i="16"/>
  <c r="CM115" i="16"/>
  <c r="CN115" i="16"/>
  <c r="CO115" i="16"/>
  <c r="CP115" i="16"/>
  <c r="CQ115" i="16"/>
  <c r="CR115" i="16"/>
  <c r="CS115" i="16"/>
  <c r="CT115" i="16"/>
  <c r="CU115" i="16"/>
  <c r="CV115" i="16"/>
  <c r="CW115" i="16"/>
  <c r="CX115" i="16"/>
  <c r="CY115" i="16"/>
  <c r="CZ115" i="16"/>
  <c r="DA115" i="16"/>
  <c r="DB115" i="16"/>
  <c r="DH115" i="16"/>
  <c r="DI115" i="16"/>
  <c r="DJ115" i="16"/>
  <c r="H116" i="16"/>
  <c r="I116" i="16"/>
  <c r="J116" i="16"/>
  <c r="K116" i="16"/>
  <c r="L116" i="16"/>
  <c r="M116" i="16"/>
  <c r="N116" i="16"/>
  <c r="O116" i="16"/>
  <c r="P116" i="16"/>
  <c r="Q116" i="16"/>
  <c r="R116" i="16"/>
  <c r="S116" i="16"/>
  <c r="T116" i="16"/>
  <c r="U116" i="16"/>
  <c r="V116" i="16"/>
  <c r="W116" i="16"/>
  <c r="X116" i="16"/>
  <c r="Y116" i="16"/>
  <c r="Z116" i="16"/>
  <c r="AA116" i="16"/>
  <c r="AB116" i="16"/>
  <c r="AC116" i="16"/>
  <c r="AD116" i="16"/>
  <c r="AE116" i="16"/>
  <c r="AG116" i="16"/>
  <c r="AH116" i="16"/>
  <c r="AI116" i="16"/>
  <c r="AJ116" i="16"/>
  <c r="AK116" i="16"/>
  <c r="AL116" i="16"/>
  <c r="AM116" i="16"/>
  <c r="AN116" i="16"/>
  <c r="AO116" i="16"/>
  <c r="AP116" i="16"/>
  <c r="AQ116" i="16"/>
  <c r="AR116" i="16"/>
  <c r="AS116" i="16"/>
  <c r="AT116" i="16"/>
  <c r="AU116" i="16"/>
  <c r="AV116" i="16"/>
  <c r="AW116" i="16"/>
  <c r="AX116" i="16"/>
  <c r="AY116" i="16"/>
  <c r="AZ116" i="16"/>
  <c r="BA116" i="16"/>
  <c r="BB116" i="16"/>
  <c r="BC116" i="16"/>
  <c r="BD116" i="16"/>
  <c r="BF116" i="16"/>
  <c r="BG116" i="16"/>
  <c r="BH116" i="16"/>
  <c r="BI116" i="16"/>
  <c r="BJ116" i="16"/>
  <c r="BK116" i="16"/>
  <c r="BL116" i="16"/>
  <c r="BM116" i="16"/>
  <c r="BN116" i="16"/>
  <c r="BO116" i="16"/>
  <c r="BP116" i="16"/>
  <c r="BQ116" i="16"/>
  <c r="BR116" i="16"/>
  <c r="BS116" i="16"/>
  <c r="BT116" i="16"/>
  <c r="BU116" i="16"/>
  <c r="BV116" i="16"/>
  <c r="BW116" i="16"/>
  <c r="BX116" i="16"/>
  <c r="BY116" i="16"/>
  <c r="BZ116" i="16"/>
  <c r="CA116" i="16"/>
  <c r="CB116" i="16"/>
  <c r="CC116" i="16"/>
  <c r="CE116" i="16"/>
  <c r="CF116" i="16"/>
  <c r="CG116" i="16"/>
  <c r="CH116" i="16"/>
  <c r="CI116" i="16"/>
  <c r="CJ116" i="16"/>
  <c r="CK116" i="16"/>
  <c r="CL116" i="16"/>
  <c r="CM116" i="16"/>
  <c r="CN116" i="16"/>
  <c r="CO116" i="16"/>
  <c r="CP116" i="16"/>
  <c r="CQ116" i="16"/>
  <c r="CR116" i="16"/>
  <c r="CS116" i="16"/>
  <c r="CT116" i="16"/>
  <c r="CU116" i="16"/>
  <c r="CV116" i="16"/>
  <c r="CW116" i="16"/>
  <c r="CX116" i="16"/>
  <c r="CY116" i="16"/>
  <c r="CZ116" i="16"/>
  <c r="DA116" i="16"/>
  <c r="DB116" i="16"/>
  <c r="DH116" i="16"/>
  <c r="DI116" i="16"/>
  <c r="DJ116" i="16"/>
  <c r="H117" i="16"/>
  <c r="I117" i="16"/>
  <c r="J117" i="16"/>
  <c r="K117" i="16"/>
  <c r="L117" i="16"/>
  <c r="M117" i="16"/>
  <c r="N117" i="16"/>
  <c r="O117" i="16"/>
  <c r="P117" i="16"/>
  <c r="Q117" i="16"/>
  <c r="R117" i="16"/>
  <c r="S117" i="16"/>
  <c r="T117" i="16"/>
  <c r="U117" i="16"/>
  <c r="V117" i="16"/>
  <c r="W117" i="16"/>
  <c r="X117" i="16"/>
  <c r="Y117" i="16"/>
  <c r="Z117" i="16"/>
  <c r="AA117" i="16"/>
  <c r="AB117" i="16"/>
  <c r="AC117" i="16"/>
  <c r="AD117" i="16"/>
  <c r="AE117" i="16"/>
  <c r="AG117" i="16"/>
  <c r="AH117" i="16"/>
  <c r="AI117" i="16"/>
  <c r="AJ117" i="16"/>
  <c r="AK117" i="16"/>
  <c r="AL117" i="16"/>
  <c r="AM117" i="16"/>
  <c r="AN117" i="16"/>
  <c r="AO117" i="16"/>
  <c r="AP117" i="16"/>
  <c r="AQ117" i="16"/>
  <c r="AR117" i="16"/>
  <c r="AS117" i="16"/>
  <c r="AT117" i="16"/>
  <c r="AU117" i="16"/>
  <c r="AV117" i="16"/>
  <c r="AW117" i="16"/>
  <c r="AX117" i="16"/>
  <c r="AY117" i="16"/>
  <c r="AZ117" i="16"/>
  <c r="BA117" i="16"/>
  <c r="BB117" i="16"/>
  <c r="BC117" i="16"/>
  <c r="BD117" i="16"/>
  <c r="BF117" i="16"/>
  <c r="BG117" i="16"/>
  <c r="BH117" i="16"/>
  <c r="BI117" i="16"/>
  <c r="BJ117" i="16"/>
  <c r="BK117" i="16"/>
  <c r="BL117" i="16"/>
  <c r="BM117" i="16"/>
  <c r="BN117" i="16"/>
  <c r="BO117" i="16"/>
  <c r="BP117" i="16"/>
  <c r="BQ117" i="16"/>
  <c r="BR117" i="16"/>
  <c r="BS117" i="16"/>
  <c r="BT117" i="16"/>
  <c r="BU117" i="16"/>
  <c r="BV117" i="16"/>
  <c r="BW117" i="16"/>
  <c r="BX117" i="16"/>
  <c r="BY117" i="16"/>
  <c r="BZ117" i="16"/>
  <c r="CA117" i="16"/>
  <c r="CB117" i="16"/>
  <c r="CC117" i="16"/>
  <c r="CE117" i="16"/>
  <c r="CF117" i="16"/>
  <c r="CG117" i="16"/>
  <c r="CH117" i="16"/>
  <c r="CI117" i="16"/>
  <c r="CJ117" i="16"/>
  <c r="CK117" i="16"/>
  <c r="CL117" i="16"/>
  <c r="CM117" i="16"/>
  <c r="CN117" i="16"/>
  <c r="CO117" i="16"/>
  <c r="CP117" i="16"/>
  <c r="CQ117" i="16"/>
  <c r="CR117" i="16"/>
  <c r="CS117" i="16"/>
  <c r="CT117" i="16"/>
  <c r="CU117" i="16"/>
  <c r="CV117" i="16"/>
  <c r="CW117" i="16"/>
  <c r="CX117" i="16"/>
  <c r="CY117" i="16"/>
  <c r="CZ117" i="16"/>
  <c r="DA117" i="16"/>
  <c r="DB117" i="16"/>
  <c r="DH117" i="16"/>
  <c r="DI117" i="16"/>
  <c r="DJ117" i="16"/>
  <c r="H118" i="16"/>
  <c r="I118" i="16"/>
  <c r="J118" i="16"/>
  <c r="K118" i="16"/>
  <c r="L118" i="16"/>
  <c r="M118" i="16"/>
  <c r="N118" i="16"/>
  <c r="O118" i="16"/>
  <c r="P118" i="16"/>
  <c r="Q118" i="16"/>
  <c r="R118" i="16"/>
  <c r="S118" i="16"/>
  <c r="T118" i="16"/>
  <c r="U118" i="16"/>
  <c r="V118" i="16"/>
  <c r="W118" i="16"/>
  <c r="X118" i="16"/>
  <c r="Y118" i="16"/>
  <c r="Z118" i="16"/>
  <c r="AA118" i="16"/>
  <c r="AB118" i="16"/>
  <c r="AC118" i="16"/>
  <c r="AD118" i="16"/>
  <c r="AE118" i="16"/>
  <c r="AG118" i="16"/>
  <c r="AH118" i="16"/>
  <c r="AI118" i="16"/>
  <c r="AJ118" i="16"/>
  <c r="AK118" i="16"/>
  <c r="AL118" i="16"/>
  <c r="AM118" i="16"/>
  <c r="AN118" i="16"/>
  <c r="AO118" i="16"/>
  <c r="AP118" i="16"/>
  <c r="AQ118" i="16"/>
  <c r="AR118" i="16"/>
  <c r="AS118" i="16"/>
  <c r="AT118" i="16"/>
  <c r="AU118" i="16"/>
  <c r="AV118" i="16"/>
  <c r="AW118" i="16"/>
  <c r="AX118" i="16"/>
  <c r="AY118" i="16"/>
  <c r="AZ118" i="16"/>
  <c r="BA118" i="16"/>
  <c r="BB118" i="16"/>
  <c r="BC118" i="16"/>
  <c r="BD118" i="16"/>
  <c r="BF118" i="16"/>
  <c r="BG118" i="16"/>
  <c r="BH118" i="16"/>
  <c r="BI118" i="16"/>
  <c r="BJ118" i="16"/>
  <c r="BK118" i="16"/>
  <c r="BL118" i="16"/>
  <c r="BM118" i="16"/>
  <c r="BN118" i="16"/>
  <c r="BO118" i="16"/>
  <c r="BP118" i="16"/>
  <c r="BQ118" i="16"/>
  <c r="BR118" i="16"/>
  <c r="BS118" i="16"/>
  <c r="BT118" i="16"/>
  <c r="BU118" i="16"/>
  <c r="BV118" i="16"/>
  <c r="BW118" i="16"/>
  <c r="BX118" i="16"/>
  <c r="BY118" i="16"/>
  <c r="BZ118" i="16"/>
  <c r="CA118" i="16"/>
  <c r="CB118" i="16"/>
  <c r="CC118" i="16"/>
  <c r="CE118" i="16"/>
  <c r="CF118" i="16"/>
  <c r="CG118" i="16"/>
  <c r="CH118" i="16"/>
  <c r="CI118" i="16"/>
  <c r="CJ118" i="16"/>
  <c r="CK118" i="16"/>
  <c r="CL118" i="16"/>
  <c r="CM118" i="16"/>
  <c r="CN118" i="16"/>
  <c r="CO118" i="16"/>
  <c r="CP118" i="16"/>
  <c r="CQ118" i="16"/>
  <c r="CR118" i="16"/>
  <c r="CS118" i="16"/>
  <c r="CT118" i="16"/>
  <c r="CU118" i="16"/>
  <c r="CV118" i="16"/>
  <c r="CW118" i="16"/>
  <c r="CX118" i="16"/>
  <c r="CY118" i="16"/>
  <c r="CZ118" i="16"/>
  <c r="DA118" i="16"/>
  <c r="DB118" i="16"/>
  <c r="DH118" i="16"/>
  <c r="DI118" i="16"/>
  <c r="DJ118" i="16"/>
  <c r="H119" i="16"/>
  <c r="I119" i="16"/>
  <c r="J119" i="16"/>
  <c r="K119" i="16"/>
  <c r="L119" i="16"/>
  <c r="M119" i="16"/>
  <c r="N119" i="16"/>
  <c r="O119" i="16"/>
  <c r="P119" i="16"/>
  <c r="Q119" i="16"/>
  <c r="R119" i="16"/>
  <c r="S119" i="16"/>
  <c r="T119" i="16"/>
  <c r="U119" i="16"/>
  <c r="V119" i="16"/>
  <c r="W119" i="16"/>
  <c r="X119" i="16"/>
  <c r="Y119" i="16"/>
  <c r="Z119" i="16"/>
  <c r="AA119" i="16"/>
  <c r="AB119" i="16"/>
  <c r="AC119" i="16"/>
  <c r="AD119" i="16"/>
  <c r="AE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B119" i="16"/>
  <c r="BC119" i="16"/>
  <c r="BD119" i="16"/>
  <c r="BF119" i="16"/>
  <c r="BG119" i="16"/>
  <c r="BH119" i="16"/>
  <c r="BI119" i="16"/>
  <c r="BJ119" i="16"/>
  <c r="BK119" i="16"/>
  <c r="BL119" i="16"/>
  <c r="BM119" i="16"/>
  <c r="BN119" i="16"/>
  <c r="BO119" i="16"/>
  <c r="BP119" i="16"/>
  <c r="BQ119" i="16"/>
  <c r="BR119" i="16"/>
  <c r="BS119" i="16"/>
  <c r="BT119" i="16"/>
  <c r="BU119" i="16"/>
  <c r="BV119" i="16"/>
  <c r="BW119" i="16"/>
  <c r="BX119" i="16"/>
  <c r="BY119" i="16"/>
  <c r="BZ119" i="16"/>
  <c r="CA119" i="16"/>
  <c r="CB119" i="16"/>
  <c r="CC119" i="16"/>
  <c r="CE119" i="16"/>
  <c r="CF119" i="16"/>
  <c r="CG119" i="16"/>
  <c r="CH119" i="16"/>
  <c r="CI119" i="16"/>
  <c r="CJ119" i="16"/>
  <c r="CK119" i="16"/>
  <c r="CL119" i="16"/>
  <c r="CM119" i="16"/>
  <c r="CN119" i="16"/>
  <c r="CO119" i="16"/>
  <c r="CP119" i="16"/>
  <c r="CQ119" i="16"/>
  <c r="CR119" i="16"/>
  <c r="CS119" i="16"/>
  <c r="CT119" i="16"/>
  <c r="CU119" i="16"/>
  <c r="CV119" i="16"/>
  <c r="CW119" i="16"/>
  <c r="CX119" i="16"/>
  <c r="CY119" i="16"/>
  <c r="CZ119" i="16"/>
  <c r="DA119" i="16"/>
  <c r="DB119" i="16"/>
  <c r="DH119" i="16"/>
  <c r="DI119" i="16"/>
  <c r="DJ119" i="16"/>
  <c r="H120" i="16"/>
  <c r="I120" i="16"/>
  <c r="J120" i="16"/>
  <c r="K120" i="16"/>
  <c r="L120" i="16"/>
  <c r="M120" i="16"/>
  <c r="N120" i="16"/>
  <c r="O120" i="16"/>
  <c r="P120" i="16"/>
  <c r="Q120" i="16"/>
  <c r="R120" i="16"/>
  <c r="S120" i="16"/>
  <c r="T120" i="16"/>
  <c r="U120" i="16"/>
  <c r="V120" i="16"/>
  <c r="W120" i="16"/>
  <c r="X120" i="16"/>
  <c r="Y120" i="16"/>
  <c r="Z120" i="16"/>
  <c r="AA120" i="16"/>
  <c r="AB120" i="16"/>
  <c r="AC120" i="16"/>
  <c r="AD120" i="16"/>
  <c r="AE120" i="16"/>
  <c r="AG120" i="16"/>
  <c r="AH120" i="16"/>
  <c r="AI120" i="16"/>
  <c r="AJ120" i="16"/>
  <c r="AK120" i="16"/>
  <c r="AL120" i="16"/>
  <c r="AM120" i="16"/>
  <c r="AN120" i="16"/>
  <c r="AO120" i="16"/>
  <c r="AP120" i="16"/>
  <c r="AQ120" i="16"/>
  <c r="AR120" i="16"/>
  <c r="AS120" i="16"/>
  <c r="AT120" i="16"/>
  <c r="AU120" i="16"/>
  <c r="AV120" i="16"/>
  <c r="AW120" i="16"/>
  <c r="AX120" i="16"/>
  <c r="AY120" i="16"/>
  <c r="AZ120" i="16"/>
  <c r="BA120" i="16"/>
  <c r="BB120" i="16"/>
  <c r="BC120" i="16"/>
  <c r="BD120" i="16"/>
  <c r="BF120" i="16"/>
  <c r="BG120" i="16"/>
  <c r="BH120" i="16"/>
  <c r="BI120" i="16"/>
  <c r="BJ120" i="16"/>
  <c r="BK120" i="16"/>
  <c r="BL120" i="16"/>
  <c r="BM120" i="16"/>
  <c r="BN120" i="16"/>
  <c r="BO120" i="16"/>
  <c r="BP120" i="16"/>
  <c r="BQ120" i="16"/>
  <c r="BR120" i="16"/>
  <c r="BS120" i="16"/>
  <c r="BT120" i="16"/>
  <c r="BU120" i="16"/>
  <c r="BV120" i="16"/>
  <c r="BW120" i="16"/>
  <c r="BX120" i="16"/>
  <c r="BY120" i="16"/>
  <c r="BZ120" i="16"/>
  <c r="CA120" i="16"/>
  <c r="CB120" i="16"/>
  <c r="CC120" i="16"/>
  <c r="CE120" i="16"/>
  <c r="CF120" i="16"/>
  <c r="CG120" i="16"/>
  <c r="CH120" i="16"/>
  <c r="CI120" i="16"/>
  <c r="CJ120" i="16"/>
  <c r="CK120" i="16"/>
  <c r="CL120" i="16"/>
  <c r="CM120" i="16"/>
  <c r="CN120" i="16"/>
  <c r="CO120" i="16"/>
  <c r="CP120" i="16"/>
  <c r="CQ120" i="16"/>
  <c r="CR120" i="16"/>
  <c r="CS120" i="16"/>
  <c r="CT120" i="16"/>
  <c r="CU120" i="16"/>
  <c r="CV120" i="16"/>
  <c r="CW120" i="16"/>
  <c r="CX120" i="16"/>
  <c r="CY120" i="16"/>
  <c r="CZ120" i="16"/>
  <c r="DA120" i="16"/>
  <c r="DB120" i="16"/>
  <c r="DH120" i="16"/>
  <c r="DI120" i="16"/>
  <c r="DJ120" i="16"/>
  <c r="H121" i="16"/>
  <c r="I121" i="16"/>
  <c r="J121" i="16"/>
  <c r="K121" i="16"/>
  <c r="L121" i="16"/>
  <c r="M121" i="16"/>
  <c r="N121" i="16"/>
  <c r="O121" i="16"/>
  <c r="P121" i="16"/>
  <c r="Q121" i="16"/>
  <c r="R121" i="16"/>
  <c r="S121" i="16"/>
  <c r="T121" i="16"/>
  <c r="U121" i="16"/>
  <c r="V121" i="16"/>
  <c r="W121" i="16"/>
  <c r="X121" i="16"/>
  <c r="Y121" i="16"/>
  <c r="Z121" i="16"/>
  <c r="AA121" i="16"/>
  <c r="AB121" i="16"/>
  <c r="AC121" i="16"/>
  <c r="AD121" i="16"/>
  <c r="AE121" i="16"/>
  <c r="AG121" i="16"/>
  <c r="AH121" i="16"/>
  <c r="AI121" i="16"/>
  <c r="AJ121" i="16"/>
  <c r="AK121" i="16"/>
  <c r="AL121" i="16"/>
  <c r="AM121" i="16"/>
  <c r="AN121" i="16"/>
  <c r="AO121" i="16"/>
  <c r="AP121" i="16"/>
  <c r="AQ121" i="16"/>
  <c r="AR121" i="16"/>
  <c r="AS121" i="16"/>
  <c r="AT121" i="16"/>
  <c r="AU121" i="16"/>
  <c r="AV121" i="16"/>
  <c r="AW121" i="16"/>
  <c r="AX121" i="16"/>
  <c r="AY121" i="16"/>
  <c r="AZ121" i="16"/>
  <c r="BA121" i="16"/>
  <c r="BB121" i="16"/>
  <c r="BC121" i="16"/>
  <c r="BD121" i="16"/>
  <c r="BF121" i="16"/>
  <c r="BG121" i="16"/>
  <c r="BH121" i="16"/>
  <c r="BI121" i="16"/>
  <c r="BJ121" i="16"/>
  <c r="BK121" i="16"/>
  <c r="BL121" i="16"/>
  <c r="BM121" i="16"/>
  <c r="BN121" i="16"/>
  <c r="BO121" i="16"/>
  <c r="BP121" i="16"/>
  <c r="BQ121" i="16"/>
  <c r="BR121" i="16"/>
  <c r="BS121" i="16"/>
  <c r="BT121" i="16"/>
  <c r="BU121" i="16"/>
  <c r="BV121" i="16"/>
  <c r="BW121" i="16"/>
  <c r="BX121" i="16"/>
  <c r="BY121" i="16"/>
  <c r="BZ121" i="16"/>
  <c r="CA121" i="16"/>
  <c r="CB121" i="16"/>
  <c r="CC121" i="16"/>
  <c r="CE121" i="16"/>
  <c r="CF121" i="16"/>
  <c r="CG121" i="16"/>
  <c r="CH121" i="16"/>
  <c r="CI121" i="16"/>
  <c r="CJ121" i="16"/>
  <c r="CK121" i="16"/>
  <c r="CL121" i="16"/>
  <c r="CM121" i="16"/>
  <c r="CN121" i="16"/>
  <c r="CO121" i="16"/>
  <c r="CP121" i="16"/>
  <c r="CQ121" i="16"/>
  <c r="CR121" i="16"/>
  <c r="CS121" i="16"/>
  <c r="CT121" i="16"/>
  <c r="CU121" i="16"/>
  <c r="CV121" i="16"/>
  <c r="CW121" i="16"/>
  <c r="CX121" i="16"/>
  <c r="CY121" i="16"/>
  <c r="CZ121" i="16"/>
  <c r="DA121" i="16"/>
  <c r="DB121" i="16"/>
  <c r="DH121" i="16"/>
  <c r="DI121" i="16"/>
  <c r="DJ121" i="16"/>
  <c r="H122" i="16"/>
  <c r="I122" i="16"/>
  <c r="J122" i="16"/>
  <c r="K122" i="16"/>
  <c r="L122" i="16"/>
  <c r="M122" i="16"/>
  <c r="N122" i="16"/>
  <c r="O122" i="16"/>
  <c r="P122" i="16"/>
  <c r="Q122" i="16"/>
  <c r="R122" i="16"/>
  <c r="S122" i="16"/>
  <c r="T122" i="16"/>
  <c r="U122" i="16"/>
  <c r="V122" i="16"/>
  <c r="W122" i="16"/>
  <c r="X122" i="16"/>
  <c r="Y122" i="16"/>
  <c r="Z122" i="16"/>
  <c r="AA122" i="16"/>
  <c r="AB122" i="16"/>
  <c r="AC122" i="16"/>
  <c r="AD122" i="16"/>
  <c r="AE122" i="16"/>
  <c r="AG122" i="16"/>
  <c r="AH122" i="16"/>
  <c r="AI122" i="16"/>
  <c r="AJ122" i="16"/>
  <c r="AK122" i="16"/>
  <c r="AL122" i="16"/>
  <c r="AM122" i="16"/>
  <c r="AN122" i="16"/>
  <c r="AO122" i="16"/>
  <c r="AP122" i="16"/>
  <c r="AQ122" i="16"/>
  <c r="AR122" i="16"/>
  <c r="AS122" i="16"/>
  <c r="AT122" i="16"/>
  <c r="AU122" i="16"/>
  <c r="AV122" i="16"/>
  <c r="AW122" i="16"/>
  <c r="AX122" i="16"/>
  <c r="AY122" i="16"/>
  <c r="AZ122" i="16"/>
  <c r="BA122" i="16"/>
  <c r="BB122" i="16"/>
  <c r="BC122" i="16"/>
  <c r="BD122" i="16"/>
  <c r="BF122" i="16"/>
  <c r="BG122" i="16"/>
  <c r="BH122" i="16"/>
  <c r="BI122" i="16"/>
  <c r="BJ122" i="16"/>
  <c r="BK122" i="16"/>
  <c r="BL122" i="16"/>
  <c r="BM122" i="16"/>
  <c r="BN122" i="16"/>
  <c r="BO122" i="16"/>
  <c r="BP122" i="16"/>
  <c r="BQ122" i="16"/>
  <c r="BR122" i="16"/>
  <c r="BS122" i="16"/>
  <c r="BT122" i="16"/>
  <c r="BU122" i="16"/>
  <c r="BV122" i="16"/>
  <c r="BW122" i="16"/>
  <c r="BX122" i="16"/>
  <c r="BY122" i="16"/>
  <c r="BZ122" i="16"/>
  <c r="CA122" i="16"/>
  <c r="CB122" i="16"/>
  <c r="CC122" i="16"/>
  <c r="CE122" i="16"/>
  <c r="CF122" i="16"/>
  <c r="CG122" i="16"/>
  <c r="CH122" i="16"/>
  <c r="CI122" i="16"/>
  <c r="CJ122" i="16"/>
  <c r="CK122" i="16"/>
  <c r="CL122" i="16"/>
  <c r="CM122" i="16"/>
  <c r="CN122" i="16"/>
  <c r="CO122" i="16"/>
  <c r="CP122" i="16"/>
  <c r="CQ122" i="16"/>
  <c r="CR122" i="16"/>
  <c r="CS122" i="16"/>
  <c r="CT122" i="16"/>
  <c r="CU122" i="16"/>
  <c r="CV122" i="16"/>
  <c r="CW122" i="16"/>
  <c r="CX122" i="16"/>
  <c r="CY122" i="16"/>
  <c r="CZ122" i="16"/>
  <c r="DA122" i="16"/>
  <c r="DB122" i="16"/>
  <c r="DH122" i="16"/>
  <c r="DI122" i="16"/>
  <c r="DJ122" i="16"/>
  <c r="H123" i="16"/>
  <c r="I123" i="16"/>
  <c r="J123" i="16"/>
  <c r="K123" i="16"/>
  <c r="L123" i="16"/>
  <c r="M123" i="16"/>
  <c r="N123" i="16"/>
  <c r="O123" i="16"/>
  <c r="P123" i="16"/>
  <c r="Q123" i="16"/>
  <c r="R123" i="16"/>
  <c r="S123" i="16"/>
  <c r="T123" i="16"/>
  <c r="U123" i="16"/>
  <c r="V123" i="16"/>
  <c r="W123" i="16"/>
  <c r="X123" i="16"/>
  <c r="Y123" i="16"/>
  <c r="Z123" i="16"/>
  <c r="AA123" i="16"/>
  <c r="AB123" i="16"/>
  <c r="AC123" i="16"/>
  <c r="AD123" i="16"/>
  <c r="AE123" i="16"/>
  <c r="AG123" i="16"/>
  <c r="AH123" i="16"/>
  <c r="AI123" i="16"/>
  <c r="AJ123" i="16"/>
  <c r="AK123" i="16"/>
  <c r="AL123" i="16"/>
  <c r="AM123" i="16"/>
  <c r="AN123" i="16"/>
  <c r="AO123" i="16"/>
  <c r="AP123" i="16"/>
  <c r="AQ123" i="16"/>
  <c r="AR123" i="16"/>
  <c r="AS123" i="16"/>
  <c r="AT123" i="16"/>
  <c r="AU123" i="16"/>
  <c r="AV123" i="16"/>
  <c r="AW123" i="16"/>
  <c r="AX123" i="16"/>
  <c r="AY123" i="16"/>
  <c r="AZ123" i="16"/>
  <c r="BA123" i="16"/>
  <c r="BB123" i="16"/>
  <c r="BC123" i="16"/>
  <c r="BD123" i="16"/>
  <c r="BF123" i="16"/>
  <c r="BG123" i="16"/>
  <c r="BH123" i="16"/>
  <c r="BI123" i="16"/>
  <c r="BJ123" i="16"/>
  <c r="BK123" i="16"/>
  <c r="BL123" i="16"/>
  <c r="BM123" i="16"/>
  <c r="BN123" i="16"/>
  <c r="BO123" i="16"/>
  <c r="BP123" i="16"/>
  <c r="BQ123" i="16"/>
  <c r="BR123" i="16"/>
  <c r="BS123" i="16"/>
  <c r="BT123" i="16"/>
  <c r="BU123" i="16"/>
  <c r="BV123" i="16"/>
  <c r="BW123" i="16"/>
  <c r="BX123" i="16"/>
  <c r="BY123" i="16"/>
  <c r="BZ123" i="16"/>
  <c r="CA123" i="16"/>
  <c r="CB123" i="16"/>
  <c r="CC123" i="16"/>
  <c r="CE123" i="16"/>
  <c r="CF123" i="16"/>
  <c r="CG123" i="16"/>
  <c r="CH123" i="16"/>
  <c r="CI123" i="16"/>
  <c r="CJ123" i="16"/>
  <c r="CK123" i="16"/>
  <c r="CL123" i="16"/>
  <c r="CM123" i="16"/>
  <c r="CN123" i="16"/>
  <c r="CO123" i="16"/>
  <c r="CP123" i="16"/>
  <c r="CQ123" i="16"/>
  <c r="CR123" i="16"/>
  <c r="CS123" i="16"/>
  <c r="CT123" i="16"/>
  <c r="CU123" i="16"/>
  <c r="CV123" i="16"/>
  <c r="CW123" i="16"/>
  <c r="CX123" i="16"/>
  <c r="CY123" i="16"/>
  <c r="CZ123" i="16"/>
  <c r="DA123" i="16"/>
  <c r="DB123" i="16"/>
  <c r="DH123" i="16"/>
  <c r="DI123" i="16"/>
  <c r="DJ123" i="16"/>
  <c r="H124" i="16"/>
  <c r="I124" i="16"/>
  <c r="J124" i="16"/>
  <c r="K124" i="16"/>
  <c r="L124" i="16"/>
  <c r="M124" i="16"/>
  <c r="N124" i="16"/>
  <c r="O124" i="16"/>
  <c r="P124" i="16"/>
  <c r="Q124" i="16"/>
  <c r="R124" i="16"/>
  <c r="S124" i="16"/>
  <c r="T124" i="16"/>
  <c r="U124" i="16"/>
  <c r="V124" i="16"/>
  <c r="W124" i="16"/>
  <c r="X124" i="16"/>
  <c r="Y124" i="16"/>
  <c r="Z124" i="16"/>
  <c r="AA124" i="16"/>
  <c r="AB124" i="16"/>
  <c r="AC124" i="16"/>
  <c r="AD124" i="16"/>
  <c r="AE124" i="16"/>
  <c r="AG124" i="16"/>
  <c r="AH124" i="16"/>
  <c r="AI124" i="16"/>
  <c r="AJ124" i="16"/>
  <c r="AK124" i="16"/>
  <c r="AL124" i="16"/>
  <c r="AM124" i="16"/>
  <c r="AN124" i="16"/>
  <c r="AO124" i="16"/>
  <c r="AP124" i="16"/>
  <c r="AQ124" i="16"/>
  <c r="AR124" i="16"/>
  <c r="AS124" i="16"/>
  <c r="AT124" i="16"/>
  <c r="AU124" i="16"/>
  <c r="AV124" i="16"/>
  <c r="AW124" i="16"/>
  <c r="AX124" i="16"/>
  <c r="AY124" i="16"/>
  <c r="AZ124" i="16"/>
  <c r="BA124" i="16"/>
  <c r="BB124" i="16"/>
  <c r="BC124" i="16"/>
  <c r="BD124" i="16"/>
  <c r="BF124" i="16"/>
  <c r="BG124" i="16"/>
  <c r="BH124" i="16"/>
  <c r="BI124" i="16"/>
  <c r="BJ124" i="16"/>
  <c r="BK124" i="16"/>
  <c r="BL124" i="16"/>
  <c r="BM124" i="16"/>
  <c r="BN124" i="16"/>
  <c r="BO124" i="16"/>
  <c r="BP124" i="16"/>
  <c r="BQ124" i="16"/>
  <c r="BR124" i="16"/>
  <c r="BS124" i="16"/>
  <c r="BT124" i="16"/>
  <c r="BU124" i="16"/>
  <c r="BV124" i="16"/>
  <c r="BW124" i="16"/>
  <c r="BX124" i="16"/>
  <c r="BY124" i="16"/>
  <c r="BZ124" i="16"/>
  <c r="CA124" i="16"/>
  <c r="CB124" i="16"/>
  <c r="CC124" i="16"/>
  <c r="CE124" i="16"/>
  <c r="CF124" i="16"/>
  <c r="CG124" i="16"/>
  <c r="CH124" i="16"/>
  <c r="CI124" i="16"/>
  <c r="CJ124" i="16"/>
  <c r="CK124" i="16"/>
  <c r="CL124" i="16"/>
  <c r="CM124" i="16"/>
  <c r="CN124" i="16"/>
  <c r="CO124" i="16"/>
  <c r="CP124" i="16"/>
  <c r="CQ124" i="16"/>
  <c r="CR124" i="16"/>
  <c r="CS124" i="16"/>
  <c r="CT124" i="16"/>
  <c r="CU124" i="16"/>
  <c r="CV124" i="16"/>
  <c r="CW124" i="16"/>
  <c r="CX124" i="16"/>
  <c r="CY124" i="16"/>
  <c r="CZ124" i="16"/>
  <c r="DA124" i="16"/>
  <c r="DB124" i="16"/>
  <c r="DH124" i="16"/>
  <c r="DI124" i="16"/>
  <c r="DJ124" i="16"/>
  <c r="H125" i="16"/>
  <c r="I125" i="16"/>
  <c r="J125" i="16"/>
  <c r="K125" i="16"/>
  <c r="L125" i="16"/>
  <c r="M125" i="16"/>
  <c r="N125" i="16"/>
  <c r="O125" i="16"/>
  <c r="P125" i="16"/>
  <c r="Q125" i="16"/>
  <c r="R125" i="16"/>
  <c r="S125" i="16"/>
  <c r="T125" i="16"/>
  <c r="U125" i="16"/>
  <c r="V125" i="16"/>
  <c r="W125" i="16"/>
  <c r="X125" i="16"/>
  <c r="Y125" i="16"/>
  <c r="Z125" i="16"/>
  <c r="AA125" i="16"/>
  <c r="AB125" i="16"/>
  <c r="AC125" i="16"/>
  <c r="AD125" i="16"/>
  <c r="AE125" i="16"/>
  <c r="AG125" i="16"/>
  <c r="AH125" i="16"/>
  <c r="AI125" i="16"/>
  <c r="AJ125" i="16"/>
  <c r="AK125" i="16"/>
  <c r="AL125" i="16"/>
  <c r="AM125" i="16"/>
  <c r="AN125" i="16"/>
  <c r="AO125" i="16"/>
  <c r="AP125" i="16"/>
  <c r="AQ125" i="16"/>
  <c r="AR125" i="16"/>
  <c r="AS125" i="16"/>
  <c r="AT125" i="16"/>
  <c r="AU125" i="16"/>
  <c r="AV125" i="16"/>
  <c r="AW125" i="16"/>
  <c r="AX125" i="16"/>
  <c r="AY125" i="16"/>
  <c r="AZ125" i="16"/>
  <c r="BA125" i="16"/>
  <c r="BB125" i="16"/>
  <c r="BC125" i="16"/>
  <c r="BD125" i="16"/>
  <c r="BF125" i="16"/>
  <c r="BG125" i="16"/>
  <c r="BH125" i="16"/>
  <c r="BI125" i="16"/>
  <c r="BJ125" i="16"/>
  <c r="BK125" i="16"/>
  <c r="BL125" i="16"/>
  <c r="BM125" i="16"/>
  <c r="BN125" i="16"/>
  <c r="BO125" i="16"/>
  <c r="BP125" i="16"/>
  <c r="BQ125" i="16"/>
  <c r="BR125" i="16"/>
  <c r="BS125" i="16"/>
  <c r="BT125" i="16"/>
  <c r="BU125" i="16"/>
  <c r="BV125" i="16"/>
  <c r="BW125" i="16"/>
  <c r="BX125" i="16"/>
  <c r="BY125" i="16"/>
  <c r="BZ125" i="16"/>
  <c r="CA125" i="16"/>
  <c r="CB125" i="16"/>
  <c r="CC125" i="16"/>
  <c r="CE125" i="16"/>
  <c r="CF125" i="16"/>
  <c r="CG125" i="16"/>
  <c r="CH125" i="16"/>
  <c r="CI125" i="16"/>
  <c r="CJ125" i="16"/>
  <c r="CK125" i="16"/>
  <c r="CL125" i="16"/>
  <c r="CM125" i="16"/>
  <c r="CN125" i="16"/>
  <c r="CO125" i="16"/>
  <c r="CP125" i="16"/>
  <c r="CQ125" i="16"/>
  <c r="CR125" i="16"/>
  <c r="CS125" i="16"/>
  <c r="CT125" i="16"/>
  <c r="CU125" i="16"/>
  <c r="CV125" i="16"/>
  <c r="CW125" i="16"/>
  <c r="CX125" i="16"/>
  <c r="CY125" i="16"/>
  <c r="CZ125" i="16"/>
  <c r="DA125" i="16"/>
  <c r="DB125" i="16"/>
  <c r="DH125" i="16"/>
  <c r="DI125" i="16"/>
  <c r="DJ125" i="16"/>
  <c r="DH131" i="16"/>
  <c r="DJ131" i="16"/>
</calcChain>
</file>

<file path=xl/comments1.xml><?xml version="1.0" encoding="utf-8"?>
<comments xmlns="http://schemas.openxmlformats.org/spreadsheetml/2006/main">
  <authors>
    <author>bmorse</author>
  </authors>
  <commentList>
    <comment ref="H1" authorId="0" shapeId="0">
      <text>
        <r>
          <rPr>
            <b/>
            <sz val="8"/>
            <color indexed="81"/>
            <rFont val="Tahoma"/>
          </rPr>
          <t>bmorse:</t>
        </r>
        <r>
          <rPr>
            <sz val="8"/>
            <color indexed="81"/>
            <rFont val="Tahoma"/>
          </rPr>
          <t xml:space="preserve">
</t>
        </r>
        <r>
          <rPr>
            <sz val="14"/>
            <color indexed="81"/>
            <rFont val="Tahoma"/>
            <family val="2"/>
          </rPr>
          <t xml:space="preserve">This page calculates the total value of the EES short retail position by multiplying the forecasted load with the corresponding curve (Weekday, Sat, Sun) at the mid with the scalar and the number of days in the month to arrive at a inherent value of that position based on the curves.
</t>
        </r>
      </text>
    </comment>
  </commentList>
</comments>
</file>

<file path=xl/comments2.xml><?xml version="1.0" encoding="utf-8"?>
<comments xmlns="http://schemas.openxmlformats.org/spreadsheetml/2006/main">
  <authors>
    <author>bmorse</author>
  </authors>
  <commentList>
    <comment ref="H1" authorId="0" shapeId="0">
      <text>
        <r>
          <rPr>
            <b/>
            <sz val="8"/>
            <color indexed="81"/>
            <rFont val="Tahoma"/>
          </rPr>
          <t>bmorse:</t>
        </r>
        <r>
          <rPr>
            <sz val="8"/>
            <color indexed="81"/>
            <rFont val="Tahoma"/>
          </rPr>
          <t xml:space="preserve">
</t>
        </r>
        <r>
          <rPr>
            <sz val="14"/>
            <color indexed="81"/>
            <rFont val="Tahoma"/>
            <family val="2"/>
          </rPr>
          <t xml:space="preserve">This page calculates the total value of the EES short retail position by multiplying the forecasted load with the corresponding curve (Weekday, Sat, Sun) at the bid with the scalar and the number of days in the month to arrive at a inherent value of that position based on the curves.
</t>
        </r>
      </text>
    </comment>
  </commentList>
</comments>
</file>

<file path=xl/comments3.xml><?xml version="1.0" encoding="utf-8"?>
<comments xmlns="http://schemas.openxmlformats.org/spreadsheetml/2006/main">
  <authors>
    <author>bmorse</author>
  </authors>
  <commentList>
    <comment ref="H1" authorId="0" shapeId="0">
      <text>
        <r>
          <rPr>
            <b/>
            <sz val="8"/>
            <color indexed="81"/>
            <rFont val="Tahoma"/>
          </rPr>
          <t>bmorse:</t>
        </r>
        <r>
          <rPr>
            <sz val="8"/>
            <color indexed="81"/>
            <rFont val="Tahoma"/>
          </rPr>
          <t xml:space="preserve">
</t>
        </r>
        <r>
          <rPr>
            <sz val="14"/>
            <color indexed="81"/>
            <rFont val="Tahoma"/>
            <family val="2"/>
          </rPr>
          <t xml:space="preserve">This page calculates the total value of the EES short retail position by multiplying the forecasted load with the corresponding curve (Weekday, Sat, Sun) at the bid with the scalar and the number of days in the month to arrive at a inherent value of that position based on the curves.
</t>
        </r>
      </text>
    </comment>
  </commentList>
</comments>
</file>

<file path=xl/comments4.xml><?xml version="1.0" encoding="utf-8"?>
<comments xmlns="http://schemas.openxmlformats.org/spreadsheetml/2006/main">
  <authors>
    <author>bmorse</author>
  </authors>
  <commentList>
    <comment ref="H1" authorId="0" shapeId="0">
      <text>
        <r>
          <rPr>
            <b/>
            <sz val="8"/>
            <color indexed="81"/>
            <rFont val="Tahoma"/>
          </rPr>
          <t>bmorse:</t>
        </r>
        <r>
          <rPr>
            <sz val="8"/>
            <color indexed="81"/>
            <rFont val="Tahoma"/>
          </rPr>
          <t xml:space="preserve">
</t>
        </r>
        <r>
          <rPr>
            <sz val="14"/>
            <color indexed="81"/>
            <rFont val="Tahoma"/>
            <family val="2"/>
          </rPr>
          <t xml:space="preserve">This page calculates the total value of the EES short retail position by multiplying the forecasted load with the corresponding curve (Weekday, Sat, Sun) at the mid with the scalar and the number of days in the month to arrive at a inherent value of that position based on the curves.
</t>
        </r>
      </text>
    </comment>
  </commentList>
</comments>
</file>

<file path=xl/sharedStrings.xml><?xml version="1.0" encoding="utf-8"?>
<sst xmlns="http://schemas.openxmlformats.org/spreadsheetml/2006/main" count="2503" uniqueCount="624">
  <si>
    <t>Feel free to call me if you have any questions. Pavel (x34778).</t>
  </si>
  <si>
    <t>Pricing Date</t>
  </si>
  <si>
    <t>Swap/Swaption/Collar Take</t>
  </si>
  <si>
    <t>Hourly Volume (MW)</t>
  </si>
  <si>
    <t>Volume Escalator</t>
  </si>
  <si>
    <t>Monthly Power Volume Override</t>
  </si>
  <si>
    <t>Regular Hourly Volume Override</t>
  </si>
  <si>
    <t>Monthly Options</t>
  </si>
  <si>
    <t>Daily Options</t>
  </si>
  <si>
    <t>Monthly</t>
  </si>
  <si>
    <t>Blended</t>
  </si>
  <si>
    <t>Daily</t>
  </si>
  <si>
    <t>Blue Cells Are Controlled By Option Buttons.</t>
  </si>
  <si>
    <t>Curve Date</t>
  </si>
  <si>
    <t>Option Take</t>
  </si>
  <si>
    <t>Month</t>
  </si>
  <si>
    <t>Regular</t>
  </si>
  <si>
    <t>Diff.Opt.</t>
  </si>
  <si>
    <t>Peak / Off-Peak</t>
  </si>
  <si>
    <t>Hour</t>
  </si>
  <si>
    <t>Mon-Fri</t>
  </si>
  <si>
    <t>Sat</t>
  </si>
  <si>
    <t>Sun</t>
  </si>
  <si>
    <t>Hol</t>
  </si>
  <si>
    <t>DF</t>
  </si>
  <si>
    <t>Bid</t>
  </si>
  <si>
    <t>Offer</t>
  </si>
  <si>
    <t>Vol</t>
  </si>
  <si>
    <t>Names</t>
  </si>
  <si>
    <t>Week Definition</t>
  </si>
  <si>
    <t>Peak Period</t>
  </si>
  <si>
    <t>Power Region</t>
  </si>
  <si>
    <t>Price Escalator</t>
  </si>
  <si>
    <t>Knock-Out</t>
  </si>
  <si>
    <t>Volume</t>
  </si>
  <si>
    <t>Price</t>
  </si>
  <si>
    <t>Strike</t>
  </si>
  <si>
    <t>Prem</t>
  </si>
  <si>
    <t>C/P</t>
  </si>
  <si>
    <t>Volume Monthly Over</t>
  </si>
  <si>
    <t>Off-Peak Period</t>
  </si>
  <si>
    <t>Basis</t>
  </si>
  <si>
    <t>Hours:</t>
  </si>
  <si>
    <t xml:space="preserve">  Week Definition</t>
  </si>
  <si>
    <t>Diff. Opt. Volume Flag</t>
  </si>
  <si>
    <t>Volume Escalation</t>
  </si>
  <si>
    <t>Popular Hours Used Table</t>
  </si>
  <si>
    <t>Mon-Sun, 7x24</t>
  </si>
  <si>
    <t>Mon-Sat, 6x16</t>
  </si>
  <si>
    <t>6x8+24</t>
  </si>
  <si>
    <t>Mon-Fri, 5x16</t>
  </si>
  <si>
    <t>5x8+2x24</t>
  </si>
  <si>
    <t>Mon-Sun, 7x16</t>
  </si>
  <si>
    <t>Mon-Sun, 7x8</t>
  </si>
  <si>
    <t>Custom</t>
  </si>
  <si>
    <t>Start Date</t>
  </si>
  <si>
    <t>99/99/99</t>
  </si>
  <si>
    <t>Custom Week</t>
  </si>
  <si>
    <t>Hours Used</t>
  </si>
  <si>
    <t>Price Escalation</t>
  </si>
  <si>
    <t>100-2400</t>
  </si>
  <si>
    <t>End Date</t>
  </si>
  <si>
    <t>Correlations</t>
  </si>
  <si>
    <t>Most Expensive Hours</t>
  </si>
  <si>
    <t>Saturday</t>
  </si>
  <si>
    <t xml:space="preserve"> </t>
  </si>
  <si>
    <t>Term in Years</t>
  </si>
  <si>
    <t>Peak-Off Peak</t>
  </si>
  <si>
    <t>TakeType</t>
  </si>
  <si>
    <t>Sunday</t>
  </si>
  <si>
    <t>Swap Pricing</t>
  </si>
  <si>
    <t>Power-Gas</t>
  </si>
  <si>
    <t>Combine Takes</t>
  </si>
  <si>
    <t>Holidays</t>
  </si>
  <si>
    <t>ECT</t>
  </si>
  <si>
    <t>Swap Buy/Sell</t>
  </si>
  <si>
    <t>Mid Price</t>
  </si>
  <si>
    <t>Mid PV$</t>
  </si>
  <si>
    <t>Swaption Buy/Sell</t>
  </si>
  <si>
    <t>Week Definition Table</t>
  </si>
  <si>
    <t>Included?</t>
  </si>
  <si>
    <t>Regular Period</t>
  </si>
  <si>
    <t>Basis Table</t>
  </si>
  <si>
    <t>Pop Hrs Feed</t>
  </si>
  <si>
    <t>Nominal MWh</t>
  </si>
  <si>
    <t>Swaption Call/Put</t>
  </si>
  <si>
    <t>Contract Price</t>
  </si>
  <si>
    <t>Contract PV$</t>
  </si>
  <si>
    <t>Swaption Price Curve</t>
  </si>
  <si>
    <t>Region</t>
  </si>
  <si>
    <t>#</t>
  </si>
  <si>
    <t>Swaption Pricing</t>
  </si>
  <si>
    <t>Option Buy/Sell</t>
  </si>
  <si>
    <t>No Basis</t>
  </si>
  <si>
    <t>Swaption Strike</t>
  </si>
  <si>
    <r>
      <t>Swaption Premium</t>
    </r>
    <r>
      <rPr>
        <b/>
        <sz val="8"/>
        <color indexed="8"/>
        <rFont val="Arial"/>
        <family val="2"/>
      </rPr>
      <t xml:space="preserve"> ($)</t>
    </r>
  </si>
  <si>
    <t>Swaption Delta (Up-Front)</t>
  </si>
  <si>
    <t>Option Call/Put</t>
  </si>
  <si>
    <t>Swaption Type</t>
  </si>
  <si>
    <t>Swaption Expiration</t>
  </si>
  <si>
    <r>
      <t>Up-Front Cost</t>
    </r>
    <r>
      <rPr>
        <b/>
        <sz val="8"/>
        <color indexed="8"/>
        <rFont val="Arial"/>
        <family val="2"/>
      </rPr>
      <t xml:space="preserve"> ($/MWh)</t>
    </r>
  </si>
  <si>
    <t>Monthly Option Exp. Date Adjustment</t>
  </si>
  <si>
    <t>Option Price Curve</t>
  </si>
  <si>
    <t>Price Curve To Use</t>
  </si>
  <si>
    <t>Swaption Volatility</t>
  </si>
  <si>
    <r>
      <t>Annuitized Cost</t>
    </r>
    <r>
      <rPr>
        <b/>
        <sz val="8"/>
        <color indexed="8"/>
        <rFont val="Arial"/>
        <family val="2"/>
      </rPr>
      <t xml:space="preserve"> ($/MWh)</t>
    </r>
  </si>
  <si>
    <t>Swaption Implied Volatility</t>
  </si>
  <si>
    <r>
      <t>Shift Back By</t>
    </r>
    <r>
      <rPr>
        <b/>
        <sz val="9"/>
        <color indexed="8"/>
        <rFont val="Arial"/>
        <family val="2"/>
      </rPr>
      <t xml:space="preserve"> (Business Days)</t>
    </r>
  </si>
  <si>
    <t>Option Vol Curve</t>
  </si>
  <si>
    <t>Region Table</t>
  </si>
  <si>
    <t>Option Pricing</t>
  </si>
  <si>
    <t>Days</t>
  </si>
  <si>
    <t>Option Vol Type</t>
  </si>
  <si>
    <t>Delivery Point</t>
  </si>
  <si>
    <t>Monthly Peak Vol Over</t>
  </si>
  <si>
    <r>
      <t>Up-Front</t>
    </r>
    <r>
      <rPr>
        <b/>
        <sz val="10"/>
        <color indexed="8"/>
        <rFont val="Arial"/>
        <family val="2"/>
      </rPr>
      <t xml:space="preserve"> Cost</t>
    </r>
    <r>
      <rPr>
        <b/>
        <sz val="8"/>
        <color indexed="8"/>
        <rFont val="Arial"/>
        <family val="2"/>
      </rPr>
      <t xml:space="preserve"> ($/MWh)</t>
    </r>
  </si>
  <si>
    <t>Option Delta (Up-Front)</t>
  </si>
  <si>
    <t>Intra-</t>
  </si>
  <si>
    <t>Correlation Overrides</t>
  </si>
  <si>
    <t>to Exp</t>
  </si>
  <si>
    <t>Delta</t>
  </si>
  <si>
    <t>Gamma</t>
  </si>
  <si>
    <t>Vega</t>
  </si>
  <si>
    <t>Option Vol Smile</t>
  </si>
  <si>
    <t>1      NY East</t>
  </si>
  <si>
    <t>1</t>
  </si>
  <si>
    <t>Option Type</t>
  </si>
  <si>
    <t>Monthly Off-Peak Vol Over</t>
  </si>
  <si>
    <r>
      <t>Annuitized</t>
    </r>
    <r>
      <rPr>
        <b/>
        <sz val="10"/>
        <color indexed="8"/>
        <rFont val="Arial"/>
        <family val="2"/>
      </rPr>
      <t xml:space="preserve"> Cost</t>
    </r>
    <r>
      <rPr>
        <b/>
        <sz val="8"/>
        <color indexed="8"/>
        <rFont val="Arial"/>
        <family val="2"/>
      </rPr>
      <t xml:space="preserve"> ($/MWh)</t>
    </r>
  </si>
  <si>
    <r>
      <t xml:space="preserve">Annuitized Cost </t>
    </r>
    <r>
      <rPr>
        <b/>
        <sz val="8"/>
        <color indexed="8"/>
        <rFont val="Arial"/>
        <family val="2"/>
      </rPr>
      <t>($/MWh)</t>
    </r>
  </si>
  <si>
    <t>Peak-</t>
  </si>
  <si>
    <t>Power-</t>
  </si>
  <si>
    <t>Collar BCSF/SCBF</t>
  </si>
  <si>
    <t>1A</t>
  </si>
  <si>
    <t>Period Feed</t>
  </si>
  <si>
    <t>Daily Peak Vol Over</t>
  </si>
  <si>
    <r>
      <t xml:space="preserve">Annuitized </t>
    </r>
    <r>
      <rPr>
        <b/>
        <sz val="10"/>
        <color indexed="8"/>
        <rFont val="Arial"/>
        <family val="2"/>
      </rPr>
      <t>Cost</t>
    </r>
    <r>
      <rPr>
        <b/>
        <sz val="8"/>
        <color indexed="8"/>
        <rFont val="Arial"/>
        <family val="2"/>
      </rPr>
      <t xml:space="preserve"> ($/kW-mo)</t>
    </r>
  </si>
  <si>
    <t>Volatility</t>
  </si>
  <si>
    <t>Off-Peak</t>
  </si>
  <si>
    <t>Gas</t>
  </si>
  <si>
    <t>Collar Specification</t>
  </si>
  <si>
    <t>1B   NEPOOL</t>
  </si>
  <si>
    <t>1B</t>
  </si>
  <si>
    <t>24 Hrs</t>
  </si>
  <si>
    <t>Price Curve to Use</t>
  </si>
  <si>
    <t>Daily Off-Peak Vol Over</t>
  </si>
  <si>
    <r>
      <t>Intrinsic Value</t>
    </r>
    <r>
      <rPr>
        <b/>
        <sz val="8"/>
        <color indexed="8"/>
        <rFont val="Arial"/>
        <family val="2"/>
      </rPr>
      <t xml:space="preserve"> ($)</t>
    </r>
  </si>
  <si>
    <t>Implied Volatility</t>
  </si>
  <si>
    <t>Scalars</t>
  </si>
  <si>
    <t>Correlation</t>
  </si>
  <si>
    <t>Collar Bid-Offer Vol Spread</t>
  </si>
  <si>
    <t>1C   NY West</t>
  </si>
  <si>
    <t>1C</t>
  </si>
  <si>
    <t>Peak</t>
  </si>
  <si>
    <t>Vol Curve to Use</t>
  </si>
  <si>
    <r>
      <t xml:space="preserve"> Peak Premium</t>
    </r>
    <r>
      <rPr>
        <b/>
        <sz val="8"/>
        <color indexed="8"/>
        <rFont val="Arial"/>
        <family val="2"/>
      </rPr>
      <t xml:space="preserve"> ($)</t>
    </r>
  </si>
  <si>
    <r>
      <t>Dem Ch Divisor</t>
    </r>
    <r>
      <rPr>
        <b/>
        <sz val="9"/>
        <color indexed="8"/>
        <rFont val="Arial"/>
        <family val="2"/>
      </rPr>
      <t xml:space="preserve"> (kW-mo)</t>
    </r>
  </si>
  <si>
    <t xml:space="preserve"> 1       Jan</t>
  </si>
  <si>
    <t>Collar Vol Type</t>
  </si>
  <si>
    <t>2     ECAR</t>
  </si>
  <si>
    <t>2</t>
  </si>
  <si>
    <t xml:space="preserve"> Vol Smile</t>
  </si>
  <si>
    <r>
      <t xml:space="preserve"> Off-Peak Premium</t>
    </r>
    <r>
      <rPr>
        <b/>
        <sz val="8"/>
        <color indexed="8"/>
        <rFont val="Arial"/>
        <family val="2"/>
      </rPr>
      <t xml:space="preserve"> ($)</t>
    </r>
  </si>
  <si>
    <t>Embedded Origination</t>
  </si>
  <si>
    <t xml:space="preserve"> 2       Feb</t>
  </si>
  <si>
    <t>Collar Price Curve</t>
  </si>
  <si>
    <t>2A</t>
  </si>
  <si>
    <t>Hourly Override</t>
  </si>
  <si>
    <r>
      <t>Strike</t>
    </r>
    <r>
      <rPr>
        <b/>
        <sz val="8"/>
        <color indexed="8"/>
        <rFont val="Arial"/>
        <family val="2"/>
      </rPr>
      <t xml:space="preserve"> ($/MWh)</t>
    </r>
  </si>
  <si>
    <r>
      <t xml:space="preserve"> Total Option Premium</t>
    </r>
    <r>
      <rPr>
        <b/>
        <sz val="8"/>
        <color indexed="8"/>
        <rFont val="Arial"/>
        <family val="2"/>
      </rPr>
      <t xml:space="preserve"> ($)</t>
    </r>
  </si>
  <si>
    <t>PV MWh</t>
  </si>
  <si>
    <t xml:space="preserve"> 3       Mar</t>
  </si>
  <si>
    <t>Collar Vol Smile</t>
  </si>
  <si>
    <t>2B  Eastern ECAR</t>
  </si>
  <si>
    <t>2B</t>
  </si>
  <si>
    <t>Additional Information for Spread Option Pricing</t>
  </si>
  <si>
    <t xml:space="preserve"> 4       Apr</t>
  </si>
  <si>
    <t>Collar Floor Vol Curve</t>
  </si>
  <si>
    <t>3     SERC</t>
  </si>
  <si>
    <t>3</t>
  </si>
  <si>
    <t>NYMEX Gas Vol Adjustments</t>
  </si>
  <si>
    <r>
      <t>Peak Heat Rate</t>
    </r>
    <r>
      <rPr>
        <b/>
        <sz val="8"/>
        <rFont val="Arial"/>
        <family val="2"/>
      </rPr>
      <t xml:space="preserve"> (Btu/kWh)</t>
    </r>
  </si>
  <si>
    <r>
      <t>Up-Front Cost</t>
    </r>
    <r>
      <rPr>
        <b/>
        <sz val="8"/>
        <rFont val="Arial"/>
        <family val="2"/>
      </rPr>
      <t xml:space="preserve"> ($/MWh)</t>
    </r>
  </si>
  <si>
    <t xml:space="preserve"> 5       May</t>
  </si>
  <si>
    <t>Collar Cap Vol Curve</t>
  </si>
  <si>
    <t>3A</t>
  </si>
  <si>
    <t>NYMEX Gas Price Adjustments</t>
  </si>
  <si>
    <t>Omicron Curve Date</t>
  </si>
  <si>
    <r>
      <t>Off-Peak Heat Rate</t>
    </r>
    <r>
      <rPr>
        <b/>
        <sz val="8"/>
        <rFont val="Arial"/>
        <family val="2"/>
      </rPr>
      <t xml:space="preserve"> (%OP)</t>
    </r>
  </si>
  <si>
    <r>
      <t xml:space="preserve">Annuitized </t>
    </r>
    <r>
      <rPr>
        <b/>
        <sz val="10"/>
        <rFont val="Arial"/>
        <family val="2"/>
      </rPr>
      <t>Cost</t>
    </r>
    <r>
      <rPr>
        <b/>
        <sz val="8"/>
        <rFont val="Arial"/>
        <family val="2"/>
      </rPr>
      <t xml:space="preserve"> ($/MWh)</t>
    </r>
  </si>
  <si>
    <t xml:space="preserve"> 6       Jun</t>
  </si>
  <si>
    <t>Different Optional Volume Override</t>
  </si>
  <si>
    <t>Gas Price Curve</t>
  </si>
  <si>
    <t>3B  TVA</t>
  </si>
  <si>
    <t>3B</t>
  </si>
  <si>
    <t>OTHER</t>
  </si>
  <si>
    <t>Override</t>
  </si>
  <si>
    <t xml:space="preserve"> Region</t>
  </si>
  <si>
    <r>
      <t>Wheeling Charge</t>
    </r>
    <r>
      <rPr>
        <b/>
        <sz val="8"/>
        <rFont val="Arial"/>
        <family val="2"/>
      </rPr>
      <t xml:space="preserve"> ($/MWh)</t>
    </r>
  </si>
  <si>
    <t>Annuitized Cost ($/kW-mo)</t>
  </si>
  <si>
    <t xml:space="preserve"> 7       Jul</t>
  </si>
  <si>
    <t>Gas Vol Curve</t>
  </si>
  <si>
    <t>4</t>
  </si>
  <si>
    <r>
      <t>Gas Basis</t>
    </r>
    <r>
      <rPr>
        <b/>
        <sz val="8"/>
        <color indexed="8"/>
        <rFont val="Arial"/>
        <family val="2"/>
      </rPr>
      <t xml:space="preserve"> ($/MMBtu)</t>
    </r>
  </si>
  <si>
    <r>
      <t>O&amp;M Cost</t>
    </r>
    <r>
      <rPr>
        <b/>
        <sz val="8"/>
        <rFont val="Arial"/>
        <family val="2"/>
      </rPr>
      <t xml:space="preserve"> ($/MWh)</t>
    </r>
  </si>
  <si>
    <t>Peak ATM Heat Rate</t>
  </si>
  <si>
    <t xml:space="preserve"> 8       Aug</t>
  </si>
  <si>
    <t>Peak-Off-Peak Corr Over</t>
  </si>
  <si>
    <t>4A  MAPP</t>
  </si>
  <si>
    <t>4A</t>
  </si>
  <si>
    <t>OMICRON Code</t>
  </si>
  <si>
    <t>OMICRON Region</t>
  </si>
  <si>
    <r>
      <t>Gas Index</t>
    </r>
    <r>
      <rPr>
        <b/>
        <sz val="8"/>
        <color indexed="8"/>
        <rFont val="Arial"/>
        <family val="2"/>
      </rPr>
      <t xml:space="preserve"> ($/MMBtu)</t>
    </r>
  </si>
  <si>
    <t>Vol as % of NYMEX Vol</t>
  </si>
  <si>
    <r>
      <t>Strike</t>
    </r>
    <r>
      <rPr>
        <b/>
        <sz val="8"/>
        <rFont val="Arial"/>
        <family val="2"/>
      </rPr>
      <t xml:space="preserve"> ($/MWh)</t>
    </r>
  </si>
  <si>
    <t>Off-Peak ATM Heat Rate</t>
  </si>
  <si>
    <t xml:space="preserve"> 9       Sep</t>
  </si>
  <si>
    <t>Power-Gas Corr Over</t>
  </si>
  <si>
    <t>4B  Southern MAPP</t>
  </si>
  <si>
    <t>4B</t>
  </si>
  <si>
    <t>NG_OMICRON_1</t>
  </si>
  <si>
    <t>Louisiana - Onshore South</t>
  </si>
  <si>
    <r>
      <t>Transport</t>
    </r>
    <r>
      <rPr>
        <b/>
        <sz val="8"/>
        <color indexed="8"/>
        <rFont val="Arial"/>
        <family val="2"/>
      </rPr>
      <t xml:space="preserve"> ($/MMBtu)</t>
    </r>
  </si>
  <si>
    <t>Vol Spread</t>
  </si>
  <si>
    <r>
      <t>Peak Premium</t>
    </r>
    <r>
      <rPr>
        <b/>
        <sz val="8"/>
        <rFont val="Arial"/>
        <family val="2"/>
      </rPr>
      <t xml:space="preserve"> ($)</t>
    </r>
  </si>
  <si>
    <r>
      <t>Gas Delta</t>
    </r>
    <r>
      <rPr>
        <b/>
        <sz val="8"/>
        <rFont val="Arial"/>
        <family val="2"/>
      </rPr>
      <t xml:space="preserve"> (Up-Front)</t>
    </r>
  </si>
  <si>
    <t>10      Oct</t>
  </si>
  <si>
    <t>4C  COMED</t>
  </si>
  <si>
    <t>4C</t>
  </si>
  <si>
    <t>NG_OMICRON_2</t>
  </si>
  <si>
    <t>HSC - East Texas - Katy</t>
  </si>
  <si>
    <r>
      <t>Transport</t>
    </r>
    <r>
      <rPr>
        <b/>
        <sz val="8"/>
        <color indexed="8"/>
        <rFont val="Arial"/>
        <family val="2"/>
      </rPr>
      <t xml:space="preserve"> (%)</t>
    </r>
  </si>
  <si>
    <t>Vol Over</t>
  </si>
  <si>
    <r>
      <t>Off-Peak Premium</t>
    </r>
    <r>
      <rPr>
        <b/>
        <sz val="8"/>
        <rFont val="Arial"/>
        <family val="2"/>
      </rPr>
      <t xml:space="preserve"> ($)</t>
    </r>
  </si>
  <si>
    <r>
      <t>Power Delta</t>
    </r>
    <r>
      <rPr>
        <b/>
        <sz val="8"/>
        <rFont val="Arial"/>
        <family val="2"/>
      </rPr>
      <t xml:space="preserve"> (Up-Front)</t>
    </r>
  </si>
  <si>
    <t>11      Nov</t>
  </si>
  <si>
    <t>5</t>
  </si>
  <si>
    <t>NG_OMICRON_3</t>
  </si>
  <si>
    <t>Oklahoma - Mid Continent</t>
  </si>
  <si>
    <r>
      <t>Gas Swap Value</t>
    </r>
    <r>
      <rPr>
        <b/>
        <sz val="8"/>
        <rFont val="Arial"/>
        <family val="2"/>
      </rPr>
      <t xml:space="preserve"> ($)</t>
    </r>
  </si>
  <si>
    <r>
      <t>Total Option Premium</t>
    </r>
    <r>
      <rPr>
        <b/>
        <sz val="8"/>
        <rFont val="Arial"/>
        <family val="2"/>
      </rPr>
      <t xml:space="preserve"> ($)</t>
    </r>
  </si>
  <si>
    <r>
      <t>Intrinsic Value</t>
    </r>
    <r>
      <rPr>
        <b/>
        <sz val="8"/>
        <rFont val="Arial"/>
        <family val="2"/>
      </rPr>
      <t xml:space="preserve"> ($)</t>
    </r>
  </si>
  <si>
    <t>12      Dec</t>
  </si>
  <si>
    <t>5A  Associated</t>
  </si>
  <si>
    <t>5A</t>
  </si>
  <si>
    <t>NG_OMICRON_4</t>
  </si>
  <si>
    <t>Permian Basin - San Juan Basin</t>
  </si>
  <si>
    <t>Collar Pricing</t>
  </si>
  <si>
    <t>Month Knock-Out Table</t>
  </si>
  <si>
    <t>6     ERCOT</t>
  </si>
  <si>
    <t>6</t>
  </si>
  <si>
    <t>NG_OMICRON_5</t>
  </si>
  <si>
    <t>Northern Ventura - Northern Demarc</t>
  </si>
  <si>
    <t>Floor</t>
  </si>
  <si>
    <t>Cap</t>
  </si>
  <si>
    <r>
      <t xml:space="preserve">Collar Premium </t>
    </r>
    <r>
      <rPr>
        <b/>
        <sz val="8"/>
        <color indexed="8"/>
        <rFont val="Arial"/>
        <family val="2"/>
      </rPr>
      <t>($)</t>
    </r>
  </si>
  <si>
    <t>MMBtu</t>
  </si>
  <si>
    <t>Total</t>
  </si>
  <si>
    <t>7</t>
  </si>
  <si>
    <t>NG_OMICRON_6</t>
  </si>
  <si>
    <t>Market Area:  Northeast</t>
  </si>
  <si>
    <t>Vol Curve To Use</t>
  </si>
  <si>
    <t>Nominal</t>
  </si>
  <si>
    <t>8</t>
  </si>
  <si>
    <t>NG_OMICRON_7</t>
  </si>
  <si>
    <t>Appalachia</t>
  </si>
  <si>
    <t>PV</t>
  </si>
  <si>
    <t>9     Mid Columbia</t>
  </si>
  <si>
    <t>NG_OMICRON_8</t>
  </si>
  <si>
    <t>Rockies</t>
  </si>
  <si>
    <t xml:space="preserve"> Collar Type</t>
  </si>
  <si>
    <t>10   NP-15</t>
  </si>
  <si>
    <t>NG_OMICRON_9</t>
  </si>
  <si>
    <t>Alberta - Sumas</t>
  </si>
  <si>
    <t>Costless Coll Origination</t>
  </si>
  <si>
    <t>Average Daily Gas Volumes (MMBtu)</t>
  </si>
  <si>
    <t>11    SP-15</t>
  </si>
  <si>
    <t>NG_OMICRON_10</t>
  </si>
  <si>
    <t>Sithe Curve (ANR/LA_ONSHO)</t>
  </si>
  <si>
    <t>First Month</t>
  </si>
  <si>
    <t>First Year</t>
  </si>
  <si>
    <t>POWER.XLS</t>
  </si>
  <si>
    <t>Int Rates Curve</t>
  </si>
  <si>
    <t>Forward Power Price Curves, Volatilities and Price Profile</t>
  </si>
  <si>
    <t>Gas Curves</t>
  </si>
  <si>
    <t>Model Volatility</t>
  </si>
  <si>
    <t>Please note that as of now, Omicron bid and offer vols are derived from mid using fixed 7% spreads.</t>
  </si>
  <si>
    <t>Smile Table</t>
  </si>
  <si>
    <t>NYMEX</t>
  </si>
  <si>
    <t>Omicron Volatility</t>
  </si>
  <si>
    <t>Nymex Price</t>
  </si>
  <si>
    <t>Adjusted</t>
  </si>
  <si>
    <t>Strike-Mid</t>
  </si>
  <si>
    <t>Smile</t>
  </si>
  <si>
    <t>Spreads</t>
  </si>
  <si>
    <t>Change in</t>
  </si>
  <si>
    <t>Mid</t>
  </si>
  <si>
    <t>Tenths of 1c</t>
  </si>
  <si>
    <t>Here, knocking-out of months is not in force. If some months are excluded, this will be taken into account on the "CALC" page. Hours are numbered from the most to the least expensive.</t>
  </si>
  <si>
    <t>Price Rankings For Daily Takes (Initialized When a New Curve Is Fetched)</t>
  </si>
  <si>
    <t>Regular MegaWatts Available For Firm Take On Different Days</t>
  </si>
  <si>
    <t>Effective Scalars</t>
  </si>
  <si>
    <t>MegaWatts Available For Optional Take On Different Days</t>
  </si>
  <si>
    <t>Weekdays</t>
  </si>
  <si>
    <t>Off-</t>
  </si>
  <si>
    <t>for 100% Take</t>
  </si>
  <si>
    <t>Max. MW</t>
  </si>
  <si>
    <t>Month\Ranking</t>
  </si>
  <si>
    <t>Firm</t>
  </si>
  <si>
    <t>Opt</t>
  </si>
  <si>
    <t>Saturdays</t>
  </si>
  <si>
    <t>Ordered Hourly Scalars (Initialized When a New Curve Is Fetched)</t>
  </si>
  <si>
    <t>Sundays</t>
  </si>
  <si>
    <t>Ordered Weekday Hourly Prices for the First Year</t>
  </si>
  <si>
    <t>Lookup</t>
  </si>
  <si>
    <t>First-Year Mid Prices</t>
  </si>
  <si>
    <t>Date</t>
  </si>
  <si>
    <t>Swap Calculation</t>
  </si>
  <si>
    <t>Swaption Calculation</t>
  </si>
  <si>
    <t>Option Calculation</t>
  </si>
  <si>
    <t>Collar Calculation</t>
  </si>
  <si>
    <t>Embedding Mathematics</t>
  </si>
  <si>
    <t>Spread Option Calculation</t>
  </si>
  <si>
    <t>Prices</t>
  </si>
  <si>
    <t>Peak Premium ($)</t>
  </si>
  <si>
    <t>Value</t>
  </si>
  <si>
    <t>First Der</t>
  </si>
  <si>
    <t>Second Der</t>
  </si>
  <si>
    <t>Underlying</t>
  </si>
  <si>
    <t>Premium</t>
  </si>
  <si>
    <t>Intrinsic</t>
  </si>
  <si>
    <t>Swap Value</t>
  </si>
  <si>
    <t>ATM HR</t>
  </si>
  <si>
    <t>Power Delta</t>
  </si>
  <si>
    <t>Gas Delta</t>
  </si>
  <si>
    <t>Be Careful with Copying Rows, Formulas in the Grey Cells Are "Special".</t>
  </si>
  <si>
    <t>Expiration</t>
  </si>
  <si>
    <t>Off-Peak Premium ($)</t>
  </si>
  <si>
    <t>Up-Fr. Cost ($/MWh)</t>
  </si>
  <si>
    <t>Premium ($)</t>
  </si>
  <si>
    <t>Swap+Option</t>
  </si>
  <si>
    <t>Costless Collar</t>
  </si>
  <si>
    <t>($)</t>
  </si>
  <si>
    <t>(Btu/kWh)</t>
  </si>
  <si>
    <t>(PV MWh)</t>
  </si>
  <si>
    <t>(PV MMBtu)</t>
  </si>
  <si>
    <t>MWh</t>
  </si>
  <si>
    <t>Price-Esc PV MWh</t>
  </si>
  <si>
    <t>Years To Expiration</t>
  </si>
  <si>
    <t>Up-Front Cost</t>
  </si>
  <si>
    <t>Total Premium ($)</t>
  </si>
  <si>
    <t>Annuitized Cost ($/MWh)</t>
  </si>
  <si>
    <t>First Month of Price Curve:</t>
  </si>
  <si>
    <t>Annuitized Esc Cost</t>
  </si>
  <si>
    <t>Intrinsic Value ($)</t>
  </si>
  <si>
    <t>Price-Esc. PV MWh</t>
  </si>
  <si>
    <t>Opt. Imp. Vol.</t>
  </si>
  <si>
    <t>Dem. Charge Div.</t>
  </si>
  <si>
    <t>Contract</t>
  </si>
  <si>
    <t>Swaption Delta</t>
  </si>
  <si>
    <t>Time Value ($)</t>
  </si>
  <si>
    <t>Delta (Up-Front)</t>
  </si>
  <si>
    <t>Demand Charge Div.</t>
  </si>
  <si>
    <t>Calendar</t>
  </si>
  <si>
    <t>Escalators</t>
  </si>
  <si>
    <t>Discounting</t>
  </si>
  <si>
    <t>Volatilities</t>
  </si>
  <si>
    <t>Availability</t>
  </si>
  <si>
    <t>Optional</t>
  </si>
  <si>
    <t>Swap Section</t>
  </si>
  <si>
    <t>Option Section</t>
  </si>
  <si>
    <t>Collar Section</t>
  </si>
  <si>
    <t>Spread Option Section</t>
  </si>
  <si>
    <t>15-Day</t>
  </si>
  <si>
    <t>Number Of Various Days</t>
  </si>
  <si>
    <t>MWHs</t>
  </si>
  <si>
    <t>Effective</t>
  </si>
  <si>
    <t>Effective Prices</t>
  </si>
  <si>
    <t>Yrs</t>
  </si>
  <si>
    <t>Undiscounted Premium</t>
  </si>
  <si>
    <t>Option</t>
  </si>
  <si>
    <t>Demand</t>
  </si>
  <si>
    <t>Embedding Math</t>
  </si>
  <si>
    <t>Implied Vol Math</t>
  </si>
  <si>
    <t>Years</t>
  </si>
  <si>
    <t>Combination</t>
  </si>
  <si>
    <t>Gas Price ($/MWh)</t>
  </si>
  <si>
    <t>Effective Strike ($/MWh)</t>
  </si>
  <si>
    <t>Power Vols</t>
  </si>
  <si>
    <t>Undiscounted Option Premium</t>
  </si>
  <si>
    <t>Undiscounted Power Delta</t>
  </si>
  <si>
    <t>Undiscounted Gas Delta</t>
  </si>
  <si>
    <t>Option Value</t>
  </si>
  <si>
    <t>Intrinsic Value</t>
  </si>
  <si>
    <t>Delivery</t>
  </si>
  <si>
    <t>Possible</t>
  </si>
  <si>
    <t>Deal</t>
  </si>
  <si>
    <t>Interest</t>
  </si>
  <si>
    <t>Discount</t>
  </si>
  <si>
    <t>Power</t>
  </si>
  <si>
    <t>Between Deal Start And End</t>
  </si>
  <si>
    <t>Taken</t>
  </si>
  <si>
    <t>Escalated</t>
  </si>
  <si>
    <t>to</t>
  </si>
  <si>
    <t>Before Vol Smile Adjustment</t>
  </si>
  <si>
    <t>After Vol Smile Adjustment</t>
  </si>
  <si>
    <t>Charge</t>
  </si>
  <si>
    <t>d2</t>
  </si>
  <si>
    <t>First</t>
  </si>
  <si>
    <t>Second</t>
  </si>
  <si>
    <t>d1</t>
  </si>
  <si>
    <t>to Exp.</t>
  </si>
  <si>
    <t>Undisc.</t>
  </si>
  <si>
    <t>Collar</t>
  </si>
  <si>
    <t>Holiday</t>
  </si>
  <si>
    <t>Starts</t>
  </si>
  <si>
    <t>Ends</t>
  </si>
  <si>
    <t>Rate</t>
  </si>
  <si>
    <t>Factor</t>
  </si>
  <si>
    <t>Corr</t>
  </si>
  <si>
    <t>Week</t>
  </si>
  <si>
    <t>Exp.</t>
  </si>
  <si>
    <t>Divisor</t>
  </si>
  <si>
    <t>Derivative</t>
  </si>
  <si>
    <t>Before Smile and Spread</t>
  </si>
  <si>
    <t>After Smile and Spread</t>
  </si>
  <si>
    <t>-Hol</t>
  </si>
  <si>
    <t>Weekday</t>
  </si>
  <si>
    <t>Ordered Saturday Hourly Prices for the First Year</t>
  </si>
  <si>
    <t>Ordered Sunday Hourly Prices for the First Year</t>
  </si>
  <si>
    <t>Peak Sat</t>
  </si>
  <si>
    <t>Peak Sun</t>
  </si>
  <si>
    <t>Peak,Sat</t>
  </si>
  <si>
    <t>Peak,Sun</t>
  </si>
  <si>
    <t>Peak,Week</t>
  </si>
  <si>
    <t>Peak,Total</t>
  </si>
  <si>
    <t>Pavel, x34778</t>
  </si>
  <si>
    <t>Firm Take</t>
  </si>
  <si>
    <t>Optional Take</t>
  </si>
  <si>
    <t>1D   East Hub</t>
  </si>
  <si>
    <t>1D</t>
  </si>
  <si>
    <t>1E    West Hub</t>
  </si>
  <si>
    <t>1E</t>
  </si>
  <si>
    <t>1F   Firm LD</t>
  </si>
  <si>
    <t>1F</t>
  </si>
  <si>
    <t>Peak, Sat</t>
  </si>
  <si>
    <t>Peak, Sun</t>
  </si>
  <si>
    <t>Total Peak</t>
  </si>
  <si>
    <t>Total Off-Peak</t>
  </si>
  <si>
    <t>Blended Total</t>
  </si>
  <si>
    <t>Off-Peak+Su</t>
  </si>
  <si>
    <t>Peak,W+Sa</t>
  </si>
  <si>
    <t>9</t>
  </si>
  <si>
    <t>10</t>
  </si>
  <si>
    <t>11</t>
  </si>
  <si>
    <t>12</t>
  </si>
  <si>
    <t>4     CINergy</t>
  </si>
  <si>
    <t>1A  PJM</t>
  </si>
  <si>
    <t>1H  NE Dispatch</t>
  </si>
  <si>
    <t>1H</t>
  </si>
  <si>
    <t>3A  SERC Florida</t>
  </si>
  <si>
    <t>2A  AEP</t>
  </si>
  <si>
    <t>5     Entergy</t>
  </si>
  <si>
    <t>7     Palo Verde</t>
  </si>
  <si>
    <t>8     COB</t>
  </si>
  <si>
    <t>10  Ameren</t>
  </si>
  <si>
    <t>20 PXNorthDelivered</t>
  </si>
  <si>
    <t>21 PXSouthDelivered</t>
  </si>
  <si>
    <t>22 NOB</t>
  </si>
  <si>
    <t>23 LA1-Sylmar</t>
  </si>
  <si>
    <t>24 LA4-Victorville</t>
  </si>
  <si>
    <t>25 MX-IV/TJ</t>
  </si>
  <si>
    <t>27 Nwdelivered</t>
  </si>
  <si>
    <t>3    Midway</t>
  </si>
  <si>
    <t>4    Mead</t>
  </si>
  <si>
    <t>6    4C</t>
  </si>
  <si>
    <t>7    Craig</t>
  </si>
  <si>
    <t>8    Mcdeliv</t>
  </si>
  <si>
    <t>11   Wisconsin</t>
  </si>
  <si>
    <t>12   Michigan</t>
  </si>
  <si>
    <t>15   West PJM</t>
  </si>
  <si>
    <t>19  PG</t>
  </si>
  <si>
    <t>1     BusBar</t>
  </si>
  <si>
    <t>29 Mona</t>
  </si>
  <si>
    <t>Calc Mode:</t>
  </si>
  <si>
    <t>Con. Edison</t>
  </si>
  <si>
    <t>PJM West</t>
  </si>
  <si>
    <t>Card Street</t>
  </si>
  <si>
    <t>NY West</t>
  </si>
  <si>
    <t>ECAR</t>
  </si>
  <si>
    <t>Into AEP</t>
  </si>
  <si>
    <t>Eastern ECAR</t>
  </si>
  <si>
    <t>Southern Co.</t>
  </si>
  <si>
    <t>FP&amp;L</t>
  </si>
  <si>
    <t>TVA</t>
  </si>
  <si>
    <t>CINergy</t>
  </si>
  <si>
    <t>NSP</t>
  </si>
  <si>
    <t>Southern MAPP</t>
  </si>
  <si>
    <t>COMED</t>
  </si>
  <si>
    <t>ENTERGY</t>
  </si>
  <si>
    <t>Associated</t>
  </si>
  <si>
    <t>HL&amp;P</t>
  </si>
  <si>
    <t>Palo Verde</t>
  </si>
  <si>
    <t>7A  Rockies</t>
  </si>
  <si>
    <t>7A</t>
  </si>
  <si>
    <t>COB</t>
  </si>
  <si>
    <t>Mid Columbia</t>
  </si>
  <si>
    <t>NP-15</t>
  </si>
  <si>
    <t>SP-15</t>
  </si>
  <si>
    <t>As of 3/30/99, the curve format changed. If you need to price something prior</t>
  </si>
  <si>
    <t>to 3/30/99, open "m:\power2\pricing\Pwr_strc97_Old.xls".</t>
  </si>
  <si>
    <t>Manual</t>
  </si>
  <si>
    <t>1Z  IN CITY NY</t>
  </si>
  <si>
    <t>1Z</t>
  </si>
  <si>
    <t>REGION 1</t>
  </si>
  <si>
    <t>NY East</t>
  </si>
  <si>
    <t>Monthly Volatilities</t>
  </si>
  <si>
    <t>Intra-Month Volatilties</t>
  </si>
  <si>
    <t>PEAK</t>
  </si>
  <si>
    <t>OFF-PEAK</t>
  </si>
  <si>
    <t>Capacity</t>
  </si>
  <si>
    <t>OffPeak</t>
  </si>
  <si>
    <t>Group</t>
  </si>
  <si>
    <t>Prudent</t>
  </si>
  <si>
    <t>Code</t>
  </si>
  <si>
    <t>Start</t>
  </si>
  <si>
    <t>End</t>
  </si>
  <si>
    <t>($/MWH)</t>
  </si>
  <si>
    <t>Daily Price Profile</t>
  </si>
  <si>
    <t>Jan</t>
  </si>
  <si>
    <t>Feb</t>
  </si>
  <si>
    <t>Mar</t>
  </si>
  <si>
    <t>Apr</t>
  </si>
  <si>
    <t>May</t>
  </si>
  <si>
    <t>Jun</t>
  </si>
  <si>
    <t>Jul</t>
  </si>
  <si>
    <t>Aug</t>
  </si>
  <si>
    <t>Sep</t>
  </si>
  <si>
    <t>Oct</t>
  </si>
  <si>
    <t>Nov</t>
  </si>
  <si>
    <t>Dec</t>
  </si>
  <si>
    <t>HR</t>
  </si>
  <si>
    <t>P/OP</t>
  </si>
  <si>
    <t>Volatility Smile</t>
  </si>
  <si>
    <t>Price Sensitivies</t>
  </si>
  <si>
    <t>Four-hour Block Nominal MW Summary - NY East</t>
  </si>
  <si>
    <t>January</t>
  </si>
  <si>
    <t>February</t>
  </si>
  <si>
    <t>March</t>
  </si>
  <si>
    <t>April</t>
  </si>
  <si>
    <t>June</t>
  </si>
  <si>
    <t>July</t>
  </si>
  <si>
    <t>August</t>
  </si>
  <si>
    <t>September</t>
  </si>
  <si>
    <t>October</t>
  </si>
  <si>
    <t>November</t>
  </si>
  <si>
    <t>December</t>
  </si>
  <si>
    <t>Year</t>
  </si>
  <si>
    <t>WD1</t>
  </si>
  <si>
    <t>WD2</t>
  </si>
  <si>
    <t>WD3</t>
  </si>
  <si>
    <t>WD4</t>
  </si>
  <si>
    <t>WD5</t>
  </si>
  <si>
    <t>WD6</t>
  </si>
  <si>
    <t>WE1</t>
  </si>
  <si>
    <t>WE2</t>
  </si>
  <si>
    <t>WE3</t>
  </si>
  <si>
    <t>WE4</t>
  </si>
  <si>
    <t>WE5</t>
  </si>
  <si>
    <t>WE6</t>
  </si>
  <si>
    <t>MAX</t>
  </si>
  <si>
    <t>MIN</t>
  </si>
  <si>
    <t>Max</t>
  </si>
  <si>
    <t>Total Positional Value of Short</t>
  </si>
  <si>
    <t>Sat Buckets</t>
  </si>
  <si>
    <t>Sun Buckets</t>
  </si>
  <si>
    <t>100</t>
  </si>
  <si>
    <t>200</t>
  </si>
  <si>
    <t>300</t>
  </si>
  <si>
    <t>400</t>
  </si>
  <si>
    <t>500</t>
  </si>
  <si>
    <t>600</t>
  </si>
  <si>
    <t>700</t>
  </si>
  <si>
    <t>800</t>
  </si>
  <si>
    <t>900</t>
  </si>
  <si>
    <t>1000</t>
  </si>
  <si>
    <t>1100</t>
  </si>
  <si>
    <t>1200</t>
  </si>
  <si>
    <t>1300</t>
  </si>
  <si>
    <t>1400</t>
  </si>
  <si>
    <t>1500</t>
  </si>
  <si>
    <t>1600</t>
  </si>
  <si>
    <t>1700</t>
  </si>
  <si>
    <t>1800</t>
  </si>
  <si>
    <t>1900</t>
  </si>
  <si>
    <t>2000</t>
  </si>
  <si>
    <t>2100</t>
  </si>
  <si>
    <t>2200</t>
  </si>
  <si>
    <t>2300</t>
  </si>
  <si>
    <t>2400</t>
  </si>
  <si>
    <t>Total PV Positional MW Value of EES Short</t>
  </si>
  <si>
    <t>Weekday Buckets</t>
  </si>
  <si>
    <t>Holiday Buckets</t>
  </si>
  <si>
    <t>Positional Value</t>
  </si>
  <si>
    <t>Sum Total Monthly</t>
  </si>
  <si>
    <t>PV Sum Total Monthly</t>
  </si>
  <si>
    <t>Daily Bucket Code</t>
  </si>
  <si>
    <t>EES Retail Short Project Valuation</t>
  </si>
  <si>
    <t>Mid Curve</t>
  </si>
  <si>
    <t>Bid Curve</t>
  </si>
  <si>
    <t>Offer Curve</t>
  </si>
  <si>
    <t>Load Forecast PV Valuation</t>
  </si>
  <si>
    <t>Load Forecast Notional Valuation</t>
  </si>
  <si>
    <t>NY East Load Projections'!$A$4:$EO$14</t>
  </si>
  <si>
    <t>MW Value</t>
  </si>
  <si>
    <t>Notional</t>
  </si>
  <si>
    <t>Load Forecast PV $ Valuation</t>
  </si>
  <si>
    <t>Load Forecast Notional $ Valuation</t>
  </si>
  <si>
    <t>Levelized $/ MW</t>
  </si>
  <si>
    <t>Gross Total of MW</t>
  </si>
  <si>
    <t>Levelized MW price per year</t>
  </si>
  <si>
    <t>PV Total of MW</t>
  </si>
  <si>
    <t>Yearly Cost for Serving Load (Notional)</t>
  </si>
  <si>
    <t>Yearly MW Total (Notional)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</si>
</sst>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1">
    <numFmt numFmtId="5" formatCode="&quot;$&quot;#,##0_);\(&quot;$&quot;#,##0\)"/>
    <numFmt numFmtId="7" formatCode="&quot;$&quot;#,##0.00_);\(&quot;$&quot;#,##0.00\)"/>
    <numFmt numFmtId="8" formatCode="&quot;$&quot;#,##0.00_);[Red]\(&quot;$&quot;#,##0.00\)"/>
    <numFmt numFmtId="41" formatCode="_(* #,##0_);_(* \(#,##0\);_(* &quot;-&quot;_);_(@_)"/>
    <numFmt numFmtId="44" formatCode="_(&quot;$&quot;* #,##0.00_);_(&quot;$&quot;* \(#,##0.00\);_(&quot;$&quot;* &quot;-&quot;??_);_(@_)"/>
    <numFmt numFmtId="43" formatCode="_(* #,##0.00_);_(* \(#,##0.00\);_(* &quot;-&quot;??_);_(@_)"/>
    <numFmt numFmtId="164" formatCode="0_);[Red]\-0_)"/>
    <numFmt numFmtId="166" formatCode="dd\-mmm\-yy_)"/>
    <numFmt numFmtId="167" formatCode="0.00_)"/>
    <numFmt numFmtId="168" formatCode="0_)"/>
    <numFmt numFmtId="169" formatCode="0.0000_)"/>
    <numFmt numFmtId="171" formatCode="&quot;$&quot;#,##0.000_);\(&quot;$&quot;#,##0.000\)"/>
    <numFmt numFmtId="172" formatCode="&quot;$&quot;#,##0.0000_);\(&quot;$&quot;#,##0.0000\)"/>
    <numFmt numFmtId="175" formatCode="mmm\-yy_)"/>
    <numFmt numFmtId="176" formatCode="#,##0.0000_);\(#,##0.0000\)"/>
    <numFmt numFmtId="179" formatCode="mm/dd/yy_)"/>
    <numFmt numFmtId="182" formatCode="_(* #,##0_);_(* \(#,##0\);_(* &quot;-&quot;??_);_(@_)"/>
    <numFmt numFmtId="183" formatCode="0.0%"/>
    <numFmt numFmtId="184" formatCode="#0"/>
    <numFmt numFmtId="187" formatCode="dd\-mmm\-yy_);[Red]dd\-mmm\-yy_)"/>
    <numFmt numFmtId="190" formatCode="0.0"/>
    <numFmt numFmtId="192" formatCode="0.0000"/>
    <numFmt numFmtId="193" formatCode="0.000"/>
    <numFmt numFmtId="217" formatCode="m/d"/>
    <numFmt numFmtId="220" formatCode="mm/dd/yy"/>
    <numFmt numFmtId="224" formatCode="0.00_);[Red]\-0.00_)"/>
    <numFmt numFmtId="225" formatCode="0.000_);[Red]\-0.000_)"/>
    <numFmt numFmtId="226" formatCode="0.00_);\(0.00\)"/>
    <numFmt numFmtId="227" formatCode="0.0000_);\(0.0000\)"/>
    <numFmt numFmtId="228" formatCode="0.00_);[Red]\(0.00\)"/>
    <numFmt numFmtId="229" formatCode="0.000_);[Red]\(0.000\)"/>
  </numFmts>
  <fonts count="45" x14ac:knownFonts="1">
    <font>
      <sz val="10"/>
      <name val="Arial"/>
    </font>
    <font>
      <b/>
      <sz val="10"/>
      <name val="Arial"/>
    </font>
    <font>
      <sz val="10"/>
      <name val="Arial"/>
    </font>
    <font>
      <sz val="10"/>
      <color indexed="12"/>
      <name val="Courier"/>
    </font>
    <font>
      <sz val="10"/>
      <color indexed="12"/>
      <name val="Arial"/>
      <family val="2"/>
    </font>
    <font>
      <sz val="10"/>
      <color indexed="12"/>
      <name val="Arial"/>
    </font>
    <font>
      <sz val="10"/>
      <name val="Arial"/>
      <family val="2"/>
    </font>
    <font>
      <b/>
      <sz val="10"/>
      <color indexed="16"/>
      <name val="Arial"/>
      <family val="2"/>
    </font>
    <font>
      <b/>
      <sz val="10"/>
      <color indexed="16"/>
      <name val="Arial"/>
    </font>
    <font>
      <b/>
      <sz val="10"/>
      <color indexed="8"/>
      <name val="Arial"/>
    </font>
    <font>
      <b/>
      <sz val="10"/>
      <color indexed="12"/>
      <name val="Arial"/>
    </font>
    <font>
      <sz val="10"/>
      <color indexed="8"/>
      <name val="Arial"/>
    </font>
    <font>
      <b/>
      <sz val="10"/>
      <color indexed="12"/>
      <name val="Arial"/>
      <family val="2"/>
    </font>
    <font>
      <sz val="10"/>
      <color indexed="8"/>
      <name val="Arial"/>
      <family val="2"/>
    </font>
    <font>
      <sz val="10"/>
      <color indexed="8"/>
      <name val="Courier"/>
      <family val="3"/>
    </font>
    <font>
      <sz val="18"/>
      <color indexed="12"/>
      <name val="Arial"/>
    </font>
    <font>
      <b/>
      <sz val="10"/>
      <color indexed="8"/>
      <name val="Arial"/>
      <family val="2"/>
    </font>
    <font>
      <b/>
      <sz val="8"/>
      <name val="Arial"/>
      <family val="2"/>
    </font>
    <font>
      <sz val="8"/>
      <name val="Arial"/>
      <family val="2"/>
    </font>
    <font>
      <b/>
      <sz val="12"/>
      <color indexed="10"/>
      <name val="Arial"/>
      <family val="2"/>
    </font>
    <font>
      <b/>
      <sz val="12"/>
      <name val="Arial"/>
      <family val="2"/>
    </font>
    <font>
      <b/>
      <sz val="10"/>
      <color indexed="8"/>
      <name val="Courier"/>
    </font>
    <font>
      <b/>
      <sz val="9"/>
      <name val="Arial"/>
      <family val="2"/>
    </font>
    <font>
      <b/>
      <sz val="12"/>
      <name val="Arial"/>
    </font>
    <font>
      <b/>
      <sz val="14"/>
      <name val="Arial"/>
    </font>
    <font>
      <b/>
      <sz val="10"/>
      <name val="Arial"/>
      <family val="2"/>
    </font>
    <font>
      <b/>
      <sz val="9"/>
      <color indexed="8"/>
      <name val="Arial"/>
      <family val="2"/>
    </font>
    <font>
      <b/>
      <sz val="12"/>
      <name val="Times New Roman"/>
    </font>
    <font>
      <b/>
      <sz val="11"/>
      <color indexed="10"/>
      <name val="Arial"/>
      <family val="2"/>
    </font>
    <font>
      <b/>
      <sz val="11"/>
      <name val="Arial"/>
      <family val="2"/>
    </font>
    <font>
      <b/>
      <sz val="12"/>
      <color indexed="47"/>
      <name val="Arial"/>
      <family val="2"/>
    </font>
    <font>
      <sz val="10"/>
      <color indexed="47"/>
      <name val="Arial"/>
      <family val="2"/>
    </font>
    <font>
      <b/>
      <sz val="8"/>
      <color indexed="8"/>
      <name val="Arial"/>
      <family val="2"/>
    </font>
    <font>
      <b/>
      <sz val="10"/>
      <color indexed="10"/>
      <name val="Arial"/>
      <family val="2"/>
    </font>
    <font>
      <b/>
      <sz val="9"/>
      <color indexed="12"/>
      <name val="Arial"/>
      <family val="2"/>
    </font>
    <font>
      <sz val="10"/>
      <color indexed="8"/>
      <name val="Courier"/>
    </font>
    <font>
      <sz val="9"/>
      <name val="Arial"/>
      <family val="2"/>
    </font>
    <font>
      <b/>
      <sz val="12"/>
      <color indexed="8"/>
      <name val="Arial"/>
      <family val="2"/>
    </font>
    <font>
      <sz val="8"/>
      <name val="Tahoma"/>
      <family val="2"/>
    </font>
    <font>
      <b/>
      <u/>
      <sz val="12"/>
      <name val="Times New Roman"/>
      <family val="1"/>
    </font>
    <font>
      <b/>
      <sz val="16"/>
      <name val="Arial"/>
      <family val="2"/>
    </font>
    <font>
      <sz val="8"/>
      <color indexed="81"/>
      <name val="Tahoma"/>
    </font>
    <font>
      <b/>
      <sz val="8"/>
      <color indexed="81"/>
      <name val="Tahoma"/>
    </font>
    <font>
      <sz val="14"/>
      <color indexed="81"/>
      <name val="Tahoma"/>
      <family val="2"/>
    </font>
    <font>
      <b/>
      <u/>
      <sz val="10"/>
      <name val="Arial"/>
      <family val="2"/>
    </font>
  </fonts>
  <fills count="9">
    <fill>
      <patternFill patternType="none"/>
    </fill>
    <fill>
      <patternFill patternType="gray125"/>
    </fill>
    <fill>
      <patternFill patternType="solid">
        <fgColor indexed="11"/>
        <bgColor indexed="64"/>
      </patternFill>
    </fill>
    <fill>
      <patternFill patternType="solid">
        <fgColor indexed="15"/>
        <bgColor indexed="64"/>
      </patternFill>
    </fill>
    <fill>
      <patternFill patternType="solid">
        <fgColor indexed="22"/>
        <bgColor indexed="64"/>
      </patternFill>
    </fill>
    <fill>
      <patternFill patternType="solid">
        <fgColor indexed="9"/>
        <bgColor indexed="64"/>
      </patternFill>
    </fill>
    <fill>
      <patternFill patternType="solid">
        <fgColor indexed="26"/>
        <bgColor indexed="64"/>
      </patternFill>
    </fill>
    <fill>
      <patternFill patternType="solid">
        <fgColor indexed="17"/>
        <bgColor indexed="64"/>
      </patternFill>
    </fill>
    <fill>
      <patternFill patternType="solid">
        <fgColor indexed="35"/>
        <bgColor indexed="64"/>
      </patternFill>
    </fill>
  </fills>
  <borders count="78">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right style="medium">
        <color indexed="64"/>
      </right>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style="thin">
        <color indexed="64"/>
      </left>
      <right style="medium">
        <color indexed="64"/>
      </right>
      <top/>
      <bottom style="thin">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bottom/>
      <diagonal/>
    </border>
    <border>
      <left/>
      <right style="thin">
        <color indexed="64"/>
      </right>
      <top/>
      <bottom style="medium">
        <color indexed="64"/>
      </bottom>
      <diagonal/>
    </border>
    <border>
      <left style="thin">
        <color indexed="64"/>
      </left>
      <right/>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top/>
      <bottom style="medium">
        <color indexed="64"/>
      </bottom>
      <diagonal/>
    </border>
    <border>
      <left style="thin">
        <color indexed="64"/>
      </left>
      <right/>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top style="medium">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thin">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style="medium">
        <color indexed="64"/>
      </left>
      <right style="thin">
        <color indexed="64"/>
      </right>
      <top/>
      <bottom style="thin">
        <color indexed="64"/>
      </bottom>
      <diagonal/>
    </border>
    <border>
      <left/>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bottom style="thin">
        <color indexed="64"/>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cellStyleXfs>
  <cellXfs count="1036">
    <xf numFmtId="0" fontId="0" fillId="0" borderId="0" xfId="0"/>
    <xf numFmtId="0" fontId="0" fillId="0" borderId="0" xfId="0" applyFill="1"/>
    <xf numFmtId="0" fontId="11" fillId="0" borderId="1" xfId="0" applyFont="1" applyFill="1" applyBorder="1" applyAlignment="1" applyProtection="1">
      <alignment horizontal="left"/>
    </xf>
    <xf numFmtId="166" fontId="0" fillId="0" borderId="0" xfId="0" applyNumberFormat="1" applyBorder="1" applyProtection="1"/>
    <xf numFmtId="169" fontId="0" fillId="0" borderId="0" xfId="0" applyNumberFormat="1" applyFill="1" applyBorder="1" applyProtection="1"/>
    <xf numFmtId="167" fontId="0" fillId="0" borderId="0" xfId="0" applyNumberFormat="1" applyFill="1" applyBorder="1" applyProtection="1"/>
    <xf numFmtId="0" fontId="6" fillId="0" borderId="0" xfId="0" applyFont="1" applyFill="1" applyProtection="1"/>
    <xf numFmtId="0" fontId="6" fillId="0" borderId="0" xfId="0" applyFont="1" applyFill="1"/>
    <xf numFmtId="0" fontId="3" fillId="0" borderId="0" xfId="0" applyFont="1" applyBorder="1" applyProtection="1"/>
    <xf numFmtId="0" fontId="0" fillId="0" borderId="0" xfId="0" applyBorder="1" applyProtection="1"/>
    <xf numFmtId="0" fontId="0" fillId="0" borderId="0" xfId="0" applyBorder="1" applyAlignment="1" applyProtection="1">
      <alignment horizontal="left"/>
    </xf>
    <xf numFmtId="0" fontId="0" fillId="0" borderId="0" xfId="0" applyFill="1" applyBorder="1" applyProtection="1"/>
    <xf numFmtId="0" fontId="11" fillId="0" borderId="0" xfId="0" applyFont="1" applyFill="1" applyBorder="1"/>
    <xf numFmtId="0" fontId="0" fillId="0" borderId="0" xfId="0" applyBorder="1"/>
    <xf numFmtId="37" fontId="15" fillId="0" borderId="0" xfId="0" applyNumberFormat="1" applyFont="1" applyFill="1" applyBorder="1" applyProtection="1"/>
    <xf numFmtId="0" fontId="0" fillId="0" borderId="0" xfId="0" applyFill="1" applyAlignment="1">
      <alignment horizontal="left"/>
    </xf>
    <xf numFmtId="0" fontId="3" fillId="0" borderId="0" xfId="0" applyFont="1" applyFill="1" applyProtection="1">
      <protection locked="0"/>
    </xf>
    <xf numFmtId="0" fontId="0" fillId="0" borderId="0" xfId="0" applyFill="1" applyBorder="1" applyAlignment="1">
      <alignment horizontal="left"/>
    </xf>
    <xf numFmtId="0" fontId="3" fillId="0" borderId="0" xfId="0" applyFont="1" applyFill="1" applyBorder="1" applyProtection="1">
      <protection locked="0"/>
    </xf>
    <xf numFmtId="0" fontId="0" fillId="0" borderId="0" xfId="0" applyFill="1" applyBorder="1" applyProtection="1">
      <protection locked="0"/>
    </xf>
    <xf numFmtId="39" fontId="3" fillId="0" borderId="0" xfId="0" applyNumberFormat="1" applyFont="1" applyProtection="1">
      <protection locked="0"/>
    </xf>
    <xf numFmtId="0" fontId="0" fillId="0" borderId="0" xfId="0" applyFill="1" applyBorder="1"/>
    <xf numFmtId="0" fontId="0" fillId="0" borderId="1" xfId="0" applyFill="1" applyBorder="1" applyAlignment="1">
      <alignment horizontal="right"/>
    </xf>
    <xf numFmtId="0" fontId="1" fillId="0" borderId="2" xfId="0" applyFont="1" applyFill="1" applyBorder="1"/>
    <xf numFmtId="0" fontId="0" fillId="0" borderId="3" xfId="0" applyFill="1" applyBorder="1"/>
    <xf numFmtId="0" fontId="0" fillId="0" borderId="4" xfId="0" applyFill="1" applyBorder="1"/>
    <xf numFmtId="0" fontId="0" fillId="0" borderId="5" xfId="0" applyFill="1" applyBorder="1" applyAlignment="1">
      <alignment horizontal="right"/>
    </xf>
    <xf numFmtId="164" fontId="3" fillId="0" borderId="0" xfId="0" applyNumberFormat="1" applyFont="1" applyFill="1" applyProtection="1">
      <protection locked="0"/>
    </xf>
    <xf numFmtId="7" fontId="7" fillId="0" borderId="0" xfId="0" applyNumberFormat="1" applyFont="1" applyFill="1" applyBorder="1" applyAlignment="1" applyProtection="1">
      <alignment horizontal="left"/>
    </xf>
    <xf numFmtId="0" fontId="3" fillId="0" borderId="0" xfId="0" applyFont="1" applyFill="1" applyAlignment="1" applyProtection="1">
      <alignment horizontal="left"/>
      <protection locked="0"/>
    </xf>
    <xf numFmtId="0" fontId="0" fillId="0" borderId="0" xfId="0" applyFill="1" applyAlignment="1">
      <alignment horizontal="center"/>
    </xf>
    <xf numFmtId="0" fontId="9" fillId="0" borderId="0" xfId="0" applyFont="1" applyFill="1" applyBorder="1" applyAlignment="1" applyProtection="1">
      <alignment horizontal="right"/>
    </xf>
    <xf numFmtId="5" fontId="0" fillId="0" borderId="0" xfId="0" applyNumberFormat="1" applyFill="1" applyProtection="1"/>
    <xf numFmtId="5" fontId="0" fillId="0" borderId="0" xfId="0" applyNumberFormat="1" applyFill="1" applyAlignment="1" applyProtection="1">
      <alignment horizontal="left"/>
    </xf>
    <xf numFmtId="10" fontId="0" fillId="0" borderId="0" xfId="0" applyNumberFormat="1" applyFill="1" applyProtection="1"/>
    <xf numFmtId="7" fontId="7" fillId="0" borderId="0" xfId="0" applyNumberFormat="1" applyFont="1" applyFill="1" applyBorder="1" applyAlignment="1" applyProtection="1">
      <alignment horizontal="center"/>
    </xf>
    <xf numFmtId="7" fontId="9" fillId="0" borderId="0" xfId="0" applyNumberFormat="1" applyFont="1" applyFill="1" applyBorder="1" applyAlignment="1" applyProtection="1">
      <alignment horizontal="right"/>
    </xf>
    <xf numFmtId="0" fontId="0" fillId="0" borderId="6" xfId="0" applyFill="1" applyBorder="1"/>
    <xf numFmtId="0" fontId="0" fillId="0" borderId="7" xfId="0" applyFill="1" applyBorder="1"/>
    <xf numFmtId="0" fontId="0" fillId="0" borderId="7" xfId="0" applyFill="1" applyBorder="1" applyAlignment="1">
      <alignment horizontal="right"/>
    </xf>
    <xf numFmtId="0" fontId="0" fillId="0" borderId="8" xfId="0" applyFill="1" applyBorder="1" applyAlignment="1">
      <alignment horizontal="right"/>
    </xf>
    <xf numFmtId="0" fontId="0" fillId="0" borderId="9" xfId="0" applyFill="1" applyBorder="1" applyAlignment="1">
      <alignment horizontal="center"/>
    </xf>
    <xf numFmtId="0" fontId="0" fillId="0" borderId="8" xfId="0" applyFill="1" applyBorder="1" applyAlignment="1">
      <alignment horizontal="center"/>
    </xf>
    <xf numFmtId="0" fontId="11" fillId="0" borderId="3" xfId="0" applyFont="1" applyFill="1" applyBorder="1" applyAlignment="1" applyProtection="1">
      <alignment horizontal="left"/>
    </xf>
    <xf numFmtId="0" fontId="11" fillId="0" borderId="6" xfId="0" applyFont="1" applyFill="1" applyBorder="1" applyAlignment="1" applyProtection="1">
      <alignment horizontal="center"/>
    </xf>
    <xf numFmtId="0" fontId="11" fillId="0" borderId="4" xfId="0" applyFont="1" applyFill="1" applyBorder="1" applyAlignment="1" applyProtection="1">
      <alignment horizontal="left"/>
    </xf>
    <xf numFmtId="0" fontId="11" fillId="0" borderId="5" xfId="0" applyFont="1" applyFill="1" applyBorder="1" applyAlignment="1" applyProtection="1">
      <alignment horizontal="left"/>
    </xf>
    <xf numFmtId="0" fontId="11" fillId="0" borderId="7" xfId="0" applyFont="1" applyFill="1" applyBorder="1" applyAlignment="1" applyProtection="1">
      <alignment horizontal="center"/>
    </xf>
    <xf numFmtId="0" fontId="11" fillId="0" borderId="2" xfId="0" applyFont="1" applyFill="1" applyBorder="1" applyAlignment="1" applyProtection="1">
      <alignment horizontal="center"/>
    </xf>
    <xf numFmtId="0" fontId="11" fillId="0" borderId="9" xfId="0" applyFont="1" applyFill="1" applyBorder="1" applyAlignment="1" applyProtection="1">
      <alignment horizontal="center"/>
    </xf>
    <xf numFmtId="0" fontId="11" fillId="0" borderId="6" xfId="0" applyFont="1" applyFill="1" applyBorder="1" applyAlignment="1" applyProtection="1">
      <alignment horizontal="center"/>
      <protection locked="0"/>
    </xf>
    <xf numFmtId="0" fontId="11" fillId="0" borderId="3" xfId="0" applyFont="1" applyFill="1" applyBorder="1" applyAlignment="1" applyProtection="1">
      <alignment horizontal="left"/>
      <protection locked="0"/>
    </xf>
    <xf numFmtId="0" fontId="11" fillId="0" borderId="4" xfId="0" applyFont="1" applyFill="1" applyBorder="1" applyAlignment="1" applyProtection="1">
      <alignment horizontal="left"/>
      <protection locked="0"/>
    </xf>
    <xf numFmtId="0" fontId="11" fillId="0" borderId="2" xfId="0" applyFont="1" applyFill="1" applyBorder="1" applyAlignment="1" applyProtection="1">
      <alignment horizontal="center"/>
      <protection locked="0"/>
    </xf>
    <xf numFmtId="0" fontId="9" fillId="2" borderId="10" xfId="0" applyFont="1" applyFill="1" applyBorder="1" applyAlignment="1">
      <alignment horizontal="center"/>
    </xf>
    <xf numFmtId="0" fontId="9" fillId="0" borderId="8" xfId="0" applyFont="1" applyFill="1" applyBorder="1" applyAlignment="1" applyProtection="1">
      <alignment horizontal="center"/>
      <protection locked="0"/>
    </xf>
    <xf numFmtId="0" fontId="0" fillId="3" borderId="11" xfId="0" applyFill="1" applyBorder="1"/>
    <xf numFmtId="0" fontId="0" fillId="3" borderId="1" xfId="0" applyFill="1" applyBorder="1"/>
    <xf numFmtId="0" fontId="0" fillId="3" borderId="6" xfId="0" applyFill="1" applyBorder="1"/>
    <xf numFmtId="0" fontId="0" fillId="3" borderId="5" xfId="0" applyFill="1" applyBorder="1"/>
    <xf numFmtId="0" fontId="0" fillId="3" borderId="7" xfId="0" applyFill="1" applyBorder="1"/>
    <xf numFmtId="0" fontId="13" fillId="3" borderId="10" xfId="0" applyFont="1" applyFill="1" applyBorder="1" applyProtection="1">
      <protection locked="0"/>
    </xf>
    <xf numFmtId="0" fontId="0" fillId="0" borderId="12" xfId="0" applyBorder="1"/>
    <xf numFmtId="0" fontId="11" fillId="3" borderId="13" xfId="0" applyFont="1" applyFill="1" applyBorder="1" applyProtection="1">
      <protection locked="0"/>
    </xf>
    <xf numFmtId="0" fontId="9" fillId="2" borderId="14" xfId="0" applyFont="1" applyFill="1" applyBorder="1" applyAlignment="1">
      <alignment horizontal="center"/>
    </xf>
    <xf numFmtId="0" fontId="1" fillId="4" borderId="1" xfId="0" applyFont="1" applyFill="1" applyBorder="1" applyProtection="1"/>
    <xf numFmtId="0" fontId="1" fillId="4" borderId="3" xfId="0" applyFont="1" applyFill="1" applyBorder="1"/>
    <xf numFmtId="0" fontId="1" fillId="4" borderId="3" xfId="0" applyFont="1" applyFill="1" applyBorder="1" applyProtection="1"/>
    <xf numFmtId="0" fontId="1" fillId="4" borderId="4" xfId="0" applyFont="1" applyFill="1" applyBorder="1"/>
    <xf numFmtId="0" fontId="1" fillId="4" borderId="3" xfId="0" applyFont="1" applyFill="1" applyBorder="1" applyAlignment="1">
      <alignment horizontal="right"/>
    </xf>
    <xf numFmtId="0" fontId="1" fillId="4" borderId="4" xfId="0" applyFont="1" applyFill="1" applyBorder="1" applyAlignment="1">
      <alignment horizontal="right"/>
    </xf>
    <xf numFmtId="0" fontId="6" fillId="0" borderId="0" xfId="0" applyFont="1" applyFill="1" applyBorder="1" applyProtection="1"/>
    <xf numFmtId="0" fontId="0" fillId="0" borderId="15" xfId="0" applyBorder="1"/>
    <xf numFmtId="0" fontId="9" fillId="4" borderId="16" xfId="0" applyFont="1" applyFill="1" applyBorder="1" applyAlignment="1" applyProtection="1">
      <alignment horizontal="right"/>
    </xf>
    <xf numFmtId="0" fontId="2" fillId="5" borderId="13" xfId="0" applyFont="1" applyFill="1" applyBorder="1" applyProtection="1">
      <protection locked="0"/>
    </xf>
    <xf numFmtId="0" fontId="9" fillId="4" borderId="2" xfId="0" applyFont="1" applyFill="1" applyBorder="1" applyAlignment="1" applyProtection="1">
      <alignment horizontal="right"/>
    </xf>
    <xf numFmtId="0" fontId="9" fillId="4" borderId="3" xfId="0" applyFont="1" applyFill="1" applyBorder="1" applyAlignment="1" applyProtection="1">
      <alignment horizontal="right"/>
    </xf>
    <xf numFmtId="0" fontId="2" fillId="0" borderId="2" xfId="0" applyFont="1" applyFill="1" applyBorder="1" applyAlignment="1">
      <alignment horizontal="right"/>
    </xf>
    <xf numFmtId="0" fontId="2" fillId="0" borderId="4" xfId="0" applyFont="1" applyFill="1" applyBorder="1" applyAlignment="1">
      <alignment horizontal="right"/>
    </xf>
    <xf numFmtId="0" fontId="0" fillId="0" borderId="4" xfId="0" applyBorder="1"/>
    <xf numFmtId="0" fontId="1" fillId="0" borderId="14" xfId="0" applyFont="1" applyBorder="1" applyAlignment="1">
      <alignment horizontal="center"/>
    </xf>
    <xf numFmtId="0" fontId="2" fillId="0" borderId="17" xfId="0" applyFont="1" applyFill="1" applyBorder="1" applyAlignment="1">
      <alignment horizontal="center"/>
    </xf>
    <xf numFmtId="0" fontId="9" fillId="4" borderId="4" xfId="0" applyFont="1" applyFill="1" applyBorder="1" applyAlignment="1" applyProtection="1">
      <alignment horizontal="right"/>
    </xf>
    <xf numFmtId="164" fontId="9" fillId="4" borderId="2" xfId="0" applyNumberFormat="1" applyFont="1" applyFill="1" applyBorder="1" applyAlignment="1" applyProtection="1">
      <alignment horizontal="right"/>
    </xf>
    <xf numFmtId="164" fontId="9" fillId="4" borderId="3" xfId="0" applyNumberFormat="1" applyFont="1" applyFill="1" applyBorder="1" applyAlignment="1" applyProtection="1">
      <alignment horizontal="right"/>
    </xf>
    <xf numFmtId="164" fontId="9" fillId="0" borderId="6" xfId="0" applyNumberFormat="1" applyFont="1" applyFill="1" applyBorder="1" applyProtection="1">
      <protection locked="0"/>
    </xf>
    <xf numFmtId="0" fontId="9" fillId="4" borderId="12" xfId="0" applyFont="1" applyFill="1" applyBorder="1" applyAlignment="1" applyProtection="1">
      <alignment horizontal="left"/>
    </xf>
    <xf numFmtId="0" fontId="9" fillId="4" borderId="18" xfId="0" applyFont="1" applyFill="1" applyBorder="1" applyAlignment="1" applyProtection="1">
      <alignment horizontal="left"/>
    </xf>
    <xf numFmtId="0" fontId="1" fillId="4" borderId="2" xfId="0" applyFont="1" applyFill="1" applyBorder="1" applyAlignment="1">
      <alignment horizontal="right"/>
    </xf>
    <xf numFmtId="183" fontId="1" fillId="0" borderId="8" xfId="0" applyNumberFormat="1" applyFont="1" applyBorder="1"/>
    <xf numFmtId="0" fontId="0" fillId="0" borderId="18" xfId="0" applyBorder="1"/>
    <xf numFmtId="9" fontId="9" fillId="0" borderId="8" xfId="3" applyNumberFormat="1" applyFont="1" applyFill="1" applyBorder="1" applyProtection="1">
      <protection locked="0"/>
    </xf>
    <xf numFmtId="0" fontId="1" fillId="4" borderId="5" xfId="0" applyFont="1" applyFill="1" applyBorder="1" applyProtection="1"/>
    <xf numFmtId="17" fontId="0" fillId="0" borderId="0" xfId="0" applyNumberFormat="1"/>
    <xf numFmtId="0" fontId="1" fillId="0" borderId="0" xfId="0" applyFont="1" applyBorder="1"/>
    <xf numFmtId="2" fontId="0" fillId="0" borderId="0" xfId="0" applyNumberFormat="1"/>
    <xf numFmtId="15" fontId="0" fillId="0" borderId="0" xfId="0" applyNumberFormat="1"/>
    <xf numFmtId="0" fontId="0" fillId="0" borderId="0" xfId="0" quotePrefix="1"/>
    <xf numFmtId="1" fontId="0" fillId="0" borderId="0" xfId="0" applyNumberFormat="1"/>
    <xf numFmtId="0" fontId="0" fillId="0" borderId="19" xfId="0" applyBorder="1" applyAlignment="1">
      <alignment horizontal="center"/>
    </xf>
    <xf numFmtId="0" fontId="9" fillId="0" borderId="14" xfId="0" applyFont="1" applyFill="1" applyBorder="1"/>
    <xf numFmtId="0" fontId="0" fillId="0" borderId="3" xfId="0" applyBorder="1"/>
    <xf numFmtId="15" fontId="0" fillId="0" borderId="0" xfId="0" quotePrefix="1" applyNumberFormat="1"/>
    <xf numFmtId="0" fontId="8" fillId="0" borderId="0" xfId="0" applyFont="1" applyFill="1" applyBorder="1" applyAlignment="1" applyProtection="1">
      <alignment horizontal="left"/>
    </xf>
    <xf numFmtId="0" fontId="9" fillId="0" borderId="0" xfId="0" applyFont="1" applyFill="1" applyBorder="1" applyProtection="1"/>
    <xf numFmtId="0" fontId="9" fillId="0" borderId="0" xfId="0" applyFont="1" applyFill="1" applyBorder="1" applyAlignment="1" applyProtection="1">
      <alignment horizontal="center"/>
    </xf>
    <xf numFmtId="0" fontId="9" fillId="0" borderId="0" xfId="0" applyFont="1" applyFill="1" applyBorder="1" applyAlignment="1" applyProtection="1">
      <alignment horizontal="left"/>
    </xf>
    <xf numFmtId="168" fontId="9" fillId="0" borderId="0" xfId="0" applyNumberFormat="1" applyFont="1" applyFill="1" applyBorder="1" applyProtection="1">
      <protection locked="0"/>
    </xf>
    <xf numFmtId="0" fontId="1" fillId="0" borderId="0" xfId="0" applyFont="1" applyFill="1" applyBorder="1" applyProtection="1"/>
    <xf numFmtId="0" fontId="1" fillId="0" borderId="0" xfId="0" applyFont="1" applyFill="1" applyBorder="1" applyAlignment="1">
      <alignment horizontal="left"/>
    </xf>
    <xf numFmtId="0" fontId="1" fillId="0" borderId="0" xfId="0" applyFont="1" applyFill="1" applyBorder="1" applyAlignment="1">
      <alignment horizontal="right"/>
    </xf>
    <xf numFmtId="182" fontId="9" fillId="0" borderId="0" xfId="1" applyNumberFormat="1" applyFont="1" applyFill="1" applyBorder="1" applyProtection="1">
      <protection locked="0"/>
    </xf>
    <xf numFmtId="0" fontId="4" fillId="0" borderId="0" xfId="0" applyFont="1" applyFill="1" applyBorder="1" applyAlignment="1" applyProtection="1">
      <alignment horizontal="left"/>
    </xf>
    <xf numFmtId="0" fontId="4" fillId="0" borderId="0" xfId="0" applyFont="1" applyFill="1" applyBorder="1" applyProtection="1"/>
    <xf numFmtId="37" fontId="10" fillId="0" borderId="0" xfId="0" applyNumberFormat="1" applyFont="1" applyFill="1" applyBorder="1" applyProtection="1"/>
    <xf numFmtId="0" fontId="6" fillId="0" borderId="0" xfId="0" applyFont="1" applyFill="1" applyBorder="1" applyAlignment="1" applyProtection="1">
      <alignment horizontal="left"/>
    </xf>
    <xf numFmtId="7" fontId="10" fillId="0" borderId="0" xfId="0" applyNumberFormat="1" applyFont="1" applyFill="1" applyBorder="1" applyProtection="1"/>
    <xf numFmtId="9" fontId="9" fillId="0" borderId="0" xfId="3" applyNumberFormat="1" applyFont="1" applyFill="1" applyBorder="1" applyProtection="1">
      <protection locked="0"/>
    </xf>
    <xf numFmtId="5" fontId="10" fillId="0" borderId="0" xfId="0" applyNumberFormat="1" applyFont="1" applyFill="1" applyBorder="1" applyProtection="1"/>
    <xf numFmtId="1" fontId="9" fillId="0" borderId="0" xfId="1" applyNumberFormat="1" applyFont="1" applyFill="1" applyBorder="1" applyProtection="1">
      <protection locked="0"/>
    </xf>
    <xf numFmtId="171" fontId="10" fillId="0" borderId="0" xfId="0" applyNumberFormat="1" applyFont="1" applyFill="1" applyBorder="1" applyProtection="1"/>
    <xf numFmtId="0" fontId="13" fillId="0" borderId="0" xfId="0" applyFont="1" applyFill="1" applyBorder="1" applyAlignment="1" applyProtection="1">
      <alignment horizontal="left"/>
    </xf>
    <xf numFmtId="0" fontId="11" fillId="0" borderId="0" xfId="0" applyFont="1" applyFill="1" applyBorder="1" applyProtection="1">
      <protection locked="0"/>
    </xf>
    <xf numFmtId="43" fontId="9" fillId="0" borderId="0" xfId="1" applyFont="1" applyFill="1" applyBorder="1" applyProtection="1">
      <protection locked="0"/>
    </xf>
    <xf numFmtId="14" fontId="9" fillId="0" borderId="0" xfId="0" applyNumberFormat="1" applyFont="1" applyFill="1" applyBorder="1" applyProtection="1">
      <protection locked="0"/>
    </xf>
    <xf numFmtId="172" fontId="10" fillId="0" borderId="0" xfId="0" applyNumberFormat="1" applyFont="1" applyFill="1" applyBorder="1" applyProtection="1"/>
    <xf numFmtId="43" fontId="10" fillId="0" borderId="0" xfId="1" applyFont="1" applyFill="1" applyBorder="1" applyProtection="1"/>
    <xf numFmtId="5" fontId="5" fillId="0" borderId="0" xfId="0" applyNumberFormat="1" applyFont="1" applyFill="1" applyBorder="1" applyProtection="1"/>
    <xf numFmtId="166" fontId="1" fillId="0" borderId="0" xfId="0" applyNumberFormat="1" applyFont="1" applyFill="1" applyBorder="1" applyAlignment="1" applyProtection="1">
      <alignment horizontal="right"/>
    </xf>
    <xf numFmtId="0" fontId="11" fillId="0" borderId="0" xfId="0" applyFont="1" applyFill="1" applyBorder="1" applyAlignment="1" applyProtection="1">
      <alignment horizontal="left"/>
    </xf>
    <xf numFmtId="0" fontId="9" fillId="0" borderId="0" xfId="0" applyFont="1" applyFill="1" applyBorder="1" applyAlignment="1" applyProtection="1">
      <alignment horizontal="left"/>
      <protection locked="0"/>
    </xf>
    <xf numFmtId="37" fontId="12" fillId="0" borderId="0" xfId="0" applyNumberFormat="1" applyFont="1" applyFill="1" applyBorder="1" applyProtection="1"/>
    <xf numFmtId="184" fontId="11" fillId="0" borderId="0" xfId="1" applyNumberFormat="1" applyFont="1" applyFill="1" applyBorder="1"/>
    <xf numFmtId="14" fontId="11" fillId="0" borderId="0" xfId="0" applyNumberFormat="1" applyFont="1" applyFill="1" applyBorder="1"/>
    <xf numFmtId="0" fontId="6" fillId="0" borderId="0" xfId="0" applyFont="1" applyFill="1" applyBorder="1"/>
    <xf numFmtId="0" fontId="6" fillId="0" borderId="0" xfId="0" applyFont="1" applyFill="1" applyBorder="1" applyProtection="1">
      <protection locked="0"/>
    </xf>
    <xf numFmtId="0" fontId="14" fillId="0" borderId="0" xfId="0" applyFont="1" applyFill="1" applyBorder="1" applyProtection="1">
      <protection locked="0"/>
    </xf>
    <xf numFmtId="0" fontId="11" fillId="0" borderId="0" xfId="0" applyFont="1" applyFill="1" applyBorder="1" applyAlignment="1">
      <alignment horizontal="center"/>
    </xf>
    <xf numFmtId="0" fontId="11" fillId="0" borderId="0" xfId="0" applyFont="1" applyFill="1" applyBorder="1" applyAlignment="1">
      <alignment horizontal="left"/>
    </xf>
    <xf numFmtId="0" fontId="11" fillId="0" borderId="0" xfId="0" applyFont="1" applyFill="1" applyBorder="1" applyAlignment="1" applyProtection="1">
      <alignment horizontal="center"/>
    </xf>
    <xf numFmtId="0" fontId="11" fillId="0" borderId="0" xfId="0" applyFont="1" applyFill="1" applyBorder="1" applyAlignment="1" applyProtection="1">
      <alignment horizontal="center"/>
      <protection locked="0"/>
    </xf>
    <xf numFmtId="0" fontId="11" fillId="0" borderId="0" xfId="0" applyFont="1" applyFill="1" applyBorder="1" applyAlignment="1" applyProtection="1">
      <alignment horizontal="left"/>
      <protection locked="0"/>
    </xf>
    <xf numFmtId="0" fontId="1" fillId="0" borderId="0" xfId="0" applyFont="1"/>
    <xf numFmtId="0" fontId="1" fillId="0" borderId="0" xfId="0" applyFont="1" applyFill="1" applyBorder="1"/>
    <xf numFmtId="0" fontId="1" fillId="5" borderId="1" xfId="0" applyFont="1" applyFill="1" applyBorder="1" applyProtection="1"/>
    <xf numFmtId="0" fontId="1" fillId="5" borderId="1" xfId="0" applyFont="1" applyFill="1" applyBorder="1"/>
    <xf numFmtId="0" fontId="1" fillId="5" borderId="5" xfId="0" applyFont="1" applyFill="1" applyBorder="1"/>
    <xf numFmtId="0" fontId="1" fillId="4" borderId="1" xfId="0" applyFont="1" applyFill="1" applyBorder="1" applyAlignment="1">
      <alignment horizontal="center"/>
    </xf>
    <xf numFmtId="0" fontId="1" fillId="4" borderId="1" xfId="0" applyFont="1" applyFill="1" applyBorder="1" applyAlignment="1" applyProtection="1">
      <alignment horizontal="center"/>
    </xf>
    <xf numFmtId="0" fontId="1" fillId="0" borderId="20" xfId="0" applyFont="1" applyBorder="1" applyAlignment="1">
      <alignment horizontal="centerContinuous"/>
    </xf>
    <xf numFmtId="0" fontId="0" fillId="0" borderId="21" xfId="0" applyBorder="1" applyAlignment="1">
      <alignment horizontal="centerContinuous"/>
    </xf>
    <xf numFmtId="0" fontId="6" fillId="0" borderId="21" xfId="0" applyFont="1" applyFill="1" applyBorder="1" applyAlignment="1" applyProtection="1">
      <alignment horizontal="centerContinuous"/>
    </xf>
    <xf numFmtId="0" fontId="0" fillId="0" borderId="19" xfId="0" applyBorder="1" applyAlignment="1">
      <alignment horizontal="centerContinuous"/>
    </xf>
    <xf numFmtId="0" fontId="1" fillId="4" borderId="3" xfId="0" applyFont="1" applyFill="1" applyBorder="1" applyAlignment="1">
      <alignment horizontal="center"/>
    </xf>
    <xf numFmtId="0" fontId="1" fillId="4" borderId="6" xfId="0" applyFont="1" applyFill="1" applyBorder="1" applyAlignment="1" applyProtection="1">
      <alignment horizontal="center"/>
    </xf>
    <xf numFmtId="0" fontId="1" fillId="5" borderId="6" xfId="0" applyFont="1" applyFill="1" applyBorder="1" applyProtection="1"/>
    <xf numFmtId="0" fontId="1" fillId="5" borderId="6" xfId="0" applyFont="1" applyFill="1" applyBorder="1"/>
    <xf numFmtId="0" fontId="1" fillId="5" borderId="7" xfId="0" applyFont="1" applyFill="1" applyBorder="1"/>
    <xf numFmtId="0" fontId="17" fillId="0" borderId="0" xfId="0" applyFont="1" applyFill="1" applyBorder="1" applyAlignment="1">
      <alignment horizontal="center"/>
    </xf>
    <xf numFmtId="20" fontId="18" fillId="0" borderId="0" xfId="0" applyNumberFormat="1" applyFont="1" applyFill="1" applyBorder="1"/>
    <xf numFmtId="0" fontId="1" fillId="4" borderId="22" xfId="0" applyFont="1" applyFill="1" applyBorder="1" applyAlignment="1">
      <alignment horizontal="center"/>
    </xf>
    <xf numFmtId="0" fontId="9" fillId="4" borderId="12" xfId="0" applyFont="1" applyFill="1" applyBorder="1" applyAlignment="1" applyProtection="1">
      <alignment horizontal="right"/>
    </xf>
    <xf numFmtId="0" fontId="1" fillId="4" borderId="2" xfId="0" applyFont="1" applyFill="1" applyBorder="1" applyAlignment="1" applyProtection="1">
      <alignment horizontal="right"/>
    </xf>
    <xf numFmtId="0" fontId="0" fillId="4" borderId="14" xfId="0" applyFill="1" applyBorder="1"/>
    <xf numFmtId="0" fontId="0" fillId="4" borderId="15" xfId="0" applyFill="1" applyBorder="1"/>
    <xf numFmtId="0" fontId="1" fillId="4" borderId="6" xfId="0" applyFont="1" applyFill="1" applyBorder="1" applyAlignment="1">
      <alignment horizontal="right"/>
    </xf>
    <xf numFmtId="0" fontId="1" fillId="4" borderId="7" xfId="0" applyFont="1" applyFill="1" applyBorder="1" applyAlignment="1">
      <alignment horizontal="right"/>
    </xf>
    <xf numFmtId="10" fontId="9" fillId="5" borderId="7" xfId="3" applyNumberFormat="1" applyFont="1" applyFill="1" applyBorder="1" applyAlignment="1" applyProtection="1">
      <alignment horizontal="right"/>
      <protection locked="0"/>
    </xf>
    <xf numFmtId="0" fontId="0" fillId="0" borderId="19" xfId="0" applyBorder="1"/>
    <xf numFmtId="0" fontId="0" fillId="5" borderId="12" xfId="0" applyFill="1" applyBorder="1"/>
    <xf numFmtId="0" fontId="0" fillId="5" borderId="18" xfId="0" applyFill="1" applyBorder="1"/>
    <xf numFmtId="0" fontId="6" fillId="5" borderId="23" xfId="0" applyFont="1" applyFill="1" applyBorder="1" applyProtection="1"/>
    <xf numFmtId="9" fontId="9" fillId="5" borderId="24" xfId="3" applyNumberFormat="1" applyFont="1" applyFill="1" applyBorder="1" applyProtection="1">
      <protection locked="0"/>
    </xf>
    <xf numFmtId="0" fontId="0" fillId="5" borderId="14" xfId="0" applyFill="1" applyBorder="1"/>
    <xf numFmtId="0" fontId="0" fillId="5" borderId="15" xfId="0" applyFill="1" applyBorder="1"/>
    <xf numFmtId="0" fontId="1" fillId="4" borderId="16" xfId="0" applyFont="1" applyFill="1" applyBorder="1" applyAlignment="1">
      <alignment horizontal="right"/>
    </xf>
    <xf numFmtId="0" fontId="0" fillId="0" borderId="13" xfId="0" applyFill="1" applyBorder="1"/>
    <xf numFmtId="0" fontId="20" fillId="4" borderId="2" xfId="0" applyFont="1" applyFill="1" applyBorder="1" applyAlignment="1">
      <alignment horizontal="center"/>
    </xf>
    <xf numFmtId="0" fontId="20" fillId="4" borderId="16" xfId="0" applyFont="1" applyFill="1" applyBorder="1" applyAlignment="1">
      <alignment horizontal="center"/>
    </xf>
    <xf numFmtId="0" fontId="0" fillId="0" borderId="6" xfId="0" applyBorder="1"/>
    <xf numFmtId="0" fontId="1" fillId="0" borderId="9" xfId="0" applyFont="1" applyFill="1" applyBorder="1" applyAlignment="1">
      <alignment horizontal="center"/>
    </xf>
    <xf numFmtId="0" fontId="0" fillId="0" borderId="6" xfId="0" applyBorder="1" applyAlignment="1">
      <alignment horizontal="right"/>
    </xf>
    <xf numFmtId="0" fontId="0" fillId="0" borderId="6" xfId="0" quotePrefix="1" applyBorder="1" applyAlignment="1">
      <alignment horizontal="right"/>
    </xf>
    <xf numFmtId="0" fontId="0" fillId="0" borderId="0" xfId="0" applyFill="1" applyBorder="1" applyAlignment="1">
      <alignment horizontal="right"/>
    </xf>
    <xf numFmtId="0" fontId="0" fillId="0" borderId="25" xfId="0" applyFill="1" applyBorder="1" applyAlignment="1">
      <alignment horizontal="center"/>
    </xf>
    <xf numFmtId="0" fontId="0" fillId="0" borderId="26" xfId="0" applyFill="1" applyBorder="1" applyAlignment="1">
      <alignment horizontal="center"/>
    </xf>
    <xf numFmtId="0" fontId="1" fillId="0" borderId="8" xfId="0" applyFont="1" applyBorder="1" applyAlignment="1">
      <alignment horizontal="center"/>
    </xf>
    <xf numFmtId="0" fontId="0" fillId="0" borderId="27" xfId="0" applyFill="1" applyBorder="1" applyAlignment="1">
      <alignment horizontal="center"/>
    </xf>
    <xf numFmtId="0" fontId="0" fillId="0" borderId="21" xfId="0" applyBorder="1"/>
    <xf numFmtId="1" fontId="1" fillId="0" borderId="20" xfId="0" applyNumberFormat="1" applyFont="1" applyBorder="1" applyAlignment="1">
      <alignment horizontal="centerContinuous"/>
    </xf>
    <xf numFmtId="1" fontId="0" fillId="0" borderId="19" xfId="0" applyNumberFormat="1" applyBorder="1" applyAlignment="1">
      <alignment horizontal="centerContinuous"/>
    </xf>
    <xf numFmtId="0" fontId="0" fillId="0" borderId="28" xfId="0" applyBorder="1"/>
    <xf numFmtId="0" fontId="1" fillId="0" borderId="29" xfId="0" applyFont="1" applyBorder="1" applyAlignment="1">
      <alignment horizontal="centerContinuous"/>
    </xf>
    <xf numFmtId="0" fontId="0" fillId="0" borderId="30" xfId="0" applyBorder="1" applyAlignment="1">
      <alignment horizontal="centerContinuous"/>
    </xf>
    <xf numFmtId="15" fontId="0" fillId="0" borderId="21" xfId="0" applyNumberFormat="1" applyBorder="1"/>
    <xf numFmtId="15" fontId="0" fillId="0" borderId="0" xfId="0" applyNumberFormat="1" applyBorder="1"/>
    <xf numFmtId="15" fontId="0" fillId="0" borderId="28" xfId="0" applyNumberFormat="1" applyBorder="1"/>
    <xf numFmtId="192" fontId="0" fillId="0" borderId="19" xfId="0" applyNumberFormat="1" applyBorder="1"/>
    <xf numFmtId="192" fontId="0" fillId="0" borderId="24" xfId="0" applyNumberFormat="1" applyBorder="1"/>
    <xf numFmtId="192" fontId="0" fillId="0" borderId="18" xfId="0" applyNumberFormat="1" applyBorder="1"/>
    <xf numFmtId="2" fontId="0" fillId="0" borderId="23" xfId="0" applyNumberFormat="1" applyBorder="1"/>
    <xf numFmtId="2" fontId="0" fillId="0" borderId="0" xfId="0" applyNumberFormat="1" applyBorder="1"/>
    <xf numFmtId="2" fontId="0" fillId="0" borderId="24" xfId="0" applyNumberFormat="1" applyBorder="1"/>
    <xf numFmtId="2" fontId="0" fillId="0" borderId="12" xfId="0" applyNumberFormat="1" applyBorder="1"/>
    <xf numFmtId="2" fontId="0" fillId="0" borderId="28" xfId="0" applyNumberFormat="1" applyBorder="1"/>
    <xf numFmtId="2" fontId="0" fillId="0" borderId="18" xfId="0" applyNumberFormat="1" applyBorder="1"/>
    <xf numFmtId="2" fontId="0" fillId="0" borderId="31" xfId="0" applyNumberFormat="1" applyBorder="1"/>
    <xf numFmtId="2" fontId="0" fillId="0" borderId="32" xfId="0" applyNumberFormat="1" applyBorder="1"/>
    <xf numFmtId="0" fontId="1" fillId="0" borderId="23" xfId="0" applyFont="1" applyBorder="1" applyAlignment="1">
      <alignment horizontal="centerContinuous"/>
    </xf>
    <xf numFmtId="0" fontId="0" fillId="0" borderId="21" xfId="0" quotePrefix="1" applyBorder="1"/>
    <xf numFmtId="0" fontId="0" fillId="0" borderId="0" xfId="0" quotePrefix="1" applyBorder="1"/>
    <xf numFmtId="0" fontId="0" fillId="0" borderId="28" xfId="0" quotePrefix="1" applyBorder="1"/>
    <xf numFmtId="0" fontId="22" fillId="4" borderId="2" xfId="0" applyFont="1" applyFill="1" applyBorder="1" applyAlignment="1" applyProtection="1">
      <alignment horizontal="right"/>
    </xf>
    <xf numFmtId="0" fontId="0" fillId="0" borderId="0" xfId="0" applyAlignment="1"/>
    <xf numFmtId="0" fontId="1" fillId="0" borderId="19" xfId="0" applyFont="1" applyBorder="1" applyAlignment="1">
      <alignment horizontal="centerContinuous"/>
    </xf>
    <xf numFmtId="0" fontId="1" fillId="0" borderId="27" xfId="0" applyFont="1" applyBorder="1" applyAlignment="1">
      <alignment horizontal="center"/>
    </xf>
    <xf numFmtId="0" fontId="1" fillId="0" borderId="0" xfId="0" applyFont="1" applyFill="1"/>
    <xf numFmtId="0" fontId="1" fillId="0" borderId="0" xfId="0" applyFont="1" applyFill="1" applyBorder="1" applyAlignment="1"/>
    <xf numFmtId="0" fontId="1" fillId="0" borderId="25" xfId="0" applyFont="1" applyBorder="1" applyAlignment="1">
      <alignment horizontal="center"/>
    </xf>
    <xf numFmtId="0" fontId="1" fillId="4" borderId="14" xfId="0" applyFont="1" applyFill="1" applyBorder="1" applyAlignment="1">
      <alignment horizontal="centerContinuous"/>
    </xf>
    <xf numFmtId="0" fontId="0" fillId="4" borderId="15" xfId="0" applyFill="1" applyBorder="1" applyAlignment="1">
      <alignment horizontal="centerContinuous"/>
    </xf>
    <xf numFmtId="0" fontId="0" fillId="0" borderId="33" xfId="0" applyBorder="1"/>
    <xf numFmtId="183" fontId="1" fillId="0" borderId="8" xfId="0" applyNumberFormat="1" applyFont="1" applyFill="1" applyBorder="1"/>
    <xf numFmtId="0" fontId="4" fillId="5" borderId="34" xfId="0" applyFont="1" applyFill="1" applyBorder="1" applyProtection="1"/>
    <xf numFmtId="0" fontId="4" fillId="5" borderId="35" xfId="0" applyFont="1" applyFill="1" applyBorder="1" applyAlignment="1" applyProtection="1">
      <alignment horizontal="right"/>
    </xf>
    <xf numFmtId="0" fontId="4" fillId="5" borderId="36" xfId="0" applyFont="1" applyFill="1" applyBorder="1" applyProtection="1"/>
    <xf numFmtId="0" fontId="4" fillId="5" borderId="37" xfId="0" applyFont="1" applyFill="1" applyBorder="1" applyAlignment="1" applyProtection="1">
      <alignment horizontal="right"/>
    </xf>
    <xf numFmtId="0" fontId="1" fillId="0" borderId="24" xfId="0" applyFont="1" applyBorder="1" applyAlignment="1">
      <alignment horizontal="centerContinuous"/>
    </xf>
    <xf numFmtId="0" fontId="1" fillId="0" borderId="0" xfId="0" applyFont="1" applyFill="1" applyBorder="1" applyAlignment="1">
      <alignment horizontal="center"/>
    </xf>
    <xf numFmtId="9" fontId="0" fillId="0" borderId="0" xfId="0" applyNumberFormat="1"/>
    <xf numFmtId="9" fontId="0" fillId="0" borderId="23" xfId="3" applyNumberFormat="1" applyFont="1" applyBorder="1"/>
    <xf numFmtId="9" fontId="0" fillId="0" borderId="0" xfId="3" applyNumberFormat="1" applyFont="1" applyBorder="1"/>
    <xf numFmtId="9" fontId="0" fillId="0" borderId="31" xfId="3" applyNumberFormat="1" applyFont="1" applyBorder="1"/>
    <xf numFmtId="9" fontId="0" fillId="0" borderId="0" xfId="3" quotePrefix="1" applyNumberFormat="1" applyFont="1" applyBorder="1"/>
    <xf numFmtId="9" fontId="0" fillId="0" borderId="31" xfId="3" quotePrefix="1" applyNumberFormat="1" applyFont="1" applyBorder="1"/>
    <xf numFmtId="9" fontId="0" fillId="0" borderId="24" xfId="3" quotePrefix="1" applyNumberFormat="1" applyFont="1" applyBorder="1"/>
    <xf numFmtId="9" fontId="0" fillId="0" borderId="12" xfId="3" applyNumberFormat="1" applyFont="1" applyBorder="1"/>
    <xf numFmtId="9" fontId="0" fillId="0" borderId="28" xfId="3" applyNumberFormat="1" applyFont="1" applyBorder="1"/>
    <xf numFmtId="9" fontId="0" fillId="0" borderId="32" xfId="3" applyNumberFormat="1" applyFont="1" applyBorder="1"/>
    <xf numFmtId="9" fontId="0" fillId="0" borderId="28" xfId="3" quotePrefix="1" applyNumberFormat="1" applyFont="1" applyBorder="1"/>
    <xf numFmtId="9" fontId="0" fillId="0" borderId="32" xfId="3" quotePrefix="1" applyNumberFormat="1" applyFont="1" applyBorder="1"/>
    <xf numFmtId="9" fontId="0" fillId="0" borderId="18" xfId="3" quotePrefix="1" applyNumberFormat="1" applyFont="1" applyBorder="1"/>
    <xf numFmtId="0" fontId="1" fillId="0" borderId="38" xfId="0" applyFont="1" applyBorder="1" applyAlignment="1">
      <alignment horizontal="centerContinuous"/>
    </xf>
    <xf numFmtId="0" fontId="0" fillId="0" borderId="38" xfId="0" applyBorder="1" applyAlignment="1">
      <alignment horizontal="centerContinuous"/>
    </xf>
    <xf numFmtId="17" fontId="0" fillId="0" borderId="23" xfId="0" applyNumberFormat="1" applyBorder="1"/>
    <xf numFmtId="17" fontId="0" fillId="0" borderId="12" xfId="0" applyNumberFormat="1" applyBorder="1"/>
    <xf numFmtId="0" fontId="2" fillId="0" borderId="0" xfId="0" applyFont="1" applyBorder="1" applyAlignment="1">
      <alignment horizontal="center"/>
    </xf>
    <xf numFmtId="0" fontId="2" fillId="0" borderId="0" xfId="0" applyFont="1" applyBorder="1" applyAlignment="1"/>
    <xf numFmtId="41" fontId="0" fillId="0" borderId="0" xfId="0" quotePrefix="1" applyNumberFormat="1" applyBorder="1"/>
    <xf numFmtId="0" fontId="2" fillId="0" borderId="23" xfId="0" applyFont="1" applyBorder="1"/>
    <xf numFmtId="0" fontId="2" fillId="0" borderId="0" xfId="0" applyFont="1" applyBorder="1"/>
    <xf numFmtId="0" fontId="2" fillId="0" borderId="31" xfId="0" applyFont="1" applyBorder="1" applyAlignment="1">
      <alignment horizontal="center"/>
    </xf>
    <xf numFmtId="1" fontId="2" fillId="0" borderId="39" xfId="0" applyNumberFormat="1" applyFont="1" applyBorder="1" applyAlignment="1">
      <alignment horizontal="center"/>
    </xf>
    <xf numFmtId="1" fontId="2" fillId="0" borderId="40" xfId="0" applyNumberFormat="1" applyFont="1" applyBorder="1" applyAlignment="1">
      <alignment horizontal="center"/>
    </xf>
    <xf numFmtId="0" fontId="2" fillId="0" borderId="41" xfId="0" applyFont="1" applyBorder="1" applyAlignment="1">
      <alignment horizontal="center"/>
    </xf>
    <xf numFmtId="0" fontId="2" fillId="0" borderId="42" xfId="0" applyFont="1" applyBorder="1" applyAlignment="1">
      <alignment horizontal="center"/>
    </xf>
    <xf numFmtId="0" fontId="2" fillId="0" borderId="43" xfId="0" applyFont="1" applyBorder="1" applyAlignment="1">
      <alignment horizontal="center"/>
    </xf>
    <xf numFmtId="0" fontId="2" fillId="0" borderId="23" xfId="0" applyFont="1" applyBorder="1" applyAlignment="1">
      <alignment horizontal="centerContinuous"/>
    </xf>
    <xf numFmtId="0" fontId="2" fillId="0" borderId="0" xfId="0" applyFont="1" applyBorder="1" applyAlignment="1">
      <alignment horizontal="centerContinuous"/>
    </xf>
    <xf numFmtId="0" fontId="2" fillId="0" borderId="24" xfId="0" applyFont="1" applyBorder="1" applyAlignment="1">
      <alignment horizontal="centerContinuous"/>
    </xf>
    <xf numFmtId="0" fontId="2" fillId="0" borderId="20" xfId="0" applyFont="1" applyBorder="1" applyAlignment="1">
      <alignment horizontal="centerContinuous"/>
    </xf>
    <xf numFmtId="0" fontId="2" fillId="0" borderId="19" xfId="0" applyFont="1" applyBorder="1" applyAlignment="1">
      <alignment horizontal="centerContinuous"/>
    </xf>
    <xf numFmtId="0" fontId="2" fillId="0" borderId="23" xfId="0" applyFont="1" applyBorder="1" applyAlignment="1">
      <alignment horizontal="center"/>
    </xf>
    <xf numFmtId="0" fontId="2" fillId="0" borderId="24" xfId="0" applyFont="1" applyBorder="1" applyAlignment="1">
      <alignment horizontal="center"/>
    </xf>
    <xf numFmtId="0" fontId="2" fillId="0" borderId="0" xfId="0" applyFont="1"/>
    <xf numFmtId="1" fontId="2" fillId="0" borderId="23" xfId="0" applyNumberFormat="1" applyFont="1" applyBorder="1" applyAlignment="1">
      <alignment horizontal="center"/>
    </xf>
    <xf numFmtId="1" fontId="2" fillId="0" borderId="24" xfId="0" applyNumberFormat="1" applyFont="1" applyBorder="1" applyAlignment="1">
      <alignment horizontal="center"/>
    </xf>
    <xf numFmtId="0" fontId="2" fillId="0" borderId="44" xfId="0" applyFont="1" applyBorder="1" applyAlignment="1">
      <alignment horizontal="centerContinuous"/>
    </xf>
    <xf numFmtId="0" fontId="2" fillId="0" borderId="45" xfId="0" applyFont="1" applyBorder="1" applyAlignment="1">
      <alignment horizontal="centerContinuous"/>
    </xf>
    <xf numFmtId="0" fontId="2" fillId="0" borderId="46" xfId="0" applyFont="1" applyBorder="1" applyAlignment="1">
      <alignment horizontal="centerContinuous"/>
    </xf>
    <xf numFmtId="0" fontId="2" fillId="0" borderId="31" xfId="0" applyFont="1" applyBorder="1" applyAlignment="1">
      <alignment horizontal="centerContinuous"/>
    </xf>
    <xf numFmtId="0" fontId="2" fillId="0" borderId="33" xfId="0" applyFont="1" applyBorder="1" applyAlignment="1">
      <alignment horizontal="centerContinuous"/>
    </xf>
    <xf numFmtId="9" fontId="2" fillId="0" borderId="23" xfId="0" applyNumberFormat="1" applyFont="1" applyBorder="1" applyAlignment="1">
      <alignment horizontal="centerContinuous"/>
    </xf>
    <xf numFmtId="9" fontId="2" fillId="0" borderId="0" xfId="0" applyNumberFormat="1" applyFont="1" applyBorder="1" applyAlignment="1">
      <alignment horizontal="centerContinuous"/>
    </xf>
    <xf numFmtId="9" fontId="2" fillId="0" borderId="31" xfId="0" applyNumberFormat="1" applyFont="1" applyBorder="1" applyAlignment="1">
      <alignment horizontal="centerContinuous"/>
    </xf>
    <xf numFmtId="9" fontId="2" fillId="0" borderId="33" xfId="0" applyNumberFormat="1" applyFont="1" applyBorder="1" applyAlignment="1">
      <alignment horizontal="centerContinuous"/>
    </xf>
    <xf numFmtId="9" fontId="2" fillId="0" borderId="24" xfId="0" applyNumberFormat="1" applyFont="1" applyBorder="1" applyAlignment="1">
      <alignment horizontal="centerContinuous"/>
    </xf>
    <xf numFmtId="0" fontId="2" fillId="0" borderId="12" xfId="0" applyFont="1" applyBorder="1"/>
    <xf numFmtId="0" fontId="2" fillId="0" borderId="28" xfId="0" applyFont="1" applyBorder="1"/>
    <xf numFmtId="0" fontId="2" fillId="0" borderId="28" xfId="0" applyFont="1" applyBorder="1" applyAlignment="1">
      <alignment horizontal="center"/>
    </xf>
    <xf numFmtId="0" fontId="2" fillId="0" borderId="32" xfId="0" applyFont="1" applyBorder="1" applyAlignment="1">
      <alignment horizontal="center"/>
    </xf>
    <xf numFmtId="0" fontId="2" fillId="0" borderId="32" xfId="0" applyFont="1" applyBorder="1"/>
    <xf numFmtId="1" fontId="2" fillId="0" borderId="12" xfId="0" applyNumberFormat="1" applyFont="1" applyBorder="1" applyAlignment="1">
      <alignment horizontal="center"/>
    </xf>
    <xf numFmtId="1" fontId="2" fillId="0" borderId="18" xfId="0" applyNumberFormat="1" applyFont="1" applyBorder="1" applyAlignment="1">
      <alignment horizontal="center"/>
    </xf>
    <xf numFmtId="0" fontId="2" fillId="0" borderId="12" xfId="0" applyFont="1" applyBorder="1" applyAlignment="1">
      <alignment horizontal="center"/>
    </xf>
    <xf numFmtId="0" fontId="2" fillId="0" borderId="47" xfId="0" applyFont="1" applyBorder="1" applyAlignment="1">
      <alignment horizontal="center"/>
    </xf>
    <xf numFmtId="9" fontId="2" fillId="0" borderId="12" xfId="0" applyNumberFormat="1" applyFont="1" applyBorder="1" applyAlignment="1">
      <alignment horizontal="center"/>
    </xf>
    <xf numFmtId="9" fontId="2" fillId="0" borderId="28" xfId="0" applyNumberFormat="1" applyFont="1" applyBorder="1" applyAlignment="1">
      <alignment horizontal="center"/>
    </xf>
    <xf numFmtId="9" fontId="2" fillId="0" borderId="32" xfId="0" applyNumberFormat="1" applyFont="1" applyBorder="1" applyAlignment="1">
      <alignment horizontal="center"/>
    </xf>
    <xf numFmtId="9" fontId="2" fillId="0" borderId="47" xfId="0" applyNumberFormat="1" applyFont="1" applyBorder="1" applyAlignment="1">
      <alignment horizontal="center"/>
    </xf>
    <xf numFmtId="9" fontId="2" fillId="0" borderId="18" xfId="0" applyNumberFormat="1" applyFont="1" applyBorder="1" applyAlignment="1">
      <alignment horizontal="center"/>
    </xf>
    <xf numFmtId="49" fontId="2" fillId="0" borderId="28" xfId="0" applyNumberFormat="1" applyFont="1" applyBorder="1" applyAlignment="1">
      <alignment horizontal="center"/>
    </xf>
    <xf numFmtId="49" fontId="2" fillId="0" borderId="12" xfId="0" applyNumberFormat="1" applyFont="1" applyBorder="1" applyAlignment="1">
      <alignment horizontal="center"/>
    </xf>
    <xf numFmtId="49" fontId="2" fillId="0" borderId="28" xfId="0" applyNumberFormat="1" applyFont="1" applyBorder="1" applyAlignment="1"/>
    <xf numFmtId="0" fontId="2" fillId="0" borderId="28" xfId="0" applyFont="1" applyBorder="1" applyAlignment="1"/>
    <xf numFmtId="9" fontId="2" fillId="0" borderId="41" xfId="0" applyNumberFormat="1" applyFont="1" applyBorder="1" applyAlignment="1">
      <alignment horizontal="centerContinuous"/>
    </xf>
    <xf numFmtId="9" fontId="2" fillId="0" borderId="42" xfId="0" applyNumberFormat="1" applyFont="1" applyBorder="1" applyAlignment="1">
      <alignment horizontal="centerContinuous"/>
    </xf>
    <xf numFmtId="9" fontId="2" fillId="0" borderId="43" xfId="0" applyNumberFormat="1" applyFont="1" applyBorder="1" applyAlignment="1">
      <alignment horizontal="centerContinuous"/>
    </xf>
    <xf numFmtId="0" fontId="1" fillId="0" borderId="30" xfId="0" applyFont="1" applyBorder="1" applyAlignment="1">
      <alignment horizontal="centerContinuous"/>
    </xf>
    <xf numFmtId="43" fontId="0" fillId="0" borderId="0" xfId="0" quotePrefix="1" applyNumberFormat="1" applyBorder="1"/>
    <xf numFmtId="0" fontId="2" fillId="0" borderId="33" xfId="0" applyFont="1" applyBorder="1" applyAlignment="1">
      <alignment horizontal="center"/>
    </xf>
    <xf numFmtId="0" fontId="0" fillId="0" borderId="47" xfId="0" applyBorder="1"/>
    <xf numFmtId="43" fontId="0" fillId="0" borderId="33" xfId="0" quotePrefix="1" applyNumberFormat="1" applyBorder="1"/>
    <xf numFmtId="41" fontId="0" fillId="0" borderId="33" xfId="0" quotePrefix="1" applyNumberFormat="1" applyBorder="1"/>
    <xf numFmtId="9" fontId="0" fillId="0" borderId="0" xfId="0" quotePrefix="1" applyNumberFormat="1" applyBorder="1"/>
    <xf numFmtId="9" fontId="0" fillId="0" borderId="0" xfId="0" applyNumberFormat="1" applyBorder="1"/>
    <xf numFmtId="0" fontId="1" fillId="0" borderId="48" xfId="0" applyFont="1" applyBorder="1" applyAlignment="1">
      <alignment horizontal="centerContinuous"/>
    </xf>
    <xf numFmtId="0" fontId="1" fillId="0" borderId="44" xfId="0" applyFont="1" applyBorder="1" applyAlignment="1">
      <alignment horizontal="centerContinuous"/>
    </xf>
    <xf numFmtId="0" fontId="2" fillId="0" borderId="47" xfId="0" applyFont="1" applyBorder="1" applyAlignment="1"/>
    <xf numFmtId="0" fontId="2" fillId="0" borderId="32" xfId="0" applyFont="1" applyBorder="1" applyAlignment="1"/>
    <xf numFmtId="0" fontId="2" fillId="0" borderId="47" xfId="0" applyFont="1" applyBorder="1"/>
    <xf numFmtId="0" fontId="2" fillId="0" borderId="49" xfId="0" applyFont="1" applyBorder="1" applyAlignment="1">
      <alignment horizontal="center"/>
    </xf>
    <xf numFmtId="0" fontId="2" fillId="0" borderId="50" xfId="0" applyFont="1" applyBorder="1" applyAlignment="1">
      <alignment horizontal="center"/>
    </xf>
    <xf numFmtId="0" fontId="2" fillId="0" borderId="51" xfId="0" applyFont="1" applyBorder="1" applyAlignment="1"/>
    <xf numFmtId="0" fontId="1" fillId="0" borderId="19" xfId="0" applyFont="1" applyFill="1" applyBorder="1" applyAlignment="1">
      <alignment horizontal="center"/>
    </xf>
    <xf numFmtId="0" fontId="1" fillId="0" borderId="0" xfId="0" applyFont="1" applyFill="1" applyAlignment="1"/>
    <xf numFmtId="3" fontId="1" fillId="0" borderId="0" xfId="0" applyNumberFormat="1" applyFont="1" applyFill="1"/>
    <xf numFmtId="0" fontId="1" fillId="0" borderId="20" xfId="0" applyFont="1" applyFill="1" applyBorder="1" applyAlignment="1">
      <alignment horizontal="centerContinuous"/>
    </xf>
    <xf numFmtId="0" fontId="1" fillId="0" borderId="21" xfId="0" applyFont="1" applyFill="1" applyBorder="1" applyAlignment="1">
      <alignment horizontal="centerContinuous"/>
    </xf>
    <xf numFmtId="0" fontId="1" fillId="0" borderId="19" xfId="0" applyFont="1" applyFill="1" applyBorder="1" applyAlignment="1">
      <alignment horizontal="centerContinuous"/>
    </xf>
    <xf numFmtId="0" fontId="1" fillId="0" borderId="20" xfId="0" applyFont="1" applyFill="1" applyBorder="1" applyAlignment="1"/>
    <xf numFmtId="0" fontId="1" fillId="0" borderId="21" xfId="0" applyFont="1" applyFill="1" applyBorder="1" applyAlignment="1"/>
    <xf numFmtId="0" fontId="1" fillId="0" borderId="19" xfId="0" applyFont="1" applyFill="1" applyBorder="1" applyAlignment="1"/>
    <xf numFmtId="0" fontId="1" fillId="0" borderId="23" xfId="0" applyFont="1" applyFill="1" applyBorder="1" applyAlignment="1"/>
    <xf numFmtId="0" fontId="1" fillId="0" borderId="24" xfId="0" applyFont="1" applyFill="1" applyBorder="1" applyAlignment="1"/>
    <xf numFmtId="49" fontId="1" fillId="0" borderId="0" xfId="0" applyNumberFormat="1" applyFont="1" applyFill="1" applyBorder="1" applyAlignment="1">
      <alignment horizontal="center"/>
    </xf>
    <xf numFmtId="0" fontId="1" fillId="0" borderId="3" xfId="0" applyFont="1" applyFill="1" applyBorder="1" applyAlignment="1"/>
    <xf numFmtId="0" fontId="1" fillId="0" borderId="1" xfId="0" applyFont="1" applyFill="1" applyBorder="1" applyAlignment="1"/>
    <xf numFmtId="0" fontId="1" fillId="0" borderId="6" xfId="0" applyFont="1" applyFill="1" applyBorder="1" applyAlignment="1"/>
    <xf numFmtId="0" fontId="1" fillId="0" borderId="2" xfId="0" quotePrefix="1" applyFont="1" applyFill="1" applyBorder="1" applyAlignment="1"/>
    <xf numFmtId="0" fontId="1" fillId="0" borderId="9" xfId="0" applyFont="1" applyFill="1" applyBorder="1" applyAlignment="1"/>
    <xf numFmtId="0" fontId="1" fillId="0" borderId="8" xfId="0" applyFont="1" applyFill="1" applyBorder="1" applyAlignment="1"/>
    <xf numFmtId="4" fontId="1" fillId="0" borderId="27" xfId="0" applyNumberFormat="1" applyFont="1" applyFill="1" applyBorder="1"/>
    <xf numFmtId="4" fontId="1" fillId="0" borderId="25" xfId="0" applyNumberFormat="1" applyFont="1" applyFill="1" applyBorder="1"/>
    <xf numFmtId="0" fontId="1" fillId="0" borderId="12" xfId="0" applyFont="1" applyFill="1" applyBorder="1" applyAlignment="1"/>
    <xf numFmtId="0" fontId="1" fillId="0" borderId="4" xfId="0" applyFont="1" applyFill="1" applyBorder="1" applyAlignment="1"/>
    <xf numFmtId="0" fontId="1" fillId="0" borderId="5" xfId="0" applyFont="1" applyFill="1" applyBorder="1" applyAlignment="1"/>
    <xf numFmtId="0" fontId="1" fillId="0" borderId="7" xfId="0" applyFont="1" applyFill="1" applyBorder="1" applyAlignment="1"/>
    <xf numFmtId="4" fontId="1" fillId="0" borderId="26" xfId="0" applyNumberFormat="1" applyFont="1" applyFill="1" applyBorder="1"/>
    <xf numFmtId="193" fontId="1" fillId="0" borderId="3" xfId="0" applyNumberFormat="1" applyFont="1" applyFill="1" applyBorder="1" applyAlignment="1"/>
    <xf numFmtId="193" fontId="1" fillId="0" borderId="1" xfId="0" applyNumberFormat="1" applyFont="1" applyFill="1" applyBorder="1" applyAlignment="1"/>
    <xf numFmtId="193" fontId="1" fillId="0" borderId="6" xfId="0" applyNumberFormat="1" applyFont="1" applyFill="1" applyBorder="1" applyAlignment="1"/>
    <xf numFmtId="193" fontId="1" fillId="0" borderId="4" xfId="0" applyNumberFormat="1" applyFont="1" applyFill="1" applyBorder="1" applyAlignment="1"/>
    <xf numFmtId="193" fontId="1" fillId="0" borderId="5" xfId="0" applyNumberFormat="1" applyFont="1" applyFill="1" applyBorder="1" applyAlignment="1"/>
    <xf numFmtId="193" fontId="1" fillId="0" borderId="7" xfId="0" applyNumberFormat="1" applyFont="1" applyFill="1" applyBorder="1" applyAlignment="1"/>
    <xf numFmtId="0" fontId="24" fillId="0" borderId="20" xfId="0" applyFont="1" applyFill="1" applyBorder="1" applyAlignment="1">
      <alignment horizontal="centerContinuous"/>
    </xf>
    <xf numFmtId="0" fontId="24" fillId="0" borderId="21" xfId="0" applyFont="1" applyFill="1" applyBorder="1" applyAlignment="1">
      <alignment horizontal="centerContinuous"/>
    </xf>
    <xf numFmtId="0" fontId="24" fillId="0" borderId="19" xfId="0" applyFont="1" applyFill="1" applyBorder="1" applyAlignment="1">
      <alignment horizontal="centerContinuous"/>
    </xf>
    <xf numFmtId="0" fontId="24" fillId="0" borderId="14" xfId="0" applyFont="1" applyFill="1" applyBorder="1" applyAlignment="1">
      <alignment horizontal="centerContinuous"/>
    </xf>
    <xf numFmtId="0" fontId="24" fillId="0" borderId="52" xfId="0" applyFont="1" applyFill="1" applyBorder="1" applyAlignment="1">
      <alignment horizontal="centerContinuous"/>
    </xf>
    <xf numFmtId="0" fontId="24" fillId="0" borderId="15" xfId="0" applyFont="1" applyFill="1" applyBorder="1" applyAlignment="1">
      <alignment horizontal="centerContinuous"/>
    </xf>
    <xf numFmtId="0" fontId="1" fillId="0" borderId="20" xfId="0" applyFont="1" applyFill="1" applyBorder="1"/>
    <xf numFmtId="0" fontId="23" fillId="0" borderId="10" xfId="0" applyFont="1" applyFill="1" applyBorder="1" applyAlignment="1">
      <alignment horizontal="center"/>
    </xf>
    <xf numFmtId="3" fontId="0" fillId="0" borderId="0" xfId="0" quotePrefix="1" applyNumberFormat="1" applyBorder="1"/>
    <xf numFmtId="3" fontId="0" fillId="0" borderId="20" xfId="0" quotePrefix="1" applyNumberFormat="1" applyBorder="1"/>
    <xf numFmtId="3" fontId="0" fillId="0" borderId="23" xfId="0" quotePrefix="1" applyNumberFormat="1" applyBorder="1"/>
    <xf numFmtId="3" fontId="0" fillId="0" borderId="24" xfId="0" quotePrefix="1" applyNumberFormat="1" applyBorder="1"/>
    <xf numFmtId="3" fontId="0" fillId="0" borderId="23" xfId="0" applyNumberFormat="1" applyBorder="1"/>
    <xf numFmtId="3" fontId="0" fillId="0" borderId="12" xfId="0" applyNumberFormat="1" applyBorder="1"/>
    <xf numFmtId="3" fontId="0" fillId="0" borderId="27" xfId="0" quotePrefix="1" applyNumberFormat="1" applyBorder="1"/>
    <xf numFmtId="3" fontId="0" fillId="0" borderId="25" xfId="0" quotePrefix="1" applyNumberFormat="1" applyBorder="1"/>
    <xf numFmtId="3" fontId="0" fillId="0" borderId="25" xfId="0" applyNumberFormat="1" applyBorder="1"/>
    <xf numFmtId="3" fontId="0" fillId="0" borderId="26" xfId="0" applyNumberFormat="1" applyBorder="1"/>
    <xf numFmtId="3" fontId="0" fillId="0" borderId="33" xfId="0" quotePrefix="1" applyNumberFormat="1" applyBorder="1"/>
    <xf numFmtId="0" fontId="18" fillId="0" borderId="0" xfId="0" applyFont="1" applyBorder="1" applyAlignment="1">
      <alignment horizontal="center"/>
    </xf>
    <xf numFmtId="3" fontId="2" fillId="0" borderId="53" xfId="0" applyNumberFormat="1" applyFont="1" applyBorder="1" applyAlignment="1"/>
    <xf numFmtId="3" fontId="2" fillId="0" borderId="11" xfId="0" applyNumberFormat="1" applyFont="1" applyBorder="1" applyAlignment="1">
      <alignment horizontal="right"/>
    </xf>
    <xf numFmtId="3" fontId="2" fillId="0" borderId="36" xfId="0" applyNumberFormat="1" applyFont="1" applyBorder="1" applyAlignment="1">
      <alignment horizontal="right"/>
    </xf>
    <xf numFmtId="3" fontId="0" fillId="0" borderId="20" xfId="0" applyNumberFormat="1" applyBorder="1"/>
    <xf numFmtId="43" fontId="0" fillId="0" borderId="54" xfId="0" quotePrefix="1" applyNumberFormat="1" applyBorder="1"/>
    <xf numFmtId="43" fontId="0" fillId="0" borderId="21" xfId="0" quotePrefix="1" applyNumberFormat="1" applyBorder="1"/>
    <xf numFmtId="3" fontId="0" fillId="0" borderId="54" xfId="0" quotePrefix="1" applyNumberFormat="1" applyBorder="1"/>
    <xf numFmtId="3" fontId="0" fillId="0" borderId="28" xfId="0" quotePrefix="1" applyNumberFormat="1" applyBorder="1"/>
    <xf numFmtId="43" fontId="0" fillId="0" borderId="47" xfId="0" quotePrefix="1" applyNumberFormat="1" applyBorder="1"/>
    <xf numFmtId="43" fontId="0" fillId="0" borderId="28" xfId="0" quotePrefix="1" applyNumberFormat="1" applyBorder="1"/>
    <xf numFmtId="3" fontId="0" fillId="0" borderId="47" xfId="0" quotePrefix="1" applyNumberFormat="1" applyBorder="1"/>
    <xf numFmtId="3" fontId="0" fillId="0" borderId="18" xfId="0" quotePrefix="1" applyNumberFormat="1" applyBorder="1"/>
    <xf numFmtId="9" fontId="0" fillId="0" borderId="33" xfId="0" quotePrefix="1" applyNumberFormat="1" applyBorder="1"/>
    <xf numFmtId="4" fontId="0" fillId="0" borderId="33" xfId="0" quotePrefix="1" applyNumberFormat="1" applyBorder="1"/>
    <xf numFmtId="43" fontId="0" fillId="0" borderId="20" xfId="0" quotePrefix="1" applyNumberFormat="1" applyBorder="1"/>
    <xf numFmtId="43" fontId="0" fillId="0" borderId="23" xfId="0" quotePrefix="1" applyNumberFormat="1" applyBorder="1"/>
    <xf numFmtId="43" fontId="0" fillId="0" borderId="12" xfId="0" quotePrefix="1" applyNumberFormat="1" applyBorder="1"/>
    <xf numFmtId="41" fontId="0" fillId="0" borderId="47" xfId="0" quotePrefix="1" applyNumberFormat="1" applyBorder="1"/>
    <xf numFmtId="41" fontId="0" fillId="0" borderId="28" xfId="0" quotePrefix="1" applyNumberFormat="1" applyBorder="1"/>
    <xf numFmtId="9" fontId="0" fillId="0" borderId="28" xfId="0" applyNumberFormat="1" applyBorder="1"/>
    <xf numFmtId="4" fontId="0" fillId="0" borderId="47" xfId="0" quotePrefix="1" applyNumberFormat="1" applyBorder="1"/>
    <xf numFmtId="0" fontId="0" fillId="0" borderId="2" xfId="0" applyBorder="1" applyAlignment="1" applyProtection="1">
      <alignment horizontal="center"/>
    </xf>
    <xf numFmtId="0" fontId="0" fillId="0" borderId="8" xfId="0" applyBorder="1" applyAlignment="1" applyProtection="1">
      <alignment horizontal="center"/>
    </xf>
    <xf numFmtId="8" fontId="0" fillId="0" borderId="3" xfId="0" applyNumberFormat="1" applyBorder="1" applyProtection="1"/>
    <xf numFmtId="10" fontId="3" fillId="0" borderId="6" xfId="0" applyNumberFormat="1" applyFont="1" applyBorder="1" applyProtection="1"/>
    <xf numFmtId="7" fontId="0" fillId="0" borderId="3" xfId="0" applyNumberFormat="1" applyBorder="1" applyProtection="1"/>
    <xf numFmtId="7" fontId="0" fillId="0" borderId="4" xfId="0" applyNumberFormat="1" applyBorder="1" applyProtection="1"/>
    <xf numFmtId="10" fontId="3" fillId="0" borderId="7" xfId="0" applyNumberFormat="1" applyFont="1" applyBorder="1" applyProtection="1"/>
    <xf numFmtId="179" fontId="0" fillId="0" borderId="0" xfId="0" applyNumberFormat="1" applyBorder="1" applyProtection="1"/>
    <xf numFmtId="0" fontId="3" fillId="0" borderId="0" xfId="0" applyFont="1" applyBorder="1" applyAlignment="1" applyProtection="1">
      <alignment horizontal="center"/>
      <protection locked="0"/>
    </xf>
    <xf numFmtId="39" fontId="0" fillId="0" borderId="0" xfId="0" applyNumberFormat="1" applyBorder="1" applyProtection="1"/>
    <xf numFmtId="164" fontId="3" fillId="0" borderId="0" xfId="0" applyNumberFormat="1" applyFont="1" applyBorder="1" applyProtection="1"/>
    <xf numFmtId="164" fontId="14" fillId="0" borderId="0" xfId="0" applyNumberFormat="1" applyFont="1" applyBorder="1" applyProtection="1"/>
    <xf numFmtId="0" fontId="14" fillId="0" borderId="0" xfId="0" applyFont="1" applyBorder="1" applyProtection="1"/>
    <xf numFmtId="193" fontId="3" fillId="0" borderId="0" xfId="0" applyNumberFormat="1" applyFont="1" applyBorder="1" applyProtection="1"/>
    <xf numFmtId="0" fontId="0" fillId="5" borderId="19" xfId="0" applyFill="1" applyBorder="1" applyAlignment="1">
      <alignment horizontal="centerContinuous"/>
    </xf>
    <xf numFmtId="0" fontId="1" fillId="0" borderId="55" xfId="0" applyFont="1" applyBorder="1" applyAlignment="1">
      <alignment horizontal="centerContinuous"/>
    </xf>
    <xf numFmtId="0" fontId="0" fillId="0" borderId="56" xfId="0" applyBorder="1" applyAlignment="1">
      <alignment horizontal="centerContinuous"/>
    </xf>
    <xf numFmtId="0" fontId="0" fillId="0" borderId="57" xfId="0" applyBorder="1" applyAlignment="1">
      <alignment horizontal="centerContinuous"/>
    </xf>
    <xf numFmtId="0" fontId="1" fillId="0" borderId="56" xfId="0" applyFont="1" applyBorder="1" applyAlignment="1">
      <alignment horizontal="centerContinuous"/>
    </xf>
    <xf numFmtId="0" fontId="1" fillId="0" borderId="57" xfId="0" applyFont="1" applyBorder="1" applyAlignment="1">
      <alignment horizontal="centerContinuous"/>
    </xf>
    <xf numFmtId="0" fontId="1" fillId="0" borderId="35" xfId="0" applyFont="1" applyBorder="1" applyAlignment="1">
      <alignment horizontal="centerContinuous"/>
    </xf>
    <xf numFmtId="9" fontId="0" fillId="0" borderId="28" xfId="0" quotePrefix="1" applyNumberFormat="1" applyBorder="1"/>
    <xf numFmtId="3" fontId="2" fillId="0" borderId="53" xfId="0" applyNumberFormat="1" applyFont="1" applyBorder="1"/>
    <xf numFmtId="3" fontId="2" fillId="0" borderId="58" xfId="0" applyNumberFormat="1" applyFont="1" applyBorder="1"/>
    <xf numFmtId="0" fontId="6" fillId="0" borderId="25" xfId="0" applyFont="1" applyFill="1" applyBorder="1" applyAlignment="1">
      <alignment horizontal="left"/>
    </xf>
    <xf numFmtId="0" fontId="6" fillId="0" borderId="26" xfId="0" applyFont="1" applyFill="1" applyBorder="1" applyAlignment="1">
      <alignment horizontal="left"/>
    </xf>
    <xf numFmtId="0" fontId="25" fillId="0" borderId="27" xfId="0" applyFont="1" applyFill="1" applyBorder="1" applyAlignment="1">
      <alignment horizontal="center"/>
    </xf>
    <xf numFmtId="0" fontId="6" fillId="0" borderId="25" xfId="0" applyFont="1" applyFill="1" applyBorder="1"/>
    <xf numFmtId="0" fontId="6" fillId="0" borderId="26" xfId="0" applyFont="1" applyFill="1" applyBorder="1"/>
    <xf numFmtId="0" fontId="18" fillId="0" borderId="42" xfId="0" applyFont="1" applyBorder="1" applyAlignment="1">
      <alignment horizontal="center"/>
    </xf>
    <xf numFmtId="41" fontId="2" fillId="0" borderId="5" xfId="0" quotePrefix="1" applyNumberFormat="1" applyFont="1" applyBorder="1"/>
    <xf numFmtId="3" fontId="2" fillId="0" borderId="53" xfId="0" quotePrefix="1" applyNumberFormat="1" applyFont="1" applyBorder="1"/>
    <xf numFmtId="3" fontId="2" fillId="0" borderId="37" xfId="0" quotePrefix="1" applyNumberFormat="1" applyFont="1" applyBorder="1"/>
    <xf numFmtId="0" fontId="0" fillId="0" borderId="20" xfId="0" applyBorder="1"/>
    <xf numFmtId="3" fontId="0" fillId="0" borderId="1" xfId="0" applyNumberFormat="1" applyBorder="1"/>
    <xf numFmtId="0" fontId="0" fillId="0" borderId="57" xfId="0" applyBorder="1"/>
    <xf numFmtId="3" fontId="0" fillId="0" borderId="59" xfId="0" applyNumberFormat="1" applyBorder="1"/>
    <xf numFmtId="0" fontId="0" fillId="0" borderId="60" xfId="0" applyBorder="1"/>
    <xf numFmtId="0" fontId="2" fillId="0" borderId="34" xfId="0" applyFont="1" applyBorder="1"/>
    <xf numFmtId="2" fontId="0" fillId="0" borderId="35" xfId="0" applyNumberFormat="1" applyBorder="1"/>
    <xf numFmtId="3" fontId="0" fillId="0" borderId="61" xfId="0" applyNumberFormat="1" applyBorder="1"/>
    <xf numFmtId="3" fontId="0" fillId="0" borderId="8" xfId="0" applyNumberFormat="1" applyBorder="1"/>
    <xf numFmtId="0" fontId="0" fillId="0" borderId="34" xfId="0" applyBorder="1"/>
    <xf numFmtId="3" fontId="0" fillId="0" borderId="6" xfId="0" applyNumberFormat="1" applyBorder="1"/>
    <xf numFmtId="3" fontId="0" fillId="0" borderId="7" xfId="0" applyNumberFormat="1" applyBorder="1"/>
    <xf numFmtId="0" fontId="0" fillId="0" borderId="29" xfId="0" applyBorder="1"/>
    <xf numFmtId="0" fontId="0" fillId="0" borderId="62" xfId="0" applyBorder="1"/>
    <xf numFmtId="0" fontId="1" fillId="0" borderId="14" xfId="0" applyFont="1" applyBorder="1" applyAlignment="1">
      <alignment horizontal="centerContinuous"/>
    </xf>
    <xf numFmtId="0" fontId="0" fillId="0" borderId="15" xfId="0" applyBorder="1" applyAlignment="1">
      <alignment horizontal="centerContinuous"/>
    </xf>
    <xf numFmtId="0" fontId="0" fillId="0" borderId="52" xfId="0" applyBorder="1" applyAlignment="1">
      <alignment horizontal="centerContinuous"/>
    </xf>
    <xf numFmtId="14" fontId="0" fillId="0" borderId="8" xfId="0" applyNumberFormat="1" applyBorder="1"/>
    <xf numFmtId="2" fontId="0" fillId="0" borderId="6" xfId="0" applyNumberFormat="1" applyBorder="1"/>
    <xf numFmtId="0" fontId="0" fillId="0" borderId="36" xfId="0" applyBorder="1"/>
    <xf numFmtId="0" fontId="0" fillId="0" borderId="58" xfId="0" applyBorder="1"/>
    <xf numFmtId="2" fontId="0" fillId="0" borderId="7" xfId="0" applyNumberFormat="1" applyBorder="1"/>
    <xf numFmtId="10" fontId="0" fillId="0" borderId="8" xfId="0" applyNumberFormat="1" applyBorder="1"/>
    <xf numFmtId="43" fontId="0" fillId="0" borderId="6" xfId="0" applyNumberFormat="1" applyBorder="1"/>
    <xf numFmtId="0" fontId="0" fillId="0" borderId="60" xfId="0" applyBorder="1" applyAlignment="1">
      <alignment horizontal="center"/>
    </xf>
    <xf numFmtId="0" fontId="0" fillId="0" borderId="54" xfId="0" applyBorder="1" applyAlignment="1">
      <alignment horizontal="center"/>
    </xf>
    <xf numFmtId="3" fontId="0" fillId="0" borderId="55" xfId="0" applyNumberFormat="1" applyBorder="1"/>
    <xf numFmtId="3" fontId="0" fillId="0" borderId="35" xfId="0" applyNumberFormat="1" applyBorder="1"/>
    <xf numFmtId="3" fontId="0" fillId="0" borderId="53" xfId="0" applyNumberFormat="1" applyBorder="1"/>
    <xf numFmtId="3" fontId="0" fillId="0" borderId="5" xfId="0" applyNumberFormat="1" applyBorder="1"/>
    <xf numFmtId="3" fontId="0" fillId="0" borderId="37" xfId="0" applyNumberFormat="1" applyBorder="1"/>
    <xf numFmtId="0" fontId="17" fillId="4" borderId="16" xfId="0" applyFont="1" applyFill="1" applyBorder="1" applyAlignment="1">
      <alignment horizontal="right"/>
    </xf>
    <xf numFmtId="0" fontId="0" fillId="0" borderId="9" xfId="0" applyBorder="1" applyAlignment="1">
      <alignment horizontal="center"/>
    </xf>
    <xf numFmtId="0" fontId="0" fillId="0" borderId="63" xfId="0" applyBorder="1" applyAlignment="1">
      <alignment horizontal="center"/>
    </xf>
    <xf numFmtId="0" fontId="0" fillId="0" borderId="38" xfId="0" applyBorder="1" applyAlignment="1">
      <alignment horizontal="center"/>
    </xf>
    <xf numFmtId="3" fontId="0" fillId="0" borderId="53" xfId="0" quotePrefix="1" applyNumberFormat="1" applyBorder="1"/>
    <xf numFmtId="2" fontId="0" fillId="0" borderId="61" xfId="0" applyNumberFormat="1" applyBorder="1"/>
    <xf numFmtId="0" fontId="26" fillId="4" borderId="4" xfId="0" applyFont="1" applyFill="1" applyBorder="1" applyAlignment="1" applyProtection="1">
      <alignment horizontal="right"/>
    </xf>
    <xf numFmtId="0" fontId="26" fillId="4" borderId="2" xfId="0" applyFont="1" applyFill="1" applyBorder="1" applyAlignment="1" applyProtection="1">
      <alignment horizontal="right"/>
    </xf>
    <xf numFmtId="14" fontId="3" fillId="0" borderId="0" xfId="0" applyNumberFormat="1" applyFont="1" applyBorder="1" applyProtection="1"/>
    <xf numFmtId="37" fontId="3" fillId="0" borderId="0" xfId="0" applyNumberFormat="1" applyFont="1" applyBorder="1" applyProtection="1"/>
    <xf numFmtId="217" fontId="3" fillId="0" borderId="0" xfId="0" applyNumberFormat="1" applyFont="1" applyBorder="1" applyProtection="1"/>
    <xf numFmtId="0" fontId="2" fillId="0" borderId="59" xfId="0" applyFont="1" applyBorder="1"/>
    <xf numFmtId="0" fontId="2" fillId="0" borderId="59" xfId="0" applyFont="1" applyBorder="1" applyAlignment="1">
      <alignment horizontal="center"/>
    </xf>
    <xf numFmtId="0" fontId="2" fillId="0" borderId="61" xfId="0" applyFont="1" applyBorder="1"/>
    <xf numFmtId="15" fontId="0" fillId="0" borderId="60" xfId="0" applyNumberFormat="1" applyBorder="1"/>
    <xf numFmtId="15" fontId="0" fillId="0" borderId="59" xfId="0" applyNumberFormat="1" applyBorder="1"/>
    <xf numFmtId="15" fontId="0" fillId="0" borderId="61" xfId="0" applyNumberFormat="1" applyBorder="1"/>
    <xf numFmtId="0" fontId="2" fillId="0" borderId="33" xfId="0" applyFont="1" applyBorder="1"/>
    <xf numFmtId="15" fontId="0" fillId="0" borderId="54" xfId="0" quotePrefix="1" applyNumberFormat="1" applyBorder="1"/>
    <xf numFmtId="15" fontId="0" fillId="0" borderId="33" xfId="0" quotePrefix="1" applyNumberFormat="1" applyBorder="1"/>
    <xf numFmtId="15" fontId="0" fillId="0" borderId="47" xfId="0" quotePrefix="1" applyNumberFormat="1" applyBorder="1"/>
    <xf numFmtId="0" fontId="2" fillId="0" borderId="14" xfId="0" applyFont="1" applyFill="1" applyBorder="1" applyAlignment="1">
      <alignment horizontal="centerContinuous"/>
    </xf>
    <xf numFmtId="2" fontId="1" fillId="0" borderId="3" xfId="0" applyNumberFormat="1" applyFont="1" applyFill="1" applyBorder="1" applyAlignment="1"/>
    <xf numFmtId="2" fontId="1" fillId="0" borderId="1" xfId="0" applyNumberFormat="1" applyFont="1" applyFill="1" applyBorder="1" applyAlignment="1"/>
    <xf numFmtId="2" fontId="1" fillId="0" borderId="6" xfId="0" applyNumberFormat="1" applyFont="1" applyFill="1" applyBorder="1" applyAlignment="1"/>
    <xf numFmtId="2" fontId="1" fillId="0" borderId="4" xfId="0" applyNumberFormat="1" applyFont="1" applyFill="1" applyBorder="1" applyAlignment="1"/>
    <xf numFmtId="2" fontId="1" fillId="0" borderId="5" xfId="0" applyNumberFormat="1" applyFont="1" applyFill="1" applyBorder="1" applyAlignment="1"/>
    <xf numFmtId="2" fontId="1" fillId="0" borderId="7" xfId="0" applyNumberFormat="1" applyFont="1" applyFill="1" applyBorder="1" applyAlignment="1"/>
    <xf numFmtId="0" fontId="0" fillId="0" borderId="2" xfId="0" applyFill="1" applyBorder="1"/>
    <xf numFmtId="0" fontId="0" fillId="0" borderId="8" xfId="0" applyFill="1" applyBorder="1"/>
    <xf numFmtId="3" fontId="1" fillId="0" borderId="52" xfId="0" applyNumberFormat="1" applyFont="1" applyFill="1" applyBorder="1" applyAlignment="1">
      <alignment horizontal="centerContinuous"/>
    </xf>
    <xf numFmtId="3" fontId="1" fillId="0" borderId="20" xfId="0" applyNumberFormat="1" applyFont="1" applyFill="1" applyBorder="1" applyAlignment="1">
      <alignment horizontal="center"/>
    </xf>
    <xf numFmtId="3" fontId="1" fillId="0" borderId="12" xfId="0" applyNumberFormat="1" applyFont="1" applyFill="1" applyBorder="1" applyAlignment="1">
      <alignment horizontal="center"/>
    </xf>
    <xf numFmtId="49" fontId="1" fillId="0" borderId="18" xfId="0" applyNumberFormat="1" applyFont="1" applyFill="1" applyBorder="1" applyAlignment="1">
      <alignment horizontal="center"/>
    </xf>
    <xf numFmtId="3" fontId="1" fillId="0" borderId="27" xfId="0" applyNumberFormat="1" applyFont="1" applyFill="1" applyBorder="1" applyAlignment="1">
      <alignment horizontal="center"/>
    </xf>
    <xf numFmtId="3" fontId="1" fillId="0" borderId="26" xfId="0" applyNumberFormat="1" applyFont="1" applyFill="1" applyBorder="1" applyAlignment="1">
      <alignment horizontal="center"/>
    </xf>
    <xf numFmtId="1" fontId="1" fillId="0" borderId="25" xfId="0" applyNumberFormat="1" applyFont="1" applyFill="1" applyBorder="1"/>
    <xf numFmtId="1" fontId="1" fillId="0" borderId="26" xfId="0" applyNumberFormat="1" applyFont="1" applyFill="1" applyBorder="1"/>
    <xf numFmtId="1" fontId="1" fillId="0" borderId="23" xfId="0" applyNumberFormat="1" applyFont="1" applyFill="1" applyBorder="1"/>
    <xf numFmtId="1" fontId="1" fillId="0" borderId="24" xfId="0" applyNumberFormat="1" applyFont="1" applyFill="1" applyBorder="1"/>
    <xf numFmtId="1" fontId="1" fillId="0" borderId="12" xfId="0" applyNumberFormat="1" applyFont="1" applyFill="1" applyBorder="1"/>
    <xf numFmtId="1" fontId="1" fillId="0" borderId="18" xfId="0" applyNumberFormat="1" applyFont="1" applyFill="1" applyBorder="1"/>
    <xf numFmtId="0" fontId="1" fillId="0" borderId="27" xfId="0" applyFont="1" applyFill="1" applyBorder="1" applyAlignment="1"/>
    <xf numFmtId="0" fontId="1" fillId="0" borderId="25" xfId="0" applyFont="1" applyFill="1" applyBorder="1" applyAlignment="1"/>
    <xf numFmtId="0" fontId="1" fillId="0" borderId="26" xfId="0" applyFont="1" applyFill="1" applyBorder="1" applyAlignment="1"/>
    <xf numFmtId="0" fontId="2" fillId="0" borderId="19" xfId="0" applyFont="1" applyFill="1" applyBorder="1" applyAlignment="1">
      <alignment horizontal="centerContinuous"/>
    </xf>
    <xf numFmtId="0" fontId="2" fillId="0" borderId="10" xfId="0" applyFont="1" applyFill="1" applyBorder="1" applyAlignment="1">
      <alignment horizontal="center"/>
    </xf>
    <xf numFmtId="0" fontId="1" fillId="5" borderId="14" xfId="0" applyFont="1" applyFill="1" applyBorder="1" applyAlignment="1">
      <alignment horizontal="left"/>
    </xf>
    <xf numFmtId="0" fontId="7" fillId="6" borderId="12" xfId="0" applyFont="1" applyFill="1" applyBorder="1" applyAlignment="1">
      <alignment horizontal="centerContinuous"/>
    </xf>
    <xf numFmtId="0" fontId="4" fillId="6" borderId="18" xfId="0" applyFont="1" applyFill="1" applyBorder="1" applyAlignment="1" applyProtection="1">
      <alignment horizontal="centerContinuous"/>
    </xf>
    <xf numFmtId="0" fontId="6" fillId="6" borderId="23" xfId="0" applyFont="1" applyFill="1" applyBorder="1" applyProtection="1"/>
    <xf numFmtId="0" fontId="6" fillId="6" borderId="24" xfId="0" applyFont="1" applyFill="1" applyBorder="1" applyProtection="1"/>
    <xf numFmtId="0" fontId="4" fillId="6" borderId="12" xfId="0" applyFont="1" applyFill="1" applyBorder="1" applyAlignment="1" applyProtection="1">
      <alignment horizontal="left"/>
    </xf>
    <xf numFmtId="0" fontId="4" fillId="6" borderId="18" xfId="0" applyFont="1" applyFill="1" applyBorder="1" applyAlignment="1" applyProtection="1">
      <alignment horizontal="left"/>
    </xf>
    <xf numFmtId="0" fontId="0" fillId="5" borderId="15" xfId="0" applyFill="1" applyBorder="1" applyAlignment="1">
      <alignment horizontal="centerContinuous"/>
    </xf>
    <xf numFmtId="0" fontId="1" fillId="0" borderId="41" xfId="0" applyFont="1" applyBorder="1" applyAlignment="1">
      <alignment horizontal="center"/>
    </xf>
    <xf numFmtId="0" fontId="1" fillId="0" borderId="0" xfId="0" applyFont="1" applyBorder="1" applyAlignment="1">
      <alignment horizontal="center"/>
    </xf>
    <xf numFmtId="3" fontId="2" fillId="0" borderId="5" xfId="0" applyNumberFormat="1" applyFont="1" applyBorder="1"/>
    <xf numFmtId="4" fontId="0" fillId="0" borderId="0" xfId="0" quotePrefix="1" applyNumberFormat="1" applyBorder="1"/>
    <xf numFmtId="0" fontId="2" fillId="0" borderId="64" xfId="0" applyFont="1" applyBorder="1" applyAlignment="1">
      <alignment horizontal="center"/>
    </xf>
    <xf numFmtId="3" fontId="2" fillId="0" borderId="5" xfId="0" applyNumberFormat="1" applyFont="1" applyBorder="1" applyAlignment="1"/>
    <xf numFmtId="0" fontId="1" fillId="0" borderId="2" xfId="0" applyFont="1" applyFill="1" applyBorder="1" applyAlignment="1"/>
    <xf numFmtId="3" fontId="1" fillId="0" borderId="8" xfId="0" applyNumberFormat="1" applyFont="1" applyFill="1" applyBorder="1"/>
    <xf numFmtId="3" fontId="1" fillId="0" borderId="6" xfId="0" applyNumberFormat="1" applyFont="1" applyFill="1" applyBorder="1"/>
    <xf numFmtId="3" fontId="1" fillId="0" borderId="7" xfId="0" applyNumberFormat="1" applyFont="1" applyFill="1" applyBorder="1"/>
    <xf numFmtId="0" fontId="1" fillId="0" borderId="23" xfId="0" applyFont="1" applyBorder="1" applyAlignment="1">
      <alignment horizontal="center"/>
    </xf>
    <xf numFmtId="0" fontId="1" fillId="0" borderId="65" xfId="0" applyFont="1" applyBorder="1" applyAlignment="1">
      <alignment horizontal="center"/>
    </xf>
    <xf numFmtId="49" fontId="2" fillId="0" borderId="66" xfId="0" applyNumberFormat="1" applyFont="1" applyBorder="1" applyAlignment="1">
      <alignment horizontal="center"/>
    </xf>
    <xf numFmtId="193" fontId="0" fillId="0" borderId="65" xfId="0" quotePrefix="1" applyNumberFormat="1" applyBorder="1"/>
    <xf numFmtId="193" fontId="0" fillId="0" borderId="65" xfId="0" applyNumberFormat="1" applyBorder="1"/>
    <xf numFmtId="193" fontId="0" fillId="0" borderId="66" xfId="0" applyNumberFormat="1" applyBorder="1"/>
    <xf numFmtId="193" fontId="0" fillId="0" borderId="50" xfId="0" quotePrefix="1" applyNumberFormat="1" applyBorder="1"/>
    <xf numFmtId="193" fontId="0" fillId="0" borderId="50" xfId="0" applyNumberFormat="1" applyBorder="1"/>
    <xf numFmtId="193" fontId="0" fillId="0" borderId="51" xfId="0" applyNumberFormat="1" applyBorder="1"/>
    <xf numFmtId="0" fontId="2" fillId="0" borderId="65" xfId="0" applyFont="1" applyBorder="1" applyAlignment="1">
      <alignment horizontal="center"/>
    </xf>
    <xf numFmtId="3" fontId="10" fillId="4" borderId="7" xfId="0" applyNumberFormat="1" applyFont="1" applyFill="1" applyBorder="1" applyAlignment="1" applyProtection="1">
      <alignment horizontal="right"/>
    </xf>
    <xf numFmtId="3" fontId="12" fillId="4" borderId="8" xfId="0" applyNumberFormat="1" applyFont="1" applyFill="1" applyBorder="1" applyAlignment="1" applyProtection="1">
      <alignment horizontal="right"/>
    </xf>
    <xf numFmtId="3" fontId="12" fillId="4" borderId="7" xfId="0" applyNumberFormat="1" applyFont="1" applyFill="1" applyBorder="1" applyAlignment="1" applyProtection="1">
      <alignment horizontal="right"/>
    </xf>
    <xf numFmtId="2" fontId="1" fillId="0" borderId="13" xfId="2" applyNumberFormat="1" applyFont="1" applyBorder="1"/>
    <xf numFmtId="3" fontId="10" fillId="4" borderId="13" xfId="0" applyNumberFormat="1" applyFont="1" applyFill="1" applyBorder="1" applyAlignment="1" applyProtection="1">
      <alignment horizontal="right"/>
    </xf>
    <xf numFmtId="0" fontId="26" fillId="4" borderId="3" xfId="0" applyFont="1" applyFill="1" applyBorder="1" applyAlignment="1" applyProtection="1">
      <alignment horizontal="right"/>
    </xf>
    <xf numFmtId="0" fontId="1" fillId="0" borderId="6" xfId="0" applyFont="1" applyFill="1" applyBorder="1"/>
    <xf numFmtId="0" fontId="1" fillId="0" borderId="7" xfId="0" applyFont="1" applyFill="1" applyBorder="1"/>
    <xf numFmtId="0" fontId="1" fillId="4" borderId="20" xfId="0" applyFont="1" applyFill="1" applyBorder="1" applyAlignment="1">
      <alignment horizontal="centerContinuous"/>
    </xf>
    <xf numFmtId="0" fontId="1" fillId="4" borderId="21" xfId="0" applyFont="1" applyFill="1" applyBorder="1" applyAlignment="1">
      <alignment horizontal="centerContinuous"/>
    </xf>
    <xf numFmtId="0" fontId="1" fillId="4" borderId="19" xfId="0" applyFont="1" applyFill="1" applyBorder="1" applyAlignment="1">
      <alignment horizontal="centerContinuous"/>
    </xf>
    <xf numFmtId="0" fontId="1" fillId="4" borderId="23" xfId="0" applyFont="1" applyFill="1" applyBorder="1" applyAlignment="1">
      <alignment horizontal="centerContinuous"/>
    </xf>
    <xf numFmtId="0" fontId="1" fillId="4" borderId="24" xfId="0" applyFont="1" applyFill="1" applyBorder="1" applyAlignment="1">
      <alignment horizontal="centerContinuous"/>
    </xf>
    <xf numFmtId="0" fontId="1" fillId="4" borderId="4" xfId="0" applyFont="1" applyFill="1" applyBorder="1" applyAlignment="1">
      <alignment horizontal="center"/>
    </xf>
    <xf numFmtId="0" fontId="1" fillId="4" borderId="7" xfId="0" applyFont="1" applyFill="1" applyBorder="1" applyAlignment="1">
      <alignment horizontal="center"/>
    </xf>
    <xf numFmtId="10" fontId="1" fillId="0" borderId="6" xfId="0" applyNumberFormat="1" applyFont="1" applyBorder="1"/>
    <xf numFmtId="10" fontId="1" fillId="0" borderId="7" xfId="0" applyNumberFormat="1" applyFont="1" applyBorder="1"/>
    <xf numFmtId="0" fontId="0" fillId="0" borderId="30" xfId="0" applyBorder="1"/>
    <xf numFmtId="3" fontId="2" fillId="0" borderId="7" xfId="0" applyNumberFormat="1" applyFont="1" applyBorder="1"/>
    <xf numFmtId="2" fontId="1" fillId="0" borderId="3" xfId="0" applyNumberFormat="1" applyFont="1" applyFill="1" applyBorder="1"/>
    <xf numFmtId="2" fontId="1" fillId="0" borderId="4" xfId="0" applyNumberFormat="1" applyFont="1" applyFill="1" applyBorder="1"/>
    <xf numFmtId="0" fontId="1" fillId="4" borderId="27" xfId="0" applyFont="1" applyFill="1" applyBorder="1" applyAlignment="1"/>
    <xf numFmtId="0" fontId="1" fillId="4" borderId="25" xfId="0" applyFont="1" applyFill="1" applyBorder="1" applyAlignment="1"/>
    <xf numFmtId="0" fontId="1" fillId="4" borderId="26" xfId="0" applyFont="1" applyFill="1" applyBorder="1" applyAlignment="1"/>
    <xf numFmtId="0" fontId="17" fillId="4" borderId="6" xfId="0" applyFont="1" applyFill="1" applyBorder="1" applyAlignment="1">
      <alignment horizontal="center"/>
    </xf>
    <xf numFmtId="2" fontId="1" fillId="0" borderId="1" xfId="0" applyNumberFormat="1" applyFont="1" applyFill="1" applyBorder="1"/>
    <xf numFmtId="2" fontId="1" fillId="0" borderId="5" xfId="0" applyNumberFormat="1" applyFont="1" applyFill="1" applyBorder="1"/>
    <xf numFmtId="17" fontId="0" fillId="3" borderId="10" xfId="0" applyNumberFormat="1" applyFill="1" applyBorder="1" applyProtection="1"/>
    <xf numFmtId="17" fontId="0" fillId="0" borderId="0" xfId="0" applyNumberFormat="1" applyBorder="1" applyProtection="1"/>
    <xf numFmtId="10" fontId="1" fillId="5" borderId="13" xfId="0" applyNumberFormat="1" applyFont="1" applyFill="1" applyBorder="1"/>
    <xf numFmtId="2" fontId="1" fillId="0" borderId="2" xfId="0" applyNumberFormat="1" applyFont="1" applyFill="1" applyBorder="1"/>
    <xf numFmtId="2" fontId="1" fillId="0" borderId="9" xfId="0" applyNumberFormat="1" applyFont="1" applyFill="1" applyBorder="1"/>
    <xf numFmtId="0" fontId="1" fillId="0" borderId="8" xfId="0" applyFont="1" applyFill="1" applyBorder="1"/>
    <xf numFmtId="0" fontId="1" fillId="0" borderId="26" xfId="0" applyFont="1" applyFill="1" applyBorder="1" applyAlignment="1">
      <alignment horizontal="center"/>
    </xf>
    <xf numFmtId="0" fontId="1" fillId="0" borderId="23" xfId="0" applyFont="1" applyFill="1" applyBorder="1" applyAlignment="1">
      <alignment horizontal="centerContinuous"/>
    </xf>
    <xf numFmtId="0" fontId="1" fillId="0" borderId="24" xfId="0" applyFont="1" applyFill="1" applyBorder="1" applyAlignment="1">
      <alignment horizontal="centerContinuous"/>
    </xf>
    <xf numFmtId="0" fontId="1" fillId="0" borderId="10" xfId="0" applyFont="1" applyFill="1" applyBorder="1" applyAlignment="1">
      <alignment horizontal="center"/>
    </xf>
    <xf numFmtId="193" fontId="1" fillId="0" borderId="25" xfId="0" applyNumberFormat="1" applyFont="1" applyFill="1" applyBorder="1"/>
    <xf numFmtId="193" fontId="1" fillId="0" borderId="26" xfId="0" applyNumberFormat="1" applyFont="1" applyFill="1" applyBorder="1"/>
    <xf numFmtId="0" fontId="1" fillId="0" borderId="27" xfId="0" applyFont="1" applyFill="1" applyBorder="1"/>
    <xf numFmtId="193" fontId="1" fillId="0" borderId="23" xfId="0" applyNumberFormat="1" applyFont="1" applyFill="1" applyBorder="1"/>
    <xf numFmtId="193" fontId="1" fillId="0" borderId="12" xfId="0" applyNumberFormat="1" applyFont="1" applyFill="1" applyBorder="1"/>
    <xf numFmtId="193" fontId="1" fillId="0" borderId="27" xfId="0" applyNumberFormat="1" applyFont="1" applyFill="1" applyBorder="1"/>
    <xf numFmtId="4" fontId="0" fillId="0" borderId="28" xfId="0" quotePrefix="1" applyNumberFormat="1" applyBorder="1"/>
    <xf numFmtId="0" fontId="0" fillId="0" borderId="0" xfId="0" applyBorder="1" applyAlignment="1">
      <alignment horizontal="center"/>
    </xf>
    <xf numFmtId="3" fontId="0" fillId="0" borderId="0" xfId="0" applyNumberFormat="1" applyBorder="1"/>
    <xf numFmtId="1" fontId="9" fillId="0" borderId="13" xfId="1" applyNumberFormat="1" applyFont="1" applyFill="1" applyBorder="1" applyProtection="1">
      <protection locked="0"/>
    </xf>
    <xf numFmtId="220" fontId="1" fillId="0" borderId="0" xfId="0" applyNumberFormat="1" applyFont="1" applyFill="1" applyBorder="1"/>
    <xf numFmtId="4" fontId="12" fillId="4" borderId="66" xfId="1" applyNumberFormat="1" applyFont="1" applyFill="1" applyBorder="1" applyProtection="1">
      <protection locked="0"/>
    </xf>
    <xf numFmtId="9" fontId="9" fillId="5" borderId="13" xfId="0" applyNumberFormat="1" applyFont="1" applyFill="1" applyBorder="1" applyProtection="1"/>
    <xf numFmtId="0" fontId="9" fillId="4" borderId="14" xfId="0" applyFont="1" applyFill="1" applyBorder="1" applyAlignment="1" applyProtection="1">
      <alignment horizontal="left"/>
    </xf>
    <xf numFmtId="0" fontId="0" fillId="4" borderId="3" xfId="0" applyFill="1" applyBorder="1"/>
    <xf numFmtId="1" fontId="9" fillId="0" borderId="8" xfId="1" applyNumberFormat="1" applyFont="1" applyFill="1" applyBorder="1" applyProtection="1">
      <protection locked="0"/>
    </xf>
    <xf numFmtId="1" fontId="1" fillId="0" borderId="6" xfId="0" applyNumberFormat="1" applyFont="1" applyBorder="1"/>
    <xf numFmtId="0" fontId="1" fillId="4" borderId="64" xfId="0" applyFont="1" applyFill="1" applyBorder="1" applyAlignment="1">
      <alignment horizontal="center"/>
    </xf>
    <xf numFmtId="0" fontId="1" fillId="4" borderId="67" xfId="0" applyFont="1" applyFill="1" applyBorder="1" applyAlignment="1">
      <alignment horizontal="center"/>
    </xf>
    <xf numFmtId="0" fontId="0" fillId="5" borderId="21" xfId="0" applyFill="1" applyBorder="1" applyAlignment="1">
      <alignment horizontal="centerContinuous"/>
    </xf>
    <xf numFmtId="0" fontId="1" fillId="4" borderId="68" xfId="0" applyFont="1" applyFill="1" applyBorder="1" applyAlignment="1">
      <alignment horizontal="center"/>
    </xf>
    <xf numFmtId="0" fontId="1" fillId="0" borderId="52" xfId="0" applyFont="1" applyBorder="1" applyAlignment="1">
      <alignment horizontal="centerContinuous"/>
    </xf>
    <xf numFmtId="0" fontId="2" fillId="0" borderId="12" xfId="0" applyFont="1" applyFill="1" applyBorder="1"/>
    <xf numFmtId="0" fontId="0" fillId="0" borderId="10" xfId="0" applyBorder="1"/>
    <xf numFmtId="0" fontId="0" fillId="0" borderId="23" xfId="0" applyBorder="1"/>
    <xf numFmtId="0" fontId="17" fillId="4" borderId="27" xfId="0" applyFont="1" applyFill="1" applyBorder="1" applyAlignment="1">
      <alignment horizontal="center"/>
    </xf>
    <xf numFmtId="0" fontId="17" fillId="4" borderId="26" xfId="0" applyFont="1" applyFill="1" applyBorder="1" applyAlignment="1">
      <alignment horizontal="center"/>
    </xf>
    <xf numFmtId="1" fontId="12" fillId="4" borderId="17" xfId="0" applyNumberFormat="1" applyFont="1" applyFill="1" applyBorder="1"/>
    <xf numFmtId="2" fontId="12" fillId="4" borderId="3" xfId="0" applyNumberFormat="1" applyFont="1" applyFill="1" applyBorder="1"/>
    <xf numFmtId="192" fontId="12" fillId="4" borderId="1" xfId="0" applyNumberFormat="1" applyFont="1" applyFill="1" applyBorder="1"/>
    <xf numFmtId="190" fontId="12" fillId="4" borderId="6" xfId="0" applyNumberFormat="1" applyFont="1" applyFill="1" applyBorder="1"/>
    <xf numFmtId="1" fontId="12" fillId="4" borderId="69" xfId="0" applyNumberFormat="1" applyFont="1" applyFill="1" applyBorder="1"/>
    <xf numFmtId="1" fontId="12" fillId="4" borderId="11" xfId="0" applyNumberFormat="1" applyFont="1" applyFill="1" applyBorder="1"/>
    <xf numFmtId="2" fontId="12" fillId="4" borderId="4" xfId="0" applyNumberFormat="1" applyFont="1" applyFill="1" applyBorder="1"/>
    <xf numFmtId="192" fontId="12" fillId="4" borderId="5" xfId="0" applyNumberFormat="1" applyFont="1" applyFill="1" applyBorder="1"/>
    <xf numFmtId="190" fontId="12" fillId="4" borderId="7" xfId="0" applyNumberFormat="1" applyFont="1" applyFill="1" applyBorder="1"/>
    <xf numFmtId="10" fontId="12" fillId="4" borderId="1" xfId="0" applyNumberFormat="1" applyFont="1" applyFill="1" applyBorder="1"/>
    <xf numFmtId="10" fontId="12" fillId="4" borderId="3" xfId="0" applyNumberFormat="1" applyFont="1" applyFill="1" applyBorder="1"/>
    <xf numFmtId="10" fontId="12" fillId="4" borderId="6" xfId="0" applyNumberFormat="1" applyFont="1" applyFill="1" applyBorder="1"/>
    <xf numFmtId="10" fontId="12" fillId="4" borderId="5" xfId="0" applyNumberFormat="1" applyFont="1" applyFill="1" applyBorder="1"/>
    <xf numFmtId="10" fontId="12" fillId="4" borderId="4" xfId="0" applyNumberFormat="1" applyFont="1" applyFill="1" applyBorder="1"/>
    <xf numFmtId="10" fontId="12" fillId="4" borderId="7" xfId="0" applyNumberFormat="1" applyFont="1" applyFill="1" applyBorder="1"/>
    <xf numFmtId="17" fontId="12" fillId="4" borderId="17" xfId="0" applyNumberFormat="1" applyFont="1" applyFill="1" applyBorder="1"/>
    <xf numFmtId="17" fontId="12" fillId="4" borderId="69" xfId="0" applyNumberFormat="1" applyFont="1" applyFill="1" applyBorder="1"/>
    <xf numFmtId="17" fontId="12" fillId="4" borderId="11" xfId="0" applyNumberFormat="1" applyFont="1" applyFill="1" applyBorder="1"/>
    <xf numFmtId="10" fontId="12" fillId="4" borderId="7" xfId="3" applyNumberFormat="1" applyFont="1" applyFill="1" applyBorder="1" applyAlignment="1" applyProtection="1">
      <alignment horizontal="right"/>
      <protection locked="0"/>
    </xf>
    <xf numFmtId="220" fontId="9" fillId="0" borderId="8" xfId="0" applyNumberFormat="1" applyFont="1" applyFill="1" applyBorder="1" applyAlignment="1" applyProtection="1">
      <alignment horizontal="right"/>
      <protection locked="0"/>
    </xf>
    <xf numFmtId="220" fontId="9" fillId="0" borderId="6" xfId="0" applyNumberFormat="1" applyFont="1" applyFill="1" applyBorder="1" applyAlignment="1" applyProtection="1">
      <alignment horizontal="right"/>
      <protection locked="0"/>
    </xf>
    <xf numFmtId="220" fontId="9" fillId="5" borderId="6" xfId="0" applyNumberFormat="1" applyFont="1" applyFill="1" applyBorder="1" applyAlignment="1" applyProtection="1">
      <alignment horizontal="right"/>
      <protection locked="0"/>
    </xf>
    <xf numFmtId="41" fontId="12" fillId="4" borderId="8" xfId="0" applyNumberFormat="1" applyFont="1" applyFill="1" applyBorder="1" applyAlignment="1" applyProtection="1">
      <alignment horizontal="right"/>
    </xf>
    <xf numFmtId="3" fontId="10" fillId="4" borderId="8" xfId="0" applyNumberFormat="1" applyFont="1" applyFill="1" applyBorder="1" applyAlignment="1" applyProtection="1">
      <alignment horizontal="right"/>
    </xf>
    <xf numFmtId="39" fontId="12" fillId="4" borderId="6" xfId="2" quotePrefix="1" applyNumberFormat="1" applyFont="1" applyFill="1" applyBorder="1" applyAlignment="1" applyProtection="1">
      <alignment horizontal="right"/>
    </xf>
    <xf numFmtId="39" fontId="12" fillId="4" borderId="7" xfId="0" applyNumberFormat="1" applyFont="1" applyFill="1" applyBorder="1" applyAlignment="1" applyProtection="1">
      <alignment horizontal="right"/>
    </xf>
    <xf numFmtId="17" fontId="0" fillId="0" borderId="14" xfId="0" applyNumberFormat="1" applyBorder="1"/>
    <xf numFmtId="0" fontId="0" fillId="0" borderId="52" xfId="0" applyBorder="1"/>
    <xf numFmtId="0" fontId="2" fillId="0" borderId="31" xfId="0" applyFont="1" applyBorder="1"/>
    <xf numFmtId="0" fontId="0" fillId="0" borderId="70" xfId="0" applyBorder="1"/>
    <xf numFmtId="0" fontId="0" fillId="0" borderId="31" xfId="0" applyBorder="1"/>
    <xf numFmtId="0" fontId="0" fillId="0" borderId="32" xfId="0" applyBorder="1"/>
    <xf numFmtId="0" fontId="1" fillId="4" borderId="20" xfId="0" applyFont="1" applyFill="1" applyBorder="1" applyAlignment="1"/>
    <xf numFmtId="0" fontId="1" fillId="4" borderId="23" xfId="0" applyFont="1" applyFill="1" applyBorder="1" applyAlignment="1"/>
    <xf numFmtId="0" fontId="1" fillId="4" borderId="23" xfId="0" applyFont="1" applyFill="1" applyBorder="1" applyAlignment="1">
      <alignment horizontal="center"/>
    </xf>
    <xf numFmtId="193" fontId="12" fillId="4" borderId="29" xfId="0" applyNumberFormat="1" applyFont="1" applyFill="1" applyBorder="1"/>
    <xf numFmtId="193" fontId="12" fillId="4" borderId="34" xfId="0" applyNumberFormat="1" applyFont="1" applyFill="1" applyBorder="1"/>
    <xf numFmtId="193" fontId="12" fillId="4" borderId="36" xfId="0" applyNumberFormat="1" applyFont="1" applyFill="1" applyBorder="1"/>
    <xf numFmtId="0" fontId="17" fillId="4" borderId="4" xfId="0" applyFont="1" applyFill="1" applyBorder="1" applyAlignment="1">
      <alignment horizontal="center"/>
    </xf>
    <xf numFmtId="0" fontId="17" fillId="4" borderId="5" xfId="0" applyFont="1" applyFill="1" applyBorder="1" applyAlignment="1">
      <alignment horizontal="center"/>
    </xf>
    <xf numFmtId="0" fontId="17" fillId="4" borderId="7" xfId="0" applyFont="1" applyFill="1" applyBorder="1" applyAlignment="1">
      <alignment horizontal="center"/>
    </xf>
    <xf numFmtId="39" fontId="12" fillId="4" borderId="7" xfId="2" quotePrefix="1" applyNumberFormat="1" applyFont="1" applyFill="1" applyBorder="1" applyAlignment="1" applyProtection="1">
      <alignment horizontal="right"/>
    </xf>
    <xf numFmtId="0" fontId="27" fillId="0" borderId="0" xfId="0" applyFont="1"/>
    <xf numFmtId="0" fontId="22" fillId="4" borderId="71" xfId="0" applyFont="1" applyFill="1" applyBorder="1" applyAlignment="1">
      <alignment horizontal="center"/>
    </xf>
    <xf numFmtId="0" fontId="22" fillId="4" borderId="49" xfId="0" applyFont="1" applyFill="1" applyBorder="1" applyAlignment="1">
      <alignment horizontal="center"/>
    </xf>
    <xf numFmtId="0" fontId="2" fillId="0" borderId="20" xfId="0" applyFont="1" applyFill="1" applyBorder="1" applyAlignment="1">
      <alignment horizontal="center"/>
    </xf>
    <xf numFmtId="0" fontId="2" fillId="0" borderId="12" xfId="0" applyFont="1" applyFill="1" applyBorder="1" applyAlignment="1">
      <alignment horizontal="center"/>
    </xf>
    <xf numFmtId="220" fontId="1" fillId="0" borderId="27" xfId="0" applyNumberFormat="1" applyFont="1" applyFill="1" applyBorder="1" applyAlignment="1"/>
    <xf numFmtId="220" fontId="1" fillId="0" borderId="25" xfId="0" applyNumberFormat="1" applyFont="1" applyFill="1" applyBorder="1" applyAlignment="1"/>
    <xf numFmtId="220" fontId="1" fillId="0" borderId="26" xfId="0" applyNumberFormat="1" applyFont="1" applyFill="1" applyBorder="1" applyAlignment="1"/>
    <xf numFmtId="0" fontId="1" fillId="0" borderId="16" xfId="0" applyFont="1" applyFill="1" applyBorder="1" applyAlignment="1">
      <alignment horizontal="center"/>
    </xf>
    <xf numFmtId="0" fontId="11" fillId="0" borderId="49" xfId="0" applyFont="1" applyFill="1" applyBorder="1" applyAlignment="1" applyProtection="1">
      <alignment horizontal="left"/>
    </xf>
    <xf numFmtId="0" fontId="11" fillId="0" borderId="64" xfId="0" applyFont="1" applyFill="1" applyBorder="1" applyAlignment="1" applyProtection="1">
      <alignment horizontal="left"/>
    </xf>
    <xf numFmtId="0" fontId="11" fillId="0" borderId="68" xfId="0" applyFont="1" applyFill="1" applyBorder="1" applyAlignment="1" applyProtection="1">
      <alignment horizontal="center"/>
    </xf>
    <xf numFmtId="0" fontId="1" fillId="0" borderId="27" xfId="0" applyFont="1" applyBorder="1" applyAlignment="1" applyProtection="1">
      <alignment horizontal="center"/>
    </xf>
    <xf numFmtId="0" fontId="9" fillId="0" borderId="14" xfId="0" applyFont="1" applyFill="1" applyBorder="1" applyAlignment="1">
      <alignment horizontal="centerContinuous"/>
    </xf>
    <xf numFmtId="0" fontId="11" fillId="0" borderId="7" xfId="0" applyFont="1" applyFill="1" applyBorder="1" applyAlignment="1" applyProtection="1">
      <alignment horizontal="center"/>
      <protection locked="0"/>
    </xf>
    <xf numFmtId="0" fontId="28" fillId="0" borderId="0" xfId="0" applyFont="1"/>
    <xf numFmtId="0" fontId="4" fillId="7" borderId="0" xfId="0" applyFont="1" applyFill="1" applyProtection="1">
      <protection locked="0"/>
    </xf>
    <xf numFmtId="164" fontId="4" fillId="7" borderId="0" xfId="0" applyNumberFormat="1" applyFont="1" applyFill="1" applyBorder="1" applyProtection="1"/>
    <xf numFmtId="164" fontId="4" fillId="7" borderId="0" xfId="0" applyNumberFormat="1" applyFont="1" applyFill="1" applyProtection="1"/>
    <xf numFmtId="0" fontId="4" fillId="7" borderId="0" xfId="0" applyFont="1" applyFill="1" applyBorder="1" applyProtection="1">
      <protection locked="0"/>
    </xf>
    <xf numFmtId="7" fontId="19" fillId="7" borderId="0" xfId="0" applyNumberFormat="1" applyFont="1" applyFill="1" applyBorder="1" applyAlignment="1" applyProtection="1">
      <alignment horizontal="left"/>
    </xf>
    <xf numFmtId="0" fontId="0" fillId="7" borderId="0" xfId="0" applyFill="1"/>
    <xf numFmtId="7" fontId="7" fillId="7" borderId="0" xfId="0" applyNumberFormat="1" applyFont="1" applyFill="1" applyBorder="1" applyAlignment="1" applyProtection="1">
      <alignment horizontal="left"/>
    </xf>
    <xf numFmtId="0" fontId="4" fillId="7" borderId="0" xfId="0" applyFont="1" applyFill="1" applyProtection="1"/>
    <xf numFmtId="0" fontId="6" fillId="7" borderId="0" xfId="0" applyFont="1" applyFill="1" applyProtection="1"/>
    <xf numFmtId="164" fontId="9" fillId="7" borderId="0" xfId="0" applyNumberFormat="1" applyFont="1" applyFill="1" applyProtection="1"/>
    <xf numFmtId="0" fontId="7" fillId="7" borderId="0" xfId="0" applyFont="1" applyFill="1" applyAlignment="1">
      <alignment horizontal="right"/>
    </xf>
    <xf numFmtId="0" fontId="9" fillId="7" borderId="0" xfId="0" applyFont="1" applyFill="1" applyBorder="1" applyProtection="1"/>
    <xf numFmtId="0" fontId="9" fillId="7" borderId="0" xfId="0" applyFont="1" applyFill="1" applyBorder="1" applyAlignment="1" applyProtection="1">
      <alignment horizontal="right"/>
    </xf>
    <xf numFmtId="0" fontId="6" fillId="7" borderId="0" xfId="0" applyFont="1" applyFill="1" applyBorder="1" applyProtection="1"/>
    <xf numFmtId="7" fontId="30" fillId="7" borderId="0" xfId="0" applyNumberFormat="1" applyFont="1" applyFill="1" applyBorder="1" applyAlignment="1" applyProtection="1">
      <alignment horizontal="left"/>
    </xf>
    <xf numFmtId="0" fontId="31" fillId="7" borderId="0" xfId="0" applyFont="1" applyFill="1" applyBorder="1" applyProtection="1"/>
    <xf numFmtId="224" fontId="9" fillId="7" borderId="0" xfId="0" applyNumberFormat="1" applyFont="1" applyFill="1" applyProtection="1"/>
    <xf numFmtId="225" fontId="9" fillId="7" borderId="0" xfId="0" applyNumberFormat="1" applyFont="1" applyFill="1" applyProtection="1"/>
    <xf numFmtId="0" fontId="4" fillId="7" borderId="0" xfId="0" applyFont="1" applyFill="1" applyBorder="1" applyProtection="1"/>
    <xf numFmtId="164" fontId="9" fillId="7" borderId="0" xfId="0" applyNumberFormat="1" applyFont="1" applyFill="1" applyBorder="1" applyProtection="1"/>
    <xf numFmtId="7" fontId="26" fillId="7" borderId="0" xfId="0" applyNumberFormat="1" applyFont="1" applyFill="1" applyBorder="1" applyAlignment="1" applyProtection="1">
      <alignment horizontal="centerContinuous"/>
    </xf>
    <xf numFmtId="0" fontId="0" fillId="7" borderId="0" xfId="0" applyFill="1" applyBorder="1"/>
    <xf numFmtId="0" fontId="29" fillId="4" borderId="14" xfId="0" applyFont="1" applyFill="1" applyBorder="1" applyAlignment="1">
      <alignment horizontal="centerContinuous"/>
    </xf>
    <xf numFmtId="0" fontId="1" fillId="4" borderId="15" xfId="0" applyFont="1" applyFill="1" applyBorder="1" applyAlignment="1">
      <alignment horizontal="centerContinuous"/>
    </xf>
    <xf numFmtId="0" fontId="16" fillId="4" borderId="3" xfId="0" applyFont="1" applyFill="1" applyBorder="1" applyAlignment="1" applyProtection="1">
      <alignment horizontal="right"/>
    </xf>
    <xf numFmtId="0" fontId="26" fillId="4" borderId="16" xfId="0" applyFont="1" applyFill="1" applyBorder="1" applyAlignment="1" applyProtection="1">
      <alignment horizontal="right"/>
    </xf>
    <xf numFmtId="0" fontId="0" fillId="0" borderId="13" xfId="0" applyBorder="1"/>
    <xf numFmtId="0" fontId="1" fillId="5" borderId="14" xfId="0" applyFont="1" applyFill="1" applyBorder="1"/>
    <xf numFmtId="0" fontId="25" fillId="4" borderId="2" xfId="0" applyFont="1" applyFill="1" applyBorder="1" applyAlignment="1">
      <alignment horizontal="right"/>
    </xf>
    <xf numFmtId="0" fontId="25" fillId="4" borderId="3" xfId="0" applyFont="1" applyFill="1" applyBorder="1" applyAlignment="1">
      <alignment horizontal="right"/>
    </xf>
    <xf numFmtId="0" fontId="25" fillId="4" borderId="4" xfId="0" applyFont="1" applyFill="1" applyBorder="1" applyAlignment="1">
      <alignment horizontal="right"/>
    </xf>
    <xf numFmtId="3" fontId="12" fillId="4" borderId="8" xfId="0" applyNumberFormat="1" applyFont="1" applyFill="1" applyBorder="1"/>
    <xf numFmtId="3" fontId="12" fillId="4" borderId="6" xfId="0" applyNumberFormat="1" applyFont="1" applyFill="1" applyBorder="1"/>
    <xf numFmtId="10" fontId="1" fillId="0" borderId="13" xfId="0" applyNumberFormat="1" applyFont="1" applyBorder="1"/>
    <xf numFmtId="9" fontId="1" fillId="0" borderId="6" xfId="0" applyNumberFormat="1" applyFont="1" applyBorder="1"/>
    <xf numFmtId="0" fontId="25" fillId="4" borderId="16" xfId="0" applyFont="1" applyFill="1" applyBorder="1" applyAlignment="1">
      <alignment horizontal="right"/>
    </xf>
    <xf numFmtId="0" fontId="16" fillId="4" borderId="2" xfId="0" applyFont="1" applyFill="1" applyBorder="1" applyAlignment="1" applyProtection="1">
      <alignment horizontal="right"/>
    </xf>
    <xf numFmtId="3" fontId="12" fillId="4" borderId="7" xfId="0" applyNumberFormat="1" applyFont="1" applyFill="1" applyBorder="1"/>
    <xf numFmtId="3" fontId="1" fillId="0" borderId="8" xfId="0" applyNumberFormat="1" applyFont="1" applyBorder="1"/>
    <xf numFmtId="0" fontId="0" fillId="4" borderId="18" xfId="0" applyFill="1" applyBorder="1"/>
    <xf numFmtId="0" fontId="6" fillId="0" borderId="55" xfId="0" applyFont="1" applyBorder="1" applyProtection="1">
      <protection locked="0"/>
    </xf>
    <xf numFmtId="0" fontId="0" fillId="0" borderId="56" xfId="0" applyBorder="1"/>
    <xf numFmtId="0" fontId="0" fillId="0" borderId="56" xfId="0" applyFill="1" applyBorder="1"/>
    <xf numFmtId="0" fontId="1" fillId="0" borderId="52" xfId="0" applyFont="1" applyFill="1" applyBorder="1" applyAlignment="1">
      <alignment horizontal="centerContinuous"/>
    </xf>
    <xf numFmtId="220" fontId="6" fillId="0" borderId="3" xfId="0" applyNumberFormat="1" applyFont="1" applyBorder="1" applyProtection="1">
      <protection locked="0"/>
    </xf>
    <xf numFmtId="20" fontId="18" fillId="0" borderId="35" xfId="0" applyNumberFormat="1" applyFont="1" applyFill="1" applyBorder="1"/>
    <xf numFmtId="220" fontId="6" fillId="0" borderId="4" xfId="0" applyNumberFormat="1" applyFont="1" applyBorder="1" applyProtection="1">
      <protection locked="0"/>
    </xf>
    <xf numFmtId="0" fontId="6" fillId="0" borderId="53" xfId="0" applyFont="1" applyBorder="1" applyProtection="1">
      <protection locked="0"/>
    </xf>
    <xf numFmtId="0" fontId="0" fillId="0" borderId="72" xfId="0" applyBorder="1"/>
    <xf numFmtId="0" fontId="0" fillId="0" borderId="72" xfId="0" applyFill="1" applyBorder="1"/>
    <xf numFmtId="20" fontId="18" fillId="0" borderId="37" xfId="0" applyNumberFormat="1" applyFont="1" applyFill="1" applyBorder="1"/>
    <xf numFmtId="0" fontId="1" fillId="0" borderId="55" xfId="0" applyFont="1" applyBorder="1" applyAlignment="1" applyProtection="1">
      <alignment horizontal="centerContinuous"/>
    </xf>
    <xf numFmtId="0" fontId="1" fillId="0" borderId="56" xfId="0" applyFont="1" applyBorder="1" applyAlignment="1" applyProtection="1">
      <alignment horizontal="centerContinuous"/>
    </xf>
    <xf numFmtId="0" fontId="1" fillId="0" borderId="57" xfId="0" applyFont="1" applyBorder="1" applyAlignment="1" applyProtection="1">
      <alignment horizontal="centerContinuous"/>
    </xf>
    <xf numFmtId="0" fontId="1" fillId="0" borderId="21" xfId="0" applyFont="1" applyBorder="1" applyAlignment="1">
      <alignment horizontal="centerContinuous"/>
    </xf>
    <xf numFmtId="0" fontId="1" fillId="0" borderId="34" xfId="0" applyFont="1" applyBorder="1" applyAlignment="1" applyProtection="1">
      <alignment horizontal="centerContinuous"/>
    </xf>
    <xf numFmtId="0" fontId="1" fillId="0" borderId="35" xfId="0" applyFont="1" applyBorder="1" applyAlignment="1" applyProtection="1">
      <alignment horizontal="centerContinuous"/>
    </xf>
    <xf numFmtId="0" fontId="1" fillId="0" borderId="4" xfId="0" applyFont="1" applyBorder="1" applyAlignment="1" applyProtection="1">
      <alignment horizontal="center"/>
    </xf>
    <xf numFmtId="0" fontId="1" fillId="0" borderId="5" xfId="0" applyFont="1" applyBorder="1" applyAlignment="1" applyProtection="1">
      <alignment horizontal="center"/>
    </xf>
    <xf numFmtId="0" fontId="1" fillId="0" borderId="7" xfId="0" applyFont="1" applyBorder="1" applyAlignment="1" applyProtection="1">
      <alignment horizontal="center"/>
    </xf>
    <xf numFmtId="0" fontId="1" fillId="0" borderId="25" xfId="0" applyFont="1" applyBorder="1" applyAlignment="1" applyProtection="1">
      <alignment horizontal="center"/>
    </xf>
    <xf numFmtId="0" fontId="3" fillId="0" borderId="26" xfId="0" applyFont="1" applyBorder="1" applyProtection="1"/>
    <xf numFmtId="0" fontId="1" fillId="0" borderId="1" xfId="0" applyFont="1" applyBorder="1" applyAlignment="1">
      <alignment horizontal="center"/>
    </xf>
    <xf numFmtId="10" fontId="1" fillId="0" borderId="1" xfId="0" applyNumberFormat="1" applyFont="1" applyBorder="1" applyAlignment="1">
      <alignment horizontal="center"/>
    </xf>
    <xf numFmtId="0" fontId="1" fillId="0" borderId="29" xfId="0" applyFont="1" applyBorder="1" applyAlignment="1" applyProtection="1">
      <alignment horizontal="centerContinuous"/>
    </xf>
    <xf numFmtId="0" fontId="1" fillId="0" borderId="30" xfId="0" applyFont="1" applyBorder="1" applyAlignment="1" applyProtection="1">
      <alignment horizontal="centerContinuous"/>
    </xf>
    <xf numFmtId="0" fontId="1" fillId="0" borderId="38" xfId="0" applyFont="1" applyBorder="1" applyAlignment="1" applyProtection="1">
      <alignment horizontal="centerContinuous"/>
    </xf>
    <xf numFmtId="10" fontId="1" fillId="0" borderId="6" xfId="0" applyNumberFormat="1" applyFont="1" applyBorder="1" applyAlignment="1">
      <alignment horizontal="center"/>
    </xf>
    <xf numFmtId="17" fontId="0" fillId="3" borderId="10" xfId="0" applyNumberFormat="1" applyFill="1" applyBorder="1"/>
    <xf numFmtId="193" fontId="0" fillId="0" borderId="0" xfId="0" applyNumberFormat="1"/>
    <xf numFmtId="10" fontId="0" fillId="0" borderId="0" xfId="0" applyNumberFormat="1"/>
    <xf numFmtId="1" fontId="25" fillId="3" borderId="10" xfId="0" applyNumberFormat="1" applyFont="1" applyFill="1" applyBorder="1" applyAlignment="1"/>
    <xf numFmtId="0" fontId="0" fillId="0" borderId="2" xfId="0" applyBorder="1"/>
    <xf numFmtId="0" fontId="18" fillId="0" borderId="3" xfId="0" applyFont="1" applyBorder="1"/>
    <xf numFmtId="0" fontId="0" fillId="3" borderId="6" xfId="0" applyFill="1" applyBorder="1" applyAlignment="1">
      <alignment horizontal="center"/>
    </xf>
    <xf numFmtId="0" fontId="1" fillId="2" borderId="13" xfId="0" applyFont="1" applyFill="1" applyBorder="1" applyAlignment="1">
      <alignment horizontal="center"/>
    </xf>
    <xf numFmtId="10" fontId="0" fillId="0" borderId="20" xfId="0" applyNumberFormat="1" applyBorder="1"/>
    <xf numFmtId="10" fontId="0" fillId="0" borderId="23" xfId="0" applyNumberFormat="1" applyBorder="1"/>
    <xf numFmtId="10" fontId="0" fillId="0" borderId="12" xfId="0" applyNumberFormat="1" applyBorder="1"/>
    <xf numFmtId="2" fontId="0" fillId="4" borderId="23" xfId="0" applyNumberFormat="1" applyFill="1" applyBorder="1"/>
    <xf numFmtId="2" fontId="0" fillId="4" borderId="0" xfId="0" applyNumberFormat="1" applyFill="1" applyBorder="1"/>
    <xf numFmtId="2" fontId="0" fillId="4" borderId="31" xfId="0" applyNumberFormat="1" applyFill="1" applyBorder="1"/>
    <xf numFmtId="10" fontId="1" fillId="0" borderId="8" xfId="0" applyNumberFormat="1" applyFont="1" applyBorder="1"/>
    <xf numFmtId="0" fontId="16" fillId="4" borderId="16" xfId="0" applyFont="1" applyFill="1" applyBorder="1" applyAlignment="1" applyProtection="1">
      <alignment horizontal="right"/>
    </xf>
    <xf numFmtId="0" fontId="1" fillId="0" borderId="14" xfId="0" applyFont="1" applyBorder="1"/>
    <xf numFmtId="193" fontId="0" fillId="4" borderId="73" xfId="0" quotePrefix="1" applyNumberFormat="1" applyFill="1" applyBorder="1"/>
    <xf numFmtId="193" fontId="0" fillId="4" borderId="74" xfId="0" quotePrefix="1" applyNumberFormat="1" applyFill="1" applyBorder="1"/>
    <xf numFmtId="0" fontId="33" fillId="0" borderId="0" xfId="0" applyFont="1"/>
    <xf numFmtId="0" fontId="2" fillId="0" borderId="52" xfId="0" applyFont="1" applyBorder="1"/>
    <xf numFmtId="17" fontId="2" fillId="0" borderId="13" xfId="0" applyNumberFormat="1" applyFont="1" applyBorder="1" applyAlignment="1">
      <alignment horizontal="center"/>
    </xf>
    <xf numFmtId="39" fontId="12" fillId="4" borderId="8" xfId="2" quotePrefix="1" applyNumberFormat="1" applyFont="1" applyFill="1" applyBorder="1" applyAlignment="1" applyProtection="1">
      <alignment horizontal="right"/>
    </xf>
    <xf numFmtId="0" fontId="17" fillId="4" borderId="4" xfId="0" applyFont="1" applyFill="1" applyBorder="1" applyAlignment="1">
      <alignment horizontal="right"/>
    </xf>
    <xf numFmtId="0" fontId="22" fillId="4" borderId="3" xfId="0" applyFont="1" applyFill="1" applyBorder="1" applyAlignment="1">
      <alignment horizontal="right"/>
    </xf>
    <xf numFmtId="0" fontId="32" fillId="4" borderId="4" xfId="0" applyFont="1" applyFill="1" applyBorder="1" applyAlignment="1" applyProtection="1">
      <alignment horizontal="right"/>
    </xf>
    <xf numFmtId="0" fontId="11" fillId="0" borderId="15" xfId="0" applyFont="1" applyBorder="1" applyProtection="1">
      <protection locked="0"/>
    </xf>
    <xf numFmtId="0" fontId="9" fillId="4" borderId="20" xfId="0" applyFont="1" applyFill="1" applyBorder="1" applyAlignment="1" applyProtection="1">
      <alignment horizontal="right"/>
    </xf>
    <xf numFmtId="0" fontId="9" fillId="5" borderId="12" xfId="0" applyFont="1" applyFill="1" applyBorder="1" applyAlignment="1" applyProtection="1">
      <alignment horizontal="left"/>
    </xf>
    <xf numFmtId="0" fontId="9" fillId="5" borderId="23" xfId="0" applyFont="1" applyFill="1" applyBorder="1" applyAlignment="1" applyProtection="1">
      <alignment horizontal="left"/>
    </xf>
    <xf numFmtId="0" fontId="0" fillId="5" borderId="24" xfId="0" applyFill="1" applyBorder="1"/>
    <xf numFmtId="220" fontId="9" fillId="4" borderId="8" xfId="0" applyNumberFormat="1" applyFont="1" applyFill="1" applyBorder="1" applyAlignment="1" applyProtection="1">
      <alignment horizontal="right"/>
      <protection locked="0"/>
    </xf>
    <xf numFmtId="220" fontId="9" fillId="4" borderId="6" xfId="0" applyNumberFormat="1" applyFont="1" applyFill="1" applyBorder="1" applyAlignment="1" applyProtection="1">
      <alignment horizontal="right"/>
      <protection locked="0"/>
    </xf>
    <xf numFmtId="0" fontId="1" fillId="5" borderId="23" xfId="0" applyFont="1" applyFill="1" applyBorder="1" applyAlignment="1">
      <alignment horizontal="left"/>
    </xf>
    <xf numFmtId="0" fontId="1" fillId="5" borderId="12" xfId="0" applyFont="1" applyFill="1" applyBorder="1" applyAlignment="1">
      <alignment horizontal="left"/>
    </xf>
    <xf numFmtId="0" fontId="16" fillId="4" borderId="4" xfId="0" applyFont="1" applyFill="1" applyBorder="1" applyAlignment="1" applyProtection="1">
      <alignment horizontal="right"/>
    </xf>
    <xf numFmtId="0" fontId="1" fillId="4" borderId="34" xfId="0" applyFont="1" applyFill="1" applyBorder="1" applyAlignment="1">
      <alignment horizontal="right"/>
    </xf>
    <xf numFmtId="220" fontId="1" fillId="4" borderId="6" xfId="0" applyNumberFormat="1" applyFont="1" applyFill="1" applyBorder="1" applyAlignment="1"/>
    <xf numFmtId="3" fontId="10" fillId="4" borderId="6" xfId="0" applyNumberFormat="1" applyFont="1" applyFill="1" applyBorder="1" applyAlignment="1" applyProtection="1">
      <alignment horizontal="right"/>
    </xf>
    <xf numFmtId="0" fontId="34" fillId="4" borderId="14" xfId="0" quotePrefix="1" applyFont="1" applyFill="1" applyBorder="1" applyAlignment="1">
      <alignment horizontal="centerContinuous"/>
    </xf>
    <xf numFmtId="15" fontId="2" fillId="0" borderId="1" xfId="0" applyNumberFormat="1" applyFont="1" applyBorder="1"/>
    <xf numFmtId="1" fontId="0" fillId="0" borderId="0" xfId="0" applyNumberFormat="1" applyBorder="1" applyProtection="1"/>
    <xf numFmtId="1" fontId="0" fillId="4" borderId="0" xfId="0" applyNumberFormat="1" applyFill="1" applyBorder="1" applyProtection="1"/>
    <xf numFmtId="0" fontId="21" fillId="0" borderId="27" xfId="0" applyFont="1" applyBorder="1" applyAlignment="1" applyProtection="1">
      <alignment horizontal="center"/>
    </xf>
    <xf numFmtId="0" fontId="21" fillId="0" borderId="25" xfId="0" applyFont="1" applyBorder="1" applyAlignment="1" applyProtection="1">
      <alignment horizontal="center"/>
    </xf>
    <xf numFmtId="0" fontId="9" fillId="0" borderId="26" xfId="0" applyFont="1" applyBorder="1" applyAlignment="1" applyProtection="1">
      <alignment horizontal="center"/>
    </xf>
    <xf numFmtId="2" fontId="0" fillId="0" borderId="8" xfId="0" applyNumberFormat="1" applyBorder="1"/>
    <xf numFmtId="0" fontId="2" fillId="0" borderId="55" xfId="0" applyFont="1" applyBorder="1" applyAlignment="1">
      <alignment horizontal="centerContinuous"/>
    </xf>
    <xf numFmtId="0" fontId="2" fillId="0" borderId="56" xfId="0" applyFont="1" applyBorder="1" applyAlignment="1">
      <alignment horizontal="centerContinuous"/>
    </xf>
    <xf numFmtId="0" fontId="2" fillId="0" borderId="57" xfId="0" applyFont="1" applyBorder="1" applyAlignment="1">
      <alignment horizontal="centerContinuous"/>
    </xf>
    <xf numFmtId="0" fontId="0" fillId="0" borderId="55" xfId="0" applyBorder="1" applyAlignment="1">
      <alignment horizontal="centerContinuous"/>
    </xf>
    <xf numFmtId="3" fontId="2" fillId="0" borderId="72" xfId="0" applyNumberFormat="1" applyFont="1" applyBorder="1" applyAlignment="1"/>
    <xf numFmtId="9" fontId="0" fillId="0" borderId="43" xfId="0" quotePrefix="1" applyNumberFormat="1" applyBorder="1"/>
    <xf numFmtId="9" fontId="0" fillId="0" borderId="41" xfId="0" applyNumberFormat="1" applyBorder="1"/>
    <xf numFmtId="9" fontId="0" fillId="0" borderId="42" xfId="0" applyNumberFormat="1" applyBorder="1"/>
    <xf numFmtId="9" fontId="0" fillId="0" borderId="31" xfId="0" applyNumberFormat="1" applyBorder="1"/>
    <xf numFmtId="43" fontId="0" fillId="0" borderId="43" xfId="0" quotePrefix="1" applyNumberFormat="1" applyBorder="1"/>
    <xf numFmtId="43" fontId="0" fillId="0" borderId="41" xfId="0" quotePrefix="1" applyNumberFormat="1" applyBorder="1"/>
    <xf numFmtId="43" fontId="0" fillId="0" borderId="42" xfId="0" quotePrefix="1" applyNumberFormat="1" applyBorder="1"/>
    <xf numFmtId="43" fontId="0" fillId="0" borderId="31" xfId="0" quotePrefix="1" applyNumberFormat="1" applyBorder="1"/>
    <xf numFmtId="9" fontId="0" fillId="0" borderId="33" xfId="0" applyNumberFormat="1" applyBorder="1"/>
    <xf numFmtId="41" fontId="0" fillId="0" borderId="43" xfId="0" quotePrefix="1" applyNumberFormat="1" applyBorder="1"/>
    <xf numFmtId="41" fontId="0" fillId="0" borderId="42" xfId="0" quotePrefix="1" applyNumberFormat="1" applyBorder="1"/>
    <xf numFmtId="41" fontId="0" fillId="0" borderId="31" xfId="0" quotePrefix="1" applyNumberFormat="1" applyBorder="1"/>
    <xf numFmtId="3" fontId="0" fillId="0" borderId="41" xfId="0" quotePrefix="1" applyNumberFormat="1" applyBorder="1"/>
    <xf numFmtId="3" fontId="0" fillId="0" borderId="42" xfId="0" quotePrefix="1" applyNumberFormat="1" applyBorder="1"/>
    <xf numFmtId="3" fontId="0" fillId="0" borderId="31" xfId="0" quotePrefix="1" applyNumberFormat="1" applyBorder="1"/>
    <xf numFmtId="3" fontId="2" fillId="0" borderId="28" xfId="0" applyNumberFormat="1" applyFont="1" applyBorder="1" applyAlignment="1"/>
    <xf numFmtId="3" fontId="2" fillId="0" borderId="32" xfId="0" applyNumberFormat="1" applyFont="1" applyBorder="1" applyAlignment="1"/>
    <xf numFmtId="0" fontId="17" fillId="0" borderId="52" xfId="0" applyFont="1" applyBorder="1" applyAlignment="1">
      <alignment horizontal="centerContinuous"/>
    </xf>
    <xf numFmtId="0" fontId="0" fillId="3" borderId="1" xfId="0" applyFill="1" applyBorder="1" applyAlignment="1">
      <alignment horizontal="center"/>
    </xf>
    <xf numFmtId="0" fontId="0" fillId="3" borderId="9" xfId="0" applyFill="1" applyBorder="1" applyAlignment="1">
      <alignment horizontal="center"/>
    </xf>
    <xf numFmtId="0" fontId="0" fillId="0" borderId="8" xfId="0" applyBorder="1"/>
    <xf numFmtId="193" fontId="0" fillId="0" borderId="0" xfId="0" applyNumberFormat="1" applyBorder="1" applyProtection="1"/>
    <xf numFmtId="193" fontId="0" fillId="0" borderId="0" xfId="0" quotePrefix="1" applyNumberFormat="1" applyBorder="1" applyProtection="1"/>
    <xf numFmtId="0" fontId="35" fillId="0" borderId="27" xfId="0" applyFont="1" applyBorder="1" applyAlignment="1" applyProtection="1">
      <alignment horizontal="center"/>
    </xf>
    <xf numFmtId="0" fontId="35" fillId="0" borderId="25" xfId="0" applyFont="1" applyBorder="1" applyAlignment="1" applyProtection="1">
      <alignment horizontal="center"/>
    </xf>
    <xf numFmtId="0" fontId="11" fillId="0" borderId="26" xfId="0" applyFont="1" applyBorder="1" applyAlignment="1" applyProtection="1">
      <alignment horizontal="center"/>
    </xf>
    <xf numFmtId="10" fontId="0" fillId="0" borderId="0" xfId="0" quotePrefix="1" applyNumberFormat="1"/>
    <xf numFmtId="3" fontId="2" fillId="0" borderId="72" xfId="0" applyNumberFormat="1" applyFont="1" applyBorder="1"/>
    <xf numFmtId="0" fontId="0" fillId="0" borderId="14" xfId="0" applyBorder="1"/>
    <xf numFmtId="0" fontId="0" fillId="0" borderId="75" xfId="0" applyBorder="1"/>
    <xf numFmtId="3" fontId="0" fillId="0" borderId="13" xfId="0" applyNumberFormat="1" applyBorder="1"/>
    <xf numFmtId="0" fontId="0" fillId="0" borderId="46" xfId="0" applyBorder="1"/>
    <xf numFmtId="0" fontId="0" fillId="0" borderId="44" xfId="0" applyBorder="1"/>
    <xf numFmtId="2" fontId="0" fillId="0" borderId="13" xfId="0" applyNumberFormat="1" applyBorder="1"/>
    <xf numFmtId="0" fontId="2" fillId="0" borderId="10" xfId="0" applyFont="1" applyBorder="1"/>
    <xf numFmtId="9" fontId="0" fillId="0" borderId="43" xfId="0" applyNumberFormat="1" applyBorder="1"/>
    <xf numFmtId="0" fontId="0" fillId="0" borderId="1" xfId="0" applyFill="1" applyBorder="1" applyAlignment="1">
      <alignment horizontal="center"/>
    </xf>
    <xf numFmtId="39" fontId="12" fillId="4" borderId="13" xfId="2" quotePrefix="1" applyNumberFormat="1" applyFont="1" applyFill="1" applyBorder="1" applyAlignment="1" applyProtection="1">
      <alignment horizontal="right"/>
    </xf>
    <xf numFmtId="3" fontId="12" fillId="4" borderId="6" xfId="0" applyNumberFormat="1" applyFont="1" applyFill="1" applyBorder="1" applyAlignment="1" applyProtection="1">
      <alignment horizontal="right"/>
    </xf>
    <xf numFmtId="43" fontId="10" fillId="4" borderId="13" xfId="0" applyNumberFormat="1" applyFont="1" applyFill="1" applyBorder="1" applyAlignment="1" applyProtection="1">
      <alignment horizontal="right"/>
    </xf>
    <xf numFmtId="43" fontId="16" fillId="5" borderId="8" xfId="0" applyNumberFormat="1" applyFont="1" applyFill="1" applyBorder="1" applyAlignment="1" applyProtection="1">
      <alignment horizontal="right"/>
      <protection locked="0"/>
    </xf>
    <xf numFmtId="9" fontId="0" fillId="0" borderId="47" xfId="0" quotePrefix="1" applyNumberFormat="1" applyBorder="1"/>
    <xf numFmtId="9" fontId="0" fillId="0" borderId="47" xfId="0" applyNumberFormat="1" applyBorder="1"/>
    <xf numFmtId="9" fontId="0" fillId="0" borderId="32" xfId="0" applyNumberFormat="1" applyBorder="1"/>
    <xf numFmtId="43" fontId="0" fillId="0" borderId="32" xfId="0" quotePrefix="1" applyNumberFormat="1" applyBorder="1"/>
    <xf numFmtId="41" fontId="0" fillId="0" borderId="32" xfId="0" quotePrefix="1" applyNumberFormat="1" applyBorder="1"/>
    <xf numFmtId="3" fontId="0" fillId="0" borderId="32" xfId="0" quotePrefix="1" applyNumberFormat="1" applyBorder="1"/>
    <xf numFmtId="0" fontId="2" fillId="0" borderId="0" xfId="0" applyFont="1" applyAlignment="1">
      <alignment horizontal="center"/>
    </xf>
    <xf numFmtId="3" fontId="1" fillId="0" borderId="1" xfId="0" applyNumberFormat="1" applyFont="1" applyFill="1" applyBorder="1"/>
    <xf numFmtId="3" fontId="1" fillId="0" borderId="9" xfId="0" applyNumberFormat="1" applyFont="1" applyFill="1" applyBorder="1"/>
    <xf numFmtId="3" fontId="1" fillId="0" borderId="5" xfId="0" applyNumberFormat="1" applyFont="1" applyFill="1" applyBorder="1"/>
    <xf numFmtId="0" fontId="1" fillId="0" borderId="73" xfId="0" applyFont="1" applyFill="1" applyBorder="1" applyAlignment="1">
      <alignment horizontal="center"/>
    </xf>
    <xf numFmtId="3" fontId="1" fillId="0" borderId="21" xfId="0" applyNumberFormat="1" applyFont="1" applyFill="1" applyBorder="1" applyAlignment="1">
      <alignment horizontal="centerContinuous"/>
    </xf>
    <xf numFmtId="3" fontId="1" fillId="0" borderId="19" xfId="0" applyNumberFormat="1" applyFont="1" applyFill="1" applyBorder="1" applyAlignment="1">
      <alignment horizontal="centerContinuous"/>
    </xf>
    <xf numFmtId="0" fontId="1" fillId="0" borderId="51" xfId="0" applyFont="1" applyBorder="1" applyAlignment="1">
      <alignment horizontal="center"/>
    </xf>
    <xf numFmtId="0" fontId="1" fillId="0" borderId="5" xfId="0" applyFont="1" applyBorder="1" applyAlignment="1">
      <alignment horizontal="center"/>
    </xf>
    <xf numFmtId="3" fontId="1" fillId="0" borderId="7" xfId="0" applyNumberFormat="1" applyFont="1" applyFill="1" applyBorder="1" applyAlignment="1">
      <alignment horizontal="center"/>
    </xf>
    <xf numFmtId="7" fontId="30" fillId="7" borderId="0" xfId="0" applyNumberFormat="1" applyFont="1" applyFill="1" applyBorder="1" applyAlignment="1" applyProtection="1">
      <alignment horizontal="centerContinuous"/>
    </xf>
    <xf numFmtId="0" fontId="0" fillId="7" borderId="0" xfId="0" applyFill="1" applyAlignment="1">
      <alignment horizontal="centerContinuous"/>
    </xf>
    <xf numFmtId="0" fontId="16" fillId="4" borderId="14" xfId="0" applyFont="1" applyFill="1" applyBorder="1" applyAlignment="1" applyProtection="1">
      <alignment horizontal="right"/>
    </xf>
    <xf numFmtId="0" fontId="16" fillId="4" borderId="52" xfId="0" applyFont="1" applyFill="1" applyBorder="1" applyAlignment="1" applyProtection="1">
      <alignment horizontal="right"/>
    </xf>
    <xf numFmtId="49" fontId="1" fillId="4" borderId="3" xfId="0" applyNumberFormat="1" applyFont="1" applyFill="1" applyBorder="1" applyAlignment="1">
      <alignment horizontal="left"/>
    </xf>
    <xf numFmtId="49" fontId="1" fillId="4" borderId="4" xfId="0" applyNumberFormat="1" applyFont="1" applyFill="1" applyBorder="1" applyAlignment="1">
      <alignment horizontal="left"/>
    </xf>
    <xf numFmtId="0" fontId="25" fillId="5" borderId="20" xfId="0" applyFont="1" applyFill="1" applyBorder="1" applyAlignment="1">
      <alignment horizontal="centerContinuous"/>
    </xf>
    <xf numFmtId="0" fontId="0" fillId="4" borderId="52" xfId="0" applyFill="1" applyBorder="1"/>
    <xf numFmtId="0" fontId="22" fillId="4" borderId="27" xfId="0" applyFont="1" applyFill="1" applyBorder="1" applyAlignment="1">
      <alignment horizontal="center"/>
    </xf>
    <xf numFmtId="0" fontId="22" fillId="4" borderId="25" xfId="0" applyFont="1" applyFill="1" applyBorder="1" applyAlignment="1">
      <alignment horizontal="center"/>
    </xf>
    <xf numFmtId="0" fontId="25" fillId="5" borderId="14" xfId="0" applyFont="1" applyFill="1" applyBorder="1" applyAlignment="1">
      <alignment horizontal="centerContinuous"/>
    </xf>
    <xf numFmtId="0" fontId="36" fillId="0" borderId="3" xfId="0" applyFont="1" applyBorder="1"/>
    <xf numFmtId="0" fontId="36" fillId="0" borderId="4" xfId="0" applyFont="1" applyBorder="1"/>
    <xf numFmtId="0" fontId="0" fillId="0" borderId="7" xfId="0" applyBorder="1"/>
    <xf numFmtId="226" fontId="12" fillId="4" borderId="8" xfId="0" applyNumberFormat="1" applyFont="1" applyFill="1" applyBorder="1"/>
    <xf numFmtId="226" fontId="12" fillId="4" borderId="6" xfId="0" applyNumberFormat="1" applyFont="1" applyFill="1" applyBorder="1"/>
    <xf numFmtId="226" fontId="12" fillId="4" borderId="7" xfId="0" applyNumberFormat="1" applyFont="1" applyFill="1" applyBorder="1"/>
    <xf numFmtId="226" fontId="1" fillId="0" borderId="8" xfId="0" applyNumberFormat="1" applyFont="1" applyBorder="1"/>
    <xf numFmtId="226" fontId="1" fillId="0" borderId="6" xfId="0" applyNumberFormat="1" applyFont="1" applyBorder="1"/>
    <xf numFmtId="39" fontId="12" fillId="4" borderId="8" xfId="0" applyNumberFormat="1" applyFont="1" applyFill="1" applyBorder="1" applyAlignment="1" applyProtection="1">
      <alignment horizontal="right"/>
    </xf>
    <xf numFmtId="39" fontId="12" fillId="4" borderId="6" xfId="0" applyNumberFormat="1" applyFont="1" applyFill="1" applyBorder="1" applyAlignment="1" applyProtection="1">
      <alignment horizontal="right"/>
    </xf>
    <xf numFmtId="39" fontId="16" fillId="0" borderId="7" xfId="0" applyNumberFormat="1" applyFont="1" applyFill="1" applyBorder="1" applyAlignment="1" applyProtection="1">
      <alignment horizontal="right"/>
      <protection locked="0"/>
    </xf>
    <xf numFmtId="226" fontId="16" fillId="5" borderId="8" xfId="0" applyNumberFormat="1" applyFont="1" applyFill="1" applyBorder="1" applyAlignment="1" applyProtection="1">
      <alignment horizontal="right"/>
      <protection locked="0"/>
    </xf>
    <xf numFmtId="227" fontId="1" fillId="0" borderId="6" xfId="0" applyNumberFormat="1" applyFont="1" applyBorder="1"/>
    <xf numFmtId="226" fontId="1" fillId="0" borderId="8" xfId="0" applyNumberFormat="1" applyFont="1" applyFill="1" applyBorder="1"/>
    <xf numFmtId="226" fontId="1" fillId="0" borderId="13" xfId="0" applyNumberFormat="1" applyFont="1" applyFill="1" applyBorder="1"/>
    <xf numFmtId="10" fontId="0" fillId="0" borderId="33" xfId="0" applyNumberFormat="1" applyBorder="1"/>
    <xf numFmtId="2" fontId="0" fillId="0" borderId="33" xfId="0" applyNumberFormat="1" applyBorder="1"/>
    <xf numFmtId="41" fontId="0" fillId="0" borderId="65" xfId="0" quotePrefix="1" applyNumberFormat="1" applyBorder="1"/>
    <xf numFmtId="10" fontId="0" fillId="0" borderId="47" xfId="0" applyNumberFormat="1" applyBorder="1"/>
    <xf numFmtId="2" fontId="0" fillId="0" borderId="47" xfId="0" applyNumberFormat="1" applyBorder="1"/>
    <xf numFmtId="41" fontId="0" fillId="0" borderId="66" xfId="0" quotePrefix="1" applyNumberFormat="1" applyBorder="1"/>
    <xf numFmtId="0" fontId="0" fillId="0" borderId="1" xfId="0" applyBorder="1" applyAlignment="1">
      <alignment horizontal="center"/>
    </xf>
    <xf numFmtId="0" fontId="0" fillId="8" borderId="1" xfId="0" applyFill="1" applyBorder="1" applyAlignment="1">
      <alignment horizontal="center"/>
    </xf>
    <xf numFmtId="0" fontId="0" fillId="8" borderId="5" xfId="0" applyFill="1" applyBorder="1" applyAlignment="1">
      <alignment horizontal="center"/>
    </xf>
    <xf numFmtId="17" fontId="0" fillId="4" borderId="23" xfId="0" applyNumberFormat="1" applyFill="1" applyBorder="1"/>
    <xf numFmtId="0" fontId="0" fillId="0" borderId="43" xfId="0" applyBorder="1" applyAlignment="1">
      <alignment horizontal="centerContinuous"/>
    </xf>
    <xf numFmtId="0" fontId="0" fillId="0" borderId="41" xfId="0" applyBorder="1" applyAlignment="1">
      <alignment horizontal="centerContinuous"/>
    </xf>
    <xf numFmtId="0" fontId="0" fillId="0" borderId="42" xfId="0" applyBorder="1" applyAlignment="1">
      <alignment horizontal="centerContinuous"/>
    </xf>
    <xf numFmtId="0" fontId="2" fillId="0" borderId="41" xfId="0" applyFont="1" applyBorder="1" applyAlignment="1">
      <alignment horizontal="centerContinuous"/>
    </xf>
    <xf numFmtId="0" fontId="2" fillId="0" borderId="42" xfId="0" applyFont="1" applyBorder="1" applyAlignment="1">
      <alignment horizontal="centerContinuous"/>
    </xf>
    <xf numFmtId="0" fontId="2" fillId="0" borderId="5" xfId="0" applyFont="1" applyBorder="1" applyAlignment="1">
      <alignment horizontal="center"/>
    </xf>
    <xf numFmtId="10" fontId="0" fillId="0" borderId="0" xfId="0" applyNumberFormat="1" applyBorder="1"/>
    <xf numFmtId="10" fontId="0" fillId="0" borderId="28" xfId="0" applyNumberFormat="1" applyBorder="1"/>
    <xf numFmtId="9" fontId="9" fillId="0" borderId="69" xfId="0" applyNumberFormat="1" applyFont="1" applyFill="1" applyBorder="1"/>
    <xf numFmtId="9" fontId="9" fillId="0" borderId="11" xfId="0" applyNumberFormat="1" applyFont="1" applyFill="1" applyBorder="1"/>
    <xf numFmtId="1" fontId="16" fillId="5" borderId="1" xfId="0" applyNumberFormat="1" applyFont="1" applyFill="1" applyBorder="1"/>
    <xf numFmtId="1" fontId="16" fillId="5" borderId="6" xfId="0" applyNumberFormat="1" applyFont="1" applyFill="1" applyBorder="1"/>
    <xf numFmtId="1" fontId="16" fillId="5" borderId="1" xfId="0" applyNumberFormat="1" applyFont="1" applyFill="1" applyBorder="1" applyProtection="1"/>
    <xf numFmtId="1" fontId="16" fillId="5" borderId="6" xfId="0" applyNumberFormat="1" applyFont="1" applyFill="1" applyBorder="1" applyProtection="1"/>
    <xf numFmtId="1" fontId="16" fillId="5" borderId="5" xfId="0" applyNumberFormat="1" applyFont="1" applyFill="1" applyBorder="1"/>
    <xf numFmtId="1" fontId="16" fillId="5" borderId="7" xfId="0" applyNumberFormat="1" applyFont="1" applyFill="1" applyBorder="1"/>
    <xf numFmtId="3" fontId="1" fillId="0" borderId="13" xfId="0" applyNumberFormat="1" applyFont="1" applyFill="1" applyBorder="1"/>
    <xf numFmtId="9" fontId="1" fillId="0" borderId="7" xfId="0" applyNumberFormat="1" applyFont="1" applyBorder="1"/>
    <xf numFmtId="3" fontId="12" fillId="4" borderId="76" xfId="0" applyNumberFormat="1" applyFont="1" applyFill="1" applyBorder="1"/>
    <xf numFmtId="3" fontId="12" fillId="4" borderId="13" xfId="0" applyNumberFormat="1" applyFont="1" applyFill="1" applyBorder="1"/>
    <xf numFmtId="0" fontId="1" fillId="4" borderId="10" xfId="0" applyFont="1" applyFill="1" applyBorder="1" applyAlignment="1">
      <alignment horizontal="right"/>
    </xf>
    <xf numFmtId="0" fontId="20" fillId="5" borderId="14" xfId="0" applyFont="1" applyFill="1" applyBorder="1" applyAlignment="1">
      <alignment horizontal="centerContinuous"/>
    </xf>
    <xf numFmtId="0" fontId="20" fillId="5" borderId="52" xfId="0" applyFont="1" applyFill="1" applyBorder="1" applyAlignment="1">
      <alignment horizontal="centerContinuous"/>
    </xf>
    <xf numFmtId="0" fontId="20" fillId="5" borderId="15" xfId="0" applyFont="1" applyFill="1" applyBorder="1" applyAlignment="1">
      <alignment horizontal="centerContinuous"/>
    </xf>
    <xf numFmtId="0" fontId="37" fillId="4" borderId="10" xfId="0" applyFont="1" applyFill="1" applyBorder="1" applyAlignment="1">
      <alignment horizontal="center"/>
    </xf>
    <xf numFmtId="0" fontId="16" fillId="4" borderId="13" xfId="0" applyFont="1" applyFill="1" applyBorder="1" applyAlignment="1">
      <alignment horizontal="center"/>
    </xf>
    <xf numFmtId="3" fontId="10" fillId="4" borderId="1" xfId="0" applyNumberFormat="1" applyFont="1" applyFill="1" applyBorder="1"/>
    <xf numFmtId="0" fontId="25" fillId="4" borderId="2" xfId="0" applyFont="1" applyFill="1" applyBorder="1" applyAlignment="1">
      <alignment horizontal="center"/>
    </xf>
    <xf numFmtId="0" fontId="1" fillId="4" borderId="8" xfId="0" applyFont="1" applyFill="1" applyBorder="1" applyAlignment="1">
      <alignment horizontal="center"/>
    </xf>
    <xf numFmtId="3" fontId="10" fillId="4" borderId="6" xfId="0" applyNumberFormat="1" applyFont="1" applyFill="1" applyBorder="1"/>
    <xf numFmtId="3" fontId="10" fillId="4" borderId="5" xfId="0" applyNumberFormat="1" applyFont="1" applyFill="1" applyBorder="1"/>
    <xf numFmtId="3" fontId="10" fillId="4" borderId="7" xfId="0" applyNumberFormat="1" applyFont="1" applyFill="1" applyBorder="1"/>
    <xf numFmtId="0" fontId="2" fillId="0" borderId="1" xfId="0" applyFont="1" applyBorder="1" applyAlignment="1">
      <alignment horizontal="centerContinuous"/>
    </xf>
    <xf numFmtId="0" fontId="2" fillId="0" borderId="3" xfId="0" applyFont="1" applyBorder="1" applyAlignment="1">
      <alignment horizontal="centerContinuous"/>
    </xf>
    <xf numFmtId="0" fontId="2" fillId="0" borderId="35" xfId="0" applyFont="1" applyBorder="1" applyAlignment="1">
      <alignment horizontal="centerContinuous"/>
    </xf>
    <xf numFmtId="4" fontId="12" fillId="4" borderId="8" xfId="0" applyNumberFormat="1" applyFont="1" applyFill="1" applyBorder="1"/>
    <xf numFmtId="4" fontId="12" fillId="4" borderId="7" xfId="0" applyNumberFormat="1" applyFont="1" applyFill="1" applyBorder="1"/>
    <xf numFmtId="193" fontId="0" fillId="0" borderId="0" xfId="0" applyNumberFormat="1" applyAlignment="1"/>
    <xf numFmtId="0" fontId="25" fillId="4" borderId="27" xfId="0" applyFont="1" applyFill="1" applyBorder="1" applyAlignment="1">
      <alignment horizontal="center"/>
    </xf>
    <xf numFmtId="0" fontId="22" fillId="4" borderId="26" xfId="0" applyFont="1" applyFill="1" applyBorder="1" applyAlignment="1">
      <alignment horizontal="center"/>
    </xf>
    <xf numFmtId="0" fontId="25" fillId="4" borderId="25" xfId="0" applyFont="1" applyFill="1" applyBorder="1" applyAlignment="1">
      <alignment horizontal="center"/>
    </xf>
    <xf numFmtId="0" fontId="25" fillId="4" borderId="26" xfId="0" applyFont="1" applyFill="1" applyBorder="1" applyAlignment="1">
      <alignment horizontal="center"/>
    </xf>
    <xf numFmtId="193" fontId="9" fillId="0" borderId="17" xfId="0" applyNumberFormat="1" applyFont="1" applyFill="1" applyBorder="1"/>
    <xf numFmtId="193" fontId="9" fillId="0" borderId="69" xfId="0" applyNumberFormat="1" applyFont="1" applyFill="1" applyBorder="1"/>
    <xf numFmtId="193" fontId="9" fillId="0" borderId="11" xfId="0" applyNumberFormat="1" applyFont="1" applyFill="1" applyBorder="1"/>
    <xf numFmtId="4" fontId="0" fillId="0" borderId="43" xfId="0" quotePrefix="1" applyNumberFormat="1" applyBorder="1"/>
    <xf numFmtId="4" fontId="0" fillId="0" borderId="41" xfId="0" quotePrefix="1" applyNumberFormat="1" applyBorder="1"/>
    <xf numFmtId="0" fontId="0" fillId="0" borderId="67" xfId="0" applyBorder="1" applyAlignment="1">
      <alignment horizontal="center"/>
    </xf>
    <xf numFmtId="0" fontId="0" fillId="0" borderId="74" xfId="0" applyBorder="1" applyAlignment="1">
      <alignment horizontal="center"/>
    </xf>
    <xf numFmtId="0" fontId="0" fillId="0" borderId="22" xfId="0" applyBorder="1" applyAlignment="1">
      <alignment horizontal="center"/>
    </xf>
    <xf numFmtId="0" fontId="25" fillId="4" borderId="12" xfId="0" applyFont="1" applyFill="1" applyBorder="1" applyAlignment="1">
      <alignment horizontal="left"/>
    </xf>
    <xf numFmtId="17" fontId="2" fillId="0" borderId="0" xfId="0" applyNumberFormat="1" applyFont="1" applyBorder="1" applyAlignment="1">
      <alignment horizontal="center"/>
    </xf>
    <xf numFmtId="2" fontId="0" fillId="4" borderId="33" xfId="0" applyNumberFormat="1" applyFill="1" applyBorder="1"/>
    <xf numFmtId="0" fontId="2" fillId="0" borderId="34" xfId="0" applyFont="1" applyBorder="1" applyAlignment="1">
      <alignment horizontal="centerContinuous"/>
    </xf>
    <xf numFmtId="9" fontId="2" fillId="0" borderId="19" xfId="0" applyNumberFormat="1" applyFont="1" applyBorder="1" applyAlignment="1">
      <alignment horizontal="center"/>
    </xf>
    <xf numFmtId="9" fontId="2" fillId="0" borderId="24" xfId="0" applyNumberFormat="1" applyFont="1" applyBorder="1" applyAlignment="1">
      <alignment horizontal="center"/>
    </xf>
    <xf numFmtId="9" fontId="1" fillId="0" borderId="29" xfId="0" applyNumberFormat="1" applyFont="1" applyBorder="1" applyAlignment="1">
      <alignment horizontal="centerContinuous"/>
    </xf>
    <xf numFmtId="9" fontId="0" fillId="0" borderId="30" xfId="0" applyNumberFormat="1" applyBorder="1" applyAlignment="1">
      <alignment horizontal="centerContinuous"/>
    </xf>
    <xf numFmtId="9" fontId="0" fillId="0" borderId="38" xfId="0" applyNumberFormat="1" applyBorder="1" applyAlignment="1">
      <alignment horizontal="centerContinuous"/>
    </xf>
    <xf numFmtId="9" fontId="0" fillId="0" borderId="33" xfId="3" quotePrefix="1" applyNumberFormat="1" applyFont="1" applyBorder="1"/>
    <xf numFmtId="0" fontId="2" fillId="0" borderId="21" xfId="0" applyFont="1" applyBorder="1" applyAlignment="1">
      <alignment horizontal="centerContinuous"/>
    </xf>
    <xf numFmtId="0" fontId="2" fillId="0" borderId="1" xfId="0" applyFont="1" applyBorder="1" applyAlignment="1">
      <alignment horizontal="center"/>
    </xf>
    <xf numFmtId="0" fontId="2" fillId="0" borderId="6" xfId="0" applyFont="1" applyBorder="1" applyAlignment="1">
      <alignment horizontal="center"/>
    </xf>
    <xf numFmtId="3" fontId="2" fillId="0" borderId="5" xfId="0" applyNumberFormat="1" applyFont="1" applyBorder="1" applyAlignment="1">
      <alignment horizontal="right"/>
    </xf>
    <xf numFmtId="3" fontId="2" fillId="0" borderId="7" xfId="0" applyNumberFormat="1" applyFont="1" applyBorder="1" applyAlignment="1">
      <alignment horizontal="right"/>
    </xf>
    <xf numFmtId="3" fontId="0" fillId="0" borderId="33" xfId="0" applyNumberFormat="1" applyBorder="1"/>
    <xf numFmtId="3" fontId="0" fillId="0" borderId="47" xfId="0" applyNumberFormat="1" applyBorder="1"/>
    <xf numFmtId="3" fontId="0" fillId="0" borderId="65" xfId="0" quotePrefix="1" applyNumberFormat="1" applyBorder="1"/>
    <xf numFmtId="3" fontId="0" fillId="0" borderId="65" xfId="0" applyNumberFormat="1" applyBorder="1"/>
    <xf numFmtId="3" fontId="0" fillId="0" borderId="66" xfId="0" applyNumberFormat="1" applyBorder="1"/>
    <xf numFmtId="2" fontId="0" fillId="0" borderId="23" xfId="0" quotePrefix="1" applyNumberFormat="1" applyBorder="1"/>
    <xf numFmtId="2" fontId="0" fillId="0" borderId="33" xfId="0" quotePrefix="1" applyNumberFormat="1" applyBorder="1"/>
    <xf numFmtId="2" fontId="0" fillId="0" borderId="65" xfId="0" quotePrefix="1" applyNumberFormat="1" applyBorder="1"/>
    <xf numFmtId="2" fontId="0" fillId="0" borderId="65" xfId="0" applyNumberFormat="1" applyBorder="1"/>
    <xf numFmtId="2" fontId="0" fillId="0" borderId="66" xfId="0" applyNumberFormat="1" applyBorder="1"/>
    <xf numFmtId="3" fontId="2" fillId="0" borderId="28" xfId="0" applyNumberFormat="1" applyFont="1" applyBorder="1" applyAlignment="1">
      <alignment horizontal="center"/>
    </xf>
    <xf numFmtId="0" fontId="2" fillId="0" borderId="48" xfId="0" applyFont="1" applyBorder="1" applyAlignment="1">
      <alignment horizontal="centerContinuous"/>
    </xf>
    <xf numFmtId="0" fontId="2" fillId="0" borderId="77" xfId="0" applyFont="1" applyBorder="1" applyAlignment="1">
      <alignment horizontal="centerContinuous"/>
    </xf>
    <xf numFmtId="3" fontId="2" fillId="0" borderId="47" xfId="0" applyNumberFormat="1" applyFont="1" applyBorder="1" applyAlignment="1">
      <alignment horizontal="center"/>
    </xf>
    <xf numFmtId="0" fontId="2" fillId="0" borderId="3" xfId="0" applyFont="1" applyBorder="1" applyAlignment="1">
      <alignment horizontal="center"/>
    </xf>
    <xf numFmtId="3" fontId="2" fillId="0" borderId="4" xfId="0" applyNumberFormat="1" applyFont="1" applyBorder="1" applyAlignment="1">
      <alignment horizontal="right"/>
    </xf>
    <xf numFmtId="3" fontId="0" fillId="0" borderId="74" xfId="0" quotePrefix="1" applyNumberFormat="1" applyBorder="1"/>
    <xf numFmtId="2" fontId="0" fillId="0" borderId="74" xfId="0" quotePrefix="1" applyNumberFormat="1" applyBorder="1"/>
    <xf numFmtId="0" fontId="2" fillId="0" borderId="33" xfId="0" applyFont="1" applyBorder="1" applyAlignment="1">
      <alignment horizontal="left"/>
    </xf>
    <xf numFmtId="0" fontId="2" fillId="0" borderId="18" xfId="0" applyFont="1" applyBorder="1" applyAlignment="1">
      <alignment horizontal="center"/>
    </xf>
    <xf numFmtId="2" fontId="0" fillId="0" borderId="19" xfId="3" quotePrefix="1" applyNumberFormat="1" applyFont="1" applyBorder="1"/>
    <xf numFmtId="2" fontId="0" fillId="0" borderId="24" xfId="3" quotePrefix="1" applyNumberFormat="1" applyFont="1" applyBorder="1"/>
    <xf numFmtId="2" fontId="0" fillId="0" borderId="18" xfId="3" quotePrefix="1" applyNumberFormat="1" applyFont="1" applyBorder="1"/>
    <xf numFmtId="9" fontId="2" fillId="0" borderId="40" xfId="0" applyNumberFormat="1" applyFont="1" applyBorder="1" applyAlignment="1">
      <alignment horizontal="centerContinuous"/>
    </xf>
    <xf numFmtId="9" fontId="0" fillId="0" borderId="47" xfId="3" quotePrefix="1" applyNumberFormat="1" applyFont="1" applyBorder="1"/>
    <xf numFmtId="0" fontId="2" fillId="0" borderId="57" xfId="0" applyFont="1" applyBorder="1" applyAlignment="1">
      <alignment horizontal="center"/>
    </xf>
    <xf numFmtId="3" fontId="2" fillId="0" borderId="58" xfId="0" applyNumberFormat="1" applyFont="1" applyBorder="1" applyAlignment="1">
      <alignment horizontal="right"/>
    </xf>
    <xf numFmtId="49" fontId="2" fillId="0" borderId="18" xfId="0" applyNumberFormat="1" applyFont="1" applyBorder="1" applyAlignment="1">
      <alignment horizontal="center"/>
    </xf>
    <xf numFmtId="0" fontId="0" fillId="0" borderId="0" xfId="0" quotePrefix="1" applyAlignment="1"/>
    <xf numFmtId="0" fontId="25" fillId="0" borderId="14" xfId="0" applyFont="1" applyBorder="1" applyAlignment="1">
      <alignment horizontal="centerContinuous"/>
    </xf>
    <xf numFmtId="0" fontId="25" fillId="0" borderId="52" xfId="0" applyFont="1" applyBorder="1" applyAlignment="1">
      <alignment horizontal="centerContinuous"/>
    </xf>
    <xf numFmtId="0" fontId="25" fillId="0" borderId="15" xfId="0" applyFont="1" applyBorder="1" applyAlignment="1">
      <alignment horizontal="centerContinuous"/>
    </xf>
    <xf numFmtId="0" fontId="23" fillId="0" borderId="0" xfId="0" applyFont="1"/>
    <xf numFmtId="0" fontId="39" fillId="0" borderId="0" xfId="0" applyFont="1"/>
    <xf numFmtId="3" fontId="0" fillId="0" borderId="57" xfId="0" applyNumberFormat="1" applyBorder="1"/>
    <xf numFmtId="0" fontId="0" fillId="0" borderId="70" xfId="0" applyBorder="1" applyAlignment="1">
      <alignment horizontal="center"/>
    </xf>
    <xf numFmtId="0" fontId="0" fillId="0" borderId="77" xfId="0" applyBorder="1" applyAlignment="1">
      <alignment horizontal="center"/>
    </xf>
    <xf numFmtId="0" fontId="0" fillId="0" borderId="20" xfId="0" applyBorder="1" applyAlignment="1">
      <alignment horizontal="center"/>
    </xf>
    <xf numFmtId="0" fontId="0" fillId="0" borderId="23" xfId="0" applyBorder="1" applyAlignment="1">
      <alignment horizontal="center"/>
    </xf>
    <xf numFmtId="0" fontId="0" fillId="0" borderId="34" xfId="0" applyBorder="1" applyAlignment="1">
      <alignment horizontal="left"/>
    </xf>
    <xf numFmtId="0" fontId="25" fillId="0" borderId="34" xfId="0" applyFont="1" applyBorder="1" applyAlignment="1">
      <alignment horizontal="left"/>
    </xf>
    <xf numFmtId="0" fontId="25" fillId="0" borderId="36" xfId="0" applyFont="1" applyBorder="1" applyAlignment="1">
      <alignment horizontal="left"/>
    </xf>
    <xf numFmtId="0" fontId="32" fillId="4" borderId="76" xfId="0" applyFont="1" applyFill="1" applyBorder="1" applyAlignment="1">
      <alignment horizontal="center"/>
    </xf>
    <xf numFmtId="0" fontId="17" fillId="4" borderId="9" xfId="0" applyFont="1" applyFill="1" applyBorder="1" applyAlignment="1">
      <alignment horizontal="center"/>
    </xf>
    <xf numFmtId="49" fontId="1" fillId="4" borderId="3" xfId="0" applyNumberFormat="1" applyFont="1" applyFill="1" applyBorder="1" applyAlignment="1">
      <alignment horizontal="center"/>
    </xf>
    <xf numFmtId="49" fontId="1" fillId="4" borderId="4" xfId="0" applyNumberFormat="1" applyFont="1" applyFill="1" applyBorder="1" applyAlignment="1">
      <alignment horizontal="center"/>
    </xf>
    <xf numFmtId="0" fontId="2" fillId="0" borderId="0" xfId="0" applyFont="1" applyFill="1" applyBorder="1" applyAlignment="1">
      <alignment horizontal="center"/>
    </xf>
    <xf numFmtId="17" fontId="13" fillId="0" borderId="0" xfId="0" applyNumberFormat="1" applyFont="1" applyFill="1" applyBorder="1"/>
    <xf numFmtId="43" fontId="13" fillId="0" borderId="0" xfId="1" applyFont="1" applyFill="1" applyBorder="1" applyAlignment="1" applyProtection="1">
      <alignment horizontal="centerContinuous"/>
      <protection locked="0"/>
    </xf>
    <xf numFmtId="0" fontId="13" fillId="0" borderId="0" xfId="0" applyFont="1" applyFill="1" applyBorder="1" applyAlignment="1">
      <alignment horizontal="centerContinuous"/>
    </xf>
    <xf numFmtId="0" fontId="13" fillId="0" borderId="0" xfId="0" applyFont="1" applyFill="1" applyBorder="1"/>
    <xf numFmtId="0" fontId="11" fillId="0" borderId="0" xfId="0" applyFont="1" applyFill="1" applyBorder="1" applyAlignment="1">
      <alignment horizontal="centerContinuous"/>
    </xf>
    <xf numFmtId="0" fontId="13" fillId="0" borderId="0" xfId="0" applyFont="1" applyFill="1" applyBorder="1" applyAlignment="1">
      <alignment horizontal="center"/>
    </xf>
    <xf numFmtId="187" fontId="14" fillId="0" borderId="0" xfId="0" applyNumberFormat="1" applyFont="1" applyFill="1" applyBorder="1" applyAlignment="1" applyProtection="1">
      <alignment horizontal="centerContinuous"/>
      <protection locked="0"/>
    </xf>
    <xf numFmtId="164" fontId="11" fillId="0" borderId="0" xfId="0" applyNumberFormat="1" applyFont="1" applyFill="1" applyBorder="1" applyAlignment="1" applyProtection="1">
      <alignment horizontal="centerContinuous"/>
    </xf>
    <xf numFmtId="175" fontId="13" fillId="0" borderId="0" xfId="0" applyNumberFormat="1" applyFont="1" applyFill="1" applyBorder="1" applyAlignment="1" applyProtection="1">
      <alignment horizontal="center"/>
    </xf>
    <xf numFmtId="43" fontId="13" fillId="0" borderId="0" xfId="1" applyFont="1" applyFill="1" applyBorder="1" applyAlignment="1">
      <alignment horizontal="center"/>
    </xf>
    <xf numFmtId="164" fontId="3" fillId="0" borderId="0" xfId="0" applyNumberFormat="1" applyFont="1" applyFill="1" applyProtection="1"/>
    <xf numFmtId="0" fontId="3" fillId="0" borderId="0" xfId="0" applyFont="1" applyFill="1" applyProtection="1"/>
    <xf numFmtId="0" fontId="0" fillId="0" borderId="0" xfId="0" applyFill="1" applyProtection="1"/>
    <xf numFmtId="0" fontId="0" fillId="0" borderId="0" xfId="0" applyFill="1" applyBorder="1" applyAlignment="1" applyProtection="1">
      <alignment horizontal="left"/>
    </xf>
    <xf numFmtId="0" fontId="2" fillId="0" borderId="0" xfId="0" applyFont="1" applyFill="1" applyBorder="1" applyAlignment="1">
      <alignment horizontal="left"/>
    </xf>
    <xf numFmtId="14" fontId="11" fillId="0" borderId="0" xfId="0" applyNumberFormat="1" applyFont="1" applyFill="1" applyBorder="1" applyAlignment="1">
      <alignment horizontal="center"/>
    </xf>
    <xf numFmtId="0" fontId="35" fillId="0" borderId="0" xfId="0" applyFont="1" applyFill="1" applyBorder="1" applyProtection="1">
      <protection locked="0"/>
    </xf>
    <xf numFmtId="14" fontId="11" fillId="0" borderId="0" xfId="0" applyNumberFormat="1" applyFont="1" applyFill="1" applyBorder="1" applyProtection="1"/>
    <xf numFmtId="43" fontId="13" fillId="0" borderId="0" xfId="0" applyNumberFormat="1" applyFont="1" applyFill="1" applyBorder="1"/>
    <xf numFmtId="2" fontId="0" fillId="0" borderId="0" xfId="0" applyNumberFormat="1" applyFill="1" applyBorder="1"/>
    <xf numFmtId="43" fontId="11" fillId="0" borderId="0" xfId="0" applyNumberFormat="1" applyFont="1" applyFill="1" applyBorder="1"/>
    <xf numFmtId="176" fontId="14" fillId="0" borderId="0" xfId="0" applyNumberFormat="1" applyFont="1" applyFill="1" applyBorder="1" applyProtection="1">
      <protection locked="0"/>
    </xf>
    <xf numFmtId="10" fontId="0" fillId="0" borderId="0" xfId="0" applyNumberFormat="1" applyFill="1" applyBorder="1"/>
    <xf numFmtId="10" fontId="11" fillId="0" borderId="0" xfId="0" applyNumberFormat="1" applyFont="1" applyFill="1" applyBorder="1"/>
    <xf numFmtId="43" fontId="0" fillId="0" borderId="0" xfId="0" applyNumberFormat="1" applyFill="1" applyBorder="1"/>
    <xf numFmtId="0" fontId="21" fillId="0" borderId="0" xfId="0" applyFont="1" applyFill="1" applyBorder="1" applyProtection="1"/>
    <xf numFmtId="0" fontId="3" fillId="0" borderId="0" xfId="0" applyFont="1" applyFill="1" applyBorder="1" applyProtection="1"/>
    <xf numFmtId="175" fontId="1" fillId="0" borderId="0" xfId="0" applyNumberFormat="1" applyFont="1" applyFill="1" applyBorder="1" applyProtection="1"/>
    <xf numFmtId="0" fontId="0" fillId="0" borderId="26" xfId="0" applyBorder="1"/>
    <xf numFmtId="0" fontId="11" fillId="0" borderId="49" xfId="0" applyFont="1" applyFill="1" applyBorder="1" applyAlignment="1" applyProtection="1">
      <alignment horizontal="left"/>
      <protection locked="0"/>
    </xf>
    <xf numFmtId="0" fontId="11" fillId="0" borderId="68" xfId="0" applyFont="1" applyFill="1" applyBorder="1" applyAlignment="1" applyProtection="1">
      <alignment horizontal="center"/>
      <protection locked="0"/>
    </xf>
    <xf numFmtId="0" fontId="40" fillId="0" borderId="0" xfId="0" applyFont="1"/>
    <xf numFmtId="14" fontId="0" fillId="0" borderId="0" xfId="0" applyNumberFormat="1" applyFill="1" applyBorder="1"/>
    <xf numFmtId="0" fontId="20" fillId="0" borderId="0" xfId="0" applyFont="1"/>
    <xf numFmtId="0" fontId="0" fillId="0" borderId="0" xfId="0" applyAlignment="1">
      <alignment horizontal="center" wrapText="1"/>
    </xf>
    <xf numFmtId="0" fontId="0" fillId="0" borderId="0" xfId="0" applyAlignment="1">
      <alignment wrapText="1"/>
    </xf>
    <xf numFmtId="0" fontId="0" fillId="0" borderId="0" xfId="0" applyAlignment="1">
      <alignment horizontal="center"/>
    </xf>
    <xf numFmtId="228" fontId="0" fillId="0" borderId="0" xfId="0" applyNumberFormat="1"/>
    <xf numFmtId="0" fontId="25" fillId="0" borderId="43" xfId="0" applyFont="1" applyBorder="1" applyAlignment="1">
      <alignment horizontal="center"/>
    </xf>
    <xf numFmtId="2" fontId="25" fillId="0" borderId="42" xfId="0" applyNumberFormat="1" applyFont="1" applyBorder="1"/>
    <xf numFmtId="0" fontId="25" fillId="0" borderId="48" xfId="0" applyFont="1" applyBorder="1" applyAlignment="1">
      <alignment horizontal="center"/>
    </xf>
    <xf numFmtId="2" fontId="25" fillId="0" borderId="77" xfId="0" applyNumberFormat="1" applyFont="1" applyBorder="1"/>
    <xf numFmtId="2" fontId="0" fillId="0" borderId="0" xfId="0" applyNumberFormat="1" applyAlignment="1">
      <alignment horizontal="center"/>
    </xf>
    <xf numFmtId="0" fontId="25" fillId="0" borderId="0" xfId="0" applyFont="1" applyAlignment="1">
      <alignment horizontal="center"/>
    </xf>
    <xf numFmtId="0" fontId="1" fillId="0" borderId="29" xfId="0" applyFont="1" applyBorder="1" applyAlignment="1">
      <alignment horizontal="center"/>
    </xf>
    <xf numFmtId="0" fontId="0" fillId="0" borderId="43" xfId="0" applyBorder="1"/>
    <xf numFmtId="0" fontId="0" fillId="0" borderId="42" xfId="0" applyBorder="1"/>
    <xf numFmtId="0" fontId="0" fillId="0" borderId="48" xfId="0" applyBorder="1"/>
    <xf numFmtId="0" fontId="0" fillId="0" borderId="77" xfId="0" applyBorder="1"/>
    <xf numFmtId="229" fontId="0" fillId="0" borderId="0" xfId="0" applyNumberFormat="1"/>
    <xf numFmtId="229" fontId="0" fillId="0" borderId="0" xfId="0" quotePrefix="1" applyNumberFormat="1" applyBorder="1"/>
    <xf numFmtId="229" fontId="0" fillId="0" borderId="0" xfId="0" applyNumberFormat="1" applyBorder="1"/>
    <xf numFmtId="229" fontId="0" fillId="0" borderId="28" xfId="0" applyNumberFormat="1" applyBorder="1"/>
    <xf numFmtId="229" fontId="0" fillId="0" borderId="28" xfId="0" quotePrefix="1" applyNumberFormat="1" applyBorder="1"/>
    <xf numFmtId="229" fontId="0" fillId="0" borderId="0" xfId="0" quotePrefix="1" applyNumberFormat="1"/>
    <xf numFmtId="8" fontId="6" fillId="0" borderId="0" xfId="2" applyNumberFormat="1" applyFont="1"/>
    <xf numFmtId="0" fontId="25" fillId="0" borderId="0" xfId="0" applyFont="1"/>
    <xf numFmtId="8" fontId="0" fillId="0" borderId="0" xfId="0" applyNumberFormat="1"/>
    <xf numFmtId="0" fontId="44" fillId="0" borderId="0" xfId="0" applyFont="1"/>
    <xf numFmtId="8" fontId="25" fillId="0" borderId="0" xfId="0" applyNumberFormat="1" applyFont="1"/>
    <xf numFmtId="40" fontId="0" fillId="0" borderId="0" xfId="0" applyNumberFormat="1"/>
    <xf numFmtId="40" fontId="25" fillId="0" borderId="0" xfId="0" applyNumberFormat="1" applyFont="1" applyAlignment="1">
      <alignment horizontal="center"/>
    </xf>
    <xf numFmtId="228" fontId="25" fillId="0" borderId="0" xfId="0" applyNumberFormat="1" applyFont="1" applyAlignment="1">
      <alignment horizontal="center"/>
    </xf>
    <xf numFmtId="40" fontId="25" fillId="0" borderId="0" xfId="0" applyNumberFormat="1" applyFont="1"/>
  </cellXfs>
  <cellStyles count="4">
    <cellStyle name="Comma" xfId="1" builtinId="3"/>
    <cellStyle name="Currency" xfId="2" builtinId="4"/>
    <cellStyle name="Normal" xfId="0" builtinId="0"/>
    <cellStyle name="Percent" xfId="3" builtinId="5"/>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trlProps/ctrlProp1.xml><?xml version="1.0" encoding="utf-8"?>
<formControlPr xmlns="http://schemas.microsoft.com/office/spreadsheetml/2009/9/main" objectType="Drop" dropLines="40" dropStyle="combo" dx="26" fmlaLink="$BE$18" fmlaRange="BD20:BD53" sel="1" val="0"/>
</file>

<file path=xl/ctrlProps/ctrlProp2.xml><?xml version="1.0" encoding="utf-8"?>
<formControlPr xmlns="http://schemas.microsoft.com/office/spreadsheetml/2009/9/main" objectType="Drop" dropLines="40" dropStyle="combo" dx="26" fmlaLink="$BH$13" fmlaRange="$BG$15:$BG$45" sel="1" val="0"/>
</file>

<file path=xl/ctrlProps/ctrlProp3.xml><?xml version="1.0" encoding="utf-8"?>
<formControlPr xmlns="http://schemas.microsoft.com/office/spreadsheetml/2009/9/main" objectType="CheckBox" checked="Checked" fmlaLink="$BD$13" lockText="1"/>
</file>

<file path=xl/ctrlProps/ctrlProp4.xml><?xml version="1.0" encoding="utf-8"?>
<formControlPr xmlns="http://schemas.microsoft.com/office/spreadsheetml/2009/9/main" objectType="CheckBox" checked="Checked" fmlaLink="$BD$14" lockText="1"/>
</file>

<file path=xl/ctrlProps/ctrlProp5.xml><?xml version="1.0" encoding="utf-8"?>
<formControlPr xmlns="http://schemas.microsoft.com/office/spreadsheetml/2009/9/main" objectType="CheckBox" checked="Checked" fmlaLink="$BD$15" lockText="1"/>
</file>

<file path=xl/ctrlProps/ctrlProp6.xml><?xml version="1.0" encoding="utf-8"?>
<formControlPr xmlns="http://schemas.microsoft.com/office/spreadsheetml/2009/9/main" objectType="CheckBox" checked="Checked" fmlaLink="$BD$16" lockText="1"/>
</file>

<file path=xl/ctrlProps/ctrlProp7.xml><?xml version="1.0" encoding="utf-8"?>
<formControlPr xmlns="http://schemas.microsoft.com/office/spreadsheetml/2009/9/main" objectType="Drop" dropLines="4" dropStyle="combo" dx="26" fmlaLink="$BE$13" fmlaRange="$BJ$22:$BJ$25" sel="4" val="0"/>
</file>

<file path=xl/ctrlProps/ctrlProp8.xml><?xml version="1.0" encoding="utf-8"?>
<formControlPr xmlns="http://schemas.microsoft.com/office/spreadsheetml/2009/9/main" objectType="Drop" dropLines="4" dropStyle="combo" dx="26" fmlaLink="$BE$14" fmlaRange="$BJ$22:$BJ$25" sel="4" val="0"/>
</file>

<file path=xl/ctrlProps/ctrlProp9.xml><?xml version="1.0" encoding="utf-8"?>
<formControlPr xmlns="http://schemas.microsoft.com/office/spreadsheetml/2009/9/main" objectType="Drop" dropLines="4" dropStyle="combo" dx="26" fmlaLink="$BE$15" fmlaRange="$BJ$22:$BJ$25" sel="4" val="0"/>
</file>

<file path=xl/ctrlProps/ctrlProp10.xml><?xml version="1.0" encoding="utf-8"?>
<formControlPr xmlns="http://schemas.microsoft.com/office/spreadsheetml/2009/9/main" objectType="Drop" dropLines="4" dropStyle="combo" dx="26" fmlaLink="$BE$16" fmlaRange="$BJ$22:$BJ$25" sel="4" val="0"/>
</file>

<file path=xl/ctrlProps/ctrlProp11.xml><?xml version="1.0" encoding="utf-8"?>
<formControlPr xmlns="http://schemas.microsoft.com/office/spreadsheetml/2009/9/main" objectType="Drop" dropStyle="combo" dx="26" fmlaLink="$BC$4" fmlaRange="$BJ$13:$BJ$20" sel="1" val="0"/>
</file>

<file path=xl/ctrlProps/ctrlProp12.xml><?xml version="1.0" encoding="utf-8"?>
<formControlPr xmlns="http://schemas.microsoft.com/office/spreadsheetml/2009/9/main" objectType="CheckBox" fmlaLink="$AZ$4" lockText="1"/>
</file>

<file path=xl/ctrlProps/ctrlProp13.xml><?xml version="1.0" encoding="utf-8"?>
<formControlPr xmlns="http://schemas.microsoft.com/office/spreadsheetml/2009/9/main" objectType="Radio" checked="Checked" firstButton="1" fmlaLink="$AZ$6" lockText="1"/>
</file>

<file path=xl/ctrlProps/ctrlProp14.xml><?xml version="1.0" encoding="utf-8"?>
<formControlPr xmlns="http://schemas.microsoft.com/office/spreadsheetml/2009/9/main" objectType="Radio" lockText="1"/>
</file>

<file path=xl/ctrlProps/ctrlProp15.xml><?xml version="1.0" encoding="utf-8"?>
<formControlPr xmlns="http://schemas.microsoft.com/office/spreadsheetml/2009/9/main" objectType="GBox" noThreeD="1"/>
</file>

<file path=xl/ctrlProps/ctrlProp16.xml><?xml version="1.0" encoding="utf-8"?>
<formControlPr xmlns="http://schemas.microsoft.com/office/spreadsheetml/2009/9/main" objectType="Radio" firstButton="1" fmlaLink="$AZ$9" lockText="1"/>
</file>

<file path=xl/ctrlProps/ctrlProp17.xml><?xml version="1.0" encoding="utf-8"?>
<formControlPr xmlns="http://schemas.microsoft.com/office/spreadsheetml/2009/9/main" objectType="Radio" lockText="1"/>
</file>

<file path=xl/ctrlProps/ctrlProp18.xml><?xml version="1.0" encoding="utf-8"?>
<formControlPr xmlns="http://schemas.microsoft.com/office/spreadsheetml/2009/9/main" objectType="Radio" lockText="1"/>
</file>

<file path=xl/ctrlProps/ctrlProp19.xml><?xml version="1.0" encoding="utf-8"?>
<formControlPr xmlns="http://schemas.microsoft.com/office/spreadsheetml/2009/9/main" objectType="GBox" noThreeD="1"/>
</file>

<file path=xl/ctrlProps/ctrlProp20.xml><?xml version="1.0" encoding="utf-8"?>
<formControlPr xmlns="http://schemas.microsoft.com/office/spreadsheetml/2009/9/main" objectType="CheckBox" fmlaLink="$AZ$10" lockText="1"/>
</file>

<file path=xl/ctrlProps/ctrlProp21.xml><?xml version="1.0" encoding="utf-8"?>
<formControlPr xmlns="http://schemas.microsoft.com/office/spreadsheetml/2009/9/main" objectType="Radio" checked="Checked" firstButton="1" fmlaLink="$AZ$7" lockText="1"/>
</file>

<file path=xl/ctrlProps/ctrlProp22.xml><?xml version="1.0" encoding="utf-8"?>
<formControlPr xmlns="http://schemas.microsoft.com/office/spreadsheetml/2009/9/main" objectType="GBox" noThreeD="1"/>
</file>

<file path=xl/ctrlProps/ctrlProp23.xml><?xml version="1.0" encoding="utf-8"?>
<formControlPr xmlns="http://schemas.microsoft.com/office/spreadsheetml/2009/9/main" objectType="Radio" firstButton="1" fmlaLink="$BA$11" lockText="1"/>
</file>

<file path=xl/ctrlProps/ctrlProp24.xml><?xml version="1.0" encoding="utf-8"?>
<formControlPr xmlns="http://schemas.microsoft.com/office/spreadsheetml/2009/9/main" objectType="Radio" checked="Checked" lockText="1"/>
</file>

<file path=xl/ctrlProps/ctrlProp25.xml><?xml version="1.0" encoding="utf-8"?>
<formControlPr xmlns="http://schemas.microsoft.com/office/spreadsheetml/2009/9/main" objectType="GBox" noThreeD="1"/>
</file>

<file path=xl/ctrlProps/ctrlProp26.xml><?xml version="1.0" encoding="utf-8"?>
<formControlPr xmlns="http://schemas.microsoft.com/office/spreadsheetml/2009/9/main" objectType="Radio" checked="Checked" firstButton="1" fmlaLink="$BA$13" lockText="1"/>
</file>

<file path=xl/ctrlProps/ctrlProp27.xml><?xml version="1.0" encoding="utf-8"?>
<formControlPr xmlns="http://schemas.microsoft.com/office/spreadsheetml/2009/9/main" objectType="Radio" lockText="1"/>
</file>

<file path=xl/ctrlProps/ctrlProp28.xml><?xml version="1.0" encoding="utf-8"?>
<formControlPr xmlns="http://schemas.microsoft.com/office/spreadsheetml/2009/9/main" objectType="GBox" noThreeD="1"/>
</file>

<file path=xl/ctrlProps/ctrlProp29.xml><?xml version="1.0" encoding="utf-8"?>
<formControlPr xmlns="http://schemas.microsoft.com/office/spreadsheetml/2009/9/main" objectType="GBox" noThreeD="1"/>
</file>

<file path=xl/ctrlProps/ctrlProp30.xml><?xml version="1.0" encoding="utf-8"?>
<formControlPr xmlns="http://schemas.microsoft.com/office/spreadsheetml/2009/9/main" objectType="Radio" firstButton="1" fmlaLink="$BA$12" lockText="1"/>
</file>

<file path=xl/ctrlProps/ctrlProp31.xml><?xml version="1.0" encoding="utf-8"?>
<formControlPr xmlns="http://schemas.microsoft.com/office/spreadsheetml/2009/9/main" objectType="Radio" checked="Checked" lockText="1"/>
</file>

<file path=xl/ctrlProps/ctrlProp32.xml><?xml version="1.0" encoding="utf-8"?>
<formControlPr xmlns="http://schemas.microsoft.com/office/spreadsheetml/2009/9/main" objectType="GBox" noThreeD="1"/>
</file>

<file path=xl/ctrlProps/ctrlProp33.xml><?xml version="1.0" encoding="utf-8"?>
<formControlPr xmlns="http://schemas.microsoft.com/office/spreadsheetml/2009/9/main" objectType="Radio" checked="Checked" firstButton="1" fmlaLink="$BA$14" lockText="1"/>
</file>

<file path=xl/ctrlProps/ctrlProp34.xml><?xml version="1.0" encoding="utf-8"?>
<formControlPr xmlns="http://schemas.microsoft.com/office/spreadsheetml/2009/9/main" objectType="Radio" lockText="1"/>
</file>

<file path=xl/ctrlProps/ctrlProp35.xml><?xml version="1.0" encoding="utf-8"?>
<formControlPr xmlns="http://schemas.microsoft.com/office/spreadsheetml/2009/9/main" objectType="GBox" noThreeD="1"/>
</file>

<file path=xl/ctrlProps/ctrlProp36.xml><?xml version="1.0" encoding="utf-8"?>
<formControlPr xmlns="http://schemas.microsoft.com/office/spreadsheetml/2009/9/main" objectType="GBox" noThreeD="1"/>
</file>

<file path=xl/ctrlProps/ctrlProp37.xml><?xml version="1.0" encoding="utf-8"?>
<formControlPr xmlns="http://schemas.microsoft.com/office/spreadsheetml/2009/9/main" objectType="GBox" noThreeD="1"/>
</file>

<file path=xl/ctrlProps/ctrlProp38.xml><?xml version="1.0" encoding="utf-8"?>
<formControlPr xmlns="http://schemas.microsoft.com/office/spreadsheetml/2009/9/main" objectType="GBox" noThreeD="1"/>
</file>

<file path=xl/ctrlProps/ctrlProp39.xml><?xml version="1.0" encoding="utf-8"?>
<formControlPr xmlns="http://schemas.microsoft.com/office/spreadsheetml/2009/9/main" objectType="GBox" noThreeD="1"/>
</file>

<file path=xl/ctrlProps/ctrlProp40.xml><?xml version="1.0" encoding="utf-8"?>
<formControlPr xmlns="http://schemas.microsoft.com/office/spreadsheetml/2009/9/main" objectType="Radio" firstButton="1" fmlaLink="$BA$15" lockText="1"/>
</file>

<file path=xl/ctrlProps/ctrlProp41.xml><?xml version="1.0" encoding="utf-8"?>
<formControlPr xmlns="http://schemas.microsoft.com/office/spreadsheetml/2009/9/main" objectType="Radio" checked="Checked" lockText="1"/>
</file>

<file path=xl/ctrlProps/ctrlProp42.xml><?xml version="1.0" encoding="utf-8"?>
<formControlPr xmlns="http://schemas.microsoft.com/office/spreadsheetml/2009/9/main" objectType="Radio" checked="Checked" firstButton="1" fmlaLink="$BA$16" lockText="1"/>
</file>

<file path=xl/ctrlProps/ctrlProp43.xml><?xml version="1.0" encoding="utf-8"?>
<formControlPr xmlns="http://schemas.microsoft.com/office/spreadsheetml/2009/9/main" objectType="Radio" lockText="1"/>
</file>

<file path=xl/ctrlProps/ctrlProp44.xml><?xml version="1.0" encoding="utf-8"?>
<formControlPr xmlns="http://schemas.microsoft.com/office/spreadsheetml/2009/9/main" objectType="Radio" checked="Checked" firstButton="1" fmlaLink="$BA$17" lockText="1"/>
</file>

<file path=xl/ctrlProps/ctrlProp45.xml><?xml version="1.0" encoding="utf-8"?>
<formControlPr xmlns="http://schemas.microsoft.com/office/spreadsheetml/2009/9/main" objectType="Radio" lockText="1"/>
</file>

<file path=xl/ctrlProps/ctrlProp46.xml><?xml version="1.0" encoding="utf-8"?>
<formControlPr xmlns="http://schemas.microsoft.com/office/spreadsheetml/2009/9/main" objectType="Radio" checked="Checked" firstButton="1" fmlaLink="$BA$18" lockText="1"/>
</file>

<file path=xl/ctrlProps/ctrlProp47.xml><?xml version="1.0" encoding="utf-8"?>
<formControlPr xmlns="http://schemas.microsoft.com/office/spreadsheetml/2009/9/main" objectType="Radio" lockText="1"/>
</file>

<file path=xl/ctrlProps/ctrlProp48.xml><?xml version="1.0" encoding="utf-8"?>
<formControlPr xmlns="http://schemas.microsoft.com/office/spreadsheetml/2009/9/main" objectType="Radio" firstButton="1" fmlaLink="$BA$19" lockText="1"/>
</file>

<file path=xl/ctrlProps/ctrlProp49.xml><?xml version="1.0" encoding="utf-8"?>
<formControlPr xmlns="http://schemas.microsoft.com/office/spreadsheetml/2009/9/main" objectType="Radio" lockText="1"/>
</file>

<file path=xl/ctrlProps/ctrlProp50.xml><?xml version="1.0" encoding="utf-8"?>
<formControlPr xmlns="http://schemas.microsoft.com/office/spreadsheetml/2009/9/main" objectType="Radio" firstButton="1" fmlaLink="$BA$20" lockText="1"/>
</file>

<file path=xl/ctrlProps/ctrlProp51.xml><?xml version="1.0" encoding="utf-8"?>
<formControlPr xmlns="http://schemas.microsoft.com/office/spreadsheetml/2009/9/main" objectType="Radio" lockText="1"/>
</file>

<file path=xl/ctrlProps/ctrlProp52.xml><?xml version="1.0" encoding="utf-8"?>
<formControlPr xmlns="http://schemas.microsoft.com/office/spreadsheetml/2009/9/main" objectType="Radio" checked="Checked" lockText="1"/>
</file>

<file path=xl/ctrlProps/ctrlProp53.xml><?xml version="1.0" encoding="utf-8"?>
<formControlPr xmlns="http://schemas.microsoft.com/office/spreadsheetml/2009/9/main" objectType="Radio" lockText="1"/>
</file>

<file path=xl/ctrlProps/ctrlProp54.xml><?xml version="1.0" encoding="utf-8"?>
<formControlPr xmlns="http://schemas.microsoft.com/office/spreadsheetml/2009/9/main" objectType="Button" lockText="1"/>
</file>

<file path=xl/ctrlProps/ctrlProp55.xml><?xml version="1.0" encoding="utf-8"?>
<formControlPr xmlns="http://schemas.microsoft.com/office/spreadsheetml/2009/9/main" objectType="Radio" firstButton="1" fmlaLink="$BA$21" lockText="1"/>
</file>

<file path=xl/ctrlProps/ctrlProp56.xml><?xml version="1.0" encoding="utf-8"?>
<formControlPr xmlns="http://schemas.microsoft.com/office/spreadsheetml/2009/9/main" objectType="Radio" checked="Checked" lockText="1"/>
</file>

<file path=xl/ctrlProps/ctrlProp57.xml><?xml version="1.0" encoding="utf-8"?>
<formControlPr xmlns="http://schemas.microsoft.com/office/spreadsheetml/2009/9/main" objectType="Radio" checked="Checked" firstButton="1" fmlaLink="$BA$22" lockText="1"/>
</file>

<file path=xl/ctrlProps/ctrlProp58.xml><?xml version="1.0" encoding="utf-8"?>
<formControlPr xmlns="http://schemas.microsoft.com/office/spreadsheetml/2009/9/main" objectType="Radio" lockText="1"/>
</file>

<file path=xl/ctrlProps/ctrlProp59.xml><?xml version="1.0" encoding="utf-8"?>
<formControlPr xmlns="http://schemas.microsoft.com/office/spreadsheetml/2009/9/main" objectType="Radio" firstButton="1" fmlaLink="$BA$24" lockText="1"/>
</file>

<file path=xl/ctrlProps/ctrlProp60.xml><?xml version="1.0" encoding="utf-8"?>
<formControlPr xmlns="http://schemas.microsoft.com/office/spreadsheetml/2009/9/main" objectType="Radio" lockText="1"/>
</file>

<file path=xl/ctrlProps/ctrlProp61.xml><?xml version="1.0" encoding="utf-8"?>
<formControlPr xmlns="http://schemas.microsoft.com/office/spreadsheetml/2009/9/main" objectType="Radio" checked="Checked" firstButton="1" fmlaLink="$BA$25" lockText="1"/>
</file>

<file path=xl/ctrlProps/ctrlProp62.xml><?xml version="1.0" encoding="utf-8"?>
<formControlPr xmlns="http://schemas.microsoft.com/office/spreadsheetml/2009/9/main" objectType="Radio" lockText="1"/>
</file>

<file path=xl/ctrlProps/ctrlProp63.xml><?xml version="1.0" encoding="utf-8"?>
<formControlPr xmlns="http://schemas.microsoft.com/office/spreadsheetml/2009/9/main" objectType="Radio" checked="Checked" firstButton="1" fmlaLink="$BA$26" lockText="1"/>
</file>

<file path=xl/ctrlProps/ctrlProp64.xml><?xml version="1.0" encoding="utf-8"?>
<formControlPr xmlns="http://schemas.microsoft.com/office/spreadsheetml/2009/9/main" objectType="Radio" lockText="1"/>
</file>

<file path=xl/ctrlProps/ctrlProp65.xml><?xml version="1.0" encoding="utf-8"?>
<formControlPr xmlns="http://schemas.microsoft.com/office/spreadsheetml/2009/9/main" objectType="Radio" lockText="1"/>
</file>

<file path=xl/ctrlProps/ctrlProp66.xml><?xml version="1.0" encoding="utf-8"?>
<formControlPr xmlns="http://schemas.microsoft.com/office/spreadsheetml/2009/9/main" objectType="Radio" checked="Checked" firstButton="1" fmlaLink="$BA$27" lockText="1"/>
</file>

<file path=xl/ctrlProps/ctrlProp67.xml><?xml version="1.0" encoding="utf-8"?>
<formControlPr xmlns="http://schemas.microsoft.com/office/spreadsheetml/2009/9/main" objectType="Radio" lockText="1"/>
</file>

<file path=xl/ctrlProps/ctrlProp68.xml><?xml version="1.0" encoding="utf-8"?>
<formControlPr xmlns="http://schemas.microsoft.com/office/spreadsheetml/2009/9/main" objectType="Radio" checked="Checked" firstButton="1" fmlaLink="$BA$28" lockText="1"/>
</file>

<file path=xl/ctrlProps/ctrlProp69.xml><?xml version="1.0" encoding="utf-8"?>
<formControlPr xmlns="http://schemas.microsoft.com/office/spreadsheetml/2009/9/main" objectType="Radio" lockText="1"/>
</file>

<file path=xl/ctrlProps/ctrlProp70.xml><?xml version="1.0" encoding="utf-8"?>
<formControlPr xmlns="http://schemas.microsoft.com/office/spreadsheetml/2009/9/main" objectType="Button" lockText="1"/>
</file>

<file path=xl/ctrlProps/ctrlProp71.xml><?xml version="1.0" encoding="utf-8"?>
<formControlPr xmlns="http://schemas.microsoft.com/office/spreadsheetml/2009/9/main" objectType="GBox" noThreeD="1"/>
</file>

<file path=xl/ctrlProps/ctrlProp72.xml><?xml version="1.0" encoding="utf-8"?>
<formControlPr xmlns="http://schemas.microsoft.com/office/spreadsheetml/2009/9/main" objectType="GBox" noThreeD="1"/>
</file>

<file path=xl/ctrlProps/ctrlProp73.xml><?xml version="1.0" encoding="utf-8"?>
<formControlPr xmlns="http://schemas.microsoft.com/office/spreadsheetml/2009/9/main" objectType="GBox" noThreeD="1"/>
</file>

<file path=xl/ctrlProps/ctrlProp74.xml><?xml version="1.0" encoding="utf-8"?>
<formControlPr xmlns="http://schemas.microsoft.com/office/spreadsheetml/2009/9/main" objectType="GBox" noThreeD="1"/>
</file>

<file path=xl/ctrlProps/ctrlProp75.xml><?xml version="1.0" encoding="utf-8"?>
<formControlPr xmlns="http://schemas.microsoft.com/office/spreadsheetml/2009/9/main" objectType="GBox" noThreeD="1"/>
</file>

<file path=xl/ctrlProps/ctrlProp76.xml><?xml version="1.0" encoding="utf-8"?>
<formControlPr xmlns="http://schemas.microsoft.com/office/spreadsheetml/2009/9/main" objectType="GBox" noThreeD="1"/>
</file>

<file path=xl/ctrlProps/ctrlProp77.xml><?xml version="1.0" encoding="utf-8"?>
<formControlPr xmlns="http://schemas.microsoft.com/office/spreadsheetml/2009/9/main" objectType="GBox" noThreeD="1"/>
</file>

<file path=xl/ctrlProps/ctrlProp78.xml><?xml version="1.0" encoding="utf-8"?>
<formControlPr xmlns="http://schemas.microsoft.com/office/spreadsheetml/2009/9/main" objectType="CheckBox" checked="Checked" fmlaLink="$AZ$37" lockText="1"/>
</file>

<file path=xl/ctrlProps/ctrlProp79.xml><?xml version="1.0" encoding="utf-8"?>
<formControlPr xmlns="http://schemas.microsoft.com/office/spreadsheetml/2009/9/main" objectType="CheckBox" checked="Checked" fmlaLink="$AZ$38" lockText="1"/>
</file>

<file path=xl/ctrlProps/ctrlProp80.xml><?xml version="1.0" encoding="utf-8"?>
<formControlPr xmlns="http://schemas.microsoft.com/office/spreadsheetml/2009/9/main" objectType="CheckBox" checked="Checked" fmlaLink="$AZ$39" lockText="1"/>
</file>

<file path=xl/ctrlProps/ctrlProp81.xml><?xml version="1.0" encoding="utf-8"?>
<formControlPr xmlns="http://schemas.microsoft.com/office/spreadsheetml/2009/9/main" objectType="CheckBox" checked="Checked" fmlaLink="$AZ$40" lockText="1"/>
</file>

<file path=xl/ctrlProps/ctrlProp82.xml><?xml version="1.0" encoding="utf-8"?>
<formControlPr xmlns="http://schemas.microsoft.com/office/spreadsheetml/2009/9/main" objectType="CheckBox" checked="Checked" fmlaLink="$AZ$41" lockText="1"/>
</file>

<file path=xl/ctrlProps/ctrlProp83.xml><?xml version="1.0" encoding="utf-8"?>
<formControlPr xmlns="http://schemas.microsoft.com/office/spreadsheetml/2009/9/main" objectType="CheckBox" checked="Checked" fmlaLink="$AZ$42" lockText="1"/>
</file>

<file path=xl/ctrlProps/ctrlProp84.xml><?xml version="1.0" encoding="utf-8"?>
<formControlPr xmlns="http://schemas.microsoft.com/office/spreadsheetml/2009/9/main" objectType="CheckBox" checked="Checked" fmlaLink="$AZ$43" lockText="1"/>
</file>

<file path=xl/ctrlProps/ctrlProp85.xml><?xml version="1.0" encoding="utf-8"?>
<formControlPr xmlns="http://schemas.microsoft.com/office/spreadsheetml/2009/9/main" objectType="CheckBox" checked="Checked" fmlaLink="$AZ$44" lockText="1"/>
</file>

<file path=xl/ctrlProps/ctrlProp86.xml><?xml version="1.0" encoding="utf-8"?>
<formControlPr xmlns="http://schemas.microsoft.com/office/spreadsheetml/2009/9/main" objectType="CheckBox" checked="Checked" fmlaLink="$AZ$45" lockText="1"/>
</file>

<file path=xl/ctrlProps/ctrlProp87.xml><?xml version="1.0" encoding="utf-8"?>
<formControlPr xmlns="http://schemas.microsoft.com/office/spreadsheetml/2009/9/main" objectType="CheckBox" checked="Checked" fmlaLink="$AZ$46" lockText="1"/>
</file>

<file path=xl/ctrlProps/ctrlProp88.xml><?xml version="1.0" encoding="utf-8"?>
<formControlPr xmlns="http://schemas.microsoft.com/office/spreadsheetml/2009/9/main" objectType="CheckBox" checked="Checked" fmlaLink="$AZ$47" lockText="1"/>
</file>

<file path=xl/ctrlProps/ctrlProp89.xml><?xml version="1.0" encoding="utf-8"?>
<formControlPr xmlns="http://schemas.microsoft.com/office/spreadsheetml/2009/9/main" objectType="CheckBox" checked="Checked" fmlaLink="$AZ$48" lockText="1"/>
</file>

<file path=xl/ctrlProps/ctrlProp90.xml><?xml version="1.0" encoding="utf-8"?>
<formControlPr xmlns="http://schemas.microsoft.com/office/spreadsheetml/2009/9/main" objectType="Button" lockText="1"/>
</file>

<file path=xl/ctrlProps/ctrlProp91.xml><?xml version="1.0" encoding="utf-8"?>
<formControlPr xmlns="http://schemas.microsoft.com/office/spreadsheetml/2009/9/main" objectType="CheckBox" fmlaLink="$AZ$23" lockText="1"/>
</file>

<file path=xl/ctrlProps/ctrlProp92.xml><?xml version="1.0" encoding="utf-8"?>
<formControlPr xmlns="http://schemas.microsoft.com/office/spreadsheetml/2009/9/main" objectType="Radio" checked="Checked" lockText="1"/>
</file>

<file path=xl/ctrlProps/ctrlProp93.xml><?xml version="1.0" encoding="utf-8"?>
<formControlPr xmlns="http://schemas.microsoft.com/office/spreadsheetml/2009/9/main" objectType="CheckBox" fmlaLink="$AZ$5" lockText="1"/>
</file>

<file path=xl/ctrlProps/ctrlProp94.xml><?xml version="1.0" encoding="utf-8"?>
<formControlPr xmlns="http://schemas.microsoft.com/office/spreadsheetml/2009/9/main" objectType="Radio" checked="Checked" lockText="1"/>
</file>

<file path=xl/ctrlProps/ctrlProp95.xml><?xml version="1.0" encoding="utf-8"?>
<formControlPr xmlns="http://schemas.microsoft.com/office/spreadsheetml/2009/9/main" objectType="GBox" noThreeD="1"/>
</file>

<file path=xl/ctrlProps/ctrlProp96.xml><?xml version="1.0" encoding="utf-8"?>
<formControlPr xmlns="http://schemas.microsoft.com/office/spreadsheetml/2009/9/main" objectType="Radio" checked="Checked" firstButton="1" fmlaLink="$BA$29" lockText="1"/>
</file>

<file path=xl/ctrlProps/ctrlProp97.xml><?xml version="1.0" encoding="utf-8"?>
<formControlPr xmlns="http://schemas.microsoft.com/office/spreadsheetml/2009/9/main" objectType="Radio" lockText="1"/>
</file>

<file path=xl/ctrlProps/ctrlProp98.xml><?xml version="1.0" encoding="utf-8"?>
<formControlPr xmlns="http://schemas.microsoft.com/office/spreadsheetml/2009/9/main" objectType="GBox" noThreeD="1"/>
</file>

<file path=xl/ctrlProps/ctrlProp99.xml><?xml version="1.0" encoding="utf-8"?>
<formControlPr xmlns="http://schemas.microsoft.com/office/spreadsheetml/2009/9/main" objectType="Radio" checked="Checked" firstButton="1" fmlaLink="$BA$30" lockText="1"/>
</file>

<file path=xl/ctrlProps/ctrlProp100.xml><?xml version="1.0" encoding="utf-8"?>
<formControlPr xmlns="http://schemas.microsoft.com/office/spreadsheetml/2009/9/main" objectType="Radio" lockText="1"/>
</file>

<file path=xl/ctrlProps/ctrlProp101.xml><?xml version="1.0" encoding="utf-8"?>
<formControlPr xmlns="http://schemas.microsoft.com/office/spreadsheetml/2009/9/main" objectType="Drop" dropLines="10" dropStyle="combo" dx="26" fmlaLink="$BN$31" fmlaRange="BK32:BK41" sel="0" val="0"/>
</file>

<file path=xl/ctrlProps/ctrlProp102.xml><?xml version="1.0" encoding="utf-8"?>
<formControlPr xmlns="http://schemas.microsoft.com/office/spreadsheetml/2009/9/main" objectType="Radio" checked="Checked" lockText="1"/>
</file>

<file path=xl/ctrlProps/ctrlProp103.xml><?xml version="1.0" encoding="utf-8"?>
<formControlPr xmlns="http://schemas.microsoft.com/office/spreadsheetml/2009/9/main" objectType="GBox" noThreeD="1"/>
</file>

<file path=xl/ctrlProps/ctrlProp104.xml><?xml version="1.0" encoding="utf-8"?>
<formControlPr xmlns="http://schemas.microsoft.com/office/spreadsheetml/2009/9/main" objectType="Radio" checked="Checked" firstButton="1" fmlaLink="$BA$8" lockText="1"/>
</file>

<file path=xl/ctrlProps/ctrlProp105.xml><?xml version="1.0" encoding="utf-8"?>
<formControlPr xmlns="http://schemas.microsoft.com/office/spreadsheetml/2009/9/main" objectType="Radio" lockText="1"/>
</file>

<file path=xl/ctrlProps/ctrlProp106.xml><?xml version="1.0" encoding="utf-8"?>
<formControlPr xmlns="http://schemas.microsoft.com/office/spreadsheetml/2009/9/main" objectType="GBox" noThreeD="1"/>
</file>

<file path=xl/ctrlProps/ctrlProp107.xml><?xml version="1.0" encoding="utf-8"?>
<formControlPr xmlns="http://schemas.microsoft.com/office/spreadsheetml/2009/9/main" objectType="CheckBox" fmlaLink="$AZ$32" lockText="1"/>
</file>

<file path=xl/ctrlProps/ctrlProp108.xml><?xml version="1.0" encoding="utf-8"?>
<formControlPr xmlns="http://schemas.microsoft.com/office/spreadsheetml/2009/9/main" objectType="CheckBox" fmlaLink="$AZ$31" lockText="1"/>
</file>

<file path=xl/ctrlProps/ctrlProp109.xml><?xml version="1.0" encoding="utf-8"?>
<formControlPr xmlns="http://schemas.microsoft.com/office/spreadsheetml/2009/9/main" objectType="Button" lockText="1"/>
</file>

<file path=xl/ctrlProps/ctrlProp110.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7620</xdr:colOff>
          <xdr:row>3</xdr:row>
          <xdr:rowOff>0</xdr:rowOff>
        </xdr:from>
        <xdr:to>
          <xdr:col>2</xdr:col>
          <xdr:colOff>1249680</xdr:colOff>
          <xdr:row>3</xdr:row>
          <xdr:rowOff>251460</xdr:rowOff>
        </xdr:to>
        <xdr:sp macro="" textlink="">
          <xdr:nvSpPr>
            <xdr:cNvPr id="1025" name="Drop Down 1" hidden="1">
              <a:extLst>
                <a:ext uri="{63B3BB69-23CF-44E3-9099-C40C66FF867C}">
                  <a14:compatExt spid="_x0000_s1025"/>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xdr:colOff>
          <xdr:row>4</xdr:row>
          <xdr:rowOff>0</xdr:rowOff>
        </xdr:from>
        <xdr:to>
          <xdr:col>2</xdr:col>
          <xdr:colOff>1234440</xdr:colOff>
          <xdr:row>4</xdr:row>
          <xdr:rowOff>236220</xdr:rowOff>
        </xdr:to>
        <xdr:sp macro="" textlink="">
          <xdr:nvSpPr>
            <xdr:cNvPr id="1065" name="Drop Down 41" hidden="1">
              <a:extLst>
                <a:ext uri="{63B3BB69-23CF-44E3-9099-C40C66FF867C}">
                  <a14:compatExt spid="_x0000_s1065"/>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30480</xdr:colOff>
          <xdr:row>7</xdr:row>
          <xdr:rowOff>7620</xdr:rowOff>
        </xdr:from>
        <xdr:to>
          <xdr:col>7</xdr:col>
          <xdr:colOff>891540</xdr:colOff>
          <xdr:row>8</xdr:row>
          <xdr:rowOff>0</xdr:rowOff>
        </xdr:to>
        <xdr:sp macro="" textlink="">
          <xdr:nvSpPr>
            <xdr:cNvPr id="1070" name="Check Box 46" hidden="1">
              <a:extLst>
                <a:ext uri="{63B3BB69-23CF-44E3-9099-C40C66FF867C}">
                  <a14:compatExt spid="_x0000_s107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Mon - Fri</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30480</xdr:colOff>
          <xdr:row>8</xdr:row>
          <xdr:rowOff>7620</xdr:rowOff>
        </xdr:from>
        <xdr:to>
          <xdr:col>7</xdr:col>
          <xdr:colOff>861060</xdr:colOff>
          <xdr:row>9</xdr:row>
          <xdr:rowOff>0</xdr:rowOff>
        </xdr:to>
        <xdr:sp macro="" textlink="">
          <xdr:nvSpPr>
            <xdr:cNvPr id="1071" name="Check Box 47" hidden="1">
              <a:extLst>
                <a:ext uri="{63B3BB69-23CF-44E3-9099-C40C66FF867C}">
                  <a14:compatExt spid="_x0000_s1071"/>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Saturday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30480</xdr:colOff>
          <xdr:row>9</xdr:row>
          <xdr:rowOff>7620</xdr:rowOff>
        </xdr:from>
        <xdr:to>
          <xdr:col>7</xdr:col>
          <xdr:colOff>861060</xdr:colOff>
          <xdr:row>9</xdr:row>
          <xdr:rowOff>220980</xdr:rowOff>
        </xdr:to>
        <xdr:sp macro="" textlink="">
          <xdr:nvSpPr>
            <xdr:cNvPr id="1072" name="Check Box 48" hidden="1">
              <a:extLst>
                <a:ext uri="{63B3BB69-23CF-44E3-9099-C40C66FF867C}">
                  <a14:compatExt spid="_x0000_s1072"/>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Sunday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30480</xdr:colOff>
          <xdr:row>10</xdr:row>
          <xdr:rowOff>0</xdr:rowOff>
        </xdr:from>
        <xdr:to>
          <xdr:col>7</xdr:col>
          <xdr:colOff>861060</xdr:colOff>
          <xdr:row>10</xdr:row>
          <xdr:rowOff>228600</xdr:rowOff>
        </xdr:to>
        <xdr:sp macro="" textlink="">
          <xdr:nvSpPr>
            <xdr:cNvPr id="1073" name="Check Box 49" hidden="1">
              <a:extLst>
                <a:ext uri="{63B3BB69-23CF-44E3-9099-C40C66FF867C}">
                  <a14:compatExt spid="_x0000_s1073"/>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Holidays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1234440</xdr:colOff>
          <xdr:row>7</xdr:row>
          <xdr:rowOff>7620</xdr:rowOff>
        </xdr:from>
        <xdr:to>
          <xdr:col>8</xdr:col>
          <xdr:colOff>883920</xdr:colOff>
          <xdr:row>8</xdr:row>
          <xdr:rowOff>0</xdr:rowOff>
        </xdr:to>
        <xdr:sp macro="" textlink="">
          <xdr:nvSpPr>
            <xdr:cNvPr id="1074" name="Drop Down 50" hidden="1">
              <a:extLst>
                <a:ext uri="{63B3BB69-23CF-44E3-9099-C40C66FF867C}">
                  <a14:compatExt spid="_x0000_s1074"/>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1234440</xdr:colOff>
          <xdr:row>8</xdr:row>
          <xdr:rowOff>0</xdr:rowOff>
        </xdr:from>
        <xdr:to>
          <xdr:col>8</xdr:col>
          <xdr:colOff>883920</xdr:colOff>
          <xdr:row>9</xdr:row>
          <xdr:rowOff>0</xdr:rowOff>
        </xdr:to>
        <xdr:sp macro="" textlink="">
          <xdr:nvSpPr>
            <xdr:cNvPr id="1075" name="Drop Down 51" hidden="1">
              <a:extLst>
                <a:ext uri="{63B3BB69-23CF-44E3-9099-C40C66FF867C}">
                  <a14:compatExt spid="_x0000_s1075"/>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1234440</xdr:colOff>
          <xdr:row>9</xdr:row>
          <xdr:rowOff>0</xdr:rowOff>
        </xdr:from>
        <xdr:to>
          <xdr:col>8</xdr:col>
          <xdr:colOff>883920</xdr:colOff>
          <xdr:row>10</xdr:row>
          <xdr:rowOff>0</xdr:rowOff>
        </xdr:to>
        <xdr:sp macro="" textlink="">
          <xdr:nvSpPr>
            <xdr:cNvPr id="1076" name="Drop Down 52" hidden="1">
              <a:extLst>
                <a:ext uri="{63B3BB69-23CF-44E3-9099-C40C66FF867C}">
                  <a14:compatExt spid="_x0000_s1076"/>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1234440</xdr:colOff>
          <xdr:row>10</xdr:row>
          <xdr:rowOff>7620</xdr:rowOff>
        </xdr:from>
        <xdr:to>
          <xdr:col>8</xdr:col>
          <xdr:colOff>883920</xdr:colOff>
          <xdr:row>10</xdr:row>
          <xdr:rowOff>228600</xdr:rowOff>
        </xdr:to>
        <xdr:sp macro="" textlink="">
          <xdr:nvSpPr>
            <xdr:cNvPr id="1077" name="Drop Down 53" hidden="1">
              <a:extLst>
                <a:ext uri="{63B3BB69-23CF-44E3-9099-C40C66FF867C}">
                  <a14:compatExt spid="_x0000_s1077"/>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1272540</xdr:colOff>
          <xdr:row>4</xdr:row>
          <xdr:rowOff>0</xdr:rowOff>
        </xdr:from>
        <xdr:to>
          <xdr:col>8</xdr:col>
          <xdr:colOff>883920</xdr:colOff>
          <xdr:row>4</xdr:row>
          <xdr:rowOff>228600</xdr:rowOff>
        </xdr:to>
        <xdr:sp macro="" textlink="">
          <xdr:nvSpPr>
            <xdr:cNvPr id="1087" name="Drop Down 63" hidden="1">
              <a:extLst>
                <a:ext uri="{63B3BB69-23CF-44E3-9099-C40C66FF867C}">
                  <a14:compatExt spid="_x0000_s1087"/>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7620</xdr:colOff>
          <xdr:row>3</xdr:row>
          <xdr:rowOff>0</xdr:rowOff>
        </xdr:from>
        <xdr:to>
          <xdr:col>8</xdr:col>
          <xdr:colOff>91440</xdr:colOff>
          <xdr:row>3</xdr:row>
          <xdr:rowOff>228600</xdr:rowOff>
        </xdr:to>
        <xdr:sp macro="" textlink="">
          <xdr:nvSpPr>
            <xdr:cNvPr id="1090" name="Check Box 66" hidden="1">
              <a:extLst>
                <a:ext uri="{63B3BB69-23CF-44E3-9099-C40C66FF867C}">
                  <a14:compatExt spid="_x0000_s109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Monthly Volume Override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388620</xdr:colOff>
          <xdr:row>2</xdr:row>
          <xdr:rowOff>0</xdr:rowOff>
        </xdr:from>
        <xdr:to>
          <xdr:col>10</xdr:col>
          <xdr:colOff>1234440</xdr:colOff>
          <xdr:row>2</xdr:row>
          <xdr:rowOff>198120</xdr:rowOff>
        </xdr:to>
        <xdr:sp macro="" textlink="">
          <xdr:nvSpPr>
            <xdr:cNvPr id="1092" name="Option Button 68" hidden="1">
              <a:extLst>
                <a:ext uri="{63B3BB69-23CF-44E3-9099-C40C66FF867C}">
                  <a14:compatExt spid="_x0000_s1092"/>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Calendar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1363980</xdr:colOff>
          <xdr:row>2</xdr:row>
          <xdr:rowOff>0</xdr:rowOff>
        </xdr:from>
        <xdr:to>
          <xdr:col>11</xdr:col>
          <xdr:colOff>297180</xdr:colOff>
          <xdr:row>2</xdr:row>
          <xdr:rowOff>198120</xdr:rowOff>
        </xdr:to>
        <xdr:sp macro="" textlink="">
          <xdr:nvSpPr>
            <xdr:cNvPr id="1093" name="Option Button 69" hidden="1">
              <a:extLst>
                <a:ext uri="{63B3BB69-23CF-44E3-9099-C40C66FF867C}">
                  <a14:compatExt spid="_x0000_s1093"/>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Deal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0</xdr:colOff>
          <xdr:row>1</xdr:row>
          <xdr:rowOff>190500</xdr:rowOff>
        </xdr:from>
        <xdr:to>
          <xdr:col>11</xdr:col>
          <xdr:colOff>845820</xdr:colOff>
          <xdr:row>3</xdr:row>
          <xdr:rowOff>0</xdr:rowOff>
        </xdr:to>
        <xdr:sp macro="" textlink="">
          <xdr:nvSpPr>
            <xdr:cNvPr id="1096" name="Group Box 72" hidden="1">
              <a:extLst>
                <a:ext uri="{63B3BB69-23CF-44E3-9099-C40C66FF867C}">
                  <a14:compatExt spid="_x0000_s109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30480</xdr:colOff>
          <xdr:row>3</xdr:row>
          <xdr:rowOff>38100</xdr:rowOff>
        </xdr:from>
        <xdr:to>
          <xdr:col>4</xdr:col>
          <xdr:colOff>739140</xdr:colOff>
          <xdr:row>3</xdr:row>
          <xdr:rowOff>236220</xdr:rowOff>
        </xdr:to>
        <xdr:sp macro="" textlink="">
          <xdr:nvSpPr>
            <xdr:cNvPr id="1100" name="Option Button 76" hidden="1">
              <a:extLst>
                <a:ext uri="{63B3BB69-23CF-44E3-9099-C40C66FF867C}">
                  <a14:compatExt spid="_x0000_s11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Annual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723900</xdr:colOff>
          <xdr:row>3</xdr:row>
          <xdr:rowOff>38100</xdr:rowOff>
        </xdr:from>
        <xdr:to>
          <xdr:col>4</xdr:col>
          <xdr:colOff>1516380</xdr:colOff>
          <xdr:row>3</xdr:row>
          <xdr:rowOff>236220</xdr:rowOff>
        </xdr:to>
        <xdr:sp macro="" textlink="">
          <xdr:nvSpPr>
            <xdr:cNvPr id="1101" name="Option Button 77" hidden="1">
              <a:extLst>
                <a:ext uri="{63B3BB69-23CF-44E3-9099-C40C66FF867C}">
                  <a14:compatExt spid="_x0000_s1101"/>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Monthly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1478280</xdr:colOff>
          <xdr:row>3</xdr:row>
          <xdr:rowOff>38100</xdr:rowOff>
        </xdr:from>
        <xdr:to>
          <xdr:col>5</xdr:col>
          <xdr:colOff>320040</xdr:colOff>
          <xdr:row>3</xdr:row>
          <xdr:rowOff>236220</xdr:rowOff>
        </xdr:to>
        <xdr:sp macro="" textlink="">
          <xdr:nvSpPr>
            <xdr:cNvPr id="1102" name="Option Button 78" hidden="1">
              <a:extLst>
                <a:ext uri="{63B3BB69-23CF-44E3-9099-C40C66FF867C}">
                  <a14:compatExt spid="_x0000_s1102"/>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Daily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7620</xdr:colOff>
          <xdr:row>3</xdr:row>
          <xdr:rowOff>7620</xdr:rowOff>
        </xdr:from>
        <xdr:to>
          <xdr:col>5</xdr:col>
          <xdr:colOff>914400</xdr:colOff>
          <xdr:row>4</xdr:row>
          <xdr:rowOff>0</xdr:rowOff>
        </xdr:to>
        <xdr:sp macro="" textlink="">
          <xdr:nvSpPr>
            <xdr:cNvPr id="1103" name="Group Box 79" hidden="1">
              <a:extLst>
                <a:ext uri="{63B3BB69-23CF-44E3-9099-C40C66FF867C}">
                  <a14:compatExt spid="_x0000_s110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60960</xdr:colOff>
          <xdr:row>5</xdr:row>
          <xdr:rowOff>38100</xdr:rowOff>
        </xdr:from>
        <xdr:to>
          <xdr:col>5</xdr:col>
          <xdr:colOff>586740</xdr:colOff>
          <xdr:row>5</xdr:row>
          <xdr:rowOff>236220</xdr:rowOff>
        </xdr:to>
        <xdr:sp macro="" textlink="">
          <xdr:nvSpPr>
            <xdr:cNvPr id="1104" name="Check Box 80" hidden="1">
              <a:extLst>
                <a:ext uri="{63B3BB69-23CF-44E3-9099-C40C66FF867C}">
                  <a14:compatExt spid="_x0000_s1104"/>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Combine Swap and Option Takes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403860</xdr:colOff>
          <xdr:row>4</xdr:row>
          <xdr:rowOff>7620</xdr:rowOff>
        </xdr:from>
        <xdr:to>
          <xdr:col>10</xdr:col>
          <xdr:colOff>1303020</xdr:colOff>
          <xdr:row>4</xdr:row>
          <xdr:rowOff>220980</xdr:rowOff>
        </xdr:to>
        <xdr:sp macro="" textlink="">
          <xdr:nvSpPr>
            <xdr:cNvPr id="1106" name="Option Button 82" hidden="1">
              <a:extLst>
                <a:ext uri="{63B3BB69-23CF-44E3-9099-C40C66FF867C}">
                  <a14:compatExt spid="_x0000_s1106"/>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Calendar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0</xdr:colOff>
          <xdr:row>4</xdr:row>
          <xdr:rowOff>0</xdr:rowOff>
        </xdr:from>
        <xdr:to>
          <xdr:col>11</xdr:col>
          <xdr:colOff>845820</xdr:colOff>
          <xdr:row>5</xdr:row>
          <xdr:rowOff>0</xdr:rowOff>
        </xdr:to>
        <xdr:sp macro="" textlink="">
          <xdr:nvSpPr>
            <xdr:cNvPr id="1107" name="Group Box 83" hidden="1">
              <a:extLst>
                <a:ext uri="{63B3BB69-23CF-44E3-9099-C40C66FF867C}">
                  <a14:compatExt spid="_x0000_s110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xdr:colOff>
          <xdr:row>10</xdr:row>
          <xdr:rowOff>7620</xdr:rowOff>
        </xdr:from>
        <xdr:to>
          <xdr:col>2</xdr:col>
          <xdr:colOff>594360</xdr:colOff>
          <xdr:row>10</xdr:row>
          <xdr:rowOff>220980</xdr:rowOff>
        </xdr:to>
        <xdr:sp macro="" textlink="">
          <xdr:nvSpPr>
            <xdr:cNvPr id="1108" name="Option Button 84" hidden="1">
              <a:extLst>
                <a:ext uri="{63B3BB69-23CF-44E3-9099-C40C66FF867C}">
                  <a14:compatExt spid="_x0000_s1108"/>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Buys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716280</xdr:colOff>
          <xdr:row>10</xdr:row>
          <xdr:rowOff>7620</xdr:rowOff>
        </xdr:from>
        <xdr:to>
          <xdr:col>2</xdr:col>
          <xdr:colOff>1257300</xdr:colOff>
          <xdr:row>10</xdr:row>
          <xdr:rowOff>228600</xdr:rowOff>
        </xdr:to>
        <xdr:sp macro="" textlink="">
          <xdr:nvSpPr>
            <xdr:cNvPr id="1109" name="Option Button 85" hidden="1">
              <a:extLst>
                <a:ext uri="{63B3BB69-23CF-44E3-9099-C40C66FF867C}">
                  <a14:compatExt spid="_x0000_s1109"/>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Sells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10</xdr:row>
          <xdr:rowOff>0</xdr:rowOff>
        </xdr:from>
        <xdr:to>
          <xdr:col>3</xdr:col>
          <xdr:colOff>0</xdr:colOff>
          <xdr:row>10</xdr:row>
          <xdr:rowOff>236220</xdr:rowOff>
        </xdr:to>
        <xdr:sp macro="" textlink="">
          <xdr:nvSpPr>
            <xdr:cNvPr id="1110" name="Group Box 86" hidden="1">
              <a:extLst>
                <a:ext uri="{63B3BB69-23CF-44E3-9099-C40C66FF867C}">
                  <a14:compatExt spid="_x0000_s111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2</xdr:col>
          <xdr:colOff>7620</xdr:colOff>
          <xdr:row>16</xdr:row>
          <xdr:rowOff>30480</xdr:rowOff>
        </xdr:from>
        <xdr:to>
          <xdr:col>2</xdr:col>
          <xdr:colOff>617220</xdr:colOff>
          <xdr:row>16</xdr:row>
          <xdr:rowOff>228600</xdr:rowOff>
        </xdr:to>
        <xdr:sp macro="" textlink="">
          <xdr:nvSpPr>
            <xdr:cNvPr id="1111" name="Option Button 87" hidden="1">
              <a:extLst>
                <a:ext uri="{63B3BB69-23CF-44E3-9099-C40C66FF867C}">
                  <a14:compatExt spid="_x0000_s1111"/>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Call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723900</xdr:colOff>
          <xdr:row>16</xdr:row>
          <xdr:rowOff>30480</xdr:rowOff>
        </xdr:from>
        <xdr:to>
          <xdr:col>2</xdr:col>
          <xdr:colOff>1226820</xdr:colOff>
          <xdr:row>16</xdr:row>
          <xdr:rowOff>228600</xdr:rowOff>
        </xdr:to>
        <xdr:sp macro="" textlink="">
          <xdr:nvSpPr>
            <xdr:cNvPr id="1112" name="Option Button 88" hidden="1">
              <a:extLst>
                <a:ext uri="{63B3BB69-23CF-44E3-9099-C40C66FF867C}">
                  <a14:compatExt spid="_x0000_s1112"/>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Put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16</xdr:row>
          <xdr:rowOff>0</xdr:rowOff>
        </xdr:from>
        <xdr:to>
          <xdr:col>3</xdr:col>
          <xdr:colOff>0</xdr:colOff>
          <xdr:row>17</xdr:row>
          <xdr:rowOff>0</xdr:rowOff>
        </xdr:to>
        <xdr:sp macro="" textlink="">
          <xdr:nvSpPr>
            <xdr:cNvPr id="1113" name="Group Box 89" hidden="1">
              <a:extLst>
                <a:ext uri="{63B3BB69-23CF-44E3-9099-C40C66FF867C}">
                  <a14:compatExt spid="_x0000_s111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15</xdr:row>
          <xdr:rowOff>0</xdr:rowOff>
        </xdr:from>
        <xdr:to>
          <xdr:col>2</xdr:col>
          <xdr:colOff>1264920</xdr:colOff>
          <xdr:row>16</xdr:row>
          <xdr:rowOff>0</xdr:rowOff>
        </xdr:to>
        <xdr:sp macro="" textlink="">
          <xdr:nvSpPr>
            <xdr:cNvPr id="1114" name="Group Box 90" hidden="1">
              <a:extLst>
                <a:ext uri="{63B3BB69-23CF-44E3-9099-C40C66FF867C}">
                  <a14:compatExt spid="_x0000_s111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30480</xdr:colOff>
          <xdr:row>15</xdr:row>
          <xdr:rowOff>0</xdr:rowOff>
        </xdr:from>
        <xdr:to>
          <xdr:col>2</xdr:col>
          <xdr:colOff>617220</xdr:colOff>
          <xdr:row>15</xdr:row>
          <xdr:rowOff>220980</xdr:rowOff>
        </xdr:to>
        <xdr:sp macro="" textlink="">
          <xdr:nvSpPr>
            <xdr:cNvPr id="1115" name="Option Button 91" hidden="1">
              <a:extLst>
                <a:ext uri="{63B3BB69-23CF-44E3-9099-C40C66FF867C}">
                  <a14:compatExt spid="_x0000_s1115"/>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Buys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723900</xdr:colOff>
          <xdr:row>15</xdr:row>
          <xdr:rowOff>0</xdr:rowOff>
        </xdr:from>
        <xdr:to>
          <xdr:col>2</xdr:col>
          <xdr:colOff>1249680</xdr:colOff>
          <xdr:row>15</xdr:row>
          <xdr:rowOff>220980</xdr:rowOff>
        </xdr:to>
        <xdr:sp macro="" textlink="">
          <xdr:nvSpPr>
            <xdr:cNvPr id="1116" name="Option Button 92" hidden="1">
              <a:extLst>
                <a:ext uri="{63B3BB69-23CF-44E3-9099-C40C66FF867C}">
                  <a14:compatExt spid="_x0000_s1116"/>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Sells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17</xdr:row>
          <xdr:rowOff>0</xdr:rowOff>
        </xdr:from>
        <xdr:to>
          <xdr:col>3</xdr:col>
          <xdr:colOff>0</xdr:colOff>
          <xdr:row>18</xdr:row>
          <xdr:rowOff>0</xdr:rowOff>
        </xdr:to>
        <xdr:sp macro="" textlink="">
          <xdr:nvSpPr>
            <xdr:cNvPr id="1119" name="Group Box 95" hidden="1">
              <a:extLst>
                <a:ext uri="{63B3BB69-23CF-44E3-9099-C40C66FF867C}">
                  <a14:compatExt spid="_x0000_s111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xdr:colOff>
          <xdr:row>17</xdr:row>
          <xdr:rowOff>7620</xdr:rowOff>
        </xdr:from>
        <xdr:to>
          <xdr:col>2</xdr:col>
          <xdr:colOff>822960</xdr:colOff>
          <xdr:row>17</xdr:row>
          <xdr:rowOff>220980</xdr:rowOff>
        </xdr:to>
        <xdr:sp macro="" textlink="">
          <xdr:nvSpPr>
            <xdr:cNvPr id="1120" name="Option Button 96" hidden="1">
              <a:extLst>
                <a:ext uri="{63B3BB69-23CF-44E3-9099-C40C66FF867C}">
                  <a14:compatExt spid="_x0000_s112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Bid / Offer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792480</xdr:colOff>
          <xdr:row>17</xdr:row>
          <xdr:rowOff>7620</xdr:rowOff>
        </xdr:from>
        <xdr:to>
          <xdr:col>2</xdr:col>
          <xdr:colOff>1264920</xdr:colOff>
          <xdr:row>17</xdr:row>
          <xdr:rowOff>220980</xdr:rowOff>
        </xdr:to>
        <xdr:sp macro="" textlink="">
          <xdr:nvSpPr>
            <xdr:cNvPr id="1121" name="Option Button 97" hidden="1">
              <a:extLst>
                <a:ext uri="{63B3BB69-23CF-44E3-9099-C40C66FF867C}">
                  <a14:compatExt spid="_x0000_s1121"/>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Mid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19</xdr:row>
          <xdr:rowOff>0</xdr:rowOff>
        </xdr:from>
        <xdr:to>
          <xdr:col>2</xdr:col>
          <xdr:colOff>1264920</xdr:colOff>
          <xdr:row>20</xdr:row>
          <xdr:rowOff>0</xdr:rowOff>
        </xdr:to>
        <xdr:sp macro="" textlink="">
          <xdr:nvSpPr>
            <xdr:cNvPr id="1123" name="Group Box 99" hidden="1">
              <a:extLst>
                <a:ext uri="{63B3BB69-23CF-44E3-9099-C40C66FF867C}">
                  <a14:compatExt spid="_x0000_s1123"/>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20</xdr:row>
          <xdr:rowOff>0</xdr:rowOff>
        </xdr:from>
        <xdr:to>
          <xdr:col>3</xdr:col>
          <xdr:colOff>0</xdr:colOff>
          <xdr:row>21</xdr:row>
          <xdr:rowOff>0</xdr:rowOff>
        </xdr:to>
        <xdr:sp macro="" textlink="">
          <xdr:nvSpPr>
            <xdr:cNvPr id="1124" name="Group Box 100" hidden="1">
              <a:extLst>
                <a:ext uri="{63B3BB69-23CF-44E3-9099-C40C66FF867C}">
                  <a14:compatExt spid="_x0000_s112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22</xdr:row>
          <xdr:rowOff>0</xdr:rowOff>
        </xdr:from>
        <xdr:to>
          <xdr:col>3</xdr:col>
          <xdr:colOff>0</xdr:colOff>
          <xdr:row>23</xdr:row>
          <xdr:rowOff>0</xdr:rowOff>
        </xdr:to>
        <xdr:sp macro="" textlink="">
          <xdr:nvSpPr>
            <xdr:cNvPr id="1125" name="Group Box 101" hidden="1">
              <a:extLst>
                <a:ext uri="{63B3BB69-23CF-44E3-9099-C40C66FF867C}">
                  <a14:compatExt spid="_x0000_s112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23</xdr:row>
          <xdr:rowOff>0</xdr:rowOff>
        </xdr:from>
        <xdr:to>
          <xdr:col>3</xdr:col>
          <xdr:colOff>0</xdr:colOff>
          <xdr:row>24</xdr:row>
          <xdr:rowOff>0</xdr:rowOff>
        </xdr:to>
        <xdr:sp macro="" textlink="">
          <xdr:nvSpPr>
            <xdr:cNvPr id="1126" name="Group Box 102" hidden="1">
              <a:extLst>
                <a:ext uri="{63B3BB69-23CF-44E3-9099-C40C66FF867C}">
                  <a14:compatExt spid="_x0000_s112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21</xdr:row>
          <xdr:rowOff>0</xdr:rowOff>
        </xdr:from>
        <xdr:to>
          <xdr:col>2</xdr:col>
          <xdr:colOff>1264920</xdr:colOff>
          <xdr:row>22</xdr:row>
          <xdr:rowOff>0</xdr:rowOff>
        </xdr:to>
        <xdr:sp macro="" textlink="">
          <xdr:nvSpPr>
            <xdr:cNvPr id="1127" name="Group Box 103" hidden="1">
              <a:extLst>
                <a:ext uri="{63B3BB69-23CF-44E3-9099-C40C66FF867C}">
                  <a14:compatExt spid="_x0000_s112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xdr:colOff>
          <xdr:row>19</xdr:row>
          <xdr:rowOff>7620</xdr:rowOff>
        </xdr:from>
        <xdr:to>
          <xdr:col>2</xdr:col>
          <xdr:colOff>632460</xdr:colOff>
          <xdr:row>19</xdr:row>
          <xdr:rowOff>228600</xdr:rowOff>
        </xdr:to>
        <xdr:sp macro="" textlink="">
          <xdr:nvSpPr>
            <xdr:cNvPr id="1129" name="Option Button 105" hidden="1">
              <a:extLst>
                <a:ext uri="{63B3BB69-23CF-44E3-9099-C40C66FF867C}">
                  <a14:compatExt spid="_x0000_s1129"/>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Buys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723900</xdr:colOff>
          <xdr:row>19</xdr:row>
          <xdr:rowOff>30480</xdr:rowOff>
        </xdr:from>
        <xdr:to>
          <xdr:col>2</xdr:col>
          <xdr:colOff>1234440</xdr:colOff>
          <xdr:row>19</xdr:row>
          <xdr:rowOff>228600</xdr:rowOff>
        </xdr:to>
        <xdr:sp macro="" textlink="">
          <xdr:nvSpPr>
            <xdr:cNvPr id="1130" name="Option Button 106" hidden="1">
              <a:extLst>
                <a:ext uri="{63B3BB69-23CF-44E3-9099-C40C66FF867C}">
                  <a14:compatExt spid="_x0000_s113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Sells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30480</xdr:colOff>
          <xdr:row>20</xdr:row>
          <xdr:rowOff>7620</xdr:rowOff>
        </xdr:from>
        <xdr:to>
          <xdr:col>2</xdr:col>
          <xdr:colOff>670560</xdr:colOff>
          <xdr:row>20</xdr:row>
          <xdr:rowOff>220980</xdr:rowOff>
        </xdr:to>
        <xdr:sp macro="" textlink="">
          <xdr:nvSpPr>
            <xdr:cNvPr id="1131" name="Option Button 107" hidden="1">
              <a:extLst>
                <a:ext uri="{63B3BB69-23CF-44E3-9099-C40C66FF867C}">
                  <a14:compatExt spid="_x0000_s1131"/>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Call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716280</xdr:colOff>
          <xdr:row>20</xdr:row>
          <xdr:rowOff>7620</xdr:rowOff>
        </xdr:from>
        <xdr:to>
          <xdr:col>2</xdr:col>
          <xdr:colOff>1226820</xdr:colOff>
          <xdr:row>20</xdr:row>
          <xdr:rowOff>220980</xdr:rowOff>
        </xdr:to>
        <xdr:sp macro="" textlink="">
          <xdr:nvSpPr>
            <xdr:cNvPr id="1132" name="Option Button 108" hidden="1">
              <a:extLst>
                <a:ext uri="{63B3BB69-23CF-44E3-9099-C40C66FF867C}">
                  <a14:compatExt spid="_x0000_s1132"/>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Put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xdr:colOff>
          <xdr:row>22</xdr:row>
          <xdr:rowOff>30480</xdr:rowOff>
        </xdr:from>
        <xdr:to>
          <xdr:col>2</xdr:col>
          <xdr:colOff>792480</xdr:colOff>
          <xdr:row>22</xdr:row>
          <xdr:rowOff>228600</xdr:rowOff>
        </xdr:to>
        <xdr:sp macro="" textlink="">
          <xdr:nvSpPr>
            <xdr:cNvPr id="1133" name="Option Button 109" hidden="1">
              <a:extLst>
                <a:ext uri="{63B3BB69-23CF-44E3-9099-C40C66FF867C}">
                  <a14:compatExt spid="_x0000_s1133"/>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Bid / Offer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769620</xdr:colOff>
          <xdr:row>22</xdr:row>
          <xdr:rowOff>30480</xdr:rowOff>
        </xdr:from>
        <xdr:to>
          <xdr:col>2</xdr:col>
          <xdr:colOff>1226820</xdr:colOff>
          <xdr:row>22</xdr:row>
          <xdr:rowOff>228600</xdr:rowOff>
        </xdr:to>
        <xdr:sp macro="" textlink="">
          <xdr:nvSpPr>
            <xdr:cNvPr id="1134" name="Option Button 110" hidden="1">
              <a:extLst>
                <a:ext uri="{63B3BB69-23CF-44E3-9099-C40C66FF867C}">
                  <a14:compatExt spid="_x0000_s1134"/>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Mid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xdr:colOff>
          <xdr:row>23</xdr:row>
          <xdr:rowOff>7620</xdr:rowOff>
        </xdr:from>
        <xdr:to>
          <xdr:col>2</xdr:col>
          <xdr:colOff>777240</xdr:colOff>
          <xdr:row>23</xdr:row>
          <xdr:rowOff>213360</xdr:rowOff>
        </xdr:to>
        <xdr:sp macro="" textlink="">
          <xdr:nvSpPr>
            <xdr:cNvPr id="1136" name="Option Button 112" hidden="1">
              <a:extLst>
                <a:ext uri="{63B3BB69-23CF-44E3-9099-C40C66FF867C}">
                  <a14:compatExt spid="_x0000_s1136"/>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Bid / Offer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769620</xdr:colOff>
          <xdr:row>23</xdr:row>
          <xdr:rowOff>0</xdr:rowOff>
        </xdr:from>
        <xdr:to>
          <xdr:col>2</xdr:col>
          <xdr:colOff>1219200</xdr:colOff>
          <xdr:row>23</xdr:row>
          <xdr:rowOff>228600</xdr:rowOff>
        </xdr:to>
        <xdr:sp macro="" textlink="">
          <xdr:nvSpPr>
            <xdr:cNvPr id="1137" name="Option Button 113" hidden="1">
              <a:extLst>
                <a:ext uri="{63B3BB69-23CF-44E3-9099-C40C66FF867C}">
                  <a14:compatExt spid="_x0000_s1137"/>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Mid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182880</xdr:colOff>
          <xdr:row>21</xdr:row>
          <xdr:rowOff>7620</xdr:rowOff>
        </xdr:from>
        <xdr:to>
          <xdr:col>1</xdr:col>
          <xdr:colOff>868680</xdr:colOff>
          <xdr:row>21</xdr:row>
          <xdr:rowOff>220980</xdr:rowOff>
        </xdr:to>
        <xdr:sp macro="" textlink="">
          <xdr:nvSpPr>
            <xdr:cNvPr id="1139" name="Option Button 115" hidden="1">
              <a:extLst>
                <a:ext uri="{63B3BB69-23CF-44E3-9099-C40C66FF867C}">
                  <a14:compatExt spid="_x0000_s1139"/>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Hourly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1158240</xdr:colOff>
          <xdr:row>21</xdr:row>
          <xdr:rowOff>7620</xdr:rowOff>
        </xdr:from>
        <xdr:to>
          <xdr:col>2</xdr:col>
          <xdr:colOff>304800</xdr:colOff>
          <xdr:row>21</xdr:row>
          <xdr:rowOff>220980</xdr:rowOff>
        </xdr:to>
        <xdr:sp macro="" textlink="">
          <xdr:nvSpPr>
            <xdr:cNvPr id="1140" name="Option Button 116" hidden="1">
              <a:extLst>
                <a:ext uri="{63B3BB69-23CF-44E3-9099-C40C66FF867C}">
                  <a14:compatExt spid="_x0000_s114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Daily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830580</xdr:colOff>
          <xdr:row>24</xdr:row>
          <xdr:rowOff>30480</xdr:rowOff>
        </xdr:from>
        <xdr:to>
          <xdr:col>1</xdr:col>
          <xdr:colOff>1379220</xdr:colOff>
          <xdr:row>24</xdr:row>
          <xdr:rowOff>228600</xdr:rowOff>
        </xdr:to>
        <xdr:sp macro="" textlink="">
          <xdr:nvSpPr>
            <xdr:cNvPr id="1141" name="Option Button 117" hidden="1">
              <a:extLst>
                <a:ext uri="{63B3BB69-23CF-44E3-9099-C40C66FF867C}">
                  <a14:compatExt spid="_x0000_s1141"/>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None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1371600</xdr:colOff>
          <xdr:row>4</xdr:row>
          <xdr:rowOff>30480</xdr:rowOff>
        </xdr:from>
        <xdr:to>
          <xdr:col>11</xdr:col>
          <xdr:colOff>297180</xdr:colOff>
          <xdr:row>4</xdr:row>
          <xdr:rowOff>228600</xdr:rowOff>
        </xdr:to>
        <xdr:sp macro="" textlink="">
          <xdr:nvSpPr>
            <xdr:cNvPr id="1145" name="Option Button 121" hidden="1">
              <a:extLst>
                <a:ext uri="{63B3BB69-23CF-44E3-9099-C40C66FF867C}">
                  <a14:compatExt spid="_x0000_s1145"/>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Deal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xdr:colOff>
          <xdr:row>24</xdr:row>
          <xdr:rowOff>30480</xdr:rowOff>
        </xdr:from>
        <xdr:to>
          <xdr:col>2</xdr:col>
          <xdr:colOff>579120</xdr:colOff>
          <xdr:row>24</xdr:row>
          <xdr:rowOff>228600</xdr:rowOff>
        </xdr:to>
        <xdr:sp macro="" textlink="">
          <xdr:nvSpPr>
            <xdr:cNvPr id="1147" name="Option Button 123" hidden="1">
              <a:extLst>
                <a:ext uri="{63B3BB69-23CF-44E3-9099-C40C66FF867C}">
                  <a14:compatExt spid="_x0000_s1147"/>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Book</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624840</xdr:colOff>
          <xdr:row>24</xdr:row>
          <xdr:rowOff>30480</xdr:rowOff>
        </xdr:from>
        <xdr:to>
          <xdr:col>2</xdr:col>
          <xdr:colOff>1219200</xdr:colOff>
          <xdr:row>24</xdr:row>
          <xdr:rowOff>228600</xdr:rowOff>
        </xdr:to>
        <xdr:sp macro="" textlink="">
          <xdr:nvSpPr>
            <xdr:cNvPr id="1148" name="Option Button 124" hidden="1">
              <a:extLst>
                <a:ext uri="{63B3BB69-23CF-44E3-9099-C40C66FF867C}">
                  <a14:compatExt spid="_x0000_s1148"/>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Model</a:t>
              </a:r>
            </a:p>
          </xdr:txBody>
        </xdr:sp>
        <xdr:clientData/>
      </xdr:twoCellAnchor>
    </mc:Choice>
    <mc:Fallback/>
  </mc:AlternateContent>
  <mc:AlternateContent xmlns:mc="http://schemas.openxmlformats.org/markup-compatibility/2006">
    <mc:Choice xmlns:a14="http://schemas.microsoft.com/office/drawing/2010/main" Requires="a14">
      <xdr:twoCellAnchor>
        <xdr:from>
          <xdr:col>10</xdr:col>
          <xdr:colOff>0</xdr:colOff>
          <xdr:row>24</xdr:row>
          <xdr:rowOff>228600</xdr:rowOff>
        </xdr:from>
        <xdr:to>
          <xdr:col>11</xdr:col>
          <xdr:colOff>830580</xdr:colOff>
          <xdr:row>25</xdr:row>
          <xdr:rowOff>228600</xdr:rowOff>
        </xdr:to>
        <xdr:sp macro="" textlink="">
          <xdr:nvSpPr>
            <xdr:cNvPr id="1150" name="Button 126" hidden="1">
              <a:extLst>
                <a:ext uri="{63B3BB69-23CF-44E3-9099-C40C66FF867C}">
                  <a14:compatExt spid="_x0000_s1150"/>
                </a:ext>
              </a:extLst>
            </xdr:cNvPr>
            <xdr:cNvSpPr/>
          </xdr:nvSpPr>
          <xdr:spPr bwMode="auto">
            <a:xfrm>
              <a:off x="0" y="0"/>
              <a:ext cx="0" cy="0"/>
            </a:xfrm>
            <a:prstGeom prst="rect">
              <a:avLst/>
            </a:prstGeom>
            <a:noFill/>
            <a:ln>
              <a:noFill/>
            </a:ln>
            <a:effectLst/>
            <a:extLst>
              <a:ext uri="{91240B29-F687-4F45-9708-019B960494DF}">
                <a14:hiddenLine w="9525">
                  <a:noFill/>
                  <a:miter lim="800000"/>
                  <a:headEnd/>
                  <a:tailEnd/>
                </a14:hiddenLine>
              </a:ext>
              <a:ext uri="{AF507438-7753-43E0-B8FC-AC1667EBCBE1}">
                <a14:hiddenEffects>
                  <a:effectLst>
                    <a:outerShdw dist="35921" dir="2700000" algn="ctr" rotWithShape="0">
                      <a:srgbClr val="808080"/>
                    </a:outerShdw>
                  </a:effectLst>
                </a14:hiddenEffects>
              </a:ext>
            </a:extLst>
          </xdr:spPr>
          <xdr:txBody>
            <a:bodyPr vertOverflow="clip" wrap="square" lIns="36576" tIns="27432" rIns="36576" bIns="27432" anchor="ctr" upright="1"/>
            <a:lstStyle/>
            <a:p>
              <a:pPr algn="ctr" rtl="0">
                <a:defRPr sz="1000"/>
              </a:pPr>
              <a:r>
                <a:rPr lang="en-US" sz="1000" b="1" i="0" u="none" strike="noStrike" baseline="0">
                  <a:solidFill>
                    <a:srgbClr val="0000FF"/>
                  </a:solidFill>
                  <a:latin typeface="Arial"/>
                  <a:cs typeface="Arial"/>
                </a:rPr>
                <a:t>Embed Option Into Swap Price</a:t>
              </a:r>
            </a:p>
          </xdr:txBody>
        </xdr:sp>
        <xdr:clientData/>
      </xdr:twoCellAnchor>
    </mc:Choice>
    <mc:Fallback/>
  </mc:AlternateContent>
  <xdr:twoCellAnchor>
    <xdr:from>
      <xdr:col>7</xdr:col>
      <xdr:colOff>0</xdr:colOff>
      <xdr:row>15</xdr:row>
      <xdr:rowOff>0</xdr:rowOff>
    </xdr:from>
    <xdr:to>
      <xdr:col>9</xdr:col>
      <xdr:colOff>0</xdr:colOff>
      <xdr:row>18</xdr:row>
      <xdr:rowOff>0</xdr:rowOff>
    </xdr:to>
    <xdr:sp macro="" textlink="">
      <xdr:nvSpPr>
        <xdr:cNvPr id="1181" name="Rectangle 157"/>
        <xdr:cNvSpPr>
          <a:spLocks noChangeArrowheads="1"/>
        </xdr:cNvSpPr>
      </xdr:nvSpPr>
      <xdr:spPr bwMode="auto">
        <a:xfrm>
          <a:off x="5730240" y="3299460"/>
          <a:ext cx="2697480" cy="7239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mc:AlternateContent xmlns:mc="http://schemas.openxmlformats.org/markup-compatibility/2006">
    <mc:Choice xmlns:a14="http://schemas.microsoft.com/office/drawing/2010/main" Requires="a14">
      <xdr:twoCellAnchor editAs="oneCell">
        <xdr:from>
          <xdr:col>1</xdr:col>
          <xdr:colOff>91440</xdr:colOff>
          <xdr:row>36</xdr:row>
          <xdr:rowOff>30480</xdr:rowOff>
        </xdr:from>
        <xdr:to>
          <xdr:col>1</xdr:col>
          <xdr:colOff>1333500</xdr:colOff>
          <xdr:row>36</xdr:row>
          <xdr:rowOff>228600</xdr:rowOff>
        </xdr:to>
        <xdr:sp macro="" textlink="">
          <xdr:nvSpPr>
            <xdr:cNvPr id="1207" name="Option Button 183" hidden="1">
              <a:extLst>
                <a:ext uri="{63B3BB69-23CF-44E3-9099-C40C66FF867C}">
                  <a14:compatExt spid="_x0000_s1207"/>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Buy Cap, Sell Floor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1379220</xdr:colOff>
          <xdr:row>36</xdr:row>
          <xdr:rowOff>30480</xdr:rowOff>
        </xdr:from>
        <xdr:to>
          <xdr:col>2</xdr:col>
          <xdr:colOff>1226820</xdr:colOff>
          <xdr:row>36</xdr:row>
          <xdr:rowOff>228600</xdr:rowOff>
        </xdr:to>
        <xdr:sp macro="" textlink="">
          <xdr:nvSpPr>
            <xdr:cNvPr id="1208" name="Option Button 184" hidden="1">
              <a:extLst>
                <a:ext uri="{63B3BB69-23CF-44E3-9099-C40C66FF867C}">
                  <a14:compatExt spid="_x0000_s1208"/>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Sell Cap, Buy Floor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76200</xdr:colOff>
          <xdr:row>37</xdr:row>
          <xdr:rowOff>30480</xdr:rowOff>
        </xdr:from>
        <xdr:to>
          <xdr:col>1</xdr:col>
          <xdr:colOff>1318260</xdr:colOff>
          <xdr:row>37</xdr:row>
          <xdr:rowOff>228600</xdr:rowOff>
        </xdr:to>
        <xdr:sp macro="" textlink="">
          <xdr:nvSpPr>
            <xdr:cNvPr id="1209" name="Option Button 185" hidden="1">
              <a:extLst>
                <a:ext uri="{63B3BB69-23CF-44E3-9099-C40C66FF867C}">
                  <a14:compatExt spid="_x0000_s1209"/>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Cap Is Specified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1371600</xdr:colOff>
          <xdr:row>37</xdr:row>
          <xdr:rowOff>30480</xdr:rowOff>
        </xdr:from>
        <xdr:to>
          <xdr:col>2</xdr:col>
          <xdr:colOff>1158240</xdr:colOff>
          <xdr:row>37</xdr:row>
          <xdr:rowOff>251460</xdr:rowOff>
        </xdr:to>
        <xdr:sp macro="" textlink="">
          <xdr:nvSpPr>
            <xdr:cNvPr id="1210" name="Option Button 186" hidden="1">
              <a:extLst>
                <a:ext uri="{63B3BB69-23CF-44E3-9099-C40C66FF867C}">
                  <a14:compatExt spid="_x0000_s121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Floor Is Specified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914400</xdr:colOff>
          <xdr:row>39</xdr:row>
          <xdr:rowOff>30480</xdr:rowOff>
        </xdr:from>
        <xdr:to>
          <xdr:col>2</xdr:col>
          <xdr:colOff>38100</xdr:colOff>
          <xdr:row>39</xdr:row>
          <xdr:rowOff>228600</xdr:rowOff>
        </xdr:to>
        <xdr:sp macro="" textlink="">
          <xdr:nvSpPr>
            <xdr:cNvPr id="1211" name="Option Button 187" hidden="1">
              <a:extLst>
                <a:ext uri="{63B3BB69-23CF-44E3-9099-C40C66FF867C}">
                  <a14:compatExt spid="_x0000_s1211"/>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Hourly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39</xdr:row>
          <xdr:rowOff>30480</xdr:rowOff>
        </xdr:from>
        <xdr:to>
          <xdr:col>2</xdr:col>
          <xdr:colOff>525780</xdr:colOff>
          <xdr:row>39</xdr:row>
          <xdr:rowOff>228600</xdr:rowOff>
        </xdr:to>
        <xdr:sp macro="" textlink="">
          <xdr:nvSpPr>
            <xdr:cNvPr id="1212" name="Option Button 188" hidden="1">
              <a:extLst>
                <a:ext uri="{63B3BB69-23CF-44E3-9099-C40C66FF867C}">
                  <a14:compatExt spid="_x0000_s1212"/>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Daily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xdr:colOff>
          <xdr:row>40</xdr:row>
          <xdr:rowOff>30480</xdr:rowOff>
        </xdr:from>
        <xdr:to>
          <xdr:col>2</xdr:col>
          <xdr:colOff>777240</xdr:colOff>
          <xdr:row>40</xdr:row>
          <xdr:rowOff>228600</xdr:rowOff>
        </xdr:to>
        <xdr:sp macro="" textlink="">
          <xdr:nvSpPr>
            <xdr:cNvPr id="1213" name="Option Button 189" hidden="1">
              <a:extLst>
                <a:ext uri="{63B3BB69-23CF-44E3-9099-C40C66FF867C}">
                  <a14:compatExt spid="_x0000_s1213"/>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Bid / Offer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784860</xdr:colOff>
          <xdr:row>40</xdr:row>
          <xdr:rowOff>38100</xdr:rowOff>
        </xdr:from>
        <xdr:to>
          <xdr:col>2</xdr:col>
          <xdr:colOff>1234440</xdr:colOff>
          <xdr:row>40</xdr:row>
          <xdr:rowOff>236220</xdr:rowOff>
        </xdr:to>
        <xdr:sp macro="" textlink="">
          <xdr:nvSpPr>
            <xdr:cNvPr id="1214" name="Option Button 190" hidden="1">
              <a:extLst>
                <a:ext uri="{63B3BB69-23CF-44E3-9099-C40C66FF867C}">
                  <a14:compatExt spid="_x0000_s1214"/>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Mid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914400</xdr:colOff>
          <xdr:row>41</xdr:row>
          <xdr:rowOff>38100</xdr:rowOff>
        </xdr:from>
        <xdr:to>
          <xdr:col>1</xdr:col>
          <xdr:colOff>1470660</xdr:colOff>
          <xdr:row>41</xdr:row>
          <xdr:rowOff>236220</xdr:rowOff>
        </xdr:to>
        <xdr:sp macro="" textlink="">
          <xdr:nvSpPr>
            <xdr:cNvPr id="1216" name="Option Button 192" hidden="1">
              <a:extLst>
                <a:ext uri="{63B3BB69-23CF-44E3-9099-C40C66FF867C}">
                  <a14:compatExt spid="_x0000_s1216"/>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None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30480</xdr:colOff>
          <xdr:row>41</xdr:row>
          <xdr:rowOff>7620</xdr:rowOff>
        </xdr:from>
        <xdr:to>
          <xdr:col>2</xdr:col>
          <xdr:colOff>586740</xdr:colOff>
          <xdr:row>41</xdr:row>
          <xdr:rowOff>243840</xdr:rowOff>
        </xdr:to>
        <xdr:sp macro="" textlink="">
          <xdr:nvSpPr>
            <xdr:cNvPr id="1217" name="Option Button 193" hidden="1">
              <a:extLst>
                <a:ext uri="{63B3BB69-23CF-44E3-9099-C40C66FF867C}">
                  <a14:compatExt spid="_x0000_s1217"/>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Book</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586740</xdr:colOff>
          <xdr:row>41</xdr:row>
          <xdr:rowOff>38100</xdr:rowOff>
        </xdr:from>
        <xdr:to>
          <xdr:col>2</xdr:col>
          <xdr:colOff>1211580</xdr:colOff>
          <xdr:row>41</xdr:row>
          <xdr:rowOff>236220</xdr:rowOff>
        </xdr:to>
        <xdr:sp macro="" textlink="">
          <xdr:nvSpPr>
            <xdr:cNvPr id="1218" name="Option Button 194" hidden="1">
              <a:extLst>
                <a:ext uri="{63B3BB69-23CF-44E3-9099-C40C66FF867C}">
                  <a14:compatExt spid="_x0000_s1218"/>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Model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1363980</xdr:colOff>
          <xdr:row>37</xdr:row>
          <xdr:rowOff>30480</xdr:rowOff>
        </xdr:from>
        <xdr:to>
          <xdr:col>5</xdr:col>
          <xdr:colOff>350520</xdr:colOff>
          <xdr:row>37</xdr:row>
          <xdr:rowOff>228600</xdr:rowOff>
        </xdr:to>
        <xdr:sp macro="" textlink="">
          <xdr:nvSpPr>
            <xdr:cNvPr id="1219" name="Option Button 195" hidden="1">
              <a:extLst>
                <a:ext uri="{63B3BB69-23CF-44E3-9099-C40C66FF867C}">
                  <a14:compatExt spid="_x0000_s1219"/>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Bid / Offer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381000</xdr:colOff>
          <xdr:row>37</xdr:row>
          <xdr:rowOff>30480</xdr:rowOff>
        </xdr:from>
        <xdr:to>
          <xdr:col>5</xdr:col>
          <xdr:colOff>861060</xdr:colOff>
          <xdr:row>37</xdr:row>
          <xdr:rowOff>228600</xdr:rowOff>
        </xdr:to>
        <xdr:sp macro="" textlink="">
          <xdr:nvSpPr>
            <xdr:cNvPr id="1220" name="Option Button 196" hidden="1">
              <a:extLst>
                <a:ext uri="{63B3BB69-23CF-44E3-9099-C40C66FF867C}">
                  <a14:compatExt spid="_x0000_s122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Mid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1325880</xdr:colOff>
          <xdr:row>37</xdr:row>
          <xdr:rowOff>38100</xdr:rowOff>
        </xdr:from>
        <xdr:to>
          <xdr:col>8</xdr:col>
          <xdr:colOff>350520</xdr:colOff>
          <xdr:row>37</xdr:row>
          <xdr:rowOff>251460</xdr:rowOff>
        </xdr:to>
        <xdr:sp macro="" textlink="">
          <xdr:nvSpPr>
            <xdr:cNvPr id="1222" name="Option Button 198" hidden="1">
              <a:extLst>
                <a:ext uri="{63B3BB69-23CF-44E3-9099-C40C66FF867C}">
                  <a14:compatExt spid="_x0000_s1222"/>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Bid / Offer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381000</xdr:colOff>
          <xdr:row>37</xdr:row>
          <xdr:rowOff>38100</xdr:rowOff>
        </xdr:from>
        <xdr:to>
          <xdr:col>8</xdr:col>
          <xdr:colOff>876300</xdr:colOff>
          <xdr:row>37</xdr:row>
          <xdr:rowOff>243840</xdr:rowOff>
        </xdr:to>
        <xdr:sp macro="" textlink="">
          <xdr:nvSpPr>
            <xdr:cNvPr id="1223" name="Option Button 199" hidden="1">
              <a:extLst>
                <a:ext uri="{63B3BB69-23CF-44E3-9099-C40C66FF867C}">
                  <a14:compatExt spid="_x0000_s1223"/>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Mid</a:t>
              </a:r>
            </a:p>
          </xdr:txBody>
        </xdr:sp>
        <xdr:clientData/>
      </xdr:twoCellAnchor>
    </mc:Choice>
    <mc:Fallback/>
  </mc:AlternateContent>
  <mc:AlternateContent xmlns:mc="http://schemas.openxmlformats.org/markup-compatibility/2006">
    <mc:Choice xmlns:a14="http://schemas.microsoft.com/office/drawing/2010/main" Requires="a14">
      <xdr:twoCellAnchor>
        <xdr:from>
          <xdr:col>10</xdr:col>
          <xdr:colOff>0</xdr:colOff>
          <xdr:row>41</xdr:row>
          <xdr:rowOff>0</xdr:rowOff>
        </xdr:from>
        <xdr:to>
          <xdr:col>12</xdr:col>
          <xdr:colOff>0</xdr:colOff>
          <xdr:row>41</xdr:row>
          <xdr:rowOff>236220</xdr:rowOff>
        </xdr:to>
        <xdr:sp macro="" textlink="">
          <xdr:nvSpPr>
            <xdr:cNvPr id="1225" name="Button 201" hidden="1">
              <a:extLst>
                <a:ext uri="{63B3BB69-23CF-44E3-9099-C40C66FF867C}">
                  <a14:compatExt spid="_x0000_s1225"/>
                </a:ext>
              </a:extLst>
            </xdr:cNvPr>
            <xdr:cNvSpPr/>
          </xdr:nvSpPr>
          <xdr:spPr bwMode="auto">
            <a:xfrm>
              <a:off x="0" y="0"/>
              <a:ext cx="0" cy="0"/>
            </a:xfrm>
            <a:prstGeom prst="rect">
              <a:avLst/>
            </a:prstGeom>
            <a:noFill/>
            <a:ln>
              <a:noFill/>
            </a:ln>
            <a:effectLst/>
            <a:extLst>
              <a:ext uri="{91240B29-F687-4F45-9708-019B960494DF}">
                <a14:hiddenLine w="9525">
                  <a:noFill/>
                  <a:miter lim="800000"/>
                  <a:headEnd/>
                  <a:tailEnd/>
                </a14:hiddenLine>
              </a:ext>
              <a:ext uri="{AF507438-7753-43E0-B8FC-AC1667EBCBE1}">
                <a14:hiddenEffects>
                  <a:effectLst>
                    <a:outerShdw dist="35921" dir="2700000" algn="ctr" rotWithShape="0">
                      <a:srgbClr val="808080"/>
                    </a:outerShdw>
                  </a:effectLst>
                </a14:hiddenEffects>
              </a:ext>
            </a:extLst>
          </xdr:spPr>
          <xdr:txBody>
            <a:bodyPr vertOverflow="clip" wrap="square" lIns="36576" tIns="27432" rIns="36576" bIns="27432" anchor="ctr" upright="1"/>
            <a:lstStyle/>
            <a:p>
              <a:pPr algn="ctr" rtl="0">
                <a:defRPr sz="1000"/>
              </a:pPr>
              <a:r>
                <a:rPr lang="en-US" sz="1000" b="1" i="0" u="none" strike="noStrike" baseline="0">
                  <a:solidFill>
                    <a:srgbClr val="0000FF"/>
                  </a:solidFill>
                  <a:latin typeface="Arial"/>
                  <a:cs typeface="Arial"/>
                </a:rPr>
                <a:t>Calculate Costless Collar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36</xdr:row>
          <xdr:rowOff>0</xdr:rowOff>
        </xdr:from>
        <xdr:to>
          <xdr:col>3</xdr:col>
          <xdr:colOff>0</xdr:colOff>
          <xdr:row>37</xdr:row>
          <xdr:rowOff>0</xdr:rowOff>
        </xdr:to>
        <xdr:sp macro="" textlink="">
          <xdr:nvSpPr>
            <xdr:cNvPr id="1226" name="Group Box 202" hidden="1">
              <a:extLst>
                <a:ext uri="{63B3BB69-23CF-44E3-9099-C40C66FF867C}">
                  <a14:compatExt spid="_x0000_s1226"/>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37</xdr:row>
          <xdr:rowOff>0</xdr:rowOff>
        </xdr:from>
        <xdr:to>
          <xdr:col>2</xdr:col>
          <xdr:colOff>1264920</xdr:colOff>
          <xdr:row>38</xdr:row>
          <xdr:rowOff>0</xdr:rowOff>
        </xdr:to>
        <xdr:sp macro="" textlink="">
          <xdr:nvSpPr>
            <xdr:cNvPr id="1227" name="Group Box 203" hidden="1">
              <a:extLst>
                <a:ext uri="{63B3BB69-23CF-44E3-9099-C40C66FF867C}">
                  <a14:compatExt spid="_x0000_s122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883920</xdr:colOff>
          <xdr:row>39</xdr:row>
          <xdr:rowOff>0</xdr:rowOff>
        </xdr:from>
        <xdr:to>
          <xdr:col>3</xdr:col>
          <xdr:colOff>0</xdr:colOff>
          <xdr:row>40</xdr:row>
          <xdr:rowOff>0</xdr:rowOff>
        </xdr:to>
        <xdr:sp macro="" textlink="">
          <xdr:nvSpPr>
            <xdr:cNvPr id="1228" name="Group Box 204" hidden="1">
              <a:extLst>
                <a:ext uri="{63B3BB69-23CF-44E3-9099-C40C66FF867C}">
                  <a14:compatExt spid="_x0000_s122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40</xdr:row>
          <xdr:rowOff>0</xdr:rowOff>
        </xdr:from>
        <xdr:to>
          <xdr:col>3</xdr:col>
          <xdr:colOff>0</xdr:colOff>
          <xdr:row>41</xdr:row>
          <xdr:rowOff>0</xdr:rowOff>
        </xdr:to>
        <xdr:sp macro="" textlink="">
          <xdr:nvSpPr>
            <xdr:cNvPr id="1229" name="Group Box 205" hidden="1">
              <a:extLst>
                <a:ext uri="{63B3BB69-23CF-44E3-9099-C40C66FF867C}">
                  <a14:compatExt spid="_x0000_s1229"/>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868680</xdr:colOff>
          <xdr:row>41</xdr:row>
          <xdr:rowOff>0</xdr:rowOff>
        </xdr:from>
        <xdr:to>
          <xdr:col>3</xdr:col>
          <xdr:colOff>0</xdr:colOff>
          <xdr:row>42</xdr:row>
          <xdr:rowOff>0</xdr:rowOff>
        </xdr:to>
        <xdr:sp macro="" textlink="">
          <xdr:nvSpPr>
            <xdr:cNvPr id="1230" name="Group Box 206" hidden="1">
              <a:extLst>
                <a:ext uri="{63B3BB69-23CF-44E3-9099-C40C66FF867C}">
                  <a14:compatExt spid="_x0000_s1230"/>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1333500</xdr:colOff>
          <xdr:row>37</xdr:row>
          <xdr:rowOff>0</xdr:rowOff>
        </xdr:from>
        <xdr:to>
          <xdr:col>6</xdr:col>
          <xdr:colOff>0</xdr:colOff>
          <xdr:row>38</xdr:row>
          <xdr:rowOff>0</xdr:rowOff>
        </xdr:to>
        <xdr:sp macro="" textlink="">
          <xdr:nvSpPr>
            <xdr:cNvPr id="1234" name="Group Box 210" hidden="1">
              <a:extLst>
                <a:ext uri="{63B3BB69-23CF-44E3-9099-C40C66FF867C}">
                  <a14:compatExt spid="_x0000_s1234"/>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1280160</xdr:colOff>
          <xdr:row>37</xdr:row>
          <xdr:rowOff>0</xdr:rowOff>
        </xdr:from>
        <xdr:to>
          <xdr:col>9</xdr:col>
          <xdr:colOff>0</xdr:colOff>
          <xdr:row>38</xdr:row>
          <xdr:rowOff>0</xdr:rowOff>
        </xdr:to>
        <xdr:sp macro="" textlink="">
          <xdr:nvSpPr>
            <xdr:cNvPr id="1235" name="Group Box 211" hidden="1">
              <a:extLst>
                <a:ext uri="{63B3BB69-23CF-44E3-9099-C40C66FF867C}">
                  <a14:compatExt spid="_x0000_s123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twoCellAnchor>
    <xdr:from>
      <xdr:col>1</xdr:col>
      <xdr:colOff>0</xdr:colOff>
      <xdr:row>15</xdr:row>
      <xdr:rowOff>0</xdr:rowOff>
    </xdr:from>
    <xdr:to>
      <xdr:col>3</xdr:col>
      <xdr:colOff>0</xdr:colOff>
      <xdr:row>18</xdr:row>
      <xdr:rowOff>0</xdr:rowOff>
    </xdr:to>
    <xdr:sp macro="" textlink="">
      <xdr:nvSpPr>
        <xdr:cNvPr id="1236" name="Rectangle 212"/>
        <xdr:cNvSpPr>
          <a:spLocks noChangeArrowheads="1"/>
        </xdr:cNvSpPr>
      </xdr:nvSpPr>
      <xdr:spPr bwMode="auto">
        <a:xfrm>
          <a:off x="91440" y="3299460"/>
          <a:ext cx="2750820" cy="7239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4</xdr:col>
      <xdr:colOff>0</xdr:colOff>
      <xdr:row>15</xdr:row>
      <xdr:rowOff>0</xdr:rowOff>
    </xdr:from>
    <xdr:to>
      <xdr:col>6</xdr:col>
      <xdr:colOff>0</xdr:colOff>
      <xdr:row>18</xdr:row>
      <xdr:rowOff>0</xdr:rowOff>
    </xdr:to>
    <xdr:sp macro="" textlink="">
      <xdr:nvSpPr>
        <xdr:cNvPr id="1237" name="Rectangle 213"/>
        <xdr:cNvSpPr>
          <a:spLocks noChangeArrowheads="1"/>
        </xdr:cNvSpPr>
      </xdr:nvSpPr>
      <xdr:spPr bwMode="auto">
        <a:xfrm>
          <a:off x="2933700" y="3299460"/>
          <a:ext cx="2705100" cy="7239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18</xdr:col>
      <xdr:colOff>0</xdr:colOff>
      <xdr:row>1</xdr:row>
      <xdr:rowOff>0</xdr:rowOff>
    </xdr:from>
    <xdr:to>
      <xdr:col>24</xdr:col>
      <xdr:colOff>0</xdr:colOff>
      <xdr:row>27</xdr:row>
      <xdr:rowOff>0</xdr:rowOff>
    </xdr:to>
    <xdr:sp macro="" textlink="">
      <xdr:nvSpPr>
        <xdr:cNvPr id="1247" name="Rectangle 223"/>
        <xdr:cNvSpPr>
          <a:spLocks noChangeArrowheads="1"/>
        </xdr:cNvSpPr>
      </xdr:nvSpPr>
      <xdr:spPr bwMode="auto">
        <a:xfrm>
          <a:off x="14401800" y="53340"/>
          <a:ext cx="3954780" cy="610362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10</xdr:col>
      <xdr:colOff>0</xdr:colOff>
      <xdr:row>1</xdr:row>
      <xdr:rowOff>0</xdr:rowOff>
    </xdr:from>
    <xdr:to>
      <xdr:col>12</xdr:col>
      <xdr:colOff>0</xdr:colOff>
      <xdr:row>5</xdr:row>
      <xdr:rowOff>0</xdr:rowOff>
    </xdr:to>
    <xdr:sp macro="" textlink="">
      <xdr:nvSpPr>
        <xdr:cNvPr id="1264" name="Rectangle 240"/>
        <xdr:cNvSpPr>
          <a:spLocks noChangeArrowheads="1"/>
        </xdr:cNvSpPr>
      </xdr:nvSpPr>
      <xdr:spPr bwMode="auto">
        <a:xfrm>
          <a:off x="8519160" y="53340"/>
          <a:ext cx="2590800" cy="90678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7</xdr:col>
      <xdr:colOff>0</xdr:colOff>
      <xdr:row>12</xdr:row>
      <xdr:rowOff>0</xdr:rowOff>
    </xdr:from>
    <xdr:to>
      <xdr:col>9</xdr:col>
      <xdr:colOff>0</xdr:colOff>
      <xdr:row>14</xdr:row>
      <xdr:rowOff>0</xdr:rowOff>
    </xdr:to>
    <xdr:sp macro="" textlink="">
      <xdr:nvSpPr>
        <xdr:cNvPr id="1272" name="Rectangle 248"/>
        <xdr:cNvSpPr>
          <a:spLocks noChangeArrowheads="1"/>
        </xdr:cNvSpPr>
      </xdr:nvSpPr>
      <xdr:spPr bwMode="auto">
        <a:xfrm>
          <a:off x="5730240" y="2651760"/>
          <a:ext cx="2697480" cy="4191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10</xdr:col>
      <xdr:colOff>0</xdr:colOff>
      <xdr:row>12</xdr:row>
      <xdr:rowOff>0</xdr:rowOff>
    </xdr:from>
    <xdr:to>
      <xdr:col>12</xdr:col>
      <xdr:colOff>0</xdr:colOff>
      <xdr:row>14</xdr:row>
      <xdr:rowOff>0</xdr:rowOff>
    </xdr:to>
    <xdr:sp macro="" textlink="">
      <xdr:nvSpPr>
        <xdr:cNvPr id="1273" name="Rectangle 249"/>
        <xdr:cNvSpPr>
          <a:spLocks noChangeArrowheads="1"/>
        </xdr:cNvSpPr>
      </xdr:nvSpPr>
      <xdr:spPr bwMode="auto">
        <a:xfrm>
          <a:off x="8519160" y="2651760"/>
          <a:ext cx="2590800" cy="4191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xdr:col>
      <xdr:colOff>0</xdr:colOff>
      <xdr:row>10</xdr:row>
      <xdr:rowOff>0</xdr:rowOff>
    </xdr:from>
    <xdr:to>
      <xdr:col>3</xdr:col>
      <xdr:colOff>0</xdr:colOff>
      <xdr:row>14</xdr:row>
      <xdr:rowOff>0</xdr:rowOff>
    </xdr:to>
    <xdr:sp macro="" textlink="">
      <xdr:nvSpPr>
        <xdr:cNvPr id="1278" name="Rectangle 254"/>
        <xdr:cNvSpPr>
          <a:spLocks noChangeArrowheads="1"/>
        </xdr:cNvSpPr>
      </xdr:nvSpPr>
      <xdr:spPr bwMode="auto">
        <a:xfrm>
          <a:off x="91440" y="2202180"/>
          <a:ext cx="2750820" cy="86868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4</xdr:col>
      <xdr:colOff>0</xdr:colOff>
      <xdr:row>11</xdr:row>
      <xdr:rowOff>0</xdr:rowOff>
    </xdr:from>
    <xdr:to>
      <xdr:col>6</xdr:col>
      <xdr:colOff>0</xdr:colOff>
      <xdr:row>14</xdr:row>
      <xdr:rowOff>0</xdr:rowOff>
    </xdr:to>
    <xdr:sp macro="" textlink="">
      <xdr:nvSpPr>
        <xdr:cNvPr id="1279" name="Rectangle 255"/>
        <xdr:cNvSpPr>
          <a:spLocks noChangeArrowheads="1"/>
        </xdr:cNvSpPr>
      </xdr:nvSpPr>
      <xdr:spPr bwMode="auto">
        <a:xfrm>
          <a:off x="2933700" y="2446020"/>
          <a:ext cx="2705100" cy="62484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mc:AlternateContent xmlns:mc="http://schemas.openxmlformats.org/markup-compatibility/2006">
    <mc:Choice xmlns:a14="http://schemas.microsoft.com/office/drawing/2010/main" Requires="a14">
      <xdr:twoCellAnchor editAs="oneCell">
        <xdr:from>
          <xdr:col>13</xdr:col>
          <xdr:colOff>0</xdr:colOff>
          <xdr:row>4</xdr:row>
          <xdr:rowOff>7620</xdr:rowOff>
        </xdr:from>
        <xdr:to>
          <xdr:col>14</xdr:col>
          <xdr:colOff>38100</xdr:colOff>
          <xdr:row>4</xdr:row>
          <xdr:rowOff>220980</xdr:rowOff>
        </xdr:to>
        <xdr:sp macro="" textlink="">
          <xdr:nvSpPr>
            <xdr:cNvPr id="1286" name="Check Box 262" hidden="1">
              <a:extLst>
                <a:ext uri="{63B3BB69-23CF-44E3-9099-C40C66FF867C}">
                  <a14:compatExt spid="_x0000_s1286"/>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1 Jan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5</xdr:row>
          <xdr:rowOff>7620</xdr:rowOff>
        </xdr:from>
        <xdr:to>
          <xdr:col>14</xdr:col>
          <xdr:colOff>30480</xdr:colOff>
          <xdr:row>5</xdr:row>
          <xdr:rowOff>220980</xdr:rowOff>
        </xdr:to>
        <xdr:sp macro="" textlink="">
          <xdr:nvSpPr>
            <xdr:cNvPr id="1298" name="Check Box 274" hidden="1">
              <a:extLst>
                <a:ext uri="{63B3BB69-23CF-44E3-9099-C40C66FF867C}">
                  <a14:compatExt spid="_x0000_s1298"/>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2 Feb</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6</xdr:row>
          <xdr:rowOff>7620</xdr:rowOff>
        </xdr:from>
        <xdr:to>
          <xdr:col>14</xdr:col>
          <xdr:colOff>38100</xdr:colOff>
          <xdr:row>6</xdr:row>
          <xdr:rowOff>220980</xdr:rowOff>
        </xdr:to>
        <xdr:sp macro="" textlink="">
          <xdr:nvSpPr>
            <xdr:cNvPr id="1299" name="Check Box 275" hidden="1">
              <a:extLst>
                <a:ext uri="{63B3BB69-23CF-44E3-9099-C40C66FF867C}">
                  <a14:compatExt spid="_x0000_s1299"/>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3 Mar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7</xdr:row>
          <xdr:rowOff>7620</xdr:rowOff>
        </xdr:from>
        <xdr:to>
          <xdr:col>14</xdr:col>
          <xdr:colOff>30480</xdr:colOff>
          <xdr:row>7</xdr:row>
          <xdr:rowOff>220980</xdr:rowOff>
        </xdr:to>
        <xdr:sp macro="" textlink="">
          <xdr:nvSpPr>
            <xdr:cNvPr id="1300" name="Check Box 276" hidden="1">
              <a:extLst>
                <a:ext uri="{63B3BB69-23CF-44E3-9099-C40C66FF867C}">
                  <a14:compatExt spid="_x0000_s13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4 Apr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8</xdr:row>
          <xdr:rowOff>7620</xdr:rowOff>
        </xdr:from>
        <xdr:to>
          <xdr:col>14</xdr:col>
          <xdr:colOff>38100</xdr:colOff>
          <xdr:row>9</xdr:row>
          <xdr:rowOff>0</xdr:rowOff>
        </xdr:to>
        <xdr:sp macro="" textlink="">
          <xdr:nvSpPr>
            <xdr:cNvPr id="1301" name="Check Box 277" hidden="1">
              <a:extLst>
                <a:ext uri="{63B3BB69-23CF-44E3-9099-C40C66FF867C}">
                  <a14:compatExt spid="_x0000_s1301"/>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5 May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9</xdr:row>
          <xdr:rowOff>7620</xdr:rowOff>
        </xdr:from>
        <xdr:to>
          <xdr:col>14</xdr:col>
          <xdr:colOff>38100</xdr:colOff>
          <xdr:row>9</xdr:row>
          <xdr:rowOff>220980</xdr:rowOff>
        </xdr:to>
        <xdr:sp macro="" textlink="">
          <xdr:nvSpPr>
            <xdr:cNvPr id="1302" name="Check Box 278" hidden="1">
              <a:extLst>
                <a:ext uri="{63B3BB69-23CF-44E3-9099-C40C66FF867C}">
                  <a14:compatExt spid="_x0000_s1302"/>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6 Jun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10</xdr:row>
          <xdr:rowOff>7620</xdr:rowOff>
        </xdr:from>
        <xdr:to>
          <xdr:col>14</xdr:col>
          <xdr:colOff>38100</xdr:colOff>
          <xdr:row>10</xdr:row>
          <xdr:rowOff>220980</xdr:rowOff>
        </xdr:to>
        <xdr:sp macro="" textlink="">
          <xdr:nvSpPr>
            <xdr:cNvPr id="1303" name="Check Box 279" hidden="1">
              <a:extLst>
                <a:ext uri="{63B3BB69-23CF-44E3-9099-C40C66FF867C}">
                  <a14:compatExt spid="_x0000_s1303"/>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7 Jul</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11</xdr:row>
          <xdr:rowOff>7620</xdr:rowOff>
        </xdr:from>
        <xdr:to>
          <xdr:col>14</xdr:col>
          <xdr:colOff>38100</xdr:colOff>
          <xdr:row>12</xdr:row>
          <xdr:rowOff>7620</xdr:rowOff>
        </xdr:to>
        <xdr:sp macro="" textlink="">
          <xdr:nvSpPr>
            <xdr:cNvPr id="1304" name="Check Box 280" hidden="1">
              <a:extLst>
                <a:ext uri="{63B3BB69-23CF-44E3-9099-C40C66FF867C}">
                  <a14:compatExt spid="_x0000_s1304"/>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8 Aug</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12</xdr:row>
          <xdr:rowOff>7620</xdr:rowOff>
        </xdr:from>
        <xdr:to>
          <xdr:col>14</xdr:col>
          <xdr:colOff>38100</xdr:colOff>
          <xdr:row>13</xdr:row>
          <xdr:rowOff>7620</xdr:rowOff>
        </xdr:to>
        <xdr:sp macro="" textlink="">
          <xdr:nvSpPr>
            <xdr:cNvPr id="1305" name="Check Box 281" hidden="1">
              <a:extLst>
                <a:ext uri="{63B3BB69-23CF-44E3-9099-C40C66FF867C}">
                  <a14:compatExt spid="_x0000_s1305"/>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9 Sep</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13</xdr:row>
          <xdr:rowOff>7620</xdr:rowOff>
        </xdr:from>
        <xdr:to>
          <xdr:col>14</xdr:col>
          <xdr:colOff>38100</xdr:colOff>
          <xdr:row>14</xdr:row>
          <xdr:rowOff>0</xdr:rowOff>
        </xdr:to>
        <xdr:sp macro="" textlink="">
          <xdr:nvSpPr>
            <xdr:cNvPr id="1306" name="Check Box 282" hidden="1">
              <a:extLst>
                <a:ext uri="{63B3BB69-23CF-44E3-9099-C40C66FF867C}">
                  <a14:compatExt spid="_x0000_s1306"/>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10 Oct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13</xdr:row>
          <xdr:rowOff>243840</xdr:rowOff>
        </xdr:from>
        <xdr:to>
          <xdr:col>14</xdr:col>
          <xdr:colOff>38100</xdr:colOff>
          <xdr:row>14</xdr:row>
          <xdr:rowOff>220980</xdr:rowOff>
        </xdr:to>
        <xdr:sp macro="" textlink="">
          <xdr:nvSpPr>
            <xdr:cNvPr id="1307" name="Check Box 283" hidden="1">
              <a:extLst>
                <a:ext uri="{63B3BB69-23CF-44E3-9099-C40C66FF867C}">
                  <a14:compatExt spid="_x0000_s1307"/>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11 Nov</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15</xdr:row>
          <xdr:rowOff>7620</xdr:rowOff>
        </xdr:from>
        <xdr:to>
          <xdr:col>14</xdr:col>
          <xdr:colOff>38100</xdr:colOff>
          <xdr:row>16</xdr:row>
          <xdr:rowOff>0</xdr:rowOff>
        </xdr:to>
        <xdr:sp macro="" textlink="">
          <xdr:nvSpPr>
            <xdr:cNvPr id="1308" name="Check Box 284" hidden="1">
              <a:extLst>
                <a:ext uri="{63B3BB69-23CF-44E3-9099-C40C66FF867C}">
                  <a14:compatExt spid="_x0000_s1308"/>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12 Dec</a:t>
              </a:r>
            </a:p>
          </xdr:txBody>
        </xdr:sp>
        <xdr:clientData/>
      </xdr:twoCellAnchor>
    </mc:Choice>
    <mc:Fallback/>
  </mc:AlternateContent>
  <mc:AlternateContent xmlns:mc="http://schemas.openxmlformats.org/markup-compatibility/2006">
    <mc:Choice xmlns:a14="http://schemas.microsoft.com/office/drawing/2010/main" Requires="a14">
      <xdr:twoCellAnchor>
        <xdr:from>
          <xdr:col>10</xdr:col>
          <xdr:colOff>0</xdr:colOff>
          <xdr:row>21</xdr:row>
          <xdr:rowOff>0</xdr:rowOff>
        </xdr:from>
        <xdr:to>
          <xdr:col>11</xdr:col>
          <xdr:colOff>830580</xdr:colOff>
          <xdr:row>22</xdr:row>
          <xdr:rowOff>0</xdr:rowOff>
        </xdr:to>
        <xdr:sp macro="" textlink="">
          <xdr:nvSpPr>
            <xdr:cNvPr id="1311" name="Button 287" hidden="1">
              <a:extLst>
                <a:ext uri="{63B3BB69-23CF-44E3-9099-C40C66FF867C}">
                  <a14:compatExt spid="_x0000_s1311"/>
                </a:ext>
              </a:extLst>
            </xdr:cNvPr>
            <xdr:cNvSpPr/>
          </xdr:nvSpPr>
          <xdr:spPr bwMode="auto">
            <a:xfrm>
              <a:off x="0" y="0"/>
              <a:ext cx="0" cy="0"/>
            </a:xfrm>
            <a:prstGeom prst="rect">
              <a:avLst/>
            </a:prstGeom>
            <a:noFill/>
            <a:ln>
              <a:noFill/>
            </a:ln>
            <a:effectLst/>
            <a:extLst>
              <a:ext uri="{91240B29-F687-4F45-9708-019B960494DF}">
                <a14:hiddenLine w="9525">
                  <a:noFill/>
                  <a:miter lim="800000"/>
                  <a:headEnd/>
                  <a:tailEnd/>
                </a14:hiddenLine>
              </a:ext>
              <a:ext uri="{AF507438-7753-43E0-B8FC-AC1667EBCBE1}">
                <a14:hiddenEffects>
                  <a:effectLst>
                    <a:outerShdw dist="35921" dir="2700000" algn="ctr" rotWithShape="0">
                      <a:srgbClr val="808080"/>
                    </a:outerShdw>
                  </a:effectLst>
                </a14:hiddenEffects>
              </a:ext>
            </a:extLst>
          </xdr:spPr>
          <xdr:txBody>
            <a:bodyPr vertOverflow="clip" wrap="square" lIns="36576" tIns="27432" rIns="36576" bIns="27432" anchor="ctr" upright="1"/>
            <a:lstStyle/>
            <a:p>
              <a:pPr algn="ctr" rtl="0">
                <a:defRPr sz="1000"/>
              </a:pPr>
              <a:r>
                <a:rPr lang="en-US" sz="1000" b="1" i="0" u="none" strike="noStrike" baseline="0">
                  <a:solidFill>
                    <a:srgbClr val="0000FF"/>
                  </a:solidFill>
                  <a:latin typeface="Arial"/>
                  <a:cs typeface="Arial"/>
                </a:rPr>
                <a:t>Calculate Option Implied Volatility</a:t>
              </a:r>
            </a:p>
          </xdr:txBody>
        </xdr:sp>
        <xdr:clientData/>
      </xdr:twoCellAnchor>
    </mc:Choice>
    <mc:Fallback/>
  </mc:AlternateContent>
  <xdr:twoCellAnchor>
    <xdr:from>
      <xdr:col>10</xdr:col>
      <xdr:colOff>0</xdr:colOff>
      <xdr:row>24</xdr:row>
      <xdr:rowOff>0</xdr:rowOff>
    </xdr:from>
    <xdr:to>
      <xdr:col>12</xdr:col>
      <xdr:colOff>0</xdr:colOff>
      <xdr:row>26</xdr:row>
      <xdr:rowOff>0</xdr:rowOff>
    </xdr:to>
    <xdr:sp macro="" textlink="">
      <xdr:nvSpPr>
        <xdr:cNvPr id="1322" name="Rectangle 298"/>
        <xdr:cNvSpPr>
          <a:spLocks noChangeArrowheads="1"/>
        </xdr:cNvSpPr>
      </xdr:nvSpPr>
      <xdr:spPr bwMode="auto">
        <a:xfrm>
          <a:off x="8519160" y="5433060"/>
          <a:ext cx="2590800" cy="4572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10</xdr:col>
      <xdr:colOff>0</xdr:colOff>
      <xdr:row>40</xdr:row>
      <xdr:rowOff>0</xdr:rowOff>
    </xdr:from>
    <xdr:to>
      <xdr:col>12</xdr:col>
      <xdr:colOff>0</xdr:colOff>
      <xdr:row>42</xdr:row>
      <xdr:rowOff>0</xdr:rowOff>
    </xdr:to>
    <xdr:sp macro="" textlink="">
      <xdr:nvSpPr>
        <xdr:cNvPr id="1325" name="Rectangle 301"/>
        <xdr:cNvSpPr>
          <a:spLocks noChangeArrowheads="1"/>
        </xdr:cNvSpPr>
      </xdr:nvSpPr>
      <xdr:spPr bwMode="auto">
        <a:xfrm>
          <a:off x="8519160" y="9555480"/>
          <a:ext cx="2590800" cy="5334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4</xdr:col>
      <xdr:colOff>0</xdr:colOff>
      <xdr:row>36</xdr:row>
      <xdr:rowOff>0</xdr:rowOff>
    </xdr:from>
    <xdr:to>
      <xdr:col>6</xdr:col>
      <xdr:colOff>0</xdr:colOff>
      <xdr:row>42</xdr:row>
      <xdr:rowOff>0</xdr:rowOff>
    </xdr:to>
    <xdr:sp macro="" textlink="">
      <xdr:nvSpPr>
        <xdr:cNvPr id="1337" name="Rectangle 313"/>
        <xdr:cNvSpPr>
          <a:spLocks noChangeArrowheads="1"/>
        </xdr:cNvSpPr>
      </xdr:nvSpPr>
      <xdr:spPr bwMode="auto">
        <a:xfrm>
          <a:off x="2933700" y="8488680"/>
          <a:ext cx="2705100" cy="16002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7</xdr:col>
      <xdr:colOff>0</xdr:colOff>
      <xdr:row>36</xdr:row>
      <xdr:rowOff>0</xdr:rowOff>
    </xdr:from>
    <xdr:to>
      <xdr:col>9</xdr:col>
      <xdr:colOff>0</xdr:colOff>
      <xdr:row>42</xdr:row>
      <xdr:rowOff>0</xdr:rowOff>
    </xdr:to>
    <xdr:sp macro="" textlink="">
      <xdr:nvSpPr>
        <xdr:cNvPr id="1339" name="Rectangle 315"/>
        <xdr:cNvSpPr>
          <a:spLocks noChangeArrowheads="1"/>
        </xdr:cNvSpPr>
      </xdr:nvSpPr>
      <xdr:spPr bwMode="auto">
        <a:xfrm>
          <a:off x="5730240" y="8488680"/>
          <a:ext cx="2697480" cy="16002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25</xdr:col>
      <xdr:colOff>0</xdr:colOff>
      <xdr:row>1</xdr:row>
      <xdr:rowOff>0</xdr:rowOff>
    </xdr:from>
    <xdr:to>
      <xdr:col>49</xdr:col>
      <xdr:colOff>0</xdr:colOff>
      <xdr:row>16</xdr:row>
      <xdr:rowOff>0</xdr:rowOff>
    </xdr:to>
    <xdr:sp macro="" textlink="">
      <xdr:nvSpPr>
        <xdr:cNvPr id="1340" name="Rectangle 316"/>
        <xdr:cNvSpPr>
          <a:spLocks noChangeArrowheads="1"/>
        </xdr:cNvSpPr>
      </xdr:nvSpPr>
      <xdr:spPr bwMode="auto">
        <a:xfrm>
          <a:off x="18638520" y="53340"/>
          <a:ext cx="13167360" cy="347472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mc:AlternateContent xmlns:mc="http://schemas.openxmlformats.org/markup-compatibility/2006">
    <mc:Choice xmlns:a14="http://schemas.microsoft.com/office/drawing/2010/main" Requires="a14">
      <xdr:twoCellAnchor editAs="oneCell">
        <xdr:from>
          <xdr:col>1</xdr:col>
          <xdr:colOff>38100</xdr:colOff>
          <xdr:row>38</xdr:row>
          <xdr:rowOff>30480</xdr:rowOff>
        </xdr:from>
        <xdr:to>
          <xdr:col>2</xdr:col>
          <xdr:colOff>7620</xdr:colOff>
          <xdr:row>38</xdr:row>
          <xdr:rowOff>228600</xdr:rowOff>
        </xdr:to>
        <xdr:sp macro="" textlink="">
          <xdr:nvSpPr>
            <xdr:cNvPr id="1342" name="Check Box 318" hidden="1">
              <a:extLst>
                <a:ext uri="{63B3BB69-23CF-44E3-9099-C40C66FF867C}">
                  <a14:compatExt spid="_x0000_s1342"/>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Bid-Offer Vol Spread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304800</xdr:colOff>
          <xdr:row>3</xdr:row>
          <xdr:rowOff>38100</xdr:rowOff>
        </xdr:from>
        <xdr:to>
          <xdr:col>5</xdr:col>
          <xdr:colOff>891540</xdr:colOff>
          <xdr:row>3</xdr:row>
          <xdr:rowOff>236220</xdr:rowOff>
        </xdr:to>
        <xdr:sp macro="" textlink="">
          <xdr:nvSpPr>
            <xdr:cNvPr id="1344" name="Option Button 320" hidden="1">
              <a:extLst>
                <a:ext uri="{63B3BB69-23CF-44E3-9099-C40C66FF867C}">
                  <a14:compatExt spid="_x0000_s1344"/>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100%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7620</xdr:colOff>
          <xdr:row>2</xdr:row>
          <xdr:rowOff>0</xdr:rowOff>
        </xdr:from>
        <xdr:to>
          <xdr:col>7</xdr:col>
          <xdr:colOff>1699260</xdr:colOff>
          <xdr:row>2</xdr:row>
          <xdr:rowOff>198120</xdr:rowOff>
        </xdr:to>
        <xdr:sp macro="" textlink="">
          <xdr:nvSpPr>
            <xdr:cNvPr id="1348" name="Check Box 324" hidden="1">
              <a:extLst>
                <a:ext uri="{63B3BB69-23CF-44E3-9099-C40C66FF867C}">
                  <a14:compatExt spid="_x0000_s1348"/>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Diff. Opt. Volume (MW)</a:t>
              </a:r>
            </a:p>
          </xdr:txBody>
        </xdr:sp>
        <xdr:clientData/>
      </xdr:twoCellAnchor>
    </mc:Choice>
    <mc:Fallback/>
  </mc:AlternateContent>
  <xdr:twoCellAnchor>
    <xdr:from>
      <xdr:col>18</xdr:col>
      <xdr:colOff>0</xdr:colOff>
      <xdr:row>28</xdr:row>
      <xdr:rowOff>0</xdr:rowOff>
    </xdr:from>
    <xdr:to>
      <xdr:col>24</xdr:col>
      <xdr:colOff>0</xdr:colOff>
      <xdr:row>54</xdr:row>
      <xdr:rowOff>0</xdr:rowOff>
    </xdr:to>
    <xdr:sp macro="" textlink="">
      <xdr:nvSpPr>
        <xdr:cNvPr id="1354" name="Rectangle 330"/>
        <xdr:cNvSpPr>
          <a:spLocks noChangeArrowheads="1"/>
        </xdr:cNvSpPr>
      </xdr:nvSpPr>
      <xdr:spPr bwMode="auto">
        <a:xfrm>
          <a:off x="14401800" y="6400800"/>
          <a:ext cx="3954780" cy="62484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10</xdr:col>
      <xdr:colOff>0</xdr:colOff>
      <xdr:row>15</xdr:row>
      <xdr:rowOff>0</xdr:rowOff>
    </xdr:from>
    <xdr:to>
      <xdr:col>12</xdr:col>
      <xdr:colOff>0</xdr:colOff>
      <xdr:row>18</xdr:row>
      <xdr:rowOff>0</xdr:rowOff>
    </xdr:to>
    <xdr:sp macro="" textlink="">
      <xdr:nvSpPr>
        <xdr:cNvPr id="1356" name="Rectangle 332"/>
        <xdr:cNvSpPr>
          <a:spLocks noChangeArrowheads="1"/>
        </xdr:cNvSpPr>
      </xdr:nvSpPr>
      <xdr:spPr bwMode="auto">
        <a:xfrm>
          <a:off x="8519160" y="3299460"/>
          <a:ext cx="2590800" cy="7239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25</xdr:col>
      <xdr:colOff>0</xdr:colOff>
      <xdr:row>17</xdr:row>
      <xdr:rowOff>0</xdr:rowOff>
    </xdr:from>
    <xdr:to>
      <xdr:col>40</xdr:col>
      <xdr:colOff>0</xdr:colOff>
      <xdr:row>32</xdr:row>
      <xdr:rowOff>0</xdr:rowOff>
    </xdr:to>
    <xdr:sp macro="" textlink="">
      <xdr:nvSpPr>
        <xdr:cNvPr id="1365" name="Rectangle 341"/>
        <xdr:cNvSpPr>
          <a:spLocks noChangeArrowheads="1"/>
        </xdr:cNvSpPr>
      </xdr:nvSpPr>
      <xdr:spPr bwMode="auto">
        <a:xfrm>
          <a:off x="18638520" y="3779520"/>
          <a:ext cx="7467600" cy="3657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4</xdr:col>
      <xdr:colOff>0</xdr:colOff>
      <xdr:row>1</xdr:row>
      <xdr:rowOff>0</xdr:rowOff>
    </xdr:from>
    <xdr:to>
      <xdr:col>6</xdr:col>
      <xdr:colOff>0</xdr:colOff>
      <xdr:row>6</xdr:row>
      <xdr:rowOff>0</xdr:rowOff>
    </xdr:to>
    <xdr:sp macro="" textlink="">
      <xdr:nvSpPr>
        <xdr:cNvPr id="1367" name="Rectangle 343"/>
        <xdr:cNvSpPr>
          <a:spLocks noChangeArrowheads="1"/>
        </xdr:cNvSpPr>
      </xdr:nvSpPr>
      <xdr:spPr bwMode="auto">
        <a:xfrm>
          <a:off x="2933700" y="53340"/>
          <a:ext cx="2705100" cy="12192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xdr:col>
      <xdr:colOff>0</xdr:colOff>
      <xdr:row>1</xdr:row>
      <xdr:rowOff>0</xdr:rowOff>
    </xdr:from>
    <xdr:to>
      <xdr:col>3</xdr:col>
      <xdr:colOff>0</xdr:colOff>
      <xdr:row>5</xdr:row>
      <xdr:rowOff>0</xdr:rowOff>
    </xdr:to>
    <xdr:sp macro="" textlink="">
      <xdr:nvSpPr>
        <xdr:cNvPr id="1368" name="Rectangle 344"/>
        <xdr:cNvSpPr>
          <a:spLocks noChangeArrowheads="1"/>
        </xdr:cNvSpPr>
      </xdr:nvSpPr>
      <xdr:spPr bwMode="auto">
        <a:xfrm>
          <a:off x="91440" y="53340"/>
          <a:ext cx="2750820" cy="90678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xdr:col>
      <xdr:colOff>0</xdr:colOff>
      <xdr:row>6</xdr:row>
      <xdr:rowOff>0</xdr:rowOff>
    </xdr:from>
    <xdr:to>
      <xdr:col>3</xdr:col>
      <xdr:colOff>0</xdr:colOff>
      <xdr:row>9</xdr:row>
      <xdr:rowOff>0</xdr:rowOff>
    </xdr:to>
    <xdr:sp macro="" textlink="">
      <xdr:nvSpPr>
        <xdr:cNvPr id="1369" name="Rectangle 345"/>
        <xdr:cNvSpPr>
          <a:spLocks noChangeArrowheads="1"/>
        </xdr:cNvSpPr>
      </xdr:nvSpPr>
      <xdr:spPr bwMode="auto">
        <a:xfrm>
          <a:off x="91440" y="1272540"/>
          <a:ext cx="2750820" cy="70104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mc:AlternateContent xmlns:mc="http://schemas.openxmlformats.org/markup-compatibility/2006">
    <mc:Choice xmlns:a14="http://schemas.microsoft.com/office/drawing/2010/main" Requires="a14">
      <xdr:twoCellAnchor editAs="oneCell">
        <xdr:from>
          <xdr:col>2</xdr:col>
          <xdr:colOff>403860</xdr:colOff>
          <xdr:row>21</xdr:row>
          <xdr:rowOff>7620</xdr:rowOff>
        </xdr:from>
        <xdr:to>
          <xdr:col>2</xdr:col>
          <xdr:colOff>1135380</xdr:colOff>
          <xdr:row>21</xdr:row>
          <xdr:rowOff>220980</xdr:rowOff>
        </xdr:to>
        <xdr:sp macro="" textlink="">
          <xdr:nvSpPr>
            <xdr:cNvPr id="1371" name="Option Button 347" hidden="1">
              <a:extLst>
                <a:ext uri="{63B3BB69-23CF-44E3-9099-C40C66FF867C}">
                  <a14:compatExt spid="_x0000_s1371"/>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Monthly</a:t>
              </a:r>
            </a:p>
          </xdr:txBody>
        </xdr:sp>
        <xdr:clientData/>
      </xdr:twoCellAnchor>
    </mc:Choice>
    <mc:Fallback/>
  </mc:AlternateContent>
  <xdr:twoCellAnchor>
    <xdr:from>
      <xdr:col>10</xdr:col>
      <xdr:colOff>0</xdr:colOff>
      <xdr:row>6</xdr:row>
      <xdr:rowOff>0</xdr:rowOff>
    </xdr:from>
    <xdr:to>
      <xdr:col>12</xdr:col>
      <xdr:colOff>0</xdr:colOff>
      <xdr:row>11</xdr:row>
      <xdr:rowOff>0</xdr:rowOff>
    </xdr:to>
    <xdr:sp macro="" textlink="">
      <xdr:nvSpPr>
        <xdr:cNvPr id="1374" name="Rectangle 350"/>
        <xdr:cNvSpPr>
          <a:spLocks noChangeArrowheads="1"/>
        </xdr:cNvSpPr>
      </xdr:nvSpPr>
      <xdr:spPr bwMode="auto">
        <a:xfrm>
          <a:off x="8519160" y="1272540"/>
          <a:ext cx="2590800" cy="117348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mc:AlternateContent xmlns:mc="http://schemas.openxmlformats.org/markup-compatibility/2006">
    <mc:Choice xmlns:a14="http://schemas.microsoft.com/office/drawing/2010/main" Requires="a14">
      <xdr:twoCellAnchor editAs="oneCell">
        <xdr:from>
          <xdr:col>2</xdr:col>
          <xdr:colOff>0</xdr:colOff>
          <xdr:row>29</xdr:row>
          <xdr:rowOff>0</xdr:rowOff>
        </xdr:from>
        <xdr:to>
          <xdr:col>3</xdr:col>
          <xdr:colOff>0</xdr:colOff>
          <xdr:row>29</xdr:row>
          <xdr:rowOff>251460</xdr:rowOff>
        </xdr:to>
        <xdr:sp macro="" textlink="">
          <xdr:nvSpPr>
            <xdr:cNvPr id="1375" name="Group Box 351" hidden="1">
              <a:extLst>
                <a:ext uri="{63B3BB69-23CF-44E3-9099-C40C66FF867C}">
                  <a14:compatExt spid="_x0000_s1375"/>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xdr:colOff>
          <xdr:row>29</xdr:row>
          <xdr:rowOff>30480</xdr:rowOff>
        </xdr:from>
        <xdr:to>
          <xdr:col>2</xdr:col>
          <xdr:colOff>777240</xdr:colOff>
          <xdr:row>29</xdr:row>
          <xdr:rowOff>228600</xdr:rowOff>
        </xdr:to>
        <xdr:sp macro="" textlink="">
          <xdr:nvSpPr>
            <xdr:cNvPr id="1376" name="Option Button 352" hidden="1">
              <a:extLst>
                <a:ext uri="{63B3BB69-23CF-44E3-9099-C40C66FF867C}">
                  <a14:compatExt spid="_x0000_s1376"/>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Bid / Offer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762000</xdr:colOff>
          <xdr:row>29</xdr:row>
          <xdr:rowOff>30480</xdr:rowOff>
        </xdr:from>
        <xdr:to>
          <xdr:col>2</xdr:col>
          <xdr:colOff>1211580</xdr:colOff>
          <xdr:row>29</xdr:row>
          <xdr:rowOff>228600</xdr:rowOff>
        </xdr:to>
        <xdr:sp macro="" textlink="">
          <xdr:nvSpPr>
            <xdr:cNvPr id="1377" name="Option Button 353" hidden="1">
              <a:extLst>
                <a:ext uri="{63B3BB69-23CF-44E3-9099-C40C66FF867C}">
                  <a14:compatExt spid="_x0000_s1377"/>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Mid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1333500</xdr:colOff>
          <xdr:row>30</xdr:row>
          <xdr:rowOff>0</xdr:rowOff>
        </xdr:from>
        <xdr:to>
          <xdr:col>5</xdr:col>
          <xdr:colOff>914400</xdr:colOff>
          <xdr:row>30</xdr:row>
          <xdr:rowOff>251460</xdr:rowOff>
        </xdr:to>
        <xdr:sp macro="" textlink="">
          <xdr:nvSpPr>
            <xdr:cNvPr id="1378" name="Group Box 354" hidden="1">
              <a:extLst>
                <a:ext uri="{63B3BB69-23CF-44E3-9099-C40C66FF867C}">
                  <a14:compatExt spid="_x0000_s1378"/>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1348740</xdr:colOff>
          <xdr:row>30</xdr:row>
          <xdr:rowOff>30480</xdr:rowOff>
        </xdr:from>
        <xdr:to>
          <xdr:col>5</xdr:col>
          <xdr:colOff>342900</xdr:colOff>
          <xdr:row>30</xdr:row>
          <xdr:rowOff>228600</xdr:rowOff>
        </xdr:to>
        <xdr:sp macro="" textlink="">
          <xdr:nvSpPr>
            <xdr:cNvPr id="1379" name="Option Button 355" hidden="1">
              <a:extLst>
                <a:ext uri="{63B3BB69-23CF-44E3-9099-C40C66FF867C}">
                  <a14:compatExt spid="_x0000_s1379"/>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Bid / Offer</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381000</xdr:colOff>
          <xdr:row>30</xdr:row>
          <xdr:rowOff>30480</xdr:rowOff>
        </xdr:from>
        <xdr:to>
          <xdr:col>5</xdr:col>
          <xdr:colOff>868680</xdr:colOff>
          <xdr:row>30</xdr:row>
          <xdr:rowOff>228600</xdr:rowOff>
        </xdr:to>
        <xdr:sp macro="" textlink="">
          <xdr:nvSpPr>
            <xdr:cNvPr id="1380" name="Option Button 356" hidden="1">
              <a:extLst>
                <a:ext uri="{63B3BB69-23CF-44E3-9099-C40C66FF867C}">
                  <a14:compatExt spid="_x0000_s138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Mid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548640</xdr:colOff>
          <xdr:row>29</xdr:row>
          <xdr:rowOff>30480</xdr:rowOff>
        </xdr:from>
        <xdr:to>
          <xdr:col>5</xdr:col>
          <xdr:colOff>891540</xdr:colOff>
          <xdr:row>29</xdr:row>
          <xdr:rowOff>236220</xdr:rowOff>
        </xdr:to>
        <xdr:sp macro="" textlink="">
          <xdr:nvSpPr>
            <xdr:cNvPr id="1381" name="Drop Down 357" hidden="1">
              <a:extLst>
                <a:ext uri="{63B3BB69-23CF-44E3-9099-C40C66FF867C}">
                  <a14:compatExt spid="_x0000_s1381"/>
                </a:ext>
              </a:extLst>
            </xdr:cNvPr>
            <xdr:cNvSpPr/>
          </xdr:nvSpPr>
          <xdr:spPr bwMode="auto">
            <a:xfrm>
              <a:off x="0" y="0"/>
              <a:ext cx="0" cy="0"/>
            </a:xfrm>
            <a:prstGeom prst="rect">
              <a:avLst/>
            </a:prstGeom>
            <a:noFill/>
            <a:ln w="1">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571500</xdr:colOff>
          <xdr:row>39</xdr:row>
          <xdr:rowOff>38100</xdr:rowOff>
        </xdr:from>
        <xdr:to>
          <xdr:col>2</xdr:col>
          <xdr:colOff>1257300</xdr:colOff>
          <xdr:row>39</xdr:row>
          <xdr:rowOff>236220</xdr:rowOff>
        </xdr:to>
        <xdr:sp macro="" textlink="">
          <xdr:nvSpPr>
            <xdr:cNvPr id="1386" name="Option Button 362" hidden="1">
              <a:extLst>
                <a:ext uri="{63B3BB69-23CF-44E3-9099-C40C66FF867C}">
                  <a14:compatExt spid="_x0000_s1386"/>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Monthly</a:t>
              </a:r>
            </a:p>
          </xdr:txBody>
        </xdr:sp>
        <xdr:clientData/>
      </xdr:twoCellAnchor>
    </mc:Choice>
    <mc:Fallback/>
  </mc:AlternateContent>
  <xdr:twoCellAnchor>
    <xdr:from>
      <xdr:col>1</xdr:col>
      <xdr:colOff>0</xdr:colOff>
      <xdr:row>27</xdr:row>
      <xdr:rowOff>0</xdr:rowOff>
    </xdr:from>
    <xdr:to>
      <xdr:col>3</xdr:col>
      <xdr:colOff>0</xdr:colOff>
      <xdr:row>34</xdr:row>
      <xdr:rowOff>0</xdr:rowOff>
    </xdr:to>
    <xdr:sp macro="" textlink="">
      <xdr:nvSpPr>
        <xdr:cNvPr id="1400" name="Rectangle 376"/>
        <xdr:cNvSpPr>
          <a:spLocks noChangeArrowheads="1"/>
        </xdr:cNvSpPr>
      </xdr:nvSpPr>
      <xdr:spPr bwMode="auto">
        <a:xfrm>
          <a:off x="91440" y="6156960"/>
          <a:ext cx="2750820" cy="179832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xdr:col>
      <xdr:colOff>0</xdr:colOff>
      <xdr:row>36</xdr:row>
      <xdr:rowOff>0</xdr:rowOff>
    </xdr:from>
    <xdr:to>
      <xdr:col>3</xdr:col>
      <xdr:colOff>0</xdr:colOff>
      <xdr:row>42</xdr:row>
      <xdr:rowOff>0</xdr:rowOff>
    </xdr:to>
    <xdr:sp macro="" textlink="">
      <xdr:nvSpPr>
        <xdr:cNvPr id="1401" name="Rectangle 377"/>
        <xdr:cNvSpPr>
          <a:spLocks noChangeArrowheads="1"/>
        </xdr:cNvSpPr>
      </xdr:nvSpPr>
      <xdr:spPr bwMode="auto">
        <a:xfrm>
          <a:off x="91440" y="8488680"/>
          <a:ext cx="2750820" cy="16002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4</xdr:col>
      <xdr:colOff>0</xdr:colOff>
      <xdr:row>19</xdr:row>
      <xdr:rowOff>0</xdr:rowOff>
    </xdr:from>
    <xdr:to>
      <xdr:col>6</xdr:col>
      <xdr:colOff>0</xdr:colOff>
      <xdr:row>26</xdr:row>
      <xdr:rowOff>0</xdr:rowOff>
    </xdr:to>
    <xdr:sp macro="" textlink="">
      <xdr:nvSpPr>
        <xdr:cNvPr id="1402" name="Rectangle 378"/>
        <xdr:cNvSpPr>
          <a:spLocks noChangeArrowheads="1"/>
        </xdr:cNvSpPr>
      </xdr:nvSpPr>
      <xdr:spPr bwMode="auto">
        <a:xfrm>
          <a:off x="2933700" y="4251960"/>
          <a:ext cx="2705100" cy="16383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xdr:col>
      <xdr:colOff>0</xdr:colOff>
      <xdr:row>19</xdr:row>
      <xdr:rowOff>0</xdr:rowOff>
    </xdr:from>
    <xdr:to>
      <xdr:col>3</xdr:col>
      <xdr:colOff>0</xdr:colOff>
      <xdr:row>26</xdr:row>
      <xdr:rowOff>0</xdr:rowOff>
    </xdr:to>
    <xdr:sp macro="" textlink="">
      <xdr:nvSpPr>
        <xdr:cNvPr id="1403" name="Rectangle 379"/>
        <xdr:cNvSpPr>
          <a:spLocks noChangeArrowheads="1"/>
        </xdr:cNvSpPr>
      </xdr:nvSpPr>
      <xdr:spPr bwMode="auto">
        <a:xfrm>
          <a:off x="91440" y="4251960"/>
          <a:ext cx="2750820" cy="16383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10</xdr:col>
      <xdr:colOff>0</xdr:colOff>
      <xdr:row>19</xdr:row>
      <xdr:rowOff>0</xdr:rowOff>
    </xdr:from>
    <xdr:to>
      <xdr:col>12</xdr:col>
      <xdr:colOff>0</xdr:colOff>
      <xdr:row>23</xdr:row>
      <xdr:rowOff>0</xdr:rowOff>
    </xdr:to>
    <xdr:sp macro="" textlink="">
      <xdr:nvSpPr>
        <xdr:cNvPr id="1406" name="Rectangle 382"/>
        <xdr:cNvSpPr>
          <a:spLocks noChangeArrowheads="1"/>
        </xdr:cNvSpPr>
      </xdr:nvSpPr>
      <xdr:spPr bwMode="auto">
        <a:xfrm>
          <a:off x="8519160" y="4251960"/>
          <a:ext cx="2590800" cy="94488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mc:AlternateContent xmlns:mc="http://schemas.openxmlformats.org/markup-compatibility/2006">
    <mc:Choice xmlns:a14="http://schemas.microsoft.com/office/drawing/2010/main" Requires="a14">
      <xdr:twoCellAnchor editAs="oneCell">
        <xdr:from>
          <xdr:col>1</xdr:col>
          <xdr:colOff>815340</xdr:colOff>
          <xdr:row>24</xdr:row>
          <xdr:rowOff>0</xdr:rowOff>
        </xdr:from>
        <xdr:to>
          <xdr:col>3</xdr:col>
          <xdr:colOff>0</xdr:colOff>
          <xdr:row>24</xdr:row>
          <xdr:rowOff>236220</xdr:rowOff>
        </xdr:to>
        <xdr:sp macro="" textlink="">
          <xdr:nvSpPr>
            <xdr:cNvPr id="1407" name="Group Box 383" hidden="1">
              <a:extLst>
                <a:ext uri="{63B3BB69-23CF-44E3-9099-C40C66FF867C}">
                  <a14:compatExt spid="_x0000_s1407"/>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525780</xdr:colOff>
          <xdr:row>4</xdr:row>
          <xdr:rowOff>30480</xdr:rowOff>
        </xdr:from>
        <xdr:to>
          <xdr:col>4</xdr:col>
          <xdr:colOff>1615440</xdr:colOff>
          <xdr:row>4</xdr:row>
          <xdr:rowOff>228600</xdr:rowOff>
        </xdr:to>
        <xdr:sp macro="" textlink="">
          <xdr:nvSpPr>
            <xdr:cNvPr id="1409" name="Option Button 385" hidden="1">
              <a:extLst>
                <a:ext uri="{63B3BB69-23CF-44E3-9099-C40C66FF867C}">
                  <a14:compatExt spid="_x0000_s1409"/>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Most Expensive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1577340</xdr:colOff>
          <xdr:row>4</xdr:row>
          <xdr:rowOff>7620</xdr:rowOff>
        </xdr:from>
        <xdr:to>
          <xdr:col>5</xdr:col>
          <xdr:colOff>883920</xdr:colOff>
          <xdr:row>4</xdr:row>
          <xdr:rowOff>236220</xdr:rowOff>
        </xdr:to>
        <xdr:sp macro="" textlink="">
          <xdr:nvSpPr>
            <xdr:cNvPr id="1410" name="Option Button 386" hidden="1">
              <a:extLst>
                <a:ext uri="{63B3BB69-23CF-44E3-9099-C40C66FF867C}">
                  <a14:compatExt spid="_x0000_s141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Least Expensive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502920</xdr:colOff>
          <xdr:row>4</xdr:row>
          <xdr:rowOff>0</xdr:rowOff>
        </xdr:from>
        <xdr:to>
          <xdr:col>5</xdr:col>
          <xdr:colOff>914400</xdr:colOff>
          <xdr:row>5</xdr:row>
          <xdr:rowOff>0</xdr:rowOff>
        </xdr:to>
        <xdr:sp macro="" textlink="">
          <xdr:nvSpPr>
            <xdr:cNvPr id="1411" name="Group Box 387" hidden="1">
              <a:extLst>
                <a:ext uri="{63B3BB69-23CF-44E3-9099-C40C66FF867C}">
                  <a14:compatExt spid="_x0000_s1411"/>
                </a:ext>
              </a:extLst>
            </xdr:cNvPr>
            <xdr:cNvSpPr/>
          </xdr:nvSpPr>
          <xdr:spPr bwMode="auto">
            <a:xfrm>
              <a:off x="0" y="0"/>
              <a:ext cx="0" cy="0"/>
            </a:xfrm>
            <a:prstGeom prst="rect">
              <a:avLst/>
            </a:prstGeom>
            <a:noFill/>
            <a:ln w="9525">
              <a:miter lim="800000"/>
              <a:headEnd/>
              <a:tailEnd/>
            </a:ln>
            <a:extLst>
              <a:ext uri="{909E8E84-426E-40DD-AFC4-6F175D3DCCD1}">
                <a14:hiddenFill>
                  <a:noFill/>
                </a14:hiddenFill>
              </a:ext>
            </a:extLst>
          </xdr:spPr>
        </xdr:sp>
        <xdr:clientData/>
      </xdr:twoCellAnchor>
    </mc:Choice>
    <mc:Fallback/>
  </mc:AlternateContent>
  <xdr:twoCellAnchor>
    <xdr:from>
      <xdr:col>7</xdr:col>
      <xdr:colOff>0</xdr:colOff>
      <xdr:row>19</xdr:row>
      <xdr:rowOff>0</xdr:rowOff>
    </xdr:from>
    <xdr:to>
      <xdr:col>9</xdr:col>
      <xdr:colOff>0</xdr:colOff>
      <xdr:row>26</xdr:row>
      <xdr:rowOff>0</xdr:rowOff>
    </xdr:to>
    <xdr:sp macro="" textlink="">
      <xdr:nvSpPr>
        <xdr:cNvPr id="1412" name="Rectangle 388"/>
        <xdr:cNvSpPr>
          <a:spLocks noChangeArrowheads="1"/>
        </xdr:cNvSpPr>
      </xdr:nvSpPr>
      <xdr:spPr bwMode="auto">
        <a:xfrm>
          <a:off x="5730240" y="4251960"/>
          <a:ext cx="2697480" cy="16383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10</xdr:col>
      <xdr:colOff>0</xdr:colOff>
      <xdr:row>36</xdr:row>
      <xdr:rowOff>0</xdr:rowOff>
    </xdr:from>
    <xdr:to>
      <xdr:col>12</xdr:col>
      <xdr:colOff>0</xdr:colOff>
      <xdr:row>39</xdr:row>
      <xdr:rowOff>0</xdr:rowOff>
    </xdr:to>
    <xdr:sp macro="" textlink="">
      <xdr:nvSpPr>
        <xdr:cNvPr id="1413" name="Rectangle 389"/>
        <xdr:cNvSpPr>
          <a:spLocks noChangeArrowheads="1"/>
        </xdr:cNvSpPr>
      </xdr:nvSpPr>
      <xdr:spPr bwMode="auto">
        <a:xfrm>
          <a:off x="8519160" y="8488680"/>
          <a:ext cx="2590800" cy="8001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mc:AlternateContent xmlns:mc="http://schemas.openxmlformats.org/markup-compatibility/2006">
    <mc:Choice xmlns:a14="http://schemas.microsoft.com/office/drawing/2010/main" Requires="a14">
      <xdr:twoCellAnchor editAs="oneCell">
        <xdr:from>
          <xdr:col>4</xdr:col>
          <xdr:colOff>7620</xdr:colOff>
          <xdr:row>9</xdr:row>
          <xdr:rowOff>30480</xdr:rowOff>
        </xdr:from>
        <xdr:to>
          <xdr:col>4</xdr:col>
          <xdr:colOff>731520</xdr:colOff>
          <xdr:row>10</xdr:row>
          <xdr:rowOff>0</xdr:rowOff>
        </xdr:to>
        <xdr:sp macro="" textlink="">
          <xdr:nvSpPr>
            <xdr:cNvPr id="1414" name="Check Box 390" hidden="1">
              <a:extLst>
                <a:ext uri="{63B3BB69-23CF-44E3-9099-C40C66FF867C}">
                  <a14:compatExt spid="_x0000_s1414"/>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Override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7620</xdr:colOff>
          <xdr:row>8</xdr:row>
          <xdr:rowOff>30480</xdr:rowOff>
        </xdr:from>
        <xdr:to>
          <xdr:col>4</xdr:col>
          <xdr:colOff>731520</xdr:colOff>
          <xdr:row>9</xdr:row>
          <xdr:rowOff>0</xdr:rowOff>
        </xdr:to>
        <xdr:sp macro="" textlink="">
          <xdr:nvSpPr>
            <xdr:cNvPr id="1415" name="Check Box 391" hidden="1">
              <a:extLst>
                <a:ext uri="{63B3BB69-23CF-44E3-9099-C40C66FF867C}">
                  <a14:compatExt spid="_x0000_s1415"/>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en-US" sz="800" b="0" i="0" u="none" strike="noStrike" baseline="0">
                  <a:solidFill>
                    <a:srgbClr val="000000"/>
                  </a:solidFill>
                  <a:latin typeface="Tahoma"/>
                  <a:ea typeface="Tahoma"/>
                  <a:cs typeface="Tahoma"/>
                </a:rPr>
                <a:t>Override</a:t>
              </a:r>
            </a:p>
          </xdr:txBody>
        </xdr:sp>
        <xdr:clientData/>
      </xdr:twoCellAnchor>
    </mc:Choice>
    <mc:Fallback/>
  </mc:AlternateContent>
  <xdr:twoCellAnchor>
    <xdr:from>
      <xdr:col>4</xdr:col>
      <xdr:colOff>0</xdr:colOff>
      <xdr:row>7</xdr:row>
      <xdr:rowOff>0</xdr:rowOff>
    </xdr:from>
    <xdr:to>
      <xdr:col>6</xdr:col>
      <xdr:colOff>0</xdr:colOff>
      <xdr:row>10</xdr:row>
      <xdr:rowOff>0</xdr:rowOff>
    </xdr:to>
    <xdr:sp macro="" textlink="">
      <xdr:nvSpPr>
        <xdr:cNvPr id="1416" name="Rectangle 392"/>
        <xdr:cNvSpPr>
          <a:spLocks noChangeArrowheads="1"/>
        </xdr:cNvSpPr>
      </xdr:nvSpPr>
      <xdr:spPr bwMode="auto">
        <a:xfrm>
          <a:off x="2933700" y="1508760"/>
          <a:ext cx="2705100" cy="69342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13</xdr:col>
      <xdr:colOff>0</xdr:colOff>
      <xdr:row>17</xdr:row>
      <xdr:rowOff>0</xdr:rowOff>
    </xdr:from>
    <xdr:to>
      <xdr:col>17</xdr:col>
      <xdr:colOff>0</xdr:colOff>
      <xdr:row>18</xdr:row>
      <xdr:rowOff>0</xdr:rowOff>
    </xdr:to>
    <xdr:sp macro="" textlink="">
      <xdr:nvSpPr>
        <xdr:cNvPr id="1418" name="Rectangle 394"/>
        <xdr:cNvSpPr>
          <a:spLocks noChangeArrowheads="1"/>
        </xdr:cNvSpPr>
      </xdr:nvSpPr>
      <xdr:spPr bwMode="auto">
        <a:xfrm>
          <a:off x="11224260" y="3779520"/>
          <a:ext cx="3040380" cy="24384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4</xdr:col>
      <xdr:colOff>0</xdr:colOff>
      <xdr:row>27</xdr:row>
      <xdr:rowOff>0</xdr:rowOff>
    </xdr:from>
    <xdr:to>
      <xdr:col>6</xdr:col>
      <xdr:colOff>0</xdr:colOff>
      <xdr:row>35</xdr:row>
      <xdr:rowOff>0</xdr:rowOff>
    </xdr:to>
    <xdr:sp macro="" textlink="">
      <xdr:nvSpPr>
        <xdr:cNvPr id="1419" name="Rectangle 395"/>
        <xdr:cNvSpPr>
          <a:spLocks noChangeArrowheads="1"/>
        </xdr:cNvSpPr>
      </xdr:nvSpPr>
      <xdr:spPr bwMode="auto">
        <a:xfrm>
          <a:off x="2933700" y="6156960"/>
          <a:ext cx="2705100" cy="206502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7</xdr:col>
      <xdr:colOff>0</xdr:colOff>
      <xdr:row>27</xdr:row>
      <xdr:rowOff>0</xdr:rowOff>
    </xdr:from>
    <xdr:to>
      <xdr:col>9</xdr:col>
      <xdr:colOff>0</xdr:colOff>
      <xdr:row>35</xdr:row>
      <xdr:rowOff>0</xdr:rowOff>
    </xdr:to>
    <xdr:sp macro="" textlink="">
      <xdr:nvSpPr>
        <xdr:cNvPr id="1420" name="Rectangle 396"/>
        <xdr:cNvSpPr>
          <a:spLocks noChangeArrowheads="1"/>
        </xdr:cNvSpPr>
      </xdr:nvSpPr>
      <xdr:spPr bwMode="auto">
        <a:xfrm>
          <a:off x="5730240" y="6156960"/>
          <a:ext cx="2697480" cy="206502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10</xdr:col>
      <xdr:colOff>0</xdr:colOff>
      <xdr:row>27</xdr:row>
      <xdr:rowOff>0</xdr:rowOff>
    </xdr:from>
    <xdr:to>
      <xdr:col>12</xdr:col>
      <xdr:colOff>0</xdr:colOff>
      <xdr:row>35</xdr:row>
      <xdr:rowOff>0</xdr:rowOff>
    </xdr:to>
    <xdr:sp macro="" textlink="">
      <xdr:nvSpPr>
        <xdr:cNvPr id="1422" name="Rectangle 398"/>
        <xdr:cNvSpPr>
          <a:spLocks noChangeArrowheads="1"/>
        </xdr:cNvSpPr>
      </xdr:nvSpPr>
      <xdr:spPr bwMode="auto">
        <a:xfrm>
          <a:off x="8519160" y="6156960"/>
          <a:ext cx="2590800" cy="206502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13</xdr:col>
      <xdr:colOff>0</xdr:colOff>
      <xdr:row>36</xdr:row>
      <xdr:rowOff>0</xdr:rowOff>
    </xdr:from>
    <xdr:to>
      <xdr:col>17</xdr:col>
      <xdr:colOff>0</xdr:colOff>
      <xdr:row>39</xdr:row>
      <xdr:rowOff>0</xdr:rowOff>
    </xdr:to>
    <xdr:sp macro="" textlink="">
      <xdr:nvSpPr>
        <xdr:cNvPr id="1423" name="Rectangle 399"/>
        <xdr:cNvSpPr>
          <a:spLocks noChangeArrowheads="1"/>
        </xdr:cNvSpPr>
      </xdr:nvSpPr>
      <xdr:spPr bwMode="auto">
        <a:xfrm>
          <a:off x="11224260" y="8488680"/>
          <a:ext cx="3040380" cy="8001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13</xdr:col>
      <xdr:colOff>0</xdr:colOff>
      <xdr:row>40</xdr:row>
      <xdr:rowOff>0</xdr:rowOff>
    </xdr:from>
    <xdr:to>
      <xdr:col>17</xdr:col>
      <xdr:colOff>0</xdr:colOff>
      <xdr:row>54</xdr:row>
      <xdr:rowOff>0</xdr:rowOff>
    </xdr:to>
    <xdr:sp macro="" textlink="">
      <xdr:nvSpPr>
        <xdr:cNvPr id="1424" name="Rectangle 400"/>
        <xdr:cNvSpPr>
          <a:spLocks noChangeArrowheads="1"/>
        </xdr:cNvSpPr>
      </xdr:nvSpPr>
      <xdr:spPr bwMode="auto">
        <a:xfrm>
          <a:off x="11224260" y="9555480"/>
          <a:ext cx="3040380" cy="309372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7</xdr:col>
      <xdr:colOff>0</xdr:colOff>
      <xdr:row>1</xdr:row>
      <xdr:rowOff>0</xdr:rowOff>
    </xdr:from>
    <xdr:to>
      <xdr:col>9</xdr:col>
      <xdr:colOff>0</xdr:colOff>
      <xdr:row>5</xdr:row>
      <xdr:rowOff>0</xdr:rowOff>
    </xdr:to>
    <xdr:sp macro="" textlink="">
      <xdr:nvSpPr>
        <xdr:cNvPr id="1437" name="Rectangle 413"/>
        <xdr:cNvSpPr>
          <a:spLocks noChangeArrowheads="1"/>
        </xdr:cNvSpPr>
      </xdr:nvSpPr>
      <xdr:spPr bwMode="auto">
        <a:xfrm>
          <a:off x="5730240" y="53340"/>
          <a:ext cx="2697480" cy="90678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7</xdr:col>
      <xdr:colOff>0</xdr:colOff>
      <xdr:row>6</xdr:row>
      <xdr:rowOff>0</xdr:rowOff>
    </xdr:from>
    <xdr:to>
      <xdr:col>9</xdr:col>
      <xdr:colOff>0</xdr:colOff>
      <xdr:row>11</xdr:row>
      <xdr:rowOff>0</xdr:rowOff>
    </xdr:to>
    <xdr:sp macro="" textlink="">
      <xdr:nvSpPr>
        <xdr:cNvPr id="1438" name="Rectangle 414"/>
        <xdr:cNvSpPr>
          <a:spLocks noChangeArrowheads="1"/>
        </xdr:cNvSpPr>
      </xdr:nvSpPr>
      <xdr:spPr bwMode="auto">
        <a:xfrm>
          <a:off x="5730240" y="1272540"/>
          <a:ext cx="2697480" cy="117348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00000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mc:AlternateContent xmlns:mc="http://schemas.openxmlformats.org/markup-compatibility/2006">
    <mc:Choice xmlns:a14="http://schemas.microsoft.com/office/drawing/2010/main" Requires="a14">
      <xdr:twoCellAnchor>
        <xdr:from>
          <xdr:col>0</xdr:col>
          <xdr:colOff>60960</xdr:colOff>
          <xdr:row>5</xdr:row>
          <xdr:rowOff>45720</xdr:rowOff>
        </xdr:from>
        <xdr:to>
          <xdr:col>3</xdr:col>
          <xdr:colOff>7620</xdr:colOff>
          <xdr:row>5</xdr:row>
          <xdr:rowOff>289560</xdr:rowOff>
        </xdr:to>
        <xdr:sp macro="" textlink="">
          <xdr:nvSpPr>
            <xdr:cNvPr id="1439" name="Button 415" hidden="1">
              <a:extLst>
                <a:ext uri="{63B3BB69-23CF-44E3-9099-C40C66FF867C}">
                  <a14:compatExt spid="_x0000_s1439"/>
                </a:ext>
              </a:extLst>
            </xdr:cNvPr>
            <xdr:cNvSpPr/>
          </xdr:nvSpPr>
          <xdr:spPr bwMode="auto">
            <a:xfrm>
              <a:off x="0" y="0"/>
              <a:ext cx="0" cy="0"/>
            </a:xfrm>
            <a:prstGeom prst="rect">
              <a:avLst/>
            </a:prstGeom>
            <a:noFill/>
            <a:ln>
              <a:noFill/>
            </a:ln>
            <a:effectLst/>
            <a:extLst>
              <a:ext uri="{91240B29-F687-4F45-9708-019B960494DF}">
                <a14:hiddenLine w="9525">
                  <a:noFill/>
                  <a:miter lim="800000"/>
                  <a:headEnd/>
                  <a:tailEnd/>
                </a14:hiddenLine>
              </a:ext>
              <a:ext uri="{AF507438-7753-43E0-B8FC-AC1667EBCBE1}">
                <a14:hiddenEffects>
                  <a:effectLst>
                    <a:outerShdw dist="35921" dir="2700000" algn="ctr" rotWithShape="0">
                      <a:srgbClr val="808080"/>
                    </a:outerShdw>
                  </a:effectLst>
                </a14:hiddenEffects>
              </a:ext>
            </a:extLst>
          </xdr:spPr>
          <xdr:txBody>
            <a:bodyPr vertOverflow="clip" wrap="square" lIns="36576" tIns="27432" rIns="36576" bIns="27432" anchor="ctr" upright="1"/>
            <a:lstStyle/>
            <a:p>
              <a:pPr algn="ctr" rtl="0">
                <a:defRPr sz="1000"/>
              </a:pPr>
              <a:r>
                <a:rPr lang="en-US" sz="1000" b="1" i="0" u="none" strike="noStrike" baseline="0">
                  <a:solidFill>
                    <a:srgbClr val="FF0000"/>
                  </a:solidFill>
                  <a:latin typeface="Arial"/>
                  <a:cs typeface="Arial"/>
                </a:rPr>
                <a:t>Get Rid of Collar/Spread Option Sections</a:t>
              </a:r>
            </a:p>
          </xdr:txBody>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2</xdr:col>
          <xdr:colOff>281940</xdr:colOff>
          <xdr:row>0</xdr:row>
          <xdr:rowOff>266700</xdr:rowOff>
        </xdr:from>
        <xdr:to>
          <xdr:col>17</xdr:col>
          <xdr:colOff>228600</xdr:colOff>
          <xdr:row>1</xdr:row>
          <xdr:rowOff>266700</xdr:rowOff>
        </xdr:to>
        <xdr:sp macro="" textlink="">
          <xdr:nvSpPr>
            <xdr:cNvPr id="2049" name="Button 1" hidden="1">
              <a:extLst>
                <a:ext uri="{63B3BB69-23CF-44E3-9099-C40C66FF867C}">
                  <a14:compatExt spid="_x0000_s2049"/>
                </a:ext>
              </a:extLst>
            </xdr:cNvPr>
            <xdr:cNvSpPr/>
          </xdr:nvSpPr>
          <xdr:spPr bwMode="auto">
            <a:xfrm>
              <a:off x="0" y="0"/>
              <a:ext cx="0" cy="0"/>
            </a:xfrm>
            <a:prstGeom prst="rect">
              <a:avLst/>
            </a:prstGeom>
            <a:noFill/>
            <a:ln>
              <a:noFill/>
            </a:ln>
            <a:effectLst/>
            <a:extLst>
              <a:ext uri="{91240B29-F687-4F45-9708-019B960494DF}">
                <a14:hiddenLine w="9525">
                  <a:noFill/>
                  <a:miter lim="800000"/>
                  <a:headEnd/>
                  <a:tailEnd/>
                </a14:hiddenLine>
              </a:ext>
              <a:ext uri="{AF507438-7753-43E0-B8FC-AC1667EBCBE1}">
                <a14:hiddenEffects>
                  <a:effectLst>
                    <a:outerShdw dist="35921" dir="2700000" algn="ctr" rotWithShape="0">
                      <a:srgbClr val="808080"/>
                    </a:outerShdw>
                  </a:effectLst>
                </a14:hiddenEffects>
              </a:ext>
            </a:extLst>
          </xdr:spPr>
          <xdr:txBody>
            <a:bodyPr vertOverflow="clip" wrap="square" lIns="36576" tIns="32004" rIns="36576" bIns="32004" anchor="ctr" upright="1"/>
            <a:lstStyle/>
            <a:p>
              <a:pPr algn="ctr" rtl="0">
                <a:defRPr sz="1000"/>
              </a:pPr>
              <a:r>
                <a:rPr lang="en-US" sz="1200" b="1" i="0" u="none" strike="noStrike" baseline="0">
                  <a:solidFill>
                    <a:srgbClr val="FF0000"/>
                  </a:solidFill>
                  <a:latin typeface="Arial"/>
                  <a:cs typeface="Arial"/>
                </a:rPr>
                <a:t>Click Here to Sort Hourly Scalars If You Pasted the Regional Power Curve Manually</a:t>
              </a:r>
            </a:p>
          </xdr:txBody>
        </xdr:sp>
        <xdr:clientData fPrintsWithSheet="0"/>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6" Type="http://schemas.openxmlformats.org/officeDocument/2006/relationships/ctrlProp" Target="../ctrlProps/ctrlProp23.xml"/><Relationship Id="rId21" Type="http://schemas.openxmlformats.org/officeDocument/2006/relationships/ctrlProp" Target="../ctrlProps/ctrlProp18.xml"/><Relationship Id="rId42" Type="http://schemas.openxmlformats.org/officeDocument/2006/relationships/ctrlProp" Target="../ctrlProps/ctrlProp39.xml"/><Relationship Id="rId47" Type="http://schemas.openxmlformats.org/officeDocument/2006/relationships/ctrlProp" Target="../ctrlProps/ctrlProp44.xml"/><Relationship Id="rId63" Type="http://schemas.openxmlformats.org/officeDocument/2006/relationships/ctrlProp" Target="../ctrlProps/ctrlProp60.xml"/><Relationship Id="rId68" Type="http://schemas.openxmlformats.org/officeDocument/2006/relationships/ctrlProp" Target="../ctrlProps/ctrlProp65.xml"/><Relationship Id="rId84" Type="http://schemas.openxmlformats.org/officeDocument/2006/relationships/ctrlProp" Target="../ctrlProps/ctrlProp81.xml"/><Relationship Id="rId89" Type="http://schemas.openxmlformats.org/officeDocument/2006/relationships/ctrlProp" Target="../ctrlProps/ctrlProp86.xml"/><Relationship Id="rId112" Type="http://schemas.openxmlformats.org/officeDocument/2006/relationships/ctrlProp" Target="../ctrlProps/ctrlProp109.xml"/><Relationship Id="rId2" Type="http://schemas.openxmlformats.org/officeDocument/2006/relationships/drawing" Target="../drawings/drawing1.xml"/><Relationship Id="rId16" Type="http://schemas.openxmlformats.org/officeDocument/2006/relationships/ctrlProp" Target="../ctrlProps/ctrlProp13.xml"/><Relationship Id="rId29" Type="http://schemas.openxmlformats.org/officeDocument/2006/relationships/ctrlProp" Target="../ctrlProps/ctrlProp26.xml"/><Relationship Id="rId107" Type="http://schemas.openxmlformats.org/officeDocument/2006/relationships/ctrlProp" Target="../ctrlProps/ctrlProp104.xml"/><Relationship Id="rId11" Type="http://schemas.openxmlformats.org/officeDocument/2006/relationships/ctrlProp" Target="../ctrlProps/ctrlProp8.xml"/><Relationship Id="rId24" Type="http://schemas.openxmlformats.org/officeDocument/2006/relationships/ctrlProp" Target="../ctrlProps/ctrlProp21.xml"/><Relationship Id="rId32" Type="http://schemas.openxmlformats.org/officeDocument/2006/relationships/ctrlProp" Target="../ctrlProps/ctrlProp29.xml"/><Relationship Id="rId37" Type="http://schemas.openxmlformats.org/officeDocument/2006/relationships/ctrlProp" Target="../ctrlProps/ctrlProp34.xml"/><Relationship Id="rId40" Type="http://schemas.openxmlformats.org/officeDocument/2006/relationships/ctrlProp" Target="../ctrlProps/ctrlProp37.xml"/><Relationship Id="rId45" Type="http://schemas.openxmlformats.org/officeDocument/2006/relationships/ctrlProp" Target="../ctrlProps/ctrlProp42.xml"/><Relationship Id="rId53" Type="http://schemas.openxmlformats.org/officeDocument/2006/relationships/ctrlProp" Target="../ctrlProps/ctrlProp50.xml"/><Relationship Id="rId58" Type="http://schemas.openxmlformats.org/officeDocument/2006/relationships/ctrlProp" Target="../ctrlProps/ctrlProp55.xml"/><Relationship Id="rId66" Type="http://schemas.openxmlformats.org/officeDocument/2006/relationships/ctrlProp" Target="../ctrlProps/ctrlProp63.xml"/><Relationship Id="rId74" Type="http://schemas.openxmlformats.org/officeDocument/2006/relationships/ctrlProp" Target="../ctrlProps/ctrlProp71.xml"/><Relationship Id="rId79" Type="http://schemas.openxmlformats.org/officeDocument/2006/relationships/ctrlProp" Target="../ctrlProps/ctrlProp76.xml"/><Relationship Id="rId87" Type="http://schemas.openxmlformats.org/officeDocument/2006/relationships/ctrlProp" Target="../ctrlProps/ctrlProp84.xml"/><Relationship Id="rId102" Type="http://schemas.openxmlformats.org/officeDocument/2006/relationships/ctrlProp" Target="../ctrlProps/ctrlProp99.xml"/><Relationship Id="rId110" Type="http://schemas.openxmlformats.org/officeDocument/2006/relationships/ctrlProp" Target="../ctrlProps/ctrlProp107.xml"/><Relationship Id="rId5" Type="http://schemas.openxmlformats.org/officeDocument/2006/relationships/ctrlProp" Target="../ctrlProps/ctrlProp2.xml"/><Relationship Id="rId61" Type="http://schemas.openxmlformats.org/officeDocument/2006/relationships/ctrlProp" Target="../ctrlProps/ctrlProp58.xml"/><Relationship Id="rId82" Type="http://schemas.openxmlformats.org/officeDocument/2006/relationships/ctrlProp" Target="../ctrlProps/ctrlProp79.xml"/><Relationship Id="rId90" Type="http://schemas.openxmlformats.org/officeDocument/2006/relationships/ctrlProp" Target="../ctrlProps/ctrlProp87.xml"/><Relationship Id="rId95" Type="http://schemas.openxmlformats.org/officeDocument/2006/relationships/ctrlProp" Target="../ctrlProps/ctrlProp92.xml"/><Relationship Id="rId19" Type="http://schemas.openxmlformats.org/officeDocument/2006/relationships/ctrlProp" Target="../ctrlProps/ctrlProp16.xml"/><Relationship Id="rId14" Type="http://schemas.openxmlformats.org/officeDocument/2006/relationships/ctrlProp" Target="../ctrlProps/ctrlProp11.xml"/><Relationship Id="rId22" Type="http://schemas.openxmlformats.org/officeDocument/2006/relationships/ctrlProp" Target="../ctrlProps/ctrlProp19.xml"/><Relationship Id="rId27" Type="http://schemas.openxmlformats.org/officeDocument/2006/relationships/ctrlProp" Target="../ctrlProps/ctrlProp24.xml"/><Relationship Id="rId30" Type="http://schemas.openxmlformats.org/officeDocument/2006/relationships/ctrlProp" Target="../ctrlProps/ctrlProp27.xml"/><Relationship Id="rId35" Type="http://schemas.openxmlformats.org/officeDocument/2006/relationships/ctrlProp" Target="../ctrlProps/ctrlProp32.xml"/><Relationship Id="rId43" Type="http://schemas.openxmlformats.org/officeDocument/2006/relationships/ctrlProp" Target="../ctrlProps/ctrlProp40.xml"/><Relationship Id="rId48" Type="http://schemas.openxmlformats.org/officeDocument/2006/relationships/ctrlProp" Target="../ctrlProps/ctrlProp45.xml"/><Relationship Id="rId56" Type="http://schemas.openxmlformats.org/officeDocument/2006/relationships/ctrlProp" Target="../ctrlProps/ctrlProp53.xml"/><Relationship Id="rId64" Type="http://schemas.openxmlformats.org/officeDocument/2006/relationships/ctrlProp" Target="../ctrlProps/ctrlProp61.xml"/><Relationship Id="rId69" Type="http://schemas.openxmlformats.org/officeDocument/2006/relationships/ctrlProp" Target="../ctrlProps/ctrlProp66.xml"/><Relationship Id="rId77" Type="http://schemas.openxmlformats.org/officeDocument/2006/relationships/ctrlProp" Target="../ctrlProps/ctrlProp74.xml"/><Relationship Id="rId100" Type="http://schemas.openxmlformats.org/officeDocument/2006/relationships/ctrlProp" Target="../ctrlProps/ctrlProp97.xml"/><Relationship Id="rId105" Type="http://schemas.openxmlformats.org/officeDocument/2006/relationships/ctrlProp" Target="../ctrlProps/ctrlProp102.xml"/><Relationship Id="rId8" Type="http://schemas.openxmlformats.org/officeDocument/2006/relationships/ctrlProp" Target="../ctrlProps/ctrlProp5.xml"/><Relationship Id="rId51" Type="http://schemas.openxmlformats.org/officeDocument/2006/relationships/ctrlProp" Target="../ctrlProps/ctrlProp48.xml"/><Relationship Id="rId72" Type="http://schemas.openxmlformats.org/officeDocument/2006/relationships/ctrlProp" Target="../ctrlProps/ctrlProp69.xml"/><Relationship Id="rId80" Type="http://schemas.openxmlformats.org/officeDocument/2006/relationships/ctrlProp" Target="../ctrlProps/ctrlProp77.xml"/><Relationship Id="rId85" Type="http://schemas.openxmlformats.org/officeDocument/2006/relationships/ctrlProp" Target="../ctrlProps/ctrlProp82.xml"/><Relationship Id="rId93" Type="http://schemas.openxmlformats.org/officeDocument/2006/relationships/ctrlProp" Target="../ctrlProps/ctrlProp90.xml"/><Relationship Id="rId98" Type="http://schemas.openxmlformats.org/officeDocument/2006/relationships/ctrlProp" Target="../ctrlProps/ctrlProp95.xml"/><Relationship Id="rId3" Type="http://schemas.openxmlformats.org/officeDocument/2006/relationships/vmlDrawing" Target="../drawings/vmlDrawing1.vml"/><Relationship Id="rId12" Type="http://schemas.openxmlformats.org/officeDocument/2006/relationships/ctrlProp" Target="../ctrlProps/ctrlProp9.xml"/><Relationship Id="rId17" Type="http://schemas.openxmlformats.org/officeDocument/2006/relationships/ctrlProp" Target="../ctrlProps/ctrlProp14.xml"/><Relationship Id="rId25" Type="http://schemas.openxmlformats.org/officeDocument/2006/relationships/ctrlProp" Target="../ctrlProps/ctrlProp22.xml"/><Relationship Id="rId33" Type="http://schemas.openxmlformats.org/officeDocument/2006/relationships/ctrlProp" Target="../ctrlProps/ctrlProp30.xml"/><Relationship Id="rId38" Type="http://schemas.openxmlformats.org/officeDocument/2006/relationships/ctrlProp" Target="../ctrlProps/ctrlProp35.xml"/><Relationship Id="rId46" Type="http://schemas.openxmlformats.org/officeDocument/2006/relationships/ctrlProp" Target="../ctrlProps/ctrlProp43.xml"/><Relationship Id="rId59" Type="http://schemas.openxmlformats.org/officeDocument/2006/relationships/ctrlProp" Target="../ctrlProps/ctrlProp56.xml"/><Relationship Id="rId67" Type="http://schemas.openxmlformats.org/officeDocument/2006/relationships/ctrlProp" Target="../ctrlProps/ctrlProp64.xml"/><Relationship Id="rId103" Type="http://schemas.openxmlformats.org/officeDocument/2006/relationships/ctrlProp" Target="../ctrlProps/ctrlProp100.xml"/><Relationship Id="rId108" Type="http://schemas.openxmlformats.org/officeDocument/2006/relationships/ctrlProp" Target="../ctrlProps/ctrlProp105.xml"/><Relationship Id="rId20" Type="http://schemas.openxmlformats.org/officeDocument/2006/relationships/ctrlProp" Target="../ctrlProps/ctrlProp17.xml"/><Relationship Id="rId41" Type="http://schemas.openxmlformats.org/officeDocument/2006/relationships/ctrlProp" Target="../ctrlProps/ctrlProp38.xml"/><Relationship Id="rId54" Type="http://schemas.openxmlformats.org/officeDocument/2006/relationships/ctrlProp" Target="../ctrlProps/ctrlProp51.xml"/><Relationship Id="rId62" Type="http://schemas.openxmlformats.org/officeDocument/2006/relationships/ctrlProp" Target="../ctrlProps/ctrlProp59.xml"/><Relationship Id="rId70" Type="http://schemas.openxmlformats.org/officeDocument/2006/relationships/ctrlProp" Target="../ctrlProps/ctrlProp67.xml"/><Relationship Id="rId75" Type="http://schemas.openxmlformats.org/officeDocument/2006/relationships/ctrlProp" Target="../ctrlProps/ctrlProp72.xml"/><Relationship Id="rId83" Type="http://schemas.openxmlformats.org/officeDocument/2006/relationships/ctrlProp" Target="../ctrlProps/ctrlProp80.xml"/><Relationship Id="rId88" Type="http://schemas.openxmlformats.org/officeDocument/2006/relationships/ctrlProp" Target="../ctrlProps/ctrlProp85.xml"/><Relationship Id="rId91" Type="http://schemas.openxmlformats.org/officeDocument/2006/relationships/ctrlProp" Target="../ctrlProps/ctrlProp88.xml"/><Relationship Id="rId96" Type="http://schemas.openxmlformats.org/officeDocument/2006/relationships/ctrlProp" Target="../ctrlProps/ctrlProp93.xml"/><Relationship Id="rId111" Type="http://schemas.openxmlformats.org/officeDocument/2006/relationships/ctrlProp" Target="../ctrlProps/ctrlProp108.xml"/><Relationship Id="rId1" Type="http://schemas.openxmlformats.org/officeDocument/2006/relationships/printerSettings" Target="../printerSettings/printerSettings4.bin"/><Relationship Id="rId6" Type="http://schemas.openxmlformats.org/officeDocument/2006/relationships/ctrlProp" Target="../ctrlProps/ctrlProp3.xml"/><Relationship Id="rId15" Type="http://schemas.openxmlformats.org/officeDocument/2006/relationships/ctrlProp" Target="../ctrlProps/ctrlProp12.xml"/><Relationship Id="rId23" Type="http://schemas.openxmlformats.org/officeDocument/2006/relationships/ctrlProp" Target="../ctrlProps/ctrlProp20.xml"/><Relationship Id="rId28" Type="http://schemas.openxmlformats.org/officeDocument/2006/relationships/ctrlProp" Target="../ctrlProps/ctrlProp25.xml"/><Relationship Id="rId36" Type="http://schemas.openxmlformats.org/officeDocument/2006/relationships/ctrlProp" Target="../ctrlProps/ctrlProp33.xml"/><Relationship Id="rId49" Type="http://schemas.openxmlformats.org/officeDocument/2006/relationships/ctrlProp" Target="../ctrlProps/ctrlProp46.xml"/><Relationship Id="rId57" Type="http://schemas.openxmlformats.org/officeDocument/2006/relationships/ctrlProp" Target="../ctrlProps/ctrlProp54.xml"/><Relationship Id="rId106" Type="http://schemas.openxmlformats.org/officeDocument/2006/relationships/ctrlProp" Target="../ctrlProps/ctrlProp103.xml"/><Relationship Id="rId10" Type="http://schemas.openxmlformats.org/officeDocument/2006/relationships/ctrlProp" Target="../ctrlProps/ctrlProp7.xml"/><Relationship Id="rId31" Type="http://schemas.openxmlformats.org/officeDocument/2006/relationships/ctrlProp" Target="../ctrlProps/ctrlProp28.xml"/><Relationship Id="rId44" Type="http://schemas.openxmlformats.org/officeDocument/2006/relationships/ctrlProp" Target="../ctrlProps/ctrlProp41.xml"/><Relationship Id="rId52" Type="http://schemas.openxmlformats.org/officeDocument/2006/relationships/ctrlProp" Target="../ctrlProps/ctrlProp49.xml"/><Relationship Id="rId60" Type="http://schemas.openxmlformats.org/officeDocument/2006/relationships/ctrlProp" Target="../ctrlProps/ctrlProp57.xml"/><Relationship Id="rId65" Type="http://schemas.openxmlformats.org/officeDocument/2006/relationships/ctrlProp" Target="../ctrlProps/ctrlProp62.xml"/><Relationship Id="rId73" Type="http://schemas.openxmlformats.org/officeDocument/2006/relationships/ctrlProp" Target="../ctrlProps/ctrlProp70.xml"/><Relationship Id="rId78" Type="http://schemas.openxmlformats.org/officeDocument/2006/relationships/ctrlProp" Target="../ctrlProps/ctrlProp75.xml"/><Relationship Id="rId81" Type="http://schemas.openxmlformats.org/officeDocument/2006/relationships/ctrlProp" Target="../ctrlProps/ctrlProp78.xml"/><Relationship Id="rId86" Type="http://schemas.openxmlformats.org/officeDocument/2006/relationships/ctrlProp" Target="../ctrlProps/ctrlProp83.xml"/><Relationship Id="rId94" Type="http://schemas.openxmlformats.org/officeDocument/2006/relationships/ctrlProp" Target="../ctrlProps/ctrlProp91.xml"/><Relationship Id="rId99" Type="http://schemas.openxmlformats.org/officeDocument/2006/relationships/ctrlProp" Target="../ctrlProps/ctrlProp96.xml"/><Relationship Id="rId101" Type="http://schemas.openxmlformats.org/officeDocument/2006/relationships/ctrlProp" Target="../ctrlProps/ctrlProp98.xml"/><Relationship Id="rId4" Type="http://schemas.openxmlformats.org/officeDocument/2006/relationships/ctrlProp" Target="../ctrlProps/ctrlProp1.xml"/><Relationship Id="rId9" Type="http://schemas.openxmlformats.org/officeDocument/2006/relationships/ctrlProp" Target="../ctrlProps/ctrlProp6.xml"/><Relationship Id="rId13" Type="http://schemas.openxmlformats.org/officeDocument/2006/relationships/ctrlProp" Target="../ctrlProps/ctrlProp10.xml"/><Relationship Id="rId18" Type="http://schemas.openxmlformats.org/officeDocument/2006/relationships/ctrlProp" Target="../ctrlProps/ctrlProp15.xml"/><Relationship Id="rId39" Type="http://schemas.openxmlformats.org/officeDocument/2006/relationships/ctrlProp" Target="../ctrlProps/ctrlProp36.xml"/><Relationship Id="rId109" Type="http://schemas.openxmlformats.org/officeDocument/2006/relationships/ctrlProp" Target="../ctrlProps/ctrlProp106.xml"/><Relationship Id="rId34" Type="http://schemas.openxmlformats.org/officeDocument/2006/relationships/ctrlProp" Target="../ctrlProps/ctrlProp31.xml"/><Relationship Id="rId50" Type="http://schemas.openxmlformats.org/officeDocument/2006/relationships/ctrlProp" Target="../ctrlProps/ctrlProp47.xml"/><Relationship Id="rId55" Type="http://schemas.openxmlformats.org/officeDocument/2006/relationships/ctrlProp" Target="../ctrlProps/ctrlProp52.xml"/><Relationship Id="rId76" Type="http://schemas.openxmlformats.org/officeDocument/2006/relationships/ctrlProp" Target="../ctrlProps/ctrlProp73.xml"/><Relationship Id="rId97" Type="http://schemas.openxmlformats.org/officeDocument/2006/relationships/ctrlProp" Target="../ctrlProps/ctrlProp94.xml"/><Relationship Id="rId104" Type="http://schemas.openxmlformats.org/officeDocument/2006/relationships/ctrlProp" Target="../ctrlProps/ctrlProp101.xml"/><Relationship Id="rId7" Type="http://schemas.openxmlformats.org/officeDocument/2006/relationships/ctrlProp" Target="../ctrlProps/ctrlProp4.xml"/><Relationship Id="rId71" Type="http://schemas.openxmlformats.org/officeDocument/2006/relationships/ctrlProp" Target="../ctrlProps/ctrlProp68.xml"/><Relationship Id="rId92" Type="http://schemas.openxmlformats.org/officeDocument/2006/relationships/ctrlProp" Target="../ctrlProps/ctrlProp89.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5.bin"/><Relationship Id="rId4" Type="http://schemas.openxmlformats.org/officeDocument/2006/relationships/ctrlProp" Target="../ctrlProps/ctrlProp110.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5.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6.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64"/>
  <sheetViews>
    <sheetView showGridLines="0" tabSelected="1" zoomScale="75" workbookViewId="0">
      <selection activeCell="A53" sqref="A53"/>
    </sheetView>
  </sheetViews>
  <sheetFormatPr defaultRowHeight="13.2" x14ac:dyDescent="0.25"/>
  <cols>
    <col min="1" max="1" width="35.5546875" customWidth="1"/>
    <col min="3" max="3" width="39.88671875" customWidth="1"/>
    <col min="4" max="6" width="19.44140625" customWidth="1"/>
  </cols>
  <sheetData>
    <row r="1" spans="1:5" x14ac:dyDescent="0.25">
      <c r="A1" s="1030" t="s">
        <v>607</v>
      </c>
    </row>
    <row r="3" spans="1:5" x14ac:dyDescent="0.25">
      <c r="A3" s="1030" t="s">
        <v>616</v>
      </c>
      <c r="C3" s="1030" t="s">
        <v>617</v>
      </c>
    </row>
    <row r="4" spans="1:5" ht="15.75" customHeight="1" x14ac:dyDescent="0.25">
      <c r="A4" s="1028" t="s">
        <v>608</v>
      </c>
      <c r="C4" s="1028" t="s">
        <v>608</v>
      </c>
    </row>
    <row r="5" spans="1:5" ht="15.75" customHeight="1" x14ac:dyDescent="0.25">
      <c r="A5" s="1031">
        <f ca="1">'Mid Load Forecast$'!DJ131</f>
        <v>-165152228.45602009</v>
      </c>
      <c r="C5" s="1031">
        <f>'Mid Load Forecast$'!A131</f>
        <v>-250543527.0623036</v>
      </c>
    </row>
    <row r="6" spans="1:5" ht="15.75" customHeight="1" x14ac:dyDescent="0.25">
      <c r="A6" s="1028" t="s">
        <v>609</v>
      </c>
      <c r="C6" s="1028" t="s">
        <v>609</v>
      </c>
    </row>
    <row r="7" spans="1:5" ht="15.75" customHeight="1" x14ac:dyDescent="0.25">
      <c r="A7" s="1031">
        <f ca="1">'Bid Load Forecast$'!DJ131</f>
        <v>-156317891.12609756</v>
      </c>
      <c r="C7" s="1031">
        <f>'Bid Load Forecast$'!A131</f>
        <v>-236658850.71316475</v>
      </c>
    </row>
    <row r="8" spans="1:5" ht="15.75" customHeight="1" x14ac:dyDescent="0.25">
      <c r="A8" s="1028" t="s">
        <v>610</v>
      </c>
      <c r="C8" s="1028" t="s">
        <v>610</v>
      </c>
    </row>
    <row r="9" spans="1:5" ht="15.75" customHeight="1" x14ac:dyDescent="0.25">
      <c r="A9" s="1031">
        <f ca="1">'Offer Load Forecast$'!DJ131</f>
        <v>-173986565.78594252</v>
      </c>
      <c r="C9" s="1031">
        <f>'Offer Load Forecast$'!A131</f>
        <v>-264428203.41144046</v>
      </c>
    </row>
    <row r="10" spans="1:5" hidden="1" x14ac:dyDescent="0.25"/>
    <row r="11" spans="1:5" hidden="1" x14ac:dyDescent="0.25"/>
    <row r="13" spans="1:5" x14ac:dyDescent="0.25">
      <c r="A13" s="1030" t="s">
        <v>621</v>
      </c>
      <c r="C13" s="1030" t="s">
        <v>619</v>
      </c>
    </row>
    <row r="14" spans="1:5" x14ac:dyDescent="0.25">
      <c r="A14" s="1035">
        <f ca="1">'Total MW Load'!DJ131</f>
        <v>-5157342.9101165934</v>
      </c>
      <c r="B14" s="1032"/>
      <c r="C14" s="1035">
        <f>'Total MW Load'!DH131</f>
        <v>-7810613.9736089334</v>
      </c>
      <c r="D14" s="1032"/>
      <c r="E14" s="1032"/>
    </row>
    <row r="15" spans="1:5" hidden="1" x14ac:dyDescent="0.25">
      <c r="A15" s="1035"/>
      <c r="B15" s="1032"/>
      <c r="C15" s="1035"/>
      <c r="D15" s="1032"/>
      <c r="E15" s="1032"/>
    </row>
    <row r="16" spans="1:5" hidden="1" x14ac:dyDescent="0.25">
      <c r="A16" s="1035"/>
      <c r="B16" s="1032"/>
      <c r="C16" s="1035"/>
      <c r="D16" s="1032"/>
      <c r="E16" s="1032"/>
    </row>
    <row r="17" spans="1:6" hidden="1" x14ac:dyDescent="0.25">
      <c r="A17" s="1035"/>
      <c r="B17" s="1032"/>
      <c r="C17" s="1035"/>
      <c r="D17" s="1032"/>
      <c r="E17" s="1032"/>
    </row>
    <row r="18" spans="1:6" x14ac:dyDescent="0.25">
      <c r="A18" s="1028"/>
      <c r="C18" s="1028"/>
    </row>
    <row r="19" spans="1:6" x14ac:dyDescent="0.25">
      <c r="A19" s="1031" t="s">
        <v>618</v>
      </c>
      <c r="C19" s="1031" t="s">
        <v>618</v>
      </c>
    </row>
    <row r="20" spans="1:6" x14ac:dyDescent="0.25">
      <c r="A20" s="1030" t="s">
        <v>611</v>
      </c>
      <c r="C20" s="1030" t="s">
        <v>612</v>
      </c>
    </row>
    <row r="21" spans="1:6" x14ac:dyDescent="0.25">
      <c r="A21" s="1028" t="s">
        <v>608</v>
      </c>
      <c r="C21" s="1028" t="s">
        <v>608</v>
      </c>
    </row>
    <row r="22" spans="1:6" x14ac:dyDescent="0.25">
      <c r="A22" s="1031">
        <f ca="1">A5/A14</f>
        <v>32.02273560907868</v>
      </c>
      <c r="C22" s="1031">
        <f>C5/C$14</f>
        <v>32.077315292864064</v>
      </c>
    </row>
    <row r="23" spans="1:6" x14ac:dyDescent="0.25">
      <c r="A23" s="1028" t="s">
        <v>609</v>
      </c>
      <c r="C23" s="1028" t="s">
        <v>609</v>
      </c>
    </row>
    <row r="24" spans="1:6" x14ac:dyDescent="0.25">
      <c r="A24" s="1031">
        <f ca="1">A7/A14</f>
        <v>30.309772658216293</v>
      </c>
      <c r="C24" s="1031">
        <f>C7/C$14</f>
        <v>30.29964757095982</v>
      </c>
    </row>
    <row r="25" spans="1:6" x14ac:dyDescent="0.25">
      <c r="A25" s="1028" t="s">
        <v>610</v>
      </c>
      <c r="C25" s="1028" t="s">
        <v>610</v>
      </c>
    </row>
    <row r="26" spans="1:6" x14ac:dyDescent="0.25">
      <c r="A26" s="1031">
        <f ca="1">A9/A14</f>
        <v>33.735698559941049</v>
      </c>
      <c r="C26" s="1031">
        <f>C9/C$14</f>
        <v>33.854983014768052</v>
      </c>
    </row>
    <row r="28" spans="1:6" hidden="1" x14ac:dyDescent="0.25"/>
    <row r="29" spans="1:6" hidden="1" x14ac:dyDescent="0.25">
      <c r="A29" s="1028"/>
      <c r="C29" s="1028" t="s">
        <v>620</v>
      </c>
      <c r="D29" s="1015" t="s">
        <v>25</v>
      </c>
      <c r="E29" s="1015" t="s">
        <v>296</v>
      </c>
      <c r="F29" s="1015" t="s">
        <v>26</v>
      </c>
    </row>
    <row r="30" spans="1:6" hidden="1" x14ac:dyDescent="0.25">
      <c r="C30" s="1028">
        <v>2001</v>
      </c>
      <c r="D30" s="1029">
        <f ca="1">SUM('Bid Load Forecast$'!$DJ$6:$DJ$17)/SUM('Total MW Load'!$DH$6:$DH$17)</f>
        <v>29.340326787116481</v>
      </c>
      <c r="E30" s="1029">
        <f ca="1">SUM('Mid Load Forecast$'!$DJ$6:$DJ$17)/SUM('Total MW Load'!$DH$6:$DH$17)</f>
        <v>30.463195410944639</v>
      </c>
      <c r="F30" s="1029">
        <f ca="1">SUM('Offer Load Forecast$'!$DJ$6:$DJ$17)/SUM('Total MW Load'!$DH$6:$DH$17)</f>
        <v>31.586064034772789</v>
      </c>
    </row>
    <row r="31" spans="1:6" hidden="1" x14ac:dyDescent="0.25">
      <c r="C31" s="1028">
        <v>2002</v>
      </c>
      <c r="D31" s="1029">
        <f ca="1">SUM('Bid Load Forecast$'!$DJ$18:$DJ$29)/SUM('Total MW Load'!$DH$18:$DH$29)</f>
        <v>25.374809023086073</v>
      </c>
      <c r="E31" s="1029">
        <f ca="1">SUM('Mid Load Forecast$'!$DJ$18:$DJ$29)/SUM('Total MW Load'!$DH$18:$DH$29)</f>
        <v>26.521935283499285</v>
      </c>
      <c r="F31" s="1029">
        <f ca="1">SUM('Offer Load Forecast$'!$DJ$18:$DJ$29)/SUM('Total MW Load'!$DH$18:$DH$29)</f>
        <v>27.669061543912488</v>
      </c>
    </row>
    <row r="32" spans="1:6" hidden="1" x14ac:dyDescent="0.25">
      <c r="C32" s="1028">
        <v>2003</v>
      </c>
      <c r="D32" s="1029">
        <f ca="1">SUM('Bid Load Forecast$'!$DJ$30:$DJ$41)/SUM('Total MW Load'!$DH$30:$DH$41)</f>
        <v>23.470886386311733</v>
      </c>
      <c r="E32" s="1029">
        <f ca="1">SUM('Mid Load Forecast$'!$DJ$30:$DJ$41)/SUM('Total MW Load'!$DH$30:$DH$41)</f>
        <v>24.657840965343777</v>
      </c>
      <c r="F32" s="1029">
        <f ca="1">SUM('Offer Load Forecast$'!$DJ$30:$DJ$41)/SUM('Total MW Load'!$DH$30:$DH$41)</f>
        <v>25.84479554437582</v>
      </c>
    </row>
    <row r="33" spans="3:6" hidden="1" x14ac:dyDescent="0.25">
      <c r="C33" s="1028">
        <v>2004</v>
      </c>
      <c r="D33" s="1029">
        <f ca="1">SUM('Bid Load Forecast$'!$DJ$42:$DJ$53)/SUM('Total MW Load'!$DH$42:$DH$53)</f>
        <v>21.788856175682692</v>
      </c>
      <c r="E33" s="1029">
        <f ca="1">SUM('Mid Load Forecast$'!$DJ$42:$DJ$53)/SUM('Total MW Load'!$DH$42:$DH$53)</f>
        <v>22.937042057820388</v>
      </c>
      <c r="F33" s="1029">
        <f ca="1">SUM('Offer Load Forecast$'!$DJ$42:$DJ$53)/SUM('Total MW Load'!$DH$42:$DH$53)</f>
        <v>24.085227939958081</v>
      </c>
    </row>
    <row r="34" spans="3:6" hidden="1" x14ac:dyDescent="0.25">
      <c r="C34" s="1028">
        <v>2005</v>
      </c>
      <c r="D34" s="1029">
        <f ca="1">SUM('Bid Load Forecast$'!$DJ$54:$DJ$65)/SUM('Total MW Load'!$DH$54:$DH$65)</f>
        <v>20.244253444523867</v>
      </c>
      <c r="E34" s="1029">
        <f ca="1">SUM('Mid Load Forecast$'!$DJ$54:$DJ$65)/SUM('Total MW Load'!$DH$54:$DH$65)</f>
        <v>21.363400645458988</v>
      </c>
      <c r="F34" s="1029">
        <f ca="1">SUM('Offer Load Forecast$'!$DJ$54:$DJ$65)/SUM('Total MW Load'!$DH$54:$DH$65)</f>
        <v>22.482547846394105</v>
      </c>
    </row>
    <row r="35" spans="3:6" hidden="1" x14ac:dyDescent="0.25">
      <c r="C35" s="1028">
        <v>2006</v>
      </c>
      <c r="D35" s="1029">
        <f ca="1">SUM('Bid Load Forecast$'!$DJ$66:$DJ$77)/SUM('Total MW Load'!$DH$66:$DH$77)</f>
        <v>18.846830401830537</v>
      </c>
      <c r="E35" s="1029">
        <f ca="1">SUM('Mid Load Forecast$'!$DJ$66:$DJ$77)/SUM('Total MW Load'!$DH$66:$DH$77)</f>
        <v>19.941662172365213</v>
      </c>
      <c r="F35" s="1029">
        <f ca="1">SUM('Offer Load Forecast$'!$DJ$66:$DJ$77)/SUM('Total MW Load'!$DH$66:$DH$77)</f>
        <v>21.036493942899895</v>
      </c>
    </row>
    <row r="36" spans="3:6" hidden="1" x14ac:dyDescent="0.25">
      <c r="C36" s="1028">
        <v>2007</v>
      </c>
      <c r="D36" s="1029">
        <f ca="1">SUM('Bid Load Forecast$'!$DJ$78:$DJ$89)/SUM('Total MW Load'!$DH$78:$DH$89)</f>
        <v>17.373941345271753</v>
      </c>
      <c r="E36" s="1029">
        <f ca="1">SUM('Mid Load Forecast$'!$DJ$78:$DJ$89)/SUM('Total MW Load'!$DH$78:$DH$89)</f>
        <v>18.50611505400456</v>
      </c>
      <c r="F36" s="1029">
        <f ca="1">SUM('Offer Load Forecast$'!$DJ$78:$DJ$89)/SUM('Total MW Load'!$DH$78:$DH$89)</f>
        <v>19.638288762737371</v>
      </c>
    </row>
    <row r="37" spans="3:6" hidden="1" x14ac:dyDescent="0.25">
      <c r="C37" s="1028">
        <v>2008</v>
      </c>
      <c r="D37" s="1029">
        <f ca="1">SUM('Bid Load Forecast$'!$DJ$90:$DJ$101)/SUM('Total MW Load'!$DH$90:$DH$101)</f>
        <v>16.217160098604278</v>
      </c>
      <c r="E37" s="1029">
        <f ca="1">SUM('Mid Load Forecast$'!$DJ$90:$DJ$101)/SUM('Total MW Load'!$DH$90:$DH$101)</f>
        <v>17.310214882482317</v>
      </c>
      <c r="F37" s="1029">
        <f ca="1">SUM('Offer Load Forecast$'!$DJ$90:$DJ$101)/SUM('Total MW Load'!$DH$90:$DH$101)</f>
        <v>18.403269666360352</v>
      </c>
    </row>
    <row r="38" spans="3:6" hidden="1" x14ac:dyDescent="0.25">
      <c r="C38" s="1028">
        <v>2009</v>
      </c>
      <c r="D38" s="1029">
        <f ca="1">SUM('Bid Load Forecast$'!$DJ$102:$DJ$113)/SUM('Total MW Load'!$DH$102:$DH$113)</f>
        <v>15.251778808765311</v>
      </c>
      <c r="E38" s="1029">
        <f ca="1">SUM('Mid Load Forecast$'!$DJ$102:$DJ$113)/SUM('Total MW Load'!$DH$102:$DH$113)</f>
        <v>16.319841403785837</v>
      </c>
      <c r="F38" s="1029">
        <f ca="1">SUM('Offer Load Forecast$'!$DJ$102:$DJ$113)/SUM('Total MW Load'!$DH$102:$DH$113)</f>
        <v>17.387903998806358</v>
      </c>
    </row>
    <row r="39" spans="3:6" hidden="1" x14ac:dyDescent="0.25">
      <c r="C39" s="1028">
        <v>2010</v>
      </c>
      <c r="D39" s="1029">
        <f ca="1">SUM('Bid Load Forecast$'!$DJ$114:$DJ$125)/SUM('Total MW Load'!$DH$114:$DH$125)</f>
        <v>15.198386607433457</v>
      </c>
      <c r="E39" s="1029">
        <f ca="1">SUM('Mid Load Forecast$'!$DJ$114:$DJ$125)/SUM('Total MW Load'!$DH$114:$DH$125)</f>
        <v>16.425296486015458</v>
      </c>
      <c r="F39" s="1029">
        <f ca="1">SUM('Offer Load Forecast$'!$DJ$114:$DJ$125)/SUM('Total MW Load'!$DH$114:$DH$125)</f>
        <v>17.652206364597458</v>
      </c>
    </row>
    <row r="40" spans="3:6" hidden="1" x14ac:dyDescent="0.25"/>
    <row r="42" spans="3:6" x14ac:dyDescent="0.25">
      <c r="C42" s="1028" t="s">
        <v>622</v>
      </c>
      <c r="D42" s="1015" t="s">
        <v>25</v>
      </c>
      <c r="E42" s="1015" t="s">
        <v>296</v>
      </c>
      <c r="F42" s="1015" t="s">
        <v>26</v>
      </c>
    </row>
    <row r="43" spans="3:6" x14ac:dyDescent="0.25">
      <c r="C43" s="1028">
        <v>2001</v>
      </c>
      <c r="D43" s="1029">
        <f>SUM('Bid Load Forecast$'!$DH$6:$DH$17)</f>
        <v>-14538907.678542295</v>
      </c>
      <c r="E43" s="1029">
        <f>SUM('Mid Load Forecast$'!$DH$6:$DH$17)</f>
        <v>-15094311.849049471</v>
      </c>
      <c r="F43" s="1029">
        <f>SUM('Offer Load Forecast$'!$DH$6:$DH$17)</f>
        <v>-15649716.019556645</v>
      </c>
    </row>
    <row r="44" spans="3:6" x14ac:dyDescent="0.25">
      <c r="C44" s="1028">
        <v>2002</v>
      </c>
      <c r="D44" s="1029">
        <f>SUM('Bid Load Forecast$'!$DH$18:$DH$29)</f>
        <v>-23466796.226625971</v>
      </c>
      <c r="E44" s="1029">
        <f>SUM('Mid Load Forecast$'!$DH$18:$DH$29)</f>
        <v>-24529596.429862402</v>
      </c>
      <c r="F44" s="1029">
        <f>SUM('Offer Load Forecast$'!$DH$18:$DH$29)</f>
        <v>-25592396.633098837</v>
      </c>
    </row>
    <row r="45" spans="3:6" x14ac:dyDescent="0.25">
      <c r="C45" s="1028">
        <v>2003</v>
      </c>
      <c r="D45" s="1029">
        <f>SUM('Bid Load Forecast$'!$DH$30:$DH$41)</f>
        <v>-25566545.96705829</v>
      </c>
      <c r="E45" s="1029">
        <f>SUM('Mid Load Forecast$'!$DH$30:$DH$41)</f>
        <v>-26860987.254411425</v>
      </c>
      <c r="F45" s="1029">
        <f>SUM('Offer Load Forecast$'!$DH$30:$DH$41)</f>
        <v>-28155428.541764565</v>
      </c>
    </row>
    <row r="46" spans="3:6" x14ac:dyDescent="0.25">
      <c r="C46" s="1028">
        <v>2004</v>
      </c>
      <c r="D46" s="1029">
        <f>SUM('Bid Load Forecast$'!$DH$42:$DH$53)</f>
        <v>-26793551.210311219</v>
      </c>
      <c r="E46" s="1029">
        <f>SUM('Mid Load Forecast$'!$DH$42:$DH$53)</f>
        <v>-28207440.181386203</v>
      </c>
      <c r="F46" s="1029">
        <f>SUM('Offer Load Forecast$'!$DH$42:$DH$53)</f>
        <v>-29621329.152461186</v>
      </c>
    </row>
    <row r="47" spans="3:6" x14ac:dyDescent="0.25">
      <c r="C47" s="1028">
        <v>2005</v>
      </c>
      <c r="D47" s="1029">
        <f>SUM('Bid Load Forecast$'!$DH$54:$DH$65)</f>
        <v>-26656529.373418812</v>
      </c>
      <c r="E47" s="1029">
        <f>SUM('Mid Load Forecast$'!$DH$54:$DH$65)</f>
        <v>-28131985.227952313</v>
      </c>
      <c r="F47" s="1029">
        <f>SUM('Offer Load Forecast$'!$DH$54:$DH$65)</f>
        <v>-29607441.08248581</v>
      </c>
    </row>
    <row r="48" spans="3:6" x14ac:dyDescent="0.25">
      <c r="C48" s="1028">
        <v>2006</v>
      </c>
      <c r="D48" s="1029">
        <f>SUM('Bid Load Forecast$'!$DH$66:$DH$77)</f>
        <v>-26511968.870655384</v>
      </c>
      <c r="E48" s="1029">
        <f>SUM('Mid Load Forecast$'!$DH$66:$DH$77)</f>
        <v>-28053979.257818799</v>
      </c>
      <c r="F48" s="1029">
        <f>SUM('Offer Load Forecast$'!$DH$66:$DH$77)</f>
        <v>-29595989.644982241</v>
      </c>
    </row>
    <row r="49" spans="3:6" x14ac:dyDescent="0.25">
      <c r="C49" s="1028">
        <v>2007</v>
      </c>
      <c r="D49" s="1029">
        <f>SUM('Bid Load Forecast$'!$DH$78:$DH$89)</f>
        <v>-24676231.037534013</v>
      </c>
      <c r="E49" s="1029">
        <f>SUM('Mid Load Forecast$'!$DH$78:$DH$89)</f>
        <v>-26286585.084668078</v>
      </c>
      <c r="F49" s="1029">
        <f>SUM('Offer Load Forecast$'!$DH$78:$DH$89)</f>
        <v>-27896939.131802149</v>
      </c>
    </row>
    <row r="50" spans="3:6" x14ac:dyDescent="0.25">
      <c r="C50" s="1028">
        <v>2008</v>
      </c>
      <c r="D50" s="1029">
        <f>SUM('Bid Load Forecast$'!$DH$90:$DH$101)</f>
        <v>-25108460.092874352</v>
      </c>
      <c r="E50" s="1029">
        <f>SUM('Mid Load Forecast$'!$DH$90:$DH$101)</f>
        <v>-26802971.294578496</v>
      </c>
      <c r="F50" s="1029">
        <f>SUM('Offer Load Forecast$'!$DH$90:$DH$101)</f>
        <v>-28497482.496282637</v>
      </c>
    </row>
    <row r="51" spans="3:6" x14ac:dyDescent="0.25">
      <c r="C51" s="1028">
        <v>2009</v>
      </c>
      <c r="D51" s="1029">
        <f>SUM('Bid Load Forecast$'!$DH$102:$DH$113)</f>
        <v>-25131025.015444979</v>
      </c>
      <c r="E51" s="1029">
        <f>SUM('Mid Load Forecast$'!$DH$102:$DH$113)</f>
        <v>-26892872.070404239</v>
      </c>
      <c r="F51" s="1029">
        <f>SUM('Offer Load Forecast$'!$DH$102:$DH$113)</f>
        <v>-28654719.125363499</v>
      </c>
    </row>
    <row r="52" spans="3:6" x14ac:dyDescent="0.25">
      <c r="C52" s="1028">
        <v>2010</v>
      </c>
      <c r="D52" s="1029">
        <f>SUM('Bid Load Forecast$'!$DH$114:$DH$125)</f>
        <v>-18208835.240698032</v>
      </c>
      <c r="E52" s="1029">
        <f>SUM('Mid Load Forecast$'!$DH$114:$DH$125)</f>
        <v>-19682798.412170794</v>
      </c>
      <c r="F52" s="1029">
        <f>SUM('Offer Load Forecast$'!$DH$114:$DH$125)</f>
        <v>-21156761.583643563</v>
      </c>
    </row>
    <row r="54" spans="3:6" x14ac:dyDescent="0.25">
      <c r="C54" s="1028" t="s">
        <v>623</v>
      </c>
    </row>
    <row r="55" spans="3:6" x14ac:dyDescent="0.25">
      <c r="C55" s="1028">
        <v>2001</v>
      </c>
      <c r="D55" s="1032">
        <f>-SUM('Total MW Load'!$DH$6:$DH$17)</f>
        <v>444454.18382327596</v>
      </c>
      <c r="E55" s="1032">
        <f>-SUM('Total MW Load'!$DH$6:$DH$17)</f>
        <v>444454.18382327596</v>
      </c>
      <c r="F55" s="1032">
        <f>-SUM('Total MW Load'!$DH$6:$DH$17)</f>
        <v>444454.18382327596</v>
      </c>
    </row>
    <row r="56" spans="3:6" x14ac:dyDescent="0.25">
      <c r="C56" s="1028">
        <v>2002</v>
      </c>
      <c r="D56" s="1032">
        <f>-SUM('Total MW Load'!$DH$18:$DH$29)</f>
        <v>780058.97947015858</v>
      </c>
      <c r="E56" s="1032">
        <f>-SUM('Total MW Load'!$DH$18:$DH$29)</f>
        <v>780058.97947015858</v>
      </c>
      <c r="F56" s="1032">
        <f>-SUM('Total MW Load'!$DH$18:$DH$29)</f>
        <v>780058.97947015858</v>
      </c>
    </row>
    <row r="57" spans="3:6" x14ac:dyDescent="0.25">
      <c r="C57" s="1028">
        <v>2003</v>
      </c>
      <c r="D57" s="1032">
        <f>-SUM('Total MW Load'!$DH$30:$DH$41)</f>
        <v>853098.51927393174</v>
      </c>
      <c r="E57" s="1032">
        <f>-SUM('Total MW Load'!$DH$30:$DH$41)</f>
        <v>853098.51927393174</v>
      </c>
      <c r="F57" s="1032">
        <f>-SUM('Total MW Load'!$DH$30:$DH$41)</f>
        <v>853098.51927393174</v>
      </c>
    </row>
    <row r="58" spans="3:6" x14ac:dyDescent="0.25">
      <c r="C58" s="1028">
        <v>2004</v>
      </c>
      <c r="D58" s="1032">
        <f>-SUM('Total MW Load'!$DH$42:$DH$53)</f>
        <v>895576.94853235979</v>
      </c>
      <c r="E58" s="1032">
        <f>-SUM('Total MW Load'!$DH$42:$DH$53)</f>
        <v>895576.94853235979</v>
      </c>
      <c r="F58" s="1032">
        <f>-SUM('Total MW Load'!$DH$42:$DH$53)</f>
        <v>895576.94853235979</v>
      </c>
    </row>
    <row r="59" spans="3:6" x14ac:dyDescent="0.25">
      <c r="C59" s="1028">
        <v>2005</v>
      </c>
      <c r="D59" s="1032">
        <f>-SUM('Total MW Load'!$DH$54:$DH$65)</f>
        <v>890978.85649066279</v>
      </c>
      <c r="E59" s="1032">
        <f>-SUM('Total MW Load'!$DH$54:$DH$65)</f>
        <v>890978.85649066279</v>
      </c>
      <c r="F59" s="1032">
        <f>-SUM('Total MW Load'!$DH$54:$DH$65)</f>
        <v>890978.85649066279</v>
      </c>
    </row>
    <row r="60" spans="3:6" x14ac:dyDescent="0.25">
      <c r="C60" s="1028">
        <v>2006</v>
      </c>
      <c r="D60" s="1032">
        <f>-SUM('Total MW Load'!$DH$66:$DH$77)</f>
        <v>884420.03899880231</v>
      </c>
      <c r="E60" s="1032">
        <f>-SUM('Total MW Load'!$DH$66:$DH$77)</f>
        <v>884420.03899880231</v>
      </c>
      <c r="F60" s="1032">
        <f>-SUM('Total MW Load'!$DH$66:$DH$77)</f>
        <v>884420.03899880231</v>
      </c>
    </row>
    <row r="61" spans="3:6" x14ac:dyDescent="0.25">
      <c r="C61" s="1028">
        <v>2007</v>
      </c>
      <c r="D61" s="1032">
        <f>-SUM('Total MW Load'!$DH$78:$DH$89)</f>
        <v>829190.77614016796</v>
      </c>
      <c r="E61" s="1032">
        <f>-SUM('Total MW Load'!$DH$78:$DH$89)</f>
        <v>829190.77614016796</v>
      </c>
      <c r="F61" s="1032">
        <f>-SUM('Total MW Load'!$DH$78:$DH$89)</f>
        <v>829190.77614016796</v>
      </c>
    </row>
    <row r="62" spans="3:6" x14ac:dyDescent="0.25">
      <c r="C62" s="1028">
        <v>2008</v>
      </c>
      <c r="D62" s="1032">
        <f>-SUM('Total MW Load'!$DH$90:$DH$101)</f>
        <v>839458.875292312</v>
      </c>
      <c r="E62" s="1032">
        <f>-SUM('Total MW Load'!$DH$90:$DH$101)</f>
        <v>839458.875292312</v>
      </c>
      <c r="F62" s="1032">
        <f>-SUM('Total MW Load'!$DH$90:$DH$101)</f>
        <v>839458.875292312</v>
      </c>
    </row>
    <row r="63" spans="3:6" x14ac:dyDescent="0.25">
      <c r="C63" s="1028">
        <v>2009</v>
      </c>
      <c r="D63" s="1032">
        <f>-SUM('Total MW Load'!$DH$102:$DH$113)</f>
        <v>829528.89578156394</v>
      </c>
      <c r="E63" s="1032">
        <f>-SUM('Total MW Load'!$DH$102:$DH$113)</f>
        <v>829528.89578156394</v>
      </c>
      <c r="F63" s="1032">
        <f>-SUM('Total MW Load'!$DH$102:$DH$113)</f>
        <v>829528.89578156394</v>
      </c>
    </row>
    <row r="64" spans="3:6" x14ac:dyDescent="0.25">
      <c r="C64" s="1028">
        <v>2010</v>
      </c>
      <c r="D64" s="1032">
        <f>-SUM('Total MW Load'!$DH$114:$DH$125)</f>
        <v>563847.89980569517</v>
      </c>
      <c r="E64" s="1032">
        <f>-SUM('Total MW Load'!$DH$114:$DH$125)</f>
        <v>563847.89980569517</v>
      </c>
      <c r="F64" s="1032">
        <f>-SUM('Total MW Load'!$DH$114:$DH$125)</f>
        <v>563847.89980569517</v>
      </c>
    </row>
  </sheetData>
  <pageMargins left="0.75" right="0.75" top="1" bottom="1" header="0.5" footer="0.5"/>
  <pageSetup scale="63" orientation="portrait" horizontalDpi="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O44"/>
  <sheetViews>
    <sheetView workbookViewId="0"/>
  </sheetViews>
  <sheetFormatPr defaultRowHeight="13.2" x14ac:dyDescent="0.25"/>
  <sheetData>
    <row r="1" spans="1:145" ht="15.6" x14ac:dyDescent="0.3">
      <c r="A1" s="1005" t="s">
        <v>545</v>
      </c>
    </row>
    <row r="2" spans="1:145" x14ac:dyDescent="0.25">
      <c r="B2" t="s">
        <v>546</v>
      </c>
      <c r="N2" t="s">
        <v>547</v>
      </c>
      <c r="Z2" t="s">
        <v>548</v>
      </c>
      <c r="AL2" t="s">
        <v>549</v>
      </c>
      <c r="AX2" t="s">
        <v>533</v>
      </c>
      <c r="BJ2" t="s">
        <v>550</v>
      </c>
      <c r="BV2" t="s">
        <v>551</v>
      </c>
      <c r="CH2" t="s">
        <v>552</v>
      </c>
      <c r="CT2" t="s">
        <v>553</v>
      </c>
      <c r="DF2" t="s">
        <v>554</v>
      </c>
      <c r="DR2" t="s">
        <v>555</v>
      </c>
      <c r="ED2" t="s">
        <v>556</v>
      </c>
    </row>
    <row r="3" spans="1:145" x14ac:dyDescent="0.25">
      <c r="A3" s="1006" t="s">
        <v>557</v>
      </c>
      <c r="B3" s="1007" t="s">
        <v>558</v>
      </c>
      <c r="C3" s="1007" t="s">
        <v>559</v>
      </c>
      <c r="D3" s="1007" t="s">
        <v>560</v>
      </c>
      <c r="E3" s="1007" t="s">
        <v>561</v>
      </c>
      <c r="F3" s="1007" t="s">
        <v>562</v>
      </c>
      <c r="G3" s="1007" t="s">
        <v>563</v>
      </c>
      <c r="H3" s="1007" t="s">
        <v>564</v>
      </c>
      <c r="I3" s="1007" t="s">
        <v>565</v>
      </c>
      <c r="J3" s="1007" t="s">
        <v>566</v>
      </c>
      <c r="K3" s="1007" t="s">
        <v>567</v>
      </c>
      <c r="L3" s="1007" t="s">
        <v>568</v>
      </c>
      <c r="M3" s="1007" t="s">
        <v>569</v>
      </c>
      <c r="N3" s="1007" t="s">
        <v>558</v>
      </c>
      <c r="O3" s="1007" t="s">
        <v>559</v>
      </c>
      <c r="P3" s="1007" t="s">
        <v>560</v>
      </c>
      <c r="Q3" s="1007" t="s">
        <v>561</v>
      </c>
      <c r="R3" s="1007" t="s">
        <v>562</v>
      </c>
      <c r="S3" s="1007" t="s">
        <v>563</v>
      </c>
      <c r="T3" s="1007" t="s">
        <v>564</v>
      </c>
      <c r="U3" s="1007" t="s">
        <v>565</v>
      </c>
      <c r="V3" s="1007" t="s">
        <v>566</v>
      </c>
      <c r="W3" s="1007" t="s">
        <v>567</v>
      </c>
      <c r="X3" s="1007" t="s">
        <v>568</v>
      </c>
      <c r="Y3" s="1007" t="s">
        <v>569</v>
      </c>
      <c r="Z3" s="1007" t="s">
        <v>558</v>
      </c>
      <c r="AA3" s="1007" t="s">
        <v>559</v>
      </c>
      <c r="AB3" s="1007" t="s">
        <v>560</v>
      </c>
      <c r="AC3" s="1007" t="s">
        <v>561</v>
      </c>
      <c r="AD3" s="1007" t="s">
        <v>562</v>
      </c>
      <c r="AE3" s="1007" t="s">
        <v>563</v>
      </c>
      <c r="AF3" s="1007" t="s">
        <v>564</v>
      </c>
      <c r="AG3" s="1007" t="s">
        <v>565</v>
      </c>
      <c r="AH3" s="1007" t="s">
        <v>566</v>
      </c>
      <c r="AI3" s="1007" t="s">
        <v>567</v>
      </c>
      <c r="AJ3" s="1007" t="s">
        <v>568</v>
      </c>
      <c r="AK3" s="1007" t="s">
        <v>569</v>
      </c>
      <c r="AL3" s="1007" t="s">
        <v>558</v>
      </c>
      <c r="AM3" s="1007" t="s">
        <v>559</v>
      </c>
      <c r="AN3" s="1007" t="s">
        <v>560</v>
      </c>
      <c r="AO3" s="1007" t="s">
        <v>561</v>
      </c>
      <c r="AP3" s="1007" t="s">
        <v>562</v>
      </c>
      <c r="AQ3" s="1007" t="s">
        <v>563</v>
      </c>
      <c r="AR3" s="1007" t="s">
        <v>564</v>
      </c>
      <c r="AS3" s="1007" t="s">
        <v>565</v>
      </c>
      <c r="AT3" s="1007" t="s">
        <v>566</v>
      </c>
      <c r="AU3" s="1007" t="s">
        <v>567</v>
      </c>
      <c r="AV3" s="1007" t="s">
        <v>568</v>
      </c>
      <c r="AW3" s="1007" t="s">
        <v>569</v>
      </c>
      <c r="AX3" s="1007" t="s">
        <v>558</v>
      </c>
      <c r="AY3" s="1007" t="s">
        <v>559</v>
      </c>
      <c r="AZ3" s="1007" t="s">
        <v>560</v>
      </c>
      <c r="BA3" s="1007" t="s">
        <v>561</v>
      </c>
      <c r="BB3" s="1007" t="s">
        <v>562</v>
      </c>
      <c r="BC3" s="1007" t="s">
        <v>563</v>
      </c>
      <c r="BD3" s="1007" t="s">
        <v>564</v>
      </c>
      <c r="BE3" s="1007" t="s">
        <v>565</v>
      </c>
      <c r="BF3" s="1007" t="s">
        <v>566</v>
      </c>
      <c r="BG3" s="1007" t="s">
        <v>567</v>
      </c>
      <c r="BH3" s="1007" t="s">
        <v>568</v>
      </c>
      <c r="BI3" s="1007" t="s">
        <v>569</v>
      </c>
      <c r="BJ3" s="1007" t="s">
        <v>558</v>
      </c>
      <c r="BK3" s="1007" t="s">
        <v>559</v>
      </c>
      <c r="BL3" s="1007" t="s">
        <v>560</v>
      </c>
      <c r="BM3" s="1007" t="s">
        <v>561</v>
      </c>
      <c r="BN3" s="1007" t="s">
        <v>562</v>
      </c>
      <c r="BO3" s="1007" t="s">
        <v>563</v>
      </c>
      <c r="BP3" s="1007" t="s">
        <v>564</v>
      </c>
      <c r="BQ3" s="1007" t="s">
        <v>565</v>
      </c>
      <c r="BR3" s="1007" t="s">
        <v>566</v>
      </c>
      <c r="BS3" s="1007" t="s">
        <v>567</v>
      </c>
      <c r="BT3" s="1007" t="s">
        <v>568</v>
      </c>
      <c r="BU3" s="1007" t="s">
        <v>569</v>
      </c>
      <c r="BV3" s="1007" t="s">
        <v>558</v>
      </c>
      <c r="BW3" s="1007" t="s">
        <v>559</v>
      </c>
      <c r="BX3" s="1007" t="s">
        <v>560</v>
      </c>
      <c r="BY3" s="1007" t="s">
        <v>561</v>
      </c>
      <c r="BZ3" s="1007" t="s">
        <v>562</v>
      </c>
      <c r="CA3" s="1007" t="s">
        <v>563</v>
      </c>
      <c r="CB3" s="1007" t="s">
        <v>564</v>
      </c>
      <c r="CC3" s="1007" t="s">
        <v>565</v>
      </c>
      <c r="CD3" s="1007" t="s">
        <v>566</v>
      </c>
      <c r="CE3" s="1007" t="s">
        <v>567</v>
      </c>
      <c r="CF3" s="1007" t="s">
        <v>568</v>
      </c>
      <c r="CG3" s="1007" t="s">
        <v>569</v>
      </c>
      <c r="CH3" s="1007" t="s">
        <v>558</v>
      </c>
      <c r="CI3" s="1007" t="s">
        <v>559</v>
      </c>
      <c r="CJ3" s="1007" t="s">
        <v>560</v>
      </c>
      <c r="CK3" s="1007" t="s">
        <v>561</v>
      </c>
      <c r="CL3" s="1007" t="s">
        <v>562</v>
      </c>
      <c r="CM3" s="1007" t="s">
        <v>563</v>
      </c>
      <c r="CN3" s="1007" t="s">
        <v>564</v>
      </c>
      <c r="CO3" s="1007" t="s">
        <v>565</v>
      </c>
      <c r="CP3" s="1007" t="s">
        <v>566</v>
      </c>
      <c r="CQ3" s="1007" t="s">
        <v>567</v>
      </c>
      <c r="CR3" s="1007" t="s">
        <v>568</v>
      </c>
      <c r="CS3" s="1007" t="s">
        <v>569</v>
      </c>
      <c r="CT3" s="1007" t="s">
        <v>558</v>
      </c>
      <c r="CU3" s="1007" t="s">
        <v>559</v>
      </c>
      <c r="CV3" s="1007" t="s">
        <v>560</v>
      </c>
      <c r="CW3" s="1007" t="s">
        <v>561</v>
      </c>
      <c r="CX3" s="1007" t="s">
        <v>562</v>
      </c>
      <c r="CY3" s="1007" t="s">
        <v>563</v>
      </c>
      <c r="CZ3" s="1007" t="s">
        <v>564</v>
      </c>
      <c r="DA3" s="1007" t="s">
        <v>565</v>
      </c>
      <c r="DB3" s="1007" t="s">
        <v>566</v>
      </c>
      <c r="DC3" s="1007" t="s">
        <v>567</v>
      </c>
      <c r="DD3" s="1007" t="s">
        <v>568</v>
      </c>
      <c r="DE3" s="1007" t="s">
        <v>569</v>
      </c>
      <c r="DF3" s="1007" t="s">
        <v>558</v>
      </c>
      <c r="DG3" s="1007" t="s">
        <v>559</v>
      </c>
      <c r="DH3" s="1007" t="s">
        <v>560</v>
      </c>
      <c r="DI3" s="1007" t="s">
        <v>561</v>
      </c>
      <c r="DJ3" s="1007" t="s">
        <v>562</v>
      </c>
      <c r="DK3" s="1007" t="s">
        <v>563</v>
      </c>
      <c r="DL3" s="1007" t="s">
        <v>564</v>
      </c>
      <c r="DM3" s="1007" t="s">
        <v>565</v>
      </c>
      <c r="DN3" s="1007" t="s">
        <v>566</v>
      </c>
      <c r="DO3" s="1007" t="s">
        <v>567</v>
      </c>
      <c r="DP3" s="1007" t="s">
        <v>568</v>
      </c>
      <c r="DQ3" s="1007" t="s">
        <v>569</v>
      </c>
      <c r="DR3" s="1007" t="s">
        <v>558</v>
      </c>
      <c r="DS3" s="1007" t="s">
        <v>559</v>
      </c>
      <c r="DT3" s="1007" t="s">
        <v>560</v>
      </c>
      <c r="DU3" s="1007" t="s">
        <v>561</v>
      </c>
      <c r="DV3" s="1007" t="s">
        <v>562</v>
      </c>
      <c r="DW3" s="1007" t="s">
        <v>563</v>
      </c>
      <c r="DX3" s="1007" t="s">
        <v>564</v>
      </c>
      <c r="DY3" s="1007" t="s">
        <v>565</v>
      </c>
      <c r="DZ3" s="1007" t="s">
        <v>566</v>
      </c>
      <c r="EA3" s="1007" t="s">
        <v>567</v>
      </c>
      <c r="EB3" s="1007" t="s">
        <v>568</v>
      </c>
      <c r="EC3" s="1007" t="s">
        <v>569</v>
      </c>
      <c r="ED3" s="1007" t="s">
        <v>558</v>
      </c>
      <c r="EE3" s="1007" t="s">
        <v>559</v>
      </c>
      <c r="EF3" s="1007" t="s">
        <v>560</v>
      </c>
      <c r="EG3" s="1007" t="s">
        <v>561</v>
      </c>
      <c r="EH3" s="1007" t="s">
        <v>562</v>
      </c>
      <c r="EI3" s="1007" t="s">
        <v>563</v>
      </c>
      <c r="EJ3" s="1007" t="s">
        <v>564</v>
      </c>
      <c r="EK3" s="1007" t="s">
        <v>565</v>
      </c>
      <c r="EL3" s="1007" t="s">
        <v>566</v>
      </c>
      <c r="EM3" s="1007" t="s">
        <v>567</v>
      </c>
      <c r="EN3" s="1007" t="s">
        <v>568</v>
      </c>
      <c r="EO3" s="1007" t="s">
        <v>569</v>
      </c>
    </row>
    <row r="4" spans="1:145" x14ac:dyDescent="0.25">
      <c r="A4" s="1008">
        <v>2000</v>
      </c>
      <c r="B4" s="1009"/>
      <c r="C4" s="1009"/>
      <c r="D4" s="1009"/>
      <c r="E4" s="1009"/>
      <c r="F4" s="1009"/>
      <c r="G4" s="1009"/>
      <c r="H4" s="1009"/>
      <c r="I4" s="1009"/>
      <c r="J4" s="1009"/>
      <c r="K4" s="1009"/>
      <c r="L4" s="1009"/>
      <c r="M4" s="1009"/>
      <c r="N4" s="1009"/>
      <c r="O4" s="1009"/>
      <c r="P4" s="1009"/>
      <c r="Q4" s="1009"/>
      <c r="R4" s="1009"/>
      <c r="S4" s="1009"/>
      <c r="T4" s="1009"/>
      <c r="U4" s="1009"/>
      <c r="V4" s="1009"/>
      <c r="W4" s="1009"/>
      <c r="X4" s="1009"/>
      <c r="Y4" s="1009"/>
      <c r="Z4" s="1009">
        <v>-5.6837184239409728</v>
      </c>
      <c r="AA4" s="1009">
        <v>-11.569054320609197</v>
      </c>
      <c r="AB4" s="1009">
        <v>-11.892481160836867</v>
      </c>
      <c r="AC4" s="1009">
        <v>-11.701224190750128</v>
      </c>
      <c r="AD4" s="1009">
        <v>-9.4517091641553606</v>
      </c>
      <c r="AE4" s="1009">
        <v>-6.4163112477082977</v>
      </c>
      <c r="AF4" s="1009">
        <v>-21.865920815096956</v>
      </c>
      <c r="AG4" s="1009">
        <v>-21.327865209749199</v>
      </c>
      <c r="AH4" s="1009">
        <v>-25.652883515687897</v>
      </c>
      <c r="AI4" s="1009">
        <v>-21.733839788082804</v>
      </c>
      <c r="AJ4" s="1009">
        <v>-20.429749529932174</v>
      </c>
      <c r="AK4" s="1009">
        <v>-21.888992659058641</v>
      </c>
      <c r="AL4" s="1009">
        <v>-0.36214257591913668</v>
      </c>
      <c r="AM4" s="1009">
        <v>-0.66297536976073657</v>
      </c>
      <c r="AN4" s="1009">
        <v>-0.8720166540336427</v>
      </c>
      <c r="AO4" s="1009">
        <v>-0.9446673823763323</v>
      </c>
      <c r="AP4" s="1009">
        <v>-0.76328254954863606</v>
      </c>
      <c r="AQ4" s="1009">
        <v>-0.41973404071102333</v>
      </c>
      <c r="AR4" s="1009">
        <v>-0.86560208499753788</v>
      </c>
      <c r="AS4" s="1009">
        <v>-0.86304799469408278</v>
      </c>
      <c r="AT4" s="1009">
        <v>-1.1840168454546807</v>
      </c>
      <c r="AU4" s="1009">
        <v>-1.1296453899010077</v>
      </c>
      <c r="AV4" s="1009">
        <v>-0.81742817467790929</v>
      </c>
      <c r="AW4" s="1009">
        <v>-0.86305790517679815</v>
      </c>
      <c r="AX4" s="1009">
        <v>-0.7351933920488064</v>
      </c>
      <c r="AY4" s="1009">
        <v>-1.8707015287122359</v>
      </c>
      <c r="AZ4" s="1009">
        <v>-2.4606031417656928</v>
      </c>
      <c r="BA4" s="1009">
        <v>-2.5648230869844082</v>
      </c>
      <c r="BB4" s="1009">
        <v>-2.0770436784757855</v>
      </c>
      <c r="BC4" s="1009">
        <v>-0.92198271113885322</v>
      </c>
      <c r="BD4" s="1009">
        <v>-2.8969100295905807</v>
      </c>
      <c r="BE4" s="1009">
        <v>-2.850706171284676</v>
      </c>
      <c r="BF4" s="1009">
        <v>-4.9538864252793813</v>
      </c>
      <c r="BG4" s="1009">
        <v>-4.0648949041419398</v>
      </c>
      <c r="BH4" s="1009">
        <v>-2.503295164415968</v>
      </c>
      <c r="BI4" s="1009">
        <v>-2.8917485496129505</v>
      </c>
      <c r="BJ4" s="1009">
        <v>-0.17374803714290671</v>
      </c>
      <c r="BK4" s="1009">
        <v>-0.29883428792262512</v>
      </c>
      <c r="BL4" s="1009">
        <v>-0.48039755603339063</v>
      </c>
      <c r="BM4" s="1009">
        <v>-0.53996408770675874</v>
      </c>
      <c r="BN4" s="1009">
        <v>-0.47988635742934582</v>
      </c>
      <c r="BO4" s="1009">
        <v>-0.22086411044326104</v>
      </c>
      <c r="BP4" s="1009">
        <v>-0.41313764310521489</v>
      </c>
      <c r="BQ4" s="1009">
        <v>-0.41141479328286878</v>
      </c>
      <c r="BR4" s="1009">
        <v>-0.73386229064102859</v>
      </c>
      <c r="BS4" s="1009">
        <v>-0.71895480608469731</v>
      </c>
      <c r="BT4" s="1009">
        <v>-0.47097010089294727</v>
      </c>
      <c r="BU4" s="1009">
        <v>-0.42976554037815856</v>
      </c>
      <c r="BV4" s="1009">
        <v>-0.29827235829053589</v>
      </c>
      <c r="BW4" s="1009">
        <v>-0.63464844823711886</v>
      </c>
      <c r="BX4" s="1009">
        <v>-0.8965172766891214</v>
      </c>
      <c r="BY4" s="1009">
        <v>-0.95932132695536976</v>
      </c>
      <c r="BZ4" s="1009">
        <v>-0.83685650579487236</v>
      </c>
      <c r="CA4" s="1009">
        <v>-0.37314162854968314</v>
      </c>
      <c r="CB4" s="1009">
        <v>-0.62977987795285073</v>
      </c>
      <c r="CC4" s="1009">
        <v>-0.63361808679586495</v>
      </c>
      <c r="CD4" s="1009">
        <v>-1.3478895357077147</v>
      </c>
      <c r="CE4" s="1009">
        <v>-1.1545278073089229</v>
      </c>
      <c r="CF4" s="1009">
        <v>-0.62573343601362719</v>
      </c>
      <c r="CG4" s="1009">
        <v>-0.6356426811128586</v>
      </c>
      <c r="CH4" s="1009">
        <v>-0.33979568423873813</v>
      </c>
      <c r="CI4" s="1009">
        <v>-0.81550604411960215</v>
      </c>
      <c r="CJ4" s="1009">
        <v>-1.1609242799527337</v>
      </c>
      <c r="CK4" s="1009">
        <v>-1.2371023176665643</v>
      </c>
      <c r="CL4" s="1009">
        <v>-1.0462170874050545</v>
      </c>
      <c r="CM4" s="1009">
        <v>-0.43519445618319669</v>
      </c>
      <c r="CN4" s="1009">
        <v>-1.309736408304472</v>
      </c>
      <c r="CO4" s="1009">
        <v>-1.295527908157321</v>
      </c>
      <c r="CP4" s="1009">
        <v>-2.5109697766884582</v>
      </c>
      <c r="CQ4" s="1009">
        <v>-2.1419057881173362</v>
      </c>
      <c r="CR4" s="1009">
        <v>-1.1880731383286278</v>
      </c>
      <c r="CS4" s="1009">
        <v>-1.3220539229754429</v>
      </c>
      <c r="CT4" s="1009">
        <v>-0.33391023464435349</v>
      </c>
      <c r="CU4" s="1009">
        <v>-0.77891849437572902</v>
      </c>
      <c r="CV4" s="1009">
        <v>-1.0627130935964924</v>
      </c>
      <c r="CW4" s="1009">
        <v>-1.1525537072808512</v>
      </c>
      <c r="CX4" s="1009">
        <v>-0.97863639060250696</v>
      </c>
      <c r="CY4" s="1009">
        <v>-0.42682943728038286</v>
      </c>
      <c r="CZ4" s="1009">
        <v>-0.90983553538888662</v>
      </c>
      <c r="DA4" s="1009">
        <v>-0.91736443946026058</v>
      </c>
      <c r="DB4" s="1009">
        <v>-1.6844448559847951</v>
      </c>
      <c r="DC4" s="1009">
        <v>-1.465931541320542</v>
      </c>
      <c r="DD4" s="1009">
        <v>-0.86583098504519318</v>
      </c>
      <c r="DE4" s="1009">
        <v>-0.91267778479171169</v>
      </c>
      <c r="DF4" s="1009">
        <v>-1.6251603235446737</v>
      </c>
      <c r="DG4" s="1009">
        <v>-4.2040756506743762</v>
      </c>
      <c r="DH4" s="1009">
        <v>-4.8615557336238089</v>
      </c>
      <c r="DI4" s="1009">
        <v>-5.0030412506249711</v>
      </c>
      <c r="DJ4" s="1009">
        <v>-4.0364438898291883</v>
      </c>
      <c r="DK4" s="1009">
        <v>-1.9972999508356857</v>
      </c>
      <c r="DL4" s="1009">
        <v>-6.1004041270156684</v>
      </c>
      <c r="DM4" s="1009">
        <v>-6.4259837541299616</v>
      </c>
      <c r="DN4" s="1009">
        <v>-10.112255527943734</v>
      </c>
      <c r="DO4" s="1009">
        <v>-8.2922340530889826</v>
      </c>
      <c r="DP4" s="1009">
        <v>-5.5892692890553404</v>
      </c>
      <c r="DQ4" s="1009">
        <v>-6.1298465906631883</v>
      </c>
      <c r="DR4" s="1009">
        <v>-1.3987274169904342</v>
      </c>
      <c r="DS4" s="1009">
        <v>-2.6815092783045968</v>
      </c>
      <c r="DT4" s="1009">
        <v>-2.8210336854608138</v>
      </c>
      <c r="DU4" s="1009">
        <v>-2.7903630024909853</v>
      </c>
      <c r="DV4" s="1009">
        <v>-2.3469489145047042</v>
      </c>
      <c r="DW4" s="1009">
        <v>-1.5725670627717936</v>
      </c>
      <c r="DX4" s="1009">
        <v>-4.0426400763228925</v>
      </c>
      <c r="DY4" s="1009">
        <v>-4.0573080401654238</v>
      </c>
      <c r="DZ4" s="1009">
        <v>-4.8014137044569978</v>
      </c>
      <c r="EA4" s="1009">
        <v>-4.2031236291995118</v>
      </c>
      <c r="EB4" s="1009">
        <v>-3.9500657510733896</v>
      </c>
      <c r="EC4" s="1009">
        <v>-4.0543160750816716</v>
      </c>
      <c r="ED4" s="1009">
        <v>-0.81127479367607569</v>
      </c>
      <c r="EE4" s="1009">
        <v>-1.5598828425119198</v>
      </c>
      <c r="EF4" s="1009">
        <v>-1.6728447404140323</v>
      </c>
      <c r="EG4" s="1009">
        <v>-1.6518463017086689</v>
      </c>
      <c r="EH4" s="1009">
        <v>-1.4315642599949423</v>
      </c>
      <c r="EI4" s="1009">
        <v>-0.91366749859546348</v>
      </c>
      <c r="EJ4" s="1009">
        <v>-1.7886644590366971</v>
      </c>
      <c r="EK4" s="1009">
        <v>-1.8368827495030706</v>
      </c>
      <c r="EL4" s="1009">
        <v>-2.2670902554172412</v>
      </c>
      <c r="EM4" s="1009">
        <v>-1.9870739481337099</v>
      </c>
      <c r="EN4" s="1009">
        <v>-1.7642522111510766</v>
      </c>
      <c r="EO4" s="1009">
        <v>-1.7880435513035406</v>
      </c>
    </row>
    <row r="5" spans="1:145" x14ac:dyDescent="0.25">
      <c r="A5" s="1008">
        <v>2001</v>
      </c>
      <c r="B5" s="1009">
        <v>-5.3867534407376993</v>
      </c>
      <c r="C5" s="1009">
        <v>-10.721120894728248</v>
      </c>
      <c r="D5" s="1009">
        <v>-10.799831082541356</v>
      </c>
      <c r="E5" s="1009">
        <v>-10.692148493783289</v>
      </c>
      <c r="F5" s="1009">
        <v>-9.436809237805809</v>
      </c>
      <c r="G5" s="1009">
        <v>-6.9675891911650041</v>
      </c>
      <c r="H5" s="1009">
        <v>-13.190895256599957</v>
      </c>
      <c r="I5" s="1009">
        <v>-14.103121697491423</v>
      </c>
      <c r="J5" s="1009">
        <v>-16.823032922314773</v>
      </c>
      <c r="K5" s="1009">
        <v>-14.394645994452004</v>
      </c>
      <c r="L5" s="1009">
        <v>-13.37349852449322</v>
      </c>
      <c r="M5" s="1009">
        <v>-13.596816112411737</v>
      </c>
      <c r="N5" s="1009">
        <v>-6.3963484470989558</v>
      </c>
      <c r="O5" s="1009">
        <v>-11.769819577219575</v>
      </c>
      <c r="P5" s="1009">
        <v>-11.893671310837641</v>
      </c>
      <c r="Q5" s="1009">
        <v>-11.765518383989793</v>
      </c>
      <c r="R5" s="1009">
        <v>-10.150008251858804</v>
      </c>
      <c r="S5" s="1009">
        <v>-7.6999729771136529</v>
      </c>
      <c r="T5" s="1009">
        <v>-15.828412168841181</v>
      </c>
      <c r="U5" s="1009">
        <v>-16.305223909986328</v>
      </c>
      <c r="V5" s="1009">
        <v>-19.434806875455859</v>
      </c>
      <c r="W5" s="1009">
        <v>-16.727370743737431</v>
      </c>
      <c r="X5" s="1009">
        <v>-15.373792814960852</v>
      </c>
      <c r="Y5" s="1009">
        <v>-16.152236992590144</v>
      </c>
      <c r="Z5" s="1009">
        <v>-5.1104423245665949</v>
      </c>
      <c r="AA5" s="1009">
        <v>-10.094926334918286</v>
      </c>
      <c r="AB5" s="1009">
        <v>-10.417182195915634</v>
      </c>
      <c r="AC5" s="1009">
        <v>-10.364654979412267</v>
      </c>
      <c r="AD5" s="1009">
        <v>-8.9745926524559607</v>
      </c>
      <c r="AE5" s="1009">
        <v>-6.6734480904995532</v>
      </c>
      <c r="AF5" s="1009">
        <v>-12.982750826089591</v>
      </c>
      <c r="AG5" s="1009">
        <v>-13.036887142601469</v>
      </c>
      <c r="AH5" s="1009">
        <v>-15.469495509438721</v>
      </c>
      <c r="AI5" s="1009">
        <v>-13.446170637803631</v>
      </c>
      <c r="AJ5" s="1009">
        <v>-12.71144451019669</v>
      </c>
      <c r="AK5" s="1009">
        <v>-13.299390653896946</v>
      </c>
      <c r="AL5" s="1009">
        <v>-4.0646417325311388</v>
      </c>
      <c r="AM5" s="1009">
        <v>-7.6635361247648817</v>
      </c>
      <c r="AN5" s="1009">
        <v>-8.353509361270568</v>
      </c>
      <c r="AO5" s="1009">
        <v>-8.6126893035705372</v>
      </c>
      <c r="AP5" s="1009">
        <v>-7.1589543382714496</v>
      </c>
      <c r="AQ5" s="1009">
        <v>-5.1510785348398933</v>
      </c>
      <c r="AR5" s="1009">
        <v>-9.6810799420784353</v>
      </c>
      <c r="AS5" s="1009">
        <v>-9.8364153818299673</v>
      </c>
      <c r="AT5" s="1009">
        <v>-12.187988448622608</v>
      </c>
      <c r="AU5" s="1009">
        <v>-10.725240892113858</v>
      </c>
      <c r="AV5" s="1009">
        <v>-8.9768736267395859</v>
      </c>
      <c r="AW5" s="1009">
        <v>-9.8216370720744379</v>
      </c>
      <c r="AX5" s="1009">
        <v>-3.2640963751798959</v>
      </c>
      <c r="AY5" s="1009">
        <v>-7.0695880567981071</v>
      </c>
      <c r="AZ5" s="1009">
        <v>-8.4377596957748189</v>
      </c>
      <c r="BA5" s="1009">
        <v>-8.7110179114704849</v>
      </c>
      <c r="BB5" s="1009">
        <v>-7.437249497803136</v>
      </c>
      <c r="BC5" s="1009">
        <v>-4.3853709955266078</v>
      </c>
      <c r="BD5" s="1009">
        <v>-8.8077674168764215</v>
      </c>
      <c r="BE5" s="1009">
        <v>-8.9032721221292981</v>
      </c>
      <c r="BF5" s="1009">
        <v>-14.355776481996267</v>
      </c>
      <c r="BG5" s="1009">
        <v>-11.957180546825084</v>
      </c>
      <c r="BH5" s="1009">
        <v>-8.0147909319542734</v>
      </c>
      <c r="BI5" s="1009">
        <v>-8.9680960242932937</v>
      </c>
      <c r="BJ5" s="1009">
        <v>-1.8703967728558812</v>
      </c>
      <c r="BK5" s="1009">
        <v>-2.7319290540144734</v>
      </c>
      <c r="BL5" s="1009">
        <v>-3.0602138438545219</v>
      </c>
      <c r="BM5" s="1009">
        <v>-3.2224704649070839</v>
      </c>
      <c r="BN5" s="1009">
        <v>-3.076688272690661</v>
      </c>
      <c r="BO5" s="1009">
        <v>-2.4692454427106316</v>
      </c>
      <c r="BP5" s="1009">
        <v>-2.2119888202973574</v>
      </c>
      <c r="BQ5" s="1009">
        <v>-2.3589587447229134</v>
      </c>
      <c r="BR5" s="1009">
        <v>-2.950305247234557</v>
      </c>
      <c r="BS5" s="1009">
        <v>-2.9313718332932024</v>
      </c>
      <c r="BT5" s="1009">
        <v>-2.4995535407401102</v>
      </c>
      <c r="BU5" s="1009">
        <v>-2.3635338614993588</v>
      </c>
      <c r="BV5" s="1009">
        <v>-88.749636006077822</v>
      </c>
      <c r="BW5" s="1009">
        <v>-91.816651794612113</v>
      </c>
      <c r="BX5" s="1009">
        <v>-97.502937498140085</v>
      </c>
      <c r="BY5" s="1009">
        <v>-97.862549266567882</v>
      </c>
      <c r="BZ5" s="1009">
        <v>-95.19806482227429</v>
      </c>
      <c r="CA5" s="1009">
        <v>-91.30524627365412</v>
      </c>
      <c r="CB5" s="1009">
        <v>-85.810799644253905</v>
      </c>
      <c r="CC5" s="1009">
        <v>-87.115216613739648</v>
      </c>
      <c r="CD5" s="1009">
        <v>-93.118396003427449</v>
      </c>
      <c r="CE5" s="1009">
        <v>-94.147812385229912</v>
      </c>
      <c r="CF5" s="1009">
        <v>-91.497409314812145</v>
      </c>
      <c r="CG5" s="1009">
        <v>-88.58814575594451</v>
      </c>
      <c r="CH5" s="1009">
        <v>-90.735801828640746</v>
      </c>
      <c r="CI5" s="1009">
        <v>-93.956153321725751</v>
      </c>
      <c r="CJ5" s="1009">
        <v>-100.33101232703569</v>
      </c>
      <c r="CK5" s="1009">
        <v>-101.51676290301295</v>
      </c>
      <c r="CL5" s="1009">
        <v>-98.140367921409933</v>
      </c>
      <c r="CM5" s="1009">
        <v>-93.466640341840758</v>
      </c>
      <c r="CN5" s="1009">
        <v>-90.318983324748757</v>
      </c>
      <c r="CO5" s="1009">
        <v>-91.918845761401371</v>
      </c>
      <c r="CP5" s="1009">
        <v>-99.782436068871789</v>
      </c>
      <c r="CQ5" s="1009">
        <v>-101.11796417659703</v>
      </c>
      <c r="CR5" s="1009">
        <v>-97.637679843343363</v>
      </c>
      <c r="CS5" s="1009">
        <v>-93.974757977275033</v>
      </c>
      <c r="CT5" s="1009">
        <v>-90.359965520046359</v>
      </c>
      <c r="CU5" s="1009">
        <v>-93.316776178780174</v>
      </c>
      <c r="CV5" s="1009">
        <v>-98.731604290154635</v>
      </c>
      <c r="CW5" s="1009">
        <v>-99.552988648555043</v>
      </c>
      <c r="CX5" s="1009">
        <v>-96.136181772680345</v>
      </c>
      <c r="CY5" s="1009">
        <v>-91.806139525127676</v>
      </c>
      <c r="CZ5" s="1009">
        <v>-91.661319407923756</v>
      </c>
      <c r="DA5" s="1009">
        <v>-92.519737487026674</v>
      </c>
      <c r="DB5" s="1009">
        <v>-99.868553201914878</v>
      </c>
      <c r="DC5" s="1009">
        <v>-101.64869802550793</v>
      </c>
      <c r="DD5" s="1009">
        <v>-98.456217055198564</v>
      </c>
      <c r="DE5" s="1009">
        <v>-95.442057947790616</v>
      </c>
      <c r="DF5" s="1009">
        <v>-86.650140660005732</v>
      </c>
      <c r="DG5" s="1009">
        <v>-93.046108666018924</v>
      </c>
      <c r="DH5" s="1009">
        <v>-98.332111537757669</v>
      </c>
      <c r="DI5" s="1009">
        <v>-99.094754361356166</v>
      </c>
      <c r="DJ5" s="1009">
        <v>-94.7201488378427</v>
      </c>
      <c r="DK5" s="1009">
        <v>-88.854653526584741</v>
      </c>
      <c r="DL5" s="1009">
        <v>-95.093521637214366</v>
      </c>
      <c r="DM5" s="1009">
        <v>-96.708352154716437</v>
      </c>
      <c r="DN5" s="1009">
        <v>-107.70904484398952</v>
      </c>
      <c r="DO5" s="1009">
        <v>-106.55474083410211</v>
      </c>
      <c r="DP5" s="1009">
        <v>-99.52309920457644</v>
      </c>
      <c r="DQ5" s="1009">
        <v>-97.060812201718505</v>
      </c>
      <c r="DR5" s="1009">
        <v>-83.186976960655556</v>
      </c>
      <c r="DS5" s="1009">
        <v>-88.034367111725174</v>
      </c>
      <c r="DT5" s="1009">
        <v>-91.591583007930112</v>
      </c>
      <c r="DU5" s="1009">
        <v>-92.256573161712041</v>
      </c>
      <c r="DV5" s="1009">
        <v>-89.247883443683975</v>
      </c>
      <c r="DW5" s="1009">
        <v>-85.112693911650297</v>
      </c>
      <c r="DX5" s="1009">
        <v>-87.944812356269438</v>
      </c>
      <c r="DY5" s="1009">
        <v>-89.368653244419335</v>
      </c>
      <c r="DZ5" s="1009">
        <v>-94.085046185494377</v>
      </c>
      <c r="EA5" s="1009">
        <v>-94.533620677542501</v>
      </c>
      <c r="EB5" s="1009">
        <v>-91.596818552906299</v>
      </c>
      <c r="EC5" s="1009">
        <v>-89.203876227032509</v>
      </c>
      <c r="ED5" s="1009">
        <v>-80.645170846714919</v>
      </c>
      <c r="EE5" s="1009">
        <v>-85.966483961846876</v>
      </c>
      <c r="EF5" s="1009">
        <v>-89.491366638915025</v>
      </c>
      <c r="EG5" s="1009">
        <v>-89.298274909417444</v>
      </c>
      <c r="EH5" s="1009">
        <v>-86.322349355551921</v>
      </c>
      <c r="EI5" s="1009">
        <v>-82.825330114893035</v>
      </c>
      <c r="EJ5" s="1009">
        <v>-82.316149811959406</v>
      </c>
      <c r="EK5" s="1009">
        <v>-84.198557727781761</v>
      </c>
      <c r="EL5" s="1009">
        <v>-88.004552865456503</v>
      </c>
      <c r="EM5" s="1009">
        <v>-87.637028540455233</v>
      </c>
      <c r="EN5" s="1009">
        <v>-85.671731345882066</v>
      </c>
      <c r="EO5" s="1009">
        <v>-84.066464264720636</v>
      </c>
    </row>
    <row r="6" spans="1:145" x14ac:dyDescent="0.25">
      <c r="A6" s="1008">
        <v>2002</v>
      </c>
      <c r="B6" s="1009">
        <v>-76.182649426801717</v>
      </c>
      <c r="C6" s="1009">
        <v>-82.653144939052282</v>
      </c>
      <c r="D6" s="1009">
        <v>-86.023893766732073</v>
      </c>
      <c r="E6" s="1009">
        <v>-85.893527589128198</v>
      </c>
      <c r="F6" s="1009">
        <v>-82.490565782356953</v>
      </c>
      <c r="G6" s="1009">
        <v>-78.468749012835247</v>
      </c>
      <c r="H6" s="1009">
        <v>-82.621063683993953</v>
      </c>
      <c r="I6" s="1009">
        <v>-84.92723993544756</v>
      </c>
      <c r="J6" s="1009">
        <v>-90.268673892973951</v>
      </c>
      <c r="K6" s="1009">
        <v>-88.467271395985989</v>
      </c>
      <c r="L6" s="1009">
        <v>-85.31106722777254</v>
      </c>
      <c r="M6" s="1009">
        <v>-83.542149615228666</v>
      </c>
      <c r="N6" s="1009">
        <v>-75.243633354766359</v>
      </c>
      <c r="O6" s="1009">
        <v>-81.488114251545255</v>
      </c>
      <c r="P6" s="1009">
        <v>-84.484870357661208</v>
      </c>
      <c r="Q6" s="1009">
        <v>-83.984036564922221</v>
      </c>
      <c r="R6" s="1009">
        <v>-80.52080120496565</v>
      </c>
      <c r="S6" s="1009">
        <v>-76.747864066860686</v>
      </c>
      <c r="T6" s="1009">
        <v>-82.511181965388772</v>
      </c>
      <c r="U6" s="1009">
        <v>-84.15546524377713</v>
      </c>
      <c r="V6" s="1009">
        <v>-89.31508723509134</v>
      </c>
      <c r="W6" s="1009">
        <v>-86.964602174398507</v>
      </c>
      <c r="X6" s="1009">
        <v>-84.336768071701783</v>
      </c>
      <c r="Y6" s="1009">
        <v>-83.416882279443499</v>
      </c>
      <c r="Z6" s="1009">
        <v>-70.558814918092978</v>
      </c>
      <c r="AA6" s="1009">
        <v>-75.997815157178991</v>
      </c>
      <c r="AB6" s="1009">
        <v>-80.06912159751775</v>
      </c>
      <c r="AC6" s="1009">
        <v>-81.048302672225077</v>
      </c>
      <c r="AD6" s="1009">
        <v>-77.928089988564281</v>
      </c>
      <c r="AE6" s="1009">
        <v>-74.183113536467232</v>
      </c>
      <c r="AF6" s="1009">
        <v>-77.87394469167009</v>
      </c>
      <c r="AG6" s="1009">
        <v>-78.937452243654732</v>
      </c>
      <c r="AH6" s="1009">
        <v>-83.154197077642124</v>
      </c>
      <c r="AI6" s="1009">
        <v>-81.839425801219818</v>
      </c>
      <c r="AJ6" s="1009">
        <v>-79.882969343129872</v>
      </c>
      <c r="AK6" s="1009">
        <v>-78.474267986826447</v>
      </c>
      <c r="AL6" s="1009">
        <v>-78.411440817598958</v>
      </c>
      <c r="AM6" s="1009">
        <v>-84.139152986630606</v>
      </c>
      <c r="AN6" s="1009">
        <v>-88.942914804764143</v>
      </c>
      <c r="AO6" s="1009">
        <v>-90.263278972403583</v>
      </c>
      <c r="AP6" s="1009">
        <v>-86.080436017941651</v>
      </c>
      <c r="AQ6" s="1009">
        <v>-80.975827739804956</v>
      </c>
      <c r="AR6" s="1009">
        <v>-85.55225729622282</v>
      </c>
      <c r="AS6" s="1009">
        <v>-86.836215873595151</v>
      </c>
      <c r="AT6" s="1009">
        <v>-92.930860459355699</v>
      </c>
      <c r="AU6" s="1009">
        <v>-91.044484515823427</v>
      </c>
      <c r="AV6" s="1009">
        <v>-87.206559937232669</v>
      </c>
      <c r="AW6" s="1009">
        <v>-86.081545041705482</v>
      </c>
      <c r="AX6" s="1009">
        <v>-84.051490924516003</v>
      </c>
      <c r="AY6" s="1009">
        <v>-90.4730391590533</v>
      </c>
      <c r="AZ6" s="1009">
        <v>-96.814139246563713</v>
      </c>
      <c r="BA6" s="1009">
        <v>-98.027469349283166</v>
      </c>
      <c r="BB6" s="1009">
        <v>-93.720143605415686</v>
      </c>
      <c r="BC6" s="1009">
        <v>-87.192079320472359</v>
      </c>
      <c r="BD6" s="1009">
        <v>-92.091300468459536</v>
      </c>
      <c r="BE6" s="1009">
        <v>-93.490878935497705</v>
      </c>
      <c r="BF6" s="1009">
        <v>-104.63607810407093</v>
      </c>
      <c r="BG6" s="1009">
        <v>-102.38429286220597</v>
      </c>
      <c r="BH6" s="1009">
        <v>-95.58291453974249</v>
      </c>
      <c r="BI6" s="1009">
        <v>-93.976910573427062</v>
      </c>
      <c r="BJ6" s="1009">
        <v>-86.942583913142499</v>
      </c>
      <c r="BK6" s="1009">
        <v>-89.990683525844759</v>
      </c>
      <c r="BL6" s="1009">
        <v>-94.946685908885485</v>
      </c>
      <c r="BM6" s="1009">
        <v>-95.500343117693518</v>
      </c>
      <c r="BN6" s="1009">
        <v>-92.763403386248214</v>
      </c>
      <c r="BO6" s="1009">
        <v>-89.553179407492692</v>
      </c>
      <c r="BP6" s="1009">
        <v>-88.458600332037008</v>
      </c>
      <c r="BQ6" s="1009">
        <v>-89.416546270908782</v>
      </c>
      <c r="BR6" s="1009">
        <v>-94.011403137074169</v>
      </c>
      <c r="BS6" s="1009">
        <v>-94.854407318061362</v>
      </c>
      <c r="BT6" s="1009">
        <v>-92.633172379334326</v>
      </c>
      <c r="BU6" s="1009">
        <v>-89.704237000070776</v>
      </c>
      <c r="BV6" s="1009">
        <v>-88.791513734218412</v>
      </c>
      <c r="BW6" s="1009">
        <v>-91.964684738072364</v>
      </c>
      <c r="BX6" s="1009">
        <v>-97.695028048922822</v>
      </c>
      <c r="BY6" s="1009">
        <v>-98.060613764942346</v>
      </c>
      <c r="BZ6" s="1009">
        <v>-95.359629293508689</v>
      </c>
      <c r="CA6" s="1009">
        <v>-91.360803670784748</v>
      </c>
      <c r="CB6" s="1009">
        <v>-86.177337296725696</v>
      </c>
      <c r="CC6" s="1009">
        <v>-87.474618731067523</v>
      </c>
      <c r="CD6" s="1009">
        <v>-93.929014405384592</v>
      </c>
      <c r="CE6" s="1009">
        <v>-94.763841777323321</v>
      </c>
      <c r="CF6" s="1009">
        <v>-91.799657713612973</v>
      </c>
      <c r="CG6" s="1009">
        <v>-88.952398597312879</v>
      </c>
      <c r="CH6" s="1009">
        <v>-90.73393893886221</v>
      </c>
      <c r="CI6" s="1009">
        <v>-93.958576675391981</v>
      </c>
      <c r="CJ6" s="1009">
        <v>-100.33219469433411</v>
      </c>
      <c r="CK6" s="1009">
        <v>-101.51715030638486</v>
      </c>
      <c r="CL6" s="1009">
        <v>-98.139505819562018</v>
      </c>
      <c r="CM6" s="1009">
        <v>-93.46457434969868</v>
      </c>
      <c r="CN6" s="1009">
        <v>-90.095374618961117</v>
      </c>
      <c r="CO6" s="1009">
        <v>-91.699082055325292</v>
      </c>
      <c r="CP6" s="1009">
        <v>-99.352222729505172</v>
      </c>
      <c r="CQ6" s="1009">
        <v>-100.76783289460352</v>
      </c>
      <c r="CR6" s="1009">
        <v>-97.449112318804168</v>
      </c>
      <c r="CS6" s="1009">
        <v>-93.7518887204766</v>
      </c>
      <c r="CT6" s="1009">
        <v>-90.661312641658213</v>
      </c>
      <c r="CU6" s="1009">
        <v>-94.226456952316354</v>
      </c>
      <c r="CV6" s="1009">
        <v>-99.828611005240944</v>
      </c>
      <c r="CW6" s="1009">
        <v>-100.68815283312938</v>
      </c>
      <c r="CX6" s="1009">
        <v>-97.070099738650143</v>
      </c>
      <c r="CY6" s="1009">
        <v>-92.191150448193341</v>
      </c>
      <c r="CZ6" s="1009">
        <v>-93.077922191789526</v>
      </c>
      <c r="DA6" s="1009">
        <v>-93.959851408768841</v>
      </c>
      <c r="DB6" s="1009">
        <v>-102.47096779465099</v>
      </c>
      <c r="DC6" s="1009">
        <v>-103.69383448294373</v>
      </c>
      <c r="DD6" s="1009">
        <v>-99.681848735146133</v>
      </c>
      <c r="DE6" s="1009">
        <v>-96.857345112274814</v>
      </c>
      <c r="DF6" s="1009">
        <v>-86.212474835424899</v>
      </c>
      <c r="DG6" s="1009">
        <v>-91.883811658884355</v>
      </c>
      <c r="DH6" s="1009">
        <v>-97.020679336628305</v>
      </c>
      <c r="DI6" s="1009">
        <v>-97.757812907295232</v>
      </c>
      <c r="DJ6" s="1009">
        <v>-93.649518810011386</v>
      </c>
      <c r="DK6" s="1009">
        <v>-88.318152174430693</v>
      </c>
      <c r="DL6" s="1009">
        <v>-93.09808801215199</v>
      </c>
      <c r="DM6" s="1009">
        <v>-94.60570714564696</v>
      </c>
      <c r="DN6" s="1009">
        <v>-104.41746855619526</v>
      </c>
      <c r="DO6" s="1009">
        <v>-103.89470564233977</v>
      </c>
      <c r="DP6" s="1009">
        <v>-97.716259439423524</v>
      </c>
      <c r="DQ6" s="1009">
        <v>-95.057710936147757</v>
      </c>
      <c r="DR6" s="1009">
        <v>-83.18984846697785</v>
      </c>
      <c r="DS6" s="1009">
        <v>-88.042157580646659</v>
      </c>
      <c r="DT6" s="1009">
        <v>-91.595638014658306</v>
      </c>
      <c r="DU6" s="1009">
        <v>-92.2590609987882</v>
      </c>
      <c r="DV6" s="1009">
        <v>-89.249122343718895</v>
      </c>
      <c r="DW6" s="1009">
        <v>-85.115703999136798</v>
      </c>
      <c r="DX6" s="1009">
        <v>-86.893629848425263</v>
      </c>
      <c r="DY6" s="1009">
        <v>-88.313245125728372</v>
      </c>
      <c r="DZ6" s="1009">
        <v>-92.857115615223705</v>
      </c>
      <c r="EA6" s="1009">
        <v>-93.481110821675827</v>
      </c>
      <c r="EB6" s="1009">
        <v>-90.582096753623688</v>
      </c>
      <c r="EC6" s="1009">
        <v>-88.149655804521402</v>
      </c>
      <c r="ED6" s="1009">
        <v>-80.995465865002018</v>
      </c>
      <c r="EE6" s="1009">
        <v>-86.674134794646676</v>
      </c>
      <c r="EF6" s="1009">
        <v>-90.18690668339714</v>
      </c>
      <c r="EG6" s="1009">
        <v>-89.972365188268142</v>
      </c>
      <c r="EH6" s="1009">
        <v>-86.886563102312294</v>
      </c>
      <c r="EI6" s="1009">
        <v>-83.216927392888778</v>
      </c>
      <c r="EJ6" s="1009">
        <v>-83.943117757835523</v>
      </c>
      <c r="EK6" s="1009">
        <v>-85.869958551141309</v>
      </c>
      <c r="EL6" s="1009">
        <v>-89.990518857506842</v>
      </c>
      <c r="EM6" s="1009">
        <v>-89.301006862807697</v>
      </c>
      <c r="EN6" s="1009">
        <v>-87.230710314889166</v>
      </c>
      <c r="EO6" s="1009">
        <v>-85.693033585853172</v>
      </c>
    </row>
    <row r="7" spans="1:145" x14ac:dyDescent="0.25">
      <c r="A7" s="1008">
        <v>2003</v>
      </c>
      <c r="B7" s="1009">
        <v>-75.744991756249192</v>
      </c>
      <c r="C7" s="1009">
        <v>-81.753192620054335</v>
      </c>
      <c r="D7" s="1009">
        <v>-85.137446560250254</v>
      </c>
      <c r="E7" s="1009">
        <v>-85.029999272544771</v>
      </c>
      <c r="F7" s="1009">
        <v>-81.777025957687187</v>
      </c>
      <c r="G7" s="1009">
        <v>-77.979651308733239</v>
      </c>
      <c r="H7" s="1009">
        <v>-81.247561014918745</v>
      </c>
      <c r="I7" s="1009">
        <v>-83.499444296863871</v>
      </c>
      <c r="J7" s="1009">
        <v>-88.544446230990317</v>
      </c>
      <c r="K7" s="1009">
        <v>-87.038081157935082</v>
      </c>
      <c r="L7" s="1009">
        <v>-83.987598220380264</v>
      </c>
      <c r="M7" s="1009">
        <v>-82.159831238658228</v>
      </c>
      <c r="N7" s="1009">
        <v>-74.399335195190247</v>
      </c>
      <c r="O7" s="1009">
        <v>-79.77413549821199</v>
      </c>
      <c r="P7" s="1009">
        <v>-82.781973622889396</v>
      </c>
      <c r="Q7" s="1009">
        <v>-82.31908935814441</v>
      </c>
      <c r="R7" s="1009">
        <v>-79.178500124407961</v>
      </c>
      <c r="S7" s="1009">
        <v>-75.804782411629603</v>
      </c>
      <c r="T7" s="1009">
        <v>-79.782784892742683</v>
      </c>
      <c r="U7" s="1009">
        <v>-81.388925154266545</v>
      </c>
      <c r="V7" s="1009">
        <v>-85.963963815361822</v>
      </c>
      <c r="W7" s="1009">
        <v>-84.163017298375962</v>
      </c>
      <c r="X7" s="1009">
        <v>-81.779347858652443</v>
      </c>
      <c r="Y7" s="1009">
        <v>-80.668964055069893</v>
      </c>
      <c r="Z7" s="1009">
        <v>-70.13038807211521</v>
      </c>
      <c r="AA7" s="1009">
        <v>-75.11859151816634</v>
      </c>
      <c r="AB7" s="1009">
        <v>-79.177407888763426</v>
      </c>
      <c r="AC7" s="1009">
        <v>-80.174563856543173</v>
      </c>
      <c r="AD7" s="1009">
        <v>-77.225971074925738</v>
      </c>
      <c r="AE7" s="1009">
        <v>-73.699892377187055</v>
      </c>
      <c r="AF7" s="1009">
        <v>-76.655508645817875</v>
      </c>
      <c r="AG7" s="1009">
        <v>-77.749157626270787</v>
      </c>
      <c r="AH7" s="1009">
        <v>-81.730722727508976</v>
      </c>
      <c r="AI7" s="1009">
        <v>-80.639365002201686</v>
      </c>
      <c r="AJ7" s="1009">
        <v>-78.747944835604287</v>
      </c>
      <c r="AK7" s="1009">
        <v>-77.254520861704719</v>
      </c>
      <c r="AL7" s="1009">
        <v>-84.52783246908534</v>
      </c>
      <c r="AM7" s="1009">
        <v>-92.772423841946718</v>
      </c>
      <c r="AN7" s="1009">
        <v>-102.70556745240981</v>
      </c>
      <c r="AO7" s="1009">
        <v>-105.17925435578191</v>
      </c>
      <c r="AP7" s="1009">
        <v>-98.358937422853671</v>
      </c>
      <c r="AQ7" s="1009">
        <v>-88.467100172660494</v>
      </c>
      <c r="AR7" s="1009">
        <v>-89.590323498960387</v>
      </c>
      <c r="AS7" s="1009">
        <v>-91.047511866032494</v>
      </c>
      <c r="AT7" s="1009">
        <v>-97.791825018090464</v>
      </c>
      <c r="AU7" s="1009">
        <v>-96.880235392368959</v>
      </c>
      <c r="AV7" s="1009">
        <v>-92.072196259792676</v>
      </c>
      <c r="AW7" s="1009">
        <v>-90.332306200090798</v>
      </c>
      <c r="AX7" s="1009">
        <v>-90.357946470417815</v>
      </c>
      <c r="AY7" s="1009">
        <v>-100.27080798332376</v>
      </c>
      <c r="AZ7" s="1009">
        <v>-112.56420199234603</v>
      </c>
      <c r="BA7" s="1009">
        <v>-115.13899965799301</v>
      </c>
      <c r="BB7" s="1009">
        <v>-107.69893339313182</v>
      </c>
      <c r="BC7" s="1009">
        <v>-95.067775816393791</v>
      </c>
      <c r="BD7" s="1009">
        <v>-96.187586818031377</v>
      </c>
      <c r="BE7" s="1009">
        <v>-97.637565218018381</v>
      </c>
      <c r="BF7" s="1009">
        <v>-109.43434292859064</v>
      </c>
      <c r="BG7" s="1009">
        <v>-108.64900649809718</v>
      </c>
      <c r="BH7" s="1009">
        <v>-100.72607826722128</v>
      </c>
      <c r="BI7" s="1009">
        <v>-98.279425347180378</v>
      </c>
      <c r="BJ7" s="1009">
        <v>-93.298851605712869</v>
      </c>
      <c r="BK7" s="1009">
        <v>-102.44921407427196</v>
      </c>
      <c r="BL7" s="1009">
        <v>-115.05769618499087</v>
      </c>
      <c r="BM7" s="1009">
        <v>-116.76798679921312</v>
      </c>
      <c r="BN7" s="1009">
        <v>-109.86033021031002</v>
      </c>
      <c r="BO7" s="1009">
        <v>-97.911698800723997</v>
      </c>
      <c r="BP7" s="1009">
        <v>-94.855697477145824</v>
      </c>
      <c r="BQ7" s="1009">
        <v>-95.774024836729865</v>
      </c>
      <c r="BR7" s="1009">
        <v>-103.45282699699447</v>
      </c>
      <c r="BS7" s="1009">
        <v>-104.6451314992393</v>
      </c>
      <c r="BT7" s="1009">
        <v>-99.96924390744941</v>
      </c>
      <c r="BU7" s="1009">
        <v>-96.448116282243348</v>
      </c>
      <c r="BV7" s="1009">
        <v>-95.6831248909712</v>
      </c>
      <c r="BW7" s="1009">
        <v>-105.00024348924771</v>
      </c>
      <c r="BX7" s="1009">
        <v>-117.80975449115553</v>
      </c>
      <c r="BY7" s="1009">
        <v>-119.01354443981954</v>
      </c>
      <c r="BZ7" s="1009">
        <v>-112.42670787660148</v>
      </c>
      <c r="CA7" s="1009">
        <v>-100.10750567513361</v>
      </c>
      <c r="CB7" s="1009">
        <v>-92.06094747023694</v>
      </c>
      <c r="CC7" s="1009">
        <v>-93.349831537924459</v>
      </c>
      <c r="CD7" s="1009">
        <v>-102.05543140434918</v>
      </c>
      <c r="CE7" s="1009">
        <v>-103.61406100040949</v>
      </c>
      <c r="CF7" s="1009">
        <v>-98.516425974355215</v>
      </c>
      <c r="CG7" s="1009">
        <v>-95.033857506100631</v>
      </c>
      <c r="CH7" s="1009">
        <v>-97.616680951583632</v>
      </c>
      <c r="CI7" s="1009">
        <v>-106.81655663860914</v>
      </c>
      <c r="CJ7" s="1009">
        <v>-120.5729905116721</v>
      </c>
      <c r="CK7" s="1009">
        <v>-122.70520047789313</v>
      </c>
      <c r="CL7" s="1009">
        <v>-115.26143686830719</v>
      </c>
      <c r="CM7" s="1009">
        <v>-102.22985883497951</v>
      </c>
      <c r="CN7" s="1009">
        <v>-96.017079748261636</v>
      </c>
      <c r="CO7" s="1009">
        <v>-97.661567836650576</v>
      </c>
      <c r="CP7" s="1009">
        <v>-107.5757860947044</v>
      </c>
      <c r="CQ7" s="1009">
        <v>-109.63965742181234</v>
      </c>
      <c r="CR7" s="1009">
        <v>-104.24238733612097</v>
      </c>
      <c r="CS7" s="1009">
        <v>-100.00364026960465</v>
      </c>
      <c r="CT7" s="1009">
        <v>-98.896490248405655</v>
      </c>
      <c r="CU7" s="1009">
        <v>-108.28346563819933</v>
      </c>
      <c r="CV7" s="1009">
        <v>-120.82197551905229</v>
      </c>
      <c r="CW7" s="1009">
        <v>-122.89607608811363</v>
      </c>
      <c r="CX7" s="1009">
        <v>-115.3147187448763</v>
      </c>
      <c r="CY7" s="1009">
        <v>-102.3869908744764</v>
      </c>
      <c r="CZ7" s="1009">
        <v>-104.02282430014692</v>
      </c>
      <c r="DA7" s="1009">
        <v>-104.90870605302405</v>
      </c>
      <c r="DB7" s="1009">
        <v>-118.56778835933531</v>
      </c>
      <c r="DC7" s="1009">
        <v>-119.08812379794345</v>
      </c>
      <c r="DD7" s="1009">
        <v>-110.89175823748391</v>
      </c>
      <c r="DE7" s="1009">
        <v>-108.02232204592033</v>
      </c>
      <c r="DF7" s="1009">
        <v>-92.360683253541779</v>
      </c>
      <c r="DG7" s="1009">
        <v>-102.22606295992556</v>
      </c>
      <c r="DH7" s="1009">
        <v>-113.5504213834616</v>
      </c>
      <c r="DI7" s="1009">
        <v>-115.61566969477852</v>
      </c>
      <c r="DJ7" s="1009">
        <v>-108.14632537923087</v>
      </c>
      <c r="DK7" s="1009">
        <v>-96.223652838268364</v>
      </c>
      <c r="DL7" s="1009">
        <v>-98.660773840989293</v>
      </c>
      <c r="DM7" s="1009">
        <v>-100.17225275477729</v>
      </c>
      <c r="DN7" s="1009">
        <v>-111.74092925725714</v>
      </c>
      <c r="DO7" s="1009">
        <v>-111.88014638878357</v>
      </c>
      <c r="DP7" s="1009">
        <v>-104.01161122029507</v>
      </c>
      <c r="DQ7" s="1009">
        <v>-100.83932086174427</v>
      </c>
      <c r="DR7" s="1009">
        <v>-90.862708309875444</v>
      </c>
      <c r="DS7" s="1009">
        <v>-99.923057558702027</v>
      </c>
      <c r="DT7" s="1009">
        <v>-108.36246415452365</v>
      </c>
      <c r="DU7" s="1009">
        <v>-109.78208228781335</v>
      </c>
      <c r="DV7" s="1009">
        <v>-103.70952336275026</v>
      </c>
      <c r="DW7" s="1009">
        <v>-94.370565085360099</v>
      </c>
      <c r="DX7" s="1009">
        <v>-94.18938704297247</v>
      </c>
      <c r="DY7" s="1009">
        <v>-95.605097778585659</v>
      </c>
      <c r="DZ7" s="1009">
        <v>-101.65191233794725</v>
      </c>
      <c r="EA7" s="1009">
        <v>-102.58664147585526</v>
      </c>
      <c r="EB7" s="1009">
        <v>-98.404404121210547</v>
      </c>
      <c r="EC7" s="1009">
        <v>-95.569336068894955</v>
      </c>
      <c r="ED7" s="1009">
        <v>-87.861361941689324</v>
      </c>
      <c r="EE7" s="1009">
        <v>-97.941775020800605</v>
      </c>
      <c r="EF7" s="1009">
        <v>-106.27455255397895</v>
      </c>
      <c r="EG7" s="1009">
        <v>-106.65410094988262</v>
      </c>
      <c r="EH7" s="1009">
        <v>-100.56831673405676</v>
      </c>
      <c r="EI7" s="1009">
        <v>-91.703780521868282</v>
      </c>
      <c r="EJ7" s="1009">
        <v>-92.20541517777967</v>
      </c>
      <c r="EK7" s="1009">
        <v>-94.256723419671943</v>
      </c>
      <c r="EL7" s="1009">
        <v>-100.34707205772997</v>
      </c>
      <c r="EM7" s="1009">
        <v>-99.378377288864726</v>
      </c>
      <c r="EN7" s="1009">
        <v>-95.901720522375683</v>
      </c>
      <c r="EO7" s="1009">
        <v>-94.063692294587625</v>
      </c>
    </row>
    <row r="8" spans="1:145" x14ac:dyDescent="0.25">
      <c r="A8" s="1008">
        <v>2004</v>
      </c>
      <c r="B8" s="1009">
        <v>-83.953041137026702</v>
      </c>
      <c r="C8" s="1009">
        <v>-94.243889339258246</v>
      </c>
      <c r="D8" s="1009">
        <v>-103.01989774248204</v>
      </c>
      <c r="E8" s="1009">
        <v>-104.70843109566528</v>
      </c>
      <c r="F8" s="1009">
        <v>-98.473946030602491</v>
      </c>
      <c r="G8" s="1009">
        <v>-88.394283517957334</v>
      </c>
      <c r="H8" s="1009">
        <v>-88.163219835333948</v>
      </c>
      <c r="I8" s="1009">
        <v>-90.456003836632107</v>
      </c>
      <c r="J8" s="1009">
        <v>-97.399131667189167</v>
      </c>
      <c r="K8" s="1009">
        <v>-97.829423604853901</v>
      </c>
      <c r="L8" s="1009">
        <v>-92.781765707777083</v>
      </c>
      <c r="M8" s="1009">
        <v>-89.230284394098035</v>
      </c>
      <c r="N8" s="1009">
        <v>-82.578749804541658</v>
      </c>
      <c r="O8" s="1009">
        <v>-92.418145100594884</v>
      </c>
      <c r="P8" s="1009">
        <v>-101.03779002141002</v>
      </c>
      <c r="Q8" s="1009">
        <v>-102.41631810145935</v>
      </c>
      <c r="R8" s="1009">
        <v>-96.299933027086595</v>
      </c>
      <c r="S8" s="1009">
        <v>-86.323437523802582</v>
      </c>
      <c r="T8" s="1009">
        <v>-87.122477705110072</v>
      </c>
      <c r="U8" s="1009">
        <v>-88.746595663868803</v>
      </c>
      <c r="V8" s="1009">
        <v>-95.201454729974785</v>
      </c>
      <c r="W8" s="1009">
        <v>-95.388733924872696</v>
      </c>
      <c r="X8" s="1009">
        <v>-91.055354786896871</v>
      </c>
      <c r="Y8" s="1009">
        <v>-88.088517006134623</v>
      </c>
      <c r="Z8" s="1009">
        <v>-78.222781450091546</v>
      </c>
      <c r="AA8" s="1009">
        <v>-86.557468011939548</v>
      </c>
      <c r="AB8" s="1009">
        <v>-96.546444853626497</v>
      </c>
      <c r="AC8" s="1009">
        <v>-99.693330235825414</v>
      </c>
      <c r="AD8" s="1009">
        <v>-94.043060623906683</v>
      </c>
      <c r="AE8" s="1009">
        <v>-84.052528510166454</v>
      </c>
      <c r="AF8" s="1009">
        <v>-87.496066575454677</v>
      </c>
      <c r="AG8" s="1009">
        <v>-88.565636823179489</v>
      </c>
      <c r="AH8" s="1009">
        <v>-94.931420580699836</v>
      </c>
      <c r="AI8" s="1009">
        <v>-95.426184042443865</v>
      </c>
      <c r="AJ8" s="1009">
        <v>-91.362620721365204</v>
      </c>
      <c r="AK8" s="1009">
        <v>-88.257693263072355</v>
      </c>
      <c r="AL8" s="1009">
        <v>-85.263212812903092</v>
      </c>
      <c r="AM8" s="1009">
        <v>-93.302929787316756</v>
      </c>
      <c r="AN8" s="1009">
        <v>-103.94139757356432</v>
      </c>
      <c r="AO8" s="1009">
        <v>-107.82799741638837</v>
      </c>
      <c r="AP8" s="1009">
        <v>-101.13332280159726</v>
      </c>
      <c r="AQ8" s="1009">
        <v>-89.949376822831169</v>
      </c>
      <c r="AR8" s="1009">
        <v>-89.756438089760536</v>
      </c>
      <c r="AS8" s="1009">
        <v>-91.252356920976908</v>
      </c>
      <c r="AT8" s="1009">
        <v>-98.161211383987052</v>
      </c>
      <c r="AU8" s="1009">
        <v>-99.170717908364054</v>
      </c>
      <c r="AV8" s="1009">
        <v>-93.881234550834634</v>
      </c>
      <c r="AW8" s="1009">
        <v>-90.47858939511076</v>
      </c>
      <c r="AX8" s="1009">
        <v>-91.199834197850137</v>
      </c>
      <c r="AY8" s="1009">
        <v>-100.66881710350175</v>
      </c>
      <c r="AZ8" s="1009">
        <v>-113.62836301378846</v>
      </c>
      <c r="BA8" s="1009">
        <v>-117.70719969676739</v>
      </c>
      <c r="BB8" s="1009">
        <v>-110.44220970570674</v>
      </c>
      <c r="BC8" s="1009">
        <v>-96.714553281585012</v>
      </c>
      <c r="BD8" s="1009">
        <v>-95.598974192114241</v>
      </c>
      <c r="BE8" s="1009">
        <v>-97.043994208248705</v>
      </c>
      <c r="BF8" s="1009">
        <v>-108.09798294746656</v>
      </c>
      <c r="BG8" s="1009">
        <v>-109.71487511300714</v>
      </c>
      <c r="BH8" s="1009">
        <v>-102.19035277663617</v>
      </c>
      <c r="BI8" s="1009">
        <v>-97.849190340137639</v>
      </c>
      <c r="BJ8" s="1009">
        <v>-94.861299955953257</v>
      </c>
      <c r="BK8" s="1009">
        <v>-104.00960193478831</v>
      </c>
      <c r="BL8" s="1009">
        <v>-117.48490987193321</v>
      </c>
      <c r="BM8" s="1009">
        <v>-120.49014106422869</v>
      </c>
      <c r="BN8" s="1009">
        <v>-113.67016624198838</v>
      </c>
      <c r="BO8" s="1009">
        <v>-100.38489838617085</v>
      </c>
      <c r="BP8" s="1009">
        <v>-96.569921955103567</v>
      </c>
      <c r="BQ8" s="1009">
        <v>-97.463478839022599</v>
      </c>
      <c r="BR8" s="1009">
        <v>-105.96091855439404</v>
      </c>
      <c r="BS8" s="1009">
        <v>-108.78803908450615</v>
      </c>
      <c r="BT8" s="1009">
        <v>-103.64474311821327</v>
      </c>
      <c r="BU8" s="1009">
        <v>-98.588073864145954</v>
      </c>
      <c r="BV8" s="1009">
        <v>-97.664055013246568</v>
      </c>
      <c r="BW8" s="1009">
        <v>-107.00186543627007</v>
      </c>
      <c r="BX8" s="1009">
        <v>-120.66508304293667</v>
      </c>
      <c r="BY8" s="1009">
        <v>-122.98268955090126</v>
      </c>
      <c r="BZ8" s="1009">
        <v>-116.53196757441685</v>
      </c>
      <c r="CA8" s="1009">
        <v>-102.9836861912712</v>
      </c>
      <c r="CB8" s="1009">
        <v>-93.72260441127132</v>
      </c>
      <c r="CC8" s="1009">
        <v>-95.006260865800584</v>
      </c>
      <c r="CD8" s="1009">
        <v>-104.30624608720944</v>
      </c>
      <c r="CE8" s="1009">
        <v>-107.41765160346064</v>
      </c>
      <c r="CF8" s="1009">
        <v>-101.94887631212501</v>
      </c>
      <c r="CG8" s="1009">
        <v>-96.885119179071481</v>
      </c>
      <c r="CH8" s="1009">
        <v>-99.447369382527341</v>
      </c>
      <c r="CI8" s="1009">
        <v>-108.62679501696969</v>
      </c>
      <c r="CJ8" s="1009">
        <v>-123.33442410038241</v>
      </c>
      <c r="CK8" s="1009">
        <v>-126.65337081204122</v>
      </c>
      <c r="CL8" s="1009">
        <v>-119.30568878849948</v>
      </c>
      <c r="CM8" s="1009">
        <v>-104.9651924035776</v>
      </c>
      <c r="CN8" s="1009">
        <v>-97.832379026848542</v>
      </c>
      <c r="CO8" s="1009">
        <v>-99.384916593488768</v>
      </c>
      <c r="CP8" s="1009">
        <v>-109.99399731624439</v>
      </c>
      <c r="CQ8" s="1009">
        <v>-113.584068546483</v>
      </c>
      <c r="CR8" s="1009">
        <v>-107.67782847467524</v>
      </c>
      <c r="CS8" s="1009">
        <v>-102.06551798884239</v>
      </c>
      <c r="CT8" s="1009">
        <v>-100.10984215701042</v>
      </c>
      <c r="CU8" s="1009">
        <v>-109.14612233646463</v>
      </c>
      <c r="CV8" s="1009">
        <v>-122.39360648984021</v>
      </c>
      <c r="CW8" s="1009">
        <v>-125.99298294811445</v>
      </c>
      <c r="CX8" s="1009">
        <v>-118.52526771562754</v>
      </c>
      <c r="CY8" s="1009">
        <v>-104.48671579029725</v>
      </c>
      <c r="CZ8" s="1009">
        <v>-104.68949661729739</v>
      </c>
      <c r="DA8" s="1009">
        <v>-105.4522387998655</v>
      </c>
      <c r="DB8" s="1009">
        <v>-118.99002321874494</v>
      </c>
      <c r="DC8" s="1009">
        <v>-121.62312278988969</v>
      </c>
      <c r="DD8" s="1009">
        <v>-113.25932054034705</v>
      </c>
      <c r="DE8" s="1009">
        <v>-108.76651245688238</v>
      </c>
      <c r="DF8" s="1009">
        <v>-93.335741610286235</v>
      </c>
      <c r="DG8" s="1009">
        <v>-103.26077698706638</v>
      </c>
      <c r="DH8" s="1009">
        <v>-115.38961463439747</v>
      </c>
      <c r="DI8" s="1009">
        <v>-118.98837356653632</v>
      </c>
      <c r="DJ8" s="1009">
        <v>-111.49575519036368</v>
      </c>
      <c r="DK8" s="1009">
        <v>-98.126141540505202</v>
      </c>
      <c r="DL8" s="1009">
        <v>-97.44736098452961</v>
      </c>
      <c r="DM8" s="1009">
        <v>-98.809214633611603</v>
      </c>
      <c r="DN8" s="1009">
        <v>-109.46825271887306</v>
      </c>
      <c r="DO8" s="1009">
        <v>-112.18777497974308</v>
      </c>
      <c r="DP8" s="1009">
        <v>-104.6731341673261</v>
      </c>
      <c r="DQ8" s="1009">
        <v>-99.751202960743115</v>
      </c>
      <c r="DR8" s="1009">
        <v>-91.432113215512075</v>
      </c>
      <c r="DS8" s="1009">
        <v>-100.09430783581499</v>
      </c>
      <c r="DT8" s="1009">
        <v>-109.26798360793055</v>
      </c>
      <c r="DU8" s="1009">
        <v>-112.09668113463556</v>
      </c>
      <c r="DV8" s="1009">
        <v>-106.24196523568463</v>
      </c>
      <c r="DW8" s="1009">
        <v>-95.703698685247659</v>
      </c>
      <c r="DX8" s="1009">
        <v>-96.305980879629985</v>
      </c>
      <c r="DY8" s="1009">
        <v>-97.722415537176573</v>
      </c>
      <c r="DZ8" s="1009">
        <v>-104.26627058195537</v>
      </c>
      <c r="EA8" s="1009">
        <v>-106.75746441901158</v>
      </c>
      <c r="EB8" s="1009">
        <v>-101.96046668303148</v>
      </c>
      <c r="EC8" s="1009">
        <v>-97.711189425804733</v>
      </c>
      <c r="ED8" s="1009">
        <v>-88.541618222603006</v>
      </c>
      <c r="EE8" s="1009">
        <v>-98.380957319978023</v>
      </c>
      <c r="EF8" s="1009">
        <v>-107.46897606632459</v>
      </c>
      <c r="EG8" s="1009">
        <v>-109.05020199253882</v>
      </c>
      <c r="EH8" s="1009">
        <v>-103.14570226891911</v>
      </c>
      <c r="EI8" s="1009">
        <v>-93.17646861421737</v>
      </c>
      <c r="EJ8" s="1009">
        <v>-93.61116957174572</v>
      </c>
      <c r="EK8" s="1009">
        <v>-95.684261394336957</v>
      </c>
      <c r="EL8" s="1009">
        <v>-102.17594129352966</v>
      </c>
      <c r="EM8" s="1009">
        <v>-102.76696502441858</v>
      </c>
      <c r="EN8" s="1009">
        <v>-98.637027325823539</v>
      </c>
      <c r="EO8" s="1009">
        <v>-95.485809482724804</v>
      </c>
    </row>
    <row r="9" spans="1:145" x14ac:dyDescent="0.25">
      <c r="A9" s="1008">
        <v>2005</v>
      </c>
      <c r="B9" s="1009">
        <v>-83.940611378758362</v>
      </c>
      <c r="C9" s="1009">
        <v>-94.218331668976077</v>
      </c>
      <c r="D9" s="1009">
        <v>-102.99472306675952</v>
      </c>
      <c r="E9" s="1009">
        <v>-104.683914348816</v>
      </c>
      <c r="F9" s="1009">
        <v>-98.453686999994432</v>
      </c>
      <c r="G9" s="1009">
        <v>-88.380394585651956</v>
      </c>
      <c r="H9" s="1009">
        <v>-88.129716958435637</v>
      </c>
      <c r="I9" s="1009">
        <v>-90.421173099959759</v>
      </c>
      <c r="J9" s="1009">
        <v>-97.357072482820186</v>
      </c>
      <c r="K9" s="1009">
        <v>-97.79455913727277</v>
      </c>
      <c r="L9" s="1009">
        <v>-92.749473724576063</v>
      </c>
      <c r="M9" s="1009">
        <v>-89.196563336887493</v>
      </c>
      <c r="N9" s="1009">
        <v>-82.335987968054184</v>
      </c>
      <c r="O9" s="1009">
        <v>-91.940322354876713</v>
      </c>
      <c r="P9" s="1009">
        <v>-100.56122153553346</v>
      </c>
      <c r="Q9" s="1009">
        <v>-101.94964351091349</v>
      </c>
      <c r="R9" s="1009">
        <v>-95.920958557726749</v>
      </c>
      <c r="S9" s="1009">
        <v>-86.053452614622842</v>
      </c>
      <c r="T9" s="1009">
        <v>-87.506406757564889</v>
      </c>
      <c r="U9" s="1009">
        <v>-89.135810563899966</v>
      </c>
      <c r="V9" s="1009">
        <v>-95.675369347104706</v>
      </c>
      <c r="W9" s="1009">
        <v>-95.781781141957154</v>
      </c>
      <c r="X9" s="1009">
        <v>-91.413348552018306</v>
      </c>
      <c r="Y9" s="1009">
        <v>-88.475126186375846</v>
      </c>
      <c r="Z9" s="1009">
        <v>-78.243296046511162</v>
      </c>
      <c r="AA9" s="1009">
        <v>-86.599564294509236</v>
      </c>
      <c r="AB9" s="1009">
        <v>-96.589140919734518</v>
      </c>
      <c r="AC9" s="1009">
        <v>-99.735161177198819</v>
      </c>
      <c r="AD9" s="1009">
        <v>-94.076679266026844</v>
      </c>
      <c r="AE9" s="1009">
        <v>-84.075670387022157</v>
      </c>
      <c r="AF9" s="1009">
        <v>-87.575942625797722</v>
      </c>
      <c r="AG9" s="1009">
        <v>-88.643536316760503</v>
      </c>
      <c r="AH9" s="1009">
        <v>-95.024735511030372</v>
      </c>
      <c r="AI9" s="1009">
        <v>-95.504852241463624</v>
      </c>
      <c r="AJ9" s="1009">
        <v>-91.437026039455603</v>
      </c>
      <c r="AK9" s="1009">
        <v>-88.337653852241459</v>
      </c>
      <c r="AL9" s="1009">
        <v>-85.212937075471928</v>
      </c>
      <c r="AM9" s="1009">
        <v>-93.198130602115839</v>
      </c>
      <c r="AN9" s="1009">
        <v>-103.82663877965304</v>
      </c>
      <c r="AO9" s="1009">
        <v>-107.7104016181564</v>
      </c>
      <c r="AP9" s="1009">
        <v>-101.04382760010235</v>
      </c>
      <c r="AQ9" s="1009">
        <v>-89.892114579316427</v>
      </c>
      <c r="AR9" s="1009">
        <v>-88.228835872097108</v>
      </c>
      <c r="AS9" s="1009">
        <v>-89.74283761785631</v>
      </c>
      <c r="AT9" s="1009">
        <v>-96.246825977825367</v>
      </c>
      <c r="AU9" s="1009">
        <v>-97.550712829686915</v>
      </c>
      <c r="AV9" s="1009">
        <v>-92.548043714581254</v>
      </c>
      <c r="AW9" s="1009">
        <v>-88.95650453532042</v>
      </c>
      <c r="AX9" s="1009">
        <v>-90.97537939799652</v>
      </c>
      <c r="AY9" s="1009">
        <v>-100.05010035211507</v>
      </c>
      <c r="AZ9" s="1009">
        <v>-112.85793747746112</v>
      </c>
      <c r="BA9" s="1009">
        <v>-116.9204556673578</v>
      </c>
      <c r="BB9" s="1009">
        <v>-109.81578465465785</v>
      </c>
      <c r="BC9" s="1009">
        <v>-96.434951721463435</v>
      </c>
      <c r="BD9" s="1009">
        <v>-95.648600564414835</v>
      </c>
      <c r="BE9" s="1009">
        <v>-97.092715215576376</v>
      </c>
      <c r="BF9" s="1009">
        <v>-108.18188629880223</v>
      </c>
      <c r="BG9" s="1009">
        <v>-109.7813975843264</v>
      </c>
      <c r="BH9" s="1009">
        <v>-102.23162926616654</v>
      </c>
      <c r="BI9" s="1009">
        <v>-97.898539557139827</v>
      </c>
      <c r="BJ9" s="1009">
        <v>-94.848929940128329</v>
      </c>
      <c r="BK9" s="1009">
        <v>-103.96805641654115</v>
      </c>
      <c r="BL9" s="1009">
        <v>-117.43028286709936</v>
      </c>
      <c r="BM9" s="1009">
        <v>-120.43286807981571</v>
      </c>
      <c r="BN9" s="1009">
        <v>-113.62368162544108</v>
      </c>
      <c r="BO9" s="1009">
        <v>-100.36885186711969</v>
      </c>
      <c r="BP9" s="1009">
        <v>-96.492226261502935</v>
      </c>
      <c r="BQ9" s="1009">
        <v>-97.390230198027595</v>
      </c>
      <c r="BR9" s="1009">
        <v>-105.83511282407255</v>
      </c>
      <c r="BS9" s="1009">
        <v>-108.68528446793802</v>
      </c>
      <c r="BT9" s="1009">
        <v>-103.58049505459883</v>
      </c>
      <c r="BU9" s="1009">
        <v>-98.513289860210733</v>
      </c>
      <c r="BV9" s="1009">
        <v>-97.630424987876239</v>
      </c>
      <c r="BW9" s="1009">
        <v>-106.89029836401077</v>
      </c>
      <c r="BX9" s="1009">
        <v>-120.51904847169594</v>
      </c>
      <c r="BY9" s="1009">
        <v>-122.8314960769377</v>
      </c>
      <c r="BZ9" s="1009">
        <v>-116.40769095279543</v>
      </c>
      <c r="CA9" s="1009">
        <v>-102.93946536170894</v>
      </c>
      <c r="CB9" s="1009">
        <v>-93.530513797411757</v>
      </c>
      <c r="CC9" s="1009">
        <v>-94.817700392407843</v>
      </c>
      <c r="CD9" s="1009">
        <v>-103.88201272340194</v>
      </c>
      <c r="CE9" s="1009">
        <v>-107.09357721947981</v>
      </c>
      <c r="CF9" s="1009">
        <v>-101.78910756522913</v>
      </c>
      <c r="CG9" s="1009">
        <v>-96.694094497097112</v>
      </c>
      <c r="CH9" s="1009">
        <v>-99.404330490685567</v>
      </c>
      <c r="CI9" s="1009">
        <v>-108.48092761232799</v>
      </c>
      <c r="CJ9" s="1009">
        <v>-123.14069385640997</v>
      </c>
      <c r="CK9" s="1009">
        <v>-126.45230284592049</v>
      </c>
      <c r="CL9" s="1009">
        <v>-119.14305059031999</v>
      </c>
      <c r="CM9" s="1009">
        <v>-104.90804483342968</v>
      </c>
      <c r="CN9" s="1009">
        <v>-97.690781180814085</v>
      </c>
      <c r="CO9" s="1009">
        <v>-99.245916473631596</v>
      </c>
      <c r="CP9" s="1009">
        <v>-109.72139738503824</v>
      </c>
      <c r="CQ9" s="1009">
        <v>-113.36412585622742</v>
      </c>
      <c r="CR9" s="1009">
        <v>-107.56005531244578</v>
      </c>
      <c r="CS9" s="1009">
        <v>-101.92470311650168</v>
      </c>
      <c r="CT9" s="1009">
        <v>-100.03435834639592</v>
      </c>
      <c r="CU9" s="1009">
        <v>-108.91974171530558</v>
      </c>
      <c r="CV9" s="1009">
        <v>-122.11981336717335</v>
      </c>
      <c r="CW9" s="1009">
        <v>-125.70931848914208</v>
      </c>
      <c r="CX9" s="1009">
        <v>-118.2916921457842</v>
      </c>
      <c r="CY9" s="1009">
        <v>-104.39027788279394</v>
      </c>
      <c r="CZ9" s="1009">
        <v>-104.36969318281371</v>
      </c>
      <c r="DA9" s="1009">
        <v>-105.12716898193065</v>
      </c>
      <c r="DB9" s="1009">
        <v>-118.40243671923521</v>
      </c>
      <c r="DC9" s="1009">
        <v>-121.16052931878403</v>
      </c>
      <c r="DD9" s="1009">
        <v>-112.98216330731456</v>
      </c>
      <c r="DE9" s="1009">
        <v>-108.44697973525248</v>
      </c>
      <c r="DF9" s="1009">
        <v>-93.251140073491328</v>
      </c>
      <c r="DG9" s="1009">
        <v>-103.03544628832894</v>
      </c>
      <c r="DH9" s="1009">
        <v>-115.13605786666325</v>
      </c>
      <c r="DI9" s="1009">
        <v>-118.73015676056991</v>
      </c>
      <c r="DJ9" s="1009">
        <v>-111.28914717758336</v>
      </c>
      <c r="DK9" s="1009">
        <v>-98.022456116557152</v>
      </c>
      <c r="DL9" s="1009">
        <v>-97.164549739990704</v>
      </c>
      <c r="DM9" s="1009">
        <v>-98.511195538813112</v>
      </c>
      <c r="DN9" s="1009">
        <v>-109.00194173515138</v>
      </c>
      <c r="DO9" s="1009">
        <v>-111.81143359282127</v>
      </c>
      <c r="DP9" s="1009">
        <v>-104.41732994150314</v>
      </c>
      <c r="DQ9" s="1009">
        <v>-99.467327176536685</v>
      </c>
      <c r="DR9" s="1009">
        <v>-91.274093064096419</v>
      </c>
      <c r="DS9" s="1009">
        <v>-99.78262634000825</v>
      </c>
      <c r="DT9" s="1009">
        <v>-108.95588528914374</v>
      </c>
      <c r="DU9" s="1009">
        <v>-111.79386679400882</v>
      </c>
      <c r="DV9" s="1009">
        <v>-105.99051269823023</v>
      </c>
      <c r="DW9" s="1009">
        <v>-95.52687732468371</v>
      </c>
      <c r="DX9" s="1009">
        <v>-95.830686564623505</v>
      </c>
      <c r="DY9" s="1009">
        <v>-97.245190600882225</v>
      </c>
      <c r="DZ9" s="1009">
        <v>-103.71215913534377</v>
      </c>
      <c r="EA9" s="1009">
        <v>-106.28371983267593</v>
      </c>
      <c r="EB9" s="1009">
        <v>-101.50231393756681</v>
      </c>
      <c r="EC9" s="1009">
        <v>-97.234524486984398</v>
      </c>
      <c r="ED9" s="1009">
        <v>-88.466393969541272</v>
      </c>
      <c r="EE9" s="1009">
        <v>-98.229426278937851</v>
      </c>
      <c r="EF9" s="1009">
        <v>-107.31925742354723</v>
      </c>
      <c r="EG9" s="1009">
        <v>-108.90492275243787</v>
      </c>
      <c r="EH9" s="1009">
        <v>-103.02383025139952</v>
      </c>
      <c r="EI9" s="1009">
        <v>-93.092335114476242</v>
      </c>
      <c r="EJ9" s="1009">
        <v>-91.149773598057024</v>
      </c>
      <c r="EK9" s="1009">
        <v>-93.155683143108263</v>
      </c>
      <c r="EL9" s="1009">
        <v>-99.168003387154897</v>
      </c>
      <c r="EM9" s="1009">
        <v>-100.2431184928196</v>
      </c>
      <c r="EN9" s="1009">
        <v>-96.276440579676418</v>
      </c>
      <c r="EO9" s="1009">
        <v>-93.02503556098651</v>
      </c>
    </row>
    <row r="10" spans="1:145" x14ac:dyDescent="0.25">
      <c r="A10" s="1008">
        <v>2006</v>
      </c>
      <c r="B10" s="1009">
        <v>-83.877860182244945</v>
      </c>
      <c r="C10" s="1009">
        <v>-94.089288237840307</v>
      </c>
      <c r="D10" s="1009">
        <v>-102.86762143769639</v>
      </c>
      <c r="E10" s="1009">
        <v>-104.56009779449903</v>
      </c>
      <c r="F10" s="1009">
        <v>-98.351380100815419</v>
      </c>
      <c r="G10" s="1009">
        <v>-88.310260532530592</v>
      </c>
      <c r="H10" s="1009">
        <v>-87.960525664117483</v>
      </c>
      <c r="I10" s="1009">
        <v>-90.245299495263296</v>
      </c>
      <c r="J10" s="1009">
        <v>-97.144674801018894</v>
      </c>
      <c r="K10" s="1009">
        <v>-97.61851132314564</v>
      </c>
      <c r="L10" s="1009">
        <v>-92.586449691822125</v>
      </c>
      <c r="M10" s="1009">
        <v>-89.026288816479635</v>
      </c>
      <c r="N10" s="1009">
        <v>-82.226417674574307</v>
      </c>
      <c r="O10" s="1009">
        <v>-91.717881347408678</v>
      </c>
      <c r="P10" s="1009">
        <v>-100.34022270199708</v>
      </c>
      <c r="Q10" s="1009">
        <v>-101.73357238362105</v>
      </c>
      <c r="R10" s="1009">
        <v>-95.746754152050698</v>
      </c>
      <c r="S10" s="1009">
        <v>-85.931057410860689</v>
      </c>
      <c r="T10" s="1009">
        <v>-87.152319571368679</v>
      </c>
      <c r="U10" s="1009">
        <v>-88.776771671699194</v>
      </c>
      <c r="V10" s="1009">
        <v>-95.240465282289563</v>
      </c>
      <c r="W10" s="1009">
        <v>-95.418190575952039</v>
      </c>
      <c r="X10" s="1009">
        <v>-91.081446013529657</v>
      </c>
      <c r="Y10" s="1009">
        <v>-88.118499326974785</v>
      </c>
      <c r="Z10" s="1009">
        <v>-78.255558746479053</v>
      </c>
      <c r="AA10" s="1009">
        <v>-86.624734161767506</v>
      </c>
      <c r="AB10" s="1009">
        <v>-96.614661924181817</v>
      </c>
      <c r="AC10" s="1009">
        <v>-99.760177344559679</v>
      </c>
      <c r="AD10" s="1009">
        <v>-94.09677709459072</v>
      </c>
      <c r="AE10" s="1009">
        <v>-84.089502173340676</v>
      </c>
      <c r="AF10" s="1009">
        <v>-87.623688914720134</v>
      </c>
      <c r="AG10" s="1009">
        <v>-88.690098204353376</v>
      </c>
      <c r="AH10" s="1009">
        <v>-95.080517329796095</v>
      </c>
      <c r="AI10" s="1009">
        <v>-95.551881317165979</v>
      </c>
      <c r="AJ10" s="1009">
        <v>-91.481505950288692</v>
      </c>
      <c r="AK10" s="1009">
        <v>-88.385449160245741</v>
      </c>
      <c r="AL10" s="1009">
        <v>-85.144614974169002</v>
      </c>
      <c r="AM10" s="1009">
        <v>-93.055685458514645</v>
      </c>
      <c r="AN10" s="1009">
        <v>-103.67067541295371</v>
      </c>
      <c r="AO10" s="1009">
        <v>-107.5505675763504</v>
      </c>
      <c r="AP10" s="1009">
        <v>-100.92218657288203</v>
      </c>
      <c r="AQ10" s="1009">
        <v>-89.814289297768624</v>
      </c>
      <c r="AR10" s="1009">
        <v>-86.969706971984408</v>
      </c>
      <c r="AS10" s="1009">
        <v>-88.498613916782034</v>
      </c>
      <c r="AT10" s="1009">
        <v>-94.668884458561863</v>
      </c>
      <c r="AU10" s="1009">
        <v>-96.215420171129324</v>
      </c>
      <c r="AV10" s="1009">
        <v>-91.449154911263506</v>
      </c>
      <c r="AW10" s="1009">
        <v>-87.701925198746693</v>
      </c>
      <c r="AX10" s="1009">
        <v>-90.792003208627264</v>
      </c>
      <c r="AY10" s="1009">
        <v>-99.544620149203539</v>
      </c>
      <c r="AZ10" s="1009">
        <v>-112.22851683353394</v>
      </c>
      <c r="BA10" s="1009">
        <v>-116.2777039040443</v>
      </c>
      <c r="BB10" s="1009">
        <v>-109.30400855644429</v>
      </c>
      <c r="BC10" s="1009">
        <v>-96.206520905585023</v>
      </c>
      <c r="BD10" s="1009">
        <v>-95.79914981139467</v>
      </c>
      <c r="BE10" s="1009">
        <v>-97.240494507269617</v>
      </c>
      <c r="BF10" s="1009">
        <v>-108.43642490090517</v>
      </c>
      <c r="BG10" s="1009">
        <v>-109.98320292010919</v>
      </c>
      <c r="BH10" s="1009">
        <v>-102.35684994505527</v>
      </c>
      <c r="BI10" s="1009">
        <v>-98.048258355794701</v>
      </c>
      <c r="BJ10" s="1009">
        <v>-94.825946141850608</v>
      </c>
      <c r="BK10" s="1009">
        <v>-103.89083990743592</v>
      </c>
      <c r="BL10" s="1009">
        <v>-117.3287538338686</v>
      </c>
      <c r="BM10" s="1009">
        <v>-120.32642592373416</v>
      </c>
      <c r="BN10" s="1009">
        <v>-113.53729146554014</v>
      </c>
      <c r="BO10" s="1009">
        <v>-100.33903672425939</v>
      </c>
      <c r="BP10" s="1009">
        <v>-96.347818563118636</v>
      </c>
      <c r="BQ10" s="1009">
        <v>-97.254094357788532</v>
      </c>
      <c r="BR10" s="1009">
        <v>-105.60129278621964</v>
      </c>
      <c r="BS10" s="1009">
        <v>-108.49430592031815</v>
      </c>
      <c r="BT10" s="1009">
        <v>-103.46108710247348</v>
      </c>
      <c r="BU10" s="1009">
        <v>-98.374294334891104</v>
      </c>
      <c r="BV10" s="1009">
        <v>-97.59350457516652</v>
      </c>
      <c r="BW10" s="1009">
        <v>-106.76777493901902</v>
      </c>
      <c r="BX10" s="1009">
        <v>-120.3586723731311</v>
      </c>
      <c r="BY10" s="1009">
        <v>-122.66546902324043</v>
      </c>
      <c r="BZ10" s="1009">
        <v>-116.27121687993522</v>
      </c>
      <c r="CA10" s="1009">
        <v>-102.89090932907214</v>
      </c>
      <c r="CB10" s="1009">
        <v>-93.399746500090188</v>
      </c>
      <c r="CC10" s="1009">
        <v>-94.689340136243118</v>
      </c>
      <c r="CD10" s="1009">
        <v>-103.59320684899383</v>
      </c>
      <c r="CE10" s="1009">
        <v>-106.87296794267749</v>
      </c>
      <c r="CF10" s="1009">
        <v>-101.68035076770825</v>
      </c>
      <c r="CG10" s="1009">
        <v>-96.564054382193802</v>
      </c>
      <c r="CH10" s="1009">
        <v>-99.3705045151371</v>
      </c>
      <c r="CI10" s="1009">
        <v>-108.36629897920977</v>
      </c>
      <c r="CJ10" s="1009">
        <v>-122.98845195185979</v>
      </c>
      <c r="CK10" s="1009">
        <v>-126.2942958844458</v>
      </c>
      <c r="CL10" s="1009">
        <v>-119.01523598102396</v>
      </c>
      <c r="CM10" s="1009">
        <v>-104.86314216627652</v>
      </c>
      <c r="CN10" s="1009">
        <v>-97.485024880444612</v>
      </c>
      <c r="CO10" s="1009">
        <v>-99.043938729388302</v>
      </c>
      <c r="CP10" s="1009">
        <v>-109.32527291128264</v>
      </c>
      <c r="CQ10" s="1009">
        <v>-113.04452810313073</v>
      </c>
      <c r="CR10" s="1009">
        <v>-107.38892048785854</v>
      </c>
      <c r="CS10" s="1009">
        <v>-101.72009016106321</v>
      </c>
      <c r="CT10" s="1009">
        <v>-100.01368667435153</v>
      </c>
      <c r="CU10" s="1009">
        <v>-108.8577469521374</v>
      </c>
      <c r="CV10" s="1009">
        <v>-122.04483826768845</v>
      </c>
      <c r="CW10" s="1009">
        <v>-125.63164109935661</v>
      </c>
      <c r="CX10" s="1009">
        <v>-118.2277392979601</v>
      </c>
      <c r="CY10" s="1009">
        <v>-104.36386084315463</v>
      </c>
      <c r="CZ10" s="1009">
        <v>-103.42017143100307</v>
      </c>
      <c r="DA10" s="1009">
        <v>-104.16201865973299</v>
      </c>
      <c r="DB10" s="1009">
        <v>-116.65787407681461</v>
      </c>
      <c r="DC10" s="1009">
        <v>-119.78705265099711</v>
      </c>
      <c r="DD10" s="1009">
        <v>-112.15927734374741</v>
      </c>
      <c r="DE10" s="1009">
        <v>-107.49828220103964</v>
      </c>
      <c r="DF10" s="1009">
        <v>-93.133903450402698</v>
      </c>
      <c r="DG10" s="1009">
        <v>-102.72320106144585</v>
      </c>
      <c r="DH10" s="1009">
        <v>-114.78469553814659</v>
      </c>
      <c r="DI10" s="1009">
        <v>-118.37233558050985</v>
      </c>
      <c r="DJ10" s="1009">
        <v>-111.00285135780298</v>
      </c>
      <c r="DK10" s="1009">
        <v>-97.878781782932975</v>
      </c>
      <c r="DL10" s="1009">
        <v>-97.712631913087222</v>
      </c>
      <c r="DM10" s="1009">
        <v>-99.088741157398118</v>
      </c>
      <c r="DN10" s="1009">
        <v>-109.90562921889652</v>
      </c>
      <c r="DO10" s="1009">
        <v>-112.54076564191497</v>
      </c>
      <c r="DP10" s="1009">
        <v>-104.91307877979831</v>
      </c>
      <c r="DQ10" s="1009">
        <v>-100.01747250072549</v>
      </c>
      <c r="DR10" s="1009">
        <v>-91.138016973576981</v>
      </c>
      <c r="DS10" s="1009">
        <v>-99.514232901244995</v>
      </c>
      <c r="DT10" s="1009">
        <v>-108.68714505598207</v>
      </c>
      <c r="DU10" s="1009">
        <v>-111.53309842589927</v>
      </c>
      <c r="DV10" s="1009">
        <v>-105.77396876346387</v>
      </c>
      <c r="DW10" s="1009">
        <v>-95.374609454553251</v>
      </c>
      <c r="DX10" s="1009">
        <v>-95.421405695866156</v>
      </c>
      <c r="DY10" s="1009">
        <v>-96.834243543662453</v>
      </c>
      <c r="DZ10" s="1009">
        <v>-103.23500502654473</v>
      </c>
      <c r="EA10" s="1009">
        <v>-105.8757770290695</v>
      </c>
      <c r="EB10" s="1009">
        <v>-101.10780080654163</v>
      </c>
      <c r="EC10" s="1009">
        <v>-96.824058889520728</v>
      </c>
      <c r="ED10" s="1009">
        <v>-84.356956435997489</v>
      </c>
      <c r="EE10" s="1009">
        <v>-92.519532151678703</v>
      </c>
      <c r="EF10" s="1009">
        <v>-97.54762390236472</v>
      </c>
      <c r="EG10" s="1009">
        <v>-98.508155282080082</v>
      </c>
      <c r="EH10" s="1009">
        <v>-94.776631725139879</v>
      </c>
      <c r="EI10" s="1009">
        <v>-87.793884190949925</v>
      </c>
      <c r="EJ10" s="1009">
        <v>-86.19353173863945</v>
      </c>
      <c r="EK10" s="1009">
        <v>-88.139358062804192</v>
      </c>
      <c r="EL10" s="1009">
        <v>-93.475666884604749</v>
      </c>
      <c r="EM10" s="1009">
        <v>-94.462721764887959</v>
      </c>
      <c r="EN10" s="1009">
        <v>-91.042715423613359</v>
      </c>
      <c r="EO10" s="1009">
        <v>-87.964022025568696</v>
      </c>
    </row>
    <row r="11" spans="1:145" x14ac:dyDescent="0.25">
      <c r="A11" s="1008">
        <v>2007</v>
      </c>
      <c r="B11" s="1009">
        <v>-79.630718526475107</v>
      </c>
      <c r="C11" s="1009">
        <v>-88.128804560777709</v>
      </c>
      <c r="D11" s="1009">
        <v>-92.984190239023405</v>
      </c>
      <c r="E11" s="1009">
        <v>-94.030263691170177</v>
      </c>
      <c r="F11" s="1009">
        <v>-89.952865630833145</v>
      </c>
      <c r="G11" s="1009">
        <v>-83.025987762975149</v>
      </c>
      <c r="H11" s="1009">
        <v>-84.818775977632797</v>
      </c>
      <c r="I11" s="1009">
        <v>-87.121664887232157</v>
      </c>
      <c r="J11" s="1009">
        <v>-93.603791558187538</v>
      </c>
      <c r="K11" s="1009">
        <v>-93.567371980109613</v>
      </c>
      <c r="L11" s="1009">
        <v>-88.976807065206941</v>
      </c>
      <c r="M11" s="1009">
        <v>-85.752240680235587</v>
      </c>
      <c r="N11" s="1009">
        <v>-78.129871678504401</v>
      </c>
      <c r="O11" s="1009">
        <v>-85.91661972931945</v>
      </c>
      <c r="P11" s="1009">
        <v>-90.481461235355397</v>
      </c>
      <c r="Q11" s="1009">
        <v>-91.241387508838187</v>
      </c>
      <c r="R11" s="1009">
        <v>-87.369565391220476</v>
      </c>
      <c r="S11" s="1009">
        <v>-80.722144924576327</v>
      </c>
      <c r="T11" s="1009">
        <v>-82.787846913019266</v>
      </c>
      <c r="U11" s="1009">
        <v>-84.374162192261451</v>
      </c>
      <c r="V11" s="1009">
        <v>-90.187461091133045</v>
      </c>
      <c r="W11" s="1009">
        <v>-90.136414008678855</v>
      </c>
      <c r="X11" s="1009">
        <v>-86.344649090018905</v>
      </c>
      <c r="Y11" s="1009">
        <v>-83.628441876583096</v>
      </c>
      <c r="Z11" s="1009">
        <v>-74.334874582424945</v>
      </c>
      <c r="AA11" s="1009">
        <v>-81.082758600030175</v>
      </c>
      <c r="AB11" s="1009">
        <v>-86.763929773910363</v>
      </c>
      <c r="AC11" s="1009">
        <v>-89.225257552698395</v>
      </c>
      <c r="AD11" s="1009">
        <v>-85.679218764769416</v>
      </c>
      <c r="AE11" s="1009">
        <v>-79.006107644319741</v>
      </c>
      <c r="AF11" s="1009">
        <v>-82.294899376700116</v>
      </c>
      <c r="AG11" s="1009">
        <v>-83.31102382304114</v>
      </c>
      <c r="AH11" s="1009">
        <v>-88.8651452471846</v>
      </c>
      <c r="AI11" s="1009">
        <v>-89.231966473800085</v>
      </c>
      <c r="AJ11" s="1009">
        <v>-85.867080574878415</v>
      </c>
      <c r="AK11" s="1009">
        <v>-82.910297862288203</v>
      </c>
      <c r="AL11" s="1009">
        <v>-81.149144308994309</v>
      </c>
      <c r="AM11" s="1009">
        <v>-87.404275973043895</v>
      </c>
      <c r="AN11" s="1009">
        <v>-93.678707315969064</v>
      </c>
      <c r="AO11" s="1009">
        <v>-96.680216463520821</v>
      </c>
      <c r="AP11" s="1009">
        <v>-92.309065170657675</v>
      </c>
      <c r="AQ11" s="1009">
        <v>-84.663445842535666</v>
      </c>
      <c r="AR11" s="1009">
        <v>-83.82345067435287</v>
      </c>
      <c r="AS11" s="1009">
        <v>-85.186829526263196</v>
      </c>
      <c r="AT11" s="1009">
        <v>-91.054190867940747</v>
      </c>
      <c r="AU11" s="1009">
        <v>-92.20202892918563</v>
      </c>
      <c r="AV11" s="1009">
        <v>-87.789640448290143</v>
      </c>
      <c r="AW11" s="1009">
        <v>-84.344562173073825</v>
      </c>
      <c r="AX11" s="1009">
        <v>-86.72649412613228</v>
      </c>
      <c r="AY11" s="1009">
        <v>-93.517277313713635</v>
      </c>
      <c r="AZ11" s="1009">
        <v>-101.47391768712731</v>
      </c>
      <c r="BA11" s="1009">
        <v>-104.6961627872596</v>
      </c>
      <c r="BB11" s="1009">
        <v>-100.22848205648394</v>
      </c>
      <c r="BC11" s="1009">
        <v>-90.938815105038771</v>
      </c>
      <c r="BD11" s="1009">
        <v>-91.367627931393457</v>
      </c>
      <c r="BE11" s="1009">
        <v>-92.826712554698474</v>
      </c>
      <c r="BF11" s="1009">
        <v>-102.85953981465867</v>
      </c>
      <c r="BG11" s="1009">
        <v>-103.97040526113292</v>
      </c>
      <c r="BH11" s="1009">
        <v>-97.590886236097688</v>
      </c>
      <c r="BI11" s="1009">
        <v>-93.473427489486184</v>
      </c>
      <c r="BJ11" s="1009">
        <v>-90.730088603195895</v>
      </c>
      <c r="BK11" s="1009">
        <v>-97.372964913620493</v>
      </c>
      <c r="BL11" s="1009">
        <v>-105.53484358481157</v>
      </c>
      <c r="BM11" s="1009">
        <v>-107.84693133261744</v>
      </c>
      <c r="BN11" s="1009">
        <v>-103.7560406591673</v>
      </c>
      <c r="BO11" s="1009">
        <v>-94.909402233320236</v>
      </c>
      <c r="BP11" s="1009">
        <v>-92.047602594188547</v>
      </c>
      <c r="BQ11" s="1009">
        <v>-93.00775147727893</v>
      </c>
      <c r="BR11" s="1009">
        <v>-100.15993406282236</v>
      </c>
      <c r="BS11" s="1009">
        <v>-102.51999222309126</v>
      </c>
      <c r="BT11" s="1009">
        <v>-98.5730873973949</v>
      </c>
      <c r="BU11" s="1009">
        <v>-93.861104795928298</v>
      </c>
      <c r="BV11" s="1009">
        <v>-93.195876199159315</v>
      </c>
      <c r="BW11" s="1009">
        <v>-99.496190964835435</v>
      </c>
      <c r="BX11" s="1009">
        <v>-107.85628409355022</v>
      </c>
      <c r="BY11" s="1009">
        <v>-109.64282999178189</v>
      </c>
      <c r="BZ11" s="1009">
        <v>-106.12497560812244</v>
      </c>
      <c r="CA11" s="1009">
        <v>-97.224919129293681</v>
      </c>
      <c r="CB11" s="1009">
        <v>-89.093291141933676</v>
      </c>
      <c r="CC11" s="1009">
        <v>-90.416081330770638</v>
      </c>
      <c r="CD11" s="1009">
        <v>-97.965528883078136</v>
      </c>
      <c r="CE11" s="1009">
        <v>-100.74210420338945</v>
      </c>
      <c r="CF11" s="1009">
        <v>-96.913378590903704</v>
      </c>
      <c r="CG11" s="1009">
        <v>-92.103038912928199</v>
      </c>
      <c r="CH11" s="1009">
        <v>-94.99445701883792</v>
      </c>
      <c r="CI11" s="1009">
        <v>-101.09309666667565</v>
      </c>
      <c r="CJ11" s="1009">
        <v>-110.14256305806434</v>
      </c>
      <c r="CK11" s="1009">
        <v>-112.91275320239833</v>
      </c>
      <c r="CL11" s="1009">
        <v>-108.62399733463103</v>
      </c>
      <c r="CM11" s="1009">
        <v>-99.178365610544006</v>
      </c>
      <c r="CN11" s="1009">
        <v>-93.043524071039243</v>
      </c>
      <c r="CO11" s="1009">
        <v>-94.606627583771399</v>
      </c>
      <c r="CP11" s="1009">
        <v>-103.56187458150256</v>
      </c>
      <c r="CQ11" s="1009">
        <v>-106.83536760622869</v>
      </c>
      <c r="CR11" s="1009">
        <v>-102.46869212052928</v>
      </c>
      <c r="CS11" s="1009">
        <v>-97.047158691385391</v>
      </c>
      <c r="CT11" s="1009">
        <v>-95.746951671499673</v>
      </c>
      <c r="CU11" s="1009">
        <v>-102.26640855681623</v>
      </c>
      <c r="CV11" s="1009">
        <v>-110.39951826148317</v>
      </c>
      <c r="CW11" s="1009">
        <v>-113.30700876886439</v>
      </c>
      <c r="CX11" s="1009">
        <v>-108.59877631693023</v>
      </c>
      <c r="CY11" s="1009">
        <v>-98.77878961793084</v>
      </c>
      <c r="CZ11" s="1009">
        <v>-98.448148153430566</v>
      </c>
      <c r="DA11" s="1009">
        <v>-99.21904284344329</v>
      </c>
      <c r="DB11" s="1009">
        <v>-110.26202744759105</v>
      </c>
      <c r="DC11" s="1009">
        <v>-113.14576306816451</v>
      </c>
      <c r="DD11" s="1009">
        <v>-106.78488799615741</v>
      </c>
      <c r="DE11" s="1009">
        <v>-102.32194280512796</v>
      </c>
      <c r="DF11" s="1009">
        <v>-89.007396131640263</v>
      </c>
      <c r="DG11" s="1009">
        <v>-96.85638189837384</v>
      </c>
      <c r="DH11" s="1009">
        <v>-104.252832460709</v>
      </c>
      <c r="DI11" s="1009">
        <v>-107.03458014455964</v>
      </c>
      <c r="DJ11" s="1009">
        <v>-102.05731580918773</v>
      </c>
      <c r="DK11" s="1009">
        <v>-92.48624503572178</v>
      </c>
      <c r="DL11" s="1009">
        <v>-94.532258589832651</v>
      </c>
      <c r="DM11" s="1009">
        <v>-95.966412051194283</v>
      </c>
      <c r="DN11" s="1009">
        <v>-106.65190568425794</v>
      </c>
      <c r="DO11" s="1009">
        <v>-108.57698321701147</v>
      </c>
      <c r="DP11" s="1009">
        <v>-101.19369781421447</v>
      </c>
      <c r="DQ11" s="1009">
        <v>-96.661468649076383</v>
      </c>
      <c r="DR11" s="1009">
        <v>-87.051958618559482</v>
      </c>
      <c r="DS11" s="1009">
        <v>-93.863796953093669</v>
      </c>
      <c r="DT11" s="1009">
        <v>-98.993464632819169</v>
      </c>
      <c r="DU11" s="1009">
        <v>-101.1850548155423</v>
      </c>
      <c r="DV11" s="1009">
        <v>-97.552656354950642</v>
      </c>
      <c r="DW11" s="1009">
        <v>-90.142476639073337</v>
      </c>
      <c r="DX11" s="1009">
        <v>-91.177384552250885</v>
      </c>
      <c r="DY11" s="1009">
        <v>-92.591695650233703</v>
      </c>
      <c r="DZ11" s="1009">
        <v>-98.428775239336417</v>
      </c>
      <c r="EA11" s="1009">
        <v>-100.79521859234953</v>
      </c>
      <c r="EB11" s="1009">
        <v>-96.544470992168158</v>
      </c>
      <c r="EC11" s="1009">
        <v>-92.463643842983416</v>
      </c>
      <c r="ED11" s="1009">
        <v>-84.242966818281744</v>
      </c>
      <c r="EE11" s="1009">
        <v>-92.289931101598853</v>
      </c>
      <c r="EF11" s="1009">
        <v>-97.320762073088645</v>
      </c>
      <c r="EG11" s="1009">
        <v>-98.288028850532896</v>
      </c>
      <c r="EH11" s="1009">
        <v>-94.591964513566737</v>
      </c>
      <c r="EI11" s="1009">
        <v>-87.666397773335319</v>
      </c>
      <c r="EJ11" s="1009">
        <v>-85.927912870768424</v>
      </c>
      <c r="EK11" s="1009">
        <v>-87.866493133972568</v>
      </c>
      <c r="EL11" s="1009">
        <v>-93.151067788663795</v>
      </c>
      <c r="EM11" s="1009">
        <v>-94.19036622958869</v>
      </c>
      <c r="EN11" s="1009">
        <v>-90.787976038831431</v>
      </c>
      <c r="EO11" s="1009">
        <v>-87.698471234930025</v>
      </c>
    </row>
    <row r="12" spans="1:145" x14ac:dyDescent="0.25">
      <c r="A12" s="1008">
        <v>2008</v>
      </c>
      <c r="B12" s="1009">
        <v>-79.9995894135605</v>
      </c>
      <c r="C12" s="1009">
        <v>-88.489534683437242</v>
      </c>
      <c r="D12" s="1009">
        <v>-94.012185783917886</v>
      </c>
      <c r="E12" s="1009">
        <v>-95.165550839959863</v>
      </c>
      <c r="F12" s="1009">
        <v>-91.104354292238753</v>
      </c>
      <c r="G12" s="1009">
        <v>-83.466805671691233</v>
      </c>
      <c r="H12" s="1009">
        <v>-85.126144191965537</v>
      </c>
      <c r="I12" s="1009">
        <v>-87.442520640953262</v>
      </c>
      <c r="J12" s="1009">
        <v>-94.402256351281977</v>
      </c>
      <c r="K12" s="1009">
        <v>-94.664310259443482</v>
      </c>
      <c r="L12" s="1009">
        <v>-89.499456267655944</v>
      </c>
      <c r="M12" s="1009">
        <v>-86.063916555513913</v>
      </c>
      <c r="N12" s="1009">
        <v>-78.713779416709457</v>
      </c>
      <c r="O12" s="1009">
        <v>-86.678131468697387</v>
      </c>
      <c r="P12" s="1009">
        <v>-91.9528913005948</v>
      </c>
      <c r="Q12" s="1009">
        <v>-92.850940429354182</v>
      </c>
      <c r="R12" s="1009">
        <v>-88.910069098812002</v>
      </c>
      <c r="S12" s="1009">
        <v>-81.405379462780587</v>
      </c>
      <c r="T12" s="1009">
        <v>-84.197897246371397</v>
      </c>
      <c r="U12" s="1009">
        <v>-85.782987399519968</v>
      </c>
      <c r="V12" s="1009">
        <v>-92.337550074760188</v>
      </c>
      <c r="W12" s="1009">
        <v>-92.431045386050641</v>
      </c>
      <c r="X12" s="1009">
        <v>-87.915366071637663</v>
      </c>
      <c r="Y12" s="1009">
        <v>-85.028526729838191</v>
      </c>
      <c r="Z12" s="1009">
        <v>-74.834848492626364</v>
      </c>
      <c r="AA12" s="1009">
        <v>-81.68912465136259</v>
      </c>
      <c r="AB12" s="1009">
        <v>-88.080113600325944</v>
      </c>
      <c r="AC12" s="1009">
        <v>-90.728500749787102</v>
      </c>
      <c r="AD12" s="1009">
        <v>-87.102433562936653</v>
      </c>
      <c r="AE12" s="1009">
        <v>-79.594694070794347</v>
      </c>
      <c r="AF12" s="1009">
        <v>-81.685960441002337</v>
      </c>
      <c r="AG12" s="1009">
        <v>-82.730259635781223</v>
      </c>
      <c r="AH12" s="1009">
        <v>-88.627057685513904</v>
      </c>
      <c r="AI12" s="1009">
        <v>-89.50404407472675</v>
      </c>
      <c r="AJ12" s="1009">
        <v>-85.567990794481616</v>
      </c>
      <c r="AK12" s="1009">
        <v>-82.299437017421369</v>
      </c>
      <c r="AL12" s="1009">
        <v>-81.500984259042326</v>
      </c>
      <c r="AM12" s="1009">
        <v>-87.725728643477908</v>
      </c>
      <c r="AN12" s="1009">
        <v>-94.684856879459403</v>
      </c>
      <c r="AO12" s="1009">
        <v>-97.939653116511437</v>
      </c>
      <c r="AP12" s="1009">
        <v>-93.466252419754255</v>
      </c>
      <c r="AQ12" s="1009">
        <v>-85.096483637431177</v>
      </c>
      <c r="AR12" s="1009">
        <v>-85.243171458352123</v>
      </c>
      <c r="AS12" s="1009">
        <v>-86.624177260916113</v>
      </c>
      <c r="AT12" s="1009">
        <v>-93.277740638617615</v>
      </c>
      <c r="AU12" s="1009">
        <v>-94.65543064312817</v>
      </c>
      <c r="AV12" s="1009">
        <v>-89.30621462208839</v>
      </c>
      <c r="AW12" s="1009">
        <v>-85.76176569136301</v>
      </c>
      <c r="AX12" s="1009">
        <v>-87.123617427898793</v>
      </c>
      <c r="AY12" s="1009">
        <v>-93.902936724080959</v>
      </c>
      <c r="AZ12" s="1009">
        <v>-102.55099882127071</v>
      </c>
      <c r="BA12" s="1009">
        <v>-106.03315860910388</v>
      </c>
      <c r="BB12" s="1009">
        <v>-101.45160046839148</v>
      </c>
      <c r="BC12" s="1009">
        <v>-91.461513318637898</v>
      </c>
      <c r="BD12" s="1009">
        <v>-90.983254723191919</v>
      </c>
      <c r="BE12" s="1009">
        <v>-92.481555596712482</v>
      </c>
      <c r="BF12" s="1009">
        <v>-102.46419222328656</v>
      </c>
      <c r="BG12" s="1009">
        <v>-104.28194445092446</v>
      </c>
      <c r="BH12" s="1009">
        <v>-97.697947442281588</v>
      </c>
      <c r="BI12" s="1009">
        <v>-93.141203757114809</v>
      </c>
      <c r="BJ12" s="1009">
        <v>-91.356982194782347</v>
      </c>
      <c r="BK12" s="1009">
        <v>-98.162103946187941</v>
      </c>
      <c r="BL12" s="1009">
        <v>-106.97685775521443</v>
      </c>
      <c r="BM12" s="1009">
        <v>-109.52657862519573</v>
      </c>
      <c r="BN12" s="1009">
        <v>-105.31176690454399</v>
      </c>
      <c r="BO12" s="1009">
        <v>-95.701698665447651</v>
      </c>
      <c r="BP12" s="1009">
        <v>-92.813522814138125</v>
      </c>
      <c r="BQ12" s="1009">
        <v>-93.831229054199255</v>
      </c>
      <c r="BR12" s="1009">
        <v>-101.70021499433429</v>
      </c>
      <c r="BS12" s="1009">
        <v>-104.33070779933348</v>
      </c>
      <c r="BT12" s="1009">
        <v>-99.804407935462748</v>
      </c>
      <c r="BU12" s="1009">
        <v>-94.746775513847169</v>
      </c>
      <c r="BV12" s="1009">
        <v>-93.946390014597014</v>
      </c>
      <c r="BW12" s="1009">
        <v>-100.31827049141762</v>
      </c>
      <c r="BX12" s="1009">
        <v>-109.24137288615607</v>
      </c>
      <c r="BY12" s="1009">
        <v>-111.22339435584007</v>
      </c>
      <c r="BZ12" s="1009">
        <v>-107.65113508119029</v>
      </c>
      <c r="CA12" s="1009">
        <v>-98.122122056374621</v>
      </c>
      <c r="CB12" s="1009">
        <v>-89.761210546978262</v>
      </c>
      <c r="CC12" s="1009">
        <v>-91.144177898955945</v>
      </c>
      <c r="CD12" s="1009">
        <v>-99.238635706103764</v>
      </c>
      <c r="CE12" s="1009">
        <v>-102.30142483367723</v>
      </c>
      <c r="CF12" s="1009">
        <v>-97.947829797981925</v>
      </c>
      <c r="CG12" s="1009">
        <v>-92.811287962278399</v>
      </c>
      <c r="CH12" s="1009">
        <v>-95.700980201050456</v>
      </c>
      <c r="CI12" s="1009">
        <v>-101.88220663748972</v>
      </c>
      <c r="CJ12" s="1009">
        <v>-111.56243230587305</v>
      </c>
      <c r="CK12" s="1009">
        <v>-114.54019718714406</v>
      </c>
      <c r="CL12" s="1009">
        <v>-110.15812839400952</v>
      </c>
      <c r="CM12" s="1009">
        <v>-100.04032643579644</v>
      </c>
      <c r="CN12" s="1009">
        <v>-93.692642103061274</v>
      </c>
      <c r="CO12" s="1009">
        <v>-95.291006862255841</v>
      </c>
      <c r="CP12" s="1009">
        <v>-104.76164093959912</v>
      </c>
      <c r="CQ12" s="1009">
        <v>-108.3575834470635</v>
      </c>
      <c r="CR12" s="1009">
        <v>-103.48020871156987</v>
      </c>
      <c r="CS12" s="1009">
        <v>-97.786411185039952</v>
      </c>
      <c r="CT12" s="1009">
        <v>-96.276814451206647</v>
      </c>
      <c r="CU12" s="1009">
        <v>-102.77425619549932</v>
      </c>
      <c r="CV12" s="1009">
        <v>-111.60004327058891</v>
      </c>
      <c r="CW12" s="1009">
        <v>-114.80127317562038</v>
      </c>
      <c r="CX12" s="1009">
        <v>-109.97306868554148</v>
      </c>
      <c r="CY12" s="1009">
        <v>-99.456791936194989</v>
      </c>
      <c r="CZ12" s="1009">
        <v>-100.4164498568359</v>
      </c>
      <c r="DA12" s="1009">
        <v>-101.18353781952305</v>
      </c>
      <c r="DB12" s="1009">
        <v>-113.94052748853298</v>
      </c>
      <c r="DC12" s="1009">
        <v>-116.72108073824791</v>
      </c>
      <c r="DD12" s="1009">
        <v>-108.86645186807765</v>
      </c>
      <c r="DE12" s="1009">
        <v>-104.30614151780313</v>
      </c>
      <c r="DF12" s="1009">
        <v>-89.386796889645723</v>
      </c>
      <c r="DG12" s="1009">
        <v>-97.252473619673097</v>
      </c>
      <c r="DH12" s="1009">
        <v>-105.34518475468333</v>
      </c>
      <c r="DI12" s="1009">
        <v>-108.40477601888162</v>
      </c>
      <c r="DJ12" s="1009">
        <v>-103.31851145854259</v>
      </c>
      <c r="DK12" s="1009">
        <v>-92.979384537719525</v>
      </c>
      <c r="DL12" s="1009">
        <v>-94.900504729682979</v>
      </c>
      <c r="DM12" s="1009">
        <v>-96.342635713256314</v>
      </c>
      <c r="DN12" s="1009">
        <v>-107.52479332253495</v>
      </c>
      <c r="DO12" s="1009">
        <v>-109.92925356909309</v>
      </c>
      <c r="DP12" s="1009">
        <v>-101.8792424463883</v>
      </c>
      <c r="DQ12" s="1009">
        <v>-97.063388455095478</v>
      </c>
      <c r="DR12" s="1009">
        <v>-87.489165196824842</v>
      </c>
      <c r="DS12" s="1009">
        <v>-94.337068965322246</v>
      </c>
      <c r="DT12" s="1009">
        <v>-100.15145507389273</v>
      </c>
      <c r="DU12" s="1009">
        <v>-102.57601786255906</v>
      </c>
      <c r="DV12" s="1009">
        <v>-98.857838893101075</v>
      </c>
      <c r="DW12" s="1009">
        <v>-90.669009474692047</v>
      </c>
      <c r="DX12" s="1009">
        <v>-89.887236408531962</v>
      </c>
      <c r="DY12" s="1009">
        <v>-91.287251070108553</v>
      </c>
      <c r="DZ12" s="1009">
        <v>-97.369101053705734</v>
      </c>
      <c r="EA12" s="1009">
        <v>-100.38306542057441</v>
      </c>
      <c r="EB12" s="1009">
        <v>-95.568812204011067</v>
      </c>
      <c r="EC12" s="1009">
        <v>-91.169629066779336</v>
      </c>
      <c r="ED12" s="1009">
        <v>-84.591565668779808</v>
      </c>
      <c r="EE12" s="1009">
        <v>-92.611752919651636</v>
      </c>
      <c r="EF12" s="1009">
        <v>-98.312476412897155</v>
      </c>
      <c r="EG12" s="1009">
        <v>-99.397048766260667</v>
      </c>
      <c r="EH12" s="1009">
        <v>-95.757128989467162</v>
      </c>
      <c r="EI12" s="1009">
        <v>-88.088546060697141</v>
      </c>
      <c r="EJ12" s="1009">
        <v>-87.774864015717981</v>
      </c>
      <c r="EK12" s="1009">
        <v>-89.760761331367334</v>
      </c>
      <c r="EL12" s="1009">
        <v>-95.824276270373531</v>
      </c>
      <c r="EM12" s="1009">
        <v>-96.867860044253646</v>
      </c>
      <c r="EN12" s="1009">
        <v>-92.809417294212636</v>
      </c>
      <c r="EO12" s="1009">
        <v>-89.544081155289206</v>
      </c>
    </row>
    <row r="13" spans="1:145" x14ac:dyDescent="0.25">
      <c r="A13" s="1008">
        <v>2009</v>
      </c>
      <c r="B13" s="1009">
        <v>-79.917764826432617</v>
      </c>
      <c r="C13" s="1009">
        <v>-88.321281945849492</v>
      </c>
      <c r="D13" s="1009">
        <v>-93.846463759571535</v>
      </c>
      <c r="E13" s="1009">
        <v>-95.004112465676982</v>
      </c>
      <c r="F13" s="1009">
        <v>-90.970957141206924</v>
      </c>
      <c r="G13" s="1009">
        <v>-83.375364065101195</v>
      </c>
      <c r="H13" s="1009">
        <v>-83.647987721145043</v>
      </c>
      <c r="I13" s="1009">
        <v>-85.905937778458835</v>
      </c>
      <c r="J13" s="1009">
        <v>-92.546661032708769</v>
      </c>
      <c r="K13" s="1009">
        <v>-93.126230062047526</v>
      </c>
      <c r="L13" s="1009">
        <v>-88.075164974443823</v>
      </c>
      <c r="M13" s="1009">
        <v>-84.576283249131563</v>
      </c>
      <c r="N13" s="1009">
        <v>-78.350289497472389</v>
      </c>
      <c r="O13" s="1009">
        <v>-85.954878959890593</v>
      </c>
      <c r="P13" s="1009">
        <v>-91.233149073540403</v>
      </c>
      <c r="Q13" s="1009">
        <v>-92.146646520689984</v>
      </c>
      <c r="R13" s="1009">
        <v>-88.339444113316091</v>
      </c>
      <c r="S13" s="1009">
        <v>-81.000670336437892</v>
      </c>
      <c r="T13" s="1009">
        <v>-82.596910443428499</v>
      </c>
      <c r="U13" s="1009">
        <v>-84.159536588208965</v>
      </c>
      <c r="V13" s="1009">
        <v>-90.373375484457654</v>
      </c>
      <c r="W13" s="1009">
        <v>-90.785915338053826</v>
      </c>
      <c r="X13" s="1009">
        <v>-86.412900647980209</v>
      </c>
      <c r="Y13" s="1009">
        <v>-83.416028922894824</v>
      </c>
      <c r="Z13" s="1009">
        <v>-74.681328217783971</v>
      </c>
      <c r="AA13" s="1009">
        <v>-81.374072915680841</v>
      </c>
      <c r="AB13" s="1009">
        <v>-87.760586325109415</v>
      </c>
      <c r="AC13" s="1009">
        <v>-90.415410783138668</v>
      </c>
      <c r="AD13" s="1009">
        <v>-86.850840681916054</v>
      </c>
      <c r="AE13" s="1009">
        <v>-79.421534916478933</v>
      </c>
      <c r="AF13" s="1009">
        <v>-82.51227840365452</v>
      </c>
      <c r="AG13" s="1009">
        <v>-83.536135818450092</v>
      </c>
      <c r="AH13" s="1009">
        <v>-89.59241840940166</v>
      </c>
      <c r="AI13" s="1009">
        <v>-90.317891594480713</v>
      </c>
      <c r="AJ13" s="1009">
        <v>-86.337731036846577</v>
      </c>
      <c r="AK13" s="1009">
        <v>-83.126631421539358</v>
      </c>
      <c r="AL13" s="1009">
        <v>-81.398659716760619</v>
      </c>
      <c r="AM13" s="1009">
        <v>-87.512382598343905</v>
      </c>
      <c r="AN13" s="1009">
        <v>-94.451260412720927</v>
      </c>
      <c r="AO13" s="1009">
        <v>-97.700259542113059</v>
      </c>
      <c r="AP13" s="1009">
        <v>-93.284070943381892</v>
      </c>
      <c r="AQ13" s="1009">
        <v>-84.979916269355243</v>
      </c>
      <c r="AR13" s="1009">
        <v>-84.84298700551328</v>
      </c>
      <c r="AS13" s="1009">
        <v>-86.228725954443377</v>
      </c>
      <c r="AT13" s="1009">
        <v>-92.776228216509608</v>
      </c>
      <c r="AU13" s="1009">
        <v>-94.231037820681195</v>
      </c>
      <c r="AV13" s="1009">
        <v>-88.956961724360283</v>
      </c>
      <c r="AW13" s="1009">
        <v>-85.363023382303496</v>
      </c>
      <c r="AX13" s="1009">
        <v>-87.03474296518435</v>
      </c>
      <c r="AY13" s="1009">
        <v>-93.657980792770317</v>
      </c>
      <c r="AZ13" s="1009">
        <v>-102.24597701610537</v>
      </c>
      <c r="BA13" s="1009">
        <v>-105.7216896465971</v>
      </c>
      <c r="BB13" s="1009">
        <v>-101.20359283584928</v>
      </c>
      <c r="BC13" s="1009">
        <v>-91.35081195927296</v>
      </c>
      <c r="BD13" s="1009">
        <v>-90.084147999312862</v>
      </c>
      <c r="BE13" s="1009">
        <v>-91.598976094695104</v>
      </c>
      <c r="BF13" s="1009">
        <v>-100.94404355788231</v>
      </c>
      <c r="BG13" s="1009">
        <v>-103.0767457123823</v>
      </c>
      <c r="BH13" s="1009">
        <v>-96.950123174559067</v>
      </c>
      <c r="BI13" s="1009">
        <v>-92.247116148606125</v>
      </c>
      <c r="BJ13" s="1009">
        <v>-90.831104519988088</v>
      </c>
      <c r="BK13" s="1009">
        <v>-97.575451627308013</v>
      </c>
      <c r="BL13" s="1009">
        <v>-106.31149444225368</v>
      </c>
      <c r="BM13" s="1009">
        <v>-108.81220661188367</v>
      </c>
      <c r="BN13" s="1009">
        <v>-104.61458836977769</v>
      </c>
      <c r="BO13" s="1009">
        <v>-95.091366159982712</v>
      </c>
      <c r="BP13" s="1009">
        <v>-92.361507545141237</v>
      </c>
      <c r="BQ13" s="1009">
        <v>-93.359037557387879</v>
      </c>
      <c r="BR13" s="1009">
        <v>-101.2050082735376</v>
      </c>
      <c r="BS13" s="1009">
        <v>-103.77335778237568</v>
      </c>
      <c r="BT13" s="1009">
        <v>-99.224994626187396</v>
      </c>
      <c r="BU13" s="1009">
        <v>-94.223785296528177</v>
      </c>
      <c r="BV13" s="1009">
        <v>-93.45137529591824</v>
      </c>
      <c r="BW13" s="1009">
        <v>-99.79359598235385</v>
      </c>
      <c r="BX13" s="1009">
        <v>-108.63813875293872</v>
      </c>
      <c r="BY13" s="1009">
        <v>-110.55980552017519</v>
      </c>
      <c r="BZ13" s="1009">
        <v>-106.99878418722868</v>
      </c>
      <c r="CA13" s="1009">
        <v>-97.530291669510461</v>
      </c>
      <c r="CB13" s="1009">
        <v>-89.272088747281344</v>
      </c>
      <c r="CC13" s="1009">
        <v>-90.633466575671378</v>
      </c>
      <c r="CD13" s="1009">
        <v>-98.668069228239119</v>
      </c>
      <c r="CE13" s="1009">
        <v>-101.67549616151685</v>
      </c>
      <c r="CF13" s="1009">
        <v>-97.336427105481434</v>
      </c>
      <c r="CG13" s="1009">
        <v>-92.248238691046879</v>
      </c>
      <c r="CH13" s="1009">
        <v>-95.24999604784459</v>
      </c>
      <c r="CI13" s="1009">
        <v>-101.40241665296169</v>
      </c>
      <c r="CJ13" s="1009">
        <v>-111.00421330012715</v>
      </c>
      <c r="CK13" s="1009">
        <v>-113.91690308841594</v>
      </c>
      <c r="CL13" s="1009">
        <v>-109.54145631699842</v>
      </c>
      <c r="CM13" s="1009">
        <v>-99.481121305783091</v>
      </c>
      <c r="CN13" s="1009">
        <v>-93.21724670267885</v>
      </c>
      <c r="CO13" s="1009">
        <v>-94.797446582691023</v>
      </c>
      <c r="CP13" s="1009">
        <v>-104.19591248249233</v>
      </c>
      <c r="CQ13" s="1009">
        <v>-107.74049799725967</v>
      </c>
      <c r="CR13" s="1009">
        <v>-102.88197854754601</v>
      </c>
      <c r="CS13" s="1009">
        <v>-97.242084321969912</v>
      </c>
      <c r="CT13" s="1009">
        <v>-95.63320813855529</v>
      </c>
      <c r="CU13" s="1009">
        <v>-101.9294241264206</v>
      </c>
      <c r="CV13" s="1009">
        <v>-110.64341950908229</v>
      </c>
      <c r="CW13" s="1009">
        <v>-113.77322754213525</v>
      </c>
      <c r="CX13" s="1009">
        <v>-109.0091596560471</v>
      </c>
      <c r="CY13" s="1009">
        <v>-98.705725037940695</v>
      </c>
      <c r="CZ13" s="1009">
        <v>-99.490195155270627</v>
      </c>
      <c r="DA13" s="1009">
        <v>-100.23276438659639</v>
      </c>
      <c r="DB13" s="1009">
        <v>-112.62742288954195</v>
      </c>
      <c r="DC13" s="1009">
        <v>-115.48972430086586</v>
      </c>
      <c r="DD13" s="1009">
        <v>-107.8598691339337</v>
      </c>
      <c r="DE13" s="1009">
        <v>-103.30150691510688</v>
      </c>
      <c r="DF13" s="1009">
        <v>-88.938098314144355</v>
      </c>
      <c r="DG13" s="1009">
        <v>-96.680679561466775</v>
      </c>
      <c r="DH13" s="1009">
        <v>-104.75336384964943</v>
      </c>
      <c r="DI13" s="1009">
        <v>-107.79479349110917</v>
      </c>
      <c r="DJ13" s="1009">
        <v>-102.70423865053161</v>
      </c>
      <c r="DK13" s="1009">
        <v>-92.447229045322032</v>
      </c>
      <c r="DL13" s="1009">
        <v>-93.190930489493837</v>
      </c>
      <c r="DM13" s="1009">
        <v>-94.536232887474938</v>
      </c>
      <c r="DN13" s="1009">
        <v>-104.92893471556744</v>
      </c>
      <c r="DO13" s="1009">
        <v>-107.71081087649931</v>
      </c>
      <c r="DP13" s="1009">
        <v>-100.19415675926399</v>
      </c>
      <c r="DQ13" s="1009">
        <v>-95.276828485880316</v>
      </c>
      <c r="DR13" s="1009">
        <v>-85.309849698650083</v>
      </c>
      <c r="DS13" s="1009">
        <v>-90.959112080953048</v>
      </c>
      <c r="DT13" s="1009">
        <v>-96.710600861106457</v>
      </c>
      <c r="DU13" s="1009">
        <v>-99.082882439873401</v>
      </c>
      <c r="DV13" s="1009">
        <v>-95.372528783049077</v>
      </c>
      <c r="DW13" s="1009">
        <v>-87.594325722945854</v>
      </c>
      <c r="DX13" s="1009">
        <v>-88.491551931001396</v>
      </c>
      <c r="DY13" s="1009">
        <v>-89.597526267110354</v>
      </c>
      <c r="DZ13" s="1009">
        <v>-95.684752205389941</v>
      </c>
      <c r="EA13" s="1009">
        <v>-98.557200174192261</v>
      </c>
      <c r="EB13" s="1009">
        <v>-93.727310316033055</v>
      </c>
      <c r="EC13" s="1009">
        <v>-89.545714482993688</v>
      </c>
      <c r="ED13" s="1009">
        <v>-83.218029229397786</v>
      </c>
      <c r="EE13" s="1009">
        <v>-89.111949606447823</v>
      </c>
      <c r="EF13" s="1009">
        <v>-94.714982168648206</v>
      </c>
      <c r="EG13" s="1009">
        <v>-95.713947747348342</v>
      </c>
      <c r="EH13" s="1009">
        <v>-92.067299198155112</v>
      </c>
      <c r="EI13" s="1009">
        <v>-85.042079735296696</v>
      </c>
      <c r="EJ13" s="1009">
        <v>-86.589459915764294</v>
      </c>
      <c r="EK13" s="1009">
        <v>-87.935576752801282</v>
      </c>
      <c r="EL13" s="1009">
        <v>-93.839072998052998</v>
      </c>
      <c r="EM13" s="1009">
        <v>-94.864387890776641</v>
      </c>
      <c r="EN13" s="1009">
        <v>-90.840294198012941</v>
      </c>
      <c r="EO13" s="1009">
        <v>-87.910386602430265</v>
      </c>
    </row>
    <row r="14" spans="1:145" x14ac:dyDescent="0.25">
      <c r="A14" s="1008">
        <v>2010</v>
      </c>
      <c r="B14" s="1009">
        <v>-76.537858407501886</v>
      </c>
      <c r="C14" s="1009">
        <v>-83.525577899789937</v>
      </c>
      <c r="D14" s="1009">
        <v>-86.724938604846926</v>
      </c>
      <c r="E14" s="1009">
        <v>-86.380570221162486</v>
      </c>
      <c r="F14" s="1009">
        <v>-82.299824484439725</v>
      </c>
      <c r="G14" s="1009">
        <v>-77.912208061316207</v>
      </c>
      <c r="H14" s="1009">
        <v>-79.521388369219835</v>
      </c>
      <c r="I14" s="1009">
        <v>-81.262064461276594</v>
      </c>
      <c r="J14" s="1009">
        <v>-86.135950872211623</v>
      </c>
      <c r="K14" s="1009">
        <v>-84.606164061277823</v>
      </c>
      <c r="L14" s="1009">
        <v>-81.674059187345193</v>
      </c>
      <c r="M14" s="1009">
        <v>-80.09414376251658</v>
      </c>
      <c r="N14" s="1009">
        <v>-71.968755894101349</v>
      </c>
      <c r="O14" s="1009">
        <v>-76.023189891213406</v>
      </c>
      <c r="P14" s="1009">
        <v>-78.902917248453917</v>
      </c>
      <c r="Q14" s="1009">
        <v>-78.348955092298979</v>
      </c>
      <c r="R14" s="1009">
        <v>-75.407841184297936</v>
      </c>
      <c r="S14" s="1009">
        <v>-72.551205705972706</v>
      </c>
      <c r="T14" s="1009">
        <v>-70.749885716149066</v>
      </c>
      <c r="U14" s="1009">
        <v>-71.967867253135324</v>
      </c>
      <c r="V14" s="1009">
        <v>-74.888874860142764</v>
      </c>
      <c r="W14" s="1009">
        <v>-74.416328838536387</v>
      </c>
      <c r="X14" s="1009">
        <v>-72.845671913849174</v>
      </c>
      <c r="Y14" s="1009">
        <v>-71.345211232376982</v>
      </c>
      <c r="Z14" s="1009">
        <v>-68.618679169987729</v>
      </c>
      <c r="AA14" s="1009">
        <v>-71.181194311841622</v>
      </c>
      <c r="AB14" s="1009">
        <v>-75.037412718069604</v>
      </c>
      <c r="AC14" s="1009">
        <v>-76.036111095970412</v>
      </c>
      <c r="AD14" s="1009">
        <v>-73.49524307035945</v>
      </c>
      <c r="AE14" s="1009">
        <v>-70.947539702100201</v>
      </c>
      <c r="AF14" s="1009">
        <v>-70.460856103821115</v>
      </c>
      <c r="AG14" s="1009">
        <v>-71.36076154601281</v>
      </c>
      <c r="AH14" s="1009">
        <v>-74.004803671104781</v>
      </c>
      <c r="AI14" s="1009">
        <v>-73.940549981898627</v>
      </c>
      <c r="AJ14" s="1009">
        <v>-72.450147426966026</v>
      </c>
      <c r="AK14" s="1009">
        <v>-70.749623810047311</v>
      </c>
      <c r="AL14" s="1009">
        <v>-76.18777527469139</v>
      </c>
      <c r="AM14" s="1009">
        <v>-79.32307345825852</v>
      </c>
      <c r="AN14" s="1009">
        <v>-83.49972761330649</v>
      </c>
      <c r="AO14" s="1009">
        <v>-84.565585455349165</v>
      </c>
      <c r="AP14" s="1009">
        <v>-81.509769810355749</v>
      </c>
      <c r="AQ14" s="1009">
        <v>-77.811140384743695</v>
      </c>
      <c r="AR14" s="1009">
        <v>-74.334446284832765</v>
      </c>
      <c r="AS14" s="1009">
        <v>-75.461975746875183</v>
      </c>
      <c r="AT14" s="1009">
        <v>-78.461249575261476</v>
      </c>
      <c r="AU14" s="1009">
        <v>-78.532860189334215</v>
      </c>
      <c r="AV14" s="1009">
        <v>-77.01376553966719</v>
      </c>
      <c r="AW14" s="1009">
        <v>-74.730703007096736</v>
      </c>
      <c r="AX14" s="1009">
        <v>-82.41288408229255</v>
      </c>
      <c r="AY14" s="1009">
        <v>-86.250295649306196</v>
      </c>
      <c r="AZ14" s="1009">
        <v>-91.571116992077506</v>
      </c>
      <c r="BA14" s="1009">
        <v>-92.749097807518865</v>
      </c>
      <c r="BB14" s="1009">
        <v>-89.3433262683523</v>
      </c>
      <c r="BC14" s="1009">
        <v>-84.617482285251242</v>
      </c>
      <c r="BD14" s="1009">
        <v>-82.979017882562317</v>
      </c>
      <c r="BE14" s="1009">
        <v>-84.315609566697532</v>
      </c>
      <c r="BF14" s="1009">
        <v>-89.276116968917052</v>
      </c>
      <c r="BG14" s="1009">
        <v>-89.818834503515291</v>
      </c>
      <c r="BH14" s="1009">
        <v>-87.505608149400942</v>
      </c>
      <c r="BI14" s="1009">
        <v>-84.712514085990932</v>
      </c>
      <c r="BJ14" s="1009">
        <v>-86.63016015777761</v>
      </c>
      <c r="BK14" s="1009">
        <v>-92.275288707417872</v>
      </c>
      <c r="BL14" s="1009">
        <v>-98.547577014705851</v>
      </c>
      <c r="BM14" s="1009">
        <v>-99.14689912977461</v>
      </c>
      <c r="BN14" s="1009">
        <v>-95.234933275246433</v>
      </c>
      <c r="BO14" s="1009">
        <v>-89.124430796594737</v>
      </c>
      <c r="BP14" s="1009">
        <v>-87.566407811015054</v>
      </c>
      <c r="BQ14" s="1009">
        <v>-88.32558944939926</v>
      </c>
      <c r="BR14" s="1009">
        <v>-93.475766202626403</v>
      </c>
      <c r="BS14" s="1009">
        <v>-93.841994953380876</v>
      </c>
      <c r="BT14" s="1009">
        <v>-91.287203493223743</v>
      </c>
      <c r="BU14" s="1009">
        <v>-88.661573420245361</v>
      </c>
      <c r="BV14" s="1009">
        <v>-88.5700899958035</v>
      </c>
      <c r="BW14" s="1009">
        <v>-93.968170833606123</v>
      </c>
      <c r="BX14" s="1009">
        <v>-100.61562097989446</v>
      </c>
      <c r="BY14" s="1009">
        <v>-100.90012460787401</v>
      </c>
      <c r="BZ14" s="1009">
        <v>-97.38274161150818</v>
      </c>
      <c r="CA14" s="1009">
        <v>-90.796024739081844</v>
      </c>
      <c r="CB14" s="1009">
        <v>-85.034944588141826</v>
      </c>
      <c r="CC14" s="1009">
        <v>-86.063396299120427</v>
      </c>
      <c r="CD14" s="1009">
        <v>-92.16771359776294</v>
      </c>
      <c r="CE14" s="1009">
        <v>-92.909655336095824</v>
      </c>
      <c r="CF14" s="1009">
        <v>-90.247543835834762</v>
      </c>
      <c r="CG14" s="1009">
        <v>-87.621133219382955</v>
      </c>
      <c r="CH14" s="1009">
        <v>-90.652919465338655</v>
      </c>
      <c r="CI14" s="1009">
        <v>-95.778538593721493</v>
      </c>
      <c r="CJ14" s="1009">
        <v>-102.88263586656653</v>
      </c>
      <c r="CK14" s="1009">
        <v>-104.00284832074061</v>
      </c>
      <c r="CL14" s="1009">
        <v>-99.851614245758938</v>
      </c>
      <c r="CM14" s="1009">
        <v>-92.923944617023935</v>
      </c>
      <c r="CN14" s="1009">
        <v>-89.045783083920639</v>
      </c>
      <c r="CO14" s="1009">
        <v>-90.411350759482829</v>
      </c>
      <c r="CP14" s="1009">
        <v>-97.924728631346369</v>
      </c>
      <c r="CQ14" s="1009">
        <v>-99.050952086827408</v>
      </c>
      <c r="CR14" s="1009">
        <v>-95.934931129731609</v>
      </c>
      <c r="CS14" s="1009">
        <v>-92.497249931536075</v>
      </c>
      <c r="CT14" s="1009">
        <v>-90.310235946163985</v>
      </c>
      <c r="CU14" s="1009">
        <v>-93.46521758290622</v>
      </c>
      <c r="CV14" s="1009">
        <v>-98.923560592156633</v>
      </c>
      <c r="CW14" s="1009">
        <v>-99.588840281583799</v>
      </c>
      <c r="CX14" s="1009">
        <v>-96.012549784366158</v>
      </c>
      <c r="CY14" s="1009">
        <v>-91.247002353717832</v>
      </c>
      <c r="CZ14" s="1009">
        <v>-90.352208636496655</v>
      </c>
      <c r="DA14" s="1009">
        <v>-91.019143345349178</v>
      </c>
      <c r="DB14" s="1009">
        <v>-97.384230519185081</v>
      </c>
      <c r="DC14" s="1009">
        <v>-99.335744080011807</v>
      </c>
      <c r="DD14" s="1009">
        <v>-96.914450661139711</v>
      </c>
      <c r="DE14" s="1009">
        <v>-93.965911255484258</v>
      </c>
      <c r="DF14" s="1009">
        <v>0</v>
      </c>
      <c r="DG14" s="1009">
        <v>0</v>
      </c>
      <c r="DH14" s="1009">
        <v>0</v>
      </c>
      <c r="DI14" s="1009">
        <v>0</v>
      </c>
      <c r="DJ14" s="1009">
        <v>0</v>
      </c>
      <c r="DK14" s="1009">
        <v>0</v>
      </c>
      <c r="DL14" s="1009">
        <v>0</v>
      </c>
      <c r="DM14" s="1009">
        <v>0</v>
      </c>
      <c r="DN14" s="1009">
        <v>0</v>
      </c>
      <c r="DO14" s="1009">
        <v>0</v>
      </c>
      <c r="DP14" s="1009">
        <v>0</v>
      </c>
      <c r="DQ14" s="1009">
        <v>0</v>
      </c>
      <c r="DR14" s="1009">
        <v>0</v>
      </c>
      <c r="DS14" s="1009">
        <v>0</v>
      </c>
      <c r="DT14" s="1009">
        <v>0</v>
      </c>
      <c r="DU14" s="1009">
        <v>0</v>
      </c>
      <c r="DV14" s="1009">
        <v>0</v>
      </c>
      <c r="DW14" s="1009">
        <v>0</v>
      </c>
      <c r="DX14" s="1009">
        <v>0</v>
      </c>
      <c r="DY14" s="1009">
        <v>0</v>
      </c>
      <c r="DZ14" s="1009">
        <v>0</v>
      </c>
      <c r="EA14" s="1009">
        <v>0</v>
      </c>
      <c r="EB14" s="1009">
        <v>0</v>
      </c>
      <c r="EC14" s="1009">
        <v>0</v>
      </c>
      <c r="ED14" s="1009">
        <v>0</v>
      </c>
      <c r="EE14" s="1009">
        <v>0</v>
      </c>
      <c r="EF14" s="1009">
        <v>0</v>
      </c>
      <c r="EG14" s="1009">
        <v>0</v>
      </c>
      <c r="EH14" s="1009">
        <v>0</v>
      </c>
      <c r="EI14" s="1009">
        <v>0</v>
      </c>
      <c r="EJ14" s="1009">
        <v>0</v>
      </c>
      <c r="EK14" s="1009">
        <v>0</v>
      </c>
      <c r="EL14" s="1009">
        <v>0</v>
      </c>
      <c r="EM14" s="1009">
        <v>0</v>
      </c>
      <c r="EN14" s="1009">
        <v>0</v>
      </c>
      <c r="EO14" s="1009">
        <v>0</v>
      </c>
    </row>
    <row r="15" spans="1:145" x14ac:dyDescent="0.25">
      <c r="A15" s="1008"/>
      <c r="B15" s="1009"/>
      <c r="C15" s="1009"/>
      <c r="D15" s="1009"/>
      <c r="E15" s="1009"/>
      <c r="F15" s="1009"/>
      <c r="G15" s="1009"/>
      <c r="H15" s="1009"/>
      <c r="I15" s="1009"/>
      <c r="J15" s="1009"/>
      <c r="K15" s="1009"/>
      <c r="L15" s="1009"/>
      <c r="M15" s="1009"/>
      <c r="N15" s="1009"/>
      <c r="O15" s="1009"/>
      <c r="P15" s="1009"/>
      <c r="Q15" s="1009"/>
      <c r="R15" s="1009"/>
      <c r="S15" s="1009"/>
      <c r="T15" s="1009"/>
      <c r="U15" s="1009"/>
      <c r="V15" s="1009"/>
      <c r="W15" s="1009"/>
      <c r="X15" s="1009"/>
      <c r="Y15" s="1009"/>
      <c r="Z15" s="1009"/>
      <c r="AA15" s="1009"/>
      <c r="AB15" s="1009"/>
      <c r="AC15" s="1009"/>
      <c r="AD15" s="1009"/>
      <c r="AE15" s="1009"/>
      <c r="AF15" s="1009"/>
      <c r="AG15" s="1009"/>
      <c r="AH15" s="1009"/>
      <c r="AI15" s="1009"/>
      <c r="AJ15" s="1009"/>
      <c r="AK15" s="1009"/>
      <c r="AL15" s="1009"/>
      <c r="AM15" s="1009"/>
      <c r="AN15" s="1009"/>
      <c r="AO15" s="1009"/>
      <c r="AP15" s="1009"/>
      <c r="AQ15" s="1009"/>
      <c r="AR15" s="1009"/>
      <c r="AS15" s="1009"/>
      <c r="AT15" s="1009"/>
      <c r="AU15" s="1009"/>
      <c r="AV15" s="1009"/>
      <c r="AW15" s="1009"/>
      <c r="AX15" s="1009"/>
      <c r="AY15" s="1009"/>
      <c r="AZ15" s="1009"/>
      <c r="BA15" s="1009"/>
      <c r="BB15" s="1009"/>
      <c r="BC15" s="1009"/>
      <c r="BD15" s="1009"/>
      <c r="BE15" s="1009"/>
      <c r="BF15" s="1009"/>
      <c r="BG15" s="1009"/>
      <c r="BH15" s="1009"/>
      <c r="BI15" s="1009"/>
      <c r="BJ15" s="1009"/>
      <c r="BK15" s="1009"/>
      <c r="BL15" s="1009"/>
      <c r="BM15" s="1009"/>
      <c r="BN15" s="1009"/>
      <c r="BO15" s="1009"/>
      <c r="BP15" s="1009"/>
      <c r="BQ15" s="1009"/>
      <c r="BR15" s="1009"/>
      <c r="BS15" s="1009"/>
      <c r="BT15" s="1009"/>
      <c r="BU15" s="1009"/>
      <c r="BV15" s="1009"/>
      <c r="BW15" s="1009"/>
      <c r="BX15" s="1009"/>
      <c r="BY15" s="1009"/>
      <c r="BZ15" s="1009"/>
      <c r="CA15" s="1009"/>
      <c r="CB15" s="1009"/>
      <c r="CC15" s="1009"/>
      <c r="CD15" s="1009"/>
      <c r="CE15" s="1009"/>
      <c r="CF15" s="1009"/>
      <c r="CG15" s="1009"/>
      <c r="CH15" s="1009"/>
      <c r="CI15" s="1009"/>
      <c r="CJ15" s="1009"/>
      <c r="CK15" s="1009"/>
      <c r="CL15" s="1009"/>
      <c r="CM15" s="1009"/>
      <c r="CN15" s="1009"/>
      <c r="CO15" s="1009"/>
      <c r="CP15" s="1009"/>
      <c r="CQ15" s="1009"/>
      <c r="CR15" s="1009"/>
      <c r="CS15" s="1009"/>
      <c r="CT15" s="1009"/>
      <c r="CU15" s="1009"/>
      <c r="CV15" s="1009"/>
      <c r="CW15" s="1009"/>
      <c r="CX15" s="1009"/>
      <c r="CY15" s="1009"/>
      <c r="CZ15" s="1009"/>
      <c r="DA15" s="1009"/>
      <c r="DB15" s="1009"/>
      <c r="DC15" s="1009"/>
      <c r="DD15" s="1009"/>
      <c r="DE15" s="1009"/>
      <c r="DF15" s="1009"/>
      <c r="DG15" s="1009"/>
      <c r="DH15" s="1009"/>
      <c r="DI15" s="1009"/>
      <c r="DJ15" s="1009"/>
      <c r="DK15" s="1009"/>
      <c r="DL15" s="1009"/>
      <c r="DM15" s="1009"/>
      <c r="DN15" s="1009"/>
      <c r="DO15" s="1009"/>
      <c r="DP15" s="1009"/>
      <c r="DQ15" s="1009"/>
      <c r="DR15" s="1009"/>
      <c r="DS15" s="1009"/>
      <c r="DT15" s="1009"/>
      <c r="DU15" s="1009"/>
      <c r="DV15" s="1009"/>
      <c r="DW15" s="1009"/>
      <c r="DX15" s="1009"/>
      <c r="DY15" s="1009"/>
      <c r="DZ15" s="1009"/>
      <c r="EA15" s="1009"/>
      <c r="EB15" s="1009"/>
      <c r="EC15" s="1009"/>
      <c r="ED15" s="1009"/>
      <c r="EE15" s="1009"/>
      <c r="EF15" s="1009"/>
      <c r="EG15" s="1009"/>
      <c r="EH15" s="1009"/>
      <c r="EI15" s="1009"/>
      <c r="EJ15" s="1009"/>
      <c r="EK15" s="1009"/>
      <c r="EL15" s="1009"/>
      <c r="EM15" s="1009"/>
      <c r="EN15" s="1009"/>
      <c r="EO15" s="1009"/>
    </row>
    <row r="16" spans="1:145" x14ac:dyDescent="0.25">
      <c r="A16" s="1008"/>
      <c r="B16" t="s">
        <v>546</v>
      </c>
      <c r="N16" t="s">
        <v>547</v>
      </c>
      <c r="Z16" t="s">
        <v>548</v>
      </c>
      <c r="AL16" t="s">
        <v>549</v>
      </c>
      <c r="AX16" t="s">
        <v>533</v>
      </c>
      <c r="BJ16" t="s">
        <v>550</v>
      </c>
      <c r="BV16" t="s">
        <v>551</v>
      </c>
      <c r="CH16" t="s">
        <v>552</v>
      </c>
      <c r="CT16" t="s">
        <v>553</v>
      </c>
      <c r="DF16" t="s">
        <v>554</v>
      </c>
      <c r="DR16" t="s">
        <v>555</v>
      </c>
      <c r="ED16" t="s">
        <v>556</v>
      </c>
    </row>
    <row r="17" spans="1:145" x14ac:dyDescent="0.25">
      <c r="A17" s="1006" t="s">
        <v>557</v>
      </c>
      <c r="B17" s="1007" t="s">
        <v>558</v>
      </c>
      <c r="C17" s="1007" t="s">
        <v>559</v>
      </c>
      <c r="D17" s="1007" t="s">
        <v>560</v>
      </c>
      <c r="E17" s="1007" t="s">
        <v>561</v>
      </c>
      <c r="F17" s="1007" t="s">
        <v>562</v>
      </c>
      <c r="G17" s="1007" t="s">
        <v>563</v>
      </c>
      <c r="H17" s="1007" t="s">
        <v>564</v>
      </c>
      <c r="I17" s="1007" t="s">
        <v>565</v>
      </c>
      <c r="J17" s="1007" t="s">
        <v>566</v>
      </c>
      <c r="K17" s="1007" t="s">
        <v>567</v>
      </c>
      <c r="L17" s="1007" t="s">
        <v>568</v>
      </c>
      <c r="M17" s="1007" t="s">
        <v>569</v>
      </c>
      <c r="N17" s="1007" t="s">
        <v>558</v>
      </c>
      <c r="O17" s="1007" t="s">
        <v>559</v>
      </c>
      <c r="P17" s="1007" t="s">
        <v>560</v>
      </c>
      <c r="Q17" s="1007" t="s">
        <v>561</v>
      </c>
      <c r="R17" s="1007" t="s">
        <v>562</v>
      </c>
      <c r="S17" s="1007" t="s">
        <v>563</v>
      </c>
      <c r="T17" s="1007" t="s">
        <v>564</v>
      </c>
      <c r="U17" s="1007" t="s">
        <v>565</v>
      </c>
      <c r="V17" s="1007" t="s">
        <v>566</v>
      </c>
      <c r="W17" s="1007" t="s">
        <v>567</v>
      </c>
      <c r="X17" s="1007" t="s">
        <v>568</v>
      </c>
      <c r="Y17" s="1007" t="s">
        <v>569</v>
      </c>
      <c r="Z17" s="1007" t="s">
        <v>558</v>
      </c>
      <c r="AA17" s="1007" t="s">
        <v>559</v>
      </c>
      <c r="AB17" s="1007" t="s">
        <v>560</v>
      </c>
      <c r="AC17" s="1007" t="s">
        <v>561</v>
      </c>
      <c r="AD17" s="1007" t="s">
        <v>562</v>
      </c>
      <c r="AE17" s="1007" t="s">
        <v>563</v>
      </c>
      <c r="AF17" s="1007" t="s">
        <v>564</v>
      </c>
      <c r="AG17" s="1007" t="s">
        <v>565</v>
      </c>
      <c r="AH17" s="1007" t="s">
        <v>566</v>
      </c>
      <c r="AI17" s="1007" t="s">
        <v>567</v>
      </c>
      <c r="AJ17" s="1007" t="s">
        <v>568</v>
      </c>
      <c r="AK17" s="1007" t="s">
        <v>569</v>
      </c>
      <c r="AL17" s="1007" t="s">
        <v>558</v>
      </c>
      <c r="AM17" s="1007" t="s">
        <v>559</v>
      </c>
      <c r="AN17" s="1007" t="s">
        <v>560</v>
      </c>
      <c r="AO17" s="1007" t="s">
        <v>561</v>
      </c>
      <c r="AP17" s="1007" t="s">
        <v>562</v>
      </c>
      <c r="AQ17" s="1007" t="s">
        <v>563</v>
      </c>
      <c r="AR17" s="1007" t="s">
        <v>564</v>
      </c>
      <c r="AS17" s="1007" t="s">
        <v>565</v>
      </c>
      <c r="AT17" s="1007" t="s">
        <v>566</v>
      </c>
      <c r="AU17" s="1007" t="s">
        <v>567</v>
      </c>
      <c r="AV17" s="1007" t="s">
        <v>568</v>
      </c>
      <c r="AW17" s="1007" t="s">
        <v>569</v>
      </c>
      <c r="AX17" s="1007" t="s">
        <v>558</v>
      </c>
      <c r="AY17" s="1007" t="s">
        <v>559</v>
      </c>
      <c r="AZ17" s="1007" t="s">
        <v>560</v>
      </c>
      <c r="BA17" s="1007" t="s">
        <v>561</v>
      </c>
      <c r="BB17" s="1007" t="s">
        <v>562</v>
      </c>
      <c r="BC17" s="1007" t="s">
        <v>563</v>
      </c>
      <c r="BD17" s="1007" t="s">
        <v>564</v>
      </c>
      <c r="BE17" s="1007" t="s">
        <v>565</v>
      </c>
      <c r="BF17" s="1007" t="s">
        <v>566</v>
      </c>
      <c r="BG17" s="1007" t="s">
        <v>567</v>
      </c>
      <c r="BH17" s="1007" t="s">
        <v>568</v>
      </c>
      <c r="BI17" s="1007" t="s">
        <v>569</v>
      </c>
      <c r="BJ17" s="1007" t="s">
        <v>558</v>
      </c>
      <c r="BK17" s="1007" t="s">
        <v>559</v>
      </c>
      <c r="BL17" s="1007" t="s">
        <v>560</v>
      </c>
      <c r="BM17" s="1007" t="s">
        <v>561</v>
      </c>
      <c r="BN17" s="1007" t="s">
        <v>562</v>
      </c>
      <c r="BO17" s="1007" t="s">
        <v>563</v>
      </c>
      <c r="BP17" s="1007" t="s">
        <v>564</v>
      </c>
      <c r="BQ17" s="1007" t="s">
        <v>565</v>
      </c>
      <c r="BR17" s="1007" t="s">
        <v>566</v>
      </c>
      <c r="BS17" s="1007" t="s">
        <v>567</v>
      </c>
      <c r="BT17" s="1007" t="s">
        <v>568</v>
      </c>
      <c r="BU17" s="1007" t="s">
        <v>569</v>
      </c>
      <c r="BV17" s="1007" t="s">
        <v>558</v>
      </c>
      <c r="BW17" s="1007" t="s">
        <v>559</v>
      </c>
      <c r="BX17" s="1007" t="s">
        <v>560</v>
      </c>
      <c r="BY17" s="1007" t="s">
        <v>561</v>
      </c>
      <c r="BZ17" s="1007" t="s">
        <v>562</v>
      </c>
      <c r="CA17" s="1007" t="s">
        <v>563</v>
      </c>
      <c r="CB17" s="1007" t="s">
        <v>564</v>
      </c>
      <c r="CC17" s="1007" t="s">
        <v>565</v>
      </c>
      <c r="CD17" s="1007" t="s">
        <v>566</v>
      </c>
      <c r="CE17" s="1007" t="s">
        <v>567</v>
      </c>
      <c r="CF17" s="1007" t="s">
        <v>568</v>
      </c>
      <c r="CG17" s="1007" t="s">
        <v>569</v>
      </c>
      <c r="CH17" s="1007" t="s">
        <v>558</v>
      </c>
      <c r="CI17" s="1007" t="s">
        <v>559</v>
      </c>
      <c r="CJ17" s="1007" t="s">
        <v>560</v>
      </c>
      <c r="CK17" s="1007" t="s">
        <v>561</v>
      </c>
      <c r="CL17" s="1007" t="s">
        <v>562</v>
      </c>
      <c r="CM17" s="1007" t="s">
        <v>563</v>
      </c>
      <c r="CN17" s="1007" t="s">
        <v>564</v>
      </c>
      <c r="CO17" s="1007" t="s">
        <v>565</v>
      </c>
      <c r="CP17" s="1007" t="s">
        <v>566</v>
      </c>
      <c r="CQ17" s="1007" t="s">
        <v>567</v>
      </c>
      <c r="CR17" s="1007" t="s">
        <v>568</v>
      </c>
      <c r="CS17" s="1007" t="s">
        <v>569</v>
      </c>
      <c r="CT17" s="1007" t="s">
        <v>558</v>
      </c>
      <c r="CU17" s="1007" t="s">
        <v>559</v>
      </c>
      <c r="CV17" s="1007" t="s">
        <v>560</v>
      </c>
      <c r="CW17" s="1007" t="s">
        <v>561</v>
      </c>
      <c r="CX17" s="1007" t="s">
        <v>562</v>
      </c>
      <c r="CY17" s="1007" t="s">
        <v>563</v>
      </c>
      <c r="CZ17" s="1007" t="s">
        <v>564</v>
      </c>
      <c r="DA17" s="1007" t="s">
        <v>565</v>
      </c>
      <c r="DB17" s="1007" t="s">
        <v>566</v>
      </c>
      <c r="DC17" s="1007" t="s">
        <v>567</v>
      </c>
      <c r="DD17" s="1007" t="s">
        <v>568</v>
      </c>
      <c r="DE17" s="1007" t="s">
        <v>569</v>
      </c>
      <c r="DF17" s="1007" t="s">
        <v>558</v>
      </c>
      <c r="DG17" s="1007" t="s">
        <v>559</v>
      </c>
      <c r="DH17" s="1007" t="s">
        <v>560</v>
      </c>
      <c r="DI17" s="1007" t="s">
        <v>561</v>
      </c>
      <c r="DJ17" s="1007" t="s">
        <v>562</v>
      </c>
      <c r="DK17" s="1007" t="s">
        <v>563</v>
      </c>
      <c r="DL17" s="1007" t="s">
        <v>564</v>
      </c>
      <c r="DM17" s="1007" t="s">
        <v>565</v>
      </c>
      <c r="DN17" s="1007" t="s">
        <v>566</v>
      </c>
      <c r="DO17" s="1007" t="s">
        <v>567</v>
      </c>
      <c r="DP17" s="1007" t="s">
        <v>568</v>
      </c>
      <c r="DQ17" s="1007" t="s">
        <v>569</v>
      </c>
      <c r="DR17" s="1007" t="s">
        <v>558</v>
      </c>
      <c r="DS17" s="1007" t="s">
        <v>559</v>
      </c>
      <c r="DT17" s="1007" t="s">
        <v>560</v>
      </c>
      <c r="DU17" s="1007" t="s">
        <v>561</v>
      </c>
      <c r="DV17" s="1007" t="s">
        <v>562</v>
      </c>
      <c r="DW17" s="1007" t="s">
        <v>563</v>
      </c>
      <c r="DX17" s="1007" t="s">
        <v>564</v>
      </c>
      <c r="DY17" s="1007" t="s">
        <v>565</v>
      </c>
      <c r="DZ17" s="1007" t="s">
        <v>566</v>
      </c>
      <c r="EA17" s="1007" t="s">
        <v>567</v>
      </c>
      <c r="EB17" s="1007" t="s">
        <v>568</v>
      </c>
      <c r="EC17" s="1007" t="s">
        <v>569</v>
      </c>
      <c r="ED17" s="1007" t="s">
        <v>558</v>
      </c>
      <c r="EE17" s="1007" t="s">
        <v>559</v>
      </c>
      <c r="EF17" s="1007" t="s">
        <v>560</v>
      </c>
      <c r="EG17" s="1007" t="s">
        <v>561</v>
      </c>
      <c r="EH17" s="1007" t="s">
        <v>562</v>
      </c>
      <c r="EI17" s="1007" t="s">
        <v>563</v>
      </c>
      <c r="EJ17" s="1007" t="s">
        <v>564</v>
      </c>
      <c r="EK17" s="1007" t="s">
        <v>565</v>
      </c>
      <c r="EL17" s="1007" t="s">
        <v>566</v>
      </c>
      <c r="EM17" s="1007" t="s">
        <v>567</v>
      </c>
      <c r="EN17" s="1007" t="s">
        <v>568</v>
      </c>
      <c r="EO17" s="1007" t="s">
        <v>569</v>
      </c>
    </row>
    <row r="18" spans="1:145" x14ac:dyDescent="0.25">
      <c r="A18" s="1008">
        <v>2000</v>
      </c>
      <c r="B18" s="95">
        <f t="shared" ref="B18:AG18" si="0">B4*-1</f>
        <v>0</v>
      </c>
      <c r="C18" s="95">
        <f t="shared" si="0"/>
        <v>0</v>
      </c>
      <c r="D18" s="95">
        <f t="shared" si="0"/>
        <v>0</v>
      </c>
      <c r="E18" s="95">
        <f t="shared" si="0"/>
        <v>0</v>
      </c>
      <c r="F18" s="95">
        <f t="shared" si="0"/>
        <v>0</v>
      </c>
      <c r="G18" s="95">
        <f t="shared" si="0"/>
        <v>0</v>
      </c>
      <c r="H18" s="95">
        <f t="shared" si="0"/>
        <v>0</v>
      </c>
      <c r="I18" s="95">
        <f t="shared" si="0"/>
        <v>0</v>
      </c>
      <c r="J18" s="95">
        <f t="shared" si="0"/>
        <v>0</v>
      </c>
      <c r="K18" s="95">
        <f t="shared" si="0"/>
        <v>0</v>
      </c>
      <c r="L18" s="95">
        <f t="shared" si="0"/>
        <v>0</v>
      </c>
      <c r="M18" s="95">
        <f t="shared" si="0"/>
        <v>0</v>
      </c>
      <c r="N18" s="95">
        <f t="shared" si="0"/>
        <v>0</v>
      </c>
      <c r="O18" s="95">
        <f t="shared" si="0"/>
        <v>0</v>
      </c>
      <c r="P18" s="95">
        <f t="shared" si="0"/>
        <v>0</v>
      </c>
      <c r="Q18" s="95">
        <f t="shared" si="0"/>
        <v>0</v>
      </c>
      <c r="R18" s="95">
        <f t="shared" si="0"/>
        <v>0</v>
      </c>
      <c r="S18" s="95">
        <f t="shared" si="0"/>
        <v>0</v>
      </c>
      <c r="T18" s="95">
        <f t="shared" si="0"/>
        <v>0</v>
      </c>
      <c r="U18" s="95">
        <f t="shared" si="0"/>
        <v>0</v>
      </c>
      <c r="V18" s="95">
        <f t="shared" si="0"/>
        <v>0</v>
      </c>
      <c r="W18" s="95">
        <f t="shared" si="0"/>
        <v>0</v>
      </c>
      <c r="X18" s="95">
        <f t="shared" si="0"/>
        <v>0</v>
      </c>
      <c r="Y18" s="95">
        <f t="shared" si="0"/>
        <v>0</v>
      </c>
      <c r="Z18" s="95">
        <f t="shared" si="0"/>
        <v>5.6837184239409728</v>
      </c>
      <c r="AA18" s="95">
        <f t="shared" si="0"/>
        <v>11.569054320609197</v>
      </c>
      <c r="AB18" s="95">
        <f t="shared" si="0"/>
        <v>11.892481160836867</v>
      </c>
      <c r="AC18" s="95">
        <f t="shared" si="0"/>
        <v>11.701224190750128</v>
      </c>
      <c r="AD18" s="95">
        <f t="shared" si="0"/>
        <v>9.4517091641553606</v>
      </c>
      <c r="AE18" s="95">
        <f t="shared" si="0"/>
        <v>6.4163112477082977</v>
      </c>
      <c r="AF18" s="95">
        <f t="shared" si="0"/>
        <v>21.865920815096956</v>
      </c>
      <c r="AG18" s="95">
        <f t="shared" si="0"/>
        <v>21.327865209749199</v>
      </c>
      <c r="AH18" s="95">
        <f t="shared" ref="AH18:BM18" si="1">AH4*-1</f>
        <v>25.652883515687897</v>
      </c>
      <c r="AI18" s="95">
        <f t="shared" si="1"/>
        <v>21.733839788082804</v>
      </c>
      <c r="AJ18" s="95">
        <f t="shared" si="1"/>
        <v>20.429749529932174</v>
      </c>
      <c r="AK18" s="95">
        <f t="shared" si="1"/>
        <v>21.888992659058641</v>
      </c>
      <c r="AL18" s="95">
        <f t="shared" si="1"/>
        <v>0.36214257591913668</v>
      </c>
      <c r="AM18" s="95">
        <f t="shared" si="1"/>
        <v>0.66297536976073657</v>
      </c>
      <c r="AN18" s="95">
        <f t="shared" si="1"/>
        <v>0.8720166540336427</v>
      </c>
      <c r="AO18" s="95">
        <f t="shared" si="1"/>
        <v>0.9446673823763323</v>
      </c>
      <c r="AP18" s="95">
        <f t="shared" si="1"/>
        <v>0.76328254954863606</v>
      </c>
      <c r="AQ18" s="95">
        <f t="shared" si="1"/>
        <v>0.41973404071102333</v>
      </c>
      <c r="AR18" s="95">
        <f t="shared" si="1"/>
        <v>0.86560208499753788</v>
      </c>
      <c r="AS18" s="95">
        <f t="shared" si="1"/>
        <v>0.86304799469408278</v>
      </c>
      <c r="AT18" s="95">
        <f t="shared" si="1"/>
        <v>1.1840168454546807</v>
      </c>
      <c r="AU18" s="95">
        <f t="shared" si="1"/>
        <v>1.1296453899010077</v>
      </c>
      <c r="AV18" s="95">
        <f t="shared" si="1"/>
        <v>0.81742817467790929</v>
      </c>
      <c r="AW18" s="95">
        <f t="shared" si="1"/>
        <v>0.86305790517679815</v>
      </c>
      <c r="AX18" s="95">
        <f t="shared" si="1"/>
        <v>0.7351933920488064</v>
      </c>
      <c r="AY18" s="95">
        <f t="shared" si="1"/>
        <v>1.8707015287122359</v>
      </c>
      <c r="AZ18" s="95">
        <f t="shared" si="1"/>
        <v>2.4606031417656928</v>
      </c>
      <c r="BA18" s="95">
        <f t="shared" si="1"/>
        <v>2.5648230869844082</v>
      </c>
      <c r="BB18" s="95">
        <f t="shared" si="1"/>
        <v>2.0770436784757855</v>
      </c>
      <c r="BC18" s="95">
        <f t="shared" si="1"/>
        <v>0.92198271113885322</v>
      </c>
      <c r="BD18" s="95">
        <f t="shared" si="1"/>
        <v>2.8969100295905807</v>
      </c>
      <c r="BE18" s="95">
        <f t="shared" si="1"/>
        <v>2.850706171284676</v>
      </c>
      <c r="BF18" s="95">
        <f t="shared" si="1"/>
        <v>4.9538864252793813</v>
      </c>
      <c r="BG18" s="95">
        <f t="shared" si="1"/>
        <v>4.0648949041419398</v>
      </c>
      <c r="BH18" s="95">
        <f t="shared" si="1"/>
        <v>2.503295164415968</v>
      </c>
      <c r="BI18" s="95">
        <f t="shared" si="1"/>
        <v>2.8917485496129505</v>
      </c>
      <c r="BJ18" s="95">
        <f t="shared" si="1"/>
        <v>0.17374803714290671</v>
      </c>
      <c r="BK18" s="95">
        <f t="shared" si="1"/>
        <v>0.29883428792262512</v>
      </c>
      <c r="BL18" s="95">
        <f t="shared" si="1"/>
        <v>0.48039755603339063</v>
      </c>
      <c r="BM18" s="95">
        <f t="shared" si="1"/>
        <v>0.53996408770675874</v>
      </c>
      <c r="BN18" s="95">
        <f t="shared" ref="BN18:CS18" si="2">BN4*-1</f>
        <v>0.47988635742934582</v>
      </c>
      <c r="BO18" s="95">
        <f t="shared" si="2"/>
        <v>0.22086411044326104</v>
      </c>
      <c r="BP18" s="95">
        <f t="shared" si="2"/>
        <v>0.41313764310521489</v>
      </c>
      <c r="BQ18" s="95">
        <f t="shared" si="2"/>
        <v>0.41141479328286878</v>
      </c>
      <c r="BR18" s="95">
        <f t="shared" si="2"/>
        <v>0.73386229064102859</v>
      </c>
      <c r="BS18" s="95">
        <f t="shared" si="2"/>
        <v>0.71895480608469731</v>
      </c>
      <c r="BT18" s="95">
        <f t="shared" si="2"/>
        <v>0.47097010089294727</v>
      </c>
      <c r="BU18" s="95">
        <f t="shared" si="2"/>
        <v>0.42976554037815856</v>
      </c>
      <c r="BV18" s="95">
        <f t="shared" si="2"/>
        <v>0.29827235829053589</v>
      </c>
      <c r="BW18" s="95">
        <f t="shared" si="2"/>
        <v>0.63464844823711886</v>
      </c>
      <c r="BX18" s="95">
        <f t="shared" si="2"/>
        <v>0.8965172766891214</v>
      </c>
      <c r="BY18" s="95">
        <f t="shared" si="2"/>
        <v>0.95932132695536976</v>
      </c>
      <c r="BZ18" s="95">
        <f t="shared" si="2"/>
        <v>0.83685650579487236</v>
      </c>
      <c r="CA18" s="95">
        <f t="shared" si="2"/>
        <v>0.37314162854968314</v>
      </c>
      <c r="CB18" s="95">
        <f t="shared" si="2"/>
        <v>0.62977987795285073</v>
      </c>
      <c r="CC18" s="95">
        <f t="shared" si="2"/>
        <v>0.63361808679586495</v>
      </c>
      <c r="CD18" s="95">
        <f t="shared" si="2"/>
        <v>1.3478895357077147</v>
      </c>
      <c r="CE18" s="95">
        <f t="shared" si="2"/>
        <v>1.1545278073089229</v>
      </c>
      <c r="CF18" s="95">
        <f t="shared" si="2"/>
        <v>0.62573343601362719</v>
      </c>
      <c r="CG18" s="95">
        <f t="shared" si="2"/>
        <v>0.6356426811128586</v>
      </c>
      <c r="CH18" s="95">
        <f t="shared" si="2"/>
        <v>0.33979568423873813</v>
      </c>
      <c r="CI18" s="95">
        <f t="shared" si="2"/>
        <v>0.81550604411960215</v>
      </c>
      <c r="CJ18" s="95">
        <f t="shared" si="2"/>
        <v>1.1609242799527337</v>
      </c>
      <c r="CK18" s="95">
        <f t="shared" si="2"/>
        <v>1.2371023176665643</v>
      </c>
      <c r="CL18" s="95">
        <f t="shared" si="2"/>
        <v>1.0462170874050545</v>
      </c>
      <c r="CM18" s="95">
        <f t="shared" si="2"/>
        <v>0.43519445618319669</v>
      </c>
      <c r="CN18" s="95">
        <f t="shared" si="2"/>
        <v>1.309736408304472</v>
      </c>
      <c r="CO18" s="95">
        <f t="shared" si="2"/>
        <v>1.295527908157321</v>
      </c>
      <c r="CP18" s="95">
        <f t="shared" si="2"/>
        <v>2.5109697766884582</v>
      </c>
      <c r="CQ18" s="95">
        <f t="shared" si="2"/>
        <v>2.1419057881173362</v>
      </c>
      <c r="CR18" s="95">
        <f t="shared" si="2"/>
        <v>1.1880731383286278</v>
      </c>
      <c r="CS18" s="95">
        <f t="shared" si="2"/>
        <v>1.3220539229754429</v>
      </c>
      <c r="CT18" s="95">
        <f t="shared" ref="CT18:DY18" si="3">CT4*-1</f>
        <v>0.33391023464435349</v>
      </c>
      <c r="CU18" s="95">
        <f t="shared" si="3"/>
        <v>0.77891849437572902</v>
      </c>
      <c r="CV18" s="95">
        <f t="shared" si="3"/>
        <v>1.0627130935964924</v>
      </c>
      <c r="CW18" s="95">
        <f t="shared" si="3"/>
        <v>1.1525537072808512</v>
      </c>
      <c r="CX18" s="95">
        <f t="shared" si="3"/>
        <v>0.97863639060250696</v>
      </c>
      <c r="CY18" s="95">
        <f t="shared" si="3"/>
        <v>0.42682943728038286</v>
      </c>
      <c r="CZ18" s="95">
        <f t="shared" si="3"/>
        <v>0.90983553538888662</v>
      </c>
      <c r="DA18" s="95">
        <f t="shared" si="3"/>
        <v>0.91736443946026058</v>
      </c>
      <c r="DB18" s="95">
        <f t="shared" si="3"/>
        <v>1.6844448559847951</v>
      </c>
      <c r="DC18" s="95">
        <f t="shared" si="3"/>
        <v>1.465931541320542</v>
      </c>
      <c r="DD18" s="95">
        <f t="shared" si="3"/>
        <v>0.86583098504519318</v>
      </c>
      <c r="DE18" s="95">
        <f t="shared" si="3"/>
        <v>0.91267778479171169</v>
      </c>
      <c r="DF18" s="95">
        <f t="shared" si="3"/>
        <v>1.6251603235446737</v>
      </c>
      <c r="DG18" s="95">
        <f t="shared" si="3"/>
        <v>4.2040756506743762</v>
      </c>
      <c r="DH18" s="95">
        <f t="shared" si="3"/>
        <v>4.8615557336238089</v>
      </c>
      <c r="DI18" s="95">
        <f t="shared" si="3"/>
        <v>5.0030412506249711</v>
      </c>
      <c r="DJ18" s="95">
        <f t="shared" si="3"/>
        <v>4.0364438898291883</v>
      </c>
      <c r="DK18" s="95">
        <f t="shared" si="3"/>
        <v>1.9972999508356857</v>
      </c>
      <c r="DL18" s="95">
        <f t="shared" si="3"/>
        <v>6.1004041270156684</v>
      </c>
      <c r="DM18" s="95">
        <f t="shared" si="3"/>
        <v>6.4259837541299616</v>
      </c>
      <c r="DN18" s="95">
        <f t="shared" si="3"/>
        <v>10.112255527943734</v>
      </c>
      <c r="DO18" s="95">
        <f t="shared" si="3"/>
        <v>8.2922340530889826</v>
      </c>
      <c r="DP18" s="95">
        <f t="shared" si="3"/>
        <v>5.5892692890553404</v>
      </c>
      <c r="DQ18" s="95">
        <f t="shared" si="3"/>
        <v>6.1298465906631883</v>
      </c>
      <c r="DR18" s="95">
        <f t="shared" si="3"/>
        <v>1.3987274169904342</v>
      </c>
      <c r="DS18" s="95">
        <f t="shared" si="3"/>
        <v>2.6815092783045968</v>
      </c>
      <c r="DT18" s="95">
        <f t="shared" si="3"/>
        <v>2.8210336854608138</v>
      </c>
      <c r="DU18" s="95">
        <f t="shared" si="3"/>
        <v>2.7903630024909853</v>
      </c>
      <c r="DV18" s="95">
        <f t="shared" si="3"/>
        <v>2.3469489145047042</v>
      </c>
      <c r="DW18" s="95">
        <f t="shared" si="3"/>
        <v>1.5725670627717936</v>
      </c>
      <c r="DX18" s="95">
        <f t="shared" si="3"/>
        <v>4.0426400763228925</v>
      </c>
      <c r="DY18" s="95">
        <f t="shared" si="3"/>
        <v>4.0573080401654238</v>
      </c>
      <c r="DZ18" s="95">
        <f t="shared" ref="DZ18:EO18" si="4">DZ4*-1</f>
        <v>4.8014137044569978</v>
      </c>
      <c r="EA18" s="95">
        <f t="shared" si="4"/>
        <v>4.2031236291995118</v>
      </c>
      <c r="EB18" s="95">
        <f t="shared" si="4"/>
        <v>3.9500657510733896</v>
      </c>
      <c r="EC18" s="95">
        <f t="shared" si="4"/>
        <v>4.0543160750816716</v>
      </c>
      <c r="ED18" s="95">
        <f t="shared" si="4"/>
        <v>0.81127479367607569</v>
      </c>
      <c r="EE18" s="95">
        <f t="shared" si="4"/>
        <v>1.5598828425119198</v>
      </c>
      <c r="EF18" s="95">
        <f t="shared" si="4"/>
        <v>1.6728447404140323</v>
      </c>
      <c r="EG18" s="95">
        <f t="shared" si="4"/>
        <v>1.6518463017086689</v>
      </c>
      <c r="EH18" s="95">
        <f t="shared" si="4"/>
        <v>1.4315642599949423</v>
      </c>
      <c r="EI18" s="95">
        <f t="shared" si="4"/>
        <v>0.91366749859546348</v>
      </c>
      <c r="EJ18" s="95">
        <f t="shared" si="4"/>
        <v>1.7886644590366971</v>
      </c>
      <c r="EK18" s="95">
        <f t="shared" si="4"/>
        <v>1.8368827495030706</v>
      </c>
      <c r="EL18" s="95">
        <f t="shared" si="4"/>
        <v>2.2670902554172412</v>
      </c>
      <c r="EM18" s="95">
        <f t="shared" si="4"/>
        <v>1.9870739481337099</v>
      </c>
      <c r="EN18" s="95">
        <f t="shared" si="4"/>
        <v>1.7642522111510766</v>
      </c>
      <c r="EO18" s="95">
        <f t="shared" si="4"/>
        <v>1.7880435513035406</v>
      </c>
    </row>
    <row r="19" spans="1:145" x14ac:dyDescent="0.25">
      <c r="A19" s="1008">
        <v>2001</v>
      </c>
      <c r="B19" s="95">
        <f t="shared" ref="B19:AG19" si="5">B5*-1</f>
        <v>5.3867534407376993</v>
      </c>
      <c r="C19" s="95">
        <f t="shared" si="5"/>
        <v>10.721120894728248</v>
      </c>
      <c r="D19" s="95">
        <f t="shared" si="5"/>
        <v>10.799831082541356</v>
      </c>
      <c r="E19" s="95">
        <f t="shared" si="5"/>
        <v>10.692148493783289</v>
      </c>
      <c r="F19" s="95">
        <f t="shared" si="5"/>
        <v>9.436809237805809</v>
      </c>
      <c r="G19" s="95">
        <f t="shared" si="5"/>
        <v>6.9675891911650041</v>
      </c>
      <c r="H19" s="95">
        <f t="shared" si="5"/>
        <v>13.190895256599957</v>
      </c>
      <c r="I19" s="95">
        <f t="shared" si="5"/>
        <v>14.103121697491423</v>
      </c>
      <c r="J19" s="95">
        <f t="shared" si="5"/>
        <v>16.823032922314773</v>
      </c>
      <c r="K19" s="95">
        <f t="shared" si="5"/>
        <v>14.394645994452004</v>
      </c>
      <c r="L19" s="95">
        <f t="shared" si="5"/>
        <v>13.37349852449322</v>
      </c>
      <c r="M19" s="95">
        <f t="shared" si="5"/>
        <v>13.596816112411737</v>
      </c>
      <c r="N19" s="95">
        <f t="shared" si="5"/>
        <v>6.3963484470989558</v>
      </c>
      <c r="O19" s="95">
        <f t="shared" si="5"/>
        <v>11.769819577219575</v>
      </c>
      <c r="P19" s="95">
        <f t="shared" si="5"/>
        <v>11.893671310837641</v>
      </c>
      <c r="Q19" s="95">
        <f t="shared" si="5"/>
        <v>11.765518383989793</v>
      </c>
      <c r="R19" s="95">
        <f t="shared" si="5"/>
        <v>10.150008251858804</v>
      </c>
      <c r="S19" s="95">
        <f t="shared" si="5"/>
        <v>7.6999729771136529</v>
      </c>
      <c r="T19" s="95">
        <f t="shared" si="5"/>
        <v>15.828412168841181</v>
      </c>
      <c r="U19" s="95">
        <f t="shared" si="5"/>
        <v>16.305223909986328</v>
      </c>
      <c r="V19" s="95">
        <f t="shared" si="5"/>
        <v>19.434806875455859</v>
      </c>
      <c r="W19" s="95">
        <f t="shared" si="5"/>
        <v>16.727370743737431</v>
      </c>
      <c r="X19" s="95">
        <f t="shared" si="5"/>
        <v>15.373792814960852</v>
      </c>
      <c r="Y19" s="95">
        <f t="shared" si="5"/>
        <v>16.152236992590144</v>
      </c>
      <c r="Z19" s="95">
        <f t="shared" si="5"/>
        <v>5.1104423245665949</v>
      </c>
      <c r="AA19" s="95">
        <f t="shared" si="5"/>
        <v>10.094926334918286</v>
      </c>
      <c r="AB19" s="95">
        <f t="shared" si="5"/>
        <v>10.417182195915634</v>
      </c>
      <c r="AC19" s="95">
        <f t="shared" si="5"/>
        <v>10.364654979412267</v>
      </c>
      <c r="AD19" s="95">
        <f t="shared" si="5"/>
        <v>8.9745926524559607</v>
      </c>
      <c r="AE19" s="95">
        <f t="shared" si="5"/>
        <v>6.6734480904995532</v>
      </c>
      <c r="AF19" s="95">
        <f t="shared" si="5"/>
        <v>12.982750826089591</v>
      </c>
      <c r="AG19" s="95">
        <f t="shared" si="5"/>
        <v>13.036887142601469</v>
      </c>
      <c r="AH19" s="95">
        <f t="shared" ref="AH19:BM19" si="6">AH5*-1</f>
        <v>15.469495509438721</v>
      </c>
      <c r="AI19" s="95">
        <f t="shared" si="6"/>
        <v>13.446170637803631</v>
      </c>
      <c r="AJ19" s="95">
        <f t="shared" si="6"/>
        <v>12.71144451019669</v>
      </c>
      <c r="AK19" s="95">
        <f t="shared" si="6"/>
        <v>13.299390653896946</v>
      </c>
      <c r="AL19" s="95">
        <f t="shared" si="6"/>
        <v>4.0646417325311388</v>
      </c>
      <c r="AM19" s="95">
        <f t="shared" si="6"/>
        <v>7.6635361247648817</v>
      </c>
      <c r="AN19" s="95">
        <f t="shared" si="6"/>
        <v>8.353509361270568</v>
      </c>
      <c r="AO19" s="95">
        <f t="shared" si="6"/>
        <v>8.6126893035705372</v>
      </c>
      <c r="AP19" s="95">
        <f t="shared" si="6"/>
        <v>7.1589543382714496</v>
      </c>
      <c r="AQ19" s="95">
        <f t="shared" si="6"/>
        <v>5.1510785348398933</v>
      </c>
      <c r="AR19" s="95">
        <f t="shared" si="6"/>
        <v>9.6810799420784353</v>
      </c>
      <c r="AS19" s="95">
        <f t="shared" si="6"/>
        <v>9.8364153818299673</v>
      </c>
      <c r="AT19" s="95">
        <f t="shared" si="6"/>
        <v>12.187988448622608</v>
      </c>
      <c r="AU19" s="95">
        <f t="shared" si="6"/>
        <v>10.725240892113858</v>
      </c>
      <c r="AV19" s="95">
        <f t="shared" si="6"/>
        <v>8.9768736267395859</v>
      </c>
      <c r="AW19" s="95">
        <f t="shared" si="6"/>
        <v>9.8216370720744379</v>
      </c>
      <c r="AX19" s="95">
        <f t="shared" si="6"/>
        <v>3.2640963751798959</v>
      </c>
      <c r="AY19" s="95">
        <f t="shared" si="6"/>
        <v>7.0695880567981071</v>
      </c>
      <c r="AZ19" s="95">
        <f t="shared" si="6"/>
        <v>8.4377596957748189</v>
      </c>
      <c r="BA19" s="95">
        <f t="shared" si="6"/>
        <v>8.7110179114704849</v>
      </c>
      <c r="BB19" s="95">
        <f t="shared" si="6"/>
        <v>7.437249497803136</v>
      </c>
      <c r="BC19" s="95">
        <f t="shared" si="6"/>
        <v>4.3853709955266078</v>
      </c>
      <c r="BD19" s="95">
        <f t="shared" si="6"/>
        <v>8.8077674168764215</v>
      </c>
      <c r="BE19" s="95">
        <f t="shared" si="6"/>
        <v>8.9032721221292981</v>
      </c>
      <c r="BF19" s="95">
        <f t="shared" si="6"/>
        <v>14.355776481996267</v>
      </c>
      <c r="BG19" s="95">
        <f t="shared" si="6"/>
        <v>11.957180546825084</v>
      </c>
      <c r="BH19" s="95">
        <f t="shared" si="6"/>
        <v>8.0147909319542734</v>
      </c>
      <c r="BI19" s="95">
        <f t="shared" si="6"/>
        <v>8.9680960242932937</v>
      </c>
      <c r="BJ19" s="95">
        <f t="shared" si="6"/>
        <v>1.8703967728558812</v>
      </c>
      <c r="BK19" s="95">
        <f t="shared" si="6"/>
        <v>2.7319290540144734</v>
      </c>
      <c r="BL19" s="95">
        <f t="shared" si="6"/>
        <v>3.0602138438545219</v>
      </c>
      <c r="BM19" s="95">
        <f t="shared" si="6"/>
        <v>3.2224704649070839</v>
      </c>
      <c r="BN19" s="95">
        <f t="shared" ref="BN19:CS19" si="7">BN5*-1</f>
        <v>3.076688272690661</v>
      </c>
      <c r="BO19" s="95">
        <f t="shared" si="7"/>
        <v>2.4692454427106316</v>
      </c>
      <c r="BP19" s="95">
        <f t="shared" si="7"/>
        <v>2.2119888202973574</v>
      </c>
      <c r="BQ19" s="95">
        <f t="shared" si="7"/>
        <v>2.3589587447229134</v>
      </c>
      <c r="BR19" s="95">
        <f t="shared" si="7"/>
        <v>2.950305247234557</v>
      </c>
      <c r="BS19" s="95">
        <f t="shared" si="7"/>
        <v>2.9313718332932024</v>
      </c>
      <c r="BT19" s="95">
        <f t="shared" si="7"/>
        <v>2.4995535407401102</v>
      </c>
      <c r="BU19" s="95">
        <f t="shared" si="7"/>
        <v>2.3635338614993588</v>
      </c>
      <c r="BV19" s="95">
        <f t="shared" si="7"/>
        <v>88.749636006077822</v>
      </c>
      <c r="BW19" s="95">
        <f t="shared" si="7"/>
        <v>91.816651794612113</v>
      </c>
      <c r="BX19" s="95">
        <f t="shared" si="7"/>
        <v>97.502937498140085</v>
      </c>
      <c r="BY19" s="95">
        <f t="shared" si="7"/>
        <v>97.862549266567882</v>
      </c>
      <c r="BZ19" s="95">
        <f t="shared" si="7"/>
        <v>95.19806482227429</v>
      </c>
      <c r="CA19" s="95">
        <f t="shared" si="7"/>
        <v>91.30524627365412</v>
      </c>
      <c r="CB19" s="95">
        <f t="shared" si="7"/>
        <v>85.810799644253905</v>
      </c>
      <c r="CC19" s="95">
        <f t="shared" si="7"/>
        <v>87.115216613739648</v>
      </c>
      <c r="CD19" s="95">
        <f t="shared" si="7"/>
        <v>93.118396003427449</v>
      </c>
      <c r="CE19" s="95">
        <f t="shared" si="7"/>
        <v>94.147812385229912</v>
      </c>
      <c r="CF19" s="95">
        <f t="shared" si="7"/>
        <v>91.497409314812145</v>
      </c>
      <c r="CG19" s="95">
        <f t="shared" si="7"/>
        <v>88.58814575594451</v>
      </c>
      <c r="CH19" s="95">
        <f t="shared" si="7"/>
        <v>90.735801828640746</v>
      </c>
      <c r="CI19" s="95">
        <f t="shared" si="7"/>
        <v>93.956153321725751</v>
      </c>
      <c r="CJ19" s="95">
        <f t="shared" si="7"/>
        <v>100.33101232703569</v>
      </c>
      <c r="CK19" s="95">
        <f t="shared" si="7"/>
        <v>101.51676290301295</v>
      </c>
      <c r="CL19" s="95">
        <f t="shared" si="7"/>
        <v>98.140367921409933</v>
      </c>
      <c r="CM19" s="95">
        <f t="shared" si="7"/>
        <v>93.466640341840758</v>
      </c>
      <c r="CN19" s="95">
        <f t="shared" si="7"/>
        <v>90.318983324748757</v>
      </c>
      <c r="CO19" s="95">
        <f t="shared" si="7"/>
        <v>91.918845761401371</v>
      </c>
      <c r="CP19" s="95">
        <f t="shared" si="7"/>
        <v>99.782436068871789</v>
      </c>
      <c r="CQ19" s="95">
        <f t="shared" si="7"/>
        <v>101.11796417659703</v>
      </c>
      <c r="CR19" s="95">
        <f t="shared" si="7"/>
        <v>97.637679843343363</v>
      </c>
      <c r="CS19" s="95">
        <f t="shared" si="7"/>
        <v>93.974757977275033</v>
      </c>
      <c r="CT19" s="95">
        <f t="shared" ref="CT19:DY19" si="8">CT5*-1</f>
        <v>90.359965520046359</v>
      </c>
      <c r="CU19" s="95">
        <f t="shared" si="8"/>
        <v>93.316776178780174</v>
      </c>
      <c r="CV19" s="95">
        <f t="shared" si="8"/>
        <v>98.731604290154635</v>
      </c>
      <c r="CW19" s="95">
        <f t="shared" si="8"/>
        <v>99.552988648555043</v>
      </c>
      <c r="CX19" s="95">
        <f t="shared" si="8"/>
        <v>96.136181772680345</v>
      </c>
      <c r="CY19" s="95">
        <f t="shared" si="8"/>
        <v>91.806139525127676</v>
      </c>
      <c r="CZ19" s="95">
        <f t="shared" si="8"/>
        <v>91.661319407923756</v>
      </c>
      <c r="DA19" s="95">
        <f t="shared" si="8"/>
        <v>92.519737487026674</v>
      </c>
      <c r="DB19" s="95">
        <f t="shared" si="8"/>
        <v>99.868553201914878</v>
      </c>
      <c r="DC19" s="95">
        <f t="shared" si="8"/>
        <v>101.64869802550793</v>
      </c>
      <c r="DD19" s="95">
        <f t="shared" si="8"/>
        <v>98.456217055198564</v>
      </c>
      <c r="DE19" s="95">
        <f t="shared" si="8"/>
        <v>95.442057947790616</v>
      </c>
      <c r="DF19" s="95">
        <f t="shared" si="8"/>
        <v>86.650140660005732</v>
      </c>
      <c r="DG19" s="95">
        <f t="shared" si="8"/>
        <v>93.046108666018924</v>
      </c>
      <c r="DH19" s="95">
        <f t="shared" si="8"/>
        <v>98.332111537757669</v>
      </c>
      <c r="DI19" s="95">
        <f t="shared" si="8"/>
        <v>99.094754361356166</v>
      </c>
      <c r="DJ19" s="95">
        <f t="shared" si="8"/>
        <v>94.7201488378427</v>
      </c>
      <c r="DK19" s="95">
        <f t="shared" si="8"/>
        <v>88.854653526584741</v>
      </c>
      <c r="DL19" s="95">
        <f t="shared" si="8"/>
        <v>95.093521637214366</v>
      </c>
      <c r="DM19" s="95">
        <f t="shared" si="8"/>
        <v>96.708352154716437</v>
      </c>
      <c r="DN19" s="95">
        <f t="shared" si="8"/>
        <v>107.70904484398952</v>
      </c>
      <c r="DO19" s="95">
        <f t="shared" si="8"/>
        <v>106.55474083410211</v>
      </c>
      <c r="DP19" s="95">
        <f t="shared" si="8"/>
        <v>99.52309920457644</v>
      </c>
      <c r="DQ19" s="95">
        <f t="shared" si="8"/>
        <v>97.060812201718505</v>
      </c>
      <c r="DR19" s="95">
        <f t="shared" si="8"/>
        <v>83.186976960655556</v>
      </c>
      <c r="DS19" s="95">
        <f t="shared" si="8"/>
        <v>88.034367111725174</v>
      </c>
      <c r="DT19" s="95">
        <f t="shared" si="8"/>
        <v>91.591583007930112</v>
      </c>
      <c r="DU19" s="95">
        <f t="shared" si="8"/>
        <v>92.256573161712041</v>
      </c>
      <c r="DV19" s="95">
        <f t="shared" si="8"/>
        <v>89.247883443683975</v>
      </c>
      <c r="DW19" s="95">
        <f t="shared" si="8"/>
        <v>85.112693911650297</v>
      </c>
      <c r="DX19" s="95">
        <f t="shared" si="8"/>
        <v>87.944812356269438</v>
      </c>
      <c r="DY19" s="95">
        <f t="shared" si="8"/>
        <v>89.368653244419335</v>
      </c>
      <c r="DZ19" s="95">
        <f t="shared" ref="DZ19:EO19" si="9">DZ5*-1</f>
        <v>94.085046185494377</v>
      </c>
      <c r="EA19" s="95">
        <f t="shared" si="9"/>
        <v>94.533620677542501</v>
      </c>
      <c r="EB19" s="95">
        <f t="shared" si="9"/>
        <v>91.596818552906299</v>
      </c>
      <c r="EC19" s="95">
        <f t="shared" si="9"/>
        <v>89.203876227032509</v>
      </c>
      <c r="ED19" s="95">
        <f t="shared" si="9"/>
        <v>80.645170846714919</v>
      </c>
      <c r="EE19" s="95">
        <f t="shared" si="9"/>
        <v>85.966483961846876</v>
      </c>
      <c r="EF19" s="95">
        <f t="shared" si="9"/>
        <v>89.491366638915025</v>
      </c>
      <c r="EG19" s="95">
        <f t="shared" si="9"/>
        <v>89.298274909417444</v>
      </c>
      <c r="EH19" s="95">
        <f t="shared" si="9"/>
        <v>86.322349355551921</v>
      </c>
      <c r="EI19" s="95">
        <f t="shared" si="9"/>
        <v>82.825330114893035</v>
      </c>
      <c r="EJ19" s="95">
        <f t="shared" si="9"/>
        <v>82.316149811959406</v>
      </c>
      <c r="EK19" s="95">
        <f t="shared" si="9"/>
        <v>84.198557727781761</v>
      </c>
      <c r="EL19" s="95">
        <f t="shared" si="9"/>
        <v>88.004552865456503</v>
      </c>
      <c r="EM19" s="95">
        <f t="shared" si="9"/>
        <v>87.637028540455233</v>
      </c>
      <c r="EN19" s="95">
        <f t="shared" si="9"/>
        <v>85.671731345882066</v>
      </c>
      <c r="EO19" s="95">
        <f t="shared" si="9"/>
        <v>84.066464264720636</v>
      </c>
    </row>
    <row r="20" spans="1:145" x14ac:dyDescent="0.25">
      <c r="A20" s="1008">
        <v>2002</v>
      </c>
      <c r="B20" s="95">
        <f t="shared" ref="B20:AG20" si="10">B6*-1</f>
        <v>76.182649426801717</v>
      </c>
      <c r="C20" s="95">
        <f t="shared" si="10"/>
        <v>82.653144939052282</v>
      </c>
      <c r="D20" s="95">
        <f t="shared" si="10"/>
        <v>86.023893766732073</v>
      </c>
      <c r="E20" s="95">
        <f t="shared" si="10"/>
        <v>85.893527589128198</v>
      </c>
      <c r="F20" s="95">
        <f t="shared" si="10"/>
        <v>82.490565782356953</v>
      </c>
      <c r="G20" s="95">
        <f t="shared" si="10"/>
        <v>78.468749012835247</v>
      </c>
      <c r="H20" s="95">
        <f t="shared" si="10"/>
        <v>82.621063683993953</v>
      </c>
      <c r="I20" s="95">
        <f t="shared" si="10"/>
        <v>84.92723993544756</v>
      </c>
      <c r="J20" s="95">
        <f t="shared" si="10"/>
        <v>90.268673892973951</v>
      </c>
      <c r="K20" s="95">
        <f t="shared" si="10"/>
        <v>88.467271395985989</v>
      </c>
      <c r="L20" s="95">
        <f t="shared" si="10"/>
        <v>85.31106722777254</v>
      </c>
      <c r="M20" s="95">
        <f t="shared" si="10"/>
        <v>83.542149615228666</v>
      </c>
      <c r="N20" s="95">
        <f t="shared" si="10"/>
        <v>75.243633354766359</v>
      </c>
      <c r="O20" s="95">
        <f t="shared" si="10"/>
        <v>81.488114251545255</v>
      </c>
      <c r="P20" s="95">
        <f t="shared" si="10"/>
        <v>84.484870357661208</v>
      </c>
      <c r="Q20" s="95">
        <f t="shared" si="10"/>
        <v>83.984036564922221</v>
      </c>
      <c r="R20" s="95">
        <f t="shared" si="10"/>
        <v>80.52080120496565</v>
      </c>
      <c r="S20" s="95">
        <f t="shared" si="10"/>
        <v>76.747864066860686</v>
      </c>
      <c r="T20" s="95">
        <f t="shared" si="10"/>
        <v>82.511181965388772</v>
      </c>
      <c r="U20" s="95">
        <f t="shared" si="10"/>
        <v>84.15546524377713</v>
      </c>
      <c r="V20" s="95">
        <f t="shared" si="10"/>
        <v>89.31508723509134</v>
      </c>
      <c r="W20" s="95">
        <f t="shared" si="10"/>
        <v>86.964602174398507</v>
      </c>
      <c r="X20" s="95">
        <f t="shared" si="10"/>
        <v>84.336768071701783</v>
      </c>
      <c r="Y20" s="95">
        <f t="shared" si="10"/>
        <v>83.416882279443499</v>
      </c>
      <c r="Z20" s="95">
        <f t="shared" si="10"/>
        <v>70.558814918092978</v>
      </c>
      <c r="AA20" s="95">
        <f t="shared" si="10"/>
        <v>75.997815157178991</v>
      </c>
      <c r="AB20" s="95">
        <f t="shared" si="10"/>
        <v>80.06912159751775</v>
      </c>
      <c r="AC20" s="95">
        <f t="shared" si="10"/>
        <v>81.048302672225077</v>
      </c>
      <c r="AD20" s="95">
        <f t="shared" si="10"/>
        <v>77.928089988564281</v>
      </c>
      <c r="AE20" s="95">
        <f t="shared" si="10"/>
        <v>74.183113536467232</v>
      </c>
      <c r="AF20" s="95">
        <f t="shared" si="10"/>
        <v>77.87394469167009</v>
      </c>
      <c r="AG20" s="95">
        <f t="shared" si="10"/>
        <v>78.937452243654732</v>
      </c>
      <c r="AH20" s="95">
        <f t="shared" ref="AH20:BM20" si="11">AH6*-1</f>
        <v>83.154197077642124</v>
      </c>
      <c r="AI20" s="95">
        <f t="shared" si="11"/>
        <v>81.839425801219818</v>
      </c>
      <c r="AJ20" s="95">
        <f t="shared" si="11"/>
        <v>79.882969343129872</v>
      </c>
      <c r="AK20" s="95">
        <f t="shared" si="11"/>
        <v>78.474267986826447</v>
      </c>
      <c r="AL20" s="95">
        <f t="shared" si="11"/>
        <v>78.411440817598958</v>
      </c>
      <c r="AM20" s="95">
        <f t="shared" si="11"/>
        <v>84.139152986630606</v>
      </c>
      <c r="AN20" s="95">
        <f t="shared" si="11"/>
        <v>88.942914804764143</v>
      </c>
      <c r="AO20" s="95">
        <f t="shared" si="11"/>
        <v>90.263278972403583</v>
      </c>
      <c r="AP20" s="95">
        <f t="shared" si="11"/>
        <v>86.080436017941651</v>
      </c>
      <c r="AQ20" s="95">
        <f t="shared" si="11"/>
        <v>80.975827739804956</v>
      </c>
      <c r="AR20" s="95">
        <f t="shared" si="11"/>
        <v>85.55225729622282</v>
      </c>
      <c r="AS20" s="95">
        <f t="shared" si="11"/>
        <v>86.836215873595151</v>
      </c>
      <c r="AT20" s="95">
        <f t="shared" si="11"/>
        <v>92.930860459355699</v>
      </c>
      <c r="AU20" s="95">
        <f t="shared" si="11"/>
        <v>91.044484515823427</v>
      </c>
      <c r="AV20" s="95">
        <f t="shared" si="11"/>
        <v>87.206559937232669</v>
      </c>
      <c r="AW20" s="95">
        <f t="shared" si="11"/>
        <v>86.081545041705482</v>
      </c>
      <c r="AX20" s="95">
        <f t="shared" si="11"/>
        <v>84.051490924516003</v>
      </c>
      <c r="AY20" s="95">
        <f t="shared" si="11"/>
        <v>90.4730391590533</v>
      </c>
      <c r="AZ20" s="95">
        <f t="shared" si="11"/>
        <v>96.814139246563713</v>
      </c>
      <c r="BA20" s="95">
        <f t="shared" si="11"/>
        <v>98.027469349283166</v>
      </c>
      <c r="BB20" s="95">
        <f t="shared" si="11"/>
        <v>93.720143605415686</v>
      </c>
      <c r="BC20" s="95">
        <f t="shared" si="11"/>
        <v>87.192079320472359</v>
      </c>
      <c r="BD20" s="95">
        <f t="shared" si="11"/>
        <v>92.091300468459536</v>
      </c>
      <c r="BE20" s="95">
        <f t="shared" si="11"/>
        <v>93.490878935497705</v>
      </c>
      <c r="BF20" s="95">
        <f t="shared" si="11"/>
        <v>104.63607810407093</v>
      </c>
      <c r="BG20" s="95">
        <f t="shared" si="11"/>
        <v>102.38429286220597</v>
      </c>
      <c r="BH20" s="95">
        <f t="shared" si="11"/>
        <v>95.58291453974249</v>
      </c>
      <c r="BI20" s="95">
        <f t="shared" si="11"/>
        <v>93.976910573427062</v>
      </c>
      <c r="BJ20" s="95">
        <f t="shared" si="11"/>
        <v>86.942583913142499</v>
      </c>
      <c r="BK20" s="95">
        <f t="shared" si="11"/>
        <v>89.990683525844759</v>
      </c>
      <c r="BL20" s="95">
        <f t="shared" si="11"/>
        <v>94.946685908885485</v>
      </c>
      <c r="BM20" s="95">
        <f t="shared" si="11"/>
        <v>95.500343117693518</v>
      </c>
      <c r="BN20" s="95">
        <f t="shared" ref="BN20:CS20" si="12">BN6*-1</f>
        <v>92.763403386248214</v>
      </c>
      <c r="BO20" s="95">
        <f t="shared" si="12"/>
        <v>89.553179407492692</v>
      </c>
      <c r="BP20" s="95">
        <f t="shared" si="12"/>
        <v>88.458600332037008</v>
      </c>
      <c r="BQ20" s="95">
        <f t="shared" si="12"/>
        <v>89.416546270908782</v>
      </c>
      <c r="BR20" s="95">
        <f t="shared" si="12"/>
        <v>94.011403137074169</v>
      </c>
      <c r="BS20" s="95">
        <f t="shared" si="12"/>
        <v>94.854407318061362</v>
      </c>
      <c r="BT20" s="95">
        <f t="shared" si="12"/>
        <v>92.633172379334326</v>
      </c>
      <c r="BU20" s="95">
        <f t="shared" si="12"/>
        <v>89.704237000070776</v>
      </c>
      <c r="BV20" s="95">
        <f t="shared" si="12"/>
        <v>88.791513734218412</v>
      </c>
      <c r="BW20" s="95">
        <f t="shared" si="12"/>
        <v>91.964684738072364</v>
      </c>
      <c r="BX20" s="95">
        <f t="shared" si="12"/>
        <v>97.695028048922822</v>
      </c>
      <c r="BY20" s="95">
        <f t="shared" si="12"/>
        <v>98.060613764942346</v>
      </c>
      <c r="BZ20" s="95">
        <f t="shared" si="12"/>
        <v>95.359629293508689</v>
      </c>
      <c r="CA20" s="95">
        <f t="shared" si="12"/>
        <v>91.360803670784748</v>
      </c>
      <c r="CB20" s="95">
        <f t="shared" si="12"/>
        <v>86.177337296725696</v>
      </c>
      <c r="CC20" s="95">
        <f t="shared" si="12"/>
        <v>87.474618731067523</v>
      </c>
      <c r="CD20" s="95">
        <f t="shared" si="12"/>
        <v>93.929014405384592</v>
      </c>
      <c r="CE20" s="95">
        <f t="shared" si="12"/>
        <v>94.763841777323321</v>
      </c>
      <c r="CF20" s="95">
        <f t="shared" si="12"/>
        <v>91.799657713612973</v>
      </c>
      <c r="CG20" s="95">
        <f t="shared" si="12"/>
        <v>88.952398597312879</v>
      </c>
      <c r="CH20" s="95">
        <f t="shared" si="12"/>
        <v>90.73393893886221</v>
      </c>
      <c r="CI20" s="95">
        <f t="shared" si="12"/>
        <v>93.958576675391981</v>
      </c>
      <c r="CJ20" s="95">
        <f t="shared" si="12"/>
        <v>100.33219469433411</v>
      </c>
      <c r="CK20" s="95">
        <f t="shared" si="12"/>
        <v>101.51715030638486</v>
      </c>
      <c r="CL20" s="95">
        <f t="shared" si="12"/>
        <v>98.139505819562018</v>
      </c>
      <c r="CM20" s="95">
        <f t="shared" si="12"/>
        <v>93.46457434969868</v>
      </c>
      <c r="CN20" s="95">
        <f t="shared" si="12"/>
        <v>90.095374618961117</v>
      </c>
      <c r="CO20" s="95">
        <f t="shared" si="12"/>
        <v>91.699082055325292</v>
      </c>
      <c r="CP20" s="95">
        <f t="shared" si="12"/>
        <v>99.352222729505172</v>
      </c>
      <c r="CQ20" s="95">
        <f t="shared" si="12"/>
        <v>100.76783289460352</v>
      </c>
      <c r="CR20" s="95">
        <f t="shared" si="12"/>
        <v>97.449112318804168</v>
      </c>
      <c r="CS20" s="95">
        <f t="shared" si="12"/>
        <v>93.7518887204766</v>
      </c>
      <c r="CT20" s="95">
        <f t="shared" ref="CT20:DY20" si="13">CT6*-1</f>
        <v>90.661312641658213</v>
      </c>
      <c r="CU20" s="95">
        <f t="shared" si="13"/>
        <v>94.226456952316354</v>
      </c>
      <c r="CV20" s="95">
        <f t="shared" si="13"/>
        <v>99.828611005240944</v>
      </c>
      <c r="CW20" s="95">
        <f t="shared" si="13"/>
        <v>100.68815283312938</v>
      </c>
      <c r="CX20" s="95">
        <f t="shared" si="13"/>
        <v>97.070099738650143</v>
      </c>
      <c r="CY20" s="95">
        <f t="shared" si="13"/>
        <v>92.191150448193341</v>
      </c>
      <c r="CZ20" s="95">
        <f t="shared" si="13"/>
        <v>93.077922191789526</v>
      </c>
      <c r="DA20" s="95">
        <f t="shared" si="13"/>
        <v>93.959851408768841</v>
      </c>
      <c r="DB20" s="95">
        <f t="shared" si="13"/>
        <v>102.47096779465099</v>
      </c>
      <c r="DC20" s="95">
        <f t="shared" si="13"/>
        <v>103.69383448294373</v>
      </c>
      <c r="DD20" s="95">
        <f t="shared" si="13"/>
        <v>99.681848735146133</v>
      </c>
      <c r="DE20" s="95">
        <f t="shared" si="13"/>
        <v>96.857345112274814</v>
      </c>
      <c r="DF20" s="95">
        <f t="shared" si="13"/>
        <v>86.212474835424899</v>
      </c>
      <c r="DG20" s="95">
        <f t="shared" si="13"/>
        <v>91.883811658884355</v>
      </c>
      <c r="DH20" s="95">
        <f t="shared" si="13"/>
        <v>97.020679336628305</v>
      </c>
      <c r="DI20" s="95">
        <f t="shared" si="13"/>
        <v>97.757812907295232</v>
      </c>
      <c r="DJ20" s="95">
        <f t="shared" si="13"/>
        <v>93.649518810011386</v>
      </c>
      <c r="DK20" s="95">
        <f t="shared" si="13"/>
        <v>88.318152174430693</v>
      </c>
      <c r="DL20" s="95">
        <f t="shared" si="13"/>
        <v>93.09808801215199</v>
      </c>
      <c r="DM20" s="95">
        <f t="shared" si="13"/>
        <v>94.60570714564696</v>
      </c>
      <c r="DN20" s="95">
        <f t="shared" si="13"/>
        <v>104.41746855619526</v>
      </c>
      <c r="DO20" s="95">
        <f t="shared" si="13"/>
        <v>103.89470564233977</v>
      </c>
      <c r="DP20" s="95">
        <f t="shared" si="13"/>
        <v>97.716259439423524</v>
      </c>
      <c r="DQ20" s="95">
        <f t="shared" si="13"/>
        <v>95.057710936147757</v>
      </c>
      <c r="DR20" s="95">
        <f t="shared" si="13"/>
        <v>83.18984846697785</v>
      </c>
      <c r="DS20" s="95">
        <f t="shared" si="13"/>
        <v>88.042157580646659</v>
      </c>
      <c r="DT20" s="95">
        <f t="shared" si="13"/>
        <v>91.595638014658306</v>
      </c>
      <c r="DU20" s="95">
        <f t="shared" si="13"/>
        <v>92.2590609987882</v>
      </c>
      <c r="DV20" s="95">
        <f t="shared" si="13"/>
        <v>89.249122343718895</v>
      </c>
      <c r="DW20" s="95">
        <f t="shared" si="13"/>
        <v>85.115703999136798</v>
      </c>
      <c r="DX20" s="95">
        <f t="shared" si="13"/>
        <v>86.893629848425263</v>
      </c>
      <c r="DY20" s="95">
        <f t="shared" si="13"/>
        <v>88.313245125728372</v>
      </c>
      <c r="DZ20" s="95">
        <f t="shared" ref="DZ20:EO20" si="14">DZ6*-1</f>
        <v>92.857115615223705</v>
      </c>
      <c r="EA20" s="95">
        <f t="shared" si="14"/>
        <v>93.481110821675827</v>
      </c>
      <c r="EB20" s="95">
        <f t="shared" si="14"/>
        <v>90.582096753623688</v>
      </c>
      <c r="EC20" s="95">
        <f t="shared" si="14"/>
        <v>88.149655804521402</v>
      </c>
      <c r="ED20" s="95">
        <f t="shared" si="14"/>
        <v>80.995465865002018</v>
      </c>
      <c r="EE20" s="95">
        <f t="shared" si="14"/>
        <v>86.674134794646676</v>
      </c>
      <c r="EF20" s="95">
        <f t="shared" si="14"/>
        <v>90.18690668339714</v>
      </c>
      <c r="EG20" s="95">
        <f t="shared" si="14"/>
        <v>89.972365188268142</v>
      </c>
      <c r="EH20" s="95">
        <f t="shared" si="14"/>
        <v>86.886563102312294</v>
      </c>
      <c r="EI20" s="95">
        <f t="shared" si="14"/>
        <v>83.216927392888778</v>
      </c>
      <c r="EJ20" s="95">
        <f t="shared" si="14"/>
        <v>83.943117757835523</v>
      </c>
      <c r="EK20" s="95">
        <f t="shared" si="14"/>
        <v>85.869958551141309</v>
      </c>
      <c r="EL20" s="95">
        <f t="shared" si="14"/>
        <v>89.990518857506842</v>
      </c>
      <c r="EM20" s="95">
        <f t="shared" si="14"/>
        <v>89.301006862807697</v>
      </c>
      <c r="EN20" s="95">
        <f t="shared" si="14"/>
        <v>87.230710314889166</v>
      </c>
      <c r="EO20" s="95">
        <f t="shared" si="14"/>
        <v>85.693033585853172</v>
      </c>
    </row>
    <row r="21" spans="1:145" x14ac:dyDescent="0.25">
      <c r="A21" s="1008">
        <v>2003</v>
      </c>
      <c r="B21" s="95">
        <f t="shared" ref="B21:AG21" si="15">B7*-1</f>
        <v>75.744991756249192</v>
      </c>
      <c r="C21" s="95">
        <f t="shared" si="15"/>
        <v>81.753192620054335</v>
      </c>
      <c r="D21" s="95">
        <f t="shared" si="15"/>
        <v>85.137446560250254</v>
      </c>
      <c r="E21" s="95">
        <f t="shared" si="15"/>
        <v>85.029999272544771</v>
      </c>
      <c r="F21" s="95">
        <f t="shared" si="15"/>
        <v>81.777025957687187</v>
      </c>
      <c r="G21" s="95">
        <f t="shared" si="15"/>
        <v>77.979651308733239</v>
      </c>
      <c r="H21" s="95">
        <f t="shared" si="15"/>
        <v>81.247561014918745</v>
      </c>
      <c r="I21" s="95">
        <f t="shared" si="15"/>
        <v>83.499444296863871</v>
      </c>
      <c r="J21" s="95">
        <f t="shared" si="15"/>
        <v>88.544446230990317</v>
      </c>
      <c r="K21" s="95">
        <f t="shared" si="15"/>
        <v>87.038081157935082</v>
      </c>
      <c r="L21" s="95">
        <f t="shared" si="15"/>
        <v>83.987598220380264</v>
      </c>
      <c r="M21" s="95">
        <f t="shared" si="15"/>
        <v>82.159831238658228</v>
      </c>
      <c r="N21" s="95">
        <f t="shared" si="15"/>
        <v>74.399335195190247</v>
      </c>
      <c r="O21" s="95">
        <f t="shared" si="15"/>
        <v>79.77413549821199</v>
      </c>
      <c r="P21" s="95">
        <f t="shared" si="15"/>
        <v>82.781973622889396</v>
      </c>
      <c r="Q21" s="95">
        <f t="shared" si="15"/>
        <v>82.31908935814441</v>
      </c>
      <c r="R21" s="95">
        <f t="shared" si="15"/>
        <v>79.178500124407961</v>
      </c>
      <c r="S21" s="95">
        <f t="shared" si="15"/>
        <v>75.804782411629603</v>
      </c>
      <c r="T21" s="95">
        <f t="shared" si="15"/>
        <v>79.782784892742683</v>
      </c>
      <c r="U21" s="95">
        <f t="shared" si="15"/>
        <v>81.388925154266545</v>
      </c>
      <c r="V21" s="95">
        <f t="shared" si="15"/>
        <v>85.963963815361822</v>
      </c>
      <c r="W21" s="95">
        <f t="shared" si="15"/>
        <v>84.163017298375962</v>
      </c>
      <c r="X21" s="95">
        <f t="shared" si="15"/>
        <v>81.779347858652443</v>
      </c>
      <c r="Y21" s="95">
        <f t="shared" si="15"/>
        <v>80.668964055069893</v>
      </c>
      <c r="Z21" s="95">
        <f t="shared" si="15"/>
        <v>70.13038807211521</v>
      </c>
      <c r="AA21" s="95">
        <f t="shared" si="15"/>
        <v>75.11859151816634</v>
      </c>
      <c r="AB21" s="95">
        <f t="shared" si="15"/>
        <v>79.177407888763426</v>
      </c>
      <c r="AC21" s="95">
        <f t="shared" si="15"/>
        <v>80.174563856543173</v>
      </c>
      <c r="AD21" s="95">
        <f t="shared" si="15"/>
        <v>77.225971074925738</v>
      </c>
      <c r="AE21" s="95">
        <f t="shared" si="15"/>
        <v>73.699892377187055</v>
      </c>
      <c r="AF21" s="95">
        <f t="shared" si="15"/>
        <v>76.655508645817875</v>
      </c>
      <c r="AG21" s="95">
        <f t="shared" si="15"/>
        <v>77.749157626270787</v>
      </c>
      <c r="AH21" s="95">
        <f t="shared" ref="AH21:BM21" si="16">AH7*-1</f>
        <v>81.730722727508976</v>
      </c>
      <c r="AI21" s="95">
        <f t="shared" si="16"/>
        <v>80.639365002201686</v>
      </c>
      <c r="AJ21" s="95">
        <f t="shared" si="16"/>
        <v>78.747944835604287</v>
      </c>
      <c r="AK21" s="95">
        <f t="shared" si="16"/>
        <v>77.254520861704719</v>
      </c>
      <c r="AL21" s="95">
        <f t="shared" si="16"/>
        <v>84.52783246908534</v>
      </c>
      <c r="AM21" s="95">
        <f t="shared" si="16"/>
        <v>92.772423841946718</v>
      </c>
      <c r="AN21" s="95">
        <f t="shared" si="16"/>
        <v>102.70556745240981</v>
      </c>
      <c r="AO21" s="95">
        <f t="shared" si="16"/>
        <v>105.17925435578191</v>
      </c>
      <c r="AP21" s="95">
        <f t="shared" si="16"/>
        <v>98.358937422853671</v>
      </c>
      <c r="AQ21" s="95">
        <f t="shared" si="16"/>
        <v>88.467100172660494</v>
      </c>
      <c r="AR21" s="95">
        <f t="shared" si="16"/>
        <v>89.590323498960387</v>
      </c>
      <c r="AS21" s="95">
        <f t="shared" si="16"/>
        <v>91.047511866032494</v>
      </c>
      <c r="AT21" s="95">
        <f t="shared" si="16"/>
        <v>97.791825018090464</v>
      </c>
      <c r="AU21" s="95">
        <f t="shared" si="16"/>
        <v>96.880235392368959</v>
      </c>
      <c r="AV21" s="95">
        <f t="shared" si="16"/>
        <v>92.072196259792676</v>
      </c>
      <c r="AW21" s="95">
        <f t="shared" si="16"/>
        <v>90.332306200090798</v>
      </c>
      <c r="AX21" s="95">
        <f t="shared" si="16"/>
        <v>90.357946470417815</v>
      </c>
      <c r="AY21" s="95">
        <f t="shared" si="16"/>
        <v>100.27080798332376</v>
      </c>
      <c r="AZ21" s="95">
        <f t="shared" si="16"/>
        <v>112.56420199234603</v>
      </c>
      <c r="BA21" s="95">
        <f t="shared" si="16"/>
        <v>115.13899965799301</v>
      </c>
      <c r="BB21" s="95">
        <f t="shared" si="16"/>
        <v>107.69893339313182</v>
      </c>
      <c r="BC21" s="95">
        <f t="shared" si="16"/>
        <v>95.067775816393791</v>
      </c>
      <c r="BD21" s="95">
        <f t="shared" si="16"/>
        <v>96.187586818031377</v>
      </c>
      <c r="BE21" s="95">
        <f t="shared" si="16"/>
        <v>97.637565218018381</v>
      </c>
      <c r="BF21" s="95">
        <f t="shared" si="16"/>
        <v>109.43434292859064</v>
      </c>
      <c r="BG21" s="95">
        <f t="shared" si="16"/>
        <v>108.64900649809718</v>
      </c>
      <c r="BH21" s="95">
        <f t="shared" si="16"/>
        <v>100.72607826722128</v>
      </c>
      <c r="BI21" s="95">
        <f t="shared" si="16"/>
        <v>98.279425347180378</v>
      </c>
      <c r="BJ21" s="95">
        <f t="shared" si="16"/>
        <v>93.298851605712869</v>
      </c>
      <c r="BK21" s="95">
        <f t="shared" si="16"/>
        <v>102.44921407427196</v>
      </c>
      <c r="BL21" s="95">
        <f t="shared" si="16"/>
        <v>115.05769618499087</v>
      </c>
      <c r="BM21" s="95">
        <f t="shared" si="16"/>
        <v>116.76798679921312</v>
      </c>
      <c r="BN21" s="95">
        <f t="shared" ref="BN21:CS21" si="17">BN7*-1</f>
        <v>109.86033021031002</v>
      </c>
      <c r="BO21" s="95">
        <f t="shared" si="17"/>
        <v>97.911698800723997</v>
      </c>
      <c r="BP21" s="95">
        <f t="shared" si="17"/>
        <v>94.855697477145824</v>
      </c>
      <c r="BQ21" s="95">
        <f t="shared" si="17"/>
        <v>95.774024836729865</v>
      </c>
      <c r="BR21" s="95">
        <f t="shared" si="17"/>
        <v>103.45282699699447</v>
      </c>
      <c r="BS21" s="95">
        <f t="shared" si="17"/>
        <v>104.6451314992393</v>
      </c>
      <c r="BT21" s="95">
        <f t="shared" si="17"/>
        <v>99.96924390744941</v>
      </c>
      <c r="BU21" s="95">
        <f t="shared" si="17"/>
        <v>96.448116282243348</v>
      </c>
      <c r="BV21" s="95">
        <f t="shared" si="17"/>
        <v>95.6831248909712</v>
      </c>
      <c r="BW21" s="95">
        <f t="shared" si="17"/>
        <v>105.00024348924771</v>
      </c>
      <c r="BX21" s="95">
        <f t="shared" si="17"/>
        <v>117.80975449115553</v>
      </c>
      <c r="BY21" s="95">
        <f t="shared" si="17"/>
        <v>119.01354443981954</v>
      </c>
      <c r="BZ21" s="95">
        <f t="shared" si="17"/>
        <v>112.42670787660148</v>
      </c>
      <c r="CA21" s="95">
        <f t="shared" si="17"/>
        <v>100.10750567513361</v>
      </c>
      <c r="CB21" s="95">
        <f t="shared" si="17"/>
        <v>92.06094747023694</v>
      </c>
      <c r="CC21" s="95">
        <f t="shared" si="17"/>
        <v>93.349831537924459</v>
      </c>
      <c r="CD21" s="95">
        <f t="shared" si="17"/>
        <v>102.05543140434918</v>
      </c>
      <c r="CE21" s="95">
        <f t="shared" si="17"/>
        <v>103.61406100040949</v>
      </c>
      <c r="CF21" s="95">
        <f t="shared" si="17"/>
        <v>98.516425974355215</v>
      </c>
      <c r="CG21" s="95">
        <f t="shared" si="17"/>
        <v>95.033857506100631</v>
      </c>
      <c r="CH21" s="95">
        <f t="shared" si="17"/>
        <v>97.616680951583632</v>
      </c>
      <c r="CI21" s="95">
        <f t="shared" si="17"/>
        <v>106.81655663860914</v>
      </c>
      <c r="CJ21" s="95">
        <f t="shared" si="17"/>
        <v>120.5729905116721</v>
      </c>
      <c r="CK21" s="95">
        <f t="shared" si="17"/>
        <v>122.70520047789313</v>
      </c>
      <c r="CL21" s="95">
        <f t="shared" si="17"/>
        <v>115.26143686830719</v>
      </c>
      <c r="CM21" s="95">
        <f t="shared" si="17"/>
        <v>102.22985883497951</v>
      </c>
      <c r="CN21" s="95">
        <f t="shared" si="17"/>
        <v>96.017079748261636</v>
      </c>
      <c r="CO21" s="95">
        <f t="shared" si="17"/>
        <v>97.661567836650576</v>
      </c>
      <c r="CP21" s="95">
        <f t="shared" si="17"/>
        <v>107.5757860947044</v>
      </c>
      <c r="CQ21" s="95">
        <f t="shared" si="17"/>
        <v>109.63965742181234</v>
      </c>
      <c r="CR21" s="95">
        <f t="shared" si="17"/>
        <v>104.24238733612097</v>
      </c>
      <c r="CS21" s="95">
        <f t="shared" si="17"/>
        <v>100.00364026960465</v>
      </c>
      <c r="CT21" s="95">
        <f t="shared" ref="CT21:DY21" si="18">CT7*-1</f>
        <v>98.896490248405655</v>
      </c>
      <c r="CU21" s="95">
        <f t="shared" si="18"/>
        <v>108.28346563819933</v>
      </c>
      <c r="CV21" s="95">
        <f t="shared" si="18"/>
        <v>120.82197551905229</v>
      </c>
      <c r="CW21" s="95">
        <f t="shared" si="18"/>
        <v>122.89607608811363</v>
      </c>
      <c r="CX21" s="95">
        <f t="shared" si="18"/>
        <v>115.3147187448763</v>
      </c>
      <c r="CY21" s="95">
        <f t="shared" si="18"/>
        <v>102.3869908744764</v>
      </c>
      <c r="CZ21" s="95">
        <f t="shared" si="18"/>
        <v>104.02282430014692</v>
      </c>
      <c r="DA21" s="95">
        <f t="shared" si="18"/>
        <v>104.90870605302405</v>
      </c>
      <c r="DB21" s="95">
        <f t="shared" si="18"/>
        <v>118.56778835933531</v>
      </c>
      <c r="DC21" s="95">
        <f t="shared" si="18"/>
        <v>119.08812379794345</v>
      </c>
      <c r="DD21" s="95">
        <f t="shared" si="18"/>
        <v>110.89175823748391</v>
      </c>
      <c r="DE21" s="95">
        <f t="shared" si="18"/>
        <v>108.02232204592033</v>
      </c>
      <c r="DF21" s="95">
        <f t="shared" si="18"/>
        <v>92.360683253541779</v>
      </c>
      <c r="DG21" s="95">
        <f t="shared" si="18"/>
        <v>102.22606295992556</v>
      </c>
      <c r="DH21" s="95">
        <f t="shared" si="18"/>
        <v>113.5504213834616</v>
      </c>
      <c r="DI21" s="95">
        <f t="shared" si="18"/>
        <v>115.61566969477852</v>
      </c>
      <c r="DJ21" s="95">
        <f t="shared" si="18"/>
        <v>108.14632537923087</v>
      </c>
      <c r="DK21" s="95">
        <f t="shared" si="18"/>
        <v>96.223652838268364</v>
      </c>
      <c r="DL21" s="95">
        <f t="shared" si="18"/>
        <v>98.660773840989293</v>
      </c>
      <c r="DM21" s="95">
        <f t="shared" si="18"/>
        <v>100.17225275477729</v>
      </c>
      <c r="DN21" s="95">
        <f t="shared" si="18"/>
        <v>111.74092925725714</v>
      </c>
      <c r="DO21" s="95">
        <f t="shared" si="18"/>
        <v>111.88014638878357</v>
      </c>
      <c r="DP21" s="95">
        <f t="shared" si="18"/>
        <v>104.01161122029507</v>
      </c>
      <c r="DQ21" s="95">
        <f t="shared" si="18"/>
        <v>100.83932086174427</v>
      </c>
      <c r="DR21" s="95">
        <f t="shared" si="18"/>
        <v>90.862708309875444</v>
      </c>
      <c r="DS21" s="95">
        <f t="shared" si="18"/>
        <v>99.923057558702027</v>
      </c>
      <c r="DT21" s="95">
        <f t="shared" si="18"/>
        <v>108.36246415452365</v>
      </c>
      <c r="DU21" s="95">
        <f t="shared" si="18"/>
        <v>109.78208228781335</v>
      </c>
      <c r="DV21" s="95">
        <f t="shared" si="18"/>
        <v>103.70952336275026</v>
      </c>
      <c r="DW21" s="95">
        <f t="shared" si="18"/>
        <v>94.370565085360099</v>
      </c>
      <c r="DX21" s="95">
        <f t="shared" si="18"/>
        <v>94.18938704297247</v>
      </c>
      <c r="DY21" s="95">
        <f t="shared" si="18"/>
        <v>95.605097778585659</v>
      </c>
      <c r="DZ21" s="95">
        <f t="shared" ref="DZ21:EO21" si="19">DZ7*-1</f>
        <v>101.65191233794725</v>
      </c>
      <c r="EA21" s="95">
        <f t="shared" si="19"/>
        <v>102.58664147585526</v>
      </c>
      <c r="EB21" s="95">
        <f t="shared" si="19"/>
        <v>98.404404121210547</v>
      </c>
      <c r="EC21" s="95">
        <f t="shared" si="19"/>
        <v>95.569336068894955</v>
      </c>
      <c r="ED21" s="95">
        <f t="shared" si="19"/>
        <v>87.861361941689324</v>
      </c>
      <c r="EE21" s="95">
        <f t="shared" si="19"/>
        <v>97.941775020800605</v>
      </c>
      <c r="EF21" s="95">
        <f t="shared" si="19"/>
        <v>106.27455255397895</v>
      </c>
      <c r="EG21" s="95">
        <f t="shared" si="19"/>
        <v>106.65410094988262</v>
      </c>
      <c r="EH21" s="95">
        <f t="shared" si="19"/>
        <v>100.56831673405676</v>
      </c>
      <c r="EI21" s="95">
        <f t="shared" si="19"/>
        <v>91.703780521868282</v>
      </c>
      <c r="EJ21" s="95">
        <f t="shared" si="19"/>
        <v>92.20541517777967</v>
      </c>
      <c r="EK21" s="95">
        <f t="shared" si="19"/>
        <v>94.256723419671943</v>
      </c>
      <c r="EL21" s="95">
        <f t="shared" si="19"/>
        <v>100.34707205772997</v>
      </c>
      <c r="EM21" s="95">
        <f t="shared" si="19"/>
        <v>99.378377288864726</v>
      </c>
      <c r="EN21" s="95">
        <f t="shared" si="19"/>
        <v>95.901720522375683</v>
      </c>
      <c r="EO21" s="95">
        <f t="shared" si="19"/>
        <v>94.063692294587625</v>
      </c>
    </row>
    <row r="22" spans="1:145" x14ac:dyDescent="0.25">
      <c r="A22" s="1008">
        <v>2004</v>
      </c>
      <c r="B22" s="95">
        <f t="shared" ref="B22:AG22" si="20">B8*-1</f>
        <v>83.953041137026702</v>
      </c>
      <c r="C22" s="95">
        <f t="shared" si="20"/>
        <v>94.243889339258246</v>
      </c>
      <c r="D22" s="95">
        <f t="shared" si="20"/>
        <v>103.01989774248204</v>
      </c>
      <c r="E22" s="95">
        <f t="shared" si="20"/>
        <v>104.70843109566528</v>
      </c>
      <c r="F22" s="95">
        <f t="shared" si="20"/>
        <v>98.473946030602491</v>
      </c>
      <c r="G22" s="95">
        <f t="shared" si="20"/>
        <v>88.394283517957334</v>
      </c>
      <c r="H22" s="95">
        <f t="shared" si="20"/>
        <v>88.163219835333948</v>
      </c>
      <c r="I22" s="95">
        <f t="shared" si="20"/>
        <v>90.456003836632107</v>
      </c>
      <c r="J22" s="95">
        <f t="shared" si="20"/>
        <v>97.399131667189167</v>
      </c>
      <c r="K22" s="95">
        <f t="shared" si="20"/>
        <v>97.829423604853901</v>
      </c>
      <c r="L22" s="95">
        <f t="shared" si="20"/>
        <v>92.781765707777083</v>
      </c>
      <c r="M22" s="95">
        <f t="shared" si="20"/>
        <v>89.230284394098035</v>
      </c>
      <c r="N22" s="95">
        <f t="shared" si="20"/>
        <v>82.578749804541658</v>
      </c>
      <c r="O22" s="95">
        <f t="shared" si="20"/>
        <v>92.418145100594884</v>
      </c>
      <c r="P22" s="95">
        <f t="shared" si="20"/>
        <v>101.03779002141002</v>
      </c>
      <c r="Q22" s="95">
        <f t="shared" si="20"/>
        <v>102.41631810145935</v>
      </c>
      <c r="R22" s="95">
        <f t="shared" si="20"/>
        <v>96.299933027086595</v>
      </c>
      <c r="S22" s="95">
        <f t="shared" si="20"/>
        <v>86.323437523802582</v>
      </c>
      <c r="T22" s="95">
        <f t="shared" si="20"/>
        <v>87.122477705110072</v>
      </c>
      <c r="U22" s="95">
        <f t="shared" si="20"/>
        <v>88.746595663868803</v>
      </c>
      <c r="V22" s="95">
        <f t="shared" si="20"/>
        <v>95.201454729974785</v>
      </c>
      <c r="W22" s="95">
        <f t="shared" si="20"/>
        <v>95.388733924872696</v>
      </c>
      <c r="X22" s="95">
        <f t="shared" si="20"/>
        <v>91.055354786896871</v>
      </c>
      <c r="Y22" s="95">
        <f t="shared" si="20"/>
        <v>88.088517006134623</v>
      </c>
      <c r="Z22" s="95">
        <f t="shared" si="20"/>
        <v>78.222781450091546</v>
      </c>
      <c r="AA22" s="95">
        <f t="shared" si="20"/>
        <v>86.557468011939548</v>
      </c>
      <c r="AB22" s="95">
        <f t="shared" si="20"/>
        <v>96.546444853626497</v>
      </c>
      <c r="AC22" s="95">
        <f t="shared" si="20"/>
        <v>99.693330235825414</v>
      </c>
      <c r="AD22" s="95">
        <f t="shared" si="20"/>
        <v>94.043060623906683</v>
      </c>
      <c r="AE22" s="95">
        <f t="shared" si="20"/>
        <v>84.052528510166454</v>
      </c>
      <c r="AF22" s="95">
        <f t="shared" si="20"/>
        <v>87.496066575454677</v>
      </c>
      <c r="AG22" s="95">
        <f t="shared" si="20"/>
        <v>88.565636823179489</v>
      </c>
      <c r="AH22" s="95">
        <f t="shared" ref="AH22:BM22" si="21">AH8*-1</f>
        <v>94.931420580699836</v>
      </c>
      <c r="AI22" s="95">
        <f t="shared" si="21"/>
        <v>95.426184042443865</v>
      </c>
      <c r="AJ22" s="95">
        <f t="shared" si="21"/>
        <v>91.362620721365204</v>
      </c>
      <c r="AK22" s="95">
        <f t="shared" si="21"/>
        <v>88.257693263072355</v>
      </c>
      <c r="AL22" s="95">
        <f t="shared" si="21"/>
        <v>85.263212812903092</v>
      </c>
      <c r="AM22" s="95">
        <f t="shared" si="21"/>
        <v>93.302929787316756</v>
      </c>
      <c r="AN22" s="95">
        <f t="shared" si="21"/>
        <v>103.94139757356432</v>
      </c>
      <c r="AO22" s="95">
        <f t="shared" si="21"/>
        <v>107.82799741638837</v>
      </c>
      <c r="AP22" s="95">
        <f t="shared" si="21"/>
        <v>101.13332280159726</v>
      </c>
      <c r="AQ22" s="95">
        <f t="shared" si="21"/>
        <v>89.949376822831169</v>
      </c>
      <c r="AR22" s="95">
        <f t="shared" si="21"/>
        <v>89.756438089760536</v>
      </c>
      <c r="AS22" s="95">
        <f t="shared" si="21"/>
        <v>91.252356920976908</v>
      </c>
      <c r="AT22" s="95">
        <f t="shared" si="21"/>
        <v>98.161211383987052</v>
      </c>
      <c r="AU22" s="95">
        <f t="shared" si="21"/>
        <v>99.170717908364054</v>
      </c>
      <c r="AV22" s="95">
        <f t="shared" si="21"/>
        <v>93.881234550834634</v>
      </c>
      <c r="AW22" s="95">
        <f t="shared" si="21"/>
        <v>90.47858939511076</v>
      </c>
      <c r="AX22" s="95">
        <f t="shared" si="21"/>
        <v>91.199834197850137</v>
      </c>
      <c r="AY22" s="95">
        <f t="shared" si="21"/>
        <v>100.66881710350175</v>
      </c>
      <c r="AZ22" s="95">
        <f t="shared" si="21"/>
        <v>113.62836301378846</v>
      </c>
      <c r="BA22" s="95">
        <f t="shared" si="21"/>
        <v>117.70719969676739</v>
      </c>
      <c r="BB22" s="95">
        <f t="shared" si="21"/>
        <v>110.44220970570674</v>
      </c>
      <c r="BC22" s="95">
        <f t="shared" si="21"/>
        <v>96.714553281585012</v>
      </c>
      <c r="BD22" s="95">
        <f t="shared" si="21"/>
        <v>95.598974192114241</v>
      </c>
      <c r="BE22" s="95">
        <f t="shared" si="21"/>
        <v>97.043994208248705</v>
      </c>
      <c r="BF22" s="95">
        <f t="shared" si="21"/>
        <v>108.09798294746656</v>
      </c>
      <c r="BG22" s="95">
        <f t="shared" si="21"/>
        <v>109.71487511300714</v>
      </c>
      <c r="BH22" s="95">
        <f t="shared" si="21"/>
        <v>102.19035277663617</v>
      </c>
      <c r="BI22" s="95">
        <f t="shared" si="21"/>
        <v>97.849190340137639</v>
      </c>
      <c r="BJ22" s="95">
        <f t="shared" si="21"/>
        <v>94.861299955953257</v>
      </c>
      <c r="BK22" s="95">
        <f t="shared" si="21"/>
        <v>104.00960193478831</v>
      </c>
      <c r="BL22" s="95">
        <f t="shared" si="21"/>
        <v>117.48490987193321</v>
      </c>
      <c r="BM22" s="95">
        <f t="shared" si="21"/>
        <v>120.49014106422869</v>
      </c>
      <c r="BN22" s="95">
        <f t="shared" ref="BN22:CS22" si="22">BN8*-1</f>
        <v>113.67016624198838</v>
      </c>
      <c r="BO22" s="95">
        <f t="shared" si="22"/>
        <v>100.38489838617085</v>
      </c>
      <c r="BP22" s="95">
        <f t="shared" si="22"/>
        <v>96.569921955103567</v>
      </c>
      <c r="BQ22" s="95">
        <f t="shared" si="22"/>
        <v>97.463478839022599</v>
      </c>
      <c r="BR22" s="95">
        <f t="shared" si="22"/>
        <v>105.96091855439404</v>
      </c>
      <c r="BS22" s="95">
        <f t="shared" si="22"/>
        <v>108.78803908450615</v>
      </c>
      <c r="BT22" s="95">
        <f t="shared" si="22"/>
        <v>103.64474311821327</v>
      </c>
      <c r="BU22" s="95">
        <f t="shared" si="22"/>
        <v>98.588073864145954</v>
      </c>
      <c r="BV22" s="95">
        <f t="shared" si="22"/>
        <v>97.664055013246568</v>
      </c>
      <c r="BW22" s="95">
        <f t="shared" si="22"/>
        <v>107.00186543627007</v>
      </c>
      <c r="BX22" s="95">
        <f t="shared" si="22"/>
        <v>120.66508304293667</v>
      </c>
      <c r="BY22" s="95">
        <f t="shared" si="22"/>
        <v>122.98268955090126</v>
      </c>
      <c r="BZ22" s="95">
        <f t="shared" si="22"/>
        <v>116.53196757441685</v>
      </c>
      <c r="CA22" s="95">
        <f t="shared" si="22"/>
        <v>102.9836861912712</v>
      </c>
      <c r="CB22" s="95">
        <f t="shared" si="22"/>
        <v>93.72260441127132</v>
      </c>
      <c r="CC22" s="95">
        <f t="shared" si="22"/>
        <v>95.006260865800584</v>
      </c>
      <c r="CD22" s="95">
        <f t="shared" si="22"/>
        <v>104.30624608720944</v>
      </c>
      <c r="CE22" s="95">
        <f t="shared" si="22"/>
        <v>107.41765160346064</v>
      </c>
      <c r="CF22" s="95">
        <f t="shared" si="22"/>
        <v>101.94887631212501</v>
      </c>
      <c r="CG22" s="95">
        <f t="shared" si="22"/>
        <v>96.885119179071481</v>
      </c>
      <c r="CH22" s="95">
        <f t="shared" si="22"/>
        <v>99.447369382527341</v>
      </c>
      <c r="CI22" s="95">
        <f t="shared" si="22"/>
        <v>108.62679501696969</v>
      </c>
      <c r="CJ22" s="95">
        <f t="shared" si="22"/>
        <v>123.33442410038241</v>
      </c>
      <c r="CK22" s="95">
        <f t="shared" si="22"/>
        <v>126.65337081204122</v>
      </c>
      <c r="CL22" s="95">
        <f t="shared" si="22"/>
        <v>119.30568878849948</v>
      </c>
      <c r="CM22" s="95">
        <f t="shared" si="22"/>
        <v>104.9651924035776</v>
      </c>
      <c r="CN22" s="95">
        <f t="shared" si="22"/>
        <v>97.832379026848542</v>
      </c>
      <c r="CO22" s="95">
        <f t="shared" si="22"/>
        <v>99.384916593488768</v>
      </c>
      <c r="CP22" s="95">
        <f t="shared" si="22"/>
        <v>109.99399731624439</v>
      </c>
      <c r="CQ22" s="95">
        <f t="shared" si="22"/>
        <v>113.584068546483</v>
      </c>
      <c r="CR22" s="95">
        <f t="shared" si="22"/>
        <v>107.67782847467524</v>
      </c>
      <c r="CS22" s="95">
        <f t="shared" si="22"/>
        <v>102.06551798884239</v>
      </c>
      <c r="CT22" s="95">
        <f t="shared" ref="CT22:DY22" si="23">CT8*-1</f>
        <v>100.10984215701042</v>
      </c>
      <c r="CU22" s="95">
        <f t="shared" si="23"/>
        <v>109.14612233646463</v>
      </c>
      <c r="CV22" s="95">
        <f t="shared" si="23"/>
        <v>122.39360648984021</v>
      </c>
      <c r="CW22" s="95">
        <f t="shared" si="23"/>
        <v>125.99298294811445</v>
      </c>
      <c r="CX22" s="95">
        <f t="shared" si="23"/>
        <v>118.52526771562754</v>
      </c>
      <c r="CY22" s="95">
        <f t="shared" si="23"/>
        <v>104.48671579029725</v>
      </c>
      <c r="CZ22" s="95">
        <f t="shared" si="23"/>
        <v>104.68949661729739</v>
      </c>
      <c r="DA22" s="95">
        <f t="shared" si="23"/>
        <v>105.4522387998655</v>
      </c>
      <c r="DB22" s="95">
        <f t="shared" si="23"/>
        <v>118.99002321874494</v>
      </c>
      <c r="DC22" s="95">
        <f t="shared" si="23"/>
        <v>121.62312278988969</v>
      </c>
      <c r="DD22" s="95">
        <f t="shared" si="23"/>
        <v>113.25932054034705</v>
      </c>
      <c r="DE22" s="95">
        <f t="shared" si="23"/>
        <v>108.76651245688238</v>
      </c>
      <c r="DF22" s="95">
        <f t="shared" si="23"/>
        <v>93.335741610286235</v>
      </c>
      <c r="DG22" s="95">
        <f t="shared" si="23"/>
        <v>103.26077698706638</v>
      </c>
      <c r="DH22" s="95">
        <f t="shared" si="23"/>
        <v>115.38961463439747</v>
      </c>
      <c r="DI22" s="95">
        <f t="shared" si="23"/>
        <v>118.98837356653632</v>
      </c>
      <c r="DJ22" s="95">
        <f t="shared" si="23"/>
        <v>111.49575519036368</v>
      </c>
      <c r="DK22" s="95">
        <f t="shared" si="23"/>
        <v>98.126141540505202</v>
      </c>
      <c r="DL22" s="95">
        <f t="shared" si="23"/>
        <v>97.44736098452961</v>
      </c>
      <c r="DM22" s="95">
        <f t="shared" si="23"/>
        <v>98.809214633611603</v>
      </c>
      <c r="DN22" s="95">
        <f t="shared" si="23"/>
        <v>109.46825271887306</v>
      </c>
      <c r="DO22" s="95">
        <f t="shared" si="23"/>
        <v>112.18777497974308</v>
      </c>
      <c r="DP22" s="95">
        <f t="shared" si="23"/>
        <v>104.6731341673261</v>
      </c>
      <c r="DQ22" s="95">
        <f t="shared" si="23"/>
        <v>99.751202960743115</v>
      </c>
      <c r="DR22" s="95">
        <f t="shared" si="23"/>
        <v>91.432113215512075</v>
      </c>
      <c r="DS22" s="95">
        <f t="shared" si="23"/>
        <v>100.09430783581499</v>
      </c>
      <c r="DT22" s="95">
        <f t="shared" si="23"/>
        <v>109.26798360793055</v>
      </c>
      <c r="DU22" s="95">
        <f t="shared" si="23"/>
        <v>112.09668113463556</v>
      </c>
      <c r="DV22" s="95">
        <f t="shared" si="23"/>
        <v>106.24196523568463</v>
      </c>
      <c r="DW22" s="95">
        <f t="shared" si="23"/>
        <v>95.703698685247659</v>
      </c>
      <c r="DX22" s="95">
        <f t="shared" si="23"/>
        <v>96.305980879629985</v>
      </c>
      <c r="DY22" s="95">
        <f t="shared" si="23"/>
        <v>97.722415537176573</v>
      </c>
      <c r="DZ22" s="95">
        <f t="shared" ref="DZ22:EO22" si="24">DZ8*-1</f>
        <v>104.26627058195537</v>
      </c>
      <c r="EA22" s="95">
        <f t="shared" si="24"/>
        <v>106.75746441901158</v>
      </c>
      <c r="EB22" s="95">
        <f t="shared" si="24"/>
        <v>101.96046668303148</v>
      </c>
      <c r="EC22" s="95">
        <f t="shared" si="24"/>
        <v>97.711189425804733</v>
      </c>
      <c r="ED22" s="95">
        <f t="shared" si="24"/>
        <v>88.541618222603006</v>
      </c>
      <c r="EE22" s="95">
        <f t="shared" si="24"/>
        <v>98.380957319978023</v>
      </c>
      <c r="EF22" s="95">
        <f t="shared" si="24"/>
        <v>107.46897606632459</v>
      </c>
      <c r="EG22" s="95">
        <f t="shared" si="24"/>
        <v>109.05020199253882</v>
      </c>
      <c r="EH22" s="95">
        <f t="shared" si="24"/>
        <v>103.14570226891911</v>
      </c>
      <c r="EI22" s="95">
        <f t="shared" si="24"/>
        <v>93.17646861421737</v>
      </c>
      <c r="EJ22" s="95">
        <f t="shared" si="24"/>
        <v>93.61116957174572</v>
      </c>
      <c r="EK22" s="95">
        <f t="shared" si="24"/>
        <v>95.684261394336957</v>
      </c>
      <c r="EL22" s="95">
        <f t="shared" si="24"/>
        <v>102.17594129352966</v>
      </c>
      <c r="EM22" s="95">
        <f t="shared" si="24"/>
        <v>102.76696502441858</v>
      </c>
      <c r="EN22" s="95">
        <f t="shared" si="24"/>
        <v>98.637027325823539</v>
      </c>
      <c r="EO22" s="95">
        <f t="shared" si="24"/>
        <v>95.485809482724804</v>
      </c>
    </row>
    <row r="23" spans="1:145" x14ac:dyDescent="0.25">
      <c r="A23" s="1008">
        <v>2005</v>
      </c>
      <c r="B23" s="95">
        <f t="shared" ref="B23:AG23" si="25">B9*-1</f>
        <v>83.940611378758362</v>
      </c>
      <c r="C23" s="95">
        <f t="shared" si="25"/>
        <v>94.218331668976077</v>
      </c>
      <c r="D23" s="95">
        <f t="shared" si="25"/>
        <v>102.99472306675952</v>
      </c>
      <c r="E23" s="95">
        <f t="shared" si="25"/>
        <v>104.683914348816</v>
      </c>
      <c r="F23" s="95">
        <f t="shared" si="25"/>
        <v>98.453686999994432</v>
      </c>
      <c r="G23" s="95">
        <f t="shared" si="25"/>
        <v>88.380394585651956</v>
      </c>
      <c r="H23" s="95">
        <f t="shared" si="25"/>
        <v>88.129716958435637</v>
      </c>
      <c r="I23" s="95">
        <f t="shared" si="25"/>
        <v>90.421173099959759</v>
      </c>
      <c r="J23" s="95">
        <f t="shared" si="25"/>
        <v>97.357072482820186</v>
      </c>
      <c r="K23" s="95">
        <f t="shared" si="25"/>
        <v>97.79455913727277</v>
      </c>
      <c r="L23" s="95">
        <f t="shared" si="25"/>
        <v>92.749473724576063</v>
      </c>
      <c r="M23" s="95">
        <f t="shared" si="25"/>
        <v>89.196563336887493</v>
      </c>
      <c r="N23" s="95">
        <f t="shared" si="25"/>
        <v>82.335987968054184</v>
      </c>
      <c r="O23" s="95">
        <f t="shared" si="25"/>
        <v>91.940322354876713</v>
      </c>
      <c r="P23" s="95">
        <f t="shared" si="25"/>
        <v>100.56122153553346</v>
      </c>
      <c r="Q23" s="95">
        <f t="shared" si="25"/>
        <v>101.94964351091349</v>
      </c>
      <c r="R23" s="95">
        <f t="shared" si="25"/>
        <v>95.920958557726749</v>
      </c>
      <c r="S23" s="95">
        <f t="shared" si="25"/>
        <v>86.053452614622842</v>
      </c>
      <c r="T23" s="95">
        <f t="shared" si="25"/>
        <v>87.506406757564889</v>
      </c>
      <c r="U23" s="95">
        <f t="shared" si="25"/>
        <v>89.135810563899966</v>
      </c>
      <c r="V23" s="95">
        <f t="shared" si="25"/>
        <v>95.675369347104706</v>
      </c>
      <c r="W23" s="95">
        <f t="shared" si="25"/>
        <v>95.781781141957154</v>
      </c>
      <c r="X23" s="95">
        <f t="shared" si="25"/>
        <v>91.413348552018306</v>
      </c>
      <c r="Y23" s="95">
        <f t="shared" si="25"/>
        <v>88.475126186375846</v>
      </c>
      <c r="Z23" s="95">
        <f t="shared" si="25"/>
        <v>78.243296046511162</v>
      </c>
      <c r="AA23" s="95">
        <f t="shared" si="25"/>
        <v>86.599564294509236</v>
      </c>
      <c r="AB23" s="95">
        <f t="shared" si="25"/>
        <v>96.589140919734518</v>
      </c>
      <c r="AC23" s="95">
        <f t="shared" si="25"/>
        <v>99.735161177198819</v>
      </c>
      <c r="AD23" s="95">
        <f t="shared" si="25"/>
        <v>94.076679266026844</v>
      </c>
      <c r="AE23" s="95">
        <f t="shared" si="25"/>
        <v>84.075670387022157</v>
      </c>
      <c r="AF23" s="95">
        <f t="shared" si="25"/>
        <v>87.575942625797722</v>
      </c>
      <c r="AG23" s="95">
        <f t="shared" si="25"/>
        <v>88.643536316760503</v>
      </c>
      <c r="AH23" s="95">
        <f t="shared" ref="AH23:BM23" si="26">AH9*-1</f>
        <v>95.024735511030372</v>
      </c>
      <c r="AI23" s="95">
        <f t="shared" si="26"/>
        <v>95.504852241463624</v>
      </c>
      <c r="AJ23" s="95">
        <f t="shared" si="26"/>
        <v>91.437026039455603</v>
      </c>
      <c r="AK23" s="95">
        <f t="shared" si="26"/>
        <v>88.337653852241459</v>
      </c>
      <c r="AL23" s="95">
        <f t="shared" si="26"/>
        <v>85.212937075471928</v>
      </c>
      <c r="AM23" s="95">
        <f t="shared" si="26"/>
        <v>93.198130602115839</v>
      </c>
      <c r="AN23" s="95">
        <f t="shared" si="26"/>
        <v>103.82663877965304</v>
      </c>
      <c r="AO23" s="95">
        <f t="shared" si="26"/>
        <v>107.7104016181564</v>
      </c>
      <c r="AP23" s="95">
        <f t="shared" si="26"/>
        <v>101.04382760010235</v>
      </c>
      <c r="AQ23" s="95">
        <f t="shared" si="26"/>
        <v>89.892114579316427</v>
      </c>
      <c r="AR23" s="95">
        <f t="shared" si="26"/>
        <v>88.228835872097108</v>
      </c>
      <c r="AS23" s="95">
        <f t="shared" si="26"/>
        <v>89.74283761785631</v>
      </c>
      <c r="AT23" s="95">
        <f t="shared" si="26"/>
        <v>96.246825977825367</v>
      </c>
      <c r="AU23" s="95">
        <f t="shared" si="26"/>
        <v>97.550712829686915</v>
      </c>
      <c r="AV23" s="95">
        <f t="shared" si="26"/>
        <v>92.548043714581254</v>
      </c>
      <c r="AW23" s="95">
        <f t="shared" si="26"/>
        <v>88.95650453532042</v>
      </c>
      <c r="AX23" s="95">
        <f t="shared" si="26"/>
        <v>90.97537939799652</v>
      </c>
      <c r="AY23" s="95">
        <f t="shared" si="26"/>
        <v>100.05010035211507</v>
      </c>
      <c r="AZ23" s="95">
        <f t="shared" si="26"/>
        <v>112.85793747746112</v>
      </c>
      <c r="BA23" s="95">
        <f t="shared" si="26"/>
        <v>116.9204556673578</v>
      </c>
      <c r="BB23" s="95">
        <f t="shared" si="26"/>
        <v>109.81578465465785</v>
      </c>
      <c r="BC23" s="95">
        <f t="shared" si="26"/>
        <v>96.434951721463435</v>
      </c>
      <c r="BD23" s="95">
        <f t="shared" si="26"/>
        <v>95.648600564414835</v>
      </c>
      <c r="BE23" s="95">
        <f t="shared" si="26"/>
        <v>97.092715215576376</v>
      </c>
      <c r="BF23" s="95">
        <f t="shared" si="26"/>
        <v>108.18188629880223</v>
      </c>
      <c r="BG23" s="95">
        <f t="shared" si="26"/>
        <v>109.7813975843264</v>
      </c>
      <c r="BH23" s="95">
        <f t="shared" si="26"/>
        <v>102.23162926616654</v>
      </c>
      <c r="BI23" s="95">
        <f t="shared" si="26"/>
        <v>97.898539557139827</v>
      </c>
      <c r="BJ23" s="95">
        <f t="shared" si="26"/>
        <v>94.848929940128329</v>
      </c>
      <c r="BK23" s="95">
        <f t="shared" si="26"/>
        <v>103.96805641654115</v>
      </c>
      <c r="BL23" s="95">
        <f t="shared" si="26"/>
        <v>117.43028286709936</v>
      </c>
      <c r="BM23" s="95">
        <f t="shared" si="26"/>
        <v>120.43286807981571</v>
      </c>
      <c r="BN23" s="95">
        <f t="shared" ref="BN23:CS23" si="27">BN9*-1</f>
        <v>113.62368162544108</v>
      </c>
      <c r="BO23" s="95">
        <f t="shared" si="27"/>
        <v>100.36885186711969</v>
      </c>
      <c r="BP23" s="95">
        <f t="shared" si="27"/>
        <v>96.492226261502935</v>
      </c>
      <c r="BQ23" s="95">
        <f t="shared" si="27"/>
        <v>97.390230198027595</v>
      </c>
      <c r="BR23" s="95">
        <f t="shared" si="27"/>
        <v>105.83511282407255</v>
      </c>
      <c r="BS23" s="95">
        <f t="shared" si="27"/>
        <v>108.68528446793802</v>
      </c>
      <c r="BT23" s="95">
        <f t="shared" si="27"/>
        <v>103.58049505459883</v>
      </c>
      <c r="BU23" s="95">
        <f t="shared" si="27"/>
        <v>98.513289860210733</v>
      </c>
      <c r="BV23" s="95">
        <f t="shared" si="27"/>
        <v>97.630424987876239</v>
      </c>
      <c r="BW23" s="95">
        <f t="shared" si="27"/>
        <v>106.89029836401077</v>
      </c>
      <c r="BX23" s="95">
        <f t="shared" si="27"/>
        <v>120.51904847169594</v>
      </c>
      <c r="BY23" s="95">
        <f t="shared" si="27"/>
        <v>122.8314960769377</v>
      </c>
      <c r="BZ23" s="95">
        <f t="shared" si="27"/>
        <v>116.40769095279543</v>
      </c>
      <c r="CA23" s="95">
        <f t="shared" si="27"/>
        <v>102.93946536170894</v>
      </c>
      <c r="CB23" s="95">
        <f t="shared" si="27"/>
        <v>93.530513797411757</v>
      </c>
      <c r="CC23" s="95">
        <f t="shared" si="27"/>
        <v>94.817700392407843</v>
      </c>
      <c r="CD23" s="95">
        <f t="shared" si="27"/>
        <v>103.88201272340194</v>
      </c>
      <c r="CE23" s="95">
        <f t="shared" si="27"/>
        <v>107.09357721947981</v>
      </c>
      <c r="CF23" s="95">
        <f t="shared" si="27"/>
        <v>101.78910756522913</v>
      </c>
      <c r="CG23" s="95">
        <f t="shared" si="27"/>
        <v>96.694094497097112</v>
      </c>
      <c r="CH23" s="95">
        <f t="shared" si="27"/>
        <v>99.404330490685567</v>
      </c>
      <c r="CI23" s="95">
        <f t="shared" si="27"/>
        <v>108.48092761232799</v>
      </c>
      <c r="CJ23" s="95">
        <f t="shared" si="27"/>
        <v>123.14069385640997</v>
      </c>
      <c r="CK23" s="95">
        <f t="shared" si="27"/>
        <v>126.45230284592049</v>
      </c>
      <c r="CL23" s="95">
        <f t="shared" si="27"/>
        <v>119.14305059031999</v>
      </c>
      <c r="CM23" s="95">
        <f t="shared" si="27"/>
        <v>104.90804483342968</v>
      </c>
      <c r="CN23" s="95">
        <f t="shared" si="27"/>
        <v>97.690781180814085</v>
      </c>
      <c r="CO23" s="95">
        <f t="shared" si="27"/>
        <v>99.245916473631596</v>
      </c>
      <c r="CP23" s="95">
        <f t="shared" si="27"/>
        <v>109.72139738503824</v>
      </c>
      <c r="CQ23" s="95">
        <f t="shared" si="27"/>
        <v>113.36412585622742</v>
      </c>
      <c r="CR23" s="95">
        <f t="shared" si="27"/>
        <v>107.56005531244578</v>
      </c>
      <c r="CS23" s="95">
        <f t="shared" si="27"/>
        <v>101.92470311650168</v>
      </c>
      <c r="CT23" s="95">
        <f t="shared" ref="CT23:DY23" si="28">CT9*-1</f>
        <v>100.03435834639592</v>
      </c>
      <c r="CU23" s="95">
        <f t="shared" si="28"/>
        <v>108.91974171530558</v>
      </c>
      <c r="CV23" s="95">
        <f t="shared" si="28"/>
        <v>122.11981336717335</v>
      </c>
      <c r="CW23" s="95">
        <f t="shared" si="28"/>
        <v>125.70931848914208</v>
      </c>
      <c r="CX23" s="95">
        <f t="shared" si="28"/>
        <v>118.2916921457842</v>
      </c>
      <c r="CY23" s="95">
        <f t="shared" si="28"/>
        <v>104.39027788279394</v>
      </c>
      <c r="CZ23" s="95">
        <f t="shared" si="28"/>
        <v>104.36969318281371</v>
      </c>
      <c r="DA23" s="95">
        <f t="shared" si="28"/>
        <v>105.12716898193065</v>
      </c>
      <c r="DB23" s="95">
        <f t="shared" si="28"/>
        <v>118.40243671923521</v>
      </c>
      <c r="DC23" s="95">
        <f t="shared" si="28"/>
        <v>121.16052931878403</v>
      </c>
      <c r="DD23" s="95">
        <f t="shared" si="28"/>
        <v>112.98216330731456</v>
      </c>
      <c r="DE23" s="95">
        <f t="shared" si="28"/>
        <v>108.44697973525248</v>
      </c>
      <c r="DF23" s="95">
        <f t="shared" si="28"/>
        <v>93.251140073491328</v>
      </c>
      <c r="DG23" s="95">
        <f t="shared" si="28"/>
        <v>103.03544628832894</v>
      </c>
      <c r="DH23" s="95">
        <f t="shared" si="28"/>
        <v>115.13605786666325</v>
      </c>
      <c r="DI23" s="95">
        <f t="shared" si="28"/>
        <v>118.73015676056991</v>
      </c>
      <c r="DJ23" s="95">
        <f t="shared" si="28"/>
        <v>111.28914717758336</v>
      </c>
      <c r="DK23" s="95">
        <f t="shared" si="28"/>
        <v>98.022456116557152</v>
      </c>
      <c r="DL23" s="95">
        <f t="shared" si="28"/>
        <v>97.164549739990704</v>
      </c>
      <c r="DM23" s="95">
        <f t="shared" si="28"/>
        <v>98.511195538813112</v>
      </c>
      <c r="DN23" s="95">
        <f t="shared" si="28"/>
        <v>109.00194173515138</v>
      </c>
      <c r="DO23" s="95">
        <f t="shared" si="28"/>
        <v>111.81143359282127</v>
      </c>
      <c r="DP23" s="95">
        <f t="shared" si="28"/>
        <v>104.41732994150314</v>
      </c>
      <c r="DQ23" s="95">
        <f t="shared" si="28"/>
        <v>99.467327176536685</v>
      </c>
      <c r="DR23" s="95">
        <f t="shared" si="28"/>
        <v>91.274093064096419</v>
      </c>
      <c r="DS23" s="95">
        <f t="shared" si="28"/>
        <v>99.78262634000825</v>
      </c>
      <c r="DT23" s="95">
        <f t="shared" si="28"/>
        <v>108.95588528914374</v>
      </c>
      <c r="DU23" s="95">
        <f t="shared" si="28"/>
        <v>111.79386679400882</v>
      </c>
      <c r="DV23" s="95">
        <f t="shared" si="28"/>
        <v>105.99051269823023</v>
      </c>
      <c r="DW23" s="95">
        <f t="shared" si="28"/>
        <v>95.52687732468371</v>
      </c>
      <c r="DX23" s="95">
        <f t="shared" si="28"/>
        <v>95.830686564623505</v>
      </c>
      <c r="DY23" s="95">
        <f t="shared" si="28"/>
        <v>97.245190600882225</v>
      </c>
      <c r="DZ23" s="95">
        <f t="shared" ref="DZ23:EO23" si="29">DZ9*-1</f>
        <v>103.71215913534377</v>
      </c>
      <c r="EA23" s="95">
        <f t="shared" si="29"/>
        <v>106.28371983267593</v>
      </c>
      <c r="EB23" s="95">
        <f t="shared" si="29"/>
        <v>101.50231393756681</v>
      </c>
      <c r="EC23" s="95">
        <f t="shared" si="29"/>
        <v>97.234524486984398</v>
      </c>
      <c r="ED23" s="95">
        <f t="shared" si="29"/>
        <v>88.466393969541272</v>
      </c>
      <c r="EE23" s="95">
        <f t="shared" si="29"/>
        <v>98.229426278937851</v>
      </c>
      <c r="EF23" s="95">
        <f t="shared" si="29"/>
        <v>107.31925742354723</v>
      </c>
      <c r="EG23" s="95">
        <f t="shared" si="29"/>
        <v>108.90492275243787</v>
      </c>
      <c r="EH23" s="95">
        <f t="shared" si="29"/>
        <v>103.02383025139952</v>
      </c>
      <c r="EI23" s="95">
        <f t="shared" si="29"/>
        <v>93.092335114476242</v>
      </c>
      <c r="EJ23" s="95">
        <f t="shared" si="29"/>
        <v>91.149773598057024</v>
      </c>
      <c r="EK23" s="95">
        <f t="shared" si="29"/>
        <v>93.155683143108263</v>
      </c>
      <c r="EL23" s="95">
        <f t="shared" si="29"/>
        <v>99.168003387154897</v>
      </c>
      <c r="EM23" s="95">
        <f t="shared" si="29"/>
        <v>100.2431184928196</v>
      </c>
      <c r="EN23" s="95">
        <f t="shared" si="29"/>
        <v>96.276440579676418</v>
      </c>
      <c r="EO23" s="95">
        <f t="shared" si="29"/>
        <v>93.02503556098651</v>
      </c>
    </row>
    <row r="24" spans="1:145" x14ac:dyDescent="0.25">
      <c r="A24" s="1008">
        <v>2006</v>
      </c>
      <c r="B24" s="95">
        <f t="shared" ref="B24:AG24" si="30">B10*-1</f>
        <v>83.877860182244945</v>
      </c>
      <c r="C24" s="95">
        <f t="shared" si="30"/>
        <v>94.089288237840307</v>
      </c>
      <c r="D24" s="95">
        <f t="shared" si="30"/>
        <v>102.86762143769639</v>
      </c>
      <c r="E24" s="95">
        <f t="shared" si="30"/>
        <v>104.56009779449903</v>
      </c>
      <c r="F24" s="95">
        <f t="shared" si="30"/>
        <v>98.351380100815419</v>
      </c>
      <c r="G24" s="95">
        <f t="shared" si="30"/>
        <v>88.310260532530592</v>
      </c>
      <c r="H24" s="95">
        <f t="shared" si="30"/>
        <v>87.960525664117483</v>
      </c>
      <c r="I24" s="95">
        <f t="shared" si="30"/>
        <v>90.245299495263296</v>
      </c>
      <c r="J24" s="95">
        <f t="shared" si="30"/>
        <v>97.144674801018894</v>
      </c>
      <c r="K24" s="95">
        <f t="shared" si="30"/>
        <v>97.61851132314564</v>
      </c>
      <c r="L24" s="95">
        <f t="shared" si="30"/>
        <v>92.586449691822125</v>
      </c>
      <c r="M24" s="95">
        <f t="shared" si="30"/>
        <v>89.026288816479635</v>
      </c>
      <c r="N24" s="95">
        <f t="shared" si="30"/>
        <v>82.226417674574307</v>
      </c>
      <c r="O24" s="95">
        <f t="shared" si="30"/>
        <v>91.717881347408678</v>
      </c>
      <c r="P24" s="95">
        <f t="shared" si="30"/>
        <v>100.34022270199708</v>
      </c>
      <c r="Q24" s="95">
        <f t="shared" si="30"/>
        <v>101.73357238362105</v>
      </c>
      <c r="R24" s="95">
        <f t="shared" si="30"/>
        <v>95.746754152050698</v>
      </c>
      <c r="S24" s="95">
        <f t="shared" si="30"/>
        <v>85.931057410860689</v>
      </c>
      <c r="T24" s="95">
        <f t="shared" si="30"/>
        <v>87.152319571368679</v>
      </c>
      <c r="U24" s="95">
        <f t="shared" si="30"/>
        <v>88.776771671699194</v>
      </c>
      <c r="V24" s="95">
        <f t="shared" si="30"/>
        <v>95.240465282289563</v>
      </c>
      <c r="W24" s="95">
        <f t="shared" si="30"/>
        <v>95.418190575952039</v>
      </c>
      <c r="X24" s="95">
        <f t="shared" si="30"/>
        <v>91.081446013529657</v>
      </c>
      <c r="Y24" s="95">
        <f t="shared" si="30"/>
        <v>88.118499326974785</v>
      </c>
      <c r="Z24" s="95">
        <f t="shared" si="30"/>
        <v>78.255558746479053</v>
      </c>
      <c r="AA24" s="95">
        <f t="shared" si="30"/>
        <v>86.624734161767506</v>
      </c>
      <c r="AB24" s="95">
        <f t="shared" si="30"/>
        <v>96.614661924181817</v>
      </c>
      <c r="AC24" s="95">
        <f t="shared" si="30"/>
        <v>99.760177344559679</v>
      </c>
      <c r="AD24" s="95">
        <f t="shared" si="30"/>
        <v>94.09677709459072</v>
      </c>
      <c r="AE24" s="95">
        <f t="shared" si="30"/>
        <v>84.089502173340676</v>
      </c>
      <c r="AF24" s="95">
        <f t="shared" si="30"/>
        <v>87.623688914720134</v>
      </c>
      <c r="AG24" s="95">
        <f t="shared" si="30"/>
        <v>88.690098204353376</v>
      </c>
      <c r="AH24" s="95">
        <f t="shared" ref="AH24:BM24" si="31">AH10*-1</f>
        <v>95.080517329796095</v>
      </c>
      <c r="AI24" s="95">
        <f t="shared" si="31"/>
        <v>95.551881317165979</v>
      </c>
      <c r="AJ24" s="95">
        <f t="shared" si="31"/>
        <v>91.481505950288692</v>
      </c>
      <c r="AK24" s="95">
        <f t="shared" si="31"/>
        <v>88.385449160245741</v>
      </c>
      <c r="AL24" s="95">
        <f t="shared" si="31"/>
        <v>85.144614974169002</v>
      </c>
      <c r="AM24" s="95">
        <f t="shared" si="31"/>
        <v>93.055685458514645</v>
      </c>
      <c r="AN24" s="95">
        <f t="shared" si="31"/>
        <v>103.67067541295371</v>
      </c>
      <c r="AO24" s="95">
        <f t="shared" si="31"/>
        <v>107.5505675763504</v>
      </c>
      <c r="AP24" s="95">
        <f t="shared" si="31"/>
        <v>100.92218657288203</v>
      </c>
      <c r="AQ24" s="95">
        <f t="shared" si="31"/>
        <v>89.814289297768624</v>
      </c>
      <c r="AR24" s="95">
        <f t="shared" si="31"/>
        <v>86.969706971984408</v>
      </c>
      <c r="AS24" s="95">
        <f t="shared" si="31"/>
        <v>88.498613916782034</v>
      </c>
      <c r="AT24" s="95">
        <f t="shared" si="31"/>
        <v>94.668884458561863</v>
      </c>
      <c r="AU24" s="95">
        <f t="shared" si="31"/>
        <v>96.215420171129324</v>
      </c>
      <c r="AV24" s="95">
        <f t="shared" si="31"/>
        <v>91.449154911263506</v>
      </c>
      <c r="AW24" s="95">
        <f t="shared" si="31"/>
        <v>87.701925198746693</v>
      </c>
      <c r="AX24" s="95">
        <f t="shared" si="31"/>
        <v>90.792003208627264</v>
      </c>
      <c r="AY24" s="95">
        <f t="shared" si="31"/>
        <v>99.544620149203539</v>
      </c>
      <c r="AZ24" s="95">
        <f t="shared" si="31"/>
        <v>112.22851683353394</v>
      </c>
      <c r="BA24" s="95">
        <f t="shared" si="31"/>
        <v>116.2777039040443</v>
      </c>
      <c r="BB24" s="95">
        <f t="shared" si="31"/>
        <v>109.30400855644429</v>
      </c>
      <c r="BC24" s="95">
        <f t="shared" si="31"/>
        <v>96.206520905585023</v>
      </c>
      <c r="BD24" s="95">
        <f t="shared" si="31"/>
        <v>95.79914981139467</v>
      </c>
      <c r="BE24" s="95">
        <f t="shared" si="31"/>
        <v>97.240494507269617</v>
      </c>
      <c r="BF24" s="95">
        <f t="shared" si="31"/>
        <v>108.43642490090517</v>
      </c>
      <c r="BG24" s="95">
        <f t="shared" si="31"/>
        <v>109.98320292010919</v>
      </c>
      <c r="BH24" s="95">
        <f t="shared" si="31"/>
        <v>102.35684994505527</v>
      </c>
      <c r="BI24" s="95">
        <f t="shared" si="31"/>
        <v>98.048258355794701</v>
      </c>
      <c r="BJ24" s="95">
        <f t="shared" si="31"/>
        <v>94.825946141850608</v>
      </c>
      <c r="BK24" s="95">
        <f t="shared" si="31"/>
        <v>103.89083990743592</v>
      </c>
      <c r="BL24" s="95">
        <f t="shared" si="31"/>
        <v>117.3287538338686</v>
      </c>
      <c r="BM24" s="95">
        <f t="shared" si="31"/>
        <v>120.32642592373416</v>
      </c>
      <c r="BN24" s="95">
        <f t="shared" ref="BN24:CS24" si="32">BN10*-1</f>
        <v>113.53729146554014</v>
      </c>
      <c r="BO24" s="95">
        <f t="shared" si="32"/>
        <v>100.33903672425939</v>
      </c>
      <c r="BP24" s="95">
        <f t="shared" si="32"/>
        <v>96.347818563118636</v>
      </c>
      <c r="BQ24" s="95">
        <f t="shared" si="32"/>
        <v>97.254094357788532</v>
      </c>
      <c r="BR24" s="95">
        <f t="shared" si="32"/>
        <v>105.60129278621964</v>
      </c>
      <c r="BS24" s="95">
        <f t="shared" si="32"/>
        <v>108.49430592031815</v>
      </c>
      <c r="BT24" s="95">
        <f t="shared" si="32"/>
        <v>103.46108710247348</v>
      </c>
      <c r="BU24" s="95">
        <f t="shared" si="32"/>
        <v>98.374294334891104</v>
      </c>
      <c r="BV24" s="95">
        <f t="shared" si="32"/>
        <v>97.59350457516652</v>
      </c>
      <c r="BW24" s="95">
        <f t="shared" si="32"/>
        <v>106.76777493901902</v>
      </c>
      <c r="BX24" s="95">
        <f t="shared" si="32"/>
        <v>120.3586723731311</v>
      </c>
      <c r="BY24" s="95">
        <f t="shared" si="32"/>
        <v>122.66546902324043</v>
      </c>
      <c r="BZ24" s="95">
        <f t="shared" si="32"/>
        <v>116.27121687993522</v>
      </c>
      <c r="CA24" s="95">
        <f t="shared" si="32"/>
        <v>102.89090932907214</v>
      </c>
      <c r="CB24" s="95">
        <f t="shared" si="32"/>
        <v>93.399746500090188</v>
      </c>
      <c r="CC24" s="95">
        <f t="shared" si="32"/>
        <v>94.689340136243118</v>
      </c>
      <c r="CD24" s="95">
        <f t="shared" si="32"/>
        <v>103.59320684899383</v>
      </c>
      <c r="CE24" s="95">
        <f t="shared" si="32"/>
        <v>106.87296794267749</v>
      </c>
      <c r="CF24" s="95">
        <f t="shared" si="32"/>
        <v>101.68035076770825</v>
      </c>
      <c r="CG24" s="95">
        <f t="shared" si="32"/>
        <v>96.564054382193802</v>
      </c>
      <c r="CH24" s="95">
        <f t="shared" si="32"/>
        <v>99.3705045151371</v>
      </c>
      <c r="CI24" s="95">
        <f t="shared" si="32"/>
        <v>108.36629897920977</v>
      </c>
      <c r="CJ24" s="95">
        <f t="shared" si="32"/>
        <v>122.98845195185979</v>
      </c>
      <c r="CK24" s="95">
        <f t="shared" si="32"/>
        <v>126.2942958844458</v>
      </c>
      <c r="CL24" s="95">
        <f t="shared" si="32"/>
        <v>119.01523598102396</v>
      </c>
      <c r="CM24" s="95">
        <f t="shared" si="32"/>
        <v>104.86314216627652</v>
      </c>
      <c r="CN24" s="95">
        <f t="shared" si="32"/>
        <v>97.485024880444612</v>
      </c>
      <c r="CO24" s="95">
        <f t="shared" si="32"/>
        <v>99.043938729388302</v>
      </c>
      <c r="CP24" s="95">
        <f t="shared" si="32"/>
        <v>109.32527291128264</v>
      </c>
      <c r="CQ24" s="95">
        <f t="shared" si="32"/>
        <v>113.04452810313073</v>
      </c>
      <c r="CR24" s="95">
        <f t="shared" si="32"/>
        <v>107.38892048785854</v>
      </c>
      <c r="CS24" s="95">
        <f t="shared" si="32"/>
        <v>101.72009016106321</v>
      </c>
      <c r="CT24" s="95">
        <f t="shared" ref="CT24:DY24" si="33">CT10*-1</f>
        <v>100.01368667435153</v>
      </c>
      <c r="CU24" s="95">
        <f t="shared" si="33"/>
        <v>108.8577469521374</v>
      </c>
      <c r="CV24" s="95">
        <f t="shared" si="33"/>
        <v>122.04483826768845</v>
      </c>
      <c r="CW24" s="95">
        <f t="shared" si="33"/>
        <v>125.63164109935661</v>
      </c>
      <c r="CX24" s="95">
        <f t="shared" si="33"/>
        <v>118.2277392979601</v>
      </c>
      <c r="CY24" s="95">
        <f t="shared" si="33"/>
        <v>104.36386084315463</v>
      </c>
      <c r="CZ24" s="95">
        <f t="shared" si="33"/>
        <v>103.42017143100307</v>
      </c>
      <c r="DA24" s="95">
        <f t="shared" si="33"/>
        <v>104.16201865973299</v>
      </c>
      <c r="DB24" s="95">
        <f t="shared" si="33"/>
        <v>116.65787407681461</v>
      </c>
      <c r="DC24" s="95">
        <f t="shared" si="33"/>
        <v>119.78705265099711</v>
      </c>
      <c r="DD24" s="95">
        <f t="shared" si="33"/>
        <v>112.15927734374741</v>
      </c>
      <c r="DE24" s="95">
        <f t="shared" si="33"/>
        <v>107.49828220103964</v>
      </c>
      <c r="DF24" s="95">
        <f t="shared" si="33"/>
        <v>93.133903450402698</v>
      </c>
      <c r="DG24" s="95">
        <f t="shared" si="33"/>
        <v>102.72320106144585</v>
      </c>
      <c r="DH24" s="95">
        <f t="shared" si="33"/>
        <v>114.78469553814659</v>
      </c>
      <c r="DI24" s="95">
        <f t="shared" si="33"/>
        <v>118.37233558050985</v>
      </c>
      <c r="DJ24" s="95">
        <f t="shared" si="33"/>
        <v>111.00285135780298</v>
      </c>
      <c r="DK24" s="95">
        <f t="shared" si="33"/>
        <v>97.878781782932975</v>
      </c>
      <c r="DL24" s="95">
        <f t="shared" si="33"/>
        <v>97.712631913087222</v>
      </c>
      <c r="DM24" s="95">
        <f t="shared" si="33"/>
        <v>99.088741157398118</v>
      </c>
      <c r="DN24" s="95">
        <f t="shared" si="33"/>
        <v>109.90562921889652</v>
      </c>
      <c r="DO24" s="95">
        <f t="shared" si="33"/>
        <v>112.54076564191497</v>
      </c>
      <c r="DP24" s="95">
        <f t="shared" si="33"/>
        <v>104.91307877979831</v>
      </c>
      <c r="DQ24" s="95">
        <f t="shared" si="33"/>
        <v>100.01747250072549</v>
      </c>
      <c r="DR24" s="95">
        <f t="shared" si="33"/>
        <v>91.138016973576981</v>
      </c>
      <c r="DS24" s="95">
        <f t="shared" si="33"/>
        <v>99.514232901244995</v>
      </c>
      <c r="DT24" s="95">
        <f t="shared" si="33"/>
        <v>108.68714505598207</v>
      </c>
      <c r="DU24" s="95">
        <f t="shared" si="33"/>
        <v>111.53309842589927</v>
      </c>
      <c r="DV24" s="95">
        <f t="shared" si="33"/>
        <v>105.77396876346387</v>
      </c>
      <c r="DW24" s="95">
        <f t="shared" si="33"/>
        <v>95.374609454553251</v>
      </c>
      <c r="DX24" s="95">
        <f t="shared" si="33"/>
        <v>95.421405695866156</v>
      </c>
      <c r="DY24" s="95">
        <f t="shared" si="33"/>
        <v>96.834243543662453</v>
      </c>
      <c r="DZ24" s="95">
        <f t="shared" ref="DZ24:EO24" si="34">DZ10*-1</f>
        <v>103.23500502654473</v>
      </c>
      <c r="EA24" s="95">
        <f t="shared" si="34"/>
        <v>105.8757770290695</v>
      </c>
      <c r="EB24" s="95">
        <f t="shared" si="34"/>
        <v>101.10780080654163</v>
      </c>
      <c r="EC24" s="95">
        <f t="shared" si="34"/>
        <v>96.824058889520728</v>
      </c>
      <c r="ED24" s="95">
        <f t="shared" si="34"/>
        <v>84.356956435997489</v>
      </c>
      <c r="EE24" s="95">
        <f t="shared" si="34"/>
        <v>92.519532151678703</v>
      </c>
      <c r="EF24" s="95">
        <f t="shared" si="34"/>
        <v>97.54762390236472</v>
      </c>
      <c r="EG24" s="95">
        <f t="shared" si="34"/>
        <v>98.508155282080082</v>
      </c>
      <c r="EH24" s="95">
        <f t="shared" si="34"/>
        <v>94.776631725139879</v>
      </c>
      <c r="EI24" s="95">
        <f t="shared" si="34"/>
        <v>87.793884190949925</v>
      </c>
      <c r="EJ24" s="95">
        <f t="shared" si="34"/>
        <v>86.19353173863945</v>
      </c>
      <c r="EK24" s="95">
        <f t="shared" si="34"/>
        <v>88.139358062804192</v>
      </c>
      <c r="EL24" s="95">
        <f t="shared" si="34"/>
        <v>93.475666884604749</v>
      </c>
      <c r="EM24" s="95">
        <f t="shared" si="34"/>
        <v>94.462721764887959</v>
      </c>
      <c r="EN24" s="95">
        <f t="shared" si="34"/>
        <v>91.042715423613359</v>
      </c>
      <c r="EO24" s="95">
        <f t="shared" si="34"/>
        <v>87.964022025568696</v>
      </c>
    </row>
    <row r="25" spans="1:145" x14ac:dyDescent="0.25">
      <c r="A25" s="1008">
        <v>2007</v>
      </c>
      <c r="B25" s="95">
        <f t="shared" ref="B25:AG25" si="35">B11*-1</f>
        <v>79.630718526475107</v>
      </c>
      <c r="C25" s="95">
        <f t="shared" si="35"/>
        <v>88.128804560777709</v>
      </c>
      <c r="D25" s="95">
        <f t="shared" si="35"/>
        <v>92.984190239023405</v>
      </c>
      <c r="E25" s="95">
        <f t="shared" si="35"/>
        <v>94.030263691170177</v>
      </c>
      <c r="F25" s="95">
        <f t="shared" si="35"/>
        <v>89.952865630833145</v>
      </c>
      <c r="G25" s="95">
        <f t="shared" si="35"/>
        <v>83.025987762975149</v>
      </c>
      <c r="H25" s="95">
        <f t="shared" si="35"/>
        <v>84.818775977632797</v>
      </c>
      <c r="I25" s="95">
        <f t="shared" si="35"/>
        <v>87.121664887232157</v>
      </c>
      <c r="J25" s="95">
        <f t="shared" si="35"/>
        <v>93.603791558187538</v>
      </c>
      <c r="K25" s="95">
        <f t="shared" si="35"/>
        <v>93.567371980109613</v>
      </c>
      <c r="L25" s="95">
        <f t="shared" si="35"/>
        <v>88.976807065206941</v>
      </c>
      <c r="M25" s="95">
        <f t="shared" si="35"/>
        <v>85.752240680235587</v>
      </c>
      <c r="N25" s="95">
        <f t="shared" si="35"/>
        <v>78.129871678504401</v>
      </c>
      <c r="O25" s="95">
        <f t="shared" si="35"/>
        <v>85.91661972931945</v>
      </c>
      <c r="P25" s="95">
        <f t="shared" si="35"/>
        <v>90.481461235355397</v>
      </c>
      <c r="Q25" s="95">
        <f t="shared" si="35"/>
        <v>91.241387508838187</v>
      </c>
      <c r="R25" s="95">
        <f t="shared" si="35"/>
        <v>87.369565391220476</v>
      </c>
      <c r="S25" s="95">
        <f t="shared" si="35"/>
        <v>80.722144924576327</v>
      </c>
      <c r="T25" s="95">
        <f t="shared" si="35"/>
        <v>82.787846913019266</v>
      </c>
      <c r="U25" s="95">
        <f t="shared" si="35"/>
        <v>84.374162192261451</v>
      </c>
      <c r="V25" s="95">
        <f t="shared" si="35"/>
        <v>90.187461091133045</v>
      </c>
      <c r="W25" s="95">
        <f t="shared" si="35"/>
        <v>90.136414008678855</v>
      </c>
      <c r="X25" s="95">
        <f t="shared" si="35"/>
        <v>86.344649090018905</v>
      </c>
      <c r="Y25" s="95">
        <f t="shared" si="35"/>
        <v>83.628441876583096</v>
      </c>
      <c r="Z25" s="95">
        <f t="shared" si="35"/>
        <v>74.334874582424945</v>
      </c>
      <c r="AA25" s="95">
        <f t="shared" si="35"/>
        <v>81.082758600030175</v>
      </c>
      <c r="AB25" s="95">
        <f t="shared" si="35"/>
        <v>86.763929773910363</v>
      </c>
      <c r="AC25" s="95">
        <f t="shared" si="35"/>
        <v>89.225257552698395</v>
      </c>
      <c r="AD25" s="95">
        <f t="shared" si="35"/>
        <v>85.679218764769416</v>
      </c>
      <c r="AE25" s="95">
        <f t="shared" si="35"/>
        <v>79.006107644319741</v>
      </c>
      <c r="AF25" s="95">
        <f t="shared" si="35"/>
        <v>82.294899376700116</v>
      </c>
      <c r="AG25" s="95">
        <f t="shared" si="35"/>
        <v>83.31102382304114</v>
      </c>
      <c r="AH25" s="95">
        <f t="shared" ref="AH25:BM25" si="36">AH11*-1</f>
        <v>88.8651452471846</v>
      </c>
      <c r="AI25" s="95">
        <f t="shared" si="36"/>
        <v>89.231966473800085</v>
      </c>
      <c r="AJ25" s="95">
        <f t="shared" si="36"/>
        <v>85.867080574878415</v>
      </c>
      <c r="AK25" s="95">
        <f t="shared" si="36"/>
        <v>82.910297862288203</v>
      </c>
      <c r="AL25" s="95">
        <f t="shared" si="36"/>
        <v>81.149144308994309</v>
      </c>
      <c r="AM25" s="95">
        <f t="shared" si="36"/>
        <v>87.404275973043895</v>
      </c>
      <c r="AN25" s="95">
        <f t="shared" si="36"/>
        <v>93.678707315969064</v>
      </c>
      <c r="AO25" s="95">
        <f t="shared" si="36"/>
        <v>96.680216463520821</v>
      </c>
      <c r="AP25" s="95">
        <f t="shared" si="36"/>
        <v>92.309065170657675</v>
      </c>
      <c r="AQ25" s="95">
        <f t="shared" si="36"/>
        <v>84.663445842535666</v>
      </c>
      <c r="AR25" s="95">
        <f t="shared" si="36"/>
        <v>83.82345067435287</v>
      </c>
      <c r="AS25" s="95">
        <f t="shared" si="36"/>
        <v>85.186829526263196</v>
      </c>
      <c r="AT25" s="95">
        <f t="shared" si="36"/>
        <v>91.054190867940747</v>
      </c>
      <c r="AU25" s="95">
        <f t="shared" si="36"/>
        <v>92.20202892918563</v>
      </c>
      <c r="AV25" s="95">
        <f t="shared" si="36"/>
        <v>87.789640448290143</v>
      </c>
      <c r="AW25" s="95">
        <f t="shared" si="36"/>
        <v>84.344562173073825</v>
      </c>
      <c r="AX25" s="95">
        <f t="shared" si="36"/>
        <v>86.72649412613228</v>
      </c>
      <c r="AY25" s="95">
        <f t="shared" si="36"/>
        <v>93.517277313713635</v>
      </c>
      <c r="AZ25" s="95">
        <f t="shared" si="36"/>
        <v>101.47391768712731</v>
      </c>
      <c r="BA25" s="95">
        <f t="shared" si="36"/>
        <v>104.6961627872596</v>
      </c>
      <c r="BB25" s="95">
        <f t="shared" si="36"/>
        <v>100.22848205648394</v>
      </c>
      <c r="BC25" s="95">
        <f t="shared" si="36"/>
        <v>90.938815105038771</v>
      </c>
      <c r="BD25" s="95">
        <f t="shared" si="36"/>
        <v>91.367627931393457</v>
      </c>
      <c r="BE25" s="95">
        <f t="shared" si="36"/>
        <v>92.826712554698474</v>
      </c>
      <c r="BF25" s="95">
        <f t="shared" si="36"/>
        <v>102.85953981465867</v>
      </c>
      <c r="BG25" s="95">
        <f t="shared" si="36"/>
        <v>103.97040526113292</v>
      </c>
      <c r="BH25" s="95">
        <f t="shared" si="36"/>
        <v>97.590886236097688</v>
      </c>
      <c r="BI25" s="95">
        <f t="shared" si="36"/>
        <v>93.473427489486184</v>
      </c>
      <c r="BJ25" s="95">
        <f t="shared" si="36"/>
        <v>90.730088603195895</v>
      </c>
      <c r="BK25" s="95">
        <f t="shared" si="36"/>
        <v>97.372964913620493</v>
      </c>
      <c r="BL25" s="95">
        <f t="shared" si="36"/>
        <v>105.53484358481157</v>
      </c>
      <c r="BM25" s="95">
        <f t="shared" si="36"/>
        <v>107.84693133261744</v>
      </c>
      <c r="BN25" s="95">
        <f t="shared" ref="BN25:CS25" si="37">BN11*-1</f>
        <v>103.7560406591673</v>
      </c>
      <c r="BO25" s="95">
        <f t="shared" si="37"/>
        <v>94.909402233320236</v>
      </c>
      <c r="BP25" s="95">
        <f t="shared" si="37"/>
        <v>92.047602594188547</v>
      </c>
      <c r="BQ25" s="95">
        <f t="shared" si="37"/>
        <v>93.00775147727893</v>
      </c>
      <c r="BR25" s="95">
        <f t="shared" si="37"/>
        <v>100.15993406282236</v>
      </c>
      <c r="BS25" s="95">
        <f t="shared" si="37"/>
        <v>102.51999222309126</v>
      </c>
      <c r="BT25" s="95">
        <f t="shared" si="37"/>
        <v>98.5730873973949</v>
      </c>
      <c r="BU25" s="95">
        <f t="shared" si="37"/>
        <v>93.861104795928298</v>
      </c>
      <c r="BV25" s="95">
        <f t="shared" si="37"/>
        <v>93.195876199159315</v>
      </c>
      <c r="BW25" s="95">
        <f t="shared" si="37"/>
        <v>99.496190964835435</v>
      </c>
      <c r="BX25" s="95">
        <f t="shared" si="37"/>
        <v>107.85628409355022</v>
      </c>
      <c r="BY25" s="95">
        <f t="shared" si="37"/>
        <v>109.64282999178189</v>
      </c>
      <c r="BZ25" s="95">
        <f t="shared" si="37"/>
        <v>106.12497560812244</v>
      </c>
      <c r="CA25" s="95">
        <f t="shared" si="37"/>
        <v>97.224919129293681</v>
      </c>
      <c r="CB25" s="95">
        <f t="shared" si="37"/>
        <v>89.093291141933676</v>
      </c>
      <c r="CC25" s="95">
        <f t="shared" si="37"/>
        <v>90.416081330770638</v>
      </c>
      <c r="CD25" s="95">
        <f t="shared" si="37"/>
        <v>97.965528883078136</v>
      </c>
      <c r="CE25" s="95">
        <f t="shared" si="37"/>
        <v>100.74210420338945</v>
      </c>
      <c r="CF25" s="95">
        <f t="shared" si="37"/>
        <v>96.913378590903704</v>
      </c>
      <c r="CG25" s="95">
        <f t="shared" si="37"/>
        <v>92.103038912928199</v>
      </c>
      <c r="CH25" s="95">
        <f t="shared" si="37"/>
        <v>94.99445701883792</v>
      </c>
      <c r="CI25" s="95">
        <f t="shared" si="37"/>
        <v>101.09309666667565</v>
      </c>
      <c r="CJ25" s="95">
        <f t="shared" si="37"/>
        <v>110.14256305806434</v>
      </c>
      <c r="CK25" s="95">
        <f t="shared" si="37"/>
        <v>112.91275320239833</v>
      </c>
      <c r="CL25" s="95">
        <f t="shared" si="37"/>
        <v>108.62399733463103</v>
      </c>
      <c r="CM25" s="95">
        <f t="shared" si="37"/>
        <v>99.178365610544006</v>
      </c>
      <c r="CN25" s="95">
        <f t="shared" si="37"/>
        <v>93.043524071039243</v>
      </c>
      <c r="CO25" s="95">
        <f t="shared" si="37"/>
        <v>94.606627583771399</v>
      </c>
      <c r="CP25" s="95">
        <f t="shared" si="37"/>
        <v>103.56187458150256</v>
      </c>
      <c r="CQ25" s="95">
        <f t="shared" si="37"/>
        <v>106.83536760622869</v>
      </c>
      <c r="CR25" s="95">
        <f t="shared" si="37"/>
        <v>102.46869212052928</v>
      </c>
      <c r="CS25" s="95">
        <f t="shared" si="37"/>
        <v>97.047158691385391</v>
      </c>
      <c r="CT25" s="95">
        <f t="shared" ref="CT25:DY25" si="38">CT11*-1</f>
        <v>95.746951671499673</v>
      </c>
      <c r="CU25" s="95">
        <f t="shared" si="38"/>
        <v>102.26640855681623</v>
      </c>
      <c r="CV25" s="95">
        <f t="shared" si="38"/>
        <v>110.39951826148317</v>
      </c>
      <c r="CW25" s="95">
        <f t="shared" si="38"/>
        <v>113.30700876886439</v>
      </c>
      <c r="CX25" s="95">
        <f t="shared" si="38"/>
        <v>108.59877631693023</v>
      </c>
      <c r="CY25" s="95">
        <f t="shared" si="38"/>
        <v>98.77878961793084</v>
      </c>
      <c r="CZ25" s="95">
        <f t="shared" si="38"/>
        <v>98.448148153430566</v>
      </c>
      <c r="DA25" s="95">
        <f t="shared" si="38"/>
        <v>99.21904284344329</v>
      </c>
      <c r="DB25" s="95">
        <f t="shared" si="38"/>
        <v>110.26202744759105</v>
      </c>
      <c r="DC25" s="95">
        <f t="shared" si="38"/>
        <v>113.14576306816451</v>
      </c>
      <c r="DD25" s="95">
        <f t="shared" si="38"/>
        <v>106.78488799615741</v>
      </c>
      <c r="DE25" s="95">
        <f t="shared" si="38"/>
        <v>102.32194280512796</v>
      </c>
      <c r="DF25" s="95">
        <f t="shared" si="38"/>
        <v>89.007396131640263</v>
      </c>
      <c r="DG25" s="95">
        <f t="shared" si="38"/>
        <v>96.85638189837384</v>
      </c>
      <c r="DH25" s="95">
        <f t="shared" si="38"/>
        <v>104.252832460709</v>
      </c>
      <c r="DI25" s="95">
        <f t="shared" si="38"/>
        <v>107.03458014455964</v>
      </c>
      <c r="DJ25" s="95">
        <f t="shared" si="38"/>
        <v>102.05731580918773</v>
      </c>
      <c r="DK25" s="95">
        <f t="shared" si="38"/>
        <v>92.48624503572178</v>
      </c>
      <c r="DL25" s="95">
        <f t="shared" si="38"/>
        <v>94.532258589832651</v>
      </c>
      <c r="DM25" s="95">
        <f t="shared" si="38"/>
        <v>95.966412051194283</v>
      </c>
      <c r="DN25" s="95">
        <f t="shared" si="38"/>
        <v>106.65190568425794</v>
      </c>
      <c r="DO25" s="95">
        <f t="shared" si="38"/>
        <v>108.57698321701147</v>
      </c>
      <c r="DP25" s="95">
        <f t="shared" si="38"/>
        <v>101.19369781421447</v>
      </c>
      <c r="DQ25" s="95">
        <f t="shared" si="38"/>
        <v>96.661468649076383</v>
      </c>
      <c r="DR25" s="95">
        <f t="shared" si="38"/>
        <v>87.051958618559482</v>
      </c>
      <c r="DS25" s="95">
        <f t="shared" si="38"/>
        <v>93.863796953093669</v>
      </c>
      <c r="DT25" s="95">
        <f t="shared" si="38"/>
        <v>98.993464632819169</v>
      </c>
      <c r="DU25" s="95">
        <f t="shared" si="38"/>
        <v>101.1850548155423</v>
      </c>
      <c r="DV25" s="95">
        <f t="shared" si="38"/>
        <v>97.552656354950642</v>
      </c>
      <c r="DW25" s="95">
        <f t="shared" si="38"/>
        <v>90.142476639073337</v>
      </c>
      <c r="DX25" s="95">
        <f t="shared" si="38"/>
        <v>91.177384552250885</v>
      </c>
      <c r="DY25" s="95">
        <f t="shared" si="38"/>
        <v>92.591695650233703</v>
      </c>
      <c r="DZ25" s="95">
        <f t="shared" ref="DZ25:EO25" si="39">DZ11*-1</f>
        <v>98.428775239336417</v>
      </c>
      <c r="EA25" s="95">
        <f t="shared" si="39"/>
        <v>100.79521859234953</v>
      </c>
      <c r="EB25" s="95">
        <f t="shared" si="39"/>
        <v>96.544470992168158</v>
      </c>
      <c r="EC25" s="95">
        <f t="shared" si="39"/>
        <v>92.463643842983416</v>
      </c>
      <c r="ED25" s="95">
        <f t="shared" si="39"/>
        <v>84.242966818281744</v>
      </c>
      <c r="EE25" s="95">
        <f t="shared" si="39"/>
        <v>92.289931101598853</v>
      </c>
      <c r="EF25" s="95">
        <f t="shared" si="39"/>
        <v>97.320762073088645</v>
      </c>
      <c r="EG25" s="95">
        <f t="shared" si="39"/>
        <v>98.288028850532896</v>
      </c>
      <c r="EH25" s="95">
        <f t="shared" si="39"/>
        <v>94.591964513566737</v>
      </c>
      <c r="EI25" s="95">
        <f t="shared" si="39"/>
        <v>87.666397773335319</v>
      </c>
      <c r="EJ25" s="95">
        <f t="shared" si="39"/>
        <v>85.927912870768424</v>
      </c>
      <c r="EK25" s="95">
        <f t="shared" si="39"/>
        <v>87.866493133972568</v>
      </c>
      <c r="EL25" s="95">
        <f t="shared" si="39"/>
        <v>93.151067788663795</v>
      </c>
      <c r="EM25" s="95">
        <f t="shared" si="39"/>
        <v>94.19036622958869</v>
      </c>
      <c r="EN25" s="95">
        <f t="shared" si="39"/>
        <v>90.787976038831431</v>
      </c>
      <c r="EO25" s="95">
        <f t="shared" si="39"/>
        <v>87.698471234930025</v>
      </c>
    </row>
    <row r="26" spans="1:145" x14ac:dyDescent="0.25">
      <c r="A26" s="1008">
        <v>2008</v>
      </c>
      <c r="B26" s="95">
        <f t="shared" ref="B26:AG26" si="40">B12*-1</f>
        <v>79.9995894135605</v>
      </c>
      <c r="C26" s="95">
        <f t="shared" si="40"/>
        <v>88.489534683437242</v>
      </c>
      <c r="D26" s="95">
        <f t="shared" si="40"/>
        <v>94.012185783917886</v>
      </c>
      <c r="E26" s="95">
        <f t="shared" si="40"/>
        <v>95.165550839959863</v>
      </c>
      <c r="F26" s="95">
        <f t="shared" si="40"/>
        <v>91.104354292238753</v>
      </c>
      <c r="G26" s="95">
        <f t="shared" si="40"/>
        <v>83.466805671691233</v>
      </c>
      <c r="H26" s="95">
        <f t="shared" si="40"/>
        <v>85.126144191965537</v>
      </c>
      <c r="I26" s="95">
        <f t="shared" si="40"/>
        <v>87.442520640953262</v>
      </c>
      <c r="J26" s="95">
        <f t="shared" si="40"/>
        <v>94.402256351281977</v>
      </c>
      <c r="K26" s="95">
        <f t="shared" si="40"/>
        <v>94.664310259443482</v>
      </c>
      <c r="L26" s="95">
        <f t="shared" si="40"/>
        <v>89.499456267655944</v>
      </c>
      <c r="M26" s="95">
        <f t="shared" si="40"/>
        <v>86.063916555513913</v>
      </c>
      <c r="N26" s="95">
        <f t="shared" si="40"/>
        <v>78.713779416709457</v>
      </c>
      <c r="O26" s="95">
        <f t="shared" si="40"/>
        <v>86.678131468697387</v>
      </c>
      <c r="P26" s="95">
        <f t="shared" si="40"/>
        <v>91.9528913005948</v>
      </c>
      <c r="Q26" s="95">
        <f t="shared" si="40"/>
        <v>92.850940429354182</v>
      </c>
      <c r="R26" s="95">
        <f t="shared" si="40"/>
        <v>88.910069098812002</v>
      </c>
      <c r="S26" s="95">
        <f t="shared" si="40"/>
        <v>81.405379462780587</v>
      </c>
      <c r="T26" s="95">
        <f t="shared" si="40"/>
        <v>84.197897246371397</v>
      </c>
      <c r="U26" s="95">
        <f t="shared" si="40"/>
        <v>85.782987399519968</v>
      </c>
      <c r="V26" s="95">
        <f t="shared" si="40"/>
        <v>92.337550074760188</v>
      </c>
      <c r="W26" s="95">
        <f t="shared" si="40"/>
        <v>92.431045386050641</v>
      </c>
      <c r="X26" s="95">
        <f t="shared" si="40"/>
        <v>87.915366071637663</v>
      </c>
      <c r="Y26" s="95">
        <f t="shared" si="40"/>
        <v>85.028526729838191</v>
      </c>
      <c r="Z26" s="95">
        <f t="shared" si="40"/>
        <v>74.834848492626364</v>
      </c>
      <c r="AA26" s="95">
        <f t="shared" si="40"/>
        <v>81.68912465136259</v>
      </c>
      <c r="AB26" s="95">
        <f t="shared" si="40"/>
        <v>88.080113600325944</v>
      </c>
      <c r="AC26" s="95">
        <f t="shared" si="40"/>
        <v>90.728500749787102</v>
      </c>
      <c r="AD26" s="95">
        <f t="shared" si="40"/>
        <v>87.102433562936653</v>
      </c>
      <c r="AE26" s="95">
        <f t="shared" si="40"/>
        <v>79.594694070794347</v>
      </c>
      <c r="AF26" s="95">
        <f t="shared" si="40"/>
        <v>81.685960441002337</v>
      </c>
      <c r="AG26" s="95">
        <f t="shared" si="40"/>
        <v>82.730259635781223</v>
      </c>
      <c r="AH26" s="95">
        <f t="shared" ref="AH26:BM26" si="41">AH12*-1</f>
        <v>88.627057685513904</v>
      </c>
      <c r="AI26" s="95">
        <f t="shared" si="41"/>
        <v>89.50404407472675</v>
      </c>
      <c r="AJ26" s="95">
        <f t="shared" si="41"/>
        <v>85.567990794481616</v>
      </c>
      <c r="AK26" s="95">
        <f t="shared" si="41"/>
        <v>82.299437017421369</v>
      </c>
      <c r="AL26" s="95">
        <f t="shared" si="41"/>
        <v>81.500984259042326</v>
      </c>
      <c r="AM26" s="95">
        <f t="shared" si="41"/>
        <v>87.725728643477908</v>
      </c>
      <c r="AN26" s="95">
        <f t="shared" si="41"/>
        <v>94.684856879459403</v>
      </c>
      <c r="AO26" s="95">
        <f t="shared" si="41"/>
        <v>97.939653116511437</v>
      </c>
      <c r="AP26" s="95">
        <f t="shared" si="41"/>
        <v>93.466252419754255</v>
      </c>
      <c r="AQ26" s="95">
        <f t="shared" si="41"/>
        <v>85.096483637431177</v>
      </c>
      <c r="AR26" s="95">
        <f t="shared" si="41"/>
        <v>85.243171458352123</v>
      </c>
      <c r="AS26" s="95">
        <f t="shared" si="41"/>
        <v>86.624177260916113</v>
      </c>
      <c r="AT26" s="95">
        <f t="shared" si="41"/>
        <v>93.277740638617615</v>
      </c>
      <c r="AU26" s="95">
        <f t="shared" si="41"/>
        <v>94.65543064312817</v>
      </c>
      <c r="AV26" s="95">
        <f t="shared" si="41"/>
        <v>89.30621462208839</v>
      </c>
      <c r="AW26" s="95">
        <f t="shared" si="41"/>
        <v>85.76176569136301</v>
      </c>
      <c r="AX26" s="95">
        <f t="shared" si="41"/>
        <v>87.123617427898793</v>
      </c>
      <c r="AY26" s="95">
        <f t="shared" si="41"/>
        <v>93.902936724080959</v>
      </c>
      <c r="AZ26" s="95">
        <f t="shared" si="41"/>
        <v>102.55099882127071</v>
      </c>
      <c r="BA26" s="95">
        <f t="shared" si="41"/>
        <v>106.03315860910388</v>
      </c>
      <c r="BB26" s="95">
        <f t="shared" si="41"/>
        <v>101.45160046839148</v>
      </c>
      <c r="BC26" s="95">
        <f t="shared" si="41"/>
        <v>91.461513318637898</v>
      </c>
      <c r="BD26" s="95">
        <f t="shared" si="41"/>
        <v>90.983254723191919</v>
      </c>
      <c r="BE26" s="95">
        <f t="shared" si="41"/>
        <v>92.481555596712482</v>
      </c>
      <c r="BF26" s="95">
        <f t="shared" si="41"/>
        <v>102.46419222328656</v>
      </c>
      <c r="BG26" s="95">
        <f t="shared" si="41"/>
        <v>104.28194445092446</v>
      </c>
      <c r="BH26" s="95">
        <f t="shared" si="41"/>
        <v>97.697947442281588</v>
      </c>
      <c r="BI26" s="95">
        <f t="shared" si="41"/>
        <v>93.141203757114809</v>
      </c>
      <c r="BJ26" s="95">
        <f t="shared" si="41"/>
        <v>91.356982194782347</v>
      </c>
      <c r="BK26" s="95">
        <f t="shared" si="41"/>
        <v>98.162103946187941</v>
      </c>
      <c r="BL26" s="95">
        <f t="shared" si="41"/>
        <v>106.97685775521443</v>
      </c>
      <c r="BM26" s="95">
        <f t="shared" si="41"/>
        <v>109.52657862519573</v>
      </c>
      <c r="BN26" s="95">
        <f t="shared" ref="BN26:CS26" si="42">BN12*-1</f>
        <v>105.31176690454399</v>
      </c>
      <c r="BO26" s="95">
        <f t="shared" si="42"/>
        <v>95.701698665447651</v>
      </c>
      <c r="BP26" s="95">
        <f t="shared" si="42"/>
        <v>92.813522814138125</v>
      </c>
      <c r="BQ26" s="95">
        <f t="shared" si="42"/>
        <v>93.831229054199255</v>
      </c>
      <c r="BR26" s="95">
        <f t="shared" si="42"/>
        <v>101.70021499433429</v>
      </c>
      <c r="BS26" s="95">
        <f t="shared" si="42"/>
        <v>104.33070779933348</v>
      </c>
      <c r="BT26" s="95">
        <f t="shared" si="42"/>
        <v>99.804407935462748</v>
      </c>
      <c r="BU26" s="95">
        <f t="shared" si="42"/>
        <v>94.746775513847169</v>
      </c>
      <c r="BV26" s="95">
        <f t="shared" si="42"/>
        <v>93.946390014597014</v>
      </c>
      <c r="BW26" s="95">
        <f t="shared" si="42"/>
        <v>100.31827049141762</v>
      </c>
      <c r="BX26" s="95">
        <f t="shared" si="42"/>
        <v>109.24137288615607</v>
      </c>
      <c r="BY26" s="95">
        <f t="shared" si="42"/>
        <v>111.22339435584007</v>
      </c>
      <c r="BZ26" s="95">
        <f t="shared" si="42"/>
        <v>107.65113508119029</v>
      </c>
      <c r="CA26" s="95">
        <f t="shared" si="42"/>
        <v>98.122122056374621</v>
      </c>
      <c r="CB26" s="95">
        <f t="shared" si="42"/>
        <v>89.761210546978262</v>
      </c>
      <c r="CC26" s="95">
        <f t="shared" si="42"/>
        <v>91.144177898955945</v>
      </c>
      <c r="CD26" s="95">
        <f t="shared" si="42"/>
        <v>99.238635706103764</v>
      </c>
      <c r="CE26" s="95">
        <f t="shared" si="42"/>
        <v>102.30142483367723</v>
      </c>
      <c r="CF26" s="95">
        <f t="shared" si="42"/>
        <v>97.947829797981925</v>
      </c>
      <c r="CG26" s="95">
        <f t="shared" si="42"/>
        <v>92.811287962278399</v>
      </c>
      <c r="CH26" s="95">
        <f t="shared" si="42"/>
        <v>95.700980201050456</v>
      </c>
      <c r="CI26" s="95">
        <f t="shared" si="42"/>
        <v>101.88220663748972</v>
      </c>
      <c r="CJ26" s="95">
        <f t="shared" si="42"/>
        <v>111.56243230587305</v>
      </c>
      <c r="CK26" s="95">
        <f t="shared" si="42"/>
        <v>114.54019718714406</v>
      </c>
      <c r="CL26" s="95">
        <f t="shared" si="42"/>
        <v>110.15812839400952</v>
      </c>
      <c r="CM26" s="95">
        <f t="shared" si="42"/>
        <v>100.04032643579644</v>
      </c>
      <c r="CN26" s="95">
        <f t="shared" si="42"/>
        <v>93.692642103061274</v>
      </c>
      <c r="CO26" s="95">
        <f t="shared" si="42"/>
        <v>95.291006862255841</v>
      </c>
      <c r="CP26" s="95">
        <f t="shared" si="42"/>
        <v>104.76164093959912</v>
      </c>
      <c r="CQ26" s="95">
        <f t="shared" si="42"/>
        <v>108.3575834470635</v>
      </c>
      <c r="CR26" s="95">
        <f t="shared" si="42"/>
        <v>103.48020871156987</v>
      </c>
      <c r="CS26" s="95">
        <f t="shared" si="42"/>
        <v>97.786411185039952</v>
      </c>
      <c r="CT26" s="95">
        <f t="shared" ref="CT26:DY26" si="43">CT12*-1</f>
        <v>96.276814451206647</v>
      </c>
      <c r="CU26" s="95">
        <f t="shared" si="43"/>
        <v>102.77425619549932</v>
      </c>
      <c r="CV26" s="95">
        <f t="shared" si="43"/>
        <v>111.60004327058891</v>
      </c>
      <c r="CW26" s="95">
        <f t="shared" si="43"/>
        <v>114.80127317562038</v>
      </c>
      <c r="CX26" s="95">
        <f t="shared" si="43"/>
        <v>109.97306868554148</v>
      </c>
      <c r="CY26" s="95">
        <f t="shared" si="43"/>
        <v>99.456791936194989</v>
      </c>
      <c r="CZ26" s="95">
        <f t="shared" si="43"/>
        <v>100.4164498568359</v>
      </c>
      <c r="DA26" s="95">
        <f t="shared" si="43"/>
        <v>101.18353781952305</v>
      </c>
      <c r="DB26" s="95">
        <f t="shared" si="43"/>
        <v>113.94052748853298</v>
      </c>
      <c r="DC26" s="95">
        <f t="shared" si="43"/>
        <v>116.72108073824791</v>
      </c>
      <c r="DD26" s="95">
        <f t="shared" si="43"/>
        <v>108.86645186807765</v>
      </c>
      <c r="DE26" s="95">
        <f t="shared" si="43"/>
        <v>104.30614151780313</v>
      </c>
      <c r="DF26" s="95">
        <f t="shared" si="43"/>
        <v>89.386796889645723</v>
      </c>
      <c r="DG26" s="95">
        <f t="shared" si="43"/>
        <v>97.252473619673097</v>
      </c>
      <c r="DH26" s="95">
        <f t="shared" si="43"/>
        <v>105.34518475468333</v>
      </c>
      <c r="DI26" s="95">
        <f t="shared" si="43"/>
        <v>108.40477601888162</v>
      </c>
      <c r="DJ26" s="95">
        <f t="shared" si="43"/>
        <v>103.31851145854259</v>
      </c>
      <c r="DK26" s="95">
        <f t="shared" si="43"/>
        <v>92.979384537719525</v>
      </c>
      <c r="DL26" s="95">
        <f t="shared" si="43"/>
        <v>94.900504729682979</v>
      </c>
      <c r="DM26" s="95">
        <f t="shared" si="43"/>
        <v>96.342635713256314</v>
      </c>
      <c r="DN26" s="95">
        <f t="shared" si="43"/>
        <v>107.52479332253495</v>
      </c>
      <c r="DO26" s="95">
        <f t="shared" si="43"/>
        <v>109.92925356909309</v>
      </c>
      <c r="DP26" s="95">
        <f t="shared" si="43"/>
        <v>101.8792424463883</v>
      </c>
      <c r="DQ26" s="95">
        <f t="shared" si="43"/>
        <v>97.063388455095478</v>
      </c>
      <c r="DR26" s="95">
        <f t="shared" si="43"/>
        <v>87.489165196824842</v>
      </c>
      <c r="DS26" s="95">
        <f t="shared" si="43"/>
        <v>94.337068965322246</v>
      </c>
      <c r="DT26" s="95">
        <f t="shared" si="43"/>
        <v>100.15145507389273</v>
      </c>
      <c r="DU26" s="95">
        <f t="shared" si="43"/>
        <v>102.57601786255906</v>
      </c>
      <c r="DV26" s="95">
        <f t="shared" si="43"/>
        <v>98.857838893101075</v>
      </c>
      <c r="DW26" s="95">
        <f t="shared" si="43"/>
        <v>90.669009474692047</v>
      </c>
      <c r="DX26" s="95">
        <f t="shared" si="43"/>
        <v>89.887236408531962</v>
      </c>
      <c r="DY26" s="95">
        <f t="shared" si="43"/>
        <v>91.287251070108553</v>
      </c>
      <c r="DZ26" s="95">
        <f t="shared" ref="DZ26:EO26" si="44">DZ12*-1</f>
        <v>97.369101053705734</v>
      </c>
      <c r="EA26" s="95">
        <f t="shared" si="44"/>
        <v>100.38306542057441</v>
      </c>
      <c r="EB26" s="95">
        <f t="shared" si="44"/>
        <v>95.568812204011067</v>
      </c>
      <c r="EC26" s="95">
        <f t="shared" si="44"/>
        <v>91.169629066779336</v>
      </c>
      <c r="ED26" s="95">
        <f t="shared" si="44"/>
        <v>84.591565668779808</v>
      </c>
      <c r="EE26" s="95">
        <f t="shared" si="44"/>
        <v>92.611752919651636</v>
      </c>
      <c r="EF26" s="95">
        <f t="shared" si="44"/>
        <v>98.312476412897155</v>
      </c>
      <c r="EG26" s="95">
        <f t="shared" si="44"/>
        <v>99.397048766260667</v>
      </c>
      <c r="EH26" s="95">
        <f t="shared" si="44"/>
        <v>95.757128989467162</v>
      </c>
      <c r="EI26" s="95">
        <f t="shared" si="44"/>
        <v>88.088546060697141</v>
      </c>
      <c r="EJ26" s="95">
        <f t="shared" si="44"/>
        <v>87.774864015717981</v>
      </c>
      <c r="EK26" s="95">
        <f t="shared" si="44"/>
        <v>89.760761331367334</v>
      </c>
      <c r="EL26" s="95">
        <f t="shared" si="44"/>
        <v>95.824276270373531</v>
      </c>
      <c r="EM26" s="95">
        <f t="shared" si="44"/>
        <v>96.867860044253646</v>
      </c>
      <c r="EN26" s="95">
        <f t="shared" si="44"/>
        <v>92.809417294212636</v>
      </c>
      <c r="EO26" s="95">
        <f t="shared" si="44"/>
        <v>89.544081155289206</v>
      </c>
    </row>
    <row r="27" spans="1:145" x14ac:dyDescent="0.25">
      <c r="A27" s="1008">
        <v>2009</v>
      </c>
      <c r="B27" s="95">
        <f t="shared" ref="B27:AG27" si="45">B13*-1</f>
        <v>79.917764826432617</v>
      </c>
      <c r="C27" s="95">
        <f t="shared" si="45"/>
        <v>88.321281945849492</v>
      </c>
      <c r="D27" s="95">
        <f t="shared" si="45"/>
        <v>93.846463759571535</v>
      </c>
      <c r="E27" s="95">
        <f t="shared" si="45"/>
        <v>95.004112465676982</v>
      </c>
      <c r="F27" s="95">
        <f t="shared" si="45"/>
        <v>90.970957141206924</v>
      </c>
      <c r="G27" s="95">
        <f t="shared" si="45"/>
        <v>83.375364065101195</v>
      </c>
      <c r="H27" s="95">
        <f t="shared" si="45"/>
        <v>83.647987721145043</v>
      </c>
      <c r="I27" s="95">
        <f t="shared" si="45"/>
        <v>85.905937778458835</v>
      </c>
      <c r="J27" s="95">
        <f t="shared" si="45"/>
        <v>92.546661032708769</v>
      </c>
      <c r="K27" s="95">
        <f t="shared" si="45"/>
        <v>93.126230062047526</v>
      </c>
      <c r="L27" s="95">
        <f t="shared" si="45"/>
        <v>88.075164974443823</v>
      </c>
      <c r="M27" s="95">
        <f t="shared" si="45"/>
        <v>84.576283249131563</v>
      </c>
      <c r="N27" s="95">
        <f t="shared" si="45"/>
        <v>78.350289497472389</v>
      </c>
      <c r="O27" s="95">
        <f t="shared" si="45"/>
        <v>85.954878959890593</v>
      </c>
      <c r="P27" s="95">
        <f t="shared" si="45"/>
        <v>91.233149073540403</v>
      </c>
      <c r="Q27" s="95">
        <f t="shared" si="45"/>
        <v>92.146646520689984</v>
      </c>
      <c r="R27" s="95">
        <f t="shared" si="45"/>
        <v>88.339444113316091</v>
      </c>
      <c r="S27" s="95">
        <f t="shared" si="45"/>
        <v>81.000670336437892</v>
      </c>
      <c r="T27" s="95">
        <f t="shared" si="45"/>
        <v>82.596910443428499</v>
      </c>
      <c r="U27" s="95">
        <f t="shared" si="45"/>
        <v>84.159536588208965</v>
      </c>
      <c r="V27" s="95">
        <f t="shared" si="45"/>
        <v>90.373375484457654</v>
      </c>
      <c r="W27" s="95">
        <f t="shared" si="45"/>
        <v>90.785915338053826</v>
      </c>
      <c r="X27" s="95">
        <f t="shared" si="45"/>
        <v>86.412900647980209</v>
      </c>
      <c r="Y27" s="95">
        <f t="shared" si="45"/>
        <v>83.416028922894824</v>
      </c>
      <c r="Z27" s="95">
        <f t="shared" si="45"/>
        <v>74.681328217783971</v>
      </c>
      <c r="AA27" s="95">
        <f t="shared" si="45"/>
        <v>81.374072915680841</v>
      </c>
      <c r="AB27" s="95">
        <f t="shared" si="45"/>
        <v>87.760586325109415</v>
      </c>
      <c r="AC27" s="95">
        <f t="shared" si="45"/>
        <v>90.415410783138668</v>
      </c>
      <c r="AD27" s="95">
        <f t="shared" si="45"/>
        <v>86.850840681916054</v>
      </c>
      <c r="AE27" s="95">
        <f t="shared" si="45"/>
        <v>79.421534916478933</v>
      </c>
      <c r="AF27" s="95">
        <f t="shared" si="45"/>
        <v>82.51227840365452</v>
      </c>
      <c r="AG27" s="95">
        <f t="shared" si="45"/>
        <v>83.536135818450092</v>
      </c>
      <c r="AH27" s="95">
        <f t="shared" ref="AH27:BM27" si="46">AH13*-1</f>
        <v>89.59241840940166</v>
      </c>
      <c r="AI27" s="95">
        <f t="shared" si="46"/>
        <v>90.317891594480713</v>
      </c>
      <c r="AJ27" s="95">
        <f t="shared" si="46"/>
        <v>86.337731036846577</v>
      </c>
      <c r="AK27" s="95">
        <f t="shared" si="46"/>
        <v>83.126631421539358</v>
      </c>
      <c r="AL27" s="95">
        <f t="shared" si="46"/>
        <v>81.398659716760619</v>
      </c>
      <c r="AM27" s="95">
        <f t="shared" si="46"/>
        <v>87.512382598343905</v>
      </c>
      <c r="AN27" s="95">
        <f t="shared" si="46"/>
        <v>94.451260412720927</v>
      </c>
      <c r="AO27" s="95">
        <f t="shared" si="46"/>
        <v>97.700259542113059</v>
      </c>
      <c r="AP27" s="95">
        <f t="shared" si="46"/>
        <v>93.284070943381892</v>
      </c>
      <c r="AQ27" s="95">
        <f t="shared" si="46"/>
        <v>84.979916269355243</v>
      </c>
      <c r="AR27" s="95">
        <f t="shared" si="46"/>
        <v>84.84298700551328</v>
      </c>
      <c r="AS27" s="95">
        <f t="shared" si="46"/>
        <v>86.228725954443377</v>
      </c>
      <c r="AT27" s="95">
        <f t="shared" si="46"/>
        <v>92.776228216509608</v>
      </c>
      <c r="AU27" s="95">
        <f t="shared" si="46"/>
        <v>94.231037820681195</v>
      </c>
      <c r="AV27" s="95">
        <f t="shared" si="46"/>
        <v>88.956961724360283</v>
      </c>
      <c r="AW27" s="95">
        <f t="shared" si="46"/>
        <v>85.363023382303496</v>
      </c>
      <c r="AX27" s="95">
        <f t="shared" si="46"/>
        <v>87.03474296518435</v>
      </c>
      <c r="AY27" s="95">
        <f t="shared" si="46"/>
        <v>93.657980792770317</v>
      </c>
      <c r="AZ27" s="95">
        <f t="shared" si="46"/>
        <v>102.24597701610537</v>
      </c>
      <c r="BA27" s="95">
        <f t="shared" si="46"/>
        <v>105.7216896465971</v>
      </c>
      <c r="BB27" s="95">
        <f t="shared" si="46"/>
        <v>101.20359283584928</v>
      </c>
      <c r="BC27" s="95">
        <f t="shared" si="46"/>
        <v>91.35081195927296</v>
      </c>
      <c r="BD27" s="95">
        <f t="shared" si="46"/>
        <v>90.084147999312862</v>
      </c>
      <c r="BE27" s="95">
        <f t="shared" si="46"/>
        <v>91.598976094695104</v>
      </c>
      <c r="BF27" s="95">
        <f t="shared" si="46"/>
        <v>100.94404355788231</v>
      </c>
      <c r="BG27" s="95">
        <f t="shared" si="46"/>
        <v>103.0767457123823</v>
      </c>
      <c r="BH27" s="95">
        <f t="shared" si="46"/>
        <v>96.950123174559067</v>
      </c>
      <c r="BI27" s="95">
        <f t="shared" si="46"/>
        <v>92.247116148606125</v>
      </c>
      <c r="BJ27" s="95">
        <f t="shared" si="46"/>
        <v>90.831104519988088</v>
      </c>
      <c r="BK27" s="95">
        <f t="shared" si="46"/>
        <v>97.575451627308013</v>
      </c>
      <c r="BL27" s="95">
        <f t="shared" si="46"/>
        <v>106.31149444225368</v>
      </c>
      <c r="BM27" s="95">
        <f t="shared" si="46"/>
        <v>108.81220661188367</v>
      </c>
      <c r="BN27" s="95">
        <f t="shared" ref="BN27:CS27" si="47">BN13*-1</f>
        <v>104.61458836977769</v>
      </c>
      <c r="BO27" s="95">
        <f t="shared" si="47"/>
        <v>95.091366159982712</v>
      </c>
      <c r="BP27" s="95">
        <f t="shared" si="47"/>
        <v>92.361507545141237</v>
      </c>
      <c r="BQ27" s="95">
        <f t="shared" si="47"/>
        <v>93.359037557387879</v>
      </c>
      <c r="BR27" s="95">
        <f t="shared" si="47"/>
        <v>101.2050082735376</v>
      </c>
      <c r="BS27" s="95">
        <f t="shared" si="47"/>
        <v>103.77335778237568</v>
      </c>
      <c r="BT27" s="95">
        <f t="shared" si="47"/>
        <v>99.224994626187396</v>
      </c>
      <c r="BU27" s="95">
        <f t="shared" si="47"/>
        <v>94.223785296528177</v>
      </c>
      <c r="BV27" s="95">
        <f t="shared" si="47"/>
        <v>93.45137529591824</v>
      </c>
      <c r="BW27" s="95">
        <f t="shared" si="47"/>
        <v>99.79359598235385</v>
      </c>
      <c r="BX27" s="95">
        <f t="shared" si="47"/>
        <v>108.63813875293872</v>
      </c>
      <c r="BY27" s="95">
        <f t="shared" si="47"/>
        <v>110.55980552017519</v>
      </c>
      <c r="BZ27" s="95">
        <f t="shared" si="47"/>
        <v>106.99878418722868</v>
      </c>
      <c r="CA27" s="95">
        <f t="shared" si="47"/>
        <v>97.530291669510461</v>
      </c>
      <c r="CB27" s="95">
        <f t="shared" si="47"/>
        <v>89.272088747281344</v>
      </c>
      <c r="CC27" s="95">
        <f t="shared" si="47"/>
        <v>90.633466575671378</v>
      </c>
      <c r="CD27" s="95">
        <f t="shared" si="47"/>
        <v>98.668069228239119</v>
      </c>
      <c r="CE27" s="95">
        <f t="shared" si="47"/>
        <v>101.67549616151685</v>
      </c>
      <c r="CF27" s="95">
        <f t="shared" si="47"/>
        <v>97.336427105481434</v>
      </c>
      <c r="CG27" s="95">
        <f t="shared" si="47"/>
        <v>92.248238691046879</v>
      </c>
      <c r="CH27" s="95">
        <f t="shared" si="47"/>
        <v>95.24999604784459</v>
      </c>
      <c r="CI27" s="95">
        <f t="shared" si="47"/>
        <v>101.40241665296169</v>
      </c>
      <c r="CJ27" s="95">
        <f t="shared" si="47"/>
        <v>111.00421330012715</v>
      </c>
      <c r="CK27" s="95">
        <f t="shared" si="47"/>
        <v>113.91690308841594</v>
      </c>
      <c r="CL27" s="95">
        <f t="shared" si="47"/>
        <v>109.54145631699842</v>
      </c>
      <c r="CM27" s="95">
        <f t="shared" si="47"/>
        <v>99.481121305783091</v>
      </c>
      <c r="CN27" s="95">
        <f t="shared" si="47"/>
        <v>93.21724670267885</v>
      </c>
      <c r="CO27" s="95">
        <f t="shared" si="47"/>
        <v>94.797446582691023</v>
      </c>
      <c r="CP27" s="95">
        <f t="shared" si="47"/>
        <v>104.19591248249233</v>
      </c>
      <c r="CQ27" s="95">
        <f t="shared" si="47"/>
        <v>107.74049799725967</v>
      </c>
      <c r="CR27" s="95">
        <f t="shared" si="47"/>
        <v>102.88197854754601</v>
      </c>
      <c r="CS27" s="95">
        <f t="shared" si="47"/>
        <v>97.242084321969912</v>
      </c>
      <c r="CT27" s="95">
        <f t="shared" ref="CT27:DY27" si="48">CT13*-1</f>
        <v>95.63320813855529</v>
      </c>
      <c r="CU27" s="95">
        <f t="shared" si="48"/>
        <v>101.9294241264206</v>
      </c>
      <c r="CV27" s="95">
        <f t="shared" si="48"/>
        <v>110.64341950908229</v>
      </c>
      <c r="CW27" s="95">
        <f t="shared" si="48"/>
        <v>113.77322754213525</v>
      </c>
      <c r="CX27" s="95">
        <f t="shared" si="48"/>
        <v>109.0091596560471</v>
      </c>
      <c r="CY27" s="95">
        <f t="shared" si="48"/>
        <v>98.705725037940695</v>
      </c>
      <c r="CZ27" s="95">
        <f t="shared" si="48"/>
        <v>99.490195155270627</v>
      </c>
      <c r="DA27" s="95">
        <f t="shared" si="48"/>
        <v>100.23276438659639</v>
      </c>
      <c r="DB27" s="95">
        <f t="shared" si="48"/>
        <v>112.62742288954195</v>
      </c>
      <c r="DC27" s="95">
        <f t="shared" si="48"/>
        <v>115.48972430086586</v>
      </c>
      <c r="DD27" s="95">
        <f t="shared" si="48"/>
        <v>107.8598691339337</v>
      </c>
      <c r="DE27" s="95">
        <f t="shared" si="48"/>
        <v>103.30150691510688</v>
      </c>
      <c r="DF27" s="95">
        <f t="shared" si="48"/>
        <v>88.938098314144355</v>
      </c>
      <c r="DG27" s="95">
        <f t="shared" si="48"/>
        <v>96.680679561466775</v>
      </c>
      <c r="DH27" s="95">
        <f t="shared" si="48"/>
        <v>104.75336384964943</v>
      </c>
      <c r="DI27" s="95">
        <f t="shared" si="48"/>
        <v>107.79479349110917</v>
      </c>
      <c r="DJ27" s="95">
        <f t="shared" si="48"/>
        <v>102.70423865053161</v>
      </c>
      <c r="DK27" s="95">
        <f t="shared" si="48"/>
        <v>92.447229045322032</v>
      </c>
      <c r="DL27" s="95">
        <f t="shared" si="48"/>
        <v>93.190930489493837</v>
      </c>
      <c r="DM27" s="95">
        <f t="shared" si="48"/>
        <v>94.536232887474938</v>
      </c>
      <c r="DN27" s="95">
        <f t="shared" si="48"/>
        <v>104.92893471556744</v>
      </c>
      <c r="DO27" s="95">
        <f t="shared" si="48"/>
        <v>107.71081087649931</v>
      </c>
      <c r="DP27" s="95">
        <f t="shared" si="48"/>
        <v>100.19415675926399</v>
      </c>
      <c r="DQ27" s="95">
        <f t="shared" si="48"/>
        <v>95.276828485880316</v>
      </c>
      <c r="DR27" s="95">
        <f t="shared" si="48"/>
        <v>85.309849698650083</v>
      </c>
      <c r="DS27" s="95">
        <f t="shared" si="48"/>
        <v>90.959112080953048</v>
      </c>
      <c r="DT27" s="95">
        <f t="shared" si="48"/>
        <v>96.710600861106457</v>
      </c>
      <c r="DU27" s="95">
        <f t="shared" si="48"/>
        <v>99.082882439873401</v>
      </c>
      <c r="DV27" s="95">
        <f t="shared" si="48"/>
        <v>95.372528783049077</v>
      </c>
      <c r="DW27" s="95">
        <f t="shared" si="48"/>
        <v>87.594325722945854</v>
      </c>
      <c r="DX27" s="95">
        <f t="shared" si="48"/>
        <v>88.491551931001396</v>
      </c>
      <c r="DY27" s="95">
        <f t="shared" si="48"/>
        <v>89.597526267110354</v>
      </c>
      <c r="DZ27" s="95">
        <f t="shared" ref="DZ27:EO27" si="49">DZ13*-1</f>
        <v>95.684752205389941</v>
      </c>
      <c r="EA27" s="95">
        <f t="shared" si="49"/>
        <v>98.557200174192261</v>
      </c>
      <c r="EB27" s="95">
        <f t="shared" si="49"/>
        <v>93.727310316033055</v>
      </c>
      <c r="EC27" s="95">
        <f t="shared" si="49"/>
        <v>89.545714482993688</v>
      </c>
      <c r="ED27" s="95">
        <f t="shared" si="49"/>
        <v>83.218029229397786</v>
      </c>
      <c r="EE27" s="95">
        <f t="shared" si="49"/>
        <v>89.111949606447823</v>
      </c>
      <c r="EF27" s="95">
        <f t="shared" si="49"/>
        <v>94.714982168648206</v>
      </c>
      <c r="EG27" s="95">
        <f t="shared" si="49"/>
        <v>95.713947747348342</v>
      </c>
      <c r="EH27" s="95">
        <f t="shared" si="49"/>
        <v>92.067299198155112</v>
      </c>
      <c r="EI27" s="95">
        <f t="shared" si="49"/>
        <v>85.042079735296696</v>
      </c>
      <c r="EJ27" s="95">
        <f t="shared" si="49"/>
        <v>86.589459915764294</v>
      </c>
      <c r="EK27" s="95">
        <f t="shared" si="49"/>
        <v>87.935576752801282</v>
      </c>
      <c r="EL27" s="95">
        <f t="shared" si="49"/>
        <v>93.839072998052998</v>
      </c>
      <c r="EM27" s="95">
        <f t="shared" si="49"/>
        <v>94.864387890776641</v>
      </c>
      <c r="EN27" s="95">
        <f t="shared" si="49"/>
        <v>90.840294198012941</v>
      </c>
      <c r="EO27" s="95">
        <f t="shared" si="49"/>
        <v>87.910386602430265</v>
      </c>
    </row>
    <row r="28" spans="1:145" x14ac:dyDescent="0.25">
      <c r="A28" s="1008">
        <v>2010</v>
      </c>
      <c r="B28" s="95">
        <f t="shared" ref="B28:AG28" si="50">B14*-1</f>
        <v>76.537858407501886</v>
      </c>
      <c r="C28" s="95">
        <f t="shared" si="50"/>
        <v>83.525577899789937</v>
      </c>
      <c r="D28" s="95">
        <f t="shared" si="50"/>
        <v>86.724938604846926</v>
      </c>
      <c r="E28" s="95">
        <f t="shared" si="50"/>
        <v>86.380570221162486</v>
      </c>
      <c r="F28" s="95">
        <f t="shared" si="50"/>
        <v>82.299824484439725</v>
      </c>
      <c r="G28" s="95">
        <f t="shared" si="50"/>
        <v>77.912208061316207</v>
      </c>
      <c r="H28" s="95">
        <f t="shared" si="50"/>
        <v>79.521388369219835</v>
      </c>
      <c r="I28" s="95">
        <f t="shared" si="50"/>
        <v>81.262064461276594</v>
      </c>
      <c r="J28" s="95">
        <f t="shared" si="50"/>
        <v>86.135950872211623</v>
      </c>
      <c r="K28" s="95">
        <f t="shared" si="50"/>
        <v>84.606164061277823</v>
      </c>
      <c r="L28" s="95">
        <f t="shared" si="50"/>
        <v>81.674059187345193</v>
      </c>
      <c r="M28" s="95">
        <f t="shared" si="50"/>
        <v>80.09414376251658</v>
      </c>
      <c r="N28" s="95">
        <f t="shared" si="50"/>
        <v>71.968755894101349</v>
      </c>
      <c r="O28" s="95">
        <f t="shared" si="50"/>
        <v>76.023189891213406</v>
      </c>
      <c r="P28" s="95">
        <f t="shared" si="50"/>
        <v>78.902917248453917</v>
      </c>
      <c r="Q28" s="95">
        <f t="shared" si="50"/>
        <v>78.348955092298979</v>
      </c>
      <c r="R28" s="95">
        <f t="shared" si="50"/>
        <v>75.407841184297936</v>
      </c>
      <c r="S28" s="95">
        <f t="shared" si="50"/>
        <v>72.551205705972706</v>
      </c>
      <c r="T28" s="95">
        <f t="shared" si="50"/>
        <v>70.749885716149066</v>
      </c>
      <c r="U28" s="95">
        <f t="shared" si="50"/>
        <v>71.967867253135324</v>
      </c>
      <c r="V28" s="95">
        <f t="shared" si="50"/>
        <v>74.888874860142764</v>
      </c>
      <c r="W28" s="95">
        <f t="shared" si="50"/>
        <v>74.416328838536387</v>
      </c>
      <c r="X28" s="95">
        <f t="shared" si="50"/>
        <v>72.845671913849174</v>
      </c>
      <c r="Y28" s="95">
        <f t="shared" si="50"/>
        <v>71.345211232376982</v>
      </c>
      <c r="Z28" s="95">
        <f t="shared" si="50"/>
        <v>68.618679169987729</v>
      </c>
      <c r="AA28" s="95">
        <f t="shared" si="50"/>
        <v>71.181194311841622</v>
      </c>
      <c r="AB28" s="95">
        <f t="shared" si="50"/>
        <v>75.037412718069604</v>
      </c>
      <c r="AC28" s="95">
        <f t="shared" si="50"/>
        <v>76.036111095970412</v>
      </c>
      <c r="AD28" s="95">
        <f t="shared" si="50"/>
        <v>73.49524307035945</v>
      </c>
      <c r="AE28" s="95">
        <f t="shared" si="50"/>
        <v>70.947539702100201</v>
      </c>
      <c r="AF28" s="95">
        <f t="shared" si="50"/>
        <v>70.460856103821115</v>
      </c>
      <c r="AG28" s="95">
        <f t="shared" si="50"/>
        <v>71.36076154601281</v>
      </c>
      <c r="AH28" s="95">
        <f t="shared" ref="AH28:BM28" si="51">AH14*-1</f>
        <v>74.004803671104781</v>
      </c>
      <c r="AI28" s="95">
        <f t="shared" si="51"/>
        <v>73.940549981898627</v>
      </c>
      <c r="AJ28" s="95">
        <f t="shared" si="51"/>
        <v>72.450147426966026</v>
      </c>
      <c r="AK28" s="95">
        <f t="shared" si="51"/>
        <v>70.749623810047311</v>
      </c>
      <c r="AL28" s="95">
        <f t="shared" si="51"/>
        <v>76.18777527469139</v>
      </c>
      <c r="AM28" s="95">
        <f t="shared" si="51"/>
        <v>79.32307345825852</v>
      </c>
      <c r="AN28" s="95">
        <f t="shared" si="51"/>
        <v>83.49972761330649</v>
      </c>
      <c r="AO28" s="95">
        <f t="shared" si="51"/>
        <v>84.565585455349165</v>
      </c>
      <c r="AP28" s="95">
        <f t="shared" si="51"/>
        <v>81.509769810355749</v>
      </c>
      <c r="AQ28" s="95">
        <f t="shared" si="51"/>
        <v>77.811140384743695</v>
      </c>
      <c r="AR28" s="95">
        <f t="shared" si="51"/>
        <v>74.334446284832765</v>
      </c>
      <c r="AS28" s="95">
        <f t="shared" si="51"/>
        <v>75.461975746875183</v>
      </c>
      <c r="AT28" s="95">
        <f t="shared" si="51"/>
        <v>78.461249575261476</v>
      </c>
      <c r="AU28" s="95">
        <f t="shared" si="51"/>
        <v>78.532860189334215</v>
      </c>
      <c r="AV28" s="95">
        <f t="shared" si="51"/>
        <v>77.01376553966719</v>
      </c>
      <c r="AW28" s="95">
        <f t="shared" si="51"/>
        <v>74.730703007096736</v>
      </c>
      <c r="AX28" s="95">
        <f t="shared" si="51"/>
        <v>82.41288408229255</v>
      </c>
      <c r="AY28" s="95">
        <f t="shared" si="51"/>
        <v>86.250295649306196</v>
      </c>
      <c r="AZ28" s="95">
        <f t="shared" si="51"/>
        <v>91.571116992077506</v>
      </c>
      <c r="BA28" s="95">
        <f t="shared" si="51"/>
        <v>92.749097807518865</v>
      </c>
      <c r="BB28" s="95">
        <f t="shared" si="51"/>
        <v>89.3433262683523</v>
      </c>
      <c r="BC28" s="95">
        <f t="shared" si="51"/>
        <v>84.617482285251242</v>
      </c>
      <c r="BD28" s="95">
        <f t="shared" si="51"/>
        <v>82.979017882562317</v>
      </c>
      <c r="BE28" s="95">
        <f t="shared" si="51"/>
        <v>84.315609566697532</v>
      </c>
      <c r="BF28" s="95">
        <f t="shared" si="51"/>
        <v>89.276116968917052</v>
      </c>
      <c r="BG28" s="95">
        <f t="shared" si="51"/>
        <v>89.818834503515291</v>
      </c>
      <c r="BH28" s="95">
        <f t="shared" si="51"/>
        <v>87.505608149400942</v>
      </c>
      <c r="BI28" s="95">
        <f t="shared" si="51"/>
        <v>84.712514085990932</v>
      </c>
      <c r="BJ28" s="95">
        <f t="shared" si="51"/>
        <v>86.63016015777761</v>
      </c>
      <c r="BK28" s="95">
        <f t="shared" si="51"/>
        <v>92.275288707417872</v>
      </c>
      <c r="BL28" s="95">
        <f t="shared" si="51"/>
        <v>98.547577014705851</v>
      </c>
      <c r="BM28" s="95">
        <f t="shared" si="51"/>
        <v>99.14689912977461</v>
      </c>
      <c r="BN28" s="95">
        <f t="shared" ref="BN28:CS28" si="52">BN14*-1</f>
        <v>95.234933275246433</v>
      </c>
      <c r="BO28" s="95">
        <f t="shared" si="52"/>
        <v>89.124430796594737</v>
      </c>
      <c r="BP28" s="95">
        <f t="shared" si="52"/>
        <v>87.566407811015054</v>
      </c>
      <c r="BQ28" s="95">
        <f t="shared" si="52"/>
        <v>88.32558944939926</v>
      </c>
      <c r="BR28" s="95">
        <f t="shared" si="52"/>
        <v>93.475766202626403</v>
      </c>
      <c r="BS28" s="95">
        <f t="shared" si="52"/>
        <v>93.841994953380876</v>
      </c>
      <c r="BT28" s="95">
        <f t="shared" si="52"/>
        <v>91.287203493223743</v>
      </c>
      <c r="BU28" s="95">
        <f t="shared" si="52"/>
        <v>88.661573420245361</v>
      </c>
      <c r="BV28" s="95">
        <f t="shared" si="52"/>
        <v>88.5700899958035</v>
      </c>
      <c r="BW28" s="95">
        <f t="shared" si="52"/>
        <v>93.968170833606123</v>
      </c>
      <c r="BX28" s="95">
        <f t="shared" si="52"/>
        <v>100.61562097989446</v>
      </c>
      <c r="BY28" s="95">
        <f t="shared" si="52"/>
        <v>100.90012460787401</v>
      </c>
      <c r="BZ28" s="95">
        <f t="shared" si="52"/>
        <v>97.38274161150818</v>
      </c>
      <c r="CA28" s="95">
        <f t="shared" si="52"/>
        <v>90.796024739081844</v>
      </c>
      <c r="CB28" s="95">
        <f t="shared" si="52"/>
        <v>85.034944588141826</v>
      </c>
      <c r="CC28" s="95">
        <f t="shared" si="52"/>
        <v>86.063396299120427</v>
      </c>
      <c r="CD28" s="95">
        <f t="shared" si="52"/>
        <v>92.16771359776294</v>
      </c>
      <c r="CE28" s="95">
        <f t="shared" si="52"/>
        <v>92.909655336095824</v>
      </c>
      <c r="CF28" s="95">
        <f t="shared" si="52"/>
        <v>90.247543835834762</v>
      </c>
      <c r="CG28" s="95">
        <f t="shared" si="52"/>
        <v>87.621133219382955</v>
      </c>
      <c r="CH28" s="95">
        <f t="shared" si="52"/>
        <v>90.652919465338655</v>
      </c>
      <c r="CI28" s="95">
        <f t="shared" si="52"/>
        <v>95.778538593721493</v>
      </c>
      <c r="CJ28" s="95">
        <f t="shared" si="52"/>
        <v>102.88263586656653</v>
      </c>
      <c r="CK28" s="95">
        <f t="shared" si="52"/>
        <v>104.00284832074061</v>
      </c>
      <c r="CL28" s="95">
        <f t="shared" si="52"/>
        <v>99.851614245758938</v>
      </c>
      <c r="CM28" s="95">
        <f t="shared" si="52"/>
        <v>92.923944617023935</v>
      </c>
      <c r="CN28" s="95">
        <f t="shared" si="52"/>
        <v>89.045783083920639</v>
      </c>
      <c r="CO28" s="95">
        <f t="shared" si="52"/>
        <v>90.411350759482829</v>
      </c>
      <c r="CP28" s="95">
        <f t="shared" si="52"/>
        <v>97.924728631346369</v>
      </c>
      <c r="CQ28" s="95">
        <f t="shared" si="52"/>
        <v>99.050952086827408</v>
      </c>
      <c r="CR28" s="95">
        <f t="shared" si="52"/>
        <v>95.934931129731609</v>
      </c>
      <c r="CS28" s="95">
        <f t="shared" si="52"/>
        <v>92.497249931536075</v>
      </c>
      <c r="CT28" s="95">
        <f t="shared" ref="CT28:DY28" si="53">CT14*-1</f>
        <v>90.310235946163985</v>
      </c>
      <c r="CU28" s="95">
        <f t="shared" si="53"/>
        <v>93.46521758290622</v>
      </c>
      <c r="CV28" s="95">
        <f t="shared" si="53"/>
        <v>98.923560592156633</v>
      </c>
      <c r="CW28" s="95">
        <f t="shared" si="53"/>
        <v>99.588840281583799</v>
      </c>
      <c r="CX28" s="95">
        <f t="shared" si="53"/>
        <v>96.012549784366158</v>
      </c>
      <c r="CY28" s="95">
        <f t="shared" si="53"/>
        <v>91.247002353717832</v>
      </c>
      <c r="CZ28" s="95">
        <f t="shared" si="53"/>
        <v>90.352208636496655</v>
      </c>
      <c r="DA28" s="95">
        <f t="shared" si="53"/>
        <v>91.019143345349178</v>
      </c>
      <c r="DB28" s="95">
        <f t="shared" si="53"/>
        <v>97.384230519185081</v>
      </c>
      <c r="DC28" s="95">
        <f t="shared" si="53"/>
        <v>99.335744080011807</v>
      </c>
      <c r="DD28" s="95">
        <f t="shared" si="53"/>
        <v>96.914450661139711</v>
      </c>
      <c r="DE28" s="95">
        <f t="shared" si="53"/>
        <v>93.965911255484258</v>
      </c>
      <c r="DF28" s="95">
        <f t="shared" si="53"/>
        <v>0</v>
      </c>
      <c r="DG28" s="95">
        <f t="shared" si="53"/>
        <v>0</v>
      </c>
      <c r="DH28" s="95">
        <f t="shared" si="53"/>
        <v>0</v>
      </c>
      <c r="DI28" s="95">
        <f t="shared" si="53"/>
        <v>0</v>
      </c>
      <c r="DJ28" s="95">
        <f t="shared" si="53"/>
        <v>0</v>
      </c>
      <c r="DK28" s="95">
        <f t="shared" si="53"/>
        <v>0</v>
      </c>
      <c r="DL28" s="95">
        <f t="shared" si="53"/>
        <v>0</v>
      </c>
      <c r="DM28" s="95">
        <f t="shared" si="53"/>
        <v>0</v>
      </c>
      <c r="DN28" s="95">
        <f t="shared" si="53"/>
        <v>0</v>
      </c>
      <c r="DO28" s="95">
        <f t="shared" si="53"/>
        <v>0</v>
      </c>
      <c r="DP28" s="95">
        <f t="shared" si="53"/>
        <v>0</v>
      </c>
      <c r="DQ28" s="95">
        <f t="shared" si="53"/>
        <v>0</v>
      </c>
      <c r="DR28" s="95">
        <f t="shared" si="53"/>
        <v>0</v>
      </c>
      <c r="DS28" s="95">
        <f t="shared" si="53"/>
        <v>0</v>
      </c>
      <c r="DT28" s="95">
        <f t="shared" si="53"/>
        <v>0</v>
      </c>
      <c r="DU28" s="95">
        <f t="shared" si="53"/>
        <v>0</v>
      </c>
      <c r="DV28" s="95">
        <f t="shared" si="53"/>
        <v>0</v>
      </c>
      <c r="DW28" s="95">
        <f t="shared" si="53"/>
        <v>0</v>
      </c>
      <c r="DX28" s="95">
        <f t="shared" si="53"/>
        <v>0</v>
      </c>
      <c r="DY28" s="95">
        <f t="shared" si="53"/>
        <v>0</v>
      </c>
      <c r="DZ28" s="95">
        <f t="shared" ref="DZ28:EO28" si="54">DZ14*-1</f>
        <v>0</v>
      </c>
      <c r="EA28" s="95">
        <f t="shared" si="54"/>
        <v>0</v>
      </c>
      <c r="EB28" s="95">
        <f t="shared" si="54"/>
        <v>0</v>
      </c>
      <c r="EC28" s="95">
        <f t="shared" si="54"/>
        <v>0</v>
      </c>
      <c r="ED28" s="95">
        <f t="shared" si="54"/>
        <v>0</v>
      </c>
      <c r="EE28" s="95">
        <f t="shared" si="54"/>
        <v>0</v>
      </c>
      <c r="EF28" s="95">
        <f t="shared" si="54"/>
        <v>0</v>
      </c>
      <c r="EG28" s="95">
        <f t="shared" si="54"/>
        <v>0</v>
      </c>
      <c r="EH28" s="95">
        <f t="shared" si="54"/>
        <v>0</v>
      </c>
      <c r="EI28" s="95">
        <f t="shared" si="54"/>
        <v>0</v>
      </c>
      <c r="EJ28" s="95">
        <f t="shared" si="54"/>
        <v>0</v>
      </c>
      <c r="EK28" s="95">
        <f t="shared" si="54"/>
        <v>0</v>
      </c>
      <c r="EL28" s="95">
        <f t="shared" si="54"/>
        <v>0</v>
      </c>
      <c r="EM28" s="95">
        <f t="shared" si="54"/>
        <v>0</v>
      </c>
      <c r="EN28" s="95">
        <f t="shared" si="54"/>
        <v>0</v>
      </c>
      <c r="EO28" s="95">
        <f t="shared" si="54"/>
        <v>0</v>
      </c>
    </row>
    <row r="29" spans="1:145" x14ac:dyDescent="0.25">
      <c r="A29" s="1010" t="s">
        <v>570</v>
      </c>
      <c r="B29" s="1011">
        <f>MAX(B18:EO28)</f>
        <v>126.65337081204122</v>
      </c>
      <c r="C29" s="95"/>
      <c r="D29" s="95"/>
      <c r="E29" s="95"/>
      <c r="F29" s="95"/>
      <c r="G29" s="95"/>
      <c r="H29" s="95"/>
      <c r="I29" s="95"/>
      <c r="J29" s="95"/>
      <c r="K29" s="95"/>
      <c r="L29" s="95"/>
      <c r="M29" s="95"/>
      <c r="N29" s="95"/>
      <c r="O29" s="95"/>
      <c r="P29" s="95"/>
      <c r="Q29" s="95"/>
      <c r="R29" s="95"/>
      <c r="S29" s="95"/>
      <c r="T29" s="95"/>
      <c r="U29" s="95"/>
      <c r="V29" s="95"/>
      <c r="W29" s="95"/>
      <c r="X29" s="95"/>
      <c r="Y29" s="95"/>
      <c r="Z29" s="95"/>
      <c r="AA29" s="95"/>
      <c r="AB29" s="95"/>
      <c r="AC29" s="95"/>
      <c r="AD29" s="95"/>
      <c r="AE29" s="95"/>
      <c r="AF29" s="95"/>
      <c r="AG29" s="95"/>
      <c r="AH29" s="95"/>
      <c r="AI29" s="95"/>
      <c r="AJ29" s="95"/>
      <c r="AK29" s="95"/>
      <c r="AL29" s="95"/>
      <c r="AM29" s="95"/>
      <c r="AN29" s="95"/>
      <c r="AO29" s="95"/>
      <c r="AP29" s="95"/>
      <c r="AQ29" s="95"/>
      <c r="AR29" s="95"/>
      <c r="AS29" s="95"/>
      <c r="AT29" s="95"/>
      <c r="AU29" s="95"/>
      <c r="AV29" s="95"/>
      <c r="AW29" s="95"/>
      <c r="AX29" s="95"/>
      <c r="AY29" s="95"/>
      <c r="AZ29" s="95"/>
      <c r="BA29" s="95"/>
      <c r="BB29" s="95"/>
      <c r="BC29" s="95"/>
      <c r="BD29" s="95"/>
      <c r="BE29" s="95"/>
      <c r="BF29" s="95"/>
      <c r="BG29" s="95"/>
      <c r="BH29" s="95"/>
      <c r="BI29" s="95"/>
      <c r="BJ29" s="95"/>
      <c r="BK29" s="95"/>
      <c r="BL29" s="95"/>
      <c r="BM29" s="95"/>
      <c r="BN29" s="95"/>
      <c r="BO29" s="95"/>
      <c r="BP29" s="95"/>
      <c r="BQ29" s="95"/>
      <c r="BR29" s="95"/>
      <c r="BS29" s="95"/>
      <c r="BT29" s="95"/>
      <c r="BU29" s="95"/>
      <c r="BV29" s="95"/>
      <c r="BW29" s="95"/>
      <c r="BX29" s="95"/>
      <c r="BY29" s="95"/>
      <c r="BZ29" s="95"/>
      <c r="CA29" s="95"/>
      <c r="CB29" s="95"/>
      <c r="CC29" s="95"/>
      <c r="CD29" s="95"/>
      <c r="CE29" s="95"/>
      <c r="CF29" s="95"/>
      <c r="CG29" s="95"/>
      <c r="CH29" s="95"/>
      <c r="CI29" s="95"/>
      <c r="CJ29" s="95"/>
      <c r="CK29" s="95"/>
      <c r="CL29" s="95"/>
      <c r="CM29" s="95"/>
      <c r="CN29" s="95"/>
      <c r="CO29" s="95"/>
      <c r="CP29" s="95"/>
      <c r="CQ29" s="95"/>
      <c r="CR29" s="95"/>
      <c r="CS29" s="95"/>
      <c r="CT29" s="95"/>
      <c r="CU29" s="95"/>
      <c r="CV29" s="95"/>
      <c r="CW29" s="95"/>
      <c r="CX29" s="95"/>
      <c r="CY29" s="95"/>
      <c r="CZ29" s="95"/>
      <c r="DA29" s="95"/>
      <c r="DB29" s="95"/>
      <c r="DC29" s="95"/>
      <c r="DD29" s="95"/>
      <c r="DE29" s="95"/>
      <c r="DF29" s="95"/>
      <c r="DG29" s="95"/>
      <c r="DH29" s="95"/>
      <c r="DI29" s="95"/>
      <c r="DJ29" s="95"/>
      <c r="DK29" s="95"/>
      <c r="DL29" s="95"/>
      <c r="DM29" s="95"/>
      <c r="DN29" s="95"/>
      <c r="DO29" s="95"/>
      <c r="DP29" s="95"/>
      <c r="DQ29" s="95"/>
      <c r="DR29" s="95"/>
      <c r="DS29" s="95"/>
      <c r="DT29" s="95"/>
      <c r="DU29" s="95"/>
      <c r="DV29" s="95"/>
      <c r="DW29" s="95"/>
      <c r="DX29" s="95"/>
      <c r="DY29" s="95"/>
      <c r="DZ29" s="95"/>
      <c r="EA29" s="95"/>
      <c r="EB29" s="95"/>
      <c r="EC29" s="95"/>
      <c r="ED29" s="95"/>
      <c r="EE29" s="95"/>
      <c r="EF29" s="95"/>
      <c r="EG29" s="95"/>
      <c r="EH29" s="95"/>
      <c r="EI29" s="95"/>
      <c r="EJ29" s="95"/>
      <c r="EK29" s="95"/>
      <c r="EL29" s="95"/>
      <c r="EM29" s="95"/>
      <c r="EN29" s="95"/>
      <c r="EO29" s="95"/>
    </row>
    <row r="30" spans="1:145" x14ac:dyDescent="0.25">
      <c r="A30" s="1012" t="s">
        <v>571</v>
      </c>
      <c r="B30" s="1013">
        <f>MIN(B18:EO28)</f>
        <v>0</v>
      </c>
      <c r="C30" s="95"/>
      <c r="D30" s="95"/>
      <c r="E30" s="95"/>
      <c r="F30" s="95"/>
      <c r="G30" s="95"/>
      <c r="H30" s="95"/>
      <c r="I30" s="95"/>
      <c r="J30" s="95"/>
      <c r="K30" s="95"/>
      <c r="L30" s="95"/>
      <c r="M30" s="95"/>
      <c r="N30" s="95"/>
      <c r="O30" s="95"/>
      <c r="P30" s="95"/>
      <c r="Q30" s="95"/>
      <c r="R30" s="95"/>
      <c r="S30" s="95"/>
      <c r="T30" s="95"/>
      <c r="U30" s="95"/>
      <c r="V30" s="95"/>
      <c r="W30" s="95"/>
      <c r="X30" s="95"/>
      <c r="Y30" s="95"/>
      <c r="Z30" s="95"/>
      <c r="AA30" s="95"/>
      <c r="AB30" s="95"/>
      <c r="AC30" s="95"/>
      <c r="AD30" s="95"/>
      <c r="AE30" s="95"/>
      <c r="AF30" s="95"/>
      <c r="AG30" s="95"/>
      <c r="AH30" s="95"/>
      <c r="AI30" s="95"/>
      <c r="AJ30" s="95"/>
      <c r="AK30" s="95"/>
      <c r="AL30" s="95"/>
      <c r="AM30" s="95"/>
      <c r="AN30" s="95"/>
      <c r="AO30" s="95"/>
      <c r="AP30" s="95"/>
      <c r="AQ30" s="95"/>
      <c r="AR30" s="95"/>
      <c r="AS30" s="95"/>
      <c r="AT30" s="95"/>
      <c r="AU30" s="95"/>
      <c r="AV30" s="95"/>
      <c r="AW30" s="95"/>
      <c r="AX30" s="95"/>
      <c r="AY30" s="95"/>
      <c r="AZ30" s="95"/>
      <c r="BA30" s="95"/>
      <c r="BB30" s="95"/>
      <c r="BC30" s="95"/>
      <c r="BD30" s="95"/>
      <c r="BE30" s="95"/>
      <c r="BF30" s="95"/>
      <c r="BG30" s="95"/>
      <c r="BH30" s="95"/>
      <c r="BI30" s="95"/>
      <c r="BJ30" s="95"/>
      <c r="BK30" s="95"/>
      <c r="BL30" s="95"/>
      <c r="BM30" s="95"/>
      <c r="BN30" s="95"/>
      <c r="BO30" s="95"/>
      <c r="BP30" s="95"/>
      <c r="BQ30" s="95"/>
      <c r="BR30" s="95"/>
      <c r="BS30" s="95"/>
      <c r="BT30" s="95"/>
      <c r="BU30" s="95"/>
      <c r="BV30" s="95"/>
      <c r="BW30" s="95"/>
      <c r="BX30" s="95"/>
      <c r="BY30" s="95"/>
      <c r="BZ30" s="95"/>
      <c r="CA30" s="95"/>
      <c r="CB30" s="95"/>
      <c r="CC30" s="95"/>
      <c r="CD30" s="95"/>
      <c r="CE30" s="95"/>
      <c r="CF30" s="95"/>
      <c r="CG30" s="95"/>
      <c r="CH30" s="95"/>
      <c r="CI30" s="95"/>
      <c r="CJ30" s="95"/>
      <c r="CK30" s="95"/>
      <c r="CL30" s="95"/>
      <c r="CM30" s="95"/>
      <c r="CN30" s="95"/>
      <c r="CO30" s="95"/>
      <c r="CP30" s="95"/>
      <c r="CQ30" s="95"/>
      <c r="CR30" s="95"/>
      <c r="CS30" s="95"/>
      <c r="CT30" s="95"/>
      <c r="CU30" s="95"/>
      <c r="CV30" s="95"/>
      <c r="CW30" s="95"/>
      <c r="CX30" s="95"/>
      <c r="CY30" s="95"/>
      <c r="CZ30" s="95"/>
      <c r="DA30" s="95"/>
      <c r="DB30" s="95"/>
      <c r="DC30" s="95"/>
      <c r="DD30" s="95"/>
      <c r="DE30" s="95"/>
      <c r="DF30" s="95"/>
      <c r="DG30" s="95"/>
      <c r="DH30" s="95"/>
      <c r="DI30" s="95"/>
      <c r="DJ30" s="95"/>
      <c r="DK30" s="95"/>
      <c r="DL30" s="95"/>
      <c r="DM30" s="95"/>
      <c r="DN30" s="95"/>
      <c r="DO30" s="95"/>
      <c r="DP30" s="95"/>
      <c r="DQ30" s="95"/>
      <c r="DR30" s="95"/>
      <c r="DS30" s="95"/>
      <c r="DT30" s="95"/>
      <c r="DU30" s="95"/>
      <c r="DV30" s="95"/>
      <c r="DW30" s="95"/>
      <c r="DX30" s="95"/>
      <c r="DY30" s="95"/>
      <c r="DZ30" s="95"/>
      <c r="EA30" s="95"/>
      <c r="EB30" s="95"/>
      <c r="EC30" s="95"/>
      <c r="ED30" s="95"/>
      <c r="EE30" s="95"/>
      <c r="EF30" s="95"/>
      <c r="EG30" s="95"/>
      <c r="EH30" s="95"/>
      <c r="EI30" s="95"/>
      <c r="EJ30" s="95"/>
      <c r="EK30" s="95"/>
      <c r="EL30" s="95"/>
      <c r="EM30" s="95"/>
      <c r="EN30" s="95"/>
      <c r="EO30" s="95"/>
    </row>
    <row r="31" spans="1:145" x14ac:dyDescent="0.25">
      <c r="A31" s="1008"/>
      <c r="B31" s="95"/>
      <c r="C31" s="95"/>
      <c r="D31" s="95"/>
      <c r="E31" s="95"/>
      <c r="F31" s="95"/>
      <c r="G31" s="95"/>
      <c r="H31" s="95"/>
      <c r="I31" s="95"/>
      <c r="J31" s="95"/>
      <c r="K31" s="95"/>
      <c r="L31" s="95"/>
      <c r="M31" s="95"/>
      <c r="N31" s="95"/>
      <c r="O31" s="95"/>
      <c r="P31" s="95"/>
      <c r="Q31" s="95"/>
      <c r="R31" s="95"/>
      <c r="S31" s="95"/>
      <c r="T31" s="95"/>
      <c r="U31" s="95"/>
      <c r="V31" s="95"/>
      <c r="W31" s="95"/>
      <c r="X31" s="95"/>
      <c r="Y31" s="95"/>
      <c r="Z31" s="95"/>
      <c r="AA31" s="95"/>
      <c r="AB31" s="95"/>
      <c r="AC31" s="95"/>
      <c r="AD31" s="95"/>
      <c r="AE31" s="95"/>
      <c r="AF31" s="95"/>
      <c r="AG31" s="95"/>
      <c r="AH31" s="95"/>
      <c r="AI31" s="95"/>
      <c r="AJ31" s="95"/>
      <c r="AK31" s="95"/>
      <c r="AL31" s="95"/>
      <c r="AM31" s="95"/>
      <c r="AN31" s="95"/>
      <c r="AO31" s="95"/>
      <c r="AP31" s="95"/>
      <c r="AQ31" s="95"/>
      <c r="AR31" s="95"/>
      <c r="AS31" s="95"/>
      <c r="AT31" s="95"/>
      <c r="AU31" s="95"/>
      <c r="AV31" s="95"/>
      <c r="AW31" s="95"/>
      <c r="AX31" s="95"/>
      <c r="AY31" s="95"/>
      <c r="AZ31" s="95"/>
      <c r="BA31" s="95"/>
      <c r="BB31" s="95"/>
      <c r="BC31" s="95"/>
      <c r="BD31" s="95"/>
      <c r="BE31" s="95"/>
      <c r="BF31" s="95"/>
      <c r="BG31" s="95"/>
      <c r="BH31" s="95"/>
      <c r="BI31" s="95"/>
      <c r="BJ31" s="95"/>
      <c r="BK31" s="95"/>
      <c r="BL31" s="95"/>
      <c r="BM31" s="95"/>
      <c r="BN31" s="95"/>
      <c r="BO31" s="95"/>
      <c r="BP31" s="95"/>
      <c r="BQ31" s="95"/>
      <c r="BR31" s="95"/>
      <c r="BS31" s="95"/>
      <c r="BT31" s="95"/>
      <c r="BU31" s="95"/>
      <c r="BV31" s="95"/>
      <c r="BW31" s="95"/>
      <c r="BX31" s="95"/>
      <c r="BY31" s="95"/>
      <c r="BZ31" s="95"/>
      <c r="CA31" s="95"/>
      <c r="CB31" s="95"/>
      <c r="CC31" s="95"/>
      <c r="CD31" s="95"/>
      <c r="CE31" s="95"/>
      <c r="CF31" s="95"/>
      <c r="CG31" s="95"/>
      <c r="CH31" s="95"/>
      <c r="CI31" s="95"/>
      <c r="CJ31" s="95"/>
      <c r="CK31" s="95"/>
      <c r="CL31" s="95"/>
      <c r="CM31" s="95"/>
      <c r="CN31" s="95"/>
      <c r="CO31" s="95"/>
      <c r="CP31" s="95"/>
      <c r="CQ31" s="95"/>
      <c r="CR31" s="95"/>
      <c r="CS31" s="95"/>
      <c r="CT31" s="95"/>
      <c r="CU31" s="95"/>
      <c r="CV31" s="95"/>
      <c r="CW31" s="95"/>
      <c r="CX31" s="95"/>
      <c r="CY31" s="95"/>
      <c r="CZ31" s="95"/>
      <c r="DA31" s="95"/>
      <c r="DB31" s="95"/>
      <c r="DC31" s="95"/>
      <c r="DD31" s="95"/>
      <c r="DE31" s="95"/>
      <c r="DF31" s="95"/>
      <c r="DG31" s="95"/>
      <c r="DH31" s="95"/>
      <c r="DI31" s="95"/>
      <c r="DJ31" s="95"/>
      <c r="DK31" s="95"/>
      <c r="DL31" s="95"/>
      <c r="DM31" s="95"/>
      <c r="DN31" s="95"/>
      <c r="DO31" s="95"/>
      <c r="DP31" s="95"/>
      <c r="DQ31" s="95"/>
      <c r="DR31" s="95"/>
      <c r="DS31" s="95"/>
      <c r="DT31" s="95"/>
      <c r="DU31" s="95"/>
      <c r="DV31" s="95"/>
      <c r="DW31" s="95"/>
      <c r="DX31" s="95"/>
      <c r="DY31" s="95"/>
      <c r="DZ31" s="95"/>
      <c r="EA31" s="95"/>
      <c r="EB31" s="95"/>
      <c r="EC31" s="95"/>
      <c r="ED31" s="95"/>
      <c r="EE31" s="95"/>
      <c r="EF31" s="95"/>
      <c r="EG31" s="95"/>
      <c r="EH31" s="95"/>
      <c r="EI31" s="95"/>
      <c r="EJ31" s="95"/>
      <c r="EK31" s="95"/>
      <c r="EL31" s="95"/>
      <c r="EM31" s="95"/>
      <c r="EN31" s="95"/>
      <c r="EO31" s="95"/>
    </row>
    <row r="32" spans="1:145" x14ac:dyDescent="0.25">
      <c r="A32" s="1006" t="s">
        <v>557</v>
      </c>
      <c r="B32" s="1014" t="s">
        <v>546</v>
      </c>
      <c r="C32" s="1008" t="s">
        <v>547</v>
      </c>
      <c r="D32" s="1014" t="s">
        <v>548</v>
      </c>
      <c r="E32" s="1008" t="s">
        <v>549</v>
      </c>
      <c r="F32" s="1014" t="s">
        <v>533</v>
      </c>
      <c r="G32" s="1008" t="s">
        <v>550</v>
      </c>
      <c r="H32" s="1014" t="s">
        <v>551</v>
      </c>
      <c r="I32" s="1008" t="s">
        <v>552</v>
      </c>
      <c r="J32" s="1014" t="s">
        <v>553</v>
      </c>
      <c r="K32" s="1008" t="s">
        <v>554</v>
      </c>
      <c r="L32" s="1014" t="s">
        <v>555</v>
      </c>
      <c r="M32" s="1008" t="s">
        <v>556</v>
      </c>
      <c r="N32" s="1015" t="s">
        <v>572</v>
      </c>
    </row>
    <row r="33" spans="1:24" x14ac:dyDescent="0.25">
      <c r="A33" s="1008">
        <v>2000</v>
      </c>
      <c r="B33" s="95">
        <f t="shared" ref="B33:B43" si="55">IF(B$17="WD1",MAX(B18:M18),0)</f>
        <v>0</v>
      </c>
      <c r="C33" s="95">
        <f t="shared" ref="C33:C43" si="56">IF(N$17="WD1",MAX(N18:Y18),0)</f>
        <v>0</v>
      </c>
      <c r="D33" s="95">
        <f t="shared" ref="D33:D43" si="57">IF(Z$17="WD1",MAX(Z18:AK18),0)</f>
        <v>25.652883515687897</v>
      </c>
      <c r="E33" s="95">
        <f t="shared" ref="E33:E43" si="58">IF(AL$17="WD1",MAX(AL18:AW18),0)</f>
        <v>1.1840168454546807</v>
      </c>
      <c r="F33" s="95">
        <f t="shared" ref="F33:F43" si="59">IF(AX$17="WD1",MAX(AX18:BI18),0)</f>
        <v>4.9538864252793813</v>
      </c>
      <c r="G33" s="95">
        <f t="shared" ref="G33:G43" si="60">IF(BJ$17="WD1",MAX(BJ18:BU18),0)</f>
        <v>0.73386229064102859</v>
      </c>
      <c r="H33" s="95">
        <f t="shared" ref="H33:H43" si="61">IF(BV$17="WD1",MAX(BV18:CG18),0)</f>
        <v>1.3478895357077147</v>
      </c>
      <c r="I33" s="95">
        <f t="shared" ref="I33:I43" si="62">IF(CH$17="WD1",MAX(CH18:CS18),0)</f>
        <v>2.5109697766884582</v>
      </c>
      <c r="J33" s="95">
        <f t="shared" ref="J33:J43" si="63">IF(CT$17="WD1",MAX(CT18:DE18),0)</f>
        <v>1.6844448559847951</v>
      </c>
      <c r="K33" s="95">
        <f t="shared" ref="K33:K43" si="64">IF(DF$17="WD1",MAX(DF18:DQ18),0)</f>
        <v>10.112255527943734</v>
      </c>
      <c r="L33" s="95">
        <f t="shared" ref="L33:L43" si="65">IF(DR$17="WD1",MAX(DR18:EC18),0)</f>
        <v>4.8014137044569978</v>
      </c>
      <c r="M33" s="95">
        <f t="shared" ref="M33:M43" si="66">IF(ED$17="WD1",MAX(ED18:EO18),0)</f>
        <v>2.2670902554172412</v>
      </c>
      <c r="N33" s="95">
        <f t="shared" ref="N33:N43" si="67">MAX(B33:M33)</f>
        <v>25.652883515687897</v>
      </c>
      <c r="O33" s="95"/>
      <c r="P33" s="95"/>
      <c r="Q33" s="95"/>
      <c r="R33" s="95"/>
      <c r="S33" s="95"/>
      <c r="T33" s="95"/>
      <c r="U33" s="95"/>
      <c r="V33" s="95"/>
      <c r="W33" s="95"/>
      <c r="X33" s="95"/>
    </row>
    <row r="34" spans="1:24" x14ac:dyDescent="0.25">
      <c r="A34" s="1008">
        <v>2001</v>
      </c>
      <c r="B34" s="95">
        <f t="shared" si="55"/>
        <v>16.823032922314773</v>
      </c>
      <c r="C34" s="95">
        <f t="shared" si="56"/>
        <v>19.434806875455859</v>
      </c>
      <c r="D34" s="95">
        <f t="shared" si="57"/>
        <v>15.469495509438721</v>
      </c>
      <c r="E34" s="95">
        <f t="shared" si="58"/>
        <v>12.187988448622608</v>
      </c>
      <c r="F34" s="95">
        <f t="shared" si="59"/>
        <v>14.355776481996267</v>
      </c>
      <c r="G34" s="95">
        <f t="shared" si="60"/>
        <v>3.2224704649070839</v>
      </c>
      <c r="H34" s="95">
        <f t="shared" si="61"/>
        <v>97.862549266567882</v>
      </c>
      <c r="I34" s="95">
        <f t="shared" si="62"/>
        <v>101.51676290301295</v>
      </c>
      <c r="J34" s="95">
        <f t="shared" si="63"/>
        <v>101.64869802550793</v>
      </c>
      <c r="K34" s="95">
        <f t="shared" si="64"/>
        <v>107.70904484398952</v>
      </c>
      <c r="L34" s="95">
        <f t="shared" si="65"/>
        <v>94.533620677542501</v>
      </c>
      <c r="M34" s="95">
        <f t="shared" si="66"/>
        <v>89.491366638915025</v>
      </c>
      <c r="N34" s="95">
        <f t="shared" si="67"/>
        <v>107.70904484398952</v>
      </c>
      <c r="O34" s="95"/>
      <c r="P34" s="95"/>
      <c r="Q34" s="95"/>
      <c r="R34" s="95"/>
      <c r="S34" s="95"/>
      <c r="T34" s="95"/>
      <c r="U34" s="95"/>
      <c r="V34" s="95"/>
      <c r="W34" s="95"/>
      <c r="X34" s="95"/>
    </row>
    <row r="35" spans="1:24" x14ac:dyDescent="0.25">
      <c r="A35" s="1008">
        <v>2002</v>
      </c>
      <c r="B35" s="95">
        <f t="shared" si="55"/>
        <v>90.268673892973951</v>
      </c>
      <c r="C35" s="95">
        <f t="shared" si="56"/>
        <v>89.31508723509134</v>
      </c>
      <c r="D35" s="95">
        <f t="shared" si="57"/>
        <v>83.154197077642124</v>
      </c>
      <c r="E35" s="95">
        <f t="shared" si="58"/>
        <v>92.930860459355699</v>
      </c>
      <c r="F35" s="95">
        <f t="shared" si="59"/>
        <v>104.63607810407093</v>
      </c>
      <c r="G35" s="95">
        <f t="shared" si="60"/>
        <v>95.500343117693518</v>
      </c>
      <c r="H35" s="95">
        <f t="shared" si="61"/>
        <v>98.060613764942346</v>
      </c>
      <c r="I35" s="95">
        <f t="shared" si="62"/>
        <v>101.51715030638486</v>
      </c>
      <c r="J35" s="95">
        <f t="shared" si="63"/>
        <v>103.69383448294373</v>
      </c>
      <c r="K35" s="95">
        <f t="shared" si="64"/>
        <v>104.41746855619526</v>
      </c>
      <c r="L35" s="95">
        <f t="shared" si="65"/>
        <v>93.481110821675827</v>
      </c>
      <c r="M35" s="95">
        <f t="shared" si="66"/>
        <v>90.18690668339714</v>
      </c>
      <c r="N35" s="95">
        <f t="shared" si="67"/>
        <v>104.63607810407093</v>
      </c>
      <c r="O35" s="95"/>
      <c r="P35" s="95"/>
      <c r="Q35" s="95"/>
      <c r="R35" s="95"/>
      <c r="S35" s="95"/>
      <c r="T35" s="95"/>
      <c r="U35" s="95"/>
      <c r="V35" s="95"/>
      <c r="W35" s="95"/>
      <c r="X35" s="95"/>
    </row>
    <row r="36" spans="1:24" x14ac:dyDescent="0.25">
      <c r="A36" s="1008">
        <v>2003</v>
      </c>
      <c r="B36" s="95">
        <f t="shared" si="55"/>
        <v>88.544446230990317</v>
      </c>
      <c r="C36" s="95">
        <f t="shared" si="56"/>
        <v>85.963963815361822</v>
      </c>
      <c r="D36" s="95">
        <f t="shared" si="57"/>
        <v>81.730722727508976</v>
      </c>
      <c r="E36" s="95">
        <f t="shared" si="58"/>
        <v>105.17925435578191</v>
      </c>
      <c r="F36" s="95">
        <f t="shared" si="59"/>
        <v>115.13899965799301</v>
      </c>
      <c r="G36" s="95">
        <f t="shared" si="60"/>
        <v>116.76798679921312</v>
      </c>
      <c r="H36" s="95">
        <f t="shared" si="61"/>
        <v>119.01354443981954</v>
      </c>
      <c r="I36" s="95">
        <f t="shared" si="62"/>
        <v>122.70520047789313</v>
      </c>
      <c r="J36" s="95">
        <f t="shared" si="63"/>
        <v>122.89607608811363</v>
      </c>
      <c r="K36" s="95">
        <f t="shared" si="64"/>
        <v>115.61566969477852</v>
      </c>
      <c r="L36" s="95">
        <f t="shared" si="65"/>
        <v>109.78208228781335</v>
      </c>
      <c r="M36" s="95">
        <f t="shared" si="66"/>
        <v>106.65410094988262</v>
      </c>
      <c r="N36" s="95">
        <f t="shared" si="67"/>
        <v>122.89607608811363</v>
      </c>
      <c r="O36" s="95"/>
      <c r="P36" s="95"/>
      <c r="Q36" s="95"/>
      <c r="R36" s="95"/>
      <c r="S36" s="95"/>
      <c r="T36" s="95"/>
      <c r="U36" s="95"/>
      <c r="V36" s="95"/>
      <c r="W36" s="95"/>
      <c r="X36" s="95"/>
    </row>
    <row r="37" spans="1:24" x14ac:dyDescent="0.25">
      <c r="A37" s="1008">
        <v>2004</v>
      </c>
      <c r="B37" s="95">
        <f t="shared" si="55"/>
        <v>104.70843109566528</v>
      </c>
      <c r="C37" s="95">
        <f t="shared" si="56"/>
        <v>102.41631810145935</v>
      </c>
      <c r="D37" s="95">
        <f t="shared" si="57"/>
        <v>99.693330235825414</v>
      </c>
      <c r="E37" s="95">
        <f t="shared" si="58"/>
        <v>107.82799741638837</v>
      </c>
      <c r="F37" s="95">
        <f t="shared" si="59"/>
        <v>117.70719969676739</v>
      </c>
      <c r="G37" s="95">
        <f t="shared" si="60"/>
        <v>120.49014106422869</v>
      </c>
      <c r="H37" s="95">
        <f t="shared" si="61"/>
        <v>122.98268955090126</v>
      </c>
      <c r="I37" s="95">
        <f t="shared" si="62"/>
        <v>126.65337081204122</v>
      </c>
      <c r="J37" s="95">
        <f t="shared" si="63"/>
        <v>125.99298294811445</v>
      </c>
      <c r="K37" s="95">
        <f t="shared" si="64"/>
        <v>118.98837356653632</v>
      </c>
      <c r="L37" s="95">
        <f t="shared" si="65"/>
        <v>112.09668113463556</v>
      </c>
      <c r="M37" s="95">
        <f t="shared" si="66"/>
        <v>109.05020199253882</v>
      </c>
      <c r="N37" s="95">
        <f t="shared" si="67"/>
        <v>126.65337081204122</v>
      </c>
      <c r="O37" s="95"/>
      <c r="P37" s="95"/>
      <c r="Q37" s="95"/>
      <c r="R37" s="95"/>
      <c r="S37" s="95"/>
      <c r="T37" s="95"/>
      <c r="U37" s="95"/>
      <c r="V37" s="95"/>
      <c r="W37" s="95"/>
      <c r="X37" s="95"/>
    </row>
    <row r="38" spans="1:24" x14ac:dyDescent="0.25">
      <c r="A38" s="1008">
        <v>2005</v>
      </c>
      <c r="B38" s="95">
        <f t="shared" si="55"/>
        <v>104.683914348816</v>
      </c>
      <c r="C38" s="95">
        <f t="shared" si="56"/>
        <v>101.94964351091349</v>
      </c>
      <c r="D38" s="95">
        <f t="shared" si="57"/>
        <v>99.735161177198819</v>
      </c>
      <c r="E38" s="95">
        <f t="shared" si="58"/>
        <v>107.7104016181564</v>
      </c>
      <c r="F38" s="95">
        <f t="shared" si="59"/>
        <v>116.9204556673578</v>
      </c>
      <c r="G38" s="95">
        <f t="shared" si="60"/>
        <v>120.43286807981571</v>
      </c>
      <c r="H38" s="95">
        <f t="shared" si="61"/>
        <v>122.8314960769377</v>
      </c>
      <c r="I38" s="95">
        <f t="shared" si="62"/>
        <v>126.45230284592049</v>
      </c>
      <c r="J38" s="95">
        <f t="shared" si="63"/>
        <v>125.70931848914208</v>
      </c>
      <c r="K38" s="95">
        <f t="shared" si="64"/>
        <v>118.73015676056991</v>
      </c>
      <c r="L38" s="95">
        <f t="shared" si="65"/>
        <v>111.79386679400882</v>
      </c>
      <c r="M38" s="95">
        <f t="shared" si="66"/>
        <v>108.90492275243787</v>
      </c>
      <c r="N38" s="95">
        <f t="shared" si="67"/>
        <v>126.45230284592049</v>
      </c>
      <c r="O38" s="95"/>
      <c r="P38" s="95"/>
      <c r="Q38" s="95"/>
      <c r="R38" s="95"/>
      <c r="S38" s="95"/>
      <c r="T38" s="95"/>
      <c r="U38" s="95"/>
      <c r="V38" s="95"/>
      <c r="W38" s="95"/>
      <c r="X38" s="95"/>
    </row>
    <row r="39" spans="1:24" x14ac:dyDescent="0.25">
      <c r="A39" s="1008">
        <v>2006</v>
      </c>
      <c r="B39" s="95">
        <f t="shared" si="55"/>
        <v>104.56009779449903</v>
      </c>
      <c r="C39" s="95">
        <f t="shared" si="56"/>
        <v>101.73357238362105</v>
      </c>
      <c r="D39" s="95">
        <f t="shared" si="57"/>
        <v>99.760177344559679</v>
      </c>
      <c r="E39" s="95">
        <f t="shared" si="58"/>
        <v>107.5505675763504</v>
      </c>
      <c r="F39" s="95">
        <f t="shared" si="59"/>
        <v>116.2777039040443</v>
      </c>
      <c r="G39" s="95">
        <f t="shared" si="60"/>
        <v>120.32642592373416</v>
      </c>
      <c r="H39" s="95">
        <f t="shared" si="61"/>
        <v>122.66546902324043</v>
      </c>
      <c r="I39" s="95">
        <f t="shared" si="62"/>
        <v>126.2942958844458</v>
      </c>
      <c r="J39" s="95">
        <f t="shared" si="63"/>
        <v>125.63164109935661</v>
      </c>
      <c r="K39" s="95">
        <f t="shared" si="64"/>
        <v>118.37233558050985</v>
      </c>
      <c r="L39" s="95">
        <f t="shared" si="65"/>
        <v>111.53309842589927</v>
      </c>
      <c r="M39" s="95">
        <f t="shared" si="66"/>
        <v>98.508155282080082</v>
      </c>
      <c r="N39" s="95">
        <f t="shared" si="67"/>
        <v>126.2942958844458</v>
      </c>
      <c r="O39" s="95"/>
      <c r="P39" s="95"/>
      <c r="Q39" s="95"/>
      <c r="R39" s="95"/>
      <c r="S39" s="95"/>
      <c r="T39" s="95"/>
      <c r="U39" s="95"/>
      <c r="V39" s="95"/>
      <c r="W39" s="95"/>
      <c r="X39" s="95"/>
    </row>
    <row r="40" spans="1:24" x14ac:dyDescent="0.25">
      <c r="A40" s="1008">
        <v>2007</v>
      </c>
      <c r="B40" s="95">
        <f t="shared" si="55"/>
        <v>94.030263691170177</v>
      </c>
      <c r="C40" s="95">
        <f t="shared" si="56"/>
        <v>91.241387508838187</v>
      </c>
      <c r="D40" s="95">
        <f t="shared" si="57"/>
        <v>89.231966473800085</v>
      </c>
      <c r="E40" s="95">
        <f t="shared" si="58"/>
        <v>96.680216463520821</v>
      </c>
      <c r="F40" s="95">
        <f t="shared" si="59"/>
        <v>104.6961627872596</v>
      </c>
      <c r="G40" s="95">
        <f t="shared" si="60"/>
        <v>107.84693133261744</v>
      </c>
      <c r="H40" s="95">
        <f t="shared" si="61"/>
        <v>109.64282999178189</v>
      </c>
      <c r="I40" s="95">
        <f t="shared" si="62"/>
        <v>112.91275320239833</v>
      </c>
      <c r="J40" s="95">
        <f t="shared" si="63"/>
        <v>113.30700876886439</v>
      </c>
      <c r="K40" s="95">
        <f t="shared" si="64"/>
        <v>108.57698321701147</v>
      </c>
      <c r="L40" s="95">
        <f t="shared" si="65"/>
        <v>101.1850548155423</v>
      </c>
      <c r="M40" s="95">
        <f t="shared" si="66"/>
        <v>98.288028850532896</v>
      </c>
      <c r="N40" s="95">
        <f t="shared" si="67"/>
        <v>113.30700876886439</v>
      </c>
      <c r="O40" s="95"/>
      <c r="P40" s="95"/>
      <c r="Q40" s="95"/>
      <c r="R40" s="95"/>
      <c r="S40" s="95"/>
      <c r="T40" s="95"/>
      <c r="U40" s="95"/>
      <c r="V40" s="95"/>
      <c r="W40" s="95"/>
      <c r="X40" s="95"/>
    </row>
    <row r="41" spans="1:24" x14ac:dyDescent="0.25">
      <c r="A41" s="1008">
        <v>2008</v>
      </c>
      <c r="B41" s="95">
        <f t="shared" si="55"/>
        <v>95.165550839959863</v>
      </c>
      <c r="C41" s="95">
        <f t="shared" si="56"/>
        <v>92.850940429354182</v>
      </c>
      <c r="D41" s="95">
        <f t="shared" si="57"/>
        <v>90.728500749787102</v>
      </c>
      <c r="E41" s="95">
        <f t="shared" si="58"/>
        <v>97.939653116511437</v>
      </c>
      <c r="F41" s="95">
        <f t="shared" si="59"/>
        <v>106.03315860910388</v>
      </c>
      <c r="G41" s="95">
        <f t="shared" si="60"/>
        <v>109.52657862519573</v>
      </c>
      <c r="H41" s="95">
        <f t="shared" si="61"/>
        <v>111.22339435584007</v>
      </c>
      <c r="I41" s="95">
        <f t="shared" si="62"/>
        <v>114.54019718714406</v>
      </c>
      <c r="J41" s="95">
        <f t="shared" si="63"/>
        <v>116.72108073824791</v>
      </c>
      <c r="K41" s="95">
        <f t="shared" si="64"/>
        <v>109.92925356909309</v>
      </c>
      <c r="L41" s="95">
        <f t="shared" si="65"/>
        <v>102.57601786255906</v>
      </c>
      <c r="M41" s="95">
        <f t="shared" si="66"/>
        <v>99.397048766260667</v>
      </c>
      <c r="N41" s="95">
        <f t="shared" si="67"/>
        <v>116.72108073824791</v>
      </c>
      <c r="O41" s="95"/>
      <c r="P41" s="95"/>
      <c r="Q41" s="95"/>
      <c r="R41" s="95"/>
      <c r="S41" s="95"/>
      <c r="T41" s="95"/>
      <c r="U41" s="95"/>
      <c r="V41" s="95"/>
      <c r="W41" s="95"/>
      <c r="X41" s="95"/>
    </row>
    <row r="42" spans="1:24" x14ac:dyDescent="0.25">
      <c r="A42" s="1008">
        <v>2009</v>
      </c>
      <c r="B42" s="95">
        <f t="shared" si="55"/>
        <v>95.004112465676982</v>
      </c>
      <c r="C42" s="95">
        <f t="shared" si="56"/>
        <v>92.146646520689984</v>
      </c>
      <c r="D42" s="95">
        <f t="shared" si="57"/>
        <v>90.415410783138668</v>
      </c>
      <c r="E42" s="95">
        <f t="shared" si="58"/>
        <v>97.700259542113059</v>
      </c>
      <c r="F42" s="95">
        <f t="shared" si="59"/>
        <v>105.7216896465971</v>
      </c>
      <c r="G42" s="95">
        <f t="shared" si="60"/>
        <v>108.81220661188367</v>
      </c>
      <c r="H42" s="95">
        <f t="shared" si="61"/>
        <v>110.55980552017519</v>
      </c>
      <c r="I42" s="95">
        <f t="shared" si="62"/>
        <v>113.91690308841594</v>
      </c>
      <c r="J42" s="95">
        <f t="shared" si="63"/>
        <v>115.48972430086586</v>
      </c>
      <c r="K42" s="95">
        <f t="shared" si="64"/>
        <v>107.79479349110917</v>
      </c>
      <c r="L42" s="95">
        <f t="shared" si="65"/>
        <v>99.082882439873401</v>
      </c>
      <c r="M42" s="95">
        <f t="shared" si="66"/>
        <v>95.713947747348342</v>
      </c>
      <c r="N42" s="95">
        <f t="shared" si="67"/>
        <v>115.48972430086586</v>
      </c>
      <c r="O42" s="95"/>
      <c r="P42" s="95"/>
      <c r="Q42" s="95"/>
      <c r="R42" s="95"/>
      <c r="S42" s="95"/>
      <c r="T42" s="95"/>
      <c r="U42" s="95"/>
      <c r="V42" s="95"/>
      <c r="W42" s="95"/>
      <c r="X42" s="95"/>
    </row>
    <row r="43" spans="1:24" x14ac:dyDescent="0.25">
      <c r="A43" s="1008">
        <v>2010</v>
      </c>
      <c r="B43" s="95">
        <f t="shared" si="55"/>
        <v>86.724938604846926</v>
      </c>
      <c r="C43" s="95">
        <f t="shared" si="56"/>
        <v>78.902917248453917</v>
      </c>
      <c r="D43" s="95">
        <f t="shared" si="57"/>
        <v>76.036111095970412</v>
      </c>
      <c r="E43" s="95">
        <f t="shared" si="58"/>
        <v>84.565585455349165</v>
      </c>
      <c r="F43" s="95">
        <f t="shared" si="59"/>
        <v>92.749097807518865</v>
      </c>
      <c r="G43" s="95">
        <f t="shared" si="60"/>
        <v>99.14689912977461</v>
      </c>
      <c r="H43" s="95">
        <f t="shared" si="61"/>
        <v>100.90012460787401</v>
      </c>
      <c r="I43" s="95">
        <f t="shared" si="62"/>
        <v>104.00284832074061</v>
      </c>
      <c r="J43" s="95">
        <f t="shared" si="63"/>
        <v>99.588840281583799</v>
      </c>
      <c r="K43" s="95">
        <f t="shared" si="64"/>
        <v>0</v>
      </c>
      <c r="L43" s="95">
        <f t="shared" si="65"/>
        <v>0</v>
      </c>
      <c r="M43" s="95">
        <f t="shared" si="66"/>
        <v>0</v>
      </c>
      <c r="N43" s="95">
        <f t="shared" si="67"/>
        <v>104.00284832074061</v>
      </c>
      <c r="O43" s="95"/>
      <c r="P43" s="95"/>
      <c r="Q43" s="95"/>
      <c r="R43" s="95"/>
      <c r="S43" s="95"/>
      <c r="T43" s="95"/>
      <c r="U43" s="95"/>
      <c r="V43" s="95"/>
      <c r="W43" s="95"/>
      <c r="X43" s="95"/>
    </row>
    <row r="44" spans="1:24" x14ac:dyDescent="0.25">
      <c r="B44" s="95"/>
    </row>
  </sheetData>
  <pageMargins left="0.75" right="0.75" top="1" bottom="1" header="0.5" footer="0.5"/>
  <pageSetup orientation="portrait" horizontalDpi="0" verticalDpi="3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1:AL40"/>
  <sheetViews>
    <sheetView zoomScale="90" workbookViewId="0"/>
  </sheetViews>
  <sheetFormatPr defaultRowHeight="15.6" x14ac:dyDescent="0.3"/>
  <cols>
    <col min="1" max="1" width="1.44140625" customWidth="1"/>
    <col min="2" max="2" width="9.109375" style="631" customWidth="1"/>
    <col min="15" max="38" width="9.109375" style="13" customWidth="1"/>
  </cols>
  <sheetData>
    <row r="1" spans="2:2" x14ac:dyDescent="0.3">
      <c r="B1" s="958"/>
    </row>
    <row r="2" spans="2:2" ht="21" x14ac:dyDescent="0.4">
      <c r="B2" s="1003" t="s">
        <v>509</v>
      </c>
    </row>
    <row r="3" spans="2:2" ht="21" x14ac:dyDescent="0.4">
      <c r="B3" s="1003" t="s">
        <v>510</v>
      </c>
    </row>
    <row r="5" spans="2:2" ht="6.75" customHeight="1" x14ac:dyDescent="0.3"/>
    <row r="6" spans="2:2" x14ac:dyDescent="0.3">
      <c r="B6" s="631" t="s">
        <v>436</v>
      </c>
    </row>
    <row r="7" spans="2:2" ht="7.5" customHeight="1" x14ac:dyDescent="0.3"/>
    <row r="8" spans="2:2" x14ac:dyDescent="0.3">
      <c r="B8" s="958"/>
    </row>
    <row r="27" ht="9" customHeight="1" x14ac:dyDescent="0.3"/>
    <row r="35" spans="2:18" x14ac:dyDescent="0.3">
      <c r="B35" s="957"/>
    </row>
    <row r="36" spans="2:18" x14ac:dyDescent="0.3">
      <c r="B36" s="957"/>
      <c r="P36" s="129"/>
      <c r="Q36" s="129"/>
      <c r="R36" s="139"/>
    </row>
    <row r="37" spans="2:18" x14ac:dyDescent="0.3">
      <c r="B37" s="957" t="s">
        <v>0</v>
      </c>
      <c r="P37" s="129"/>
      <c r="Q37" s="129"/>
      <c r="R37" s="139"/>
    </row>
    <row r="38" spans="2:18" x14ac:dyDescent="0.3">
      <c r="B38" s="957"/>
      <c r="P38" s="129"/>
      <c r="Q38" s="129"/>
      <c r="R38" s="139"/>
    </row>
    <row r="39" spans="2:18" x14ac:dyDescent="0.3">
      <c r="B39" s="957"/>
    </row>
    <row r="40" spans="2:18" x14ac:dyDescent="0.3">
      <c r="B40" s="957"/>
    </row>
  </sheetData>
  <pageMargins left="0.75" right="0.75" top="1" bottom="1" header="0.5" footer="0.5"/>
  <pageSetup orientation="portrait" r:id="rId1"/>
  <headerFooter alignWithMargins="0">
    <oddHeader>&amp;A</oddHeader>
    <oddFooter>Page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pageSetUpPr fitToPage="1"/>
  </sheetPr>
  <dimension ref="A1:CP360"/>
  <sheetViews>
    <sheetView zoomScale="80" workbookViewId="0">
      <selection activeCell="C15" sqref="C15"/>
    </sheetView>
  </sheetViews>
  <sheetFormatPr defaultColWidth="9.109375" defaultRowHeight="13.2" x14ac:dyDescent="0.25"/>
  <cols>
    <col min="1" max="1" width="1.33203125" style="1" customWidth="1"/>
    <col min="2" max="2" width="21.5546875" style="1" customWidth="1"/>
    <col min="3" max="3" width="18.5546875" style="1" customWidth="1"/>
    <col min="4" max="4" width="1.33203125" style="1" customWidth="1"/>
    <col min="5" max="5" width="26" style="1" customWidth="1"/>
    <col min="6" max="6" width="13.44140625" style="1" customWidth="1"/>
    <col min="7" max="7" width="1.33203125" style="1" customWidth="1"/>
    <col min="8" max="8" width="26" style="1" customWidth="1"/>
    <col min="9" max="9" width="13.33203125" style="1" customWidth="1"/>
    <col min="10" max="10" width="1.33203125" style="1" customWidth="1"/>
    <col min="11" max="11" width="25.33203125" style="1" customWidth="1"/>
    <col min="12" max="12" width="12.44140625" style="1" customWidth="1"/>
    <col min="13" max="13" width="1.6640625" style="1" customWidth="1"/>
    <col min="14" max="14" width="10.33203125" style="1" customWidth="1"/>
    <col min="15" max="15" width="10.88671875" style="1" customWidth="1"/>
    <col min="16" max="17" width="11.5546875" style="1" customWidth="1"/>
    <col min="18" max="18" width="2" style="1" customWidth="1"/>
    <col min="19" max="19" width="16" style="1" customWidth="1"/>
    <col min="20" max="24" width="8.33203125" style="1" customWidth="1"/>
    <col min="25" max="25" width="4.109375" style="1" customWidth="1"/>
    <col min="26" max="26" width="8.88671875" style="1" customWidth="1"/>
    <col min="27" max="27" width="7.109375" style="1" customWidth="1"/>
    <col min="28" max="28" width="6.6640625" style="1" customWidth="1"/>
    <col min="29" max="29" width="8.109375" style="1" customWidth="1"/>
    <col min="30" max="30" width="6.5546875" style="1" customWidth="1"/>
    <col min="31" max="31" width="6.33203125" style="1" customWidth="1"/>
    <col min="32" max="32" width="8.109375" style="1" customWidth="1"/>
    <col min="33" max="34" width="7.109375" style="1" customWidth="1"/>
    <col min="35" max="35" width="6.33203125" style="1" customWidth="1"/>
    <col min="36" max="36" width="8.109375" style="1" customWidth="1"/>
    <col min="37" max="37" width="7.109375" style="1" customWidth="1"/>
    <col min="38" max="38" width="6.5546875" style="1" customWidth="1"/>
    <col min="39" max="39" width="8.109375" style="1" customWidth="1"/>
    <col min="40" max="40" width="6.6640625" style="1" customWidth="1"/>
    <col min="41" max="41" width="7.109375" style="1" customWidth="1"/>
    <col min="42" max="42" width="8.109375" style="1" customWidth="1"/>
    <col min="43" max="43" width="5.88671875" style="1" customWidth="1"/>
    <col min="44" max="49" width="10.33203125" style="1" customWidth="1"/>
    <col min="50" max="50" width="6.44140625" style="1" customWidth="1"/>
    <col min="51" max="51" width="20.88671875" style="1" customWidth="1"/>
    <col min="52" max="52" width="7.109375" style="1" customWidth="1"/>
    <col min="53" max="53" width="2.33203125" customWidth="1"/>
    <col min="54" max="54" width="3.5546875" customWidth="1"/>
    <col min="55" max="55" width="27" style="1" customWidth="1"/>
    <col min="56" max="56" width="23.5546875" style="1" customWidth="1"/>
    <col min="57" max="57" width="14.5546875" style="1" customWidth="1"/>
    <col min="58" max="58" width="14.109375" style="1" customWidth="1"/>
    <col min="59" max="59" width="22.88671875" style="1" customWidth="1"/>
    <col min="60" max="60" width="14.109375" style="1" customWidth="1"/>
    <col min="61" max="61" width="15.33203125" style="1" customWidth="1"/>
    <col min="62" max="62" width="14.88671875" style="1" customWidth="1"/>
    <col min="63" max="63" width="9.109375" style="1"/>
    <col min="64" max="64" width="6.6640625" style="1" customWidth="1"/>
    <col min="65" max="65" width="13.88671875" style="1" customWidth="1"/>
    <col min="66" max="66" width="9.44140625" style="1" customWidth="1"/>
    <col min="67" max="67" width="9.109375" style="1"/>
    <col min="68" max="68" width="13.109375" style="1" customWidth="1"/>
    <col min="69" max="73" width="9.109375" style="1"/>
    <col min="74" max="74" width="12.6640625" style="1" customWidth="1"/>
    <col min="75" max="75" width="9.109375" style="1"/>
    <col min="76" max="76" width="11.5546875" style="1" customWidth="1"/>
    <col min="77" max="16384" width="9.109375" style="1"/>
  </cols>
  <sheetData>
    <row r="1" spans="1:94" ht="4.5" customHeight="1" thickBot="1" x14ac:dyDescent="0.35">
      <c r="A1" s="647"/>
      <c r="B1" s="653"/>
      <c r="C1" s="649"/>
      <c r="D1" s="649"/>
      <c r="E1" s="652"/>
      <c r="F1" s="652"/>
      <c r="G1" s="649"/>
      <c r="H1" s="652"/>
      <c r="I1" s="652"/>
      <c r="J1" s="654"/>
      <c r="K1" s="652"/>
      <c r="L1" s="652"/>
      <c r="M1" s="651"/>
      <c r="N1" s="655"/>
      <c r="O1" s="652"/>
      <c r="P1" s="652"/>
      <c r="Q1" s="652"/>
      <c r="R1" s="652"/>
      <c r="S1" s="652"/>
      <c r="T1" s="652"/>
      <c r="U1" s="652"/>
      <c r="V1" s="652"/>
      <c r="W1" s="652"/>
      <c r="X1" s="652"/>
      <c r="Y1" s="652"/>
      <c r="Z1" s="652"/>
      <c r="AA1" s="652"/>
      <c r="AB1" s="652"/>
      <c r="AC1" s="652"/>
      <c r="AD1" s="652"/>
      <c r="AE1" s="652"/>
      <c r="AF1" s="652"/>
      <c r="AG1" s="652"/>
      <c r="AH1" s="652"/>
      <c r="AI1" s="652"/>
      <c r="AJ1" s="652"/>
      <c r="AK1" s="652"/>
      <c r="AL1" s="652"/>
      <c r="AM1" s="652"/>
      <c r="AN1" s="652"/>
      <c r="AO1" s="652"/>
      <c r="AP1" s="652"/>
      <c r="AQ1" s="652"/>
      <c r="AR1" s="652"/>
      <c r="AS1" s="652"/>
      <c r="AT1" s="652"/>
      <c r="AU1" s="652"/>
      <c r="AV1" s="652"/>
      <c r="AW1" s="652"/>
      <c r="AX1" s="652"/>
      <c r="AY1"/>
      <c r="AZ1"/>
      <c r="BC1"/>
      <c r="BD1"/>
      <c r="BE1"/>
      <c r="BF1"/>
      <c r="BG1"/>
      <c r="BH1"/>
      <c r="BI1"/>
      <c r="BJ1"/>
      <c r="BK1"/>
      <c r="BN1" s="15"/>
      <c r="BO1" s="16"/>
      <c r="BQ1" s="16"/>
      <c r="BR1" s="16"/>
      <c r="BS1" s="16"/>
      <c r="BT1" s="16" t="str">
        <f>IF(OR(C313=1,C314=1),+"Daily and Monthly Pricing Matrices are to the RIGHT "&amp;REPT(CHAR(26),5),"")</f>
        <v/>
      </c>
      <c r="BU1" s="16"/>
      <c r="BV1" s="16"/>
      <c r="BW1" s="16"/>
      <c r="BX1" s="16"/>
      <c r="BY1" s="27"/>
      <c r="CB1" s="29"/>
      <c r="CH1" s="29"/>
      <c r="CI1" s="16"/>
    </row>
    <row r="2" spans="1:94" ht="15.75" customHeight="1" thickBot="1" x14ac:dyDescent="0.35">
      <c r="A2" s="648"/>
      <c r="B2" s="83" t="s">
        <v>1</v>
      </c>
      <c r="C2" s="746">
        <f ca="1">TODAY()</f>
        <v>36587</v>
      </c>
      <c r="D2" s="656"/>
      <c r="E2" s="212" t="s">
        <v>2</v>
      </c>
      <c r="F2" s="91">
        <v>1</v>
      </c>
      <c r="G2" s="649"/>
      <c r="H2" s="75" t="s">
        <v>3</v>
      </c>
      <c r="I2" s="577">
        <v>1</v>
      </c>
      <c r="J2" s="654"/>
      <c r="K2" s="88" t="s">
        <v>4</v>
      </c>
      <c r="L2" s="222">
        <v>0</v>
      </c>
      <c r="M2" s="651"/>
      <c r="N2" s="830" t="s">
        <v>5</v>
      </c>
      <c r="O2" s="581"/>
      <c r="P2" s="400"/>
      <c r="Q2" s="652"/>
      <c r="R2" s="652"/>
      <c r="S2" s="149" t="s">
        <v>6</v>
      </c>
      <c r="T2" s="150"/>
      <c r="U2" s="151"/>
      <c r="V2" s="150"/>
      <c r="W2" s="150"/>
      <c r="X2" s="152"/>
      <c r="Y2" s="652"/>
      <c r="Z2" s="546"/>
      <c r="AA2" s="621"/>
      <c r="AB2" s="533" t="s">
        <v>7</v>
      </c>
      <c r="AC2" s="534"/>
      <c r="AD2" s="534"/>
      <c r="AE2" s="534"/>
      <c r="AF2" s="534"/>
      <c r="AG2" s="534"/>
      <c r="AH2" s="534"/>
      <c r="AI2" s="534"/>
      <c r="AJ2" s="533" t="s">
        <v>8</v>
      </c>
      <c r="AK2" s="534"/>
      <c r="AL2" s="534"/>
      <c r="AM2" s="534"/>
      <c r="AN2" s="534"/>
      <c r="AO2" s="534"/>
      <c r="AP2" s="534"/>
      <c r="AQ2" s="534"/>
      <c r="AR2" s="533" t="s">
        <v>9</v>
      </c>
      <c r="AS2" s="535"/>
      <c r="AT2" s="533" t="s">
        <v>10</v>
      </c>
      <c r="AU2" s="535"/>
      <c r="AV2" s="533" t="s">
        <v>11</v>
      </c>
      <c r="AW2" s="535"/>
      <c r="AX2" s="652"/>
      <c r="AY2" s="142" t="s">
        <v>12</v>
      </c>
      <c r="AZ2"/>
      <c r="BL2"/>
      <c r="BM2"/>
      <c r="BN2" s="27"/>
      <c r="BO2" s="27"/>
      <c r="BP2" s="27"/>
      <c r="BQ2" s="27"/>
      <c r="BR2" s="27"/>
      <c r="BS2" s="27"/>
      <c r="BT2" s="27"/>
      <c r="BU2" s="27"/>
      <c r="BV2" s="27"/>
      <c r="BW2" s="27"/>
      <c r="BX2" s="27"/>
      <c r="BY2" s="27"/>
    </row>
    <row r="3" spans="1:94" ht="17.25" customHeight="1" thickBot="1" x14ac:dyDescent="0.35">
      <c r="A3" s="649"/>
      <c r="B3" s="84" t="s">
        <v>13</v>
      </c>
      <c r="C3" s="747">
        <f ca="1">DateToday-1-IF(WEEKDAY(DateToday)&lt;3,WEEKDAY(DateToday),0)</f>
        <v>36586</v>
      </c>
      <c r="D3" s="656"/>
      <c r="E3" s="162" t="s">
        <v>14</v>
      </c>
      <c r="F3" s="91">
        <v>1</v>
      </c>
      <c r="G3" s="649"/>
      <c r="H3" s="576"/>
      <c r="I3" s="578">
        <v>0</v>
      </c>
      <c r="J3" s="654"/>
      <c r="K3" s="169"/>
      <c r="L3" s="170"/>
      <c r="M3" s="651"/>
      <c r="N3" s="633" t="s">
        <v>15</v>
      </c>
      <c r="O3" s="579" t="s">
        <v>16</v>
      </c>
      <c r="P3" s="582" t="s">
        <v>17</v>
      </c>
      <c r="Q3" s="652"/>
      <c r="R3" s="652"/>
      <c r="S3" s="153" t="s">
        <v>18</v>
      </c>
      <c r="T3" s="147" t="s">
        <v>19</v>
      </c>
      <c r="U3" s="147" t="s">
        <v>20</v>
      </c>
      <c r="V3" s="148" t="s">
        <v>21</v>
      </c>
      <c r="W3" s="148" t="s">
        <v>22</v>
      </c>
      <c r="X3" s="154" t="s">
        <v>23</v>
      </c>
      <c r="Y3" s="652"/>
      <c r="Z3" s="547" t="s">
        <v>15</v>
      </c>
      <c r="AA3" s="623" t="s">
        <v>24</v>
      </c>
      <c r="AB3" s="533" t="s">
        <v>25</v>
      </c>
      <c r="AC3" s="534"/>
      <c r="AD3" s="534"/>
      <c r="AE3" s="535"/>
      <c r="AF3" s="533" t="s">
        <v>26</v>
      </c>
      <c r="AG3" s="534"/>
      <c r="AH3" s="534"/>
      <c r="AI3" s="535"/>
      <c r="AJ3" s="533" t="s">
        <v>25</v>
      </c>
      <c r="AK3" s="534"/>
      <c r="AL3" s="534"/>
      <c r="AM3" s="535"/>
      <c r="AN3" s="533" t="s">
        <v>26</v>
      </c>
      <c r="AO3" s="534"/>
      <c r="AP3" s="534"/>
      <c r="AQ3" s="535"/>
      <c r="AR3" s="536" t="s">
        <v>27</v>
      </c>
      <c r="AS3" s="537"/>
      <c r="AT3" s="536" t="s">
        <v>27</v>
      </c>
      <c r="AU3" s="537"/>
      <c r="AV3" s="536" t="s">
        <v>27</v>
      </c>
      <c r="AW3" s="537"/>
      <c r="AX3" s="652"/>
      <c r="AY3" s="433" t="s">
        <v>28</v>
      </c>
      <c r="AZ3" s="784"/>
      <c r="BA3" s="434"/>
      <c r="BC3" s="81" t="s">
        <v>29</v>
      </c>
      <c r="BD3" s="77" t="s">
        <v>30</v>
      </c>
      <c r="BE3" s="40" t="str">
        <f>CONCATENATE(PeakStart,"-",PeakEnd)</f>
        <v>800-2300</v>
      </c>
      <c r="BF3"/>
      <c r="BG3"/>
      <c r="BH3"/>
      <c r="BJ3"/>
      <c r="BK3"/>
      <c r="BL3"/>
      <c r="BM3"/>
      <c r="BN3" s="16"/>
      <c r="BO3" s="16"/>
      <c r="BP3" s="16"/>
      <c r="BQ3" s="16"/>
      <c r="BR3" s="16"/>
      <c r="BS3" s="16"/>
      <c r="BT3" s="16"/>
      <c r="BU3" s="16"/>
      <c r="BV3" s="16"/>
      <c r="BW3" s="16"/>
      <c r="BX3" s="16"/>
      <c r="BY3" s="16"/>
    </row>
    <row r="4" spans="1:94" ht="20.25" customHeight="1" thickBot="1" x14ac:dyDescent="0.35">
      <c r="A4" s="649"/>
      <c r="B4" s="76" t="s">
        <v>31</v>
      </c>
      <c r="C4" s="85"/>
      <c r="D4" s="656"/>
      <c r="E4" s="171"/>
      <c r="F4" s="172"/>
      <c r="G4" s="649"/>
      <c r="H4" s="86"/>
      <c r="I4" s="87"/>
      <c r="J4" s="654"/>
      <c r="K4" s="88" t="s">
        <v>32</v>
      </c>
      <c r="L4" s="89">
        <v>0</v>
      </c>
      <c r="M4" s="651"/>
      <c r="N4" s="632" t="s">
        <v>33</v>
      </c>
      <c r="O4" s="580" t="s">
        <v>34</v>
      </c>
      <c r="P4" s="160" t="s">
        <v>34</v>
      </c>
      <c r="Q4" s="652"/>
      <c r="R4" s="652"/>
      <c r="S4" s="69" t="str">
        <f t="shared" ref="S4:S27" si="0">IF(OR(T4&lt;PeakStart,T4&gt;PeakEnd),"Off-Peak","Peak")</f>
        <v>Off-Peak</v>
      </c>
      <c r="T4" s="65">
        <v>100</v>
      </c>
      <c r="U4" s="144">
        <v>0</v>
      </c>
      <c r="V4" s="144">
        <v>0</v>
      </c>
      <c r="W4" s="144">
        <v>0</v>
      </c>
      <c r="X4" s="155">
        <v>0</v>
      </c>
      <c r="Y4" s="652"/>
      <c r="Z4" s="548"/>
      <c r="AA4" s="622"/>
      <c r="AB4" s="153" t="s">
        <v>35</v>
      </c>
      <c r="AC4" s="147" t="s">
        <v>36</v>
      </c>
      <c r="AD4" s="147" t="s">
        <v>37</v>
      </c>
      <c r="AE4" s="549" t="s">
        <v>38</v>
      </c>
      <c r="AF4" s="153" t="s">
        <v>35</v>
      </c>
      <c r="AG4" s="147" t="s">
        <v>36</v>
      </c>
      <c r="AH4" s="147" t="s">
        <v>37</v>
      </c>
      <c r="AI4" s="549" t="s">
        <v>38</v>
      </c>
      <c r="AJ4" s="153" t="s">
        <v>35</v>
      </c>
      <c r="AK4" s="147" t="s">
        <v>36</v>
      </c>
      <c r="AL4" s="147" t="s">
        <v>37</v>
      </c>
      <c r="AM4" s="549" t="s">
        <v>38</v>
      </c>
      <c r="AN4" s="153" t="s">
        <v>35</v>
      </c>
      <c r="AO4" s="147" t="s">
        <v>36</v>
      </c>
      <c r="AP4" s="147" t="s">
        <v>37</v>
      </c>
      <c r="AQ4" s="549" t="s">
        <v>38</v>
      </c>
      <c r="AR4" s="538" t="s">
        <v>25</v>
      </c>
      <c r="AS4" s="539" t="s">
        <v>26</v>
      </c>
      <c r="AT4" s="538" t="s">
        <v>25</v>
      </c>
      <c r="AU4" s="539" t="s">
        <v>26</v>
      </c>
      <c r="AV4" s="538" t="s">
        <v>25</v>
      </c>
      <c r="AW4" s="539" t="s">
        <v>26</v>
      </c>
      <c r="AX4" s="652"/>
      <c r="AY4" s="719" t="s">
        <v>39</v>
      </c>
      <c r="AZ4" s="786" t="b">
        <v>0</v>
      </c>
      <c r="BA4" s="787"/>
      <c r="BC4" s="56">
        <v>1</v>
      </c>
      <c r="BD4" s="78" t="s">
        <v>40</v>
      </c>
      <c r="BE4" s="39" t="str">
        <f>CONCATENATE(PeakEnd+100,"-",PeakStart-100)</f>
        <v>2400-700</v>
      </c>
      <c r="BF4"/>
      <c r="BG4"/>
      <c r="BH4"/>
      <c r="BJ4"/>
      <c r="BK4"/>
      <c r="BL4"/>
      <c r="BM4"/>
      <c r="BN4" s="15"/>
      <c r="BO4"/>
      <c r="BQ4" s="16"/>
      <c r="BR4" s="15"/>
      <c r="BU4" s="16"/>
      <c r="BV4" s="15"/>
      <c r="BY4" s="16"/>
      <c r="CC4" s="30"/>
      <c r="CD4" s="30"/>
      <c r="CJ4" s="30"/>
      <c r="CK4" s="30"/>
    </row>
    <row r="5" spans="1:94" ht="19.5" customHeight="1" thickBot="1" x14ac:dyDescent="0.35">
      <c r="A5" s="649"/>
      <c r="B5" s="84" t="s">
        <v>41</v>
      </c>
      <c r="C5" s="37"/>
      <c r="D5" s="656"/>
      <c r="E5" s="674" t="s">
        <v>42</v>
      </c>
      <c r="F5" s="174"/>
      <c r="G5" s="649"/>
      <c r="H5" s="575" t="s">
        <v>43</v>
      </c>
      <c r="I5" s="164"/>
      <c r="J5" s="654"/>
      <c r="K5" s="169"/>
      <c r="L5" s="170"/>
      <c r="M5" s="651"/>
      <c r="N5" s="66"/>
      <c r="O5" s="870">
        <v>0</v>
      </c>
      <c r="P5" s="871">
        <v>0</v>
      </c>
      <c r="Q5" s="652"/>
      <c r="R5" s="652"/>
      <c r="S5" s="69" t="str">
        <f t="shared" si="0"/>
        <v>Off-Peak</v>
      </c>
      <c r="T5" s="65">
        <v>200</v>
      </c>
      <c r="U5" s="144">
        <v>0</v>
      </c>
      <c r="V5" s="144">
        <v>0</v>
      </c>
      <c r="W5" s="144">
        <v>0</v>
      </c>
      <c r="X5" s="155">
        <v>0</v>
      </c>
      <c r="Y5" s="652"/>
      <c r="Z5" s="604">
        <f ca="1">CALC!A17</f>
        <v>36617</v>
      </c>
      <c r="AA5" s="624">
        <f ca="1">CALC!J17</f>
        <v>0.98714729954481328</v>
      </c>
      <c r="AB5" s="555">
        <v>99.99</v>
      </c>
      <c r="AC5" s="556">
        <v>99.99</v>
      </c>
      <c r="AD5" s="556">
        <v>9.99</v>
      </c>
      <c r="AE5" s="557">
        <v>1</v>
      </c>
      <c r="AF5" s="555">
        <v>99.99</v>
      </c>
      <c r="AG5" s="556">
        <v>99.99</v>
      </c>
      <c r="AH5" s="556">
        <v>10.01</v>
      </c>
      <c r="AI5" s="557">
        <v>1</v>
      </c>
      <c r="AJ5" s="555">
        <v>99.99</v>
      </c>
      <c r="AK5" s="556">
        <v>99.99</v>
      </c>
      <c r="AL5" s="556">
        <v>19.989999999999998</v>
      </c>
      <c r="AM5" s="557">
        <v>1</v>
      </c>
      <c r="AN5" s="555">
        <v>99.99</v>
      </c>
      <c r="AO5" s="556">
        <v>99.99</v>
      </c>
      <c r="AP5" s="556">
        <v>20.010000000000002</v>
      </c>
      <c r="AQ5" s="557">
        <v>1</v>
      </c>
      <c r="AR5" s="598">
        <f ca="1">ImpliedVolOfUndiscountedPremium(AA21,AB5,AC5,AD5/AA5,AE5)</f>
        <v>0.88760703187824896</v>
      </c>
      <c r="AS5" s="598">
        <f ca="1">ImpliedVolOfUndiscountedPremium(AA21,AF5,AG5,AH5/AA5,AI5)</f>
        <v>0.88939375932165154</v>
      </c>
      <c r="AT5" s="599">
        <f ca="1">ImpliedVolOfUndiscountedPremium(AH21,AJ5,AK5,AL5/AA5,AM5)</f>
        <v>1.4786955378217712</v>
      </c>
      <c r="AU5" s="600">
        <f ca="1">ImpliedVolOfUndiscountedPremium(AH21,AN5,AO5,AP5/AA5,AQ5)</f>
        <v>1.4802078016320197</v>
      </c>
      <c r="AV5" s="598">
        <f ca="1">SQRT((AT5^2*(Z5-DateToday+14)-AR5^2*(Z5-DateToday-1))/15)</f>
        <v>2.2114887997169843</v>
      </c>
      <c r="AW5" s="600">
        <f ca="1">SQRT((AU5^2*(Z5-DateToday+14)-AS5^2*(Z5-DateToday-1))/15)</f>
        <v>2.2130679982029826</v>
      </c>
      <c r="AX5" s="652"/>
      <c r="AY5" s="101" t="s">
        <v>44</v>
      </c>
      <c r="AZ5" s="785" t="b">
        <v>0</v>
      </c>
      <c r="BA5" s="179"/>
      <c r="BJ5"/>
      <c r="BK5"/>
      <c r="BL5"/>
      <c r="BM5"/>
      <c r="BN5" s="16"/>
      <c r="BO5" s="16"/>
      <c r="BP5" s="16"/>
      <c r="BQ5" s="16"/>
      <c r="BR5" s="16"/>
      <c r="BS5" s="16"/>
      <c r="BT5" s="16"/>
      <c r="BU5" s="16"/>
      <c r="BV5" s="16"/>
      <c r="BW5" s="16"/>
      <c r="BX5" s="16"/>
      <c r="BY5" s="16"/>
      <c r="CC5" s="30"/>
      <c r="CD5" s="30"/>
      <c r="CH5" s="30"/>
      <c r="CI5" s="30"/>
      <c r="CJ5" s="30"/>
      <c r="CK5" s="30"/>
      <c r="CL5" s="30"/>
      <c r="CM5" s="15"/>
      <c r="CO5" s="15"/>
      <c r="CP5" s="15"/>
    </row>
    <row r="6" spans="1:94" ht="24.75" customHeight="1" thickBot="1" x14ac:dyDescent="0.35">
      <c r="A6" s="647"/>
      <c r="B6" s="652"/>
      <c r="C6" s="652"/>
      <c r="D6" s="656"/>
      <c r="E6" s="163"/>
      <c r="F6" s="164"/>
      <c r="G6" s="649"/>
      <c r="H6" s="651"/>
      <c r="I6" s="651"/>
      <c r="J6" s="654"/>
      <c r="K6" s="651"/>
      <c r="L6" s="651"/>
      <c r="M6" s="651"/>
      <c r="N6" s="66"/>
      <c r="O6" s="870">
        <v>0</v>
      </c>
      <c r="P6" s="871">
        <v>0</v>
      </c>
      <c r="Q6" s="652"/>
      <c r="R6" s="652"/>
      <c r="S6" s="69" t="str">
        <f t="shared" si="0"/>
        <v>Off-Peak</v>
      </c>
      <c r="T6" s="65">
        <v>300</v>
      </c>
      <c r="U6" s="144">
        <v>0</v>
      </c>
      <c r="V6" s="144">
        <v>0</v>
      </c>
      <c r="W6" s="144">
        <v>0</v>
      </c>
      <c r="X6" s="155">
        <v>0</v>
      </c>
      <c r="Y6" s="652"/>
      <c r="Z6" s="605">
        <f ca="1">CALC!A18</f>
        <v>36647</v>
      </c>
      <c r="AA6" s="625">
        <f ca="1">CALC!J18</f>
        <v>0.9819246721389786</v>
      </c>
      <c r="AB6" s="544">
        <v>99.99</v>
      </c>
      <c r="AC6" s="550">
        <v>99.99</v>
      </c>
      <c r="AD6" s="550">
        <v>9.99</v>
      </c>
      <c r="AE6" s="531">
        <v>1</v>
      </c>
      <c r="AF6" s="544">
        <v>99.99</v>
      </c>
      <c r="AG6" s="550">
        <v>99.99</v>
      </c>
      <c r="AH6" s="550">
        <v>10.01</v>
      </c>
      <c r="AI6" s="531">
        <v>1</v>
      </c>
      <c r="AJ6" s="544">
        <v>99.99</v>
      </c>
      <c r="AK6" s="550">
        <v>99.99</v>
      </c>
      <c r="AL6" s="550">
        <v>19.989999999999998</v>
      </c>
      <c r="AM6" s="531">
        <v>1</v>
      </c>
      <c r="AN6" s="544">
        <v>99.99</v>
      </c>
      <c r="AO6" s="550">
        <v>99.99</v>
      </c>
      <c r="AP6" s="550">
        <v>20.010000000000002</v>
      </c>
      <c r="AQ6" s="531">
        <v>1</v>
      </c>
      <c r="AR6" s="598">
        <f t="shared" ref="AR6:AR16" ca="1" si="1">ImpliedVolOfUndiscountedPremium(AA22,AB6,AC6,AD6/AA6,AE6)</f>
        <v>0.63098948758160789</v>
      </c>
      <c r="AS6" s="598">
        <f t="shared" ref="AS6:AS16" ca="1" si="2">ImpliedVolOfUndiscountedPremium(AA22,AF6,AG6,AH6/AA6,AI6)</f>
        <v>0.63225958598046106</v>
      </c>
      <c r="AT6" s="599">
        <f t="shared" ref="AT6:AT16" ca="1" si="3">ImpliedVolOfUndiscountedPremium(AH22,AJ6,AK6,AL6/AA6,AM6)</f>
        <v>1.1464221880728431</v>
      </c>
      <c r="AU6" s="600">
        <f t="shared" ref="AU6:AU16" ca="1" si="4">ImpliedVolOfUndiscountedPremium(AH22,AN6,AO6,AP6/AA6,AQ6)</f>
        <v>1.1475950476032379</v>
      </c>
      <c r="AV6" s="598">
        <f t="shared" ref="AV6:AV16" ca="1" si="5">SQRT((AT6^2*(Z6-DateToday+14)-AR6^2*(Z6-DateToday-1))/15)</f>
        <v>2.2176006161578052</v>
      </c>
      <c r="AW6" s="600">
        <f t="shared" ref="AW6:AW16" ca="1" si="6">SQRT((AU6^2*(Z6-DateToday+14)-AS6^2*(Z6-DateToday-1))/15)</f>
        <v>2.2191699085197074</v>
      </c>
      <c r="AX6" s="652"/>
      <c r="AY6" s="101" t="s">
        <v>45</v>
      </c>
      <c r="AZ6" s="785">
        <v>1</v>
      </c>
      <c r="BA6" s="179"/>
      <c r="BC6" s="23" t="s">
        <v>46</v>
      </c>
      <c r="BD6" s="180" t="s">
        <v>47</v>
      </c>
      <c r="BE6" s="180" t="s">
        <v>48</v>
      </c>
      <c r="BF6" s="180" t="s">
        <v>49</v>
      </c>
      <c r="BG6" s="180" t="s">
        <v>50</v>
      </c>
      <c r="BH6" s="180" t="s">
        <v>51</v>
      </c>
      <c r="BI6" s="180" t="s">
        <v>52</v>
      </c>
      <c r="BJ6" s="180" t="s">
        <v>53</v>
      </c>
      <c r="BK6" s="186" t="s">
        <v>54</v>
      </c>
      <c r="BL6"/>
      <c r="BM6"/>
      <c r="BQ6" s="16"/>
      <c r="BR6" s="15"/>
      <c r="BS6" s="16"/>
      <c r="BU6" s="16"/>
      <c r="BV6" s="15"/>
      <c r="BW6" s="16"/>
      <c r="BY6" s="16"/>
      <c r="CB6" s="30"/>
      <c r="CC6" s="30"/>
      <c r="CD6" s="30"/>
      <c r="CH6" s="30"/>
      <c r="CI6" s="30"/>
      <c r="CJ6" s="30"/>
      <c r="CK6" s="30"/>
      <c r="CL6" s="30"/>
      <c r="CM6" s="15"/>
      <c r="CO6" s="15"/>
      <c r="CP6" s="15"/>
    </row>
    <row r="7" spans="1:94" ht="18.75" customHeight="1" thickBot="1" x14ac:dyDescent="0.35">
      <c r="A7" s="647"/>
      <c r="B7" s="75" t="s">
        <v>55</v>
      </c>
      <c r="C7" s="608">
        <v>36892</v>
      </c>
      <c r="D7" s="666"/>
      <c r="E7" s="656"/>
      <c r="F7" s="656"/>
      <c r="G7" s="652"/>
      <c r="H7" s="219" t="s">
        <v>57</v>
      </c>
      <c r="I7" s="220"/>
      <c r="J7" s="654"/>
      <c r="K7" s="219" t="s">
        <v>58</v>
      </c>
      <c r="L7" s="220"/>
      <c r="M7" s="651"/>
      <c r="N7" s="66"/>
      <c r="O7" s="870">
        <v>0</v>
      </c>
      <c r="P7" s="871">
        <v>0</v>
      </c>
      <c r="Q7" s="652"/>
      <c r="R7" s="652"/>
      <c r="S7" s="69" t="str">
        <f t="shared" si="0"/>
        <v>Off-Peak</v>
      </c>
      <c r="T7" s="65">
        <v>400</v>
      </c>
      <c r="U7" s="144">
        <v>0</v>
      </c>
      <c r="V7" s="144">
        <v>0</v>
      </c>
      <c r="W7" s="144">
        <v>0</v>
      </c>
      <c r="X7" s="155">
        <v>0</v>
      </c>
      <c r="Y7" s="652"/>
      <c r="Z7" s="605">
        <f ca="1">CALC!A19</f>
        <v>36678</v>
      </c>
      <c r="AA7" s="625">
        <f ca="1">CALC!J19</f>
        <v>0.9767597649199512</v>
      </c>
      <c r="AB7" s="544">
        <v>99.99</v>
      </c>
      <c r="AC7" s="550">
        <v>99.99</v>
      </c>
      <c r="AD7" s="550">
        <v>9.99</v>
      </c>
      <c r="AE7" s="531">
        <v>1</v>
      </c>
      <c r="AF7" s="544">
        <v>99.99</v>
      </c>
      <c r="AG7" s="550">
        <v>99.99</v>
      </c>
      <c r="AH7" s="550">
        <v>10.01</v>
      </c>
      <c r="AI7" s="531">
        <v>1</v>
      </c>
      <c r="AJ7" s="544">
        <v>99.99</v>
      </c>
      <c r="AK7" s="550">
        <v>99.99</v>
      </c>
      <c r="AL7" s="550">
        <v>19.989999999999998</v>
      </c>
      <c r="AM7" s="531">
        <v>1</v>
      </c>
      <c r="AN7" s="544">
        <v>99.99</v>
      </c>
      <c r="AO7" s="550">
        <v>99.99</v>
      </c>
      <c r="AP7" s="550">
        <v>20.010000000000002</v>
      </c>
      <c r="AQ7" s="531">
        <v>1</v>
      </c>
      <c r="AR7" s="598">
        <f t="shared" ca="1" si="1"/>
        <v>0.51508629325550537</v>
      </c>
      <c r="AS7" s="598">
        <f t="shared" ca="1" si="2"/>
        <v>0.51612328269822638</v>
      </c>
      <c r="AT7" s="599">
        <f t="shared" ca="1" si="3"/>
        <v>0.96762700712707206</v>
      </c>
      <c r="AU7" s="600">
        <f t="shared" ca="1" si="4"/>
        <v>0.96861707110047912</v>
      </c>
      <c r="AV7" s="598">
        <f t="shared" ca="1" si="5"/>
        <v>2.2276065266230671</v>
      </c>
      <c r="AW7" s="600">
        <f t="shared" ca="1" si="6"/>
        <v>2.22917782048264</v>
      </c>
      <c r="AX7" s="652"/>
      <c r="AY7" s="101" t="s">
        <v>59</v>
      </c>
      <c r="AZ7" s="785">
        <v>1</v>
      </c>
      <c r="BA7" s="179"/>
      <c r="BC7" s="24" t="s">
        <v>20</v>
      </c>
      <c r="BD7" s="22" t="s">
        <v>60</v>
      </c>
      <c r="BE7" s="22" t="str">
        <f>PeakPeriod</f>
        <v>800-2300</v>
      </c>
      <c r="BF7" s="22" t="str">
        <f>OffPeakPeriod</f>
        <v>2400-700</v>
      </c>
      <c r="BG7" s="22" t="str">
        <f>PeakPeriod</f>
        <v>800-2300</v>
      </c>
      <c r="BH7" s="22" t="str">
        <f>OffPeakPeriod</f>
        <v>2400-700</v>
      </c>
      <c r="BI7" s="22" t="str">
        <f>PeakPeriod</f>
        <v>800-2300</v>
      </c>
      <c r="BJ7" s="22" t="str">
        <f>OffPeakPeriod</f>
        <v>2400-700</v>
      </c>
      <c r="BK7" s="182" t="str">
        <f>IF(AND(WeekDef=8,CustomMFFlag),INDEX($BJ$26:$BJ$29,BE13),"")</f>
        <v/>
      </c>
      <c r="BL7"/>
      <c r="BM7"/>
      <c r="BQ7" s="16"/>
      <c r="BR7" s="15"/>
      <c r="BS7" s="16"/>
      <c r="BU7" s="16"/>
      <c r="BV7" s="16"/>
      <c r="BW7" s="16"/>
      <c r="BX7" s="16"/>
      <c r="BY7" s="16"/>
    </row>
    <row r="8" spans="1:94" ht="18.75" customHeight="1" thickBot="1" x14ac:dyDescent="0.35">
      <c r="A8" s="647"/>
      <c r="B8" s="76" t="s">
        <v>61</v>
      </c>
      <c r="C8" s="609">
        <v>40543</v>
      </c>
      <c r="D8" s="667"/>
      <c r="E8" s="219" t="s">
        <v>62</v>
      </c>
      <c r="F8" s="220"/>
      <c r="G8" s="652"/>
      <c r="H8" s="223"/>
      <c r="I8" s="224"/>
      <c r="J8" s="652"/>
      <c r="K8" s="69" t="s">
        <v>20</v>
      </c>
      <c r="L8" s="165" t="str">
        <f>INDEX(BD7:BK7,WeekDef)</f>
        <v>100-2400</v>
      </c>
      <c r="M8" s="651"/>
      <c r="N8" s="66"/>
      <c r="O8" s="870">
        <v>0</v>
      </c>
      <c r="P8" s="871">
        <v>0</v>
      </c>
      <c r="Q8" s="652"/>
      <c r="R8" s="652"/>
      <c r="S8" s="69" t="str">
        <f t="shared" si="0"/>
        <v>Off-Peak</v>
      </c>
      <c r="T8" s="65">
        <v>500</v>
      </c>
      <c r="U8" s="144">
        <v>0</v>
      </c>
      <c r="V8" s="144">
        <v>0</v>
      </c>
      <c r="W8" s="144">
        <v>0</v>
      </c>
      <c r="X8" s="155">
        <v>0</v>
      </c>
      <c r="Y8" s="652"/>
      <c r="Z8" s="605">
        <f ca="1">CALC!A20</f>
        <v>36708</v>
      </c>
      <c r="AA8" s="625">
        <f ca="1">CALC!J20</f>
        <v>0.97129539926941733</v>
      </c>
      <c r="AB8" s="544">
        <v>99.99</v>
      </c>
      <c r="AC8" s="550">
        <v>99.99</v>
      </c>
      <c r="AD8" s="550">
        <v>9.99</v>
      </c>
      <c r="AE8" s="531">
        <v>1</v>
      </c>
      <c r="AF8" s="544">
        <v>99.99</v>
      </c>
      <c r="AG8" s="550">
        <v>99.99</v>
      </c>
      <c r="AH8" s="550">
        <v>10.01</v>
      </c>
      <c r="AI8" s="531">
        <v>1</v>
      </c>
      <c r="AJ8" s="544">
        <v>99.99</v>
      </c>
      <c r="AK8" s="550">
        <v>99.99</v>
      </c>
      <c r="AL8" s="550">
        <v>19.989999999999998</v>
      </c>
      <c r="AM8" s="531">
        <v>1</v>
      </c>
      <c r="AN8" s="544">
        <v>99.99</v>
      </c>
      <c r="AO8" s="550">
        <v>99.99</v>
      </c>
      <c r="AP8" s="550">
        <v>20.010000000000002</v>
      </c>
      <c r="AQ8" s="531">
        <v>1</v>
      </c>
      <c r="AR8" s="598">
        <f t="shared" ca="1" si="1"/>
        <v>0.44921894411015728</v>
      </c>
      <c r="AS8" s="598">
        <f t="shared" ca="1" si="2"/>
        <v>0.45012326200641073</v>
      </c>
      <c r="AT8" s="599">
        <f t="shared" ca="1" si="3"/>
        <v>0.8582777860894234</v>
      </c>
      <c r="AU8" s="600">
        <f t="shared" ca="1" si="4"/>
        <v>0.85915623466262814</v>
      </c>
      <c r="AV8" s="598">
        <f t="shared" ca="1" si="5"/>
        <v>2.2395056474301427</v>
      </c>
      <c r="AW8" s="600">
        <f t="shared" ca="1" si="6"/>
        <v>2.2410839591685647</v>
      </c>
      <c r="AX8" s="652"/>
      <c r="AY8" s="101" t="s">
        <v>63</v>
      </c>
      <c r="AZ8" s="803" t="b">
        <f>IF(BA8=1,TRUE,FALSE)</f>
        <v>1</v>
      </c>
      <c r="BA8" s="721">
        <v>1</v>
      </c>
      <c r="BC8" s="24" t="s">
        <v>64</v>
      </c>
      <c r="BD8" s="22" t="s">
        <v>60</v>
      </c>
      <c r="BE8" s="22" t="str">
        <f>PeakPeriod</f>
        <v>800-2300</v>
      </c>
      <c r="BF8" s="22" t="str">
        <f>OffPeakPeriod</f>
        <v>2400-700</v>
      </c>
      <c r="BG8" s="22" t="s">
        <v>65</v>
      </c>
      <c r="BH8" s="22" t="s">
        <v>60</v>
      </c>
      <c r="BI8" s="22" t="str">
        <f>PeakPeriod</f>
        <v>800-2300</v>
      </c>
      <c r="BJ8" s="22" t="str">
        <f>OffPeakPeriod</f>
        <v>2400-700</v>
      </c>
      <c r="BK8" s="181" t="str">
        <f>IF(AND(WeekDef=8,CustomSaFlag),INDEX($BJ$26:$BJ$29,BE14),"")</f>
        <v/>
      </c>
      <c r="BL8"/>
      <c r="BM8"/>
      <c r="BQ8" s="16"/>
      <c r="BR8" s="16"/>
      <c r="BS8" s="16"/>
      <c r="BT8" s="16"/>
      <c r="BU8" s="16"/>
      <c r="BV8" s="15"/>
      <c r="BY8" s="16"/>
    </row>
    <row r="9" spans="1:94" ht="18" customHeight="1" thickBot="1" x14ac:dyDescent="0.35">
      <c r="A9" s="647"/>
      <c r="B9" s="161" t="s">
        <v>66</v>
      </c>
      <c r="C9" s="573">
        <f>(EndDate-BegDate+1)/365.25</f>
        <v>9.9986310746064344</v>
      </c>
      <c r="D9" s="666"/>
      <c r="E9" s="530" t="s">
        <v>67</v>
      </c>
      <c r="F9" s="574">
        <v>0.5</v>
      </c>
      <c r="G9" s="656"/>
      <c r="H9" s="223"/>
      <c r="I9" s="224"/>
      <c r="J9" s="652"/>
      <c r="K9" s="69" t="s">
        <v>64</v>
      </c>
      <c r="L9" s="165" t="str">
        <f>INDEX(BD8:BK8,WeekDef)</f>
        <v>100-2400</v>
      </c>
      <c r="M9" s="651"/>
      <c r="N9" s="66"/>
      <c r="O9" s="872">
        <v>0</v>
      </c>
      <c r="P9" s="873">
        <v>0</v>
      </c>
      <c r="Q9" s="652"/>
      <c r="R9" s="652"/>
      <c r="S9" s="69" t="str">
        <f t="shared" si="0"/>
        <v>Off-Peak</v>
      </c>
      <c r="T9" s="65">
        <v>600</v>
      </c>
      <c r="U9" s="144">
        <v>0</v>
      </c>
      <c r="V9" s="144">
        <v>0</v>
      </c>
      <c r="W9" s="144">
        <v>0</v>
      </c>
      <c r="X9" s="155">
        <v>0</v>
      </c>
      <c r="Y9" s="652"/>
      <c r="Z9" s="605">
        <f ca="1">CALC!A21</f>
        <v>36739</v>
      </c>
      <c r="AA9" s="625">
        <f ca="1">CALC!J21</f>
        <v>0.96586282036162763</v>
      </c>
      <c r="AB9" s="544">
        <v>99.99</v>
      </c>
      <c r="AC9" s="550">
        <v>99.99</v>
      </c>
      <c r="AD9" s="550">
        <v>9.99</v>
      </c>
      <c r="AE9" s="531">
        <v>1</v>
      </c>
      <c r="AF9" s="544">
        <v>99.99</v>
      </c>
      <c r="AG9" s="550">
        <v>99.99</v>
      </c>
      <c r="AH9" s="550">
        <v>10.01</v>
      </c>
      <c r="AI9" s="531">
        <v>1</v>
      </c>
      <c r="AJ9" s="544">
        <v>99.99</v>
      </c>
      <c r="AK9" s="550">
        <v>99.99</v>
      </c>
      <c r="AL9" s="550">
        <v>19.989999999999998</v>
      </c>
      <c r="AM9" s="531">
        <v>1</v>
      </c>
      <c r="AN9" s="544">
        <v>99.99</v>
      </c>
      <c r="AO9" s="550">
        <v>99.99</v>
      </c>
      <c r="AP9" s="550">
        <v>20.010000000000002</v>
      </c>
      <c r="AQ9" s="531">
        <v>1</v>
      </c>
      <c r="AR9" s="598">
        <f t="shared" ca="1" si="1"/>
        <v>0.40306812869276765</v>
      </c>
      <c r="AS9" s="598">
        <f t="shared" ca="1" si="2"/>
        <v>0.40387968943006736</v>
      </c>
      <c r="AT9" s="599">
        <f t="shared" ca="1" si="3"/>
        <v>0.77845403321205009</v>
      </c>
      <c r="AU9" s="600">
        <f t="shared" ca="1" si="4"/>
        <v>0.77925099725231939</v>
      </c>
      <c r="AV9" s="598">
        <f t="shared" ca="1" si="5"/>
        <v>2.2518496369466376</v>
      </c>
      <c r="AW9" s="600">
        <f t="shared" ca="1" si="6"/>
        <v>2.2534357773802003</v>
      </c>
      <c r="AX9" s="652"/>
      <c r="AY9" s="101" t="s">
        <v>68</v>
      </c>
      <c r="AZ9" s="785">
        <v>4</v>
      </c>
      <c r="BA9" s="179"/>
      <c r="BC9" s="24" t="s">
        <v>69</v>
      </c>
      <c r="BD9" s="22" t="s">
        <v>60</v>
      </c>
      <c r="BE9" s="22" t="s">
        <v>65</v>
      </c>
      <c r="BF9" s="22" t="s">
        <v>60</v>
      </c>
      <c r="BG9" s="22" t="s">
        <v>65</v>
      </c>
      <c r="BH9" s="22" t="s">
        <v>60</v>
      </c>
      <c r="BI9" s="22" t="str">
        <f>PeakPeriod</f>
        <v>800-2300</v>
      </c>
      <c r="BJ9" s="22" t="str">
        <f>OffPeakPeriod</f>
        <v>2400-700</v>
      </c>
      <c r="BK9" s="181" t="str">
        <f>IF(AND(WeekDef=8,CustomSuFlag),INDEX($BJ$26:$BJ$29,BE15),"")</f>
        <v/>
      </c>
      <c r="BL9"/>
      <c r="BM9"/>
      <c r="BQ9" s="16"/>
      <c r="BR9" s="16"/>
      <c r="BS9" s="16"/>
      <c r="BT9" s="16"/>
      <c r="BU9" s="16"/>
      <c r="BV9" s="15"/>
      <c r="BY9" s="16"/>
    </row>
    <row r="10" spans="1:94" ht="18" customHeight="1" thickBot="1" x14ac:dyDescent="0.35">
      <c r="A10" s="647"/>
      <c r="B10" s="661" t="s">
        <v>70</v>
      </c>
      <c r="C10" s="652"/>
      <c r="D10" s="668"/>
      <c r="E10" s="672" t="s">
        <v>71</v>
      </c>
      <c r="F10" s="574">
        <v>0.5</v>
      </c>
      <c r="G10" s="656"/>
      <c r="H10" s="223"/>
      <c r="I10" s="224"/>
      <c r="J10" s="652"/>
      <c r="K10" s="69" t="s">
        <v>69</v>
      </c>
      <c r="L10" s="165" t="str">
        <f>INDEX(BD9:BK9,WeekDef)</f>
        <v>100-2400</v>
      </c>
      <c r="M10" s="651"/>
      <c r="N10" s="67"/>
      <c r="O10" s="872">
        <v>0</v>
      </c>
      <c r="P10" s="873">
        <v>0</v>
      </c>
      <c r="Q10" s="652"/>
      <c r="R10" s="652"/>
      <c r="S10" s="69" t="str">
        <f t="shared" si="0"/>
        <v>Off-Peak</v>
      </c>
      <c r="T10" s="65">
        <v>700</v>
      </c>
      <c r="U10" s="144">
        <v>0</v>
      </c>
      <c r="V10" s="144">
        <v>0</v>
      </c>
      <c r="W10" s="144">
        <v>0</v>
      </c>
      <c r="X10" s="155">
        <v>0</v>
      </c>
      <c r="Y10" s="652"/>
      <c r="Z10" s="605">
        <f ca="1">CALC!A22</f>
        <v>36770</v>
      </c>
      <c r="AA10" s="625">
        <f ca="1">CALC!J22</f>
        <v>0.96053048520051898</v>
      </c>
      <c r="AB10" s="544">
        <v>99.99</v>
      </c>
      <c r="AC10" s="550">
        <v>99.99</v>
      </c>
      <c r="AD10" s="550">
        <v>9.99</v>
      </c>
      <c r="AE10" s="531">
        <v>1</v>
      </c>
      <c r="AF10" s="544">
        <v>99.99</v>
      </c>
      <c r="AG10" s="550">
        <v>99.99</v>
      </c>
      <c r="AH10" s="550">
        <v>10.01</v>
      </c>
      <c r="AI10" s="531">
        <v>1</v>
      </c>
      <c r="AJ10" s="544">
        <v>99.99</v>
      </c>
      <c r="AK10" s="550">
        <v>99.99</v>
      </c>
      <c r="AL10" s="550">
        <v>19.989999999999998</v>
      </c>
      <c r="AM10" s="531">
        <v>1</v>
      </c>
      <c r="AN10" s="544">
        <v>99.99</v>
      </c>
      <c r="AO10" s="550">
        <v>99.99</v>
      </c>
      <c r="AP10" s="550">
        <v>20.010000000000002</v>
      </c>
      <c r="AQ10" s="531">
        <v>1</v>
      </c>
      <c r="AR10" s="598">
        <f t="shared" ca="1" si="1"/>
        <v>0.36939643921730547</v>
      </c>
      <c r="AS10" s="598">
        <f t="shared" ca="1" si="2"/>
        <v>0.37014024217664937</v>
      </c>
      <c r="AT10" s="599">
        <f t="shared" ca="1" si="3"/>
        <v>0.71864504347492508</v>
      </c>
      <c r="AU10" s="600">
        <f t="shared" ca="1" si="4"/>
        <v>0.7193810024649484</v>
      </c>
      <c r="AV10" s="598">
        <f t="shared" ca="1" si="5"/>
        <v>2.2643057637005493</v>
      </c>
      <c r="AW10" s="600">
        <f t="shared" ca="1" si="6"/>
        <v>2.2659006578028267</v>
      </c>
      <c r="AX10" s="652"/>
      <c r="AY10" s="101" t="s">
        <v>72</v>
      </c>
      <c r="AZ10" s="785" t="b">
        <v>0</v>
      </c>
      <c r="BA10" s="179"/>
      <c r="BC10" s="25" t="s">
        <v>73</v>
      </c>
      <c r="BD10" s="26" t="str">
        <f t="shared" ref="BD10:BJ10" si="7">BD9</f>
        <v>100-2400</v>
      </c>
      <c r="BE10" s="26" t="str">
        <f t="shared" si="7"/>
        <v xml:space="preserve"> </v>
      </c>
      <c r="BF10" s="26" t="str">
        <f t="shared" si="7"/>
        <v>100-2400</v>
      </c>
      <c r="BG10" s="26" t="str">
        <f t="shared" si="7"/>
        <v xml:space="preserve"> </v>
      </c>
      <c r="BH10" s="26" t="str">
        <f t="shared" si="7"/>
        <v>100-2400</v>
      </c>
      <c r="BI10" s="26" t="str">
        <f t="shared" si="7"/>
        <v>800-2300</v>
      </c>
      <c r="BJ10" s="26" t="str">
        <f t="shared" si="7"/>
        <v>2400-700</v>
      </c>
      <c r="BK10" s="39" t="str">
        <f>IF(AND(WeekDef=8,CustomHoFlag),INDEX($BJ$26:$BJ$29,BE16),"")</f>
        <v/>
      </c>
      <c r="BL10"/>
      <c r="BM10"/>
      <c r="BN10" s="21"/>
      <c r="BQ10" s="16"/>
      <c r="BU10" s="16"/>
      <c r="BV10" s="15"/>
      <c r="BY10" s="16"/>
    </row>
    <row r="11" spans="1:94" ht="19.5" customHeight="1" thickBot="1" x14ac:dyDescent="0.35">
      <c r="A11" s="647"/>
      <c r="B11" s="73" t="s">
        <v>74</v>
      </c>
      <c r="C11" s="74"/>
      <c r="D11" s="652"/>
      <c r="E11" s="663"/>
      <c r="F11" s="664"/>
      <c r="G11" s="656"/>
      <c r="H11" s="225"/>
      <c r="I11" s="226"/>
      <c r="J11" s="652"/>
      <c r="K11" s="70" t="s">
        <v>73</v>
      </c>
      <c r="L11" s="166" t="str">
        <f>INDEX(BD10:BK10,WeekDef)</f>
        <v>100-2400</v>
      </c>
      <c r="M11" s="651"/>
      <c r="N11" s="67"/>
      <c r="O11" s="872">
        <v>0</v>
      </c>
      <c r="P11" s="873">
        <v>0</v>
      </c>
      <c r="Q11" s="652"/>
      <c r="R11" s="652"/>
      <c r="S11" s="69" t="str">
        <f t="shared" si="0"/>
        <v>Peak</v>
      </c>
      <c r="T11" s="65">
        <v>800</v>
      </c>
      <c r="U11" s="144">
        <v>0</v>
      </c>
      <c r="V11" s="144">
        <v>0</v>
      </c>
      <c r="W11" s="144">
        <v>0</v>
      </c>
      <c r="X11" s="155">
        <v>0</v>
      </c>
      <c r="Y11" s="652"/>
      <c r="Z11" s="605">
        <f ca="1">CALC!A23</f>
        <v>36800</v>
      </c>
      <c r="AA11" s="625">
        <f ca="1">CALC!J23</f>
        <v>0.95500401615520725</v>
      </c>
      <c r="AB11" s="544">
        <v>99.99</v>
      </c>
      <c r="AC11" s="550">
        <v>99.99</v>
      </c>
      <c r="AD11" s="550">
        <v>9.99</v>
      </c>
      <c r="AE11" s="531">
        <v>1</v>
      </c>
      <c r="AF11" s="544">
        <v>99.99</v>
      </c>
      <c r="AG11" s="550">
        <v>99.99</v>
      </c>
      <c r="AH11" s="550">
        <v>10.01</v>
      </c>
      <c r="AI11" s="531">
        <v>1</v>
      </c>
      <c r="AJ11" s="544">
        <v>99.99</v>
      </c>
      <c r="AK11" s="550">
        <v>99.99</v>
      </c>
      <c r="AL11" s="550">
        <v>19.989999999999998</v>
      </c>
      <c r="AM11" s="531">
        <v>1</v>
      </c>
      <c r="AN11" s="544">
        <v>99.99</v>
      </c>
      <c r="AO11" s="550">
        <v>99.99</v>
      </c>
      <c r="AP11" s="550">
        <v>20.010000000000002</v>
      </c>
      <c r="AQ11" s="531">
        <v>1</v>
      </c>
      <c r="AR11" s="598">
        <f t="shared" ca="1" si="1"/>
        <v>0.34438642059411589</v>
      </c>
      <c r="AS11" s="598">
        <f t="shared" ca="1" si="2"/>
        <v>0.34507979773740155</v>
      </c>
      <c r="AT11" s="599">
        <f t="shared" ca="1" si="3"/>
        <v>0.6734415878768607</v>
      </c>
      <c r="AU11" s="600">
        <f t="shared" ca="1" si="4"/>
        <v>0.67413142659228364</v>
      </c>
      <c r="AV11" s="598">
        <f t="shared" ca="1" si="5"/>
        <v>2.277516564006175</v>
      </c>
      <c r="AW11" s="600">
        <f t="shared" ca="1" si="6"/>
        <v>2.2791211430361611</v>
      </c>
      <c r="AX11" s="652"/>
      <c r="AY11" s="101" t="s">
        <v>75</v>
      </c>
      <c r="AZ11" s="856">
        <f t="shared" ref="AZ11:AZ17" si="8">2-BA11</f>
        <v>0</v>
      </c>
      <c r="BA11" s="721">
        <v>2</v>
      </c>
      <c r="BC11"/>
      <c r="BD11"/>
      <c r="BE11"/>
      <c r="BF11"/>
      <c r="BG11"/>
      <c r="BH11"/>
      <c r="BI11"/>
      <c r="BJ11"/>
      <c r="BK11"/>
      <c r="BL11"/>
      <c r="BM11"/>
      <c r="BN11"/>
      <c r="BQ11" s="16"/>
      <c r="BU11" s="16"/>
      <c r="BV11" s="15"/>
      <c r="BW11" s="16"/>
      <c r="BY11" s="16"/>
    </row>
    <row r="12" spans="1:94" ht="16.5" customHeight="1" thickBot="1" x14ac:dyDescent="0.35">
      <c r="A12" s="647"/>
      <c r="B12" s="75" t="s">
        <v>76</v>
      </c>
      <c r="C12" s="843">
        <f ca="1">CALC!BS4</f>
        <v>31.072268343237337</v>
      </c>
      <c r="D12" s="657"/>
      <c r="E12" s="75" t="s">
        <v>77</v>
      </c>
      <c r="F12" s="612">
        <f ca="1">CALC!BR4</f>
        <v>1816577.8600539109</v>
      </c>
      <c r="G12" s="656"/>
      <c r="H12" s="656"/>
      <c r="I12" s="656"/>
      <c r="J12" s="656"/>
      <c r="K12" s="652"/>
      <c r="L12" s="652"/>
      <c r="M12" s="651"/>
      <c r="N12" s="67"/>
      <c r="O12" s="872">
        <v>0</v>
      </c>
      <c r="P12" s="873">
        <v>0</v>
      </c>
      <c r="Q12" s="652"/>
      <c r="R12" s="652"/>
      <c r="S12" s="69" t="str">
        <f t="shared" si="0"/>
        <v>Peak</v>
      </c>
      <c r="T12" s="65">
        <v>900</v>
      </c>
      <c r="U12" s="144">
        <v>0</v>
      </c>
      <c r="V12" s="144">
        <v>0</v>
      </c>
      <c r="W12" s="144">
        <v>0</v>
      </c>
      <c r="X12" s="155">
        <v>0</v>
      </c>
      <c r="Y12" s="652"/>
      <c r="Z12" s="605">
        <f ca="1">CALC!A24</f>
        <v>36831</v>
      </c>
      <c r="AA12" s="625">
        <f ca="1">CALC!J24</f>
        <v>0.94962495820647441</v>
      </c>
      <c r="AB12" s="544">
        <v>99.99</v>
      </c>
      <c r="AC12" s="550">
        <v>99.99</v>
      </c>
      <c r="AD12" s="550">
        <v>9.99</v>
      </c>
      <c r="AE12" s="531">
        <v>1</v>
      </c>
      <c r="AF12" s="544">
        <v>99.99</v>
      </c>
      <c r="AG12" s="550">
        <v>99.99</v>
      </c>
      <c r="AH12" s="550">
        <v>10.01</v>
      </c>
      <c r="AI12" s="531">
        <v>1</v>
      </c>
      <c r="AJ12" s="544">
        <v>99.99</v>
      </c>
      <c r="AK12" s="550">
        <v>99.99</v>
      </c>
      <c r="AL12" s="550">
        <v>19.989999999999998</v>
      </c>
      <c r="AM12" s="531">
        <v>1</v>
      </c>
      <c r="AN12" s="544">
        <v>99.99</v>
      </c>
      <c r="AO12" s="550">
        <v>99.99</v>
      </c>
      <c r="AP12" s="550">
        <v>20.010000000000002</v>
      </c>
      <c r="AQ12" s="531">
        <v>1</v>
      </c>
      <c r="AR12" s="598">
        <f t="shared" ca="1" si="1"/>
        <v>0.32360147843964066</v>
      </c>
      <c r="AS12" s="598">
        <f t="shared" ca="1" si="2"/>
        <v>0.32425310557687187</v>
      </c>
      <c r="AT12" s="599">
        <f t="shared" ca="1" si="3"/>
        <v>0.63535267883376079</v>
      </c>
      <c r="AU12" s="600">
        <f t="shared" ca="1" si="4"/>
        <v>0.63600371939153388</v>
      </c>
      <c r="AV12" s="598">
        <f t="shared" ca="1" si="5"/>
        <v>2.2905776133714517</v>
      </c>
      <c r="AW12" s="600">
        <f t="shared" ca="1" si="6"/>
        <v>2.2921918191238908</v>
      </c>
      <c r="AX12" s="652"/>
      <c r="AY12" s="101" t="s">
        <v>78</v>
      </c>
      <c r="AZ12" s="856">
        <f t="shared" si="8"/>
        <v>0</v>
      </c>
      <c r="BA12" s="721">
        <v>2</v>
      </c>
      <c r="BC12" s="23" t="s">
        <v>79</v>
      </c>
      <c r="BD12" s="41" t="s">
        <v>80</v>
      </c>
      <c r="BE12" s="42" t="s">
        <v>81</v>
      </c>
      <c r="BF12"/>
      <c r="BG12" s="644" t="s">
        <v>82</v>
      </c>
      <c r="BH12" s="434"/>
      <c r="BI12"/>
      <c r="BJ12" s="412" t="s">
        <v>83</v>
      </c>
      <c r="BK12"/>
      <c r="BL12"/>
      <c r="BM12"/>
      <c r="BN12"/>
      <c r="BQ12" s="16"/>
      <c r="BU12" s="16"/>
      <c r="BV12" s="16"/>
      <c r="BW12" s="16"/>
      <c r="BX12" s="16"/>
      <c r="BY12" s="16"/>
    </row>
    <row r="13" spans="1:94" ht="16.5" customHeight="1" thickBot="1" x14ac:dyDescent="0.35">
      <c r="A13" s="647"/>
      <c r="B13" s="76" t="str">
        <f>IF(SBuySell,"Bid Price","Offer Price")</f>
        <v>Offer Price</v>
      </c>
      <c r="C13" s="844">
        <f ca="1">IF(SBuySell,CALC!BS3,CALC!BS5)</f>
        <v>32.659889647739881</v>
      </c>
      <c r="D13" s="653"/>
      <c r="E13" s="76" t="str">
        <f>IF(SBuySell=1,"Bid PV$","Offer PV$")</f>
        <v>Offer PV$</v>
      </c>
      <c r="F13" s="753">
        <f ca="1">IF(SBuySell,CALC!BR3,CALC!BR5)</f>
        <v>1909394.9559946044</v>
      </c>
      <c r="G13" s="656"/>
      <c r="H13" s="457" t="str">
        <f>IF(SBuySell=1,"Mid-Bid Differential","Offer-Mid Differential")</f>
        <v>Offer-Mid Differential</v>
      </c>
      <c r="I13" s="612">
        <f ca="1">CALC!BW5</f>
        <v>92817.095940693514</v>
      </c>
      <c r="J13" s="656"/>
      <c r="K13" s="75" t="s">
        <v>84</v>
      </c>
      <c r="L13" s="526">
        <f ca="1">CALC!BW2</f>
        <v>87648</v>
      </c>
      <c r="M13" s="651"/>
      <c r="N13" s="66"/>
      <c r="O13" s="870">
        <v>0</v>
      </c>
      <c r="P13" s="871">
        <v>0</v>
      </c>
      <c r="Q13" s="652"/>
      <c r="R13" s="652"/>
      <c r="S13" s="69" t="str">
        <f t="shared" si="0"/>
        <v>Peak</v>
      </c>
      <c r="T13" s="65">
        <v>1000</v>
      </c>
      <c r="U13" s="144">
        <v>0</v>
      </c>
      <c r="V13" s="144">
        <v>0</v>
      </c>
      <c r="W13" s="144">
        <v>0</v>
      </c>
      <c r="X13" s="155">
        <v>0</v>
      </c>
      <c r="Y13" s="652"/>
      <c r="Z13" s="605">
        <f ca="1">CALC!A25</f>
        <v>36861</v>
      </c>
      <c r="AA13" s="625">
        <f ca="1">CALC!J25</f>
        <v>0.94404511219418852</v>
      </c>
      <c r="AB13" s="544">
        <v>99.99</v>
      </c>
      <c r="AC13" s="550">
        <v>99.99</v>
      </c>
      <c r="AD13" s="550">
        <v>9.99</v>
      </c>
      <c r="AE13" s="531">
        <v>1</v>
      </c>
      <c r="AF13" s="544">
        <v>99.99</v>
      </c>
      <c r="AG13" s="550">
        <v>99.99</v>
      </c>
      <c r="AH13" s="550">
        <v>10.01</v>
      </c>
      <c r="AI13" s="531">
        <v>1</v>
      </c>
      <c r="AJ13" s="544">
        <v>99.99</v>
      </c>
      <c r="AK13" s="550">
        <v>99.99</v>
      </c>
      <c r="AL13" s="550">
        <v>19.989999999999998</v>
      </c>
      <c r="AM13" s="531">
        <v>1</v>
      </c>
      <c r="AN13" s="544">
        <v>99.99</v>
      </c>
      <c r="AO13" s="550">
        <v>99.99</v>
      </c>
      <c r="AP13" s="550">
        <v>20.010000000000002</v>
      </c>
      <c r="AQ13" s="531">
        <v>1</v>
      </c>
      <c r="AR13" s="598">
        <f t="shared" ca="1" si="1"/>
        <v>0.30718860421962491</v>
      </c>
      <c r="AS13" s="598">
        <f t="shared" ca="1" si="2"/>
        <v>0.30780724062218967</v>
      </c>
      <c r="AT13" s="599">
        <f t="shared" ca="1" si="3"/>
        <v>0.60499242040776524</v>
      </c>
      <c r="AU13" s="600">
        <f t="shared" ca="1" si="4"/>
        <v>0.60561244642867373</v>
      </c>
      <c r="AV13" s="598">
        <f t="shared" ca="1" si="5"/>
        <v>2.3043575786280526</v>
      </c>
      <c r="AW13" s="600">
        <f t="shared" ca="1" si="6"/>
        <v>2.3059816011549352</v>
      </c>
      <c r="AX13" s="652"/>
      <c r="AY13" s="101" t="s">
        <v>85</v>
      </c>
      <c r="AZ13" s="856">
        <f t="shared" si="8"/>
        <v>1</v>
      </c>
      <c r="BA13" s="721">
        <v>1</v>
      </c>
      <c r="BC13" s="24" t="s">
        <v>20</v>
      </c>
      <c r="BD13" s="57" t="b">
        <v>1</v>
      </c>
      <c r="BE13" s="58">
        <v>4</v>
      </c>
      <c r="BF13"/>
      <c r="BG13" s="64" t="str">
        <f>INDEX(BG15:BG45,BH13)</f>
        <v>No Basis</v>
      </c>
      <c r="BH13" s="63">
        <v>1</v>
      </c>
      <c r="BI13"/>
      <c r="BJ13" s="410" t="s">
        <v>47</v>
      </c>
      <c r="BK13"/>
      <c r="BL13"/>
      <c r="BM13"/>
      <c r="BN13"/>
      <c r="BQ13" s="16"/>
      <c r="BU13" s="16"/>
      <c r="BY13" s="16"/>
    </row>
    <row r="14" spans="1:94" ht="17.25" customHeight="1" thickBot="1" x14ac:dyDescent="0.35">
      <c r="A14" s="647"/>
      <c r="B14" s="82" t="s">
        <v>86</v>
      </c>
      <c r="C14" s="845">
        <f ca="1">C13</f>
        <v>32.659889647739881</v>
      </c>
      <c r="D14" s="653"/>
      <c r="E14" s="82" t="s">
        <v>87</v>
      </c>
      <c r="F14" s="525">
        <f ca="1">CALC!BR6</f>
        <v>1909394.9559946063</v>
      </c>
      <c r="G14" s="656"/>
      <c r="H14" s="456" t="str">
        <f>IF(SBuySell=1,"Bid-Contract Differential","Contract-Offer Differential")</f>
        <v>Contract-Offer Differential</v>
      </c>
      <c r="I14" s="525">
        <f ca="1">CALC!BW6</f>
        <v>1.862645149230957E-9</v>
      </c>
      <c r="J14" s="656"/>
      <c r="K14" s="82" t="str">
        <f>CONCATENATE(IF(PriceEsc,"Price-Esc","")," PV MWh")</f>
        <v xml:space="preserve"> PV MWh</v>
      </c>
      <c r="L14" s="527">
        <f ca="1">CALC!BW4</f>
        <v>58462.994718867267</v>
      </c>
      <c r="M14" s="651"/>
      <c r="N14" s="66"/>
      <c r="O14" s="870">
        <v>0</v>
      </c>
      <c r="P14" s="871">
        <v>0</v>
      </c>
      <c r="Q14" s="652"/>
      <c r="R14" s="652"/>
      <c r="S14" s="69" t="str">
        <f t="shared" si="0"/>
        <v>Peak</v>
      </c>
      <c r="T14" s="65">
        <v>1100</v>
      </c>
      <c r="U14" s="144">
        <v>0</v>
      </c>
      <c r="V14" s="144">
        <v>0</v>
      </c>
      <c r="W14" s="144">
        <v>0</v>
      </c>
      <c r="X14" s="155">
        <v>0</v>
      </c>
      <c r="Y14" s="652"/>
      <c r="Z14" s="605">
        <f ca="1">CALC!A26</f>
        <v>36892</v>
      </c>
      <c r="AA14" s="625">
        <f ca="1">CALC!J26</f>
        <v>0.93842508713442885</v>
      </c>
      <c r="AB14" s="544">
        <v>99.99</v>
      </c>
      <c r="AC14" s="550">
        <v>99.99</v>
      </c>
      <c r="AD14" s="550">
        <v>9.99</v>
      </c>
      <c r="AE14" s="531">
        <v>1</v>
      </c>
      <c r="AF14" s="544">
        <v>99.99</v>
      </c>
      <c r="AG14" s="550">
        <v>99.99</v>
      </c>
      <c r="AH14" s="550">
        <v>10.01</v>
      </c>
      <c r="AI14" s="531">
        <v>1</v>
      </c>
      <c r="AJ14" s="544">
        <v>99.99</v>
      </c>
      <c r="AK14" s="550">
        <v>99.99</v>
      </c>
      <c r="AL14" s="550">
        <v>19.989999999999998</v>
      </c>
      <c r="AM14" s="531">
        <v>1</v>
      </c>
      <c r="AN14" s="544">
        <v>99.99</v>
      </c>
      <c r="AO14" s="550">
        <v>99.99</v>
      </c>
      <c r="AP14" s="550">
        <v>20.010000000000002</v>
      </c>
      <c r="AQ14" s="531">
        <v>1</v>
      </c>
      <c r="AR14" s="598">
        <f t="shared" ca="1" si="1"/>
        <v>0.2929133368982233</v>
      </c>
      <c r="AS14" s="598">
        <f t="shared" ca="1" si="2"/>
        <v>0.2935032796366519</v>
      </c>
      <c r="AT14" s="599">
        <f t="shared" ca="1" si="3"/>
        <v>0.57837248196793845</v>
      </c>
      <c r="AU14" s="600">
        <f t="shared" ca="1" si="4"/>
        <v>0.57896550207198805</v>
      </c>
      <c r="AV14" s="598">
        <f t="shared" ca="1" si="5"/>
        <v>2.318441120347841</v>
      </c>
      <c r="AW14" s="600">
        <f t="shared" ca="1" si="6"/>
        <v>2.3200762419680609</v>
      </c>
      <c r="AX14" s="652"/>
      <c r="AY14" s="101" t="s">
        <v>88</v>
      </c>
      <c r="AZ14" s="856">
        <f t="shared" si="8"/>
        <v>1</v>
      </c>
      <c r="BA14" s="721">
        <v>1</v>
      </c>
      <c r="BC14" s="24" t="s">
        <v>64</v>
      </c>
      <c r="BD14" s="57" t="b">
        <v>1</v>
      </c>
      <c r="BE14" s="58">
        <v>4</v>
      </c>
      <c r="BF14"/>
      <c r="BG14" s="53" t="s">
        <v>89</v>
      </c>
      <c r="BH14" s="55" t="s">
        <v>90</v>
      </c>
      <c r="BI14"/>
      <c r="BJ14" s="410" t="s">
        <v>48</v>
      </c>
      <c r="BK14"/>
      <c r="BL14"/>
      <c r="BM14"/>
      <c r="BN14"/>
      <c r="BQ14" s="16"/>
      <c r="BU14" s="16"/>
      <c r="BY14" s="16"/>
    </row>
    <row r="15" spans="1:94" ht="18" customHeight="1" thickBot="1" x14ac:dyDescent="0.35">
      <c r="A15" s="647"/>
      <c r="B15" s="661" t="s">
        <v>91</v>
      </c>
      <c r="C15" s="662"/>
      <c r="D15" s="658"/>
      <c r="E15" s="653"/>
      <c r="F15" s="665"/>
      <c r="G15" s="656"/>
      <c r="H15" s="652"/>
      <c r="I15" s="652"/>
      <c r="J15" s="656"/>
      <c r="K15" s="651"/>
      <c r="L15" s="651"/>
      <c r="M15" s="651"/>
      <c r="N15" s="66"/>
      <c r="O15" s="870">
        <v>0</v>
      </c>
      <c r="P15" s="871">
        <v>0</v>
      </c>
      <c r="Q15" s="652"/>
      <c r="R15" s="652"/>
      <c r="S15" s="69" t="str">
        <f t="shared" si="0"/>
        <v>Peak</v>
      </c>
      <c r="T15" s="65">
        <v>1200</v>
      </c>
      <c r="U15" s="144">
        <v>0</v>
      </c>
      <c r="V15" s="144">
        <v>0</v>
      </c>
      <c r="W15" s="144">
        <v>0</v>
      </c>
      <c r="X15" s="155">
        <v>0</v>
      </c>
      <c r="Y15" s="652"/>
      <c r="Z15" s="605">
        <f ca="1">CALC!A27</f>
        <v>36923</v>
      </c>
      <c r="AA15" s="625">
        <f ca="1">CALC!J27</f>
        <v>0.93329821543014668</v>
      </c>
      <c r="AB15" s="544">
        <v>99.99</v>
      </c>
      <c r="AC15" s="550">
        <v>99.99</v>
      </c>
      <c r="AD15" s="550">
        <v>9.99</v>
      </c>
      <c r="AE15" s="531">
        <v>1</v>
      </c>
      <c r="AF15" s="544">
        <v>99.99</v>
      </c>
      <c r="AG15" s="550">
        <v>99.99</v>
      </c>
      <c r="AH15" s="550">
        <v>10.01</v>
      </c>
      <c r="AI15" s="531">
        <v>1</v>
      </c>
      <c r="AJ15" s="544">
        <v>99.99</v>
      </c>
      <c r="AK15" s="550">
        <v>99.99</v>
      </c>
      <c r="AL15" s="550">
        <v>19.989999999999998</v>
      </c>
      <c r="AM15" s="531">
        <v>1</v>
      </c>
      <c r="AN15" s="544">
        <v>99.99</v>
      </c>
      <c r="AO15" s="550">
        <v>99.99</v>
      </c>
      <c r="AP15" s="550">
        <v>20.010000000000002</v>
      </c>
      <c r="AQ15" s="531">
        <v>1</v>
      </c>
      <c r="AR15" s="598">
        <f t="shared" ca="1" si="1"/>
        <v>0.28061662429981044</v>
      </c>
      <c r="AS15" s="598">
        <f t="shared" ca="1" si="2"/>
        <v>0.28118180120238334</v>
      </c>
      <c r="AT15" s="599">
        <f t="shared" ca="1" si="3"/>
        <v>0.55527391104000157</v>
      </c>
      <c r="AU15" s="600">
        <f t="shared" ca="1" si="4"/>
        <v>0.55584328716339126</v>
      </c>
      <c r="AV15" s="598">
        <f t="shared" ca="1" si="5"/>
        <v>2.3314571209779924</v>
      </c>
      <c r="AW15" s="600">
        <f t="shared" ca="1" si="6"/>
        <v>2.3331015433670679</v>
      </c>
      <c r="AX15" s="652"/>
      <c r="AY15" s="101" t="s">
        <v>92</v>
      </c>
      <c r="AZ15" s="856">
        <f t="shared" si="8"/>
        <v>0</v>
      </c>
      <c r="BA15" s="721">
        <v>2</v>
      </c>
      <c r="BC15" s="24" t="s">
        <v>69</v>
      </c>
      <c r="BD15" s="57" t="b">
        <v>1</v>
      </c>
      <c r="BE15" s="58">
        <v>4</v>
      </c>
      <c r="BF15"/>
      <c r="BG15" s="101" t="s">
        <v>93</v>
      </c>
      <c r="BH15" s="179"/>
      <c r="BI15"/>
      <c r="BJ15" s="410" t="s">
        <v>49</v>
      </c>
      <c r="BK15" s="158"/>
      <c r="BL15"/>
      <c r="BM15"/>
      <c r="BQ15" s="16"/>
      <c r="BR15" s="16"/>
      <c r="BS15" s="16"/>
      <c r="BT15" s="16"/>
      <c r="BU15" s="16"/>
      <c r="BV15" s="16"/>
      <c r="BW15" s="16"/>
      <c r="BX15" s="16"/>
      <c r="BY15" s="16"/>
    </row>
    <row r="16" spans="1:94" ht="18" customHeight="1" thickBot="1" x14ac:dyDescent="0.35">
      <c r="A16" s="647"/>
      <c r="B16" s="73" t="s">
        <v>74</v>
      </c>
      <c r="C16" s="72"/>
      <c r="D16" s="659"/>
      <c r="E16" s="75" t="s">
        <v>94</v>
      </c>
      <c r="F16" s="846">
        <f ca="1">IF(SOPriceCurve,IF(SOBuySell=SOCallPut,CALC!BS3,CALC!BS5),CALC!BS4)</f>
        <v>32.659889647739881</v>
      </c>
      <c r="G16" s="656"/>
      <c r="H16" s="75" t="s">
        <v>95</v>
      </c>
      <c r="I16" s="612" t="e">
        <f ca="1">CALC!CD3</f>
        <v>#VALUE!</v>
      </c>
      <c r="J16" s="656"/>
      <c r="K16" s="672" t="s">
        <v>96</v>
      </c>
      <c r="L16" s="804" t="e">
        <f ca="1">CALC!CD6</f>
        <v>#VALUE!</v>
      </c>
      <c r="M16" s="651"/>
      <c r="N16" s="68"/>
      <c r="O16" s="874">
        <v>0</v>
      </c>
      <c r="P16" s="875">
        <v>0</v>
      </c>
      <c r="Q16" s="652"/>
      <c r="R16" s="652"/>
      <c r="S16" s="69" t="str">
        <f t="shared" si="0"/>
        <v>Peak</v>
      </c>
      <c r="T16" s="65">
        <v>1300</v>
      </c>
      <c r="U16" s="144">
        <v>0</v>
      </c>
      <c r="V16" s="144">
        <v>0</v>
      </c>
      <c r="W16" s="144">
        <v>0</v>
      </c>
      <c r="X16" s="155">
        <v>0</v>
      </c>
      <c r="Y16" s="652"/>
      <c r="Z16" s="606">
        <f ca="1">CALC!A28</f>
        <v>36951</v>
      </c>
      <c r="AA16" s="626">
        <f ca="1">CALC!J28</f>
        <v>0.92767633406505923</v>
      </c>
      <c r="AB16" s="545">
        <v>99.99</v>
      </c>
      <c r="AC16" s="551">
        <v>99.99</v>
      </c>
      <c r="AD16" s="551">
        <v>9.99</v>
      </c>
      <c r="AE16" s="532">
        <v>1</v>
      </c>
      <c r="AF16" s="545">
        <v>99.99</v>
      </c>
      <c r="AG16" s="551">
        <v>99.99</v>
      </c>
      <c r="AH16" s="551">
        <v>10.01</v>
      </c>
      <c r="AI16" s="532">
        <v>1</v>
      </c>
      <c r="AJ16" s="545">
        <v>99.99</v>
      </c>
      <c r="AK16" s="551">
        <v>99.99</v>
      </c>
      <c r="AL16" s="551">
        <v>19.989999999999998</v>
      </c>
      <c r="AM16" s="532">
        <v>1</v>
      </c>
      <c r="AN16" s="545">
        <v>99.99</v>
      </c>
      <c r="AO16" s="551">
        <v>99.99</v>
      </c>
      <c r="AP16" s="551">
        <v>20.010000000000002</v>
      </c>
      <c r="AQ16" s="532">
        <v>1</v>
      </c>
      <c r="AR16" s="601">
        <f t="shared" ca="1" si="1"/>
        <v>0.27125229871605028</v>
      </c>
      <c r="AS16" s="601">
        <f t="shared" ca="1" si="2"/>
        <v>0.27179864670635528</v>
      </c>
      <c r="AT16" s="602">
        <f t="shared" ca="1" si="3"/>
        <v>0.53763226530671104</v>
      </c>
      <c r="AU16" s="603">
        <f t="shared" ca="1" si="4"/>
        <v>0.53818378036556058</v>
      </c>
      <c r="AV16" s="601">
        <f t="shared" ca="1" si="5"/>
        <v>2.3459407530218801</v>
      </c>
      <c r="AW16" s="603">
        <f t="shared" ca="1" si="6"/>
        <v>2.3475966193534683</v>
      </c>
      <c r="AX16" s="652"/>
      <c r="AY16" s="101" t="s">
        <v>97</v>
      </c>
      <c r="AZ16" s="856">
        <f t="shared" si="8"/>
        <v>1</v>
      </c>
      <c r="BA16" s="721">
        <v>1</v>
      </c>
      <c r="BC16" s="25" t="s">
        <v>73</v>
      </c>
      <c r="BD16" s="59" t="b">
        <v>1</v>
      </c>
      <c r="BE16" s="60">
        <v>4</v>
      </c>
      <c r="BF16"/>
      <c r="BG16" s="51" t="s">
        <v>482</v>
      </c>
      <c r="BH16" s="50">
        <v>1</v>
      </c>
      <c r="BI16"/>
      <c r="BJ16" s="410" t="s">
        <v>50</v>
      </c>
      <c r="BK16" s="159"/>
      <c r="BL16"/>
      <c r="BM16"/>
      <c r="BQ16" s="16"/>
      <c r="BR16" s="16"/>
      <c r="BS16" s="16"/>
      <c r="BT16" s="16"/>
      <c r="BU16" s="16"/>
      <c r="BV16" s="16"/>
      <c r="BW16" s="16"/>
      <c r="BX16" s="16"/>
      <c r="BY16" s="16"/>
    </row>
    <row r="17" spans="1:80" ht="20.25" customHeight="1" thickBot="1" x14ac:dyDescent="0.35">
      <c r="A17" s="647"/>
      <c r="B17" s="73" t="s">
        <v>98</v>
      </c>
      <c r="C17" s="741"/>
      <c r="D17" s="659"/>
      <c r="E17" s="76" t="s">
        <v>99</v>
      </c>
      <c r="F17" s="610" t="s">
        <v>56</v>
      </c>
      <c r="G17" s="656"/>
      <c r="H17" s="76" t="s">
        <v>100</v>
      </c>
      <c r="I17" s="613" t="e">
        <f ca="1">CALC!CD4</f>
        <v>#VALUE!</v>
      </c>
      <c r="J17" s="651"/>
      <c r="K17" s="75" t="s">
        <v>100</v>
      </c>
      <c r="L17" s="846" t="e">
        <f ca="1">I17</f>
        <v>#VALUE!</v>
      </c>
      <c r="M17" s="651"/>
      <c r="N17" s="824" t="s">
        <v>101</v>
      </c>
      <c r="O17" s="825"/>
      <c r="P17" s="825"/>
      <c r="Q17" s="825"/>
      <c r="R17" s="652"/>
      <c r="S17" s="69" t="str">
        <f t="shared" si="0"/>
        <v>Peak</v>
      </c>
      <c r="T17" s="65">
        <v>1400</v>
      </c>
      <c r="U17" s="145">
        <v>0</v>
      </c>
      <c r="V17" s="145">
        <v>0</v>
      </c>
      <c r="W17" s="145">
        <v>0</v>
      </c>
      <c r="X17" s="156">
        <v>0</v>
      </c>
      <c r="Y17" s="652"/>
      <c r="Z17" s="652"/>
      <c r="AA17" s="652"/>
      <c r="AB17" s="652"/>
      <c r="AC17" s="652"/>
      <c r="AD17" s="652"/>
      <c r="AE17" s="652"/>
      <c r="AF17" s="652"/>
      <c r="AG17" s="652"/>
      <c r="AH17" s="652"/>
      <c r="AI17" s="652"/>
      <c r="AJ17" s="652"/>
      <c r="AK17" s="652"/>
      <c r="AL17" s="652"/>
      <c r="AM17" s="652"/>
      <c r="AN17" s="652"/>
      <c r="AO17" s="652"/>
      <c r="AP17" s="652"/>
      <c r="AQ17" s="652"/>
      <c r="AR17" s="652"/>
      <c r="AS17" s="652"/>
      <c r="AT17" s="652"/>
      <c r="AU17" s="652"/>
      <c r="AV17" s="652"/>
      <c r="AW17" s="652"/>
      <c r="AX17" s="652"/>
      <c r="AY17" s="101" t="s">
        <v>102</v>
      </c>
      <c r="AZ17" s="856">
        <f t="shared" si="8"/>
        <v>1</v>
      </c>
      <c r="BA17" s="721">
        <v>1</v>
      </c>
      <c r="BG17" s="51" t="s">
        <v>473</v>
      </c>
      <c r="BH17" s="50">
        <v>3</v>
      </c>
      <c r="BI17"/>
      <c r="BJ17" s="410" t="s">
        <v>51</v>
      </c>
      <c r="BK17" s="159"/>
      <c r="BL17"/>
      <c r="BM17"/>
      <c r="BQ17" s="16"/>
      <c r="BR17" s="15"/>
      <c r="BT17" s="30"/>
      <c r="BV17" s="30"/>
      <c r="BW17" s="30"/>
      <c r="BY17" s="16"/>
    </row>
    <row r="18" spans="1:80" ht="19.5" customHeight="1" thickBot="1" x14ac:dyDescent="0.35">
      <c r="A18" s="650"/>
      <c r="B18" s="82" t="s">
        <v>103</v>
      </c>
      <c r="C18" s="90"/>
      <c r="D18" s="659"/>
      <c r="E18" s="82" t="s">
        <v>104</v>
      </c>
      <c r="F18" s="167">
        <v>0.99990000000000001</v>
      </c>
      <c r="G18" s="656"/>
      <c r="H18" s="82" t="s">
        <v>105</v>
      </c>
      <c r="I18" s="614" t="e">
        <f ca="1">CALC!CD5</f>
        <v>#VALUE!</v>
      </c>
      <c r="J18" s="651"/>
      <c r="K18" s="456" t="s">
        <v>106</v>
      </c>
      <c r="L18" s="607" t="e">
        <f ca="1">ImpliedVolOfUndiscountedPremium(SOExp-DateToday,SOUnder,SOStrike,L17*L13/L14,SOCallPut)</f>
        <v>#VALUE!</v>
      </c>
      <c r="M18" s="651"/>
      <c r="N18" s="826"/>
      <c r="O18" s="831"/>
      <c r="P18" s="827" t="s">
        <v>107</v>
      </c>
      <c r="Q18" s="571">
        <v>0</v>
      </c>
      <c r="R18" s="652"/>
      <c r="S18" s="69" t="str">
        <f t="shared" si="0"/>
        <v>Peak</v>
      </c>
      <c r="T18" s="65">
        <v>1500</v>
      </c>
      <c r="U18" s="145">
        <v>0</v>
      </c>
      <c r="V18" s="145">
        <v>0</v>
      </c>
      <c r="W18" s="145">
        <v>0</v>
      </c>
      <c r="X18" s="156">
        <v>0</v>
      </c>
      <c r="Y18" s="652"/>
      <c r="Z18" s="546"/>
      <c r="AA18" s="533" t="s">
        <v>7</v>
      </c>
      <c r="AB18" s="534"/>
      <c r="AC18" s="534"/>
      <c r="AD18" s="534"/>
      <c r="AE18" s="534"/>
      <c r="AF18" s="534"/>
      <c r="AG18" s="534"/>
      <c r="AH18" s="533" t="s">
        <v>8</v>
      </c>
      <c r="AI18" s="534"/>
      <c r="AJ18" s="534"/>
      <c r="AK18" s="534"/>
      <c r="AL18" s="534"/>
      <c r="AM18" s="534"/>
      <c r="AN18" s="535"/>
      <c r="AO18" s="652"/>
      <c r="AP18" s="652"/>
      <c r="AQ18" s="652"/>
      <c r="AR18" s="652"/>
      <c r="AS18" s="652"/>
      <c r="AT18" s="652"/>
      <c r="AU18" s="652"/>
      <c r="AV18" s="652"/>
      <c r="AW18" s="652"/>
      <c r="AX18" s="652"/>
      <c r="AY18" s="101" t="s">
        <v>108</v>
      </c>
      <c r="AZ18" s="856">
        <f t="shared" ref="AZ18:AZ30" si="9">2-BA18</f>
        <v>1</v>
      </c>
      <c r="BA18" s="721">
        <v>1</v>
      </c>
      <c r="BC18" s="100" t="s">
        <v>109</v>
      </c>
      <c r="BD18" s="54" t="str">
        <f>INDEX(BD20:BD53,BE18)</f>
        <v>1      NY East</v>
      </c>
      <c r="BE18" s="61">
        <v>1</v>
      </c>
      <c r="BF18" s="21"/>
      <c r="BG18" s="51" t="s">
        <v>474</v>
      </c>
      <c r="BH18" s="50">
        <v>4</v>
      </c>
      <c r="BI18"/>
      <c r="BJ18" s="410" t="s">
        <v>52</v>
      </c>
      <c r="BK18" s="159"/>
      <c r="BL18"/>
      <c r="BM18"/>
      <c r="BQ18" s="16"/>
      <c r="BR18" s="16"/>
      <c r="BS18" s="16"/>
      <c r="BT18" s="16"/>
      <c r="BU18" s="16"/>
      <c r="BV18" s="16"/>
      <c r="BW18" s="16"/>
      <c r="BX18" s="16"/>
      <c r="BY18" s="16"/>
    </row>
    <row r="19" spans="1:80" ht="18" customHeight="1" thickBot="1" x14ac:dyDescent="0.35">
      <c r="A19" s="650"/>
      <c r="B19" s="661" t="s">
        <v>110</v>
      </c>
      <c r="C19" s="661"/>
      <c r="D19" s="651"/>
      <c r="E19" s="651"/>
      <c r="F19" s="651"/>
      <c r="G19" s="660"/>
      <c r="H19" s="651"/>
      <c r="I19" s="651"/>
      <c r="J19" s="651"/>
      <c r="K19" s="652"/>
      <c r="L19" s="652"/>
      <c r="M19" s="651"/>
      <c r="N19" s="652"/>
      <c r="O19" s="652"/>
      <c r="P19" s="652"/>
      <c r="Q19" s="652"/>
      <c r="R19" s="652"/>
      <c r="S19" s="69" t="str">
        <f t="shared" si="0"/>
        <v>Peak</v>
      </c>
      <c r="T19" s="65">
        <v>1600</v>
      </c>
      <c r="U19" s="145">
        <v>0</v>
      </c>
      <c r="V19" s="145">
        <v>0</v>
      </c>
      <c r="W19" s="145">
        <v>0</v>
      </c>
      <c r="X19" s="156">
        <v>0</v>
      </c>
      <c r="Y19" s="652"/>
      <c r="Z19" s="547" t="s">
        <v>15</v>
      </c>
      <c r="AA19" s="587" t="s">
        <v>111</v>
      </c>
      <c r="AB19" s="533" t="s">
        <v>25</v>
      </c>
      <c r="AC19" s="534"/>
      <c r="AD19" s="535"/>
      <c r="AE19" s="533" t="s">
        <v>26</v>
      </c>
      <c r="AF19" s="534"/>
      <c r="AG19" s="535"/>
      <c r="AH19" s="587" t="s">
        <v>111</v>
      </c>
      <c r="AI19" s="533" t="s">
        <v>25</v>
      </c>
      <c r="AJ19" s="534"/>
      <c r="AK19" s="535"/>
      <c r="AL19" s="533" t="s">
        <v>26</v>
      </c>
      <c r="AM19" s="534"/>
      <c r="AN19" s="535"/>
      <c r="AO19" s="652"/>
      <c r="AP19" s="652"/>
      <c r="AQ19" s="652"/>
      <c r="AR19" s="652"/>
      <c r="AS19" s="652"/>
      <c r="AT19" s="652"/>
      <c r="AU19" s="652"/>
      <c r="AV19" s="652"/>
      <c r="AW19" s="652"/>
      <c r="AX19" s="652"/>
      <c r="AY19" s="101" t="s">
        <v>112</v>
      </c>
      <c r="AZ19" s="856">
        <f>BA19-1</f>
        <v>2</v>
      </c>
      <c r="BA19" s="721">
        <v>3</v>
      </c>
      <c r="BC19" s="48" t="s">
        <v>113</v>
      </c>
      <c r="BD19" s="49" t="s">
        <v>89</v>
      </c>
      <c r="BE19" s="99" t="s">
        <v>90</v>
      </c>
      <c r="BF19" s="183"/>
      <c r="BG19" s="51" t="s">
        <v>475</v>
      </c>
      <c r="BH19" s="50">
        <v>6</v>
      </c>
      <c r="BI19"/>
      <c r="BJ19" s="410" t="s">
        <v>53</v>
      </c>
      <c r="BK19" s="159"/>
      <c r="BL19"/>
      <c r="BM19"/>
      <c r="BQ19" s="16"/>
      <c r="BR19" s="15"/>
      <c r="BW19" s="32"/>
      <c r="BY19" s="16"/>
    </row>
    <row r="20" spans="1:80" ht="18.75" customHeight="1" thickBot="1" x14ac:dyDescent="0.35">
      <c r="A20" s="650"/>
      <c r="B20" s="73" t="s">
        <v>74</v>
      </c>
      <c r="C20" s="673"/>
      <c r="D20" s="659"/>
      <c r="E20" s="457" t="s">
        <v>114</v>
      </c>
      <c r="F20" s="729">
        <v>0</v>
      </c>
      <c r="G20" s="660"/>
      <c r="H20" s="457" t="s">
        <v>115</v>
      </c>
      <c r="I20" s="737">
        <f ca="1">CALC!CM3</f>
        <v>6.1413820201740803</v>
      </c>
      <c r="J20" s="651"/>
      <c r="K20" s="672" t="s">
        <v>116</v>
      </c>
      <c r="L20" s="806">
        <f ca="1">CALC!CM6</f>
        <v>0.38308663650341929</v>
      </c>
      <c r="M20" s="651"/>
      <c r="N20" s="898"/>
      <c r="O20" s="898" t="s">
        <v>117</v>
      </c>
      <c r="P20" s="834" t="s">
        <v>118</v>
      </c>
      <c r="Q20" s="504"/>
      <c r="R20" s="652"/>
      <c r="S20" s="69" t="str">
        <f t="shared" si="0"/>
        <v>Peak</v>
      </c>
      <c r="T20" s="65">
        <v>1700</v>
      </c>
      <c r="U20" s="145">
        <v>0</v>
      </c>
      <c r="V20" s="145">
        <v>0</v>
      </c>
      <c r="W20" s="145">
        <v>0</v>
      </c>
      <c r="X20" s="156">
        <v>0</v>
      </c>
      <c r="Y20" s="652"/>
      <c r="Z20" s="548"/>
      <c r="AA20" s="588" t="s">
        <v>119</v>
      </c>
      <c r="AB20" s="627" t="s">
        <v>120</v>
      </c>
      <c r="AC20" s="628" t="s">
        <v>121</v>
      </c>
      <c r="AD20" s="629" t="s">
        <v>122</v>
      </c>
      <c r="AE20" s="627" t="s">
        <v>120</v>
      </c>
      <c r="AF20" s="628" t="s">
        <v>121</v>
      </c>
      <c r="AG20" s="629" t="s">
        <v>122</v>
      </c>
      <c r="AH20" s="588" t="s">
        <v>119</v>
      </c>
      <c r="AI20" s="627" t="s">
        <v>120</v>
      </c>
      <c r="AJ20" s="628" t="s">
        <v>121</v>
      </c>
      <c r="AK20" s="629" t="s">
        <v>122</v>
      </c>
      <c r="AL20" s="627" t="s">
        <v>120</v>
      </c>
      <c r="AM20" s="628" t="s">
        <v>121</v>
      </c>
      <c r="AN20" s="629" t="s">
        <v>122</v>
      </c>
      <c r="AO20" s="652"/>
      <c r="AP20" s="652"/>
      <c r="AQ20" s="652"/>
      <c r="AR20" s="652"/>
      <c r="AS20" s="652"/>
      <c r="AT20" s="652"/>
      <c r="AU20" s="652"/>
      <c r="AV20" s="652"/>
      <c r="AW20" s="652"/>
      <c r="AX20" s="652"/>
      <c r="AY20" s="101" t="s">
        <v>123</v>
      </c>
      <c r="AZ20" s="856">
        <f>BA20-1</f>
        <v>1</v>
      </c>
      <c r="BA20" s="721">
        <v>2</v>
      </c>
      <c r="BC20" s="43" t="s">
        <v>485</v>
      </c>
      <c r="BD20" s="2" t="s">
        <v>124</v>
      </c>
      <c r="BE20" s="44" t="s">
        <v>125</v>
      </c>
      <c r="BG20" s="51" t="s">
        <v>476</v>
      </c>
      <c r="BH20" s="50">
        <v>7</v>
      </c>
      <c r="BI20"/>
      <c r="BJ20" s="411" t="s">
        <v>54</v>
      </c>
      <c r="BK20" s="159"/>
      <c r="BL20"/>
      <c r="BQ20" s="16"/>
      <c r="BX20" s="16"/>
      <c r="BY20" s="16"/>
    </row>
    <row r="21" spans="1:80" ht="18" customHeight="1" x14ac:dyDescent="0.3">
      <c r="A21" s="650"/>
      <c r="B21" s="742" t="s">
        <v>126</v>
      </c>
      <c r="C21" s="168"/>
      <c r="D21" s="659"/>
      <c r="E21" s="530" t="s">
        <v>127</v>
      </c>
      <c r="F21" s="540">
        <v>0</v>
      </c>
      <c r="G21" s="660"/>
      <c r="H21" s="530" t="s">
        <v>128</v>
      </c>
      <c r="I21" s="613">
        <f ca="1">CALC!CM4</f>
        <v>9.2071891611550196</v>
      </c>
      <c r="J21" s="651"/>
      <c r="K21" s="457" t="s">
        <v>129</v>
      </c>
      <c r="L21" s="807">
        <f ca="1">I21</f>
        <v>9.2071891611550196</v>
      </c>
      <c r="M21" s="651"/>
      <c r="N21" s="900"/>
      <c r="O21" s="900" t="s">
        <v>15</v>
      </c>
      <c r="P21" s="832" t="s">
        <v>130</v>
      </c>
      <c r="Q21" s="832" t="s">
        <v>131</v>
      </c>
      <c r="R21" s="652"/>
      <c r="S21" s="69" t="str">
        <f t="shared" si="0"/>
        <v>Peak</v>
      </c>
      <c r="T21" s="65">
        <v>1800</v>
      </c>
      <c r="U21" s="145">
        <v>0</v>
      </c>
      <c r="V21" s="145">
        <v>0</v>
      </c>
      <c r="W21" s="145">
        <v>0</v>
      </c>
      <c r="X21" s="156">
        <v>0</v>
      </c>
      <c r="Y21" s="652"/>
      <c r="Z21" s="604">
        <f ca="1">CALC!A17</f>
        <v>36617</v>
      </c>
      <c r="AA21" s="589">
        <f ca="1">IF(OptExpDateShift,ShiftBack(Z21,OptExpDateShift,Holiday(YEAR(Z21-1),MONTH(Z21-1))),Z21)-DateToday</f>
        <v>30</v>
      </c>
      <c r="AB21" s="590">
        <f ca="1">UndiscountedOption(AB5,AC5,AR5,AA21/365.25,AE5,1)*AA5</f>
        <v>0.54352864304292492</v>
      </c>
      <c r="AC21" s="591">
        <f ca="1">UndiscountedOption(AB5,AC5,AR5,AA21/365.25,AE5,2)*AA5</f>
        <v>1.5358064901986485E-2</v>
      </c>
      <c r="AD21" s="592">
        <f ca="1">UndiscountedOption(AB5,AC5,AR5,AA21/365.25,AE5,3)*AA5</f>
        <v>11.194414136863459</v>
      </c>
      <c r="AE21" s="590">
        <f ca="1">UndiscountedOption(AF5,AG5,AS5,AA21/365.25,AI5,1)*AA5</f>
        <v>0.54362865800505178</v>
      </c>
      <c r="AF21" s="591">
        <f ca="1">UndiscountedOption(AF5,AG5,AS5,AA21/365.25,AI5,2)*AA5</f>
        <v>1.5326712362664009E-2</v>
      </c>
      <c r="AG21" s="592">
        <f ca="1">UndiscountedOption(AF5,AG5,AS5,AA21/365.25,AI5,3)*AA5</f>
        <v>11.194049230645772</v>
      </c>
      <c r="AH21" s="589">
        <f ca="1">Z21+14-DateToday</f>
        <v>44</v>
      </c>
      <c r="AI21" s="590">
        <f ca="1">UndiscountedOption(AJ5,AK5,AT5,AH21/365.25,AM5,1)*AA5</f>
        <v>0.59353364780437023</v>
      </c>
      <c r="AJ21" s="591">
        <f ca="1">UndiscountedOption(AJ5,AK5,AT5,AH21/365.25,AM5,2)*AA5</f>
        <v>7.4255116908088017E-3</v>
      </c>
      <c r="AK21" s="592">
        <f ca="1">UndiscountedOption(AJ5,AK5,AT5,AH21/365.25,AM5,3)*AA5</f>
        <v>13.224544203570323</v>
      </c>
      <c r="AL21" s="590">
        <f ca="1">UndiscountedOption(AN5,AO5,AU5,AH21/365.25,AQ5,1)*AA5</f>
        <v>0.59363364929482743</v>
      </c>
      <c r="AM21" s="591">
        <f ca="1">UndiscountedOption(AN5,AO5,AU5,AH21/365.25,AQ5,2)*AA5</f>
        <v>7.4174254397490298E-3</v>
      </c>
      <c r="AN21" s="592">
        <f ca="1">UndiscountedOption(AN5,AO5,AU5,AH21/365.25,AQ5,3)*AA5</f>
        <v>13.223653164220943</v>
      </c>
      <c r="AO21" s="652"/>
      <c r="AP21" s="652"/>
      <c r="AQ21" s="652"/>
      <c r="AR21" s="652"/>
      <c r="AS21" s="652"/>
      <c r="AT21" s="652"/>
      <c r="AU21" s="652"/>
      <c r="AV21" s="652"/>
      <c r="AW21" s="652"/>
      <c r="AX21" s="652"/>
      <c r="AY21" s="101" t="s">
        <v>132</v>
      </c>
      <c r="AZ21" s="856">
        <f t="shared" si="9"/>
        <v>0</v>
      </c>
      <c r="BA21" s="721">
        <v>2</v>
      </c>
      <c r="BC21" s="43" t="s">
        <v>486</v>
      </c>
      <c r="BD21" s="2" t="s">
        <v>457</v>
      </c>
      <c r="BE21" s="44" t="s">
        <v>133</v>
      </c>
      <c r="BG21" s="51" t="s">
        <v>477</v>
      </c>
      <c r="BH21" s="50">
        <v>8</v>
      </c>
      <c r="BI21"/>
      <c r="BJ21" s="412" t="s">
        <v>134</v>
      </c>
      <c r="BK21" s="159"/>
      <c r="BL21"/>
      <c r="BQ21" s="16"/>
      <c r="BR21" s="15"/>
      <c r="BY21" s="16"/>
    </row>
    <row r="22" spans="1:80" ht="19.5" customHeight="1" thickBot="1" x14ac:dyDescent="0.35">
      <c r="A22" s="650"/>
      <c r="B22" s="743"/>
      <c r="C22" s="170"/>
      <c r="D22" s="659"/>
      <c r="E22" s="530" t="s">
        <v>135</v>
      </c>
      <c r="F22" s="540">
        <v>0</v>
      </c>
      <c r="G22" s="660"/>
      <c r="H22" s="530" t="s">
        <v>136</v>
      </c>
      <c r="I22" s="613">
        <f ca="1">CALC!CM5</f>
        <v>6.7237670453425276</v>
      </c>
      <c r="J22" s="651"/>
      <c r="K22" s="500"/>
      <c r="L22" s="501"/>
      <c r="M22" s="651"/>
      <c r="N22" s="900" t="s">
        <v>15</v>
      </c>
      <c r="O22" s="900" t="s">
        <v>137</v>
      </c>
      <c r="P22" s="833" t="s">
        <v>138</v>
      </c>
      <c r="Q22" s="833" t="s">
        <v>139</v>
      </c>
      <c r="R22" s="652"/>
      <c r="S22" s="69" t="str">
        <f t="shared" si="0"/>
        <v>Peak</v>
      </c>
      <c r="T22" s="65">
        <v>1900</v>
      </c>
      <c r="U22" s="145">
        <v>0</v>
      </c>
      <c r="V22" s="145">
        <v>0</v>
      </c>
      <c r="W22" s="145">
        <v>0</v>
      </c>
      <c r="X22" s="156">
        <v>0</v>
      </c>
      <c r="Y22" s="652"/>
      <c r="Z22" s="605">
        <f ca="1">CALC!A18</f>
        <v>36647</v>
      </c>
      <c r="AA22" s="593">
        <f t="shared" ref="AA22:AA32" ca="1" si="10">IF(OptExpDateShift,ShiftBack(Z22,OptExpDateShift,Holiday(YEAR(Z22-1),MONTH(Z22-1))),Z22)-DateToday</f>
        <v>60</v>
      </c>
      <c r="AB22" s="590">
        <f t="shared" ref="AB22:AB32" ca="1" si="11">UndiscountedOption(AB6,AC6,AR6,AA22/365.25,AE6,1)*AA6</f>
        <v>0.54091733633457217</v>
      </c>
      <c r="AC22" s="591">
        <f t="shared" ref="AC22:AC32" ca="1" si="12">UndiscountedOption(AB6,AC6,AR6,AA22/365.25,AE6,2)*AA6</f>
        <v>1.5194228300089718E-2</v>
      </c>
      <c r="AD22" s="592">
        <f t="shared" ref="AD22:AD32" ca="1" si="13">UndiscountedOption(AB6,AC6,AR6,AA22/365.25,AE6,3)*AA6</f>
        <v>15.746168841909189</v>
      </c>
      <c r="AE22" s="590">
        <f t="shared" ref="AE22:AE32" ca="1" si="14">UndiscountedOption(AF6,AG6,AS6,AA22/365.25,AI6,1)*AA6</f>
        <v>0.54101734036204108</v>
      </c>
      <c r="AF22" s="591">
        <f t="shared" ref="AF22:AF32" ca="1" si="15">UndiscountedOption(AF6,AG6,AS6,AA22/365.25,AI6,2)*AA6</f>
        <v>1.5163205789514817E-2</v>
      </c>
      <c r="AG22" s="592">
        <f t="shared" ref="AG22:AG32" ca="1" si="16">UndiscountedOption(AF6,AG6,AS6,AA22/365.25,AI6,3)*AA6</f>
        <v>15.745650083504934</v>
      </c>
      <c r="AH22" s="593">
        <f t="shared" ref="AH22:AH32" ca="1" si="17">Z22+14-DateToday</f>
        <v>74</v>
      </c>
      <c r="AI22" s="590">
        <f t="shared" ref="AI22:AI32" ca="1" si="18">UndiscountedOption(AJ6,AK6,AT6,AH22/365.25,AM6,1)*AA6</f>
        <v>0.59092234043540581</v>
      </c>
      <c r="AJ22" s="591">
        <f t="shared" ref="AJ22:AJ32" ca="1" si="19">UndiscountedOption(AJ6,AK6,AT6,AH22/365.25,AM6,2)*AA6</f>
        <v>7.3436390152268804E-3</v>
      </c>
      <c r="AK22" s="592">
        <f t="shared" ref="AK22:AK32" ca="1" si="20">UndiscountedOption(AJ6,AK6,AT6,AH22/365.25,AM6,3)*AA6</f>
        <v>17.053381059983018</v>
      </c>
      <c r="AL22" s="590">
        <f t="shared" ref="AL22:AL32" ca="1" si="21">UndiscountedOption(AN6,AO6,AU6,AH22/365.25,AQ6,1)*AA6</f>
        <v>0.5910223529963663</v>
      </c>
      <c r="AM22" s="591">
        <f t="shared" ref="AM22:AM32" ca="1" si="22">UndiscountedOption(AN6,AO6,AU6,AH22/365.25,AQ6,2)*AA6</f>
        <v>7.3356335866527414E-3</v>
      </c>
      <c r="AN22" s="592">
        <f t="shared" ref="AN22:AN32" ca="1" si="23">UndiscountedOption(AN6,AO6,AU6,AH22/365.25,AQ6,3)*AA6</f>
        <v>17.052219103438556</v>
      </c>
      <c r="AO22" s="652"/>
      <c r="AP22" s="652"/>
      <c r="AQ22" s="652"/>
      <c r="AR22" s="652"/>
      <c r="AS22" s="652"/>
      <c r="AT22" s="652"/>
      <c r="AU22" s="652"/>
      <c r="AV22" s="652"/>
      <c r="AW22" s="652"/>
      <c r="AX22" s="652"/>
      <c r="AY22" s="101" t="s">
        <v>140</v>
      </c>
      <c r="AZ22" s="856">
        <f t="shared" si="9"/>
        <v>1</v>
      </c>
      <c r="BA22" s="721">
        <v>1</v>
      </c>
      <c r="BC22" s="43" t="s">
        <v>487</v>
      </c>
      <c r="BD22" s="2" t="s">
        <v>141</v>
      </c>
      <c r="BE22" s="44" t="s">
        <v>142</v>
      </c>
      <c r="BG22" s="51" t="s">
        <v>465</v>
      </c>
      <c r="BH22" s="50">
        <v>10</v>
      </c>
      <c r="BI22"/>
      <c r="BJ22" s="413" t="s">
        <v>143</v>
      </c>
      <c r="BK22" s="159"/>
      <c r="BL22"/>
      <c r="BQ22" s="16"/>
      <c r="BT22" s="27"/>
      <c r="BV22" s="27"/>
      <c r="BY22" s="16"/>
    </row>
    <row r="23" spans="1:80" ht="18.75" customHeight="1" thickBot="1" x14ac:dyDescent="0.35">
      <c r="A23" s="650"/>
      <c r="B23" s="76" t="s">
        <v>144</v>
      </c>
      <c r="C23" s="179"/>
      <c r="D23" s="659"/>
      <c r="E23" s="530" t="s">
        <v>145</v>
      </c>
      <c r="F23" s="540">
        <v>0</v>
      </c>
      <c r="G23" s="651"/>
      <c r="H23" s="73" t="s">
        <v>146</v>
      </c>
      <c r="I23" s="529">
        <f ca="1">CALC!CI5</f>
        <v>207044.22640196231</v>
      </c>
      <c r="J23" s="651"/>
      <c r="K23" s="82" t="s">
        <v>147</v>
      </c>
      <c r="L23" s="603">
        <v>0.99990000000000001</v>
      </c>
      <c r="M23" s="651"/>
      <c r="N23" s="901"/>
      <c r="O23" s="901" t="s">
        <v>148</v>
      </c>
      <c r="P23" s="899" t="s">
        <v>149</v>
      </c>
      <c r="Q23" s="899" t="s">
        <v>149</v>
      </c>
      <c r="R23" s="652"/>
      <c r="S23" s="69" t="str">
        <f t="shared" si="0"/>
        <v>Peak</v>
      </c>
      <c r="T23" s="65">
        <v>2000</v>
      </c>
      <c r="U23" s="145">
        <v>0</v>
      </c>
      <c r="V23" s="145">
        <v>0</v>
      </c>
      <c r="W23" s="145">
        <v>0</v>
      </c>
      <c r="X23" s="156">
        <v>0</v>
      </c>
      <c r="Y23" s="652"/>
      <c r="Z23" s="605">
        <f ca="1">CALC!A19</f>
        <v>36678</v>
      </c>
      <c r="AA23" s="593">
        <f t="shared" ca="1" si="10"/>
        <v>91</v>
      </c>
      <c r="AB23" s="590">
        <f t="shared" ca="1" si="11"/>
        <v>0.53833487492410503</v>
      </c>
      <c r="AC23" s="591">
        <f t="shared" ca="1" si="12"/>
        <v>1.5033061629901477E-2</v>
      </c>
      <c r="AD23" s="592">
        <f t="shared" ca="1" si="13"/>
        <v>19.288200604329568</v>
      </c>
      <c r="AE23" s="590">
        <f t="shared" ca="1" si="14"/>
        <v>0.5384348913154049</v>
      </c>
      <c r="AF23" s="591">
        <f t="shared" ca="1" si="15"/>
        <v>1.5002357376950484E-2</v>
      </c>
      <c r="AG23" s="592">
        <f t="shared" ca="1" si="16"/>
        <v>19.287558261418493</v>
      </c>
      <c r="AH23" s="593">
        <f t="shared" ca="1" si="17"/>
        <v>105</v>
      </c>
      <c r="AI23" s="590">
        <f t="shared" ca="1" si="18"/>
        <v>0.58833988400410786</v>
      </c>
      <c r="AJ23" s="591">
        <f t="shared" ca="1" si="19"/>
        <v>7.2630987749191453E-3</v>
      </c>
      <c r="AK23" s="592">
        <f t="shared" ca="1" si="20"/>
        <v>20.199569727703466</v>
      </c>
      <c r="AL23" s="590">
        <f t="shared" ca="1" si="21"/>
        <v>0.58843988475741271</v>
      </c>
      <c r="AM23" s="591">
        <f t="shared" ca="1" si="22"/>
        <v>7.2551748436142571E-3</v>
      </c>
      <c r="AN23" s="592">
        <f t="shared" ca="1" si="23"/>
        <v>20.198178303325889</v>
      </c>
      <c r="AO23" s="652"/>
      <c r="AP23" s="652"/>
      <c r="AQ23" s="652"/>
      <c r="AR23" s="652"/>
      <c r="AS23" s="652"/>
      <c r="AT23" s="652"/>
      <c r="AU23" s="652"/>
      <c r="AV23" s="652"/>
      <c r="AW23" s="652"/>
      <c r="AX23" s="652"/>
      <c r="AY23" s="720" t="s">
        <v>150</v>
      </c>
      <c r="AZ23" s="785" t="b">
        <v>0</v>
      </c>
      <c r="BA23" s="179"/>
      <c r="BC23" s="43" t="s">
        <v>488</v>
      </c>
      <c r="BD23" s="2" t="s">
        <v>151</v>
      </c>
      <c r="BE23" s="44" t="s">
        <v>152</v>
      </c>
      <c r="BG23" s="51" t="s">
        <v>478</v>
      </c>
      <c r="BH23" s="50">
        <v>11</v>
      </c>
      <c r="BI23"/>
      <c r="BJ23" s="413" t="s">
        <v>153</v>
      </c>
      <c r="BK23" s="159"/>
      <c r="BL23"/>
      <c r="BQ23" s="16"/>
      <c r="BV23" s="32"/>
      <c r="BX23" s="16"/>
      <c r="BY23" s="16"/>
      <c r="CB23" s="15"/>
    </row>
    <row r="24" spans="1:80" ht="18.75" customHeight="1" thickBot="1" x14ac:dyDescent="0.35">
      <c r="A24" s="650"/>
      <c r="B24" s="76" t="s">
        <v>154</v>
      </c>
      <c r="C24" s="179"/>
      <c r="D24" s="659"/>
      <c r="E24" s="683" t="s">
        <v>155</v>
      </c>
      <c r="F24" s="526" t="str">
        <f>IF(OVolType,"",CALC!CI2)</f>
        <v/>
      </c>
      <c r="G24" s="651"/>
      <c r="H24" s="730" t="s">
        <v>156</v>
      </c>
      <c r="I24" s="529">
        <f ca="1">CALC!CP6</f>
        <v>80056.291015774827</v>
      </c>
      <c r="J24" s="651"/>
      <c r="K24" s="651"/>
      <c r="L24" s="651"/>
      <c r="M24" s="651"/>
      <c r="N24" s="828" t="s">
        <v>157</v>
      </c>
      <c r="O24" s="902">
        <v>1</v>
      </c>
      <c r="P24" s="868">
        <v>0.5</v>
      </c>
      <c r="Q24" s="868">
        <v>0.5</v>
      </c>
      <c r="R24" s="652"/>
      <c r="S24" s="69" t="str">
        <f t="shared" si="0"/>
        <v>Peak</v>
      </c>
      <c r="T24" s="65">
        <v>2100</v>
      </c>
      <c r="U24" s="145">
        <v>0</v>
      </c>
      <c r="V24" s="145">
        <v>0</v>
      </c>
      <c r="W24" s="145">
        <v>0</v>
      </c>
      <c r="X24" s="156">
        <v>0</v>
      </c>
      <c r="Y24" s="652"/>
      <c r="Z24" s="605">
        <f ca="1">CALC!A20</f>
        <v>36708</v>
      </c>
      <c r="AA24" s="593">
        <f t="shared" ca="1" si="10"/>
        <v>121</v>
      </c>
      <c r="AB24" s="590">
        <f t="shared" ca="1" si="11"/>
        <v>0.53560270120810982</v>
      </c>
      <c r="AC24" s="591">
        <f t="shared" ca="1" si="12"/>
        <v>1.4863470456816E-2</v>
      </c>
      <c r="AD24" s="592">
        <f t="shared" ca="1" si="13"/>
        <v>22.114979922931997</v>
      </c>
      <c r="AE24" s="590">
        <f t="shared" ca="1" si="14"/>
        <v>0.53570270413883403</v>
      </c>
      <c r="AF24" s="591">
        <f t="shared" ca="1" si="15"/>
        <v>1.4833110370658086E-2</v>
      </c>
      <c r="AG24" s="592">
        <f t="shared" ca="1" si="16"/>
        <v>22.114235138661712</v>
      </c>
      <c r="AH24" s="593">
        <f t="shared" ca="1" si="17"/>
        <v>135</v>
      </c>
      <c r="AI24" s="590">
        <f t="shared" ca="1" si="18"/>
        <v>0.58560769644031085</v>
      </c>
      <c r="AJ24" s="591">
        <f t="shared" ca="1" si="19"/>
        <v>7.1783514136076181E-3</v>
      </c>
      <c r="AK24" s="592">
        <f t="shared" ca="1" si="20"/>
        <v>22.767181140520908</v>
      </c>
      <c r="AL24" s="590">
        <f t="shared" ca="1" si="21"/>
        <v>0.58570770181280507</v>
      </c>
      <c r="AM24" s="591">
        <f t="shared" ca="1" si="22"/>
        <v>7.1705120115805364E-3</v>
      </c>
      <c r="AN24" s="592">
        <f t="shared" ca="1" si="23"/>
        <v>22.765594260517599</v>
      </c>
      <c r="AO24" s="652"/>
      <c r="AP24" s="652"/>
      <c r="AQ24" s="652"/>
      <c r="AR24" s="652"/>
      <c r="AS24" s="652"/>
      <c r="AT24" s="652"/>
      <c r="AU24" s="652"/>
      <c r="AV24" s="652"/>
      <c r="AW24" s="652"/>
      <c r="AX24" s="652"/>
      <c r="AY24" s="101" t="s">
        <v>158</v>
      </c>
      <c r="AZ24" s="856">
        <f>BA24-1</f>
        <v>2</v>
      </c>
      <c r="BA24" s="721">
        <v>3</v>
      </c>
      <c r="BC24" s="43"/>
      <c r="BD24" s="2" t="s">
        <v>439</v>
      </c>
      <c r="BE24" s="44" t="s">
        <v>440</v>
      </c>
      <c r="BF24"/>
      <c r="BG24" s="51" t="s">
        <v>479</v>
      </c>
      <c r="BH24" s="50">
        <v>12</v>
      </c>
      <c r="BI24"/>
      <c r="BJ24" s="413" t="s">
        <v>138</v>
      </c>
      <c r="BK24" s="159"/>
      <c r="BL24"/>
      <c r="BQ24" s="16"/>
      <c r="BR24" s="16"/>
      <c r="BS24" s="16"/>
      <c r="BT24" s="16"/>
      <c r="BU24" s="16"/>
      <c r="BV24" s="16"/>
      <c r="BW24" s="16"/>
      <c r="BX24" s="16"/>
      <c r="BY24" s="16"/>
      <c r="CB24" s="15"/>
    </row>
    <row r="25" spans="1:80" ht="19.5" customHeight="1" thickBot="1" x14ac:dyDescent="0.35">
      <c r="A25" s="651"/>
      <c r="B25" s="744" t="s">
        <v>161</v>
      </c>
      <c r="C25" s="745"/>
      <c r="D25" s="659"/>
      <c r="E25" s="671" t="s">
        <v>162</v>
      </c>
      <c r="F25" s="805" t="str">
        <f>IF(OVolType,"",CALC!CI3)</f>
        <v/>
      </c>
      <c r="G25" s="651"/>
      <c r="H25" s="75" t="s">
        <v>84</v>
      </c>
      <c r="I25" s="612">
        <f ca="1">CALC!CP3</f>
        <v>87648</v>
      </c>
      <c r="J25" s="651"/>
      <c r="K25" s="73" t="s">
        <v>163</v>
      </c>
      <c r="L25" s="876">
        <v>0</v>
      </c>
      <c r="M25" s="651"/>
      <c r="N25" s="828" t="s">
        <v>164</v>
      </c>
      <c r="O25" s="903">
        <v>1</v>
      </c>
      <c r="P25" s="868">
        <v>0.5</v>
      </c>
      <c r="Q25" s="868">
        <v>0.5</v>
      </c>
      <c r="R25" s="652"/>
      <c r="S25" s="69" t="str">
        <f t="shared" si="0"/>
        <v>Peak</v>
      </c>
      <c r="T25" s="65">
        <v>2200</v>
      </c>
      <c r="U25" s="145">
        <v>0</v>
      </c>
      <c r="V25" s="145">
        <v>0</v>
      </c>
      <c r="W25" s="145">
        <v>0</v>
      </c>
      <c r="X25" s="156">
        <v>0</v>
      </c>
      <c r="Y25" s="652"/>
      <c r="Z25" s="605">
        <f ca="1">CALC!A21</f>
        <v>36739</v>
      </c>
      <c r="AA25" s="593">
        <f t="shared" ca="1" si="10"/>
        <v>152</v>
      </c>
      <c r="AB25" s="590">
        <f t="shared" ca="1" si="11"/>
        <v>0.53288640288828748</v>
      </c>
      <c r="AC25" s="591">
        <f t="shared" ca="1" si="12"/>
        <v>1.469581514004541E-2</v>
      </c>
      <c r="AD25" s="592">
        <f t="shared" ca="1" si="13"/>
        <v>24.645555360780317</v>
      </c>
      <c r="AE25" s="590">
        <f t="shared" ca="1" si="14"/>
        <v>0.53298641776376221</v>
      </c>
      <c r="AF25" s="591">
        <f t="shared" ca="1" si="15"/>
        <v>1.4665784982914166E-2</v>
      </c>
      <c r="AG25" s="592">
        <f t="shared" ca="1" si="16"/>
        <v>24.644715782746374</v>
      </c>
      <c r="AH25" s="593">
        <f t="shared" ca="1" si="17"/>
        <v>166</v>
      </c>
      <c r="AI25" s="590">
        <f t="shared" ca="1" si="18"/>
        <v>0.58289141189199145</v>
      </c>
      <c r="AJ25" s="591">
        <f t="shared" ca="1" si="19"/>
        <v>7.0945682809424506E-3</v>
      </c>
      <c r="AK25" s="592">
        <f t="shared" ca="1" si="20"/>
        <v>25.095157285680656</v>
      </c>
      <c r="AL25" s="590">
        <f t="shared" ca="1" si="21"/>
        <v>0.58299141792654008</v>
      </c>
      <c r="AM25" s="591">
        <f t="shared" ca="1" si="22"/>
        <v>7.0868125337583418E-3</v>
      </c>
      <c r="AN25" s="592">
        <f t="shared" ca="1" si="23"/>
        <v>25.093387476545661</v>
      </c>
      <c r="AO25" s="652"/>
      <c r="AP25" s="652"/>
      <c r="AQ25" s="652"/>
      <c r="AR25" s="652"/>
      <c r="AS25" s="652"/>
      <c r="AT25" s="652"/>
      <c r="AU25" s="652"/>
      <c r="AV25" s="652"/>
      <c r="AW25" s="652"/>
      <c r="AX25" s="652"/>
      <c r="AY25" s="101" t="s">
        <v>165</v>
      </c>
      <c r="AZ25" s="856">
        <f t="shared" si="9"/>
        <v>1</v>
      </c>
      <c r="BA25" s="721">
        <v>1</v>
      </c>
      <c r="BC25" s="43"/>
      <c r="BD25" s="2" t="s">
        <v>441</v>
      </c>
      <c r="BE25" s="44" t="s">
        <v>442</v>
      </c>
      <c r="BF25"/>
      <c r="BG25" s="51" t="s">
        <v>480</v>
      </c>
      <c r="BH25" s="50">
        <v>15</v>
      </c>
      <c r="BI25"/>
      <c r="BJ25" s="414" t="s">
        <v>167</v>
      </c>
      <c r="BK25" s="159"/>
      <c r="BL25"/>
      <c r="BQ25" s="16"/>
      <c r="BR25" s="16"/>
      <c r="BS25" s="16"/>
      <c r="BT25" s="16"/>
      <c r="BU25" s="16"/>
      <c r="BV25" s="16"/>
      <c r="BW25" s="16"/>
      <c r="BX25" s="16"/>
      <c r="BY25" s="16"/>
      <c r="CB25" s="15"/>
    </row>
    <row r="26" spans="1:80" ht="17.25" customHeight="1" thickBot="1" x14ac:dyDescent="0.35">
      <c r="A26" s="651"/>
      <c r="B26" s="73" t="s">
        <v>168</v>
      </c>
      <c r="C26" s="528">
        <f ca="1">IF(OPriceCurve,IF(OBuySell=OCallPut,CALC!BS3,CALC!BS5),CALC!BS4)</f>
        <v>32.659889647739881</v>
      </c>
      <c r="D26" s="652"/>
      <c r="E26" s="750" t="s">
        <v>169</v>
      </c>
      <c r="F26" s="525">
        <f ca="1">CALC!CI4</f>
        <v>538279.85130421782</v>
      </c>
      <c r="G26" s="652"/>
      <c r="H26" s="82" t="s">
        <v>170</v>
      </c>
      <c r="I26" s="525">
        <f ca="1">CALC!CP4</f>
        <v>58462.994718867267</v>
      </c>
      <c r="J26" s="652"/>
      <c r="K26" s="498"/>
      <c r="L26" s="499"/>
      <c r="M26" s="651"/>
      <c r="N26" s="828" t="s">
        <v>171</v>
      </c>
      <c r="O26" s="903">
        <v>1</v>
      </c>
      <c r="P26" s="868">
        <v>0.5</v>
      </c>
      <c r="Q26" s="868">
        <v>0.5</v>
      </c>
      <c r="R26" s="652"/>
      <c r="S26" s="69" t="str">
        <f t="shared" si="0"/>
        <v>Peak</v>
      </c>
      <c r="T26" s="65">
        <v>2300</v>
      </c>
      <c r="U26" s="145">
        <v>0</v>
      </c>
      <c r="V26" s="145">
        <v>0</v>
      </c>
      <c r="W26" s="145">
        <v>0</v>
      </c>
      <c r="X26" s="156">
        <v>0</v>
      </c>
      <c r="Y26" s="652"/>
      <c r="Z26" s="605">
        <f ca="1">CALC!A22</f>
        <v>36770</v>
      </c>
      <c r="AA26" s="593">
        <f t="shared" ca="1" si="10"/>
        <v>183</v>
      </c>
      <c r="AB26" s="590">
        <f t="shared" ca="1" si="11"/>
        <v>0.53022023825199882</v>
      </c>
      <c r="AC26" s="591">
        <f t="shared" ca="1" si="12"/>
        <v>1.4532163413854871E-2</v>
      </c>
      <c r="AD26" s="592">
        <f t="shared" ca="1" si="13"/>
        <v>26.890381761207564</v>
      </c>
      <c r="AE26" s="590">
        <f t="shared" ca="1" si="14"/>
        <v>0.53032025200919519</v>
      </c>
      <c r="AF26" s="591">
        <f t="shared" ca="1" si="15"/>
        <v>1.4502461040125343E-2</v>
      </c>
      <c r="AG26" s="592">
        <f t="shared" ca="1" si="16"/>
        <v>26.889455405061206</v>
      </c>
      <c r="AH26" s="593">
        <f t="shared" ca="1" si="17"/>
        <v>197</v>
      </c>
      <c r="AI26" s="590">
        <f t="shared" ca="1" si="18"/>
        <v>0.5802252359505069</v>
      </c>
      <c r="AJ26" s="591">
        <f t="shared" ca="1" si="19"/>
        <v>7.0127889346997029E-3</v>
      </c>
      <c r="AK26" s="592">
        <f t="shared" ca="1" si="20"/>
        <v>27.176548879969165</v>
      </c>
      <c r="AL26" s="590">
        <f t="shared" ca="1" si="21"/>
        <v>0.58032524638693661</v>
      </c>
      <c r="AM26" s="591">
        <f t="shared" ca="1" si="22"/>
        <v>7.0051148894179505E-3</v>
      </c>
      <c r="AN26" s="592">
        <f t="shared" ca="1" si="23"/>
        <v>27.174609847001786</v>
      </c>
      <c r="AO26" s="652"/>
      <c r="AP26" s="652"/>
      <c r="AQ26" s="652"/>
      <c r="AR26" s="652"/>
      <c r="AS26" s="652"/>
      <c r="AT26" s="652"/>
      <c r="AU26" s="652"/>
      <c r="AV26" s="652"/>
      <c r="AW26" s="652"/>
      <c r="AX26" s="652"/>
      <c r="AY26" s="101" t="s">
        <v>172</v>
      </c>
      <c r="AZ26" s="856">
        <f>BA26-1</f>
        <v>0</v>
      </c>
      <c r="BA26" s="721">
        <v>1</v>
      </c>
      <c r="BC26" s="43"/>
      <c r="BD26" s="2" t="s">
        <v>443</v>
      </c>
      <c r="BE26" s="44" t="s">
        <v>444</v>
      </c>
      <c r="BF26" s="12"/>
      <c r="BG26" s="51" t="s">
        <v>481</v>
      </c>
      <c r="BH26" s="50">
        <v>19</v>
      </c>
      <c r="BI26"/>
      <c r="BJ26" s="187" t="s">
        <v>60</v>
      </c>
      <c r="BK26" s="159"/>
      <c r="BL26"/>
      <c r="BQ26" s="16"/>
      <c r="BR26" s="15"/>
      <c r="BT26" s="29"/>
      <c r="BY26" s="16"/>
      <c r="CB26" s="15"/>
    </row>
    <row r="27" spans="1:80" ht="21" customHeight="1" thickBot="1" x14ac:dyDescent="0.35">
      <c r="A27" s="651"/>
      <c r="B27" s="661" t="s">
        <v>175</v>
      </c>
      <c r="C27" s="661"/>
      <c r="D27" s="661"/>
      <c r="E27" s="651"/>
      <c r="F27" s="651"/>
      <c r="G27" s="660"/>
      <c r="H27" s="651"/>
      <c r="I27" s="651"/>
      <c r="J27" s="652"/>
      <c r="K27" s="652"/>
      <c r="L27" s="652"/>
      <c r="M27" s="651"/>
      <c r="N27" s="828" t="s">
        <v>176</v>
      </c>
      <c r="O27" s="903">
        <v>1</v>
      </c>
      <c r="P27" s="868">
        <v>0.5</v>
      </c>
      <c r="Q27" s="868">
        <v>0.5</v>
      </c>
      <c r="R27" s="652"/>
      <c r="S27" s="70" t="str">
        <f t="shared" si="0"/>
        <v>Off-Peak</v>
      </c>
      <c r="T27" s="92">
        <v>2400</v>
      </c>
      <c r="U27" s="146">
        <v>0</v>
      </c>
      <c r="V27" s="146">
        <v>0</v>
      </c>
      <c r="W27" s="146">
        <v>0</v>
      </c>
      <c r="X27" s="157">
        <v>0</v>
      </c>
      <c r="Y27" s="652"/>
      <c r="Z27" s="605">
        <f ca="1">CALC!A23</f>
        <v>36800</v>
      </c>
      <c r="AA27" s="593">
        <f t="shared" ca="1" si="10"/>
        <v>213</v>
      </c>
      <c r="AB27" s="590">
        <f t="shared" ca="1" si="11"/>
        <v>0.52745668338597529</v>
      </c>
      <c r="AC27" s="591">
        <f t="shared" ca="1" si="12"/>
        <v>1.436360576295392E-2</v>
      </c>
      <c r="AD27" s="592">
        <f t="shared" ca="1" si="13"/>
        <v>28.841110639143295</v>
      </c>
      <c r="AE27" s="590">
        <f t="shared" ca="1" si="14"/>
        <v>0.52755668023010904</v>
      </c>
      <c r="AF27" s="591">
        <f t="shared" ca="1" si="15"/>
        <v>1.4334244938462408E-2</v>
      </c>
      <c r="AG27" s="592">
        <f t="shared" ca="1" si="16"/>
        <v>28.840105592266074</v>
      </c>
      <c r="AH27" s="593">
        <f t="shared" ca="1" si="17"/>
        <v>227</v>
      </c>
      <c r="AI27" s="590">
        <f t="shared" ca="1" si="18"/>
        <v>0.57746200475720777</v>
      </c>
      <c r="AJ27" s="591">
        <f t="shared" ca="1" si="19"/>
        <v>6.9285089074018931E-3</v>
      </c>
      <c r="AK27" s="592">
        <f t="shared" ca="1" si="20"/>
        <v>28.992687640656715</v>
      </c>
      <c r="AL27" s="590">
        <f t="shared" ca="1" si="21"/>
        <v>0.57756201241467209</v>
      </c>
      <c r="AM27" s="591">
        <f t="shared" ca="1" si="22"/>
        <v>6.9209188697099949E-3</v>
      </c>
      <c r="AN27" s="592">
        <f t="shared" ca="1" si="23"/>
        <v>28.990593922061368</v>
      </c>
      <c r="AO27" s="652"/>
      <c r="AP27" s="652"/>
      <c r="AQ27" s="652"/>
      <c r="AR27" s="652"/>
      <c r="AS27" s="652"/>
      <c r="AT27" s="652"/>
      <c r="AU27" s="652"/>
      <c r="AV27" s="652"/>
      <c r="AW27" s="652"/>
      <c r="AX27" s="652"/>
      <c r="AY27" s="101" t="s">
        <v>177</v>
      </c>
      <c r="AZ27" s="856">
        <f t="shared" si="9"/>
        <v>1</v>
      </c>
      <c r="BA27" s="721">
        <v>1</v>
      </c>
      <c r="BC27" s="43"/>
      <c r="BD27" s="2" t="s">
        <v>458</v>
      </c>
      <c r="BE27" s="44" t="s">
        <v>459</v>
      </c>
      <c r="BF27" s="12"/>
      <c r="BG27" s="51" t="s">
        <v>466</v>
      </c>
      <c r="BH27" s="50">
        <v>20</v>
      </c>
      <c r="BI27"/>
      <c r="BJ27" s="184" t="str">
        <f>PeakPeriod</f>
        <v>800-2300</v>
      </c>
      <c r="BK27" s="159"/>
      <c r="BL27"/>
      <c r="BQ27" s="16"/>
      <c r="BR27" s="16"/>
      <c r="BS27" s="16"/>
      <c r="BT27" s="16"/>
      <c r="BU27" s="16"/>
      <c r="BV27" s="16"/>
      <c r="BW27" s="16"/>
      <c r="BX27" s="16"/>
      <c r="BY27" s="16"/>
      <c r="CB27" s="15"/>
    </row>
    <row r="28" spans="1:80" ht="19.5" customHeight="1" thickBot="1" x14ac:dyDescent="0.35">
      <c r="A28" s="651"/>
      <c r="B28" s="754" t="str">
        <f>IF(OBuySell=1,IF(OCallPut=1,"ECT Can Deliver Gas, Take Power","ECT Can Deliver Power, Take Gas"),IF(OCallPut=1,"Counterparty Can Deliver Gas, Take Power","Counterparty Can Deliver Power, Take Gas"))</f>
        <v>Counterparty Can Deliver Gas, Take Power</v>
      </c>
      <c r="C28" s="220"/>
      <c r="D28" s="652"/>
      <c r="E28" s="669" t="s">
        <v>180</v>
      </c>
      <c r="F28" s="670"/>
      <c r="G28" s="652"/>
      <c r="H28" s="675" t="s">
        <v>181</v>
      </c>
      <c r="I28" s="685">
        <v>8000</v>
      </c>
      <c r="J28" s="652"/>
      <c r="K28" s="675" t="s">
        <v>182</v>
      </c>
      <c r="L28" s="838">
        <f ca="1">CALC!DL3</f>
        <v>8.4595414046766138</v>
      </c>
      <c r="M28" s="651"/>
      <c r="N28" s="828" t="s">
        <v>183</v>
      </c>
      <c r="O28" s="903">
        <v>1</v>
      </c>
      <c r="P28" s="868">
        <v>0.5</v>
      </c>
      <c r="Q28" s="868">
        <v>0.5</v>
      </c>
      <c r="R28" s="652"/>
      <c r="S28" s="652"/>
      <c r="T28" s="652"/>
      <c r="U28" s="652"/>
      <c r="V28" s="652"/>
      <c r="W28" s="652"/>
      <c r="X28" s="652"/>
      <c r="Y28" s="652"/>
      <c r="Z28" s="605">
        <f ca="1">CALC!A24</f>
        <v>36831</v>
      </c>
      <c r="AA28" s="593">
        <f t="shared" ca="1" si="10"/>
        <v>244</v>
      </c>
      <c r="AB28" s="590">
        <f t="shared" ca="1" si="11"/>
        <v>0.52476741016953499</v>
      </c>
      <c r="AC28" s="591">
        <f t="shared" ca="1" si="12"/>
        <v>1.4200311229196868E-2</v>
      </c>
      <c r="AD28" s="592">
        <f t="shared" ca="1" si="13"/>
        <v>30.691708972111215</v>
      </c>
      <c r="AE28" s="590">
        <f t="shared" ca="1" si="14"/>
        <v>0.52486741591062591</v>
      </c>
      <c r="AF28" s="591">
        <f t="shared" ca="1" si="15"/>
        <v>1.4171274324146664E-2</v>
      </c>
      <c r="AG28" s="592">
        <f t="shared" ca="1" si="16"/>
        <v>30.690627040699912</v>
      </c>
      <c r="AH28" s="593">
        <f t="shared" ca="1" si="17"/>
        <v>258</v>
      </c>
      <c r="AI28" s="590">
        <f t="shared" ca="1" si="18"/>
        <v>0.57477247479973348</v>
      </c>
      <c r="AJ28" s="591">
        <f t="shared" ca="1" si="19"/>
        <v>6.8469447523113449E-3</v>
      </c>
      <c r="AK28" s="592">
        <f t="shared" ca="1" si="20"/>
        <v>30.722340428428222</v>
      </c>
      <c r="AL28" s="590">
        <f t="shared" ca="1" si="21"/>
        <v>0.57487248847326677</v>
      </c>
      <c r="AM28" s="591">
        <f t="shared" ca="1" si="22"/>
        <v>6.8394358386751871E-3</v>
      </c>
      <c r="AN28" s="592">
        <f t="shared" ca="1" si="23"/>
        <v>30.720095237496075</v>
      </c>
      <c r="AO28" s="652"/>
      <c r="AP28" s="652"/>
      <c r="AQ28" s="652"/>
      <c r="AR28" s="652"/>
      <c r="AS28" s="652"/>
      <c r="AT28" s="652"/>
      <c r="AU28" s="652"/>
      <c r="AV28" s="652"/>
      <c r="AW28" s="652"/>
      <c r="AX28" s="652"/>
      <c r="AY28" s="101" t="s">
        <v>184</v>
      </c>
      <c r="AZ28" s="856">
        <f t="shared" si="9"/>
        <v>1</v>
      </c>
      <c r="BA28" s="721">
        <v>1</v>
      </c>
      <c r="BC28" s="43"/>
      <c r="BD28" s="43" t="s">
        <v>512</v>
      </c>
      <c r="BE28" s="44" t="s">
        <v>513</v>
      </c>
      <c r="BF28" s="12"/>
      <c r="BG28" s="51" t="s">
        <v>467</v>
      </c>
      <c r="BH28" s="50">
        <v>21</v>
      </c>
      <c r="BI28"/>
      <c r="BJ28" s="184" t="str">
        <f>OffPeakPeriod</f>
        <v>2400-700</v>
      </c>
      <c r="BK28" s="159"/>
      <c r="BL28"/>
      <c r="BQ28" s="16"/>
      <c r="BR28" s="15"/>
      <c r="BV28" s="15"/>
      <c r="BY28" s="16"/>
      <c r="CB28" s="15"/>
    </row>
    <row r="29" spans="1:80" ht="20.25" customHeight="1" thickBot="1" x14ac:dyDescent="0.35">
      <c r="A29" s="651"/>
      <c r="B29" s="669" t="s">
        <v>186</v>
      </c>
      <c r="C29" s="670"/>
      <c r="D29" s="652"/>
      <c r="E29" s="751" t="s">
        <v>187</v>
      </c>
      <c r="F29" s="752">
        <f ca="1">DateToday-IF(WEEKDAY(DateToday)=2,3,1)</f>
        <v>36586</v>
      </c>
      <c r="G29" s="652"/>
      <c r="H29" s="677" t="s">
        <v>188</v>
      </c>
      <c r="I29" s="877">
        <v>1</v>
      </c>
      <c r="J29" s="652"/>
      <c r="K29" s="739" t="s">
        <v>189</v>
      </c>
      <c r="L29" s="839">
        <f ca="1">CALC!DL4</f>
        <v>12.682584746172953</v>
      </c>
      <c r="M29" s="651"/>
      <c r="N29" s="828" t="s">
        <v>190</v>
      </c>
      <c r="O29" s="903">
        <v>1</v>
      </c>
      <c r="P29" s="868">
        <v>0.5</v>
      </c>
      <c r="Q29" s="868">
        <v>0.5</v>
      </c>
      <c r="R29" s="652"/>
      <c r="S29" s="149" t="s">
        <v>191</v>
      </c>
      <c r="T29" s="150"/>
      <c r="U29" s="151"/>
      <c r="V29" s="150"/>
      <c r="W29" s="150"/>
      <c r="X29" s="152"/>
      <c r="Y29" s="652"/>
      <c r="Z29" s="605">
        <f ca="1">CALC!A25</f>
        <v>36861</v>
      </c>
      <c r="AA29" s="593">
        <f t="shared" ca="1" si="10"/>
        <v>274</v>
      </c>
      <c r="AB29" s="590">
        <f t="shared" ca="1" si="11"/>
        <v>0.52197754782384254</v>
      </c>
      <c r="AC29" s="591">
        <f t="shared" ca="1" si="12"/>
        <v>1.4031956191180743E-2</v>
      </c>
      <c r="AD29" s="592">
        <f t="shared" ca="1" si="13"/>
        <v>32.329335411931751</v>
      </c>
      <c r="AE29" s="590">
        <f t="shared" ca="1" si="14"/>
        <v>0.52207755630724972</v>
      </c>
      <c r="AF29" s="591">
        <f t="shared" ca="1" si="15"/>
        <v>1.4003254918114201E-2</v>
      </c>
      <c r="AG29" s="592">
        <f t="shared" ca="1" si="16"/>
        <v>32.328182046224512</v>
      </c>
      <c r="AH29" s="593">
        <f t="shared" ca="1" si="17"/>
        <v>288</v>
      </c>
      <c r="AI29" s="590">
        <f t="shared" ca="1" si="18"/>
        <v>0.57198255538115306</v>
      </c>
      <c r="AJ29" s="591">
        <f t="shared" ca="1" si="19"/>
        <v>6.7628222065401582E-3</v>
      </c>
      <c r="AK29" s="592">
        <f t="shared" ca="1" si="20"/>
        <v>32.254722099703969</v>
      </c>
      <c r="AL29" s="590">
        <f t="shared" ca="1" si="21"/>
        <v>0.57208255540031316</v>
      </c>
      <c r="AM29" s="591">
        <f t="shared" ca="1" si="22"/>
        <v>6.7553988412328795E-3</v>
      </c>
      <c r="AN29" s="592">
        <f t="shared" ca="1" si="23"/>
        <v>32.252335927142788</v>
      </c>
      <c r="AO29" s="652"/>
      <c r="AP29" s="652"/>
      <c r="AQ29" s="652"/>
      <c r="AR29" s="652"/>
      <c r="AS29" s="652"/>
      <c r="AT29" s="652"/>
      <c r="AU29" s="652"/>
      <c r="AV29" s="652"/>
      <c r="AW29" s="652"/>
      <c r="AX29" s="652"/>
      <c r="AY29" s="101" t="s">
        <v>192</v>
      </c>
      <c r="AZ29" s="856">
        <f t="shared" si="9"/>
        <v>1</v>
      </c>
      <c r="BA29" s="721">
        <v>1</v>
      </c>
      <c r="BC29" s="43" t="s">
        <v>489</v>
      </c>
      <c r="BD29" s="2" t="s">
        <v>159</v>
      </c>
      <c r="BE29" s="44" t="s">
        <v>160</v>
      </c>
      <c r="BF29" s="12"/>
      <c r="BG29" s="51" t="s">
        <v>468</v>
      </c>
      <c r="BH29" s="50">
        <v>22</v>
      </c>
      <c r="BI29"/>
      <c r="BJ29" s="185" t="s">
        <v>196</v>
      </c>
      <c r="BK29" s="159"/>
      <c r="BL29"/>
      <c r="BQ29" s="16"/>
      <c r="BR29" s="15"/>
      <c r="BV29" s="15"/>
      <c r="BY29" s="16"/>
    </row>
    <row r="30" spans="1:80" ht="20.25" customHeight="1" thickBot="1" x14ac:dyDescent="0.35">
      <c r="A30" s="651"/>
      <c r="B30" s="73" t="s">
        <v>144</v>
      </c>
      <c r="C30" s="673"/>
      <c r="D30" s="652"/>
      <c r="E30" s="910" t="s">
        <v>197</v>
      </c>
      <c r="F30" s="686"/>
      <c r="G30" s="652"/>
      <c r="H30" s="675" t="s">
        <v>198</v>
      </c>
      <c r="I30" s="841">
        <v>0</v>
      </c>
      <c r="J30" s="652"/>
      <c r="K30" s="738" t="s">
        <v>199</v>
      </c>
      <c r="L30" s="840">
        <f ca="1">CALC!DL5</f>
        <v>9.2617566418483364</v>
      </c>
      <c r="M30" s="651"/>
      <c r="N30" s="828" t="s">
        <v>200</v>
      </c>
      <c r="O30" s="903">
        <v>1</v>
      </c>
      <c r="P30" s="868">
        <v>0.5</v>
      </c>
      <c r="Q30" s="868">
        <v>0.5</v>
      </c>
      <c r="R30" s="652"/>
      <c r="S30" s="153" t="s">
        <v>18</v>
      </c>
      <c r="T30" s="147" t="s">
        <v>19</v>
      </c>
      <c r="U30" s="147" t="s">
        <v>20</v>
      </c>
      <c r="V30" s="148" t="s">
        <v>21</v>
      </c>
      <c r="W30" s="148" t="s">
        <v>22</v>
      </c>
      <c r="X30" s="154" t="s">
        <v>23</v>
      </c>
      <c r="Y30" s="652"/>
      <c r="Z30" s="605">
        <f ca="1">CALC!A26</f>
        <v>36892</v>
      </c>
      <c r="AA30" s="593">
        <f t="shared" ca="1" si="10"/>
        <v>305</v>
      </c>
      <c r="AB30" s="590">
        <f t="shared" ca="1" si="11"/>
        <v>0.51916754600443882</v>
      </c>
      <c r="AC30" s="591">
        <f t="shared" ca="1" si="12"/>
        <v>1.3863405615711378E-2</v>
      </c>
      <c r="AD30" s="592">
        <f t="shared" ca="1" si="13"/>
        <v>33.902508370711814</v>
      </c>
      <c r="AE30" s="590">
        <f t="shared" ca="1" si="14"/>
        <v>0.51926755663978497</v>
      </c>
      <c r="AF30" s="591">
        <f t="shared" ca="1" si="15"/>
        <v>1.3835040787269427E-2</v>
      </c>
      <c r="AG30" s="592">
        <f t="shared" ca="1" si="16"/>
        <v>33.901284149934682</v>
      </c>
      <c r="AH30" s="593">
        <f t="shared" ca="1" si="17"/>
        <v>319</v>
      </c>
      <c r="AI30" s="590">
        <f t="shared" ca="1" si="18"/>
        <v>0.56917253769601073</v>
      </c>
      <c r="AJ30" s="591">
        <f t="shared" ca="1" si="19"/>
        <v>6.6785964282424486E-3</v>
      </c>
      <c r="AK30" s="592">
        <f t="shared" ca="1" si="20"/>
        <v>33.729227709897351</v>
      </c>
      <c r="AL30" s="590">
        <f t="shared" ca="1" si="21"/>
        <v>0.56927255438729085</v>
      </c>
      <c r="AM30" s="591">
        <f t="shared" ca="1" si="22"/>
        <v>6.671255983921813E-3</v>
      </c>
      <c r="AN30" s="592">
        <f t="shared" ca="1" si="23"/>
        <v>33.726700564541318</v>
      </c>
      <c r="AO30" s="652"/>
      <c r="AP30" s="652"/>
      <c r="AQ30" s="652"/>
      <c r="AR30" s="652"/>
      <c r="AS30" s="652"/>
      <c r="AT30" s="652"/>
      <c r="AU30" s="652"/>
      <c r="AV30" s="652"/>
      <c r="AW30" s="652"/>
      <c r="AX30" s="652"/>
      <c r="AY30" s="101" t="s">
        <v>201</v>
      </c>
      <c r="AZ30" s="856">
        <f t="shared" si="9"/>
        <v>1</v>
      </c>
      <c r="BA30" s="721">
        <v>1</v>
      </c>
      <c r="BC30" s="43" t="s">
        <v>490</v>
      </c>
      <c r="BD30" s="2" t="s">
        <v>461</v>
      </c>
      <c r="BE30" s="44" t="s">
        <v>166</v>
      </c>
      <c r="BF30" s="12"/>
      <c r="BG30" s="51" t="s">
        <v>469</v>
      </c>
      <c r="BH30" s="50">
        <v>23</v>
      </c>
      <c r="BI30"/>
      <c r="BK30" s="159"/>
      <c r="BL30"/>
      <c r="BQ30" s="16"/>
      <c r="BR30" s="15"/>
      <c r="BV30" s="15"/>
      <c r="BY30" s="16"/>
    </row>
    <row r="31" spans="1:80" ht="21" customHeight="1" thickBot="1" x14ac:dyDescent="0.35">
      <c r="A31" s="651"/>
      <c r="B31" s="76" t="s">
        <v>203</v>
      </c>
      <c r="C31" s="847">
        <v>0</v>
      </c>
      <c r="D31" s="652"/>
      <c r="E31" s="674" t="s">
        <v>154</v>
      </c>
      <c r="F31" s="174"/>
      <c r="G31" s="652"/>
      <c r="H31" s="676" t="s">
        <v>204</v>
      </c>
      <c r="I31" s="842">
        <v>0</v>
      </c>
      <c r="J31" s="652"/>
      <c r="K31" s="675" t="s">
        <v>205</v>
      </c>
      <c r="L31" s="678">
        <f ca="1">CALC!DY4</f>
        <v>14770.787857244342</v>
      </c>
      <c r="M31" s="651"/>
      <c r="N31" s="828" t="s">
        <v>206</v>
      </c>
      <c r="O31" s="903">
        <v>1</v>
      </c>
      <c r="P31" s="868">
        <v>0.5</v>
      </c>
      <c r="Q31" s="868">
        <v>0.5</v>
      </c>
      <c r="R31" s="652"/>
      <c r="S31" s="69" t="str">
        <f t="shared" ref="S31:S46" si="24">IF(OR(T31&lt;PeakStart,T31&gt;PeakEnd),"Off-Peak","Peak")</f>
        <v>Off-Peak</v>
      </c>
      <c r="T31" s="65">
        <v>100</v>
      </c>
      <c r="U31" s="144">
        <v>0</v>
      </c>
      <c r="V31" s="144">
        <v>0</v>
      </c>
      <c r="W31" s="144">
        <v>0</v>
      </c>
      <c r="X31" s="155">
        <v>0</v>
      </c>
      <c r="Y31" s="652"/>
      <c r="Z31" s="605">
        <f ca="1">CALC!A27</f>
        <v>36923</v>
      </c>
      <c r="AA31" s="593">
        <f t="shared" ca="1" si="10"/>
        <v>336</v>
      </c>
      <c r="AB31" s="590">
        <f t="shared" ca="1" si="11"/>
        <v>0.51660416196596159</v>
      </c>
      <c r="AC31" s="591">
        <f t="shared" ca="1" si="12"/>
        <v>1.371051304714358E-2</v>
      </c>
      <c r="AD31" s="592">
        <f t="shared" ca="1" si="13"/>
        <v>35.385819765393393</v>
      </c>
      <c r="AE31" s="590">
        <f t="shared" ca="1" si="14"/>
        <v>0.51670416612693937</v>
      </c>
      <c r="AF31" s="591">
        <f t="shared" ca="1" si="15"/>
        <v>1.3682454098086171E-2</v>
      </c>
      <c r="AG31" s="592">
        <f t="shared" ca="1" si="16"/>
        <v>35.384527816538437</v>
      </c>
      <c r="AH31" s="593">
        <f t="shared" ca="1" si="17"/>
        <v>350</v>
      </c>
      <c r="AI31" s="590">
        <f t="shared" ca="1" si="18"/>
        <v>0.56660911040566797</v>
      </c>
      <c r="AJ31" s="591">
        <f t="shared" ca="1" si="19"/>
        <v>6.6021990611854443E-3</v>
      </c>
      <c r="AK31" s="592">
        <f t="shared" ca="1" si="20"/>
        <v>35.122612144789649</v>
      </c>
      <c r="AL31" s="590">
        <f t="shared" ca="1" si="21"/>
        <v>0.56670910638876315</v>
      </c>
      <c r="AM31" s="591">
        <f t="shared" ca="1" si="22"/>
        <v>6.5949360261313532E-3</v>
      </c>
      <c r="AN31" s="592">
        <f t="shared" ca="1" si="23"/>
        <v>35.119950700948756</v>
      </c>
      <c r="AO31" s="652"/>
      <c r="AP31" s="652"/>
      <c r="AQ31" s="652"/>
      <c r="AR31" s="652"/>
      <c r="AS31" s="652"/>
      <c r="AT31" s="652"/>
      <c r="AU31" s="652"/>
      <c r="AV31" s="652"/>
      <c r="AW31" s="652"/>
      <c r="AX31" s="652"/>
      <c r="AY31" s="835" t="s">
        <v>207</v>
      </c>
      <c r="AZ31" s="857" t="b">
        <v>0</v>
      </c>
      <c r="BA31" s="179"/>
      <c r="BC31" s="43" t="s">
        <v>491</v>
      </c>
      <c r="BD31" s="2" t="s">
        <v>173</v>
      </c>
      <c r="BE31" s="44" t="s">
        <v>174</v>
      </c>
      <c r="BF31" s="12"/>
      <c r="BG31" s="51" t="s">
        <v>470</v>
      </c>
      <c r="BH31" s="50">
        <v>24</v>
      </c>
      <c r="BJ31" s="80" t="s">
        <v>210</v>
      </c>
      <c r="BK31" s="433" t="s">
        <v>211</v>
      </c>
      <c r="BL31" s="690"/>
      <c r="BM31" s="690"/>
      <c r="BN31" s="718">
        <v>0</v>
      </c>
      <c r="BQ31" s="16"/>
      <c r="BR31" s="15"/>
      <c r="BV31" s="33"/>
      <c r="BW31" s="32"/>
      <c r="BY31" s="16"/>
    </row>
    <row r="32" spans="1:80" ht="21" customHeight="1" thickBot="1" x14ac:dyDescent="0.35">
      <c r="A32" s="651"/>
      <c r="B32" s="76" t="s">
        <v>212</v>
      </c>
      <c r="C32" s="847">
        <v>0</v>
      </c>
      <c r="D32" s="652"/>
      <c r="E32" s="76" t="s">
        <v>213</v>
      </c>
      <c r="F32" s="681">
        <v>1</v>
      </c>
      <c r="G32" s="652"/>
      <c r="H32" s="676" t="s">
        <v>214</v>
      </c>
      <c r="I32" s="842">
        <v>0</v>
      </c>
      <c r="J32" s="652"/>
      <c r="K32" s="677" t="s">
        <v>215</v>
      </c>
      <c r="L32" s="684">
        <f ca="1">CALC!DY8</f>
        <v>7505.7563849029684</v>
      </c>
      <c r="M32" s="651"/>
      <c r="N32" s="828" t="s">
        <v>216</v>
      </c>
      <c r="O32" s="903">
        <v>1</v>
      </c>
      <c r="P32" s="868">
        <v>0.5</v>
      </c>
      <c r="Q32" s="868">
        <v>0.5</v>
      </c>
      <c r="R32" s="652"/>
      <c r="S32" s="69" t="str">
        <f t="shared" si="24"/>
        <v>Off-Peak</v>
      </c>
      <c r="T32" s="65">
        <v>200</v>
      </c>
      <c r="U32" s="144">
        <v>0</v>
      </c>
      <c r="V32" s="144">
        <v>0</v>
      </c>
      <c r="W32" s="144">
        <v>0</v>
      </c>
      <c r="X32" s="155">
        <v>0</v>
      </c>
      <c r="Y32" s="652"/>
      <c r="Z32" s="606">
        <f ca="1">CALC!A28</f>
        <v>36951</v>
      </c>
      <c r="AA32" s="594">
        <f t="shared" ca="1" si="10"/>
        <v>364</v>
      </c>
      <c r="AB32" s="595">
        <f t="shared" ca="1" si="11"/>
        <v>0.51379334984449598</v>
      </c>
      <c r="AC32" s="596">
        <f t="shared" ca="1" si="12"/>
        <v>1.3543799577006882E-2</v>
      </c>
      <c r="AD32" s="597">
        <f t="shared" ca="1" si="13"/>
        <v>36.60481608075068</v>
      </c>
      <c r="AE32" s="595">
        <f t="shared" ca="1" si="14"/>
        <v>0.51389335258197155</v>
      </c>
      <c r="AF32" s="596">
        <f t="shared" ca="1" si="15"/>
        <v>1.3516075935672488E-2</v>
      </c>
      <c r="AG32" s="597">
        <f t="shared" ca="1" si="16"/>
        <v>36.603463194449034</v>
      </c>
      <c r="AH32" s="594">
        <f t="shared" ca="1" si="17"/>
        <v>378</v>
      </c>
      <c r="AI32" s="595">
        <f t="shared" ca="1" si="18"/>
        <v>0.56379816770806568</v>
      </c>
      <c r="AJ32" s="596">
        <f t="shared" ca="1" si="19"/>
        <v>6.518906776384531E-3</v>
      </c>
      <c r="AK32" s="597">
        <f t="shared" ca="1" si="20"/>
        <v>36.263924168632784</v>
      </c>
      <c r="AL32" s="595">
        <f t="shared" ca="1" si="21"/>
        <v>0.56389817426481126</v>
      </c>
      <c r="AM32" s="596">
        <f t="shared" ca="1" si="22"/>
        <v>6.5117264824990917E-3</v>
      </c>
      <c r="AN32" s="597">
        <f t="shared" ca="1" si="23"/>
        <v>36.261140835998539</v>
      </c>
      <c r="AO32" s="652"/>
      <c r="AP32" s="652"/>
      <c r="AQ32" s="652"/>
      <c r="AR32" s="652"/>
      <c r="AS32" s="652"/>
      <c r="AT32" s="652"/>
      <c r="AU32" s="652"/>
      <c r="AV32" s="652"/>
      <c r="AW32" s="652"/>
      <c r="AX32" s="652"/>
      <c r="AY32" s="836" t="s">
        <v>217</v>
      </c>
      <c r="AZ32" s="858" t="b">
        <v>0</v>
      </c>
      <c r="BA32" s="837"/>
      <c r="BC32" s="43" t="s">
        <v>492</v>
      </c>
      <c r="BD32" s="2" t="s">
        <v>178</v>
      </c>
      <c r="BE32" s="44" t="s">
        <v>179</v>
      </c>
      <c r="BF32" s="12"/>
      <c r="BG32" s="51" t="s">
        <v>471</v>
      </c>
      <c r="BH32" s="50">
        <v>25</v>
      </c>
      <c r="BJ32" s="691" t="s">
        <v>220</v>
      </c>
      <c r="BK32" s="687" t="s">
        <v>221</v>
      </c>
      <c r="BL32" s="688"/>
      <c r="BM32" s="689"/>
      <c r="BN32" s="692"/>
      <c r="BQ32" s="16"/>
      <c r="BR32" s="16"/>
      <c r="BS32" s="16"/>
      <c r="BT32" s="16"/>
      <c r="BU32" s="16"/>
      <c r="BV32" s="16"/>
      <c r="BW32" s="16"/>
      <c r="BX32" s="16"/>
      <c r="BY32" s="16"/>
    </row>
    <row r="33" spans="1:79" ht="20.25" customHeight="1" thickBot="1" x14ac:dyDescent="0.35">
      <c r="A33" s="651"/>
      <c r="B33" s="76" t="s">
        <v>222</v>
      </c>
      <c r="C33" s="847">
        <v>0</v>
      </c>
      <c r="D33" s="652"/>
      <c r="E33" s="76" t="s">
        <v>223</v>
      </c>
      <c r="F33" s="540">
        <v>0</v>
      </c>
      <c r="G33" s="652"/>
      <c r="H33" s="675" t="s">
        <v>224</v>
      </c>
      <c r="I33" s="678" t="str">
        <f>IF(OVolType,"",CALC!DV4)</f>
        <v/>
      </c>
      <c r="J33" s="652"/>
      <c r="K33" s="675" t="s">
        <v>225</v>
      </c>
      <c r="L33" s="895">
        <f ca="1">CALC!EA10/CALC!EC10</f>
        <v>-0.58393829776003114</v>
      </c>
      <c r="M33" s="651"/>
      <c r="N33" s="828" t="s">
        <v>226</v>
      </c>
      <c r="O33" s="903">
        <v>1</v>
      </c>
      <c r="P33" s="868">
        <v>0.5</v>
      </c>
      <c r="Q33" s="868">
        <v>0.5</v>
      </c>
      <c r="R33" s="652"/>
      <c r="S33" s="69" t="str">
        <f t="shared" si="24"/>
        <v>Off-Peak</v>
      </c>
      <c r="T33" s="65">
        <v>300</v>
      </c>
      <c r="U33" s="144">
        <v>0</v>
      </c>
      <c r="V33" s="144">
        <v>0</v>
      </c>
      <c r="W33" s="144">
        <v>0</v>
      </c>
      <c r="X33" s="155">
        <v>0</v>
      </c>
      <c r="Y33" s="652"/>
      <c r="Z33" s="652"/>
      <c r="AA33" s="652"/>
      <c r="AB33" s="652"/>
      <c r="AC33" s="652"/>
      <c r="AD33" s="652"/>
      <c r="AE33" s="652"/>
      <c r="AF33" s="652"/>
      <c r="AG33" s="652"/>
      <c r="AH33" s="652"/>
      <c r="AI33" s="652"/>
      <c r="AJ33" s="652"/>
      <c r="AK33" s="652"/>
      <c r="AL33" s="652"/>
      <c r="AM33" s="652"/>
      <c r="AN33" s="652"/>
      <c r="AO33" s="652"/>
      <c r="AP33" s="652"/>
      <c r="AQ33" s="652"/>
      <c r="AR33" s="652"/>
      <c r="AS33" s="652"/>
      <c r="AT33" s="652"/>
      <c r="AU33" s="652"/>
      <c r="AV33" s="652"/>
      <c r="AW33" s="652"/>
      <c r="AX33" s="652"/>
      <c r="AY33"/>
      <c r="AZ33"/>
      <c r="BC33" s="43" t="s">
        <v>493</v>
      </c>
      <c r="BD33" s="2" t="s">
        <v>460</v>
      </c>
      <c r="BE33" s="44" t="s">
        <v>185</v>
      </c>
      <c r="BF33" s="12"/>
      <c r="BG33" s="51" t="s">
        <v>472</v>
      </c>
      <c r="BH33" s="50">
        <v>27</v>
      </c>
      <c r="BJ33" s="691" t="s">
        <v>229</v>
      </c>
      <c r="BK33" s="687" t="s">
        <v>230</v>
      </c>
      <c r="BL33" s="688"/>
      <c r="BM33" s="689"/>
      <c r="BN33" s="692"/>
      <c r="BQ33" s="16"/>
      <c r="BR33" s="16"/>
      <c r="BS33" s="16"/>
      <c r="BT33" s="16"/>
      <c r="BU33" s="16"/>
      <c r="BV33" s="16"/>
      <c r="BW33" s="16"/>
      <c r="BX33" s="16"/>
      <c r="BY33" s="16"/>
    </row>
    <row r="34" spans="1:79" ht="21" customHeight="1" thickBot="1" x14ac:dyDescent="0.35">
      <c r="A34" s="652"/>
      <c r="B34" s="82" t="s">
        <v>231</v>
      </c>
      <c r="C34" s="541">
        <v>0</v>
      </c>
      <c r="D34" s="652"/>
      <c r="E34" s="73" t="s">
        <v>232</v>
      </c>
      <c r="F34" s="680">
        <v>0</v>
      </c>
      <c r="G34" s="652"/>
      <c r="H34" s="676" t="s">
        <v>233</v>
      </c>
      <c r="I34" s="679" t="str">
        <f>IF(OVolType,"",CALC!DV8)</f>
        <v/>
      </c>
      <c r="J34" s="652"/>
      <c r="K34" s="677" t="s">
        <v>234</v>
      </c>
      <c r="L34" s="896">
        <f ca="1">CALC!DZ10/CALC!BR16</f>
        <v>0.51847324073069956</v>
      </c>
      <c r="M34" s="652"/>
      <c r="N34" s="828" t="s">
        <v>235</v>
      </c>
      <c r="O34" s="903">
        <v>1</v>
      </c>
      <c r="P34" s="868">
        <v>0.5</v>
      </c>
      <c r="Q34" s="868">
        <v>0.5</v>
      </c>
      <c r="R34" s="652"/>
      <c r="S34" s="69" t="str">
        <f t="shared" si="24"/>
        <v>Off-Peak</v>
      </c>
      <c r="T34" s="65">
        <v>400</v>
      </c>
      <c r="U34" s="144">
        <v>0</v>
      </c>
      <c r="V34" s="144">
        <v>0</v>
      </c>
      <c r="W34" s="144">
        <v>0</v>
      </c>
      <c r="X34" s="155">
        <v>0</v>
      </c>
      <c r="Y34" s="652"/>
      <c r="Z34" s="652"/>
      <c r="AA34" s="652"/>
      <c r="AB34" s="652"/>
      <c r="AC34" s="652"/>
      <c r="AD34" s="652"/>
      <c r="AE34" s="652"/>
      <c r="AF34" s="652"/>
      <c r="AG34" s="652"/>
      <c r="AH34" s="652"/>
      <c r="AI34" s="652"/>
      <c r="AJ34" s="652"/>
      <c r="AK34" s="652"/>
      <c r="AL34" s="652"/>
      <c r="AM34" s="652"/>
      <c r="AN34" s="652"/>
      <c r="AO34" s="652"/>
      <c r="AP34" s="652"/>
      <c r="AQ34" s="652"/>
      <c r="AR34" s="652"/>
      <c r="AS34" s="652"/>
      <c r="AT34" s="652"/>
      <c r="AU34" s="652"/>
      <c r="AV34" s="652"/>
      <c r="AW34" s="652"/>
      <c r="AX34" s="652"/>
      <c r="AY34"/>
      <c r="AZ34"/>
      <c r="BC34" s="43" t="s">
        <v>494</v>
      </c>
      <c r="BD34" s="2" t="s">
        <v>193</v>
      </c>
      <c r="BE34" s="44" t="s">
        <v>194</v>
      </c>
      <c r="BF34" s="12"/>
      <c r="BG34" s="51"/>
      <c r="BH34" s="50"/>
      <c r="BJ34" s="691" t="s">
        <v>237</v>
      </c>
      <c r="BK34" s="687" t="s">
        <v>238</v>
      </c>
      <c r="BL34" s="688"/>
      <c r="BM34" s="689"/>
      <c r="BN34" s="692"/>
      <c r="BQ34" s="16"/>
      <c r="BR34" s="15"/>
      <c r="BT34" s="29"/>
      <c r="BW34" s="16"/>
      <c r="BY34" s="16"/>
    </row>
    <row r="35" spans="1:79" ht="21" customHeight="1" thickBot="1" x14ac:dyDescent="0.35">
      <c r="A35" s="652"/>
      <c r="B35" s="652"/>
      <c r="C35" s="652"/>
      <c r="D35" s="652"/>
      <c r="E35" s="682" t="s">
        <v>239</v>
      </c>
      <c r="F35" s="879">
        <f ca="1">CALC!DX10</f>
        <v>560854.69588085334</v>
      </c>
      <c r="G35" s="652"/>
      <c r="H35" s="677" t="s">
        <v>240</v>
      </c>
      <c r="I35" s="684">
        <f ca="1">CALC!DV10</f>
        <v>741461.88503709587</v>
      </c>
      <c r="J35" s="652"/>
      <c r="K35" s="677" t="s">
        <v>241</v>
      </c>
      <c r="L35" s="684">
        <f ca="1">CALC!DW10</f>
        <v>560854.69588085299</v>
      </c>
      <c r="M35" s="652"/>
      <c r="N35" s="829" t="s">
        <v>242</v>
      </c>
      <c r="O35" s="904">
        <v>1</v>
      </c>
      <c r="P35" s="869">
        <v>0.5</v>
      </c>
      <c r="Q35" s="869">
        <v>0.5</v>
      </c>
      <c r="R35" s="652"/>
      <c r="S35" s="69" t="str">
        <f t="shared" si="24"/>
        <v>Off-Peak</v>
      </c>
      <c r="T35" s="65">
        <v>500</v>
      </c>
      <c r="U35" s="144">
        <v>0</v>
      </c>
      <c r="V35" s="144">
        <v>0</v>
      </c>
      <c r="W35" s="144">
        <v>0</v>
      </c>
      <c r="X35" s="155">
        <v>0</v>
      </c>
      <c r="Y35" s="652"/>
      <c r="Z35" s="652"/>
      <c r="AA35" s="652"/>
      <c r="AB35" s="652"/>
      <c r="AC35" s="652"/>
      <c r="AD35" s="652"/>
      <c r="AE35" s="652"/>
      <c r="AF35" s="652"/>
      <c r="AG35" s="652"/>
      <c r="AH35" s="652"/>
      <c r="AI35" s="652"/>
      <c r="AJ35" s="652"/>
      <c r="AK35" s="652"/>
      <c r="AL35" s="652"/>
      <c r="AM35" s="652"/>
      <c r="AN35" s="652"/>
      <c r="AO35" s="652"/>
      <c r="AP35" s="652"/>
      <c r="AQ35" s="652"/>
      <c r="AR35" s="652"/>
      <c r="AS35" s="652"/>
      <c r="AT35" s="652"/>
      <c r="AU35" s="652"/>
      <c r="AV35" s="652"/>
      <c r="AW35" s="652"/>
      <c r="AX35" s="652"/>
      <c r="AY35"/>
      <c r="AZ35"/>
      <c r="BC35" s="43" t="s">
        <v>495</v>
      </c>
      <c r="BD35" s="2" t="s">
        <v>456</v>
      </c>
      <c r="BE35" s="44" t="s">
        <v>202</v>
      </c>
      <c r="BF35" s="12"/>
      <c r="BG35" s="1001" t="s">
        <v>483</v>
      </c>
      <c r="BH35" s="1002">
        <v>29</v>
      </c>
      <c r="BJ35" s="691" t="s">
        <v>245</v>
      </c>
      <c r="BK35" s="687" t="s">
        <v>246</v>
      </c>
      <c r="BL35" s="688"/>
      <c r="BM35" s="689"/>
      <c r="BN35" s="692"/>
      <c r="BQ35" s="16"/>
      <c r="BR35" s="16"/>
      <c r="BS35" s="16"/>
      <c r="BT35" s="16"/>
      <c r="BU35" s="16"/>
      <c r="BV35" s="16"/>
      <c r="BW35" s="16"/>
      <c r="BX35" s="16"/>
      <c r="BY35" s="16"/>
    </row>
    <row r="36" spans="1:79" ht="21" customHeight="1" thickBot="1" x14ac:dyDescent="0.35">
      <c r="A36" s="652"/>
      <c r="B36" s="661" t="s">
        <v>247</v>
      </c>
      <c r="C36" s="652"/>
      <c r="D36" s="652"/>
      <c r="E36" s="652"/>
      <c r="F36" s="652"/>
      <c r="G36" s="652"/>
      <c r="H36" s="652"/>
      <c r="I36" s="652"/>
      <c r="J36" s="652"/>
      <c r="K36" s="652"/>
      <c r="L36" s="652"/>
      <c r="M36" s="652"/>
      <c r="N36" s="652"/>
      <c r="O36" s="652"/>
      <c r="P36" s="652"/>
      <c r="Q36" s="652"/>
      <c r="R36" s="652"/>
      <c r="S36" s="69" t="str">
        <f t="shared" si="24"/>
        <v>Off-Peak</v>
      </c>
      <c r="T36" s="65">
        <v>600</v>
      </c>
      <c r="U36" s="144">
        <v>0</v>
      </c>
      <c r="V36" s="144">
        <v>0</v>
      </c>
      <c r="W36" s="144">
        <v>0</v>
      </c>
      <c r="X36" s="155">
        <v>0</v>
      </c>
      <c r="Y36" s="652"/>
      <c r="Z36" s="652"/>
      <c r="AA36" s="652"/>
      <c r="AB36" s="652"/>
      <c r="AC36" s="652"/>
      <c r="AD36" s="652"/>
      <c r="AE36" s="652"/>
      <c r="AF36" s="652"/>
      <c r="AG36" s="652"/>
      <c r="AH36" s="652"/>
      <c r="AI36" s="652"/>
      <c r="AJ36" s="652"/>
      <c r="AK36" s="652"/>
      <c r="AL36" s="652"/>
      <c r="AM36" s="652"/>
      <c r="AN36" s="652"/>
      <c r="AO36" s="652"/>
      <c r="AP36" s="652"/>
      <c r="AQ36" s="652"/>
      <c r="AR36" s="652"/>
      <c r="AS36" s="652"/>
      <c r="AT36" s="652"/>
      <c r="AU36" s="652"/>
      <c r="AV36" s="652"/>
      <c r="AW36" s="652"/>
      <c r="AX36" s="652"/>
      <c r="AY36" s="149" t="s">
        <v>248</v>
      </c>
      <c r="AZ36" s="214"/>
      <c r="BC36" s="43" t="s">
        <v>496</v>
      </c>
      <c r="BD36" s="2" t="s">
        <v>208</v>
      </c>
      <c r="BE36" s="44" t="s">
        <v>209</v>
      </c>
      <c r="BF36" s="12"/>
      <c r="BG36" s="1001"/>
      <c r="BH36" s="1002"/>
      <c r="BJ36" s="691" t="s">
        <v>251</v>
      </c>
      <c r="BK36" s="687" t="s">
        <v>252</v>
      </c>
      <c r="BL36" s="688"/>
      <c r="BM36" s="689"/>
      <c r="BN36" s="692"/>
      <c r="BQ36" s="16"/>
      <c r="BY36" s="16"/>
    </row>
    <row r="37" spans="1:79" ht="21" customHeight="1" thickBot="1" x14ac:dyDescent="0.35">
      <c r="A37" s="652"/>
      <c r="B37" s="173"/>
      <c r="C37" s="174"/>
      <c r="D37" s="652"/>
      <c r="E37" s="177" t="s">
        <v>253</v>
      </c>
      <c r="F37" s="848">
        <v>30</v>
      </c>
      <c r="G37" s="652"/>
      <c r="H37" s="178" t="s">
        <v>254</v>
      </c>
      <c r="I37" s="849">
        <v>30</v>
      </c>
      <c r="J37" s="652"/>
      <c r="K37" s="683" t="s">
        <v>255</v>
      </c>
      <c r="L37" s="611">
        <f ca="1">CALC!CU3</f>
        <v>419179.83566641592</v>
      </c>
      <c r="M37" s="652"/>
      <c r="N37" s="884" t="s">
        <v>256</v>
      </c>
      <c r="O37" s="967" t="s">
        <v>451</v>
      </c>
      <c r="P37" s="967" t="s">
        <v>450</v>
      </c>
      <c r="Q37" s="885" t="s">
        <v>257</v>
      </c>
      <c r="R37" s="652"/>
      <c r="S37" s="69" t="str">
        <f t="shared" si="24"/>
        <v>Off-Peak</v>
      </c>
      <c r="T37" s="65">
        <v>700</v>
      </c>
      <c r="U37" s="144">
        <v>0</v>
      </c>
      <c r="V37" s="144">
        <v>0</v>
      </c>
      <c r="W37" s="144">
        <v>0</v>
      </c>
      <c r="X37" s="155">
        <v>0</v>
      </c>
      <c r="Y37" s="652"/>
      <c r="Z37" s="652"/>
      <c r="AA37" s="652"/>
      <c r="AB37" s="652"/>
      <c r="AC37" s="652"/>
      <c r="AD37" s="652"/>
      <c r="AE37" s="652"/>
      <c r="AF37" s="652"/>
      <c r="AG37" s="652"/>
      <c r="AH37" s="652"/>
      <c r="AI37" s="652"/>
      <c r="AJ37" s="652"/>
      <c r="AK37" s="652"/>
      <c r="AL37" s="652"/>
      <c r="AM37" s="652"/>
      <c r="AN37" s="652"/>
      <c r="AO37" s="652"/>
      <c r="AP37" s="652"/>
      <c r="AQ37" s="652"/>
      <c r="AR37" s="652"/>
      <c r="AS37" s="652"/>
      <c r="AT37" s="652"/>
      <c r="AU37" s="652"/>
      <c r="AV37" s="652"/>
      <c r="AW37" s="652"/>
      <c r="AX37" s="652"/>
      <c r="AY37" s="101">
        <v>1</v>
      </c>
      <c r="AZ37" s="58" t="b">
        <v>1</v>
      </c>
      <c r="BC37" s="43" t="s">
        <v>497</v>
      </c>
      <c r="BD37" s="2" t="s">
        <v>218</v>
      </c>
      <c r="BE37" s="44" t="s">
        <v>219</v>
      </c>
      <c r="BF37" s="12"/>
      <c r="BG37" s="1001"/>
      <c r="BH37" s="1002"/>
      <c r="BJ37" s="691" t="s">
        <v>259</v>
      </c>
      <c r="BK37" s="687" t="s">
        <v>260</v>
      </c>
      <c r="BL37" s="688"/>
      <c r="BM37" s="689"/>
      <c r="BN37" s="692"/>
      <c r="BQ37" s="16"/>
      <c r="BR37" s="15"/>
      <c r="BV37" s="15"/>
      <c r="BY37" s="16"/>
    </row>
    <row r="38" spans="1:79" ht="21" customHeight="1" thickBot="1" x14ac:dyDescent="0.35">
      <c r="A38" s="652"/>
      <c r="B38" s="169"/>
      <c r="C38" s="170"/>
      <c r="D38" s="652"/>
      <c r="E38" s="497" t="s">
        <v>261</v>
      </c>
      <c r="F38" s="504"/>
      <c r="G38" s="652"/>
      <c r="H38" s="497" t="s">
        <v>261</v>
      </c>
      <c r="I38" s="504"/>
      <c r="J38" s="652"/>
      <c r="K38" s="530" t="s">
        <v>105</v>
      </c>
      <c r="L38" s="613">
        <f ca="1">CALC!CU4</f>
        <v>7.1700027971905715</v>
      </c>
      <c r="M38" s="652"/>
      <c r="N38" s="880" t="s">
        <v>262</v>
      </c>
      <c r="O38" s="878">
        <f ca="1">(CALC!BI16+CALC!BJ16)*HeatRatePeak/1000/(1-GasTransportPercent)</f>
        <v>393088</v>
      </c>
      <c r="P38" s="878">
        <f ca="1">(CALC!BK16+CALC!BL16)*HeatRateOffPeak/1000/(1-GasTransportPercent)</f>
        <v>308096</v>
      </c>
      <c r="Q38" s="879">
        <f ca="1">O38+P38</f>
        <v>701184</v>
      </c>
      <c r="R38" s="652"/>
      <c r="S38" s="69" t="str">
        <f t="shared" si="24"/>
        <v>Peak</v>
      </c>
      <c r="T38" s="65">
        <v>800</v>
      </c>
      <c r="U38" s="144">
        <v>0</v>
      </c>
      <c r="V38" s="144">
        <v>0</v>
      </c>
      <c r="W38" s="144">
        <v>0</v>
      </c>
      <c r="X38" s="155">
        <v>0</v>
      </c>
      <c r="Y38" s="652"/>
      <c r="Z38" s="652"/>
      <c r="AA38" s="652"/>
      <c r="AB38" s="652"/>
      <c r="AC38" s="652"/>
      <c r="AD38" s="652"/>
      <c r="AE38" s="652"/>
      <c r="AF38" s="652"/>
      <c r="AG38" s="652"/>
      <c r="AH38" s="652"/>
      <c r="AI38" s="652"/>
      <c r="AJ38" s="652"/>
      <c r="AK38" s="652"/>
      <c r="AL38" s="652"/>
      <c r="AM38" s="652"/>
      <c r="AN38" s="652"/>
      <c r="AO38" s="652"/>
      <c r="AP38" s="652"/>
      <c r="AQ38" s="652"/>
      <c r="AR38" s="652"/>
      <c r="AS38" s="652"/>
      <c r="AT38" s="652"/>
      <c r="AU38" s="652"/>
      <c r="AV38" s="652"/>
      <c r="AW38" s="652"/>
      <c r="AX38" s="652"/>
      <c r="AY38" s="101">
        <v>2</v>
      </c>
      <c r="AZ38" s="58" t="b">
        <v>1</v>
      </c>
      <c r="BC38" s="43" t="s">
        <v>498</v>
      </c>
      <c r="BD38" s="2" t="s">
        <v>227</v>
      </c>
      <c r="BE38" s="44" t="s">
        <v>228</v>
      </c>
      <c r="BF38" s="12"/>
      <c r="BG38" s="1001"/>
      <c r="BH38" s="1002"/>
      <c r="BJ38" s="691" t="s">
        <v>264</v>
      </c>
      <c r="BK38" s="687" t="s">
        <v>265</v>
      </c>
      <c r="BL38" s="688"/>
      <c r="BM38" s="689"/>
      <c r="BN38" s="692"/>
      <c r="BQ38" s="16"/>
      <c r="BR38" s="15"/>
      <c r="BV38" s="15"/>
      <c r="BY38" s="16"/>
    </row>
    <row r="39" spans="1:79" ht="21" customHeight="1" thickBot="1" x14ac:dyDescent="0.35">
      <c r="A39" s="652"/>
      <c r="B39" s="163"/>
      <c r="C39" s="554">
        <v>0</v>
      </c>
      <c r="D39" s="652"/>
      <c r="E39" s="530" t="s">
        <v>114</v>
      </c>
      <c r="F39" s="540">
        <v>0</v>
      </c>
      <c r="G39" s="652"/>
      <c r="H39" s="530" t="s">
        <v>114</v>
      </c>
      <c r="I39" s="540">
        <v>0</v>
      </c>
      <c r="J39" s="652"/>
      <c r="K39" s="740" t="s">
        <v>199</v>
      </c>
      <c r="L39" s="630">
        <f ca="1">CALC!CU5</f>
        <v>5.2360636540583414</v>
      </c>
      <c r="M39" s="652"/>
      <c r="N39" s="880" t="s">
        <v>266</v>
      </c>
      <c r="O39" s="878">
        <f ca="1">(CALC!BY16+CALC!BZ16)*HeatRatePeak/1000/(1-GasTransportPercent)</f>
        <v>262235.37649852945</v>
      </c>
      <c r="P39" s="878">
        <f ca="1">(CALC!CA16+CALC!CC16)*HeatRateOffPeak/1000/(1-GasTransportPercent)</f>
        <v>205468.58125240888</v>
      </c>
      <c r="Q39" s="879">
        <f ca="1">O39+P39</f>
        <v>467703.95775093837</v>
      </c>
      <c r="R39" s="652"/>
      <c r="S39" s="69" t="str">
        <f t="shared" si="24"/>
        <v>Peak</v>
      </c>
      <c r="T39" s="65">
        <v>900</v>
      </c>
      <c r="U39" s="144">
        <v>0</v>
      </c>
      <c r="V39" s="144">
        <v>0</v>
      </c>
      <c r="W39" s="144">
        <v>0</v>
      </c>
      <c r="X39" s="155">
        <v>0</v>
      </c>
      <c r="Y39" s="652"/>
      <c r="Z39" s="652"/>
      <c r="AA39" s="652"/>
      <c r="AB39" s="652"/>
      <c r="AC39" s="652"/>
      <c r="AD39" s="652"/>
      <c r="AE39" s="652"/>
      <c r="AF39" s="652"/>
      <c r="AG39" s="652"/>
      <c r="AH39" s="652"/>
      <c r="AI39" s="652"/>
      <c r="AJ39" s="652"/>
      <c r="AK39" s="652"/>
      <c r="AL39" s="652"/>
      <c r="AM39" s="652"/>
      <c r="AN39" s="652"/>
      <c r="AO39" s="652"/>
      <c r="AP39" s="652"/>
      <c r="AQ39" s="652"/>
      <c r="AR39" s="652"/>
      <c r="AS39" s="652"/>
      <c r="AT39" s="652"/>
      <c r="AU39" s="652"/>
      <c r="AV39" s="652"/>
      <c r="AW39" s="652"/>
      <c r="AX39" s="652"/>
      <c r="AY39" s="101">
        <v>3</v>
      </c>
      <c r="AZ39" s="58" t="b">
        <v>1</v>
      </c>
      <c r="BC39" s="43" t="s">
        <v>499</v>
      </c>
      <c r="BD39" s="2" t="s">
        <v>462</v>
      </c>
      <c r="BE39" s="44" t="s">
        <v>236</v>
      </c>
      <c r="BG39" s="1001"/>
      <c r="BH39" s="1002"/>
      <c r="BJ39" s="691" t="s">
        <v>268</v>
      </c>
      <c r="BK39" s="687" t="s">
        <v>269</v>
      </c>
      <c r="BL39" s="688"/>
      <c r="BM39" s="689"/>
      <c r="BN39" s="692"/>
      <c r="BO39" s="34"/>
      <c r="BQ39" s="16"/>
      <c r="BR39" s="15"/>
      <c r="BV39" s="15"/>
      <c r="BY39" s="16"/>
    </row>
    <row r="40" spans="1:79" ht="21" customHeight="1" thickBot="1" x14ac:dyDescent="0.35">
      <c r="A40" s="652"/>
      <c r="B40" s="748" t="s">
        <v>270</v>
      </c>
      <c r="C40" s="745"/>
      <c r="D40" s="652"/>
      <c r="E40" s="530" t="s">
        <v>127</v>
      </c>
      <c r="F40" s="540">
        <v>0</v>
      </c>
      <c r="G40" s="652"/>
      <c r="H40" s="530" t="s">
        <v>127</v>
      </c>
      <c r="I40" s="540">
        <v>0</v>
      </c>
      <c r="J40" s="652"/>
      <c r="K40" s="652"/>
      <c r="L40" s="652"/>
      <c r="M40" s="652"/>
      <c r="N40" s="652"/>
      <c r="O40" s="652"/>
      <c r="P40" s="652"/>
      <c r="Q40" s="652"/>
      <c r="R40" s="652"/>
      <c r="S40" s="69" t="str">
        <f t="shared" si="24"/>
        <v>Peak</v>
      </c>
      <c r="T40" s="65">
        <v>1000</v>
      </c>
      <c r="U40" s="144">
        <v>0</v>
      </c>
      <c r="V40" s="144">
        <v>0</v>
      </c>
      <c r="W40" s="144">
        <v>0</v>
      </c>
      <c r="X40" s="155">
        <v>0</v>
      </c>
      <c r="Y40" s="652"/>
      <c r="Z40" s="652"/>
      <c r="AA40" s="652"/>
      <c r="AB40" s="652"/>
      <c r="AC40" s="652"/>
      <c r="AD40" s="652"/>
      <c r="AE40" s="652"/>
      <c r="AF40" s="652"/>
      <c r="AG40" s="652"/>
      <c r="AH40" s="652"/>
      <c r="AI40" s="652"/>
      <c r="AJ40" s="652"/>
      <c r="AK40" s="652"/>
      <c r="AL40" s="652"/>
      <c r="AM40" s="652"/>
      <c r="AN40" s="652"/>
      <c r="AO40" s="652"/>
      <c r="AP40" s="652"/>
      <c r="AQ40" s="652"/>
      <c r="AR40" s="652"/>
      <c r="AS40" s="652"/>
      <c r="AT40" s="652"/>
      <c r="AU40" s="652"/>
      <c r="AV40" s="652"/>
      <c r="AW40" s="652"/>
      <c r="AX40" s="652"/>
      <c r="AY40" s="101">
        <v>4</v>
      </c>
      <c r="AZ40" s="58" t="b">
        <v>1</v>
      </c>
      <c r="BC40" s="43" t="s">
        <v>500</v>
      </c>
      <c r="BD40" s="2" t="s">
        <v>243</v>
      </c>
      <c r="BE40" s="44" t="s">
        <v>244</v>
      </c>
      <c r="BG40" s="1001"/>
      <c r="BH40" s="1002"/>
      <c r="BJ40" s="691" t="s">
        <v>272</v>
      </c>
      <c r="BK40" s="687" t="s">
        <v>273</v>
      </c>
      <c r="BL40" s="688"/>
      <c r="BM40" s="689"/>
      <c r="BN40" s="692"/>
      <c r="BO40" s="16"/>
      <c r="BP40" s="16"/>
      <c r="BQ40" s="16"/>
      <c r="BR40" s="16"/>
      <c r="BS40" s="16"/>
      <c r="BT40" s="16"/>
      <c r="BU40" s="16"/>
      <c r="BV40" s="16"/>
      <c r="BW40" s="16"/>
      <c r="BX40" s="16"/>
      <c r="BY40" s="16"/>
    </row>
    <row r="41" spans="1:79" ht="21" customHeight="1" thickBot="1" x14ac:dyDescent="0.35">
      <c r="A41" s="652"/>
      <c r="B41" s="175" t="s">
        <v>103</v>
      </c>
      <c r="C41" s="176"/>
      <c r="D41" s="652"/>
      <c r="E41" s="530" t="s">
        <v>135</v>
      </c>
      <c r="F41" s="540">
        <v>0</v>
      </c>
      <c r="G41" s="652"/>
      <c r="H41" s="530" t="s">
        <v>135</v>
      </c>
      <c r="I41" s="540">
        <v>0</v>
      </c>
      <c r="J41" s="652"/>
      <c r="K41" s="450" t="s">
        <v>274</v>
      </c>
      <c r="L41" s="876">
        <v>0</v>
      </c>
      <c r="M41" s="652"/>
      <c r="N41" s="881" t="s">
        <v>275</v>
      </c>
      <c r="O41" s="882"/>
      <c r="P41" s="882"/>
      <c r="Q41" s="883"/>
      <c r="R41" s="652"/>
      <c r="S41" s="69" t="str">
        <f t="shared" si="24"/>
        <v>Peak</v>
      </c>
      <c r="T41" s="65">
        <v>1100</v>
      </c>
      <c r="U41" s="144">
        <v>0</v>
      </c>
      <c r="V41" s="144">
        <v>0</v>
      </c>
      <c r="W41" s="144">
        <v>0</v>
      </c>
      <c r="X41" s="155">
        <v>0</v>
      </c>
      <c r="Y41" s="652"/>
      <c r="Z41" s="652"/>
      <c r="AA41" s="652"/>
      <c r="AB41" s="652"/>
      <c r="AC41" s="652"/>
      <c r="AD41" s="652"/>
      <c r="AE41" s="652"/>
      <c r="AF41" s="652"/>
      <c r="AG41" s="652"/>
      <c r="AH41" s="652"/>
      <c r="AI41" s="652"/>
      <c r="AJ41" s="652"/>
      <c r="AK41" s="652"/>
      <c r="AL41" s="652"/>
      <c r="AM41" s="652"/>
      <c r="AN41" s="652"/>
      <c r="AO41" s="652"/>
      <c r="AP41" s="652"/>
      <c r="AQ41" s="652"/>
      <c r="AR41" s="652"/>
      <c r="AS41" s="652"/>
      <c r="AT41" s="652"/>
      <c r="AU41" s="652"/>
      <c r="AV41" s="652"/>
      <c r="AW41" s="652"/>
      <c r="AX41" s="652"/>
      <c r="AY41" s="101">
        <v>5</v>
      </c>
      <c r="AZ41" s="58" t="b">
        <v>1</v>
      </c>
      <c r="BC41" s="43" t="s">
        <v>501</v>
      </c>
      <c r="BD41" s="2" t="s">
        <v>249</v>
      </c>
      <c r="BE41" s="44" t="s">
        <v>250</v>
      </c>
      <c r="BG41" s="1001"/>
      <c r="BH41" s="1002"/>
      <c r="BJ41" s="693" t="s">
        <v>277</v>
      </c>
      <c r="BK41" s="694" t="s">
        <v>278</v>
      </c>
      <c r="BL41" s="695"/>
      <c r="BM41" s="696"/>
      <c r="BN41" s="697"/>
      <c r="CA41" s="15"/>
    </row>
    <row r="42" spans="1:79" ht="21" customHeight="1" thickBot="1" x14ac:dyDescent="0.35">
      <c r="A42" s="652"/>
      <c r="B42" s="749" t="s">
        <v>161</v>
      </c>
      <c r="C42" s="170"/>
      <c r="D42" s="652"/>
      <c r="E42" s="456" t="s">
        <v>145</v>
      </c>
      <c r="F42" s="541">
        <v>0</v>
      </c>
      <c r="G42" s="652"/>
      <c r="H42" s="456" t="s">
        <v>145</v>
      </c>
      <c r="I42" s="541">
        <v>0</v>
      </c>
      <c r="J42" s="652"/>
      <c r="K42" s="502"/>
      <c r="L42" s="503"/>
      <c r="M42" s="652"/>
      <c r="N42" s="887" t="s">
        <v>15</v>
      </c>
      <c r="O42" s="968" t="s">
        <v>451</v>
      </c>
      <c r="P42" s="968" t="s">
        <v>450</v>
      </c>
      <c r="Q42" s="888" t="s">
        <v>257</v>
      </c>
      <c r="R42" s="652"/>
      <c r="S42" s="69" t="str">
        <f t="shared" si="24"/>
        <v>Peak</v>
      </c>
      <c r="T42" s="65">
        <v>1200</v>
      </c>
      <c r="U42" s="144">
        <v>0</v>
      </c>
      <c r="V42" s="144">
        <v>0</v>
      </c>
      <c r="W42" s="144">
        <v>0</v>
      </c>
      <c r="X42" s="155">
        <v>0</v>
      </c>
      <c r="Y42" s="652"/>
      <c r="Z42" s="652"/>
      <c r="AA42" s="652"/>
      <c r="AB42" s="652"/>
      <c r="AC42" s="652"/>
      <c r="AD42" s="652"/>
      <c r="AE42" s="652"/>
      <c r="AF42" s="652"/>
      <c r="AG42" s="652"/>
      <c r="AH42" s="652"/>
      <c r="AI42" s="652"/>
      <c r="AJ42" s="652"/>
      <c r="AK42" s="652"/>
      <c r="AL42" s="652"/>
      <c r="AM42" s="652"/>
      <c r="AN42" s="652"/>
      <c r="AO42" s="652"/>
      <c r="AP42" s="652"/>
      <c r="AQ42" s="652"/>
      <c r="AR42" s="652"/>
      <c r="AS42" s="652"/>
      <c r="AT42" s="652"/>
      <c r="AU42" s="652"/>
      <c r="AV42" s="652"/>
      <c r="AW42" s="652"/>
      <c r="AX42" s="652"/>
      <c r="AY42" s="101">
        <v>6</v>
      </c>
      <c r="AZ42" s="58" t="b">
        <v>1</v>
      </c>
      <c r="BC42" s="43" t="s">
        <v>502</v>
      </c>
      <c r="BD42" s="2" t="s">
        <v>463</v>
      </c>
      <c r="BE42" s="44" t="s">
        <v>258</v>
      </c>
      <c r="BG42" s="1001"/>
      <c r="BH42" s="1002"/>
      <c r="BL42" s="159"/>
      <c r="BO42" s="16"/>
      <c r="BP42" s="16"/>
      <c r="BQ42" s="16"/>
    </row>
    <row r="43" spans="1:79" ht="17.25" customHeight="1" x14ac:dyDescent="0.25">
      <c r="A43" s="652"/>
      <c r="B43" s="652"/>
      <c r="C43" s="652"/>
      <c r="D43" s="652"/>
      <c r="E43" s="652"/>
      <c r="F43" s="652"/>
      <c r="G43" s="652"/>
      <c r="H43" s="652"/>
      <c r="I43" s="652"/>
      <c r="J43" s="652"/>
      <c r="K43" s="652"/>
      <c r="L43" s="652"/>
      <c r="M43" s="652"/>
      <c r="N43" s="969" t="s">
        <v>125</v>
      </c>
      <c r="O43" s="886">
        <f ca="1">IF((INDEX(CALC!AV$17:AV$292,12*(BegYear-YEAR(DateToday))+BegMonth-MONTH(DateToday)+MOD(N43-BegMonth,12))+INDEX(CALC!AW$17:AW$292,12*(BegYear-YEAR(DateToday))+BegMonth-MONTH(DateToday)+MOD(N43-BegMonth,12))),(INDEX(CALC!BI$17:BI$292,12*(BegYear-YEAR(DateToday))+BegMonth-MONTH(DateToday)+MOD(N43-BegMonth,12))+INDEX(CALC!BJ$17:BJ$292,12*(BegYear-YEAR(DateToday))+BegMonth-MONTH(DateToday)+MOD(N43-BegMonth,12)))*HeatRatePeak/1000/(INDEX(CALC!AV$17:AV$292,12*(BegYear-YEAR(DateToday))+BegMonth-MONTH(DateToday)+MOD(N43-BegMonth,12))+INDEX(CALC!AW$17:AW$292,12*(BegYear-YEAR(DateToday))+BegMonth-MONTH(DateToday)+MOD(N43-BegMonth,12)))/(1-GasTransportPercent),0)</f>
        <v>128</v>
      </c>
      <c r="P43" s="886">
        <f ca="1">(INDEX(CALC!BK17:BK292,12*(BegYear-YEAR(DateToday))+BegMonth-MONTH(DateToday)+MOD(1-BegMonth,12))+INDEX(CALC!BL17:BL292,12*(BegYear-YEAR(DateToday))+BegMonth-MONTH(DateToday)+MOD(1-BegMonth,12)))*HeatRateOffPeak/1000/31/(1-GasTransportPercent)</f>
        <v>84.645161290322577</v>
      </c>
      <c r="Q43" s="889">
        <f ca="1">((INDEX(CALC!BI17:BI292,12*(BegYear-YEAR(DateToday))+BegMonth-MONTH(DateToday)+MOD(1-BegMonth,12))+INDEX(CALC!BJ17:BJ292,12*(BegYear-YEAR(DateToday))+BegMonth-MONTH(DateToday)+MOD(1-BegMonth,12)))*HeatRatePeak+(INDEX(CALC!BK17:BK292,12*(BegYear-YEAR(DateToday))+BegMonth-MONTH(DateToday)+MOD(1-BegMonth,12))+INDEX(CALC!BL17:BL292,12*(BegYear-YEAR(DateToday))+BegMonth-MONTH(DateToday)+MOD(1-BegMonth,12)))*HeatRateOffPeak)/1000/31/(1-GasTransportPercent)</f>
        <v>192</v>
      </c>
      <c r="R43" s="652"/>
      <c r="S43" s="69" t="str">
        <f t="shared" si="24"/>
        <v>Peak</v>
      </c>
      <c r="T43" s="65">
        <v>1300</v>
      </c>
      <c r="U43" s="144">
        <v>0</v>
      </c>
      <c r="V43" s="144">
        <v>0</v>
      </c>
      <c r="W43" s="144">
        <v>0</v>
      </c>
      <c r="X43" s="155">
        <v>0</v>
      </c>
      <c r="Y43" s="652"/>
      <c r="Z43" s="652"/>
      <c r="AA43" s="652"/>
      <c r="AB43" s="652"/>
      <c r="AC43" s="652"/>
      <c r="AD43" s="652"/>
      <c r="AE43" s="652"/>
      <c r="AF43" s="652"/>
      <c r="AG43" s="652"/>
      <c r="AH43" s="652"/>
      <c r="AI43" s="652"/>
      <c r="AJ43" s="652"/>
      <c r="AK43" s="652"/>
      <c r="AL43" s="652"/>
      <c r="AM43" s="652"/>
      <c r="AN43" s="652"/>
      <c r="AO43" s="652"/>
      <c r="AP43" s="652"/>
      <c r="AQ43" s="652"/>
      <c r="AR43" s="652"/>
      <c r="AS43" s="652"/>
      <c r="AT43" s="652"/>
      <c r="AU43" s="652"/>
      <c r="AV43" s="652"/>
      <c r="AW43" s="652"/>
      <c r="AX43" s="652"/>
      <c r="AY43" s="101">
        <v>7</v>
      </c>
      <c r="AZ43" s="58" t="b">
        <v>1</v>
      </c>
      <c r="BC43" s="640" t="s">
        <v>269</v>
      </c>
      <c r="BD43" s="641" t="s">
        <v>503</v>
      </c>
      <c r="BE43" s="642" t="s">
        <v>504</v>
      </c>
      <c r="BG43" s="1001"/>
      <c r="BH43" s="1002"/>
      <c r="BJ43" s="478" t="s">
        <v>279</v>
      </c>
      <c r="BK43" s="479">
        <f>MONTH(BegDate)</f>
        <v>1</v>
      </c>
      <c r="BL43" s="159"/>
    </row>
    <row r="44" spans="1:79" ht="17.25" customHeight="1" thickBot="1" x14ac:dyDescent="0.3">
      <c r="A44" s="652"/>
      <c r="B44" s="652"/>
      <c r="C44" s="652"/>
      <c r="D44" s="652"/>
      <c r="E44" s="652"/>
      <c r="F44" s="652"/>
      <c r="G44" s="652"/>
      <c r="H44" s="652"/>
      <c r="I44" s="652"/>
      <c r="J44" s="652"/>
      <c r="K44" s="652"/>
      <c r="L44" s="652"/>
      <c r="M44" s="652"/>
      <c r="N44" s="969" t="s">
        <v>160</v>
      </c>
      <c r="O44" s="886">
        <f ca="1">IF((INDEX(CALC!AV$17:AV$292,12*(BegYear-YEAR(DateToday))+BegMonth-MONTH(DateToday)+MOD(N44-BegMonth,12))+INDEX(CALC!AW$17:AW$292,12*(BegYear-YEAR(DateToday))+BegMonth-MONTH(DateToday)+MOD(N44-BegMonth,12))),(INDEX(CALC!BI$17:BI$292,12*(BegYear-YEAR(DateToday))+BegMonth-MONTH(DateToday)+MOD(N44-BegMonth,12))+INDEX(CALC!BJ$17:BJ$292,12*(BegYear-YEAR(DateToday))+BegMonth-MONTH(DateToday)+MOD(N44-BegMonth,12)))*HeatRatePeak/1000/(INDEX(CALC!AV$17:AV$292,12*(BegYear-YEAR(DateToday))+BegMonth-MONTH(DateToday)+MOD(N44-BegMonth,12))+INDEX(CALC!AW$17:AW$292,12*(BegYear-YEAR(DateToday))+BegMonth-MONTH(DateToday)+MOD(N44-BegMonth,12)))/(1-GasTransportPercent),0)</f>
        <v>128</v>
      </c>
      <c r="P44" s="886">
        <f ca="1">(INDEX(CALC!BK17:BK292,12*(BegYear-YEAR(DateToday))+BegMonth-MONTH(DateToday)+MOD(2-BegMonth,12))+INDEX(CALC!BL17:BL292,12*(BegYear-YEAR(DateToday))+BegMonth-MONTH(DateToday)+MOD(2-BegMonth,12)))*HeatRateOffPeak/1000/28/(1-GasTransportPercent)</f>
        <v>82.285714285714292</v>
      </c>
      <c r="Q44" s="889">
        <f ca="1">((INDEX(CALC!BI17:BI292,12*(BegYear-YEAR(DateToday))+BegMonth-MONTH(DateToday)+MOD(2-BegMonth,12))+INDEX(CALC!BJ17:BJ292,12*(BegYear-YEAR(DateToday))+BegMonth-MONTH(DateToday)+MOD(2-BegMonth,12)))*HeatRatePeak+(INDEX(CALC!BK17:BK292,12*(BegYear-YEAR(DateToday))+BegMonth-MONTH(DateToday)+MOD(2-BegMonth,12))+INDEX(CALC!BL17:BL292,12*(BegYear-YEAR(DateToday))+BegMonth-MONTH(DateToday)+MOD(2-BegMonth,12)))*HeatRateOffPeak)/1000/28/(1-GasTransportPercent)</f>
        <v>192</v>
      </c>
      <c r="R44" s="652"/>
      <c r="S44" s="69" t="str">
        <f t="shared" si="24"/>
        <v>Peak</v>
      </c>
      <c r="T44" s="65">
        <v>1400</v>
      </c>
      <c r="U44" s="145">
        <v>0</v>
      </c>
      <c r="V44" s="145">
        <v>0</v>
      </c>
      <c r="W44" s="145">
        <v>0</v>
      </c>
      <c r="X44" s="156">
        <v>0</v>
      </c>
      <c r="Y44" s="652"/>
      <c r="Z44" s="652"/>
      <c r="AA44" s="652"/>
      <c r="AB44" s="652"/>
      <c r="AC44" s="652"/>
      <c r="AD44" s="652"/>
      <c r="AE44" s="652"/>
      <c r="AF44" s="652"/>
      <c r="AG44" s="652"/>
      <c r="AH44" s="652"/>
      <c r="AI44" s="652"/>
      <c r="AJ44" s="652"/>
      <c r="AK44" s="652"/>
      <c r="AL44" s="652"/>
      <c r="AM44" s="652"/>
      <c r="AN44" s="652"/>
      <c r="AO44" s="652"/>
      <c r="AP44" s="652"/>
      <c r="AQ44" s="652"/>
      <c r="AR44" s="652"/>
      <c r="AS44" s="652"/>
      <c r="AT44" s="652"/>
      <c r="AU44" s="652"/>
      <c r="AV44" s="652"/>
      <c r="AW44" s="652"/>
      <c r="AX44" s="652"/>
      <c r="AY44" s="101">
        <v>8</v>
      </c>
      <c r="AZ44" s="58" t="b">
        <v>1</v>
      </c>
      <c r="BC44" s="640" t="s">
        <v>505</v>
      </c>
      <c r="BD44" s="641" t="s">
        <v>464</v>
      </c>
      <c r="BE44" s="642" t="s">
        <v>263</v>
      </c>
      <c r="BG44" s="52"/>
      <c r="BH44" s="645"/>
      <c r="BJ44" s="25" t="s">
        <v>280</v>
      </c>
      <c r="BK44" s="38">
        <f>YEAR(BegDate)</f>
        <v>2001</v>
      </c>
      <c r="BL44" s="159"/>
    </row>
    <row r="45" spans="1:79" ht="17.25" customHeight="1" thickBot="1" x14ac:dyDescent="0.3">
      <c r="A45" s="652"/>
      <c r="B45" s="652"/>
      <c r="C45" s="652"/>
      <c r="D45" s="652"/>
      <c r="E45" s="652"/>
      <c r="F45" s="652"/>
      <c r="G45" s="652"/>
      <c r="H45" s="652"/>
      <c r="I45" s="652"/>
      <c r="J45" s="652"/>
      <c r="K45" s="652"/>
      <c r="L45" s="652"/>
      <c r="M45" s="652"/>
      <c r="N45" s="969" t="s">
        <v>179</v>
      </c>
      <c r="O45" s="886">
        <f ca="1">IF((INDEX(CALC!AV$17:AV$292,12*(BegYear-YEAR(DateToday))+BegMonth-MONTH(DateToday)+MOD(N45-BegMonth,12))+INDEX(CALC!AW$17:AW$292,12*(BegYear-YEAR(DateToday))+BegMonth-MONTH(DateToday)+MOD(N45-BegMonth,12))),(INDEX(CALC!BI$17:BI$292,12*(BegYear-YEAR(DateToday))+BegMonth-MONTH(DateToday)+MOD(N45-BegMonth,12))+INDEX(CALC!BJ$17:BJ$292,12*(BegYear-YEAR(DateToday))+BegMonth-MONTH(DateToday)+MOD(N45-BegMonth,12)))*HeatRatePeak/1000/(INDEX(CALC!AV$17:AV$292,12*(BegYear-YEAR(DateToday))+BegMonth-MONTH(DateToday)+MOD(N45-BegMonth,12))+INDEX(CALC!AW$17:AW$292,12*(BegYear-YEAR(DateToday))+BegMonth-MONTH(DateToday)+MOD(N45-BegMonth,12)))/(1-GasTransportPercent),0)</f>
        <v>128</v>
      </c>
      <c r="P45" s="886">
        <f ca="1">(INDEX(CALC!BK17:BK292,12*(BegYear-YEAR(DateToday))+BegMonth-MONTH(DateToday)+MOD(3-BegMonth,12))+INDEX(CALC!BL17:BL292,12*(BegYear-YEAR(DateToday))+BegMonth-MONTH(DateToday)+MOD(3-BegMonth,12)))*HeatRateOffPeak/1000/31/(1-GasTransportPercent)</f>
        <v>80.516129032258064</v>
      </c>
      <c r="Q45" s="889">
        <f ca="1">((INDEX(CALC!BI17:BI292,12*(BegYear-YEAR(DateToday))+BegMonth-MONTH(DateToday)+MOD(3-BegMonth,12))+INDEX(CALC!BJ17:BJ292,12*(BegYear-YEAR(DateToday))+BegMonth-MONTH(DateToday)+MOD(3-BegMonth,12)))*HeatRatePeak+(INDEX(CALC!BK17:BK292,12*(BegYear-YEAR(DateToday))+BegMonth-MONTH(DateToday)+MOD(3-BegMonth,12))+INDEX(CALC!BL17:BL292,12*(BegYear-YEAR(DateToday))+BegMonth-MONTH(DateToday)+MOD(3-BegMonth,12)))*HeatRateOffPeak)/1000/31/(1-GasTransportPercent)</f>
        <v>192</v>
      </c>
      <c r="R45" s="652"/>
      <c r="S45" s="69" t="str">
        <f t="shared" si="24"/>
        <v>Peak</v>
      </c>
      <c r="T45" s="65">
        <v>1500</v>
      </c>
      <c r="U45" s="145">
        <v>0</v>
      </c>
      <c r="V45" s="145">
        <v>0</v>
      </c>
      <c r="W45" s="145">
        <v>0</v>
      </c>
      <c r="X45" s="156">
        <v>0</v>
      </c>
      <c r="Y45" s="652"/>
      <c r="Z45" s="652"/>
      <c r="AA45" s="652"/>
      <c r="AB45" s="652"/>
      <c r="AC45" s="652"/>
      <c r="AD45" s="652"/>
      <c r="AE45" s="652"/>
      <c r="AF45" s="652"/>
      <c r="AG45" s="652"/>
      <c r="AH45" s="652"/>
      <c r="AI45" s="652"/>
      <c r="AJ45" s="652"/>
      <c r="AK45" s="652"/>
      <c r="AL45" s="652"/>
      <c r="AM45" s="652"/>
      <c r="AN45" s="652"/>
      <c r="AO45" s="652"/>
      <c r="AP45" s="652"/>
      <c r="AQ45" s="652"/>
      <c r="AR45" s="652"/>
      <c r="AS45" s="652"/>
      <c r="AT45" s="652"/>
      <c r="AU45" s="652"/>
      <c r="AV45" s="652"/>
      <c r="AW45" s="652"/>
      <c r="AX45" s="652"/>
      <c r="AY45" s="101">
        <v>9</v>
      </c>
      <c r="AZ45" s="58" t="b">
        <v>1</v>
      </c>
      <c r="BC45" s="640" t="s">
        <v>506</v>
      </c>
      <c r="BD45" s="641" t="s">
        <v>267</v>
      </c>
      <c r="BE45" s="642">
        <v>9</v>
      </c>
      <c r="BG45" s="1000" t="s">
        <v>195</v>
      </c>
      <c r="BJ45" s="13"/>
      <c r="BK45" s="13"/>
      <c r="BL45" s="159"/>
    </row>
    <row r="46" spans="1:79" ht="17.25" customHeight="1" thickBot="1" x14ac:dyDescent="0.3">
      <c r="A46" s="652"/>
      <c r="B46" s="652"/>
      <c r="C46" s="652"/>
      <c r="D46" s="652"/>
      <c r="E46" s="652"/>
      <c r="F46" s="652"/>
      <c r="G46" s="652"/>
      <c r="H46" s="652"/>
      <c r="I46" s="652"/>
      <c r="J46" s="652"/>
      <c r="K46" s="652"/>
      <c r="L46" s="652"/>
      <c r="M46" s="652"/>
      <c r="N46" s="969" t="s">
        <v>202</v>
      </c>
      <c r="O46" s="886">
        <f ca="1">IF((INDEX(CALC!AV$17:AV$292,12*(BegYear-YEAR(DateToday))+BegMonth-MONTH(DateToday)+MOD(N46-BegMonth,12))+INDEX(CALC!AW$17:AW$292,12*(BegYear-YEAR(DateToday))+BegMonth-MONTH(DateToday)+MOD(N46-BegMonth,12))),(INDEX(CALC!BI$17:BI$292,12*(BegYear-YEAR(DateToday))+BegMonth-MONTH(DateToday)+MOD(N46-BegMonth,12))+INDEX(CALC!BJ$17:BJ$292,12*(BegYear-YEAR(DateToday))+BegMonth-MONTH(DateToday)+MOD(N46-BegMonth,12)))*HeatRatePeak/1000/(INDEX(CALC!AV$17:AV$292,12*(BegYear-YEAR(DateToday))+BegMonth-MONTH(DateToday)+MOD(N46-BegMonth,12))+INDEX(CALC!AW$17:AW$292,12*(BegYear-YEAR(DateToday))+BegMonth-MONTH(DateToday)+MOD(N46-BegMonth,12)))/(1-GasTransportPercent),0)</f>
        <v>128</v>
      </c>
      <c r="P46" s="886">
        <f ca="1">(INDEX(CALC!BK17:BK292,12*(BegYear-YEAR(DateToday))+BegMonth-MONTH(DateToday)+MOD(4-BegMonth,12))+INDEX(CALC!BL17:BL292,12*(BegYear-YEAR(DateToday))+BegMonth-MONTH(DateToday)+MOD(4-BegMonth,12)))*HeatRateOffPeak/1000/30/(1-GasTransportPercent)</f>
        <v>85.333333333333329</v>
      </c>
      <c r="Q46" s="889">
        <f ca="1">((INDEX(CALC!BI17:BI292,12*(BegYear-YEAR(DateToday))+BegMonth-MONTH(DateToday)+MOD(4-BegMonth,12))+INDEX(CALC!BJ17:BJ292,12*(BegYear-YEAR(DateToday))+BegMonth-MONTH(DateToday)+MOD(4-BegMonth,12)))*HeatRatePeak+(INDEX(CALC!BK17:BK292,12*(BegYear-YEAR(DateToday))+BegMonth-MONTH(DateToday)+MOD(4-BegMonth,12))+INDEX(CALC!BL17:BL292,12*(BegYear-YEAR(DateToday))+BegMonth-MONTH(DateToday)+MOD(4-BegMonth,12)))*HeatRateOffPeak)/1000/30/(1-GasTransportPercent)</f>
        <v>192</v>
      </c>
      <c r="R46" s="652"/>
      <c r="S46" s="69" t="str">
        <f t="shared" si="24"/>
        <v>Peak</v>
      </c>
      <c r="T46" s="65">
        <v>1600</v>
      </c>
      <c r="U46" s="145">
        <v>0</v>
      </c>
      <c r="V46" s="145">
        <v>0</v>
      </c>
      <c r="W46" s="145">
        <v>0</v>
      </c>
      <c r="X46" s="156">
        <v>0</v>
      </c>
      <c r="Y46" s="652"/>
      <c r="Z46" s="652"/>
      <c r="AA46" s="652"/>
      <c r="AB46" s="652"/>
      <c r="AC46" s="652"/>
      <c r="AD46" s="652"/>
      <c r="AE46" s="652"/>
      <c r="AF46" s="652"/>
      <c r="AG46" s="652"/>
      <c r="AH46" s="652"/>
      <c r="AI46" s="652"/>
      <c r="AJ46" s="652"/>
      <c r="AK46" s="652"/>
      <c r="AL46" s="652"/>
      <c r="AM46" s="652"/>
      <c r="AN46" s="652"/>
      <c r="AO46" s="652"/>
      <c r="AP46" s="652"/>
      <c r="AQ46" s="652"/>
      <c r="AR46" s="652"/>
      <c r="AS46" s="652"/>
      <c r="AT46" s="652"/>
      <c r="AU46" s="652"/>
      <c r="AV46" s="652"/>
      <c r="AW46" s="652"/>
      <c r="AX46" s="652"/>
      <c r="AY46" s="101">
        <v>10</v>
      </c>
      <c r="AZ46" s="58" t="b">
        <v>1</v>
      </c>
      <c r="BC46" s="640" t="s">
        <v>507</v>
      </c>
      <c r="BD46" s="641" t="s">
        <v>271</v>
      </c>
      <c r="BE46" s="642">
        <v>10</v>
      </c>
      <c r="BJ46" s="639" t="s">
        <v>484</v>
      </c>
      <c r="BK46" s="722" t="s">
        <v>511</v>
      </c>
      <c r="BL46" s="159"/>
    </row>
    <row r="47" spans="1:79" ht="17.25" customHeight="1" x14ac:dyDescent="0.25">
      <c r="A47" s="652"/>
      <c r="B47" s="652"/>
      <c r="C47" s="652"/>
      <c r="D47" s="652"/>
      <c r="E47" s="652"/>
      <c r="F47" s="652"/>
      <c r="G47" s="652"/>
      <c r="H47" s="652"/>
      <c r="I47" s="652"/>
      <c r="J47" s="652"/>
      <c r="K47" s="652"/>
      <c r="L47" s="652"/>
      <c r="M47" s="652"/>
      <c r="N47" s="969" t="s">
        <v>236</v>
      </c>
      <c r="O47" s="886">
        <f ca="1">IF((INDEX(CALC!AV$17:AV$292,12*(BegYear-YEAR(DateToday))+BegMonth-MONTH(DateToday)+MOD(N47-BegMonth,12))+INDEX(CALC!AW$17:AW$292,12*(BegYear-YEAR(DateToday))+BegMonth-MONTH(DateToday)+MOD(N47-BegMonth,12))),(INDEX(CALC!BI$17:BI$292,12*(BegYear-YEAR(DateToday))+BegMonth-MONTH(DateToday)+MOD(N47-BegMonth,12))+INDEX(CALC!BJ$17:BJ$292,12*(BegYear-YEAR(DateToday))+BegMonth-MONTH(DateToday)+MOD(N47-BegMonth,12)))*HeatRatePeak/1000/(INDEX(CALC!AV$17:AV$292,12*(BegYear-YEAR(DateToday))+BegMonth-MONTH(DateToday)+MOD(N47-BegMonth,12))+INDEX(CALC!AW$17:AW$292,12*(BegYear-YEAR(DateToday))+BegMonth-MONTH(DateToday)+MOD(N47-BegMonth,12)))/(1-GasTransportPercent),0)</f>
        <v>128</v>
      </c>
      <c r="P47" s="886">
        <f ca="1">(INDEX(CALC!BK17:BK292,12*(BegYear-YEAR(DateToday))+BegMonth-MONTH(DateToday)+MOD(5-BegMonth,12))+INDEX(CALC!BL17:BL292,12*(BegYear-YEAR(DateToday))+BegMonth-MONTH(DateToday)+MOD(5-BegMonth,12)))*HeatRateOffPeak/1000/31/(1-GasTransportPercent)</f>
        <v>84.645161290322577</v>
      </c>
      <c r="Q47" s="889">
        <f ca="1">((INDEX(CALC!BI17:BI292,12*(BegYear-YEAR(DateToday))+BegMonth-MONTH(DateToday)+MOD(5-BegMonth,12))+INDEX(CALC!BJ17:BJ292,12*(BegYear-YEAR(DateToday))+BegMonth-MONTH(DateToday)+MOD(5-BegMonth,12)))*HeatRatePeak+(INDEX(CALC!BK17:BK292,12*(BegYear-YEAR(DateToday))+BegMonth-MONTH(DateToday)+MOD(5-BegMonth,12))+INDEX(CALC!BL17:BL292,12*(BegYear-YEAR(DateToday))+BegMonth-MONTH(DateToday)+MOD(5-BegMonth,12)))*HeatRateOffPeak)/1000/31/(1-GasTransportPercent)</f>
        <v>192</v>
      </c>
      <c r="R47" s="652"/>
      <c r="S47" s="69" t="str">
        <f t="shared" ref="S47:S54" si="25">IF(OR(T47&lt;PeakStart,T47&gt;PeakEnd),"Off-Peak","Peak")</f>
        <v>Peak</v>
      </c>
      <c r="T47" s="65">
        <v>1700</v>
      </c>
      <c r="U47" s="145">
        <v>0</v>
      </c>
      <c r="V47" s="145">
        <v>0</v>
      </c>
      <c r="W47" s="145">
        <v>0</v>
      </c>
      <c r="X47" s="156">
        <v>0</v>
      </c>
      <c r="Y47" s="652"/>
      <c r="Z47" s="652"/>
      <c r="AA47" s="652"/>
      <c r="AB47" s="652"/>
      <c r="AC47" s="652"/>
      <c r="AD47" s="652"/>
      <c r="AE47" s="652"/>
      <c r="AF47" s="652"/>
      <c r="AG47" s="652"/>
      <c r="AH47" s="652"/>
      <c r="AI47" s="652"/>
      <c r="AJ47" s="652"/>
      <c r="AK47" s="652"/>
      <c r="AL47" s="652"/>
      <c r="AM47" s="652"/>
      <c r="AN47" s="652"/>
      <c r="AO47" s="652"/>
      <c r="AP47" s="652"/>
      <c r="AQ47" s="652"/>
      <c r="AR47" s="652"/>
      <c r="AS47" s="652"/>
      <c r="AT47" s="652"/>
      <c r="AU47" s="652"/>
      <c r="AV47" s="652"/>
      <c r="AW47" s="652"/>
      <c r="AX47" s="652"/>
      <c r="AY47" s="101">
        <v>11</v>
      </c>
      <c r="AZ47" s="58" t="b">
        <v>1</v>
      </c>
      <c r="BC47" s="640" t="s">
        <v>508</v>
      </c>
      <c r="BD47" s="641" t="s">
        <v>276</v>
      </c>
      <c r="BE47" s="642">
        <v>11</v>
      </c>
      <c r="BL47" s="159"/>
    </row>
    <row r="48" spans="1:79" ht="17.25" customHeight="1" thickBot="1" x14ac:dyDescent="0.3">
      <c r="A48" s="652"/>
      <c r="B48" s="652"/>
      <c r="C48" s="652"/>
      <c r="D48" s="652"/>
      <c r="E48" s="652"/>
      <c r="F48" s="652"/>
      <c r="G48" s="652"/>
      <c r="H48" s="652"/>
      <c r="I48" s="652"/>
      <c r="J48" s="652"/>
      <c r="K48" s="652"/>
      <c r="L48" s="652"/>
      <c r="M48" s="652"/>
      <c r="N48" s="969" t="s">
        <v>250</v>
      </c>
      <c r="O48" s="886">
        <f ca="1">IF((INDEX(CALC!AV$17:AV$292,12*(BegYear-YEAR(DateToday))+BegMonth-MONTH(DateToday)+MOD(N48-BegMonth,12))+INDEX(CALC!AW$17:AW$292,12*(BegYear-YEAR(DateToday))+BegMonth-MONTH(DateToday)+MOD(N48-BegMonth,12))),(INDEX(CALC!BI$17:BI$292,12*(BegYear-YEAR(DateToday))+BegMonth-MONTH(DateToday)+MOD(N48-BegMonth,12))+INDEX(CALC!BJ$17:BJ$292,12*(BegYear-YEAR(DateToday))+BegMonth-MONTH(DateToday)+MOD(N48-BegMonth,12)))*HeatRatePeak/1000/(INDEX(CALC!AV$17:AV$292,12*(BegYear-YEAR(DateToday))+BegMonth-MONTH(DateToday)+MOD(N48-BegMonth,12))+INDEX(CALC!AW$17:AW$292,12*(BegYear-YEAR(DateToday))+BegMonth-MONTH(DateToday)+MOD(N48-BegMonth,12)))/(1-GasTransportPercent),0)</f>
        <v>128</v>
      </c>
      <c r="P48" s="886">
        <f ca="1">(INDEX(CALC!BK17:BK292,12*(BegYear-YEAR(DateToday))+BegMonth-MONTH(DateToday)+MOD(6-BegMonth,12))+INDEX(CALC!BL17:BL292,12*(BegYear-YEAR(DateToday))+BegMonth-MONTH(DateToday)+MOD(6-BegMonth,12)))*HeatRateOffPeak/1000/30/(1-GasTransportPercent)</f>
        <v>81.066666666666663</v>
      </c>
      <c r="Q48" s="889">
        <f ca="1">((INDEX(CALC!BI17:BI292,12*(BegYear-YEAR(DateToday))+BegMonth-MONTH(DateToday)+MOD(6-BegMonth,12))+INDEX(CALC!BJ17:BJ292,12*(BegYear-YEAR(DateToday))+BegMonth-MONTH(DateToday)+MOD(6-BegMonth,12)))*HeatRatePeak+(INDEX(CALC!BK17:BK292,12*(BegYear-YEAR(DateToday))+BegMonth-MONTH(DateToday)+MOD(6-BegMonth,12))+INDEX(CALC!BL17:BL292,12*(BegYear-YEAR(DateToday))+BegMonth-MONTH(DateToday)+MOD(6-BegMonth,12)))*HeatRateOffPeak)/1000/30/(1-GasTransportPercent)</f>
        <v>192</v>
      </c>
      <c r="R48" s="652"/>
      <c r="S48" s="69" t="str">
        <f t="shared" si="25"/>
        <v>Peak</v>
      </c>
      <c r="T48" s="65">
        <v>1800</v>
      </c>
      <c r="U48" s="145">
        <v>0</v>
      </c>
      <c r="V48" s="145">
        <v>0</v>
      </c>
      <c r="W48" s="145">
        <v>0</v>
      </c>
      <c r="X48" s="156">
        <v>0</v>
      </c>
      <c r="Y48" s="652"/>
      <c r="Z48" s="652"/>
      <c r="AA48" s="652"/>
      <c r="AB48" s="652"/>
      <c r="AC48" s="652"/>
      <c r="AD48" s="652"/>
      <c r="AE48" s="652"/>
      <c r="AF48" s="652"/>
      <c r="AG48" s="652"/>
      <c r="AH48" s="652"/>
      <c r="AI48" s="652"/>
      <c r="AJ48" s="652"/>
      <c r="AK48" s="652"/>
      <c r="AL48" s="652"/>
      <c r="AM48" s="652"/>
      <c r="AN48" s="652"/>
      <c r="AO48" s="652"/>
      <c r="AP48" s="652"/>
      <c r="AQ48" s="652"/>
      <c r="AR48" s="652"/>
      <c r="AS48" s="652"/>
      <c r="AT48" s="652"/>
      <c r="AU48" s="652"/>
      <c r="AV48" s="652"/>
      <c r="AW48" s="652"/>
      <c r="AX48" s="652"/>
      <c r="AY48" s="79">
        <v>12</v>
      </c>
      <c r="AZ48" s="60" t="b">
        <v>1</v>
      </c>
      <c r="BC48" s="640"/>
      <c r="BD48" s="641"/>
      <c r="BE48" s="642"/>
      <c r="BL48" s="159"/>
    </row>
    <row r="49" spans="1:64" ht="17.25" customHeight="1" x14ac:dyDescent="0.25">
      <c r="A49" s="652"/>
      <c r="B49" s="652"/>
      <c r="C49" s="652"/>
      <c r="D49" s="652"/>
      <c r="E49" s="652"/>
      <c r="F49" s="652"/>
      <c r="G49" s="652"/>
      <c r="H49" s="652"/>
      <c r="I49" s="652"/>
      <c r="J49" s="652"/>
      <c r="K49" s="652"/>
      <c r="L49" s="652"/>
      <c r="M49" s="652"/>
      <c r="N49" s="969" t="s">
        <v>258</v>
      </c>
      <c r="O49" s="886">
        <f ca="1">IF((INDEX(CALC!AV$17:AV$292,12*(BegYear-YEAR(DateToday))+BegMonth-MONTH(DateToday)+MOD(N49-BegMonth,12))+INDEX(CALC!AW$17:AW$292,12*(BegYear-YEAR(DateToday))+BegMonth-MONTH(DateToday)+MOD(N49-BegMonth,12))),(INDEX(CALC!BI$17:BI$292,12*(BegYear-YEAR(DateToday))+BegMonth-MONTH(DateToday)+MOD(N49-BegMonth,12))+INDEX(CALC!BJ$17:BJ$292,12*(BegYear-YEAR(DateToday))+BegMonth-MONTH(DateToday)+MOD(N49-BegMonth,12)))*HeatRatePeak/1000/(INDEX(CALC!AV$17:AV$292,12*(BegYear-YEAR(DateToday))+BegMonth-MONTH(DateToday)+MOD(N49-BegMonth,12))+INDEX(CALC!AW$17:AW$292,12*(BegYear-YEAR(DateToday))+BegMonth-MONTH(DateToday)+MOD(N49-BegMonth,12)))/(1-GasTransportPercent),0)</f>
        <v>128</v>
      </c>
      <c r="P49" s="886">
        <f ca="1">(INDEX(CALC!BK17:BK292,12*(BegYear-YEAR(DateToday))+BegMonth-MONTH(DateToday)+MOD(7-BegMonth,12))+INDEX(CALC!BL17:BL292,12*(BegYear-YEAR(DateToday))+BegMonth-MONTH(DateToday)+MOD(7-BegMonth,12)))*HeatRateOffPeak/1000/31/(1-GasTransportPercent)</f>
        <v>88.774193548387103</v>
      </c>
      <c r="Q49" s="889">
        <f ca="1">((INDEX(CALC!BI17:BI292,12*(BegYear-YEAR(DateToday))+BegMonth-MONTH(DateToday)+MOD(7-BegMonth,12))+INDEX(CALC!BJ17:BJ292,12*(BegYear-YEAR(DateToday))+BegMonth-MONTH(DateToday)+MOD(7-BegMonth,12)))*HeatRatePeak+(INDEX(CALC!BK17:BK292,12*(BegYear-YEAR(DateToday))+BegMonth-MONTH(DateToday)+MOD(7-BegMonth,12))+INDEX(CALC!BL17:BL292,12*(BegYear-YEAR(DateToday))+BegMonth-MONTH(DateToday)+MOD(7-BegMonth,12)))*HeatRateOffPeak)/1000/31/(1-GasTransportPercent)</f>
        <v>192</v>
      </c>
      <c r="R49" s="652"/>
      <c r="S49" s="69" t="str">
        <f t="shared" si="25"/>
        <v>Peak</v>
      </c>
      <c r="T49" s="65">
        <v>1900</v>
      </c>
      <c r="U49" s="145">
        <v>0</v>
      </c>
      <c r="V49" s="145">
        <v>0</v>
      </c>
      <c r="W49" s="145">
        <v>0</v>
      </c>
      <c r="X49" s="156">
        <v>0</v>
      </c>
      <c r="Y49" s="652"/>
      <c r="Z49" s="652"/>
      <c r="AA49" s="652"/>
      <c r="AB49" s="652"/>
      <c r="AC49" s="652"/>
      <c r="AD49" s="652"/>
      <c r="AE49" s="652"/>
      <c r="AF49" s="652"/>
      <c r="AG49" s="652"/>
      <c r="AH49" s="652"/>
      <c r="AI49" s="652"/>
      <c r="AJ49" s="652"/>
      <c r="AK49" s="652"/>
      <c r="AL49" s="652"/>
      <c r="AM49" s="652"/>
      <c r="AN49" s="652"/>
      <c r="AO49" s="652"/>
      <c r="AP49" s="652"/>
      <c r="AQ49" s="652"/>
      <c r="AR49" s="652"/>
      <c r="AS49" s="652"/>
      <c r="AT49" s="652"/>
      <c r="AU49" s="652"/>
      <c r="AV49" s="652"/>
      <c r="AW49" s="652"/>
      <c r="AX49" s="652"/>
      <c r="AY49"/>
      <c r="AZ49"/>
      <c r="BC49" s="640"/>
      <c r="BD49" s="641"/>
      <c r="BE49" s="642"/>
      <c r="BL49"/>
    </row>
    <row r="50" spans="1:64" ht="17.25" customHeight="1" x14ac:dyDescent="0.25">
      <c r="A50" s="652"/>
      <c r="B50" s="652"/>
      <c r="C50" s="652"/>
      <c r="D50" s="652"/>
      <c r="E50" s="652"/>
      <c r="F50" s="652"/>
      <c r="G50" s="652"/>
      <c r="H50" s="652"/>
      <c r="I50" s="652"/>
      <c r="J50" s="652"/>
      <c r="K50" s="652"/>
      <c r="L50" s="652"/>
      <c r="M50" s="652"/>
      <c r="N50" s="969" t="s">
        <v>263</v>
      </c>
      <c r="O50" s="886">
        <f ca="1">IF((INDEX(CALC!AV$17:AV$292,12*(BegYear-YEAR(DateToday))+BegMonth-MONTH(DateToday)+MOD(N50-BegMonth,12))+INDEX(CALC!AW$17:AW$292,12*(BegYear-YEAR(DateToday))+BegMonth-MONTH(DateToday)+MOD(N50-BegMonth,12))),(INDEX(CALC!BI$17:BI$292,12*(BegYear-YEAR(DateToday))+BegMonth-MONTH(DateToday)+MOD(N50-BegMonth,12))+INDEX(CALC!BJ$17:BJ$292,12*(BegYear-YEAR(DateToday))+BegMonth-MONTH(DateToday)+MOD(N50-BegMonth,12)))*HeatRatePeak/1000/(INDEX(CALC!AV$17:AV$292,12*(BegYear-YEAR(DateToday))+BegMonth-MONTH(DateToday)+MOD(N50-BegMonth,12))+INDEX(CALC!AW$17:AW$292,12*(BegYear-YEAR(DateToday))+BegMonth-MONTH(DateToday)+MOD(N50-BegMonth,12)))/(1-GasTransportPercent),0)</f>
        <v>128</v>
      </c>
      <c r="P50" s="886">
        <f ca="1">(INDEX(CALC!BK17:BK292,12*(BegYear-YEAR(DateToday))+BegMonth-MONTH(DateToday)+MOD(8-BegMonth,12))+INDEX(CALC!BL17:BL292,12*(BegYear-YEAR(DateToday))+BegMonth-MONTH(DateToday)+MOD(8-BegMonth,12)))*HeatRateOffPeak/1000/31/(1-GasTransportPercent)</f>
        <v>80.516129032258064</v>
      </c>
      <c r="Q50" s="889">
        <f ca="1">((INDEX(CALC!BI17:BI292,12*(BegYear-YEAR(DateToday))+BegMonth-MONTH(DateToday)+MOD(8-BegMonth,12))+INDEX(CALC!BJ17:BJ292,12*(BegYear-YEAR(DateToday))+BegMonth-MONTH(DateToday)+MOD(8-BegMonth,12)))*HeatRatePeak+(INDEX(CALC!BK17:BK292,12*(BegYear-YEAR(DateToday))+BegMonth-MONTH(DateToday)+MOD(8-BegMonth,12))+INDEX(CALC!BL17:BL292,12*(BegYear-YEAR(DateToday))+BegMonth-MONTH(DateToday)+MOD(8-BegMonth,12)))*HeatRateOffPeak)/1000/31/(1-GasTransportPercent)</f>
        <v>192</v>
      </c>
      <c r="R50" s="652"/>
      <c r="S50" s="69" t="str">
        <f t="shared" si="25"/>
        <v>Peak</v>
      </c>
      <c r="T50" s="65">
        <v>2000</v>
      </c>
      <c r="U50" s="145">
        <v>0</v>
      </c>
      <c r="V50" s="145">
        <v>0</v>
      </c>
      <c r="W50" s="145">
        <v>0</v>
      </c>
      <c r="X50" s="156">
        <v>0</v>
      </c>
      <c r="Y50" s="652"/>
      <c r="Z50" s="652"/>
      <c r="AA50" s="652"/>
      <c r="AB50" s="652"/>
      <c r="AC50" s="652"/>
      <c r="AD50" s="652"/>
      <c r="AE50" s="652"/>
      <c r="AF50" s="652"/>
      <c r="AG50" s="652"/>
      <c r="AH50" s="652"/>
      <c r="AI50" s="652"/>
      <c r="AJ50" s="652"/>
      <c r="AK50" s="652"/>
      <c r="AL50" s="652"/>
      <c r="AM50" s="652"/>
      <c r="AN50" s="652"/>
      <c r="AO50" s="652"/>
      <c r="AP50" s="652"/>
      <c r="AQ50" s="652"/>
      <c r="AR50" s="652"/>
      <c r="AS50" s="652"/>
      <c r="AT50" s="652"/>
      <c r="AU50" s="652"/>
      <c r="AV50" s="652"/>
      <c r="AW50" s="652"/>
      <c r="AX50" s="652"/>
      <c r="AY50"/>
      <c r="AZ50"/>
      <c r="BC50" s="640"/>
      <c r="BD50" s="641"/>
      <c r="BE50" s="642"/>
    </row>
    <row r="51" spans="1:64" ht="17.25" customHeight="1" x14ac:dyDescent="0.25">
      <c r="A51" s="652"/>
      <c r="B51" s="652"/>
      <c r="C51" s="652"/>
      <c r="D51" s="652"/>
      <c r="E51" s="652"/>
      <c r="F51" s="652"/>
      <c r="G51" s="652"/>
      <c r="H51" s="652"/>
      <c r="I51" s="652"/>
      <c r="J51" s="652"/>
      <c r="K51" s="652"/>
      <c r="L51" s="652"/>
      <c r="M51" s="652"/>
      <c r="N51" s="969" t="s">
        <v>452</v>
      </c>
      <c r="O51" s="886">
        <f ca="1">IF((INDEX(CALC!AV$17:AV$292,12*(BegYear-YEAR(DateToday))+BegMonth-MONTH(DateToday)+MOD(N51-BegMonth,12))+INDEX(CALC!AW$17:AW$292,12*(BegYear-YEAR(DateToday))+BegMonth-MONTH(DateToday)+MOD(N51-BegMonth,12))),(INDEX(CALC!BI$17:BI$292,12*(BegYear-YEAR(DateToday))+BegMonth-MONTH(DateToday)+MOD(N51-BegMonth,12))+INDEX(CALC!BJ$17:BJ$292,12*(BegYear-YEAR(DateToday))+BegMonth-MONTH(DateToday)+MOD(N51-BegMonth,12)))*HeatRatePeak/1000/(INDEX(CALC!AV$17:AV$292,12*(BegYear-YEAR(DateToday))+BegMonth-MONTH(DateToday)+MOD(N51-BegMonth,12))+INDEX(CALC!AW$17:AW$292,12*(BegYear-YEAR(DateToday))+BegMonth-MONTH(DateToday)+MOD(N51-BegMonth,12)))/(1-GasTransportPercent),0)</f>
        <v>128</v>
      </c>
      <c r="P51" s="886">
        <f ca="1">(INDEX(CALC!BK17:BK292,12*(BegYear-YEAR(DateToday))+BegMonth-MONTH(DateToday)+MOD(9-BegMonth,12))+INDEX(CALC!BL17:BL292,12*(BegYear-YEAR(DateToday))+BegMonth-MONTH(DateToday)+MOD(9-BegMonth,12)))*HeatRateOffPeak/1000/30/(1-GasTransportPercent)</f>
        <v>89.6</v>
      </c>
      <c r="Q51" s="889">
        <f ca="1">((INDEX(CALC!BI17:BI292,12*(BegYear-YEAR(DateToday))+BegMonth-MONTH(DateToday)+MOD(9-BegMonth,12))+INDEX(CALC!BJ17:BJ292,12*(BegYear-YEAR(DateToday))+BegMonth-MONTH(DateToday)+MOD(9-BegMonth,12)))*HeatRatePeak+(INDEX(CALC!BK17:BK292,12*(BegYear-YEAR(DateToday))+BegMonth-MONTH(DateToday)+MOD(9-BegMonth,12))+INDEX(CALC!BL17:BL292,12*(BegYear-YEAR(DateToday))+BegMonth-MONTH(DateToday)+MOD(9-BegMonth,12)))*HeatRateOffPeak)/1000/30/(1-GasTransportPercent)</f>
        <v>192</v>
      </c>
      <c r="R51" s="652"/>
      <c r="S51" s="69" t="str">
        <f t="shared" si="25"/>
        <v>Peak</v>
      </c>
      <c r="T51" s="65">
        <v>2100</v>
      </c>
      <c r="U51" s="145">
        <v>0</v>
      </c>
      <c r="V51" s="145">
        <v>0</v>
      </c>
      <c r="W51" s="145">
        <v>0</v>
      </c>
      <c r="X51" s="156">
        <v>0</v>
      </c>
      <c r="Y51" s="652"/>
      <c r="Z51" s="652"/>
      <c r="AA51" s="652"/>
      <c r="AB51" s="652"/>
      <c r="AC51" s="652"/>
      <c r="AD51" s="652"/>
      <c r="AE51" s="652"/>
      <c r="AF51" s="652"/>
      <c r="AG51" s="652"/>
      <c r="AH51" s="652"/>
      <c r="AI51" s="652"/>
      <c r="AJ51" s="652"/>
      <c r="AK51" s="652"/>
      <c r="AL51" s="652"/>
      <c r="AM51" s="652"/>
      <c r="AN51" s="652"/>
      <c r="AO51" s="652"/>
      <c r="AP51" s="652"/>
      <c r="AQ51" s="652"/>
      <c r="AR51" s="652"/>
      <c r="AS51" s="652"/>
      <c r="AT51" s="652"/>
      <c r="AU51" s="652"/>
      <c r="AV51" s="652"/>
      <c r="AW51" s="652"/>
      <c r="AX51" s="652"/>
      <c r="AY51"/>
      <c r="AZ51"/>
      <c r="BC51" s="640"/>
      <c r="BD51" s="641"/>
      <c r="BE51" s="642"/>
    </row>
    <row r="52" spans="1:64" ht="17.25" customHeight="1" thickBot="1" x14ac:dyDescent="0.3">
      <c r="A52" s="652"/>
      <c r="B52" s="652"/>
      <c r="C52" s="652"/>
      <c r="D52" s="652"/>
      <c r="E52" s="652"/>
      <c r="F52" s="652"/>
      <c r="G52" s="652"/>
      <c r="H52" s="652"/>
      <c r="I52" s="652"/>
      <c r="J52" s="652"/>
      <c r="K52" s="652"/>
      <c r="L52" s="652"/>
      <c r="M52" s="652"/>
      <c r="N52" s="969" t="s">
        <v>453</v>
      </c>
      <c r="O52" s="886">
        <f ca="1">IF((INDEX(CALC!AV$17:AV$292,12*(BegYear-YEAR(DateToday))+BegMonth-MONTH(DateToday)+MOD(N52-BegMonth,12))+INDEX(CALC!AW$17:AW$292,12*(BegYear-YEAR(DateToday))+BegMonth-MONTH(DateToday)+MOD(N52-BegMonth,12))),(INDEX(CALC!BI$17:BI$292,12*(BegYear-YEAR(DateToday))+BegMonth-MONTH(DateToday)+MOD(N52-BegMonth,12))+INDEX(CALC!BJ$17:BJ$292,12*(BegYear-YEAR(DateToday))+BegMonth-MONTH(DateToday)+MOD(N52-BegMonth,12)))*HeatRatePeak/1000/(INDEX(CALC!AV$17:AV$292,12*(BegYear-YEAR(DateToday))+BegMonth-MONTH(DateToday)+MOD(N52-BegMonth,12))+INDEX(CALC!AW$17:AW$292,12*(BegYear-YEAR(DateToday))+BegMonth-MONTH(DateToday)+MOD(N52-BegMonth,12)))/(1-GasTransportPercent),0)</f>
        <v>128</v>
      </c>
      <c r="P52" s="886">
        <f ca="1">(INDEX(CALC!BK17:BK292,12*(BegYear-YEAR(DateToday))+BegMonth-MONTH(DateToday)+MOD(10-BegMonth,12))+INDEX(CALC!BL17:BL292,12*(BegYear-YEAR(DateToday))+BegMonth-MONTH(DateToday)+MOD(10-BegMonth,12)))*HeatRateOffPeak/1000/31/(1-GasTransportPercent)</f>
        <v>80.516129032258064</v>
      </c>
      <c r="Q52" s="889">
        <f ca="1">((INDEX(CALC!BI17:BI292,12*(BegYear-YEAR(DateToday))+BegMonth-MONTH(DateToday)+MOD(10-BegMonth,12))+INDEX(CALC!BJ17:BJ292,12*(BegYear-YEAR(DateToday))+BegMonth-MONTH(DateToday)+MOD(10-BegMonth,12)))*HeatRatePeak+(INDEX(CALC!BK17:BK292,12*(BegYear-YEAR(DateToday))+BegMonth-MONTH(DateToday)+MOD(10-BegMonth,12))+INDEX(CALC!BL17:BL292,12*(BegYear-YEAR(DateToday))+BegMonth-MONTH(DateToday)+MOD(10-BegMonth,12)))*HeatRateOffPeak)/1000/31/(1-GasTransportPercent)</f>
        <v>192</v>
      </c>
      <c r="R52" s="652"/>
      <c r="S52" s="69" t="str">
        <f t="shared" si="25"/>
        <v>Peak</v>
      </c>
      <c r="T52" s="65">
        <v>2200</v>
      </c>
      <c r="U52" s="145">
        <v>0</v>
      </c>
      <c r="V52" s="145">
        <v>0</v>
      </c>
      <c r="W52" s="145">
        <v>0</v>
      </c>
      <c r="X52" s="156">
        <v>0</v>
      </c>
      <c r="Y52" s="652"/>
      <c r="Z52" s="652"/>
      <c r="AA52" s="652"/>
      <c r="AB52" s="652"/>
      <c r="AC52" s="652"/>
      <c r="AD52" s="652"/>
      <c r="AE52" s="652"/>
      <c r="AF52" s="652"/>
      <c r="AG52" s="652"/>
      <c r="AH52" s="652"/>
      <c r="AI52" s="652"/>
      <c r="AJ52" s="652"/>
      <c r="AK52" s="652"/>
      <c r="AL52" s="652"/>
      <c r="AM52" s="652"/>
      <c r="AN52" s="652"/>
      <c r="AO52" s="652"/>
      <c r="AP52" s="652"/>
      <c r="AQ52" s="652"/>
      <c r="AR52" s="652"/>
      <c r="AS52" s="652"/>
      <c r="AT52" s="652"/>
      <c r="AU52" s="652"/>
      <c r="AV52" s="652"/>
      <c r="AW52" s="652"/>
      <c r="AX52" s="652"/>
      <c r="AY52"/>
      <c r="AZ52"/>
      <c r="BC52" s="45"/>
      <c r="BD52" s="46"/>
      <c r="BE52" s="47"/>
    </row>
    <row r="53" spans="1:64" ht="17.25" customHeight="1" thickBot="1" x14ac:dyDescent="0.3">
      <c r="A53" s="652"/>
      <c r="B53" s="652"/>
      <c r="C53" s="652"/>
      <c r="D53" s="652"/>
      <c r="E53" s="652"/>
      <c r="F53" s="652"/>
      <c r="G53" s="652"/>
      <c r="H53" s="652"/>
      <c r="I53" s="652"/>
      <c r="J53" s="652"/>
      <c r="K53" s="652"/>
      <c r="L53" s="652"/>
      <c r="M53" s="652"/>
      <c r="N53" s="969" t="s">
        <v>454</v>
      </c>
      <c r="O53" s="886">
        <f ca="1">IF((INDEX(CALC!AV$17:AV$292,12*(BegYear-YEAR(DateToday))+BegMonth-MONTH(DateToday)+MOD(N53-BegMonth,12))+INDEX(CALC!AW$17:AW$292,12*(BegYear-YEAR(DateToday))+BegMonth-MONTH(DateToday)+MOD(N53-BegMonth,12))),(INDEX(CALC!BI$17:BI$292,12*(BegYear-YEAR(DateToday))+BegMonth-MONTH(DateToday)+MOD(N53-BegMonth,12))+INDEX(CALC!BJ$17:BJ$292,12*(BegYear-YEAR(DateToday))+BegMonth-MONTH(DateToday)+MOD(N53-BegMonth,12)))*HeatRatePeak/1000/(INDEX(CALC!AV$17:AV$292,12*(BegYear-YEAR(DateToday))+BegMonth-MONTH(DateToday)+MOD(N53-BegMonth,12))+INDEX(CALC!AW$17:AW$292,12*(BegYear-YEAR(DateToday))+BegMonth-MONTH(DateToday)+MOD(N53-BegMonth,12)))/(1-GasTransportPercent),0)</f>
        <v>128</v>
      </c>
      <c r="P53" s="886">
        <f ca="1">(INDEX(CALC!BK17:BK292,12*(BegYear-YEAR(DateToday))+BegMonth-MONTH(DateToday)+MOD(11-BegMonth,12))+INDEX(CALC!BL17:BL292,12*(BegYear-YEAR(DateToday))+BegMonth-MONTH(DateToday)+MOD(11-BegMonth,12)))*HeatRateOffPeak/1000/30/(1-GasTransportPercent)</f>
        <v>85.333333333333329</v>
      </c>
      <c r="Q53" s="889">
        <f ca="1">((INDEX(CALC!BI17:BI292,12*(BegYear-YEAR(DateToday))+BegMonth-MONTH(DateToday)+MOD(11-BegMonth,12))+INDEX(CALC!BJ17:BJ292,12*(BegYear-YEAR(DateToday))+BegMonth-MONTH(DateToday)+MOD(11-BegMonth,12)))*HeatRatePeak+(INDEX(CALC!BK17:BK292,12*(BegYear-YEAR(DateToday))+BegMonth-MONTH(DateToday)+MOD(11-BegMonth,12))+INDEX(CALC!BL17:BL292,12*(BegYear-YEAR(DateToday))+BegMonth-MONTH(DateToday)+MOD(11-BegMonth,12)))*HeatRateOffPeak)/1000/30/(1-GasTransportPercent)</f>
        <v>192</v>
      </c>
      <c r="R53" s="652"/>
      <c r="S53" s="69" t="str">
        <f t="shared" si="25"/>
        <v>Peak</v>
      </c>
      <c r="T53" s="65">
        <v>2300</v>
      </c>
      <c r="U53" s="145">
        <v>0</v>
      </c>
      <c r="V53" s="145">
        <v>0</v>
      </c>
      <c r="W53" s="145">
        <v>0</v>
      </c>
      <c r="X53" s="156">
        <v>0</v>
      </c>
      <c r="Y53" s="652"/>
      <c r="Z53" s="652"/>
      <c r="AA53" s="652"/>
      <c r="AB53" s="652"/>
      <c r="AC53" s="652"/>
      <c r="AD53" s="652"/>
      <c r="AE53" s="652"/>
      <c r="AF53" s="652"/>
      <c r="AG53" s="652"/>
      <c r="AH53" s="652"/>
      <c r="AI53" s="652"/>
      <c r="AJ53" s="652"/>
      <c r="AK53" s="652"/>
      <c r="AL53" s="652"/>
      <c r="AM53" s="652"/>
      <c r="AN53" s="652"/>
      <c r="AO53" s="652"/>
      <c r="AP53" s="652"/>
      <c r="AQ53" s="652"/>
      <c r="AR53" s="652"/>
      <c r="AS53" s="652"/>
      <c r="AT53" s="652"/>
      <c r="AU53" s="652"/>
      <c r="AV53" s="652"/>
      <c r="AW53" s="652"/>
      <c r="AX53" s="652"/>
      <c r="AY53"/>
      <c r="AZ53"/>
      <c r="BB53" s="13"/>
      <c r="BC53"/>
      <c r="BD53" s="585" t="s">
        <v>195</v>
      </c>
      <c r="BE53"/>
    </row>
    <row r="54" spans="1:64" ht="17.25" customHeight="1" thickBot="1" x14ac:dyDescent="0.3">
      <c r="A54" s="652"/>
      <c r="B54" s="652"/>
      <c r="C54" s="652"/>
      <c r="D54" s="652"/>
      <c r="E54" s="652"/>
      <c r="F54" s="652"/>
      <c r="G54" s="652"/>
      <c r="H54" s="652"/>
      <c r="I54" s="652"/>
      <c r="J54" s="652"/>
      <c r="K54" s="652"/>
      <c r="L54" s="652"/>
      <c r="M54" s="652"/>
      <c r="N54" s="970" t="s">
        <v>455</v>
      </c>
      <c r="O54" s="890">
        <f ca="1">IF((INDEX(CALC!AV$17:AV$292,12*(BegYear-YEAR(DateToday))+BegMonth-MONTH(DateToday)+MOD(N54-BegMonth,12))+INDEX(CALC!AW$17:AW$292,12*(BegYear-YEAR(DateToday))+BegMonth-MONTH(DateToday)+MOD(N54-BegMonth,12))),(INDEX(CALC!BI$17:BI$292,12*(BegYear-YEAR(DateToday))+BegMonth-MONTH(DateToday)+MOD(N54-BegMonth,12))+INDEX(CALC!BJ$17:BJ$292,12*(BegYear-YEAR(DateToday))+BegMonth-MONTH(DateToday)+MOD(N54-BegMonth,12)))*HeatRatePeak/1000/(INDEX(CALC!AV$17:AV$292,12*(BegYear-YEAR(DateToday))+BegMonth-MONTH(DateToday)+MOD(N54-BegMonth,12))+INDEX(CALC!AW$17:AW$292,12*(BegYear-YEAR(DateToday))+BegMonth-MONTH(DateToday)+MOD(N54-BegMonth,12)))/(1-GasTransportPercent),0)</f>
        <v>128</v>
      </c>
      <c r="P54" s="890">
        <f ca="1">(INDEX(CALC!BK17:BK292,12*(BegYear-YEAR(DateToday))+BegMonth-MONTH(DateToday)+MOD(12-BegMonth,12))+INDEX(CALC!BL17:BL292,12*(BegYear-YEAR(DateToday))+BegMonth-MONTH(DateToday)+MOD(12-BegMonth,12)))*HeatRateOffPeak/1000/31/(1-GasTransportPercent)</f>
        <v>88.774193548387103</v>
      </c>
      <c r="Q54" s="891">
        <f ca="1">((INDEX(CALC!BI17:BI292,12*(BegYear-YEAR(DateToday))+BegMonth-MONTH(DateToday)+MOD(12-BegMonth,12))+INDEX(CALC!BJ17:BJ292,12*(BegYear-YEAR(DateToday))+BegMonth-MONTH(DateToday)+MOD(12-BegMonth,12)))*HeatRatePeak+(INDEX(CALC!BK17:BK292,12*(BegYear-YEAR(DateToday))+BegMonth-MONTH(DateToday)+MOD(12-BegMonth,12))+INDEX(CALC!BL17:BL292,12*(BegYear-YEAR(DateToday))+BegMonth-MONTH(DateToday)+MOD(12-BegMonth,12)))*HeatRateOffPeak)/1000/31/(1-GasTransportPercent)</f>
        <v>192</v>
      </c>
      <c r="R54" s="652"/>
      <c r="S54" s="70" t="str">
        <f t="shared" si="25"/>
        <v>Off-Peak</v>
      </c>
      <c r="T54" s="92">
        <v>2400</v>
      </c>
      <c r="U54" s="146">
        <v>0</v>
      </c>
      <c r="V54" s="146">
        <v>0</v>
      </c>
      <c r="W54" s="146">
        <v>0</v>
      </c>
      <c r="X54" s="157">
        <v>0</v>
      </c>
      <c r="Y54" s="652"/>
      <c r="Z54" s="652"/>
      <c r="AA54" s="652"/>
      <c r="AB54" s="652"/>
      <c r="AC54" s="652"/>
      <c r="AD54" s="652"/>
      <c r="AE54" s="652"/>
      <c r="AF54" s="652"/>
      <c r="AG54" s="652"/>
      <c r="AH54" s="652"/>
      <c r="AI54" s="652"/>
      <c r="AJ54" s="652"/>
      <c r="AK54" s="652"/>
      <c r="AL54" s="652"/>
      <c r="AM54" s="652"/>
      <c r="AN54" s="652"/>
      <c r="AO54" s="652"/>
      <c r="AP54" s="652"/>
      <c r="AQ54" s="652"/>
      <c r="AR54" s="652"/>
      <c r="AS54" s="652"/>
      <c r="AT54" s="652"/>
      <c r="AU54" s="652"/>
      <c r="AV54" s="652"/>
      <c r="AW54" s="652"/>
      <c r="AX54" s="652"/>
      <c r="AY54"/>
      <c r="AZ54"/>
      <c r="BB54" s="13"/>
      <c r="BC54"/>
      <c r="BD54"/>
      <c r="BE54"/>
    </row>
    <row r="55" spans="1:64" x14ac:dyDescent="0.25">
      <c r="A55" s="652"/>
      <c r="B55" s="652"/>
      <c r="C55" s="652"/>
      <c r="D55" s="652"/>
      <c r="E55" s="652"/>
      <c r="F55" s="652"/>
      <c r="G55" s="652"/>
      <c r="H55" s="652"/>
      <c r="I55" s="652"/>
      <c r="J55" s="652"/>
      <c r="K55" s="652"/>
      <c r="L55" s="652"/>
      <c r="M55" s="652"/>
      <c r="N55" s="652"/>
      <c r="O55" s="652"/>
      <c r="P55" s="652"/>
      <c r="Q55" s="652"/>
      <c r="R55" s="652"/>
      <c r="S55" s="652"/>
      <c r="T55" s="652"/>
      <c r="U55" s="652"/>
      <c r="V55" s="652"/>
      <c r="W55" s="652"/>
      <c r="X55" s="652"/>
      <c r="Y55" s="652"/>
      <c r="Z55" s="652"/>
      <c r="AA55" s="652"/>
      <c r="AB55" s="652"/>
      <c r="AC55" s="652"/>
      <c r="AD55" s="652"/>
      <c r="AE55" s="652"/>
      <c r="AF55" s="652"/>
      <c r="AG55" s="652"/>
      <c r="AH55" s="652"/>
      <c r="AI55" s="652"/>
      <c r="AJ55" s="652"/>
      <c r="AK55" s="652"/>
      <c r="AL55" s="652"/>
      <c r="AM55" s="652"/>
      <c r="AN55" s="652"/>
      <c r="AO55" s="652"/>
      <c r="AP55" s="652"/>
      <c r="AQ55" s="652"/>
      <c r="AR55" s="652"/>
      <c r="AS55" s="652"/>
      <c r="AT55" s="652"/>
      <c r="AU55" s="652"/>
      <c r="AV55" s="652"/>
      <c r="AW55" s="652"/>
      <c r="AX55" s="652"/>
      <c r="AY55"/>
      <c r="AZ55"/>
      <c r="BB55" s="13"/>
      <c r="BC55"/>
      <c r="BD55"/>
      <c r="BE55"/>
    </row>
    <row r="56" spans="1:64" x14ac:dyDescent="0.25">
      <c r="A56" s="7"/>
      <c r="B56"/>
      <c r="C56"/>
      <c r="D56"/>
      <c r="E56"/>
      <c r="F56"/>
      <c r="G56"/>
      <c r="H56"/>
      <c r="I56"/>
      <c r="J56"/>
      <c r="K56"/>
      <c r="L56"/>
      <c r="M56" s="107"/>
      <c r="N56" s="5"/>
      <c r="O56" s="4"/>
      <c r="P56" s="4"/>
      <c r="Q56"/>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c r="AZ56"/>
      <c r="BB56" s="13"/>
      <c r="BC56"/>
      <c r="BD56"/>
      <c r="BE56"/>
    </row>
    <row r="57" spans="1:64" x14ac:dyDescent="0.25">
      <c r="A57" s="7"/>
      <c r="B57"/>
      <c r="C57"/>
      <c r="D57"/>
      <c r="E57"/>
      <c r="F57"/>
      <c r="G57"/>
      <c r="H57"/>
      <c r="I57" s="6"/>
      <c r="J57" s="71"/>
      <c r="K57" s="21"/>
      <c r="L57" s="21"/>
      <c r="M57" s="107"/>
      <c r="N57" s="5"/>
      <c r="O57" s="4"/>
      <c r="P57" s="4"/>
      <c r="Q57"/>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c r="AZ57"/>
      <c r="BB57" s="13"/>
      <c r="BC57"/>
      <c r="BD57"/>
      <c r="BE57"/>
    </row>
    <row r="58" spans="1:64" x14ac:dyDescent="0.25">
      <c r="B58"/>
      <c r="C58"/>
      <c r="D58"/>
      <c r="E58"/>
      <c r="F58"/>
      <c r="G58"/>
      <c r="H58"/>
      <c r="J58" s="21"/>
      <c r="K58" s="21"/>
      <c r="L58" s="21"/>
      <c r="M58" s="107"/>
      <c r="N58" s="5"/>
      <c r="O58" s="4"/>
      <c r="P58" s="4"/>
      <c r="Q58"/>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c r="AZ58"/>
      <c r="BB58" s="13"/>
      <c r="BC58"/>
      <c r="BD58"/>
      <c r="BE58"/>
    </row>
    <row r="59" spans="1:64" x14ac:dyDescent="0.25">
      <c r="B59"/>
      <c r="C59"/>
      <c r="D59"/>
      <c r="E59"/>
      <c r="F59"/>
      <c r="G59"/>
      <c r="H59"/>
      <c r="J59" s="21"/>
      <c r="K59" s="21"/>
      <c r="L59" s="21"/>
      <c r="M59" s="107"/>
      <c r="N59" s="5"/>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21"/>
      <c r="AZ59" s="21"/>
      <c r="BB59" s="13"/>
      <c r="BC59"/>
      <c r="BD59"/>
      <c r="BE59"/>
    </row>
    <row r="60" spans="1:64" x14ac:dyDescent="0.25">
      <c r="B60"/>
      <c r="C60"/>
      <c r="D60"/>
      <c r="E60"/>
      <c r="F60"/>
      <c r="G60"/>
      <c r="H60"/>
      <c r="J60" s="21"/>
      <c r="K60" s="21"/>
      <c r="L60" s="21"/>
      <c r="M60" s="107"/>
      <c r="N60" s="5"/>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21"/>
      <c r="AZ60" s="21"/>
      <c r="BB60" s="13"/>
      <c r="BC60"/>
      <c r="BD60"/>
      <c r="BE60"/>
    </row>
    <row r="61" spans="1:64" x14ac:dyDescent="0.25">
      <c r="B61"/>
      <c r="C61"/>
      <c r="D61"/>
      <c r="E61"/>
      <c r="F61"/>
      <c r="G61"/>
      <c r="H61"/>
      <c r="J61" s="21"/>
      <c r="K61" s="21"/>
      <c r="L61" s="21"/>
      <c r="M61" s="107"/>
      <c r="N61" s="5"/>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21"/>
      <c r="AZ61" s="21"/>
      <c r="BB61" s="13"/>
      <c r="BC61"/>
      <c r="BD61"/>
      <c r="BE61"/>
    </row>
    <row r="62" spans="1:64" x14ac:dyDescent="0.25">
      <c r="B62"/>
      <c r="C62"/>
      <c r="D62"/>
      <c r="E62"/>
      <c r="F62"/>
      <c r="G62"/>
      <c r="H62"/>
      <c r="J62" s="21"/>
      <c r="K62" s="21"/>
      <c r="L62" s="21"/>
      <c r="M62" s="107"/>
      <c r="N62" s="5"/>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21"/>
      <c r="AZ62" s="21"/>
      <c r="BB62" s="13"/>
      <c r="BC62"/>
      <c r="BD62"/>
      <c r="BE62"/>
    </row>
    <row r="63" spans="1:64" x14ac:dyDescent="0.25">
      <c r="B63"/>
      <c r="C63"/>
      <c r="D63"/>
      <c r="E63"/>
      <c r="F63"/>
      <c r="G63"/>
      <c r="H63"/>
      <c r="J63" s="21"/>
      <c r="K63" s="21"/>
      <c r="L63" s="21"/>
      <c r="M63" s="107"/>
      <c r="N63" s="5"/>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21"/>
      <c r="AZ63" s="21"/>
      <c r="BB63" s="13"/>
      <c r="BC63"/>
      <c r="BD63"/>
      <c r="BE63"/>
    </row>
    <row r="64" spans="1:64" x14ac:dyDescent="0.25">
      <c r="B64"/>
      <c r="C64"/>
      <c r="D64"/>
      <c r="E64"/>
      <c r="F64"/>
      <c r="G64"/>
      <c r="H64"/>
      <c r="J64" s="21"/>
      <c r="K64" s="21"/>
      <c r="L64" s="21"/>
      <c r="M64" s="107"/>
      <c r="N64" s="5"/>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21"/>
      <c r="AZ64" s="21"/>
      <c r="BB64" s="13"/>
      <c r="BC64"/>
      <c r="BD64"/>
      <c r="BE64"/>
    </row>
    <row r="65" spans="1:57" x14ac:dyDescent="0.25">
      <c r="B65"/>
      <c r="C65"/>
      <c r="D65"/>
      <c r="E65"/>
      <c r="F65"/>
      <c r="G65"/>
      <c r="H65"/>
      <c r="J65" s="21"/>
      <c r="K65" s="21"/>
      <c r="L65" s="21"/>
      <c r="M65" s="107"/>
      <c r="N65" s="5"/>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21"/>
      <c r="AZ65" s="21"/>
      <c r="BB65" s="13"/>
      <c r="BC65"/>
      <c r="BD65"/>
      <c r="BE65"/>
    </row>
    <row r="66" spans="1:57" x14ac:dyDescent="0.25">
      <c r="B66"/>
      <c r="C66"/>
      <c r="D66"/>
      <c r="E66"/>
      <c r="F66"/>
      <c r="G66"/>
      <c r="H66"/>
      <c r="J66" s="21"/>
      <c r="K66" s="21"/>
      <c r="L66" s="21"/>
      <c r="M66" s="107"/>
      <c r="N66" s="5"/>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21"/>
      <c r="AZ66" s="21"/>
      <c r="BB66" s="13"/>
      <c r="BC66"/>
      <c r="BD66"/>
      <c r="BE66"/>
    </row>
    <row r="67" spans="1:57" x14ac:dyDescent="0.25">
      <c r="B67"/>
      <c r="C67"/>
      <c r="D67"/>
      <c r="E67"/>
      <c r="F67"/>
      <c r="G67"/>
      <c r="H67"/>
      <c r="J67" s="21"/>
      <c r="K67" s="21"/>
      <c r="L67" s="21"/>
      <c r="M67" s="107"/>
      <c r="N67" s="5"/>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21"/>
      <c r="AZ67" s="21"/>
      <c r="BB67" s="13"/>
      <c r="BC67"/>
      <c r="BD67"/>
      <c r="BE67"/>
    </row>
    <row r="68" spans="1:57" x14ac:dyDescent="0.25">
      <c r="B68"/>
      <c r="C68"/>
      <c r="D68"/>
      <c r="E68"/>
      <c r="F68"/>
      <c r="G68"/>
      <c r="H68"/>
      <c r="J68" s="21"/>
      <c r="K68" s="21"/>
      <c r="L68" s="21"/>
      <c r="M68" s="107"/>
      <c r="N68" s="5"/>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21"/>
      <c r="AZ68" s="21"/>
      <c r="BB68" s="13"/>
      <c r="BC68" s="6"/>
      <c r="BD68" s="6"/>
      <c r="BE68" s="6"/>
    </row>
    <row r="69" spans="1:57" x14ac:dyDescent="0.25">
      <c r="B69"/>
      <c r="C69"/>
      <c r="D69"/>
      <c r="E69"/>
      <c r="F69"/>
      <c r="G69"/>
      <c r="H69"/>
      <c r="J69" s="21"/>
      <c r="K69" s="21"/>
      <c r="L69" s="21"/>
      <c r="M69" s="107"/>
      <c r="N69" s="5"/>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21"/>
      <c r="AZ69" s="21"/>
      <c r="BB69" s="13"/>
      <c r="BC69" s="6"/>
      <c r="BD69" s="6"/>
      <c r="BE69" s="6"/>
    </row>
    <row r="70" spans="1:57" x14ac:dyDescent="0.25">
      <c r="B70"/>
      <c r="C70"/>
      <c r="D70"/>
      <c r="E70"/>
      <c r="F70"/>
      <c r="G70"/>
      <c r="H70"/>
      <c r="J70" s="21"/>
      <c r="K70" s="21"/>
      <c r="L70" s="21"/>
      <c r="M70" s="107"/>
      <c r="N70" s="5"/>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21"/>
      <c r="AZ70" s="21"/>
      <c r="BB70" s="13"/>
      <c r="BC70" s="6"/>
      <c r="BD70" s="6"/>
      <c r="BE70" s="6"/>
    </row>
    <row r="71" spans="1:57" x14ac:dyDescent="0.25">
      <c r="B71"/>
      <c r="C71"/>
      <c r="D71"/>
      <c r="E71"/>
      <c r="F71"/>
      <c r="G71"/>
      <c r="H71"/>
      <c r="J71" s="21"/>
      <c r="K71" s="21"/>
      <c r="L71" s="21"/>
      <c r="M71" s="107"/>
      <c r="N71" s="5"/>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21"/>
      <c r="AZ71" s="21"/>
      <c r="BB71" s="13"/>
      <c r="BC71" s="6"/>
      <c r="BD71" s="6"/>
      <c r="BE71" s="6"/>
    </row>
    <row r="72" spans="1:57" x14ac:dyDescent="0.25">
      <c r="B72"/>
      <c r="C72"/>
      <c r="D72"/>
      <c r="E72"/>
      <c r="F72"/>
      <c r="G72"/>
      <c r="H72"/>
      <c r="J72" s="21"/>
      <c r="K72" s="21"/>
      <c r="L72" s="21"/>
      <c r="M72" s="107"/>
      <c r="N72" s="5"/>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21"/>
      <c r="AZ72" s="21"/>
      <c r="BB72" s="13"/>
      <c r="BC72" s="6"/>
      <c r="BD72" s="6"/>
      <c r="BE72" s="6"/>
    </row>
    <row r="73" spans="1:57" x14ac:dyDescent="0.25">
      <c r="B73"/>
      <c r="C73"/>
      <c r="D73"/>
      <c r="E73"/>
      <c r="F73"/>
      <c r="G73"/>
      <c r="H73"/>
      <c r="J73" s="21"/>
      <c r="K73" s="21"/>
      <c r="L73" s="21"/>
      <c r="M73" s="107"/>
      <c r="N73" s="5"/>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21"/>
      <c r="AZ73" s="21"/>
      <c r="BB73" s="13"/>
      <c r="BC73" s="6"/>
      <c r="BD73" s="6"/>
      <c r="BE73" s="6"/>
    </row>
    <row r="74" spans="1:57" x14ac:dyDescent="0.25">
      <c r="B74"/>
      <c r="C74"/>
      <c r="D74"/>
      <c r="E74"/>
      <c r="F74"/>
      <c r="G74"/>
      <c r="H74"/>
      <c r="J74" s="21"/>
      <c r="K74" s="21"/>
      <c r="L74" s="21"/>
      <c r="M74" s="107"/>
      <c r="N74" s="5"/>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21"/>
      <c r="AZ74" s="21"/>
      <c r="BB74" s="13"/>
    </row>
    <row r="75" spans="1:57" x14ac:dyDescent="0.25">
      <c r="C75"/>
      <c r="D75"/>
      <c r="J75" s="21"/>
      <c r="K75" s="21"/>
      <c r="L75" s="21"/>
      <c r="M75" s="107"/>
      <c r="N75" s="5"/>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21"/>
      <c r="AZ75" s="21"/>
      <c r="BB75" s="13"/>
    </row>
    <row r="76" spans="1:57" x14ac:dyDescent="0.25">
      <c r="B76"/>
      <c r="C76"/>
      <c r="D76"/>
      <c r="J76" s="21"/>
      <c r="K76" s="21"/>
      <c r="L76" s="21"/>
      <c r="M76" s="107"/>
      <c r="N76" s="5"/>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21"/>
      <c r="AZ76" s="21"/>
      <c r="BB76" s="13"/>
    </row>
    <row r="77" spans="1:57" x14ac:dyDescent="0.25">
      <c r="B77"/>
      <c r="J77" s="21"/>
      <c r="K77" s="21"/>
      <c r="L77" s="21"/>
      <c r="M77" s="107"/>
      <c r="N77" s="5"/>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21"/>
      <c r="AZ77" s="21"/>
      <c r="BB77" s="13"/>
    </row>
    <row r="78" spans="1:57" x14ac:dyDescent="0.25">
      <c r="B78"/>
      <c r="J78" s="21"/>
      <c r="K78" s="21"/>
      <c r="L78" s="108"/>
      <c r="M78" s="109"/>
      <c r="N78" s="5"/>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21"/>
      <c r="AZ78" s="21"/>
      <c r="BB78" s="13"/>
    </row>
    <row r="79" spans="1:57" x14ac:dyDescent="0.25">
      <c r="B79" s="31"/>
      <c r="C79" s="111"/>
      <c r="D79" s="112"/>
      <c r="E79" s="28"/>
      <c r="F79" s="113"/>
      <c r="G79" s="11"/>
      <c r="H79" s="71"/>
      <c r="I79" s="21"/>
      <c r="J79" s="21"/>
      <c r="K79" s="108"/>
      <c r="L79" s="108"/>
      <c r="M79" s="109"/>
      <c r="N79" s="5"/>
      <c r="O79" s="110"/>
      <c r="P79" s="110"/>
      <c r="Q79" s="110"/>
      <c r="R79" s="110"/>
      <c r="S79" s="110"/>
      <c r="T79" s="110"/>
      <c r="U79" s="110"/>
      <c r="V79" s="110"/>
      <c r="W79" s="110"/>
      <c r="X79" s="110"/>
      <c r="Y79" s="110"/>
      <c r="Z79" s="110"/>
      <c r="AA79" s="110"/>
      <c r="AB79" s="110"/>
      <c r="AC79" s="110"/>
      <c r="AD79" s="110"/>
      <c r="AE79" s="110"/>
      <c r="AF79" s="110"/>
      <c r="AG79" s="110"/>
      <c r="AH79" s="110"/>
      <c r="AI79" s="110"/>
      <c r="AJ79" s="110"/>
      <c r="AK79" s="110"/>
      <c r="AL79" s="110"/>
      <c r="AM79" s="110"/>
      <c r="AN79" s="110"/>
      <c r="AO79" s="110"/>
      <c r="AP79" s="110"/>
      <c r="AQ79" s="110"/>
      <c r="AR79" s="110"/>
      <c r="AS79" s="110"/>
      <c r="AT79" s="110"/>
      <c r="AU79" s="110"/>
      <c r="AV79" s="110"/>
      <c r="AW79" s="110"/>
      <c r="AX79" s="110"/>
      <c r="AY79" s="21"/>
      <c r="AZ79" s="21"/>
      <c r="BB79" s="13"/>
    </row>
    <row r="80" spans="1:57" x14ac:dyDescent="0.25">
      <c r="A80"/>
      <c r="B80" s="106"/>
      <c r="C80" s="106"/>
      <c r="D80" s="112"/>
      <c r="E80" s="31"/>
      <c r="F80" s="114"/>
      <c r="G80" s="11"/>
      <c r="H80" s="71"/>
      <c r="I80" s="13"/>
      <c r="J80" s="13"/>
      <c r="K80" s="108"/>
      <c r="L80" s="21"/>
      <c r="M80" s="21"/>
      <c r="N80" s="5"/>
      <c r="O80" s="110"/>
      <c r="P80" s="110"/>
      <c r="Q80" s="110"/>
      <c r="R80" s="110"/>
      <c r="S80" s="110"/>
      <c r="T80" s="110"/>
      <c r="U80" s="110"/>
      <c r="V80" s="110"/>
      <c r="W80" s="110"/>
      <c r="X80" s="110"/>
      <c r="Y80" s="110"/>
      <c r="Z80" s="110"/>
      <c r="AA80" s="110"/>
      <c r="AB80" s="110"/>
      <c r="AC80" s="110"/>
      <c r="AD80" s="110"/>
      <c r="AE80" s="110"/>
      <c r="AF80" s="110"/>
      <c r="AG80" s="110"/>
      <c r="AH80" s="110"/>
      <c r="AI80" s="110"/>
      <c r="AJ80" s="110"/>
      <c r="AK80" s="110"/>
      <c r="AL80" s="110"/>
      <c r="AM80" s="110"/>
      <c r="AN80" s="110"/>
      <c r="AO80" s="110"/>
      <c r="AP80" s="110"/>
      <c r="AQ80" s="110"/>
      <c r="AR80" s="110"/>
      <c r="AS80" s="110"/>
      <c r="AT80" s="110"/>
      <c r="AU80" s="110"/>
      <c r="AV80" s="110"/>
      <c r="AW80" s="110"/>
      <c r="AX80" s="110"/>
      <c r="AY80" s="21"/>
      <c r="AZ80" s="21"/>
      <c r="BB80" s="13"/>
    </row>
    <row r="81" spans="1:54" x14ac:dyDescent="0.25">
      <c r="A81"/>
      <c r="B81" s="106"/>
      <c r="C81" s="106"/>
      <c r="D81" s="112"/>
      <c r="E81" s="31"/>
      <c r="F81" s="114"/>
      <c r="G81" s="11"/>
      <c r="H81" s="71"/>
      <c r="I81" s="13"/>
      <c r="J81" s="13"/>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B81" s="13"/>
    </row>
    <row r="82" spans="1:54" x14ac:dyDescent="0.25">
      <c r="A82"/>
      <c r="B82" s="115"/>
      <c r="C82" s="104"/>
      <c r="D82" s="112"/>
      <c r="E82" s="31"/>
      <c r="F82" s="116"/>
      <c r="G82" s="11"/>
      <c r="H82" s="71"/>
      <c r="I82" s="13"/>
      <c r="J82" s="13"/>
      <c r="K82" s="21"/>
      <c r="L82" s="103"/>
      <c r="M82" s="7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B82" s="13"/>
    </row>
    <row r="83" spans="1:54" x14ac:dyDescent="0.25">
      <c r="A83"/>
      <c r="B83" s="71"/>
      <c r="C83" s="117"/>
      <c r="D83" s="112"/>
      <c r="E83" s="31"/>
      <c r="F83" s="118"/>
      <c r="G83" s="11"/>
      <c r="H83" s="71"/>
      <c r="I83" s="13"/>
      <c r="J83" s="13"/>
      <c r="K83" s="21"/>
      <c r="L83" s="104"/>
      <c r="M83" s="105"/>
      <c r="N83" s="7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B83" s="13"/>
    </row>
    <row r="84" spans="1:54" x14ac:dyDescent="0.25">
      <c r="A84"/>
      <c r="B84" s="71"/>
      <c r="C84" s="119"/>
      <c r="D84" s="71"/>
      <c r="E84" s="31"/>
      <c r="F84" s="120"/>
      <c r="G84" s="71"/>
      <c r="H84" s="71"/>
      <c r="I84" s="13"/>
      <c r="J84" s="13"/>
      <c r="K84" s="21"/>
      <c r="L84" s="104"/>
      <c r="M84" s="105"/>
      <c r="N84" s="105"/>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row>
    <row r="85" spans="1:54" x14ac:dyDescent="0.25">
      <c r="A85"/>
      <c r="B85" s="71"/>
      <c r="C85" s="117"/>
      <c r="D85" s="71"/>
      <c r="E85" s="28"/>
      <c r="F85" s="71"/>
      <c r="G85" s="71"/>
      <c r="H85" s="71"/>
      <c r="I85" s="13"/>
      <c r="J85" s="13"/>
      <c r="K85" s="21"/>
      <c r="L85" s="105"/>
      <c r="M85" s="105"/>
      <c r="N85" s="105"/>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row>
    <row r="86" spans="1:54" x14ac:dyDescent="0.25">
      <c r="A86"/>
      <c r="B86" s="112"/>
      <c r="C86" s="121"/>
      <c r="D86" s="71"/>
      <c r="E86" s="31"/>
      <c r="F86" s="122"/>
      <c r="G86" s="71"/>
      <c r="H86" s="71"/>
      <c r="I86" s="13"/>
      <c r="J86" s="13"/>
      <c r="K86" s="21"/>
      <c r="L86" s="21"/>
      <c r="M86" s="107"/>
      <c r="N86" s="105"/>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row>
    <row r="87" spans="1:54" x14ac:dyDescent="0.25">
      <c r="A87"/>
      <c r="B87" s="71"/>
      <c r="C87" s="117"/>
      <c r="D87" s="71"/>
      <c r="E87" s="31"/>
      <c r="F87" s="123"/>
      <c r="G87" s="71"/>
      <c r="H87" s="71"/>
      <c r="I87" s="13"/>
      <c r="J87" s="13"/>
      <c r="K87" s="21"/>
      <c r="L87" s="21"/>
      <c r="M87" s="107"/>
      <c r="N87" s="5"/>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row>
    <row r="88" spans="1:54" x14ac:dyDescent="0.25">
      <c r="A88"/>
      <c r="B88" s="71"/>
      <c r="C88" s="117"/>
      <c r="D88" s="71"/>
      <c r="E88" s="31"/>
      <c r="F88" s="124"/>
      <c r="G88" s="71"/>
      <c r="H88" s="71"/>
      <c r="I88" s="13"/>
      <c r="J88" s="13"/>
      <c r="K88" s="21"/>
      <c r="L88" s="21"/>
      <c r="M88" s="107"/>
      <c r="N88" s="5"/>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row>
    <row r="89" spans="1:54" x14ac:dyDescent="0.25">
      <c r="A89"/>
      <c r="B89" s="71"/>
      <c r="C89" s="117"/>
      <c r="D89" s="71"/>
      <c r="E89" s="31"/>
      <c r="F89" s="117"/>
      <c r="G89" s="71"/>
      <c r="H89" s="71"/>
      <c r="I89" s="13"/>
      <c r="J89" s="13"/>
      <c r="K89" s="21"/>
      <c r="L89" s="21"/>
      <c r="M89" s="107"/>
      <c r="N89" s="5"/>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row>
    <row r="90" spans="1:54" x14ac:dyDescent="0.25">
      <c r="A90"/>
      <c r="B90" s="112"/>
      <c r="C90" s="112"/>
      <c r="D90" s="71"/>
      <c r="E90" s="31"/>
      <c r="F90" s="118"/>
      <c r="G90" s="71"/>
      <c r="H90" s="71"/>
      <c r="I90" s="13"/>
      <c r="J90" s="13"/>
      <c r="K90" s="21"/>
      <c r="L90" s="21"/>
      <c r="M90" s="107"/>
      <c r="N90" s="5"/>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row>
    <row r="91" spans="1:54" x14ac:dyDescent="0.25">
      <c r="A91"/>
      <c r="B91" s="112"/>
      <c r="C91" s="112"/>
      <c r="D91" s="71"/>
      <c r="E91" s="31"/>
      <c r="F91" s="125"/>
      <c r="G91" s="71"/>
      <c r="H91" s="71"/>
      <c r="I91" s="13"/>
      <c r="J91" s="13"/>
      <c r="K91" s="21"/>
      <c r="L91" s="21"/>
      <c r="M91" s="107"/>
      <c r="N91" s="5"/>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row>
    <row r="92" spans="1:54" x14ac:dyDescent="0.25">
      <c r="A92"/>
      <c r="B92" s="112"/>
      <c r="C92" s="112"/>
      <c r="D92" s="71"/>
      <c r="E92" s="31"/>
      <c r="F92" s="125"/>
      <c r="G92" s="71"/>
      <c r="H92" s="71"/>
      <c r="I92" s="13"/>
      <c r="J92" s="13"/>
      <c r="K92" s="21"/>
      <c r="L92" s="21"/>
      <c r="M92" s="107"/>
      <c r="N92" s="5"/>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row>
    <row r="93" spans="1:54" x14ac:dyDescent="0.25">
      <c r="A93"/>
      <c r="B93" s="112"/>
      <c r="C93" s="112"/>
      <c r="D93" s="71"/>
      <c r="E93" s="71"/>
      <c r="F93" s="71"/>
      <c r="G93" s="71"/>
      <c r="H93" s="71"/>
      <c r="I93" s="13"/>
      <c r="J93" s="13"/>
      <c r="K93" s="21"/>
      <c r="L93" s="21"/>
      <c r="M93" s="107"/>
      <c r="N93" s="5"/>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row>
    <row r="94" spans="1:54" x14ac:dyDescent="0.25">
      <c r="A94"/>
      <c r="B94" s="112"/>
      <c r="C94" s="112"/>
      <c r="D94" s="71"/>
      <c r="E94" s="71"/>
      <c r="F94" s="71"/>
      <c r="G94" s="71"/>
      <c r="H94" s="71"/>
      <c r="I94" s="13"/>
      <c r="J94" s="13"/>
      <c r="K94" s="21"/>
      <c r="L94" s="21"/>
      <c r="M94" s="107"/>
      <c r="N94" s="5"/>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row>
    <row r="95" spans="1:54" x14ac:dyDescent="0.25">
      <c r="A95"/>
      <c r="B95" s="31"/>
      <c r="C95" s="19"/>
      <c r="D95" s="71"/>
      <c r="E95" s="28"/>
      <c r="F95" s="35"/>
      <c r="G95" s="35"/>
      <c r="H95" s="35"/>
      <c r="I95" s="13"/>
      <c r="J95" s="13"/>
      <c r="K95" s="13"/>
      <c r="L95" s="21"/>
      <c r="M95" s="107"/>
      <c r="N95" s="5"/>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row>
    <row r="96" spans="1:54" x14ac:dyDescent="0.25">
      <c r="A96"/>
      <c r="B96" s="112"/>
      <c r="C96" s="112"/>
      <c r="D96" s="71"/>
      <c r="E96" s="31"/>
      <c r="F96" s="126"/>
      <c r="G96" s="118"/>
      <c r="H96" s="118"/>
      <c r="I96" s="13"/>
      <c r="J96" s="13"/>
      <c r="K96" s="13"/>
      <c r="L96" s="21"/>
      <c r="M96" s="107"/>
      <c r="N96" s="5"/>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row>
    <row r="97" spans="1:50" x14ac:dyDescent="0.25">
      <c r="A97"/>
      <c r="B97" s="112"/>
      <c r="C97" s="112"/>
      <c r="D97" s="71"/>
      <c r="E97" s="31"/>
      <c r="F97" s="126"/>
      <c r="G97" s="118"/>
      <c r="H97" s="127"/>
      <c r="I97" s="13"/>
      <c r="J97" s="13"/>
      <c r="K97" s="13"/>
      <c r="L97" s="21"/>
      <c r="M97" s="107"/>
      <c r="N97" s="5"/>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row>
    <row r="98" spans="1:50" x14ac:dyDescent="0.25">
      <c r="A98"/>
      <c r="B98" s="31"/>
      <c r="C98" s="119"/>
      <c r="D98" s="71"/>
      <c r="E98" s="31"/>
      <c r="F98" s="126"/>
      <c r="G98" s="118"/>
      <c r="H98" s="118"/>
      <c r="I98" s="13"/>
      <c r="J98" s="13"/>
      <c r="K98" s="13"/>
      <c r="L98" s="106"/>
      <c r="M98" s="31"/>
      <c r="N98" s="5"/>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row>
    <row r="99" spans="1:50" x14ac:dyDescent="0.25">
      <c r="A99"/>
      <c r="B99" s="31"/>
      <c r="C99" s="119"/>
      <c r="D99" s="71"/>
      <c r="E99" s="31"/>
      <c r="F99" s="123"/>
      <c r="G99" s="118"/>
      <c r="H99" s="118"/>
      <c r="I99" s="13"/>
      <c r="J99" s="13"/>
      <c r="K99" s="13"/>
      <c r="L99" s="106"/>
      <c r="M99" s="31"/>
      <c r="N99" s="128"/>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row>
    <row r="100" spans="1:50" x14ac:dyDescent="0.25">
      <c r="A100"/>
      <c r="B100" s="129"/>
      <c r="C100" s="31"/>
      <c r="D100" s="71"/>
      <c r="E100" s="115"/>
      <c r="F100" s="113"/>
      <c r="G100" s="36"/>
      <c r="H100" s="118"/>
      <c r="I100" s="13"/>
      <c r="J100" s="13"/>
      <c r="K100" s="13"/>
      <c r="L100" s="106"/>
      <c r="M100" s="31"/>
      <c r="N100" s="128"/>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row>
    <row r="101" spans="1:50" x14ac:dyDescent="0.25">
      <c r="A101"/>
      <c r="B101" s="31"/>
      <c r="C101" s="130"/>
      <c r="D101" s="71"/>
      <c r="E101" s="21"/>
      <c r="F101" s="21"/>
      <c r="G101" s="21"/>
      <c r="H101" s="21"/>
      <c r="I101" s="13"/>
      <c r="J101" s="13"/>
      <c r="K101" s="13"/>
      <c r="L101" s="106"/>
      <c r="M101" s="31"/>
      <c r="N101" s="128"/>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row>
    <row r="102" spans="1:50" x14ac:dyDescent="0.25">
      <c r="A102"/>
      <c r="B102" s="71"/>
      <c r="C102" s="71"/>
      <c r="D102" s="21"/>
      <c r="E102" s="21"/>
      <c r="F102" s="21"/>
      <c r="G102" s="21"/>
      <c r="H102" s="21"/>
      <c r="I102" s="13"/>
      <c r="J102" s="13"/>
      <c r="K102" s="13"/>
      <c r="L102" s="106"/>
      <c r="M102" s="31"/>
      <c r="N102" s="110"/>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row>
    <row r="103" spans="1:50" x14ac:dyDescent="0.25">
      <c r="A103"/>
      <c r="B103" s="21"/>
      <c r="C103" s="21"/>
      <c r="D103" s="21"/>
      <c r="E103" s="28"/>
      <c r="F103" s="113"/>
      <c r="G103" s="21"/>
      <c r="H103" s="21"/>
      <c r="I103" s="13"/>
      <c r="J103" s="13"/>
      <c r="K103" s="13"/>
      <c r="L103" s="106"/>
      <c r="M103" s="31"/>
      <c r="N103" s="110"/>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row>
    <row r="104" spans="1:50" x14ac:dyDescent="0.25">
      <c r="A104"/>
      <c r="B104" s="21"/>
      <c r="C104" s="21"/>
      <c r="D104" s="21"/>
      <c r="E104" s="31"/>
      <c r="F104" s="131"/>
      <c r="G104" s="21"/>
      <c r="H104" s="21"/>
      <c r="I104" s="13"/>
      <c r="J104" s="13"/>
      <c r="K104" s="13"/>
      <c r="L104" s="13"/>
      <c r="M104" s="13"/>
      <c r="N104" s="110"/>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row>
    <row r="105" spans="1:50" x14ac:dyDescent="0.25">
      <c r="A105"/>
      <c r="B105" s="21"/>
      <c r="C105" s="21"/>
      <c r="D105" s="21"/>
      <c r="E105" s="31"/>
      <c r="F105" s="131"/>
      <c r="G105" s="21"/>
      <c r="H105" s="21"/>
      <c r="I105" s="13"/>
      <c r="J105" s="13"/>
      <c r="K105" s="13"/>
      <c r="L105" s="13"/>
      <c r="M105" s="13"/>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row>
    <row r="106" spans="1:50" x14ac:dyDescent="0.25">
      <c r="A106"/>
      <c r="B106" s="21"/>
      <c r="C106" s="21"/>
      <c r="D106" s="21"/>
      <c r="E106" s="31"/>
      <c r="F106" s="131"/>
      <c r="G106" s="21"/>
      <c r="H106" s="21"/>
      <c r="I106" s="13"/>
      <c r="J106" s="13"/>
      <c r="K106" s="13"/>
      <c r="L106" s="13"/>
      <c r="M106" s="13"/>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row>
    <row r="107" spans="1:50" x14ac:dyDescent="0.25">
      <c r="A107"/>
      <c r="B107" s="21"/>
      <c r="C107" s="21"/>
      <c r="D107" s="21"/>
      <c r="E107" s="31"/>
      <c r="F107" s="131"/>
      <c r="G107" s="21"/>
      <c r="H107" s="21"/>
      <c r="I107" s="13"/>
      <c r="J107" s="13"/>
      <c r="K107" s="13"/>
      <c r="L107" s="13"/>
      <c r="M107" s="13"/>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row>
    <row r="108" spans="1:50" x14ac:dyDescent="0.25">
      <c r="A108"/>
      <c r="B108" s="21"/>
      <c r="C108" s="21"/>
      <c r="D108" s="21"/>
      <c r="E108" s="21"/>
      <c r="F108" s="21"/>
      <c r="G108" s="21"/>
      <c r="H108" s="21"/>
      <c r="I108" s="13"/>
      <c r="J108" s="13"/>
      <c r="K108" s="13"/>
      <c r="L108" s="13"/>
      <c r="M108" s="13"/>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row>
    <row r="109" spans="1:50" x14ac:dyDescent="0.25">
      <c r="A109"/>
      <c r="B109" s="21"/>
      <c r="C109" s="21"/>
      <c r="D109" s="21"/>
      <c r="E109" s="21"/>
      <c r="F109" s="21"/>
      <c r="G109" s="21"/>
      <c r="H109" s="21"/>
      <c r="I109" s="13"/>
      <c r="J109" s="13"/>
      <c r="K109" s="13"/>
      <c r="L109" s="13"/>
      <c r="M109" s="13"/>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row>
    <row r="110" spans="1:50" ht="13.8" x14ac:dyDescent="0.3">
      <c r="A110"/>
      <c r="B110" s="18"/>
      <c r="C110" s="18"/>
      <c r="D110" s="21"/>
      <c r="E110" s="21"/>
      <c r="F110" s="21"/>
      <c r="G110" s="21"/>
      <c r="H110" s="21"/>
      <c r="I110" s="13"/>
      <c r="J110" s="13"/>
      <c r="K110" s="13"/>
      <c r="L110" s="13"/>
      <c r="M110" s="13"/>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row>
    <row r="111" spans="1:50" ht="13.8" x14ac:dyDescent="0.3">
      <c r="A111"/>
      <c r="B111" s="17"/>
      <c r="C111" s="18"/>
      <c r="D111" s="21"/>
      <c r="E111" s="21"/>
      <c r="F111" s="21"/>
      <c r="G111" s="21"/>
      <c r="H111" s="21"/>
      <c r="I111" s="13"/>
      <c r="J111" s="13"/>
      <c r="K111" s="13"/>
      <c r="L111" s="13"/>
      <c r="M111" s="13"/>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row>
    <row r="112" spans="1:50" ht="13.8" x14ac:dyDescent="0.3">
      <c r="A112"/>
      <c r="B112" s="17"/>
      <c r="C112" s="18"/>
      <c r="D112" s="21"/>
      <c r="E112" s="21"/>
      <c r="F112" s="21"/>
      <c r="G112" s="21"/>
      <c r="H112" s="21"/>
      <c r="I112" s="13"/>
      <c r="J112" s="13"/>
      <c r="K112" s="13"/>
      <c r="L112" s="13"/>
      <c r="M112" s="13"/>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row>
    <row r="113" spans="1:50" ht="13.8" x14ac:dyDescent="0.3">
      <c r="A113"/>
      <c r="B113" s="17"/>
      <c r="C113" s="18"/>
      <c r="D113" s="21"/>
      <c r="E113" s="21"/>
      <c r="F113" s="21"/>
      <c r="G113" s="21"/>
      <c r="H113" s="21"/>
      <c r="I113" s="13"/>
      <c r="J113" s="13"/>
      <c r="K113" s="13"/>
      <c r="L113" s="13"/>
      <c r="M113" s="13"/>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row>
    <row r="114" spans="1:50" ht="13.8" x14ac:dyDescent="0.3">
      <c r="A114"/>
      <c r="B114" s="17"/>
      <c r="C114" s="18"/>
      <c r="D114" s="21"/>
      <c r="E114" s="21"/>
      <c r="F114" s="21"/>
      <c r="G114" s="21"/>
      <c r="H114" s="21"/>
      <c r="I114" s="13"/>
      <c r="J114" s="13"/>
      <c r="K114" s="13"/>
      <c r="L114" s="13"/>
      <c r="M114" s="13"/>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row>
    <row r="115" spans="1:50" ht="13.8" x14ac:dyDescent="0.3">
      <c r="A115"/>
      <c r="B115" s="17"/>
      <c r="C115" s="18"/>
      <c r="D115" s="21"/>
      <c r="E115" s="21"/>
      <c r="F115" s="21"/>
      <c r="G115" s="21"/>
      <c r="H115" s="21"/>
      <c r="I115" s="13"/>
      <c r="J115" s="13"/>
      <c r="K115" s="13"/>
      <c r="L115" s="13"/>
      <c r="M115" s="13"/>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row>
    <row r="116" spans="1:50" x14ac:dyDescent="0.25">
      <c r="A116"/>
      <c r="B116" s="13"/>
      <c r="C116" s="21"/>
      <c r="D116" s="21"/>
      <c r="E116" s="13"/>
      <c r="F116" s="13"/>
      <c r="G116" s="13"/>
      <c r="H116" s="13"/>
      <c r="I116" s="13"/>
      <c r="J116" s="13"/>
      <c r="K116" s="13"/>
      <c r="L116" s="13"/>
      <c r="M116" s="13"/>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row>
    <row r="117" spans="1:50" x14ac:dyDescent="0.25">
      <c r="A117"/>
      <c r="B117" s="13"/>
      <c r="C117" s="21"/>
      <c r="D117" s="21"/>
      <c r="E117" s="13"/>
      <c r="F117" s="13"/>
      <c r="G117" s="13"/>
      <c r="H117" s="13"/>
      <c r="I117" s="13"/>
      <c r="J117" s="13"/>
      <c r="K117" s="13"/>
      <c r="L117"/>
      <c r="M117"/>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row>
    <row r="118" spans="1:50" x14ac:dyDescent="0.25">
      <c r="E118"/>
      <c r="F118"/>
      <c r="G118"/>
      <c r="H118"/>
      <c r="I118"/>
      <c r="J118"/>
      <c r="K118"/>
      <c r="L118"/>
      <c r="M118"/>
    </row>
    <row r="119" spans="1:50" x14ac:dyDescent="0.25">
      <c r="E119"/>
      <c r="F119"/>
      <c r="G119"/>
      <c r="H119"/>
      <c r="I119"/>
      <c r="J119"/>
      <c r="K119"/>
      <c r="L119"/>
      <c r="M119"/>
    </row>
    <row r="120" spans="1:50" x14ac:dyDescent="0.25">
      <c r="E120"/>
      <c r="F120"/>
      <c r="G120"/>
      <c r="H120"/>
      <c r="I120"/>
      <c r="J120"/>
      <c r="K120"/>
      <c r="L120"/>
      <c r="M120"/>
    </row>
    <row r="121" spans="1:50" x14ac:dyDescent="0.25">
      <c r="E121"/>
      <c r="F121"/>
      <c r="G121"/>
      <c r="H121"/>
      <c r="I121"/>
      <c r="J121"/>
      <c r="K121"/>
      <c r="L121"/>
      <c r="M121"/>
    </row>
    <row r="122" spans="1:50" x14ac:dyDescent="0.25">
      <c r="E122"/>
      <c r="F122"/>
      <c r="G122"/>
      <c r="H122"/>
      <c r="I122"/>
      <c r="J122"/>
      <c r="K122"/>
      <c r="L122"/>
      <c r="M122"/>
    </row>
    <row r="123" spans="1:50" x14ac:dyDescent="0.25">
      <c r="E123"/>
      <c r="F123"/>
      <c r="G123"/>
      <c r="H123"/>
      <c r="I123"/>
      <c r="J123"/>
      <c r="K123"/>
      <c r="L123"/>
      <c r="M123"/>
    </row>
    <row r="124" spans="1:50" x14ac:dyDescent="0.25">
      <c r="E124"/>
      <c r="F124"/>
      <c r="G124"/>
      <c r="H124"/>
      <c r="I124"/>
      <c r="J124"/>
      <c r="K124"/>
      <c r="L124"/>
      <c r="M124"/>
    </row>
    <row r="125" spans="1:50" x14ac:dyDescent="0.25">
      <c r="E125"/>
      <c r="F125"/>
      <c r="G125"/>
      <c r="H125"/>
      <c r="I125"/>
      <c r="J125"/>
      <c r="K125"/>
      <c r="L125"/>
      <c r="M125"/>
    </row>
    <row r="126" spans="1:50" x14ac:dyDescent="0.25">
      <c r="E126"/>
      <c r="F126"/>
      <c r="G126"/>
      <c r="H126"/>
      <c r="I126"/>
      <c r="J126"/>
      <c r="K126"/>
      <c r="L126"/>
      <c r="M126"/>
    </row>
    <row r="127" spans="1:50" x14ac:dyDescent="0.25">
      <c r="E127"/>
      <c r="F127"/>
      <c r="G127"/>
      <c r="H127"/>
      <c r="I127"/>
      <c r="J127"/>
      <c r="K127"/>
      <c r="L127"/>
      <c r="M127"/>
    </row>
    <row r="128" spans="1:50" x14ac:dyDescent="0.25">
      <c r="E128"/>
      <c r="F128"/>
      <c r="G128"/>
      <c r="H128"/>
      <c r="I128"/>
      <c r="J128"/>
      <c r="K128"/>
      <c r="L128"/>
      <c r="M128"/>
    </row>
    <row r="129" spans="5:13" x14ac:dyDescent="0.25">
      <c r="E129"/>
      <c r="F129"/>
      <c r="G129"/>
      <c r="H129"/>
      <c r="I129"/>
      <c r="J129"/>
      <c r="K129"/>
      <c r="L129"/>
      <c r="M129"/>
    </row>
    <row r="130" spans="5:13" x14ac:dyDescent="0.25">
      <c r="E130"/>
      <c r="F130"/>
      <c r="G130"/>
      <c r="H130"/>
      <c r="I130"/>
      <c r="J130"/>
      <c r="K130"/>
      <c r="L130"/>
      <c r="M130"/>
    </row>
    <row r="131" spans="5:13" x14ac:dyDescent="0.25">
      <c r="E131"/>
      <c r="F131"/>
      <c r="G131"/>
      <c r="H131"/>
      <c r="I131"/>
      <c r="J131"/>
      <c r="K131"/>
      <c r="L131"/>
      <c r="M131"/>
    </row>
    <row r="132" spans="5:13" x14ac:dyDescent="0.25">
      <c r="E132"/>
      <c r="F132"/>
      <c r="G132"/>
      <c r="H132"/>
      <c r="I132"/>
      <c r="J132"/>
      <c r="K132"/>
      <c r="L132"/>
      <c r="M132"/>
    </row>
    <row r="133" spans="5:13" x14ac:dyDescent="0.25">
      <c r="E133"/>
      <c r="F133"/>
      <c r="G133"/>
      <c r="H133"/>
      <c r="I133"/>
      <c r="J133"/>
      <c r="K133"/>
      <c r="L133"/>
      <c r="M133"/>
    </row>
    <row r="134" spans="5:13" x14ac:dyDescent="0.25">
      <c r="E134"/>
      <c r="F134"/>
      <c r="G134"/>
      <c r="H134"/>
      <c r="I134"/>
      <c r="J134"/>
      <c r="K134"/>
    </row>
    <row r="261" spans="1:8" x14ac:dyDescent="0.25">
      <c r="A261" s="21"/>
      <c r="B261" s="21"/>
      <c r="C261" s="21"/>
      <c r="D261" s="21"/>
      <c r="E261" s="21"/>
      <c r="F261" s="21"/>
    </row>
    <row r="262" spans="1:8" x14ac:dyDescent="0.25">
      <c r="A262" s="21"/>
      <c r="B262" s="12"/>
      <c r="C262" s="21"/>
      <c r="D262" s="132"/>
      <c r="E262" s="12"/>
      <c r="F262" s="12"/>
    </row>
    <row r="263" spans="1:8" x14ac:dyDescent="0.25">
      <c r="A263" s="21"/>
      <c r="B263" s="12"/>
      <c r="C263" s="12"/>
      <c r="D263" s="12"/>
      <c r="E263" s="12"/>
      <c r="F263" s="12"/>
    </row>
    <row r="264" spans="1:8" x14ac:dyDescent="0.25">
      <c r="A264" s="21"/>
      <c r="B264" s="21"/>
      <c r="C264" s="21"/>
      <c r="D264" s="12"/>
      <c r="E264" s="12"/>
      <c r="F264" s="12"/>
    </row>
    <row r="265" spans="1:8" x14ac:dyDescent="0.25">
      <c r="A265" s="21"/>
      <c r="B265" s="12"/>
      <c r="C265" s="12"/>
      <c r="D265" s="12"/>
      <c r="E265" s="12"/>
      <c r="F265" s="12"/>
    </row>
    <row r="266" spans="1:8" x14ac:dyDescent="0.25">
      <c r="A266" s="21"/>
      <c r="B266" s="12"/>
      <c r="C266" s="12"/>
      <c r="D266" s="12"/>
      <c r="E266" s="12"/>
      <c r="F266" s="12"/>
      <c r="H266"/>
    </row>
    <row r="267" spans="1:8" x14ac:dyDescent="0.25">
      <c r="A267" s="21"/>
      <c r="B267" s="21"/>
      <c r="C267" s="21"/>
      <c r="D267" s="21"/>
      <c r="E267" s="21"/>
      <c r="F267" s="21"/>
      <c r="H267"/>
    </row>
    <row r="268" spans="1:8" x14ac:dyDescent="0.25">
      <c r="A268" s="21"/>
      <c r="B268" s="21"/>
      <c r="C268" s="21"/>
      <c r="D268" s="21"/>
      <c r="E268" s="21"/>
      <c r="F268" s="21"/>
      <c r="H268"/>
    </row>
    <row r="269" spans="1:8" x14ac:dyDescent="0.25">
      <c r="A269" s="21"/>
      <c r="B269" s="12"/>
      <c r="C269" s="21"/>
      <c r="D269" s="133"/>
      <c r="E269" s="21"/>
      <c r="F269" s="21"/>
      <c r="H269"/>
    </row>
    <row r="270" spans="1:8" x14ac:dyDescent="0.25">
      <c r="A270" s="21"/>
      <c r="B270" s="12"/>
      <c r="C270" s="21"/>
      <c r="D270" s="132"/>
      <c r="E270" s="12"/>
      <c r="F270" s="12"/>
      <c r="H270"/>
    </row>
    <row r="271" spans="1:8" x14ac:dyDescent="0.25">
      <c r="A271" s="21"/>
      <c r="B271" s="12"/>
      <c r="C271" s="12"/>
      <c r="D271" s="12"/>
      <c r="E271" s="12"/>
      <c r="F271" s="12"/>
      <c r="H271"/>
    </row>
    <row r="272" spans="1:8" x14ac:dyDescent="0.25">
      <c r="A272" s="21"/>
      <c r="B272" s="21"/>
      <c r="C272" s="21"/>
      <c r="D272" s="12"/>
      <c r="E272" s="12"/>
      <c r="F272" s="12"/>
      <c r="H272"/>
    </row>
    <row r="273" spans="1:8" x14ac:dyDescent="0.25">
      <c r="A273" s="21"/>
      <c r="B273" s="12"/>
      <c r="C273" s="12"/>
      <c r="D273" s="12"/>
      <c r="E273" s="12"/>
      <c r="F273" s="12"/>
      <c r="H273"/>
    </row>
    <row r="274" spans="1:8" x14ac:dyDescent="0.25">
      <c r="A274" s="21"/>
      <c r="B274" s="12"/>
      <c r="C274" s="12"/>
      <c r="D274" s="12"/>
      <c r="E274" s="12"/>
      <c r="F274" s="12"/>
      <c r="H274"/>
    </row>
    <row r="275" spans="1:8" x14ac:dyDescent="0.25">
      <c r="A275" s="21"/>
      <c r="B275" s="134"/>
      <c r="C275" s="134"/>
      <c r="D275" s="134"/>
      <c r="E275" s="134"/>
      <c r="F275" s="134"/>
      <c r="H275"/>
    </row>
    <row r="276" spans="1:8" x14ac:dyDescent="0.25">
      <c r="A276" s="21"/>
      <c r="B276" s="12"/>
      <c r="C276" s="134"/>
      <c r="D276" s="134"/>
      <c r="E276" s="134"/>
      <c r="F276" s="134"/>
      <c r="H276"/>
    </row>
    <row r="277" spans="1:8" x14ac:dyDescent="0.25">
      <c r="A277" s="21"/>
      <c r="B277" s="12"/>
      <c r="C277" s="21"/>
      <c r="D277" s="132"/>
      <c r="E277" s="12"/>
      <c r="F277" s="12"/>
      <c r="H277"/>
    </row>
    <row r="278" spans="1:8" x14ac:dyDescent="0.25">
      <c r="A278" s="21"/>
      <c r="B278" s="12"/>
      <c r="C278" s="12"/>
      <c r="D278" s="12"/>
      <c r="E278" s="12"/>
      <c r="F278" s="12"/>
      <c r="H278"/>
    </row>
    <row r="279" spans="1:8" x14ac:dyDescent="0.25">
      <c r="A279" s="21"/>
      <c r="B279" s="21"/>
      <c r="C279" s="21"/>
      <c r="D279" s="12"/>
      <c r="E279" s="12"/>
      <c r="F279" s="12"/>
      <c r="H279"/>
    </row>
    <row r="280" spans="1:8" x14ac:dyDescent="0.25">
      <c r="A280" s="21"/>
      <c r="B280" s="12"/>
      <c r="C280" s="12"/>
      <c r="D280" s="12"/>
      <c r="E280" s="12"/>
      <c r="F280" s="12"/>
      <c r="H280"/>
    </row>
    <row r="281" spans="1:8" x14ac:dyDescent="0.25">
      <c r="A281" s="21"/>
      <c r="B281" s="12"/>
      <c r="C281" s="12"/>
      <c r="D281" s="12"/>
      <c r="E281" s="12"/>
      <c r="F281" s="12"/>
      <c r="H281"/>
    </row>
    <row r="282" spans="1:8" x14ac:dyDescent="0.25">
      <c r="A282" s="21"/>
      <c r="B282" s="134"/>
      <c r="C282" s="134"/>
      <c r="D282" s="134"/>
      <c r="E282" s="134"/>
      <c r="F282" s="134"/>
    </row>
    <row r="283" spans="1:8" x14ac:dyDescent="0.25">
      <c r="A283" s="21"/>
      <c r="B283" s="134"/>
      <c r="C283" s="135"/>
      <c r="D283" s="134"/>
      <c r="E283" s="134"/>
      <c r="F283" s="134"/>
    </row>
    <row r="284" spans="1:8" x14ac:dyDescent="0.25">
      <c r="A284" s="21"/>
      <c r="B284" s="21"/>
      <c r="C284" s="21" t="s">
        <v>281</v>
      </c>
      <c r="D284" s="21"/>
      <c r="E284" s="21"/>
      <c r="F284" s="21"/>
    </row>
    <row r="285" spans="1:8" x14ac:dyDescent="0.25">
      <c r="C285" s="1" t="s">
        <v>281</v>
      </c>
    </row>
    <row r="296" spans="2:6" x14ac:dyDescent="0.25">
      <c r="B296" s="15"/>
    </row>
    <row r="297" spans="2:6" ht="13.8" x14ac:dyDescent="0.3">
      <c r="B297" s="17"/>
      <c r="C297" s="21"/>
      <c r="D297" s="136"/>
      <c r="E297" s="19"/>
      <c r="F297" s="21"/>
    </row>
    <row r="298" spans="2:6" x14ac:dyDescent="0.25">
      <c r="B298" s="21"/>
      <c r="C298" s="21"/>
      <c r="D298" s="21"/>
      <c r="E298" s="21"/>
      <c r="F298" s="21"/>
    </row>
    <row r="299" spans="2:6" ht="13.8" x14ac:dyDescent="0.3">
      <c r="B299" s="17"/>
      <c r="C299" s="18"/>
      <c r="D299" s="19"/>
      <c r="E299" s="21"/>
      <c r="F299" s="21"/>
    </row>
    <row r="300" spans="2:6" x14ac:dyDescent="0.25">
      <c r="B300" s="17"/>
      <c r="C300" s="17"/>
      <c r="D300" s="21"/>
      <c r="E300" s="21"/>
      <c r="F300" s="21"/>
    </row>
    <row r="301" spans="2:6" ht="13.8" x14ac:dyDescent="0.3">
      <c r="B301" s="18"/>
      <c r="C301" s="18"/>
      <c r="D301" s="18"/>
      <c r="E301" s="21"/>
      <c r="F301" s="21"/>
    </row>
    <row r="302" spans="2:6" ht="13.8" x14ac:dyDescent="0.3">
      <c r="B302" s="17"/>
      <c r="C302" s="18"/>
      <c r="D302" s="19"/>
      <c r="E302" s="21"/>
      <c r="F302" s="21"/>
    </row>
    <row r="303" spans="2:6" ht="13.8" x14ac:dyDescent="0.3">
      <c r="B303" s="17"/>
      <c r="C303" s="18"/>
      <c r="D303" s="19"/>
      <c r="E303" s="21"/>
      <c r="F303" s="21"/>
    </row>
    <row r="304" spans="2:6" ht="13.8" x14ac:dyDescent="0.3">
      <c r="B304" s="17"/>
      <c r="C304" s="18"/>
      <c r="D304" s="19"/>
      <c r="E304" s="21"/>
      <c r="F304" s="21"/>
    </row>
    <row r="305" spans="2:6" ht="13.8" x14ac:dyDescent="0.3">
      <c r="B305" s="18"/>
      <c r="C305" s="18"/>
      <c r="D305" s="18"/>
      <c r="E305" s="21"/>
      <c r="F305" s="21"/>
    </row>
    <row r="306" spans="2:6" ht="13.8" x14ac:dyDescent="0.3">
      <c r="B306" s="21"/>
      <c r="C306" s="21"/>
      <c r="D306" s="18"/>
      <c r="E306" s="21"/>
      <c r="F306" s="21"/>
    </row>
    <row r="307" spans="2:6" x14ac:dyDescent="0.25">
      <c r="B307" s="21"/>
      <c r="C307" s="21"/>
      <c r="D307" s="21"/>
      <c r="E307" s="21"/>
      <c r="F307" s="21"/>
    </row>
    <row r="308" spans="2:6" x14ac:dyDescent="0.25">
      <c r="B308" s="21"/>
      <c r="C308" s="21"/>
      <c r="D308" s="21"/>
      <c r="E308" s="21"/>
      <c r="F308" s="21"/>
    </row>
    <row r="309" spans="2:6" x14ac:dyDescent="0.25">
      <c r="B309" s="21"/>
      <c r="C309" s="21"/>
      <c r="D309" s="21"/>
      <c r="E309" s="21"/>
      <c r="F309" s="21"/>
    </row>
    <row r="310" spans="2:6" x14ac:dyDescent="0.25">
      <c r="B310" s="21"/>
      <c r="C310" s="21"/>
      <c r="D310" s="21"/>
      <c r="E310" s="21"/>
      <c r="F310" s="21"/>
    </row>
    <row r="311" spans="2:6" x14ac:dyDescent="0.25">
      <c r="B311" s="21"/>
      <c r="C311" s="21"/>
      <c r="D311" s="21"/>
      <c r="E311" s="21"/>
      <c r="F311" s="21"/>
    </row>
    <row r="312" spans="2:6" ht="13.8" x14ac:dyDescent="0.3">
      <c r="B312" s="18"/>
      <c r="C312" s="18"/>
      <c r="D312" s="18"/>
      <c r="E312" s="21"/>
      <c r="F312" s="21"/>
    </row>
    <row r="313" spans="2:6" ht="13.8" x14ac:dyDescent="0.3">
      <c r="B313" s="17"/>
      <c r="C313" s="18"/>
      <c r="D313" s="19"/>
      <c r="E313" s="21"/>
      <c r="F313" s="21"/>
    </row>
    <row r="314" spans="2:6" ht="13.8" x14ac:dyDescent="0.3">
      <c r="B314" s="17"/>
      <c r="C314" s="18"/>
      <c r="D314" s="19"/>
      <c r="E314" s="21"/>
      <c r="F314" s="21"/>
    </row>
    <row r="315" spans="2:6" x14ac:dyDescent="0.25">
      <c r="B315" s="21"/>
      <c r="C315" s="21"/>
      <c r="D315" s="21"/>
      <c r="E315" s="21"/>
      <c r="F315" s="21"/>
    </row>
    <row r="316" spans="2:6" ht="13.8" x14ac:dyDescent="0.3">
      <c r="B316" s="17"/>
      <c r="C316" s="18"/>
      <c r="D316" s="19"/>
      <c r="E316" s="21"/>
      <c r="F316" s="21"/>
    </row>
    <row r="317" spans="2:6" ht="13.8" x14ac:dyDescent="0.3">
      <c r="B317" s="17"/>
      <c r="C317" s="18"/>
      <c r="D317" s="19"/>
      <c r="E317" s="21"/>
      <c r="F317" s="21"/>
    </row>
    <row r="318" spans="2:6" ht="13.8" x14ac:dyDescent="0.3">
      <c r="B318" s="17"/>
      <c r="C318" s="18"/>
      <c r="D318" s="19"/>
      <c r="E318" s="21"/>
      <c r="F318" s="21"/>
    </row>
    <row r="319" spans="2:6" ht="13.8" x14ac:dyDescent="0.3">
      <c r="B319" s="18"/>
      <c r="C319" s="18"/>
      <c r="D319" s="18"/>
      <c r="E319" s="21"/>
      <c r="F319" s="21"/>
    </row>
    <row r="320" spans="2:6" ht="13.8" x14ac:dyDescent="0.3">
      <c r="B320" s="17"/>
      <c r="C320" s="18"/>
      <c r="D320" s="19"/>
      <c r="E320" s="21"/>
      <c r="F320" s="21"/>
    </row>
    <row r="321" spans="2:6" ht="13.8" x14ac:dyDescent="0.3">
      <c r="B321" s="17"/>
      <c r="C321" s="18"/>
      <c r="D321" s="21"/>
      <c r="E321" s="21"/>
      <c r="F321" s="21"/>
    </row>
    <row r="322" spans="2:6" x14ac:dyDescent="0.25">
      <c r="B322" s="12"/>
      <c r="C322" s="12"/>
      <c r="D322" s="122"/>
      <c r="E322" s="137"/>
      <c r="F322" s="138"/>
    </row>
    <row r="323" spans="2:6" x14ac:dyDescent="0.25">
      <c r="B323" s="139"/>
      <c r="C323" s="139"/>
      <c r="D323" s="139"/>
      <c r="E323" s="137"/>
      <c r="F323" s="12"/>
    </row>
    <row r="324" spans="2:6" x14ac:dyDescent="0.25">
      <c r="B324" s="129"/>
      <c r="C324" s="129"/>
      <c r="D324" s="139"/>
      <c r="E324" s="137"/>
      <c r="F324" s="12"/>
    </row>
    <row r="325" spans="2:6" x14ac:dyDescent="0.25">
      <c r="B325" s="129"/>
      <c r="C325" s="129"/>
      <c r="D325" s="139"/>
      <c r="E325" s="137"/>
      <c r="F325" s="12"/>
    </row>
    <row r="326" spans="2:6" x14ac:dyDescent="0.25">
      <c r="B326" s="129"/>
      <c r="C326" s="129"/>
      <c r="D326" s="139"/>
      <c r="E326" s="137"/>
      <c r="F326" s="12"/>
    </row>
    <row r="327" spans="2:6" x14ac:dyDescent="0.25">
      <c r="B327" s="129"/>
      <c r="C327" s="129"/>
      <c r="D327" s="139"/>
      <c r="E327" s="137"/>
      <c r="F327" s="12"/>
    </row>
    <row r="328" spans="2:6" x14ac:dyDescent="0.25">
      <c r="B328" s="129"/>
      <c r="C328" s="129"/>
      <c r="D328" s="139"/>
      <c r="E328" s="137"/>
      <c r="F328" s="12"/>
    </row>
    <row r="329" spans="2:6" x14ac:dyDescent="0.25">
      <c r="B329" s="129"/>
      <c r="C329" s="129"/>
      <c r="D329" s="139"/>
      <c r="E329" s="137"/>
      <c r="F329" s="12"/>
    </row>
    <row r="330" spans="2:6" x14ac:dyDescent="0.25">
      <c r="B330" s="129"/>
      <c r="C330" s="129"/>
      <c r="D330" s="139"/>
      <c r="E330" s="137"/>
      <c r="F330" s="12"/>
    </row>
    <row r="331" spans="2:6" x14ac:dyDescent="0.25">
      <c r="B331" s="129"/>
      <c r="C331" s="129"/>
      <c r="D331" s="139"/>
      <c r="E331" s="137"/>
      <c r="F331" s="12"/>
    </row>
    <row r="332" spans="2:6" x14ac:dyDescent="0.25">
      <c r="B332" s="129"/>
      <c r="C332" s="129"/>
      <c r="D332" s="139"/>
      <c r="E332" s="137"/>
      <c r="F332" s="12"/>
    </row>
    <row r="333" spans="2:6" x14ac:dyDescent="0.25">
      <c r="B333" s="129"/>
      <c r="C333" s="129"/>
      <c r="D333" s="139"/>
      <c r="E333" s="137"/>
      <c r="F333" s="12"/>
    </row>
    <row r="334" spans="2:6" x14ac:dyDescent="0.25">
      <c r="B334" s="129"/>
      <c r="C334" s="129"/>
      <c r="D334" s="139"/>
      <c r="E334" s="137"/>
      <c r="F334" s="12"/>
    </row>
    <row r="335" spans="2:6" x14ac:dyDescent="0.25">
      <c r="B335" s="129"/>
      <c r="C335" s="129"/>
      <c r="D335" s="139"/>
      <c r="E335" s="137"/>
      <c r="F335" s="12"/>
    </row>
    <row r="336" spans="2:6" x14ac:dyDescent="0.25">
      <c r="B336" s="21"/>
      <c r="C336" s="21"/>
      <c r="D336" s="21"/>
      <c r="E336" s="21"/>
      <c r="F336" s="21"/>
    </row>
    <row r="337" spans="2:6" x14ac:dyDescent="0.25">
      <c r="B337" s="21"/>
      <c r="C337" s="21"/>
      <c r="D337" s="21"/>
      <c r="E337" s="21"/>
      <c r="F337" s="21"/>
    </row>
    <row r="338" spans="2:6" x14ac:dyDescent="0.25">
      <c r="B338" s="122"/>
      <c r="C338" s="122"/>
      <c r="D338" s="122"/>
      <c r="E338" s="21"/>
      <c r="F338" s="21"/>
    </row>
    <row r="339" spans="2:6" x14ac:dyDescent="0.25">
      <c r="B339" s="140"/>
      <c r="C339" s="140"/>
      <c r="D339" s="140"/>
      <c r="E339" s="21"/>
      <c r="F339" s="21"/>
    </row>
    <row r="340" spans="2:6" x14ac:dyDescent="0.25">
      <c r="B340" s="141"/>
      <c r="C340" s="141"/>
      <c r="D340" s="140"/>
      <c r="E340" s="21"/>
      <c r="F340" s="21"/>
    </row>
    <row r="341" spans="2:6" x14ac:dyDescent="0.25">
      <c r="B341" s="141"/>
      <c r="C341" s="141"/>
      <c r="D341" s="140"/>
      <c r="E341" s="21"/>
      <c r="F341" s="21"/>
    </row>
    <row r="342" spans="2:6" x14ac:dyDescent="0.25">
      <c r="B342" s="141"/>
      <c r="C342" s="141"/>
      <c r="D342" s="140"/>
      <c r="E342" s="21"/>
      <c r="F342" s="21"/>
    </row>
    <row r="343" spans="2:6" x14ac:dyDescent="0.25">
      <c r="B343" s="141"/>
      <c r="C343" s="141"/>
      <c r="D343" s="140"/>
      <c r="E343" s="21"/>
      <c r="F343" s="21"/>
    </row>
    <row r="344" spans="2:6" x14ac:dyDescent="0.25">
      <c r="B344" s="141"/>
      <c r="C344" s="141"/>
      <c r="D344" s="140"/>
      <c r="E344" s="21"/>
      <c r="F344" s="21"/>
    </row>
    <row r="345" spans="2:6" x14ac:dyDescent="0.25">
      <c r="B345" s="141"/>
      <c r="C345" s="141"/>
      <c r="D345" s="140"/>
      <c r="E345" s="21"/>
      <c r="F345" s="21"/>
    </row>
    <row r="346" spans="2:6" x14ac:dyDescent="0.25">
      <c r="B346" s="141"/>
      <c r="C346" s="141"/>
      <c r="D346" s="140"/>
      <c r="E346" s="21"/>
      <c r="F346" s="21"/>
    </row>
    <row r="347" spans="2:6" x14ac:dyDescent="0.25">
      <c r="B347" s="141"/>
      <c r="C347" s="141"/>
      <c r="D347" s="140"/>
      <c r="E347" s="21"/>
      <c r="F347" s="21"/>
    </row>
    <row r="348" spans="2:6" x14ac:dyDescent="0.25">
      <c r="B348" s="141"/>
      <c r="C348" s="141"/>
      <c r="D348" s="140"/>
      <c r="E348" s="21"/>
      <c r="F348" s="21"/>
    </row>
    <row r="349" spans="2:6" x14ac:dyDescent="0.25">
      <c r="B349" s="141"/>
      <c r="C349" s="141"/>
      <c r="D349" s="140"/>
      <c r="E349" s="21"/>
      <c r="F349" s="21"/>
    </row>
    <row r="350" spans="2:6" x14ac:dyDescent="0.25">
      <c r="B350" s="141"/>
      <c r="C350" s="141"/>
      <c r="D350" s="140"/>
      <c r="E350" s="21"/>
      <c r="F350" s="21"/>
    </row>
    <row r="351" spans="2:6" x14ac:dyDescent="0.25">
      <c r="B351" s="141"/>
      <c r="C351" s="141"/>
      <c r="D351" s="140"/>
      <c r="E351" s="21"/>
      <c r="F351" s="21"/>
    </row>
    <row r="352" spans="2:6" x14ac:dyDescent="0.25">
      <c r="B352" s="141"/>
      <c r="C352" s="141"/>
      <c r="D352" s="140"/>
      <c r="E352" s="21"/>
      <c r="F352" s="21"/>
    </row>
    <row r="353" spans="2:6" x14ac:dyDescent="0.25">
      <c r="B353" s="141"/>
      <c r="C353" s="141"/>
      <c r="D353" s="140"/>
      <c r="E353" s="21"/>
      <c r="F353" s="21"/>
    </row>
    <row r="354" spans="2:6" x14ac:dyDescent="0.25">
      <c r="B354" s="141"/>
      <c r="C354" s="141"/>
      <c r="D354" s="140"/>
      <c r="E354" s="21"/>
      <c r="F354" s="21"/>
    </row>
    <row r="355" spans="2:6" x14ac:dyDescent="0.25">
      <c r="B355" s="141"/>
      <c r="C355" s="141"/>
      <c r="D355" s="140"/>
      <c r="E355" s="21"/>
      <c r="F355" s="21"/>
    </row>
    <row r="356" spans="2:6" x14ac:dyDescent="0.25">
      <c r="B356" s="21"/>
      <c r="C356" s="21"/>
      <c r="D356" s="21"/>
      <c r="E356" s="21"/>
      <c r="F356" s="21"/>
    </row>
    <row r="357" spans="2:6" x14ac:dyDescent="0.25">
      <c r="B357" s="141"/>
      <c r="C357" s="141"/>
      <c r="D357" s="140"/>
      <c r="E357" s="21"/>
      <c r="F357" s="21"/>
    </row>
    <row r="358" spans="2:6" x14ac:dyDescent="0.25">
      <c r="B358" s="21"/>
      <c r="C358" s="21"/>
      <c r="D358" s="21"/>
      <c r="E358" s="21"/>
      <c r="F358" s="21"/>
    </row>
    <row r="359" spans="2:6" x14ac:dyDescent="0.25">
      <c r="B359" s="21"/>
      <c r="C359" s="21"/>
      <c r="D359" s="21"/>
      <c r="E359" s="21"/>
      <c r="F359" s="21"/>
    </row>
    <row r="360" spans="2:6" x14ac:dyDescent="0.25">
      <c r="B360" s="21"/>
      <c r="C360" s="21"/>
      <c r="D360" s="21"/>
      <c r="E360" s="21"/>
      <c r="F360" s="21"/>
    </row>
  </sheetData>
  <printOptions gridLines="1" gridLinesSet="0"/>
  <pageMargins left="0.2" right="0.2" top="0.17" bottom="0.2" header="0.5" footer="0.5"/>
  <pageSetup scale="74"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025" r:id="rId4" name="Drop Down 1">
              <controlPr defaultSize="0" autoFill="0" autoLine="0" autoPict="0" macro="[0]!PriceCurveFetch">
                <anchor moveWithCells="1">
                  <from>
                    <xdr:col>2</xdr:col>
                    <xdr:colOff>7620</xdr:colOff>
                    <xdr:row>3</xdr:row>
                    <xdr:rowOff>0</xdr:rowOff>
                  </from>
                  <to>
                    <xdr:col>2</xdr:col>
                    <xdr:colOff>1249680</xdr:colOff>
                    <xdr:row>3</xdr:row>
                    <xdr:rowOff>251460</xdr:rowOff>
                  </to>
                </anchor>
              </controlPr>
            </control>
          </mc:Choice>
        </mc:AlternateContent>
        <mc:AlternateContent xmlns:mc="http://schemas.openxmlformats.org/markup-compatibility/2006">
          <mc:Choice Requires="x14">
            <control shapeId="1065" r:id="rId5" name="Drop Down 41">
              <controlPr defaultSize="0" autoFill="0" autoLine="0" autoPict="0" macro="[0]!BasisCurveFetch">
                <anchor moveWithCells="1">
                  <from>
                    <xdr:col>2</xdr:col>
                    <xdr:colOff>7620</xdr:colOff>
                    <xdr:row>4</xdr:row>
                    <xdr:rowOff>0</xdr:rowOff>
                  </from>
                  <to>
                    <xdr:col>2</xdr:col>
                    <xdr:colOff>1234440</xdr:colOff>
                    <xdr:row>4</xdr:row>
                    <xdr:rowOff>236220</xdr:rowOff>
                  </to>
                </anchor>
              </controlPr>
            </control>
          </mc:Choice>
        </mc:AlternateContent>
        <mc:AlternateContent xmlns:mc="http://schemas.openxmlformats.org/markup-compatibility/2006">
          <mc:Choice Requires="x14">
            <control shapeId="1070" r:id="rId6" name="Check Box 46">
              <controlPr defaultSize="0" autoFill="0" autoLine="0" autoPict="0">
                <anchor moveWithCells="1">
                  <from>
                    <xdr:col>7</xdr:col>
                    <xdr:colOff>30480</xdr:colOff>
                    <xdr:row>7</xdr:row>
                    <xdr:rowOff>7620</xdr:rowOff>
                  </from>
                  <to>
                    <xdr:col>7</xdr:col>
                    <xdr:colOff>891540</xdr:colOff>
                    <xdr:row>8</xdr:row>
                    <xdr:rowOff>0</xdr:rowOff>
                  </to>
                </anchor>
              </controlPr>
            </control>
          </mc:Choice>
        </mc:AlternateContent>
        <mc:AlternateContent xmlns:mc="http://schemas.openxmlformats.org/markup-compatibility/2006">
          <mc:Choice Requires="x14">
            <control shapeId="1071" r:id="rId7" name="Check Box 47">
              <controlPr defaultSize="0" autoFill="0" autoLine="0" autoPict="0">
                <anchor moveWithCells="1">
                  <from>
                    <xdr:col>7</xdr:col>
                    <xdr:colOff>30480</xdr:colOff>
                    <xdr:row>8</xdr:row>
                    <xdr:rowOff>7620</xdr:rowOff>
                  </from>
                  <to>
                    <xdr:col>7</xdr:col>
                    <xdr:colOff>861060</xdr:colOff>
                    <xdr:row>9</xdr:row>
                    <xdr:rowOff>0</xdr:rowOff>
                  </to>
                </anchor>
              </controlPr>
            </control>
          </mc:Choice>
        </mc:AlternateContent>
        <mc:AlternateContent xmlns:mc="http://schemas.openxmlformats.org/markup-compatibility/2006">
          <mc:Choice Requires="x14">
            <control shapeId="1072" r:id="rId8" name="Check Box 48">
              <controlPr defaultSize="0" autoFill="0" autoLine="0" autoPict="0">
                <anchor moveWithCells="1">
                  <from>
                    <xdr:col>7</xdr:col>
                    <xdr:colOff>30480</xdr:colOff>
                    <xdr:row>9</xdr:row>
                    <xdr:rowOff>7620</xdr:rowOff>
                  </from>
                  <to>
                    <xdr:col>7</xdr:col>
                    <xdr:colOff>861060</xdr:colOff>
                    <xdr:row>9</xdr:row>
                    <xdr:rowOff>220980</xdr:rowOff>
                  </to>
                </anchor>
              </controlPr>
            </control>
          </mc:Choice>
        </mc:AlternateContent>
        <mc:AlternateContent xmlns:mc="http://schemas.openxmlformats.org/markup-compatibility/2006">
          <mc:Choice Requires="x14">
            <control shapeId="1073" r:id="rId9" name="Check Box 49">
              <controlPr defaultSize="0" autoFill="0" autoLine="0" autoPict="0">
                <anchor moveWithCells="1">
                  <from>
                    <xdr:col>7</xdr:col>
                    <xdr:colOff>30480</xdr:colOff>
                    <xdr:row>10</xdr:row>
                    <xdr:rowOff>0</xdr:rowOff>
                  </from>
                  <to>
                    <xdr:col>7</xdr:col>
                    <xdr:colOff>861060</xdr:colOff>
                    <xdr:row>10</xdr:row>
                    <xdr:rowOff>228600</xdr:rowOff>
                  </to>
                </anchor>
              </controlPr>
            </control>
          </mc:Choice>
        </mc:AlternateContent>
        <mc:AlternateContent xmlns:mc="http://schemas.openxmlformats.org/markup-compatibility/2006">
          <mc:Choice Requires="x14">
            <control shapeId="1074" r:id="rId10" name="Drop Down 50">
              <controlPr defaultSize="0" autoFill="0" autoLine="0" autoPict="0">
                <anchor moveWithCells="1">
                  <from>
                    <xdr:col>7</xdr:col>
                    <xdr:colOff>1234440</xdr:colOff>
                    <xdr:row>7</xdr:row>
                    <xdr:rowOff>7620</xdr:rowOff>
                  </from>
                  <to>
                    <xdr:col>8</xdr:col>
                    <xdr:colOff>883920</xdr:colOff>
                    <xdr:row>8</xdr:row>
                    <xdr:rowOff>0</xdr:rowOff>
                  </to>
                </anchor>
              </controlPr>
            </control>
          </mc:Choice>
        </mc:AlternateContent>
        <mc:AlternateContent xmlns:mc="http://schemas.openxmlformats.org/markup-compatibility/2006">
          <mc:Choice Requires="x14">
            <control shapeId="1075" r:id="rId11" name="Drop Down 51">
              <controlPr defaultSize="0" autoFill="0" autoLine="0" autoPict="0">
                <anchor moveWithCells="1">
                  <from>
                    <xdr:col>7</xdr:col>
                    <xdr:colOff>1234440</xdr:colOff>
                    <xdr:row>8</xdr:row>
                    <xdr:rowOff>0</xdr:rowOff>
                  </from>
                  <to>
                    <xdr:col>8</xdr:col>
                    <xdr:colOff>883920</xdr:colOff>
                    <xdr:row>9</xdr:row>
                    <xdr:rowOff>0</xdr:rowOff>
                  </to>
                </anchor>
              </controlPr>
            </control>
          </mc:Choice>
        </mc:AlternateContent>
        <mc:AlternateContent xmlns:mc="http://schemas.openxmlformats.org/markup-compatibility/2006">
          <mc:Choice Requires="x14">
            <control shapeId="1076" r:id="rId12" name="Drop Down 52">
              <controlPr defaultSize="0" autoFill="0" autoLine="0" autoPict="0">
                <anchor moveWithCells="1">
                  <from>
                    <xdr:col>7</xdr:col>
                    <xdr:colOff>1234440</xdr:colOff>
                    <xdr:row>9</xdr:row>
                    <xdr:rowOff>0</xdr:rowOff>
                  </from>
                  <to>
                    <xdr:col>8</xdr:col>
                    <xdr:colOff>883920</xdr:colOff>
                    <xdr:row>10</xdr:row>
                    <xdr:rowOff>0</xdr:rowOff>
                  </to>
                </anchor>
              </controlPr>
            </control>
          </mc:Choice>
        </mc:AlternateContent>
        <mc:AlternateContent xmlns:mc="http://schemas.openxmlformats.org/markup-compatibility/2006">
          <mc:Choice Requires="x14">
            <control shapeId="1077" r:id="rId13" name="Drop Down 53">
              <controlPr defaultSize="0" autoFill="0" autoLine="0" autoPict="0">
                <anchor moveWithCells="1">
                  <from>
                    <xdr:col>7</xdr:col>
                    <xdr:colOff>1234440</xdr:colOff>
                    <xdr:row>10</xdr:row>
                    <xdr:rowOff>7620</xdr:rowOff>
                  </from>
                  <to>
                    <xdr:col>8</xdr:col>
                    <xdr:colOff>883920</xdr:colOff>
                    <xdr:row>10</xdr:row>
                    <xdr:rowOff>228600</xdr:rowOff>
                  </to>
                </anchor>
              </controlPr>
            </control>
          </mc:Choice>
        </mc:AlternateContent>
        <mc:AlternateContent xmlns:mc="http://schemas.openxmlformats.org/markup-compatibility/2006">
          <mc:Choice Requires="x14">
            <control shapeId="1087" r:id="rId14" name="Drop Down 63">
              <controlPr defaultSize="0" autoFill="0" autoLine="0" autoPict="0">
                <anchor moveWithCells="1">
                  <from>
                    <xdr:col>7</xdr:col>
                    <xdr:colOff>1272540</xdr:colOff>
                    <xdr:row>4</xdr:row>
                    <xdr:rowOff>0</xdr:rowOff>
                  </from>
                  <to>
                    <xdr:col>8</xdr:col>
                    <xdr:colOff>883920</xdr:colOff>
                    <xdr:row>4</xdr:row>
                    <xdr:rowOff>228600</xdr:rowOff>
                  </to>
                </anchor>
              </controlPr>
            </control>
          </mc:Choice>
        </mc:AlternateContent>
        <mc:AlternateContent xmlns:mc="http://schemas.openxmlformats.org/markup-compatibility/2006">
          <mc:Choice Requires="x14">
            <control shapeId="1090" r:id="rId15" name="Check Box 66">
              <controlPr defaultSize="0" autoFill="0" autoLine="0" autoPict="0">
                <anchor moveWithCells="1">
                  <from>
                    <xdr:col>7</xdr:col>
                    <xdr:colOff>7620</xdr:colOff>
                    <xdr:row>3</xdr:row>
                    <xdr:rowOff>0</xdr:rowOff>
                  </from>
                  <to>
                    <xdr:col>8</xdr:col>
                    <xdr:colOff>91440</xdr:colOff>
                    <xdr:row>3</xdr:row>
                    <xdr:rowOff>228600</xdr:rowOff>
                  </to>
                </anchor>
              </controlPr>
            </control>
          </mc:Choice>
        </mc:AlternateContent>
        <mc:AlternateContent xmlns:mc="http://schemas.openxmlformats.org/markup-compatibility/2006">
          <mc:Choice Requires="x14">
            <control shapeId="1092" r:id="rId16" name="Option Button 68">
              <controlPr defaultSize="0" autoFill="0" autoLine="0" autoPict="0">
                <anchor moveWithCells="1">
                  <from>
                    <xdr:col>10</xdr:col>
                    <xdr:colOff>388620</xdr:colOff>
                    <xdr:row>2</xdr:row>
                    <xdr:rowOff>0</xdr:rowOff>
                  </from>
                  <to>
                    <xdr:col>10</xdr:col>
                    <xdr:colOff>1234440</xdr:colOff>
                    <xdr:row>2</xdr:row>
                    <xdr:rowOff>198120</xdr:rowOff>
                  </to>
                </anchor>
              </controlPr>
            </control>
          </mc:Choice>
        </mc:AlternateContent>
        <mc:AlternateContent xmlns:mc="http://schemas.openxmlformats.org/markup-compatibility/2006">
          <mc:Choice Requires="x14">
            <control shapeId="1093" r:id="rId17" name="Option Button 69">
              <controlPr defaultSize="0" autoFill="0" autoLine="0" autoPict="0">
                <anchor moveWithCells="1">
                  <from>
                    <xdr:col>10</xdr:col>
                    <xdr:colOff>1363980</xdr:colOff>
                    <xdr:row>2</xdr:row>
                    <xdr:rowOff>0</xdr:rowOff>
                  </from>
                  <to>
                    <xdr:col>11</xdr:col>
                    <xdr:colOff>297180</xdr:colOff>
                    <xdr:row>2</xdr:row>
                    <xdr:rowOff>198120</xdr:rowOff>
                  </to>
                </anchor>
              </controlPr>
            </control>
          </mc:Choice>
        </mc:AlternateContent>
        <mc:AlternateContent xmlns:mc="http://schemas.openxmlformats.org/markup-compatibility/2006">
          <mc:Choice Requires="x14">
            <control shapeId="1096" r:id="rId18" name="Group Box 72">
              <controlPr defaultSize="0" autoPict="0">
                <anchor moveWithCells="1">
                  <from>
                    <xdr:col>10</xdr:col>
                    <xdr:colOff>0</xdr:colOff>
                    <xdr:row>1</xdr:row>
                    <xdr:rowOff>190500</xdr:rowOff>
                  </from>
                  <to>
                    <xdr:col>11</xdr:col>
                    <xdr:colOff>845820</xdr:colOff>
                    <xdr:row>3</xdr:row>
                    <xdr:rowOff>0</xdr:rowOff>
                  </to>
                </anchor>
              </controlPr>
            </control>
          </mc:Choice>
        </mc:AlternateContent>
        <mc:AlternateContent xmlns:mc="http://schemas.openxmlformats.org/markup-compatibility/2006">
          <mc:Choice Requires="x14">
            <control shapeId="1100" r:id="rId19" name="Option Button 76">
              <controlPr defaultSize="0" autoFill="0" autoLine="0" autoPict="0">
                <anchor moveWithCells="1">
                  <from>
                    <xdr:col>4</xdr:col>
                    <xdr:colOff>30480</xdr:colOff>
                    <xdr:row>3</xdr:row>
                    <xdr:rowOff>38100</xdr:rowOff>
                  </from>
                  <to>
                    <xdr:col>4</xdr:col>
                    <xdr:colOff>739140</xdr:colOff>
                    <xdr:row>3</xdr:row>
                    <xdr:rowOff>236220</xdr:rowOff>
                  </to>
                </anchor>
              </controlPr>
            </control>
          </mc:Choice>
        </mc:AlternateContent>
        <mc:AlternateContent xmlns:mc="http://schemas.openxmlformats.org/markup-compatibility/2006">
          <mc:Choice Requires="x14">
            <control shapeId="1101" r:id="rId20" name="Option Button 77">
              <controlPr defaultSize="0" autoFill="0" autoLine="0" autoPict="0">
                <anchor moveWithCells="1">
                  <from>
                    <xdr:col>4</xdr:col>
                    <xdr:colOff>723900</xdr:colOff>
                    <xdr:row>3</xdr:row>
                    <xdr:rowOff>38100</xdr:rowOff>
                  </from>
                  <to>
                    <xdr:col>4</xdr:col>
                    <xdr:colOff>1516380</xdr:colOff>
                    <xdr:row>3</xdr:row>
                    <xdr:rowOff>236220</xdr:rowOff>
                  </to>
                </anchor>
              </controlPr>
            </control>
          </mc:Choice>
        </mc:AlternateContent>
        <mc:AlternateContent xmlns:mc="http://schemas.openxmlformats.org/markup-compatibility/2006">
          <mc:Choice Requires="x14">
            <control shapeId="1102" r:id="rId21" name="Option Button 78">
              <controlPr defaultSize="0" autoFill="0" autoLine="0" autoPict="0">
                <anchor moveWithCells="1">
                  <from>
                    <xdr:col>4</xdr:col>
                    <xdr:colOff>1478280</xdr:colOff>
                    <xdr:row>3</xdr:row>
                    <xdr:rowOff>38100</xdr:rowOff>
                  </from>
                  <to>
                    <xdr:col>5</xdr:col>
                    <xdr:colOff>320040</xdr:colOff>
                    <xdr:row>3</xdr:row>
                    <xdr:rowOff>236220</xdr:rowOff>
                  </to>
                </anchor>
              </controlPr>
            </control>
          </mc:Choice>
        </mc:AlternateContent>
        <mc:AlternateContent xmlns:mc="http://schemas.openxmlformats.org/markup-compatibility/2006">
          <mc:Choice Requires="x14">
            <control shapeId="1103" r:id="rId22" name="Group Box 79">
              <controlPr defaultSize="0" autoPict="0">
                <anchor moveWithCells="1">
                  <from>
                    <xdr:col>4</xdr:col>
                    <xdr:colOff>7620</xdr:colOff>
                    <xdr:row>3</xdr:row>
                    <xdr:rowOff>7620</xdr:rowOff>
                  </from>
                  <to>
                    <xdr:col>5</xdr:col>
                    <xdr:colOff>914400</xdr:colOff>
                    <xdr:row>4</xdr:row>
                    <xdr:rowOff>0</xdr:rowOff>
                  </to>
                </anchor>
              </controlPr>
            </control>
          </mc:Choice>
        </mc:AlternateContent>
        <mc:AlternateContent xmlns:mc="http://schemas.openxmlformats.org/markup-compatibility/2006">
          <mc:Choice Requires="x14">
            <control shapeId="1104" r:id="rId23" name="Check Box 80">
              <controlPr defaultSize="0" autoFill="0" autoLine="0" autoPict="0">
                <anchor moveWithCells="1">
                  <from>
                    <xdr:col>4</xdr:col>
                    <xdr:colOff>60960</xdr:colOff>
                    <xdr:row>5</xdr:row>
                    <xdr:rowOff>38100</xdr:rowOff>
                  </from>
                  <to>
                    <xdr:col>5</xdr:col>
                    <xdr:colOff>586740</xdr:colOff>
                    <xdr:row>5</xdr:row>
                    <xdr:rowOff>236220</xdr:rowOff>
                  </to>
                </anchor>
              </controlPr>
            </control>
          </mc:Choice>
        </mc:AlternateContent>
        <mc:AlternateContent xmlns:mc="http://schemas.openxmlformats.org/markup-compatibility/2006">
          <mc:Choice Requires="x14">
            <control shapeId="1106" r:id="rId24" name="Option Button 82">
              <controlPr defaultSize="0" autoFill="0" autoLine="0" autoPict="0">
                <anchor moveWithCells="1">
                  <from>
                    <xdr:col>10</xdr:col>
                    <xdr:colOff>403860</xdr:colOff>
                    <xdr:row>4</xdr:row>
                    <xdr:rowOff>7620</xdr:rowOff>
                  </from>
                  <to>
                    <xdr:col>10</xdr:col>
                    <xdr:colOff>1303020</xdr:colOff>
                    <xdr:row>4</xdr:row>
                    <xdr:rowOff>220980</xdr:rowOff>
                  </to>
                </anchor>
              </controlPr>
            </control>
          </mc:Choice>
        </mc:AlternateContent>
        <mc:AlternateContent xmlns:mc="http://schemas.openxmlformats.org/markup-compatibility/2006">
          <mc:Choice Requires="x14">
            <control shapeId="1107" r:id="rId25" name="Group Box 83">
              <controlPr defaultSize="0" autoPict="0">
                <anchor moveWithCells="1">
                  <from>
                    <xdr:col>10</xdr:col>
                    <xdr:colOff>0</xdr:colOff>
                    <xdr:row>4</xdr:row>
                    <xdr:rowOff>0</xdr:rowOff>
                  </from>
                  <to>
                    <xdr:col>11</xdr:col>
                    <xdr:colOff>845820</xdr:colOff>
                    <xdr:row>5</xdr:row>
                    <xdr:rowOff>0</xdr:rowOff>
                  </to>
                </anchor>
              </controlPr>
            </control>
          </mc:Choice>
        </mc:AlternateContent>
        <mc:AlternateContent xmlns:mc="http://schemas.openxmlformats.org/markup-compatibility/2006">
          <mc:Choice Requires="x14">
            <control shapeId="1108" r:id="rId26" name="Option Button 84">
              <controlPr defaultSize="0" autoFill="0" autoLine="0" autoPict="0">
                <anchor moveWithCells="1">
                  <from>
                    <xdr:col>2</xdr:col>
                    <xdr:colOff>7620</xdr:colOff>
                    <xdr:row>10</xdr:row>
                    <xdr:rowOff>7620</xdr:rowOff>
                  </from>
                  <to>
                    <xdr:col>2</xdr:col>
                    <xdr:colOff>594360</xdr:colOff>
                    <xdr:row>10</xdr:row>
                    <xdr:rowOff>220980</xdr:rowOff>
                  </to>
                </anchor>
              </controlPr>
            </control>
          </mc:Choice>
        </mc:AlternateContent>
        <mc:AlternateContent xmlns:mc="http://schemas.openxmlformats.org/markup-compatibility/2006">
          <mc:Choice Requires="x14">
            <control shapeId="1109" r:id="rId27" name="Option Button 85">
              <controlPr defaultSize="0" autoFill="0" autoLine="0" autoPict="0">
                <anchor moveWithCells="1">
                  <from>
                    <xdr:col>2</xdr:col>
                    <xdr:colOff>716280</xdr:colOff>
                    <xdr:row>10</xdr:row>
                    <xdr:rowOff>7620</xdr:rowOff>
                  </from>
                  <to>
                    <xdr:col>2</xdr:col>
                    <xdr:colOff>1257300</xdr:colOff>
                    <xdr:row>10</xdr:row>
                    <xdr:rowOff>228600</xdr:rowOff>
                  </to>
                </anchor>
              </controlPr>
            </control>
          </mc:Choice>
        </mc:AlternateContent>
        <mc:AlternateContent xmlns:mc="http://schemas.openxmlformats.org/markup-compatibility/2006">
          <mc:Choice Requires="x14">
            <control shapeId="1110" r:id="rId28" name="Group Box 86">
              <controlPr defaultSize="0" print="0" autoPict="0">
                <anchor moveWithCells="1">
                  <from>
                    <xdr:col>2</xdr:col>
                    <xdr:colOff>0</xdr:colOff>
                    <xdr:row>10</xdr:row>
                    <xdr:rowOff>0</xdr:rowOff>
                  </from>
                  <to>
                    <xdr:col>3</xdr:col>
                    <xdr:colOff>0</xdr:colOff>
                    <xdr:row>10</xdr:row>
                    <xdr:rowOff>236220</xdr:rowOff>
                  </to>
                </anchor>
              </controlPr>
            </control>
          </mc:Choice>
        </mc:AlternateContent>
        <mc:AlternateContent xmlns:mc="http://schemas.openxmlformats.org/markup-compatibility/2006">
          <mc:Choice Requires="x14">
            <control shapeId="1111" r:id="rId29" name="Option Button 87">
              <controlPr defaultSize="0" autoFill="0" autoLine="0" autoPict="0">
                <anchor moveWithCells="1">
                  <from>
                    <xdr:col>2</xdr:col>
                    <xdr:colOff>7620</xdr:colOff>
                    <xdr:row>16</xdr:row>
                    <xdr:rowOff>30480</xdr:rowOff>
                  </from>
                  <to>
                    <xdr:col>2</xdr:col>
                    <xdr:colOff>617220</xdr:colOff>
                    <xdr:row>16</xdr:row>
                    <xdr:rowOff>228600</xdr:rowOff>
                  </to>
                </anchor>
              </controlPr>
            </control>
          </mc:Choice>
        </mc:AlternateContent>
        <mc:AlternateContent xmlns:mc="http://schemas.openxmlformats.org/markup-compatibility/2006">
          <mc:Choice Requires="x14">
            <control shapeId="1112" r:id="rId30" name="Option Button 88">
              <controlPr defaultSize="0" autoFill="0" autoLine="0" autoPict="0">
                <anchor moveWithCells="1">
                  <from>
                    <xdr:col>2</xdr:col>
                    <xdr:colOff>723900</xdr:colOff>
                    <xdr:row>16</xdr:row>
                    <xdr:rowOff>30480</xdr:rowOff>
                  </from>
                  <to>
                    <xdr:col>2</xdr:col>
                    <xdr:colOff>1226820</xdr:colOff>
                    <xdr:row>16</xdr:row>
                    <xdr:rowOff>228600</xdr:rowOff>
                  </to>
                </anchor>
              </controlPr>
            </control>
          </mc:Choice>
        </mc:AlternateContent>
        <mc:AlternateContent xmlns:mc="http://schemas.openxmlformats.org/markup-compatibility/2006">
          <mc:Choice Requires="x14">
            <control shapeId="1113" r:id="rId31" name="Group Box 89">
              <controlPr defaultSize="0" autoPict="0">
                <anchor moveWithCells="1">
                  <from>
                    <xdr:col>2</xdr:col>
                    <xdr:colOff>0</xdr:colOff>
                    <xdr:row>16</xdr:row>
                    <xdr:rowOff>0</xdr:rowOff>
                  </from>
                  <to>
                    <xdr:col>3</xdr:col>
                    <xdr:colOff>0</xdr:colOff>
                    <xdr:row>17</xdr:row>
                    <xdr:rowOff>0</xdr:rowOff>
                  </to>
                </anchor>
              </controlPr>
            </control>
          </mc:Choice>
        </mc:AlternateContent>
        <mc:AlternateContent xmlns:mc="http://schemas.openxmlformats.org/markup-compatibility/2006">
          <mc:Choice Requires="x14">
            <control shapeId="1114" r:id="rId32" name="Group Box 90">
              <controlPr defaultSize="0" autoPict="0">
                <anchor moveWithCells="1">
                  <from>
                    <xdr:col>2</xdr:col>
                    <xdr:colOff>0</xdr:colOff>
                    <xdr:row>15</xdr:row>
                    <xdr:rowOff>0</xdr:rowOff>
                  </from>
                  <to>
                    <xdr:col>2</xdr:col>
                    <xdr:colOff>1264920</xdr:colOff>
                    <xdr:row>16</xdr:row>
                    <xdr:rowOff>0</xdr:rowOff>
                  </to>
                </anchor>
              </controlPr>
            </control>
          </mc:Choice>
        </mc:AlternateContent>
        <mc:AlternateContent xmlns:mc="http://schemas.openxmlformats.org/markup-compatibility/2006">
          <mc:Choice Requires="x14">
            <control shapeId="1115" r:id="rId33" name="Option Button 91">
              <controlPr defaultSize="0" autoFill="0" autoLine="0" autoPict="0">
                <anchor moveWithCells="1">
                  <from>
                    <xdr:col>2</xdr:col>
                    <xdr:colOff>30480</xdr:colOff>
                    <xdr:row>15</xdr:row>
                    <xdr:rowOff>0</xdr:rowOff>
                  </from>
                  <to>
                    <xdr:col>2</xdr:col>
                    <xdr:colOff>617220</xdr:colOff>
                    <xdr:row>15</xdr:row>
                    <xdr:rowOff>220980</xdr:rowOff>
                  </to>
                </anchor>
              </controlPr>
            </control>
          </mc:Choice>
        </mc:AlternateContent>
        <mc:AlternateContent xmlns:mc="http://schemas.openxmlformats.org/markup-compatibility/2006">
          <mc:Choice Requires="x14">
            <control shapeId="1116" r:id="rId34" name="Option Button 92">
              <controlPr defaultSize="0" autoFill="0" autoLine="0" autoPict="0">
                <anchor moveWithCells="1">
                  <from>
                    <xdr:col>2</xdr:col>
                    <xdr:colOff>723900</xdr:colOff>
                    <xdr:row>15</xdr:row>
                    <xdr:rowOff>0</xdr:rowOff>
                  </from>
                  <to>
                    <xdr:col>2</xdr:col>
                    <xdr:colOff>1249680</xdr:colOff>
                    <xdr:row>15</xdr:row>
                    <xdr:rowOff>220980</xdr:rowOff>
                  </to>
                </anchor>
              </controlPr>
            </control>
          </mc:Choice>
        </mc:AlternateContent>
        <mc:AlternateContent xmlns:mc="http://schemas.openxmlformats.org/markup-compatibility/2006">
          <mc:Choice Requires="x14">
            <control shapeId="1119" r:id="rId35" name="Group Box 95">
              <controlPr defaultSize="0" autoPict="0">
                <anchor moveWithCells="1">
                  <from>
                    <xdr:col>2</xdr:col>
                    <xdr:colOff>0</xdr:colOff>
                    <xdr:row>17</xdr:row>
                    <xdr:rowOff>0</xdr:rowOff>
                  </from>
                  <to>
                    <xdr:col>3</xdr:col>
                    <xdr:colOff>0</xdr:colOff>
                    <xdr:row>18</xdr:row>
                    <xdr:rowOff>0</xdr:rowOff>
                  </to>
                </anchor>
              </controlPr>
            </control>
          </mc:Choice>
        </mc:AlternateContent>
        <mc:AlternateContent xmlns:mc="http://schemas.openxmlformats.org/markup-compatibility/2006">
          <mc:Choice Requires="x14">
            <control shapeId="1120" r:id="rId36" name="Option Button 96">
              <controlPr defaultSize="0" autoFill="0" autoLine="0" autoPict="0">
                <anchor moveWithCells="1">
                  <from>
                    <xdr:col>2</xdr:col>
                    <xdr:colOff>7620</xdr:colOff>
                    <xdr:row>17</xdr:row>
                    <xdr:rowOff>7620</xdr:rowOff>
                  </from>
                  <to>
                    <xdr:col>2</xdr:col>
                    <xdr:colOff>822960</xdr:colOff>
                    <xdr:row>17</xdr:row>
                    <xdr:rowOff>220980</xdr:rowOff>
                  </to>
                </anchor>
              </controlPr>
            </control>
          </mc:Choice>
        </mc:AlternateContent>
        <mc:AlternateContent xmlns:mc="http://schemas.openxmlformats.org/markup-compatibility/2006">
          <mc:Choice Requires="x14">
            <control shapeId="1121" r:id="rId37" name="Option Button 97">
              <controlPr defaultSize="0" autoFill="0" autoLine="0" autoPict="0">
                <anchor moveWithCells="1">
                  <from>
                    <xdr:col>2</xdr:col>
                    <xdr:colOff>792480</xdr:colOff>
                    <xdr:row>17</xdr:row>
                    <xdr:rowOff>7620</xdr:rowOff>
                  </from>
                  <to>
                    <xdr:col>2</xdr:col>
                    <xdr:colOff>1264920</xdr:colOff>
                    <xdr:row>17</xdr:row>
                    <xdr:rowOff>220980</xdr:rowOff>
                  </to>
                </anchor>
              </controlPr>
            </control>
          </mc:Choice>
        </mc:AlternateContent>
        <mc:AlternateContent xmlns:mc="http://schemas.openxmlformats.org/markup-compatibility/2006">
          <mc:Choice Requires="x14">
            <control shapeId="1123" r:id="rId38" name="Group Box 99">
              <controlPr defaultSize="0" autoPict="0">
                <anchor moveWithCells="1">
                  <from>
                    <xdr:col>2</xdr:col>
                    <xdr:colOff>0</xdr:colOff>
                    <xdr:row>19</xdr:row>
                    <xdr:rowOff>0</xdr:rowOff>
                  </from>
                  <to>
                    <xdr:col>2</xdr:col>
                    <xdr:colOff>1264920</xdr:colOff>
                    <xdr:row>20</xdr:row>
                    <xdr:rowOff>0</xdr:rowOff>
                  </to>
                </anchor>
              </controlPr>
            </control>
          </mc:Choice>
        </mc:AlternateContent>
        <mc:AlternateContent xmlns:mc="http://schemas.openxmlformats.org/markup-compatibility/2006">
          <mc:Choice Requires="x14">
            <control shapeId="1124" r:id="rId39" name="Group Box 100">
              <controlPr defaultSize="0" autoPict="0">
                <anchor moveWithCells="1">
                  <from>
                    <xdr:col>2</xdr:col>
                    <xdr:colOff>0</xdr:colOff>
                    <xdr:row>20</xdr:row>
                    <xdr:rowOff>0</xdr:rowOff>
                  </from>
                  <to>
                    <xdr:col>3</xdr:col>
                    <xdr:colOff>0</xdr:colOff>
                    <xdr:row>21</xdr:row>
                    <xdr:rowOff>0</xdr:rowOff>
                  </to>
                </anchor>
              </controlPr>
            </control>
          </mc:Choice>
        </mc:AlternateContent>
        <mc:AlternateContent xmlns:mc="http://schemas.openxmlformats.org/markup-compatibility/2006">
          <mc:Choice Requires="x14">
            <control shapeId="1125" r:id="rId40" name="Group Box 101">
              <controlPr defaultSize="0" autoPict="0">
                <anchor moveWithCells="1">
                  <from>
                    <xdr:col>2</xdr:col>
                    <xdr:colOff>0</xdr:colOff>
                    <xdr:row>22</xdr:row>
                    <xdr:rowOff>0</xdr:rowOff>
                  </from>
                  <to>
                    <xdr:col>3</xdr:col>
                    <xdr:colOff>0</xdr:colOff>
                    <xdr:row>23</xdr:row>
                    <xdr:rowOff>0</xdr:rowOff>
                  </to>
                </anchor>
              </controlPr>
            </control>
          </mc:Choice>
        </mc:AlternateContent>
        <mc:AlternateContent xmlns:mc="http://schemas.openxmlformats.org/markup-compatibility/2006">
          <mc:Choice Requires="x14">
            <control shapeId="1126" r:id="rId41" name="Group Box 102">
              <controlPr defaultSize="0" autoPict="0">
                <anchor moveWithCells="1">
                  <from>
                    <xdr:col>2</xdr:col>
                    <xdr:colOff>0</xdr:colOff>
                    <xdr:row>23</xdr:row>
                    <xdr:rowOff>0</xdr:rowOff>
                  </from>
                  <to>
                    <xdr:col>3</xdr:col>
                    <xdr:colOff>0</xdr:colOff>
                    <xdr:row>24</xdr:row>
                    <xdr:rowOff>0</xdr:rowOff>
                  </to>
                </anchor>
              </controlPr>
            </control>
          </mc:Choice>
        </mc:AlternateContent>
        <mc:AlternateContent xmlns:mc="http://schemas.openxmlformats.org/markup-compatibility/2006">
          <mc:Choice Requires="x14">
            <control shapeId="1127" r:id="rId42" name="Group Box 103">
              <controlPr defaultSize="0" autoPict="0">
                <anchor moveWithCells="1">
                  <from>
                    <xdr:col>1</xdr:col>
                    <xdr:colOff>0</xdr:colOff>
                    <xdr:row>21</xdr:row>
                    <xdr:rowOff>0</xdr:rowOff>
                  </from>
                  <to>
                    <xdr:col>2</xdr:col>
                    <xdr:colOff>1264920</xdr:colOff>
                    <xdr:row>22</xdr:row>
                    <xdr:rowOff>0</xdr:rowOff>
                  </to>
                </anchor>
              </controlPr>
            </control>
          </mc:Choice>
        </mc:AlternateContent>
        <mc:AlternateContent xmlns:mc="http://schemas.openxmlformats.org/markup-compatibility/2006">
          <mc:Choice Requires="x14">
            <control shapeId="1129" r:id="rId43" name="Option Button 105">
              <controlPr defaultSize="0" autoFill="0" autoLine="0" autoPict="0">
                <anchor moveWithCells="1">
                  <from>
                    <xdr:col>2</xdr:col>
                    <xdr:colOff>38100</xdr:colOff>
                    <xdr:row>19</xdr:row>
                    <xdr:rowOff>7620</xdr:rowOff>
                  </from>
                  <to>
                    <xdr:col>2</xdr:col>
                    <xdr:colOff>632460</xdr:colOff>
                    <xdr:row>19</xdr:row>
                    <xdr:rowOff>228600</xdr:rowOff>
                  </to>
                </anchor>
              </controlPr>
            </control>
          </mc:Choice>
        </mc:AlternateContent>
        <mc:AlternateContent xmlns:mc="http://schemas.openxmlformats.org/markup-compatibility/2006">
          <mc:Choice Requires="x14">
            <control shapeId="1130" r:id="rId44" name="Option Button 106">
              <controlPr defaultSize="0" autoFill="0" autoLine="0" autoPict="0">
                <anchor moveWithCells="1">
                  <from>
                    <xdr:col>2</xdr:col>
                    <xdr:colOff>723900</xdr:colOff>
                    <xdr:row>19</xdr:row>
                    <xdr:rowOff>30480</xdr:rowOff>
                  </from>
                  <to>
                    <xdr:col>2</xdr:col>
                    <xdr:colOff>1234440</xdr:colOff>
                    <xdr:row>19</xdr:row>
                    <xdr:rowOff>228600</xdr:rowOff>
                  </to>
                </anchor>
              </controlPr>
            </control>
          </mc:Choice>
        </mc:AlternateContent>
        <mc:AlternateContent xmlns:mc="http://schemas.openxmlformats.org/markup-compatibility/2006">
          <mc:Choice Requires="x14">
            <control shapeId="1131" r:id="rId45" name="Option Button 107">
              <controlPr defaultSize="0" autoFill="0" autoLine="0" autoPict="0">
                <anchor moveWithCells="1">
                  <from>
                    <xdr:col>2</xdr:col>
                    <xdr:colOff>30480</xdr:colOff>
                    <xdr:row>20</xdr:row>
                    <xdr:rowOff>7620</xdr:rowOff>
                  </from>
                  <to>
                    <xdr:col>2</xdr:col>
                    <xdr:colOff>670560</xdr:colOff>
                    <xdr:row>20</xdr:row>
                    <xdr:rowOff>220980</xdr:rowOff>
                  </to>
                </anchor>
              </controlPr>
            </control>
          </mc:Choice>
        </mc:AlternateContent>
        <mc:AlternateContent xmlns:mc="http://schemas.openxmlformats.org/markup-compatibility/2006">
          <mc:Choice Requires="x14">
            <control shapeId="1132" r:id="rId46" name="Option Button 108">
              <controlPr defaultSize="0" autoFill="0" autoLine="0" autoPict="0">
                <anchor moveWithCells="1">
                  <from>
                    <xdr:col>2</xdr:col>
                    <xdr:colOff>716280</xdr:colOff>
                    <xdr:row>20</xdr:row>
                    <xdr:rowOff>7620</xdr:rowOff>
                  </from>
                  <to>
                    <xdr:col>2</xdr:col>
                    <xdr:colOff>1226820</xdr:colOff>
                    <xdr:row>20</xdr:row>
                    <xdr:rowOff>220980</xdr:rowOff>
                  </to>
                </anchor>
              </controlPr>
            </control>
          </mc:Choice>
        </mc:AlternateContent>
        <mc:AlternateContent xmlns:mc="http://schemas.openxmlformats.org/markup-compatibility/2006">
          <mc:Choice Requires="x14">
            <control shapeId="1133" r:id="rId47" name="Option Button 109">
              <controlPr defaultSize="0" autoFill="0" autoLine="0" autoPict="0">
                <anchor moveWithCells="1">
                  <from>
                    <xdr:col>2</xdr:col>
                    <xdr:colOff>7620</xdr:colOff>
                    <xdr:row>22</xdr:row>
                    <xdr:rowOff>30480</xdr:rowOff>
                  </from>
                  <to>
                    <xdr:col>2</xdr:col>
                    <xdr:colOff>792480</xdr:colOff>
                    <xdr:row>22</xdr:row>
                    <xdr:rowOff>228600</xdr:rowOff>
                  </to>
                </anchor>
              </controlPr>
            </control>
          </mc:Choice>
        </mc:AlternateContent>
        <mc:AlternateContent xmlns:mc="http://schemas.openxmlformats.org/markup-compatibility/2006">
          <mc:Choice Requires="x14">
            <control shapeId="1134" r:id="rId48" name="Option Button 110">
              <controlPr defaultSize="0" autoFill="0" autoLine="0" autoPict="0">
                <anchor moveWithCells="1">
                  <from>
                    <xdr:col>2</xdr:col>
                    <xdr:colOff>769620</xdr:colOff>
                    <xdr:row>22</xdr:row>
                    <xdr:rowOff>30480</xdr:rowOff>
                  </from>
                  <to>
                    <xdr:col>2</xdr:col>
                    <xdr:colOff>1226820</xdr:colOff>
                    <xdr:row>22</xdr:row>
                    <xdr:rowOff>228600</xdr:rowOff>
                  </to>
                </anchor>
              </controlPr>
            </control>
          </mc:Choice>
        </mc:AlternateContent>
        <mc:AlternateContent xmlns:mc="http://schemas.openxmlformats.org/markup-compatibility/2006">
          <mc:Choice Requires="x14">
            <control shapeId="1136" r:id="rId49" name="Option Button 112">
              <controlPr defaultSize="0" autoFill="0" autoLine="0" autoPict="0">
                <anchor moveWithCells="1">
                  <from>
                    <xdr:col>2</xdr:col>
                    <xdr:colOff>7620</xdr:colOff>
                    <xdr:row>23</xdr:row>
                    <xdr:rowOff>7620</xdr:rowOff>
                  </from>
                  <to>
                    <xdr:col>2</xdr:col>
                    <xdr:colOff>777240</xdr:colOff>
                    <xdr:row>23</xdr:row>
                    <xdr:rowOff>213360</xdr:rowOff>
                  </to>
                </anchor>
              </controlPr>
            </control>
          </mc:Choice>
        </mc:AlternateContent>
        <mc:AlternateContent xmlns:mc="http://schemas.openxmlformats.org/markup-compatibility/2006">
          <mc:Choice Requires="x14">
            <control shapeId="1137" r:id="rId50" name="Option Button 113">
              <controlPr defaultSize="0" autoFill="0" autoLine="0" autoPict="0">
                <anchor moveWithCells="1">
                  <from>
                    <xdr:col>2</xdr:col>
                    <xdr:colOff>769620</xdr:colOff>
                    <xdr:row>23</xdr:row>
                    <xdr:rowOff>0</xdr:rowOff>
                  </from>
                  <to>
                    <xdr:col>2</xdr:col>
                    <xdr:colOff>1219200</xdr:colOff>
                    <xdr:row>23</xdr:row>
                    <xdr:rowOff>228600</xdr:rowOff>
                  </to>
                </anchor>
              </controlPr>
            </control>
          </mc:Choice>
        </mc:AlternateContent>
        <mc:AlternateContent xmlns:mc="http://schemas.openxmlformats.org/markup-compatibility/2006">
          <mc:Choice Requires="x14">
            <control shapeId="1139" r:id="rId51" name="Option Button 115">
              <controlPr defaultSize="0" autoFill="0" autoLine="0" autoPict="0">
                <anchor moveWithCells="1">
                  <from>
                    <xdr:col>1</xdr:col>
                    <xdr:colOff>182880</xdr:colOff>
                    <xdr:row>21</xdr:row>
                    <xdr:rowOff>7620</xdr:rowOff>
                  </from>
                  <to>
                    <xdr:col>1</xdr:col>
                    <xdr:colOff>868680</xdr:colOff>
                    <xdr:row>21</xdr:row>
                    <xdr:rowOff>220980</xdr:rowOff>
                  </to>
                </anchor>
              </controlPr>
            </control>
          </mc:Choice>
        </mc:AlternateContent>
        <mc:AlternateContent xmlns:mc="http://schemas.openxmlformats.org/markup-compatibility/2006">
          <mc:Choice Requires="x14">
            <control shapeId="1140" r:id="rId52" name="Option Button 116">
              <controlPr defaultSize="0" autoFill="0" autoLine="0" autoPict="0">
                <anchor moveWithCells="1">
                  <from>
                    <xdr:col>1</xdr:col>
                    <xdr:colOff>1158240</xdr:colOff>
                    <xdr:row>21</xdr:row>
                    <xdr:rowOff>7620</xdr:rowOff>
                  </from>
                  <to>
                    <xdr:col>2</xdr:col>
                    <xdr:colOff>304800</xdr:colOff>
                    <xdr:row>21</xdr:row>
                    <xdr:rowOff>220980</xdr:rowOff>
                  </to>
                </anchor>
              </controlPr>
            </control>
          </mc:Choice>
        </mc:AlternateContent>
        <mc:AlternateContent xmlns:mc="http://schemas.openxmlformats.org/markup-compatibility/2006">
          <mc:Choice Requires="x14">
            <control shapeId="1141" r:id="rId53" name="Option Button 117">
              <controlPr defaultSize="0" autoFill="0" autoLine="0" autoPict="0">
                <anchor moveWithCells="1">
                  <from>
                    <xdr:col>1</xdr:col>
                    <xdr:colOff>830580</xdr:colOff>
                    <xdr:row>24</xdr:row>
                    <xdr:rowOff>30480</xdr:rowOff>
                  </from>
                  <to>
                    <xdr:col>1</xdr:col>
                    <xdr:colOff>1379220</xdr:colOff>
                    <xdr:row>24</xdr:row>
                    <xdr:rowOff>228600</xdr:rowOff>
                  </to>
                </anchor>
              </controlPr>
            </control>
          </mc:Choice>
        </mc:AlternateContent>
        <mc:AlternateContent xmlns:mc="http://schemas.openxmlformats.org/markup-compatibility/2006">
          <mc:Choice Requires="x14">
            <control shapeId="1145" r:id="rId54" name="Option Button 121">
              <controlPr defaultSize="0" autoFill="0" autoLine="0" autoPict="0">
                <anchor moveWithCells="1">
                  <from>
                    <xdr:col>10</xdr:col>
                    <xdr:colOff>1371600</xdr:colOff>
                    <xdr:row>4</xdr:row>
                    <xdr:rowOff>30480</xdr:rowOff>
                  </from>
                  <to>
                    <xdr:col>11</xdr:col>
                    <xdr:colOff>297180</xdr:colOff>
                    <xdr:row>4</xdr:row>
                    <xdr:rowOff>228600</xdr:rowOff>
                  </to>
                </anchor>
              </controlPr>
            </control>
          </mc:Choice>
        </mc:AlternateContent>
        <mc:AlternateContent xmlns:mc="http://schemas.openxmlformats.org/markup-compatibility/2006">
          <mc:Choice Requires="x14">
            <control shapeId="1147" r:id="rId55" name="Option Button 123">
              <controlPr defaultSize="0" autoFill="0" autoLine="0" autoPict="0">
                <anchor moveWithCells="1">
                  <from>
                    <xdr:col>2</xdr:col>
                    <xdr:colOff>7620</xdr:colOff>
                    <xdr:row>24</xdr:row>
                    <xdr:rowOff>30480</xdr:rowOff>
                  </from>
                  <to>
                    <xdr:col>2</xdr:col>
                    <xdr:colOff>579120</xdr:colOff>
                    <xdr:row>24</xdr:row>
                    <xdr:rowOff>228600</xdr:rowOff>
                  </to>
                </anchor>
              </controlPr>
            </control>
          </mc:Choice>
        </mc:AlternateContent>
        <mc:AlternateContent xmlns:mc="http://schemas.openxmlformats.org/markup-compatibility/2006">
          <mc:Choice Requires="x14">
            <control shapeId="1148" r:id="rId56" name="Option Button 124">
              <controlPr defaultSize="0" autoFill="0" autoLine="0" autoPict="0">
                <anchor moveWithCells="1">
                  <from>
                    <xdr:col>2</xdr:col>
                    <xdr:colOff>624840</xdr:colOff>
                    <xdr:row>24</xdr:row>
                    <xdr:rowOff>30480</xdr:rowOff>
                  </from>
                  <to>
                    <xdr:col>2</xdr:col>
                    <xdr:colOff>1219200</xdr:colOff>
                    <xdr:row>24</xdr:row>
                    <xdr:rowOff>228600</xdr:rowOff>
                  </to>
                </anchor>
              </controlPr>
            </control>
          </mc:Choice>
        </mc:AlternateContent>
        <mc:AlternateContent xmlns:mc="http://schemas.openxmlformats.org/markup-compatibility/2006">
          <mc:Choice Requires="x14">
            <control shapeId="1150" r:id="rId57" name="Button 126">
              <controlPr defaultSize="0" autoFill="0" autoLine="0" autoPict="0" macro="[0]!CombineSwapOption">
                <anchor moveWithCells="1" sizeWithCells="1">
                  <from>
                    <xdr:col>10</xdr:col>
                    <xdr:colOff>0</xdr:colOff>
                    <xdr:row>24</xdr:row>
                    <xdr:rowOff>228600</xdr:rowOff>
                  </from>
                  <to>
                    <xdr:col>11</xdr:col>
                    <xdr:colOff>830580</xdr:colOff>
                    <xdr:row>25</xdr:row>
                    <xdr:rowOff>228600</xdr:rowOff>
                  </to>
                </anchor>
              </controlPr>
            </control>
          </mc:Choice>
        </mc:AlternateContent>
        <mc:AlternateContent xmlns:mc="http://schemas.openxmlformats.org/markup-compatibility/2006">
          <mc:Choice Requires="x14">
            <control shapeId="1207" r:id="rId58" name="Option Button 183">
              <controlPr defaultSize="0" autoFill="0" autoLine="0" autoPict="0">
                <anchor moveWithCells="1">
                  <from>
                    <xdr:col>1</xdr:col>
                    <xdr:colOff>91440</xdr:colOff>
                    <xdr:row>36</xdr:row>
                    <xdr:rowOff>30480</xdr:rowOff>
                  </from>
                  <to>
                    <xdr:col>1</xdr:col>
                    <xdr:colOff>1333500</xdr:colOff>
                    <xdr:row>36</xdr:row>
                    <xdr:rowOff>228600</xdr:rowOff>
                  </to>
                </anchor>
              </controlPr>
            </control>
          </mc:Choice>
        </mc:AlternateContent>
        <mc:AlternateContent xmlns:mc="http://schemas.openxmlformats.org/markup-compatibility/2006">
          <mc:Choice Requires="x14">
            <control shapeId="1208" r:id="rId59" name="Option Button 184">
              <controlPr defaultSize="0" autoFill="0" autoLine="0" autoPict="0">
                <anchor moveWithCells="1">
                  <from>
                    <xdr:col>1</xdr:col>
                    <xdr:colOff>1379220</xdr:colOff>
                    <xdr:row>36</xdr:row>
                    <xdr:rowOff>30480</xdr:rowOff>
                  </from>
                  <to>
                    <xdr:col>2</xdr:col>
                    <xdr:colOff>1226820</xdr:colOff>
                    <xdr:row>36</xdr:row>
                    <xdr:rowOff>228600</xdr:rowOff>
                  </to>
                </anchor>
              </controlPr>
            </control>
          </mc:Choice>
        </mc:AlternateContent>
        <mc:AlternateContent xmlns:mc="http://schemas.openxmlformats.org/markup-compatibility/2006">
          <mc:Choice Requires="x14">
            <control shapeId="1209" r:id="rId60" name="Option Button 185">
              <controlPr defaultSize="0" autoFill="0" autoLine="0" autoPict="0">
                <anchor moveWithCells="1">
                  <from>
                    <xdr:col>1</xdr:col>
                    <xdr:colOff>76200</xdr:colOff>
                    <xdr:row>37</xdr:row>
                    <xdr:rowOff>30480</xdr:rowOff>
                  </from>
                  <to>
                    <xdr:col>1</xdr:col>
                    <xdr:colOff>1318260</xdr:colOff>
                    <xdr:row>37</xdr:row>
                    <xdr:rowOff>228600</xdr:rowOff>
                  </to>
                </anchor>
              </controlPr>
            </control>
          </mc:Choice>
        </mc:AlternateContent>
        <mc:AlternateContent xmlns:mc="http://schemas.openxmlformats.org/markup-compatibility/2006">
          <mc:Choice Requires="x14">
            <control shapeId="1210" r:id="rId61" name="Option Button 186">
              <controlPr defaultSize="0" autoFill="0" autoLine="0" autoPict="0">
                <anchor moveWithCells="1">
                  <from>
                    <xdr:col>1</xdr:col>
                    <xdr:colOff>1371600</xdr:colOff>
                    <xdr:row>37</xdr:row>
                    <xdr:rowOff>30480</xdr:rowOff>
                  </from>
                  <to>
                    <xdr:col>2</xdr:col>
                    <xdr:colOff>1158240</xdr:colOff>
                    <xdr:row>37</xdr:row>
                    <xdr:rowOff>251460</xdr:rowOff>
                  </to>
                </anchor>
              </controlPr>
            </control>
          </mc:Choice>
        </mc:AlternateContent>
        <mc:AlternateContent xmlns:mc="http://schemas.openxmlformats.org/markup-compatibility/2006">
          <mc:Choice Requires="x14">
            <control shapeId="1211" r:id="rId62" name="Option Button 187">
              <controlPr defaultSize="0" autoFill="0" autoLine="0" autoPict="0">
                <anchor moveWithCells="1">
                  <from>
                    <xdr:col>1</xdr:col>
                    <xdr:colOff>914400</xdr:colOff>
                    <xdr:row>39</xdr:row>
                    <xdr:rowOff>30480</xdr:rowOff>
                  </from>
                  <to>
                    <xdr:col>2</xdr:col>
                    <xdr:colOff>38100</xdr:colOff>
                    <xdr:row>39</xdr:row>
                    <xdr:rowOff>228600</xdr:rowOff>
                  </to>
                </anchor>
              </controlPr>
            </control>
          </mc:Choice>
        </mc:AlternateContent>
        <mc:AlternateContent xmlns:mc="http://schemas.openxmlformats.org/markup-compatibility/2006">
          <mc:Choice Requires="x14">
            <control shapeId="1212" r:id="rId63" name="Option Button 188">
              <controlPr defaultSize="0" autoFill="0" autoLine="0" autoPict="0">
                <anchor moveWithCells="1">
                  <from>
                    <xdr:col>2</xdr:col>
                    <xdr:colOff>0</xdr:colOff>
                    <xdr:row>39</xdr:row>
                    <xdr:rowOff>30480</xdr:rowOff>
                  </from>
                  <to>
                    <xdr:col>2</xdr:col>
                    <xdr:colOff>525780</xdr:colOff>
                    <xdr:row>39</xdr:row>
                    <xdr:rowOff>228600</xdr:rowOff>
                  </to>
                </anchor>
              </controlPr>
            </control>
          </mc:Choice>
        </mc:AlternateContent>
        <mc:AlternateContent xmlns:mc="http://schemas.openxmlformats.org/markup-compatibility/2006">
          <mc:Choice Requires="x14">
            <control shapeId="1213" r:id="rId64" name="Option Button 189">
              <controlPr defaultSize="0" autoFill="0" autoLine="0" autoPict="0">
                <anchor moveWithCells="1">
                  <from>
                    <xdr:col>2</xdr:col>
                    <xdr:colOff>7620</xdr:colOff>
                    <xdr:row>40</xdr:row>
                    <xdr:rowOff>30480</xdr:rowOff>
                  </from>
                  <to>
                    <xdr:col>2</xdr:col>
                    <xdr:colOff>777240</xdr:colOff>
                    <xdr:row>40</xdr:row>
                    <xdr:rowOff>228600</xdr:rowOff>
                  </to>
                </anchor>
              </controlPr>
            </control>
          </mc:Choice>
        </mc:AlternateContent>
        <mc:AlternateContent xmlns:mc="http://schemas.openxmlformats.org/markup-compatibility/2006">
          <mc:Choice Requires="x14">
            <control shapeId="1214" r:id="rId65" name="Option Button 190">
              <controlPr defaultSize="0" autoFill="0" autoLine="0" autoPict="0">
                <anchor moveWithCells="1">
                  <from>
                    <xdr:col>2</xdr:col>
                    <xdr:colOff>784860</xdr:colOff>
                    <xdr:row>40</xdr:row>
                    <xdr:rowOff>38100</xdr:rowOff>
                  </from>
                  <to>
                    <xdr:col>2</xdr:col>
                    <xdr:colOff>1234440</xdr:colOff>
                    <xdr:row>40</xdr:row>
                    <xdr:rowOff>236220</xdr:rowOff>
                  </to>
                </anchor>
              </controlPr>
            </control>
          </mc:Choice>
        </mc:AlternateContent>
        <mc:AlternateContent xmlns:mc="http://schemas.openxmlformats.org/markup-compatibility/2006">
          <mc:Choice Requires="x14">
            <control shapeId="1216" r:id="rId66" name="Option Button 192">
              <controlPr defaultSize="0" autoFill="0" autoLine="0" autoPict="0">
                <anchor moveWithCells="1">
                  <from>
                    <xdr:col>1</xdr:col>
                    <xdr:colOff>914400</xdr:colOff>
                    <xdr:row>41</xdr:row>
                    <xdr:rowOff>38100</xdr:rowOff>
                  </from>
                  <to>
                    <xdr:col>1</xdr:col>
                    <xdr:colOff>1470660</xdr:colOff>
                    <xdr:row>41</xdr:row>
                    <xdr:rowOff>236220</xdr:rowOff>
                  </to>
                </anchor>
              </controlPr>
            </control>
          </mc:Choice>
        </mc:AlternateContent>
        <mc:AlternateContent xmlns:mc="http://schemas.openxmlformats.org/markup-compatibility/2006">
          <mc:Choice Requires="x14">
            <control shapeId="1217" r:id="rId67" name="Option Button 193">
              <controlPr defaultSize="0" autoFill="0" autoLine="0" autoPict="0">
                <anchor moveWithCells="1">
                  <from>
                    <xdr:col>2</xdr:col>
                    <xdr:colOff>30480</xdr:colOff>
                    <xdr:row>41</xdr:row>
                    <xdr:rowOff>7620</xdr:rowOff>
                  </from>
                  <to>
                    <xdr:col>2</xdr:col>
                    <xdr:colOff>586740</xdr:colOff>
                    <xdr:row>41</xdr:row>
                    <xdr:rowOff>243840</xdr:rowOff>
                  </to>
                </anchor>
              </controlPr>
            </control>
          </mc:Choice>
        </mc:AlternateContent>
        <mc:AlternateContent xmlns:mc="http://schemas.openxmlformats.org/markup-compatibility/2006">
          <mc:Choice Requires="x14">
            <control shapeId="1218" r:id="rId68" name="Option Button 194">
              <controlPr defaultSize="0" autoFill="0" autoLine="0" autoPict="0">
                <anchor moveWithCells="1">
                  <from>
                    <xdr:col>2</xdr:col>
                    <xdr:colOff>586740</xdr:colOff>
                    <xdr:row>41</xdr:row>
                    <xdr:rowOff>38100</xdr:rowOff>
                  </from>
                  <to>
                    <xdr:col>2</xdr:col>
                    <xdr:colOff>1211580</xdr:colOff>
                    <xdr:row>41</xdr:row>
                    <xdr:rowOff>236220</xdr:rowOff>
                  </to>
                </anchor>
              </controlPr>
            </control>
          </mc:Choice>
        </mc:AlternateContent>
        <mc:AlternateContent xmlns:mc="http://schemas.openxmlformats.org/markup-compatibility/2006">
          <mc:Choice Requires="x14">
            <control shapeId="1219" r:id="rId69" name="Option Button 195">
              <controlPr defaultSize="0" autoFill="0" autoLine="0" autoPict="0">
                <anchor moveWithCells="1">
                  <from>
                    <xdr:col>4</xdr:col>
                    <xdr:colOff>1363980</xdr:colOff>
                    <xdr:row>37</xdr:row>
                    <xdr:rowOff>30480</xdr:rowOff>
                  </from>
                  <to>
                    <xdr:col>5</xdr:col>
                    <xdr:colOff>350520</xdr:colOff>
                    <xdr:row>37</xdr:row>
                    <xdr:rowOff>228600</xdr:rowOff>
                  </to>
                </anchor>
              </controlPr>
            </control>
          </mc:Choice>
        </mc:AlternateContent>
        <mc:AlternateContent xmlns:mc="http://schemas.openxmlformats.org/markup-compatibility/2006">
          <mc:Choice Requires="x14">
            <control shapeId="1220" r:id="rId70" name="Option Button 196">
              <controlPr defaultSize="0" autoFill="0" autoLine="0" autoPict="0">
                <anchor moveWithCells="1">
                  <from>
                    <xdr:col>5</xdr:col>
                    <xdr:colOff>381000</xdr:colOff>
                    <xdr:row>37</xdr:row>
                    <xdr:rowOff>30480</xdr:rowOff>
                  </from>
                  <to>
                    <xdr:col>5</xdr:col>
                    <xdr:colOff>861060</xdr:colOff>
                    <xdr:row>37</xdr:row>
                    <xdr:rowOff>228600</xdr:rowOff>
                  </to>
                </anchor>
              </controlPr>
            </control>
          </mc:Choice>
        </mc:AlternateContent>
        <mc:AlternateContent xmlns:mc="http://schemas.openxmlformats.org/markup-compatibility/2006">
          <mc:Choice Requires="x14">
            <control shapeId="1222" r:id="rId71" name="Option Button 198">
              <controlPr defaultSize="0" autoFill="0" autoLine="0" autoPict="0">
                <anchor moveWithCells="1">
                  <from>
                    <xdr:col>7</xdr:col>
                    <xdr:colOff>1325880</xdr:colOff>
                    <xdr:row>37</xdr:row>
                    <xdr:rowOff>38100</xdr:rowOff>
                  </from>
                  <to>
                    <xdr:col>8</xdr:col>
                    <xdr:colOff>350520</xdr:colOff>
                    <xdr:row>37</xdr:row>
                    <xdr:rowOff>251460</xdr:rowOff>
                  </to>
                </anchor>
              </controlPr>
            </control>
          </mc:Choice>
        </mc:AlternateContent>
        <mc:AlternateContent xmlns:mc="http://schemas.openxmlformats.org/markup-compatibility/2006">
          <mc:Choice Requires="x14">
            <control shapeId="1223" r:id="rId72" name="Option Button 199">
              <controlPr defaultSize="0" autoFill="0" autoLine="0" autoPict="0">
                <anchor moveWithCells="1">
                  <from>
                    <xdr:col>8</xdr:col>
                    <xdr:colOff>381000</xdr:colOff>
                    <xdr:row>37</xdr:row>
                    <xdr:rowOff>38100</xdr:rowOff>
                  </from>
                  <to>
                    <xdr:col>8</xdr:col>
                    <xdr:colOff>876300</xdr:colOff>
                    <xdr:row>37</xdr:row>
                    <xdr:rowOff>243840</xdr:rowOff>
                  </to>
                </anchor>
              </controlPr>
            </control>
          </mc:Choice>
        </mc:AlternateContent>
        <mc:AlternateContent xmlns:mc="http://schemas.openxmlformats.org/markup-compatibility/2006">
          <mc:Choice Requires="x14">
            <control shapeId="1225" r:id="rId73" name="Button 201">
              <controlPr defaultSize="0" autoFill="0" autoLine="0" autoPict="0" macro="[0]!CostlessCollar">
                <anchor moveWithCells="1" sizeWithCells="1">
                  <from>
                    <xdr:col>10</xdr:col>
                    <xdr:colOff>0</xdr:colOff>
                    <xdr:row>41</xdr:row>
                    <xdr:rowOff>0</xdr:rowOff>
                  </from>
                  <to>
                    <xdr:col>12</xdr:col>
                    <xdr:colOff>0</xdr:colOff>
                    <xdr:row>41</xdr:row>
                    <xdr:rowOff>236220</xdr:rowOff>
                  </to>
                </anchor>
              </controlPr>
            </control>
          </mc:Choice>
        </mc:AlternateContent>
        <mc:AlternateContent xmlns:mc="http://schemas.openxmlformats.org/markup-compatibility/2006">
          <mc:Choice Requires="x14">
            <control shapeId="1226" r:id="rId74" name="Group Box 202">
              <controlPr defaultSize="0" autoPict="0">
                <anchor moveWithCells="1">
                  <from>
                    <xdr:col>1</xdr:col>
                    <xdr:colOff>0</xdr:colOff>
                    <xdr:row>36</xdr:row>
                    <xdr:rowOff>0</xdr:rowOff>
                  </from>
                  <to>
                    <xdr:col>3</xdr:col>
                    <xdr:colOff>0</xdr:colOff>
                    <xdr:row>37</xdr:row>
                    <xdr:rowOff>0</xdr:rowOff>
                  </to>
                </anchor>
              </controlPr>
            </control>
          </mc:Choice>
        </mc:AlternateContent>
        <mc:AlternateContent xmlns:mc="http://schemas.openxmlformats.org/markup-compatibility/2006">
          <mc:Choice Requires="x14">
            <control shapeId="1227" r:id="rId75" name="Group Box 203">
              <controlPr defaultSize="0" autoPict="0">
                <anchor moveWithCells="1">
                  <from>
                    <xdr:col>1</xdr:col>
                    <xdr:colOff>0</xdr:colOff>
                    <xdr:row>37</xdr:row>
                    <xdr:rowOff>0</xdr:rowOff>
                  </from>
                  <to>
                    <xdr:col>2</xdr:col>
                    <xdr:colOff>1264920</xdr:colOff>
                    <xdr:row>38</xdr:row>
                    <xdr:rowOff>0</xdr:rowOff>
                  </to>
                </anchor>
              </controlPr>
            </control>
          </mc:Choice>
        </mc:AlternateContent>
        <mc:AlternateContent xmlns:mc="http://schemas.openxmlformats.org/markup-compatibility/2006">
          <mc:Choice Requires="x14">
            <control shapeId="1228" r:id="rId76" name="Group Box 204">
              <controlPr defaultSize="0" autoPict="0">
                <anchor moveWithCells="1">
                  <from>
                    <xdr:col>1</xdr:col>
                    <xdr:colOff>883920</xdr:colOff>
                    <xdr:row>39</xdr:row>
                    <xdr:rowOff>0</xdr:rowOff>
                  </from>
                  <to>
                    <xdr:col>3</xdr:col>
                    <xdr:colOff>0</xdr:colOff>
                    <xdr:row>40</xdr:row>
                    <xdr:rowOff>0</xdr:rowOff>
                  </to>
                </anchor>
              </controlPr>
            </control>
          </mc:Choice>
        </mc:AlternateContent>
        <mc:AlternateContent xmlns:mc="http://schemas.openxmlformats.org/markup-compatibility/2006">
          <mc:Choice Requires="x14">
            <control shapeId="1229" r:id="rId77" name="Group Box 205">
              <controlPr defaultSize="0" autoPict="0">
                <anchor moveWithCells="1">
                  <from>
                    <xdr:col>2</xdr:col>
                    <xdr:colOff>0</xdr:colOff>
                    <xdr:row>40</xdr:row>
                    <xdr:rowOff>0</xdr:rowOff>
                  </from>
                  <to>
                    <xdr:col>3</xdr:col>
                    <xdr:colOff>0</xdr:colOff>
                    <xdr:row>41</xdr:row>
                    <xdr:rowOff>0</xdr:rowOff>
                  </to>
                </anchor>
              </controlPr>
            </control>
          </mc:Choice>
        </mc:AlternateContent>
        <mc:AlternateContent xmlns:mc="http://schemas.openxmlformats.org/markup-compatibility/2006">
          <mc:Choice Requires="x14">
            <control shapeId="1230" r:id="rId78" name="Group Box 206">
              <controlPr defaultSize="0" autoPict="0">
                <anchor moveWithCells="1">
                  <from>
                    <xdr:col>1</xdr:col>
                    <xdr:colOff>868680</xdr:colOff>
                    <xdr:row>41</xdr:row>
                    <xdr:rowOff>0</xdr:rowOff>
                  </from>
                  <to>
                    <xdr:col>3</xdr:col>
                    <xdr:colOff>0</xdr:colOff>
                    <xdr:row>42</xdr:row>
                    <xdr:rowOff>0</xdr:rowOff>
                  </to>
                </anchor>
              </controlPr>
            </control>
          </mc:Choice>
        </mc:AlternateContent>
        <mc:AlternateContent xmlns:mc="http://schemas.openxmlformats.org/markup-compatibility/2006">
          <mc:Choice Requires="x14">
            <control shapeId="1234" r:id="rId79" name="Group Box 210">
              <controlPr defaultSize="0" autoPict="0">
                <anchor moveWithCells="1">
                  <from>
                    <xdr:col>4</xdr:col>
                    <xdr:colOff>1333500</xdr:colOff>
                    <xdr:row>37</xdr:row>
                    <xdr:rowOff>0</xdr:rowOff>
                  </from>
                  <to>
                    <xdr:col>6</xdr:col>
                    <xdr:colOff>0</xdr:colOff>
                    <xdr:row>38</xdr:row>
                    <xdr:rowOff>0</xdr:rowOff>
                  </to>
                </anchor>
              </controlPr>
            </control>
          </mc:Choice>
        </mc:AlternateContent>
        <mc:AlternateContent xmlns:mc="http://schemas.openxmlformats.org/markup-compatibility/2006">
          <mc:Choice Requires="x14">
            <control shapeId="1235" r:id="rId80" name="Group Box 211">
              <controlPr defaultSize="0" autoPict="0">
                <anchor moveWithCells="1">
                  <from>
                    <xdr:col>7</xdr:col>
                    <xdr:colOff>1280160</xdr:colOff>
                    <xdr:row>37</xdr:row>
                    <xdr:rowOff>0</xdr:rowOff>
                  </from>
                  <to>
                    <xdr:col>9</xdr:col>
                    <xdr:colOff>0</xdr:colOff>
                    <xdr:row>38</xdr:row>
                    <xdr:rowOff>0</xdr:rowOff>
                  </to>
                </anchor>
              </controlPr>
            </control>
          </mc:Choice>
        </mc:AlternateContent>
        <mc:AlternateContent xmlns:mc="http://schemas.openxmlformats.org/markup-compatibility/2006">
          <mc:Choice Requires="x14">
            <control shapeId="1286" r:id="rId81" name="Check Box 262">
              <controlPr defaultSize="0" autoFill="0" autoLine="0" autoPict="0">
                <anchor moveWithCells="1">
                  <from>
                    <xdr:col>13</xdr:col>
                    <xdr:colOff>0</xdr:colOff>
                    <xdr:row>4</xdr:row>
                    <xdr:rowOff>7620</xdr:rowOff>
                  </from>
                  <to>
                    <xdr:col>14</xdr:col>
                    <xdr:colOff>38100</xdr:colOff>
                    <xdr:row>4</xdr:row>
                    <xdr:rowOff>220980</xdr:rowOff>
                  </to>
                </anchor>
              </controlPr>
            </control>
          </mc:Choice>
        </mc:AlternateContent>
        <mc:AlternateContent xmlns:mc="http://schemas.openxmlformats.org/markup-compatibility/2006">
          <mc:Choice Requires="x14">
            <control shapeId="1298" r:id="rId82" name="Check Box 274">
              <controlPr defaultSize="0" autoFill="0" autoLine="0" autoPict="0">
                <anchor moveWithCells="1">
                  <from>
                    <xdr:col>13</xdr:col>
                    <xdr:colOff>0</xdr:colOff>
                    <xdr:row>5</xdr:row>
                    <xdr:rowOff>7620</xdr:rowOff>
                  </from>
                  <to>
                    <xdr:col>14</xdr:col>
                    <xdr:colOff>30480</xdr:colOff>
                    <xdr:row>5</xdr:row>
                    <xdr:rowOff>220980</xdr:rowOff>
                  </to>
                </anchor>
              </controlPr>
            </control>
          </mc:Choice>
        </mc:AlternateContent>
        <mc:AlternateContent xmlns:mc="http://schemas.openxmlformats.org/markup-compatibility/2006">
          <mc:Choice Requires="x14">
            <control shapeId="1299" r:id="rId83" name="Check Box 275">
              <controlPr defaultSize="0" autoFill="0" autoLine="0" autoPict="0">
                <anchor moveWithCells="1">
                  <from>
                    <xdr:col>13</xdr:col>
                    <xdr:colOff>0</xdr:colOff>
                    <xdr:row>6</xdr:row>
                    <xdr:rowOff>7620</xdr:rowOff>
                  </from>
                  <to>
                    <xdr:col>14</xdr:col>
                    <xdr:colOff>38100</xdr:colOff>
                    <xdr:row>6</xdr:row>
                    <xdr:rowOff>220980</xdr:rowOff>
                  </to>
                </anchor>
              </controlPr>
            </control>
          </mc:Choice>
        </mc:AlternateContent>
        <mc:AlternateContent xmlns:mc="http://schemas.openxmlformats.org/markup-compatibility/2006">
          <mc:Choice Requires="x14">
            <control shapeId="1300" r:id="rId84" name="Check Box 276">
              <controlPr defaultSize="0" autoFill="0" autoLine="0" autoPict="0">
                <anchor moveWithCells="1">
                  <from>
                    <xdr:col>13</xdr:col>
                    <xdr:colOff>0</xdr:colOff>
                    <xdr:row>7</xdr:row>
                    <xdr:rowOff>7620</xdr:rowOff>
                  </from>
                  <to>
                    <xdr:col>14</xdr:col>
                    <xdr:colOff>30480</xdr:colOff>
                    <xdr:row>7</xdr:row>
                    <xdr:rowOff>220980</xdr:rowOff>
                  </to>
                </anchor>
              </controlPr>
            </control>
          </mc:Choice>
        </mc:AlternateContent>
        <mc:AlternateContent xmlns:mc="http://schemas.openxmlformats.org/markup-compatibility/2006">
          <mc:Choice Requires="x14">
            <control shapeId="1301" r:id="rId85" name="Check Box 277">
              <controlPr defaultSize="0" autoFill="0" autoLine="0" autoPict="0">
                <anchor moveWithCells="1">
                  <from>
                    <xdr:col>13</xdr:col>
                    <xdr:colOff>0</xdr:colOff>
                    <xdr:row>8</xdr:row>
                    <xdr:rowOff>7620</xdr:rowOff>
                  </from>
                  <to>
                    <xdr:col>14</xdr:col>
                    <xdr:colOff>38100</xdr:colOff>
                    <xdr:row>9</xdr:row>
                    <xdr:rowOff>0</xdr:rowOff>
                  </to>
                </anchor>
              </controlPr>
            </control>
          </mc:Choice>
        </mc:AlternateContent>
        <mc:AlternateContent xmlns:mc="http://schemas.openxmlformats.org/markup-compatibility/2006">
          <mc:Choice Requires="x14">
            <control shapeId="1302" r:id="rId86" name="Check Box 278">
              <controlPr defaultSize="0" autoFill="0" autoLine="0" autoPict="0">
                <anchor moveWithCells="1">
                  <from>
                    <xdr:col>13</xdr:col>
                    <xdr:colOff>0</xdr:colOff>
                    <xdr:row>9</xdr:row>
                    <xdr:rowOff>7620</xdr:rowOff>
                  </from>
                  <to>
                    <xdr:col>14</xdr:col>
                    <xdr:colOff>38100</xdr:colOff>
                    <xdr:row>9</xdr:row>
                    <xdr:rowOff>220980</xdr:rowOff>
                  </to>
                </anchor>
              </controlPr>
            </control>
          </mc:Choice>
        </mc:AlternateContent>
        <mc:AlternateContent xmlns:mc="http://schemas.openxmlformats.org/markup-compatibility/2006">
          <mc:Choice Requires="x14">
            <control shapeId="1303" r:id="rId87" name="Check Box 279">
              <controlPr defaultSize="0" autoFill="0" autoLine="0" autoPict="0">
                <anchor moveWithCells="1">
                  <from>
                    <xdr:col>13</xdr:col>
                    <xdr:colOff>0</xdr:colOff>
                    <xdr:row>10</xdr:row>
                    <xdr:rowOff>7620</xdr:rowOff>
                  </from>
                  <to>
                    <xdr:col>14</xdr:col>
                    <xdr:colOff>38100</xdr:colOff>
                    <xdr:row>10</xdr:row>
                    <xdr:rowOff>220980</xdr:rowOff>
                  </to>
                </anchor>
              </controlPr>
            </control>
          </mc:Choice>
        </mc:AlternateContent>
        <mc:AlternateContent xmlns:mc="http://schemas.openxmlformats.org/markup-compatibility/2006">
          <mc:Choice Requires="x14">
            <control shapeId="1304" r:id="rId88" name="Check Box 280">
              <controlPr defaultSize="0" autoFill="0" autoLine="0" autoPict="0">
                <anchor moveWithCells="1">
                  <from>
                    <xdr:col>13</xdr:col>
                    <xdr:colOff>0</xdr:colOff>
                    <xdr:row>11</xdr:row>
                    <xdr:rowOff>7620</xdr:rowOff>
                  </from>
                  <to>
                    <xdr:col>14</xdr:col>
                    <xdr:colOff>38100</xdr:colOff>
                    <xdr:row>12</xdr:row>
                    <xdr:rowOff>7620</xdr:rowOff>
                  </to>
                </anchor>
              </controlPr>
            </control>
          </mc:Choice>
        </mc:AlternateContent>
        <mc:AlternateContent xmlns:mc="http://schemas.openxmlformats.org/markup-compatibility/2006">
          <mc:Choice Requires="x14">
            <control shapeId="1305" r:id="rId89" name="Check Box 281">
              <controlPr defaultSize="0" autoFill="0" autoLine="0" autoPict="0">
                <anchor moveWithCells="1">
                  <from>
                    <xdr:col>13</xdr:col>
                    <xdr:colOff>0</xdr:colOff>
                    <xdr:row>12</xdr:row>
                    <xdr:rowOff>7620</xdr:rowOff>
                  </from>
                  <to>
                    <xdr:col>14</xdr:col>
                    <xdr:colOff>38100</xdr:colOff>
                    <xdr:row>13</xdr:row>
                    <xdr:rowOff>7620</xdr:rowOff>
                  </to>
                </anchor>
              </controlPr>
            </control>
          </mc:Choice>
        </mc:AlternateContent>
        <mc:AlternateContent xmlns:mc="http://schemas.openxmlformats.org/markup-compatibility/2006">
          <mc:Choice Requires="x14">
            <control shapeId="1306" r:id="rId90" name="Check Box 282">
              <controlPr defaultSize="0" autoFill="0" autoLine="0" autoPict="0">
                <anchor moveWithCells="1">
                  <from>
                    <xdr:col>13</xdr:col>
                    <xdr:colOff>0</xdr:colOff>
                    <xdr:row>13</xdr:row>
                    <xdr:rowOff>7620</xdr:rowOff>
                  </from>
                  <to>
                    <xdr:col>14</xdr:col>
                    <xdr:colOff>38100</xdr:colOff>
                    <xdr:row>14</xdr:row>
                    <xdr:rowOff>0</xdr:rowOff>
                  </to>
                </anchor>
              </controlPr>
            </control>
          </mc:Choice>
        </mc:AlternateContent>
        <mc:AlternateContent xmlns:mc="http://schemas.openxmlformats.org/markup-compatibility/2006">
          <mc:Choice Requires="x14">
            <control shapeId="1307" r:id="rId91" name="Check Box 283">
              <controlPr defaultSize="0" autoFill="0" autoLine="0" autoPict="0">
                <anchor moveWithCells="1">
                  <from>
                    <xdr:col>13</xdr:col>
                    <xdr:colOff>0</xdr:colOff>
                    <xdr:row>13</xdr:row>
                    <xdr:rowOff>243840</xdr:rowOff>
                  </from>
                  <to>
                    <xdr:col>14</xdr:col>
                    <xdr:colOff>38100</xdr:colOff>
                    <xdr:row>14</xdr:row>
                    <xdr:rowOff>220980</xdr:rowOff>
                  </to>
                </anchor>
              </controlPr>
            </control>
          </mc:Choice>
        </mc:AlternateContent>
        <mc:AlternateContent xmlns:mc="http://schemas.openxmlformats.org/markup-compatibility/2006">
          <mc:Choice Requires="x14">
            <control shapeId="1308" r:id="rId92" name="Check Box 284">
              <controlPr defaultSize="0" autoFill="0" autoLine="0" autoPict="0">
                <anchor moveWithCells="1">
                  <from>
                    <xdr:col>13</xdr:col>
                    <xdr:colOff>0</xdr:colOff>
                    <xdr:row>15</xdr:row>
                    <xdr:rowOff>7620</xdr:rowOff>
                  </from>
                  <to>
                    <xdr:col>14</xdr:col>
                    <xdr:colOff>38100</xdr:colOff>
                    <xdr:row>16</xdr:row>
                    <xdr:rowOff>0</xdr:rowOff>
                  </to>
                </anchor>
              </controlPr>
            </control>
          </mc:Choice>
        </mc:AlternateContent>
        <mc:AlternateContent xmlns:mc="http://schemas.openxmlformats.org/markup-compatibility/2006">
          <mc:Choice Requires="x14">
            <control shapeId="1311" r:id="rId93" name="Button 287">
              <controlPr defaultSize="0" autoFill="0" autoLine="0" autoPict="0" macro="[0]!OImpliedVol">
                <anchor moveWithCells="1" sizeWithCells="1">
                  <from>
                    <xdr:col>10</xdr:col>
                    <xdr:colOff>0</xdr:colOff>
                    <xdr:row>21</xdr:row>
                    <xdr:rowOff>0</xdr:rowOff>
                  </from>
                  <to>
                    <xdr:col>11</xdr:col>
                    <xdr:colOff>830580</xdr:colOff>
                    <xdr:row>22</xdr:row>
                    <xdr:rowOff>0</xdr:rowOff>
                  </to>
                </anchor>
              </controlPr>
            </control>
          </mc:Choice>
        </mc:AlternateContent>
        <mc:AlternateContent xmlns:mc="http://schemas.openxmlformats.org/markup-compatibility/2006">
          <mc:Choice Requires="x14">
            <control shapeId="1342" r:id="rId94" name="Check Box 318">
              <controlPr defaultSize="0" autoFill="0" autoLine="0" autoPict="0">
                <anchor moveWithCells="1">
                  <from>
                    <xdr:col>1</xdr:col>
                    <xdr:colOff>38100</xdr:colOff>
                    <xdr:row>38</xdr:row>
                    <xdr:rowOff>30480</xdr:rowOff>
                  </from>
                  <to>
                    <xdr:col>2</xdr:col>
                    <xdr:colOff>7620</xdr:colOff>
                    <xdr:row>38</xdr:row>
                    <xdr:rowOff>228600</xdr:rowOff>
                  </to>
                </anchor>
              </controlPr>
            </control>
          </mc:Choice>
        </mc:AlternateContent>
        <mc:AlternateContent xmlns:mc="http://schemas.openxmlformats.org/markup-compatibility/2006">
          <mc:Choice Requires="x14">
            <control shapeId="1344" r:id="rId95" name="Option Button 320">
              <controlPr defaultSize="0" autoFill="0" autoLine="0" autoPict="0">
                <anchor moveWithCells="1">
                  <from>
                    <xdr:col>5</xdr:col>
                    <xdr:colOff>304800</xdr:colOff>
                    <xdr:row>3</xdr:row>
                    <xdr:rowOff>38100</xdr:rowOff>
                  </from>
                  <to>
                    <xdr:col>5</xdr:col>
                    <xdr:colOff>891540</xdr:colOff>
                    <xdr:row>3</xdr:row>
                    <xdr:rowOff>236220</xdr:rowOff>
                  </to>
                </anchor>
              </controlPr>
            </control>
          </mc:Choice>
        </mc:AlternateContent>
        <mc:AlternateContent xmlns:mc="http://schemas.openxmlformats.org/markup-compatibility/2006">
          <mc:Choice Requires="x14">
            <control shapeId="1348" r:id="rId96" name="Check Box 324">
              <controlPr defaultSize="0" autoFill="0" autoLine="0" autoPict="0">
                <anchor moveWithCells="1">
                  <from>
                    <xdr:col>7</xdr:col>
                    <xdr:colOff>7620</xdr:colOff>
                    <xdr:row>2</xdr:row>
                    <xdr:rowOff>0</xdr:rowOff>
                  </from>
                  <to>
                    <xdr:col>7</xdr:col>
                    <xdr:colOff>1699260</xdr:colOff>
                    <xdr:row>2</xdr:row>
                    <xdr:rowOff>198120</xdr:rowOff>
                  </to>
                </anchor>
              </controlPr>
            </control>
          </mc:Choice>
        </mc:AlternateContent>
        <mc:AlternateContent xmlns:mc="http://schemas.openxmlformats.org/markup-compatibility/2006">
          <mc:Choice Requires="x14">
            <control shapeId="1371" r:id="rId97" name="Option Button 347">
              <controlPr defaultSize="0" autoFill="0" autoLine="0" autoPict="0">
                <anchor moveWithCells="1">
                  <from>
                    <xdr:col>2</xdr:col>
                    <xdr:colOff>403860</xdr:colOff>
                    <xdr:row>21</xdr:row>
                    <xdr:rowOff>7620</xdr:rowOff>
                  </from>
                  <to>
                    <xdr:col>2</xdr:col>
                    <xdr:colOff>1135380</xdr:colOff>
                    <xdr:row>21</xdr:row>
                    <xdr:rowOff>220980</xdr:rowOff>
                  </to>
                </anchor>
              </controlPr>
            </control>
          </mc:Choice>
        </mc:AlternateContent>
        <mc:AlternateContent xmlns:mc="http://schemas.openxmlformats.org/markup-compatibility/2006">
          <mc:Choice Requires="x14">
            <control shapeId="1375" r:id="rId98" name="Group Box 351">
              <controlPr defaultSize="0" autoPict="0">
                <anchor moveWithCells="1">
                  <from>
                    <xdr:col>2</xdr:col>
                    <xdr:colOff>0</xdr:colOff>
                    <xdr:row>29</xdr:row>
                    <xdr:rowOff>0</xdr:rowOff>
                  </from>
                  <to>
                    <xdr:col>3</xdr:col>
                    <xdr:colOff>0</xdr:colOff>
                    <xdr:row>29</xdr:row>
                    <xdr:rowOff>251460</xdr:rowOff>
                  </to>
                </anchor>
              </controlPr>
            </control>
          </mc:Choice>
        </mc:AlternateContent>
        <mc:AlternateContent xmlns:mc="http://schemas.openxmlformats.org/markup-compatibility/2006">
          <mc:Choice Requires="x14">
            <control shapeId="1376" r:id="rId99" name="Option Button 352">
              <controlPr defaultSize="0" autoFill="0" autoLine="0" autoPict="0">
                <anchor moveWithCells="1">
                  <from>
                    <xdr:col>2</xdr:col>
                    <xdr:colOff>7620</xdr:colOff>
                    <xdr:row>29</xdr:row>
                    <xdr:rowOff>30480</xdr:rowOff>
                  </from>
                  <to>
                    <xdr:col>2</xdr:col>
                    <xdr:colOff>777240</xdr:colOff>
                    <xdr:row>29</xdr:row>
                    <xdr:rowOff>228600</xdr:rowOff>
                  </to>
                </anchor>
              </controlPr>
            </control>
          </mc:Choice>
        </mc:AlternateContent>
        <mc:AlternateContent xmlns:mc="http://schemas.openxmlformats.org/markup-compatibility/2006">
          <mc:Choice Requires="x14">
            <control shapeId="1377" r:id="rId100" name="Option Button 353">
              <controlPr defaultSize="0" autoFill="0" autoLine="0" autoPict="0">
                <anchor moveWithCells="1">
                  <from>
                    <xdr:col>2</xdr:col>
                    <xdr:colOff>762000</xdr:colOff>
                    <xdr:row>29</xdr:row>
                    <xdr:rowOff>30480</xdr:rowOff>
                  </from>
                  <to>
                    <xdr:col>2</xdr:col>
                    <xdr:colOff>1211580</xdr:colOff>
                    <xdr:row>29</xdr:row>
                    <xdr:rowOff>228600</xdr:rowOff>
                  </to>
                </anchor>
              </controlPr>
            </control>
          </mc:Choice>
        </mc:AlternateContent>
        <mc:AlternateContent xmlns:mc="http://schemas.openxmlformats.org/markup-compatibility/2006">
          <mc:Choice Requires="x14">
            <control shapeId="1378" r:id="rId101" name="Group Box 354">
              <controlPr defaultSize="0" autoPict="0">
                <anchor moveWithCells="1">
                  <from>
                    <xdr:col>4</xdr:col>
                    <xdr:colOff>1333500</xdr:colOff>
                    <xdr:row>30</xdr:row>
                    <xdr:rowOff>0</xdr:rowOff>
                  </from>
                  <to>
                    <xdr:col>5</xdr:col>
                    <xdr:colOff>914400</xdr:colOff>
                    <xdr:row>30</xdr:row>
                    <xdr:rowOff>251460</xdr:rowOff>
                  </to>
                </anchor>
              </controlPr>
            </control>
          </mc:Choice>
        </mc:AlternateContent>
        <mc:AlternateContent xmlns:mc="http://schemas.openxmlformats.org/markup-compatibility/2006">
          <mc:Choice Requires="x14">
            <control shapeId="1379" r:id="rId102" name="Option Button 355">
              <controlPr defaultSize="0" autoFill="0" autoLine="0" autoPict="0">
                <anchor moveWithCells="1">
                  <from>
                    <xdr:col>4</xdr:col>
                    <xdr:colOff>1348740</xdr:colOff>
                    <xdr:row>30</xdr:row>
                    <xdr:rowOff>30480</xdr:rowOff>
                  </from>
                  <to>
                    <xdr:col>5</xdr:col>
                    <xdr:colOff>342900</xdr:colOff>
                    <xdr:row>30</xdr:row>
                    <xdr:rowOff>228600</xdr:rowOff>
                  </to>
                </anchor>
              </controlPr>
            </control>
          </mc:Choice>
        </mc:AlternateContent>
        <mc:AlternateContent xmlns:mc="http://schemas.openxmlformats.org/markup-compatibility/2006">
          <mc:Choice Requires="x14">
            <control shapeId="1380" r:id="rId103" name="Option Button 356">
              <controlPr defaultSize="0" autoFill="0" autoLine="0" autoPict="0">
                <anchor moveWithCells="1">
                  <from>
                    <xdr:col>5</xdr:col>
                    <xdr:colOff>381000</xdr:colOff>
                    <xdr:row>30</xdr:row>
                    <xdr:rowOff>30480</xdr:rowOff>
                  </from>
                  <to>
                    <xdr:col>5</xdr:col>
                    <xdr:colOff>868680</xdr:colOff>
                    <xdr:row>30</xdr:row>
                    <xdr:rowOff>228600</xdr:rowOff>
                  </to>
                </anchor>
              </controlPr>
            </control>
          </mc:Choice>
        </mc:AlternateContent>
        <mc:AlternateContent xmlns:mc="http://schemas.openxmlformats.org/markup-compatibility/2006">
          <mc:Choice Requires="x14">
            <control shapeId="1381" r:id="rId104" name="Drop Down 357">
              <controlPr defaultSize="0" autoFill="0" autoLine="0" autoPict="0" macro="[0]!FetchOmicron">
                <anchor moveWithCells="1">
                  <from>
                    <xdr:col>4</xdr:col>
                    <xdr:colOff>548640</xdr:colOff>
                    <xdr:row>29</xdr:row>
                    <xdr:rowOff>30480</xdr:rowOff>
                  </from>
                  <to>
                    <xdr:col>5</xdr:col>
                    <xdr:colOff>891540</xdr:colOff>
                    <xdr:row>29</xdr:row>
                    <xdr:rowOff>236220</xdr:rowOff>
                  </to>
                </anchor>
              </controlPr>
            </control>
          </mc:Choice>
        </mc:AlternateContent>
        <mc:AlternateContent xmlns:mc="http://schemas.openxmlformats.org/markup-compatibility/2006">
          <mc:Choice Requires="x14">
            <control shapeId="1386" r:id="rId105" name="Option Button 362">
              <controlPr defaultSize="0" autoFill="0" autoLine="0" autoPict="0">
                <anchor moveWithCells="1">
                  <from>
                    <xdr:col>2</xdr:col>
                    <xdr:colOff>571500</xdr:colOff>
                    <xdr:row>39</xdr:row>
                    <xdr:rowOff>38100</xdr:rowOff>
                  </from>
                  <to>
                    <xdr:col>2</xdr:col>
                    <xdr:colOff>1257300</xdr:colOff>
                    <xdr:row>39</xdr:row>
                    <xdr:rowOff>236220</xdr:rowOff>
                  </to>
                </anchor>
              </controlPr>
            </control>
          </mc:Choice>
        </mc:AlternateContent>
        <mc:AlternateContent xmlns:mc="http://schemas.openxmlformats.org/markup-compatibility/2006">
          <mc:Choice Requires="x14">
            <control shapeId="1407" r:id="rId106" name="Group Box 383">
              <controlPr defaultSize="0" autoPict="0">
                <anchor moveWithCells="1">
                  <from>
                    <xdr:col>1</xdr:col>
                    <xdr:colOff>815340</xdr:colOff>
                    <xdr:row>24</xdr:row>
                    <xdr:rowOff>0</xdr:rowOff>
                  </from>
                  <to>
                    <xdr:col>3</xdr:col>
                    <xdr:colOff>0</xdr:colOff>
                    <xdr:row>24</xdr:row>
                    <xdr:rowOff>236220</xdr:rowOff>
                  </to>
                </anchor>
              </controlPr>
            </control>
          </mc:Choice>
        </mc:AlternateContent>
        <mc:AlternateContent xmlns:mc="http://schemas.openxmlformats.org/markup-compatibility/2006">
          <mc:Choice Requires="x14">
            <control shapeId="1409" r:id="rId107" name="Option Button 385">
              <controlPr defaultSize="0" autoFill="0" autoLine="0" autoPict="0">
                <anchor moveWithCells="1">
                  <from>
                    <xdr:col>4</xdr:col>
                    <xdr:colOff>525780</xdr:colOff>
                    <xdr:row>4</xdr:row>
                    <xdr:rowOff>30480</xdr:rowOff>
                  </from>
                  <to>
                    <xdr:col>4</xdr:col>
                    <xdr:colOff>1615440</xdr:colOff>
                    <xdr:row>4</xdr:row>
                    <xdr:rowOff>228600</xdr:rowOff>
                  </to>
                </anchor>
              </controlPr>
            </control>
          </mc:Choice>
        </mc:AlternateContent>
        <mc:AlternateContent xmlns:mc="http://schemas.openxmlformats.org/markup-compatibility/2006">
          <mc:Choice Requires="x14">
            <control shapeId="1410" r:id="rId108" name="Option Button 386">
              <controlPr defaultSize="0" autoFill="0" autoLine="0" autoPict="0">
                <anchor moveWithCells="1">
                  <from>
                    <xdr:col>4</xdr:col>
                    <xdr:colOff>1577340</xdr:colOff>
                    <xdr:row>4</xdr:row>
                    <xdr:rowOff>7620</xdr:rowOff>
                  </from>
                  <to>
                    <xdr:col>5</xdr:col>
                    <xdr:colOff>883920</xdr:colOff>
                    <xdr:row>4</xdr:row>
                    <xdr:rowOff>236220</xdr:rowOff>
                  </to>
                </anchor>
              </controlPr>
            </control>
          </mc:Choice>
        </mc:AlternateContent>
        <mc:AlternateContent xmlns:mc="http://schemas.openxmlformats.org/markup-compatibility/2006">
          <mc:Choice Requires="x14">
            <control shapeId="1411" r:id="rId109" name="Group Box 387">
              <controlPr defaultSize="0" autoPict="0">
                <anchor moveWithCells="1">
                  <from>
                    <xdr:col>4</xdr:col>
                    <xdr:colOff>502920</xdr:colOff>
                    <xdr:row>4</xdr:row>
                    <xdr:rowOff>0</xdr:rowOff>
                  </from>
                  <to>
                    <xdr:col>5</xdr:col>
                    <xdr:colOff>914400</xdr:colOff>
                    <xdr:row>5</xdr:row>
                    <xdr:rowOff>0</xdr:rowOff>
                  </to>
                </anchor>
              </controlPr>
            </control>
          </mc:Choice>
        </mc:AlternateContent>
        <mc:AlternateContent xmlns:mc="http://schemas.openxmlformats.org/markup-compatibility/2006">
          <mc:Choice Requires="x14">
            <control shapeId="1414" r:id="rId110" name="Check Box 390">
              <controlPr defaultSize="0" autoFill="0" autoLine="0" autoPict="0">
                <anchor moveWithCells="1">
                  <from>
                    <xdr:col>4</xdr:col>
                    <xdr:colOff>7620</xdr:colOff>
                    <xdr:row>9</xdr:row>
                    <xdr:rowOff>30480</xdr:rowOff>
                  </from>
                  <to>
                    <xdr:col>4</xdr:col>
                    <xdr:colOff>731520</xdr:colOff>
                    <xdr:row>10</xdr:row>
                    <xdr:rowOff>0</xdr:rowOff>
                  </to>
                </anchor>
              </controlPr>
            </control>
          </mc:Choice>
        </mc:AlternateContent>
        <mc:AlternateContent xmlns:mc="http://schemas.openxmlformats.org/markup-compatibility/2006">
          <mc:Choice Requires="x14">
            <control shapeId="1415" r:id="rId111" name="Check Box 391">
              <controlPr defaultSize="0" autoFill="0" autoLine="0" autoPict="0">
                <anchor moveWithCells="1">
                  <from>
                    <xdr:col>4</xdr:col>
                    <xdr:colOff>7620</xdr:colOff>
                    <xdr:row>8</xdr:row>
                    <xdr:rowOff>30480</xdr:rowOff>
                  </from>
                  <to>
                    <xdr:col>4</xdr:col>
                    <xdr:colOff>731520</xdr:colOff>
                    <xdr:row>9</xdr:row>
                    <xdr:rowOff>0</xdr:rowOff>
                  </to>
                </anchor>
              </controlPr>
            </control>
          </mc:Choice>
        </mc:AlternateContent>
        <mc:AlternateContent xmlns:mc="http://schemas.openxmlformats.org/markup-compatibility/2006">
          <mc:Choice Requires="x14">
            <control shapeId="1439" r:id="rId112" name="Button 415">
              <controlPr defaultSize="0" autoFill="0" autoLine="0" autoPict="0" macro="[0]!SpeedUp">
                <anchor moveWithCells="1" sizeWithCells="1">
                  <from>
                    <xdr:col>0</xdr:col>
                    <xdr:colOff>60960</xdr:colOff>
                    <xdr:row>5</xdr:row>
                    <xdr:rowOff>45720</xdr:rowOff>
                  </from>
                  <to>
                    <xdr:col>3</xdr:col>
                    <xdr:colOff>7620</xdr:colOff>
                    <xdr:row>5</xdr:row>
                    <xdr:rowOff>289560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pageSetUpPr fitToPage="1"/>
  </sheetPr>
  <dimension ref="A1:CY509"/>
  <sheetViews>
    <sheetView showGridLines="0" zoomScale="75" workbookViewId="0">
      <selection activeCell="T13" sqref="T13"/>
    </sheetView>
  </sheetViews>
  <sheetFormatPr defaultRowHeight="13.2" x14ac:dyDescent="0.25"/>
  <cols>
    <col min="1" max="1" width="11.6640625" style="13" customWidth="1"/>
    <col min="2" max="2" width="9.44140625" style="13" customWidth="1"/>
    <col min="3" max="3" width="6.6640625" style="9" customWidth="1"/>
    <col min="4" max="4" width="9.109375" style="11" customWidth="1"/>
    <col min="5" max="7" width="8.6640625" style="984" customWidth="1"/>
    <col min="8" max="8" width="2.109375" style="984" customWidth="1"/>
    <col min="9" max="11" width="8.44140625" style="984" customWidth="1"/>
    <col min="12" max="12" width="2.6640625" style="984" customWidth="1"/>
    <col min="13" max="13" width="8.6640625" style="984" customWidth="1"/>
    <col min="14" max="16" width="8.109375" style="984" customWidth="1"/>
    <col min="17" max="17" width="5" style="984" customWidth="1"/>
    <col min="18" max="20" width="8.44140625" style="984" customWidth="1"/>
    <col min="21" max="21" width="7.6640625" style="984" customWidth="1"/>
    <col min="22" max="24" width="8.44140625" style="984" customWidth="1"/>
    <col min="25" max="25" width="3.5546875" style="984" customWidth="1"/>
    <col min="26" max="28" width="6.5546875" style="984" customWidth="1"/>
    <col min="29" max="29" width="3.33203125" style="984" customWidth="1"/>
    <col min="30" max="32" width="7" style="984" customWidth="1"/>
    <col min="33" max="33" width="4.33203125" style="984" customWidth="1"/>
    <col min="34" max="36" width="7" style="984" customWidth="1"/>
    <col min="37" max="37" width="2.44140625" style="984" customWidth="1"/>
    <col min="38" max="40" width="6.33203125" style="984" customWidth="1"/>
    <col min="41" max="41" width="2.109375" style="984" customWidth="1"/>
    <col min="42" max="42" width="6.33203125" style="984" bestFit="1" customWidth="1"/>
    <col min="43" max="43" width="7.5546875" style="984" bestFit="1" customWidth="1"/>
    <col min="44" max="44" width="5.5546875" style="984" customWidth="1"/>
    <col min="45" max="45" width="7.33203125" style="984" customWidth="1"/>
    <col min="46" max="57" width="7.6640625" style="984" customWidth="1"/>
    <col min="58" max="58" width="5.88671875" style="984" bestFit="1" customWidth="1"/>
    <col min="59" max="59" width="9.109375" style="13" customWidth="1"/>
    <col min="60" max="60" width="10.6640625" customWidth="1"/>
    <col min="62" max="62" width="9.109375" style="13" customWidth="1"/>
    <col min="63" max="68" width="9.109375" style="9" customWidth="1"/>
    <col min="69" max="78" width="10.33203125" customWidth="1"/>
    <col min="79" max="79" width="10.88671875" customWidth="1"/>
    <col min="80" max="80" width="7.88671875" customWidth="1"/>
    <col min="81" max="82" width="11.6640625" customWidth="1"/>
    <col min="83" max="98" width="11" customWidth="1"/>
    <col min="99" max="103" width="10.33203125" customWidth="1"/>
  </cols>
  <sheetData>
    <row r="1" spans="1:103" ht="23.4" thickBot="1" x14ac:dyDescent="0.45">
      <c r="A1" s="14" t="s">
        <v>282</v>
      </c>
      <c r="C1" s="13"/>
      <c r="D1" s="14" t="s">
        <v>283</v>
      </c>
      <c r="E1" s="982"/>
      <c r="F1" s="982"/>
      <c r="G1" s="982"/>
      <c r="H1" s="982"/>
      <c r="I1" s="982"/>
      <c r="J1" s="982"/>
      <c r="K1" s="982"/>
      <c r="L1" s="982"/>
      <c r="M1" s="982"/>
      <c r="N1" s="982"/>
      <c r="O1" s="982"/>
      <c r="P1" s="982"/>
      <c r="Q1" s="982"/>
      <c r="R1" s="983"/>
      <c r="S1" s="983"/>
      <c r="T1" s="983"/>
      <c r="U1" s="983"/>
      <c r="V1" s="983"/>
      <c r="W1" s="983"/>
      <c r="X1" s="983"/>
      <c r="Y1" s="983"/>
      <c r="Z1" s="983"/>
      <c r="AA1" s="983"/>
      <c r="AB1" s="983"/>
      <c r="AC1" s="983"/>
      <c r="AD1" s="983"/>
      <c r="AE1" s="983"/>
      <c r="AF1" s="983"/>
      <c r="AG1" s="983"/>
      <c r="AH1" s="983"/>
      <c r="AI1" s="983"/>
      <c r="AJ1" s="983"/>
      <c r="AK1" s="983"/>
      <c r="AL1" s="983"/>
      <c r="AM1" s="983"/>
      <c r="AN1" s="983"/>
      <c r="AO1" s="983"/>
      <c r="AP1" s="983"/>
      <c r="AQ1" s="983"/>
      <c r="AR1" s="983"/>
      <c r="AS1" s="983"/>
      <c r="AT1" s="983"/>
      <c r="AU1" s="983"/>
      <c r="AV1" s="983"/>
      <c r="AW1" s="983"/>
      <c r="AX1" s="983"/>
      <c r="AY1" s="983"/>
      <c r="AZ1" s="983"/>
      <c r="BA1" s="983"/>
      <c r="BB1" s="983"/>
      <c r="BC1" s="983"/>
      <c r="BE1" s="983"/>
      <c r="BF1" s="983"/>
      <c r="BK1" s="14"/>
      <c r="BQ1" s="14" t="s">
        <v>284</v>
      </c>
    </row>
    <row r="2" spans="1:103" ht="27" customHeight="1" thickBot="1" x14ac:dyDescent="0.35">
      <c r="C2" s="396"/>
      <c r="D2" s="985"/>
      <c r="E2" s="983"/>
      <c r="F2" s="983"/>
      <c r="G2" s="983"/>
      <c r="H2" s="983"/>
      <c r="I2" s="983"/>
      <c r="J2" s="983"/>
      <c r="K2" s="983"/>
      <c r="L2" s="983"/>
      <c r="M2" s="983"/>
      <c r="N2" s="983"/>
      <c r="O2" s="982"/>
      <c r="P2" s="983"/>
      <c r="Q2" s="983"/>
      <c r="R2" s="983"/>
      <c r="S2" s="997"/>
      <c r="T2" s="998"/>
      <c r="U2" s="998"/>
      <c r="V2" s="998"/>
      <c r="W2" s="999"/>
      <c r="X2" s="983"/>
      <c r="Y2" s="983"/>
      <c r="Z2" s="983"/>
      <c r="AA2" s="983"/>
      <c r="AB2" s="983"/>
      <c r="AC2" s="983"/>
      <c r="AD2" s="983"/>
      <c r="AE2" s="983"/>
      <c r="AF2" s="983"/>
      <c r="AG2" s="983"/>
      <c r="AH2" s="983"/>
      <c r="AI2" s="983"/>
      <c r="AJ2" s="983"/>
      <c r="AK2" s="983"/>
      <c r="AL2" s="983"/>
      <c r="AM2" s="983"/>
      <c r="AN2" s="983"/>
      <c r="AO2" s="983"/>
      <c r="AP2" s="983"/>
      <c r="AQ2" s="983"/>
      <c r="AR2" s="983"/>
      <c r="AS2" s="983"/>
      <c r="AT2" s="983"/>
      <c r="AU2" s="983"/>
      <c r="AV2" s="983"/>
      <c r="AW2" s="1"/>
      <c r="AX2" s="1"/>
      <c r="AY2" s="983"/>
      <c r="AZ2" s="983"/>
      <c r="BA2" s="983"/>
      <c r="BB2" s="983"/>
      <c r="BC2" s="983"/>
      <c r="BE2" s="983"/>
      <c r="BF2" s="983"/>
      <c r="BH2" s="149" t="s">
        <v>285</v>
      </c>
      <c r="BI2" s="214"/>
      <c r="BQ2" s="646" t="s">
        <v>286</v>
      </c>
      <c r="BR2" s="8"/>
      <c r="BS2" s="8"/>
      <c r="BT2" s="8"/>
      <c r="BU2" s="8"/>
      <c r="BV2" s="8"/>
      <c r="BW2" s="8"/>
      <c r="BX2" s="8"/>
      <c r="BY2" s="8"/>
      <c r="BZ2" s="8"/>
      <c r="CA2" s="8"/>
      <c r="CB2" s="8"/>
      <c r="CC2" s="8"/>
      <c r="CD2" s="8"/>
      <c r="CE2" s="8"/>
      <c r="CF2" s="8"/>
      <c r="CG2" s="8"/>
      <c r="CH2" s="8"/>
      <c r="CI2" s="8"/>
      <c r="CJ2" s="8"/>
      <c r="CK2" s="8"/>
      <c r="CL2" s="8"/>
      <c r="CM2" s="8"/>
      <c r="CN2" s="8"/>
      <c r="CO2" s="8"/>
      <c r="CP2" s="8"/>
      <c r="CQ2" s="8"/>
      <c r="CR2" s="8"/>
      <c r="CS2" s="8"/>
      <c r="CT2" s="8"/>
    </row>
    <row r="3" spans="1:103" ht="14.4" thickBot="1" x14ac:dyDescent="0.35">
      <c r="A3" s="552">
        <v>36617</v>
      </c>
      <c r="B3" s="717">
        <v>6.0711830429785001E-2</v>
      </c>
      <c r="C3" s="396"/>
      <c r="D3" s="986" t="s">
        <v>514</v>
      </c>
      <c r="E3" s="138" t="s">
        <v>515</v>
      </c>
      <c r="F3" s="137"/>
      <c r="G3" s="987">
        <v>36584</v>
      </c>
      <c r="H3" s="971"/>
      <c r="I3" s="21"/>
      <c r="J3" s="21"/>
      <c r="K3" s="21"/>
      <c r="L3" s="12"/>
      <c r="M3" s="1004"/>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H3" s="208" t="s">
        <v>287</v>
      </c>
      <c r="BI3" s="227"/>
      <c r="BQ3" s="643"/>
      <c r="BR3" s="701" t="s">
        <v>288</v>
      </c>
      <c r="BS3" s="150"/>
      <c r="BT3" s="150"/>
      <c r="BU3" s="150"/>
      <c r="BV3" s="150"/>
      <c r="BW3" s="150"/>
      <c r="BX3" s="711" t="s">
        <v>289</v>
      </c>
      <c r="BY3" s="712"/>
      <c r="BZ3" s="713"/>
      <c r="CA3" s="790" t="s">
        <v>290</v>
      </c>
      <c r="CB3" s="758"/>
      <c r="CC3" s="758" t="s">
        <v>291</v>
      </c>
      <c r="CD3" s="758" t="s">
        <v>291</v>
      </c>
      <c r="CE3" s="8"/>
      <c r="CF3" s="8"/>
      <c r="CG3" s="8"/>
      <c r="CH3" s="8"/>
      <c r="CI3" s="8"/>
      <c r="CJ3" s="8"/>
      <c r="CK3" s="8"/>
      <c r="CL3" s="8"/>
      <c r="CM3" s="8"/>
      <c r="CN3" s="8"/>
      <c r="CO3" s="8"/>
      <c r="CP3" s="8"/>
      <c r="CQ3" s="8"/>
      <c r="CR3" s="8"/>
      <c r="CS3" s="8"/>
      <c r="CT3" s="8"/>
      <c r="CU3" s="13"/>
      <c r="CV3" s="13"/>
      <c r="CW3" s="13"/>
      <c r="CX3" s="13"/>
    </row>
    <row r="4" spans="1:103" ht="13.8" x14ac:dyDescent="0.3">
      <c r="A4" s="553">
        <f t="shared" ref="A4:A67" si="0">EOMONTH(A3,0)+1</f>
        <v>36647</v>
      </c>
      <c r="B4" s="717">
        <v>6.1493785480609998E-2</v>
      </c>
      <c r="C4" s="8"/>
      <c r="D4" s="133"/>
      <c r="E4" s="137"/>
      <c r="F4" s="137"/>
      <c r="G4" s="137"/>
      <c r="H4" s="12"/>
      <c r="I4" s="21"/>
      <c r="J4" s="21"/>
      <c r="K4" s="21"/>
      <c r="L4" s="12"/>
      <c r="M4" s="1004"/>
      <c r="N4" s="21"/>
      <c r="O4" s="21"/>
      <c r="P4" s="21"/>
      <c r="Q4" s="21"/>
      <c r="R4" s="21"/>
      <c r="S4" s="21"/>
      <c r="T4" s="21"/>
      <c r="U4" s="21"/>
      <c r="V4" s="21"/>
      <c r="W4" s="21"/>
      <c r="X4" s="21"/>
      <c r="Y4" s="21"/>
      <c r="Z4" s="21" t="s">
        <v>516</v>
      </c>
      <c r="AA4" s="21"/>
      <c r="AB4" s="21"/>
      <c r="AC4" s="21"/>
      <c r="AD4" s="21"/>
      <c r="AE4" s="21"/>
      <c r="AF4" s="21"/>
      <c r="AG4" s="21"/>
      <c r="AH4" s="21" t="s">
        <v>517</v>
      </c>
      <c r="AI4" s="21"/>
      <c r="AJ4" s="21"/>
      <c r="AK4" s="21"/>
      <c r="AL4" s="21"/>
      <c r="AM4" s="21"/>
      <c r="AN4" s="21"/>
      <c r="AO4" s="21"/>
      <c r="AP4" s="21"/>
      <c r="AQ4" s="21"/>
      <c r="AR4" s="21"/>
      <c r="AS4" s="21"/>
      <c r="AT4" s="21"/>
      <c r="AU4" s="21"/>
      <c r="AV4" s="21"/>
      <c r="AW4" s="21"/>
      <c r="AX4" s="21"/>
      <c r="AY4" s="21"/>
      <c r="AZ4" s="21"/>
      <c r="BA4" s="21"/>
      <c r="BB4" s="21"/>
      <c r="BC4" s="21"/>
      <c r="BD4" s="21"/>
      <c r="BE4" s="21"/>
      <c r="BF4" s="21"/>
      <c r="BH4" s="386" t="s">
        <v>292</v>
      </c>
      <c r="BI4" s="387" t="s">
        <v>293</v>
      </c>
      <c r="BJ4" s="393"/>
      <c r="BK4"/>
      <c r="BL4"/>
      <c r="BM4"/>
      <c r="BN4"/>
      <c r="BO4"/>
      <c r="BP4"/>
      <c r="BQ4" s="707" t="s">
        <v>15</v>
      </c>
      <c r="BR4" s="702" t="s">
        <v>35</v>
      </c>
      <c r="BS4" s="699"/>
      <c r="BT4" s="700"/>
      <c r="BU4" s="698" t="s">
        <v>137</v>
      </c>
      <c r="BV4" s="699"/>
      <c r="BW4" s="703"/>
      <c r="BX4" s="710">
        <v>7.0000000000000007E-2</v>
      </c>
      <c r="BY4" s="709" t="s">
        <v>294</v>
      </c>
      <c r="BZ4" s="714">
        <v>7.0000000000000007E-2</v>
      </c>
      <c r="CA4" s="791" t="s">
        <v>295</v>
      </c>
      <c r="CB4" s="759" t="s">
        <v>41</v>
      </c>
      <c r="CC4" s="759" t="s">
        <v>139</v>
      </c>
      <c r="CD4" s="759" t="s">
        <v>139</v>
      </c>
      <c r="CE4" s="8"/>
      <c r="CF4" s="8"/>
      <c r="CG4" s="8"/>
      <c r="CH4" s="8"/>
      <c r="CI4" s="8"/>
      <c r="CJ4" s="8"/>
      <c r="CK4" s="8"/>
      <c r="CL4" s="8"/>
      <c r="CM4" s="8"/>
      <c r="CN4" s="8"/>
      <c r="CO4" s="8"/>
      <c r="CP4" s="8"/>
      <c r="CQ4" s="8"/>
      <c r="CR4" s="8"/>
      <c r="CS4" s="8"/>
      <c r="CT4" s="8"/>
      <c r="CU4" s="13"/>
      <c r="CV4" s="13"/>
      <c r="CW4" s="13"/>
      <c r="CX4" s="13"/>
    </row>
    <row r="5" spans="1:103" ht="14.4" thickBot="1" x14ac:dyDescent="0.35">
      <c r="A5" s="553">
        <f t="shared" si="0"/>
        <v>36678</v>
      </c>
      <c r="B5" s="717">
        <v>6.2298357278762005E-2</v>
      </c>
      <c r="C5" s="8"/>
      <c r="D5" s="12"/>
      <c r="E5" s="12"/>
      <c r="F5" s="12" t="s">
        <v>518</v>
      </c>
      <c r="G5" s="12"/>
      <c r="H5" s="12"/>
      <c r="I5" s="12"/>
      <c r="J5" s="12" t="s">
        <v>519</v>
      </c>
      <c r="K5" s="12"/>
      <c r="L5" s="12"/>
      <c r="M5" s="1004"/>
      <c r="N5" s="12"/>
      <c r="O5" s="12" t="s">
        <v>64</v>
      </c>
      <c r="P5" s="12"/>
      <c r="Q5" s="12"/>
      <c r="R5" s="12"/>
      <c r="S5" s="12" t="s">
        <v>69</v>
      </c>
      <c r="T5" s="12"/>
      <c r="U5" s="12"/>
      <c r="V5" s="12"/>
      <c r="W5" s="12" t="s">
        <v>520</v>
      </c>
      <c r="X5" s="12"/>
      <c r="Y5" s="21"/>
      <c r="Z5" s="12"/>
      <c r="AA5" s="12" t="s">
        <v>153</v>
      </c>
      <c r="AB5" s="12"/>
      <c r="AC5" s="21"/>
      <c r="AD5" s="12"/>
      <c r="AE5" s="12" t="s">
        <v>521</v>
      </c>
      <c r="AF5" s="12"/>
      <c r="AG5" s="21"/>
      <c r="AH5" s="12"/>
      <c r="AI5" s="12" t="s">
        <v>153</v>
      </c>
      <c r="AJ5" s="12"/>
      <c r="AK5" s="21"/>
      <c r="AL5" s="12"/>
      <c r="AM5" s="12" t="s">
        <v>521</v>
      </c>
      <c r="AN5" s="12"/>
      <c r="AO5" s="21"/>
      <c r="AP5" s="12" t="s">
        <v>522</v>
      </c>
      <c r="AQ5" s="12" t="s">
        <v>523</v>
      </c>
      <c r="AR5" s="21"/>
      <c r="AS5" s="21"/>
      <c r="AT5" s="21"/>
      <c r="AU5" s="21"/>
      <c r="AV5" s="21"/>
      <c r="AW5" s="21"/>
      <c r="AX5" s="21"/>
      <c r="AY5" s="21"/>
      <c r="AZ5" s="21"/>
      <c r="BA5" s="21"/>
      <c r="BB5" s="21"/>
      <c r="BC5" s="21"/>
      <c r="BD5" s="21"/>
      <c r="BE5" s="21"/>
      <c r="BF5" s="21"/>
      <c r="BH5" s="388">
        <v>-5</v>
      </c>
      <c r="BI5" s="389">
        <v>3.5000000000000003E-2</v>
      </c>
      <c r="BJ5" s="9"/>
      <c r="BK5"/>
      <c r="BL5"/>
      <c r="BM5"/>
      <c r="BN5"/>
      <c r="BO5"/>
      <c r="BP5"/>
      <c r="BQ5" s="708"/>
      <c r="BR5" s="704" t="s">
        <v>25</v>
      </c>
      <c r="BS5" s="705" t="s">
        <v>296</v>
      </c>
      <c r="BT5" s="705" t="s">
        <v>26</v>
      </c>
      <c r="BU5" s="705" t="s">
        <v>25</v>
      </c>
      <c r="BV5" s="705" t="s">
        <v>296</v>
      </c>
      <c r="BW5" s="706" t="s">
        <v>26</v>
      </c>
      <c r="BX5" s="704" t="s">
        <v>25</v>
      </c>
      <c r="BY5" s="705" t="s">
        <v>296</v>
      </c>
      <c r="BZ5" s="706" t="s">
        <v>26</v>
      </c>
      <c r="CA5" s="792" t="s">
        <v>297</v>
      </c>
      <c r="CB5" s="760"/>
      <c r="CC5" s="760" t="s">
        <v>35</v>
      </c>
      <c r="CD5" s="760" t="s">
        <v>27</v>
      </c>
      <c r="CE5" s="10"/>
      <c r="CF5" s="10"/>
      <c r="CG5" s="10"/>
      <c r="CH5" s="10"/>
      <c r="CI5" s="10"/>
      <c r="CJ5" s="10"/>
      <c r="CK5" s="10"/>
      <c r="CL5" s="10"/>
      <c r="CM5" s="10"/>
      <c r="CN5" s="10"/>
      <c r="CO5" s="10"/>
      <c r="CP5" s="10"/>
      <c r="CQ5" s="10"/>
      <c r="CR5" s="10"/>
      <c r="CS5" s="10"/>
      <c r="CT5" s="10"/>
      <c r="CU5" s="10"/>
      <c r="CV5" s="10"/>
      <c r="CW5" s="10"/>
      <c r="CX5" s="10"/>
      <c r="CY5" s="10"/>
    </row>
    <row r="6" spans="1:103" ht="14.4" thickBot="1" x14ac:dyDescent="0.35">
      <c r="A6" s="553">
        <f t="shared" si="0"/>
        <v>36708</v>
      </c>
      <c r="B6" s="717">
        <v>6.3186804789157003E-2</v>
      </c>
      <c r="C6" s="397"/>
      <c r="D6" s="972"/>
      <c r="E6" s="973" t="s">
        <v>25</v>
      </c>
      <c r="F6" s="973" t="s">
        <v>296</v>
      </c>
      <c r="G6" s="974" t="s">
        <v>26</v>
      </c>
      <c r="H6" s="975"/>
      <c r="I6" s="976" t="s">
        <v>25</v>
      </c>
      <c r="J6" s="976" t="s">
        <v>296</v>
      </c>
      <c r="K6" s="976" t="s">
        <v>26</v>
      </c>
      <c r="L6" s="12"/>
      <c r="M6" s="1004"/>
      <c r="N6" s="973" t="s">
        <v>25</v>
      </c>
      <c r="O6" s="973" t="s">
        <v>296</v>
      </c>
      <c r="P6" s="977" t="s">
        <v>26</v>
      </c>
      <c r="Q6" s="974"/>
      <c r="R6" s="973" t="s">
        <v>25</v>
      </c>
      <c r="S6" s="973" t="s">
        <v>296</v>
      </c>
      <c r="T6" s="977" t="s">
        <v>26</v>
      </c>
      <c r="U6" s="974"/>
      <c r="V6" s="973" t="s">
        <v>25</v>
      </c>
      <c r="W6" s="973" t="s">
        <v>296</v>
      </c>
      <c r="X6" s="974" t="s">
        <v>26</v>
      </c>
      <c r="Y6" s="21"/>
      <c r="Z6" s="973" t="s">
        <v>25</v>
      </c>
      <c r="AA6" s="973" t="s">
        <v>296</v>
      </c>
      <c r="AB6" s="974" t="s">
        <v>26</v>
      </c>
      <c r="AC6" s="21"/>
      <c r="AD6" s="973" t="s">
        <v>25</v>
      </c>
      <c r="AE6" s="973" t="s">
        <v>296</v>
      </c>
      <c r="AF6" s="974" t="s">
        <v>26</v>
      </c>
      <c r="AG6" s="21"/>
      <c r="AH6" s="973" t="s">
        <v>25</v>
      </c>
      <c r="AI6" s="973" t="s">
        <v>296</v>
      </c>
      <c r="AJ6" s="974" t="s">
        <v>26</v>
      </c>
      <c r="AK6" s="21"/>
      <c r="AL6" s="973" t="s">
        <v>25</v>
      </c>
      <c r="AM6" s="973" t="s">
        <v>296</v>
      </c>
      <c r="AN6" s="974" t="s">
        <v>26</v>
      </c>
      <c r="AO6" s="21"/>
      <c r="AP6" s="12" t="s">
        <v>524</v>
      </c>
      <c r="AQ6" s="12" t="s">
        <v>418</v>
      </c>
      <c r="AR6" s="21"/>
      <c r="AS6" s="12"/>
      <c r="AT6" s="137" t="s">
        <v>525</v>
      </c>
      <c r="AU6" s="137" t="s">
        <v>526</v>
      </c>
      <c r="AV6" s="12"/>
      <c r="AW6" s="12"/>
      <c r="AX6" s="12"/>
      <c r="AY6" s="12"/>
      <c r="AZ6" s="12"/>
      <c r="BA6" s="12"/>
      <c r="BB6" s="12"/>
      <c r="BC6" s="12"/>
      <c r="BD6" s="12"/>
      <c r="BE6" s="12"/>
      <c r="BF6" s="12"/>
      <c r="BH6" s="388">
        <v>-4.5</v>
      </c>
      <c r="BI6" s="389">
        <v>2.75E-2</v>
      </c>
      <c r="BJ6" s="9"/>
      <c r="BK6"/>
      <c r="BL6"/>
      <c r="BM6"/>
      <c r="BN6"/>
      <c r="BO6"/>
      <c r="BP6"/>
      <c r="BQ6" s="715">
        <v>36617</v>
      </c>
      <c r="BR6" s="716">
        <v>2.81</v>
      </c>
      <c r="BS6" s="716">
        <v>2.8149999999999999</v>
      </c>
      <c r="BT6" s="716">
        <v>2.82</v>
      </c>
      <c r="BU6" s="717">
        <v>0.4375</v>
      </c>
      <c r="BV6" s="717">
        <v>0.44500000000000001</v>
      </c>
      <c r="BW6" s="717">
        <v>0.45250000000000001</v>
      </c>
      <c r="BX6" s="717">
        <f>BY6-$BX$4</f>
        <v>-7.0000000000000007E-2</v>
      </c>
      <c r="BY6" s="717"/>
      <c r="BZ6" s="717">
        <f>BY6+$BZ$4</f>
        <v>7.0000000000000007E-2</v>
      </c>
      <c r="CA6" s="757">
        <v>0</v>
      </c>
      <c r="CB6" s="788">
        <f>GasBasis</f>
        <v>0</v>
      </c>
      <c r="CC6" s="789">
        <f>(IF(GasPriceCurve,IF(OBuySell=OCallPut,BT6,BR6),BS6)+CA6/1000+CB6)/(1-GasTransportPercent)</f>
        <v>2.81</v>
      </c>
      <c r="CD6" s="793">
        <f>IF(GasVolOver,GasVolOver,IF(OVolType=2,IF(OR(BU6="",BV6="",BW6=""),CD5,IF(GasVolCurve,IF(OBuySell,BU6,BW6),BV6)*GasVolAsPercentOfNYMEX),IF(OR(BU6="",BV6="",BW6="",BY6=""),CD5,SQRT(((IF(GasVolCurve,IF(OBuySell,BU6,BW6),BV6)*GasVolAsPercentOfNYMEX)^2*(BQ6-DateToday-1)+IF(GasVolCurve,IF(OBuySell,BX6,BZ6),BY6)^2*15)/(BQ6-DateToday+14))))+GasVolSpread)</f>
        <v>0.45250000000000001</v>
      </c>
      <c r="CE6" s="3"/>
      <c r="CF6" s="3"/>
      <c r="CG6" s="3"/>
      <c r="CH6" s="3"/>
      <c r="CI6" s="3"/>
      <c r="CJ6" s="3"/>
      <c r="CK6" s="3"/>
      <c r="CL6" s="3"/>
      <c r="CM6" s="3"/>
      <c r="CN6" s="3"/>
      <c r="CO6" s="3"/>
      <c r="CP6" s="3"/>
      <c r="CQ6" s="3"/>
      <c r="CR6" s="3"/>
      <c r="CS6" s="3"/>
      <c r="CT6" s="3"/>
      <c r="CU6" s="3"/>
      <c r="CV6" s="3"/>
      <c r="CW6" s="3"/>
      <c r="CX6" s="3"/>
      <c r="CY6" s="3"/>
    </row>
    <row r="7" spans="1:103" ht="13.8" x14ac:dyDescent="0.3">
      <c r="A7" s="553">
        <f t="shared" si="0"/>
        <v>36739</v>
      </c>
      <c r="B7" s="717">
        <v>6.3800434036869011E-2</v>
      </c>
      <c r="C7" s="398"/>
      <c r="D7" s="12"/>
      <c r="E7" s="12" t="s">
        <v>527</v>
      </c>
      <c r="F7" s="12" t="s">
        <v>527</v>
      </c>
      <c r="G7" s="12" t="s">
        <v>527</v>
      </c>
      <c r="H7" s="975"/>
      <c r="I7" s="975" t="s">
        <v>527</v>
      </c>
      <c r="J7" s="975" t="s">
        <v>527</v>
      </c>
      <c r="K7" s="975" t="s">
        <v>527</v>
      </c>
      <c r="L7" s="12"/>
      <c r="M7" s="1004"/>
      <c r="N7" s="12" t="s">
        <v>527</v>
      </c>
      <c r="O7" s="12" t="s">
        <v>527</v>
      </c>
      <c r="P7" s="12" t="s">
        <v>527</v>
      </c>
      <c r="Q7" s="12"/>
      <c r="R7" s="12" t="s">
        <v>527</v>
      </c>
      <c r="S7" s="12" t="s">
        <v>527</v>
      </c>
      <c r="T7" s="12" t="s">
        <v>527</v>
      </c>
      <c r="U7" s="12"/>
      <c r="V7" s="12" t="s">
        <v>527</v>
      </c>
      <c r="W7" s="12" t="s">
        <v>527</v>
      </c>
      <c r="X7" s="12" t="s">
        <v>527</v>
      </c>
      <c r="Y7" s="21"/>
      <c r="Z7" s="12"/>
      <c r="AA7" s="12"/>
      <c r="AB7" s="12"/>
      <c r="AC7" s="21"/>
      <c r="AD7" s="12"/>
      <c r="AE7" s="12"/>
      <c r="AF7" s="12"/>
      <c r="AG7" s="21"/>
      <c r="AH7" s="12"/>
      <c r="AI7" s="12"/>
      <c r="AJ7" s="12"/>
      <c r="AK7" s="21"/>
      <c r="AL7" s="12"/>
      <c r="AM7" s="12"/>
      <c r="AN7" s="12"/>
      <c r="AO7" s="21"/>
      <c r="AP7" s="21"/>
      <c r="AQ7" s="21"/>
      <c r="AR7" s="21"/>
      <c r="AS7" s="977" t="s">
        <v>153</v>
      </c>
      <c r="AT7" s="988">
        <v>800</v>
      </c>
      <c r="AU7" s="988">
        <v>2300</v>
      </c>
      <c r="AV7" s="12"/>
      <c r="AW7" s="12"/>
      <c r="AX7" s="12"/>
      <c r="AY7" s="12"/>
      <c r="AZ7" s="12"/>
      <c r="BA7" s="12"/>
      <c r="BB7" s="12"/>
      <c r="BC7" s="12"/>
      <c r="BD7" s="12"/>
      <c r="BE7" s="12"/>
      <c r="BF7" s="12"/>
      <c r="BH7" s="388">
        <v>-4</v>
      </c>
      <c r="BI7" s="389">
        <v>0.02</v>
      </c>
      <c r="BJ7" s="394"/>
      <c r="BK7"/>
      <c r="BL7"/>
      <c r="BM7"/>
      <c r="BN7"/>
      <c r="BO7"/>
      <c r="BP7"/>
      <c r="BQ7" s="553">
        <f t="shared" ref="BQ7:BQ70" si="1">EOMONTH(BQ6,0)+1</f>
        <v>36647</v>
      </c>
      <c r="BR7" s="716">
        <v>2.819</v>
      </c>
      <c r="BS7" s="716">
        <v>2.8240000000000003</v>
      </c>
      <c r="BT7" s="716">
        <v>2.8290000000000002</v>
      </c>
      <c r="BU7" s="717">
        <v>0.39750000000000002</v>
      </c>
      <c r="BV7" s="717">
        <v>0.40500000000000003</v>
      </c>
      <c r="BW7" s="717">
        <v>0.41249999999999998</v>
      </c>
      <c r="BX7" s="717">
        <f t="shared" ref="BX7:BX22" si="2">BY7-$BX$4</f>
        <v>-7.0000000000000007E-2</v>
      </c>
      <c r="BY7" s="717"/>
      <c r="BZ7" s="717">
        <f t="shared" ref="BZ7:BZ22" si="3">BY7+$BZ$4</f>
        <v>7.0000000000000007E-2</v>
      </c>
      <c r="CA7" s="757">
        <v>0</v>
      </c>
      <c r="CB7" s="788">
        <f t="shared" ref="CB7:CB22" si="4">GasBasis</f>
        <v>0</v>
      </c>
      <c r="CC7" s="789">
        <f t="shared" ref="CC7:CC22" si="5">(IF(GasPriceCurve,IF(OBuySell=OCallPut,BT7,BR7),BS7)+CA7/1000+CB7)/(1-GasTransportPercent)</f>
        <v>2.819</v>
      </c>
      <c r="CD7" s="793">
        <f t="shared" ref="CD7:CD22" si="6">IF(GasVolOver,GasVolOver,IF(OVolType=2,IF(OR(BU7="",BV7="",BW7=""),CD6,IF(GasVolCurve,IF(OBuySell,BU7,BW7),BV7)*GasVolAsPercentOfNYMEX),IF(OR(BU7="",BV7="",BW7="",BY7=""),CD6,SQRT(((IF(GasVolCurve,IF(OBuySell,BU7,BW7),BV7)*GasVolAsPercentOfNYMEX)^2*(BQ7-DateToday-1)+IF(GasVolCurve,IF(OBuySell,BX7,BZ7),BY7)^2*15)/(BQ7-DateToday+14))))+GasVolSpread)</f>
        <v>0.41249999999999998</v>
      </c>
      <c r="CE7" s="9"/>
      <c r="CF7" s="9"/>
      <c r="CG7" s="9"/>
      <c r="CH7" s="9"/>
      <c r="CI7" s="9"/>
      <c r="CJ7" s="9"/>
      <c r="CK7" s="9"/>
      <c r="CL7" s="9"/>
      <c r="CM7" s="9"/>
      <c r="CN7" s="9"/>
      <c r="CO7" s="9"/>
      <c r="CP7" s="9"/>
      <c r="CQ7" s="9"/>
      <c r="CR7" s="9"/>
      <c r="CS7" s="9"/>
      <c r="CT7" s="9"/>
      <c r="CU7" s="9"/>
      <c r="CV7" s="9"/>
      <c r="CW7" s="9"/>
      <c r="CX7" s="9"/>
      <c r="CY7" s="9"/>
    </row>
    <row r="8" spans="1:103" ht="13.8" x14ac:dyDescent="0.3">
      <c r="A8" s="553">
        <f t="shared" si="0"/>
        <v>36770</v>
      </c>
      <c r="B8" s="717">
        <v>6.4414063409461E-2</v>
      </c>
      <c r="C8" s="398"/>
      <c r="D8" s="137" t="s">
        <v>15</v>
      </c>
      <c r="E8" s="137"/>
      <c r="F8" s="137"/>
      <c r="G8" s="137"/>
      <c r="H8" s="977"/>
      <c r="I8" s="137"/>
      <c r="J8" s="977"/>
      <c r="K8" s="977"/>
      <c r="L8" s="12"/>
      <c r="M8" s="1004" t="s">
        <v>15</v>
      </c>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978" t="s">
        <v>528</v>
      </c>
      <c r="AT8" s="979"/>
      <c r="AU8" s="979"/>
      <c r="AV8" s="979"/>
      <c r="AW8" s="979"/>
      <c r="AX8" s="976"/>
      <c r="AY8" s="976"/>
      <c r="AZ8" s="979"/>
      <c r="BA8" s="979"/>
      <c r="BB8" s="979"/>
      <c r="BC8" s="979"/>
      <c r="BD8" s="979"/>
      <c r="BE8" s="979"/>
      <c r="BF8" s="979"/>
      <c r="BH8" s="388">
        <v>-3.5</v>
      </c>
      <c r="BI8" s="389">
        <v>1.4999999999999999E-2</v>
      </c>
      <c r="BJ8" s="394"/>
      <c r="BK8"/>
      <c r="BL8"/>
      <c r="BM8"/>
      <c r="BN8"/>
      <c r="BO8"/>
      <c r="BP8"/>
      <c r="BQ8" s="553">
        <f t="shared" si="1"/>
        <v>36678</v>
      </c>
      <c r="BR8" s="716">
        <v>2.8250000000000002</v>
      </c>
      <c r="BS8" s="716">
        <v>2.83</v>
      </c>
      <c r="BT8" s="716">
        <v>2.835</v>
      </c>
      <c r="BU8" s="717">
        <v>0.38</v>
      </c>
      <c r="BV8" s="717">
        <v>0.38750000000000001</v>
      </c>
      <c r="BW8" s="717">
        <v>0.39500000000000002</v>
      </c>
      <c r="BX8" s="717">
        <f t="shared" si="2"/>
        <v>-7.0000000000000007E-2</v>
      </c>
      <c r="BY8" s="717"/>
      <c r="BZ8" s="717">
        <f t="shared" si="3"/>
        <v>7.0000000000000007E-2</v>
      </c>
      <c r="CA8" s="757">
        <v>0</v>
      </c>
      <c r="CB8" s="788">
        <f t="shared" si="4"/>
        <v>0</v>
      </c>
      <c r="CC8" s="789">
        <f t="shared" si="5"/>
        <v>2.8250000000000002</v>
      </c>
      <c r="CD8" s="793">
        <f t="shared" si="6"/>
        <v>0.39500000000000002</v>
      </c>
      <c r="CE8" s="9"/>
      <c r="CF8" s="9"/>
      <c r="CG8" s="9"/>
      <c r="CH8" s="9"/>
      <c r="CI8" s="9"/>
      <c r="CJ8" s="9"/>
      <c r="CK8" s="9"/>
      <c r="CL8" s="9"/>
      <c r="CM8" s="9"/>
      <c r="CN8" s="9"/>
      <c r="CO8" s="9"/>
      <c r="CP8" s="9"/>
      <c r="CQ8" s="9"/>
      <c r="CR8" s="9"/>
      <c r="CS8" s="9"/>
      <c r="CT8" s="9"/>
      <c r="CU8" s="9"/>
      <c r="CV8" s="9"/>
      <c r="CW8" s="9"/>
      <c r="CX8" s="9"/>
      <c r="CY8" s="9"/>
    </row>
    <row r="9" spans="1:103" ht="13.8" x14ac:dyDescent="0.3">
      <c r="A9" s="553">
        <f t="shared" si="0"/>
        <v>36800</v>
      </c>
      <c r="B9" s="717">
        <v>6.4972245960336003E-2</v>
      </c>
      <c r="C9" s="458"/>
      <c r="D9" s="989">
        <v>36585</v>
      </c>
      <c r="E9" s="990">
        <v>33.745002746582031</v>
      </c>
      <c r="F9" s="990">
        <v>34.245002746582031</v>
      </c>
      <c r="G9" s="990">
        <v>34.745002746582031</v>
      </c>
      <c r="H9" s="977"/>
      <c r="I9" s="990">
        <v>20.749998092651367</v>
      </c>
      <c r="J9" s="990">
        <v>20.999998092651367</v>
      </c>
      <c r="K9" s="990">
        <v>21.249998092651367</v>
      </c>
      <c r="L9" s="12"/>
      <c r="M9" s="1004">
        <v>36526</v>
      </c>
      <c r="N9" s="991">
        <v>0</v>
      </c>
      <c r="O9" s="991">
        <v>0</v>
      </c>
      <c r="P9" s="991">
        <v>0</v>
      </c>
      <c r="Q9" s="21"/>
      <c r="R9" s="991">
        <v>0</v>
      </c>
      <c r="S9" s="991">
        <v>0</v>
      </c>
      <c r="T9" s="991">
        <v>0</v>
      </c>
      <c r="U9" s="21"/>
      <c r="V9" s="991">
        <v>0.69999998807907104</v>
      </c>
      <c r="W9" s="991">
        <v>0.69999998807907104</v>
      </c>
      <c r="X9" s="991">
        <v>0.69999998807907104</v>
      </c>
      <c r="Y9" s="21"/>
      <c r="Z9" s="991">
        <v>0.19</v>
      </c>
      <c r="AA9" s="991">
        <v>0.38</v>
      </c>
      <c r="AB9" s="991">
        <v>0.56999999999999995</v>
      </c>
      <c r="AC9" s="21"/>
      <c r="AD9" s="991">
        <v>3.5000000000000003E-2</v>
      </c>
      <c r="AE9" s="991">
        <v>7.0000000000000007E-2</v>
      </c>
      <c r="AF9" s="991">
        <v>0.105</v>
      </c>
      <c r="AG9" s="21"/>
      <c r="AH9" s="991">
        <v>-0.75</v>
      </c>
      <c r="AI9" s="991">
        <v>1.9</v>
      </c>
      <c r="AJ9" s="991">
        <v>0.75</v>
      </c>
      <c r="AK9" s="21"/>
      <c r="AL9" s="991">
        <v>-0.15</v>
      </c>
      <c r="AM9" s="991">
        <v>0.5</v>
      </c>
      <c r="AN9" s="991">
        <v>0.2</v>
      </c>
      <c r="AO9" s="21"/>
      <c r="AP9" s="12">
        <v>1</v>
      </c>
      <c r="AQ9" s="992">
        <v>0</v>
      </c>
      <c r="AR9" s="21"/>
      <c r="AS9" s="980"/>
      <c r="AT9" s="980" t="s">
        <v>529</v>
      </c>
      <c r="AU9" s="980" t="s">
        <v>530</v>
      </c>
      <c r="AV9" s="980" t="s">
        <v>531</v>
      </c>
      <c r="AW9" s="980" t="s">
        <v>532</v>
      </c>
      <c r="AX9" s="980" t="s">
        <v>533</v>
      </c>
      <c r="AY9" s="980" t="s">
        <v>534</v>
      </c>
      <c r="AZ9" s="980" t="s">
        <v>535</v>
      </c>
      <c r="BA9" s="980" t="s">
        <v>536</v>
      </c>
      <c r="BB9" s="980" t="s">
        <v>537</v>
      </c>
      <c r="BC9" s="980" t="s">
        <v>538</v>
      </c>
      <c r="BD9" s="980" t="s">
        <v>539</v>
      </c>
      <c r="BE9" s="980" t="s">
        <v>540</v>
      </c>
      <c r="BF9" s="980"/>
      <c r="BH9" s="388">
        <v>-3</v>
      </c>
      <c r="BI9" s="389">
        <v>1.2500000000000001E-2</v>
      </c>
      <c r="BJ9" s="395"/>
      <c r="BK9"/>
      <c r="BL9"/>
      <c r="BM9"/>
      <c r="BN9"/>
      <c r="BO9"/>
      <c r="BP9"/>
      <c r="BQ9" s="553">
        <f t="shared" si="1"/>
        <v>36708</v>
      </c>
      <c r="BR9" s="716">
        <v>2.835</v>
      </c>
      <c r="BS9" s="716">
        <v>2.84</v>
      </c>
      <c r="BT9" s="716">
        <v>2.8450000000000002</v>
      </c>
      <c r="BU9" s="717">
        <v>0.375</v>
      </c>
      <c r="BV9" s="717">
        <v>0.38250000000000001</v>
      </c>
      <c r="BW9" s="717">
        <v>0.39</v>
      </c>
      <c r="BX9" s="717">
        <f t="shared" si="2"/>
        <v>-7.0000000000000007E-2</v>
      </c>
      <c r="BY9" s="717"/>
      <c r="BZ9" s="717">
        <f t="shared" si="3"/>
        <v>7.0000000000000007E-2</v>
      </c>
      <c r="CA9" s="757">
        <v>0</v>
      </c>
      <c r="CB9" s="788">
        <f t="shared" si="4"/>
        <v>0</v>
      </c>
      <c r="CC9" s="789">
        <f t="shared" si="5"/>
        <v>2.835</v>
      </c>
      <c r="CD9" s="793">
        <f t="shared" si="6"/>
        <v>0.39</v>
      </c>
      <c r="CE9" s="9"/>
      <c r="CF9" s="9"/>
      <c r="CG9" s="9"/>
      <c r="CH9" s="9"/>
      <c r="CI9" s="9"/>
      <c r="CJ9" s="9"/>
      <c r="CK9" s="9"/>
      <c r="CL9" s="9"/>
      <c r="CM9" s="9"/>
      <c r="CN9" s="9"/>
      <c r="CO9" s="9"/>
      <c r="CP9" s="9"/>
      <c r="CQ9" s="9"/>
      <c r="CR9" s="9"/>
      <c r="CS9" s="9"/>
      <c r="CT9" s="9"/>
      <c r="CU9" s="9"/>
      <c r="CV9" s="9"/>
      <c r="CW9" s="9"/>
      <c r="CX9" s="9"/>
      <c r="CY9" s="9"/>
    </row>
    <row r="10" spans="1:103" ht="13.8" x14ac:dyDescent="0.3">
      <c r="A10" s="553">
        <f t="shared" si="0"/>
        <v>36831</v>
      </c>
      <c r="B10" s="717">
        <v>6.5482946055964997E-2</v>
      </c>
      <c r="C10" s="458"/>
      <c r="D10" s="989">
        <v>36586</v>
      </c>
      <c r="E10" s="990">
        <v>28.445001983642577</v>
      </c>
      <c r="F10" s="990">
        <v>28.795001983642578</v>
      </c>
      <c r="G10" s="990">
        <v>29.14500198364258</v>
      </c>
      <c r="H10" s="977"/>
      <c r="I10" s="990">
        <v>19.824999999999999</v>
      </c>
      <c r="J10" s="990">
        <v>20</v>
      </c>
      <c r="K10" s="990">
        <v>20.175000000000001</v>
      </c>
      <c r="L10" s="12"/>
      <c r="M10" s="1004">
        <v>36557</v>
      </c>
      <c r="N10" s="991">
        <v>0</v>
      </c>
      <c r="O10" s="991">
        <v>0</v>
      </c>
      <c r="P10" s="991">
        <v>0</v>
      </c>
      <c r="Q10" s="21"/>
      <c r="R10" s="991">
        <v>0</v>
      </c>
      <c r="S10" s="991">
        <v>0</v>
      </c>
      <c r="T10" s="991">
        <v>0</v>
      </c>
      <c r="U10" s="21"/>
      <c r="V10" s="991">
        <v>0.69999998807907104</v>
      </c>
      <c r="W10" s="991">
        <v>0.69999998807907104</v>
      </c>
      <c r="X10" s="991">
        <v>0.69999998807907104</v>
      </c>
      <c r="Y10" s="21"/>
      <c r="Z10" s="991">
        <v>0.19850000000000001</v>
      </c>
      <c r="AA10" s="991">
        <v>0.39700000000000002</v>
      </c>
      <c r="AB10" s="991">
        <v>0.59550000000000003</v>
      </c>
      <c r="AC10" s="21"/>
      <c r="AD10" s="991">
        <v>3.5000000000000003E-2</v>
      </c>
      <c r="AE10" s="991">
        <v>7.0000000000000007E-2</v>
      </c>
      <c r="AF10" s="991">
        <v>0.105</v>
      </c>
      <c r="AG10" s="21"/>
      <c r="AH10" s="991">
        <v>-0.75</v>
      </c>
      <c r="AI10" s="991">
        <v>1.9</v>
      </c>
      <c r="AJ10" s="991">
        <v>0.75</v>
      </c>
      <c r="AK10" s="21"/>
      <c r="AL10" s="991">
        <v>-0.15</v>
      </c>
      <c r="AM10" s="991">
        <v>0.5</v>
      </c>
      <c r="AN10" s="991">
        <v>0.2</v>
      </c>
      <c r="AO10" s="21"/>
      <c r="AP10" s="12">
        <v>1</v>
      </c>
      <c r="AQ10" s="992">
        <v>0</v>
      </c>
      <c r="AR10" s="21"/>
      <c r="AS10" s="977" t="s">
        <v>541</v>
      </c>
      <c r="AT10" s="977"/>
      <c r="AU10" s="977"/>
      <c r="AV10" s="977"/>
      <c r="AW10" s="977"/>
      <c r="AX10" s="977"/>
      <c r="AY10" s="977"/>
      <c r="AZ10" s="977"/>
      <c r="BA10" s="977"/>
      <c r="BB10" s="977"/>
      <c r="BC10" s="977"/>
      <c r="BD10" s="977"/>
      <c r="BE10" s="977"/>
      <c r="BF10" s="977" t="s">
        <v>542</v>
      </c>
      <c r="BH10" s="388">
        <v>-2.5</v>
      </c>
      <c r="BI10" s="389">
        <v>0.01</v>
      </c>
      <c r="BJ10" s="395"/>
      <c r="BK10"/>
      <c r="BL10"/>
      <c r="BM10"/>
      <c r="BN10"/>
      <c r="BO10"/>
      <c r="BP10"/>
      <c r="BQ10" s="553">
        <f t="shared" si="1"/>
        <v>36739</v>
      </c>
      <c r="BR10" s="716">
        <v>2.8450000000000002</v>
      </c>
      <c r="BS10" s="716">
        <v>2.85</v>
      </c>
      <c r="BT10" s="716">
        <v>2.855</v>
      </c>
      <c r="BU10" s="717">
        <v>0.37</v>
      </c>
      <c r="BV10" s="717">
        <v>0.3775</v>
      </c>
      <c r="BW10" s="717">
        <v>0.38500000000000001</v>
      </c>
      <c r="BX10" s="717">
        <f t="shared" si="2"/>
        <v>-7.0000000000000007E-2</v>
      </c>
      <c r="BY10" s="717"/>
      <c r="BZ10" s="717">
        <f t="shared" si="3"/>
        <v>7.0000000000000007E-2</v>
      </c>
      <c r="CA10" s="757">
        <v>0</v>
      </c>
      <c r="CB10" s="788">
        <f t="shared" si="4"/>
        <v>0</v>
      </c>
      <c r="CC10" s="789">
        <f t="shared" si="5"/>
        <v>2.8450000000000002</v>
      </c>
      <c r="CD10" s="793">
        <f t="shared" si="6"/>
        <v>0.38500000000000001</v>
      </c>
      <c r="CE10" s="3"/>
      <c r="CF10" s="3"/>
      <c r="CG10" s="3"/>
      <c r="CH10" s="3"/>
      <c r="CI10" s="3"/>
      <c r="CJ10" s="3"/>
      <c r="CK10" s="3"/>
      <c r="CL10" s="3"/>
      <c r="CM10" s="3"/>
      <c r="CN10" s="3"/>
      <c r="CO10" s="3"/>
      <c r="CP10" s="3"/>
      <c r="CQ10" s="3"/>
      <c r="CR10" s="3"/>
      <c r="CS10" s="3"/>
      <c r="CT10" s="3"/>
      <c r="CU10" s="3"/>
      <c r="CV10" s="3"/>
      <c r="CW10" s="3"/>
      <c r="CX10" s="3"/>
      <c r="CY10" s="3"/>
    </row>
    <row r="11" spans="1:103" ht="13.8" x14ac:dyDescent="0.3">
      <c r="A11" s="553">
        <f t="shared" si="0"/>
        <v>36861</v>
      </c>
      <c r="B11" s="717">
        <v>6.5977172037254006E-2</v>
      </c>
      <c r="C11" s="460"/>
      <c r="D11" s="989">
        <v>36587</v>
      </c>
      <c r="E11" s="990">
        <v>28.445001983642577</v>
      </c>
      <c r="F11" s="990">
        <v>28.795001983642578</v>
      </c>
      <c r="G11" s="990">
        <v>29.14500198364258</v>
      </c>
      <c r="H11" s="977"/>
      <c r="I11" s="990">
        <v>19.824999999999999</v>
      </c>
      <c r="J11" s="990">
        <v>20</v>
      </c>
      <c r="K11" s="990">
        <v>20.175000000000001</v>
      </c>
      <c r="L11" s="12"/>
      <c r="M11" s="1004">
        <v>36586</v>
      </c>
      <c r="N11" s="991">
        <v>23.487500000000001</v>
      </c>
      <c r="O11" s="991">
        <v>23.75</v>
      </c>
      <c r="P11" s="991">
        <v>24.012499999999999</v>
      </c>
      <c r="Q11" s="21"/>
      <c r="R11" s="991">
        <v>18.25</v>
      </c>
      <c r="S11" s="991">
        <v>20.75</v>
      </c>
      <c r="T11" s="991">
        <v>23.25</v>
      </c>
      <c r="U11" s="21"/>
      <c r="V11" s="991">
        <v>0.69999998807907104</v>
      </c>
      <c r="W11" s="991">
        <v>0.69999998807907104</v>
      </c>
      <c r="X11" s="991">
        <v>0.69999998807907104</v>
      </c>
      <c r="Y11" s="21"/>
      <c r="Z11" s="991">
        <v>0.14762500000000001</v>
      </c>
      <c r="AA11" s="991">
        <v>0.29525000000000001</v>
      </c>
      <c r="AB11" s="991">
        <v>0.44287500000000002</v>
      </c>
      <c r="AC11" s="21"/>
      <c r="AD11" s="991">
        <v>0.03</v>
      </c>
      <c r="AE11" s="991">
        <v>0.06</v>
      </c>
      <c r="AF11" s="991">
        <v>0.09</v>
      </c>
      <c r="AG11" s="21"/>
      <c r="AH11" s="991">
        <v>-0.25</v>
      </c>
      <c r="AI11" s="991">
        <v>1.3</v>
      </c>
      <c r="AJ11" s="991">
        <v>0.3</v>
      </c>
      <c r="AK11" s="21"/>
      <c r="AL11" s="991">
        <v>-0.15</v>
      </c>
      <c r="AM11" s="991">
        <v>0.35</v>
      </c>
      <c r="AN11" s="991">
        <v>0.2</v>
      </c>
      <c r="AO11" s="21"/>
      <c r="AP11" s="12">
        <v>1</v>
      </c>
      <c r="AQ11" s="992">
        <v>0</v>
      </c>
      <c r="AR11" s="21"/>
      <c r="AS11" s="12">
        <v>100</v>
      </c>
      <c r="AT11" s="993">
        <v>0.92009140360859498</v>
      </c>
      <c r="AU11" s="993">
        <v>0.92009140360859498</v>
      </c>
      <c r="AV11" s="993">
        <v>0.88009140360859495</v>
      </c>
      <c r="AW11" s="993">
        <v>0.93009140360859499</v>
      </c>
      <c r="AX11" s="993">
        <v>0.99487413888798193</v>
      </c>
      <c r="AY11" s="993">
        <v>1.1566015393724096</v>
      </c>
      <c r="AZ11" s="993">
        <v>1.1151212088270464</v>
      </c>
      <c r="BA11" s="993">
        <v>1.091611616602268</v>
      </c>
      <c r="BB11" s="993">
        <v>0.99664578191253639</v>
      </c>
      <c r="BC11" s="993">
        <v>0.94950000000000001</v>
      </c>
      <c r="BD11" s="993">
        <v>0.92949999999999999</v>
      </c>
      <c r="BE11" s="993">
        <v>0.92949999999999999</v>
      </c>
      <c r="BF11" s="12" t="s">
        <v>160</v>
      </c>
      <c r="BH11" s="388">
        <v>-2</v>
      </c>
      <c r="BI11" s="389">
        <v>7.4999999999999997E-3</v>
      </c>
      <c r="BJ11" s="395"/>
      <c r="BK11"/>
      <c r="BL11"/>
      <c r="BM11"/>
      <c r="BN11"/>
      <c r="BO11"/>
      <c r="BP11"/>
      <c r="BQ11" s="553">
        <f t="shared" si="1"/>
        <v>36770</v>
      </c>
      <c r="BR11" s="716">
        <v>2.85</v>
      </c>
      <c r="BS11" s="716">
        <v>2.855</v>
      </c>
      <c r="BT11" s="716">
        <v>2.86</v>
      </c>
      <c r="BU11" s="717">
        <v>0.375</v>
      </c>
      <c r="BV11" s="717">
        <v>0.38250000000000001</v>
      </c>
      <c r="BW11" s="717">
        <v>0.39</v>
      </c>
      <c r="BX11" s="717">
        <f t="shared" si="2"/>
        <v>-7.0000000000000007E-2</v>
      </c>
      <c r="BY11" s="717"/>
      <c r="BZ11" s="717">
        <f t="shared" si="3"/>
        <v>7.0000000000000007E-2</v>
      </c>
      <c r="CA11" s="757">
        <v>0</v>
      </c>
      <c r="CB11" s="788">
        <f t="shared" si="4"/>
        <v>0</v>
      </c>
      <c r="CC11" s="789">
        <f t="shared" si="5"/>
        <v>2.85</v>
      </c>
      <c r="CD11" s="793">
        <f t="shared" si="6"/>
        <v>0.39</v>
      </c>
      <c r="CE11" s="9"/>
      <c r="CF11" s="9"/>
      <c r="CG11" s="9"/>
      <c r="CH11" s="9"/>
      <c r="CI11" s="9"/>
      <c r="CJ11" s="9"/>
      <c r="CK11" s="9"/>
      <c r="CL11" s="9"/>
      <c r="CM11" s="9"/>
      <c r="CN11" s="9"/>
      <c r="CO11" s="9"/>
      <c r="CP11" s="9"/>
      <c r="CQ11" s="9"/>
      <c r="CR11" s="9"/>
      <c r="CS11" s="9"/>
      <c r="CT11" s="9"/>
      <c r="CU11" s="9"/>
      <c r="CV11" s="9"/>
      <c r="CW11" s="9"/>
      <c r="CX11" s="9"/>
      <c r="CY11" s="9"/>
    </row>
    <row r="12" spans="1:103" ht="13.8" x14ac:dyDescent="0.3">
      <c r="A12" s="553">
        <f t="shared" si="0"/>
        <v>36892</v>
      </c>
      <c r="B12" s="717">
        <v>6.6467823306128992E-2</v>
      </c>
      <c r="C12" s="459"/>
      <c r="D12" s="989">
        <v>36588</v>
      </c>
      <c r="E12" s="990">
        <v>28.445001983642577</v>
      </c>
      <c r="F12" s="990">
        <v>28.795001983642578</v>
      </c>
      <c r="G12" s="990">
        <v>29.14500198364258</v>
      </c>
      <c r="H12" s="977"/>
      <c r="I12" s="990">
        <v>19.824999999999999</v>
      </c>
      <c r="J12" s="990">
        <v>20</v>
      </c>
      <c r="K12" s="990">
        <v>20.175000000000001</v>
      </c>
      <c r="L12" s="12"/>
      <c r="M12" s="1004">
        <v>36617</v>
      </c>
      <c r="N12" s="991">
        <v>22.604999160766603</v>
      </c>
      <c r="O12" s="991">
        <v>22.754999160766602</v>
      </c>
      <c r="P12" s="991">
        <v>22.9049991607666</v>
      </c>
      <c r="Q12" s="21"/>
      <c r="R12" s="991">
        <v>17.753749847412109</v>
      </c>
      <c r="S12" s="991">
        <v>20.253749847412109</v>
      </c>
      <c r="T12" s="991">
        <v>22.753749847412109</v>
      </c>
      <c r="U12" s="21"/>
      <c r="V12" s="991">
        <v>0.7</v>
      </c>
      <c r="W12" s="991">
        <v>0.7</v>
      </c>
      <c r="X12" s="991">
        <v>0.7</v>
      </c>
      <c r="Y12" s="21"/>
      <c r="Z12" s="991">
        <v>0.13175000000000001</v>
      </c>
      <c r="AA12" s="991">
        <v>0.26350000000000001</v>
      </c>
      <c r="AB12" s="991">
        <v>0.39524999999999999</v>
      </c>
      <c r="AC12" s="21"/>
      <c r="AD12" s="991">
        <v>0.03</v>
      </c>
      <c r="AE12" s="991">
        <v>0.06</v>
      </c>
      <c r="AF12" s="991">
        <v>0.09</v>
      </c>
      <c r="AG12" s="21"/>
      <c r="AH12" s="991">
        <v>-0.25</v>
      </c>
      <c r="AI12" s="991">
        <v>1.1000000000000001</v>
      </c>
      <c r="AJ12" s="991">
        <v>0.3</v>
      </c>
      <c r="AK12" s="21"/>
      <c r="AL12" s="991">
        <v>-0.15</v>
      </c>
      <c r="AM12" s="991">
        <v>0.35</v>
      </c>
      <c r="AN12" s="991">
        <v>0.2</v>
      </c>
      <c r="AO12" s="21"/>
      <c r="AP12" s="12">
        <v>2</v>
      </c>
      <c r="AQ12" s="992">
        <v>0</v>
      </c>
      <c r="AR12" s="21"/>
      <c r="AS12" s="12">
        <v>200</v>
      </c>
      <c r="AT12" s="993">
        <v>0.90216545967600503</v>
      </c>
      <c r="AU12" s="993">
        <v>0.90216545967600503</v>
      </c>
      <c r="AV12" s="993">
        <v>0.83216545967600497</v>
      </c>
      <c r="AW12" s="993">
        <v>0.88216545967600501</v>
      </c>
      <c r="AX12" s="993">
        <v>0.89614417708707417</v>
      </c>
      <c r="AY12" s="993">
        <v>0.95825932504440481</v>
      </c>
      <c r="AZ12" s="993">
        <v>1.0185889770627239</v>
      </c>
      <c r="BA12" s="993">
        <v>0.98541692633678146</v>
      </c>
      <c r="BB12" s="993">
        <v>0.87437503955445783</v>
      </c>
      <c r="BC12" s="993">
        <v>0.9012</v>
      </c>
      <c r="BD12" s="993">
        <v>0.88119999999999998</v>
      </c>
      <c r="BE12" s="993">
        <v>0.88119999999999998</v>
      </c>
      <c r="BF12" s="12" t="s">
        <v>160</v>
      </c>
      <c r="BH12" s="388">
        <v>-1.5</v>
      </c>
      <c r="BI12" s="389">
        <v>5.0000000000000001E-3</v>
      </c>
      <c r="BJ12" s="395"/>
      <c r="BK12"/>
      <c r="BL12"/>
      <c r="BM12"/>
      <c r="BN12"/>
      <c r="BO12"/>
      <c r="BP12"/>
      <c r="BQ12" s="553">
        <f t="shared" si="1"/>
        <v>36800</v>
      </c>
      <c r="BR12" s="716">
        <v>2.87</v>
      </c>
      <c r="BS12" s="716">
        <v>2.875</v>
      </c>
      <c r="BT12" s="716">
        <v>2.88</v>
      </c>
      <c r="BU12" s="717">
        <v>0.3775</v>
      </c>
      <c r="BV12" s="717">
        <v>0.38500000000000001</v>
      </c>
      <c r="BW12" s="717">
        <v>0.39250000000000002</v>
      </c>
      <c r="BX12" s="717">
        <f t="shared" si="2"/>
        <v>-7.0000000000000007E-2</v>
      </c>
      <c r="BY12" s="717"/>
      <c r="BZ12" s="717">
        <f t="shared" si="3"/>
        <v>7.0000000000000007E-2</v>
      </c>
      <c r="CA12" s="757">
        <v>0</v>
      </c>
      <c r="CB12" s="788">
        <f t="shared" si="4"/>
        <v>0</v>
      </c>
      <c r="CC12" s="789">
        <f t="shared" si="5"/>
        <v>2.87</v>
      </c>
      <c r="CD12" s="793">
        <f t="shared" si="6"/>
        <v>0.39250000000000002</v>
      </c>
      <c r="CE12" s="3"/>
      <c r="CF12" s="3"/>
      <c r="CG12" s="3"/>
      <c r="CH12" s="3"/>
      <c r="CI12" s="3"/>
      <c r="CJ12" s="3"/>
      <c r="CK12" s="3"/>
      <c r="CL12" s="3"/>
      <c r="CM12" s="3"/>
      <c r="CN12" s="3"/>
      <c r="CO12" s="3"/>
      <c r="CP12" s="3"/>
      <c r="CQ12" s="3"/>
      <c r="CR12" s="3"/>
      <c r="CS12" s="3"/>
      <c r="CT12" s="3"/>
      <c r="CU12" s="3"/>
      <c r="CV12" s="3"/>
      <c r="CW12" s="3"/>
      <c r="CX12" s="3"/>
      <c r="CY12" s="3"/>
    </row>
    <row r="13" spans="1:103" ht="13.8" x14ac:dyDescent="0.3">
      <c r="A13" s="553">
        <f t="shared" si="0"/>
        <v>36923</v>
      </c>
      <c r="B13" s="717">
        <v>6.6926730404914009E-2</v>
      </c>
      <c r="C13" s="459"/>
      <c r="D13" s="989">
        <v>36589</v>
      </c>
      <c r="E13" s="990">
        <v>28.445001983642577</v>
      </c>
      <c r="F13" s="990">
        <v>28.795001983642578</v>
      </c>
      <c r="G13" s="990">
        <v>29.14500198364258</v>
      </c>
      <c r="H13" s="977"/>
      <c r="I13" s="990">
        <v>19.824999999999999</v>
      </c>
      <c r="J13" s="990">
        <v>20</v>
      </c>
      <c r="K13" s="990">
        <v>20.175000000000001</v>
      </c>
      <c r="L13" s="12"/>
      <c r="M13" s="1004">
        <v>36647</v>
      </c>
      <c r="N13" s="991">
        <v>26.375</v>
      </c>
      <c r="O13" s="991">
        <v>26.75</v>
      </c>
      <c r="P13" s="991">
        <v>27.125</v>
      </c>
      <c r="Q13" s="21"/>
      <c r="R13" s="991">
        <v>22.25</v>
      </c>
      <c r="S13" s="991">
        <v>24.75</v>
      </c>
      <c r="T13" s="991">
        <v>27.25</v>
      </c>
      <c r="U13" s="21"/>
      <c r="V13" s="991">
        <v>0.7</v>
      </c>
      <c r="W13" s="991">
        <v>0.7</v>
      </c>
      <c r="X13" s="991">
        <v>0.7</v>
      </c>
      <c r="Y13" s="21"/>
      <c r="Z13" s="991">
        <v>0.15175</v>
      </c>
      <c r="AA13" s="991">
        <v>0.30349999999999999</v>
      </c>
      <c r="AB13" s="991">
        <v>0.45524999999999999</v>
      </c>
      <c r="AC13" s="21"/>
      <c r="AD13" s="991">
        <v>3.5000000000000003E-2</v>
      </c>
      <c r="AE13" s="991">
        <v>7.0000000000000007E-2</v>
      </c>
      <c r="AF13" s="991">
        <v>0.105</v>
      </c>
      <c r="AG13" s="21"/>
      <c r="AH13" s="991">
        <v>-0.25</v>
      </c>
      <c r="AI13" s="991">
        <v>1.1000000000000001</v>
      </c>
      <c r="AJ13" s="991">
        <v>0.3</v>
      </c>
      <c r="AK13" s="21"/>
      <c r="AL13" s="991">
        <v>-0.15</v>
      </c>
      <c r="AM13" s="991">
        <v>0.5</v>
      </c>
      <c r="AN13" s="991">
        <v>0.2</v>
      </c>
      <c r="AO13" s="21"/>
      <c r="AP13" s="12">
        <v>2</v>
      </c>
      <c r="AQ13" s="992">
        <v>0</v>
      </c>
      <c r="AR13" s="21"/>
      <c r="AS13" s="12">
        <v>300</v>
      </c>
      <c r="AT13" s="993">
        <v>0.82669983553583493</v>
      </c>
      <c r="AU13" s="993">
        <v>0.82669983553583493</v>
      </c>
      <c r="AV13" s="993">
        <v>0.7966998355358349</v>
      </c>
      <c r="AW13" s="993">
        <v>0.84669983553583494</v>
      </c>
      <c r="AX13" s="993">
        <v>0.84808514806229396</v>
      </c>
      <c r="AY13" s="993">
        <v>0.80550621669626976</v>
      </c>
      <c r="AZ13" s="993">
        <v>0.97054027611696914</v>
      </c>
      <c r="BA13" s="993">
        <v>0.88495575221238931</v>
      </c>
      <c r="BB13" s="993">
        <v>0.81994810455034439</v>
      </c>
      <c r="BC13" s="993">
        <v>0.86570000000000003</v>
      </c>
      <c r="BD13" s="993">
        <v>0.84570000000000001</v>
      </c>
      <c r="BE13" s="993">
        <v>0.84570000000000001</v>
      </c>
      <c r="BF13" s="12" t="s">
        <v>160</v>
      </c>
      <c r="BH13" s="388">
        <v>-1</v>
      </c>
      <c r="BI13" s="389">
        <v>3.3E-3</v>
      </c>
      <c r="BJ13" s="395"/>
      <c r="BK13"/>
      <c r="BL13"/>
      <c r="BM13"/>
      <c r="BN13"/>
      <c r="BO13"/>
      <c r="BP13"/>
      <c r="BQ13" s="553">
        <f t="shared" si="1"/>
        <v>36831</v>
      </c>
      <c r="BR13" s="716">
        <v>2.98</v>
      </c>
      <c r="BS13" s="716">
        <v>2.9849999999999999</v>
      </c>
      <c r="BT13" s="716">
        <v>2.99</v>
      </c>
      <c r="BU13" s="717">
        <v>0.38</v>
      </c>
      <c r="BV13" s="717">
        <v>0.38750000000000001</v>
      </c>
      <c r="BW13" s="717">
        <v>0.39500000000000002</v>
      </c>
      <c r="BX13" s="717">
        <f t="shared" si="2"/>
        <v>-7.0000000000000007E-2</v>
      </c>
      <c r="BY13" s="717"/>
      <c r="BZ13" s="717">
        <f t="shared" si="3"/>
        <v>7.0000000000000007E-2</v>
      </c>
      <c r="CA13" s="757">
        <v>0</v>
      </c>
      <c r="CB13" s="788">
        <f t="shared" si="4"/>
        <v>0</v>
      </c>
      <c r="CC13" s="789">
        <f t="shared" si="5"/>
        <v>2.98</v>
      </c>
      <c r="CD13" s="793">
        <f t="shared" si="6"/>
        <v>0.39500000000000002</v>
      </c>
      <c r="CE13" s="9"/>
      <c r="CF13" s="9"/>
      <c r="CG13" s="9"/>
      <c r="CH13" s="9"/>
      <c r="CI13" s="9"/>
      <c r="CJ13" s="9"/>
      <c r="CK13" s="9"/>
      <c r="CL13" s="9"/>
      <c r="CM13" s="9"/>
      <c r="CN13" s="9"/>
      <c r="CO13" s="9"/>
      <c r="CP13" s="9"/>
      <c r="CQ13" s="9"/>
      <c r="CR13" s="9"/>
      <c r="CS13" s="9"/>
      <c r="CT13" s="9"/>
      <c r="CU13" s="9"/>
      <c r="CV13" s="9"/>
      <c r="CW13" s="9"/>
      <c r="CX13" s="9"/>
      <c r="CY13" s="9"/>
    </row>
    <row r="14" spans="1:103" ht="13.8" x14ac:dyDescent="0.3">
      <c r="A14" s="553">
        <f t="shared" si="0"/>
        <v>36951</v>
      </c>
      <c r="B14" s="717">
        <v>6.7341227199243001E-2</v>
      </c>
      <c r="C14" s="459"/>
      <c r="D14" s="989">
        <v>36590</v>
      </c>
      <c r="E14" s="990">
        <v>28.445001983642577</v>
      </c>
      <c r="F14" s="990">
        <v>28.795001983642578</v>
      </c>
      <c r="G14" s="990">
        <v>29.14500198364258</v>
      </c>
      <c r="H14" s="977"/>
      <c r="I14" s="990">
        <v>19.824999999999999</v>
      </c>
      <c r="J14" s="990">
        <v>20</v>
      </c>
      <c r="K14" s="990">
        <v>20.175000000000001</v>
      </c>
      <c r="L14" s="12"/>
      <c r="M14" s="1004">
        <v>36678</v>
      </c>
      <c r="N14" s="991">
        <v>26.625</v>
      </c>
      <c r="O14" s="991">
        <v>27.75</v>
      </c>
      <c r="P14" s="991">
        <v>28.875</v>
      </c>
      <c r="Q14" s="21"/>
      <c r="R14" s="991">
        <v>20.25</v>
      </c>
      <c r="S14" s="991">
        <v>22.75</v>
      </c>
      <c r="T14" s="991">
        <v>25.25</v>
      </c>
      <c r="U14" s="21"/>
      <c r="V14" s="991">
        <v>0.7</v>
      </c>
      <c r="W14" s="991">
        <v>0.7</v>
      </c>
      <c r="X14" s="991">
        <v>0.7</v>
      </c>
      <c r="Y14" s="21"/>
      <c r="Z14" s="991">
        <v>0.19012499999999999</v>
      </c>
      <c r="AA14" s="991">
        <v>0.38024999999999998</v>
      </c>
      <c r="AB14" s="991">
        <v>0.57037499999999997</v>
      </c>
      <c r="AC14" s="21"/>
      <c r="AD14" s="991">
        <v>4.4999999999999998E-2</v>
      </c>
      <c r="AE14" s="991">
        <v>0.09</v>
      </c>
      <c r="AF14" s="991">
        <v>0.13500000000000001</v>
      </c>
      <c r="AG14" s="21"/>
      <c r="AH14" s="991">
        <v>-1</v>
      </c>
      <c r="AI14" s="991">
        <v>3.75</v>
      </c>
      <c r="AJ14" s="991">
        <v>1</v>
      </c>
      <c r="AK14" s="21"/>
      <c r="AL14" s="991">
        <v>-0.15</v>
      </c>
      <c r="AM14" s="991">
        <v>0.65</v>
      </c>
      <c r="AN14" s="991">
        <v>0.2</v>
      </c>
      <c r="AO14" s="21"/>
      <c r="AP14" s="12">
        <v>2</v>
      </c>
      <c r="AQ14" s="992">
        <v>0</v>
      </c>
      <c r="AR14" s="21"/>
      <c r="AS14" s="12">
        <v>400</v>
      </c>
      <c r="AT14" s="993">
        <v>0.82620000000000005</v>
      </c>
      <c r="AU14" s="993">
        <v>0.82620000000000005</v>
      </c>
      <c r="AV14" s="993">
        <v>0.79719995084774298</v>
      </c>
      <c r="AW14" s="993">
        <v>0.84719995084774302</v>
      </c>
      <c r="AX14" s="993">
        <v>0.82222730092396068</v>
      </c>
      <c r="AY14" s="993">
        <v>0.74777975133214913</v>
      </c>
      <c r="AZ14" s="993">
        <v>0.87400804435264667</v>
      </c>
      <c r="BA14" s="993">
        <v>0.83260625701109281</v>
      </c>
      <c r="BB14" s="993">
        <v>0.83209923422568155</v>
      </c>
      <c r="BC14" s="993">
        <v>0.86619999999999997</v>
      </c>
      <c r="BD14" s="993">
        <v>0.84619999999999995</v>
      </c>
      <c r="BE14" s="993">
        <v>0.84619999999999995</v>
      </c>
      <c r="BF14" s="12" t="s">
        <v>160</v>
      </c>
      <c r="BH14" s="388">
        <v>-0.5</v>
      </c>
      <c r="BI14" s="389">
        <v>2.5000000000000001E-3</v>
      </c>
      <c r="BJ14" s="395"/>
      <c r="BK14"/>
      <c r="BL14"/>
      <c r="BM14"/>
      <c r="BN14"/>
      <c r="BO14"/>
      <c r="BP14"/>
      <c r="BQ14" s="553">
        <f t="shared" si="1"/>
        <v>36861</v>
      </c>
      <c r="BR14" s="716">
        <v>3.0950000000000002</v>
      </c>
      <c r="BS14" s="716">
        <v>3.1</v>
      </c>
      <c r="BT14" s="716">
        <v>3.105</v>
      </c>
      <c r="BU14" s="717">
        <v>0.38250000000000001</v>
      </c>
      <c r="BV14" s="717">
        <v>0.39</v>
      </c>
      <c r="BW14" s="717">
        <v>0.39750000000000002</v>
      </c>
      <c r="BX14" s="717">
        <f t="shared" si="2"/>
        <v>-7.0000000000000007E-2</v>
      </c>
      <c r="BY14" s="717"/>
      <c r="BZ14" s="717">
        <f t="shared" si="3"/>
        <v>7.0000000000000007E-2</v>
      </c>
      <c r="CA14" s="757">
        <v>0</v>
      </c>
      <c r="CB14" s="788">
        <f t="shared" si="4"/>
        <v>0</v>
      </c>
      <c r="CC14" s="789">
        <f t="shared" si="5"/>
        <v>3.0950000000000002</v>
      </c>
      <c r="CD14" s="793">
        <f t="shared" si="6"/>
        <v>0.39750000000000002</v>
      </c>
      <c r="CE14" s="3"/>
      <c r="CF14" s="3"/>
      <c r="CG14" s="3"/>
      <c r="CH14" s="3"/>
      <c r="CI14" s="3"/>
      <c r="CJ14" s="3"/>
      <c r="CK14" s="3"/>
      <c r="CL14" s="3"/>
      <c r="CM14" s="3"/>
      <c r="CN14" s="3"/>
      <c r="CO14" s="3"/>
      <c r="CP14" s="3"/>
      <c r="CQ14" s="3"/>
      <c r="CR14" s="3"/>
      <c r="CS14" s="3"/>
      <c r="CT14" s="3"/>
      <c r="CU14" s="3"/>
      <c r="CV14" s="3"/>
      <c r="CW14" s="3"/>
      <c r="CX14" s="3"/>
      <c r="CY14" s="3"/>
    </row>
    <row r="15" spans="1:103" ht="13.8" x14ac:dyDescent="0.3">
      <c r="A15" s="553">
        <f t="shared" si="0"/>
        <v>36982</v>
      </c>
      <c r="B15" s="717">
        <v>6.7760452095970994E-2</v>
      </c>
      <c r="C15" s="459"/>
      <c r="D15" s="989">
        <v>36591</v>
      </c>
      <c r="E15" s="990">
        <v>32.9</v>
      </c>
      <c r="F15" s="990">
        <v>33.25</v>
      </c>
      <c r="G15" s="990">
        <v>33.6</v>
      </c>
      <c r="H15" s="977"/>
      <c r="I15" s="990">
        <v>20.324999999999999</v>
      </c>
      <c r="J15" s="990">
        <v>20.5</v>
      </c>
      <c r="K15" s="990">
        <v>20.675000000000001</v>
      </c>
      <c r="L15" s="12"/>
      <c r="M15" s="1004">
        <v>36708</v>
      </c>
      <c r="N15" s="991">
        <v>30.872501373291016</v>
      </c>
      <c r="O15" s="991">
        <v>32.747501373291016</v>
      </c>
      <c r="P15" s="991">
        <v>34.622501373291016</v>
      </c>
      <c r="Q15" s="21"/>
      <c r="R15" s="991">
        <v>24.252498626708984</v>
      </c>
      <c r="S15" s="991">
        <v>26.752498626708984</v>
      </c>
      <c r="T15" s="991">
        <v>29.252498626708984</v>
      </c>
      <c r="U15" s="21"/>
      <c r="V15" s="991">
        <v>0.7</v>
      </c>
      <c r="W15" s="991">
        <v>0.7</v>
      </c>
      <c r="X15" s="991">
        <v>0.7</v>
      </c>
      <c r="Y15" s="21"/>
      <c r="Z15" s="991">
        <v>0.22512499999999999</v>
      </c>
      <c r="AA15" s="991">
        <v>0.45024999999999998</v>
      </c>
      <c r="AB15" s="991">
        <v>0.67537499999999995</v>
      </c>
      <c r="AC15" s="21"/>
      <c r="AD15" s="991">
        <v>0.06</v>
      </c>
      <c r="AE15" s="991">
        <v>0.12</v>
      </c>
      <c r="AF15" s="991">
        <v>0.18</v>
      </c>
      <c r="AG15" s="21"/>
      <c r="AH15" s="991">
        <v>-1.5</v>
      </c>
      <c r="AI15" s="991">
        <v>4.25</v>
      </c>
      <c r="AJ15" s="991">
        <v>1.5</v>
      </c>
      <c r="AK15" s="21"/>
      <c r="AL15" s="991">
        <v>-0.15</v>
      </c>
      <c r="AM15" s="991">
        <v>0.75</v>
      </c>
      <c r="AN15" s="991">
        <v>0.2</v>
      </c>
      <c r="AO15" s="21"/>
      <c r="AP15" s="12">
        <v>3</v>
      </c>
      <c r="AQ15" s="992">
        <v>0.15</v>
      </c>
      <c r="AR15" s="21"/>
      <c r="AS15" s="12">
        <v>500</v>
      </c>
      <c r="AT15" s="993">
        <v>0.84650000000000003</v>
      </c>
      <c r="AU15" s="993">
        <v>0.84650000000000003</v>
      </c>
      <c r="AV15" s="993">
        <v>0.85749044781089889</v>
      </c>
      <c r="AW15" s="993">
        <v>0.90749044781089894</v>
      </c>
      <c r="AX15" s="993">
        <v>0.89013679845897664</v>
      </c>
      <c r="AY15" s="993">
        <v>0.81113084665482538</v>
      </c>
      <c r="AZ15" s="993">
        <v>0.8296553973257963</v>
      </c>
      <c r="BA15" s="993">
        <v>0.86426523744235273</v>
      </c>
      <c r="BB15" s="993">
        <v>0.89842415037022905</v>
      </c>
      <c r="BC15" s="993">
        <v>0.92649999999999999</v>
      </c>
      <c r="BD15" s="993">
        <v>0.90649999999999997</v>
      </c>
      <c r="BE15" s="993">
        <v>0.90649999999999997</v>
      </c>
      <c r="BF15" s="12" t="s">
        <v>160</v>
      </c>
      <c r="BH15" s="388">
        <v>0</v>
      </c>
      <c r="BI15" s="389">
        <v>0</v>
      </c>
      <c r="BJ15" s="395"/>
      <c r="BK15"/>
      <c r="BL15"/>
      <c r="BM15"/>
      <c r="BN15"/>
      <c r="BO15"/>
      <c r="BP15"/>
      <c r="BQ15" s="553">
        <f t="shared" si="1"/>
        <v>36892</v>
      </c>
      <c r="BR15" s="716">
        <v>3.12</v>
      </c>
      <c r="BS15" s="716">
        <v>3.125</v>
      </c>
      <c r="BT15" s="716">
        <v>3.13</v>
      </c>
      <c r="BU15" s="717">
        <v>0.38750000000000001</v>
      </c>
      <c r="BV15" s="717">
        <v>0.39500000000000002</v>
      </c>
      <c r="BW15" s="717">
        <v>0.40250000000000002</v>
      </c>
      <c r="BX15" s="717">
        <f t="shared" si="2"/>
        <v>-7.0000000000000007E-2</v>
      </c>
      <c r="BY15" s="717"/>
      <c r="BZ15" s="717">
        <f t="shared" si="3"/>
        <v>7.0000000000000007E-2</v>
      </c>
      <c r="CA15" s="757">
        <v>0</v>
      </c>
      <c r="CB15" s="788">
        <f t="shared" si="4"/>
        <v>0</v>
      </c>
      <c r="CC15" s="789">
        <f t="shared" si="5"/>
        <v>3.12</v>
      </c>
      <c r="CD15" s="793">
        <f t="shared" si="6"/>
        <v>0.40250000000000002</v>
      </c>
      <c r="CE15" s="9"/>
      <c r="CF15" s="9"/>
      <c r="CG15" s="9"/>
      <c r="CH15" s="9"/>
      <c r="CI15" s="9"/>
      <c r="CJ15" s="9"/>
      <c r="CK15" s="9"/>
      <c r="CL15" s="9"/>
      <c r="CM15" s="9"/>
      <c r="CN15" s="9"/>
      <c r="CO15" s="9"/>
      <c r="CP15" s="9"/>
      <c r="CQ15" s="9"/>
      <c r="CR15" s="9"/>
      <c r="CS15" s="9"/>
      <c r="CT15" s="9"/>
      <c r="CU15" s="9"/>
      <c r="CV15" s="9"/>
      <c r="CW15" s="9"/>
      <c r="CX15" s="9"/>
      <c r="CY15" s="9"/>
    </row>
    <row r="16" spans="1:103" ht="13.8" x14ac:dyDescent="0.3">
      <c r="A16" s="553">
        <f t="shared" si="0"/>
        <v>37012</v>
      </c>
      <c r="B16" s="717">
        <v>6.8094409945583995E-2</v>
      </c>
      <c r="C16" s="459"/>
      <c r="D16" s="989">
        <v>36592</v>
      </c>
      <c r="E16" s="990">
        <v>32.9</v>
      </c>
      <c r="F16" s="990">
        <v>33.25</v>
      </c>
      <c r="G16" s="990">
        <v>33.6</v>
      </c>
      <c r="H16" s="977"/>
      <c r="I16" s="990">
        <v>20.324999999999999</v>
      </c>
      <c r="J16" s="990">
        <v>20.5</v>
      </c>
      <c r="K16" s="990">
        <v>20.675000000000001</v>
      </c>
      <c r="L16" s="12"/>
      <c r="M16" s="1004">
        <v>36739</v>
      </c>
      <c r="N16" s="991">
        <v>30.872501373291016</v>
      </c>
      <c r="O16" s="991">
        <v>32.747501373291016</v>
      </c>
      <c r="P16" s="991">
        <v>34.622501373291016</v>
      </c>
      <c r="Q16" s="21"/>
      <c r="R16" s="991">
        <v>24.25</v>
      </c>
      <c r="S16" s="991">
        <v>26.75</v>
      </c>
      <c r="T16" s="991">
        <v>29.25</v>
      </c>
      <c r="U16" s="21"/>
      <c r="V16" s="991">
        <v>1.2</v>
      </c>
      <c r="W16" s="991">
        <v>1.2</v>
      </c>
      <c r="X16" s="991">
        <v>1.2</v>
      </c>
      <c r="Y16" s="21"/>
      <c r="Z16" s="991">
        <v>0.22175</v>
      </c>
      <c r="AA16" s="991">
        <v>0.44350000000000001</v>
      </c>
      <c r="AB16" s="991">
        <v>0.66525000000000001</v>
      </c>
      <c r="AC16" s="21"/>
      <c r="AD16" s="991">
        <v>0.06</v>
      </c>
      <c r="AE16" s="991">
        <v>0.12</v>
      </c>
      <c r="AF16" s="991">
        <v>0.18</v>
      </c>
      <c r="AG16" s="21"/>
      <c r="AH16" s="991">
        <v>-1.5</v>
      </c>
      <c r="AI16" s="991">
        <v>4.25</v>
      </c>
      <c r="AJ16" s="991">
        <v>1.5</v>
      </c>
      <c r="AK16" s="21"/>
      <c r="AL16" s="991">
        <v>-0.15</v>
      </c>
      <c r="AM16" s="991">
        <v>0.75</v>
      </c>
      <c r="AN16" s="991">
        <v>0.2</v>
      </c>
      <c r="AO16" s="21"/>
      <c r="AP16" s="12">
        <v>3</v>
      </c>
      <c r="AQ16" s="992">
        <v>0.15</v>
      </c>
      <c r="AR16" s="21"/>
      <c r="AS16" s="12">
        <v>600</v>
      </c>
      <c r="AT16" s="993">
        <v>0.90339999999999998</v>
      </c>
      <c r="AU16" s="993">
        <v>0.90339999999999998</v>
      </c>
      <c r="AV16" s="993">
        <v>0.99535202187631988</v>
      </c>
      <c r="AW16" s="993">
        <v>1.0453520218763199</v>
      </c>
      <c r="AX16" s="993">
        <v>1.079238630056482</v>
      </c>
      <c r="AY16" s="993">
        <v>0.98963883955002951</v>
      </c>
      <c r="AZ16" s="993">
        <v>0.91466463746059334</v>
      </c>
      <c r="BA16" s="993">
        <v>0.960239311978063</v>
      </c>
      <c r="BB16" s="993">
        <v>1.0396810328460215</v>
      </c>
      <c r="BC16" s="993">
        <v>1.0644</v>
      </c>
      <c r="BD16" s="993">
        <v>1.0444</v>
      </c>
      <c r="BE16" s="993">
        <v>1.0444</v>
      </c>
      <c r="BF16" s="12" t="s">
        <v>160</v>
      </c>
      <c r="BH16" s="390">
        <v>1</v>
      </c>
      <c r="BI16" s="389">
        <v>5.0000000000000001E-3</v>
      </c>
      <c r="BJ16" s="395"/>
      <c r="BK16"/>
      <c r="BL16"/>
      <c r="BM16"/>
      <c r="BN16"/>
      <c r="BO16"/>
      <c r="BP16"/>
      <c r="BQ16" s="553">
        <f t="shared" si="1"/>
        <v>36923</v>
      </c>
      <c r="BR16" s="716">
        <v>2.9550000000000001</v>
      </c>
      <c r="BS16" s="716">
        <v>2.96</v>
      </c>
      <c r="BT16" s="716">
        <v>2.9649999999999999</v>
      </c>
      <c r="BU16" s="717">
        <v>0.38250000000000001</v>
      </c>
      <c r="BV16" s="717">
        <v>0.39</v>
      </c>
      <c r="BW16" s="717">
        <v>0.39750000000000002</v>
      </c>
      <c r="BX16" s="717">
        <f t="shared" si="2"/>
        <v>-7.0000000000000007E-2</v>
      </c>
      <c r="BY16" s="717"/>
      <c r="BZ16" s="717">
        <f t="shared" si="3"/>
        <v>7.0000000000000007E-2</v>
      </c>
      <c r="CA16" s="757">
        <v>0</v>
      </c>
      <c r="CB16" s="788">
        <f t="shared" si="4"/>
        <v>0</v>
      </c>
      <c r="CC16" s="789">
        <f t="shared" si="5"/>
        <v>2.9550000000000001</v>
      </c>
      <c r="CD16" s="793">
        <f t="shared" si="6"/>
        <v>0.39750000000000002</v>
      </c>
      <c r="CE16" s="3"/>
      <c r="CF16" s="3"/>
      <c r="CG16" s="3"/>
      <c r="CH16" s="3"/>
      <c r="CI16" s="3"/>
      <c r="CJ16" s="3"/>
      <c r="CK16" s="3"/>
      <c r="CL16" s="3"/>
      <c r="CM16" s="3"/>
      <c r="CN16" s="3"/>
      <c r="CO16" s="3"/>
      <c r="CP16" s="3"/>
      <c r="CQ16" s="3"/>
      <c r="CR16" s="3"/>
      <c r="CS16" s="3"/>
      <c r="CT16" s="3"/>
      <c r="CU16" s="3"/>
      <c r="CV16" s="3"/>
      <c r="CW16" s="3"/>
      <c r="CX16" s="3"/>
      <c r="CY16" s="3"/>
    </row>
    <row r="17" spans="1:103" ht="13.8" x14ac:dyDescent="0.3">
      <c r="A17" s="553">
        <f t="shared" si="0"/>
        <v>37043</v>
      </c>
      <c r="B17" s="717">
        <v>6.8439499762296005E-2</v>
      </c>
      <c r="C17" s="459"/>
      <c r="D17" s="989">
        <v>36593</v>
      </c>
      <c r="E17" s="990">
        <v>32.9</v>
      </c>
      <c r="F17" s="990">
        <v>33.25</v>
      </c>
      <c r="G17" s="990">
        <v>33.6</v>
      </c>
      <c r="H17" s="977"/>
      <c r="I17" s="990">
        <v>20.324999999999999</v>
      </c>
      <c r="J17" s="990">
        <v>20.5</v>
      </c>
      <c r="K17" s="990">
        <v>20.675000000000001</v>
      </c>
      <c r="L17" s="12"/>
      <c r="M17" s="1004">
        <v>36770</v>
      </c>
      <c r="N17" s="991">
        <v>22.804999160766602</v>
      </c>
      <c r="O17" s="991">
        <v>23.254999160766602</v>
      </c>
      <c r="P17" s="991">
        <v>23.704999160766601</v>
      </c>
      <c r="Q17" s="21"/>
      <c r="R17" s="991">
        <v>21.25</v>
      </c>
      <c r="S17" s="991">
        <v>23.75</v>
      </c>
      <c r="T17" s="991">
        <v>26.25</v>
      </c>
      <c r="U17" s="21"/>
      <c r="V17" s="991">
        <v>1.2</v>
      </c>
      <c r="W17" s="991">
        <v>1.2</v>
      </c>
      <c r="X17" s="991">
        <v>1.2</v>
      </c>
      <c r="Y17" s="21"/>
      <c r="Z17" s="991">
        <v>0.14674999999999999</v>
      </c>
      <c r="AA17" s="991">
        <v>0.29349999999999998</v>
      </c>
      <c r="AB17" s="991">
        <v>0.44024999999999997</v>
      </c>
      <c r="AC17" s="21"/>
      <c r="AD17" s="991">
        <v>0.04</v>
      </c>
      <c r="AE17" s="991">
        <v>0.08</v>
      </c>
      <c r="AF17" s="991">
        <v>0.12</v>
      </c>
      <c r="AG17" s="21"/>
      <c r="AH17" s="991">
        <v>-0.5</v>
      </c>
      <c r="AI17" s="991">
        <v>2.25</v>
      </c>
      <c r="AJ17" s="991">
        <v>0.5</v>
      </c>
      <c r="AK17" s="21"/>
      <c r="AL17" s="991">
        <v>-0.15</v>
      </c>
      <c r="AM17" s="991">
        <v>0.4</v>
      </c>
      <c r="AN17" s="991">
        <v>0.2</v>
      </c>
      <c r="AO17" s="21"/>
      <c r="AP17" s="12">
        <v>3</v>
      </c>
      <c r="AQ17" s="992">
        <v>0.15</v>
      </c>
      <c r="AR17" s="21"/>
      <c r="AS17" s="12">
        <v>700</v>
      </c>
      <c r="AT17" s="993">
        <v>1.73</v>
      </c>
      <c r="AU17" s="993">
        <v>1.73</v>
      </c>
      <c r="AV17" s="993">
        <v>1.7959999999999998</v>
      </c>
      <c r="AW17" s="993">
        <v>1.4909756812084298</v>
      </c>
      <c r="AX17" s="993">
        <v>1.2913252146658396</v>
      </c>
      <c r="AY17" s="993">
        <v>1.134695085849615</v>
      </c>
      <c r="AZ17" s="993">
        <v>1.0157625828894443</v>
      </c>
      <c r="BA17" s="993">
        <v>1.1172877975819515</v>
      </c>
      <c r="BB17" s="993">
        <v>1.4138345674324397</v>
      </c>
      <c r="BC17" s="993">
        <v>1.3759999999999999</v>
      </c>
      <c r="BD17" s="993">
        <v>1.496</v>
      </c>
      <c r="BE17" s="993">
        <v>1.496</v>
      </c>
      <c r="BF17" s="12" t="s">
        <v>160</v>
      </c>
      <c r="BH17" s="390">
        <v>2</v>
      </c>
      <c r="BI17" s="389">
        <v>0.01</v>
      </c>
      <c r="BJ17" s="395"/>
      <c r="BK17"/>
      <c r="BL17"/>
      <c r="BM17"/>
      <c r="BN17"/>
      <c r="BO17"/>
      <c r="BP17"/>
      <c r="BQ17" s="553">
        <f t="shared" si="1"/>
        <v>36951</v>
      </c>
      <c r="BR17" s="716">
        <v>2.8149999999999999</v>
      </c>
      <c r="BS17" s="716">
        <v>2.82</v>
      </c>
      <c r="BT17" s="716">
        <v>2.8250000000000002</v>
      </c>
      <c r="BU17" s="717">
        <v>0.33500000000000002</v>
      </c>
      <c r="BV17" s="717">
        <v>0.34250000000000003</v>
      </c>
      <c r="BW17" s="717">
        <v>0.35</v>
      </c>
      <c r="BX17" s="717">
        <f t="shared" si="2"/>
        <v>-7.0000000000000007E-2</v>
      </c>
      <c r="BY17" s="717"/>
      <c r="BZ17" s="717">
        <f t="shared" si="3"/>
        <v>7.0000000000000007E-2</v>
      </c>
      <c r="CA17" s="757">
        <v>0</v>
      </c>
      <c r="CB17" s="788">
        <f t="shared" si="4"/>
        <v>0</v>
      </c>
      <c r="CC17" s="789">
        <f t="shared" si="5"/>
        <v>2.8149999999999999</v>
      </c>
      <c r="CD17" s="793">
        <f t="shared" si="6"/>
        <v>0.35</v>
      </c>
      <c r="CE17" s="3"/>
      <c r="CF17" s="3"/>
      <c r="CG17" s="3"/>
      <c r="CH17" s="3"/>
      <c r="CI17" s="3"/>
      <c r="CJ17" s="3"/>
      <c r="CK17" s="3"/>
      <c r="CL17" s="3"/>
      <c r="CM17" s="3"/>
      <c r="CN17" s="3"/>
      <c r="CO17" s="3"/>
      <c r="CP17" s="3"/>
      <c r="CQ17" s="3"/>
      <c r="CR17" s="3"/>
      <c r="CS17" s="3"/>
      <c r="CT17" s="3"/>
      <c r="CU17" s="3"/>
      <c r="CV17" s="3"/>
      <c r="CW17" s="3"/>
      <c r="CX17" s="3"/>
      <c r="CY17" s="3"/>
    </row>
    <row r="18" spans="1:103" ht="13.8" x14ac:dyDescent="0.3">
      <c r="A18" s="553">
        <f t="shared" si="0"/>
        <v>37073</v>
      </c>
      <c r="B18" s="717">
        <v>6.8753696866555011E-2</v>
      </c>
      <c r="C18" s="459"/>
      <c r="D18" s="989">
        <v>36594</v>
      </c>
      <c r="E18" s="990">
        <v>32.9</v>
      </c>
      <c r="F18" s="990">
        <v>33.25</v>
      </c>
      <c r="G18" s="990">
        <v>33.6</v>
      </c>
      <c r="H18" s="977"/>
      <c r="I18" s="990">
        <v>20.324999999999999</v>
      </c>
      <c r="J18" s="990">
        <v>20.5</v>
      </c>
      <c r="K18" s="990">
        <v>20.675000000000001</v>
      </c>
      <c r="L18" s="12"/>
      <c r="M18" s="1004">
        <v>36800</v>
      </c>
      <c r="N18" s="991">
        <v>22.412999725341798</v>
      </c>
      <c r="O18" s="991">
        <v>22.750499725341797</v>
      </c>
      <c r="P18" s="991">
        <v>23.087999725341795</v>
      </c>
      <c r="Q18" s="21"/>
      <c r="R18" s="991">
        <v>18.250999450683594</v>
      </c>
      <c r="S18" s="991">
        <v>20.750999450683594</v>
      </c>
      <c r="T18" s="991">
        <v>23.250999450683594</v>
      </c>
      <c r="U18" s="21"/>
      <c r="V18" s="991">
        <v>1.2</v>
      </c>
      <c r="W18" s="991">
        <v>1.2</v>
      </c>
      <c r="X18" s="991">
        <v>1.2</v>
      </c>
      <c r="Y18" s="21"/>
      <c r="Z18" s="991">
        <v>0.13350000000000001</v>
      </c>
      <c r="AA18" s="991">
        <v>0.26700000000000002</v>
      </c>
      <c r="AB18" s="991">
        <v>0.40050000000000002</v>
      </c>
      <c r="AC18" s="21"/>
      <c r="AD18" s="991">
        <v>0.03</v>
      </c>
      <c r="AE18" s="991">
        <v>0.06</v>
      </c>
      <c r="AF18" s="991">
        <v>0.09</v>
      </c>
      <c r="AG18" s="21"/>
      <c r="AH18" s="991">
        <v>-0.25</v>
      </c>
      <c r="AI18" s="991">
        <v>1.1000000000000001</v>
      </c>
      <c r="AJ18" s="991">
        <v>0.3</v>
      </c>
      <c r="AK18" s="21"/>
      <c r="AL18" s="991">
        <v>-0.15</v>
      </c>
      <c r="AM18" s="991">
        <v>0.35</v>
      </c>
      <c r="AN18" s="991">
        <v>0.2</v>
      </c>
      <c r="AO18" s="21"/>
      <c r="AP18" s="12">
        <v>4</v>
      </c>
      <c r="AQ18" s="992">
        <v>0.15</v>
      </c>
      <c r="AR18" s="21"/>
      <c r="AS18" s="12">
        <v>800</v>
      </c>
      <c r="AT18" s="993">
        <v>1.1458848137090256</v>
      </c>
      <c r="AU18" s="993">
        <v>1.1458848137090256</v>
      </c>
      <c r="AV18" s="993">
        <v>1.1358999999999999</v>
      </c>
      <c r="AW18" s="993">
        <v>1.1232726508202047</v>
      </c>
      <c r="AX18" s="993">
        <v>0.95286212503963064</v>
      </c>
      <c r="AY18" s="993">
        <v>0.65105901103049102</v>
      </c>
      <c r="AZ18" s="993">
        <v>0.58625176867694417</v>
      </c>
      <c r="BA18" s="993">
        <v>0.66493857390129607</v>
      </c>
      <c r="BB18" s="993">
        <v>0.77710435244355791</v>
      </c>
      <c r="BC18" s="993">
        <v>1.0615000000000001</v>
      </c>
      <c r="BD18" s="993">
        <v>1.0714999999999999</v>
      </c>
      <c r="BE18" s="993">
        <v>1.0874999999999999</v>
      </c>
      <c r="BF18" s="12" t="s">
        <v>125</v>
      </c>
      <c r="BH18" s="390">
        <v>3</v>
      </c>
      <c r="BI18" s="389">
        <v>0.02</v>
      </c>
      <c r="BJ18" s="395"/>
      <c r="BK18"/>
      <c r="BL18"/>
      <c r="BM18"/>
      <c r="BN18"/>
      <c r="BO18"/>
      <c r="BP18"/>
      <c r="BQ18" s="553">
        <f t="shared" si="1"/>
        <v>36982</v>
      </c>
      <c r="BR18" s="716">
        <v>2.6920000000000002</v>
      </c>
      <c r="BS18" s="716">
        <v>2.6970000000000001</v>
      </c>
      <c r="BT18" s="716">
        <v>2.702</v>
      </c>
      <c r="BU18" s="717">
        <v>0.27</v>
      </c>
      <c r="BV18" s="717">
        <v>0.27750000000000002</v>
      </c>
      <c r="BW18" s="717">
        <v>0.28499999999999998</v>
      </c>
      <c r="BX18" s="717">
        <f t="shared" si="2"/>
        <v>-7.0000000000000007E-2</v>
      </c>
      <c r="BY18" s="717"/>
      <c r="BZ18" s="717">
        <f t="shared" si="3"/>
        <v>7.0000000000000007E-2</v>
      </c>
      <c r="CA18" s="757">
        <v>0</v>
      </c>
      <c r="CB18" s="716">
        <f t="shared" si="4"/>
        <v>0</v>
      </c>
      <c r="CC18" s="789">
        <f t="shared" si="5"/>
        <v>2.6920000000000002</v>
      </c>
      <c r="CD18" s="793">
        <f t="shared" si="6"/>
        <v>0.28499999999999998</v>
      </c>
    </row>
    <row r="19" spans="1:103" ht="13.8" x14ac:dyDescent="0.3">
      <c r="A19" s="553">
        <f t="shared" si="0"/>
        <v>37104</v>
      </c>
      <c r="B19" s="717">
        <v>6.9040994820187995E-2</v>
      </c>
      <c r="C19" s="459"/>
      <c r="D19" s="989">
        <v>36595</v>
      </c>
      <c r="E19" s="990">
        <v>32.9</v>
      </c>
      <c r="F19" s="990">
        <v>33.25</v>
      </c>
      <c r="G19" s="990">
        <v>33.6</v>
      </c>
      <c r="H19" s="977"/>
      <c r="I19" s="990">
        <v>20.324999999999999</v>
      </c>
      <c r="J19" s="990">
        <v>20.5</v>
      </c>
      <c r="K19" s="990">
        <v>20.675000000000001</v>
      </c>
      <c r="L19" s="12"/>
      <c r="M19" s="1004">
        <v>36831</v>
      </c>
      <c r="N19" s="991">
        <v>23.417251205444337</v>
      </c>
      <c r="O19" s="991">
        <v>23.754751205444336</v>
      </c>
      <c r="P19" s="991">
        <v>24.092251205444335</v>
      </c>
      <c r="Q19" s="21"/>
      <c r="R19" s="991">
        <v>19.254499435424805</v>
      </c>
      <c r="S19" s="991">
        <v>21.754499435424805</v>
      </c>
      <c r="T19" s="991">
        <v>24.254499435424805</v>
      </c>
      <c r="U19" s="21"/>
      <c r="V19" s="991">
        <v>1.2</v>
      </c>
      <c r="W19" s="991">
        <v>1.2</v>
      </c>
      <c r="X19" s="991">
        <v>1.2</v>
      </c>
      <c r="Y19" s="21"/>
      <c r="Z19" s="991">
        <v>0.13350000000000001</v>
      </c>
      <c r="AA19" s="991">
        <v>0.26700000000000002</v>
      </c>
      <c r="AB19" s="991">
        <v>0.40050000000000002</v>
      </c>
      <c r="AC19" s="21"/>
      <c r="AD19" s="991">
        <v>0.03</v>
      </c>
      <c r="AE19" s="991">
        <v>0.06</v>
      </c>
      <c r="AF19" s="991">
        <v>0.09</v>
      </c>
      <c r="AG19" s="21"/>
      <c r="AH19" s="991">
        <v>-0.25</v>
      </c>
      <c r="AI19" s="991">
        <v>1.25</v>
      </c>
      <c r="AJ19" s="991">
        <v>0.3</v>
      </c>
      <c r="AK19" s="21"/>
      <c r="AL19" s="991">
        <v>-0.15</v>
      </c>
      <c r="AM19" s="991">
        <v>0.3</v>
      </c>
      <c r="AN19" s="991">
        <v>0.2</v>
      </c>
      <c r="AO19" s="21"/>
      <c r="AP19" s="12">
        <v>4</v>
      </c>
      <c r="AQ19" s="992">
        <v>0.15</v>
      </c>
      <c r="AR19" s="21"/>
      <c r="AS19" s="12">
        <v>900</v>
      </c>
      <c r="AT19" s="993">
        <v>1.1998117566192825</v>
      </c>
      <c r="AU19" s="993">
        <v>1.1998117566192825</v>
      </c>
      <c r="AV19" s="993">
        <v>1.1898</v>
      </c>
      <c r="AW19" s="993">
        <v>1.1413154461256174</v>
      </c>
      <c r="AX19" s="993">
        <v>1.0425355656238169</v>
      </c>
      <c r="AY19" s="993">
        <v>0.7656754603028143</v>
      </c>
      <c r="AZ19" s="993">
        <v>0.64707720807596325</v>
      </c>
      <c r="BA19" s="993">
        <v>0.72465065225651215</v>
      </c>
      <c r="BB19" s="993">
        <v>0.75981909069269282</v>
      </c>
      <c r="BC19" s="993">
        <v>1.1326000000000001</v>
      </c>
      <c r="BD19" s="993">
        <v>1.1426000000000001</v>
      </c>
      <c r="BE19" s="993">
        <v>1.1637999999999999</v>
      </c>
      <c r="BF19" s="12" t="s">
        <v>125</v>
      </c>
      <c r="BH19" s="390">
        <v>4</v>
      </c>
      <c r="BI19" s="389">
        <v>0.04</v>
      </c>
      <c r="BJ19" s="395"/>
      <c r="BK19"/>
      <c r="BL19"/>
      <c r="BM19"/>
      <c r="BN19"/>
      <c r="BO19"/>
      <c r="BP19"/>
      <c r="BQ19" s="553">
        <f t="shared" si="1"/>
        <v>37012</v>
      </c>
      <c r="BR19" s="716">
        <v>2.6510000000000002</v>
      </c>
      <c r="BS19" s="716">
        <v>2.6560000000000001</v>
      </c>
      <c r="BT19" s="716">
        <v>2.661</v>
      </c>
      <c r="BU19" s="717">
        <v>0.24</v>
      </c>
      <c r="BV19" s="717">
        <v>0.2475</v>
      </c>
      <c r="BW19" s="717">
        <v>0.255</v>
      </c>
      <c r="BX19" s="717">
        <f t="shared" si="2"/>
        <v>-7.0000000000000007E-2</v>
      </c>
      <c r="BY19" s="717"/>
      <c r="BZ19" s="717">
        <f t="shared" si="3"/>
        <v>7.0000000000000007E-2</v>
      </c>
      <c r="CA19" s="757">
        <v>0</v>
      </c>
      <c r="CB19" s="716">
        <f t="shared" si="4"/>
        <v>0</v>
      </c>
      <c r="CC19" s="789">
        <f t="shared" si="5"/>
        <v>2.6510000000000002</v>
      </c>
      <c r="CD19" s="793">
        <f t="shared" si="6"/>
        <v>0.255</v>
      </c>
    </row>
    <row r="20" spans="1:103" ht="13.8" x14ac:dyDescent="0.3">
      <c r="A20" s="553">
        <f t="shared" si="0"/>
        <v>37135</v>
      </c>
      <c r="B20" s="717">
        <v>6.9328292801126998E-2</v>
      </c>
      <c r="C20" s="459"/>
      <c r="D20" s="989">
        <v>36596</v>
      </c>
      <c r="E20" s="990">
        <v>32.9</v>
      </c>
      <c r="F20" s="990">
        <v>33.25</v>
      </c>
      <c r="G20" s="990">
        <v>33.6</v>
      </c>
      <c r="H20" s="977"/>
      <c r="I20" s="990">
        <v>20.324999999999999</v>
      </c>
      <c r="J20" s="990">
        <v>20.5</v>
      </c>
      <c r="K20" s="990">
        <v>20.675000000000001</v>
      </c>
      <c r="L20" s="12"/>
      <c r="M20" s="1004">
        <v>36861</v>
      </c>
      <c r="N20" s="991">
        <v>24.917499160766603</v>
      </c>
      <c r="O20" s="991">
        <v>25.254999160766602</v>
      </c>
      <c r="P20" s="991">
        <v>25.5924991607666</v>
      </c>
      <c r="Q20" s="21"/>
      <c r="R20" s="991">
        <v>19.25</v>
      </c>
      <c r="S20" s="991">
        <v>21.75</v>
      </c>
      <c r="T20" s="991">
        <v>24.25</v>
      </c>
      <c r="U20" s="21"/>
      <c r="V20" s="991">
        <v>1.2</v>
      </c>
      <c r="W20" s="991">
        <v>1.2</v>
      </c>
      <c r="X20" s="991">
        <v>1.2</v>
      </c>
      <c r="Y20" s="21"/>
      <c r="Z20" s="991">
        <v>0.13830000000000001</v>
      </c>
      <c r="AA20" s="991">
        <v>0.27660000000000001</v>
      </c>
      <c r="AB20" s="991">
        <v>0.41490000000000005</v>
      </c>
      <c r="AC20" s="21"/>
      <c r="AD20" s="991">
        <v>0.03</v>
      </c>
      <c r="AE20" s="991">
        <v>0.06</v>
      </c>
      <c r="AF20" s="991">
        <v>0.09</v>
      </c>
      <c r="AG20" s="21"/>
      <c r="AH20" s="991">
        <v>-0.25</v>
      </c>
      <c r="AI20" s="991">
        <v>1.25</v>
      </c>
      <c r="AJ20" s="991">
        <v>0.35</v>
      </c>
      <c r="AK20" s="21"/>
      <c r="AL20" s="991">
        <v>-0.15</v>
      </c>
      <c r="AM20" s="991">
        <v>0.3</v>
      </c>
      <c r="AN20" s="991">
        <v>0.2</v>
      </c>
      <c r="AO20" s="21"/>
      <c r="AP20" s="12">
        <v>4</v>
      </c>
      <c r="AQ20" s="992">
        <v>0.15</v>
      </c>
      <c r="AR20" s="21"/>
      <c r="AS20" s="12">
        <v>1000</v>
      </c>
      <c r="AT20" s="993">
        <v>1.1961600115620716</v>
      </c>
      <c r="AU20" s="993">
        <v>1.1961600115620716</v>
      </c>
      <c r="AV20" s="993">
        <v>1.1861999999999999</v>
      </c>
      <c r="AW20" s="993">
        <v>1.0937861200445436</v>
      </c>
      <c r="AX20" s="993">
        <v>1.0610266218026732</v>
      </c>
      <c r="AY20" s="993">
        <v>0.85640229836849369</v>
      </c>
      <c r="AZ20" s="993">
        <v>0.77472880286852364</v>
      </c>
      <c r="BA20" s="993">
        <v>0.92931988010301025</v>
      </c>
      <c r="BB20" s="993">
        <v>0.94849211726145832</v>
      </c>
      <c r="BC20" s="993">
        <v>1.1291</v>
      </c>
      <c r="BD20" s="993">
        <v>1.1352</v>
      </c>
      <c r="BE20" s="993">
        <v>1.1578999999999999</v>
      </c>
      <c r="BF20" s="12" t="s">
        <v>125</v>
      </c>
      <c r="BH20" s="390">
        <v>5</v>
      </c>
      <c r="BI20" s="389">
        <v>0.06</v>
      </c>
      <c r="BJ20" s="395"/>
      <c r="BK20"/>
      <c r="BL20"/>
      <c r="BM20"/>
      <c r="BN20"/>
      <c r="BO20"/>
      <c r="BP20"/>
      <c r="BQ20" s="553">
        <f t="shared" si="1"/>
        <v>37043</v>
      </c>
      <c r="BR20" s="716">
        <v>2.6549999999999998</v>
      </c>
      <c r="BS20" s="716">
        <v>2.66</v>
      </c>
      <c r="BT20" s="716">
        <v>2.665</v>
      </c>
      <c r="BU20" s="717">
        <v>0.23250000000000001</v>
      </c>
      <c r="BV20" s="717">
        <v>0.24</v>
      </c>
      <c r="BW20" s="717">
        <v>0.2475</v>
      </c>
      <c r="BX20" s="717">
        <f t="shared" si="2"/>
        <v>-7.0000000000000007E-2</v>
      </c>
      <c r="BY20" s="717"/>
      <c r="BZ20" s="717">
        <f t="shared" si="3"/>
        <v>7.0000000000000007E-2</v>
      </c>
      <c r="CA20" s="757">
        <v>0</v>
      </c>
      <c r="CB20" s="716">
        <f t="shared" si="4"/>
        <v>0</v>
      </c>
      <c r="CC20" s="789">
        <f t="shared" si="5"/>
        <v>2.6549999999999998</v>
      </c>
      <c r="CD20" s="793">
        <f t="shared" si="6"/>
        <v>0.2475</v>
      </c>
    </row>
    <row r="21" spans="1:103" ht="13.8" x14ac:dyDescent="0.3">
      <c r="A21" s="553">
        <f t="shared" si="0"/>
        <v>37165</v>
      </c>
      <c r="B21" s="717">
        <v>6.9584614191969998E-2</v>
      </c>
      <c r="C21" s="459"/>
      <c r="D21" s="989">
        <v>36597</v>
      </c>
      <c r="E21" s="990">
        <v>32.9</v>
      </c>
      <c r="F21" s="990">
        <v>33.25</v>
      </c>
      <c r="G21" s="990">
        <v>33.6</v>
      </c>
      <c r="H21" s="977"/>
      <c r="I21" s="990">
        <v>20.324999999999999</v>
      </c>
      <c r="J21" s="990">
        <v>20.5</v>
      </c>
      <c r="K21" s="990">
        <v>20.675000000000001</v>
      </c>
      <c r="L21" s="12"/>
      <c r="M21" s="1004">
        <v>36892</v>
      </c>
      <c r="N21" s="991">
        <v>28.298748779296876</v>
      </c>
      <c r="O21" s="991">
        <v>28.748748779296875</v>
      </c>
      <c r="P21" s="991">
        <v>29.198748779296874</v>
      </c>
      <c r="Q21" s="21"/>
      <c r="R21" s="991">
        <v>24.752500534057617</v>
      </c>
      <c r="S21" s="991">
        <v>27.252500534057617</v>
      </c>
      <c r="T21" s="991">
        <v>29.752500534057617</v>
      </c>
      <c r="U21" s="21"/>
      <c r="V21" s="991">
        <v>1.2</v>
      </c>
      <c r="W21" s="991">
        <v>1.2</v>
      </c>
      <c r="X21" s="991">
        <v>1.2</v>
      </c>
      <c r="Y21" s="21"/>
      <c r="Z21" s="991">
        <v>0.14150000000000001</v>
      </c>
      <c r="AA21" s="991">
        <v>0.28300000000000003</v>
      </c>
      <c r="AB21" s="991">
        <v>0.42450000000000004</v>
      </c>
      <c r="AC21" s="21"/>
      <c r="AD21" s="991">
        <v>3.4300000000000004E-2</v>
      </c>
      <c r="AE21" s="991">
        <v>6.8600000000000008E-2</v>
      </c>
      <c r="AF21" s="991">
        <v>0.10290000000000002</v>
      </c>
      <c r="AG21" s="21"/>
      <c r="AH21" s="991">
        <v>-0.75</v>
      </c>
      <c r="AI21" s="991">
        <v>2</v>
      </c>
      <c r="AJ21" s="991">
        <v>0.75</v>
      </c>
      <c r="AK21" s="21"/>
      <c r="AL21" s="991">
        <v>-0.15</v>
      </c>
      <c r="AM21" s="991">
        <v>0.5</v>
      </c>
      <c r="AN21" s="991">
        <v>0.2</v>
      </c>
      <c r="AO21" s="21"/>
      <c r="AP21" s="12">
        <v>5</v>
      </c>
      <c r="AQ21" s="992">
        <v>0.15</v>
      </c>
      <c r="AR21" s="21"/>
      <c r="AS21" s="12">
        <v>1100</v>
      </c>
      <c r="AT21" s="993">
        <v>1.1752854504703492</v>
      </c>
      <c r="AU21" s="993">
        <v>1.1752854504703492</v>
      </c>
      <c r="AV21" s="993">
        <v>1.1653</v>
      </c>
      <c r="AW21" s="993">
        <v>1.1163355903593366</v>
      </c>
      <c r="AX21" s="993">
        <v>1.1254998619307197</v>
      </c>
      <c r="AY21" s="993">
        <v>0.98511093402675809</v>
      </c>
      <c r="AZ21" s="993">
        <v>0.88155973155887868</v>
      </c>
      <c r="BA21" s="993">
        <v>1.0488791320133406</v>
      </c>
      <c r="BB21" s="993">
        <v>1.012945635654515</v>
      </c>
      <c r="BC21" s="993">
        <v>1.1227</v>
      </c>
      <c r="BD21" s="993">
        <v>1.1133</v>
      </c>
      <c r="BE21" s="993">
        <v>1.1327</v>
      </c>
      <c r="BF21" s="12" t="s">
        <v>125</v>
      </c>
      <c r="BH21" s="390">
        <v>6</v>
      </c>
      <c r="BI21" s="389">
        <v>0.08</v>
      </c>
      <c r="BJ21" s="395"/>
      <c r="BK21"/>
      <c r="BL21"/>
      <c r="BM21"/>
      <c r="BN21"/>
      <c r="BO21"/>
      <c r="BP21"/>
      <c r="BQ21" s="553">
        <f t="shared" si="1"/>
        <v>37073</v>
      </c>
      <c r="BR21" s="716">
        <v>2.665</v>
      </c>
      <c r="BS21" s="716">
        <v>2.67</v>
      </c>
      <c r="BT21" s="716">
        <v>2.6749999999999998</v>
      </c>
      <c r="BU21" s="717">
        <v>0.23</v>
      </c>
      <c r="BV21" s="717">
        <v>0.23749999999999999</v>
      </c>
      <c r="BW21" s="717">
        <v>0.245</v>
      </c>
      <c r="BX21" s="717">
        <f t="shared" si="2"/>
        <v>-7.0000000000000007E-2</v>
      </c>
      <c r="BY21" s="717"/>
      <c r="BZ21" s="717">
        <f t="shared" si="3"/>
        <v>7.0000000000000007E-2</v>
      </c>
      <c r="CA21" s="757">
        <v>0</v>
      </c>
      <c r="CB21" s="716">
        <f t="shared" si="4"/>
        <v>0</v>
      </c>
      <c r="CC21" s="789">
        <f t="shared" si="5"/>
        <v>2.665</v>
      </c>
      <c r="CD21" s="793">
        <f t="shared" si="6"/>
        <v>0.245</v>
      </c>
    </row>
    <row r="22" spans="1:103" ht="13.8" x14ac:dyDescent="0.3">
      <c r="A22" s="553">
        <f t="shared" si="0"/>
        <v>37196</v>
      </c>
      <c r="B22" s="717">
        <v>6.9813795169925003E-2</v>
      </c>
      <c r="C22" s="459"/>
      <c r="D22" s="989">
        <v>36598</v>
      </c>
      <c r="E22" s="990">
        <v>32.9</v>
      </c>
      <c r="F22" s="990">
        <v>33.25</v>
      </c>
      <c r="G22" s="990">
        <v>33.6</v>
      </c>
      <c r="H22" s="977"/>
      <c r="I22" s="990">
        <v>20.324999999999999</v>
      </c>
      <c r="J22" s="990">
        <v>20.5</v>
      </c>
      <c r="K22" s="990">
        <v>20.675000000000001</v>
      </c>
      <c r="L22" s="12"/>
      <c r="M22" s="1004">
        <v>36923</v>
      </c>
      <c r="N22" s="991">
        <v>27.296250152587891</v>
      </c>
      <c r="O22" s="991">
        <v>27.746250152587891</v>
      </c>
      <c r="P22" s="991">
        <v>28.19625015258789</v>
      </c>
      <c r="Q22" s="21"/>
      <c r="R22" s="991">
        <v>22.747499465942383</v>
      </c>
      <c r="S22" s="991">
        <v>25.247499465942383</v>
      </c>
      <c r="T22" s="991">
        <v>27.747499465942383</v>
      </c>
      <c r="U22" s="21"/>
      <c r="V22" s="991">
        <v>0.7</v>
      </c>
      <c r="W22" s="991">
        <v>0.7</v>
      </c>
      <c r="X22" s="991">
        <v>0.7</v>
      </c>
      <c r="Y22" s="21"/>
      <c r="Z22" s="991">
        <v>0.13650000000000001</v>
      </c>
      <c r="AA22" s="991">
        <v>0.27300000000000002</v>
      </c>
      <c r="AB22" s="991">
        <v>0.40950000000000003</v>
      </c>
      <c r="AC22" s="21"/>
      <c r="AD22" s="991">
        <v>3.4300000000000004E-2</v>
      </c>
      <c r="AE22" s="991">
        <v>6.8600000000000008E-2</v>
      </c>
      <c r="AF22" s="991">
        <v>0.10290000000000002</v>
      </c>
      <c r="AG22" s="21"/>
      <c r="AH22" s="991">
        <v>-0.75</v>
      </c>
      <c r="AI22" s="991">
        <v>2</v>
      </c>
      <c r="AJ22" s="991">
        <v>0.75</v>
      </c>
      <c r="AK22" s="21"/>
      <c r="AL22" s="991">
        <v>-0.15</v>
      </c>
      <c r="AM22" s="991">
        <v>0.5</v>
      </c>
      <c r="AN22" s="991">
        <v>0.2</v>
      </c>
      <c r="AO22" s="21"/>
      <c r="AP22" s="12">
        <v>5</v>
      </c>
      <c r="AQ22" s="992">
        <v>0.15</v>
      </c>
      <c r="AR22" s="21"/>
      <c r="AS22" s="12">
        <v>1200</v>
      </c>
      <c r="AT22" s="993">
        <v>0.88039999999999996</v>
      </c>
      <c r="AU22" s="993">
        <v>0.88039999999999996</v>
      </c>
      <c r="AV22" s="993">
        <v>0.89039999999999997</v>
      </c>
      <c r="AW22" s="993">
        <v>1.1185245467924647</v>
      </c>
      <c r="AX22" s="993">
        <v>1.1169907033351396</v>
      </c>
      <c r="AY22" s="993">
        <v>1.0624166422010652</v>
      </c>
      <c r="AZ22" s="993">
        <v>1.0539439364924221</v>
      </c>
      <c r="BA22" s="993">
        <v>1.0933254527800058</v>
      </c>
      <c r="BB22" s="993">
        <v>1.0793034625455484</v>
      </c>
      <c r="BC22" s="993">
        <v>0.94740000000000002</v>
      </c>
      <c r="BD22" s="993">
        <v>0.93740000000000001</v>
      </c>
      <c r="BE22" s="993">
        <v>0.9204</v>
      </c>
      <c r="BF22" s="12" t="s">
        <v>125</v>
      </c>
      <c r="BH22" s="390">
        <v>7</v>
      </c>
      <c r="BI22" s="389">
        <v>0.1</v>
      </c>
      <c r="BJ22" s="395"/>
      <c r="BK22"/>
      <c r="BL22"/>
      <c r="BM22"/>
      <c r="BN22"/>
      <c r="BO22"/>
      <c r="BP22"/>
      <c r="BQ22" s="553">
        <f t="shared" si="1"/>
        <v>37104</v>
      </c>
      <c r="BR22" s="716">
        <v>2.6720000000000002</v>
      </c>
      <c r="BS22" s="716">
        <v>2.677</v>
      </c>
      <c r="BT22" s="716">
        <v>2.6819999999999999</v>
      </c>
      <c r="BU22" s="717">
        <v>0.23</v>
      </c>
      <c r="BV22" s="717">
        <v>0.23749999999999999</v>
      </c>
      <c r="BW22" s="717">
        <v>0.245</v>
      </c>
      <c r="BX22" s="717">
        <f t="shared" si="2"/>
        <v>-7.0000000000000007E-2</v>
      </c>
      <c r="BY22" s="717"/>
      <c r="BZ22" s="717">
        <f t="shared" si="3"/>
        <v>7.0000000000000007E-2</v>
      </c>
      <c r="CA22" s="757">
        <v>0</v>
      </c>
      <c r="CB22" s="716">
        <f t="shared" si="4"/>
        <v>0</v>
      </c>
      <c r="CC22" s="789">
        <f t="shared" si="5"/>
        <v>2.6720000000000002</v>
      </c>
      <c r="CD22" s="793">
        <f t="shared" si="6"/>
        <v>0.245</v>
      </c>
    </row>
    <row r="23" spans="1:103" ht="13.8" x14ac:dyDescent="0.3">
      <c r="A23" s="553">
        <f t="shared" si="0"/>
        <v>37226</v>
      </c>
      <c r="B23" s="717">
        <v>7.0035583229644996E-2</v>
      </c>
      <c r="C23" s="459"/>
      <c r="D23" s="989">
        <v>36599</v>
      </c>
      <c r="E23" s="990">
        <v>32.9</v>
      </c>
      <c r="F23" s="990">
        <v>33.25</v>
      </c>
      <c r="G23" s="990">
        <v>33.6</v>
      </c>
      <c r="H23" s="977"/>
      <c r="I23" s="990">
        <v>20.324999999999999</v>
      </c>
      <c r="J23" s="990">
        <v>20.5</v>
      </c>
      <c r="K23" s="990">
        <v>20.675000000000001</v>
      </c>
      <c r="L23" s="12"/>
      <c r="M23" s="1004">
        <v>36951</v>
      </c>
      <c r="N23" s="991">
        <v>20.634749603271484</v>
      </c>
      <c r="O23" s="991">
        <v>20.934749603271484</v>
      </c>
      <c r="P23" s="991">
        <v>21.234749603271485</v>
      </c>
      <c r="Q23" s="21"/>
      <c r="R23" s="991">
        <v>18.064498901367188</v>
      </c>
      <c r="S23" s="991">
        <v>20.564498901367188</v>
      </c>
      <c r="T23" s="991">
        <v>23.064498901367188</v>
      </c>
      <c r="U23" s="21"/>
      <c r="V23" s="991">
        <v>0.7</v>
      </c>
      <c r="W23" s="991">
        <v>0.7</v>
      </c>
      <c r="X23" s="991">
        <v>0.7</v>
      </c>
      <c r="Y23" s="21"/>
      <c r="Z23" s="991">
        <v>0.13286250000000002</v>
      </c>
      <c r="AA23" s="991">
        <v>0.26572500000000004</v>
      </c>
      <c r="AB23" s="991">
        <v>0.39858750000000009</v>
      </c>
      <c r="AC23" s="21"/>
      <c r="AD23" s="991">
        <v>2.9399999999999999E-2</v>
      </c>
      <c r="AE23" s="991">
        <v>5.8799999999999998E-2</v>
      </c>
      <c r="AF23" s="991">
        <v>8.8200000000000001E-2</v>
      </c>
      <c r="AG23" s="21"/>
      <c r="AH23" s="991">
        <v>-0.25</v>
      </c>
      <c r="AI23" s="991">
        <v>1.3</v>
      </c>
      <c r="AJ23" s="991">
        <v>0.3</v>
      </c>
      <c r="AK23" s="21"/>
      <c r="AL23" s="991">
        <v>-0.15</v>
      </c>
      <c r="AM23" s="991">
        <v>0.35</v>
      </c>
      <c r="AN23" s="991">
        <v>0.2</v>
      </c>
      <c r="AO23" s="21"/>
      <c r="AP23" s="12">
        <v>5</v>
      </c>
      <c r="AQ23" s="992">
        <v>0.15</v>
      </c>
      <c r="AR23" s="21"/>
      <c r="AS23" s="12">
        <v>1300</v>
      </c>
      <c r="AT23" s="993">
        <v>0.8548</v>
      </c>
      <c r="AU23" s="993">
        <v>0.8548</v>
      </c>
      <c r="AV23" s="993">
        <v>0.86480000000000001</v>
      </c>
      <c r="AW23" s="993">
        <v>1.0164322625621052</v>
      </c>
      <c r="AX23" s="993">
        <v>1.0525174632070931</v>
      </c>
      <c r="AY23" s="993">
        <v>1.1040221448643206</v>
      </c>
      <c r="AZ23" s="993">
        <v>1.1615931446365755</v>
      </c>
      <c r="BA23" s="993">
        <v>1.0846793599864903</v>
      </c>
      <c r="BB23" s="993">
        <v>1.0205628696464217</v>
      </c>
      <c r="BC23" s="993">
        <v>0.88990000000000002</v>
      </c>
      <c r="BD23" s="993">
        <v>0.88290000000000002</v>
      </c>
      <c r="BE23" s="993">
        <v>0.87490000000000001</v>
      </c>
      <c r="BF23" s="12" t="s">
        <v>125</v>
      </c>
      <c r="BH23" s="390">
        <v>8</v>
      </c>
      <c r="BI23" s="389">
        <v>0.12</v>
      </c>
      <c r="BJ23" s="395"/>
      <c r="BK23"/>
      <c r="BL23"/>
      <c r="BM23"/>
      <c r="BN23"/>
      <c r="BO23"/>
      <c r="BP23"/>
      <c r="BQ23" s="553">
        <f t="shared" si="1"/>
        <v>37135</v>
      </c>
      <c r="BR23" s="716">
        <v>2.68</v>
      </c>
      <c r="BS23" s="716">
        <v>2.6850000000000001</v>
      </c>
      <c r="BT23" s="716">
        <v>2.69</v>
      </c>
      <c r="BU23" s="717">
        <v>0.23</v>
      </c>
      <c r="BV23" s="717">
        <v>0.23749999999999999</v>
      </c>
      <c r="BW23" s="717">
        <v>0.245</v>
      </c>
      <c r="BX23" s="717">
        <f t="shared" ref="BX23:BX38" si="7">BY23-$BX$4</f>
        <v>-7.0000000000000007E-2</v>
      </c>
      <c r="BY23" s="717"/>
      <c r="BZ23" s="717">
        <f t="shared" ref="BZ23:BZ38" si="8">BY23+$BZ$4</f>
        <v>7.0000000000000007E-2</v>
      </c>
      <c r="CA23" s="757">
        <v>0</v>
      </c>
      <c r="CB23" s="716">
        <f t="shared" ref="CB23:CB38" si="9">GasBasis</f>
        <v>0</v>
      </c>
      <c r="CC23" s="789">
        <f t="shared" ref="CC23:CC38" si="10">(IF(GasPriceCurve,IF(OBuySell=OCallPut,BT23,BR23),BS23)+CA23/1000+CB23)/(1-GasTransportPercent)</f>
        <v>2.68</v>
      </c>
      <c r="CD23" s="793">
        <f t="shared" ref="CD23:CD38" si="11">IF(GasVolOver,GasVolOver,IF(OVolType=2,IF(OR(BU23="",BV23="",BW23=""),CD22,IF(GasVolCurve,IF(OBuySell,BU23,BW23),BV23)*GasVolAsPercentOfNYMEX),IF(OR(BU23="",BV23="",BW23="",BY23=""),CD22,SQRT(((IF(GasVolCurve,IF(OBuySell,BU23,BW23),BV23)*GasVolAsPercentOfNYMEX)^2*(BQ23-DateToday-1)+IF(GasVolCurve,IF(OBuySell,BX23,BZ23),BY23)^2*15)/(BQ23-DateToday+14))))+GasVolSpread)</f>
        <v>0.245</v>
      </c>
    </row>
    <row r="24" spans="1:103" ht="13.8" x14ac:dyDescent="0.3">
      <c r="A24" s="553">
        <f t="shared" si="0"/>
        <v>37257</v>
      </c>
      <c r="B24" s="717">
        <v>7.0252861138366998E-2</v>
      </c>
      <c r="C24" s="459"/>
      <c r="D24" s="989">
        <v>36600</v>
      </c>
      <c r="E24" s="990">
        <v>32.9</v>
      </c>
      <c r="F24" s="990">
        <v>33.25</v>
      </c>
      <c r="G24" s="990">
        <v>33.6</v>
      </c>
      <c r="H24" s="977"/>
      <c r="I24" s="990">
        <v>20.324999999999999</v>
      </c>
      <c r="J24" s="990">
        <v>20.5</v>
      </c>
      <c r="K24" s="990">
        <v>20.675000000000001</v>
      </c>
      <c r="L24" s="12"/>
      <c r="M24" s="1004">
        <v>36982</v>
      </c>
      <c r="N24" s="991">
        <v>21.430000305175781</v>
      </c>
      <c r="O24" s="991">
        <v>21.617500305175781</v>
      </c>
      <c r="P24" s="991">
        <v>21.805000305175781</v>
      </c>
      <c r="Q24" s="21"/>
      <c r="R24" s="991">
        <v>17.834999084472656</v>
      </c>
      <c r="S24" s="991">
        <v>20.334999084472656</v>
      </c>
      <c r="T24" s="991">
        <v>22.834999084472656</v>
      </c>
      <c r="U24" s="21"/>
      <c r="V24" s="991">
        <v>0.7</v>
      </c>
      <c r="W24" s="991">
        <v>0.7</v>
      </c>
      <c r="X24" s="991">
        <v>0.7</v>
      </c>
      <c r="Y24" s="21"/>
      <c r="Z24" s="991">
        <v>0.11857500000000001</v>
      </c>
      <c r="AA24" s="991">
        <v>0.23715000000000003</v>
      </c>
      <c r="AB24" s="991">
        <v>0.35572500000000007</v>
      </c>
      <c r="AC24" s="21"/>
      <c r="AD24" s="991">
        <v>2.9399999999999999E-2</v>
      </c>
      <c r="AE24" s="991">
        <v>5.8799999999999998E-2</v>
      </c>
      <c r="AF24" s="991">
        <v>8.8200000000000001E-2</v>
      </c>
      <c r="AG24" s="21"/>
      <c r="AH24" s="991">
        <v>-0.25</v>
      </c>
      <c r="AI24" s="991">
        <v>1.1000000000000001</v>
      </c>
      <c r="AJ24" s="991">
        <v>0.3</v>
      </c>
      <c r="AK24" s="21"/>
      <c r="AL24" s="991">
        <v>-0.15</v>
      </c>
      <c r="AM24" s="991">
        <v>0.35</v>
      </c>
      <c r="AN24" s="991">
        <v>0.2</v>
      </c>
      <c r="AO24" s="21"/>
      <c r="AP24" s="12">
        <v>6</v>
      </c>
      <c r="AQ24" s="992">
        <v>0.15</v>
      </c>
      <c r="AR24" s="21"/>
      <c r="AS24" s="12">
        <v>1400</v>
      </c>
      <c r="AT24" s="993">
        <v>0.82720000000000005</v>
      </c>
      <c r="AU24" s="993">
        <v>0.82720000000000005</v>
      </c>
      <c r="AV24" s="993">
        <v>0.83720000000000006</v>
      </c>
      <c r="AW24" s="993">
        <v>1.0175267407786688</v>
      </c>
      <c r="AX24" s="993">
        <v>1.0575902308313812</v>
      </c>
      <c r="AY24" s="993">
        <v>1.2209201862181771</v>
      </c>
      <c r="AZ24" s="993">
        <v>1.2006887185402797</v>
      </c>
      <c r="BA24" s="993">
        <v>1.1907290919069531</v>
      </c>
      <c r="BB24" s="993">
        <v>1.1047918993646206</v>
      </c>
      <c r="BC24" s="993">
        <v>0.86519999999999997</v>
      </c>
      <c r="BD24" s="993">
        <v>0.85919999999999996</v>
      </c>
      <c r="BE24" s="993">
        <v>0.83720000000000006</v>
      </c>
      <c r="BF24" s="12" t="s">
        <v>125</v>
      </c>
      <c r="BH24" s="390">
        <v>9</v>
      </c>
      <c r="BI24" s="389">
        <v>0.14000000000000001</v>
      </c>
      <c r="BJ24" s="395"/>
      <c r="BK24"/>
      <c r="BL24"/>
      <c r="BM24"/>
      <c r="BN24"/>
      <c r="BO24"/>
      <c r="BP24"/>
      <c r="BQ24" s="553">
        <f t="shared" si="1"/>
        <v>37165</v>
      </c>
      <c r="BR24" s="716">
        <v>2.7160000000000002</v>
      </c>
      <c r="BS24" s="716">
        <v>2.7210000000000001</v>
      </c>
      <c r="BT24" s="716">
        <v>2.726</v>
      </c>
      <c r="BU24" s="717">
        <v>0.23250000000000001</v>
      </c>
      <c r="BV24" s="717">
        <v>0.24</v>
      </c>
      <c r="BW24" s="717">
        <v>0.2475</v>
      </c>
      <c r="BX24" s="717">
        <f t="shared" si="7"/>
        <v>-7.0000000000000007E-2</v>
      </c>
      <c r="BY24" s="717"/>
      <c r="BZ24" s="717">
        <f t="shared" si="8"/>
        <v>7.0000000000000007E-2</v>
      </c>
      <c r="CA24" s="757">
        <v>0</v>
      </c>
      <c r="CB24" s="716">
        <f t="shared" si="9"/>
        <v>0</v>
      </c>
      <c r="CC24" s="789">
        <f t="shared" si="10"/>
        <v>2.7160000000000002</v>
      </c>
      <c r="CD24" s="793">
        <f t="shared" si="11"/>
        <v>0.2475</v>
      </c>
    </row>
    <row r="25" spans="1:103" ht="14.4" thickBot="1" x14ac:dyDescent="0.35">
      <c r="A25" s="553">
        <f t="shared" si="0"/>
        <v>37288</v>
      </c>
      <c r="B25" s="717">
        <v>7.0453657841486009E-2</v>
      </c>
      <c r="C25" s="459"/>
      <c r="D25" s="989">
        <v>36601</v>
      </c>
      <c r="E25" s="990">
        <v>32.9</v>
      </c>
      <c r="F25" s="990">
        <v>33.25</v>
      </c>
      <c r="G25" s="990">
        <v>33.6</v>
      </c>
      <c r="H25" s="977"/>
      <c r="I25" s="990">
        <v>20.324999999999999</v>
      </c>
      <c r="J25" s="990">
        <v>20.5</v>
      </c>
      <c r="K25" s="990">
        <v>20.675000000000001</v>
      </c>
      <c r="L25" s="12"/>
      <c r="M25" s="1004">
        <v>37012</v>
      </c>
      <c r="N25" s="991">
        <v>21.132500076293944</v>
      </c>
      <c r="O25" s="991">
        <v>21.732500076293945</v>
      </c>
      <c r="P25" s="991">
        <v>22.332500076293947</v>
      </c>
      <c r="Q25" s="21"/>
      <c r="R25" s="991">
        <v>18.364999771118164</v>
      </c>
      <c r="S25" s="991">
        <v>20.864999771118164</v>
      </c>
      <c r="T25" s="991">
        <v>23.364999771118164</v>
      </c>
      <c r="U25" s="21"/>
      <c r="V25" s="991">
        <v>0.7</v>
      </c>
      <c r="W25" s="991">
        <v>0.7</v>
      </c>
      <c r="X25" s="991">
        <v>0.7</v>
      </c>
      <c r="Y25" s="21"/>
      <c r="Z25" s="991">
        <v>0.136575</v>
      </c>
      <c r="AA25" s="991">
        <v>0.27315</v>
      </c>
      <c r="AB25" s="991">
        <v>0.40972500000000001</v>
      </c>
      <c r="AC25" s="21"/>
      <c r="AD25" s="991">
        <v>3.4300000000000004E-2</v>
      </c>
      <c r="AE25" s="991">
        <v>6.8600000000000008E-2</v>
      </c>
      <c r="AF25" s="991">
        <v>0.10290000000000002</v>
      </c>
      <c r="AG25" s="21"/>
      <c r="AH25" s="991">
        <v>-0.25</v>
      </c>
      <c r="AI25" s="991">
        <v>1.1000000000000001</v>
      </c>
      <c r="AJ25" s="991">
        <v>0.3</v>
      </c>
      <c r="AK25" s="21"/>
      <c r="AL25" s="991">
        <v>-0.15</v>
      </c>
      <c r="AM25" s="991">
        <v>0.5</v>
      </c>
      <c r="AN25" s="991">
        <v>0.2</v>
      </c>
      <c r="AO25" s="21"/>
      <c r="AP25" s="12">
        <v>6</v>
      </c>
      <c r="AQ25" s="992">
        <v>0.15</v>
      </c>
      <c r="AR25" s="21"/>
      <c r="AS25" s="12">
        <v>1500</v>
      </c>
      <c r="AT25" s="993">
        <v>0.78510000000000002</v>
      </c>
      <c r="AU25" s="993">
        <v>0.78510000000000002</v>
      </c>
      <c r="AV25" s="993">
        <v>0.79510000000000003</v>
      </c>
      <c r="AW25" s="993">
        <v>0.95436890957577869</v>
      </c>
      <c r="AX25" s="993">
        <v>1.0258445237632567</v>
      </c>
      <c r="AY25" s="993">
        <v>1.2303149771421382</v>
      </c>
      <c r="AZ25" s="993">
        <v>1.2506946851612968</v>
      </c>
      <c r="BA25" s="993">
        <v>1.26057331025457</v>
      </c>
      <c r="BB25" s="993">
        <v>1.087360152344681</v>
      </c>
      <c r="BC25" s="993">
        <v>0.84509999999999996</v>
      </c>
      <c r="BD25" s="993">
        <v>0.83909999999999996</v>
      </c>
      <c r="BE25" s="993">
        <v>0.79510000000000003</v>
      </c>
      <c r="BF25" s="12" t="s">
        <v>125</v>
      </c>
      <c r="BH25" s="391">
        <v>10</v>
      </c>
      <c r="BI25" s="392">
        <v>0.16</v>
      </c>
      <c r="BJ25" s="395"/>
      <c r="BK25"/>
      <c r="BL25"/>
      <c r="BM25"/>
      <c r="BN25"/>
      <c r="BO25"/>
      <c r="BP25"/>
      <c r="BQ25" s="553">
        <f t="shared" si="1"/>
        <v>37196</v>
      </c>
      <c r="BR25" s="716">
        <v>2.839</v>
      </c>
      <c r="BS25" s="716">
        <v>2.8440000000000003</v>
      </c>
      <c r="BT25" s="716">
        <v>2.8490000000000002</v>
      </c>
      <c r="BU25" s="717">
        <v>0.23250000000000001</v>
      </c>
      <c r="BV25" s="717">
        <v>0.24</v>
      </c>
      <c r="BW25" s="717">
        <v>0.2475</v>
      </c>
      <c r="BX25" s="717">
        <f t="shared" si="7"/>
        <v>-7.0000000000000007E-2</v>
      </c>
      <c r="BY25" s="717"/>
      <c r="BZ25" s="717">
        <f t="shared" si="8"/>
        <v>7.0000000000000007E-2</v>
      </c>
      <c r="CA25" s="757">
        <v>0</v>
      </c>
      <c r="CB25" s="716">
        <f t="shared" si="9"/>
        <v>0</v>
      </c>
      <c r="CC25" s="789">
        <f t="shared" si="10"/>
        <v>2.839</v>
      </c>
      <c r="CD25" s="793">
        <f t="shared" si="11"/>
        <v>0.2475</v>
      </c>
    </row>
    <row r="26" spans="1:103" ht="13.8" x14ac:dyDescent="0.3">
      <c r="A26" s="553">
        <f t="shared" si="0"/>
        <v>37316</v>
      </c>
      <c r="B26" s="717">
        <v>7.0635022617049001E-2</v>
      </c>
      <c r="C26" s="459"/>
      <c r="D26" s="989">
        <v>36602</v>
      </c>
      <c r="E26" s="990">
        <v>32.9</v>
      </c>
      <c r="F26" s="990">
        <v>33.25</v>
      </c>
      <c r="G26" s="990">
        <v>33.6</v>
      </c>
      <c r="H26" s="977"/>
      <c r="I26" s="990">
        <v>20.324999999999999</v>
      </c>
      <c r="J26" s="990">
        <v>20.5</v>
      </c>
      <c r="K26" s="990">
        <v>20.675000000000001</v>
      </c>
      <c r="L26" s="12"/>
      <c r="M26" s="1004">
        <v>37043</v>
      </c>
      <c r="N26" s="991">
        <v>24.583750152587889</v>
      </c>
      <c r="O26" s="991">
        <v>26.308750152587891</v>
      </c>
      <c r="P26" s="991">
        <v>28.033750152587892</v>
      </c>
      <c r="Q26" s="21"/>
      <c r="R26" s="991">
        <v>17.292499542236328</v>
      </c>
      <c r="S26" s="991">
        <v>19.792499542236328</v>
      </c>
      <c r="T26" s="991">
        <v>22.292499542236328</v>
      </c>
      <c r="U26" s="21"/>
      <c r="V26" s="991">
        <v>0.7</v>
      </c>
      <c r="W26" s="991">
        <v>0.7</v>
      </c>
      <c r="X26" s="991">
        <v>0.7</v>
      </c>
      <c r="Y26" s="21"/>
      <c r="Z26" s="991">
        <v>0.1711125</v>
      </c>
      <c r="AA26" s="991">
        <v>0.342225</v>
      </c>
      <c r="AB26" s="991">
        <v>0.5133375</v>
      </c>
      <c r="AC26" s="21"/>
      <c r="AD26" s="991">
        <v>4.41E-2</v>
      </c>
      <c r="AE26" s="991">
        <v>8.8200000000000001E-2</v>
      </c>
      <c r="AF26" s="991">
        <v>0.1323</v>
      </c>
      <c r="AG26" s="21"/>
      <c r="AH26" s="991">
        <v>-0.35</v>
      </c>
      <c r="AI26" s="991">
        <v>2.25</v>
      </c>
      <c r="AJ26" s="991">
        <v>0.3</v>
      </c>
      <c r="AK26" s="21"/>
      <c r="AL26" s="991">
        <v>-0.15</v>
      </c>
      <c r="AM26" s="991">
        <v>0.65</v>
      </c>
      <c r="AN26" s="991">
        <v>0.2</v>
      </c>
      <c r="AO26" s="21"/>
      <c r="AP26" s="12">
        <v>6</v>
      </c>
      <c r="AQ26" s="992">
        <v>0.15</v>
      </c>
      <c r="AR26" s="21"/>
      <c r="AS26" s="12">
        <v>1600</v>
      </c>
      <c r="AT26" s="993">
        <v>0.76929999999999998</v>
      </c>
      <c r="AU26" s="993">
        <v>0.76929999999999998</v>
      </c>
      <c r="AV26" s="993">
        <v>0.77929999999999999</v>
      </c>
      <c r="AW26" s="993">
        <v>0.89196755596374933</v>
      </c>
      <c r="AX26" s="993">
        <v>0.98591693343015174</v>
      </c>
      <c r="AY26" s="993">
        <v>1.2323281466258438</v>
      </c>
      <c r="AZ26" s="993">
        <v>1.3273401940004199</v>
      </c>
      <c r="BA26" s="993">
        <v>1.2430109342677418</v>
      </c>
      <c r="BB26" s="993">
        <v>1.0533755699192509</v>
      </c>
      <c r="BC26" s="993">
        <v>0.83930000000000005</v>
      </c>
      <c r="BD26" s="993">
        <v>0.82530000000000003</v>
      </c>
      <c r="BE26" s="993">
        <v>0.78129999999999999</v>
      </c>
      <c r="BF26" s="12" t="s">
        <v>125</v>
      </c>
      <c r="BH26" s="20"/>
      <c r="BI26" s="20"/>
      <c r="BJ26" s="395"/>
      <c r="BK26"/>
      <c r="BL26"/>
      <c r="BM26"/>
      <c r="BN26"/>
      <c r="BO26"/>
      <c r="BP26"/>
      <c r="BQ26" s="553">
        <f t="shared" si="1"/>
        <v>37226</v>
      </c>
      <c r="BR26" s="716">
        <v>2.9690000000000003</v>
      </c>
      <c r="BS26" s="716">
        <v>2.9740000000000002</v>
      </c>
      <c r="BT26" s="716">
        <v>2.9790000000000001</v>
      </c>
      <c r="BU26" s="717">
        <v>0.23499999999999999</v>
      </c>
      <c r="BV26" s="717">
        <v>0.24249999999999999</v>
      </c>
      <c r="BW26" s="717">
        <v>0.25</v>
      </c>
      <c r="BX26" s="717">
        <f t="shared" si="7"/>
        <v>-7.0000000000000007E-2</v>
      </c>
      <c r="BY26" s="717"/>
      <c r="BZ26" s="717">
        <f t="shared" si="8"/>
        <v>7.0000000000000007E-2</v>
      </c>
      <c r="CA26" s="757">
        <v>0</v>
      </c>
      <c r="CB26" s="716">
        <f t="shared" si="9"/>
        <v>0</v>
      </c>
      <c r="CC26" s="789">
        <f t="shared" si="10"/>
        <v>2.9690000000000003</v>
      </c>
      <c r="CD26" s="793">
        <f t="shared" si="11"/>
        <v>0.25</v>
      </c>
    </row>
    <row r="27" spans="1:103" ht="13.8" x14ac:dyDescent="0.3">
      <c r="A27" s="553">
        <f t="shared" si="0"/>
        <v>37347</v>
      </c>
      <c r="B27" s="717">
        <v>7.0812521572685999E-2</v>
      </c>
      <c r="C27" s="459"/>
      <c r="D27" s="989">
        <v>36603</v>
      </c>
      <c r="E27" s="990">
        <v>32.9</v>
      </c>
      <c r="F27" s="990">
        <v>33.25</v>
      </c>
      <c r="G27" s="990">
        <v>33.6</v>
      </c>
      <c r="H27" s="977"/>
      <c r="I27" s="990">
        <v>20.324999999999999</v>
      </c>
      <c r="J27" s="990">
        <v>20.5</v>
      </c>
      <c r="K27" s="990">
        <v>20.675000000000001</v>
      </c>
      <c r="L27" s="12"/>
      <c r="M27" s="1004">
        <v>37073</v>
      </c>
      <c r="N27" s="991">
        <v>38.511249542236328</v>
      </c>
      <c r="O27" s="991">
        <v>40.761249542236328</v>
      </c>
      <c r="P27" s="991">
        <v>43.011249542236328</v>
      </c>
      <c r="Q27" s="21"/>
      <c r="R27" s="991">
        <v>27.747499465942383</v>
      </c>
      <c r="S27" s="991">
        <v>30.247499465942383</v>
      </c>
      <c r="T27" s="991">
        <v>32.747499465942383</v>
      </c>
      <c r="U27" s="21"/>
      <c r="V27" s="991">
        <v>0.7</v>
      </c>
      <c r="W27" s="991">
        <v>0.7</v>
      </c>
      <c r="X27" s="991">
        <v>0.7</v>
      </c>
      <c r="Y27" s="21"/>
      <c r="Z27" s="991">
        <v>0.2026125</v>
      </c>
      <c r="AA27" s="991">
        <v>0.405225</v>
      </c>
      <c r="AB27" s="991">
        <v>0.60783750000000003</v>
      </c>
      <c r="AC27" s="21"/>
      <c r="AD27" s="991">
        <v>5.8799999999999998E-2</v>
      </c>
      <c r="AE27" s="991">
        <v>0.1176</v>
      </c>
      <c r="AF27" s="991">
        <v>0.1764</v>
      </c>
      <c r="AG27" s="21"/>
      <c r="AH27" s="991">
        <v>-0.35</v>
      </c>
      <c r="AI27" s="991">
        <v>3.75</v>
      </c>
      <c r="AJ27" s="991">
        <v>0.5</v>
      </c>
      <c r="AK27" s="21"/>
      <c r="AL27" s="991">
        <v>-0.15</v>
      </c>
      <c r="AM27" s="991">
        <v>0.75</v>
      </c>
      <c r="AN27" s="991">
        <v>0.2</v>
      </c>
      <c r="AO27" s="21"/>
      <c r="AP27" s="12">
        <v>7</v>
      </c>
      <c r="AQ27" s="992">
        <v>0.2</v>
      </c>
      <c r="AR27" s="21"/>
      <c r="AS27" s="12">
        <v>1700</v>
      </c>
      <c r="AT27" s="993">
        <v>0.83960000000000001</v>
      </c>
      <c r="AU27" s="993">
        <v>0.83960000000000001</v>
      </c>
      <c r="AV27" s="993">
        <v>0.84960000000000002</v>
      </c>
      <c r="AW27" s="993">
        <v>0.87001361056090987</v>
      </c>
      <c r="AX27" s="993">
        <v>0.9993352219847198</v>
      </c>
      <c r="AY27" s="993">
        <v>1.2523256301639896</v>
      </c>
      <c r="AZ27" s="993">
        <v>1.3538888162792144</v>
      </c>
      <c r="BA27" s="993">
        <v>1.2150462278887151</v>
      </c>
      <c r="BB27" s="993">
        <v>1.1345284089868721</v>
      </c>
      <c r="BC27" s="993">
        <v>0.88959999999999995</v>
      </c>
      <c r="BD27" s="993">
        <v>0.88660000000000005</v>
      </c>
      <c r="BE27" s="993">
        <v>0.87960000000000005</v>
      </c>
      <c r="BF27" s="12" t="s">
        <v>125</v>
      </c>
      <c r="BH27" s="20"/>
      <c r="BI27" s="20"/>
      <c r="BJ27" s="395"/>
      <c r="BK27"/>
      <c r="BL27"/>
      <c r="BM27"/>
      <c r="BN27"/>
      <c r="BO27"/>
      <c r="BP27"/>
      <c r="BQ27" s="553">
        <f t="shared" si="1"/>
        <v>37257</v>
      </c>
      <c r="BR27" s="716">
        <v>3.0010000000000003</v>
      </c>
      <c r="BS27" s="716">
        <v>3.0060000000000002</v>
      </c>
      <c r="BT27" s="716">
        <v>3.0110000000000001</v>
      </c>
      <c r="BU27" s="717">
        <v>0.23749999999999999</v>
      </c>
      <c r="BV27" s="717">
        <v>0.245</v>
      </c>
      <c r="BW27" s="717">
        <v>0.2525</v>
      </c>
      <c r="BX27" s="717">
        <f t="shared" si="7"/>
        <v>-7.0000000000000007E-2</v>
      </c>
      <c r="BY27" s="717"/>
      <c r="BZ27" s="717">
        <f t="shared" si="8"/>
        <v>7.0000000000000007E-2</v>
      </c>
      <c r="CA27" s="757">
        <v>0</v>
      </c>
      <c r="CB27" s="716">
        <f t="shared" si="9"/>
        <v>0</v>
      </c>
      <c r="CC27" s="789">
        <f t="shared" si="10"/>
        <v>3.0010000000000003</v>
      </c>
      <c r="CD27" s="793">
        <f t="shared" si="11"/>
        <v>0.2525</v>
      </c>
    </row>
    <row r="28" spans="1:103" ht="13.8" x14ac:dyDescent="0.3">
      <c r="A28" s="553">
        <f t="shared" si="0"/>
        <v>37377</v>
      </c>
      <c r="B28" s="717">
        <v>7.0949656842764997E-2</v>
      </c>
      <c r="C28" s="459"/>
      <c r="D28" s="989">
        <v>36604</v>
      </c>
      <c r="E28" s="990">
        <v>32.9</v>
      </c>
      <c r="F28" s="990">
        <v>33.25</v>
      </c>
      <c r="G28" s="990">
        <v>33.6</v>
      </c>
      <c r="H28" s="977"/>
      <c r="I28" s="990">
        <v>20.324999999999999</v>
      </c>
      <c r="J28" s="990">
        <v>20.5</v>
      </c>
      <c r="K28" s="990">
        <v>20.675000000000001</v>
      </c>
      <c r="L28" s="12"/>
      <c r="M28" s="1004">
        <v>37104</v>
      </c>
      <c r="N28" s="991">
        <v>40.772499084472656</v>
      </c>
      <c r="O28" s="991">
        <v>43.022499084472656</v>
      </c>
      <c r="P28" s="991">
        <v>45.272499084472656</v>
      </c>
      <c r="Q28" s="21"/>
      <c r="R28" s="991">
        <v>29.245000839233398</v>
      </c>
      <c r="S28" s="991">
        <v>31.745000839233398</v>
      </c>
      <c r="T28" s="991">
        <v>34.245000839233398</v>
      </c>
      <c r="U28" s="21"/>
      <c r="V28" s="991">
        <v>1.2</v>
      </c>
      <c r="W28" s="991">
        <v>1.2</v>
      </c>
      <c r="X28" s="991">
        <v>1.2</v>
      </c>
      <c r="Y28" s="21"/>
      <c r="Z28" s="991">
        <v>0.199575</v>
      </c>
      <c r="AA28" s="991">
        <v>0.39915</v>
      </c>
      <c r="AB28" s="991">
        <v>0.59872499999999995</v>
      </c>
      <c r="AC28" s="21"/>
      <c r="AD28" s="991">
        <v>5.8799999999999998E-2</v>
      </c>
      <c r="AE28" s="991">
        <v>0.1176</v>
      </c>
      <c r="AF28" s="991">
        <v>0.1764</v>
      </c>
      <c r="AG28" s="21"/>
      <c r="AH28" s="991">
        <v>-0.35</v>
      </c>
      <c r="AI28" s="991">
        <v>3.75</v>
      </c>
      <c r="AJ28" s="991">
        <v>0.5</v>
      </c>
      <c r="AK28" s="21"/>
      <c r="AL28" s="991">
        <v>-0.15</v>
      </c>
      <c r="AM28" s="991">
        <v>0.75</v>
      </c>
      <c r="AN28" s="991">
        <v>0.2</v>
      </c>
      <c r="AO28" s="21"/>
      <c r="AP28" s="12">
        <v>7</v>
      </c>
      <c r="AQ28" s="992">
        <v>0.2</v>
      </c>
      <c r="AR28" s="21"/>
      <c r="AS28" s="12">
        <v>1800</v>
      </c>
      <c r="AT28" s="993">
        <v>1.1682669241080017</v>
      </c>
      <c r="AU28" s="993">
        <v>1.1682669241080017</v>
      </c>
      <c r="AV28" s="993">
        <v>1.1583000000000001</v>
      </c>
      <c r="AW28" s="993">
        <v>0.8586986372337867</v>
      </c>
      <c r="AX28" s="993">
        <v>0.96038945764341233</v>
      </c>
      <c r="AY28" s="993">
        <v>1.2151491003648869</v>
      </c>
      <c r="AZ28" s="993">
        <v>1.3203393586734773</v>
      </c>
      <c r="BA28" s="993">
        <v>1.125207919956094</v>
      </c>
      <c r="BB28" s="993">
        <v>1.1066962078625975</v>
      </c>
      <c r="BC28" s="993">
        <v>1.2000999999999999</v>
      </c>
      <c r="BD28" s="993">
        <v>1.2171000000000001</v>
      </c>
      <c r="BE28" s="993">
        <v>1.2396592528631896</v>
      </c>
      <c r="BF28" s="12" t="s">
        <v>125</v>
      </c>
      <c r="BH28" s="20"/>
      <c r="BI28" s="20"/>
      <c r="BJ28" s="395"/>
      <c r="BK28"/>
      <c r="BL28"/>
      <c r="BM28"/>
      <c r="BN28"/>
      <c r="BO28"/>
      <c r="BP28"/>
      <c r="BQ28" s="553">
        <f t="shared" si="1"/>
        <v>37288</v>
      </c>
      <c r="BR28" s="716">
        <v>2.875</v>
      </c>
      <c r="BS28" s="716">
        <v>2.88</v>
      </c>
      <c r="BT28" s="716">
        <v>2.8849999999999998</v>
      </c>
      <c r="BU28" s="717">
        <v>0.23499999999999999</v>
      </c>
      <c r="BV28" s="717">
        <v>0.24249999999999999</v>
      </c>
      <c r="BW28" s="717">
        <v>0.25</v>
      </c>
      <c r="BX28" s="717">
        <f t="shared" si="7"/>
        <v>-7.0000000000000007E-2</v>
      </c>
      <c r="BY28" s="717"/>
      <c r="BZ28" s="717">
        <f t="shared" si="8"/>
        <v>7.0000000000000007E-2</v>
      </c>
      <c r="CA28" s="757">
        <v>0</v>
      </c>
      <c r="CB28" s="716">
        <f t="shared" si="9"/>
        <v>0</v>
      </c>
      <c r="CC28" s="789">
        <f t="shared" si="10"/>
        <v>2.875</v>
      </c>
      <c r="CD28" s="793">
        <f t="shared" si="11"/>
        <v>0.25</v>
      </c>
    </row>
    <row r="29" spans="1:103" ht="13.8" x14ac:dyDescent="0.3">
      <c r="A29" s="553">
        <f t="shared" si="0"/>
        <v>37408</v>
      </c>
      <c r="B29" s="717">
        <v>7.1091363295042009E-2</v>
      </c>
      <c r="C29" s="459"/>
      <c r="D29" s="989">
        <v>36605</v>
      </c>
      <c r="E29" s="990">
        <v>32.9</v>
      </c>
      <c r="F29" s="990">
        <v>33.25</v>
      </c>
      <c r="G29" s="990">
        <v>33.6</v>
      </c>
      <c r="H29" s="977"/>
      <c r="I29" s="990">
        <v>20.324999999999999</v>
      </c>
      <c r="J29" s="990">
        <v>20.5</v>
      </c>
      <c r="K29" s="990">
        <v>20.675000000000001</v>
      </c>
      <c r="L29" s="12"/>
      <c r="M29" s="1004">
        <v>37135</v>
      </c>
      <c r="N29" s="991">
        <v>22.479999160766603</v>
      </c>
      <c r="O29" s="991">
        <v>23.004999160766602</v>
      </c>
      <c r="P29" s="991">
        <v>23.5299991607666</v>
      </c>
      <c r="Q29" s="21"/>
      <c r="R29" s="991">
        <v>21</v>
      </c>
      <c r="S29" s="991">
        <v>23.5</v>
      </c>
      <c r="T29" s="991">
        <v>26</v>
      </c>
      <c r="U29" s="21"/>
      <c r="V29" s="991">
        <v>1.2</v>
      </c>
      <c r="W29" s="991">
        <v>1.2</v>
      </c>
      <c r="X29" s="991">
        <v>1.2</v>
      </c>
      <c r="Y29" s="21"/>
      <c r="Z29" s="991">
        <v>0.132075</v>
      </c>
      <c r="AA29" s="991">
        <v>0.26415</v>
      </c>
      <c r="AB29" s="991">
        <v>0.39622499999999999</v>
      </c>
      <c r="AC29" s="21"/>
      <c r="AD29" s="991">
        <v>3.9199999999999999E-2</v>
      </c>
      <c r="AE29" s="991">
        <v>7.8399999999999997E-2</v>
      </c>
      <c r="AF29" s="991">
        <v>0.1176</v>
      </c>
      <c r="AG29" s="21"/>
      <c r="AH29" s="991">
        <v>-0.35</v>
      </c>
      <c r="AI29" s="991">
        <v>1.5</v>
      </c>
      <c r="AJ29" s="991">
        <v>0.3</v>
      </c>
      <c r="AK29" s="21"/>
      <c r="AL29" s="991">
        <v>-0.15</v>
      </c>
      <c r="AM29" s="991">
        <v>0.4</v>
      </c>
      <c r="AN29" s="991">
        <v>0.2</v>
      </c>
      <c r="AO29" s="21"/>
      <c r="AP29" s="12">
        <v>7</v>
      </c>
      <c r="AQ29" s="992">
        <v>0.2</v>
      </c>
      <c r="AR29" s="21"/>
      <c r="AS29" s="12">
        <v>1900</v>
      </c>
      <c r="AT29" s="993">
        <v>1.2818992289435116</v>
      </c>
      <c r="AU29" s="993">
        <v>1.2818992289435116</v>
      </c>
      <c r="AV29" s="993">
        <v>1.2719</v>
      </c>
      <c r="AW29" s="993">
        <v>0.85409539061706241</v>
      </c>
      <c r="AX29" s="993">
        <v>0.832097528048518</v>
      </c>
      <c r="AY29" s="993">
        <v>1.0375875519020257</v>
      </c>
      <c r="AZ29" s="993">
        <v>1.1027679439023967</v>
      </c>
      <c r="BA29" s="993">
        <v>0.91716131211212903</v>
      </c>
      <c r="BB29" s="993">
        <v>0.90645084503689632</v>
      </c>
      <c r="BC29" s="993">
        <v>1.2095</v>
      </c>
      <c r="BD29" s="993">
        <v>1.2269000000000001</v>
      </c>
      <c r="BE29" s="993">
        <v>1.2314000000000001</v>
      </c>
      <c r="BF29" s="12" t="s">
        <v>125</v>
      </c>
      <c r="BH29" s="20"/>
      <c r="BI29" s="20"/>
      <c r="BJ29" s="395"/>
      <c r="BK29"/>
      <c r="BL29"/>
      <c r="BM29"/>
      <c r="BN29"/>
      <c r="BO29"/>
      <c r="BP29"/>
      <c r="BQ29" s="553">
        <f t="shared" si="1"/>
        <v>37316</v>
      </c>
      <c r="BR29" s="716">
        <v>2.7490000000000001</v>
      </c>
      <c r="BS29" s="716">
        <v>2.754</v>
      </c>
      <c r="BT29" s="716">
        <v>2.7590000000000003</v>
      </c>
      <c r="BU29" s="717">
        <v>0.22</v>
      </c>
      <c r="BV29" s="717">
        <v>0.22750000000000001</v>
      </c>
      <c r="BW29" s="717">
        <v>0.23499999999999999</v>
      </c>
      <c r="BX29" s="717">
        <f t="shared" si="7"/>
        <v>-7.0000000000000007E-2</v>
      </c>
      <c r="BY29" s="717"/>
      <c r="BZ29" s="717">
        <f t="shared" si="8"/>
        <v>7.0000000000000007E-2</v>
      </c>
      <c r="CA29" s="757">
        <v>0</v>
      </c>
      <c r="CB29" s="716">
        <f t="shared" si="9"/>
        <v>0</v>
      </c>
      <c r="CC29" s="789">
        <f t="shared" si="10"/>
        <v>2.7490000000000001</v>
      </c>
      <c r="CD29" s="793">
        <f t="shared" si="11"/>
        <v>0.23499999999999999</v>
      </c>
    </row>
    <row r="30" spans="1:103" ht="13.8" x14ac:dyDescent="0.3">
      <c r="A30" s="553">
        <f t="shared" si="0"/>
        <v>37438</v>
      </c>
      <c r="B30" s="717">
        <v>7.1217617269914005E-2</v>
      </c>
      <c r="C30" s="459"/>
      <c r="D30" s="989">
        <v>36606</v>
      </c>
      <c r="E30" s="990">
        <v>32.9</v>
      </c>
      <c r="F30" s="990">
        <v>33.25</v>
      </c>
      <c r="G30" s="990">
        <v>33.6</v>
      </c>
      <c r="H30" s="977"/>
      <c r="I30" s="990">
        <v>20.324999999999999</v>
      </c>
      <c r="J30" s="990">
        <v>20.5</v>
      </c>
      <c r="K30" s="990">
        <v>20.675000000000001</v>
      </c>
      <c r="L30" s="12"/>
      <c r="M30" s="1004">
        <v>37165</v>
      </c>
      <c r="N30" s="991">
        <v>22.688000106811522</v>
      </c>
      <c r="O30" s="991">
        <v>23.100500106811523</v>
      </c>
      <c r="P30" s="991">
        <v>23.513000106811525</v>
      </c>
      <c r="Q30" s="21"/>
      <c r="R30" s="991">
        <v>18.60099983215332</v>
      </c>
      <c r="S30" s="991">
        <v>21.10099983215332</v>
      </c>
      <c r="T30" s="991">
        <v>23.60099983215332</v>
      </c>
      <c r="U30" s="21"/>
      <c r="V30" s="991">
        <v>1.2</v>
      </c>
      <c r="W30" s="991">
        <v>1.2</v>
      </c>
      <c r="X30" s="991">
        <v>1.2</v>
      </c>
      <c r="Y30" s="21"/>
      <c r="Z30" s="991">
        <v>0.12015000000000001</v>
      </c>
      <c r="AA30" s="991">
        <v>0.24030000000000001</v>
      </c>
      <c r="AB30" s="991">
        <v>0.36045000000000005</v>
      </c>
      <c r="AC30" s="21"/>
      <c r="AD30" s="991">
        <v>2.9399999999999999E-2</v>
      </c>
      <c r="AE30" s="991">
        <v>5.8799999999999998E-2</v>
      </c>
      <c r="AF30" s="991">
        <v>8.8200000000000001E-2</v>
      </c>
      <c r="AG30" s="21"/>
      <c r="AH30" s="991">
        <v>-0.25</v>
      </c>
      <c r="AI30" s="991">
        <v>1.1000000000000001</v>
      </c>
      <c r="AJ30" s="991">
        <v>0.3</v>
      </c>
      <c r="AK30" s="21"/>
      <c r="AL30" s="991">
        <v>-0.15</v>
      </c>
      <c r="AM30" s="991">
        <v>0.35</v>
      </c>
      <c r="AN30" s="991">
        <v>0.2</v>
      </c>
      <c r="AO30" s="21"/>
      <c r="AP30" s="12">
        <v>8</v>
      </c>
      <c r="AQ30" s="992">
        <v>0.2</v>
      </c>
      <c r="AR30" s="21"/>
      <c r="AS30" s="12">
        <v>2000</v>
      </c>
      <c r="AT30" s="993">
        <v>1.2270000000000001</v>
      </c>
      <c r="AU30" s="993">
        <v>1.2270000000000001</v>
      </c>
      <c r="AV30" s="993">
        <v>1.2170000000000001</v>
      </c>
      <c r="AW30" s="993">
        <v>0.93680897230708571</v>
      </c>
      <c r="AX30" s="993">
        <v>0.82997023839962336</v>
      </c>
      <c r="AY30" s="993">
        <v>0.82969424988466234</v>
      </c>
      <c r="AZ30" s="993">
        <v>0.81600645531569072</v>
      </c>
      <c r="BA30" s="993">
        <v>0.83502343057373252</v>
      </c>
      <c r="BB30" s="993">
        <v>1.184626371010566</v>
      </c>
      <c r="BC30" s="993">
        <v>1.1567000000000001</v>
      </c>
      <c r="BD30" s="993">
        <v>1.1767000000000001</v>
      </c>
      <c r="BE30" s="993">
        <v>1.1889963083145296</v>
      </c>
      <c r="BF30" s="12" t="s">
        <v>125</v>
      </c>
      <c r="BH30" s="20"/>
      <c r="BI30" s="20"/>
      <c r="BJ30" s="395"/>
      <c r="BK30"/>
      <c r="BL30"/>
      <c r="BM30"/>
      <c r="BN30"/>
      <c r="BO30"/>
      <c r="BP30"/>
      <c r="BQ30" s="553">
        <f t="shared" si="1"/>
        <v>37347</v>
      </c>
      <c r="BR30" s="716">
        <v>2.65</v>
      </c>
      <c r="BS30" s="716">
        <v>2.6549999999999998</v>
      </c>
      <c r="BT30" s="716">
        <v>2.66</v>
      </c>
      <c r="BU30" s="717">
        <v>0.18</v>
      </c>
      <c r="BV30" s="717">
        <v>0.1875</v>
      </c>
      <c r="BW30" s="717">
        <v>0.19500000000000001</v>
      </c>
      <c r="BX30" s="717">
        <f t="shared" si="7"/>
        <v>-7.0000000000000007E-2</v>
      </c>
      <c r="BY30" s="717"/>
      <c r="BZ30" s="717">
        <f t="shared" si="8"/>
        <v>7.0000000000000007E-2</v>
      </c>
      <c r="CA30" s="757">
        <v>0</v>
      </c>
      <c r="CB30" s="716">
        <f t="shared" si="9"/>
        <v>0</v>
      </c>
      <c r="CC30" s="789">
        <f t="shared" si="10"/>
        <v>2.65</v>
      </c>
      <c r="CD30" s="793">
        <f t="shared" si="11"/>
        <v>0.19500000000000001</v>
      </c>
    </row>
    <row r="31" spans="1:103" ht="13.8" x14ac:dyDescent="0.3">
      <c r="A31" s="553">
        <f t="shared" si="0"/>
        <v>37469</v>
      </c>
      <c r="B31" s="717">
        <v>7.1330136209252007E-2</v>
      </c>
      <c r="C31" s="459"/>
      <c r="D31" s="989">
        <v>36607</v>
      </c>
      <c r="E31" s="990">
        <v>32.9</v>
      </c>
      <c r="F31" s="990">
        <v>33.25</v>
      </c>
      <c r="G31" s="990">
        <v>33.6</v>
      </c>
      <c r="H31" s="977"/>
      <c r="I31" s="990">
        <v>20.324999999999999</v>
      </c>
      <c r="J31" s="990">
        <v>20.5</v>
      </c>
      <c r="K31" s="990">
        <v>20.675000000000001</v>
      </c>
      <c r="L31" s="12"/>
      <c r="M31" s="1004">
        <v>37196</v>
      </c>
      <c r="N31" s="991">
        <v>23.692251586914061</v>
      </c>
      <c r="O31" s="991">
        <v>24.104751586914063</v>
      </c>
      <c r="P31" s="991">
        <v>24.517251586914064</v>
      </c>
      <c r="Q31" s="21"/>
      <c r="R31" s="991">
        <v>19.604499816894531</v>
      </c>
      <c r="S31" s="991">
        <v>22.104499816894531</v>
      </c>
      <c r="T31" s="991">
        <v>24.604499816894531</v>
      </c>
      <c r="U31" s="21"/>
      <c r="V31" s="991">
        <v>1.2</v>
      </c>
      <c r="W31" s="991">
        <v>1.2</v>
      </c>
      <c r="X31" s="991">
        <v>1.2</v>
      </c>
      <c r="Y31" s="21"/>
      <c r="Z31" s="991">
        <v>0.12015000000000001</v>
      </c>
      <c r="AA31" s="991">
        <v>0.24030000000000001</v>
      </c>
      <c r="AB31" s="991">
        <v>0.36045000000000005</v>
      </c>
      <c r="AC31" s="21"/>
      <c r="AD31" s="991">
        <v>2.9399999999999999E-2</v>
      </c>
      <c r="AE31" s="991">
        <v>5.8799999999999998E-2</v>
      </c>
      <c r="AF31" s="991">
        <v>8.8200000000000001E-2</v>
      </c>
      <c r="AG31" s="21"/>
      <c r="AH31" s="991">
        <v>-0.25</v>
      </c>
      <c r="AI31" s="991">
        <v>1.25</v>
      </c>
      <c r="AJ31" s="991">
        <v>0.3</v>
      </c>
      <c r="AK31" s="21"/>
      <c r="AL31" s="991">
        <v>-0.15</v>
      </c>
      <c r="AM31" s="991">
        <v>0.3</v>
      </c>
      <c r="AN31" s="991">
        <v>0.2</v>
      </c>
      <c r="AO31" s="21"/>
      <c r="AP31" s="12">
        <v>8</v>
      </c>
      <c r="AQ31" s="992">
        <v>0.2</v>
      </c>
      <c r="AR31" s="21"/>
      <c r="AS31" s="12">
        <v>2100</v>
      </c>
      <c r="AT31" s="993">
        <v>1.1550523732727651</v>
      </c>
      <c r="AU31" s="993">
        <v>1.1550523732727651</v>
      </c>
      <c r="AV31" s="993">
        <v>1.1451</v>
      </c>
      <c r="AW31" s="993">
        <v>1.1543365178491491</v>
      </c>
      <c r="AX31" s="993">
        <v>1.0876995612465097</v>
      </c>
      <c r="AY31" s="993">
        <v>0.90163150610241982</v>
      </c>
      <c r="AZ31" s="993">
        <v>0.90256223753970599</v>
      </c>
      <c r="BA31" s="993">
        <v>1.0506353696120232</v>
      </c>
      <c r="BB31" s="993">
        <v>1.1944408840385996</v>
      </c>
      <c r="BC31" s="993">
        <v>1.0689</v>
      </c>
      <c r="BD31" s="993">
        <v>1.0889</v>
      </c>
      <c r="BE31" s="993">
        <v>1.1550523732727651</v>
      </c>
      <c r="BF31" s="12" t="s">
        <v>125</v>
      </c>
      <c r="BH31" s="20"/>
      <c r="BI31" s="20"/>
      <c r="BJ31" s="395"/>
      <c r="BK31"/>
      <c r="BL31"/>
      <c r="BM31"/>
      <c r="BN31"/>
      <c r="BO31"/>
      <c r="BP31"/>
      <c r="BQ31" s="553">
        <f t="shared" si="1"/>
        <v>37377</v>
      </c>
      <c r="BR31" s="716">
        <v>2.6240000000000001</v>
      </c>
      <c r="BS31" s="716">
        <v>2.629</v>
      </c>
      <c r="BT31" s="716">
        <v>2.6340000000000003</v>
      </c>
      <c r="BU31" s="717">
        <v>0.17749999999999999</v>
      </c>
      <c r="BV31" s="717">
        <v>0.185</v>
      </c>
      <c r="BW31" s="717">
        <v>0.1925</v>
      </c>
      <c r="BX31" s="717">
        <f t="shared" si="7"/>
        <v>-7.0000000000000007E-2</v>
      </c>
      <c r="BY31" s="717"/>
      <c r="BZ31" s="717">
        <f t="shared" si="8"/>
        <v>7.0000000000000007E-2</v>
      </c>
      <c r="CA31" s="757">
        <v>0</v>
      </c>
      <c r="CB31" s="716">
        <f t="shared" si="9"/>
        <v>0</v>
      </c>
      <c r="CC31" s="789">
        <f t="shared" si="10"/>
        <v>2.6240000000000001</v>
      </c>
      <c r="CD31" s="793">
        <f t="shared" si="11"/>
        <v>0.1925</v>
      </c>
    </row>
    <row r="32" spans="1:103" ht="13.8" x14ac:dyDescent="0.3">
      <c r="A32" s="553">
        <f t="shared" si="0"/>
        <v>37500</v>
      </c>
      <c r="B32" s="717">
        <v>7.1442655152773996E-2</v>
      </c>
      <c r="C32" s="459"/>
      <c r="D32" s="989">
        <v>36608</v>
      </c>
      <c r="E32" s="990">
        <v>32.9</v>
      </c>
      <c r="F32" s="990">
        <v>33.25</v>
      </c>
      <c r="G32" s="990">
        <v>33.6</v>
      </c>
      <c r="H32" s="977"/>
      <c r="I32" s="990">
        <v>20.324999999999999</v>
      </c>
      <c r="J32" s="990">
        <v>20.5</v>
      </c>
      <c r="K32" s="990">
        <v>20.675000000000001</v>
      </c>
      <c r="L32" s="12"/>
      <c r="M32" s="1004">
        <v>37226</v>
      </c>
      <c r="N32" s="991">
        <v>25.142498397827147</v>
      </c>
      <c r="O32" s="991">
        <v>25.554998397827148</v>
      </c>
      <c r="P32" s="991">
        <v>25.96749839782715</v>
      </c>
      <c r="Q32" s="21"/>
      <c r="R32" s="991">
        <v>19.549999237060547</v>
      </c>
      <c r="S32" s="991">
        <v>22.049999237060547</v>
      </c>
      <c r="T32" s="991">
        <v>24.549999237060547</v>
      </c>
      <c r="U32" s="21"/>
      <c r="V32" s="991">
        <v>1.2</v>
      </c>
      <c r="W32" s="991">
        <v>1.2</v>
      </c>
      <c r="X32" s="991">
        <v>1.2</v>
      </c>
      <c r="Y32" s="21"/>
      <c r="Z32" s="991">
        <v>0.12447000000000001</v>
      </c>
      <c r="AA32" s="991">
        <v>0.24894000000000002</v>
      </c>
      <c r="AB32" s="991">
        <v>0.37341000000000002</v>
      </c>
      <c r="AC32" s="21"/>
      <c r="AD32" s="991">
        <v>2.9399999999999999E-2</v>
      </c>
      <c r="AE32" s="991">
        <v>5.8799999999999998E-2</v>
      </c>
      <c r="AF32" s="991">
        <v>8.8200000000000001E-2</v>
      </c>
      <c r="AG32" s="21"/>
      <c r="AH32" s="991">
        <v>-0.25</v>
      </c>
      <c r="AI32" s="991">
        <v>1.25</v>
      </c>
      <c r="AJ32" s="991">
        <v>0.35</v>
      </c>
      <c r="AK32" s="21"/>
      <c r="AL32" s="991">
        <v>-0.15</v>
      </c>
      <c r="AM32" s="991">
        <v>0.3</v>
      </c>
      <c r="AN32" s="991">
        <v>0.2</v>
      </c>
      <c r="AO32" s="21"/>
      <c r="AP32" s="12">
        <v>8</v>
      </c>
      <c r="AQ32" s="992">
        <v>0.2</v>
      </c>
      <c r="AR32" s="21"/>
      <c r="AS32" s="12">
        <v>2200</v>
      </c>
      <c r="AT32" s="993">
        <v>0.82150000000000001</v>
      </c>
      <c r="AU32" s="993">
        <v>0.82150000000000001</v>
      </c>
      <c r="AV32" s="993">
        <v>0.83150000000000002</v>
      </c>
      <c r="AW32" s="993">
        <v>0.98358182079729883</v>
      </c>
      <c r="AX32" s="993">
        <v>1.0374627979995292</v>
      </c>
      <c r="AY32" s="993">
        <v>0.91867634106446339</v>
      </c>
      <c r="AZ32" s="993">
        <v>0.95638684161178289</v>
      </c>
      <c r="BA32" s="993">
        <v>0.89338455692996166</v>
      </c>
      <c r="BB32" s="993">
        <v>0.90908757988024858</v>
      </c>
      <c r="BC32" s="993">
        <v>0.88670000000000004</v>
      </c>
      <c r="BD32" s="993">
        <v>0.86619999999999997</v>
      </c>
      <c r="BE32" s="993">
        <v>0.85150000000000003</v>
      </c>
      <c r="BF32" s="12" t="s">
        <v>125</v>
      </c>
      <c r="BH32" s="20"/>
      <c r="BI32" s="20"/>
      <c r="BJ32" s="395"/>
      <c r="BK32"/>
      <c r="BL32"/>
      <c r="BM32"/>
      <c r="BN32"/>
      <c r="BO32"/>
      <c r="BP32"/>
      <c r="BQ32" s="553">
        <f t="shared" si="1"/>
        <v>37408</v>
      </c>
      <c r="BR32" s="716">
        <v>2.63</v>
      </c>
      <c r="BS32" s="716">
        <v>2.6349999999999998</v>
      </c>
      <c r="BT32" s="716">
        <v>2.64</v>
      </c>
      <c r="BU32" s="717">
        <v>0.17650000000000002</v>
      </c>
      <c r="BV32" s="717">
        <v>0.184</v>
      </c>
      <c r="BW32" s="717">
        <v>0.1915</v>
      </c>
      <c r="BX32" s="717">
        <f t="shared" si="7"/>
        <v>-7.0000000000000007E-2</v>
      </c>
      <c r="BY32" s="717"/>
      <c r="BZ32" s="717">
        <f t="shared" si="8"/>
        <v>7.0000000000000007E-2</v>
      </c>
      <c r="CA32" s="757">
        <v>0</v>
      </c>
      <c r="CB32" s="716">
        <f t="shared" si="9"/>
        <v>0</v>
      </c>
      <c r="CC32" s="789">
        <f t="shared" si="10"/>
        <v>2.63</v>
      </c>
      <c r="CD32" s="793">
        <f t="shared" si="11"/>
        <v>0.1915</v>
      </c>
    </row>
    <row r="33" spans="1:82" ht="13.8" x14ac:dyDescent="0.3">
      <c r="A33" s="553">
        <f t="shared" si="0"/>
        <v>37530</v>
      </c>
      <c r="B33" s="717">
        <v>7.1542259185124996E-2</v>
      </c>
      <c r="C33" s="459"/>
      <c r="D33" s="989">
        <v>36609</v>
      </c>
      <c r="E33" s="990">
        <v>32.9</v>
      </c>
      <c r="F33" s="990">
        <v>33.25</v>
      </c>
      <c r="G33" s="990">
        <v>33.6</v>
      </c>
      <c r="H33" s="977"/>
      <c r="I33" s="990">
        <v>20.324999999999999</v>
      </c>
      <c r="J33" s="990">
        <v>20.5</v>
      </c>
      <c r="K33" s="990">
        <v>20.675000000000001</v>
      </c>
      <c r="L33" s="12"/>
      <c r="M33" s="1004">
        <v>37257</v>
      </c>
      <c r="N33" s="991">
        <v>28.123748779296875</v>
      </c>
      <c r="O33" s="991">
        <v>28.648748779296874</v>
      </c>
      <c r="P33" s="991">
        <v>29.173748779296872</v>
      </c>
      <c r="Q33" s="21"/>
      <c r="R33" s="991">
        <v>24.152500534057616</v>
      </c>
      <c r="S33" s="991">
        <v>27.152500534057616</v>
      </c>
      <c r="T33" s="991">
        <v>30.152500534057616</v>
      </c>
      <c r="U33" s="21"/>
      <c r="V33" s="991">
        <v>1.2</v>
      </c>
      <c r="W33" s="991">
        <v>1.2</v>
      </c>
      <c r="X33" s="991">
        <v>1.2</v>
      </c>
      <c r="Y33" s="21"/>
      <c r="Z33" s="991">
        <v>0.13442500000000002</v>
      </c>
      <c r="AA33" s="991">
        <v>0.26885000000000003</v>
      </c>
      <c r="AB33" s="991">
        <v>0.40327500000000005</v>
      </c>
      <c r="AC33" s="21"/>
      <c r="AD33" s="991">
        <v>3.3614000000000005E-2</v>
      </c>
      <c r="AE33" s="991">
        <v>6.722800000000001E-2</v>
      </c>
      <c r="AF33" s="991">
        <v>0.10084200000000001</v>
      </c>
      <c r="AG33" s="21"/>
      <c r="AH33" s="991">
        <v>-0.75</v>
      </c>
      <c r="AI33" s="991">
        <v>2</v>
      </c>
      <c r="AJ33" s="991">
        <v>0.75</v>
      </c>
      <c r="AK33" s="21"/>
      <c r="AL33" s="991">
        <v>-0.15</v>
      </c>
      <c r="AM33" s="991">
        <v>0.5</v>
      </c>
      <c r="AN33" s="991">
        <v>0.2</v>
      </c>
      <c r="AO33" s="21"/>
      <c r="AP33" s="12">
        <v>9</v>
      </c>
      <c r="AQ33" s="992">
        <v>0.2</v>
      </c>
      <c r="AR33" s="21"/>
      <c r="AS33" s="12">
        <v>2300</v>
      </c>
      <c r="AT33" s="993">
        <v>0.67249999999999999</v>
      </c>
      <c r="AU33" s="993">
        <v>0.67249999999999999</v>
      </c>
      <c r="AV33" s="993">
        <v>0.6825</v>
      </c>
      <c r="AW33" s="993">
        <v>0.86893522761223685</v>
      </c>
      <c r="AX33" s="993">
        <v>0.83226116571381781</v>
      </c>
      <c r="AY33" s="993">
        <v>0.73668581973744907</v>
      </c>
      <c r="AZ33" s="993">
        <v>0.6641701566664201</v>
      </c>
      <c r="BA33" s="993">
        <v>0.72343479545742373</v>
      </c>
      <c r="BB33" s="993">
        <v>0.72041455331148319</v>
      </c>
      <c r="BC33" s="993">
        <v>0.75600000000000001</v>
      </c>
      <c r="BD33" s="993">
        <v>0.73050000000000004</v>
      </c>
      <c r="BE33" s="993">
        <v>0.70250000000000001</v>
      </c>
      <c r="BF33" s="12" t="s">
        <v>125</v>
      </c>
      <c r="BH33" s="20"/>
      <c r="BI33" s="20"/>
      <c r="BJ33" s="395"/>
      <c r="BK33"/>
      <c r="BL33"/>
      <c r="BM33"/>
      <c r="BN33"/>
      <c r="BO33"/>
      <c r="BP33"/>
      <c r="BQ33" s="553">
        <f t="shared" si="1"/>
        <v>37438</v>
      </c>
      <c r="BR33" s="716">
        <v>2.64</v>
      </c>
      <c r="BS33" s="716">
        <v>2.645</v>
      </c>
      <c r="BT33" s="716">
        <v>2.65</v>
      </c>
      <c r="BU33" s="717">
        <v>0.17550000000000002</v>
      </c>
      <c r="BV33" s="717">
        <v>0.183</v>
      </c>
      <c r="BW33" s="717">
        <v>0.1905</v>
      </c>
      <c r="BX33" s="717">
        <f t="shared" si="7"/>
        <v>-7.0000000000000007E-2</v>
      </c>
      <c r="BY33" s="717"/>
      <c r="BZ33" s="717">
        <f t="shared" si="8"/>
        <v>7.0000000000000007E-2</v>
      </c>
      <c r="CA33" s="757">
        <v>0</v>
      </c>
      <c r="CB33" s="716">
        <f t="shared" si="9"/>
        <v>0</v>
      </c>
      <c r="CC33" s="789">
        <f t="shared" si="10"/>
        <v>2.64</v>
      </c>
      <c r="CD33" s="793">
        <f t="shared" si="11"/>
        <v>0.1905</v>
      </c>
    </row>
    <row r="34" spans="1:82" ht="13.8" x14ac:dyDescent="0.3">
      <c r="A34" s="553">
        <f t="shared" si="0"/>
        <v>37561</v>
      </c>
      <c r="B34" s="717">
        <v>7.1631839731324004E-2</v>
      </c>
      <c r="C34" s="459"/>
      <c r="D34" s="989">
        <v>36610</v>
      </c>
      <c r="E34" s="990">
        <v>32.9</v>
      </c>
      <c r="F34" s="990">
        <v>33.25</v>
      </c>
      <c r="G34" s="990">
        <v>33.6</v>
      </c>
      <c r="H34" s="977"/>
      <c r="I34" s="990">
        <v>20.324999999999999</v>
      </c>
      <c r="J34" s="990">
        <v>20.5</v>
      </c>
      <c r="K34" s="990">
        <v>20.675000000000001</v>
      </c>
      <c r="L34" s="12"/>
      <c r="M34" s="1004">
        <v>37288</v>
      </c>
      <c r="N34" s="991">
        <v>27.121250152587891</v>
      </c>
      <c r="O34" s="991">
        <v>27.646250152587889</v>
      </c>
      <c r="P34" s="991">
        <v>28.171250152587888</v>
      </c>
      <c r="Q34" s="21"/>
      <c r="R34" s="991">
        <v>22.147499465942381</v>
      </c>
      <c r="S34" s="991">
        <v>25.147499465942381</v>
      </c>
      <c r="T34" s="991">
        <v>28.147499465942381</v>
      </c>
      <c r="U34" s="21"/>
      <c r="V34" s="991">
        <v>0.7</v>
      </c>
      <c r="W34" s="991">
        <v>0.7</v>
      </c>
      <c r="X34" s="991">
        <v>0.7</v>
      </c>
      <c r="Y34" s="21"/>
      <c r="Z34" s="991">
        <v>0.12967500000000001</v>
      </c>
      <c r="AA34" s="991">
        <v>0.25935000000000002</v>
      </c>
      <c r="AB34" s="991">
        <v>0.38902500000000007</v>
      </c>
      <c r="AC34" s="21"/>
      <c r="AD34" s="991">
        <v>3.3614000000000005E-2</v>
      </c>
      <c r="AE34" s="991">
        <v>6.722800000000001E-2</v>
      </c>
      <c r="AF34" s="991">
        <v>0.10084200000000001</v>
      </c>
      <c r="AG34" s="21"/>
      <c r="AH34" s="991">
        <v>-0.75</v>
      </c>
      <c r="AI34" s="991">
        <v>2</v>
      </c>
      <c r="AJ34" s="991">
        <v>0.75</v>
      </c>
      <c r="AK34" s="21"/>
      <c r="AL34" s="991">
        <v>-0.15</v>
      </c>
      <c r="AM34" s="991">
        <v>0.5</v>
      </c>
      <c r="AN34" s="991">
        <v>0.2</v>
      </c>
      <c r="AO34" s="21"/>
      <c r="AP34" s="12">
        <v>9</v>
      </c>
      <c r="AQ34" s="992">
        <v>0.2</v>
      </c>
      <c r="AR34" s="21"/>
      <c r="AS34" s="12">
        <v>2400</v>
      </c>
      <c r="AT34" s="993">
        <v>1.0449999999999999</v>
      </c>
      <c r="AU34" s="993">
        <v>1.0449999999999999</v>
      </c>
      <c r="AV34" s="993">
        <v>1.0449999999999999</v>
      </c>
      <c r="AW34" s="993">
        <v>1.0496274949890501</v>
      </c>
      <c r="AX34" s="993">
        <v>1.1779685918573899</v>
      </c>
      <c r="AY34" s="993">
        <v>1.3963883955002958</v>
      </c>
      <c r="AZ34" s="993">
        <v>1.2616588759647784</v>
      </c>
      <c r="BA34" s="993">
        <v>1.2636171008350987</v>
      </c>
      <c r="BB34" s="993">
        <v>1.1249920891082836</v>
      </c>
      <c r="BC34" s="993">
        <v>1.0505</v>
      </c>
      <c r="BD34" s="993">
        <v>1.0505</v>
      </c>
      <c r="BE34" s="993">
        <v>1.0505</v>
      </c>
      <c r="BF34" s="12" t="s">
        <v>160</v>
      </c>
      <c r="BH34" s="20"/>
      <c r="BI34" s="20"/>
      <c r="BJ34" s="395"/>
      <c r="BK34"/>
      <c r="BL34"/>
      <c r="BM34"/>
      <c r="BN34"/>
      <c r="BO34"/>
      <c r="BP34"/>
      <c r="BQ34" s="553">
        <f t="shared" si="1"/>
        <v>37469</v>
      </c>
      <c r="BR34" s="716">
        <v>2.6470000000000002</v>
      </c>
      <c r="BS34" s="716">
        <v>2.6520000000000001</v>
      </c>
      <c r="BT34" s="716">
        <v>2.657</v>
      </c>
      <c r="BU34" s="717">
        <v>0.17450000000000002</v>
      </c>
      <c r="BV34" s="717">
        <v>0.182</v>
      </c>
      <c r="BW34" s="717">
        <v>0.1895</v>
      </c>
      <c r="BX34" s="717">
        <f t="shared" si="7"/>
        <v>-7.0000000000000007E-2</v>
      </c>
      <c r="BY34" s="717"/>
      <c r="BZ34" s="717">
        <f t="shared" si="8"/>
        <v>7.0000000000000007E-2</v>
      </c>
      <c r="CA34" s="757">
        <v>0</v>
      </c>
      <c r="CB34" s="716">
        <f t="shared" si="9"/>
        <v>0</v>
      </c>
      <c r="CC34" s="789">
        <f t="shared" si="10"/>
        <v>2.6470000000000002</v>
      </c>
      <c r="CD34" s="793">
        <f t="shared" si="11"/>
        <v>0.1895</v>
      </c>
    </row>
    <row r="35" spans="1:82" ht="13.8" x14ac:dyDescent="0.3">
      <c r="A35" s="553">
        <f t="shared" si="0"/>
        <v>37591</v>
      </c>
      <c r="B35" s="717">
        <v>7.1718530585009002E-2</v>
      </c>
      <c r="C35" s="459"/>
      <c r="D35" s="989">
        <v>36611</v>
      </c>
      <c r="E35" s="990">
        <v>32.9</v>
      </c>
      <c r="F35" s="990">
        <v>33.25</v>
      </c>
      <c r="G35" s="990">
        <v>33.6</v>
      </c>
      <c r="H35" s="977"/>
      <c r="I35" s="990">
        <v>20.324999999999999</v>
      </c>
      <c r="J35" s="990">
        <v>20.5</v>
      </c>
      <c r="K35" s="990">
        <v>20.675000000000001</v>
      </c>
      <c r="L35" s="12"/>
      <c r="M35" s="1004">
        <v>37316</v>
      </c>
      <c r="N35" s="991">
        <v>20.497249603271484</v>
      </c>
      <c r="O35" s="991">
        <v>20.834749603271483</v>
      </c>
      <c r="P35" s="991">
        <v>21.172249603271482</v>
      </c>
      <c r="Q35" s="21"/>
      <c r="R35" s="991">
        <v>17.464498901367186</v>
      </c>
      <c r="S35" s="991">
        <v>20.464498901367186</v>
      </c>
      <c r="T35" s="991">
        <v>23.464498901367186</v>
      </c>
      <c r="U35" s="21"/>
      <c r="V35" s="991">
        <v>0.7</v>
      </c>
      <c r="W35" s="991">
        <v>0.7</v>
      </c>
      <c r="X35" s="991">
        <v>0.7</v>
      </c>
      <c r="Y35" s="21"/>
      <c r="Z35" s="991">
        <v>0.12621937500000002</v>
      </c>
      <c r="AA35" s="991">
        <v>0.25243875000000005</v>
      </c>
      <c r="AB35" s="991">
        <v>0.37865812500000007</v>
      </c>
      <c r="AC35" s="21"/>
      <c r="AD35" s="991">
        <v>2.8811999999999997E-2</v>
      </c>
      <c r="AE35" s="991">
        <v>5.7623999999999995E-2</v>
      </c>
      <c r="AF35" s="991">
        <v>8.6435999999999985E-2</v>
      </c>
      <c r="AG35" s="21"/>
      <c r="AH35" s="991">
        <v>-0.25</v>
      </c>
      <c r="AI35" s="991">
        <v>1.3</v>
      </c>
      <c r="AJ35" s="991">
        <v>0.3</v>
      </c>
      <c r="AK35" s="21"/>
      <c r="AL35" s="991">
        <v>-0.15</v>
      </c>
      <c r="AM35" s="991">
        <v>0.35</v>
      </c>
      <c r="AN35" s="991">
        <v>0.2</v>
      </c>
      <c r="AO35" s="21"/>
      <c r="AP35" s="12">
        <v>9</v>
      </c>
      <c r="AQ35" s="992">
        <v>0.2</v>
      </c>
      <c r="AR35" s="21"/>
      <c r="AS35" s="21"/>
      <c r="AT35" s="21"/>
      <c r="AU35" s="21"/>
      <c r="AV35" s="21"/>
      <c r="AW35" s="21"/>
      <c r="AX35" s="21"/>
      <c r="AY35" s="21"/>
      <c r="AZ35" s="21"/>
      <c r="BA35" s="21"/>
      <c r="BB35" s="21"/>
      <c r="BC35" s="21"/>
      <c r="BD35" s="21"/>
      <c r="BE35" s="21"/>
      <c r="BF35" s="21"/>
      <c r="BH35" s="20"/>
      <c r="BI35" s="20"/>
      <c r="BJ35" s="395"/>
      <c r="BK35"/>
      <c r="BL35"/>
      <c r="BM35"/>
      <c r="BN35"/>
      <c r="BO35"/>
      <c r="BP35"/>
      <c r="BQ35" s="553">
        <f t="shared" si="1"/>
        <v>37500</v>
      </c>
      <c r="BR35" s="716">
        <v>2.6539999999999999</v>
      </c>
      <c r="BS35" s="716">
        <v>2.6590000000000003</v>
      </c>
      <c r="BT35" s="716">
        <v>2.6640000000000001</v>
      </c>
      <c r="BU35" s="717">
        <v>0.17350000000000002</v>
      </c>
      <c r="BV35" s="717">
        <v>0.18100000000000002</v>
      </c>
      <c r="BW35" s="717">
        <v>0.1885</v>
      </c>
      <c r="BX35" s="717">
        <f t="shared" si="7"/>
        <v>-7.0000000000000007E-2</v>
      </c>
      <c r="BY35" s="717"/>
      <c r="BZ35" s="717">
        <f t="shared" si="8"/>
        <v>7.0000000000000007E-2</v>
      </c>
      <c r="CA35" s="757">
        <v>0</v>
      </c>
      <c r="CB35" s="716">
        <f t="shared" si="9"/>
        <v>0</v>
      </c>
      <c r="CC35" s="789">
        <f t="shared" si="10"/>
        <v>2.6539999999999999</v>
      </c>
      <c r="CD35" s="793">
        <f t="shared" si="11"/>
        <v>0.1885</v>
      </c>
    </row>
    <row r="36" spans="1:82" ht="13.8" x14ac:dyDescent="0.3">
      <c r="A36" s="553">
        <f t="shared" si="0"/>
        <v>37622</v>
      </c>
      <c r="B36" s="717">
        <v>7.1808036216494994E-2</v>
      </c>
      <c r="C36" s="459"/>
      <c r="D36" s="989">
        <v>36612</v>
      </c>
      <c r="E36" s="990">
        <v>32.9</v>
      </c>
      <c r="F36" s="990">
        <v>33.25</v>
      </c>
      <c r="G36" s="990">
        <v>33.6</v>
      </c>
      <c r="H36" s="977"/>
      <c r="I36" s="990">
        <v>20.324999999999999</v>
      </c>
      <c r="J36" s="990">
        <v>20.5</v>
      </c>
      <c r="K36" s="990">
        <v>20.675000000000001</v>
      </c>
      <c r="L36" s="12"/>
      <c r="M36" s="1004">
        <v>37347</v>
      </c>
      <c r="N36" s="991">
        <v>21.292500305175778</v>
      </c>
      <c r="O36" s="991">
        <v>21.51750030517578</v>
      </c>
      <c r="P36" s="991">
        <v>21.742500305175781</v>
      </c>
      <c r="Q36" s="21"/>
      <c r="R36" s="991">
        <v>17.234999084472655</v>
      </c>
      <c r="S36" s="991">
        <v>20.234999084472655</v>
      </c>
      <c r="T36" s="991">
        <v>23.234999084472655</v>
      </c>
      <c r="U36" s="21"/>
      <c r="V36" s="991">
        <v>0.7</v>
      </c>
      <c r="W36" s="991">
        <v>0.7</v>
      </c>
      <c r="X36" s="991">
        <v>0.7</v>
      </c>
      <c r="Y36" s="21"/>
      <c r="Z36" s="991">
        <v>0.11264625</v>
      </c>
      <c r="AA36" s="991">
        <v>0.22529250000000001</v>
      </c>
      <c r="AB36" s="991">
        <v>0.33793875000000001</v>
      </c>
      <c r="AC36" s="21"/>
      <c r="AD36" s="991">
        <v>2.8811999999999997E-2</v>
      </c>
      <c r="AE36" s="991">
        <v>5.7623999999999995E-2</v>
      </c>
      <c r="AF36" s="991">
        <v>8.6435999999999985E-2</v>
      </c>
      <c r="AG36" s="21"/>
      <c r="AH36" s="991">
        <v>-0.25</v>
      </c>
      <c r="AI36" s="991">
        <v>1.1000000000000001</v>
      </c>
      <c r="AJ36" s="991">
        <v>0.3</v>
      </c>
      <c r="AK36" s="21"/>
      <c r="AL36" s="991">
        <v>-0.15</v>
      </c>
      <c r="AM36" s="991">
        <v>0.35</v>
      </c>
      <c r="AN36" s="991">
        <v>0.2</v>
      </c>
      <c r="AO36" s="21"/>
      <c r="AP36" s="12">
        <v>10</v>
      </c>
      <c r="AQ36" s="992">
        <v>0.2</v>
      </c>
      <c r="AR36" s="21"/>
      <c r="AS36" s="12" t="s">
        <v>543</v>
      </c>
      <c r="AT36" s="21"/>
      <c r="AU36" s="21"/>
      <c r="AV36" s="12" t="s">
        <v>544</v>
      </c>
      <c r="AW36" s="21"/>
      <c r="AX36" s="21"/>
      <c r="AY36" s="21"/>
      <c r="AZ36" s="21"/>
      <c r="BA36" s="21"/>
      <c r="BB36" s="21"/>
      <c r="BC36" s="21"/>
      <c r="BD36" s="21"/>
      <c r="BE36" s="21"/>
      <c r="BF36" s="21"/>
      <c r="BH36" s="20"/>
      <c r="BI36" s="20"/>
      <c r="BJ36" s="395"/>
      <c r="BK36"/>
      <c r="BL36"/>
      <c r="BM36"/>
      <c r="BN36"/>
      <c r="BO36"/>
      <c r="BP36"/>
      <c r="BQ36" s="553">
        <f t="shared" si="1"/>
        <v>37530</v>
      </c>
      <c r="BR36" s="716">
        <v>2.68</v>
      </c>
      <c r="BS36" s="716">
        <v>2.6850000000000001</v>
      </c>
      <c r="BT36" s="716">
        <v>2.69</v>
      </c>
      <c r="BU36" s="717">
        <v>0.17350000000000002</v>
      </c>
      <c r="BV36" s="717">
        <v>0.18100000000000002</v>
      </c>
      <c r="BW36" s="717">
        <v>0.1885</v>
      </c>
      <c r="BX36" s="717">
        <f t="shared" si="7"/>
        <v>-7.0000000000000007E-2</v>
      </c>
      <c r="BY36" s="717"/>
      <c r="BZ36" s="717">
        <f t="shared" si="8"/>
        <v>7.0000000000000007E-2</v>
      </c>
      <c r="CA36" s="757">
        <v>0</v>
      </c>
      <c r="CB36" s="716">
        <f t="shared" si="9"/>
        <v>0</v>
      </c>
      <c r="CC36" s="789">
        <f t="shared" si="10"/>
        <v>2.68</v>
      </c>
      <c r="CD36" s="793">
        <f t="shared" si="11"/>
        <v>0.1885</v>
      </c>
    </row>
    <row r="37" spans="1:82" ht="13.8" x14ac:dyDescent="0.3">
      <c r="A37" s="553">
        <f t="shared" si="0"/>
        <v>37653</v>
      </c>
      <c r="B37" s="717">
        <v>7.1897450876422006E-2</v>
      </c>
      <c r="C37" s="459"/>
      <c r="D37" s="989">
        <v>36613</v>
      </c>
      <c r="E37" s="990">
        <v>32.9</v>
      </c>
      <c r="F37" s="990">
        <v>33.25</v>
      </c>
      <c r="G37" s="990">
        <v>33.6</v>
      </c>
      <c r="H37" s="977"/>
      <c r="I37" s="990">
        <v>20.324999999999999</v>
      </c>
      <c r="J37" s="990">
        <v>20.5</v>
      </c>
      <c r="K37" s="990">
        <v>20.675000000000001</v>
      </c>
      <c r="L37" s="12"/>
      <c r="M37" s="1004">
        <v>37377</v>
      </c>
      <c r="N37" s="991">
        <v>20.882500076293944</v>
      </c>
      <c r="O37" s="991">
        <v>21.632500076293944</v>
      </c>
      <c r="P37" s="991">
        <v>22.382500076293944</v>
      </c>
      <c r="Q37" s="21"/>
      <c r="R37" s="991">
        <v>17.764999771118163</v>
      </c>
      <c r="S37" s="991">
        <v>20.764999771118163</v>
      </c>
      <c r="T37" s="991">
        <v>23.764999771118163</v>
      </c>
      <c r="U37" s="21"/>
      <c r="V37" s="991">
        <v>0.7</v>
      </c>
      <c r="W37" s="991">
        <v>0.7</v>
      </c>
      <c r="X37" s="991">
        <v>0.7</v>
      </c>
      <c r="Y37" s="21"/>
      <c r="Z37" s="991">
        <v>0.12974625000000001</v>
      </c>
      <c r="AA37" s="991">
        <v>0.25949250000000001</v>
      </c>
      <c r="AB37" s="991">
        <v>0.38923875000000002</v>
      </c>
      <c r="AC37" s="21"/>
      <c r="AD37" s="991">
        <v>3.3614000000000005E-2</v>
      </c>
      <c r="AE37" s="991">
        <v>6.722800000000001E-2</v>
      </c>
      <c r="AF37" s="991">
        <v>0.10084200000000001</v>
      </c>
      <c r="AG37" s="21"/>
      <c r="AH37" s="991">
        <v>-0.25</v>
      </c>
      <c r="AI37" s="991">
        <v>1.1000000000000001</v>
      </c>
      <c r="AJ37" s="991">
        <v>0.3</v>
      </c>
      <c r="AK37" s="21"/>
      <c r="AL37" s="991">
        <v>-0.15</v>
      </c>
      <c r="AM37" s="991">
        <v>0.5</v>
      </c>
      <c r="AN37" s="991">
        <v>0.2</v>
      </c>
      <c r="AO37" s="21"/>
      <c r="AP37" s="12">
        <v>10</v>
      </c>
      <c r="AQ37" s="992">
        <v>0.2</v>
      </c>
      <c r="AR37" s="21"/>
      <c r="AS37" s="992">
        <v>-5</v>
      </c>
      <c r="AT37" s="994">
        <v>1.4999999999999999E-2</v>
      </c>
      <c r="AU37" s="21"/>
      <c r="AV37" s="992">
        <v>1</v>
      </c>
      <c r="AW37" s="21"/>
      <c r="AX37" s="21"/>
      <c r="AY37" s="21"/>
      <c r="AZ37" s="21"/>
      <c r="BA37" s="21"/>
      <c r="BB37" s="21"/>
      <c r="BC37" s="21"/>
      <c r="BD37" s="21"/>
      <c r="BE37" s="21"/>
      <c r="BF37" s="21"/>
      <c r="BH37" s="20"/>
      <c r="BI37" s="20"/>
      <c r="BJ37" s="395"/>
      <c r="BK37"/>
      <c r="BL37"/>
      <c r="BM37"/>
      <c r="BN37"/>
      <c r="BO37"/>
      <c r="BP37"/>
      <c r="BQ37" s="553">
        <f t="shared" si="1"/>
        <v>37561</v>
      </c>
      <c r="BR37" s="716">
        <v>2.8149999999999999</v>
      </c>
      <c r="BS37" s="716">
        <v>2.82</v>
      </c>
      <c r="BT37" s="716">
        <v>2.8250000000000002</v>
      </c>
      <c r="BU37" s="717">
        <v>0.17450000000000002</v>
      </c>
      <c r="BV37" s="717">
        <v>0.182</v>
      </c>
      <c r="BW37" s="717">
        <v>0.1895</v>
      </c>
      <c r="BX37" s="717">
        <f t="shared" si="7"/>
        <v>-7.0000000000000007E-2</v>
      </c>
      <c r="BY37" s="717"/>
      <c r="BZ37" s="717">
        <f t="shared" si="8"/>
        <v>7.0000000000000007E-2</v>
      </c>
      <c r="CA37" s="757">
        <v>0</v>
      </c>
      <c r="CB37" s="716">
        <f t="shared" si="9"/>
        <v>0</v>
      </c>
      <c r="CC37" s="789">
        <f t="shared" si="10"/>
        <v>2.8149999999999999</v>
      </c>
      <c r="CD37" s="793">
        <f t="shared" si="11"/>
        <v>0.1895</v>
      </c>
    </row>
    <row r="38" spans="1:82" ht="13.8" x14ac:dyDescent="0.3">
      <c r="A38" s="553">
        <f t="shared" si="0"/>
        <v>37681</v>
      </c>
      <c r="B38" s="717">
        <v>7.1978212507014E-2</v>
      </c>
      <c r="C38" s="459"/>
      <c r="D38" s="989">
        <v>36614</v>
      </c>
      <c r="E38" s="990">
        <v>32.9</v>
      </c>
      <c r="F38" s="990">
        <v>33.25</v>
      </c>
      <c r="G38" s="990">
        <v>33.6</v>
      </c>
      <c r="H38" s="977"/>
      <c r="I38" s="990">
        <v>20.324999999999999</v>
      </c>
      <c r="J38" s="990">
        <v>20.5</v>
      </c>
      <c r="K38" s="990">
        <v>20.675000000000001</v>
      </c>
      <c r="L38" s="12"/>
      <c r="M38" s="1004">
        <v>37408</v>
      </c>
      <c r="N38" s="991">
        <v>23.88375015258789</v>
      </c>
      <c r="O38" s="991">
        <v>26.058750152587891</v>
      </c>
      <c r="P38" s="991">
        <v>28.233750152587891</v>
      </c>
      <c r="Q38" s="21"/>
      <c r="R38" s="991">
        <v>16.542499542236328</v>
      </c>
      <c r="S38" s="991">
        <v>19.542499542236328</v>
      </c>
      <c r="T38" s="991">
        <v>22.542499542236328</v>
      </c>
      <c r="U38" s="21"/>
      <c r="V38" s="991">
        <v>0.7</v>
      </c>
      <c r="W38" s="991">
        <v>0.7</v>
      </c>
      <c r="X38" s="991">
        <v>0.7</v>
      </c>
      <c r="Y38" s="21"/>
      <c r="Z38" s="991">
        <v>0.16255687499999999</v>
      </c>
      <c r="AA38" s="991">
        <v>0.32511374999999998</v>
      </c>
      <c r="AB38" s="991">
        <v>0.48767062499999997</v>
      </c>
      <c r="AC38" s="21"/>
      <c r="AD38" s="991">
        <v>4.3217999999999999E-2</v>
      </c>
      <c r="AE38" s="991">
        <v>8.6435999999999999E-2</v>
      </c>
      <c r="AF38" s="991">
        <v>0.12965399999999999</v>
      </c>
      <c r="AG38" s="21"/>
      <c r="AH38" s="991">
        <v>-0.35</v>
      </c>
      <c r="AI38" s="991">
        <v>2</v>
      </c>
      <c r="AJ38" s="991">
        <v>0.3</v>
      </c>
      <c r="AK38" s="21"/>
      <c r="AL38" s="991">
        <v>-0.15</v>
      </c>
      <c r="AM38" s="991">
        <v>0.65</v>
      </c>
      <c r="AN38" s="991">
        <v>0.2</v>
      </c>
      <c r="AO38" s="21"/>
      <c r="AP38" s="12">
        <v>10</v>
      </c>
      <c r="AQ38" s="992">
        <v>0.2</v>
      </c>
      <c r="AR38" s="21"/>
      <c r="AS38" s="992">
        <v>-4.5</v>
      </c>
      <c r="AT38" s="995">
        <v>1.4999999999999999E-2</v>
      </c>
      <c r="AU38" s="21"/>
      <c r="AV38" s="992">
        <v>2</v>
      </c>
      <c r="AW38" s="21"/>
      <c r="AX38" s="21"/>
      <c r="AY38" s="21"/>
      <c r="AZ38" s="21"/>
      <c r="BA38" s="21"/>
      <c r="BB38" s="21"/>
      <c r="BC38" s="21"/>
      <c r="BD38" s="21"/>
      <c r="BE38" s="21"/>
      <c r="BF38" s="21"/>
      <c r="BH38" s="20"/>
      <c r="BI38" s="20"/>
      <c r="BJ38" s="395"/>
      <c r="BK38"/>
      <c r="BL38"/>
      <c r="BM38"/>
      <c r="BN38"/>
      <c r="BO38"/>
      <c r="BP38"/>
      <c r="BQ38" s="553">
        <f t="shared" si="1"/>
        <v>37591</v>
      </c>
      <c r="BR38" s="716">
        <v>2.9390000000000001</v>
      </c>
      <c r="BS38" s="716">
        <v>2.944</v>
      </c>
      <c r="BT38" s="716">
        <v>2.9490000000000003</v>
      </c>
      <c r="BU38" s="717">
        <v>0.17550000000000002</v>
      </c>
      <c r="BV38" s="717">
        <v>0.183</v>
      </c>
      <c r="BW38" s="717">
        <v>0.1905</v>
      </c>
      <c r="BX38" s="717">
        <f t="shared" si="7"/>
        <v>-7.0000000000000007E-2</v>
      </c>
      <c r="BY38" s="717"/>
      <c r="BZ38" s="717">
        <f t="shared" si="8"/>
        <v>7.0000000000000007E-2</v>
      </c>
      <c r="CA38" s="757">
        <v>0</v>
      </c>
      <c r="CB38" s="716">
        <f t="shared" si="9"/>
        <v>0</v>
      </c>
      <c r="CC38" s="789">
        <f t="shared" si="10"/>
        <v>2.9390000000000001</v>
      </c>
      <c r="CD38" s="793">
        <f t="shared" si="11"/>
        <v>0.1905</v>
      </c>
    </row>
    <row r="39" spans="1:82" ht="13.8" x14ac:dyDescent="0.3">
      <c r="A39" s="553">
        <f t="shared" si="0"/>
        <v>37712</v>
      </c>
      <c r="B39" s="717">
        <v>7.20561019016E-2</v>
      </c>
      <c r="C39" s="459"/>
      <c r="D39" s="989">
        <v>36615</v>
      </c>
      <c r="E39" s="990">
        <v>32.9</v>
      </c>
      <c r="F39" s="990">
        <v>33.25</v>
      </c>
      <c r="G39" s="990">
        <v>33.6</v>
      </c>
      <c r="H39" s="977"/>
      <c r="I39" s="990">
        <v>20.324999999999999</v>
      </c>
      <c r="J39" s="990">
        <v>20.5</v>
      </c>
      <c r="K39" s="990">
        <v>20.675000000000001</v>
      </c>
      <c r="L39" s="12"/>
      <c r="M39" s="1004">
        <v>37438</v>
      </c>
      <c r="N39" s="991">
        <v>36.761249542236328</v>
      </c>
      <c r="O39" s="991">
        <v>39.761249542236328</v>
      </c>
      <c r="P39" s="991">
        <v>42.761249542236328</v>
      </c>
      <c r="Q39" s="21"/>
      <c r="R39" s="991">
        <v>26.247499465942383</v>
      </c>
      <c r="S39" s="991">
        <v>29.247499465942383</v>
      </c>
      <c r="T39" s="991">
        <v>32.247499465942383</v>
      </c>
      <c r="U39" s="21"/>
      <c r="V39" s="991">
        <v>0.7</v>
      </c>
      <c r="W39" s="991">
        <v>0.7</v>
      </c>
      <c r="X39" s="991">
        <v>0.7</v>
      </c>
      <c r="Y39" s="21"/>
      <c r="Z39" s="991">
        <v>0.192481875</v>
      </c>
      <c r="AA39" s="991">
        <v>0.38496374999999999</v>
      </c>
      <c r="AB39" s="991">
        <v>0.57744562499999996</v>
      </c>
      <c r="AC39" s="21"/>
      <c r="AD39" s="991">
        <v>5.7623999999999995E-2</v>
      </c>
      <c r="AE39" s="991">
        <v>0.11524799999999999</v>
      </c>
      <c r="AF39" s="991">
        <v>0.17287199999999997</v>
      </c>
      <c r="AG39" s="21"/>
      <c r="AH39" s="991">
        <v>-0.35</v>
      </c>
      <c r="AI39" s="991">
        <v>3</v>
      </c>
      <c r="AJ39" s="991">
        <v>0.5</v>
      </c>
      <c r="AK39" s="21"/>
      <c r="AL39" s="991">
        <v>-0.15</v>
      </c>
      <c r="AM39" s="991">
        <v>0.75</v>
      </c>
      <c r="AN39" s="991">
        <v>0.2</v>
      </c>
      <c r="AO39" s="21"/>
      <c r="AP39" s="12">
        <v>11</v>
      </c>
      <c r="AQ39" s="992">
        <v>0.3</v>
      </c>
      <c r="AR39" s="21"/>
      <c r="AS39" s="996">
        <v>-4</v>
      </c>
      <c r="AT39" s="994">
        <v>1.2500000000000001E-2</v>
      </c>
      <c r="AU39" s="21"/>
      <c r="AV39" s="992">
        <v>3</v>
      </c>
      <c r="AW39" s="21"/>
      <c r="AX39" s="21"/>
      <c r="AY39" s="21"/>
      <c r="AZ39" s="21"/>
      <c r="BA39" s="21"/>
      <c r="BB39" s="21"/>
      <c r="BC39" s="21"/>
      <c r="BD39" s="21"/>
      <c r="BE39" s="21"/>
      <c r="BF39" s="21"/>
      <c r="BH39" s="20"/>
      <c r="BI39" s="20"/>
      <c r="BJ39" s="395"/>
      <c r="BK39"/>
      <c r="BL39"/>
      <c r="BM39"/>
      <c r="BN39"/>
      <c r="BO39"/>
      <c r="BP39"/>
      <c r="BQ39" s="553">
        <f t="shared" si="1"/>
        <v>37622</v>
      </c>
      <c r="BR39" s="716">
        <v>2.97</v>
      </c>
      <c r="BS39" s="716">
        <v>2.9750000000000001</v>
      </c>
      <c r="BT39" s="716">
        <v>2.98</v>
      </c>
      <c r="BU39" s="717">
        <v>0.18050000000000002</v>
      </c>
      <c r="BV39" s="717">
        <v>0.188</v>
      </c>
      <c r="BW39" s="717">
        <v>0.19550000000000001</v>
      </c>
      <c r="BX39" s="717">
        <f t="shared" ref="BX39:BX54" si="12">BY39-$BX$4</f>
        <v>-7.0000000000000007E-2</v>
      </c>
      <c r="BY39" s="717"/>
      <c r="BZ39" s="717">
        <f t="shared" ref="BZ39:BZ54" si="13">BY39+$BZ$4</f>
        <v>7.0000000000000007E-2</v>
      </c>
      <c r="CA39" s="757">
        <v>0</v>
      </c>
      <c r="CB39" s="716">
        <f t="shared" ref="CB39:CB54" si="14">GasBasis</f>
        <v>0</v>
      </c>
      <c r="CC39" s="789">
        <f t="shared" ref="CC39:CC54" si="15">(IF(GasPriceCurve,IF(OBuySell=OCallPut,BT39,BR39),BS39)+CA39/1000+CB39)/(1-GasTransportPercent)</f>
        <v>2.97</v>
      </c>
      <c r="CD39" s="793">
        <f t="shared" ref="CD39:CD54" si="16">IF(GasVolOver,GasVolOver,IF(OVolType=2,IF(OR(BU39="",BV39="",BW39=""),CD38,IF(GasVolCurve,IF(OBuySell,BU39,BW39),BV39)*GasVolAsPercentOfNYMEX),IF(OR(BU39="",BV39="",BW39="",BY39=""),CD38,SQRT(((IF(GasVolCurve,IF(OBuySell,BU39,BW39),BV39)*GasVolAsPercentOfNYMEX)^2*(BQ39-DateToday-1)+IF(GasVolCurve,IF(OBuySell,BX39,BZ39),BY39)^2*15)/(BQ39-DateToday+14))))+GasVolSpread)</f>
        <v>0.19550000000000001</v>
      </c>
    </row>
    <row r="40" spans="1:82" ht="13.8" x14ac:dyDescent="0.3">
      <c r="A40" s="553">
        <f t="shared" si="0"/>
        <v>37742</v>
      </c>
      <c r="B40" s="717">
        <v>7.2116257975074011E-2</v>
      </c>
      <c r="C40" s="459"/>
      <c r="D40" s="989">
        <v>36616</v>
      </c>
      <c r="E40" s="990">
        <v>32.9</v>
      </c>
      <c r="F40" s="990">
        <v>33.25</v>
      </c>
      <c r="G40" s="990">
        <v>33.6</v>
      </c>
      <c r="H40" s="977"/>
      <c r="I40" s="990">
        <v>20.324999999999999</v>
      </c>
      <c r="J40" s="990">
        <v>20.5</v>
      </c>
      <c r="K40" s="990">
        <v>20.675000000000001</v>
      </c>
      <c r="L40" s="12"/>
      <c r="M40" s="1004">
        <v>37469</v>
      </c>
      <c r="N40" s="991">
        <v>39.022499084472656</v>
      </c>
      <c r="O40" s="991">
        <v>42.022499084472656</v>
      </c>
      <c r="P40" s="991">
        <v>45.022499084472656</v>
      </c>
      <c r="Q40" s="21"/>
      <c r="R40" s="991">
        <v>27.745000839233398</v>
      </c>
      <c r="S40" s="991">
        <v>30.745000839233398</v>
      </c>
      <c r="T40" s="991">
        <v>33.745000839233398</v>
      </c>
      <c r="U40" s="21"/>
      <c r="V40" s="991">
        <v>1.2</v>
      </c>
      <c r="W40" s="991">
        <v>1.2</v>
      </c>
      <c r="X40" s="991">
        <v>1.2</v>
      </c>
      <c r="Y40" s="21"/>
      <c r="Z40" s="991">
        <v>0.18959624999999999</v>
      </c>
      <c r="AA40" s="991">
        <v>0.37919249999999999</v>
      </c>
      <c r="AB40" s="991">
        <v>0.56878874999999995</v>
      </c>
      <c r="AC40" s="21"/>
      <c r="AD40" s="991">
        <v>5.7623999999999995E-2</v>
      </c>
      <c r="AE40" s="991">
        <v>0.11524799999999999</v>
      </c>
      <c r="AF40" s="991">
        <v>0.17287199999999997</v>
      </c>
      <c r="AG40" s="21"/>
      <c r="AH40" s="991">
        <v>-0.35</v>
      </c>
      <c r="AI40" s="991">
        <v>3</v>
      </c>
      <c r="AJ40" s="991">
        <v>0.5</v>
      </c>
      <c r="AK40" s="21"/>
      <c r="AL40" s="991">
        <v>-0.15</v>
      </c>
      <c r="AM40" s="991">
        <v>0.75</v>
      </c>
      <c r="AN40" s="991">
        <v>0.2</v>
      </c>
      <c r="AO40" s="21"/>
      <c r="AP40" s="12">
        <v>11</v>
      </c>
      <c r="AQ40" s="992">
        <v>0.3</v>
      </c>
      <c r="AR40" s="21"/>
      <c r="AS40" s="992">
        <v>-3.5</v>
      </c>
      <c r="AT40" s="994">
        <v>1.2500000000000001E-2</v>
      </c>
      <c r="AU40" s="21"/>
      <c r="AV40" s="992">
        <v>4</v>
      </c>
      <c r="AW40" s="21"/>
      <c r="AX40" s="21"/>
      <c r="AY40" s="21"/>
      <c r="AZ40" s="21"/>
      <c r="BA40" s="21"/>
      <c r="BB40" s="21"/>
      <c r="BC40" s="21"/>
      <c r="BD40" s="21"/>
      <c r="BE40" s="21"/>
      <c r="BF40" s="21"/>
      <c r="BH40" s="20"/>
      <c r="BI40" s="20"/>
      <c r="BJ40" s="395"/>
      <c r="BK40"/>
      <c r="BL40"/>
      <c r="BM40"/>
      <c r="BN40"/>
      <c r="BO40"/>
      <c r="BP40"/>
      <c r="BQ40" s="553">
        <f t="shared" si="1"/>
        <v>37653</v>
      </c>
      <c r="BR40" s="716">
        <v>2.8520000000000003</v>
      </c>
      <c r="BS40" s="716">
        <v>2.8570000000000002</v>
      </c>
      <c r="BT40" s="716">
        <v>2.8620000000000001</v>
      </c>
      <c r="BU40" s="717">
        <v>0.17900000000000002</v>
      </c>
      <c r="BV40" s="717">
        <v>0.1865</v>
      </c>
      <c r="BW40" s="717">
        <v>0.19400000000000001</v>
      </c>
      <c r="BX40" s="717">
        <f t="shared" si="12"/>
        <v>-7.0000000000000007E-2</v>
      </c>
      <c r="BY40" s="717"/>
      <c r="BZ40" s="717">
        <f t="shared" si="13"/>
        <v>7.0000000000000007E-2</v>
      </c>
      <c r="CA40" s="757">
        <v>0</v>
      </c>
      <c r="CB40" s="716">
        <f t="shared" si="14"/>
        <v>0</v>
      </c>
      <c r="CC40" s="789">
        <f t="shared" si="15"/>
        <v>2.8520000000000003</v>
      </c>
      <c r="CD40" s="793">
        <f t="shared" si="16"/>
        <v>0.19400000000000001</v>
      </c>
    </row>
    <row r="41" spans="1:82" ht="13.8" x14ac:dyDescent="0.3">
      <c r="A41" s="553">
        <f t="shared" si="0"/>
        <v>37773</v>
      </c>
      <c r="B41" s="717">
        <v>7.2178419252254003E-2</v>
      </c>
      <c r="C41" s="459"/>
      <c r="D41" s="989">
        <v>36617</v>
      </c>
      <c r="E41" s="990">
        <v>31.8</v>
      </c>
      <c r="F41" s="990">
        <v>32</v>
      </c>
      <c r="G41" s="990">
        <v>32.200000000000003</v>
      </c>
      <c r="H41" s="977"/>
      <c r="I41" s="990">
        <v>19.399998092651366</v>
      </c>
      <c r="J41" s="990">
        <v>19.499998092651367</v>
      </c>
      <c r="K41" s="990">
        <v>19.599998092651369</v>
      </c>
      <c r="L41" s="12"/>
      <c r="M41" s="1004">
        <v>37500</v>
      </c>
      <c r="N41" s="991">
        <v>22.304999160766599</v>
      </c>
      <c r="O41" s="991">
        <v>22.9049991607666</v>
      </c>
      <c r="P41" s="991">
        <v>23.504999160766602</v>
      </c>
      <c r="Q41" s="21"/>
      <c r="R41" s="991">
        <v>20.399999999999999</v>
      </c>
      <c r="S41" s="991">
        <v>23.4</v>
      </c>
      <c r="T41" s="991">
        <v>26.4</v>
      </c>
      <c r="U41" s="21"/>
      <c r="V41" s="991">
        <v>1.2</v>
      </c>
      <c r="W41" s="991">
        <v>1.2</v>
      </c>
      <c r="X41" s="991">
        <v>1.2</v>
      </c>
      <c r="Y41" s="21"/>
      <c r="Z41" s="991">
        <v>0.12547124999999998</v>
      </c>
      <c r="AA41" s="991">
        <v>0.25094249999999996</v>
      </c>
      <c r="AB41" s="991">
        <v>0.37641374999999994</v>
      </c>
      <c r="AC41" s="21"/>
      <c r="AD41" s="991">
        <v>3.8415999999999999E-2</v>
      </c>
      <c r="AE41" s="991">
        <v>7.6831999999999998E-2</v>
      </c>
      <c r="AF41" s="991">
        <v>0.11524799999999999</v>
      </c>
      <c r="AG41" s="21"/>
      <c r="AH41" s="991">
        <v>-0.35</v>
      </c>
      <c r="AI41" s="991">
        <v>1.25</v>
      </c>
      <c r="AJ41" s="991">
        <v>0.3</v>
      </c>
      <c r="AK41" s="21"/>
      <c r="AL41" s="991">
        <v>-0.15</v>
      </c>
      <c r="AM41" s="991">
        <v>0.4</v>
      </c>
      <c r="AN41" s="991">
        <v>0.2</v>
      </c>
      <c r="AO41" s="21"/>
      <c r="AP41" s="12">
        <v>11</v>
      </c>
      <c r="AQ41" s="992">
        <v>0.3</v>
      </c>
      <c r="AR41" s="21"/>
      <c r="AS41" s="992">
        <v>-3</v>
      </c>
      <c r="AT41" s="994">
        <v>0.01</v>
      </c>
      <c r="AU41" s="21"/>
      <c r="AV41" s="992">
        <v>10</v>
      </c>
      <c r="AW41" s="21"/>
      <c r="AX41" s="21"/>
      <c r="AY41" s="21"/>
      <c r="AZ41" s="21"/>
      <c r="BA41" s="21"/>
      <c r="BB41" s="21"/>
      <c r="BC41" s="21"/>
      <c r="BD41" s="21"/>
      <c r="BE41" s="21"/>
      <c r="BF41" s="21"/>
      <c r="BH41" s="20"/>
      <c r="BI41" s="20"/>
      <c r="BJ41" s="395"/>
      <c r="BK41"/>
      <c r="BL41"/>
      <c r="BM41"/>
      <c r="BN41"/>
      <c r="BO41"/>
      <c r="BP41"/>
      <c r="BQ41" s="553">
        <f t="shared" si="1"/>
        <v>37681</v>
      </c>
      <c r="BR41" s="716">
        <v>2.7320000000000002</v>
      </c>
      <c r="BS41" s="716">
        <v>2.7370000000000001</v>
      </c>
      <c r="BT41" s="716">
        <v>2.742</v>
      </c>
      <c r="BU41" s="717">
        <v>0.16900000000000001</v>
      </c>
      <c r="BV41" s="717">
        <v>0.17650000000000002</v>
      </c>
      <c r="BW41" s="717">
        <v>0.184</v>
      </c>
      <c r="BX41" s="717">
        <f t="shared" si="12"/>
        <v>-7.0000000000000007E-2</v>
      </c>
      <c r="BY41" s="717"/>
      <c r="BZ41" s="717">
        <f t="shared" si="13"/>
        <v>7.0000000000000007E-2</v>
      </c>
      <c r="CA41" s="757">
        <v>0</v>
      </c>
      <c r="CB41" s="716">
        <f t="shared" si="14"/>
        <v>0</v>
      </c>
      <c r="CC41" s="789">
        <f t="shared" si="15"/>
        <v>2.7320000000000002</v>
      </c>
      <c r="CD41" s="793">
        <f t="shared" si="16"/>
        <v>0.184</v>
      </c>
    </row>
    <row r="42" spans="1:82" ht="13.8" x14ac:dyDescent="0.3">
      <c r="A42" s="553">
        <f t="shared" si="0"/>
        <v>37803</v>
      </c>
      <c r="B42" s="717">
        <v>7.2234722830806009E-2</v>
      </c>
      <c r="C42" s="459"/>
      <c r="D42" s="989">
        <v>36647</v>
      </c>
      <c r="E42" s="990">
        <v>34.5</v>
      </c>
      <c r="F42" s="990">
        <v>35</v>
      </c>
      <c r="G42" s="990">
        <v>35.5</v>
      </c>
      <c r="H42" s="977"/>
      <c r="I42" s="990">
        <v>19.249998092651367</v>
      </c>
      <c r="J42" s="990">
        <v>19.499998092651367</v>
      </c>
      <c r="K42" s="990">
        <v>19.749998092651367</v>
      </c>
      <c r="L42" s="12"/>
      <c r="M42" s="1004">
        <v>37530</v>
      </c>
      <c r="N42" s="991">
        <v>22.513000106811521</v>
      </c>
      <c r="O42" s="991">
        <v>23.000500106811522</v>
      </c>
      <c r="P42" s="991">
        <v>23.488000106811523</v>
      </c>
      <c r="Q42" s="21"/>
      <c r="R42" s="991">
        <v>18.000999832153319</v>
      </c>
      <c r="S42" s="991">
        <v>21.000999832153319</v>
      </c>
      <c r="T42" s="991">
        <v>24.000999832153319</v>
      </c>
      <c r="U42" s="21"/>
      <c r="V42" s="991">
        <v>1.2</v>
      </c>
      <c r="W42" s="991">
        <v>1.2</v>
      </c>
      <c r="X42" s="991">
        <v>1.2</v>
      </c>
      <c r="Y42" s="21"/>
      <c r="Z42" s="991">
        <v>0.11414250000000001</v>
      </c>
      <c r="AA42" s="991">
        <v>0.22828500000000002</v>
      </c>
      <c r="AB42" s="991">
        <v>0.3424275</v>
      </c>
      <c r="AC42" s="21"/>
      <c r="AD42" s="991">
        <v>2.8811999999999997E-2</v>
      </c>
      <c r="AE42" s="991">
        <v>5.7623999999999995E-2</v>
      </c>
      <c r="AF42" s="991">
        <v>8.6435999999999985E-2</v>
      </c>
      <c r="AG42" s="21"/>
      <c r="AH42" s="991">
        <v>-0.25</v>
      </c>
      <c r="AI42" s="991">
        <v>1.1000000000000001</v>
      </c>
      <c r="AJ42" s="991">
        <v>0.3</v>
      </c>
      <c r="AK42" s="21"/>
      <c r="AL42" s="991">
        <v>-0.15</v>
      </c>
      <c r="AM42" s="991">
        <v>0.35</v>
      </c>
      <c r="AN42" s="991">
        <v>0.2</v>
      </c>
      <c r="AO42" s="21"/>
      <c r="AP42" s="12">
        <v>12</v>
      </c>
      <c r="AQ42" s="992">
        <v>0.3</v>
      </c>
      <c r="AR42" s="21"/>
      <c r="AS42" s="992">
        <v>-2.5</v>
      </c>
      <c r="AT42" s="995">
        <v>5.0000000000000001E-3</v>
      </c>
      <c r="AU42" s="21"/>
      <c r="AV42" s="992">
        <v>0</v>
      </c>
      <c r="AW42" s="21"/>
      <c r="AX42" s="21"/>
      <c r="AY42" s="21"/>
      <c r="AZ42" s="21"/>
      <c r="BA42" s="21"/>
      <c r="BB42" s="21"/>
      <c r="BC42" s="21"/>
      <c r="BD42" s="21"/>
      <c r="BE42" s="21"/>
      <c r="BF42" s="21"/>
      <c r="BH42" s="20"/>
      <c r="BI42" s="20"/>
      <c r="BJ42" s="395"/>
      <c r="BK42"/>
      <c r="BL42"/>
      <c r="BM42"/>
      <c r="BN42"/>
      <c r="BO42"/>
      <c r="BP42"/>
      <c r="BQ42" s="553">
        <f t="shared" si="1"/>
        <v>37712</v>
      </c>
      <c r="BR42" s="716">
        <v>2.6825000000000001</v>
      </c>
      <c r="BS42" s="716">
        <v>2.6875</v>
      </c>
      <c r="BT42" s="716">
        <v>2.6924999999999999</v>
      </c>
      <c r="BU42" s="717">
        <v>0.16650000000000001</v>
      </c>
      <c r="BV42" s="717">
        <v>0.17400000000000002</v>
      </c>
      <c r="BW42" s="717">
        <v>0.18150000000000002</v>
      </c>
      <c r="BX42" s="717">
        <f t="shared" si="12"/>
        <v>-7.0000000000000007E-2</v>
      </c>
      <c r="BY42" s="717"/>
      <c r="BZ42" s="717">
        <f t="shared" si="13"/>
        <v>7.0000000000000007E-2</v>
      </c>
      <c r="CA42" s="756">
        <f t="shared" ref="CA42:CA105" si="17">CA30</f>
        <v>0</v>
      </c>
      <c r="CB42" s="716">
        <f t="shared" si="14"/>
        <v>0</v>
      </c>
      <c r="CC42" s="789">
        <f t="shared" si="15"/>
        <v>2.6825000000000001</v>
      </c>
      <c r="CD42" s="793">
        <f t="shared" si="16"/>
        <v>0.18150000000000002</v>
      </c>
    </row>
    <row r="43" spans="1:82" ht="13.8" x14ac:dyDescent="0.3">
      <c r="A43" s="553">
        <f t="shared" si="0"/>
        <v>37834</v>
      </c>
      <c r="B43" s="717">
        <v>7.2287360659209987E-2</v>
      </c>
      <c r="C43" s="459"/>
      <c r="D43" s="989">
        <v>36678</v>
      </c>
      <c r="E43" s="990">
        <v>72.5</v>
      </c>
      <c r="F43" s="990">
        <v>74</v>
      </c>
      <c r="G43" s="990">
        <v>75.5</v>
      </c>
      <c r="H43" s="977"/>
      <c r="I43" s="990">
        <v>18.754999160766602</v>
      </c>
      <c r="J43" s="990">
        <v>19.504999160766602</v>
      </c>
      <c r="K43" s="990">
        <v>20.254999160766602</v>
      </c>
      <c r="L43" s="12"/>
      <c r="M43" s="1004">
        <v>37561</v>
      </c>
      <c r="N43" s="991">
        <v>23.51725158691406</v>
      </c>
      <c r="O43" s="991">
        <v>24.004751586914061</v>
      </c>
      <c r="P43" s="991">
        <v>24.492251586914062</v>
      </c>
      <c r="Q43" s="21"/>
      <c r="R43" s="991">
        <v>19.00449981689453</v>
      </c>
      <c r="S43" s="991">
        <v>22.00449981689453</v>
      </c>
      <c r="T43" s="991">
        <v>25.00449981689453</v>
      </c>
      <c r="U43" s="21"/>
      <c r="V43" s="991">
        <v>1.2</v>
      </c>
      <c r="W43" s="991">
        <v>1.2</v>
      </c>
      <c r="X43" s="991">
        <v>1.2</v>
      </c>
      <c r="Y43" s="21"/>
      <c r="Z43" s="991">
        <v>0.11414250000000001</v>
      </c>
      <c r="AA43" s="991">
        <v>0.22828500000000002</v>
      </c>
      <c r="AB43" s="991">
        <v>0.3424275</v>
      </c>
      <c r="AC43" s="21"/>
      <c r="AD43" s="991">
        <v>2.8811999999999997E-2</v>
      </c>
      <c r="AE43" s="991">
        <v>5.7623999999999995E-2</v>
      </c>
      <c r="AF43" s="991">
        <v>8.6435999999999985E-2</v>
      </c>
      <c r="AG43" s="21"/>
      <c r="AH43" s="991">
        <v>-0.25</v>
      </c>
      <c r="AI43" s="991">
        <v>1.25</v>
      </c>
      <c r="AJ43" s="991">
        <v>0.3</v>
      </c>
      <c r="AK43" s="21"/>
      <c r="AL43" s="991">
        <v>-0.15</v>
      </c>
      <c r="AM43" s="991">
        <v>0.3</v>
      </c>
      <c r="AN43" s="991">
        <v>0.2</v>
      </c>
      <c r="AO43" s="21"/>
      <c r="AP43" s="12">
        <v>12</v>
      </c>
      <c r="AQ43" s="992">
        <v>0.3</v>
      </c>
      <c r="AR43" s="21"/>
      <c r="AS43" s="992">
        <v>-2</v>
      </c>
      <c r="AT43" s="995">
        <v>2.5000000000000001E-3</v>
      </c>
      <c r="AU43" s="21"/>
      <c r="AV43" s="992">
        <v>0</v>
      </c>
      <c r="AW43" s="21"/>
      <c r="AX43" s="21"/>
      <c r="AY43" s="21"/>
      <c r="AZ43" s="21"/>
      <c r="BA43" s="21"/>
      <c r="BB43" s="21"/>
      <c r="BC43" s="21"/>
      <c r="BD43" s="21"/>
      <c r="BE43" s="21"/>
      <c r="BF43" s="21"/>
      <c r="BH43" s="20"/>
      <c r="BI43" s="20"/>
      <c r="BJ43" s="395"/>
      <c r="BK43"/>
      <c r="BL43"/>
      <c r="BM43"/>
      <c r="BN43"/>
      <c r="BO43"/>
      <c r="BP43" s="95"/>
      <c r="BQ43" s="553">
        <f t="shared" si="1"/>
        <v>37742</v>
      </c>
      <c r="BR43" s="716">
        <v>2.6565000000000003</v>
      </c>
      <c r="BS43" s="716">
        <v>2.6615000000000002</v>
      </c>
      <c r="BT43" s="716">
        <v>2.6665000000000001</v>
      </c>
      <c r="BU43" s="717">
        <v>0.16400000000000001</v>
      </c>
      <c r="BV43" s="717">
        <v>0.17150000000000001</v>
      </c>
      <c r="BW43" s="717">
        <v>0.17900000000000002</v>
      </c>
      <c r="BX43" s="717">
        <f t="shared" si="12"/>
        <v>-7.0000000000000007E-2</v>
      </c>
      <c r="BY43" s="717"/>
      <c r="BZ43" s="717">
        <f t="shared" si="13"/>
        <v>7.0000000000000007E-2</v>
      </c>
      <c r="CA43" s="756">
        <f t="shared" si="17"/>
        <v>0</v>
      </c>
      <c r="CB43" s="716">
        <f t="shared" si="14"/>
        <v>0</v>
      </c>
      <c r="CC43" s="789">
        <f t="shared" si="15"/>
        <v>2.6565000000000003</v>
      </c>
      <c r="CD43" s="793">
        <f t="shared" si="16"/>
        <v>0.17900000000000002</v>
      </c>
    </row>
    <row r="44" spans="1:82" ht="13.8" x14ac:dyDescent="0.3">
      <c r="A44" s="553">
        <f t="shared" si="0"/>
        <v>37865</v>
      </c>
      <c r="B44" s="717">
        <v>7.2339998488529011E-2</v>
      </c>
      <c r="C44" s="459"/>
      <c r="D44" s="989">
        <v>36708</v>
      </c>
      <c r="E44" s="990">
        <v>107.5</v>
      </c>
      <c r="F44" s="990">
        <v>110</v>
      </c>
      <c r="G44" s="990">
        <v>112.5</v>
      </c>
      <c r="H44" s="977"/>
      <c r="I44" s="990">
        <v>23.749998092651367</v>
      </c>
      <c r="J44" s="990">
        <v>24.999998092651367</v>
      </c>
      <c r="K44" s="990">
        <v>26.249998092651367</v>
      </c>
      <c r="L44" s="12"/>
      <c r="M44" s="1004">
        <v>37591</v>
      </c>
      <c r="N44" s="991">
        <v>24.967498397827146</v>
      </c>
      <c r="O44" s="991">
        <v>25.454998397827147</v>
      </c>
      <c r="P44" s="991">
        <v>25.942498397827148</v>
      </c>
      <c r="Q44" s="21"/>
      <c r="R44" s="991">
        <v>18.949999237060545</v>
      </c>
      <c r="S44" s="991">
        <v>21.949999237060545</v>
      </c>
      <c r="T44" s="991">
        <v>24.949999237060545</v>
      </c>
      <c r="U44" s="21"/>
      <c r="V44" s="991">
        <v>1.2</v>
      </c>
      <c r="W44" s="991">
        <v>1.2</v>
      </c>
      <c r="X44" s="991">
        <v>1.2</v>
      </c>
      <c r="Y44" s="21"/>
      <c r="Z44" s="991">
        <v>0.1182465</v>
      </c>
      <c r="AA44" s="991">
        <v>0.23649300000000001</v>
      </c>
      <c r="AB44" s="991">
        <v>0.35473949999999999</v>
      </c>
      <c r="AC44" s="21"/>
      <c r="AD44" s="991">
        <v>2.8811999999999997E-2</v>
      </c>
      <c r="AE44" s="991">
        <v>5.7623999999999995E-2</v>
      </c>
      <c r="AF44" s="991">
        <v>8.6435999999999985E-2</v>
      </c>
      <c r="AG44" s="21"/>
      <c r="AH44" s="991">
        <v>-0.25</v>
      </c>
      <c r="AI44" s="991">
        <v>1.25</v>
      </c>
      <c r="AJ44" s="991">
        <v>0.35</v>
      </c>
      <c r="AK44" s="21"/>
      <c r="AL44" s="991">
        <v>-0.15</v>
      </c>
      <c r="AM44" s="991">
        <v>0.3</v>
      </c>
      <c r="AN44" s="991">
        <v>0.2</v>
      </c>
      <c r="AO44" s="21"/>
      <c r="AP44" s="12">
        <v>12</v>
      </c>
      <c r="AQ44" s="992">
        <v>0.3</v>
      </c>
      <c r="AR44" s="21"/>
      <c r="AS44" s="992">
        <v>-1.5</v>
      </c>
      <c r="AT44" s="995">
        <v>0</v>
      </c>
      <c r="AU44" s="21"/>
      <c r="AV44" s="992">
        <v>0</v>
      </c>
      <c r="AW44" s="21"/>
      <c r="AX44" s="21"/>
      <c r="AY44" s="21"/>
      <c r="AZ44" s="21"/>
      <c r="BA44" s="21"/>
      <c r="BB44" s="21"/>
      <c r="BC44" s="21"/>
      <c r="BD44" s="21"/>
      <c r="BE44" s="21"/>
      <c r="BF44" s="21"/>
      <c r="BH44" s="20"/>
      <c r="BI44" s="20"/>
      <c r="BJ44" s="395"/>
      <c r="BK44"/>
      <c r="BL44"/>
      <c r="BM44"/>
      <c r="BN44"/>
      <c r="BO44"/>
      <c r="BP44" s="95"/>
      <c r="BQ44" s="553">
        <f t="shared" si="1"/>
        <v>37773</v>
      </c>
      <c r="BR44" s="716">
        <v>2.6625000000000001</v>
      </c>
      <c r="BS44" s="716">
        <v>2.6675</v>
      </c>
      <c r="BT44" s="716">
        <v>2.6724999999999999</v>
      </c>
      <c r="BU44" s="717">
        <v>0.16400000000000001</v>
      </c>
      <c r="BV44" s="717">
        <v>0.17150000000000001</v>
      </c>
      <c r="BW44" s="717">
        <v>0.17900000000000002</v>
      </c>
      <c r="BX44" s="717">
        <f t="shared" si="12"/>
        <v>-7.0000000000000007E-2</v>
      </c>
      <c r="BY44" s="717"/>
      <c r="BZ44" s="717">
        <f t="shared" si="13"/>
        <v>7.0000000000000007E-2</v>
      </c>
      <c r="CA44" s="756">
        <f t="shared" si="17"/>
        <v>0</v>
      </c>
      <c r="CB44" s="716">
        <f t="shared" si="14"/>
        <v>0</v>
      </c>
      <c r="CC44" s="789">
        <f t="shared" si="15"/>
        <v>2.6625000000000001</v>
      </c>
      <c r="CD44" s="793">
        <f t="shared" si="16"/>
        <v>0.17900000000000002</v>
      </c>
    </row>
    <row r="45" spans="1:82" ht="13.8" x14ac:dyDescent="0.3">
      <c r="A45" s="553">
        <f t="shared" si="0"/>
        <v>37895</v>
      </c>
      <c r="B45" s="717">
        <v>7.238779519034301E-2</v>
      </c>
      <c r="C45" s="459"/>
      <c r="D45" s="989">
        <v>36739</v>
      </c>
      <c r="E45" s="990">
        <v>95</v>
      </c>
      <c r="F45" s="990">
        <v>97.5</v>
      </c>
      <c r="G45" s="990">
        <v>100</v>
      </c>
      <c r="H45" s="977"/>
      <c r="I45" s="990">
        <v>23.749998092651367</v>
      </c>
      <c r="J45" s="990">
        <v>24.999998092651367</v>
      </c>
      <c r="K45" s="990">
        <v>26.249998092651367</v>
      </c>
      <c r="L45" s="12"/>
      <c r="M45" s="1004">
        <v>37622</v>
      </c>
      <c r="N45" s="991">
        <v>28.048748779296872</v>
      </c>
      <c r="O45" s="991">
        <v>28.648748779296874</v>
      </c>
      <c r="P45" s="991">
        <v>29.248748779296875</v>
      </c>
      <c r="Q45" s="21"/>
      <c r="R45" s="991">
        <v>23.852500534057615</v>
      </c>
      <c r="S45" s="991">
        <v>27.152500534057616</v>
      </c>
      <c r="T45" s="991">
        <v>30.452500534057616</v>
      </c>
      <c r="U45" s="21"/>
      <c r="V45" s="991">
        <v>1.1000000000000001</v>
      </c>
      <c r="W45" s="991">
        <v>1.1000000000000001</v>
      </c>
      <c r="X45" s="991">
        <v>1.1000000000000001</v>
      </c>
      <c r="Y45" s="21"/>
      <c r="Z45" s="991">
        <v>0.12770375</v>
      </c>
      <c r="AA45" s="991">
        <v>0.25540750000000001</v>
      </c>
      <c r="AB45" s="991">
        <v>0.38311125000000001</v>
      </c>
      <c r="AC45" s="21"/>
      <c r="AD45" s="991">
        <v>3.2941720000000008E-2</v>
      </c>
      <c r="AE45" s="991">
        <v>6.5883440000000015E-2</v>
      </c>
      <c r="AF45" s="991">
        <v>9.8825160000000023E-2</v>
      </c>
      <c r="AG45" s="21"/>
      <c r="AH45" s="991">
        <v>-0.75</v>
      </c>
      <c r="AI45" s="991">
        <v>2</v>
      </c>
      <c r="AJ45" s="991">
        <v>0.75</v>
      </c>
      <c r="AK45" s="21"/>
      <c r="AL45" s="991">
        <v>-0.15</v>
      </c>
      <c r="AM45" s="991">
        <v>0.5</v>
      </c>
      <c r="AN45" s="991">
        <v>0.2</v>
      </c>
      <c r="AO45" s="21"/>
      <c r="AP45" s="12">
        <v>13</v>
      </c>
      <c r="AQ45" s="992">
        <v>0.3</v>
      </c>
      <c r="AR45" s="21"/>
      <c r="AS45" s="992">
        <v>-1</v>
      </c>
      <c r="AT45" s="995">
        <v>0</v>
      </c>
      <c r="AU45" s="21"/>
      <c r="AV45" s="992">
        <v>0</v>
      </c>
      <c r="AW45" s="21"/>
      <c r="AX45" s="21"/>
      <c r="AY45" s="21"/>
      <c r="AZ45" s="21"/>
      <c r="BA45" s="21"/>
      <c r="BB45" s="21"/>
      <c r="BC45" s="21"/>
      <c r="BD45" s="21"/>
      <c r="BE45" s="21"/>
      <c r="BF45" s="21"/>
      <c r="BH45" s="20"/>
      <c r="BI45" s="20"/>
      <c r="BJ45" s="395"/>
      <c r="BK45"/>
      <c r="BL45"/>
      <c r="BM45"/>
      <c r="BN45"/>
      <c r="BO45"/>
      <c r="BP45" s="95"/>
      <c r="BQ45" s="553">
        <f t="shared" si="1"/>
        <v>37803</v>
      </c>
      <c r="BR45" s="716">
        <v>2.6724999999999999</v>
      </c>
      <c r="BS45" s="716">
        <v>2.6775000000000002</v>
      </c>
      <c r="BT45" s="716">
        <v>2.6825000000000001</v>
      </c>
      <c r="BU45" s="717">
        <v>0.16400000000000001</v>
      </c>
      <c r="BV45" s="717">
        <v>0.17150000000000001</v>
      </c>
      <c r="BW45" s="717">
        <v>0.17900000000000002</v>
      </c>
      <c r="BX45" s="717">
        <f t="shared" si="12"/>
        <v>-7.0000000000000007E-2</v>
      </c>
      <c r="BY45" s="717"/>
      <c r="BZ45" s="717">
        <f t="shared" si="13"/>
        <v>7.0000000000000007E-2</v>
      </c>
      <c r="CA45" s="756">
        <f t="shared" si="17"/>
        <v>0</v>
      </c>
      <c r="CB45" s="716">
        <f t="shared" si="14"/>
        <v>0</v>
      </c>
      <c r="CC45" s="789">
        <f t="shared" si="15"/>
        <v>2.6724999999999999</v>
      </c>
      <c r="CD45" s="793">
        <f t="shared" si="16"/>
        <v>0.17900000000000002</v>
      </c>
    </row>
    <row r="46" spans="1:82" ht="13.8" x14ac:dyDescent="0.3">
      <c r="A46" s="553">
        <f t="shared" si="0"/>
        <v>37926</v>
      </c>
      <c r="B46" s="717">
        <v>7.2433234070914995E-2</v>
      </c>
      <c r="C46" s="399"/>
      <c r="D46" s="989">
        <v>36770</v>
      </c>
      <c r="E46" s="990">
        <v>33.4</v>
      </c>
      <c r="F46" s="990">
        <v>34</v>
      </c>
      <c r="G46" s="990">
        <v>34.6</v>
      </c>
      <c r="H46" s="977"/>
      <c r="I46" s="990">
        <v>19.199998092651366</v>
      </c>
      <c r="J46" s="990">
        <v>19.499998092651367</v>
      </c>
      <c r="K46" s="990">
        <v>19.799998092651368</v>
      </c>
      <c r="L46" s="12"/>
      <c r="M46" s="1004">
        <v>37653</v>
      </c>
      <c r="N46" s="991">
        <v>27.046250152587888</v>
      </c>
      <c r="O46" s="991">
        <v>27.646250152587889</v>
      </c>
      <c r="P46" s="991">
        <v>28.246250152587891</v>
      </c>
      <c r="Q46" s="21"/>
      <c r="R46" s="991">
        <v>21.847499465942381</v>
      </c>
      <c r="S46" s="991">
        <v>25.147499465942381</v>
      </c>
      <c r="T46" s="991">
        <v>28.447499465942382</v>
      </c>
      <c r="U46" s="21"/>
      <c r="V46" s="991">
        <v>0.6</v>
      </c>
      <c r="W46" s="991">
        <v>0.6</v>
      </c>
      <c r="X46" s="991">
        <v>0.6</v>
      </c>
      <c r="Y46" s="21"/>
      <c r="Z46" s="991">
        <v>0.12319125</v>
      </c>
      <c r="AA46" s="991">
        <v>0.2463825</v>
      </c>
      <c r="AB46" s="991">
        <v>0.36957375000000003</v>
      </c>
      <c r="AC46" s="21"/>
      <c r="AD46" s="991">
        <v>3.2941720000000008E-2</v>
      </c>
      <c r="AE46" s="991">
        <v>6.5883440000000015E-2</v>
      </c>
      <c r="AF46" s="991">
        <v>9.8825160000000023E-2</v>
      </c>
      <c r="AG46" s="21"/>
      <c r="AH46" s="991">
        <v>-0.75</v>
      </c>
      <c r="AI46" s="991">
        <v>2</v>
      </c>
      <c r="AJ46" s="991">
        <v>0.75</v>
      </c>
      <c r="AK46" s="21"/>
      <c r="AL46" s="991">
        <v>-0.15</v>
      </c>
      <c r="AM46" s="991">
        <v>0.5</v>
      </c>
      <c r="AN46" s="991">
        <v>0.2</v>
      </c>
      <c r="AO46" s="21"/>
      <c r="AP46" s="12">
        <v>13</v>
      </c>
      <c r="AQ46" s="992">
        <v>0.3</v>
      </c>
      <c r="AR46" s="21"/>
      <c r="AS46" s="992">
        <v>-0.5</v>
      </c>
      <c r="AT46" s="995">
        <v>0</v>
      </c>
      <c r="AU46" s="21"/>
      <c r="AV46" s="992">
        <v>0</v>
      </c>
      <c r="AW46" s="21"/>
      <c r="AX46" s="21"/>
      <c r="AY46" s="21"/>
      <c r="AZ46" s="21"/>
      <c r="BA46" s="21"/>
      <c r="BB46" s="21"/>
      <c r="BC46" s="21"/>
      <c r="BD46" s="21"/>
      <c r="BE46" s="21"/>
      <c r="BF46" s="21"/>
      <c r="BH46" s="20"/>
      <c r="BI46" s="20"/>
      <c r="BJ46" s="395"/>
      <c r="BK46"/>
      <c r="BL46"/>
      <c r="BM46"/>
      <c r="BN46"/>
      <c r="BO46"/>
      <c r="BP46" s="95"/>
      <c r="BQ46" s="553">
        <f t="shared" si="1"/>
        <v>37834</v>
      </c>
      <c r="BR46" s="716">
        <v>2.6795</v>
      </c>
      <c r="BS46" s="716">
        <v>2.6845000000000003</v>
      </c>
      <c r="BT46" s="716">
        <v>2.6895000000000002</v>
      </c>
      <c r="BU46" s="717">
        <v>0.16400000000000001</v>
      </c>
      <c r="BV46" s="717">
        <v>0.17150000000000001</v>
      </c>
      <c r="BW46" s="717">
        <v>0.17900000000000002</v>
      </c>
      <c r="BX46" s="717">
        <f t="shared" si="12"/>
        <v>-7.0000000000000007E-2</v>
      </c>
      <c r="BY46" s="717"/>
      <c r="BZ46" s="717">
        <f t="shared" si="13"/>
        <v>7.0000000000000007E-2</v>
      </c>
      <c r="CA46" s="756">
        <f t="shared" si="17"/>
        <v>0</v>
      </c>
      <c r="CB46" s="716">
        <f t="shared" si="14"/>
        <v>0</v>
      </c>
      <c r="CC46" s="789">
        <f t="shared" si="15"/>
        <v>2.6795</v>
      </c>
      <c r="CD46" s="793">
        <f t="shared" si="16"/>
        <v>0.17900000000000002</v>
      </c>
    </row>
    <row r="47" spans="1:82" ht="13.8" x14ac:dyDescent="0.3">
      <c r="A47" s="553">
        <f t="shared" si="0"/>
        <v>37956</v>
      </c>
      <c r="B47" s="717">
        <v>7.2477207181795011E-2</v>
      </c>
      <c r="C47" s="399"/>
      <c r="D47" s="989">
        <v>36800</v>
      </c>
      <c r="E47" s="990">
        <v>31.05</v>
      </c>
      <c r="F47" s="990">
        <v>31.5</v>
      </c>
      <c r="G47" s="990">
        <v>31.95</v>
      </c>
      <c r="H47" s="977"/>
      <c r="I47" s="990">
        <v>19.274998092651366</v>
      </c>
      <c r="J47" s="990">
        <v>19.499998092651367</v>
      </c>
      <c r="K47" s="990">
        <v>19.724998092651369</v>
      </c>
      <c r="L47" s="12"/>
      <c r="M47" s="1004">
        <v>37681</v>
      </c>
      <c r="N47" s="991">
        <v>20.459749603271483</v>
      </c>
      <c r="O47" s="991">
        <v>20.834749603271483</v>
      </c>
      <c r="P47" s="991">
        <v>21.209749603271483</v>
      </c>
      <c r="Q47" s="21"/>
      <c r="R47" s="991">
        <v>17.164498901367185</v>
      </c>
      <c r="S47" s="991">
        <v>20.464498901367186</v>
      </c>
      <c r="T47" s="991">
        <v>23.764498901367187</v>
      </c>
      <c r="U47" s="21"/>
      <c r="V47" s="991">
        <v>0.6</v>
      </c>
      <c r="W47" s="991">
        <v>0.6</v>
      </c>
      <c r="X47" s="991">
        <v>0.6</v>
      </c>
      <c r="Y47" s="21"/>
      <c r="Z47" s="991">
        <v>0.11990840625000002</v>
      </c>
      <c r="AA47" s="991">
        <v>0.23981681250000003</v>
      </c>
      <c r="AB47" s="991">
        <v>0.35972521875000008</v>
      </c>
      <c r="AC47" s="21"/>
      <c r="AD47" s="991">
        <v>2.8235759999999995E-2</v>
      </c>
      <c r="AE47" s="991">
        <v>5.647151999999999E-2</v>
      </c>
      <c r="AF47" s="991">
        <v>8.4707279999999982E-2</v>
      </c>
      <c r="AG47" s="21"/>
      <c r="AH47" s="991">
        <v>-0.25</v>
      </c>
      <c r="AI47" s="991">
        <v>1.3</v>
      </c>
      <c r="AJ47" s="991">
        <v>0.3</v>
      </c>
      <c r="AK47" s="21"/>
      <c r="AL47" s="991">
        <v>-0.15</v>
      </c>
      <c r="AM47" s="991">
        <v>0.35</v>
      </c>
      <c r="AN47" s="991">
        <v>0.2</v>
      </c>
      <c r="AO47" s="21"/>
      <c r="AP47" s="12">
        <v>13</v>
      </c>
      <c r="AQ47" s="992">
        <v>0.3</v>
      </c>
      <c r="AR47" s="21"/>
      <c r="AS47" s="992">
        <v>0</v>
      </c>
      <c r="AT47" s="995">
        <v>0</v>
      </c>
      <c r="AU47" s="21"/>
      <c r="AV47" s="992">
        <v>0</v>
      </c>
      <c r="AW47" s="21"/>
      <c r="AX47" s="21"/>
      <c r="AY47" s="21"/>
      <c r="AZ47" s="21"/>
      <c r="BA47" s="21"/>
      <c r="BB47" s="21"/>
      <c r="BC47" s="21"/>
      <c r="BD47" s="21"/>
      <c r="BE47" s="21"/>
      <c r="BF47" s="21"/>
      <c r="BH47" s="20"/>
      <c r="BI47" s="20"/>
      <c r="BJ47" s="395"/>
      <c r="BK47"/>
      <c r="BL47"/>
      <c r="BM47"/>
      <c r="BN47"/>
      <c r="BO47"/>
      <c r="BP47" s="95"/>
      <c r="BQ47" s="553">
        <f t="shared" si="1"/>
        <v>37865</v>
      </c>
      <c r="BR47" s="716">
        <v>2.6865000000000001</v>
      </c>
      <c r="BS47" s="716">
        <v>2.6915</v>
      </c>
      <c r="BT47" s="716">
        <v>2.6965000000000003</v>
      </c>
      <c r="BU47" s="717">
        <v>0.16350000000000001</v>
      </c>
      <c r="BV47" s="717">
        <v>0.17100000000000001</v>
      </c>
      <c r="BW47" s="717">
        <v>0.17850000000000002</v>
      </c>
      <c r="BX47" s="717">
        <f t="shared" si="12"/>
        <v>-7.0000000000000007E-2</v>
      </c>
      <c r="BY47" s="717"/>
      <c r="BZ47" s="717">
        <f t="shared" si="13"/>
        <v>7.0000000000000007E-2</v>
      </c>
      <c r="CA47" s="756">
        <f t="shared" si="17"/>
        <v>0</v>
      </c>
      <c r="CB47" s="716">
        <f t="shared" si="14"/>
        <v>0</v>
      </c>
      <c r="CC47" s="789">
        <f t="shared" si="15"/>
        <v>2.6865000000000001</v>
      </c>
      <c r="CD47" s="793">
        <f t="shared" si="16"/>
        <v>0.17850000000000002</v>
      </c>
    </row>
    <row r="48" spans="1:82" ht="13.8" x14ac:dyDescent="0.3">
      <c r="A48" s="553">
        <f t="shared" si="0"/>
        <v>37987</v>
      </c>
      <c r="B48" s="717">
        <v>7.2526454080711011E-2</v>
      </c>
      <c r="C48" s="399"/>
      <c r="D48" s="989">
        <v>36831</v>
      </c>
      <c r="E48" s="990">
        <v>31.55</v>
      </c>
      <c r="F48" s="990">
        <v>32</v>
      </c>
      <c r="G48" s="990">
        <v>32.450000000000003</v>
      </c>
      <c r="H48" s="977"/>
      <c r="I48" s="990">
        <v>19.274998092651366</v>
      </c>
      <c r="J48" s="990">
        <v>19.499998092651367</v>
      </c>
      <c r="K48" s="990">
        <v>19.724998092651369</v>
      </c>
      <c r="L48" s="12"/>
      <c r="M48" s="1004">
        <v>37712</v>
      </c>
      <c r="N48" s="991">
        <v>21.255000305175781</v>
      </c>
      <c r="O48" s="991">
        <v>21.51750030517578</v>
      </c>
      <c r="P48" s="991">
        <v>21.780000305175779</v>
      </c>
      <c r="Q48" s="21"/>
      <c r="R48" s="991">
        <v>16.934999084472654</v>
      </c>
      <c r="S48" s="991">
        <v>20.234999084472655</v>
      </c>
      <c r="T48" s="991">
        <v>23.534999084472656</v>
      </c>
      <c r="U48" s="21"/>
      <c r="V48" s="991">
        <v>0.6</v>
      </c>
      <c r="W48" s="991">
        <v>0.6</v>
      </c>
      <c r="X48" s="991">
        <v>0.6</v>
      </c>
      <c r="Y48" s="21"/>
      <c r="Z48" s="991">
        <v>0.1070139375</v>
      </c>
      <c r="AA48" s="991">
        <v>0.21402787500000001</v>
      </c>
      <c r="AB48" s="991">
        <v>0.32104181250000002</v>
      </c>
      <c r="AC48" s="21"/>
      <c r="AD48" s="991">
        <v>2.8235759999999995E-2</v>
      </c>
      <c r="AE48" s="991">
        <v>5.647151999999999E-2</v>
      </c>
      <c r="AF48" s="991">
        <v>8.4707279999999982E-2</v>
      </c>
      <c r="AG48" s="21"/>
      <c r="AH48" s="991">
        <v>-0.25</v>
      </c>
      <c r="AI48" s="991">
        <v>1.1000000000000001</v>
      </c>
      <c r="AJ48" s="991">
        <v>0.3</v>
      </c>
      <c r="AK48" s="21"/>
      <c r="AL48" s="991">
        <v>-0.15</v>
      </c>
      <c r="AM48" s="991">
        <v>0.35</v>
      </c>
      <c r="AN48" s="991">
        <v>0.2</v>
      </c>
      <c r="AO48" s="21"/>
      <c r="AP48" s="12">
        <v>14</v>
      </c>
      <c r="AQ48" s="992">
        <v>0.3</v>
      </c>
      <c r="AR48" s="21"/>
      <c r="AS48" s="992">
        <v>1</v>
      </c>
      <c r="AT48" s="995">
        <v>0</v>
      </c>
      <c r="AU48" s="21"/>
      <c r="AV48" s="992">
        <v>0</v>
      </c>
      <c r="AW48" s="21"/>
      <c r="AX48" s="21"/>
      <c r="AY48" s="21"/>
      <c r="AZ48" s="21"/>
      <c r="BA48" s="21"/>
      <c r="BB48" s="21"/>
      <c r="BC48" s="21"/>
      <c r="BD48" s="21"/>
      <c r="BE48" s="21"/>
      <c r="BF48" s="21"/>
      <c r="BH48" s="20"/>
      <c r="BI48" s="20"/>
      <c r="BJ48" s="395"/>
      <c r="BK48"/>
      <c r="BL48"/>
      <c r="BM48"/>
      <c r="BN48"/>
      <c r="BO48"/>
      <c r="BP48" s="95"/>
      <c r="BQ48" s="553">
        <f t="shared" si="1"/>
        <v>37895</v>
      </c>
      <c r="BR48" s="716">
        <v>2.7124999999999999</v>
      </c>
      <c r="BS48" s="716">
        <v>2.7174999999999998</v>
      </c>
      <c r="BT48" s="716">
        <v>2.7225000000000001</v>
      </c>
      <c r="BU48" s="717">
        <v>0.16350000000000001</v>
      </c>
      <c r="BV48" s="717">
        <v>0.17100000000000001</v>
      </c>
      <c r="BW48" s="717">
        <v>0.17850000000000002</v>
      </c>
      <c r="BX48" s="717">
        <f t="shared" si="12"/>
        <v>-7.0000000000000007E-2</v>
      </c>
      <c r="BY48" s="717"/>
      <c r="BZ48" s="717">
        <f t="shared" si="13"/>
        <v>7.0000000000000007E-2</v>
      </c>
      <c r="CA48" s="756">
        <f t="shared" si="17"/>
        <v>0</v>
      </c>
      <c r="CB48" s="716">
        <f t="shared" si="14"/>
        <v>0</v>
      </c>
      <c r="CC48" s="789">
        <f t="shared" si="15"/>
        <v>2.7124999999999999</v>
      </c>
      <c r="CD48" s="793">
        <f t="shared" si="16"/>
        <v>0.17850000000000002</v>
      </c>
    </row>
    <row r="49" spans="1:82" ht="13.8" x14ac:dyDescent="0.3">
      <c r="A49" s="553">
        <f t="shared" si="0"/>
        <v>38018</v>
      </c>
      <c r="B49" s="717">
        <v>7.2579762865304001E-2</v>
      </c>
      <c r="C49" s="399"/>
      <c r="D49" s="989">
        <v>36861</v>
      </c>
      <c r="E49" s="990">
        <v>32.049999999999997</v>
      </c>
      <c r="F49" s="990">
        <v>32.5</v>
      </c>
      <c r="G49" s="990">
        <v>32.950000000000003</v>
      </c>
      <c r="H49" s="977"/>
      <c r="I49" s="990">
        <v>20.824999237060545</v>
      </c>
      <c r="J49" s="990">
        <v>21.049999237060547</v>
      </c>
      <c r="K49" s="990">
        <v>21.274999237060548</v>
      </c>
      <c r="L49" s="12"/>
      <c r="M49" s="1004">
        <v>37742</v>
      </c>
      <c r="N49" s="991">
        <v>20.695000076293944</v>
      </c>
      <c r="O49" s="991">
        <v>21.632500076293944</v>
      </c>
      <c r="P49" s="991">
        <v>22.570000076293944</v>
      </c>
      <c r="Q49" s="21"/>
      <c r="R49" s="991">
        <v>17.464999771118162</v>
      </c>
      <c r="S49" s="991">
        <v>20.764999771118163</v>
      </c>
      <c r="T49" s="991">
        <v>24.064999771118163</v>
      </c>
      <c r="U49" s="21"/>
      <c r="V49" s="991">
        <v>0.6</v>
      </c>
      <c r="W49" s="991">
        <v>0.6</v>
      </c>
      <c r="X49" s="991">
        <v>0.6</v>
      </c>
      <c r="Y49" s="21"/>
      <c r="Z49" s="991">
        <v>0.1232589375</v>
      </c>
      <c r="AA49" s="991">
        <v>0.246517875</v>
      </c>
      <c r="AB49" s="991">
        <v>0.3697768125</v>
      </c>
      <c r="AC49" s="21"/>
      <c r="AD49" s="991">
        <v>3.2941720000000008E-2</v>
      </c>
      <c r="AE49" s="991">
        <v>6.5883440000000015E-2</v>
      </c>
      <c r="AF49" s="991">
        <v>9.8825160000000023E-2</v>
      </c>
      <c r="AG49" s="21"/>
      <c r="AH49" s="991">
        <v>-0.25</v>
      </c>
      <c r="AI49" s="991">
        <v>1.1000000000000001</v>
      </c>
      <c r="AJ49" s="991">
        <v>0.3</v>
      </c>
      <c r="AK49" s="21"/>
      <c r="AL49" s="991">
        <v>-0.15</v>
      </c>
      <c r="AM49" s="991">
        <v>0.5</v>
      </c>
      <c r="AN49" s="991">
        <v>0.2</v>
      </c>
      <c r="AO49" s="21"/>
      <c r="AP49" s="12">
        <v>14</v>
      </c>
      <c r="AQ49" s="992">
        <v>0.3</v>
      </c>
      <c r="AR49" s="21"/>
      <c r="AS49" s="992">
        <v>2</v>
      </c>
      <c r="AT49" s="995">
        <v>0</v>
      </c>
      <c r="AU49" s="21"/>
      <c r="AV49" s="992">
        <v>0</v>
      </c>
      <c r="AW49" s="21"/>
      <c r="AX49" s="21"/>
      <c r="AY49" s="21"/>
      <c r="AZ49" s="21"/>
      <c r="BA49" s="21"/>
      <c r="BB49" s="21"/>
      <c r="BC49" s="21"/>
      <c r="BD49" s="21"/>
      <c r="BE49" s="21"/>
      <c r="BF49" s="21"/>
      <c r="BH49" s="20"/>
      <c r="BI49" s="20"/>
      <c r="BJ49" s="395"/>
      <c r="BK49"/>
      <c r="BL49"/>
      <c r="BM49"/>
      <c r="BN49"/>
      <c r="BO49"/>
      <c r="BP49" s="95"/>
      <c r="BQ49" s="553">
        <f t="shared" si="1"/>
        <v>37926</v>
      </c>
      <c r="BR49" s="716">
        <v>2.8475000000000001</v>
      </c>
      <c r="BS49" s="716">
        <v>2.8525</v>
      </c>
      <c r="BT49" s="716">
        <v>2.8574999999999999</v>
      </c>
      <c r="BU49" s="717">
        <v>0.16350000000000001</v>
      </c>
      <c r="BV49" s="717">
        <v>0.17100000000000001</v>
      </c>
      <c r="BW49" s="717">
        <v>0.17850000000000002</v>
      </c>
      <c r="BX49" s="717">
        <f t="shared" si="12"/>
        <v>-7.0000000000000007E-2</v>
      </c>
      <c r="BY49" s="717"/>
      <c r="BZ49" s="717">
        <f t="shared" si="13"/>
        <v>7.0000000000000007E-2</v>
      </c>
      <c r="CA49" s="756">
        <f t="shared" si="17"/>
        <v>0</v>
      </c>
      <c r="CB49" s="716">
        <f t="shared" si="14"/>
        <v>0</v>
      </c>
      <c r="CC49" s="789">
        <f t="shared" si="15"/>
        <v>2.8475000000000001</v>
      </c>
      <c r="CD49" s="793">
        <f t="shared" si="16"/>
        <v>0.17850000000000002</v>
      </c>
    </row>
    <row r="50" spans="1:82" ht="13.8" x14ac:dyDescent="0.3">
      <c r="A50" s="553">
        <f t="shared" si="0"/>
        <v>38047</v>
      </c>
      <c r="B50" s="717">
        <v>7.2629632374320005E-2</v>
      </c>
      <c r="C50" s="399"/>
      <c r="D50" s="989">
        <v>36892</v>
      </c>
      <c r="E50" s="990">
        <v>36.9</v>
      </c>
      <c r="F50" s="990">
        <v>37.5</v>
      </c>
      <c r="G50" s="990">
        <v>38.1</v>
      </c>
      <c r="H50" s="977"/>
      <c r="I50" s="990">
        <v>20.54000015258789</v>
      </c>
      <c r="J50" s="990">
        <v>20.840000152587891</v>
      </c>
      <c r="K50" s="990">
        <v>21.140000152587891</v>
      </c>
      <c r="L50" s="12"/>
      <c r="M50" s="1004">
        <v>37773</v>
      </c>
      <c r="N50" s="991">
        <v>23.33625015258789</v>
      </c>
      <c r="O50" s="991">
        <v>26.058750152587891</v>
      </c>
      <c r="P50" s="991">
        <v>28.781250152587891</v>
      </c>
      <c r="Q50" s="21"/>
      <c r="R50" s="991">
        <v>16.242499542236327</v>
      </c>
      <c r="S50" s="991">
        <v>19.542499542236328</v>
      </c>
      <c r="T50" s="991">
        <v>22.842499542236329</v>
      </c>
      <c r="U50" s="21"/>
      <c r="V50" s="991">
        <v>0.6</v>
      </c>
      <c r="W50" s="991">
        <v>0.6</v>
      </c>
      <c r="X50" s="991">
        <v>0.6</v>
      </c>
      <c r="Y50" s="21"/>
      <c r="Z50" s="991">
        <v>0.15442903124999999</v>
      </c>
      <c r="AA50" s="991">
        <v>0.30885806249999997</v>
      </c>
      <c r="AB50" s="991">
        <v>0.46328709374999999</v>
      </c>
      <c r="AC50" s="21"/>
      <c r="AD50" s="991">
        <v>4.2353639999999998E-2</v>
      </c>
      <c r="AE50" s="991">
        <v>8.4707279999999996E-2</v>
      </c>
      <c r="AF50" s="991">
        <v>0.12706091999999999</v>
      </c>
      <c r="AG50" s="21"/>
      <c r="AH50" s="991">
        <v>-0.35</v>
      </c>
      <c r="AI50" s="991">
        <v>2</v>
      </c>
      <c r="AJ50" s="991">
        <v>0.3</v>
      </c>
      <c r="AK50" s="21"/>
      <c r="AL50" s="991">
        <v>-0.15</v>
      </c>
      <c r="AM50" s="991">
        <v>0.65</v>
      </c>
      <c r="AN50" s="991">
        <v>0.2</v>
      </c>
      <c r="AO50" s="21"/>
      <c r="AP50" s="12">
        <v>14</v>
      </c>
      <c r="AQ50" s="992">
        <v>0.3</v>
      </c>
      <c r="AR50" s="21"/>
      <c r="AS50" s="992">
        <v>3</v>
      </c>
      <c r="AT50" s="995">
        <v>0.01</v>
      </c>
      <c r="AU50" s="21"/>
      <c r="AV50" s="992">
        <v>0</v>
      </c>
      <c r="AW50" s="21"/>
      <c r="AX50" s="21"/>
      <c r="AY50" s="21"/>
      <c r="AZ50" s="21"/>
      <c r="BA50" s="21"/>
      <c r="BB50" s="21"/>
      <c r="BC50" s="21"/>
      <c r="BD50" s="21"/>
      <c r="BE50" s="21"/>
      <c r="BF50" s="21"/>
      <c r="BH50" s="20"/>
      <c r="BI50" s="20"/>
      <c r="BJ50" s="395"/>
      <c r="BK50"/>
      <c r="BL50"/>
      <c r="BM50"/>
      <c r="BN50"/>
      <c r="BO50"/>
      <c r="BP50" s="95"/>
      <c r="BQ50" s="553">
        <f t="shared" si="1"/>
        <v>37956</v>
      </c>
      <c r="BR50" s="716">
        <v>2.9715000000000003</v>
      </c>
      <c r="BS50" s="716">
        <v>2.9765000000000001</v>
      </c>
      <c r="BT50" s="716">
        <v>2.9815</v>
      </c>
      <c r="BU50" s="717">
        <v>0.16400000000000001</v>
      </c>
      <c r="BV50" s="717">
        <v>0.17150000000000001</v>
      </c>
      <c r="BW50" s="717">
        <v>0.17900000000000002</v>
      </c>
      <c r="BX50" s="717">
        <f t="shared" si="12"/>
        <v>-7.0000000000000007E-2</v>
      </c>
      <c r="BY50" s="717"/>
      <c r="BZ50" s="717">
        <f t="shared" si="13"/>
        <v>7.0000000000000007E-2</v>
      </c>
      <c r="CA50" s="756">
        <f t="shared" si="17"/>
        <v>0</v>
      </c>
      <c r="CB50" s="716">
        <f t="shared" si="14"/>
        <v>0</v>
      </c>
      <c r="CC50" s="789">
        <f t="shared" si="15"/>
        <v>2.9715000000000003</v>
      </c>
      <c r="CD50" s="793">
        <f t="shared" si="16"/>
        <v>0.17900000000000002</v>
      </c>
    </row>
    <row r="51" spans="1:82" ht="13.8" x14ac:dyDescent="0.3">
      <c r="A51" s="553">
        <f t="shared" si="0"/>
        <v>38078</v>
      </c>
      <c r="B51" s="717">
        <v>7.2675147877700005E-2</v>
      </c>
      <c r="C51" s="399"/>
      <c r="D51" s="989">
        <v>36923</v>
      </c>
      <c r="E51" s="990">
        <v>36.9</v>
      </c>
      <c r="F51" s="990">
        <v>37.5</v>
      </c>
      <c r="G51" s="990">
        <v>38.1</v>
      </c>
      <c r="H51" s="977"/>
      <c r="I51" s="990">
        <v>20.34999771118164</v>
      </c>
      <c r="J51" s="990">
        <v>20.649997711181641</v>
      </c>
      <c r="K51" s="990">
        <v>20.949997711181641</v>
      </c>
      <c r="L51" s="12"/>
      <c r="M51" s="1004">
        <v>37803</v>
      </c>
      <c r="N51" s="991">
        <v>36.261249542236328</v>
      </c>
      <c r="O51" s="991">
        <v>39.261249542236328</v>
      </c>
      <c r="P51" s="991">
        <v>42.261249542236328</v>
      </c>
      <c r="Q51" s="21"/>
      <c r="R51" s="991">
        <v>25.447499465942382</v>
      </c>
      <c r="S51" s="991">
        <v>28.747499465942383</v>
      </c>
      <c r="T51" s="991">
        <v>32.04749946594238</v>
      </c>
      <c r="U51" s="21"/>
      <c r="V51" s="991">
        <v>0.6</v>
      </c>
      <c r="W51" s="991">
        <v>0.6</v>
      </c>
      <c r="X51" s="991">
        <v>0.6</v>
      </c>
      <c r="Y51" s="21"/>
      <c r="Z51" s="991">
        <v>0.18285778124999999</v>
      </c>
      <c r="AA51" s="991">
        <v>0.36571556249999998</v>
      </c>
      <c r="AB51" s="991">
        <v>0.54857334375</v>
      </c>
      <c r="AC51" s="21"/>
      <c r="AD51" s="991">
        <v>5.647151999999999E-2</v>
      </c>
      <c r="AE51" s="991">
        <v>0.11294303999999998</v>
      </c>
      <c r="AF51" s="991">
        <v>0.16941455999999996</v>
      </c>
      <c r="AG51" s="21"/>
      <c r="AH51" s="991">
        <v>-0.35</v>
      </c>
      <c r="AI51" s="991">
        <v>3</v>
      </c>
      <c r="AJ51" s="991">
        <v>0.5</v>
      </c>
      <c r="AK51" s="21"/>
      <c r="AL51" s="991">
        <v>-0.15</v>
      </c>
      <c r="AM51" s="991">
        <v>0.75</v>
      </c>
      <c r="AN51" s="991">
        <v>0.2</v>
      </c>
      <c r="AO51" s="21"/>
      <c r="AP51" s="12">
        <v>15</v>
      </c>
      <c r="AQ51" s="992">
        <v>0.4</v>
      </c>
      <c r="AR51" s="21"/>
      <c r="AS51" s="992">
        <v>4</v>
      </c>
      <c r="AT51" s="995">
        <v>1.4999999999999999E-2</v>
      </c>
      <c r="AU51" s="21"/>
      <c r="AV51" s="992">
        <v>0</v>
      </c>
      <c r="AW51" s="21"/>
      <c r="AX51" s="21"/>
      <c r="AY51" s="21"/>
      <c r="AZ51" s="21"/>
      <c r="BA51" s="21"/>
      <c r="BB51" s="21"/>
      <c r="BC51" s="21"/>
      <c r="BD51" s="21"/>
      <c r="BE51" s="21"/>
      <c r="BF51" s="21"/>
      <c r="BH51" s="20"/>
      <c r="BI51" s="20"/>
      <c r="BJ51" s="395"/>
      <c r="BK51"/>
      <c r="BL51"/>
      <c r="BM51"/>
      <c r="BN51"/>
      <c r="BO51"/>
      <c r="BP51" s="95"/>
      <c r="BQ51" s="553">
        <f t="shared" si="1"/>
        <v>37987</v>
      </c>
      <c r="BR51" s="716">
        <v>3.01</v>
      </c>
      <c r="BS51" s="716">
        <v>3.0150000000000001</v>
      </c>
      <c r="BT51" s="716">
        <v>3.02</v>
      </c>
      <c r="BU51" s="717">
        <v>0.16650000000000001</v>
      </c>
      <c r="BV51" s="717">
        <v>0.17400000000000002</v>
      </c>
      <c r="BW51" s="717">
        <v>0.18150000000000002</v>
      </c>
      <c r="BX51" s="717">
        <f t="shared" si="12"/>
        <v>-7.0000000000000007E-2</v>
      </c>
      <c r="BY51" s="717"/>
      <c r="BZ51" s="717">
        <f t="shared" si="13"/>
        <v>7.0000000000000007E-2</v>
      </c>
      <c r="CA51" s="756">
        <f t="shared" si="17"/>
        <v>0</v>
      </c>
      <c r="CB51" s="716">
        <f t="shared" si="14"/>
        <v>0</v>
      </c>
      <c r="CC51" s="789">
        <f t="shared" si="15"/>
        <v>3.01</v>
      </c>
      <c r="CD51" s="793">
        <f t="shared" si="16"/>
        <v>0.18150000000000002</v>
      </c>
    </row>
    <row r="52" spans="1:82" ht="13.8" x14ac:dyDescent="0.3">
      <c r="A52" s="553">
        <f t="shared" si="0"/>
        <v>38108</v>
      </c>
      <c r="B52" s="717">
        <v>7.2711150460336008E-2</v>
      </c>
      <c r="C52" s="399"/>
      <c r="D52" s="989">
        <v>36951</v>
      </c>
      <c r="E52" s="990">
        <v>33.35</v>
      </c>
      <c r="F52" s="990">
        <v>33.75</v>
      </c>
      <c r="G52" s="990">
        <v>34.15</v>
      </c>
      <c r="H52" s="977"/>
      <c r="I52" s="990">
        <v>19.449999618530274</v>
      </c>
      <c r="J52" s="990">
        <v>19.649999618530273</v>
      </c>
      <c r="K52" s="990">
        <v>19.849999618530273</v>
      </c>
      <c r="L52" s="12"/>
      <c r="M52" s="1004">
        <v>37834</v>
      </c>
      <c r="N52" s="991">
        <v>38.522499084472656</v>
      </c>
      <c r="O52" s="991">
        <v>41.522499084472656</v>
      </c>
      <c r="P52" s="991">
        <v>44.522499084472656</v>
      </c>
      <c r="Q52" s="21"/>
      <c r="R52" s="991">
        <v>26.945000839233398</v>
      </c>
      <c r="S52" s="991">
        <v>30.245000839233398</v>
      </c>
      <c r="T52" s="991">
        <v>33.545000839233396</v>
      </c>
      <c r="U52" s="21"/>
      <c r="V52" s="991">
        <v>1.1000000000000001</v>
      </c>
      <c r="W52" s="991">
        <v>1.1000000000000001</v>
      </c>
      <c r="X52" s="991">
        <v>1.1000000000000001</v>
      </c>
      <c r="Y52" s="21"/>
      <c r="Z52" s="991">
        <v>0.18011643749999998</v>
      </c>
      <c r="AA52" s="991">
        <v>0.36023287499999995</v>
      </c>
      <c r="AB52" s="991">
        <v>0.54034931249999996</v>
      </c>
      <c r="AC52" s="21"/>
      <c r="AD52" s="991">
        <v>5.647151999999999E-2</v>
      </c>
      <c r="AE52" s="991">
        <v>0.11294303999999998</v>
      </c>
      <c r="AF52" s="991">
        <v>0.16941455999999996</v>
      </c>
      <c r="AG52" s="21"/>
      <c r="AH52" s="991">
        <v>-0.35</v>
      </c>
      <c r="AI52" s="991">
        <v>3</v>
      </c>
      <c r="AJ52" s="991">
        <v>0.5</v>
      </c>
      <c r="AK52" s="21"/>
      <c r="AL52" s="991">
        <v>-0.15</v>
      </c>
      <c r="AM52" s="991">
        <v>0.75</v>
      </c>
      <c r="AN52" s="991">
        <v>0.2</v>
      </c>
      <c r="AO52" s="21"/>
      <c r="AP52" s="12">
        <v>15</v>
      </c>
      <c r="AQ52" s="992">
        <v>0.4</v>
      </c>
      <c r="AR52" s="21"/>
      <c r="AS52" s="992">
        <v>5</v>
      </c>
      <c r="AT52" s="995">
        <v>1.7500000000000002E-2</v>
      </c>
      <c r="AU52" s="21"/>
      <c r="AV52" s="992">
        <v>0</v>
      </c>
      <c r="AW52" s="21"/>
      <c r="AX52" s="21"/>
      <c r="AY52" s="21"/>
      <c r="AZ52" s="21"/>
      <c r="BA52" s="21"/>
      <c r="BB52" s="21"/>
      <c r="BC52" s="21"/>
      <c r="BD52" s="21"/>
      <c r="BE52" s="21"/>
      <c r="BF52" s="21"/>
      <c r="BH52" s="20"/>
      <c r="BI52" s="20"/>
      <c r="BJ52" s="395"/>
      <c r="BK52"/>
      <c r="BL52"/>
      <c r="BM52"/>
      <c r="BN52"/>
      <c r="BO52"/>
      <c r="BP52" s="95"/>
      <c r="BQ52" s="553">
        <f t="shared" si="1"/>
        <v>38018</v>
      </c>
      <c r="BR52" s="716">
        <v>2.8920000000000003</v>
      </c>
      <c r="BS52" s="716">
        <v>2.8970000000000002</v>
      </c>
      <c r="BT52" s="716">
        <v>2.9020000000000001</v>
      </c>
      <c r="BU52" s="717">
        <v>0.16500000000000001</v>
      </c>
      <c r="BV52" s="717">
        <v>0.17249999999999999</v>
      </c>
      <c r="BW52" s="717">
        <v>0.18</v>
      </c>
      <c r="BX52" s="717">
        <f t="shared" si="12"/>
        <v>-7.0000000000000007E-2</v>
      </c>
      <c r="BY52" s="717"/>
      <c r="BZ52" s="717">
        <f t="shared" si="13"/>
        <v>7.0000000000000007E-2</v>
      </c>
      <c r="CA52" s="756">
        <f t="shared" si="17"/>
        <v>0</v>
      </c>
      <c r="CB52" s="716">
        <f t="shared" si="14"/>
        <v>0</v>
      </c>
      <c r="CC52" s="789">
        <f t="shared" si="15"/>
        <v>2.8920000000000003</v>
      </c>
      <c r="CD52" s="793">
        <f t="shared" si="16"/>
        <v>0.18</v>
      </c>
    </row>
    <row r="53" spans="1:82" ht="13.8" x14ac:dyDescent="0.3">
      <c r="A53" s="553">
        <f t="shared" si="0"/>
        <v>38139</v>
      </c>
      <c r="B53" s="717">
        <v>7.2748353129509002E-2</v>
      </c>
      <c r="C53" s="399"/>
      <c r="D53" s="989">
        <v>36982</v>
      </c>
      <c r="E53" s="990">
        <v>32.25</v>
      </c>
      <c r="F53" s="990">
        <v>32.5</v>
      </c>
      <c r="G53" s="990">
        <v>32.75</v>
      </c>
      <c r="H53" s="977"/>
      <c r="I53" s="990">
        <v>19.524997711181641</v>
      </c>
      <c r="J53" s="990">
        <v>19.649997711181641</v>
      </c>
      <c r="K53" s="990">
        <v>19.774997711181641</v>
      </c>
      <c r="L53" s="12"/>
      <c r="M53" s="1004">
        <v>37865</v>
      </c>
      <c r="N53" s="991">
        <v>22.229999160766599</v>
      </c>
      <c r="O53" s="991">
        <v>22.9049991607666</v>
      </c>
      <c r="P53" s="991">
        <v>23.579999160766601</v>
      </c>
      <c r="Q53" s="21"/>
      <c r="R53" s="991">
        <v>20.100000000000001</v>
      </c>
      <c r="S53" s="991">
        <v>23.4</v>
      </c>
      <c r="T53" s="991">
        <v>26.7</v>
      </c>
      <c r="U53" s="21"/>
      <c r="V53" s="991">
        <v>1.1000000000000001</v>
      </c>
      <c r="W53" s="991">
        <v>1.1000000000000001</v>
      </c>
      <c r="X53" s="991">
        <v>1.1000000000000001</v>
      </c>
      <c r="Y53" s="21"/>
      <c r="Z53" s="991">
        <v>0.11919768749999997</v>
      </c>
      <c r="AA53" s="991">
        <v>0.23839537499999994</v>
      </c>
      <c r="AB53" s="991">
        <v>0.35759306249999989</v>
      </c>
      <c r="AC53" s="21"/>
      <c r="AD53" s="991">
        <v>3.7647679999999996E-2</v>
      </c>
      <c r="AE53" s="991">
        <v>7.5295359999999992E-2</v>
      </c>
      <c r="AF53" s="991">
        <v>0.11294303999999999</v>
      </c>
      <c r="AG53" s="21"/>
      <c r="AH53" s="991">
        <v>-0.35</v>
      </c>
      <c r="AI53" s="991">
        <v>1.5</v>
      </c>
      <c r="AJ53" s="991">
        <v>0.3</v>
      </c>
      <c r="AK53" s="21"/>
      <c r="AL53" s="991">
        <v>-0.15</v>
      </c>
      <c r="AM53" s="991">
        <v>0.4</v>
      </c>
      <c r="AN53" s="991">
        <v>0.2</v>
      </c>
      <c r="AO53" s="21"/>
      <c r="AP53" s="12">
        <v>15</v>
      </c>
      <c r="AQ53" s="992">
        <v>0.4</v>
      </c>
      <c r="AR53" s="21"/>
      <c r="AS53" s="992">
        <v>6</v>
      </c>
      <c r="AT53" s="995">
        <v>2.5000000000000001E-2</v>
      </c>
      <c r="AU53" s="21"/>
      <c r="AV53" s="992">
        <v>0</v>
      </c>
      <c r="AW53" s="21"/>
      <c r="AX53" s="21"/>
      <c r="AY53" s="21"/>
      <c r="AZ53" s="21"/>
      <c r="BA53" s="21"/>
      <c r="BB53" s="21"/>
      <c r="BC53" s="21"/>
      <c r="BD53" s="21"/>
      <c r="BE53" s="21"/>
      <c r="BF53" s="21"/>
      <c r="BH53" s="20"/>
      <c r="BI53" s="20"/>
      <c r="BJ53" s="395"/>
      <c r="BK53"/>
      <c r="BL53"/>
      <c r="BM53"/>
      <c r="BN53"/>
      <c r="BO53"/>
      <c r="BP53" s="95"/>
      <c r="BQ53" s="553">
        <f t="shared" si="1"/>
        <v>38047</v>
      </c>
      <c r="BR53" s="716">
        <v>2.7720000000000002</v>
      </c>
      <c r="BS53" s="716">
        <v>2.7770000000000001</v>
      </c>
      <c r="BT53" s="716">
        <v>2.782</v>
      </c>
      <c r="BU53" s="717">
        <v>0.16250000000000001</v>
      </c>
      <c r="BV53" s="717">
        <v>0.17</v>
      </c>
      <c r="BW53" s="717">
        <v>0.17749999999999999</v>
      </c>
      <c r="BX53" s="717">
        <f t="shared" si="12"/>
        <v>-7.0000000000000007E-2</v>
      </c>
      <c r="BY53" s="717"/>
      <c r="BZ53" s="717">
        <f t="shared" si="13"/>
        <v>7.0000000000000007E-2</v>
      </c>
      <c r="CA53" s="756">
        <f t="shared" si="17"/>
        <v>0</v>
      </c>
      <c r="CB53" s="716">
        <f t="shared" si="14"/>
        <v>0</v>
      </c>
      <c r="CC53" s="789">
        <f t="shared" si="15"/>
        <v>2.7720000000000002</v>
      </c>
      <c r="CD53" s="793">
        <f t="shared" si="16"/>
        <v>0.17749999999999999</v>
      </c>
    </row>
    <row r="54" spans="1:82" ht="13.8" x14ac:dyDescent="0.3">
      <c r="A54" s="553">
        <f t="shared" si="0"/>
        <v>38169</v>
      </c>
      <c r="B54" s="717">
        <v>7.2784355713015003E-2</v>
      </c>
      <c r="C54" s="399"/>
      <c r="D54" s="989">
        <v>37012</v>
      </c>
      <c r="E54" s="990">
        <v>33.700000000000003</v>
      </c>
      <c r="F54" s="990">
        <v>34.5</v>
      </c>
      <c r="G54" s="990">
        <v>35.299999999999997</v>
      </c>
      <c r="H54" s="977"/>
      <c r="I54" s="990">
        <v>19.249997711181642</v>
      </c>
      <c r="J54" s="990">
        <v>19.649997711181641</v>
      </c>
      <c r="K54" s="990">
        <v>20.049997711181639</v>
      </c>
      <c r="L54" s="12"/>
      <c r="M54" s="1004">
        <v>37895</v>
      </c>
      <c r="N54" s="991">
        <v>22.438000106811522</v>
      </c>
      <c r="O54" s="991">
        <v>23.000500106811522</v>
      </c>
      <c r="P54" s="991">
        <v>23.563000106811522</v>
      </c>
      <c r="Q54" s="21"/>
      <c r="R54" s="991">
        <v>17.700999832153318</v>
      </c>
      <c r="S54" s="991">
        <v>21.000999832153319</v>
      </c>
      <c r="T54" s="991">
        <v>24.30099983215332</v>
      </c>
      <c r="U54" s="21"/>
      <c r="V54" s="991">
        <v>1.1000000000000001</v>
      </c>
      <c r="W54" s="991">
        <v>1.1000000000000001</v>
      </c>
      <c r="X54" s="991">
        <v>1.1000000000000001</v>
      </c>
      <c r="Y54" s="21"/>
      <c r="Z54" s="991">
        <v>0.108435375</v>
      </c>
      <c r="AA54" s="991">
        <v>0.21687075</v>
      </c>
      <c r="AB54" s="991">
        <v>0.325306125</v>
      </c>
      <c r="AC54" s="21"/>
      <c r="AD54" s="991">
        <v>2.8235759999999995E-2</v>
      </c>
      <c r="AE54" s="991">
        <v>5.647151999999999E-2</v>
      </c>
      <c r="AF54" s="991">
        <v>8.4707279999999982E-2</v>
      </c>
      <c r="AG54" s="21"/>
      <c r="AH54" s="991">
        <v>-0.25</v>
      </c>
      <c r="AI54" s="991">
        <v>1.1000000000000001</v>
      </c>
      <c r="AJ54" s="991">
        <v>0.3</v>
      </c>
      <c r="AK54" s="21"/>
      <c r="AL54" s="991">
        <v>-0.15</v>
      </c>
      <c r="AM54" s="991">
        <v>0.35</v>
      </c>
      <c r="AN54" s="991">
        <v>0.2</v>
      </c>
      <c r="AO54" s="21"/>
      <c r="AP54" s="12">
        <v>16</v>
      </c>
      <c r="AQ54" s="992">
        <v>0.4</v>
      </c>
      <c r="AR54" s="21"/>
      <c r="AS54" s="992">
        <v>7</v>
      </c>
      <c r="AT54" s="995">
        <v>3.5000000000000003E-2</v>
      </c>
      <c r="AU54" s="21"/>
      <c r="AV54" s="992">
        <v>0</v>
      </c>
      <c r="AW54" s="21"/>
      <c r="AX54" s="21"/>
      <c r="AY54" s="21"/>
      <c r="AZ54" s="21"/>
      <c r="BA54" s="21"/>
      <c r="BB54" s="21"/>
      <c r="BC54" s="21"/>
      <c r="BD54" s="21"/>
      <c r="BE54" s="21"/>
      <c r="BF54" s="21"/>
      <c r="BH54" s="20"/>
      <c r="BI54" s="20"/>
      <c r="BJ54" s="395"/>
      <c r="BK54"/>
      <c r="BL54"/>
      <c r="BM54"/>
      <c r="BN54"/>
      <c r="BO54"/>
      <c r="BP54" s="95"/>
      <c r="BQ54" s="553">
        <f t="shared" si="1"/>
        <v>38078</v>
      </c>
      <c r="BR54" s="716">
        <v>2.7225000000000001</v>
      </c>
      <c r="BS54" s="716">
        <v>2.7275</v>
      </c>
      <c r="BT54" s="716">
        <v>2.7324999999999999</v>
      </c>
      <c r="BU54" s="717">
        <v>0.16</v>
      </c>
      <c r="BV54" s="717">
        <v>0.16750000000000001</v>
      </c>
      <c r="BW54" s="717">
        <v>0.17499999999999999</v>
      </c>
      <c r="BX54" s="717">
        <f t="shared" si="12"/>
        <v>-7.0000000000000007E-2</v>
      </c>
      <c r="BY54" s="717"/>
      <c r="BZ54" s="717">
        <f t="shared" si="13"/>
        <v>7.0000000000000007E-2</v>
      </c>
      <c r="CA54" s="756">
        <f t="shared" si="17"/>
        <v>0</v>
      </c>
      <c r="CB54" s="716">
        <f t="shared" si="14"/>
        <v>0</v>
      </c>
      <c r="CC54" s="789">
        <f t="shared" si="15"/>
        <v>2.7225000000000001</v>
      </c>
      <c r="CD54" s="793">
        <f t="shared" si="16"/>
        <v>0.17499999999999999</v>
      </c>
    </row>
    <row r="55" spans="1:82" ht="13.8" x14ac:dyDescent="0.3">
      <c r="A55" s="553">
        <f t="shared" si="0"/>
        <v>38200</v>
      </c>
      <c r="B55" s="717">
        <v>7.2821558383088E-2</v>
      </c>
      <c r="C55" s="399"/>
      <c r="D55" s="989">
        <v>37043</v>
      </c>
      <c r="E55" s="990">
        <v>48.7</v>
      </c>
      <c r="F55" s="990">
        <v>51</v>
      </c>
      <c r="G55" s="990">
        <v>53.3</v>
      </c>
      <c r="H55" s="977"/>
      <c r="I55" s="990">
        <v>18.504998779296876</v>
      </c>
      <c r="J55" s="990">
        <v>19.654998779296875</v>
      </c>
      <c r="K55" s="990">
        <v>20.804998779296874</v>
      </c>
      <c r="L55" s="12"/>
      <c r="M55" s="1004">
        <v>37926</v>
      </c>
      <c r="N55" s="991">
        <v>23.442251586914061</v>
      </c>
      <c r="O55" s="991">
        <v>24.004751586914061</v>
      </c>
      <c r="P55" s="991">
        <v>24.567251586914061</v>
      </c>
      <c r="Q55" s="21"/>
      <c r="R55" s="991">
        <v>18.704499816894529</v>
      </c>
      <c r="S55" s="991">
        <v>22.00449981689453</v>
      </c>
      <c r="T55" s="991">
        <v>25.304499816894531</v>
      </c>
      <c r="U55" s="21"/>
      <c r="V55" s="991">
        <v>1.1000000000000001</v>
      </c>
      <c r="W55" s="991">
        <v>1.1000000000000001</v>
      </c>
      <c r="X55" s="991">
        <v>1.1000000000000001</v>
      </c>
      <c r="Y55" s="21"/>
      <c r="Z55" s="991">
        <v>0.108435375</v>
      </c>
      <c r="AA55" s="991">
        <v>0.21687075</v>
      </c>
      <c r="AB55" s="991">
        <v>0.325306125</v>
      </c>
      <c r="AC55" s="21"/>
      <c r="AD55" s="991">
        <v>2.8235759999999995E-2</v>
      </c>
      <c r="AE55" s="991">
        <v>5.647151999999999E-2</v>
      </c>
      <c r="AF55" s="991">
        <v>8.4707279999999982E-2</v>
      </c>
      <c r="AG55" s="21"/>
      <c r="AH55" s="991">
        <v>-0.25</v>
      </c>
      <c r="AI55" s="991">
        <v>1.25</v>
      </c>
      <c r="AJ55" s="991">
        <v>0.3</v>
      </c>
      <c r="AK55" s="21"/>
      <c r="AL55" s="991">
        <v>-0.15</v>
      </c>
      <c r="AM55" s="991">
        <v>0.3</v>
      </c>
      <c r="AN55" s="991">
        <v>0.2</v>
      </c>
      <c r="AO55" s="21"/>
      <c r="AP55" s="12">
        <v>16</v>
      </c>
      <c r="AQ55" s="992">
        <v>0.4</v>
      </c>
      <c r="AR55" s="21"/>
      <c r="AS55" s="992">
        <v>8</v>
      </c>
      <c r="AT55" s="995">
        <v>0.04</v>
      </c>
      <c r="AU55" s="21"/>
      <c r="AV55" s="992">
        <v>0</v>
      </c>
      <c r="AW55" s="21"/>
      <c r="AX55" s="21"/>
      <c r="AY55" s="21"/>
      <c r="AZ55" s="21"/>
      <c r="BA55" s="21"/>
      <c r="BB55" s="21"/>
      <c r="BC55" s="21"/>
      <c r="BD55" s="21"/>
      <c r="BE55" s="21"/>
      <c r="BF55" s="21"/>
      <c r="BH55" s="20"/>
      <c r="BI55" s="20"/>
      <c r="BJ55" s="395"/>
      <c r="BK55"/>
      <c r="BL55"/>
      <c r="BM55"/>
      <c r="BN55"/>
      <c r="BO55"/>
      <c r="BP55"/>
      <c r="BQ55" s="553">
        <f t="shared" si="1"/>
        <v>38108</v>
      </c>
      <c r="BR55" s="716">
        <v>2.6965000000000003</v>
      </c>
      <c r="BS55" s="716">
        <v>2.7015000000000002</v>
      </c>
      <c r="BT55" s="716">
        <v>2.7065000000000001</v>
      </c>
      <c r="BU55" s="717">
        <v>0.158</v>
      </c>
      <c r="BV55" s="717">
        <v>0.16550000000000001</v>
      </c>
      <c r="BW55" s="717">
        <v>0.17300000000000001</v>
      </c>
      <c r="BX55" s="717">
        <f t="shared" ref="BX55:BX70" si="18">BY55-$BX$4</f>
        <v>-7.0000000000000007E-2</v>
      </c>
      <c r="BY55" s="717"/>
      <c r="BZ55" s="717">
        <f t="shared" ref="BZ55:BZ70" si="19">BY55+$BZ$4</f>
        <v>7.0000000000000007E-2</v>
      </c>
      <c r="CA55" s="756">
        <f t="shared" si="17"/>
        <v>0</v>
      </c>
      <c r="CB55" s="716">
        <f t="shared" ref="CB55:CB70" si="20">GasBasis</f>
        <v>0</v>
      </c>
      <c r="CC55" s="789">
        <f t="shared" ref="CC55:CC70" si="21">(IF(GasPriceCurve,IF(OBuySell=OCallPut,BT55,BR55),BS55)+CA55/1000+CB55)/(1-GasTransportPercent)</f>
        <v>2.6965000000000003</v>
      </c>
      <c r="CD55" s="793">
        <f t="shared" ref="CD55:CD70" si="22">IF(GasVolOver,GasVolOver,IF(OVolType=2,IF(OR(BU55="",BV55="",BW55=""),CD54,IF(GasVolCurve,IF(OBuySell,BU55,BW55),BV55)*GasVolAsPercentOfNYMEX),IF(OR(BU55="",BV55="",BW55="",BY55=""),CD54,SQRT(((IF(GasVolCurve,IF(OBuySell,BU55,BW55),BV55)*GasVolAsPercentOfNYMEX)^2*(BQ55-DateToday-1)+IF(GasVolCurve,IF(OBuySell,BX55,BZ55),BY55)^2*15)/(BQ55-DateToday+14))))+GasVolSpread)</f>
        <v>0.17300000000000001</v>
      </c>
    </row>
    <row r="56" spans="1:82" ht="13.8" x14ac:dyDescent="0.3">
      <c r="A56" s="553">
        <f t="shared" si="0"/>
        <v>38231</v>
      </c>
      <c r="B56" s="717">
        <v>7.2858761053617993E-2</v>
      </c>
      <c r="C56" s="399"/>
      <c r="D56" s="989">
        <v>37073</v>
      </c>
      <c r="E56" s="990">
        <v>72</v>
      </c>
      <c r="F56" s="990">
        <v>75</v>
      </c>
      <c r="G56" s="990">
        <v>78</v>
      </c>
      <c r="H56" s="977"/>
      <c r="I56" s="990">
        <v>22.649997711181641</v>
      </c>
      <c r="J56" s="990">
        <v>24.149997711181641</v>
      </c>
      <c r="K56" s="990">
        <v>25.649997711181641</v>
      </c>
      <c r="L56" s="12"/>
      <c r="M56" s="1004">
        <v>37956</v>
      </c>
      <c r="N56" s="991">
        <v>24.892498397827147</v>
      </c>
      <c r="O56" s="991">
        <v>25.454998397827147</v>
      </c>
      <c r="P56" s="991">
        <v>26.017498397827147</v>
      </c>
      <c r="Q56" s="21"/>
      <c r="R56" s="991">
        <v>18.649999237060545</v>
      </c>
      <c r="S56" s="991">
        <v>21.949999237060545</v>
      </c>
      <c r="T56" s="991">
        <v>25.249999237060546</v>
      </c>
      <c r="U56" s="21"/>
      <c r="V56" s="991">
        <v>1.1000000000000001</v>
      </c>
      <c r="W56" s="991">
        <v>1.1000000000000001</v>
      </c>
      <c r="X56" s="991">
        <v>1.1000000000000001</v>
      </c>
      <c r="Y56" s="21"/>
      <c r="Z56" s="991">
        <v>0.11233417499999999</v>
      </c>
      <c r="AA56" s="991">
        <v>0.22466834999999999</v>
      </c>
      <c r="AB56" s="991">
        <v>0.337002525</v>
      </c>
      <c r="AC56" s="21"/>
      <c r="AD56" s="991">
        <v>2.8235759999999995E-2</v>
      </c>
      <c r="AE56" s="991">
        <v>5.647151999999999E-2</v>
      </c>
      <c r="AF56" s="991">
        <v>8.4707279999999982E-2</v>
      </c>
      <c r="AG56" s="21"/>
      <c r="AH56" s="991">
        <v>-0.25</v>
      </c>
      <c r="AI56" s="991">
        <v>1.25</v>
      </c>
      <c r="AJ56" s="991">
        <v>0.35</v>
      </c>
      <c r="AK56" s="21"/>
      <c r="AL56" s="991">
        <v>-0.15</v>
      </c>
      <c r="AM56" s="991">
        <v>0.3</v>
      </c>
      <c r="AN56" s="991">
        <v>0.2</v>
      </c>
      <c r="AO56" s="21"/>
      <c r="AP56" s="12">
        <v>16</v>
      </c>
      <c r="AQ56" s="992">
        <v>0.4</v>
      </c>
      <c r="AR56" s="21"/>
      <c r="AS56" s="992">
        <v>9</v>
      </c>
      <c r="AT56" s="995">
        <v>0.05</v>
      </c>
      <c r="AU56" s="21"/>
      <c r="AV56" s="992">
        <v>0</v>
      </c>
      <c r="AW56" s="21"/>
      <c r="AX56" s="21"/>
      <c r="AY56" s="21"/>
      <c r="AZ56" s="21"/>
      <c r="BA56" s="21"/>
      <c r="BB56" s="21"/>
      <c r="BC56" s="21"/>
      <c r="BD56" s="21"/>
      <c r="BE56" s="21"/>
      <c r="BF56" s="21"/>
      <c r="BH56" s="20"/>
      <c r="BI56" s="20"/>
      <c r="BJ56" s="395"/>
      <c r="BK56"/>
      <c r="BL56"/>
      <c r="BM56"/>
      <c r="BN56"/>
      <c r="BO56"/>
      <c r="BP56"/>
      <c r="BQ56" s="553">
        <f t="shared" si="1"/>
        <v>38139</v>
      </c>
      <c r="BR56" s="716">
        <v>2.7025000000000001</v>
      </c>
      <c r="BS56" s="716">
        <v>2.7075</v>
      </c>
      <c r="BT56" s="716">
        <v>2.7124999999999999</v>
      </c>
      <c r="BU56" s="717">
        <v>0.15770000000000001</v>
      </c>
      <c r="BV56" s="717">
        <v>0.16520000000000001</v>
      </c>
      <c r="BW56" s="717">
        <v>0.17270000000000002</v>
      </c>
      <c r="BX56" s="717">
        <f t="shared" si="18"/>
        <v>-7.0000000000000007E-2</v>
      </c>
      <c r="BY56" s="717"/>
      <c r="BZ56" s="717">
        <f t="shared" si="19"/>
        <v>7.0000000000000007E-2</v>
      </c>
      <c r="CA56" s="756">
        <f t="shared" si="17"/>
        <v>0</v>
      </c>
      <c r="CB56" s="716">
        <f t="shared" si="20"/>
        <v>0</v>
      </c>
      <c r="CC56" s="789">
        <f t="shared" si="21"/>
        <v>2.7025000000000001</v>
      </c>
      <c r="CD56" s="793">
        <f t="shared" si="22"/>
        <v>0.17270000000000002</v>
      </c>
    </row>
    <row r="57" spans="1:82" ht="13.8" x14ac:dyDescent="0.3">
      <c r="A57" s="553">
        <f t="shared" si="0"/>
        <v>38261</v>
      </c>
      <c r="B57" s="717">
        <v>7.2894763638436999E-2</v>
      </c>
      <c r="C57" s="399"/>
      <c r="D57" s="989">
        <v>37104</v>
      </c>
      <c r="E57" s="990">
        <v>67.5</v>
      </c>
      <c r="F57" s="990">
        <v>70.5</v>
      </c>
      <c r="G57" s="990">
        <v>73.5</v>
      </c>
      <c r="H57" s="977"/>
      <c r="I57" s="990">
        <v>22.999998092651367</v>
      </c>
      <c r="J57" s="990">
        <v>24.499998092651367</v>
      </c>
      <c r="K57" s="990">
        <v>25.999998092651367</v>
      </c>
      <c r="L57" s="12"/>
      <c r="M57" s="1004">
        <v>37987</v>
      </c>
      <c r="N57" s="991">
        <v>28.173748779296872</v>
      </c>
      <c r="O57" s="991">
        <v>28.848748779296873</v>
      </c>
      <c r="P57" s="991">
        <v>29.523748779296874</v>
      </c>
      <c r="Q57" s="21"/>
      <c r="R57" s="991">
        <v>24.052500534057614</v>
      </c>
      <c r="S57" s="991">
        <v>27.352500534057615</v>
      </c>
      <c r="T57" s="991">
        <v>30.652500534057616</v>
      </c>
      <c r="U57" s="21"/>
      <c r="V57" s="991">
        <v>1</v>
      </c>
      <c r="W57" s="991">
        <v>1</v>
      </c>
      <c r="X57" s="991">
        <v>1</v>
      </c>
      <c r="Y57" s="21"/>
      <c r="Z57" s="991">
        <v>0.1213185625</v>
      </c>
      <c r="AA57" s="991">
        <v>0.24263712500000001</v>
      </c>
      <c r="AB57" s="991">
        <v>0.36395568750000001</v>
      </c>
      <c r="AC57" s="21"/>
      <c r="AD57" s="991">
        <v>3.2282885600000005E-2</v>
      </c>
      <c r="AE57" s="991">
        <v>6.4565771200000011E-2</v>
      </c>
      <c r="AF57" s="991">
        <v>9.6848656800000016E-2</v>
      </c>
      <c r="AG57" s="21"/>
      <c r="AH57" s="991">
        <v>-0.75</v>
      </c>
      <c r="AI57" s="991">
        <v>2</v>
      </c>
      <c r="AJ57" s="991">
        <v>0.75</v>
      </c>
      <c r="AK57" s="21"/>
      <c r="AL57" s="991">
        <v>-0.15</v>
      </c>
      <c r="AM57" s="991">
        <v>0.5</v>
      </c>
      <c r="AN57" s="991">
        <v>0.2</v>
      </c>
      <c r="AO57" s="21"/>
      <c r="AP57" s="12">
        <v>17</v>
      </c>
      <c r="AQ57" s="992">
        <v>0.4</v>
      </c>
      <c r="AR57" s="21"/>
      <c r="AS57" s="992">
        <v>10</v>
      </c>
      <c r="AT57" s="995">
        <v>0.06</v>
      </c>
      <c r="AU57" s="21"/>
      <c r="AV57" s="21"/>
      <c r="AW57" s="21"/>
      <c r="AX57" s="21"/>
      <c r="AY57" s="21"/>
      <c r="AZ57" s="21"/>
      <c r="BA57" s="21"/>
      <c r="BB57" s="21"/>
      <c r="BC57" s="21"/>
      <c r="BD57" s="21"/>
      <c r="BE57" s="21"/>
      <c r="BF57" s="21"/>
      <c r="BH57" s="20"/>
      <c r="BI57" s="20"/>
      <c r="BJ57" s="395"/>
      <c r="BK57"/>
      <c r="BL57"/>
      <c r="BM57"/>
      <c r="BN57"/>
      <c r="BO57"/>
      <c r="BP57"/>
      <c r="BQ57" s="553">
        <f t="shared" si="1"/>
        <v>38169</v>
      </c>
      <c r="BR57" s="716">
        <v>2.7124999999999999</v>
      </c>
      <c r="BS57" s="716">
        <v>2.7174999999999998</v>
      </c>
      <c r="BT57" s="716">
        <v>2.7225000000000001</v>
      </c>
      <c r="BU57" s="717">
        <v>0.15740000000000001</v>
      </c>
      <c r="BV57" s="717">
        <v>0.16490000000000002</v>
      </c>
      <c r="BW57" s="717">
        <v>0.1724</v>
      </c>
      <c r="BX57" s="717">
        <f t="shared" si="18"/>
        <v>-7.0000000000000007E-2</v>
      </c>
      <c r="BY57" s="717"/>
      <c r="BZ57" s="717">
        <f t="shared" si="19"/>
        <v>7.0000000000000007E-2</v>
      </c>
      <c r="CA57" s="756">
        <f t="shared" si="17"/>
        <v>0</v>
      </c>
      <c r="CB57" s="716">
        <f t="shared" si="20"/>
        <v>0</v>
      </c>
      <c r="CC57" s="789">
        <f t="shared" si="21"/>
        <v>2.7124999999999999</v>
      </c>
      <c r="CD57" s="793">
        <f t="shared" si="22"/>
        <v>0.1724</v>
      </c>
    </row>
    <row r="58" spans="1:82" ht="13.8" x14ac:dyDescent="0.3">
      <c r="A58" s="553">
        <f t="shared" si="0"/>
        <v>38292</v>
      </c>
      <c r="B58" s="717">
        <v>7.293196630986501E-2</v>
      </c>
      <c r="C58" s="399"/>
      <c r="D58" s="989">
        <v>37135</v>
      </c>
      <c r="E58" s="990">
        <v>32.799999999999997</v>
      </c>
      <c r="F58" s="990">
        <v>33.5</v>
      </c>
      <c r="G58" s="990">
        <v>34.200000000000003</v>
      </c>
      <c r="H58" s="977"/>
      <c r="I58" s="990">
        <v>19.649998092651366</v>
      </c>
      <c r="J58" s="990">
        <v>19.999998092651367</v>
      </c>
      <c r="K58" s="990">
        <v>20.349998092651369</v>
      </c>
      <c r="L58" s="12"/>
      <c r="M58" s="1004">
        <v>38018</v>
      </c>
      <c r="N58" s="991">
        <v>27.171250152587888</v>
      </c>
      <c r="O58" s="991">
        <v>27.846250152587888</v>
      </c>
      <c r="P58" s="991">
        <v>28.521250152587889</v>
      </c>
      <c r="Q58" s="21"/>
      <c r="R58" s="991">
        <v>22.04749946594238</v>
      </c>
      <c r="S58" s="991">
        <v>25.347499465942381</v>
      </c>
      <c r="T58" s="991">
        <v>28.647499465942381</v>
      </c>
      <c r="U58" s="21"/>
      <c r="V58" s="991">
        <v>0.5</v>
      </c>
      <c r="W58" s="991">
        <v>0.5</v>
      </c>
      <c r="X58" s="991">
        <v>0.5</v>
      </c>
      <c r="Y58" s="21"/>
      <c r="Z58" s="991">
        <v>0.1170316875</v>
      </c>
      <c r="AA58" s="991">
        <v>0.23406337499999999</v>
      </c>
      <c r="AB58" s="991">
        <v>0.3510950625</v>
      </c>
      <c r="AC58" s="21"/>
      <c r="AD58" s="991">
        <v>3.2282885600000005E-2</v>
      </c>
      <c r="AE58" s="991">
        <v>6.4565771200000011E-2</v>
      </c>
      <c r="AF58" s="991">
        <v>9.6848656800000016E-2</v>
      </c>
      <c r="AG58" s="21"/>
      <c r="AH58" s="991">
        <v>-0.75</v>
      </c>
      <c r="AI58" s="991">
        <v>2</v>
      </c>
      <c r="AJ58" s="991">
        <v>0.75</v>
      </c>
      <c r="AK58" s="21"/>
      <c r="AL58" s="991">
        <v>-0.15</v>
      </c>
      <c r="AM58" s="991">
        <v>0.5</v>
      </c>
      <c r="AN58" s="991">
        <v>0.2</v>
      </c>
      <c r="AO58" s="21"/>
      <c r="AP58" s="12">
        <v>17</v>
      </c>
      <c r="AQ58" s="992">
        <v>0.4</v>
      </c>
      <c r="AR58" s="21"/>
      <c r="AS58" s="21"/>
      <c r="AT58" s="21"/>
      <c r="AU58" s="21"/>
      <c r="AV58" s="21"/>
      <c r="AW58" s="21"/>
      <c r="AX58" s="21"/>
      <c r="AY58" s="21"/>
      <c r="AZ58" s="21"/>
      <c r="BA58" s="21"/>
      <c r="BB58" s="21"/>
      <c r="BC58" s="21"/>
      <c r="BD58" s="21"/>
      <c r="BE58" s="21"/>
      <c r="BF58" s="21"/>
      <c r="BH58" s="20"/>
      <c r="BI58" s="20"/>
      <c r="BJ58" s="395"/>
      <c r="BK58"/>
      <c r="BL58"/>
      <c r="BM58"/>
      <c r="BN58"/>
      <c r="BO58"/>
      <c r="BP58"/>
      <c r="BQ58" s="553">
        <f t="shared" si="1"/>
        <v>38200</v>
      </c>
      <c r="BR58" s="716">
        <v>2.7195</v>
      </c>
      <c r="BS58" s="716">
        <v>2.7244999999999999</v>
      </c>
      <c r="BT58" s="716">
        <v>2.7295000000000003</v>
      </c>
      <c r="BU58" s="717">
        <v>0.15710000000000002</v>
      </c>
      <c r="BV58" s="717">
        <v>0.1646</v>
      </c>
      <c r="BW58" s="717">
        <v>0.1721</v>
      </c>
      <c r="BX58" s="717">
        <f t="shared" si="18"/>
        <v>-7.0000000000000007E-2</v>
      </c>
      <c r="BY58" s="717"/>
      <c r="BZ58" s="717">
        <f t="shared" si="19"/>
        <v>7.0000000000000007E-2</v>
      </c>
      <c r="CA58" s="756">
        <f t="shared" si="17"/>
        <v>0</v>
      </c>
      <c r="CB58" s="716">
        <f t="shared" si="20"/>
        <v>0</v>
      </c>
      <c r="CC58" s="789">
        <f t="shared" si="21"/>
        <v>2.7195</v>
      </c>
      <c r="CD58" s="793">
        <f t="shared" si="22"/>
        <v>0.1721</v>
      </c>
    </row>
    <row r="59" spans="1:82" ht="13.8" x14ac:dyDescent="0.3">
      <c r="A59" s="553">
        <f t="shared" si="0"/>
        <v>38322</v>
      </c>
      <c r="B59" s="717">
        <v>7.2967968895554999E-2</v>
      </c>
      <c r="C59" s="399"/>
      <c r="D59" s="989">
        <v>37165</v>
      </c>
      <c r="E59" s="990">
        <v>30.7</v>
      </c>
      <c r="F59" s="990">
        <v>31.25</v>
      </c>
      <c r="G59" s="990">
        <v>31.8</v>
      </c>
      <c r="H59" s="977"/>
      <c r="I59" s="990">
        <v>19.424998855590822</v>
      </c>
      <c r="J59" s="990">
        <v>19.69999885559082</v>
      </c>
      <c r="K59" s="990">
        <v>19.974998855590819</v>
      </c>
      <c r="L59" s="12"/>
      <c r="M59" s="1004">
        <v>38047</v>
      </c>
      <c r="N59" s="991">
        <v>20.622249603271481</v>
      </c>
      <c r="O59" s="991">
        <v>21.034749603271482</v>
      </c>
      <c r="P59" s="991">
        <v>21.447249603271484</v>
      </c>
      <c r="Q59" s="21"/>
      <c r="R59" s="991">
        <v>17.364498901367185</v>
      </c>
      <c r="S59" s="991">
        <v>20.664498901367185</v>
      </c>
      <c r="T59" s="991">
        <v>23.964498901367186</v>
      </c>
      <c r="U59" s="21"/>
      <c r="V59" s="991">
        <v>0.5</v>
      </c>
      <c r="W59" s="991">
        <v>0.5</v>
      </c>
      <c r="X59" s="991">
        <v>0.5</v>
      </c>
      <c r="Y59" s="21"/>
      <c r="Z59" s="991">
        <v>0.11391298593750002</v>
      </c>
      <c r="AA59" s="991">
        <v>0.22782597187500003</v>
      </c>
      <c r="AB59" s="991">
        <v>0.34173895781250008</v>
      </c>
      <c r="AC59" s="21"/>
      <c r="AD59" s="991">
        <v>2.7671044799999996E-2</v>
      </c>
      <c r="AE59" s="991">
        <v>5.5342089599999991E-2</v>
      </c>
      <c r="AF59" s="991">
        <v>8.3013134399999994E-2</v>
      </c>
      <c r="AG59" s="21"/>
      <c r="AH59" s="991">
        <v>-0.25</v>
      </c>
      <c r="AI59" s="991">
        <v>1.3</v>
      </c>
      <c r="AJ59" s="991">
        <v>0.3</v>
      </c>
      <c r="AK59" s="21"/>
      <c r="AL59" s="991">
        <v>-0.15</v>
      </c>
      <c r="AM59" s="991">
        <v>0.35</v>
      </c>
      <c r="AN59" s="991">
        <v>0.2</v>
      </c>
      <c r="AO59" s="21"/>
      <c r="AP59" s="12">
        <v>17</v>
      </c>
      <c r="AQ59" s="992">
        <v>0.4</v>
      </c>
      <c r="AR59" s="21"/>
      <c r="AS59" s="21"/>
      <c r="AT59" s="21"/>
      <c r="AU59" s="21"/>
      <c r="AV59" s="21"/>
      <c r="AW59" s="21"/>
      <c r="AX59" s="21"/>
      <c r="AY59" s="21"/>
      <c r="AZ59" s="21"/>
      <c r="BA59" s="21"/>
      <c r="BB59" s="21"/>
      <c r="BC59" s="21"/>
      <c r="BD59" s="21"/>
      <c r="BE59" s="21"/>
      <c r="BF59" s="21"/>
      <c r="BH59" s="20"/>
      <c r="BI59" s="20"/>
      <c r="BJ59" s="395"/>
      <c r="BK59"/>
      <c r="BL59"/>
      <c r="BM59"/>
      <c r="BN59"/>
      <c r="BO59"/>
      <c r="BP59"/>
      <c r="BQ59" s="553">
        <f t="shared" si="1"/>
        <v>38231</v>
      </c>
      <c r="BR59" s="716">
        <v>2.7265000000000001</v>
      </c>
      <c r="BS59" s="716">
        <v>2.7315</v>
      </c>
      <c r="BT59" s="716">
        <v>2.7364999999999999</v>
      </c>
      <c r="BU59" s="717">
        <v>0.15679999999999999</v>
      </c>
      <c r="BV59" s="717">
        <v>0.1643</v>
      </c>
      <c r="BW59" s="717">
        <v>0.17180000000000001</v>
      </c>
      <c r="BX59" s="717">
        <f t="shared" si="18"/>
        <v>-7.0000000000000007E-2</v>
      </c>
      <c r="BY59" s="717"/>
      <c r="BZ59" s="717">
        <f t="shared" si="19"/>
        <v>7.0000000000000007E-2</v>
      </c>
      <c r="CA59" s="756">
        <f t="shared" si="17"/>
        <v>0</v>
      </c>
      <c r="CB59" s="716">
        <f t="shared" si="20"/>
        <v>0</v>
      </c>
      <c r="CC59" s="789">
        <f t="shared" si="21"/>
        <v>2.7265000000000001</v>
      </c>
      <c r="CD59" s="793">
        <f t="shared" si="22"/>
        <v>0.17180000000000001</v>
      </c>
    </row>
    <row r="60" spans="1:82" ht="13.8" x14ac:dyDescent="0.3">
      <c r="A60" s="553">
        <f t="shared" si="0"/>
        <v>38353</v>
      </c>
      <c r="B60" s="717">
        <v>7.3005171567883012E-2</v>
      </c>
      <c r="C60" s="399"/>
      <c r="D60" s="989">
        <v>37196</v>
      </c>
      <c r="E60" s="990">
        <v>31.074999999999999</v>
      </c>
      <c r="F60" s="990">
        <v>31.625</v>
      </c>
      <c r="G60" s="990">
        <v>32.174999999999997</v>
      </c>
      <c r="H60" s="977"/>
      <c r="I60" s="990">
        <v>19.349998092651369</v>
      </c>
      <c r="J60" s="990">
        <v>19.624998092651367</v>
      </c>
      <c r="K60" s="990">
        <v>19.899998092651366</v>
      </c>
      <c r="L60" s="12"/>
      <c r="M60" s="1004">
        <v>38078</v>
      </c>
      <c r="N60" s="991">
        <v>21.417500305175778</v>
      </c>
      <c r="O60" s="991">
        <v>21.717500305175779</v>
      </c>
      <c r="P60" s="991">
        <v>22.01750030517578</v>
      </c>
      <c r="Q60" s="21"/>
      <c r="R60" s="991">
        <v>17.134999084472653</v>
      </c>
      <c r="S60" s="991">
        <v>20.434999084472654</v>
      </c>
      <c r="T60" s="991">
        <v>23.734999084472655</v>
      </c>
      <c r="U60" s="21"/>
      <c r="V60" s="991">
        <v>0.5</v>
      </c>
      <c r="W60" s="991">
        <v>0.5</v>
      </c>
      <c r="X60" s="991">
        <v>0.5</v>
      </c>
      <c r="Y60" s="21"/>
      <c r="Z60" s="991">
        <v>0.101663240625</v>
      </c>
      <c r="AA60" s="991">
        <v>0.20332648125</v>
      </c>
      <c r="AB60" s="991">
        <v>0.30498972187500001</v>
      </c>
      <c r="AC60" s="21"/>
      <c r="AD60" s="991">
        <v>2.7671044799999996E-2</v>
      </c>
      <c r="AE60" s="991">
        <v>5.5342089599999991E-2</v>
      </c>
      <c r="AF60" s="991">
        <v>8.3013134399999994E-2</v>
      </c>
      <c r="AG60" s="21"/>
      <c r="AH60" s="991">
        <v>-0.25</v>
      </c>
      <c r="AI60" s="991">
        <v>1.1000000000000001</v>
      </c>
      <c r="AJ60" s="991">
        <v>0.3</v>
      </c>
      <c r="AK60" s="21"/>
      <c r="AL60" s="991">
        <v>-0.15</v>
      </c>
      <c r="AM60" s="991">
        <v>0.35</v>
      </c>
      <c r="AN60" s="991">
        <v>0.2</v>
      </c>
      <c r="AO60" s="21"/>
      <c r="AP60" s="12">
        <v>18</v>
      </c>
      <c r="AQ60" s="992">
        <v>0.4</v>
      </c>
      <c r="AR60" s="21"/>
      <c r="AS60" s="21"/>
      <c r="AT60" s="21"/>
      <c r="AU60" s="21"/>
      <c r="AV60" s="21"/>
      <c r="AW60" s="21"/>
      <c r="AX60" s="21"/>
      <c r="AY60" s="21"/>
      <c r="AZ60" s="21"/>
      <c r="BA60" s="21"/>
      <c r="BB60" s="21"/>
      <c r="BC60" s="21"/>
      <c r="BD60" s="21"/>
      <c r="BE60" s="21"/>
      <c r="BF60" s="21"/>
      <c r="BH60" s="20"/>
      <c r="BI60" s="20"/>
      <c r="BJ60" s="395"/>
      <c r="BK60"/>
      <c r="BL60"/>
      <c r="BM60"/>
      <c r="BN60"/>
      <c r="BO60"/>
      <c r="BP60"/>
      <c r="BQ60" s="553">
        <f t="shared" si="1"/>
        <v>38261</v>
      </c>
      <c r="BR60" s="716">
        <v>2.7524999999999999</v>
      </c>
      <c r="BS60" s="716">
        <v>2.7574999999999998</v>
      </c>
      <c r="BT60" s="716">
        <v>2.7625000000000002</v>
      </c>
      <c r="BU60" s="717">
        <v>0.1565</v>
      </c>
      <c r="BV60" s="717">
        <v>0.16400000000000001</v>
      </c>
      <c r="BW60" s="717">
        <v>0.17150000000000001</v>
      </c>
      <c r="BX60" s="717">
        <f t="shared" si="18"/>
        <v>-7.0000000000000007E-2</v>
      </c>
      <c r="BY60" s="717"/>
      <c r="BZ60" s="717">
        <f t="shared" si="19"/>
        <v>7.0000000000000007E-2</v>
      </c>
      <c r="CA60" s="756">
        <f t="shared" si="17"/>
        <v>0</v>
      </c>
      <c r="CB60" s="716">
        <f t="shared" si="20"/>
        <v>0</v>
      </c>
      <c r="CC60" s="789">
        <f t="shared" si="21"/>
        <v>2.7524999999999999</v>
      </c>
      <c r="CD60" s="793">
        <f t="shared" si="22"/>
        <v>0.17150000000000001</v>
      </c>
    </row>
    <row r="61" spans="1:82" ht="13.8" x14ac:dyDescent="0.3">
      <c r="A61" s="553">
        <f t="shared" si="0"/>
        <v>38384</v>
      </c>
      <c r="B61" s="717">
        <v>7.3042374240667993E-2</v>
      </c>
      <c r="C61" s="399"/>
      <c r="D61" s="989">
        <v>37226</v>
      </c>
      <c r="E61" s="990">
        <v>30.95</v>
      </c>
      <c r="F61" s="990">
        <v>31.5</v>
      </c>
      <c r="G61" s="990">
        <v>32.049999999999997</v>
      </c>
      <c r="H61" s="977"/>
      <c r="I61" s="990">
        <v>20.774999237060548</v>
      </c>
      <c r="J61" s="990">
        <v>21.049999237060547</v>
      </c>
      <c r="K61" s="990">
        <v>21.324999237060545</v>
      </c>
      <c r="L61" s="12"/>
      <c r="M61" s="1004">
        <v>38108</v>
      </c>
      <c r="N61" s="991">
        <v>20.797500076293943</v>
      </c>
      <c r="O61" s="991">
        <v>21.832500076293943</v>
      </c>
      <c r="P61" s="991">
        <v>22.867500076293943</v>
      </c>
      <c r="Q61" s="21"/>
      <c r="R61" s="991">
        <v>17.664999771118161</v>
      </c>
      <c r="S61" s="991">
        <v>20.964999771118162</v>
      </c>
      <c r="T61" s="991">
        <v>24.264999771118163</v>
      </c>
      <c r="U61" s="21"/>
      <c r="V61" s="991">
        <v>0.5</v>
      </c>
      <c r="W61" s="991">
        <v>0.5</v>
      </c>
      <c r="X61" s="991">
        <v>0.5</v>
      </c>
      <c r="Y61" s="21"/>
      <c r="Z61" s="991">
        <v>0.11709599062499999</v>
      </c>
      <c r="AA61" s="991">
        <v>0.23419198124999999</v>
      </c>
      <c r="AB61" s="991">
        <v>0.35128797187499999</v>
      </c>
      <c r="AC61" s="21"/>
      <c r="AD61" s="991">
        <v>3.2282885600000005E-2</v>
      </c>
      <c r="AE61" s="991">
        <v>6.4565771200000011E-2</v>
      </c>
      <c r="AF61" s="991">
        <v>9.6848656800000016E-2</v>
      </c>
      <c r="AG61" s="21"/>
      <c r="AH61" s="991">
        <v>-0.25</v>
      </c>
      <c r="AI61" s="991">
        <v>1.1000000000000001</v>
      </c>
      <c r="AJ61" s="991">
        <v>0.3</v>
      </c>
      <c r="AK61" s="21"/>
      <c r="AL61" s="991">
        <v>-0.15</v>
      </c>
      <c r="AM61" s="991">
        <v>0.5</v>
      </c>
      <c r="AN61" s="991">
        <v>0.2</v>
      </c>
      <c r="AO61" s="21"/>
      <c r="AP61" s="12">
        <v>18</v>
      </c>
      <c r="AQ61" s="992">
        <v>0.4</v>
      </c>
      <c r="AR61" s="21"/>
      <c r="AS61" s="21"/>
      <c r="AT61" s="21"/>
      <c r="AU61" s="21"/>
      <c r="AV61" s="21"/>
      <c r="AW61" s="21"/>
      <c r="AX61" s="21"/>
      <c r="AY61" s="21"/>
      <c r="AZ61" s="21"/>
      <c r="BA61" s="21"/>
      <c r="BB61" s="21"/>
      <c r="BC61" s="21"/>
      <c r="BD61" s="21"/>
      <c r="BE61" s="21"/>
      <c r="BF61" s="21"/>
      <c r="BH61" s="20"/>
      <c r="BI61" s="20"/>
      <c r="BJ61" s="395"/>
      <c r="BK61"/>
      <c r="BL61"/>
      <c r="BM61"/>
      <c r="BN61"/>
      <c r="BO61"/>
      <c r="BP61"/>
      <c r="BQ61" s="553">
        <f t="shared" si="1"/>
        <v>38292</v>
      </c>
      <c r="BR61" s="716">
        <v>2.8875000000000002</v>
      </c>
      <c r="BS61" s="716">
        <v>2.8925000000000001</v>
      </c>
      <c r="BT61" s="716">
        <v>2.8975</v>
      </c>
      <c r="BU61" s="717">
        <v>0.1565</v>
      </c>
      <c r="BV61" s="717">
        <v>0.16400000000000001</v>
      </c>
      <c r="BW61" s="717">
        <v>0.17150000000000001</v>
      </c>
      <c r="BX61" s="717">
        <f t="shared" si="18"/>
        <v>-7.0000000000000007E-2</v>
      </c>
      <c r="BY61" s="717"/>
      <c r="BZ61" s="717">
        <f t="shared" si="19"/>
        <v>7.0000000000000007E-2</v>
      </c>
      <c r="CA61" s="756">
        <f t="shared" si="17"/>
        <v>0</v>
      </c>
      <c r="CB61" s="716">
        <f t="shared" si="20"/>
        <v>0</v>
      </c>
      <c r="CC61" s="789">
        <f t="shared" si="21"/>
        <v>2.8875000000000002</v>
      </c>
      <c r="CD61" s="793">
        <f t="shared" si="22"/>
        <v>0.17150000000000001</v>
      </c>
    </row>
    <row r="62" spans="1:82" ht="13.8" x14ac:dyDescent="0.3">
      <c r="A62" s="553">
        <f t="shared" si="0"/>
        <v>38412</v>
      </c>
      <c r="B62" s="717">
        <v>7.3075976655189001E-2</v>
      </c>
      <c r="C62" s="399"/>
      <c r="D62" s="989">
        <v>37257</v>
      </c>
      <c r="E62" s="990">
        <v>36.299999999999997</v>
      </c>
      <c r="F62" s="990">
        <v>37</v>
      </c>
      <c r="G62" s="990">
        <v>37.700000000000003</v>
      </c>
      <c r="H62" s="977"/>
      <c r="I62" s="990">
        <v>20.440000152587888</v>
      </c>
      <c r="J62" s="990">
        <v>20.79000015258789</v>
      </c>
      <c r="K62" s="990">
        <v>21.140000152587891</v>
      </c>
      <c r="L62" s="12"/>
      <c r="M62" s="1004">
        <v>38139</v>
      </c>
      <c r="N62" s="991">
        <v>23.25875015258789</v>
      </c>
      <c r="O62" s="991">
        <v>26.25875015258789</v>
      </c>
      <c r="P62" s="991">
        <v>29.25875015258789</v>
      </c>
      <c r="Q62" s="21"/>
      <c r="R62" s="991">
        <v>16.442499542236327</v>
      </c>
      <c r="S62" s="991">
        <v>19.742499542236327</v>
      </c>
      <c r="T62" s="991">
        <v>23.042499542236328</v>
      </c>
      <c r="U62" s="21"/>
      <c r="V62" s="991">
        <v>0.5</v>
      </c>
      <c r="W62" s="991">
        <v>0.5</v>
      </c>
      <c r="X62" s="991">
        <v>0.5</v>
      </c>
      <c r="Y62" s="21"/>
      <c r="Z62" s="991">
        <v>0.14670757968749998</v>
      </c>
      <c r="AA62" s="991">
        <v>0.29341515937499996</v>
      </c>
      <c r="AB62" s="991">
        <v>0.44012273906249993</v>
      </c>
      <c r="AC62" s="21"/>
      <c r="AD62" s="991">
        <v>4.1506567199999997E-2</v>
      </c>
      <c r="AE62" s="991">
        <v>8.3013134399999994E-2</v>
      </c>
      <c r="AF62" s="991">
        <v>0.12451970159999999</v>
      </c>
      <c r="AG62" s="21"/>
      <c r="AH62" s="991">
        <v>-0.35</v>
      </c>
      <c r="AI62" s="991">
        <v>2</v>
      </c>
      <c r="AJ62" s="991">
        <v>0.3</v>
      </c>
      <c r="AK62" s="21"/>
      <c r="AL62" s="991">
        <v>-0.15</v>
      </c>
      <c r="AM62" s="991">
        <v>0.65</v>
      </c>
      <c r="AN62" s="991">
        <v>0.2</v>
      </c>
      <c r="AO62" s="21"/>
      <c r="AP62" s="12">
        <v>18</v>
      </c>
      <c r="AQ62" s="992">
        <v>0.4</v>
      </c>
      <c r="AR62" s="21"/>
      <c r="AS62" s="21"/>
      <c r="AT62" s="21"/>
      <c r="AU62" s="21"/>
      <c r="AV62" s="21"/>
      <c r="AW62" s="21"/>
      <c r="AX62" s="21"/>
      <c r="AY62" s="21"/>
      <c r="AZ62" s="21"/>
      <c r="BA62" s="21"/>
      <c r="BB62" s="21"/>
      <c r="BC62" s="21"/>
      <c r="BD62" s="21"/>
      <c r="BE62" s="21"/>
      <c r="BF62" s="21"/>
      <c r="BH62" s="20"/>
      <c r="BI62" s="20"/>
      <c r="BJ62" s="395"/>
      <c r="BK62"/>
      <c r="BL62"/>
      <c r="BM62"/>
      <c r="BN62"/>
      <c r="BO62"/>
      <c r="BP62"/>
      <c r="BQ62" s="553">
        <f t="shared" si="1"/>
        <v>38322</v>
      </c>
      <c r="BR62" s="716">
        <v>3.0115000000000003</v>
      </c>
      <c r="BS62" s="716">
        <v>3.0165000000000002</v>
      </c>
      <c r="BT62" s="716">
        <v>3.0215000000000001</v>
      </c>
      <c r="BU62" s="717">
        <v>0.157</v>
      </c>
      <c r="BV62" s="717">
        <v>0.16450000000000001</v>
      </c>
      <c r="BW62" s="717">
        <v>0.17200000000000001</v>
      </c>
      <c r="BX62" s="717">
        <f t="shared" si="18"/>
        <v>-7.0000000000000007E-2</v>
      </c>
      <c r="BY62" s="717"/>
      <c r="BZ62" s="717">
        <f t="shared" si="19"/>
        <v>7.0000000000000007E-2</v>
      </c>
      <c r="CA62" s="756">
        <f t="shared" si="17"/>
        <v>0</v>
      </c>
      <c r="CB62" s="716">
        <f t="shared" si="20"/>
        <v>0</v>
      </c>
      <c r="CC62" s="789">
        <f t="shared" si="21"/>
        <v>3.0115000000000003</v>
      </c>
      <c r="CD62" s="793">
        <f t="shared" si="22"/>
        <v>0.17200000000000001</v>
      </c>
    </row>
    <row r="63" spans="1:82" ht="13.8" x14ac:dyDescent="0.3">
      <c r="A63" s="553">
        <f t="shared" si="0"/>
        <v>38443</v>
      </c>
      <c r="B63" s="717">
        <v>7.3101626699756006E-2</v>
      </c>
      <c r="C63" s="399"/>
      <c r="D63" s="989">
        <v>37288</v>
      </c>
      <c r="E63" s="990">
        <v>36.299999999999997</v>
      </c>
      <c r="F63" s="990">
        <v>37</v>
      </c>
      <c r="G63" s="990">
        <v>37.700000000000003</v>
      </c>
      <c r="H63" s="977"/>
      <c r="I63" s="990">
        <v>20.249997711181638</v>
      </c>
      <c r="J63" s="990">
        <v>20.59999771118164</v>
      </c>
      <c r="K63" s="990">
        <v>20.949997711181641</v>
      </c>
      <c r="L63" s="12"/>
      <c r="M63" s="1004">
        <v>38169</v>
      </c>
      <c r="N63" s="991">
        <v>36.461249542236331</v>
      </c>
      <c r="O63" s="991">
        <v>39.461249542236331</v>
      </c>
      <c r="P63" s="991">
        <v>42.461249542236331</v>
      </c>
      <c r="Q63" s="21"/>
      <c r="R63" s="991">
        <v>25.647499465942381</v>
      </c>
      <c r="S63" s="991">
        <v>28.947499465942382</v>
      </c>
      <c r="T63" s="991">
        <v>32.247499465942383</v>
      </c>
      <c r="U63" s="21"/>
      <c r="V63" s="991">
        <v>0.5</v>
      </c>
      <c r="W63" s="991">
        <v>0.5</v>
      </c>
      <c r="X63" s="991">
        <v>0.5</v>
      </c>
      <c r="Y63" s="21"/>
      <c r="Z63" s="991">
        <v>0.17371489218749997</v>
      </c>
      <c r="AA63" s="991">
        <v>0.34742978437499994</v>
      </c>
      <c r="AB63" s="991">
        <v>0.52114467656249985</v>
      </c>
      <c r="AC63" s="21"/>
      <c r="AD63" s="991">
        <v>5.5342089599999991E-2</v>
      </c>
      <c r="AE63" s="991">
        <v>0.11068417919999998</v>
      </c>
      <c r="AF63" s="991">
        <v>0.16602626879999999</v>
      </c>
      <c r="AG63" s="21"/>
      <c r="AH63" s="991">
        <v>-0.35</v>
      </c>
      <c r="AI63" s="991">
        <v>3</v>
      </c>
      <c r="AJ63" s="991">
        <v>0.5</v>
      </c>
      <c r="AK63" s="21"/>
      <c r="AL63" s="991">
        <v>-0.15</v>
      </c>
      <c r="AM63" s="991">
        <v>0.75</v>
      </c>
      <c r="AN63" s="991">
        <v>0.2</v>
      </c>
      <c r="AO63" s="21"/>
      <c r="AP63" s="12">
        <v>19</v>
      </c>
      <c r="AQ63" s="992">
        <v>0.4</v>
      </c>
      <c r="AR63" s="21"/>
      <c r="AS63" s="21"/>
      <c r="AT63" s="21"/>
      <c r="AU63" s="21"/>
      <c r="AV63" s="21"/>
      <c r="AW63" s="21"/>
      <c r="AX63" s="21"/>
      <c r="AY63" s="21"/>
      <c r="AZ63" s="21"/>
      <c r="BA63" s="21"/>
      <c r="BB63" s="21"/>
      <c r="BC63" s="21"/>
      <c r="BD63" s="21"/>
      <c r="BE63" s="21"/>
      <c r="BF63" s="21"/>
      <c r="BH63" s="20"/>
      <c r="BI63" s="20"/>
      <c r="BJ63" s="395"/>
      <c r="BK63"/>
      <c r="BL63"/>
      <c r="BM63"/>
      <c r="BN63"/>
      <c r="BO63"/>
      <c r="BP63"/>
      <c r="BQ63" s="553">
        <f t="shared" si="1"/>
        <v>38353</v>
      </c>
      <c r="BR63" s="716">
        <v>3.06</v>
      </c>
      <c r="BS63" s="716">
        <v>3.0649999999999999</v>
      </c>
      <c r="BT63" s="716">
        <v>3.07</v>
      </c>
      <c r="BU63" s="717">
        <v>0.1585</v>
      </c>
      <c r="BV63" s="717">
        <v>0.16600000000000001</v>
      </c>
      <c r="BW63" s="717">
        <v>0.17350000000000002</v>
      </c>
      <c r="BX63" s="717">
        <f t="shared" si="18"/>
        <v>-7.0000000000000007E-2</v>
      </c>
      <c r="BY63" s="717"/>
      <c r="BZ63" s="717">
        <f t="shared" si="19"/>
        <v>7.0000000000000007E-2</v>
      </c>
      <c r="CA63" s="756">
        <f t="shared" si="17"/>
        <v>0</v>
      </c>
      <c r="CB63" s="716">
        <f t="shared" si="20"/>
        <v>0</v>
      </c>
      <c r="CC63" s="789">
        <f t="shared" si="21"/>
        <v>3.06</v>
      </c>
      <c r="CD63" s="793">
        <f t="shared" si="22"/>
        <v>0.17350000000000002</v>
      </c>
    </row>
    <row r="64" spans="1:82" ht="13.8" x14ac:dyDescent="0.3">
      <c r="A64" s="553">
        <f t="shared" si="0"/>
        <v>38473</v>
      </c>
      <c r="B64" s="717">
        <v>7.3125678291756008E-2</v>
      </c>
      <c r="C64" s="399"/>
      <c r="D64" s="989">
        <v>37316</v>
      </c>
      <c r="E64" s="990">
        <v>32.799999999999997</v>
      </c>
      <c r="F64" s="990">
        <v>33.25</v>
      </c>
      <c r="G64" s="990">
        <v>33.700000000000003</v>
      </c>
      <c r="H64" s="977"/>
      <c r="I64" s="990">
        <v>19.374999618530271</v>
      </c>
      <c r="J64" s="990">
        <v>19.599999618530273</v>
      </c>
      <c r="K64" s="990">
        <v>19.824999618530274</v>
      </c>
      <c r="L64" s="12"/>
      <c r="M64" s="1004">
        <v>38200</v>
      </c>
      <c r="N64" s="991">
        <v>38.722499084472659</v>
      </c>
      <c r="O64" s="991">
        <v>41.722499084472659</v>
      </c>
      <c r="P64" s="991">
        <v>44.722499084472659</v>
      </c>
      <c r="Q64" s="21"/>
      <c r="R64" s="991">
        <v>27.145000839233397</v>
      </c>
      <c r="S64" s="991">
        <v>30.445000839233398</v>
      </c>
      <c r="T64" s="991">
        <v>33.745000839233398</v>
      </c>
      <c r="U64" s="21"/>
      <c r="V64" s="991">
        <v>1</v>
      </c>
      <c r="W64" s="991">
        <v>1</v>
      </c>
      <c r="X64" s="991">
        <v>1</v>
      </c>
      <c r="Y64" s="21"/>
      <c r="Z64" s="991">
        <v>0.17111061562499996</v>
      </c>
      <c r="AA64" s="991">
        <v>0.34222123124999992</v>
      </c>
      <c r="AB64" s="991">
        <v>0.51333184687499989</v>
      </c>
      <c r="AC64" s="21"/>
      <c r="AD64" s="991">
        <v>5.5342089599999991E-2</v>
      </c>
      <c r="AE64" s="991">
        <v>0.11068417919999998</v>
      </c>
      <c r="AF64" s="991">
        <v>0.16602626879999999</v>
      </c>
      <c r="AG64" s="21"/>
      <c r="AH64" s="991">
        <v>-0.35</v>
      </c>
      <c r="AI64" s="991">
        <v>3</v>
      </c>
      <c r="AJ64" s="991">
        <v>0.5</v>
      </c>
      <c r="AK64" s="21"/>
      <c r="AL64" s="991">
        <v>-0.15</v>
      </c>
      <c r="AM64" s="991">
        <v>0.75</v>
      </c>
      <c r="AN64" s="991">
        <v>0.2</v>
      </c>
      <c r="AO64" s="21"/>
      <c r="AP64" s="12">
        <v>19</v>
      </c>
      <c r="AQ64" s="992">
        <v>0.4</v>
      </c>
      <c r="AR64" s="21"/>
      <c r="AS64" s="21"/>
      <c r="AT64" s="21"/>
      <c r="AU64" s="21"/>
      <c r="AV64" s="21"/>
      <c r="AW64" s="21"/>
      <c r="AX64" s="21"/>
      <c r="AY64" s="21"/>
      <c r="AZ64" s="21"/>
      <c r="BA64" s="21"/>
      <c r="BB64" s="21"/>
      <c r="BC64" s="21"/>
      <c r="BD64" s="21"/>
      <c r="BE64" s="21"/>
      <c r="BF64" s="21"/>
      <c r="BH64" s="20"/>
      <c r="BI64" s="20"/>
      <c r="BJ64" s="395"/>
      <c r="BK64"/>
      <c r="BL64"/>
      <c r="BM64"/>
      <c r="BN64"/>
      <c r="BO64"/>
      <c r="BP64"/>
      <c r="BQ64" s="553">
        <f t="shared" si="1"/>
        <v>38384</v>
      </c>
      <c r="BR64" s="716">
        <v>2.9420000000000002</v>
      </c>
      <c r="BS64" s="716">
        <v>2.9470000000000001</v>
      </c>
      <c r="BT64" s="716">
        <v>2.952</v>
      </c>
      <c r="BU64" s="717">
        <v>0.1585</v>
      </c>
      <c r="BV64" s="717">
        <v>0.16600000000000001</v>
      </c>
      <c r="BW64" s="717">
        <v>0.17350000000000002</v>
      </c>
      <c r="BX64" s="717">
        <f t="shared" si="18"/>
        <v>-7.0000000000000007E-2</v>
      </c>
      <c r="BY64" s="717"/>
      <c r="BZ64" s="717">
        <f t="shared" si="19"/>
        <v>7.0000000000000007E-2</v>
      </c>
      <c r="CA64" s="756">
        <f t="shared" si="17"/>
        <v>0</v>
      </c>
      <c r="CB64" s="716">
        <f t="shared" si="20"/>
        <v>0</v>
      </c>
      <c r="CC64" s="789">
        <f t="shared" si="21"/>
        <v>2.9420000000000002</v>
      </c>
      <c r="CD64" s="793">
        <f t="shared" si="22"/>
        <v>0.17350000000000002</v>
      </c>
    </row>
    <row r="65" spans="1:82" ht="13.8" x14ac:dyDescent="0.3">
      <c r="A65" s="553">
        <f t="shared" si="0"/>
        <v>38504</v>
      </c>
      <c r="B65" s="717">
        <v>7.3150531603689992E-2</v>
      </c>
      <c r="C65" s="399"/>
      <c r="D65" s="989">
        <v>37347</v>
      </c>
      <c r="E65" s="990">
        <v>31.7</v>
      </c>
      <c r="F65" s="990">
        <v>32</v>
      </c>
      <c r="G65" s="990">
        <v>32.299999999999997</v>
      </c>
      <c r="H65" s="977"/>
      <c r="I65" s="990">
        <v>19.449997711181641</v>
      </c>
      <c r="J65" s="990">
        <v>19.59999771118164</v>
      </c>
      <c r="K65" s="990">
        <v>19.749997711181638</v>
      </c>
      <c r="L65" s="12"/>
      <c r="M65" s="1004">
        <v>38231</v>
      </c>
      <c r="N65" s="991">
        <v>22.354999160766599</v>
      </c>
      <c r="O65" s="991">
        <v>23.104999160766599</v>
      </c>
      <c r="P65" s="991">
        <v>23.854999160766599</v>
      </c>
      <c r="Q65" s="21"/>
      <c r="R65" s="991">
        <v>20.3</v>
      </c>
      <c r="S65" s="991">
        <v>23.6</v>
      </c>
      <c r="T65" s="991">
        <v>26.9</v>
      </c>
      <c r="U65" s="21"/>
      <c r="V65" s="991">
        <v>1</v>
      </c>
      <c r="W65" s="991">
        <v>1</v>
      </c>
      <c r="X65" s="991">
        <v>1</v>
      </c>
      <c r="Y65" s="21"/>
      <c r="Z65" s="991">
        <v>0.11323780312499997</v>
      </c>
      <c r="AA65" s="991">
        <v>0.22647560624999993</v>
      </c>
      <c r="AB65" s="991">
        <v>0.33971340937499989</v>
      </c>
      <c r="AC65" s="21"/>
      <c r="AD65" s="991">
        <v>3.6894726399999994E-2</v>
      </c>
      <c r="AE65" s="991">
        <v>7.3789452799999988E-2</v>
      </c>
      <c r="AF65" s="991">
        <v>0.11068417919999998</v>
      </c>
      <c r="AG65" s="21"/>
      <c r="AH65" s="991">
        <v>-0.35</v>
      </c>
      <c r="AI65" s="991">
        <v>1.5</v>
      </c>
      <c r="AJ65" s="991">
        <v>0.3</v>
      </c>
      <c r="AK65" s="21"/>
      <c r="AL65" s="991">
        <v>-0.15</v>
      </c>
      <c r="AM65" s="991">
        <v>0.4</v>
      </c>
      <c r="AN65" s="991">
        <v>0.2</v>
      </c>
      <c r="AO65" s="21"/>
      <c r="AP65" s="12">
        <v>19</v>
      </c>
      <c r="AQ65" s="992">
        <v>0.4</v>
      </c>
      <c r="AR65" s="21"/>
      <c r="AS65" s="21"/>
      <c r="AT65" s="21"/>
      <c r="AU65" s="21"/>
      <c r="AV65" s="21"/>
      <c r="AW65" s="21"/>
      <c r="AX65" s="21"/>
      <c r="AY65" s="21"/>
      <c r="AZ65" s="21"/>
      <c r="BA65" s="21"/>
      <c r="BB65" s="21"/>
      <c r="BC65" s="21"/>
      <c r="BD65" s="21"/>
      <c r="BE65" s="21"/>
      <c r="BF65" s="21"/>
      <c r="BH65" s="20"/>
      <c r="BI65" s="20"/>
      <c r="BJ65" s="395"/>
      <c r="BK65"/>
      <c r="BL65"/>
      <c r="BM65"/>
      <c r="BN65"/>
      <c r="BO65"/>
      <c r="BP65"/>
      <c r="BQ65" s="553">
        <f t="shared" si="1"/>
        <v>38412</v>
      </c>
      <c r="BR65" s="716">
        <v>2.8220000000000001</v>
      </c>
      <c r="BS65" s="716">
        <v>2.827</v>
      </c>
      <c r="BT65" s="716">
        <v>2.8320000000000003</v>
      </c>
      <c r="BU65" s="717">
        <v>0.1565</v>
      </c>
      <c r="BV65" s="717">
        <v>0.16400000000000001</v>
      </c>
      <c r="BW65" s="717">
        <v>0.17150000000000001</v>
      </c>
      <c r="BX65" s="717">
        <f t="shared" si="18"/>
        <v>-7.0000000000000007E-2</v>
      </c>
      <c r="BY65" s="717"/>
      <c r="BZ65" s="717">
        <f t="shared" si="19"/>
        <v>7.0000000000000007E-2</v>
      </c>
      <c r="CA65" s="756">
        <f t="shared" si="17"/>
        <v>0</v>
      </c>
      <c r="CB65" s="716">
        <f t="shared" si="20"/>
        <v>0</v>
      </c>
      <c r="CC65" s="789">
        <f t="shared" si="21"/>
        <v>2.8220000000000001</v>
      </c>
      <c r="CD65" s="793">
        <f t="shared" si="22"/>
        <v>0.17150000000000001</v>
      </c>
    </row>
    <row r="66" spans="1:82" ht="13.8" x14ac:dyDescent="0.3">
      <c r="A66" s="553">
        <f t="shared" si="0"/>
        <v>38534</v>
      </c>
      <c r="B66" s="717">
        <v>7.3174583196079002E-2</v>
      </c>
      <c r="C66" s="399"/>
      <c r="D66" s="989">
        <v>37377</v>
      </c>
      <c r="E66" s="990">
        <v>33</v>
      </c>
      <c r="F66" s="990">
        <v>34</v>
      </c>
      <c r="G66" s="990">
        <v>35</v>
      </c>
      <c r="H66" s="977"/>
      <c r="I66" s="990">
        <v>19.09999771118164</v>
      </c>
      <c r="J66" s="990">
        <v>19.59999771118164</v>
      </c>
      <c r="K66" s="990">
        <v>20.09999771118164</v>
      </c>
      <c r="L66" s="12"/>
      <c r="M66" s="1004">
        <v>38261</v>
      </c>
      <c r="N66" s="991">
        <v>22.563000106811522</v>
      </c>
      <c r="O66" s="991">
        <v>23.200500106811521</v>
      </c>
      <c r="P66" s="991">
        <v>23.838000106811521</v>
      </c>
      <c r="Q66" s="21"/>
      <c r="R66" s="991">
        <v>17.900999832153317</v>
      </c>
      <c r="S66" s="991">
        <v>21.200999832153318</v>
      </c>
      <c r="T66" s="991">
        <v>24.500999832153319</v>
      </c>
      <c r="U66" s="21"/>
      <c r="V66" s="991">
        <v>1</v>
      </c>
      <c r="W66" s="991">
        <v>1</v>
      </c>
      <c r="X66" s="991">
        <v>1</v>
      </c>
      <c r="Y66" s="21"/>
      <c r="Z66" s="991">
        <v>0.10301360625</v>
      </c>
      <c r="AA66" s="991">
        <v>0.2060272125</v>
      </c>
      <c r="AB66" s="991">
        <v>0.30904081875</v>
      </c>
      <c r="AC66" s="21"/>
      <c r="AD66" s="991">
        <v>2.7671044799999996E-2</v>
      </c>
      <c r="AE66" s="991">
        <v>5.5342089599999991E-2</v>
      </c>
      <c r="AF66" s="991">
        <v>8.3013134399999994E-2</v>
      </c>
      <c r="AG66" s="21"/>
      <c r="AH66" s="991">
        <v>-0.25</v>
      </c>
      <c r="AI66" s="991">
        <v>1.1000000000000001</v>
      </c>
      <c r="AJ66" s="991">
        <v>0.3</v>
      </c>
      <c r="AK66" s="21"/>
      <c r="AL66" s="991">
        <v>-0.15</v>
      </c>
      <c r="AM66" s="991">
        <v>0.35</v>
      </c>
      <c r="AN66" s="991">
        <v>0.2</v>
      </c>
      <c r="AO66" s="21"/>
      <c r="AP66" s="12">
        <v>20</v>
      </c>
      <c r="AQ66" s="992">
        <v>0.4</v>
      </c>
      <c r="AR66" s="21"/>
      <c r="AS66" s="21"/>
      <c r="AT66" s="21"/>
      <c r="AU66" s="21"/>
      <c r="AV66" s="21"/>
      <c r="AW66" s="21"/>
      <c r="AX66" s="21"/>
      <c r="AY66" s="21"/>
      <c r="AZ66" s="21"/>
      <c r="BA66" s="21"/>
      <c r="BB66" s="21"/>
      <c r="BC66" s="21"/>
      <c r="BD66" s="21"/>
      <c r="BE66" s="21"/>
      <c r="BF66" s="21"/>
      <c r="BH66" s="20"/>
      <c r="BI66" s="20"/>
      <c r="BJ66" s="395"/>
      <c r="BK66"/>
      <c r="BL66"/>
      <c r="BM66"/>
      <c r="BN66"/>
      <c r="BO66"/>
      <c r="BP66"/>
      <c r="BQ66" s="553">
        <f t="shared" si="1"/>
        <v>38443</v>
      </c>
      <c r="BR66" s="716">
        <v>2.7725</v>
      </c>
      <c r="BS66" s="716">
        <v>2.7774999999999999</v>
      </c>
      <c r="BT66" s="716">
        <v>2.7825000000000002</v>
      </c>
      <c r="BU66" s="717">
        <v>0.1545</v>
      </c>
      <c r="BV66" s="717">
        <v>0.16200000000000001</v>
      </c>
      <c r="BW66" s="717">
        <v>0.16950000000000001</v>
      </c>
      <c r="BX66" s="717">
        <f t="shared" si="18"/>
        <v>-7.0000000000000007E-2</v>
      </c>
      <c r="BY66" s="717"/>
      <c r="BZ66" s="717">
        <f t="shared" si="19"/>
        <v>7.0000000000000007E-2</v>
      </c>
      <c r="CA66" s="756">
        <f t="shared" si="17"/>
        <v>0</v>
      </c>
      <c r="CB66" s="716">
        <f t="shared" si="20"/>
        <v>0</v>
      </c>
      <c r="CC66" s="789">
        <f t="shared" si="21"/>
        <v>2.7725</v>
      </c>
      <c r="CD66" s="793">
        <f t="shared" si="22"/>
        <v>0.16950000000000001</v>
      </c>
    </row>
    <row r="67" spans="1:82" ht="13.8" x14ac:dyDescent="0.3">
      <c r="A67" s="553">
        <f t="shared" si="0"/>
        <v>38565</v>
      </c>
      <c r="B67" s="717">
        <v>7.3199436508414997E-2</v>
      </c>
      <c r="C67" s="399"/>
      <c r="D67" s="989">
        <v>37408</v>
      </c>
      <c r="E67" s="990">
        <v>46.85</v>
      </c>
      <c r="F67" s="990">
        <v>49.75</v>
      </c>
      <c r="G67" s="990">
        <v>52.65</v>
      </c>
      <c r="H67" s="977"/>
      <c r="I67" s="990">
        <v>18.104998779296874</v>
      </c>
      <c r="J67" s="990">
        <v>19.554998779296874</v>
      </c>
      <c r="K67" s="990">
        <v>21.004998779296873</v>
      </c>
      <c r="L67" s="12"/>
      <c r="M67" s="1004">
        <v>38292</v>
      </c>
      <c r="N67" s="991">
        <v>23.567251586914061</v>
      </c>
      <c r="O67" s="991">
        <v>24.20475158691406</v>
      </c>
      <c r="P67" s="991">
        <v>24.84225158691406</v>
      </c>
      <c r="Q67" s="21"/>
      <c r="R67" s="991">
        <v>18.904499816894528</v>
      </c>
      <c r="S67" s="991">
        <v>22.204499816894529</v>
      </c>
      <c r="T67" s="991">
        <v>25.50449981689453</v>
      </c>
      <c r="U67" s="21"/>
      <c r="V67" s="991">
        <v>1</v>
      </c>
      <c r="W67" s="991">
        <v>1</v>
      </c>
      <c r="X67" s="991">
        <v>1</v>
      </c>
      <c r="Y67" s="21"/>
      <c r="Z67" s="991">
        <v>0.10301360625</v>
      </c>
      <c r="AA67" s="991">
        <v>0.2060272125</v>
      </c>
      <c r="AB67" s="991">
        <v>0.30904081875</v>
      </c>
      <c r="AC67" s="21"/>
      <c r="AD67" s="991">
        <v>2.7671044799999996E-2</v>
      </c>
      <c r="AE67" s="991">
        <v>5.5342089599999991E-2</v>
      </c>
      <c r="AF67" s="991">
        <v>8.3013134399999994E-2</v>
      </c>
      <c r="AG67" s="21"/>
      <c r="AH67" s="991">
        <v>-0.25</v>
      </c>
      <c r="AI67" s="991">
        <v>1.25</v>
      </c>
      <c r="AJ67" s="991">
        <v>0.3</v>
      </c>
      <c r="AK67" s="21"/>
      <c r="AL67" s="991">
        <v>-0.15</v>
      </c>
      <c r="AM67" s="991">
        <v>0.3</v>
      </c>
      <c r="AN67" s="991">
        <v>0.2</v>
      </c>
      <c r="AO67" s="21"/>
      <c r="AP67" s="12">
        <v>20</v>
      </c>
      <c r="AQ67" s="992">
        <v>0.4</v>
      </c>
      <c r="AR67" s="21"/>
      <c r="AS67" s="21"/>
      <c r="AT67" s="21"/>
      <c r="AU67" s="21"/>
      <c r="AV67" s="21"/>
      <c r="AW67" s="21"/>
      <c r="AX67" s="21"/>
      <c r="AY67" s="21"/>
      <c r="AZ67" s="21"/>
      <c r="BA67" s="21"/>
      <c r="BB67" s="21"/>
      <c r="BC67" s="21"/>
      <c r="BD67" s="21"/>
      <c r="BE67" s="21"/>
      <c r="BF67" s="21"/>
      <c r="BH67" s="20"/>
      <c r="BI67" s="20"/>
      <c r="BJ67" s="395"/>
      <c r="BK67"/>
      <c r="BL67"/>
      <c r="BM67"/>
      <c r="BN67"/>
      <c r="BO67"/>
      <c r="BP67"/>
      <c r="BQ67" s="553">
        <f t="shared" si="1"/>
        <v>38473</v>
      </c>
      <c r="BR67" s="716">
        <v>2.7465000000000002</v>
      </c>
      <c r="BS67" s="716">
        <v>2.7515000000000001</v>
      </c>
      <c r="BT67" s="716">
        <v>2.7565</v>
      </c>
      <c r="BU67" s="717">
        <v>0.1535</v>
      </c>
      <c r="BV67" s="717">
        <v>0.161</v>
      </c>
      <c r="BW67" s="717">
        <v>0.16850000000000001</v>
      </c>
      <c r="BX67" s="717">
        <f t="shared" si="18"/>
        <v>-7.0000000000000007E-2</v>
      </c>
      <c r="BY67" s="717"/>
      <c r="BZ67" s="717">
        <f t="shared" si="19"/>
        <v>7.0000000000000007E-2</v>
      </c>
      <c r="CA67" s="756">
        <f t="shared" si="17"/>
        <v>0</v>
      </c>
      <c r="CB67" s="716">
        <f t="shared" si="20"/>
        <v>0</v>
      </c>
      <c r="CC67" s="789">
        <f t="shared" si="21"/>
        <v>2.7465000000000002</v>
      </c>
      <c r="CD67" s="793">
        <f t="shared" si="22"/>
        <v>0.16850000000000001</v>
      </c>
    </row>
    <row r="68" spans="1:82" ht="13.8" x14ac:dyDescent="0.3">
      <c r="A68" s="553">
        <f t="shared" ref="A68:A131" si="23">EOMONTH(A67,0)+1</f>
        <v>38596</v>
      </c>
      <c r="B68" s="717">
        <v>7.3224289820954996E-2</v>
      </c>
      <c r="C68" s="399"/>
      <c r="D68" s="989">
        <v>37438</v>
      </c>
      <c r="E68" s="990">
        <v>68.5</v>
      </c>
      <c r="F68" s="990">
        <v>72.5</v>
      </c>
      <c r="G68" s="990">
        <v>76.5</v>
      </c>
      <c r="H68" s="977"/>
      <c r="I68" s="990">
        <v>22.049997711181639</v>
      </c>
      <c r="J68" s="990">
        <v>24.049997711181639</v>
      </c>
      <c r="K68" s="990">
        <v>26.049997711181639</v>
      </c>
      <c r="L68" s="12"/>
      <c r="M68" s="1004">
        <v>38322</v>
      </c>
      <c r="N68" s="991">
        <v>25.017498397827147</v>
      </c>
      <c r="O68" s="991">
        <v>25.654998397827146</v>
      </c>
      <c r="P68" s="991">
        <v>26.292498397827146</v>
      </c>
      <c r="Q68" s="21"/>
      <c r="R68" s="991">
        <v>18.849999237060544</v>
      </c>
      <c r="S68" s="991">
        <v>22.149999237060545</v>
      </c>
      <c r="T68" s="991">
        <v>25.449999237060545</v>
      </c>
      <c r="U68" s="21"/>
      <c r="V68" s="991">
        <v>1</v>
      </c>
      <c r="W68" s="991">
        <v>1</v>
      </c>
      <c r="X68" s="991">
        <v>1</v>
      </c>
      <c r="Y68" s="21"/>
      <c r="Z68" s="991">
        <v>0.10671746624999999</v>
      </c>
      <c r="AA68" s="991">
        <v>0.21343493249999998</v>
      </c>
      <c r="AB68" s="991">
        <v>0.32015239874999996</v>
      </c>
      <c r="AC68" s="21"/>
      <c r="AD68" s="991">
        <v>2.7671044799999996E-2</v>
      </c>
      <c r="AE68" s="991">
        <v>5.5342089599999991E-2</v>
      </c>
      <c r="AF68" s="991">
        <v>8.3013134399999994E-2</v>
      </c>
      <c r="AG68" s="21"/>
      <c r="AH68" s="991">
        <v>-0.25</v>
      </c>
      <c r="AI68" s="991">
        <v>1.25</v>
      </c>
      <c r="AJ68" s="991">
        <v>0.35</v>
      </c>
      <c r="AK68" s="21"/>
      <c r="AL68" s="991">
        <v>-0.15</v>
      </c>
      <c r="AM68" s="991">
        <v>0.3</v>
      </c>
      <c r="AN68" s="991">
        <v>0.2</v>
      </c>
      <c r="AO68" s="21"/>
      <c r="AP68" s="12">
        <v>20</v>
      </c>
      <c r="AQ68" s="992">
        <v>0.4</v>
      </c>
      <c r="AR68" s="21"/>
      <c r="AS68" s="21"/>
      <c r="AT68" s="21"/>
      <c r="AU68" s="21"/>
      <c r="AV68" s="21"/>
      <c r="AW68" s="21"/>
      <c r="AX68" s="21"/>
      <c r="AY68" s="21"/>
      <c r="AZ68" s="21"/>
      <c r="BA68" s="21"/>
      <c r="BB68" s="21"/>
      <c r="BC68" s="21"/>
      <c r="BD68" s="21"/>
      <c r="BE68" s="21"/>
      <c r="BF68" s="21"/>
      <c r="BH68" s="20"/>
      <c r="BI68" s="20"/>
      <c r="BJ68" s="395"/>
      <c r="BK68"/>
      <c r="BL68"/>
      <c r="BM68"/>
      <c r="BN68"/>
      <c r="BO68"/>
      <c r="BP68"/>
      <c r="BQ68" s="553">
        <f t="shared" si="1"/>
        <v>38504</v>
      </c>
      <c r="BR68" s="716">
        <v>2.7524999999999999</v>
      </c>
      <c r="BS68" s="716">
        <v>2.7574999999999998</v>
      </c>
      <c r="BT68" s="716">
        <v>2.7625000000000002</v>
      </c>
      <c r="BU68" s="717">
        <v>0.1532</v>
      </c>
      <c r="BV68" s="717">
        <v>0.16070000000000001</v>
      </c>
      <c r="BW68" s="717">
        <v>0.16820000000000002</v>
      </c>
      <c r="BX68" s="717">
        <f t="shared" si="18"/>
        <v>-7.0000000000000007E-2</v>
      </c>
      <c r="BY68" s="717"/>
      <c r="BZ68" s="717">
        <f t="shared" si="19"/>
        <v>7.0000000000000007E-2</v>
      </c>
      <c r="CA68" s="756">
        <f t="shared" si="17"/>
        <v>0</v>
      </c>
      <c r="CB68" s="716">
        <f t="shared" si="20"/>
        <v>0</v>
      </c>
      <c r="CC68" s="789">
        <f t="shared" si="21"/>
        <v>2.7524999999999999</v>
      </c>
      <c r="CD68" s="793">
        <f t="shared" si="22"/>
        <v>0.16820000000000002</v>
      </c>
    </row>
    <row r="69" spans="1:82" ht="13.8" x14ac:dyDescent="0.3">
      <c r="A69" s="553">
        <f t="shared" si="23"/>
        <v>38626</v>
      </c>
      <c r="B69" s="717">
        <v>7.3248341413929996E-2</v>
      </c>
      <c r="C69" s="399"/>
      <c r="D69" s="989">
        <v>37469</v>
      </c>
      <c r="E69" s="990">
        <v>64</v>
      </c>
      <c r="F69" s="990">
        <v>68</v>
      </c>
      <c r="G69" s="990">
        <v>72</v>
      </c>
      <c r="H69" s="977"/>
      <c r="I69" s="990">
        <v>22.399998092651366</v>
      </c>
      <c r="J69" s="990">
        <v>24.399998092651366</v>
      </c>
      <c r="K69" s="990">
        <v>26.399998092651366</v>
      </c>
      <c r="L69" s="12"/>
      <c r="M69" s="1004">
        <v>38353</v>
      </c>
      <c r="N69" s="991">
        <v>28.298748779296872</v>
      </c>
      <c r="O69" s="991">
        <v>29.048748779296872</v>
      </c>
      <c r="P69" s="991">
        <v>29.798748779296872</v>
      </c>
      <c r="Q69" s="21"/>
      <c r="R69" s="991">
        <v>24.252500534057614</v>
      </c>
      <c r="S69" s="991">
        <v>27.552500534057614</v>
      </c>
      <c r="T69" s="991">
        <v>30.852500534057615</v>
      </c>
      <c r="U69" s="21"/>
      <c r="V69" s="991">
        <v>0.9</v>
      </c>
      <c r="W69" s="991">
        <v>0.9</v>
      </c>
      <c r="X69" s="991">
        <v>0.9</v>
      </c>
      <c r="Y69" s="21"/>
      <c r="Z69" s="991">
        <v>0.115252634375</v>
      </c>
      <c r="AA69" s="991">
        <v>0.23050526874999999</v>
      </c>
      <c r="AB69" s="991">
        <v>0.34575790312499999</v>
      </c>
      <c r="AC69" s="21"/>
      <c r="AD69" s="991">
        <v>3.1637227888000004E-2</v>
      </c>
      <c r="AE69" s="991">
        <v>6.3274455776000008E-2</v>
      </c>
      <c r="AF69" s="991">
        <v>9.4911683664000018E-2</v>
      </c>
      <c r="AG69" s="21"/>
      <c r="AH69" s="991">
        <v>-0.75</v>
      </c>
      <c r="AI69" s="991">
        <v>2</v>
      </c>
      <c r="AJ69" s="991">
        <v>0.75</v>
      </c>
      <c r="AK69" s="21"/>
      <c r="AL69" s="991">
        <v>-0.15</v>
      </c>
      <c r="AM69" s="991">
        <v>0.5</v>
      </c>
      <c r="AN69" s="991">
        <v>0.2</v>
      </c>
      <c r="AO69" s="21"/>
      <c r="AP69" s="12">
        <v>21</v>
      </c>
      <c r="AQ69" s="992">
        <v>0.4</v>
      </c>
      <c r="AR69" s="21"/>
      <c r="AS69" s="21"/>
      <c r="AT69" s="21"/>
      <c r="AU69" s="21"/>
      <c r="AV69" s="21"/>
      <c r="AW69" s="21"/>
      <c r="AX69" s="21"/>
      <c r="AY69" s="21"/>
      <c r="AZ69" s="21"/>
      <c r="BA69" s="21"/>
      <c r="BB69" s="21"/>
      <c r="BC69" s="21"/>
      <c r="BD69" s="21"/>
      <c r="BE69" s="21"/>
      <c r="BF69" s="21"/>
      <c r="BH69" s="20"/>
      <c r="BI69" s="20"/>
      <c r="BJ69" s="395"/>
      <c r="BK69"/>
      <c r="BL69"/>
      <c r="BM69"/>
      <c r="BN69"/>
      <c r="BO69"/>
      <c r="BP69"/>
      <c r="BQ69" s="553">
        <f t="shared" si="1"/>
        <v>38534</v>
      </c>
      <c r="BR69" s="716">
        <v>2.7625000000000002</v>
      </c>
      <c r="BS69" s="716">
        <v>2.7675000000000001</v>
      </c>
      <c r="BT69" s="716">
        <v>2.7725</v>
      </c>
      <c r="BU69" s="717">
        <v>0.15290000000000001</v>
      </c>
      <c r="BV69" s="717">
        <v>0.16040000000000001</v>
      </c>
      <c r="BW69" s="717">
        <v>0.16790000000000002</v>
      </c>
      <c r="BX69" s="717">
        <f t="shared" si="18"/>
        <v>-7.0000000000000007E-2</v>
      </c>
      <c r="BY69" s="717"/>
      <c r="BZ69" s="717">
        <f t="shared" si="19"/>
        <v>7.0000000000000007E-2</v>
      </c>
      <c r="CA69" s="756">
        <f t="shared" si="17"/>
        <v>0</v>
      </c>
      <c r="CB69" s="716">
        <f t="shared" si="20"/>
        <v>0</v>
      </c>
      <c r="CC69" s="789">
        <f t="shared" si="21"/>
        <v>2.7625000000000002</v>
      </c>
      <c r="CD69" s="793">
        <f t="shared" si="22"/>
        <v>0.16790000000000002</v>
      </c>
    </row>
    <row r="70" spans="1:82" ht="13.8" x14ac:dyDescent="0.3">
      <c r="A70" s="553">
        <f t="shared" si="23"/>
        <v>38657</v>
      </c>
      <c r="B70" s="717">
        <v>7.3273194726871008E-2</v>
      </c>
      <c r="C70" s="399"/>
      <c r="D70" s="989">
        <v>37500</v>
      </c>
      <c r="E70" s="990">
        <v>32.200000000000003</v>
      </c>
      <c r="F70" s="990">
        <v>33</v>
      </c>
      <c r="G70" s="990">
        <v>33.799999999999997</v>
      </c>
      <c r="H70" s="977"/>
      <c r="I70" s="990">
        <v>19.549998092651368</v>
      </c>
      <c r="J70" s="990">
        <v>19.949998092651366</v>
      </c>
      <c r="K70" s="990">
        <v>20.349998092651365</v>
      </c>
      <c r="L70" s="12"/>
      <c r="M70" s="1004">
        <v>38384</v>
      </c>
      <c r="N70" s="991">
        <v>27.296250152587888</v>
      </c>
      <c r="O70" s="991">
        <v>28.046250152587888</v>
      </c>
      <c r="P70" s="991">
        <v>28.796250152587888</v>
      </c>
      <c r="Q70" s="21"/>
      <c r="R70" s="991">
        <v>22.247499465942379</v>
      </c>
      <c r="S70" s="991">
        <v>25.54749946594238</v>
      </c>
      <c r="T70" s="991">
        <v>28.847499465942381</v>
      </c>
      <c r="U70" s="21"/>
      <c r="V70" s="991">
        <v>0.4</v>
      </c>
      <c r="W70" s="991">
        <v>0.4</v>
      </c>
      <c r="X70" s="991">
        <v>0.4</v>
      </c>
      <c r="Y70" s="21"/>
      <c r="Z70" s="991">
        <v>0.11118010312499998</v>
      </c>
      <c r="AA70" s="991">
        <v>0.22236020624999997</v>
      </c>
      <c r="AB70" s="991">
        <v>0.33354030937499995</v>
      </c>
      <c r="AC70" s="21"/>
      <c r="AD70" s="991">
        <v>3.1637227888000004E-2</v>
      </c>
      <c r="AE70" s="991">
        <v>6.3274455776000008E-2</v>
      </c>
      <c r="AF70" s="991">
        <v>9.4911683664000018E-2</v>
      </c>
      <c r="AG70" s="21"/>
      <c r="AH70" s="991">
        <v>-0.75</v>
      </c>
      <c r="AI70" s="991">
        <v>2</v>
      </c>
      <c r="AJ70" s="991">
        <v>0.75</v>
      </c>
      <c r="AK70" s="21"/>
      <c r="AL70" s="991">
        <v>-0.15</v>
      </c>
      <c r="AM70" s="991">
        <v>0.5</v>
      </c>
      <c r="AN70" s="991">
        <v>0.2</v>
      </c>
      <c r="AO70" s="21"/>
      <c r="AP70" s="12">
        <v>21</v>
      </c>
      <c r="AQ70" s="992">
        <v>0.4</v>
      </c>
      <c r="AR70" s="21"/>
      <c r="AS70" s="21"/>
      <c r="AT70" s="21"/>
      <c r="AU70" s="21"/>
      <c r="AV70" s="21"/>
      <c r="AW70" s="21"/>
      <c r="AX70" s="21"/>
      <c r="AY70" s="21"/>
      <c r="AZ70" s="21"/>
      <c r="BA70" s="21"/>
      <c r="BB70" s="21"/>
      <c r="BC70" s="21"/>
      <c r="BD70" s="21"/>
      <c r="BE70" s="21"/>
      <c r="BF70" s="21"/>
      <c r="BH70" s="20"/>
      <c r="BI70" s="20"/>
      <c r="BJ70" s="395"/>
      <c r="BK70"/>
      <c r="BL70"/>
      <c r="BM70"/>
      <c r="BN70"/>
      <c r="BO70"/>
      <c r="BP70"/>
      <c r="BQ70" s="553">
        <f t="shared" si="1"/>
        <v>38565</v>
      </c>
      <c r="BR70" s="716">
        <v>2.7695000000000003</v>
      </c>
      <c r="BS70" s="716">
        <v>2.7745000000000002</v>
      </c>
      <c r="BT70" s="716">
        <v>2.7795000000000001</v>
      </c>
      <c r="BU70" s="717">
        <v>0.15260000000000001</v>
      </c>
      <c r="BV70" s="717">
        <v>0.16010000000000002</v>
      </c>
      <c r="BW70" s="717">
        <v>0.1676</v>
      </c>
      <c r="BX70" s="717">
        <f t="shared" si="18"/>
        <v>-7.0000000000000007E-2</v>
      </c>
      <c r="BY70" s="717"/>
      <c r="BZ70" s="717">
        <f t="shared" si="19"/>
        <v>7.0000000000000007E-2</v>
      </c>
      <c r="CA70" s="756">
        <f t="shared" si="17"/>
        <v>0</v>
      </c>
      <c r="CB70" s="716">
        <f t="shared" si="20"/>
        <v>0</v>
      </c>
      <c r="CC70" s="789">
        <f t="shared" si="21"/>
        <v>2.7695000000000003</v>
      </c>
      <c r="CD70" s="793">
        <f t="shared" si="22"/>
        <v>0.1676</v>
      </c>
    </row>
    <row r="71" spans="1:82" ht="13.8" x14ac:dyDescent="0.3">
      <c r="A71" s="553">
        <f t="shared" si="23"/>
        <v>38687</v>
      </c>
      <c r="B71" s="717">
        <v>7.3297246320234002E-2</v>
      </c>
      <c r="C71" s="399"/>
      <c r="D71" s="989">
        <v>37530</v>
      </c>
      <c r="E71" s="990">
        <v>30.1</v>
      </c>
      <c r="F71" s="990">
        <v>30.75</v>
      </c>
      <c r="G71" s="990">
        <v>31.4</v>
      </c>
      <c r="H71" s="977"/>
      <c r="I71" s="990">
        <v>19.32499885559082</v>
      </c>
      <c r="J71" s="990">
        <v>19.64999885559082</v>
      </c>
      <c r="K71" s="990">
        <v>19.974998855590819</v>
      </c>
      <c r="L71" s="12"/>
      <c r="M71" s="1004">
        <v>38412</v>
      </c>
      <c r="N71" s="991">
        <v>20.784749603271482</v>
      </c>
      <c r="O71" s="991">
        <v>21.234749603271482</v>
      </c>
      <c r="P71" s="991">
        <v>21.684749603271481</v>
      </c>
      <c r="Q71" s="21"/>
      <c r="R71" s="991">
        <v>17.564498901367184</v>
      </c>
      <c r="S71" s="991">
        <v>20.864498901367185</v>
      </c>
      <c r="T71" s="991">
        <v>24.164498901367185</v>
      </c>
      <c r="U71" s="21"/>
      <c r="V71" s="991">
        <v>0.4</v>
      </c>
      <c r="W71" s="991">
        <v>0.4</v>
      </c>
      <c r="X71" s="991">
        <v>0.4</v>
      </c>
      <c r="Y71" s="21"/>
      <c r="Z71" s="991">
        <v>0.10821733664062501</v>
      </c>
      <c r="AA71" s="991">
        <v>0.21643467328125002</v>
      </c>
      <c r="AB71" s="991">
        <v>0.32465200992187504</v>
      </c>
      <c r="AC71" s="21"/>
      <c r="AD71" s="991">
        <v>2.7117623903999997E-2</v>
      </c>
      <c r="AE71" s="991">
        <v>5.4235247807999994E-2</v>
      </c>
      <c r="AF71" s="991">
        <v>8.1352871711999994E-2</v>
      </c>
      <c r="AG71" s="21"/>
      <c r="AH71" s="991">
        <v>-0.25</v>
      </c>
      <c r="AI71" s="991">
        <v>1.3</v>
      </c>
      <c r="AJ71" s="991">
        <v>0.3</v>
      </c>
      <c r="AK71" s="21"/>
      <c r="AL71" s="991">
        <v>-0.15</v>
      </c>
      <c r="AM71" s="991">
        <v>0.35</v>
      </c>
      <c r="AN71" s="991">
        <v>0.2</v>
      </c>
      <c r="AO71" s="21"/>
      <c r="AP71" s="12">
        <v>21</v>
      </c>
      <c r="AQ71" s="992">
        <v>0.4</v>
      </c>
      <c r="AR71" s="21"/>
      <c r="AS71" s="21"/>
      <c r="AT71" s="21"/>
      <c r="AU71" s="21"/>
      <c r="AV71" s="21"/>
      <c r="AW71" s="21"/>
      <c r="AX71" s="21"/>
      <c r="AY71" s="21"/>
      <c r="AZ71" s="21"/>
      <c r="BA71" s="21"/>
      <c r="BB71" s="21"/>
      <c r="BC71" s="21"/>
      <c r="BD71" s="21"/>
      <c r="BE71" s="21"/>
      <c r="BF71" s="21"/>
      <c r="BH71" s="20"/>
      <c r="BI71" s="20"/>
      <c r="BJ71" s="395"/>
      <c r="BK71"/>
      <c r="BL71"/>
      <c r="BM71"/>
      <c r="BN71"/>
      <c r="BO71"/>
      <c r="BP71"/>
      <c r="BQ71" s="553">
        <f t="shared" ref="BQ71:BQ134" si="24">EOMONTH(BQ70,0)+1</f>
        <v>38596</v>
      </c>
      <c r="BR71" s="716">
        <v>2.7765</v>
      </c>
      <c r="BS71" s="716">
        <v>2.7815000000000003</v>
      </c>
      <c r="BT71" s="716">
        <v>2.7865000000000002</v>
      </c>
      <c r="BU71" s="717">
        <v>0.15230000000000002</v>
      </c>
      <c r="BV71" s="717">
        <v>0.1598</v>
      </c>
      <c r="BW71" s="717">
        <v>0.1673</v>
      </c>
      <c r="BX71" s="717">
        <f t="shared" ref="BX71:BX86" si="25">BY71-$BX$4</f>
        <v>-7.0000000000000007E-2</v>
      </c>
      <c r="BY71" s="717"/>
      <c r="BZ71" s="717">
        <f t="shared" ref="BZ71:BZ86" si="26">BY71+$BZ$4</f>
        <v>7.0000000000000007E-2</v>
      </c>
      <c r="CA71" s="756">
        <f t="shared" si="17"/>
        <v>0</v>
      </c>
      <c r="CB71" s="716">
        <f t="shared" ref="CB71:CB86" si="27">GasBasis</f>
        <v>0</v>
      </c>
      <c r="CC71" s="789">
        <f t="shared" ref="CC71:CC86" si="28">(IF(GasPriceCurve,IF(OBuySell=OCallPut,BT71,BR71),BS71)+CA71/1000+CB71)/(1-GasTransportPercent)</f>
        <v>2.7765</v>
      </c>
      <c r="CD71" s="793">
        <f t="shared" ref="CD71:CD86" si="29">IF(GasVolOver,GasVolOver,IF(OVolType=2,IF(OR(BU71="",BV71="",BW71=""),CD70,IF(GasVolCurve,IF(OBuySell,BU71,BW71),BV71)*GasVolAsPercentOfNYMEX),IF(OR(BU71="",BV71="",BW71="",BY71=""),CD70,SQRT(((IF(GasVolCurve,IF(OBuySell,BU71,BW71),BV71)*GasVolAsPercentOfNYMEX)^2*(BQ71-DateToday-1)+IF(GasVolCurve,IF(OBuySell,BX71,BZ71),BY71)^2*15)/(BQ71-DateToday+14))))+GasVolSpread)</f>
        <v>0.1673</v>
      </c>
    </row>
    <row r="72" spans="1:82" ht="13.8" x14ac:dyDescent="0.3">
      <c r="A72" s="553">
        <f t="shared" si="23"/>
        <v>38718</v>
      </c>
      <c r="B72" s="717">
        <v>7.3322099633577012E-2</v>
      </c>
      <c r="C72" s="399"/>
      <c r="D72" s="989">
        <v>37561</v>
      </c>
      <c r="E72" s="990">
        <v>30.475000000000001</v>
      </c>
      <c r="F72" s="990">
        <v>31.125</v>
      </c>
      <c r="G72" s="990">
        <v>31.774999999999999</v>
      </c>
      <c r="H72" s="977"/>
      <c r="I72" s="990">
        <v>19.249998092651367</v>
      </c>
      <c r="J72" s="990">
        <v>19.574998092651366</v>
      </c>
      <c r="K72" s="990">
        <v>19.899998092651366</v>
      </c>
      <c r="L72" s="12"/>
      <c r="M72" s="1004">
        <v>38443</v>
      </c>
      <c r="N72" s="991">
        <v>21.58000030517578</v>
      </c>
      <c r="O72" s="991">
        <v>21.917500305175778</v>
      </c>
      <c r="P72" s="991">
        <v>22.255000305175777</v>
      </c>
      <c r="Q72" s="21"/>
      <c r="R72" s="991">
        <v>17.334999084472653</v>
      </c>
      <c r="S72" s="991">
        <v>20.634999084472653</v>
      </c>
      <c r="T72" s="991">
        <v>23.934999084472654</v>
      </c>
      <c r="U72" s="21"/>
      <c r="V72" s="991">
        <v>0.4</v>
      </c>
      <c r="W72" s="991">
        <v>0.4</v>
      </c>
      <c r="X72" s="991">
        <v>0.4</v>
      </c>
      <c r="Y72" s="21"/>
      <c r="Z72" s="991">
        <v>9.6580078593749993E-2</v>
      </c>
      <c r="AA72" s="991">
        <v>0.19316015718749999</v>
      </c>
      <c r="AB72" s="991">
        <v>0.28974023578124997</v>
      </c>
      <c r="AC72" s="21"/>
      <c r="AD72" s="991">
        <v>2.7117623903999997E-2</v>
      </c>
      <c r="AE72" s="991">
        <v>5.4235247807999994E-2</v>
      </c>
      <c r="AF72" s="991">
        <v>8.1352871711999994E-2</v>
      </c>
      <c r="AG72" s="21"/>
      <c r="AH72" s="991">
        <v>-0.25</v>
      </c>
      <c r="AI72" s="991">
        <v>1.1000000000000001</v>
      </c>
      <c r="AJ72" s="991">
        <v>0.3</v>
      </c>
      <c r="AK72" s="21"/>
      <c r="AL72" s="991">
        <v>-0.15</v>
      </c>
      <c r="AM72" s="991">
        <v>0.35</v>
      </c>
      <c r="AN72" s="991">
        <v>0.2</v>
      </c>
      <c r="AO72" s="21"/>
      <c r="AP72" s="12">
        <v>22</v>
      </c>
      <c r="AQ72" s="992">
        <v>0.4</v>
      </c>
      <c r="AR72" s="21"/>
      <c r="AS72" s="21"/>
      <c r="AT72" s="21"/>
      <c r="AU72" s="21"/>
      <c r="AV72" s="21"/>
      <c r="AW72" s="21"/>
      <c r="AX72" s="21"/>
      <c r="AY72" s="21"/>
      <c r="AZ72" s="21"/>
      <c r="BA72" s="21"/>
      <c r="BB72" s="21"/>
      <c r="BC72" s="21"/>
      <c r="BD72" s="21"/>
      <c r="BE72" s="21"/>
      <c r="BF72" s="21"/>
      <c r="BH72" s="20"/>
      <c r="BI72" s="20"/>
      <c r="BJ72" s="395"/>
      <c r="BK72"/>
      <c r="BL72"/>
      <c r="BM72"/>
      <c r="BN72"/>
      <c r="BO72"/>
      <c r="BP72"/>
      <c r="BQ72" s="553">
        <f t="shared" si="24"/>
        <v>38626</v>
      </c>
      <c r="BR72" s="716">
        <v>2.8025000000000002</v>
      </c>
      <c r="BS72" s="716">
        <v>2.8075000000000001</v>
      </c>
      <c r="BT72" s="716">
        <v>2.8125</v>
      </c>
      <c r="BU72" s="717">
        <v>0.152</v>
      </c>
      <c r="BV72" s="717">
        <v>0.1595</v>
      </c>
      <c r="BW72" s="717">
        <v>0.16700000000000001</v>
      </c>
      <c r="BX72" s="717">
        <f t="shared" si="25"/>
        <v>-7.0000000000000007E-2</v>
      </c>
      <c r="BY72" s="717"/>
      <c r="BZ72" s="717">
        <f t="shared" si="26"/>
        <v>7.0000000000000007E-2</v>
      </c>
      <c r="CA72" s="756">
        <f t="shared" si="17"/>
        <v>0</v>
      </c>
      <c r="CB72" s="716">
        <f t="shared" si="27"/>
        <v>0</v>
      </c>
      <c r="CC72" s="789">
        <f t="shared" si="28"/>
        <v>2.8025000000000002</v>
      </c>
      <c r="CD72" s="793">
        <f t="shared" si="29"/>
        <v>0.16700000000000001</v>
      </c>
    </row>
    <row r="73" spans="1:82" ht="13.8" x14ac:dyDescent="0.3">
      <c r="A73" s="553">
        <f t="shared" si="23"/>
        <v>38749</v>
      </c>
      <c r="B73" s="717">
        <v>7.3346952947122013E-2</v>
      </c>
      <c r="C73" s="399"/>
      <c r="D73" s="989">
        <v>37591</v>
      </c>
      <c r="E73" s="990">
        <v>30.35</v>
      </c>
      <c r="F73" s="990">
        <v>31</v>
      </c>
      <c r="G73" s="990">
        <v>31.65</v>
      </c>
      <c r="H73" s="977"/>
      <c r="I73" s="990">
        <v>20.674999237060547</v>
      </c>
      <c r="J73" s="990">
        <v>20.999999237060546</v>
      </c>
      <c r="K73" s="990">
        <v>21.324999237060545</v>
      </c>
      <c r="L73" s="12"/>
      <c r="M73" s="1004">
        <v>38473</v>
      </c>
      <c r="N73" s="991">
        <v>20.892500076293942</v>
      </c>
      <c r="O73" s="991">
        <v>22.032500076293942</v>
      </c>
      <c r="P73" s="991">
        <v>23.172500076293943</v>
      </c>
      <c r="Q73" s="21"/>
      <c r="R73" s="991">
        <v>17.864999771118161</v>
      </c>
      <c r="S73" s="991">
        <v>21.164999771118161</v>
      </c>
      <c r="T73" s="991">
        <v>24.464999771118162</v>
      </c>
      <c r="U73" s="21"/>
      <c r="V73" s="991">
        <v>0.4</v>
      </c>
      <c r="W73" s="991">
        <v>0.4</v>
      </c>
      <c r="X73" s="991">
        <v>0.4</v>
      </c>
      <c r="Y73" s="21"/>
      <c r="Z73" s="991">
        <v>0.11124119109374998</v>
      </c>
      <c r="AA73" s="991">
        <v>0.22248238218749997</v>
      </c>
      <c r="AB73" s="991">
        <v>0.33372357328124996</v>
      </c>
      <c r="AC73" s="21"/>
      <c r="AD73" s="991">
        <v>3.1637227888000004E-2</v>
      </c>
      <c r="AE73" s="991">
        <v>6.3274455776000008E-2</v>
      </c>
      <c r="AF73" s="991">
        <v>9.4911683664000018E-2</v>
      </c>
      <c r="AG73" s="21"/>
      <c r="AH73" s="991">
        <v>-0.25</v>
      </c>
      <c r="AI73" s="991">
        <v>1.1000000000000001</v>
      </c>
      <c r="AJ73" s="991">
        <v>0.3</v>
      </c>
      <c r="AK73" s="21"/>
      <c r="AL73" s="991">
        <v>-0.15</v>
      </c>
      <c r="AM73" s="991">
        <v>0.5</v>
      </c>
      <c r="AN73" s="991">
        <v>0.2</v>
      </c>
      <c r="AO73" s="21"/>
      <c r="AP73" s="12">
        <v>22</v>
      </c>
      <c r="AQ73" s="992">
        <v>0.4</v>
      </c>
      <c r="AR73" s="21"/>
      <c r="AS73" s="21"/>
      <c r="AT73" s="21"/>
      <c r="AU73" s="21"/>
      <c r="AV73" s="21"/>
      <c r="AW73" s="21"/>
      <c r="AX73" s="21"/>
      <c r="AY73" s="21"/>
      <c r="AZ73" s="21"/>
      <c r="BA73" s="21"/>
      <c r="BB73" s="21"/>
      <c r="BC73" s="21"/>
      <c r="BD73" s="21"/>
      <c r="BE73" s="21"/>
      <c r="BF73" s="21"/>
      <c r="BH73" s="20"/>
      <c r="BI73" s="20"/>
      <c r="BJ73" s="395"/>
      <c r="BK73"/>
      <c r="BL73"/>
      <c r="BM73"/>
      <c r="BN73"/>
      <c r="BO73"/>
      <c r="BP73"/>
      <c r="BQ73" s="553">
        <f t="shared" si="24"/>
        <v>38657</v>
      </c>
      <c r="BR73" s="716">
        <v>2.9375</v>
      </c>
      <c r="BS73" s="716">
        <v>2.9424999999999999</v>
      </c>
      <c r="BT73" s="716">
        <v>2.9474999999999998</v>
      </c>
      <c r="BU73" s="717">
        <v>0.152</v>
      </c>
      <c r="BV73" s="717">
        <v>0.1595</v>
      </c>
      <c r="BW73" s="717">
        <v>0.16700000000000001</v>
      </c>
      <c r="BX73" s="717">
        <f t="shared" si="25"/>
        <v>-7.0000000000000007E-2</v>
      </c>
      <c r="BY73" s="717"/>
      <c r="BZ73" s="717">
        <f t="shared" si="26"/>
        <v>7.0000000000000007E-2</v>
      </c>
      <c r="CA73" s="756">
        <f t="shared" si="17"/>
        <v>0</v>
      </c>
      <c r="CB73" s="716">
        <f t="shared" si="27"/>
        <v>0</v>
      </c>
      <c r="CC73" s="789">
        <f t="shared" si="28"/>
        <v>2.9375</v>
      </c>
      <c r="CD73" s="793">
        <f t="shared" si="29"/>
        <v>0.16700000000000001</v>
      </c>
    </row>
    <row r="74" spans="1:82" ht="13.8" x14ac:dyDescent="0.3">
      <c r="A74" s="553">
        <f t="shared" si="23"/>
        <v>38777</v>
      </c>
      <c r="B74" s="717">
        <v>7.3369401101469001E-2</v>
      </c>
      <c r="C74" s="399"/>
      <c r="D74" s="989">
        <v>37622</v>
      </c>
      <c r="E74" s="990">
        <v>35.85</v>
      </c>
      <c r="F74" s="990">
        <v>36.65</v>
      </c>
      <c r="G74" s="990">
        <v>37.450000000000003</v>
      </c>
      <c r="H74" s="977"/>
      <c r="I74" s="990">
        <v>20.390000152587891</v>
      </c>
      <c r="J74" s="990">
        <v>20.79000015258789</v>
      </c>
      <c r="K74" s="990">
        <v>21.190000152587888</v>
      </c>
      <c r="L74" s="12"/>
      <c r="M74" s="1004">
        <v>38504</v>
      </c>
      <c r="N74" s="991">
        <v>23.158750152587888</v>
      </c>
      <c r="O74" s="991">
        <v>26.458750152587889</v>
      </c>
      <c r="P74" s="991">
        <v>29.75875015258789</v>
      </c>
      <c r="Q74" s="21"/>
      <c r="R74" s="991">
        <v>16.642499542236326</v>
      </c>
      <c r="S74" s="991">
        <v>19.942499542236327</v>
      </c>
      <c r="T74" s="991">
        <v>23.242499542236327</v>
      </c>
      <c r="U74" s="21"/>
      <c r="V74" s="991">
        <v>0.4</v>
      </c>
      <c r="W74" s="991">
        <v>0.4</v>
      </c>
      <c r="X74" s="991">
        <v>0.4</v>
      </c>
      <c r="Y74" s="21"/>
      <c r="Z74" s="991">
        <v>0.13937220070312498</v>
      </c>
      <c r="AA74" s="991">
        <v>0.27874440140624995</v>
      </c>
      <c r="AB74" s="991">
        <v>0.41811660210937496</v>
      </c>
      <c r="AC74" s="21"/>
      <c r="AD74" s="991">
        <v>4.0676435855999997E-2</v>
      </c>
      <c r="AE74" s="991">
        <v>8.1352871711999994E-2</v>
      </c>
      <c r="AF74" s="991">
        <v>0.12202930756799998</v>
      </c>
      <c r="AG74" s="21"/>
      <c r="AH74" s="991">
        <v>-0.35</v>
      </c>
      <c r="AI74" s="991">
        <v>2</v>
      </c>
      <c r="AJ74" s="991">
        <v>0.3</v>
      </c>
      <c r="AK74" s="21"/>
      <c r="AL74" s="991">
        <v>-0.15</v>
      </c>
      <c r="AM74" s="991">
        <v>0.65</v>
      </c>
      <c r="AN74" s="991">
        <v>0.2</v>
      </c>
      <c r="AO74" s="21"/>
      <c r="AP74" s="12">
        <v>22</v>
      </c>
      <c r="AQ74" s="992">
        <v>0.4</v>
      </c>
      <c r="AR74" s="21"/>
      <c r="AS74" s="21"/>
      <c r="AT74" s="21"/>
      <c r="AU74" s="21"/>
      <c r="AV74" s="21"/>
      <c r="AW74" s="21"/>
      <c r="AX74" s="21"/>
      <c r="AY74" s="21"/>
      <c r="AZ74" s="21"/>
      <c r="BA74" s="21"/>
      <c r="BB74" s="21"/>
      <c r="BC74" s="21"/>
      <c r="BD74" s="21"/>
      <c r="BE74" s="21"/>
      <c r="BF74" s="21"/>
      <c r="BH74" s="20"/>
      <c r="BI74" s="20"/>
      <c r="BJ74" s="395"/>
      <c r="BK74"/>
      <c r="BL74"/>
      <c r="BM74"/>
      <c r="BN74"/>
      <c r="BO74"/>
      <c r="BP74"/>
      <c r="BQ74" s="553">
        <f t="shared" si="24"/>
        <v>38687</v>
      </c>
      <c r="BR74" s="716">
        <v>3.0615000000000001</v>
      </c>
      <c r="BS74" s="716">
        <v>3.0665</v>
      </c>
      <c r="BT74" s="716">
        <v>3.0715000000000003</v>
      </c>
      <c r="BU74" s="717">
        <v>0.152</v>
      </c>
      <c r="BV74" s="717">
        <v>0.1595</v>
      </c>
      <c r="BW74" s="717">
        <v>0.16700000000000001</v>
      </c>
      <c r="BX74" s="717">
        <f t="shared" si="25"/>
        <v>-7.0000000000000007E-2</v>
      </c>
      <c r="BY74" s="717"/>
      <c r="BZ74" s="717">
        <f t="shared" si="26"/>
        <v>7.0000000000000007E-2</v>
      </c>
      <c r="CA74" s="756">
        <f t="shared" si="17"/>
        <v>0</v>
      </c>
      <c r="CB74" s="716">
        <f t="shared" si="27"/>
        <v>0</v>
      </c>
      <c r="CC74" s="789">
        <f t="shared" si="28"/>
        <v>3.0615000000000001</v>
      </c>
      <c r="CD74" s="793">
        <f t="shared" si="29"/>
        <v>0.16700000000000001</v>
      </c>
    </row>
    <row r="75" spans="1:82" ht="13.8" x14ac:dyDescent="0.3">
      <c r="A75" s="553">
        <f t="shared" si="23"/>
        <v>38808</v>
      </c>
      <c r="B75" s="717">
        <v>7.339425441540301E-2</v>
      </c>
      <c r="C75" s="399"/>
      <c r="D75" s="989">
        <v>37653</v>
      </c>
      <c r="E75" s="990">
        <v>35.85</v>
      </c>
      <c r="F75" s="990">
        <v>36.65</v>
      </c>
      <c r="G75" s="990">
        <v>37.450000000000003</v>
      </c>
      <c r="H75" s="977"/>
      <c r="I75" s="990">
        <v>20.199997711181641</v>
      </c>
      <c r="J75" s="990">
        <v>20.59999771118164</v>
      </c>
      <c r="K75" s="990">
        <v>20.999997711181638</v>
      </c>
      <c r="L75" s="12"/>
      <c r="M75" s="1004">
        <v>38534</v>
      </c>
      <c r="N75" s="991">
        <v>36.661249542236334</v>
      </c>
      <c r="O75" s="991">
        <v>39.661249542236334</v>
      </c>
      <c r="P75" s="991">
        <v>42.661249542236334</v>
      </c>
      <c r="Q75" s="21"/>
      <c r="R75" s="991">
        <v>25.847499465942381</v>
      </c>
      <c r="S75" s="991">
        <v>29.147499465942381</v>
      </c>
      <c r="T75" s="991">
        <v>32.447499465942379</v>
      </c>
      <c r="U75" s="21"/>
      <c r="V75" s="991">
        <v>0.4</v>
      </c>
      <c r="W75" s="991">
        <v>0.4</v>
      </c>
      <c r="X75" s="991">
        <v>0.4</v>
      </c>
      <c r="Y75" s="21"/>
      <c r="Z75" s="991">
        <v>0.16502914757812495</v>
      </c>
      <c r="AA75" s="991">
        <v>0.3300582951562499</v>
      </c>
      <c r="AB75" s="991">
        <v>0.49508744273437488</v>
      </c>
      <c r="AC75" s="21"/>
      <c r="AD75" s="991">
        <v>5.4235247807999994E-2</v>
      </c>
      <c r="AE75" s="991">
        <v>0.10847049561599999</v>
      </c>
      <c r="AF75" s="991">
        <v>0.16270574342399999</v>
      </c>
      <c r="AG75" s="21"/>
      <c r="AH75" s="991">
        <v>-0.35</v>
      </c>
      <c r="AI75" s="991">
        <v>3</v>
      </c>
      <c r="AJ75" s="991">
        <v>0.5</v>
      </c>
      <c r="AK75" s="21"/>
      <c r="AL75" s="991">
        <v>-0.15</v>
      </c>
      <c r="AM75" s="991">
        <v>0.75</v>
      </c>
      <c r="AN75" s="991">
        <v>0.2</v>
      </c>
      <c r="AO75" s="21"/>
      <c r="AP75" s="12">
        <v>23</v>
      </c>
      <c r="AQ75" s="992">
        <v>0.4</v>
      </c>
      <c r="AR75" s="21"/>
      <c r="AS75" s="21"/>
      <c r="AT75" s="21"/>
      <c r="AU75" s="21"/>
      <c r="AV75" s="21"/>
      <c r="AW75" s="21"/>
      <c r="AX75" s="21"/>
      <c r="AY75" s="21"/>
      <c r="AZ75" s="21"/>
      <c r="BA75" s="21"/>
      <c r="BB75" s="21"/>
      <c r="BC75" s="21"/>
      <c r="BD75" s="21"/>
      <c r="BE75" s="21"/>
      <c r="BF75" s="21"/>
      <c r="BH75" s="20"/>
      <c r="BI75" s="20"/>
      <c r="BJ75" s="395"/>
      <c r="BK75"/>
      <c r="BL75"/>
      <c r="BM75"/>
      <c r="BN75"/>
      <c r="BO75"/>
      <c r="BP75"/>
      <c r="BQ75" s="553">
        <f t="shared" si="24"/>
        <v>38718</v>
      </c>
      <c r="BR75" s="716">
        <v>3.1150000000000002</v>
      </c>
      <c r="BS75" s="716">
        <v>3.12</v>
      </c>
      <c r="BT75" s="716">
        <v>3.125</v>
      </c>
      <c r="BU75" s="717">
        <v>0.152</v>
      </c>
      <c r="BV75" s="717">
        <v>0.1595</v>
      </c>
      <c r="BW75" s="717">
        <v>0.16700000000000001</v>
      </c>
      <c r="BX75" s="717">
        <f t="shared" si="25"/>
        <v>-7.0000000000000007E-2</v>
      </c>
      <c r="BY75" s="717"/>
      <c r="BZ75" s="717">
        <f t="shared" si="26"/>
        <v>7.0000000000000007E-2</v>
      </c>
      <c r="CA75" s="756">
        <f t="shared" si="17"/>
        <v>0</v>
      </c>
      <c r="CB75" s="716">
        <f t="shared" si="27"/>
        <v>0</v>
      </c>
      <c r="CC75" s="789">
        <f t="shared" si="28"/>
        <v>3.1150000000000002</v>
      </c>
      <c r="CD75" s="793">
        <f t="shared" si="29"/>
        <v>0.16700000000000001</v>
      </c>
    </row>
    <row r="76" spans="1:82" ht="13.8" x14ac:dyDescent="0.3">
      <c r="A76" s="553">
        <f t="shared" si="23"/>
        <v>38838</v>
      </c>
      <c r="B76" s="717">
        <v>7.3418306009727E-2</v>
      </c>
      <c r="C76" s="399"/>
      <c r="D76" s="989">
        <v>37681</v>
      </c>
      <c r="E76" s="990">
        <v>32.4</v>
      </c>
      <c r="F76" s="990">
        <v>32.9</v>
      </c>
      <c r="G76" s="990">
        <v>33.4</v>
      </c>
      <c r="H76" s="977"/>
      <c r="I76" s="990">
        <v>19.349999618530273</v>
      </c>
      <c r="J76" s="990">
        <v>19.599999618530273</v>
      </c>
      <c r="K76" s="990">
        <v>19.849999618530273</v>
      </c>
      <c r="L76" s="12"/>
      <c r="M76" s="1004">
        <v>38565</v>
      </c>
      <c r="N76" s="991">
        <v>38.922499084472662</v>
      </c>
      <c r="O76" s="991">
        <v>41.922499084472662</v>
      </c>
      <c r="P76" s="991">
        <v>44.922499084472662</v>
      </c>
      <c r="Q76" s="21"/>
      <c r="R76" s="991">
        <v>27.345000839233396</v>
      </c>
      <c r="S76" s="991">
        <v>30.645000839233397</v>
      </c>
      <c r="T76" s="991">
        <v>33.945000839233394</v>
      </c>
      <c r="U76" s="21"/>
      <c r="V76" s="991">
        <v>0.9</v>
      </c>
      <c r="W76" s="991">
        <v>0.9</v>
      </c>
      <c r="X76" s="991">
        <v>0.9</v>
      </c>
      <c r="Y76" s="21"/>
      <c r="Z76" s="991">
        <v>0.16255508484374995</v>
      </c>
      <c r="AA76" s="991">
        <v>0.32511016968749989</v>
      </c>
      <c r="AB76" s="991">
        <v>0.48766525453124987</v>
      </c>
      <c r="AC76" s="21"/>
      <c r="AD76" s="991">
        <v>5.4235247807999994E-2</v>
      </c>
      <c r="AE76" s="991">
        <v>0.10847049561599999</v>
      </c>
      <c r="AF76" s="991">
        <v>0.16270574342399999</v>
      </c>
      <c r="AG76" s="21"/>
      <c r="AH76" s="991">
        <v>-0.35</v>
      </c>
      <c r="AI76" s="991">
        <v>3</v>
      </c>
      <c r="AJ76" s="991">
        <v>0.5</v>
      </c>
      <c r="AK76" s="21"/>
      <c r="AL76" s="991">
        <v>-0.15</v>
      </c>
      <c r="AM76" s="991">
        <v>0.75</v>
      </c>
      <c r="AN76" s="991">
        <v>0.2</v>
      </c>
      <c r="AO76" s="21"/>
      <c r="AP76" s="12">
        <v>23</v>
      </c>
      <c r="AQ76" s="992">
        <v>0.4</v>
      </c>
      <c r="AR76" s="21"/>
      <c r="AS76" s="21"/>
      <c r="AT76" s="21"/>
      <c r="AU76" s="21"/>
      <c r="AV76" s="21"/>
      <c r="AW76" s="21"/>
      <c r="AX76" s="21"/>
      <c r="AY76" s="21"/>
      <c r="AZ76" s="21"/>
      <c r="BA76" s="21"/>
      <c r="BB76" s="21"/>
      <c r="BC76" s="21"/>
      <c r="BD76" s="21"/>
      <c r="BE76" s="21"/>
      <c r="BF76" s="21"/>
      <c r="BH76" s="20"/>
      <c r="BI76" s="20"/>
      <c r="BJ76" s="395"/>
      <c r="BK76"/>
      <c r="BL76"/>
      <c r="BM76"/>
      <c r="BN76"/>
      <c r="BO76"/>
      <c r="BP76"/>
      <c r="BQ76" s="553">
        <f t="shared" si="24"/>
        <v>38749</v>
      </c>
      <c r="BR76" s="716">
        <v>2.9970000000000003</v>
      </c>
      <c r="BS76" s="716">
        <v>3.0020000000000002</v>
      </c>
      <c r="BT76" s="716">
        <v>3.0070000000000001</v>
      </c>
      <c r="BU76" s="717">
        <v>0.152</v>
      </c>
      <c r="BV76" s="717">
        <v>0.1595</v>
      </c>
      <c r="BW76" s="717">
        <v>0.16700000000000001</v>
      </c>
      <c r="BX76" s="717">
        <f t="shared" si="25"/>
        <v>-7.0000000000000007E-2</v>
      </c>
      <c r="BY76" s="717"/>
      <c r="BZ76" s="717">
        <f t="shared" si="26"/>
        <v>7.0000000000000007E-2</v>
      </c>
      <c r="CA76" s="756">
        <f t="shared" si="17"/>
        <v>0</v>
      </c>
      <c r="CB76" s="716">
        <f t="shared" si="27"/>
        <v>0</v>
      </c>
      <c r="CC76" s="789">
        <f t="shared" si="28"/>
        <v>2.9970000000000003</v>
      </c>
      <c r="CD76" s="793">
        <f t="shared" si="29"/>
        <v>0.16700000000000001</v>
      </c>
    </row>
    <row r="77" spans="1:82" ht="13.8" x14ac:dyDescent="0.3">
      <c r="A77" s="553">
        <f t="shared" si="23"/>
        <v>38869</v>
      </c>
      <c r="B77" s="717">
        <v>7.3443159324062993E-2</v>
      </c>
      <c r="C77" s="399"/>
      <c r="D77" s="989">
        <v>37712</v>
      </c>
      <c r="E77" s="990">
        <v>31.3</v>
      </c>
      <c r="F77" s="990">
        <v>31.65</v>
      </c>
      <c r="G77" s="990">
        <v>32</v>
      </c>
      <c r="H77" s="977"/>
      <c r="I77" s="990">
        <v>19.424997711181639</v>
      </c>
      <c r="J77" s="990">
        <v>19.59999771118164</v>
      </c>
      <c r="K77" s="990">
        <v>19.774997711181641</v>
      </c>
      <c r="L77" s="12"/>
      <c r="M77" s="1004">
        <v>38596</v>
      </c>
      <c r="N77" s="991">
        <v>22.479999160766599</v>
      </c>
      <c r="O77" s="991">
        <v>23.304999160766599</v>
      </c>
      <c r="P77" s="991">
        <v>24.129999160766598</v>
      </c>
      <c r="Q77" s="21"/>
      <c r="R77" s="991">
        <v>20.5</v>
      </c>
      <c r="S77" s="991">
        <v>23.8</v>
      </c>
      <c r="T77" s="991">
        <v>27.1</v>
      </c>
      <c r="U77" s="21"/>
      <c r="V77" s="991">
        <v>0.9</v>
      </c>
      <c r="W77" s="991">
        <v>0.9</v>
      </c>
      <c r="X77" s="991">
        <v>0.9</v>
      </c>
      <c r="Y77" s="21"/>
      <c r="Z77" s="991">
        <v>0.10757591296874996</v>
      </c>
      <c r="AA77" s="991">
        <v>0.21515182593749993</v>
      </c>
      <c r="AB77" s="991">
        <v>0.32272773890624989</v>
      </c>
      <c r="AC77" s="21"/>
      <c r="AD77" s="991">
        <v>3.6156831871999993E-2</v>
      </c>
      <c r="AE77" s="991">
        <v>7.2313663743999987E-2</v>
      </c>
      <c r="AF77" s="991">
        <v>0.10847049561599997</v>
      </c>
      <c r="AG77" s="21"/>
      <c r="AH77" s="991">
        <v>-0.35</v>
      </c>
      <c r="AI77" s="991">
        <v>1.5</v>
      </c>
      <c r="AJ77" s="991">
        <v>0.3</v>
      </c>
      <c r="AK77" s="21"/>
      <c r="AL77" s="991">
        <v>-0.15</v>
      </c>
      <c r="AM77" s="991">
        <v>0.4</v>
      </c>
      <c r="AN77" s="991">
        <v>0.2</v>
      </c>
      <c r="AO77" s="21"/>
      <c r="AP77" s="12">
        <v>23</v>
      </c>
      <c r="AQ77" s="992">
        <v>0.4</v>
      </c>
      <c r="AR77" s="21"/>
      <c r="AS77" s="21"/>
      <c r="AT77" s="21"/>
      <c r="AU77" s="21"/>
      <c r="AV77" s="21"/>
      <c r="AW77" s="21"/>
      <c r="AX77" s="21"/>
      <c r="AY77" s="21"/>
      <c r="AZ77" s="21"/>
      <c r="BA77" s="21"/>
      <c r="BB77" s="21"/>
      <c r="BC77" s="21"/>
      <c r="BD77" s="21"/>
      <c r="BE77" s="21"/>
      <c r="BF77" s="21"/>
      <c r="BH77" s="20"/>
      <c r="BI77" s="20"/>
      <c r="BJ77" s="395"/>
      <c r="BK77"/>
      <c r="BL77"/>
      <c r="BM77"/>
      <c r="BN77"/>
      <c r="BO77"/>
      <c r="BP77"/>
      <c r="BQ77" s="553">
        <f t="shared" si="24"/>
        <v>38777</v>
      </c>
      <c r="BR77" s="716">
        <v>2.8770000000000002</v>
      </c>
      <c r="BS77" s="716">
        <v>2.8820000000000001</v>
      </c>
      <c r="BT77" s="716">
        <v>2.887</v>
      </c>
      <c r="BU77" s="717">
        <v>0.151</v>
      </c>
      <c r="BV77" s="717">
        <v>0.1585</v>
      </c>
      <c r="BW77" s="717">
        <v>0.16600000000000001</v>
      </c>
      <c r="BX77" s="717">
        <f t="shared" si="25"/>
        <v>-7.0000000000000007E-2</v>
      </c>
      <c r="BY77" s="717"/>
      <c r="BZ77" s="717">
        <f t="shared" si="26"/>
        <v>7.0000000000000007E-2</v>
      </c>
      <c r="CA77" s="756">
        <f t="shared" si="17"/>
        <v>0</v>
      </c>
      <c r="CB77" s="716">
        <f t="shared" si="27"/>
        <v>0</v>
      </c>
      <c r="CC77" s="789">
        <f t="shared" si="28"/>
        <v>2.8770000000000002</v>
      </c>
      <c r="CD77" s="793">
        <f t="shared" si="29"/>
        <v>0.16600000000000001</v>
      </c>
    </row>
    <row r="78" spans="1:82" ht="13.8" x14ac:dyDescent="0.3">
      <c r="A78" s="553">
        <f t="shared" si="23"/>
        <v>38899</v>
      </c>
      <c r="B78" s="717">
        <v>7.3467210918776005E-2</v>
      </c>
      <c r="C78" s="399"/>
      <c r="D78" s="989">
        <v>37742</v>
      </c>
      <c r="E78" s="990">
        <v>32.4</v>
      </c>
      <c r="F78" s="990">
        <v>33.65</v>
      </c>
      <c r="G78" s="990">
        <v>34.9</v>
      </c>
      <c r="H78" s="977"/>
      <c r="I78" s="990">
        <v>18.97499771118164</v>
      </c>
      <c r="J78" s="990">
        <v>19.59999771118164</v>
      </c>
      <c r="K78" s="990">
        <v>20.22499771118164</v>
      </c>
      <c r="L78" s="12"/>
      <c r="M78" s="1004">
        <v>38626</v>
      </c>
      <c r="N78" s="991">
        <v>22.688000106811522</v>
      </c>
      <c r="O78" s="991">
        <v>23.400500106811521</v>
      </c>
      <c r="P78" s="991">
        <v>24.113000106811519</v>
      </c>
      <c r="Q78" s="21"/>
      <c r="R78" s="991">
        <v>18.100999832153317</v>
      </c>
      <c r="S78" s="991">
        <v>21.400999832153317</v>
      </c>
      <c r="T78" s="991">
        <v>24.700999832153318</v>
      </c>
      <c r="U78" s="21"/>
      <c r="V78" s="991">
        <v>0.9</v>
      </c>
      <c r="W78" s="991">
        <v>0.9</v>
      </c>
      <c r="X78" s="991">
        <v>0.9</v>
      </c>
      <c r="Y78" s="21"/>
      <c r="Z78" s="991">
        <v>9.7862925937499998E-2</v>
      </c>
      <c r="AA78" s="991">
        <v>0.195725851875</v>
      </c>
      <c r="AB78" s="991">
        <v>0.29358877781249998</v>
      </c>
      <c r="AC78" s="21"/>
      <c r="AD78" s="991">
        <v>2.7117623903999997E-2</v>
      </c>
      <c r="AE78" s="991">
        <v>5.4235247807999994E-2</v>
      </c>
      <c r="AF78" s="991">
        <v>8.1352871711999994E-2</v>
      </c>
      <c r="AG78" s="21"/>
      <c r="AH78" s="991">
        <v>-0.25</v>
      </c>
      <c r="AI78" s="991">
        <v>1.1000000000000001</v>
      </c>
      <c r="AJ78" s="991">
        <v>0.3</v>
      </c>
      <c r="AK78" s="21"/>
      <c r="AL78" s="991">
        <v>-0.15</v>
      </c>
      <c r="AM78" s="991">
        <v>0.35</v>
      </c>
      <c r="AN78" s="991">
        <v>0.2</v>
      </c>
      <c r="AO78" s="21"/>
      <c r="AP78" s="12">
        <v>24</v>
      </c>
      <c r="AQ78" s="992">
        <v>0.4</v>
      </c>
      <c r="AR78" s="21"/>
      <c r="AS78" s="21"/>
      <c r="AT78" s="21"/>
      <c r="AU78" s="21"/>
      <c r="AV78" s="21"/>
      <c r="AW78" s="21"/>
      <c r="AX78" s="21"/>
      <c r="AY78" s="21"/>
      <c r="AZ78" s="21"/>
      <c r="BA78" s="21"/>
      <c r="BB78" s="21"/>
      <c r="BC78" s="21"/>
      <c r="BD78" s="21"/>
      <c r="BE78" s="21"/>
      <c r="BF78" s="21"/>
      <c r="BH78" s="20"/>
      <c r="BI78" s="20"/>
      <c r="BJ78" s="395"/>
      <c r="BK78"/>
      <c r="BL78"/>
      <c r="BM78"/>
      <c r="BN78"/>
      <c r="BO78"/>
      <c r="BP78"/>
      <c r="BQ78" s="553">
        <f t="shared" si="24"/>
        <v>38808</v>
      </c>
      <c r="BR78" s="716">
        <v>2.8275000000000001</v>
      </c>
      <c r="BS78" s="716">
        <v>2.8325</v>
      </c>
      <c r="BT78" s="716">
        <v>2.8374999999999999</v>
      </c>
      <c r="BU78" s="717">
        <v>0.15</v>
      </c>
      <c r="BV78" s="717">
        <v>0.1575</v>
      </c>
      <c r="BW78" s="717">
        <v>0.16500000000000001</v>
      </c>
      <c r="BX78" s="717">
        <f t="shared" si="25"/>
        <v>-7.0000000000000007E-2</v>
      </c>
      <c r="BY78" s="717"/>
      <c r="BZ78" s="717">
        <f t="shared" si="26"/>
        <v>7.0000000000000007E-2</v>
      </c>
      <c r="CA78" s="756">
        <f t="shared" si="17"/>
        <v>0</v>
      </c>
      <c r="CB78" s="716">
        <f t="shared" si="27"/>
        <v>0</v>
      </c>
      <c r="CC78" s="789">
        <f t="shared" si="28"/>
        <v>2.8275000000000001</v>
      </c>
      <c r="CD78" s="793">
        <f t="shared" si="29"/>
        <v>0.16500000000000001</v>
      </c>
    </row>
    <row r="79" spans="1:82" ht="13.8" x14ac:dyDescent="0.3">
      <c r="A79" s="553">
        <f t="shared" si="23"/>
        <v>38930</v>
      </c>
      <c r="B79" s="717">
        <v>7.3492064233512996E-2</v>
      </c>
      <c r="C79" s="399"/>
      <c r="D79" s="989">
        <v>37773</v>
      </c>
      <c r="E79" s="990">
        <v>45.37</v>
      </c>
      <c r="F79" s="990">
        <v>49</v>
      </c>
      <c r="G79" s="990">
        <v>52.63</v>
      </c>
      <c r="H79" s="977"/>
      <c r="I79" s="990">
        <v>17.739998779296872</v>
      </c>
      <c r="J79" s="990">
        <v>19.554998779296874</v>
      </c>
      <c r="K79" s="990">
        <v>21.369998779296875</v>
      </c>
      <c r="L79" s="12"/>
      <c r="M79" s="1004">
        <v>38657</v>
      </c>
      <c r="N79" s="991">
        <v>23.692251586914061</v>
      </c>
      <c r="O79" s="991">
        <v>24.40475158691406</v>
      </c>
      <c r="P79" s="991">
        <v>25.117251586914058</v>
      </c>
      <c r="Q79" s="21"/>
      <c r="R79" s="991">
        <v>19.104499816894528</v>
      </c>
      <c r="S79" s="991">
        <v>22.404499816894528</v>
      </c>
      <c r="T79" s="991">
        <v>25.704499816894529</v>
      </c>
      <c r="U79" s="21"/>
      <c r="V79" s="991">
        <v>0.9</v>
      </c>
      <c r="W79" s="991">
        <v>0.9</v>
      </c>
      <c r="X79" s="991">
        <v>0.9</v>
      </c>
      <c r="Y79" s="21"/>
      <c r="Z79" s="991">
        <v>9.7862925937499998E-2</v>
      </c>
      <c r="AA79" s="991">
        <v>0.195725851875</v>
      </c>
      <c r="AB79" s="991">
        <v>0.29358877781249998</v>
      </c>
      <c r="AC79" s="21"/>
      <c r="AD79" s="991">
        <v>2.7117623903999997E-2</v>
      </c>
      <c r="AE79" s="991">
        <v>5.4235247807999994E-2</v>
      </c>
      <c r="AF79" s="991">
        <v>8.1352871711999994E-2</v>
      </c>
      <c r="AG79" s="21"/>
      <c r="AH79" s="991">
        <v>-0.25</v>
      </c>
      <c r="AI79" s="991">
        <v>1.25</v>
      </c>
      <c r="AJ79" s="991">
        <v>0.3</v>
      </c>
      <c r="AK79" s="21"/>
      <c r="AL79" s="991">
        <v>-0.15</v>
      </c>
      <c r="AM79" s="991">
        <v>0.3</v>
      </c>
      <c r="AN79" s="991">
        <v>0.2</v>
      </c>
      <c r="AO79" s="21"/>
      <c r="AP79" s="12">
        <v>24</v>
      </c>
      <c r="AQ79" s="992">
        <v>0.4</v>
      </c>
      <c r="AR79" s="21"/>
      <c r="AS79" s="21"/>
      <c r="AT79" s="21"/>
      <c r="AU79" s="21"/>
      <c r="AV79" s="21"/>
      <c r="AW79" s="21"/>
      <c r="AX79" s="21"/>
      <c r="AY79" s="21"/>
      <c r="AZ79" s="21"/>
      <c r="BA79" s="21"/>
      <c r="BB79" s="21"/>
      <c r="BC79" s="21"/>
      <c r="BD79" s="21"/>
      <c r="BE79" s="21"/>
      <c r="BF79" s="21"/>
      <c r="BH79" s="20"/>
      <c r="BI79" s="20"/>
      <c r="BJ79" s="395"/>
      <c r="BK79"/>
      <c r="BL79"/>
      <c r="BM79"/>
      <c r="BN79"/>
      <c r="BO79"/>
      <c r="BP79"/>
      <c r="BQ79" s="553">
        <f t="shared" si="24"/>
        <v>38838</v>
      </c>
      <c r="BR79" s="716">
        <v>2.8015000000000003</v>
      </c>
      <c r="BS79" s="716">
        <v>2.8065000000000002</v>
      </c>
      <c r="BT79" s="716">
        <v>2.8115000000000001</v>
      </c>
      <c r="BU79" s="717">
        <v>0.15</v>
      </c>
      <c r="BV79" s="717">
        <v>0.1575</v>
      </c>
      <c r="BW79" s="717">
        <v>0.16500000000000001</v>
      </c>
      <c r="BX79" s="717">
        <f t="shared" si="25"/>
        <v>-7.0000000000000007E-2</v>
      </c>
      <c r="BY79" s="717"/>
      <c r="BZ79" s="717">
        <f t="shared" si="26"/>
        <v>7.0000000000000007E-2</v>
      </c>
      <c r="CA79" s="756">
        <f t="shared" si="17"/>
        <v>0</v>
      </c>
      <c r="CB79" s="716">
        <f t="shared" si="27"/>
        <v>0</v>
      </c>
      <c r="CC79" s="789">
        <f t="shared" si="28"/>
        <v>2.8015000000000003</v>
      </c>
      <c r="CD79" s="793">
        <f t="shared" si="29"/>
        <v>0.16500000000000001</v>
      </c>
    </row>
    <row r="80" spans="1:82" ht="13.8" x14ac:dyDescent="0.3">
      <c r="A80" s="553">
        <f t="shared" si="23"/>
        <v>38961</v>
      </c>
      <c r="B80" s="717">
        <v>7.3516917548453006E-2</v>
      </c>
      <c r="C80" s="399"/>
      <c r="D80" s="989">
        <v>37803</v>
      </c>
      <c r="E80" s="990">
        <v>66.5</v>
      </c>
      <c r="F80" s="990">
        <v>70.5</v>
      </c>
      <c r="G80" s="990">
        <v>74.5</v>
      </c>
      <c r="H80" s="977"/>
      <c r="I80" s="990">
        <v>22.049997711181639</v>
      </c>
      <c r="J80" s="990">
        <v>24.049997711181639</v>
      </c>
      <c r="K80" s="990">
        <v>26.049997711181639</v>
      </c>
      <c r="L80" s="12"/>
      <c r="M80" s="1004">
        <v>38687</v>
      </c>
      <c r="N80" s="991">
        <v>25.142498397827147</v>
      </c>
      <c r="O80" s="991">
        <v>25.854998397827146</v>
      </c>
      <c r="P80" s="991">
        <v>26.567498397827144</v>
      </c>
      <c r="Q80" s="21"/>
      <c r="R80" s="991">
        <v>19.049999237060543</v>
      </c>
      <c r="S80" s="991">
        <v>22.349999237060544</v>
      </c>
      <c r="T80" s="991">
        <v>25.649999237060545</v>
      </c>
      <c r="U80" s="21"/>
      <c r="V80" s="991">
        <v>0.9</v>
      </c>
      <c r="W80" s="991">
        <v>0.9</v>
      </c>
      <c r="X80" s="991">
        <v>0.9</v>
      </c>
      <c r="Y80" s="21"/>
      <c r="Z80" s="991">
        <v>0.10138159293749999</v>
      </c>
      <c r="AA80" s="991">
        <v>0.20276318587499997</v>
      </c>
      <c r="AB80" s="991">
        <v>0.30414477881249996</v>
      </c>
      <c r="AC80" s="21"/>
      <c r="AD80" s="991">
        <v>2.7117623903999997E-2</v>
      </c>
      <c r="AE80" s="991">
        <v>5.4235247807999994E-2</v>
      </c>
      <c r="AF80" s="991">
        <v>8.1352871711999994E-2</v>
      </c>
      <c r="AG80" s="21"/>
      <c r="AH80" s="991">
        <v>-0.25</v>
      </c>
      <c r="AI80" s="991">
        <v>1.25</v>
      </c>
      <c r="AJ80" s="991">
        <v>0.35</v>
      </c>
      <c r="AK80" s="21"/>
      <c r="AL80" s="991">
        <v>-0.15</v>
      </c>
      <c r="AM80" s="991">
        <v>0.3</v>
      </c>
      <c r="AN80" s="991">
        <v>0.2</v>
      </c>
      <c r="AO80" s="21"/>
      <c r="AP80" s="12">
        <v>24</v>
      </c>
      <c r="AQ80" s="992">
        <v>0.4</v>
      </c>
      <c r="AR80" s="21"/>
      <c r="AS80" s="21"/>
      <c r="AT80" s="21"/>
      <c r="AU80" s="21"/>
      <c r="AV80" s="21"/>
      <c r="AW80" s="21"/>
      <c r="AX80" s="21"/>
      <c r="AY80" s="21"/>
      <c r="AZ80" s="21"/>
      <c r="BA80" s="21"/>
      <c r="BB80" s="21"/>
      <c r="BC80" s="21"/>
      <c r="BD80" s="21"/>
      <c r="BE80" s="21"/>
      <c r="BF80" s="21"/>
      <c r="BH80" s="20"/>
      <c r="BI80" s="20"/>
      <c r="BJ80" s="395"/>
      <c r="BK80"/>
      <c r="BL80"/>
      <c r="BM80"/>
      <c r="BN80"/>
      <c r="BO80"/>
      <c r="BP80"/>
      <c r="BQ80" s="553">
        <f t="shared" si="24"/>
        <v>38869</v>
      </c>
      <c r="BR80" s="716">
        <v>2.8075000000000001</v>
      </c>
      <c r="BS80" s="716">
        <v>2.8125</v>
      </c>
      <c r="BT80" s="716">
        <v>2.8174999999999999</v>
      </c>
      <c r="BU80" s="717">
        <v>0.15</v>
      </c>
      <c r="BV80" s="717">
        <v>0.1575</v>
      </c>
      <c r="BW80" s="717">
        <v>0.16500000000000001</v>
      </c>
      <c r="BX80" s="717">
        <f t="shared" si="25"/>
        <v>-7.0000000000000007E-2</v>
      </c>
      <c r="BY80" s="717"/>
      <c r="BZ80" s="717">
        <f t="shared" si="26"/>
        <v>7.0000000000000007E-2</v>
      </c>
      <c r="CA80" s="756">
        <f t="shared" si="17"/>
        <v>0</v>
      </c>
      <c r="CB80" s="716">
        <f t="shared" si="27"/>
        <v>0</v>
      </c>
      <c r="CC80" s="789">
        <f t="shared" si="28"/>
        <v>2.8075000000000001</v>
      </c>
      <c r="CD80" s="793">
        <f t="shared" si="29"/>
        <v>0.16500000000000001</v>
      </c>
    </row>
    <row r="81" spans="1:82" ht="13.8" x14ac:dyDescent="0.3">
      <c r="A81" s="553">
        <f t="shared" si="23"/>
        <v>38991</v>
      </c>
      <c r="B81" s="717">
        <v>7.3540969143751009E-2</v>
      </c>
      <c r="C81" s="399"/>
      <c r="D81" s="989">
        <v>37834</v>
      </c>
      <c r="E81" s="990">
        <v>62</v>
      </c>
      <c r="F81" s="990">
        <v>66</v>
      </c>
      <c r="G81" s="990">
        <v>70</v>
      </c>
      <c r="H81" s="977"/>
      <c r="I81" s="990">
        <v>22.399998092651366</v>
      </c>
      <c r="J81" s="990">
        <v>24.399998092651366</v>
      </c>
      <c r="K81" s="990">
        <v>26.399998092651366</v>
      </c>
      <c r="L81" s="12"/>
      <c r="M81" s="1004">
        <v>38718</v>
      </c>
      <c r="N81" s="991">
        <v>28.423748779296872</v>
      </c>
      <c r="O81" s="991">
        <v>29.248748779296871</v>
      </c>
      <c r="P81" s="991">
        <v>30.073748779296871</v>
      </c>
      <c r="Q81" s="21"/>
      <c r="R81" s="991">
        <v>24.452500534057613</v>
      </c>
      <c r="S81" s="991">
        <v>27.752500534057614</v>
      </c>
      <c r="T81" s="991">
        <v>31.052500534057614</v>
      </c>
      <c r="U81" s="21"/>
      <c r="V81" s="991">
        <v>0.8</v>
      </c>
      <c r="W81" s="991">
        <v>0.8</v>
      </c>
      <c r="X81" s="991">
        <v>0.8</v>
      </c>
      <c r="Y81" s="21"/>
      <c r="Z81" s="991">
        <v>0.10949000265624999</v>
      </c>
      <c r="AA81" s="991">
        <v>0.21898000531249998</v>
      </c>
      <c r="AB81" s="991">
        <v>0.32847000796874998</v>
      </c>
      <c r="AC81" s="21"/>
      <c r="AD81" s="991">
        <v>3.1004483330240005E-2</v>
      </c>
      <c r="AE81" s="991">
        <v>6.200896666048001E-2</v>
      </c>
      <c r="AF81" s="991">
        <v>9.3013449990720018E-2</v>
      </c>
      <c r="AG81" s="21"/>
      <c r="AH81" s="991">
        <v>-0.75</v>
      </c>
      <c r="AI81" s="991">
        <v>2</v>
      </c>
      <c r="AJ81" s="991">
        <v>0.75</v>
      </c>
      <c r="AK81" s="21"/>
      <c r="AL81" s="991">
        <v>-0.15</v>
      </c>
      <c r="AM81" s="991">
        <v>0.5</v>
      </c>
      <c r="AN81" s="991">
        <v>0.2</v>
      </c>
      <c r="AO81" s="21"/>
      <c r="AP81" s="12">
        <v>25</v>
      </c>
      <c r="AQ81" s="992">
        <v>0.4</v>
      </c>
      <c r="AR81" s="21"/>
      <c r="AS81" s="21"/>
      <c r="AT81" s="21"/>
      <c r="AU81" s="21"/>
      <c r="AV81" s="21"/>
      <c r="AW81" s="21"/>
      <c r="AX81" s="21"/>
      <c r="AY81" s="21"/>
      <c r="AZ81" s="21"/>
      <c r="BA81" s="21"/>
      <c r="BB81" s="21"/>
      <c r="BC81" s="21"/>
      <c r="BD81" s="21"/>
      <c r="BE81" s="21"/>
      <c r="BF81" s="21"/>
      <c r="BH81" s="20"/>
      <c r="BI81" s="20"/>
      <c r="BJ81" s="395"/>
      <c r="BK81"/>
      <c r="BL81"/>
      <c r="BM81"/>
      <c r="BN81"/>
      <c r="BO81"/>
      <c r="BP81"/>
      <c r="BQ81" s="553">
        <f t="shared" si="24"/>
        <v>38899</v>
      </c>
      <c r="BR81" s="716">
        <v>2.8174999999999999</v>
      </c>
      <c r="BS81" s="716">
        <v>2.8224999999999998</v>
      </c>
      <c r="BT81" s="716">
        <v>2.8275000000000001</v>
      </c>
      <c r="BU81" s="717">
        <v>0.15</v>
      </c>
      <c r="BV81" s="717">
        <v>0.1575</v>
      </c>
      <c r="BW81" s="717">
        <v>0.16500000000000001</v>
      </c>
      <c r="BX81" s="717">
        <f t="shared" si="25"/>
        <v>-7.0000000000000007E-2</v>
      </c>
      <c r="BY81" s="717"/>
      <c r="BZ81" s="717">
        <f t="shared" si="26"/>
        <v>7.0000000000000007E-2</v>
      </c>
      <c r="CA81" s="756">
        <f t="shared" si="17"/>
        <v>0</v>
      </c>
      <c r="CB81" s="716">
        <f t="shared" si="27"/>
        <v>0</v>
      </c>
      <c r="CC81" s="789">
        <f t="shared" si="28"/>
        <v>2.8174999999999999</v>
      </c>
      <c r="CD81" s="793">
        <f t="shared" si="29"/>
        <v>0.16500000000000001</v>
      </c>
    </row>
    <row r="82" spans="1:82" ht="13.8" x14ac:dyDescent="0.3">
      <c r="A82" s="553">
        <f t="shared" si="23"/>
        <v>39022</v>
      </c>
      <c r="B82" s="717">
        <v>7.3565822459093003E-2</v>
      </c>
      <c r="C82" s="399"/>
      <c r="D82" s="989">
        <v>37865</v>
      </c>
      <c r="E82" s="990">
        <v>31.75</v>
      </c>
      <c r="F82" s="990">
        <v>32.65</v>
      </c>
      <c r="G82" s="990">
        <v>33.549999999999997</v>
      </c>
      <c r="H82" s="977"/>
      <c r="I82" s="990">
        <v>19.499998092651367</v>
      </c>
      <c r="J82" s="990">
        <v>19.949998092651366</v>
      </c>
      <c r="K82" s="990">
        <v>20.399998092651366</v>
      </c>
      <c r="L82" s="12"/>
      <c r="M82" s="1004">
        <v>38749</v>
      </c>
      <c r="N82" s="991">
        <v>27.421250152587888</v>
      </c>
      <c r="O82" s="991">
        <v>28.246250152587887</v>
      </c>
      <c r="P82" s="991">
        <v>29.071250152587886</v>
      </c>
      <c r="Q82" s="21"/>
      <c r="R82" s="991">
        <v>22.447499465942379</v>
      </c>
      <c r="S82" s="991">
        <v>25.747499465942379</v>
      </c>
      <c r="T82" s="991">
        <v>29.04749946594238</v>
      </c>
      <c r="U82" s="21"/>
      <c r="V82" s="991">
        <v>0.3</v>
      </c>
      <c r="W82" s="991">
        <v>0.3</v>
      </c>
      <c r="X82" s="991">
        <v>0.3</v>
      </c>
      <c r="Y82" s="21"/>
      <c r="Z82" s="991">
        <v>0.10562109796874998</v>
      </c>
      <c r="AA82" s="991">
        <v>0.21124219593749996</v>
      </c>
      <c r="AB82" s="991">
        <v>0.31686329390624995</v>
      </c>
      <c r="AC82" s="21"/>
      <c r="AD82" s="991">
        <v>3.1004483330240005E-2</v>
      </c>
      <c r="AE82" s="991">
        <v>6.200896666048001E-2</v>
      </c>
      <c r="AF82" s="991">
        <v>9.3013449990720018E-2</v>
      </c>
      <c r="AG82" s="21"/>
      <c r="AH82" s="991">
        <v>-0.75</v>
      </c>
      <c r="AI82" s="991">
        <v>2</v>
      </c>
      <c r="AJ82" s="991">
        <v>0.75</v>
      </c>
      <c r="AK82" s="21"/>
      <c r="AL82" s="991">
        <v>-0.15</v>
      </c>
      <c r="AM82" s="991">
        <v>0.5</v>
      </c>
      <c r="AN82" s="991">
        <v>0.2</v>
      </c>
      <c r="AO82" s="21"/>
      <c r="AP82" s="12">
        <v>25</v>
      </c>
      <c r="AQ82" s="992">
        <v>0.4</v>
      </c>
      <c r="AR82" s="21"/>
      <c r="AS82" s="21"/>
      <c r="AT82" s="21"/>
      <c r="AU82" s="21"/>
      <c r="AV82" s="21"/>
      <c r="AW82" s="21"/>
      <c r="AX82" s="21"/>
      <c r="AY82" s="21"/>
      <c r="AZ82" s="21"/>
      <c r="BA82" s="21"/>
      <c r="BB82" s="21"/>
      <c r="BC82" s="21"/>
      <c r="BD82" s="21"/>
      <c r="BE82" s="21"/>
      <c r="BF82" s="21"/>
      <c r="BH82" s="20"/>
      <c r="BI82" s="20"/>
      <c r="BJ82" s="395"/>
      <c r="BK82"/>
      <c r="BL82"/>
      <c r="BM82"/>
      <c r="BN82"/>
      <c r="BO82"/>
      <c r="BP82"/>
      <c r="BQ82" s="553">
        <f t="shared" si="24"/>
        <v>38930</v>
      </c>
      <c r="BR82" s="716">
        <v>2.8245</v>
      </c>
      <c r="BS82" s="716">
        <v>2.8295000000000003</v>
      </c>
      <c r="BT82" s="716">
        <v>2.8345000000000002</v>
      </c>
      <c r="BU82" s="717">
        <v>0.15</v>
      </c>
      <c r="BV82" s="717">
        <v>0.1575</v>
      </c>
      <c r="BW82" s="717">
        <v>0.16500000000000001</v>
      </c>
      <c r="BX82" s="717">
        <f t="shared" si="25"/>
        <v>-7.0000000000000007E-2</v>
      </c>
      <c r="BY82" s="717"/>
      <c r="BZ82" s="717">
        <f t="shared" si="26"/>
        <v>7.0000000000000007E-2</v>
      </c>
      <c r="CA82" s="756">
        <f t="shared" si="17"/>
        <v>0</v>
      </c>
      <c r="CB82" s="716">
        <f t="shared" si="27"/>
        <v>0</v>
      </c>
      <c r="CC82" s="789">
        <f t="shared" si="28"/>
        <v>2.8245</v>
      </c>
      <c r="CD82" s="793">
        <f t="shared" si="29"/>
        <v>0.16500000000000001</v>
      </c>
    </row>
    <row r="83" spans="1:82" ht="13.8" x14ac:dyDescent="0.3">
      <c r="A83" s="553">
        <f t="shared" si="23"/>
        <v>39052</v>
      </c>
      <c r="B83" s="717">
        <v>7.3589874054779E-2</v>
      </c>
      <c r="C83" s="399"/>
      <c r="D83" s="989">
        <v>37895</v>
      </c>
      <c r="E83" s="990">
        <v>29.65</v>
      </c>
      <c r="F83" s="990">
        <v>30.4</v>
      </c>
      <c r="G83" s="990">
        <v>31.15</v>
      </c>
      <c r="H83" s="977"/>
      <c r="I83" s="990">
        <v>19.27499885559082</v>
      </c>
      <c r="J83" s="990">
        <v>19.64999885559082</v>
      </c>
      <c r="K83" s="990">
        <v>20.02499885559082</v>
      </c>
      <c r="L83" s="12"/>
      <c r="M83" s="1004">
        <v>38777</v>
      </c>
      <c r="N83" s="991">
        <v>20.94724960327148</v>
      </c>
      <c r="O83" s="991">
        <v>21.434749603271481</v>
      </c>
      <c r="P83" s="991">
        <v>21.922249603271482</v>
      </c>
      <c r="Q83" s="21"/>
      <c r="R83" s="991">
        <v>17.764498901367183</v>
      </c>
      <c r="S83" s="991">
        <v>21.064498901367184</v>
      </c>
      <c r="T83" s="991">
        <v>24.364498901367185</v>
      </c>
      <c r="U83" s="21"/>
      <c r="V83" s="991">
        <v>0.3</v>
      </c>
      <c r="W83" s="991">
        <v>0.3</v>
      </c>
      <c r="X83" s="991">
        <v>0.3</v>
      </c>
      <c r="Y83" s="21"/>
      <c r="Z83" s="991">
        <v>0.10280646980859376</v>
      </c>
      <c r="AA83" s="991">
        <v>0.20561293961718752</v>
      </c>
      <c r="AB83" s="991">
        <v>0.30841940942578128</v>
      </c>
      <c r="AC83" s="21"/>
      <c r="AD83" s="991">
        <v>2.6575271425919995E-2</v>
      </c>
      <c r="AE83" s="991">
        <v>5.3150542851839989E-2</v>
      </c>
      <c r="AF83" s="991">
        <v>7.9725814277759988E-2</v>
      </c>
      <c r="AG83" s="21"/>
      <c r="AH83" s="991">
        <v>-0.25</v>
      </c>
      <c r="AI83" s="991">
        <v>1.3</v>
      </c>
      <c r="AJ83" s="991">
        <v>0.3</v>
      </c>
      <c r="AK83" s="21"/>
      <c r="AL83" s="991">
        <v>-0.15</v>
      </c>
      <c r="AM83" s="991">
        <v>0.35</v>
      </c>
      <c r="AN83" s="991">
        <v>0.2</v>
      </c>
      <c r="AO83" s="21"/>
      <c r="AP83" s="12">
        <v>25</v>
      </c>
      <c r="AQ83" s="992">
        <v>0.4</v>
      </c>
      <c r="AR83" s="21"/>
      <c r="AS83" s="21"/>
      <c r="AT83" s="21"/>
      <c r="AU83" s="21"/>
      <c r="AV83" s="21"/>
      <c r="AW83" s="21"/>
      <c r="AX83" s="21"/>
      <c r="AY83" s="21"/>
      <c r="AZ83" s="21"/>
      <c r="BA83" s="21"/>
      <c r="BB83" s="21"/>
      <c r="BC83" s="21"/>
      <c r="BD83" s="21"/>
      <c r="BE83" s="21"/>
      <c r="BF83" s="21"/>
      <c r="BH83" s="20"/>
      <c r="BI83" s="20"/>
      <c r="BJ83" s="395"/>
      <c r="BK83"/>
      <c r="BL83"/>
      <c r="BM83"/>
      <c r="BN83"/>
      <c r="BO83"/>
      <c r="BP83"/>
      <c r="BQ83" s="553">
        <f t="shared" si="24"/>
        <v>38961</v>
      </c>
      <c r="BR83" s="716">
        <v>2.8315000000000001</v>
      </c>
      <c r="BS83" s="716">
        <v>2.8365</v>
      </c>
      <c r="BT83" s="716">
        <v>2.8414999999999999</v>
      </c>
      <c r="BU83" s="717">
        <v>0.15</v>
      </c>
      <c r="BV83" s="717">
        <v>0.1575</v>
      </c>
      <c r="BW83" s="717">
        <v>0.16500000000000001</v>
      </c>
      <c r="BX83" s="717">
        <f t="shared" si="25"/>
        <v>-7.0000000000000007E-2</v>
      </c>
      <c r="BY83" s="717"/>
      <c r="BZ83" s="717">
        <f t="shared" si="26"/>
        <v>7.0000000000000007E-2</v>
      </c>
      <c r="CA83" s="756">
        <f t="shared" si="17"/>
        <v>0</v>
      </c>
      <c r="CB83" s="716">
        <f t="shared" si="27"/>
        <v>0</v>
      </c>
      <c r="CC83" s="789">
        <f t="shared" si="28"/>
        <v>2.8315000000000001</v>
      </c>
      <c r="CD83" s="793">
        <f t="shared" si="29"/>
        <v>0.16500000000000001</v>
      </c>
    </row>
    <row r="84" spans="1:82" ht="13.8" x14ac:dyDescent="0.3">
      <c r="A84" s="553">
        <f t="shared" si="23"/>
        <v>39083</v>
      </c>
      <c r="B84" s="717">
        <v>7.3614727370522992E-2</v>
      </c>
      <c r="C84" s="399"/>
      <c r="D84" s="989">
        <v>37926</v>
      </c>
      <c r="E84" s="990">
        <v>30.024999999999999</v>
      </c>
      <c r="F84" s="990">
        <v>30.774999999999999</v>
      </c>
      <c r="G84" s="990">
        <v>31.524999999999999</v>
      </c>
      <c r="H84" s="977"/>
      <c r="I84" s="990">
        <v>19.199998092651366</v>
      </c>
      <c r="J84" s="990">
        <v>19.574998092651366</v>
      </c>
      <c r="K84" s="990">
        <v>19.949998092651366</v>
      </c>
      <c r="L84" s="12"/>
      <c r="M84" s="1004">
        <v>38808</v>
      </c>
      <c r="N84" s="991">
        <v>21.742500305175778</v>
      </c>
      <c r="O84" s="991">
        <v>22.117500305175778</v>
      </c>
      <c r="P84" s="991">
        <v>22.492500305175778</v>
      </c>
      <c r="Q84" s="21"/>
      <c r="R84" s="991">
        <v>17.534999084472652</v>
      </c>
      <c r="S84" s="991">
        <v>20.834999084472653</v>
      </c>
      <c r="T84" s="991">
        <v>24.134999084472653</v>
      </c>
      <c r="U84" s="21"/>
      <c r="V84" s="991">
        <v>0.3</v>
      </c>
      <c r="W84" s="991">
        <v>0.3</v>
      </c>
      <c r="X84" s="991">
        <v>0.3</v>
      </c>
      <c r="Y84" s="21"/>
      <c r="Z84" s="991">
        <v>9.1751074664062487E-2</v>
      </c>
      <c r="AA84" s="991">
        <v>0.18350214932812497</v>
      </c>
      <c r="AB84" s="991">
        <v>0.27525322399218743</v>
      </c>
      <c r="AC84" s="21"/>
      <c r="AD84" s="991">
        <v>2.6575271425919995E-2</v>
      </c>
      <c r="AE84" s="991">
        <v>5.3150542851839989E-2</v>
      </c>
      <c r="AF84" s="991">
        <v>7.9725814277759988E-2</v>
      </c>
      <c r="AG84" s="21"/>
      <c r="AH84" s="991">
        <v>-0.25</v>
      </c>
      <c r="AI84" s="991">
        <v>1.1000000000000001</v>
      </c>
      <c r="AJ84" s="991">
        <v>0.3</v>
      </c>
      <c r="AK84" s="21"/>
      <c r="AL84" s="991">
        <v>-0.15</v>
      </c>
      <c r="AM84" s="991">
        <v>0.35</v>
      </c>
      <c r="AN84" s="991">
        <v>0.2</v>
      </c>
      <c r="AO84" s="21"/>
      <c r="AP84" s="12">
        <v>26</v>
      </c>
      <c r="AQ84" s="992">
        <v>0.4</v>
      </c>
      <c r="AR84" s="21"/>
      <c r="AS84" s="21"/>
      <c r="AT84" s="21"/>
      <c r="AU84" s="21"/>
      <c r="AV84" s="21"/>
      <c r="AW84" s="21"/>
      <c r="AX84" s="21"/>
      <c r="AY84" s="21"/>
      <c r="AZ84" s="21"/>
      <c r="BA84" s="21"/>
      <c r="BB84" s="21"/>
      <c r="BC84" s="21"/>
      <c r="BD84" s="21"/>
      <c r="BE84" s="21"/>
      <c r="BF84" s="21"/>
      <c r="BH84" s="20"/>
      <c r="BI84" s="20"/>
      <c r="BJ84" s="395"/>
      <c r="BK84"/>
      <c r="BL84"/>
      <c r="BM84"/>
      <c r="BN84"/>
      <c r="BO84"/>
      <c r="BP84"/>
      <c r="BQ84" s="553">
        <f t="shared" si="24"/>
        <v>38991</v>
      </c>
      <c r="BR84" s="716">
        <v>2.8574999999999999</v>
      </c>
      <c r="BS84" s="716">
        <v>2.8624999999999998</v>
      </c>
      <c r="BT84" s="716">
        <v>2.8675000000000002</v>
      </c>
      <c r="BU84" s="717">
        <v>0.15</v>
      </c>
      <c r="BV84" s="717">
        <v>0.1575</v>
      </c>
      <c r="BW84" s="717">
        <v>0.16500000000000001</v>
      </c>
      <c r="BX84" s="717">
        <f t="shared" si="25"/>
        <v>-7.0000000000000007E-2</v>
      </c>
      <c r="BY84" s="717"/>
      <c r="BZ84" s="717">
        <f t="shared" si="26"/>
        <v>7.0000000000000007E-2</v>
      </c>
      <c r="CA84" s="756">
        <f t="shared" si="17"/>
        <v>0</v>
      </c>
      <c r="CB84" s="716">
        <f t="shared" si="27"/>
        <v>0</v>
      </c>
      <c r="CC84" s="789">
        <f t="shared" si="28"/>
        <v>2.8574999999999999</v>
      </c>
      <c r="CD84" s="793">
        <f t="shared" si="29"/>
        <v>0.16500000000000001</v>
      </c>
    </row>
    <row r="85" spans="1:82" ht="13.8" x14ac:dyDescent="0.3">
      <c r="A85" s="553">
        <f t="shared" si="23"/>
        <v>39114</v>
      </c>
      <c r="B85" s="717">
        <v>7.3639580686470002E-2</v>
      </c>
      <c r="C85" s="399"/>
      <c r="D85" s="989">
        <v>37956</v>
      </c>
      <c r="E85" s="990">
        <v>29.9</v>
      </c>
      <c r="F85" s="990">
        <v>30.65</v>
      </c>
      <c r="G85" s="990">
        <v>31.4</v>
      </c>
      <c r="H85" s="977"/>
      <c r="I85" s="990">
        <v>20.624999237060546</v>
      </c>
      <c r="J85" s="990">
        <v>20.999999237060546</v>
      </c>
      <c r="K85" s="990">
        <v>21.374999237060546</v>
      </c>
      <c r="L85" s="12"/>
      <c r="M85" s="1004">
        <v>38838</v>
      </c>
      <c r="N85" s="991">
        <v>20.97250007629394</v>
      </c>
      <c r="O85" s="991">
        <v>22.232500076293942</v>
      </c>
      <c r="P85" s="991">
        <v>23.492500076293943</v>
      </c>
      <c r="Q85" s="21"/>
      <c r="R85" s="991">
        <v>18.06499977111816</v>
      </c>
      <c r="S85" s="991">
        <v>21.364999771118161</v>
      </c>
      <c r="T85" s="991">
        <v>24.664999771118161</v>
      </c>
      <c r="U85" s="21"/>
      <c r="V85" s="991">
        <v>0.3</v>
      </c>
      <c r="W85" s="991">
        <v>0.3</v>
      </c>
      <c r="X85" s="991">
        <v>0.3</v>
      </c>
      <c r="Y85" s="21"/>
      <c r="Z85" s="991">
        <v>0.10567913153906248</v>
      </c>
      <c r="AA85" s="991">
        <v>0.21135826307812497</v>
      </c>
      <c r="AB85" s="991">
        <v>0.31703739461718744</v>
      </c>
      <c r="AC85" s="21"/>
      <c r="AD85" s="991">
        <v>3.1004483330240005E-2</v>
      </c>
      <c r="AE85" s="991">
        <v>6.200896666048001E-2</v>
      </c>
      <c r="AF85" s="991">
        <v>9.3013449990720018E-2</v>
      </c>
      <c r="AG85" s="21"/>
      <c r="AH85" s="991">
        <v>-0.25</v>
      </c>
      <c r="AI85" s="991">
        <v>1.1000000000000001</v>
      </c>
      <c r="AJ85" s="991">
        <v>0.3</v>
      </c>
      <c r="AK85" s="21"/>
      <c r="AL85" s="991">
        <v>-0.15</v>
      </c>
      <c r="AM85" s="991">
        <v>0.5</v>
      </c>
      <c r="AN85" s="991">
        <v>0.2</v>
      </c>
      <c r="AO85" s="21"/>
      <c r="AP85" s="12">
        <v>26</v>
      </c>
      <c r="AQ85" s="992">
        <v>0.4</v>
      </c>
      <c r="AR85" s="21"/>
      <c r="AS85" s="21"/>
      <c r="AT85" s="21"/>
      <c r="AU85" s="21"/>
      <c r="AV85" s="21"/>
      <c r="AW85" s="21"/>
      <c r="AX85" s="21"/>
      <c r="AY85" s="21"/>
      <c r="AZ85" s="21"/>
      <c r="BA85" s="21"/>
      <c r="BB85" s="21"/>
      <c r="BC85" s="21"/>
      <c r="BD85" s="21"/>
      <c r="BE85" s="21"/>
      <c r="BF85" s="21"/>
      <c r="BH85" s="20"/>
      <c r="BI85" s="20"/>
      <c r="BJ85" s="395"/>
      <c r="BK85"/>
      <c r="BL85"/>
      <c r="BM85"/>
      <c r="BN85"/>
      <c r="BO85"/>
      <c r="BP85"/>
      <c r="BQ85" s="553">
        <f t="shared" si="24"/>
        <v>39022</v>
      </c>
      <c r="BR85" s="716">
        <v>2.9925000000000002</v>
      </c>
      <c r="BS85" s="716">
        <v>2.9975000000000001</v>
      </c>
      <c r="BT85" s="716">
        <v>3.0024999999999999</v>
      </c>
      <c r="BU85" s="717">
        <v>0.15</v>
      </c>
      <c r="BV85" s="717">
        <v>0.1575</v>
      </c>
      <c r="BW85" s="717">
        <v>0.16500000000000001</v>
      </c>
      <c r="BX85" s="717">
        <f t="shared" si="25"/>
        <v>-7.0000000000000007E-2</v>
      </c>
      <c r="BY85" s="717"/>
      <c r="BZ85" s="717">
        <f t="shared" si="26"/>
        <v>7.0000000000000007E-2</v>
      </c>
      <c r="CA85" s="756">
        <f t="shared" si="17"/>
        <v>0</v>
      </c>
      <c r="CB85" s="716">
        <f t="shared" si="27"/>
        <v>0</v>
      </c>
      <c r="CC85" s="789">
        <f t="shared" si="28"/>
        <v>2.9925000000000002</v>
      </c>
      <c r="CD85" s="793">
        <f t="shared" si="29"/>
        <v>0.16500000000000001</v>
      </c>
    </row>
    <row r="86" spans="1:82" ht="13.8" x14ac:dyDescent="0.3">
      <c r="A86" s="553">
        <f t="shared" si="23"/>
        <v>39142</v>
      </c>
      <c r="B86" s="717">
        <v>7.3662028842984992E-2</v>
      </c>
      <c r="C86" s="399"/>
      <c r="D86" s="989">
        <v>37987</v>
      </c>
      <c r="E86" s="990">
        <v>35.75</v>
      </c>
      <c r="F86" s="990">
        <v>36.65</v>
      </c>
      <c r="G86" s="990">
        <v>37.549999999999997</v>
      </c>
      <c r="H86" s="977"/>
      <c r="I86" s="990">
        <v>20.340000152587891</v>
      </c>
      <c r="J86" s="990">
        <v>20.79000015258789</v>
      </c>
      <c r="K86" s="990">
        <v>21.240000152587889</v>
      </c>
      <c r="L86" s="12"/>
      <c r="M86" s="1004">
        <v>38869</v>
      </c>
      <c r="N86" s="991">
        <v>23.028750152587889</v>
      </c>
      <c r="O86" s="991">
        <v>26.658750152587888</v>
      </c>
      <c r="P86" s="991">
        <v>30.288750152587887</v>
      </c>
      <c r="Q86" s="21"/>
      <c r="R86" s="991">
        <v>16.842499542236325</v>
      </c>
      <c r="S86" s="991">
        <v>20.142499542236326</v>
      </c>
      <c r="T86" s="991">
        <v>23.442499542236327</v>
      </c>
      <c r="U86" s="21"/>
      <c r="V86" s="991">
        <v>0.3</v>
      </c>
      <c r="W86" s="991">
        <v>0.3</v>
      </c>
      <c r="X86" s="991">
        <v>0.3</v>
      </c>
      <c r="Y86" s="21"/>
      <c r="Z86" s="991">
        <v>0.13240359066796872</v>
      </c>
      <c r="AA86" s="991">
        <v>0.26480718133593745</v>
      </c>
      <c r="AB86" s="991">
        <v>0.3972107720039062</v>
      </c>
      <c r="AC86" s="21"/>
      <c r="AD86" s="991">
        <v>3.9862907138879994E-2</v>
      </c>
      <c r="AE86" s="991">
        <v>7.9725814277759988E-2</v>
      </c>
      <c r="AF86" s="991">
        <v>0.11958872141663998</v>
      </c>
      <c r="AG86" s="21"/>
      <c r="AH86" s="991">
        <v>-0.35</v>
      </c>
      <c r="AI86" s="991">
        <v>2</v>
      </c>
      <c r="AJ86" s="991">
        <v>0.3</v>
      </c>
      <c r="AK86" s="21"/>
      <c r="AL86" s="991">
        <v>-0.15</v>
      </c>
      <c r="AM86" s="991">
        <v>0.65</v>
      </c>
      <c r="AN86" s="991">
        <v>0.2</v>
      </c>
      <c r="AO86" s="21"/>
      <c r="AP86" s="12">
        <v>26</v>
      </c>
      <c r="AQ86" s="992">
        <v>0.4</v>
      </c>
      <c r="AR86" s="21"/>
      <c r="AS86" s="21"/>
      <c r="AT86" s="21"/>
      <c r="AU86" s="21"/>
      <c r="AV86" s="21"/>
      <c r="AW86" s="21"/>
      <c r="AX86" s="21"/>
      <c r="AY86" s="21"/>
      <c r="AZ86" s="21"/>
      <c r="BA86" s="21"/>
      <c r="BB86" s="21"/>
      <c r="BC86" s="21"/>
      <c r="BD86" s="21"/>
      <c r="BE86" s="21"/>
      <c r="BF86" s="21"/>
      <c r="BH86" s="20"/>
      <c r="BI86" s="20"/>
      <c r="BJ86" s="395"/>
      <c r="BK86"/>
      <c r="BL86"/>
      <c r="BM86"/>
      <c r="BN86"/>
      <c r="BO86"/>
      <c r="BP86"/>
      <c r="BQ86" s="553">
        <f t="shared" si="24"/>
        <v>39052</v>
      </c>
      <c r="BR86" s="716">
        <v>3.1165000000000003</v>
      </c>
      <c r="BS86" s="716">
        <v>3.1215000000000002</v>
      </c>
      <c r="BT86" s="716">
        <v>3.1265000000000001</v>
      </c>
      <c r="BU86" s="717">
        <v>0.15</v>
      </c>
      <c r="BV86" s="717">
        <v>0.1575</v>
      </c>
      <c r="BW86" s="717">
        <v>0.16500000000000001</v>
      </c>
      <c r="BX86" s="717">
        <f t="shared" si="25"/>
        <v>-7.0000000000000007E-2</v>
      </c>
      <c r="BY86" s="717"/>
      <c r="BZ86" s="717">
        <f t="shared" si="26"/>
        <v>7.0000000000000007E-2</v>
      </c>
      <c r="CA86" s="756">
        <f t="shared" si="17"/>
        <v>0</v>
      </c>
      <c r="CB86" s="716">
        <f t="shared" si="27"/>
        <v>0</v>
      </c>
      <c r="CC86" s="789">
        <f t="shared" si="28"/>
        <v>3.1165000000000003</v>
      </c>
      <c r="CD86" s="793">
        <f t="shared" si="29"/>
        <v>0.16500000000000001</v>
      </c>
    </row>
    <row r="87" spans="1:82" ht="13.8" x14ac:dyDescent="0.3">
      <c r="A87" s="553">
        <f t="shared" si="23"/>
        <v>39173</v>
      </c>
      <c r="B87" s="717">
        <v>7.3678548860932003E-2</v>
      </c>
      <c r="C87" s="399"/>
      <c r="D87" s="989">
        <v>38018</v>
      </c>
      <c r="E87" s="990">
        <v>35.75</v>
      </c>
      <c r="F87" s="990">
        <v>36.65</v>
      </c>
      <c r="G87" s="990">
        <v>37.549999999999997</v>
      </c>
      <c r="H87" s="977"/>
      <c r="I87" s="990">
        <v>20.149997711181641</v>
      </c>
      <c r="J87" s="990">
        <v>20.59999771118164</v>
      </c>
      <c r="K87" s="990">
        <v>21.049997711181639</v>
      </c>
      <c r="L87" s="12"/>
      <c r="M87" s="1004">
        <v>38899</v>
      </c>
      <c r="N87" s="991">
        <v>36.861249542236337</v>
      </c>
      <c r="O87" s="991">
        <v>39.861249542236337</v>
      </c>
      <c r="P87" s="991">
        <v>42.861249542236337</v>
      </c>
      <c r="Q87" s="21"/>
      <c r="R87" s="991">
        <v>26.04749946594238</v>
      </c>
      <c r="S87" s="991">
        <v>29.347499465942381</v>
      </c>
      <c r="T87" s="991">
        <v>32.647499465942381</v>
      </c>
      <c r="U87" s="21"/>
      <c r="V87" s="991">
        <v>0.3</v>
      </c>
      <c r="W87" s="991">
        <v>0.3</v>
      </c>
      <c r="X87" s="991">
        <v>0.3</v>
      </c>
      <c r="Y87" s="21"/>
      <c r="Z87" s="991">
        <v>0.15677769019921869</v>
      </c>
      <c r="AA87" s="991">
        <v>0.31355538039843739</v>
      </c>
      <c r="AB87" s="991">
        <v>0.47033307059765606</v>
      </c>
      <c r="AC87" s="21"/>
      <c r="AD87" s="991">
        <v>5.3150542851839989E-2</v>
      </c>
      <c r="AE87" s="991">
        <v>0.10630108570367998</v>
      </c>
      <c r="AF87" s="991">
        <v>0.15945162855551998</v>
      </c>
      <c r="AG87" s="21"/>
      <c r="AH87" s="991">
        <v>-0.35</v>
      </c>
      <c r="AI87" s="991">
        <v>3</v>
      </c>
      <c r="AJ87" s="991">
        <v>0.5</v>
      </c>
      <c r="AK87" s="21"/>
      <c r="AL87" s="991">
        <v>-0.15</v>
      </c>
      <c r="AM87" s="991">
        <v>0.75</v>
      </c>
      <c r="AN87" s="991">
        <v>0.2</v>
      </c>
      <c r="AO87" s="21"/>
      <c r="AP87" s="12">
        <v>27</v>
      </c>
      <c r="AQ87" s="992">
        <v>0.4</v>
      </c>
      <c r="AR87" s="21"/>
      <c r="AS87" s="21"/>
      <c r="AT87" s="21"/>
      <c r="AU87" s="21"/>
      <c r="AV87" s="21"/>
      <c r="AW87" s="21"/>
      <c r="AX87" s="21"/>
      <c r="AY87" s="21"/>
      <c r="AZ87" s="21"/>
      <c r="BA87" s="21"/>
      <c r="BB87" s="21"/>
      <c r="BC87" s="21"/>
      <c r="BD87" s="21"/>
      <c r="BE87" s="21"/>
      <c r="BF87" s="21"/>
      <c r="BH87" s="20"/>
      <c r="BI87" s="20"/>
      <c r="BJ87" s="395"/>
      <c r="BK87"/>
      <c r="BL87"/>
      <c r="BM87"/>
      <c r="BN87"/>
      <c r="BO87"/>
      <c r="BP87"/>
      <c r="BQ87" s="553">
        <f t="shared" si="24"/>
        <v>39083</v>
      </c>
      <c r="BR87" s="716">
        <v>3.1749999999999998</v>
      </c>
      <c r="BS87" s="716">
        <v>3.18</v>
      </c>
      <c r="BT87" s="716">
        <v>3.1850000000000001</v>
      </c>
      <c r="BU87" s="717">
        <v>0.15</v>
      </c>
      <c r="BV87" s="717">
        <v>0.1575</v>
      </c>
      <c r="BW87" s="717">
        <v>0.16500000000000001</v>
      </c>
      <c r="BX87" s="717">
        <f t="shared" ref="BX87:BX102" si="30">BY87-$BX$4</f>
        <v>-7.0000000000000007E-2</v>
      </c>
      <c r="BY87" s="717"/>
      <c r="BZ87" s="717">
        <f t="shared" ref="BZ87:BZ102" si="31">BY87+$BZ$4</f>
        <v>7.0000000000000007E-2</v>
      </c>
      <c r="CA87" s="756">
        <f t="shared" si="17"/>
        <v>0</v>
      </c>
      <c r="CB87" s="716">
        <f t="shared" ref="CB87:CB102" si="32">GasBasis</f>
        <v>0</v>
      </c>
      <c r="CC87" s="789">
        <f t="shared" ref="CC87:CC102" si="33">(IF(GasPriceCurve,IF(OBuySell=OCallPut,BT87,BR87),BS87)+CA87/1000+CB87)/(1-GasTransportPercent)</f>
        <v>3.1749999999999998</v>
      </c>
      <c r="CD87" s="793">
        <f t="shared" ref="CD87:CD102" si="34">IF(GasVolOver,GasVolOver,IF(OVolType=2,IF(OR(BU87="",BV87="",BW87=""),CD86,IF(GasVolCurve,IF(OBuySell,BU87,BW87),BV87)*GasVolAsPercentOfNYMEX),IF(OR(BU87="",BV87="",BW87="",BY87=""),CD86,SQRT(((IF(GasVolCurve,IF(OBuySell,BU87,BW87),BV87)*GasVolAsPercentOfNYMEX)^2*(BQ87-DateToday-1)+IF(GasVolCurve,IF(OBuySell,BX87,BZ87),BY87)^2*15)/(BQ87-DateToday+14))))+GasVolSpread)</f>
        <v>0.16500000000000001</v>
      </c>
    </row>
    <row r="88" spans="1:82" ht="13.8" x14ac:dyDescent="0.3">
      <c r="A88" s="553">
        <f t="shared" si="23"/>
        <v>39203</v>
      </c>
      <c r="B88" s="717">
        <v>7.3693341237034998E-2</v>
      </c>
      <c r="C88" s="399"/>
      <c r="D88" s="989">
        <v>38047</v>
      </c>
      <c r="E88" s="990">
        <v>32.35</v>
      </c>
      <c r="F88" s="990">
        <v>32.9</v>
      </c>
      <c r="G88" s="990">
        <v>33.450000000000003</v>
      </c>
      <c r="H88" s="977"/>
      <c r="I88" s="990">
        <v>19.324999618530274</v>
      </c>
      <c r="J88" s="990">
        <v>19.599999618530273</v>
      </c>
      <c r="K88" s="990">
        <v>19.874999618530271</v>
      </c>
      <c r="L88" s="12"/>
      <c r="M88" s="1004">
        <v>38930</v>
      </c>
      <c r="N88" s="991">
        <v>39.122499084472665</v>
      </c>
      <c r="O88" s="991">
        <v>42.122499084472665</v>
      </c>
      <c r="P88" s="991">
        <v>45.122499084472665</v>
      </c>
      <c r="Q88" s="21"/>
      <c r="R88" s="991">
        <v>27.545000839233396</v>
      </c>
      <c r="S88" s="991">
        <v>30.845000839233396</v>
      </c>
      <c r="T88" s="991">
        <v>34.145000839233397</v>
      </c>
      <c r="U88" s="21"/>
      <c r="V88" s="991">
        <v>0.8</v>
      </c>
      <c r="W88" s="991">
        <v>0.8</v>
      </c>
      <c r="X88" s="991">
        <v>0.8</v>
      </c>
      <c r="Y88" s="21"/>
      <c r="Z88" s="991">
        <v>0.15442733060156244</v>
      </c>
      <c r="AA88" s="991">
        <v>0.30885466120312488</v>
      </c>
      <c r="AB88" s="991">
        <v>0.46328199180468732</v>
      </c>
      <c r="AC88" s="21"/>
      <c r="AD88" s="991">
        <v>5.3150542851839989E-2</v>
      </c>
      <c r="AE88" s="991">
        <v>0.10630108570367998</v>
      </c>
      <c r="AF88" s="991">
        <v>0.15945162855551998</v>
      </c>
      <c r="AG88" s="21"/>
      <c r="AH88" s="991">
        <v>-0.35</v>
      </c>
      <c r="AI88" s="991">
        <v>3</v>
      </c>
      <c r="AJ88" s="991">
        <v>0.5</v>
      </c>
      <c r="AK88" s="21"/>
      <c r="AL88" s="991">
        <v>-0.15</v>
      </c>
      <c r="AM88" s="991">
        <v>0.75</v>
      </c>
      <c r="AN88" s="991">
        <v>0.2</v>
      </c>
      <c r="AO88" s="21"/>
      <c r="AP88" s="12">
        <v>27</v>
      </c>
      <c r="AQ88" s="992">
        <v>0.4</v>
      </c>
      <c r="AR88" s="21"/>
      <c r="AS88" s="21"/>
      <c r="AT88" s="21"/>
      <c r="AU88" s="21"/>
      <c r="AV88" s="21"/>
      <c r="AW88" s="21"/>
      <c r="AX88" s="21"/>
      <c r="AY88" s="21"/>
      <c r="AZ88" s="21"/>
      <c r="BA88" s="21"/>
      <c r="BB88" s="21"/>
      <c r="BC88" s="21"/>
      <c r="BD88" s="21"/>
      <c r="BE88" s="21"/>
      <c r="BF88" s="21"/>
      <c r="BH88" s="20"/>
      <c r="BI88" s="20"/>
      <c r="BJ88" s="395"/>
      <c r="BK88"/>
      <c r="BL88"/>
      <c r="BM88"/>
      <c r="BN88"/>
      <c r="BO88"/>
      <c r="BP88"/>
      <c r="BQ88" s="553">
        <f t="shared" si="24"/>
        <v>39114</v>
      </c>
      <c r="BR88" s="716">
        <v>3.0569999999999999</v>
      </c>
      <c r="BS88" s="716">
        <v>3.0620000000000003</v>
      </c>
      <c r="BT88" s="716">
        <v>3.0670000000000002</v>
      </c>
      <c r="BU88" s="717">
        <v>0.15</v>
      </c>
      <c r="BV88" s="717">
        <v>0.1575</v>
      </c>
      <c r="BW88" s="717">
        <v>0.16500000000000001</v>
      </c>
      <c r="BX88" s="717">
        <f t="shared" si="30"/>
        <v>-7.0000000000000007E-2</v>
      </c>
      <c r="BY88" s="717"/>
      <c r="BZ88" s="717">
        <f t="shared" si="31"/>
        <v>7.0000000000000007E-2</v>
      </c>
      <c r="CA88" s="756">
        <f t="shared" si="17"/>
        <v>0</v>
      </c>
      <c r="CB88" s="716">
        <f t="shared" si="32"/>
        <v>0</v>
      </c>
      <c r="CC88" s="789">
        <f t="shared" si="33"/>
        <v>3.0569999999999999</v>
      </c>
      <c r="CD88" s="793">
        <f t="shared" si="34"/>
        <v>0.16500000000000001</v>
      </c>
    </row>
    <row r="89" spans="1:82" ht="13.8" x14ac:dyDescent="0.3">
      <c r="A89" s="553">
        <f t="shared" si="23"/>
        <v>39234</v>
      </c>
      <c r="B89" s="717">
        <v>7.3708626692417997E-2</v>
      </c>
      <c r="C89" s="399"/>
      <c r="D89" s="989">
        <v>38078</v>
      </c>
      <c r="E89" s="990">
        <v>31.25</v>
      </c>
      <c r="F89" s="990">
        <v>31.65</v>
      </c>
      <c r="G89" s="990">
        <v>32.049999999999997</v>
      </c>
      <c r="H89" s="977"/>
      <c r="I89" s="990">
        <v>19.399997711181641</v>
      </c>
      <c r="J89" s="990">
        <v>19.59999771118164</v>
      </c>
      <c r="K89" s="990">
        <v>19.799997711181639</v>
      </c>
      <c r="L89" s="12"/>
      <c r="M89" s="1004">
        <v>38961</v>
      </c>
      <c r="N89" s="991">
        <v>22.604999160766599</v>
      </c>
      <c r="O89" s="991">
        <v>23.504999160766598</v>
      </c>
      <c r="P89" s="991">
        <v>24.404999160766597</v>
      </c>
      <c r="Q89" s="21"/>
      <c r="R89" s="991">
        <v>20.7</v>
      </c>
      <c r="S89" s="991">
        <v>24</v>
      </c>
      <c r="T89" s="991">
        <v>27.3</v>
      </c>
      <c r="U89" s="21"/>
      <c r="V89" s="991">
        <v>0.8</v>
      </c>
      <c r="W89" s="991">
        <v>0.8</v>
      </c>
      <c r="X89" s="991">
        <v>0.8</v>
      </c>
      <c r="Y89" s="21"/>
      <c r="Z89" s="991">
        <v>0.10219711732031246</v>
      </c>
      <c r="AA89" s="991">
        <v>0.20439423464062492</v>
      </c>
      <c r="AB89" s="991">
        <v>0.3065913519609374</v>
      </c>
      <c r="AC89" s="21"/>
      <c r="AD89" s="991">
        <v>3.5433695234559991E-2</v>
      </c>
      <c r="AE89" s="991">
        <v>7.0867390469119981E-2</v>
      </c>
      <c r="AF89" s="991">
        <v>0.10630108570367997</v>
      </c>
      <c r="AG89" s="21"/>
      <c r="AH89" s="991">
        <v>-0.35</v>
      </c>
      <c r="AI89" s="991">
        <v>1.5</v>
      </c>
      <c r="AJ89" s="991">
        <v>0.3</v>
      </c>
      <c r="AK89" s="21"/>
      <c r="AL89" s="991">
        <v>-0.15</v>
      </c>
      <c r="AM89" s="991">
        <v>0.4</v>
      </c>
      <c r="AN89" s="991">
        <v>0.2</v>
      </c>
      <c r="AO89" s="21"/>
      <c r="AP89" s="12">
        <v>27</v>
      </c>
      <c r="AQ89" s="992">
        <v>0.4</v>
      </c>
      <c r="AR89" s="21"/>
      <c r="AS89" s="21"/>
      <c r="AT89" s="21"/>
      <c r="AU89" s="21"/>
      <c r="AV89" s="21"/>
      <c r="AW89" s="21"/>
      <c r="AX89" s="21"/>
      <c r="AY89" s="21"/>
      <c r="AZ89" s="21"/>
      <c r="BA89" s="21"/>
      <c r="BB89" s="21"/>
      <c r="BC89" s="21"/>
      <c r="BD89" s="21"/>
      <c r="BE89" s="21"/>
      <c r="BF89" s="21"/>
      <c r="BH89" s="20"/>
      <c r="BI89" s="20"/>
      <c r="BJ89" s="395"/>
      <c r="BK89"/>
      <c r="BL89"/>
      <c r="BM89"/>
      <c r="BN89"/>
      <c r="BO89"/>
      <c r="BP89"/>
      <c r="BQ89" s="553">
        <f t="shared" si="24"/>
        <v>39142</v>
      </c>
      <c r="BR89" s="716">
        <v>2.9370000000000003</v>
      </c>
      <c r="BS89" s="716">
        <v>2.9420000000000002</v>
      </c>
      <c r="BT89" s="716">
        <v>2.9470000000000001</v>
      </c>
      <c r="BU89" s="717">
        <v>0.15</v>
      </c>
      <c r="BV89" s="717">
        <v>0.1575</v>
      </c>
      <c r="BW89" s="717">
        <v>0.16500000000000001</v>
      </c>
      <c r="BX89" s="717">
        <f t="shared" si="30"/>
        <v>-7.0000000000000007E-2</v>
      </c>
      <c r="BY89" s="717"/>
      <c r="BZ89" s="717">
        <f t="shared" si="31"/>
        <v>7.0000000000000007E-2</v>
      </c>
      <c r="CA89" s="756">
        <f t="shared" si="17"/>
        <v>0</v>
      </c>
      <c r="CB89" s="716">
        <f t="shared" si="32"/>
        <v>0</v>
      </c>
      <c r="CC89" s="789">
        <f t="shared" si="33"/>
        <v>2.9370000000000003</v>
      </c>
      <c r="CD89" s="793">
        <f t="shared" si="34"/>
        <v>0.16500000000000001</v>
      </c>
    </row>
    <row r="90" spans="1:82" ht="13.8" x14ac:dyDescent="0.3">
      <c r="A90" s="553">
        <f t="shared" si="23"/>
        <v>39264</v>
      </c>
      <c r="B90" s="717">
        <v>7.3723419068668999E-2</v>
      </c>
      <c r="C90" s="399"/>
      <c r="D90" s="989">
        <v>38108</v>
      </c>
      <c r="E90" s="990">
        <v>32.270000000000003</v>
      </c>
      <c r="F90" s="990">
        <v>33.65</v>
      </c>
      <c r="G90" s="990">
        <v>35.03</v>
      </c>
      <c r="H90" s="977"/>
      <c r="I90" s="990">
        <v>18.909997711181639</v>
      </c>
      <c r="J90" s="990">
        <v>19.59999771118164</v>
      </c>
      <c r="K90" s="990">
        <v>20.289997711181641</v>
      </c>
      <c r="L90" s="12"/>
      <c r="M90" s="1004">
        <v>38991</v>
      </c>
      <c r="N90" s="991">
        <v>22.813000106811518</v>
      </c>
      <c r="O90" s="991">
        <v>23.60050010681152</v>
      </c>
      <c r="P90" s="991">
        <v>24.388000106811521</v>
      </c>
      <c r="Q90" s="21"/>
      <c r="R90" s="991">
        <v>18.300999832153316</v>
      </c>
      <c r="S90" s="991">
        <v>21.600999832153317</v>
      </c>
      <c r="T90" s="991">
        <v>24.900999832153317</v>
      </c>
      <c r="U90" s="21"/>
      <c r="V90" s="991">
        <v>0.8</v>
      </c>
      <c r="W90" s="991">
        <v>0.8</v>
      </c>
      <c r="X90" s="991">
        <v>0.8</v>
      </c>
      <c r="Y90" s="21"/>
      <c r="Z90" s="991">
        <v>9.2969779640625E-2</v>
      </c>
      <c r="AA90" s="991">
        <v>0.18593955928125</v>
      </c>
      <c r="AB90" s="991">
        <v>0.27890933892187497</v>
      </c>
      <c r="AC90" s="21"/>
      <c r="AD90" s="991">
        <v>2.6575271425919995E-2</v>
      </c>
      <c r="AE90" s="991">
        <v>5.3150542851839989E-2</v>
      </c>
      <c r="AF90" s="991">
        <v>7.9725814277759988E-2</v>
      </c>
      <c r="AG90" s="21"/>
      <c r="AH90" s="991">
        <v>-0.25</v>
      </c>
      <c r="AI90" s="991">
        <v>1.1000000000000001</v>
      </c>
      <c r="AJ90" s="991">
        <v>0.3</v>
      </c>
      <c r="AK90" s="21"/>
      <c r="AL90" s="991">
        <v>-0.15</v>
      </c>
      <c r="AM90" s="991">
        <v>0.35</v>
      </c>
      <c r="AN90" s="991">
        <v>0.2</v>
      </c>
      <c r="AO90" s="21"/>
      <c r="AP90" s="12">
        <v>28</v>
      </c>
      <c r="AQ90" s="992">
        <v>0.4</v>
      </c>
      <c r="AR90" s="21"/>
      <c r="AS90" s="21"/>
      <c r="AT90" s="21"/>
      <c r="AU90" s="21"/>
      <c r="AV90" s="21"/>
      <c r="AW90" s="21"/>
      <c r="AX90" s="21"/>
      <c r="AY90" s="21"/>
      <c r="AZ90" s="21"/>
      <c r="BA90" s="21"/>
      <c r="BB90" s="21"/>
      <c r="BC90" s="21"/>
      <c r="BD90" s="21"/>
      <c r="BE90" s="21"/>
      <c r="BF90" s="21"/>
      <c r="BH90" s="20"/>
      <c r="BI90" s="20"/>
      <c r="BJ90" s="395"/>
      <c r="BK90"/>
      <c r="BL90"/>
      <c r="BM90"/>
      <c r="BN90"/>
      <c r="BO90"/>
      <c r="BP90"/>
      <c r="BQ90" s="553">
        <f t="shared" si="24"/>
        <v>39173</v>
      </c>
      <c r="BR90" s="716">
        <v>2.8875000000000002</v>
      </c>
      <c r="BS90" s="716">
        <v>2.8925000000000001</v>
      </c>
      <c r="BT90" s="716">
        <v>2.8975</v>
      </c>
      <c r="BU90" s="717">
        <v>0.15</v>
      </c>
      <c r="BV90" s="717">
        <v>0.1575</v>
      </c>
      <c r="BW90" s="717">
        <v>0.16500000000000001</v>
      </c>
      <c r="BX90" s="717">
        <f t="shared" si="30"/>
        <v>-7.0000000000000007E-2</v>
      </c>
      <c r="BY90" s="717"/>
      <c r="BZ90" s="717">
        <f t="shared" si="31"/>
        <v>7.0000000000000007E-2</v>
      </c>
      <c r="CA90" s="756">
        <f t="shared" si="17"/>
        <v>0</v>
      </c>
      <c r="CB90" s="716">
        <f t="shared" si="32"/>
        <v>0</v>
      </c>
      <c r="CC90" s="789">
        <f t="shared" si="33"/>
        <v>2.8875000000000002</v>
      </c>
      <c r="CD90" s="793">
        <f t="shared" si="34"/>
        <v>0.16500000000000001</v>
      </c>
    </row>
    <row r="91" spans="1:82" ht="13.8" x14ac:dyDescent="0.3">
      <c r="A91" s="553">
        <f t="shared" si="23"/>
        <v>39295</v>
      </c>
      <c r="B91" s="717">
        <v>7.3738704524204002E-2</v>
      </c>
      <c r="C91" s="399"/>
      <c r="D91" s="989">
        <v>38139</v>
      </c>
      <c r="E91" s="990">
        <v>44.75</v>
      </c>
      <c r="F91" s="990">
        <v>48.75</v>
      </c>
      <c r="G91" s="990">
        <v>52.75</v>
      </c>
      <c r="H91" s="977"/>
      <c r="I91" s="990">
        <v>17.554998779296874</v>
      </c>
      <c r="J91" s="990">
        <v>19.554998779296874</v>
      </c>
      <c r="K91" s="990">
        <v>21.554998779296874</v>
      </c>
      <c r="L91" s="12"/>
      <c r="M91" s="1004">
        <v>39022</v>
      </c>
      <c r="N91" s="991">
        <v>23.817251586914058</v>
      </c>
      <c r="O91" s="991">
        <v>24.604751586914059</v>
      </c>
      <c r="P91" s="991">
        <v>25.39225158691406</v>
      </c>
      <c r="Q91" s="21"/>
      <c r="R91" s="991">
        <v>19.304499816894527</v>
      </c>
      <c r="S91" s="991">
        <v>22.604499816894528</v>
      </c>
      <c r="T91" s="991">
        <v>25.904499816894528</v>
      </c>
      <c r="U91" s="21"/>
      <c r="V91" s="991">
        <v>0.8</v>
      </c>
      <c r="W91" s="991">
        <v>0.8</v>
      </c>
      <c r="X91" s="991">
        <v>0.8</v>
      </c>
      <c r="Y91" s="21"/>
      <c r="Z91" s="991">
        <v>9.2969779640625E-2</v>
      </c>
      <c r="AA91" s="991">
        <v>0.18593955928125</v>
      </c>
      <c r="AB91" s="991">
        <v>0.27890933892187497</v>
      </c>
      <c r="AC91" s="21"/>
      <c r="AD91" s="991">
        <v>2.6575271425919995E-2</v>
      </c>
      <c r="AE91" s="991">
        <v>5.3150542851839989E-2</v>
      </c>
      <c r="AF91" s="991">
        <v>7.9725814277759988E-2</v>
      </c>
      <c r="AG91" s="21"/>
      <c r="AH91" s="991">
        <v>-0.25</v>
      </c>
      <c r="AI91" s="991">
        <v>1.25</v>
      </c>
      <c r="AJ91" s="991">
        <v>0.3</v>
      </c>
      <c r="AK91" s="21"/>
      <c r="AL91" s="991">
        <v>-0.15</v>
      </c>
      <c r="AM91" s="991">
        <v>0.3</v>
      </c>
      <c r="AN91" s="991">
        <v>0.2</v>
      </c>
      <c r="AO91" s="21"/>
      <c r="AP91" s="12">
        <v>28</v>
      </c>
      <c r="AQ91" s="992">
        <v>0.4</v>
      </c>
      <c r="AR91" s="21"/>
      <c r="AS91" s="21"/>
      <c r="AT91" s="21"/>
      <c r="AU91" s="21"/>
      <c r="AV91" s="21"/>
      <c r="AW91" s="21"/>
      <c r="AX91" s="21"/>
      <c r="AY91" s="21"/>
      <c r="AZ91" s="21"/>
      <c r="BA91" s="21"/>
      <c r="BB91" s="21"/>
      <c r="BC91" s="21"/>
      <c r="BD91" s="21"/>
      <c r="BE91" s="21"/>
      <c r="BF91" s="21"/>
      <c r="BH91" s="20"/>
      <c r="BI91" s="20"/>
      <c r="BJ91" s="395"/>
      <c r="BK91"/>
      <c r="BL91"/>
      <c r="BM91"/>
      <c r="BN91"/>
      <c r="BO91"/>
      <c r="BP91"/>
      <c r="BQ91" s="553">
        <f t="shared" si="24"/>
        <v>39203</v>
      </c>
      <c r="BR91" s="716">
        <v>2.8614999999999999</v>
      </c>
      <c r="BS91" s="716">
        <v>2.8665000000000003</v>
      </c>
      <c r="BT91" s="716">
        <v>2.8715000000000002</v>
      </c>
      <c r="BU91" s="717">
        <v>0.15</v>
      </c>
      <c r="BV91" s="717">
        <v>0.1575</v>
      </c>
      <c r="BW91" s="717">
        <v>0.16500000000000001</v>
      </c>
      <c r="BX91" s="717">
        <f t="shared" si="30"/>
        <v>-7.0000000000000007E-2</v>
      </c>
      <c r="BY91" s="717"/>
      <c r="BZ91" s="717">
        <f t="shared" si="31"/>
        <v>7.0000000000000007E-2</v>
      </c>
      <c r="CA91" s="756">
        <f t="shared" si="17"/>
        <v>0</v>
      </c>
      <c r="CB91" s="716">
        <f t="shared" si="32"/>
        <v>0</v>
      </c>
      <c r="CC91" s="789">
        <f t="shared" si="33"/>
        <v>2.8614999999999999</v>
      </c>
      <c r="CD91" s="793">
        <f t="shared" si="34"/>
        <v>0.16500000000000001</v>
      </c>
    </row>
    <row r="92" spans="1:82" ht="13.8" x14ac:dyDescent="0.3">
      <c r="A92" s="553">
        <f t="shared" si="23"/>
        <v>39326</v>
      </c>
      <c r="B92" s="717">
        <v>7.3753989979814999E-2</v>
      </c>
      <c r="C92" s="399"/>
      <c r="D92" s="989">
        <v>38169</v>
      </c>
      <c r="E92" s="990">
        <v>65.5</v>
      </c>
      <c r="F92" s="990">
        <v>69.5</v>
      </c>
      <c r="G92" s="990">
        <v>73.5</v>
      </c>
      <c r="H92" s="977"/>
      <c r="I92" s="990">
        <v>22.049997711181639</v>
      </c>
      <c r="J92" s="990">
        <v>24.049997711181639</v>
      </c>
      <c r="K92" s="990">
        <v>26.049997711181639</v>
      </c>
      <c r="L92" s="12"/>
      <c r="M92" s="1004">
        <v>39052</v>
      </c>
      <c r="N92" s="991">
        <v>25.267498397827143</v>
      </c>
      <c r="O92" s="991">
        <v>26.054998397827145</v>
      </c>
      <c r="P92" s="991">
        <v>26.842498397827146</v>
      </c>
      <c r="Q92" s="21"/>
      <c r="R92" s="991">
        <v>19.249999237060543</v>
      </c>
      <c r="S92" s="991">
        <v>22.549999237060543</v>
      </c>
      <c r="T92" s="991">
        <v>25.849999237060544</v>
      </c>
      <c r="U92" s="21"/>
      <c r="V92" s="991">
        <v>0.8</v>
      </c>
      <c r="W92" s="991">
        <v>0.8</v>
      </c>
      <c r="X92" s="991">
        <v>0.8</v>
      </c>
      <c r="Y92" s="21"/>
      <c r="Z92" s="991">
        <v>9.6312513290624985E-2</v>
      </c>
      <c r="AA92" s="991">
        <v>0.19262502658124997</v>
      </c>
      <c r="AB92" s="991">
        <v>0.28893753987187498</v>
      </c>
      <c r="AC92" s="21"/>
      <c r="AD92" s="991">
        <v>2.6575271425919995E-2</v>
      </c>
      <c r="AE92" s="991">
        <v>5.3150542851839989E-2</v>
      </c>
      <c r="AF92" s="991">
        <v>7.9725814277759988E-2</v>
      </c>
      <c r="AG92" s="21"/>
      <c r="AH92" s="991">
        <v>-0.25</v>
      </c>
      <c r="AI92" s="991">
        <v>1.25</v>
      </c>
      <c r="AJ92" s="991">
        <v>0.35</v>
      </c>
      <c r="AK92" s="21"/>
      <c r="AL92" s="991">
        <v>-0.15</v>
      </c>
      <c r="AM92" s="991">
        <v>0.3</v>
      </c>
      <c r="AN92" s="991">
        <v>0.2</v>
      </c>
      <c r="AO92" s="21"/>
      <c r="AP92" s="12">
        <v>28</v>
      </c>
      <c r="AQ92" s="992">
        <v>0.4</v>
      </c>
      <c r="AR92" s="21"/>
      <c r="AS92" s="21"/>
      <c r="AT92" s="21"/>
      <c r="AU92" s="21"/>
      <c r="AV92" s="21"/>
      <c r="AW92" s="21"/>
      <c r="AX92" s="21"/>
      <c r="AY92" s="21"/>
      <c r="AZ92" s="21"/>
      <c r="BA92" s="21"/>
      <c r="BB92" s="21"/>
      <c r="BC92" s="21"/>
      <c r="BD92" s="21"/>
      <c r="BE92" s="21"/>
      <c r="BF92" s="21"/>
      <c r="BH92" s="20"/>
      <c r="BI92" s="20"/>
      <c r="BJ92" s="395"/>
      <c r="BK92"/>
      <c r="BL92"/>
      <c r="BM92"/>
      <c r="BN92"/>
      <c r="BO92"/>
      <c r="BP92"/>
      <c r="BQ92" s="553">
        <f t="shared" si="24"/>
        <v>39234</v>
      </c>
      <c r="BR92" s="716">
        <v>2.8675000000000002</v>
      </c>
      <c r="BS92" s="716">
        <v>2.8725000000000001</v>
      </c>
      <c r="BT92" s="716">
        <v>2.8774999999999999</v>
      </c>
      <c r="BU92" s="717">
        <v>0.15</v>
      </c>
      <c r="BV92" s="717">
        <v>0.1575</v>
      </c>
      <c r="BW92" s="717">
        <v>0.16500000000000001</v>
      </c>
      <c r="BX92" s="717">
        <f t="shared" si="30"/>
        <v>-7.0000000000000007E-2</v>
      </c>
      <c r="BY92" s="717"/>
      <c r="BZ92" s="717">
        <f t="shared" si="31"/>
        <v>7.0000000000000007E-2</v>
      </c>
      <c r="CA92" s="756">
        <f t="shared" si="17"/>
        <v>0</v>
      </c>
      <c r="CB92" s="716">
        <f t="shared" si="32"/>
        <v>0</v>
      </c>
      <c r="CC92" s="789">
        <f t="shared" si="33"/>
        <v>2.8675000000000002</v>
      </c>
      <c r="CD92" s="793">
        <f t="shared" si="34"/>
        <v>0.16500000000000001</v>
      </c>
    </row>
    <row r="93" spans="1:82" ht="13.8" x14ac:dyDescent="0.3">
      <c r="A93" s="553">
        <f t="shared" si="23"/>
        <v>39356</v>
      </c>
      <c r="B93" s="717">
        <v>7.3768782356288004E-2</v>
      </c>
      <c r="C93" s="399"/>
      <c r="D93" s="989">
        <v>38200</v>
      </c>
      <c r="E93" s="990">
        <v>61</v>
      </c>
      <c r="F93" s="990">
        <v>65</v>
      </c>
      <c r="G93" s="990">
        <v>69</v>
      </c>
      <c r="H93" s="977"/>
      <c r="I93" s="990">
        <v>22.399998092651366</v>
      </c>
      <c r="J93" s="990">
        <v>24.399998092651366</v>
      </c>
      <c r="K93" s="990">
        <v>26.399998092651366</v>
      </c>
      <c r="L93" s="12"/>
      <c r="M93" s="1004">
        <v>39083</v>
      </c>
      <c r="N93" s="991">
        <v>28.548748779296872</v>
      </c>
      <c r="O93" s="991">
        <v>29.448748779296871</v>
      </c>
      <c r="P93" s="991">
        <v>30.348748779296869</v>
      </c>
      <c r="Q93" s="21"/>
      <c r="R93" s="991">
        <v>24.652500534057612</v>
      </c>
      <c r="S93" s="991">
        <v>27.952500534057613</v>
      </c>
      <c r="T93" s="991">
        <v>31.252500534057614</v>
      </c>
      <c r="U93" s="21"/>
      <c r="V93" s="991">
        <v>0.8</v>
      </c>
      <c r="W93" s="991">
        <v>0.8</v>
      </c>
      <c r="X93" s="991">
        <v>0.8</v>
      </c>
      <c r="Y93" s="21"/>
      <c r="Z93" s="991">
        <v>0.10401550252343748</v>
      </c>
      <c r="AA93" s="991">
        <v>0.20803100504687497</v>
      </c>
      <c r="AB93" s="991">
        <v>0.31204650757031244</v>
      </c>
      <c r="AC93" s="21"/>
      <c r="AD93" s="991">
        <v>3.0384393663635205E-2</v>
      </c>
      <c r="AE93" s="991">
        <v>6.076878732727041E-2</v>
      </c>
      <c r="AF93" s="991">
        <v>9.1153180990905608E-2</v>
      </c>
      <c r="AG93" s="21"/>
      <c r="AH93" s="991">
        <v>-0.75</v>
      </c>
      <c r="AI93" s="991">
        <v>2</v>
      </c>
      <c r="AJ93" s="991">
        <v>0.75</v>
      </c>
      <c r="AK93" s="21"/>
      <c r="AL93" s="991">
        <v>-0.15</v>
      </c>
      <c r="AM93" s="991">
        <v>0.5</v>
      </c>
      <c r="AN93" s="991">
        <v>0.2</v>
      </c>
      <c r="AO93" s="21"/>
      <c r="AP93" s="12">
        <v>29</v>
      </c>
      <c r="AQ93" s="992">
        <v>0.4</v>
      </c>
      <c r="AR93" s="21"/>
      <c r="AS93" s="21"/>
      <c r="AT93" s="21"/>
      <c r="AU93" s="21"/>
      <c r="AV93" s="21"/>
      <c r="AW93" s="21"/>
      <c r="AX93" s="21"/>
      <c r="AY93" s="21"/>
      <c r="AZ93" s="21"/>
      <c r="BA93" s="21"/>
      <c r="BB93" s="21"/>
      <c r="BC93" s="21"/>
      <c r="BD93" s="21"/>
      <c r="BE93" s="21"/>
      <c r="BF93" s="21"/>
      <c r="BH93" s="20"/>
      <c r="BI93" s="20"/>
      <c r="BJ93" s="395"/>
      <c r="BK93"/>
      <c r="BL93"/>
      <c r="BM93"/>
      <c r="BN93"/>
      <c r="BO93"/>
      <c r="BP93"/>
      <c r="BQ93" s="553">
        <f t="shared" si="24"/>
        <v>39264</v>
      </c>
      <c r="BR93" s="716">
        <v>2.8774999999999999</v>
      </c>
      <c r="BS93" s="716">
        <v>2.8824999999999998</v>
      </c>
      <c r="BT93" s="716">
        <v>2.8875000000000002</v>
      </c>
      <c r="BU93" s="717">
        <v>0.15</v>
      </c>
      <c r="BV93" s="717">
        <v>0.1575</v>
      </c>
      <c r="BW93" s="717">
        <v>0.16500000000000001</v>
      </c>
      <c r="BX93" s="717">
        <f t="shared" si="30"/>
        <v>-7.0000000000000007E-2</v>
      </c>
      <c r="BY93" s="717"/>
      <c r="BZ93" s="717">
        <f t="shared" si="31"/>
        <v>7.0000000000000007E-2</v>
      </c>
      <c r="CA93" s="756">
        <f t="shared" si="17"/>
        <v>0</v>
      </c>
      <c r="CB93" s="716">
        <f t="shared" si="32"/>
        <v>0</v>
      </c>
      <c r="CC93" s="789">
        <f t="shared" si="33"/>
        <v>2.8774999999999999</v>
      </c>
      <c r="CD93" s="793">
        <f t="shared" si="34"/>
        <v>0.16500000000000001</v>
      </c>
    </row>
    <row r="94" spans="1:82" ht="13.8" x14ac:dyDescent="0.3">
      <c r="A94" s="553">
        <f t="shared" si="23"/>
        <v>39387</v>
      </c>
      <c r="B94" s="717">
        <v>7.3784067812051005E-2</v>
      </c>
      <c r="C94" s="399"/>
      <c r="D94" s="989">
        <v>38231</v>
      </c>
      <c r="E94" s="990">
        <v>31.65</v>
      </c>
      <c r="F94" s="990">
        <v>32.65</v>
      </c>
      <c r="G94" s="990">
        <v>33.65</v>
      </c>
      <c r="H94" s="977"/>
      <c r="I94" s="990">
        <v>19.449998092651366</v>
      </c>
      <c r="J94" s="990">
        <v>19.949998092651366</v>
      </c>
      <c r="K94" s="990">
        <v>20.449998092651366</v>
      </c>
      <c r="L94" s="12"/>
      <c r="M94" s="1004">
        <v>39114</v>
      </c>
      <c r="N94" s="991">
        <v>27.546250152587888</v>
      </c>
      <c r="O94" s="991">
        <v>28.446250152587886</v>
      </c>
      <c r="P94" s="991">
        <v>29.346250152587885</v>
      </c>
      <c r="Q94" s="21"/>
      <c r="R94" s="991">
        <v>22.647499465942378</v>
      </c>
      <c r="S94" s="991">
        <v>25.947499465942379</v>
      </c>
      <c r="T94" s="991">
        <v>29.247499465942379</v>
      </c>
      <c r="U94" s="21"/>
      <c r="V94" s="991">
        <v>0.3</v>
      </c>
      <c r="W94" s="991">
        <v>0.3</v>
      </c>
      <c r="X94" s="991">
        <v>0.3</v>
      </c>
      <c r="Y94" s="21"/>
      <c r="Z94" s="991">
        <v>0.10034004307031248</v>
      </c>
      <c r="AA94" s="991">
        <v>0.20068008614062496</v>
      </c>
      <c r="AB94" s="991">
        <v>0.30102012921093746</v>
      </c>
      <c r="AC94" s="21"/>
      <c r="AD94" s="991">
        <v>3.0384393663635205E-2</v>
      </c>
      <c r="AE94" s="991">
        <v>6.076878732727041E-2</v>
      </c>
      <c r="AF94" s="991">
        <v>9.1153180990905608E-2</v>
      </c>
      <c r="AG94" s="21"/>
      <c r="AH94" s="991">
        <v>-0.75</v>
      </c>
      <c r="AI94" s="991">
        <v>2</v>
      </c>
      <c r="AJ94" s="991">
        <v>0.75</v>
      </c>
      <c r="AK94" s="21"/>
      <c r="AL94" s="991">
        <v>-0.15</v>
      </c>
      <c r="AM94" s="991">
        <v>0.5</v>
      </c>
      <c r="AN94" s="991">
        <v>0.2</v>
      </c>
      <c r="AO94" s="21"/>
      <c r="AP94" s="12">
        <v>29</v>
      </c>
      <c r="AQ94" s="992">
        <v>0.4</v>
      </c>
      <c r="AR94" s="21"/>
      <c r="AS94" s="21"/>
      <c r="AT94" s="21"/>
      <c r="AU94" s="21"/>
      <c r="AV94" s="21"/>
      <c r="AW94" s="21"/>
      <c r="AX94" s="21"/>
      <c r="AY94" s="21"/>
      <c r="AZ94" s="21"/>
      <c r="BA94" s="21"/>
      <c r="BB94" s="21"/>
      <c r="BC94" s="21"/>
      <c r="BD94" s="21"/>
      <c r="BE94" s="21"/>
      <c r="BF94" s="21"/>
      <c r="BH94" s="20"/>
      <c r="BI94" s="20"/>
      <c r="BJ94" s="395"/>
      <c r="BK94"/>
      <c r="BL94"/>
      <c r="BM94"/>
      <c r="BN94"/>
      <c r="BO94"/>
      <c r="BP94"/>
      <c r="BQ94" s="553">
        <f t="shared" si="24"/>
        <v>39295</v>
      </c>
      <c r="BR94" s="716">
        <v>2.8845000000000001</v>
      </c>
      <c r="BS94" s="716">
        <v>2.8895</v>
      </c>
      <c r="BT94" s="716">
        <v>2.8945000000000003</v>
      </c>
      <c r="BU94" s="717">
        <v>0.15</v>
      </c>
      <c r="BV94" s="717">
        <v>0.1575</v>
      </c>
      <c r="BW94" s="717">
        <v>0.16500000000000001</v>
      </c>
      <c r="BX94" s="717">
        <f t="shared" si="30"/>
        <v>-7.0000000000000007E-2</v>
      </c>
      <c r="BY94" s="717"/>
      <c r="BZ94" s="717">
        <f t="shared" si="31"/>
        <v>7.0000000000000007E-2</v>
      </c>
      <c r="CA94" s="756">
        <f t="shared" si="17"/>
        <v>0</v>
      </c>
      <c r="CB94" s="716">
        <f t="shared" si="32"/>
        <v>0</v>
      </c>
      <c r="CC94" s="789">
        <f t="shared" si="33"/>
        <v>2.8845000000000001</v>
      </c>
      <c r="CD94" s="793">
        <f t="shared" si="34"/>
        <v>0.16500000000000001</v>
      </c>
    </row>
    <row r="95" spans="1:82" ht="13.8" x14ac:dyDescent="0.3">
      <c r="A95" s="553">
        <f t="shared" si="23"/>
        <v>39417</v>
      </c>
      <c r="B95" s="717">
        <v>7.3798860188670004E-2</v>
      </c>
      <c r="C95" s="399"/>
      <c r="D95" s="989">
        <v>38261</v>
      </c>
      <c r="E95" s="990">
        <v>29.55</v>
      </c>
      <c r="F95" s="990">
        <v>30.4</v>
      </c>
      <c r="G95" s="990">
        <v>31.25</v>
      </c>
      <c r="H95" s="977"/>
      <c r="I95" s="990">
        <v>19.224998855590819</v>
      </c>
      <c r="J95" s="990">
        <v>19.64999885559082</v>
      </c>
      <c r="K95" s="990">
        <v>20.07499885559082</v>
      </c>
      <c r="L95" s="12"/>
      <c r="M95" s="1004">
        <v>39142</v>
      </c>
      <c r="N95" s="991">
        <v>21.109749603271482</v>
      </c>
      <c r="O95" s="991">
        <v>21.63474960327148</v>
      </c>
      <c r="P95" s="991">
        <v>22.159749603271479</v>
      </c>
      <c r="Q95" s="21"/>
      <c r="R95" s="991">
        <v>17.964498901367183</v>
      </c>
      <c r="S95" s="991">
        <v>21.264498901367183</v>
      </c>
      <c r="T95" s="991">
        <v>24.564498901367184</v>
      </c>
      <c r="U95" s="21"/>
      <c r="V95" s="991">
        <v>0.3</v>
      </c>
      <c r="W95" s="991">
        <v>0.3</v>
      </c>
      <c r="X95" s="991">
        <v>0.3</v>
      </c>
      <c r="Y95" s="21"/>
      <c r="Z95" s="991">
        <v>9.766614631816406E-2</v>
      </c>
      <c r="AA95" s="991">
        <v>0.19533229263632812</v>
      </c>
      <c r="AB95" s="991">
        <v>0.29299843895449218</v>
      </c>
      <c r="AC95" s="21"/>
      <c r="AD95" s="991">
        <v>2.6043765997401595E-2</v>
      </c>
      <c r="AE95" s="991">
        <v>5.2087531994803191E-2</v>
      </c>
      <c r="AF95" s="991">
        <v>7.8131297992204779E-2</v>
      </c>
      <c r="AG95" s="21"/>
      <c r="AH95" s="991">
        <v>-0.25</v>
      </c>
      <c r="AI95" s="991">
        <v>1.3</v>
      </c>
      <c r="AJ95" s="991">
        <v>0.3</v>
      </c>
      <c r="AK95" s="21"/>
      <c r="AL95" s="991">
        <v>-0.15</v>
      </c>
      <c r="AM95" s="991">
        <v>0.35</v>
      </c>
      <c r="AN95" s="991">
        <v>0.2</v>
      </c>
      <c r="AO95" s="21"/>
      <c r="AP95" s="12">
        <v>29</v>
      </c>
      <c r="AQ95" s="992">
        <v>0.4</v>
      </c>
      <c r="AR95" s="21"/>
      <c r="AS95" s="21"/>
      <c r="AT95" s="21"/>
      <c r="AU95" s="21"/>
      <c r="AV95" s="21"/>
      <c r="AW95" s="21"/>
      <c r="AX95" s="21"/>
      <c r="AY95" s="21"/>
      <c r="AZ95" s="21"/>
      <c r="BA95" s="21"/>
      <c r="BB95" s="21"/>
      <c r="BC95" s="21"/>
      <c r="BD95" s="21"/>
      <c r="BE95" s="21"/>
      <c r="BF95" s="21"/>
      <c r="BH95" s="20"/>
      <c r="BI95" s="20"/>
      <c r="BJ95" s="395"/>
      <c r="BK95"/>
      <c r="BL95"/>
      <c r="BM95"/>
      <c r="BN95"/>
      <c r="BO95"/>
      <c r="BP95"/>
      <c r="BQ95" s="553">
        <f t="shared" si="24"/>
        <v>39326</v>
      </c>
      <c r="BR95" s="716">
        <v>2.8915000000000002</v>
      </c>
      <c r="BS95" s="716">
        <v>2.8965000000000001</v>
      </c>
      <c r="BT95" s="716">
        <v>2.9015</v>
      </c>
      <c r="BU95" s="717">
        <v>0.15</v>
      </c>
      <c r="BV95" s="717">
        <v>0.1575</v>
      </c>
      <c r="BW95" s="717">
        <v>0.16500000000000001</v>
      </c>
      <c r="BX95" s="717">
        <f t="shared" si="30"/>
        <v>-7.0000000000000007E-2</v>
      </c>
      <c r="BY95" s="717"/>
      <c r="BZ95" s="717">
        <f t="shared" si="31"/>
        <v>7.0000000000000007E-2</v>
      </c>
      <c r="CA95" s="756">
        <f t="shared" si="17"/>
        <v>0</v>
      </c>
      <c r="CB95" s="716">
        <f t="shared" si="32"/>
        <v>0</v>
      </c>
      <c r="CC95" s="789">
        <f t="shared" si="33"/>
        <v>2.8915000000000002</v>
      </c>
      <c r="CD95" s="793">
        <f t="shared" si="34"/>
        <v>0.16500000000000001</v>
      </c>
    </row>
    <row r="96" spans="1:82" ht="13.8" x14ac:dyDescent="0.3">
      <c r="A96" s="553">
        <f t="shared" si="23"/>
        <v>39448</v>
      </c>
      <c r="B96" s="717">
        <v>7.3814145644586007E-2</v>
      </c>
      <c r="C96" s="399"/>
      <c r="D96" s="989">
        <v>38292</v>
      </c>
      <c r="E96" s="990">
        <v>29.925000000000001</v>
      </c>
      <c r="F96" s="990">
        <v>30.774999999999999</v>
      </c>
      <c r="G96" s="990">
        <v>31.625</v>
      </c>
      <c r="H96" s="977"/>
      <c r="I96" s="990">
        <v>19.149998092651366</v>
      </c>
      <c r="J96" s="990">
        <v>19.574998092651366</v>
      </c>
      <c r="K96" s="990">
        <v>19.999998092651367</v>
      </c>
      <c r="L96" s="12"/>
      <c r="M96" s="1004">
        <v>39173</v>
      </c>
      <c r="N96" s="991">
        <v>21.905000305175776</v>
      </c>
      <c r="O96" s="991">
        <v>22.317500305175777</v>
      </c>
      <c r="P96" s="991">
        <v>22.730000305175778</v>
      </c>
      <c r="Q96" s="21"/>
      <c r="R96" s="991">
        <v>17.734999084472651</v>
      </c>
      <c r="S96" s="991">
        <v>21.034999084472652</v>
      </c>
      <c r="T96" s="991">
        <v>24.334999084472653</v>
      </c>
      <c r="U96" s="21"/>
      <c r="V96" s="991">
        <v>0.3</v>
      </c>
      <c r="W96" s="991">
        <v>0.3</v>
      </c>
      <c r="X96" s="991">
        <v>0.3</v>
      </c>
      <c r="Y96" s="21"/>
      <c r="Z96" s="991">
        <v>8.7163520930859356E-2</v>
      </c>
      <c r="AA96" s="991">
        <v>0.17432704186171871</v>
      </c>
      <c r="AB96" s="991">
        <v>0.2614905627925781</v>
      </c>
      <c r="AC96" s="21"/>
      <c r="AD96" s="991">
        <v>2.6043765997401595E-2</v>
      </c>
      <c r="AE96" s="991">
        <v>5.2087531994803191E-2</v>
      </c>
      <c r="AF96" s="991">
        <v>7.8131297992204779E-2</v>
      </c>
      <c r="AG96" s="21"/>
      <c r="AH96" s="991">
        <v>-0.25</v>
      </c>
      <c r="AI96" s="991">
        <v>1.1000000000000001</v>
      </c>
      <c r="AJ96" s="991">
        <v>0.3</v>
      </c>
      <c r="AK96" s="21"/>
      <c r="AL96" s="991">
        <v>-0.15</v>
      </c>
      <c r="AM96" s="991">
        <v>0.35</v>
      </c>
      <c r="AN96" s="991">
        <v>0.2</v>
      </c>
      <c r="AO96" s="21"/>
      <c r="AP96" s="12">
        <v>30</v>
      </c>
      <c r="AQ96" s="992">
        <v>0.4</v>
      </c>
      <c r="AR96" s="21"/>
      <c r="AS96" s="21"/>
      <c r="AT96" s="21"/>
      <c r="AU96" s="21"/>
      <c r="AV96" s="21"/>
      <c r="AW96" s="21"/>
      <c r="AX96" s="21"/>
      <c r="AY96" s="21"/>
      <c r="AZ96" s="21"/>
      <c r="BA96" s="21"/>
      <c r="BB96" s="21"/>
      <c r="BC96" s="21"/>
      <c r="BD96" s="21"/>
      <c r="BE96" s="21"/>
      <c r="BF96" s="21"/>
      <c r="BH96" s="20"/>
      <c r="BI96" s="20"/>
      <c r="BJ96" s="395"/>
      <c r="BK96"/>
      <c r="BL96"/>
      <c r="BM96"/>
      <c r="BN96"/>
      <c r="BO96"/>
      <c r="BP96"/>
      <c r="BQ96" s="553">
        <f t="shared" si="24"/>
        <v>39356</v>
      </c>
      <c r="BR96" s="716">
        <v>2.9175</v>
      </c>
      <c r="BS96" s="716">
        <v>2.9224999999999999</v>
      </c>
      <c r="BT96" s="716">
        <v>2.9275000000000002</v>
      </c>
      <c r="BU96" s="717">
        <v>0.15</v>
      </c>
      <c r="BV96" s="717">
        <v>0.1575</v>
      </c>
      <c r="BW96" s="717">
        <v>0.16500000000000001</v>
      </c>
      <c r="BX96" s="717">
        <f t="shared" si="30"/>
        <v>-7.0000000000000007E-2</v>
      </c>
      <c r="BY96" s="717"/>
      <c r="BZ96" s="717">
        <f t="shared" si="31"/>
        <v>7.0000000000000007E-2</v>
      </c>
      <c r="CA96" s="756">
        <f t="shared" si="17"/>
        <v>0</v>
      </c>
      <c r="CB96" s="716">
        <f t="shared" si="32"/>
        <v>0</v>
      </c>
      <c r="CC96" s="789">
        <f t="shared" si="33"/>
        <v>2.9175</v>
      </c>
      <c r="CD96" s="793">
        <f t="shared" si="34"/>
        <v>0.16500000000000001</v>
      </c>
    </row>
    <row r="97" spans="1:82" ht="13.8" x14ac:dyDescent="0.3">
      <c r="A97" s="553">
        <f t="shared" si="23"/>
        <v>39479</v>
      </c>
      <c r="B97" s="717">
        <v>7.3829431100578005E-2</v>
      </c>
      <c r="C97" s="399"/>
      <c r="D97" s="989">
        <v>38322</v>
      </c>
      <c r="E97" s="990">
        <v>29.8</v>
      </c>
      <c r="F97" s="990">
        <v>30.65</v>
      </c>
      <c r="G97" s="990">
        <v>31.5</v>
      </c>
      <c r="H97" s="977"/>
      <c r="I97" s="990">
        <v>20.574999237060545</v>
      </c>
      <c r="J97" s="990">
        <v>20.999999237060546</v>
      </c>
      <c r="K97" s="990">
        <v>21.424999237060547</v>
      </c>
      <c r="L97" s="12"/>
      <c r="M97" s="1004">
        <v>39203</v>
      </c>
      <c r="N97" s="991">
        <v>21.045000076293942</v>
      </c>
      <c r="O97" s="991">
        <v>22.432500076293941</v>
      </c>
      <c r="P97" s="991">
        <v>23.82000007629394</v>
      </c>
      <c r="Q97" s="21"/>
      <c r="R97" s="991">
        <v>18.264999771118159</v>
      </c>
      <c r="S97" s="991">
        <v>21.56499977111816</v>
      </c>
      <c r="T97" s="991">
        <v>24.864999771118161</v>
      </c>
      <c r="U97" s="21"/>
      <c r="V97" s="991">
        <v>0.3</v>
      </c>
      <c r="W97" s="991">
        <v>0.3</v>
      </c>
      <c r="X97" s="991">
        <v>0.3</v>
      </c>
      <c r="Y97" s="21"/>
      <c r="Z97" s="991">
        <v>0.10039517496210935</v>
      </c>
      <c r="AA97" s="991">
        <v>0.20079034992421871</v>
      </c>
      <c r="AB97" s="991">
        <v>0.30118552488632805</v>
      </c>
      <c r="AC97" s="21"/>
      <c r="AD97" s="991">
        <v>3.0384393663635205E-2</v>
      </c>
      <c r="AE97" s="991">
        <v>6.076878732727041E-2</v>
      </c>
      <c r="AF97" s="991">
        <v>9.1153180990905608E-2</v>
      </c>
      <c r="AG97" s="21"/>
      <c r="AH97" s="991">
        <v>-0.25</v>
      </c>
      <c r="AI97" s="991">
        <v>1.1000000000000001</v>
      </c>
      <c r="AJ97" s="991">
        <v>0.3</v>
      </c>
      <c r="AK97" s="21"/>
      <c r="AL97" s="991">
        <v>-0.15</v>
      </c>
      <c r="AM97" s="991">
        <v>0.5</v>
      </c>
      <c r="AN97" s="991">
        <v>0.2</v>
      </c>
      <c r="AO97" s="21"/>
      <c r="AP97" s="12">
        <v>30</v>
      </c>
      <c r="AQ97" s="992">
        <v>0.4</v>
      </c>
      <c r="AR97" s="21"/>
      <c r="AS97" s="21"/>
      <c r="AT97" s="21"/>
      <c r="AU97" s="21"/>
      <c r="AV97" s="21"/>
      <c r="AW97" s="21"/>
      <c r="AX97" s="21"/>
      <c r="AY97" s="21"/>
      <c r="AZ97" s="21"/>
      <c r="BA97" s="21"/>
      <c r="BB97" s="21"/>
      <c r="BC97" s="21"/>
      <c r="BD97" s="21"/>
      <c r="BE97" s="21"/>
      <c r="BF97" s="21"/>
      <c r="BH97" s="20"/>
      <c r="BI97" s="20"/>
      <c r="BJ97" s="395"/>
      <c r="BK97"/>
      <c r="BL97"/>
      <c r="BM97"/>
      <c r="BN97"/>
      <c r="BO97"/>
      <c r="BP97"/>
      <c r="BQ97" s="553">
        <f t="shared" si="24"/>
        <v>39387</v>
      </c>
      <c r="BR97" s="716">
        <v>3.0525000000000002</v>
      </c>
      <c r="BS97" s="716">
        <v>3.0575000000000001</v>
      </c>
      <c r="BT97" s="716">
        <v>3.0625</v>
      </c>
      <c r="BU97" s="717">
        <v>0.15</v>
      </c>
      <c r="BV97" s="717">
        <v>0.1575</v>
      </c>
      <c r="BW97" s="717">
        <v>0.16500000000000001</v>
      </c>
      <c r="BX97" s="717">
        <f t="shared" si="30"/>
        <v>-7.0000000000000007E-2</v>
      </c>
      <c r="BY97" s="717"/>
      <c r="BZ97" s="717">
        <f t="shared" si="31"/>
        <v>7.0000000000000007E-2</v>
      </c>
      <c r="CA97" s="756">
        <f t="shared" si="17"/>
        <v>0</v>
      </c>
      <c r="CB97" s="716">
        <f t="shared" si="32"/>
        <v>0</v>
      </c>
      <c r="CC97" s="789">
        <f t="shared" si="33"/>
        <v>3.0525000000000002</v>
      </c>
      <c r="CD97" s="793">
        <f t="shared" si="34"/>
        <v>0.16500000000000001</v>
      </c>
    </row>
    <row r="98" spans="1:82" ht="13.8" x14ac:dyDescent="0.3">
      <c r="A98" s="553">
        <f t="shared" si="23"/>
        <v>39508</v>
      </c>
      <c r="B98" s="717">
        <v>7.3843730398189991E-2</v>
      </c>
      <c r="C98" s="399"/>
      <c r="D98" s="989">
        <v>38353</v>
      </c>
      <c r="E98" s="990">
        <v>35.75</v>
      </c>
      <c r="F98" s="990">
        <v>36.75</v>
      </c>
      <c r="G98" s="990">
        <v>37.75</v>
      </c>
      <c r="H98" s="977"/>
      <c r="I98" s="990">
        <v>20.29000015258789</v>
      </c>
      <c r="J98" s="990">
        <v>20.79000015258789</v>
      </c>
      <c r="K98" s="990">
        <v>21.29000015258789</v>
      </c>
      <c r="L98" s="12"/>
      <c r="M98" s="1004">
        <v>39234</v>
      </c>
      <c r="N98" s="991">
        <v>22.861250152587889</v>
      </c>
      <c r="O98" s="991">
        <v>26.858750152587888</v>
      </c>
      <c r="P98" s="991">
        <v>30.856250152587887</v>
      </c>
      <c r="Q98" s="21"/>
      <c r="R98" s="991">
        <v>17.042499542236325</v>
      </c>
      <c r="S98" s="991">
        <v>20.342499542236325</v>
      </c>
      <c r="T98" s="991">
        <v>23.642499542236326</v>
      </c>
      <c r="U98" s="21"/>
      <c r="V98" s="991">
        <v>0.3</v>
      </c>
      <c r="W98" s="991">
        <v>0.3</v>
      </c>
      <c r="X98" s="991">
        <v>0.3</v>
      </c>
      <c r="Y98" s="21"/>
      <c r="Z98" s="991">
        <v>0.12578341113457028</v>
      </c>
      <c r="AA98" s="991">
        <v>0.25156682226914057</v>
      </c>
      <c r="AB98" s="991">
        <v>0.37735023340371088</v>
      </c>
      <c r="AC98" s="21"/>
      <c r="AD98" s="991">
        <v>3.9065648996102396E-2</v>
      </c>
      <c r="AE98" s="991">
        <v>7.8131297992204793E-2</v>
      </c>
      <c r="AF98" s="991">
        <v>0.11719694698830718</v>
      </c>
      <c r="AG98" s="21"/>
      <c r="AH98" s="991">
        <v>-0.35</v>
      </c>
      <c r="AI98" s="991">
        <v>2</v>
      </c>
      <c r="AJ98" s="991">
        <v>0.3</v>
      </c>
      <c r="AK98" s="21"/>
      <c r="AL98" s="991">
        <v>-0.15</v>
      </c>
      <c r="AM98" s="991">
        <v>0.65</v>
      </c>
      <c r="AN98" s="991">
        <v>0.2</v>
      </c>
      <c r="AO98" s="21"/>
      <c r="AP98" s="12">
        <v>30</v>
      </c>
      <c r="AQ98" s="992">
        <v>0.4</v>
      </c>
      <c r="AR98" s="21"/>
      <c r="AS98" s="21"/>
      <c r="AT98" s="21"/>
      <c r="AU98" s="21"/>
      <c r="AV98" s="21"/>
      <c r="AW98" s="21"/>
      <c r="AX98" s="21"/>
      <c r="AY98" s="21"/>
      <c r="AZ98" s="21"/>
      <c r="BA98" s="21"/>
      <c r="BB98" s="21"/>
      <c r="BC98" s="21"/>
      <c r="BD98" s="21"/>
      <c r="BE98" s="21"/>
      <c r="BF98" s="21"/>
      <c r="BH98" s="20"/>
      <c r="BI98" s="20"/>
      <c r="BJ98" s="395"/>
      <c r="BK98"/>
      <c r="BL98"/>
      <c r="BM98"/>
      <c r="BN98"/>
      <c r="BO98"/>
      <c r="BP98"/>
      <c r="BQ98" s="553">
        <f t="shared" si="24"/>
        <v>39417</v>
      </c>
      <c r="BR98" s="716">
        <v>3.1765000000000003</v>
      </c>
      <c r="BS98" s="716">
        <v>3.1815000000000002</v>
      </c>
      <c r="BT98" s="716">
        <v>3.1865000000000001</v>
      </c>
      <c r="BU98" s="717">
        <v>0.15</v>
      </c>
      <c r="BV98" s="717">
        <v>0.1575</v>
      </c>
      <c r="BW98" s="717">
        <v>0.16500000000000001</v>
      </c>
      <c r="BX98" s="717">
        <f t="shared" si="30"/>
        <v>-7.0000000000000007E-2</v>
      </c>
      <c r="BY98" s="717"/>
      <c r="BZ98" s="717">
        <f t="shared" si="31"/>
        <v>7.0000000000000007E-2</v>
      </c>
      <c r="CA98" s="756">
        <f t="shared" si="17"/>
        <v>0</v>
      </c>
      <c r="CB98" s="716">
        <f t="shared" si="32"/>
        <v>0</v>
      </c>
      <c r="CC98" s="789">
        <f t="shared" si="33"/>
        <v>3.1765000000000003</v>
      </c>
      <c r="CD98" s="793">
        <f t="shared" si="34"/>
        <v>0.16500000000000001</v>
      </c>
    </row>
    <row r="99" spans="1:82" ht="13.8" x14ac:dyDescent="0.3">
      <c r="A99" s="553">
        <f t="shared" si="23"/>
        <v>39539</v>
      </c>
      <c r="B99" s="717">
        <v>7.3859015854331009E-2</v>
      </c>
      <c r="C99" s="399"/>
      <c r="D99" s="989">
        <v>38384</v>
      </c>
      <c r="E99" s="990">
        <v>35.75</v>
      </c>
      <c r="F99" s="990">
        <v>36.75</v>
      </c>
      <c r="G99" s="990">
        <v>37.75</v>
      </c>
      <c r="H99" s="977"/>
      <c r="I99" s="990">
        <v>20.09999771118164</v>
      </c>
      <c r="J99" s="990">
        <v>20.59999771118164</v>
      </c>
      <c r="K99" s="990">
        <v>21.09999771118164</v>
      </c>
      <c r="L99" s="12"/>
      <c r="M99" s="1004">
        <v>39264</v>
      </c>
      <c r="N99" s="991">
        <v>36.311249542236339</v>
      </c>
      <c r="O99" s="991">
        <v>40.061249542236339</v>
      </c>
      <c r="P99" s="991">
        <v>43.811249542236339</v>
      </c>
      <c r="Q99" s="21"/>
      <c r="R99" s="991">
        <v>26.247499465942379</v>
      </c>
      <c r="S99" s="991">
        <v>29.54749946594238</v>
      </c>
      <c r="T99" s="991">
        <v>32.847499465942377</v>
      </c>
      <c r="U99" s="21"/>
      <c r="V99" s="991">
        <v>0.3</v>
      </c>
      <c r="W99" s="991">
        <v>0.3</v>
      </c>
      <c r="X99" s="991">
        <v>0.3</v>
      </c>
      <c r="Y99" s="21"/>
      <c r="Z99" s="991">
        <v>0.14893880568925774</v>
      </c>
      <c r="AA99" s="991">
        <v>0.29787761137851548</v>
      </c>
      <c r="AB99" s="991">
        <v>0.4468164170677732</v>
      </c>
      <c r="AC99" s="21"/>
      <c r="AD99" s="991">
        <v>5.2087531994803191E-2</v>
      </c>
      <c r="AE99" s="991">
        <v>0.10417506398960638</v>
      </c>
      <c r="AF99" s="991">
        <v>0.15626259598440956</v>
      </c>
      <c r="AG99" s="21"/>
      <c r="AH99" s="991">
        <v>-0.35</v>
      </c>
      <c r="AI99" s="991">
        <v>3</v>
      </c>
      <c r="AJ99" s="991">
        <v>0.5</v>
      </c>
      <c r="AK99" s="21"/>
      <c r="AL99" s="991">
        <v>-0.15</v>
      </c>
      <c r="AM99" s="991">
        <v>0.75</v>
      </c>
      <c r="AN99" s="991">
        <v>0.2</v>
      </c>
      <c r="AO99" s="21"/>
      <c r="AP99" s="12">
        <v>31</v>
      </c>
      <c r="AQ99" s="992">
        <v>0.4</v>
      </c>
      <c r="AR99" s="21"/>
      <c r="AS99" s="21"/>
      <c r="AT99" s="21"/>
      <c r="AU99" s="21"/>
      <c r="AV99" s="21"/>
      <c r="AW99" s="21"/>
      <c r="AX99" s="21"/>
      <c r="AY99" s="21"/>
      <c r="AZ99" s="21"/>
      <c r="BA99" s="21"/>
      <c r="BB99" s="21"/>
      <c r="BC99" s="21"/>
      <c r="BD99" s="21"/>
      <c r="BE99" s="21"/>
      <c r="BF99" s="21"/>
      <c r="BH99" s="20"/>
      <c r="BI99" s="20"/>
      <c r="BJ99" s="395"/>
      <c r="BK99"/>
      <c r="BL99"/>
      <c r="BM99"/>
      <c r="BN99"/>
      <c r="BO99"/>
      <c r="BP99"/>
      <c r="BQ99" s="553">
        <f t="shared" si="24"/>
        <v>39448</v>
      </c>
      <c r="BR99" s="716">
        <v>3.24</v>
      </c>
      <c r="BS99" s="716">
        <v>3.2450000000000001</v>
      </c>
      <c r="BT99" s="716">
        <v>3.25</v>
      </c>
      <c r="BU99" s="717">
        <v>0.15</v>
      </c>
      <c r="BV99" s="717">
        <v>0.1575</v>
      </c>
      <c r="BW99" s="717">
        <v>0.16500000000000001</v>
      </c>
      <c r="BX99" s="717">
        <f t="shared" si="30"/>
        <v>-7.0000000000000007E-2</v>
      </c>
      <c r="BY99" s="717"/>
      <c r="BZ99" s="717">
        <f t="shared" si="31"/>
        <v>7.0000000000000007E-2</v>
      </c>
      <c r="CA99" s="756">
        <f t="shared" si="17"/>
        <v>0</v>
      </c>
      <c r="CB99" s="716">
        <f t="shared" si="32"/>
        <v>0</v>
      </c>
      <c r="CC99" s="789">
        <f t="shared" si="33"/>
        <v>3.24</v>
      </c>
      <c r="CD99" s="793">
        <f t="shared" si="34"/>
        <v>0.16500000000000001</v>
      </c>
    </row>
    <row r="100" spans="1:82" ht="13.8" x14ac:dyDescent="0.3">
      <c r="A100" s="553">
        <f t="shared" si="23"/>
        <v>39569</v>
      </c>
      <c r="B100" s="717">
        <v>7.3873808231316007E-2</v>
      </c>
      <c r="C100" s="399"/>
      <c r="D100" s="989">
        <v>38412</v>
      </c>
      <c r="E100" s="990">
        <v>32.4</v>
      </c>
      <c r="F100" s="990">
        <v>33</v>
      </c>
      <c r="G100" s="990">
        <v>33.6</v>
      </c>
      <c r="H100" s="977"/>
      <c r="I100" s="990">
        <v>19.299999618530272</v>
      </c>
      <c r="J100" s="990">
        <v>19.599999618530273</v>
      </c>
      <c r="K100" s="990">
        <v>19.899999618530273</v>
      </c>
      <c r="L100" s="12"/>
      <c r="M100" s="1004">
        <v>39295</v>
      </c>
      <c r="N100" s="991">
        <v>38.572499084472668</v>
      </c>
      <c r="O100" s="991">
        <v>42.322499084472668</v>
      </c>
      <c r="P100" s="991">
        <v>46.072499084472668</v>
      </c>
      <c r="Q100" s="21"/>
      <c r="R100" s="991">
        <v>27.745000839233395</v>
      </c>
      <c r="S100" s="991">
        <v>31.045000839233396</v>
      </c>
      <c r="T100" s="991">
        <v>34.345000839233393</v>
      </c>
      <c r="U100" s="21"/>
      <c r="V100" s="991">
        <v>0.8</v>
      </c>
      <c r="W100" s="991">
        <v>0.8</v>
      </c>
      <c r="X100" s="991">
        <v>0.8</v>
      </c>
      <c r="Y100" s="21"/>
      <c r="Z100" s="991">
        <v>0.14670596407148431</v>
      </c>
      <c r="AA100" s="991">
        <v>0.29341192814296863</v>
      </c>
      <c r="AB100" s="991">
        <v>0.44011789221445297</v>
      </c>
      <c r="AC100" s="21"/>
      <c r="AD100" s="991">
        <v>5.2087531994803191E-2</v>
      </c>
      <c r="AE100" s="991">
        <v>0.10417506398960638</v>
      </c>
      <c r="AF100" s="991">
        <v>0.15626259598440956</v>
      </c>
      <c r="AG100" s="21"/>
      <c r="AH100" s="991">
        <v>-0.35</v>
      </c>
      <c r="AI100" s="991">
        <v>3</v>
      </c>
      <c r="AJ100" s="991">
        <v>0.5</v>
      </c>
      <c r="AK100" s="21"/>
      <c r="AL100" s="991">
        <v>-0.15</v>
      </c>
      <c r="AM100" s="991">
        <v>0.75</v>
      </c>
      <c r="AN100" s="991">
        <v>0.2</v>
      </c>
      <c r="AO100" s="21"/>
      <c r="AP100" s="12">
        <v>31</v>
      </c>
      <c r="AQ100" s="992">
        <v>0.4</v>
      </c>
      <c r="AR100" s="21"/>
      <c r="AS100" s="21"/>
      <c r="AT100" s="21"/>
      <c r="AU100" s="21"/>
      <c r="AV100" s="21"/>
      <c r="AW100" s="21"/>
      <c r="AX100" s="21"/>
      <c r="AY100" s="21"/>
      <c r="AZ100" s="21"/>
      <c r="BA100" s="21"/>
      <c r="BB100" s="21"/>
      <c r="BC100" s="21"/>
      <c r="BD100" s="21"/>
      <c r="BE100" s="21"/>
      <c r="BF100" s="21"/>
      <c r="BH100" s="20"/>
      <c r="BI100" s="20"/>
      <c r="BJ100" s="395"/>
      <c r="BK100"/>
      <c r="BL100"/>
      <c r="BM100"/>
      <c r="BN100"/>
      <c r="BO100"/>
      <c r="BP100"/>
      <c r="BQ100" s="553">
        <f t="shared" si="24"/>
        <v>39479</v>
      </c>
      <c r="BR100" s="716">
        <v>3.1220000000000003</v>
      </c>
      <c r="BS100" s="716">
        <v>3.1270000000000002</v>
      </c>
      <c r="BT100" s="716">
        <v>3.1320000000000001</v>
      </c>
      <c r="BU100" s="717">
        <v>0.15</v>
      </c>
      <c r="BV100" s="717">
        <v>0.1575</v>
      </c>
      <c r="BW100" s="717">
        <v>0.16500000000000001</v>
      </c>
      <c r="BX100" s="717">
        <f t="shared" si="30"/>
        <v>-7.0000000000000007E-2</v>
      </c>
      <c r="BY100" s="717"/>
      <c r="BZ100" s="717">
        <f t="shared" si="31"/>
        <v>7.0000000000000007E-2</v>
      </c>
      <c r="CA100" s="756">
        <f t="shared" si="17"/>
        <v>0</v>
      </c>
      <c r="CB100" s="716">
        <f t="shared" si="32"/>
        <v>0</v>
      </c>
      <c r="CC100" s="789">
        <f t="shared" si="33"/>
        <v>3.1220000000000003</v>
      </c>
      <c r="CD100" s="793">
        <f t="shared" si="34"/>
        <v>0.16500000000000001</v>
      </c>
    </row>
    <row r="101" spans="1:82" ht="13.8" x14ac:dyDescent="0.3">
      <c r="A101" s="553">
        <f t="shared" si="23"/>
        <v>39600</v>
      </c>
      <c r="B101" s="717">
        <v>7.3889093687609E-2</v>
      </c>
      <c r="C101" s="399"/>
      <c r="D101" s="989">
        <v>38443</v>
      </c>
      <c r="E101" s="990">
        <v>31.3</v>
      </c>
      <c r="F101" s="990">
        <v>31.75</v>
      </c>
      <c r="G101" s="990">
        <v>32.200000000000003</v>
      </c>
      <c r="H101" s="977"/>
      <c r="I101" s="990">
        <v>19.374997711181638</v>
      </c>
      <c r="J101" s="990">
        <v>19.59999771118164</v>
      </c>
      <c r="K101" s="990">
        <v>19.824997711181641</v>
      </c>
      <c r="L101" s="12"/>
      <c r="M101" s="1004">
        <v>39326</v>
      </c>
      <c r="N101" s="991">
        <v>22.729999160766596</v>
      </c>
      <c r="O101" s="991">
        <v>23.704999160766597</v>
      </c>
      <c r="P101" s="991">
        <v>24.679999160766599</v>
      </c>
      <c r="Q101" s="21"/>
      <c r="R101" s="991">
        <v>20.9</v>
      </c>
      <c r="S101" s="991">
        <v>24.2</v>
      </c>
      <c r="T101" s="991">
        <v>27.5</v>
      </c>
      <c r="U101" s="21"/>
      <c r="V101" s="991">
        <v>0.8</v>
      </c>
      <c r="W101" s="991">
        <v>0.8</v>
      </c>
      <c r="X101" s="991">
        <v>0.8</v>
      </c>
      <c r="Y101" s="21"/>
      <c r="Z101" s="991">
        <v>9.708726145429683E-2</v>
      </c>
      <c r="AA101" s="991">
        <v>0.19417452290859366</v>
      </c>
      <c r="AB101" s="991">
        <v>0.29126178436289052</v>
      </c>
      <c r="AC101" s="21"/>
      <c r="AD101" s="991">
        <v>3.4725021329868787E-2</v>
      </c>
      <c r="AE101" s="991">
        <v>6.9450042659737574E-2</v>
      </c>
      <c r="AF101" s="991">
        <v>0.10417506398960635</v>
      </c>
      <c r="AG101" s="21"/>
      <c r="AH101" s="991">
        <v>-0.35</v>
      </c>
      <c r="AI101" s="991">
        <v>1.5</v>
      </c>
      <c r="AJ101" s="991">
        <v>0.3</v>
      </c>
      <c r="AK101" s="21"/>
      <c r="AL101" s="991">
        <v>-0.15</v>
      </c>
      <c r="AM101" s="991">
        <v>0.4</v>
      </c>
      <c r="AN101" s="991">
        <v>0.2</v>
      </c>
      <c r="AO101" s="21"/>
      <c r="AP101" s="12">
        <v>31</v>
      </c>
      <c r="AQ101" s="992">
        <v>0.4</v>
      </c>
      <c r="AR101" s="21"/>
      <c r="AS101" s="21"/>
      <c r="AT101" s="21"/>
      <c r="AU101" s="21"/>
      <c r="AV101" s="21"/>
      <c r="AW101" s="21"/>
      <c r="AX101" s="21"/>
      <c r="AY101" s="21"/>
      <c r="AZ101" s="21"/>
      <c r="BA101" s="21"/>
      <c r="BB101" s="21"/>
      <c r="BC101" s="21"/>
      <c r="BD101" s="21"/>
      <c r="BE101" s="21"/>
      <c r="BF101" s="21"/>
      <c r="BH101" s="20"/>
      <c r="BI101" s="20"/>
      <c r="BJ101" s="395"/>
      <c r="BK101"/>
      <c r="BL101"/>
      <c r="BM101"/>
      <c r="BN101"/>
      <c r="BO101"/>
      <c r="BP101"/>
      <c r="BQ101" s="553">
        <f t="shared" si="24"/>
        <v>39508</v>
      </c>
      <c r="BR101" s="716">
        <v>3.0020000000000002</v>
      </c>
      <c r="BS101" s="716">
        <v>3.0070000000000001</v>
      </c>
      <c r="BT101" s="716">
        <v>3.012</v>
      </c>
      <c r="BU101" s="717">
        <v>0.15</v>
      </c>
      <c r="BV101" s="717">
        <v>0.1575</v>
      </c>
      <c r="BW101" s="717">
        <v>0.16500000000000001</v>
      </c>
      <c r="BX101" s="717">
        <f t="shared" si="30"/>
        <v>-7.0000000000000007E-2</v>
      </c>
      <c r="BY101" s="717"/>
      <c r="BZ101" s="717">
        <f t="shared" si="31"/>
        <v>7.0000000000000007E-2</v>
      </c>
      <c r="CA101" s="756">
        <f t="shared" si="17"/>
        <v>0</v>
      </c>
      <c r="CB101" s="716">
        <f t="shared" si="32"/>
        <v>0</v>
      </c>
      <c r="CC101" s="789">
        <f t="shared" si="33"/>
        <v>3.0020000000000002</v>
      </c>
      <c r="CD101" s="793">
        <f t="shared" si="34"/>
        <v>0.16500000000000001</v>
      </c>
    </row>
    <row r="102" spans="1:82" ht="13.8" x14ac:dyDescent="0.3">
      <c r="A102" s="553">
        <f t="shared" si="23"/>
        <v>39630</v>
      </c>
      <c r="B102" s="717">
        <v>7.3903886064741006E-2</v>
      </c>
      <c r="C102" s="399"/>
      <c r="D102" s="989">
        <v>38473</v>
      </c>
      <c r="E102" s="990">
        <v>32.229999999999997</v>
      </c>
      <c r="F102" s="990">
        <v>33.75</v>
      </c>
      <c r="G102" s="990">
        <v>35.270000000000003</v>
      </c>
      <c r="H102" s="977"/>
      <c r="I102" s="990">
        <v>18.839997711181638</v>
      </c>
      <c r="J102" s="990">
        <v>19.59999771118164</v>
      </c>
      <c r="K102" s="990">
        <v>20.359997711181641</v>
      </c>
      <c r="L102" s="12"/>
      <c r="M102" s="1004">
        <v>39356</v>
      </c>
      <c r="N102" s="991">
        <v>22.938000106811518</v>
      </c>
      <c r="O102" s="991">
        <v>23.800500106811519</v>
      </c>
      <c r="P102" s="991">
        <v>24.66300010681152</v>
      </c>
      <c r="Q102" s="21"/>
      <c r="R102" s="991">
        <v>18.500999832153315</v>
      </c>
      <c r="S102" s="991">
        <v>21.800999832153316</v>
      </c>
      <c r="T102" s="991">
        <v>25.100999832153317</v>
      </c>
      <c r="U102" s="21"/>
      <c r="V102" s="991">
        <v>0.8</v>
      </c>
      <c r="W102" s="991">
        <v>0.8</v>
      </c>
      <c r="X102" s="991">
        <v>0.8</v>
      </c>
      <c r="Y102" s="21"/>
      <c r="Z102" s="991">
        <v>8.8321290658593746E-2</v>
      </c>
      <c r="AA102" s="991">
        <v>0.17664258131718749</v>
      </c>
      <c r="AB102" s="991">
        <v>0.26496387197578125</v>
      </c>
      <c r="AC102" s="21"/>
      <c r="AD102" s="991">
        <v>2.6043765997401595E-2</v>
      </c>
      <c r="AE102" s="991">
        <v>5.2087531994803191E-2</v>
      </c>
      <c r="AF102" s="991">
        <v>7.8131297992204779E-2</v>
      </c>
      <c r="AG102" s="21"/>
      <c r="AH102" s="991">
        <v>-0.25</v>
      </c>
      <c r="AI102" s="991">
        <v>1.1000000000000001</v>
      </c>
      <c r="AJ102" s="991">
        <v>0.3</v>
      </c>
      <c r="AK102" s="21"/>
      <c r="AL102" s="991">
        <v>-0.15</v>
      </c>
      <c r="AM102" s="991">
        <v>0.35</v>
      </c>
      <c r="AN102" s="991">
        <v>0.2</v>
      </c>
      <c r="AO102" s="21"/>
      <c r="AP102" s="12">
        <v>32</v>
      </c>
      <c r="AQ102" s="992">
        <v>0.4</v>
      </c>
      <c r="AR102" s="21"/>
      <c r="AS102" s="21"/>
      <c r="AT102" s="21"/>
      <c r="AU102" s="21"/>
      <c r="AV102" s="21"/>
      <c r="AW102" s="21"/>
      <c r="AX102" s="21"/>
      <c r="AY102" s="21"/>
      <c r="AZ102" s="21"/>
      <c r="BA102" s="21"/>
      <c r="BB102" s="21"/>
      <c r="BC102" s="21"/>
      <c r="BD102" s="21"/>
      <c r="BE102" s="21"/>
      <c r="BF102" s="21"/>
      <c r="BH102" s="20"/>
      <c r="BI102" s="20"/>
      <c r="BJ102" s="395"/>
      <c r="BK102"/>
      <c r="BL102"/>
      <c r="BM102"/>
      <c r="BN102"/>
      <c r="BO102"/>
      <c r="BP102"/>
      <c r="BQ102" s="553">
        <f t="shared" si="24"/>
        <v>39539</v>
      </c>
      <c r="BR102" s="716">
        <v>2.9525000000000001</v>
      </c>
      <c r="BS102" s="716">
        <v>2.9575</v>
      </c>
      <c r="BT102" s="716">
        <v>2.9624999999999999</v>
      </c>
      <c r="BU102" s="717">
        <v>0.15</v>
      </c>
      <c r="BV102" s="717">
        <v>0.1575</v>
      </c>
      <c r="BW102" s="717">
        <v>0.16500000000000001</v>
      </c>
      <c r="BX102" s="717">
        <f t="shared" si="30"/>
        <v>-7.0000000000000007E-2</v>
      </c>
      <c r="BY102" s="717"/>
      <c r="BZ102" s="717">
        <f t="shared" si="31"/>
        <v>7.0000000000000007E-2</v>
      </c>
      <c r="CA102" s="756">
        <f t="shared" si="17"/>
        <v>0</v>
      </c>
      <c r="CB102" s="716">
        <f t="shared" si="32"/>
        <v>0</v>
      </c>
      <c r="CC102" s="789">
        <f t="shared" si="33"/>
        <v>2.9525000000000001</v>
      </c>
      <c r="CD102" s="793">
        <f t="shared" si="34"/>
        <v>0.16500000000000001</v>
      </c>
    </row>
    <row r="103" spans="1:82" ht="13.8" x14ac:dyDescent="0.3">
      <c r="A103" s="553">
        <f t="shared" si="23"/>
        <v>39661</v>
      </c>
      <c r="B103" s="717">
        <v>7.3919171521186003E-2</v>
      </c>
      <c r="C103" s="399"/>
      <c r="D103" s="989">
        <v>38504</v>
      </c>
      <c r="E103" s="990">
        <v>44.35</v>
      </c>
      <c r="F103" s="990">
        <v>48.75</v>
      </c>
      <c r="G103" s="990">
        <v>53.15</v>
      </c>
      <c r="H103" s="977"/>
      <c r="I103" s="990">
        <v>17.354998779296874</v>
      </c>
      <c r="J103" s="990">
        <v>19.554998779296874</v>
      </c>
      <c r="K103" s="990">
        <v>21.754998779296873</v>
      </c>
      <c r="L103" s="12"/>
      <c r="M103" s="1004">
        <v>39387</v>
      </c>
      <c r="N103" s="991">
        <v>23.942251586914058</v>
      </c>
      <c r="O103" s="991">
        <v>24.804751586914058</v>
      </c>
      <c r="P103" s="991">
        <v>25.667251586914059</v>
      </c>
      <c r="Q103" s="21"/>
      <c r="R103" s="991">
        <v>19.504499816894526</v>
      </c>
      <c r="S103" s="991">
        <v>22.804499816894527</v>
      </c>
      <c r="T103" s="991">
        <v>26.104499816894528</v>
      </c>
      <c r="U103" s="21"/>
      <c r="V103" s="991">
        <v>0.8</v>
      </c>
      <c r="W103" s="991">
        <v>0.8</v>
      </c>
      <c r="X103" s="991">
        <v>0.8</v>
      </c>
      <c r="Y103" s="21"/>
      <c r="Z103" s="991">
        <v>8.8321290658593746E-2</v>
      </c>
      <c r="AA103" s="991">
        <v>0.17664258131718749</v>
      </c>
      <c r="AB103" s="991">
        <v>0.26496387197578125</v>
      </c>
      <c r="AC103" s="21"/>
      <c r="AD103" s="991">
        <v>2.6043765997401595E-2</v>
      </c>
      <c r="AE103" s="991">
        <v>5.2087531994803191E-2</v>
      </c>
      <c r="AF103" s="991">
        <v>7.8131297992204779E-2</v>
      </c>
      <c r="AG103" s="21"/>
      <c r="AH103" s="991">
        <v>-0.25</v>
      </c>
      <c r="AI103" s="991">
        <v>1.25</v>
      </c>
      <c r="AJ103" s="991">
        <v>0.3</v>
      </c>
      <c r="AK103" s="21"/>
      <c r="AL103" s="991">
        <v>-0.15</v>
      </c>
      <c r="AM103" s="991">
        <v>0.3</v>
      </c>
      <c r="AN103" s="991">
        <v>0.2</v>
      </c>
      <c r="AO103" s="21"/>
      <c r="AP103" s="12">
        <v>32</v>
      </c>
      <c r="AQ103" s="992">
        <v>0.4</v>
      </c>
      <c r="AR103" s="21"/>
      <c r="AS103" s="21"/>
      <c r="AT103" s="21"/>
      <c r="AU103" s="21"/>
      <c r="AV103" s="21"/>
      <c r="AW103" s="21"/>
      <c r="AX103" s="21"/>
      <c r="AY103" s="21"/>
      <c r="AZ103" s="21"/>
      <c r="BA103" s="21"/>
      <c r="BB103" s="21"/>
      <c r="BC103" s="21"/>
      <c r="BD103" s="21"/>
      <c r="BE103" s="21"/>
      <c r="BF103" s="21"/>
      <c r="BH103" s="20"/>
      <c r="BI103" s="20"/>
      <c r="BJ103" s="395"/>
      <c r="BK103"/>
      <c r="BL103"/>
      <c r="BM103"/>
      <c r="BN103"/>
      <c r="BO103"/>
      <c r="BP103"/>
      <c r="BQ103" s="553">
        <f t="shared" si="24"/>
        <v>39569</v>
      </c>
      <c r="BR103" s="716">
        <v>2.9265000000000003</v>
      </c>
      <c r="BS103" s="716">
        <v>2.9315000000000002</v>
      </c>
      <c r="BT103" s="716">
        <v>2.9365000000000001</v>
      </c>
      <c r="BU103" s="717">
        <v>0.15</v>
      </c>
      <c r="BV103" s="717">
        <v>0.1575</v>
      </c>
      <c r="BW103" s="717">
        <v>0.16500000000000001</v>
      </c>
      <c r="BX103" s="717">
        <f t="shared" ref="BX103:BX118" si="35">BY103-$BX$4</f>
        <v>-7.0000000000000007E-2</v>
      </c>
      <c r="BY103" s="717"/>
      <c r="BZ103" s="717">
        <f t="shared" ref="BZ103:BZ118" si="36">BY103+$BZ$4</f>
        <v>7.0000000000000007E-2</v>
      </c>
      <c r="CA103" s="756">
        <f t="shared" si="17"/>
        <v>0</v>
      </c>
      <c r="CB103" s="716">
        <f t="shared" ref="CB103:CB118" si="37">GasBasis</f>
        <v>0</v>
      </c>
      <c r="CC103" s="789">
        <f t="shared" ref="CC103:CC118" si="38">(IF(GasPriceCurve,IF(OBuySell=OCallPut,BT103,BR103),BS103)+CA103/1000+CB103)/(1-GasTransportPercent)</f>
        <v>2.9265000000000003</v>
      </c>
      <c r="CD103" s="793">
        <f t="shared" ref="CD103:CD118" si="39">IF(GasVolOver,GasVolOver,IF(OVolType=2,IF(OR(BU103="",BV103="",BW103=""),CD102,IF(GasVolCurve,IF(OBuySell,BU103,BW103),BV103)*GasVolAsPercentOfNYMEX),IF(OR(BU103="",BV103="",BW103="",BY103=""),CD102,SQRT(((IF(GasVolCurve,IF(OBuySell,BU103,BW103),BV103)*GasVolAsPercentOfNYMEX)^2*(BQ103-DateToday-1)+IF(GasVolCurve,IF(OBuySell,BX103,BZ103),BY103)^2*15)/(BQ103-DateToday+14))))+GasVolSpread)</f>
        <v>0.16500000000000001</v>
      </c>
    </row>
    <row r="104" spans="1:82" ht="13.8" x14ac:dyDescent="0.3">
      <c r="A104" s="553">
        <f t="shared" si="23"/>
        <v>39692</v>
      </c>
      <c r="B104" s="717">
        <v>7.3934456977708993E-2</v>
      </c>
      <c r="C104" s="399"/>
      <c r="D104" s="989">
        <v>38534</v>
      </c>
      <c r="E104" s="990">
        <v>65.5</v>
      </c>
      <c r="F104" s="990">
        <v>69.5</v>
      </c>
      <c r="G104" s="990">
        <v>73.5</v>
      </c>
      <c r="H104" s="977"/>
      <c r="I104" s="990">
        <v>22.049997711181639</v>
      </c>
      <c r="J104" s="990">
        <v>24.049997711181639</v>
      </c>
      <c r="K104" s="990">
        <v>26.049997711181639</v>
      </c>
      <c r="L104" s="12"/>
      <c r="M104" s="1004">
        <v>39417</v>
      </c>
      <c r="N104" s="991">
        <v>25.392498397827143</v>
      </c>
      <c r="O104" s="991">
        <v>26.254998397827144</v>
      </c>
      <c r="P104" s="991">
        <v>27.117498397827145</v>
      </c>
      <c r="Q104" s="21"/>
      <c r="R104" s="991">
        <v>19.449999237060542</v>
      </c>
      <c r="S104" s="991">
        <v>22.749999237060543</v>
      </c>
      <c r="T104" s="991">
        <v>26.049999237060543</v>
      </c>
      <c r="U104" s="21"/>
      <c r="V104" s="991">
        <v>0.8</v>
      </c>
      <c r="W104" s="991">
        <v>0.8</v>
      </c>
      <c r="X104" s="991">
        <v>0.8</v>
      </c>
      <c r="Y104" s="21"/>
      <c r="Z104" s="991">
        <v>9.1496887626093731E-2</v>
      </c>
      <c r="AA104" s="991">
        <v>0.18299377525218746</v>
      </c>
      <c r="AB104" s="991">
        <v>0.27449066287828117</v>
      </c>
      <c r="AC104" s="21"/>
      <c r="AD104" s="991">
        <v>2.6043765997401595E-2</v>
      </c>
      <c r="AE104" s="991">
        <v>5.2087531994803191E-2</v>
      </c>
      <c r="AF104" s="991">
        <v>7.8131297992204779E-2</v>
      </c>
      <c r="AG104" s="21"/>
      <c r="AH104" s="991">
        <v>-0.25</v>
      </c>
      <c r="AI104" s="991">
        <v>1.25</v>
      </c>
      <c r="AJ104" s="991">
        <v>0.35</v>
      </c>
      <c r="AK104" s="21"/>
      <c r="AL104" s="991">
        <v>-0.15</v>
      </c>
      <c r="AM104" s="991">
        <v>0.3</v>
      </c>
      <c r="AN104" s="991">
        <v>0.2</v>
      </c>
      <c r="AO104" s="21"/>
      <c r="AP104" s="12">
        <v>32</v>
      </c>
      <c r="AQ104" s="992">
        <v>0.4</v>
      </c>
      <c r="AR104" s="21"/>
      <c r="AS104" s="21"/>
      <c r="AT104" s="21"/>
      <c r="AU104" s="21"/>
      <c r="AV104" s="21"/>
      <c r="AW104" s="21"/>
      <c r="AX104" s="21"/>
      <c r="AY104" s="21"/>
      <c r="AZ104" s="21"/>
      <c r="BA104" s="21"/>
      <c r="BB104" s="21"/>
      <c r="BC104" s="21"/>
      <c r="BD104" s="21"/>
      <c r="BE104" s="21"/>
      <c r="BF104" s="21"/>
      <c r="BH104" s="20"/>
      <c r="BI104" s="20"/>
      <c r="BJ104" s="395"/>
      <c r="BK104"/>
      <c r="BL104"/>
      <c r="BM104"/>
      <c r="BN104"/>
      <c r="BO104"/>
      <c r="BP104"/>
      <c r="BQ104" s="553">
        <f t="shared" si="24"/>
        <v>39600</v>
      </c>
      <c r="BR104" s="716">
        <v>2.9325000000000001</v>
      </c>
      <c r="BS104" s="716">
        <v>2.9375</v>
      </c>
      <c r="BT104" s="716">
        <v>2.9424999999999999</v>
      </c>
      <c r="BU104" s="717">
        <v>0.15</v>
      </c>
      <c r="BV104" s="717">
        <v>0.1575</v>
      </c>
      <c r="BW104" s="717">
        <v>0.16500000000000001</v>
      </c>
      <c r="BX104" s="717">
        <f t="shared" si="35"/>
        <v>-7.0000000000000007E-2</v>
      </c>
      <c r="BY104" s="717"/>
      <c r="BZ104" s="717">
        <f t="shared" si="36"/>
        <v>7.0000000000000007E-2</v>
      </c>
      <c r="CA104" s="756">
        <f t="shared" si="17"/>
        <v>0</v>
      </c>
      <c r="CB104" s="716">
        <f t="shared" si="37"/>
        <v>0</v>
      </c>
      <c r="CC104" s="789">
        <f t="shared" si="38"/>
        <v>2.9325000000000001</v>
      </c>
      <c r="CD104" s="793">
        <f t="shared" si="39"/>
        <v>0.16500000000000001</v>
      </c>
    </row>
    <row r="105" spans="1:82" ht="13.8" x14ac:dyDescent="0.3">
      <c r="A105" s="553">
        <f t="shared" si="23"/>
        <v>39722</v>
      </c>
      <c r="B105" s="717">
        <v>7.3949249355061003E-2</v>
      </c>
      <c r="C105" s="399"/>
      <c r="D105" s="989">
        <v>38565</v>
      </c>
      <c r="E105" s="990">
        <v>61</v>
      </c>
      <c r="F105" s="990">
        <v>65</v>
      </c>
      <c r="G105" s="990">
        <v>69</v>
      </c>
      <c r="H105" s="977"/>
      <c r="I105" s="990">
        <v>22.399998092651366</v>
      </c>
      <c r="J105" s="990">
        <v>24.399998092651366</v>
      </c>
      <c r="K105" s="990">
        <v>26.399998092651366</v>
      </c>
      <c r="L105" s="12"/>
      <c r="M105" s="1004">
        <v>39448</v>
      </c>
      <c r="N105" s="991">
        <v>28.673748779296869</v>
      </c>
      <c r="O105" s="991">
        <v>29.64874877929687</v>
      </c>
      <c r="P105" s="991">
        <v>30.623748779296871</v>
      </c>
      <c r="Q105" s="21"/>
      <c r="R105" s="991">
        <v>24.852500534057612</v>
      </c>
      <c r="S105" s="991">
        <v>28.152500534057612</v>
      </c>
      <c r="T105" s="991">
        <v>31.452500534057613</v>
      </c>
      <c r="U105" s="21"/>
      <c r="V105" s="991">
        <v>0.8</v>
      </c>
      <c r="W105" s="991">
        <v>0.8</v>
      </c>
      <c r="X105" s="991">
        <v>0.8</v>
      </c>
      <c r="Y105" s="21"/>
      <c r="Z105" s="991">
        <v>9.88147273972656E-2</v>
      </c>
      <c r="AA105" s="991">
        <v>0.1976294547945312</v>
      </c>
      <c r="AB105" s="991">
        <v>0.2964441821917968</v>
      </c>
      <c r="AC105" s="21"/>
      <c r="AD105" s="991">
        <v>2.9776705790362502E-2</v>
      </c>
      <c r="AE105" s="991">
        <v>5.9553411580725003E-2</v>
      </c>
      <c r="AF105" s="991">
        <v>8.9330117371087508E-2</v>
      </c>
      <c r="AG105" s="21"/>
      <c r="AH105" s="991">
        <v>-0.75</v>
      </c>
      <c r="AI105" s="991">
        <v>2</v>
      </c>
      <c r="AJ105" s="991">
        <v>0.75</v>
      </c>
      <c r="AK105" s="21"/>
      <c r="AL105" s="991">
        <v>-0.15</v>
      </c>
      <c r="AM105" s="991">
        <v>0.5</v>
      </c>
      <c r="AN105" s="991">
        <v>0.2</v>
      </c>
      <c r="AO105" s="21"/>
      <c r="AP105" s="12">
        <v>33</v>
      </c>
      <c r="AQ105" s="992">
        <v>0.4</v>
      </c>
      <c r="AR105" s="21"/>
      <c r="AS105" s="21"/>
      <c r="AT105" s="21"/>
      <c r="AU105" s="21"/>
      <c r="AV105" s="21"/>
      <c r="AW105" s="21"/>
      <c r="AX105" s="21"/>
      <c r="AY105" s="21"/>
      <c r="AZ105" s="21"/>
      <c r="BA105" s="21"/>
      <c r="BB105" s="21"/>
      <c r="BC105" s="21"/>
      <c r="BD105" s="21"/>
      <c r="BE105" s="21"/>
      <c r="BF105" s="21"/>
      <c r="BH105" s="20"/>
      <c r="BI105" s="20"/>
      <c r="BJ105" s="395"/>
      <c r="BK105"/>
      <c r="BL105"/>
      <c r="BM105"/>
      <c r="BN105"/>
      <c r="BO105"/>
      <c r="BP105"/>
      <c r="BQ105" s="553">
        <f t="shared" si="24"/>
        <v>39630</v>
      </c>
      <c r="BR105" s="716">
        <v>2.9424999999999999</v>
      </c>
      <c r="BS105" s="716">
        <v>2.9474999999999998</v>
      </c>
      <c r="BT105" s="716">
        <v>2.9525000000000001</v>
      </c>
      <c r="BU105" s="717">
        <v>0.15</v>
      </c>
      <c r="BV105" s="717">
        <v>0.1575</v>
      </c>
      <c r="BW105" s="717">
        <v>0.16500000000000001</v>
      </c>
      <c r="BX105" s="717">
        <f t="shared" si="35"/>
        <v>-7.0000000000000007E-2</v>
      </c>
      <c r="BY105" s="717"/>
      <c r="BZ105" s="717">
        <f t="shared" si="36"/>
        <v>7.0000000000000007E-2</v>
      </c>
      <c r="CA105" s="756">
        <f t="shared" si="17"/>
        <v>0</v>
      </c>
      <c r="CB105" s="716">
        <f t="shared" si="37"/>
        <v>0</v>
      </c>
      <c r="CC105" s="789">
        <f t="shared" si="38"/>
        <v>2.9424999999999999</v>
      </c>
      <c r="CD105" s="793">
        <f t="shared" si="39"/>
        <v>0.16500000000000001</v>
      </c>
    </row>
    <row r="106" spans="1:82" ht="13.8" x14ac:dyDescent="0.3">
      <c r="A106" s="553">
        <f t="shared" si="23"/>
        <v>39753</v>
      </c>
      <c r="B106" s="717">
        <v>7.3964534811735996E-2</v>
      </c>
      <c r="C106" s="399"/>
      <c r="D106" s="989">
        <v>38596</v>
      </c>
      <c r="E106" s="990">
        <v>31.65</v>
      </c>
      <c r="F106" s="990">
        <v>32.75</v>
      </c>
      <c r="G106" s="990">
        <v>33.85</v>
      </c>
      <c r="H106" s="977"/>
      <c r="I106" s="990">
        <v>19.399998092651366</v>
      </c>
      <c r="J106" s="990">
        <v>19.949998092651366</v>
      </c>
      <c r="K106" s="990">
        <v>20.499998092651367</v>
      </c>
      <c r="L106" s="12"/>
      <c r="M106" s="1004">
        <v>39479</v>
      </c>
      <c r="N106" s="991">
        <v>27.671250152587884</v>
      </c>
      <c r="O106" s="991">
        <v>28.646250152587886</v>
      </c>
      <c r="P106" s="991">
        <v>29.621250152587887</v>
      </c>
      <c r="Q106" s="21"/>
      <c r="R106" s="991">
        <v>22.847499465942377</v>
      </c>
      <c r="S106" s="991">
        <v>26.147499465942378</v>
      </c>
      <c r="T106" s="991">
        <v>29.447499465942379</v>
      </c>
      <c r="U106" s="21"/>
      <c r="V106" s="991">
        <v>0.3</v>
      </c>
      <c r="W106" s="991">
        <v>0.3</v>
      </c>
      <c r="X106" s="991">
        <v>0.3</v>
      </c>
      <c r="Y106" s="21"/>
      <c r="Z106" s="991">
        <v>9.5323040916796858E-2</v>
      </c>
      <c r="AA106" s="991">
        <v>0.19064608183359372</v>
      </c>
      <c r="AB106" s="991">
        <v>0.28596912275039055</v>
      </c>
      <c r="AC106" s="21"/>
      <c r="AD106" s="991">
        <v>2.9776705790362502E-2</v>
      </c>
      <c r="AE106" s="991">
        <v>5.9553411580725003E-2</v>
      </c>
      <c r="AF106" s="991">
        <v>8.9330117371087508E-2</v>
      </c>
      <c r="AG106" s="21"/>
      <c r="AH106" s="991">
        <v>-0.75</v>
      </c>
      <c r="AI106" s="991">
        <v>2</v>
      </c>
      <c r="AJ106" s="991">
        <v>0.75</v>
      </c>
      <c r="AK106" s="21"/>
      <c r="AL106" s="991">
        <v>-0.15</v>
      </c>
      <c r="AM106" s="991">
        <v>0.5</v>
      </c>
      <c r="AN106" s="991">
        <v>0.2</v>
      </c>
      <c r="AO106" s="21"/>
      <c r="AP106" s="12">
        <v>33</v>
      </c>
      <c r="AQ106" s="992">
        <v>0.4</v>
      </c>
      <c r="AR106" s="21"/>
      <c r="AS106" s="21"/>
      <c r="AT106" s="21"/>
      <c r="AU106" s="21"/>
      <c r="AV106" s="21"/>
      <c r="AW106" s="21"/>
      <c r="AX106" s="21"/>
      <c r="AY106" s="21"/>
      <c r="AZ106" s="21"/>
      <c r="BA106" s="21"/>
      <c r="BB106" s="21"/>
      <c r="BC106" s="21"/>
      <c r="BD106" s="21"/>
      <c r="BE106" s="21"/>
      <c r="BF106" s="21"/>
      <c r="BH106" s="20"/>
      <c r="BI106" s="20"/>
      <c r="BJ106" s="395"/>
      <c r="BK106"/>
      <c r="BL106"/>
      <c r="BM106"/>
      <c r="BN106"/>
      <c r="BO106"/>
      <c r="BP106"/>
      <c r="BQ106" s="553">
        <f t="shared" si="24"/>
        <v>39661</v>
      </c>
      <c r="BR106" s="716">
        <v>2.9495</v>
      </c>
      <c r="BS106" s="716">
        <v>2.9545000000000003</v>
      </c>
      <c r="BT106" s="716">
        <v>2.9595000000000002</v>
      </c>
      <c r="BU106" s="717">
        <v>0.15</v>
      </c>
      <c r="BV106" s="717">
        <v>0.1575</v>
      </c>
      <c r="BW106" s="717">
        <v>0.16500000000000001</v>
      </c>
      <c r="BX106" s="717">
        <f t="shared" si="35"/>
        <v>-7.0000000000000007E-2</v>
      </c>
      <c r="BY106" s="717"/>
      <c r="BZ106" s="717">
        <f t="shared" si="36"/>
        <v>7.0000000000000007E-2</v>
      </c>
      <c r="CA106" s="756">
        <f t="shared" ref="CA106:CA169" si="40">CA94</f>
        <v>0</v>
      </c>
      <c r="CB106" s="716">
        <f t="shared" si="37"/>
        <v>0</v>
      </c>
      <c r="CC106" s="789">
        <f t="shared" si="38"/>
        <v>2.9495</v>
      </c>
      <c r="CD106" s="793">
        <f t="shared" si="39"/>
        <v>0.16500000000000001</v>
      </c>
    </row>
    <row r="107" spans="1:82" ht="13.8" x14ac:dyDescent="0.3">
      <c r="A107" s="553">
        <f t="shared" si="23"/>
        <v>39783</v>
      </c>
      <c r="B107" s="717">
        <v>7.3979327189235999E-2</v>
      </c>
      <c r="C107" s="399"/>
      <c r="D107" s="989">
        <v>38626</v>
      </c>
      <c r="E107" s="990">
        <v>29.55</v>
      </c>
      <c r="F107" s="990">
        <v>30.5</v>
      </c>
      <c r="G107" s="990">
        <v>31.45</v>
      </c>
      <c r="H107" s="977"/>
      <c r="I107" s="990">
        <v>19.174998855590818</v>
      </c>
      <c r="J107" s="990">
        <v>19.64999885559082</v>
      </c>
      <c r="K107" s="990">
        <v>20.124998855590821</v>
      </c>
      <c r="L107" s="12"/>
      <c r="M107" s="1004">
        <v>39508</v>
      </c>
      <c r="N107" s="991">
        <v>21.272249603271479</v>
      </c>
      <c r="O107" s="991">
        <v>21.834749603271479</v>
      </c>
      <c r="P107" s="991">
        <v>22.397249603271479</v>
      </c>
      <c r="Q107" s="21"/>
      <c r="R107" s="991">
        <v>18.164498901367182</v>
      </c>
      <c r="S107" s="991">
        <v>21.464498901367183</v>
      </c>
      <c r="T107" s="991">
        <v>24.764498901367183</v>
      </c>
      <c r="U107" s="21"/>
      <c r="V107" s="991">
        <v>0.3</v>
      </c>
      <c r="W107" s="991">
        <v>0.3</v>
      </c>
      <c r="X107" s="991">
        <v>0.3</v>
      </c>
      <c r="Y107" s="21"/>
      <c r="Z107" s="991">
        <v>9.2782839002255854E-2</v>
      </c>
      <c r="AA107" s="991">
        <v>0.18556567800451171</v>
      </c>
      <c r="AB107" s="991">
        <v>0.27834851700676755</v>
      </c>
      <c r="AC107" s="21"/>
      <c r="AD107" s="991">
        <v>2.5522890677453561E-2</v>
      </c>
      <c r="AE107" s="991">
        <v>5.1045781354907123E-2</v>
      </c>
      <c r="AF107" s="991">
        <v>7.6568672032360688E-2</v>
      </c>
      <c r="AG107" s="21"/>
      <c r="AH107" s="991">
        <v>-0.25</v>
      </c>
      <c r="AI107" s="991">
        <v>1.3</v>
      </c>
      <c r="AJ107" s="991">
        <v>0.3</v>
      </c>
      <c r="AK107" s="21"/>
      <c r="AL107" s="991">
        <v>-0.15</v>
      </c>
      <c r="AM107" s="991">
        <v>0.35</v>
      </c>
      <c r="AN107" s="991">
        <v>0.2</v>
      </c>
      <c r="AO107" s="21"/>
      <c r="AP107" s="12">
        <v>33</v>
      </c>
      <c r="AQ107" s="992">
        <v>0.4</v>
      </c>
      <c r="AR107" s="21"/>
      <c r="AS107" s="21"/>
      <c r="AT107" s="21"/>
      <c r="AU107" s="21"/>
      <c r="AV107" s="21"/>
      <c r="AW107" s="21"/>
      <c r="AX107" s="21"/>
      <c r="AY107" s="21"/>
      <c r="AZ107" s="21"/>
      <c r="BA107" s="21"/>
      <c r="BB107" s="21"/>
      <c r="BC107" s="21"/>
      <c r="BD107" s="21"/>
      <c r="BE107" s="21"/>
      <c r="BF107" s="21"/>
      <c r="BH107" s="20"/>
      <c r="BI107" s="20"/>
      <c r="BJ107" s="395"/>
      <c r="BK107"/>
      <c r="BL107"/>
      <c r="BM107"/>
      <c r="BN107"/>
      <c r="BO107"/>
      <c r="BP107"/>
      <c r="BQ107" s="553">
        <f t="shared" si="24"/>
        <v>39692</v>
      </c>
      <c r="BR107" s="716">
        <v>2.9565000000000001</v>
      </c>
      <c r="BS107" s="716">
        <v>2.9615</v>
      </c>
      <c r="BT107" s="716">
        <v>2.9665000000000004</v>
      </c>
      <c r="BU107" s="717">
        <v>0.15</v>
      </c>
      <c r="BV107" s="717">
        <v>0.1575</v>
      </c>
      <c r="BW107" s="717">
        <v>0.16500000000000001</v>
      </c>
      <c r="BX107" s="717">
        <f t="shared" si="35"/>
        <v>-7.0000000000000007E-2</v>
      </c>
      <c r="BY107" s="717"/>
      <c r="BZ107" s="717">
        <f t="shared" si="36"/>
        <v>7.0000000000000007E-2</v>
      </c>
      <c r="CA107" s="756">
        <f t="shared" si="40"/>
        <v>0</v>
      </c>
      <c r="CB107" s="716">
        <f t="shared" si="37"/>
        <v>0</v>
      </c>
      <c r="CC107" s="789">
        <f t="shared" si="38"/>
        <v>2.9565000000000001</v>
      </c>
      <c r="CD107" s="793">
        <f t="shared" si="39"/>
        <v>0.16500000000000001</v>
      </c>
    </row>
    <row r="108" spans="1:82" ht="13.8" x14ac:dyDescent="0.3">
      <c r="A108" s="553">
        <f t="shared" si="23"/>
        <v>39814</v>
      </c>
      <c r="B108" s="717">
        <v>7.3994612646060998E-2</v>
      </c>
      <c r="C108" s="399"/>
      <c r="D108" s="989">
        <v>38657</v>
      </c>
      <c r="E108" s="990">
        <v>29.925000000000001</v>
      </c>
      <c r="F108" s="990">
        <v>30.875</v>
      </c>
      <c r="G108" s="990">
        <v>31.824999999999999</v>
      </c>
      <c r="H108" s="977"/>
      <c r="I108" s="990">
        <v>19.099998092651365</v>
      </c>
      <c r="J108" s="990">
        <v>19.574998092651366</v>
      </c>
      <c r="K108" s="990">
        <v>20.049998092651368</v>
      </c>
      <c r="L108" s="12"/>
      <c r="M108" s="1004">
        <v>39539</v>
      </c>
      <c r="N108" s="991">
        <v>22.067500305175777</v>
      </c>
      <c r="O108" s="991">
        <v>22.517500305175776</v>
      </c>
      <c r="P108" s="991">
        <v>22.967500305175776</v>
      </c>
      <c r="Q108" s="21"/>
      <c r="R108" s="991">
        <v>17.934999084472651</v>
      </c>
      <c r="S108" s="991">
        <v>21.234999084472651</v>
      </c>
      <c r="T108" s="991">
        <v>24.534999084472652</v>
      </c>
      <c r="U108" s="21"/>
      <c r="V108" s="991">
        <v>0.3</v>
      </c>
      <c r="W108" s="991">
        <v>0.3</v>
      </c>
      <c r="X108" s="991">
        <v>0.3</v>
      </c>
      <c r="Y108" s="21"/>
      <c r="Z108" s="991">
        <v>8.2805344884316387E-2</v>
      </c>
      <c r="AA108" s="991">
        <v>0.16561068976863277</v>
      </c>
      <c r="AB108" s="991">
        <v>0.24841603465294915</v>
      </c>
      <c r="AC108" s="21"/>
      <c r="AD108" s="991">
        <v>2.5522890677453561E-2</v>
      </c>
      <c r="AE108" s="991">
        <v>5.1045781354907123E-2</v>
      </c>
      <c r="AF108" s="991">
        <v>7.6568672032360688E-2</v>
      </c>
      <c r="AG108" s="21"/>
      <c r="AH108" s="991">
        <v>-0.25</v>
      </c>
      <c r="AI108" s="991">
        <v>1.1000000000000001</v>
      </c>
      <c r="AJ108" s="991">
        <v>0.3</v>
      </c>
      <c r="AK108" s="21"/>
      <c r="AL108" s="991">
        <v>-0.15</v>
      </c>
      <c r="AM108" s="991">
        <v>0.35</v>
      </c>
      <c r="AN108" s="991">
        <v>0.2</v>
      </c>
      <c r="AO108" s="21"/>
      <c r="AP108" s="12">
        <v>34</v>
      </c>
      <c r="AQ108" s="992">
        <v>0.4</v>
      </c>
      <c r="AR108" s="21"/>
      <c r="AS108" s="21"/>
      <c r="AT108" s="21"/>
      <c r="AU108" s="21"/>
      <c r="AV108" s="21"/>
      <c r="AW108" s="21"/>
      <c r="AX108" s="21"/>
      <c r="AY108" s="21"/>
      <c r="AZ108" s="21"/>
      <c r="BA108" s="21"/>
      <c r="BB108" s="21"/>
      <c r="BC108" s="21"/>
      <c r="BD108" s="21"/>
      <c r="BE108" s="21"/>
      <c r="BF108" s="21"/>
      <c r="BH108" s="20"/>
      <c r="BI108" s="20"/>
      <c r="BJ108" s="395"/>
      <c r="BK108"/>
      <c r="BL108"/>
      <c r="BM108"/>
      <c r="BN108"/>
      <c r="BO108"/>
      <c r="BP108"/>
      <c r="BQ108" s="553">
        <f t="shared" si="24"/>
        <v>39722</v>
      </c>
      <c r="BR108" s="716">
        <v>2.9824999999999999</v>
      </c>
      <c r="BS108" s="716">
        <v>2.9874999999999998</v>
      </c>
      <c r="BT108" s="716">
        <v>2.9925000000000002</v>
      </c>
      <c r="BU108" s="717">
        <v>0.15</v>
      </c>
      <c r="BV108" s="717">
        <v>0.1575</v>
      </c>
      <c r="BW108" s="717">
        <v>0.16500000000000001</v>
      </c>
      <c r="BX108" s="717">
        <f t="shared" si="35"/>
        <v>-7.0000000000000007E-2</v>
      </c>
      <c r="BY108" s="717"/>
      <c r="BZ108" s="717">
        <f t="shared" si="36"/>
        <v>7.0000000000000007E-2</v>
      </c>
      <c r="CA108" s="756">
        <f t="shared" si="40"/>
        <v>0</v>
      </c>
      <c r="CB108" s="716">
        <f t="shared" si="37"/>
        <v>0</v>
      </c>
      <c r="CC108" s="789">
        <f t="shared" si="38"/>
        <v>2.9824999999999999</v>
      </c>
      <c r="CD108" s="793">
        <f t="shared" si="39"/>
        <v>0.16500000000000001</v>
      </c>
    </row>
    <row r="109" spans="1:82" ht="13.8" x14ac:dyDescent="0.3">
      <c r="A109" s="553">
        <f t="shared" si="23"/>
        <v>39845</v>
      </c>
      <c r="B109" s="717">
        <v>7.4009898102963989E-2</v>
      </c>
      <c r="C109" s="399"/>
      <c r="D109" s="989">
        <v>38687</v>
      </c>
      <c r="E109" s="990">
        <v>29.8</v>
      </c>
      <c r="F109" s="990">
        <v>30.75</v>
      </c>
      <c r="G109" s="990">
        <v>31.7</v>
      </c>
      <c r="H109" s="977"/>
      <c r="I109" s="990">
        <v>20.524999237060545</v>
      </c>
      <c r="J109" s="990">
        <v>20.999999237060546</v>
      </c>
      <c r="K109" s="990">
        <v>21.474999237060548</v>
      </c>
      <c r="L109" s="12"/>
      <c r="M109" s="1004">
        <v>39569</v>
      </c>
      <c r="N109" s="991">
        <v>21.102500076293939</v>
      </c>
      <c r="O109" s="991">
        <v>22.63250007629394</v>
      </c>
      <c r="P109" s="991">
        <v>24.162500076293941</v>
      </c>
      <c r="Q109" s="21"/>
      <c r="R109" s="991">
        <v>18.464999771118158</v>
      </c>
      <c r="S109" s="991">
        <v>21.764999771118159</v>
      </c>
      <c r="T109" s="991">
        <v>25.06499977111816</v>
      </c>
      <c r="U109" s="21"/>
      <c r="V109" s="991">
        <v>0.3</v>
      </c>
      <c r="W109" s="991">
        <v>0.3</v>
      </c>
      <c r="X109" s="991">
        <v>0.3</v>
      </c>
      <c r="Y109" s="21"/>
      <c r="Z109" s="991">
        <v>9.5375416214003889E-2</v>
      </c>
      <c r="AA109" s="991">
        <v>0.19075083242800778</v>
      </c>
      <c r="AB109" s="991">
        <v>0.28612624864201164</v>
      </c>
      <c r="AC109" s="21"/>
      <c r="AD109" s="991">
        <v>2.9776705790362502E-2</v>
      </c>
      <c r="AE109" s="991">
        <v>5.9553411580725003E-2</v>
      </c>
      <c r="AF109" s="991">
        <v>8.9330117371087508E-2</v>
      </c>
      <c r="AG109" s="21"/>
      <c r="AH109" s="991">
        <v>-0.25</v>
      </c>
      <c r="AI109" s="991">
        <v>1.1000000000000001</v>
      </c>
      <c r="AJ109" s="991">
        <v>0.3</v>
      </c>
      <c r="AK109" s="21"/>
      <c r="AL109" s="991">
        <v>-0.15</v>
      </c>
      <c r="AM109" s="991">
        <v>0.5</v>
      </c>
      <c r="AN109" s="991">
        <v>0.2</v>
      </c>
      <c r="AO109" s="21"/>
      <c r="AP109" s="12">
        <v>34</v>
      </c>
      <c r="AQ109" s="992">
        <v>0.4</v>
      </c>
      <c r="AR109" s="21"/>
      <c r="AS109" s="21"/>
      <c r="AT109" s="21"/>
      <c r="AU109" s="21"/>
      <c r="AV109" s="21"/>
      <c r="AW109" s="21"/>
      <c r="AX109" s="21"/>
      <c r="AY109" s="21"/>
      <c r="AZ109" s="21"/>
      <c r="BA109" s="21"/>
      <c r="BB109" s="21"/>
      <c r="BC109" s="21"/>
      <c r="BD109" s="21"/>
      <c r="BE109" s="21"/>
      <c r="BF109" s="21"/>
      <c r="BH109" s="20"/>
      <c r="BI109" s="20"/>
      <c r="BJ109" s="395"/>
      <c r="BK109"/>
      <c r="BL109"/>
      <c r="BM109"/>
      <c r="BN109"/>
      <c r="BO109"/>
      <c r="BP109"/>
      <c r="BQ109" s="553">
        <f t="shared" si="24"/>
        <v>39753</v>
      </c>
      <c r="BR109" s="716">
        <v>3.1175000000000002</v>
      </c>
      <c r="BS109" s="716">
        <v>3.1225000000000001</v>
      </c>
      <c r="BT109" s="716">
        <v>3.1274999999999999</v>
      </c>
      <c r="BU109" s="717">
        <v>0.15</v>
      </c>
      <c r="BV109" s="717">
        <v>0.1575</v>
      </c>
      <c r="BW109" s="717">
        <v>0.16500000000000001</v>
      </c>
      <c r="BX109" s="717">
        <f t="shared" si="35"/>
        <v>-7.0000000000000007E-2</v>
      </c>
      <c r="BY109" s="717"/>
      <c r="BZ109" s="717">
        <f t="shared" si="36"/>
        <v>7.0000000000000007E-2</v>
      </c>
      <c r="CA109" s="756">
        <f t="shared" si="40"/>
        <v>0</v>
      </c>
      <c r="CB109" s="716">
        <f t="shared" si="37"/>
        <v>0</v>
      </c>
      <c r="CC109" s="789">
        <f t="shared" si="38"/>
        <v>3.1175000000000002</v>
      </c>
      <c r="CD109" s="793">
        <f t="shared" si="39"/>
        <v>0.16500000000000001</v>
      </c>
    </row>
    <row r="110" spans="1:82" ht="13.8" x14ac:dyDescent="0.3">
      <c r="A110" s="553">
        <f t="shared" si="23"/>
        <v>39873</v>
      </c>
      <c r="B110" s="717">
        <v>7.4023704322168996E-2</v>
      </c>
      <c r="C110" s="399"/>
      <c r="D110" s="989">
        <v>38718</v>
      </c>
      <c r="E110" s="990">
        <v>35.75</v>
      </c>
      <c r="F110" s="990">
        <v>36.85</v>
      </c>
      <c r="G110" s="990">
        <v>37.950000000000003</v>
      </c>
      <c r="H110" s="977"/>
      <c r="I110" s="990">
        <v>20.240000152587889</v>
      </c>
      <c r="J110" s="990">
        <v>20.79000015258789</v>
      </c>
      <c r="K110" s="990">
        <v>21.340000152587891</v>
      </c>
      <c r="L110" s="12"/>
      <c r="M110" s="1004">
        <v>39600</v>
      </c>
      <c r="N110" s="991">
        <v>22.656250152587887</v>
      </c>
      <c r="O110" s="991">
        <v>27.058750152587887</v>
      </c>
      <c r="P110" s="991">
        <v>31.461250152587887</v>
      </c>
      <c r="Q110" s="21"/>
      <c r="R110" s="991">
        <v>17.242499542236324</v>
      </c>
      <c r="S110" s="991">
        <v>20.542499542236325</v>
      </c>
      <c r="T110" s="991">
        <v>23.842499542236325</v>
      </c>
      <c r="U110" s="21"/>
      <c r="V110" s="991">
        <v>0.3</v>
      </c>
      <c r="W110" s="991">
        <v>0.3</v>
      </c>
      <c r="X110" s="991">
        <v>0.3</v>
      </c>
      <c r="Y110" s="21"/>
      <c r="Z110" s="991">
        <v>0.11949424057784176</v>
      </c>
      <c r="AA110" s="991">
        <v>0.23898848115568352</v>
      </c>
      <c r="AB110" s="991">
        <v>0.3584827217335253</v>
      </c>
      <c r="AC110" s="21"/>
      <c r="AD110" s="991">
        <v>3.8284336016180351E-2</v>
      </c>
      <c r="AE110" s="991">
        <v>7.6568672032360702E-2</v>
      </c>
      <c r="AF110" s="991">
        <v>0.11485300804854105</v>
      </c>
      <c r="AG110" s="21"/>
      <c r="AH110" s="991">
        <v>-0.35</v>
      </c>
      <c r="AI110" s="991">
        <v>2</v>
      </c>
      <c r="AJ110" s="991">
        <v>0.3</v>
      </c>
      <c r="AK110" s="21"/>
      <c r="AL110" s="991">
        <v>-0.15</v>
      </c>
      <c r="AM110" s="991">
        <v>0.65</v>
      </c>
      <c r="AN110" s="991">
        <v>0.2</v>
      </c>
      <c r="AO110" s="21"/>
      <c r="AP110" s="12">
        <v>34</v>
      </c>
      <c r="AQ110" s="992">
        <v>0.4</v>
      </c>
      <c r="AR110" s="21"/>
      <c r="AS110" s="21"/>
      <c r="AT110" s="21"/>
      <c r="AU110" s="21"/>
      <c r="AV110" s="21"/>
      <c r="AW110" s="21"/>
      <c r="AX110" s="21"/>
      <c r="AY110" s="21"/>
      <c r="AZ110" s="21"/>
      <c r="BA110" s="21"/>
      <c r="BB110" s="21"/>
      <c r="BC110" s="21"/>
      <c r="BD110" s="21"/>
      <c r="BE110" s="21"/>
      <c r="BF110" s="21"/>
      <c r="BH110" s="20"/>
      <c r="BI110" s="20"/>
      <c r="BJ110" s="395"/>
      <c r="BK110"/>
      <c r="BL110"/>
      <c r="BM110"/>
      <c r="BN110"/>
      <c r="BO110"/>
      <c r="BP110"/>
      <c r="BQ110" s="553">
        <f t="shared" si="24"/>
        <v>39783</v>
      </c>
      <c r="BR110" s="716">
        <v>3.2415000000000003</v>
      </c>
      <c r="BS110" s="716">
        <v>3.2465000000000002</v>
      </c>
      <c r="BT110" s="716">
        <v>3.2515000000000001</v>
      </c>
      <c r="BU110" s="717">
        <v>0.15</v>
      </c>
      <c r="BV110" s="717">
        <v>0.1575</v>
      </c>
      <c r="BW110" s="717">
        <v>0.16500000000000001</v>
      </c>
      <c r="BX110" s="717">
        <f t="shared" si="35"/>
        <v>-7.0000000000000007E-2</v>
      </c>
      <c r="BY110" s="717"/>
      <c r="BZ110" s="717">
        <f t="shared" si="36"/>
        <v>7.0000000000000007E-2</v>
      </c>
      <c r="CA110" s="756">
        <f t="shared" si="40"/>
        <v>0</v>
      </c>
      <c r="CB110" s="716">
        <f t="shared" si="37"/>
        <v>0</v>
      </c>
      <c r="CC110" s="789">
        <f t="shared" si="38"/>
        <v>3.2415000000000003</v>
      </c>
      <c r="CD110" s="793">
        <f t="shared" si="39"/>
        <v>0.16500000000000001</v>
      </c>
    </row>
    <row r="111" spans="1:82" ht="13.8" x14ac:dyDescent="0.3">
      <c r="A111" s="553">
        <f t="shared" si="23"/>
        <v>39904</v>
      </c>
      <c r="B111" s="717">
        <v>7.4038989779218009E-2</v>
      </c>
      <c r="C111" s="399"/>
      <c r="D111" s="989">
        <v>38749</v>
      </c>
      <c r="E111" s="990">
        <v>35.75</v>
      </c>
      <c r="F111" s="990">
        <v>36.85</v>
      </c>
      <c r="G111" s="990">
        <v>37.950000000000003</v>
      </c>
      <c r="H111" s="977"/>
      <c r="I111" s="990">
        <v>20.049997711181639</v>
      </c>
      <c r="J111" s="990">
        <v>20.59999771118164</v>
      </c>
      <c r="K111" s="990">
        <v>21.149997711181641</v>
      </c>
      <c r="L111" s="12"/>
      <c r="M111" s="1004">
        <v>39630</v>
      </c>
      <c r="N111" s="991">
        <v>36.511249542236342</v>
      </c>
      <c r="O111" s="991">
        <v>40.261249542236342</v>
      </c>
      <c r="P111" s="991">
        <v>44.011249542236342</v>
      </c>
      <c r="Q111" s="21"/>
      <c r="R111" s="991">
        <v>26.447499465942379</v>
      </c>
      <c r="S111" s="991">
        <v>29.747499465942379</v>
      </c>
      <c r="T111" s="991">
        <v>33.04749946594238</v>
      </c>
      <c r="U111" s="21"/>
      <c r="V111" s="991">
        <v>0.3</v>
      </c>
      <c r="W111" s="991">
        <v>0.3</v>
      </c>
      <c r="X111" s="991">
        <v>0.3</v>
      </c>
      <c r="Y111" s="21"/>
      <c r="Z111" s="991">
        <v>0.14149186540479486</v>
      </c>
      <c r="AA111" s="991">
        <v>0.28298373080958972</v>
      </c>
      <c r="AB111" s="991">
        <v>0.42447559621438458</v>
      </c>
      <c r="AC111" s="21"/>
      <c r="AD111" s="991">
        <v>5.1045781354907123E-2</v>
      </c>
      <c r="AE111" s="991">
        <v>0.10209156270981425</v>
      </c>
      <c r="AF111" s="991">
        <v>0.15313734406472138</v>
      </c>
      <c r="AG111" s="21"/>
      <c r="AH111" s="991">
        <v>-0.35</v>
      </c>
      <c r="AI111" s="991">
        <v>3</v>
      </c>
      <c r="AJ111" s="991">
        <v>0.5</v>
      </c>
      <c r="AK111" s="21"/>
      <c r="AL111" s="991">
        <v>-0.15</v>
      </c>
      <c r="AM111" s="991">
        <v>0.75</v>
      </c>
      <c r="AN111" s="991">
        <v>0.2</v>
      </c>
      <c r="AO111" s="21"/>
      <c r="AP111" s="12">
        <v>35</v>
      </c>
      <c r="AQ111" s="992">
        <v>0.4</v>
      </c>
      <c r="AR111" s="21"/>
      <c r="AS111" s="21"/>
      <c r="AT111" s="21"/>
      <c r="AU111" s="21"/>
      <c r="AV111" s="21"/>
      <c r="AW111" s="21"/>
      <c r="AX111" s="21"/>
      <c r="AY111" s="21"/>
      <c r="AZ111" s="21"/>
      <c r="BA111" s="21"/>
      <c r="BB111" s="21"/>
      <c r="BC111" s="21"/>
      <c r="BD111" s="21"/>
      <c r="BE111" s="21"/>
      <c r="BF111" s="21"/>
      <c r="BH111" s="20"/>
      <c r="BI111" s="20"/>
      <c r="BJ111" s="395"/>
      <c r="BK111"/>
      <c r="BL111"/>
      <c r="BM111"/>
      <c r="BN111"/>
      <c r="BO111"/>
      <c r="BP111"/>
      <c r="BQ111" s="553">
        <f t="shared" si="24"/>
        <v>39814</v>
      </c>
      <c r="BR111" s="716">
        <v>3.31</v>
      </c>
      <c r="BS111" s="716">
        <v>3.3149999999999999</v>
      </c>
      <c r="BT111" s="716">
        <v>3.32</v>
      </c>
      <c r="BU111" s="717">
        <v>0.15</v>
      </c>
      <c r="BV111" s="717">
        <v>0.1575</v>
      </c>
      <c r="BW111" s="717">
        <v>0.16500000000000001</v>
      </c>
      <c r="BX111" s="717">
        <f t="shared" si="35"/>
        <v>-7.0000000000000007E-2</v>
      </c>
      <c r="BY111" s="717"/>
      <c r="BZ111" s="717">
        <f t="shared" si="36"/>
        <v>7.0000000000000007E-2</v>
      </c>
      <c r="CA111" s="756">
        <f t="shared" si="40"/>
        <v>0</v>
      </c>
      <c r="CB111" s="716">
        <f t="shared" si="37"/>
        <v>0</v>
      </c>
      <c r="CC111" s="789">
        <f t="shared" si="38"/>
        <v>3.31</v>
      </c>
      <c r="CD111" s="793">
        <f t="shared" si="39"/>
        <v>0.16500000000000001</v>
      </c>
    </row>
    <row r="112" spans="1:82" ht="13.8" x14ac:dyDescent="0.3">
      <c r="A112" s="553">
        <f t="shared" si="23"/>
        <v>39934</v>
      </c>
      <c r="B112" s="717">
        <v>7.4053782157081999E-2</v>
      </c>
      <c r="C112" s="399"/>
      <c r="D112" s="989">
        <v>38777</v>
      </c>
      <c r="E112" s="990">
        <v>32.450000000000003</v>
      </c>
      <c r="F112" s="990">
        <v>33.1</v>
      </c>
      <c r="G112" s="990">
        <v>33.75</v>
      </c>
      <c r="H112" s="977"/>
      <c r="I112" s="990">
        <v>19.274999618530273</v>
      </c>
      <c r="J112" s="990">
        <v>19.599999618530273</v>
      </c>
      <c r="K112" s="990">
        <v>19.924999618530272</v>
      </c>
      <c r="L112" s="12"/>
      <c r="M112" s="1004">
        <v>39661</v>
      </c>
      <c r="N112" s="991">
        <v>38.77249908447267</v>
      </c>
      <c r="O112" s="991">
        <v>42.52249908447267</v>
      </c>
      <c r="P112" s="991">
        <v>46.27249908447267</v>
      </c>
      <c r="Q112" s="21"/>
      <c r="R112" s="991">
        <v>27.945000839233394</v>
      </c>
      <c r="S112" s="991">
        <v>31.245000839233395</v>
      </c>
      <c r="T112" s="991">
        <v>34.545000839233396</v>
      </c>
      <c r="U112" s="21"/>
      <c r="V112" s="991">
        <v>0.8</v>
      </c>
      <c r="W112" s="991">
        <v>0.8</v>
      </c>
      <c r="X112" s="991">
        <v>0.8</v>
      </c>
      <c r="Y112" s="21"/>
      <c r="Z112" s="991">
        <v>0.13937066586791008</v>
      </c>
      <c r="AA112" s="991">
        <v>0.27874133173582016</v>
      </c>
      <c r="AB112" s="991">
        <v>0.41811199760373025</v>
      </c>
      <c r="AC112" s="21"/>
      <c r="AD112" s="991">
        <v>5.1045781354907123E-2</v>
      </c>
      <c r="AE112" s="991">
        <v>0.10209156270981425</v>
      </c>
      <c r="AF112" s="991">
        <v>0.15313734406472138</v>
      </c>
      <c r="AG112" s="21"/>
      <c r="AH112" s="991">
        <v>-0.35</v>
      </c>
      <c r="AI112" s="991">
        <v>3</v>
      </c>
      <c r="AJ112" s="991">
        <v>0.5</v>
      </c>
      <c r="AK112" s="21"/>
      <c r="AL112" s="991">
        <v>-0.15</v>
      </c>
      <c r="AM112" s="991">
        <v>0.75</v>
      </c>
      <c r="AN112" s="991">
        <v>0.2</v>
      </c>
      <c r="AO112" s="21"/>
      <c r="AP112" s="12">
        <v>35</v>
      </c>
      <c r="AQ112" s="992">
        <v>0.4</v>
      </c>
      <c r="AR112" s="21"/>
      <c r="AS112" s="21"/>
      <c r="AT112" s="21"/>
      <c r="AU112" s="21"/>
      <c r="AV112" s="21"/>
      <c r="AW112" s="21"/>
      <c r="AX112" s="21"/>
      <c r="AY112" s="21"/>
      <c r="AZ112" s="21"/>
      <c r="BA112" s="21"/>
      <c r="BB112" s="21"/>
      <c r="BC112" s="21"/>
      <c r="BD112" s="21"/>
      <c r="BE112" s="21"/>
      <c r="BF112" s="21"/>
      <c r="BH112" s="20"/>
      <c r="BI112" s="20"/>
      <c r="BJ112" s="395"/>
      <c r="BK112"/>
      <c r="BL112"/>
      <c r="BM112"/>
      <c r="BN112"/>
      <c r="BO112"/>
      <c r="BP112"/>
      <c r="BQ112" s="553">
        <f t="shared" si="24"/>
        <v>39845</v>
      </c>
      <c r="BR112" s="716">
        <v>3.1920000000000002</v>
      </c>
      <c r="BS112" s="716">
        <v>3.1970000000000001</v>
      </c>
      <c r="BT112" s="716">
        <v>3.202</v>
      </c>
      <c r="BU112" s="717">
        <v>0.15</v>
      </c>
      <c r="BV112" s="717">
        <v>0.1575</v>
      </c>
      <c r="BW112" s="717">
        <v>0.16500000000000001</v>
      </c>
      <c r="BX112" s="717">
        <f t="shared" si="35"/>
        <v>-7.0000000000000007E-2</v>
      </c>
      <c r="BY112" s="717"/>
      <c r="BZ112" s="717">
        <f t="shared" si="36"/>
        <v>7.0000000000000007E-2</v>
      </c>
      <c r="CA112" s="756">
        <f t="shared" si="40"/>
        <v>0</v>
      </c>
      <c r="CB112" s="716">
        <f t="shared" si="37"/>
        <v>0</v>
      </c>
      <c r="CC112" s="789">
        <f t="shared" si="38"/>
        <v>3.1920000000000002</v>
      </c>
      <c r="CD112" s="793">
        <f t="shared" si="39"/>
        <v>0.16500000000000001</v>
      </c>
    </row>
    <row r="113" spans="1:82" ht="13.8" x14ac:dyDescent="0.3">
      <c r="A113" s="553">
        <f t="shared" si="23"/>
        <v>39965</v>
      </c>
      <c r="B113" s="717">
        <v>7.4069067614284001E-2</v>
      </c>
      <c r="C113" s="399"/>
      <c r="D113" s="989">
        <v>38808</v>
      </c>
      <c r="E113" s="990">
        <v>31.35</v>
      </c>
      <c r="F113" s="990">
        <v>31.85</v>
      </c>
      <c r="G113" s="990">
        <v>32.35</v>
      </c>
      <c r="H113" s="977"/>
      <c r="I113" s="990">
        <v>19.34999771118164</v>
      </c>
      <c r="J113" s="990">
        <v>19.59999771118164</v>
      </c>
      <c r="K113" s="990">
        <v>19.84999771118164</v>
      </c>
      <c r="L113" s="12"/>
      <c r="M113" s="1004">
        <v>39692</v>
      </c>
      <c r="N113" s="991">
        <v>22.854999160766596</v>
      </c>
      <c r="O113" s="991">
        <v>23.904999160766597</v>
      </c>
      <c r="P113" s="991">
        <v>24.954999160766597</v>
      </c>
      <c r="Q113" s="21"/>
      <c r="R113" s="991">
        <v>21.1</v>
      </c>
      <c r="S113" s="991">
        <v>24.4</v>
      </c>
      <c r="T113" s="991">
        <v>27.7</v>
      </c>
      <c r="U113" s="21"/>
      <c r="V113" s="991">
        <v>0.8</v>
      </c>
      <c r="W113" s="991">
        <v>0.8</v>
      </c>
      <c r="X113" s="991">
        <v>0.8</v>
      </c>
      <c r="Y113" s="21"/>
      <c r="Z113" s="991">
        <v>9.2232898381581982E-2</v>
      </c>
      <c r="AA113" s="991">
        <v>0.18446579676316396</v>
      </c>
      <c r="AB113" s="991">
        <v>0.27669869514474593</v>
      </c>
      <c r="AC113" s="21"/>
      <c r="AD113" s="991">
        <v>3.4030520903271411E-2</v>
      </c>
      <c r="AE113" s="991">
        <v>6.8061041806542821E-2</v>
      </c>
      <c r="AF113" s="991">
        <v>0.10209156270981423</v>
      </c>
      <c r="AG113" s="21"/>
      <c r="AH113" s="991">
        <v>-0.35</v>
      </c>
      <c r="AI113" s="991">
        <v>1.5</v>
      </c>
      <c r="AJ113" s="991">
        <v>0.3</v>
      </c>
      <c r="AK113" s="21"/>
      <c r="AL113" s="991">
        <v>-0.15</v>
      </c>
      <c r="AM113" s="991">
        <v>0.4</v>
      </c>
      <c r="AN113" s="991">
        <v>0.2</v>
      </c>
      <c r="AO113" s="21"/>
      <c r="AP113" s="12">
        <v>35</v>
      </c>
      <c r="AQ113" s="992">
        <v>0.4</v>
      </c>
      <c r="AR113" s="21"/>
      <c r="AS113" s="21"/>
      <c r="AT113" s="21"/>
      <c r="AU113" s="21"/>
      <c r="AV113" s="21"/>
      <c r="AW113" s="21"/>
      <c r="AX113" s="21"/>
      <c r="AY113" s="21"/>
      <c r="AZ113" s="21"/>
      <c r="BA113" s="21"/>
      <c r="BB113" s="21"/>
      <c r="BC113" s="21"/>
      <c r="BD113" s="21"/>
      <c r="BE113" s="21"/>
      <c r="BF113" s="21"/>
      <c r="BH113" s="20"/>
      <c r="BI113" s="20"/>
      <c r="BJ113" s="395"/>
      <c r="BK113"/>
      <c r="BL113"/>
      <c r="BM113"/>
      <c r="BN113"/>
      <c r="BO113"/>
      <c r="BP113"/>
      <c r="BQ113" s="553">
        <f t="shared" si="24"/>
        <v>39873</v>
      </c>
      <c r="BR113" s="716">
        <v>3.0720000000000001</v>
      </c>
      <c r="BS113" s="716">
        <v>3.077</v>
      </c>
      <c r="BT113" s="716">
        <v>3.0820000000000003</v>
      </c>
      <c r="BU113" s="717">
        <v>0.15</v>
      </c>
      <c r="BV113" s="717">
        <v>0.1575</v>
      </c>
      <c r="BW113" s="717">
        <v>0.16500000000000001</v>
      </c>
      <c r="BX113" s="717">
        <f t="shared" si="35"/>
        <v>-7.0000000000000007E-2</v>
      </c>
      <c r="BY113" s="717"/>
      <c r="BZ113" s="717">
        <f t="shared" si="36"/>
        <v>7.0000000000000007E-2</v>
      </c>
      <c r="CA113" s="756">
        <f t="shared" si="40"/>
        <v>0</v>
      </c>
      <c r="CB113" s="716">
        <f t="shared" si="37"/>
        <v>0</v>
      </c>
      <c r="CC113" s="789">
        <f t="shared" si="38"/>
        <v>3.0720000000000001</v>
      </c>
      <c r="CD113" s="793">
        <f t="shared" si="39"/>
        <v>0.16500000000000001</v>
      </c>
    </row>
    <row r="114" spans="1:82" ht="13.8" x14ac:dyDescent="0.3">
      <c r="A114" s="553">
        <f t="shared" si="23"/>
        <v>39995</v>
      </c>
      <c r="B114" s="717">
        <v>7.4083859992294013E-2</v>
      </c>
      <c r="C114" s="399"/>
      <c r="D114" s="989">
        <v>38838</v>
      </c>
      <c r="E114" s="990">
        <v>32.17</v>
      </c>
      <c r="F114" s="990">
        <v>33.85</v>
      </c>
      <c r="G114" s="990">
        <v>35.53</v>
      </c>
      <c r="H114" s="977"/>
      <c r="I114" s="990">
        <v>18.75999771118164</v>
      </c>
      <c r="J114" s="990">
        <v>19.59999771118164</v>
      </c>
      <c r="K114" s="990">
        <v>20.43999771118164</v>
      </c>
      <c r="L114" s="12"/>
      <c r="M114" s="1004">
        <v>39722</v>
      </c>
      <c r="N114" s="991">
        <v>23.063000106811518</v>
      </c>
      <c r="O114" s="991">
        <v>24.000500106811518</v>
      </c>
      <c r="P114" s="991">
        <v>24.938000106811518</v>
      </c>
      <c r="Q114" s="21"/>
      <c r="R114" s="991">
        <v>18.700999832153315</v>
      </c>
      <c r="S114" s="991">
        <v>22.000999832153315</v>
      </c>
      <c r="T114" s="991">
        <v>25.300999832153316</v>
      </c>
      <c r="U114" s="21"/>
      <c r="V114" s="991">
        <v>0.8</v>
      </c>
      <c r="W114" s="991">
        <v>0.8</v>
      </c>
      <c r="X114" s="991">
        <v>0.8</v>
      </c>
      <c r="Y114" s="21"/>
      <c r="Z114" s="991">
        <v>8.3905226125664048E-2</v>
      </c>
      <c r="AA114" s="991">
        <v>0.1678104522513281</v>
      </c>
      <c r="AB114" s="991">
        <v>0.25171567837699216</v>
      </c>
      <c r="AC114" s="21"/>
      <c r="AD114" s="991">
        <v>2.5522890677453561E-2</v>
      </c>
      <c r="AE114" s="991">
        <v>5.1045781354907123E-2</v>
      </c>
      <c r="AF114" s="991">
        <v>7.6568672032360688E-2</v>
      </c>
      <c r="AG114" s="21"/>
      <c r="AH114" s="991">
        <v>-0.25</v>
      </c>
      <c r="AI114" s="991">
        <v>1.1000000000000001</v>
      </c>
      <c r="AJ114" s="991">
        <v>0.3</v>
      </c>
      <c r="AK114" s="21"/>
      <c r="AL114" s="991">
        <v>-0.15</v>
      </c>
      <c r="AM114" s="991">
        <v>0.35</v>
      </c>
      <c r="AN114" s="991">
        <v>0.2</v>
      </c>
      <c r="AO114" s="21"/>
      <c r="AP114" s="12">
        <v>36</v>
      </c>
      <c r="AQ114" s="992">
        <v>0.4</v>
      </c>
      <c r="AR114" s="21"/>
      <c r="AS114" s="21"/>
      <c r="AT114" s="21"/>
      <c r="AU114" s="21"/>
      <c r="AV114" s="21"/>
      <c r="AW114" s="21"/>
      <c r="AX114" s="21"/>
      <c r="AY114" s="21"/>
      <c r="AZ114" s="21"/>
      <c r="BA114" s="21"/>
      <c r="BB114" s="21"/>
      <c r="BC114" s="21"/>
      <c r="BD114" s="21"/>
      <c r="BE114" s="21"/>
      <c r="BF114" s="21"/>
      <c r="BH114" s="20"/>
      <c r="BI114" s="20"/>
      <c r="BJ114" s="395"/>
      <c r="BK114"/>
      <c r="BL114"/>
      <c r="BM114"/>
      <c r="BN114"/>
      <c r="BO114"/>
      <c r="BP114"/>
      <c r="BQ114" s="553">
        <f t="shared" si="24"/>
        <v>39904</v>
      </c>
      <c r="BR114" s="716">
        <v>3.0225</v>
      </c>
      <c r="BS114" s="716">
        <v>3.0274999999999999</v>
      </c>
      <c r="BT114" s="716">
        <v>3.0325000000000002</v>
      </c>
      <c r="BU114" s="717">
        <v>0.15</v>
      </c>
      <c r="BV114" s="717">
        <v>0.1575</v>
      </c>
      <c r="BW114" s="717">
        <v>0.16500000000000001</v>
      </c>
      <c r="BX114" s="717">
        <f t="shared" si="35"/>
        <v>-7.0000000000000007E-2</v>
      </c>
      <c r="BY114" s="717"/>
      <c r="BZ114" s="717">
        <f t="shared" si="36"/>
        <v>7.0000000000000007E-2</v>
      </c>
      <c r="CA114" s="756">
        <f t="shared" si="40"/>
        <v>0</v>
      </c>
      <c r="CB114" s="716">
        <f t="shared" si="37"/>
        <v>0</v>
      </c>
      <c r="CC114" s="789">
        <f t="shared" si="38"/>
        <v>3.0225</v>
      </c>
      <c r="CD114" s="793">
        <f t="shared" si="39"/>
        <v>0.16500000000000001</v>
      </c>
    </row>
    <row r="115" spans="1:82" ht="13.8" x14ac:dyDescent="0.3">
      <c r="A115" s="553">
        <f t="shared" si="23"/>
        <v>40026</v>
      </c>
      <c r="B115" s="717">
        <v>7.4099145449646006E-2</v>
      </c>
      <c r="C115" s="399"/>
      <c r="D115" s="989">
        <v>38869</v>
      </c>
      <c r="E115" s="990">
        <v>44.16</v>
      </c>
      <c r="F115" s="990">
        <v>49</v>
      </c>
      <c r="G115" s="990">
        <v>53.84</v>
      </c>
      <c r="H115" s="977"/>
      <c r="I115" s="990">
        <v>17.134998779296872</v>
      </c>
      <c r="J115" s="990">
        <v>19.554998779296874</v>
      </c>
      <c r="K115" s="990">
        <v>21.974998779296875</v>
      </c>
      <c r="L115" s="12"/>
      <c r="M115" s="1004">
        <v>39753</v>
      </c>
      <c r="N115" s="991">
        <v>24.067251586914058</v>
      </c>
      <c r="O115" s="991">
        <v>25.004751586914058</v>
      </c>
      <c r="P115" s="991">
        <v>25.942251586914058</v>
      </c>
      <c r="Q115" s="21"/>
      <c r="R115" s="991">
        <v>19.704499816894526</v>
      </c>
      <c r="S115" s="991">
        <v>23.004499816894526</v>
      </c>
      <c r="T115" s="991">
        <v>26.304499816894527</v>
      </c>
      <c r="U115" s="21"/>
      <c r="V115" s="991">
        <v>0.8</v>
      </c>
      <c r="W115" s="991">
        <v>0.8</v>
      </c>
      <c r="X115" s="991">
        <v>0.8</v>
      </c>
      <c r="Y115" s="21"/>
      <c r="Z115" s="991">
        <v>8.3905226125664048E-2</v>
      </c>
      <c r="AA115" s="991">
        <v>0.1678104522513281</v>
      </c>
      <c r="AB115" s="991">
        <v>0.25171567837699216</v>
      </c>
      <c r="AC115" s="21"/>
      <c r="AD115" s="991">
        <v>2.5522890677453561E-2</v>
      </c>
      <c r="AE115" s="991">
        <v>5.1045781354907123E-2</v>
      </c>
      <c r="AF115" s="991">
        <v>7.6568672032360688E-2</v>
      </c>
      <c r="AG115" s="21"/>
      <c r="AH115" s="991">
        <v>-0.25</v>
      </c>
      <c r="AI115" s="991">
        <v>1.25</v>
      </c>
      <c r="AJ115" s="991">
        <v>0.3</v>
      </c>
      <c r="AK115" s="21"/>
      <c r="AL115" s="991">
        <v>-0.15</v>
      </c>
      <c r="AM115" s="991">
        <v>0.3</v>
      </c>
      <c r="AN115" s="991">
        <v>0.2</v>
      </c>
      <c r="AO115" s="21"/>
      <c r="AP115" s="12">
        <v>36</v>
      </c>
      <c r="AQ115" s="992">
        <v>0.4</v>
      </c>
      <c r="AR115" s="21"/>
      <c r="AS115" s="21"/>
      <c r="AT115" s="21"/>
      <c r="AU115" s="21"/>
      <c r="AV115" s="21"/>
      <c r="AW115" s="21"/>
      <c r="AX115" s="21"/>
      <c r="AY115" s="21"/>
      <c r="AZ115" s="21"/>
      <c r="BA115" s="21"/>
      <c r="BB115" s="21"/>
      <c r="BC115" s="21"/>
      <c r="BD115" s="21"/>
      <c r="BE115" s="21"/>
      <c r="BF115" s="21"/>
      <c r="BH115" s="20"/>
      <c r="BI115" s="20"/>
      <c r="BJ115" s="395"/>
      <c r="BK115"/>
      <c r="BL115"/>
      <c r="BM115"/>
      <c r="BN115"/>
      <c r="BO115"/>
      <c r="BP115"/>
      <c r="BQ115" s="553">
        <f t="shared" si="24"/>
        <v>39934</v>
      </c>
      <c r="BR115" s="716">
        <v>2.9965000000000002</v>
      </c>
      <c r="BS115" s="716">
        <v>3.0015000000000001</v>
      </c>
      <c r="BT115" s="716">
        <v>3.0065</v>
      </c>
      <c r="BU115" s="717">
        <v>0.15</v>
      </c>
      <c r="BV115" s="717">
        <v>0.1575</v>
      </c>
      <c r="BW115" s="717">
        <v>0.16500000000000001</v>
      </c>
      <c r="BX115" s="717">
        <f t="shared" si="35"/>
        <v>-7.0000000000000007E-2</v>
      </c>
      <c r="BY115" s="717"/>
      <c r="BZ115" s="717">
        <f t="shared" si="36"/>
        <v>7.0000000000000007E-2</v>
      </c>
      <c r="CA115" s="756">
        <f t="shared" si="40"/>
        <v>0</v>
      </c>
      <c r="CB115" s="716">
        <f t="shared" si="37"/>
        <v>0</v>
      </c>
      <c r="CC115" s="789">
        <f t="shared" si="38"/>
        <v>2.9965000000000002</v>
      </c>
      <c r="CD115" s="793">
        <f t="shared" si="39"/>
        <v>0.16500000000000001</v>
      </c>
    </row>
    <row r="116" spans="1:82" ht="13.8" x14ac:dyDescent="0.3">
      <c r="A116" s="553">
        <f t="shared" si="23"/>
        <v>40057</v>
      </c>
      <c r="B116" s="717">
        <v>7.4114430907076992E-2</v>
      </c>
      <c r="C116" s="399"/>
      <c r="D116" s="989">
        <v>38899</v>
      </c>
      <c r="E116" s="990">
        <v>66</v>
      </c>
      <c r="F116" s="990">
        <v>70</v>
      </c>
      <c r="G116" s="990">
        <v>74</v>
      </c>
      <c r="H116" s="977"/>
      <c r="I116" s="990">
        <v>22.049997711181639</v>
      </c>
      <c r="J116" s="990">
        <v>24.049997711181639</v>
      </c>
      <c r="K116" s="990">
        <v>26.049997711181639</v>
      </c>
      <c r="L116" s="12"/>
      <c r="M116" s="1004">
        <v>39783</v>
      </c>
      <c r="N116" s="991">
        <v>25.517498397827143</v>
      </c>
      <c r="O116" s="991">
        <v>26.454998397827143</v>
      </c>
      <c r="P116" s="991">
        <v>27.392498397827143</v>
      </c>
      <c r="Q116" s="21"/>
      <c r="R116" s="991">
        <v>19.649999237060541</v>
      </c>
      <c r="S116" s="991">
        <v>22.949999237060542</v>
      </c>
      <c r="T116" s="991">
        <v>26.249999237060543</v>
      </c>
      <c r="U116" s="21"/>
      <c r="V116" s="991">
        <v>0.8</v>
      </c>
      <c r="W116" s="991">
        <v>0.8</v>
      </c>
      <c r="X116" s="991">
        <v>0.8</v>
      </c>
      <c r="Y116" s="21"/>
      <c r="Z116" s="991">
        <v>8.6922043244789041E-2</v>
      </c>
      <c r="AA116" s="991">
        <v>0.17384408648957808</v>
      </c>
      <c r="AB116" s="991">
        <v>0.26076612973436714</v>
      </c>
      <c r="AC116" s="21"/>
      <c r="AD116" s="991">
        <v>2.5522890677453561E-2</v>
      </c>
      <c r="AE116" s="991">
        <v>5.1045781354907123E-2</v>
      </c>
      <c r="AF116" s="991">
        <v>7.6568672032360688E-2</v>
      </c>
      <c r="AG116" s="21"/>
      <c r="AH116" s="991">
        <v>-0.25</v>
      </c>
      <c r="AI116" s="991">
        <v>1.25</v>
      </c>
      <c r="AJ116" s="991">
        <v>0.35</v>
      </c>
      <c r="AK116" s="21"/>
      <c r="AL116" s="991">
        <v>-0.15</v>
      </c>
      <c r="AM116" s="991">
        <v>0.3</v>
      </c>
      <c r="AN116" s="991">
        <v>0.2</v>
      </c>
      <c r="AO116" s="21"/>
      <c r="AP116" s="12">
        <v>36</v>
      </c>
      <c r="AQ116" s="992">
        <v>0.4</v>
      </c>
      <c r="AR116" s="21"/>
      <c r="AS116" s="21"/>
      <c r="AT116" s="21"/>
      <c r="AU116" s="21"/>
      <c r="AV116" s="21"/>
      <c r="AW116" s="21"/>
      <c r="AX116" s="21"/>
      <c r="AY116" s="21"/>
      <c r="AZ116" s="21"/>
      <c r="BA116" s="21"/>
      <c r="BB116" s="21"/>
      <c r="BC116" s="21"/>
      <c r="BD116" s="21"/>
      <c r="BE116" s="21"/>
      <c r="BF116" s="21"/>
      <c r="BH116" s="20"/>
      <c r="BI116" s="20"/>
      <c r="BJ116" s="395"/>
      <c r="BK116"/>
      <c r="BL116"/>
      <c r="BM116"/>
      <c r="BN116"/>
      <c r="BO116"/>
      <c r="BP116"/>
      <c r="BQ116" s="553">
        <f t="shared" si="24"/>
        <v>39965</v>
      </c>
      <c r="BR116" s="716">
        <v>3.0024999999999999</v>
      </c>
      <c r="BS116" s="716">
        <v>3.0074999999999998</v>
      </c>
      <c r="BT116" s="716">
        <v>3.0125000000000002</v>
      </c>
      <c r="BU116" s="717">
        <v>0.15</v>
      </c>
      <c r="BV116" s="717">
        <v>0.1575</v>
      </c>
      <c r="BW116" s="717">
        <v>0.16500000000000001</v>
      </c>
      <c r="BX116" s="717">
        <f t="shared" si="35"/>
        <v>-7.0000000000000007E-2</v>
      </c>
      <c r="BY116" s="717"/>
      <c r="BZ116" s="717">
        <f t="shared" si="36"/>
        <v>7.0000000000000007E-2</v>
      </c>
      <c r="CA116" s="756">
        <f t="shared" si="40"/>
        <v>0</v>
      </c>
      <c r="CB116" s="716">
        <f t="shared" si="37"/>
        <v>0</v>
      </c>
      <c r="CC116" s="789">
        <f t="shared" si="38"/>
        <v>3.0024999999999999</v>
      </c>
      <c r="CD116" s="793">
        <f t="shared" si="39"/>
        <v>0.16500000000000001</v>
      </c>
    </row>
    <row r="117" spans="1:82" ht="13.8" x14ac:dyDescent="0.3">
      <c r="A117" s="553">
        <f t="shared" si="23"/>
        <v>40087</v>
      </c>
      <c r="B117" s="717">
        <v>7.4129223285308993E-2</v>
      </c>
      <c r="C117" s="399"/>
      <c r="D117" s="989">
        <v>38930</v>
      </c>
      <c r="E117" s="990">
        <v>61.5</v>
      </c>
      <c r="F117" s="990">
        <v>65.5</v>
      </c>
      <c r="G117" s="990">
        <v>69.5</v>
      </c>
      <c r="H117" s="977"/>
      <c r="I117" s="990">
        <v>22.399998092651366</v>
      </c>
      <c r="J117" s="990">
        <v>24.399998092651366</v>
      </c>
      <c r="K117" s="990">
        <v>26.399998092651366</v>
      </c>
      <c r="L117" s="12"/>
      <c r="M117" s="1004">
        <v>39814</v>
      </c>
      <c r="N117" s="991">
        <v>28.798748779296869</v>
      </c>
      <c r="O117" s="991">
        <v>29.848748779296869</v>
      </c>
      <c r="P117" s="991">
        <v>30.89874877929687</v>
      </c>
      <c r="Q117" s="21"/>
      <c r="R117" s="991">
        <v>25.052500534057611</v>
      </c>
      <c r="S117" s="991">
        <v>28.352500534057612</v>
      </c>
      <c r="T117" s="991">
        <v>31.652500534057612</v>
      </c>
      <c r="U117" s="21"/>
      <c r="V117" s="991">
        <v>0.8</v>
      </c>
      <c r="W117" s="991">
        <v>0.8</v>
      </c>
      <c r="X117" s="991">
        <v>0.8</v>
      </c>
      <c r="Y117" s="21"/>
      <c r="Z117" s="991">
        <v>9.387399102740232E-2</v>
      </c>
      <c r="AA117" s="991">
        <v>0.18774798205480464</v>
      </c>
      <c r="AB117" s="991">
        <v>0.28162197308220693</v>
      </c>
      <c r="AC117" s="21"/>
      <c r="AD117" s="991">
        <v>2.9181171674555251E-2</v>
      </c>
      <c r="AE117" s="991">
        <v>5.8362343349110501E-2</v>
      </c>
      <c r="AF117" s="991">
        <v>8.7543515023665752E-2</v>
      </c>
      <c r="AG117" s="21"/>
      <c r="AH117" s="991">
        <v>-0.75</v>
      </c>
      <c r="AI117" s="991">
        <v>2</v>
      </c>
      <c r="AJ117" s="991">
        <v>0.75</v>
      </c>
      <c r="AK117" s="21"/>
      <c r="AL117" s="991">
        <v>-0.15</v>
      </c>
      <c r="AM117" s="991">
        <v>0.5</v>
      </c>
      <c r="AN117" s="991">
        <v>0.2</v>
      </c>
      <c r="AO117" s="21"/>
      <c r="AP117" s="12">
        <v>37</v>
      </c>
      <c r="AQ117" s="992">
        <v>0.4</v>
      </c>
      <c r="AR117" s="21"/>
      <c r="AS117" s="21"/>
      <c r="AT117" s="21"/>
      <c r="AU117" s="21"/>
      <c r="AV117" s="21"/>
      <c r="AW117" s="21"/>
      <c r="AX117" s="21"/>
      <c r="AY117" s="21"/>
      <c r="AZ117" s="21"/>
      <c r="BA117" s="21"/>
      <c r="BB117" s="21"/>
      <c r="BC117" s="21"/>
      <c r="BD117" s="21"/>
      <c r="BE117" s="21"/>
      <c r="BF117" s="21"/>
      <c r="BH117" s="20"/>
      <c r="BI117" s="20"/>
      <c r="BJ117" s="395"/>
      <c r="BK117"/>
      <c r="BL117"/>
      <c r="BM117"/>
      <c r="BN117"/>
      <c r="BO117"/>
      <c r="BP117"/>
      <c r="BQ117" s="553">
        <f t="shared" si="24"/>
        <v>39995</v>
      </c>
      <c r="BR117" s="716">
        <v>3.0125000000000002</v>
      </c>
      <c r="BS117" s="716">
        <v>3.0175000000000001</v>
      </c>
      <c r="BT117" s="716">
        <v>3.0225</v>
      </c>
      <c r="BU117" s="717">
        <v>0.15</v>
      </c>
      <c r="BV117" s="717">
        <v>0.1575</v>
      </c>
      <c r="BW117" s="717">
        <v>0.16500000000000001</v>
      </c>
      <c r="BX117" s="717">
        <f t="shared" si="35"/>
        <v>-7.0000000000000007E-2</v>
      </c>
      <c r="BY117" s="717"/>
      <c r="BZ117" s="717">
        <f t="shared" si="36"/>
        <v>7.0000000000000007E-2</v>
      </c>
      <c r="CA117" s="756">
        <f t="shared" si="40"/>
        <v>0</v>
      </c>
      <c r="CB117" s="716">
        <f t="shared" si="37"/>
        <v>0</v>
      </c>
      <c r="CC117" s="789">
        <f t="shared" si="38"/>
        <v>3.0125000000000002</v>
      </c>
      <c r="CD117" s="793">
        <f t="shared" si="39"/>
        <v>0.16500000000000001</v>
      </c>
    </row>
    <row r="118" spans="1:82" ht="13.8" x14ac:dyDescent="0.3">
      <c r="A118" s="553">
        <f t="shared" si="23"/>
        <v>40118</v>
      </c>
      <c r="B118" s="717">
        <v>7.4144508742889997E-2</v>
      </c>
      <c r="C118" s="8"/>
      <c r="D118" s="989">
        <v>38961</v>
      </c>
      <c r="E118" s="990">
        <v>31.65</v>
      </c>
      <c r="F118" s="990">
        <v>32.85</v>
      </c>
      <c r="G118" s="990">
        <v>34.049999999999997</v>
      </c>
      <c r="H118" s="977"/>
      <c r="I118" s="990">
        <v>19.349998092651365</v>
      </c>
      <c r="J118" s="990">
        <v>19.949998092651366</v>
      </c>
      <c r="K118" s="990">
        <v>20.549998092651368</v>
      </c>
      <c r="L118" s="12"/>
      <c r="M118" s="1004">
        <v>39845</v>
      </c>
      <c r="N118" s="991">
        <v>27.796250152587884</v>
      </c>
      <c r="O118" s="991">
        <v>28.846250152587885</v>
      </c>
      <c r="P118" s="991">
        <v>29.896250152587886</v>
      </c>
      <c r="Q118" s="21"/>
      <c r="R118" s="991">
        <v>23.047499465942376</v>
      </c>
      <c r="S118" s="991">
        <v>26.347499465942377</v>
      </c>
      <c r="T118" s="991">
        <v>29.647499465942378</v>
      </c>
      <c r="U118" s="21"/>
      <c r="V118" s="991">
        <v>0.3</v>
      </c>
      <c r="W118" s="991">
        <v>0.3</v>
      </c>
      <c r="X118" s="991">
        <v>0.3</v>
      </c>
      <c r="Y118" s="21"/>
      <c r="Z118" s="991">
        <v>9.0556888870957017E-2</v>
      </c>
      <c r="AA118" s="991">
        <v>0.18111377774191403</v>
      </c>
      <c r="AB118" s="991">
        <v>0.27167066661287104</v>
      </c>
      <c r="AC118" s="21"/>
      <c r="AD118" s="991">
        <v>2.9181171674555251E-2</v>
      </c>
      <c r="AE118" s="991">
        <v>5.8362343349110501E-2</v>
      </c>
      <c r="AF118" s="991">
        <v>8.7543515023665752E-2</v>
      </c>
      <c r="AG118" s="21"/>
      <c r="AH118" s="991">
        <v>-0.75</v>
      </c>
      <c r="AI118" s="991">
        <v>2</v>
      </c>
      <c r="AJ118" s="991">
        <v>0.75</v>
      </c>
      <c r="AK118" s="21"/>
      <c r="AL118" s="991">
        <v>-0.15</v>
      </c>
      <c r="AM118" s="991">
        <v>0.5</v>
      </c>
      <c r="AN118" s="991">
        <v>0.2</v>
      </c>
      <c r="AO118" s="21"/>
      <c r="AP118" s="12">
        <v>37</v>
      </c>
      <c r="AQ118" s="992">
        <v>0.4</v>
      </c>
      <c r="AR118" s="21"/>
      <c r="AS118" s="21"/>
      <c r="AT118" s="21"/>
      <c r="AU118" s="21"/>
      <c r="AV118" s="21"/>
      <c r="AW118" s="21"/>
      <c r="AX118" s="21"/>
      <c r="AY118" s="21"/>
      <c r="AZ118" s="21"/>
      <c r="BA118" s="21"/>
      <c r="BB118" s="21"/>
      <c r="BC118" s="21"/>
      <c r="BD118" s="21"/>
      <c r="BE118" s="21"/>
      <c r="BF118" s="21"/>
      <c r="BH118" s="20"/>
      <c r="BI118" s="20"/>
      <c r="BJ118" s="395"/>
      <c r="BK118"/>
      <c r="BL118"/>
      <c r="BM118"/>
      <c r="BN118"/>
      <c r="BO118"/>
      <c r="BP118"/>
      <c r="BQ118" s="553">
        <f t="shared" si="24"/>
        <v>40026</v>
      </c>
      <c r="BR118" s="716">
        <v>3.0195000000000003</v>
      </c>
      <c r="BS118" s="716">
        <v>3.0245000000000002</v>
      </c>
      <c r="BT118" s="716">
        <v>3.0295000000000001</v>
      </c>
      <c r="BU118" s="717">
        <v>0.15</v>
      </c>
      <c r="BV118" s="717">
        <v>0.1575</v>
      </c>
      <c r="BW118" s="717">
        <v>0.16500000000000001</v>
      </c>
      <c r="BX118" s="717">
        <f t="shared" si="35"/>
        <v>-7.0000000000000007E-2</v>
      </c>
      <c r="BY118" s="717"/>
      <c r="BZ118" s="717">
        <f t="shared" si="36"/>
        <v>7.0000000000000007E-2</v>
      </c>
      <c r="CA118" s="756">
        <f t="shared" si="40"/>
        <v>0</v>
      </c>
      <c r="CB118" s="716">
        <f t="shared" si="37"/>
        <v>0</v>
      </c>
      <c r="CC118" s="789">
        <f t="shared" si="38"/>
        <v>3.0195000000000003</v>
      </c>
      <c r="CD118" s="793">
        <f t="shared" si="39"/>
        <v>0.16500000000000001</v>
      </c>
    </row>
    <row r="119" spans="1:82" ht="13.8" x14ac:dyDescent="0.3">
      <c r="A119" s="553">
        <f t="shared" si="23"/>
        <v>40148</v>
      </c>
      <c r="B119" s="717">
        <v>7.4159301121268992E-2</v>
      </c>
      <c r="C119" s="8"/>
      <c r="D119" s="989">
        <v>38991</v>
      </c>
      <c r="E119" s="990">
        <v>29.55</v>
      </c>
      <c r="F119" s="990">
        <v>30.6</v>
      </c>
      <c r="G119" s="990">
        <v>31.65</v>
      </c>
      <c r="H119" s="977"/>
      <c r="I119" s="990">
        <v>19.124998855590821</v>
      </c>
      <c r="J119" s="990">
        <v>19.64999885559082</v>
      </c>
      <c r="K119" s="990">
        <v>20.174998855590818</v>
      </c>
      <c r="L119" s="12"/>
      <c r="M119" s="1004">
        <v>39873</v>
      </c>
      <c r="N119" s="991">
        <v>21.434749603271477</v>
      </c>
      <c r="O119" s="991">
        <v>22.034749603271479</v>
      </c>
      <c r="P119" s="991">
        <v>22.63474960327148</v>
      </c>
      <c r="Q119" s="21"/>
      <c r="R119" s="991">
        <v>18.364498901367181</v>
      </c>
      <c r="S119" s="991">
        <v>21.664498901367182</v>
      </c>
      <c r="T119" s="991">
        <v>24.964498901367183</v>
      </c>
      <c r="U119" s="21"/>
      <c r="V119" s="991">
        <v>0.3</v>
      </c>
      <c r="W119" s="991">
        <v>0.3</v>
      </c>
      <c r="X119" s="991">
        <v>0.3</v>
      </c>
      <c r="Y119" s="21"/>
      <c r="Z119" s="991">
        <v>8.8143697052143061E-2</v>
      </c>
      <c r="AA119" s="991">
        <v>0.17628739410428612</v>
      </c>
      <c r="AB119" s="991">
        <v>0.26443109115642915</v>
      </c>
      <c r="AC119" s="21"/>
      <c r="AD119" s="991">
        <v>2.5012432863904491E-2</v>
      </c>
      <c r="AE119" s="991">
        <v>5.0024865727808981E-2</v>
      </c>
      <c r="AF119" s="991">
        <v>7.5037298591713472E-2</v>
      </c>
      <c r="AG119" s="21"/>
      <c r="AH119" s="991">
        <v>-0.25</v>
      </c>
      <c r="AI119" s="991">
        <v>1.3</v>
      </c>
      <c r="AJ119" s="991">
        <v>0.3</v>
      </c>
      <c r="AK119" s="21"/>
      <c r="AL119" s="991">
        <v>-0.15</v>
      </c>
      <c r="AM119" s="991">
        <v>0.35</v>
      </c>
      <c r="AN119" s="991">
        <v>0.2</v>
      </c>
      <c r="AO119" s="21"/>
      <c r="AP119" s="12">
        <v>37</v>
      </c>
      <c r="AQ119" s="992">
        <v>0.4</v>
      </c>
      <c r="AR119" s="21"/>
      <c r="AS119" s="21"/>
      <c r="AT119" s="21"/>
      <c r="AU119" s="21"/>
      <c r="AV119" s="21"/>
      <c r="AW119" s="21"/>
      <c r="AX119" s="21"/>
      <c r="AY119" s="21"/>
      <c r="AZ119" s="21"/>
      <c r="BA119" s="21"/>
      <c r="BB119" s="21"/>
      <c r="BC119" s="21"/>
      <c r="BD119" s="21"/>
      <c r="BE119" s="21"/>
      <c r="BF119" s="21"/>
      <c r="BH119" s="20"/>
      <c r="BI119" s="20"/>
      <c r="BJ119" s="395"/>
      <c r="BK119"/>
      <c r="BL119"/>
      <c r="BM119"/>
      <c r="BN119"/>
      <c r="BO119"/>
      <c r="BP119"/>
      <c r="BQ119" s="553">
        <f t="shared" si="24"/>
        <v>40057</v>
      </c>
      <c r="BR119" s="716">
        <v>3.0265</v>
      </c>
      <c r="BS119" s="716">
        <v>3.0315000000000003</v>
      </c>
      <c r="BT119" s="716">
        <v>3.0365000000000002</v>
      </c>
      <c r="BU119" s="717">
        <v>0.15</v>
      </c>
      <c r="BV119" s="717">
        <v>0.1575</v>
      </c>
      <c r="BW119" s="717">
        <v>0.16500000000000001</v>
      </c>
      <c r="BX119" s="717">
        <f t="shared" ref="BX119:BX134" si="41">BY119-$BX$4</f>
        <v>-7.0000000000000007E-2</v>
      </c>
      <c r="BY119" s="717"/>
      <c r="BZ119" s="717">
        <f t="shared" ref="BZ119:BZ134" si="42">BY119+$BZ$4</f>
        <v>7.0000000000000007E-2</v>
      </c>
      <c r="CA119" s="756">
        <f t="shared" si="40"/>
        <v>0</v>
      </c>
      <c r="CB119" s="716">
        <f t="shared" ref="CB119:CB134" si="43">GasBasis</f>
        <v>0</v>
      </c>
      <c r="CC119" s="789">
        <f t="shared" ref="CC119:CC134" si="44">(IF(GasPriceCurve,IF(OBuySell=OCallPut,BT119,BR119),BS119)+CA119/1000+CB119)/(1-GasTransportPercent)</f>
        <v>3.0265</v>
      </c>
      <c r="CD119" s="793">
        <f t="shared" ref="CD119:CD134" si="45">IF(GasVolOver,GasVolOver,IF(OVolType=2,IF(OR(BU119="",BV119="",BW119=""),CD118,IF(GasVolCurve,IF(OBuySell,BU119,BW119),BV119)*GasVolAsPercentOfNYMEX),IF(OR(BU119="",BV119="",BW119="",BY119=""),CD118,SQRT(((IF(GasVolCurve,IF(OBuySell,BU119,BW119),BV119)*GasVolAsPercentOfNYMEX)^2*(BQ119-DateToday-1)+IF(GasVolCurve,IF(OBuySell,BX119,BZ119),BY119)^2*15)/(BQ119-DateToday+14))))+GasVolSpread)</f>
        <v>0.16500000000000001</v>
      </c>
    </row>
    <row r="120" spans="1:82" ht="13.8" x14ac:dyDescent="0.3">
      <c r="A120" s="553">
        <f t="shared" si="23"/>
        <v>40179</v>
      </c>
      <c r="B120" s="717">
        <v>7.4174586579002E-2</v>
      </c>
      <c r="C120" s="8"/>
      <c r="D120" s="989">
        <v>39022</v>
      </c>
      <c r="E120" s="990">
        <v>29.925000000000001</v>
      </c>
      <c r="F120" s="990">
        <v>30.975000000000001</v>
      </c>
      <c r="G120" s="990">
        <v>32.024999999999999</v>
      </c>
      <c r="H120" s="977"/>
      <c r="I120" s="990">
        <v>19.049998092651368</v>
      </c>
      <c r="J120" s="990">
        <v>19.574998092651366</v>
      </c>
      <c r="K120" s="990">
        <v>20.099998092651365</v>
      </c>
      <c r="L120" s="12"/>
      <c r="M120" s="1004">
        <v>39904</v>
      </c>
      <c r="N120" s="991">
        <v>22.230000305175775</v>
      </c>
      <c r="O120" s="991">
        <v>22.717500305175776</v>
      </c>
      <c r="P120" s="991">
        <v>23.205000305175776</v>
      </c>
      <c r="Q120" s="21"/>
      <c r="R120" s="991">
        <v>18.13499908447265</v>
      </c>
      <c r="S120" s="991">
        <v>21.434999084472651</v>
      </c>
      <c r="T120" s="991">
        <v>24.734999084472651</v>
      </c>
      <c r="U120" s="21"/>
      <c r="V120" s="991">
        <v>0.3</v>
      </c>
      <c r="W120" s="991">
        <v>0.3</v>
      </c>
      <c r="X120" s="991">
        <v>0.3</v>
      </c>
      <c r="Y120" s="21"/>
      <c r="Z120" s="991">
        <v>7.866507764010057E-2</v>
      </c>
      <c r="AA120" s="991">
        <v>0.15733015528020114</v>
      </c>
      <c r="AB120" s="991">
        <v>0.23599523292030172</v>
      </c>
      <c r="AC120" s="21"/>
      <c r="AD120" s="991">
        <v>2.5012432863904491E-2</v>
      </c>
      <c r="AE120" s="991">
        <v>5.0024865727808981E-2</v>
      </c>
      <c r="AF120" s="991">
        <v>7.5037298591713472E-2</v>
      </c>
      <c r="AG120" s="21"/>
      <c r="AH120" s="991">
        <v>-0.25</v>
      </c>
      <c r="AI120" s="991">
        <v>1.1000000000000001</v>
      </c>
      <c r="AJ120" s="991">
        <v>0.3</v>
      </c>
      <c r="AK120" s="21"/>
      <c r="AL120" s="991">
        <v>-0.15</v>
      </c>
      <c r="AM120" s="991">
        <v>0.35</v>
      </c>
      <c r="AN120" s="991">
        <v>0.2</v>
      </c>
      <c r="AO120" s="21"/>
      <c r="AP120" s="12">
        <v>38</v>
      </c>
      <c r="AQ120" s="992">
        <v>0.4</v>
      </c>
      <c r="AR120" s="21"/>
      <c r="AS120" s="21"/>
      <c r="AT120" s="21"/>
      <c r="AU120" s="21"/>
      <c r="AV120" s="21"/>
      <c r="AW120" s="21"/>
      <c r="AX120" s="21"/>
      <c r="AY120" s="21"/>
      <c r="AZ120" s="21"/>
      <c r="BA120" s="21"/>
      <c r="BB120" s="21"/>
      <c r="BC120" s="21"/>
      <c r="BD120" s="21"/>
      <c r="BE120" s="21"/>
      <c r="BF120" s="21"/>
      <c r="BH120" s="20"/>
      <c r="BI120" s="20"/>
      <c r="BJ120" s="395"/>
      <c r="BK120"/>
      <c r="BL120"/>
      <c r="BM120"/>
      <c r="BN120"/>
      <c r="BO120"/>
      <c r="BP120"/>
      <c r="BQ120" s="553">
        <f t="shared" si="24"/>
        <v>40087</v>
      </c>
      <c r="BR120" s="716">
        <v>3.0525000000000002</v>
      </c>
      <c r="BS120" s="716">
        <v>3.0575000000000001</v>
      </c>
      <c r="BT120" s="716">
        <v>3.0625</v>
      </c>
      <c r="BU120" s="717">
        <v>0.15</v>
      </c>
      <c r="BV120" s="717">
        <v>0.1575</v>
      </c>
      <c r="BW120" s="717">
        <v>0.16500000000000001</v>
      </c>
      <c r="BX120" s="717">
        <f t="shared" si="41"/>
        <v>-7.0000000000000007E-2</v>
      </c>
      <c r="BY120" s="717"/>
      <c r="BZ120" s="717">
        <f t="shared" si="42"/>
        <v>7.0000000000000007E-2</v>
      </c>
      <c r="CA120" s="756">
        <f t="shared" si="40"/>
        <v>0</v>
      </c>
      <c r="CB120" s="716">
        <f t="shared" si="43"/>
        <v>0</v>
      </c>
      <c r="CC120" s="789">
        <f t="shared" si="44"/>
        <v>3.0525000000000002</v>
      </c>
      <c r="CD120" s="793">
        <f t="shared" si="45"/>
        <v>0.16500000000000001</v>
      </c>
    </row>
    <row r="121" spans="1:82" ht="13.8" x14ac:dyDescent="0.3">
      <c r="A121" s="553">
        <f t="shared" si="23"/>
        <v>40210</v>
      </c>
      <c r="B121" s="717">
        <v>7.4189872036813001E-2</v>
      </c>
      <c r="C121" s="8"/>
      <c r="D121" s="989">
        <v>39052</v>
      </c>
      <c r="E121" s="990">
        <v>29.8</v>
      </c>
      <c r="F121" s="990">
        <v>30.85</v>
      </c>
      <c r="G121" s="990">
        <v>31.9</v>
      </c>
      <c r="H121" s="977"/>
      <c r="I121" s="990">
        <v>20.474999237060548</v>
      </c>
      <c r="J121" s="990">
        <v>20.999999237060546</v>
      </c>
      <c r="K121" s="990">
        <v>21.524999237060545</v>
      </c>
      <c r="L121" s="12"/>
      <c r="M121" s="1004">
        <v>39934</v>
      </c>
      <c r="N121" s="991">
        <v>21.14500007629394</v>
      </c>
      <c r="O121" s="991">
        <v>22.83250007629394</v>
      </c>
      <c r="P121" s="991">
        <v>24.52000007629394</v>
      </c>
      <c r="Q121" s="21"/>
      <c r="R121" s="991">
        <v>18.664999771118158</v>
      </c>
      <c r="S121" s="991">
        <v>21.964999771118158</v>
      </c>
      <c r="T121" s="991">
        <v>25.264999771118159</v>
      </c>
      <c r="U121" s="21"/>
      <c r="V121" s="991">
        <v>0.3</v>
      </c>
      <c r="W121" s="991">
        <v>0.3</v>
      </c>
      <c r="X121" s="991">
        <v>0.3</v>
      </c>
      <c r="Y121" s="21"/>
      <c r="Z121" s="991">
        <v>9.0606645403303696E-2</v>
      </c>
      <c r="AA121" s="991">
        <v>0.18121329080660739</v>
      </c>
      <c r="AB121" s="991">
        <v>0.27181993620991107</v>
      </c>
      <c r="AC121" s="21"/>
      <c r="AD121" s="991">
        <v>2.9181171674555251E-2</v>
      </c>
      <c r="AE121" s="991">
        <v>5.8362343349110501E-2</v>
      </c>
      <c r="AF121" s="991">
        <v>8.7543515023665752E-2</v>
      </c>
      <c r="AG121" s="21"/>
      <c r="AH121" s="991">
        <v>-0.25</v>
      </c>
      <c r="AI121" s="991">
        <v>1.1000000000000001</v>
      </c>
      <c r="AJ121" s="991">
        <v>0.3</v>
      </c>
      <c r="AK121" s="21"/>
      <c r="AL121" s="991">
        <v>-0.15</v>
      </c>
      <c r="AM121" s="991">
        <v>0.5</v>
      </c>
      <c r="AN121" s="991">
        <v>0.2</v>
      </c>
      <c r="AO121" s="21"/>
      <c r="AP121" s="12">
        <v>38</v>
      </c>
      <c r="AQ121" s="992">
        <v>0.4</v>
      </c>
      <c r="AR121" s="21"/>
      <c r="AS121" s="21"/>
      <c r="AT121" s="21"/>
      <c r="AU121" s="21"/>
      <c r="AV121" s="21"/>
      <c r="AW121" s="21"/>
      <c r="AX121" s="21"/>
      <c r="AY121" s="21"/>
      <c r="AZ121" s="21"/>
      <c r="BA121" s="21"/>
      <c r="BB121" s="21"/>
      <c r="BC121" s="21"/>
      <c r="BD121" s="21"/>
      <c r="BE121" s="21"/>
      <c r="BF121" s="21"/>
      <c r="BH121" s="20"/>
      <c r="BI121" s="20"/>
      <c r="BJ121" s="395"/>
      <c r="BK121"/>
      <c r="BL121"/>
      <c r="BM121"/>
      <c r="BN121"/>
      <c r="BO121"/>
      <c r="BP121"/>
      <c r="BQ121" s="553">
        <f t="shared" si="24"/>
        <v>40118</v>
      </c>
      <c r="BR121" s="716">
        <v>3.1875</v>
      </c>
      <c r="BS121" s="716">
        <v>3.1924999999999999</v>
      </c>
      <c r="BT121" s="716">
        <v>3.1974999999999998</v>
      </c>
      <c r="BU121" s="717">
        <v>0.15</v>
      </c>
      <c r="BV121" s="717">
        <v>0.1575</v>
      </c>
      <c r="BW121" s="717">
        <v>0.16500000000000001</v>
      </c>
      <c r="BX121" s="717">
        <f t="shared" si="41"/>
        <v>-7.0000000000000007E-2</v>
      </c>
      <c r="BY121" s="717"/>
      <c r="BZ121" s="717">
        <f t="shared" si="42"/>
        <v>7.0000000000000007E-2</v>
      </c>
      <c r="CA121" s="756">
        <f t="shared" si="40"/>
        <v>0</v>
      </c>
      <c r="CB121" s="716">
        <f t="shared" si="43"/>
        <v>0</v>
      </c>
      <c r="CC121" s="789">
        <f t="shared" si="44"/>
        <v>3.1875</v>
      </c>
      <c r="CD121" s="793">
        <f t="shared" si="45"/>
        <v>0.16500000000000001</v>
      </c>
    </row>
    <row r="122" spans="1:82" ht="13.8" x14ac:dyDescent="0.3">
      <c r="A122" s="553">
        <f t="shared" si="23"/>
        <v>40238</v>
      </c>
      <c r="B122" s="717">
        <v>7.4203678256838004E-2</v>
      </c>
      <c r="C122" s="8"/>
      <c r="D122" s="989">
        <v>39083</v>
      </c>
      <c r="E122" s="990">
        <v>35.75</v>
      </c>
      <c r="F122" s="990">
        <v>36.950000000000003</v>
      </c>
      <c r="G122" s="990">
        <v>38.15</v>
      </c>
      <c r="H122" s="977"/>
      <c r="I122" s="990">
        <v>20.190000152587888</v>
      </c>
      <c r="J122" s="990">
        <v>20.79000015258789</v>
      </c>
      <c r="K122" s="990">
        <v>21.390000152587891</v>
      </c>
      <c r="L122" s="12"/>
      <c r="M122" s="1004">
        <v>39965</v>
      </c>
      <c r="N122" s="991">
        <v>22.413750152587887</v>
      </c>
      <c r="O122" s="991">
        <v>27.258750152587886</v>
      </c>
      <c r="P122" s="991">
        <v>32.103750152587885</v>
      </c>
      <c r="Q122" s="21"/>
      <c r="R122" s="991">
        <v>17.442499542236323</v>
      </c>
      <c r="S122" s="991">
        <v>20.742499542236324</v>
      </c>
      <c r="T122" s="991">
        <v>24.042499542236325</v>
      </c>
      <c r="U122" s="21"/>
      <c r="V122" s="991">
        <v>0.3</v>
      </c>
      <c r="W122" s="991">
        <v>0.3</v>
      </c>
      <c r="X122" s="991">
        <v>0.3</v>
      </c>
      <c r="Y122" s="21"/>
      <c r="Z122" s="991">
        <v>0.11351952854894967</v>
      </c>
      <c r="AA122" s="991">
        <v>0.22703905709789934</v>
      </c>
      <c r="AB122" s="991">
        <v>0.34055858564684904</v>
      </c>
      <c r="AC122" s="21"/>
      <c r="AD122" s="991">
        <v>3.7518649295856743E-2</v>
      </c>
      <c r="AE122" s="991">
        <v>7.5037298591713486E-2</v>
      </c>
      <c r="AF122" s="991">
        <v>0.11255594788757023</v>
      </c>
      <c r="AG122" s="21"/>
      <c r="AH122" s="991">
        <v>-0.35</v>
      </c>
      <c r="AI122" s="991">
        <v>2</v>
      </c>
      <c r="AJ122" s="991">
        <v>0.3</v>
      </c>
      <c r="AK122" s="21"/>
      <c r="AL122" s="991">
        <v>-0.15</v>
      </c>
      <c r="AM122" s="991">
        <v>0.65</v>
      </c>
      <c r="AN122" s="991">
        <v>0.2</v>
      </c>
      <c r="AO122" s="21"/>
      <c r="AP122" s="12">
        <v>38</v>
      </c>
      <c r="AQ122" s="992">
        <v>0.4</v>
      </c>
      <c r="AR122" s="21"/>
      <c r="AS122" s="21"/>
      <c r="AT122" s="21"/>
      <c r="AU122" s="21"/>
      <c r="AV122" s="21"/>
      <c r="AW122" s="21"/>
      <c r="AX122" s="21"/>
      <c r="AY122" s="21"/>
      <c r="AZ122" s="21"/>
      <c r="BA122" s="21"/>
      <c r="BB122" s="21"/>
      <c r="BC122" s="21"/>
      <c r="BD122" s="21"/>
      <c r="BE122" s="21"/>
      <c r="BF122" s="21"/>
      <c r="BH122" s="20"/>
      <c r="BI122" s="20"/>
      <c r="BJ122" s="395"/>
      <c r="BK122"/>
      <c r="BL122"/>
      <c r="BM122"/>
      <c r="BN122"/>
      <c r="BO122"/>
      <c r="BP122"/>
      <c r="BQ122" s="553">
        <f t="shared" si="24"/>
        <v>40148</v>
      </c>
      <c r="BR122" s="716">
        <v>3.3115000000000001</v>
      </c>
      <c r="BS122" s="716">
        <v>3.3165</v>
      </c>
      <c r="BT122" s="716">
        <v>3.3215000000000003</v>
      </c>
      <c r="BU122" s="717">
        <v>0.14749999999999999</v>
      </c>
      <c r="BV122" s="717">
        <v>0.155</v>
      </c>
      <c r="BW122" s="717">
        <v>0.16250000000000001</v>
      </c>
      <c r="BX122" s="717">
        <f t="shared" si="41"/>
        <v>-7.0000000000000007E-2</v>
      </c>
      <c r="BY122" s="717"/>
      <c r="BZ122" s="717">
        <f t="shared" si="42"/>
        <v>7.0000000000000007E-2</v>
      </c>
      <c r="CA122" s="756">
        <f t="shared" si="40"/>
        <v>0</v>
      </c>
      <c r="CB122" s="716">
        <f t="shared" si="43"/>
        <v>0</v>
      </c>
      <c r="CC122" s="789">
        <f t="shared" si="44"/>
        <v>3.3115000000000001</v>
      </c>
      <c r="CD122" s="793">
        <f t="shared" si="45"/>
        <v>0.16250000000000001</v>
      </c>
    </row>
    <row r="123" spans="1:82" ht="13.8" x14ac:dyDescent="0.3">
      <c r="A123" s="553">
        <f t="shared" si="23"/>
        <v>40269</v>
      </c>
      <c r="B123" s="717">
        <v>7.4204388711588007E-2</v>
      </c>
      <c r="C123" s="8"/>
      <c r="D123" s="989">
        <v>39114</v>
      </c>
      <c r="E123" s="990">
        <v>35.75</v>
      </c>
      <c r="F123" s="990">
        <v>36.950000000000003</v>
      </c>
      <c r="G123" s="990">
        <v>38.15</v>
      </c>
      <c r="H123" s="977"/>
      <c r="I123" s="990">
        <v>19.999997711181638</v>
      </c>
      <c r="J123" s="990">
        <v>20.59999771118164</v>
      </c>
      <c r="K123" s="990">
        <v>21.199997711181641</v>
      </c>
      <c r="L123" s="12"/>
      <c r="M123" s="1004">
        <v>39995</v>
      </c>
      <c r="N123" s="991">
        <v>36.711249542236345</v>
      </c>
      <c r="O123" s="991">
        <v>40.461249542236345</v>
      </c>
      <c r="P123" s="991">
        <v>44.211249542236345</v>
      </c>
      <c r="Q123" s="21"/>
      <c r="R123" s="991">
        <v>26.647499465942378</v>
      </c>
      <c r="S123" s="991">
        <v>29.947499465942379</v>
      </c>
      <c r="T123" s="991">
        <v>33.247499465942376</v>
      </c>
      <c r="U123" s="21"/>
      <c r="V123" s="991">
        <v>0.3</v>
      </c>
      <c r="W123" s="991">
        <v>0.3</v>
      </c>
      <c r="X123" s="991">
        <v>0.3</v>
      </c>
      <c r="Y123" s="21"/>
      <c r="Z123" s="991">
        <v>0.13441727213455512</v>
      </c>
      <c r="AA123" s="991">
        <v>0.26883454426911024</v>
      </c>
      <c r="AB123" s="991">
        <v>0.40325181640366536</v>
      </c>
      <c r="AC123" s="21"/>
      <c r="AD123" s="991">
        <v>5.0024865727808981E-2</v>
      </c>
      <c r="AE123" s="991">
        <v>0.10004973145561796</v>
      </c>
      <c r="AF123" s="991">
        <v>0.15007459718342694</v>
      </c>
      <c r="AG123" s="21"/>
      <c r="AH123" s="991">
        <v>-0.35</v>
      </c>
      <c r="AI123" s="991">
        <v>3</v>
      </c>
      <c r="AJ123" s="991">
        <v>0.5</v>
      </c>
      <c r="AK123" s="21"/>
      <c r="AL123" s="991">
        <v>-0.15</v>
      </c>
      <c r="AM123" s="991">
        <v>0.75</v>
      </c>
      <c r="AN123" s="991">
        <v>0.2</v>
      </c>
      <c r="AO123" s="21"/>
      <c r="AP123" s="12">
        <v>39</v>
      </c>
      <c r="AQ123" s="992">
        <v>0.4</v>
      </c>
      <c r="AR123" s="21"/>
      <c r="AS123" s="21"/>
      <c r="AT123" s="21"/>
      <c r="AU123" s="21"/>
      <c r="AV123" s="21"/>
      <c r="AW123" s="21"/>
      <c r="AX123" s="21"/>
      <c r="AY123" s="21"/>
      <c r="AZ123" s="21"/>
      <c r="BA123" s="21"/>
      <c r="BB123" s="21"/>
      <c r="BC123" s="21"/>
      <c r="BD123" s="21"/>
      <c r="BE123" s="21"/>
      <c r="BF123" s="21"/>
      <c r="BH123" s="20"/>
      <c r="BI123" s="20"/>
      <c r="BJ123" s="395"/>
      <c r="BK123"/>
      <c r="BL123"/>
      <c r="BM123"/>
      <c r="BN123"/>
      <c r="BO123"/>
      <c r="BP123"/>
      <c r="BQ123" s="553">
        <f t="shared" si="24"/>
        <v>40179</v>
      </c>
      <c r="BR123" s="716">
        <v>3.3849999999999998</v>
      </c>
      <c r="BS123" s="716">
        <v>3.39</v>
      </c>
      <c r="BT123" s="716">
        <v>3.395</v>
      </c>
      <c r="BU123" s="717">
        <v>0.14249999999999999</v>
      </c>
      <c r="BV123" s="717">
        <v>0.15</v>
      </c>
      <c r="BW123" s="717">
        <v>0.1575</v>
      </c>
      <c r="BX123" s="717">
        <f t="shared" si="41"/>
        <v>-7.0000000000000007E-2</v>
      </c>
      <c r="BY123" s="717"/>
      <c r="BZ123" s="717">
        <f t="shared" si="42"/>
        <v>7.0000000000000007E-2</v>
      </c>
      <c r="CA123" s="756">
        <f t="shared" si="40"/>
        <v>0</v>
      </c>
      <c r="CB123" s="716">
        <f t="shared" si="43"/>
        <v>0</v>
      </c>
      <c r="CC123" s="789">
        <f t="shared" si="44"/>
        <v>3.3849999999999998</v>
      </c>
      <c r="CD123" s="793">
        <f t="shared" si="45"/>
        <v>0.1575</v>
      </c>
    </row>
    <row r="124" spans="1:82" ht="13.8" x14ac:dyDescent="0.3">
      <c r="A124" s="553">
        <f t="shared" si="23"/>
        <v>40299</v>
      </c>
      <c r="B124" s="717">
        <v>7.4204103500734989E-2</v>
      </c>
      <c r="C124" s="8"/>
      <c r="D124" s="989">
        <v>39142</v>
      </c>
      <c r="E124" s="990">
        <v>32.5</v>
      </c>
      <c r="F124" s="990">
        <v>33.200000000000003</v>
      </c>
      <c r="G124" s="990">
        <v>33.9</v>
      </c>
      <c r="H124" s="977"/>
      <c r="I124" s="990">
        <v>19.249999618530271</v>
      </c>
      <c r="J124" s="990">
        <v>19.599999618530273</v>
      </c>
      <c r="K124" s="990">
        <v>19.949999618530274</v>
      </c>
      <c r="L124" s="12"/>
      <c r="M124" s="1004">
        <v>40026</v>
      </c>
      <c r="N124" s="991">
        <v>38.972499084472673</v>
      </c>
      <c r="O124" s="991">
        <v>42.722499084472673</v>
      </c>
      <c r="P124" s="991">
        <v>46.472499084472673</v>
      </c>
      <c r="Q124" s="21"/>
      <c r="R124" s="991">
        <v>28.145000839233393</v>
      </c>
      <c r="S124" s="991">
        <v>31.445000839233394</v>
      </c>
      <c r="T124" s="991">
        <v>34.745000839233391</v>
      </c>
      <c r="U124" s="21"/>
      <c r="V124" s="991">
        <v>0.8</v>
      </c>
      <c r="W124" s="991">
        <v>0.8</v>
      </c>
      <c r="X124" s="991">
        <v>0.8</v>
      </c>
      <c r="Y124" s="21"/>
      <c r="Z124" s="991">
        <v>0.13240213257451458</v>
      </c>
      <c r="AA124" s="991">
        <v>0.26480426514902916</v>
      </c>
      <c r="AB124" s="991">
        <v>0.39720639772354371</v>
      </c>
      <c r="AC124" s="21"/>
      <c r="AD124" s="991">
        <v>5.0024865727808981E-2</v>
      </c>
      <c r="AE124" s="991">
        <v>0.10004973145561796</v>
      </c>
      <c r="AF124" s="991">
        <v>0.15007459718342694</v>
      </c>
      <c r="AG124" s="21"/>
      <c r="AH124" s="991">
        <v>-0.35</v>
      </c>
      <c r="AI124" s="991">
        <v>3</v>
      </c>
      <c r="AJ124" s="991">
        <v>0.5</v>
      </c>
      <c r="AK124" s="21"/>
      <c r="AL124" s="991">
        <v>-0.15</v>
      </c>
      <c r="AM124" s="991">
        <v>0.75</v>
      </c>
      <c r="AN124" s="991">
        <v>0.2</v>
      </c>
      <c r="AO124" s="21"/>
      <c r="AP124" s="12">
        <v>39</v>
      </c>
      <c r="AQ124" s="992">
        <v>0.4</v>
      </c>
      <c r="AR124" s="21"/>
      <c r="AS124" s="21"/>
      <c r="AT124" s="21"/>
      <c r="AU124" s="21"/>
      <c r="AV124" s="21"/>
      <c r="AW124" s="21"/>
      <c r="AX124" s="21"/>
      <c r="AY124" s="21"/>
      <c r="AZ124" s="21"/>
      <c r="BA124" s="21"/>
      <c r="BB124" s="21"/>
      <c r="BC124" s="21"/>
      <c r="BD124" s="21"/>
      <c r="BE124" s="21"/>
      <c r="BF124" s="21"/>
      <c r="BH124" s="20"/>
      <c r="BI124" s="20"/>
      <c r="BJ124" s="395"/>
      <c r="BK124"/>
      <c r="BL124"/>
      <c r="BM124"/>
      <c r="BN124"/>
      <c r="BO124"/>
      <c r="BP124"/>
      <c r="BQ124" s="553">
        <f t="shared" si="24"/>
        <v>40210</v>
      </c>
      <c r="BR124" s="716">
        <v>3.2670000000000003</v>
      </c>
      <c r="BS124" s="716">
        <v>3.2720000000000002</v>
      </c>
      <c r="BT124" s="716">
        <v>3.2770000000000001</v>
      </c>
      <c r="BU124" s="717">
        <v>0.14249999999999999</v>
      </c>
      <c r="BV124" s="717">
        <v>0.15</v>
      </c>
      <c r="BW124" s="717">
        <v>0.1575</v>
      </c>
      <c r="BX124" s="717">
        <f t="shared" si="41"/>
        <v>-7.0000000000000007E-2</v>
      </c>
      <c r="BY124" s="717"/>
      <c r="BZ124" s="717">
        <f t="shared" si="42"/>
        <v>7.0000000000000007E-2</v>
      </c>
      <c r="CA124" s="756">
        <f t="shared" si="40"/>
        <v>0</v>
      </c>
      <c r="CB124" s="716">
        <f t="shared" si="43"/>
        <v>0</v>
      </c>
      <c r="CC124" s="789">
        <f t="shared" si="44"/>
        <v>3.2670000000000003</v>
      </c>
      <c r="CD124" s="793">
        <f t="shared" si="45"/>
        <v>0.1575</v>
      </c>
    </row>
    <row r="125" spans="1:82" ht="13.8" x14ac:dyDescent="0.3">
      <c r="A125" s="553">
        <f t="shared" si="23"/>
        <v>40330</v>
      </c>
      <c r="B125" s="717">
        <v>7.4203808782852002E-2</v>
      </c>
      <c r="C125" s="8"/>
      <c r="D125" s="989">
        <v>39173</v>
      </c>
      <c r="E125" s="990">
        <v>31.4</v>
      </c>
      <c r="F125" s="990">
        <v>31.95</v>
      </c>
      <c r="G125" s="990">
        <v>32.5</v>
      </c>
      <c r="H125" s="977"/>
      <c r="I125" s="990">
        <v>19.324997711181641</v>
      </c>
      <c r="J125" s="990">
        <v>19.59999771118164</v>
      </c>
      <c r="K125" s="990">
        <v>19.874997711181638</v>
      </c>
      <c r="L125" s="12"/>
      <c r="M125" s="1004">
        <v>40057</v>
      </c>
      <c r="N125" s="991">
        <v>22.979999160766596</v>
      </c>
      <c r="O125" s="991">
        <v>24.104999160766596</v>
      </c>
      <c r="P125" s="991">
        <v>25.229999160766596</v>
      </c>
      <c r="Q125" s="21"/>
      <c r="R125" s="991">
        <v>21.3</v>
      </c>
      <c r="S125" s="991">
        <v>24.6</v>
      </c>
      <c r="T125" s="991">
        <v>27.9</v>
      </c>
      <c r="U125" s="21"/>
      <c r="V125" s="991">
        <v>0.8</v>
      </c>
      <c r="W125" s="991">
        <v>0.8</v>
      </c>
      <c r="X125" s="991">
        <v>0.8</v>
      </c>
      <c r="Y125" s="21"/>
      <c r="Z125" s="991">
        <v>8.7621253462502879E-2</v>
      </c>
      <c r="AA125" s="991">
        <v>0.17524250692500576</v>
      </c>
      <c r="AB125" s="991">
        <v>0.26286376038750864</v>
      </c>
      <c r="AC125" s="21"/>
      <c r="AD125" s="991">
        <v>3.3349910485205983E-2</v>
      </c>
      <c r="AE125" s="991">
        <v>6.6699820970411966E-2</v>
      </c>
      <c r="AF125" s="991">
        <v>0.10004973145561795</v>
      </c>
      <c r="AG125" s="21"/>
      <c r="AH125" s="991">
        <v>-0.35</v>
      </c>
      <c r="AI125" s="991">
        <v>1.5</v>
      </c>
      <c r="AJ125" s="991">
        <v>0.3</v>
      </c>
      <c r="AK125" s="21"/>
      <c r="AL125" s="991">
        <v>-0.15</v>
      </c>
      <c r="AM125" s="991">
        <v>0.4</v>
      </c>
      <c r="AN125" s="991">
        <v>0.2</v>
      </c>
      <c r="AO125" s="21"/>
      <c r="AP125" s="12">
        <v>39</v>
      </c>
      <c r="AQ125" s="992">
        <v>0.4</v>
      </c>
      <c r="AR125" s="21"/>
      <c r="AS125" s="21"/>
      <c r="AT125" s="21"/>
      <c r="AU125" s="21"/>
      <c r="AV125" s="21"/>
      <c r="AW125" s="21"/>
      <c r="AX125" s="21"/>
      <c r="AY125" s="21"/>
      <c r="AZ125" s="21"/>
      <c r="BA125" s="21"/>
      <c r="BB125" s="21"/>
      <c r="BC125" s="21"/>
      <c r="BD125" s="21"/>
      <c r="BE125" s="21"/>
      <c r="BF125" s="21"/>
      <c r="BH125" s="20"/>
      <c r="BI125" s="20"/>
      <c r="BJ125" s="395"/>
      <c r="BK125"/>
      <c r="BL125"/>
      <c r="BM125"/>
      <c r="BN125"/>
      <c r="BO125"/>
      <c r="BP125"/>
      <c r="BQ125" s="553">
        <f t="shared" si="24"/>
        <v>40238</v>
      </c>
      <c r="BR125" s="716">
        <v>3.1470000000000002</v>
      </c>
      <c r="BS125" s="716">
        <v>3.1520000000000001</v>
      </c>
      <c r="BT125" s="716">
        <v>3.157</v>
      </c>
      <c r="BU125" s="717">
        <v>0.14249999999999999</v>
      </c>
      <c r="BV125" s="717">
        <v>0.15</v>
      </c>
      <c r="BW125" s="717">
        <v>0.1575</v>
      </c>
      <c r="BX125" s="717">
        <f t="shared" si="41"/>
        <v>-7.0000000000000007E-2</v>
      </c>
      <c r="BY125" s="717"/>
      <c r="BZ125" s="717">
        <f t="shared" si="42"/>
        <v>7.0000000000000007E-2</v>
      </c>
      <c r="CA125" s="756">
        <f t="shared" si="40"/>
        <v>0</v>
      </c>
      <c r="CB125" s="716">
        <f t="shared" si="43"/>
        <v>0</v>
      </c>
      <c r="CC125" s="789">
        <f t="shared" si="44"/>
        <v>3.1470000000000002</v>
      </c>
      <c r="CD125" s="793">
        <f t="shared" si="45"/>
        <v>0.1575</v>
      </c>
    </row>
    <row r="126" spans="1:82" ht="13.8" x14ac:dyDescent="0.3">
      <c r="A126" s="553">
        <f t="shared" si="23"/>
        <v>40360</v>
      </c>
      <c r="B126" s="717">
        <v>7.4203523571999996E-2</v>
      </c>
      <c r="C126" s="8"/>
      <c r="D126" s="989">
        <v>39203</v>
      </c>
      <c r="E126" s="990">
        <v>32.1</v>
      </c>
      <c r="F126" s="990">
        <v>33.950000000000003</v>
      </c>
      <c r="G126" s="990">
        <v>35.799999999999997</v>
      </c>
      <c r="H126" s="977"/>
      <c r="I126" s="990">
        <v>18.674997711181639</v>
      </c>
      <c r="J126" s="990">
        <v>19.59999771118164</v>
      </c>
      <c r="K126" s="990">
        <v>20.524997711181641</v>
      </c>
      <c r="L126" s="12"/>
      <c r="M126" s="1004">
        <v>40087</v>
      </c>
      <c r="N126" s="991">
        <v>23.188000106811518</v>
      </c>
      <c r="O126" s="991">
        <v>24.200500106811518</v>
      </c>
      <c r="P126" s="991">
        <v>25.213000106811517</v>
      </c>
      <c r="Q126" s="21"/>
      <c r="R126" s="991">
        <v>18.900999832153314</v>
      </c>
      <c r="S126" s="991">
        <v>22.200999832153315</v>
      </c>
      <c r="T126" s="991">
        <v>25.500999832153315</v>
      </c>
      <c r="U126" s="21"/>
      <c r="V126" s="991">
        <v>0.8</v>
      </c>
      <c r="W126" s="991">
        <v>0.8</v>
      </c>
      <c r="X126" s="991">
        <v>0.8</v>
      </c>
      <c r="Y126" s="21"/>
      <c r="Z126" s="991">
        <v>7.9709964819380835E-2</v>
      </c>
      <c r="AA126" s="991">
        <v>0.15941992963876167</v>
      </c>
      <c r="AB126" s="991">
        <v>0.23912989445814251</v>
      </c>
      <c r="AC126" s="21"/>
      <c r="AD126" s="991">
        <v>2.5012432863904491E-2</v>
      </c>
      <c r="AE126" s="991">
        <v>5.0024865727808981E-2</v>
      </c>
      <c r="AF126" s="991">
        <v>7.5037298591713472E-2</v>
      </c>
      <c r="AG126" s="21"/>
      <c r="AH126" s="991">
        <v>-0.25</v>
      </c>
      <c r="AI126" s="991">
        <v>1.1000000000000001</v>
      </c>
      <c r="AJ126" s="991">
        <v>0.3</v>
      </c>
      <c r="AK126" s="21"/>
      <c r="AL126" s="991">
        <v>-0.15</v>
      </c>
      <c r="AM126" s="991">
        <v>0.35</v>
      </c>
      <c r="AN126" s="991">
        <v>0.2</v>
      </c>
      <c r="AO126" s="21"/>
      <c r="AP126" s="12">
        <v>40</v>
      </c>
      <c r="AQ126" s="992">
        <v>0.4</v>
      </c>
      <c r="AR126" s="21"/>
      <c r="AS126" s="21"/>
      <c r="AT126" s="21"/>
      <c r="AU126" s="21"/>
      <c r="AV126" s="21"/>
      <c r="AW126" s="21"/>
      <c r="AX126" s="21"/>
      <c r="AY126" s="21"/>
      <c r="AZ126" s="21"/>
      <c r="BA126" s="21"/>
      <c r="BB126" s="21"/>
      <c r="BC126" s="21"/>
      <c r="BD126" s="21"/>
      <c r="BE126" s="21"/>
      <c r="BF126" s="21"/>
      <c r="BH126" s="20"/>
      <c r="BI126" s="20"/>
      <c r="BJ126" s="395"/>
      <c r="BK126"/>
      <c r="BL126"/>
      <c r="BM126"/>
      <c r="BN126"/>
      <c r="BO126"/>
      <c r="BP126"/>
      <c r="BQ126" s="553">
        <f t="shared" si="24"/>
        <v>40269</v>
      </c>
      <c r="BR126" s="716">
        <v>3.0975000000000001</v>
      </c>
      <c r="BS126" s="716">
        <v>3.1025</v>
      </c>
      <c r="BT126" s="716">
        <v>3.1074999999999999</v>
      </c>
      <c r="BU126" s="717">
        <v>0.14249999999999999</v>
      </c>
      <c r="BV126" s="717">
        <v>0.15</v>
      </c>
      <c r="BW126" s="717">
        <v>0.1575</v>
      </c>
      <c r="BX126" s="717">
        <f t="shared" si="41"/>
        <v>-7.0000000000000007E-2</v>
      </c>
      <c r="BY126" s="717"/>
      <c r="BZ126" s="717">
        <f t="shared" si="42"/>
        <v>7.0000000000000007E-2</v>
      </c>
      <c r="CA126" s="756">
        <f t="shared" si="40"/>
        <v>0</v>
      </c>
      <c r="CB126" s="716">
        <f t="shared" si="43"/>
        <v>0</v>
      </c>
      <c r="CC126" s="789">
        <f t="shared" si="44"/>
        <v>3.0975000000000001</v>
      </c>
      <c r="CD126" s="793">
        <f t="shared" si="45"/>
        <v>0.1575</v>
      </c>
    </row>
    <row r="127" spans="1:82" ht="13.8" x14ac:dyDescent="0.3">
      <c r="A127" s="553">
        <f t="shared" si="23"/>
        <v>40391</v>
      </c>
      <c r="B127" s="717">
        <v>7.4203228854115996E-2</v>
      </c>
      <c r="C127" s="8"/>
      <c r="D127" s="989">
        <v>39234</v>
      </c>
      <c r="E127" s="990">
        <v>44.17</v>
      </c>
      <c r="F127" s="990">
        <v>49.5</v>
      </c>
      <c r="G127" s="990">
        <v>54.83</v>
      </c>
      <c r="H127" s="977"/>
      <c r="I127" s="990">
        <v>16.889998779296874</v>
      </c>
      <c r="J127" s="990">
        <v>19.554998779296874</v>
      </c>
      <c r="K127" s="990">
        <v>22.219998779296873</v>
      </c>
      <c r="L127" s="12"/>
      <c r="M127" s="1004">
        <v>40118</v>
      </c>
      <c r="N127" s="991">
        <v>24.192251586914058</v>
      </c>
      <c r="O127" s="991">
        <v>25.204751586914057</v>
      </c>
      <c r="P127" s="991">
        <v>26.217251586914056</v>
      </c>
      <c r="Q127" s="21"/>
      <c r="R127" s="991">
        <v>19.904499816894525</v>
      </c>
      <c r="S127" s="991">
        <v>23.204499816894526</v>
      </c>
      <c r="T127" s="991">
        <v>26.504499816894526</v>
      </c>
      <c r="U127" s="21"/>
      <c r="V127" s="991">
        <v>0.8</v>
      </c>
      <c r="W127" s="991">
        <v>0.8</v>
      </c>
      <c r="X127" s="991">
        <v>0.8</v>
      </c>
      <c r="Y127" s="21"/>
      <c r="Z127" s="991">
        <v>7.9709964819380835E-2</v>
      </c>
      <c r="AA127" s="991">
        <v>0.15941992963876167</v>
      </c>
      <c r="AB127" s="991">
        <v>0.23912989445814251</v>
      </c>
      <c r="AC127" s="21"/>
      <c r="AD127" s="991">
        <v>2.5012432863904491E-2</v>
      </c>
      <c r="AE127" s="991">
        <v>5.0024865727808981E-2</v>
      </c>
      <c r="AF127" s="991">
        <v>7.5037298591713472E-2</v>
      </c>
      <c r="AG127" s="21"/>
      <c r="AH127" s="991">
        <v>-0.25</v>
      </c>
      <c r="AI127" s="991">
        <v>1.25</v>
      </c>
      <c r="AJ127" s="991">
        <v>0.3</v>
      </c>
      <c r="AK127" s="21"/>
      <c r="AL127" s="991">
        <v>-0.15</v>
      </c>
      <c r="AM127" s="991">
        <v>0.3</v>
      </c>
      <c r="AN127" s="991">
        <v>0.2</v>
      </c>
      <c r="AO127" s="21"/>
      <c r="AP127" s="12">
        <v>40</v>
      </c>
      <c r="AQ127" s="992">
        <v>0.4</v>
      </c>
      <c r="AR127" s="21"/>
      <c r="AS127" s="21"/>
      <c r="AT127" s="21"/>
      <c r="AU127" s="21"/>
      <c r="AV127" s="21"/>
      <c r="AW127" s="21"/>
      <c r="AX127" s="21"/>
      <c r="AY127" s="21"/>
      <c r="AZ127" s="21"/>
      <c r="BA127" s="21"/>
      <c r="BB127" s="21"/>
      <c r="BC127" s="21"/>
      <c r="BD127" s="21"/>
      <c r="BE127" s="21"/>
      <c r="BF127" s="21"/>
      <c r="BH127" s="20"/>
      <c r="BI127" s="20"/>
      <c r="BJ127" s="395"/>
      <c r="BK127"/>
      <c r="BL127"/>
      <c r="BM127"/>
      <c r="BN127"/>
      <c r="BO127"/>
      <c r="BP127"/>
      <c r="BQ127" s="553">
        <f t="shared" si="24"/>
        <v>40299</v>
      </c>
      <c r="BR127" s="716">
        <v>3.0715000000000003</v>
      </c>
      <c r="BS127" s="716">
        <v>3.0765000000000002</v>
      </c>
      <c r="BT127" s="716">
        <v>3.0815000000000001</v>
      </c>
      <c r="BU127" s="717">
        <v>0.14249999999999999</v>
      </c>
      <c r="BV127" s="717">
        <v>0.15</v>
      </c>
      <c r="BW127" s="717">
        <v>0.1575</v>
      </c>
      <c r="BX127" s="717">
        <f t="shared" si="41"/>
        <v>-7.0000000000000007E-2</v>
      </c>
      <c r="BY127" s="717"/>
      <c r="BZ127" s="717">
        <f t="shared" si="42"/>
        <v>7.0000000000000007E-2</v>
      </c>
      <c r="CA127" s="756">
        <f t="shared" si="40"/>
        <v>0</v>
      </c>
      <c r="CB127" s="716">
        <f t="shared" si="43"/>
        <v>0</v>
      </c>
      <c r="CC127" s="789">
        <f t="shared" si="44"/>
        <v>3.0715000000000003</v>
      </c>
      <c r="CD127" s="793">
        <f t="shared" si="45"/>
        <v>0.1575</v>
      </c>
    </row>
    <row r="128" spans="1:82" ht="13.8" x14ac:dyDescent="0.3">
      <c r="A128" s="553">
        <f t="shared" si="23"/>
        <v>40422</v>
      </c>
      <c r="B128" s="717">
        <v>7.4202934136233994E-2</v>
      </c>
      <c r="C128" s="8"/>
      <c r="D128" s="989">
        <v>39264</v>
      </c>
      <c r="E128" s="990">
        <v>66</v>
      </c>
      <c r="F128" s="990">
        <v>71</v>
      </c>
      <c r="G128" s="990">
        <v>76</v>
      </c>
      <c r="H128" s="977"/>
      <c r="I128" s="990">
        <v>21.549997711181639</v>
      </c>
      <c r="J128" s="990">
        <v>24.049997711181639</v>
      </c>
      <c r="K128" s="990">
        <v>26.549997711181639</v>
      </c>
      <c r="L128" s="12"/>
      <c r="M128" s="1004">
        <v>40148</v>
      </c>
      <c r="N128" s="991">
        <v>25.642498397827143</v>
      </c>
      <c r="O128" s="991">
        <v>26.654998397827143</v>
      </c>
      <c r="P128" s="991">
        <v>27.667498397827142</v>
      </c>
      <c r="Q128" s="21"/>
      <c r="R128" s="991">
        <v>19.84999923706054</v>
      </c>
      <c r="S128" s="991">
        <v>23.149999237060541</v>
      </c>
      <c r="T128" s="991">
        <v>26.449999237060542</v>
      </c>
      <c r="U128" s="21"/>
      <c r="V128" s="991">
        <v>0.8</v>
      </c>
      <c r="W128" s="991">
        <v>0.8</v>
      </c>
      <c r="X128" s="991">
        <v>0.8</v>
      </c>
      <c r="Y128" s="21"/>
      <c r="Z128" s="991">
        <v>8.2575941082549578E-2</v>
      </c>
      <c r="AA128" s="991">
        <v>0.16515188216509916</v>
      </c>
      <c r="AB128" s="991">
        <v>0.24772782324764875</v>
      </c>
      <c r="AC128" s="21"/>
      <c r="AD128" s="991">
        <v>2.5012432863904491E-2</v>
      </c>
      <c r="AE128" s="991">
        <v>5.0024865727808981E-2</v>
      </c>
      <c r="AF128" s="991">
        <v>7.5037298591713472E-2</v>
      </c>
      <c r="AG128" s="21"/>
      <c r="AH128" s="991">
        <v>-0.25</v>
      </c>
      <c r="AI128" s="991">
        <v>1.25</v>
      </c>
      <c r="AJ128" s="991">
        <v>0.35</v>
      </c>
      <c r="AK128" s="21"/>
      <c r="AL128" s="991">
        <v>-0.15</v>
      </c>
      <c r="AM128" s="991">
        <v>0.3</v>
      </c>
      <c r="AN128" s="991">
        <v>0.2</v>
      </c>
      <c r="AO128" s="21"/>
      <c r="AP128" s="12">
        <v>40</v>
      </c>
      <c r="AQ128" s="992">
        <v>0.4</v>
      </c>
      <c r="AR128" s="21"/>
      <c r="AS128" s="21"/>
      <c r="AT128" s="21"/>
      <c r="AU128" s="21"/>
      <c r="AV128" s="21"/>
      <c r="AW128" s="21"/>
      <c r="AX128" s="21"/>
      <c r="AY128" s="21"/>
      <c r="AZ128" s="21"/>
      <c r="BA128" s="21"/>
      <c r="BB128" s="21"/>
      <c r="BC128" s="21"/>
      <c r="BD128" s="21"/>
      <c r="BE128" s="21"/>
      <c r="BF128" s="21"/>
      <c r="BH128" s="20"/>
      <c r="BI128" s="20"/>
      <c r="BJ128" s="395"/>
      <c r="BK128"/>
      <c r="BL128"/>
      <c r="BM128"/>
      <c r="BN128"/>
      <c r="BO128"/>
      <c r="BP128"/>
      <c r="BQ128" s="553">
        <f t="shared" si="24"/>
        <v>40330</v>
      </c>
      <c r="BR128" s="716">
        <v>3.0775000000000001</v>
      </c>
      <c r="BS128" s="716">
        <v>3.0825</v>
      </c>
      <c r="BT128" s="716">
        <v>3.0874999999999999</v>
      </c>
      <c r="BU128" s="717">
        <v>0.14249999999999999</v>
      </c>
      <c r="BV128" s="717">
        <v>0.15</v>
      </c>
      <c r="BW128" s="717">
        <v>0.1575</v>
      </c>
      <c r="BX128" s="717">
        <f t="shared" si="41"/>
        <v>-7.0000000000000007E-2</v>
      </c>
      <c r="BY128" s="717"/>
      <c r="BZ128" s="717">
        <f t="shared" si="42"/>
        <v>7.0000000000000007E-2</v>
      </c>
      <c r="CA128" s="756">
        <f t="shared" si="40"/>
        <v>0</v>
      </c>
      <c r="CB128" s="716">
        <f t="shared" si="43"/>
        <v>0</v>
      </c>
      <c r="CC128" s="789">
        <f t="shared" si="44"/>
        <v>3.0775000000000001</v>
      </c>
      <c r="CD128" s="793">
        <f t="shared" si="45"/>
        <v>0.1575</v>
      </c>
    </row>
    <row r="129" spans="1:82" ht="13.8" x14ac:dyDescent="0.3">
      <c r="A129" s="553">
        <f t="shared" si="23"/>
        <v>40452</v>
      </c>
      <c r="B129" s="717">
        <v>7.4202648925381004E-2</v>
      </c>
      <c r="C129" s="8"/>
      <c r="D129" s="989">
        <v>39295</v>
      </c>
      <c r="E129" s="990">
        <v>61.5</v>
      </c>
      <c r="F129" s="990">
        <v>66.5</v>
      </c>
      <c r="G129" s="990">
        <v>71.5</v>
      </c>
      <c r="H129" s="977"/>
      <c r="I129" s="990">
        <v>21.899998092651366</v>
      </c>
      <c r="J129" s="990">
        <v>24.399998092651366</v>
      </c>
      <c r="K129" s="990">
        <v>26.899998092651366</v>
      </c>
      <c r="L129" s="12"/>
      <c r="M129" s="1004">
        <v>40179</v>
      </c>
      <c r="N129" s="991">
        <v>28.923748779296869</v>
      </c>
      <c r="O129" s="991">
        <v>30.048748779296869</v>
      </c>
      <c r="P129" s="991">
        <v>31.173748779296869</v>
      </c>
      <c r="Q129" s="21"/>
      <c r="R129" s="991">
        <v>24.25250053405761</v>
      </c>
      <c r="S129" s="991">
        <v>28.552500534057611</v>
      </c>
      <c r="T129" s="991">
        <v>32.852500534057612</v>
      </c>
      <c r="U129" s="21"/>
      <c r="V129" s="991">
        <v>0.8</v>
      </c>
      <c r="W129" s="991">
        <v>0.8</v>
      </c>
      <c r="X129" s="991">
        <v>0.8</v>
      </c>
      <c r="Y129" s="21"/>
      <c r="Z129" s="991">
        <v>8.9180291476032195E-2</v>
      </c>
      <c r="AA129" s="991">
        <v>0.17836058295206439</v>
      </c>
      <c r="AB129" s="991">
        <v>0.2675408744280966</v>
      </c>
      <c r="AC129" s="21"/>
      <c r="AD129" s="991">
        <v>2.8597548241064145E-2</v>
      </c>
      <c r="AE129" s="991">
        <v>5.719509648212829E-2</v>
      </c>
      <c r="AF129" s="991">
        <v>8.5792644723192438E-2</v>
      </c>
      <c r="AG129" s="21"/>
      <c r="AH129" s="991">
        <v>-0.75</v>
      </c>
      <c r="AI129" s="991">
        <v>2</v>
      </c>
      <c r="AJ129" s="991">
        <v>0.75</v>
      </c>
      <c r="AK129" s="21"/>
      <c r="AL129" s="991">
        <v>-0.15</v>
      </c>
      <c r="AM129" s="991">
        <v>0.5</v>
      </c>
      <c r="AN129" s="991">
        <v>0.2</v>
      </c>
      <c r="AO129" s="21"/>
      <c r="AP129" s="12">
        <v>41</v>
      </c>
      <c r="AQ129" s="992">
        <v>0.4</v>
      </c>
      <c r="AR129" s="21"/>
      <c r="AS129" s="21"/>
      <c r="AT129" s="21"/>
      <c r="AU129" s="21"/>
      <c r="AV129" s="21"/>
      <c r="AW129" s="21"/>
      <c r="AX129" s="21"/>
      <c r="AY129" s="21"/>
      <c r="AZ129" s="21"/>
      <c r="BA129" s="21"/>
      <c r="BB129" s="21"/>
      <c r="BC129" s="21"/>
      <c r="BD129" s="21"/>
      <c r="BE129" s="21"/>
      <c r="BF129" s="21"/>
      <c r="BH129" s="20"/>
      <c r="BI129" s="20"/>
      <c r="BJ129" s="395"/>
      <c r="BK129"/>
      <c r="BL129"/>
      <c r="BM129"/>
      <c r="BN129"/>
      <c r="BO129"/>
      <c r="BP129"/>
      <c r="BQ129" s="553">
        <f t="shared" si="24"/>
        <v>40360</v>
      </c>
      <c r="BR129" s="716">
        <v>3.0874999999999999</v>
      </c>
      <c r="BS129" s="716">
        <v>3.0924999999999998</v>
      </c>
      <c r="BT129" s="716">
        <v>3.0975000000000001</v>
      </c>
      <c r="BU129" s="717">
        <v>0.14249999999999999</v>
      </c>
      <c r="BV129" s="717">
        <v>0.15</v>
      </c>
      <c r="BW129" s="717">
        <v>0.1575</v>
      </c>
      <c r="BX129" s="717">
        <f t="shared" si="41"/>
        <v>-7.0000000000000007E-2</v>
      </c>
      <c r="BY129" s="717"/>
      <c r="BZ129" s="717">
        <f t="shared" si="42"/>
        <v>7.0000000000000007E-2</v>
      </c>
      <c r="CA129" s="756">
        <f t="shared" si="40"/>
        <v>0</v>
      </c>
      <c r="CB129" s="716">
        <f t="shared" si="43"/>
        <v>0</v>
      </c>
      <c r="CC129" s="789">
        <f t="shared" si="44"/>
        <v>3.0874999999999999</v>
      </c>
      <c r="CD129" s="793">
        <f t="shared" si="45"/>
        <v>0.1575</v>
      </c>
    </row>
    <row r="130" spans="1:82" ht="13.8" x14ac:dyDescent="0.3">
      <c r="A130" s="553">
        <f t="shared" si="23"/>
        <v>40483</v>
      </c>
      <c r="B130" s="717">
        <v>7.4202354207498003E-2</v>
      </c>
      <c r="C130" s="8"/>
      <c r="D130" s="989">
        <v>39326</v>
      </c>
      <c r="E130" s="990">
        <v>31.65</v>
      </c>
      <c r="F130" s="990">
        <v>32.950000000000003</v>
      </c>
      <c r="G130" s="990">
        <v>34.25</v>
      </c>
      <c r="H130" s="977"/>
      <c r="I130" s="990">
        <v>19.299998092651368</v>
      </c>
      <c r="J130" s="990">
        <v>19.949998092651366</v>
      </c>
      <c r="K130" s="990">
        <v>20.599998092651365</v>
      </c>
      <c r="L130" s="12"/>
      <c r="M130" s="1004">
        <v>40210</v>
      </c>
      <c r="N130" s="991">
        <v>27.921250152587884</v>
      </c>
      <c r="O130" s="991">
        <v>29.046250152587884</v>
      </c>
      <c r="P130" s="991">
        <v>30.171250152587884</v>
      </c>
      <c r="Q130" s="21"/>
      <c r="R130" s="991">
        <v>22.247499465942376</v>
      </c>
      <c r="S130" s="991">
        <v>26.547499465942376</v>
      </c>
      <c r="T130" s="991">
        <v>30.847499465942377</v>
      </c>
      <c r="U130" s="21"/>
      <c r="V130" s="991">
        <v>0.3</v>
      </c>
      <c r="W130" s="991">
        <v>0.3</v>
      </c>
      <c r="X130" s="991">
        <v>0.3</v>
      </c>
      <c r="Y130" s="21"/>
      <c r="Z130" s="991">
        <v>8.6029044427409163E-2</v>
      </c>
      <c r="AA130" s="991">
        <v>0.17205808885481833</v>
      </c>
      <c r="AB130" s="991">
        <v>0.25808713328222749</v>
      </c>
      <c r="AC130" s="21"/>
      <c r="AD130" s="991">
        <v>2.8597548241064145E-2</v>
      </c>
      <c r="AE130" s="991">
        <v>5.719509648212829E-2</v>
      </c>
      <c r="AF130" s="991">
        <v>8.5792644723192438E-2</v>
      </c>
      <c r="AG130" s="21"/>
      <c r="AH130" s="991">
        <v>-0.75</v>
      </c>
      <c r="AI130" s="991">
        <v>2</v>
      </c>
      <c r="AJ130" s="991">
        <v>0.75</v>
      </c>
      <c r="AK130" s="21"/>
      <c r="AL130" s="991">
        <v>-0.15</v>
      </c>
      <c r="AM130" s="991">
        <v>0.5</v>
      </c>
      <c r="AN130" s="991">
        <v>0.2</v>
      </c>
      <c r="AO130" s="21"/>
      <c r="AP130" s="12">
        <v>41</v>
      </c>
      <c r="AQ130" s="992">
        <v>0.4</v>
      </c>
      <c r="AR130" s="21"/>
      <c r="AS130" s="21"/>
      <c r="AT130" s="21"/>
      <c r="AU130" s="21"/>
      <c r="AV130" s="21"/>
      <c r="AW130" s="21"/>
      <c r="AX130" s="21"/>
      <c r="AY130" s="21"/>
      <c r="AZ130" s="21"/>
      <c r="BA130" s="21"/>
      <c r="BB130" s="21"/>
      <c r="BC130" s="21"/>
      <c r="BD130" s="21"/>
      <c r="BE130" s="21"/>
      <c r="BF130" s="21"/>
      <c r="BH130" s="20"/>
      <c r="BI130" s="20"/>
      <c r="BJ130" s="395"/>
      <c r="BK130"/>
      <c r="BL130"/>
      <c r="BM130"/>
      <c r="BN130"/>
      <c r="BO130"/>
      <c r="BP130"/>
      <c r="BQ130" s="553">
        <f t="shared" si="24"/>
        <v>40391</v>
      </c>
      <c r="BR130" s="716">
        <v>3.0945</v>
      </c>
      <c r="BS130" s="716">
        <v>3.0995000000000004</v>
      </c>
      <c r="BT130" s="716">
        <v>3.1045000000000003</v>
      </c>
      <c r="BU130" s="717">
        <v>0.14249999999999999</v>
      </c>
      <c r="BV130" s="717">
        <v>0.15</v>
      </c>
      <c r="BW130" s="717">
        <v>0.1575</v>
      </c>
      <c r="BX130" s="717">
        <f t="shared" si="41"/>
        <v>-7.0000000000000007E-2</v>
      </c>
      <c r="BY130" s="717"/>
      <c r="BZ130" s="717">
        <f t="shared" si="42"/>
        <v>7.0000000000000007E-2</v>
      </c>
      <c r="CA130" s="756">
        <f t="shared" si="40"/>
        <v>0</v>
      </c>
      <c r="CB130" s="716">
        <f t="shared" si="43"/>
        <v>0</v>
      </c>
      <c r="CC130" s="789">
        <f t="shared" si="44"/>
        <v>3.0945</v>
      </c>
      <c r="CD130" s="793">
        <f t="shared" si="45"/>
        <v>0.1575</v>
      </c>
    </row>
    <row r="131" spans="1:82" ht="13.8" x14ac:dyDescent="0.3">
      <c r="A131" s="553">
        <f t="shared" si="23"/>
        <v>40513</v>
      </c>
      <c r="B131" s="717">
        <v>7.4202068996643999E-2</v>
      </c>
      <c r="C131" s="8"/>
      <c r="D131" s="989">
        <v>39356</v>
      </c>
      <c r="E131" s="990">
        <v>29.55</v>
      </c>
      <c r="F131" s="990">
        <v>30.7</v>
      </c>
      <c r="G131" s="990">
        <v>31.85</v>
      </c>
      <c r="H131" s="977"/>
      <c r="I131" s="990">
        <v>19.07499885559082</v>
      </c>
      <c r="J131" s="990">
        <v>19.64999885559082</v>
      </c>
      <c r="K131" s="990">
        <v>20.224998855590819</v>
      </c>
      <c r="L131" s="12"/>
      <c r="M131" s="1004">
        <v>40238</v>
      </c>
      <c r="N131" s="991">
        <v>21.597249603271479</v>
      </c>
      <c r="O131" s="991">
        <v>22.234749603271478</v>
      </c>
      <c r="P131" s="991">
        <v>22.872249603271477</v>
      </c>
      <c r="Q131" s="21"/>
      <c r="R131" s="991">
        <v>17.56449890136718</v>
      </c>
      <c r="S131" s="991">
        <v>21.864498901367181</v>
      </c>
      <c r="T131" s="991">
        <v>26.164498901367182</v>
      </c>
      <c r="U131" s="21"/>
      <c r="V131" s="991">
        <v>0.3</v>
      </c>
      <c r="W131" s="991">
        <v>0.3</v>
      </c>
      <c r="X131" s="991">
        <v>0.3</v>
      </c>
      <c r="Y131" s="21"/>
      <c r="Z131" s="991">
        <v>8.3736512199535901E-2</v>
      </c>
      <c r="AA131" s="991">
        <v>0.1674730243990718</v>
      </c>
      <c r="AB131" s="991">
        <v>0.25120953659860767</v>
      </c>
      <c r="AC131" s="21"/>
      <c r="AD131" s="991">
        <v>2.4512184206626399E-2</v>
      </c>
      <c r="AE131" s="991">
        <v>4.9024368413252799E-2</v>
      </c>
      <c r="AF131" s="991">
        <v>7.3536552619879195E-2</v>
      </c>
      <c r="AG131" s="21"/>
      <c r="AH131" s="991">
        <v>-0.25</v>
      </c>
      <c r="AI131" s="991">
        <v>1.3</v>
      </c>
      <c r="AJ131" s="991">
        <v>0.3</v>
      </c>
      <c r="AK131" s="21"/>
      <c r="AL131" s="991">
        <v>-0.15</v>
      </c>
      <c r="AM131" s="991">
        <v>0.35</v>
      </c>
      <c r="AN131" s="991">
        <v>0.2</v>
      </c>
      <c r="AO131" s="21"/>
      <c r="AP131" s="12">
        <v>41</v>
      </c>
      <c r="AQ131" s="992">
        <v>0.4</v>
      </c>
      <c r="AR131" s="21"/>
      <c r="AS131" s="21"/>
      <c r="AT131" s="21"/>
      <c r="AU131" s="21"/>
      <c r="AV131" s="21"/>
      <c r="AW131" s="21"/>
      <c r="AX131" s="21"/>
      <c r="AY131" s="21"/>
      <c r="AZ131" s="21"/>
      <c r="BA131" s="21"/>
      <c r="BB131" s="21"/>
      <c r="BC131" s="21"/>
      <c r="BD131" s="21"/>
      <c r="BE131" s="21"/>
      <c r="BF131" s="21"/>
      <c r="BH131" s="20"/>
      <c r="BI131" s="20"/>
      <c r="BJ131" s="395"/>
      <c r="BK131"/>
      <c r="BL131"/>
      <c r="BM131"/>
      <c r="BN131"/>
      <c r="BO131"/>
      <c r="BP131"/>
      <c r="BQ131" s="553">
        <f t="shared" si="24"/>
        <v>40422</v>
      </c>
      <c r="BR131" s="716">
        <v>3.1015000000000001</v>
      </c>
      <c r="BS131" s="716">
        <v>3.1065</v>
      </c>
      <c r="BT131" s="716">
        <v>3.1114999999999999</v>
      </c>
      <c r="BU131" s="717">
        <v>0.14249999999999999</v>
      </c>
      <c r="BV131" s="717">
        <v>0.15</v>
      </c>
      <c r="BW131" s="717">
        <v>0.1575</v>
      </c>
      <c r="BX131" s="717">
        <f t="shared" si="41"/>
        <v>-7.0000000000000007E-2</v>
      </c>
      <c r="BY131" s="717"/>
      <c r="BZ131" s="717">
        <f t="shared" si="42"/>
        <v>7.0000000000000007E-2</v>
      </c>
      <c r="CA131" s="756">
        <f t="shared" si="40"/>
        <v>0</v>
      </c>
      <c r="CB131" s="716">
        <f t="shared" si="43"/>
        <v>0</v>
      </c>
      <c r="CC131" s="789">
        <f t="shared" si="44"/>
        <v>3.1015000000000001</v>
      </c>
      <c r="CD131" s="793">
        <f t="shared" si="45"/>
        <v>0.1575</v>
      </c>
    </row>
    <row r="132" spans="1:82" ht="13.8" x14ac:dyDescent="0.3">
      <c r="A132" s="553">
        <f t="shared" ref="A132:A195" si="46">EOMONTH(A131,0)+1</f>
        <v>40544</v>
      </c>
      <c r="B132" s="717">
        <v>7.4201774278761998E-2</v>
      </c>
      <c r="C132" s="8"/>
      <c r="D132" s="989">
        <v>39387</v>
      </c>
      <c r="E132" s="990">
        <v>29.925000000000001</v>
      </c>
      <c r="F132" s="990">
        <v>31.074999999999999</v>
      </c>
      <c r="G132" s="990">
        <v>32.225000000000001</v>
      </c>
      <c r="H132" s="977"/>
      <c r="I132" s="990">
        <v>18.999998092651367</v>
      </c>
      <c r="J132" s="990">
        <v>19.574998092651366</v>
      </c>
      <c r="K132" s="990">
        <v>20.149998092651366</v>
      </c>
      <c r="L132" s="12"/>
      <c r="M132" s="1004">
        <v>40269</v>
      </c>
      <c r="N132" s="991">
        <v>22.392500305175776</v>
      </c>
      <c r="O132" s="991">
        <v>22.917500305175775</v>
      </c>
      <c r="P132" s="991">
        <v>23.442500305175773</v>
      </c>
      <c r="Q132" s="21"/>
      <c r="R132" s="991">
        <v>17.334999084472649</v>
      </c>
      <c r="S132" s="991">
        <v>21.63499908447265</v>
      </c>
      <c r="T132" s="991">
        <v>25.934999084472651</v>
      </c>
      <c r="U132" s="21"/>
      <c r="V132" s="991">
        <v>0.3</v>
      </c>
      <c r="W132" s="991">
        <v>0.3</v>
      </c>
      <c r="X132" s="991">
        <v>0.3</v>
      </c>
      <c r="Y132" s="21"/>
      <c r="Z132" s="991">
        <v>7.4731823758095534E-2</v>
      </c>
      <c r="AA132" s="991">
        <v>0.14946364751619107</v>
      </c>
      <c r="AB132" s="991">
        <v>0.2241954712742866</v>
      </c>
      <c r="AC132" s="21"/>
      <c r="AD132" s="991">
        <v>2.4512184206626399E-2</v>
      </c>
      <c r="AE132" s="991">
        <v>4.9024368413252799E-2</v>
      </c>
      <c r="AF132" s="991">
        <v>7.3536552619879195E-2</v>
      </c>
      <c r="AG132" s="21"/>
      <c r="AH132" s="991">
        <v>-0.25</v>
      </c>
      <c r="AI132" s="991">
        <v>1.1000000000000001</v>
      </c>
      <c r="AJ132" s="991">
        <v>0.3</v>
      </c>
      <c r="AK132" s="21"/>
      <c r="AL132" s="991">
        <v>-0.15</v>
      </c>
      <c r="AM132" s="991">
        <v>0.35</v>
      </c>
      <c r="AN132" s="991">
        <v>0.2</v>
      </c>
      <c r="AO132" s="21"/>
      <c r="AP132" s="12">
        <v>42</v>
      </c>
      <c r="AQ132" s="992">
        <v>0.4</v>
      </c>
      <c r="AR132" s="21"/>
      <c r="AS132" s="21"/>
      <c r="AT132" s="21"/>
      <c r="AU132" s="21"/>
      <c r="AV132" s="21"/>
      <c r="AW132" s="21"/>
      <c r="AX132" s="21"/>
      <c r="AY132" s="21"/>
      <c r="AZ132" s="21"/>
      <c r="BA132" s="21"/>
      <c r="BB132" s="21"/>
      <c r="BC132" s="21"/>
      <c r="BD132" s="21"/>
      <c r="BE132" s="21"/>
      <c r="BF132" s="21"/>
      <c r="BH132" s="20"/>
      <c r="BI132" s="20"/>
      <c r="BJ132" s="395"/>
      <c r="BK132"/>
      <c r="BL132"/>
      <c r="BM132"/>
      <c r="BN132"/>
      <c r="BO132"/>
      <c r="BP132"/>
      <c r="BQ132" s="553">
        <f t="shared" si="24"/>
        <v>40452</v>
      </c>
      <c r="BR132" s="716">
        <v>3.1274999999999999</v>
      </c>
      <c r="BS132" s="716">
        <v>3.1324999999999998</v>
      </c>
      <c r="BT132" s="716">
        <v>3.1375000000000002</v>
      </c>
      <c r="BU132" s="717">
        <v>0.14249999999999999</v>
      </c>
      <c r="BV132" s="717">
        <v>0.15</v>
      </c>
      <c r="BW132" s="717">
        <v>0.1575</v>
      </c>
      <c r="BX132" s="717">
        <f t="shared" si="41"/>
        <v>-7.0000000000000007E-2</v>
      </c>
      <c r="BY132" s="717"/>
      <c r="BZ132" s="717">
        <f t="shared" si="42"/>
        <v>7.0000000000000007E-2</v>
      </c>
      <c r="CA132" s="756">
        <f t="shared" si="40"/>
        <v>0</v>
      </c>
      <c r="CB132" s="716">
        <f t="shared" si="43"/>
        <v>0</v>
      </c>
      <c r="CC132" s="789">
        <f t="shared" si="44"/>
        <v>3.1274999999999999</v>
      </c>
      <c r="CD132" s="793">
        <f t="shared" si="45"/>
        <v>0.1575</v>
      </c>
    </row>
    <row r="133" spans="1:82" ht="13.8" x14ac:dyDescent="0.3">
      <c r="A133" s="553">
        <f t="shared" si="46"/>
        <v>40575</v>
      </c>
      <c r="B133" s="717">
        <v>7.4201479560881009E-2</v>
      </c>
      <c r="C133" s="8"/>
      <c r="D133" s="989">
        <v>39417</v>
      </c>
      <c r="E133" s="990">
        <v>29.8</v>
      </c>
      <c r="F133" s="990">
        <v>30.95</v>
      </c>
      <c r="G133" s="990">
        <v>32.1</v>
      </c>
      <c r="H133" s="977"/>
      <c r="I133" s="990">
        <v>20.424999237060547</v>
      </c>
      <c r="J133" s="990">
        <v>20.999999237060546</v>
      </c>
      <c r="K133" s="990">
        <v>21.574999237060545</v>
      </c>
      <c r="L133" s="12"/>
      <c r="M133" s="1004">
        <v>40299</v>
      </c>
      <c r="N133" s="991">
        <v>21.172500076293939</v>
      </c>
      <c r="O133" s="991">
        <v>23.032500076293939</v>
      </c>
      <c r="P133" s="991">
        <v>24.892500076293938</v>
      </c>
      <c r="Q133" s="21"/>
      <c r="R133" s="991">
        <v>17.864999771118157</v>
      </c>
      <c r="S133" s="991">
        <v>22.164999771118158</v>
      </c>
      <c r="T133" s="991">
        <v>26.464999771118158</v>
      </c>
      <c r="U133" s="21"/>
      <c r="V133" s="991">
        <v>0.3</v>
      </c>
      <c r="W133" s="991">
        <v>0.3</v>
      </c>
      <c r="X133" s="991">
        <v>0.3</v>
      </c>
      <c r="Y133" s="21"/>
      <c r="Z133" s="991">
        <v>8.6076313133138502E-2</v>
      </c>
      <c r="AA133" s="991">
        <v>0.172152626266277</v>
      </c>
      <c r="AB133" s="991">
        <v>0.25822893939941549</v>
      </c>
      <c r="AC133" s="21"/>
      <c r="AD133" s="991">
        <v>2.8597548241064145E-2</v>
      </c>
      <c r="AE133" s="991">
        <v>5.719509648212829E-2</v>
      </c>
      <c r="AF133" s="991">
        <v>8.5792644723192438E-2</v>
      </c>
      <c r="AG133" s="21"/>
      <c r="AH133" s="991">
        <v>-0.25</v>
      </c>
      <c r="AI133" s="991">
        <v>1.1000000000000001</v>
      </c>
      <c r="AJ133" s="991">
        <v>0.3</v>
      </c>
      <c r="AK133" s="21"/>
      <c r="AL133" s="991">
        <v>-0.15</v>
      </c>
      <c r="AM133" s="991">
        <v>0.5</v>
      </c>
      <c r="AN133" s="991">
        <v>0.2</v>
      </c>
      <c r="AO133" s="21"/>
      <c r="AP133" s="12">
        <v>42</v>
      </c>
      <c r="AQ133" s="992">
        <v>0.4</v>
      </c>
      <c r="AR133" s="21"/>
      <c r="AS133" s="21"/>
      <c r="AT133" s="21"/>
      <c r="AU133" s="21"/>
      <c r="AV133" s="21"/>
      <c r="AW133" s="21"/>
      <c r="AX133" s="21"/>
      <c r="AY133" s="21"/>
      <c r="AZ133" s="21"/>
      <c r="BA133" s="21"/>
      <c r="BB133" s="21"/>
      <c r="BC133" s="21"/>
      <c r="BD133" s="21"/>
      <c r="BE133" s="21"/>
      <c r="BF133" s="21"/>
      <c r="BH133" s="20"/>
      <c r="BI133" s="20"/>
      <c r="BJ133" s="395"/>
      <c r="BK133"/>
      <c r="BL133"/>
      <c r="BM133"/>
      <c r="BN133"/>
      <c r="BO133"/>
      <c r="BP133"/>
      <c r="BQ133" s="553">
        <f t="shared" si="24"/>
        <v>40483</v>
      </c>
      <c r="BR133" s="716">
        <v>3.2625000000000002</v>
      </c>
      <c r="BS133" s="716">
        <v>3.2675000000000001</v>
      </c>
      <c r="BT133" s="716">
        <v>3.2725</v>
      </c>
      <c r="BU133" s="717">
        <v>0.14249999999999999</v>
      </c>
      <c r="BV133" s="717">
        <v>0.15</v>
      </c>
      <c r="BW133" s="717">
        <v>0.1575</v>
      </c>
      <c r="BX133" s="717">
        <f t="shared" si="41"/>
        <v>-7.0000000000000007E-2</v>
      </c>
      <c r="BY133" s="717"/>
      <c r="BZ133" s="717">
        <f t="shared" si="42"/>
        <v>7.0000000000000007E-2</v>
      </c>
      <c r="CA133" s="756">
        <f t="shared" si="40"/>
        <v>0</v>
      </c>
      <c r="CB133" s="716">
        <f t="shared" si="43"/>
        <v>0</v>
      </c>
      <c r="CC133" s="789">
        <f t="shared" si="44"/>
        <v>3.2625000000000002</v>
      </c>
      <c r="CD133" s="793">
        <f t="shared" si="45"/>
        <v>0.1575</v>
      </c>
    </row>
    <row r="134" spans="1:82" ht="13.8" x14ac:dyDescent="0.3">
      <c r="A134" s="553">
        <f t="shared" si="46"/>
        <v>40603</v>
      </c>
      <c r="B134" s="717">
        <v>7.4201213364084001E-2</v>
      </c>
      <c r="C134" s="8"/>
      <c r="D134" s="989">
        <v>39448</v>
      </c>
      <c r="E134" s="990">
        <v>35.75</v>
      </c>
      <c r="F134" s="990">
        <v>37.049999999999997</v>
      </c>
      <c r="G134" s="990">
        <v>38.35</v>
      </c>
      <c r="H134" s="977"/>
      <c r="I134" s="990">
        <v>20.140000152587891</v>
      </c>
      <c r="J134" s="990">
        <v>20.79000015258789</v>
      </c>
      <c r="K134" s="990">
        <v>21.440000152587888</v>
      </c>
      <c r="L134" s="12"/>
      <c r="M134" s="1004">
        <v>40330</v>
      </c>
      <c r="N134" s="991">
        <v>22.126250152587886</v>
      </c>
      <c r="O134" s="991">
        <v>27.458750152587886</v>
      </c>
      <c r="P134" s="991">
        <v>32.791250152587885</v>
      </c>
      <c r="Q134" s="21"/>
      <c r="R134" s="991">
        <v>16.642499542236322</v>
      </c>
      <c r="S134" s="991">
        <v>20.942499542236323</v>
      </c>
      <c r="T134" s="991">
        <v>25.242499542236324</v>
      </c>
      <c r="U134" s="21"/>
      <c r="V134" s="991">
        <v>0.3</v>
      </c>
      <c r="W134" s="991">
        <v>0.3</v>
      </c>
      <c r="X134" s="991">
        <v>0.3</v>
      </c>
      <c r="Y134" s="21"/>
      <c r="Z134" s="991">
        <v>0.10784355212150218</v>
      </c>
      <c r="AA134" s="991">
        <v>0.21568710424300436</v>
      </c>
      <c r="AB134" s="991">
        <v>0.32353065636450651</v>
      </c>
      <c r="AC134" s="21"/>
      <c r="AD134" s="991">
        <v>3.6768276309939604E-2</v>
      </c>
      <c r="AE134" s="991">
        <v>7.3536552619879209E-2</v>
      </c>
      <c r="AF134" s="991">
        <v>0.11030482892981881</v>
      </c>
      <c r="AG134" s="21"/>
      <c r="AH134" s="991">
        <v>-0.35</v>
      </c>
      <c r="AI134" s="991">
        <v>2</v>
      </c>
      <c r="AJ134" s="991">
        <v>0.3</v>
      </c>
      <c r="AK134" s="21"/>
      <c r="AL134" s="991">
        <v>-0.15</v>
      </c>
      <c r="AM134" s="991">
        <v>0.65</v>
      </c>
      <c r="AN134" s="991">
        <v>0.2</v>
      </c>
      <c r="AO134" s="21"/>
      <c r="AP134" s="12">
        <v>42</v>
      </c>
      <c r="AQ134" s="992">
        <v>0.4</v>
      </c>
      <c r="AR134" s="21"/>
      <c r="AS134" s="21"/>
      <c r="AT134" s="21"/>
      <c r="AU134" s="21"/>
      <c r="AV134" s="21"/>
      <c r="AW134" s="21"/>
      <c r="AX134" s="21"/>
      <c r="AY134" s="21"/>
      <c r="AZ134" s="21"/>
      <c r="BA134" s="21"/>
      <c r="BB134" s="21"/>
      <c r="BC134" s="21"/>
      <c r="BD134" s="21"/>
      <c r="BE134" s="21"/>
      <c r="BF134" s="21"/>
      <c r="BH134" s="20"/>
      <c r="BI134" s="20"/>
      <c r="BJ134" s="395"/>
      <c r="BK134"/>
      <c r="BL134"/>
      <c r="BM134"/>
      <c r="BN134"/>
      <c r="BO134"/>
      <c r="BP134"/>
      <c r="BQ134" s="553">
        <f t="shared" si="24"/>
        <v>40513</v>
      </c>
      <c r="BR134" s="716">
        <v>3.3865000000000003</v>
      </c>
      <c r="BS134" s="716">
        <v>3.3915000000000002</v>
      </c>
      <c r="BT134" s="716">
        <v>3.3965000000000001</v>
      </c>
      <c r="BU134" s="717">
        <v>0.14249999999999999</v>
      </c>
      <c r="BV134" s="717">
        <v>0.15</v>
      </c>
      <c r="BW134" s="717">
        <v>0.1575</v>
      </c>
      <c r="BX134" s="717">
        <f t="shared" si="41"/>
        <v>-7.0000000000000007E-2</v>
      </c>
      <c r="BY134" s="717"/>
      <c r="BZ134" s="717">
        <f t="shared" si="42"/>
        <v>7.0000000000000007E-2</v>
      </c>
      <c r="CA134" s="756">
        <f t="shared" si="40"/>
        <v>0</v>
      </c>
      <c r="CB134" s="716">
        <f t="shared" si="43"/>
        <v>0</v>
      </c>
      <c r="CC134" s="789">
        <f t="shared" si="44"/>
        <v>3.3865000000000003</v>
      </c>
      <c r="CD134" s="793">
        <f t="shared" si="45"/>
        <v>0.1575</v>
      </c>
    </row>
    <row r="135" spans="1:82" ht="13.8" x14ac:dyDescent="0.3">
      <c r="A135" s="553">
        <f t="shared" si="46"/>
        <v>40634</v>
      </c>
      <c r="B135" s="717">
        <v>7.4200918646201999E-2</v>
      </c>
      <c r="C135" s="8"/>
      <c r="D135" s="989">
        <v>39479</v>
      </c>
      <c r="E135" s="990">
        <v>35.75</v>
      </c>
      <c r="F135" s="990">
        <v>37.049999999999997</v>
      </c>
      <c r="G135" s="990">
        <v>38.35</v>
      </c>
      <c r="H135" s="977"/>
      <c r="I135" s="990">
        <v>19.949997711181641</v>
      </c>
      <c r="J135" s="990">
        <v>20.59999771118164</v>
      </c>
      <c r="K135" s="990">
        <v>21.249997711181638</v>
      </c>
      <c r="L135" s="12"/>
      <c r="M135" s="1004">
        <v>40360</v>
      </c>
      <c r="N135" s="991">
        <v>36.911249542236348</v>
      </c>
      <c r="O135" s="991">
        <v>40.661249542236348</v>
      </c>
      <c r="P135" s="991">
        <v>44.411249542236348</v>
      </c>
      <c r="Q135" s="21"/>
      <c r="R135" s="991">
        <v>25.847499465942377</v>
      </c>
      <c r="S135" s="991">
        <v>30.147499465942378</v>
      </c>
      <c r="T135" s="991">
        <v>34.447499465942379</v>
      </c>
      <c r="U135" s="21"/>
      <c r="V135" s="991">
        <v>0.3</v>
      </c>
      <c r="W135" s="991">
        <v>0.3</v>
      </c>
      <c r="X135" s="991">
        <v>0.3</v>
      </c>
      <c r="Y135" s="21"/>
      <c r="Z135" s="991">
        <v>0.12769640852782735</v>
      </c>
      <c r="AA135" s="991">
        <v>0.2553928170556547</v>
      </c>
      <c r="AB135" s="991">
        <v>0.38308922558348202</v>
      </c>
      <c r="AC135" s="21"/>
      <c r="AD135" s="991">
        <v>4.9024368413252799E-2</v>
      </c>
      <c r="AE135" s="991">
        <v>9.8048736826505598E-2</v>
      </c>
      <c r="AF135" s="991">
        <v>0.14707310523975839</v>
      </c>
      <c r="AG135" s="21"/>
      <c r="AH135" s="991">
        <v>-0.35</v>
      </c>
      <c r="AI135" s="991">
        <v>3</v>
      </c>
      <c r="AJ135" s="991">
        <v>0.5</v>
      </c>
      <c r="AK135" s="21"/>
      <c r="AL135" s="991">
        <v>-0.15</v>
      </c>
      <c r="AM135" s="991">
        <v>0.75</v>
      </c>
      <c r="AN135" s="991">
        <v>0.2</v>
      </c>
      <c r="AO135" s="21"/>
      <c r="AP135" s="12">
        <v>43</v>
      </c>
      <c r="AQ135" s="992">
        <v>0.4</v>
      </c>
      <c r="AR135" s="21"/>
      <c r="AS135" s="21"/>
      <c r="AT135" s="21"/>
      <c r="AU135" s="21"/>
      <c r="AV135" s="21"/>
      <c r="AW135" s="21"/>
      <c r="AX135" s="21"/>
      <c r="AY135" s="21"/>
      <c r="AZ135" s="21"/>
      <c r="BA135" s="21"/>
      <c r="BB135" s="21"/>
      <c r="BC135" s="21"/>
      <c r="BD135" s="21"/>
      <c r="BE135" s="21"/>
      <c r="BF135" s="21"/>
      <c r="BH135" s="20"/>
      <c r="BI135" s="20"/>
      <c r="BJ135" s="395"/>
      <c r="BK135"/>
      <c r="BL135"/>
      <c r="BM135"/>
      <c r="BN135"/>
      <c r="BO135"/>
      <c r="BP135"/>
      <c r="BQ135" s="553">
        <f t="shared" ref="BQ135:BQ198" si="47">EOMONTH(BQ134,0)+1</f>
        <v>40544</v>
      </c>
      <c r="BR135" s="716">
        <v>3.4649999999999999</v>
      </c>
      <c r="BS135" s="716">
        <v>3.47</v>
      </c>
      <c r="BT135" s="716">
        <v>3.4750000000000001</v>
      </c>
      <c r="BU135" s="717">
        <v>0.14850000000000002</v>
      </c>
      <c r="BV135" s="717">
        <v>0.15</v>
      </c>
      <c r="BW135" s="717">
        <v>0.16350000000000001</v>
      </c>
      <c r="BX135" s="717">
        <f t="shared" ref="BX135:BX150" si="48">BY135-$BX$4</f>
        <v>-7.0000000000000007E-2</v>
      </c>
      <c r="BY135" s="717"/>
      <c r="BZ135" s="717">
        <f t="shared" ref="BZ135:BZ150" si="49">BY135+$BZ$4</f>
        <v>7.0000000000000007E-2</v>
      </c>
      <c r="CA135" s="756">
        <f t="shared" si="40"/>
        <v>0</v>
      </c>
      <c r="CB135" s="716">
        <f t="shared" ref="CB135:CB150" si="50">GasBasis</f>
        <v>0</v>
      </c>
      <c r="CC135" s="789">
        <f t="shared" ref="CC135:CC150" si="51">(IF(GasPriceCurve,IF(OBuySell=OCallPut,BT135,BR135),BS135)+CA135/1000+CB135)/(1-GasTransportPercent)</f>
        <v>3.4649999999999999</v>
      </c>
      <c r="CD135" s="793">
        <f t="shared" ref="CD135:CD150" si="52">IF(GasVolOver,GasVolOver,IF(OVolType=2,IF(OR(BU135="",BV135="",BW135=""),CD134,IF(GasVolCurve,IF(OBuySell,BU135,BW135),BV135)*GasVolAsPercentOfNYMEX),IF(OR(BU135="",BV135="",BW135="",BY135=""),CD134,SQRT(((IF(GasVolCurve,IF(OBuySell,BU135,BW135),BV135)*GasVolAsPercentOfNYMEX)^2*(BQ135-DateToday-1)+IF(GasVolCurve,IF(OBuySell,BX135,BZ135),BY135)^2*15)/(BQ135-DateToday+14))))+GasVolSpread)</f>
        <v>0.16350000000000001</v>
      </c>
    </row>
    <row r="136" spans="1:82" ht="13.8" x14ac:dyDescent="0.3">
      <c r="A136" s="553">
        <f t="shared" si="46"/>
        <v>40664</v>
      </c>
      <c r="B136" s="717">
        <v>7.420063343534801E-2</v>
      </c>
      <c r="C136" s="8"/>
      <c r="D136" s="989">
        <v>39508</v>
      </c>
      <c r="E136" s="990">
        <v>32.549999999999997</v>
      </c>
      <c r="F136" s="990">
        <v>33.299999999999997</v>
      </c>
      <c r="G136" s="990">
        <v>34.049999999999997</v>
      </c>
      <c r="H136" s="977"/>
      <c r="I136" s="990">
        <v>19.224999618530273</v>
      </c>
      <c r="J136" s="990">
        <v>19.599999618530273</v>
      </c>
      <c r="K136" s="990">
        <v>19.974999618530273</v>
      </c>
      <c r="L136" s="12"/>
      <c r="M136" s="1004">
        <v>40391</v>
      </c>
      <c r="N136" s="991">
        <v>39.172499084472676</v>
      </c>
      <c r="O136" s="991">
        <v>42.922499084472676</v>
      </c>
      <c r="P136" s="991">
        <v>46.672499084472676</v>
      </c>
      <c r="Q136" s="21"/>
      <c r="R136" s="991">
        <v>27.345000839233393</v>
      </c>
      <c r="S136" s="991">
        <v>31.645000839233393</v>
      </c>
      <c r="T136" s="991">
        <v>35.945000839233394</v>
      </c>
      <c r="U136" s="21"/>
      <c r="V136" s="991">
        <v>0.8</v>
      </c>
      <c r="W136" s="991">
        <v>0.8</v>
      </c>
      <c r="X136" s="991">
        <v>0.8</v>
      </c>
      <c r="Y136" s="21"/>
      <c r="Z136" s="991">
        <v>0.12578202594578886</v>
      </c>
      <c r="AA136" s="991">
        <v>0.25156405189157771</v>
      </c>
      <c r="AB136" s="991">
        <v>0.37734607783736657</v>
      </c>
      <c r="AC136" s="21"/>
      <c r="AD136" s="991">
        <v>4.9024368413252799E-2</v>
      </c>
      <c r="AE136" s="991">
        <v>9.8048736826505598E-2</v>
      </c>
      <c r="AF136" s="991">
        <v>0.14707310523975839</v>
      </c>
      <c r="AG136" s="21"/>
      <c r="AH136" s="991">
        <v>-0.35</v>
      </c>
      <c r="AI136" s="991">
        <v>3</v>
      </c>
      <c r="AJ136" s="991">
        <v>0.5</v>
      </c>
      <c r="AK136" s="21"/>
      <c r="AL136" s="991">
        <v>-0.15</v>
      </c>
      <c r="AM136" s="991">
        <v>0.75</v>
      </c>
      <c r="AN136" s="991">
        <v>0.2</v>
      </c>
      <c r="AO136" s="21"/>
      <c r="AP136" s="12">
        <v>43</v>
      </c>
      <c r="AQ136" s="992">
        <v>0.4</v>
      </c>
      <c r="AR136" s="21"/>
      <c r="AS136" s="21"/>
      <c r="AT136" s="21"/>
      <c r="AU136" s="21"/>
      <c r="AV136" s="21"/>
      <c r="AW136" s="21"/>
      <c r="AX136" s="21"/>
      <c r="AY136" s="21"/>
      <c r="AZ136" s="21"/>
      <c r="BA136" s="21"/>
      <c r="BB136" s="21"/>
      <c r="BC136" s="21"/>
      <c r="BD136" s="21"/>
      <c r="BE136" s="21"/>
      <c r="BF136" s="21"/>
      <c r="BH136" s="20"/>
      <c r="BI136" s="20"/>
      <c r="BJ136" s="395"/>
      <c r="BK136"/>
      <c r="BL136"/>
      <c r="BM136"/>
      <c r="BN136"/>
      <c r="BO136"/>
      <c r="BP136"/>
      <c r="BQ136" s="553">
        <f t="shared" si="47"/>
        <v>40575</v>
      </c>
      <c r="BR136" s="716">
        <v>3.347</v>
      </c>
      <c r="BS136" s="716">
        <v>3.3520000000000003</v>
      </c>
      <c r="BT136" s="716">
        <v>3.3570000000000002</v>
      </c>
      <c r="BU136" s="717">
        <v>0.14850000000000002</v>
      </c>
      <c r="BV136" s="717">
        <v>0.15</v>
      </c>
      <c r="BW136" s="717">
        <v>0.16350000000000001</v>
      </c>
      <c r="BX136" s="717">
        <f t="shared" si="48"/>
        <v>-7.0000000000000007E-2</v>
      </c>
      <c r="BY136" s="717"/>
      <c r="BZ136" s="717">
        <f t="shared" si="49"/>
        <v>7.0000000000000007E-2</v>
      </c>
      <c r="CA136" s="756">
        <f t="shared" si="40"/>
        <v>0</v>
      </c>
      <c r="CB136" s="716">
        <f t="shared" si="50"/>
        <v>0</v>
      </c>
      <c r="CC136" s="789">
        <f t="shared" si="51"/>
        <v>3.347</v>
      </c>
      <c r="CD136" s="793">
        <f t="shared" si="52"/>
        <v>0.16350000000000001</v>
      </c>
    </row>
    <row r="137" spans="1:82" ht="13.8" x14ac:dyDescent="0.3">
      <c r="A137" s="553">
        <f t="shared" si="46"/>
        <v>40695</v>
      </c>
      <c r="B137" s="717">
        <v>7.4200338717465994E-2</v>
      </c>
      <c r="C137" s="8"/>
      <c r="D137" s="989">
        <v>39539</v>
      </c>
      <c r="E137" s="990">
        <v>31.45</v>
      </c>
      <c r="F137" s="990">
        <v>32.049999999999997</v>
      </c>
      <c r="G137" s="990">
        <v>32.65</v>
      </c>
      <c r="H137" s="977"/>
      <c r="I137" s="990">
        <v>19.299997711181639</v>
      </c>
      <c r="J137" s="990">
        <v>19.59999771118164</v>
      </c>
      <c r="K137" s="990">
        <v>19.899997711181641</v>
      </c>
      <c r="L137" s="12"/>
      <c r="M137" s="1004">
        <v>40422</v>
      </c>
      <c r="N137" s="991">
        <v>23.104999160766596</v>
      </c>
      <c r="O137" s="991">
        <v>24.304999160766595</v>
      </c>
      <c r="P137" s="991">
        <v>25.504999160766594</v>
      </c>
      <c r="Q137" s="21"/>
      <c r="R137" s="991">
        <v>20.5</v>
      </c>
      <c r="S137" s="991">
        <v>24.8</v>
      </c>
      <c r="T137" s="991">
        <v>29.1</v>
      </c>
      <c r="U137" s="21"/>
      <c r="V137" s="991">
        <v>0.8</v>
      </c>
      <c r="W137" s="991">
        <v>0.8</v>
      </c>
      <c r="X137" s="991">
        <v>0.8</v>
      </c>
      <c r="Y137" s="21"/>
      <c r="Z137" s="991">
        <v>8.3240190789377735E-2</v>
      </c>
      <c r="AA137" s="991">
        <v>0.16648038157875547</v>
      </c>
      <c r="AB137" s="991">
        <v>0.24972057236813322</v>
      </c>
      <c r="AC137" s="21"/>
      <c r="AD137" s="991">
        <v>3.2682912275501866E-2</v>
      </c>
      <c r="AE137" s="991">
        <v>6.5365824551003732E-2</v>
      </c>
      <c r="AF137" s="991">
        <v>9.8048736826505598E-2</v>
      </c>
      <c r="AG137" s="21"/>
      <c r="AH137" s="991">
        <v>-0.35</v>
      </c>
      <c r="AI137" s="991">
        <v>1.5</v>
      </c>
      <c r="AJ137" s="991">
        <v>0.3</v>
      </c>
      <c r="AK137" s="21"/>
      <c r="AL137" s="991">
        <v>-0.15</v>
      </c>
      <c r="AM137" s="991">
        <v>0.4</v>
      </c>
      <c r="AN137" s="991">
        <v>0.2</v>
      </c>
      <c r="AO137" s="21"/>
      <c r="AP137" s="12">
        <v>43</v>
      </c>
      <c r="AQ137" s="992">
        <v>0.4</v>
      </c>
      <c r="AR137" s="21"/>
      <c r="AS137" s="21"/>
      <c r="AT137" s="21"/>
      <c r="AU137" s="21"/>
      <c r="AV137" s="21"/>
      <c r="AW137" s="21"/>
      <c r="AX137" s="21"/>
      <c r="AY137" s="21"/>
      <c r="AZ137" s="21"/>
      <c r="BA137" s="21"/>
      <c r="BB137" s="21"/>
      <c r="BC137" s="21"/>
      <c r="BD137" s="21"/>
      <c r="BE137" s="21"/>
      <c r="BF137" s="21"/>
      <c r="BH137" s="20"/>
      <c r="BI137" s="20"/>
      <c r="BJ137" s="395"/>
      <c r="BK137"/>
      <c r="BL137"/>
      <c r="BM137"/>
      <c r="BN137"/>
      <c r="BO137"/>
      <c r="BP137"/>
      <c r="BQ137" s="553">
        <f t="shared" si="47"/>
        <v>40603</v>
      </c>
      <c r="BR137" s="716">
        <v>3.2270000000000003</v>
      </c>
      <c r="BS137" s="716">
        <v>3.2320000000000002</v>
      </c>
      <c r="BT137" s="716">
        <v>3.2370000000000001</v>
      </c>
      <c r="BU137" s="717">
        <v>0.14850000000000002</v>
      </c>
      <c r="BV137" s="717">
        <v>0.15</v>
      </c>
      <c r="BW137" s="717">
        <v>0.16350000000000001</v>
      </c>
      <c r="BX137" s="717">
        <f t="shared" si="48"/>
        <v>-7.0000000000000007E-2</v>
      </c>
      <c r="BY137" s="717"/>
      <c r="BZ137" s="717">
        <f t="shared" si="49"/>
        <v>7.0000000000000007E-2</v>
      </c>
      <c r="CA137" s="756">
        <f t="shared" si="40"/>
        <v>0</v>
      </c>
      <c r="CB137" s="716">
        <f t="shared" si="50"/>
        <v>0</v>
      </c>
      <c r="CC137" s="789">
        <f t="shared" si="51"/>
        <v>3.2270000000000003</v>
      </c>
      <c r="CD137" s="793">
        <f t="shared" si="52"/>
        <v>0.16350000000000001</v>
      </c>
    </row>
    <row r="138" spans="1:82" ht="13.8" x14ac:dyDescent="0.3">
      <c r="A138" s="553">
        <f t="shared" si="46"/>
        <v>40725</v>
      </c>
      <c r="B138" s="717">
        <v>7.4200053506613003E-2</v>
      </c>
      <c r="C138" s="8"/>
      <c r="D138" s="989">
        <v>39569</v>
      </c>
      <c r="E138" s="990">
        <v>32.01</v>
      </c>
      <c r="F138" s="990">
        <v>34.049999999999997</v>
      </c>
      <c r="G138" s="990">
        <v>36.090000000000003</v>
      </c>
      <c r="H138" s="977"/>
      <c r="I138" s="990">
        <v>18.57999771118164</v>
      </c>
      <c r="J138" s="990">
        <v>19.59999771118164</v>
      </c>
      <c r="K138" s="990">
        <v>20.619997711181639</v>
      </c>
      <c r="L138" s="12"/>
      <c r="M138" s="1004">
        <v>40452</v>
      </c>
      <c r="N138" s="991">
        <v>23.313000106811518</v>
      </c>
      <c r="O138" s="991">
        <v>24.400500106811517</v>
      </c>
      <c r="P138" s="991">
        <v>25.488000106811516</v>
      </c>
      <c r="Q138" s="21"/>
      <c r="R138" s="991">
        <v>18.100999832153313</v>
      </c>
      <c r="S138" s="991">
        <v>22.400999832153314</v>
      </c>
      <c r="T138" s="991">
        <v>26.700999832153315</v>
      </c>
      <c r="U138" s="21"/>
      <c r="V138" s="991">
        <v>0.8</v>
      </c>
      <c r="W138" s="991">
        <v>0.8</v>
      </c>
      <c r="X138" s="991">
        <v>0.8</v>
      </c>
      <c r="Y138" s="21"/>
      <c r="Z138" s="991">
        <v>7.5724466578411795E-2</v>
      </c>
      <c r="AA138" s="991">
        <v>0.15144893315682359</v>
      </c>
      <c r="AB138" s="991">
        <v>0.22717339973523537</v>
      </c>
      <c r="AC138" s="21"/>
      <c r="AD138" s="991">
        <v>2.4512184206626399E-2</v>
      </c>
      <c r="AE138" s="991">
        <v>4.9024368413252799E-2</v>
      </c>
      <c r="AF138" s="991">
        <v>7.3536552619879195E-2</v>
      </c>
      <c r="AG138" s="21"/>
      <c r="AH138" s="991">
        <v>-0.25</v>
      </c>
      <c r="AI138" s="991">
        <v>1.1000000000000001</v>
      </c>
      <c r="AJ138" s="991">
        <v>0.3</v>
      </c>
      <c r="AK138" s="21"/>
      <c r="AL138" s="991">
        <v>-0.15</v>
      </c>
      <c r="AM138" s="991">
        <v>0.35</v>
      </c>
      <c r="AN138" s="991">
        <v>0.2</v>
      </c>
      <c r="AO138" s="21"/>
      <c r="AP138" s="12">
        <v>44</v>
      </c>
      <c r="AQ138" s="992">
        <v>0.4</v>
      </c>
      <c r="AR138" s="21"/>
      <c r="AS138" s="21"/>
      <c r="AT138" s="21"/>
      <c r="AU138" s="21"/>
      <c r="AV138" s="21"/>
      <c r="AW138" s="21"/>
      <c r="AX138" s="21"/>
      <c r="AY138" s="21"/>
      <c r="AZ138" s="21"/>
      <c r="BA138" s="21"/>
      <c r="BB138" s="21"/>
      <c r="BC138" s="21"/>
      <c r="BD138" s="21"/>
      <c r="BE138" s="21"/>
      <c r="BF138" s="21"/>
      <c r="BH138" s="20"/>
      <c r="BI138" s="20"/>
      <c r="BJ138" s="395"/>
      <c r="BK138"/>
      <c r="BL138"/>
      <c r="BM138"/>
      <c r="BN138"/>
      <c r="BO138"/>
      <c r="BP138"/>
      <c r="BQ138" s="553">
        <f t="shared" si="47"/>
        <v>40634</v>
      </c>
      <c r="BR138" s="716">
        <v>3.1775000000000002</v>
      </c>
      <c r="BS138" s="716">
        <v>3.1825000000000001</v>
      </c>
      <c r="BT138" s="716">
        <v>3.1875</v>
      </c>
      <c r="BU138" s="717">
        <v>0.14850000000000002</v>
      </c>
      <c r="BV138" s="717">
        <v>0.15</v>
      </c>
      <c r="BW138" s="717">
        <v>0.16350000000000001</v>
      </c>
      <c r="BX138" s="717">
        <f t="shared" si="48"/>
        <v>-7.0000000000000007E-2</v>
      </c>
      <c r="BY138" s="717"/>
      <c r="BZ138" s="717">
        <f t="shared" si="49"/>
        <v>7.0000000000000007E-2</v>
      </c>
      <c r="CA138" s="756">
        <f t="shared" si="40"/>
        <v>0</v>
      </c>
      <c r="CB138" s="716">
        <f t="shared" si="50"/>
        <v>0</v>
      </c>
      <c r="CC138" s="789">
        <f t="shared" si="51"/>
        <v>3.1775000000000002</v>
      </c>
      <c r="CD138" s="793">
        <f t="shared" si="52"/>
        <v>0.16350000000000001</v>
      </c>
    </row>
    <row r="139" spans="1:82" ht="13.8" x14ac:dyDescent="0.3">
      <c r="A139" s="553">
        <f t="shared" si="46"/>
        <v>40756</v>
      </c>
      <c r="B139" s="717">
        <v>7.4199758788731002E-2</v>
      </c>
      <c r="C139" s="8"/>
      <c r="D139" s="989">
        <v>39600</v>
      </c>
      <c r="E139" s="990">
        <v>44.38</v>
      </c>
      <c r="F139" s="990">
        <v>50.25</v>
      </c>
      <c r="G139" s="990">
        <v>56.12</v>
      </c>
      <c r="H139" s="977"/>
      <c r="I139" s="990">
        <v>16.619998779296875</v>
      </c>
      <c r="J139" s="990">
        <v>19.554998779296874</v>
      </c>
      <c r="K139" s="990">
        <v>22.489998779296872</v>
      </c>
      <c r="L139" s="12"/>
      <c r="M139" s="1004">
        <v>40483</v>
      </c>
      <c r="N139" s="991">
        <v>24.317251586914058</v>
      </c>
      <c r="O139" s="991">
        <v>25.404751586914056</v>
      </c>
      <c r="P139" s="991">
        <v>26.492251586914055</v>
      </c>
      <c r="Q139" s="21"/>
      <c r="R139" s="991">
        <v>19.104499816894524</v>
      </c>
      <c r="S139" s="991">
        <v>23.404499816894525</v>
      </c>
      <c r="T139" s="991">
        <v>27.704499816894526</v>
      </c>
      <c r="U139" s="21"/>
      <c r="V139" s="991">
        <v>0.8</v>
      </c>
      <c r="W139" s="991">
        <v>0.8</v>
      </c>
      <c r="X139" s="991">
        <v>0.8</v>
      </c>
      <c r="Y139" s="21"/>
      <c r="Z139" s="991">
        <v>7.5724466578411795E-2</v>
      </c>
      <c r="AA139" s="991">
        <v>0.15144893315682359</v>
      </c>
      <c r="AB139" s="991">
        <v>0.22717339973523537</v>
      </c>
      <c r="AC139" s="21"/>
      <c r="AD139" s="991">
        <v>2.4512184206626399E-2</v>
      </c>
      <c r="AE139" s="991">
        <v>4.9024368413252799E-2</v>
      </c>
      <c r="AF139" s="991">
        <v>7.3536552619879195E-2</v>
      </c>
      <c r="AG139" s="21"/>
      <c r="AH139" s="991">
        <v>-0.25</v>
      </c>
      <c r="AI139" s="991">
        <v>1.25</v>
      </c>
      <c r="AJ139" s="991">
        <v>0.3</v>
      </c>
      <c r="AK139" s="21"/>
      <c r="AL139" s="991">
        <v>-0.15</v>
      </c>
      <c r="AM139" s="991">
        <v>0.3</v>
      </c>
      <c r="AN139" s="991">
        <v>0.2</v>
      </c>
      <c r="AO139" s="21"/>
      <c r="AP139" s="12">
        <v>44</v>
      </c>
      <c r="AQ139" s="992">
        <v>0.4</v>
      </c>
      <c r="AR139" s="21"/>
      <c r="AS139" s="21"/>
      <c r="AT139" s="21"/>
      <c r="AU139" s="21"/>
      <c r="AV139" s="21"/>
      <c r="AW139" s="21"/>
      <c r="AX139" s="21"/>
      <c r="AY139" s="21"/>
      <c r="AZ139" s="21"/>
      <c r="BA139" s="21"/>
      <c r="BB139" s="21"/>
      <c r="BC139" s="21"/>
      <c r="BD139" s="21"/>
      <c r="BE139" s="21"/>
      <c r="BF139" s="21"/>
      <c r="BH139" s="20"/>
      <c r="BI139" s="20"/>
      <c r="BJ139" s="395"/>
      <c r="BK139"/>
      <c r="BL139"/>
      <c r="BM139"/>
      <c r="BN139"/>
      <c r="BO139"/>
      <c r="BP139"/>
      <c r="BQ139" s="553">
        <f t="shared" si="47"/>
        <v>40664</v>
      </c>
      <c r="BR139" s="716">
        <v>3.1515</v>
      </c>
      <c r="BS139" s="716">
        <v>3.1565000000000003</v>
      </c>
      <c r="BT139" s="716">
        <v>3.1615000000000002</v>
      </c>
      <c r="BU139" s="717">
        <v>0.14850000000000002</v>
      </c>
      <c r="BV139" s="717">
        <v>0.15</v>
      </c>
      <c r="BW139" s="717">
        <v>0.16350000000000001</v>
      </c>
      <c r="BX139" s="717">
        <f t="shared" si="48"/>
        <v>-7.0000000000000007E-2</v>
      </c>
      <c r="BY139" s="717"/>
      <c r="BZ139" s="717">
        <f t="shared" si="49"/>
        <v>7.0000000000000007E-2</v>
      </c>
      <c r="CA139" s="756">
        <f t="shared" si="40"/>
        <v>0</v>
      </c>
      <c r="CB139" s="716">
        <f t="shared" si="50"/>
        <v>0</v>
      </c>
      <c r="CC139" s="789">
        <f t="shared" si="51"/>
        <v>3.1515</v>
      </c>
      <c r="CD139" s="793">
        <f t="shared" si="52"/>
        <v>0.16350000000000001</v>
      </c>
    </row>
    <row r="140" spans="1:82" ht="13.8" x14ac:dyDescent="0.3">
      <c r="A140" s="553">
        <f t="shared" si="46"/>
        <v>40787</v>
      </c>
      <c r="B140" s="717">
        <v>7.4199464070849E-2</v>
      </c>
      <c r="C140" s="8"/>
      <c r="D140" s="989">
        <v>39630</v>
      </c>
      <c r="E140" s="990">
        <v>67.5</v>
      </c>
      <c r="F140" s="990">
        <v>72.5</v>
      </c>
      <c r="G140" s="990">
        <v>77.5</v>
      </c>
      <c r="H140" s="977"/>
      <c r="I140" s="990">
        <v>21.549997711181639</v>
      </c>
      <c r="J140" s="990">
        <v>24.049997711181639</v>
      </c>
      <c r="K140" s="990">
        <v>26.549997711181639</v>
      </c>
      <c r="L140" s="12"/>
      <c r="M140" s="1004">
        <v>40513</v>
      </c>
      <c r="N140" s="991">
        <v>25.767498397827143</v>
      </c>
      <c r="O140" s="991">
        <v>26.854998397827142</v>
      </c>
      <c r="P140" s="991">
        <v>27.942498397827141</v>
      </c>
      <c r="Q140" s="21"/>
      <c r="R140" s="991">
        <v>19.04999923706054</v>
      </c>
      <c r="S140" s="991">
        <v>23.34999923706054</v>
      </c>
      <c r="T140" s="991">
        <v>27.649999237060541</v>
      </c>
      <c r="U140" s="21"/>
      <c r="V140" s="991">
        <v>0.8</v>
      </c>
      <c r="W140" s="991">
        <v>0.8</v>
      </c>
      <c r="X140" s="991">
        <v>0.8</v>
      </c>
      <c r="Y140" s="21"/>
      <c r="Z140" s="991">
        <v>7.8447144028422094E-2</v>
      </c>
      <c r="AA140" s="991">
        <v>0.15689428805684419</v>
      </c>
      <c r="AB140" s="991">
        <v>0.23534143208526628</v>
      </c>
      <c r="AC140" s="21"/>
      <c r="AD140" s="991">
        <v>2.4512184206626399E-2</v>
      </c>
      <c r="AE140" s="991">
        <v>4.9024368413252799E-2</v>
      </c>
      <c r="AF140" s="991">
        <v>7.3536552619879195E-2</v>
      </c>
      <c r="AG140" s="21"/>
      <c r="AH140" s="991">
        <v>-0.25</v>
      </c>
      <c r="AI140" s="991">
        <v>1.25</v>
      </c>
      <c r="AJ140" s="991">
        <v>0.35</v>
      </c>
      <c r="AK140" s="21"/>
      <c r="AL140" s="991">
        <v>-0.15</v>
      </c>
      <c r="AM140" s="991">
        <v>0.3</v>
      </c>
      <c r="AN140" s="991">
        <v>0.2</v>
      </c>
      <c r="AO140" s="21"/>
      <c r="AP140" s="12">
        <v>44</v>
      </c>
      <c r="AQ140" s="992">
        <v>0.4</v>
      </c>
      <c r="AR140" s="21"/>
      <c r="AS140" s="21"/>
      <c r="AT140" s="21"/>
      <c r="AU140" s="21"/>
      <c r="AV140" s="21"/>
      <c r="AW140" s="21"/>
      <c r="AX140" s="21"/>
      <c r="AY140" s="21"/>
      <c r="AZ140" s="21"/>
      <c r="BA140" s="21"/>
      <c r="BB140" s="21"/>
      <c r="BC140" s="21"/>
      <c r="BD140" s="21"/>
      <c r="BE140" s="21"/>
      <c r="BF140" s="21"/>
      <c r="BH140" s="20"/>
      <c r="BI140" s="20"/>
      <c r="BJ140" s="395"/>
      <c r="BK140"/>
      <c r="BL140"/>
      <c r="BM140"/>
      <c r="BN140"/>
      <c r="BO140"/>
      <c r="BP140"/>
      <c r="BQ140" s="553">
        <f t="shared" si="47"/>
        <v>40695</v>
      </c>
      <c r="BR140" s="716">
        <v>3.1575000000000002</v>
      </c>
      <c r="BS140" s="716">
        <v>3.1625000000000001</v>
      </c>
      <c r="BT140" s="716">
        <v>3.1675</v>
      </c>
      <c r="BU140" s="717">
        <v>0.14850000000000002</v>
      </c>
      <c r="BV140" s="717">
        <v>0.15</v>
      </c>
      <c r="BW140" s="717">
        <v>0.16350000000000001</v>
      </c>
      <c r="BX140" s="717">
        <f t="shared" si="48"/>
        <v>-7.0000000000000007E-2</v>
      </c>
      <c r="BY140" s="717"/>
      <c r="BZ140" s="717">
        <f t="shared" si="49"/>
        <v>7.0000000000000007E-2</v>
      </c>
      <c r="CA140" s="756">
        <f t="shared" si="40"/>
        <v>0</v>
      </c>
      <c r="CB140" s="716">
        <f t="shared" si="50"/>
        <v>0</v>
      </c>
      <c r="CC140" s="789">
        <f t="shared" si="51"/>
        <v>3.1575000000000002</v>
      </c>
      <c r="CD140" s="793">
        <f t="shared" si="52"/>
        <v>0.16350000000000001</v>
      </c>
    </row>
    <row r="141" spans="1:82" ht="13.8" x14ac:dyDescent="0.3">
      <c r="A141" s="553">
        <f t="shared" si="46"/>
        <v>40817</v>
      </c>
      <c r="B141" s="717">
        <v>7.4199178859999992E-2</v>
      </c>
      <c r="C141" s="8"/>
      <c r="D141" s="989">
        <v>39661</v>
      </c>
      <c r="E141" s="990">
        <v>63</v>
      </c>
      <c r="F141" s="990">
        <v>68</v>
      </c>
      <c r="G141" s="990">
        <v>73</v>
      </c>
      <c r="H141" s="977"/>
      <c r="I141" s="990">
        <v>21.899998092651366</v>
      </c>
      <c r="J141" s="990">
        <v>24.399998092651366</v>
      </c>
      <c r="K141" s="990">
        <v>26.899998092651366</v>
      </c>
      <c r="L141" s="12"/>
      <c r="M141" s="1004">
        <v>40544</v>
      </c>
      <c r="N141" s="991">
        <v>29.048748779296869</v>
      </c>
      <c r="O141" s="991">
        <v>30.248748779296868</v>
      </c>
      <c r="P141" s="991">
        <v>31.448748779296867</v>
      </c>
      <c r="Q141" s="21"/>
      <c r="R141" s="991">
        <v>24.452500534057609</v>
      </c>
      <c r="S141" s="991">
        <v>28.75250053405761</v>
      </c>
      <c r="T141" s="991">
        <v>33.052500534057607</v>
      </c>
      <c r="U141" s="21"/>
      <c r="V141" s="991">
        <v>0.8</v>
      </c>
      <c r="W141" s="991">
        <v>0.8</v>
      </c>
      <c r="X141" s="991">
        <v>0.8</v>
      </c>
      <c r="Y141" s="21"/>
      <c r="Z141" s="991">
        <v>8.472127690223058E-2</v>
      </c>
      <c r="AA141" s="991">
        <v>0.16944255380446116</v>
      </c>
      <c r="AB141" s="991">
        <v>0.25416383070669174</v>
      </c>
      <c r="AC141" s="21"/>
      <c r="AD141" s="991">
        <v>2.8025597276242861E-2</v>
      </c>
      <c r="AE141" s="991">
        <v>5.6051194552485722E-2</v>
      </c>
      <c r="AF141" s="991">
        <v>8.4076791828728584E-2</v>
      </c>
      <c r="AG141" s="21"/>
      <c r="AH141" s="991">
        <v>-0.75</v>
      </c>
      <c r="AI141" s="991">
        <v>2</v>
      </c>
      <c r="AJ141" s="991">
        <v>0.75</v>
      </c>
      <c r="AK141" s="21"/>
      <c r="AL141" s="991">
        <v>-0.15</v>
      </c>
      <c r="AM141" s="991">
        <v>0.5</v>
      </c>
      <c r="AN141" s="991">
        <v>0.2</v>
      </c>
      <c r="AO141" s="21"/>
      <c r="AP141" s="12">
        <v>45</v>
      </c>
      <c r="AQ141" s="992">
        <v>0.4</v>
      </c>
      <c r="AR141" s="21"/>
      <c r="AS141" s="21"/>
      <c r="AT141" s="21"/>
      <c r="AU141" s="21"/>
      <c r="AV141" s="21"/>
      <c r="AW141" s="21"/>
      <c r="AX141" s="21"/>
      <c r="AY141" s="21"/>
      <c r="AZ141" s="21"/>
      <c r="BA141" s="21"/>
      <c r="BB141" s="21"/>
      <c r="BC141" s="21"/>
      <c r="BD141" s="21"/>
      <c r="BE141" s="21"/>
      <c r="BF141" s="21"/>
      <c r="BH141" s="20"/>
      <c r="BI141" s="20"/>
      <c r="BJ141" s="395"/>
      <c r="BK141"/>
      <c r="BL141"/>
      <c r="BM141"/>
      <c r="BN141"/>
      <c r="BO141"/>
      <c r="BP141"/>
      <c r="BQ141" s="553">
        <f t="shared" si="47"/>
        <v>40725</v>
      </c>
      <c r="BR141" s="716">
        <v>3.1675</v>
      </c>
      <c r="BS141" s="716">
        <v>3.1724999999999999</v>
      </c>
      <c r="BT141" s="716">
        <v>3.1775000000000002</v>
      </c>
      <c r="BU141" s="717">
        <v>0.14850000000000002</v>
      </c>
      <c r="BV141" s="717">
        <v>0.15</v>
      </c>
      <c r="BW141" s="717">
        <v>0.16350000000000001</v>
      </c>
      <c r="BX141" s="717">
        <f t="shared" si="48"/>
        <v>-7.0000000000000007E-2</v>
      </c>
      <c r="BY141" s="717"/>
      <c r="BZ141" s="717">
        <f t="shared" si="49"/>
        <v>7.0000000000000007E-2</v>
      </c>
      <c r="CA141" s="756">
        <f t="shared" si="40"/>
        <v>0</v>
      </c>
      <c r="CB141" s="716">
        <f t="shared" si="50"/>
        <v>0</v>
      </c>
      <c r="CC141" s="789">
        <f t="shared" si="51"/>
        <v>3.1675</v>
      </c>
      <c r="CD141" s="793">
        <f t="shared" si="52"/>
        <v>0.16350000000000001</v>
      </c>
    </row>
    <row r="142" spans="1:82" ht="13.8" x14ac:dyDescent="0.3">
      <c r="A142" s="553">
        <f t="shared" si="46"/>
        <v>40848</v>
      </c>
      <c r="B142" s="717">
        <v>7.4198884142114993E-2</v>
      </c>
      <c r="C142" s="8"/>
      <c r="D142" s="989">
        <v>39692</v>
      </c>
      <c r="E142" s="990">
        <v>31.65</v>
      </c>
      <c r="F142" s="990">
        <v>33.049999999999997</v>
      </c>
      <c r="G142" s="990">
        <v>34.450000000000003</v>
      </c>
      <c r="H142" s="977"/>
      <c r="I142" s="990">
        <v>19.249998092651367</v>
      </c>
      <c r="J142" s="990">
        <v>19.949998092651366</v>
      </c>
      <c r="K142" s="990">
        <v>20.649998092651366</v>
      </c>
      <c r="L142" s="12"/>
      <c r="M142" s="1004">
        <v>40575</v>
      </c>
      <c r="N142" s="991">
        <v>28.046250152587884</v>
      </c>
      <c r="O142" s="991">
        <v>29.246250152587884</v>
      </c>
      <c r="P142" s="991">
        <v>30.446250152587883</v>
      </c>
      <c r="Q142" s="21"/>
      <c r="R142" s="991">
        <v>22.447499465942375</v>
      </c>
      <c r="S142" s="991">
        <v>26.747499465942376</v>
      </c>
      <c r="T142" s="991">
        <v>31.047499465942376</v>
      </c>
      <c r="U142" s="21"/>
      <c r="V142" s="991">
        <v>0.3</v>
      </c>
      <c r="W142" s="991">
        <v>0.3</v>
      </c>
      <c r="X142" s="991">
        <v>0.3</v>
      </c>
      <c r="Y142" s="21"/>
      <c r="Z142" s="991">
        <v>8.1727592206038702E-2</v>
      </c>
      <c r="AA142" s="991">
        <v>0.1634551844120774</v>
      </c>
      <c r="AB142" s="991">
        <v>0.24518277661811611</v>
      </c>
      <c r="AC142" s="21"/>
      <c r="AD142" s="991">
        <v>2.8025597276242861E-2</v>
      </c>
      <c r="AE142" s="991">
        <v>5.6051194552485722E-2</v>
      </c>
      <c r="AF142" s="991">
        <v>8.4076791828728584E-2</v>
      </c>
      <c r="AG142" s="21"/>
      <c r="AH142" s="991">
        <v>-0.75</v>
      </c>
      <c r="AI142" s="991">
        <v>2</v>
      </c>
      <c r="AJ142" s="991">
        <v>0.75</v>
      </c>
      <c r="AK142" s="21"/>
      <c r="AL142" s="991">
        <v>-0.15</v>
      </c>
      <c r="AM142" s="991">
        <v>0.5</v>
      </c>
      <c r="AN142" s="991">
        <v>0.2</v>
      </c>
      <c r="AO142" s="21"/>
      <c r="AP142" s="12">
        <v>45</v>
      </c>
      <c r="AQ142" s="992">
        <v>0.4</v>
      </c>
      <c r="AR142" s="21"/>
      <c r="AS142" s="21"/>
      <c r="AT142" s="21"/>
      <c r="AU142" s="21"/>
      <c r="AV142" s="21"/>
      <c r="AW142" s="21"/>
      <c r="AX142" s="21"/>
      <c r="AY142" s="21"/>
      <c r="AZ142" s="21"/>
      <c r="BA142" s="21"/>
      <c r="BB142" s="21"/>
      <c r="BC142" s="21"/>
      <c r="BD142" s="21"/>
      <c r="BE142" s="21"/>
      <c r="BF142" s="21"/>
      <c r="BH142" s="20"/>
      <c r="BI142" s="20"/>
      <c r="BJ142" s="395"/>
      <c r="BK142"/>
      <c r="BL142"/>
      <c r="BM142"/>
      <c r="BN142"/>
      <c r="BO142"/>
      <c r="BP142"/>
      <c r="BQ142" s="553">
        <f t="shared" si="47"/>
        <v>40756</v>
      </c>
      <c r="BR142" s="716">
        <v>3.1745000000000001</v>
      </c>
      <c r="BS142" s="716">
        <v>3.1795</v>
      </c>
      <c r="BT142" s="716">
        <v>3.1845000000000003</v>
      </c>
      <c r="BU142" s="717">
        <v>0.14850000000000002</v>
      </c>
      <c r="BV142" s="717">
        <v>0.15</v>
      </c>
      <c r="BW142" s="717">
        <v>0.16350000000000001</v>
      </c>
      <c r="BX142" s="717">
        <f t="shared" si="48"/>
        <v>-7.0000000000000007E-2</v>
      </c>
      <c r="BY142" s="717"/>
      <c r="BZ142" s="717">
        <f t="shared" si="49"/>
        <v>7.0000000000000007E-2</v>
      </c>
      <c r="CA142" s="756">
        <f t="shared" si="40"/>
        <v>0</v>
      </c>
      <c r="CB142" s="716">
        <f t="shared" si="50"/>
        <v>0</v>
      </c>
      <c r="CC142" s="789">
        <f t="shared" si="51"/>
        <v>3.1745000000000001</v>
      </c>
      <c r="CD142" s="793">
        <f t="shared" si="52"/>
        <v>0.16350000000000001</v>
      </c>
    </row>
    <row r="143" spans="1:82" ht="13.8" x14ac:dyDescent="0.3">
      <c r="A143" s="553">
        <f t="shared" si="46"/>
        <v>40878</v>
      </c>
      <c r="B143" s="717">
        <v>7.4198598931260989E-2</v>
      </c>
      <c r="C143" s="8"/>
      <c r="D143" s="989">
        <v>39722</v>
      </c>
      <c r="E143" s="990">
        <v>29.55</v>
      </c>
      <c r="F143" s="990">
        <v>30.8</v>
      </c>
      <c r="G143" s="990">
        <v>32.049999999999997</v>
      </c>
      <c r="H143" s="977"/>
      <c r="I143" s="990">
        <v>19.02499885559082</v>
      </c>
      <c r="J143" s="990">
        <v>19.64999885559082</v>
      </c>
      <c r="K143" s="990">
        <v>20.27499885559082</v>
      </c>
      <c r="L143" s="12"/>
      <c r="M143" s="1004">
        <v>40603</v>
      </c>
      <c r="N143" s="991">
        <v>21.759749603271477</v>
      </c>
      <c r="O143" s="991">
        <v>22.434749603271477</v>
      </c>
      <c r="P143" s="991">
        <v>23.109749603271478</v>
      </c>
      <c r="Q143" s="21"/>
      <c r="R143" s="991">
        <v>17.76449890136718</v>
      </c>
      <c r="S143" s="991">
        <v>22.06449890136718</v>
      </c>
      <c r="T143" s="991">
        <v>26.364498901367181</v>
      </c>
      <c r="U143" s="21"/>
      <c r="V143" s="991">
        <v>0.3</v>
      </c>
      <c r="W143" s="991">
        <v>0.3</v>
      </c>
      <c r="X143" s="991">
        <v>0.3</v>
      </c>
      <c r="Y143" s="21"/>
      <c r="Z143" s="991">
        <v>7.9549686589559104E-2</v>
      </c>
      <c r="AA143" s="991">
        <v>0.15909937317911821</v>
      </c>
      <c r="AB143" s="991">
        <v>0.23864905976867731</v>
      </c>
      <c r="AC143" s="21"/>
      <c r="AD143" s="991">
        <v>2.402194052249387E-2</v>
      </c>
      <c r="AE143" s="991">
        <v>4.8043881044987739E-2</v>
      </c>
      <c r="AF143" s="991">
        <v>7.2065821567481606E-2</v>
      </c>
      <c r="AG143" s="21"/>
      <c r="AH143" s="991">
        <v>-0.25</v>
      </c>
      <c r="AI143" s="991">
        <v>1.3</v>
      </c>
      <c r="AJ143" s="991">
        <v>0.3</v>
      </c>
      <c r="AK143" s="21"/>
      <c r="AL143" s="991">
        <v>-0.15</v>
      </c>
      <c r="AM143" s="991">
        <v>0.35</v>
      </c>
      <c r="AN143" s="991">
        <v>0.2</v>
      </c>
      <c r="AO143" s="21"/>
      <c r="AP143" s="12">
        <v>45</v>
      </c>
      <c r="AQ143" s="992">
        <v>0.4</v>
      </c>
      <c r="AR143" s="21"/>
      <c r="AS143" s="21"/>
      <c r="AT143" s="21"/>
      <c r="AU143" s="21"/>
      <c r="AV143" s="21"/>
      <c r="AW143" s="21"/>
      <c r="AX143" s="21"/>
      <c r="AY143" s="21"/>
      <c r="AZ143" s="21"/>
      <c r="BA143" s="21"/>
      <c r="BB143" s="21"/>
      <c r="BC143" s="21"/>
      <c r="BD143" s="21"/>
      <c r="BE143" s="21"/>
      <c r="BF143" s="21"/>
      <c r="BH143" s="20"/>
      <c r="BI143" s="20"/>
      <c r="BJ143" s="395"/>
      <c r="BK143"/>
      <c r="BL143"/>
      <c r="BM143"/>
      <c r="BN143"/>
      <c r="BO143"/>
      <c r="BP143"/>
      <c r="BQ143" s="553">
        <f t="shared" si="47"/>
        <v>40787</v>
      </c>
      <c r="BR143" s="716">
        <v>3.1815000000000002</v>
      </c>
      <c r="BS143" s="716">
        <v>3.1865000000000001</v>
      </c>
      <c r="BT143" s="716">
        <v>3.1915</v>
      </c>
      <c r="BU143" s="717">
        <v>0.14850000000000002</v>
      </c>
      <c r="BV143" s="717">
        <v>0.15</v>
      </c>
      <c r="BW143" s="717">
        <v>0.16350000000000001</v>
      </c>
      <c r="BX143" s="717">
        <f t="shared" si="48"/>
        <v>-7.0000000000000007E-2</v>
      </c>
      <c r="BY143" s="717"/>
      <c r="BZ143" s="717">
        <f t="shared" si="49"/>
        <v>7.0000000000000007E-2</v>
      </c>
      <c r="CA143" s="756">
        <f t="shared" si="40"/>
        <v>0</v>
      </c>
      <c r="CB143" s="716">
        <f t="shared" si="50"/>
        <v>0</v>
      </c>
      <c r="CC143" s="789">
        <f t="shared" si="51"/>
        <v>3.1815000000000002</v>
      </c>
      <c r="CD143" s="793">
        <f t="shared" si="52"/>
        <v>0.16350000000000001</v>
      </c>
    </row>
    <row r="144" spans="1:82" ht="13.8" x14ac:dyDescent="0.3">
      <c r="A144" s="553">
        <f t="shared" si="46"/>
        <v>40909</v>
      </c>
      <c r="B144" s="717">
        <v>7.4198304213379002E-2</v>
      </c>
      <c r="C144" s="8"/>
      <c r="D144" s="989">
        <v>39753</v>
      </c>
      <c r="E144" s="990">
        <v>29.925000000000001</v>
      </c>
      <c r="F144" s="990">
        <v>31.175000000000001</v>
      </c>
      <c r="G144" s="990">
        <v>32.424999999999997</v>
      </c>
      <c r="H144" s="977"/>
      <c r="I144" s="990">
        <v>18.949998092651366</v>
      </c>
      <c r="J144" s="990">
        <v>19.574998092651366</v>
      </c>
      <c r="K144" s="990">
        <v>20.199998092651366</v>
      </c>
      <c r="L144" s="12"/>
      <c r="M144" s="1004">
        <v>40634</v>
      </c>
      <c r="N144" s="991">
        <v>22.555000305175774</v>
      </c>
      <c r="O144" s="991">
        <v>23.117500305175774</v>
      </c>
      <c r="P144" s="991">
        <v>23.680000305175774</v>
      </c>
      <c r="Q144" s="21"/>
      <c r="R144" s="991">
        <v>17.534999084472648</v>
      </c>
      <c r="S144" s="991">
        <v>21.834999084472649</v>
      </c>
      <c r="T144" s="991">
        <v>26.13499908447265</v>
      </c>
      <c r="U144" s="21"/>
      <c r="V144" s="991">
        <v>0.3</v>
      </c>
      <c r="W144" s="991">
        <v>0.3</v>
      </c>
      <c r="X144" s="991">
        <v>0.3</v>
      </c>
      <c r="Y144" s="21"/>
      <c r="Z144" s="991">
        <v>7.0995232570190747E-2</v>
      </c>
      <c r="AA144" s="991">
        <v>0.14199046514038149</v>
      </c>
      <c r="AB144" s="991">
        <v>0.21298569771057224</v>
      </c>
      <c r="AC144" s="21"/>
      <c r="AD144" s="991">
        <v>2.402194052249387E-2</v>
      </c>
      <c r="AE144" s="991">
        <v>4.8043881044987739E-2</v>
      </c>
      <c r="AF144" s="991">
        <v>7.2065821567481606E-2</v>
      </c>
      <c r="AG144" s="21"/>
      <c r="AH144" s="991">
        <v>-0.25</v>
      </c>
      <c r="AI144" s="991">
        <v>1.1000000000000001</v>
      </c>
      <c r="AJ144" s="991">
        <v>0.3</v>
      </c>
      <c r="AK144" s="21"/>
      <c r="AL144" s="991">
        <v>-0.15</v>
      </c>
      <c r="AM144" s="991">
        <v>0.35</v>
      </c>
      <c r="AN144" s="991">
        <v>0.2</v>
      </c>
      <c r="AO144" s="21"/>
      <c r="AP144" s="12">
        <v>46</v>
      </c>
      <c r="AQ144" s="992">
        <v>0.4</v>
      </c>
      <c r="AR144" s="21"/>
      <c r="AS144" s="21"/>
      <c r="AT144" s="21"/>
      <c r="AU144" s="21"/>
      <c r="AV144" s="21"/>
      <c r="AW144" s="21"/>
      <c r="AX144" s="21"/>
      <c r="AY144" s="21"/>
      <c r="AZ144" s="21"/>
      <c r="BA144" s="21"/>
      <c r="BB144" s="21"/>
      <c r="BC144" s="21"/>
      <c r="BD144" s="21"/>
      <c r="BE144" s="21"/>
      <c r="BF144" s="21"/>
      <c r="BH144" s="20"/>
      <c r="BI144" s="20"/>
      <c r="BJ144" s="395"/>
      <c r="BK144"/>
      <c r="BL144"/>
      <c r="BM144"/>
      <c r="BN144"/>
      <c r="BO144"/>
      <c r="BP144"/>
      <c r="BQ144" s="553">
        <f t="shared" si="47"/>
        <v>40817</v>
      </c>
      <c r="BR144" s="716">
        <v>3.2075</v>
      </c>
      <c r="BS144" s="716">
        <v>3.2124999999999999</v>
      </c>
      <c r="BT144" s="716">
        <v>3.2174999999999998</v>
      </c>
      <c r="BU144" s="717">
        <v>0.14850000000000002</v>
      </c>
      <c r="BV144" s="717">
        <v>0.15</v>
      </c>
      <c r="BW144" s="717">
        <v>0.16350000000000001</v>
      </c>
      <c r="BX144" s="717">
        <f t="shared" si="48"/>
        <v>-7.0000000000000007E-2</v>
      </c>
      <c r="BY144" s="717"/>
      <c r="BZ144" s="717">
        <f t="shared" si="49"/>
        <v>7.0000000000000007E-2</v>
      </c>
      <c r="CA144" s="756">
        <f t="shared" si="40"/>
        <v>0</v>
      </c>
      <c r="CB144" s="716">
        <f t="shared" si="50"/>
        <v>0</v>
      </c>
      <c r="CC144" s="789">
        <f t="shared" si="51"/>
        <v>3.2075</v>
      </c>
      <c r="CD144" s="793">
        <f t="shared" si="52"/>
        <v>0.16350000000000001</v>
      </c>
    </row>
    <row r="145" spans="1:82" ht="13.8" x14ac:dyDescent="0.3">
      <c r="A145" s="553">
        <f t="shared" si="46"/>
        <v>40940</v>
      </c>
      <c r="B145" s="717">
        <v>7.4198009495497999E-2</v>
      </c>
      <c r="C145" s="8"/>
      <c r="D145" s="989">
        <v>39783</v>
      </c>
      <c r="E145" s="990">
        <v>29.8</v>
      </c>
      <c r="F145" s="990">
        <v>31.05</v>
      </c>
      <c r="G145" s="990">
        <v>32.299999999999997</v>
      </c>
      <c r="H145" s="977"/>
      <c r="I145" s="990">
        <v>20.374999237060546</v>
      </c>
      <c r="J145" s="990">
        <v>20.999999237060546</v>
      </c>
      <c r="K145" s="990">
        <v>21.624999237060546</v>
      </c>
      <c r="L145" s="12"/>
      <c r="M145" s="1004">
        <v>40664</v>
      </c>
      <c r="N145" s="991">
        <v>21.372500076293939</v>
      </c>
      <c r="O145" s="991">
        <v>23.232500076293938</v>
      </c>
      <c r="P145" s="991">
        <v>25.092500076293938</v>
      </c>
      <c r="Q145" s="21"/>
      <c r="R145" s="991">
        <v>18.064999771118156</v>
      </c>
      <c r="S145" s="991">
        <v>22.364999771118157</v>
      </c>
      <c r="T145" s="991">
        <v>26.664999771118158</v>
      </c>
      <c r="U145" s="21"/>
      <c r="V145" s="991">
        <v>0.3</v>
      </c>
      <c r="W145" s="991">
        <v>0.3</v>
      </c>
      <c r="X145" s="991">
        <v>0.3</v>
      </c>
      <c r="Y145" s="21"/>
      <c r="Z145" s="991">
        <v>8.1772497476481576E-2</v>
      </c>
      <c r="AA145" s="991">
        <v>0.16354499495296315</v>
      </c>
      <c r="AB145" s="991">
        <v>0.24531749242944473</v>
      </c>
      <c r="AC145" s="21"/>
      <c r="AD145" s="991">
        <v>2.8025597276242861E-2</v>
      </c>
      <c r="AE145" s="991">
        <v>5.6051194552485722E-2</v>
      </c>
      <c r="AF145" s="991">
        <v>8.4076791828728584E-2</v>
      </c>
      <c r="AG145" s="21"/>
      <c r="AH145" s="991">
        <v>-0.25</v>
      </c>
      <c r="AI145" s="991">
        <v>1.1000000000000001</v>
      </c>
      <c r="AJ145" s="991">
        <v>0.3</v>
      </c>
      <c r="AK145" s="21"/>
      <c r="AL145" s="991">
        <v>-0.15</v>
      </c>
      <c r="AM145" s="991">
        <v>0.5</v>
      </c>
      <c r="AN145" s="991">
        <v>0.2</v>
      </c>
      <c r="AO145" s="21"/>
      <c r="AP145" s="12">
        <v>46</v>
      </c>
      <c r="AQ145" s="992">
        <v>0.4</v>
      </c>
      <c r="AR145" s="21"/>
      <c r="AS145" s="21"/>
      <c r="AT145" s="21"/>
      <c r="AU145" s="21"/>
      <c r="AV145" s="21"/>
      <c r="AW145" s="21"/>
      <c r="AX145" s="21"/>
      <c r="AY145" s="21"/>
      <c r="AZ145" s="21"/>
      <c r="BA145" s="21"/>
      <c r="BB145" s="21"/>
      <c r="BC145" s="21"/>
      <c r="BD145" s="21"/>
      <c r="BE145" s="21"/>
      <c r="BF145" s="21"/>
      <c r="BH145" s="20"/>
      <c r="BI145" s="20"/>
      <c r="BJ145" s="395"/>
      <c r="BK145"/>
      <c r="BL145"/>
      <c r="BM145"/>
      <c r="BN145"/>
      <c r="BO145"/>
      <c r="BP145"/>
      <c r="BQ145" s="553">
        <f t="shared" si="47"/>
        <v>40848</v>
      </c>
      <c r="BR145" s="716">
        <v>3.3424999999999998</v>
      </c>
      <c r="BS145" s="716">
        <v>3.3475000000000001</v>
      </c>
      <c r="BT145" s="716">
        <v>3.3525</v>
      </c>
      <c r="BU145" s="717">
        <v>0.14850000000000002</v>
      </c>
      <c r="BV145" s="717">
        <v>0.15</v>
      </c>
      <c r="BW145" s="717">
        <v>0.16350000000000001</v>
      </c>
      <c r="BX145" s="717">
        <f t="shared" si="48"/>
        <v>-7.0000000000000007E-2</v>
      </c>
      <c r="BY145" s="717"/>
      <c r="BZ145" s="717">
        <f t="shared" si="49"/>
        <v>7.0000000000000007E-2</v>
      </c>
      <c r="CA145" s="756">
        <f t="shared" si="40"/>
        <v>0</v>
      </c>
      <c r="CB145" s="716">
        <f t="shared" si="50"/>
        <v>0</v>
      </c>
      <c r="CC145" s="789">
        <f t="shared" si="51"/>
        <v>3.3424999999999998</v>
      </c>
      <c r="CD145" s="793">
        <f t="shared" si="52"/>
        <v>0.16350000000000001</v>
      </c>
    </row>
    <row r="146" spans="1:82" ht="13.8" x14ac:dyDescent="0.3">
      <c r="A146" s="553">
        <f t="shared" si="46"/>
        <v>40969</v>
      </c>
      <c r="B146" s="717">
        <v>7.4197733791673007E-2</v>
      </c>
      <c r="C146" s="8"/>
      <c r="D146" s="989">
        <v>39814</v>
      </c>
      <c r="E146" s="990">
        <v>35.75</v>
      </c>
      <c r="F146" s="990">
        <v>37.15</v>
      </c>
      <c r="G146" s="990">
        <v>38.549999999999997</v>
      </c>
      <c r="H146" s="977"/>
      <c r="I146" s="990">
        <v>20.29000015258789</v>
      </c>
      <c r="J146" s="990">
        <v>20.990000152587889</v>
      </c>
      <c r="K146" s="990">
        <v>21.690000152587888</v>
      </c>
      <c r="L146" s="12"/>
      <c r="M146" s="1004">
        <v>40695</v>
      </c>
      <c r="N146" s="991">
        <v>22.326250152587885</v>
      </c>
      <c r="O146" s="991">
        <v>27.658750152587885</v>
      </c>
      <c r="P146" s="991">
        <v>32.991250152587881</v>
      </c>
      <c r="Q146" s="21"/>
      <c r="R146" s="991">
        <v>16.842499542236322</v>
      </c>
      <c r="S146" s="991">
        <v>21.142499542236322</v>
      </c>
      <c r="T146" s="991">
        <v>25.442499542236323</v>
      </c>
      <c r="U146" s="21"/>
      <c r="V146" s="991">
        <v>0.3</v>
      </c>
      <c r="W146" s="991">
        <v>0.3</v>
      </c>
      <c r="X146" s="991">
        <v>0.3</v>
      </c>
      <c r="Y146" s="21"/>
      <c r="Z146" s="991">
        <v>0.10245137451542706</v>
      </c>
      <c r="AA146" s="991">
        <v>0.20490274903085412</v>
      </c>
      <c r="AB146" s="991">
        <v>0.30735412354628117</v>
      </c>
      <c r="AC146" s="21"/>
      <c r="AD146" s="991">
        <v>3.603291078374081E-2</v>
      </c>
      <c r="AE146" s="991">
        <v>7.2065821567481619E-2</v>
      </c>
      <c r="AF146" s="991">
        <v>0.10809873235122243</v>
      </c>
      <c r="AG146" s="21"/>
      <c r="AH146" s="991">
        <v>-0.35</v>
      </c>
      <c r="AI146" s="991">
        <v>2</v>
      </c>
      <c r="AJ146" s="991">
        <v>0.3</v>
      </c>
      <c r="AK146" s="21"/>
      <c r="AL146" s="991">
        <v>-0.15</v>
      </c>
      <c r="AM146" s="991">
        <v>0.65</v>
      </c>
      <c r="AN146" s="991">
        <v>0.2</v>
      </c>
      <c r="AO146" s="21"/>
      <c r="AP146" s="12">
        <v>46</v>
      </c>
      <c r="AQ146" s="992">
        <v>0.4</v>
      </c>
      <c r="AR146" s="21"/>
      <c r="AS146" s="21"/>
      <c r="AT146" s="21"/>
      <c r="AU146" s="21"/>
      <c r="AV146" s="21"/>
      <c r="AW146" s="21"/>
      <c r="AX146" s="21"/>
      <c r="AY146" s="21"/>
      <c r="AZ146" s="21"/>
      <c r="BA146" s="21"/>
      <c r="BB146" s="21"/>
      <c r="BC146" s="21"/>
      <c r="BD146" s="21"/>
      <c r="BE146" s="21"/>
      <c r="BF146" s="21"/>
      <c r="BH146" s="20"/>
      <c r="BI146" s="20"/>
      <c r="BJ146" s="395"/>
      <c r="BK146"/>
      <c r="BL146"/>
      <c r="BM146"/>
      <c r="BN146"/>
      <c r="BO146"/>
      <c r="BP146"/>
      <c r="BQ146" s="553">
        <f t="shared" si="47"/>
        <v>40878</v>
      </c>
      <c r="BR146" s="716">
        <v>3.4665000000000004</v>
      </c>
      <c r="BS146" s="716">
        <v>3.4715000000000003</v>
      </c>
      <c r="BT146" s="716">
        <v>3.4765000000000001</v>
      </c>
      <c r="BU146" s="717">
        <v>0.14850000000000002</v>
      </c>
      <c r="BV146" s="717">
        <v>0.15</v>
      </c>
      <c r="BW146" s="717">
        <v>0.16350000000000001</v>
      </c>
      <c r="BX146" s="717">
        <f t="shared" si="48"/>
        <v>-7.0000000000000007E-2</v>
      </c>
      <c r="BY146" s="717"/>
      <c r="BZ146" s="717">
        <f t="shared" si="49"/>
        <v>7.0000000000000007E-2</v>
      </c>
      <c r="CA146" s="756">
        <f t="shared" si="40"/>
        <v>0</v>
      </c>
      <c r="CB146" s="716">
        <f t="shared" si="50"/>
        <v>0</v>
      </c>
      <c r="CC146" s="789">
        <f t="shared" si="51"/>
        <v>3.4665000000000004</v>
      </c>
      <c r="CD146" s="793">
        <f t="shared" si="52"/>
        <v>0.16350000000000001</v>
      </c>
    </row>
    <row r="147" spans="1:82" ht="13.8" x14ac:dyDescent="0.3">
      <c r="A147" s="553">
        <f t="shared" si="46"/>
        <v>41000</v>
      </c>
      <c r="B147" s="717">
        <v>7.4197439073790991E-2</v>
      </c>
      <c r="C147" s="8"/>
      <c r="D147" s="989">
        <v>39845</v>
      </c>
      <c r="E147" s="990">
        <v>35.75</v>
      </c>
      <c r="F147" s="990">
        <v>37.15</v>
      </c>
      <c r="G147" s="990">
        <v>38.549999999999997</v>
      </c>
      <c r="H147" s="977"/>
      <c r="I147" s="990">
        <v>20.09999771118164</v>
      </c>
      <c r="J147" s="990">
        <v>20.799997711181639</v>
      </c>
      <c r="K147" s="990">
        <v>21.499997711181638</v>
      </c>
      <c r="L147" s="12"/>
      <c r="M147" s="1004">
        <v>40725</v>
      </c>
      <c r="N147" s="991">
        <v>37.111249542236351</v>
      </c>
      <c r="O147" s="991">
        <v>40.861249542236351</v>
      </c>
      <c r="P147" s="991">
        <v>44.611249542236351</v>
      </c>
      <c r="Q147" s="21"/>
      <c r="R147" s="991">
        <v>26.047499465942376</v>
      </c>
      <c r="S147" s="991">
        <v>30.347499465942377</v>
      </c>
      <c r="T147" s="991">
        <v>34.647499465942374</v>
      </c>
      <c r="U147" s="21"/>
      <c r="V147" s="991">
        <v>0.3</v>
      </c>
      <c r="W147" s="991">
        <v>0.3</v>
      </c>
      <c r="X147" s="991">
        <v>0.3</v>
      </c>
      <c r="Y147" s="21"/>
      <c r="Z147" s="991">
        <v>0.12131158810143597</v>
      </c>
      <c r="AA147" s="991">
        <v>0.24262317620287194</v>
      </c>
      <c r="AB147" s="991">
        <v>0.36393476430430793</v>
      </c>
      <c r="AC147" s="21"/>
      <c r="AD147" s="991">
        <v>4.8043881044987739E-2</v>
      </c>
      <c r="AE147" s="991">
        <v>9.6087762089975479E-2</v>
      </c>
      <c r="AF147" s="991">
        <v>0.14413164313496321</v>
      </c>
      <c r="AG147" s="21"/>
      <c r="AH147" s="991">
        <v>-0.35</v>
      </c>
      <c r="AI147" s="991">
        <v>3</v>
      </c>
      <c r="AJ147" s="991">
        <v>0.5</v>
      </c>
      <c r="AK147" s="21"/>
      <c r="AL147" s="991">
        <v>-0.15</v>
      </c>
      <c r="AM147" s="991">
        <v>0.75</v>
      </c>
      <c r="AN147" s="991">
        <v>0.2</v>
      </c>
      <c r="AO147" s="21"/>
      <c r="AP147" s="12">
        <v>47</v>
      </c>
      <c r="AQ147" s="992">
        <v>0.4</v>
      </c>
      <c r="AR147" s="21"/>
      <c r="AS147" s="21"/>
      <c r="AT147" s="21"/>
      <c r="AU147" s="21"/>
      <c r="AV147" s="21"/>
      <c r="AW147" s="21"/>
      <c r="AX147" s="21"/>
      <c r="AY147" s="21"/>
      <c r="AZ147" s="21"/>
      <c r="BA147" s="21"/>
      <c r="BB147" s="21"/>
      <c r="BC147" s="21"/>
      <c r="BD147" s="21"/>
      <c r="BE147" s="21"/>
      <c r="BF147" s="21"/>
      <c r="BH147" s="20"/>
      <c r="BI147" s="20"/>
      <c r="BJ147" s="395"/>
      <c r="BK147"/>
      <c r="BL147"/>
      <c r="BM147"/>
      <c r="BN147"/>
      <c r="BO147"/>
      <c r="BP147"/>
      <c r="BQ147" s="553">
        <f t="shared" si="47"/>
        <v>40909</v>
      </c>
      <c r="BR147" s="716">
        <v>3.55</v>
      </c>
      <c r="BS147" s="716">
        <v>3.5550000000000002</v>
      </c>
      <c r="BT147" s="716">
        <v>3.56</v>
      </c>
      <c r="BU147" s="717">
        <v>0.14749999999999999</v>
      </c>
      <c r="BV147" s="717">
        <v>0.15</v>
      </c>
      <c r="BW147" s="717">
        <v>0.16250000000000001</v>
      </c>
      <c r="BX147" s="717">
        <f t="shared" si="48"/>
        <v>-7.0000000000000007E-2</v>
      </c>
      <c r="BY147" s="717"/>
      <c r="BZ147" s="717">
        <f t="shared" si="49"/>
        <v>7.0000000000000007E-2</v>
      </c>
      <c r="CA147" s="756">
        <f t="shared" si="40"/>
        <v>0</v>
      </c>
      <c r="CB147" s="716">
        <f t="shared" si="50"/>
        <v>0</v>
      </c>
      <c r="CC147" s="789">
        <f t="shared" si="51"/>
        <v>3.55</v>
      </c>
      <c r="CD147" s="793">
        <f t="shared" si="52"/>
        <v>0.16250000000000001</v>
      </c>
    </row>
    <row r="148" spans="1:82" ht="13.8" x14ac:dyDescent="0.3">
      <c r="A148" s="553">
        <f t="shared" si="46"/>
        <v>41030</v>
      </c>
      <c r="B148" s="717">
        <v>7.4197153862938001E-2</v>
      </c>
      <c r="C148" s="8"/>
      <c r="D148" s="989">
        <v>39873</v>
      </c>
      <c r="E148" s="990">
        <v>32.6</v>
      </c>
      <c r="F148" s="990">
        <v>33.4</v>
      </c>
      <c r="G148" s="990">
        <v>34.200000000000003</v>
      </c>
      <c r="H148" s="977"/>
      <c r="I148" s="990">
        <v>19.399999618530273</v>
      </c>
      <c r="J148" s="990">
        <v>19.799999618530272</v>
      </c>
      <c r="K148" s="990">
        <v>20.199999618530271</v>
      </c>
      <c r="L148" s="12"/>
      <c r="M148" s="1004">
        <v>40756</v>
      </c>
      <c r="N148" s="991">
        <v>39.372499084472679</v>
      </c>
      <c r="O148" s="991">
        <v>43.122499084472679</v>
      </c>
      <c r="P148" s="991">
        <v>46.872499084472679</v>
      </c>
      <c r="Q148" s="21"/>
      <c r="R148" s="991">
        <v>27.545000839233392</v>
      </c>
      <c r="S148" s="991">
        <v>31.845000839233393</v>
      </c>
      <c r="T148" s="991">
        <v>36.14500083923339</v>
      </c>
      <c r="U148" s="21"/>
      <c r="V148" s="991">
        <v>0.8</v>
      </c>
      <c r="W148" s="991">
        <v>0.8</v>
      </c>
      <c r="X148" s="991">
        <v>0.8</v>
      </c>
      <c r="Y148" s="21"/>
      <c r="Z148" s="991">
        <v>0.11949292464849941</v>
      </c>
      <c r="AA148" s="991">
        <v>0.23898584929699881</v>
      </c>
      <c r="AB148" s="991">
        <v>0.35847877394549821</v>
      </c>
      <c r="AC148" s="21"/>
      <c r="AD148" s="991">
        <v>4.8043881044987739E-2</v>
      </c>
      <c r="AE148" s="991">
        <v>9.6087762089975479E-2</v>
      </c>
      <c r="AF148" s="991">
        <v>0.14413164313496321</v>
      </c>
      <c r="AG148" s="21"/>
      <c r="AH148" s="991">
        <v>-0.35</v>
      </c>
      <c r="AI148" s="991">
        <v>3</v>
      </c>
      <c r="AJ148" s="991">
        <v>0.5</v>
      </c>
      <c r="AK148" s="21"/>
      <c r="AL148" s="991">
        <v>-0.15</v>
      </c>
      <c r="AM148" s="991">
        <v>0.75</v>
      </c>
      <c r="AN148" s="991">
        <v>0.2</v>
      </c>
      <c r="AO148" s="21"/>
      <c r="AP148" s="12">
        <v>47</v>
      </c>
      <c r="AQ148" s="992">
        <v>0.4</v>
      </c>
      <c r="AR148" s="21"/>
      <c r="AS148" s="21"/>
      <c r="AT148" s="21"/>
      <c r="AU148" s="21"/>
      <c r="AV148" s="21"/>
      <c r="AW148" s="21"/>
      <c r="AX148" s="21"/>
      <c r="AY148" s="21"/>
      <c r="AZ148" s="21"/>
      <c r="BA148" s="21"/>
      <c r="BB148" s="21"/>
      <c r="BC148" s="21"/>
      <c r="BD148" s="21"/>
      <c r="BE148" s="21"/>
      <c r="BF148" s="21"/>
      <c r="BH148" s="20"/>
      <c r="BI148" s="20"/>
      <c r="BJ148" s="395"/>
      <c r="BK148"/>
      <c r="BL148"/>
      <c r="BM148"/>
      <c r="BN148"/>
      <c r="BO148"/>
      <c r="BP148"/>
      <c r="BQ148" s="553">
        <f t="shared" si="47"/>
        <v>40940</v>
      </c>
      <c r="BR148" s="716">
        <v>3.4320000000000004</v>
      </c>
      <c r="BS148" s="716">
        <v>3.4370000000000003</v>
      </c>
      <c r="BT148" s="716">
        <v>3.4420000000000002</v>
      </c>
      <c r="BU148" s="717">
        <v>0.14749999999999999</v>
      </c>
      <c r="BV148" s="717">
        <v>0.15</v>
      </c>
      <c r="BW148" s="717">
        <v>0.16250000000000001</v>
      </c>
      <c r="BX148" s="717">
        <f t="shared" si="48"/>
        <v>-7.0000000000000007E-2</v>
      </c>
      <c r="BY148" s="717"/>
      <c r="BZ148" s="717">
        <f t="shared" si="49"/>
        <v>7.0000000000000007E-2</v>
      </c>
      <c r="CA148" s="756">
        <f t="shared" si="40"/>
        <v>0</v>
      </c>
      <c r="CB148" s="716">
        <f t="shared" si="50"/>
        <v>0</v>
      </c>
      <c r="CC148" s="789">
        <f t="shared" si="51"/>
        <v>3.4320000000000004</v>
      </c>
      <c r="CD148" s="793">
        <f t="shared" si="52"/>
        <v>0.16250000000000001</v>
      </c>
    </row>
    <row r="149" spans="1:82" ht="13.8" x14ac:dyDescent="0.3">
      <c r="A149" s="553">
        <f t="shared" si="46"/>
        <v>41061</v>
      </c>
      <c r="B149" s="717">
        <v>7.4196859145055999E-2</v>
      </c>
      <c r="C149" s="8"/>
      <c r="D149" s="989">
        <v>39904</v>
      </c>
      <c r="E149" s="990">
        <v>31.5</v>
      </c>
      <c r="F149" s="990">
        <v>32.15</v>
      </c>
      <c r="G149" s="990">
        <v>32.799999999999997</v>
      </c>
      <c r="H149" s="977"/>
      <c r="I149" s="990">
        <v>19.47499771118164</v>
      </c>
      <c r="J149" s="990">
        <v>19.799997711181639</v>
      </c>
      <c r="K149" s="990">
        <v>20.124997711181638</v>
      </c>
      <c r="L149" s="12"/>
      <c r="M149" s="1004">
        <v>40787</v>
      </c>
      <c r="N149" s="991">
        <v>23.229999160766596</v>
      </c>
      <c r="O149" s="991">
        <v>24.504999160766594</v>
      </c>
      <c r="P149" s="991">
        <v>25.779999160766593</v>
      </c>
      <c r="Q149" s="21"/>
      <c r="R149" s="991">
        <v>20.7</v>
      </c>
      <c r="S149" s="991">
        <v>25</v>
      </c>
      <c r="T149" s="991">
        <v>29.3</v>
      </c>
      <c r="U149" s="21"/>
      <c r="V149" s="991">
        <v>0.8</v>
      </c>
      <c r="W149" s="991">
        <v>0.8</v>
      </c>
      <c r="X149" s="991">
        <v>0.8</v>
      </c>
      <c r="Y149" s="21"/>
      <c r="Z149" s="991">
        <v>7.9078181249908841E-2</v>
      </c>
      <c r="AA149" s="991">
        <v>0.15815636249981768</v>
      </c>
      <c r="AB149" s="991">
        <v>0.23723454374972652</v>
      </c>
      <c r="AC149" s="21"/>
      <c r="AD149" s="991">
        <v>3.2029254029991829E-2</v>
      </c>
      <c r="AE149" s="991">
        <v>6.4058508059983657E-2</v>
      </c>
      <c r="AF149" s="991">
        <v>9.6087762089975493E-2</v>
      </c>
      <c r="AG149" s="21"/>
      <c r="AH149" s="991">
        <v>-0.35</v>
      </c>
      <c r="AI149" s="991">
        <v>1.5</v>
      </c>
      <c r="AJ149" s="991">
        <v>0.3</v>
      </c>
      <c r="AK149" s="21"/>
      <c r="AL149" s="991">
        <v>-0.15</v>
      </c>
      <c r="AM149" s="991">
        <v>0.4</v>
      </c>
      <c r="AN149" s="991">
        <v>0.2</v>
      </c>
      <c r="AO149" s="21"/>
      <c r="AP149" s="12">
        <v>47</v>
      </c>
      <c r="AQ149" s="992">
        <v>0.4</v>
      </c>
      <c r="AR149" s="21"/>
      <c r="AS149" s="21"/>
      <c r="AT149" s="21"/>
      <c r="AU149" s="21"/>
      <c r="AV149" s="21"/>
      <c r="AW149" s="21"/>
      <c r="AX149" s="21"/>
      <c r="AY149" s="21"/>
      <c r="AZ149" s="21"/>
      <c r="BA149" s="21"/>
      <c r="BB149" s="21"/>
      <c r="BC149" s="21"/>
      <c r="BD149" s="21"/>
      <c r="BE149" s="21"/>
      <c r="BF149" s="21"/>
      <c r="BH149" s="20"/>
      <c r="BI149" s="20"/>
      <c r="BJ149" s="395"/>
      <c r="BK149"/>
      <c r="BL149"/>
      <c r="BM149"/>
      <c r="BN149"/>
      <c r="BO149"/>
      <c r="BP149"/>
      <c r="BQ149" s="553">
        <f t="shared" si="47"/>
        <v>40969</v>
      </c>
      <c r="BR149" s="716">
        <v>3.3120000000000003</v>
      </c>
      <c r="BS149" s="716">
        <v>3.3170000000000002</v>
      </c>
      <c r="BT149" s="716">
        <v>3.3220000000000001</v>
      </c>
      <c r="BU149" s="717">
        <v>0.14749999999999999</v>
      </c>
      <c r="BV149" s="717">
        <v>0.15</v>
      </c>
      <c r="BW149" s="717">
        <v>0.16250000000000001</v>
      </c>
      <c r="BX149" s="717">
        <f t="shared" si="48"/>
        <v>-7.0000000000000007E-2</v>
      </c>
      <c r="BY149" s="717"/>
      <c r="BZ149" s="717">
        <f t="shared" si="49"/>
        <v>7.0000000000000007E-2</v>
      </c>
      <c r="CA149" s="756">
        <f t="shared" si="40"/>
        <v>0</v>
      </c>
      <c r="CB149" s="716">
        <f t="shared" si="50"/>
        <v>0</v>
      </c>
      <c r="CC149" s="789">
        <f t="shared" si="51"/>
        <v>3.3120000000000003</v>
      </c>
      <c r="CD149" s="793">
        <f t="shared" si="52"/>
        <v>0.16250000000000001</v>
      </c>
    </row>
    <row r="150" spans="1:82" ht="13.8" x14ac:dyDescent="0.3">
      <c r="A150" s="553">
        <f t="shared" si="46"/>
        <v>41091</v>
      </c>
      <c r="B150" s="717">
        <v>7.4196573934203008E-2</v>
      </c>
      <c r="C150" s="8"/>
      <c r="D150" s="989">
        <v>39934</v>
      </c>
      <c r="E150" s="990">
        <v>31.9</v>
      </c>
      <c r="F150" s="990">
        <v>34.15</v>
      </c>
      <c r="G150" s="990">
        <v>36.4</v>
      </c>
      <c r="H150" s="977"/>
      <c r="I150" s="990">
        <v>18.674997711181639</v>
      </c>
      <c r="J150" s="990">
        <v>19.799997711181639</v>
      </c>
      <c r="K150" s="990">
        <v>20.924997711181639</v>
      </c>
      <c r="L150" s="12"/>
      <c r="M150" s="1004">
        <v>40817</v>
      </c>
      <c r="N150" s="991">
        <v>23.438000106811515</v>
      </c>
      <c r="O150" s="991">
        <v>24.600500106811516</v>
      </c>
      <c r="P150" s="991">
        <v>25.763000106811518</v>
      </c>
      <c r="Q150" s="21"/>
      <c r="R150" s="991">
        <v>18.300999832153312</v>
      </c>
      <c r="S150" s="991">
        <v>22.600999832153313</v>
      </c>
      <c r="T150" s="991">
        <v>26.900999832153314</v>
      </c>
      <c r="U150" s="21"/>
      <c r="V150" s="991">
        <v>0.8</v>
      </c>
      <c r="W150" s="991">
        <v>0.8</v>
      </c>
      <c r="X150" s="991">
        <v>0.8</v>
      </c>
      <c r="Y150" s="21"/>
      <c r="Z150" s="991">
        <v>7.1938243249491204E-2</v>
      </c>
      <c r="AA150" s="991">
        <v>0.14387648649898241</v>
      </c>
      <c r="AB150" s="991">
        <v>0.2158147297484736</v>
      </c>
      <c r="AC150" s="21"/>
      <c r="AD150" s="991">
        <v>2.402194052249387E-2</v>
      </c>
      <c r="AE150" s="991">
        <v>4.8043881044987739E-2</v>
      </c>
      <c r="AF150" s="991">
        <v>7.2065821567481606E-2</v>
      </c>
      <c r="AG150" s="21"/>
      <c r="AH150" s="991">
        <v>-0.25</v>
      </c>
      <c r="AI150" s="991">
        <v>1.1000000000000001</v>
      </c>
      <c r="AJ150" s="991">
        <v>0.3</v>
      </c>
      <c r="AK150" s="21"/>
      <c r="AL150" s="991">
        <v>-0.15</v>
      </c>
      <c r="AM150" s="991">
        <v>0.35</v>
      </c>
      <c r="AN150" s="991">
        <v>0.2</v>
      </c>
      <c r="AO150" s="21"/>
      <c r="AP150" s="12">
        <v>48</v>
      </c>
      <c r="AQ150" s="992">
        <v>0.4</v>
      </c>
      <c r="AR150" s="21"/>
      <c r="AS150" s="21"/>
      <c r="AT150" s="21"/>
      <c r="AU150" s="21"/>
      <c r="AV150" s="21"/>
      <c r="AW150" s="21"/>
      <c r="AX150" s="21"/>
      <c r="AY150" s="21"/>
      <c r="AZ150" s="21"/>
      <c r="BA150" s="21"/>
      <c r="BB150" s="21"/>
      <c r="BC150" s="21"/>
      <c r="BD150" s="21"/>
      <c r="BE150" s="21"/>
      <c r="BF150" s="21"/>
      <c r="BH150" s="20"/>
      <c r="BI150" s="20"/>
      <c r="BJ150" s="395"/>
      <c r="BK150"/>
      <c r="BL150"/>
      <c r="BM150"/>
      <c r="BN150"/>
      <c r="BO150"/>
      <c r="BP150"/>
      <c r="BQ150" s="553">
        <f t="shared" si="47"/>
        <v>41000</v>
      </c>
      <c r="BR150" s="716">
        <v>3.2625000000000002</v>
      </c>
      <c r="BS150" s="716">
        <v>3.2675000000000001</v>
      </c>
      <c r="BT150" s="716">
        <v>3.2725</v>
      </c>
      <c r="BU150" s="717">
        <v>0.14749999999999999</v>
      </c>
      <c r="BV150" s="717">
        <v>0.15</v>
      </c>
      <c r="BW150" s="717">
        <v>0.16250000000000001</v>
      </c>
      <c r="BX150" s="717">
        <f t="shared" si="48"/>
        <v>-7.0000000000000007E-2</v>
      </c>
      <c r="BY150" s="717"/>
      <c r="BZ150" s="717">
        <f t="shared" si="49"/>
        <v>7.0000000000000007E-2</v>
      </c>
      <c r="CA150" s="756">
        <f t="shared" si="40"/>
        <v>0</v>
      </c>
      <c r="CB150" s="716">
        <f t="shared" si="50"/>
        <v>0</v>
      </c>
      <c r="CC150" s="789">
        <f t="shared" si="51"/>
        <v>3.2625000000000002</v>
      </c>
      <c r="CD150" s="793">
        <f t="shared" si="52"/>
        <v>0.16250000000000001</v>
      </c>
    </row>
    <row r="151" spans="1:82" ht="13.8" x14ac:dyDescent="0.3">
      <c r="A151" s="553">
        <f t="shared" si="46"/>
        <v>41122</v>
      </c>
      <c r="B151" s="717">
        <v>7.4196279216321992E-2</v>
      </c>
      <c r="C151" s="8"/>
      <c r="D151" s="989">
        <v>39965</v>
      </c>
      <c r="E151" s="990">
        <v>44.79</v>
      </c>
      <c r="F151" s="990">
        <v>51.25</v>
      </c>
      <c r="G151" s="990">
        <v>57.71</v>
      </c>
      <c r="H151" s="977"/>
      <c r="I151" s="990">
        <v>16.524998779296872</v>
      </c>
      <c r="J151" s="990">
        <v>19.754998779296873</v>
      </c>
      <c r="K151" s="990">
        <v>22.984998779296873</v>
      </c>
      <c r="L151" s="12"/>
      <c r="M151" s="1004">
        <v>40848</v>
      </c>
      <c r="N151" s="991">
        <v>24.442251586914054</v>
      </c>
      <c r="O151" s="991">
        <v>25.604751586914055</v>
      </c>
      <c r="P151" s="991">
        <v>26.767251586914057</v>
      </c>
      <c r="Q151" s="21"/>
      <c r="R151" s="991">
        <v>19.304499816894523</v>
      </c>
      <c r="S151" s="991">
        <v>23.604499816894524</v>
      </c>
      <c r="T151" s="991">
        <v>27.904499816894525</v>
      </c>
      <c r="U151" s="21"/>
      <c r="V151" s="991">
        <v>0.8</v>
      </c>
      <c r="W151" s="991">
        <v>0.8</v>
      </c>
      <c r="X151" s="991">
        <v>0.8</v>
      </c>
      <c r="Y151" s="21"/>
      <c r="Z151" s="991">
        <v>7.1938243249491204E-2</v>
      </c>
      <c r="AA151" s="991">
        <v>0.14387648649898241</v>
      </c>
      <c r="AB151" s="991">
        <v>0.2158147297484736</v>
      </c>
      <c r="AC151" s="21"/>
      <c r="AD151" s="991">
        <v>2.402194052249387E-2</v>
      </c>
      <c r="AE151" s="991">
        <v>4.8043881044987739E-2</v>
      </c>
      <c r="AF151" s="991">
        <v>7.2065821567481606E-2</v>
      </c>
      <c r="AG151" s="21"/>
      <c r="AH151" s="991">
        <v>-0.25</v>
      </c>
      <c r="AI151" s="991">
        <v>1.25</v>
      </c>
      <c r="AJ151" s="991">
        <v>0.3</v>
      </c>
      <c r="AK151" s="21"/>
      <c r="AL151" s="991">
        <v>-0.15</v>
      </c>
      <c r="AM151" s="991">
        <v>0.3</v>
      </c>
      <c r="AN151" s="991">
        <v>0.2</v>
      </c>
      <c r="AO151" s="21"/>
      <c r="AP151" s="12">
        <v>48</v>
      </c>
      <c r="AQ151" s="992">
        <v>0.4</v>
      </c>
      <c r="AR151" s="21"/>
      <c r="AS151" s="21"/>
      <c r="AT151" s="21"/>
      <c r="AU151" s="21"/>
      <c r="AV151" s="21"/>
      <c r="AW151" s="21"/>
      <c r="AX151" s="21"/>
      <c r="AY151" s="21"/>
      <c r="AZ151" s="21"/>
      <c r="BA151" s="21"/>
      <c r="BB151" s="21"/>
      <c r="BC151" s="21"/>
      <c r="BD151" s="21"/>
      <c r="BE151" s="21"/>
      <c r="BF151" s="21"/>
      <c r="BH151" s="20"/>
      <c r="BI151" s="20"/>
      <c r="BJ151" s="395"/>
      <c r="BK151"/>
      <c r="BL151"/>
      <c r="BM151"/>
      <c r="BN151"/>
      <c r="BO151"/>
      <c r="BP151"/>
      <c r="BQ151" s="553">
        <f t="shared" si="47"/>
        <v>41030</v>
      </c>
      <c r="BR151" s="716">
        <v>3.2365000000000004</v>
      </c>
      <c r="BS151" s="716">
        <v>3.2415000000000003</v>
      </c>
      <c r="BT151" s="716">
        <v>3.2465000000000002</v>
      </c>
      <c r="BU151" s="717">
        <v>0.14749999999999999</v>
      </c>
      <c r="BV151" s="717">
        <v>0.15</v>
      </c>
      <c r="BW151" s="717">
        <v>0.16250000000000001</v>
      </c>
      <c r="BX151" s="717">
        <f t="shared" ref="BX151:BX166" si="53">BY151-$BX$4</f>
        <v>-7.0000000000000007E-2</v>
      </c>
      <c r="BY151" s="717"/>
      <c r="BZ151" s="717">
        <f t="shared" ref="BZ151:BZ166" si="54">BY151+$BZ$4</f>
        <v>7.0000000000000007E-2</v>
      </c>
      <c r="CA151" s="756">
        <f t="shared" si="40"/>
        <v>0</v>
      </c>
      <c r="CB151" s="716">
        <f t="shared" ref="CB151:CB166" si="55">GasBasis</f>
        <v>0</v>
      </c>
      <c r="CC151" s="789">
        <f t="shared" ref="CC151:CC166" si="56">(IF(GasPriceCurve,IF(OBuySell=OCallPut,BT151,BR151),BS151)+CA151/1000+CB151)/(1-GasTransportPercent)</f>
        <v>3.2365000000000004</v>
      </c>
      <c r="CD151" s="793">
        <f t="shared" ref="CD151:CD166" si="57">IF(GasVolOver,GasVolOver,IF(OVolType=2,IF(OR(BU151="",BV151="",BW151=""),CD150,IF(GasVolCurve,IF(OBuySell,BU151,BW151),BV151)*GasVolAsPercentOfNYMEX),IF(OR(BU151="",BV151="",BW151="",BY151=""),CD150,SQRT(((IF(GasVolCurve,IF(OBuySell,BU151,BW151),BV151)*GasVolAsPercentOfNYMEX)^2*(BQ151-DateToday-1)+IF(GasVolCurve,IF(OBuySell,BX151,BZ151),BY151)^2*15)/(BQ151-DateToday+14))))+GasVolSpread)</f>
        <v>0.16250000000000001</v>
      </c>
    </row>
    <row r="152" spans="1:82" ht="13.8" x14ac:dyDescent="0.3">
      <c r="A152" s="553">
        <f t="shared" si="46"/>
        <v>41153</v>
      </c>
      <c r="B152" s="717">
        <v>7.4195984498440989E-2</v>
      </c>
      <c r="C152" s="8"/>
      <c r="D152" s="989">
        <v>39995</v>
      </c>
      <c r="E152" s="990">
        <v>69.5</v>
      </c>
      <c r="F152" s="990">
        <v>74.5</v>
      </c>
      <c r="G152" s="990">
        <v>79.5</v>
      </c>
      <c r="H152" s="977"/>
      <c r="I152" s="990">
        <v>21.749997711181638</v>
      </c>
      <c r="J152" s="990">
        <v>24.249997711181638</v>
      </c>
      <c r="K152" s="990">
        <v>26.749997711181638</v>
      </c>
      <c r="L152" s="12"/>
      <c r="M152" s="1004">
        <v>40878</v>
      </c>
      <c r="N152" s="991">
        <v>25.89249839782714</v>
      </c>
      <c r="O152" s="991">
        <v>27.054998397827141</v>
      </c>
      <c r="P152" s="991">
        <v>28.217498397827143</v>
      </c>
      <c r="Q152" s="21"/>
      <c r="R152" s="991">
        <v>19.249999237060539</v>
      </c>
      <c r="S152" s="991">
        <v>23.54999923706054</v>
      </c>
      <c r="T152" s="991">
        <v>27.84999923706054</v>
      </c>
      <c r="U152" s="21"/>
      <c r="V152" s="991">
        <v>0.8</v>
      </c>
      <c r="W152" s="991">
        <v>0.8</v>
      </c>
      <c r="X152" s="991">
        <v>0.8</v>
      </c>
      <c r="Y152" s="21"/>
      <c r="Z152" s="991">
        <v>7.4524786827000991E-2</v>
      </c>
      <c r="AA152" s="991">
        <v>0.14904957365400198</v>
      </c>
      <c r="AB152" s="991">
        <v>0.22357436048100299</v>
      </c>
      <c r="AC152" s="21"/>
      <c r="AD152" s="991">
        <v>2.402194052249387E-2</v>
      </c>
      <c r="AE152" s="991">
        <v>4.8043881044987739E-2</v>
      </c>
      <c r="AF152" s="991">
        <v>7.2065821567481606E-2</v>
      </c>
      <c r="AG152" s="21"/>
      <c r="AH152" s="991">
        <v>-0.25</v>
      </c>
      <c r="AI152" s="991">
        <v>1.25</v>
      </c>
      <c r="AJ152" s="991">
        <v>0.35</v>
      </c>
      <c r="AK152" s="21"/>
      <c r="AL152" s="991">
        <v>-0.15</v>
      </c>
      <c r="AM152" s="991">
        <v>0.3</v>
      </c>
      <c r="AN152" s="991">
        <v>0.2</v>
      </c>
      <c r="AO152" s="21"/>
      <c r="AP152" s="12">
        <v>48</v>
      </c>
      <c r="AQ152" s="992">
        <v>0.4</v>
      </c>
      <c r="AR152" s="21"/>
      <c r="AS152" s="21"/>
      <c r="AT152" s="21"/>
      <c r="AU152" s="21"/>
      <c r="AV152" s="21"/>
      <c r="AW152" s="21"/>
      <c r="AX152" s="21"/>
      <c r="AY152" s="21"/>
      <c r="AZ152" s="21"/>
      <c r="BA152" s="21"/>
      <c r="BB152" s="21"/>
      <c r="BC152" s="21"/>
      <c r="BD152" s="21"/>
      <c r="BE152" s="21"/>
      <c r="BF152" s="21"/>
      <c r="BH152" s="20"/>
      <c r="BI152" s="20"/>
      <c r="BJ152" s="395"/>
      <c r="BK152"/>
      <c r="BL152"/>
      <c r="BM152"/>
      <c r="BN152"/>
      <c r="BO152"/>
      <c r="BP152"/>
      <c r="BQ152" s="553">
        <f t="shared" si="47"/>
        <v>41061</v>
      </c>
      <c r="BR152" s="716">
        <v>3.2425000000000002</v>
      </c>
      <c r="BS152" s="716">
        <v>3.2475000000000001</v>
      </c>
      <c r="BT152" s="716">
        <v>3.2524999999999999</v>
      </c>
      <c r="BU152" s="717">
        <v>0.14749999999999999</v>
      </c>
      <c r="BV152" s="717">
        <v>0.15</v>
      </c>
      <c r="BW152" s="717">
        <v>0.16250000000000001</v>
      </c>
      <c r="BX152" s="717">
        <f t="shared" si="53"/>
        <v>-7.0000000000000007E-2</v>
      </c>
      <c r="BY152" s="717"/>
      <c r="BZ152" s="717">
        <f t="shared" si="54"/>
        <v>7.0000000000000007E-2</v>
      </c>
      <c r="CA152" s="756">
        <f t="shared" si="40"/>
        <v>0</v>
      </c>
      <c r="CB152" s="716">
        <f t="shared" si="55"/>
        <v>0</v>
      </c>
      <c r="CC152" s="789">
        <f t="shared" si="56"/>
        <v>3.2425000000000002</v>
      </c>
      <c r="CD152" s="793">
        <f t="shared" si="57"/>
        <v>0.16250000000000001</v>
      </c>
    </row>
    <row r="153" spans="1:82" ht="13.8" x14ac:dyDescent="0.3">
      <c r="A153" s="553">
        <f t="shared" si="46"/>
        <v>41183</v>
      </c>
      <c r="B153" s="717">
        <v>7.4195699287587E-2</v>
      </c>
      <c r="C153" s="8"/>
      <c r="D153" s="989">
        <v>40026</v>
      </c>
      <c r="E153" s="990">
        <v>65</v>
      </c>
      <c r="F153" s="990">
        <v>70</v>
      </c>
      <c r="G153" s="990">
        <v>75</v>
      </c>
      <c r="H153" s="977"/>
      <c r="I153" s="990">
        <v>22.099998092651365</v>
      </c>
      <c r="J153" s="990">
        <v>24.599998092651365</v>
      </c>
      <c r="K153" s="990">
        <v>27.099998092651365</v>
      </c>
      <c r="L153" s="12"/>
      <c r="M153" s="1004">
        <v>40909</v>
      </c>
      <c r="N153" s="991">
        <v>29.173748779296865</v>
      </c>
      <c r="O153" s="991">
        <v>30.448748779296867</v>
      </c>
      <c r="P153" s="991">
        <v>31.723748779296869</v>
      </c>
      <c r="Q153" s="21"/>
      <c r="R153" s="991">
        <v>24.652500534057609</v>
      </c>
      <c r="S153" s="991">
        <v>28.952500534057609</v>
      </c>
      <c r="T153" s="991">
        <v>33.25250053405761</v>
      </c>
      <c r="U153" s="21"/>
      <c r="V153" s="991">
        <v>0.8</v>
      </c>
      <c r="W153" s="991">
        <v>0.8</v>
      </c>
      <c r="X153" s="991">
        <v>0.8</v>
      </c>
      <c r="Y153" s="21"/>
      <c r="Z153" s="991">
        <v>8.0485213057119045E-2</v>
      </c>
      <c r="AA153" s="991">
        <v>0.16097042611423809</v>
      </c>
      <c r="AB153" s="991">
        <v>0.24145563917135715</v>
      </c>
      <c r="AC153" s="21"/>
      <c r="AD153" s="991">
        <v>2.7465085330718002E-2</v>
      </c>
      <c r="AE153" s="991">
        <v>5.4930170661436004E-2</v>
      </c>
      <c r="AF153" s="991">
        <v>8.2395255992153998E-2</v>
      </c>
      <c r="AG153" s="21"/>
      <c r="AH153" s="991">
        <v>-0.75</v>
      </c>
      <c r="AI153" s="991">
        <v>2</v>
      </c>
      <c r="AJ153" s="991">
        <v>0.75</v>
      </c>
      <c r="AK153" s="21"/>
      <c r="AL153" s="991">
        <v>-0.15</v>
      </c>
      <c r="AM153" s="991">
        <v>0.5</v>
      </c>
      <c r="AN153" s="991">
        <v>0.2</v>
      </c>
      <c r="AO153" s="21"/>
      <c r="AP153" s="12">
        <v>49</v>
      </c>
      <c r="AQ153" s="992">
        <v>0.4</v>
      </c>
      <c r="AR153" s="21"/>
      <c r="AS153" s="21"/>
      <c r="AT153" s="21"/>
      <c r="AU153" s="21"/>
      <c r="AV153" s="21"/>
      <c r="AW153" s="21"/>
      <c r="AX153" s="21"/>
      <c r="AY153" s="21"/>
      <c r="AZ153" s="21"/>
      <c r="BA153" s="21"/>
      <c r="BB153" s="21"/>
      <c r="BC153" s="21"/>
      <c r="BD153" s="21"/>
      <c r="BE153" s="21"/>
      <c r="BF153" s="21"/>
      <c r="BH153" s="20"/>
      <c r="BI153" s="20"/>
      <c r="BJ153" s="395"/>
      <c r="BK153"/>
      <c r="BL153"/>
      <c r="BM153"/>
      <c r="BN153"/>
      <c r="BO153"/>
      <c r="BP153"/>
      <c r="BQ153" s="553">
        <f t="shared" si="47"/>
        <v>41091</v>
      </c>
      <c r="BR153" s="716">
        <v>3.2524999999999999</v>
      </c>
      <c r="BS153" s="716">
        <v>3.2574999999999998</v>
      </c>
      <c r="BT153" s="716">
        <v>3.2625000000000002</v>
      </c>
      <c r="BU153" s="717">
        <v>0.14749999999999999</v>
      </c>
      <c r="BV153" s="717">
        <v>0.15</v>
      </c>
      <c r="BW153" s="717">
        <v>0.16250000000000001</v>
      </c>
      <c r="BX153" s="717">
        <f t="shared" si="53"/>
        <v>-7.0000000000000007E-2</v>
      </c>
      <c r="BY153" s="717"/>
      <c r="BZ153" s="717">
        <f t="shared" si="54"/>
        <v>7.0000000000000007E-2</v>
      </c>
      <c r="CA153" s="756">
        <f t="shared" si="40"/>
        <v>0</v>
      </c>
      <c r="CB153" s="716">
        <f t="shared" si="55"/>
        <v>0</v>
      </c>
      <c r="CC153" s="789">
        <f t="shared" si="56"/>
        <v>3.2524999999999999</v>
      </c>
      <c r="CD153" s="793">
        <f t="shared" si="57"/>
        <v>0.16250000000000001</v>
      </c>
    </row>
    <row r="154" spans="1:82" ht="13.8" x14ac:dyDescent="0.3">
      <c r="A154" s="553">
        <f t="shared" si="46"/>
        <v>41214</v>
      </c>
      <c r="B154" s="717">
        <v>7.4195404569705997E-2</v>
      </c>
      <c r="C154" s="8"/>
      <c r="D154" s="989">
        <v>40057</v>
      </c>
      <c r="E154" s="990">
        <v>31.65</v>
      </c>
      <c r="F154" s="990">
        <v>33.15</v>
      </c>
      <c r="G154" s="990">
        <v>34.65</v>
      </c>
      <c r="H154" s="977"/>
      <c r="I154" s="990">
        <v>19.399998092651366</v>
      </c>
      <c r="J154" s="990">
        <v>20.149998092651366</v>
      </c>
      <c r="K154" s="990">
        <v>20.899998092651366</v>
      </c>
      <c r="L154" s="12"/>
      <c r="M154" s="1004">
        <v>40940</v>
      </c>
      <c r="N154" s="991">
        <v>28.171250152587881</v>
      </c>
      <c r="O154" s="991">
        <v>29.446250152587883</v>
      </c>
      <c r="P154" s="991">
        <v>30.721250152587885</v>
      </c>
      <c r="Q154" s="21"/>
      <c r="R154" s="991">
        <v>22.647499465942374</v>
      </c>
      <c r="S154" s="991">
        <v>26.947499465942375</v>
      </c>
      <c r="T154" s="991">
        <v>31.247499465942376</v>
      </c>
      <c r="U154" s="21"/>
      <c r="V154" s="991">
        <v>0.3</v>
      </c>
      <c r="W154" s="991">
        <v>0.3</v>
      </c>
      <c r="X154" s="991">
        <v>0.3</v>
      </c>
      <c r="Y154" s="21"/>
      <c r="Z154" s="991">
        <v>7.7641212595736767E-2</v>
      </c>
      <c r="AA154" s="991">
        <v>0.15528242519147353</v>
      </c>
      <c r="AB154" s="991">
        <v>0.23292363778721031</v>
      </c>
      <c r="AC154" s="21"/>
      <c r="AD154" s="991">
        <v>2.7465085330718002E-2</v>
      </c>
      <c r="AE154" s="991">
        <v>5.4930170661436004E-2</v>
      </c>
      <c r="AF154" s="991">
        <v>8.2395255992153998E-2</v>
      </c>
      <c r="AG154" s="21"/>
      <c r="AH154" s="991">
        <v>-0.75</v>
      </c>
      <c r="AI154" s="991">
        <v>2</v>
      </c>
      <c r="AJ154" s="991">
        <v>0.75</v>
      </c>
      <c r="AK154" s="21"/>
      <c r="AL154" s="991">
        <v>-0.15</v>
      </c>
      <c r="AM154" s="991">
        <v>0.5</v>
      </c>
      <c r="AN154" s="991">
        <v>0.2</v>
      </c>
      <c r="AO154" s="21"/>
      <c r="AP154" s="12">
        <v>49</v>
      </c>
      <c r="AQ154" s="992">
        <v>0.4</v>
      </c>
      <c r="AR154" s="21"/>
      <c r="AS154" s="21"/>
      <c r="AT154" s="21"/>
      <c r="AU154" s="21"/>
      <c r="AV154" s="21"/>
      <c r="AW154" s="21"/>
      <c r="AX154" s="21"/>
      <c r="AY154" s="21"/>
      <c r="AZ154" s="21"/>
      <c r="BA154" s="21"/>
      <c r="BB154" s="21"/>
      <c r="BC154" s="21"/>
      <c r="BD154" s="21"/>
      <c r="BE154" s="21"/>
      <c r="BF154" s="21"/>
      <c r="BH154" s="20"/>
      <c r="BI154" s="20"/>
      <c r="BJ154" s="395"/>
      <c r="BK154"/>
      <c r="BL154"/>
      <c r="BM154"/>
      <c r="BN154"/>
      <c r="BO154"/>
      <c r="BP154"/>
      <c r="BQ154" s="553">
        <f t="shared" si="47"/>
        <v>41122</v>
      </c>
      <c r="BR154" s="716">
        <v>3.2595000000000001</v>
      </c>
      <c r="BS154" s="716">
        <v>3.2645</v>
      </c>
      <c r="BT154" s="716">
        <v>3.2695000000000003</v>
      </c>
      <c r="BU154" s="717">
        <v>0.14749999999999999</v>
      </c>
      <c r="BV154" s="717">
        <v>0.15</v>
      </c>
      <c r="BW154" s="717">
        <v>0.16250000000000001</v>
      </c>
      <c r="BX154" s="717">
        <f t="shared" si="53"/>
        <v>-7.0000000000000007E-2</v>
      </c>
      <c r="BY154" s="717"/>
      <c r="BZ154" s="717">
        <f t="shared" si="54"/>
        <v>7.0000000000000007E-2</v>
      </c>
      <c r="CA154" s="756">
        <f t="shared" si="40"/>
        <v>0</v>
      </c>
      <c r="CB154" s="716">
        <f t="shared" si="55"/>
        <v>0</v>
      </c>
      <c r="CC154" s="789">
        <f t="shared" si="56"/>
        <v>3.2595000000000001</v>
      </c>
      <c r="CD154" s="793">
        <f t="shared" si="57"/>
        <v>0.16250000000000001</v>
      </c>
    </row>
    <row r="155" spans="1:82" ht="13.8" x14ac:dyDescent="0.3">
      <c r="A155" s="553">
        <f t="shared" si="46"/>
        <v>41244</v>
      </c>
      <c r="B155" s="717">
        <v>7.4195119358852993E-2</v>
      </c>
      <c r="C155" s="8"/>
      <c r="D155" s="989">
        <v>40087</v>
      </c>
      <c r="E155" s="990">
        <v>29.55</v>
      </c>
      <c r="F155" s="990">
        <v>30.9</v>
      </c>
      <c r="G155" s="990">
        <v>32.25</v>
      </c>
      <c r="H155" s="977"/>
      <c r="I155" s="990">
        <v>19.174998855590818</v>
      </c>
      <c r="J155" s="990">
        <v>19.849998855590819</v>
      </c>
      <c r="K155" s="990">
        <v>20.52499885559082</v>
      </c>
      <c r="L155" s="12"/>
      <c r="M155" s="1004">
        <v>40969</v>
      </c>
      <c r="N155" s="991">
        <v>21.922249603271478</v>
      </c>
      <c r="O155" s="991">
        <v>22.634749603271477</v>
      </c>
      <c r="P155" s="991">
        <v>23.347249603271475</v>
      </c>
      <c r="Q155" s="21"/>
      <c r="R155" s="991">
        <v>17.964498901367179</v>
      </c>
      <c r="S155" s="991">
        <v>22.26449890136718</v>
      </c>
      <c r="T155" s="991">
        <v>26.56449890136718</v>
      </c>
      <c r="U155" s="21"/>
      <c r="V155" s="991">
        <v>0.3</v>
      </c>
      <c r="W155" s="991">
        <v>0.3</v>
      </c>
      <c r="X155" s="991">
        <v>0.3</v>
      </c>
      <c r="Y155" s="21"/>
      <c r="Z155" s="991">
        <v>7.5572202260081142E-2</v>
      </c>
      <c r="AA155" s="991">
        <v>0.15114440452016228</v>
      </c>
      <c r="AB155" s="991">
        <v>0.22671660678024341</v>
      </c>
      <c r="AC155" s="21"/>
      <c r="AD155" s="991">
        <v>2.3541501712043993E-2</v>
      </c>
      <c r="AE155" s="991">
        <v>4.7083003424087985E-2</v>
      </c>
      <c r="AF155" s="991">
        <v>7.0624505136131971E-2</v>
      </c>
      <c r="AG155" s="21"/>
      <c r="AH155" s="991">
        <v>-0.25</v>
      </c>
      <c r="AI155" s="991">
        <v>1.3</v>
      </c>
      <c r="AJ155" s="991">
        <v>0.3</v>
      </c>
      <c r="AK155" s="21"/>
      <c r="AL155" s="991">
        <v>-0.15</v>
      </c>
      <c r="AM155" s="991">
        <v>0.35</v>
      </c>
      <c r="AN155" s="991">
        <v>0.2</v>
      </c>
      <c r="AO155" s="21"/>
      <c r="AP155" s="12">
        <v>49</v>
      </c>
      <c r="AQ155" s="992">
        <v>0.4</v>
      </c>
      <c r="AR155" s="21"/>
      <c r="AS155" s="21"/>
      <c r="AT155" s="21"/>
      <c r="AU155" s="21"/>
      <c r="AV155" s="21"/>
      <c r="AW155" s="21"/>
      <c r="AX155" s="21"/>
      <c r="AY155" s="21"/>
      <c r="AZ155" s="21"/>
      <c r="BA155" s="21"/>
      <c r="BB155" s="21"/>
      <c r="BC155" s="21"/>
      <c r="BD155" s="21"/>
      <c r="BE155" s="21"/>
      <c r="BF155" s="21"/>
      <c r="BH155" s="20"/>
      <c r="BI155" s="20"/>
      <c r="BJ155" s="395"/>
      <c r="BK155"/>
      <c r="BL155"/>
      <c r="BM155"/>
      <c r="BN155"/>
      <c r="BO155"/>
      <c r="BP155"/>
      <c r="BQ155" s="553">
        <f t="shared" si="47"/>
        <v>41153</v>
      </c>
      <c r="BR155" s="716">
        <v>3.2665000000000002</v>
      </c>
      <c r="BS155" s="716">
        <v>3.2715000000000001</v>
      </c>
      <c r="BT155" s="716">
        <v>3.2765</v>
      </c>
      <c r="BU155" s="717">
        <v>0.14749999999999999</v>
      </c>
      <c r="BV155" s="717">
        <v>0.15</v>
      </c>
      <c r="BW155" s="717">
        <v>0.16250000000000001</v>
      </c>
      <c r="BX155" s="717">
        <f t="shared" si="53"/>
        <v>-7.0000000000000007E-2</v>
      </c>
      <c r="BY155" s="717"/>
      <c r="BZ155" s="717">
        <f t="shared" si="54"/>
        <v>7.0000000000000007E-2</v>
      </c>
      <c r="CA155" s="756">
        <f t="shared" si="40"/>
        <v>0</v>
      </c>
      <c r="CB155" s="716">
        <f t="shared" si="55"/>
        <v>0</v>
      </c>
      <c r="CC155" s="789">
        <f t="shared" si="56"/>
        <v>3.2665000000000002</v>
      </c>
      <c r="CD155" s="793">
        <f t="shared" si="57"/>
        <v>0.16250000000000001</v>
      </c>
    </row>
    <row r="156" spans="1:82" ht="13.8" x14ac:dyDescent="0.3">
      <c r="A156" s="553">
        <f t="shared" si="46"/>
        <v>41275</v>
      </c>
      <c r="B156" s="717">
        <v>7.4194824640970991E-2</v>
      </c>
      <c r="C156" s="8"/>
      <c r="D156" s="989">
        <v>40118</v>
      </c>
      <c r="E156" s="990">
        <v>29.925000000000001</v>
      </c>
      <c r="F156" s="990">
        <v>31.274999999999999</v>
      </c>
      <c r="G156" s="990">
        <v>32.625</v>
      </c>
      <c r="H156" s="977"/>
      <c r="I156" s="990">
        <v>19.099998092651365</v>
      </c>
      <c r="J156" s="990">
        <v>19.774998092651366</v>
      </c>
      <c r="K156" s="990">
        <v>20.449998092651366</v>
      </c>
      <c r="L156" s="12"/>
      <c r="M156" s="1004">
        <v>41000</v>
      </c>
      <c r="N156" s="991">
        <v>22.717500305175772</v>
      </c>
      <c r="O156" s="991">
        <v>23.317500305175773</v>
      </c>
      <c r="P156" s="991">
        <v>23.917500305175775</v>
      </c>
      <c r="Q156" s="21"/>
      <c r="R156" s="991">
        <v>17.734999084472648</v>
      </c>
      <c r="S156" s="991">
        <v>22.034999084472648</v>
      </c>
      <c r="T156" s="991">
        <v>26.334999084472649</v>
      </c>
      <c r="U156" s="21"/>
      <c r="V156" s="991">
        <v>0.3</v>
      </c>
      <c r="W156" s="991">
        <v>0.3</v>
      </c>
      <c r="X156" s="991">
        <v>0.3</v>
      </c>
      <c r="Y156" s="21"/>
      <c r="Z156" s="991">
        <v>6.7445470941681213E-2</v>
      </c>
      <c r="AA156" s="991">
        <v>0.13489094188336243</v>
      </c>
      <c r="AB156" s="991">
        <v>0.20233641282504364</v>
      </c>
      <c r="AC156" s="21"/>
      <c r="AD156" s="991">
        <v>2.3541501712043993E-2</v>
      </c>
      <c r="AE156" s="991">
        <v>4.7083003424087985E-2</v>
      </c>
      <c r="AF156" s="991">
        <v>7.0624505136131971E-2</v>
      </c>
      <c r="AG156" s="21"/>
      <c r="AH156" s="991">
        <v>-0.25</v>
      </c>
      <c r="AI156" s="991">
        <v>1.1000000000000001</v>
      </c>
      <c r="AJ156" s="991">
        <v>0.3</v>
      </c>
      <c r="AK156" s="21"/>
      <c r="AL156" s="991">
        <v>-0.15</v>
      </c>
      <c r="AM156" s="991">
        <v>0.35</v>
      </c>
      <c r="AN156" s="991">
        <v>0.2</v>
      </c>
      <c r="AO156" s="21"/>
      <c r="AP156" s="12">
        <v>50</v>
      </c>
      <c r="AQ156" s="992">
        <v>0.4</v>
      </c>
      <c r="AR156" s="21"/>
      <c r="AS156" s="21"/>
      <c r="AT156" s="21"/>
      <c r="AU156" s="21"/>
      <c r="AV156" s="21"/>
      <c r="AW156" s="21"/>
      <c r="AX156" s="21"/>
      <c r="AY156" s="21"/>
      <c r="AZ156" s="21"/>
      <c r="BA156" s="21"/>
      <c r="BB156" s="21"/>
      <c r="BC156" s="21"/>
      <c r="BD156" s="21"/>
      <c r="BE156" s="21"/>
      <c r="BF156" s="21"/>
      <c r="BH156" s="20"/>
      <c r="BI156" s="20"/>
      <c r="BJ156" s="395"/>
      <c r="BK156"/>
      <c r="BL156"/>
      <c r="BM156"/>
      <c r="BN156"/>
      <c r="BO156"/>
      <c r="BP156"/>
      <c r="BQ156" s="553">
        <f t="shared" si="47"/>
        <v>41183</v>
      </c>
      <c r="BR156" s="716">
        <v>3.2925</v>
      </c>
      <c r="BS156" s="716">
        <v>3.2974999999999999</v>
      </c>
      <c r="BT156" s="716">
        <v>3.3025000000000002</v>
      </c>
      <c r="BU156" s="717">
        <v>0.14749999999999999</v>
      </c>
      <c r="BV156" s="717">
        <v>0.15</v>
      </c>
      <c r="BW156" s="717">
        <v>0.16250000000000001</v>
      </c>
      <c r="BX156" s="717">
        <f t="shared" si="53"/>
        <v>-7.0000000000000007E-2</v>
      </c>
      <c r="BY156" s="717"/>
      <c r="BZ156" s="717">
        <f t="shared" si="54"/>
        <v>7.0000000000000007E-2</v>
      </c>
      <c r="CA156" s="756">
        <f t="shared" si="40"/>
        <v>0</v>
      </c>
      <c r="CB156" s="716">
        <f t="shared" si="55"/>
        <v>0</v>
      </c>
      <c r="CC156" s="789">
        <f t="shared" si="56"/>
        <v>3.2925</v>
      </c>
      <c r="CD156" s="793">
        <f t="shared" si="57"/>
        <v>0.16250000000000001</v>
      </c>
    </row>
    <row r="157" spans="1:82" ht="13.8" x14ac:dyDescent="0.3">
      <c r="A157" s="553">
        <f t="shared" si="46"/>
        <v>41306</v>
      </c>
      <c r="B157" s="717">
        <v>7.4194529923090002E-2</v>
      </c>
      <c r="C157" s="8"/>
      <c r="D157" s="989">
        <v>40148</v>
      </c>
      <c r="E157" s="990">
        <v>29.8</v>
      </c>
      <c r="F157" s="990">
        <v>31.15</v>
      </c>
      <c r="G157" s="990">
        <v>32.5</v>
      </c>
      <c r="H157" s="977"/>
      <c r="I157" s="990">
        <v>20.524999237060545</v>
      </c>
      <c r="J157" s="990">
        <v>21.199999237060545</v>
      </c>
      <c r="K157" s="990">
        <v>21.874999237060546</v>
      </c>
      <c r="L157" s="12"/>
      <c r="M157" s="1004">
        <v>41030</v>
      </c>
      <c r="N157" s="991">
        <v>21.572500076293938</v>
      </c>
      <c r="O157" s="991">
        <v>23.432500076293937</v>
      </c>
      <c r="P157" s="991">
        <v>25.292500076293937</v>
      </c>
      <c r="Q157" s="21"/>
      <c r="R157" s="991">
        <v>18.264999771118156</v>
      </c>
      <c r="S157" s="991">
        <v>22.564999771118156</v>
      </c>
      <c r="T157" s="991">
        <v>26.864999771118157</v>
      </c>
      <c r="U157" s="21"/>
      <c r="V157" s="991">
        <v>0.3</v>
      </c>
      <c r="W157" s="991">
        <v>0.3</v>
      </c>
      <c r="X157" s="991">
        <v>0.3</v>
      </c>
      <c r="Y157" s="21"/>
      <c r="Z157" s="991">
        <v>7.7683872602657494E-2</v>
      </c>
      <c r="AA157" s="991">
        <v>0.15536774520531499</v>
      </c>
      <c r="AB157" s="991">
        <v>0.23305161780797248</v>
      </c>
      <c r="AC157" s="21"/>
      <c r="AD157" s="991">
        <v>2.7465085330718002E-2</v>
      </c>
      <c r="AE157" s="991">
        <v>5.4930170661436004E-2</v>
      </c>
      <c r="AF157" s="991">
        <v>8.2395255992153998E-2</v>
      </c>
      <c r="AG157" s="21"/>
      <c r="AH157" s="991">
        <v>-0.25</v>
      </c>
      <c r="AI157" s="991">
        <v>1.1000000000000001</v>
      </c>
      <c r="AJ157" s="991">
        <v>0.3</v>
      </c>
      <c r="AK157" s="21"/>
      <c r="AL157" s="991">
        <v>-0.15</v>
      </c>
      <c r="AM157" s="991">
        <v>0.5</v>
      </c>
      <c r="AN157" s="991">
        <v>0.2</v>
      </c>
      <c r="AO157" s="21"/>
      <c r="AP157" s="12">
        <v>50</v>
      </c>
      <c r="AQ157" s="992">
        <v>0.4</v>
      </c>
      <c r="AR157" s="21"/>
      <c r="AS157" s="21"/>
      <c r="AT157" s="21"/>
      <c r="AU157" s="21"/>
      <c r="AV157" s="21"/>
      <c r="AW157" s="21"/>
      <c r="AX157" s="21"/>
      <c r="AY157" s="21"/>
      <c r="AZ157" s="21"/>
      <c r="BA157" s="21"/>
      <c r="BB157" s="21"/>
      <c r="BC157" s="21"/>
      <c r="BD157" s="21"/>
      <c r="BE157" s="21"/>
      <c r="BF157" s="21"/>
      <c r="BH157" s="20"/>
      <c r="BI157" s="20"/>
      <c r="BJ157" s="395"/>
      <c r="BK157"/>
      <c r="BL157"/>
      <c r="BM157"/>
      <c r="BN157"/>
      <c r="BO157"/>
      <c r="BP157"/>
      <c r="BQ157" s="553">
        <f t="shared" si="47"/>
        <v>41214</v>
      </c>
      <c r="BR157" s="716">
        <v>3.4275000000000002</v>
      </c>
      <c r="BS157" s="716">
        <v>3.4325000000000001</v>
      </c>
      <c r="BT157" s="716">
        <v>3.4375</v>
      </c>
      <c r="BU157" s="717">
        <v>0.14749999999999999</v>
      </c>
      <c r="BV157" s="717">
        <v>0.15</v>
      </c>
      <c r="BW157" s="717">
        <v>0.16250000000000001</v>
      </c>
      <c r="BX157" s="717">
        <f t="shared" si="53"/>
        <v>-7.0000000000000007E-2</v>
      </c>
      <c r="BY157" s="717"/>
      <c r="BZ157" s="717">
        <f t="shared" si="54"/>
        <v>7.0000000000000007E-2</v>
      </c>
      <c r="CA157" s="756">
        <f t="shared" si="40"/>
        <v>0</v>
      </c>
      <c r="CB157" s="716">
        <f t="shared" si="55"/>
        <v>0</v>
      </c>
      <c r="CC157" s="789">
        <f t="shared" si="56"/>
        <v>3.4275000000000002</v>
      </c>
      <c r="CD157" s="793">
        <f t="shared" si="57"/>
        <v>0.16250000000000001</v>
      </c>
    </row>
    <row r="158" spans="1:82" ht="13.8" x14ac:dyDescent="0.3">
      <c r="A158" s="553">
        <f t="shared" si="46"/>
        <v>41334</v>
      </c>
      <c r="B158" s="717">
        <v>7.4194263726293994E-2</v>
      </c>
      <c r="C158" s="8"/>
      <c r="D158" s="989">
        <v>40179</v>
      </c>
      <c r="E158" s="990">
        <v>35.950000000000003</v>
      </c>
      <c r="F158" s="990">
        <v>37.450000000000003</v>
      </c>
      <c r="G158" s="990">
        <v>38.950000000000003</v>
      </c>
      <c r="H158" s="977"/>
      <c r="I158" s="990">
        <v>20.440000152587888</v>
      </c>
      <c r="J158" s="990">
        <v>21.190000152587888</v>
      </c>
      <c r="K158" s="990">
        <v>21.940000152587888</v>
      </c>
      <c r="L158" s="12"/>
      <c r="M158" s="1004">
        <v>41061</v>
      </c>
      <c r="N158" s="991">
        <v>22.526250152587885</v>
      </c>
      <c r="O158" s="991">
        <v>27.858750152587884</v>
      </c>
      <c r="P158" s="991">
        <v>33.191250152587884</v>
      </c>
      <c r="Q158" s="21"/>
      <c r="R158" s="991">
        <v>17.042499542236321</v>
      </c>
      <c r="S158" s="991">
        <v>21.342499542236322</v>
      </c>
      <c r="T158" s="991">
        <v>25.642499542236322</v>
      </c>
      <c r="U158" s="21"/>
      <c r="V158" s="991">
        <v>0.3</v>
      </c>
      <c r="W158" s="991">
        <v>0.3</v>
      </c>
      <c r="X158" s="991">
        <v>0.3</v>
      </c>
      <c r="Y158" s="21"/>
      <c r="Z158" s="991">
        <v>9.7328805789655706E-2</v>
      </c>
      <c r="AA158" s="991">
        <v>0.19465761157931141</v>
      </c>
      <c r="AB158" s="991">
        <v>0.29198641736896713</v>
      </c>
      <c r="AC158" s="21"/>
      <c r="AD158" s="991">
        <v>3.5312252568065992E-2</v>
      </c>
      <c r="AE158" s="991">
        <v>7.0624505136131985E-2</v>
      </c>
      <c r="AF158" s="991">
        <v>0.10593675770419797</v>
      </c>
      <c r="AG158" s="21"/>
      <c r="AH158" s="991">
        <v>-0.35</v>
      </c>
      <c r="AI158" s="991">
        <v>2</v>
      </c>
      <c r="AJ158" s="991">
        <v>0.3</v>
      </c>
      <c r="AK158" s="21"/>
      <c r="AL158" s="991">
        <v>-0.15</v>
      </c>
      <c r="AM158" s="991">
        <v>0.65</v>
      </c>
      <c r="AN158" s="991">
        <v>0.2</v>
      </c>
      <c r="AO158" s="21"/>
      <c r="AP158" s="12">
        <v>50</v>
      </c>
      <c r="AQ158" s="992">
        <v>0.4</v>
      </c>
      <c r="AR158" s="21"/>
      <c r="AS158" s="21"/>
      <c r="AT158" s="21"/>
      <c r="AU158" s="21"/>
      <c r="AV158" s="21"/>
      <c r="AW158" s="21"/>
      <c r="AX158" s="21"/>
      <c r="AY158" s="21"/>
      <c r="AZ158" s="21"/>
      <c r="BA158" s="21"/>
      <c r="BB158" s="21"/>
      <c r="BC158" s="21"/>
      <c r="BD158" s="21"/>
      <c r="BE158" s="21"/>
      <c r="BF158" s="21"/>
      <c r="BH158" s="20"/>
      <c r="BI158" s="20"/>
      <c r="BJ158" s="395"/>
      <c r="BK158"/>
      <c r="BL158"/>
      <c r="BM158"/>
      <c r="BN158"/>
      <c r="BO158"/>
      <c r="BP158"/>
      <c r="BQ158" s="553">
        <f t="shared" si="47"/>
        <v>41244</v>
      </c>
      <c r="BR158" s="716">
        <v>3.5515000000000003</v>
      </c>
      <c r="BS158" s="716">
        <v>3.5565000000000002</v>
      </c>
      <c r="BT158" s="716">
        <v>3.5615000000000001</v>
      </c>
      <c r="BU158" s="717">
        <v>0.14749999999999999</v>
      </c>
      <c r="BV158" s="717">
        <v>0.15</v>
      </c>
      <c r="BW158" s="717">
        <v>0.16250000000000001</v>
      </c>
      <c r="BX158" s="717">
        <f t="shared" si="53"/>
        <v>-7.0000000000000007E-2</v>
      </c>
      <c r="BY158" s="717"/>
      <c r="BZ158" s="717">
        <f t="shared" si="54"/>
        <v>7.0000000000000007E-2</v>
      </c>
      <c r="CA158" s="756">
        <f t="shared" si="40"/>
        <v>0</v>
      </c>
      <c r="CB158" s="716">
        <f t="shared" si="55"/>
        <v>0</v>
      </c>
      <c r="CC158" s="789">
        <f t="shared" si="56"/>
        <v>3.5515000000000003</v>
      </c>
      <c r="CD158" s="793">
        <f t="shared" si="57"/>
        <v>0.16250000000000001</v>
      </c>
    </row>
    <row r="159" spans="1:82" ht="13.8" x14ac:dyDescent="0.3">
      <c r="A159" s="553">
        <f t="shared" si="46"/>
        <v>41365</v>
      </c>
      <c r="B159" s="717">
        <v>7.4193969008413005E-2</v>
      </c>
      <c r="C159" s="8"/>
      <c r="D159" s="989">
        <v>40210</v>
      </c>
      <c r="E159" s="990">
        <v>35.950000000000003</v>
      </c>
      <c r="F159" s="990">
        <v>37.450000000000003</v>
      </c>
      <c r="G159" s="990">
        <v>38.950000000000003</v>
      </c>
      <c r="H159" s="977"/>
      <c r="I159" s="990">
        <v>20.249997711181638</v>
      </c>
      <c r="J159" s="990">
        <v>20.999997711181638</v>
      </c>
      <c r="K159" s="990">
        <v>21.749997711181638</v>
      </c>
      <c r="L159" s="12"/>
      <c r="M159" s="1004">
        <v>41091</v>
      </c>
      <c r="N159" s="991">
        <v>37.311249542236354</v>
      </c>
      <c r="O159" s="991">
        <v>41.061249542236354</v>
      </c>
      <c r="P159" s="991">
        <v>44.811249542236354</v>
      </c>
      <c r="Q159" s="21"/>
      <c r="R159" s="991">
        <v>26.247499465942376</v>
      </c>
      <c r="S159" s="991">
        <v>30.547499465942376</v>
      </c>
      <c r="T159" s="991">
        <v>34.847499465942377</v>
      </c>
      <c r="U159" s="21"/>
      <c r="V159" s="991">
        <v>0.3</v>
      </c>
      <c r="W159" s="991">
        <v>0.3</v>
      </c>
      <c r="X159" s="991">
        <v>0.3</v>
      </c>
      <c r="Y159" s="21"/>
      <c r="Z159" s="991">
        <v>0.11524600869636417</v>
      </c>
      <c r="AA159" s="991">
        <v>0.23049201739272834</v>
      </c>
      <c r="AB159" s="991">
        <v>0.34573802608909254</v>
      </c>
      <c r="AC159" s="21"/>
      <c r="AD159" s="991">
        <v>4.7083003424087985E-2</v>
      </c>
      <c r="AE159" s="991">
        <v>9.416600684817597E-2</v>
      </c>
      <c r="AF159" s="991">
        <v>0.14124901027226394</v>
      </c>
      <c r="AG159" s="21"/>
      <c r="AH159" s="991">
        <v>-0.35</v>
      </c>
      <c r="AI159" s="991">
        <v>3</v>
      </c>
      <c r="AJ159" s="991">
        <v>0.5</v>
      </c>
      <c r="AK159" s="21"/>
      <c r="AL159" s="991">
        <v>-0.15</v>
      </c>
      <c r="AM159" s="991">
        <v>0.75</v>
      </c>
      <c r="AN159" s="991">
        <v>0.2</v>
      </c>
      <c r="AO159" s="21"/>
      <c r="AP159" s="12">
        <v>51</v>
      </c>
      <c r="AQ159" s="992">
        <v>0.4</v>
      </c>
      <c r="AR159" s="21"/>
      <c r="AS159" s="21"/>
      <c r="AT159" s="21"/>
      <c r="AU159" s="21"/>
      <c r="AV159" s="21"/>
      <c r="AW159" s="21"/>
      <c r="AX159" s="21"/>
      <c r="AY159" s="21"/>
      <c r="AZ159" s="21"/>
      <c r="BA159" s="21"/>
      <c r="BB159" s="21"/>
      <c r="BC159" s="21"/>
      <c r="BD159" s="21"/>
      <c r="BE159" s="21"/>
      <c r="BF159" s="21"/>
      <c r="BH159" s="20"/>
      <c r="BI159" s="20"/>
      <c r="BJ159" s="395"/>
      <c r="BK159"/>
      <c r="BL159"/>
      <c r="BM159"/>
      <c r="BN159"/>
      <c r="BO159"/>
      <c r="BP159"/>
      <c r="BQ159" s="553">
        <f t="shared" si="47"/>
        <v>41275</v>
      </c>
      <c r="BR159" s="716">
        <v>3.64</v>
      </c>
      <c r="BS159" s="716">
        <v>3.645</v>
      </c>
      <c r="BT159" s="716">
        <v>3.65</v>
      </c>
      <c r="BU159" s="717">
        <v>0.14650000000000002</v>
      </c>
      <c r="BV159" s="717">
        <v>0.15</v>
      </c>
      <c r="BW159" s="717">
        <v>0.1615</v>
      </c>
      <c r="BX159" s="717">
        <f t="shared" si="53"/>
        <v>-7.0000000000000007E-2</v>
      </c>
      <c r="BY159" s="717"/>
      <c r="BZ159" s="717">
        <f t="shared" si="54"/>
        <v>7.0000000000000007E-2</v>
      </c>
      <c r="CA159" s="756">
        <f t="shared" si="40"/>
        <v>0</v>
      </c>
      <c r="CB159" s="716">
        <f t="shared" si="55"/>
        <v>0</v>
      </c>
      <c r="CC159" s="789">
        <f t="shared" si="56"/>
        <v>3.64</v>
      </c>
      <c r="CD159" s="793">
        <f t="shared" si="57"/>
        <v>0.1615</v>
      </c>
    </row>
    <row r="160" spans="1:82" ht="13.8" x14ac:dyDescent="0.3">
      <c r="A160" s="553">
        <f t="shared" si="46"/>
        <v>41395</v>
      </c>
      <c r="B160" s="717">
        <v>7.4193683797560001E-2</v>
      </c>
      <c r="C160" s="8"/>
      <c r="D160" s="989">
        <v>40238</v>
      </c>
      <c r="E160" s="990">
        <v>32.85</v>
      </c>
      <c r="F160" s="990">
        <v>33.700000000000003</v>
      </c>
      <c r="G160" s="990">
        <v>34.549999999999997</v>
      </c>
      <c r="H160" s="977"/>
      <c r="I160" s="990">
        <v>19.574999618530271</v>
      </c>
      <c r="J160" s="990">
        <v>19.999999618530271</v>
      </c>
      <c r="K160" s="990">
        <v>20.424999618530272</v>
      </c>
      <c r="L160" s="12"/>
      <c r="M160" s="1004">
        <v>41122</v>
      </c>
      <c r="N160" s="991">
        <v>39.572499084472682</v>
      </c>
      <c r="O160" s="991">
        <v>43.322499084472682</v>
      </c>
      <c r="P160" s="991">
        <v>47.072499084472682</v>
      </c>
      <c r="Q160" s="21"/>
      <c r="R160" s="991">
        <v>27.745000839233395</v>
      </c>
      <c r="S160" s="991">
        <v>32.045000839233396</v>
      </c>
      <c r="T160" s="991">
        <v>36.345000839233393</v>
      </c>
      <c r="U160" s="21"/>
      <c r="V160" s="991">
        <v>0.8</v>
      </c>
      <c r="W160" s="991">
        <v>0.8</v>
      </c>
      <c r="X160" s="991">
        <v>0.8</v>
      </c>
      <c r="Y160" s="21"/>
      <c r="Z160" s="991">
        <v>0.11351827841607443</v>
      </c>
      <c r="AA160" s="991">
        <v>0.22703655683214885</v>
      </c>
      <c r="AB160" s="991">
        <v>0.34055483524822328</v>
      </c>
      <c r="AC160" s="21"/>
      <c r="AD160" s="991">
        <v>4.7083003424087985E-2</v>
      </c>
      <c r="AE160" s="991">
        <v>9.416600684817597E-2</v>
      </c>
      <c r="AF160" s="991">
        <v>0.14124901027226394</v>
      </c>
      <c r="AG160" s="21"/>
      <c r="AH160" s="991">
        <v>-0.35</v>
      </c>
      <c r="AI160" s="991">
        <v>3</v>
      </c>
      <c r="AJ160" s="991">
        <v>0.5</v>
      </c>
      <c r="AK160" s="21"/>
      <c r="AL160" s="991">
        <v>-0.15</v>
      </c>
      <c r="AM160" s="991">
        <v>0.75</v>
      </c>
      <c r="AN160" s="991">
        <v>0.2</v>
      </c>
      <c r="AO160" s="21"/>
      <c r="AP160" s="12">
        <v>51</v>
      </c>
      <c r="AQ160" s="992">
        <v>0.4</v>
      </c>
      <c r="AR160" s="21"/>
      <c r="AS160" s="21"/>
      <c r="AT160" s="21"/>
      <c r="AU160" s="21"/>
      <c r="AV160" s="21"/>
      <c r="AW160" s="21"/>
      <c r="AX160" s="21"/>
      <c r="AY160" s="21"/>
      <c r="AZ160" s="21"/>
      <c r="BA160" s="21"/>
      <c r="BB160" s="21"/>
      <c r="BC160" s="21"/>
      <c r="BD160" s="21"/>
      <c r="BE160" s="21"/>
      <c r="BF160" s="21"/>
      <c r="BH160" s="20"/>
      <c r="BI160" s="20"/>
      <c r="BJ160" s="395"/>
      <c r="BK160"/>
      <c r="BL160"/>
      <c r="BM160"/>
      <c r="BN160"/>
      <c r="BO160"/>
      <c r="BP160"/>
      <c r="BQ160" s="553">
        <f t="shared" si="47"/>
        <v>41306</v>
      </c>
      <c r="BR160" s="716">
        <v>3.5220000000000002</v>
      </c>
      <c r="BS160" s="716">
        <v>3.5270000000000001</v>
      </c>
      <c r="BT160" s="716">
        <v>3.532</v>
      </c>
      <c r="BU160" s="717">
        <v>0.14650000000000002</v>
      </c>
      <c r="BV160" s="717">
        <v>0.15</v>
      </c>
      <c r="BW160" s="717">
        <v>0.1615</v>
      </c>
      <c r="BX160" s="717">
        <f t="shared" si="53"/>
        <v>-7.0000000000000007E-2</v>
      </c>
      <c r="BY160" s="717"/>
      <c r="BZ160" s="717">
        <f t="shared" si="54"/>
        <v>7.0000000000000007E-2</v>
      </c>
      <c r="CA160" s="756">
        <f t="shared" si="40"/>
        <v>0</v>
      </c>
      <c r="CB160" s="716">
        <f t="shared" si="55"/>
        <v>0</v>
      </c>
      <c r="CC160" s="789">
        <f t="shared" si="56"/>
        <v>3.5220000000000002</v>
      </c>
      <c r="CD160" s="793">
        <f t="shared" si="57"/>
        <v>0.1615</v>
      </c>
    </row>
    <row r="161" spans="1:82" ht="13.8" x14ac:dyDescent="0.3">
      <c r="A161" s="553">
        <f t="shared" si="46"/>
        <v>41426</v>
      </c>
      <c r="B161" s="717">
        <v>7.4193389079678998E-2</v>
      </c>
      <c r="C161" s="8"/>
      <c r="D161" s="989">
        <v>40269</v>
      </c>
      <c r="E161" s="990">
        <v>31.75</v>
      </c>
      <c r="F161" s="990">
        <v>32.450000000000003</v>
      </c>
      <c r="G161" s="990">
        <v>33.15</v>
      </c>
      <c r="H161" s="977"/>
      <c r="I161" s="990">
        <v>19.649997711181637</v>
      </c>
      <c r="J161" s="990">
        <v>19.999997711181638</v>
      </c>
      <c r="K161" s="990">
        <v>20.34999771118164</v>
      </c>
      <c r="L161" s="12"/>
      <c r="M161" s="1004">
        <v>41153</v>
      </c>
      <c r="N161" s="991">
        <v>23.354999160766592</v>
      </c>
      <c r="O161" s="991">
        <v>24.704999160766594</v>
      </c>
      <c r="P161" s="991">
        <v>26.054999160766595</v>
      </c>
      <c r="Q161" s="21"/>
      <c r="R161" s="991">
        <v>20.9</v>
      </c>
      <c r="S161" s="991">
        <v>25.2</v>
      </c>
      <c r="T161" s="991">
        <v>29.5</v>
      </c>
      <c r="U161" s="21"/>
      <c r="V161" s="991">
        <v>0.8</v>
      </c>
      <c r="W161" s="991">
        <v>0.8</v>
      </c>
      <c r="X161" s="991">
        <v>0.8</v>
      </c>
      <c r="Y161" s="21"/>
      <c r="Z161" s="991">
        <v>7.5124272187413396E-2</v>
      </c>
      <c r="AA161" s="991">
        <v>0.15024854437482679</v>
      </c>
      <c r="AB161" s="991">
        <v>0.22537281656224017</v>
      </c>
      <c r="AC161" s="21"/>
      <c r="AD161" s="991">
        <v>3.138866894939199E-2</v>
      </c>
      <c r="AE161" s="991">
        <v>6.277733789878398E-2</v>
      </c>
      <c r="AF161" s="991">
        <v>9.416600684817597E-2</v>
      </c>
      <c r="AG161" s="21"/>
      <c r="AH161" s="991">
        <v>-0.35</v>
      </c>
      <c r="AI161" s="991">
        <v>1.5</v>
      </c>
      <c r="AJ161" s="991">
        <v>0.3</v>
      </c>
      <c r="AK161" s="21"/>
      <c r="AL161" s="991">
        <v>-0.15</v>
      </c>
      <c r="AM161" s="991">
        <v>0.4</v>
      </c>
      <c r="AN161" s="991">
        <v>0.2</v>
      </c>
      <c r="AO161" s="21"/>
      <c r="AP161" s="12">
        <v>51</v>
      </c>
      <c r="AQ161" s="992">
        <v>0.4</v>
      </c>
      <c r="AR161" s="21"/>
      <c r="AS161" s="21"/>
      <c r="AT161" s="21"/>
      <c r="AU161" s="21"/>
      <c r="AV161" s="21"/>
      <c r="AW161" s="21"/>
      <c r="AX161" s="21"/>
      <c r="AY161" s="21"/>
      <c r="AZ161" s="21"/>
      <c r="BA161" s="21"/>
      <c r="BB161" s="21"/>
      <c r="BC161" s="21"/>
      <c r="BD161" s="21"/>
      <c r="BE161" s="21"/>
      <c r="BF161" s="21"/>
      <c r="BH161" s="20"/>
      <c r="BI161" s="20"/>
      <c r="BJ161" s="395"/>
      <c r="BK161"/>
      <c r="BL161"/>
      <c r="BM161"/>
      <c r="BN161"/>
      <c r="BO161"/>
      <c r="BP161"/>
      <c r="BQ161" s="553">
        <f t="shared" si="47"/>
        <v>41334</v>
      </c>
      <c r="BR161" s="716">
        <v>3.4020000000000001</v>
      </c>
      <c r="BS161" s="716">
        <v>3.407</v>
      </c>
      <c r="BT161" s="716">
        <v>3.4120000000000004</v>
      </c>
      <c r="BU161" s="717">
        <v>0.14650000000000002</v>
      </c>
      <c r="BV161" s="717">
        <v>0.15</v>
      </c>
      <c r="BW161" s="717">
        <v>0.1615</v>
      </c>
      <c r="BX161" s="717">
        <f t="shared" si="53"/>
        <v>-7.0000000000000007E-2</v>
      </c>
      <c r="BY161" s="717"/>
      <c r="BZ161" s="717">
        <f t="shared" si="54"/>
        <v>7.0000000000000007E-2</v>
      </c>
      <c r="CA161" s="756">
        <f t="shared" si="40"/>
        <v>0</v>
      </c>
      <c r="CB161" s="716">
        <f t="shared" si="55"/>
        <v>0</v>
      </c>
      <c r="CC161" s="789">
        <f t="shared" si="56"/>
        <v>3.4020000000000001</v>
      </c>
      <c r="CD161" s="793">
        <f t="shared" si="57"/>
        <v>0.1615</v>
      </c>
    </row>
    <row r="162" spans="1:82" ht="13.8" x14ac:dyDescent="0.3">
      <c r="A162" s="553">
        <f t="shared" si="46"/>
        <v>41456</v>
      </c>
      <c r="B162" s="717">
        <v>7.4193103868825994E-2</v>
      </c>
      <c r="C162" s="8"/>
      <c r="D162" s="989">
        <v>40299</v>
      </c>
      <c r="E162" s="990">
        <v>32.17</v>
      </c>
      <c r="F162" s="990">
        <v>34.65</v>
      </c>
      <c r="G162" s="990">
        <v>37.130000000000003</v>
      </c>
      <c r="H162" s="977"/>
      <c r="I162" s="990">
        <v>18.75999771118164</v>
      </c>
      <c r="J162" s="990">
        <v>19.999997711181638</v>
      </c>
      <c r="K162" s="990">
        <v>21.239997711181637</v>
      </c>
      <c r="L162" s="12"/>
      <c r="M162" s="1004">
        <v>41183</v>
      </c>
      <c r="N162" s="991">
        <v>23.563000106811515</v>
      </c>
      <c r="O162" s="991">
        <v>24.800500106811516</v>
      </c>
      <c r="P162" s="991">
        <v>26.038000106811516</v>
      </c>
      <c r="Q162" s="21"/>
      <c r="R162" s="991">
        <v>18.500999832153312</v>
      </c>
      <c r="S162" s="991">
        <v>22.800999832153312</v>
      </c>
      <c r="T162" s="991">
        <v>27.100999832153313</v>
      </c>
      <c r="U162" s="21"/>
      <c r="V162" s="991">
        <v>0.8</v>
      </c>
      <c r="W162" s="991">
        <v>0.8</v>
      </c>
      <c r="X162" s="991">
        <v>0.8</v>
      </c>
      <c r="Y162" s="21"/>
      <c r="Z162" s="991">
        <v>6.8341331087016635E-2</v>
      </c>
      <c r="AA162" s="991">
        <v>0.13668266217403327</v>
      </c>
      <c r="AB162" s="991">
        <v>0.20502399326104992</v>
      </c>
      <c r="AC162" s="21"/>
      <c r="AD162" s="991">
        <v>2.3541501712043993E-2</v>
      </c>
      <c r="AE162" s="991">
        <v>4.7083003424087985E-2</v>
      </c>
      <c r="AF162" s="991">
        <v>7.0624505136131971E-2</v>
      </c>
      <c r="AG162" s="21"/>
      <c r="AH162" s="991">
        <v>-0.25</v>
      </c>
      <c r="AI162" s="991">
        <v>1.1000000000000001</v>
      </c>
      <c r="AJ162" s="991">
        <v>0.3</v>
      </c>
      <c r="AK162" s="21"/>
      <c r="AL162" s="991">
        <v>-0.15</v>
      </c>
      <c r="AM162" s="991">
        <v>0.35</v>
      </c>
      <c r="AN162" s="991">
        <v>0.2</v>
      </c>
      <c r="AO162" s="21"/>
      <c r="AP162" s="12">
        <v>52</v>
      </c>
      <c r="AQ162" s="992">
        <v>0.4</v>
      </c>
      <c r="AR162" s="21"/>
      <c r="AS162" s="21"/>
      <c r="AT162" s="21"/>
      <c r="AU162" s="21"/>
      <c r="AV162" s="21"/>
      <c r="AW162" s="21"/>
      <c r="AX162" s="21"/>
      <c r="AY162" s="21"/>
      <c r="AZ162" s="21"/>
      <c r="BA162" s="21"/>
      <c r="BB162" s="21"/>
      <c r="BC162" s="21"/>
      <c r="BD162" s="21"/>
      <c r="BE162" s="21"/>
      <c r="BF162" s="21"/>
      <c r="BH162" s="20"/>
      <c r="BI162" s="20"/>
      <c r="BJ162" s="395"/>
      <c r="BK162"/>
      <c r="BL162"/>
      <c r="BM162"/>
      <c r="BN162"/>
      <c r="BO162"/>
      <c r="BP162"/>
      <c r="BQ162" s="553">
        <f t="shared" si="47"/>
        <v>41365</v>
      </c>
      <c r="BR162" s="716">
        <v>3.3525</v>
      </c>
      <c r="BS162" s="716">
        <v>3.3574999999999999</v>
      </c>
      <c r="BT162" s="716">
        <v>3.3624999999999998</v>
      </c>
      <c r="BU162" s="717">
        <v>0.14650000000000002</v>
      </c>
      <c r="BV162" s="717">
        <v>0.15</v>
      </c>
      <c r="BW162" s="717">
        <v>0.1615</v>
      </c>
      <c r="BX162" s="717">
        <f t="shared" si="53"/>
        <v>-7.0000000000000007E-2</v>
      </c>
      <c r="BY162" s="717"/>
      <c r="BZ162" s="717">
        <f t="shared" si="54"/>
        <v>7.0000000000000007E-2</v>
      </c>
      <c r="CA162" s="756">
        <f t="shared" si="40"/>
        <v>0</v>
      </c>
      <c r="CB162" s="716">
        <f t="shared" si="55"/>
        <v>0</v>
      </c>
      <c r="CC162" s="789">
        <f t="shared" si="56"/>
        <v>3.3525</v>
      </c>
      <c r="CD162" s="793">
        <f t="shared" si="57"/>
        <v>0.1615</v>
      </c>
    </row>
    <row r="163" spans="1:82" ht="13.8" x14ac:dyDescent="0.3">
      <c r="A163" s="553">
        <f t="shared" si="46"/>
        <v>41487</v>
      </c>
      <c r="B163" s="717">
        <v>7.4192809150945005E-2</v>
      </c>
      <c r="C163" s="8"/>
      <c r="D163" s="989">
        <v>40330</v>
      </c>
      <c r="E163" s="990">
        <v>45.14</v>
      </c>
      <c r="F163" s="990">
        <v>52.25</v>
      </c>
      <c r="G163" s="990">
        <v>59.36</v>
      </c>
      <c r="H163" s="977"/>
      <c r="I163" s="990">
        <v>16.399998779296872</v>
      </c>
      <c r="J163" s="990">
        <v>19.954998779296872</v>
      </c>
      <c r="K163" s="990">
        <v>23.509998779296872</v>
      </c>
      <c r="L163" s="12"/>
      <c r="M163" s="1004">
        <v>41214</v>
      </c>
      <c r="N163" s="991">
        <v>24.567251586914054</v>
      </c>
      <c r="O163" s="991">
        <v>25.804751586914055</v>
      </c>
      <c r="P163" s="991">
        <v>27.042251586914055</v>
      </c>
      <c r="Q163" s="21"/>
      <c r="R163" s="991">
        <v>19.504499816894523</v>
      </c>
      <c r="S163" s="991">
        <v>23.804499816894523</v>
      </c>
      <c r="T163" s="991">
        <v>28.104499816894524</v>
      </c>
      <c r="U163" s="21"/>
      <c r="V163" s="991">
        <v>0.8</v>
      </c>
      <c r="W163" s="991">
        <v>0.8</v>
      </c>
      <c r="X163" s="991">
        <v>0.8</v>
      </c>
      <c r="Y163" s="21"/>
      <c r="Z163" s="991">
        <v>6.8341331087016635E-2</v>
      </c>
      <c r="AA163" s="991">
        <v>0.13668266217403327</v>
      </c>
      <c r="AB163" s="991">
        <v>0.20502399326104992</v>
      </c>
      <c r="AC163" s="21"/>
      <c r="AD163" s="991">
        <v>2.3541501712043993E-2</v>
      </c>
      <c r="AE163" s="991">
        <v>4.7083003424087985E-2</v>
      </c>
      <c r="AF163" s="991">
        <v>7.0624505136131971E-2</v>
      </c>
      <c r="AG163" s="21"/>
      <c r="AH163" s="991">
        <v>-0.25</v>
      </c>
      <c r="AI163" s="991">
        <v>1.25</v>
      </c>
      <c r="AJ163" s="991">
        <v>0.3</v>
      </c>
      <c r="AK163" s="21"/>
      <c r="AL163" s="991">
        <v>-0.15</v>
      </c>
      <c r="AM163" s="991">
        <v>0.3</v>
      </c>
      <c r="AN163" s="991">
        <v>0.2</v>
      </c>
      <c r="AO163" s="21"/>
      <c r="AP163" s="12">
        <v>52</v>
      </c>
      <c r="AQ163" s="992">
        <v>0.4</v>
      </c>
      <c r="AR163" s="21"/>
      <c r="AS163" s="21"/>
      <c r="AT163" s="21"/>
      <c r="AU163" s="21"/>
      <c r="AV163" s="21"/>
      <c r="AW163" s="21"/>
      <c r="AX163" s="21"/>
      <c r="AY163" s="21"/>
      <c r="AZ163" s="21"/>
      <c r="BA163" s="21"/>
      <c r="BB163" s="21"/>
      <c r="BC163" s="21"/>
      <c r="BD163" s="21"/>
      <c r="BE163" s="21"/>
      <c r="BF163" s="21"/>
      <c r="BH163" s="20"/>
      <c r="BI163" s="20"/>
      <c r="BJ163" s="395"/>
      <c r="BK163"/>
      <c r="BL163"/>
      <c r="BM163"/>
      <c r="BN163"/>
      <c r="BO163"/>
      <c r="BP163"/>
      <c r="BQ163" s="553">
        <f t="shared" si="47"/>
        <v>41395</v>
      </c>
      <c r="BR163" s="716">
        <v>3.3265000000000002</v>
      </c>
      <c r="BS163" s="716">
        <v>3.3315000000000001</v>
      </c>
      <c r="BT163" s="716">
        <v>3.3365</v>
      </c>
      <c r="BU163" s="717">
        <v>0.14650000000000002</v>
      </c>
      <c r="BV163" s="717">
        <v>0.15</v>
      </c>
      <c r="BW163" s="717">
        <v>0.1615</v>
      </c>
      <c r="BX163" s="717">
        <f t="shared" si="53"/>
        <v>-7.0000000000000007E-2</v>
      </c>
      <c r="BY163" s="717"/>
      <c r="BZ163" s="717">
        <f t="shared" si="54"/>
        <v>7.0000000000000007E-2</v>
      </c>
      <c r="CA163" s="756">
        <f t="shared" si="40"/>
        <v>0</v>
      </c>
      <c r="CB163" s="716">
        <f t="shared" si="55"/>
        <v>0</v>
      </c>
      <c r="CC163" s="789">
        <f t="shared" si="56"/>
        <v>3.3265000000000002</v>
      </c>
      <c r="CD163" s="793">
        <f t="shared" si="57"/>
        <v>0.1615</v>
      </c>
    </row>
    <row r="164" spans="1:82" ht="13.8" x14ac:dyDescent="0.3">
      <c r="A164" s="553">
        <f t="shared" si="46"/>
        <v>41518</v>
      </c>
      <c r="B164" s="717">
        <v>7.4192514433064002E-2</v>
      </c>
      <c r="C164" s="8"/>
      <c r="D164" s="989">
        <v>40360</v>
      </c>
      <c r="E164" s="990">
        <v>71.5</v>
      </c>
      <c r="F164" s="990">
        <v>76.5</v>
      </c>
      <c r="G164" s="990">
        <v>81.5</v>
      </c>
      <c r="H164" s="977"/>
      <c r="I164" s="990">
        <v>21.949997711181638</v>
      </c>
      <c r="J164" s="990">
        <v>24.449997711181638</v>
      </c>
      <c r="K164" s="990">
        <v>26.949997711181638</v>
      </c>
      <c r="L164" s="12"/>
      <c r="M164" s="1004">
        <v>41244</v>
      </c>
      <c r="N164" s="991">
        <v>26.01749839782714</v>
      </c>
      <c r="O164" s="991">
        <v>27.254998397827141</v>
      </c>
      <c r="P164" s="991">
        <v>28.492498397827141</v>
      </c>
      <c r="Q164" s="21"/>
      <c r="R164" s="991">
        <v>19.449999237060538</v>
      </c>
      <c r="S164" s="991">
        <v>23.749999237060539</v>
      </c>
      <c r="T164" s="991">
        <v>28.04999923706054</v>
      </c>
      <c r="U164" s="21"/>
      <c r="V164" s="991">
        <v>0.8</v>
      </c>
      <c r="W164" s="991">
        <v>0.8</v>
      </c>
      <c r="X164" s="991">
        <v>0.8</v>
      </c>
      <c r="Y164" s="21"/>
      <c r="Z164" s="991">
        <v>7.0798547485650939E-2</v>
      </c>
      <c r="AA164" s="991">
        <v>0.14159709497130188</v>
      </c>
      <c r="AB164" s="991">
        <v>0.2123956424569528</v>
      </c>
      <c r="AC164" s="21"/>
      <c r="AD164" s="991">
        <v>2.3541501712043993E-2</v>
      </c>
      <c r="AE164" s="991">
        <v>4.7083003424087985E-2</v>
      </c>
      <c r="AF164" s="991">
        <v>7.0624505136131971E-2</v>
      </c>
      <c r="AG164" s="21"/>
      <c r="AH164" s="991">
        <v>-0.25</v>
      </c>
      <c r="AI164" s="991">
        <v>1.25</v>
      </c>
      <c r="AJ164" s="991">
        <v>0.35</v>
      </c>
      <c r="AK164" s="21"/>
      <c r="AL164" s="991">
        <v>-0.15</v>
      </c>
      <c r="AM164" s="991">
        <v>0.3</v>
      </c>
      <c r="AN164" s="991">
        <v>0.2</v>
      </c>
      <c r="AO164" s="21"/>
      <c r="AP164" s="12">
        <v>52</v>
      </c>
      <c r="AQ164" s="992">
        <v>0.4</v>
      </c>
      <c r="AR164" s="21"/>
      <c r="AS164" s="21"/>
      <c r="AT164" s="21"/>
      <c r="AU164" s="21"/>
      <c r="AV164" s="21"/>
      <c r="AW164" s="21"/>
      <c r="AX164" s="21"/>
      <c r="AY164" s="21"/>
      <c r="AZ164" s="21"/>
      <c r="BA164" s="21"/>
      <c r="BB164" s="21"/>
      <c r="BC164" s="21"/>
      <c r="BD164" s="21"/>
      <c r="BE164" s="21"/>
      <c r="BF164" s="21"/>
      <c r="BH164" s="20"/>
      <c r="BI164" s="20"/>
      <c r="BJ164" s="395"/>
      <c r="BK164"/>
      <c r="BL164"/>
      <c r="BM164"/>
      <c r="BN164"/>
      <c r="BO164"/>
      <c r="BP164"/>
      <c r="BQ164" s="553">
        <f t="shared" si="47"/>
        <v>41426</v>
      </c>
      <c r="BR164" s="716">
        <v>3.3325</v>
      </c>
      <c r="BS164" s="716">
        <v>3.3374999999999999</v>
      </c>
      <c r="BT164" s="716">
        <v>3.3424999999999998</v>
      </c>
      <c r="BU164" s="717">
        <v>0.14650000000000002</v>
      </c>
      <c r="BV164" s="717">
        <v>0.15</v>
      </c>
      <c r="BW164" s="717">
        <v>0.1615</v>
      </c>
      <c r="BX164" s="717">
        <f t="shared" si="53"/>
        <v>-7.0000000000000007E-2</v>
      </c>
      <c r="BY164" s="717"/>
      <c r="BZ164" s="717">
        <f t="shared" si="54"/>
        <v>7.0000000000000007E-2</v>
      </c>
      <c r="CA164" s="756">
        <f t="shared" si="40"/>
        <v>0</v>
      </c>
      <c r="CB164" s="716">
        <f t="shared" si="55"/>
        <v>0</v>
      </c>
      <c r="CC164" s="789">
        <f t="shared" si="56"/>
        <v>3.3325</v>
      </c>
      <c r="CD164" s="793">
        <f t="shared" si="57"/>
        <v>0.1615</v>
      </c>
    </row>
    <row r="165" spans="1:82" ht="13.8" x14ac:dyDescent="0.3">
      <c r="A165" s="553">
        <f t="shared" si="46"/>
        <v>41548</v>
      </c>
      <c r="B165" s="717">
        <v>7.4192229222210998E-2</v>
      </c>
      <c r="C165" s="8"/>
      <c r="D165" s="989">
        <v>40391</v>
      </c>
      <c r="E165" s="990">
        <v>67</v>
      </c>
      <c r="F165" s="990">
        <v>72</v>
      </c>
      <c r="G165" s="990">
        <v>77</v>
      </c>
      <c r="H165" s="977"/>
      <c r="I165" s="990">
        <v>22.299998092651364</v>
      </c>
      <c r="J165" s="990">
        <v>24.799998092651364</v>
      </c>
      <c r="K165" s="990">
        <v>27.299998092651364</v>
      </c>
      <c r="L165" s="12"/>
      <c r="M165" s="1004">
        <v>41275</v>
      </c>
      <c r="N165" s="991">
        <v>29.298748779296865</v>
      </c>
      <c r="O165" s="991">
        <v>30.648748779296866</v>
      </c>
      <c r="P165" s="991">
        <v>31.998748779296868</v>
      </c>
      <c r="Q165" s="21"/>
      <c r="R165" s="991">
        <v>24.852500534057608</v>
      </c>
      <c r="S165" s="991">
        <v>29.152500534057609</v>
      </c>
      <c r="T165" s="991">
        <v>33.452500534057606</v>
      </c>
      <c r="U165" s="21"/>
      <c r="V165" s="991">
        <v>0.8</v>
      </c>
      <c r="W165" s="991">
        <v>0.8</v>
      </c>
      <c r="X165" s="991">
        <v>0.8</v>
      </c>
      <c r="Y165" s="21"/>
      <c r="Z165" s="991">
        <v>7.6460952404263094E-2</v>
      </c>
      <c r="AA165" s="991">
        <v>0.15292190480852619</v>
      </c>
      <c r="AB165" s="991">
        <v>0.22938285721278928</v>
      </c>
      <c r="AC165" s="21"/>
      <c r="AD165" s="991">
        <v>2.6915783624103642E-2</v>
      </c>
      <c r="AE165" s="991">
        <v>5.3831567248207285E-2</v>
      </c>
      <c r="AF165" s="991">
        <v>8.0747350872310927E-2</v>
      </c>
      <c r="AG165" s="21"/>
      <c r="AH165" s="991">
        <v>-0.75</v>
      </c>
      <c r="AI165" s="991">
        <v>2</v>
      </c>
      <c r="AJ165" s="991">
        <v>0.75</v>
      </c>
      <c r="AK165" s="21"/>
      <c r="AL165" s="991">
        <v>-0.15</v>
      </c>
      <c r="AM165" s="991">
        <v>0.5</v>
      </c>
      <c r="AN165" s="991">
        <v>0.2</v>
      </c>
      <c r="AO165" s="21"/>
      <c r="AP165" s="12">
        <v>53</v>
      </c>
      <c r="AQ165" s="992">
        <v>0.4</v>
      </c>
      <c r="AR165" s="21"/>
      <c r="AS165" s="21"/>
      <c r="AT165" s="21"/>
      <c r="AU165" s="21"/>
      <c r="AV165" s="21"/>
      <c r="AW165" s="21"/>
      <c r="AX165" s="21"/>
      <c r="AY165" s="21"/>
      <c r="AZ165" s="21"/>
      <c r="BA165" s="21"/>
      <c r="BB165" s="21"/>
      <c r="BC165" s="21"/>
      <c r="BD165" s="21"/>
      <c r="BE165" s="21"/>
      <c r="BF165" s="21"/>
      <c r="BH165" s="20"/>
      <c r="BI165" s="20"/>
      <c r="BJ165" s="395"/>
      <c r="BK165"/>
      <c r="BL165"/>
      <c r="BM165"/>
      <c r="BN165"/>
      <c r="BO165"/>
      <c r="BP165"/>
      <c r="BQ165" s="553">
        <f t="shared" si="47"/>
        <v>41456</v>
      </c>
      <c r="BR165" s="716">
        <v>3.3424999999999998</v>
      </c>
      <c r="BS165" s="716">
        <v>3.3475000000000001</v>
      </c>
      <c r="BT165" s="716">
        <v>3.3525</v>
      </c>
      <c r="BU165" s="717">
        <v>0.14650000000000002</v>
      </c>
      <c r="BV165" s="717">
        <v>0.15</v>
      </c>
      <c r="BW165" s="717">
        <v>0.1615</v>
      </c>
      <c r="BX165" s="717">
        <f t="shared" si="53"/>
        <v>-7.0000000000000007E-2</v>
      </c>
      <c r="BY165" s="717"/>
      <c r="BZ165" s="717">
        <f t="shared" si="54"/>
        <v>7.0000000000000007E-2</v>
      </c>
      <c r="CA165" s="756">
        <f t="shared" si="40"/>
        <v>0</v>
      </c>
      <c r="CB165" s="716">
        <f t="shared" si="55"/>
        <v>0</v>
      </c>
      <c r="CC165" s="789">
        <f t="shared" si="56"/>
        <v>3.3424999999999998</v>
      </c>
      <c r="CD165" s="793">
        <f t="shared" si="57"/>
        <v>0.1615</v>
      </c>
    </row>
    <row r="166" spans="1:82" ht="13.8" x14ac:dyDescent="0.3">
      <c r="A166" s="553">
        <f t="shared" si="46"/>
        <v>41579</v>
      </c>
      <c r="B166" s="717">
        <v>7.4191934504329995E-2</v>
      </c>
      <c r="C166" s="8"/>
      <c r="D166" s="989">
        <v>40422</v>
      </c>
      <c r="E166" s="990">
        <v>31.85</v>
      </c>
      <c r="F166" s="990">
        <v>33.450000000000003</v>
      </c>
      <c r="G166" s="990">
        <v>35.049999999999997</v>
      </c>
      <c r="H166" s="977"/>
      <c r="I166" s="990">
        <v>19.549998092651364</v>
      </c>
      <c r="J166" s="990">
        <v>20.349998092651365</v>
      </c>
      <c r="K166" s="990">
        <v>21.149998092651366</v>
      </c>
      <c r="L166" s="12"/>
      <c r="M166" s="1004">
        <v>41306</v>
      </c>
      <c r="N166" s="991">
        <v>28.296250152587881</v>
      </c>
      <c r="O166" s="991">
        <v>29.646250152587882</v>
      </c>
      <c r="P166" s="991">
        <v>30.996250152587884</v>
      </c>
      <c r="Q166" s="21"/>
      <c r="R166" s="991">
        <v>22.847499465942374</v>
      </c>
      <c r="S166" s="991">
        <v>27.147499465942374</v>
      </c>
      <c r="T166" s="991">
        <v>31.447499465942375</v>
      </c>
      <c r="U166" s="21"/>
      <c r="V166" s="991">
        <v>0.3</v>
      </c>
      <c r="W166" s="991">
        <v>0.3</v>
      </c>
      <c r="X166" s="991">
        <v>0.3</v>
      </c>
      <c r="Y166" s="21"/>
      <c r="Z166" s="991">
        <v>7.3759151965949926E-2</v>
      </c>
      <c r="AA166" s="991">
        <v>0.14751830393189985</v>
      </c>
      <c r="AB166" s="991">
        <v>0.22127745589784978</v>
      </c>
      <c r="AC166" s="21"/>
      <c r="AD166" s="991">
        <v>2.6915783624103642E-2</v>
      </c>
      <c r="AE166" s="991">
        <v>5.3831567248207285E-2</v>
      </c>
      <c r="AF166" s="991">
        <v>8.0747350872310927E-2</v>
      </c>
      <c r="AG166" s="21"/>
      <c r="AH166" s="991">
        <v>-0.75</v>
      </c>
      <c r="AI166" s="991">
        <v>2</v>
      </c>
      <c r="AJ166" s="991">
        <v>0.75</v>
      </c>
      <c r="AK166" s="21"/>
      <c r="AL166" s="991">
        <v>-0.15</v>
      </c>
      <c r="AM166" s="991">
        <v>0.5</v>
      </c>
      <c r="AN166" s="991">
        <v>0.2</v>
      </c>
      <c r="AO166" s="21"/>
      <c r="AP166" s="12">
        <v>53</v>
      </c>
      <c r="AQ166" s="992">
        <v>0.4</v>
      </c>
      <c r="AR166" s="21"/>
      <c r="AS166" s="21"/>
      <c r="AT166" s="21"/>
      <c r="AU166" s="21"/>
      <c r="AV166" s="21"/>
      <c r="AW166" s="21"/>
      <c r="AX166" s="21"/>
      <c r="AY166" s="21"/>
      <c r="AZ166" s="21"/>
      <c r="BA166" s="21"/>
      <c r="BB166" s="21"/>
      <c r="BC166" s="21"/>
      <c r="BD166" s="21"/>
      <c r="BE166" s="21"/>
      <c r="BF166" s="21"/>
      <c r="BH166" s="20"/>
      <c r="BI166" s="20"/>
      <c r="BJ166" s="395"/>
      <c r="BK166"/>
      <c r="BL166"/>
      <c r="BM166"/>
      <c r="BN166"/>
      <c r="BO166"/>
      <c r="BP166"/>
      <c r="BQ166" s="553">
        <f t="shared" si="47"/>
        <v>41487</v>
      </c>
      <c r="BR166" s="716">
        <v>3.3495000000000004</v>
      </c>
      <c r="BS166" s="716">
        <v>3.3545000000000003</v>
      </c>
      <c r="BT166" s="716">
        <v>3.3595000000000002</v>
      </c>
      <c r="BU166" s="717">
        <v>0.14650000000000002</v>
      </c>
      <c r="BV166" s="717">
        <v>0.15</v>
      </c>
      <c r="BW166" s="717">
        <v>0.1615</v>
      </c>
      <c r="BX166" s="717">
        <f t="shared" si="53"/>
        <v>-7.0000000000000007E-2</v>
      </c>
      <c r="BY166" s="717"/>
      <c r="BZ166" s="717">
        <f t="shared" si="54"/>
        <v>7.0000000000000007E-2</v>
      </c>
      <c r="CA166" s="756">
        <f t="shared" si="40"/>
        <v>0</v>
      </c>
      <c r="CB166" s="716">
        <f t="shared" si="55"/>
        <v>0</v>
      </c>
      <c r="CC166" s="789">
        <f t="shared" si="56"/>
        <v>3.3495000000000004</v>
      </c>
      <c r="CD166" s="793">
        <f t="shared" si="57"/>
        <v>0.1615</v>
      </c>
    </row>
    <row r="167" spans="1:82" ht="13.8" x14ac:dyDescent="0.3">
      <c r="A167" s="553">
        <f t="shared" si="46"/>
        <v>41609</v>
      </c>
      <c r="B167" s="717">
        <v>7.4191649293478004E-2</v>
      </c>
      <c r="C167" s="8"/>
      <c r="D167" s="989">
        <v>40452</v>
      </c>
      <c r="E167" s="990">
        <v>29.75</v>
      </c>
      <c r="F167" s="990">
        <v>31.2</v>
      </c>
      <c r="G167" s="990">
        <v>32.65</v>
      </c>
      <c r="H167" s="977"/>
      <c r="I167" s="990">
        <v>19.324998855590817</v>
      </c>
      <c r="J167" s="990">
        <v>20.049998855590818</v>
      </c>
      <c r="K167" s="990">
        <v>20.77499885559082</v>
      </c>
      <c r="L167" s="12"/>
      <c r="M167" s="1004">
        <v>41334</v>
      </c>
      <c r="N167" s="991">
        <v>22.084749603271476</v>
      </c>
      <c r="O167" s="991">
        <v>22.834749603271476</v>
      </c>
      <c r="P167" s="991">
        <v>23.584749603271476</v>
      </c>
      <c r="Q167" s="21"/>
      <c r="R167" s="991">
        <v>18.164498901367178</v>
      </c>
      <c r="S167" s="991">
        <v>22.464498901367179</v>
      </c>
      <c r="T167" s="991">
        <v>26.76449890136718</v>
      </c>
      <c r="U167" s="21"/>
      <c r="V167" s="991">
        <v>0.3</v>
      </c>
      <c r="W167" s="991">
        <v>0.3</v>
      </c>
      <c r="X167" s="991">
        <v>0.3</v>
      </c>
      <c r="Y167" s="21"/>
      <c r="Z167" s="991">
        <v>7.1793592147077076E-2</v>
      </c>
      <c r="AA167" s="991">
        <v>0.14358718429415415</v>
      </c>
      <c r="AB167" s="991">
        <v>0.21538077644123121</v>
      </c>
      <c r="AC167" s="21"/>
      <c r="AD167" s="991">
        <v>2.3070671677803113E-2</v>
      </c>
      <c r="AE167" s="991">
        <v>4.6141343355606226E-2</v>
      </c>
      <c r="AF167" s="991">
        <v>6.9212015033409346E-2</v>
      </c>
      <c r="AG167" s="21"/>
      <c r="AH167" s="991">
        <v>-0.25</v>
      </c>
      <c r="AI167" s="991">
        <v>1.3</v>
      </c>
      <c r="AJ167" s="991">
        <v>0.3</v>
      </c>
      <c r="AK167" s="21"/>
      <c r="AL167" s="991">
        <v>-0.15</v>
      </c>
      <c r="AM167" s="991">
        <v>0.35</v>
      </c>
      <c r="AN167" s="991">
        <v>0.2</v>
      </c>
      <c r="AO167" s="21"/>
      <c r="AP167" s="12">
        <v>53</v>
      </c>
      <c r="AQ167" s="992">
        <v>0.4</v>
      </c>
      <c r="AR167" s="21"/>
      <c r="AS167" s="21"/>
      <c r="AT167" s="21"/>
      <c r="AU167" s="21"/>
      <c r="AV167" s="21"/>
      <c r="AW167" s="21"/>
      <c r="AX167" s="21"/>
      <c r="AY167" s="21"/>
      <c r="AZ167" s="21"/>
      <c r="BA167" s="21"/>
      <c r="BB167" s="21"/>
      <c r="BC167" s="21"/>
      <c r="BD167" s="21"/>
      <c r="BE167" s="21"/>
      <c r="BF167" s="21"/>
      <c r="BH167" s="20"/>
      <c r="BI167" s="20"/>
      <c r="BJ167" s="395"/>
      <c r="BK167"/>
      <c r="BL167"/>
      <c r="BM167"/>
      <c r="BN167"/>
      <c r="BO167"/>
      <c r="BP167"/>
      <c r="BQ167" s="553">
        <f t="shared" si="47"/>
        <v>41518</v>
      </c>
      <c r="BR167" s="716">
        <v>3.3565</v>
      </c>
      <c r="BS167" s="716">
        <v>3.3615000000000004</v>
      </c>
      <c r="BT167" s="716">
        <v>3.3665000000000003</v>
      </c>
      <c r="BU167" s="717">
        <v>0.14650000000000002</v>
      </c>
      <c r="BV167" s="717">
        <v>0.15</v>
      </c>
      <c r="BW167" s="717">
        <v>0.1615</v>
      </c>
      <c r="BX167" s="717">
        <f t="shared" ref="BX167:BX182" si="58">BY167-$BX$4</f>
        <v>-7.0000000000000007E-2</v>
      </c>
      <c r="BY167" s="717"/>
      <c r="BZ167" s="717">
        <f t="shared" ref="BZ167:BZ182" si="59">BY167+$BZ$4</f>
        <v>7.0000000000000007E-2</v>
      </c>
      <c r="CA167" s="756">
        <f t="shared" si="40"/>
        <v>0</v>
      </c>
      <c r="CB167" s="716">
        <f t="shared" ref="CB167:CB182" si="60">GasBasis</f>
        <v>0</v>
      </c>
      <c r="CC167" s="789">
        <f t="shared" ref="CC167:CC182" si="61">(IF(GasPriceCurve,IF(OBuySell=OCallPut,BT167,BR167),BS167)+CA167/1000+CB167)/(1-GasTransportPercent)</f>
        <v>3.3565</v>
      </c>
      <c r="CD167" s="793">
        <f t="shared" ref="CD167:CD182" si="62">IF(GasVolOver,GasVolOver,IF(OVolType=2,IF(OR(BU167="",BV167="",BW167=""),CD166,IF(GasVolCurve,IF(OBuySell,BU167,BW167),BV167)*GasVolAsPercentOfNYMEX),IF(OR(BU167="",BV167="",BW167="",BY167=""),CD166,SQRT(((IF(GasVolCurve,IF(OBuySell,BU167,BW167),BV167)*GasVolAsPercentOfNYMEX)^2*(BQ167-DateToday-1)+IF(GasVolCurve,IF(OBuySell,BX167,BZ167),BY167)^2*15)/(BQ167-DateToday+14))))+GasVolSpread)</f>
        <v>0.1615</v>
      </c>
    </row>
    <row r="168" spans="1:82" ht="13.8" x14ac:dyDescent="0.3">
      <c r="A168" s="553">
        <f t="shared" si="46"/>
        <v>41640</v>
      </c>
      <c r="B168" s="717">
        <v>7.4191354575597002E-2</v>
      </c>
      <c r="C168" s="8"/>
      <c r="D168" s="989">
        <v>40483</v>
      </c>
      <c r="E168" s="990">
        <v>30.125</v>
      </c>
      <c r="F168" s="990">
        <v>31.574999999999999</v>
      </c>
      <c r="G168" s="990">
        <v>33.024999999999999</v>
      </c>
      <c r="H168" s="977"/>
      <c r="I168" s="990">
        <v>19.249998092651364</v>
      </c>
      <c r="J168" s="990">
        <v>19.974998092651365</v>
      </c>
      <c r="K168" s="990">
        <v>20.699998092651366</v>
      </c>
      <c r="L168" s="12"/>
      <c r="M168" s="1004">
        <v>41365</v>
      </c>
      <c r="N168" s="991">
        <v>22.880000305175773</v>
      </c>
      <c r="O168" s="991">
        <v>23.517500305175773</v>
      </c>
      <c r="P168" s="991">
        <v>24.155000305175772</v>
      </c>
      <c r="Q168" s="21"/>
      <c r="R168" s="991">
        <v>17.934999084472647</v>
      </c>
      <c r="S168" s="991">
        <v>22.234999084472648</v>
      </c>
      <c r="T168" s="991">
        <v>26.534999084472648</v>
      </c>
      <c r="U168" s="21"/>
      <c r="V168" s="991">
        <v>0.3</v>
      </c>
      <c r="W168" s="991">
        <v>0.3</v>
      </c>
      <c r="X168" s="991">
        <v>0.3</v>
      </c>
      <c r="Y168" s="21"/>
      <c r="Z168" s="991">
        <v>6.4073197394597145E-2</v>
      </c>
      <c r="AA168" s="991">
        <v>0.12814639478919429</v>
      </c>
      <c r="AB168" s="991">
        <v>0.19221959218379142</v>
      </c>
      <c r="AC168" s="21"/>
      <c r="AD168" s="991">
        <v>2.3070671677803113E-2</v>
      </c>
      <c r="AE168" s="991">
        <v>4.6141343355606226E-2</v>
      </c>
      <c r="AF168" s="991">
        <v>6.9212015033409346E-2</v>
      </c>
      <c r="AG168" s="21"/>
      <c r="AH168" s="991">
        <v>-0.25</v>
      </c>
      <c r="AI168" s="991">
        <v>1.1000000000000001</v>
      </c>
      <c r="AJ168" s="991">
        <v>0.3</v>
      </c>
      <c r="AK168" s="21"/>
      <c r="AL168" s="991">
        <v>-0.15</v>
      </c>
      <c r="AM168" s="991">
        <v>0.35</v>
      </c>
      <c r="AN168" s="991">
        <v>0.2</v>
      </c>
      <c r="AO168" s="21"/>
      <c r="AP168" s="12">
        <v>54</v>
      </c>
      <c r="AQ168" s="992">
        <v>0.4</v>
      </c>
      <c r="AR168" s="21"/>
      <c r="AS168" s="21"/>
      <c r="AT168" s="21"/>
      <c r="AU168" s="21"/>
      <c r="AV168" s="21"/>
      <c r="AW168" s="21"/>
      <c r="AX168" s="21"/>
      <c r="AY168" s="21"/>
      <c r="AZ168" s="21"/>
      <c r="BA168" s="21"/>
      <c r="BB168" s="21"/>
      <c r="BC168" s="21"/>
      <c r="BD168" s="21"/>
      <c r="BE168" s="21"/>
      <c r="BF168" s="21"/>
      <c r="BH168" s="20"/>
      <c r="BI168" s="20"/>
      <c r="BJ168" s="395"/>
      <c r="BK168"/>
      <c r="BL168"/>
      <c r="BM168"/>
      <c r="BN168"/>
      <c r="BO168"/>
      <c r="BP168"/>
      <c r="BQ168" s="553">
        <f t="shared" si="47"/>
        <v>41548</v>
      </c>
      <c r="BR168" s="716">
        <v>3.3824999999999998</v>
      </c>
      <c r="BS168" s="716">
        <v>3.3875000000000002</v>
      </c>
      <c r="BT168" s="716">
        <v>3.3925000000000001</v>
      </c>
      <c r="BU168" s="717">
        <v>0.14650000000000002</v>
      </c>
      <c r="BV168" s="717">
        <v>0.15</v>
      </c>
      <c r="BW168" s="717">
        <v>0.1615</v>
      </c>
      <c r="BX168" s="717">
        <f t="shared" si="58"/>
        <v>-7.0000000000000007E-2</v>
      </c>
      <c r="BY168" s="717"/>
      <c r="BZ168" s="717">
        <f t="shared" si="59"/>
        <v>7.0000000000000007E-2</v>
      </c>
      <c r="CA168" s="756">
        <f t="shared" si="40"/>
        <v>0</v>
      </c>
      <c r="CB168" s="716">
        <f t="shared" si="60"/>
        <v>0</v>
      </c>
      <c r="CC168" s="789">
        <f t="shared" si="61"/>
        <v>3.3824999999999998</v>
      </c>
      <c r="CD168" s="793">
        <f t="shared" si="62"/>
        <v>0.1615</v>
      </c>
    </row>
    <row r="169" spans="1:82" ht="13.8" x14ac:dyDescent="0.3">
      <c r="A169" s="553">
        <f t="shared" si="46"/>
        <v>41671</v>
      </c>
      <c r="B169" s="717">
        <v>7.4191059857715014E-2</v>
      </c>
      <c r="C169" s="8"/>
      <c r="D169" s="989">
        <v>40513</v>
      </c>
      <c r="E169" s="990">
        <v>30</v>
      </c>
      <c r="F169" s="990">
        <v>31.45</v>
      </c>
      <c r="G169" s="990">
        <v>32.9</v>
      </c>
      <c r="H169" s="977"/>
      <c r="I169" s="990">
        <v>20.674999237060543</v>
      </c>
      <c r="J169" s="990">
        <v>21.399999237060545</v>
      </c>
      <c r="K169" s="990">
        <v>22.124999237060546</v>
      </c>
      <c r="L169" s="12"/>
      <c r="M169" s="1004">
        <v>41395</v>
      </c>
      <c r="N169" s="991">
        <v>21.772500076293937</v>
      </c>
      <c r="O169" s="991">
        <v>23.632500076293937</v>
      </c>
      <c r="P169" s="991">
        <v>25.492500076293936</v>
      </c>
      <c r="Q169" s="21"/>
      <c r="R169" s="991">
        <v>18.464999771118155</v>
      </c>
      <c r="S169" s="991">
        <v>22.764999771118156</v>
      </c>
      <c r="T169" s="991">
        <v>27.064999771118156</v>
      </c>
      <c r="U169" s="21"/>
      <c r="V169" s="991">
        <v>0.3</v>
      </c>
      <c r="W169" s="991">
        <v>0.3</v>
      </c>
      <c r="X169" s="991">
        <v>0.3</v>
      </c>
      <c r="Y169" s="21"/>
      <c r="Z169" s="991">
        <v>7.379967897252461E-2</v>
      </c>
      <c r="AA169" s="991">
        <v>0.14759935794504922</v>
      </c>
      <c r="AB169" s="991">
        <v>0.22139903691757384</v>
      </c>
      <c r="AC169" s="21"/>
      <c r="AD169" s="991">
        <v>2.6915783624103642E-2</v>
      </c>
      <c r="AE169" s="991">
        <v>5.3831567248207285E-2</v>
      </c>
      <c r="AF169" s="991">
        <v>8.0747350872310927E-2</v>
      </c>
      <c r="AG169" s="21"/>
      <c r="AH169" s="991">
        <v>-0.25</v>
      </c>
      <c r="AI169" s="991">
        <v>1.1000000000000001</v>
      </c>
      <c r="AJ169" s="991">
        <v>0.3</v>
      </c>
      <c r="AK169" s="21"/>
      <c r="AL169" s="991">
        <v>-0.15</v>
      </c>
      <c r="AM169" s="991">
        <v>0.5</v>
      </c>
      <c r="AN169" s="991">
        <v>0.2</v>
      </c>
      <c r="AO169" s="21"/>
      <c r="AP169" s="12">
        <v>54</v>
      </c>
      <c r="AQ169" s="992">
        <v>0.4</v>
      </c>
      <c r="AR169" s="21"/>
      <c r="AS169" s="21"/>
      <c r="AT169" s="21"/>
      <c r="AU169" s="21"/>
      <c r="AV169" s="21"/>
      <c r="AW169" s="21"/>
      <c r="AX169" s="21"/>
      <c r="AY169" s="21"/>
      <c r="AZ169" s="21"/>
      <c r="BA169" s="21"/>
      <c r="BB169" s="21"/>
      <c r="BC169" s="21"/>
      <c r="BD169" s="21"/>
      <c r="BE169" s="21"/>
      <c r="BF169" s="21"/>
      <c r="BH169" s="20"/>
      <c r="BI169" s="20"/>
      <c r="BJ169" s="395"/>
      <c r="BK169"/>
      <c r="BL169"/>
      <c r="BM169"/>
      <c r="BN169"/>
      <c r="BO169"/>
      <c r="BP169"/>
      <c r="BQ169" s="553">
        <f t="shared" si="47"/>
        <v>41579</v>
      </c>
      <c r="BR169" s="716">
        <v>3.5175000000000001</v>
      </c>
      <c r="BS169" s="716">
        <v>3.5225</v>
      </c>
      <c r="BT169" s="716">
        <v>3.5274999999999999</v>
      </c>
      <c r="BU169" s="717">
        <v>0.14650000000000002</v>
      </c>
      <c r="BV169" s="717">
        <v>0.15</v>
      </c>
      <c r="BW169" s="717">
        <v>0.1615</v>
      </c>
      <c r="BX169" s="717">
        <f t="shared" si="58"/>
        <v>-7.0000000000000007E-2</v>
      </c>
      <c r="BY169" s="717"/>
      <c r="BZ169" s="717">
        <f t="shared" si="59"/>
        <v>7.0000000000000007E-2</v>
      </c>
      <c r="CA169" s="756">
        <f t="shared" si="40"/>
        <v>0</v>
      </c>
      <c r="CB169" s="716">
        <f t="shared" si="60"/>
        <v>0</v>
      </c>
      <c r="CC169" s="789">
        <f t="shared" si="61"/>
        <v>3.5175000000000001</v>
      </c>
      <c r="CD169" s="793">
        <f t="shared" si="62"/>
        <v>0.1615</v>
      </c>
    </row>
    <row r="170" spans="1:82" ht="13.8" x14ac:dyDescent="0.3">
      <c r="A170" s="553">
        <f t="shared" si="46"/>
        <v>41699</v>
      </c>
      <c r="B170" s="717">
        <v>7.419079366091999E-2</v>
      </c>
      <c r="C170" s="8"/>
      <c r="D170" s="989">
        <v>40544</v>
      </c>
      <c r="E170" s="990">
        <v>36.15</v>
      </c>
      <c r="F170" s="990">
        <v>37.75</v>
      </c>
      <c r="G170" s="990">
        <v>39.35</v>
      </c>
      <c r="H170" s="977"/>
      <c r="I170" s="990">
        <v>20.590000152587887</v>
      </c>
      <c r="J170" s="990">
        <v>21.390000152587888</v>
      </c>
      <c r="K170" s="990">
        <v>22.190000152587888</v>
      </c>
      <c r="L170" s="12"/>
      <c r="M170" s="1004">
        <v>41426</v>
      </c>
      <c r="N170" s="991">
        <v>22.726250152587884</v>
      </c>
      <c r="O170" s="991">
        <v>28.058750152587884</v>
      </c>
      <c r="P170" s="991">
        <v>33.391250152587887</v>
      </c>
      <c r="Q170" s="21"/>
      <c r="R170" s="991">
        <v>17.24249954223632</v>
      </c>
      <c r="S170" s="991">
        <v>21.542499542236321</v>
      </c>
      <c r="T170" s="991">
        <v>25.842499542236322</v>
      </c>
      <c r="U170" s="21"/>
      <c r="V170" s="991">
        <v>0.3</v>
      </c>
      <c r="W170" s="991">
        <v>0.3</v>
      </c>
      <c r="X170" s="991">
        <v>0.3</v>
      </c>
      <c r="Y170" s="21"/>
      <c r="Z170" s="991">
        <v>9.2462365500172922E-2</v>
      </c>
      <c r="AA170" s="991">
        <v>0.18492473100034584</v>
      </c>
      <c r="AB170" s="991">
        <v>0.27738709650051874</v>
      </c>
      <c r="AC170" s="21"/>
      <c r="AD170" s="991">
        <v>3.4606007516704673E-2</v>
      </c>
      <c r="AE170" s="991">
        <v>6.9212015033409346E-2</v>
      </c>
      <c r="AF170" s="991">
        <v>0.10381802255011402</v>
      </c>
      <c r="AG170" s="21"/>
      <c r="AH170" s="991">
        <v>-0.35</v>
      </c>
      <c r="AI170" s="991">
        <v>2</v>
      </c>
      <c r="AJ170" s="991">
        <v>0.3</v>
      </c>
      <c r="AK170" s="21"/>
      <c r="AL170" s="991">
        <v>-0.15</v>
      </c>
      <c r="AM170" s="991">
        <v>0.65</v>
      </c>
      <c r="AN170" s="991">
        <v>0.2</v>
      </c>
      <c r="AO170" s="21"/>
      <c r="AP170" s="12">
        <v>54</v>
      </c>
      <c r="AQ170" s="992">
        <v>0.4</v>
      </c>
      <c r="AR170" s="21"/>
      <c r="AS170" s="21"/>
      <c r="AT170" s="21"/>
      <c r="AU170" s="21"/>
      <c r="AV170" s="21"/>
      <c r="AW170" s="21"/>
      <c r="AX170" s="21"/>
      <c r="AY170" s="21"/>
      <c r="AZ170" s="21"/>
      <c r="BA170" s="21"/>
      <c r="BB170" s="21"/>
      <c r="BC170" s="21"/>
      <c r="BD170" s="21"/>
      <c r="BE170" s="21"/>
      <c r="BF170" s="21"/>
      <c r="BH170" s="20"/>
      <c r="BI170" s="20"/>
      <c r="BJ170" s="395"/>
      <c r="BK170"/>
      <c r="BL170"/>
      <c r="BM170"/>
      <c r="BN170"/>
      <c r="BO170"/>
      <c r="BP170"/>
      <c r="BQ170" s="553">
        <f t="shared" si="47"/>
        <v>41609</v>
      </c>
      <c r="BR170" s="716">
        <v>3.6415000000000002</v>
      </c>
      <c r="BS170" s="716">
        <v>3.6465000000000001</v>
      </c>
      <c r="BT170" s="716">
        <v>3.6515</v>
      </c>
      <c r="BU170" s="717">
        <v>0.14650000000000002</v>
      </c>
      <c r="BV170" s="717">
        <v>0.15</v>
      </c>
      <c r="BW170" s="717">
        <v>0.1615</v>
      </c>
      <c r="BX170" s="717">
        <f t="shared" si="58"/>
        <v>-7.0000000000000007E-2</v>
      </c>
      <c r="BY170" s="717"/>
      <c r="BZ170" s="717">
        <f t="shared" si="59"/>
        <v>7.0000000000000007E-2</v>
      </c>
      <c r="CA170" s="756">
        <f t="shared" ref="CA170:CA233" si="63">CA158</f>
        <v>0</v>
      </c>
      <c r="CB170" s="716">
        <f t="shared" si="60"/>
        <v>0</v>
      </c>
      <c r="CC170" s="789">
        <f t="shared" si="61"/>
        <v>3.6415000000000002</v>
      </c>
      <c r="CD170" s="793">
        <f t="shared" si="62"/>
        <v>0.1615</v>
      </c>
    </row>
    <row r="171" spans="1:82" ht="13.8" x14ac:dyDescent="0.3">
      <c r="A171" s="553">
        <f t="shared" si="46"/>
        <v>41730</v>
      </c>
      <c r="B171" s="717">
        <v>7.4190498943039002E-2</v>
      </c>
      <c r="C171" s="8"/>
      <c r="D171" s="989">
        <v>40575</v>
      </c>
      <c r="E171" s="990">
        <v>36.15</v>
      </c>
      <c r="F171" s="990">
        <v>37.75</v>
      </c>
      <c r="G171" s="990">
        <v>39.35</v>
      </c>
      <c r="H171" s="977"/>
      <c r="I171" s="990">
        <v>20.399997711181637</v>
      </c>
      <c r="J171" s="990">
        <v>21.199997711181638</v>
      </c>
      <c r="K171" s="990">
        <v>21.999997711181638</v>
      </c>
      <c r="L171" s="12"/>
      <c r="M171" s="1004">
        <v>41456</v>
      </c>
      <c r="N171" s="991">
        <v>37.511249542236357</v>
      </c>
      <c r="O171" s="991">
        <v>41.261249542236357</v>
      </c>
      <c r="P171" s="991">
        <v>45.011249542236357</v>
      </c>
      <c r="Q171" s="21"/>
      <c r="R171" s="991">
        <v>26.447499465942375</v>
      </c>
      <c r="S171" s="991">
        <v>30.747499465942376</v>
      </c>
      <c r="T171" s="991">
        <v>35.047499465942373</v>
      </c>
      <c r="U171" s="21"/>
      <c r="V171" s="991">
        <v>0.3</v>
      </c>
      <c r="W171" s="991">
        <v>0.3</v>
      </c>
      <c r="X171" s="991">
        <v>0.3</v>
      </c>
      <c r="Y171" s="21"/>
      <c r="Z171" s="991">
        <v>0.10948370826154596</v>
      </c>
      <c r="AA171" s="991">
        <v>0.21896741652309193</v>
      </c>
      <c r="AB171" s="991">
        <v>0.32845112478463789</v>
      </c>
      <c r="AC171" s="21"/>
      <c r="AD171" s="991">
        <v>4.6141343355606226E-2</v>
      </c>
      <c r="AE171" s="991">
        <v>9.2282686711212453E-2</v>
      </c>
      <c r="AF171" s="991">
        <v>0.13842403006681869</v>
      </c>
      <c r="AG171" s="21"/>
      <c r="AH171" s="991">
        <v>-0.35</v>
      </c>
      <c r="AI171" s="991">
        <v>3</v>
      </c>
      <c r="AJ171" s="991">
        <v>0.5</v>
      </c>
      <c r="AK171" s="21"/>
      <c r="AL171" s="991">
        <v>-0.15</v>
      </c>
      <c r="AM171" s="991">
        <v>0.75</v>
      </c>
      <c r="AN171" s="991">
        <v>0.2</v>
      </c>
      <c r="AO171" s="21"/>
      <c r="AP171" s="12">
        <v>55</v>
      </c>
      <c r="AQ171" s="992">
        <v>0.4</v>
      </c>
      <c r="AR171" s="21"/>
      <c r="AS171" s="21"/>
      <c r="AT171" s="21"/>
      <c r="AU171" s="21"/>
      <c r="AV171" s="21"/>
      <c r="AW171" s="21"/>
      <c r="AX171" s="21"/>
      <c r="AY171" s="21"/>
      <c r="AZ171" s="21"/>
      <c r="BA171" s="21"/>
      <c r="BB171" s="21"/>
      <c r="BC171" s="21"/>
      <c r="BD171" s="21"/>
      <c r="BE171" s="21"/>
      <c r="BF171" s="21"/>
      <c r="BH171" s="20"/>
      <c r="BI171" s="20"/>
      <c r="BJ171" s="395"/>
      <c r="BK171"/>
      <c r="BL171"/>
      <c r="BM171"/>
      <c r="BN171"/>
      <c r="BO171"/>
      <c r="BP171"/>
      <c r="BQ171" s="553">
        <f t="shared" si="47"/>
        <v>41640</v>
      </c>
      <c r="BR171" s="716">
        <v>3.7349999999999999</v>
      </c>
      <c r="BS171" s="716">
        <v>3.74</v>
      </c>
      <c r="BT171" s="716">
        <v>3.7450000000000001</v>
      </c>
      <c r="BU171" s="717">
        <v>0.14550000000000002</v>
      </c>
      <c r="BV171" s="717">
        <v>0.15</v>
      </c>
      <c r="BW171" s="717">
        <v>0.1605</v>
      </c>
      <c r="BX171" s="717">
        <f t="shared" si="58"/>
        <v>-7.0000000000000007E-2</v>
      </c>
      <c r="BY171" s="717"/>
      <c r="BZ171" s="717">
        <f t="shared" si="59"/>
        <v>7.0000000000000007E-2</v>
      </c>
      <c r="CA171" s="756">
        <f t="shared" si="63"/>
        <v>0</v>
      </c>
      <c r="CB171" s="716">
        <f t="shared" si="60"/>
        <v>0</v>
      </c>
      <c r="CC171" s="789">
        <f t="shared" si="61"/>
        <v>3.7349999999999999</v>
      </c>
      <c r="CD171" s="793">
        <f t="shared" si="62"/>
        <v>0.1605</v>
      </c>
    </row>
    <row r="172" spans="1:82" ht="13.8" x14ac:dyDescent="0.3">
      <c r="A172" s="553">
        <f t="shared" si="46"/>
        <v>41760</v>
      </c>
      <c r="B172" s="717">
        <v>7.4190213732186011E-2</v>
      </c>
      <c r="C172" s="8"/>
      <c r="D172" s="989">
        <v>40603</v>
      </c>
      <c r="E172" s="990">
        <v>33.1</v>
      </c>
      <c r="F172" s="990">
        <v>34</v>
      </c>
      <c r="G172" s="990">
        <v>34.9</v>
      </c>
      <c r="H172" s="977"/>
      <c r="I172" s="990">
        <v>19.749999618530271</v>
      </c>
      <c r="J172" s="990">
        <v>20.199999618530271</v>
      </c>
      <c r="K172" s="990">
        <v>20.64999961853027</v>
      </c>
      <c r="L172" s="12"/>
      <c r="M172" s="1004">
        <v>41487</v>
      </c>
      <c r="N172" s="991">
        <v>39.772499084472685</v>
      </c>
      <c r="O172" s="991">
        <v>43.522499084472685</v>
      </c>
      <c r="P172" s="991">
        <v>47.272499084472685</v>
      </c>
      <c r="Q172" s="21"/>
      <c r="R172" s="991">
        <v>27.945000839233398</v>
      </c>
      <c r="S172" s="991">
        <v>32.245000839233398</v>
      </c>
      <c r="T172" s="991">
        <v>36.545000839233396</v>
      </c>
      <c r="U172" s="21"/>
      <c r="V172" s="991">
        <v>0.8</v>
      </c>
      <c r="W172" s="991">
        <v>0.8</v>
      </c>
      <c r="X172" s="991">
        <v>0.8</v>
      </c>
      <c r="Y172" s="21"/>
      <c r="Z172" s="991">
        <v>0.1078423644952707</v>
      </c>
      <c r="AA172" s="991">
        <v>0.21568472899054139</v>
      </c>
      <c r="AB172" s="991">
        <v>0.3235270934858121</v>
      </c>
      <c r="AC172" s="21"/>
      <c r="AD172" s="991">
        <v>4.6141343355606226E-2</v>
      </c>
      <c r="AE172" s="991">
        <v>9.2282686711212453E-2</v>
      </c>
      <c r="AF172" s="991">
        <v>0.13842403006681869</v>
      </c>
      <c r="AG172" s="21"/>
      <c r="AH172" s="991">
        <v>-0.35</v>
      </c>
      <c r="AI172" s="991">
        <v>3</v>
      </c>
      <c r="AJ172" s="991">
        <v>0.5</v>
      </c>
      <c r="AK172" s="21"/>
      <c r="AL172" s="991">
        <v>-0.15</v>
      </c>
      <c r="AM172" s="991">
        <v>0.75</v>
      </c>
      <c r="AN172" s="991">
        <v>0.2</v>
      </c>
      <c r="AO172" s="21"/>
      <c r="AP172" s="12">
        <v>55</v>
      </c>
      <c r="AQ172" s="992">
        <v>0.4</v>
      </c>
      <c r="AR172" s="21"/>
      <c r="AS172" s="21"/>
      <c r="AT172" s="21"/>
      <c r="AU172" s="21"/>
      <c r="AV172" s="21"/>
      <c r="AW172" s="21"/>
      <c r="AX172" s="21"/>
      <c r="AY172" s="21"/>
      <c r="AZ172" s="21"/>
      <c r="BA172" s="21"/>
      <c r="BB172" s="21"/>
      <c r="BC172" s="21"/>
      <c r="BD172" s="21"/>
      <c r="BE172" s="21"/>
      <c r="BF172" s="21"/>
      <c r="BH172" s="20"/>
      <c r="BI172" s="20"/>
      <c r="BJ172" s="395"/>
      <c r="BK172"/>
      <c r="BL172"/>
      <c r="BM172"/>
      <c r="BN172"/>
      <c r="BO172"/>
      <c r="BP172"/>
      <c r="BQ172" s="553">
        <f t="shared" si="47"/>
        <v>41671</v>
      </c>
      <c r="BR172" s="716">
        <v>3.617</v>
      </c>
      <c r="BS172" s="716">
        <v>3.6220000000000003</v>
      </c>
      <c r="BT172" s="716">
        <v>3.6270000000000002</v>
      </c>
      <c r="BU172" s="717">
        <v>0.14550000000000002</v>
      </c>
      <c r="BV172" s="717">
        <v>0.15</v>
      </c>
      <c r="BW172" s="717">
        <v>0.1605</v>
      </c>
      <c r="BX172" s="717">
        <f t="shared" si="58"/>
        <v>-7.0000000000000007E-2</v>
      </c>
      <c r="BY172" s="717"/>
      <c r="BZ172" s="717">
        <f t="shared" si="59"/>
        <v>7.0000000000000007E-2</v>
      </c>
      <c r="CA172" s="756">
        <f t="shared" si="63"/>
        <v>0</v>
      </c>
      <c r="CB172" s="716">
        <f t="shared" si="60"/>
        <v>0</v>
      </c>
      <c r="CC172" s="789">
        <f t="shared" si="61"/>
        <v>3.617</v>
      </c>
      <c r="CD172" s="793">
        <f t="shared" si="62"/>
        <v>0.1605</v>
      </c>
    </row>
    <row r="173" spans="1:82" ht="13.8" x14ac:dyDescent="0.3">
      <c r="A173" s="553">
        <f t="shared" si="46"/>
        <v>41791</v>
      </c>
      <c r="B173" s="717">
        <v>7.4189919014305994E-2</v>
      </c>
      <c r="C173" s="8"/>
      <c r="D173" s="989">
        <v>40634</v>
      </c>
      <c r="E173" s="990">
        <v>32</v>
      </c>
      <c r="F173" s="990">
        <v>32.75</v>
      </c>
      <c r="G173" s="990">
        <v>33.5</v>
      </c>
      <c r="H173" s="977"/>
      <c r="I173" s="990">
        <v>19.824997711181638</v>
      </c>
      <c r="J173" s="990">
        <v>20.199997711181638</v>
      </c>
      <c r="K173" s="990">
        <v>20.574997711181638</v>
      </c>
      <c r="L173" s="12"/>
      <c r="M173" s="1004">
        <v>41518</v>
      </c>
      <c r="N173" s="991">
        <v>23.479999160766592</v>
      </c>
      <c r="O173" s="991">
        <v>24.904999160766593</v>
      </c>
      <c r="P173" s="991">
        <v>26.329999160766594</v>
      </c>
      <c r="Q173" s="21"/>
      <c r="R173" s="991">
        <v>21.1</v>
      </c>
      <c r="S173" s="991">
        <v>25.4</v>
      </c>
      <c r="T173" s="991">
        <v>29.7</v>
      </c>
      <c r="U173" s="21"/>
      <c r="V173" s="991">
        <v>0.8</v>
      </c>
      <c r="W173" s="991">
        <v>0.8</v>
      </c>
      <c r="X173" s="991">
        <v>0.8</v>
      </c>
      <c r="Y173" s="21"/>
      <c r="Z173" s="991">
        <v>7.1368058578042723E-2</v>
      </c>
      <c r="AA173" s="991">
        <v>0.14273611715608545</v>
      </c>
      <c r="AB173" s="991">
        <v>0.21410417573412815</v>
      </c>
      <c r="AC173" s="21"/>
      <c r="AD173" s="991">
        <v>3.0760895570404151E-2</v>
      </c>
      <c r="AE173" s="991">
        <v>6.1521791140808302E-2</v>
      </c>
      <c r="AF173" s="991">
        <v>9.2282686711212453E-2</v>
      </c>
      <c r="AG173" s="21"/>
      <c r="AH173" s="991">
        <v>-0.35</v>
      </c>
      <c r="AI173" s="991">
        <v>1.5</v>
      </c>
      <c r="AJ173" s="991">
        <v>0.3</v>
      </c>
      <c r="AK173" s="21"/>
      <c r="AL173" s="991">
        <v>-0.15</v>
      </c>
      <c r="AM173" s="991">
        <v>0.4</v>
      </c>
      <c r="AN173" s="991">
        <v>0.2</v>
      </c>
      <c r="AO173" s="21"/>
      <c r="AP173" s="12">
        <v>55</v>
      </c>
      <c r="AQ173" s="992">
        <v>0.4</v>
      </c>
      <c r="AR173" s="21"/>
      <c r="AS173" s="21"/>
      <c r="AT173" s="21"/>
      <c r="AU173" s="21"/>
      <c r="AV173" s="21"/>
      <c r="AW173" s="21"/>
      <c r="AX173" s="21"/>
      <c r="AY173" s="21"/>
      <c r="AZ173" s="21"/>
      <c r="BA173" s="21"/>
      <c r="BB173" s="21"/>
      <c r="BC173" s="21"/>
      <c r="BD173" s="21"/>
      <c r="BE173" s="21"/>
      <c r="BF173" s="21"/>
      <c r="BH173" s="20"/>
      <c r="BI173" s="20"/>
      <c r="BJ173" s="395"/>
      <c r="BK173"/>
      <c r="BL173"/>
      <c r="BM173"/>
      <c r="BN173"/>
      <c r="BO173"/>
      <c r="BP173"/>
      <c r="BQ173" s="553">
        <f t="shared" si="47"/>
        <v>41699</v>
      </c>
      <c r="BR173" s="716">
        <v>3.4970000000000003</v>
      </c>
      <c r="BS173" s="716">
        <v>3.5020000000000002</v>
      </c>
      <c r="BT173" s="716">
        <v>3.5070000000000001</v>
      </c>
      <c r="BU173" s="717">
        <v>0.14550000000000002</v>
      </c>
      <c r="BV173" s="717">
        <v>0.15</v>
      </c>
      <c r="BW173" s="717">
        <v>0.1605</v>
      </c>
      <c r="BX173" s="717">
        <f t="shared" si="58"/>
        <v>-7.0000000000000007E-2</v>
      </c>
      <c r="BY173" s="717"/>
      <c r="BZ173" s="717">
        <f t="shared" si="59"/>
        <v>7.0000000000000007E-2</v>
      </c>
      <c r="CA173" s="756">
        <f t="shared" si="63"/>
        <v>0</v>
      </c>
      <c r="CB173" s="716">
        <f t="shared" si="60"/>
        <v>0</v>
      </c>
      <c r="CC173" s="789">
        <f t="shared" si="61"/>
        <v>3.4970000000000003</v>
      </c>
      <c r="CD173" s="793">
        <f t="shared" si="62"/>
        <v>0.1605</v>
      </c>
    </row>
    <row r="174" spans="1:82" ht="13.8" x14ac:dyDescent="0.3">
      <c r="A174" s="553">
        <f t="shared" si="46"/>
        <v>41821</v>
      </c>
      <c r="B174" s="717">
        <v>7.4189633803453003E-2</v>
      </c>
      <c r="C174" s="8"/>
      <c r="D174" s="989">
        <v>40664</v>
      </c>
      <c r="E174" s="990">
        <v>32.67</v>
      </c>
      <c r="F174" s="990">
        <v>35.15</v>
      </c>
      <c r="G174" s="990">
        <v>37.630000000000003</v>
      </c>
      <c r="H174" s="977"/>
      <c r="I174" s="990">
        <v>18.959997711181639</v>
      </c>
      <c r="J174" s="990">
        <v>20.199997711181638</v>
      </c>
      <c r="K174" s="990">
        <v>21.439997711181636</v>
      </c>
      <c r="L174" s="12"/>
      <c r="M174" s="1004">
        <v>41548</v>
      </c>
      <c r="N174" s="991">
        <v>23.688000106811515</v>
      </c>
      <c r="O174" s="991">
        <v>25.000500106811515</v>
      </c>
      <c r="P174" s="991">
        <v>26.313000106811515</v>
      </c>
      <c r="Q174" s="21"/>
      <c r="R174" s="991">
        <v>18.700999832153311</v>
      </c>
      <c r="S174" s="991">
        <v>23.000999832153312</v>
      </c>
      <c r="T174" s="991">
        <v>27.300999832153312</v>
      </c>
      <c r="U174" s="21"/>
      <c r="V174" s="991">
        <v>0.8</v>
      </c>
      <c r="W174" s="991">
        <v>0.8</v>
      </c>
      <c r="X174" s="991">
        <v>0.8</v>
      </c>
      <c r="Y174" s="21"/>
      <c r="Z174" s="991">
        <v>6.4924264532665796E-2</v>
      </c>
      <c r="AA174" s="991">
        <v>0.12984852906533159</v>
      </c>
      <c r="AB174" s="991">
        <v>0.19477279359799737</v>
      </c>
      <c r="AC174" s="21"/>
      <c r="AD174" s="991">
        <v>2.3070671677803113E-2</v>
      </c>
      <c r="AE174" s="991">
        <v>4.6141343355606226E-2</v>
      </c>
      <c r="AF174" s="991">
        <v>6.9212015033409346E-2</v>
      </c>
      <c r="AG174" s="21"/>
      <c r="AH174" s="991">
        <v>-0.25</v>
      </c>
      <c r="AI174" s="991">
        <v>1.1000000000000001</v>
      </c>
      <c r="AJ174" s="991">
        <v>0.3</v>
      </c>
      <c r="AK174" s="21"/>
      <c r="AL174" s="991">
        <v>-0.15</v>
      </c>
      <c r="AM174" s="991">
        <v>0.35</v>
      </c>
      <c r="AN174" s="991">
        <v>0.2</v>
      </c>
      <c r="AO174" s="21"/>
      <c r="AP174" s="12">
        <v>56</v>
      </c>
      <c r="AQ174" s="992">
        <v>0.4</v>
      </c>
      <c r="AR174" s="21"/>
      <c r="AS174" s="21"/>
      <c r="AT174" s="21"/>
      <c r="AU174" s="21"/>
      <c r="AV174" s="21"/>
      <c r="AW174" s="21"/>
      <c r="AX174" s="21"/>
      <c r="AY174" s="21"/>
      <c r="AZ174" s="21"/>
      <c r="BA174" s="21"/>
      <c r="BB174" s="21"/>
      <c r="BC174" s="21"/>
      <c r="BD174" s="21"/>
      <c r="BE174" s="21"/>
      <c r="BF174" s="21"/>
      <c r="BH174" s="20"/>
      <c r="BI174" s="20"/>
      <c r="BJ174" s="395"/>
      <c r="BK174"/>
      <c r="BL174"/>
      <c r="BM174"/>
      <c r="BN174"/>
      <c r="BO174"/>
      <c r="BP174"/>
      <c r="BQ174" s="553">
        <f t="shared" si="47"/>
        <v>41730</v>
      </c>
      <c r="BR174" s="716">
        <v>3.4474999999999998</v>
      </c>
      <c r="BS174" s="716">
        <v>3.4525000000000001</v>
      </c>
      <c r="BT174" s="716">
        <v>3.4575</v>
      </c>
      <c r="BU174" s="717">
        <v>0.14550000000000002</v>
      </c>
      <c r="BV174" s="717">
        <v>0.15</v>
      </c>
      <c r="BW174" s="717">
        <v>0.1605</v>
      </c>
      <c r="BX174" s="717">
        <f t="shared" si="58"/>
        <v>-7.0000000000000007E-2</v>
      </c>
      <c r="BY174" s="717"/>
      <c r="BZ174" s="717">
        <f t="shared" si="59"/>
        <v>7.0000000000000007E-2</v>
      </c>
      <c r="CA174" s="756">
        <f t="shared" si="63"/>
        <v>0</v>
      </c>
      <c r="CB174" s="716">
        <f t="shared" si="60"/>
        <v>0</v>
      </c>
      <c r="CC174" s="789">
        <f t="shared" si="61"/>
        <v>3.4474999999999998</v>
      </c>
      <c r="CD174" s="793">
        <f t="shared" si="62"/>
        <v>0.1605</v>
      </c>
    </row>
    <row r="175" spans="1:82" ht="13.8" x14ac:dyDescent="0.3">
      <c r="A175" s="553">
        <f t="shared" si="46"/>
        <v>41852</v>
      </c>
      <c r="B175" s="717">
        <v>7.4189339085572001E-2</v>
      </c>
      <c r="C175" s="8"/>
      <c r="D175" s="989">
        <v>40695</v>
      </c>
      <c r="E175" s="990">
        <v>46.14</v>
      </c>
      <c r="F175" s="990">
        <v>53.25</v>
      </c>
      <c r="G175" s="990">
        <v>60.36</v>
      </c>
      <c r="H175" s="977"/>
      <c r="I175" s="990">
        <v>16.599998779296872</v>
      </c>
      <c r="J175" s="990">
        <v>20.154998779296871</v>
      </c>
      <c r="K175" s="990">
        <v>23.709998779296871</v>
      </c>
      <c r="L175" s="12"/>
      <c r="M175" s="1004">
        <v>41579</v>
      </c>
      <c r="N175" s="991">
        <v>24.692251586914054</v>
      </c>
      <c r="O175" s="991">
        <v>26.004751586914054</v>
      </c>
      <c r="P175" s="991">
        <v>27.317251586914054</v>
      </c>
      <c r="Q175" s="21"/>
      <c r="R175" s="991">
        <v>19.704499816894522</v>
      </c>
      <c r="S175" s="991">
        <v>24.004499816894523</v>
      </c>
      <c r="T175" s="991">
        <v>28.304499816894523</v>
      </c>
      <c r="U175" s="21"/>
      <c r="V175" s="991">
        <v>0.8</v>
      </c>
      <c r="W175" s="991">
        <v>0.8</v>
      </c>
      <c r="X175" s="991">
        <v>0.8</v>
      </c>
      <c r="Y175" s="21"/>
      <c r="Z175" s="991">
        <v>6.4924264532665796E-2</v>
      </c>
      <c r="AA175" s="991">
        <v>0.12984852906533159</v>
      </c>
      <c r="AB175" s="991">
        <v>0.19477279359799737</v>
      </c>
      <c r="AC175" s="21"/>
      <c r="AD175" s="991">
        <v>2.3070671677803113E-2</v>
      </c>
      <c r="AE175" s="991">
        <v>4.6141343355606226E-2</v>
      </c>
      <c r="AF175" s="991">
        <v>6.9212015033409346E-2</v>
      </c>
      <c r="AG175" s="21"/>
      <c r="AH175" s="991">
        <v>-0.25</v>
      </c>
      <c r="AI175" s="991">
        <v>1.25</v>
      </c>
      <c r="AJ175" s="991">
        <v>0.3</v>
      </c>
      <c r="AK175" s="21"/>
      <c r="AL175" s="991">
        <v>-0.15</v>
      </c>
      <c r="AM175" s="991">
        <v>0.3</v>
      </c>
      <c r="AN175" s="991">
        <v>0.2</v>
      </c>
      <c r="AO175" s="21"/>
      <c r="AP175" s="12">
        <v>56</v>
      </c>
      <c r="AQ175" s="992">
        <v>0.4</v>
      </c>
      <c r="AR175" s="21"/>
      <c r="AS175" s="21"/>
      <c r="AT175" s="21"/>
      <c r="AU175" s="21"/>
      <c r="AV175" s="21"/>
      <c r="AW175" s="21"/>
      <c r="AX175" s="21"/>
      <c r="AY175" s="21"/>
      <c r="AZ175" s="21"/>
      <c r="BA175" s="21"/>
      <c r="BB175" s="21"/>
      <c r="BC175" s="21"/>
      <c r="BD175" s="21"/>
      <c r="BE175" s="21"/>
      <c r="BF175" s="21"/>
      <c r="BH175" s="20"/>
      <c r="BI175" s="20"/>
      <c r="BJ175" s="395"/>
      <c r="BK175"/>
      <c r="BL175"/>
      <c r="BM175"/>
      <c r="BN175"/>
      <c r="BO175"/>
      <c r="BP175"/>
      <c r="BQ175" s="553">
        <f t="shared" si="47"/>
        <v>41760</v>
      </c>
      <c r="BR175" s="716">
        <v>3.4215</v>
      </c>
      <c r="BS175" s="716">
        <v>3.4265000000000003</v>
      </c>
      <c r="BT175" s="716">
        <v>3.4315000000000002</v>
      </c>
      <c r="BU175" s="717">
        <v>0.14550000000000002</v>
      </c>
      <c r="BV175" s="717">
        <v>0.15</v>
      </c>
      <c r="BW175" s="717">
        <v>0.1605</v>
      </c>
      <c r="BX175" s="717">
        <f t="shared" si="58"/>
        <v>-7.0000000000000007E-2</v>
      </c>
      <c r="BY175" s="717"/>
      <c r="BZ175" s="717">
        <f t="shared" si="59"/>
        <v>7.0000000000000007E-2</v>
      </c>
      <c r="CA175" s="756">
        <f t="shared" si="63"/>
        <v>0</v>
      </c>
      <c r="CB175" s="716">
        <f t="shared" si="60"/>
        <v>0</v>
      </c>
      <c r="CC175" s="789">
        <f t="shared" si="61"/>
        <v>3.4215</v>
      </c>
      <c r="CD175" s="793">
        <f t="shared" si="62"/>
        <v>0.1605</v>
      </c>
    </row>
    <row r="176" spans="1:82" ht="13.8" x14ac:dyDescent="0.3">
      <c r="A176" s="553">
        <f t="shared" si="46"/>
        <v>41883</v>
      </c>
      <c r="B176" s="717">
        <v>7.4189044367690998E-2</v>
      </c>
      <c r="C176" s="8"/>
      <c r="D176" s="989">
        <v>40725</v>
      </c>
      <c r="E176" s="990">
        <v>73.5</v>
      </c>
      <c r="F176" s="990">
        <v>78.5</v>
      </c>
      <c r="G176" s="990">
        <v>83.5</v>
      </c>
      <c r="H176" s="977"/>
      <c r="I176" s="990">
        <v>22.149997711181637</v>
      </c>
      <c r="J176" s="990">
        <v>24.649997711181637</v>
      </c>
      <c r="K176" s="990">
        <v>27.149997711181637</v>
      </c>
      <c r="L176" s="12"/>
      <c r="M176" s="1004">
        <v>41609</v>
      </c>
      <c r="N176" s="991">
        <v>26.14249839782714</v>
      </c>
      <c r="O176" s="991">
        <v>27.45499839782714</v>
      </c>
      <c r="P176" s="991">
        <v>28.76749839782714</v>
      </c>
      <c r="Q176" s="21"/>
      <c r="R176" s="991">
        <v>19.649999237060538</v>
      </c>
      <c r="S176" s="991">
        <v>23.949999237060538</v>
      </c>
      <c r="T176" s="991">
        <v>28.249999237060539</v>
      </c>
      <c r="U176" s="21"/>
      <c r="V176" s="991">
        <v>0.8</v>
      </c>
      <c r="W176" s="991">
        <v>0.8</v>
      </c>
      <c r="X176" s="991">
        <v>0.8</v>
      </c>
      <c r="Y176" s="21"/>
      <c r="Z176" s="991">
        <v>6.7258620111368392E-2</v>
      </c>
      <c r="AA176" s="991">
        <v>0.13451724022273678</v>
      </c>
      <c r="AB176" s="991">
        <v>0.20177586033410516</v>
      </c>
      <c r="AC176" s="21"/>
      <c r="AD176" s="991">
        <v>2.3070671677803113E-2</v>
      </c>
      <c r="AE176" s="991">
        <v>4.6141343355606226E-2</v>
      </c>
      <c r="AF176" s="991">
        <v>6.9212015033409346E-2</v>
      </c>
      <c r="AG176" s="21"/>
      <c r="AH176" s="991">
        <v>-0.25</v>
      </c>
      <c r="AI176" s="991">
        <v>1.25</v>
      </c>
      <c r="AJ176" s="991">
        <v>0.35</v>
      </c>
      <c r="AK176" s="21"/>
      <c r="AL176" s="991">
        <v>-0.15</v>
      </c>
      <c r="AM176" s="991">
        <v>0.3</v>
      </c>
      <c r="AN176" s="991">
        <v>0.2</v>
      </c>
      <c r="AO176" s="21"/>
      <c r="AP176" s="12">
        <v>56</v>
      </c>
      <c r="AQ176" s="992">
        <v>0.4</v>
      </c>
      <c r="AR176" s="21"/>
      <c r="AS176" s="21"/>
      <c r="AT176" s="21"/>
      <c r="AU176" s="21"/>
      <c r="AV176" s="21"/>
      <c r="AW176" s="21"/>
      <c r="AX176" s="21"/>
      <c r="AY176" s="21"/>
      <c r="AZ176" s="21"/>
      <c r="BA176" s="21"/>
      <c r="BB176" s="21"/>
      <c r="BC176" s="21"/>
      <c r="BD176" s="21"/>
      <c r="BE176" s="21"/>
      <c r="BF176" s="21"/>
      <c r="BH176" s="20"/>
      <c r="BI176" s="20"/>
      <c r="BJ176" s="395"/>
      <c r="BK176"/>
      <c r="BL176"/>
      <c r="BM176"/>
      <c r="BN176"/>
      <c r="BO176"/>
      <c r="BP176"/>
      <c r="BQ176" s="553">
        <f t="shared" si="47"/>
        <v>41791</v>
      </c>
      <c r="BR176" s="716">
        <v>3.4275000000000002</v>
      </c>
      <c r="BS176" s="716">
        <v>3.4325000000000001</v>
      </c>
      <c r="BT176" s="716">
        <v>3.4375</v>
      </c>
      <c r="BU176" s="717">
        <v>0.14550000000000002</v>
      </c>
      <c r="BV176" s="717">
        <v>0.15</v>
      </c>
      <c r="BW176" s="717">
        <v>0.1605</v>
      </c>
      <c r="BX176" s="717">
        <f t="shared" si="58"/>
        <v>-7.0000000000000007E-2</v>
      </c>
      <c r="BY176" s="717"/>
      <c r="BZ176" s="717">
        <f t="shared" si="59"/>
        <v>7.0000000000000007E-2</v>
      </c>
      <c r="CA176" s="756">
        <f t="shared" si="63"/>
        <v>0</v>
      </c>
      <c r="CB176" s="716">
        <f t="shared" si="60"/>
        <v>0</v>
      </c>
      <c r="CC176" s="789">
        <f t="shared" si="61"/>
        <v>3.4275000000000002</v>
      </c>
      <c r="CD176" s="793">
        <f t="shared" si="62"/>
        <v>0.1605</v>
      </c>
    </row>
    <row r="177" spans="1:82" ht="13.8" x14ac:dyDescent="0.3">
      <c r="A177" s="553">
        <f t="shared" si="46"/>
        <v>41913</v>
      </c>
      <c r="B177" s="717">
        <v>7.4188759156838993E-2</v>
      </c>
      <c r="C177" s="8"/>
      <c r="D177" s="989">
        <v>40756</v>
      </c>
      <c r="E177" s="990">
        <v>69</v>
      </c>
      <c r="F177" s="990">
        <v>74</v>
      </c>
      <c r="G177" s="990">
        <v>79</v>
      </c>
      <c r="H177" s="977"/>
      <c r="I177" s="990">
        <v>22.499998092651364</v>
      </c>
      <c r="J177" s="990">
        <v>24.999998092651364</v>
      </c>
      <c r="K177" s="990">
        <v>27.499998092651364</v>
      </c>
      <c r="L177" s="12"/>
      <c r="M177" s="1004">
        <v>41640</v>
      </c>
      <c r="N177" s="991">
        <v>29.423748779296865</v>
      </c>
      <c r="O177" s="991">
        <v>30.848748779296866</v>
      </c>
      <c r="P177" s="991">
        <v>32.273748779296866</v>
      </c>
      <c r="Q177" s="21"/>
      <c r="R177" s="991">
        <v>25.052500534057607</v>
      </c>
      <c r="S177" s="991">
        <v>29.352500534057608</v>
      </c>
      <c r="T177" s="991">
        <v>33.652500534057609</v>
      </c>
      <c r="U177" s="21"/>
      <c r="V177" s="991">
        <v>0.8</v>
      </c>
      <c r="W177" s="991">
        <v>0.8</v>
      </c>
      <c r="X177" s="991">
        <v>0.8</v>
      </c>
      <c r="Y177" s="21"/>
      <c r="Z177" s="991">
        <v>7.2637904784049939E-2</v>
      </c>
      <c r="AA177" s="991">
        <v>0.14527580956809988</v>
      </c>
      <c r="AB177" s="991">
        <v>0.21791371435214982</v>
      </c>
      <c r="AC177" s="21"/>
      <c r="AD177" s="991">
        <v>2.6377467951621568E-2</v>
      </c>
      <c r="AE177" s="991">
        <v>5.2754935903243136E-2</v>
      </c>
      <c r="AF177" s="991">
        <v>7.9132403854864697E-2</v>
      </c>
      <c r="AG177" s="21"/>
      <c r="AH177" s="991">
        <v>-0.75</v>
      </c>
      <c r="AI177" s="991">
        <v>2</v>
      </c>
      <c r="AJ177" s="991">
        <v>0.75</v>
      </c>
      <c r="AK177" s="21"/>
      <c r="AL177" s="991">
        <v>-0.15</v>
      </c>
      <c r="AM177" s="991">
        <v>0.5</v>
      </c>
      <c r="AN177" s="991">
        <v>0.2</v>
      </c>
      <c r="AO177" s="21"/>
      <c r="AP177" s="12">
        <v>57</v>
      </c>
      <c r="AQ177" s="992">
        <v>0.4</v>
      </c>
      <c r="AR177" s="21"/>
      <c r="AS177" s="21"/>
      <c r="AT177" s="21"/>
      <c r="AU177" s="21"/>
      <c r="AV177" s="21"/>
      <c r="AW177" s="21"/>
      <c r="AX177" s="21"/>
      <c r="AY177" s="21"/>
      <c r="AZ177" s="21"/>
      <c r="BA177" s="21"/>
      <c r="BB177" s="21"/>
      <c r="BC177" s="21"/>
      <c r="BD177" s="21"/>
      <c r="BE177" s="21"/>
      <c r="BF177" s="21"/>
      <c r="BH177" s="20"/>
      <c r="BI177" s="20"/>
      <c r="BJ177" s="395"/>
      <c r="BK177"/>
      <c r="BL177"/>
      <c r="BM177"/>
      <c r="BN177"/>
      <c r="BO177"/>
      <c r="BP177"/>
      <c r="BQ177" s="553">
        <f t="shared" si="47"/>
        <v>41821</v>
      </c>
      <c r="BR177" s="716">
        <v>3.4375</v>
      </c>
      <c r="BS177" s="716">
        <v>3.4424999999999999</v>
      </c>
      <c r="BT177" s="716">
        <v>3.4474999999999998</v>
      </c>
      <c r="BU177" s="717">
        <v>0.14550000000000002</v>
      </c>
      <c r="BV177" s="717">
        <v>0.15</v>
      </c>
      <c r="BW177" s="717">
        <v>0.1605</v>
      </c>
      <c r="BX177" s="717">
        <f t="shared" si="58"/>
        <v>-7.0000000000000007E-2</v>
      </c>
      <c r="BY177" s="717"/>
      <c r="BZ177" s="717">
        <f t="shared" si="59"/>
        <v>7.0000000000000007E-2</v>
      </c>
      <c r="CA177" s="756">
        <f t="shared" si="63"/>
        <v>0</v>
      </c>
      <c r="CB177" s="716">
        <f t="shared" si="60"/>
        <v>0</v>
      </c>
      <c r="CC177" s="789">
        <f t="shared" si="61"/>
        <v>3.4375</v>
      </c>
      <c r="CD177" s="793">
        <f t="shared" si="62"/>
        <v>0.1605</v>
      </c>
    </row>
    <row r="178" spans="1:82" ht="13.8" x14ac:dyDescent="0.3">
      <c r="A178" s="553">
        <f t="shared" si="46"/>
        <v>41944</v>
      </c>
      <c r="B178" s="717">
        <v>7.4188464438958004E-2</v>
      </c>
      <c r="C178" s="8"/>
      <c r="D178" s="989">
        <v>40787</v>
      </c>
      <c r="E178" s="990">
        <v>32.049999999999997</v>
      </c>
      <c r="F178" s="990">
        <v>33.75</v>
      </c>
      <c r="G178" s="990">
        <v>35.450000000000003</v>
      </c>
      <c r="H178" s="977"/>
      <c r="I178" s="990">
        <v>19.699998092651363</v>
      </c>
      <c r="J178" s="990">
        <v>20.549998092651364</v>
      </c>
      <c r="K178" s="990">
        <v>21.399998092651366</v>
      </c>
      <c r="L178" s="12"/>
      <c r="M178" s="1004">
        <v>41671</v>
      </c>
      <c r="N178" s="991">
        <v>28.421250152587881</v>
      </c>
      <c r="O178" s="991">
        <v>29.846250152587881</v>
      </c>
      <c r="P178" s="991">
        <v>31.271250152587882</v>
      </c>
      <c r="Q178" s="21"/>
      <c r="R178" s="991">
        <v>23.047499465942373</v>
      </c>
      <c r="S178" s="991">
        <v>27.347499465942374</v>
      </c>
      <c r="T178" s="991">
        <v>31.647499465942374</v>
      </c>
      <c r="U178" s="21"/>
      <c r="V178" s="991">
        <v>0.3</v>
      </c>
      <c r="W178" s="991">
        <v>0.3</v>
      </c>
      <c r="X178" s="991">
        <v>0.3</v>
      </c>
      <c r="Y178" s="21"/>
      <c r="Z178" s="991">
        <v>7.0071194367652426E-2</v>
      </c>
      <c r="AA178" s="991">
        <v>0.14014238873530485</v>
      </c>
      <c r="AB178" s="991">
        <v>0.21021358310295729</v>
      </c>
      <c r="AC178" s="21"/>
      <c r="AD178" s="991">
        <v>2.6377467951621568E-2</v>
      </c>
      <c r="AE178" s="991">
        <v>5.2754935903243136E-2</v>
      </c>
      <c r="AF178" s="991">
        <v>7.9132403854864697E-2</v>
      </c>
      <c r="AG178" s="21"/>
      <c r="AH178" s="991">
        <v>-0.75</v>
      </c>
      <c r="AI178" s="991">
        <v>2</v>
      </c>
      <c r="AJ178" s="991">
        <v>0.75</v>
      </c>
      <c r="AK178" s="21"/>
      <c r="AL178" s="991">
        <v>-0.15</v>
      </c>
      <c r="AM178" s="991">
        <v>0.5</v>
      </c>
      <c r="AN178" s="991">
        <v>0.2</v>
      </c>
      <c r="AO178" s="21"/>
      <c r="AP178" s="12">
        <v>57</v>
      </c>
      <c r="AQ178" s="992">
        <v>0.4</v>
      </c>
      <c r="AR178" s="21"/>
      <c r="AS178" s="21"/>
      <c r="AT178" s="21"/>
      <c r="AU178" s="21"/>
      <c r="AV178" s="21"/>
      <c r="AW178" s="21"/>
      <c r="AX178" s="21"/>
      <c r="AY178" s="21"/>
      <c r="AZ178" s="21"/>
      <c r="BA178" s="21"/>
      <c r="BB178" s="21"/>
      <c r="BC178" s="21"/>
      <c r="BD178" s="21"/>
      <c r="BE178" s="21"/>
      <c r="BF178" s="21"/>
      <c r="BH178" s="20"/>
      <c r="BI178" s="20"/>
      <c r="BJ178" s="395"/>
      <c r="BK178"/>
      <c r="BL178"/>
      <c r="BM178"/>
      <c r="BN178"/>
      <c r="BO178"/>
      <c r="BP178"/>
      <c r="BQ178" s="553">
        <f t="shared" si="47"/>
        <v>41852</v>
      </c>
      <c r="BR178" s="716">
        <v>3.4445000000000001</v>
      </c>
      <c r="BS178" s="716">
        <v>3.4495</v>
      </c>
      <c r="BT178" s="716">
        <v>3.4545000000000003</v>
      </c>
      <c r="BU178" s="717">
        <v>0.14550000000000002</v>
      </c>
      <c r="BV178" s="717">
        <v>0.15</v>
      </c>
      <c r="BW178" s="717">
        <v>0.1605</v>
      </c>
      <c r="BX178" s="717">
        <f t="shared" si="58"/>
        <v>-7.0000000000000007E-2</v>
      </c>
      <c r="BY178" s="717"/>
      <c r="BZ178" s="717">
        <f t="shared" si="59"/>
        <v>7.0000000000000007E-2</v>
      </c>
      <c r="CA178" s="756">
        <f t="shared" si="63"/>
        <v>0</v>
      </c>
      <c r="CB178" s="716">
        <f t="shared" si="60"/>
        <v>0</v>
      </c>
      <c r="CC178" s="789">
        <f t="shared" si="61"/>
        <v>3.4445000000000001</v>
      </c>
      <c r="CD178" s="793">
        <f t="shared" si="62"/>
        <v>0.1605</v>
      </c>
    </row>
    <row r="179" spans="1:82" ht="13.8" x14ac:dyDescent="0.3">
      <c r="A179" s="553">
        <f t="shared" si="46"/>
        <v>41974</v>
      </c>
      <c r="B179" s="717">
        <v>7.4188179228105999E-2</v>
      </c>
      <c r="C179" s="8"/>
      <c r="D179" s="989">
        <v>40817</v>
      </c>
      <c r="E179" s="990">
        <v>29.95</v>
      </c>
      <c r="F179" s="990">
        <v>31.5</v>
      </c>
      <c r="G179" s="990">
        <v>33.049999999999997</v>
      </c>
      <c r="H179" s="977"/>
      <c r="I179" s="990">
        <v>19.474998855590819</v>
      </c>
      <c r="J179" s="990">
        <v>20.249998855590817</v>
      </c>
      <c r="K179" s="990">
        <v>21.024998855590816</v>
      </c>
      <c r="L179" s="12"/>
      <c r="M179" s="1004">
        <v>41699</v>
      </c>
      <c r="N179" s="991">
        <v>22.247249603271474</v>
      </c>
      <c r="O179" s="991">
        <v>23.034749603271475</v>
      </c>
      <c r="P179" s="991">
        <v>23.822249603271477</v>
      </c>
      <c r="Q179" s="21"/>
      <c r="R179" s="991">
        <v>18.364498901367178</v>
      </c>
      <c r="S179" s="991">
        <v>22.664498901367178</v>
      </c>
      <c r="T179" s="991">
        <v>26.964498901367179</v>
      </c>
      <c r="U179" s="21"/>
      <c r="V179" s="991">
        <v>0.3</v>
      </c>
      <c r="W179" s="991">
        <v>0.3</v>
      </c>
      <c r="X179" s="991">
        <v>0.3</v>
      </c>
      <c r="Y179" s="21"/>
      <c r="Z179" s="991">
        <v>6.8203912539723216E-2</v>
      </c>
      <c r="AA179" s="991">
        <v>0.13640782507944643</v>
      </c>
      <c r="AB179" s="991">
        <v>0.20461173761916965</v>
      </c>
      <c r="AC179" s="21"/>
      <c r="AD179" s="991">
        <v>2.260925824424705E-2</v>
      </c>
      <c r="AE179" s="991">
        <v>4.52185164884941E-2</v>
      </c>
      <c r="AF179" s="991">
        <v>6.7827774732741153E-2</v>
      </c>
      <c r="AG179" s="21"/>
      <c r="AH179" s="991">
        <v>-0.25</v>
      </c>
      <c r="AI179" s="991">
        <v>1.3</v>
      </c>
      <c r="AJ179" s="991">
        <v>0.3</v>
      </c>
      <c r="AK179" s="21"/>
      <c r="AL179" s="991">
        <v>-0.15</v>
      </c>
      <c r="AM179" s="991">
        <v>0.35</v>
      </c>
      <c r="AN179" s="991">
        <v>0.2</v>
      </c>
      <c r="AO179" s="21"/>
      <c r="AP179" s="12">
        <v>57</v>
      </c>
      <c r="AQ179" s="992">
        <v>0.4</v>
      </c>
      <c r="AR179" s="21"/>
      <c r="AS179" s="21"/>
      <c r="AT179" s="21"/>
      <c r="AU179" s="21"/>
      <c r="AV179" s="21"/>
      <c r="AW179" s="21"/>
      <c r="AX179" s="21"/>
      <c r="AY179" s="21"/>
      <c r="AZ179" s="21"/>
      <c r="BA179" s="21"/>
      <c r="BB179" s="21"/>
      <c r="BC179" s="21"/>
      <c r="BD179" s="21"/>
      <c r="BE179" s="21"/>
      <c r="BF179" s="21"/>
      <c r="BH179" s="20"/>
      <c r="BI179" s="20"/>
      <c r="BJ179" s="395"/>
      <c r="BK179"/>
      <c r="BL179"/>
      <c r="BM179"/>
      <c r="BN179"/>
      <c r="BO179"/>
      <c r="BP179"/>
      <c r="BQ179" s="553">
        <f t="shared" si="47"/>
        <v>41883</v>
      </c>
      <c r="BR179" s="716">
        <v>3.4515000000000002</v>
      </c>
      <c r="BS179" s="716">
        <v>3.4565000000000001</v>
      </c>
      <c r="BT179" s="716">
        <v>3.4615</v>
      </c>
      <c r="BU179" s="717">
        <v>0.14550000000000002</v>
      </c>
      <c r="BV179" s="717">
        <v>0.15</v>
      </c>
      <c r="BW179" s="717">
        <v>0.1605</v>
      </c>
      <c r="BX179" s="717">
        <f t="shared" si="58"/>
        <v>-7.0000000000000007E-2</v>
      </c>
      <c r="BY179" s="717"/>
      <c r="BZ179" s="717">
        <f t="shared" si="59"/>
        <v>7.0000000000000007E-2</v>
      </c>
      <c r="CA179" s="756">
        <f t="shared" si="63"/>
        <v>0</v>
      </c>
      <c r="CB179" s="716">
        <f t="shared" si="60"/>
        <v>0</v>
      </c>
      <c r="CC179" s="789">
        <f t="shared" si="61"/>
        <v>3.4515000000000002</v>
      </c>
      <c r="CD179" s="793">
        <f t="shared" si="62"/>
        <v>0.1605</v>
      </c>
    </row>
    <row r="180" spans="1:82" ht="13.8" x14ac:dyDescent="0.3">
      <c r="A180" s="553">
        <f t="shared" si="46"/>
        <v>42005</v>
      </c>
      <c r="B180" s="717">
        <v>7.4187884510224997E-2</v>
      </c>
      <c r="C180" s="8"/>
      <c r="D180" s="989">
        <v>40848</v>
      </c>
      <c r="E180" s="990">
        <v>30.324999999999999</v>
      </c>
      <c r="F180" s="990">
        <v>31.875</v>
      </c>
      <c r="G180" s="990">
        <v>33.424999999999997</v>
      </c>
      <c r="H180" s="977"/>
      <c r="I180" s="990">
        <v>19.399998092651366</v>
      </c>
      <c r="J180" s="990">
        <v>20.174998092651364</v>
      </c>
      <c r="K180" s="990">
        <v>20.949998092651363</v>
      </c>
      <c r="L180" s="12"/>
      <c r="M180" s="1004">
        <v>41730</v>
      </c>
      <c r="N180" s="991">
        <v>23.042500305175771</v>
      </c>
      <c r="O180" s="991">
        <v>23.717500305175772</v>
      </c>
      <c r="P180" s="991">
        <v>24.392500305175773</v>
      </c>
      <c r="Q180" s="21"/>
      <c r="R180" s="991">
        <v>18.134999084472646</v>
      </c>
      <c r="S180" s="991">
        <v>22.434999084472647</v>
      </c>
      <c r="T180" s="991">
        <v>26.734999084472648</v>
      </c>
      <c r="U180" s="21"/>
      <c r="V180" s="991">
        <v>0.3</v>
      </c>
      <c r="W180" s="991">
        <v>0.3</v>
      </c>
      <c r="X180" s="991">
        <v>0.3</v>
      </c>
      <c r="Y180" s="21"/>
      <c r="Z180" s="991">
        <v>6.0869537524867283E-2</v>
      </c>
      <c r="AA180" s="991">
        <v>0.12173907504973457</v>
      </c>
      <c r="AB180" s="991">
        <v>0.18260861257460184</v>
      </c>
      <c r="AC180" s="21"/>
      <c r="AD180" s="991">
        <v>2.260925824424705E-2</v>
      </c>
      <c r="AE180" s="991">
        <v>4.52185164884941E-2</v>
      </c>
      <c r="AF180" s="991">
        <v>6.7827774732741153E-2</v>
      </c>
      <c r="AG180" s="21"/>
      <c r="AH180" s="991">
        <v>-0.25</v>
      </c>
      <c r="AI180" s="991">
        <v>1.1000000000000001</v>
      </c>
      <c r="AJ180" s="991">
        <v>0.3</v>
      </c>
      <c r="AK180" s="21"/>
      <c r="AL180" s="991">
        <v>-0.15</v>
      </c>
      <c r="AM180" s="991">
        <v>0.35</v>
      </c>
      <c r="AN180" s="991">
        <v>0.2</v>
      </c>
      <c r="AO180" s="21"/>
      <c r="AP180" s="12">
        <v>58</v>
      </c>
      <c r="AQ180" s="992">
        <v>0.4</v>
      </c>
      <c r="AR180" s="21"/>
      <c r="AS180" s="21"/>
      <c r="AT180" s="21"/>
      <c r="AU180" s="21"/>
      <c r="AV180" s="21"/>
      <c r="AW180" s="21"/>
      <c r="AX180" s="21"/>
      <c r="AY180" s="21"/>
      <c r="AZ180" s="21"/>
      <c r="BA180" s="21"/>
      <c r="BB180" s="21"/>
      <c r="BC180" s="21"/>
      <c r="BD180" s="21"/>
      <c r="BE180" s="21"/>
      <c r="BF180" s="21"/>
      <c r="BH180" s="20"/>
      <c r="BI180" s="20"/>
      <c r="BJ180" s="395"/>
      <c r="BK180"/>
      <c r="BL180"/>
      <c r="BM180"/>
      <c r="BN180"/>
      <c r="BO180"/>
      <c r="BP180"/>
      <c r="BQ180" s="553">
        <f t="shared" si="47"/>
        <v>41913</v>
      </c>
      <c r="BR180" s="716">
        <v>3.4775</v>
      </c>
      <c r="BS180" s="716">
        <v>3.4824999999999999</v>
      </c>
      <c r="BT180" s="716">
        <v>3.4874999999999998</v>
      </c>
      <c r="BU180" s="717">
        <v>0.14550000000000002</v>
      </c>
      <c r="BV180" s="717">
        <v>0.15</v>
      </c>
      <c r="BW180" s="717">
        <v>0.1605</v>
      </c>
      <c r="BX180" s="717">
        <f t="shared" si="58"/>
        <v>-7.0000000000000007E-2</v>
      </c>
      <c r="BY180" s="717"/>
      <c r="BZ180" s="717">
        <f t="shared" si="59"/>
        <v>7.0000000000000007E-2</v>
      </c>
      <c r="CA180" s="756">
        <f t="shared" si="63"/>
        <v>0</v>
      </c>
      <c r="CB180" s="716">
        <f t="shared" si="60"/>
        <v>0</v>
      </c>
      <c r="CC180" s="789">
        <f t="shared" si="61"/>
        <v>3.4775</v>
      </c>
      <c r="CD180" s="793">
        <f t="shared" si="62"/>
        <v>0.1605</v>
      </c>
    </row>
    <row r="181" spans="1:82" ht="13.8" x14ac:dyDescent="0.3">
      <c r="A181" s="553">
        <f t="shared" si="46"/>
        <v>42036</v>
      </c>
      <c r="B181" s="717">
        <v>7.4187589792344008E-2</v>
      </c>
      <c r="C181" s="8"/>
      <c r="D181" s="989">
        <v>40878</v>
      </c>
      <c r="E181" s="990">
        <v>30.2</v>
      </c>
      <c r="F181" s="990">
        <v>31.75</v>
      </c>
      <c r="G181" s="990">
        <v>33.299999999999997</v>
      </c>
      <c r="H181" s="977"/>
      <c r="I181" s="990">
        <v>20.824999237060545</v>
      </c>
      <c r="J181" s="990">
        <v>21.599999237060544</v>
      </c>
      <c r="K181" s="990">
        <v>22.374999237060543</v>
      </c>
      <c r="L181" s="12"/>
      <c r="M181" s="1004">
        <v>41760</v>
      </c>
      <c r="N181" s="991">
        <v>21.972500076293937</v>
      </c>
      <c r="O181" s="991">
        <v>23.832500076293936</v>
      </c>
      <c r="P181" s="991">
        <v>25.692500076293936</v>
      </c>
      <c r="Q181" s="21"/>
      <c r="R181" s="991">
        <v>18.664999771118154</v>
      </c>
      <c r="S181" s="991">
        <v>22.964999771118155</v>
      </c>
      <c r="T181" s="991">
        <v>27.264999771118156</v>
      </c>
      <c r="U181" s="21"/>
      <c r="V181" s="991">
        <v>0.3</v>
      </c>
      <c r="W181" s="991">
        <v>0.3</v>
      </c>
      <c r="X181" s="991">
        <v>0.3</v>
      </c>
      <c r="Y181" s="21"/>
      <c r="Z181" s="991">
        <v>7.0109695023898383E-2</v>
      </c>
      <c r="AA181" s="991">
        <v>0.14021939004779677</v>
      </c>
      <c r="AB181" s="991">
        <v>0.21032908507169515</v>
      </c>
      <c r="AC181" s="21"/>
      <c r="AD181" s="991">
        <v>2.6377467951621568E-2</v>
      </c>
      <c r="AE181" s="991">
        <v>5.2754935903243136E-2</v>
      </c>
      <c r="AF181" s="991">
        <v>7.9132403854864697E-2</v>
      </c>
      <c r="AG181" s="21"/>
      <c r="AH181" s="991">
        <v>-0.25</v>
      </c>
      <c r="AI181" s="991">
        <v>1.1000000000000001</v>
      </c>
      <c r="AJ181" s="991">
        <v>0.3</v>
      </c>
      <c r="AK181" s="21"/>
      <c r="AL181" s="991">
        <v>-0.15</v>
      </c>
      <c r="AM181" s="991">
        <v>0.5</v>
      </c>
      <c r="AN181" s="991">
        <v>0.2</v>
      </c>
      <c r="AO181" s="21"/>
      <c r="AP181" s="12">
        <v>58</v>
      </c>
      <c r="AQ181" s="992">
        <v>0.4</v>
      </c>
      <c r="AR181" s="21"/>
      <c r="AS181" s="21"/>
      <c r="AT181" s="21"/>
      <c r="AU181" s="21"/>
      <c r="AV181" s="21"/>
      <c r="AW181" s="21"/>
      <c r="AX181" s="21"/>
      <c r="AY181" s="21"/>
      <c r="AZ181" s="21"/>
      <c r="BA181" s="21"/>
      <c r="BB181" s="21"/>
      <c r="BC181" s="21"/>
      <c r="BD181" s="21"/>
      <c r="BE181" s="21"/>
      <c r="BF181" s="21"/>
      <c r="BH181" s="20"/>
      <c r="BI181" s="20"/>
      <c r="BJ181" s="395"/>
      <c r="BK181"/>
      <c r="BL181"/>
      <c r="BM181"/>
      <c r="BN181"/>
      <c r="BO181"/>
      <c r="BP181"/>
      <c r="BQ181" s="553">
        <f t="shared" si="47"/>
        <v>41944</v>
      </c>
      <c r="BR181" s="716">
        <v>3.6124999999999998</v>
      </c>
      <c r="BS181" s="716">
        <v>3.6175000000000002</v>
      </c>
      <c r="BT181" s="716">
        <v>3.6225000000000001</v>
      </c>
      <c r="BU181" s="717">
        <v>0.14550000000000002</v>
      </c>
      <c r="BV181" s="717">
        <v>0.15</v>
      </c>
      <c r="BW181" s="717">
        <v>0.1605</v>
      </c>
      <c r="BX181" s="717">
        <f t="shared" si="58"/>
        <v>-7.0000000000000007E-2</v>
      </c>
      <c r="BY181" s="717"/>
      <c r="BZ181" s="717">
        <f t="shared" si="59"/>
        <v>7.0000000000000007E-2</v>
      </c>
      <c r="CA181" s="756">
        <f t="shared" si="63"/>
        <v>0</v>
      </c>
      <c r="CB181" s="716">
        <f t="shared" si="60"/>
        <v>0</v>
      </c>
      <c r="CC181" s="789">
        <f t="shared" si="61"/>
        <v>3.6124999999999998</v>
      </c>
      <c r="CD181" s="793">
        <f t="shared" si="62"/>
        <v>0.1605</v>
      </c>
    </row>
    <row r="182" spans="1:82" ht="13.8" x14ac:dyDescent="0.3">
      <c r="A182" s="553">
        <f t="shared" si="46"/>
        <v>42064</v>
      </c>
      <c r="B182" s="717">
        <v>7.4187323595548998E-2</v>
      </c>
      <c r="C182" s="8"/>
      <c r="D182" s="989">
        <v>40909</v>
      </c>
      <c r="E182" s="990">
        <v>36.35</v>
      </c>
      <c r="F182" s="990">
        <v>38.049999999999997</v>
      </c>
      <c r="G182" s="990">
        <v>39.75</v>
      </c>
      <c r="H182" s="977"/>
      <c r="I182" s="990">
        <v>20.740000152587886</v>
      </c>
      <c r="J182" s="990">
        <v>21.590000152587887</v>
      </c>
      <c r="K182" s="990">
        <v>22.440000152587888</v>
      </c>
      <c r="L182" s="12"/>
      <c r="M182" s="1004">
        <v>41791</v>
      </c>
      <c r="N182" s="991">
        <v>22.926250152587883</v>
      </c>
      <c r="O182" s="991">
        <v>28.258750152587883</v>
      </c>
      <c r="P182" s="991">
        <v>33.591250152587882</v>
      </c>
      <c r="Q182" s="21"/>
      <c r="R182" s="991">
        <v>17.44249954223632</v>
      </c>
      <c r="S182" s="991">
        <v>21.74249954223632</v>
      </c>
      <c r="T182" s="991">
        <v>26.042499542236321</v>
      </c>
      <c r="U182" s="21"/>
      <c r="V182" s="991">
        <v>0.3</v>
      </c>
      <c r="W182" s="991">
        <v>0.3</v>
      </c>
      <c r="X182" s="991">
        <v>0.3</v>
      </c>
      <c r="Y182" s="21"/>
      <c r="Z182" s="991">
        <v>8.7839247225164271E-2</v>
      </c>
      <c r="AA182" s="991">
        <v>0.17567849445032854</v>
      </c>
      <c r="AB182" s="991">
        <v>0.2635177416754928</v>
      </c>
      <c r="AC182" s="21"/>
      <c r="AD182" s="991">
        <v>3.3913887366370576E-2</v>
      </c>
      <c r="AE182" s="991">
        <v>6.7827774732741153E-2</v>
      </c>
      <c r="AF182" s="991">
        <v>0.10174166209911173</v>
      </c>
      <c r="AG182" s="21"/>
      <c r="AH182" s="991">
        <v>-0.35</v>
      </c>
      <c r="AI182" s="991">
        <v>2</v>
      </c>
      <c r="AJ182" s="991">
        <v>0.3</v>
      </c>
      <c r="AK182" s="21"/>
      <c r="AL182" s="991">
        <v>-0.15</v>
      </c>
      <c r="AM182" s="991">
        <v>0.65</v>
      </c>
      <c r="AN182" s="991">
        <v>0.2</v>
      </c>
      <c r="AO182" s="21"/>
      <c r="AP182" s="12">
        <v>58</v>
      </c>
      <c r="AQ182" s="992">
        <v>0.4</v>
      </c>
      <c r="AR182" s="21"/>
      <c r="AS182" s="21"/>
      <c r="AT182" s="21"/>
      <c r="AU182" s="21"/>
      <c r="AV182" s="21"/>
      <c r="AW182" s="21"/>
      <c r="AX182" s="21"/>
      <c r="AY182" s="21"/>
      <c r="AZ182" s="21"/>
      <c r="BA182" s="21"/>
      <c r="BB182" s="21"/>
      <c r="BC182" s="21"/>
      <c r="BD182" s="21"/>
      <c r="BE182" s="21"/>
      <c r="BF182" s="21"/>
      <c r="BH182" s="20"/>
      <c r="BI182" s="20"/>
      <c r="BJ182" s="395"/>
      <c r="BK182"/>
      <c r="BL182"/>
      <c r="BM182"/>
      <c r="BN182"/>
      <c r="BO182"/>
      <c r="BP182"/>
      <c r="BQ182" s="553">
        <f t="shared" si="47"/>
        <v>41974</v>
      </c>
      <c r="BR182" s="716">
        <v>3.7365000000000004</v>
      </c>
      <c r="BS182" s="716">
        <v>3.7415000000000003</v>
      </c>
      <c r="BT182" s="716">
        <v>3.7465000000000002</v>
      </c>
      <c r="BU182" s="717">
        <v>0.14550000000000002</v>
      </c>
      <c r="BV182" s="717">
        <v>0.15</v>
      </c>
      <c r="BW182" s="717">
        <v>0.1605</v>
      </c>
      <c r="BX182" s="717">
        <f t="shared" si="58"/>
        <v>-7.0000000000000007E-2</v>
      </c>
      <c r="BY182" s="717"/>
      <c r="BZ182" s="717">
        <f t="shared" si="59"/>
        <v>7.0000000000000007E-2</v>
      </c>
      <c r="CA182" s="756">
        <f t="shared" si="63"/>
        <v>0</v>
      </c>
      <c r="CB182" s="716">
        <f t="shared" si="60"/>
        <v>0</v>
      </c>
      <c r="CC182" s="789">
        <f t="shared" si="61"/>
        <v>3.7365000000000004</v>
      </c>
      <c r="CD182" s="793">
        <f t="shared" si="62"/>
        <v>0.1605</v>
      </c>
    </row>
    <row r="183" spans="1:82" ht="13.8" x14ac:dyDescent="0.3">
      <c r="A183" s="553">
        <f t="shared" si="46"/>
        <v>42095</v>
      </c>
      <c r="B183" s="717">
        <v>7.4187028877669009E-2</v>
      </c>
      <c r="C183" s="8"/>
      <c r="D183" s="989">
        <v>40940</v>
      </c>
      <c r="E183" s="990">
        <v>36.35</v>
      </c>
      <c r="F183" s="990">
        <v>38.049999999999997</v>
      </c>
      <c r="G183" s="990">
        <v>39.75</v>
      </c>
      <c r="H183" s="977"/>
      <c r="I183" s="990">
        <v>20.549997711181636</v>
      </c>
      <c r="J183" s="990">
        <v>21.399997711181637</v>
      </c>
      <c r="K183" s="990">
        <v>22.249997711181638</v>
      </c>
      <c r="L183" s="12"/>
      <c r="M183" s="1004">
        <v>41821</v>
      </c>
      <c r="N183" s="991">
        <v>37.711249542236359</v>
      </c>
      <c r="O183" s="991">
        <v>41.461249542236359</v>
      </c>
      <c r="P183" s="991">
        <v>45.211249542236359</v>
      </c>
      <c r="Q183" s="21"/>
      <c r="R183" s="991">
        <v>26.647499465942374</v>
      </c>
      <c r="S183" s="991">
        <v>30.947499465942375</v>
      </c>
      <c r="T183" s="991">
        <v>35.247499465942376</v>
      </c>
      <c r="U183" s="21"/>
      <c r="V183" s="991">
        <v>0.3</v>
      </c>
      <c r="W183" s="991">
        <v>0.3</v>
      </c>
      <c r="X183" s="991">
        <v>0.3</v>
      </c>
      <c r="Y183" s="21"/>
      <c r="Z183" s="991">
        <v>0.10400952284846866</v>
      </c>
      <c r="AA183" s="991">
        <v>0.20801904569693733</v>
      </c>
      <c r="AB183" s="991">
        <v>0.312028568545406</v>
      </c>
      <c r="AC183" s="21"/>
      <c r="AD183" s="991">
        <v>4.52185164884941E-2</v>
      </c>
      <c r="AE183" s="991">
        <v>9.0437032976988199E-2</v>
      </c>
      <c r="AF183" s="991">
        <v>0.13565554946548231</v>
      </c>
      <c r="AG183" s="21"/>
      <c r="AH183" s="991">
        <v>-0.35</v>
      </c>
      <c r="AI183" s="991">
        <v>3</v>
      </c>
      <c r="AJ183" s="991">
        <v>0.5</v>
      </c>
      <c r="AK183" s="21"/>
      <c r="AL183" s="991">
        <v>-0.15</v>
      </c>
      <c r="AM183" s="991">
        <v>0.75</v>
      </c>
      <c r="AN183" s="991">
        <v>0.2</v>
      </c>
      <c r="AO183" s="21"/>
      <c r="AP183" s="12">
        <v>59</v>
      </c>
      <c r="AQ183" s="992">
        <v>0.4</v>
      </c>
      <c r="AR183" s="21"/>
      <c r="AS183" s="21"/>
      <c r="AT183" s="21"/>
      <c r="AU183" s="21"/>
      <c r="AV183" s="21"/>
      <c r="AW183" s="21"/>
      <c r="AX183" s="21"/>
      <c r="AY183" s="21"/>
      <c r="AZ183" s="21"/>
      <c r="BA183" s="21"/>
      <c r="BB183" s="21"/>
      <c r="BC183" s="21"/>
      <c r="BD183" s="21"/>
      <c r="BE183" s="21"/>
      <c r="BF183" s="21"/>
      <c r="BH183" s="20"/>
      <c r="BI183" s="20"/>
      <c r="BJ183" s="395"/>
      <c r="BK183"/>
      <c r="BL183"/>
      <c r="BM183"/>
      <c r="BN183"/>
      <c r="BO183"/>
      <c r="BP183"/>
      <c r="BQ183" s="553">
        <f t="shared" si="47"/>
        <v>42005</v>
      </c>
      <c r="BR183" s="716">
        <v>3.835</v>
      </c>
      <c r="BS183" s="716">
        <v>3.84</v>
      </c>
      <c r="BT183" s="716">
        <v>3.8450000000000002</v>
      </c>
      <c r="BU183" s="717">
        <v>0.14450000000000002</v>
      </c>
      <c r="BV183" s="717">
        <v>0.15</v>
      </c>
      <c r="BW183" s="717">
        <v>0.1595</v>
      </c>
      <c r="BX183" s="717">
        <f t="shared" ref="BX183:BX198" si="64">BY183-$BX$4</f>
        <v>-7.0000000000000007E-2</v>
      </c>
      <c r="BY183" s="717"/>
      <c r="BZ183" s="717">
        <f t="shared" ref="BZ183:BZ198" si="65">BY183+$BZ$4</f>
        <v>7.0000000000000007E-2</v>
      </c>
      <c r="CA183" s="756">
        <f t="shared" si="63"/>
        <v>0</v>
      </c>
      <c r="CB183" s="716">
        <f t="shared" ref="CB183:CB198" si="66">GasBasis</f>
        <v>0</v>
      </c>
      <c r="CC183" s="789">
        <f t="shared" ref="CC183:CC198" si="67">(IF(GasPriceCurve,IF(OBuySell=OCallPut,BT183,BR183),BS183)+CA183/1000+CB183)/(1-GasTransportPercent)</f>
        <v>3.835</v>
      </c>
      <c r="CD183" s="793">
        <f t="shared" ref="CD183:CD198" si="68">IF(GasVolOver,GasVolOver,IF(OVolType=2,IF(OR(BU183="",BV183="",BW183=""),CD182,IF(GasVolCurve,IF(OBuySell,BU183,BW183),BV183)*GasVolAsPercentOfNYMEX),IF(OR(BU183="",BV183="",BW183="",BY183=""),CD182,SQRT(((IF(GasVolCurve,IF(OBuySell,BU183,BW183),BV183)*GasVolAsPercentOfNYMEX)^2*(BQ183-DateToday-1)+IF(GasVolCurve,IF(OBuySell,BX183,BZ183),BY183)^2*15)/(BQ183-DateToday+14))))+GasVolSpread)</f>
        <v>0.1595</v>
      </c>
    </row>
    <row r="184" spans="1:82" ht="13.8" x14ac:dyDescent="0.3">
      <c r="A184" s="553">
        <f t="shared" si="46"/>
        <v>42125</v>
      </c>
      <c r="B184" s="717">
        <v>7.4186743666816005E-2</v>
      </c>
      <c r="C184" s="8"/>
      <c r="D184" s="989">
        <v>40969</v>
      </c>
      <c r="E184" s="990">
        <v>33.35</v>
      </c>
      <c r="F184" s="990">
        <v>34.299999999999997</v>
      </c>
      <c r="G184" s="990">
        <v>35.25</v>
      </c>
      <c r="H184" s="977"/>
      <c r="I184" s="990">
        <v>19.924999618530268</v>
      </c>
      <c r="J184" s="990">
        <v>20.39999961853027</v>
      </c>
      <c r="K184" s="990">
        <v>20.874999618530271</v>
      </c>
      <c r="L184" s="12"/>
      <c r="M184" s="1004">
        <v>41852</v>
      </c>
      <c r="N184" s="991">
        <v>39.972499084472688</v>
      </c>
      <c r="O184" s="991">
        <v>43.722499084472688</v>
      </c>
      <c r="P184" s="991">
        <v>47.472499084472688</v>
      </c>
      <c r="Q184" s="21"/>
      <c r="R184" s="991">
        <v>28.145000839233401</v>
      </c>
      <c r="S184" s="991">
        <v>32.445000839233401</v>
      </c>
      <c r="T184" s="991">
        <v>36.745000839233398</v>
      </c>
      <c r="U184" s="21"/>
      <c r="V184" s="991">
        <v>0.8</v>
      </c>
      <c r="W184" s="991">
        <v>0.8</v>
      </c>
      <c r="X184" s="991">
        <v>0.8</v>
      </c>
      <c r="Y184" s="21"/>
      <c r="Z184" s="991">
        <v>0.10245024627050715</v>
      </c>
      <c r="AA184" s="991">
        <v>0.20490049254101431</v>
      </c>
      <c r="AB184" s="991">
        <v>0.30735073881152147</v>
      </c>
      <c r="AC184" s="21"/>
      <c r="AD184" s="991">
        <v>4.52185164884941E-2</v>
      </c>
      <c r="AE184" s="991">
        <v>9.0437032976988199E-2</v>
      </c>
      <c r="AF184" s="991">
        <v>0.13565554946548231</v>
      </c>
      <c r="AG184" s="21"/>
      <c r="AH184" s="991">
        <v>-0.35</v>
      </c>
      <c r="AI184" s="991">
        <v>3</v>
      </c>
      <c r="AJ184" s="991">
        <v>0.5</v>
      </c>
      <c r="AK184" s="21"/>
      <c r="AL184" s="991">
        <v>-0.15</v>
      </c>
      <c r="AM184" s="991">
        <v>0.75</v>
      </c>
      <c r="AN184" s="991">
        <v>0.2</v>
      </c>
      <c r="AO184" s="21"/>
      <c r="AP184" s="12">
        <v>59</v>
      </c>
      <c r="AQ184" s="992">
        <v>0.4</v>
      </c>
      <c r="AR184" s="21"/>
      <c r="AS184" s="21"/>
      <c r="AT184" s="21"/>
      <c r="AU184" s="21"/>
      <c r="AV184" s="21"/>
      <c r="AW184" s="21"/>
      <c r="AX184" s="21"/>
      <c r="AY184" s="21"/>
      <c r="AZ184" s="21"/>
      <c r="BA184" s="21"/>
      <c r="BB184" s="21"/>
      <c r="BC184" s="21"/>
      <c r="BD184" s="21"/>
      <c r="BE184" s="21"/>
      <c r="BF184" s="21"/>
      <c r="BH184" s="20"/>
      <c r="BI184" s="20"/>
      <c r="BJ184" s="395"/>
      <c r="BK184"/>
      <c r="BL184"/>
      <c r="BM184"/>
      <c r="BN184"/>
      <c r="BO184"/>
      <c r="BP184"/>
      <c r="BQ184" s="553">
        <f t="shared" si="47"/>
        <v>42036</v>
      </c>
      <c r="BR184" s="716">
        <v>3.7170000000000001</v>
      </c>
      <c r="BS184" s="716">
        <v>3.722</v>
      </c>
      <c r="BT184" s="716">
        <v>3.7270000000000003</v>
      </c>
      <c r="BU184" s="717">
        <v>0.14450000000000002</v>
      </c>
      <c r="BV184" s="717">
        <v>0.15</v>
      </c>
      <c r="BW184" s="717">
        <v>0.1595</v>
      </c>
      <c r="BX184" s="717">
        <f t="shared" si="64"/>
        <v>-7.0000000000000007E-2</v>
      </c>
      <c r="BY184" s="717"/>
      <c r="BZ184" s="717">
        <f t="shared" si="65"/>
        <v>7.0000000000000007E-2</v>
      </c>
      <c r="CA184" s="756">
        <f t="shared" si="63"/>
        <v>0</v>
      </c>
      <c r="CB184" s="716">
        <f t="shared" si="66"/>
        <v>0</v>
      </c>
      <c r="CC184" s="789">
        <f t="shared" si="67"/>
        <v>3.7170000000000001</v>
      </c>
      <c r="CD184" s="793">
        <f t="shared" si="68"/>
        <v>0.1595</v>
      </c>
    </row>
    <row r="185" spans="1:82" ht="13.8" x14ac:dyDescent="0.3">
      <c r="A185" s="553">
        <f t="shared" si="46"/>
        <v>42156</v>
      </c>
      <c r="B185" s="717">
        <v>7.4186448948936001E-2</v>
      </c>
      <c r="C185" s="8"/>
      <c r="D185" s="989">
        <v>41000</v>
      </c>
      <c r="E185" s="990">
        <v>32.25</v>
      </c>
      <c r="F185" s="990">
        <v>33.049999999999997</v>
      </c>
      <c r="G185" s="990">
        <v>33.85</v>
      </c>
      <c r="H185" s="977"/>
      <c r="I185" s="990">
        <v>19.999997711181638</v>
      </c>
      <c r="J185" s="990">
        <v>20.399997711181637</v>
      </c>
      <c r="K185" s="990">
        <v>20.799997711181636</v>
      </c>
      <c r="L185" s="12"/>
      <c r="M185" s="1004">
        <v>41883</v>
      </c>
      <c r="N185" s="991">
        <v>23.604999160766592</v>
      </c>
      <c r="O185" s="991">
        <v>25.104999160766592</v>
      </c>
      <c r="P185" s="991">
        <v>26.604999160766592</v>
      </c>
      <c r="Q185" s="21"/>
      <c r="R185" s="991">
        <v>21.3</v>
      </c>
      <c r="S185" s="991">
        <v>25.6</v>
      </c>
      <c r="T185" s="991">
        <v>29.9</v>
      </c>
      <c r="U185" s="21"/>
      <c r="V185" s="991">
        <v>0.8</v>
      </c>
      <c r="W185" s="991">
        <v>0.8</v>
      </c>
      <c r="X185" s="991">
        <v>0.8</v>
      </c>
      <c r="Y185" s="21"/>
      <c r="Z185" s="991">
        <v>6.7799655649140589E-2</v>
      </c>
      <c r="AA185" s="991">
        <v>0.13559931129828118</v>
      </c>
      <c r="AB185" s="991">
        <v>0.20339896694742177</v>
      </c>
      <c r="AC185" s="21"/>
      <c r="AD185" s="991">
        <v>3.0145677658996069E-2</v>
      </c>
      <c r="AE185" s="991">
        <v>6.0291355317992137E-2</v>
      </c>
      <c r="AF185" s="991">
        <v>9.0437032976988213E-2</v>
      </c>
      <c r="AG185" s="21"/>
      <c r="AH185" s="991">
        <v>-0.35</v>
      </c>
      <c r="AI185" s="991">
        <v>1.5</v>
      </c>
      <c r="AJ185" s="991">
        <v>0.3</v>
      </c>
      <c r="AK185" s="21"/>
      <c r="AL185" s="991">
        <v>-0.15</v>
      </c>
      <c r="AM185" s="991">
        <v>0.4</v>
      </c>
      <c r="AN185" s="991">
        <v>0.2</v>
      </c>
      <c r="AO185" s="21"/>
      <c r="AP185" s="12">
        <v>59</v>
      </c>
      <c r="AQ185" s="992">
        <v>0.4</v>
      </c>
      <c r="AR185" s="21"/>
      <c r="AS185" s="21"/>
      <c r="AT185" s="21"/>
      <c r="AU185" s="21"/>
      <c r="AV185" s="21"/>
      <c r="AW185" s="21"/>
      <c r="AX185" s="21"/>
      <c r="AY185" s="21"/>
      <c r="AZ185" s="21"/>
      <c r="BA185" s="21"/>
      <c r="BB185" s="21"/>
      <c r="BC185" s="21"/>
      <c r="BD185" s="21"/>
      <c r="BE185" s="21"/>
      <c r="BF185" s="21"/>
      <c r="BH185" s="20"/>
      <c r="BI185" s="20"/>
      <c r="BJ185" s="395"/>
      <c r="BK185"/>
      <c r="BL185"/>
      <c r="BM185"/>
      <c r="BN185"/>
      <c r="BO185"/>
      <c r="BP185"/>
      <c r="BQ185" s="553">
        <f t="shared" si="47"/>
        <v>42064</v>
      </c>
      <c r="BR185" s="716">
        <v>3.597</v>
      </c>
      <c r="BS185" s="716">
        <v>3.6020000000000003</v>
      </c>
      <c r="BT185" s="716">
        <v>3.6070000000000002</v>
      </c>
      <c r="BU185" s="717">
        <v>0.14450000000000002</v>
      </c>
      <c r="BV185" s="717">
        <v>0.15</v>
      </c>
      <c r="BW185" s="717">
        <v>0.1595</v>
      </c>
      <c r="BX185" s="717">
        <f t="shared" si="64"/>
        <v>-7.0000000000000007E-2</v>
      </c>
      <c r="BY185" s="717"/>
      <c r="BZ185" s="717">
        <f t="shared" si="65"/>
        <v>7.0000000000000007E-2</v>
      </c>
      <c r="CA185" s="756">
        <f t="shared" si="63"/>
        <v>0</v>
      </c>
      <c r="CB185" s="716">
        <f t="shared" si="66"/>
        <v>0</v>
      </c>
      <c r="CC185" s="789">
        <f t="shared" si="67"/>
        <v>3.597</v>
      </c>
      <c r="CD185" s="793">
        <f t="shared" si="68"/>
        <v>0.1595</v>
      </c>
    </row>
    <row r="186" spans="1:82" ht="13.8" x14ac:dyDescent="0.3">
      <c r="A186" s="553">
        <f t="shared" si="46"/>
        <v>42186</v>
      </c>
      <c r="B186" s="717">
        <v>7.4186163738083996E-2</v>
      </c>
      <c r="C186" s="8"/>
      <c r="D186" s="989">
        <v>41030</v>
      </c>
      <c r="E186" s="990">
        <v>33.17</v>
      </c>
      <c r="F186" s="990">
        <v>35.65</v>
      </c>
      <c r="G186" s="990">
        <v>38.130000000000003</v>
      </c>
      <c r="H186" s="977"/>
      <c r="I186" s="990">
        <v>19.159997711181639</v>
      </c>
      <c r="J186" s="990">
        <v>20.399997711181637</v>
      </c>
      <c r="K186" s="990">
        <v>21.639997711181636</v>
      </c>
      <c r="L186" s="12"/>
      <c r="M186" s="1004">
        <v>41913</v>
      </c>
      <c r="N186" s="991">
        <v>23.813000106811515</v>
      </c>
      <c r="O186" s="991">
        <v>25.200500106811514</v>
      </c>
      <c r="P186" s="991">
        <v>26.588000106811513</v>
      </c>
      <c r="Q186" s="21"/>
      <c r="R186" s="991">
        <v>18.90099983215331</v>
      </c>
      <c r="S186" s="991">
        <v>23.200999832153311</v>
      </c>
      <c r="T186" s="991">
        <v>27.500999832153312</v>
      </c>
      <c r="U186" s="21"/>
      <c r="V186" s="991">
        <v>0.8</v>
      </c>
      <c r="W186" s="991">
        <v>0.8</v>
      </c>
      <c r="X186" s="991">
        <v>0.8</v>
      </c>
      <c r="Y186" s="21"/>
      <c r="Z186" s="991">
        <v>6.1678051306032503E-2</v>
      </c>
      <c r="AA186" s="991">
        <v>0.12335610261206501</v>
      </c>
      <c r="AB186" s="991">
        <v>0.18503415391809752</v>
      </c>
      <c r="AC186" s="21"/>
      <c r="AD186" s="991">
        <v>2.260925824424705E-2</v>
      </c>
      <c r="AE186" s="991">
        <v>4.52185164884941E-2</v>
      </c>
      <c r="AF186" s="991">
        <v>6.7827774732741153E-2</v>
      </c>
      <c r="AG186" s="21"/>
      <c r="AH186" s="991">
        <v>-0.25</v>
      </c>
      <c r="AI186" s="991">
        <v>1.1000000000000001</v>
      </c>
      <c r="AJ186" s="991">
        <v>0.3</v>
      </c>
      <c r="AK186" s="21"/>
      <c r="AL186" s="991">
        <v>-0.15</v>
      </c>
      <c r="AM186" s="991">
        <v>0.35</v>
      </c>
      <c r="AN186" s="991">
        <v>0.2</v>
      </c>
      <c r="AO186" s="21"/>
      <c r="AP186" s="12">
        <v>60</v>
      </c>
      <c r="AQ186" s="992">
        <v>0.4</v>
      </c>
      <c r="AR186" s="21"/>
      <c r="AS186" s="21"/>
      <c r="AT186" s="21"/>
      <c r="AU186" s="21"/>
      <c r="AV186" s="21"/>
      <c r="AW186" s="21"/>
      <c r="AX186" s="21"/>
      <c r="AY186" s="21"/>
      <c r="AZ186" s="21"/>
      <c r="BA186" s="21"/>
      <c r="BB186" s="21"/>
      <c r="BC186" s="21"/>
      <c r="BD186" s="21"/>
      <c r="BE186" s="21"/>
      <c r="BF186" s="21"/>
      <c r="BH186" s="20"/>
      <c r="BI186" s="20"/>
      <c r="BJ186" s="395"/>
      <c r="BK186"/>
      <c r="BL186"/>
      <c r="BM186"/>
      <c r="BN186"/>
      <c r="BO186"/>
      <c r="BP186"/>
      <c r="BQ186" s="553">
        <f t="shared" si="47"/>
        <v>42095</v>
      </c>
      <c r="BR186" s="716">
        <v>3.5474999999999999</v>
      </c>
      <c r="BS186" s="716">
        <v>3.5525000000000002</v>
      </c>
      <c r="BT186" s="716">
        <v>3.5575000000000001</v>
      </c>
      <c r="BU186" s="717">
        <v>0.14450000000000002</v>
      </c>
      <c r="BV186" s="717">
        <v>0.15</v>
      </c>
      <c r="BW186" s="717">
        <v>0.1595</v>
      </c>
      <c r="BX186" s="717">
        <f t="shared" si="64"/>
        <v>-7.0000000000000007E-2</v>
      </c>
      <c r="BY186" s="717"/>
      <c r="BZ186" s="717">
        <f t="shared" si="65"/>
        <v>7.0000000000000007E-2</v>
      </c>
      <c r="CA186" s="756">
        <f t="shared" si="63"/>
        <v>0</v>
      </c>
      <c r="CB186" s="716">
        <f t="shared" si="66"/>
        <v>0</v>
      </c>
      <c r="CC186" s="789">
        <f t="shared" si="67"/>
        <v>3.5474999999999999</v>
      </c>
      <c r="CD186" s="793">
        <f t="shared" si="68"/>
        <v>0.1595</v>
      </c>
    </row>
    <row r="187" spans="1:82" ht="13.8" x14ac:dyDescent="0.3">
      <c r="A187" s="553">
        <f t="shared" si="46"/>
        <v>42217</v>
      </c>
      <c r="B187" s="717">
        <v>7.4185869020203007E-2</v>
      </c>
      <c r="C187" s="8"/>
      <c r="D187" s="989">
        <v>41061</v>
      </c>
      <c r="E187" s="990">
        <v>47.14</v>
      </c>
      <c r="F187" s="990">
        <v>54.25</v>
      </c>
      <c r="G187" s="990">
        <v>61.36</v>
      </c>
      <c r="H187" s="977"/>
      <c r="I187" s="990">
        <v>16.799998779296871</v>
      </c>
      <c r="J187" s="990">
        <v>20.354998779296871</v>
      </c>
      <c r="K187" s="990">
        <v>23.90999877929687</v>
      </c>
      <c r="L187" s="12"/>
      <c r="M187" s="1004">
        <v>41944</v>
      </c>
      <c r="N187" s="991">
        <v>24.817251586914054</v>
      </c>
      <c r="O187" s="991">
        <v>26.204751586914053</v>
      </c>
      <c r="P187" s="991">
        <v>27.592251586914053</v>
      </c>
      <c r="Q187" s="21"/>
      <c r="R187" s="991">
        <v>19.904499816894521</v>
      </c>
      <c r="S187" s="991">
        <v>24.204499816894522</v>
      </c>
      <c r="T187" s="991">
        <v>28.504499816894523</v>
      </c>
      <c r="U187" s="21"/>
      <c r="V187" s="991">
        <v>0.8</v>
      </c>
      <c r="W187" s="991">
        <v>0.8</v>
      </c>
      <c r="X187" s="991">
        <v>0.8</v>
      </c>
      <c r="Y187" s="21"/>
      <c r="Z187" s="991">
        <v>6.1678051306032503E-2</v>
      </c>
      <c r="AA187" s="991">
        <v>0.12335610261206501</v>
      </c>
      <c r="AB187" s="991">
        <v>0.18503415391809752</v>
      </c>
      <c r="AC187" s="21"/>
      <c r="AD187" s="991">
        <v>2.260925824424705E-2</v>
      </c>
      <c r="AE187" s="991">
        <v>4.52185164884941E-2</v>
      </c>
      <c r="AF187" s="991">
        <v>6.7827774732741153E-2</v>
      </c>
      <c r="AG187" s="21"/>
      <c r="AH187" s="991">
        <v>-0.25</v>
      </c>
      <c r="AI187" s="991">
        <v>1.25</v>
      </c>
      <c r="AJ187" s="991">
        <v>0.3</v>
      </c>
      <c r="AK187" s="21"/>
      <c r="AL187" s="991">
        <v>-0.15</v>
      </c>
      <c r="AM187" s="991">
        <v>0.3</v>
      </c>
      <c r="AN187" s="991">
        <v>0.2</v>
      </c>
      <c r="AO187" s="21"/>
      <c r="AP187" s="12">
        <v>60</v>
      </c>
      <c r="AQ187" s="992">
        <v>0.4</v>
      </c>
      <c r="AR187" s="21"/>
      <c r="AS187" s="21"/>
      <c r="AT187" s="21"/>
      <c r="AU187" s="21"/>
      <c r="AV187" s="21"/>
      <c r="AW187" s="21"/>
      <c r="AX187" s="21"/>
      <c r="AY187" s="21"/>
      <c r="AZ187" s="21"/>
      <c r="BA187" s="21"/>
      <c r="BB187" s="21"/>
      <c r="BC187" s="21"/>
      <c r="BD187" s="21"/>
      <c r="BE187" s="21"/>
      <c r="BF187" s="21"/>
      <c r="BH187" s="20"/>
      <c r="BI187" s="20"/>
      <c r="BJ187" s="395"/>
      <c r="BK187"/>
      <c r="BL187"/>
      <c r="BM187"/>
      <c r="BN187"/>
      <c r="BO187"/>
      <c r="BP187"/>
      <c r="BQ187" s="553">
        <f t="shared" si="47"/>
        <v>42125</v>
      </c>
      <c r="BR187" s="716">
        <v>3.5215000000000001</v>
      </c>
      <c r="BS187" s="716">
        <v>3.5265</v>
      </c>
      <c r="BT187" s="716">
        <v>3.5315000000000003</v>
      </c>
      <c r="BU187" s="717">
        <v>0.14450000000000002</v>
      </c>
      <c r="BV187" s="717">
        <v>0.15</v>
      </c>
      <c r="BW187" s="717">
        <v>0.1595</v>
      </c>
      <c r="BX187" s="717">
        <f t="shared" si="64"/>
        <v>-7.0000000000000007E-2</v>
      </c>
      <c r="BY187" s="717"/>
      <c r="BZ187" s="717">
        <f t="shared" si="65"/>
        <v>7.0000000000000007E-2</v>
      </c>
      <c r="CA187" s="756">
        <f t="shared" si="63"/>
        <v>0</v>
      </c>
      <c r="CB187" s="716">
        <f t="shared" si="66"/>
        <v>0</v>
      </c>
      <c r="CC187" s="789">
        <f t="shared" si="67"/>
        <v>3.5215000000000001</v>
      </c>
      <c r="CD187" s="793">
        <f t="shared" si="68"/>
        <v>0.1595</v>
      </c>
    </row>
    <row r="188" spans="1:82" ht="13.8" x14ac:dyDescent="0.3">
      <c r="A188" s="553">
        <f t="shared" si="46"/>
        <v>42248</v>
      </c>
      <c r="B188" s="717">
        <v>7.4185574302323004E-2</v>
      </c>
      <c r="C188" s="8"/>
      <c r="D188" s="989">
        <v>41091</v>
      </c>
      <c r="E188" s="990">
        <v>75.5</v>
      </c>
      <c r="F188" s="990">
        <v>80.5</v>
      </c>
      <c r="G188" s="990">
        <v>85.5</v>
      </c>
      <c r="H188" s="977"/>
      <c r="I188" s="990">
        <v>22.349997711181636</v>
      </c>
      <c r="J188" s="990">
        <v>24.849997711181636</v>
      </c>
      <c r="K188" s="990">
        <v>27.349997711181636</v>
      </c>
      <c r="L188" s="12"/>
      <c r="M188" s="1004">
        <v>41974</v>
      </c>
      <c r="N188" s="991">
        <v>26.26749839782714</v>
      </c>
      <c r="O188" s="991">
        <v>27.654998397827139</v>
      </c>
      <c r="P188" s="991">
        <v>29.042498397827138</v>
      </c>
      <c r="Q188" s="21"/>
      <c r="R188" s="991">
        <v>19.849999237060537</v>
      </c>
      <c r="S188" s="991">
        <v>24.149999237060538</v>
      </c>
      <c r="T188" s="991">
        <v>28.449999237060538</v>
      </c>
      <c r="U188" s="21"/>
      <c r="V188" s="991">
        <v>0.8</v>
      </c>
      <c r="W188" s="991">
        <v>0.8</v>
      </c>
      <c r="X188" s="991">
        <v>0.8</v>
      </c>
      <c r="Y188" s="21"/>
      <c r="Z188" s="991">
        <v>6.3895689105799972E-2</v>
      </c>
      <c r="AA188" s="991">
        <v>0.12779137821159994</v>
      </c>
      <c r="AB188" s="991">
        <v>0.19168706731739993</v>
      </c>
      <c r="AC188" s="21"/>
      <c r="AD188" s="991">
        <v>2.260925824424705E-2</v>
      </c>
      <c r="AE188" s="991">
        <v>4.52185164884941E-2</v>
      </c>
      <c r="AF188" s="991">
        <v>6.7827774732741153E-2</v>
      </c>
      <c r="AG188" s="21"/>
      <c r="AH188" s="991">
        <v>-0.25</v>
      </c>
      <c r="AI188" s="991">
        <v>1.25</v>
      </c>
      <c r="AJ188" s="991">
        <v>0.35</v>
      </c>
      <c r="AK188" s="21"/>
      <c r="AL188" s="991">
        <v>-0.15</v>
      </c>
      <c r="AM188" s="991">
        <v>0.3</v>
      </c>
      <c r="AN188" s="991">
        <v>0.2</v>
      </c>
      <c r="AO188" s="21"/>
      <c r="AP188" s="12">
        <v>60</v>
      </c>
      <c r="AQ188" s="992">
        <v>0.4</v>
      </c>
      <c r="AR188" s="21"/>
      <c r="AS188" s="21"/>
      <c r="AT188" s="21"/>
      <c r="AU188" s="21"/>
      <c r="AV188" s="21"/>
      <c r="AW188" s="21"/>
      <c r="AX188" s="21"/>
      <c r="AY188" s="21"/>
      <c r="AZ188" s="21"/>
      <c r="BA188" s="21"/>
      <c r="BB188" s="21"/>
      <c r="BC188" s="21"/>
      <c r="BD188" s="21"/>
      <c r="BE188" s="21"/>
      <c r="BF188" s="21"/>
      <c r="BH188" s="20"/>
      <c r="BI188" s="20"/>
      <c r="BJ188" s="395"/>
      <c r="BK188"/>
      <c r="BL188"/>
      <c r="BM188"/>
      <c r="BN188"/>
      <c r="BO188"/>
      <c r="BP188"/>
      <c r="BQ188" s="553">
        <f t="shared" si="47"/>
        <v>42156</v>
      </c>
      <c r="BR188" s="716">
        <v>3.5274999999999999</v>
      </c>
      <c r="BS188" s="716">
        <v>3.5325000000000002</v>
      </c>
      <c r="BT188" s="716">
        <v>3.5375000000000001</v>
      </c>
      <c r="BU188" s="717">
        <v>0.14450000000000002</v>
      </c>
      <c r="BV188" s="717">
        <v>0.15</v>
      </c>
      <c r="BW188" s="717">
        <v>0.1595</v>
      </c>
      <c r="BX188" s="717">
        <f t="shared" si="64"/>
        <v>-7.0000000000000007E-2</v>
      </c>
      <c r="BY188" s="717"/>
      <c r="BZ188" s="717">
        <f t="shared" si="65"/>
        <v>7.0000000000000007E-2</v>
      </c>
      <c r="CA188" s="756">
        <f t="shared" si="63"/>
        <v>0</v>
      </c>
      <c r="CB188" s="716">
        <f t="shared" si="66"/>
        <v>0</v>
      </c>
      <c r="CC188" s="789">
        <f t="shared" si="67"/>
        <v>3.5274999999999999</v>
      </c>
      <c r="CD188" s="793">
        <f t="shared" si="68"/>
        <v>0.1595</v>
      </c>
    </row>
    <row r="189" spans="1:82" ht="13.8" x14ac:dyDescent="0.3">
      <c r="A189" s="553">
        <f t="shared" si="46"/>
        <v>42278</v>
      </c>
      <c r="B189" s="717">
        <v>7.4185289091471013E-2</v>
      </c>
      <c r="C189" s="8"/>
      <c r="D189" s="989">
        <v>41122</v>
      </c>
      <c r="E189" s="990">
        <v>71</v>
      </c>
      <c r="F189" s="990">
        <v>76</v>
      </c>
      <c r="G189" s="990">
        <v>81</v>
      </c>
      <c r="H189" s="977"/>
      <c r="I189" s="990">
        <v>22.699998092651363</v>
      </c>
      <c r="J189" s="990">
        <v>25.199998092651363</v>
      </c>
      <c r="K189" s="990">
        <v>27.699998092651363</v>
      </c>
      <c r="L189" s="12"/>
      <c r="M189" s="1004">
        <v>42005</v>
      </c>
      <c r="N189" s="991">
        <v>29.548748779296865</v>
      </c>
      <c r="O189" s="991">
        <v>31.048748779296865</v>
      </c>
      <c r="P189" s="991">
        <v>32.548748779296865</v>
      </c>
      <c r="Q189" s="21"/>
      <c r="R189" s="991">
        <v>25.252500534057607</v>
      </c>
      <c r="S189" s="991">
        <v>29.552500534057607</v>
      </c>
      <c r="T189" s="991">
        <v>33.852500534057604</v>
      </c>
      <c r="U189" s="21"/>
      <c r="V189" s="991">
        <v>0.8</v>
      </c>
      <c r="W189" s="991">
        <v>0.8</v>
      </c>
      <c r="X189" s="991">
        <v>0.8</v>
      </c>
      <c r="Y189" s="21"/>
      <c r="Z189" s="991">
        <v>6.9006009544847438E-2</v>
      </c>
      <c r="AA189" s="991">
        <v>0.13801201908969488</v>
      </c>
      <c r="AB189" s="991">
        <v>0.20701802863454233</v>
      </c>
      <c r="AC189" s="21"/>
      <c r="AD189" s="991">
        <v>2.5849918592589137E-2</v>
      </c>
      <c r="AE189" s="991">
        <v>5.1699837185178274E-2</v>
      </c>
      <c r="AF189" s="991">
        <v>7.7549755777767404E-2</v>
      </c>
      <c r="AG189" s="21"/>
      <c r="AH189" s="991">
        <v>-0.75</v>
      </c>
      <c r="AI189" s="991">
        <v>2</v>
      </c>
      <c r="AJ189" s="991">
        <v>0.75</v>
      </c>
      <c r="AK189" s="21"/>
      <c r="AL189" s="991">
        <v>-0.15</v>
      </c>
      <c r="AM189" s="991">
        <v>0.5</v>
      </c>
      <c r="AN189" s="991">
        <v>0.2</v>
      </c>
      <c r="AO189" s="21"/>
      <c r="AP189" s="12">
        <v>61</v>
      </c>
      <c r="AQ189" s="992">
        <v>0.4</v>
      </c>
      <c r="AR189" s="21"/>
      <c r="AS189" s="21"/>
      <c r="AT189" s="21"/>
      <c r="AU189" s="21"/>
      <c r="AV189" s="21"/>
      <c r="AW189" s="21"/>
      <c r="AX189" s="21"/>
      <c r="AY189" s="21"/>
      <c r="AZ189" s="21"/>
      <c r="BA189" s="21"/>
      <c r="BB189" s="21"/>
      <c r="BC189" s="21"/>
      <c r="BD189" s="21"/>
      <c r="BE189" s="21"/>
      <c r="BF189" s="21"/>
      <c r="BH189" s="20"/>
      <c r="BI189" s="20"/>
      <c r="BJ189" s="395"/>
      <c r="BK189"/>
      <c r="BL189"/>
      <c r="BM189"/>
      <c r="BN189"/>
      <c r="BO189"/>
      <c r="BP189"/>
      <c r="BQ189" s="553">
        <f t="shared" si="47"/>
        <v>42186</v>
      </c>
      <c r="BR189" s="716">
        <v>3.5375000000000001</v>
      </c>
      <c r="BS189" s="716">
        <v>3.5425</v>
      </c>
      <c r="BT189" s="716">
        <v>3.5474999999999999</v>
      </c>
      <c r="BU189" s="717">
        <v>0.14450000000000002</v>
      </c>
      <c r="BV189" s="717">
        <v>0.15</v>
      </c>
      <c r="BW189" s="717">
        <v>0.1595</v>
      </c>
      <c r="BX189" s="717">
        <f t="shared" si="64"/>
        <v>-7.0000000000000007E-2</v>
      </c>
      <c r="BY189" s="717"/>
      <c r="BZ189" s="717">
        <f t="shared" si="65"/>
        <v>7.0000000000000007E-2</v>
      </c>
      <c r="CA189" s="756">
        <f t="shared" si="63"/>
        <v>0</v>
      </c>
      <c r="CB189" s="716">
        <f t="shared" si="66"/>
        <v>0</v>
      </c>
      <c r="CC189" s="789">
        <f t="shared" si="67"/>
        <v>3.5375000000000001</v>
      </c>
      <c r="CD189" s="793">
        <f t="shared" si="68"/>
        <v>0.1595</v>
      </c>
    </row>
    <row r="190" spans="1:82" ht="13.8" x14ac:dyDescent="0.3">
      <c r="A190" s="553">
        <f t="shared" si="46"/>
        <v>42309</v>
      </c>
      <c r="B190" s="717">
        <v>7.4184994373589996E-2</v>
      </c>
      <c r="C190" s="8"/>
      <c r="D190" s="989">
        <v>41153</v>
      </c>
      <c r="E190" s="990">
        <v>32.25</v>
      </c>
      <c r="F190" s="990">
        <v>34.049999999999997</v>
      </c>
      <c r="G190" s="990">
        <v>35.85</v>
      </c>
      <c r="H190" s="977"/>
      <c r="I190" s="990">
        <v>19.849998092651365</v>
      </c>
      <c r="J190" s="990">
        <v>20.749998092651364</v>
      </c>
      <c r="K190" s="990">
        <v>21.649998092651362</v>
      </c>
      <c r="L190" s="12"/>
      <c r="M190" s="1004">
        <v>42036</v>
      </c>
      <c r="N190" s="991">
        <v>28.546250152587881</v>
      </c>
      <c r="O190" s="991">
        <v>30.046250152587881</v>
      </c>
      <c r="P190" s="991">
        <v>31.546250152587881</v>
      </c>
      <c r="Q190" s="21"/>
      <c r="R190" s="991">
        <v>23.247499465942372</v>
      </c>
      <c r="S190" s="991">
        <v>27.547499465942373</v>
      </c>
      <c r="T190" s="991">
        <v>31.847499465942374</v>
      </c>
      <c r="U190" s="21"/>
      <c r="V190" s="991">
        <v>0.3</v>
      </c>
      <c r="W190" s="991">
        <v>0.3</v>
      </c>
      <c r="X190" s="991">
        <v>0.3</v>
      </c>
      <c r="Y190" s="21"/>
      <c r="Z190" s="991">
        <v>6.6567634649269805E-2</v>
      </c>
      <c r="AA190" s="991">
        <v>0.13313526929853961</v>
      </c>
      <c r="AB190" s="991">
        <v>0.19970290394780943</v>
      </c>
      <c r="AC190" s="21"/>
      <c r="AD190" s="991">
        <v>2.5849918592589137E-2</v>
      </c>
      <c r="AE190" s="991">
        <v>5.1699837185178274E-2</v>
      </c>
      <c r="AF190" s="991">
        <v>7.7549755777767404E-2</v>
      </c>
      <c r="AG190" s="21"/>
      <c r="AH190" s="991">
        <v>-0.75</v>
      </c>
      <c r="AI190" s="991">
        <v>2</v>
      </c>
      <c r="AJ190" s="991">
        <v>0.75</v>
      </c>
      <c r="AK190" s="21"/>
      <c r="AL190" s="991">
        <v>-0.15</v>
      </c>
      <c r="AM190" s="991">
        <v>0.5</v>
      </c>
      <c r="AN190" s="991">
        <v>0.2</v>
      </c>
      <c r="AO190" s="21"/>
      <c r="AP190" s="12">
        <v>61</v>
      </c>
      <c r="AQ190" s="992">
        <v>0.4</v>
      </c>
      <c r="AR190" s="21"/>
      <c r="AS190" s="21"/>
      <c r="AT190" s="21"/>
      <c r="AU190" s="21"/>
      <c r="AV190" s="21"/>
      <c r="AW190" s="21"/>
      <c r="AX190" s="21"/>
      <c r="AY190" s="21"/>
      <c r="AZ190" s="21"/>
      <c r="BA190" s="21"/>
      <c r="BB190" s="21"/>
      <c r="BC190" s="21"/>
      <c r="BD190" s="21"/>
      <c r="BE190" s="21"/>
      <c r="BF190" s="21"/>
      <c r="BH190" s="20"/>
      <c r="BI190" s="20"/>
      <c r="BJ190" s="395"/>
      <c r="BK190"/>
      <c r="BL190"/>
      <c r="BM190"/>
      <c r="BN190"/>
      <c r="BO190"/>
      <c r="BP190"/>
      <c r="BQ190" s="553">
        <f t="shared" si="47"/>
        <v>42217</v>
      </c>
      <c r="BR190" s="716">
        <v>3.5445000000000002</v>
      </c>
      <c r="BS190" s="716">
        <v>3.5495000000000001</v>
      </c>
      <c r="BT190" s="716">
        <v>3.5545</v>
      </c>
      <c r="BU190" s="717">
        <v>0.14450000000000002</v>
      </c>
      <c r="BV190" s="717">
        <v>0.15</v>
      </c>
      <c r="BW190" s="717">
        <v>0.1595</v>
      </c>
      <c r="BX190" s="717">
        <f t="shared" si="64"/>
        <v>-7.0000000000000007E-2</v>
      </c>
      <c r="BY190" s="717"/>
      <c r="BZ190" s="717">
        <f t="shared" si="65"/>
        <v>7.0000000000000007E-2</v>
      </c>
      <c r="CA190" s="756">
        <f t="shared" si="63"/>
        <v>0</v>
      </c>
      <c r="CB190" s="716">
        <f t="shared" si="66"/>
        <v>0</v>
      </c>
      <c r="CC190" s="789">
        <f t="shared" si="67"/>
        <v>3.5445000000000002</v>
      </c>
      <c r="CD190" s="793">
        <f t="shared" si="68"/>
        <v>0.1595</v>
      </c>
    </row>
    <row r="191" spans="1:82" ht="13.8" x14ac:dyDescent="0.3">
      <c r="A191" s="553">
        <f t="shared" si="46"/>
        <v>42339</v>
      </c>
      <c r="B191" s="717">
        <v>7.4184709162739004E-2</v>
      </c>
      <c r="C191" s="8"/>
      <c r="D191" s="989">
        <v>41183</v>
      </c>
      <c r="E191" s="990">
        <v>30.15</v>
      </c>
      <c r="F191" s="990">
        <v>31.8</v>
      </c>
      <c r="G191" s="990">
        <v>33.450000000000003</v>
      </c>
      <c r="H191" s="977"/>
      <c r="I191" s="990">
        <v>19.624998855590817</v>
      </c>
      <c r="J191" s="990">
        <v>20.449998855590817</v>
      </c>
      <c r="K191" s="990">
        <v>21.274998855590816</v>
      </c>
      <c r="L191" s="12"/>
      <c r="M191" s="1004">
        <v>42064</v>
      </c>
      <c r="N191" s="991">
        <v>22.409749603271475</v>
      </c>
      <c r="O191" s="991">
        <v>23.234749603271474</v>
      </c>
      <c r="P191" s="991">
        <v>24.059749603271474</v>
      </c>
      <c r="Q191" s="21"/>
      <c r="R191" s="991">
        <v>18.564498901367177</v>
      </c>
      <c r="S191" s="991">
        <v>22.864498901367178</v>
      </c>
      <c r="T191" s="991">
        <v>27.164498901367178</v>
      </c>
      <c r="U191" s="21"/>
      <c r="V191" s="991">
        <v>0.3</v>
      </c>
      <c r="W191" s="991">
        <v>0.3</v>
      </c>
      <c r="X191" s="991">
        <v>0.3</v>
      </c>
      <c r="Y191" s="21"/>
      <c r="Z191" s="991">
        <v>6.4793716912737054E-2</v>
      </c>
      <c r="AA191" s="991">
        <v>0.12958743382547411</v>
      </c>
      <c r="AB191" s="991">
        <v>0.19438115073821116</v>
      </c>
      <c r="AC191" s="21"/>
      <c r="AD191" s="991">
        <v>2.215707307936211E-2</v>
      </c>
      <c r="AE191" s="991">
        <v>4.431414615872422E-2</v>
      </c>
      <c r="AF191" s="991">
        <v>6.6471219238086326E-2</v>
      </c>
      <c r="AG191" s="21"/>
      <c r="AH191" s="991">
        <v>-0.25</v>
      </c>
      <c r="AI191" s="991">
        <v>1.3</v>
      </c>
      <c r="AJ191" s="991">
        <v>0.3</v>
      </c>
      <c r="AK191" s="21"/>
      <c r="AL191" s="991">
        <v>-0.15</v>
      </c>
      <c r="AM191" s="991">
        <v>0.35</v>
      </c>
      <c r="AN191" s="991">
        <v>0.2</v>
      </c>
      <c r="AO191" s="21"/>
      <c r="AP191" s="12">
        <v>61</v>
      </c>
      <c r="AQ191" s="992">
        <v>0.4</v>
      </c>
      <c r="AR191" s="21"/>
      <c r="AS191" s="21"/>
      <c r="AT191" s="21"/>
      <c r="AU191" s="21"/>
      <c r="AV191" s="21"/>
      <c r="AW191" s="21"/>
      <c r="AX191" s="21"/>
      <c r="AY191" s="21"/>
      <c r="AZ191" s="21"/>
      <c r="BA191" s="21"/>
      <c r="BB191" s="21"/>
      <c r="BC191" s="21"/>
      <c r="BD191" s="21"/>
      <c r="BE191" s="21"/>
      <c r="BF191" s="21"/>
      <c r="BK191"/>
      <c r="BL191"/>
      <c r="BM191"/>
      <c r="BN191"/>
      <c r="BO191"/>
      <c r="BP191"/>
      <c r="BQ191" s="553">
        <f t="shared" si="47"/>
        <v>42248</v>
      </c>
      <c r="BR191" s="716">
        <v>3.5515000000000003</v>
      </c>
      <c r="BS191" s="716">
        <v>3.5565000000000002</v>
      </c>
      <c r="BT191" s="716">
        <v>3.5615000000000001</v>
      </c>
      <c r="BU191" s="717">
        <v>0.14450000000000002</v>
      </c>
      <c r="BV191" s="717">
        <v>0.15</v>
      </c>
      <c r="BW191" s="717">
        <v>0.1595</v>
      </c>
      <c r="BX191" s="717">
        <f t="shared" si="64"/>
        <v>-7.0000000000000007E-2</v>
      </c>
      <c r="BY191" s="717"/>
      <c r="BZ191" s="717">
        <f t="shared" si="65"/>
        <v>7.0000000000000007E-2</v>
      </c>
      <c r="CA191" s="756">
        <f t="shared" si="63"/>
        <v>0</v>
      </c>
      <c r="CB191" s="716">
        <f t="shared" si="66"/>
        <v>0</v>
      </c>
      <c r="CC191" s="789">
        <f t="shared" si="67"/>
        <v>3.5515000000000003</v>
      </c>
      <c r="CD191" s="793">
        <f t="shared" si="68"/>
        <v>0.1595</v>
      </c>
    </row>
    <row r="192" spans="1:82" ht="13.8" x14ac:dyDescent="0.3">
      <c r="A192" s="553">
        <f t="shared" si="46"/>
        <v>42370</v>
      </c>
      <c r="B192" s="717">
        <v>7.4184414444858002E-2</v>
      </c>
      <c r="C192" s="8"/>
      <c r="D192" s="989">
        <v>41214</v>
      </c>
      <c r="E192" s="990">
        <v>30.524999999999999</v>
      </c>
      <c r="F192" s="990">
        <v>32.174999999999997</v>
      </c>
      <c r="G192" s="990">
        <v>33.825000000000003</v>
      </c>
      <c r="H192" s="977"/>
      <c r="I192" s="990">
        <v>19.549998092651364</v>
      </c>
      <c r="J192" s="990">
        <v>20.374998092651364</v>
      </c>
      <c r="K192" s="990">
        <v>21.199998092651363</v>
      </c>
      <c r="L192" s="12"/>
      <c r="M192" s="1004">
        <v>42095</v>
      </c>
      <c r="N192" s="991">
        <v>23.205000305175773</v>
      </c>
      <c r="O192" s="991">
        <v>23.917500305175771</v>
      </c>
      <c r="P192" s="991">
        <v>24.63000030517577</v>
      </c>
      <c r="Q192" s="21"/>
      <c r="R192" s="991">
        <v>18.334999084472646</v>
      </c>
      <c r="S192" s="991">
        <v>22.634999084472646</v>
      </c>
      <c r="T192" s="991">
        <v>26.934999084472647</v>
      </c>
      <c r="U192" s="21"/>
      <c r="V192" s="991">
        <v>0.3</v>
      </c>
      <c r="W192" s="991">
        <v>0.3</v>
      </c>
      <c r="X192" s="991">
        <v>0.3</v>
      </c>
      <c r="Y192" s="21"/>
      <c r="Z192" s="991">
        <v>5.7826060648623917E-2</v>
      </c>
      <c r="AA192" s="991">
        <v>0.11565212129724783</v>
      </c>
      <c r="AB192" s="991">
        <v>0.17347818194587175</v>
      </c>
      <c r="AC192" s="21"/>
      <c r="AD192" s="991">
        <v>2.215707307936211E-2</v>
      </c>
      <c r="AE192" s="991">
        <v>4.431414615872422E-2</v>
      </c>
      <c r="AF192" s="991">
        <v>6.6471219238086326E-2</v>
      </c>
      <c r="AG192" s="21"/>
      <c r="AH192" s="991">
        <v>-0.25</v>
      </c>
      <c r="AI192" s="991">
        <v>1.1000000000000001</v>
      </c>
      <c r="AJ192" s="991">
        <v>0.3</v>
      </c>
      <c r="AK192" s="21"/>
      <c r="AL192" s="991">
        <v>-0.15</v>
      </c>
      <c r="AM192" s="991">
        <v>0.35</v>
      </c>
      <c r="AN192" s="991">
        <v>0.2</v>
      </c>
      <c r="AO192" s="21"/>
      <c r="AP192" s="12">
        <v>62</v>
      </c>
      <c r="AQ192" s="992">
        <v>0.4</v>
      </c>
      <c r="AR192" s="21"/>
      <c r="AS192" s="21"/>
      <c r="AT192" s="21"/>
      <c r="AU192" s="21"/>
      <c r="AV192" s="21"/>
      <c r="AW192" s="21"/>
      <c r="AX192" s="21"/>
      <c r="AY192" s="21"/>
      <c r="AZ192" s="21"/>
      <c r="BA192" s="21"/>
      <c r="BB192" s="21"/>
      <c r="BC192" s="21"/>
      <c r="BD192" s="21"/>
      <c r="BE192" s="21"/>
      <c r="BF192" s="21"/>
      <c r="BK192"/>
      <c r="BL192"/>
      <c r="BM192"/>
      <c r="BN192"/>
      <c r="BO192"/>
      <c r="BP192"/>
      <c r="BQ192" s="553">
        <f t="shared" si="47"/>
        <v>42278</v>
      </c>
      <c r="BR192" s="716">
        <v>3.5775000000000001</v>
      </c>
      <c r="BS192" s="716">
        <v>3.5825</v>
      </c>
      <c r="BT192" s="716">
        <v>3.5874999999999999</v>
      </c>
      <c r="BU192" s="717">
        <v>0.14450000000000002</v>
      </c>
      <c r="BV192" s="717">
        <v>0.15</v>
      </c>
      <c r="BW192" s="717">
        <v>0.1595</v>
      </c>
      <c r="BX192" s="717">
        <f t="shared" si="64"/>
        <v>-7.0000000000000007E-2</v>
      </c>
      <c r="BY192" s="717"/>
      <c r="BZ192" s="717">
        <f t="shared" si="65"/>
        <v>7.0000000000000007E-2</v>
      </c>
      <c r="CA192" s="756">
        <f t="shared" si="63"/>
        <v>0</v>
      </c>
      <c r="CB192" s="716">
        <f t="shared" si="66"/>
        <v>0</v>
      </c>
      <c r="CC192" s="789">
        <f t="shared" si="67"/>
        <v>3.5775000000000001</v>
      </c>
      <c r="CD192" s="793">
        <f t="shared" si="68"/>
        <v>0.1595</v>
      </c>
    </row>
    <row r="193" spans="1:82" ht="13.8" x14ac:dyDescent="0.3">
      <c r="A193" s="553">
        <f t="shared" si="46"/>
        <v>42401</v>
      </c>
      <c r="B193" s="717">
        <v>7.4184119726977998E-2</v>
      </c>
      <c r="C193" s="8"/>
      <c r="D193" s="989">
        <v>41244</v>
      </c>
      <c r="E193" s="990">
        <v>30.4</v>
      </c>
      <c r="F193" s="990">
        <v>32.049999999999997</v>
      </c>
      <c r="G193" s="990">
        <v>33.700000000000003</v>
      </c>
      <c r="H193" s="977"/>
      <c r="I193" s="990">
        <v>20.974999237060544</v>
      </c>
      <c r="J193" s="990">
        <v>21.799999237060543</v>
      </c>
      <c r="K193" s="990">
        <v>22.624999237060543</v>
      </c>
      <c r="L193" s="12"/>
      <c r="M193" s="1004">
        <v>42125</v>
      </c>
      <c r="N193" s="991">
        <v>22.172500076293936</v>
      </c>
      <c r="O193" s="991">
        <v>24.032500076293935</v>
      </c>
      <c r="P193" s="991">
        <v>25.892500076293935</v>
      </c>
      <c r="Q193" s="21"/>
      <c r="R193" s="991">
        <v>18.864999771118153</v>
      </c>
      <c r="S193" s="991">
        <v>23.164999771118154</v>
      </c>
      <c r="T193" s="991">
        <v>27.464999771118155</v>
      </c>
      <c r="U193" s="21"/>
      <c r="V193" s="991">
        <v>0.3</v>
      </c>
      <c r="W193" s="991">
        <v>0.3</v>
      </c>
      <c r="X193" s="991">
        <v>0.3</v>
      </c>
      <c r="Y193" s="21"/>
      <c r="Z193" s="991">
        <v>6.6604210272703454E-2</v>
      </c>
      <c r="AA193" s="991">
        <v>0.13320842054540691</v>
      </c>
      <c r="AB193" s="991">
        <v>0.19981263081811035</v>
      </c>
      <c r="AC193" s="21"/>
      <c r="AD193" s="991">
        <v>2.5849918592589137E-2</v>
      </c>
      <c r="AE193" s="991">
        <v>5.1699837185178274E-2</v>
      </c>
      <c r="AF193" s="991">
        <v>7.7549755777767404E-2</v>
      </c>
      <c r="AG193" s="21"/>
      <c r="AH193" s="991">
        <v>-0.25</v>
      </c>
      <c r="AI193" s="991">
        <v>1.1000000000000001</v>
      </c>
      <c r="AJ193" s="991">
        <v>0.3</v>
      </c>
      <c r="AK193" s="21"/>
      <c r="AL193" s="991">
        <v>-0.15</v>
      </c>
      <c r="AM193" s="991">
        <v>0.5</v>
      </c>
      <c r="AN193" s="991">
        <v>0.2</v>
      </c>
      <c r="AO193" s="21"/>
      <c r="AP193" s="12">
        <v>62</v>
      </c>
      <c r="AQ193" s="992">
        <v>0.4</v>
      </c>
      <c r="AR193" s="21"/>
      <c r="AS193" s="21"/>
      <c r="AT193" s="21"/>
      <c r="AU193" s="21"/>
      <c r="AV193" s="21"/>
      <c r="AW193" s="21"/>
      <c r="AX193" s="21"/>
      <c r="AY193" s="21"/>
      <c r="AZ193" s="21"/>
      <c r="BA193" s="21"/>
      <c r="BB193" s="21"/>
      <c r="BC193" s="21"/>
      <c r="BD193" s="21"/>
      <c r="BE193" s="21"/>
      <c r="BF193" s="21"/>
      <c r="BK193"/>
      <c r="BL193"/>
      <c r="BM193"/>
      <c r="BN193"/>
      <c r="BO193"/>
      <c r="BP193"/>
      <c r="BQ193" s="553">
        <f t="shared" si="47"/>
        <v>42309</v>
      </c>
      <c r="BR193" s="716">
        <v>3.7124999999999999</v>
      </c>
      <c r="BS193" s="716">
        <v>3.7174999999999998</v>
      </c>
      <c r="BT193" s="716">
        <v>3.7225000000000001</v>
      </c>
      <c r="BU193" s="717">
        <v>0.14450000000000002</v>
      </c>
      <c r="BV193" s="717">
        <v>0.15</v>
      </c>
      <c r="BW193" s="717">
        <v>0.1595</v>
      </c>
      <c r="BX193" s="717">
        <f t="shared" si="64"/>
        <v>-7.0000000000000007E-2</v>
      </c>
      <c r="BY193" s="717"/>
      <c r="BZ193" s="717">
        <f t="shared" si="65"/>
        <v>7.0000000000000007E-2</v>
      </c>
      <c r="CA193" s="756">
        <f t="shared" si="63"/>
        <v>0</v>
      </c>
      <c r="CB193" s="716">
        <f t="shared" si="66"/>
        <v>0</v>
      </c>
      <c r="CC193" s="789">
        <f t="shared" si="67"/>
        <v>3.7124999999999999</v>
      </c>
      <c r="CD193" s="793">
        <f t="shared" si="68"/>
        <v>0.1595</v>
      </c>
    </row>
    <row r="194" spans="1:82" ht="13.8" x14ac:dyDescent="0.3">
      <c r="A194" s="553">
        <f t="shared" si="46"/>
        <v>42430</v>
      </c>
      <c r="B194" s="717">
        <v>7.4183844023154005E-2</v>
      </c>
      <c r="C194" s="8"/>
      <c r="D194" s="989">
        <v>41275</v>
      </c>
      <c r="E194" s="990">
        <v>36.549999999999997</v>
      </c>
      <c r="F194" s="990">
        <v>38.35</v>
      </c>
      <c r="G194" s="990">
        <v>40.15</v>
      </c>
      <c r="H194" s="977"/>
      <c r="I194" s="990">
        <v>20.890000152587888</v>
      </c>
      <c r="J194" s="990">
        <v>21.790000152587886</v>
      </c>
      <c r="K194" s="990">
        <v>22.690000152587885</v>
      </c>
      <c r="L194" s="12"/>
      <c r="M194" s="1004">
        <v>42156</v>
      </c>
      <c r="N194" s="991">
        <v>23.126250152587883</v>
      </c>
      <c r="O194" s="991">
        <v>28.458750152587882</v>
      </c>
      <c r="P194" s="991">
        <v>33.791250152587878</v>
      </c>
      <c r="Q194" s="21"/>
      <c r="R194" s="991">
        <v>17.642499542236319</v>
      </c>
      <c r="S194" s="991">
        <v>21.94249954223632</v>
      </c>
      <c r="T194" s="991">
        <v>26.24249954223632</v>
      </c>
      <c r="U194" s="21"/>
      <c r="V194" s="991">
        <v>0.3</v>
      </c>
      <c r="W194" s="991">
        <v>0.3</v>
      </c>
      <c r="X194" s="991">
        <v>0.3</v>
      </c>
      <c r="Y194" s="21"/>
      <c r="Z194" s="991">
        <v>8.3447284863906054E-2</v>
      </c>
      <c r="AA194" s="991">
        <v>0.16689456972781211</v>
      </c>
      <c r="AB194" s="991">
        <v>0.25034185459171815</v>
      </c>
      <c r="AC194" s="21"/>
      <c r="AD194" s="991">
        <v>3.3235609619043163E-2</v>
      </c>
      <c r="AE194" s="991">
        <v>6.6471219238086326E-2</v>
      </c>
      <c r="AF194" s="991">
        <v>9.970682885712949E-2</v>
      </c>
      <c r="AG194" s="21"/>
      <c r="AH194" s="991">
        <v>-0.35</v>
      </c>
      <c r="AI194" s="991">
        <v>2</v>
      </c>
      <c r="AJ194" s="991">
        <v>0.3</v>
      </c>
      <c r="AK194" s="21"/>
      <c r="AL194" s="991">
        <v>-0.15</v>
      </c>
      <c r="AM194" s="991">
        <v>0.65</v>
      </c>
      <c r="AN194" s="991">
        <v>0.2</v>
      </c>
      <c r="AO194" s="21"/>
      <c r="AP194" s="12">
        <v>62</v>
      </c>
      <c r="AQ194" s="992">
        <v>0.4</v>
      </c>
      <c r="AR194" s="21"/>
      <c r="AS194" s="21"/>
      <c r="AT194" s="21"/>
      <c r="AU194" s="21"/>
      <c r="AV194" s="21"/>
      <c r="AW194" s="21"/>
      <c r="AX194" s="21"/>
      <c r="AY194" s="21"/>
      <c r="AZ194" s="21"/>
      <c r="BA194" s="21"/>
      <c r="BB194" s="21"/>
      <c r="BC194" s="21"/>
      <c r="BD194" s="21"/>
      <c r="BE194" s="21"/>
      <c r="BF194" s="21"/>
      <c r="BK194"/>
      <c r="BL194"/>
      <c r="BM194"/>
      <c r="BN194"/>
      <c r="BO194"/>
      <c r="BP194"/>
      <c r="BQ194" s="553">
        <f t="shared" si="47"/>
        <v>42339</v>
      </c>
      <c r="BR194" s="716">
        <v>3.8365</v>
      </c>
      <c r="BS194" s="716">
        <v>3.8415000000000004</v>
      </c>
      <c r="BT194" s="716">
        <v>3.8465000000000003</v>
      </c>
      <c r="BU194" s="717">
        <v>0.14450000000000002</v>
      </c>
      <c r="BV194" s="717">
        <v>0.15</v>
      </c>
      <c r="BW194" s="717">
        <v>0.1595</v>
      </c>
      <c r="BX194" s="717">
        <f t="shared" si="64"/>
        <v>-7.0000000000000007E-2</v>
      </c>
      <c r="BY194" s="717"/>
      <c r="BZ194" s="717">
        <f t="shared" si="65"/>
        <v>7.0000000000000007E-2</v>
      </c>
      <c r="CA194" s="756">
        <f t="shared" si="63"/>
        <v>0</v>
      </c>
      <c r="CB194" s="716">
        <f t="shared" si="66"/>
        <v>0</v>
      </c>
      <c r="CC194" s="789">
        <f t="shared" si="67"/>
        <v>3.8365</v>
      </c>
      <c r="CD194" s="793">
        <f t="shared" si="68"/>
        <v>0.1595</v>
      </c>
    </row>
    <row r="195" spans="1:82" ht="13.8" x14ac:dyDescent="0.3">
      <c r="A195" s="553">
        <f t="shared" si="46"/>
        <v>42461</v>
      </c>
      <c r="B195" s="717">
        <v>7.4183549305274002E-2</v>
      </c>
      <c r="C195" s="8"/>
      <c r="D195" s="989">
        <v>41306</v>
      </c>
      <c r="E195" s="990">
        <v>36.549999999999997</v>
      </c>
      <c r="F195" s="990">
        <v>38.35</v>
      </c>
      <c r="G195" s="990">
        <v>40.15</v>
      </c>
      <c r="H195" s="977"/>
      <c r="I195" s="990">
        <v>20.699997711181638</v>
      </c>
      <c r="J195" s="990">
        <v>21.599997711181636</v>
      </c>
      <c r="K195" s="990">
        <v>22.499997711181635</v>
      </c>
      <c r="L195" s="12"/>
      <c r="M195" s="1004">
        <v>42186</v>
      </c>
      <c r="N195" s="991">
        <v>37.911249542236362</v>
      </c>
      <c r="O195" s="991">
        <v>41.661249542236362</v>
      </c>
      <c r="P195" s="991">
        <v>45.411249542236362</v>
      </c>
      <c r="Q195" s="21"/>
      <c r="R195" s="991">
        <v>26.847499465942374</v>
      </c>
      <c r="S195" s="991">
        <v>31.147499465942374</v>
      </c>
      <c r="T195" s="991">
        <v>35.447499465942371</v>
      </c>
      <c r="U195" s="21"/>
      <c r="V195" s="991">
        <v>0.3</v>
      </c>
      <c r="W195" s="991">
        <v>0.3</v>
      </c>
      <c r="X195" s="991">
        <v>0.3</v>
      </c>
      <c r="Y195" s="21"/>
      <c r="Z195" s="991">
        <v>9.880904670604522E-2</v>
      </c>
      <c r="AA195" s="991">
        <v>0.19761809341209044</v>
      </c>
      <c r="AB195" s="991">
        <v>0.29642714011813565</v>
      </c>
      <c r="AC195" s="21"/>
      <c r="AD195" s="991">
        <v>4.431414615872422E-2</v>
      </c>
      <c r="AE195" s="991">
        <v>8.862829231744844E-2</v>
      </c>
      <c r="AF195" s="991">
        <v>0.13294243847617265</v>
      </c>
      <c r="AG195" s="21"/>
      <c r="AH195" s="991">
        <v>-0.35</v>
      </c>
      <c r="AI195" s="991">
        <v>3</v>
      </c>
      <c r="AJ195" s="991">
        <v>0.5</v>
      </c>
      <c r="AK195" s="21"/>
      <c r="AL195" s="991">
        <v>-0.15</v>
      </c>
      <c r="AM195" s="991">
        <v>0.75</v>
      </c>
      <c r="AN195" s="991">
        <v>0.2</v>
      </c>
      <c r="AO195" s="21"/>
      <c r="AP195" s="12">
        <v>63</v>
      </c>
      <c r="AQ195" s="992">
        <v>0.4</v>
      </c>
      <c r="AR195" s="21"/>
      <c r="AS195" s="21"/>
      <c r="AT195" s="21"/>
      <c r="AU195" s="21"/>
      <c r="AV195" s="21"/>
      <c r="AW195" s="21"/>
      <c r="AX195" s="21"/>
      <c r="AY195" s="21"/>
      <c r="AZ195" s="21"/>
      <c r="BA195" s="21"/>
      <c r="BB195" s="21"/>
      <c r="BC195" s="21"/>
      <c r="BD195" s="21"/>
      <c r="BE195" s="21"/>
      <c r="BF195" s="21"/>
      <c r="BK195"/>
      <c r="BL195"/>
      <c r="BM195"/>
      <c r="BN195"/>
      <c r="BO195"/>
      <c r="BP195"/>
      <c r="BQ195" s="553">
        <f t="shared" si="47"/>
        <v>42370</v>
      </c>
      <c r="BR195" s="716">
        <v>3.94</v>
      </c>
      <c r="BS195" s="716">
        <v>3.9449999999999998</v>
      </c>
      <c r="BT195" s="716">
        <v>3.95</v>
      </c>
      <c r="BU195" s="717">
        <v>0.14350000000000002</v>
      </c>
      <c r="BV195" s="717">
        <v>0.15</v>
      </c>
      <c r="BW195" s="717">
        <v>0.1585</v>
      </c>
      <c r="BX195" s="717">
        <f t="shared" si="64"/>
        <v>-7.0000000000000007E-2</v>
      </c>
      <c r="BY195" s="717"/>
      <c r="BZ195" s="717">
        <f t="shared" si="65"/>
        <v>7.0000000000000007E-2</v>
      </c>
      <c r="CA195" s="756">
        <f t="shared" si="63"/>
        <v>0</v>
      </c>
      <c r="CB195" s="716">
        <f t="shared" si="66"/>
        <v>0</v>
      </c>
      <c r="CC195" s="789">
        <f t="shared" si="67"/>
        <v>3.94</v>
      </c>
      <c r="CD195" s="793">
        <f t="shared" si="68"/>
        <v>0.1585</v>
      </c>
    </row>
    <row r="196" spans="1:82" ht="13.8" x14ac:dyDescent="0.3">
      <c r="A196" s="553">
        <f t="shared" ref="A196:A259" si="69">EOMONTH(A195,0)+1</f>
        <v>42491</v>
      </c>
      <c r="B196" s="717">
        <v>7.4183264094421997E-2</v>
      </c>
      <c r="C196" s="8"/>
      <c r="D196" s="989">
        <v>41334</v>
      </c>
      <c r="E196" s="990">
        <v>33.6</v>
      </c>
      <c r="F196" s="990">
        <v>34.6</v>
      </c>
      <c r="G196" s="990">
        <v>35.6</v>
      </c>
      <c r="H196" s="977"/>
      <c r="I196" s="990">
        <v>20.099999618530269</v>
      </c>
      <c r="J196" s="990">
        <v>20.599999618530269</v>
      </c>
      <c r="K196" s="990">
        <v>21.099999618530269</v>
      </c>
      <c r="L196" s="12"/>
      <c r="M196" s="1004">
        <v>42217</v>
      </c>
      <c r="N196" s="991">
        <v>40.17249908447269</v>
      </c>
      <c r="O196" s="991">
        <v>43.92249908447269</v>
      </c>
      <c r="P196" s="991">
        <v>47.67249908447269</v>
      </c>
      <c r="Q196" s="21"/>
      <c r="R196" s="991">
        <v>28.345000839233403</v>
      </c>
      <c r="S196" s="991">
        <v>32.645000839233404</v>
      </c>
      <c r="T196" s="991">
        <v>36.945000839233401</v>
      </c>
      <c r="U196" s="21"/>
      <c r="V196" s="991">
        <v>0.8</v>
      </c>
      <c r="W196" s="991">
        <v>0.8</v>
      </c>
      <c r="X196" s="991">
        <v>0.8</v>
      </c>
      <c r="Y196" s="21"/>
      <c r="Z196" s="991">
        <v>9.7327733956981785E-2</v>
      </c>
      <c r="AA196" s="991">
        <v>0.19465546791396357</v>
      </c>
      <c r="AB196" s="991">
        <v>0.29198320187094534</v>
      </c>
      <c r="AC196" s="21"/>
      <c r="AD196" s="991">
        <v>4.431414615872422E-2</v>
      </c>
      <c r="AE196" s="991">
        <v>8.862829231744844E-2</v>
      </c>
      <c r="AF196" s="991">
        <v>0.13294243847617265</v>
      </c>
      <c r="AG196" s="21"/>
      <c r="AH196" s="991">
        <v>-0.35</v>
      </c>
      <c r="AI196" s="991">
        <v>3</v>
      </c>
      <c r="AJ196" s="991">
        <v>0.5</v>
      </c>
      <c r="AK196" s="21"/>
      <c r="AL196" s="991">
        <v>-0.15</v>
      </c>
      <c r="AM196" s="991">
        <v>0.75</v>
      </c>
      <c r="AN196" s="991">
        <v>0.2</v>
      </c>
      <c r="AO196" s="21"/>
      <c r="AP196" s="12">
        <v>63</v>
      </c>
      <c r="AQ196" s="992">
        <v>0.4</v>
      </c>
      <c r="AR196" s="21"/>
      <c r="AS196" s="21"/>
      <c r="AT196" s="21"/>
      <c r="AU196" s="21"/>
      <c r="AV196" s="21"/>
      <c r="AW196" s="21"/>
      <c r="AX196" s="21"/>
      <c r="AY196" s="21"/>
      <c r="AZ196" s="21"/>
      <c r="BA196" s="21"/>
      <c r="BB196" s="21"/>
      <c r="BC196" s="21"/>
      <c r="BD196" s="21"/>
      <c r="BE196" s="21"/>
      <c r="BF196" s="21"/>
      <c r="BK196"/>
      <c r="BL196"/>
      <c r="BM196"/>
      <c r="BN196"/>
      <c r="BO196"/>
      <c r="BP196"/>
      <c r="BQ196" s="553">
        <f t="shared" si="47"/>
        <v>42401</v>
      </c>
      <c r="BR196" s="716">
        <v>3.8220000000000001</v>
      </c>
      <c r="BS196" s="716">
        <v>3.8270000000000004</v>
      </c>
      <c r="BT196" s="716">
        <v>3.8320000000000003</v>
      </c>
      <c r="BU196" s="717">
        <v>0.14350000000000002</v>
      </c>
      <c r="BV196" s="717">
        <v>0.15</v>
      </c>
      <c r="BW196" s="717">
        <v>0.1585</v>
      </c>
      <c r="BX196" s="717">
        <f t="shared" si="64"/>
        <v>-7.0000000000000007E-2</v>
      </c>
      <c r="BY196" s="717"/>
      <c r="BZ196" s="717">
        <f t="shared" si="65"/>
        <v>7.0000000000000007E-2</v>
      </c>
      <c r="CA196" s="756">
        <f t="shared" si="63"/>
        <v>0</v>
      </c>
      <c r="CB196" s="716">
        <f t="shared" si="66"/>
        <v>0</v>
      </c>
      <c r="CC196" s="789">
        <f t="shared" si="67"/>
        <v>3.8220000000000001</v>
      </c>
      <c r="CD196" s="793">
        <f t="shared" si="68"/>
        <v>0.1585</v>
      </c>
    </row>
    <row r="197" spans="1:82" ht="13.8" x14ac:dyDescent="0.3">
      <c r="A197" s="553">
        <f t="shared" si="69"/>
        <v>42522</v>
      </c>
      <c r="B197" s="717">
        <v>7.4182969376542007E-2</v>
      </c>
      <c r="C197" s="8"/>
      <c r="D197" s="989">
        <v>41365</v>
      </c>
      <c r="E197" s="990">
        <v>32.5</v>
      </c>
      <c r="F197" s="990">
        <v>33.35</v>
      </c>
      <c r="G197" s="990">
        <v>34.200000000000003</v>
      </c>
      <c r="H197" s="977"/>
      <c r="I197" s="990">
        <v>20.174997711181636</v>
      </c>
      <c r="J197" s="990">
        <v>20.599997711181636</v>
      </c>
      <c r="K197" s="990">
        <v>21.024997711181637</v>
      </c>
      <c r="L197" s="12"/>
      <c r="M197" s="1004">
        <v>42248</v>
      </c>
      <c r="N197" s="991">
        <v>23.729999160766592</v>
      </c>
      <c r="O197" s="991">
        <v>25.304999160766592</v>
      </c>
      <c r="P197" s="991">
        <v>26.879999160766591</v>
      </c>
      <c r="Q197" s="21"/>
      <c r="R197" s="991">
        <v>21.5</v>
      </c>
      <c r="S197" s="991">
        <v>25.8</v>
      </c>
      <c r="T197" s="991">
        <v>30.1</v>
      </c>
      <c r="U197" s="21"/>
      <c r="V197" s="991">
        <v>0.8</v>
      </c>
      <c r="W197" s="991">
        <v>0.8</v>
      </c>
      <c r="X197" s="991">
        <v>0.8</v>
      </c>
      <c r="Y197" s="21"/>
      <c r="Z197" s="991">
        <v>6.4409672866683559E-2</v>
      </c>
      <c r="AA197" s="991">
        <v>0.12881934573336712</v>
      </c>
      <c r="AB197" s="991">
        <v>0.19322901860005068</v>
      </c>
      <c r="AC197" s="21"/>
      <c r="AD197" s="991">
        <v>2.9542764105816147E-2</v>
      </c>
      <c r="AE197" s="991">
        <v>5.9085528211632293E-2</v>
      </c>
      <c r="AF197" s="991">
        <v>8.862829231744844E-2</v>
      </c>
      <c r="AG197" s="21"/>
      <c r="AH197" s="991">
        <v>-0.35</v>
      </c>
      <c r="AI197" s="991">
        <v>1.5</v>
      </c>
      <c r="AJ197" s="991">
        <v>0.3</v>
      </c>
      <c r="AK197" s="21"/>
      <c r="AL197" s="991">
        <v>-0.15</v>
      </c>
      <c r="AM197" s="991">
        <v>0.4</v>
      </c>
      <c r="AN197" s="991">
        <v>0.2</v>
      </c>
      <c r="AO197" s="21"/>
      <c r="AP197" s="12">
        <v>63</v>
      </c>
      <c r="AQ197" s="992">
        <v>0.4</v>
      </c>
      <c r="AR197" s="21"/>
      <c r="AS197" s="21"/>
      <c r="AT197" s="21"/>
      <c r="AU197" s="21"/>
      <c r="AV197" s="21"/>
      <c r="AW197" s="21"/>
      <c r="AX197" s="21"/>
      <c r="AY197" s="21"/>
      <c r="AZ197" s="21"/>
      <c r="BA197" s="21"/>
      <c r="BB197" s="21"/>
      <c r="BC197" s="21"/>
      <c r="BD197" s="21"/>
      <c r="BE197" s="21"/>
      <c r="BF197" s="21"/>
      <c r="BK197"/>
      <c r="BL197"/>
      <c r="BM197"/>
      <c r="BN197"/>
      <c r="BO197"/>
      <c r="BP197"/>
      <c r="BQ197" s="553">
        <f t="shared" si="47"/>
        <v>42430</v>
      </c>
      <c r="BR197" s="716">
        <v>3.702</v>
      </c>
      <c r="BS197" s="716">
        <v>3.7070000000000003</v>
      </c>
      <c r="BT197" s="716">
        <v>3.7120000000000002</v>
      </c>
      <c r="BU197" s="717">
        <v>0.14350000000000002</v>
      </c>
      <c r="BV197" s="717">
        <v>0.15</v>
      </c>
      <c r="BW197" s="717">
        <v>0.1585</v>
      </c>
      <c r="BX197" s="717">
        <f t="shared" si="64"/>
        <v>-7.0000000000000007E-2</v>
      </c>
      <c r="BY197" s="717"/>
      <c r="BZ197" s="717">
        <f t="shared" si="65"/>
        <v>7.0000000000000007E-2</v>
      </c>
      <c r="CA197" s="756">
        <f t="shared" si="63"/>
        <v>0</v>
      </c>
      <c r="CB197" s="716">
        <f t="shared" si="66"/>
        <v>0</v>
      </c>
      <c r="CC197" s="789">
        <f t="shared" si="67"/>
        <v>3.702</v>
      </c>
      <c r="CD197" s="793">
        <f t="shared" si="68"/>
        <v>0.1585</v>
      </c>
    </row>
    <row r="198" spans="1:82" ht="13.8" x14ac:dyDescent="0.3">
      <c r="A198" s="553">
        <f t="shared" si="69"/>
        <v>42552</v>
      </c>
      <c r="B198" s="717">
        <v>7.4182684165690002E-2</v>
      </c>
      <c r="C198" s="8"/>
      <c r="D198" s="989">
        <v>41395</v>
      </c>
      <c r="E198" s="990">
        <v>33.67</v>
      </c>
      <c r="F198" s="990">
        <v>36.15</v>
      </c>
      <c r="G198" s="990">
        <v>38.630000000000003</v>
      </c>
      <c r="H198" s="977"/>
      <c r="I198" s="990">
        <v>19.359997711181638</v>
      </c>
      <c r="J198" s="990">
        <v>20.599997711181636</v>
      </c>
      <c r="K198" s="990">
        <v>21.839997711181635</v>
      </c>
      <c r="L198" s="12"/>
      <c r="M198" s="1004">
        <v>42278</v>
      </c>
      <c r="N198" s="991">
        <v>23.938000106811515</v>
      </c>
      <c r="O198" s="991">
        <v>25.400500106811513</v>
      </c>
      <c r="P198" s="991">
        <v>26.863000106811512</v>
      </c>
      <c r="Q198" s="21"/>
      <c r="R198" s="991">
        <v>19.10099983215331</v>
      </c>
      <c r="S198" s="991">
        <v>23.40099983215331</v>
      </c>
      <c r="T198" s="991">
        <v>27.700999832153311</v>
      </c>
      <c r="U198" s="21"/>
      <c r="V198" s="991">
        <v>0.8</v>
      </c>
      <c r="W198" s="991">
        <v>0.8</v>
      </c>
      <c r="X198" s="991">
        <v>0.8</v>
      </c>
      <c r="Y198" s="21"/>
      <c r="Z198" s="991">
        <v>5.8594148740730878E-2</v>
      </c>
      <c r="AA198" s="991">
        <v>0.11718829748146176</v>
      </c>
      <c r="AB198" s="991">
        <v>0.17578244622219263</v>
      </c>
      <c r="AC198" s="21"/>
      <c r="AD198" s="991">
        <v>2.215707307936211E-2</v>
      </c>
      <c r="AE198" s="991">
        <v>4.431414615872422E-2</v>
      </c>
      <c r="AF198" s="991">
        <v>6.6471219238086326E-2</v>
      </c>
      <c r="AG198" s="21"/>
      <c r="AH198" s="991">
        <v>-0.25</v>
      </c>
      <c r="AI198" s="991">
        <v>1.1000000000000001</v>
      </c>
      <c r="AJ198" s="991">
        <v>0.3</v>
      </c>
      <c r="AK198" s="21"/>
      <c r="AL198" s="991">
        <v>-0.15</v>
      </c>
      <c r="AM198" s="991">
        <v>0.35</v>
      </c>
      <c r="AN198" s="991">
        <v>0.2</v>
      </c>
      <c r="AO198" s="21"/>
      <c r="AP198" s="12">
        <v>64</v>
      </c>
      <c r="AQ198" s="992">
        <v>0.4</v>
      </c>
      <c r="AR198" s="21"/>
      <c r="AS198" s="21"/>
      <c r="AT198" s="21"/>
      <c r="AU198" s="21"/>
      <c r="AV198" s="21"/>
      <c r="AW198" s="21"/>
      <c r="AX198" s="21"/>
      <c r="AY198" s="21"/>
      <c r="AZ198" s="21"/>
      <c r="BA198" s="21"/>
      <c r="BB198" s="21"/>
      <c r="BC198" s="21"/>
      <c r="BD198" s="21"/>
      <c r="BE198" s="21"/>
      <c r="BF198" s="21"/>
      <c r="BK198"/>
      <c r="BL198"/>
      <c r="BM198"/>
      <c r="BN198"/>
      <c r="BO198"/>
      <c r="BP198"/>
      <c r="BQ198" s="553">
        <f t="shared" si="47"/>
        <v>42461</v>
      </c>
      <c r="BR198" s="716">
        <v>3.6524999999999999</v>
      </c>
      <c r="BS198" s="716">
        <v>3.6575000000000002</v>
      </c>
      <c r="BT198" s="716">
        <v>3.6625000000000001</v>
      </c>
      <c r="BU198" s="717">
        <v>0.14350000000000002</v>
      </c>
      <c r="BV198" s="717">
        <v>0.15</v>
      </c>
      <c r="BW198" s="717">
        <v>0.1585</v>
      </c>
      <c r="BX198" s="717">
        <f t="shared" si="64"/>
        <v>-7.0000000000000007E-2</v>
      </c>
      <c r="BY198" s="717"/>
      <c r="BZ198" s="717">
        <f t="shared" si="65"/>
        <v>7.0000000000000007E-2</v>
      </c>
      <c r="CA198" s="756">
        <f t="shared" si="63"/>
        <v>0</v>
      </c>
      <c r="CB198" s="716">
        <f t="shared" si="66"/>
        <v>0</v>
      </c>
      <c r="CC198" s="789">
        <f t="shared" si="67"/>
        <v>3.6524999999999999</v>
      </c>
      <c r="CD198" s="793">
        <f t="shared" si="68"/>
        <v>0.1585</v>
      </c>
    </row>
    <row r="199" spans="1:82" ht="13.8" x14ac:dyDescent="0.3">
      <c r="A199" s="553">
        <f t="shared" si="69"/>
        <v>42583</v>
      </c>
      <c r="B199" s="717">
        <v>7.4182389447809999E-2</v>
      </c>
      <c r="C199" s="8"/>
      <c r="D199" s="989">
        <v>41426</v>
      </c>
      <c r="E199" s="990">
        <v>48.14</v>
      </c>
      <c r="F199" s="990">
        <v>55.25</v>
      </c>
      <c r="G199" s="990">
        <v>62.36</v>
      </c>
      <c r="H199" s="977"/>
      <c r="I199" s="990">
        <v>16.99999877929687</v>
      </c>
      <c r="J199" s="990">
        <v>20.55499877929687</v>
      </c>
      <c r="K199" s="990">
        <v>24.10999877929687</v>
      </c>
      <c r="L199" s="12"/>
      <c r="M199" s="1004">
        <v>42309</v>
      </c>
      <c r="N199" s="991">
        <v>24.942251586914054</v>
      </c>
      <c r="O199" s="991">
        <v>26.404751586914053</v>
      </c>
      <c r="P199" s="991">
        <v>27.867251586914051</v>
      </c>
      <c r="Q199" s="21"/>
      <c r="R199" s="991">
        <v>20.104499816894521</v>
      </c>
      <c r="S199" s="991">
        <v>24.404499816894521</v>
      </c>
      <c r="T199" s="991">
        <v>28.704499816894522</v>
      </c>
      <c r="U199" s="21"/>
      <c r="V199" s="991">
        <v>0.8</v>
      </c>
      <c r="W199" s="991">
        <v>0.8</v>
      </c>
      <c r="X199" s="991">
        <v>0.8</v>
      </c>
      <c r="Y199" s="21"/>
      <c r="Z199" s="991">
        <v>5.8594148740730878E-2</v>
      </c>
      <c r="AA199" s="991">
        <v>0.11718829748146176</v>
      </c>
      <c r="AB199" s="991">
        <v>0.17578244622219263</v>
      </c>
      <c r="AC199" s="21"/>
      <c r="AD199" s="991">
        <v>2.215707307936211E-2</v>
      </c>
      <c r="AE199" s="991">
        <v>4.431414615872422E-2</v>
      </c>
      <c r="AF199" s="991">
        <v>6.6471219238086326E-2</v>
      </c>
      <c r="AG199" s="21"/>
      <c r="AH199" s="991">
        <v>-0.25</v>
      </c>
      <c r="AI199" s="991">
        <v>1.25</v>
      </c>
      <c r="AJ199" s="991">
        <v>0.3</v>
      </c>
      <c r="AK199" s="21"/>
      <c r="AL199" s="991">
        <v>-0.15</v>
      </c>
      <c r="AM199" s="991">
        <v>0.3</v>
      </c>
      <c r="AN199" s="991">
        <v>0.2</v>
      </c>
      <c r="AO199" s="21"/>
      <c r="AP199" s="12">
        <v>64</v>
      </c>
      <c r="AQ199" s="992">
        <v>0.4</v>
      </c>
      <c r="AR199" s="21"/>
      <c r="AS199" s="21"/>
      <c r="AT199" s="21"/>
      <c r="AU199" s="21"/>
      <c r="AV199" s="21"/>
      <c r="AW199" s="21"/>
      <c r="AX199" s="21"/>
      <c r="AY199" s="21"/>
      <c r="AZ199" s="21"/>
      <c r="BA199" s="21"/>
      <c r="BB199" s="21"/>
      <c r="BC199" s="21"/>
      <c r="BD199" s="21"/>
      <c r="BE199" s="21"/>
      <c r="BF199" s="21"/>
      <c r="BK199"/>
      <c r="BL199"/>
      <c r="BM199"/>
      <c r="BN199"/>
      <c r="BO199"/>
      <c r="BP199"/>
      <c r="BQ199" s="553">
        <f t="shared" ref="BQ199:BQ262" si="70">EOMONTH(BQ198,0)+1</f>
        <v>42491</v>
      </c>
      <c r="BR199" s="716">
        <v>3.6265000000000001</v>
      </c>
      <c r="BS199" s="716">
        <v>3.6315000000000004</v>
      </c>
      <c r="BT199" s="716">
        <v>3.6365000000000003</v>
      </c>
      <c r="BU199" s="717">
        <v>0.14350000000000002</v>
      </c>
      <c r="BV199" s="717">
        <v>0.15</v>
      </c>
      <c r="BW199" s="717">
        <v>0.1585</v>
      </c>
      <c r="BX199" s="717">
        <f t="shared" ref="BX199:BX214" si="71">BY199-$BX$4</f>
        <v>-7.0000000000000007E-2</v>
      </c>
      <c r="BY199" s="717"/>
      <c r="BZ199" s="717">
        <f t="shared" ref="BZ199:BZ214" si="72">BY199+$BZ$4</f>
        <v>7.0000000000000007E-2</v>
      </c>
      <c r="CA199" s="756">
        <f t="shared" si="63"/>
        <v>0</v>
      </c>
      <c r="CB199" s="716">
        <f t="shared" ref="CB199:CB214" si="73">GasBasis</f>
        <v>0</v>
      </c>
      <c r="CC199" s="789">
        <f t="shared" ref="CC199:CC214" si="74">(IF(GasPriceCurve,IF(OBuySell=OCallPut,BT199,BR199),BS199)+CA199/1000+CB199)/(1-GasTransportPercent)</f>
        <v>3.6265000000000001</v>
      </c>
      <c r="CD199" s="793">
        <f t="shared" ref="CD199:CD214" si="75">IF(GasVolOver,GasVolOver,IF(OVolType=2,IF(OR(BU199="",BV199="",BW199=""),CD198,IF(GasVolCurve,IF(OBuySell,BU199,BW199),BV199)*GasVolAsPercentOfNYMEX),IF(OR(BU199="",BV199="",BW199="",BY199=""),CD198,SQRT(((IF(GasVolCurve,IF(OBuySell,BU199,BW199),BV199)*GasVolAsPercentOfNYMEX)^2*(BQ199-DateToday-1)+IF(GasVolCurve,IF(OBuySell,BX199,BZ199),BY199)^2*15)/(BQ199-DateToday+14))))+GasVolSpread)</f>
        <v>0.1585</v>
      </c>
    </row>
    <row r="200" spans="1:82" ht="13.8" x14ac:dyDescent="0.3">
      <c r="A200" s="553">
        <f t="shared" si="69"/>
        <v>42614</v>
      </c>
      <c r="B200" s="717">
        <v>7.4182094729929995E-2</v>
      </c>
      <c r="C200" s="8"/>
      <c r="D200" s="989">
        <v>41456</v>
      </c>
      <c r="E200" s="990">
        <v>77.5</v>
      </c>
      <c r="F200" s="990">
        <v>82.5</v>
      </c>
      <c r="G200" s="990">
        <v>87.5</v>
      </c>
      <c r="H200" s="977"/>
      <c r="I200" s="990">
        <v>22.549997711181636</v>
      </c>
      <c r="J200" s="990">
        <v>25.049997711181636</v>
      </c>
      <c r="K200" s="990">
        <v>27.549997711181636</v>
      </c>
      <c r="L200" s="12"/>
      <c r="M200" s="1004">
        <v>42339</v>
      </c>
      <c r="N200" s="991">
        <v>26.39249839782714</v>
      </c>
      <c r="O200" s="991">
        <v>27.854998397827138</v>
      </c>
      <c r="P200" s="991">
        <v>29.317498397827137</v>
      </c>
      <c r="Q200" s="21"/>
      <c r="R200" s="991">
        <v>20.049999237060536</v>
      </c>
      <c r="S200" s="991">
        <v>24.349999237060537</v>
      </c>
      <c r="T200" s="991">
        <v>28.649999237060538</v>
      </c>
      <c r="U200" s="21"/>
      <c r="V200" s="991">
        <v>0.8</v>
      </c>
      <c r="W200" s="991">
        <v>0.8</v>
      </c>
      <c r="X200" s="991">
        <v>0.8</v>
      </c>
      <c r="Y200" s="21"/>
      <c r="Z200" s="991">
        <v>6.0700904650509972E-2</v>
      </c>
      <c r="AA200" s="991">
        <v>0.12140180930101994</v>
      </c>
      <c r="AB200" s="991">
        <v>0.18210271395152991</v>
      </c>
      <c r="AC200" s="21"/>
      <c r="AD200" s="991">
        <v>2.215707307936211E-2</v>
      </c>
      <c r="AE200" s="991">
        <v>4.431414615872422E-2</v>
      </c>
      <c r="AF200" s="991">
        <v>6.6471219238086326E-2</v>
      </c>
      <c r="AG200" s="21"/>
      <c r="AH200" s="991">
        <v>-0.25</v>
      </c>
      <c r="AI200" s="991">
        <v>1.25</v>
      </c>
      <c r="AJ200" s="991">
        <v>0.35</v>
      </c>
      <c r="AK200" s="21"/>
      <c r="AL200" s="991">
        <v>-0.15</v>
      </c>
      <c r="AM200" s="991">
        <v>0.3</v>
      </c>
      <c r="AN200" s="991">
        <v>0.2</v>
      </c>
      <c r="AO200" s="21"/>
      <c r="AP200" s="12">
        <v>64</v>
      </c>
      <c r="AQ200" s="992">
        <v>0.4</v>
      </c>
      <c r="AR200" s="21"/>
      <c r="AS200" s="21"/>
      <c r="AT200" s="21"/>
      <c r="AU200" s="21"/>
      <c r="AV200" s="21"/>
      <c r="AW200" s="21"/>
      <c r="AX200" s="21"/>
      <c r="AY200" s="21"/>
      <c r="AZ200" s="21"/>
      <c r="BA200" s="21"/>
      <c r="BB200" s="21"/>
      <c r="BC200" s="21"/>
      <c r="BD200" s="21"/>
      <c r="BE200" s="21"/>
      <c r="BF200" s="21"/>
      <c r="BK200"/>
      <c r="BL200"/>
      <c r="BM200"/>
      <c r="BN200"/>
      <c r="BO200"/>
      <c r="BP200"/>
      <c r="BQ200" s="553">
        <f t="shared" si="70"/>
        <v>42522</v>
      </c>
      <c r="BR200" s="716">
        <v>3.6324999999999998</v>
      </c>
      <c r="BS200" s="716">
        <v>3.6375000000000002</v>
      </c>
      <c r="BT200" s="716">
        <v>3.6425000000000001</v>
      </c>
      <c r="BU200" s="717">
        <v>0.14350000000000002</v>
      </c>
      <c r="BV200" s="717">
        <v>0.15</v>
      </c>
      <c r="BW200" s="717">
        <v>0.1585</v>
      </c>
      <c r="BX200" s="717">
        <f t="shared" si="71"/>
        <v>-7.0000000000000007E-2</v>
      </c>
      <c r="BY200" s="717"/>
      <c r="BZ200" s="717">
        <f t="shared" si="72"/>
        <v>7.0000000000000007E-2</v>
      </c>
      <c r="CA200" s="756">
        <f t="shared" si="63"/>
        <v>0</v>
      </c>
      <c r="CB200" s="716">
        <f t="shared" si="73"/>
        <v>0</v>
      </c>
      <c r="CC200" s="789">
        <f t="shared" si="74"/>
        <v>3.6324999999999998</v>
      </c>
      <c r="CD200" s="793">
        <f t="shared" si="75"/>
        <v>0.1585</v>
      </c>
    </row>
    <row r="201" spans="1:82" ht="13.8" x14ac:dyDescent="0.3">
      <c r="A201" s="553">
        <f t="shared" si="69"/>
        <v>42644</v>
      </c>
      <c r="B201" s="717">
        <v>7.4181809519078004E-2</v>
      </c>
      <c r="C201" s="8"/>
      <c r="D201" s="989">
        <v>41487</v>
      </c>
      <c r="E201" s="990">
        <v>73</v>
      </c>
      <c r="F201" s="990">
        <v>78</v>
      </c>
      <c r="G201" s="990">
        <v>83</v>
      </c>
      <c r="H201" s="977"/>
      <c r="I201" s="990">
        <v>22.899998092651362</v>
      </c>
      <c r="J201" s="990">
        <v>25.399998092651362</v>
      </c>
      <c r="K201" s="990">
        <v>27.899998092651362</v>
      </c>
      <c r="L201" s="12"/>
      <c r="M201" s="1004">
        <v>42370</v>
      </c>
      <c r="N201" s="991">
        <v>29.673748779296865</v>
      </c>
      <c r="O201" s="991">
        <v>31.248748779296864</v>
      </c>
      <c r="P201" s="991">
        <v>32.823748779296864</v>
      </c>
      <c r="Q201" s="21"/>
      <c r="R201" s="991">
        <v>25.452500534057606</v>
      </c>
      <c r="S201" s="991">
        <v>29.752500534057607</v>
      </c>
      <c r="T201" s="991">
        <v>34.052500534057607</v>
      </c>
      <c r="U201" s="21"/>
      <c r="V201" s="991">
        <v>0.8</v>
      </c>
      <c r="W201" s="991">
        <v>0.8</v>
      </c>
      <c r="X201" s="991">
        <v>0.8</v>
      </c>
      <c r="Y201" s="21"/>
      <c r="Z201" s="991">
        <v>6.5555709067605064E-2</v>
      </c>
      <c r="AA201" s="991">
        <v>0.13111141813521013</v>
      </c>
      <c r="AB201" s="991">
        <v>0.19666712720281521</v>
      </c>
      <c r="AC201" s="21"/>
      <c r="AD201" s="991">
        <v>2.5332920220737354E-2</v>
      </c>
      <c r="AE201" s="991">
        <v>5.0665840441474708E-2</v>
      </c>
      <c r="AF201" s="991">
        <v>7.5998760662212062E-2</v>
      </c>
      <c r="AG201" s="21"/>
      <c r="AH201" s="991">
        <v>-0.75</v>
      </c>
      <c r="AI201" s="991">
        <v>2</v>
      </c>
      <c r="AJ201" s="991">
        <v>0.75</v>
      </c>
      <c r="AK201" s="21"/>
      <c r="AL201" s="991">
        <v>-0.15</v>
      </c>
      <c r="AM201" s="991">
        <v>0.5</v>
      </c>
      <c r="AN201" s="991">
        <v>0.2</v>
      </c>
      <c r="AO201" s="21"/>
      <c r="AP201" s="12">
        <v>65</v>
      </c>
      <c r="AQ201" s="992">
        <v>0.4</v>
      </c>
      <c r="AR201" s="21"/>
      <c r="AS201" s="21"/>
      <c r="AT201" s="21"/>
      <c r="AU201" s="21"/>
      <c r="AV201" s="21"/>
      <c r="AW201" s="21"/>
      <c r="AX201" s="21"/>
      <c r="AY201" s="21"/>
      <c r="AZ201" s="21"/>
      <c r="BA201" s="21"/>
      <c r="BB201" s="21"/>
      <c r="BC201" s="21"/>
      <c r="BD201" s="21"/>
      <c r="BE201" s="21"/>
      <c r="BF201" s="21"/>
      <c r="BK201"/>
      <c r="BL201"/>
      <c r="BM201"/>
      <c r="BN201"/>
      <c r="BO201"/>
      <c r="BP201"/>
      <c r="BQ201" s="553">
        <f t="shared" si="70"/>
        <v>42552</v>
      </c>
      <c r="BR201" s="716">
        <v>3.6425000000000001</v>
      </c>
      <c r="BS201" s="716">
        <v>3.6475</v>
      </c>
      <c r="BT201" s="716">
        <v>3.6524999999999999</v>
      </c>
      <c r="BU201" s="717">
        <v>0.14350000000000002</v>
      </c>
      <c r="BV201" s="717">
        <v>0.15</v>
      </c>
      <c r="BW201" s="717">
        <v>0.1585</v>
      </c>
      <c r="BX201" s="717">
        <f t="shared" si="71"/>
        <v>-7.0000000000000007E-2</v>
      </c>
      <c r="BY201" s="717"/>
      <c r="BZ201" s="717">
        <f t="shared" si="72"/>
        <v>7.0000000000000007E-2</v>
      </c>
      <c r="CA201" s="756">
        <f t="shared" si="63"/>
        <v>0</v>
      </c>
      <c r="CB201" s="716">
        <f t="shared" si="73"/>
        <v>0</v>
      </c>
      <c r="CC201" s="789">
        <f t="shared" si="74"/>
        <v>3.6425000000000001</v>
      </c>
      <c r="CD201" s="793">
        <f t="shared" si="75"/>
        <v>0.1585</v>
      </c>
    </row>
    <row r="202" spans="1:82" ht="13.8" x14ac:dyDescent="0.3">
      <c r="A202" s="553">
        <f t="shared" si="69"/>
        <v>42675</v>
      </c>
      <c r="B202" s="717">
        <v>7.4181514801198001E-2</v>
      </c>
      <c r="C202" s="8"/>
      <c r="D202" s="989">
        <v>41518</v>
      </c>
      <c r="E202" s="990">
        <v>32.450000000000003</v>
      </c>
      <c r="F202" s="990">
        <v>34.35</v>
      </c>
      <c r="G202" s="990">
        <v>36.25</v>
      </c>
      <c r="H202" s="977"/>
      <c r="I202" s="990">
        <v>19.999998092651364</v>
      </c>
      <c r="J202" s="990">
        <v>20.949998092651363</v>
      </c>
      <c r="K202" s="990">
        <v>21.899998092651362</v>
      </c>
      <c r="L202" s="12"/>
      <c r="M202" s="1004">
        <v>42401</v>
      </c>
      <c r="N202" s="991">
        <v>28.671250152587881</v>
      </c>
      <c r="O202" s="991">
        <v>30.24625015258788</v>
      </c>
      <c r="P202" s="991">
        <v>31.821250152587879</v>
      </c>
      <c r="Q202" s="21"/>
      <c r="R202" s="991">
        <v>23.447499465942371</v>
      </c>
      <c r="S202" s="991">
        <v>27.747499465942372</v>
      </c>
      <c r="T202" s="991">
        <v>32.047499465942373</v>
      </c>
      <c r="U202" s="21"/>
      <c r="V202" s="991">
        <v>0.3</v>
      </c>
      <c r="W202" s="991">
        <v>0.3</v>
      </c>
      <c r="X202" s="991">
        <v>0.3</v>
      </c>
      <c r="Y202" s="21"/>
      <c r="Z202" s="991">
        <v>6.3239252916806307E-2</v>
      </c>
      <c r="AA202" s="991">
        <v>0.12647850583361261</v>
      </c>
      <c r="AB202" s="991">
        <v>0.18971775875041891</v>
      </c>
      <c r="AC202" s="21"/>
      <c r="AD202" s="991">
        <v>2.5332920220737354E-2</v>
      </c>
      <c r="AE202" s="991">
        <v>5.0665840441474708E-2</v>
      </c>
      <c r="AF202" s="991">
        <v>7.5998760662212062E-2</v>
      </c>
      <c r="AG202" s="21"/>
      <c r="AH202" s="991">
        <v>-0.75</v>
      </c>
      <c r="AI202" s="991">
        <v>2</v>
      </c>
      <c r="AJ202" s="991">
        <v>0.75</v>
      </c>
      <c r="AK202" s="21"/>
      <c r="AL202" s="991">
        <v>-0.15</v>
      </c>
      <c r="AM202" s="991">
        <v>0.5</v>
      </c>
      <c r="AN202" s="991">
        <v>0.2</v>
      </c>
      <c r="AO202" s="21"/>
      <c r="AP202" s="12">
        <v>65</v>
      </c>
      <c r="AQ202" s="992">
        <v>0.4</v>
      </c>
      <c r="AR202" s="21"/>
      <c r="AS202" s="21"/>
      <c r="AT202" s="21"/>
      <c r="AU202" s="21"/>
      <c r="AV202" s="21"/>
      <c r="AW202" s="21"/>
      <c r="AX202" s="21"/>
      <c r="AY202" s="21"/>
      <c r="AZ202" s="21"/>
      <c r="BA202" s="21"/>
      <c r="BB202" s="21"/>
      <c r="BC202" s="21"/>
      <c r="BD202" s="21"/>
      <c r="BE202" s="21"/>
      <c r="BF202" s="21"/>
      <c r="BK202"/>
      <c r="BL202"/>
      <c r="BM202"/>
      <c r="BN202"/>
      <c r="BO202"/>
      <c r="BP202"/>
      <c r="BQ202" s="553">
        <f t="shared" si="70"/>
        <v>42583</v>
      </c>
      <c r="BR202" s="716">
        <v>3.6495000000000002</v>
      </c>
      <c r="BS202" s="716">
        <v>3.6545000000000001</v>
      </c>
      <c r="BT202" s="716">
        <v>3.6595</v>
      </c>
      <c r="BU202" s="717">
        <v>0.14350000000000002</v>
      </c>
      <c r="BV202" s="717">
        <v>0.15</v>
      </c>
      <c r="BW202" s="717">
        <v>0.1585</v>
      </c>
      <c r="BX202" s="717">
        <f t="shared" si="71"/>
        <v>-7.0000000000000007E-2</v>
      </c>
      <c r="BY202" s="717"/>
      <c r="BZ202" s="717">
        <f t="shared" si="72"/>
        <v>7.0000000000000007E-2</v>
      </c>
      <c r="CA202" s="756">
        <f t="shared" si="63"/>
        <v>0</v>
      </c>
      <c r="CB202" s="716">
        <f t="shared" si="73"/>
        <v>0</v>
      </c>
      <c r="CC202" s="789">
        <f t="shared" si="74"/>
        <v>3.6495000000000002</v>
      </c>
      <c r="CD202" s="793">
        <f t="shared" si="75"/>
        <v>0.1585</v>
      </c>
    </row>
    <row r="203" spans="1:82" ht="13.8" x14ac:dyDescent="0.3">
      <c r="A203" s="553">
        <f t="shared" si="69"/>
        <v>42705</v>
      </c>
      <c r="B203" s="717">
        <v>7.4181229590346009E-2</v>
      </c>
      <c r="C203" s="8"/>
      <c r="D203" s="989">
        <v>41548</v>
      </c>
      <c r="E203" s="990">
        <v>30.35</v>
      </c>
      <c r="F203" s="990">
        <v>32.1</v>
      </c>
      <c r="G203" s="990">
        <v>33.85</v>
      </c>
      <c r="H203" s="977"/>
      <c r="I203" s="990">
        <v>19.774998855590816</v>
      </c>
      <c r="J203" s="990">
        <v>20.649998855590816</v>
      </c>
      <c r="K203" s="990">
        <v>21.524998855590816</v>
      </c>
      <c r="L203" s="12"/>
      <c r="M203" s="1004">
        <v>42430</v>
      </c>
      <c r="N203" s="991">
        <v>22.572249603271473</v>
      </c>
      <c r="O203" s="991">
        <v>23.434749603271474</v>
      </c>
      <c r="P203" s="991">
        <v>24.297249603271474</v>
      </c>
      <c r="Q203" s="21"/>
      <c r="R203" s="991">
        <v>18.764498901367176</v>
      </c>
      <c r="S203" s="991">
        <v>23.064498901367177</v>
      </c>
      <c r="T203" s="991">
        <v>27.364498901367178</v>
      </c>
      <c r="U203" s="21"/>
      <c r="V203" s="991">
        <v>0.3</v>
      </c>
      <c r="W203" s="991">
        <v>0.3</v>
      </c>
      <c r="X203" s="991">
        <v>0.3</v>
      </c>
      <c r="Y203" s="21"/>
      <c r="Z203" s="991">
        <v>6.1554031067100196E-2</v>
      </c>
      <c r="AA203" s="991">
        <v>0.12310806213420039</v>
      </c>
      <c r="AB203" s="991">
        <v>0.18466209320130059</v>
      </c>
      <c r="AC203" s="21"/>
      <c r="AD203" s="991">
        <v>2.1713931617774868E-2</v>
      </c>
      <c r="AE203" s="991">
        <v>4.3427863235549737E-2</v>
      </c>
      <c r="AF203" s="991">
        <v>6.5141794853324608E-2</v>
      </c>
      <c r="AG203" s="21"/>
      <c r="AH203" s="991">
        <v>-0.25</v>
      </c>
      <c r="AI203" s="991">
        <v>1.3</v>
      </c>
      <c r="AJ203" s="991">
        <v>0.3</v>
      </c>
      <c r="AK203" s="21"/>
      <c r="AL203" s="991">
        <v>-0.15</v>
      </c>
      <c r="AM203" s="991">
        <v>0.35</v>
      </c>
      <c r="AN203" s="991">
        <v>0.2</v>
      </c>
      <c r="AO203" s="21"/>
      <c r="AP203" s="12">
        <v>65</v>
      </c>
      <c r="AQ203" s="992">
        <v>0.4</v>
      </c>
      <c r="AR203" s="21"/>
      <c r="AS203" s="21"/>
      <c r="AT203" s="21"/>
      <c r="AU203" s="21"/>
      <c r="AV203" s="21"/>
      <c r="AW203" s="21"/>
      <c r="AX203" s="21"/>
      <c r="AY203" s="21"/>
      <c r="AZ203" s="21"/>
      <c r="BA203" s="21"/>
      <c r="BB203" s="21"/>
      <c r="BC203" s="21"/>
      <c r="BD203" s="21"/>
      <c r="BE203" s="21"/>
      <c r="BF203" s="21"/>
      <c r="BK203"/>
      <c r="BL203"/>
      <c r="BM203"/>
      <c r="BN203"/>
      <c r="BO203"/>
      <c r="BP203"/>
      <c r="BQ203" s="553">
        <f t="shared" si="70"/>
        <v>42614</v>
      </c>
      <c r="BR203" s="716">
        <v>3.6565000000000003</v>
      </c>
      <c r="BS203" s="716">
        <v>3.6615000000000002</v>
      </c>
      <c r="BT203" s="716">
        <v>3.6665000000000001</v>
      </c>
      <c r="BU203" s="717">
        <v>0.14350000000000002</v>
      </c>
      <c r="BV203" s="717">
        <v>0.15</v>
      </c>
      <c r="BW203" s="717">
        <v>0.1585</v>
      </c>
      <c r="BX203" s="717">
        <f t="shared" si="71"/>
        <v>-7.0000000000000007E-2</v>
      </c>
      <c r="BY203" s="717"/>
      <c r="BZ203" s="717">
        <f t="shared" si="72"/>
        <v>7.0000000000000007E-2</v>
      </c>
      <c r="CA203" s="756">
        <f t="shared" si="63"/>
        <v>0</v>
      </c>
      <c r="CB203" s="716">
        <f t="shared" si="73"/>
        <v>0</v>
      </c>
      <c r="CC203" s="789">
        <f t="shared" si="74"/>
        <v>3.6565000000000003</v>
      </c>
      <c r="CD203" s="793">
        <f t="shared" si="75"/>
        <v>0.1585</v>
      </c>
    </row>
    <row r="204" spans="1:82" ht="13.8" x14ac:dyDescent="0.3">
      <c r="A204" s="553">
        <f t="shared" si="69"/>
        <v>42736</v>
      </c>
      <c r="B204" s="717">
        <v>7.4180934872467005E-2</v>
      </c>
      <c r="C204" s="8"/>
      <c r="D204" s="989">
        <v>41579</v>
      </c>
      <c r="E204" s="990">
        <v>30.725000000000001</v>
      </c>
      <c r="F204" s="990">
        <v>32.475000000000001</v>
      </c>
      <c r="G204" s="990">
        <v>34.225000000000001</v>
      </c>
      <c r="H204" s="977"/>
      <c r="I204" s="990">
        <v>19.699998092651363</v>
      </c>
      <c r="J204" s="990">
        <v>20.574998092651363</v>
      </c>
      <c r="K204" s="990">
        <v>21.449998092651363</v>
      </c>
      <c r="L204" s="12"/>
      <c r="M204" s="1004">
        <v>42461</v>
      </c>
      <c r="N204" s="991">
        <v>23.367500305175771</v>
      </c>
      <c r="O204" s="991">
        <v>24.117500305175771</v>
      </c>
      <c r="P204" s="991">
        <v>24.867500305175771</v>
      </c>
      <c r="Q204" s="21"/>
      <c r="R204" s="991">
        <v>18.534999084472645</v>
      </c>
      <c r="S204" s="991">
        <v>22.834999084472646</v>
      </c>
      <c r="T204" s="991">
        <v>27.134999084472646</v>
      </c>
      <c r="U204" s="21"/>
      <c r="V204" s="991">
        <v>0.3</v>
      </c>
      <c r="W204" s="991">
        <v>0.3</v>
      </c>
      <c r="X204" s="991">
        <v>0.3</v>
      </c>
      <c r="Y204" s="21"/>
      <c r="Z204" s="991">
        <v>5.4934757616192716E-2</v>
      </c>
      <c r="AA204" s="991">
        <v>0.10986951523238543</v>
      </c>
      <c r="AB204" s="991">
        <v>0.16480427284857815</v>
      </c>
      <c r="AC204" s="21"/>
      <c r="AD204" s="991">
        <v>2.1713931617774868E-2</v>
      </c>
      <c r="AE204" s="991">
        <v>4.3427863235549737E-2</v>
      </c>
      <c r="AF204" s="991">
        <v>6.5141794853324608E-2</v>
      </c>
      <c r="AG204" s="21"/>
      <c r="AH204" s="991">
        <v>-0.25</v>
      </c>
      <c r="AI204" s="991">
        <v>1.1000000000000001</v>
      </c>
      <c r="AJ204" s="991">
        <v>0.3</v>
      </c>
      <c r="AK204" s="21"/>
      <c r="AL204" s="991">
        <v>-0.15</v>
      </c>
      <c r="AM204" s="991">
        <v>0.35</v>
      </c>
      <c r="AN204" s="991">
        <v>0.2</v>
      </c>
      <c r="AO204" s="21"/>
      <c r="AP204" s="12">
        <v>66</v>
      </c>
      <c r="AQ204" s="992">
        <v>0.4</v>
      </c>
      <c r="AR204" s="21"/>
      <c r="AS204" s="21"/>
      <c r="AT204" s="21"/>
      <c r="AU204" s="21"/>
      <c r="AV204" s="21"/>
      <c r="AW204" s="21"/>
      <c r="AX204" s="21"/>
      <c r="AY204" s="21"/>
      <c r="AZ204" s="21"/>
      <c r="BA204" s="21"/>
      <c r="BB204" s="21"/>
      <c r="BC204" s="21"/>
      <c r="BD204" s="21"/>
      <c r="BE204" s="21"/>
      <c r="BF204" s="21"/>
      <c r="BK204"/>
      <c r="BL204"/>
      <c r="BM204"/>
      <c r="BN204"/>
      <c r="BO204"/>
      <c r="BP204"/>
      <c r="BQ204" s="553">
        <f t="shared" si="70"/>
        <v>42644</v>
      </c>
      <c r="BR204" s="716">
        <v>3.6825000000000001</v>
      </c>
      <c r="BS204" s="716">
        <v>3.6875</v>
      </c>
      <c r="BT204" s="716">
        <v>3.6924999999999999</v>
      </c>
      <c r="BU204" s="717">
        <v>0.14350000000000002</v>
      </c>
      <c r="BV204" s="717">
        <v>0.15</v>
      </c>
      <c r="BW204" s="717">
        <v>0.1585</v>
      </c>
      <c r="BX204" s="717">
        <f t="shared" si="71"/>
        <v>-7.0000000000000007E-2</v>
      </c>
      <c r="BY204" s="717"/>
      <c r="BZ204" s="717">
        <f t="shared" si="72"/>
        <v>7.0000000000000007E-2</v>
      </c>
      <c r="CA204" s="756">
        <f t="shared" si="63"/>
        <v>0</v>
      </c>
      <c r="CB204" s="716">
        <f t="shared" si="73"/>
        <v>0</v>
      </c>
      <c r="CC204" s="789">
        <f t="shared" si="74"/>
        <v>3.6825000000000001</v>
      </c>
      <c r="CD204" s="793">
        <f t="shared" si="75"/>
        <v>0.1585</v>
      </c>
    </row>
    <row r="205" spans="1:82" ht="13.8" x14ac:dyDescent="0.3">
      <c r="A205" s="553">
        <f t="shared" si="69"/>
        <v>42767</v>
      </c>
      <c r="B205" s="717">
        <v>7.4180640154587002E-2</v>
      </c>
      <c r="C205" s="8"/>
      <c r="D205" s="989">
        <v>41609</v>
      </c>
      <c r="E205" s="990">
        <v>30.6</v>
      </c>
      <c r="F205" s="990">
        <v>32.35</v>
      </c>
      <c r="G205" s="990">
        <v>34.1</v>
      </c>
      <c r="H205" s="977"/>
      <c r="I205" s="990">
        <v>21.124999237060543</v>
      </c>
      <c r="J205" s="990">
        <v>21.999999237060543</v>
      </c>
      <c r="K205" s="990">
        <v>22.874999237060543</v>
      </c>
      <c r="L205" s="12"/>
      <c r="M205" s="1004">
        <v>42491</v>
      </c>
      <c r="N205" s="991">
        <v>22.372500076293935</v>
      </c>
      <c r="O205" s="991">
        <v>24.232500076293935</v>
      </c>
      <c r="P205" s="991">
        <v>26.092500076293934</v>
      </c>
      <c r="Q205" s="21"/>
      <c r="R205" s="991">
        <v>19.064999771118153</v>
      </c>
      <c r="S205" s="991">
        <v>23.364999771118153</v>
      </c>
      <c r="T205" s="991">
        <v>27.664999771118154</v>
      </c>
      <c r="U205" s="21"/>
      <c r="V205" s="991">
        <v>0.3</v>
      </c>
      <c r="W205" s="991">
        <v>0.3</v>
      </c>
      <c r="X205" s="991">
        <v>0.3</v>
      </c>
      <c r="Y205" s="21"/>
      <c r="Z205" s="991">
        <v>6.3273999759068278E-2</v>
      </c>
      <c r="AA205" s="991">
        <v>0.12654799951813656</v>
      </c>
      <c r="AB205" s="991">
        <v>0.18982199927720483</v>
      </c>
      <c r="AC205" s="21"/>
      <c r="AD205" s="991">
        <v>2.5332920220737354E-2</v>
      </c>
      <c r="AE205" s="991">
        <v>5.0665840441474708E-2</v>
      </c>
      <c r="AF205" s="991">
        <v>7.5998760662212062E-2</v>
      </c>
      <c r="AG205" s="21"/>
      <c r="AH205" s="991">
        <v>-0.25</v>
      </c>
      <c r="AI205" s="991">
        <v>1.1000000000000001</v>
      </c>
      <c r="AJ205" s="991">
        <v>0.3</v>
      </c>
      <c r="AK205" s="21"/>
      <c r="AL205" s="991">
        <v>-0.15</v>
      </c>
      <c r="AM205" s="991">
        <v>0.5</v>
      </c>
      <c r="AN205" s="991">
        <v>0.2</v>
      </c>
      <c r="AO205" s="21"/>
      <c r="AP205" s="12">
        <v>66</v>
      </c>
      <c r="AQ205" s="992">
        <v>0.4</v>
      </c>
      <c r="AR205" s="21"/>
      <c r="AS205" s="21"/>
      <c r="AT205" s="21"/>
      <c r="AU205" s="21"/>
      <c r="AV205" s="21"/>
      <c r="AW205" s="21"/>
      <c r="AX205" s="21"/>
      <c r="AY205" s="21"/>
      <c r="AZ205" s="21"/>
      <c r="BA205" s="21"/>
      <c r="BB205" s="21"/>
      <c r="BC205" s="21"/>
      <c r="BD205" s="21"/>
      <c r="BE205" s="21"/>
      <c r="BF205" s="21"/>
      <c r="BK205"/>
      <c r="BL205"/>
      <c r="BM205"/>
      <c r="BN205"/>
      <c r="BO205"/>
      <c r="BP205"/>
      <c r="BQ205" s="553">
        <f t="shared" si="70"/>
        <v>42675</v>
      </c>
      <c r="BR205" s="716">
        <v>3.8174999999999999</v>
      </c>
      <c r="BS205" s="716">
        <v>3.8224999999999998</v>
      </c>
      <c r="BT205" s="716">
        <v>3.8275000000000001</v>
      </c>
      <c r="BU205" s="717">
        <v>0.14350000000000002</v>
      </c>
      <c r="BV205" s="717">
        <v>0.15</v>
      </c>
      <c r="BW205" s="717">
        <v>0.1585</v>
      </c>
      <c r="BX205" s="717">
        <f t="shared" si="71"/>
        <v>-7.0000000000000007E-2</v>
      </c>
      <c r="BY205" s="717"/>
      <c r="BZ205" s="717">
        <f t="shared" si="72"/>
        <v>7.0000000000000007E-2</v>
      </c>
      <c r="CA205" s="756">
        <f t="shared" si="63"/>
        <v>0</v>
      </c>
      <c r="CB205" s="716">
        <f t="shared" si="73"/>
        <v>0</v>
      </c>
      <c r="CC205" s="789">
        <f t="shared" si="74"/>
        <v>3.8174999999999999</v>
      </c>
      <c r="CD205" s="793">
        <f t="shared" si="75"/>
        <v>0.1585</v>
      </c>
    </row>
    <row r="206" spans="1:82" ht="13.8" x14ac:dyDescent="0.3">
      <c r="A206" s="553">
        <f t="shared" si="69"/>
        <v>42795</v>
      </c>
      <c r="B206" s="717">
        <v>7.4180373957791992E-2</v>
      </c>
      <c r="C206" s="8"/>
      <c r="D206" s="989">
        <v>41640</v>
      </c>
      <c r="E206" s="990">
        <v>36.75</v>
      </c>
      <c r="F206" s="990">
        <v>38.65</v>
      </c>
      <c r="G206" s="990">
        <v>40.549999999999997</v>
      </c>
      <c r="H206" s="977"/>
      <c r="I206" s="990">
        <v>21.040000152587886</v>
      </c>
      <c r="J206" s="990">
        <v>21.990000152587886</v>
      </c>
      <c r="K206" s="990">
        <v>22.940000152587885</v>
      </c>
      <c r="L206" s="12"/>
      <c r="M206" s="1004">
        <v>42522</v>
      </c>
      <c r="N206" s="991">
        <v>23.326250152587882</v>
      </c>
      <c r="O206" s="991">
        <v>28.658750152587881</v>
      </c>
      <c r="P206" s="991">
        <v>33.991250152587881</v>
      </c>
      <c r="Q206" s="21"/>
      <c r="R206" s="991">
        <v>17.842499542236318</v>
      </c>
      <c r="S206" s="991">
        <v>22.142499542236319</v>
      </c>
      <c r="T206" s="991">
        <v>26.44249954223632</v>
      </c>
      <c r="U206" s="21"/>
      <c r="V206" s="991">
        <v>0.3</v>
      </c>
      <c r="W206" s="991">
        <v>0.3</v>
      </c>
      <c r="X206" s="991">
        <v>0.3</v>
      </c>
      <c r="Y206" s="21"/>
      <c r="Z206" s="991">
        <v>7.9274920620710745E-2</v>
      </c>
      <c r="AA206" s="991">
        <v>0.15854984124142149</v>
      </c>
      <c r="AB206" s="991">
        <v>0.23782476186213225</v>
      </c>
      <c r="AC206" s="21"/>
      <c r="AD206" s="991">
        <v>3.2570897426662297E-2</v>
      </c>
      <c r="AE206" s="991">
        <v>6.5141794853324594E-2</v>
      </c>
      <c r="AF206" s="991">
        <v>9.7712692279986885E-2</v>
      </c>
      <c r="AG206" s="21"/>
      <c r="AH206" s="991">
        <v>-0.35</v>
      </c>
      <c r="AI206" s="991">
        <v>2</v>
      </c>
      <c r="AJ206" s="991">
        <v>0.3</v>
      </c>
      <c r="AK206" s="21"/>
      <c r="AL206" s="991">
        <v>-0.15</v>
      </c>
      <c r="AM206" s="991">
        <v>0.65</v>
      </c>
      <c r="AN206" s="991">
        <v>0.2</v>
      </c>
      <c r="AO206" s="21"/>
      <c r="AP206" s="12">
        <v>66</v>
      </c>
      <c r="AQ206" s="992">
        <v>0.4</v>
      </c>
      <c r="AR206" s="21"/>
      <c r="AS206" s="21"/>
      <c r="AT206" s="21"/>
      <c r="AU206" s="21"/>
      <c r="AV206" s="21"/>
      <c r="AW206" s="21"/>
      <c r="AX206" s="21"/>
      <c r="AY206" s="21"/>
      <c r="AZ206" s="21"/>
      <c r="BA206" s="21"/>
      <c r="BB206" s="21"/>
      <c r="BC206" s="21"/>
      <c r="BD206" s="21"/>
      <c r="BE206" s="21"/>
      <c r="BF206" s="21"/>
      <c r="BK206"/>
      <c r="BL206"/>
      <c r="BM206"/>
      <c r="BN206"/>
      <c r="BO206"/>
      <c r="BP206"/>
      <c r="BQ206" s="553">
        <f t="shared" si="70"/>
        <v>42705</v>
      </c>
      <c r="BR206" s="716">
        <v>3.9415</v>
      </c>
      <c r="BS206" s="716">
        <v>3.9465000000000003</v>
      </c>
      <c r="BT206" s="716">
        <v>3.9515000000000002</v>
      </c>
      <c r="BU206" s="717">
        <v>0.14350000000000002</v>
      </c>
      <c r="BV206" s="717">
        <v>0.15</v>
      </c>
      <c r="BW206" s="717">
        <v>0.1585</v>
      </c>
      <c r="BX206" s="717">
        <f t="shared" si="71"/>
        <v>-7.0000000000000007E-2</v>
      </c>
      <c r="BY206" s="717"/>
      <c r="BZ206" s="717">
        <f t="shared" si="72"/>
        <v>7.0000000000000007E-2</v>
      </c>
      <c r="CA206" s="756">
        <f t="shared" si="63"/>
        <v>0</v>
      </c>
      <c r="CB206" s="716">
        <f t="shared" si="73"/>
        <v>0</v>
      </c>
      <c r="CC206" s="789">
        <f t="shared" si="74"/>
        <v>3.9415</v>
      </c>
      <c r="CD206" s="793">
        <f t="shared" si="75"/>
        <v>0.1585</v>
      </c>
    </row>
    <row r="207" spans="1:82" ht="13.8" x14ac:dyDescent="0.3">
      <c r="A207" s="553">
        <f t="shared" si="69"/>
        <v>42826</v>
      </c>
      <c r="B207" s="717">
        <v>7.4180079239912003E-2</v>
      </c>
      <c r="C207" s="8"/>
      <c r="D207" s="989">
        <v>41671</v>
      </c>
      <c r="E207" s="990">
        <v>36.75</v>
      </c>
      <c r="F207" s="990">
        <v>38.65</v>
      </c>
      <c r="G207" s="990">
        <v>40.549999999999997</v>
      </c>
      <c r="H207" s="977"/>
      <c r="I207" s="990">
        <v>20.849997711181636</v>
      </c>
      <c r="J207" s="990">
        <v>21.799997711181636</v>
      </c>
      <c r="K207" s="990">
        <v>22.749997711181635</v>
      </c>
      <c r="L207" s="12"/>
      <c r="M207" s="1004">
        <v>42552</v>
      </c>
      <c r="N207" s="991">
        <v>38.111249542236365</v>
      </c>
      <c r="O207" s="991">
        <v>41.861249542236365</v>
      </c>
      <c r="P207" s="991">
        <v>45.611249542236365</v>
      </c>
      <c r="Q207" s="21"/>
      <c r="R207" s="991">
        <v>27.047499465942373</v>
      </c>
      <c r="S207" s="991">
        <v>31.347499465942374</v>
      </c>
      <c r="T207" s="991">
        <v>35.647499465942374</v>
      </c>
      <c r="U207" s="21"/>
      <c r="V207" s="991">
        <v>0.3</v>
      </c>
      <c r="W207" s="991">
        <v>0.3</v>
      </c>
      <c r="X207" s="991">
        <v>0.3</v>
      </c>
      <c r="Y207" s="21"/>
      <c r="Z207" s="991">
        <v>9.386859437074295E-2</v>
      </c>
      <c r="AA207" s="991">
        <v>0.1877371887414859</v>
      </c>
      <c r="AB207" s="991">
        <v>0.28160578311222884</v>
      </c>
      <c r="AC207" s="21"/>
      <c r="AD207" s="991">
        <v>4.3427863235549737E-2</v>
      </c>
      <c r="AE207" s="991">
        <v>8.6855726471099473E-2</v>
      </c>
      <c r="AF207" s="991">
        <v>0.13028358970664922</v>
      </c>
      <c r="AG207" s="21"/>
      <c r="AH207" s="991">
        <v>-0.35</v>
      </c>
      <c r="AI207" s="991">
        <v>3</v>
      </c>
      <c r="AJ207" s="991">
        <v>0.5</v>
      </c>
      <c r="AK207" s="21"/>
      <c r="AL207" s="991">
        <v>-0.15</v>
      </c>
      <c r="AM207" s="991">
        <v>0.75</v>
      </c>
      <c r="AN207" s="991">
        <v>0.2</v>
      </c>
      <c r="AO207" s="21"/>
      <c r="AP207" s="12">
        <v>67</v>
      </c>
      <c r="AQ207" s="992">
        <v>0.4</v>
      </c>
      <c r="AR207" s="21"/>
      <c r="AS207" s="21"/>
      <c r="AT207" s="21"/>
      <c r="AU207" s="21"/>
      <c r="AV207" s="21"/>
      <c r="AW207" s="21"/>
      <c r="AX207" s="21"/>
      <c r="AY207" s="21"/>
      <c r="AZ207" s="21"/>
      <c r="BA207" s="21"/>
      <c r="BB207" s="21"/>
      <c r="BC207" s="21"/>
      <c r="BD207" s="21"/>
      <c r="BE207" s="21"/>
      <c r="BF207" s="21"/>
      <c r="BK207"/>
      <c r="BL207"/>
      <c r="BM207"/>
      <c r="BN207"/>
      <c r="BO207"/>
      <c r="BP207"/>
      <c r="BQ207" s="553">
        <f t="shared" si="70"/>
        <v>42736</v>
      </c>
      <c r="BR207" s="716">
        <v>4.05</v>
      </c>
      <c r="BS207" s="716">
        <v>4.0549999999999997</v>
      </c>
      <c r="BT207" s="716">
        <v>4.0599999999999996</v>
      </c>
      <c r="BU207" s="717">
        <v>0.14350000000000002</v>
      </c>
      <c r="BV207" s="717">
        <v>0.15</v>
      </c>
      <c r="BW207" s="717">
        <v>0.1585</v>
      </c>
      <c r="BX207" s="717">
        <f t="shared" si="71"/>
        <v>-7.0000000000000007E-2</v>
      </c>
      <c r="BY207" s="717"/>
      <c r="BZ207" s="717">
        <f t="shared" si="72"/>
        <v>7.0000000000000007E-2</v>
      </c>
      <c r="CA207" s="756">
        <f t="shared" si="63"/>
        <v>0</v>
      </c>
      <c r="CB207" s="716">
        <f t="shared" si="73"/>
        <v>0</v>
      </c>
      <c r="CC207" s="789">
        <f t="shared" si="74"/>
        <v>4.05</v>
      </c>
      <c r="CD207" s="793">
        <f t="shared" si="75"/>
        <v>0.1585</v>
      </c>
    </row>
    <row r="208" spans="1:82" ht="13.8" x14ac:dyDescent="0.3">
      <c r="A208" s="553">
        <f t="shared" si="69"/>
        <v>42856</v>
      </c>
      <c r="B208" s="717">
        <v>7.4179794029059998E-2</v>
      </c>
      <c r="C208" s="8"/>
      <c r="D208" s="989">
        <v>41699</v>
      </c>
      <c r="E208" s="990">
        <v>33.85</v>
      </c>
      <c r="F208" s="990">
        <v>34.9</v>
      </c>
      <c r="G208" s="990">
        <v>35.950000000000003</v>
      </c>
      <c r="H208" s="977"/>
      <c r="I208" s="990">
        <v>20.27499961853027</v>
      </c>
      <c r="J208" s="990">
        <v>20.799999618530268</v>
      </c>
      <c r="K208" s="990">
        <v>21.324999618530267</v>
      </c>
      <c r="L208" s="12"/>
      <c r="M208" s="1004">
        <v>42583</v>
      </c>
      <c r="N208" s="991">
        <v>40.372499084472693</v>
      </c>
      <c r="O208" s="991">
        <v>44.122499084472693</v>
      </c>
      <c r="P208" s="991">
        <v>47.872499084472693</v>
      </c>
      <c r="Q208" s="21"/>
      <c r="R208" s="991">
        <v>28.545000839233406</v>
      </c>
      <c r="S208" s="991">
        <v>32.845000839233407</v>
      </c>
      <c r="T208" s="991">
        <v>37.145000839233404</v>
      </c>
      <c r="U208" s="21"/>
      <c r="V208" s="991">
        <v>0.8</v>
      </c>
      <c r="W208" s="991">
        <v>0.8</v>
      </c>
      <c r="X208" s="991">
        <v>0.8</v>
      </c>
      <c r="Y208" s="21"/>
      <c r="Z208" s="991">
        <v>9.2461347259132687E-2</v>
      </c>
      <c r="AA208" s="991">
        <v>0.18492269451826537</v>
      </c>
      <c r="AB208" s="991">
        <v>0.27738404177739806</v>
      </c>
      <c r="AC208" s="21"/>
      <c r="AD208" s="991">
        <v>4.3427863235549737E-2</v>
      </c>
      <c r="AE208" s="991">
        <v>8.6855726471099473E-2</v>
      </c>
      <c r="AF208" s="991">
        <v>0.13028358970664922</v>
      </c>
      <c r="AG208" s="21"/>
      <c r="AH208" s="991">
        <v>-0.35</v>
      </c>
      <c r="AI208" s="991">
        <v>3</v>
      </c>
      <c r="AJ208" s="991">
        <v>0.5</v>
      </c>
      <c r="AK208" s="21"/>
      <c r="AL208" s="991">
        <v>-0.15</v>
      </c>
      <c r="AM208" s="991">
        <v>0.75</v>
      </c>
      <c r="AN208" s="991">
        <v>0.2</v>
      </c>
      <c r="AO208" s="21"/>
      <c r="AP208" s="12">
        <v>67</v>
      </c>
      <c r="AQ208" s="992">
        <v>0.4</v>
      </c>
      <c r="AR208" s="21"/>
      <c r="AS208" s="21"/>
      <c r="AT208" s="21"/>
      <c r="AU208" s="21"/>
      <c r="AV208" s="21"/>
      <c r="AW208" s="21"/>
      <c r="AX208" s="21"/>
      <c r="AY208" s="21"/>
      <c r="AZ208" s="21"/>
      <c r="BA208" s="21"/>
      <c r="BB208" s="21"/>
      <c r="BC208" s="21"/>
      <c r="BD208" s="21"/>
      <c r="BE208" s="21"/>
      <c r="BF208" s="21"/>
      <c r="BK208"/>
      <c r="BL208"/>
      <c r="BM208"/>
      <c r="BN208"/>
      <c r="BO208"/>
      <c r="BP208"/>
      <c r="BQ208" s="553">
        <f t="shared" si="70"/>
        <v>42767</v>
      </c>
      <c r="BR208" s="716">
        <v>3.9320000000000004</v>
      </c>
      <c r="BS208" s="716">
        <v>3.9370000000000003</v>
      </c>
      <c r="BT208" s="716">
        <v>3.9420000000000002</v>
      </c>
      <c r="BU208" s="717">
        <v>0.14350000000000002</v>
      </c>
      <c r="BV208" s="717">
        <v>0.15</v>
      </c>
      <c r="BW208" s="717">
        <v>0.1585</v>
      </c>
      <c r="BX208" s="717">
        <f t="shared" si="71"/>
        <v>-7.0000000000000007E-2</v>
      </c>
      <c r="BY208" s="717"/>
      <c r="BZ208" s="717">
        <f t="shared" si="72"/>
        <v>7.0000000000000007E-2</v>
      </c>
      <c r="CA208" s="756">
        <f t="shared" si="63"/>
        <v>0</v>
      </c>
      <c r="CB208" s="716">
        <f t="shared" si="73"/>
        <v>0</v>
      </c>
      <c r="CC208" s="789">
        <f t="shared" si="74"/>
        <v>3.9320000000000004</v>
      </c>
      <c r="CD208" s="793">
        <f t="shared" si="75"/>
        <v>0.1585</v>
      </c>
    </row>
    <row r="209" spans="1:82" ht="13.8" x14ac:dyDescent="0.3">
      <c r="A209" s="553">
        <f t="shared" si="69"/>
        <v>42887</v>
      </c>
      <c r="B209" s="717">
        <v>7.4179499311179994E-2</v>
      </c>
      <c r="C209" s="8"/>
      <c r="D209" s="989">
        <v>41730</v>
      </c>
      <c r="E209" s="990">
        <v>32.75</v>
      </c>
      <c r="F209" s="990">
        <v>33.65</v>
      </c>
      <c r="G209" s="990">
        <v>34.549999999999997</v>
      </c>
      <c r="H209" s="977"/>
      <c r="I209" s="990">
        <v>20.349997711181636</v>
      </c>
      <c r="J209" s="990">
        <v>20.799997711181636</v>
      </c>
      <c r="K209" s="990">
        <v>21.249997711181635</v>
      </c>
      <c r="L209" s="12"/>
      <c r="M209" s="1004">
        <v>42614</v>
      </c>
      <c r="N209" s="991">
        <v>23.854999160766589</v>
      </c>
      <c r="O209" s="991">
        <v>25.504999160766591</v>
      </c>
      <c r="P209" s="991">
        <v>27.154999160766593</v>
      </c>
      <c r="Q209" s="21"/>
      <c r="R209" s="991">
        <v>21.7</v>
      </c>
      <c r="S209" s="991">
        <v>26</v>
      </c>
      <c r="T209" s="991">
        <v>30.3</v>
      </c>
      <c r="U209" s="21"/>
      <c r="V209" s="991">
        <v>0.8</v>
      </c>
      <c r="W209" s="991">
        <v>0.8</v>
      </c>
      <c r="X209" s="991">
        <v>0.8</v>
      </c>
      <c r="Y209" s="21"/>
      <c r="Z209" s="991">
        <v>6.1189189223349379E-2</v>
      </c>
      <c r="AA209" s="991">
        <v>0.12237837844669876</v>
      </c>
      <c r="AB209" s="991">
        <v>0.18356756767004814</v>
      </c>
      <c r="AC209" s="21"/>
      <c r="AD209" s="991">
        <v>2.8951908823699822E-2</v>
      </c>
      <c r="AE209" s="991">
        <v>5.7903817647399644E-2</v>
      </c>
      <c r="AF209" s="991">
        <v>8.6855726471099459E-2</v>
      </c>
      <c r="AG209" s="21"/>
      <c r="AH209" s="991">
        <v>-0.35</v>
      </c>
      <c r="AI209" s="991">
        <v>1.5</v>
      </c>
      <c r="AJ209" s="991">
        <v>0.3</v>
      </c>
      <c r="AK209" s="21"/>
      <c r="AL209" s="991">
        <v>-0.15</v>
      </c>
      <c r="AM209" s="991">
        <v>0.4</v>
      </c>
      <c r="AN209" s="991">
        <v>0.2</v>
      </c>
      <c r="AO209" s="21"/>
      <c r="AP209" s="12">
        <v>67</v>
      </c>
      <c r="AQ209" s="992">
        <v>0.4</v>
      </c>
      <c r="AR209" s="21"/>
      <c r="AS209" s="21"/>
      <c r="AT209" s="21"/>
      <c r="AU209" s="21"/>
      <c r="AV209" s="21"/>
      <c r="AW209" s="21"/>
      <c r="AX209" s="21"/>
      <c r="AY209" s="21"/>
      <c r="AZ209" s="21"/>
      <c r="BA209" s="21"/>
      <c r="BB209" s="21"/>
      <c r="BC209" s="21"/>
      <c r="BD209" s="21"/>
      <c r="BE209" s="21"/>
      <c r="BF209" s="21"/>
      <c r="BK209"/>
      <c r="BL209"/>
      <c r="BM209"/>
      <c r="BN209"/>
      <c r="BO209"/>
      <c r="BP209"/>
      <c r="BQ209" s="553">
        <f t="shared" si="70"/>
        <v>42795</v>
      </c>
      <c r="BR209" s="716">
        <v>3.8120000000000003</v>
      </c>
      <c r="BS209" s="716">
        <v>3.8170000000000002</v>
      </c>
      <c r="BT209" s="716">
        <v>3.8220000000000001</v>
      </c>
      <c r="BU209" s="717">
        <v>0.14350000000000002</v>
      </c>
      <c r="BV209" s="717">
        <v>0.15</v>
      </c>
      <c r="BW209" s="717">
        <v>0.1585</v>
      </c>
      <c r="BX209" s="717">
        <f t="shared" si="71"/>
        <v>-7.0000000000000007E-2</v>
      </c>
      <c r="BY209" s="717"/>
      <c r="BZ209" s="717">
        <f t="shared" si="72"/>
        <v>7.0000000000000007E-2</v>
      </c>
      <c r="CA209" s="756">
        <f t="shared" si="63"/>
        <v>0</v>
      </c>
      <c r="CB209" s="716">
        <f t="shared" si="73"/>
        <v>0</v>
      </c>
      <c r="CC209" s="789">
        <f t="shared" si="74"/>
        <v>3.8120000000000003</v>
      </c>
      <c r="CD209" s="793">
        <f t="shared" si="75"/>
        <v>0.1585</v>
      </c>
    </row>
    <row r="210" spans="1:82" ht="13.8" x14ac:dyDescent="0.3">
      <c r="A210" s="553">
        <f t="shared" si="69"/>
        <v>42917</v>
      </c>
      <c r="B210" s="717">
        <v>7.4179214100327989E-2</v>
      </c>
      <c r="C210" s="8"/>
      <c r="D210" s="989">
        <v>41760</v>
      </c>
      <c r="E210" s="990">
        <v>34.17</v>
      </c>
      <c r="F210" s="990">
        <v>36.65</v>
      </c>
      <c r="G210" s="990">
        <v>39.130000000000003</v>
      </c>
      <c r="H210" s="977"/>
      <c r="I210" s="990">
        <v>19.559997711181637</v>
      </c>
      <c r="J210" s="990">
        <v>20.799997711181636</v>
      </c>
      <c r="K210" s="990">
        <v>22.039997711181634</v>
      </c>
      <c r="L210" s="12"/>
      <c r="M210" s="1004">
        <v>42644</v>
      </c>
      <c r="N210" s="991">
        <v>24.063000106811511</v>
      </c>
      <c r="O210" s="991">
        <v>25.600500106811513</v>
      </c>
      <c r="P210" s="991">
        <v>27.138000106811514</v>
      </c>
      <c r="Q210" s="21"/>
      <c r="R210" s="991">
        <v>19.300999832153309</v>
      </c>
      <c r="S210" s="991">
        <v>23.60099983215331</v>
      </c>
      <c r="T210" s="991">
        <v>27.90099983215331</v>
      </c>
      <c r="U210" s="21"/>
      <c r="V210" s="991">
        <v>0.8</v>
      </c>
      <c r="W210" s="991">
        <v>0.8</v>
      </c>
      <c r="X210" s="991">
        <v>0.8</v>
      </c>
      <c r="Y210" s="21"/>
      <c r="Z210" s="991">
        <v>5.5664441303694329E-2</v>
      </c>
      <c r="AA210" s="991">
        <v>0.11132888260738866</v>
      </c>
      <c r="AB210" s="991">
        <v>0.16699332391108299</v>
      </c>
      <c r="AC210" s="21"/>
      <c r="AD210" s="991">
        <v>2.1713931617774868E-2</v>
      </c>
      <c r="AE210" s="991">
        <v>4.3427863235549737E-2</v>
      </c>
      <c r="AF210" s="991">
        <v>6.5141794853324608E-2</v>
      </c>
      <c r="AG210" s="21"/>
      <c r="AH210" s="991">
        <v>-0.25</v>
      </c>
      <c r="AI210" s="991">
        <v>1.1000000000000001</v>
      </c>
      <c r="AJ210" s="991">
        <v>0.3</v>
      </c>
      <c r="AK210" s="21"/>
      <c r="AL210" s="991">
        <v>-0.15</v>
      </c>
      <c r="AM210" s="991">
        <v>0.35</v>
      </c>
      <c r="AN210" s="991">
        <v>0.2</v>
      </c>
      <c r="AO210" s="21"/>
      <c r="AP210" s="12">
        <v>68</v>
      </c>
      <c r="AQ210" s="992">
        <v>0.4</v>
      </c>
      <c r="AR210" s="21"/>
      <c r="AS210" s="21"/>
      <c r="AT210" s="21"/>
      <c r="AU210" s="21"/>
      <c r="AV210" s="21"/>
      <c r="AW210" s="21"/>
      <c r="AX210" s="21"/>
      <c r="AY210" s="21"/>
      <c r="AZ210" s="21"/>
      <c r="BA210" s="21"/>
      <c r="BB210" s="21"/>
      <c r="BC210" s="21"/>
      <c r="BD210" s="21"/>
      <c r="BE210" s="21"/>
      <c r="BF210" s="21"/>
      <c r="BK210"/>
      <c r="BL210"/>
      <c r="BM210"/>
      <c r="BN210"/>
      <c r="BO210"/>
      <c r="BP210"/>
      <c r="BQ210" s="553">
        <f t="shared" si="70"/>
        <v>42826</v>
      </c>
      <c r="BR210" s="716">
        <v>3.7625000000000002</v>
      </c>
      <c r="BS210" s="716">
        <v>3.7675000000000001</v>
      </c>
      <c r="BT210" s="716">
        <v>3.7725</v>
      </c>
      <c r="BU210" s="717">
        <v>0.14350000000000002</v>
      </c>
      <c r="BV210" s="717">
        <v>0.15</v>
      </c>
      <c r="BW210" s="717">
        <v>0.1585</v>
      </c>
      <c r="BX210" s="717">
        <f t="shared" si="71"/>
        <v>-7.0000000000000007E-2</v>
      </c>
      <c r="BY210" s="717"/>
      <c r="BZ210" s="717">
        <f t="shared" si="72"/>
        <v>7.0000000000000007E-2</v>
      </c>
      <c r="CA210" s="756">
        <f t="shared" si="63"/>
        <v>0</v>
      </c>
      <c r="CB210" s="716">
        <f t="shared" si="73"/>
        <v>0</v>
      </c>
      <c r="CC210" s="789">
        <f t="shared" si="74"/>
        <v>3.7625000000000002</v>
      </c>
      <c r="CD210" s="793">
        <f t="shared" si="75"/>
        <v>0.1585</v>
      </c>
    </row>
    <row r="211" spans="1:82" ht="13.8" x14ac:dyDescent="0.3">
      <c r="A211" s="553">
        <f t="shared" si="69"/>
        <v>42948</v>
      </c>
      <c r="B211" s="717">
        <v>7.4178919382448999E-2</v>
      </c>
      <c r="C211" s="8"/>
      <c r="D211" s="989">
        <v>41791</v>
      </c>
      <c r="E211" s="990">
        <v>49.14</v>
      </c>
      <c r="F211" s="990">
        <v>56.25</v>
      </c>
      <c r="G211" s="990">
        <v>63.36</v>
      </c>
      <c r="H211" s="977"/>
      <c r="I211" s="990">
        <v>17.19999877929687</v>
      </c>
      <c r="J211" s="990">
        <v>20.754998779296869</v>
      </c>
      <c r="K211" s="990">
        <v>24.309998779296869</v>
      </c>
      <c r="L211" s="12"/>
      <c r="M211" s="1004">
        <v>42675</v>
      </c>
      <c r="N211" s="991">
        <v>25.06725158691405</v>
      </c>
      <c r="O211" s="991">
        <v>26.604751586914052</v>
      </c>
      <c r="P211" s="991">
        <v>28.142251586914053</v>
      </c>
      <c r="Q211" s="21"/>
      <c r="R211" s="991">
        <v>20.30449981689452</v>
      </c>
      <c r="S211" s="991">
        <v>24.604499816894521</v>
      </c>
      <c r="T211" s="991">
        <v>28.904499816894521</v>
      </c>
      <c r="U211" s="21"/>
      <c r="V211" s="991">
        <v>0.8</v>
      </c>
      <c r="W211" s="991">
        <v>0.8</v>
      </c>
      <c r="X211" s="991">
        <v>0.8</v>
      </c>
      <c r="Y211" s="21"/>
      <c r="Z211" s="991">
        <v>5.5664441303694329E-2</v>
      </c>
      <c r="AA211" s="991">
        <v>0.11132888260738866</v>
      </c>
      <c r="AB211" s="991">
        <v>0.16699332391108299</v>
      </c>
      <c r="AC211" s="21"/>
      <c r="AD211" s="991">
        <v>2.1713931617774868E-2</v>
      </c>
      <c r="AE211" s="991">
        <v>4.3427863235549737E-2</v>
      </c>
      <c r="AF211" s="991">
        <v>6.5141794853324608E-2</v>
      </c>
      <c r="AG211" s="21"/>
      <c r="AH211" s="991">
        <v>-0.25</v>
      </c>
      <c r="AI211" s="991">
        <v>1.25</v>
      </c>
      <c r="AJ211" s="991">
        <v>0.3</v>
      </c>
      <c r="AK211" s="21"/>
      <c r="AL211" s="991">
        <v>-0.15</v>
      </c>
      <c r="AM211" s="991">
        <v>0.3</v>
      </c>
      <c r="AN211" s="991">
        <v>0.2</v>
      </c>
      <c r="AO211" s="21"/>
      <c r="AP211" s="12">
        <v>68</v>
      </c>
      <c r="AQ211" s="992">
        <v>0.4</v>
      </c>
      <c r="AR211" s="21"/>
      <c r="AS211" s="21"/>
      <c r="AT211" s="21"/>
      <c r="AU211" s="21"/>
      <c r="AV211" s="21"/>
      <c r="AW211" s="21"/>
      <c r="AX211" s="21"/>
      <c r="AY211" s="21"/>
      <c r="AZ211" s="21"/>
      <c r="BA211" s="21"/>
      <c r="BB211" s="21"/>
      <c r="BC211" s="21"/>
      <c r="BD211" s="21"/>
      <c r="BE211" s="21"/>
      <c r="BF211" s="21"/>
      <c r="BK211"/>
      <c r="BL211"/>
      <c r="BM211"/>
      <c r="BN211"/>
      <c r="BO211"/>
      <c r="BP211"/>
      <c r="BQ211" s="553">
        <f t="shared" si="70"/>
        <v>42856</v>
      </c>
      <c r="BR211" s="716">
        <v>3.7365000000000004</v>
      </c>
      <c r="BS211" s="716">
        <v>3.7415000000000003</v>
      </c>
      <c r="BT211" s="716">
        <v>3.7465000000000002</v>
      </c>
      <c r="BU211" s="717">
        <v>0.14350000000000002</v>
      </c>
      <c r="BV211" s="717">
        <v>0.15</v>
      </c>
      <c r="BW211" s="717">
        <v>0.1585</v>
      </c>
      <c r="BX211" s="717">
        <f t="shared" si="71"/>
        <v>-7.0000000000000007E-2</v>
      </c>
      <c r="BY211" s="717"/>
      <c r="BZ211" s="717">
        <f t="shared" si="72"/>
        <v>7.0000000000000007E-2</v>
      </c>
      <c r="CA211" s="756">
        <f t="shared" si="63"/>
        <v>0</v>
      </c>
      <c r="CB211" s="716">
        <f t="shared" si="73"/>
        <v>0</v>
      </c>
      <c r="CC211" s="789">
        <f t="shared" si="74"/>
        <v>3.7365000000000004</v>
      </c>
      <c r="CD211" s="793">
        <f t="shared" si="75"/>
        <v>0.1585</v>
      </c>
    </row>
    <row r="212" spans="1:82" ht="13.8" x14ac:dyDescent="0.3">
      <c r="A212" s="553">
        <f t="shared" si="69"/>
        <v>42979</v>
      </c>
      <c r="B212" s="717">
        <v>7.4178624664568996E-2</v>
      </c>
      <c r="C212" s="8"/>
      <c r="D212" s="989">
        <v>41821</v>
      </c>
      <c r="E212" s="990">
        <v>79.5</v>
      </c>
      <c r="F212" s="990">
        <v>84.5</v>
      </c>
      <c r="G212" s="990">
        <v>89.5</v>
      </c>
      <c r="H212" s="977"/>
      <c r="I212" s="990">
        <v>22.749997711181635</v>
      </c>
      <c r="J212" s="990">
        <v>25.249997711181635</v>
      </c>
      <c r="K212" s="990">
        <v>27.749997711181635</v>
      </c>
      <c r="L212" s="12"/>
      <c r="M212" s="1004">
        <v>42705</v>
      </c>
      <c r="N212" s="991">
        <v>26.517498397827136</v>
      </c>
      <c r="O212" s="991">
        <v>28.054998397827138</v>
      </c>
      <c r="P212" s="991">
        <v>29.592498397827139</v>
      </c>
      <c r="Q212" s="21"/>
      <c r="R212" s="991">
        <v>20.249999237060536</v>
      </c>
      <c r="S212" s="991">
        <v>24.549999237060536</v>
      </c>
      <c r="T212" s="991">
        <v>28.849999237060537</v>
      </c>
      <c r="U212" s="21"/>
      <c r="V212" s="991">
        <v>0.8</v>
      </c>
      <c r="W212" s="991">
        <v>0.8</v>
      </c>
      <c r="X212" s="991">
        <v>0.8</v>
      </c>
      <c r="Y212" s="21"/>
      <c r="Z212" s="991">
        <v>5.7665859417984473E-2</v>
      </c>
      <c r="AA212" s="991">
        <v>0.11533171883596895</v>
      </c>
      <c r="AB212" s="991">
        <v>0.17299757825395343</v>
      </c>
      <c r="AC212" s="21"/>
      <c r="AD212" s="991">
        <v>2.1713931617774868E-2</v>
      </c>
      <c r="AE212" s="991">
        <v>4.3427863235549737E-2</v>
      </c>
      <c r="AF212" s="991">
        <v>6.5141794853324608E-2</v>
      </c>
      <c r="AG212" s="21"/>
      <c r="AH212" s="991">
        <v>-0.25</v>
      </c>
      <c r="AI212" s="991">
        <v>1.25</v>
      </c>
      <c r="AJ212" s="991">
        <v>0.35</v>
      </c>
      <c r="AK212" s="21"/>
      <c r="AL212" s="991">
        <v>-0.15</v>
      </c>
      <c r="AM212" s="991">
        <v>0.3</v>
      </c>
      <c r="AN212" s="991">
        <v>0.2</v>
      </c>
      <c r="AO212" s="21"/>
      <c r="AP212" s="12">
        <v>68</v>
      </c>
      <c r="AQ212" s="992">
        <v>0.4</v>
      </c>
      <c r="AR212" s="21"/>
      <c r="AS212" s="21"/>
      <c r="AT212" s="21"/>
      <c r="AU212" s="21"/>
      <c r="AV212" s="21"/>
      <c r="AW212" s="21"/>
      <c r="AX212" s="21"/>
      <c r="AY212" s="21"/>
      <c r="AZ212" s="21"/>
      <c r="BA212" s="21"/>
      <c r="BB212" s="21"/>
      <c r="BC212" s="21"/>
      <c r="BD212" s="21"/>
      <c r="BE212" s="21"/>
      <c r="BF212" s="21"/>
      <c r="BK212"/>
      <c r="BL212"/>
      <c r="BM212"/>
      <c r="BN212"/>
      <c r="BO212"/>
      <c r="BP212"/>
      <c r="BQ212" s="553">
        <f t="shared" si="70"/>
        <v>42887</v>
      </c>
      <c r="BR212" s="716">
        <v>3.7425000000000002</v>
      </c>
      <c r="BS212" s="716">
        <v>3.7475000000000001</v>
      </c>
      <c r="BT212" s="716">
        <v>3.7524999999999999</v>
      </c>
      <c r="BU212" s="717">
        <v>0.14350000000000002</v>
      </c>
      <c r="BV212" s="717">
        <v>0.15</v>
      </c>
      <c r="BW212" s="717">
        <v>0.1585</v>
      </c>
      <c r="BX212" s="717">
        <f t="shared" si="71"/>
        <v>-7.0000000000000007E-2</v>
      </c>
      <c r="BY212" s="717"/>
      <c r="BZ212" s="717">
        <f t="shared" si="72"/>
        <v>7.0000000000000007E-2</v>
      </c>
      <c r="CA212" s="756">
        <f t="shared" si="63"/>
        <v>0</v>
      </c>
      <c r="CB212" s="716">
        <f t="shared" si="73"/>
        <v>0</v>
      </c>
      <c r="CC212" s="789">
        <f t="shared" si="74"/>
        <v>3.7425000000000002</v>
      </c>
      <c r="CD212" s="793">
        <f t="shared" si="75"/>
        <v>0.1585</v>
      </c>
    </row>
    <row r="213" spans="1:82" ht="13.8" x14ac:dyDescent="0.3">
      <c r="A213" s="553">
        <f t="shared" si="69"/>
        <v>43009</v>
      </c>
      <c r="B213" s="717">
        <v>7.4178339453718004E-2</v>
      </c>
      <c r="C213" s="8"/>
      <c r="D213" s="989">
        <v>41852</v>
      </c>
      <c r="E213" s="990">
        <v>75</v>
      </c>
      <c r="F213" s="990">
        <v>80</v>
      </c>
      <c r="G213" s="990">
        <v>85</v>
      </c>
      <c r="H213" s="977"/>
      <c r="I213" s="990">
        <v>23.099998092651362</v>
      </c>
      <c r="J213" s="990">
        <v>25.599998092651362</v>
      </c>
      <c r="K213" s="990">
        <v>28.099998092651362</v>
      </c>
      <c r="L213" s="12"/>
      <c r="M213" s="1004">
        <v>42736</v>
      </c>
      <c r="N213" s="991">
        <v>29.798748779296865</v>
      </c>
      <c r="O213" s="991">
        <v>31.448748779296864</v>
      </c>
      <c r="P213" s="991">
        <v>33.098748779296862</v>
      </c>
      <c r="Q213" s="21"/>
      <c r="R213" s="991">
        <v>25.652500534057605</v>
      </c>
      <c r="S213" s="991">
        <v>29.952500534057606</v>
      </c>
      <c r="T213" s="991">
        <v>34.252500534057603</v>
      </c>
      <c r="U213" s="21"/>
      <c r="V213" s="991">
        <v>0.8</v>
      </c>
      <c r="W213" s="991">
        <v>0.8</v>
      </c>
      <c r="X213" s="991">
        <v>0.8</v>
      </c>
      <c r="Y213" s="21"/>
      <c r="Z213" s="991">
        <v>6.2277923614224809E-2</v>
      </c>
      <c r="AA213" s="991">
        <v>0.12455584722844962</v>
      </c>
      <c r="AB213" s="991">
        <v>0.18683377084267444</v>
      </c>
      <c r="AC213" s="21"/>
      <c r="AD213" s="991">
        <v>2.4826261816322606E-2</v>
      </c>
      <c r="AE213" s="991">
        <v>4.9652523632645211E-2</v>
      </c>
      <c r="AF213" s="991">
        <v>7.4478785448967813E-2</v>
      </c>
      <c r="AG213" s="21"/>
      <c r="AH213" s="991">
        <v>-0.75</v>
      </c>
      <c r="AI213" s="991">
        <v>2</v>
      </c>
      <c r="AJ213" s="991">
        <v>0.75</v>
      </c>
      <c r="AK213" s="21"/>
      <c r="AL213" s="991">
        <v>-0.15</v>
      </c>
      <c r="AM213" s="991">
        <v>0.5</v>
      </c>
      <c r="AN213" s="991">
        <v>0.2</v>
      </c>
      <c r="AO213" s="21"/>
      <c r="AP213" s="12">
        <v>69</v>
      </c>
      <c r="AQ213" s="992">
        <v>0.4</v>
      </c>
      <c r="AR213" s="21"/>
      <c r="AS213" s="21"/>
      <c r="AT213" s="21"/>
      <c r="AU213" s="21"/>
      <c r="AV213" s="21"/>
      <c r="AW213" s="21"/>
      <c r="AX213" s="21"/>
      <c r="AY213" s="21"/>
      <c r="AZ213" s="21"/>
      <c r="BA213" s="21"/>
      <c r="BB213" s="21"/>
      <c r="BC213" s="21"/>
      <c r="BD213" s="21"/>
      <c r="BE213" s="21"/>
      <c r="BF213" s="21"/>
      <c r="BK213"/>
      <c r="BL213"/>
      <c r="BM213"/>
      <c r="BN213"/>
      <c r="BO213"/>
      <c r="BP213"/>
      <c r="BQ213" s="553">
        <f t="shared" si="70"/>
        <v>42917</v>
      </c>
      <c r="BR213" s="716">
        <v>3.7524999999999999</v>
      </c>
      <c r="BS213" s="716">
        <v>3.7574999999999998</v>
      </c>
      <c r="BT213" s="716">
        <v>3.7625000000000002</v>
      </c>
      <c r="BU213" s="717">
        <v>0.14350000000000002</v>
      </c>
      <c r="BV213" s="717">
        <v>0.15</v>
      </c>
      <c r="BW213" s="717">
        <v>0.1585</v>
      </c>
      <c r="BX213" s="717">
        <f t="shared" si="71"/>
        <v>-7.0000000000000007E-2</v>
      </c>
      <c r="BY213" s="717"/>
      <c r="BZ213" s="717">
        <f t="shared" si="72"/>
        <v>7.0000000000000007E-2</v>
      </c>
      <c r="CA213" s="756">
        <f t="shared" si="63"/>
        <v>0</v>
      </c>
      <c r="CB213" s="716">
        <f t="shared" si="73"/>
        <v>0</v>
      </c>
      <c r="CC213" s="789">
        <f t="shared" si="74"/>
        <v>3.7524999999999999</v>
      </c>
      <c r="CD213" s="793">
        <f t="shared" si="75"/>
        <v>0.1585</v>
      </c>
    </row>
    <row r="214" spans="1:82" ht="13.8" x14ac:dyDescent="0.3">
      <c r="A214" s="553">
        <f t="shared" si="69"/>
        <v>43040</v>
      </c>
      <c r="B214" s="717">
        <v>7.4178044735838E-2</v>
      </c>
      <c r="C214" s="8"/>
      <c r="D214" s="989">
        <v>41883</v>
      </c>
      <c r="E214" s="990">
        <v>32.65</v>
      </c>
      <c r="F214" s="990">
        <v>34.65</v>
      </c>
      <c r="G214" s="990">
        <v>36.65</v>
      </c>
      <c r="H214" s="977"/>
      <c r="I214" s="990">
        <v>20.149998092651362</v>
      </c>
      <c r="J214" s="990">
        <v>21.149998092651362</v>
      </c>
      <c r="K214" s="990">
        <v>22.149998092651362</v>
      </c>
      <c r="L214" s="12"/>
      <c r="M214" s="1004">
        <v>42767</v>
      </c>
      <c r="N214" s="991">
        <v>28.796250152587881</v>
      </c>
      <c r="O214" s="991">
        <v>30.446250152587879</v>
      </c>
      <c r="P214" s="991">
        <v>32.096250152587878</v>
      </c>
      <c r="Q214" s="21"/>
      <c r="R214" s="991">
        <v>23.647499465942371</v>
      </c>
      <c r="S214" s="991">
        <v>27.947499465942371</v>
      </c>
      <c r="T214" s="991">
        <v>32.247499465942369</v>
      </c>
      <c r="U214" s="21"/>
      <c r="V214" s="991">
        <v>0.3</v>
      </c>
      <c r="W214" s="991">
        <v>0.3</v>
      </c>
      <c r="X214" s="991">
        <v>0.3</v>
      </c>
      <c r="Y214" s="21"/>
      <c r="Z214" s="991">
        <v>6.0077290270965991E-2</v>
      </c>
      <c r="AA214" s="991">
        <v>0.12015458054193198</v>
      </c>
      <c r="AB214" s="991">
        <v>0.18023187081289799</v>
      </c>
      <c r="AC214" s="21"/>
      <c r="AD214" s="991">
        <v>2.4826261816322606E-2</v>
      </c>
      <c r="AE214" s="991">
        <v>4.9652523632645211E-2</v>
      </c>
      <c r="AF214" s="991">
        <v>7.4478785448967813E-2</v>
      </c>
      <c r="AG214" s="21"/>
      <c r="AH214" s="991">
        <v>-0.75</v>
      </c>
      <c r="AI214" s="991">
        <v>2</v>
      </c>
      <c r="AJ214" s="991">
        <v>0.75</v>
      </c>
      <c r="AK214" s="21"/>
      <c r="AL214" s="991">
        <v>-0.15</v>
      </c>
      <c r="AM214" s="991">
        <v>0.5</v>
      </c>
      <c r="AN214" s="991">
        <v>0.2</v>
      </c>
      <c r="AO214" s="21"/>
      <c r="AP214" s="12">
        <v>69</v>
      </c>
      <c r="AQ214" s="992">
        <v>0.4</v>
      </c>
      <c r="AR214" s="21"/>
      <c r="AS214" s="21"/>
      <c r="AT214" s="21"/>
      <c r="AU214" s="21"/>
      <c r="AV214" s="21"/>
      <c r="AW214" s="21"/>
      <c r="AX214" s="21"/>
      <c r="AY214" s="21"/>
      <c r="AZ214" s="21"/>
      <c r="BA214" s="21"/>
      <c r="BB214" s="21"/>
      <c r="BC214" s="21"/>
      <c r="BD214" s="21"/>
      <c r="BE214" s="21"/>
      <c r="BF214" s="21"/>
      <c r="BK214"/>
      <c r="BL214"/>
      <c r="BM214"/>
      <c r="BN214"/>
      <c r="BO214"/>
      <c r="BP214"/>
      <c r="BQ214" s="553">
        <f t="shared" si="70"/>
        <v>42948</v>
      </c>
      <c r="BR214" s="716">
        <v>3.7595000000000001</v>
      </c>
      <c r="BS214" s="716">
        <v>3.7645000000000004</v>
      </c>
      <c r="BT214" s="716">
        <v>3.7695000000000003</v>
      </c>
      <c r="BU214" s="717">
        <v>0.14350000000000002</v>
      </c>
      <c r="BV214" s="717">
        <v>0.15</v>
      </c>
      <c r="BW214" s="717">
        <v>0.1585</v>
      </c>
      <c r="BX214" s="717">
        <f t="shared" si="71"/>
        <v>-7.0000000000000007E-2</v>
      </c>
      <c r="BY214" s="717"/>
      <c r="BZ214" s="717">
        <f t="shared" si="72"/>
        <v>7.0000000000000007E-2</v>
      </c>
      <c r="CA214" s="756">
        <f t="shared" si="63"/>
        <v>0</v>
      </c>
      <c r="CB214" s="716">
        <f t="shared" si="73"/>
        <v>0</v>
      </c>
      <c r="CC214" s="789">
        <f t="shared" si="74"/>
        <v>3.7595000000000001</v>
      </c>
      <c r="CD214" s="793">
        <f t="shared" si="75"/>
        <v>0.1585</v>
      </c>
    </row>
    <row r="215" spans="1:82" ht="13.8" x14ac:dyDescent="0.3">
      <c r="A215" s="553">
        <f t="shared" si="69"/>
        <v>43070</v>
      </c>
      <c r="B215" s="717">
        <v>7.4177759524986994E-2</v>
      </c>
      <c r="C215" s="8"/>
      <c r="D215" s="989">
        <v>41913</v>
      </c>
      <c r="E215" s="990">
        <v>30.55</v>
      </c>
      <c r="F215" s="990">
        <v>32.4</v>
      </c>
      <c r="G215" s="990">
        <v>34.25</v>
      </c>
      <c r="H215" s="977"/>
      <c r="I215" s="990">
        <v>19.924998855590815</v>
      </c>
      <c r="J215" s="990">
        <v>20.849998855590815</v>
      </c>
      <c r="K215" s="990">
        <v>21.774998855590816</v>
      </c>
      <c r="L215" s="12"/>
      <c r="M215" s="1004">
        <v>42795</v>
      </c>
      <c r="N215" s="991">
        <v>22.734749603271474</v>
      </c>
      <c r="O215" s="991">
        <v>23.634749603271473</v>
      </c>
      <c r="P215" s="991">
        <v>24.534749603271472</v>
      </c>
      <c r="Q215" s="21"/>
      <c r="R215" s="991">
        <v>18.964498901367175</v>
      </c>
      <c r="S215" s="991">
        <v>23.264498901367176</v>
      </c>
      <c r="T215" s="991">
        <v>27.564498901367177</v>
      </c>
      <c r="U215" s="21"/>
      <c r="V215" s="991">
        <v>0.3</v>
      </c>
      <c r="W215" s="991">
        <v>0.3</v>
      </c>
      <c r="X215" s="991">
        <v>0.3</v>
      </c>
      <c r="Y215" s="21"/>
      <c r="Z215" s="991">
        <v>5.8476329513745186E-2</v>
      </c>
      <c r="AA215" s="991">
        <v>0.11695265902749037</v>
      </c>
      <c r="AB215" s="991">
        <v>0.17542898854123556</v>
      </c>
      <c r="AC215" s="21"/>
      <c r="AD215" s="991">
        <v>2.1279652985419371E-2</v>
      </c>
      <c r="AE215" s="991">
        <v>4.2559305970838741E-2</v>
      </c>
      <c r="AF215" s="991">
        <v>6.3838958956258116E-2</v>
      </c>
      <c r="AG215" s="21"/>
      <c r="AH215" s="991">
        <v>-0.25</v>
      </c>
      <c r="AI215" s="991">
        <v>1.3</v>
      </c>
      <c r="AJ215" s="991">
        <v>0.3</v>
      </c>
      <c r="AK215" s="21"/>
      <c r="AL215" s="991">
        <v>-0.15</v>
      </c>
      <c r="AM215" s="991">
        <v>0.35</v>
      </c>
      <c r="AN215" s="991">
        <v>0.2</v>
      </c>
      <c r="AO215" s="21"/>
      <c r="AP215" s="12">
        <v>69</v>
      </c>
      <c r="AQ215" s="992">
        <v>0.4</v>
      </c>
      <c r="AR215" s="21"/>
      <c r="AS215" s="21"/>
      <c r="AT215" s="21"/>
      <c r="AU215" s="21"/>
      <c r="AV215" s="21"/>
      <c r="AW215" s="21"/>
      <c r="AX215" s="21"/>
      <c r="AY215" s="21"/>
      <c r="AZ215" s="21"/>
      <c r="BA215" s="21"/>
      <c r="BB215" s="21"/>
      <c r="BC215" s="21"/>
      <c r="BD215" s="21"/>
      <c r="BE215" s="21"/>
      <c r="BF215" s="21"/>
      <c r="BK215"/>
      <c r="BL215"/>
      <c r="BM215"/>
      <c r="BN215"/>
      <c r="BO215"/>
      <c r="BP215"/>
      <c r="BQ215" s="553">
        <f t="shared" si="70"/>
        <v>42979</v>
      </c>
      <c r="BR215" s="716">
        <v>3.7665000000000002</v>
      </c>
      <c r="BS215" s="716">
        <v>3.7715000000000001</v>
      </c>
      <c r="BT215" s="716">
        <v>3.7765</v>
      </c>
      <c r="BU215" s="717">
        <v>0.14350000000000002</v>
      </c>
      <c r="BV215" s="717">
        <v>0.15</v>
      </c>
      <c r="BW215" s="717">
        <v>0.1585</v>
      </c>
      <c r="BX215" s="717">
        <f t="shared" ref="BX215:BX230" si="76">BY215-$BX$4</f>
        <v>-7.0000000000000007E-2</v>
      </c>
      <c r="BY215" s="717"/>
      <c r="BZ215" s="717">
        <f t="shared" ref="BZ215:BZ230" si="77">BY215+$BZ$4</f>
        <v>7.0000000000000007E-2</v>
      </c>
      <c r="CA215" s="756">
        <f t="shared" si="63"/>
        <v>0</v>
      </c>
      <c r="CB215" s="716">
        <f t="shared" ref="CB215:CB230" si="78">GasBasis</f>
        <v>0</v>
      </c>
      <c r="CC215" s="789">
        <f t="shared" ref="CC215:CC230" si="79">(IF(GasPriceCurve,IF(OBuySell=OCallPut,BT215,BR215),BS215)+CA215/1000+CB215)/(1-GasTransportPercent)</f>
        <v>3.7665000000000002</v>
      </c>
      <c r="CD215" s="793">
        <f t="shared" ref="CD215:CD230" si="80">IF(GasVolOver,GasVolOver,IF(OVolType=2,IF(OR(BU215="",BV215="",BW215=""),CD214,IF(GasVolCurve,IF(OBuySell,BU215,BW215),BV215)*GasVolAsPercentOfNYMEX),IF(OR(BU215="",BV215="",BW215="",BY215=""),CD214,SQRT(((IF(GasVolCurve,IF(OBuySell,BU215,BW215),BV215)*GasVolAsPercentOfNYMEX)^2*(BQ215-DateToday-1)+IF(GasVolCurve,IF(OBuySell,BX215,BZ215),BY215)^2*15)/(BQ215-DateToday+14))))+GasVolSpread)</f>
        <v>0.1585</v>
      </c>
    </row>
    <row r="216" spans="1:82" ht="13.8" x14ac:dyDescent="0.3">
      <c r="A216" s="553">
        <f t="shared" si="69"/>
        <v>43101</v>
      </c>
      <c r="B216" s="717">
        <v>7.4177464807107005E-2</v>
      </c>
      <c r="C216" s="8"/>
      <c r="D216" s="989">
        <v>41944</v>
      </c>
      <c r="E216" s="990">
        <v>30.925000000000001</v>
      </c>
      <c r="F216" s="990">
        <v>32.774999999999999</v>
      </c>
      <c r="G216" s="990">
        <v>34.625</v>
      </c>
      <c r="H216" s="977"/>
      <c r="I216" s="990">
        <v>19.849998092651362</v>
      </c>
      <c r="J216" s="990">
        <v>20.774998092651362</v>
      </c>
      <c r="K216" s="990">
        <v>21.699998092651363</v>
      </c>
      <c r="L216" s="12"/>
      <c r="M216" s="1004">
        <v>42826</v>
      </c>
      <c r="N216" s="991">
        <v>23.530000305175768</v>
      </c>
      <c r="O216" s="991">
        <v>24.31750030517577</v>
      </c>
      <c r="P216" s="991">
        <v>25.105000305175771</v>
      </c>
      <c r="Q216" s="21"/>
      <c r="R216" s="991">
        <v>18.734999084472644</v>
      </c>
      <c r="S216" s="991">
        <v>23.034999084472645</v>
      </c>
      <c r="T216" s="991">
        <v>27.334999084472646</v>
      </c>
      <c r="U216" s="21"/>
      <c r="V216" s="991">
        <v>0.3</v>
      </c>
      <c r="W216" s="991">
        <v>0.3</v>
      </c>
      <c r="X216" s="991">
        <v>0.3</v>
      </c>
      <c r="Y216" s="21"/>
      <c r="Z216" s="991">
        <v>5.2188019735383076E-2</v>
      </c>
      <c r="AA216" s="991">
        <v>0.10437603947076615</v>
      </c>
      <c r="AB216" s="991">
        <v>0.15656405920614924</v>
      </c>
      <c r="AC216" s="21"/>
      <c r="AD216" s="991">
        <v>2.1279652985419371E-2</v>
      </c>
      <c r="AE216" s="991">
        <v>4.2559305970838741E-2</v>
      </c>
      <c r="AF216" s="991">
        <v>6.3838958956258116E-2</v>
      </c>
      <c r="AG216" s="21"/>
      <c r="AH216" s="991">
        <v>-0.25</v>
      </c>
      <c r="AI216" s="991">
        <v>1.1000000000000001</v>
      </c>
      <c r="AJ216" s="991">
        <v>0.3</v>
      </c>
      <c r="AK216" s="21"/>
      <c r="AL216" s="991">
        <v>-0.15</v>
      </c>
      <c r="AM216" s="991">
        <v>0.35</v>
      </c>
      <c r="AN216" s="991">
        <v>0.2</v>
      </c>
      <c r="AO216" s="21"/>
      <c r="AP216" s="12">
        <v>70</v>
      </c>
      <c r="AQ216" s="992">
        <v>0.4</v>
      </c>
      <c r="AR216" s="21"/>
      <c r="AS216" s="21"/>
      <c r="AT216" s="21"/>
      <c r="AU216" s="21"/>
      <c r="AV216" s="21"/>
      <c r="AW216" s="21"/>
      <c r="AX216" s="21"/>
      <c r="AY216" s="21"/>
      <c r="AZ216" s="21"/>
      <c r="BA216" s="21"/>
      <c r="BB216" s="21"/>
      <c r="BC216" s="21"/>
      <c r="BD216" s="21"/>
      <c r="BE216" s="21"/>
      <c r="BF216" s="21"/>
      <c r="BK216"/>
      <c r="BL216"/>
      <c r="BM216"/>
      <c r="BN216"/>
      <c r="BO216"/>
      <c r="BP216"/>
      <c r="BQ216" s="553">
        <f t="shared" si="70"/>
        <v>43009</v>
      </c>
      <c r="BR216" s="716">
        <v>3.7925</v>
      </c>
      <c r="BS216" s="716">
        <v>3.7974999999999999</v>
      </c>
      <c r="BT216" s="716">
        <v>3.8025000000000002</v>
      </c>
      <c r="BU216" s="717">
        <v>0.14350000000000002</v>
      </c>
      <c r="BV216" s="717">
        <v>0.15</v>
      </c>
      <c r="BW216" s="717">
        <v>0.1585</v>
      </c>
      <c r="BX216" s="717">
        <f t="shared" si="76"/>
        <v>-7.0000000000000007E-2</v>
      </c>
      <c r="BY216" s="717"/>
      <c r="BZ216" s="717">
        <f t="shared" si="77"/>
        <v>7.0000000000000007E-2</v>
      </c>
      <c r="CA216" s="756">
        <f t="shared" si="63"/>
        <v>0</v>
      </c>
      <c r="CB216" s="716">
        <f t="shared" si="78"/>
        <v>0</v>
      </c>
      <c r="CC216" s="789">
        <f t="shared" si="79"/>
        <v>3.7925</v>
      </c>
      <c r="CD216" s="793">
        <f t="shared" si="80"/>
        <v>0.1585</v>
      </c>
    </row>
    <row r="217" spans="1:82" ht="13.8" x14ac:dyDescent="0.3">
      <c r="A217" s="553">
        <f t="shared" si="69"/>
        <v>43132</v>
      </c>
      <c r="B217" s="717">
        <v>7.4177170089227001E-2</v>
      </c>
      <c r="C217" s="8"/>
      <c r="D217" s="989">
        <v>41974</v>
      </c>
      <c r="E217" s="990">
        <v>30.8</v>
      </c>
      <c r="F217" s="990">
        <v>32.65</v>
      </c>
      <c r="G217" s="990">
        <v>34.5</v>
      </c>
      <c r="H217" s="977"/>
      <c r="I217" s="990">
        <v>21.274999237060541</v>
      </c>
      <c r="J217" s="990">
        <v>22.199999237060542</v>
      </c>
      <c r="K217" s="990">
        <v>23.124999237060543</v>
      </c>
      <c r="L217" s="12"/>
      <c r="M217" s="1004">
        <v>42856</v>
      </c>
      <c r="N217" s="991">
        <v>22.572500076293935</v>
      </c>
      <c r="O217" s="991">
        <v>24.432500076293934</v>
      </c>
      <c r="P217" s="991">
        <v>26.292500076293933</v>
      </c>
      <c r="Q217" s="21"/>
      <c r="R217" s="991">
        <v>19.264999771118152</v>
      </c>
      <c r="S217" s="991">
        <v>23.564999771118153</v>
      </c>
      <c r="T217" s="991">
        <v>27.864999771118153</v>
      </c>
      <c r="U217" s="21"/>
      <c r="V217" s="991">
        <v>0.3</v>
      </c>
      <c r="W217" s="991">
        <v>0.3</v>
      </c>
      <c r="X217" s="991">
        <v>0.3</v>
      </c>
      <c r="Y217" s="21"/>
      <c r="Z217" s="991">
        <v>6.0110299771114858E-2</v>
      </c>
      <c r="AA217" s="991">
        <v>0.12022059954222972</v>
      </c>
      <c r="AB217" s="991">
        <v>0.18033089931334456</v>
      </c>
      <c r="AC217" s="21"/>
      <c r="AD217" s="991">
        <v>2.4826261816322606E-2</v>
      </c>
      <c r="AE217" s="991">
        <v>4.9652523632645211E-2</v>
      </c>
      <c r="AF217" s="991">
        <v>7.4478785448967813E-2</v>
      </c>
      <c r="AG217" s="21"/>
      <c r="AH217" s="991">
        <v>-0.25</v>
      </c>
      <c r="AI217" s="991">
        <v>1.1000000000000001</v>
      </c>
      <c r="AJ217" s="991">
        <v>0.3</v>
      </c>
      <c r="AK217" s="21"/>
      <c r="AL217" s="991">
        <v>-0.15</v>
      </c>
      <c r="AM217" s="991">
        <v>0.5</v>
      </c>
      <c r="AN217" s="991">
        <v>0.2</v>
      </c>
      <c r="AO217" s="21"/>
      <c r="AP217" s="12">
        <v>70</v>
      </c>
      <c r="AQ217" s="992">
        <v>0.4</v>
      </c>
      <c r="AR217" s="21"/>
      <c r="AS217" s="21"/>
      <c r="AT217" s="21"/>
      <c r="AU217" s="21"/>
      <c r="AV217" s="21"/>
      <c r="AW217" s="21"/>
      <c r="AX217" s="21"/>
      <c r="AY217" s="21"/>
      <c r="AZ217" s="21"/>
      <c r="BA217" s="21"/>
      <c r="BB217" s="21"/>
      <c r="BC217" s="21"/>
      <c r="BD217" s="21"/>
      <c r="BE217" s="21"/>
      <c r="BF217" s="21"/>
      <c r="BK217"/>
      <c r="BL217"/>
      <c r="BM217"/>
      <c r="BN217"/>
      <c r="BO217"/>
      <c r="BP217"/>
      <c r="BQ217" s="553">
        <f t="shared" si="70"/>
        <v>43040</v>
      </c>
      <c r="BR217" s="716">
        <v>3.9275000000000002</v>
      </c>
      <c r="BS217" s="716">
        <v>3.9325000000000001</v>
      </c>
      <c r="BT217" s="716">
        <v>3.9375</v>
      </c>
      <c r="BU217" s="717">
        <v>0.14350000000000002</v>
      </c>
      <c r="BV217" s="717">
        <v>0.15</v>
      </c>
      <c r="BW217" s="717">
        <v>0.1585</v>
      </c>
      <c r="BX217" s="717">
        <f t="shared" si="76"/>
        <v>-7.0000000000000007E-2</v>
      </c>
      <c r="BY217" s="717"/>
      <c r="BZ217" s="717">
        <f t="shared" si="77"/>
        <v>7.0000000000000007E-2</v>
      </c>
      <c r="CA217" s="756">
        <f t="shared" si="63"/>
        <v>0</v>
      </c>
      <c r="CB217" s="716">
        <f t="shared" si="78"/>
        <v>0</v>
      </c>
      <c r="CC217" s="789">
        <f t="shared" si="79"/>
        <v>3.9275000000000002</v>
      </c>
      <c r="CD217" s="793">
        <f t="shared" si="80"/>
        <v>0.1585</v>
      </c>
    </row>
    <row r="218" spans="1:82" ht="13.8" x14ac:dyDescent="0.3">
      <c r="A218" s="553">
        <f t="shared" si="69"/>
        <v>43160</v>
      </c>
      <c r="B218" s="717">
        <v>7.4176903892433005E-2</v>
      </c>
      <c r="C218" s="8"/>
      <c r="D218" s="989">
        <v>42005</v>
      </c>
      <c r="E218" s="990">
        <v>36.950000000000003</v>
      </c>
      <c r="F218" s="990">
        <v>38.950000000000003</v>
      </c>
      <c r="G218" s="990">
        <v>40.950000000000003</v>
      </c>
      <c r="H218" s="977"/>
      <c r="I218" s="990">
        <v>21.190000152587885</v>
      </c>
      <c r="J218" s="990">
        <v>22.190000152587885</v>
      </c>
      <c r="K218" s="990">
        <v>23.190000152587885</v>
      </c>
      <c r="L218" s="12"/>
      <c r="M218" s="1004">
        <v>42887</v>
      </c>
      <c r="N218" s="991">
        <v>23.526250152587881</v>
      </c>
      <c r="O218" s="991">
        <v>28.858750152587881</v>
      </c>
      <c r="P218" s="991">
        <v>34.191250152587884</v>
      </c>
      <c r="Q218" s="21"/>
      <c r="R218" s="991">
        <v>18.042499542236317</v>
      </c>
      <c r="S218" s="991">
        <v>22.342499542236318</v>
      </c>
      <c r="T218" s="991">
        <v>26.642499542236319</v>
      </c>
      <c r="U218" s="21"/>
      <c r="V218" s="991">
        <v>0.3</v>
      </c>
      <c r="W218" s="991">
        <v>0.3</v>
      </c>
      <c r="X218" s="991">
        <v>0.3</v>
      </c>
      <c r="Y218" s="21"/>
      <c r="Z218" s="991">
        <v>7.5311174589675206E-2</v>
      </c>
      <c r="AA218" s="991">
        <v>0.15062234917935041</v>
      </c>
      <c r="AB218" s="991">
        <v>0.22593352376902562</v>
      </c>
      <c r="AC218" s="21"/>
      <c r="AD218" s="991">
        <v>3.1919479478129051E-2</v>
      </c>
      <c r="AE218" s="991">
        <v>6.3838958956258102E-2</v>
      </c>
      <c r="AF218" s="991">
        <v>9.5758438434387153E-2</v>
      </c>
      <c r="AG218" s="21"/>
      <c r="AH218" s="991">
        <v>-0.35</v>
      </c>
      <c r="AI218" s="991">
        <v>2</v>
      </c>
      <c r="AJ218" s="991">
        <v>0.3</v>
      </c>
      <c r="AK218" s="21"/>
      <c r="AL218" s="991">
        <v>-0.15</v>
      </c>
      <c r="AM218" s="991">
        <v>0.65</v>
      </c>
      <c r="AN218" s="991">
        <v>0.2</v>
      </c>
      <c r="AO218" s="21"/>
      <c r="AP218" s="12">
        <v>70</v>
      </c>
      <c r="AQ218" s="992">
        <v>0.4</v>
      </c>
      <c r="AR218" s="21"/>
      <c r="AS218" s="21"/>
      <c r="AT218" s="21"/>
      <c r="AU218" s="21"/>
      <c r="AV218" s="21"/>
      <c r="AW218" s="21"/>
      <c r="AX218" s="21"/>
      <c r="AY218" s="21"/>
      <c r="AZ218" s="21"/>
      <c r="BA218" s="21"/>
      <c r="BB218" s="21"/>
      <c r="BC218" s="21"/>
      <c r="BD218" s="21"/>
      <c r="BE218" s="21"/>
      <c r="BF218" s="21"/>
      <c r="BK218"/>
      <c r="BL218"/>
      <c r="BM218"/>
      <c r="BN218"/>
      <c r="BO218"/>
      <c r="BP218"/>
      <c r="BQ218" s="553">
        <f t="shared" si="70"/>
        <v>43070</v>
      </c>
      <c r="BR218" s="716">
        <v>4.0514999999999999</v>
      </c>
      <c r="BS218" s="716">
        <v>4.0564999999999998</v>
      </c>
      <c r="BT218" s="716">
        <v>4.0615000000000006</v>
      </c>
      <c r="BU218" s="717">
        <v>0.14350000000000002</v>
      </c>
      <c r="BV218" s="717">
        <v>0.15</v>
      </c>
      <c r="BW218" s="717">
        <v>0.1585</v>
      </c>
      <c r="BX218" s="717">
        <f t="shared" si="76"/>
        <v>-7.0000000000000007E-2</v>
      </c>
      <c r="BY218" s="717"/>
      <c r="BZ218" s="717">
        <f t="shared" si="77"/>
        <v>7.0000000000000007E-2</v>
      </c>
      <c r="CA218" s="756">
        <f t="shared" si="63"/>
        <v>0</v>
      </c>
      <c r="CB218" s="716">
        <f t="shared" si="78"/>
        <v>0</v>
      </c>
      <c r="CC218" s="789">
        <f t="shared" si="79"/>
        <v>4.0514999999999999</v>
      </c>
      <c r="CD218" s="793">
        <f t="shared" si="80"/>
        <v>0.1585</v>
      </c>
    </row>
    <row r="219" spans="1:82" ht="13.8" x14ac:dyDescent="0.3">
      <c r="A219" s="553">
        <f t="shared" si="69"/>
        <v>43191</v>
      </c>
      <c r="B219" s="717">
        <v>7.4176609174553002E-2</v>
      </c>
      <c r="C219" s="8"/>
      <c r="D219" s="989">
        <v>42036</v>
      </c>
      <c r="E219" s="990">
        <v>36.950000000000003</v>
      </c>
      <c r="F219" s="990">
        <v>38.950000000000003</v>
      </c>
      <c r="G219" s="990">
        <v>40.950000000000003</v>
      </c>
      <c r="H219" s="977"/>
      <c r="I219" s="990">
        <v>20.999997711181635</v>
      </c>
      <c r="J219" s="990">
        <v>21.999997711181635</v>
      </c>
      <c r="K219" s="990">
        <v>22.999997711181635</v>
      </c>
      <c r="L219" s="12"/>
      <c r="M219" s="1004">
        <v>42917</v>
      </c>
      <c r="N219" s="991">
        <v>38.311249542236368</v>
      </c>
      <c r="O219" s="991">
        <v>42.061249542236368</v>
      </c>
      <c r="P219" s="991">
        <v>45.811249542236368</v>
      </c>
      <c r="Q219" s="21"/>
      <c r="R219" s="991">
        <v>27.247499465942372</v>
      </c>
      <c r="S219" s="991">
        <v>31.547499465942373</v>
      </c>
      <c r="T219" s="991">
        <v>35.84749946594237</v>
      </c>
      <c r="U219" s="21"/>
      <c r="V219" s="991">
        <v>0.3</v>
      </c>
      <c r="W219" s="991">
        <v>0.3</v>
      </c>
      <c r="X219" s="991">
        <v>0.3</v>
      </c>
      <c r="Y219" s="21"/>
      <c r="Z219" s="991">
        <v>8.9175164652205804E-2</v>
      </c>
      <c r="AA219" s="991">
        <v>0.17835032930441161</v>
      </c>
      <c r="AB219" s="991">
        <v>0.2675254939566174</v>
      </c>
      <c r="AC219" s="21"/>
      <c r="AD219" s="991">
        <v>4.2559305970838741E-2</v>
      </c>
      <c r="AE219" s="991">
        <v>8.5118611941677483E-2</v>
      </c>
      <c r="AF219" s="991">
        <v>0.12767791791251623</v>
      </c>
      <c r="AG219" s="21"/>
      <c r="AH219" s="991">
        <v>-0.35</v>
      </c>
      <c r="AI219" s="991">
        <v>3</v>
      </c>
      <c r="AJ219" s="991">
        <v>0.5</v>
      </c>
      <c r="AK219" s="21"/>
      <c r="AL219" s="991">
        <v>-0.15</v>
      </c>
      <c r="AM219" s="991">
        <v>0.75</v>
      </c>
      <c r="AN219" s="991">
        <v>0.2</v>
      </c>
      <c r="AO219" s="21"/>
      <c r="AP219" s="12">
        <v>71</v>
      </c>
      <c r="AQ219" s="992">
        <v>0.4</v>
      </c>
      <c r="AR219" s="21"/>
      <c r="AS219" s="21"/>
      <c r="AT219" s="21"/>
      <c r="AU219" s="21"/>
      <c r="AV219" s="21"/>
      <c r="AW219" s="21"/>
      <c r="AX219" s="21"/>
      <c r="AY219" s="21"/>
      <c r="AZ219" s="21"/>
      <c r="BA219" s="21"/>
      <c r="BB219" s="21"/>
      <c r="BC219" s="21"/>
      <c r="BD219" s="21"/>
      <c r="BE219" s="21"/>
      <c r="BF219" s="21"/>
      <c r="BK219"/>
      <c r="BL219"/>
      <c r="BM219"/>
      <c r="BN219"/>
      <c r="BO219"/>
      <c r="BP219"/>
      <c r="BQ219" s="553">
        <f t="shared" si="70"/>
        <v>43101</v>
      </c>
      <c r="BR219" s="716">
        <v>4.165</v>
      </c>
      <c r="BS219" s="716">
        <v>4.17</v>
      </c>
      <c r="BT219" s="716">
        <v>4.1749999999999998</v>
      </c>
      <c r="BU219" s="717"/>
      <c r="BV219" s="717"/>
      <c r="BW219" s="717"/>
      <c r="BX219" s="717">
        <f t="shared" si="76"/>
        <v>-7.0000000000000007E-2</v>
      </c>
      <c r="BY219" s="717"/>
      <c r="BZ219" s="717">
        <f t="shared" si="77"/>
        <v>7.0000000000000007E-2</v>
      </c>
      <c r="CA219" s="756">
        <f t="shared" si="63"/>
        <v>0</v>
      </c>
      <c r="CB219" s="716">
        <f t="shared" si="78"/>
        <v>0</v>
      </c>
      <c r="CC219" s="789">
        <f t="shared" si="79"/>
        <v>4.165</v>
      </c>
      <c r="CD219" s="793">
        <f t="shared" si="80"/>
        <v>0.1585</v>
      </c>
    </row>
    <row r="220" spans="1:82" ht="13.8" x14ac:dyDescent="0.3">
      <c r="A220" s="553">
        <f t="shared" si="69"/>
        <v>43221</v>
      </c>
      <c r="B220" s="717">
        <v>7.4176323963702009E-2</v>
      </c>
      <c r="C220" s="8"/>
      <c r="D220" s="989">
        <v>42064</v>
      </c>
      <c r="E220" s="990">
        <v>34.1</v>
      </c>
      <c r="F220" s="990">
        <v>35.200000000000003</v>
      </c>
      <c r="G220" s="990">
        <v>36.299999999999997</v>
      </c>
      <c r="H220" s="977"/>
      <c r="I220" s="990">
        <v>20.449999618530267</v>
      </c>
      <c r="J220" s="990">
        <v>20.999999618530268</v>
      </c>
      <c r="K220" s="990">
        <v>21.549999618530268</v>
      </c>
      <c r="L220" s="12"/>
      <c r="M220" s="1004">
        <v>42948</v>
      </c>
      <c r="N220" s="991">
        <v>40.572499084472696</v>
      </c>
      <c r="O220" s="991">
        <v>44.322499084472696</v>
      </c>
      <c r="P220" s="991">
        <v>48.072499084472696</v>
      </c>
      <c r="Q220" s="21"/>
      <c r="R220" s="991">
        <v>28.745000839233409</v>
      </c>
      <c r="S220" s="991">
        <v>33.04500083923341</v>
      </c>
      <c r="T220" s="991">
        <v>37.345000839233407</v>
      </c>
      <c r="U220" s="21"/>
      <c r="V220" s="991">
        <v>0.8</v>
      </c>
      <c r="W220" s="991">
        <v>0.8</v>
      </c>
      <c r="X220" s="991">
        <v>0.8</v>
      </c>
      <c r="Y220" s="21"/>
      <c r="Z220" s="991">
        <v>8.7838279896176055E-2</v>
      </c>
      <c r="AA220" s="991">
        <v>0.17567655979235211</v>
      </c>
      <c r="AB220" s="991">
        <v>0.26351483968852818</v>
      </c>
      <c r="AC220" s="21"/>
      <c r="AD220" s="991">
        <v>4.2559305970838741E-2</v>
      </c>
      <c r="AE220" s="991">
        <v>8.5118611941677483E-2</v>
      </c>
      <c r="AF220" s="991">
        <v>0.12767791791251623</v>
      </c>
      <c r="AG220" s="21"/>
      <c r="AH220" s="991">
        <v>-0.35</v>
      </c>
      <c r="AI220" s="991">
        <v>3</v>
      </c>
      <c r="AJ220" s="991">
        <v>0.5</v>
      </c>
      <c r="AK220" s="21"/>
      <c r="AL220" s="991">
        <v>-0.15</v>
      </c>
      <c r="AM220" s="991">
        <v>0.75</v>
      </c>
      <c r="AN220" s="991">
        <v>0.2</v>
      </c>
      <c r="AO220" s="21"/>
      <c r="AP220" s="12">
        <v>71</v>
      </c>
      <c r="AQ220" s="992">
        <v>0.4</v>
      </c>
      <c r="AR220" s="21"/>
      <c r="AS220" s="21"/>
      <c r="AT220" s="21"/>
      <c r="AU220" s="21"/>
      <c r="AV220" s="21"/>
      <c r="AW220" s="21"/>
      <c r="AX220" s="21"/>
      <c r="AY220" s="21"/>
      <c r="AZ220" s="21"/>
      <c r="BA220" s="21"/>
      <c r="BB220" s="21"/>
      <c r="BC220" s="21"/>
      <c r="BD220" s="21"/>
      <c r="BE220" s="21"/>
      <c r="BF220" s="21"/>
      <c r="BK220"/>
      <c r="BL220"/>
      <c r="BM220"/>
      <c r="BN220"/>
      <c r="BO220"/>
      <c r="BP220"/>
      <c r="BQ220" s="553">
        <f t="shared" si="70"/>
        <v>43132</v>
      </c>
      <c r="BR220" s="716">
        <v>4.0470000000000006</v>
      </c>
      <c r="BS220" s="716">
        <v>4.0520000000000005</v>
      </c>
      <c r="BT220" s="716">
        <v>4.0570000000000004</v>
      </c>
      <c r="BU220" s="717"/>
      <c r="BV220" s="717"/>
      <c r="BW220" s="717"/>
      <c r="BX220" s="717">
        <f t="shared" si="76"/>
        <v>-7.0000000000000007E-2</v>
      </c>
      <c r="BY220" s="717"/>
      <c r="BZ220" s="717">
        <f t="shared" si="77"/>
        <v>7.0000000000000007E-2</v>
      </c>
      <c r="CA220" s="756">
        <f t="shared" si="63"/>
        <v>0</v>
      </c>
      <c r="CB220" s="716">
        <f t="shared" si="78"/>
        <v>0</v>
      </c>
      <c r="CC220" s="789">
        <f t="shared" si="79"/>
        <v>4.0470000000000006</v>
      </c>
      <c r="CD220" s="793">
        <f t="shared" si="80"/>
        <v>0.1585</v>
      </c>
    </row>
    <row r="221" spans="1:82" ht="13.8" x14ac:dyDescent="0.3">
      <c r="A221" s="553">
        <f t="shared" si="69"/>
        <v>43252</v>
      </c>
      <c r="B221" s="717">
        <v>7.4176029245822991E-2</v>
      </c>
      <c r="C221" s="8"/>
      <c r="D221" s="989">
        <v>42095</v>
      </c>
      <c r="E221" s="990">
        <v>33</v>
      </c>
      <c r="F221" s="990">
        <v>33.950000000000003</v>
      </c>
      <c r="G221" s="990">
        <v>34.9</v>
      </c>
      <c r="H221" s="977"/>
      <c r="I221" s="990">
        <v>20.524997711181634</v>
      </c>
      <c r="J221" s="990">
        <v>20.999997711181635</v>
      </c>
      <c r="K221" s="990">
        <v>21.474997711181636</v>
      </c>
      <c r="L221" s="12"/>
      <c r="M221" s="1004">
        <v>42979</v>
      </c>
      <c r="N221" s="991">
        <v>23.979999160766589</v>
      </c>
      <c r="O221" s="991">
        <v>25.70499916076659</v>
      </c>
      <c r="P221" s="991">
        <v>27.429999160766592</v>
      </c>
      <c r="Q221" s="21"/>
      <c r="R221" s="991">
        <v>21.9</v>
      </c>
      <c r="S221" s="991">
        <v>26.2</v>
      </c>
      <c r="T221" s="991">
        <v>30.5</v>
      </c>
      <c r="U221" s="21"/>
      <c r="V221" s="991">
        <v>0.8</v>
      </c>
      <c r="W221" s="991">
        <v>0.8</v>
      </c>
      <c r="X221" s="991">
        <v>0.8</v>
      </c>
      <c r="Y221" s="21"/>
      <c r="Z221" s="991">
        <v>5.8129729762181906E-2</v>
      </c>
      <c r="AA221" s="991">
        <v>0.11625945952436381</v>
      </c>
      <c r="AB221" s="991">
        <v>0.17438918928654573</v>
      </c>
      <c r="AC221" s="21"/>
      <c r="AD221" s="991">
        <v>2.8372870647225826E-2</v>
      </c>
      <c r="AE221" s="991">
        <v>5.6745741294451653E-2</v>
      </c>
      <c r="AF221" s="991">
        <v>8.5118611941677483E-2</v>
      </c>
      <c r="AG221" s="21"/>
      <c r="AH221" s="991">
        <v>-0.35</v>
      </c>
      <c r="AI221" s="991">
        <v>1.5</v>
      </c>
      <c r="AJ221" s="991">
        <v>0.3</v>
      </c>
      <c r="AK221" s="21"/>
      <c r="AL221" s="991">
        <v>-0.15</v>
      </c>
      <c r="AM221" s="991">
        <v>0.4</v>
      </c>
      <c r="AN221" s="991">
        <v>0.2</v>
      </c>
      <c r="AO221" s="21"/>
      <c r="AP221" s="12">
        <v>71</v>
      </c>
      <c r="AQ221" s="992">
        <v>0.4</v>
      </c>
      <c r="AR221" s="21"/>
      <c r="AS221" s="21"/>
      <c r="AT221" s="21"/>
      <c r="AU221" s="21"/>
      <c r="AV221" s="21"/>
      <c r="AW221" s="21"/>
      <c r="AX221" s="21"/>
      <c r="AY221" s="21"/>
      <c r="AZ221" s="21"/>
      <c r="BA221" s="21"/>
      <c r="BB221" s="21"/>
      <c r="BC221" s="21"/>
      <c r="BD221" s="21"/>
      <c r="BE221" s="21"/>
      <c r="BF221" s="21"/>
      <c r="BK221"/>
      <c r="BL221"/>
      <c r="BM221"/>
      <c r="BN221"/>
      <c r="BO221"/>
      <c r="BP221"/>
      <c r="BQ221" s="553">
        <f t="shared" si="70"/>
        <v>43160</v>
      </c>
      <c r="BR221" s="716">
        <v>3.927</v>
      </c>
      <c r="BS221" s="716">
        <v>3.9320000000000004</v>
      </c>
      <c r="BT221" s="716">
        <v>3.9370000000000003</v>
      </c>
      <c r="BU221" s="717"/>
      <c r="BV221" s="717"/>
      <c r="BW221" s="717"/>
      <c r="BX221" s="717">
        <f t="shared" si="76"/>
        <v>-7.0000000000000007E-2</v>
      </c>
      <c r="BY221" s="717"/>
      <c r="BZ221" s="717">
        <f t="shared" si="77"/>
        <v>7.0000000000000007E-2</v>
      </c>
      <c r="CA221" s="756">
        <f t="shared" si="63"/>
        <v>0</v>
      </c>
      <c r="CB221" s="716">
        <f t="shared" si="78"/>
        <v>0</v>
      </c>
      <c r="CC221" s="789">
        <f t="shared" si="79"/>
        <v>3.927</v>
      </c>
      <c r="CD221" s="793">
        <f t="shared" si="80"/>
        <v>0.1585</v>
      </c>
    </row>
    <row r="222" spans="1:82" ht="13.8" x14ac:dyDescent="0.3">
      <c r="A222" s="553">
        <f t="shared" si="69"/>
        <v>43282</v>
      </c>
      <c r="B222" s="717">
        <v>7.4175744034971999E-2</v>
      </c>
      <c r="C222" s="8"/>
      <c r="D222" s="989">
        <v>42125</v>
      </c>
      <c r="E222" s="990">
        <v>34.67</v>
      </c>
      <c r="F222" s="990">
        <v>37.15</v>
      </c>
      <c r="G222" s="990">
        <v>39.630000000000003</v>
      </c>
      <c r="H222" s="977"/>
      <c r="I222" s="990">
        <v>19.759997711181637</v>
      </c>
      <c r="J222" s="990">
        <v>20.999997711181635</v>
      </c>
      <c r="K222" s="990">
        <v>22.239997711181633</v>
      </c>
      <c r="L222" s="12"/>
      <c r="M222" s="1004">
        <v>43009</v>
      </c>
      <c r="N222" s="991">
        <v>24.188000106811511</v>
      </c>
      <c r="O222" s="991">
        <v>25.800500106811512</v>
      </c>
      <c r="P222" s="991">
        <v>27.413000106811513</v>
      </c>
      <c r="Q222" s="21"/>
      <c r="R222" s="991">
        <v>19.500999832153308</v>
      </c>
      <c r="S222" s="991">
        <v>23.800999832153309</v>
      </c>
      <c r="T222" s="991">
        <v>28.10099983215331</v>
      </c>
      <c r="U222" s="21"/>
      <c r="V222" s="991">
        <v>0.8</v>
      </c>
      <c r="W222" s="991">
        <v>0.8</v>
      </c>
      <c r="X222" s="991">
        <v>0.8</v>
      </c>
      <c r="Y222" s="21"/>
      <c r="Z222" s="991">
        <v>5.2881219238509608E-2</v>
      </c>
      <c r="AA222" s="991">
        <v>0.10576243847701922</v>
      </c>
      <c r="AB222" s="991">
        <v>0.15864365771552882</v>
      </c>
      <c r="AC222" s="21"/>
      <c r="AD222" s="991">
        <v>2.1279652985419371E-2</v>
      </c>
      <c r="AE222" s="991">
        <v>4.2559305970838741E-2</v>
      </c>
      <c r="AF222" s="991">
        <v>6.3838958956258116E-2</v>
      </c>
      <c r="AG222" s="21"/>
      <c r="AH222" s="991">
        <v>-0.25</v>
      </c>
      <c r="AI222" s="991">
        <v>1.1000000000000001</v>
      </c>
      <c r="AJ222" s="991">
        <v>0.3</v>
      </c>
      <c r="AK222" s="21"/>
      <c r="AL222" s="991">
        <v>-0.15</v>
      </c>
      <c r="AM222" s="991">
        <v>0.35</v>
      </c>
      <c r="AN222" s="991">
        <v>0.2</v>
      </c>
      <c r="AO222" s="21"/>
      <c r="AP222" s="12">
        <v>72</v>
      </c>
      <c r="AQ222" s="992">
        <v>0.4</v>
      </c>
      <c r="AR222" s="21"/>
      <c r="AS222" s="21"/>
      <c r="AT222" s="21"/>
      <c r="AU222" s="21"/>
      <c r="AV222" s="21"/>
      <c r="AW222" s="21"/>
      <c r="AX222" s="21"/>
      <c r="AY222" s="21"/>
      <c r="AZ222" s="21"/>
      <c r="BA222" s="21"/>
      <c r="BB222" s="21"/>
      <c r="BC222" s="21"/>
      <c r="BD222" s="21"/>
      <c r="BE222" s="21"/>
      <c r="BF222" s="21"/>
      <c r="BK222"/>
      <c r="BL222"/>
      <c r="BM222"/>
      <c r="BN222"/>
      <c r="BO222"/>
      <c r="BP222"/>
      <c r="BQ222" s="553">
        <f t="shared" si="70"/>
        <v>43191</v>
      </c>
      <c r="BR222" s="716">
        <v>3.8774999999999999</v>
      </c>
      <c r="BS222" s="716">
        <v>3.8824999999999998</v>
      </c>
      <c r="BT222" s="716">
        <v>3.8875000000000002</v>
      </c>
      <c r="BU222" s="717"/>
      <c r="BV222" s="717"/>
      <c r="BW222" s="717"/>
      <c r="BX222" s="717">
        <f t="shared" si="76"/>
        <v>-7.0000000000000007E-2</v>
      </c>
      <c r="BY222" s="717"/>
      <c r="BZ222" s="717">
        <f t="shared" si="77"/>
        <v>7.0000000000000007E-2</v>
      </c>
      <c r="CA222" s="756">
        <f t="shared" si="63"/>
        <v>0</v>
      </c>
      <c r="CB222" s="716">
        <f t="shared" si="78"/>
        <v>0</v>
      </c>
      <c r="CC222" s="789">
        <f t="shared" si="79"/>
        <v>3.8774999999999999</v>
      </c>
      <c r="CD222" s="793">
        <f t="shared" si="80"/>
        <v>0.1585</v>
      </c>
    </row>
    <row r="223" spans="1:82" ht="13.8" x14ac:dyDescent="0.3">
      <c r="A223" s="553">
        <f t="shared" si="69"/>
        <v>43313</v>
      </c>
      <c r="B223" s="717">
        <v>7.4175449317091996E-2</v>
      </c>
      <c r="C223" s="8"/>
      <c r="D223" s="989">
        <v>42156</v>
      </c>
      <c r="E223" s="990">
        <v>50.14</v>
      </c>
      <c r="F223" s="990">
        <v>57.25</v>
      </c>
      <c r="G223" s="990">
        <v>64.36</v>
      </c>
      <c r="H223" s="977"/>
      <c r="I223" s="990">
        <v>17.399998779296869</v>
      </c>
      <c r="J223" s="990">
        <v>20.954998779296869</v>
      </c>
      <c r="K223" s="990">
        <v>24.509998779296868</v>
      </c>
      <c r="L223" s="12"/>
      <c r="M223" s="1004">
        <v>43040</v>
      </c>
      <c r="N223" s="991">
        <v>25.19225158691405</v>
      </c>
      <c r="O223" s="991">
        <v>26.804751586914051</v>
      </c>
      <c r="P223" s="991">
        <v>28.417251586914052</v>
      </c>
      <c r="Q223" s="21"/>
      <c r="R223" s="991">
        <v>20.504499816894519</v>
      </c>
      <c r="S223" s="991">
        <v>24.80449981689452</v>
      </c>
      <c r="T223" s="991">
        <v>29.104499816894521</v>
      </c>
      <c r="U223" s="21"/>
      <c r="V223" s="991">
        <v>0.8</v>
      </c>
      <c r="W223" s="991">
        <v>0.8</v>
      </c>
      <c r="X223" s="991">
        <v>0.8</v>
      </c>
      <c r="Y223" s="21"/>
      <c r="Z223" s="991">
        <v>5.2881219238509608E-2</v>
      </c>
      <c r="AA223" s="991">
        <v>0.10576243847701922</v>
      </c>
      <c r="AB223" s="991">
        <v>0.15864365771552882</v>
      </c>
      <c r="AC223" s="21"/>
      <c r="AD223" s="991">
        <v>2.1279652985419371E-2</v>
      </c>
      <c r="AE223" s="991">
        <v>4.2559305970838741E-2</v>
      </c>
      <c r="AF223" s="991">
        <v>6.3838958956258116E-2</v>
      </c>
      <c r="AG223" s="21"/>
      <c r="AH223" s="991">
        <v>-0.25</v>
      </c>
      <c r="AI223" s="991">
        <v>1.25</v>
      </c>
      <c r="AJ223" s="991">
        <v>0.3</v>
      </c>
      <c r="AK223" s="21"/>
      <c r="AL223" s="991">
        <v>-0.15</v>
      </c>
      <c r="AM223" s="991">
        <v>0.3</v>
      </c>
      <c r="AN223" s="991">
        <v>0.2</v>
      </c>
      <c r="AO223" s="21"/>
      <c r="AP223" s="12">
        <v>72</v>
      </c>
      <c r="AQ223" s="992">
        <v>0.4</v>
      </c>
      <c r="AR223" s="21"/>
      <c r="AS223" s="21"/>
      <c r="AT223" s="21"/>
      <c r="AU223" s="21"/>
      <c r="AV223" s="21"/>
      <c r="AW223" s="21"/>
      <c r="AX223" s="21"/>
      <c r="AY223" s="21"/>
      <c r="AZ223" s="21"/>
      <c r="BA223" s="21"/>
      <c r="BB223" s="21"/>
      <c r="BC223" s="21"/>
      <c r="BD223" s="21"/>
      <c r="BE223" s="21"/>
      <c r="BF223" s="21"/>
      <c r="BK223"/>
      <c r="BL223"/>
      <c r="BM223"/>
      <c r="BN223"/>
      <c r="BO223"/>
      <c r="BP223"/>
      <c r="BQ223" s="553">
        <f t="shared" si="70"/>
        <v>43221</v>
      </c>
      <c r="BR223" s="716">
        <v>3.8515000000000001</v>
      </c>
      <c r="BS223" s="716">
        <v>3.8565</v>
      </c>
      <c r="BT223" s="716">
        <v>3.8615000000000004</v>
      </c>
      <c r="BU223" s="717"/>
      <c r="BV223" s="717"/>
      <c r="BW223" s="717"/>
      <c r="BX223" s="717">
        <f t="shared" si="76"/>
        <v>-7.0000000000000007E-2</v>
      </c>
      <c r="BY223" s="717"/>
      <c r="BZ223" s="717">
        <f t="shared" si="77"/>
        <v>7.0000000000000007E-2</v>
      </c>
      <c r="CA223" s="756">
        <f t="shared" si="63"/>
        <v>0</v>
      </c>
      <c r="CB223" s="716">
        <f t="shared" si="78"/>
        <v>0</v>
      </c>
      <c r="CC223" s="789">
        <f t="shared" si="79"/>
        <v>3.8515000000000001</v>
      </c>
      <c r="CD223" s="793">
        <f t="shared" si="80"/>
        <v>0.1585</v>
      </c>
    </row>
    <row r="224" spans="1:82" ht="13.8" x14ac:dyDescent="0.3">
      <c r="A224" s="553">
        <f t="shared" si="69"/>
        <v>43344</v>
      </c>
      <c r="B224" s="717">
        <v>7.4175154599212992E-2</v>
      </c>
      <c r="C224" s="8"/>
      <c r="D224" s="989">
        <v>42186</v>
      </c>
      <c r="E224" s="990">
        <v>81.5</v>
      </c>
      <c r="F224" s="990">
        <v>86.5</v>
      </c>
      <c r="G224" s="990">
        <v>91.5</v>
      </c>
      <c r="H224" s="977"/>
      <c r="I224" s="990">
        <v>22.949997711181634</v>
      </c>
      <c r="J224" s="990">
        <v>25.449997711181634</v>
      </c>
      <c r="K224" s="990">
        <v>27.949997711181634</v>
      </c>
      <c r="L224" s="12"/>
      <c r="M224" s="1004">
        <v>43070</v>
      </c>
      <c r="N224" s="991">
        <v>26.642498397827136</v>
      </c>
      <c r="O224" s="991">
        <v>28.254998397827137</v>
      </c>
      <c r="P224" s="991">
        <v>29.867498397827138</v>
      </c>
      <c r="Q224" s="21"/>
      <c r="R224" s="991">
        <v>20.449999237060535</v>
      </c>
      <c r="S224" s="991">
        <v>24.749999237060536</v>
      </c>
      <c r="T224" s="991">
        <v>29.049999237060536</v>
      </c>
      <c r="U224" s="21"/>
      <c r="V224" s="991">
        <v>0.8</v>
      </c>
      <c r="W224" s="991">
        <v>0.8</v>
      </c>
      <c r="X224" s="991">
        <v>0.8</v>
      </c>
      <c r="Y224" s="21"/>
      <c r="Z224" s="991">
        <v>5.4782566447085249E-2</v>
      </c>
      <c r="AA224" s="991">
        <v>0.1095651328941705</v>
      </c>
      <c r="AB224" s="991">
        <v>0.16434769934125576</v>
      </c>
      <c r="AC224" s="21"/>
      <c r="AD224" s="991">
        <v>2.1279652985419371E-2</v>
      </c>
      <c r="AE224" s="991">
        <v>4.2559305970838741E-2</v>
      </c>
      <c r="AF224" s="991">
        <v>6.3838958956258116E-2</v>
      </c>
      <c r="AG224" s="21"/>
      <c r="AH224" s="991">
        <v>-0.25</v>
      </c>
      <c r="AI224" s="991">
        <v>1.25</v>
      </c>
      <c r="AJ224" s="991">
        <v>0.3</v>
      </c>
      <c r="AK224" s="21"/>
      <c r="AL224" s="991">
        <v>-0.15</v>
      </c>
      <c r="AM224" s="991">
        <v>0.3</v>
      </c>
      <c r="AN224" s="991">
        <v>0.2</v>
      </c>
      <c r="AO224" s="21"/>
      <c r="AP224" s="12">
        <v>72</v>
      </c>
      <c r="AQ224" s="992">
        <v>0.4</v>
      </c>
      <c r="AR224" s="21"/>
      <c r="AS224" s="21"/>
      <c r="AT224" s="21"/>
      <c r="AU224" s="21"/>
      <c r="AV224" s="21"/>
      <c r="AW224" s="21"/>
      <c r="AX224" s="21"/>
      <c r="AY224" s="21"/>
      <c r="AZ224" s="21"/>
      <c r="BA224" s="21"/>
      <c r="BB224" s="21"/>
      <c r="BC224" s="21"/>
      <c r="BD224" s="21"/>
      <c r="BE224" s="21"/>
      <c r="BF224" s="21"/>
      <c r="BK224"/>
      <c r="BL224"/>
      <c r="BM224"/>
      <c r="BN224"/>
      <c r="BO224"/>
      <c r="BP224"/>
      <c r="BQ224" s="553">
        <f t="shared" si="70"/>
        <v>43252</v>
      </c>
      <c r="BR224" s="716">
        <v>3.8574999999999999</v>
      </c>
      <c r="BS224" s="716">
        <v>3.8624999999999998</v>
      </c>
      <c r="BT224" s="716">
        <v>3.8675000000000002</v>
      </c>
      <c r="BU224" s="717"/>
      <c r="BV224" s="717"/>
      <c r="BW224" s="717"/>
      <c r="BX224" s="717">
        <f t="shared" si="76"/>
        <v>-7.0000000000000007E-2</v>
      </c>
      <c r="BY224" s="717"/>
      <c r="BZ224" s="717">
        <f t="shared" si="77"/>
        <v>7.0000000000000007E-2</v>
      </c>
      <c r="CA224" s="756">
        <f t="shared" si="63"/>
        <v>0</v>
      </c>
      <c r="CB224" s="716">
        <f t="shared" si="78"/>
        <v>0</v>
      </c>
      <c r="CC224" s="789">
        <f t="shared" si="79"/>
        <v>3.8574999999999999</v>
      </c>
      <c r="CD224" s="793">
        <f t="shared" si="80"/>
        <v>0.1585</v>
      </c>
    </row>
    <row r="225" spans="1:82" ht="13.8" x14ac:dyDescent="0.3">
      <c r="A225" s="553">
        <f t="shared" si="69"/>
        <v>43374</v>
      </c>
      <c r="B225" s="717">
        <v>7.4174869388361001E-2</v>
      </c>
      <c r="C225" s="8"/>
      <c r="D225" s="989">
        <v>42217</v>
      </c>
      <c r="E225" s="990">
        <v>77</v>
      </c>
      <c r="F225" s="990">
        <v>82</v>
      </c>
      <c r="G225" s="990">
        <v>87</v>
      </c>
      <c r="H225" s="977"/>
      <c r="I225" s="990">
        <v>23.299998092651361</v>
      </c>
      <c r="J225" s="990">
        <v>25.799998092651361</v>
      </c>
      <c r="K225" s="990">
        <v>28.299998092651361</v>
      </c>
      <c r="L225" s="12"/>
      <c r="M225" s="1004">
        <v>43101</v>
      </c>
      <c r="N225" s="991">
        <v>29.998748779296861</v>
      </c>
      <c r="O225" s="991">
        <v>31.648748779296863</v>
      </c>
      <c r="P225" s="991">
        <v>33.298748779296865</v>
      </c>
      <c r="Q225" s="21"/>
      <c r="R225" s="991">
        <v>25.852500534057604</v>
      </c>
      <c r="S225" s="991">
        <v>30.152500534057605</v>
      </c>
      <c r="T225" s="991">
        <v>34.452500534057606</v>
      </c>
      <c r="U225" s="21"/>
      <c r="V225" s="991">
        <v>0.8</v>
      </c>
      <c r="W225" s="991">
        <v>0.8</v>
      </c>
      <c r="X225" s="991">
        <v>0.8</v>
      </c>
      <c r="Y225" s="21"/>
      <c r="Z225" s="991">
        <v>5.9164027433513566E-2</v>
      </c>
      <c r="AA225" s="991">
        <v>0.11832805486702713</v>
      </c>
      <c r="AB225" s="991">
        <v>0.1774920823005407</v>
      </c>
      <c r="AC225" s="21"/>
      <c r="AD225" s="991">
        <v>2.4329736579996153E-2</v>
      </c>
      <c r="AE225" s="991">
        <v>4.8659473159992306E-2</v>
      </c>
      <c r="AF225" s="991">
        <v>7.2989209739988459E-2</v>
      </c>
      <c r="AG225" s="21"/>
      <c r="AH225" s="991">
        <v>-0.75</v>
      </c>
      <c r="AI225" s="991">
        <v>2</v>
      </c>
      <c r="AJ225" s="991">
        <v>0.75</v>
      </c>
      <c r="AK225" s="21"/>
      <c r="AL225" s="991">
        <v>-0.15</v>
      </c>
      <c r="AM225" s="991">
        <v>0.5</v>
      </c>
      <c r="AN225" s="991">
        <v>0.2</v>
      </c>
      <c r="AO225" s="21"/>
      <c r="AP225" s="12">
        <v>73</v>
      </c>
      <c r="AQ225" s="992">
        <v>0.4</v>
      </c>
      <c r="AR225" s="21"/>
      <c r="AS225" s="21"/>
      <c r="AT225" s="21"/>
      <c r="AU225" s="21"/>
      <c r="AV225" s="21"/>
      <c r="AW225" s="21"/>
      <c r="AX225" s="21"/>
      <c r="AY225" s="21"/>
      <c r="AZ225" s="21"/>
      <c r="BA225" s="21"/>
      <c r="BB225" s="21"/>
      <c r="BC225" s="21"/>
      <c r="BD225" s="21"/>
      <c r="BE225" s="21"/>
      <c r="BF225" s="21"/>
      <c r="BK225"/>
      <c r="BL225"/>
      <c r="BM225"/>
      <c r="BN225"/>
      <c r="BO225"/>
      <c r="BP225"/>
      <c r="BQ225" s="553">
        <f t="shared" si="70"/>
        <v>43282</v>
      </c>
      <c r="BR225" s="716">
        <v>3.8675000000000002</v>
      </c>
      <c r="BS225" s="716">
        <v>3.8725000000000001</v>
      </c>
      <c r="BT225" s="716">
        <v>3.8774999999999999</v>
      </c>
      <c r="BU225" s="717"/>
      <c r="BV225" s="717"/>
      <c r="BW225" s="717"/>
      <c r="BX225" s="717">
        <f t="shared" si="76"/>
        <v>-7.0000000000000007E-2</v>
      </c>
      <c r="BY225" s="717"/>
      <c r="BZ225" s="717">
        <f t="shared" si="77"/>
        <v>7.0000000000000007E-2</v>
      </c>
      <c r="CA225" s="756">
        <f t="shared" si="63"/>
        <v>0</v>
      </c>
      <c r="CB225" s="716">
        <f t="shared" si="78"/>
        <v>0</v>
      </c>
      <c r="CC225" s="789">
        <f t="shared" si="79"/>
        <v>3.8675000000000002</v>
      </c>
      <c r="CD225" s="793">
        <f t="shared" si="80"/>
        <v>0.1585</v>
      </c>
    </row>
    <row r="226" spans="1:82" ht="13.8" x14ac:dyDescent="0.3">
      <c r="A226" s="553">
        <f t="shared" si="69"/>
        <v>43405</v>
      </c>
      <c r="B226" s="717">
        <v>7.4174574670481996E-2</v>
      </c>
      <c r="C226" s="8"/>
      <c r="D226" s="989">
        <v>42248</v>
      </c>
      <c r="E226" s="990">
        <v>32.85</v>
      </c>
      <c r="F226" s="990">
        <v>34.950000000000003</v>
      </c>
      <c r="G226" s="990">
        <v>37.049999999999997</v>
      </c>
      <c r="H226" s="977"/>
      <c r="I226" s="990">
        <v>20.299998092651361</v>
      </c>
      <c r="J226" s="990">
        <v>21.349998092651362</v>
      </c>
      <c r="K226" s="990">
        <v>22.399998092651362</v>
      </c>
      <c r="L226" s="12"/>
      <c r="M226" s="1004">
        <v>43132</v>
      </c>
      <c r="N226" s="991">
        <v>28.996250152587876</v>
      </c>
      <c r="O226" s="991">
        <v>30.646250152587879</v>
      </c>
      <c r="P226" s="991">
        <v>32.296250152587881</v>
      </c>
      <c r="Q226" s="21"/>
      <c r="R226" s="991">
        <v>23.84749946594237</v>
      </c>
      <c r="S226" s="991">
        <v>28.147499465942371</v>
      </c>
      <c r="T226" s="991">
        <v>32.447499465942371</v>
      </c>
      <c r="U226" s="21"/>
      <c r="V226" s="991">
        <v>0.3</v>
      </c>
      <c r="W226" s="991">
        <v>0.3</v>
      </c>
      <c r="X226" s="991">
        <v>0.3</v>
      </c>
      <c r="Y226" s="21"/>
      <c r="Z226" s="991">
        <v>5.7073425757417688E-2</v>
      </c>
      <c r="AA226" s="991">
        <v>0.11414685151483538</v>
      </c>
      <c r="AB226" s="991">
        <v>0.17122027727225306</v>
      </c>
      <c r="AC226" s="21"/>
      <c r="AD226" s="991">
        <v>2.4329736579996153E-2</v>
      </c>
      <c r="AE226" s="991">
        <v>4.8659473159992306E-2</v>
      </c>
      <c r="AF226" s="991">
        <v>7.2989209739988459E-2</v>
      </c>
      <c r="AG226" s="21"/>
      <c r="AH226" s="991">
        <v>-0.75</v>
      </c>
      <c r="AI226" s="991">
        <v>2</v>
      </c>
      <c r="AJ226" s="991">
        <v>0.75</v>
      </c>
      <c r="AK226" s="21"/>
      <c r="AL226" s="991">
        <v>-0.15</v>
      </c>
      <c r="AM226" s="991">
        <v>0.5</v>
      </c>
      <c r="AN226" s="991">
        <v>0.2</v>
      </c>
      <c r="AO226" s="21"/>
      <c r="AP226" s="12">
        <v>73</v>
      </c>
      <c r="AQ226" s="992">
        <v>0.4</v>
      </c>
      <c r="AR226" s="21"/>
      <c r="AS226" s="21"/>
      <c r="AT226" s="21"/>
      <c r="AU226" s="21"/>
      <c r="AV226" s="21"/>
      <c r="AW226" s="21"/>
      <c r="AX226" s="21"/>
      <c r="AY226" s="21"/>
      <c r="AZ226" s="21"/>
      <c r="BA226" s="21"/>
      <c r="BB226" s="21"/>
      <c r="BC226" s="21"/>
      <c r="BD226" s="21"/>
      <c r="BE226" s="21"/>
      <c r="BF226" s="21"/>
      <c r="BK226"/>
      <c r="BL226"/>
      <c r="BM226"/>
      <c r="BN226"/>
      <c r="BO226"/>
      <c r="BP226"/>
      <c r="BQ226" s="553">
        <f t="shared" si="70"/>
        <v>43313</v>
      </c>
      <c r="BR226" s="716">
        <v>3.8745000000000003</v>
      </c>
      <c r="BS226" s="716">
        <v>3.8795000000000002</v>
      </c>
      <c r="BT226" s="716">
        <v>3.8845000000000001</v>
      </c>
      <c r="BU226" s="717"/>
      <c r="BV226" s="717"/>
      <c r="BW226" s="717"/>
      <c r="BX226" s="717">
        <f t="shared" si="76"/>
        <v>-7.0000000000000007E-2</v>
      </c>
      <c r="BY226" s="717"/>
      <c r="BZ226" s="717">
        <f t="shared" si="77"/>
        <v>7.0000000000000007E-2</v>
      </c>
      <c r="CA226" s="756">
        <f t="shared" si="63"/>
        <v>0</v>
      </c>
      <c r="CB226" s="716">
        <f t="shared" si="78"/>
        <v>0</v>
      </c>
      <c r="CC226" s="789">
        <f t="shared" si="79"/>
        <v>3.8745000000000003</v>
      </c>
      <c r="CD226" s="793">
        <f t="shared" si="80"/>
        <v>0.1585</v>
      </c>
    </row>
    <row r="227" spans="1:82" ht="13.8" x14ac:dyDescent="0.3">
      <c r="A227" s="553">
        <f t="shared" si="69"/>
        <v>43435</v>
      </c>
      <c r="B227" s="717">
        <v>7.417428945963099E-2</v>
      </c>
      <c r="C227" s="8"/>
      <c r="D227" s="989">
        <v>42278</v>
      </c>
      <c r="E227" s="990">
        <v>30.75</v>
      </c>
      <c r="F227" s="990">
        <v>32.700000000000003</v>
      </c>
      <c r="G227" s="990">
        <v>34.65</v>
      </c>
      <c r="H227" s="977"/>
      <c r="I227" s="990">
        <v>20.074998855590813</v>
      </c>
      <c r="J227" s="990">
        <v>21.049998855590815</v>
      </c>
      <c r="K227" s="990">
        <v>22.024998855590816</v>
      </c>
      <c r="L227" s="12"/>
      <c r="M227" s="1004">
        <v>43160</v>
      </c>
      <c r="N227" s="991">
        <v>22.93474960327147</v>
      </c>
      <c r="O227" s="991">
        <v>23.834749603271472</v>
      </c>
      <c r="P227" s="991">
        <v>24.734749603271474</v>
      </c>
      <c r="Q227" s="21"/>
      <c r="R227" s="991">
        <v>19.164498901367175</v>
      </c>
      <c r="S227" s="991">
        <v>23.464498901367175</v>
      </c>
      <c r="T227" s="991">
        <v>27.764498901367176</v>
      </c>
      <c r="U227" s="21"/>
      <c r="V227" s="991">
        <v>0.3</v>
      </c>
      <c r="W227" s="991">
        <v>0.3</v>
      </c>
      <c r="X227" s="991">
        <v>0.3</v>
      </c>
      <c r="Y227" s="21"/>
      <c r="Z227" s="991">
        <v>5.5552513038057923E-2</v>
      </c>
      <c r="AA227" s="991">
        <v>0.11110502607611585</v>
      </c>
      <c r="AB227" s="991">
        <v>0.16665753911417377</v>
      </c>
      <c r="AC227" s="21"/>
      <c r="AD227" s="991">
        <v>2.0854059925710981E-2</v>
      </c>
      <c r="AE227" s="991">
        <v>4.1708119851421963E-2</v>
      </c>
      <c r="AF227" s="991">
        <v>6.2562179777132937E-2</v>
      </c>
      <c r="AG227" s="21"/>
      <c r="AH227" s="991">
        <v>-0.25</v>
      </c>
      <c r="AI227" s="991">
        <v>1.25</v>
      </c>
      <c r="AJ227" s="991">
        <v>0.3</v>
      </c>
      <c r="AK227" s="21"/>
      <c r="AL227" s="991">
        <v>-0.15</v>
      </c>
      <c r="AM227" s="991">
        <v>0.35</v>
      </c>
      <c r="AN227" s="991">
        <v>0.2</v>
      </c>
      <c r="AO227" s="21"/>
      <c r="AP227" s="12">
        <v>73</v>
      </c>
      <c r="AQ227" s="992">
        <v>0.4</v>
      </c>
      <c r="AR227" s="21"/>
      <c r="AS227" s="21"/>
      <c r="AT227" s="21"/>
      <c r="AU227" s="21"/>
      <c r="AV227" s="21"/>
      <c r="AW227" s="21"/>
      <c r="AX227" s="21"/>
      <c r="AY227" s="21"/>
      <c r="AZ227" s="21"/>
      <c r="BA227" s="21"/>
      <c r="BB227" s="21"/>
      <c r="BC227" s="21"/>
      <c r="BD227" s="21"/>
      <c r="BE227" s="21"/>
      <c r="BF227" s="21"/>
      <c r="BK227"/>
      <c r="BL227"/>
      <c r="BM227"/>
      <c r="BN227"/>
      <c r="BO227"/>
      <c r="BP227"/>
      <c r="BQ227" s="553">
        <f t="shared" si="70"/>
        <v>43344</v>
      </c>
      <c r="BR227" s="716">
        <v>3.8815000000000004</v>
      </c>
      <c r="BS227" s="716">
        <v>3.8865000000000003</v>
      </c>
      <c r="BT227" s="716">
        <v>3.8915000000000002</v>
      </c>
      <c r="BU227" s="717"/>
      <c r="BV227" s="717"/>
      <c r="BW227" s="717"/>
      <c r="BX227" s="717">
        <f t="shared" si="76"/>
        <v>-7.0000000000000007E-2</v>
      </c>
      <c r="BY227" s="717"/>
      <c r="BZ227" s="717">
        <f t="shared" si="77"/>
        <v>7.0000000000000007E-2</v>
      </c>
      <c r="CA227" s="756">
        <f t="shared" si="63"/>
        <v>0</v>
      </c>
      <c r="CB227" s="716">
        <f t="shared" si="78"/>
        <v>0</v>
      </c>
      <c r="CC227" s="789">
        <f t="shared" si="79"/>
        <v>3.8815000000000004</v>
      </c>
      <c r="CD227" s="793">
        <f t="shared" si="80"/>
        <v>0.1585</v>
      </c>
    </row>
    <row r="228" spans="1:82" ht="13.8" x14ac:dyDescent="0.3">
      <c r="A228" s="553">
        <f t="shared" si="69"/>
        <v>43466</v>
      </c>
      <c r="B228" s="717">
        <v>7.4173994741752E-2</v>
      </c>
      <c r="C228" s="8"/>
      <c r="D228" s="989">
        <v>42309</v>
      </c>
      <c r="E228" s="990">
        <v>31.125</v>
      </c>
      <c r="F228" s="990">
        <v>33.075000000000003</v>
      </c>
      <c r="G228" s="990">
        <v>35.024999999999999</v>
      </c>
      <c r="H228" s="977"/>
      <c r="I228" s="990">
        <v>19.99999809265136</v>
      </c>
      <c r="J228" s="990">
        <v>20.974998092651362</v>
      </c>
      <c r="K228" s="990">
        <v>21.949998092651363</v>
      </c>
      <c r="L228" s="12"/>
      <c r="M228" s="1004">
        <v>43191</v>
      </c>
      <c r="N228" s="991">
        <v>23.730000305175768</v>
      </c>
      <c r="O228" s="991">
        <v>24.517500305175769</v>
      </c>
      <c r="P228" s="991">
        <v>25.305000305175771</v>
      </c>
      <c r="Q228" s="21"/>
      <c r="R228" s="991">
        <v>18.934999084472643</v>
      </c>
      <c r="S228" s="991">
        <v>23.234999084472644</v>
      </c>
      <c r="T228" s="991">
        <v>27.534999084472645</v>
      </c>
      <c r="U228" s="21"/>
      <c r="V228" s="991">
        <v>0.3</v>
      </c>
      <c r="W228" s="991">
        <v>0.3</v>
      </c>
      <c r="X228" s="991">
        <v>0.3</v>
      </c>
      <c r="Y228" s="21"/>
      <c r="Z228" s="991">
        <v>4.9578618748613919E-2</v>
      </c>
      <c r="AA228" s="991">
        <v>9.9157237497227838E-2</v>
      </c>
      <c r="AB228" s="991">
        <v>0.14873585624584176</v>
      </c>
      <c r="AC228" s="21"/>
      <c r="AD228" s="991">
        <v>2.0854059925710981E-2</v>
      </c>
      <c r="AE228" s="991">
        <v>4.1708119851421963E-2</v>
      </c>
      <c r="AF228" s="991">
        <v>6.2562179777132937E-2</v>
      </c>
      <c r="AG228" s="21"/>
      <c r="AH228" s="991">
        <v>-0.25</v>
      </c>
      <c r="AI228" s="991">
        <v>1.25</v>
      </c>
      <c r="AJ228" s="991">
        <v>0.3</v>
      </c>
      <c r="AK228" s="21"/>
      <c r="AL228" s="991">
        <v>-0.15</v>
      </c>
      <c r="AM228" s="991">
        <v>0.35</v>
      </c>
      <c r="AN228" s="991">
        <v>0.2</v>
      </c>
      <c r="AO228" s="21"/>
      <c r="AP228" s="12">
        <v>74</v>
      </c>
      <c r="AQ228" s="992">
        <v>0.4</v>
      </c>
      <c r="AR228" s="21"/>
      <c r="AS228" s="21"/>
      <c r="AT228" s="21"/>
      <c r="AU228" s="21"/>
      <c r="AV228" s="21"/>
      <c r="AW228" s="21"/>
      <c r="AX228" s="21"/>
      <c r="AY228" s="21"/>
      <c r="AZ228" s="21"/>
      <c r="BA228" s="21"/>
      <c r="BB228" s="21"/>
      <c r="BC228" s="21"/>
      <c r="BD228" s="21"/>
      <c r="BE228" s="21"/>
      <c r="BF228" s="21"/>
      <c r="BK228"/>
      <c r="BL228"/>
      <c r="BM228"/>
      <c r="BN228"/>
      <c r="BO228"/>
      <c r="BP228"/>
      <c r="BQ228" s="553">
        <f t="shared" si="70"/>
        <v>43374</v>
      </c>
      <c r="BR228" s="716">
        <v>3.9075000000000002</v>
      </c>
      <c r="BS228" s="716">
        <v>3.9125000000000001</v>
      </c>
      <c r="BT228" s="716">
        <v>3.9175</v>
      </c>
      <c r="BU228" s="717"/>
      <c r="BV228" s="717"/>
      <c r="BW228" s="717"/>
      <c r="BX228" s="717">
        <f t="shared" si="76"/>
        <v>-7.0000000000000007E-2</v>
      </c>
      <c r="BY228" s="717"/>
      <c r="BZ228" s="717">
        <f t="shared" si="77"/>
        <v>7.0000000000000007E-2</v>
      </c>
      <c r="CA228" s="756">
        <f t="shared" si="63"/>
        <v>0</v>
      </c>
      <c r="CB228" s="716">
        <f t="shared" si="78"/>
        <v>0</v>
      </c>
      <c r="CC228" s="789">
        <f t="shared" si="79"/>
        <v>3.9075000000000002</v>
      </c>
      <c r="CD228" s="793">
        <f t="shared" si="80"/>
        <v>0.1585</v>
      </c>
    </row>
    <row r="229" spans="1:82" ht="13.8" x14ac:dyDescent="0.3">
      <c r="A229" s="553">
        <f t="shared" si="69"/>
        <v>43497</v>
      </c>
      <c r="B229" s="717">
        <v>7.4173700023872996E-2</v>
      </c>
      <c r="C229" s="8"/>
      <c r="D229" s="989">
        <v>42339</v>
      </c>
      <c r="E229" s="990">
        <v>31</v>
      </c>
      <c r="F229" s="990">
        <v>32.950000000000003</v>
      </c>
      <c r="G229" s="990">
        <v>34.9</v>
      </c>
      <c r="H229" s="977"/>
      <c r="I229" s="990">
        <v>21.42499923706054</v>
      </c>
      <c r="J229" s="990">
        <v>22.399999237060541</v>
      </c>
      <c r="K229" s="990">
        <v>23.374999237060543</v>
      </c>
      <c r="L229" s="12"/>
      <c r="M229" s="1004">
        <v>43221</v>
      </c>
      <c r="N229" s="991">
        <v>22.772500076293934</v>
      </c>
      <c r="O229" s="991">
        <v>24.632500076293933</v>
      </c>
      <c r="P229" s="991">
        <v>26.492500076293933</v>
      </c>
      <c r="Q229" s="21"/>
      <c r="R229" s="991">
        <v>19.464999771118151</v>
      </c>
      <c r="S229" s="991">
        <v>23.764999771118152</v>
      </c>
      <c r="T229" s="991">
        <v>28.064999771118153</v>
      </c>
      <c r="U229" s="21"/>
      <c r="V229" s="991">
        <v>0.3</v>
      </c>
      <c r="W229" s="991">
        <v>0.3</v>
      </c>
      <c r="X229" s="991">
        <v>0.3</v>
      </c>
      <c r="Y229" s="21"/>
      <c r="Z229" s="991">
        <v>5.7104784782559113E-2</v>
      </c>
      <c r="AA229" s="991">
        <v>0.11420956956511823</v>
      </c>
      <c r="AB229" s="991">
        <v>0.17131435434767733</v>
      </c>
      <c r="AC229" s="21"/>
      <c r="AD229" s="991">
        <v>2.4329736579996153E-2</v>
      </c>
      <c r="AE229" s="991">
        <v>4.8659473159992306E-2</v>
      </c>
      <c r="AF229" s="991">
        <v>7.2989209739988459E-2</v>
      </c>
      <c r="AG229" s="21"/>
      <c r="AH229" s="991">
        <v>-0.25</v>
      </c>
      <c r="AI229" s="991">
        <v>1.25</v>
      </c>
      <c r="AJ229" s="991">
        <v>0.3</v>
      </c>
      <c r="AK229" s="21"/>
      <c r="AL229" s="991">
        <v>-0.15</v>
      </c>
      <c r="AM229" s="991">
        <v>0.5</v>
      </c>
      <c r="AN229" s="991">
        <v>0.2</v>
      </c>
      <c r="AO229" s="21"/>
      <c r="AP229" s="12">
        <v>74</v>
      </c>
      <c r="AQ229" s="992">
        <v>0.4</v>
      </c>
      <c r="AR229" s="21"/>
      <c r="AS229" s="21"/>
      <c r="AT229" s="21"/>
      <c r="AU229" s="21"/>
      <c r="AV229" s="21"/>
      <c r="AW229" s="21"/>
      <c r="AX229" s="21"/>
      <c r="AY229" s="21"/>
      <c r="AZ229" s="21"/>
      <c r="BA229" s="21"/>
      <c r="BB229" s="21"/>
      <c r="BC229" s="21"/>
      <c r="BD229" s="21"/>
      <c r="BE229" s="21"/>
      <c r="BF229" s="21"/>
      <c r="BK229"/>
      <c r="BL229"/>
      <c r="BM229"/>
      <c r="BN229"/>
      <c r="BO229"/>
      <c r="BP229"/>
      <c r="BQ229" s="553">
        <f t="shared" si="70"/>
        <v>43405</v>
      </c>
      <c r="BR229" s="716">
        <v>4.0425000000000004</v>
      </c>
      <c r="BS229" s="716">
        <v>4.0475000000000003</v>
      </c>
      <c r="BT229" s="716">
        <v>4.0525000000000002</v>
      </c>
      <c r="BU229" s="717"/>
      <c r="BV229" s="717"/>
      <c r="BW229" s="717"/>
      <c r="BX229" s="717">
        <f t="shared" si="76"/>
        <v>-7.0000000000000007E-2</v>
      </c>
      <c r="BY229" s="717"/>
      <c r="BZ229" s="717">
        <f t="shared" si="77"/>
        <v>7.0000000000000007E-2</v>
      </c>
      <c r="CA229" s="756">
        <f t="shared" si="63"/>
        <v>0</v>
      </c>
      <c r="CB229" s="716">
        <f t="shared" si="78"/>
        <v>0</v>
      </c>
      <c r="CC229" s="789">
        <f t="shared" si="79"/>
        <v>4.0425000000000004</v>
      </c>
      <c r="CD229" s="793">
        <f t="shared" si="80"/>
        <v>0.1585</v>
      </c>
    </row>
    <row r="230" spans="1:82" ht="13.8" x14ac:dyDescent="0.3">
      <c r="A230" s="553">
        <f t="shared" si="69"/>
        <v>43525</v>
      </c>
      <c r="B230" s="717">
        <v>7.4173433827078E-2</v>
      </c>
      <c r="C230" s="8"/>
      <c r="D230" s="989">
        <v>42370</v>
      </c>
      <c r="E230" s="990">
        <v>37.15</v>
      </c>
      <c r="F230" s="990">
        <v>39.25</v>
      </c>
      <c r="G230" s="990">
        <v>41.35</v>
      </c>
      <c r="H230" s="977"/>
      <c r="I230" s="990">
        <v>21.340000152587884</v>
      </c>
      <c r="J230" s="990">
        <v>22.390000152587884</v>
      </c>
      <c r="K230" s="990">
        <v>23.440000152587885</v>
      </c>
      <c r="L230" s="12"/>
      <c r="M230" s="1004">
        <v>43252</v>
      </c>
      <c r="N230" s="991">
        <v>23.72625015258788</v>
      </c>
      <c r="O230" s="991">
        <v>29.05875015258788</v>
      </c>
      <c r="P230" s="991">
        <v>34.39125015258788</v>
      </c>
      <c r="Q230" s="21"/>
      <c r="R230" s="991">
        <v>18.242499542236317</v>
      </c>
      <c r="S230" s="991">
        <v>22.542499542236317</v>
      </c>
      <c r="T230" s="991">
        <v>26.842499542236318</v>
      </c>
      <c r="U230" s="21"/>
      <c r="V230" s="991">
        <v>0.3</v>
      </c>
      <c r="W230" s="991">
        <v>0.3</v>
      </c>
      <c r="X230" s="991">
        <v>0.3</v>
      </c>
      <c r="Y230" s="21"/>
      <c r="Z230" s="991">
        <v>7.1545615860191439E-2</v>
      </c>
      <c r="AA230" s="991">
        <v>0.14309123172038288</v>
      </c>
      <c r="AB230" s="991">
        <v>0.21463684758057433</v>
      </c>
      <c r="AC230" s="21"/>
      <c r="AD230" s="991">
        <v>3.1281089888566468E-2</v>
      </c>
      <c r="AE230" s="991">
        <v>6.2562179777132937E-2</v>
      </c>
      <c r="AF230" s="991">
        <v>9.3843269665699405E-2</v>
      </c>
      <c r="AG230" s="21"/>
      <c r="AH230" s="991">
        <v>-0.25</v>
      </c>
      <c r="AI230" s="991">
        <v>1.25</v>
      </c>
      <c r="AJ230" s="991">
        <v>0.3</v>
      </c>
      <c r="AK230" s="21"/>
      <c r="AL230" s="991">
        <v>-0.15</v>
      </c>
      <c r="AM230" s="991">
        <v>0.65</v>
      </c>
      <c r="AN230" s="991">
        <v>0.2</v>
      </c>
      <c r="AO230" s="21"/>
      <c r="AP230" s="12">
        <v>74</v>
      </c>
      <c r="AQ230" s="992">
        <v>0.4</v>
      </c>
      <c r="AR230" s="21"/>
      <c r="AS230" s="21"/>
      <c r="AT230" s="21"/>
      <c r="AU230" s="21"/>
      <c r="AV230" s="21"/>
      <c r="AW230" s="21"/>
      <c r="AX230" s="21"/>
      <c r="AY230" s="21"/>
      <c r="AZ230" s="21"/>
      <c r="BA230" s="21"/>
      <c r="BB230" s="21"/>
      <c r="BC230" s="21"/>
      <c r="BD230" s="21"/>
      <c r="BE230" s="21"/>
      <c r="BF230" s="21"/>
      <c r="BK230"/>
      <c r="BL230"/>
      <c r="BM230"/>
      <c r="BN230"/>
      <c r="BO230"/>
      <c r="BP230"/>
      <c r="BQ230" s="553">
        <f t="shared" si="70"/>
        <v>43435</v>
      </c>
      <c r="BR230" s="716">
        <v>4.1665000000000001</v>
      </c>
      <c r="BS230" s="716">
        <v>4.1715</v>
      </c>
      <c r="BT230" s="716">
        <v>4.1764999999999999</v>
      </c>
      <c r="BU230" s="717"/>
      <c r="BV230" s="717"/>
      <c r="BW230" s="717"/>
      <c r="BX230" s="717">
        <f t="shared" si="76"/>
        <v>-7.0000000000000007E-2</v>
      </c>
      <c r="BY230" s="717"/>
      <c r="BZ230" s="717">
        <f t="shared" si="77"/>
        <v>7.0000000000000007E-2</v>
      </c>
      <c r="CA230" s="756">
        <f t="shared" si="63"/>
        <v>0</v>
      </c>
      <c r="CB230" s="716">
        <f t="shared" si="78"/>
        <v>0</v>
      </c>
      <c r="CC230" s="789">
        <f t="shared" si="79"/>
        <v>4.1665000000000001</v>
      </c>
      <c r="CD230" s="793">
        <f t="shared" si="80"/>
        <v>0.1585</v>
      </c>
    </row>
    <row r="231" spans="1:82" ht="13.8" x14ac:dyDescent="0.3">
      <c r="A231" s="553">
        <f t="shared" si="69"/>
        <v>43556</v>
      </c>
      <c r="B231" s="717">
        <v>7.417313910919901E-2</v>
      </c>
      <c r="C231" s="8"/>
      <c r="D231" s="989">
        <v>42401</v>
      </c>
      <c r="E231" s="990">
        <v>37.15</v>
      </c>
      <c r="F231" s="990">
        <v>39.25</v>
      </c>
      <c r="G231" s="990">
        <v>41.35</v>
      </c>
      <c r="H231" s="977"/>
      <c r="I231" s="990">
        <v>21.149997711181634</v>
      </c>
      <c r="J231" s="990">
        <v>22.199997711181634</v>
      </c>
      <c r="K231" s="990">
        <v>23.249997711181635</v>
      </c>
      <c r="L231" s="12"/>
      <c r="M231" s="1004">
        <v>43282</v>
      </c>
      <c r="N231" s="991">
        <v>38.511249542236371</v>
      </c>
      <c r="O231" s="991">
        <v>42.261249542236371</v>
      </c>
      <c r="P231" s="991">
        <v>46.011249542236371</v>
      </c>
      <c r="Q231" s="21"/>
      <c r="R231" s="991">
        <v>27.447499465942371</v>
      </c>
      <c r="S231" s="991">
        <v>31.747499465942372</v>
      </c>
      <c r="T231" s="991">
        <v>36.047499465942373</v>
      </c>
      <c r="U231" s="21"/>
      <c r="V231" s="991">
        <v>0.3</v>
      </c>
      <c r="W231" s="991">
        <v>0.3</v>
      </c>
      <c r="X231" s="991">
        <v>0.3</v>
      </c>
      <c r="Y231" s="21"/>
      <c r="Z231" s="991">
        <v>8.4716406419595505E-2</v>
      </c>
      <c r="AA231" s="991">
        <v>0.16943281283919101</v>
      </c>
      <c r="AB231" s="991">
        <v>0.25414921925878653</v>
      </c>
      <c r="AC231" s="21"/>
      <c r="AD231" s="991">
        <v>4.1708119851421963E-2</v>
      </c>
      <c r="AE231" s="991">
        <v>8.3416239702843925E-2</v>
      </c>
      <c r="AF231" s="991">
        <v>0.12512435955426587</v>
      </c>
      <c r="AG231" s="21"/>
      <c r="AH231" s="991">
        <v>-0.25</v>
      </c>
      <c r="AI231" s="991">
        <v>1.25</v>
      </c>
      <c r="AJ231" s="991">
        <v>0.3</v>
      </c>
      <c r="AK231" s="21"/>
      <c r="AL231" s="991">
        <v>-0.15</v>
      </c>
      <c r="AM231" s="991">
        <v>0.75</v>
      </c>
      <c r="AN231" s="991">
        <v>0.2</v>
      </c>
      <c r="AO231" s="21"/>
      <c r="AP231" s="12">
        <v>74</v>
      </c>
      <c r="AQ231" s="992">
        <v>0.4</v>
      </c>
      <c r="AR231" s="21"/>
      <c r="AS231" s="21"/>
      <c r="AT231" s="21"/>
      <c r="AU231" s="21"/>
      <c r="AV231" s="21"/>
      <c r="AW231" s="21"/>
      <c r="AX231" s="21"/>
      <c r="AY231" s="21"/>
      <c r="AZ231" s="21"/>
      <c r="BA231" s="21"/>
      <c r="BB231" s="21"/>
      <c r="BC231" s="21"/>
      <c r="BD231" s="21"/>
      <c r="BE231" s="21"/>
      <c r="BF231" s="21"/>
      <c r="BK231"/>
      <c r="BL231"/>
      <c r="BM231"/>
      <c r="BN231"/>
      <c r="BO231"/>
      <c r="BP231"/>
      <c r="BQ231" s="553">
        <f t="shared" si="70"/>
        <v>43466</v>
      </c>
      <c r="BR231" s="716">
        <v>4.2850000000000001</v>
      </c>
      <c r="BS231" s="716">
        <v>4.29</v>
      </c>
      <c r="BT231" s="716">
        <v>4.2949999999999999</v>
      </c>
      <c r="BU231" s="717"/>
      <c r="BV231" s="717"/>
      <c r="BW231" s="717"/>
      <c r="BX231" s="717">
        <f t="shared" ref="BX231:BX246" si="81">BY231-$BX$4</f>
        <v>-7.0000000000000007E-2</v>
      </c>
      <c r="BY231" s="717"/>
      <c r="BZ231" s="717">
        <f t="shared" ref="BZ231:BZ246" si="82">BY231+$BZ$4</f>
        <v>7.0000000000000007E-2</v>
      </c>
      <c r="CA231" s="756">
        <f t="shared" si="63"/>
        <v>0</v>
      </c>
      <c r="CB231" s="716">
        <f t="shared" ref="CB231:CB246" si="83">GasBasis</f>
        <v>0</v>
      </c>
      <c r="CC231" s="789">
        <f t="shared" ref="CC231:CC246" si="84">(IF(GasPriceCurve,IF(OBuySell=OCallPut,BT231,BR231),BS231)+CA231/1000+CB231)/(1-GasTransportPercent)</f>
        <v>4.2850000000000001</v>
      </c>
      <c r="CD231" s="793">
        <f t="shared" ref="CD231:CD246" si="85">IF(GasVolOver,GasVolOver,IF(OVolType=2,IF(OR(BU231="",BV231="",BW231=""),CD230,IF(GasVolCurve,IF(OBuySell,BU231,BW231),BV231)*GasVolAsPercentOfNYMEX),IF(OR(BU231="",BV231="",BW231="",BY231=""),CD230,SQRT(((IF(GasVolCurve,IF(OBuySell,BU231,BW231),BV231)*GasVolAsPercentOfNYMEX)^2*(BQ231-DateToday-1)+IF(GasVolCurve,IF(OBuySell,BX231,BZ231),BY231)^2*15)/(BQ231-DateToday+14))))+GasVolSpread)</f>
        <v>0.1585</v>
      </c>
    </row>
    <row r="232" spans="1:82" ht="13.8" x14ac:dyDescent="0.3">
      <c r="A232" s="553">
        <f t="shared" si="69"/>
        <v>43586</v>
      </c>
      <c r="B232" s="717">
        <v>7.4172853898348004E-2</v>
      </c>
      <c r="C232" s="8"/>
      <c r="D232" s="989">
        <v>42430</v>
      </c>
      <c r="E232" s="990">
        <v>34.35</v>
      </c>
      <c r="F232" s="990">
        <v>35.5</v>
      </c>
      <c r="G232" s="990">
        <v>36.65</v>
      </c>
      <c r="H232" s="977"/>
      <c r="I232" s="990">
        <v>20.624999618530268</v>
      </c>
      <c r="J232" s="990">
        <v>21.199999618530267</v>
      </c>
      <c r="K232" s="990">
        <v>21.774999618530266</v>
      </c>
      <c r="L232" s="12"/>
      <c r="M232" s="1004">
        <v>43313</v>
      </c>
      <c r="N232" s="991">
        <v>40.772499084472699</v>
      </c>
      <c r="O232" s="991">
        <v>44.522499084472699</v>
      </c>
      <c r="P232" s="991">
        <v>48.272499084472699</v>
      </c>
      <c r="Q232" s="21"/>
      <c r="R232" s="991">
        <v>28.945000839233412</v>
      </c>
      <c r="S232" s="991">
        <v>33.245000839233413</v>
      </c>
      <c r="T232" s="991">
        <v>37.54500083923341</v>
      </c>
      <c r="U232" s="21"/>
      <c r="V232" s="991">
        <v>0.8</v>
      </c>
      <c r="W232" s="991">
        <v>0.8</v>
      </c>
      <c r="X232" s="991">
        <v>0.8</v>
      </c>
      <c r="Y232" s="21"/>
      <c r="Z232" s="991">
        <v>8.3446365901367253E-2</v>
      </c>
      <c r="AA232" s="991">
        <v>0.16689273180273451</v>
      </c>
      <c r="AB232" s="991">
        <v>0.25033909770410179</v>
      </c>
      <c r="AC232" s="21"/>
      <c r="AD232" s="991">
        <v>4.1708119851421963E-2</v>
      </c>
      <c r="AE232" s="991">
        <v>8.3416239702843925E-2</v>
      </c>
      <c r="AF232" s="991">
        <v>0.12512435955426587</v>
      </c>
      <c r="AG232" s="21"/>
      <c r="AH232" s="991">
        <v>-0.25</v>
      </c>
      <c r="AI232" s="991">
        <v>1.25</v>
      </c>
      <c r="AJ232" s="991">
        <v>0.3</v>
      </c>
      <c r="AK232" s="21"/>
      <c r="AL232" s="991">
        <v>-0.15</v>
      </c>
      <c r="AM232" s="991">
        <v>0.75</v>
      </c>
      <c r="AN232" s="991">
        <v>0.2</v>
      </c>
      <c r="AO232" s="21"/>
      <c r="AP232" s="12">
        <v>74</v>
      </c>
      <c r="AQ232" s="992">
        <v>0.4</v>
      </c>
      <c r="AR232" s="21"/>
      <c r="AS232" s="21"/>
      <c r="AT232" s="21"/>
      <c r="AU232" s="21"/>
      <c r="AV232" s="21"/>
      <c r="AW232" s="21"/>
      <c r="AX232" s="21"/>
      <c r="AY232" s="21"/>
      <c r="AZ232" s="21"/>
      <c r="BA232" s="21"/>
      <c r="BB232" s="21"/>
      <c r="BC232" s="21"/>
      <c r="BD232" s="21"/>
      <c r="BE232" s="21"/>
      <c r="BF232" s="21"/>
      <c r="BK232"/>
      <c r="BL232"/>
      <c r="BM232"/>
      <c r="BN232"/>
      <c r="BO232"/>
      <c r="BP232"/>
      <c r="BQ232" s="553">
        <f t="shared" si="70"/>
        <v>43497</v>
      </c>
      <c r="BR232" s="716">
        <v>4.1669999999999998</v>
      </c>
      <c r="BS232" s="716">
        <v>4.1720000000000006</v>
      </c>
      <c r="BT232" s="716">
        <v>4.1770000000000005</v>
      </c>
      <c r="BU232" s="717"/>
      <c r="BV232" s="717"/>
      <c r="BW232" s="717"/>
      <c r="BX232" s="717">
        <f t="shared" si="81"/>
        <v>-7.0000000000000007E-2</v>
      </c>
      <c r="BY232" s="717"/>
      <c r="BZ232" s="717">
        <f t="shared" si="82"/>
        <v>7.0000000000000007E-2</v>
      </c>
      <c r="CA232" s="756">
        <f t="shared" si="63"/>
        <v>0</v>
      </c>
      <c r="CB232" s="716">
        <f t="shared" si="83"/>
        <v>0</v>
      </c>
      <c r="CC232" s="789">
        <f t="shared" si="84"/>
        <v>4.1669999999999998</v>
      </c>
      <c r="CD232" s="793">
        <f t="shared" si="85"/>
        <v>0.1585</v>
      </c>
    </row>
    <row r="233" spans="1:82" ht="13.8" x14ac:dyDescent="0.3">
      <c r="A233" s="553">
        <f t="shared" si="69"/>
        <v>43617</v>
      </c>
      <c r="B233" s="717">
        <v>7.4172559180469E-2</v>
      </c>
      <c r="C233" s="8"/>
      <c r="D233" s="989">
        <v>42461</v>
      </c>
      <c r="E233" s="990">
        <v>33.25</v>
      </c>
      <c r="F233" s="990">
        <v>34.25</v>
      </c>
      <c r="G233" s="990">
        <v>35.25</v>
      </c>
      <c r="H233" s="977"/>
      <c r="I233" s="990">
        <v>20.699997711181634</v>
      </c>
      <c r="J233" s="990">
        <v>21.199997711181634</v>
      </c>
      <c r="K233" s="990">
        <v>21.699997711181634</v>
      </c>
      <c r="L233" s="12"/>
      <c r="M233" s="1004"/>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K233"/>
      <c r="BL233"/>
      <c r="BM233"/>
      <c r="BN233"/>
      <c r="BO233"/>
      <c r="BP233"/>
      <c r="BQ233" s="553">
        <f t="shared" si="70"/>
        <v>43525</v>
      </c>
      <c r="BR233" s="716">
        <v>4.0470000000000006</v>
      </c>
      <c r="BS233" s="716">
        <v>4.0520000000000005</v>
      </c>
      <c r="BT233" s="716">
        <v>4.0570000000000004</v>
      </c>
      <c r="BU233" s="717"/>
      <c r="BV233" s="717"/>
      <c r="BW233" s="717"/>
      <c r="BX233" s="717">
        <f t="shared" si="81"/>
        <v>-7.0000000000000007E-2</v>
      </c>
      <c r="BY233" s="717"/>
      <c r="BZ233" s="717">
        <f t="shared" si="82"/>
        <v>7.0000000000000007E-2</v>
      </c>
      <c r="CA233" s="756">
        <f t="shared" si="63"/>
        <v>0</v>
      </c>
      <c r="CB233" s="716">
        <f t="shared" si="83"/>
        <v>0</v>
      </c>
      <c r="CC233" s="789">
        <f t="shared" si="84"/>
        <v>4.0470000000000006</v>
      </c>
      <c r="CD233" s="793">
        <f t="shared" si="85"/>
        <v>0.1585</v>
      </c>
    </row>
    <row r="234" spans="1:82" ht="13.8" x14ac:dyDescent="0.3">
      <c r="A234" s="553">
        <f t="shared" si="69"/>
        <v>43647</v>
      </c>
      <c r="B234" s="717">
        <v>7.4172273969617994E-2</v>
      </c>
      <c r="C234" s="8"/>
      <c r="D234" s="989">
        <v>42491</v>
      </c>
      <c r="E234" s="990">
        <v>35.17</v>
      </c>
      <c r="F234" s="990">
        <v>37.65</v>
      </c>
      <c r="G234" s="990">
        <v>40.130000000000003</v>
      </c>
      <c r="H234" s="977"/>
      <c r="I234" s="990">
        <v>19.959997711181636</v>
      </c>
      <c r="J234" s="990">
        <v>21.199997711181634</v>
      </c>
      <c r="K234" s="990">
        <v>22.439997711181633</v>
      </c>
      <c r="L234" s="12"/>
      <c r="M234" s="1004"/>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K234"/>
      <c r="BL234"/>
      <c r="BM234"/>
      <c r="BN234"/>
      <c r="BO234"/>
      <c r="BP234"/>
      <c r="BQ234" s="553">
        <f t="shared" si="70"/>
        <v>43556</v>
      </c>
      <c r="BR234" s="716">
        <v>3.9975000000000001</v>
      </c>
      <c r="BS234" s="716">
        <v>4.0025000000000004</v>
      </c>
      <c r="BT234" s="716">
        <v>4.0075000000000003</v>
      </c>
      <c r="BU234" s="717"/>
      <c r="BV234" s="717"/>
      <c r="BW234" s="717"/>
      <c r="BX234" s="717">
        <f t="shared" si="81"/>
        <v>-7.0000000000000007E-2</v>
      </c>
      <c r="BY234" s="717"/>
      <c r="BZ234" s="717">
        <f t="shared" si="82"/>
        <v>7.0000000000000007E-2</v>
      </c>
      <c r="CA234" s="756">
        <f t="shared" ref="CA234:CA283" si="86">CA222</f>
        <v>0</v>
      </c>
      <c r="CB234" s="716">
        <f t="shared" si="83"/>
        <v>0</v>
      </c>
      <c r="CC234" s="789">
        <f t="shared" si="84"/>
        <v>3.9975000000000001</v>
      </c>
      <c r="CD234" s="793">
        <f t="shared" si="85"/>
        <v>0.1585</v>
      </c>
    </row>
    <row r="235" spans="1:82" ht="13.8" x14ac:dyDescent="0.3">
      <c r="A235" s="553">
        <f t="shared" si="69"/>
        <v>43678</v>
      </c>
      <c r="B235" s="717">
        <v>7.4171979251739004E-2</v>
      </c>
      <c r="C235" s="8"/>
      <c r="D235" s="989">
        <v>42522</v>
      </c>
      <c r="E235" s="990">
        <v>51.14</v>
      </c>
      <c r="F235" s="990">
        <v>58.25</v>
      </c>
      <c r="G235" s="990">
        <v>65.36</v>
      </c>
      <c r="H235" s="977"/>
      <c r="I235" s="990">
        <v>17.599998779296868</v>
      </c>
      <c r="J235" s="990">
        <v>21.154998779296868</v>
      </c>
      <c r="K235" s="990">
        <v>24.709998779296868</v>
      </c>
      <c r="L235" s="12"/>
      <c r="M235" s="1004"/>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K235"/>
      <c r="BL235"/>
      <c r="BM235"/>
      <c r="BN235"/>
      <c r="BO235"/>
      <c r="BP235"/>
      <c r="BQ235" s="553">
        <f t="shared" si="70"/>
        <v>43586</v>
      </c>
      <c r="BR235" s="716">
        <v>3.9715000000000003</v>
      </c>
      <c r="BS235" s="716">
        <v>3.9765000000000001</v>
      </c>
      <c r="BT235" s="716">
        <v>3.9815</v>
      </c>
      <c r="BU235" s="717"/>
      <c r="BV235" s="717"/>
      <c r="BW235" s="717"/>
      <c r="BX235" s="717">
        <f t="shared" si="81"/>
        <v>-7.0000000000000007E-2</v>
      </c>
      <c r="BY235" s="717"/>
      <c r="BZ235" s="717">
        <f t="shared" si="82"/>
        <v>7.0000000000000007E-2</v>
      </c>
      <c r="CA235" s="756">
        <f t="shared" si="86"/>
        <v>0</v>
      </c>
      <c r="CB235" s="716">
        <f t="shared" si="83"/>
        <v>0</v>
      </c>
      <c r="CC235" s="789">
        <f t="shared" si="84"/>
        <v>3.9715000000000003</v>
      </c>
      <c r="CD235" s="793">
        <f t="shared" si="85"/>
        <v>0.1585</v>
      </c>
    </row>
    <row r="236" spans="1:82" ht="13.8" x14ac:dyDescent="0.3">
      <c r="A236" s="553">
        <f t="shared" si="69"/>
        <v>43709</v>
      </c>
      <c r="B236" s="717">
        <v>7.4171684533859999E-2</v>
      </c>
      <c r="C236" s="8"/>
      <c r="D236" s="989">
        <v>42552</v>
      </c>
      <c r="E236" s="990">
        <v>83.5</v>
      </c>
      <c r="F236" s="990">
        <v>88.5</v>
      </c>
      <c r="G236" s="990">
        <v>93.5</v>
      </c>
      <c r="H236" s="977"/>
      <c r="I236" s="990">
        <v>23.149997711181634</v>
      </c>
      <c r="J236" s="990">
        <v>25.649997711181634</v>
      </c>
      <c r="K236" s="990">
        <v>28.149997711181634</v>
      </c>
      <c r="L236" s="12"/>
      <c r="M236" s="1004"/>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K236"/>
      <c r="BL236"/>
      <c r="BM236"/>
      <c r="BN236"/>
      <c r="BO236"/>
      <c r="BP236"/>
      <c r="BQ236" s="553">
        <f t="shared" si="70"/>
        <v>43617</v>
      </c>
      <c r="BR236" s="716">
        <v>3.9775</v>
      </c>
      <c r="BS236" s="716">
        <v>3.9824999999999999</v>
      </c>
      <c r="BT236" s="716">
        <v>3.9874999999999998</v>
      </c>
      <c r="BU236" s="717"/>
      <c r="BV236" s="717"/>
      <c r="BW236" s="717"/>
      <c r="BX236" s="717">
        <f t="shared" si="81"/>
        <v>-7.0000000000000007E-2</v>
      </c>
      <c r="BY236" s="717"/>
      <c r="BZ236" s="717">
        <f t="shared" si="82"/>
        <v>7.0000000000000007E-2</v>
      </c>
      <c r="CA236" s="756">
        <f t="shared" si="86"/>
        <v>0</v>
      </c>
      <c r="CB236" s="716">
        <f t="shared" si="83"/>
        <v>0</v>
      </c>
      <c r="CC236" s="789">
        <f t="shared" si="84"/>
        <v>3.9775</v>
      </c>
      <c r="CD236" s="793">
        <f t="shared" si="85"/>
        <v>0.1585</v>
      </c>
    </row>
    <row r="237" spans="1:82" ht="13.8" x14ac:dyDescent="0.3">
      <c r="A237" s="553">
        <f t="shared" si="69"/>
        <v>43739</v>
      </c>
      <c r="B237" s="717">
        <v>7.4171399323010007E-2</v>
      </c>
      <c r="C237" s="8"/>
      <c r="D237" s="989">
        <v>42583</v>
      </c>
      <c r="E237" s="990">
        <v>79</v>
      </c>
      <c r="F237" s="990">
        <v>84</v>
      </c>
      <c r="G237" s="990">
        <v>89</v>
      </c>
      <c r="H237" s="977"/>
      <c r="I237" s="990">
        <v>23.49999809265136</v>
      </c>
      <c r="J237" s="990">
        <v>25.99999809265136</v>
      </c>
      <c r="K237" s="990">
        <v>28.49999809265136</v>
      </c>
      <c r="L237" s="12"/>
      <c r="M237" s="1004"/>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K237"/>
      <c r="BL237"/>
      <c r="BM237"/>
      <c r="BN237"/>
      <c r="BO237"/>
      <c r="BP237"/>
      <c r="BQ237" s="553">
        <f t="shared" si="70"/>
        <v>43647</v>
      </c>
      <c r="BR237" s="716">
        <v>3.9874999999999998</v>
      </c>
      <c r="BS237" s="716">
        <v>3.9925000000000002</v>
      </c>
      <c r="BT237" s="716">
        <v>3.9975000000000001</v>
      </c>
      <c r="BU237" s="717"/>
      <c r="BV237" s="717"/>
      <c r="BW237" s="717"/>
      <c r="BX237" s="717">
        <f t="shared" si="81"/>
        <v>-7.0000000000000007E-2</v>
      </c>
      <c r="BY237" s="717"/>
      <c r="BZ237" s="717">
        <f t="shared" si="82"/>
        <v>7.0000000000000007E-2</v>
      </c>
      <c r="CA237" s="756">
        <f t="shared" si="86"/>
        <v>0</v>
      </c>
      <c r="CB237" s="716">
        <f t="shared" si="83"/>
        <v>0</v>
      </c>
      <c r="CC237" s="789">
        <f t="shared" si="84"/>
        <v>3.9874999999999998</v>
      </c>
      <c r="CD237" s="793">
        <f t="shared" si="85"/>
        <v>0.1585</v>
      </c>
    </row>
    <row r="238" spans="1:82" ht="13.8" x14ac:dyDescent="0.3">
      <c r="A238" s="553">
        <f t="shared" si="69"/>
        <v>43770</v>
      </c>
      <c r="B238" s="717">
        <v>7.4171104605130003E-2</v>
      </c>
      <c r="C238" s="8"/>
      <c r="D238" s="989">
        <v>42614</v>
      </c>
      <c r="E238" s="990">
        <v>33.049999999999997</v>
      </c>
      <c r="F238" s="990">
        <v>35.25</v>
      </c>
      <c r="G238" s="990">
        <v>37.450000000000003</v>
      </c>
      <c r="H238" s="977"/>
      <c r="I238" s="990">
        <v>20.449998092651359</v>
      </c>
      <c r="J238" s="990">
        <v>21.549998092651361</v>
      </c>
      <c r="K238" s="990">
        <v>22.649998092651362</v>
      </c>
      <c r="L238" s="12"/>
      <c r="M238" s="1004"/>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K238"/>
      <c r="BL238"/>
      <c r="BM238"/>
      <c r="BN238"/>
      <c r="BO238"/>
      <c r="BP238"/>
      <c r="BQ238" s="553">
        <f t="shared" si="70"/>
        <v>43678</v>
      </c>
      <c r="BR238" s="716">
        <v>3.9945000000000004</v>
      </c>
      <c r="BS238" s="716">
        <v>3.9995000000000003</v>
      </c>
      <c r="BT238" s="716">
        <v>4.0045000000000002</v>
      </c>
      <c r="BU238" s="717"/>
      <c r="BV238" s="717"/>
      <c r="BW238" s="717"/>
      <c r="BX238" s="717">
        <f t="shared" si="81"/>
        <v>-7.0000000000000007E-2</v>
      </c>
      <c r="BY238" s="717"/>
      <c r="BZ238" s="717">
        <f t="shared" si="82"/>
        <v>7.0000000000000007E-2</v>
      </c>
      <c r="CA238" s="756">
        <f t="shared" si="86"/>
        <v>0</v>
      </c>
      <c r="CB238" s="716">
        <f t="shared" si="83"/>
        <v>0</v>
      </c>
      <c r="CC238" s="789">
        <f t="shared" si="84"/>
        <v>3.9945000000000004</v>
      </c>
      <c r="CD238" s="793">
        <f t="shared" si="85"/>
        <v>0.1585</v>
      </c>
    </row>
    <row r="239" spans="1:82" ht="13.8" x14ac:dyDescent="0.3">
      <c r="A239" s="553">
        <f t="shared" si="69"/>
        <v>43800</v>
      </c>
      <c r="B239" s="717">
        <v>7.4170819394279996E-2</v>
      </c>
      <c r="C239" s="8"/>
      <c r="D239" s="989">
        <v>42644</v>
      </c>
      <c r="E239" s="990">
        <v>30.95</v>
      </c>
      <c r="F239" s="990">
        <v>33</v>
      </c>
      <c r="G239" s="990">
        <v>35.049999999999997</v>
      </c>
      <c r="H239" s="977"/>
      <c r="I239" s="990">
        <v>20.224998855590812</v>
      </c>
      <c r="J239" s="990">
        <v>21.249998855590814</v>
      </c>
      <c r="K239" s="990">
        <v>22.274998855590816</v>
      </c>
      <c r="L239" s="12"/>
      <c r="M239" s="1004"/>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K239"/>
      <c r="BL239"/>
      <c r="BM239"/>
      <c r="BN239"/>
      <c r="BO239"/>
      <c r="BP239"/>
      <c r="BQ239" s="553">
        <f t="shared" si="70"/>
        <v>43709</v>
      </c>
      <c r="BR239" s="716">
        <v>4.0015000000000001</v>
      </c>
      <c r="BS239" s="716">
        <v>4.0065</v>
      </c>
      <c r="BT239" s="716">
        <v>4.0114999999999998</v>
      </c>
      <c r="BU239" s="717"/>
      <c r="BV239" s="717"/>
      <c r="BW239" s="717"/>
      <c r="BX239" s="717">
        <f t="shared" si="81"/>
        <v>-7.0000000000000007E-2</v>
      </c>
      <c r="BY239" s="717"/>
      <c r="BZ239" s="717">
        <f t="shared" si="82"/>
        <v>7.0000000000000007E-2</v>
      </c>
      <c r="CA239" s="756">
        <f t="shared" si="86"/>
        <v>0</v>
      </c>
      <c r="CB239" s="716">
        <f t="shared" si="83"/>
        <v>0</v>
      </c>
      <c r="CC239" s="789">
        <f t="shared" si="84"/>
        <v>4.0015000000000001</v>
      </c>
      <c r="CD239" s="793">
        <f t="shared" si="85"/>
        <v>0.1585</v>
      </c>
    </row>
    <row r="240" spans="1:82" ht="13.8" x14ac:dyDescent="0.3">
      <c r="A240" s="553">
        <f t="shared" si="69"/>
        <v>43831</v>
      </c>
      <c r="B240" s="717">
        <v>7.4170524676401006E-2</v>
      </c>
      <c r="C240" s="8"/>
      <c r="D240" s="989">
        <v>42675</v>
      </c>
      <c r="E240" s="990">
        <v>31.324999999999999</v>
      </c>
      <c r="F240" s="990">
        <v>33.375</v>
      </c>
      <c r="G240" s="990">
        <v>35.424999999999997</v>
      </c>
      <c r="H240" s="977"/>
      <c r="I240" s="990">
        <v>20.149998092651359</v>
      </c>
      <c r="J240" s="990">
        <v>21.174998092651361</v>
      </c>
      <c r="K240" s="990">
        <v>22.199998092651363</v>
      </c>
      <c r="L240" s="12"/>
      <c r="M240" s="1004"/>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K240"/>
      <c r="BL240"/>
      <c r="BM240"/>
      <c r="BN240"/>
      <c r="BO240"/>
      <c r="BP240"/>
      <c r="BQ240" s="553">
        <f t="shared" si="70"/>
        <v>43739</v>
      </c>
      <c r="BR240" s="716">
        <v>4.0274999999999999</v>
      </c>
      <c r="BS240" s="716">
        <v>4.0324999999999998</v>
      </c>
      <c r="BT240" s="716">
        <v>4.0374999999999996</v>
      </c>
      <c r="BU240" s="717"/>
      <c r="BV240" s="717"/>
      <c r="BW240" s="717"/>
      <c r="BX240" s="717">
        <f t="shared" si="81"/>
        <v>-7.0000000000000007E-2</v>
      </c>
      <c r="BY240" s="717"/>
      <c r="BZ240" s="717">
        <f t="shared" si="82"/>
        <v>7.0000000000000007E-2</v>
      </c>
      <c r="CA240" s="756">
        <f t="shared" si="86"/>
        <v>0</v>
      </c>
      <c r="CB240" s="716">
        <f t="shared" si="83"/>
        <v>0</v>
      </c>
      <c r="CC240" s="789">
        <f t="shared" si="84"/>
        <v>4.0274999999999999</v>
      </c>
      <c r="CD240" s="793">
        <f t="shared" si="85"/>
        <v>0.1585</v>
      </c>
    </row>
    <row r="241" spans="1:82" ht="13.8" x14ac:dyDescent="0.3">
      <c r="A241" s="553">
        <f t="shared" si="69"/>
        <v>43862</v>
      </c>
      <c r="B241" s="717">
        <v>7.4170229958521988E-2</v>
      </c>
      <c r="C241" s="8"/>
      <c r="D241" s="989">
        <v>42705</v>
      </c>
      <c r="E241" s="990">
        <v>31.2</v>
      </c>
      <c r="F241" s="990">
        <v>33.25</v>
      </c>
      <c r="G241" s="990">
        <v>35.299999999999997</v>
      </c>
      <c r="H241" s="977"/>
      <c r="I241" s="990">
        <v>21.574999237060538</v>
      </c>
      <c r="J241" s="990">
        <v>22.59999923706054</v>
      </c>
      <c r="K241" s="990">
        <v>23.624999237060543</v>
      </c>
      <c r="L241" s="12"/>
      <c r="M241" s="1004"/>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K241"/>
      <c r="BL241"/>
      <c r="BM241"/>
      <c r="BN241"/>
      <c r="BO241"/>
      <c r="BP241"/>
      <c r="BQ241" s="553">
        <f t="shared" si="70"/>
        <v>43770</v>
      </c>
      <c r="BR241" s="716">
        <v>4.1624999999999996</v>
      </c>
      <c r="BS241" s="716">
        <v>4.1675000000000004</v>
      </c>
      <c r="BT241" s="716">
        <v>4.1725000000000003</v>
      </c>
      <c r="BU241" s="717"/>
      <c r="BV241" s="717"/>
      <c r="BW241" s="717"/>
      <c r="BX241" s="717">
        <f t="shared" si="81"/>
        <v>-7.0000000000000007E-2</v>
      </c>
      <c r="BY241" s="717"/>
      <c r="BZ241" s="717">
        <f t="shared" si="82"/>
        <v>7.0000000000000007E-2</v>
      </c>
      <c r="CA241" s="756">
        <f t="shared" si="86"/>
        <v>0</v>
      </c>
      <c r="CB241" s="716">
        <f t="shared" si="83"/>
        <v>0</v>
      </c>
      <c r="CC241" s="789">
        <f t="shared" si="84"/>
        <v>4.1624999999999996</v>
      </c>
      <c r="CD241" s="793">
        <f t="shared" si="85"/>
        <v>0.1585</v>
      </c>
    </row>
    <row r="242" spans="1:82" ht="13.8" x14ac:dyDescent="0.3">
      <c r="A242" s="553">
        <f t="shared" si="69"/>
        <v>43891</v>
      </c>
      <c r="B242" s="717">
        <v>7.4169954254698994E-2</v>
      </c>
      <c r="C242" s="8"/>
      <c r="D242" s="989">
        <v>42736</v>
      </c>
      <c r="E242" s="990">
        <v>37.35</v>
      </c>
      <c r="F242" s="990">
        <v>39.549999999999997</v>
      </c>
      <c r="G242" s="990">
        <v>41.75</v>
      </c>
      <c r="H242" s="977"/>
      <c r="I242" s="990">
        <v>21.490000152587882</v>
      </c>
      <c r="J242" s="990">
        <v>22.590000152587884</v>
      </c>
      <c r="K242" s="990">
        <v>23.690000152587885</v>
      </c>
      <c r="L242" s="12"/>
      <c r="M242" s="1004"/>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K242"/>
      <c r="BL242"/>
      <c r="BM242"/>
      <c r="BN242"/>
      <c r="BO242"/>
      <c r="BP242"/>
      <c r="BQ242" s="553">
        <f t="shared" si="70"/>
        <v>43800</v>
      </c>
      <c r="BR242" s="716">
        <v>4.2865000000000002</v>
      </c>
      <c r="BS242" s="716">
        <v>4.2915000000000001</v>
      </c>
      <c r="BT242" s="716">
        <v>4.2965</v>
      </c>
      <c r="BU242" s="717"/>
      <c r="BV242" s="717"/>
      <c r="BW242" s="717"/>
      <c r="BX242" s="717">
        <f t="shared" si="81"/>
        <v>-7.0000000000000007E-2</v>
      </c>
      <c r="BY242" s="717"/>
      <c r="BZ242" s="717">
        <f t="shared" si="82"/>
        <v>7.0000000000000007E-2</v>
      </c>
      <c r="CA242" s="756">
        <f t="shared" si="86"/>
        <v>0</v>
      </c>
      <c r="CB242" s="716">
        <f t="shared" si="83"/>
        <v>0</v>
      </c>
      <c r="CC242" s="789">
        <f t="shared" si="84"/>
        <v>4.2865000000000002</v>
      </c>
      <c r="CD242" s="793">
        <f t="shared" si="85"/>
        <v>0.1585</v>
      </c>
    </row>
    <row r="243" spans="1:82" ht="13.8" x14ac:dyDescent="0.3">
      <c r="A243" s="553">
        <f t="shared" si="69"/>
        <v>43922</v>
      </c>
      <c r="B243" s="717">
        <v>7.4161295770025004E-2</v>
      </c>
      <c r="C243" s="8"/>
      <c r="D243" s="989">
        <v>42767</v>
      </c>
      <c r="E243" s="990">
        <v>37.35</v>
      </c>
      <c r="F243" s="990">
        <v>39.549999999999997</v>
      </c>
      <c r="G243" s="990">
        <v>41.75</v>
      </c>
      <c r="H243" s="977"/>
      <c r="I243" s="990">
        <v>21.299997711181632</v>
      </c>
      <c r="J243" s="990">
        <v>22.399997711181634</v>
      </c>
      <c r="K243" s="990">
        <v>23.499997711181635</v>
      </c>
      <c r="L243" s="12"/>
      <c r="M243" s="1004"/>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K243"/>
      <c r="BL243"/>
      <c r="BM243"/>
      <c r="BN243"/>
      <c r="BO243"/>
      <c r="BP243"/>
      <c r="BQ243" s="553">
        <f t="shared" si="70"/>
        <v>43831</v>
      </c>
      <c r="BR243" s="716">
        <v>4.41</v>
      </c>
      <c r="BS243" s="716">
        <v>4.415</v>
      </c>
      <c r="BT243" s="716">
        <v>4.42</v>
      </c>
      <c r="BU243" s="717"/>
      <c r="BV243" s="717"/>
      <c r="BW243" s="717"/>
      <c r="BX243" s="717">
        <f t="shared" si="81"/>
        <v>-7.0000000000000007E-2</v>
      </c>
      <c r="BY243" s="717"/>
      <c r="BZ243" s="717">
        <f t="shared" si="82"/>
        <v>7.0000000000000007E-2</v>
      </c>
      <c r="CA243" s="756">
        <f t="shared" si="86"/>
        <v>0</v>
      </c>
      <c r="CB243" s="716">
        <f t="shared" si="83"/>
        <v>0</v>
      </c>
      <c r="CC243" s="789">
        <f t="shared" si="84"/>
        <v>4.41</v>
      </c>
      <c r="CD243" s="793">
        <f t="shared" si="85"/>
        <v>0.1585</v>
      </c>
    </row>
    <row r="244" spans="1:82" ht="13.8" x14ac:dyDescent="0.3">
      <c r="A244" s="553">
        <f t="shared" si="69"/>
        <v>43952</v>
      </c>
      <c r="B244" s="717">
        <v>7.4152358386653003E-2</v>
      </c>
      <c r="C244" s="8"/>
      <c r="D244" s="989">
        <v>42795</v>
      </c>
      <c r="E244" s="990">
        <v>34.6</v>
      </c>
      <c r="F244" s="990">
        <v>35.799999999999997</v>
      </c>
      <c r="G244" s="990">
        <v>37</v>
      </c>
      <c r="H244" s="977"/>
      <c r="I244" s="990">
        <v>20.799999618530265</v>
      </c>
      <c r="J244" s="990">
        <v>21.399999618530266</v>
      </c>
      <c r="K244" s="990">
        <v>21.999999618530268</v>
      </c>
      <c r="L244" s="12"/>
      <c r="M244" s="1004"/>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K244"/>
      <c r="BL244"/>
      <c r="BM244"/>
      <c r="BN244"/>
      <c r="BO244"/>
      <c r="BP244"/>
      <c r="BQ244" s="553">
        <f t="shared" si="70"/>
        <v>43862</v>
      </c>
      <c r="BR244" s="716">
        <v>4.2919999999999998</v>
      </c>
      <c r="BS244" s="716">
        <v>4.2970000000000006</v>
      </c>
      <c r="BT244" s="716">
        <v>4.3020000000000005</v>
      </c>
      <c r="BU244" s="717"/>
      <c r="BV244" s="717"/>
      <c r="BW244" s="717"/>
      <c r="BX244" s="717">
        <f t="shared" si="81"/>
        <v>-7.0000000000000007E-2</v>
      </c>
      <c r="BY244" s="717"/>
      <c r="BZ244" s="717">
        <f t="shared" si="82"/>
        <v>7.0000000000000007E-2</v>
      </c>
      <c r="CA244" s="756">
        <f t="shared" si="86"/>
        <v>0</v>
      </c>
      <c r="CB244" s="716">
        <f t="shared" si="83"/>
        <v>0</v>
      </c>
      <c r="CC244" s="789">
        <f t="shared" si="84"/>
        <v>4.2919999999999998</v>
      </c>
      <c r="CD244" s="793">
        <f t="shared" si="85"/>
        <v>0.1585</v>
      </c>
    </row>
    <row r="245" spans="1:82" ht="13.8" x14ac:dyDescent="0.3">
      <c r="A245" s="553">
        <f t="shared" si="69"/>
        <v>43983</v>
      </c>
      <c r="B245" s="717">
        <v>7.4143123090530005E-2</v>
      </c>
      <c r="C245" s="8"/>
      <c r="D245" s="989">
        <v>42826</v>
      </c>
      <c r="E245" s="990">
        <v>33.5</v>
      </c>
      <c r="F245" s="990">
        <v>34.549999999999997</v>
      </c>
      <c r="G245" s="990">
        <v>35.6</v>
      </c>
      <c r="H245" s="977"/>
      <c r="I245" s="990">
        <v>20.874997711181635</v>
      </c>
      <c r="J245" s="990">
        <v>21.399997711181634</v>
      </c>
      <c r="K245" s="990">
        <v>21.924997711181632</v>
      </c>
      <c r="L245" s="12"/>
      <c r="M245" s="1004"/>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K245"/>
      <c r="BL245"/>
      <c r="BM245"/>
      <c r="BN245"/>
      <c r="BO245"/>
      <c r="BP245"/>
      <c r="BQ245" s="553">
        <f t="shared" si="70"/>
        <v>43891</v>
      </c>
      <c r="BR245" s="716">
        <v>4.1720000000000006</v>
      </c>
      <c r="BS245" s="716">
        <v>4.1770000000000005</v>
      </c>
      <c r="BT245" s="716">
        <v>4.1820000000000004</v>
      </c>
      <c r="BU245" s="717"/>
      <c r="BV245" s="717"/>
      <c r="BW245" s="717"/>
      <c r="BX245" s="717">
        <f t="shared" si="81"/>
        <v>-7.0000000000000007E-2</v>
      </c>
      <c r="BY245" s="717"/>
      <c r="BZ245" s="717">
        <f t="shared" si="82"/>
        <v>7.0000000000000007E-2</v>
      </c>
      <c r="CA245" s="756">
        <f t="shared" si="86"/>
        <v>0</v>
      </c>
      <c r="CB245" s="716">
        <f t="shared" si="83"/>
        <v>0</v>
      </c>
      <c r="CC245" s="789">
        <f t="shared" si="84"/>
        <v>4.1720000000000006</v>
      </c>
      <c r="CD245" s="793">
        <f t="shared" si="85"/>
        <v>0.1585</v>
      </c>
    </row>
    <row r="246" spans="1:82" ht="13.8" x14ac:dyDescent="0.3">
      <c r="A246" s="553">
        <f t="shared" si="69"/>
        <v>44013</v>
      </c>
      <c r="B246" s="717">
        <v>7.4134185707211003E-2</v>
      </c>
      <c r="C246" s="8"/>
      <c r="D246" s="989">
        <v>42856</v>
      </c>
      <c r="E246" s="990">
        <v>35.67</v>
      </c>
      <c r="F246" s="990">
        <v>38.15</v>
      </c>
      <c r="G246" s="990">
        <v>40.630000000000003</v>
      </c>
      <c r="H246" s="977"/>
      <c r="I246" s="990">
        <v>20.159997711181635</v>
      </c>
      <c r="J246" s="990">
        <v>21.399997711181634</v>
      </c>
      <c r="K246" s="990">
        <v>22.639997711181632</v>
      </c>
      <c r="L246" s="12"/>
      <c r="M246" s="1004"/>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K246"/>
      <c r="BL246"/>
      <c r="BM246"/>
      <c r="BN246"/>
      <c r="BO246"/>
      <c r="BP246"/>
      <c r="BQ246" s="553">
        <f t="shared" si="70"/>
        <v>43922</v>
      </c>
      <c r="BR246" s="716">
        <v>4.1224999999999996</v>
      </c>
      <c r="BS246" s="716">
        <v>4.1275000000000004</v>
      </c>
      <c r="BT246" s="716">
        <v>4.1325000000000003</v>
      </c>
      <c r="BU246" s="717"/>
      <c r="BV246" s="717"/>
      <c r="BW246" s="717"/>
      <c r="BX246" s="717">
        <f t="shared" si="81"/>
        <v>-7.0000000000000007E-2</v>
      </c>
      <c r="BY246" s="717"/>
      <c r="BZ246" s="717">
        <f t="shared" si="82"/>
        <v>7.0000000000000007E-2</v>
      </c>
      <c r="CA246" s="756">
        <f t="shared" si="86"/>
        <v>0</v>
      </c>
      <c r="CB246" s="716">
        <f t="shared" si="83"/>
        <v>0</v>
      </c>
      <c r="CC246" s="789">
        <f t="shared" si="84"/>
        <v>4.1224999999999996</v>
      </c>
      <c r="CD246" s="793">
        <f t="shared" si="85"/>
        <v>0.1585</v>
      </c>
    </row>
    <row r="247" spans="1:82" ht="13.8" x14ac:dyDescent="0.3">
      <c r="A247" s="553">
        <f t="shared" si="69"/>
        <v>44044</v>
      </c>
      <c r="B247" s="717">
        <v>7.412495041114299E-2</v>
      </c>
      <c r="C247" s="8"/>
      <c r="D247" s="989">
        <v>42887</v>
      </c>
      <c r="E247" s="990">
        <v>52.14</v>
      </c>
      <c r="F247" s="990">
        <v>59.25</v>
      </c>
      <c r="G247" s="990">
        <v>66.36</v>
      </c>
      <c r="H247" s="977"/>
      <c r="I247" s="990">
        <v>17.799998779296867</v>
      </c>
      <c r="J247" s="990">
        <v>21.354998779296867</v>
      </c>
      <c r="K247" s="990">
        <v>24.909998779296867</v>
      </c>
      <c r="L247" s="12"/>
      <c r="M247" s="1004"/>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K247"/>
      <c r="BL247"/>
      <c r="BM247"/>
      <c r="BN247"/>
      <c r="BO247"/>
      <c r="BP247"/>
      <c r="BQ247" s="553">
        <f t="shared" si="70"/>
        <v>43952</v>
      </c>
      <c r="BR247" s="716">
        <v>4.0964999999999998</v>
      </c>
      <c r="BS247" s="716">
        <v>4.1015000000000006</v>
      </c>
      <c r="BT247" s="716">
        <v>4.1065000000000005</v>
      </c>
      <c r="BU247" s="717"/>
      <c r="BV247" s="717"/>
      <c r="BW247" s="717"/>
      <c r="BX247" s="717">
        <f t="shared" ref="BX247:BX262" si="87">BY247-$BX$4</f>
        <v>-7.0000000000000007E-2</v>
      </c>
      <c r="BY247" s="717"/>
      <c r="BZ247" s="717">
        <f t="shared" ref="BZ247:BZ262" si="88">BY247+$BZ$4</f>
        <v>7.0000000000000007E-2</v>
      </c>
      <c r="CA247" s="756">
        <f t="shared" si="86"/>
        <v>0</v>
      </c>
      <c r="CB247" s="716">
        <f t="shared" ref="CB247:CB262" si="89">GasBasis</f>
        <v>0</v>
      </c>
      <c r="CC247" s="789">
        <f t="shared" ref="CC247:CC262" si="90">(IF(GasPriceCurve,IF(OBuySell=OCallPut,BT247,BR247),BS247)+CA247/1000+CB247)/(1-GasTransportPercent)</f>
        <v>4.0964999999999998</v>
      </c>
      <c r="CD247" s="793">
        <f t="shared" ref="CD247:CD262" si="91">IF(GasVolOver,GasVolOver,IF(OVolType=2,IF(OR(BU247="",BV247="",BW247=""),CD246,IF(GasVolCurve,IF(OBuySell,BU247,BW247),BV247)*GasVolAsPercentOfNYMEX),IF(OR(BU247="",BV247="",BW247="",BY247=""),CD246,SQRT(((IF(GasVolCurve,IF(OBuySell,BU247,BW247),BV247)*GasVolAsPercentOfNYMEX)^2*(BQ247-DateToday-1)+IF(GasVolCurve,IF(OBuySell,BX247,BZ247),BY247)^2*15)/(BQ247-DateToday+14))))+GasVolSpread)</f>
        <v>0.1585</v>
      </c>
    </row>
    <row r="248" spans="1:82" ht="13.8" x14ac:dyDescent="0.3">
      <c r="A248" s="553">
        <f t="shared" si="69"/>
        <v>44075</v>
      </c>
      <c r="B248" s="717">
        <v>7.4115715115102995E-2</v>
      </c>
      <c r="C248" s="8"/>
      <c r="D248" s="989">
        <v>42917</v>
      </c>
      <c r="E248" s="990">
        <v>85.5</v>
      </c>
      <c r="F248" s="990">
        <v>90.5</v>
      </c>
      <c r="G248" s="990">
        <v>95.5</v>
      </c>
      <c r="H248" s="981"/>
      <c r="I248" s="990">
        <v>23.349997711181633</v>
      </c>
      <c r="J248" s="990">
        <v>25.849997711181633</v>
      </c>
      <c r="K248" s="990">
        <v>28.349997711181633</v>
      </c>
      <c r="L248" s="12"/>
      <c r="M248" s="1004"/>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K248"/>
      <c r="BL248"/>
      <c r="BM248"/>
      <c r="BN248"/>
      <c r="BO248"/>
      <c r="BP248"/>
      <c r="BQ248" s="553">
        <f t="shared" si="70"/>
        <v>43983</v>
      </c>
      <c r="BR248" s="716">
        <v>4.1025</v>
      </c>
      <c r="BS248" s="716">
        <v>4.1074999999999999</v>
      </c>
      <c r="BT248" s="716">
        <v>4.1124999999999998</v>
      </c>
      <c r="BU248" s="717"/>
      <c r="BV248" s="717"/>
      <c r="BW248" s="717"/>
      <c r="BX248" s="717">
        <f t="shared" si="87"/>
        <v>-7.0000000000000007E-2</v>
      </c>
      <c r="BY248" s="717"/>
      <c r="BZ248" s="717">
        <f t="shared" si="88"/>
        <v>7.0000000000000007E-2</v>
      </c>
      <c r="CA248" s="756">
        <f t="shared" si="86"/>
        <v>0</v>
      </c>
      <c r="CB248" s="716">
        <f t="shared" si="89"/>
        <v>0</v>
      </c>
      <c r="CC248" s="789">
        <f t="shared" si="90"/>
        <v>4.1025</v>
      </c>
      <c r="CD248" s="793">
        <f t="shared" si="91"/>
        <v>0.1585</v>
      </c>
    </row>
    <row r="249" spans="1:82" ht="13.8" x14ac:dyDescent="0.3">
      <c r="A249" s="553">
        <f t="shared" si="69"/>
        <v>44105</v>
      </c>
      <c r="B249" s="717">
        <v>7.4106777731865997E-2</v>
      </c>
      <c r="C249" s="8"/>
      <c r="D249" s="989">
        <v>42948</v>
      </c>
      <c r="E249" s="990">
        <v>81</v>
      </c>
      <c r="F249" s="990">
        <v>86</v>
      </c>
      <c r="G249" s="990">
        <v>91</v>
      </c>
      <c r="H249" s="981"/>
      <c r="I249" s="990">
        <v>23.699998092651359</v>
      </c>
      <c r="J249" s="990">
        <v>26.199998092651359</v>
      </c>
      <c r="K249" s="990">
        <v>28.699998092651359</v>
      </c>
      <c r="L249" s="12"/>
      <c r="M249" s="1004"/>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K249"/>
      <c r="BL249"/>
      <c r="BM249"/>
      <c r="BN249"/>
      <c r="BO249"/>
      <c r="BP249"/>
      <c r="BQ249" s="553">
        <f t="shared" si="70"/>
        <v>44013</v>
      </c>
      <c r="BR249" s="716">
        <v>4.1124999999999998</v>
      </c>
      <c r="BS249" s="716">
        <v>4.1174999999999997</v>
      </c>
      <c r="BT249" s="716">
        <v>4.1224999999999996</v>
      </c>
      <c r="BU249" s="717"/>
      <c r="BV249" s="717"/>
      <c r="BW249" s="717"/>
      <c r="BX249" s="717">
        <f t="shared" si="87"/>
        <v>-7.0000000000000007E-2</v>
      </c>
      <c r="BY249" s="717"/>
      <c r="BZ249" s="717">
        <f t="shared" si="88"/>
        <v>7.0000000000000007E-2</v>
      </c>
      <c r="CA249" s="756">
        <f t="shared" si="86"/>
        <v>0</v>
      </c>
      <c r="CB249" s="716">
        <f t="shared" si="89"/>
        <v>0</v>
      </c>
      <c r="CC249" s="789">
        <f t="shared" si="90"/>
        <v>4.1124999999999998</v>
      </c>
      <c r="CD249" s="793">
        <f t="shared" si="91"/>
        <v>0.1585</v>
      </c>
    </row>
    <row r="250" spans="1:82" ht="13.8" x14ac:dyDescent="0.3">
      <c r="A250" s="553">
        <f t="shared" si="69"/>
        <v>44136</v>
      </c>
      <c r="B250" s="717">
        <v>7.4097542435882E-2</v>
      </c>
      <c r="C250" s="8"/>
      <c r="D250" s="989">
        <v>42979</v>
      </c>
      <c r="E250" s="990">
        <v>33.25</v>
      </c>
      <c r="F250" s="990">
        <v>35.549999999999997</v>
      </c>
      <c r="G250" s="990">
        <v>37.85</v>
      </c>
      <c r="H250" s="981"/>
      <c r="I250" s="990">
        <v>20.599998092651362</v>
      </c>
      <c r="J250" s="990">
        <v>21.74999809265136</v>
      </c>
      <c r="K250" s="990">
        <v>22.899998092651359</v>
      </c>
      <c r="L250" s="12"/>
      <c r="M250" s="1004"/>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K250"/>
      <c r="BL250"/>
      <c r="BM250"/>
      <c r="BN250"/>
      <c r="BO250"/>
      <c r="BP250"/>
      <c r="BQ250" s="553">
        <f t="shared" si="70"/>
        <v>44044</v>
      </c>
      <c r="BR250" s="716">
        <v>4.1195000000000004</v>
      </c>
      <c r="BS250" s="716">
        <v>4.1245000000000003</v>
      </c>
      <c r="BT250" s="716">
        <v>4.1295000000000002</v>
      </c>
      <c r="BU250" s="717"/>
      <c r="BV250" s="717"/>
      <c r="BW250" s="717"/>
      <c r="BX250" s="717">
        <f t="shared" si="87"/>
        <v>-7.0000000000000007E-2</v>
      </c>
      <c r="BY250" s="717"/>
      <c r="BZ250" s="717">
        <f t="shared" si="88"/>
        <v>7.0000000000000007E-2</v>
      </c>
      <c r="CA250" s="756">
        <f t="shared" si="86"/>
        <v>0</v>
      </c>
      <c r="CB250" s="716">
        <f t="shared" si="89"/>
        <v>0</v>
      </c>
      <c r="CC250" s="789">
        <f t="shared" si="90"/>
        <v>4.1195000000000004</v>
      </c>
      <c r="CD250" s="793">
        <f t="shared" si="91"/>
        <v>0.1585</v>
      </c>
    </row>
    <row r="251" spans="1:82" ht="13.8" x14ac:dyDescent="0.3">
      <c r="A251" s="553">
        <f t="shared" si="69"/>
        <v>44166</v>
      </c>
      <c r="B251" s="717">
        <v>7.4088605052698001E-2</v>
      </c>
      <c r="C251" s="8"/>
      <c r="D251" s="989">
        <v>43009</v>
      </c>
      <c r="E251" s="990">
        <v>31.15</v>
      </c>
      <c r="F251" s="990">
        <v>33.299999999999997</v>
      </c>
      <c r="G251" s="990">
        <v>35.450000000000003</v>
      </c>
      <c r="H251" s="981"/>
      <c r="I251" s="990">
        <v>20.374998855590814</v>
      </c>
      <c r="J251" s="990">
        <v>21.449998855590813</v>
      </c>
      <c r="K251" s="990">
        <v>22.524998855590812</v>
      </c>
      <c r="L251" s="12"/>
      <c r="M251" s="1004"/>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K251"/>
      <c r="BL251"/>
      <c r="BM251"/>
      <c r="BN251"/>
      <c r="BO251"/>
      <c r="BP251"/>
      <c r="BQ251" s="553">
        <f t="shared" si="70"/>
        <v>44075</v>
      </c>
      <c r="BR251" s="716">
        <v>4.1265000000000001</v>
      </c>
      <c r="BS251" s="716">
        <v>4.1315</v>
      </c>
      <c r="BT251" s="716">
        <v>4.1364999999999998</v>
      </c>
      <c r="BU251" s="717"/>
      <c r="BV251" s="717"/>
      <c r="BW251" s="717"/>
      <c r="BX251" s="717">
        <f t="shared" si="87"/>
        <v>-7.0000000000000007E-2</v>
      </c>
      <c r="BY251" s="717"/>
      <c r="BZ251" s="717">
        <f t="shared" si="88"/>
        <v>7.0000000000000007E-2</v>
      </c>
      <c r="CA251" s="756">
        <f t="shared" si="86"/>
        <v>0</v>
      </c>
      <c r="CB251" s="716">
        <f t="shared" si="89"/>
        <v>0</v>
      </c>
      <c r="CC251" s="789">
        <f t="shared" si="90"/>
        <v>4.1265000000000001</v>
      </c>
      <c r="CD251" s="793">
        <f t="shared" si="91"/>
        <v>0.1585</v>
      </c>
    </row>
    <row r="252" spans="1:82" ht="13.8" x14ac:dyDescent="0.3">
      <c r="A252" s="553">
        <f t="shared" si="69"/>
        <v>44197</v>
      </c>
      <c r="B252" s="717">
        <v>7.4079369756769001E-2</v>
      </c>
      <c r="C252" s="8"/>
      <c r="D252" s="989">
        <v>43040</v>
      </c>
      <c r="E252" s="990">
        <v>31.524999999999999</v>
      </c>
      <c r="F252" s="990">
        <v>33.674999999999997</v>
      </c>
      <c r="G252" s="990">
        <v>35.825000000000003</v>
      </c>
      <c r="H252" s="981"/>
      <c r="I252" s="990">
        <v>20.299998092651361</v>
      </c>
      <c r="J252" s="990">
        <v>21.37499809265136</v>
      </c>
      <c r="K252" s="990">
        <v>22.449998092651359</v>
      </c>
      <c r="L252" s="12"/>
      <c r="M252" s="1004"/>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K252"/>
      <c r="BL252"/>
      <c r="BM252"/>
      <c r="BN252"/>
      <c r="BO252"/>
      <c r="BP252"/>
      <c r="BQ252" s="553">
        <f t="shared" si="70"/>
        <v>44105</v>
      </c>
      <c r="BR252" s="716">
        <v>4.1524999999999999</v>
      </c>
      <c r="BS252" s="716">
        <v>4.1574999999999998</v>
      </c>
      <c r="BT252" s="716">
        <v>4.1624999999999996</v>
      </c>
      <c r="BU252" s="717"/>
      <c r="BV252" s="717"/>
      <c r="BW252" s="717"/>
      <c r="BX252" s="717">
        <f t="shared" si="87"/>
        <v>-7.0000000000000007E-2</v>
      </c>
      <c r="BY252" s="717"/>
      <c r="BZ252" s="717">
        <f t="shared" si="88"/>
        <v>7.0000000000000007E-2</v>
      </c>
      <c r="CA252" s="756">
        <f t="shared" si="86"/>
        <v>0</v>
      </c>
      <c r="CB252" s="716">
        <f t="shared" si="89"/>
        <v>0</v>
      </c>
      <c r="CC252" s="789">
        <f t="shared" si="90"/>
        <v>4.1524999999999999</v>
      </c>
      <c r="CD252" s="793">
        <f t="shared" si="91"/>
        <v>0.1585</v>
      </c>
    </row>
    <row r="253" spans="1:82" ht="13.8" x14ac:dyDescent="0.3">
      <c r="A253" s="553">
        <f t="shared" si="69"/>
        <v>44228</v>
      </c>
      <c r="B253" s="717">
        <v>7.4070134460867992E-2</v>
      </c>
      <c r="C253" s="8"/>
      <c r="D253" s="989">
        <v>43070</v>
      </c>
      <c r="E253" s="990">
        <v>31.4</v>
      </c>
      <c r="F253" s="990">
        <v>33.549999999999997</v>
      </c>
      <c r="G253" s="990">
        <v>35.700000000000003</v>
      </c>
      <c r="H253" s="981"/>
      <c r="I253" s="990">
        <v>21.72499923706054</v>
      </c>
      <c r="J253" s="990">
        <v>22.79999923706054</v>
      </c>
      <c r="K253" s="990">
        <v>23.874999237060539</v>
      </c>
      <c r="L253" s="12"/>
      <c r="M253" s="1004"/>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K253"/>
      <c r="BL253"/>
      <c r="BM253"/>
      <c r="BN253"/>
      <c r="BO253"/>
      <c r="BP253"/>
      <c r="BQ253" s="553">
        <f t="shared" si="70"/>
        <v>44136</v>
      </c>
      <c r="BR253" s="716">
        <v>4.2874999999999996</v>
      </c>
      <c r="BS253" s="716">
        <v>4.2925000000000004</v>
      </c>
      <c r="BT253" s="716">
        <v>4.2975000000000003</v>
      </c>
      <c r="BU253" s="717"/>
      <c r="BV253" s="717"/>
      <c r="BW253" s="717"/>
      <c r="BX253" s="717">
        <f t="shared" si="87"/>
        <v>-7.0000000000000007E-2</v>
      </c>
      <c r="BY253" s="717"/>
      <c r="BZ253" s="717">
        <f t="shared" si="88"/>
        <v>7.0000000000000007E-2</v>
      </c>
      <c r="CA253" s="756">
        <f t="shared" si="86"/>
        <v>0</v>
      </c>
      <c r="CB253" s="716">
        <f t="shared" si="89"/>
        <v>0</v>
      </c>
      <c r="CC253" s="789">
        <f t="shared" si="90"/>
        <v>4.2874999999999996</v>
      </c>
      <c r="CD253" s="793">
        <f t="shared" si="91"/>
        <v>0.1585</v>
      </c>
    </row>
    <row r="254" spans="1:82" ht="13.8" x14ac:dyDescent="0.3">
      <c r="A254" s="553">
        <f t="shared" si="69"/>
        <v>44256</v>
      </c>
      <c r="B254" s="717">
        <v>7.4061792903305002E-2</v>
      </c>
      <c r="C254" s="8"/>
      <c r="D254" s="989">
        <v>43101</v>
      </c>
      <c r="E254" s="990">
        <v>37.65</v>
      </c>
      <c r="F254" s="990">
        <v>39.85</v>
      </c>
      <c r="G254" s="990">
        <v>42.05</v>
      </c>
      <c r="H254" s="981"/>
      <c r="I254" s="990">
        <v>21.690000152587881</v>
      </c>
      <c r="J254" s="990">
        <v>22.790000152587883</v>
      </c>
      <c r="K254" s="990">
        <v>23.890000152587884</v>
      </c>
      <c r="L254" s="12"/>
      <c r="M254" s="1004"/>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K254"/>
      <c r="BL254"/>
      <c r="BM254"/>
      <c r="BN254"/>
      <c r="BO254"/>
      <c r="BP254"/>
      <c r="BQ254" s="553">
        <f t="shared" si="70"/>
        <v>44166</v>
      </c>
      <c r="BR254" s="716">
        <v>4.4115000000000002</v>
      </c>
      <c r="BS254" s="716">
        <v>4.4165000000000001</v>
      </c>
      <c r="BT254" s="716">
        <v>4.4215</v>
      </c>
      <c r="BU254" s="717"/>
      <c r="BV254" s="717"/>
      <c r="BW254" s="717"/>
      <c r="BX254" s="717">
        <f t="shared" si="87"/>
        <v>-7.0000000000000007E-2</v>
      </c>
      <c r="BY254" s="717"/>
      <c r="BZ254" s="717">
        <f t="shared" si="88"/>
        <v>7.0000000000000007E-2</v>
      </c>
      <c r="CA254" s="756">
        <f t="shared" si="86"/>
        <v>0</v>
      </c>
      <c r="CB254" s="716">
        <f t="shared" si="89"/>
        <v>0</v>
      </c>
      <c r="CC254" s="789">
        <f t="shared" si="90"/>
        <v>4.4115000000000002</v>
      </c>
      <c r="CD254" s="793">
        <f t="shared" si="91"/>
        <v>0.1585</v>
      </c>
    </row>
    <row r="255" spans="1:82" ht="13.8" x14ac:dyDescent="0.3">
      <c r="A255" s="553">
        <f t="shared" si="69"/>
        <v>44287</v>
      </c>
      <c r="B255" s="717">
        <v>7.4052557607456992E-2</v>
      </c>
      <c r="C255" s="8"/>
      <c r="D255" s="989">
        <v>43132</v>
      </c>
      <c r="E255" s="990">
        <v>37.65</v>
      </c>
      <c r="F255" s="990">
        <v>39.85</v>
      </c>
      <c r="G255" s="990">
        <v>42.05</v>
      </c>
      <c r="H255" s="981"/>
      <c r="I255" s="990">
        <v>21.499997711181631</v>
      </c>
      <c r="J255" s="990">
        <v>22.599997711181633</v>
      </c>
      <c r="K255" s="990">
        <v>23.699997711181634</v>
      </c>
      <c r="L255" s="12"/>
      <c r="M255" s="1004"/>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K255"/>
      <c r="BL255"/>
      <c r="BM255"/>
      <c r="BN255"/>
      <c r="BO255"/>
      <c r="BP255"/>
      <c r="BQ255" s="553">
        <f t="shared" si="70"/>
        <v>44197</v>
      </c>
      <c r="BR255" s="716">
        <v>4.54</v>
      </c>
      <c r="BS255" s="716">
        <v>4.5449999999999999</v>
      </c>
      <c r="BT255" s="716">
        <v>-0.14499999999999999</v>
      </c>
      <c r="BU255" s="717"/>
      <c r="BV255" s="717"/>
      <c r="BW255" s="717"/>
      <c r="BX255" s="717">
        <f t="shared" si="87"/>
        <v>-7.0000000000000007E-2</v>
      </c>
      <c r="BY255" s="717"/>
      <c r="BZ255" s="717">
        <f t="shared" si="88"/>
        <v>7.0000000000000007E-2</v>
      </c>
      <c r="CA255" s="756">
        <f t="shared" si="86"/>
        <v>0</v>
      </c>
      <c r="CB255" s="716">
        <f t="shared" si="89"/>
        <v>0</v>
      </c>
      <c r="CC255" s="789">
        <f t="shared" si="90"/>
        <v>4.54</v>
      </c>
      <c r="CD255" s="793">
        <f t="shared" si="91"/>
        <v>0.1585</v>
      </c>
    </row>
    <row r="256" spans="1:82" ht="13.8" x14ac:dyDescent="0.3">
      <c r="A256" s="553">
        <f t="shared" si="69"/>
        <v>44317</v>
      </c>
      <c r="B256" s="717">
        <v>7.4043620224405998E-2</v>
      </c>
      <c r="C256" s="8"/>
      <c r="D256" s="989">
        <v>43160</v>
      </c>
      <c r="E256" s="990">
        <v>34.9</v>
      </c>
      <c r="F256" s="990">
        <v>36.1</v>
      </c>
      <c r="G256" s="990">
        <v>37.299999999999997</v>
      </c>
      <c r="H256" s="981"/>
      <c r="I256" s="990">
        <v>20.999999618530264</v>
      </c>
      <c r="J256" s="990">
        <v>21.599999618530266</v>
      </c>
      <c r="K256" s="990">
        <v>22.199999618530267</v>
      </c>
      <c r="L256" s="12"/>
      <c r="M256" s="1004"/>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K256"/>
      <c r="BL256"/>
      <c r="BM256"/>
      <c r="BN256"/>
      <c r="BO256"/>
      <c r="BP256"/>
      <c r="BQ256" s="553">
        <f t="shared" si="70"/>
        <v>44228</v>
      </c>
      <c r="BR256" s="716">
        <v>4.4220000000000006</v>
      </c>
      <c r="BS256" s="716">
        <v>4.4270000000000005</v>
      </c>
      <c r="BT256" s="716">
        <v>-0.13900000000000001</v>
      </c>
      <c r="BU256" s="717"/>
      <c r="BV256" s="717"/>
      <c r="BW256" s="717"/>
      <c r="BX256" s="717">
        <f t="shared" si="87"/>
        <v>-7.0000000000000007E-2</v>
      </c>
      <c r="BY256" s="717"/>
      <c r="BZ256" s="717">
        <f t="shared" si="88"/>
        <v>7.0000000000000007E-2</v>
      </c>
      <c r="CA256" s="756">
        <f t="shared" si="86"/>
        <v>0</v>
      </c>
      <c r="CB256" s="716">
        <f t="shared" si="89"/>
        <v>0</v>
      </c>
      <c r="CC256" s="789">
        <f t="shared" si="90"/>
        <v>4.4220000000000006</v>
      </c>
      <c r="CD256" s="793">
        <f t="shared" si="91"/>
        <v>0.1585</v>
      </c>
    </row>
    <row r="257" spans="1:82" ht="13.8" x14ac:dyDescent="0.3">
      <c r="A257" s="553">
        <f t="shared" si="69"/>
        <v>44348</v>
      </c>
      <c r="B257" s="717">
        <v>7.4034384928614E-2</v>
      </c>
      <c r="C257" s="8"/>
      <c r="D257" s="989">
        <v>43191</v>
      </c>
      <c r="E257" s="990">
        <v>33.799999999999997</v>
      </c>
      <c r="F257" s="990">
        <v>34.85</v>
      </c>
      <c r="G257" s="990">
        <v>35.9</v>
      </c>
      <c r="H257" s="981"/>
      <c r="I257" s="990">
        <v>21.074997711181634</v>
      </c>
      <c r="J257" s="990">
        <v>21.599997711181633</v>
      </c>
      <c r="K257" s="990">
        <v>22.124997711181631</v>
      </c>
      <c r="L257" s="12"/>
      <c r="M257" s="1004"/>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K257"/>
      <c r="BL257"/>
      <c r="BM257"/>
      <c r="BN257"/>
      <c r="BO257"/>
      <c r="BP257"/>
      <c r="BQ257" s="553">
        <f t="shared" si="70"/>
        <v>44256</v>
      </c>
      <c r="BR257" s="716">
        <v>4.3020000000000005</v>
      </c>
      <c r="BS257" s="716">
        <v>4.3070000000000004</v>
      </c>
      <c r="BT257" s="716">
        <v>-0.13</v>
      </c>
      <c r="BU257" s="717"/>
      <c r="BV257" s="717"/>
      <c r="BW257" s="717"/>
      <c r="BX257" s="717">
        <f t="shared" si="87"/>
        <v>-7.0000000000000007E-2</v>
      </c>
      <c r="BY257" s="717"/>
      <c r="BZ257" s="717">
        <f t="shared" si="88"/>
        <v>7.0000000000000007E-2</v>
      </c>
      <c r="CA257" s="756">
        <f t="shared" si="86"/>
        <v>0</v>
      </c>
      <c r="CB257" s="716">
        <f t="shared" si="89"/>
        <v>0</v>
      </c>
      <c r="CC257" s="789">
        <f t="shared" si="90"/>
        <v>4.3020000000000005</v>
      </c>
      <c r="CD257" s="793">
        <f t="shared" si="91"/>
        <v>0.1585</v>
      </c>
    </row>
    <row r="258" spans="1:82" ht="13.8" x14ac:dyDescent="0.3">
      <c r="A258" s="553">
        <f t="shared" si="69"/>
        <v>44378</v>
      </c>
      <c r="B258" s="717">
        <v>7.4025447545615991E-2</v>
      </c>
      <c r="C258" s="8"/>
      <c r="D258" s="989">
        <v>43221</v>
      </c>
      <c r="E258" s="990">
        <v>36.17</v>
      </c>
      <c r="F258" s="990">
        <v>38.65</v>
      </c>
      <c r="G258" s="990">
        <v>41.13</v>
      </c>
      <c r="H258" s="981"/>
      <c r="I258" s="990">
        <v>20.359997711181634</v>
      </c>
      <c r="J258" s="990">
        <v>21.599997711181633</v>
      </c>
      <c r="K258" s="990">
        <v>22.839997711181631</v>
      </c>
      <c r="L258" s="12"/>
      <c r="M258" s="1004"/>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K258"/>
      <c r="BL258"/>
      <c r="BM258"/>
      <c r="BN258"/>
      <c r="BO258"/>
      <c r="BP258"/>
      <c r="BQ258" s="553">
        <f t="shared" si="70"/>
        <v>44287</v>
      </c>
      <c r="BR258" s="716">
        <v>4.2525000000000004</v>
      </c>
      <c r="BS258" s="716">
        <v>4.2575000000000003</v>
      </c>
      <c r="BT258" s="716">
        <v>-0.126</v>
      </c>
      <c r="BU258" s="717"/>
      <c r="BV258" s="717"/>
      <c r="BW258" s="717"/>
      <c r="BX258" s="717">
        <f t="shared" si="87"/>
        <v>-7.0000000000000007E-2</v>
      </c>
      <c r="BY258" s="717"/>
      <c r="BZ258" s="717">
        <f t="shared" si="88"/>
        <v>7.0000000000000007E-2</v>
      </c>
      <c r="CA258" s="756">
        <f t="shared" si="86"/>
        <v>0</v>
      </c>
      <c r="CB258" s="716">
        <f t="shared" si="89"/>
        <v>0</v>
      </c>
      <c r="CC258" s="789">
        <f t="shared" si="90"/>
        <v>4.2525000000000004</v>
      </c>
      <c r="CD258" s="793">
        <f t="shared" si="91"/>
        <v>0.1585</v>
      </c>
    </row>
    <row r="259" spans="1:82" ht="13.8" x14ac:dyDescent="0.3">
      <c r="A259" s="553">
        <f t="shared" si="69"/>
        <v>44409</v>
      </c>
      <c r="B259" s="717">
        <v>7.4016212249880003E-2</v>
      </c>
      <c r="C259" s="8"/>
      <c r="D259" s="989">
        <v>43252</v>
      </c>
      <c r="E259" s="990">
        <v>53.14</v>
      </c>
      <c r="F259" s="990">
        <v>60.25</v>
      </c>
      <c r="G259" s="990">
        <v>67.36</v>
      </c>
      <c r="H259" s="981"/>
      <c r="I259" s="990">
        <v>17.999998779296867</v>
      </c>
      <c r="J259" s="990">
        <v>21.554998779296866</v>
      </c>
      <c r="K259" s="990">
        <v>25.109998779296866</v>
      </c>
      <c r="L259" s="12"/>
      <c r="M259" s="1004"/>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K259"/>
      <c r="BL259"/>
      <c r="BM259"/>
      <c r="BN259"/>
      <c r="BO259"/>
      <c r="BP259"/>
      <c r="BQ259" s="553">
        <f t="shared" si="70"/>
        <v>44317</v>
      </c>
      <c r="BR259" s="716">
        <v>4.2265000000000006</v>
      </c>
      <c r="BS259" s="716">
        <v>4.2315000000000005</v>
      </c>
      <c r="BT259" s="716">
        <v>-0.112</v>
      </c>
      <c r="BU259" s="717"/>
      <c r="BV259" s="717"/>
      <c r="BW259" s="717"/>
      <c r="BX259" s="717">
        <f t="shared" si="87"/>
        <v>-7.0000000000000007E-2</v>
      </c>
      <c r="BY259" s="717"/>
      <c r="BZ259" s="717">
        <f t="shared" si="88"/>
        <v>7.0000000000000007E-2</v>
      </c>
      <c r="CA259" s="756">
        <f t="shared" si="86"/>
        <v>0</v>
      </c>
      <c r="CB259" s="716">
        <f t="shared" si="89"/>
        <v>0</v>
      </c>
      <c r="CC259" s="789">
        <f t="shared" si="90"/>
        <v>4.2265000000000006</v>
      </c>
      <c r="CD259" s="793">
        <f t="shared" si="91"/>
        <v>0.1585</v>
      </c>
    </row>
    <row r="260" spans="1:82" ht="13.8" x14ac:dyDescent="0.3">
      <c r="A260" s="553">
        <f t="shared" ref="A260:A279" si="92">EOMONTH(A259,0)+1</f>
        <v>44440</v>
      </c>
      <c r="B260" s="717">
        <v>7.4006976954171008E-2</v>
      </c>
      <c r="C260" s="8"/>
      <c r="D260" s="989">
        <v>43282</v>
      </c>
      <c r="E260" s="990">
        <v>87.5</v>
      </c>
      <c r="F260" s="990">
        <v>92.5</v>
      </c>
      <c r="G260" s="990">
        <v>97.5</v>
      </c>
      <c r="H260" s="981"/>
      <c r="I260" s="990">
        <v>23.549997711181632</v>
      </c>
      <c r="J260" s="990">
        <v>26.049997711181632</v>
      </c>
      <c r="K260" s="990">
        <v>28.549997711181632</v>
      </c>
      <c r="L260" s="12"/>
      <c r="M260" s="1004"/>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K260"/>
      <c r="BL260"/>
      <c r="BM260"/>
      <c r="BN260"/>
      <c r="BO260"/>
      <c r="BP260"/>
      <c r="BQ260" s="553">
        <f t="shared" si="70"/>
        <v>44348</v>
      </c>
      <c r="BR260" s="716">
        <v>4.2324999999999999</v>
      </c>
      <c r="BS260" s="716">
        <v>4.2374999999999998</v>
      </c>
      <c r="BT260" s="716">
        <v>-0.10100000000000001</v>
      </c>
      <c r="BU260" s="717"/>
      <c r="BV260" s="717"/>
      <c r="BW260" s="717"/>
      <c r="BX260" s="717">
        <f t="shared" si="87"/>
        <v>-7.0000000000000007E-2</v>
      </c>
      <c r="BY260" s="717"/>
      <c r="BZ260" s="717">
        <f t="shared" si="88"/>
        <v>7.0000000000000007E-2</v>
      </c>
      <c r="CA260" s="756">
        <f t="shared" si="86"/>
        <v>0</v>
      </c>
      <c r="CB260" s="716">
        <f t="shared" si="89"/>
        <v>0</v>
      </c>
      <c r="CC260" s="789">
        <f t="shared" si="90"/>
        <v>4.2324999999999999</v>
      </c>
      <c r="CD260" s="793">
        <f t="shared" si="91"/>
        <v>0.1585</v>
      </c>
    </row>
    <row r="261" spans="1:82" ht="13.8" x14ac:dyDescent="0.3">
      <c r="A261" s="553">
        <f t="shared" si="92"/>
        <v>44470</v>
      </c>
      <c r="B261" s="717">
        <v>7.3998039571255003E-2</v>
      </c>
      <c r="C261" s="8"/>
      <c r="D261" s="989">
        <v>43313</v>
      </c>
      <c r="E261" s="990">
        <v>83</v>
      </c>
      <c r="F261" s="990">
        <v>88</v>
      </c>
      <c r="G261" s="990">
        <v>93</v>
      </c>
      <c r="H261" s="981"/>
      <c r="I261" s="990">
        <v>23.899998092651359</v>
      </c>
      <c r="J261" s="990">
        <v>26.399998092651359</v>
      </c>
      <c r="K261" s="990">
        <v>28.899998092651359</v>
      </c>
      <c r="L261" s="12"/>
      <c r="M261" s="1004"/>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K261"/>
      <c r="BL261"/>
      <c r="BM261"/>
      <c r="BN261"/>
      <c r="BO261"/>
      <c r="BP261"/>
      <c r="BQ261" s="553">
        <f t="shared" si="70"/>
        <v>44378</v>
      </c>
      <c r="BR261" s="716">
        <v>4.2424999999999997</v>
      </c>
      <c r="BS261" s="716">
        <v>4.2474999999999996</v>
      </c>
      <c r="BT261" s="716">
        <v>-0.13700000000000001</v>
      </c>
      <c r="BU261" s="717"/>
      <c r="BV261" s="717"/>
      <c r="BW261" s="717"/>
      <c r="BX261" s="717">
        <f t="shared" si="87"/>
        <v>-7.0000000000000007E-2</v>
      </c>
      <c r="BY261" s="717"/>
      <c r="BZ261" s="717">
        <f t="shared" si="88"/>
        <v>7.0000000000000007E-2</v>
      </c>
      <c r="CA261" s="756">
        <f t="shared" si="86"/>
        <v>0</v>
      </c>
      <c r="CB261" s="716">
        <f t="shared" si="89"/>
        <v>0</v>
      </c>
      <c r="CC261" s="789">
        <f t="shared" si="90"/>
        <v>4.2424999999999997</v>
      </c>
      <c r="CD261" s="793">
        <f t="shared" si="91"/>
        <v>0.1585</v>
      </c>
    </row>
    <row r="262" spans="1:82" ht="13.8" x14ac:dyDescent="0.3">
      <c r="A262" s="553">
        <f t="shared" si="92"/>
        <v>44501</v>
      </c>
      <c r="B262" s="717">
        <v>7.3988804275602005E-2</v>
      </c>
      <c r="C262" s="8"/>
      <c r="D262" s="21"/>
      <c r="E262" s="21"/>
      <c r="F262" s="21"/>
      <c r="G262" s="21"/>
      <c r="H262" s="21"/>
      <c r="I262" s="21"/>
      <c r="J262" s="21"/>
      <c r="K262" s="21"/>
      <c r="L262" s="21"/>
      <c r="M262" s="1004"/>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K262"/>
      <c r="BL262"/>
      <c r="BM262"/>
      <c r="BN262"/>
      <c r="BO262"/>
      <c r="BP262"/>
      <c r="BQ262" s="553">
        <f t="shared" si="70"/>
        <v>44409</v>
      </c>
      <c r="BR262" s="716">
        <v>4.2495000000000003</v>
      </c>
      <c r="BS262" s="716">
        <v>4.2545000000000002</v>
      </c>
      <c r="BT262" s="716">
        <v>-0.14100000000000001</v>
      </c>
      <c r="BU262" s="717"/>
      <c r="BV262" s="717"/>
      <c r="BW262" s="717"/>
      <c r="BX262" s="717">
        <f t="shared" si="87"/>
        <v>-7.0000000000000007E-2</v>
      </c>
      <c r="BY262" s="717"/>
      <c r="BZ262" s="717">
        <f t="shared" si="88"/>
        <v>7.0000000000000007E-2</v>
      </c>
      <c r="CA262" s="756">
        <f t="shared" si="86"/>
        <v>0</v>
      </c>
      <c r="CB262" s="716">
        <f t="shared" si="89"/>
        <v>0</v>
      </c>
      <c r="CC262" s="789">
        <f t="shared" si="90"/>
        <v>4.2495000000000003</v>
      </c>
      <c r="CD262" s="793">
        <f t="shared" si="91"/>
        <v>0.1585</v>
      </c>
    </row>
    <row r="263" spans="1:82" ht="13.8" x14ac:dyDescent="0.3">
      <c r="A263" s="553">
        <f t="shared" si="92"/>
        <v>44531</v>
      </c>
      <c r="B263" s="717">
        <v>7.3979866892738014E-2</v>
      </c>
      <c r="C263" s="8"/>
      <c r="D263" s="21"/>
      <c r="E263" s="21"/>
      <c r="F263" s="21"/>
      <c r="G263" s="21"/>
      <c r="H263" s="21"/>
      <c r="I263" s="21"/>
      <c r="J263" s="21"/>
      <c r="K263" s="21"/>
      <c r="L263" s="21"/>
      <c r="M263" s="1004"/>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K263"/>
      <c r="BL263"/>
      <c r="BM263"/>
      <c r="BN263"/>
      <c r="BO263"/>
      <c r="BP263"/>
      <c r="BQ263" s="553">
        <f t="shared" ref="BQ263:BQ283" si="93">EOMONTH(BQ262,0)+1</f>
        <v>44440</v>
      </c>
      <c r="BR263" s="716">
        <v>4.2565</v>
      </c>
      <c r="BS263" s="716">
        <v>4.2614999999999998</v>
      </c>
      <c r="BT263" s="716">
        <v>-0.15</v>
      </c>
      <c r="BU263" s="717"/>
      <c r="BV263" s="717"/>
      <c r="BW263" s="717"/>
      <c r="BX263" s="717">
        <f t="shared" ref="BX263:BX278" si="94">BY263-$BX$4</f>
        <v>-7.0000000000000007E-2</v>
      </c>
      <c r="BY263" s="717"/>
      <c r="BZ263" s="717">
        <f t="shared" ref="BZ263:BZ278" si="95">BY263+$BZ$4</f>
        <v>7.0000000000000007E-2</v>
      </c>
      <c r="CA263" s="756">
        <f t="shared" si="86"/>
        <v>0</v>
      </c>
      <c r="CB263" s="716">
        <f t="shared" ref="CB263:CB278" si="96">GasBasis</f>
        <v>0</v>
      </c>
      <c r="CC263" s="789">
        <f t="shared" ref="CC263:CC278" si="97">(IF(GasPriceCurve,IF(OBuySell=OCallPut,BT263,BR263),BS263)+CA263/1000+CB263)/(1-GasTransportPercent)</f>
        <v>4.2565</v>
      </c>
      <c r="CD263" s="793">
        <f t="shared" ref="CD263:CD278" si="98">IF(GasVolOver,GasVolOver,IF(OVolType=2,IF(OR(BU263="",BV263="",BW263=""),CD262,IF(GasVolCurve,IF(OBuySell,BU263,BW263),BV263)*GasVolAsPercentOfNYMEX),IF(OR(BU263="",BV263="",BW263="",BY263=""),CD262,SQRT(((IF(GasVolCurve,IF(OBuySell,BU263,BW263),BV263)*GasVolAsPercentOfNYMEX)^2*(BQ263-DateToday-1)+IF(GasVolCurve,IF(OBuySell,BX263,BZ263),BY263)^2*15)/(BQ263-DateToday+14))))+GasVolSpread)</f>
        <v>0.1585</v>
      </c>
    </row>
    <row r="264" spans="1:82" ht="13.8" x14ac:dyDescent="0.3">
      <c r="A264" s="553">
        <f t="shared" si="92"/>
        <v>44562</v>
      </c>
      <c r="B264" s="717">
        <v>7.3970631597140998E-2</v>
      </c>
      <c r="C264" s="8"/>
      <c r="D264" s="21"/>
      <c r="E264" s="21"/>
      <c r="F264" s="21"/>
      <c r="G264" s="21"/>
      <c r="H264" s="21"/>
      <c r="I264" s="21"/>
      <c r="J264" s="21"/>
      <c r="K264" s="21"/>
      <c r="L264" s="21"/>
      <c r="M264" s="1004"/>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K264"/>
      <c r="BL264"/>
      <c r="BM264"/>
      <c r="BN264"/>
      <c r="BO264"/>
      <c r="BP264"/>
      <c r="BQ264" s="553">
        <f t="shared" si="93"/>
        <v>44470</v>
      </c>
      <c r="BR264" s="716">
        <v>4.2824999999999998</v>
      </c>
      <c r="BS264" s="716">
        <v>4.2874999999999996</v>
      </c>
      <c r="BT264" s="716">
        <v>-0.155</v>
      </c>
      <c r="BU264" s="717"/>
      <c r="BV264" s="717"/>
      <c r="BW264" s="717"/>
      <c r="BX264" s="717">
        <f t="shared" si="94"/>
        <v>-7.0000000000000007E-2</v>
      </c>
      <c r="BY264" s="717"/>
      <c r="BZ264" s="717">
        <f t="shared" si="95"/>
        <v>7.0000000000000007E-2</v>
      </c>
      <c r="CA264" s="756">
        <f t="shared" si="86"/>
        <v>0</v>
      </c>
      <c r="CB264" s="716">
        <f t="shared" si="96"/>
        <v>0</v>
      </c>
      <c r="CC264" s="789">
        <f t="shared" si="97"/>
        <v>4.2824999999999998</v>
      </c>
      <c r="CD264" s="793">
        <f t="shared" si="98"/>
        <v>0.1585</v>
      </c>
    </row>
    <row r="265" spans="1:82" ht="13.8" x14ac:dyDescent="0.3">
      <c r="A265" s="553">
        <f t="shared" si="92"/>
        <v>44593</v>
      </c>
      <c r="B265" s="717">
        <v>7.3961396301572002E-2</v>
      </c>
      <c r="C265" s="8"/>
      <c r="D265" s="21"/>
      <c r="E265" s="21"/>
      <c r="F265" s="21"/>
      <c r="G265" s="21"/>
      <c r="H265" s="21"/>
      <c r="I265" s="21"/>
      <c r="J265" s="21"/>
      <c r="K265" s="21"/>
      <c r="L265" s="21"/>
      <c r="M265" s="1004"/>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K265"/>
      <c r="BL265"/>
      <c r="BM265"/>
      <c r="BN265"/>
      <c r="BO265"/>
      <c r="BP265"/>
      <c r="BQ265" s="553">
        <f t="shared" si="93"/>
        <v>44501</v>
      </c>
      <c r="BR265" s="716">
        <v>4.4175000000000004</v>
      </c>
      <c r="BS265" s="716">
        <v>4.4225000000000003</v>
      </c>
      <c r="BT265" s="716">
        <v>-0.16300000000000001</v>
      </c>
      <c r="BU265" s="717"/>
      <c r="BV265" s="717"/>
      <c r="BW265" s="717"/>
      <c r="BX265" s="717">
        <f t="shared" si="94"/>
        <v>-7.0000000000000007E-2</v>
      </c>
      <c r="BY265" s="717"/>
      <c r="BZ265" s="717">
        <f t="shared" si="95"/>
        <v>7.0000000000000007E-2</v>
      </c>
      <c r="CA265" s="756">
        <f t="shared" si="86"/>
        <v>0</v>
      </c>
      <c r="CB265" s="716">
        <f t="shared" si="96"/>
        <v>0</v>
      </c>
      <c r="CC265" s="789">
        <f t="shared" si="97"/>
        <v>4.4175000000000004</v>
      </c>
      <c r="CD265" s="793">
        <f t="shared" si="98"/>
        <v>0.1585</v>
      </c>
    </row>
    <row r="266" spans="1:82" ht="13.8" x14ac:dyDescent="0.3">
      <c r="A266" s="553">
        <f t="shared" si="92"/>
        <v>44621</v>
      </c>
      <c r="B266" s="717">
        <v>7.3953054744308008E-2</v>
      </c>
      <c r="C266" s="8"/>
      <c r="D266" s="21"/>
      <c r="E266" s="21"/>
      <c r="F266" s="21"/>
      <c r="G266" s="21"/>
      <c r="H266" s="21"/>
      <c r="I266" s="21"/>
      <c r="J266" s="21"/>
      <c r="K266" s="21"/>
      <c r="L266" s="21"/>
      <c r="M266" s="1004"/>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K266"/>
      <c r="BL266"/>
      <c r="BM266"/>
      <c r="BN266"/>
      <c r="BO266"/>
      <c r="BP266"/>
      <c r="BQ266" s="553">
        <f t="shared" si="93"/>
        <v>44531</v>
      </c>
      <c r="BR266" s="716">
        <v>4.5415000000000001</v>
      </c>
      <c r="BS266" s="716">
        <v>4.5465</v>
      </c>
      <c r="BT266" s="716">
        <v>-0.158</v>
      </c>
      <c r="BU266" s="717"/>
      <c r="BV266" s="717"/>
      <c r="BW266" s="717"/>
      <c r="BX266" s="717">
        <f t="shared" si="94"/>
        <v>-7.0000000000000007E-2</v>
      </c>
      <c r="BY266" s="717"/>
      <c r="BZ266" s="717">
        <f t="shared" si="95"/>
        <v>7.0000000000000007E-2</v>
      </c>
      <c r="CA266" s="756">
        <f t="shared" si="86"/>
        <v>0</v>
      </c>
      <c r="CB266" s="716">
        <f t="shared" si="96"/>
        <v>0</v>
      </c>
      <c r="CC266" s="789">
        <f t="shared" si="97"/>
        <v>4.5415000000000001</v>
      </c>
      <c r="CD266" s="793">
        <f t="shared" si="98"/>
        <v>0.1585</v>
      </c>
    </row>
    <row r="267" spans="1:82" ht="13.8" x14ac:dyDescent="0.3">
      <c r="A267" s="553">
        <f t="shared" si="92"/>
        <v>44652</v>
      </c>
      <c r="B267" s="717">
        <v>7.3943819448790998E-2</v>
      </c>
      <c r="C267" s="8"/>
      <c r="D267" s="21"/>
      <c r="E267" s="21"/>
      <c r="F267" s="21"/>
      <c r="G267" s="21"/>
      <c r="H267" s="21"/>
      <c r="I267" s="21"/>
      <c r="J267" s="21"/>
      <c r="K267" s="21"/>
      <c r="L267" s="21"/>
      <c r="M267" s="1004"/>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K267"/>
      <c r="BL267"/>
      <c r="BM267"/>
      <c r="BN267"/>
      <c r="BO267"/>
      <c r="BP267"/>
      <c r="BQ267" s="553">
        <f t="shared" si="93"/>
        <v>44562</v>
      </c>
      <c r="BR267" s="716">
        <v>4.6749999999999998</v>
      </c>
      <c r="BS267" s="716">
        <v>4.68</v>
      </c>
      <c r="BT267" s="716">
        <v>-0.16500000000000001</v>
      </c>
      <c r="BU267" s="717"/>
      <c r="BV267" s="717"/>
      <c r="BW267" s="717"/>
      <c r="BX267" s="717">
        <f t="shared" si="94"/>
        <v>-7.0000000000000007E-2</v>
      </c>
      <c r="BY267" s="717"/>
      <c r="BZ267" s="717">
        <f t="shared" si="95"/>
        <v>7.0000000000000007E-2</v>
      </c>
      <c r="CA267" s="756">
        <f t="shared" si="86"/>
        <v>0</v>
      </c>
      <c r="CB267" s="716">
        <f t="shared" si="96"/>
        <v>0</v>
      </c>
      <c r="CC267" s="789">
        <f t="shared" si="97"/>
        <v>4.6749999999999998</v>
      </c>
      <c r="CD267" s="793">
        <f t="shared" si="98"/>
        <v>0.1585</v>
      </c>
    </row>
    <row r="268" spans="1:82" ht="13.8" x14ac:dyDescent="0.3">
      <c r="A268" s="553">
        <f t="shared" si="92"/>
        <v>44682</v>
      </c>
      <c r="B268" s="717">
        <v>7.3934882066061011E-2</v>
      </c>
      <c r="C268" s="8"/>
      <c r="D268" s="21"/>
      <c r="E268" s="21"/>
      <c r="F268" s="21"/>
      <c r="G268" s="21"/>
      <c r="H268" s="21"/>
      <c r="I268" s="21"/>
      <c r="J268" s="21"/>
      <c r="K268" s="21"/>
      <c r="L268" s="21"/>
      <c r="M268" s="1004"/>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K268"/>
      <c r="BL268"/>
      <c r="BM268"/>
      <c r="BN268"/>
      <c r="BO268"/>
      <c r="BP268"/>
      <c r="BQ268" s="553">
        <f t="shared" si="93"/>
        <v>44593</v>
      </c>
      <c r="BR268" s="716">
        <v>4.5570000000000004</v>
      </c>
      <c r="BS268" s="716">
        <v>4.5620000000000003</v>
      </c>
      <c r="BT268" s="716">
        <v>-0.159</v>
      </c>
      <c r="BU268" s="717"/>
      <c r="BV268" s="717"/>
      <c r="BW268" s="717"/>
      <c r="BX268" s="717">
        <f t="shared" si="94"/>
        <v>-7.0000000000000007E-2</v>
      </c>
      <c r="BY268" s="717"/>
      <c r="BZ268" s="717">
        <f t="shared" si="95"/>
        <v>7.0000000000000007E-2</v>
      </c>
      <c r="CA268" s="756">
        <f t="shared" si="86"/>
        <v>0</v>
      </c>
      <c r="CB268" s="716">
        <f t="shared" si="96"/>
        <v>0</v>
      </c>
      <c r="CC268" s="789">
        <f t="shared" si="97"/>
        <v>4.5570000000000004</v>
      </c>
      <c r="CD268" s="793">
        <f t="shared" si="98"/>
        <v>0.1585</v>
      </c>
    </row>
    <row r="269" spans="1:82" ht="13.8" x14ac:dyDescent="0.3">
      <c r="A269" s="553">
        <f t="shared" si="92"/>
        <v>44713</v>
      </c>
      <c r="B269" s="717">
        <v>7.3925646770600997E-2</v>
      </c>
      <c r="C269" s="8"/>
      <c r="D269" s="21"/>
      <c r="E269" s="21"/>
      <c r="F269" s="21"/>
      <c r="G269" s="21"/>
      <c r="H269" s="21"/>
      <c r="I269" s="21"/>
      <c r="J269" s="21"/>
      <c r="K269" s="21"/>
      <c r="L269" s="21"/>
      <c r="M269" s="1004"/>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K269"/>
      <c r="BL269"/>
      <c r="BM269"/>
      <c r="BN269"/>
      <c r="BO269"/>
      <c r="BP269"/>
      <c r="BQ269" s="553">
        <f t="shared" si="93"/>
        <v>44621</v>
      </c>
      <c r="BR269" s="716">
        <v>4.4370000000000003</v>
      </c>
      <c r="BS269" s="716">
        <v>4.4420000000000002</v>
      </c>
      <c r="BT269" s="716">
        <v>-0.15</v>
      </c>
      <c r="BU269" s="717"/>
      <c r="BV269" s="717"/>
      <c r="BW269" s="717"/>
      <c r="BX269" s="717">
        <f t="shared" si="94"/>
        <v>-7.0000000000000007E-2</v>
      </c>
      <c r="BY269" s="717"/>
      <c r="BZ269" s="717">
        <f t="shared" si="95"/>
        <v>7.0000000000000007E-2</v>
      </c>
      <c r="CA269" s="756">
        <f t="shared" si="86"/>
        <v>0</v>
      </c>
      <c r="CB269" s="716">
        <f t="shared" si="96"/>
        <v>0</v>
      </c>
      <c r="CC269" s="789">
        <f t="shared" si="97"/>
        <v>4.4370000000000003</v>
      </c>
      <c r="CD269" s="793">
        <f t="shared" si="98"/>
        <v>0.1585</v>
      </c>
    </row>
    <row r="270" spans="1:82" ht="13.8" x14ac:dyDescent="0.3">
      <c r="A270" s="553">
        <f t="shared" si="92"/>
        <v>44743</v>
      </c>
      <c r="B270" s="717">
        <v>7.3916709387923996E-2</v>
      </c>
      <c r="C270" s="8"/>
      <c r="D270" s="21"/>
      <c r="E270" s="21"/>
      <c r="F270" s="21"/>
      <c r="G270" s="21"/>
      <c r="H270" s="21"/>
      <c r="I270" s="21"/>
      <c r="J270" s="21"/>
      <c r="K270" s="21"/>
      <c r="L270" s="21"/>
      <c r="M270" s="1004"/>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K270"/>
      <c r="BL270"/>
      <c r="BM270"/>
      <c r="BN270"/>
      <c r="BO270"/>
      <c r="BP270"/>
      <c r="BQ270" s="553">
        <f t="shared" si="93"/>
        <v>44652</v>
      </c>
      <c r="BR270" s="716">
        <v>4.3875000000000002</v>
      </c>
      <c r="BS270" s="716">
        <v>4.3925000000000001</v>
      </c>
      <c r="BT270" s="716">
        <v>-0.14600000000000002</v>
      </c>
      <c r="BU270" s="717"/>
      <c r="BV270" s="717"/>
      <c r="BW270" s="717"/>
      <c r="BX270" s="717">
        <f t="shared" si="94"/>
        <v>-7.0000000000000007E-2</v>
      </c>
      <c r="BY270" s="717"/>
      <c r="BZ270" s="717">
        <f t="shared" si="95"/>
        <v>7.0000000000000007E-2</v>
      </c>
      <c r="CA270" s="756">
        <f t="shared" si="86"/>
        <v>0</v>
      </c>
      <c r="CB270" s="716">
        <f t="shared" si="96"/>
        <v>0</v>
      </c>
      <c r="CC270" s="789">
        <f t="shared" si="97"/>
        <v>4.3875000000000002</v>
      </c>
      <c r="CD270" s="793">
        <f t="shared" si="98"/>
        <v>0.1585</v>
      </c>
    </row>
    <row r="271" spans="1:82" ht="13.8" x14ac:dyDescent="0.3">
      <c r="A271" s="553">
        <f t="shared" si="92"/>
        <v>44774</v>
      </c>
      <c r="B271" s="717">
        <v>7.3907474092519007E-2</v>
      </c>
      <c r="C271" s="8"/>
      <c r="D271" s="21"/>
      <c r="E271" s="21"/>
      <c r="F271" s="21"/>
      <c r="G271" s="21"/>
      <c r="H271" s="21"/>
      <c r="I271" s="21"/>
      <c r="J271" s="21"/>
      <c r="K271" s="21"/>
      <c r="L271" s="21"/>
      <c r="M271" s="1004"/>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K271"/>
      <c r="BL271"/>
      <c r="BM271"/>
      <c r="BN271"/>
      <c r="BO271"/>
      <c r="BP271"/>
      <c r="BQ271" s="553">
        <f t="shared" si="93"/>
        <v>44682</v>
      </c>
      <c r="BR271" s="716">
        <v>4.3615000000000004</v>
      </c>
      <c r="BS271" s="716">
        <v>4.3665000000000003</v>
      </c>
      <c r="BT271" s="716">
        <v>-0.13200000000000001</v>
      </c>
      <c r="BU271" s="717"/>
      <c r="BV271" s="717"/>
      <c r="BW271" s="717"/>
      <c r="BX271" s="717">
        <f t="shared" si="94"/>
        <v>-7.0000000000000007E-2</v>
      </c>
      <c r="BY271" s="717"/>
      <c r="BZ271" s="717">
        <f t="shared" si="95"/>
        <v>7.0000000000000007E-2</v>
      </c>
      <c r="CA271" s="756">
        <f t="shared" si="86"/>
        <v>0</v>
      </c>
      <c r="CB271" s="716">
        <f t="shared" si="96"/>
        <v>0</v>
      </c>
      <c r="CC271" s="789">
        <f t="shared" si="97"/>
        <v>4.3615000000000004</v>
      </c>
      <c r="CD271" s="793">
        <f t="shared" si="98"/>
        <v>0.1585</v>
      </c>
    </row>
    <row r="272" spans="1:82" ht="13.8" x14ac:dyDescent="0.3">
      <c r="A272" s="553">
        <f t="shared" si="92"/>
        <v>44805</v>
      </c>
      <c r="B272" s="717">
        <v>7.3898238797141996E-2</v>
      </c>
      <c r="C272" s="8"/>
      <c r="D272" s="21"/>
      <c r="E272" s="21"/>
      <c r="F272" s="21"/>
      <c r="G272" s="21"/>
      <c r="H272" s="21"/>
      <c r="I272" s="21"/>
      <c r="J272" s="21"/>
      <c r="K272" s="21"/>
      <c r="L272" s="21"/>
      <c r="M272" s="1004"/>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K272"/>
      <c r="BL272"/>
      <c r="BM272"/>
      <c r="BN272"/>
      <c r="BO272"/>
      <c r="BP272"/>
      <c r="BQ272" s="553">
        <f t="shared" si="93"/>
        <v>44713</v>
      </c>
      <c r="BR272" s="716">
        <v>4.3674999999999997</v>
      </c>
      <c r="BS272" s="716">
        <v>4.3724999999999996</v>
      </c>
      <c r="BT272" s="716">
        <v>-0.12100000000000001</v>
      </c>
      <c r="BU272" s="717"/>
      <c r="BV272" s="717"/>
      <c r="BW272" s="717"/>
      <c r="BX272" s="717">
        <f t="shared" si="94"/>
        <v>-7.0000000000000007E-2</v>
      </c>
      <c r="BY272" s="717"/>
      <c r="BZ272" s="717">
        <f t="shared" si="95"/>
        <v>7.0000000000000007E-2</v>
      </c>
      <c r="CA272" s="756">
        <f t="shared" si="86"/>
        <v>0</v>
      </c>
      <c r="CB272" s="716">
        <f t="shared" si="96"/>
        <v>0</v>
      </c>
      <c r="CC272" s="789">
        <f t="shared" si="97"/>
        <v>4.3674999999999997</v>
      </c>
      <c r="CD272" s="793">
        <f t="shared" si="98"/>
        <v>0.1585</v>
      </c>
    </row>
    <row r="273" spans="1:82" ht="13.8" x14ac:dyDescent="0.3">
      <c r="A273" s="553">
        <f t="shared" si="92"/>
        <v>44835</v>
      </c>
      <c r="B273" s="717">
        <v>7.3889301414545999E-2</v>
      </c>
      <c r="C273" s="8"/>
      <c r="D273" s="21"/>
      <c r="E273" s="21"/>
      <c r="F273" s="21"/>
      <c r="G273" s="21"/>
      <c r="H273" s="21"/>
      <c r="I273" s="21"/>
      <c r="J273" s="21"/>
      <c r="K273" s="21"/>
      <c r="L273" s="21"/>
      <c r="M273" s="1004"/>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K273"/>
      <c r="BL273"/>
      <c r="BM273"/>
      <c r="BN273"/>
      <c r="BO273"/>
      <c r="BP273"/>
      <c r="BQ273" s="553">
        <f t="shared" si="93"/>
        <v>44743</v>
      </c>
      <c r="BR273" s="716">
        <v>4.3775000000000004</v>
      </c>
      <c r="BS273" s="716">
        <v>4.3825000000000003</v>
      </c>
      <c r="BT273" s="716">
        <v>-0.157</v>
      </c>
      <c r="BU273" s="717"/>
      <c r="BV273" s="717"/>
      <c r="BW273" s="717"/>
      <c r="BX273" s="717">
        <f t="shared" si="94"/>
        <v>-7.0000000000000007E-2</v>
      </c>
      <c r="BY273" s="717"/>
      <c r="BZ273" s="717">
        <f t="shared" si="95"/>
        <v>7.0000000000000007E-2</v>
      </c>
      <c r="CA273" s="756">
        <f t="shared" si="86"/>
        <v>0</v>
      </c>
      <c r="CB273" s="716">
        <f t="shared" si="96"/>
        <v>0</v>
      </c>
      <c r="CC273" s="789">
        <f t="shared" si="97"/>
        <v>4.3775000000000004</v>
      </c>
      <c r="CD273" s="793">
        <f t="shared" si="98"/>
        <v>0.1585</v>
      </c>
    </row>
    <row r="274" spans="1:82" ht="13.8" x14ac:dyDescent="0.3">
      <c r="A274" s="553">
        <f t="shared" si="92"/>
        <v>44866</v>
      </c>
      <c r="B274" s="717">
        <v>7.3880066119224999E-2</v>
      </c>
      <c r="C274" s="8"/>
      <c r="D274" s="21"/>
      <c r="E274" s="21"/>
      <c r="F274" s="21"/>
      <c r="G274" s="21"/>
      <c r="H274" s="21"/>
      <c r="I274" s="21"/>
      <c r="J274" s="21"/>
      <c r="K274" s="21"/>
      <c r="L274" s="21"/>
      <c r="M274" s="1004"/>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K274"/>
      <c r="BL274"/>
      <c r="BM274"/>
      <c r="BN274"/>
      <c r="BO274"/>
      <c r="BP274"/>
      <c r="BQ274" s="553">
        <f t="shared" si="93"/>
        <v>44774</v>
      </c>
      <c r="BR274" s="716">
        <v>4.3845000000000001</v>
      </c>
      <c r="BS274" s="716">
        <v>4.3895</v>
      </c>
      <c r="BT274" s="716">
        <v>-0.161</v>
      </c>
      <c r="BU274" s="717"/>
      <c r="BV274" s="717"/>
      <c r="BW274" s="717"/>
      <c r="BX274" s="717">
        <f t="shared" si="94"/>
        <v>-7.0000000000000007E-2</v>
      </c>
      <c r="BY274" s="717"/>
      <c r="BZ274" s="717">
        <f t="shared" si="95"/>
        <v>7.0000000000000007E-2</v>
      </c>
      <c r="CA274" s="756">
        <f t="shared" si="86"/>
        <v>0</v>
      </c>
      <c r="CB274" s="716">
        <f t="shared" si="96"/>
        <v>0</v>
      </c>
      <c r="CC274" s="789">
        <f t="shared" si="97"/>
        <v>4.3845000000000001</v>
      </c>
      <c r="CD274" s="793">
        <f t="shared" si="98"/>
        <v>0.1585</v>
      </c>
    </row>
    <row r="275" spans="1:82" ht="13.8" x14ac:dyDescent="0.3">
      <c r="A275" s="553">
        <f t="shared" si="92"/>
        <v>44896</v>
      </c>
      <c r="B275" s="717">
        <v>7.3871128736682001E-2</v>
      </c>
      <c r="C275" s="8"/>
      <c r="D275" s="21"/>
      <c r="E275" s="21"/>
      <c r="F275" s="21"/>
      <c r="G275" s="21"/>
      <c r="H275" s="21"/>
      <c r="I275" s="21"/>
      <c r="J275" s="21"/>
      <c r="K275" s="21"/>
      <c r="L275" s="21"/>
      <c r="M275" s="1004"/>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K275"/>
      <c r="BL275"/>
      <c r="BM275"/>
      <c r="BN275"/>
      <c r="BO275"/>
      <c r="BP275"/>
      <c r="BQ275" s="553">
        <f t="shared" si="93"/>
        <v>44805</v>
      </c>
      <c r="BR275" s="716">
        <v>4.3915000000000006</v>
      </c>
      <c r="BS275" s="716">
        <v>4.3965000000000005</v>
      </c>
      <c r="BT275" s="716">
        <v>-0.17</v>
      </c>
      <c r="BU275" s="717"/>
      <c r="BV275" s="717"/>
      <c r="BW275" s="717"/>
      <c r="BX275" s="717">
        <f t="shared" si="94"/>
        <v>-7.0000000000000007E-2</v>
      </c>
      <c r="BY275" s="717"/>
      <c r="BZ275" s="717">
        <f t="shared" si="95"/>
        <v>7.0000000000000007E-2</v>
      </c>
      <c r="CA275" s="756">
        <f t="shared" si="86"/>
        <v>0</v>
      </c>
      <c r="CB275" s="716">
        <f t="shared" si="96"/>
        <v>0</v>
      </c>
      <c r="CC275" s="789">
        <f t="shared" si="97"/>
        <v>4.3915000000000006</v>
      </c>
      <c r="CD275" s="793">
        <f t="shared" si="98"/>
        <v>0.1585</v>
      </c>
    </row>
    <row r="276" spans="1:82" ht="13.8" x14ac:dyDescent="0.3">
      <c r="A276" s="553">
        <f t="shared" si="92"/>
        <v>44927</v>
      </c>
      <c r="B276" s="717">
        <v>7.3861893441415999E-2</v>
      </c>
      <c r="C276" s="8"/>
      <c r="D276" s="21"/>
      <c r="E276" s="21"/>
      <c r="F276" s="21"/>
      <c r="G276" s="21"/>
      <c r="H276" s="21"/>
      <c r="I276" s="21"/>
      <c r="J276" s="21"/>
      <c r="K276" s="21"/>
      <c r="L276" s="21"/>
      <c r="M276" s="1004"/>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K276"/>
      <c r="BL276"/>
      <c r="BM276"/>
      <c r="BN276"/>
      <c r="BO276"/>
      <c r="BP276"/>
      <c r="BQ276" s="553">
        <f t="shared" si="93"/>
        <v>44835</v>
      </c>
      <c r="BR276" s="716">
        <v>4.4175000000000004</v>
      </c>
      <c r="BS276" s="716">
        <v>4.4225000000000003</v>
      </c>
      <c r="BT276" s="716">
        <v>-0.17499999999999999</v>
      </c>
      <c r="BU276" s="717"/>
      <c r="BV276" s="717"/>
      <c r="BW276" s="717"/>
      <c r="BX276" s="717">
        <f t="shared" si="94"/>
        <v>-7.0000000000000007E-2</v>
      </c>
      <c r="BY276" s="717"/>
      <c r="BZ276" s="717">
        <f t="shared" si="95"/>
        <v>7.0000000000000007E-2</v>
      </c>
      <c r="CA276" s="756">
        <f t="shared" si="86"/>
        <v>0</v>
      </c>
      <c r="CB276" s="716">
        <f t="shared" si="96"/>
        <v>0</v>
      </c>
      <c r="CC276" s="789">
        <f t="shared" si="97"/>
        <v>4.4175000000000004</v>
      </c>
      <c r="CD276" s="793">
        <f t="shared" si="98"/>
        <v>0.1585</v>
      </c>
    </row>
    <row r="277" spans="1:82" ht="13.8" x14ac:dyDescent="0.3">
      <c r="A277" s="553">
        <f t="shared" si="92"/>
        <v>44958</v>
      </c>
      <c r="B277" s="717">
        <v>7.3852658146178002E-2</v>
      </c>
      <c r="C277" s="8"/>
      <c r="D277" s="21"/>
      <c r="E277" s="21"/>
      <c r="F277" s="21"/>
      <c r="G277" s="21"/>
      <c r="H277" s="21"/>
      <c r="I277" s="21"/>
      <c r="J277" s="21"/>
      <c r="K277" s="21"/>
      <c r="L277" s="21"/>
      <c r="M277" s="1004"/>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K277"/>
      <c r="BL277"/>
      <c r="BM277"/>
      <c r="BN277"/>
      <c r="BO277"/>
      <c r="BP277"/>
      <c r="BQ277" s="553">
        <f t="shared" si="93"/>
        <v>44866</v>
      </c>
      <c r="BR277" s="716">
        <v>4.5525000000000002</v>
      </c>
      <c r="BS277" s="716">
        <v>4.5575000000000001</v>
      </c>
      <c r="BT277" s="716">
        <v>-0.183</v>
      </c>
      <c r="BU277" s="717"/>
      <c r="BV277" s="717"/>
      <c r="BW277" s="717"/>
      <c r="BX277" s="717">
        <f t="shared" si="94"/>
        <v>-7.0000000000000007E-2</v>
      </c>
      <c r="BY277" s="717"/>
      <c r="BZ277" s="717">
        <f t="shared" si="95"/>
        <v>7.0000000000000007E-2</v>
      </c>
      <c r="CA277" s="756">
        <f t="shared" si="86"/>
        <v>0</v>
      </c>
      <c r="CB277" s="716">
        <f t="shared" si="96"/>
        <v>0</v>
      </c>
      <c r="CC277" s="789">
        <f t="shared" si="97"/>
        <v>4.5525000000000002</v>
      </c>
      <c r="CD277" s="793">
        <f t="shared" si="98"/>
        <v>0.1585</v>
      </c>
    </row>
    <row r="278" spans="1:82" ht="13.8" x14ac:dyDescent="0.3">
      <c r="A278" s="553">
        <f t="shared" si="92"/>
        <v>44986</v>
      </c>
      <c r="B278" s="717">
        <v>7.3844316589212991E-2</v>
      </c>
      <c r="C278" s="8"/>
      <c r="D278" s="21"/>
      <c r="E278" s="21"/>
      <c r="F278" s="21"/>
      <c r="G278" s="21"/>
      <c r="H278" s="21"/>
      <c r="I278" s="21"/>
      <c r="J278" s="21"/>
      <c r="K278" s="21"/>
      <c r="L278" s="21"/>
      <c r="M278" s="1004"/>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K278"/>
      <c r="BL278"/>
      <c r="BM278"/>
      <c r="BN278"/>
      <c r="BO278"/>
      <c r="BP278"/>
      <c r="BQ278" s="553">
        <f t="shared" si="93"/>
        <v>44896</v>
      </c>
      <c r="BR278" s="716">
        <v>4.6764999999999999</v>
      </c>
      <c r="BS278" s="716">
        <v>4.6815000000000007</v>
      </c>
      <c r="BT278" s="716">
        <v>-0.17800000000000002</v>
      </c>
      <c r="BU278" s="717"/>
      <c r="BV278" s="717"/>
      <c r="BW278" s="717"/>
      <c r="BX278" s="717">
        <f t="shared" si="94"/>
        <v>-7.0000000000000007E-2</v>
      </c>
      <c r="BY278" s="717"/>
      <c r="BZ278" s="717">
        <f t="shared" si="95"/>
        <v>7.0000000000000007E-2</v>
      </c>
      <c r="CA278" s="756">
        <f t="shared" si="86"/>
        <v>0</v>
      </c>
      <c r="CB278" s="716">
        <f t="shared" si="96"/>
        <v>0</v>
      </c>
      <c r="CC278" s="789">
        <f t="shared" si="97"/>
        <v>4.6764999999999999</v>
      </c>
      <c r="CD278" s="793">
        <f t="shared" si="98"/>
        <v>0.1585</v>
      </c>
    </row>
    <row r="279" spans="1:82" ht="13.8" x14ac:dyDescent="0.3">
      <c r="A279" s="553">
        <f t="shared" si="92"/>
        <v>45017</v>
      </c>
      <c r="B279" s="717">
        <v>7.3835081294028992E-2</v>
      </c>
      <c r="C279" s="8"/>
      <c r="D279" s="21"/>
      <c r="E279" s="21"/>
      <c r="F279" s="21"/>
      <c r="G279" s="21"/>
      <c r="H279" s="21"/>
      <c r="I279" s="21"/>
      <c r="J279" s="21"/>
      <c r="K279" s="21"/>
      <c r="L279" s="21"/>
      <c r="M279" s="1004"/>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K279"/>
      <c r="BL279"/>
      <c r="BM279"/>
      <c r="BN279"/>
      <c r="BO279"/>
      <c r="BP279"/>
      <c r="BQ279" s="553">
        <f t="shared" si="93"/>
        <v>44927</v>
      </c>
      <c r="BR279" s="716">
        <v>4.8150000000000004</v>
      </c>
      <c r="BS279" s="716">
        <v>4.82</v>
      </c>
      <c r="BT279" s="716">
        <v>-0.185</v>
      </c>
      <c r="BU279" s="717"/>
      <c r="BV279" s="717"/>
      <c r="BW279" s="717"/>
      <c r="BX279" s="717">
        <f>BY279-$BX$4</f>
        <v>-7.0000000000000007E-2</v>
      </c>
      <c r="BY279" s="717"/>
      <c r="BZ279" s="717">
        <f>BY279+$BZ$4</f>
        <v>7.0000000000000007E-2</v>
      </c>
      <c r="CA279" s="756">
        <f t="shared" si="86"/>
        <v>0</v>
      </c>
      <c r="CB279" s="716">
        <f>GasBasis</f>
        <v>0</v>
      </c>
      <c r="CC279" s="789">
        <f>(IF(GasPriceCurve,IF(OBuySell=OCallPut,BT279,BR279),BS279)+CA279/1000+CB279)/(1-GasTransportPercent)</f>
        <v>4.8150000000000004</v>
      </c>
      <c r="CD279" s="793">
        <f>IF(GasVolOver,GasVolOver,IF(OVolType=2,IF(OR(BU279="",BV279="",BW279=""),CD278,IF(GasVolCurve,IF(OBuySell,BU279,BW279),BV279)*GasVolAsPercentOfNYMEX),IF(OR(BU279="",BV279="",BW279="",BY279=""),CD278,SQRT(((IF(GasVolCurve,IF(OBuySell,BU279,BW279),BV279)*GasVolAsPercentOfNYMEX)^2*(BQ279-DateToday-1)+IF(GasVolCurve,IF(OBuySell,BX279,BZ279),BY279)^2*15)/(BQ279-DateToday+14))))+GasVolSpread)</f>
        <v>0.1585</v>
      </c>
    </row>
    <row r="280" spans="1:82" ht="13.8" x14ac:dyDescent="0.3">
      <c r="A280" s="553"/>
      <c r="B280" s="717">
        <v>7.3826143911618E-2</v>
      </c>
      <c r="C280" s="8"/>
      <c r="D280" s="21"/>
      <c r="E280" s="21"/>
      <c r="F280" s="21"/>
      <c r="G280" s="21"/>
      <c r="H280" s="21"/>
      <c r="I280" s="21"/>
      <c r="J280" s="21"/>
      <c r="K280" s="21"/>
      <c r="L280" s="21"/>
      <c r="M280" s="1004"/>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K280"/>
      <c r="BL280"/>
      <c r="BM280"/>
      <c r="BN280"/>
      <c r="BO280"/>
      <c r="BP280"/>
      <c r="BQ280" s="553">
        <f t="shared" si="93"/>
        <v>44958</v>
      </c>
      <c r="BR280" s="716">
        <v>4.6970000000000001</v>
      </c>
      <c r="BS280" s="716">
        <v>4.702</v>
      </c>
      <c r="BT280" s="716">
        <v>-0.17900000000000002</v>
      </c>
      <c r="BU280" s="717"/>
      <c r="BV280" s="717"/>
      <c r="BW280" s="717"/>
      <c r="BX280" s="717">
        <f>BY280-$BX$4</f>
        <v>-7.0000000000000007E-2</v>
      </c>
      <c r="BY280" s="717"/>
      <c r="BZ280" s="717">
        <f>BY280+$BZ$4</f>
        <v>7.0000000000000007E-2</v>
      </c>
      <c r="CA280" s="756">
        <f t="shared" si="86"/>
        <v>0</v>
      </c>
      <c r="CB280" s="716">
        <f>GasBasis</f>
        <v>0</v>
      </c>
      <c r="CC280" s="789">
        <f>(IF(GasPriceCurve,IF(OBuySell=OCallPut,BT280,BR280),BS280)+CA280/1000+CB280)/(1-GasTransportPercent)</f>
        <v>4.6970000000000001</v>
      </c>
      <c r="CD280" s="793">
        <f>IF(GasVolOver,GasVolOver,IF(OVolType=2,IF(OR(BU280="",BV280="",BW280=""),CD279,IF(GasVolCurve,IF(OBuySell,BU280,BW280),BV280)*GasVolAsPercentOfNYMEX),IF(OR(BU280="",BV280="",BW280="",BY280=""),CD279,SQRT(((IF(GasVolCurve,IF(OBuySell,BU280,BW280),BV280)*GasVolAsPercentOfNYMEX)^2*(BQ280-DateToday-1)+IF(GasVolCurve,IF(OBuySell,BX280,BZ280),BY280)^2*15)/(BQ280-DateToday+14))))+GasVolSpread)</f>
        <v>0.1585</v>
      </c>
    </row>
    <row r="281" spans="1:82" ht="13.8" x14ac:dyDescent="0.3">
      <c r="A281" s="553"/>
      <c r="B281" s="717">
        <v>7.3816908616488999E-2</v>
      </c>
      <c r="C281" s="8"/>
      <c r="D281" s="21"/>
      <c r="E281" s="21"/>
      <c r="F281" s="21"/>
      <c r="G281" s="21"/>
      <c r="H281" s="21"/>
      <c r="I281" s="21"/>
      <c r="J281" s="21"/>
      <c r="K281" s="21"/>
      <c r="L281" s="21"/>
      <c r="M281" s="1004"/>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K281"/>
      <c r="BL281"/>
      <c r="BM281"/>
      <c r="BN281"/>
      <c r="BO281"/>
      <c r="BP281"/>
      <c r="BQ281" s="553">
        <f t="shared" si="93"/>
        <v>44986</v>
      </c>
      <c r="BR281" s="716">
        <v>4.577</v>
      </c>
      <c r="BS281" s="716">
        <v>4.5819999999999999</v>
      </c>
      <c r="BT281" s="716">
        <v>-0.17</v>
      </c>
      <c r="BU281" s="717"/>
      <c r="BV281" s="717"/>
      <c r="BW281" s="717"/>
      <c r="BX281" s="717">
        <f>BY281-$BX$4</f>
        <v>-7.0000000000000007E-2</v>
      </c>
      <c r="BY281" s="717"/>
      <c r="BZ281" s="717">
        <f>BY281+$BZ$4</f>
        <v>7.0000000000000007E-2</v>
      </c>
      <c r="CA281" s="756">
        <f t="shared" si="86"/>
        <v>0</v>
      </c>
      <c r="CB281" s="716">
        <f>GasBasis</f>
        <v>0</v>
      </c>
      <c r="CC281" s="789">
        <f>(IF(GasPriceCurve,IF(OBuySell=OCallPut,BT281,BR281),BS281)+CA281/1000+CB281)/(1-GasTransportPercent)</f>
        <v>4.577</v>
      </c>
      <c r="CD281" s="793">
        <f>IF(GasVolOver,GasVolOver,IF(OVolType=2,IF(OR(BU281="",BV281="",BW281=""),CD280,IF(GasVolCurve,IF(OBuySell,BU281,BW281),BV281)*GasVolAsPercentOfNYMEX),IF(OR(BU281="",BV281="",BW281="",BY281=""),CD280,SQRT(((IF(GasVolCurve,IF(OBuySell,BU281,BW281),BV281)*GasVolAsPercentOfNYMEX)^2*(BQ281-DateToday-1)+IF(GasVolCurve,IF(OBuySell,BX281,BZ281),BY281)^2*15)/(BQ281-DateToday+14))))+GasVolSpread)</f>
        <v>0.1585</v>
      </c>
    </row>
    <row r="282" spans="1:82" ht="13.8" x14ac:dyDescent="0.3">
      <c r="A282" s="553"/>
      <c r="B282" s="717">
        <v>7.3807971234134004E-2</v>
      </c>
      <c r="C282" s="8"/>
      <c r="D282" s="21"/>
      <c r="E282" s="21"/>
      <c r="F282" s="21"/>
      <c r="G282" s="21"/>
      <c r="H282" s="21"/>
      <c r="I282" s="21"/>
      <c r="J282" s="21"/>
      <c r="K282" s="21"/>
      <c r="L282" s="21"/>
      <c r="M282" s="1004"/>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K282"/>
      <c r="BL282"/>
      <c r="BM282"/>
      <c r="BN282"/>
      <c r="BO282"/>
      <c r="BP282"/>
      <c r="BQ282" s="553">
        <f t="shared" si="93"/>
        <v>45017</v>
      </c>
      <c r="BR282" s="716">
        <v>4.5274999999999999</v>
      </c>
      <c r="BS282" s="716">
        <v>4.5324999999999998</v>
      </c>
      <c r="BT282" s="716">
        <v>-0.16600000000000001</v>
      </c>
      <c r="BU282" s="717"/>
      <c r="BV282" s="717"/>
      <c r="BW282" s="717"/>
      <c r="BX282" s="717">
        <f>BY282-$BX$4</f>
        <v>-7.0000000000000007E-2</v>
      </c>
      <c r="BY282" s="717"/>
      <c r="BZ282" s="717">
        <f>BY282+$BZ$4</f>
        <v>7.0000000000000007E-2</v>
      </c>
      <c r="CA282" s="756">
        <f t="shared" si="86"/>
        <v>0</v>
      </c>
      <c r="CB282" s="716">
        <f>GasBasis</f>
        <v>0</v>
      </c>
      <c r="CC282" s="789">
        <f>(IF(GasPriceCurve,IF(OBuySell=OCallPut,BT282,BR282),BS282)+CA282/1000+CB282)/(1-GasTransportPercent)</f>
        <v>4.5274999999999999</v>
      </c>
      <c r="CD282" s="793">
        <f>IF(GasVolOver,GasVolOver,IF(OVolType=2,IF(OR(BU282="",BV282="",BW282=""),CD281,IF(GasVolCurve,IF(OBuySell,BU282,BW282),BV282)*GasVolAsPercentOfNYMEX),IF(OR(BU282="",BV282="",BW282="",BY282=""),CD281,SQRT(((IF(GasVolCurve,IF(OBuySell,BU282,BW282),BV282)*GasVolAsPercentOfNYMEX)^2*(BQ282-DateToday-1)+IF(GasVolCurve,IF(OBuySell,BX282,BZ282),BY282)^2*15)/(BQ282-DateToday+14))))+GasVolSpread)</f>
        <v>0.1585</v>
      </c>
    </row>
    <row r="283" spans="1:82" ht="13.8" x14ac:dyDescent="0.3">
      <c r="A283" s="553"/>
      <c r="B283" s="717">
        <v>7.3798735939060001E-2</v>
      </c>
      <c r="C283" s="8"/>
      <c r="D283" s="21"/>
      <c r="E283" s="21"/>
      <c r="F283" s="21"/>
      <c r="G283" s="21"/>
      <c r="H283" s="21"/>
      <c r="I283" s="21"/>
      <c r="J283" s="21"/>
      <c r="K283" s="21"/>
      <c r="L283" s="21"/>
      <c r="M283" s="1004"/>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K283"/>
      <c r="BL283"/>
      <c r="BM283"/>
      <c r="BN283"/>
      <c r="BO283"/>
      <c r="BP283"/>
      <c r="BQ283" s="553">
        <f t="shared" si="93"/>
        <v>45047</v>
      </c>
      <c r="BR283" s="716">
        <v>4.5015000000000001</v>
      </c>
      <c r="BS283" s="716">
        <v>4.5065</v>
      </c>
      <c r="BT283" s="716">
        <v>-0.152</v>
      </c>
      <c r="BU283" s="717"/>
      <c r="BV283" s="717"/>
      <c r="BW283" s="717"/>
      <c r="BX283" s="717">
        <f>BY283-$BX$4</f>
        <v>-7.0000000000000007E-2</v>
      </c>
      <c r="BY283" s="717"/>
      <c r="BZ283" s="717">
        <f>BY283+$BZ$4</f>
        <v>7.0000000000000007E-2</v>
      </c>
      <c r="CA283" s="756">
        <f t="shared" si="86"/>
        <v>0</v>
      </c>
      <c r="CB283" s="716">
        <f>GasBasis</f>
        <v>0</v>
      </c>
      <c r="CC283" s="789">
        <f>(IF(GasPriceCurve,IF(OBuySell=OCallPut,BT283,BR283),BS283)+CA283/1000+CB283)/(1-GasTransportPercent)</f>
        <v>4.5015000000000001</v>
      </c>
      <c r="CD283" s="793">
        <f>IF(GasVolOver,GasVolOver,IF(OVolType=2,IF(OR(BU283="",BV283="",BW283=""),CD282,IF(GasVolCurve,IF(OBuySell,BU283,BW283),BV283)*GasVolAsPercentOfNYMEX),IF(OR(BU283="",BV283="",BW283="",BY283=""),CD282,SQRT(((IF(GasVolCurve,IF(OBuySell,BU283,BW283),BV283)*GasVolAsPercentOfNYMEX)^2*(BQ283-DateToday-1)+IF(GasVolCurve,IF(OBuySell,BX283,BZ283),BY283)^2*15)/(BQ283-DateToday+14))))+GasVolSpread)</f>
        <v>0.1585</v>
      </c>
    </row>
    <row r="284" spans="1:82" ht="13.8" x14ac:dyDescent="0.3">
      <c r="A284" s="553"/>
      <c r="B284" s="717">
        <v>7.3789500644015002E-2</v>
      </c>
      <c r="C284" s="8"/>
      <c r="D284" s="21"/>
      <c r="E284" s="21"/>
      <c r="F284" s="21"/>
      <c r="G284" s="21"/>
      <c r="H284" s="21"/>
      <c r="I284" s="21"/>
      <c r="J284" s="21"/>
      <c r="K284" s="21"/>
      <c r="L284" s="21"/>
      <c r="M284" s="1004"/>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K284"/>
      <c r="BL284"/>
      <c r="BM284"/>
      <c r="BN284"/>
      <c r="BO284"/>
      <c r="BP284"/>
      <c r="BQ284" s="553"/>
      <c r="BR284" s="716">
        <v>4.5075000000000003</v>
      </c>
      <c r="BS284" s="716">
        <v>4.5125000000000002</v>
      </c>
      <c r="BT284" s="716">
        <v>-0.14100000000000001</v>
      </c>
      <c r="BU284" s="717"/>
      <c r="BV284" s="717"/>
      <c r="BW284" s="717"/>
      <c r="BY284" s="717"/>
      <c r="CA284" s="756"/>
      <c r="CB284" s="716"/>
      <c r="CC284" s="789"/>
      <c r="CD284" s="793"/>
    </row>
    <row r="285" spans="1:82" ht="13.8" x14ac:dyDescent="0.3">
      <c r="A285" s="553"/>
      <c r="B285" s="717">
        <v>7.3780563261738999E-2</v>
      </c>
      <c r="C285" s="8"/>
      <c r="D285" s="21"/>
      <c r="E285" s="21"/>
      <c r="F285" s="21"/>
      <c r="G285" s="21"/>
      <c r="H285" s="21"/>
      <c r="I285" s="21"/>
      <c r="J285" s="21"/>
      <c r="K285" s="21"/>
      <c r="L285" s="21"/>
      <c r="M285" s="1004"/>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K285"/>
      <c r="BL285"/>
      <c r="BM285"/>
      <c r="BN285"/>
      <c r="BO285"/>
      <c r="BP285"/>
      <c r="BQ285" s="553"/>
      <c r="BR285" s="716">
        <v>4.5175000000000001</v>
      </c>
      <c r="BS285" s="716">
        <v>4.5225</v>
      </c>
      <c r="BT285" s="716">
        <v>-0.17700000000000002</v>
      </c>
      <c r="BU285" s="717"/>
      <c r="BV285" s="717"/>
      <c r="BW285" s="717"/>
      <c r="BY285" s="717"/>
      <c r="CA285" s="756"/>
      <c r="CB285" s="716"/>
      <c r="CC285" s="789"/>
      <c r="CD285" s="793"/>
    </row>
    <row r="286" spans="1:82" ht="13.8" x14ac:dyDescent="0.3">
      <c r="A286" s="3"/>
      <c r="B286" s="717">
        <v>7.3771327966748998E-2</v>
      </c>
      <c r="C286" s="8"/>
      <c r="D286" s="21"/>
      <c r="E286" s="21"/>
      <c r="F286" s="21"/>
      <c r="G286" s="21"/>
      <c r="H286" s="21"/>
      <c r="I286" s="21"/>
      <c r="J286" s="21"/>
      <c r="K286" s="21"/>
      <c r="L286" s="21"/>
      <c r="M286" s="1004"/>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K286"/>
      <c r="BL286"/>
      <c r="BM286"/>
      <c r="BN286"/>
      <c r="BO286"/>
      <c r="BP286"/>
      <c r="BQ286" s="553"/>
      <c r="BR286" s="716">
        <v>4.5245000000000006</v>
      </c>
      <c r="BS286" s="716">
        <v>4.5295000000000005</v>
      </c>
      <c r="BT286" s="716">
        <v>-0.18100000000000002</v>
      </c>
      <c r="BU286" s="717"/>
      <c r="BV286" s="717"/>
      <c r="BW286" s="717"/>
      <c r="BY286" s="717"/>
      <c r="CA286" s="756"/>
      <c r="CB286" s="716"/>
      <c r="CC286" s="789"/>
      <c r="CD286" s="793"/>
    </row>
    <row r="287" spans="1:82" ht="13.8" x14ac:dyDescent="0.3">
      <c r="A287" s="3"/>
      <c r="B287" s="717">
        <v>7.3762390584526993E-2</v>
      </c>
      <c r="C287" s="8"/>
      <c r="D287" s="21"/>
      <c r="E287" s="21"/>
      <c r="F287" s="21"/>
      <c r="G287" s="21"/>
      <c r="H287" s="21"/>
      <c r="I287" s="21"/>
      <c r="J287" s="21"/>
      <c r="K287" s="21"/>
      <c r="L287" s="21"/>
      <c r="M287" s="1004"/>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K287"/>
      <c r="BL287"/>
      <c r="BM287"/>
      <c r="BN287"/>
      <c r="BO287"/>
      <c r="BP287"/>
      <c r="BQ287" s="553"/>
      <c r="BR287" s="716">
        <v>4.5315000000000003</v>
      </c>
      <c r="BS287" s="716">
        <v>4.5365000000000002</v>
      </c>
      <c r="BT287" s="716">
        <v>-0.19</v>
      </c>
      <c r="BU287" s="717"/>
      <c r="BV287" s="717"/>
      <c r="BW287" s="717"/>
      <c r="BY287" s="717"/>
      <c r="CA287" s="756"/>
      <c r="CB287" s="716"/>
      <c r="CC287" s="789"/>
      <c r="CD287" s="793"/>
    </row>
    <row r="288" spans="1:82" ht="13.8" x14ac:dyDescent="0.3">
      <c r="A288" s="3"/>
      <c r="B288" s="717">
        <v>7.3753155289593003E-2</v>
      </c>
      <c r="C288" s="8"/>
      <c r="D288" s="21"/>
      <c r="E288" s="21"/>
      <c r="F288" s="21"/>
      <c r="G288" s="21"/>
      <c r="H288" s="21"/>
      <c r="I288" s="21"/>
      <c r="J288" s="21"/>
      <c r="K288" s="21"/>
      <c r="L288" s="21"/>
      <c r="M288" s="1004"/>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K288"/>
      <c r="BL288"/>
      <c r="BM288"/>
      <c r="BN288"/>
      <c r="BO288"/>
      <c r="BP288"/>
      <c r="BQ288" s="553"/>
      <c r="BR288" s="716">
        <v>4.5575000000000001</v>
      </c>
      <c r="BS288" s="716">
        <v>4.5625</v>
      </c>
      <c r="BT288" s="716">
        <v>-0.19500000000000001</v>
      </c>
      <c r="BU288" s="717"/>
      <c r="BV288" s="717"/>
      <c r="BW288" s="717"/>
      <c r="BY288" s="717"/>
      <c r="CA288" s="756"/>
      <c r="CB288" s="716"/>
      <c r="CC288" s="789"/>
      <c r="CD288" s="793"/>
    </row>
    <row r="289" spans="1:82" ht="13.8" x14ac:dyDescent="0.3">
      <c r="A289" s="3"/>
      <c r="B289" s="717">
        <v>7.3743919994686991E-2</v>
      </c>
      <c r="C289" s="8"/>
      <c r="D289" s="21"/>
      <c r="E289" s="21"/>
      <c r="F289" s="21"/>
      <c r="G289" s="21"/>
      <c r="H289" s="21"/>
      <c r="I289" s="21"/>
      <c r="J289" s="21"/>
      <c r="K289" s="21"/>
      <c r="L289" s="21"/>
      <c r="M289" s="1004"/>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K289"/>
      <c r="BL289"/>
      <c r="BM289"/>
      <c r="BN289"/>
      <c r="BO289"/>
      <c r="BP289"/>
      <c r="BQ289" s="553"/>
      <c r="BR289" s="716">
        <v>4.6924999999999999</v>
      </c>
      <c r="BS289" s="716">
        <v>4.6974999999999998</v>
      </c>
      <c r="BT289" s="716">
        <v>-0.20300000000000001</v>
      </c>
      <c r="BU289" s="717"/>
      <c r="BV289" s="717"/>
      <c r="BW289" s="717"/>
      <c r="BY289" s="717"/>
      <c r="CA289" s="756"/>
      <c r="CB289" s="716"/>
      <c r="CC289" s="789"/>
      <c r="CD289" s="793"/>
    </row>
    <row r="290" spans="1:82" ht="13.8" x14ac:dyDescent="0.3">
      <c r="A290" s="3"/>
      <c r="B290" s="717">
        <v>7.3735280525282998E-2</v>
      </c>
      <c r="C290" s="8"/>
      <c r="D290" s="21"/>
      <c r="E290" s="21"/>
      <c r="F290" s="21"/>
      <c r="G290" s="21"/>
      <c r="H290" s="21"/>
      <c r="I290" s="21"/>
      <c r="J290" s="21"/>
      <c r="K290" s="21"/>
      <c r="L290" s="21"/>
      <c r="M290" s="1004"/>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K290"/>
      <c r="BL290"/>
      <c r="BM290"/>
      <c r="BN290"/>
      <c r="BO290"/>
      <c r="BP290"/>
      <c r="BQ290" s="553"/>
      <c r="BR290" s="716">
        <v>4.8165000000000004</v>
      </c>
      <c r="BS290" s="716">
        <v>4.8215000000000003</v>
      </c>
      <c r="BT290" s="716">
        <v>-0.19800000000000001</v>
      </c>
      <c r="BU290" s="717"/>
      <c r="BV290" s="717"/>
      <c r="BW290" s="717"/>
      <c r="BY290" s="717"/>
      <c r="CA290" s="756"/>
      <c r="CB290" s="716"/>
      <c r="CC290" s="789"/>
      <c r="CD290" s="793"/>
    </row>
    <row r="291" spans="1:82" ht="13.8" x14ac:dyDescent="0.3">
      <c r="A291" s="3"/>
      <c r="B291" s="717">
        <v>7.3726045230431012E-2</v>
      </c>
      <c r="C291" s="8"/>
      <c r="D291" s="21"/>
      <c r="E291" s="21"/>
      <c r="F291" s="21"/>
      <c r="G291" s="21"/>
      <c r="H291" s="21"/>
      <c r="I291" s="21"/>
      <c r="J291" s="21"/>
      <c r="K291" s="21"/>
      <c r="L291" s="21"/>
      <c r="M291" s="1004"/>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K291"/>
      <c r="BL291"/>
      <c r="BM291"/>
      <c r="BN291"/>
      <c r="BO291"/>
      <c r="BP291"/>
      <c r="BQ291" s="553"/>
      <c r="BR291" s="716">
        <v>4.96</v>
      </c>
      <c r="BS291" s="716">
        <v>4.9649999999999999</v>
      </c>
      <c r="BT291" s="716">
        <v>-0.20499999999999999</v>
      </c>
      <c r="BU291" s="717"/>
      <c r="BV291" s="717"/>
      <c r="BW291" s="717"/>
      <c r="BY291" s="717"/>
      <c r="CA291" s="756"/>
      <c r="CB291" s="716"/>
      <c r="CC291" s="789"/>
      <c r="CD291" s="793"/>
    </row>
    <row r="292" spans="1:82" ht="13.8" x14ac:dyDescent="0.3">
      <c r="A292" s="3"/>
      <c r="B292" s="717">
        <v>7.3717107848343011E-2</v>
      </c>
      <c r="C292" s="8"/>
      <c r="D292" s="21"/>
      <c r="E292" s="21"/>
      <c r="F292" s="21"/>
      <c r="G292" s="21"/>
      <c r="H292" s="21"/>
      <c r="I292" s="21"/>
      <c r="J292" s="21"/>
      <c r="K292" s="21"/>
      <c r="L292" s="21"/>
      <c r="M292" s="1004"/>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K292"/>
      <c r="BL292"/>
      <c r="BM292"/>
      <c r="BN292"/>
      <c r="BO292"/>
      <c r="BP292"/>
      <c r="BQ292" s="553"/>
      <c r="BR292" s="716">
        <v>4.8420000000000005</v>
      </c>
      <c r="BS292" s="716">
        <v>4.8470000000000004</v>
      </c>
      <c r="BT292" s="716">
        <v>-0.19900000000000001</v>
      </c>
      <c r="BU292" s="717"/>
      <c r="BV292" s="717"/>
      <c r="BW292" s="717"/>
      <c r="BY292" s="717"/>
      <c r="CA292" s="756"/>
      <c r="CB292" s="716"/>
      <c r="CC292" s="789"/>
      <c r="CD292" s="793"/>
    </row>
    <row r="293" spans="1:82" ht="13.8" x14ac:dyDescent="0.3">
      <c r="A293" s="3"/>
      <c r="B293" s="717">
        <v>7.3707872553545994E-2</v>
      </c>
      <c r="C293" s="8"/>
      <c r="D293" s="21"/>
      <c r="E293" s="21"/>
      <c r="F293" s="21"/>
      <c r="G293" s="21"/>
      <c r="H293" s="21"/>
      <c r="I293" s="21"/>
      <c r="J293" s="21"/>
      <c r="K293" s="21"/>
      <c r="L293" s="21"/>
      <c r="M293" s="1004"/>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K293"/>
      <c r="BL293"/>
      <c r="BM293"/>
      <c r="BN293"/>
      <c r="BO293"/>
      <c r="BP293"/>
      <c r="BQ293" s="553"/>
      <c r="BR293" s="716">
        <v>4.7220000000000004</v>
      </c>
      <c r="BS293" s="716">
        <v>4.7270000000000003</v>
      </c>
      <c r="BT293" s="716">
        <v>-0.19</v>
      </c>
      <c r="BU293" s="717"/>
      <c r="BV293" s="717"/>
      <c r="BW293" s="717"/>
      <c r="BY293" s="717"/>
      <c r="CA293" s="756"/>
      <c r="CB293" s="716"/>
      <c r="CC293" s="789"/>
      <c r="CD293" s="793"/>
    </row>
    <row r="294" spans="1:82" ht="13.8" x14ac:dyDescent="0.3">
      <c r="A294" s="3"/>
      <c r="B294" s="717">
        <v>7.3698935171511992E-2</v>
      </c>
      <c r="C294" s="8"/>
      <c r="D294" s="21"/>
      <c r="E294" s="21"/>
      <c r="F294" s="21"/>
      <c r="G294" s="21"/>
      <c r="H294" s="21"/>
      <c r="I294" s="21"/>
      <c r="J294" s="21"/>
      <c r="K294" s="21"/>
      <c r="L294" s="21"/>
      <c r="M294" s="1004"/>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K294"/>
      <c r="BL294"/>
      <c r="BM294"/>
      <c r="BN294"/>
      <c r="BO294"/>
      <c r="BP294"/>
      <c r="BQ294" s="553"/>
      <c r="BR294" s="716">
        <v>4.6725000000000003</v>
      </c>
      <c r="BS294" s="716">
        <v>4.6775000000000002</v>
      </c>
      <c r="BT294" s="716">
        <v>-0.186</v>
      </c>
      <c r="BU294" s="717"/>
      <c r="BV294" s="717"/>
      <c r="BW294" s="717"/>
      <c r="BY294" s="717"/>
      <c r="CA294" s="756"/>
      <c r="CB294" s="716"/>
      <c r="CC294" s="789"/>
      <c r="CD294" s="793"/>
    </row>
    <row r="295" spans="1:82" ht="13.8" x14ac:dyDescent="0.3">
      <c r="A295" s="3"/>
      <c r="B295" s="717">
        <v>7.3689699876771E-2</v>
      </c>
      <c r="C295" s="8"/>
      <c r="D295" s="21"/>
      <c r="E295" s="21"/>
      <c r="F295" s="21"/>
      <c r="G295" s="21"/>
      <c r="H295" s="21"/>
      <c r="I295" s="21"/>
      <c r="J295" s="21"/>
      <c r="K295" s="21"/>
      <c r="L295" s="21"/>
      <c r="M295" s="1004"/>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K295"/>
      <c r="BL295"/>
      <c r="BM295"/>
      <c r="BN295"/>
      <c r="BO295"/>
      <c r="BP295"/>
      <c r="BQ295" s="553"/>
      <c r="BR295" s="716">
        <v>4.6465000000000005</v>
      </c>
      <c r="BS295" s="716">
        <v>4.6515000000000004</v>
      </c>
      <c r="BT295" s="716">
        <v>-0.17200000000000001</v>
      </c>
      <c r="BU295" s="717"/>
      <c r="BV295" s="717"/>
      <c r="BW295" s="717"/>
      <c r="BY295" s="717"/>
      <c r="CA295" s="756"/>
      <c r="CB295" s="716"/>
      <c r="CC295" s="789"/>
      <c r="CD295" s="793"/>
    </row>
    <row r="296" spans="1:82" ht="13.8" x14ac:dyDescent="0.3">
      <c r="A296" s="3"/>
      <c r="B296" s="717">
        <v>7.3680464582057001E-2</v>
      </c>
      <c r="C296" s="8"/>
      <c r="D296" s="21"/>
      <c r="E296" s="21"/>
      <c r="F296" s="21"/>
      <c r="G296" s="21"/>
      <c r="H296" s="21"/>
      <c r="I296" s="21"/>
      <c r="J296" s="21"/>
      <c r="K296" s="21"/>
      <c r="L296" s="21"/>
      <c r="M296" s="1004"/>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K296"/>
      <c r="BL296"/>
      <c r="BM296"/>
      <c r="BN296"/>
      <c r="BO296"/>
      <c r="BP296"/>
      <c r="BQ296" s="553"/>
      <c r="BR296" s="716"/>
      <c r="BS296" s="716"/>
      <c r="BT296" s="716"/>
      <c r="BU296" s="717"/>
      <c r="BV296" s="717"/>
      <c r="BW296" s="717"/>
      <c r="BY296" s="717"/>
      <c r="CA296" s="756"/>
      <c r="CB296" s="716"/>
      <c r="CC296" s="789"/>
      <c r="CD296" s="793"/>
    </row>
    <row r="297" spans="1:82" ht="13.8" x14ac:dyDescent="0.3">
      <c r="A297" s="3"/>
      <c r="B297" s="717">
        <v>7.3671527200104003E-2</v>
      </c>
      <c r="C297" s="8"/>
      <c r="D297" s="21"/>
      <c r="E297" s="21"/>
      <c r="F297" s="21"/>
      <c r="G297" s="21"/>
      <c r="H297" s="21"/>
      <c r="I297" s="21"/>
      <c r="J297" s="21"/>
      <c r="K297" s="21"/>
      <c r="L297" s="21"/>
      <c r="M297" s="1004"/>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K297"/>
      <c r="BL297"/>
      <c r="BM297"/>
      <c r="BN297"/>
      <c r="BO297"/>
      <c r="BP297"/>
      <c r="BQ297" s="553"/>
      <c r="BR297" s="716"/>
      <c r="BS297" s="716"/>
      <c r="BT297" s="716"/>
      <c r="BU297" s="717"/>
      <c r="BV297" s="717"/>
      <c r="BW297" s="717"/>
      <c r="BY297" s="717"/>
      <c r="CA297" s="756"/>
      <c r="CB297" s="716"/>
      <c r="CC297" s="789"/>
      <c r="CD297" s="793"/>
    </row>
    <row r="298" spans="1:82" ht="13.8" x14ac:dyDescent="0.3">
      <c r="A298" s="3"/>
      <c r="B298" s="717">
        <v>7.3662291905446001E-2</v>
      </c>
      <c r="C298" s="8"/>
      <c r="D298" s="21"/>
      <c r="E298" s="21"/>
      <c r="F298" s="21"/>
      <c r="G298" s="21"/>
      <c r="H298" s="21"/>
      <c r="I298" s="21"/>
      <c r="J298" s="21"/>
      <c r="K298" s="21"/>
      <c r="L298" s="21"/>
      <c r="M298" s="1004"/>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K298"/>
      <c r="BL298"/>
      <c r="BM298"/>
      <c r="BN298"/>
      <c r="BO298"/>
      <c r="BP298"/>
      <c r="BQ298" s="553"/>
      <c r="BR298" s="716"/>
      <c r="BS298" s="716"/>
      <c r="BT298" s="716"/>
      <c r="BU298" s="717"/>
      <c r="BV298" s="717"/>
      <c r="BW298" s="717"/>
      <c r="BY298" s="717"/>
      <c r="CA298" s="756"/>
      <c r="CB298" s="716"/>
      <c r="CC298" s="789"/>
      <c r="CD298" s="793"/>
    </row>
    <row r="299" spans="1:82" ht="13.8" x14ac:dyDescent="0.3">
      <c r="A299" s="3"/>
      <c r="B299" s="717">
        <v>7.3653354523546002E-2</v>
      </c>
      <c r="C299" s="8"/>
      <c r="D299" s="21"/>
      <c r="E299" s="21"/>
      <c r="F299" s="21"/>
      <c r="G299" s="21"/>
      <c r="H299" s="21"/>
      <c r="I299" s="21"/>
      <c r="J299" s="21"/>
      <c r="K299" s="21"/>
      <c r="L299" s="21"/>
      <c r="M299" s="1004"/>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K299"/>
      <c r="BL299"/>
      <c r="BM299"/>
      <c r="BN299"/>
      <c r="BO299"/>
      <c r="BP299"/>
      <c r="BQ299" s="553"/>
      <c r="BR299" s="716"/>
      <c r="BS299" s="716"/>
      <c r="BT299" s="716"/>
      <c r="BU299" s="717"/>
      <c r="BV299" s="717"/>
      <c r="BW299" s="717"/>
      <c r="BY299" s="717"/>
      <c r="CA299" s="756"/>
      <c r="CB299" s="716"/>
      <c r="CC299" s="789"/>
      <c r="CD299" s="793"/>
    </row>
    <row r="300" spans="1:82" ht="13.8" x14ac:dyDescent="0.3">
      <c r="A300" s="3"/>
      <c r="B300" s="717">
        <v>7.3644119228943997E-2</v>
      </c>
      <c r="C300" s="8"/>
      <c r="D300" s="21"/>
      <c r="E300" s="21"/>
      <c r="F300" s="21"/>
      <c r="G300" s="21"/>
      <c r="H300" s="21"/>
      <c r="I300" s="21"/>
      <c r="J300" s="21"/>
      <c r="K300" s="21"/>
      <c r="L300" s="21"/>
      <c r="M300" s="1004"/>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K300"/>
      <c r="BL300"/>
      <c r="BM300"/>
      <c r="BN300"/>
      <c r="BO300"/>
      <c r="BP300"/>
      <c r="BQ300" s="553"/>
      <c r="BR300" s="716"/>
      <c r="BS300" s="716"/>
      <c r="BT300" s="716"/>
      <c r="BU300" s="717"/>
      <c r="BV300" s="717"/>
      <c r="BW300" s="717"/>
      <c r="BY300" s="717"/>
      <c r="CA300" s="756"/>
      <c r="CB300" s="716"/>
      <c r="CC300" s="789"/>
      <c r="CD300" s="793"/>
    </row>
    <row r="301" spans="1:82" ht="13.8" x14ac:dyDescent="0.3">
      <c r="A301" s="3"/>
      <c r="B301" s="717">
        <v>7.3634883934368997E-2</v>
      </c>
      <c r="C301" s="8"/>
      <c r="D301" s="21"/>
      <c r="E301" s="21"/>
      <c r="F301" s="21"/>
      <c r="G301" s="21"/>
      <c r="H301" s="21"/>
      <c r="I301" s="21"/>
      <c r="J301" s="21"/>
      <c r="K301" s="21"/>
      <c r="L301" s="21"/>
      <c r="M301" s="1004"/>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K301"/>
      <c r="BL301"/>
      <c r="BM301"/>
      <c r="BN301"/>
      <c r="BO301"/>
      <c r="BP301"/>
      <c r="BQ301" s="553"/>
      <c r="BR301" s="716"/>
      <c r="BS301" s="716"/>
      <c r="BT301" s="716"/>
      <c r="BU301" s="717"/>
      <c r="BV301" s="717"/>
      <c r="BW301" s="717"/>
      <c r="BY301" s="717"/>
      <c r="CA301" s="756"/>
      <c r="CB301" s="716"/>
      <c r="CC301" s="789"/>
      <c r="CD301" s="793"/>
    </row>
    <row r="302" spans="1:82" ht="13.8" x14ac:dyDescent="0.3">
      <c r="A302" s="3"/>
      <c r="B302" s="717">
        <v>7.3626542378005005E-2</v>
      </c>
      <c r="C302" s="8"/>
      <c r="D302" s="21"/>
      <c r="E302" s="21"/>
      <c r="F302" s="21"/>
      <c r="G302" s="21"/>
      <c r="H302" s="21"/>
      <c r="I302" s="21"/>
      <c r="J302" s="21"/>
      <c r="K302" s="21"/>
      <c r="L302" s="21"/>
      <c r="M302" s="1004"/>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K302"/>
      <c r="BL302"/>
      <c r="BM302"/>
      <c r="BN302"/>
      <c r="BO302"/>
      <c r="BP302"/>
      <c r="BQ302" s="553"/>
      <c r="BR302" s="716"/>
      <c r="BS302" s="716"/>
      <c r="BT302" s="716"/>
      <c r="BU302" s="717"/>
      <c r="BV302" s="717"/>
      <c r="BW302" s="717"/>
      <c r="BY302" s="717"/>
      <c r="CA302" s="756"/>
      <c r="CB302" s="716"/>
      <c r="CC302" s="789"/>
      <c r="CD302" s="793"/>
    </row>
    <row r="303" spans="1:82" ht="13.8" x14ac:dyDescent="0.3">
      <c r="A303" s="3"/>
      <c r="B303" s="717">
        <v>7.361730708348399E-2</v>
      </c>
      <c r="C303" s="8"/>
      <c r="D303" s="21"/>
      <c r="E303" s="21"/>
      <c r="F303" s="21"/>
      <c r="G303" s="21"/>
      <c r="H303" s="21"/>
      <c r="I303" s="21"/>
      <c r="J303" s="21"/>
      <c r="K303" s="21"/>
      <c r="L303" s="21"/>
      <c r="M303" s="1004"/>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K303"/>
      <c r="BL303"/>
      <c r="BM303"/>
      <c r="BN303"/>
      <c r="BO303"/>
      <c r="BP303"/>
      <c r="BQ303" s="553"/>
      <c r="BR303" s="716"/>
      <c r="BS303" s="716"/>
      <c r="BT303" s="716"/>
      <c r="BU303" s="717"/>
      <c r="BV303" s="717"/>
      <c r="BW303" s="717"/>
      <c r="BY303" s="717"/>
      <c r="CA303" s="756"/>
      <c r="CB303" s="716"/>
      <c r="CC303" s="789"/>
      <c r="CD303" s="793"/>
    </row>
    <row r="304" spans="1:82" ht="13.8" x14ac:dyDescent="0.3">
      <c r="A304" s="3"/>
      <c r="B304" s="717">
        <v>7.3608369701715998E-2</v>
      </c>
      <c r="C304" s="8"/>
      <c r="D304" s="21"/>
      <c r="E304" s="21"/>
      <c r="F304" s="21"/>
      <c r="G304" s="21"/>
      <c r="H304" s="21"/>
      <c r="I304" s="21"/>
      <c r="J304" s="21"/>
      <c r="K304" s="21"/>
      <c r="L304" s="21"/>
      <c r="M304" s="1004"/>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K304"/>
      <c r="BL304"/>
      <c r="BM304"/>
      <c r="BN304"/>
      <c r="BO304"/>
      <c r="BP304" s="13"/>
      <c r="BQ304" s="553"/>
      <c r="BR304" s="716"/>
      <c r="BS304" s="716"/>
      <c r="BT304" s="716"/>
      <c r="BU304" s="717"/>
      <c r="BV304" s="717"/>
      <c r="BW304" s="717"/>
      <c r="BY304" s="717"/>
      <c r="CA304" s="756"/>
      <c r="CB304" s="716"/>
      <c r="CC304" s="789"/>
      <c r="CD304" s="793"/>
    </row>
    <row r="305" spans="1:82" ht="13.8" x14ac:dyDescent="0.3">
      <c r="A305" s="3"/>
      <c r="B305" s="717">
        <v>7.3599134407250993E-2</v>
      </c>
      <c r="C305" s="8"/>
      <c r="D305" s="21"/>
      <c r="E305" s="21"/>
      <c r="F305" s="21"/>
      <c r="G305" s="21"/>
      <c r="H305" s="21"/>
      <c r="I305" s="21"/>
      <c r="J305" s="21"/>
      <c r="K305" s="21"/>
      <c r="L305" s="21"/>
      <c r="M305" s="1004"/>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K305"/>
      <c r="BL305"/>
      <c r="BM305"/>
      <c r="BN305"/>
      <c r="BO305"/>
      <c r="BP305" s="13"/>
      <c r="BQ305" s="553"/>
      <c r="BR305" s="716"/>
      <c r="BS305" s="716"/>
      <c r="BT305" s="716"/>
      <c r="BU305" s="717"/>
      <c r="BV305" s="717"/>
      <c r="BW305" s="717"/>
      <c r="BY305" s="717"/>
      <c r="CA305" s="756"/>
      <c r="CB305" s="716"/>
      <c r="CC305" s="789"/>
      <c r="CD305" s="793"/>
    </row>
    <row r="306" spans="1:82" ht="13.8" x14ac:dyDescent="0.3">
      <c r="A306" s="3"/>
      <c r="B306" s="717">
        <v>7.3590197025536999E-2</v>
      </c>
      <c r="C306" s="8"/>
      <c r="D306" s="21"/>
      <c r="E306" s="21"/>
      <c r="F306" s="21"/>
      <c r="G306" s="21"/>
      <c r="H306" s="21"/>
      <c r="I306" s="21"/>
      <c r="J306" s="21"/>
      <c r="K306" s="21"/>
      <c r="L306" s="21"/>
      <c r="M306" s="1004"/>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K306"/>
      <c r="BL306"/>
      <c r="BM306"/>
      <c r="BN306"/>
      <c r="BO306"/>
      <c r="BP306" s="13"/>
      <c r="BQ306" s="553"/>
      <c r="BR306" s="716"/>
      <c r="BS306" s="716"/>
      <c r="BT306" s="716"/>
      <c r="BU306" s="717"/>
      <c r="BV306" s="717"/>
      <c r="BW306" s="717"/>
      <c r="BY306" s="717"/>
      <c r="CA306" s="756"/>
      <c r="CB306" s="716"/>
      <c r="CC306" s="789"/>
      <c r="CD306" s="793"/>
    </row>
    <row r="307" spans="1:82" ht="13.8" x14ac:dyDescent="0.3">
      <c r="A307" s="3"/>
      <c r="B307" s="717">
        <v>7.3580961731128006E-2</v>
      </c>
      <c r="C307" s="8"/>
      <c r="D307" s="21"/>
      <c r="E307" s="21"/>
      <c r="F307" s="21"/>
      <c r="G307" s="21"/>
      <c r="H307" s="21"/>
      <c r="I307" s="21"/>
      <c r="J307" s="21"/>
      <c r="K307" s="21"/>
      <c r="L307" s="21"/>
      <c r="M307" s="1004"/>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K307"/>
      <c r="BL307"/>
      <c r="BM307"/>
      <c r="BN307"/>
      <c r="BO307"/>
      <c r="BP307" s="13"/>
      <c r="BQ307" s="553"/>
      <c r="BR307" s="716"/>
      <c r="BS307" s="716"/>
      <c r="BT307" s="716"/>
      <c r="BU307" s="717"/>
      <c r="BV307" s="717"/>
      <c r="BW307" s="717"/>
      <c r="BY307" s="717"/>
      <c r="CA307" s="756"/>
      <c r="CB307" s="716"/>
      <c r="CC307" s="789"/>
      <c r="CD307" s="793"/>
    </row>
    <row r="308" spans="1:82" ht="13.8" x14ac:dyDescent="0.3">
      <c r="A308" s="3"/>
      <c r="B308" s="717">
        <v>7.3571726436746004E-2</v>
      </c>
      <c r="C308" s="8"/>
      <c r="D308" s="21"/>
      <c r="E308" s="21"/>
      <c r="F308" s="21"/>
      <c r="G308" s="21"/>
      <c r="H308" s="21"/>
      <c r="I308" s="21"/>
      <c r="J308" s="21"/>
      <c r="K308" s="21"/>
      <c r="L308" s="21"/>
      <c r="M308" s="1004"/>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K308"/>
      <c r="BL308"/>
      <c r="BM308"/>
      <c r="BN308"/>
      <c r="BO308"/>
      <c r="BP308" s="13"/>
      <c r="BQ308" s="553"/>
      <c r="BR308" s="716"/>
      <c r="BS308" s="716"/>
      <c r="BT308" s="716"/>
      <c r="BU308" s="717"/>
      <c r="BV308" s="717"/>
      <c r="BW308" s="717"/>
      <c r="BY308" s="717"/>
      <c r="CA308" s="756"/>
      <c r="CB308" s="716"/>
      <c r="CC308" s="789"/>
      <c r="CD308" s="793"/>
    </row>
    <row r="309" spans="1:82" ht="13.8" x14ac:dyDescent="0.3">
      <c r="A309" s="3"/>
      <c r="B309" s="717">
        <v>7.3562789055113015E-2</v>
      </c>
      <c r="C309" s="8"/>
      <c r="D309" s="21"/>
      <c r="E309" s="21"/>
      <c r="F309" s="21"/>
      <c r="G309" s="21"/>
      <c r="H309" s="21"/>
      <c r="I309" s="21"/>
      <c r="J309" s="21"/>
      <c r="K309" s="21"/>
      <c r="L309" s="21"/>
      <c r="M309" s="1004"/>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K309"/>
      <c r="BL309"/>
      <c r="BM309"/>
      <c r="BN309"/>
      <c r="BO309"/>
      <c r="BP309" s="13"/>
      <c r="BQ309" s="553"/>
      <c r="BR309" s="716"/>
      <c r="BS309" s="716"/>
      <c r="BT309" s="716"/>
      <c r="BU309" s="717"/>
      <c r="BV309" s="717"/>
      <c r="BW309" s="717"/>
      <c r="BY309" s="717"/>
      <c r="CA309" s="756"/>
      <c r="CB309" s="716"/>
      <c r="CC309" s="789"/>
      <c r="CD309" s="793"/>
    </row>
    <row r="310" spans="1:82" ht="13.8" x14ac:dyDescent="0.3">
      <c r="A310" s="3"/>
      <c r="B310" s="717">
        <v>7.3553553760786997E-2</v>
      </c>
      <c r="C310" s="8"/>
      <c r="D310" s="21"/>
      <c r="E310" s="21"/>
      <c r="F310" s="21"/>
      <c r="G310" s="21"/>
      <c r="H310" s="21"/>
      <c r="I310" s="21"/>
      <c r="J310" s="21"/>
      <c r="K310" s="21"/>
      <c r="L310" s="21"/>
      <c r="M310" s="1004"/>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K310"/>
      <c r="BL310"/>
      <c r="BM310"/>
      <c r="BN310"/>
      <c r="BO310"/>
      <c r="BP310" s="13"/>
      <c r="BQ310" s="553"/>
      <c r="BR310" s="716"/>
      <c r="BS310" s="716"/>
      <c r="BT310" s="716"/>
      <c r="BU310" s="717"/>
      <c r="BV310" s="717"/>
      <c r="BW310" s="717"/>
      <c r="BY310" s="717"/>
      <c r="CA310" s="756"/>
      <c r="CB310" s="716"/>
      <c r="CC310" s="789"/>
      <c r="CD310" s="793"/>
    </row>
    <row r="311" spans="1:82" ht="13.8" x14ac:dyDescent="0.3">
      <c r="A311" s="3"/>
      <c r="B311" s="717">
        <v>7.3544616379207992E-2</v>
      </c>
      <c r="C311" s="8"/>
      <c r="D311" s="21"/>
      <c r="E311" s="21"/>
      <c r="F311" s="21"/>
      <c r="G311" s="21"/>
      <c r="H311" s="21"/>
      <c r="I311" s="21"/>
      <c r="J311" s="21"/>
      <c r="K311" s="21"/>
      <c r="L311" s="21"/>
      <c r="M311" s="1004"/>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K311"/>
      <c r="BL311"/>
      <c r="BM311"/>
      <c r="BN311"/>
      <c r="BO311"/>
      <c r="BP311" s="13"/>
      <c r="BQ311" s="553"/>
      <c r="BR311" s="716"/>
      <c r="BS311" s="716"/>
      <c r="BT311" s="716"/>
      <c r="BU311" s="717"/>
      <c r="BV311" s="717"/>
      <c r="BW311" s="717"/>
      <c r="BY311" s="717"/>
      <c r="CA311" s="756"/>
      <c r="CB311" s="716"/>
      <c r="CC311" s="789"/>
      <c r="CD311" s="793"/>
    </row>
    <row r="312" spans="1:82" ht="13.8" x14ac:dyDescent="0.3">
      <c r="A312" s="3"/>
      <c r="B312" s="717">
        <v>7.3535381084936999E-2</v>
      </c>
      <c r="C312" s="8"/>
      <c r="D312" s="21"/>
      <c r="E312" s="21"/>
      <c r="F312" s="21"/>
      <c r="G312" s="21"/>
      <c r="H312" s="21"/>
      <c r="I312" s="21"/>
      <c r="J312" s="21"/>
      <c r="K312" s="21"/>
      <c r="L312" s="21"/>
      <c r="M312" s="1004"/>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K312"/>
      <c r="BL312"/>
      <c r="BM312"/>
      <c r="BN312"/>
      <c r="BO312"/>
      <c r="BP312" s="13"/>
      <c r="BQ312" s="553"/>
      <c r="BR312" s="716"/>
      <c r="BS312" s="716"/>
      <c r="BT312" s="716"/>
      <c r="BU312" s="717"/>
      <c r="BV312" s="717"/>
      <c r="BW312" s="717"/>
      <c r="BY312" s="717"/>
      <c r="CA312" s="756"/>
      <c r="CB312" s="716"/>
      <c r="CC312" s="789"/>
      <c r="CD312" s="793"/>
    </row>
    <row r="313" spans="1:82" ht="13.8" x14ac:dyDescent="0.3">
      <c r="A313" s="3"/>
      <c r="B313" s="717">
        <v>7.3526145790693997E-2</v>
      </c>
      <c r="C313" s="8"/>
      <c r="D313" s="21"/>
      <c r="E313" s="21"/>
      <c r="F313" s="21"/>
      <c r="G313" s="21"/>
      <c r="H313" s="21"/>
      <c r="I313" s="21"/>
      <c r="J313" s="21"/>
      <c r="K313" s="21"/>
      <c r="L313" s="21"/>
      <c r="M313" s="1004"/>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K313"/>
      <c r="BL313"/>
      <c r="BM313"/>
      <c r="BN313"/>
      <c r="BO313"/>
      <c r="BP313" s="13"/>
      <c r="BQ313" s="553"/>
      <c r="BR313" s="716"/>
      <c r="BS313" s="716"/>
      <c r="BT313" s="716"/>
      <c r="BU313" s="717"/>
      <c r="BV313" s="717"/>
      <c r="BW313" s="717"/>
      <c r="BY313" s="717"/>
      <c r="CA313" s="756"/>
      <c r="CB313" s="716"/>
      <c r="CC313" s="789"/>
      <c r="CD313" s="793"/>
    </row>
    <row r="314" spans="1:82" ht="13.8" x14ac:dyDescent="0.3">
      <c r="A314" s="3"/>
      <c r="B314" s="717">
        <v>7.3517804234629003E-2</v>
      </c>
      <c r="C314" s="8"/>
      <c r="D314" s="21"/>
      <c r="E314" s="21"/>
      <c r="F314" s="21"/>
      <c r="G314" s="21"/>
      <c r="H314" s="21"/>
      <c r="I314" s="21"/>
      <c r="J314" s="21"/>
      <c r="K314" s="21"/>
      <c r="L314" s="21"/>
      <c r="M314" s="1004"/>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K314"/>
      <c r="BL314"/>
      <c r="BM314"/>
      <c r="BN314"/>
      <c r="BO314"/>
      <c r="BP314" s="13"/>
      <c r="BQ314" s="553"/>
      <c r="BR314" s="716"/>
      <c r="BS314" s="716"/>
      <c r="BT314" s="716"/>
      <c r="BU314" s="717"/>
      <c r="BV314" s="717"/>
      <c r="BW314" s="717"/>
      <c r="BY314" s="717"/>
      <c r="CA314" s="756"/>
      <c r="CB314" s="716"/>
      <c r="CC314" s="789"/>
      <c r="CD314" s="793"/>
    </row>
    <row r="315" spans="1:82" ht="13.8" x14ac:dyDescent="0.3">
      <c r="A315" s="3"/>
      <c r="B315" s="717">
        <v>7.3508568940439001E-2</v>
      </c>
      <c r="C315" s="8"/>
      <c r="D315" s="21"/>
      <c r="E315" s="21"/>
      <c r="F315" s="21"/>
      <c r="G315" s="21"/>
      <c r="H315" s="21"/>
      <c r="I315" s="21"/>
      <c r="J315" s="21"/>
      <c r="K315" s="21"/>
      <c r="L315" s="21"/>
      <c r="M315" s="1004"/>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K315"/>
      <c r="BL315"/>
      <c r="BM315"/>
      <c r="BN315"/>
      <c r="BO315"/>
      <c r="BP315" s="13"/>
      <c r="BQ315" s="553"/>
      <c r="BR315" s="716"/>
      <c r="BS315" s="716"/>
      <c r="BT315" s="716"/>
      <c r="BU315" s="717"/>
      <c r="BV315" s="717"/>
      <c r="BW315" s="717"/>
      <c r="BY315" s="717"/>
      <c r="CA315" s="756"/>
      <c r="CB315" s="716"/>
      <c r="CC315" s="789"/>
      <c r="CD315" s="793"/>
    </row>
    <row r="316" spans="1:82" ht="13.8" x14ac:dyDescent="0.3">
      <c r="A316" s="3"/>
      <c r="B316" s="717">
        <v>7.3499631559000009E-2</v>
      </c>
      <c r="C316" s="8"/>
      <c r="D316" s="21"/>
      <c r="E316" s="21"/>
      <c r="F316" s="21"/>
      <c r="G316" s="21"/>
      <c r="H316" s="21"/>
      <c r="I316" s="21"/>
      <c r="J316" s="21"/>
      <c r="K316" s="21"/>
      <c r="L316" s="21"/>
      <c r="M316" s="1004"/>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K316"/>
      <c r="BL316"/>
      <c r="BM316"/>
      <c r="BN316"/>
      <c r="BO316"/>
      <c r="BP316" s="13"/>
      <c r="BQ316" s="553"/>
      <c r="BR316" s="716"/>
      <c r="BS316" s="716"/>
      <c r="BT316" s="716"/>
      <c r="BU316" s="717"/>
      <c r="BV316" s="717"/>
      <c r="BW316" s="717"/>
      <c r="BY316" s="717"/>
      <c r="CA316" s="756"/>
      <c r="CB316" s="716"/>
      <c r="CC316" s="789"/>
      <c r="CD316" s="793"/>
    </row>
    <row r="317" spans="1:82" ht="13.8" x14ac:dyDescent="0.3">
      <c r="A317" s="3"/>
      <c r="B317" s="717">
        <v>7.3490396264859009E-2</v>
      </c>
      <c r="C317" s="8"/>
      <c r="D317" s="21"/>
      <c r="E317" s="21"/>
      <c r="F317" s="21"/>
      <c r="G317" s="21"/>
      <c r="H317" s="21"/>
      <c r="I317" s="21"/>
      <c r="J317" s="21"/>
      <c r="K317" s="21"/>
      <c r="L317" s="21"/>
      <c r="M317" s="1004"/>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K317"/>
      <c r="BL317"/>
      <c r="BM317"/>
      <c r="BN317"/>
      <c r="BO317"/>
      <c r="BP317" s="13"/>
      <c r="BQ317" s="553"/>
      <c r="BR317" s="716"/>
      <c r="BS317" s="716"/>
      <c r="BT317" s="716"/>
      <c r="BU317" s="717"/>
      <c r="BV317" s="717"/>
      <c r="BW317" s="717"/>
      <c r="BY317" s="717"/>
      <c r="CA317" s="756"/>
      <c r="CB317" s="716"/>
      <c r="CC317" s="789"/>
      <c r="CD317" s="793"/>
    </row>
    <row r="318" spans="1:82" ht="13.8" x14ac:dyDescent="0.3">
      <c r="A318" s="3"/>
      <c r="B318" s="717">
        <v>7.3481458883466008E-2</v>
      </c>
      <c r="C318" s="8"/>
      <c r="D318" s="21"/>
      <c r="E318" s="21"/>
      <c r="F318" s="21"/>
      <c r="G318" s="21"/>
      <c r="H318" s="21"/>
      <c r="I318" s="21"/>
      <c r="J318" s="21"/>
      <c r="K318" s="21"/>
      <c r="L318" s="21"/>
      <c r="M318" s="1004"/>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K318"/>
      <c r="BL318"/>
      <c r="BM318"/>
      <c r="BN318"/>
      <c r="BO318"/>
      <c r="BP318" s="13"/>
      <c r="BQ318" s="553"/>
      <c r="BR318" s="716"/>
      <c r="BS318" s="716"/>
      <c r="BT318" s="716"/>
      <c r="BU318" s="717"/>
      <c r="BV318" s="717"/>
      <c r="BW318" s="717"/>
      <c r="BY318" s="717"/>
      <c r="CA318" s="756"/>
      <c r="CB318" s="716"/>
      <c r="CC318" s="789"/>
      <c r="CD318" s="793"/>
    </row>
    <row r="319" spans="1:82" ht="13.8" x14ac:dyDescent="0.3">
      <c r="A319" s="3"/>
      <c r="B319" s="717">
        <v>7.3472223589388E-2</v>
      </c>
      <c r="C319" s="8"/>
      <c r="D319" s="21"/>
      <c r="E319" s="21"/>
      <c r="F319" s="21"/>
      <c r="G319" s="21"/>
      <c r="H319" s="21"/>
      <c r="I319" s="21"/>
      <c r="J319" s="21"/>
      <c r="K319" s="21"/>
      <c r="L319" s="21"/>
      <c r="M319" s="1004"/>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K319"/>
      <c r="BL319"/>
      <c r="BM319"/>
      <c r="BN319"/>
      <c r="BO319"/>
      <c r="BP319" s="13"/>
      <c r="BQ319" s="553"/>
      <c r="BR319" s="716"/>
      <c r="BS319" s="716"/>
      <c r="BT319" s="716"/>
      <c r="BU319" s="717"/>
      <c r="BV319" s="717"/>
      <c r="BW319" s="717"/>
      <c r="BY319" s="717"/>
      <c r="CA319" s="756"/>
      <c r="CB319" s="716"/>
      <c r="CC319" s="789"/>
      <c r="CD319" s="793"/>
    </row>
    <row r="320" spans="1:82" ht="13.8" x14ac:dyDescent="0.3">
      <c r="A320" s="3"/>
      <c r="B320" s="717">
        <v>7.3462988295337997E-2</v>
      </c>
      <c r="C320" s="8"/>
      <c r="D320" s="21"/>
      <c r="E320" s="21"/>
      <c r="F320" s="21"/>
      <c r="G320" s="21"/>
      <c r="H320" s="21"/>
      <c r="I320" s="21"/>
      <c r="J320" s="21"/>
      <c r="K320" s="21"/>
      <c r="L320" s="21"/>
      <c r="M320" s="1004"/>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K320"/>
      <c r="BL320"/>
      <c r="BM320"/>
      <c r="BN320"/>
      <c r="BO320"/>
      <c r="BP320" s="13"/>
      <c r="BQ320" s="553"/>
      <c r="BR320" s="716"/>
      <c r="BS320" s="716"/>
      <c r="BT320" s="716"/>
      <c r="BU320" s="717"/>
      <c r="BV320" s="717"/>
      <c r="BW320" s="717"/>
      <c r="BY320" s="717"/>
      <c r="CA320" s="756"/>
      <c r="CB320" s="716"/>
      <c r="CC320" s="789"/>
      <c r="CD320" s="793"/>
    </row>
    <row r="321" spans="1:82" ht="13.8" x14ac:dyDescent="0.3">
      <c r="A321" s="3"/>
      <c r="B321" s="717">
        <v>7.3454050914026001E-2</v>
      </c>
      <c r="C321" s="8"/>
      <c r="D321" s="21"/>
      <c r="E321" s="21"/>
      <c r="F321" s="21"/>
      <c r="G321" s="21"/>
      <c r="H321" s="21"/>
      <c r="I321" s="21"/>
      <c r="J321" s="21"/>
      <c r="K321" s="21"/>
      <c r="L321" s="21"/>
      <c r="M321" s="1004"/>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K321"/>
      <c r="BL321"/>
      <c r="BM321"/>
      <c r="BN321"/>
      <c r="BO321"/>
      <c r="BP321" s="13"/>
      <c r="BQ321" s="553"/>
      <c r="BR321" s="716"/>
      <c r="BS321" s="716"/>
      <c r="BT321" s="716"/>
      <c r="BU321" s="717"/>
      <c r="BV321" s="717"/>
      <c r="BW321" s="717"/>
      <c r="BY321" s="717"/>
      <c r="CA321" s="756"/>
      <c r="CB321" s="716"/>
      <c r="CC321" s="789"/>
      <c r="CD321" s="793"/>
    </row>
    <row r="322" spans="1:82" ht="13.8" x14ac:dyDescent="0.3">
      <c r="A322" s="3"/>
      <c r="B322" s="717">
        <v>7.3444815620030995E-2</v>
      </c>
      <c r="C322" s="8"/>
      <c r="D322" s="21"/>
      <c r="E322" s="21"/>
      <c r="F322" s="21"/>
      <c r="G322" s="21"/>
      <c r="H322" s="21"/>
      <c r="I322" s="21"/>
      <c r="J322" s="21"/>
      <c r="K322" s="21"/>
      <c r="L322" s="21"/>
      <c r="M322" s="1004"/>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K322"/>
      <c r="BL322"/>
      <c r="BM322"/>
      <c r="BN322"/>
      <c r="BO322"/>
      <c r="BP322" s="13"/>
      <c r="BQ322" s="553"/>
      <c r="BR322" s="716"/>
      <c r="BS322" s="716"/>
      <c r="BT322" s="716"/>
      <c r="BU322" s="717"/>
      <c r="BV322" s="717"/>
      <c r="BW322" s="717"/>
      <c r="BY322" s="717"/>
      <c r="CA322" s="756"/>
      <c r="CB322" s="716"/>
      <c r="CC322" s="789"/>
      <c r="CD322" s="793"/>
    </row>
    <row r="323" spans="1:82" ht="13.8" x14ac:dyDescent="0.3">
      <c r="A323" s="3"/>
      <c r="B323" s="717">
        <v>7.3435878238772997E-2</v>
      </c>
      <c r="C323" s="8"/>
      <c r="D323" s="21"/>
      <c r="E323" s="21"/>
      <c r="F323" s="21"/>
      <c r="G323" s="21"/>
      <c r="H323" s="21"/>
      <c r="I323" s="21"/>
      <c r="J323" s="21"/>
      <c r="K323" s="21"/>
      <c r="L323" s="21"/>
      <c r="M323" s="1004"/>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K323"/>
      <c r="BL323"/>
      <c r="BM323"/>
      <c r="BN323"/>
      <c r="BO323"/>
      <c r="BP323" s="13"/>
      <c r="BQ323" s="553"/>
      <c r="BR323" s="716"/>
      <c r="BS323" s="716"/>
      <c r="BT323" s="716"/>
      <c r="BU323" s="717"/>
      <c r="BV323" s="717"/>
      <c r="BW323" s="717"/>
      <c r="BY323" s="717"/>
      <c r="CA323" s="756"/>
      <c r="CB323" s="716"/>
      <c r="CC323" s="789"/>
      <c r="CD323" s="793"/>
    </row>
    <row r="324" spans="1:82" ht="13.8" x14ac:dyDescent="0.3">
      <c r="A324" s="3"/>
      <c r="B324" s="717">
        <v>7.3426642944833004E-2</v>
      </c>
      <c r="C324" s="8"/>
      <c r="D324" s="21"/>
      <c r="E324" s="21"/>
      <c r="F324" s="21"/>
      <c r="G324" s="21"/>
      <c r="H324" s="21"/>
      <c r="I324" s="21"/>
      <c r="J324" s="21"/>
      <c r="K324" s="21"/>
      <c r="L324" s="21"/>
      <c r="M324" s="1004"/>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K324"/>
      <c r="BL324"/>
      <c r="BM324"/>
      <c r="BN324"/>
      <c r="BO324"/>
      <c r="BP324" s="13"/>
      <c r="BQ324" s="553"/>
      <c r="BR324" s="716"/>
      <c r="BS324" s="716"/>
      <c r="BT324" s="716"/>
      <c r="BU324" s="717"/>
      <c r="BV324" s="717"/>
      <c r="BW324" s="717"/>
      <c r="BY324" s="717"/>
      <c r="CA324" s="756"/>
      <c r="CB324" s="716"/>
      <c r="CC324" s="789"/>
      <c r="CD324" s="793"/>
    </row>
    <row r="325" spans="1:82" ht="13.8" x14ac:dyDescent="0.3">
      <c r="A325" s="3"/>
      <c r="B325" s="717">
        <v>7.3417407650922001E-2</v>
      </c>
      <c r="C325" s="8"/>
      <c r="D325" s="21"/>
      <c r="E325" s="21"/>
      <c r="F325" s="21"/>
      <c r="G325" s="21"/>
      <c r="H325" s="21"/>
      <c r="I325" s="21"/>
      <c r="J325" s="21"/>
      <c r="K325" s="21"/>
      <c r="L325" s="21"/>
      <c r="M325" s="1004"/>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K325"/>
      <c r="BL325"/>
      <c r="BM325"/>
      <c r="BN325"/>
      <c r="BO325"/>
      <c r="BP325" s="13"/>
      <c r="BQ325" s="553"/>
      <c r="BR325" s="716"/>
      <c r="BS325" s="716"/>
      <c r="BT325" s="716"/>
      <c r="BU325" s="717"/>
      <c r="BV325" s="717"/>
      <c r="BW325" s="717"/>
      <c r="BY325" s="717"/>
      <c r="CA325" s="756"/>
      <c r="CB325" s="716"/>
      <c r="CC325" s="789"/>
      <c r="CD325" s="793"/>
    </row>
    <row r="326" spans="1:82" ht="13.8" x14ac:dyDescent="0.3">
      <c r="A326" s="3"/>
      <c r="B326" s="717">
        <v>7.3409066095156003E-2</v>
      </c>
      <c r="C326" s="8"/>
      <c r="D326" s="21"/>
      <c r="E326" s="21"/>
      <c r="F326" s="21"/>
      <c r="G326" s="21"/>
      <c r="H326" s="21"/>
      <c r="I326" s="21"/>
      <c r="J326" s="21"/>
      <c r="K326" s="21"/>
      <c r="L326" s="21"/>
      <c r="M326" s="1004"/>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K326"/>
      <c r="BL326"/>
      <c r="BM326"/>
      <c r="BN326"/>
      <c r="BO326"/>
      <c r="BP326" s="13"/>
      <c r="BQ326" s="553"/>
      <c r="BR326" s="716"/>
      <c r="BS326" s="716"/>
      <c r="BT326" s="716"/>
      <c r="BU326" s="717"/>
      <c r="BV326" s="717"/>
      <c r="BW326" s="717"/>
      <c r="BY326" s="717"/>
      <c r="CA326" s="756"/>
      <c r="CB326" s="716"/>
      <c r="CC326" s="789"/>
      <c r="CD326" s="793"/>
    </row>
    <row r="327" spans="1:82" ht="13.8" x14ac:dyDescent="0.3">
      <c r="A327" s="3"/>
      <c r="B327" s="717">
        <v>7.3399830801297999E-2</v>
      </c>
      <c r="C327" s="8"/>
      <c r="D327" s="21"/>
      <c r="E327" s="21"/>
      <c r="F327" s="21"/>
      <c r="G327" s="21"/>
      <c r="H327" s="21"/>
      <c r="I327" s="21"/>
      <c r="J327" s="21"/>
      <c r="K327" s="21"/>
      <c r="L327" s="21"/>
      <c r="M327" s="1004"/>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K327"/>
      <c r="BL327"/>
      <c r="BM327"/>
      <c r="BN327"/>
      <c r="BO327"/>
      <c r="BP327" s="13"/>
      <c r="BQ327" s="553"/>
      <c r="BR327" s="716"/>
      <c r="BS327" s="716"/>
      <c r="BT327" s="716"/>
      <c r="BU327" s="717"/>
      <c r="BV327" s="717"/>
      <c r="BW327" s="717"/>
      <c r="BY327" s="717"/>
      <c r="CA327" s="756"/>
      <c r="CB327" s="716"/>
      <c r="CC327" s="789"/>
      <c r="CD327" s="793"/>
    </row>
    <row r="328" spans="1:82" ht="13.8" x14ac:dyDescent="0.3">
      <c r="A328" s="3"/>
      <c r="B328" s="717">
        <v>7.3390893420172007E-2</v>
      </c>
      <c r="C328" s="8"/>
      <c r="D328" s="21"/>
      <c r="E328" s="21"/>
      <c r="F328" s="21"/>
      <c r="G328" s="21"/>
      <c r="H328" s="21"/>
      <c r="I328" s="21"/>
      <c r="J328" s="21"/>
      <c r="K328" s="21"/>
      <c r="L328" s="21"/>
      <c r="M328" s="1004"/>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K328"/>
      <c r="BL328"/>
      <c r="BM328"/>
      <c r="BN328"/>
      <c r="BO328"/>
      <c r="BP328" s="13"/>
      <c r="BQ328" s="553"/>
      <c r="BR328" s="716"/>
      <c r="BS328" s="716"/>
      <c r="BT328" s="716"/>
      <c r="BU328" s="717"/>
      <c r="BV328" s="717"/>
      <c r="BW328" s="717"/>
      <c r="BY328" s="717"/>
      <c r="CA328" s="756"/>
      <c r="CB328" s="716"/>
      <c r="CC328" s="789"/>
      <c r="CD328" s="793"/>
    </row>
    <row r="329" spans="1:82" ht="13.8" x14ac:dyDescent="0.3">
      <c r="A329" s="3"/>
      <c r="B329" s="717">
        <v>7.338165812637E-2</v>
      </c>
      <c r="C329" s="8"/>
      <c r="D329" s="21"/>
      <c r="E329" s="21"/>
      <c r="F329" s="21"/>
      <c r="G329" s="21"/>
      <c r="H329" s="21"/>
      <c r="I329" s="21"/>
      <c r="J329" s="21"/>
      <c r="K329" s="21"/>
      <c r="L329" s="21"/>
      <c r="M329" s="1004"/>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K329"/>
      <c r="BL329"/>
      <c r="BM329"/>
      <c r="BN329"/>
      <c r="BO329"/>
      <c r="BP329" s="13"/>
      <c r="BQ329" s="553"/>
      <c r="BR329" s="716"/>
      <c r="BS329" s="716"/>
      <c r="BT329" s="716"/>
      <c r="BU329" s="717"/>
      <c r="BV329" s="717"/>
      <c r="BW329" s="717"/>
      <c r="BY329" s="717"/>
      <c r="CA329" s="756"/>
      <c r="CB329" s="716"/>
      <c r="CC329" s="789"/>
      <c r="CD329" s="793"/>
    </row>
    <row r="330" spans="1:82" ht="13.8" x14ac:dyDescent="0.3">
      <c r="A330" s="3"/>
      <c r="B330" s="717">
        <v>7.3372720745298006E-2</v>
      </c>
      <c r="C330" s="8"/>
      <c r="D330" s="21"/>
      <c r="E330" s="21"/>
      <c r="F330" s="21"/>
      <c r="G330" s="21"/>
      <c r="H330" s="21"/>
      <c r="I330" s="21"/>
      <c r="J330" s="21"/>
      <c r="K330" s="21"/>
      <c r="L330" s="21"/>
      <c r="M330" s="1004"/>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K330"/>
      <c r="BL330"/>
      <c r="BM330"/>
      <c r="BN330"/>
      <c r="BO330"/>
      <c r="BP330" s="13"/>
      <c r="BQ330" s="553"/>
      <c r="BR330" s="716"/>
      <c r="BS330" s="716"/>
      <c r="BT330" s="716"/>
      <c r="BU330" s="717"/>
      <c r="BV330" s="717"/>
      <c r="BW330" s="717"/>
      <c r="BY330" s="717"/>
      <c r="CA330" s="756"/>
      <c r="CB330" s="716"/>
      <c r="CC330" s="789"/>
      <c r="CD330" s="793"/>
    </row>
    <row r="331" spans="1:82" ht="13.8" x14ac:dyDescent="0.3">
      <c r="A331" s="3"/>
      <c r="B331" s="717">
        <v>7.3363485451550997E-2</v>
      </c>
      <c r="C331" s="8"/>
      <c r="D331" s="21"/>
      <c r="E331" s="21"/>
      <c r="F331" s="21"/>
      <c r="G331" s="21"/>
      <c r="H331" s="21"/>
      <c r="I331" s="21"/>
      <c r="J331" s="21"/>
      <c r="K331" s="21"/>
      <c r="L331" s="21"/>
      <c r="M331" s="1004"/>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K331"/>
      <c r="BL331"/>
      <c r="BM331"/>
      <c r="BN331"/>
      <c r="BO331"/>
      <c r="BP331" s="13"/>
      <c r="BQ331" s="553"/>
      <c r="BR331" s="716"/>
      <c r="BS331" s="716"/>
      <c r="BT331" s="716"/>
      <c r="BU331" s="717"/>
      <c r="BV331" s="717"/>
      <c r="BW331" s="717"/>
      <c r="BY331" s="717"/>
      <c r="CA331" s="756"/>
      <c r="CB331" s="716"/>
      <c r="CC331" s="789"/>
      <c r="CD331" s="793"/>
    </row>
    <row r="332" spans="1:82" ht="13.8" x14ac:dyDescent="0.3">
      <c r="A332" s="3"/>
      <c r="B332" s="717">
        <v>7.3354250157832993E-2</v>
      </c>
      <c r="C332" s="8"/>
      <c r="D332" s="21"/>
      <c r="E332" s="21"/>
      <c r="F332" s="21"/>
      <c r="G332" s="21"/>
      <c r="H332" s="21"/>
      <c r="I332" s="21"/>
      <c r="J332" s="21"/>
      <c r="K332" s="21"/>
      <c r="L332" s="21"/>
      <c r="M332" s="1004"/>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K332"/>
      <c r="BL332"/>
      <c r="BM332"/>
      <c r="BN332"/>
      <c r="BO332"/>
      <c r="BP332" s="13"/>
      <c r="BQ332" s="553"/>
      <c r="BR332" s="716"/>
      <c r="BS332" s="716"/>
      <c r="BT332" s="716"/>
      <c r="BU332" s="717"/>
      <c r="BV332" s="717"/>
      <c r="BW332" s="717"/>
      <c r="BY332" s="717"/>
      <c r="CA332" s="756"/>
      <c r="CB332" s="716"/>
      <c r="CC332" s="789"/>
      <c r="CD332" s="793"/>
    </row>
    <row r="333" spans="1:82" ht="13.8" x14ac:dyDescent="0.3">
      <c r="A333" s="3"/>
      <c r="B333" s="717">
        <v>7.334531277684099E-2</v>
      </c>
      <c r="C333" s="8"/>
      <c r="D333" s="21"/>
      <c r="E333" s="21"/>
      <c r="F333" s="21"/>
      <c r="G333" s="21"/>
      <c r="H333" s="21"/>
      <c r="I333" s="21"/>
      <c r="J333" s="21"/>
      <c r="K333" s="21"/>
      <c r="L333" s="21"/>
      <c r="M333" s="1004"/>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K333"/>
      <c r="BL333"/>
      <c r="BM333"/>
      <c r="BN333"/>
      <c r="BO333"/>
      <c r="BP333" s="13"/>
      <c r="BQ333" s="553"/>
      <c r="BR333" s="716"/>
      <c r="BS333" s="716"/>
      <c r="BT333" s="716"/>
      <c r="BU333" s="717"/>
      <c r="BV333" s="717"/>
      <c r="BW333" s="717"/>
      <c r="BY333" s="717"/>
      <c r="CA333" s="756"/>
      <c r="CB333" s="716"/>
      <c r="CC333" s="789"/>
      <c r="CD333" s="793"/>
    </row>
    <row r="334" spans="1:82" ht="13.8" x14ac:dyDescent="0.3">
      <c r="A334" s="3"/>
      <c r="B334" s="717">
        <v>7.3336077483177997E-2</v>
      </c>
      <c r="C334" s="8"/>
      <c r="D334" s="21"/>
      <c r="E334" s="21"/>
      <c r="F334" s="21"/>
      <c r="G334" s="21"/>
      <c r="H334" s="21"/>
      <c r="I334" s="21"/>
      <c r="J334" s="21"/>
      <c r="K334" s="21"/>
      <c r="L334" s="21"/>
      <c r="M334" s="1004"/>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K334"/>
      <c r="BL334"/>
      <c r="BM334"/>
      <c r="BN334"/>
      <c r="BO334"/>
      <c r="BP334" s="13"/>
      <c r="BQ334" s="553"/>
      <c r="BR334" s="716"/>
      <c r="BS334" s="716"/>
      <c r="BT334" s="716"/>
      <c r="BU334" s="717"/>
      <c r="BV334" s="717"/>
      <c r="BW334" s="717"/>
      <c r="BY334" s="717"/>
      <c r="CA334" s="756"/>
      <c r="CB334" s="716"/>
      <c r="CC334" s="789"/>
      <c r="CD334" s="793"/>
    </row>
    <row r="335" spans="1:82" ht="13.8" x14ac:dyDescent="0.3">
      <c r="A335" s="3"/>
      <c r="B335" s="717">
        <v>7.3327140102240007E-2</v>
      </c>
      <c r="C335" s="8"/>
      <c r="D335" s="21"/>
      <c r="E335" s="21"/>
      <c r="F335" s="21"/>
      <c r="G335" s="21"/>
      <c r="H335" s="21"/>
      <c r="I335" s="21"/>
      <c r="J335" s="21"/>
      <c r="K335" s="21"/>
      <c r="L335" s="21"/>
      <c r="M335" s="1004"/>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K335"/>
      <c r="BL335"/>
      <c r="BM335"/>
      <c r="BN335"/>
      <c r="BO335"/>
      <c r="BP335" s="13"/>
      <c r="BQ335" s="553"/>
      <c r="BR335" s="716"/>
      <c r="BS335" s="716"/>
      <c r="BT335" s="716"/>
      <c r="BU335" s="717"/>
      <c r="BV335" s="717"/>
      <c r="BW335" s="717"/>
      <c r="BY335" s="717"/>
      <c r="CA335" s="756"/>
      <c r="CB335" s="716"/>
      <c r="CC335" s="789"/>
      <c r="CD335" s="793"/>
    </row>
    <row r="336" spans="1:82" ht="13.8" x14ac:dyDescent="0.3">
      <c r="A336" s="3"/>
      <c r="B336" s="717">
        <v>7.3317904808633011E-2</v>
      </c>
      <c r="C336" s="8"/>
      <c r="D336" s="21"/>
      <c r="E336" s="21"/>
      <c r="F336" s="21"/>
      <c r="G336" s="21"/>
      <c r="H336" s="21"/>
      <c r="I336" s="21"/>
      <c r="J336" s="21"/>
      <c r="K336" s="21"/>
      <c r="L336" s="21"/>
      <c r="M336" s="1004"/>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K336"/>
      <c r="BL336"/>
      <c r="BM336"/>
      <c r="BN336"/>
      <c r="BO336"/>
      <c r="BP336" s="13"/>
      <c r="BQ336" s="553"/>
      <c r="BR336" s="716"/>
      <c r="BS336" s="716"/>
      <c r="BT336" s="716"/>
      <c r="BU336" s="717"/>
      <c r="BV336" s="717"/>
      <c r="BW336" s="717"/>
      <c r="BY336" s="717"/>
      <c r="CA336" s="756"/>
      <c r="CB336" s="716"/>
      <c r="CC336" s="789"/>
      <c r="CD336" s="793"/>
    </row>
    <row r="337" spans="1:82" ht="13.8" x14ac:dyDescent="0.3">
      <c r="A337" s="3"/>
      <c r="B337" s="717">
        <v>7.3308669515052993E-2</v>
      </c>
      <c r="C337" s="8"/>
      <c r="D337" s="21"/>
      <c r="E337" s="21"/>
      <c r="F337" s="21"/>
      <c r="G337" s="21"/>
      <c r="H337" s="21"/>
      <c r="I337" s="21"/>
      <c r="J337" s="21"/>
      <c r="K337" s="21"/>
      <c r="L337" s="21"/>
      <c r="M337" s="1004"/>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K337"/>
      <c r="BL337"/>
      <c r="BM337"/>
      <c r="BN337"/>
      <c r="BO337"/>
      <c r="BP337" s="13"/>
      <c r="BQ337" s="553"/>
      <c r="BR337" s="716"/>
      <c r="BS337" s="716"/>
      <c r="BT337" s="716"/>
      <c r="BU337" s="717"/>
      <c r="BV337" s="717"/>
      <c r="BW337" s="717"/>
      <c r="BY337" s="717"/>
      <c r="CA337" s="756"/>
      <c r="CB337" s="716"/>
      <c r="CC337" s="789"/>
      <c r="CD337" s="793"/>
    </row>
    <row r="338" spans="1:82" ht="13.8" x14ac:dyDescent="0.3">
      <c r="A338" s="3"/>
      <c r="B338" s="717">
        <v>7.3300030046891007E-2</v>
      </c>
      <c r="C338" s="8"/>
      <c r="D338" s="21"/>
      <c r="E338" s="21"/>
      <c r="F338" s="21"/>
      <c r="G338" s="21"/>
      <c r="H338" s="21"/>
      <c r="I338" s="21"/>
      <c r="J338" s="21"/>
      <c r="K338" s="21"/>
      <c r="L338" s="21"/>
      <c r="M338" s="1004"/>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K338"/>
      <c r="BL338"/>
      <c r="BM338"/>
      <c r="BN338"/>
      <c r="BO338"/>
      <c r="BP338" s="13"/>
      <c r="BQ338" s="553"/>
      <c r="BR338" s="716"/>
      <c r="BS338" s="716"/>
      <c r="BT338" s="716"/>
      <c r="BU338" s="717"/>
      <c r="BV338" s="717"/>
      <c r="BW338" s="717"/>
      <c r="BY338" s="717"/>
      <c r="CA338" s="756"/>
      <c r="CB338" s="716"/>
      <c r="CC338" s="789"/>
      <c r="CD338" s="793"/>
    </row>
    <row r="339" spans="1:82" ht="13.8" x14ac:dyDescent="0.3">
      <c r="A339" s="3"/>
      <c r="B339" s="717">
        <v>7.3290794753366015E-2</v>
      </c>
      <c r="C339" s="8"/>
      <c r="D339" s="21"/>
      <c r="E339" s="21"/>
      <c r="F339" s="21"/>
      <c r="G339" s="21"/>
      <c r="H339" s="21"/>
      <c r="I339" s="21"/>
      <c r="J339" s="21"/>
      <c r="K339" s="21"/>
      <c r="L339" s="21"/>
      <c r="M339" s="1004"/>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K339"/>
      <c r="BL339"/>
      <c r="BM339"/>
      <c r="BN339"/>
      <c r="BO339"/>
      <c r="BP339" s="13"/>
      <c r="BQ339" s="553"/>
      <c r="BR339" s="716"/>
      <c r="BS339" s="716"/>
      <c r="BT339" s="716"/>
      <c r="BU339" s="717"/>
      <c r="BV339" s="717"/>
      <c r="BW339" s="717"/>
      <c r="BY339" s="717"/>
      <c r="CA339" s="756"/>
      <c r="CB339" s="716"/>
      <c r="CC339" s="789"/>
      <c r="CD339" s="793"/>
    </row>
    <row r="340" spans="1:82" ht="13.8" x14ac:dyDescent="0.3">
      <c r="A340" s="3"/>
      <c r="B340" s="717">
        <v>7.3281857372562001E-2</v>
      </c>
      <c r="C340" s="8"/>
      <c r="D340" s="21"/>
      <c r="E340" s="21"/>
      <c r="F340" s="21"/>
      <c r="G340" s="21"/>
      <c r="H340" s="21"/>
      <c r="I340" s="21"/>
      <c r="J340" s="21"/>
      <c r="K340" s="21"/>
      <c r="L340" s="21"/>
      <c r="M340" s="1004"/>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K340"/>
      <c r="BL340"/>
      <c r="BM340"/>
      <c r="BN340"/>
      <c r="BO340"/>
      <c r="BP340" s="13"/>
      <c r="BQ340" s="553"/>
      <c r="BR340" s="716"/>
      <c r="BS340" s="716"/>
      <c r="BT340" s="716"/>
      <c r="BU340" s="717"/>
      <c r="BV340" s="717"/>
      <c r="BW340" s="717"/>
      <c r="BY340" s="717"/>
      <c r="CA340" s="756"/>
      <c r="CB340" s="716"/>
      <c r="CC340" s="789"/>
      <c r="CD340" s="793"/>
    </row>
    <row r="341" spans="1:82" ht="13.8" x14ac:dyDescent="0.3">
      <c r="A341" s="3"/>
      <c r="B341" s="717">
        <v>7.3272622079091992E-2</v>
      </c>
      <c r="C341" s="8"/>
      <c r="D341" s="21"/>
      <c r="E341" s="21"/>
      <c r="F341" s="21"/>
      <c r="G341" s="21"/>
      <c r="H341" s="21"/>
      <c r="I341" s="21"/>
      <c r="J341" s="21"/>
      <c r="K341" s="21"/>
      <c r="L341" s="21"/>
      <c r="M341" s="1004"/>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K341"/>
      <c r="BL341"/>
      <c r="BM341"/>
      <c r="BN341"/>
      <c r="BO341"/>
      <c r="BP341" s="13"/>
      <c r="BQ341" s="553"/>
      <c r="BR341" s="716"/>
      <c r="BS341" s="716"/>
      <c r="BT341" s="716"/>
      <c r="BU341" s="717"/>
      <c r="BV341" s="717"/>
      <c r="BW341" s="717"/>
      <c r="BY341" s="717"/>
      <c r="CA341" s="756"/>
      <c r="CB341" s="716"/>
      <c r="CC341" s="789"/>
      <c r="CD341" s="793"/>
    </row>
    <row r="342" spans="1:82" ht="13.8" x14ac:dyDescent="0.3">
      <c r="A342" s="3"/>
      <c r="B342" s="717">
        <v>7.3263684698341991E-2</v>
      </c>
      <c r="C342" s="8"/>
      <c r="D342" s="21"/>
      <c r="E342" s="21"/>
      <c r="F342" s="21"/>
      <c r="G342" s="21"/>
      <c r="H342" s="21"/>
      <c r="I342" s="21"/>
      <c r="J342" s="21"/>
      <c r="K342" s="21"/>
      <c r="L342" s="21"/>
      <c r="M342" s="1004"/>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K342"/>
      <c r="BL342"/>
      <c r="BM342"/>
      <c r="BN342"/>
      <c r="BO342"/>
      <c r="BP342" s="13"/>
      <c r="BQ342" s="553"/>
      <c r="BR342" s="716"/>
      <c r="BS342" s="716"/>
      <c r="BT342" s="716"/>
      <c r="BU342" s="717"/>
      <c r="BV342" s="717"/>
      <c r="BW342" s="717"/>
      <c r="BY342" s="717"/>
      <c r="CA342" s="756"/>
      <c r="CB342" s="716"/>
      <c r="CC342" s="789"/>
      <c r="CD342" s="793"/>
    </row>
    <row r="343" spans="1:82" ht="13.8" x14ac:dyDescent="0.3">
      <c r="A343" s="3"/>
      <c r="B343" s="717">
        <v>7.3254449404927008E-2</v>
      </c>
      <c r="C343" s="8"/>
      <c r="D343" s="21"/>
      <c r="E343" s="21"/>
      <c r="F343" s="21"/>
      <c r="G343" s="21"/>
      <c r="H343" s="21"/>
      <c r="I343" s="21"/>
      <c r="J343" s="21"/>
      <c r="K343" s="21"/>
      <c r="L343" s="21"/>
      <c r="M343" s="1004"/>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K343"/>
      <c r="BL343"/>
      <c r="BM343"/>
      <c r="BN343"/>
      <c r="BO343"/>
      <c r="BP343" s="13"/>
      <c r="BQ343" s="553"/>
      <c r="BR343" s="716"/>
      <c r="BS343" s="716"/>
      <c r="BT343" s="716"/>
      <c r="BU343" s="717"/>
      <c r="BV343" s="717"/>
      <c r="BW343" s="717"/>
      <c r="BY343" s="717"/>
      <c r="CA343" s="756"/>
      <c r="CB343" s="716"/>
      <c r="CC343" s="789"/>
      <c r="CD343" s="793"/>
    </row>
    <row r="344" spans="1:82" ht="13.8" x14ac:dyDescent="0.3">
      <c r="A344" s="3"/>
      <c r="B344" s="717">
        <v>7.3245214111541002E-2</v>
      </c>
      <c r="C344" s="8"/>
      <c r="D344" s="21"/>
      <c r="E344" s="21"/>
      <c r="F344" s="21"/>
      <c r="G344" s="21"/>
      <c r="H344" s="21"/>
      <c r="I344" s="21"/>
      <c r="J344" s="21"/>
      <c r="K344" s="21"/>
      <c r="L344" s="21"/>
      <c r="M344" s="1004"/>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K344"/>
      <c r="BL344"/>
      <c r="BM344"/>
      <c r="BN344"/>
      <c r="BO344"/>
      <c r="BP344" s="13"/>
      <c r="BQ344" s="553"/>
      <c r="BR344" s="716"/>
      <c r="BS344" s="716"/>
      <c r="BT344" s="716"/>
      <c r="BU344" s="717"/>
      <c r="BV344" s="717"/>
      <c r="BW344" s="717"/>
      <c r="BY344" s="717"/>
      <c r="CA344" s="756"/>
      <c r="CB344" s="716"/>
      <c r="CC344" s="789"/>
      <c r="CD344" s="793"/>
    </row>
    <row r="345" spans="1:82" ht="13.8" x14ac:dyDescent="0.3">
      <c r="A345" s="3"/>
      <c r="B345" s="717">
        <v>7.3236276730872005E-2</v>
      </c>
      <c r="C345" s="8"/>
      <c r="D345" s="21"/>
      <c r="E345" s="21"/>
      <c r="F345" s="21"/>
      <c r="G345" s="21"/>
      <c r="H345" s="21"/>
      <c r="I345" s="21"/>
      <c r="J345" s="21"/>
      <c r="K345" s="21"/>
      <c r="L345" s="21"/>
      <c r="M345" s="1004"/>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K345"/>
      <c r="BL345"/>
      <c r="BM345"/>
      <c r="BN345"/>
      <c r="BO345"/>
      <c r="BP345" s="13"/>
      <c r="BQ345" s="553"/>
      <c r="BR345" s="716"/>
      <c r="BS345" s="716"/>
      <c r="BT345" s="716"/>
      <c r="BU345" s="717"/>
      <c r="BV345" s="717"/>
      <c r="BW345" s="717"/>
      <c r="BY345" s="717"/>
      <c r="CA345" s="756"/>
      <c r="CB345" s="716"/>
      <c r="CC345" s="789"/>
      <c r="CD345" s="793"/>
    </row>
    <row r="346" spans="1:82" ht="13.8" x14ac:dyDescent="0.3">
      <c r="A346" s="3"/>
      <c r="B346" s="717">
        <v>7.322704143754101E-2</v>
      </c>
      <c r="C346" s="8"/>
      <c r="D346" s="21"/>
      <c r="E346" s="21"/>
      <c r="F346" s="21"/>
      <c r="G346" s="21"/>
      <c r="H346" s="21"/>
      <c r="I346" s="21"/>
      <c r="J346" s="21"/>
      <c r="K346" s="21"/>
      <c r="L346" s="21"/>
      <c r="M346" s="1004"/>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K346"/>
      <c r="BL346"/>
      <c r="BM346"/>
      <c r="BN346"/>
      <c r="BO346"/>
      <c r="BP346" s="13"/>
      <c r="BQ346" s="553"/>
      <c r="BR346" s="716"/>
      <c r="BS346" s="716"/>
      <c r="BT346" s="716"/>
      <c r="BU346" s="717"/>
      <c r="BV346" s="717"/>
      <c r="BW346" s="717"/>
      <c r="BY346" s="717"/>
      <c r="CA346" s="756"/>
      <c r="CB346" s="716"/>
      <c r="CC346" s="789"/>
      <c r="CD346" s="793"/>
    </row>
    <row r="347" spans="1:82" ht="13.8" x14ac:dyDescent="0.3">
      <c r="A347" s="3"/>
      <c r="B347" s="717">
        <v>7.3218104056925012E-2</v>
      </c>
      <c r="C347" s="8"/>
      <c r="D347" s="21"/>
      <c r="E347" s="21"/>
      <c r="F347" s="21"/>
      <c r="G347" s="21"/>
      <c r="H347" s="21"/>
      <c r="I347" s="21"/>
      <c r="J347" s="21"/>
      <c r="K347" s="21"/>
      <c r="L347" s="21"/>
      <c r="M347" s="1004"/>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K347"/>
      <c r="BL347"/>
      <c r="BM347"/>
      <c r="BN347"/>
      <c r="BO347"/>
      <c r="BP347" s="13"/>
      <c r="BQ347" s="553"/>
      <c r="BR347" s="716"/>
      <c r="BS347" s="716"/>
      <c r="BT347" s="716"/>
      <c r="BU347" s="717"/>
      <c r="BV347" s="717"/>
      <c r="BW347" s="717"/>
      <c r="BY347" s="717"/>
      <c r="CA347" s="756"/>
      <c r="CB347" s="716"/>
      <c r="CC347" s="789"/>
      <c r="CD347" s="793"/>
    </row>
    <row r="348" spans="1:82" ht="13.8" x14ac:dyDescent="0.3">
      <c r="A348" s="3"/>
      <c r="B348" s="717">
        <v>7.3208868763650001E-2</v>
      </c>
      <c r="C348" s="8"/>
      <c r="D348" s="21"/>
      <c r="E348" s="21"/>
      <c r="F348" s="21"/>
      <c r="G348" s="21"/>
      <c r="H348" s="21"/>
      <c r="I348" s="21"/>
      <c r="J348" s="21"/>
      <c r="K348" s="21"/>
      <c r="L348" s="21"/>
      <c r="M348" s="1004"/>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K348"/>
      <c r="BL348"/>
      <c r="BM348"/>
      <c r="BN348"/>
      <c r="BO348"/>
      <c r="BP348" s="13"/>
      <c r="BQ348" s="553"/>
      <c r="BR348" s="716"/>
      <c r="BS348" s="716"/>
      <c r="BT348" s="716"/>
      <c r="BU348" s="717"/>
      <c r="BV348" s="717"/>
      <c r="BW348" s="717"/>
      <c r="BY348" s="717"/>
      <c r="CA348" s="756"/>
      <c r="CB348" s="716"/>
      <c r="CC348" s="789"/>
      <c r="CD348" s="793"/>
    </row>
    <row r="349" spans="1:82" ht="13.8" x14ac:dyDescent="0.3">
      <c r="A349" s="3"/>
      <c r="B349" s="717">
        <v>7.3199633470401995E-2</v>
      </c>
      <c r="C349" s="8"/>
      <c r="D349" s="21"/>
      <c r="E349" s="21"/>
      <c r="F349" s="21"/>
      <c r="G349" s="21"/>
      <c r="H349" s="21"/>
      <c r="I349" s="21"/>
      <c r="J349" s="21"/>
      <c r="K349" s="21"/>
      <c r="L349" s="21"/>
      <c r="M349" s="1004"/>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K349"/>
      <c r="BL349"/>
      <c r="BM349"/>
      <c r="BN349"/>
      <c r="BO349"/>
      <c r="BP349" s="13"/>
      <c r="BQ349" s="553"/>
      <c r="BR349" s="716"/>
      <c r="BS349" s="716"/>
      <c r="BT349" s="716"/>
      <c r="BU349" s="717"/>
      <c r="BV349" s="717"/>
      <c r="BW349" s="717"/>
      <c r="BY349" s="717"/>
      <c r="CA349" s="756"/>
      <c r="CB349" s="716"/>
      <c r="CC349" s="789"/>
      <c r="CD349" s="793"/>
    </row>
    <row r="350" spans="1:82" ht="13.8" x14ac:dyDescent="0.3">
      <c r="A350" s="3"/>
      <c r="B350" s="717">
        <v>7.3191291915236004E-2</v>
      </c>
      <c r="C350" s="8"/>
      <c r="D350" s="21"/>
      <c r="E350" s="21"/>
      <c r="F350" s="21"/>
      <c r="G350" s="21"/>
      <c r="H350" s="21"/>
      <c r="I350" s="21"/>
      <c r="J350" s="21"/>
      <c r="K350" s="21"/>
      <c r="L350" s="21"/>
      <c r="M350" s="1004"/>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K350"/>
      <c r="BL350"/>
      <c r="BM350"/>
      <c r="BN350"/>
      <c r="BO350"/>
      <c r="BP350" s="13"/>
      <c r="BQ350" s="553"/>
      <c r="BR350" s="716"/>
      <c r="BS350" s="716"/>
      <c r="BT350" s="716"/>
      <c r="BU350" s="717"/>
      <c r="BV350" s="717"/>
      <c r="BW350" s="717"/>
      <c r="BY350" s="717"/>
      <c r="CA350" s="756"/>
      <c r="CB350" s="716"/>
      <c r="CC350" s="789"/>
      <c r="CD350" s="793"/>
    </row>
    <row r="351" spans="1:82" ht="13.8" x14ac:dyDescent="0.3">
      <c r="A351" s="3"/>
      <c r="B351" s="717">
        <v>7.3182056622041997E-2</v>
      </c>
      <c r="C351" s="8"/>
      <c r="D351" s="21"/>
      <c r="E351" s="21"/>
      <c r="F351" s="21"/>
      <c r="G351" s="21"/>
      <c r="H351" s="21"/>
      <c r="I351" s="21"/>
      <c r="J351" s="21"/>
      <c r="K351" s="21"/>
      <c r="L351" s="21"/>
      <c r="M351" s="1004"/>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K351"/>
      <c r="BL351"/>
      <c r="BM351"/>
      <c r="BN351"/>
      <c r="BO351"/>
      <c r="BP351" s="13"/>
      <c r="BQ351" s="553"/>
      <c r="BR351" s="716"/>
      <c r="BS351" s="716"/>
      <c r="BT351" s="716"/>
      <c r="BU351" s="717"/>
      <c r="BV351" s="717"/>
      <c r="BW351" s="717"/>
      <c r="BY351" s="717"/>
      <c r="CA351" s="756"/>
      <c r="CB351" s="716"/>
      <c r="CC351" s="789"/>
      <c r="CD351" s="793"/>
    </row>
    <row r="352" spans="1:82" ht="13.8" x14ac:dyDescent="0.3">
      <c r="A352" s="3"/>
      <c r="B352" s="717">
        <v>7.3173119241559004E-2</v>
      </c>
      <c r="C352" s="8"/>
      <c r="D352" s="21"/>
      <c r="E352" s="21"/>
      <c r="F352" s="21"/>
      <c r="G352" s="21"/>
      <c r="H352" s="21"/>
      <c r="I352" s="21"/>
      <c r="J352" s="21"/>
      <c r="K352" s="21"/>
      <c r="L352" s="21"/>
      <c r="M352" s="1004"/>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K352"/>
      <c r="BL352"/>
      <c r="BM352"/>
      <c r="BN352"/>
      <c r="BO352"/>
      <c r="BP352" s="13"/>
      <c r="BQ352" s="553"/>
      <c r="BR352" s="716"/>
      <c r="BS352" s="716"/>
      <c r="BT352" s="716"/>
      <c r="BU352" s="717"/>
      <c r="BV352" s="717"/>
      <c r="BW352" s="717"/>
      <c r="BY352" s="717"/>
      <c r="CA352" s="756"/>
      <c r="CB352" s="716"/>
      <c r="CC352" s="789"/>
      <c r="CD352" s="793"/>
    </row>
    <row r="353" spans="1:82" ht="13.8" x14ac:dyDescent="0.3">
      <c r="A353" s="3"/>
      <c r="B353" s="717">
        <v>7.3163883948421007E-2</v>
      </c>
      <c r="C353" s="8"/>
      <c r="D353" s="21"/>
      <c r="E353" s="21"/>
      <c r="F353" s="21"/>
      <c r="G353" s="21"/>
      <c r="H353" s="21"/>
      <c r="I353" s="21"/>
      <c r="J353" s="21"/>
      <c r="K353" s="21"/>
      <c r="L353" s="21"/>
      <c r="M353" s="1004"/>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K353"/>
      <c r="BL353"/>
      <c r="BM353"/>
      <c r="BN353"/>
      <c r="BO353"/>
      <c r="BP353" s="13"/>
      <c r="BQ353" s="553"/>
      <c r="BR353" s="716"/>
      <c r="BS353" s="716"/>
      <c r="BT353" s="716"/>
      <c r="BU353" s="717"/>
      <c r="BV353" s="717"/>
      <c r="BW353" s="717"/>
      <c r="BY353" s="717"/>
      <c r="CA353" s="756"/>
      <c r="CB353" s="716"/>
      <c r="CC353" s="789"/>
      <c r="CD353" s="793"/>
    </row>
    <row r="354" spans="1:82" ht="13.8" x14ac:dyDescent="0.3">
      <c r="A354" s="3"/>
      <c r="B354" s="717">
        <v>7.3154946567999993E-2</v>
      </c>
      <c r="C354" s="8"/>
      <c r="D354" s="21"/>
      <c r="E354" s="21"/>
      <c r="F354" s="21"/>
      <c r="G354" s="21"/>
      <c r="H354" s="21"/>
      <c r="I354" s="21"/>
      <c r="J354" s="21"/>
      <c r="K354" s="21"/>
      <c r="L354" s="21"/>
      <c r="M354" s="1004"/>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K354"/>
      <c r="BL354"/>
      <c r="BM354"/>
      <c r="BN354"/>
      <c r="BO354"/>
      <c r="BP354" s="13"/>
      <c r="BQ354" s="553"/>
      <c r="BR354" s="716"/>
      <c r="BS354" s="716"/>
      <c r="BT354" s="716"/>
      <c r="BU354" s="717"/>
      <c r="BV354" s="717"/>
      <c r="BW354" s="717"/>
      <c r="BY354" s="717"/>
      <c r="CA354" s="756"/>
      <c r="CB354" s="716"/>
      <c r="CC354" s="789"/>
      <c r="CD354" s="793"/>
    </row>
    <row r="355" spans="1:82" ht="13.8" x14ac:dyDescent="0.3">
      <c r="A355" s="3"/>
      <c r="B355" s="717">
        <v>7.3145711274909E-2</v>
      </c>
      <c r="C355" s="8"/>
      <c r="D355" s="21"/>
      <c r="E355" s="21"/>
      <c r="F355" s="21"/>
      <c r="G355" s="21"/>
      <c r="H355" s="21"/>
      <c r="I355" s="21"/>
      <c r="J355" s="21"/>
      <c r="K355" s="21"/>
      <c r="L355" s="21"/>
      <c r="M355" s="1004"/>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K355"/>
      <c r="BL355"/>
      <c r="BM355"/>
      <c r="BN355"/>
      <c r="BO355"/>
      <c r="BP355" s="13"/>
      <c r="BQ355" s="553"/>
      <c r="BR355" s="716"/>
      <c r="BS355" s="716"/>
      <c r="BT355" s="716"/>
      <c r="BU355" s="717"/>
      <c r="BV355" s="717"/>
      <c r="BW355" s="717"/>
      <c r="BY355" s="717"/>
      <c r="CA355" s="756"/>
      <c r="CB355" s="716"/>
      <c r="CC355" s="789"/>
      <c r="CD355" s="793"/>
    </row>
    <row r="356" spans="1:82" ht="13.8" x14ac:dyDescent="0.3">
      <c r="A356" s="3"/>
      <c r="B356" s="717">
        <v>7.3136475981853993E-2</v>
      </c>
      <c r="C356" s="8"/>
      <c r="D356" s="21"/>
      <c r="E356" s="21"/>
      <c r="F356" s="21"/>
      <c r="G356" s="21"/>
      <c r="H356" s="21"/>
      <c r="I356" s="21"/>
      <c r="J356" s="21"/>
      <c r="K356" s="21"/>
      <c r="L356" s="21"/>
      <c r="M356" s="1004"/>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K356"/>
      <c r="BL356"/>
      <c r="BM356"/>
      <c r="BN356"/>
      <c r="BO356"/>
      <c r="BP356" s="13"/>
      <c r="BQ356" s="553"/>
      <c r="BR356" s="716"/>
      <c r="BS356" s="716"/>
      <c r="BT356" s="716"/>
      <c r="BU356" s="717"/>
      <c r="BV356" s="717"/>
      <c r="BW356" s="717"/>
      <c r="BY356" s="717"/>
      <c r="CA356" s="756"/>
      <c r="CB356" s="716"/>
      <c r="CC356" s="789"/>
      <c r="CD356" s="793"/>
    </row>
    <row r="357" spans="1:82" ht="13.8" x14ac:dyDescent="0.3">
      <c r="A357" s="3"/>
      <c r="B357" s="717">
        <v>7.3127538601504991E-2</v>
      </c>
      <c r="C357" s="8"/>
      <c r="D357" s="21"/>
      <c r="E357" s="21"/>
      <c r="F357" s="21"/>
      <c r="G357" s="21"/>
      <c r="H357" s="21"/>
      <c r="I357" s="21"/>
      <c r="J357" s="21"/>
      <c r="K357" s="21"/>
      <c r="L357" s="21"/>
      <c r="M357" s="1004"/>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K357"/>
      <c r="BL357"/>
      <c r="BM357"/>
      <c r="BN357"/>
      <c r="BO357"/>
      <c r="BP357" s="13"/>
      <c r="BQ357" s="553"/>
      <c r="BR357" s="716"/>
      <c r="BS357" s="716"/>
      <c r="BT357" s="716"/>
      <c r="BU357" s="717"/>
      <c r="BV357" s="717"/>
      <c r="BW357" s="717"/>
      <c r="BY357" s="717"/>
      <c r="CA357" s="756"/>
      <c r="CB357" s="716"/>
      <c r="CC357" s="789"/>
      <c r="CD357" s="793"/>
    </row>
    <row r="358" spans="1:82" ht="13.8" x14ac:dyDescent="0.3">
      <c r="A358" s="3"/>
      <c r="B358" s="717">
        <v>7.3118303308505994E-2</v>
      </c>
      <c r="C358" s="8"/>
      <c r="D358" s="21"/>
      <c r="E358" s="21"/>
      <c r="F358" s="21"/>
      <c r="G358" s="21"/>
      <c r="H358" s="21"/>
      <c r="I358" s="21"/>
      <c r="J358" s="21"/>
      <c r="K358" s="21"/>
      <c r="L358" s="21"/>
      <c r="M358" s="1004"/>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K358"/>
      <c r="BL358"/>
      <c r="BM358"/>
      <c r="BN358"/>
      <c r="BO358"/>
      <c r="BP358" s="13"/>
      <c r="BQ358" s="553"/>
      <c r="BR358" s="716"/>
      <c r="BS358" s="716"/>
      <c r="BT358" s="716"/>
      <c r="BU358" s="717"/>
      <c r="BV358" s="717"/>
      <c r="BW358" s="717"/>
      <c r="BY358" s="717"/>
      <c r="CA358" s="756"/>
      <c r="CB358" s="716"/>
      <c r="CC358" s="789"/>
      <c r="CD358" s="793"/>
    </row>
    <row r="359" spans="1:82" ht="13.8" x14ac:dyDescent="0.3">
      <c r="A359" s="3"/>
      <c r="B359" s="717">
        <v>7.3109365928209991E-2</v>
      </c>
      <c r="C359" s="8"/>
      <c r="D359" s="21"/>
      <c r="E359" s="21"/>
      <c r="F359" s="21"/>
      <c r="G359" s="21"/>
      <c r="H359" s="21"/>
      <c r="I359" s="21"/>
      <c r="J359" s="21"/>
      <c r="K359" s="21"/>
      <c r="L359" s="21"/>
      <c r="M359" s="1004"/>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K359"/>
      <c r="BL359"/>
      <c r="BM359"/>
      <c r="BN359"/>
      <c r="BO359"/>
      <c r="BP359" s="13"/>
      <c r="BQ359" s="553"/>
      <c r="BR359" s="716"/>
      <c r="BS359" s="716"/>
      <c r="BT359" s="716"/>
      <c r="BU359" s="717"/>
      <c r="BV359" s="717"/>
      <c r="BW359" s="717"/>
      <c r="BY359" s="717"/>
      <c r="CA359" s="756"/>
      <c r="CB359" s="716"/>
      <c r="CC359" s="789"/>
      <c r="CD359" s="793"/>
    </row>
    <row r="360" spans="1:82" ht="13.8" x14ac:dyDescent="0.3">
      <c r="A360" s="3"/>
      <c r="B360" s="717">
        <v>7.3100130635267005E-2</v>
      </c>
      <c r="C360" s="8"/>
      <c r="D360" s="21"/>
      <c r="E360" s="21"/>
      <c r="F360" s="21"/>
      <c r="G360" s="21"/>
      <c r="H360" s="21"/>
      <c r="I360" s="21"/>
      <c r="J360" s="21"/>
      <c r="K360" s="21"/>
      <c r="L360" s="21"/>
      <c r="M360" s="1004"/>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K360"/>
      <c r="BL360"/>
      <c r="BM360"/>
      <c r="BN360"/>
      <c r="BO360"/>
      <c r="BP360" s="13"/>
      <c r="BQ360" s="553"/>
      <c r="BR360" s="716"/>
      <c r="BS360" s="716"/>
      <c r="BT360" s="716"/>
      <c r="BU360" s="717"/>
      <c r="BV360" s="717"/>
      <c r="BW360" s="717"/>
      <c r="BY360" s="717"/>
      <c r="CA360" s="756"/>
      <c r="CB360" s="716"/>
      <c r="CC360" s="789"/>
      <c r="CD360" s="793"/>
    </row>
    <row r="361" spans="1:82" ht="13.8" x14ac:dyDescent="0.3">
      <c r="A361" s="3"/>
      <c r="B361" s="717">
        <v>7.3090895342351012E-2</v>
      </c>
      <c r="C361" s="8"/>
      <c r="D361" s="21"/>
      <c r="E361" s="21"/>
      <c r="F361" s="21"/>
      <c r="G361" s="21"/>
      <c r="H361" s="21"/>
      <c r="I361" s="21"/>
      <c r="J361" s="21"/>
      <c r="K361" s="21"/>
      <c r="L361" s="21"/>
      <c r="M361" s="1004"/>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K361"/>
      <c r="BL361"/>
      <c r="BM361"/>
      <c r="BN361"/>
      <c r="BO361"/>
      <c r="BP361" s="13"/>
      <c r="BQ361" s="553"/>
      <c r="BR361" s="716"/>
      <c r="BS361" s="716"/>
      <c r="BT361" s="716"/>
      <c r="BU361" s="717"/>
      <c r="BV361" s="717"/>
      <c r="BW361" s="717"/>
      <c r="BY361" s="717"/>
      <c r="CA361" s="756"/>
      <c r="CB361" s="716"/>
      <c r="CC361" s="789"/>
      <c r="CD361" s="793"/>
    </row>
    <row r="362" spans="1:82" ht="13.8" x14ac:dyDescent="0.3">
      <c r="B362" s="717">
        <v>7.3082553787483989E-2</v>
      </c>
      <c r="C362" s="8"/>
      <c r="D362" s="21"/>
      <c r="E362" s="21"/>
      <c r="F362" s="21"/>
      <c r="G362" s="21"/>
      <c r="H362" s="21"/>
      <c r="I362" s="21"/>
      <c r="J362" s="21"/>
      <c r="K362" s="21"/>
      <c r="L362" s="21"/>
      <c r="M362" s="1004"/>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K362"/>
      <c r="BL362"/>
      <c r="BM362"/>
      <c r="BN362"/>
      <c r="BO362"/>
      <c r="BP362" s="13"/>
      <c r="BQ362" s="553"/>
      <c r="BR362" s="716"/>
      <c r="BS362" s="716"/>
      <c r="BT362" s="716"/>
      <c r="BU362" s="717"/>
      <c r="BV362" s="717"/>
      <c r="BW362" s="717"/>
      <c r="BY362" s="717"/>
      <c r="CA362" s="756"/>
      <c r="CB362" s="716"/>
      <c r="CC362" s="789"/>
      <c r="CD362" s="793"/>
    </row>
    <row r="363" spans="1:82" ht="13.8" x14ac:dyDescent="0.3">
      <c r="B363" s="717"/>
      <c r="C363" s="8"/>
      <c r="D363" s="21"/>
      <c r="E363" s="21"/>
      <c r="F363" s="21"/>
      <c r="G363" s="21"/>
      <c r="H363" s="21"/>
      <c r="I363" s="21"/>
      <c r="J363" s="21"/>
      <c r="K363" s="21"/>
      <c r="L363" s="21"/>
      <c r="M363" s="1004"/>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K363"/>
      <c r="BL363"/>
      <c r="BM363"/>
      <c r="BN363"/>
      <c r="BO363"/>
      <c r="BP363" s="13"/>
      <c r="BQ363" s="553"/>
      <c r="BR363" s="716"/>
      <c r="BS363" s="716"/>
      <c r="BT363" s="716"/>
      <c r="BU363" s="717"/>
      <c r="BV363" s="717"/>
      <c r="BW363" s="717"/>
      <c r="BY363" s="717"/>
      <c r="CA363" s="756"/>
      <c r="CB363" s="716"/>
      <c r="CC363" s="789"/>
      <c r="CD363" s="793"/>
    </row>
    <row r="364" spans="1:82" ht="13.8" x14ac:dyDescent="0.3">
      <c r="B364" s="717"/>
      <c r="C364" s="8"/>
      <c r="D364" s="21"/>
      <c r="E364" s="21"/>
      <c r="F364" s="21"/>
      <c r="G364" s="21"/>
      <c r="H364" s="21"/>
      <c r="I364" s="21"/>
      <c r="J364" s="21"/>
      <c r="K364" s="21"/>
      <c r="L364" s="21"/>
      <c r="M364" s="1004"/>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K364"/>
      <c r="BL364"/>
      <c r="BM364"/>
      <c r="BN364"/>
      <c r="BO364"/>
      <c r="BP364" s="13"/>
      <c r="BQ364" s="553"/>
      <c r="BR364" s="716"/>
      <c r="BS364" s="716"/>
      <c r="BT364" s="716"/>
      <c r="BU364" s="717"/>
      <c r="BV364" s="717"/>
      <c r="BW364" s="717"/>
      <c r="BY364" s="717"/>
      <c r="CA364" s="756"/>
      <c r="CB364" s="716"/>
      <c r="CC364" s="789"/>
      <c r="CD364" s="793"/>
    </row>
    <row r="365" spans="1:82" ht="13.8" x14ac:dyDescent="0.3">
      <c r="B365" s="717"/>
      <c r="C365" s="8"/>
      <c r="D365" s="21"/>
      <c r="E365" s="21"/>
      <c r="F365" s="21"/>
      <c r="G365" s="21"/>
      <c r="H365" s="21"/>
      <c r="I365" s="21"/>
      <c r="J365" s="21"/>
      <c r="K365" s="21"/>
      <c r="L365" s="21"/>
      <c r="M365" s="1004"/>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K365"/>
      <c r="BL365"/>
      <c r="BM365"/>
      <c r="BN365"/>
      <c r="BO365"/>
      <c r="BP365" s="13"/>
      <c r="BQ365" s="553"/>
      <c r="BR365" s="716"/>
      <c r="BS365" s="716"/>
      <c r="BT365" s="716"/>
      <c r="BU365" s="717"/>
      <c r="BV365" s="717"/>
      <c r="BW365" s="717"/>
      <c r="BY365" s="717"/>
      <c r="CA365" s="756"/>
      <c r="CB365" s="716"/>
      <c r="CC365" s="789"/>
      <c r="CD365" s="793"/>
    </row>
    <row r="366" spans="1:82" ht="13.8" x14ac:dyDescent="0.3">
      <c r="B366" s="717"/>
      <c r="C366" s="8"/>
      <c r="D366" s="21"/>
      <c r="E366" s="21"/>
      <c r="F366" s="21"/>
      <c r="G366" s="21"/>
      <c r="H366" s="21"/>
      <c r="I366" s="21"/>
      <c r="J366" s="21"/>
      <c r="K366" s="21"/>
      <c r="L366" s="21"/>
      <c r="M366" s="1004"/>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K366"/>
      <c r="BL366"/>
      <c r="BM366"/>
      <c r="BN366"/>
      <c r="BO366"/>
      <c r="BP366" s="13"/>
      <c r="BQ366" s="553"/>
      <c r="BR366" s="716"/>
      <c r="BS366" s="716"/>
      <c r="BT366" s="716"/>
      <c r="BU366" s="717"/>
      <c r="BV366" s="717"/>
      <c r="BW366" s="717"/>
      <c r="BY366" s="717"/>
      <c r="CA366" s="756"/>
      <c r="CB366" s="716"/>
      <c r="CC366" s="789"/>
      <c r="CD366" s="793"/>
    </row>
    <row r="367" spans="1:82" ht="13.8" x14ac:dyDescent="0.3">
      <c r="B367" s="717"/>
      <c r="C367" s="8"/>
      <c r="D367" s="21"/>
      <c r="E367" s="21"/>
      <c r="F367" s="21"/>
      <c r="G367" s="21"/>
      <c r="H367" s="21"/>
      <c r="I367" s="21"/>
      <c r="J367" s="21"/>
      <c r="K367" s="21"/>
      <c r="L367" s="21"/>
      <c r="M367" s="1004"/>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K367"/>
      <c r="BL367"/>
      <c r="BM367"/>
      <c r="BN367"/>
      <c r="BO367"/>
      <c r="BP367" s="13"/>
      <c r="BQ367" s="553"/>
      <c r="BR367" s="716"/>
      <c r="BS367" s="716"/>
      <c r="BT367" s="716"/>
      <c r="BU367" s="717"/>
      <c r="BV367" s="717"/>
      <c r="BW367" s="717"/>
      <c r="BY367" s="717"/>
      <c r="CA367" s="756"/>
      <c r="CB367" s="716"/>
      <c r="CC367" s="789"/>
      <c r="CD367" s="793"/>
    </row>
    <row r="368" spans="1:82" ht="13.8" x14ac:dyDescent="0.3">
      <c r="B368" s="717"/>
      <c r="C368" s="8"/>
      <c r="D368" s="21"/>
      <c r="E368" s="21"/>
      <c r="F368" s="21"/>
      <c r="G368" s="21"/>
      <c r="H368" s="21"/>
      <c r="I368" s="21"/>
      <c r="J368" s="21"/>
      <c r="K368" s="21"/>
      <c r="L368" s="21"/>
      <c r="M368" s="1004"/>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K368"/>
      <c r="BL368"/>
      <c r="BM368"/>
      <c r="BN368"/>
      <c r="BO368"/>
      <c r="BP368" s="13"/>
      <c r="BQ368" s="553"/>
      <c r="BR368" s="716"/>
      <c r="BS368" s="716"/>
      <c r="BT368" s="716"/>
      <c r="BU368" s="717"/>
      <c r="BV368" s="717"/>
      <c r="BW368" s="717"/>
      <c r="BY368" s="717"/>
      <c r="CA368" s="756"/>
      <c r="CB368" s="716"/>
      <c r="CC368" s="789"/>
      <c r="CD368" s="793"/>
    </row>
    <row r="369" spans="2:82" ht="13.8" x14ac:dyDescent="0.3">
      <c r="B369" s="717"/>
      <c r="C369" s="8"/>
      <c r="D369" s="21"/>
      <c r="E369" s="21"/>
      <c r="F369" s="21"/>
      <c r="G369" s="21"/>
      <c r="H369" s="21"/>
      <c r="I369" s="21"/>
      <c r="J369" s="21"/>
      <c r="K369" s="21"/>
      <c r="L369" s="21"/>
      <c r="M369" s="1004"/>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K369"/>
      <c r="BL369"/>
      <c r="BM369"/>
      <c r="BN369"/>
      <c r="BO369"/>
      <c r="BP369" s="13"/>
      <c r="BQ369" s="553"/>
      <c r="BR369" s="716"/>
      <c r="BS369" s="716"/>
      <c r="BT369" s="716"/>
      <c r="BU369" s="717"/>
      <c r="BV369" s="717"/>
      <c r="BW369" s="717"/>
      <c r="BY369" s="717"/>
      <c r="CA369" s="756"/>
      <c r="CB369" s="716"/>
      <c r="CC369" s="789"/>
      <c r="CD369" s="793"/>
    </row>
    <row r="370" spans="2:82" ht="13.8" x14ac:dyDescent="0.3">
      <c r="B370" s="717"/>
      <c r="C370" s="8"/>
      <c r="D370" s="21"/>
      <c r="E370" s="21"/>
      <c r="F370" s="21"/>
      <c r="G370" s="21"/>
      <c r="H370" s="21"/>
      <c r="I370" s="21"/>
      <c r="J370" s="21"/>
      <c r="K370" s="21"/>
      <c r="L370" s="21"/>
      <c r="M370" s="1004"/>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K370"/>
      <c r="BL370"/>
      <c r="BM370"/>
      <c r="BN370"/>
      <c r="BO370"/>
      <c r="BP370" s="13"/>
      <c r="BQ370" s="553"/>
      <c r="BR370" s="716"/>
      <c r="BS370" s="716"/>
      <c r="BT370" s="716"/>
      <c r="BU370" s="717"/>
      <c r="BV370" s="717"/>
      <c r="BW370" s="717"/>
      <c r="BY370" s="717"/>
      <c r="CA370" s="756"/>
      <c r="CB370" s="716"/>
      <c r="CC370" s="789"/>
      <c r="CD370" s="793"/>
    </row>
    <row r="371" spans="2:82" ht="13.8" x14ac:dyDescent="0.3">
      <c r="B371" s="717"/>
      <c r="C371" s="8"/>
      <c r="D371" s="21"/>
      <c r="E371" s="21"/>
      <c r="F371" s="21"/>
      <c r="G371" s="21"/>
      <c r="H371" s="21"/>
      <c r="I371" s="21"/>
      <c r="J371" s="21"/>
      <c r="K371" s="21"/>
      <c r="L371" s="21"/>
      <c r="M371" s="1004"/>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K371"/>
      <c r="BL371"/>
      <c r="BM371"/>
      <c r="BN371"/>
      <c r="BO371"/>
      <c r="BP371" s="13"/>
      <c r="BQ371" s="553"/>
      <c r="BR371" s="716"/>
      <c r="BS371" s="716"/>
      <c r="BT371" s="716"/>
      <c r="BU371" s="717"/>
      <c r="BV371" s="717"/>
      <c r="BW371" s="717"/>
      <c r="BY371" s="717"/>
      <c r="CA371" s="756"/>
      <c r="CB371" s="716"/>
      <c r="CC371" s="789"/>
      <c r="CD371" s="793"/>
    </row>
    <row r="372" spans="2:82" ht="13.8" x14ac:dyDescent="0.3">
      <c r="B372" s="717"/>
      <c r="C372" s="8"/>
      <c r="D372" s="21"/>
      <c r="E372" s="21"/>
      <c r="F372" s="21"/>
      <c r="G372" s="21"/>
      <c r="H372" s="21"/>
      <c r="I372" s="21"/>
      <c r="J372" s="21"/>
      <c r="K372" s="21"/>
      <c r="L372" s="21"/>
      <c r="M372" s="1004"/>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K372"/>
      <c r="BL372"/>
      <c r="BM372"/>
      <c r="BN372"/>
      <c r="BO372"/>
      <c r="BP372" s="13"/>
      <c r="BQ372" s="553"/>
      <c r="BR372" s="716"/>
      <c r="BS372" s="716"/>
      <c r="BT372" s="716"/>
      <c r="BU372" s="717"/>
      <c r="BV372" s="717"/>
      <c r="BW372" s="717"/>
      <c r="BY372" s="717"/>
      <c r="CA372" s="756"/>
      <c r="CB372" s="716"/>
      <c r="CC372" s="789"/>
      <c r="CD372" s="793"/>
    </row>
    <row r="373" spans="2:82" ht="13.8" x14ac:dyDescent="0.3">
      <c r="B373" s="717"/>
      <c r="C373" s="8"/>
      <c r="D373" s="21"/>
      <c r="E373" s="21"/>
      <c r="F373" s="21"/>
      <c r="G373" s="21"/>
      <c r="H373" s="21"/>
      <c r="I373" s="21"/>
      <c r="J373" s="21"/>
      <c r="K373" s="21"/>
      <c r="L373" s="21"/>
      <c r="M373" s="1004"/>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K373"/>
      <c r="BL373"/>
      <c r="BM373"/>
      <c r="BN373"/>
      <c r="BO373"/>
      <c r="BP373" s="13"/>
      <c r="BQ373" s="553"/>
      <c r="BR373" s="716"/>
      <c r="BS373" s="716"/>
      <c r="BT373" s="716"/>
      <c r="BU373" s="717"/>
      <c r="BV373" s="717"/>
      <c r="BW373" s="717"/>
      <c r="BY373" s="717"/>
      <c r="CA373" s="756"/>
      <c r="CB373" s="716"/>
      <c r="CC373" s="789"/>
      <c r="CD373" s="793"/>
    </row>
    <row r="374" spans="2:82" ht="13.8" x14ac:dyDescent="0.3">
      <c r="B374" s="717"/>
      <c r="C374" s="8"/>
      <c r="D374" s="21"/>
      <c r="E374" s="21"/>
      <c r="F374" s="21"/>
      <c r="G374" s="21"/>
      <c r="H374" s="21"/>
      <c r="I374" s="21"/>
      <c r="J374" s="21"/>
      <c r="K374" s="21"/>
      <c r="L374" s="21"/>
      <c r="M374" s="1004"/>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K374"/>
      <c r="BL374"/>
      <c r="BM374"/>
      <c r="BN374"/>
      <c r="BO374"/>
      <c r="BP374" s="13"/>
      <c r="BQ374" s="553"/>
      <c r="BR374" s="716"/>
      <c r="BS374" s="716"/>
      <c r="BT374" s="716"/>
      <c r="BU374" s="717"/>
      <c r="BV374" s="717"/>
      <c r="BW374" s="717"/>
      <c r="BY374" s="717"/>
      <c r="CA374" s="756"/>
      <c r="CB374" s="716"/>
      <c r="CC374" s="789"/>
      <c r="CD374" s="793"/>
    </row>
    <row r="375" spans="2:82" ht="13.8" x14ac:dyDescent="0.3">
      <c r="B375" s="717"/>
      <c r="C375" s="8"/>
      <c r="D375" s="21"/>
      <c r="E375" s="21"/>
      <c r="F375" s="21"/>
      <c r="G375" s="21"/>
      <c r="H375" s="21"/>
      <c r="I375" s="21"/>
      <c r="J375" s="21"/>
      <c r="K375" s="21"/>
      <c r="L375" s="21"/>
      <c r="M375" s="1004"/>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K375"/>
      <c r="BL375"/>
      <c r="BM375"/>
      <c r="BN375"/>
      <c r="BO375"/>
      <c r="BP375" s="13"/>
      <c r="BQ375" s="553"/>
      <c r="BR375" s="716"/>
      <c r="BS375" s="716"/>
      <c r="BT375" s="716"/>
      <c r="BU375" s="717"/>
      <c r="BV375" s="717"/>
      <c r="BW375" s="717"/>
      <c r="BY375" s="717"/>
      <c r="CA375" s="756"/>
      <c r="CB375" s="716"/>
      <c r="CC375" s="789"/>
      <c r="CD375" s="793"/>
    </row>
    <row r="376" spans="2:82" ht="13.8" x14ac:dyDescent="0.3">
      <c r="B376" s="717"/>
      <c r="C376" s="8"/>
      <c r="D376" s="21"/>
      <c r="E376" s="21"/>
      <c r="F376" s="21"/>
      <c r="G376" s="21"/>
      <c r="H376" s="21"/>
      <c r="I376" s="21"/>
      <c r="J376" s="21"/>
      <c r="K376" s="21"/>
      <c r="L376" s="21"/>
      <c r="M376" s="1004"/>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K376"/>
      <c r="BL376"/>
      <c r="BM376"/>
      <c r="BN376"/>
      <c r="BO376"/>
      <c r="BP376" s="13"/>
      <c r="BQ376" s="553"/>
      <c r="BR376" s="716"/>
      <c r="BS376" s="716"/>
      <c r="BT376" s="716"/>
      <c r="BU376" s="717"/>
      <c r="BV376" s="717"/>
      <c r="BW376" s="717"/>
      <c r="BY376" s="717"/>
      <c r="CA376" s="756"/>
      <c r="CB376" s="716"/>
      <c r="CC376" s="789"/>
      <c r="CD376" s="793"/>
    </row>
    <row r="377" spans="2:82" ht="13.8" x14ac:dyDescent="0.3">
      <c r="B377" s="717"/>
      <c r="C377" s="8"/>
      <c r="D377" s="21"/>
      <c r="E377" s="21"/>
      <c r="F377" s="21"/>
      <c r="G377" s="21"/>
      <c r="H377" s="21"/>
      <c r="I377" s="21"/>
      <c r="J377" s="21"/>
      <c r="K377" s="21"/>
      <c r="L377" s="21"/>
      <c r="M377" s="1004"/>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K377"/>
      <c r="BL377"/>
      <c r="BM377"/>
      <c r="BN377"/>
      <c r="BO377"/>
      <c r="BP377" s="13"/>
      <c r="BQ377" s="553"/>
      <c r="BR377" s="716"/>
      <c r="BS377" s="716"/>
      <c r="BT377" s="716"/>
      <c r="BU377" s="717"/>
      <c r="BV377" s="717"/>
      <c r="BW377" s="717"/>
      <c r="BY377" s="717"/>
      <c r="CA377" s="756"/>
      <c r="CB377" s="716"/>
      <c r="CC377" s="789"/>
      <c r="CD377" s="793"/>
    </row>
    <row r="378" spans="2:82" ht="13.8" x14ac:dyDescent="0.3">
      <c r="B378" s="717"/>
      <c r="C378" s="8"/>
      <c r="D378" s="21"/>
      <c r="E378" s="21"/>
      <c r="F378" s="21"/>
      <c r="G378" s="21"/>
      <c r="H378" s="21"/>
      <c r="I378" s="21"/>
      <c r="J378" s="21"/>
      <c r="K378" s="21"/>
      <c r="L378" s="21"/>
      <c r="M378" s="1004"/>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K378"/>
      <c r="BL378"/>
      <c r="BM378"/>
      <c r="BN378"/>
      <c r="BO378"/>
      <c r="BP378" s="13"/>
      <c r="BQ378" s="553"/>
      <c r="BR378" s="716"/>
      <c r="BS378" s="716"/>
      <c r="BT378" s="716"/>
      <c r="BU378" s="717"/>
      <c r="BV378" s="717"/>
      <c r="BW378" s="717"/>
      <c r="BY378" s="717"/>
      <c r="CA378" s="756"/>
      <c r="CB378" s="716"/>
      <c r="CC378" s="789"/>
      <c r="CD378" s="793"/>
    </row>
    <row r="379" spans="2:82" ht="13.8" x14ac:dyDescent="0.3">
      <c r="B379" s="717"/>
      <c r="C379" s="8"/>
      <c r="D379" s="21"/>
      <c r="E379" s="21"/>
      <c r="F379" s="21"/>
      <c r="G379" s="21"/>
      <c r="H379" s="21"/>
      <c r="I379" s="21"/>
      <c r="J379" s="21"/>
      <c r="K379" s="21"/>
      <c r="L379" s="21"/>
      <c r="M379" s="1004"/>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K379"/>
      <c r="BL379"/>
      <c r="BM379"/>
      <c r="BN379"/>
      <c r="BO379"/>
      <c r="BP379" s="13"/>
      <c r="BQ379" s="553"/>
      <c r="BR379" s="716"/>
      <c r="BS379" s="716"/>
      <c r="BT379" s="716"/>
      <c r="BU379" s="717"/>
      <c r="BV379" s="717"/>
      <c r="BW379" s="717"/>
      <c r="BY379" s="717"/>
      <c r="CA379" s="756"/>
      <c r="CB379" s="716"/>
      <c r="CC379" s="789"/>
      <c r="CD379" s="793"/>
    </row>
    <row r="380" spans="2:82" ht="13.8" x14ac:dyDescent="0.3">
      <c r="B380" s="717"/>
      <c r="C380" s="8"/>
      <c r="D380" s="21"/>
      <c r="E380" s="21"/>
      <c r="F380" s="21"/>
      <c r="G380" s="21"/>
      <c r="H380" s="21"/>
      <c r="I380" s="21"/>
      <c r="J380" s="21"/>
      <c r="K380" s="21"/>
      <c r="L380" s="21"/>
      <c r="M380" s="1004"/>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K380"/>
      <c r="BL380"/>
      <c r="BM380"/>
      <c r="BN380"/>
      <c r="BO380"/>
      <c r="BP380" s="13"/>
      <c r="BQ380" s="553"/>
      <c r="BR380" s="716"/>
      <c r="BS380" s="716"/>
      <c r="BT380" s="716"/>
      <c r="BU380" s="717"/>
      <c r="BV380" s="717"/>
      <c r="BW380" s="717"/>
      <c r="BY380" s="717"/>
      <c r="CA380" s="756"/>
      <c r="CB380" s="716"/>
      <c r="CC380" s="789"/>
      <c r="CD380" s="793"/>
    </row>
    <row r="381" spans="2:82" ht="13.8" x14ac:dyDescent="0.3">
      <c r="B381" s="717"/>
      <c r="C381" s="8"/>
      <c r="D381" s="21"/>
      <c r="E381" s="21"/>
      <c r="F381" s="21"/>
      <c r="G381" s="21"/>
      <c r="H381" s="21"/>
      <c r="I381" s="21"/>
      <c r="J381" s="21"/>
      <c r="K381" s="21"/>
      <c r="L381" s="21"/>
      <c r="M381" s="1004"/>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K381"/>
      <c r="BL381"/>
      <c r="BM381"/>
      <c r="BN381"/>
      <c r="BO381"/>
      <c r="BP381" s="13"/>
      <c r="BQ381" s="553"/>
      <c r="BR381" s="716"/>
      <c r="BS381" s="716"/>
      <c r="BT381" s="716"/>
      <c r="BU381" s="717"/>
      <c r="BV381" s="717"/>
      <c r="BW381" s="717"/>
      <c r="BY381" s="717"/>
      <c r="CA381" s="756"/>
      <c r="CB381" s="716"/>
      <c r="CC381" s="789"/>
      <c r="CD381" s="793"/>
    </row>
    <row r="382" spans="2:82" ht="13.8" x14ac:dyDescent="0.3">
      <c r="B382" s="717"/>
      <c r="C382" s="8"/>
      <c r="D382" s="21"/>
      <c r="E382" s="21"/>
      <c r="F382" s="21"/>
      <c r="G382" s="21"/>
      <c r="H382" s="21"/>
      <c r="I382" s="21"/>
      <c r="J382" s="21"/>
      <c r="K382" s="21"/>
      <c r="L382" s="21"/>
      <c r="M382" s="1004"/>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K382"/>
      <c r="BL382"/>
      <c r="BM382"/>
      <c r="BN382"/>
      <c r="BO382"/>
      <c r="BP382" s="13"/>
      <c r="BQ382" s="553"/>
      <c r="BR382" s="716"/>
      <c r="BS382" s="716"/>
      <c r="BT382" s="716"/>
      <c r="BU382" s="717"/>
      <c r="BV382" s="717"/>
      <c r="BW382" s="717"/>
      <c r="BY382" s="717"/>
      <c r="CA382" s="756"/>
      <c r="CB382" s="716"/>
      <c r="CC382" s="789"/>
      <c r="CD382" s="793"/>
    </row>
    <row r="383" spans="2:82" ht="13.8" x14ac:dyDescent="0.3">
      <c r="B383" s="717"/>
      <c r="C383" s="8"/>
      <c r="D383" s="21"/>
      <c r="E383" s="21"/>
      <c r="F383" s="21"/>
      <c r="G383" s="21"/>
      <c r="H383" s="21"/>
      <c r="I383" s="21"/>
      <c r="J383" s="21"/>
      <c r="K383" s="21"/>
      <c r="L383" s="21"/>
      <c r="M383" s="1004"/>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K383"/>
      <c r="BL383"/>
      <c r="BM383"/>
      <c r="BN383"/>
      <c r="BO383"/>
      <c r="BP383" s="13"/>
      <c r="BQ383" s="553"/>
      <c r="BR383" s="716"/>
      <c r="BS383" s="716"/>
      <c r="BT383" s="716"/>
      <c r="BU383" s="717"/>
      <c r="BV383" s="717"/>
      <c r="BW383" s="717"/>
      <c r="BY383" s="717"/>
      <c r="CA383" s="756"/>
      <c r="CB383" s="716"/>
      <c r="CC383" s="789"/>
      <c r="CD383" s="793"/>
    </row>
    <row r="384" spans="2:82" ht="13.8" x14ac:dyDescent="0.3">
      <c r="B384" s="717"/>
      <c r="C384" s="8"/>
      <c r="D384" s="21"/>
      <c r="E384" s="21"/>
      <c r="F384" s="21"/>
      <c r="G384" s="21"/>
      <c r="H384" s="21"/>
      <c r="I384" s="21"/>
      <c r="J384" s="21"/>
      <c r="K384" s="21"/>
      <c r="L384" s="21"/>
      <c r="M384" s="1004"/>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K384"/>
      <c r="BL384"/>
      <c r="BM384"/>
      <c r="BN384"/>
      <c r="BO384"/>
      <c r="BP384" s="13"/>
      <c r="BQ384" s="553"/>
      <c r="BR384" s="716"/>
      <c r="BS384" s="716"/>
      <c r="BT384" s="716"/>
      <c r="BU384" s="717"/>
      <c r="BV384" s="717"/>
      <c r="BW384" s="717"/>
      <c r="BY384" s="717"/>
      <c r="CA384" s="756"/>
      <c r="CB384" s="716"/>
      <c r="CC384" s="789"/>
      <c r="CD384" s="793"/>
    </row>
    <row r="385" spans="2:82" ht="13.8" x14ac:dyDescent="0.3">
      <c r="B385" s="717"/>
      <c r="C385" s="8"/>
      <c r="D385" s="21"/>
      <c r="E385" s="21"/>
      <c r="F385" s="21"/>
      <c r="G385" s="21"/>
      <c r="H385" s="21"/>
      <c r="I385" s="21"/>
      <c r="J385" s="21"/>
      <c r="K385" s="21"/>
      <c r="L385" s="21"/>
      <c r="M385" s="1004"/>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K385"/>
      <c r="BL385"/>
      <c r="BM385"/>
      <c r="BN385"/>
      <c r="BO385"/>
      <c r="BP385" s="13"/>
      <c r="BQ385" s="553"/>
      <c r="BR385" s="716"/>
      <c r="BS385" s="716"/>
      <c r="BT385" s="716"/>
      <c r="BU385" s="717"/>
      <c r="BV385" s="717"/>
      <c r="BW385" s="717"/>
      <c r="BY385" s="717"/>
      <c r="CA385" s="756"/>
      <c r="CB385" s="716"/>
      <c r="CC385" s="789"/>
      <c r="CD385" s="793"/>
    </row>
    <row r="386" spans="2:82" ht="13.8" x14ac:dyDescent="0.3">
      <c r="B386" s="717"/>
      <c r="C386" s="8"/>
      <c r="D386" s="21"/>
      <c r="E386" s="21"/>
      <c r="F386" s="21"/>
      <c r="G386" s="21"/>
      <c r="H386" s="21"/>
      <c r="I386" s="21"/>
      <c r="J386" s="21"/>
      <c r="K386" s="21"/>
      <c r="L386" s="21"/>
      <c r="M386" s="1004"/>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K386"/>
      <c r="BL386"/>
      <c r="BM386"/>
      <c r="BN386"/>
      <c r="BO386"/>
      <c r="BP386" s="13"/>
      <c r="BQ386" s="553"/>
      <c r="BR386" s="716"/>
      <c r="BS386" s="716"/>
      <c r="BT386" s="716"/>
      <c r="BU386" s="717"/>
      <c r="BV386" s="717"/>
      <c r="BW386" s="717"/>
      <c r="BY386" s="717"/>
      <c r="CA386" s="756"/>
      <c r="CB386" s="716"/>
      <c r="CC386" s="789"/>
      <c r="CD386" s="793"/>
    </row>
    <row r="387" spans="2:82" ht="13.8" x14ac:dyDescent="0.3">
      <c r="B387" s="717"/>
      <c r="C387" s="8"/>
      <c r="D387" s="21"/>
      <c r="E387" s="21"/>
      <c r="F387" s="21"/>
      <c r="G387" s="21"/>
      <c r="H387" s="21"/>
      <c r="I387" s="21"/>
      <c r="J387" s="21"/>
      <c r="K387" s="21"/>
      <c r="L387" s="21"/>
      <c r="M387" s="1004"/>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K387"/>
      <c r="BL387"/>
      <c r="BM387"/>
      <c r="BN387"/>
      <c r="BO387"/>
      <c r="BP387" s="13"/>
      <c r="BQ387" s="553"/>
      <c r="BR387" s="716"/>
      <c r="BS387" s="716"/>
      <c r="BT387" s="716"/>
      <c r="BU387" s="717"/>
      <c r="BV387" s="717"/>
      <c r="BW387" s="717"/>
      <c r="BY387" s="717"/>
      <c r="CA387" s="756"/>
      <c r="CB387" s="716"/>
      <c r="CC387" s="789"/>
      <c r="CD387" s="793"/>
    </row>
    <row r="388" spans="2:82" ht="13.8" x14ac:dyDescent="0.3">
      <c r="B388" s="717"/>
      <c r="C388" s="8"/>
      <c r="D388" s="21"/>
      <c r="E388" s="21"/>
      <c r="F388" s="21"/>
      <c r="G388" s="21"/>
      <c r="H388" s="21"/>
      <c r="I388" s="21"/>
      <c r="J388" s="21"/>
      <c r="K388" s="21"/>
      <c r="L388" s="21"/>
      <c r="M388" s="1004"/>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K388"/>
      <c r="BL388"/>
      <c r="BM388"/>
      <c r="BN388"/>
      <c r="BO388"/>
      <c r="BP388" s="13"/>
      <c r="BQ388" s="553"/>
      <c r="BR388" s="716"/>
      <c r="BS388" s="716"/>
      <c r="BT388" s="716"/>
      <c r="BU388" s="717"/>
      <c r="BV388" s="717"/>
      <c r="BW388" s="717"/>
      <c r="BY388" s="717"/>
      <c r="CA388" s="756"/>
      <c r="CB388" s="716"/>
      <c r="CC388" s="789"/>
      <c r="CD388" s="793"/>
    </row>
    <row r="389" spans="2:82" ht="13.8" x14ac:dyDescent="0.3">
      <c r="B389" s="717"/>
      <c r="C389" s="8"/>
      <c r="D389" s="21"/>
      <c r="E389" s="21"/>
      <c r="F389" s="21"/>
      <c r="G389" s="21"/>
      <c r="H389" s="21"/>
      <c r="I389" s="21"/>
      <c r="J389" s="21"/>
      <c r="K389" s="21"/>
      <c r="L389" s="21"/>
      <c r="M389" s="1004"/>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K389"/>
      <c r="BL389"/>
      <c r="BM389"/>
      <c r="BN389"/>
      <c r="BO389"/>
      <c r="BP389" s="13"/>
      <c r="BQ389" s="553"/>
      <c r="BR389" s="716"/>
      <c r="BS389" s="716"/>
      <c r="BT389" s="716"/>
      <c r="BU389" s="717"/>
      <c r="BV389" s="717"/>
      <c r="BW389" s="717"/>
      <c r="BY389" s="717"/>
      <c r="CA389" s="756"/>
      <c r="CB389" s="716"/>
      <c r="CC389" s="789"/>
      <c r="CD389" s="793"/>
    </row>
    <row r="390" spans="2:82" ht="13.8" x14ac:dyDescent="0.3">
      <c r="B390" s="717"/>
      <c r="C390" s="8"/>
      <c r="D390" s="21"/>
      <c r="E390" s="21"/>
      <c r="F390" s="21"/>
      <c r="G390" s="21"/>
      <c r="H390" s="21"/>
      <c r="I390" s="21"/>
      <c r="J390" s="21"/>
      <c r="K390" s="21"/>
      <c r="L390" s="21"/>
      <c r="M390" s="1004"/>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K390"/>
      <c r="BL390"/>
      <c r="BM390"/>
      <c r="BN390"/>
      <c r="BO390"/>
      <c r="BP390" s="13"/>
      <c r="BQ390" s="553"/>
      <c r="BR390" s="716"/>
      <c r="BS390" s="716"/>
      <c r="BT390" s="716"/>
      <c r="BU390" s="717"/>
      <c r="BV390" s="717"/>
      <c r="BW390" s="717"/>
      <c r="BY390" s="717"/>
      <c r="CA390" s="756"/>
      <c r="CB390" s="716"/>
      <c r="CC390" s="789"/>
      <c r="CD390" s="793"/>
    </row>
    <row r="391" spans="2:82" ht="13.8" x14ac:dyDescent="0.3">
      <c r="B391" s="717"/>
      <c r="C391" s="8"/>
      <c r="D391" s="21"/>
      <c r="E391" s="21"/>
      <c r="F391" s="21"/>
      <c r="G391" s="21"/>
      <c r="H391" s="21"/>
      <c r="I391" s="21"/>
      <c r="J391" s="21"/>
      <c r="K391" s="21"/>
      <c r="L391" s="21"/>
      <c r="M391" s="1004"/>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K391"/>
      <c r="BL391"/>
      <c r="BM391"/>
      <c r="BN391"/>
      <c r="BO391"/>
      <c r="BP391" s="13"/>
      <c r="BQ391" s="553"/>
      <c r="BR391" s="716"/>
      <c r="BS391" s="716"/>
      <c r="BT391" s="716"/>
      <c r="BU391" s="717"/>
      <c r="BV391" s="717"/>
      <c r="BW391" s="717"/>
      <c r="BY391" s="717"/>
      <c r="CA391" s="756"/>
      <c r="CB391" s="716"/>
      <c r="CC391" s="789"/>
      <c r="CD391" s="793"/>
    </row>
    <row r="392" spans="2:82" ht="13.8" x14ac:dyDescent="0.3">
      <c r="B392" s="717"/>
      <c r="C392" s="8"/>
      <c r="D392" s="21"/>
      <c r="E392" s="21"/>
      <c r="F392" s="21"/>
      <c r="G392" s="21"/>
      <c r="H392" s="21"/>
      <c r="I392" s="21"/>
      <c r="J392" s="21"/>
      <c r="K392" s="21"/>
      <c r="L392" s="21"/>
      <c r="M392" s="1004"/>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K392"/>
      <c r="BL392"/>
      <c r="BM392"/>
      <c r="BN392"/>
      <c r="BO392"/>
      <c r="BP392" s="13"/>
      <c r="BQ392" s="553"/>
      <c r="BR392" s="716"/>
      <c r="BS392" s="716"/>
      <c r="BT392" s="716"/>
      <c r="BU392" s="717"/>
      <c r="BV392" s="717"/>
      <c r="BW392" s="717"/>
      <c r="BY392" s="717"/>
      <c r="CA392" s="756"/>
      <c r="CB392" s="716"/>
      <c r="CC392" s="789"/>
      <c r="CD392" s="793"/>
    </row>
    <row r="393" spans="2:82" ht="13.8" x14ac:dyDescent="0.3">
      <c r="B393" s="717"/>
      <c r="C393" s="8"/>
      <c r="D393" s="21"/>
      <c r="E393" s="21"/>
      <c r="F393" s="21"/>
      <c r="G393" s="21"/>
      <c r="H393" s="21"/>
      <c r="I393" s="21"/>
      <c r="J393" s="21"/>
      <c r="K393" s="21"/>
      <c r="L393" s="21"/>
      <c r="M393" s="1004"/>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K393"/>
      <c r="BL393"/>
      <c r="BM393"/>
      <c r="BN393"/>
      <c r="BO393"/>
      <c r="BP393" s="13"/>
      <c r="BQ393" s="553"/>
      <c r="BR393" s="716"/>
      <c r="BS393" s="716"/>
      <c r="BT393" s="716"/>
      <c r="BU393" s="717"/>
      <c r="BV393" s="717"/>
      <c r="BW393" s="717"/>
      <c r="BY393" s="717"/>
      <c r="CA393" s="756"/>
      <c r="CB393" s="716"/>
      <c r="CC393" s="789"/>
      <c r="CD393" s="793"/>
    </row>
    <row r="394" spans="2:82" ht="13.8" x14ac:dyDescent="0.3">
      <c r="B394" s="717"/>
      <c r="C394" s="8"/>
      <c r="D394" s="21"/>
      <c r="E394" s="21"/>
      <c r="F394" s="21"/>
      <c r="G394" s="21"/>
      <c r="H394" s="21"/>
      <c r="I394" s="21"/>
      <c r="J394" s="21"/>
      <c r="K394" s="21"/>
      <c r="L394" s="21"/>
      <c r="M394" s="1004"/>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K394"/>
      <c r="BL394"/>
      <c r="BM394"/>
      <c r="BN394"/>
      <c r="BO394"/>
      <c r="BP394" s="13"/>
      <c r="BQ394" s="553"/>
      <c r="BR394" s="716"/>
      <c r="BS394" s="716"/>
      <c r="BT394" s="716"/>
      <c r="BU394" s="717"/>
      <c r="BV394" s="717"/>
      <c r="BW394" s="717"/>
      <c r="BY394" s="717"/>
      <c r="CA394" s="756"/>
      <c r="CB394" s="716"/>
      <c r="CC394" s="789"/>
      <c r="CD394" s="793"/>
    </row>
    <row r="395" spans="2:82" ht="13.8" x14ac:dyDescent="0.3">
      <c r="B395" s="717"/>
      <c r="C395" s="8"/>
      <c r="D395" s="21"/>
      <c r="E395" s="21"/>
      <c r="F395" s="21"/>
      <c r="G395" s="21"/>
      <c r="H395" s="21"/>
      <c r="I395" s="21"/>
      <c r="J395" s="21"/>
      <c r="K395" s="21"/>
      <c r="L395" s="21"/>
      <c r="M395" s="1004"/>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K395"/>
      <c r="BL395"/>
      <c r="BM395"/>
      <c r="BN395"/>
      <c r="BO395"/>
      <c r="BP395" s="13"/>
      <c r="BQ395" s="553"/>
      <c r="BR395" s="716"/>
      <c r="BS395" s="716"/>
      <c r="BT395" s="716"/>
      <c r="BU395" s="717"/>
      <c r="BV395" s="717"/>
      <c r="BW395" s="717"/>
      <c r="BY395" s="717"/>
      <c r="CA395" s="756"/>
      <c r="CB395" s="716"/>
      <c r="CC395" s="789"/>
      <c r="CD395" s="793"/>
    </row>
    <row r="396" spans="2:82" ht="13.8" x14ac:dyDescent="0.3">
      <c r="B396" s="717"/>
      <c r="C396" s="8"/>
      <c r="D396" s="21"/>
      <c r="E396" s="21"/>
      <c r="F396" s="21"/>
      <c r="G396" s="21"/>
      <c r="H396" s="21"/>
      <c r="I396" s="21"/>
      <c r="J396" s="21"/>
      <c r="K396" s="21"/>
      <c r="L396" s="21"/>
      <c r="M396" s="1004"/>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K396"/>
      <c r="BL396"/>
      <c r="BM396"/>
      <c r="BN396"/>
      <c r="BO396"/>
      <c r="BP396" s="13"/>
      <c r="BQ396" s="553"/>
      <c r="BR396" s="716"/>
      <c r="BS396" s="716"/>
      <c r="BT396" s="716"/>
      <c r="BU396" s="717"/>
      <c r="BV396" s="717"/>
      <c r="BW396" s="717"/>
      <c r="BY396" s="717"/>
      <c r="CA396" s="756"/>
      <c r="CB396" s="716"/>
      <c r="CC396" s="789"/>
      <c r="CD396" s="793"/>
    </row>
    <row r="397" spans="2:82" ht="13.8" x14ac:dyDescent="0.3">
      <c r="B397" s="717"/>
      <c r="C397" s="8"/>
      <c r="D397" s="21"/>
      <c r="E397" s="21"/>
      <c r="F397" s="21"/>
      <c r="G397" s="21"/>
      <c r="H397" s="21"/>
      <c r="I397" s="21"/>
      <c r="J397" s="21"/>
      <c r="K397" s="21"/>
      <c r="L397" s="21"/>
      <c r="M397" s="1004"/>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K397"/>
      <c r="BL397"/>
      <c r="BM397"/>
      <c r="BN397"/>
      <c r="BO397"/>
      <c r="BP397" s="13"/>
      <c r="BQ397" s="553"/>
      <c r="BR397" s="716"/>
      <c r="BS397" s="716"/>
      <c r="BT397" s="716"/>
      <c r="BU397" s="717"/>
      <c r="BV397" s="717"/>
      <c r="BW397" s="717"/>
      <c r="BY397" s="717"/>
      <c r="CA397" s="756"/>
      <c r="CB397" s="716"/>
      <c r="CC397" s="789"/>
      <c r="CD397" s="793"/>
    </row>
    <row r="398" spans="2:82" ht="13.8" x14ac:dyDescent="0.3">
      <c r="B398" s="717"/>
      <c r="C398" s="8"/>
      <c r="D398" s="21"/>
      <c r="E398" s="21"/>
      <c r="F398" s="21"/>
      <c r="G398" s="21"/>
      <c r="H398" s="21"/>
      <c r="I398" s="21"/>
      <c r="J398" s="21"/>
      <c r="K398" s="21"/>
      <c r="L398" s="21"/>
      <c r="M398" s="1004"/>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K398"/>
      <c r="BL398"/>
      <c r="BM398"/>
      <c r="BN398"/>
      <c r="BO398"/>
      <c r="BP398" s="13"/>
      <c r="BQ398" s="553"/>
      <c r="BR398" s="716"/>
      <c r="BS398" s="716"/>
      <c r="BT398" s="716"/>
      <c r="BU398" s="717"/>
      <c r="BV398" s="717"/>
      <c r="BW398" s="717"/>
      <c r="BY398" s="717"/>
      <c r="CA398" s="756"/>
      <c r="CB398" s="716"/>
      <c r="CC398" s="789"/>
      <c r="CD398" s="793"/>
    </row>
    <row r="399" spans="2:82" ht="13.8" x14ac:dyDescent="0.3">
      <c r="B399" s="717"/>
      <c r="C399" s="8"/>
      <c r="D399" s="21"/>
      <c r="E399" s="21"/>
      <c r="F399" s="21"/>
      <c r="G399" s="21"/>
      <c r="H399" s="21"/>
      <c r="I399" s="21"/>
      <c r="J399" s="21"/>
      <c r="K399" s="21"/>
      <c r="L399" s="21"/>
      <c r="M399" s="1004"/>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K399"/>
      <c r="BL399"/>
      <c r="BM399"/>
      <c r="BN399"/>
      <c r="BO399"/>
      <c r="BP399" s="13"/>
      <c r="BQ399" s="553"/>
      <c r="BR399" s="716"/>
      <c r="BS399" s="716"/>
      <c r="BT399" s="716"/>
      <c r="BU399" s="717"/>
      <c r="BV399" s="717"/>
      <c r="BW399" s="717"/>
      <c r="BY399" s="717"/>
      <c r="CA399" s="756"/>
      <c r="CB399" s="716"/>
      <c r="CC399" s="789"/>
      <c r="CD399" s="793"/>
    </row>
    <row r="400" spans="2:82" ht="13.8" x14ac:dyDescent="0.3">
      <c r="B400" s="717"/>
      <c r="C400" s="8"/>
      <c r="D400" s="21"/>
      <c r="E400" s="21"/>
      <c r="F400" s="21"/>
      <c r="G400" s="21"/>
      <c r="H400" s="21"/>
      <c r="I400" s="21"/>
      <c r="J400" s="21"/>
      <c r="K400" s="21"/>
      <c r="L400" s="21"/>
      <c r="M400" s="1004"/>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K400"/>
      <c r="BL400"/>
      <c r="BM400"/>
      <c r="BN400"/>
      <c r="BO400"/>
      <c r="BP400" s="13"/>
      <c r="BQ400" s="553"/>
      <c r="BR400" s="716"/>
      <c r="BS400" s="716"/>
      <c r="BT400" s="716"/>
      <c r="BU400" s="717"/>
      <c r="BV400" s="717"/>
      <c r="BW400" s="717"/>
      <c r="BY400" s="717"/>
      <c r="CA400" s="756"/>
      <c r="CB400" s="716"/>
      <c r="CC400" s="789"/>
      <c r="CD400" s="793"/>
    </row>
    <row r="401" spans="1:82" x14ac:dyDescent="0.25">
      <c r="B401" s="717"/>
      <c r="D401" s="21"/>
      <c r="E401" s="21"/>
      <c r="F401" s="21"/>
      <c r="G401" s="21"/>
      <c r="H401" s="21"/>
      <c r="I401" s="21"/>
      <c r="J401" s="21"/>
      <c r="K401" s="21"/>
      <c r="L401" s="21"/>
      <c r="M401" s="1004"/>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K401"/>
      <c r="BL401"/>
      <c r="BM401"/>
      <c r="BN401"/>
      <c r="BO401"/>
      <c r="BP401" s="13"/>
      <c r="BQ401" s="553"/>
      <c r="BR401" s="716"/>
      <c r="BS401" s="716"/>
      <c r="BT401" s="716"/>
      <c r="BU401" s="717"/>
      <c r="BV401" s="717"/>
      <c r="BW401" s="717"/>
      <c r="BY401" s="717"/>
      <c r="CA401" s="756"/>
      <c r="CB401" s="716"/>
      <c r="CC401" s="789"/>
      <c r="CD401" s="793"/>
    </row>
    <row r="402" spans="1:82" x14ac:dyDescent="0.25">
      <c r="B402" s="717"/>
      <c r="D402" s="21"/>
      <c r="E402" s="21"/>
      <c r="F402" s="21"/>
      <c r="G402" s="21"/>
      <c r="H402" s="21"/>
      <c r="I402" s="21"/>
      <c r="J402" s="21"/>
      <c r="K402" s="21"/>
      <c r="L402" s="21"/>
      <c r="M402" s="1004"/>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K402"/>
      <c r="BL402"/>
      <c r="BM402"/>
      <c r="BN402"/>
      <c r="BO402"/>
      <c r="BP402" s="13"/>
      <c r="BQ402" s="553"/>
      <c r="BR402" s="716"/>
      <c r="BS402" s="716"/>
      <c r="BT402" s="716"/>
      <c r="BU402" s="717"/>
      <c r="BV402" s="717"/>
      <c r="BW402" s="717"/>
      <c r="BY402" s="717"/>
      <c r="CA402" s="756"/>
      <c r="CB402" s="716"/>
      <c r="CC402" s="789"/>
      <c r="CD402" s="793"/>
    </row>
    <row r="403" spans="1:82" x14ac:dyDescent="0.25">
      <c r="B403" s="717"/>
      <c r="D403" s="21"/>
      <c r="E403" s="21"/>
      <c r="F403" s="21"/>
      <c r="G403" s="21"/>
      <c r="H403" s="21"/>
      <c r="I403" s="21"/>
      <c r="J403" s="21"/>
      <c r="K403" s="21"/>
      <c r="L403" s="21"/>
      <c r="M403" s="1004"/>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K403"/>
      <c r="BL403"/>
      <c r="BM403"/>
      <c r="BN403"/>
      <c r="BO403"/>
      <c r="BP403" s="13"/>
      <c r="BQ403" s="553"/>
      <c r="BR403" s="716"/>
      <c r="BS403" s="716"/>
      <c r="BT403" s="716"/>
      <c r="BU403" s="717"/>
      <c r="BV403" s="717"/>
      <c r="BW403" s="717"/>
      <c r="BY403" s="717"/>
      <c r="CA403" s="756"/>
      <c r="CB403" s="716"/>
      <c r="CC403" s="789"/>
      <c r="CD403" s="793"/>
    </row>
    <row r="404" spans="1:82" x14ac:dyDescent="0.25">
      <c r="B404" s="717"/>
      <c r="D404" s="21"/>
      <c r="E404" s="21"/>
      <c r="F404" s="21"/>
      <c r="G404" s="21"/>
      <c r="H404" s="21"/>
      <c r="I404" s="21"/>
      <c r="J404" s="21"/>
      <c r="K404" s="21"/>
      <c r="L404" s="21"/>
      <c r="M404" s="1004"/>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K404" s="13"/>
      <c r="BL404" s="13"/>
      <c r="BM404" s="13"/>
      <c r="BN404" s="13"/>
      <c r="BO404" s="13"/>
      <c r="BP404" s="13"/>
      <c r="BQ404" s="553"/>
      <c r="BR404" s="716"/>
      <c r="BS404" s="716"/>
      <c r="BT404" s="716"/>
      <c r="BU404" s="717"/>
      <c r="BV404" s="717"/>
      <c r="BW404" s="717"/>
      <c r="BY404" s="717"/>
      <c r="CA404" s="756"/>
      <c r="CB404" s="716"/>
      <c r="CC404" s="789"/>
      <c r="CD404" s="793"/>
    </row>
    <row r="405" spans="1:82" x14ac:dyDescent="0.25">
      <c r="B405" s="717"/>
      <c r="D405" s="21"/>
      <c r="E405" s="21"/>
      <c r="F405" s="21"/>
      <c r="G405" s="21"/>
      <c r="H405" s="21"/>
      <c r="I405" s="21"/>
      <c r="J405" s="21"/>
      <c r="K405" s="21"/>
      <c r="L405" s="21"/>
      <c r="M405" s="1004"/>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K405" s="13"/>
      <c r="BL405" s="13"/>
      <c r="BM405" s="13"/>
      <c r="BN405" s="13"/>
      <c r="BO405" s="13"/>
      <c r="BP405" s="13"/>
      <c r="BQ405" s="553"/>
      <c r="BR405" s="716"/>
      <c r="BS405" s="716"/>
      <c r="BT405" s="716"/>
      <c r="BU405" s="717"/>
      <c r="BV405" s="717"/>
      <c r="BW405" s="717"/>
      <c r="BY405" s="717"/>
      <c r="CA405" s="756"/>
      <c r="CB405" s="716"/>
      <c r="CC405" s="789"/>
      <c r="CD405" s="793"/>
    </row>
    <row r="406" spans="1:82" x14ac:dyDescent="0.25">
      <c r="B406" s="717"/>
      <c r="D406" s="21"/>
      <c r="E406" s="21"/>
      <c r="F406" s="21"/>
      <c r="G406" s="21"/>
      <c r="H406" s="21"/>
      <c r="I406" s="21"/>
      <c r="J406" s="21"/>
      <c r="K406" s="21"/>
      <c r="L406" s="21"/>
      <c r="M406" s="1004"/>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K406" s="13"/>
      <c r="BL406" s="13"/>
      <c r="BM406" s="13"/>
      <c r="BN406" s="13"/>
      <c r="BO406" s="13"/>
      <c r="BP406" s="13"/>
      <c r="BQ406" s="553"/>
      <c r="BR406" s="716"/>
      <c r="BS406" s="716"/>
      <c r="BT406" s="716"/>
      <c r="BU406" s="717"/>
      <c r="BV406" s="717"/>
      <c r="BW406" s="717"/>
      <c r="BY406" s="717"/>
      <c r="CA406" s="756"/>
      <c r="CB406" s="716"/>
      <c r="CC406" s="789"/>
      <c r="CD406" s="793"/>
    </row>
    <row r="407" spans="1:82" x14ac:dyDescent="0.25">
      <c r="B407" s="717"/>
      <c r="D407" s="21"/>
      <c r="E407" s="21"/>
      <c r="F407" s="21"/>
      <c r="G407" s="21"/>
      <c r="H407" s="21"/>
      <c r="I407" s="21"/>
      <c r="J407" s="21"/>
      <c r="K407" s="21"/>
      <c r="L407" s="21"/>
      <c r="M407" s="1004"/>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K407" s="13"/>
      <c r="BL407" s="13"/>
      <c r="BM407" s="13"/>
      <c r="BN407" s="13"/>
      <c r="BO407" s="13"/>
      <c r="BP407" s="13"/>
      <c r="BQ407" s="553"/>
      <c r="BR407" s="716"/>
      <c r="BS407" s="716"/>
      <c r="BT407" s="716"/>
      <c r="BU407" s="717"/>
      <c r="BV407" s="717"/>
      <c r="BW407" s="717"/>
      <c r="BY407" s="717"/>
      <c r="CA407" s="756"/>
      <c r="CB407" s="716"/>
      <c r="CC407" s="789"/>
      <c r="CD407" s="793"/>
    </row>
    <row r="408" spans="1:82" x14ac:dyDescent="0.25">
      <c r="B408" s="717"/>
      <c r="D408" s="21"/>
      <c r="E408" s="21"/>
      <c r="F408" s="21"/>
      <c r="G408" s="21"/>
      <c r="H408" s="21"/>
      <c r="I408" s="21"/>
      <c r="J408" s="21"/>
      <c r="K408" s="21"/>
      <c r="L408" s="21"/>
      <c r="M408" s="1004"/>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K408" s="13"/>
      <c r="BL408" s="13"/>
      <c r="BM408" s="13"/>
      <c r="BN408" s="13"/>
      <c r="BO408" s="13"/>
      <c r="BP408" s="13"/>
      <c r="BQ408" s="553"/>
      <c r="BR408" s="716"/>
      <c r="BS408" s="716"/>
      <c r="BT408" s="716"/>
      <c r="BU408" s="717"/>
      <c r="BV408" s="717"/>
      <c r="BW408" s="717"/>
      <c r="BY408" s="717"/>
      <c r="CA408" s="756"/>
      <c r="CB408" s="716"/>
      <c r="CC408" s="789"/>
      <c r="CD408" s="793"/>
    </row>
    <row r="409" spans="1:82" x14ac:dyDescent="0.25">
      <c r="A409"/>
      <c r="B409" s="717"/>
      <c r="D409" s="21"/>
      <c r="E409" s="21"/>
      <c r="F409" s="21"/>
      <c r="G409" s="21"/>
      <c r="H409" s="21"/>
      <c r="I409" s="21"/>
      <c r="J409" s="21"/>
      <c r="K409" s="21"/>
      <c r="L409" s="21"/>
      <c r="M409" s="1004"/>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K409" s="13"/>
      <c r="BL409" s="13"/>
      <c r="BM409" s="13"/>
      <c r="BN409" s="13"/>
      <c r="BO409" s="13"/>
      <c r="BP409" s="13"/>
      <c r="BQ409" s="553"/>
      <c r="BR409" s="716"/>
      <c r="BS409" s="716"/>
      <c r="BT409" s="716"/>
      <c r="BU409" s="717"/>
      <c r="BV409" s="717"/>
      <c r="BW409" s="717"/>
      <c r="BY409" s="717"/>
      <c r="CA409" s="756"/>
      <c r="CB409" s="716"/>
      <c r="CC409" s="789"/>
      <c r="CD409" s="793"/>
    </row>
    <row r="410" spans="1:82" x14ac:dyDescent="0.25">
      <c r="A410"/>
      <c r="B410" s="717"/>
      <c r="D410" s="21"/>
      <c r="E410" s="21"/>
      <c r="F410" s="21"/>
      <c r="G410" s="21"/>
      <c r="H410" s="21"/>
      <c r="I410" s="21"/>
      <c r="J410" s="21"/>
      <c r="K410" s="21"/>
      <c r="L410" s="21"/>
      <c r="M410" s="1004"/>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K410" s="13"/>
      <c r="BL410" s="13"/>
      <c r="BM410" s="13"/>
      <c r="BN410" s="13"/>
      <c r="BO410" s="13"/>
      <c r="BP410" s="13"/>
      <c r="BQ410" s="553"/>
      <c r="BR410" s="716"/>
      <c r="BS410" s="716"/>
      <c r="BT410" s="716"/>
      <c r="BU410" s="717"/>
      <c r="BV410" s="717"/>
      <c r="BW410" s="717"/>
      <c r="BY410" s="717"/>
      <c r="CA410" s="756"/>
      <c r="CB410" s="716"/>
      <c r="CC410" s="789"/>
      <c r="CD410" s="793"/>
    </row>
    <row r="411" spans="1:82" x14ac:dyDescent="0.25">
      <c r="A411"/>
      <c r="B411" s="717"/>
      <c r="D411" s="21"/>
      <c r="E411" s="21"/>
      <c r="F411" s="21"/>
      <c r="G411" s="21"/>
      <c r="H411" s="21"/>
      <c r="I411" s="21"/>
      <c r="J411" s="21"/>
      <c r="K411" s="21"/>
      <c r="L411" s="21"/>
      <c r="M411" s="1004"/>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K411" s="13"/>
      <c r="BL411" s="13"/>
      <c r="BM411" s="13"/>
      <c r="BN411" s="13"/>
      <c r="BO411" s="13"/>
      <c r="BP411" s="13"/>
      <c r="BQ411" s="553"/>
      <c r="BR411" s="716"/>
      <c r="BS411" s="716"/>
      <c r="BT411" s="716"/>
      <c r="BU411" s="717"/>
      <c r="BV411" s="717"/>
      <c r="BW411" s="717"/>
      <c r="BY411" s="717"/>
      <c r="CA411" s="756"/>
      <c r="CB411" s="716"/>
      <c r="CC411" s="789"/>
      <c r="CD411" s="793"/>
    </row>
    <row r="412" spans="1:82" x14ac:dyDescent="0.25">
      <c r="A412"/>
      <c r="B412" s="717"/>
      <c r="D412" s="21"/>
      <c r="E412" s="21"/>
      <c r="F412" s="21"/>
      <c r="G412" s="21"/>
      <c r="H412" s="21"/>
      <c r="I412" s="21"/>
      <c r="J412" s="21"/>
      <c r="K412" s="21"/>
      <c r="L412" s="21"/>
      <c r="M412" s="1004"/>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K412" s="13"/>
      <c r="BL412" s="13"/>
      <c r="BM412" s="13"/>
      <c r="BN412" s="13"/>
      <c r="BO412" s="13"/>
      <c r="BP412" s="13"/>
      <c r="BQ412" s="553"/>
      <c r="BR412" s="716"/>
      <c r="BS412" s="716"/>
      <c r="BT412" s="716"/>
      <c r="BU412" s="717"/>
      <c r="BV412" s="717"/>
      <c r="BW412" s="717"/>
      <c r="BY412" s="717"/>
      <c r="CA412" s="756"/>
      <c r="CB412" s="716"/>
      <c r="CC412" s="789"/>
      <c r="CD412" s="793"/>
    </row>
    <row r="413" spans="1:82" x14ac:dyDescent="0.25">
      <c r="A413"/>
      <c r="B413" s="717"/>
      <c r="D413" s="21"/>
      <c r="E413" s="21"/>
      <c r="F413" s="21"/>
      <c r="G413" s="21"/>
      <c r="H413" s="21"/>
      <c r="I413" s="21"/>
      <c r="J413" s="21"/>
      <c r="K413" s="21"/>
      <c r="L413" s="21"/>
      <c r="M413" s="1004"/>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K413" s="13"/>
      <c r="BL413" s="13"/>
      <c r="BM413" s="13"/>
      <c r="BN413" s="13"/>
      <c r="BO413" s="13"/>
      <c r="BP413" s="13"/>
      <c r="BQ413" s="553"/>
      <c r="BR413" s="716"/>
      <c r="BS413" s="716"/>
      <c r="BT413" s="716"/>
      <c r="BU413" s="717"/>
      <c r="BV413" s="717"/>
      <c r="BW413" s="717"/>
      <c r="BY413" s="717"/>
      <c r="CA413" s="756"/>
      <c r="CB413" s="716"/>
      <c r="CC413" s="789"/>
      <c r="CD413" s="793"/>
    </row>
    <row r="414" spans="1:82" x14ac:dyDescent="0.25">
      <c r="A414"/>
      <c r="B414" s="717"/>
      <c r="D414" s="21"/>
      <c r="E414" s="21"/>
      <c r="F414" s="21"/>
      <c r="G414" s="21"/>
      <c r="H414" s="21"/>
      <c r="I414" s="21"/>
      <c r="J414" s="21"/>
      <c r="K414" s="21"/>
      <c r="L414" s="21"/>
      <c r="M414" s="1004"/>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K414" s="13"/>
      <c r="BL414" s="13"/>
      <c r="BM414" s="13"/>
      <c r="BN414" s="13"/>
      <c r="BO414" s="13"/>
      <c r="BP414" s="13"/>
      <c r="BQ414" s="553"/>
      <c r="BR414" s="716"/>
      <c r="BS414" s="716"/>
      <c r="BT414" s="716"/>
      <c r="BU414" s="717"/>
      <c r="BV414" s="717"/>
      <c r="BW414" s="717"/>
      <c r="BY414" s="717"/>
      <c r="CA414" s="756"/>
      <c r="CB414" s="716"/>
      <c r="CC414" s="789"/>
      <c r="CD414" s="793"/>
    </row>
    <row r="415" spans="1:82" x14ac:dyDescent="0.25">
      <c r="A415"/>
      <c r="B415" s="717"/>
      <c r="D415" s="21"/>
      <c r="E415" s="21"/>
      <c r="F415" s="21"/>
      <c r="G415" s="21"/>
      <c r="H415" s="21"/>
      <c r="I415" s="21"/>
      <c r="J415" s="21"/>
      <c r="K415" s="21"/>
      <c r="L415" s="21"/>
      <c r="M415" s="1004"/>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K415" s="13"/>
      <c r="BL415" s="13"/>
      <c r="BM415" s="13"/>
      <c r="BN415" s="13"/>
      <c r="BO415" s="13"/>
      <c r="BP415" s="13"/>
      <c r="BQ415" s="553"/>
      <c r="BR415" s="716"/>
      <c r="BS415" s="716"/>
      <c r="BT415" s="716"/>
      <c r="BU415" s="717"/>
      <c r="BV415" s="717"/>
      <c r="BW415" s="717"/>
      <c r="BY415" s="717"/>
      <c r="CA415" s="756"/>
      <c r="CB415" s="716"/>
      <c r="CC415" s="789"/>
      <c r="CD415" s="793"/>
    </row>
    <row r="416" spans="1:82" x14ac:dyDescent="0.25">
      <c r="B416" s="717"/>
      <c r="D416" s="21"/>
      <c r="E416" s="21"/>
      <c r="F416" s="21"/>
      <c r="G416" s="21"/>
      <c r="H416" s="21"/>
      <c r="I416" s="21"/>
      <c r="J416" s="21"/>
      <c r="K416" s="21"/>
      <c r="L416" s="21"/>
      <c r="M416" s="1004"/>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K416" s="13"/>
      <c r="BL416" s="13"/>
      <c r="BM416" s="13"/>
      <c r="BN416" s="13"/>
      <c r="BO416" s="13"/>
      <c r="BP416" s="13"/>
      <c r="BQ416" s="553"/>
      <c r="BR416" s="716"/>
      <c r="BS416" s="716"/>
      <c r="BT416" s="716"/>
      <c r="BU416" s="717"/>
      <c r="BV416" s="717"/>
      <c r="BW416" s="717"/>
      <c r="BY416" s="717"/>
      <c r="CA416" s="756"/>
      <c r="CB416" s="716"/>
      <c r="CC416" s="789"/>
      <c r="CD416" s="793"/>
    </row>
    <row r="417" spans="2:82" x14ac:dyDescent="0.25">
      <c r="B417" s="717"/>
      <c r="D417" s="21"/>
      <c r="E417" s="21"/>
      <c r="F417" s="21"/>
      <c r="G417" s="21"/>
      <c r="H417" s="21"/>
      <c r="I417" s="21"/>
      <c r="J417" s="21"/>
      <c r="K417" s="21"/>
      <c r="L417" s="21"/>
      <c r="M417" s="1004"/>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K417" s="13"/>
      <c r="BL417" s="13"/>
      <c r="BM417" s="13"/>
      <c r="BN417" s="13"/>
      <c r="BO417" s="13"/>
      <c r="BP417" s="13"/>
      <c r="BQ417" s="553"/>
      <c r="BR417" s="716"/>
      <c r="BS417" s="716"/>
      <c r="BT417" s="716"/>
      <c r="BU417" s="717"/>
      <c r="BV417" s="717"/>
      <c r="BW417" s="717"/>
      <c r="BY417" s="717"/>
      <c r="CA417" s="756"/>
      <c r="CB417" s="716"/>
      <c r="CC417" s="789"/>
      <c r="CD417" s="793"/>
    </row>
    <row r="418" spans="2:82" x14ac:dyDescent="0.25">
      <c r="B418" s="717"/>
      <c r="D418" s="21"/>
      <c r="E418" s="21"/>
      <c r="F418" s="21"/>
      <c r="G418" s="21"/>
      <c r="H418" s="21"/>
      <c r="I418" s="21"/>
      <c r="J418" s="21"/>
      <c r="K418" s="21"/>
      <c r="L418" s="21"/>
      <c r="M418" s="1004"/>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K418" s="13"/>
      <c r="BL418" s="13"/>
      <c r="BM418" s="13"/>
      <c r="BN418" s="13"/>
      <c r="BO418" s="13"/>
      <c r="BP418" s="13"/>
      <c r="BQ418" s="553"/>
      <c r="BR418" s="716"/>
      <c r="BS418" s="716"/>
      <c r="BT418" s="716"/>
      <c r="BU418" s="717"/>
      <c r="BV418" s="717"/>
      <c r="BW418" s="717"/>
      <c r="BY418" s="717"/>
      <c r="CA418" s="756"/>
      <c r="CB418" s="716"/>
      <c r="CC418" s="789"/>
      <c r="CD418" s="793"/>
    </row>
    <row r="419" spans="2:82" x14ac:dyDescent="0.25">
      <c r="B419" s="717"/>
      <c r="D419" s="21"/>
      <c r="E419" s="21"/>
      <c r="F419" s="21"/>
      <c r="G419" s="21"/>
      <c r="H419" s="21"/>
      <c r="I419" s="21"/>
      <c r="J419" s="21"/>
      <c r="K419" s="21"/>
      <c r="L419" s="21"/>
      <c r="M419" s="1004"/>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K419" s="13"/>
      <c r="BL419" s="13"/>
      <c r="BM419" s="13"/>
      <c r="BN419" s="13"/>
      <c r="BO419" s="13"/>
      <c r="BP419" s="13"/>
      <c r="BQ419" s="553"/>
      <c r="BR419" s="716"/>
      <c r="BS419" s="716"/>
      <c r="BT419" s="716"/>
      <c r="BU419" s="717"/>
      <c r="BV419" s="717"/>
      <c r="BW419" s="717"/>
      <c r="BY419" s="717"/>
      <c r="CA419" s="756"/>
      <c r="CB419" s="716"/>
      <c r="CC419" s="789"/>
      <c r="CD419" s="793"/>
    </row>
    <row r="420" spans="2:82" x14ac:dyDescent="0.25">
      <c r="B420" s="717"/>
      <c r="D420" s="21"/>
      <c r="E420" s="21"/>
      <c r="F420" s="21"/>
      <c r="G420" s="21"/>
      <c r="H420" s="21"/>
      <c r="I420" s="21"/>
      <c r="J420" s="21"/>
      <c r="K420" s="21"/>
      <c r="L420" s="21"/>
      <c r="M420" s="1004"/>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K420" s="13"/>
      <c r="BL420" s="13"/>
      <c r="BM420" s="13"/>
      <c r="BN420" s="13"/>
      <c r="BO420" s="13"/>
      <c r="BP420" s="13"/>
      <c r="BQ420" s="553"/>
      <c r="BR420" s="716"/>
      <c r="BS420" s="716"/>
      <c r="BT420" s="716"/>
      <c r="BU420" s="717"/>
      <c r="BV420" s="717"/>
      <c r="BW420" s="717"/>
      <c r="BY420" s="717"/>
      <c r="CA420" s="756"/>
      <c r="CB420" s="716"/>
      <c r="CC420" s="789"/>
      <c r="CD420" s="793"/>
    </row>
    <row r="421" spans="2:82" x14ac:dyDescent="0.25">
      <c r="B421" s="717"/>
      <c r="D421" s="21"/>
      <c r="E421" s="21"/>
      <c r="F421" s="21"/>
      <c r="G421" s="21"/>
      <c r="H421" s="21"/>
      <c r="I421" s="21"/>
      <c r="J421" s="21"/>
      <c r="K421" s="21"/>
      <c r="L421" s="21"/>
      <c r="M421" s="1004"/>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K421" s="13"/>
      <c r="BL421" s="13"/>
      <c r="BM421" s="13"/>
      <c r="BN421" s="13"/>
      <c r="BO421" s="13"/>
      <c r="BP421" s="13"/>
      <c r="BQ421" s="553"/>
      <c r="BR421" s="716"/>
      <c r="BS421" s="716"/>
      <c r="BT421" s="716"/>
      <c r="BU421" s="717"/>
      <c r="BV421" s="717"/>
      <c r="BW421" s="717"/>
      <c r="BY421" s="717"/>
      <c r="CA421" s="756"/>
      <c r="CB421" s="716"/>
      <c r="CC421" s="789"/>
      <c r="CD421" s="793"/>
    </row>
    <row r="422" spans="2:82" x14ac:dyDescent="0.25">
      <c r="B422" s="717"/>
      <c r="D422" s="21"/>
      <c r="E422" s="21"/>
      <c r="F422" s="21"/>
      <c r="G422" s="21"/>
      <c r="H422" s="21"/>
      <c r="I422" s="21"/>
      <c r="J422" s="21"/>
      <c r="K422" s="21"/>
      <c r="L422" s="21"/>
      <c r="M422" s="1004"/>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K422" s="13"/>
      <c r="BL422" s="13"/>
      <c r="BM422" s="13"/>
      <c r="BN422" s="13"/>
      <c r="BO422" s="13"/>
      <c r="BP422" s="13"/>
      <c r="BQ422" s="553"/>
      <c r="BR422" s="716"/>
      <c r="BS422" s="716"/>
      <c r="BT422" s="716"/>
      <c r="BU422" s="717"/>
      <c r="BV422" s="717"/>
      <c r="BW422" s="717"/>
      <c r="BY422" s="717"/>
      <c r="CA422" s="756"/>
      <c r="CB422" s="716"/>
      <c r="CC422" s="789"/>
      <c r="CD422" s="793"/>
    </row>
    <row r="423" spans="2:82" x14ac:dyDescent="0.25">
      <c r="B423" s="717"/>
      <c r="D423" s="21"/>
      <c r="E423" s="21"/>
      <c r="F423" s="21"/>
      <c r="G423" s="21"/>
      <c r="H423" s="21"/>
      <c r="I423" s="21"/>
      <c r="J423" s="21"/>
      <c r="K423" s="21"/>
      <c r="L423" s="21"/>
      <c r="M423" s="1004"/>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K423" s="13"/>
      <c r="BL423" s="13"/>
      <c r="BM423" s="13"/>
      <c r="BN423" s="13"/>
      <c r="BO423" s="13"/>
      <c r="BP423" s="13"/>
      <c r="BQ423" s="553"/>
      <c r="BR423" s="716"/>
      <c r="BS423" s="716"/>
      <c r="BT423" s="716"/>
      <c r="BU423" s="717"/>
      <c r="BV423" s="717"/>
      <c r="BW423" s="717"/>
      <c r="BY423" s="717"/>
      <c r="CA423" s="756"/>
      <c r="CB423" s="716"/>
      <c r="CC423" s="789"/>
      <c r="CD423" s="793"/>
    </row>
    <row r="424" spans="2:82" x14ac:dyDescent="0.25">
      <c r="B424" s="717"/>
      <c r="D424" s="21"/>
      <c r="E424" s="21"/>
      <c r="F424" s="21"/>
      <c r="G424" s="21"/>
      <c r="H424" s="21"/>
      <c r="I424" s="21"/>
      <c r="J424" s="21"/>
      <c r="K424" s="21"/>
      <c r="L424" s="21"/>
      <c r="M424" s="1004"/>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K424" s="13"/>
      <c r="BL424" s="13"/>
      <c r="BM424" s="13"/>
      <c r="BN424" s="13"/>
      <c r="BO424" s="13"/>
      <c r="BP424" s="13"/>
      <c r="BQ424" s="553"/>
      <c r="BR424" s="716"/>
      <c r="BS424" s="716"/>
      <c r="BT424" s="716"/>
      <c r="BU424" s="717"/>
      <c r="BV424" s="717"/>
      <c r="BW424" s="717"/>
      <c r="BY424" s="717"/>
      <c r="CA424" s="756"/>
      <c r="CB424" s="716"/>
      <c r="CC424" s="789"/>
      <c r="CD424" s="793"/>
    </row>
    <row r="425" spans="2:82" x14ac:dyDescent="0.25">
      <c r="B425" s="717"/>
      <c r="D425" s="21"/>
      <c r="E425" s="21"/>
      <c r="F425" s="21"/>
      <c r="G425" s="21"/>
      <c r="H425" s="21"/>
      <c r="I425" s="21"/>
      <c r="J425" s="21"/>
      <c r="K425" s="21"/>
      <c r="L425" s="21"/>
      <c r="M425" s="1004"/>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K425" s="13"/>
      <c r="BL425" s="13"/>
      <c r="BM425" s="13"/>
      <c r="BN425" s="13"/>
      <c r="BO425" s="13"/>
      <c r="BP425" s="13"/>
      <c r="BQ425" s="553"/>
      <c r="BR425" s="716"/>
      <c r="BS425" s="716"/>
      <c r="BT425" s="716"/>
      <c r="BU425" s="717"/>
      <c r="BV425" s="717"/>
      <c r="BW425" s="717"/>
      <c r="BY425" s="717"/>
      <c r="CA425" s="756"/>
      <c r="CB425" s="716"/>
      <c r="CC425" s="789"/>
      <c r="CD425" s="793"/>
    </row>
    <row r="426" spans="2:82" x14ac:dyDescent="0.25">
      <c r="B426" s="717"/>
      <c r="D426" s="21"/>
      <c r="E426" s="21"/>
      <c r="F426" s="21"/>
      <c r="G426" s="21"/>
      <c r="H426" s="21"/>
      <c r="I426" s="21"/>
      <c r="J426" s="21"/>
      <c r="K426" s="21"/>
      <c r="L426" s="21"/>
      <c r="M426" s="1004"/>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K426" s="13"/>
      <c r="BL426" s="13"/>
      <c r="BM426" s="13"/>
      <c r="BN426" s="13"/>
      <c r="BO426" s="13"/>
      <c r="BP426" s="13"/>
      <c r="BQ426" s="553"/>
      <c r="BR426" s="716"/>
      <c r="BS426" s="716"/>
      <c r="BT426" s="716"/>
      <c r="BU426" s="717"/>
      <c r="BV426" s="717"/>
      <c r="BW426" s="717"/>
      <c r="BY426" s="717"/>
      <c r="CA426" s="756"/>
      <c r="CB426" s="716"/>
      <c r="CC426" s="789"/>
      <c r="CD426" s="793"/>
    </row>
    <row r="427" spans="2:82" x14ac:dyDescent="0.25">
      <c r="B427" s="717"/>
      <c r="D427" s="21"/>
      <c r="E427" s="21"/>
      <c r="F427" s="21"/>
      <c r="G427" s="21"/>
      <c r="H427" s="21"/>
      <c r="I427" s="21"/>
      <c r="J427" s="21"/>
      <c r="K427" s="21"/>
      <c r="L427" s="21"/>
      <c r="M427" s="1004"/>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K427" s="13"/>
      <c r="BL427" s="13"/>
      <c r="BM427" s="13"/>
      <c r="BN427" s="13"/>
      <c r="BO427" s="13"/>
      <c r="BP427" s="13"/>
      <c r="BQ427" s="553"/>
      <c r="BR427" s="716"/>
      <c r="BS427" s="716"/>
      <c r="BT427" s="716"/>
      <c r="BU427" s="717"/>
      <c r="BV427" s="717"/>
      <c r="BW427" s="717"/>
      <c r="BY427" s="717"/>
      <c r="CA427" s="756"/>
      <c r="CB427" s="716"/>
      <c r="CC427" s="789"/>
      <c r="CD427" s="793"/>
    </row>
    <row r="428" spans="2:82" x14ac:dyDescent="0.25">
      <c r="B428" s="717"/>
      <c r="D428" s="21"/>
      <c r="E428" s="21"/>
      <c r="F428" s="21"/>
      <c r="G428" s="21"/>
      <c r="H428" s="21"/>
      <c r="I428" s="21"/>
      <c r="J428" s="21"/>
      <c r="K428" s="21"/>
      <c r="L428" s="21"/>
      <c r="M428" s="1004"/>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K428" s="13"/>
      <c r="BL428" s="13"/>
      <c r="BM428" s="13"/>
      <c r="BN428" s="13"/>
      <c r="BO428" s="13"/>
      <c r="BP428" s="13"/>
      <c r="BQ428" s="553"/>
      <c r="BR428" s="716"/>
      <c r="BS428" s="716"/>
      <c r="BT428" s="716"/>
      <c r="BU428" s="717"/>
      <c r="BV428" s="717"/>
      <c r="BW428" s="717"/>
      <c r="BY428" s="717"/>
      <c r="CA428" s="756"/>
      <c r="CB428" s="716"/>
      <c r="CC428" s="789"/>
      <c r="CD428" s="793"/>
    </row>
    <row r="429" spans="2:82" x14ac:dyDescent="0.25">
      <c r="B429" s="717"/>
      <c r="D429" s="21"/>
      <c r="E429" s="21"/>
      <c r="F429" s="21"/>
      <c r="G429" s="21"/>
      <c r="H429" s="21"/>
      <c r="I429" s="21"/>
      <c r="J429" s="21"/>
      <c r="K429" s="21"/>
      <c r="L429" s="21"/>
      <c r="M429" s="1004"/>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K429" s="13"/>
      <c r="BL429" s="13"/>
      <c r="BM429" s="13"/>
      <c r="BN429" s="13"/>
      <c r="BO429" s="13"/>
      <c r="BP429" s="13"/>
      <c r="BQ429" s="553"/>
      <c r="BR429" s="716"/>
      <c r="BS429" s="716"/>
      <c r="BT429" s="716"/>
      <c r="BU429" s="717"/>
      <c r="BV429" s="717"/>
      <c r="BW429" s="717"/>
      <c r="BY429" s="717"/>
      <c r="CA429" s="756"/>
      <c r="CB429" s="716"/>
      <c r="CC429" s="789"/>
      <c r="CD429" s="793"/>
    </row>
    <row r="430" spans="2:82" x14ac:dyDescent="0.25">
      <c r="B430" s="717"/>
      <c r="D430" s="21"/>
      <c r="E430" s="21"/>
      <c r="F430" s="21"/>
      <c r="G430" s="21"/>
      <c r="H430" s="21"/>
      <c r="I430" s="21"/>
      <c r="J430" s="21"/>
      <c r="K430" s="21"/>
      <c r="L430" s="21"/>
      <c r="M430" s="1004"/>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K430" s="13"/>
      <c r="BL430" s="13"/>
      <c r="BM430" s="13"/>
      <c r="BN430" s="13"/>
      <c r="BO430" s="13"/>
      <c r="BP430" s="13"/>
      <c r="BQ430" s="553"/>
      <c r="BR430" s="716"/>
      <c r="BS430" s="716"/>
      <c r="BT430" s="716"/>
      <c r="BU430" s="717"/>
      <c r="BV430" s="717"/>
      <c r="BW430" s="717"/>
      <c r="BY430" s="717"/>
      <c r="CA430" s="756"/>
      <c r="CB430" s="716"/>
      <c r="CC430" s="789"/>
      <c r="CD430" s="793"/>
    </row>
    <row r="431" spans="2:82" x14ac:dyDescent="0.25">
      <c r="B431" s="717"/>
      <c r="D431" s="21"/>
      <c r="E431" s="21"/>
      <c r="F431" s="21"/>
      <c r="G431" s="21"/>
      <c r="H431" s="21"/>
      <c r="I431" s="21"/>
      <c r="J431" s="21"/>
      <c r="K431" s="21"/>
      <c r="L431" s="21"/>
      <c r="M431" s="1004"/>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K431" s="13"/>
      <c r="BL431" s="13"/>
      <c r="BM431" s="13"/>
      <c r="BN431" s="13"/>
      <c r="BO431" s="13"/>
      <c r="BP431" s="13"/>
      <c r="BQ431" s="553"/>
      <c r="BR431" s="716"/>
      <c r="BS431" s="716"/>
      <c r="BT431" s="716"/>
      <c r="BU431" s="717"/>
      <c r="BV431" s="717"/>
      <c r="BW431" s="717"/>
      <c r="BY431" s="717"/>
      <c r="CA431" s="756"/>
      <c r="CB431" s="716"/>
      <c r="CC431" s="789"/>
      <c r="CD431" s="793"/>
    </row>
    <row r="432" spans="2:82" x14ac:dyDescent="0.25">
      <c r="B432" s="717"/>
      <c r="D432" s="21"/>
      <c r="E432" s="21"/>
      <c r="F432" s="21"/>
      <c r="G432" s="21"/>
      <c r="H432" s="21"/>
      <c r="I432" s="21"/>
      <c r="J432" s="21"/>
      <c r="K432" s="21"/>
      <c r="L432" s="21"/>
      <c r="M432" s="1004"/>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K432" s="13"/>
      <c r="BL432" s="13"/>
      <c r="BM432" s="13"/>
      <c r="BN432" s="13"/>
      <c r="BO432" s="13"/>
      <c r="BP432" s="13"/>
      <c r="BQ432" s="553"/>
      <c r="BR432" s="716"/>
      <c r="BS432" s="716"/>
      <c r="BT432" s="716"/>
      <c r="BU432" s="717"/>
      <c r="BV432" s="717"/>
      <c r="BW432" s="717"/>
      <c r="BY432" s="717"/>
      <c r="CA432" s="756"/>
      <c r="CB432" s="716"/>
      <c r="CC432" s="789"/>
      <c r="CD432" s="793"/>
    </row>
    <row r="433" spans="2:82" x14ac:dyDescent="0.25">
      <c r="B433" s="717"/>
      <c r="D433" s="21"/>
      <c r="E433" s="21"/>
      <c r="F433" s="21"/>
      <c r="G433" s="21"/>
      <c r="H433" s="21"/>
      <c r="I433" s="21"/>
      <c r="J433" s="21"/>
      <c r="K433" s="21"/>
      <c r="L433" s="21"/>
      <c r="M433" s="1004"/>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K433" s="13"/>
      <c r="BL433" s="13"/>
      <c r="BM433" s="13"/>
      <c r="BN433" s="13"/>
      <c r="BO433" s="13"/>
      <c r="BP433" s="13"/>
      <c r="BQ433" s="553"/>
      <c r="BR433" s="716"/>
      <c r="BS433" s="716"/>
      <c r="BT433" s="716"/>
      <c r="BU433" s="717"/>
      <c r="BV433" s="717"/>
      <c r="BW433" s="717"/>
      <c r="BY433" s="717"/>
      <c r="CA433" s="756"/>
      <c r="CB433" s="716"/>
      <c r="CC433" s="789"/>
      <c r="CD433" s="793"/>
    </row>
    <row r="434" spans="2:82" x14ac:dyDescent="0.25">
      <c r="B434" s="717"/>
      <c r="D434" s="21"/>
      <c r="E434" s="21"/>
      <c r="F434" s="21"/>
      <c r="G434" s="21"/>
      <c r="H434" s="21"/>
      <c r="I434" s="21"/>
      <c r="J434" s="21"/>
      <c r="K434" s="21"/>
      <c r="L434" s="21"/>
      <c r="M434" s="1004"/>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K434" s="13"/>
      <c r="BL434" s="13"/>
      <c r="BM434" s="13"/>
      <c r="BN434" s="13"/>
      <c r="BO434" s="13"/>
      <c r="BP434" s="13"/>
      <c r="BQ434" s="553"/>
      <c r="BR434" s="716"/>
      <c r="BS434" s="716"/>
      <c r="BT434" s="716"/>
      <c r="BU434" s="717"/>
      <c r="BV434" s="717"/>
      <c r="BW434" s="717"/>
      <c r="BY434" s="717"/>
      <c r="CA434" s="756"/>
      <c r="CB434" s="716"/>
      <c r="CC434" s="789"/>
      <c r="CD434" s="793"/>
    </row>
    <row r="435" spans="2:82" x14ac:dyDescent="0.25">
      <c r="B435" s="717"/>
      <c r="D435" s="21"/>
      <c r="E435" s="21"/>
      <c r="F435" s="21"/>
      <c r="G435" s="21"/>
      <c r="H435" s="21"/>
      <c r="I435" s="21"/>
      <c r="J435" s="21"/>
      <c r="K435" s="21"/>
      <c r="L435" s="21"/>
      <c r="M435" s="1004"/>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K435" s="13"/>
      <c r="BL435" s="13"/>
      <c r="BM435" s="13"/>
      <c r="BN435" s="13"/>
      <c r="BO435" s="13"/>
      <c r="BP435" s="13"/>
      <c r="BQ435" s="553"/>
      <c r="BR435" s="716"/>
      <c r="BS435" s="716"/>
      <c r="BT435" s="716"/>
      <c r="BU435" s="717"/>
      <c r="BV435" s="717"/>
      <c r="BW435" s="717"/>
      <c r="BY435" s="717"/>
      <c r="CA435" s="756"/>
      <c r="CB435" s="716"/>
      <c r="CC435" s="789"/>
      <c r="CD435" s="793"/>
    </row>
    <row r="436" spans="2:82" x14ac:dyDescent="0.25">
      <c r="B436" s="717"/>
      <c r="D436" s="21"/>
      <c r="E436" s="21"/>
      <c r="F436" s="21"/>
      <c r="G436" s="21"/>
      <c r="H436" s="21"/>
      <c r="I436" s="21"/>
      <c r="J436" s="21"/>
      <c r="K436" s="21"/>
      <c r="L436" s="21"/>
      <c r="M436" s="1004"/>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K436" s="13"/>
      <c r="BL436" s="13"/>
      <c r="BM436" s="13"/>
      <c r="BN436" s="13"/>
      <c r="BO436" s="13"/>
      <c r="BP436" s="13"/>
      <c r="BQ436" s="553"/>
      <c r="BR436" s="716"/>
      <c r="BS436" s="716"/>
      <c r="BT436" s="716"/>
      <c r="BU436" s="717"/>
      <c r="BV436" s="717"/>
      <c r="BW436" s="717"/>
      <c r="BY436" s="717"/>
      <c r="CA436" s="756"/>
      <c r="CB436" s="716"/>
      <c r="CC436" s="789"/>
      <c r="CD436" s="793"/>
    </row>
    <row r="437" spans="2:82" x14ac:dyDescent="0.25">
      <c r="B437" s="717"/>
      <c r="D437" s="21"/>
      <c r="E437" s="21"/>
      <c r="F437" s="21"/>
      <c r="G437" s="21"/>
      <c r="H437" s="21"/>
      <c r="I437" s="21"/>
      <c r="J437" s="21"/>
      <c r="K437" s="21"/>
      <c r="L437" s="21"/>
      <c r="M437" s="1004"/>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K437" s="13"/>
      <c r="BL437" s="13"/>
      <c r="BM437" s="13"/>
      <c r="BN437" s="13"/>
      <c r="BO437" s="13"/>
      <c r="BP437" s="13"/>
      <c r="BQ437" s="553"/>
      <c r="BR437" s="716"/>
      <c r="BS437" s="716"/>
      <c r="BT437" s="716"/>
      <c r="BU437" s="717"/>
      <c r="BV437" s="717"/>
      <c r="BW437" s="717"/>
      <c r="BY437" s="717"/>
      <c r="CA437" s="756"/>
      <c r="CB437" s="716"/>
      <c r="CC437" s="789"/>
      <c r="CD437" s="793"/>
    </row>
    <row r="438" spans="2:82" x14ac:dyDescent="0.25">
      <c r="B438" s="717"/>
      <c r="D438" s="21"/>
      <c r="E438" s="21"/>
      <c r="F438" s="21"/>
      <c r="G438" s="21"/>
      <c r="H438" s="21"/>
      <c r="I438" s="21"/>
      <c r="J438" s="21"/>
      <c r="K438" s="21"/>
      <c r="L438" s="21"/>
      <c r="M438" s="1004"/>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K438" s="13"/>
      <c r="BL438" s="13"/>
      <c r="BM438" s="13"/>
      <c r="BN438" s="13"/>
      <c r="BO438" s="13"/>
      <c r="BP438" s="13"/>
      <c r="BQ438" s="553"/>
      <c r="BR438" s="716"/>
      <c r="BS438" s="716"/>
      <c r="BT438" s="716"/>
      <c r="BU438" s="717"/>
      <c r="BV438" s="717"/>
      <c r="BW438" s="717"/>
      <c r="BY438" s="717"/>
      <c r="CA438" s="756"/>
      <c r="CB438" s="716"/>
      <c r="CC438" s="789"/>
      <c r="CD438" s="793"/>
    </row>
    <row r="439" spans="2:82" x14ac:dyDescent="0.25">
      <c r="B439" s="717"/>
      <c r="D439" s="21"/>
      <c r="E439" s="21"/>
      <c r="F439" s="21"/>
      <c r="G439" s="21"/>
      <c r="H439" s="21"/>
      <c r="I439" s="21"/>
      <c r="J439" s="21"/>
      <c r="K439" s="21"/>
      <c r="L439" s="21"/>
      <c r="M439" s="1004"/>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K439" s="13"/>
      <c r="BL439" s="13"/>
      <c r="BM439" s="13"/>
      <c r="BN439" s="13"/>
      <c r="BO439" s="13"/>
      <c r="BP439" s="13"/>
      <c r="BQ439" s="553"/>
      <c r="BR439" s="716"/>
      <c r="BS439" s="716"/>
      <c r="BT439" s="716"/>
      <c r="BU439" s="717"/>
      <c r="BV439" s="717"/>
      <c r="BW439" s="717"/>
      <c r="BY439" s="717"/>
      <c r="CA439" s="756"/>
      <c r="CB439" s="716"/>
      <c r="CC439" s="789"/>
      <c r="CD439" s="793"/>
    </row>
    <row r="440" spans="2:82" x14ac:dyDescent="0.25">
      <c r="B440" s="717"/>
      <c r="D440" s="21"/>
      <c r="E440" s="21"/>
      <c r="F440" s="21"/>
      <c r="G440" s="21"/>
      <c r="H440" s="21"/>
      <c r="I440" s="21"/>
      <c r="J440" s="21"/>
      <c r="K440" s="21"/>
      <c r="L440" s="21"/>
      <c r="M440" s="1004"/>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K440" s="13"/>
      <c r="BL440" s="13"/>
      <c r="BM440" s="13"/>
      <c r="BN440" s="13"/>
      <c r="BO440" s="13"/>
      <c r="BP440" s="13"/>
      <c r="BQ440" s="553"/>
      <c r="BR440" s="716"/>
      <c r="BS440" s="716"/>
      <c r="BT440" s="716"/>
      <c r="BU440" s="717"/>
      <c r="BV440" s="717"/>
      <c r="BW440" s="717"/>
      <c r="BY440" s="717"/>
      <c r="CA440" s="756"/>
      <c r="CB440" s="716"/>
      <c r="CC440" s="789"/>
      <c r="CD440" s="793"/>
    </row>
    <row r="441" spans="2:82" x14ac:dyDescent="0.25">
      <c r="B441" s="717"/>
      <c r="D441" s="21"/>
      <c r="E441" s="21"/>
      <c r="F441" s="21"/>
      <c r="G441" s="21"/>
      <c r="H441" s="21"/>
      <c r="I441" s="21"/>
      <c r="J441" s="21"/>
      <c r="K441" s="21"/>
      <c r="L441" s="21"/>
      <c r="M441" s="1004"/>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K441" s="13"/>
      <c r="BL441" s="13"/>
      <c r="BM441" s="13"/>
      <c r="BN441" s="13"/>
      <c r="BO441" s="13"/>
      <c r="BP441" s="13"/>
      <c r="BQ441" s="553"/>
      <c r="BR441" s="716"/>
      <c r="BS441" s="716"/>
      <c r="BT441" s="716"/>
      <c r="BU441" s="717"/>
      <c r="BV441" s="717"/>
      <c r="BW441" s="717"/>
      <c r="BY441" s="717"/>
      <c r="CA441" s="756"/>
      <c r="CB441" s="716"/>
      <c r="CC441" s="789"/>
      <c r="CD441" s="793"/>
    </row>
    <row r="442" spans="2:82" x14ac:dyDescent="0.25">
      <c r="B442" s="717"/>
      <c r="D442" s="21"/>
      <c r="E442" s="21"/>
      <c r="F442" s="21"/>
      <c r="G442" s="21"/>
      <c r="H442" s="21"/>
      <c r="I442" s="21"/>
      <c r="J442" s="21"/>
      <c r="K442" s="21"/>
      <c r="L442" s="21"/>
      <c r="M442" s="1004"/>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K442" s="13"/>
      <c r="BL442" s="13"/>
      <c r="BM442" s="13"/>
      <c r="BN442" s="13"/>
      <c r="BO442" s="13"/>
      <c r="BP442" s="13"/>
      <c r="BQ442" s="553"/>
      <c r="BR442" s="716"/>
      <c r="BS442" s="716"/>
      <c r="BT442" s="716"/>
      <c r="BU442" s="717"/>
      <c r="BV442" s="717"/>
      <c r="BW442" s="717"/>
      <c r="BY442" s="717"/>
      <c r="CA442" s="756"/>
      <c r="CB442" s="716"/>
      <c r="CC442" s="789"/>
      <c r="CD442" s="793"/>
    </row>
    <row r="443" spans="2:82" x14ac:dyDescent="0.25">
      <c r="B443" s="717"/>
      <c r="D443" s="21"/>
      <c r="E443" s="21"/>
      <c r="F443" s="21"/>
      <c r="G443" s="21"/>
      <c r="H443" s="21"/>
      <c r="I443" s="21"/>
      <c r="J443" s="21"/>
      <c r="K443" s="21"/>
      <c r="L443" s="21"/>
      <c r="M443" s="1004"/>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K443" s="13"/>
      <c r="BL443" s="13"/>
      <c r="BM443" s="13"/>
      <c r="BN443" s="13"/>
      <c r="BO443" s="13"/>
      <c r="BP443" s="13"/>
      <c r="BQ443" s="553"/>
      <c r="BR443" s="716"/>
      <c r="BS443" s="716"/>
      <c r="BT443" s="716"/>
      <c r="BU443" s="717"/>
      <c r="BV443" s="717"/>
      <c r="BW443" s="717"/>
      <c r="BY443" s="717"/>
      <c r="CA443" s="756"/>
      <c r="CB443" s="716"/>
      <c r="CC443" s="789"/>
      <c r="CD443" s="793"/>
    </row>
    <row r="444" spans="2:82" x14ac:dyDescent="0.25">
      <c r="B444" s="717"/>
      <c r="D444" s="21"/>
      <c r="E444" s="21"/>
      <c r="F444" s="21"/>
      <c r="G444" s="21"/>
      <c r="H444" s="21"/>
      <c r="I444" s="21"/>
      <c r="J444" s="21"/>
      <c r="K444" s="21"/>
      <c r="L444" s="21"/>
      <c r="M444" s="1004"/>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K444" s="13"/>
      <c r="BL444" s="13"/>
      <c r="BM444" s="13"/>
      <c r="BN444" s="13"/>
      <c r="BO444" s="13"/>
      <c r="BP444" s="13"/>
      <c r="BQ444" s="553"/>
      <c r="BR444" s="716"/>
      <c r="BS444" s="716"/>
      <c r="BT444" s="716"/>
      <c r="BU444" s="717"/>
      <c r="BV444" s="717"/>
      <c r="BW444" s="717"/>
      <c r="BY444" s="717"/>
      <c r="CA444" s="756"/>
      <c r="CB444" s="716"/>
      <c r="CC444" s="789"/>
      <c r="CD444" s="793"/>
    </row>
    <row r="445" spans="2:82" x14ac:dyDescent="0.25">
      <c r="B445" s="717"/>
      <c r="D445" s="21"/>
      <c r="E445" s="21"/>
      <c r="F445" s="21"/>
      <c r="G445" s="21"/>
      <c r="H445" s="21"/>
      <c r="I445" s="21"/>
      <c r="J445" s="21"/>
      <c r="K445" s="21"/>
      <c r="L445" s="21"/>
      <c r="M445" s="1004"/>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K445" s="13"/>
      <c r="BL445" s="13"/>
      <c r="BM445" s="13"/>
      <c r="BN445" s="13"/>
      <c r="BO445" s="13"/>
      <c r="BP445" s="13"/>
      <c r="BQ445" s="553"/>
      <c r="BR445" s="716"/>
      <c r="BS445" s="716"/>
      <c r="BT445" s="716"/>
      <c r="BU445" s="717"/>
      <c r="BV445" s="717"/>
      <c r="BW445" s="717"/>
      <c r="BY445" s="717"/>
      <c r="CA445" s="756"/>
      <c r="CB445" s="716"/>
      <c r="CC445" s="789"/>
      <c r="CD445" s="793"/>
    </row>
    <row r="446" spans="2:82" x14ac:dyDescent="0.25">
      <c r="B446" s="717"/>
      <c r="D446" s="21"/>
      <c r="E446" s="21"/>
      <c r="F446" s="21"/>
      <c r="G446" s="21"/>
      <c r="H446" s="21"/>
      <c r="I446" s="21"/>
      <c r="J446" s="21"/>
      <c r="K446" s="21"/>
      <c r="L446" s="21"/>
      <c r="M446" s="1004"/>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K446" s="13"/>
      <c r="BL446" s="13"/>
      <c r="BM446" s="13"/>
      <c r="BN446" s="13"/>
      <c r="BO446" s="13"/>
      <c r="BP446" s="13"/>
      <c r="BQ446" s="553"/>
      <c r="BR446" s="716"/>
      <c r="BS446" s="716"/>
      <c r="BT446" s="716"/>
      <c r="BU446" s="717"/>
      <c r="BV446" s="717"/>
      <c r="BW446" s="717"/>
      <c r="BY446" s="717"/>
      <c r="CA446" s="756"/>
      <c r="CB446" s="716"/>
      <c r="CC446" s="789"/>
      <c r="CD446" s="793"/>
    </row>
    <row r="447" spans="2:82" x14ac:dyDescent="0.25">
      <c r="B447" s="717"/>
      <c r="D447" s="21"/>
      <c r="E447" s="21"/>
      <c r="F447" s="21"/>
      <c r="G447" s="21"/>
      <c r="H447" s="21"/>
      <c r="I447" s="21"/>
      <c r="J447" s="21"/>
      <c r="K447" s="21"/>
      <c r="L447" s="21"/>
      <c r="M447" s="1004"/>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K447" s="13"/>
      <c r="BL447" s="13"/>
      <c r="BM447" s="13"/>
      <c r="BN447" s="13"/>
      <c r="BO447" s="13"/>
      <c r="BP447" s="13"/>
      <c r="BQ447" s="553"/>
      <c r="BR447" s="716"/>
      <c r="BS447" s="716"/>
      <c r="BT447" s="716"/>
      <c r="BU447" s="717"/>
      <c r="BV447" s="717"/>
      <c r="BW447" s="717"/>
      <c r="BY447" s="717"/>
      <c r="CA447" s="756"/>
      <c r="CB447" s="716"/>
      <c r="CC447" s="789"/>
      <c r="CD447" s="793"/>
    </row>
    <row r="448" spans="2:82" x14ac:dyDescent="0.25">
      <c r="B448" s="717"/>
      <c r="D448" s="21"/>
      <c r="E448" s="21"/>
      <c r="F448" s="21"/>
      <c r="G448" s="21"/>
      <c r="H448" s="21"/>
      <c r="I448" s="21"/>
      <c r="J448" s="21"/>
      <c r="K448" s="21"/>
      <c r="L448" s="21"/>
      <c r="M448" s="1004"/>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K448" s="13"/>
      <c r="BL448" s="13"/>
      <c r="BM448" s="13"/>
      <c r="BN448" s="13"/>
      <c r="BO448" s="13"/>
      <c r="BP448" s="13"/>
      <c r="BQ448" s="553"/>
      <c r="BR448" s="716"/>
      <c r="BS448" s="716"/>
      <c r="BT448" s="716"/>
      <c r="BU448" s="717"/>
      <c r="BV448" s="717"/>
      <c r="BW448" s="717"/>
      <c r="BY448" s="717"/>
      <c r="CA448" s="756"/>
      <c r="CB448" s="716"/>
      <c r="CC448" s="789"/>
      <c r="CD448" s="793"/>
    </row>
    <row r="449" spans="2:82" x14ac:dyDescent="0.25">
      <c r="B449" s="717"/>
      <c r="D449" s="21"/>
      <c r="E449" s="21"/>
      <c r="F449" s="21"/>
      <c r="G449" s="21"/>
      <c r="H449" s="21"/>
      <c r="I449" s="21"/>
      <c r="J449" s="21"/>
      <c r="K449" s="21"/>
      <c r="L449" s="21"/>
      <c r="M449" s="1004"/>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K449" s="13"/>
      <c r="BL449" s="13"/>
      <c r="BM449" s="13"/>
      <c r="BN449" s="13"/>
      <c r="BO449" s="13"/>
      <c r="BP449" s="13"/>
      <c r="BQ449" s="553"/>
      <c r="BR449" s="716"/>
      <c r="BS449" s="716"/>
      <c r="BT449" s="716"/>
      <c r="BU449" s="717"/>
      <c r="BV449" s="717"/>
      <c r="BW449" s="717"/>
      <c r="BY449" s="717"/>
      <c r="CA449" s="756"/>
      <c r="CB449" s="716"/>
      <c r="CC449" s="789"/>
      <c r="CD449" s="793"/>
    </row>
    <row r="450" spans="2:82" x14ac:dyDescent="0.25">
      <c r="B450" s="717"/>
      <c r="D450" s="21"/>
      <c r="E450" s="21"/>
      <c r="F450" s="21"/>
      <c r="G450" s="21"/>
      <c r="H450" s="21"/>
      <c r="I450" s="21"/>
      <c r="J450" s="21"/>
      <c r="K450" s="21"/>
      <c r="L450" s="21"/>
      <c r="M450" s="1004"/>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K450" s="13"/>
      <c r="BL450" s="13"/>
      <c r="BM450" s="13"/>
      <c r="BN450" s="13"/>
      <c r="BO450" s="13"/>
      <c r="BP450" s="13"/>
      <c r="BQ450" s="553"/>
      <c r="BR450" s="716"/>
      <c r="BS450" s="716"/>
      <c r="BT450" s="716"/>
      <c r="BU450" s="717"/>
      <c r="BV450" s="717"/>
      <c r="BW450" s="717"/>
      <c r="BY450" s="717"/>
      <c r="CA450" s="756"/>
      <c r="CB450" s="716"/>
      <c r="CC450" s="789"/>
      <c r="CD450" s="793"/>
    </row>
    <row r="451" spans="2:82" x14ac:dyDescent="0.25">
      <c r="B451" s="717"/>
      <c r="D451" s="21"/>
      <c r="E451" s="21"/>
      <c r="F451" s="21"/>
      <c r="G451" s="21"/>
      <c r="H451" s="21"/>
      <c r="I451" s="21"/>
      <c r="J451" s="21"/>
      <c r="K451" s="21"/>
      <c r="L451" s="21"/>
      <c r="M451" s="1004"/>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K451" s="13"/>
      <c r="BL451" s="13"/>
      <c r="BM451" s="13"/>
      <c r="BN451" s="13"/>
      <c r="BO451" s="13"/>
      <c r="BP451" s="13"/>
      <c r="BQ451" s="553"/>
      <c r="BR451" s="716"/>
      <c r="BS451" s="716"/>
      <c r="BT451" s="716"/>
      <c r="BU451" s="717"/>
      <c r="BV451" s="717"/>
      <c r="BW451" s="717"/>
      <c r="BY451" s="717"/>
      <c r="CA451" s="756"/>
      <c r="CB451" s="716"/>
      <c r="CC451" s="789"/>
      <c r="CD451" s="793"/>
    </row>
    <row r="452" spans="2:82" x14ac:dyDescent="0.25">
      <c r="B452" s="717"/>
      <c r="D452" s="21"/>
      <c r="E452" s="21"/>
      <c r="F452" s="21"/>
      <c r="G452" s="21"/>
      <c r="H452" s="21"/>
      <c r="I452" s="21"/>
      <c r="J452" s="21"/>
      <c r="K452" s="21"/>
      <c r="L452" s="21"/>
      <c r="M452" s="1004"/>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K452" s="13"/>
      <c r="BL452" s="13"/>
      <c r="BM452" s="13"/>
      <c r="BN452" s="13"/>
      <c r="BO452" s="13"/>
      <c r="BP452" s="13"/>
      <c r="BQ452" s="553"/>
      <c r="BR452" s="716"/>
      <c r="BS452" s="716"/>
      <c r="BT452" s="716"/>
      <c r="BU452" s="717"/>
      <c r="BV452" s="717"/>
      <c r="BW452" s="717"/>
      <c r="BY452" s="717"/>
      <c r="CA452" s="756"/>
      <c r="CB452" s="716"/>
      <c r="CC452" s="789"/>
      <c r="CD452" s="793"/>
    </row>
    <row r="453" spans="2:82" x14ac:dyDescent="0.25">
      <c r="B453" s="717"/>
      <c r="D453" s="21"/>
      <c r="E453" s="21"/>
      <c r="F453" s="21"/>
      <c r="G453" s="21"/>
      <c r="H453" s="21"/>
      <c r="I453" s="21"/>
      <c r="J453" s="21"/>
      <c r="K453" s="21"/>
      <c r="L453" s="21"/>
      <c r="M453" s="1004"/>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K453" s="13"/>
      <c r="BL453" s="13"/>
      <c r="BM453" s="13"/>
      <c r="BN453" s="13"/>
      <c r="BO453" s="13"/>
      <c r="BP453" s="13"/>
      <c r="BQ453" s="553"/>
      <c r="BR453" s="716"/>
      <c r="BS453" s="716"/>
      <c r="BT453" s="716"/>
      <c r="BU453" s="717"/>
      <c r="BV453" s="717"/>
      <c r="BW453" s="717"/>
      <c r="BY453" s="717"/>
      <c r="CA453" s="756"/>
      <c r="CB453" s="716"/>
      <c r="CC453" s="789"/>
      <c r="CD453" s="793"/>
    </row>
    <row r="454" spans="2:82" x14ac:dyDescent="0.25">
      <c r="B454" s="717"/>
      <c r="D454" s="21"/>
      <c r="E454" s="21"/>
      <c r="F454" s="21"/>
      <c r="G454" s="21"/>
      <c r="H454" s="21"/>
      <c r="I454" s="21"/>
      <c r="J454" s="21"/>
      <c r="K454" s="21"/>
      <c r="L454" s="21"/>
      <c r="M454" s="1004"/>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K454" s="13"/>
      <c r="BL454" s="13"/>
      <c r="BM454" s="13"/>
      <c r="BN454" s="13"/>
      <c r="BO454" s="13"/>
      <c r="BP454" s="13"/>
      <c r="BQ454" s="553"/>
      <c r="BR454" s="716"/>
      <c r="BS454" s="716"/>
      <c r="BT454" s="716"/>
      <c r="BU454" s="717"/>
      <c r="BV454" s="717"/>
      <c r="BW454" s="717"/>
      <c r="BY454" s="717"/>
      <c r="CA454" s="756"/>
      <c r="CB454" s="716"/>
      <c r="CC454" s="789"/>
      <c r="CD454" s="793"/>
    </row>
    <row r="455" spans="2:82" x14ac:dyDescent="0.25">
      <c r="B455" s="717"/>
      <c r="D455" s="21"/>
      <c r="E455" s="21"/>
      <c r="F455" s="21"/>
      <c r="G455" s="21"/>
      <c r="H455" s="21"/>
      <c r="I455" s="21"/>
      <c r="J455" s="21"/>
      <c r="K455" s="21"/>
      <c r="L455" s="21"/>
      <c r="M455" s="1004"/>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K455" s="13"/>
      <c r="BL455" s="13"/>
      <c r="BM455" s="13"/>
      <c r="BN455" s="13"/>
      <c r="BO455" s="13"/>
      <c r="BP455" s="13"/>
      <c r="BQ455" s="553"/>
      <c r="BR455" s="716"/>
      <c r="BS455" s="716"/>
      <c r="BT455" s="716"/>
      <c r="BU455" s="717"/>
      <c r="BV455" s="717"/>
      <c r="BW455" s="717"/>
      <c r="BY455" s="717"/>
      <c r="CA455" s="756"/>
      <c r="CB455" s="716"/>
      <c r="CC455" s="789"/>
      <c r="CD455" s="793"/>
    </row>
    <row r="456" spans="2:82" x14ac:dyDescent="0.25">
      <c r="B456" s="717"/>
      <c r="D456" s="21"/>
      <c r="E456" s="21"/>
      <c r="F456" s="21"/>
      <c r="G456" s="21"/>
      <c r="H456" s="21"/>
      <c r="I456" s="21"/>
      <c r="J456" s="21"/>
      <c r="K456" s="21"/>
      <c r="L456" s="21"/>
      <c r="M456" s="1004"/>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K456" s="13"/>
      <c r="BL456" s="13"/>
      <c r="BM456" s="13"/>
      <c r="BN456" s="13"/>
      <c r="BO456" s="13"/>
      <c r="BP456" s="13"/>
      <c r="BQ456" s="553"/>
      <c r="BR456" s="716"/>
      <c r="BS456" s="716"/>
      <c r="BT456" s="716"/>
      <c r="BU456" s="717"/>
      <c r="BV456" s="717"/>
      <c r="BW456" s="717"/>
      <c r="BY456" s="717"/>
      <c r="CA456" s="756"/>
      <c r="CB456" s="716"/>
      <c r="CC456" s="789"/>
      <c r="CD456" s="793"/>
    </row>
    <row r="457" spans="2:82" x14ac:dyDescent="0.25">
      <c r="B457" s="717"/>
      <c r="D457" s="21"/>
      <c r="E457" s="21"/>
      <c r="F457" s="21"/>
      <c r="G457" s="21"/>
      <c r="H457" s="21"/>
      <c r="I457" s="21"/>
      <c r="J457" s="21"/>
      <c r="K457" s="21"/>
      <c r="L457" s="21"/>
      <c r="M457" s="1004"/>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K457" s="13"/>
      <c r="BL457" s="13"/>
      <c r="BM457" s="13"/>
      <c r="BN457" s="13"/>
      <c r="BO457" s="13"/>
      <c r="BP457" s="13"/>
      <c r="BQ457" s="553"/>
      <c r="BR457" s="716"/>
      <c r="BS457" s="716"/>
      <c r="BT457" s="716"/>
      <c r="BU457" s="717"/>
      <c r="BV457" s="717"/>
      <c r="BW457" s="717"/>
      <c r="BY457" s="717"/>
      <c r="CA457" s="756"/>
      <c r="CB457" s="716"/>
      <c r="CC457" s="789"/>
      <c r="CD457" s="793"/>
    </row>
    <row r="458" spans="2:82" x14ac:dyDescent="0.25">
      <c r="B458" s="717"/>
      <c r="D458" s="21"/>
      <c r="E458" s="21"/>
      <c r="F458" s="21"/>
      <c r="G458" s="21"/>
      <c r="H458" s="21"/>
      <c r="I458" s="21"/>
      <c r="J458" s="21"/>
      <c r="K458" s="21"/>
      <c r="L458" s="21"/>
      <c r="M458" s="1004"/>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K458" s="13"/>
      <c r="BL458" s="13"/>
      <c r="BM458" s="13"/>
      <c r="BN458" s="13"/>
      <c r="BO458" s="13"/>
      <c r="BP458" s="13"/>
      <c r="BQ458" s="553"/>
      <c r="BR458" s="716"/>
      <c r="BS458" s="716"/>
      <c r="BT458" s="716"/>
      <c r="BU458" s="717"/>
      <c r="BV458" s="717"/>
      <c r="BW458" s="717"/>
      <c r="BY458" s="717"/>
      <c r="CA458" s="756"/>
      <c r="CB458" s="716"/>
      <c r="CC458" s="789"/>
      <c r="CD458" s="793"/>
    </row>
    <row r="459" spans="2:82" x14ac:dyDescent="0.25">
      <c r="B459" s="717"/>
      <c r="D459" s="21"/>
      <c r="E459" s="21"/>
      <c r="F459" s="21"/>
      <c r="G459" s="21"/>
      <c r="H459" s="21"/>
      <c r="I459" s="21"/>
      <c r="J459" s="21"/>
      <c r="K459" s="21"/>
      <c r="L459" s="21"/>
      <c r="M459" s="1004"/>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K459" s="13"/>
      <c r="BL459" s="13"/>
      <c r="BM459" s="13"/>
      <c r="BN459" s="13"/>
      <c r="BO459" s="13"/>
      <c r="BP459" s="13"/>
      <c r="BQ459" s="553"/>
      <c r="BR459" s="716"/>
      <c r="BS459" s="716"/>
      <c r="BT459" s="716"/>
      <c r="BU459" s="717"/>
      <c r="BV459" s="717"/>
      <c r="BW459" s="717"/>
      <c r="BY459" s="717"/>
      <c r="CA459" s="756"/>
      <c r="CB459" s="716"/>
      <c r="CC459" s="789"/>
      <c r="CD459" s="793"/>
    </row>
    <row r="460" spans="2:82" x14ac:dyDescent="0.25">
      <c r="B460" s="717"/>
      <c r="D460" s="21"/>
      <c r="E460" s="21"/>
      <c r="F460" s="21"/>
      <c r="G460" s="21"/>
      <c r="H460" s="21"/>
      <c r="I460" s="21"/>
      <c r="J460" s="21"/>
      <c r="K460" s="21"/>
      <c r="L460" s="21"/>
      <c r="M460" s="1004"/>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K460" s="13"/>
      <c r="BL460" s="13"/>
      <c r="BM460" s="13"/>
      <c r="BN460" s="13"/>
      <c r="BO460" s="13"/>
      <c r="BP460" s="13"/>
      <c r="BQ460" s="553"/>
      <c r="BR460" s="716"/>
      <c r="BS460" s="716"/>
      <c r="BT460" s="716"/>
      <c r="BU460" s="717"/>
      <c r="BV460" s="717"/>
      <c r="BW460" s="717"/>
      <c r="BY460" s="717"/>
      <c r="CA460" s="756"/>
      <c r="CB460" s="716"/>
      <c r="CC460" s="789"/>
      <c r="CD460" s="793"/>
    </row>
    <row r="461" spans="2:82" x14ac:dyDescent="0.25">
      <c r="B461" s="717"/>
      <c r="D461" s="21"/>
      <c r="E461" s="21"/>
      <c r="F461" s="21"/>
      <c r="G461" s="21"/>
      <c r="H461" s="21"/>
      <c r="I461" s="21"/>
      <c r="J461" s="21"/>
      <c r="K461" s="21"/>
      <c r="L461" s="21"/>
      <c r="M461" s="1004"/>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K461" s="13"/>
      <c r="BL461" s="13"/>
      <c r="BM461" s="13"/>
      <c r="BN461" s="13"/>
      <c r="BO461" s="13"/>
      <c r="BP461" s="13"/>
      <c r="BQ461" s="553"/>
      <c r="BR461" s="716"/>
      <c r="BS461" s="716"/>
      <c r="BT461" s="716"/>
      <c r="BU461" s="717"/>
      <c r="BV461" s="717"/>
      <c r="BW461" s="717"/>
      <c r="BY461" s="717"/>
      <c r="CA461" s="756"/>
      <c r="CB461" s="716"/>
      <c r="CC461" s="789"/>
      <c r="CD461" s="793"/>
    </row>
    <row r="462" spans="2:82" x14ac:dyDescent="0.25">
      <c r="B462" s="717"/>
      <c r="D462" s="21"/>
      <c r="E462" s="21"/>
      <c r="F462" s="21"/>
      <c r="G462" s="21"/>
      <c r="H462" s="21"/>
      <c r="I462" s="21"/>
      <c r="J462" s="21"/>
      <c r="K462" s="21"/>
      <c r="L462" s="21"/>
      <c r="M462" s="1004"/>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K462" s="13"/>
      <c r="BL462" s="13"/>
      <c r="BM462" s="13"/>
      <c r="BN462" s="13"/>
      <c r="BO462" s="13"/>
      <c r="BP462" s="13"/>
      <c r="BQ462" s="553"/>
      <c r="BR462" s="716"/>
      <c r="BS462" s="716"/>
      <c r="BT462" s="716"/>
      <c r="BU462" s="717"/>
      <c r="BV462" s="717"/>
      <c r="BW462" s="717"/>
      <c r="BY462" s="717"/>
      <c r="CA462" s="756"/>
      <c r="CB462" s="716"/>
      <c r="CC462" s="789"/>
      <c r="CD462" s="793"/>
    </row>
    <row r="463" spans="2:82" x14ac:dyDescent="0.25">
      <c r="B463" s="717"/>
      <c r="D463" s="21"/>
      <c r="E463" s="21"/>
      <c r="F463" s="21"/>
      <c r="G463" s="21"/>
      <c r="H463" s="21"/>
      <c r="I463" s="21"/>
      <c r="J463" s="21"/>
      <c r="K463" s="21"/>
      <c r="L463" s="21"/>
      <c r="M463" s="1004"/>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K463" s="13"/>
      <c r="BL463" s="13"/>
      <c r="BM463" s="13"/>
      <c r="BN463" s="13"/>
      <c r="BO463" s="13"/>
      <c r="BP463" s="13"/>
      <c r="BQ463" s="553"/>
      <c r="BR463" s="716"/>
      <c r="BS463" s="716"/>
      <c r="BT463" s="716"/>
      <c r="BU463" s="717"/>
      <c r="BV463" s="717"/>
      <c r="BW463" s="717"/>
      <c r="BY463" s="717"/>
      <c r="CA463" s="756"/>
      <c r="CB463" s="716"/>
      <c r="CC463" s="789"/>
      <c r="CD463" s="793"/>
    </row>
    <row r="464" spans="2:82" x14ac:dyDescent="0.25">
      <c r="B464" s="717"/>
      <c r="D464" s="21"/>
      <c r="E464" s="21"/>
      <c r="F464" s="21"/>
      <c r="G464" s="21"/>
      <c r="H464" s="21"/>
      <c r="I464" s="21"/>
      <c r="J464" s="21"/>
      <c r="K464" s="21"/>
      <c r="L464" s="21"/>
      <c r="M464" s="1004"/>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K464" s="13"/>
      <c r="BL464" s="13"/>
      <c r="BM464" s="13"/>
      <c r="BN464" s="13"/>
      <c r="BO464" s="13"/>
      <c r="BP464" s="13"/>
      <c r="BQ464" s="553"/>
      <c r="BR464" s="716"/>
      <c r="BS464" s="716"/>
      <c r="BT464" s="716"/>
      <c r="BU464" s="717"/>
      <c r="BV464" s="717"/>
      <c r="BW464" s="717"/>
      <c r="BY464" s="717"/>
      <c r="CA464" s="756"/>
      <c r="CB464" s="716"/>
      <c r="CC464" s="789"/>
      <c r="CD464" s="793"/>
    </row>
    <row r="465" spans="2:82" x14ac:dyDescent="0.25">
      <c r="B465" s="717"/>
      <c r="D465" s="21"/>
      <c r="E465" s="21"/>
      <c r="F465" s="21"/>
      <c r="G465" s="21"/>
      <c r="H465" s="21"/>
      <c r="I465" s="21"/>
      <c r="J465" s="21"/>
      <c r="K465" s="21"/>
      <c r="L465" s="21"/>
      <c r="M465" s="1004"/>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K465" s="13"/>
      <c r="BL465" s="13"/>
      <c r="BM465" s="13"/>
      <c r="BN465" s="13"/>
      <c r="BO465" s="13"/>
      <c r="BP465" s="13"/>
      <c r="BQ465" s="553"/>
      <c r="BR465" s="716"/>
      <c r="BS465" s="716"/>
      <c r="BT465" s="716"/>
      <c r="BU465" s="717"/>
      <c r="BV465" s="717"/>
      <c r="BW465" s="717"/>
      <c r="BY465" s="717"/>
      <c r="CA465" s="756"/>
      <c r="CB465" s="716"/>
      <c r="CC465" s="789"/>
      <c r="CD465" s="793"/>
    </row>
    <row r="466" spans="2:82" x14ac:dyDescent="0.25">
      <c r="B466" s="717"/>
      <c r="D466" s="21"/>
      <c r="E466" s="21"/>
      <c r="F466" s="21"/>
      <c r="G466" s="21"/>
      <c r="H466" s="21"/>
      <c r="I466" s="21"/>
      <c r="J466" s="21"/>
      <c r="K466" s="21"/>
      <c r="L466" s="21"/>
      <c r="M466" s="1004"/>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K466" s="13"/>
      <c r="BL466" s="13"/>
      <c r="BM466" s="13"/>
      <c r="BN466" s="13"/>
      <c r="BO466" s="13"/>
      <c r="BP466" s="13"/>
      <c r="BQ466" s="553"/>
      <c r="BR466" s="716"/>
      <c r="BS466" s="716"/>
      <c r="BT466" s="716"/>
      <c r="BU466" s="717"/>
      <c r="BV466" s="717"/>
      <c r="BW466" s="717"/>
      <c r="BY466" s="717"/>
      <c r="CA466" s="756"/>
      <c r="CB466" s="716"/>
      <c r="CC466" s="789"/>
      <c r="CD466" s="793"/>
    </row>
    <row r="467" spans="2:82" x14ac:dyDescent="0.25">
      <c r="B467" s="717"/>
      <c r="D467" s="21"/>
      <c r="E467" s="21"/>
      <c r="F467" s="21"/>
      <c r="G467" s="21"/>
      <c r="H467" s="21"/>
      <c r="I467" s="21"/>
      <c r="J467" s="21"/>
      <c r="K467" s="21"/>
      <c r="L467" s="21"/>
      <c r="M467" s="1004"/>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K467" s="13"/>
      <c r="BL467" s="13"/>
      <c r="BM467" s="13"/>
      <c r="BN467" s="13"/>
      <c r="BO467" s="13"/>
      <c r="BP467" s="13"/>
      <c r="BQ467" s="553"/>
      <c r="BR467" s="716"/>
      <c r="BS467" s="716"/>
      <c r="BT467" s="716"/>
      <c r="BU467" s="717"/>
      <c r="BV467" s="717"/>
      <c r="BW467" s="717"/>
      <c r="BY467" s="717"/>
      <c r="CA467" s="756"/>
      <c r="CB467" s="716"/>
      <c r="CC467" s="789"/>
      <c r="CD467" s="793"/>
    </row>
    <row r="468" spans="2:82" x14ac:dyDescent="0.25">
      <c r="B468" s="717"/>
      <c r="D468" s="21"/>
      <c r="E468" s="21"/>
      <c r="F468" s="21"/>
      <c r="G468" s="21"/>
      <c r="H468" s="21"/>
      <c r="I468" s="21"/>
      <c r="J468" s="21"/>
      <c r="K468" s="21"/>
      <c r="L468" s="21"/>
      <c r="M468" s="1004"/>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K468" s="13"/>
      <c r="BL468" s="13"/>
      <c r="BM468" s="13"/>
      <c r="BN468" s="13"/>
      <c r="BO468" s="13"/>
      <c r="BP468" s="13"/>
      <c r="BQ468" s="553"/>
      <c r="BR468" s="716"/>
      <c r="BS468" s="716"/>
      <c r="BT468" s="716"/>
      <c r="BU468" s="717"/>
      <c r="BV468" s="717"/>
      <c r="BW468" s="717"/>
      <c r="BY468" s="717"/>
      <c r="CA468" s="756"/>
      <c r="CB468" s="716"/>
      <c r="CC468" s="789"/>
      <c r="CD468" s="793"/>
    </row>
    <row r="469" spans="2:82" x14ac:dyDescent="0.25">
      <c r="B469" s="717"/>
      <c r="D469" s="21"/>
      <c r="E469" s="21"/>
      <c r="F469" s="21"/>
      <c r="G469" s="21"/>
      <c r="H469" s="21"/>
      <c r="I469" s="21"/>
      <c r="J469" s="21"/>
      <c r="K469" s="21"/>
      <c r="L469" s="21"/>
      <c r="M469" s="1004"/>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K469" s="13"/>
      <c r="BL469" s="13"/>
      <c r="BM469" s="13"/>
      <c r="BN469" s="13"/>
      <c r="BO469" s="13"/>
      <c r="BP469" s="13"/>
      <c r="BQ469" s="553"/>
      <c r="BR469" s="716"/>
      <c r="BS469" s="716"/>
      <c r="BT469" s="716"/>
      <c r="BU469" s="717"/>
      <c r="BV469" s="717"/>
      <c r="BW469" s="717"/>
      <c r="BY469" s="717"/>
      <c r="CA469" s="756"/>
      <c r="CB469" s="716"/>
      <c r="CC469" s="789"/>
      <c r="CD469" s="793"/>
    </row>
    <row r="470" spans="2:82" x14ac:dyDescent="0.25">
      <c r="B470" s="717"/>
      <c r="D470" s="21"/>
      <c r="E470" s="21"/>
      <c r="F470" s="21"/>
      <c r="G470" s="21"/>
      <c r="H470" s="21"/>
      <c r="I470" s="21"/>
      <c r="J470" s="21"/>
      <c r="K470" s="21"/>
      <c r="L470" s="21"/>
      <c r="M470" s="1004"/>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K470" s="13"/>
      <c r="BL470" s="13"/>
      <c r="BM470" s="13"/>
      <c r="BN470" s="13"/>
      <c r="BO470" s="13"/>
      <c r="BP470" s="13"/>
      <c r="BQ470" s="553"/>
      <c r="BR470" s="716"/>
      <c r="BS470" s="716"/>
      <c r="BT470" s="716"/>
      <c r="BU470" s="717"/>
      <c r="BV470" s="717"/>
      <c r="BW470" s="717"/>
      <c r="BY470" s="717"/>
      <c r="CA470" s="756"/>
      <c r="CB470" s="716"/>
      <c r="CC470" s="789"/>
      <c r="CD470" s="793"/>
    </row>
    <row r="471" spans="2:82" x14ac:dyDescent="0.25">
      <c r="B471" s="717"/>
      <c r="D471" s="21"/>
      <c r="E471" s="21"/>
      <c r="F471" s="21"/>
      <c r="G471" s="21"/>
      <c r="H471" s="21"/>
      <c r="I471" s="21"/>
      <c r="J471" s="21"/>
      <c r="K471" s="21"/>
      <c r="L471" s="21"/>
      <c r="M471" s="1004"/>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K471" s="13"/>
      <c r="BL471" s="13"/>
      <c r="BM471" s="13"/>
      <c r="BN471" s="13"/>
      <c r="BO471" s="13"/>
      <c r="BP471" s="13"/>
      <c r="BQ471" s="553"/>
      <c r="BR471" s="716"/>
      <c r="BS471" s="716"/>
      <c r="BT471" s="716"/>
      <c r="BU471" s="717"/>
      <c r="BV471" s="717"/>
      <c r="BW471" s="717"/>
      <c r="BY471" s="717"/>
      <c r="CA471" s="756"/>
      <c r="CB471" s="716"/>
      <c r="CC471" s="789"/>
      <c r="CD471" s="793"/>
    </row>
    <row r="472" spans="2:82" x14ac:dyDescent="0.25">
      <c r="B472" s="717"/>
      <c r="D472" s="21"/>
      <c r="E472" s="21"/>
      <c r="F472" s="21"/>
      <c r="G472" s="21"/>
      <c r="H472" s="21"/>
      <c r="I472" s="21"/>
      <c r="J472" s="21"/>
      <c r="K472" s="21"/>
      <c r="L472" s="21"/>
      <c r="M472" s="1004"/>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K472" s="13"/>
      <c r="BL472" s="13"/>
      <c r="BM472" s="13"/>
      <c r="BN472" s="13"/>
      <c r="BO472" s="13"/>
      <c r="BP472" s="13"/>
      <c r="BQ472" s="553"/>
      <c r="BR472" s="716"/>
      <c r="BS472" s="716"/>
      <c r="BT472" s="716"/>
      <c r="BU472" s="717"/>
      <c r="BV472" s="717"/>
      <c r="BW472" s="717"/>
      <c r="BY472" s="717"/>
      <c r="CA472" s="756"/>
      <c r="CB472" s="716"/>
      <c r="CC472" s="789"/>
      <c r="CD472" s="793"/>
    </row>
    <row r="473" spans="2:82" x14ac:dyDescent="0.25">
      <c r="B473" s="717"/>
      <c r="D473" s="21"/>
      <c r="E473" s="21"/>
      <c r="F473" s="21"/>
      <c r="G473" s="21"/>
      <c r="H473" s="21"/>
      <c r="I473" s="21"/>
      <c r="J473" s="21"/>
      <c r="K473" s="21"/>
      <c r="L473" s="21"/>
      <c r="M473" s="1004"/>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K473" s="13"/>
      <c r="BL473" s="13"/>
      <c r="BM473" s="13"/>
      <c r="BN473" s="13"/>
      <c r="BO473" s="13"/>
      <c r="BP473" s="13"/>
      <c r="BQ473" s="553"/>
      <c r="BR473" s="716"/>
      <c r="BS473" s="716"/>
      <c r="BT473" s="716"/>
      <c r="BU473" s="717"/>
      <c r="BV473" s="717"/>
      <c r="BW473" s="717"/>
      <c r="BY473" s="717"/>
      <c r="CA473" s="756"/>
      <c r="CB473" s="716"/>
      <c r="CC473" s="789"/>
      <c r="CD473" s="793"/>
    </row>
    <row r="474" spans="2:82" x14ac:dyDescent="0.25">
      <c r="B474" s="717"/>
      <c r="D474" s="21"/>
      <c r="E474" s="21"/>
      <c r="F474" s="21"/>
      <c r="G474" s="21"/>
      <c r="H474" s="21"/>
      <c r="I474" s="21"/>
      <c r="J474" s="21"/>
      <c r="K474" s="21"/>
      <c r="L474" s="21"/>
      <c r="M474" s="1004"/>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K474" s="13"/>
      <c r="BL474" s="13"/>
      <c r="BM474" s="13"/>
      <c r="BN474" s="13"/>
      <c r="BO474" s="13"/>
      <c r="BP474" s="13"/>
      <c r="BQ474" s="553"/>
      <c r="BR474" s="716"/>
      <c r="BS474" s="716"/>
      <c r="BT474" s="716"/>
      <c r="BU474" s="717"/>
      <c r="BV474" s="717"/>
      <c r="BW474" s="717"/>
      <c r="BY474" s="717"/>
      <c r="CA474" s="756"/>
      <c r="CB474" s="716"/>
      <c r="CC474" s="789"/>
      <c r="CD474" s="793"/>
    </row>
    <row r="475" spans="2:82" x14ac:dyDescent="0.25">
      <c r="B475" s="717"/>
      <c r="D475" s="21"/>
      <c r="E475" s="21"/>
      <c r="F475" s="21"/>
      <c r="G475" s="21"/>
      <c r="H475" s="21"/>
      <c r="I475" s="21"/>
      <c r="J475" s="21"/>
      <c r="K475" s="21"/>
      <c r="L475" s="21"/>
      <c r="M475" s="1004"/>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K475" s="13"/>
      <c r="BL475" s="13"/>
      <c r="BM475" s="13"/>
      <c r="BN475" s="13"/>
      <c r="BO475" s="13"/>
      <c r="BP475" s="13"/>
      <c r="BQ475" s="553"/>
      <c r="BR475" s="716"/>
      <c r="BS475" s="716"/>
      <c r="BT475" s="716"/>
      <c r="BU475" s="717"/>
      <c r="BV475" s="717"/>
      <c r="BW475" s="717"/>
      <c r="BY475" s="717"/>
      <c r="CA475" s="756"/>
      <c r="CB475" s="716"/>
      <c r="CC475" s="789"/>
      <c r="CD475" s="793"/>
    </row>
    <row r="476" spans="2:82" x14ac:dyDescent="0.25">
      <c r="B476" s="717"/>
      <c r="D476" s="21"/>
      <c r="E476" s="21"/>
      <c r="F476" s="21"/>
      <c r="G476" s="21"/>
      <c r="H476" s="21"/>
      <c r="I476" s="21"/>
      <c r="J476" s="21"/>
      <c r="K476" s="21"/>
      <c r="L476" s="21"/>
      <c r="M476" s="1004"/>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K476" s="13"/>
      <c r="BL476" s="13"/>
      <c r="BM476" s="13"/>
      <c r="BN476" s="13"/>
      <c r="BO476" s="13"/>
      <c r="BP476" s="13"/>
      <c r="BQ476" s="553"/>
      <c r="BR476" s="716"/>
      <c r="BS476" s="716"/>
      <c r="BT476" s="716"/>
      <c r="BU476" s="717"/>
      <c r="BV476" s="717"/>
      <c r="BW476" s="717"/>
      <c r="BY476" s="717"/>
      <c r="CA476" s="756"/>
      <c r="CB476" s="716"/>
      <c r="CC476" s="789"/>
      <c r="CD476" s="793"/>
    </row>
    <row r="477" spans="2:82" x14ac:dyDescent="0.25">
      <c r="B477" s="717"/>
      <c r="D477" s="21"/>
      <c r="E477" s="21"/>
      <c r="F477" s="21"/>
      <c r="G477" s="21"/>
      <c r="H477" s="21"/>
      <c r="I477" s="21"/>
      <c r="J477" s="21"/>
      <c r="K477" s="21"/>
      <c r="L477" s="21"/>
      <c r="M477" s="1004"/>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K477" s="13"/>
      <c r="BL477" s="13"/>
      <c r="BM477" s="13"/>
      <c r="BN477" s="13"/>
      <c r="BO477" s="13"/>
      <c r="BP477" s="13"/>
      <c r="BQ477" s="553"/>
      <c r="BR477" s="716"/>
      <c r="BS477" s="716"/>
      <c r="BT477" s="716"/>
      <c r="BU477" s="717"/>
      <c r="BV477" s="717"/>
      <c r="BW477" s="717"/>
      <c r="BY477" s="717"/>
      <c r="CA477" s="756"/>
      <c r="CB477" s="716"/>
      <c r="CC477" s="789"/>
      <c r="CD477" s="793"/>
    </row>
    <row r="478" spans="2:82" x14ac:dyDescent="0.25">
      <c r="B478" s="717"/>
      <c r="D478" s="21"/>
      <c r="E478" s="21"/>
      <c r="F478" s="21"/>
      <c r="G478" s="21"/>
      <c r="H478" s="21"/>
      <c r="I478" s="21"/>
      <c r="J478" s="21"/>
      <c r="K478" s="21"/>
      <c r="L478" s="21"/>
      <c r="M478" s="1004"/>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K478" s="13"/>
      <c r="BL478" s="13"/>
      <c r="BM478" s="13"/>
      <c r="BN478" s="13"/>
      <c r="BO478" s="13"/>
      <c r="BP478" s="13"/>
      <c r="BQ478" s="553"/>
      <c r="BR478" s="716"/>
      <c r="BS478" s="716"/>
      <c r="BT478" s="716"/>
      <c r="BU478" s="717"/>
      <c r="BV478" s="717"/>
      <c r="BW478" s="717"/>
      <c r="BY478" s="717"/>
      <c r="CA478" s="756"/>
      <c r="CB478" s="716"/>
      <c r="CC478" s="789"/>
      <c r="CD478" s="793"/>
    </row>
    <row r="479" spans="2:82" x14ac:dyDescent="0.25">
      <c r="B479" s="717"/>
      <c r="D479" s="21"/>
      <c r="E479" s="21"/>
      <c r="F479" s="21"/>
      <c r="G479" s="21"/>
      <c r="H479" s="21"/>
      <c r="I479" s="21"/>
      <c r="J479" s="21"/>
      <c r="K479" s="21"/>
      <c r="L479" s="21"/>
      <c r="M479" s="1004"/>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K479" s="13"/>
      <c r="BL479" s="13"/>
      <c r="BM479" s="13"/>
      <c r="BN479" s="13"/>
      <c r="BO479" s="13"/>
      <c r="BP479" s="13"/>
      <c r="BQ479" s="553"/>
      <c r="BR479" s="716"/>
      <c r="BS479" s="716"/>
      <c r="BT479" s="716"/>
      <c r="BU479" s="717"/>
      <c r="BV479" s="717"/>
      <c r="BW479" s="717"/>
      <c r="BY479" s="717"/>
      <c r="CA479" s="756"/>
      <c r="CB479" s="716"/>
      <c r="CC479" s="789"/>
      <c r="CD479" s="793"/>
    </row>
    <row r="480" spans="2:82" x14ac:dyDescent="0.25">
      <c r="B480" s="717"/>
      <c r="D480" s="21"/>
      <c r="E480" s="21"/>
      <c r="F480" s="21"/>
      <c r="G480" s="21"/>
      <c r="H480" s="21"/>
      <c r="I480" s="21"/>
      <c r="J480" s="21"/>
      <c r="K480" s="21"/>
      <c r="L480" s="21"/>
      <c r="M480" s="1004"/>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K480" s="13"/>
      <c r="BL480" s="13"/>
      <c r="BM480" s="13"/>
      <c r="BN480" s="13"/>
      <c r="BO480" s="13"/>
      <c r="BP480" s="13"/>
      <c r="BQ480" s="553"/>
      <c r="BR480" s="716"/>
      <c r="BS480" s="716"/>
      <c r="BT480" s="716"/>
      <c r="BU480" s="717"/>
      <c r="BV480" s="717"/>
      <c r="BW480" s="717"/>
      <c r="BY480" s="717"/>
      <c r="CA480" s="756"/>
      <c r="CB480" s="716"/>
      <c r="CC480" s="789"/>
      <c r="CD480" s="793"/>
    </row>
    <row r="481" spans="2:82" x14ac:dyDescent="0.25">
      <c r="B481" s="717"/>
      <c r="D481" s="21"/>
      <c r="E481" s="21"/>
      <c r="F481" s="21"/>
      <c r="G481" s="21"/>
      <c r="H481" s="21"/>
      <c r="I481" s="21"/>
      <c r="J481" s="21"/>
      <c r="K481" s="21"/>
      <c r="L481" s="21"/>
      <c r="M481" s="1004"/>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K481" s="13"/>
      <c r="BL481" s="13"/>
      <c r="BM481" s="13"/>
      <c r="BN481" s="13"/>
      <c r="BO481" s="13"/>
      <c r="BP481" s="13"/>
      <c r="BQ481" s="553"/>
      <c r="BR481" s="716"/>
      <c r="BS481" s="716"/>
      <c r="BT481" s="716"/>
      <c r="BU481" s="717"/>
      <c r="BV481" s="717"/>
      <c r="BW481" s="717"/>
      <c r="BY481" s="717"/>
      <c r="CA481" s="756"/>
      <c r="CB481" s="716"/>
      <c r="CC481" s="789"/>
      <c r="CD481" s="793"/>
    </row>
    <row r="482" spans="2:82" x14ac:dyDescent="0.25">
      <c r="B482" s="717"/>
      <c r="D482" s="21"/>
      <c r="E482" s="21"/>
      <c r="F482" s="21"/>
      <c r="G482" s="21"/>
      <c r="H482" s="21"/>
      <c r="I482" s="21"/>
      <c r="J482" s="21"/>
      <c r="K482" s="21"/>
      <c r="L482" s="21"/>
      <c r="M482" s="1004"/>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K482" s="13"/>
      <c r="BL482" s="13"/>
      <c r="BM482" s="13"/>
      <c r="BN482" s="13"/>
      <c r="BO482" s="13"/>
      <c r="BP482" s="13"/>
      <c r="BQ482" s="553"/>
      <c r="BR482" s="716"/>
      <c r="BS482" s="716"/>
      <c r="BT482" s="716"/>
      <c r="BU482" s="717"/>
      <c r="BV482" s="717"/>
      <c r="BW482" s="717"/>
      <c r="BY482" s="717"/>
      <c r="CA482" s="756"/>
      <c r="CB482" s="716"/>
      <c r="CC482" s="789"/>
      <c r="CD482" s="793"/>
    </row>
    <row r="483" spans="2:82" x14ac:dyDescent="0.25">
      <c r="B483" s="717"/>
      <c r="D483" s="21"/>
      <c r="E483" s="21"/>
      <c r="F483" s="21"/>
      <c r="G483" s="21"/>
      <c r="H483" s="21"/>
      <c r="I483" s="21"/>
      <c r="J483" s="21"/>
      <c r="K483" s="21"/>
      <c r="L483" s="21"/>
      <c r="M483" s="1004"/>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K483" s="13"/>
      <c r="BL483" s="13"/>
      <c r="BM483" s="13"/>
      <c r="BN483" s="13"/>
      <c r="BO483" s="13"/>
      <c r="BP483" s="13"/>
      <c r="BQ483" s="553"/>
      <c r="BR483" s="716"/>
      <c r="BS483" s="716"/>
      <c r="BT483" s="716"/>
      <c r="BU483" s="717"/>
      <c r="BV483" s="717"/>
      <c r="BW483" s="717"/>
      <c r="BY483" s="717"/>
      <c r="CA483" s="756"/>
      <c r="CB483" s="716"/>
      <c r="CC483" s="789"/>
      <c r="CD483" s="793"/>
    </row>
    <row r="484" spans="2:82" x14ac:dyDescent="0.25">
      <c r="B484" s="717"/>
      <c r="D484" s="21"/>
      <c r="E484" s="21"/>
      <c r="F484" s="21"/>
      <c r="G484" s="21"/>
      <c r="H484" s="21"/>
      <c r="I484" s="21"/>
      <c r="J484" s="21"/>
      <c r="K484" s="21"/>
      <c r="L484" s="21"/>
      <c r="M484" s="1004"/>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K484" s="13"/>
      <c r="BL484" s="13"/>
      <c r="BM484" s="13"/>
      <c r="BN484" s="13"/>
      <c r="BO484" s="13"/>
      <c r="BP484" s="13"/>
      <c r="BQ484" s="553"/>
      <c r="BR484" s="716"/>
      <c r="BS484" s="716"/>
      <c r="BT484" s="716"/>
      <c r="BU484" s="717"/>
      <c r="BV484" s="717"/>
      <c r="BW484" s="717"/>
      <c r="BY484" s="717"/>
      <c r="CA484" s="756"/>
      <c r="CB484" s="716"/>
      <c r="CC484" s="789"/>
      <c r="CD484" s="793"/>
    </row>
    <row r="485" spans="2:82" x14ac:dyDescent="0.25">
      <c r="B485" s="717"/>
      <c r="D485" s="21"/>
      <c r="E485" s="21"/>
      <c r="F485" s="21"/>
      <c r="G485" s="21"/>
      <c r="H485" s="21"/>
      <c r="I485" s="21"/>
      <c r="J485" s="21"/>
      <c r="K485" s="21"/>
      <c r="L485" s="21"/>
      <c r="M485" s="1004"/>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K485" s="13"/>
      <c r="BL485" s="13"/>
      <c r="BM485" s="13"/>
      <c r="BN485" s="13"/>
      <c r="BO485" s="13"/>
      <c r="BP485" s="13"/>
      <c r="BQ485" s="553"/>
      <c r="BR485" s="716"/>
      <c r="BS485" s="716"/>
      <c r="BT485" s="716"/>
      <c r="BU485" s="717"/>
      <c r="BV485" s="717"/>
      <c r="BW485" s="717"/>
      <c r="BY485" s="717"/>
      <c r="CA485" s="756"/>
      <c r="CB485" s="716"/>
      <c r="CC485" s="789"/>
      <c r="CD485" s="793"/>
    </row>
    <row r="486" spans="2:82" x14ac:dyDescent="0.25">
      <c r="B486" s="717"/>
      <c r="D486" s="21"/>
      <c r="E486" s="21"/>
      <c r="F486" s="21"/>
      <c r="G486" s="21"/>
      <c r="H486" s="21"/>
      <c r="I486" s="21"/>
      <c r="J486" s="21"/>
      <c r="K486" s="21"/>
      <c r="L486" s="21"/>
      <c r="M486" s="1004"/>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K486" s="13"/>
      <c r="BL486" s="13"/>
      <c r="BM486" s="13"/>
      <c r="BN486" s="13"/>
      <c r="BO486" s="13"/>
      <c r="BP486" s="13"/>
      <c r="BQ486" s="553"/>
      <c r="BR486" s="716"/>
      <c r="BS486" s="716"/>
      <c r="BT486" s="716"/>
      <c r="BU486" s="717"/>
      <c r="BV486" s="717"/>
      <c r="BW486" s="717"/>
      <c r="BY486" s="717"/>
      <c r="CA486" s="756"/>
      <c r="CB486" s="716"/>
      <c r="CC486" s="789"/>
      <c r="CD486" s="793"/>
    </row>
    <row r="487" spans="2:82" x14ac:dyDescent="0.25">
      <c r="B487" s="717"/>
      <c r="D487" s="21"/>
      <c r="E487" s="21"/>
      <c r="F487" s="21"/>
      <c r="G487" s="21"/>
      <c r="H487" s="21"/>
      <c r="I487" s="21"/>
      <c r="J487" s="21"/>
      <c r="K487" s="21"/>
      <c r="L487" s="21"/>
      <c r="M487" s="1004"/>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K487" s="13"/>
      <c r="BL487" s="13"/>
      <c r="BM487" s="13"/>
      <c r="BN487" s="13"/>
      <c r="BO487" s="13"/>
      <c r="BP487" s="13"/>
      <c r="BQ487" s="553"/>
      <c r="BR487" s="716"/>
      <c r="BS487" s="716"/>
      <c r="BT487" s="716"/>
      <c r="BU487" s="717"/>
      <c r="BV487" s="717"/>
      <c r="BW487" s="717"/>
      <c r="BY487" s="717"/>
      <c r="CA487" s="756"/>
      <c r="CB487" s="716"/>
      <c r="CC487" s="789"/>
      <c r="CD487" s="793"/>
    </row>
    <row r="488" spans="2:82" x14ac:dyDescent="0.25">
      <c r="B488" s="717"/>
      <c r="D488" s="21"/>
      <c r="E488" s="21"/>
      <c r="F488" s="21"/>
      <c r="G488" s="21"/>
      <c r="H488" s="21"/>
      <c r="I488" s="21"/>
      <c r="J488" s="21"/>
      <c r="K488" s="21"/>
      <c r="L488" s="21"/>
      <c r="M488" s="1004"/>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K488" s="13"/>
      <c r="BL488" s="13"/>
      <c r="BM488" s="13"/>
      <c r="BN488" s="13"/>
      <c r="BO488" s="13"/>
      <c r="BP488" s="13"/>
      <c r="BQ488" s="553"/>
      <c r="BR488" s="716"/>
      <c r="BS488" s="716"/>
      <c r="BT488" s="716"/>
      <c r="BU488" s="717"/>
      <c r="BV488" s="717"/>
      <c r="BW488" s="717"/>
      <c r="BY488" s="717"/>
      <c r="CA488" s="756"/>
      <c r="CB488" s="716"/>
      <c r="CC488" s="789"/>
      <c r="CD488" s="793"/>
    </row>
    <row r="489" spans="2:82" x14ac:dyDescent="0.25">
      <c r="B489" s="717"/>
      <c r="D489" s="21"/>
      <c r="E489" s="21"/>
      <c r="F489" s="21"/>
      <c r="G489" s="21"/>
      <c r="H489" s="21"/>
      <c r="I489" s="21"/>
      <c r="J489" s="21"/>
      <c r="K489" s="21"/>
      <c r="L489" s="21"/>
      <c r="M489" s="1004"/>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K489" s="13"/>
      <c r="BL489" s="13"/>
      <c r="BM489" s="13"/>
      <c r="BN489" s="13"/>
      <c r="BO489" s="13"/>
      <c r="BP489" s="13"/>
      <c r="BQ489" s="553"/>
      <c r="BR489" s="716"/>
      <c r="BS489" s="716"/>
      <c r="BT489" s="716"/>
      <c r="BU489" s="717"/>
      <c r="BV489" s="717"/>
      <c r="BW489" s="717"/>
      <c r="BY489" s="717"/>
      <c r="CA489" s="756"/>
      <c r="CB489" s="716"/>
      <c r="CC489" s="789"/>
      <c r="CD489" s="793"/>
    </row>
    <row r="490" spans="2:82" x14ac:dyDescent="0.25">
      <c r="B490" s="717"/>
      <c r="D490" s="21"/>
      <c r="E490" s="21"/>
      <c r="F490" s="21"/>
      <c r="G490" s="21"/>
      <c r="H490" s="21"/>
      <c r="I490" s="21"/>
      <c r="J490" s="21"/>
      <c r="K490" s="21"/>
      <c r="L490" s="21"/>
      <c r="M490" s="1004"/>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K490" s="13"/>
      <c r="BL490" s="13"/>
      <c r="BM490" s="13"/>
      <c r="BN490" s="13"/>
      <c r="BO490" s="13"/>
      <c r="BP490" s="13"/>
      <c r="BQ490" s="553"/>
      <c r="BR490" s="716"/>
      <c r="BS490" s="716"/>
      <c r="BT490" s="716"/>
      <c r="BU490" s="717"/>
      <c r="BV490" s="717"/>
      <c r="BW490" s="717"/>
      <c r="BY490" s="717"/>
      <c r="CA490" s="756"/>
      <c r="CB490" s="716"/>
      <c r="CC490" s="789"/>
      <c r="CD490" s="793"/>
    </row>
    <row r="491" spans="2:82" x14ac:dyDescent="0.25">
      <c r="B491" s="717"/>
      <c r="D491" s="21"/>
      <c r="E491" s="21"/>
      <c r="F491" s="21"/>
      <c r="G491" s="21"/>
      <c r="H491" s="21"/>
      <c r="I491" s="21"/>
      <c r="J491" s="21"/>
      <c r="K491" s="21"/>
      <c r="L491" s="21"/>
      <c r="M491" s="1004"/>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K491" s="13"/>
      <c r="BL491" s="13"/>
      <c r="BM491" s="13"/>
      <c r="BN491" s="13"/>
      <c r="BO491" s="13"/>
      <c r="BP491" s="13"/>
      <c r="BQ491" s="553"/>
      <c r="BR491" s="716"/>
      <c r="BS491" s="716"/>
      <c r="BT491" s="716"/>
      <c r="BU491" s="717"/>
      <c r="BV491" s="717"/>
      <c r="BW491" s="717"/>
      <c r="BY491" s="717"/>
      <c r="CA491" s="756"/>
      <c r="CB491" s="716"/>
      <c r="CC491" s="789"/>
      <c r="CD491" s="793"/>
    </row>
    <row r="492" spans="2:82" x14ac:dyDescent="0.25">
      <c r="B492" s="717"/>
      <c r="D492" s="21"/>
      <c r="E492" s="21"/>
      <c r="F492" s="21"/>
      <c r="G492" s="21"/>
      <c r="H492" s="21"/>
      <c r="I492" s="21"/>
      <c r="J492" s="21"/>
      <c r="K492" s="21"/>
      <c r="L492" s="21"/>
      <c r="M492" s="1004"/>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K492" s="13"/>
      <c r="BL492" s="13"/>
      <c r="BM492" s="13"/>
      <c r="BN492" s="13"/>
      <c r="BO492" s="13"/>
      <c r="BP492" s="13"/>
      <c r="BQ492" s="553"/>
      <c r="BR492" s="716"/>
      <c r="BS492" s="716"/>
      <c r="BT492" s="716"/>
      <c r="BU492" s="717"/>
      <c r="BV492" s="717"/>
      <c r="BW492" s="717"/>
      <c r="BY492" s="717"/>
      <c r="CA492" s="756"/>
      <c r="CB492" s="716"/>
      <c r="CC492" s="789"/>
      <c r="CD492" s="793"/>
    </row>
    <row r="493" spans="2:82" x14ac:dyDescent="0.25">
      <c r="B493" s="717"/>
      <c r="D493" s="21"/>
      <c r="E493" s="21"/>
      <c r="F493" s="21"/>
      <c r="G493" s="21"/>
      <c r="H493" s="21"/>
      <c r="I493" s="21"/>
      <c r="J493" s="21"/>
      <c r="K493" s="21"/>
      <c r="L493" s="21"/>
      <c r="M493" s="1004"/>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K493" s="13"/>
      <c r="BL493" s="13"/>
      <c r="BM493" s="13"/>
      <c r="BN493" s="13"/>
      <c r="BO493" s="13"/>
      <c r="BP493" s="13"/>
      <c r="BQ493" s="553"/>
      <c r="BR493" s="716"/>
      <c r="BS493" s="716"/>
      <c r="BT493" s="716"/>
      <c r="BU493" s="717"/>
      <c r="BV493" s="717"/>
      <c r="BW493" s="717"/>
      <c r="BY493" s="717"/>
      <c r="CA493" s="756"/>
      <c r="CB493" s="716"/>
      <c r="CC493" s="789"/>
      <c r="CD493" s="793"/>
    </row>
    <row r="494" spans="2:82" x14ac:dyDescent="0.25">
      <c r="B494" s="717"/>
      <c r="D494" s="21"/>
      <c r="E494" s="21"/>
      <c r="F494" s="21"/>
      <c r="G494" s="21"/>
      <c r="H494" s="21"/>
      <c r="I494" s="21"/>
      <c r="J494" s="21"/>
      <c r="K494" s="21"/>
      <c r="L494" s="21"/>
      <c r="M494" s="1004"/>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K494" s="13"/>
      <c r="BL494" s="13"/>
      <c r="BM494" s="13"/>
      <c r="BN494" s="13"/>
      <c r="BO494" s="13"/>
      <c r="BP494" s="13"/>
      <c r="BQ494" s="553"/>
      <c r="BR494" s="716"/>
      <c r="BS494" s="716"/>
      <c r="BT494" s="716"/>
      <c r="BU494" s="717"/>
      <c r="BV494" s="717"/>
      <c r="BW494" s="717"/>
      <c r="BY494" s="717"/>
      <c r="CA494" s="756"/>
      <c r="CB494" s="716"/>
      <c r="CC494" s="789"/>
      <c r="CD494" s="793"/>
    </row>
    <row r="495" spans="2:82" x14ac:dyDescent="0.25">
      <c r="B495" s="717"/>
      <c r="D495" s="21"/>
      <c r="E495" s="21"/>
      <c r="F495" s="21"/>
      <c r="G495" s="21"/>
      <c r="H495" s="21"/>
      <c r="I495" s="21"/>
      <c r="J495" s="21"/>
      <c r="K495" s="21"/>
      <c r="L495" s="21"/>
      <c r="M495" s="1004"/>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K495" s="13"/>
      <c r="BL495" s="13"/>
      <c r="BM495" s="13"/>
      <c r="BN495" s="13"/>
      <c r="BO495" s="13"/>
      <c r="BP495" s="13"/>
      <c r="BQ495" s="553"/>
      <c r="BR495" s="716"/>
      <c r="BS495" s="716"/>
      <c r="BT495" s="716"/>
      <c r="BU495" s="717"/>
      <c r="BV495" s="717"/>
      <c r="BW495" s="717"/>
      <c r="BY495" s="717"/>
      <c r="CA495" s="756"/>
      <c r="CB495" s="716"/>
      <c r="CC495" s="789"/>
      <c r="CD495" s="793"/>
    </row>
    <row r="496" spans="2:82" x14ac:dyDescent="0.25">
      <c r="B496" s="717"/>
      <c r="D496" s="21"/>
      <c r="E496" s="21"/>
      <c r="F496" s="21"/>
      <c r="G496" s="21"/>
      <c r="H496" s="21"/>
      <c r="I496" s="21"/>
      <c r="J496" s="21"/>
      <c r="K496" s="21"/>
      <c r="L496" s="21"/>
      <c r="M496" s="1004"/>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K496" s="13"/>
      <c r="BL496" s="13"/>
      <c r="BM496" s="13"/>
      <c r="BN496" s="13"/>
      <c r="BO496" s="13"/>
      <c r="BP496" s="13"/>
      <c r="BQ496" s="553"/>
      <c r="BR496" s="716"/>
      <c r="BS496" s="716"/>
      <c r="BT496" s="716"/>
      <c r="BU496" s="717"/>
      <c r="BV496" s="717"/>
      <c r="BW496" s="717"/>
      <c r="BY496" s="717"/>
      <c r="CA496" s="756"/>
      <c r="CB496" s="716"/>
      <c r="CC496" s="789"/>
      <c r="CD496" s="793"/>
    </row>
    <row r="497" spans="2:82" x14ac:dyDescent="0.25">
      <c r="B497" s="717"/>
      <c r="D497" s="21"/>
      <c r="E497" s="21"/>
      <c r="F497" s="21"/>
      <c r="G497" s="21"/>
      <c r="H497" s="21"/>
      <c r="I497" s="21"/>
      <c r="J497" s="21"/>
      <c r="K497" s="21"/>
      <c r="L497" s="21"/>
      <c r="M497" s="1004"/>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K497" s="13"/>
      <c r="BL497" s="13"/>
      <c r="BM497" s="13"/>
      <c r="BN497" s="13"/>
      <c r="BO497" s="13"/>
      <c r="BP497" s="13"/>
      <c r="BQ497" s="553"/>
      <c r="BR497" s="716"/>
      <c r="BS497" s="716"/>
      <c r="BT497" s="716"/>
      <c r="BU497" s="717"/>
      <c r="BV497" s="717"/>
      <c r="BW497" s="717"/>
      <c r="BY497" s="717"/>
      <c r="CA497" s="756"/>
      <c r="CB497" s="716"/>
      <c r="CC497" s="789"/>
      <c r="CD497" s="793"/>
    </row>
    <row r="498" spans="2:82" x14ac:dyDescent="0.25">
      <c r="B498" s="717"/>
      <c r="D498" s="21"/>
      <c r="E498" s="21"/>
      <c r="F498" s="21"/>
      <c r="G498" s="21"/>
      <c r="H498" s="21"/>
      <c r="I498" s="21"/>
      <c r="J498" s="21"/>
      <c r="K498" s="21"/>
      <c r="L498" s="21"/>
      <c r="M498" s="1004"/>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K498" s="13"/>
      <c r="BL498" s="13"/>
      <c r="BM498" s="13"/>
      <c r="BN498" s="13"/>
      <c r="BO498" s="13"/>
      <c r="BP498" s="13"/>
      <c r="BQ498" s="553"/>
      <c r="BR498" s="716"/>
      <c r="BS498" s="716"/>
      <c r="BT498" s="716"/>
      <c r="BU498" s="717"/>
      <c r="BV498" s="717"/>
      <c r="BW498" s="717"/>
      <c r="BY498" s="717"/>
      <c r="CA498" s="756"/>
      <c r="CB498" s="716"/>
      <c r="CC498" s="789"/>
      <c r="CD498" s="793"/>
    </row>
    <row r="499" spans="2:82" x14ac:dyDescent="0.25">
      <c r="B499" s="717"/>
      <c r="D499" s="21"/>
      <c r="E499" s="21"/>
      <c r="F499" s="21"/>
      <c r="G499" s="21"/>
      <c r="H499" s="21"/>
      <c r="I499" s="21"/>
      <c r="J499" s="21"/>
      <c r="K499" s="21"/>
      <c r="L499" s="21"/>
      <c r="M499" s="1004"/>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K499" s="13"/>
      <c r="BL499" s="13"/>
      <c r="BM499" s="13"/>
      <c r="BN499" s="13"/>
      <c r="BO499" s="13"/>
      <c r="BP499" s="13"/>
      <c r="BQ499" s="553"/>
      <c r="BR499" s="716"/>
      <c r="BS499" s="716"/>
      <c r="BT499" s="716"/>
      <c r="BU499" s="717"/>
      <c r="BV499" s="717"/>
      <c r="BW499" s="717"/>
      <c r="BY499" s="717"/>
      <c r="CA499" s="756"/>
      <c r="CB499" s="716"/>
      <c r="CC499" s="789"/>
      <c r="CD499" s="793"/>
    </row>
    <row r="500" spans="2:82" x14ac:dyDescent="0.25">
      <c r="B500" s="717"/>
      <c r="D500" s="21"/>
      <c r="E500" s="21"/>
      <c r="F500" s="21"/>
      <c r="G500" s="21"/>
      <c r="H500" s="21"/>
      <c r="I500" s="21"/>
      <c r="J500" s="21"/>
      <c r="K500" s="21"/>
      <c r="L500" s="21"/>
      <c r="M500" s="1004"/>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K500" s="13"/>
      <c r="BL500" s="13"/>
      <c r="BM500" s="13"/>
      <c r="BN500" s="13"/>
      <c r="BO500" s="13"/>
      <c r="BP500" s="13"/>
      <c r="BQ500" s="553"/>
      <c r="BR500" s="716"/>
      <c r="BS500" s="716"/>
      <c r="BT500" s="716"/>
      <c r="BU500" s="717"/>
      <c r="BV500" s="717"/>
      <c r="BW500" s="717"/>
      <c r="BY500" s="717"/>
      <c r="CA500" s="756"/>
      <c r="CB500" s="716"/>
      <c r="CC500" s="789"/>
      <c r="CD500" s="793"/>
    </row>
    <row r="501" spans="2:82" x14ac:dyDescent="0.25">
      <c r="B501" s="717"/>
      <c r="D501" s="21"/>
      <c r="E501" s="21"/>
      <c r="F501" s="21"/>
      <c r="G501" s="21"/>
      <c r="H501" s="21"/>
      <c r="I501" s="21"/>
      <c r="J501" s="21"/>
      <c r="K501" s="21"/>
      <c r="L501" s="21"/>
      <c r="M501" s="1004"/>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K501" s="13"/>
      <c r="BL501" s="13"/>
      <c r="BM501" s="13"/>
      <c r="BN501" s="13"/>
      <c r="BO501" s="13"/>
      <c r="BP501" s="13"/>
      <c r="BQ501" s="553"/>
      <c r="BR501" s="716"/>
      <c r="BS501" s="716"/>
      <c r="BT501" s="716"/>
      <c r="BU501" s="717"/>
      <c r="BV501" s="717"/>
      <c r="BW501" s="717"/>
      <c r="BY501" s="717"/>
      <c r="CA501" s="756"/>
      <c r="CB501" s="716"/>
      <c r="CC501" s="789"/>
      <c r="CD501" s="793"/>
    </row>
    <row r="502" spans="2:82" x14ac:dyDescent="0.25">
      <c r="B502" s="717"/>
      <c r="D502" s="21"/>
      <c r="E502" s="21"/>
      <c r="F502" s="21"/>
      <c r="G502" s="21"/>
      <c r="H502" s="21"/>
      <c r="I502" s="21"/>
      <c r="J502" s="21"/>
      <c r="K502" s="21"/>
      <c r="L502" s="21"/>
      <c r="M502" s="1004"/>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K502" s="13"/>
      <c r="BL502" s="13"/>
      <c r="BM502" s="13"/>
      <c r="BN502" s="13"/>
      <c r="BO502" s="13"/>
      <c r="BP502" s="13"/>
      <c r="BQ502" s="553"/>
      <c r="BR502" s="716"/>
      <c r="BS502" s="716"/>
      <c r="BT502" s="716"/>
      <c r="BU502" s="717"/>
      <c r="BV502" s="717"/>
      <c r="BW502" s="717"/>
      <c r="BY502" s="717"/>
      <c r="CA502" s="756"/>
      <c r="CB502" s="716"/>
      <c r="CC502" s="789"/>
      <c r="CD502" s="793"/>
    </row>
    <row r="503" spans="2:82" x14ac:dyDescent="0.25">
      <c r="B503" s="717"/>
      <c r="BK503" s="13"/>
      <c r="BL503" s="13"/>
      <c r="BM503" s="13"/>
      <c r="BN503" s="13"/>
      <c r="BO503" s="13"/>
      <c r="BP503" s="13"/>
      <c r="BQ503" s="553"/>
      <c r="BR503" s="716"/>
      <c r="BS503" s="716"/>
      <c r="BT503" s="716"/>
      <c r="BU503" s="717"/>
      <c r="BV503" s="717"/>
      <c r="BW503" s="717"/>
      <c r="BY503" s="717"/>
      <c r="CA503" s="756"/>
      <c r="CB503" s="716"/>
      <c r="CC503" s="789"/>
      <c r="CD503" s="793"/>
    </row>
    <row r="504" spans="2:82" x14ac:dyDescent="0.25">
      <c r="B504" s="717"/>
      <c r="BK504" s="13"/>
      <c r="BL504" s="13"/>
      <c r="BM504" s="13"/>
      <c r="BN504" s="13"/>
      <c r="BO504" s="13"/>
      <c r="BP504" s="13"/>
      <c r="BQ504" s="553"/>
      <c r="BR504" s="716"/>
      <c r="BS504" s="716"/>
      <c r="BT504" s="716"/>
      <c r="BU504" s="717"/>
      <c r="BV504" s="717"/>
      <c r="BW504" s="717"/>
      <c r="BY504" s="717"/>
      <c r="CA504" s="756"/>
      <c r="CB504" s="716"/>
      <c r="CC504" s="789"/>
      <c r="CD504" s="793"/>
    </row>
    <row r="505" spans="2:82" x14ac:dyDescent="0.25">
      <c r="B505" s="717"/>
      <c r="BK505" s="13"/>
      <c r="BL505" s="13"/>
      <c r="BM505" s="13"/>
      <c r="BN505" s="13"/>
      <c r="BO505" s="13"/>
      <c r="BP505" s="13"/>
      <c r="BQ505" s="553"/>
      <c r="BR505" s="716"/>
      <c r="BS505" s="716"/>
      <c r="BT505" s="716"/>
      <c r="BU505" s="717"/>
      <c r="BV505" s="717"/>
      <c r="BW505" s="717"/>
      <c r="BY505" s="717"/>
      <c r="CA505" s="756"/>
      <c r="CB505" s="716"/>
      <c r="CC505" s="789"/>
      <c r="CD505" s="793"/>
    </row>
    <row r="506" spans="2:82" x14ac:dyDescent="0.25">
      <c r="B506" s="717"/>
      <c r="BK506" s="13"/>
      <c r="BL506" s="13"/>
      <c r="BM506" s="13"/>
      <c r="BN506" s="13"/>
      <c r="BO506" s="13"/>
      <c r="BP506" s="13"/>
    </row>
    <row r="507" spans="2:82" x14ac:dyDescent="0.25">
      <c r="B507" s="717"/>
    </row>
    <row r="508" spans="2:82" x14ac:dyDescent="0.25">
      <c r="B508" s="717"/>
    </row>
    <row r="509" spans="2:82" x14ac:dyDescent="0.25">
      <c r="B509" s="717"/>
    </row>
  </sheetData>
  <pageMargins left="0.75" right="0.75" top="1" bottom="1" header="0.5" footer="0.5"/>
  <pageSetup scale="11" orientation="landscape" r:id="rId1"/>
  <headerFooter alignWithMargins="0">
    <oddHeader>&amp;A</oddHeader>
    <oddFooter>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49" r:id="rId4" name="Button 1">
              <controlPr defaultSize="0" print="0" autoFill="0" autoLine="0" autoPict="0" macro="[0]!SortHourlyScalars">
                <anchor moveWithCells="1" sizeWithCells="1">
                  <from>
                    <xdr:col>2</xdr:col>
                    <xdr:colOff>281940</xdr:colOff>
                    <xdr:row>0</xdr:row>
                    <xdr:rowOff>266700</xdr:rowOff>
                  </from>
                  <to>
                    <xdr:col>17</xdr:col>
                    <xdr:colOff>228600</xdr:colOff>
                    <xdr:row>1</xdr:row>
                    <xdr:rowOff>266700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IV316"/>
  <sheetViews>
    <sheetView zoomScale="75" workbookViewId="0">
      <pane xSplit="1" topLeftCell="B1" activePane="topRight" state="frozen"/>
      <selection pane="topRight" activeCell="A33" sqref="A33"/>
    </sheetView>
  </sheetViews>
  <sheetFormatPr defaultColWidth="3" defaultRowHeight="13.2" x14ac:dyDescent="0.25"/>
  <cols>
    <col min="1" max="1" width="7.5546875" customWidth="1"/>
    <col min="2" max="2" width="5.109375" customWidth="1"/>
    <col min="3" max="3" width="3.109375" customWidth="1"/>
    <col min="4" max="6" width="9.6640625" customWidth="1"/>
    <col min="7" max="7" width="7" style="13" customWidth="1"/>
    <col min="8" max="8" width="7.44140625" style="13" customWidth="1"/>
    <col min="9" max="9" width="7.109375" style="98" customWidth="1"/>
    <col min="10" max="10" width="8.5546875" style="98" customWidth="1"/>
    <col min="11" max="22" width="6.6640625" customWidth="1"/>
    <col min="23" max="24" width="4.6640625" style="229" hidden="1" customWidth="1"/>
    <col min="25" max="25" width="5.33203125" style="229" hidden="1" customWidth="1"/>
    <col min="26" max="27" width="4.6640625" style="229" hidden="1" customWidth="1"/>
    <col min="28" max="28" width="5.33203125" style="229" hidden="1" customWidth="1"/>
    <col min="29" max="30" width="4.6640625" style="229" hidden="1" customWidth="1"/>
    <col min="31" max="31" width="5.33203125" style="229" hidden="1" customWidth="1"/>
    <col min="32" max="33" width="4.6640625" style="229" hidden="1" customWidth="1"/>
    <col min="34" max="34" width="5.33203125" style="229" hidden="1" customWidth="1"/>
    <col min="35" max="43" width="5.6640625" style="229" hidden="1" customWidth="1"/>
    <col min="44" max="46" width="5.109375" style="229" hidden="1" customWidth="1"/>
    <col min="47" max="47" width="8.5546875" style="229" hidden="1" customWidth="1"/>
    <col min="48" max="48" width="4.88671875" customWidth="1"/>
    <col min="49" max="49" width="4.6640625" customWidth="1"/>
    <col min="50" max="51" width="4.88671875" customWidth="1"/>
    <col min="52" max="52" width="5.44140625" customWidth="1"/>
    <col min="53" max="53" width="10.6640625" style="213" hidden="1" customWidth="1"/>
    <col min="54" max="54" width="8.6640625" style="213" hidden="1" customWidth="1"/>
    <col min="55" max="55" width="0" style="213" hidden="1" customWidth="1"/>
    <col min="56" max="56" width="8.5546875" style="213" hidden="1" customWidth="1"/>
    <col min="57" max="57" width="10.6640625" style="213" hidden="1" customWidth="1"/>
    <col min="58" max="58" width="8.6640625" style="213" hidden="1" customWidth="1"/>
    <col min="59" max="59" width="0" style="213" hidden="1" customWidth="1"/>
    <col min="60" max="60" width="8.5546875" style="213" hidden="1" customWidth="1"/>
    <col min="61" max="61" width="10.6640625" style="213" hidden="1" customWidth="1"/>
    <col min="62" max="62" width="8.6640625" style="213" hidden="1" customWidth="1"/>
    <col min="63" max="63" width="0" style="213" hidden="1" customWidth="1"/>
    <col min="64" max="64" width="8.5546875" style="213" hidden="1" customWidth="1"/>
    <col min="65" max="65" width="10.6640625" style="213" hidden="1" customWidth="1"/>
    <col min="66" max="66" width="8.6640625" style="213" hidden="1" customWidth="1"/>
    <col min="67" max="67" width="0" style="213" hidden="1" customWidth="1"/>
    <col min="68" max="68" width="8.5546875" style="213" hidden="1" customWidth="1"/>
    <col min="69" max="69" width="8.88671875" style="13" hidden="1" customWidth="1"/>
    <col min="70" max="70" width="9.88671875" style="13" hidden="1" customWidth="1"/>
    <col min="71" max="71" width="7.6640625" style="13" hidden="1" customWidth="1"/>
    <col min="72" max="72" width="8.109375" style="13" hidden="1" customWidth="1"/>
    <col min="73" max="73" width="6.5546875" hidden="1" customWidth="1"/>
    <col min="74" max="74" width="6.6640625" hidden="1" customWidth="1"/>
    <col min="75" max="75" width="7.44140625" hidden="1" customWidth="1"/>
    <col min="76" max="76" width="6.6640625" style="13" hidden="1" customWidth="1"/>
    <col min="77" max="81" width="8.6640625" style="13" hidden="1" customWidth="1"/>
    <col min="82" max="82" width="9.5546875" style="13" hidden="1" customWidth="1"/>
    <col min="83" max="83" width="8.6640625" style="13" hidden="1" customWidth="1"/>
    <col min="84" max="88" width="8.109375" style="13" hidden="1" customWidth="1"/>
    <col min="89" max="89" width="8.6640625" style="13" hidden="1" customWidth="1"/>
    <col min="90" max="90" width="9.33203125" style="13" hidden="1" customWidth="1"/>
    <col min="91" max="95" width="8" style="13" hidden="1" customWidth="1"/>
    <col min="96" max="96" width="7.33203125" style="13" hidden="1" customWidth="1"/>
    <col min="97" max="97" width="8.44140625" hidden="1" customWidth="1"/>
    <col min="98" max="99" width="8" hidden="1" customWidth="1"/>
    <col min="100" max="100" width="8.88671875" hidden="1" customWidth="1"/>
    <col min="101" max="102" width="7.5546875" hidden="1" customWidth="1"/>
    <col min="103" max="103" width="7.6640625" hidden="1" customWidth="1"/>
    <col min="104" max="104" width="8.5546875" hidden="1" customWidth="1"/>
    <col min="105" max="105" width="10.6640625" hidden="1" customWidth="1"/>
    <col min="106" max="106" width="0" hidden="1" customWidth="1"/>
    <col min="107" max="107" width="8.44140625" hidden="1" customWidth="1"/>
    <col min="108" max="108" width="9.6640625" hidden="1" customWidth="1"/>
    <col min="109" max="109" width="8.44140625" style="13" hidden="1" customWidth="1"/>
    <col min="110" max="110" width="8.109375" style="13" hidden="1" customWidth="1"/>
    <col min="111" max="111" width="10.6640625" style="13" hidden="1" customWidth="1"/>
    <col min="112" max="112" width="7.109375" style="13" hidden="1" customWidth="1"/>
    <col min="113" max="113" width="8" style="13" hidden="1" customWidth="1"/>
    <col min="114" max="114" width="7.6640625" style="13" hidden="1" customWidth="1"/>
    <col min="115" max="115" width="9.33203125" style="13" hidden="1" customWidth="1"/>
    <col min="116" max="116" width="10.6640625" hidden="1" customWidth="1"/>
    <col min="117" max="117" width="10" hidden="1" customWidth="1"/>
    <col min="118" max="120" width="7.44140625" hidden="1" customWidth="1"/>
    <col min="121" max="121" width="8.5546875" hidden="1" customWidth="1"/>
    <col min="122" max="122" width="9.44140625" hidden="1" customWidth="1"/>
    <col min="123" max="123" width="9.33203125" hidden="1" customWidth="1"/>
    <col min="124" max="124" width="10.44140625" hidden="1" customWidth="1"/>
    <col min="125" max="125" width="7" hidden="1" customWidth="1"/>
    <col min="126" max="126" width="9.33203125" hidden="1" customWidth="1"/>
    <col min="127" max="127" width="9.6640625" hidden="1" customWidth="1"/>
    <col min="128" max="128" width="10.88671875" hidden="1" customWidth="1"/>
    <col min="129" max="129" width="9.44140625" hidden="1" customWidth="1"/>
    <col min="130" max="130" width="11" hidden="1" customWidth="1"/>
    <col min="131" max="131" width="11.5546875" hidden="1" customWidth="1"/>
    <col min="132" max="133" width="8.5546875" hidden="1" customWidth="1"/>
    <col min="134" max="137" width="8.44140625" hidden="1" customWidth="1"/>
    <col min="138" max="138" width="9" hidden="1" customWidth="1"/>
    <col min="139" max="139" width="10.6640625" hidden="1" customWidth="1"/>
    <col min="140" max="140" width="8.6640625" hidden="1" customWidth="1"/>
    <col min="141" max="141" width="0" hidden="1" customWidth="1"/>
    <col min="142" max="142" width="10" hidden="1" customWidth="1"/>
    <col min="143" max="143" width="8.5546875" hidden="1" customWidth="1"/>
    <col min="144" max="144" width="9.88671875" hidden="1" customWidth="1"/>
    <col min="145" max="145" width="10.6640625" hidden="1" customWidth="1"/>
    <col min="146" max="146" width="8.6640625" hidden="1" customWidth="1"/>
    <col min="147" max="147" width="0" hidden="1" customWidth="1"/>
    <col min="148" max="148" width="8.5546875" hidden="1" customWidth="1"/>
    <col min="149" max="149" width="7.6640625" hidden="1" customWidth="1"/>
    <col min="150" max="150" width="8.5546875" hidden="1" customWidth="1"/>
    <col min="151" max="151" width="9" hidden="1" customWidth="1"/>
    <col min="152" max="152" width="6.88671875" hidden="1" customWidth="1"/>
    <col min="153" max="153" width="8.6640625" hidden="1" customWidth="1"/>
    <col min="154" max="154" width="0" hidden="1" customWidth="1"/>
    <col min="155" max="155" width="10" hidden="1" customWidth="1"/>
    <col min="156" max="156" width="8.88671875" hidden="1" customWidth="1"/>
    <col min="157" max="157" width="7.6640625" hidden="1" customWidth="1"/>
    <col min="158" max="158" width="7.5546875" hidden="1" customWidth="1"/>
    <col min="159" max="159" width="8.6640625" hidden="1" customWidth="1"/>
    <col min="160" max="160" width="0" hidden="1" customWidth="1"/>
    <col min="161" max="161" width="8.5546875" hidden="1" customWidth="1"/>
    <col min="162" max="162" width="7.6640625" hidden="1" customWidth="1"/>
    <col min="163" max="163" width="8.5546875" hidden="1" customWidth="1"/>
    <col min="164" max="164" width="10.6640625" hidden="1" customWidth="1"/>
    <col min="165" max="165" width="10.109375" hidden="1" customWidth="1"/>
    <col min="166" max="166" width="8.88671875" hidden="1" customWidth="1"/>
    <col min="167" max="169" width="7.5546875" hidden="1" customWidth="1"/>
    <col min="170" max="170" width="8.5546875" hidden="1" customWidth="1"/>
    <col min="171" max="171" width="7.5546875" hidden="1" customWidth="1"/>
    <col min="172" max="173" width="9.33203125" hidden="1" customWidth="1"/>
    <col min="174" max="178" width="8.6640625" hidden="1" customWidth="1"/>
    <col min="179" max="179" width="7.109375" hidden="1" customWidth="1"/>
    <col min="180" max="180" width="7" hidden="1" customWidth="1"/>
    <col min="181" max="185" width="8.44140625" hidden="1" customWidth="1"/>
    <col min="186" max="190" width="7.6640625" hidden="1" customWidth="1"/>
    <col min="191" max="205" width="8.33203125" hidden="1" customWidth="1"/>
    <col min="206" max="215" width="9.88671875" hidden="1" customWidth="1"/>
    <col min="216" max="216" width="2.44140625" customWidth="1"/>
    <col min="217" max="240" width="8.88671875" customWidth="1"/>
  </cols>
  <sheetData>
    <row r="1" spans="1:256" ht="13.8" thickBot="1" x14ac:dyDescent="0.3">
      <c r="BQ1" s="94" t="s">
        <v>317</v>
      </c>
      <c r="BS1"/>
      <c r="BT1"/>
      <c r="BV1" s="13"/>
      <c r="BW1" s="13"/>
      <c r="BY1" s="94" t="s">
        <v>318</v>
      </c>
      <c r="CF1" s="94" t="s">
        <v>319</v>
      </c>
      <c r="CG1" s="94"/>
      <c r="CJ1"/>
      <c r="CK1"/>
      <c r="CL1"/>
      <c r="CM1"/>
      <c r="CN1"/>
      <c r="CO1"/>
      <c r="CP1"/>
      <c r="CQ1"/>
      <c r="CR1" s="142" t="s">
        <v>320</v>
      </c>
      <c r="CS1" s="142"/>
      <c r="CW1" s="142" t="s">
        <v>321</v>
      </c>
      <c r="CX1" s="142"/>
      <c r="DE1"/>
      <c r="DF1"/>
      <c r="DG1"/>
      <c r="DH1"/>
      <c r="DI1" s="94" t="s">
        <v>322</v>
      </c>
      <c r="DJ1" s="94"/>
      <c r="DL1" s="13"/>
    </row>
    <row r="2" spans="1:256" ht="13.8" thickBot="1" x14ac:dyDescent="0.3">
      <c r="BQ2" s="801" t="str">
        <f>IF(SBuySell,"ECT Buys","ECT Sells")</f>
        <v>ECT Sells</v>
      </c>
      <c r="BR2" s="423" t="s">
        <v>266</v>
      </c>
      <c r="BS2" s="168" t="s">
        <v>323</v>
      </c>
      <c r="BT2" s="431" t="s">
        <v>84</v>
      </c>
      <c r="BU2" s="542"/>
      <c r="BV2" s="432"/>
      <c r="BW2" s="427">
        <f ca="1">BQ16</f>
        <v>87648</v>
      </c>
      <c r="BX2"/>
      <c r="BY2" s="433" t="str">
        <f>CONCATENATE("ECT ",IF(SOBuySell,"Buys ","Sells "),IF(SOCallPut,"Call","Put")," Swaption")</f>
        <v>ECT Sells Call Swaption</v>
      </c>
      <c r="BZ2" s="435"/>
      <c r="CA2" s="434"/>
      <c r="CB2" s="431" t="s">
        <v>137</v>
      </c>
      <c r="CC2" s="432"/>
      <c r="CD2" s="441">
        <f>SOVol</f>
        <v>0.99990000000000001</v>
      </c>
      <c r="CF2" s="419" t="s">
        <v>324</v>
      </c>
      <c r="CG2" s="188"/>
      <c r="CH2" s="188"/>
      <c r="CI2" s="427">
        <f ca="1">SUMPRODUCT($CW$17:$CW$292,$BY$17:$BY$292)+SUMPRODUCT($CX$17:$CX$292,$BZ$17:$BZ$292)+SUMPRODUCT($CY$17:$CY$292,$CA$17:$CA$292)</f>
        <v>571089.41788029415</v>
      </c>
      <c r="CJ2" s="433" t="str">
        <f>CONCATENATE("ECT ",IF(OBuySell,"Buys ","Sells "),IF(OCallPut,"Call","Put")," Option")</f>
        <v>ECT Sells Call Option</v>
      </c>
      <c r="CK2" s="583"/>
      <c r="CL2" s="435"/>
      <c r="CM2" s="434"/>
      <c r="CN2" s="435"/>
      <c r="CO2" s="435"/>
      <c r="CP2" s="434"/>
      <c r="CQ2"/>
      <c r="CR2" s="433" t="str">
        <f>IF(CBuySell,"ECT Buys Cap, Sells Floor","ECT Sells Cap, Buys Floor")</f>
        <v>ECT Sells Cap, Buys Floor</v>
      </c>
      <c r="CS2" s="583"/>
      <c r="CT2" s="435"/>
      <c r="CU2" s="434"/>
      <c r="CW2" s="419"/>
      <c r="CX2" s="188"/>
      <c r="CY2" s="444" t="s">
        <v>325</v>
      </c>
      <c r="CZ2" s="443" t="s">
        <v>326</v>
      </c>
      <c r="DA2" s="99" t="s">
        <v>327</v>
      </c>
      <c r="DB2" s="419"/>
      <c r="DC2" s="188"/>
      <c r="DD2" s="451" t="s">
        <v>328</v>
      </c>
      <c r="DE2" s="452" t="s">
        <v>325</v>
      </c>
      <c r="DF2" s="451" t="s">
        <v>326</v>
      </c>
      <c r="DG2" s="453" t="s">
        <v>327</v>
      </c>
      <c r="DH2"/>
      <c r="DI2" s="433" t="str">
        <f>CONCATENATE("ECT ",IF(OBuySell,"Buys ","Sells "),IF(OCallPut,"Call","Put")," Option")</f>
        <v>ECT Sells Call Option</v>
      </c>
      <c r="DJ2" s="435"/>
      <c r="DK2" s="435"/>
      <c r="DL2" s="435"/>
      <c r="DM2" s="435"/>
      <c r="DN2" s="435"/>
      <c r="DO2" s="434"/>
      <c r="DT2" s="962"/>
      <c r="DU2" s="618"/>
      <c r="DV2" s="960" t="s">
        <v>329</v>
      </c>
      <c r="DW2" s="443" t="s">
        <v>330</v>
      </c>
      <c r="DX2" s="443" t="s">
        <v>331</v>
      </c>
      <c r="DY2" s="443" t="s">
        <v>332</v>
      </c>
      <c r="DZ2" s="443" t="s">
        <v>333</v>
      </c>
      <c r="EA2" s="443" t="s">
        <v>334</v>
      </c>
      <c r="EB2" s="443" t="s">
        <v>266</v>
      </c>
      <c r="EC2" s="908" t="s">
        <v>266</v>
      </c>
      <c r="EI2" s="13"/>
      <c r="EJ2" s="13"/>
      <c r="EK2" s="13"/>
      <c r="EL2" s="13"/>
      <c r="EM2" s="13"/>
      <c r="EN2" s="13"/>
      <c r="EO2" s="13"/>
      <c r="EP2" s="13"/>
      <c r="EQ2" s="13"/>
      <c r="ER2" s="13"/>
      <c r="ES2" s="13"/>
      <c r="ET2" s="13"/>
      <c r="EU2" s="13"/>
    </row>
    <row r="3" spans="1:256" ht="13.8" thickBot="1" x14ac:dyDescent="0.3">
      <c r="D3" s="734" t="s">
        <v>335</v>
      </c>
      <c r="I3"/>
      <c r="BI3" s="897"/>
      <c r="BJ3" s="897"/>
      <c r="BK3" s="897"/>
      <c r="BL3" s="897"/>
      <c r="BM3" s="897"/>
      <c r="BQ3" s="424" t="s">
        <v>25</v>
      </c>
      <c r="BR3" s="420">
        <f ca="1">SUMPRODUCT($BS$17:$BS$292,$BT$17:$BT$292)</f>
        <v>1723760.7641132134</v>
      </c>
      <c r="BS3" s="425">
        <f ca="1">BR3/BW4</f>
        <v>29.484647038734721</v>
      </c>
      <c r="BT3" s="428" t="s">
        <v>170</v>
      </c>
      <c r="BU3" s="688"/>
      <c r="BV3" s="421"/>
      <c r="BW3" s="429">
        <f ca="1">BS16</f>
        <v>58462.994718867267</v>
      </c>
      <c r="BX3"/>
      <c r="BY3" s="431" t="s">
        <v>336</v>
      </c>
      <c r="BZ3" s="432"/>
      <c r="CA3" s="436" t="str">
        <f>SOExp</f>
        <v>99/99/99</v>
      </c>
      <c r="CB3" s="428" t="s">
        <v>329</v>
      </c>
      <c r="CC3" s="421"/>
      <c r="CD3" s="429" t="e">
        <f ca="1">BW4*UndiscountedOption(CA5,SOStrike,SOVol,CA4,SOCallPut,0)</f>
        <v>#VALUE!</v>
      </c>
      <c r="CF3" s="428" t="s">
        <v>337</v>
      </c>
      <c r="CG3" s="688"/>
      <c r="CH3" s="421"/>
      <c r="CI3" s="429">
        <f ca="1">SUMPRODUCT($CZ$17:$CZ$292,$CC$17:$CC$292)</f>
        <v>14628.355804518616</v>
      </c>
      <c r="CJ3" s="419" t="s">
        <v>338</v>
      </c>
      <c r="CK3" s="188"/>
      <c r="CL3" s="188"/>
      <c r="CM3" s="761">
        <f ca="1">CI4/CP3</f>
        <v>6.1413820201740803</v>
      </c>
      <c r="CN3" s="419" t="s">
        <v>84</v>
      </c>
      <c r="CO3" s="188"/>
      <c r="CP3" s="427">
        <f ca="1">BR16</f>
        <v>87648</v>
      </c>
      <c r="CQ3"/>
      <c r="CR3" s="431" t="s">
        <v>339</v>
      </c>
      <c r="CS3" s="542"/>
      <c r="CT3" s="432"/>
      <c r="CU3" s="427">
        <f ca="1">IF(CBuySell,1,-1)*FI16</f>
        <v>419179.83566641592</v>
      </c>
      <c r="CW3" s="428" t="s">
        <v>340</v>
      </c>
      <c r="CX3" s="688"/>
      <c r="CY3" s="445">
        <f ca="1">BW6+IF(OBuySell,1,-1)*CI4-EmbeddedOrigination</f>
        <v>-538279.85130421596</v>
      </c>
      <c r="CZ3" s="420">
        <f ca="1">IF(SBuySell,-1,1)*BW4+IF(OBuySell,1,-1)*DK16</f>
        <v>77692.17202060041</v>
      </c>
      <c r="DA3" s="446">
        <f ca="1">IF(OBuySell,1,-1)*DL16</f>
        <v>-1016.1700604600762</v>
      </c>
      <c r="DB3" s="62" t="s">
        <v>341</v>
      </c>
      <c r="DC3" s="191"/>
      <c r="DD3" s="455">
        <f ca="1">IF(CPriceCurve,IF(CBuySell,BS3,BS5),BS4)</f>
        <v>32.659889647739881</v>
      </c>
      <c r="DE3" s="447">
        <f ca="1">-IF(CBuySell,1,-1)*FI16-CostCollOrigination</f>
        <v>-419179.83566641592</v>
      </c>
      <c r="DF3" s="448">
        <f ca="1">IF(CBuySell=CSpec,-1,1)*FP16</f>
        <v>31937.454380452804</v>
      </c>
      <c r="DG3" s="449">
        <f ca="1">IF(CBuySell=CSpec,-1,1)*FQ16</f>
        <v>3065.0182078898524</v>
      </c>
      <c r="DH3"/>
      <c r="DI3" s="419" t="s">
        <v>338</v>
      </c>
      <c r="DJ3" s="188"/>
      <c r="DK3" s="188"/>
      <c r="DL3" s="761">
        <f ca="1">DV10/DO3</f>
        <v>8.4595414046766138</v>
      </c>
      <c r="DM3" s="419" t="s">
        <v>84</v>
      </c>
      <c r="DN3" s="188"/>
      <c r="DO3" s="427">
        <f ca="1">BR16</f>
        <v>87648</v>
      </c>
      <c r="DT3" s="963"/>
      <c r="DU3" s="619"/>
      <c r="DV3" s="961" t="s">
        <v>342</v>
      </c>
      <c r="DW3" s="907" t="s">
        <v>342</v>
      </c>
      <c r="DX3" s="907" t="s">
        <v>342</v>
      </c>
      <c r="DY3" s="907" t="s">
        <v>343</v>
      </c>
      <c r="DZ3" s="907" t="s">
        <v>344</v>
      </c>
      <c r="EA3" s="907" t="s">
        <v>345</v>
      </c>
      <c r="EB3" s="907" t="s">
        <v>346</v>
      </c>
      <c r="EC3" s="909" t="s">
        <v>256</v>
      </c>
      <c r="EI3" s="13"/>
      <c r="EJ3" s="13"/>
      <c r="EK3" s="13"/>
      <c r="EL3" s="13"/>
      <c r="EM3" s="13"/>
      <c r="EN3" s="13"/>
      <c r="EO3" s="13"/>
      <c r="EP3" s="13"/>
      <c r="EQ3" s="13"/>
      <c r="ER3" s="13"/>
      <c r="ES3" s="13"/>
      <c r="ET3" s="13"/>
      <c r="EU3" s="13"/>
    </row>
    <row r="4" spans="1:256" ht="13.8" thickBot="1" x14ac:dyDescent="0.3">
      <c r="BQ4" s="249" t="s">
        <v>296</v>
      </c>
      <c r="BR4" s="422">
        <f ca="1">SUMPRODUCT($BS$17:$BS$292,$BU$17:$BU$292)</f>
        <v>1816577.8600539109</v>
      </c>
      <c r="BS4" s="202">
        <f ca="1">BR4/BW4</f>
        <v>31.072268343237337</v>
      </c>
      <c r="BT4" s="438" t="s">
        <v>347</v>
      </c>
      <c r="BU4" s="695"/>
      <c r="BV4" s="439"/>
      <c r="BW4" s="430">
        <f ca="1">SUMPRODUCT($BS$17:$BS$292,$G$17:$G$292)</f>
        <v>58462.994718867267</v>
      </c>
      <c r="BX4"/>
      <c r="BY4" s="428" t="s">
        <v>348</v>
      </c>
      <c r="BZ4" s="421"/>
      <c r="CA4" s="437" t="e">
        <f ca="1">(SOExp-DateToday)/365.25</f>
        <v>#VALUE!</v>
      </c>
      <c r="CB4" s="428" t="s">
        <v>349</v>
      </c>
      <c r="CC4" s="421"/>
      <c r="CD4" s="437" t="e">
        <f ca="1">CD3/BW2</f>
        <v>#VALUE!</v>
      </c>
      <c r="CF4" s="798" t="s">
        <v>350</v>
      </c>
      <c r="CG4" s="799"/>
      <c r="CH4" s="799"/>
      <c r="CI4" s="429">
        <f ca="1">DB16</f>
        <v>538279.85130421782</v>
      </c>
      <c r="CJ4" s="428" t="s">
        <v>351</v>
      </c>
      <c r="CK4" s="688"/>
      <c r="CL4" s="421"/>
      <c r="CM4" s="437">
        <f ca="1">CI4/CP4</f>
        <v>9.2071891611550196</v>
      </c>
      <c r="CN4" s="428" t="s">
        <v>170</v>
      </c>
      <c r="CO4" s="421"/>
      <c r="CP4" s="429">
        <f ca="1">CD16</f>
        <v>58462.994718867267</v>
      </c>
      <c r="CQ4"/>
      <c r="CR4" s="428" t="s">
        <v>351</v>
      </c>
      <c r="CS4" s="688"/>
      <c r="CT4" s="421"/>
      <c r="CU4" s="442">
        <f ca="1">CU3/CU6</f>
        <v>7.1700027971905715</v>
      </c>
      <c r="CW4" s="419"/>
      <c r="CX4" s="188"/>
      <c r="CY4" s="452" t="s">
        <v>325</v>
      </c>
      <c r="CZ4" s="451" t="s">
        <v>326</v>
      </c>
      <c r="DA4" s="453" t="s">
        <v>327</v>
      </c>
      <c r="DB4" s="13"/>
      <c r="DC4" s="569"/>
      <c r="DD4" s="569"/>
      <c r="DE4" s="569"/>
      <c r="DF4" s="569"/>
      <c r="DG4"/>
      <c r="DH4"/>
      <c r="DI4" s="428" t="s">
        <v>351</v>
      </c>
      <c r="DJ4" s="688"/>
      <c r="DK4" s="421"/>
      <c r="DL4" s="437">
        <f ca="1">DV10/DO4</f>
        <v>12.682584746172953</v>
      </c>
      <c r="DM4" s="438" t="s">
        <v>170</v>
      </c>
      <c r="DN4" s="439"/>
      <c r="DO4" s="430">
        <f ca="1">CD16</f>
        <v>58462.994718867267</v>
      </c>
      <c r="DT4" s="964" t="s">
        <v>153</v>
      </c>
      <c r="DU4" s="421"/>
      <c r="DV4" s="959">
        <f ca="1">GX16</f>
        <v>603372.47952666727</v>
      </c>
      <c r="DW4" s="420">
        <f ca="1">HC16</f>
        <v>532039.95761941862</v>
      </c>
      <c r="DX4" s="420">
        <f ca="1">IF(OCallPut,1,-1)*(SUMPRODUCT(CE17:CE292,BY17:BY292)-SUMPRODUCT(FR17:FR292,BY17:BY292)-SUMPRODUCT(FY17:FY292,BY17:BY292)+SpreadOptStrike*BY16)</f>
        <v>532039.95761941874</v>
      </c>
      <c r="DY4" s="420">
        <f ca="1">IF(BY16,(SUMPRODUCT(CE17:CE292,BY17:BY292)-SpreadOptPowerMargin*BY16)/(SUMPRODUCT(FR17:FR292,BY17:BY292)*1000/HeatRatePeak+SpreadOptGasMargin*BY16)*1000,0)</f>
        <v>14770.787857244342</v>
      </c>
      <c r="DZ4" s="420">
        <f ca="1">SUMPRODUCT(GN17:GN292,BY17:BY292)</f>
        <v>23446.083060117315</v>
      </c>
      <c r="EA4" s="420">
        <f ca="1">SUMPRODUCT(GS17:GS292,BY17:BY292)*HeatRatePeak/1000</f>
        <v>-145936.71819574048</v>
      </c>
      <c r="EB4" s="420">
        <f ca="1">BY16</f>
        <v>27256.674686589191</v>
      </c>
      <c r="EC4" s="429">
        <f ca="1">EB4*HeatRatePeak/1000</f>
        <v>218053.39749271353</v>
      </c>
      <c r="EI4" s="13"/>
      <c r="EJ4" s="13"/>
      <c r="EK4" s="13"/>
      <c r="EL4" s="13"/>
      <c r="EM4" s="13"/>
      <c r="EN4" s="13"/>
      <c r="EO4" s="13"/>
      <c r="EP4" s="13"/>
      <c r="EQ4" s="13"/>
      <c r="ER4" s="13"/>
      <c r="ES4" s="13"/>
      <c r="ET4" s="13"/>
      <c r="EU4" s="13"/>
    </row>
    <row r="5" spans="1:256" ht="13.8" thickBot="1" x14ac:dyDescent="0.3">
      <c r="F5" s="731" t="s">
        <v>352</v>
      </c>
      <c r="G5" s="735"/>
      <c r="H5" s="735"/>
      <c r="I5" s="735"/>
      <c r="J5" s="736">
        <f ca="1">EOMONTH(CurveDate+32,-1)+1</f>
        <v>36617</v>
      </c>
      <c r="N5" s="911"/>
      <c r="O5" s="911"/>
      <c r="P5" s="911"/>
      <c r="Q5" s="911"/>
      <c r="R5" s="911"/>
      <c r="S5" s="911"/>
      <c r="W5"/>
      <c r="BQ5" s="424" t="s">
        <v>26</v>
      </c>
      <c r="BR5" s="420">
        <f ca="1">SUMPRODUCT($BS$17:$BS$292,$BV$17:$BV$292)</f>
        <v>1909394.9559946044</v>
      </c>
      <c r="BS5" s="425">
        <f ca="1">BR5/BW4</f>
        <v>32.659889647739881</v>
      </c>
      <c r="BT5" s="431" t="str">
        <f>IF(SBuySell=1,"Mid-Bid","Offer-Mid")</f>
        <v>Offer-Mid</v>
      </c>
      <c r="BU5" s="542"/>
      <c r="BV5" s="432"/>
      <c r="BW5" s="427">
        <f ca="1">IF(SBuySell,BR4-BR3,BR5-BR4)</f>
        <v>92817.095940693514</v>
      </c>
      <c r="BX5"/>
      <c r="BY5" s="428" t="str">
        <f>CONCATENATE("Underl.Price (",IF(SOPriceCurve,IF(SOBuySell=SOCallPut,"Bid","Offer"),"Mid"),")")</f>
        <v>Underl.Price (Offer)</v>
      </c>
      <c r="BZ5" s="421"/>
      <c r="CA5" s="437">
        <f ca="1">IF(SOPriceCurve,IF(SOBuySell=SOCallPut,BS3,BS5),BS4)</f>
        <v>32.659889647739881</v>
      </c>
      <c r="CB5" s="586" t="s">
        <v>353</v>
      </c>
      <c r="CD5" s="437" t="e">
        <f ca="1">CD3/BW3</f>
        <v>#VALUE!</v>
      </c>
      <c r="CF5" s="798" t="s">
        <v>354</v>
      </c>
      <c r="CG5" s="799"/>
      <c r="CH5" s="799"/>
      <c r="CI5" s="429">
        <f ca="1">DD16</f>
        <v>207044.22640196231</v>
      </c>
      <c r="CJ5" s="586" t="s">
        <v>199</v>
      </c>
      <c r="CM5" s="437">
        <f ca="1">CI4/CP6</f>
        <v>6.7237670453425276</v>
      </c>
      <c r="CN5" s="586" t="s">
        <v>355</v>
      </c>
      <c r="CO5" s="570"/>
      <c r="CP5" s="429">
        <f ca="1">SUMPRODUCT($CD$17:$CD$292,$G$17:$G$292)</f>
        <v>58462.994718867267</v>
      </c>
      <c r="CQ5"/>
      <c r="CR5" s="428" t="s">
        <v>199</v>
      </c>
      <c r="CS5" s="688"/>
      <c r="CT5" s="421"/>
      <c r="CU5" s="442">
        <f ca="1">CU3/FJ16</f>
        <v>5.2360636540583414</v>
      </c>
      <c r="CW5" s="438" t="s">
        <v>356</v>
      </c>
      <c r="CX5" s="695"/>
      <c r="CY5" s="454">
        <f ca="1">DM16-OCost*CP4</f>
        <v>804766.83153472131</v>
      </c>
      <c r="CZ5" s="448">
        <f ca="1">DS16</f>
        <v>813990.56595811807</v>
      </c>
      <c r="DA5" s="449">
        <f ca="1">DT16</f>
        <v>-1027267.1562764728</v>
      </c>
      <c r="DB5" s="13"/>
      <c r="DC5" s="201"/>
      <c r="DD5" s="353"/>
      <c r="DE5" s="570"/>
      <c r="DF5" s="570"/>
      <c r="DG5"/>
      <c r="DH5"/>
      <c r="DI5" s="438" t="s">
        <v>199</v>
      </c>
      <c r="DJ5" s="695"/>
      <c r="DK5" s="439"/>
      <c r="DL5" s="440">
        <f ca="1">DV10/DO5</f>
        <v>9.2617566418483364</v>
      </c>
      <c r="DM5" s="795" t="s">
        <v>357</v>
      </c>
      <c r="DN5" s="616"/>
      <c r="DO5" s="797">
        <f ca="1">DE16*1000</f>
        <v>80056.291015774827</v>
      </c>
      <c r="DT5" s="964" t="s">
        <v>445</v>
      </c>
      <c r="DU5" s="421"/>
      <c r="DV5" s="959">
        <f ca="1">GY16</f>
        <v>57103.562389797662</v>
      </c>
      <c r="DW5" s="420">
        <f ca="1">HD16</f>
        <v>31809.737415898089</v>
      </c>
      <c r="DX5" s="420">
        <f ca="1">IF(OCallPut,1,-1)*(SUMPRODUCT(CF17:CF292,BZ17:BZ292)-SUMPRODUCT(FS17:FS292,BZ17:BZ292)-SUMPRODUCT(FZ17:FZ292,BZ17:BZ292)+SpreadOptStrike*BZ16)</f>
        <v>31110.896403301464</v>
      </c>
      <c r="DY5" s="420">
        <f ca="1">IF(BZ16,(SUMPRODUCT(CF17:CF292,BZ17:BZ292)-SpreadOptPowerMargin*BZ16)/(SUMPRODUCT(FS17:FS292,BZ17:BZ292)*1000/HeatRatePeak+SpreadOptGasMargin*BZ16)*1000,0)</f>
        <v>9954.9777490239994</v>
      </c>
      <c r="DZ5" s="420">
        <f ca="1">SUMPRODUCT(GO17:GO292,BZ17:BZ292)</f>
        <v>3913.1417670969704</v>
      </c>
      <c r="EA5" s="420">
        <f ca="1">SUMPRODUCT(GT17:GT292,BZ17:BZ292)*HeatRatePeak/1000</f>
        <v>-20564.680335795183</v>
      </c>
      <c r="EB5" s="420">
        <f ca="1">BZ16</f>
        <v>5522.7473757269918</v>
      </c>
      <c r="EC5" s="429">
        <f ca="1">EB5*HeatRatePeak/1000</f>
        <v>44181.979005815934</v>
      </c>
      <c r="EI5" s="13"/>
      <c r="EJ5" s="13"/>
      <c r="EK5" s="13"/>
      <c r="EL5" s="13"/>
      <c r="EM5" s="13"/>
      <c r="EN5" s="13"/>
      <c r="EO5" s="13"/>
      <c r="EP5" s="13"/>
      <c r="EQ5" s="13"/>
      <c r="ER5" s="13"/>
      <c r="ES5" s="13"/>
      <c r="ET5" s="13"/>
      <c r="EU5" s="13"/>
    </row>
    <row r="6" spans="1:256" ht="13.8" thickBot="1" x14ac:dyDescent="0.3">
      <c r="BA6" s="953"/>
      <c r="BQ6" s="277" t="s">
        <v>358</v>
      </c>
      <c r="BR6" s="426">
        <f ca="1">SUMPRODUCT($BS$17:$BS$292,$BW$17:$BW$292)</f>
        <v>1909394.9559946063</v>
      </c>
      <c r="BS6" s="205">
        <f ca="1">SPrice</f>
        <v>32.659889647739881</v>
      </c>
      <c r="BT6" s="438" t="str">
        <f>IF(SBuySell=1,"Bid-Contract","Contract-Offer")</f>
        <v>Contract-Offer</v>
      </c>
      <c r="BU6" s="695"/>
      <c r="BV6" s="439"/>
      <c r="BW6" s="430">
        <f ca="1">IF(SBuySell,BR3-BR6,BR6-BR5)</f>
        <v>1.862645149230957E-9</v>
      </c>
      <c r="BX6"/>
      <c r="BY6" s="438" t="s">
        <v>36</v>
      </c>
      <c r="BZ6" s="439"/>
      <c r="CA6" s="440">
        <f ca="1">SOStrike</f>
        <v>32.659889647739881</v>
      </c>
      <c r="CB6" s="438" t="s">
        <v>359</v>
      </c>
      <c r="CC6" s="439"/>
      <c r="CD6" s="440" t="e">
        <f ca="1">BW4/BW2*UndiscountedOption(CA5,SOStrike,SOVol,CA4,SOCallPut,1)</f>
        <v>#VALUE!</v>
      </c>
      <c r="CF6" s="62" t="s">
        <v>360</v>
      </c>
      <c r="CG6" s="191"/>
      <c r="CH6" s="191"/>
      <c r="CI6" s="430">
        <f ca="1">CI4-CI5</f>
        <v>331235.62490225548</v>
      </c>
      <c r="CJ6" s="795" t="s">
        <v>361</v>
      </c>
      <c r="CK6" s="616"/>
      <c r="CL6" s="616"/>
      <c r="CM6" s="800">
        <f ca="1">DC16/CP3</f>
        <v>0.38308663650341929</v>
      </c>
      <c r="CN6" s="795" t="s">
        <v>362</v>
      </c>
      <c r="CO6" s="796"/>
      <c r="CP6" s="797">
        <f ca="1">DE16*1000</f>
        <v>80056.291015774827</v>
      </c>
      <c r="CQ6"/>
      <c r="CR6" s="438" t="s">
        <v>170</v>
      </c>
      <c r="CS6" s="695"/>
      <c r="CT6" s="439"/>
      <c r="CU6" s="430">
        <f ca="1">EA16</f>
        <v>58462.994718867267</v>
      </c>
      <c r="DE6"/>
      <c r="DF6"/>
      <c r="DG6"/>
      <c r="DH6"/>
      <c r="DI6"/>
      <c r="DJ6"/>
      <c r="DK6"/>
      <c r="DT6" s="965" t="s">
        <v>447</v>
      </c>
      <c r="DU6" s="421"/>
      <c r="DV6" s="959">
        <f ca="1">DV4+DV5</f>
        <v>660476.04191646492</v>
      </c>
      <c r="DW6" s="420">
        <f ca="1">DW4+DW5</f>
        <v>563849.69503531675</v>
      </c>
      <c r="DX6" s="420">
        <f ca="1">DX4+DX5</f>
        <v>563150.85402272025</v>
      </c>
      <c r="DY6" s="420">
        <f ca="1">IF(BY16+BZ16,(SUMPRODUCT(CE17:CE292,BY17:BY292)+SUMPRODUCT(CF17:CF292,BZ17:BZ292)-SpreadOptPowerMargin*(BY16+BZ16))/((SUMPRODUCT(FR17:FR292,BY17:BY292)+SUMPRODUCT(FS17:FS292,BZ17:BZ292))*1000/HeatRatePeak+SpreadOptGasMargin*(BY16+BZ16))*1000,0)</f>
        <v>13959.746336539596</v>
      </c>
      <c r="DZ6" s="420">
        <f ca="1">DZ4+DZ5</f>
        <v>27359.224827214286</v>
      </c>
      <c r="EA6" s="420">
        <f ca="1">EA4+EA5</f>
        <v>-166501.39853153567</v>
      </c>
      <c r="EB6" s="420">
        <f ca="1">EB4+EB5</f>
        <v>32779.422062316182</v>
      </c>
      <c r="EC6" s="429">
        <f ca="1">EC4+EC5</f>
        <v>262235.37649852945</v>
      </c>
      <c r="EI6" s="13"/>
      <c r="EJ6" s="13"/>
      <c r="EK6" s="13"/>
      <c r="EL6" s="13"/>
      <c r="EM6" s="13"/>
      <c r="EN6" s="13"/>
      <c r="EO6" s="13"/>
      <c r="EP6" s="13"/>
      <c r="EQ6" s="13"/>
      <c r="ER6" s="13"/>
      <c r="ES6" s="13"/>
      <c r="ET6" s="13"/>
      <c r="EU6" s="13"/>
    </row>
    <row r="7" spans="1:256" x14ac:dyDescent="0.25">
      <c r="CS7" s="13"/>
      <c r="CT7" s="13"/>
      <c r="CU7" s="13"/>
      <c r="CV7" s="13"/>
      <c r="DE7"/>
      <c r="DF7"/>
      <c r="DG7"/>
      <c r="DH7"/>
      <c r="DI7"/>
      <c r="DJ7"/>
      <c r="DK7"/>
      <c r="DT7" s="964" t="s">
        <v>446</v>
      </c>
      <c r="DU7" s="421"/>
      <c r="DV7" s="959">
        <f ca="1">GZ16</f>
        <v>55593.882548445421</v>
      </c>
      <c r="DW7" s="420">
        <f ca="1">HE16</f>
        <v>25476.651437239972</v>
      </c>
      <c r="DX7" s="420">
        <f ca="1">IF(OCallPut,1,-1)*(SUMPRODUCT(CG17:CG292,CA17:CA292)-SUMPRODUCT(FT17:FT292,CA17:CA292)-SUMPRODUCT(GA17:GA292,CA17:CA292)+SpreadOptStrike*CA16)</f>
        <v>25474.984077404515</v>
      </c>
      <c r="DY7" s="420">
        <f ca="1">IF(CA16,(SUMPRODUCT(CG17:CG292,CA17:CA292)-SpreadOptPowerMargin*CA16)/(SUMPRODUCT(FT17:FT292,CA17:CA292)*1000/HeatRateOffPeak+SpreadOptGasMargin*CA16)*1000,0)</f>
        <v>9424.3026203033278</v>
      </c>
      <c r="DZ7" s="420">
        <f ca="1">SUMPRODUCT(GP17:GP292,CA17:CA292)</f>
        <v>4396.6608729818818</v>
      </c>
      <c r="EA7" s="420">
        <f ca="1">SUMPRODUCT(GU17:GU292,CA17:CA292)*HeatRateOffPeak/1000</f>
        <v>-22685.125632555089</v>
      </c>
      <c r="EB7" s="420">
        <f ca="1">CA16</f>
        <v>6195.9077502620048</v>
      </c>
      <c r="EC7" s="429">
        <f ca="1">EB7*HeatRateOffPeak/1000</f>
        <v>49567.262002096038</v>
      </c>
    </row>
    <row r="8" spans="1:256" x14ac:dyDescent="0.25">
      <c r="CS8" s="13"/>
      <c r="CT8" s="13"/>
      <c r="CU8" s="13"/>
      <c r="CV8" s="13"/>
      <c r="DE8"/>
      <c r="DF8"/>
      <c r="DG8"/>
      <c r="DH8"/>
      <c r="DI8"/>
      <c r="DJ8"/>
      <c r="DK8"/>
      <c r="DT8" s="964" t="s">
        <v>138</v>
      </c>
      <c r="DU8" s="421"/>
      <c r="DV8" s="959">
        <f ca="1">HA16</f>
        <v>51065.856861132132</v>
      </c>
      <c r="DW8" s="420">
        <f ca="1">HF16</f>
        <v>13259.049494098486</v>
      </c>
      <c r="DX8" s="420">
        <f ca="1">IF(OCallPut,1,-1)*(SUMPRODUCT(CI17:CI292,CC17:CC292)-SUMPRODUCT(FU17:FU292,CC17:CC292)-SUMPRODUCT(GB17:GB292,CC17:CC292)+SpreadOptStrike*CC16)</f>
        <v>-27771.142219271394</v>
      </c>
      <c r="DY8" s="420">
        <f ca="1">IF(CC16,(SUMPRODUCT(CI17:CI292,CC17:CC292)-SpreadOptPowerMargin*CC16)/(SUMPRODUCT(FU17:FU292,CC17:CC292)*1000/HeatRateOffPeak+SpreadOptGasMargin*CC16)*1000,0)</f>
        <v>7505.7563849029684</v>
      </c>
      <c r="DZ8" s="420">
        <f ca="1">SUMPRODUCT(GQ17:GQ292,CC17:CC292)</f>
        <v>9547.4218430435576</v>
      </c>
      <c r="EA8" s="420">
        <f ca="1">SUMPRODUCT(GV17:GV292,CC17:CC292)*HeatRateOffPeak/1000</f>
        <v>-56317.455829999861</v>
      </c>
      <c r="EB8" s="420">
        <f ca="1">CC16</f>
        <v>19487.664906289105</v>
      </c>
      <c r="EC8" s="429">
        <f ca="1">EB8*HeatRateOffPeak/1000</f>
        <v>155901.31925031284</v>
      </c>
    </row>
    <row r="9" spans="1:256" x14ac:dyDescent="0.25">
      <c r="CS9" s="13"/>
      <c r="CT9" s="13"/>
      <c r="CU9" s="13"/>
      <c r="CV9" s="13"/>
      <c r="DE9"/>
      <c r="DF9"/>
      <c r="DG9"/>
      <c r="DH9"/>
      <c r="DI9"/>
      <c r="DJ9"/>
      <c r="DK9"/>
      <c r="DT9" s="965" t="s">
        <v>448</v>
      </c>
      <c r="DU9" s="421"/>
      <c r="DV9" s="959">
        <f ca="1">DV7+DV8</f>
        <v>106659.73940957755</v>
      </c>
      <c r="DW9" s="959">
        <f ca="1">DW7+DW8</f>
        <v>38735.700931338462</v>
      </c>
      <c r="DX9" s="420">
        <f ca="1">DX7+DX8</f>
        <v>-2296.1581418668793</v>
      </c>
      <c r="DY9" s="420">
        <f ca="1">IF(CA16+CC16,(SUMPRODUCT(CG17:CG292,CA17:CA292)+SUMPRODUCT(CI17:CI292,CC17:CC292)-SpreadOptPowerMargin*(CA16+CC16))/((SUMPRODUCT(FT17:FT292,CA17:CA292)+SUMPRODUCT(FU17:FU292,CC17:CC292))*1000/HeatRateOffPeak+SpreadOptGasMargin*(CA16+CC16))*1000,0)</f>
        <v>7969.0022996329526</v>
      </c>
      <c r="DZ9" s="420">
        <f ca="1">DZ7+DZ8</f>
        <v>13944.082716025439</v>
      </c>
      <c r="EA9" s="420">
        <f ca="1">EA7+EA8</f>
        <v>-79002.581462554954</v>
      </c>
      <c r="EB9" s="420">
        <f ca="1">EB7+EB8</f>
        <v>25683.57265655111</v>
      </c>
      <c r="EC9" s="429">
        <f ca="1">EC7+EC8</f>
        <v>205468.58125240888</v>
      </c>
    </row>
    <row r="10" spans="1:256" ht="13.8" thickBot="1" x14ac:dyDescent="0.3">
      <c r="CS10" s="13"/>
      <c r="CT10" s="13"/>
      <c r="CU10" s="13"/>
      <c r="CV10" s="13"/>
      <c r="DE10"/>
      <c r="DF10"/>
      <c r="DG10"/>
      <c r="DH10"/>
      <c r="DI10"/>
      <c r="DJ10"/>
      <c r="DK10"/>
      <c r="DT10" s="966" t="s">
        <v>449</v>
      </c>
      <c r="DU10" s="439"/>
      <c r="DV10" s="448">
        <f ca="1">IF(OVolType,HB16,DV6+DV9)</f>
        <v>741461.88503709587</v>
      </c>
      <c r="DW10" s="448">
        <f ca="1">IF(OVolType,HG16,DW6+DW9)</f>
        <v>560854.69588085299</v>
      </c>
      <c r="DX10" s="448">
        <f ca="1">DX6+DX9</f>
        <v>560854.69588085334</v>
      </c>
      <c r="DY10" s="448">
        <f ca="1">IF(OVolType,(SUMPRODUCT(CJ17:CJ292,CD17:CD292)-SpreadOptPowerMargin*CD16)/(SUMPRODUCT(FV17:FV292,CD17:CD292)*1000/((HeatRatePeak*(BI16+BJ16)+HeatRateOffPeak*(BK16+BL16))/BR16)+SpreadOptGasMargin*CD16)*1000,(DY6*(BI16+BJ16)+DY9*(BK16+BL16))/BR16)</f>
        <v>11327.181026592663</v>
      </c>
      <c r="DZ10" s="448">
        <f ca="1">SUMPRODUCT(GR17:GR292,CD17:CD292)</f>
        <v>45443.142603564353</v>
      </c>
      <c r="EA10" s="448">
        <f ca="1">SUMPRODUCT(GW17:GW292,CD17:CD292)*((BY16+BZ16)*HeatRatePeak+(CA16+CC16)*HeatRateOffPeak)/CD16/1000</f>
        <v>-273110.25294471247</v>
      </c>
      <c r="EB10" s="448">
        <f ca="1">EB6+EB9</f>
        <v>58462.994718867296</v>
      </c>
      <c r="EC10" s="430">
        <f ca="1">EC6+EC9</f>
        <v>467703.95775093837</v>
      </c>
    </row>
    <row r="11" spans="1:256" ht="13.8" thickBot="1" x14ac:dyDescent="0.3">
      <c r="CS11" s="13"/>
      <c r="CT11" s="13"/>
      <c r="CU11" s="13"/>
      <c r="CV11" s="13"/>
      <c r="DE11"/>
      <c r="DF11"/>
      <c r="DG11"/>
      <c r="DH11"/>
      <c r="DI11"/>
      <c r="DJ11"/>
      <c r="DK11"/>
    </row>
    <row r="12" spans="1:256" ht="13.8" thickBot="1" x14ac:dyDescent="0.3">
      <c r="A12" s="192" t="s">
        <v>363</v>
      </c>
      <c r="B12" s="193"/>
      <c r="C12" s="193"/>
      <c r="D12" s="193"/>
      <c r="E12" s="193"/>
      <c r="F12" s="243"/>
      <c r="G12" s="192" t="s">
        <v>364</v>
      </c>
      <c r="H12" s="242"/>
      <c r="I12" s="189" t="s">
        <v>365</v>
      </c>
      <c r="J12" s="190"/>
      <c r="K12" s="149" t="str">
        <f>IF(BasisNumber=1,"Prices","Basis-Adjusted Prices")</f>
        <v>Prices</v>
      </c>
      <c r="L12" s="150"/>
      <c r="M12" s="150"/>
      <c r="N12" s="150"/>
      <c r="O12" s="150"/>
      <c r="P12" s="150"/>
      <c r="Q12" s="150"/>
      <c r="R12" s="150"/>
      <c r="S12" s="150"/>
      <c r="T12" s="150"/>
      <c r="U12" s="150"/>
      <c r="V12" s="152"/>
      <c r="W12" s="916" t="s">
        <v>366</v>
      </c>
      <c r="X12" s="917"/>
      <c r="Y12" s="917"/>
      <c r="Z12" s="917"/>
      <c r="AA12" s="917"/>
      <c r="AB12" s="917"/>
      <c r="AC12" s="917"/>
      <c r="AD12" s="917"/>
      <c r="AE12" s="917"/>
      <c r="AF12" s="917"/>
      <c r="AG12" s="917"/>
      <c r="AH12" s="917"/>
      <c r="AI12" s="917"/>
      <c r="AJ12" s="917"/>
      <c r="AK12" s="917"/>
      <c r="AL12" s="917"/>
      <c r="AM12" s="917"/>
      <c r="AN12" s="917"/>
      <c r="AO12" s="917"/>
      <c r="AP12" s="917"/>
      <c r="AQ12" s="918"/>
      <c r="AR12" s="917"/>
      <c r="AS12" s="917"/>
      <c r="AT12" s="918"/>
      <c r="AU12" s="914" t="s">
        <v>130</v>
      </c>
      <c r="AV12" s="192" t="s">
        <v>367</v>
      </c>
      <c r="AW12" s="298"/>
      <c r="AX12" s="298"/>
      <c r="AY12" s="298"/>
      <c r="AZ12" s="242"/>
      <c r="BA12" s="954" t="s">
        <v>437</v>
      </c>
      <c r="BB12" s="955"/>
      <c r="BC12" s="955"/>
      <c r="BD12" s="955"/>
      <c r="BE12" s="955"/>
      <c r="BF12" s="955"/>
      <c r="BG12" s="955"/>
      <c r="BH12" s="956"/>
      <c r="BI12" s="955" t="s">
        <v>438</v>
      </c>
      <c r="BJ12" s="955"/>
      <c r="BK12" s="955"/>
      <c r="BL12" s="955"/>
      <c r="BM12" s="955"/>
      <c r="BN12" s="956"/>
      <c r="BO12" s="956"/>
      <c r="BP12" s="956"/>
      <c r="BQ12" s="215"/>
      <c r="BR12" s="215"/>
      <c r="BS12" s="192" t="s">
        <v>369</v>
      </c>
      <c r="BT12" s="192"/>
      <c r="BU12" s="193"/>
      <c r="BV12" s="193"/>
      <c r="BW12" s="193"/>
      <c r="BX12" s="192" t="s">
        <v>370</v>
      </c>
      <c r="BY12" s="298"/>
      <c r="BZ12" s="298"/>
      <c r="CA12" s="298"/>
      <c r="CB12" s="298"/>
      <c r="CC12" s="298"/>
      <c r="CD12" s="193"/>
      <c r="CE12" s="193"/>
      <c r="CF12" s="193"/>
      <c r="CG12" s="193"/>
      <c r="CH12" s="193"/>
      <c r="CI12" s="193"/>
      <c r="CJ12" s="193"/>
      <c r="CK12" s="193"/>
      <c r="CL12" s="193"/>
      <c r="CM12" s="193"/>
      <c r="CN12" s="193"/>
      <c r="CO12" s="193"/>
      <c r="CP12" s="193"/>
      <c r="CQ12" s="193"/>
      <c r="CR12" s="193"/>
      <c r="CS12" s="193"/>
      <c r="CT12" s="193"/>
      <c r="CU12" s="193"/>
      <c r="CV12" s="193"/>
      <c r="CW12" s="193"/>
      <c r="CX12" s="193"/>
      <c r="CY12" s="193"/>
      <c r="CZ12" s="193"/>
      <c r="DA12" s="193"/>
      <c r="DB12" s="193"/>
      <c r="DC12" s="193"/>
      <c r="DD12" s="193"/>
      <c r="DE12" s="193"/>
      <c r="DF12" s="193"/>
      <c r="DG12" s="193"/>
      <c r="DH12" s="193"/>
      <c r="DI12" s="193"/>
      <c r="DJ12" s="193"/>
      <c r="DK12" s="193"/>
      <c r="DL12" s="193"/>
      <c r="DM12" s="193"/>
      <c r="DN12" s="193"/>
      <c r="DO12" s="193"/>
      <c r="DP12" s="193"/>
      <c r="DQ12" s="193"/>
      <c r="DR12" s="193"/>
      <c r="DS12" s="542"/>
      <c r="DT12" s="243"/>
      <c r="DU12" s="149" t="s">
        <v>371</v>
      </c>
      <c r="DV12" s="150"/>
      <c r="DW12" s="150"/>
      <c r="DX12" s="150"/>
      <c r="DY12" s="150"/>
      <c r="DZ12" s="150"/>
      <c r="EA12" s="150"/>
      <c r="EB12" s="150"/>
      <c r="EC12" s="150"/>
      <c r="ED12" s="150"/>
      <c r="EE12" s="150"/>
      <c r="EF12" s="150"/>
      <c r="EG12" s="150"/>
      <c r="EH12" s="150"/>
      <c r="EI12" s="150"/>
      <c r="EJ12" s="150"/>
      <c r="EK12" s="150"/>
      <c r="EL12" s="150"/>
      <c r="EM12" s="150"/>
      <c r="EN12" s="150"/>
      <c r="EO12" s="150"/>
      <c r="EP12" s="150"/>
      <c r="EQ12" s="150"/>
      <c r="ER12" s="150"/>
      <c r="ES12" s="150"/>
      <c r="ET12" s="150"/>
      <c r="EU12" s="150"/>
      <c r="EV12" s="150"/>
      <c r="EW12" s="150"/>
      <c r="EX12" s="150"/>
      <c r="EY12" s="150"/>
      <c r="EZ12" s="150"/>
      <c r="FA12" s="150"/>
      <c r="FB12" s="150"/>
      <c r="FC12" s="150"/>
      <c r="FD12" s="150"/>
      <c r="FE12" s="150"/>
      <c r="FF12" s="150"/>
      <c r="FG12" s="150"/>
      <c r="FH12" s="150"/>
      <c r="FI12" s="150"/>
      <c r="FJ12" s="193"/>
      <c r="FK12" s="150"/>
      <c r="FL12" s="150"/>
      <c r="FM12" s="150"/>
      <c r="FN12" s="150"/>
      <c r="FO12" s="150"/>
      <c r="FP12" s="188"/>
      <c r="FQ12" s="152"/>
      <c r="FR12" s="192" t="s">
        <v>372</v>
      </c>
      <c r="FS12" s="192"/>
      <c r="FT12" s="192"/>
      <c r="FU12" s="192"/>
      <c r="FV12" s="298"/>
      <c r="FW12" s="193"/>
      <c r="FX12" s="193"/>
      <c r="FY12" s="193"/>
      <c r="FZ12" s="193"/>
      <c r="GA12" s="193"/>
      <c r="GB12" s="193"/>
      <c r="GC12" s="193"/>
      <c r="GD12" s="193"/>
      <c r="GE12" s="193"/>
      <c r="GF12" s="193"/>
      <c r="GG12" s="193"/>
      <c r="GH12" s="193"/>
      <c r="GI12" s="193"/>
      <c r="GJ12" s="193"/>
      <c r="GK12" s="193"/>
      <c r="GL12" s="193"/>
      <c r="GM12" s="193"/>
      <c r="GN12" s="193"/>
      <c r="GO12" s="193"/>
      <c r="GP12" s="193"/>
      <c r="GQ12" s="193"/>
      <c r="GR12" s="193"/>
      <c r="GS12" s="193"/>
      <c r="GT12" s="193"/>
      <c r="GU12" s="193"/>
      <c r="GV12" s="193"/>
      <c r="GW12" s="193"/>
      <c r="GX12" s="193"/>
      <c r="GY12" s="193"/>
      <c r="GZ12" s="193"/>
      <c r="HA12" s="193"/>
      <c r="HB12" s="193"/>
      <c r="HC12" s="243"/>
      <c r="HD12" s="243"/>
      <c r="HE12" s="243"/>
      <c r="HF12" s="243"/>
      <c r="HG12" s="243"/>
    </row>
    <row r="13" spans="1:256" s="264" customFormat="1" x14ac:dyDescent="0.25">
      <c r="A13" s="249"/>
      <c r="B13" s="250"/>
      <c r="C13" s="617"/>
      <c r="D13" s="250"/>
      <c r="E13" s="467"/>
      <c r="F13" s="461"/>
      <c r="G13" s="262"/>
      <c r="H13" s="524"/>
      <c r="I13" s="252"/>
      <c r="J13" s="253"/>
      <c r="K13" s="913" t="s">
        <v>427</v>
      </c>
      <c r="L13" s="763"/>
      <c r="M13" s="763"/>
      <c r="N13" s="762" t="s">
        <v>64</v>
      </c>
      <c r="O13" s="763"/>
      <c r="P13" s="763"/>
      <c r="Q13" s="762" t="s">
        <v>69</v>
      </c>
      <c r="R13" s="763"/>
      <c r="S13" s="763"/>
      <c r="T13" s="762" t="s">
        <v>138</v>
      </c>
      <c r="U13" s="763"/>
      <c r="V13" s="894"/>
      <c r="W13" s="272" t="s">
        <v>9</v>
      </c>
      <c r="X13" s="273"/>
      <c r="Y13" s="274"/>
      <c r="Z13" s="275" t="s">
        <v>9</v>
      </c>
      <c r="AA13" s="273"/>
      <c r="AB13" s="274"/>
      <c r="AC13" s="275" t="s">
        <v>9</v>
      </c>
      <c r="AD13" s="273"/>
      <c r="AE13" s="274"/>
      <c r="AF13" s="275" t="s">
        <v>9</v>
      </c>
      <c r="AG13" s="273"/>
      <c r="AH13" s="274"/>
      <c r="AI13" s="275" t="s">
        <v>373</v>
      </c>
      <c r="AJ13" s="273"/>
      <c r="AK13" s="274"/>
      <c r="AL13" s="297" t="s">
        <v>373</v>
      </c>
      <c r="AM13" s="295"/>
      <c r="AN13" s="296"/>
      <c r="AO13" s="275" t="s">
        <v>373</v>
      </c>
      <c r="AP13" s="273"/>
      <c r="AQ13" s="273"/>
      <c r="AR13" s="297" t="s">
        <v>373</v>
      </c>
      <c r="AS13" s="295"/>
      <c r="AT13" s="948"/>
      <c r="AU13" s="915" t="s">
        <v>138</v>
      </c>
      <c r="AV13" s="257" t="s">
        <v>374</v>
      </c>
      <c r="AW13" s="258"/>
      <c r="AX13" s="258"/>
      <c r="AY13" s="258"/>
      <c r="AZ13" s="259"/>
      <c r="BA13" s="920" t="s">
        <v>375</v>
      </c>
      <c r="BB13" s="920"/>
      <c r="BC13" s="920"/>
      <c r="BD13" s="261"/>
      <c r="BE13" s="260" t="s">
        <v>376</v>
      </c>
      <c r="BF13" s="920"/>
      <c r="BG13" s="920"/>
      <c r="BH13" s="261"/>
      <c r="BI13" s="920" t="s">
        <v>375</v>
      </c>
      <c r="BJ13" s="920"/>
      <c r="BK13" s="920"/>
      <c r="BL13" s="261"/>
      <c r="BM13" s="260" t="s">
        <v>376</v>
      </c>
      <c r="BN13" s="920"/>
      <c r="BO13" s="920"/>
      <c r="BP13" s="261"/>
      <c r="BQ13" s="218" t="s">
        <v>308</v>
      </c>
      <c r="BR13" s="218" t="s">
        <v>368</v>
      </c>
      <c r="BS13" s="262"/>
      <c r="BT13" s="306" t="s">
        <v>377</v>
      </c>
      <c r="BU13" s="307"/>
      <c r="BV13" s="307"/>
      <c r="BW13" s="307"/>
      <c r="BX13" s="311" t="s">
        <v>378</v>
      </c>
      <c r="BY13" s="762" t="s">
        <v>170</v>
      </c>
      <c r="BZ13" s="763"/>
      <c r="CA13" s="763"/>
      <c r="CB13" s="763"/>
      <c r="CC13" s="763"/>
      <c r="CD13" s="764"/>
      <c r="CE13" s="765" t="s">
        <v>323</v>
      </c>
      <c r="CF13" s="402"/>
      <c r="CG13" s="402"/>
      <c r="CH13" s="402"/>
      <c r="CI13" s="402"/>
      <c r="CJ13" s="402"/>
      <c r="CK13" s="403"/>
      <c r="CL13" s="762" t="s">
        <v>366</v>
      </c>
      <c r="CM13" s="763"/>
      <c r="CN13" s="763"/>
      <c r="CO13" s="763"/>
      <c r="CP13" s="763"/>
      <c r="CQ13" s="763"/>
      <c r="CR13" s="763"/>
      <c r="CS13" s="763"/>
      <c r="CT13" s="763"/>
      <c r="CU13" s="763"/>
      <c r="CV13" s="764"/>
      <c r="CW13" s="762" t="s">
        <v>379</v>
      </c>
      <c r="CX13" s="763"/>
      <c r="CY13" s="763"/>
      <c r="CZ13" s="763"/>
      <c r="DA13" s="403"/>
      <c r="DB13" s="505" t="s">
        <v>380</v>
      </c>
      <c r="DC13" s="254" t="s">
        <v>380</v>
      </c>
      <c r="DD13" s="255" t="s">
        <v>330</v>
      </c>
      <c r="DE13" s="509" t="s">
        <v>381</v>
      </c>
      <c r="DF13" s="762" t="s">
        <v>382</v>
      </c>
      <c r="DG13" s="763"/>
      <c r="DH13" s="763"/>
      <c r="DI13" s="763"/>
      <c r="DJ13" s="763"/>
      <c r="DK13" s="402"/>
      <c r="DL13" s="764"/>
      <c r="DM13" s="762" t="s">
        <v>383</v>
      </c>
      <c r="DN13" s="763"/>
      <c r="DO13" s="763"/>
      <c r="DP13" s="763"/>
      <c r="DQ13" s="763"/>
      <c r="DR13" s="763"/>
      <c r="DS13" s="763"/>
      <c r="DT13" s="894"/>
      <c r="DU13" s="311" t="s">
        <v>384</v>
      </c>
      <c r="DV13" s="762" t="s">
        <v>170</v>
      </c>
      <c r="DW13" s="763"/>
      <c r="DX13" s="763"/>
      <c r="DY13" s="763"/>
      <c r="DZ13" s="763"/>
      <c r="EA13" s="764"/>
      <c r="EB13" s="765" t="s">
        <v>323</v>
      </c>
      <c r="EC13" s="402"/>
      <c r="ED13" s="402"/>
      <c r="EE13" s="402"/>
      <c r="EF13" s="402"/>
      <c r="EG13" s="403"/>
      <c r="EH13" s="401" t="s">
        <v>253</v>
      </c>
      <c r="EI13" s="402"/>
      <c r="EJ13" s="402"/>
      <c r="EK13" s="402"/>
      <c r="EL13" s="402"/>
      <c r="EM13" s="402"/>
      <c r="EN13" s="402"/>
      <c r="EO13" s="402"/>
      <c r="EP13" s="402"/>
      <c r="EQ13" s="402"/>
      <c r="ER13" s="402"/>
      <c r="ES13" s="402"/>
      <c r="ET13" s="403"/>
      <c r="EU13" s="401" t="s">
        <v>254</v>
      </c>
      <c r="EV13" s="402"/>
      <c r="EW13" s="404"/>
      <c r="EX13" s="404"/>
      <c r="EY13" s="404"/>
      <c r="EZ13" s="404"/>
      <c r="FA13" s="402"/>
      <c r="FB13" s="402"/>
      <c r="FC13" s="402"/>
      <c r="FD13" s="402"/>
      <c r="FE13" s="402"/>
      <c r="FF13" s="402"/>
      <c r="FG13" s="403"/>
      <c r="FH13" s="401" t="s">
        <v>385</v>
      </c>
      <c r="FI13" s="405"/>
      <c r="FJ13" s="509" t="s">
        <v>381</v>
      </c>
      <c r="FK13" s="401" t="s">
        <v>321</v>
      </c>
      <c r="FL13" s="404"/>
      <c r="FM13" s="404"/>
      <c r="FN13" s="404"/>
      <c r="FO13" s="404"/>
      <c r="FP13" s="404"/>
      <c r="FQ13" s="406"/>
      <c r="FR13" s="893" t="s">
        <v>386</v>
      </c>
      <c r="FS13" s="764"/>
      <c r="FT13" s="764"/>
      <c r="FU13" s="892"/>
      <c r="FV13" s="892"/>
      <c r="FW13" s="509" t="s">
        <v>139</v>
      </c>
      <c r="FX13" s="509" t="s">
        <v>131</v>
      </c>
      <c r="FY13" s="892" t="s">
        <v>387</v>
      </c>
      <c r="FZ13" s="892"/>
      <c r="GA13" s="892"/>
      <c r="GB13" s="892"/>
      <c r="GC13" s="762"/>
      <c r="GD13" s="762" t="s">
        <v>388</v>
      </c>
      <c r="GE13" s="763"/>
      <c r="GF13" s="763"/>
      <c r="GG13" s="763"/>
      <c r="GH13" s="764"/>
      <c r="GI13" s="762" t="s">
        <v>389</v>
      </c>
      <c r="GJ13" s="763"/>
      <c r="GK13" s="763"/>
      <c r="GL13" s="763"/>
      <c r="GM13" s="764"/>
      <c r="GN13" s="762" t="s">
        <v>390</v>
      </c>
      <c r="GO13" s="763"/>
      <c r="GP13" s="763"/>
      <c r="GQ13" s="763"/>
      <c r="GR13" s="764"/>
      <c r="GS13" s="762" t="s">
        <v>391</v>
      </c>
      <c r="GT13" s="763"/>
      <c r="GU13" s="763"/>
      <c r="GV13" s="763"/>
      <c r="GW13" s="764"/>
      <c r="GX13" s="762" t="s">
        <v>392</v>
      </c>
      <c r="GY13" s="763"/>
      <c r="GZ13" s="763"/>
      <c r="HA13" s="763"/>
      <c r="HB13" s="764"/>
      <c r="HC13" s="762" t="s">
        <v>393</v>
      </c>
      <c r="HD13" s="763"/>
      <c r="HE13" s="763"/>
      <c r="HF13" s="763"/>
      <c r="HG13" s="894"/>
      <c r="HH13" s="246"/>
      <c r="IG13" s="250"/>
      <c r="IH13" s="250"/>
      <c r="II13" s="250"/>
      <c r="IJ13" s="250"/>
      <c r="IK13" s="250"/>
      <c r="IL13" s="250"/>
      <c r="IM13" s="250"/>
      <c r="IN13" s="250"/>
      <c r="IO13" s="250"/>
      <c r="IP13" s="250"/>
      <c r="IQ13" s="250"/>
      <c r="IR13" s="250"/>
      <c r="IS13" s="250"/>
      <c r="IT13" s="250"/>
      <c r="IU13" s="250"/>
      <c r="IV13" s="250"/>
    </row>
    <row r="14" spans="1:256" s="264" customFormat="1" x14ac:dyDescent="0.25">
      <c r="A14" s="262" t="s">
        <v>394</v>
      </c>
      <c r="B14" s="250"/>
      <c r="C14" s="617"/>
      <c r="D14" s="246" t="s">
        <v>395</v>
      </c>
      <c r="E14" s="300" t="s">
        <v>396</v>
      </c>
      <c r="F14" s="462" t="s">
        <v>396</v>
      </c>
      <c r="G14" s="262" t="s">
        <v>35</v>
      </c>
      <c r="H14" s="524" t="s">
        <v>34</v>
      </c>
      <c r="I14" s="265" t="s">
        <v>397</v>
      </c>
      <c r="J14" s="266" t="s">
        <v>398</v>
      </c>
      <c r="K14" s="257" t="s">
        <v>153</v>
      </c>
      <c r="L14" s="258"/>
      <c r="M14" s="270"/>
      <c r="N14" s="271" t="s">
        <v>153</v>
      </c>
      <c r="O14" s="258"/>
      <c r="P14" s="270"/>
      <c r="Q14" s="271" t="s">
        <v>153</v>
      </c>
      <c r="R14" s="258"/>
      <c r="S14" s="258"/>
      <c r="T14" s="943"/>
      <c r="U14" s="258"/>
      <c r="V14" s="259"/>
      <c r="W14" s="272" t="s">
        <v>153</v>
      </c>
      <c r="X14" s="273"/>
      <c r="Y14" s="274"/>
      <c r="Z14" s="275" t="s">
        <v>430</v>
      </c>
      <c r="AA14" s="273"/>
      <c r="AB14" s="274"/>
      <c r="AC14" s="275" t="s">
        <v>431</v>
      </c>
      <c r="AD14" s="273"/>
      <c r="AE14" s="274"/>
      <c r="AF14" s="275" t="s">
        <v>138</v>
      </c>
      <c r="AG14" s="273"/>
      <c r="AH14" s="274"/>
      <c r="AI14" s="275" t="s">
        <v>153</v>
      </c>
      <c r="AJ14" s="273"/>
      <c r="AK14" s="274"/>
      <c r="AL14" s="275" t="s">
        <v>430</v>
      </c>
      <c r="AM14" s="273"/>
      <c r="AN14" s="274"/>
      <c r="AO14" s="275" t="s">
        <v>431</v>
      </c>
      <c r="AP14" s="273"/>
      <c r="AQ14" s="273"/>
      <c r="AR14" s="275" t="s">
        <v>138</v>
      </c>
      <c r="AS14" s="273"/>
      <c r="AT14" s="276"/>
      <c r="AU14" s="915" t="s">
        <v>399</v>
      </c>
      <c r="AV14" s="269" t="s">
        <v>400</v>
      </c>
      <c r="AW14" s="267"/>
      <c r="AX14" s="267"/>
      <c r="AY14" s="267"/>
      <c r="AZ14" s="268"/>
      <c r="BA14" s="267" t="s">
        <v>401</v>
      </c>
      <c r="BB14" s="267"/>
      <c r="BC14" s="267"/>
      <c r="BD14" s="268"/>
      <c r="BE14" s="269" t="s">
        <v>148</v>
      </c>
      <c r="BF14" s="267"/>
      <c r="BG14" s="267"/>
      <c r="BH14" s="268"/>
      <c r="BI14" s="267" t="s">
        <v>401</v>
      </c>
      <c r="BJ14" s="267"/>
      <c r="BK14" s="267"/>
      <c r="BL14" s="268"/>
      <c r="BM14" s="269" t="s">
        <v>148</v>
      </c>
      <c r="BN14" s="267"/>
      <c r="BO14" s="267"/>
      <c r="BP14" s="268"/>
      <c r="BQ14" s="218" t="s">
        <v>375</v>
      </c>
      <c r="BR14" s="218" t="s">
        <v>375</v>
      </c>
      <c r="BS14" s="262" t="s">
        <v>266</v>
      </c>
      <c r="BT14" s="221"/>
      <c r="BU14"/>
      <c r="BV14"/>
      <c r="BW14" s="364" t="s">
        <v>402</v>
      </c>
      <c r="BX14" s="312" t="s">
        <v>403</v>
      </c>
      <c r="BY14" s="246" t="s">
        <v>153</v>
      </c>
      <c r="BZ14" s="246" t="s">
        <v>153</v>
      </c>
      <c r="CA14" s="246" t="s">
        <v>153</v>
      </c>
      <c r="CB14" s="246" t="s">
        <v>153</v>
      </c>
      <c r="CC14" s="246" t="s">
        <v>138</v>
      </c>
      <c r="CD14" s="246" t="s">
        <v>257</v>
      </c>
      <c r="CE14" s="256" t="s">
        <v>153</v>
      </c>
      <c r="CF14" s="246" t="s">
        <v>153</v>
      </c>
      <c r="CG14" s="246" t="s">
        <v>153</v>
      </c>
      <c r="CH14" s="246" t="s">
        <v>153</v>
      </c>
      <c r="CI14" s="254" t="s">
        <v>138</v>
      </c>
      <c r="CJ14" s="254" t="s">
        <v>10</v>
      </c>
      <c r="CK14" s="415" t="s">
        <v>402</v>
      </c>
      <c r="CL14" s="271" t="s">
        <v>404</v>
      </c>
      <c r="CM14" s="258"/>
      <c r="CN14" s="258"/>
      <c r="CO14" s="258"/>
      <c r="CP14" s="258"/>
      <c r="CQ14" s="270"/>
      <c r="CR14" s="271" t="s">
        <v>405</v>
      </c>
      <c r="CS14" s="258"/>
      <c r="CT14" s="258"/>
      <c r="CU14" s="258"/>
      <c r="CV14" s="258"/>
      <c r="CW14" s="300" t="s">
        <v>153</v>
      </c>
      <c r="CX14" s="246" t="s">
        <v>153</v>
      </c>
      <c r="CY14" s="246" t="s">
        <v>153</v>
      </c>
      <c r="CZ14" s="246" t="s">
        <v>138</v>
      </c>
      <c r="DA14" s="251" t="s">
        <v>10</v>
      </c>
      <c r="DB14" s="506" t="s">
        <v>325</v>
      </c>
      <c r="DC14" s="246" t="s">
        <v>120</v>
      </c>
      <c r="DD14" s="251" t="s">
        <v>325</v>
      </c>
      <c r="DE14" s="462" t="s">
        <v>406</v>
      </c>
      <c r="DF14" s="762" t="s">
        <v>407</v>
      </c>
      <c r="DG14" s="763"/>
      <c r="DH14" s="763"/>
      <c r="DI14" s="763"/>
      <c r="DJ14" s="764"/>
      <c r="DK14" s="246" t="s">
        <v>408</v>
      </c>
      <c r="DL14" s="246" t="s">
        <v>409</v>
      </c>
      <c r="DM14" s="300" t="s">
        <v>380</v>
      </c>
      <c r="DN14" s="936" t="s">
        <v>410</v>
      </c>
      <c r="DO14" s="267"/>
      <c r="DP14" s="267"/>
      <c r="DQ14" s="267"/>
      <c r="DR14" s="937"/>
      <c r="DS14" s="246" t="s">
        <v>408</v>
      </c>
      <c r="DT14" s="263" t="s">
        <v>409</v>
      </c>
      <c r="DU14" s="312" t="s">
        <v>411</v>
      </c>
      <c r="DV14" s="246" t="s">
        <v>153</v>
      </c>
      <c r="DW14" s="246" t="s">
        <v>153</v>
      </c>
      <c r="DX14" s="246" t="s">
        <v>153</v>
      </c>
      <c r="DY14" s="246" t="s">
        <v>153</v>
      </c>
      <c r="DZ14" s="246" t="s">
        <v>138</v>
      </c>
      <c r="EA14" s="246" t="s">
        <v>10</v>
      </c>
      <c r="EB14" s="256" t="s">
        <v>153</v>
      </c>
      <c r="EC14" s="254" t="s">
        <v>153</v>
      </c>
      <c r="ED14" s="254" t="s">
        <v>153</v>
      </c>
      <c r="EE14" s="254" t="s">
        <v>153</v>
      </c>
      <c r="EF14" s="254" t="s">
        <v>138</v>
      </c>
      <c r="EG14" s="255" t="s">
        <v>376</v>
      </c>
      <c r="EH14" s="300" t="s">
        <v>402</v>
      </c>
      <c r="EI14" s="860" t="s">
        <v>366</v>
      </c>
      <c r="EJ14" s="861"/>
      <c r="EK14" s="861"/>
      <c r="EL14" s="861"/>
      <c r="EM14" s="861"/>
      <c r="EN14" s="861"/>
      <c r="EO14" s="861"/>
      <c r="EP14" s="861"/>
      <c r="EQ14" s="861"/>
      <c r="ER14" s="861"/>
      <c r="ES14" s="862"/>
      <c r="ET14" s="251" t="s">
        <v>412</v>
      </c>
      <c r="EU14" s="300" t="s">
        <v>402</v>
      </c>
      <c r="EV14" s="860" t="s">
        <v>366</v>
      </c>
      <c r="EW14" s="861"/>
      <c r="EX14" s="861"/>
      <c r="EY14" s="861"/>
      <c r="EZ14" s="861"/>
      <c r="FA14" s="861"/>
      <c r="FB14" s="861"/>
      <c r="FC14" s="861"/>
      <c r="FD14" s="861"/>
      <c r="FE14" s="861"/>
      <c r="FF14" s="862"/>
      <c r="FG14" s="251" t="s">
        <v>412</v>
      </c>
      <c r="FH14" s="300" t="s">
        <v>412</v>
      </c>
      <c r="FI14" s="251" t="s">
        <v>413</v>
      </c>
      <c r="FJ14" s="462" t="s">
        <v>406</v>
      </c>
      <c r="FK14" s="762" t="s">
        <v>407</v>
      </c>
      <c r="FL14" s="763"/>
      <c r="FM14" s="763"/>
      <c r="FN14" s="763"/>
      <c r="FO14" s="764"/>
      <c r="FP14" s="246" t="s">
        <v>408</v>
      </c>
      <c r="FQ14" s="263" t="s">
        <v>409</v>
      </c>
      <c r="FR14" s="262" t="s">
        <v>153</v>
      </c>
      <c r="FS14" s="254" t="s">
        <v>153</v>
      </c>
      <c r="FT14" s="254" t="s">
        <v>153</v>
      </c>
      <c r="FU14" s="246" t="s">
        <v>138</v>
      </c>
      <c r="FV14" s="246" t="s">
        <v>10</v>
      </c>
      <c r="FW14" s="462" t="s">
        <v>27</v>
      </c>
      <c r="FX14" s="462" t="s">
        <v>139</v>
      </c>
      <c r="FY14" s="246" t="s">
        <v>153</v>
      </c>
      <c r="FZ14" s="254" t="s">
        <v>153</v>
      </c>
      <c r="GA14" s="254" t="s">
        <v>153</v>
      </c>
      <c r="GB14" s="246" t="s">
        <v>138</v>
      </c>
      <c r="GC14" s="246" t="s">
        <v>10</v>
      </c>
      <c r="GD14" s="256" t="s">
        <v>153</v>
      </c>
      <c r="GE14" s="254" t="s">
        <v>153</v>
      </c>
      <c r="GF14" s="254" t="s">
        <v>153</v>
      </c>
      <c r="GG14" s="254" t="s">
        <v>138</v>
      </c>
      <c r="GH14" s="255" t="s">
        <v>10</v>
      </c>
      <c r="GI14" s="256" t="s">
        <v>153</v>
      </c>
      <c r="GJ14" s="254" t="s">
        <v>153</v>
      </c>
      <c r="GK14" s="254" t="s">
        <v>153</v>
      </c>
      <c r="GL14" s="254" t="s">
        <v>138</v>
      </c>
      <c r="GM14" s="255" t="str">
        <f>IF(OVolType,"Blended","Total")</f>
        <v>Blended</v>
      </c>
      <c r="GN14" s="256" t="s">
        <v>153</v>
      </c>
      <c r="GO14" s="254" t="s">
        <v>153</v>
      </c>
      <c r="GP14" s="254" t="s">
        <v>153</v>
      </c>
      <c r="GQ14" s="254" t="s">
        <v>138</v>
      </c>
      <c r="GR14" s="255" t="str">
        <f>IF(OVolType,"Blended","Total")</f>
        <v>Blended</v>
      </c>
      <c r="GS14" s="256" t="s">
        <v>153</v>
      </c>
      <c r="GT14" s="254" t="s">
        <v>153</v>
      </c>
      <c r="GU14" s="254" t="s">
        <v>153</v>
      </c>
      <c r="GV14" s="254" t="s">
        <v>138</v>
      </c>
      <c r="GW14" s="255" t="str">
        <f>IF(OVolType,"Blended","Total")</f>
        <v>Blended</v>
      </c>
      <c r="GX14" s="300" t="s">
        <v>153</v>
      </c>
      <c r="GY14" s="300" t="s">
        <v>153</v>
      </c>
      <c r="GZ14" s="300" t="s">
        <v>153</v>
      </c>
      <c r="HA14" s="300" t="s">
        <v>138</v>
      </c>
      <c r="HB14" s="300" t="str">
        <f>IF(OVolType,"Blended","Total")</f>
        <v>Blended</v>
      </c>
      <c r="HC14" s="300" t="s">
        <v>153</v>
      </c>
      <c r="HD14" s="300" t="s">
        <v>153</v>
      </c>
      <c r="HE14" s="300" t="s">
        <v>153</v>
      </c>
      <c r="HF14" s="300" t="s">
        <v>138</v>
      </c>
      <c r="HG14" s="524" t="str">
        <f>IF(OVolType,"Blended","Total")</f>
        <v>Blended</v>
      </c>
      <c r="HH14" s="814"/>
    </row>
    <row r="15" spans="1:256" s="264" customFormat="1" x14ac:dyDescent="0.25">
      <c r="A15" s="262" t="s">
        <v>15</v>
      </c>
      <c r="B15" s="250"/>
      <c r="C15" s="617"/>
      <c r="D15" s="246" t="s">
        <v>414</v>
      </c>
      <c r="E15" s="300" t="s">
        <v>415</v>
      </c>
      <c r="F15" s="462" t="s">
        <v>416</v>
      </c>
      <c r="G15" s="515"/>
      <c r="H15" s="516"/>
      <c r="I15" s="265" t="s">
        <v>417</v>
      </c>
      <c r="J15" s="266" t="s">
        <v>418</v>
      </c>
      <c r="K15" s="257" t="s">
        <v>35</v>
      </c>
      <c r="L15" s="258"/>
      <c r="M15" s="270"/>
      <c r="N15" s="271" t="s">
        <v>35</v>
      </c>
      <c r="O15" s="258"/>
      <c r="P15" s="270"/>
      <c r="Q15" s="271" t="s">
        <v>35</v>
      </c>
      <c r="R15" s="258"/>
      <c r="S15" s="258"/>
      <c r="T15" s="271" t="s">
        <v>35</v>
      </c>
      <c r="U15" s="258"/>
      <c r="V15" s="259"/>
      <c r="W15" s="272" t="s">
        <v>27</v>
      </c>
      <c r="X15" s="273"/>
      <c r="Y15" s="274"/>
      <c r="Z15" s="275" t="s">
        <v>27</v>
      </c>
      <c r="AA15" s="273"/>
      <c r="AB15" s="274"/>
      <c r="AC15" s="275" t="s">
        <v>27</v>
      </c>
      <c r="AD15" s="273"/>
      <c r="AE15" s="274"/>
      <c r="AF15" s="275" t="s">
        <v>27</v>
      </c>
      <c r="AG15" s="273"/>
      <c r="AH15" s="274"/>
      <c r="AI15" s="275" t="s">
        <v>27</v>
      </c>
      <c r="AJ15" s="273"/>
      <c r="AK15" s="274"/>
      <c r="AL15" s="275" t="s">
        <v>27</v>
      </c>
      <c r="AM15" s="273"/>
      <c r="AN15" s="274"/>
      <c r="AO15" s="275" t="s">
        <v>27</v>
      </c>
      <c r="AP15" s="273"/>
      <c r="AQ15" s="273"/>
      <c r="AR15" s="275" t="s">
        <v>27</v>
      </c>
      <c r="AS15" s="273"/>
      <c r="AT15" s="276"/>
      <c r="AU15" s="915" t="s">
        <v>419</v>
      </c>
      <c r="AV15" s="262" t="s">
        <v>420</v>
      </c>
      <c r="AW15" s="246" t="s">
        <v>21</v>
      </c>
      <c r="AX15" s="246" t="s">
        <v>22</v>
      </c>
      <c r="AY15" s="246" t="s">
        <v>23</v>
      </c>
      <c r="AZ15" s="263" t="s">
        <v>257</v>
      </c>
      <c r="BA15" s="950" t="s">
        <v>434</v>
      </c>
      <c r="BB15" s="921" t="s">
        <v>432</v>
      </c>
      <c r="BC15" s="921" t="s">
        <v>433</v>
      </c>
      <c r="BD15" s="922" t="s">
        <v>138</v>
      </c>
      <c r="BE15" s="939" t="s">
        <v>434</v>
      </c>
      <c r="BF15" s="921" t="s">
        <v>432</v>
      </c>
      <c r="BG15" s="921" t="s">
        <v>433</v>
      </c>
      <c r="BH15" s="922" t="s">
        <v>138</v>
      </c>
      <c r="BI15" s="939" t="s">
        <v>434</v>
      </c>
      <c r="BJ15" s="921" t="s">
        <v>432</v>
      </c>
      <c r="BK15" s="921" t="s">
        <v>433</v>
      </c>
      <c r="BL15" s="922" t="s">
        <v>138</v>
      </c>
      <c r="BM15" s="939" t="s">
        <v>434</v>
      </c>
      <c r="BN15" s="921" t="s">
        <v>432</v>
      </c>
      <c r="BO15" s="921" t="s">
        <v>433</v>
      </c>
      <c r="BP15" s="922" t="s">
        <v>138</v>
      </c>
      <c r="BQ15" s="218" t="s">
        <v>401</v>
      </c>
      <c r="BR15" s="218" t="s">
        <v>401</v>
      </c>
      <c r="BS15" s="262" t="s">
        <v>346</v>
      </c>
      <c r="BT15" s="300" t="s">
        <v>25</v>
      </c>
      <c r="BU15" s="246" t="s">
        <v>296</v>
      </c>
      <c r="BV15" s="246" t="s">
        <v>26</v>
      </c>
      <c r="BW15" s="364" t="s">
        <v>358</v>
      </c>
      <c r="BX15" s="312" t="s">
        <v>421</v>
      </c>
      <c r="BY15" s="246" t="s">
        <v>420</v>
      </c>
      <c r="BZ15" s="246" t="s">
        <v>21</v>
      </c>
      <c r="CA15" s="246" t="s">
        <v>22</v>
      </c>
      <c r="CB15" s="246" t="s">
        <v>257</v>
      </c>
      <c r="CC15" s="246"/>
      <c r="CD15" s="246"/>
      <c r="CE15" s="300" t="s">
        <v>420</v>
      </c>
      <c r="CF15" s="246" t="s">
        <v>21</v>
      </c>
      <c r="CG15" s="246" t="s">
        <v>22</v>
      </c>
      <c r="CH15" s="246" t="s">
        <v>257</v>
      </c>
      <c r="CI15" s="246"/>
      <c r="CJ15" s="246"/>
      <c r="CK15" s="251" t="s">
        <v>36</v>
      </c>
      <c r="CL15" s="300" t="s">
        <v>153</v>
      </c>
      <c r="CM15" s="246" t="s">
        <v>153</v>
      </c>
      <c r="CN15" s="246" t="s">
        <v>153</v>
      </c>
      <c r="CO15" s="246" t="s">
        <v>153</v>
      </c>
      <c r="CP15" s="246" t="s">
        <v>138</v>
      </c>
      <c r="CQ15" s="251" t="s">
        <v>10</v>
      </c>
      <c r="CR15" s="300" t="s">
        <v>153</v>
      </c>
      <c r="CS15" s="246" t="s">
        <v>153</v>
      </c>
      <c r="CT15" s="246" t="s">
        <v>153</v>
      </c>
      <c r="CU15" s="246" t="s">
        <v>138</v>
      </c>
      <c r="CV15" s="251" t="s">
        <v>10</v>
      </c>
      <c r="CW15" s="300" t="s">
        <v>420</v>
      </c>
      <c r="CX15" s="246" t="s">
        <v>21</v>
      </c>
      <c r="CY15" s="246" t="s">
        <v>22</v>
      </c>
      <c r="CZ15" s="246"/>
      <c r="DA15" s="251"/>
      <c r="DB15" s="246"/>
      <c r="DC15" s="246"/>
      <c r="DD15" s="251"/>
      <c r="DE15" s="462" t="s">
        <v>422</v>
      </c>
      <c r="DF15" s="300" t="s">
        <v>153</v>
      </c>
      <c r="DG15" s="246" t="s">
        <v>153</v>
      </c>
      <c r="DH15" s="246" t="s">
        <v>153</v>
      </c>
      <c r="DI15" s="246" t="s">
        <v>138</v>
      </c>
      <c r="DJ15" s="251" t="s">
        <v>10</v>
      </c>
      <c r="DK15" s="246" t="s">
        <v>423</v>
      </c>
      <c r="DL15" s="246" t="s">
        <v>423</v>
      </c>
      <c r="DM15" s="300" t="s">
        <v>325</v>
      </c>
      <c r="DN15" s="300" t="s">
        <v>153</v>
      </c>
      <c r="DO15" s="246" t="s">
        <v>153</v>
      </c>
      <c r="DP15" s="246" t="s">
        <v>153</v>
      </c>
      <c r="DQ15" s="246" t="s">
        <v>138</v>
      </c>
      <c r="DR15" s="251" t="s">
        <v>10</v>
      </c>
      <c r="DS15" s="246" t="s">
        <v>423</v>
      </c>
      <c r="DT15" s="263" t="s">
        <v>423</v>
      </c>
      <c r="DU15" s="312"/>
      <c r="DV15" s="246" t="s">
        <v>420</v>
      </c>
      <c r="DW15" s="246" t="s">
        <v>21</v>
      </c>
      <c r="DX15" s="246" t="s">
        <v>22</v>
      </c>
      <c r="DY15" s="246" t="s">
        <v>257</v>
      </c>
      <c r="DZ15" s="246"/>
      <c r="EA15" s="246"/>
      <c r="EB15" s="300" t="s">
        <v>420</v>
      </c>
      <c r="EC15" s="246" t="s">
        <v>21</v>
      </c>
      <c r="ED15" s="246" t="s">
        <v>22</v>
      </c>
      <c r="EE15" s="246" t="s">
        <v>257</v>
      </c>
      <c r="EF15" s="246"/>
      <c r="EG15" s="251"/>
      <c r="EH15" s="300" t="s">
        <v>253</v>
      </c>
      <c r="EI15" s="860" t="s">
        <v>424</v>
      </c>
      <c r="EJ15" s="861"/>
      <c r="EK15" s="861"/>
      <c r="EL15" s="861"/>
      <c r="EM15" s="861"/>
      <c r="EN15" s="862"/>
      <c r="EO15" s="860" t="s">
        <v>425</v>
      </c>
      <c r="EP15" s="863"/>
      <c r="EQ15" s="863"/>
      <c r="ER15" s="863"/>
      <c r="ES15" s="864"/>
      <c r="ET15" s="251" t="s">
        <v>329</v>
      </c>
      <c r="EU15" s="300" t="s">
        <v>254</v>
      </c>
      <c r="EV15" s="860" t="s">
        <v>424</v>
      </c>
      <c r="EW15" s="861"/>
      <c r="EX15" s="861"/>
      <c r="EY15" s="861"/>
      <c r="EZ15" s="861"/>
      <c r="FA15" s="862"/>
      <c r="FB15" s="860" t="s">
        <v>425</v>
      </c>
      <c r="FC15" s="863"/>
      <c r="FD15" s="863"/>
      <c r="FE15" s="863"/>
      <c r="FF15" s="864"/>
      <c r="FG15" s="251" t="s">
        <v>329</v>
      </c>
      <c r="FH15" s="300" t="s">
        <v>329</v>
      </c>
      <c r="FI15" s="251" t="s">
        <v>325</v>
      </c>
      <c r="FJ15" s="462" t="s">
        <v>422</v>
      </c>
      <c r="FK15" s="300" t="s">
        <v>153</v>
      </c>
      <c r="FL15" s="246" t="s">
        <v>153</v>
      </c>
      <c r="FM15" s="246" t="s">
        <v>153</v>
      </c>
      <c r="FN15" s="246" t="s">
        <v>138</v>
      </c>
      <c r="FO15" s="251" t="s">
        <v>10</v>
      </c>
      <c r="FP15" s="246" t="s">
        <v>423</v>
      </c>
      <c r="FQ15" s="263" t="s">
        <v>423</v>
      </c>
      <c r="FR15" s="262"/>
      <c r="FS15" s="246" t="s">
        <v>21</v>
      </c>
      <c r="FT15" s="246" t="s">
        <v>22</v>
      </c>
      <c r="FU15" s="246"/>
      <c r="FV15" s="246"/>
      <c r="FW15" s="462"/>
      <c r="FX15" s="462" t="s">
        <v>419</v>
      </c>
      <c r="FY15" s="246"/>
      <c r="FZ15" s="246" t="s">
        <v>21</v>
      </c>
      <c r="GA15" s="246" t="s">
        <v>22</v>
      </c>
      <c r="GB15" s="246"/>
      <c r="GC15" s="246"/>
      <c r="GD15" s="300"/>
      <c r="GE15" s="246" t="s">
        <v>21</v>
      </c>
      <c r="GF15" s="246" t="s">
        <v>22</v>
      </c>
      <c r="GG15" s="246"/>
      <c r="GH15" s="251"/>
      <c r="GI15" s="300"/>
      <c r="GJ15" s="246" t="s">
        <v>21</v>
      </c>
      <c r="GK15" s="246" t="s">
        <v>22</v>
      </c>
      <c r="GL15" s="246"/>
      <c r="GM15" s="251"/>
      <c r="GN15" s="300"/>
      <c r="GO15" s="246" t="s">
        <v>21</v>
      </c>
      <c r="GP15" s="246" t="s">
        <v>22</v>
      </c>
      <c r="GQ15" s="246"/>
      <c r="GR15" s="251"/>
      <c r="GS15" s="300"/>
      <c r="GT15" s="246" t="s">
        <v>21</v>
      </c>
      <c r="GU15" s="246" t="s">
        <v>22</v>
      </c>
      <c r="GV15" s="246"/>
      <c r="GW15" s="251"/>
      <c r="GX15" s="300"/>
      <c r="GY15" s="300" t="s">
        <v>21</v>
      </c>
      <c r="GZ15" s="300" t="s">
        <v>22</v>
      </c>
      <c r="HA15" s="300"/>
      <c r="HB15" s="300"/>
      <c r="HC15" s="300"/>
      <c r="HD15" s="300" t="s">
        <v>21</v>
      </c>
      <c r="HE15" s="300" t="s">
        <v>22</v>
      </c>
      <c r="HF15" s="300"/>
      <c r="HG15" s="524"/>
      <c r="HH15" s="246"/>
      <c r="IG15" s="247"/>
      <c r="IH15" s="247"/>
      <c r="II15" s="247"/>
      <c r="IJ15" s="247"/>
      <c r="IK15" s="247"/>
      <c r="IL15" s="247"/>
      <c r="IM15" s="247"/>
      <c r="IN15" s="247"/>
      <c r="IO15" s="247"/>
      <c r="IP15" s="247"/>
      <c r="IQ15" s="247"/>
      <c r="IR15" s="247"/>
      <c r="IS15" s="247"/>
      <c r="IT15" s="247"/>
      <c r="IU15" s="247"/>
      <c r="IV15" s="247"/>
    </row>
    <row r="16" spans="1:256" s="264" customFormat="1" ht="13.8" thickBot="1" x14ac:dyDescent="0.3">
      <c r="A16" s="277"/>
      <c r="B16" s="278"/>
      <c r="C16" s="281"/>
      <c r="D16" s="755" t="str">
        <f ca="1">Holiday(YEAR(DateToday),MONTH(DateToday))</f>
        <v/>
      </c>
      <c r="E16" s="310"/>
      <c r="F16" s="463"/>
      <c r="G16" s="292"/>
      <c r="H16" s="517"/>
      <c r="I16" s="282"/>
      <c r="J16" s="283"/>
      <c r="K16" s="284" t="s">
        <v>25</v>
      </c>
      <c r="L16" s="279" t="s">
        <v>296</v>
      </c>
      <c r="M16" s="280" t="s">
        <v>26</v>
      </c>
      <c r="N16" s="285" t="s">
        <v>25</v>
      </c>
      <c r="O16" s="279" t="s">
        <v>296</v>
      </c>
      <c r="P16" s="280" t="s">
        <v>26</v>
      </c>
      <c r="Q16" s="285" t="s">
        <v>25</v>
      </c>
      <c r="R16" s="279" t="s">
        <v>296</v>
      </c>
      <c r="S16" s="279" t="s">
        <v>26</v>
      </c>
      <c r="T16" s="285" t="s">
        <v>25</v>
      </c>
      <c r="U16" s="279" t="s">
        <v>296</v>
      </c>
      <c r="V16" s="944" t="s">
        <v>26</v>
      </c>
      <c r="W16" s="286" t="s">
        <v>25</v>
      </c>
      <c r="X16" s="287" t="s">
        <v>296</v>
      </c>
      <c r="Y16" s="288" t="s">
        <v>26</v>
      </c>
      <c r="Z16" s="289" t="s">
        <v>25</v>
      </c>
      <c r="AA16" s="287" t="s">
        <v>296</v>
      </c>
      <c r="AB16" s="288" t="s">
        <v>26</v>
      </c>
      <c r="AC16" s="289" t="s">
        <v>25</v>
      </c>
      <c r="AD16" s="287" t="s">
        <v>296</v>
      </c>
      <c r="AE16" s="288" t="s">
        <v>26</v>
      </c>
      <c r="AF16" s="289" t="s">
        <v>25</v>
      </c>
      <c r="AG16" s="287" t="s">
        <v>296</v>
      </c>
      <c r="AH16" s="288" t="s">
        <v>26</v>
      </c>
      <c r="AI16" s="289" t="s">
        <v>25</v>
      </c>
      <c r="AJ16" s="287" t="s">
        <v>296</v>
      </c>
      <c r="AK16" s="288" t="s">
        <v>26</v>
      </c>
      <c r="AL16" s="289" t="s">
        <v>25</v>
      </c>
      <c r="AM16" s="287" t="s">
        <v>296</v>
      </c>
      <c r="AN16" s="288" t="s">
        <v>26</v>
      </c>
      <c r="AO16" s="289" t="s">
        <v>25</v>
      </c>
      <c r="AP16" s="287" t="s">
        <v>296</v>
      </c>
      <c r="AQ16" s="287" t="s">
        <v>26</v>
      </c>
      <c r="AR16" s="289" t="s">
        <v>25</v>
      </c>
      <c r="AS16" s="287" t="s">
        <v>296</v>
      </c>
      <c r="AT16" s="290" t="s">
        <v>26</v>
      </c>
      <c r="AU16" s="290"/>
      <c r="AV16" s="292" t="s">
        <v>426</v>
      </c>
      <c r="AW16" s="291" t="s">
        <v>426</v>
      </c>
      <c r="AX16" s="291" t="s">
        <v>426</v>
      </c>
      <c r="AY16" s="291"/>
      <c r="AZ16" s="952"/>
      <c r="BA16" s="951">
        <f ca="1">SUM(BA17:BA292)</f>
        <v>40864</v>
      </c>
      <c r="BB16" s="923">
        <f ca="1">SUM(BB17:BB292)</f>
        <v>8272</v>
      </c>
      <c r="BC16" s="923">
        <f ca="1">SUM(BC17:BC292)</f>
        <v>9296</v>
      </c>
      <c r="BD16" s="924">
        <f ca="1">SUM(BD17:BD292)</f>
        <v>29216</v>
      </c>
      <c r="BE16" s="940"/>
      <c r="BF16" s="923"/>
      <c r="BG16" s="923"/>
      <c r="BH16" s="924"/>
      <c r="BI16" s="940">
        <f ca="1">SUM(BI17:BI292)</f>
        <v>40864</v>
      </c>
      <c r="BJ16" s="923">
        <f ca="1">SUM(BJ17:BJ292)</f>
        <v>8272</v>
      </c>
      <c r="BK16" s="923">
        <f ca="1">SUM(BK17:BK292)</f>
        <v>9296</v>
      </c>
      <c r="BL16" s="924">
        <f ca="1">SUM(BL17:BL292)</f>
        <v>29216</v>
      </c>
      <c r="BM16" s="940"/>
      <c r="BN16" s="923"/>
      <c r="BO16" s="923"/>
      <c r="BP16" s="924"/>
      <c r="BQ16" s="366">
        <f ca="1">SUM(BQ17:BQ292)</f>
        <v>87648</v>
      </c>
      <c r="BR16" s="366">
        <f ca="1">SUM(BR17:BR292)</f>
        <v>87648</v>
      </c>
      <c r="BS16" s="367">
        <f ca="1">SUM(BS17:BS292)</f>
        <v>58462.994718867267</v>
      </c>
      <c r="BT16" s="301"/>
      <c r="BU16" s="191"/>
      <c r="BV16" s="191"/>
      <c r="BW16" s="293"/>
      <c r="BX16" s="313"/>
      <c r="BY16" s="766">
        <f t="shared" ref="BY16:CD16" ca="1" si="0">SUM(BY17:BY292)</f>
        <v>27256.674686589191</v>
      </c>
      <c r="BZ16" s="766">
        <f t="shared" ca="1" si="0"/>
        <v>5522.7473757269918</v>
      </c>
      <c r="CA16" s="766">
        <f t="shared" ca="1" si="0"/>
        <v>6195.9077502620048</v>
      </c>
      <c r="CB16" s="766">
        <f t="shared" ca="1" si="0"/>
        <v>38975.329812578209</v>
      </c>
      <c r="CC16" s="766">
        <f t="shared" ca="1" si="0"/>
        <v>19487.664906289105</v>
      </c>
      <c r="CD16" s="766">
        <f t="shared" ca="1" si="0"/>
        <v>58462.994718867267</v>
      </c>
      <c r="CE16" s="308"/>
      <c r="CF16" s="294"/>
      <c r="CG16" s="294"/>
      <c r="CH16" s="294"/>
      <c r="CI16" s="294"/>
      <c r="CJ16" s="294"/>
      <c r="CK16" s="309"/>
      <c r="CL16" s="285" t="s">
        <v>420</v>
      </c>
      <c r="CM16" s="279" t="s">
        <v>21</v>
      </c>
      <c r="CN16" s="279" t="s">
        <v>22</v>
      </c>
      <c r="CO16" s="279" t="s">
        <v>257</v>
      </c>
      <c r="CP16" s="279"/>
      <c r="CQ16" s="281"/>
      <c r="CR16" s="279" t="s">
        <v>420</v>
      </c>
      <c r="CS16" s="279" t="s">
        <v>21</v>
      </c>
      <c r="CT16" s="279" t="s">
        <v>22</v>
      </c>
      <c r="CU16" s="278"/>
      <c r="CV16" s="278"/>
      <c r="CW16" s="310"/>
      <c r="CX16" s="278"/>
      <c r="CY16" s="278"/>
      <c r="CZ16" s="278"/>
      <c r="DA16" s="281"/>
      <c r="DB16" s="408">
        <f ca="1">SUM(DB17:DB292)</f>
        <v>538279.85130421782</v>
      </c>
      <c r="DC16" s="794">
        <f ca="1">SUM(DC17:DC292)</f>
        <v>33576.777516251692</v>
      </c>
      <c r="DD16" s="409">
        <f ca="1">SUM(DD17:DD292)</f>
        <v>207044.22640196231</v>
      </c>
      <c r="DE16" s="510">
        <f ca="1">SUM(DE17:DE292)</f>
        <v>80.056291015774832</v>
      </c>
      <c r="DF16" s="938" t="s">
        <v>420</v>
      </c>
      <c r="DG16" s="935" t="s">
        <v>21</v>
      </c>
      <c r="DH16" s="935" t="s">
        <v>22</v>
      </c>
      <c r="DI16" s="782"/>
      <c r="DJ16" s="783"/>
      <c r="DK16" s="507">
        <f ca="1">SUM(DK17:DK292)</f>
        <v>-19229.177301733151</v>
      </c>
      <c r="DL16" s="507">
        <f ca="1">SUM(DL17:DL292)</f>
        <v>1016.1700604600762</v>
      </c>
      <c r="DM16" s="507">
        <f ca="1">SUM(DM17:DM292)</f>
        <v>1343046.6828389391</v>
      </c>
      <c r="DN16" s="938" t="s">
        <v>420</v>
      </c>
      <c r="DO16" s="935" t="s">
        <v>21</v>
      </c>
      <c r="DP16" s="935" t="s">
        <v>22</v>
      </c>
      <c r="DQ16" s="782"/>
      <c r="DR16" s="783"/>
      <c r="DS16" s="507">
        <f ca="1">SUM(DS17:DS292)</f>
        <v>813990.56595811807</v>
      </c>
      <c r="DT16" s="543">
        <f ca="1">SUM(DT17:DT292)</f>
        <v>-1027267.1562764728</v>
      </c>
      <c r="DU16" s="313"/>
      <c r="DV16" s="365">
        <f t="shared" ref="DV16:EA16" ca="1" si="1">SUM(DV17:DV292)</f>
        <v>27256.674686589191</v>
      </c>
      <c r="DW16" s="365">
        <f t="shared" ca="1" si="1"/>
        <v>5522.7473757269918</v>
      </c>
      <c r="DX16" s="365">
        <f t="shared" ca="1" si="1"/>
        <v>6195.9077502620048</v>
      </c>
      <c r="DY16" s="365">
        <f t="shared" ca="1" si="1"/>
        <v>38975.329812578209</v>
      </c>
      <c r="DZ16" s="365">
        <f t="shared" ca="1" si="1"/>
        <v>19487.664906289105</v>
      </c>
      <c r="EA16" s="510">
        <f t="shared" ca="1" si="1"/>
        <v>58462.994718867267</v>
      </c>
      <c r="EB16" s="308"/>
      <c r="EC16" s="294"/>
      <c r="ED16" s="294"/>
      <c r="EE16" s="294"/>
      <c r="EF16" s="294"/>
      <c r="EG16" s="309"/>
      <c r="EH16" s="308"/>
      <c r="EI16" s="865" t="s">
        <v>434</v>
      </c>
      <c r="EJ16" s="865" t="s">
        <v>432</v>
      </c>
      <c r="EK16" s="865" t="s">
        <v>433</v>
      </c>
      <c r="EL16" s="865" t="s">
        <v>435</v>
      </c>
      <c r="EM16" s="865" t="s">
        <v>138</v>
      </c>
      <c r="EN16" s="865" t="s">
        <v>10</v>
      </c>
      <c r="EO16" s="865" t="s">
        <v>434</v>
      </c>
      <c r="EP16" s="865" t="s">
        <v>432</v>
      </c>
      <c r="EQ16" s="865" t="s">
        <v>433</v>
      </c>
      <c r="ER16" s="865" t="s">
        <v>138</v>
      </c>
      <c r="ES16" s="865" t="s">
        <v>10</v>
      </c>
      <c r="ET16" s="281"/>
      <c r="EU16" s="308"/>
      <c r="EV16" s="865" t="s">
        <v>153</v>
      </c>
      <c r="EW16" s="865" t="s">
        <v>432</v>
      </c>
      <c r="EX16" s="865" t="s">
        <v>433</v>
      </c>
      <c r="EY16" s="865" t="s">
        <v>435</v>
      </c>
      <c r="EZ16" s="865" t="s">
        <v>138</v>
      </c>
      <c r="FA16" s="865" t="s">
        <v>10</v>
      </c>
      <c r="FB16" s="865" t="s">
        <v>153</v>
      </c>
      <c r="FC16" s="865" t="s">
        <v>432</v>
      </c>
      <c r="FD16" s="865" t="s">
        <v>433</v>
      </c>
      <c r="FE16" s="865" t="s">
        <v>138</v>
      </c>
      <c r="FF16" s="865" t="s">
        <v>10</v>
      </c>
      <c r="FG16" s="281"/>
      <c r="FH16" s="310"/>
      <c r="FI16" s="416">
        <f ca="1">SUM(FI17:FI292)</f>
        <v>-419179.83566641592</v>
      </c>
      <c r="FJ16" s="510">
        <f ca="1">SUM(FJ17:FJ292)*1000</f>
        <v>80056.291015774827</v>
      </c>
      <c r="FK16" s="310"/>
      <c r="FL16" s="279" t="s">
        <v>21</v>
      </c>
      <c r="FM16" s="279" t="s">
        <v>22</v>
      </c>
      <c r="FN16" s="278"/>
      <c r="FO16" s="281"/>
      <c r="FP16" s="417">
        <f ca="1">SUM(FP17:FP292)</f>
        <v>31937.454380452804</v>
      </c>
      <c r="FQ16" s="418">
        <f ca="1">SUM(FQ17:FQ292)</f>
        <v>3065.0182078898524</v>
      </c>
      <c r="FR16" s="277"/>
      <c r="FS16" s="278"/>
      <c r="FT16" s="278"/>
      <c r="FU16" s="278"/>
      <c r="FV16" s="278"/>
      <c r="FW16" s="463"/>
      <c r="FX16" s="463"/>
      <c r="FY16" s="278"/>
      <c r="FZ16" s="278"/>
      <c r="GA16" s="278"/>
      <c r="GB16" s="278"/>
      <c r="GC16" s="278"/>
      <c r="GD16" s="310"/>
      <c r="GE16" s="278"/>
      <c r="GF16" s="278"/>
      <c r="GG16" s="278"/>
      <c r="GH16" s="281"/>
      <c r="GI16" s="310"/>
      <c r="GJ16" s="278"/>
      <c r="GK16" s="278"/>
      <c r="GL16" s="278"/>
      <c r="GM16" s="281"/>
      <c r="GN16" s="310"/>
      <c r="GO16" s="278"/>
      <c r="GP16" s="278"/>
      <c r="GQ16" s="278"/>
      <c r="GR16" s="281"/>
      <c r="GS16" s="310"/>
      <c r="GT16" s="278"/>
      <c r="GU16" s="278"/>
      <c r="GV16" s="278"/>
      <c r="GW16" s="281"/>
      <c r="GX16" s="408">
        <f t="shared" ref="GX16:HG16" ca="1" si="2">SUM(GX17:GX292)</f>
        <v>603372.47952666727</v>
      </c>
      <c r="GY16" s="408">
        <f t="shared" ca="1" si="2"/>
        <v>57103.562389797662</v>
      </c>
      <c r="GZ16" s="408">
        <f t="shared" ca="1" si="2"/>
        <v>55593.882548445421</v>
      </c>
      <c r="HA16" s="408">
        <f t="shared" ca="1" si="2"/>
        <v>51065.856861132132</v>
      </c>
      <c r="HB16" s="408">
        <f t="shared" ca="1" si="2"/>
        <v>741461.88503709587</v>
      </c>
      <c r="HC16" s="408">
        <f t="shared" ca="1" si="2"/>
        <v>532039.95761941862</v>
      </c>
      <c r="HD16" s="408">
        <f t="shared" ca="1" si="2"/>
        <v>31809.737415898089</v>
      </c>
      <c r="HE16" s="408">
        <f t="shared" ca="1" si="2"/>
        <v>25476.651437239972</v>
      </c>
      <c r="HF16" s="408">
        <f t="shared" ca="1" si="2"/>
        <v>13259.049494098486</v>
      </c>
      <c r="HG16" s="543">
        <f t="shared" ca="1" si="2"/>
        <v>560854.69588085299</v>
      </c>
      <c r="HH16" s="250"/>
      <c r="IG16" s="250"/>
      <c r="IH16" s="250"/>
      <c r="II16" s="250"/>
      <c r="IJ16" s="250"/>
      <c r="IK16" s="250"/>
      <c r="IL16" s="250"/>
      <c r="IM16" s="250"/>
      <c r="IN16" s="250"/>
      <c r="IO16" s="250"/>
      <c r="IP16" s="250"/>
      <c r="IQ16" s="250"/>
      <c r="IR16" s="250"/>
      <c r="IS16" s="250"/>
      <c r="IT16" s="250"/>
      <c r="IU16" s="250"/>
      <c r="IV16" s="250"/>
    </row>
    <row r="17" spans="1:256" x14ac:dyDescent="0.25">
      <c r="A17" s="859">
        <f ca="1">EOMONTH(DateToday,0)+1</f>
        <v>36617</v>
      </c>
      <c r="B17" s="13">
        <f t="shared" ref="B17:B80" ca="1" si="3">YEAR(A17)</f>
        <v>2000</v>
      </c>
      <c r="C17" s="618">
        <f ca="1">MONTH(A17)</f>
        <v>4</v>
      </c>
      <c r="D17" s="194" t="str">
        <f t="shared" ref="D17:D80" ca="1" si="4">Holiday(B17,C17)</f>
        <v/>
      </c>
      <c r="E17" s="468" t="str">
        <f t="shared" ref="E17:E80" ca="1" si="5">IF(OR(BegDate&gt;=A18,EndDate&lt;A17,AND(VolumeMonthlyOverFlag,INDEX(VolumeMonthlyOver,C17)=0),NOT(INDEX(MonthKnockOutTable,C17))),"",MAX(A17,BegDate))</f>
        <v/>
      </c>
      <c r="F17" s="464" t="str">
        <f t="shared" ref="F17:F80" ca="1" si="6">IF(E17="","",MIN(A18-1,EndDate))</f>
        <v/>
      </c>
      <c r="G17" s="732">
        <v>1</v>
      </c>
      <c r="H17" s="733">
        <v>1</v>
      </c>
      <c r="I17" s="723">
        <f t="shared" ref="I17:I80" ca="1" si="7">VLOOKUP(A17,IRTable,2)</f>
        <v>6.0711830429785001E-2</v>
      </c>
      <c r="J17" s="197">
        <f t="shared" ref="J17:J80" ca="1" si="8">(1+I17/2)^(-2*(DATE(B18,C18,20)-DateToday)/365.25)</f>
        <v>0.98714729954481328</v>
      </c>
      <c r="K17" s="726" t="e">
        <f ca="1">IF(A17&lt;J5,"",IF(A17=J5,VLOOKUP(A18-1,PriceTable,2,0)+IF(BasisNumber&lt;&gt;1,VLOOKUP(A18-1,BasisTable,2,0),0),VLOOKUP(A17,PriceTable,2,0)+IF(BasisNumber&lt;&gt;1,VLOOKUP(A17,BasisTable,2,0),0)))</f>
        <v>#N/A</v>
      </c>
      <c r="L17" s="727" t="e">
        <f ca="1">IF(A17&lt;J5,"",IF(A17=J5,VLOOKUP(A18-1,PriceTable,3,0)+IF(BasisNumber&lt;&gt;1,VLOOKUP(A18-1,BasisTable,2,0),0),VLOOKUP(A17,PriceTable,3,0)+IF(BasisNumber&lt;&gt;1,VLOOKUP(A17,BasisTable,2,0),0)))</f>
        <v>#N/A</v>
      </c>
      <c r="M17" s="728" t="e">
        <f ca="1">IF(A17&lt;J5,"",IF(A17=J5,VLOOKUP(A18-1,PriceTable,4,0)+IF(BasisNumber&lt;&gt;1,VLOOKUP(A18-1,BasisTable,2,0),0),VLOOKUP(A17,PriceTable,4,0)+IF(BasisNumber&lt;&gt;1,VLOOKUP(A17,BasisTable,2,0),0)))</f>
        <v>#N/A</v>
      </c>
      <c r="N17" s="912">
        <f ca="1">IF(A17&lt;J5,"",VLOOKUP(A17,BigTable,2,0)+IF(BasisNumber&lt;&gt;1,VLOOKUP(IF(A17=J5,A18-1,A17),BasisTable,2,0),0))</f>
        <v>22.604999160766603</v>
      </c>
      <c r="O17" s="727">
        <f ca="1">IF(A17&lt;J5,"",VLOOKUP(A17,BigTable,3,0)+IF(BasisNumber&lt;&gt;1,VLOOKUP(IF(A17=J5,A18-1,A17),BasisTable,2,0),0))</f>
        <v>22.754999160766602</v>
      </c>
      <c r="P17" s="728">
        <f ca="1">IF(A17&lt;J5,"",VLOOKUP(A17,BigTable,4,0)+IF(BasisNumber&lt;&gt;1,VLOOKUP(IF(A17=J5,A18-1,A17),BasisTable,2,0),0))</f>
        <v>22.9049991607666</v>
      </c>
      <c r="Q17" s="727">
        <f ca="1">IF(A17&lt;J5,"",VLOOKUP(A17,BigTable,6,0)+IF(BasisNumber&lt;&gt;1,VLOOKUP(IF(A17=J5,A18-1,A17),BasisTable,3,0),0))</f>
        <v>17.753749847412109</v>
      </c>
      <c r="R17" s="727">
        <f ca="1">IF(A17&lt;J5,"",VLOOKUP(A17,BigTable,7,0)+IF(BasisNumber&lt;&gt;1,VLOOKUP(IF(A17=J5,A18-1,A17),BasisTable,3,0),0))</f>
        <v>20.253749847412109</v>
      </c>
      <c r="S17" s="727">
        <f ca="1">IF(A17&lt;J5,"",VLOOKUP(A17,BigTable,8,0)+IF(BasisNumber&lt;&gt;1,VLOOKUP(IF(A17=J5,A18-1,A17),BasisTable,3,0),0))</f>
        <v>22.753749847412109</v>
      </c>
      <c r="T17" s="912" t="e">
        <f ca="1">IF(A17&lt;J5,"",IF(A17=J5,VLOOKUP(A18-1,PriceTable,6,0)+IF(BasisNumber&lt;&gt;1,VLOOKUP(A18-1,BasisTable,3,0),0),VLOOKUP(A17,PriceTable,6,0)+IF(BasisNumber&lt;&gt;1,VLOOKUP(A17,BasisTable,3,0),0)))</f>
        <v>#N/A</v>
      </c>
      <c r="U17" s="727" t="e">
        <f ca="1">IF(A17&lt;J5,"",IF(A17=J5,VLOOKUP(A18-1,PriceTable,7,0)+IF(BasisNumber&lt;&gt;1,VLOOKUP(A18-1,BasisTable,3,0),0),VLOOKUP(A17,PriceTable,7,0)+IF(BasisNumber&lt;&gt;1,VLOOKUP(A17,BasisTable,3,0),0)))</f>
        <v>#N/A</v>
      </c>
      <c r="V17" s="728" t="e">
        <f ca="1">IF(A17&lt;J5,"",IF(A17=J5,VLOOKUP(A18-1,PriceTable,8,0)+IF(BasisNumber&lt;&gt;1,VLOOKUP(A18-1,BasisTable,3,0),0),VLOOKUP(A17,PriceTable,8,0)+IF(BasisNumber&lt;&gt;1,VLOOKUP(A17,BasisTable,3,0),0)))</f>
        <v>#N/A</v>
      </c>
      <c r="W17" s="230">
        <f ca="1">VLOOKUP($A17,BigTable,14,0)</f>
        <v>0.13175000000000001</v>
      </c>
      <c r="X17" s="231">
        <f ca="1">VLOOKUP($A17,BigTable,15,0)</f>
        <v>0.26350000000000001</v>
      </c>
      <c r="Y17" s="232">
        <f ca="1">VLOOKUP($A17,BigTable,16,0)</f>
        <v>0.39524999999999999</v>
      </c>
      <c r="Z17" s="231">
        <f t="shared" ref="Z17:Z32" ca="1" si="9">VLOOKUP($A17,BigTable,14,0)</f>
        <v>0.13175000000000001</v>
      </c>
      <c r="AA17" s="231">
        <f t="shared" ref="AA17:AA32" ca="1" si="10">VLOOKUP($A17,BigTable,15,0)</f>
        <v>0.26350000000000001</v>
      </c>
      <c r="AB17" s="232">
        <f t="shared" ref="AB17:AB32" ca="1" si="11">VLOOKUP($A17,BigTable,16,0)</f>
        <v>0.39524999999999999</v>
      </c>
      <c r="AC17" s="231">
        <f t="shared" ref="AC17:AC32" ca="1" si="12">VLOOKUP($A17,BigTable,14,0)</f>
        <v>0.13175000000000001</v>
      </c>
      <c r="AD17" s="231">
        <f t="shared" ref="AD17:AD32" ca="1" si="13">VLOOKUP($A17,BigTable,15,0)</f>
        <v>0.26350000000000001</v>
      </c>
      <c r="AE17" s="232">
        <f t="shared" ref="AE17:AE80" ca="1" si="14">VLOOKUP($A17,BigTable,16,0)</f>
        <v>0.39524999999999999</v>
      </c>
      <c r="AF17" s="231">
        <f ca="1">VLOOKUP($A17,BigTable,18,0)</f>
        <v>0.03</v>
      </c>
      <c r="AG17" s="231">
        <f ca="1">VLOOKUP($A17,BigTable,19,0)</f>
        <v>0.06</v>
      </c>
      <c r="AH17" s="232">
        <f ca="1">VLOOKUP($A17,BigTable,20,0)</f>
        <v>0.09</v>
      </c>
      <c r="AI17" s="231">
        <f t="shared" ref="AI17:AI80" ca="1" si="15">VLOOKUP($A17,BigTable,22,0)*INDEX(IntraMonthVolScalars,C17)+AJ17</f>
        <v>0.85000000000000009</v>
      </c>
      <c r="AJ17" s="231">
        <f t="shared" ref="AJ17:AJ80" ca="1" si="16">VLOOKUP($A17,BigTable,23,0)*INDEX(IntraMonthVolScalars,C17)</f>
        <v>1.1000000000000001</v>
      </c>
      <c r="AK17" s="232">
        <f t="shared" ref="AK17:AK80" ca="1" si="17">VLOOKUP($A17,BigTable,24,0)*INDEX(IntraMonthVolScalars,C17)+AJ17</f>
        <v>1.4000000000000001</v>
      </c>
      <c r="AL17" s="231">
        <f t="shared" ref="AL17:AL80" ca="1" si="18">VLOOKUP($A17,BigTable,22,0)*INDEX(IntraMonthVolScalars,C17)+AM17</f>
        <v>0.85000000000000009</v>
      </c>
      <c r="AM17" s="231">
        <f t="shared" ref="AM17:AM80" ca="1" si="19">VLOOKUP($A17,BigTable,23,0)*INDEX(IntraMonthVolScalars,C17)</f>
        <v>1.1000000000000001</v>
      </c>
      <c r="AN17" s="232">
        <f t="shared" ref="AN17:AN80" ca="1" si="20">VLOOKUP($A17,BigTable,24,0)*INDEX(IntraMonthVolScalars,C17)+AM17</f>
        <v>1.4000000000000001</v>
      </c>
      <c r="AO17" s="231">
        <f t="shared" ref="AO17:AO80" ca="1" si="21">VLOOKUP($A17,BigTable,22,0)*INDEX(IntraMonthVolScalars,C17)+AP17</f>
        <v>0.85000000000000009</v>
      </c>
      <c r="AP17" s="231">
        <f t="shared" ref="AP17:AP80" ca="1" si="22">VLOOKUP($A17,BigTable,23,0)*INDEX(IntraMonthVolScalars,C17)</f>
        <v>1.1000000000000001</v>
      </c>
      <c r="AQ17" s="232">
        <f t="shared" ref="AQ17:AQ80" ca="1" si="23">VLOOKUP($A17,BigTable,24,0)*INDEX(IntraMonthVolScalars,C17)+AP17</f>
        <v>1.4000000000000001</v>
      </c>
      <c r="AR17" s="919">
        <f t="shared" ref="AR17:AR80" ca="1" si="24">VLOOKUP($A17,BigTable,26,0)*INDEX(IntraMonthVolScalars,C17)+AS17</f>
        <v>0.19999999999999998</v>
      </c>
      <c r="AS17" s="233">
        <f t="shared" ref="AS17:AS80" ca="1" si="25">VLOOKUP($A17,BigTable,27,0)*INDEX(IntraMonthVolScalars,C17)</f>
        <v>0.35</v>
      </c>
      <c r="AT17" s="235">
        <f t="shared" ref="AT17:AT80" ca="1" si="26">VLOOKUP($A17,BigTable,28,0)*INDEX(IntraMonthVolScalars,C17)+AS17</f>
        <v>0.55000000000000004</v>
      </c>
      <c r="AU17" s="945">
        <f t="shared" ref="AU17:AU80" si="27">IF(CorrPeakOffPeakOverFlag,INDEX(CorrPeakOffPeakOver,C17),CorrPeakOffPeak)</f>
        <v>0.5</v>
      </c>
      <c r="AV17" s="209">
        <f t="shared" ref="AV17:AV80" ca="1" si="28">AZ17-SUM(AW17:AY17)</f>
        <v>0</v>
      </c>
      <c r="AW17" s="209">
        <f t="shared" ref="AW17:AW80" ca="1" si="29">IF(E17="",0,INT((F17-MOD(F17,7)-E17)/7)+1-IF(AY17,IF(WEEKDAY(D17)=7,1,0),0))</f>
        <v>0</v>
      </c>
      <c r="AX17" s="209">
        <f t="shared" ref="AX17:AX80" ca="1" si="30">IF(E17="",0,INT((F17-MOD(F17-1,7)-E17)/7)+1-IF(AY17,IF(WEEKDAY(D17)=1,1,0),0))</f>
        <v>0</v>
      </c>
      <c r="AY17" s="209">
        <f t="shared" ref="AY17:AY80" ca="1" si="31">IF(OR(E17="",D17="",D17&lt;BegDate,D17&gt;EndDate),0,1)</f>
        <v>0</v>
      </c>
      <c r="AZ17" s="188">
        <f t="shared" ref="AZ17:AZ80" ca="1" si="32">IF(E17="",0,F17-E17+1)</f>
        <v>0</v>
      </c>
      <c r="BA17" s="355">
        <f t="array" aca="1" ref="BA17:BP292" ca="1">TakeFunction(TakeType,STake,OTake,CombineTakesFlag,MostExpFlag,VolumeEscType,VolumeEsc,DateToday,BegDate,EndDate,OrderedScalars,OrderedPrices,OrderedPricesSat,OrderedPricesSun,AvailDays,FirmWeek,FirmSat,FirmSun,FirmHol,OptWeek,OptSat,OptSun,OptHol)</f>
        <v>0</v>
      </c>
      <c r="BB17" s="363">
        <f ca="1"/>
        <v>0</v>
      </c>
      <c r="BC17" s="363">
        <f ca="1"/>
        <v>0</v>
      </c>
      <c r="BD17" s="941">
        <f ca="1"/>
        <v>0</v>
      </c>
      <c r="BE17" s="930">
        <f ca="1"/>
        <v>0</v>
      </c>
      <c r="BF17" s="931">
        <f ca="1"/>
        <v>0</v>
      </c>
      <c r="BG17" s="931">
        <f ca="1"/>
        <v>0</v>
      </c>
      <c r="BH17" s="942">
        <f ca="1"/>
        <v>0</v>
      </c>
      <c r="BI17" s="355">
        <f ca="1"/>
        <v>0</v>
      </c>
      <c r="BJ17" s="363">
        <f ca="1"/>
        <v>0</v>
      </c>
      <c r="BK17" s="363">
        <f ca="1"/>
        <v>0</v>
      </c>
      <c r="BL17" s="941">
        <f ca="1"/>
        <v>0</v>
      </c>
      <c r="BM17" s="930">
        <f ca="1"/>
        <v>0</v>
      </c>
      <c r="BN17" s="931">
        <f ca="1"/>
        <v>0</v>
      </c>
      <c r="BO17" s="931">
        <f ca="1"/>
        <v>0</v>
      </c>
      <c r="BP17" s="942">
        <f ca="1"/>
        <v>0</v>
      </c>
      <c r="BQ17" s="354">
        <f t="shared" ref="BQ17:BQ80" ca="1" si="33">SUM(BA17:BD17)</f>
        <v>0</v>
      </c>
      <c r="BR17" s="359">
        <f t="shared" ref="BR17:BR80" ca="1" si="34">SUM(BI17:BL17)</f>
        <v>0</v>
      </c>
      <c r="BS17" s="368">
        <f t="shared" ref="BS17:BS80" ca="1" si="35">BQ17*J17</f>
        <v>0</v>
      </c>
      <c r="BT17" s="369">
        <f t="shared" ref="BT17:BT80" ca="1" si="36">IF(BS17,(IF(BA17,K17*BE17*BA17,0)+IF(BD17,T17*BH17*BD17,0)+IF(BB17,N17*BF17*BB17,0)+IF(BC17,Q17*BG17*BC17,0))/BQ17,0)</f>
        <v>0</v>
      </c>
      <c r="BU17" s="370">
        <f t="shared" ref="BU17:BU80" ca="1" si="37">IF(BS17,(IF(BA17,L17*BE17*BA17,0)+IF(BD17,U17*BH17*BD17,0)+IF(BB17,O17*BF17*BB17,0)+IF(BC17,R17*BG17*BC17,0))/BQ17,0)</f>
        <v>0</v>
      </c>
      <c r="BV17" s="370">
        <f t="shared" ref="BV17:BV80" ca="1" si="38">IF(BS17,(IF(BA17,M17*BE17*BA17,0)+IF(BD17,V17*BH17*BD17,0)+IF(BB17,P17*BF17*BB17,0)+IF(BC17,S17*BG17*BC17,0))/BQ17,0)</f>
        <v>0</v>
      </c>
      <c r="BW17" s="370">
        <f t="shared" ref="BW17:BW80" ca="1" si="39">IF(BS17,SPrice*G17,0)</f>
        <v>0</v>
      </c>
      <c r="BX17" s="379">
        <f t="shared" ref="BX17:BX80" ca="1" si="40">(IF(OVolType&lt;&gt;2,A17+14,IF(OptExpDateShift,ShiftBack(A17,OptExpDateShift,D16),A17))-DateToday)/365.25</f>
        <v>8.2135523613963035E-2</v>
      </c>
      <c r="BY17" s="363">
        <f t="shared" ref="BY17:BY80" ca="1" si="41">BI17*J17</f>
        <v>0</v>
      </c>
      <c r="BZ17" s="353">
        <f t="shared" ref="BZ17:BZ80" ca="1" si="42">BJ17*J17</f>
        <v>0</v>
      </c>
      <c r="CA17" s="353">
        <f t="shared" ref="CA17:CA80" ca="1" si="43">BK17*J17</f>
        <v>0</v>
      </c>
      <c r="CB17" s="353">
        <f t="shared" ref="CB17:CB80" ca="1" si="44">SUM(BY17:CA17)</f>
        <v>0</v>
      </c>
      <c r="CC17" s="353">
        <f t="shared" ref="CC17:CC80" ca="1" si="45">BL17*J17</f>
        <v>0</v>
      </c>
      <c r="CD17" s="353">
        <f t="shared" ref="CD17:CD80" ca="1" si="46">CB17+CC17</f>
        <v>0</v>
      </c>
      <c r="CE17" s="369">
        <f t="shared" ref="CE17:CE80" ca="1" si="47">IF(CD17,IF(OPriceCurve,IF(OBuySell=OCallPut,K17,M17),L17)*BM17,0)</f>
        <v>0</v>
      </c>
      <c r="CF17" s="370">
        <f t="shared" ref="CF17:CF80" ca="1" si="48">IF(CD17,IF(OPriceCurve,IF(OBuySell=OCallPut,N17,P17),O17)*BN17,0)</f>
        <v>0</v>
      </c>
      <c r="CG17" s="370">
        <f t="shared" ref="CG17:CG80" ca="1" si="49">IF(CD17,IF(OPriceCurve,IF(OBuySell=OCallPut,Q17,S17),R17)*BO17,0)</f>
        <v>0</v>
      </c>
      <c r="CH17" s="370">
        <f t="shared" ref="CH17:CH80" ca="1" si="50">IF(CB17,(CE17*BY17+CF17*BZ17+CG17*CA17)/CB17,0)</f>
        <v>0</v>
      </c>
      <c r="CI17" s="370">
        <f t="shared" ref="CI17:CI80" ca="1" si="51">IF(CD17,IF(OPriceCurve,IF(OBuySell=OCallPut,T17,V17),U17)*BP17,0)</f>
        <v>0</v>
      </c>
      <c r="CJ17" s="370">
        <f t="shared" ref="CJ17:CJ80" ca="1" si="52">IF(CD17,(CH17*CB17+CI17*CC17)/CD17,0)</f>
        <v>0</v>
      </c>
      <c r="CK17" s="370">
        <f t="shared" ref="CK17:CK80" ca="1" si="53">IF(CD17,OStrike*G17,0)</f>
        <v>0</v>
      </c>
      <c r="CL17" s="767" t="str">
        <f t="shared" ref="CL17:CL80" ca="1" si="54">IF(CD17,IF(OVolType&lt;&gt;2,SQRT(IF(OVolOverMonthlyPeak,OVolOverMonthlyPeak,IF(OVolCurve,IF(OBuySell,W17,Y17),X17))^2*(1-15/365.25/BX17)+IF(OVolOverDailyPeak,OVolOverDailyPeak,IF(OVolCurve,IF(OBuySell,AI17,AK17),AJ17))^2*15/365.25/BX17),IF(OVolOverMonthlyPeak,OVolOverMonthlyPeak,IF(OVolCurve,IF(OBuySell,W17,Y17),X17))),"")</f>
        <v/>
      </c>
      <c r="CM17" s="768" t="str">
        <f t="shared" ref="CM17:CM80" ca="1" si="55">IF(CD17,IF(OVolType&lt;&gt;2,SQRT(IF(OVolOverMonthlyPeak,OVolOverMonthlyPeak,IF(OVolCurve,IF(OBuySell,Z17,AB17),AA17))^2*(1-15/365.25/BX17)+IF(OVolOverDailyPeak,OVolOverDailyPeak,IF(OVolCurve,IF(OBuySell,AL17,AN17),AM17))^2*15/365.25/BX17),IF(OVolOverMonthlyPeak,OVolOverMonthlyPeak,IF(OVolCurve,IF(OBuySell,Z17,AB17),AA17))),"")</f>
        <v/>
      </c>
      <c r="CN17" s="768" t="str">
        <f t="shared" ref="CN17:CN80" ca="1" si="56">IF(CD17,IF(OVolType&lt;&gt;2,SQRT(IF(OVolOverMonthlyPeak,OVolOverMonthlyPeak,IF(OVolCurve,IF(OBuySell,AC17,AE17),AD17))^2*(1-15/365.25/BX17)+IF(OVolOverDailyPeak,OVolOverDailyPeak,IF(OVolCurve,IF(OBuySell,AO17,AQ17),AP17))^2*15/365.25/BX17),IF(OVolOverMonthlyPeak,OVolOverMonthlyPeak,IF(OVolCurve,IF(OBuySell,AC17,AE17),AD17))),"")</f>
        <v/>
      </c>
      <c r="CO17" s="768" t="str">
        <f t="shared" ref="CO17:CO80" ca="1" si="57">IF(CD17,IF(CB17,SQRT(LN(1+((CE17*BY17)^2*(EXP(CL17^2*BX17)-1)+(CF17*BZ17)^2*(EXP(CM17^2*BX17)-1)+(CG17*CA17)^2*(EXP(CN17^2*BX17)-1)+2*CE17*BY17*CF17*BZ17*(EXP(CL17*CM17*BX17)-1)+2*CF17*BZ17*CG17*CA17*(EXP(CM17*CN17*BX17)-1)+2*CG17*CA17*CE17*BY17*(EXP(CN17*CL17*BX17)-1))/(CH17*CB17)^2)/BX17),0),"")</f>
        <v/>
      </c>
      <c r="CP17" s="768" t="str">
        <f t="shared" ref="CP17:CP80" ca="1" si="58">IF(CD17,IF(OVolType&lt;&gt;2,SQRT(IF(OVolOverMonthlyOffPeak,OVolOverMonthlyOffPeak,IF(OVolCurve,IF(OBuySell,AF17,AH17),AG17))^2*(1-15/365.25/BX17)+IF(OVolOverDailyOffPeak,OVolOverDailyOffPeak,IF(OVolCurve,IF(OBuySell,AR17,AT17),AS17))^2*15/365.25/BX17),IF(OVolOverMonthlyOffPeak,OVolOverMonthlyOffPeak,IF(OVolCurve,IF(OBuySell,AF17,AH17),AG17))),"")</f>
        <v/>
      </c>
      <c r="CQ17" s="768" t="str">
        <f t="shared" ref="CQ17:CQ80" ca="1" si="59">IF(CD17,SQRT(LN(1+((CH17*CB17)^2*(EXP(CO17^2*BX17)-1)+(CI17*CC17)^2*(EXP(CP17^2*BX17)-1)+2*CH17*CB17*CI17*CC17*(EXP(AU17*CO17*CP17*BX17)-1))/(CH17*CB17+CI17*CC17)^2)/BX17),"")</f>
        <v/>
      </c>
      <c r="CR17" s="802" t="str">
        <f t="shared" ref="CR17:CR80" ca="1" si="60">IF(CD17,CL17+IF(OVolSmile,VLOOKUP(MAX(-5,CK17-CE17),IF(OVolSmile=1,VolSmileBook,VolSmileModel),2),0),"")</f>
        <v/>
      </c>
      <c r="CS17" s="768" t="str">
        <f t="shared" ref="CS17:CS80" ca="1" si="61">IF(CD17,CM17+IF(OVolSmile,VLOOKUP(MAX(-5,CK17-CF17),IF(OVolSmile=1,VolSmileBook,VolSmileModel),2),0),"")</f>
        <v/>
      </c>
      <c r="CT17" s="768" t="str">
        <f t="shared" ref="CT17:CT80" ca="1" si="62">IF(CD17,CN17+IF(OVolSmile,VLOOKUP(MAX(-5,CK17-CG17),IF(OVolSmile=1,VolSmileBook,VolSmileModel),2),0),"")</f>
        <v/>
      </c>
      <c r="CU17" s="768" t="str">
        <f t="shared" ref="CU17:CU80" ca="1" si="63">IF(CD17,CP17+IF(OVolSmile,VLOOKUP(MAX(-5,CK17-CI17),IF(OVolSmile=1,VolSmileBook,VolSmileModel),2),0),"")</f>
        <v/>
      </c>
      <c r="CV17" s="769" t="str">
        <f t="shared" ref="CV17:CV80" ca="1" si="64">IF(CD17,CQ17+IF(OVolSmile,VLOOKUP(MAX(-5,CK17-CJ17),IF(OVolSmile=1,VolSmileBook,VolSmileModel),2),0),"")</f>
        <v/>
      </c>
      <c r="CW17" s="771">
        <f t="shared" ref="CW17:CW80" ca="1" si="65">IF(BY17,UndiscountedOption(CE17,CK17,CR17,BX17,OCallPut,0),0)</f>
        <v>0</v>
      </c>
      <c r="CX17" s="772">
        <f t="shared" ref="CX17:CX80" ca="1" si="66">IF(BZ17,UndiscountedOption(CF17,CK17,CS17,BX17,OCallPut,0),0)</f>
        <v>0</v>
      </c>
      <c r="CY17" s="772">
        <f t="shared" ref="CY17:CY80" ca="1" si="67">IF(CA17,UndiscountedOption(CG17,CK17,CT17,BX17,OCallPut,0),0)</f>
        <v>0</v>
      </c>
      <c r="CZ17" s="772">
        <f t="shared" ref="CZ17:CZ80" ca="1" si="68">IF(CC17,UndiscountedOption(CI17,CK17,CU17,BX17,OCallPut,0),0)</f>
        <v>0</v>
      </c>
      <c r="DA17" s="773">
        <f t="shared" ref="DA17:DA80" ca="1" si="69">IF(CD17,UndiscountedOption(CJ17,CK17,CV17,BX17,OCallPut,0),0)</f>
        <v>0</v>
      </c>
      <c r="DB17" s="776">
        <f t="shared" ref="DB17:DB80" ca="1" si="70">IF(CD17,IF(OVolType,DA17*CD17,CW17*BY17+CX17*BZ17+CY17*CA17+CZ17*CC17),0)</f>
        <v>0</v>
      </c>
      <c r="DC17" s="248">
        <f t="shared" ref="DC17:DC80" ca="1" si="71">IF(CD17,IF(OVolType,UndiscountedOption(CJ17,CK17,CV17,BX17,OCallPut,1)*CD17,IF(BY17,UndiscountedOption(CE17,CK17,CR17,BX17,OCallPut,1),0)*BY17+IF(BZ17,UndiscountedOption(CF17,CK17,CS17,BX17,OCallPut,1),0)*BZ17+IF(CA17,UndiscountedOption(CG17,CK17,CT17,BX17,OCallPut,1),0)*CA17+IF(CC17,UndiscountedOption(CI17,CK17,CU17,BX17,OCallPut,1),0)*CC17),0)</f>
        <v>0</v>
      </c>
      <c r="DD17" s="777">
        <f t="shared" ref="DD17:DD80" ca="1" si="72">IF(CD17,IF(OVolType,IF(OCallPut,IF(CJ17&gt;CK17,CJ17-CK17,0),IF(CK17&gt;CJ17,CK17-CJ17,0))*CD17,IF(OCallPut,IF(CE17&gt;CK17,CE17-CK17,0)*BY17+IF(CF17&gt;CK17,CF17-CK17,0)*BZ17+IF(CG17&gt;CK17,CG17-CK17,0)*CA17+IF(CI17&gt;CK17,CI17-CK17,0)*CC17,IF(CK17&gt;CE17,CK17-CE17,0)*BY17+IF(CK17&gt;CF17,CK17-CF17,0)*BZ17+IF(CK17&gt;CG17,CK17-CG17,0)*CA17+IF(CK17&gt;CI17,CK17-CI17,0)*CC17)),0)</f>
        <v>0</v>
      </c>
      <c r="DE17" s="371">
        <f t="shared" ref="DE17:DE80" ca="1" si="73">IF(E17&lt;&gt;"",INDEX(MaxMWTable,C17,2)*H17*J17,0)</f>
        <v>0</v>
      </c>
      <c r="DF17" s="905" t="str">
        <f t="shared" ref="DF17:DF80" ca="1" si="74">IF(BY17,(LN(CE17/CK17)-CR17^2*BX17/2)/CR17/SQRT(BX17),"")</f>
        <v/>
      </c>
      <c r="DG17" s="906" t="str">
        <f t="shared" ref="DG17:DG80" ca="1" si="75">IF(BZ17,(LN(CF17/CK17)-CS17^2*BX17/2)/CS17/SQRT(BX17),"")</f>
        <v/>
      </c>
      <c r="DH17" s="906" t="str">
        <f t="shared" ref="DH17:DH80" ca="1" si="76">IF(CA17,(LN(CG17/CK17)-CT17^2*BX17/2)/CT17/SQRT(BX17),"")</f>
        <v/>
      </c>
      <c r="DI17" s="906" t="str">
        <f t="shared" ref="DI17:DI80" ca="1" si="77">IF(CC17,(LN(CI17/CK17)-CU17^2*BX17/2)/CU17/SQRT(BX17),"")</f>
        <v/>
      </c>
      <c r="DJ17" s="906" t="str">
        <f t="shared" ref="DJ17:DJ80" ca="1" si="78">IF(CD17,(LN(CJ17/CK17)-CV17^2*BX17/2)/CV17/SQRT(BX17),"")</f>
        <v/>
      </c>
      <c r="DK17" s="779">
        <f t="shared" ref="DK17:DK80" ca="1" si="79">IF(CD17,IF(OVolType,(-NORMSDIST(DJ17)+IF(OCallPut=1,0,1))*CD17,IF(BY17,(-NORMSDIST(DF17)+IF(OCallPut=1,0,1)),0)*BY17+IF(BZ17,(-NORMSDIST(DG17)+IF(OCallPut=1,0,1)),0)*BZ17+IF(CA17,(-NORMSDIST(DH17)+IF(OCallPut=1,0,1)),0)*CA17+IF(CC17,(-NORMSDIST(DI17)+IF(OCallPut=1,0,1)),0)*CC17),0)</f>
        <v>0</v>
      </c>
      <c r="DL17" s="780">
        <f t="shared" ref="DL17:DL80" ca="1" si="80">IF(CD17,IF(OVolType,EXP(-0.5*DJ17^2)/CV17*CD17,IF(BY17,EXP(-0.5*DF17^2)/CR17,0)*BY17+IF(BZ17,EXP(-0.5*DG17^2)/CS17,0)*BZ17+IF(CA17,EXP(-0.5*DH17^2)/CT17,0)*CA17+IF(CC17,EXP(-0.5*DI17^2)/CU17,0)*CC17)/SQRT(2*3.14159*BX17)/CK17,0)</f>
        <v>0</v>
      </c>
      <c r="DM17" s="303">
        <f t="shared" ref="DM17:DM80" ca="1" si="81">IF(CD17,IF(OVolType,UndiscountedOption(CJ17,CK17,OImpVol,BX17,OCallPut,0)*CD17,IF(BY17,UndiscountedOption(CE17,CK17,OImpVol,BX17,OCallPut,0),0)*BY17+IF(BZ17,UndiscountedOption(CF17,CK17,OImpVol,BX17,OCallPut,0),0)*BZ17+IF(CA17,UndiscountedOption(CG17,CK17,OImpVol,BX17,OCallPut,0),0)*CA17+IF(CC17,UndiscountedOption(CI17,CK17,OImpVol,BX17,OCallPut,0),0)*CC17),0)</f>
        <v>0</v>
      </c>
      <c r="DN17" s="508" t="str">
        <f t="shared" ref="DN17:DN80" ca="1" si="82">IF(BY17,(LN(CE17/CK17)+OImpVol^2*BX17/2)/OImpVol/SQRT(BX17),"")</f>
        <v/>
      </c>
      <c r="DO17" s="508" t="str">
        <f t="shared" ref="DO17:DO80" ca="1" si="83">IF(BZ17,(LN(CF17/CK17)+OImpVol^2*BX17/2)/OImpVol/SQRT(BX17),"")</f>
        <v/>
      </c>
      <c r="DP17" s="508" t="str">
        <f t="shared" ref="DP17:DP80" ca="1" si="84">IF(CA17,(LN(CG17/CK17)+OImpVol^2*BX17/2)/OImpVol/SQRT(BX17),"")</f>
        <v/>
      </c>
      <c r="DQ17" s="508" t="str">
        <f t="shared" ref="DQ17:DQ80" ca="1" si="85">IF(CC17,(LN(CI17/CK17)+OImpVol^2*BX17/2)/OImpVol/SQRT(BX17),"")</f>
        <v/>
      </c>
      <c r="DR17" s="508" t="str">
        <f t="shared" ref="DR17:DR80" ca="1" si="86">IF(CD17,(LN(CJ17/CK17)+OImpVol^2*BX17/2)/OImpVol/SQRT(BX17),"")</f>
        <v/>
      </c>
      <c r="DS17" s="353">
        <f t="shared" ref="DS17:DS80" ca="1" si="87">IF(CD17,SQRT(BX17/2/3.14159)*IF(OVolType,CJ17*EXP(-0.5*DR17^2)*CD17,IF(BY17,CE17*EXP(-0.5*DN17^2),0)*BY17+IF(BZ17,CF17*EXP(-0.5*DO17^2),0)*BZ17+IF(CA17,CG17*EXP(-0.5*DP17^2),0)*CA17+IF(CC17,CI17*EXP(-0.5*DQ17^2),0)*CC17),0)</f>
        <v>0</v>
      </c>
      <c r="DT17" s="353">
        <f t="shared" ref="DT17:DT80" ca="1" si="88">IF(CD17,IF(OVolType,CJ17*DR17*EXP(-0.5*DR17^2)*(LN(CJ17/CK17)/OImpVol^2-BX17/2)*CD17,IF(BY17,CE17*DN17*EXP(-0.5*DN17^2)*(LN(CE17/CK17)/OImpVol^2-BX17/2),0)*BY17+IF(BZ17,CF17*DO17*EXP(-0.5*DO17^2)*(LN(CF17/CK17)/OImpVol^2-BX17/2),0)*BZ17+IF(CA17,CG17*DP17*EXP(-0.5*DP17^2)*(LN(CG17/CK17)/OImpVol^2-BX17/2),0)*CA17+IF(CC17,CI17*DQ17*EXP(-0.5*DQ17^2)*(LN(CI17/CK17)/OImpVol^2-BX17/2),0)*CC17)/SQRT(2*3.14159),0)</f>
        <v>0</v>
      </c>
      <c r="DU17" s="380">
        <f ca="1">(A17+IF(CVolType=2,0,14)-DateToday)/365.25</f>
        <v>8.2135523613963035E-2</v>
      </c>
      <c r="DV17" s="303">
        <f t="shared" ref="DV17:DV80" ca="1" si="89">BA17*J17</f>
        <v>0</v>
      </c>
      <c r="DW17" s="303">
        <f t="shared" ref="DW17:DW80" ca="1" si="90">BB17*J17</f>
        <v>0</v>
      </c>
      <c r="DX17" s="303">
        <f t="shared" ref="DX17:DX80" ca="1" si="91">BC17*J17</f>
        <v>0</v>
      </c>
      <c r="DY17" s="303">
        <f t="shared" ref="DY17:DY80" ca="1" si="92">SUM(DV17:DX17)</f>
        <v>0</v>
      </c>
      <c r="DZ17" s="303">
        <f t="shared" ref="DZ17:DZ80" ca="1" si="93">BD17*J17</f>
        <v>0</v>
      </c>
      <c r="EA17" s="303">
        <f t="shared" ref="EA17:EA80" ca="1" si="94">DY17+DZ17</f>
        <v>0</v>
      </c>
      <c r="EB17" s="302">
        <f t="shared" ref="EB17:EB80" ca="1" si="95">IF(EA17,IF(CPriceCurve,IF(CBuySell,K17,M17),L17)*BE17,0)</f>
        <v>0</v>
      </c>
      <c r="EC17" s="299">
        <f t="shared" ref="EC17:EC80" ca="1" si="96">IF(EA17,IF(CPriceCurve,IF(CBuySell,N17,P17),O17)*BF17,0)</f>
        <v>0</v>
      </c>
      <c r="ED17" s="299">
        <f t="shared" ref="ED17:ED80" ca="1" si="97">IF(EA17,IF(CPriceCurve,IF(CBuySell,Q17,S17),R17)*BG17,0)</f>
        <v>0</v>
      </c>
      <c r="EE17" s="299">
        <f t="shared" ref="EE17:EE80" ca="1" si="98">IF(DY17,(EB17*DV17+EC17*DW17+ED17*DX17)/DY17,0)</f>
        <v>0</v>
      </c>
      <c r="EF17" s="299">
        <f t="shared" ref="EF17:EF80" ca="1" si="99">IF(EA17,IF(CPriceCurve,IF(CBuySell,T17,V17),U17)*BH17,0)</f>
        <v>0</v>
      </c>
      <c r="EG17" s="299">
        <f t="shared" ref="EG17:EG80" ca="1" si="100">IF(EA17,(EE17*DY17+EF17*DZ17)/EA17,0)</f>
        <v>0</v>
      </c>
      <c r="EH17" s="302">
        <f t="shared" ref="EH17:EH80" ca="1" si="101">IF(EA17,CFloor*G17,0)</f>
        <v>0</v>
      </c>
      <c r="EI17" s="304" t="str">
        <f t="shared" ref="EI17:EI80" ca="1" si="102">IF(EA17,IF(CVolType&lt;&gt;2,SQRT(IF(CBidOfferVolSpreadFlag,X17^2*(1-15/365.25/DU17)+AJ17^2*15/365.25/DU17,IF(CFloorVolOverMonthlyPeak,CFloorVolOverMonthlyPeak,IF(CFloorVolCurve,IF(CBuySell,Y17,W17),X17))^2*(1-15/365.25/DU17)+IF(CFloorVolOverDailyPeak,CFloorVolOverDailyPeak,IF(CFloorVolCurve,IF(CBuySell,AK17,AI17),AJ17))^2*15/365.25/DU17)),IF(CBidOfferVolSpreadFlag,X17,IF(CFloorVolOverMonthlyPeak,CFloorVolOverMonthlyPeak,IF(CFloorVolCurve,IF(CBuySell,Y17,W17),X17)))),"")</f>
        <v/>
      </c>
      <c r="EJ17" s="305" t="str">
        <f t="shared" ref="EJ17:EJ80" ca="1" si="103">IF(EA17,IF(CVolType&lt;&gt;2,SQRT(IF(CBidOfferVolSpreadFlag,AA17^2*(1-15/365.25/DU17)+AM17^2*15/365.25/DU17,IF(CFloorVolOverMonthlyPeak,CFloorVolOverMonthlyPeak,IF(CFloorVolCurve,IF(CBuySell,AB17,Z17),AA17))^2*(1-15/365.25/DU17)+IF(CFloorVolOverDailyPeak,CFloorVolOverDailyPeak,IF(CFloorVolCurve,IF(CBuySell,AN17,AL17),AM17))^2*15/365.25/DU17)),IF(CBidOfferVolSpreadFlag,AA17,IF(CFloorVolOverMonthlyPeak,CFloorVolOverMonthlyPeak,IF(CFloorVolCurve,IF(CBuySell,AB17,Z17),AA17)))),"")</f>
        <v/>
      </c>
      <c r="EK17" s="305" t="str">
        <f t="shared" ref="EK17:EK80" ca="1" si="104">IF(EA17,IF(CVolType&lt;&gt;2,SQRT(IF(CBidOfferVolSpreadFlag,AD17^2*(1-15/365.25/DU17)+AP17^2*15/365.25/DU17,IF(CFloorVolOverMonthlyPeak,CFloorVolOverMonthlyPeak,IF(CFloorVolCurve,IF(CBuySell,AE17,AC17),AD17))^2*(1-15/365.25/DU17)+IF(CFloorVolOverDailyPeak,CFloorVolOverDailyPeak,IF(CFloorVolCurve,IF(CBuySell,AQ17,AO17),AP17))^2*15/365.25/DU17)),IF(CBidOfferVolSpreadFlag,AD17,IF(CFloorVolOverMonthlyPeak,CFloorVolOverMonthlyPeak,IF(CFloorVolCurve,IF(CBuySell,AE17,AC17),AD17)))),"")</f>
        <v/>
      </c>
      <c r="EL17" s="768" t="str">
        <f t="shared" ref="EL17:EL80" ca="1" si="105">IF(EA17,IF(DY17,SQRT(LN(1+((EB17*DV17)^2*(EXP(EI17^2*DU17)-1)+(EC17*DW17)^2*(EXP(EJ17^2*DU17)-1)+(ED17*DX17)^2*(EXP(EK17^2*DU17)-1)+2*EB17*DV17*EC17*DW17*(EXP(EI17*EJ17*DU17)-1)+2*EC17*DW17*ED17*DX17*(EXP(EJ17*EK17*DU17)-1)+2*ED17*DX17*EB17*DV17*(EXP(EK17*EI17*DU17)-1))/(EE17*DY17)^2)/DU17),0),"")</f>
        <v/>
      </c>
      <c r="EM17" s="305" t="str">
        <f t="shared" ref="EM17:EM80" ca="1" si="106">IF(EA17,IF(CVolType&lt;&gt;2,SQRT(IF(CBidOfferVolSpreadFlag,AG17^2*(1-15/365.25/DU17)+AS17^2*15/365.25/DU17,IF(CFloorVolOverMonthlyOffPeak,CFloorVolOverMonthlyOffPeak,IF(CFloorVolCurve,IF(CBuySell,AH17,AF17),AG17))^2*(1-15/365.25/DU17)+IF(CFloorVolOverDailyOffPeak,CFloorVolOverDailyOffPeak,IF(CFloorVolCurve,IF(CBuySell,AT17,AR17),AS17))^2*15/365.25/DU17)),IF(CBidOfferVolSpreadFlag,AG17,IF(CFloorVolOverMonthlyOffPeak,CFloorVolOverMonthlyOffPeak,IF(CFloorVolCurve,IF(CBuySell,AH17,AF17),AG17)))),"")</f>
        <v/>
      </c>
      <c r="EN17" s="768" t="str">
        <f t="shared" ref="EN17:EN80" ca="1" si="107">IF(EA17,SQRT(LN(1+((EE17*DY17)^2*(EXP(EL17^2*DU17)-1)+(EF17*DZ17)^2*(EXP(EM17^2*DU17)-1)+2*EE17*DY17*EF17*DZ17*(EXP(AU17*EL17*EM17*DU17)-1))/(EE17*DY17+EF17*DZ17)^2)/DU17),"")</f>
        <v/>
      </c>
      <c r="EO17" s="305" t="str">
        <f t="shared" ref="EO17:EO80" ca="1" si="108">IF(EA17,EI17+IF(CBidOfferVolSpreadFlag,IF(CBuySell,1,-1)*CBidOfferVolSpread/2,IF(CVolSmile,VLOOKUP(MAX(-5,EH17-EB17),IF(CVolSmile=1,VolSmileBook,VolSmileModel),2),0)),"")</f>
        <v/>
      </c>
      <c r="EP17" s="305" t="str">
        <f t="shared" ref="EP17:EP80" ca="1" si="109">IF(EA17,EJ17+IF(CBidOfferVolSpreadFlag,IF(CBuySell,1,-1)*CBidOfferVolSpread/2,IF(CVolSmile,VLOOKUP(MAX(-5,EH17-EC17),IF(CVolSmile=1,VolSmileBook,VolSmileModel),2),0)),"")</f>
        <v/>
      </c>
      <c r="EQ17" s="305" t="str">
        <f t="shared" ref="EQ17:EQ80" ca="1" si="110">IF(EA17,EK17+IF(CBidOfferVolSpreadFlag,IF(CBuySell,1,-1)*CBidOfferVolSpread/2,IF(CVolSmile,VLOOKUP(MAX(-5,EH17-ED17),IF(CVolSmile=1,VolSmileBook,VolSmileModel),2),0)),"")</f>
        <v/>
      </c>
      <c r="ER17" s="305" t="str">
        <f t="shared" ref="ER17:ER80" ca="1" si="111">IF(EA17,EM17+IF(CBidOfferVolSpreadFlag,IF(CBuySell,1,-1)*CBidOfferVolSpread/2,IF(CVolSmile,VLOOKUP(MAX(-5,EH17-EF17),IF(CVolSmile=1,VolSmileBook,VolSmileModel),2),0)),"")</f>
        <v/>
      </c>
      <c r="ES17" s="305" t="str">
        <f t="shared" ref="ES17:ES80" ca="1" si="112">IF(EA17,EN17+IF(CBidOfferVolSpreadFlag,IF(CBuySell,1,-1)*CBidOfferVolSpread/2,IF(CVolSmile,VLOOKUP(MAX(-5,EH17-EG17),IF(CVolSmile=1,VolSmileBook,VolSmileModel),2),0)),"")</f>
        <v/>
      </c>
      <c r="ET17" s="299">
        <f t="shared" ref="ET17:ET80" ca="1" si="113">IF(EA17,IF(CVolType,UndiscountedOption(EG17,EH17,ES17,DU17,0,0),(IF(DV17,UndiscountedOption(EB17,EH17,EO17,DU17,0,0),0)*DV17+IF(DW17,UndiscountedOption(EC17,EH17,EP17,DU17,0,0),0)*DW17+IF(DX17,UndiscountedOption(ED17,EH17,EQ17,DU17,0,0),0)*DX17+IF(DZ17,UndiscountedOption(EF17,EH17,ER17,DU17,0,0),0)*DZ17)/EA17),0)</f>
        <v>0</v>
      </c>
      <c r="EU17" s="302">
        <f t="shared" ref="EU17:EU80" ca="1" si="114">IF(EA17,CCap*G17,0)</f>
        <v>0</v>
      </c>
      <c r="EV17" s="304" t="str">
        <f t="shared" ref="EV17:EV80" ca="1" si="115">IF(EA17,IF(CVolType&lt;&gt;2,SQRT(IF(CBidOfferVolSpreadFlag,X17^2*(1-15/365.25/DU17)+AJ17^2*15/365.25/DU17,IF(CCapVolOverMonthlyPeak,CCapVolOverMonthlyPeak,IF(CCapVolCurve,IF(CBuySell,W17,Y17),X17))^2*(1-15/365.25/DU17)+IF(CCapVolOverDailyPeak,CCapVolOverDailyPeak,IF(CCapVolCurve,IF(CBuySell,AI17,AK17),AJ17))^2*15/365.25/DU17)),IF(CBidOfferVolSpreadFlag,X17,IF(CCapVolOverMonthlyPeak,CCapVolOverMonthlyPeak,IF(CCapVolCurve,IF(CBuySell,W17,Y17),X17)))),"")</f>
        <v/>
      </c>
      <c r="EW17" s="305" t="str">
        <f t="shared" ref="EW17:EW80" ca="1" si="116">IF(EA17,IF(CVolType&lt;&gt;2,SQRT(IF(CBidOfferVolSpreadFlag,AA17^2*(1-15/365.25/DU17)+AM17^2*15/365.25/DU17,IF(CCapVolOverMonthlyPeak,CCapVolOverMonthlyPeak,IF(CCapVolCurve,IF(CBuySell,Z17,AB17),AA17))^2*(1-15/365.25/DU17)+IF(CCapVolOverDailyPeak,CCapVolOverDailyPeak,IF(CCapVolCurve,IF(CBuySell,AL17,AN17),AM17))^2*15/365.25/DU17)),IF(CBidOfferVolSpreadFlag,AA17,IF(CCapVolOverMonthlyPeak,CCapVolOverMonthlyPeak,IF(CCapVolCurve,IF(CBuySell,Z17,AB17),AA17)))),"")</f>
        <v/>
      </c>
      <c r="EX17" s="305" t="str">
        <f t="shared" ref="EX17:EX80" ca="1" si="117">IF(EA17,IF(CVolType&lt;&gt;2,SQRT(IF(CBidOfferVolSpreadFlag,AD17^2*(1-15/365.25/DU17)+AP17^2*15/365.25/DU17,IF(CCapVolOverMonthlyPeak,CCapVolOverMonthlyPeak,IF(CCapVolCurve,IF(CBuySell,AC17,AE17),AD17))^2*(1-15/365.25/DU17)+IF(CCapVolOverDailyPeak,CCapVolOverDailyPeak,IF(CCapVolCurve,IF(CBuySell,AO17,AQ17),AP17))^2*15/365.25/DU17)),IF(CBidOfferVolSpreadFlag,AD17,IF(CCapVolOverMonthlyPeak,CCapVolOverMonthlyPeak,IF(CCapVolCurve,IF(CBuySell,AC17,AE17),AD17)))),"")</f>
        <v/>
      </c>
      <c r="EY17" s="305" t="str">
        <f t="shared" ref="EY17:EY80" ca="1" si="118">IF(EA17,IF(DY17,SQRT(LN(1+((EB17*DV17)^2*(EXP(EV17^2*DU17)-1)+(EC17*DW17)^2*(EXP(EW17^2*DU17)-1)+(ED17*DX17)^2*(EXP(EX17^2*DU17)-1)+2*EB17*DV17*EC17*DW17*(EXP(EV17*EW17*DU17)-1)+2*EC17*DW17*ED17*DX17*(EXP(EW17*EX17*DU17)-1)+2*ED17*DX17*EB17*DV17*(EXP(EX17*EV17*DU17)-1))/(EE17*DY17)^2)/DU17),0),"")</f>
        <v/>
      </c>
      <c r="EZ17" s="305" t="str">
        <f t="shared" ref="EZ17:EZ80" ca="1" si="119">IF(EA17,IF(CVolType&lt;&gt;2,SQRT(IF(CBidOfferVolSpreadFlag,AG17^2*(1-15/365.25/DU17)+AS17^2*15/365.25/DU17,IF(CCapVolOverMonthlyOffPeak,CCapVolOverMonthlyOffPeak,IF(CCapVolCurve,IF(CBuySell,AF17,AH17),AG17))^2*(1-15/365.25/DU17)+IF(CCapVolOverDailyOffPeak,CCapVolOverDailyOffPeak,IF(CCapVolCurve,IF(CBuySell,AR17,AT17),AS17))^2*15/365.25/DU17)),IF(CBidOfferVolSpreadFlag,AG17,IF(CCapVolOverMonthlyOffPeak,CCapVolOverMonthlyOffPeak,IF(CCapVolCurve,IF(CBuySell,AF17,AH17),AG17)))),"")</f>
        <v/>
      </c>
      <c r="FA17" s="305" t="str">
        <f t="shared" ref="FA17:FA80" ca="1" si="120">IF(EA17,SQRT(LN(1+((EE17*DY17)^2*(EXP(EY17^2*DU17)-1)+(EF17*DZ17)^2*(EXP(EZ17^2*DU17)-1)+2*EE17*DY17*EF17*DZ17*(EXP(AU17*EY17*EZ17*DU17)-1))/(EE17*DY17+EF17*DZ17)^2)/DU17),"")</f>
        <v/>
      </c>
      <c r="FB17" s="305" t="str">
        <f t="shared" ref="FB17:FB80" ca="1" si="121">IF(EA17,EV17+IF(CBidOfferVolSpreadFlag,IF(CBuySell,-1,1)*CBidOfferVolSpread/2,IF(CVolSmile,VLOOKUP(MAX(-5,EU17-EB17),IF(CVolSmile=1,VolSmileBook,VolSmileModel),2),0)),"")</f>
        <v/>
      </c>
      <c r="FC17" s="305" t="str">
        <f t="shared" ref="FC17:FC80" ca="1" si="122">IF(EA17,EW17+IF(CBidOfferVolSpreadFlag,IF(CBuySell,-1,1)*CBidOfferVolSpread/2,IF(CVolSmile,VLOOKUP(MAX(-5,EU17-EC17),IF(CVolSmile=1,VolSmileBook,VolSmileModel),2),0)),"")</f>
        <v/>
      </c>
      <c r="FD17" s="305" t="str">
        <f t="shared" ref="FD17:FD80" ca="1" si="123">IF(EA17,EX17+IF(CBidOfferVolSpreadFlag,IF(CBuySell,-1,1)*CBidOfferVolSpread/2,IF(CVolSmile,VLOOKUP(MAX(-5,EU17-ED17),IF(CVolSmile=1,VolSmileBook,VolSmileModel),2),0)),"")</f>
        <v/>
      </c>
      <c r="FE17" s="305" t="str">
        <f t="shared" ref="FE17:FE80" ca="1" si="124">IF(EA17,EZ17+IF(CBidOfferVolSpreadFlag,IF(CBuySell,-1,1)*CBidOfferVolSpread/2,IF(CVolSmile,VLOOKUP(MAX(-5,EU17-EF17),IF(CVolSmile=1,VolSmileBook,VolSmileModel),2),0)),"")</f>
        <v/>
      </c>
      <c r="FF17" s="305" t="str">
        <f t="shared" ref="FF17:FF80" ca="1" si="125">IF(EA17,FA17+IF(CBidOfferVolSpreadFlag,IF(CBuySell,-1,1)*CBidOfferVolSpread/2,IF(CVolSmile,VLOOKUP(MAX(-5,EU17-EG17),IF(CVolSmile=1,VolSmileBook,VolSmileModel),2),0)),"")</f>
        <v/>
      </c>
      <c r="FG17" s="299">
        <f t="shared" ref="FG17:FG80" ca="1" si="126">IF(EA17,IF(CVolType,UndiscountedOption(EG17,EU17,FF17,DU17,1,0),(IF(DV17,UndiscountedOption(EB17,EU17,FB17,DU17,1,0),0)*DV17+IF(DW17,UndiscountedOption(EC17,EU17,FC17,DU17,1,0),0)*DW17+IF(DX17,UndiscountedOption(ED17,EU17,FD17,DU17,1,0),0)*DX17+IF(DZ17,UndiscountedOption(EF17,EU17,FE17,DU17,1,0),0)*DZ17)/EA17),0)</f>
        <v>0</v>
      </c>
      <c r="FH17" s="302">
        <f t="shared" ref="FH17:FH80" ca="1" si="127">ET17-FG17</f>
        <v>0</v>
      </c>
      <c r="FI17" s="248">
        <f t="shared" ref="FI17:FI80" ca="1" si="128">FH17*EA17</f>
        <v>0</v>
      </c>
      <c r="FJ17" s="371">
        <f t="shared" ref="FJ17:FJ80" ca="1" si="129">IF(E17&lt;&gt;"",INDEX(MaxMWTable,C17,1)*H17*J17,0)</f>
        <v>0</v>
      </c>
      <c r="FK17" s="378" t="str">
        <f t="shared" ref="FK17:FK80" ca="1" si="130">IF(DV17,IF(CSpec,(LN(EB17/EH17)-EO17^2*DU17/2)/EO17/SQRT(DU17),(LN(EB17/EU17)-FB17^2*DU17/2)/FB17/SQRT(DU17)),"")</f>
        <v/>
      </c>
      <c r="FL17" s="508" t="str">
        <f t="shared" ref="FL17:FL80" ca="1" si="131">IF(DW17,IF(CSpec,(LN(EC17/EH17)-EP17^2*DU17/2)/EP17/SQRT(DU17),(LN(EC17/EU17)-FC17^2*DU17/2)/FC17/SQRT(DU17)),"")</f>
        <v/>
      </c>
      <c r="FM17" s="508" t="str">
        <f t="shared" ref="FM17:FM80" ca="1" si="132">IF(DX17,IF(CSpec,(LN(ED17/EH17)-EQ17^2*DU17/2)/EQ17/SQRT(DU17),(LN(ED17/EU17)-FD17^2*DU17/2)/FD17/SQRT(DU17)),"")</f>
        <v/>
      </c>
      <c r="FN17" s="508" t="str">
        <f t="shared" ref="FN17:FN80" ca="1" si="133">IF(DZ17,IF(CSpec,(LN(EF17/EH17)-ER17^2*DU17/2)/ER17/SQRT(DU17),(LN(EF17/EU17)-FE17^2*DU17/2)/FE17/SQRT(DU17)),"")</f>
        <v/>
      </c>
      <c r="FO17" s="508" t="str">
        <f t="shared" ref="FO17:FO80" ca="1" si="134">IF(EA17,IF(CSpec,(LN(EG17/EH17)-ES17^2*DU17/2)/ES17/SQRT(DU17),(LN(EG17/EU17)-FF17^2*DU17/2)/FF17/SQRT(DU17)),"")</f>
        <v/>
      </c>
      <c r="FP17" s="353">
        <f t="shared" ref="FP17:FP80" ca="1" si="135">IF(EA17,IF(CVolType,(-NORMSDIST(FO17)+IF(CSpec,1,0))*EA17,IF(DV17,(-NORMSDIST(FK17)+IF(CSpec,1,0)),0)*DV17+IF(DW17,(-NORMSDIST(FL17)+IF(CSpec,1,0)),0)*DW17+IF(DX17,(-NORMSDIST(FM17)+IF(CSpec,1,0)),0)*DX17+IF(DZ17,(-NORMSDIST(FN17)+IF(CSpec,1,0)),0)*DZ17),0)</f>
        <v>0</v>
      </c>
      <c r="FQ17" s="356">
        <f t="shared" ref="FQ17:FQ80" ca="1" si="136">IF(EA17,IF(CVolType,EXP(-0.5*FO17^2)/IF(CSpec,ES17,FF17)*EA17,IF(DV17,EXP(-0.5*FK17^2)/IF(CSpec,EO17,FB17),0)*DV17+IF(DW17,EXP(-0.5*FL17^2)/IF(CSpec,EP17,FC17),0)*DW17+IF(DX17,EXP(-0.5*FM17^2)/IF(CSpec,EQ17,FD17),0)*DX17+IF(DZ17,EXP(-0.5*FN17^2)/IF(CSpec,ER17,FE17),0)*DZ17)/SQRT(2*3.14159*DU17)/IF(CSpec,EH17,EU17),0)</f>
        <v>0</v>
      </c>
      <c r="FR17" s="380">
        <f t="shared" ref="FR17:FR80" ca="1" si="137">IF(CD17,VLOOKUP(A17,GasTable,13)*HeatRatePeak/1000,0)</f>
        <v>0</v>
      </c>
      <c r="FS17" s="299">
        <f t="shared" ref="FS17:FS80" ca="1" si="138">IF(CD17,VLOOKUP(A17,GasTable,13)*HeatRatePeak/1000,0)</f>
        <v>0</v>
      </c>
      <c r="FT17" s="299">
        <f t="shared" ref="FT17:FT80" ca="1" si="139">IF(CD17,VLOOKUP(A17,GasTable,13)*HeatRateOffPeak/1000,0)</f>
        <v>0</v>
      </c>
      <c r="FU17" s="299">
        <f t="shared" ref="FU17:FU80" ca="1" si="140">IF(CD17,VLOOKUP(A17,GasTable,13)*HeatRateOffPeak/1000,0)</f>
        <v>0</v>
      </c>
      <c r="FV17" s="299">
        <f t="shared" ref="FV17:FV80" ca="1" si="141">IF(CD17,(FR17*CB17+FU17*CC17)/CD17,0)</f>
        <v>0</v>
      </c>
      <c r="FW17" s="850" t="str">
        <f t="shared" ref="FW17:FW80" ca="1" si="142">IF(CD17,VLOOKUP(A17,GasTable,14),"")</f>
        <v/>
      </c>
      <c r="FX17" s="851" t="str">
        <f t="shared" ref="FX17:FX80" ca="1" si="143">IF(CD17,IF(CorrPowerGasOverFlag,INDEX(CorrPowerGasOver,C17),CorrPowerGas),"")</f>
        <v/>
      </c>
      <c r="FY17" s="851" t="str">
        <f t="shared" ref="FY17:FY80" ca="1" si="144">IF(CD17,SpreadOptGasMargin*HeatRatePeak/1000+SpreadOptPowerMargin+SpreadOptStrike,"")</f>
        <v/>
      </c>
      <c r="FZ17" s="201" t="str">
        <f t="shared" ref="FZ17:FZ80" ca="1" si="145">IF(CD17,SpreadOptGasMargin*HeatRatePeak/1000+SpreadOptPowerMargin+SpreadOptStrike,"")</f>
        <v/>
      </c>
      <c r="GA17" s="201" t="str">
        <f t="shared" ref="GA17:GA80" ca="1" si="146">IF(CD17,SpreadOptGasMargin*HeatRateOffPeak/1000+SpreadOptPowerMargin+SpreadOptStrike,"")</f>
        <v/>
      </c>
      <c r="GB17" s="201" t="str">
        <f t="shared" ref="GB17:GB80" ca="1" si="147">IF(CD17,SpreadOptGasMargin*HeatRateOffPeak/1000+SpreadOptPowerMargin+SpreadOptStrike,"")</f>
        <v/>
      </c>
      <c r="GC17" s="201" t="str">
        <f t="shared" ref="GC17:GC80" ca="1" si="148">IF(CD17,(FY17*CB17+GB17*CC17)/CD17,"")</f>
        <v/>
      </c>
      <c r="GD17" s="850" t="str">
        <f t="shared" ref="GD17:GD80" ca="1" si="149">IF(CD17,CL17+IF(OVolSmile,VLOOKUP(MAX(-5,FR17+FY17-CE17),IF(OVolSmile=1,VolSmileBook,VolSmileModel),2),0),"")</f>
        <v/>
      </c>
      <c r="GE17" s="866" t="str">
        <f t="shared" ref="GE17:GE80" ca="1" si="150">IF(CD17,CM17+IF(OVolSmile,VLOOKUP(MAX(-5,FS17+FY17-CF17),IF(OVolSmile=1,VolSmileBook,VolSmileModel),2),0),"")</f>
        <v/>
      </c>
      <c r="GF17" s="866" t="str">
        <f t="shared" ref="GF17:GF80" ca="1" si="151">IF(CD17,CN17+IF(OVolSmile,VLOOKUP(MAX(-5,FT17+FY17-CG17),IF(OVolSmile=1,VolSmileBook,VolSmileModel),2),0),"")</f>
        <v/>
      </c>
      <c r="GG17" s="866" t="str">
        <f t="shared" ref="GG17:GG80" ca="1" si="152">IF(CD17,CP17+IF(OVolSmile,VLOOKUP(MAX(-5,FU17+GB17-CI17),IF(OVolSmile=1,VolSmileBook,VolSmileModel),2),0),"")</f>
        <v/>
      </c>
      <c r="GH17" s="866" t="str">
        <f t="shared" ref="GH17:GH80" ca="1" si="153">IF(CD17,CQ17+IF(OVolSmile,VLOOKUP(MAX(-5,FV17+GC17-CJ17),IF(OVolSmile=1,VolSmileBook,VolSmileModel),2),0),"")</f>
        <v/>
      </c>
      <c r="GI17" s="302">
        <f t="shared" ref="GI17:GI80" ca="1" si="154">IF(AND(CE17&gt;0,FR17&gt;0,GD17&gt;0,FW17&gt;0),newSPRDOPT(CE17,FR17,FY17,0,GD17,FW17,FX17,BX17*365.25,OCallPut,0),0)</f>
        <v>0</v>
      </c>
      <c r="GJ17" s="299">
        <f t="shared" ref="GJ17:GJ80" ca="1" si="155">IF(AND(CF17&gt;0,FS17&gt;0,GE17&gt;0,FW17&gt;0),newSPRDOPT(CF17,FS17,FZ17,0,GE17,FW17,FX17,BX17*365.25,OCallPut,0),0)</f>
        <v>0</v>
      </c>
      <c r="GK17" s="299">
        <f t="shared" ref="GK17:GK80" ca="1" si="156">IF(AND(CG17&gt;0,FT17&gt;0,GF17&gt;0,FW17&gt;0),newSPRDOPT(CG17,FT17,GA17,0,GF17,FW17,FX17,BX17*365.25,OCallPut,0),0)</f>
        <v>0</v>
      </c>
      <c r="GL17" s="299">
        <f t="shared" ref="GL17:GL80" ca="1" si="157">IF(AND(CI17&gt;0,FU17&gt;0,GG17&gt;0,FW17&gt;0),newSPRDOPT(CI17,FU17,GB17,0,GG17,FW17,FX17,BX17*365.25,OCallPut,0),0)</f>
        <v>0</v>
      </c>
      <c r="GM17" s="299">
        <f t="shared" ref="GM17:GM80" ca="1" si="158">IF(OVolType,IF(AND(CJ17&gt;0,FV17&gt;0,GH17&gt;0,FW17&gt;0),newSPRDOPT(CJ17,FV17,GC17,0,GH17,FW17,FX17,BX17*365.25,OCallPut,0),0),IF(CD17,(GI17*BY17+GJ17*BZ17+GK17*CA17+GL17*CC17)/CD17,0))</f>
        <v>0</v>
      </c>
      <c r="GN17" s="302">
        <f t="shared" ref="GN17:GN80" ca="1" si="159">IF(AND(CE17&gt;0,FR17&gt;0,GD17&gt;0,FW17&gt;0),newSPRDOPT(CE17,FR17,FY17,0,GD17,FW17,FX17,BX17*365.25,OCallPut,1),0)</f>
        <v>0</v>
      </c>
      <c r="GO17" s="299">
        <f t="shared" ref="GO17:GO80" ca="1" si="160">IF(AND(CF17&gt;0,FS17&gt;0,GE17&gt;0,FW17&gt;0),newSPRDOPT(CF17,FS17,FZ17,0,GE17,FW17,FX17,BX17*365.25,OCallPut,1),0)</f>
        <v>0</v>
      </c>
      <c r="GP17" s="299">
        <f t="shared" ref="GP17:GP80" ca="1" si="161">IF(AND(CG17&gt;0,FT17&gt;0,GF17&gt;0,FW17&gt;0),newSPRDOPT(CG17,FT17,GA17,0,GF17,FW17,FX17,BX17*365.25,OCallPut,1),0)</f>
        <v>0</v>
      </c>
      <c r="GQ17" s="299">
        <f t="shared" ref="GQ17:GQ80" ca="1" si="162">IF(AND(CI17&gt;0,FU17&gt;0,GG17&gt;0,FW17&gt;0),newSPRDOPT(CI17,FU17,GB17,0,GG17,FW17,FX17,BX17*365.25,OCallPut,1),0)</f>
        <v>0</v>
      </c>
      <c r="GR17" s="299">
        <f t="shared" ref="GR17:GR80" ca="1" si="163">IF(OVolType,IF(AND(CJ17&gt;0,FV17&gt;0,GH17&gt;0,FW17&gt;0),newSPRDOPT(CJ17,FV17,GC17,0,GH17,FW17,FX17,BX17*365.25,OCallPut,1),0),IF(CD17,(GN17*BY17+GO17*BZ17+GP17*CA17+GQ17*CC17)/CD17,0))</f>
        <v>0</v>
      </c>
      <c r="GS17" s="302">
        <f t="shared" ref="GS17:GS80" ca="1" si="164">IF(AND(CE17&gt;0,FR17&gt;0,GD17&gt;0,FW17&gt;0),newSPRDOPT(CE17,FR17,FY17,0,GD17,FW17,FX17,BX17*365.25,OCallPut,2),0)</f>
        <v>0</v>
      </c>
      <c r="GT17" s="299">
        <f t="shared" ref="GT17:GT80" ca="1" si="165">IF(AND(CF17&gt;0,FS17&gt;0,GE17&gt;0,FW17&gt;0),newSPRDOPT(CF17,FS17,FZ17,0,GE17,FW17,FX17,BX17*365.25,OCallPut,2),0)</f>
        <v>0</v>
      </c>
      <c r="GU17" s="299">
        <f t="shared" ref="GU17:GU80" ca="1" si="166">IF(AND(CG17&gt;0,FT17&gt;0,GF17&gt;0,FW17&gt;0),newSPRDOPT(CG17,FT17,GA17,0,GF17,FW17,FX17,BX17*365.25,OCallPut,2),0)</f>
        <v>0</v>
      </c>
      <c r="GV17" s="299">
        <f t="shared" ref="GV17:GV80" ca="1" si="167">IF(AND(CI17&gt;0,FU17&gt;0,GG17&gt;0,FW17&gt;0),newSPRDOPT(CI17,FU17,GB17,0,GG17,FW17,FX17,BX17*365.25,OCallPut,2),0)</f>
        <v>0</v>
      </c>
      <c r="GW17" s="299">
        <f t="shared" ref="GW17:GW80" ca="1" si="168">IF(OVolType,IF(AND(CJ17&gt;0,FV17&gt;0,GH17&gt;0,FW17&gt;0),newSPRDOPT(CJ17,FV17,GC17,0,GH17,FW17,FX17,BX17*365.25,OCallPut,2),0),IF(CD17,(GS17*BY17+GT17*BZ17+GU17*CA17+GV17*CC17)/CD17,0))</f>
        <v>0</v>
      </c>
      <c r="GX17" s="303">
        <f t="shared" ref="GX17:GX80" ca="1" si="169">GI17*BY17</f>
        <v>0</v>
      </c>
      <c r="GY17" s="303">
        <f t="shared" ref="GY17:GY80" ca="1" si="170">GJ17*BZ17</f>
        <v>0</v>
      </c>
      <c r="GZ17" s="303">
        <f t="shared" ref="GZ17:GZ80" ca="1" si="171">GK17*CA17</f>
        <v>0</v>
      </c>
      <c r="HA17" s="303">
        <f t="shared" ref="HA17:HA80" ca="1" si="172">GL17*CC17</f>
        <v>0</v>
      </c>
      <c r="HB17" s="303">
        <f t="shared" ref="HB17:HB80" ca="1" si="173">GM17*CD17</f>
        <v>0</v>
      </c>
      <c r="HC17" s="303">
        <f t="shared" ref="HC17:HC80" ca="1" si="174">IF(CD17,IF(OCallPut,IF(CE17&gt;(FR17+FY17),CE17-(FR17+FY17),0),IF((FR17+FY17)&gt;CE17,(FR17+FY17)-CE17,0))*BY17,0)</f>
        <v>0</v>
      </c>
      <c r="HD17" s="303">
        <f t="shared" ref="HD17:HD80" ca="1" si="175">IF(CD17,IF(OCallPut,IF(CF17&gt;(FS17+FY17),CF17-(FS17+FY17),0),IF((FS17+FY17)&gt;CF17,(FS17+FY17)-CF17,0))*BZ17,0)</f>
        <v>0</v>
      </c>
      <c r="HE17" s="303">
        <f t="shared" ref="HE17:HE80" ca="1" si="176">IF(CD17,IF(OCallPut,IF(CG17&gt;(FT17+FY17),CG17-(FT17+FY17),0),IF((FT17+FY17)&gt;CG17,(FT17+FY17)-CG17,0))*CA17,0)</f>
        <v>0</v>
      </c>
      <c r="HF17" s="303">
        <f t="shared" ref="HF17:HF80" ca="1" si="177">IF(CD17,IF(OCallPut,IF(CI17&gt;(FU17+GB17),CI17-(FU17+GB17),0),IF((FU17+GB17)&gt;CI17,(FU17+GB17)-CI17,0))*CC17,0)</f>
        <v>0</v>
      </c>
      <c r="HG17" s="852">
        <f t="shared" ref="HG17:HG80" ca="1" si="178">IF(CD17,IF(OVolType,IF(OCallPut,IF(CJ17&gt;(FV17+GC17),CJ17-(FV17+GC17),0),IF((FV17+GC17)&gt;CJ17,(FV17+GC17)-CJ17,0))*CD17,SUM(HC17:HF17)),0)</f>
        <v>0</v>
      </c>
      <c r="HH17" s="13"/>
      <c r="IG17" s="13"/>
      <c r="IH17" s="13"/>
      <c r="II17" s="13"/>
      <c r="IJ17" s="13"/>
      <c r="IK17" s="13"/>
      <c r="IL17" s="13"/>
      <c r="IM17" s="13"/>
      <c r="IN17" s="13"/>
      <c r="IO17" s="13"/>
      <c r="IP17" s="13"/>
      <c r="IQ17" s="13"/>
      <c r="IR17" s="13"/>
      <c r="IS17" s="13"/>
      <c r="IT17" s="13"/>
      <c r="IU17" s="13"/>
      <c r="IV17" s="13"/>
    </row>
    <row r="18" spans="1:256" x14ac:dyDescent="0.25">
      <c r="A18" s="244">
        <f t="shared" ref="A18:A81" ca="1" si="179">EOMONTH(A17,0)+1</f>
        <v>36647</v>
      </c>
      <c r="B18" s="13">
        <f t="shared" ca="1" si="3"/>
        <v>2000</v>
      </c>
      <c r="C18" s="619">
        <f t="shared" ref="C18:C80" ca="1" si="180">MONTH(A18)</f>
        <v>5</v>
      </c>
      <c r="D18" s="195">
        <f t="shared" ca="1" si="4"/>
        <v>36675</v>
      </c>
      <c r="E18" s="469" t="str">
        <f t="shared" ca="1" si="5"/>
        <v/>
      </c>
      <c r="F18" s="465" t="str">
        <f t="shared" ca="1" si="6"/>
        <v/>
      </c>
      <c r="G18" s="521">
        <f t="shared" ref="G18:G81" ca="1" si="181">G17*(1+((PriceEscType=1)*(C18=1)+(PriceEscType=2)*(C18=BegMonth))*(B18&gt;BegYear)*PriceEsc)</f>
        <v>1</v>
      </c>
      <c r="H18" s="518">
        <f t="shared" ref="H18:H81" ca="1" si="182">H17*(1+((VolumeEscType=1)*(C18=1)+(VolumeEscType=2)*(C18=BegMonth))*(B18&gt;BegYear)*VolumeEsc)</f>
        <v>1</v>
      </c>
      <c r="I18" s="724">
        <f t="shared" ca="1" si="7"/>
        <v>6.1493785480609998E-2</v>
      </c>
      <c r="J18" s="198">
        <f t="shared" ca="1" si="8"/>
        <v>0.9819246721389786</v>
      </c>
      <c r="K18" s="726">
        <f ca="1">IF(A18=J5,VLOOKUP(A19-1,PriceTable,2,0)+IF(BasisNumber&lt;&gt;1,VLOOKUP(A19-1,BasisTable,2,0),0),VLOOKUP(A18,PriceTable,2,0)+IF(BasisNumber&lt;&gt;1,VLOOKUP(A18,BasisTable,2,0),0))</f>
        <v>34.5</v>
      </c>
      <c r="L18" s="727">
        <f ca="1">IF(A18=J5,VLOOKUP(A19-1,PriceTable,3,0)+IF(BasisNumber&lt;&gt;1,VLOOKUP(A19-1,BasisTable,2,0),0),VLOOKUP(A18,PriceTable,3,0)+IF(BasisNumber&lt;&gt;1,VLOOKUP(A18,BasisTable,2,0),0))</f>
        <v>35</v>
      </c>
      <c r="M18" s="728">
        <f ca="1">IF(A18=J5,VLOOKUP(A19-1,PriceTable,4,0)+IF(BasisNumber&lt;&gt;1,VLOOKUP(A19-1,BasisTable,2,0),0),VLOOKUP(A18,PriceTable,4,0)+IF(BasisNumber&lt;&gt;1,VLOOKUP(A18,BasisTable,2,0),0))</f>
        <v>35.5</v>
      </c>
      <c r="N18" s="912">
        <f ca="1">VLOOKUP(A18,BigTable,2,0)+IF(BasisNumber&lt;&gt;1,VLOOKUP(IF(A18=J5,A19-1,A18),BasisTable,2,0),0)</f>
        <v>26.375</v>
      </c>
      <c r="O18" s="727">
        <f ca="1">VLOOKUP(A18,BigTable,3,0)+IF(BasisNumber&lt;&gt;1,VLOOKUP(IF(A18=J5,A19-1,A18),BasisTable,2,0),0)</f>
        <v>26.75</v>
      </c>
      <c r="P18" s="728">
        <f ca="1">VLOOKUP(A18,BigTable,4,0)+IF(BasisNumber&lt;&gt;1,VLOOKUP(IF(A18=J5,A19-1,A18),BasisTable,2,0),0)</f>
        <v>27.125</v>
      </c>
      <c r="Q18" s="727">
        <f ca="1">VLOOKUP(A18,BigTable,6,0)+IF(BasisNumber&lt;&gt;1,VLOOKUP(IF(A18=J5,A19-1,A18),BasisTable,3,0),0)</f>
        <v>22.25</v>
      </c>
      <c r="R18" s="727">
        <f ca="1">VLOOKUP(A18,BigTable,7,0)+IF(BasisNumber&lt;&gt;1,VLOOKUP(IF(A18=J5,A19-1,A18),BasisTable,3,0),0)</f>
        <v>24.75</v>
      </c>
      <c r="S18" s="727">
        <f ca="1">VLOOKUP(A18,BigTable,8,0)+IF(BasisNumber&lt;&gt;1,VLOOKUP(IF(A18=J5,A19-1,A18),BasisTable,3,0),0)</f>
        <v>27.25</v>
      </c>
      <c r="T18" s="912">
        <f ca="1">IF(A18=J5,VLOOKUP(A19-1,PriceTable,6,0)+IF(BasisNumber&lt;&gt;1,VLOOKUP(A19-1,BasisTable,3,0),0),VLOOKUP(A18,PriceTable,6,0)+IF(BasisNumber&lt;&gt;1,VLOOKUP(A18,BasisTable,3,0),0))</f>
        <v>19.249998092651367</v>
      </c>
      <c r="U18" s="727">
        <f ca="1">IF(A18=J5,VLOOKUP(A19-1,PriceTable,7,0)+IF(BasisNumber&lt;&gt;1,VLOOKUP(A19-1,BasisTable,3,0),0),VLOOKUP(A18,PriceTable,7,0)+IF(BasisNumber&lt;&gt;1,VLOOKUP(A18,BasisTable,3,0),0))</f>
        <v>19.499998092651367</v>
      </c>
      <c r="V18" s="728">
        <f ca="1">IF(A18=J5,VLOOKUP(A19-1,PriceTable,8,0)+IF(BasisNumber&lt;&gt;1,VLOOKUP(A19-1,BasisTable,3,0),0),VLOOKUP(A18,PriceTable,8,0)+IF(BasisNumber&lt;&gt;1,VLOOKUP(A18,BasisTable,3,0),0))</f>
        <v>19.749998092651367</v>
      </c>
      <c r="W18" s="230">
        <f t="shared" ref="W18:W81" ca="1" si="183">VLOOKUP($A18,BigTable,14,0)</f>
        <v>0.15175</v>
      </c>
      <c r="X18" s="231">
        <f t="shared" ref="X18:X81" ca="1" si="184">VLOOKUP($A18,BigTable,15,0)</f>
        <v>0.30349999999999999</v>
      </c>
      <c r="Y18" s="232">
        <f t="shared" ref="Y18:Y81" ca="1" si="185">VLOOKUP($A18,BigTable,16,0)</f>
        <v>0.45524999999999999</v>
      </c>
      <c r="Z18" s="231">
        <f t="shared" ca="1" si="9"/>
        <v>0.15175</v>
      </c>
      <c r="AA18" s="231">
        <f t="shared" ca="1" si="10"/>
        <v>0.30349999999999999</v>
      </c>
      <c r="AB18" s="232">
        <f t="shared" ca="1" si="11"/>
        <v>0.45524999999999999</v>
      </c>
      <c r="AC18" s="231">
        <f t="shared" ca="1" si="12"/>
        <v>0.15175</v>
      </c>
      <c r="AD18" s="231">
        <f t="shared" ca="1" si="13"/>
        <v>0.30349999999999999</v>
      </c>
      <c r="AE18" s="232">
        <f t="shared" ca="1" si="14"/>
        <v>0.45524999999999999</v>
      </c>
      <c r="AF18" s="231">
        <f t="shared" ref="AF18:AF81" ca="1" si="186">VLOOKUP($A18,BigTable,18,0)</f>
        <v>3.5000000000000003E-2</v>
      </c>
      <c r="AG18" s="231">
        <f t="shared" ref="AG18:AG81" ca="1" si="187">VLOOKUP($A18,BigTable,19,0)</f>
        <v>7.0000000000000007E-2</v>
      </c>
      <c r="AH18" s="232">
        <f t="shared" ref="AH18:AH81" ca="1" si="188">VLOOKUP($A18,BigTable,20,0)</f>
        <v>0.105</v>
      </c>
      <c r="AI18" s="233">
        <f t="shared" ca="1" si="15"/>
        <v>0.85000000000000009</v>
      </c>
      <c r="AJ18" s="233">
        <f t="shared" ca="1" si="16"/>
        <v>1.1000000000000001</v>
      </c>
      <c r="AK18" s="234">
        <f t="shared" ca="1" si="17"/>
        <v>1.4000000000000001</v>
      </c>
      <c r="AL18" s="919">
        <f t="shared" ca="1" si="18"/>
        <v>0.85000000000000009</v>
      </c>
      <c r="AM18" s="233">
        <f t="shared" ca="1" si="19"/>
        <v>1.1000000000000001</v>
      </c>
      <c r="AN18" s="234">
        <f t="shared" ca="1" si="20"/>
        <v>1.4000000000000001</v>
      </c>
      <c r="AO18" s="233">
        <f t="shared" ca="1" si="21"/>
        <v>0.85000000000000009</v>
      </c>
      <c r="AP18" s="233">
        <f t="shared" ca="1" si="22"/>
        <v>1.1000000000000001</v>
      </c>
      <c r="AQ18" s="233">
        <f t="shared" ca="1" si="23"/>
        <v>1.4000000000000001</v>
      </c>
      <c r="AR18" s="919">
        <f t="shared" ca="1" si="24"/>
        <v>0.35</v>
      </c>
      <c r="AS18" s="233">
        <f t="shared" ca="1" si="25"/>
        <v>0.5</v>
      </c>
      <c r="AT18" s="235">
        <f t="shared" ca="1" si="26"/>
        <v>0.7</v>
      </c>
      <c r="AU18" s="946">
        <f t="shared" si="27"/>
        <v>0.5</v>
      </c>
      <c r="AV18" s="13">
        <f t="shared" ca="1" si="28"/>
        <v>0</v>
      </c>
      <c r="AW18" s="210">
        <f t="shared" ca="1" si="29"/>
        <v>0</v>
      </c>
      <c r="AX18" s="210">
        <f t="shared" ca="1" si="30"/>
        <v>0</v>
      </c>
      <c r="AY18" s="210">
        <f t="shared" ca="1" si="31"/>
        <v>0</v>
      </c>
      <c r="AZ18" s="13">
        <f t="shared" ca="1" si="32"/>
        <v>0</v>
      </c>
      <c r="BA18" s="355">
        <f ca="1"/>
        <v>0</v>
      </c>
      <c r="BB18" s="363">
        <f ca="1"/>
        <v>0</v>
      </c>
      <c r="BC18" s="363">
        <f ca="1"/>
        <v>0</v>
      </c>
      <c r="BD18" s="927">
        <f ca="1"/>
        <v>0</v>
      </c>
      <c r="BE18" s="930">
        <f ca="1"/>
        <v>0</v>
      </c>
      <c r="BF18" s="931">
        <f ca="1"/>
        <v>0</v>
      </c>
      <c r="BG18" s="931">
        <f ca="1"/>
        <v>0</v>
      </c>
      <c r="BH18" s="932">
        <f ca="1"/>
        <v>0</v>
      </c>
      <c r="BI18" s="355">
        <f ca="1"/>
        <v>0</v>
      </c>
      <c r="BJ18" s="363">
        <f ca="1"/>
        <v>0</v>
      </c>
      <c r="BK18" s="363">
        <f ca="1"/>
        <v>0</v>
      </c>
      <c r="BL18" s="927">
        <f ca="1"/>
        <v>0</v>
      </c>
      <c r="BM18" s="930">
        <f ca="1"/>
        <v>0</v>
      </c>
      <c r="BN18" s="931">
        <f ca="1"/>
        <v>0</v>
      </c>
      <c r="BO18" s="931">
        <f ca="1"/>
        <v>0</v>
      </c>
      <c r="BP18" s="932">
        <f ca="1"/>
        <v>0</v>
      </c>
      <c r="BQ18" s="355">
        <f t="shared" ca="1" si="33"/>
        <v>0</v>
      </c>
      <c r="BR18" s="360">
        <f t="shared" ca="1" si="34"/>
        <v>0</v>
      </c>
      <c r="BS18" s="357">
        <f t="shared" ca="1" si="35"/>
        <v>0</v>
      </c>
      <c r="BT18" s="302">
        <f t="shared" ca="1" si="36"/>
        <v>0</v>
      </c>
      <c r="BU18" s="299">
        <f t="shared" ca="1" si="37"/>
        <v>0</v>
      </c>
      <c r="BV18" s="299">
        <f t="shared" ca="1" si="38"/>
        <v>0</v>
      </c>
      <c r="BW18" s="299">
        <f t="shared" ca="1" si="39"/>
        <v>0</v>
      </c>
      <c r="BX18" s="380">
        <f t="shared" ca="1" si="40"/>
        <v>0.16427104722792607</v>
      </c>
      <c r="BY18" s="363">
        <f t="shared" ca="1" si="41"/>
        <v>0</v>
      </c>
      <c r="BZ18" s="353">
        <f t="shared" ca="1" si="42"/>
        <v>0</v>
      </c>
      <c r="CA18" s="353">
        <f t="shared" ca="1" si="43"/>
        <v>0</v>
      </c>
      <c r="CB18" s="353">
        <f t="shared" ca="1" si="44"/>
        <v>0</v>
      </c>
      <c r="CC18" s="353">
        <f t="shared" ca="1" si="45"/>
        <v>0</v>
      </c>
      <c r="CD18" s="353">
        <f t="shared" ca="1" si="46"/>
        <v>0</v>
      </c>
      <c r="CE18" s="302">
        <f t="shared" ca="1" si="47"/>
        <v>0</v>
      </c>
      <c r="CF18" s="299">
        <f t="shared" ca="1" si="48"/>
        <v>0</v>
      </c>
      <c r="CG18" s="299">
        <f t="shared" ca="1" si="49"/>
        <v>0</v>
      </c>
      <c r="CH18" s="299">
        <f t="shared" ca="1" si="50"/>
        <v>0</v>
      </c>
      <c r="CI18" s="299">
        <f t="shared" ca="1" si="51"/>
        <v>0</v>
      </c>
      <c r="CJ18" s="299">
        <f t="shared" ca="1" si="52"/>
        <v>0</v>
      </c>
      <c r="CK18" s="299">
        <f t="shared" ca="1" si="53"/>
        <v>0</v>
      </c>
      <c r="CL18" s="377" t="str">
        <f t="shared" ca="1" si="54"/>
        <v/>
      </c>
      <c r="CM18" s="305" t="str">
        <f t="shared" ca="1" si="55"/>
        <v/>
      </c>
      <c r="CN18" s="305" t="str">
        <f t="shared" ca="1" si="56"/>
        <v/>
      </c>
      <c r="CO18" s="305" t="str">
        <f t="shared" ca="1" si="57"/>
        <v/>
      </c>
      <c r="CP18" s="305" t="str">
        <f t="shared" ca="1" si="58"/>
        <v/>
      </c>
      <c r="CQ18" s="305" t="str">
        <f t="shared" ca="1" si="59"/>
        <v/>
      </c>
      <c r="CR18" s="775" t="str">
        <f t="shared" ca="1" si="60"/>
        <v/>
      </c>
      <c r="CS18" s="305" t="str">
        <f t="shared" ca="1" si="61"/>
        <v/>
      </c>
      <c r="CT18" s="305" t="str">
        <f t="shared" ca="1" si="62"/>
        <v/>
      </c>
      <c r="CU18" s="305" t="str">
        <f t="shared" ca="1" si="63"/>
        <v/>
      </c>
      <c r="CV18" s="770" t="str">
        <f t="shared" ca="1" si="64"/>
        <v/>
      </c>
      <c r="CW18" s="302">
        <f t="shared" ca="1" si="65"/>
        <v>0</v>
      </c>
      <c r="CX18" s="299">
        <f t="shared" ca="1" si="66"/>
        <v>0</v>
      </c>
      <c r="CY18" s="299">
        <f t="shared" ca="1" si="67"/>
        <v>0</v>
      </c>
      <c r="CZ18" s="299">
        <f t="shared" ca="1" si="68"/>
        <v>0</v>
      </c>
      <c r="DA18" s="774">
        <f t="shared" ca="1" si="69"/>
        <v>0</v>
      </c>
      <c r="DB18" s="303">
        <f t="shared" ca="1" si="70"/>
        <v>0</v>
      </c>
      <c r="DC18" s="248">
        <f t="shared" ca="1" si="71"/>
        <v>0</v>
      </c>
      <c r="DD18" s="778">
        <f t="shared" ca="1" si="72"/>
        <v>0</v>
      </c>
      <c r="DE18" s="363">
        <f t="shared" ca="1" si="73"/>
        <v>0</v>
      </c>
      <c r="DF18" s="378" t="str">
        <f t="shared" ca="1" si="74"/>
        <v/>
      </c>
      <c r="DG18" s="508" t="str">
        <f t="shared" ca="1" si="75"/>
        <v/>
      </c>
      <c r="DH18" s="508" t="str">
        <f t="shared" ca="1" si="76"/>
        <v/>
      </c>
      <c r="DI18" s="508" t="str">
        <f t="shared" ca="1" si="77"/>
        <v/>
      </c>
      <c r="DJ18" s="508" t="str">
        <f t="shared" ca="1" si="78"/>
        <v/>
      </c>
      <c r="DK18" s="353">
        <f t="shared" ca="1" si="79"/>
        <v>0</v>
      </c>
      <c r="DL18" s="781">
        <f t="shared" ca="1" si="80"/>
        <v>0</v>
      </c>
      <c r="DM18" s="303">
        <f t="shared" ca="1" si="81"/>
        <v>0</v>
      </c>
      <c r="DN18" s="508" t="str">
        <f t="shared" ca="1" si="82"/>
        <v/>
      </c>
      <c r="DO18" s="508" t="str">
        <f t="shared" ca="1" si="83"/>
        <v/>
      </c>
      <c r="DP18" s="508" t="str">
        <f t="shared" ca="1" si="84"/>
        <v/>
      </c>
      <c r="DQ18" s="508" t="str">
        <f t="shared" ca="1" si="85"/>
        <v/>
      </c>
      <c r="DR18" s="508" t="str">
        <f t="shared" ca="1" si="86"/>
        <v/>
      </c>
      <c r="DS18" s="353">
        <f t="shared" ca="1" si="87"/>
        <v>0</v>
      </c>
      <c r="DT18" s="353">
        <f t="shared" ca="1" si="88"/>
        <v>0</v>
      </c>
      <c r="DU18" s="380">
        <f t="shared" ref="DU18:DU81" ca="1" si="189">(A18+IF(CVolType=2,0,14)-DateToday)/365.25</f>
        <v>0.16427104722792607</v>
      </c>
      <c r="DV18" s="303">
        <f t="shared" ca="1" si="89"/>
        <v>0</v>
      </c>
      <c r="DW18" s="303">
        <f t="shared" ca="1" si="90"/>
        <v>0</v>
      </c>
      <c r="DX18" s="303">
        <f t="shared" ca="1" si="91"/>
        <v>0</v>
      </c>
      <c r="DY18" s="303">
        <f t="shared" ca="1" si="92"/>
        <v>0</v>
      </c>
      <c r="DZ18" s="303">
        <f t="shared" ca="1" si="93"/>
        <v>0</v>
      </c>
      <c r="EA18" s="303">
        <f t="shared" ca="1" si="94"/>
        <v>0</v>
      </c>
      <c r="EB18" s="302">
        <f t="shared" ca="1" si="95"/>
        <v>0</v>
      </c>
      <c r="EC18" s="299">
        <f t="shared" ca="1" si="96"/>
        <v>0</v>
      </c>
      <c r="ED18" s="299">
        <f t="shared" ca="1" si="97"/>
        <v>0</v>
      </c>
      <c r="EE18" s="299">
        <f t="shared" ca="1" si="98"/>
        <v>0</v>
      </c>
      <c r="EF18" s="299">
        <f t="shared" ca="1" si="99"/>
        <v>0</v>
      </c>
      <c r="EG18" s="299">
        <f t="shared" ca="1" si="100"/>
        <v>0</v>
      </c>
      <c r="EH18" s="302">
        <f t="shared" ca="1" si="101"/>
        <v>0</v>
      </c>
      <c r="EI18" s="304" t="str">
        <f t="shared" ca="1" si="102"/>
        <v/>
      </c>
      <c r="EJ18" s="305" t="str">
        <f t="shared" ca="1" si="103"/>
        <v/>
      </c>
      <c r="EK18" s="305" t="str">
        <f t="shared" ca="1" si="104"/>
        <v/>
      </c>
      <c r="EL18" s="305" t="str">
        <f t="shared" ca="1" si="105"/>
        <v/>
      </c>
      <c r="EM18" s="305" t="str">
        <f t="shared" ca="1" si="106"/>
        <v/>
      </c>
      <c r="EN18" s="305" t="str">
        <f t="shared" ca="1" si="107"/>
        <v/>
      </c>
      <c r="EO18" s="305" t="str">
        <f t="shared" ca="1" si="108"/>
        <v/>
      </c>
      <c r="EP18" s="305" t="str">
        <f t="shared" ca="1" si="109"/>
        <v/>
      </c>
      <c r="EQ18" s="305" t="str">
        <f t="shared" ca="1" si="110"/>
        <v/>
      </c>
      <c r="ER18" s="305" t="str">
        <f t="shared" ca="1" si="111"/>
        <v/>
      </c>
      <c r="ES18" s="305" t="str">
        <f t="shared" ca="1" si="112"/>
        <v/>
      </c>
      <c r="ET18" s="299">
        <f t="shared" ca="1" si="113"/>
        <v>0</v>
      </c>
      <c r="EU18" s="302">
        <f t="shared" ca="1" si="114"/>
        <v>0</v>
      </c>
      <c r="EV18" s="304" t="str">
        <f t="shared" ca="1" si="115"/>
        <v/>
      </c>
      <c r="EW18" s="305" t="str">
        <f t="shared" ca="1" si="116"/>
        <v/>
      </c>
      <c r="EX18" s="305" t="str">
        <f t="shared" ca="1" si="117"/>
        <v/>
      </c>
      <c r="EY18" s="305" t="str">
        <f t="shared" ca="1" si="118"/>
        <v/>
      </c>
      <c r="EZ18" s="305" t="str">
        <f t="shared" ca="1" si="119"/>
        <v/>
      </c>
      <c r="FA18" s="305" t="str">
        <f t="shared" ca="1" si="120"/>
        <v/>
      </c>
      <c r="FB18" s="305" t="str">
        <f t="shared" ca="1" si="121"/>
        <v/>
      </c>
      <c r="FC18" s="305" t="str">
        <f t="shared" ca="1" si="122"/>
        <v/>
      </c>
      <c r="FD18" s="305" t="str">
        <f t="shared" ca="1" si="123"/>
        <v/>
      </c>
      <c r="FE18" s="305" t="str">
        <f t="shared" ca="1" si="124"/>
        <v/>
      </c>
      <c r="FF18" s="305" t="str">
        <f t="shared" ca="1" si="125"/>
        <v/>
      </c>
      <c r="FG18" s="299">
        <f t="shared" ca="1" si="126"/>
        <v>0</v>
      </c>
      <c r="FH18" s="302">
        <f t="shared" ca="1" si="127"/>
        <v>0</v>
      </c>
      <c r="FI18" s="248">
        <f t="shared" ca="1" si="128"/>
        <v>0</v>
      </c>
      <c r="FJ18" s="363">
        <f t="shared" ca="1" si="129"/>
        <v>0</v>
      </c>
      <c r="FK18" s="378" t="str">
        <f t="shared" ca="1" si="130"/>
        <v/>
      </c>
      <c r="FL18" s="508" t="str">
        <f t="shared" ca="1" si="131"/>
        <v/>
      </c>
      <c r="FM18" s="508" t="str">
        <f t="shared" ca="1" si="132"/>
        <v/>
      </c>
      <c r="FN18" s="508" t="str">
        <f t="shared" ca="1" si="133"/>
        <v/>
      </c>
      <c r="FO18" s="508" t="str">
        <f t="shared" ca="1" si="134"/>
        <v/>
      </c>
      <c r="FP18" s="353">
        <f t="shared" ca="1" si="135"/>
        <v>0</v>
      </c>
      <c r="FQ18" s="356">
        <f t="shared" ca="1" si="136"/>
        <v>0</v>
      </c>
      <c r="FR18" s="380">
        <f t="shared" ca="1" si="137"/>
        <v>0</v>
      </c>
      <c r="FS18" s="299">
        <f t="shared" ca="1" si="138"/>
        <v>0</v>
      </c>
      <c r="FT18" s="299">
        <f t="shared" ca="1" si="139"/>
        <v>0</v>
      </c>
      <c r="FU18" s="299">
        <f t="shared" ca="1" si="140"/>
        <v>0</v>
      </c>
      <c r="FV18" s="299">
        <f t="shared" ca="1" si="141"/>
        <v>0</v>
      </c>
      <c r="FW18" s="850" t="str">
        <f t="shared" ca="1" si="142"/>
        <v/>
      </c>
      <c r="FX18" s="851" t="str">
        <f t="shared" ca="1" si="143"/>
        <v/>
      </c>
      <c r="FY18" s="851" t="str">
        <f t="shared" ca="1" si="144"/>
        <v/>
      </c>
      <c r="FZ18" s="201" t="str">
        <f t="shared" ca="1" si="145"/>
        <v/>
      </c>
      <c r="GA18" s="201" t="str">
        <f t="shared" ca="1" si="146"/>
        <v/>
      </c>
      <c r="GB18" s="201" t="str">
        <f t="shared" ca="1" si="147"/>
        <v/>
      </c>
      <c r="GC18" s="201" t="str">
        <f t="shared" ca="1" si="148"/>
        <v/>
      </c>
      <c r="GD18" s="850" t="str">
        <f t="shared" ca="1" si="149"/>
        <v/>
      </c>
      <c r="GE18" s="866" t="str">
        <f t="shared" ca="1" si="150"/>
        <v/>
      </c>
      <c r="GF18" s="866" t="str">
        <f t="shared" ca="1" si="151"/>
        <v/>
      </c>
      <c r="GG18" s="866" t="str">
        <f t="shared" ca="1" si="152"/>
        <v/>
      </c>
      <c r="GH18" s="866" t="str">
        <f t="shared" ca="1" si="153"/>
        <v/>
      </c>
      <c r="GI18" s="302">
        <f t="shared" ca="1" si="154"/>
        <v>0</v>
      </c>
      <c r="GJ18" s="299">
        <f t="shared" ca="1" si="155"/>
        <v>0</v>
      </c>
      <c r="GK18" s="299">
        <f t="shared" ca="1" si="156"/>
        <v>0</v>
      </c>
      <c r="GL18" s="299">
        <f t="shared" ca="1" si="157"/>
        <v>0</v>
      </c>
      <c r="GM18" s="299">
        <f t="shared" ca="1" si="158"/>
        <v>0</v>
      </c>
      <c r="GN18" s="302">
        <f t="shared" ca="1" si="159"/>
        <v>0</v>
      </c>
      <c r="GO18" s="299">
        <f t="shared" ca="1" si="160"/>
        <v>0</v>
      </c>
      <c r="GP18" s="299">
        <f t="shared" ca="1" si="161"/>
        <v>0</v>
      </c>
      <c r="GQ18" s="299">
        <f t="shared" ca="1" si="162"/>
        <v>0</v>
      </c>
      <c r="GR18" s="299">
        <f t="shared" ca="1" si="163"/>
        <v>0</v>
      </c>
      <c r="GS18" s="302">
        <f t="shared" ca="1" si="164"/>
        <v>0</v>
      </c>
      <c r="GT18" s="299">
        <f t="shared" ca="1" si="165"/>
        <v>0</v>
      </c>
      <c r="GU18" s="299">
        <f t="shared" ca="1" si="166"/>
        <v>0</v>
      </c>
      <c r="GV18" s="299">
        <f t="shared" ca="1" si="167"/>
        <v>0</v>
      </c>
      <c r="GW18" s="299">
        <f t="shared" ca="1" si="168"/>
        <v>0</v>
      </c>
      <c r="GX18" s="303">
        <f t="shared" ca="1" si="169"/>
        <v>0</v>
      </c>
      <c r="GY18" s="303">
        <f t="shared" ca="1" si="170"/>
        <v>0</v>
      </c>
      <c r="GZ18" s="303">
        <f t="shared" ca="1" si="171"/>
        <v>0</v>
      </c>
      <c r="HA18" s="303">
        <f t="shared" ca="1" si="172"/>
        <v>0</v>
      </c>
      <c r="HB18" s="303">
        <f t="shared" ca="1" si="173"/>
        <v>0</v>
      </c>
      <c r="HC18" s="303">
        <f t="shared" ca="1" si="174"/>
        <v>0</v>
      </c>
      <c r="HD18" s="303">
        <f t="shared" ca="1" si="175"/>
        <v>0</v>
      </c>
      <c r="HE18" s="303">
        <f t="shared" ca="1" si="176"/>
        <v>0</v>
      </c>
      <c r="HF18" s="303">
        <f t="shared" ca="1" si="177"/>
        <v>0</v>
      </c>
      <c r="HG18" s="852">
        <f t="shared" ca="1" si="178"/>
        <v>0</v>
      </c>
      <c r="HH18" s="13"/>
      <c r="IG18" s="13"/>
      <c r="IH18" s="13"/>
      <c r="II18" s="13"/>
      <c r="IJ18" s="13"/>
      <c r="IK18" s="13"/>
      <c r="IL18" s="13"/>
      <c r="IM18" s="13"/>
      <c r="IN18" s="13"/>
      <c r="IO18" s="13"/>
      <c r="IP18" s="13"/>
      <c r="IQ18" s="13"/>
      <c r="IR18" s="13"/>
      <c r="IS18" s="13"/>
      <c r="IT18" s="13"/>
      <c r="IU18" s="13"/>
      <c r="IV18" s="13"/>
    </row>
    <row r="19" spans="1:256" x14ac:dyDescent="0.25">
      <c r="A19" s="244">
        <f t="shared" ca="1" si="179"/>
        <v>36678</v>
      </c>
      <c r="B19" s="13">
        <f t="shared" ca="1" si="3"/>
        <v>2000</v>
      </c>
      <c r="C19" s="619">
        <f t="shared" ca="1" si="180"/>
        <v>6</v>
      </c>
      <c r="D19" s="195" t="str">
        <f t="shared" ca="1" si="4"/>
        <v/>
      </c>
      <c r="E19" s="469" t="str">
        <f t="shared" ca="1" si="5"/>
        <v/>
      </c>
      <c r="F19" s="465" t="str">
        <f t="shared" ca="1" si="6"/>
        <v/>
      </c>
      <c r="G19" s="521">
        <f t="shared" ca="1" si="181"/>
        <v>1</v>
      </c>
      <c r="H19" s="518">
        <f t="shared" ca="1" si="182"/>
        <v>1</v>
      </c>
      <c r="I19" s="724">
        <f t="shared" ca="1" si="7"/>
        <v>6.2298357278762005E-2</v>
      </c>
      <c r="J19" s="198">
        <f t="shared" ca="1" si="8"/>
        <v>0.9767597649199512</v>
      </c>
      <c r="K19" s="200">
        <f t="shared" ref="K19:K82" ca="1" si="190">VLOOKUP(A19,PriceTable,2,0)+IF(BasisNumber&lt;&gt;1,VLOOKUP(A19,BasisTable,2,0),0)</f>
        <v>72.5</v>
      </c>
      <c r="L19" s="201">
        <f t="shared" ref="L19:L82" ca="1" si="191">VLOOKUP(A19,PriceTable,3,0)+IF(BasisNumber&lt;&gt;1,VLOOKUP(A19,BasisTable,2,0),0)</f>
        <v>74</v>
      </c>
      <c r="M19" s="206">
        <f t="shared" ref="M19:M82" ca="1" si="192">VLOOKUP(A19,PriceTable,4,0)+IF(BasisNumber&lt;&gt;1,VLOOKUP(A19,BasisTable,2,0),0)</f>
        <v>75.5</v>
      </c>
      <c r="N19" s="851">
        <f ca="1">VLOOKUP(A19,BigTable,2,0)+IF(BasisNumber&lt;&gt;1,VLOOKUP(A19,BasisTable,2,0),0)</f>
        <v>26.625</v>
      </c>
      <c r="O19" s="201">
        <f ca="1">VLOOKUP(A19,BigTable,3,0)+IF(BasisNumber&lt;&gt;1,VLOOKUP(A19,BasisTable,2,0),0)</f>
        <v>27.75</v>
      </c>
      <c r="P19" s="206">
        <f ca="1">VLOOKUP(A19,BigTable,4,0)+IF(BasisNumber&lt;&gt;1,VLOOKUP(A19,BasisTable,2,0),0)</f>
        <v>28.875</v>
      </c>
      <c r="Q19" s="201">
        <f ca="1">VLOOKUP(A19,BigTable,6,0)+IF(BasisNumber&lt;&gt;1,VLOOKUP(A19,BasisTable,3,0),0)</f>
        <v>20.25</v>
      </c>
      <c r="R19" s="201">
        <f ca="1">VLOOKUP(A19,BigTable,7,0)+IF(BasisNumber&lt;&gt;1,VLOOKUP(A19,BasisTable,3,0),0)</f>
        <v>22.75</v>
      </c>
      <c r="S19" s="201">
        <f ca="1">VLOOKUP(A19,BigTable,8,0)+IF(BasisNumber&lt;&gt;1,VLOOKUP(A19,BasisTable,3,0),0)</f>
        <v>25.25</v>
      </c>
      <c r="T19" s="851">
        <f t="shared" ref="T19:T82" ca="1" si="193">VLOOKUP(A19,PriceTable,6,0)+IF(BasisNumber&lt;&gt;1,VLOOKUP(A19,BasisTable,3,0),0)</f>
        <v>18.754999160766602</v>
      </c>
      <c r="U19" s="201">
        <f t="shared" ref="U19:U82" ca="1" si="194">VLOOKUP(A19,PriceTable,7,0)+IF(BasisNumber&lt;&gt;1,VLOOKUP(A19,BasisTable,3,0),0)</f>
        <v>19.504999160766602</v>
      </c>
      <c r="V19" s="206">
        <f t="shared" ref="V19:V82" ca="1" si="195">VLOOKUP(A19,PriceTable,8,0)+IF(BasisNumber&lt;&gt;1,VLOOKUP(A19,BasisTable,3,0),0)</f>
        <v>20.254999160766602</v>
      </c>
      <c r="W19" s="230">
        <f t="shared" ca="1" si="183"/>
        <v>0.19012499999999999</v>
      </c>
      <c r="X19" s="231">
        <f t="shared" ca="1" si="184"/>
        <v>0.38024999999999998</v>
      </c>
      <c r="Y19" s="232">
        <f t="shared" ca="1" si="185"/>
        <v>0.57037499999999997</v>
      </c>
      <c r="Z19" s="231">
        <f t="shared" ca="1" si="9"/>
        <v>0.19012499999999999</v>
      </c>
      <c r="AA19" s="231">
        <f t="shared" ca="1" si="10"/>
        <v>0.38024999999999998</v>
      </c>
      <c r="AB19" s="232">
        <f t="shared" ca="1" si="11"/>
        <v>0.57037499999999997</v>
      </c>
      <c r="AC19" s="231">
        <f t="shared" ca="1" si="12"/>
        <v>0.19012499999999999</v>
      </c>
      <c r="AD19" s="231">
        <f t="shared" ca="1" si="13"/>
        <v>0.38024999999999998</v>
      </c>
      <c r="AE19" s="232">
        <f t="shared" ca="1" si="14"/>
        <v>0.57037499999999997</v>
      </c>
      <c r="AF19" s="231">
        <f t="shared" ca="1" si="186"/>
        <v>4.4999999999999998E-2</v>
      </c>
      <c r="AG19" s="231">
        <f t="shared" ca="1" si="187"/>
        <v>0.09</v>
      </c>
      <c r="AH19" s="232">
        <f t="shared" ca="1" si="188"/>
        <v>0.13500000000000001</v>
      </c>
      <c r="AI19" s="233">
        <f t="shared" ca="1" si="15"/>
        <v>2.75</v>
      </c>
      <c r="AJ19" s="233">
        <f t="shared" ca="1" si="16"/>
        <v>3.75</v>
      </c>
      <c r="AK19" s="234">
        <f t="shared" ca="1" si="17"/>
        <v>4.75</v>
      </c>
      <c r="AL19" s="919">
        <f t="shared" ca="1" si="18"/>
        <v>2.75</v>
      </c>
      <c r="AM19" s="233">
        <f t="shared" ca="1" si="19"/>
        <v>3.75</v>
      </c>
      <c r="AN19" s="234">
        <f t="shared" ca="1" si="20"/>
        <v>4.75</v>
      </c>
      <c r="AO19" s="233">
        <f t="shared" ca="1" si="21"/>
        <v>2.75</v>
      </c>
      <c r="AP19" s="233">
        <f t="shared" ca="1" si="22"/>
        <v>3.75</v>
      </c>
      <c r="AQ19" s="233">
        <f t="shared" ca="1" si="23"/>
        <v>4.75</v>
      </c>
      <c r="AR19" s="919">
        <f t="shared" ca="1" si="24"/>
        <v>0.5</v>
      </c>
      <c r="AS19" s="233">
        <f t="shared" ca="1" si="25"/>
        <v>0.65</v>
      </c>
      <c r="AT19" s="235">
        <f t="shared" ca="1" si="26"/>
        <v>0.85000000000000009</v>
      </c>
      <c r="AU19" s="946">
        <f t="shared" si="27"/>
        <v>0.5</v>
      </c>
      <c r="AV19" s="13">
        <f t="shared" ca="1" si="28"/>
        <v>0</v>
      </c>
      <c r="AW19" s="210">
        <f t="shared" ca="1" si="29"/>
        <v>0</v>
      </c>
      <c r="AX19" s="210">
        <f t="shared" ca="1" si="30"/>
        <v>0</v>
      </c>
      <c r="AY19" s="210">
        <f t="shared" ca="1" si="31"/>
        <v>0</v>
      </c>
      <c r="AZ19" s="13">
        <f t="shared" ca="1" si="32"/>
        <v>0</v>
      </c>
      <c r="BA19" s="355">
        <f ca="1"/>
        <v>0</v>
      </c>
      <c r="BB19" s="363">
        <f ca="1"/>
        <v>0</v>
      </c>
      <c r="BC19" s="363">
        <f ca="1"/>
        <v>0</v>
      </c>
      <c r="BD19" s="927">
        <f ca="1"/>
        <v>0</v>
      </c>
      <c r="BE19" s="930">
        <f ca="1"/>
        <v>0</v>
      </c>
      <c r="BF19" s="931">
        <f ca="1"/>
        <v>0</v>
      </c>
      <c r="BG19" s="931">
        <f ca="1"/>
        <v>0</v>
      </c>
      <c r="BH19" s="932">
        <f ca="1"/>
        <v>0</v>
      </c>
      <c r="BI19" s="355">
        <f ca="1"/>
        <v>0</v>
      </c>
      <c r="BJ19" s="363">
        <f ca="1"/>
        <v>0</v>
      </c>
      <c r="BK19" s="363">
        <f ca="1"/>
        <v>0</v>
      </c>
      <c r="BL19" s="927">
        <f ca="1"/>
        <v>0</v>
      </c>
      <c r="BM19" s="930">
        <f ca="1"/>
        <v>0</v>
      </c>
      <c r="BN19" s="931">
        <f ca="1"/>
        <v>0</v>
      </c>
      <c r="BO19" s="931">
        <f ca="1"/>
        <v>0</v>
      </c>
      <c r="BP19" s="932">
        <f ca="1"/>
        <v>0</v>
      </c>
      <c r="BQ19" s="355">
        <f t="shared" ca="1" si="33"/>
        <v>0</v>
      </c>
      <c r="BR19" s="360">
        <f t="shared" ca="1" si="34"/>
        <v>0</v>
      </c>
      <c r="BS19" s="357">
        <f t="shared" ca="1" si="35"/>
        <v>0</v>
      </c>
      <c r="BT19" s="302">
        <f t="shared" ca="1" si="36"/>
        <v>0</v>
      </c>
      <c r="BU19" s="299">
        <f t="shared" ca="1" si="37"/>
        <v>0</v>
      </c>
      <c r="BV19" s="299">
        <f t="shared" ca="1" si="38"/>
        <v>0</v>
      </c>
      <c r="BW19" s="299">
        <f t="shared" ca="1" si="39"/>
        <v>0</v>
      </c>
      <c r="BX19" s="380">
        <f t="shared" ca="1" si="40"/>
        <v>0.24914442162902123</v>
      </c>
      <c r="BY19" s="363">
        <f t="shared" ca="1" si="41"/>
        <v>0</v>
      </c>
      <c r="BZ19" s="353">
        <f t="shared" ca="1" si="42"/>
        <v>0</v>
      </c>
      <c r="CA19" s="353">
        <f t="shared" ca="1" si="43"/>
        <v>0</v>
      </c>
      <c r="CB19" s="353">
        <f t="shared" ca="1" si="44"/>
        <v>0</v>
      </c>
      <c r="CC19" s="353">
        <f t="shared" ca="1" si="45"/>
        <v>0</v>
      </c>
      <c r="CD19" s="353">
        <f t="shared" ca="1" si="46"/>
        <v>0</v>
      </c>
      <c r="CE19" s="302">
        <f t="shared" ca="1" si="47"/>
        <v>0</v>
      </c>
      <c r="CF19" s="299">
        <f t="shared" ca="1" si="48"/>
        <v>0</v>
      </c>
      <c r="CG19" s="299">
        <f t="shared" ca="1" si="49"/>
        <v>0</v>
      </c>
      <c r="CH19" s="299">
        <f t="shared" ca="1" si="50"/>
        <v>0</v>
      </c>
      <c r="CI19" s="299">
        <f t="shared" ca="1" si="51"/>
        <v>0</v>
      </c>
      <c r="CJ19" s="299">
        <f t="shared" ca="1" si="52"/>
        <v>0</v>
      </c>
      <c r="CK19" s="299">
        <f t="shared" ca="1" si="53"/>
        <v>0</v>
      </c>
      <c r="CL19" s="377" t="str">
        <f t="shared" ca="1" si="54"/>
        <v/>
      </c>
      <c r="CM19" s="305" t="str">
        <f t="shared" ca="1" si="55"/>
        <v/>
      </c>
      <c r="CN19" s="305" t="str">
        <f t="shared" ca="1" si="56"/>
        <v/>
      </c>
      <c r="CO19" s="305" t="str">
        <f t="shared" ca="1" si="57"/>
        <v/>
      </c>
      <c r="CP19" s="305" t="str">
        <f t="shared" ca="1" si="58"/>
        <v/>
      </c>
      <c r="CQ19" s="305" t="str">
        <f t="shared" ca="1" si="59"/>
        <v/>
      </c>
      <c r="CR19" s="775" t="str">
        <f t="shared" ca="1" si="60"/>
        <v/>
      </c>
      <c r="CS19" s="305" t="str">
        <f t="shared" ca="1" si="61"/>
        <v/>
      </c>
      <c r="CT19" s="305" t="str">
        <f t="shared" ca="1" si="62"/>
        <v/>
      </c>
      <c r="CU19" s="305" t="str">
        <f t="shared" ca="1" si="63"/>
        <v/>
      </c>
      <c r="CV19" s="770" t="str">
        <f t="shared" ca="1" si="64"/>
        <v/>
      </c>
      <c r="CW19" s="302">
        <f t="shared" ca="1" si="65"/>
        <v>0</v>
      </c>
      <c r="CX19" s="299">
        <f t="shared" ca="1" si="66"/>
        <v>0</v>
      </c>
      <c r="CY19" s="299">
        <f t="shared" ca="1" si="67"/>
        <v>0</v>
      </c>
      <c r="CZ19" s="299">
        <f t="shared" ca="1" si="68"/>
        <v>0</v>
      </c>
      <c r="DA19" s="774">
        <f t="shared" ca="1" si="69"/>
        <v>0</v>
      </c>
      <c r="DB19" s="303">
        <f t="shared" ca="1" si="70"/>
        <v>0</v>
      </c>
      <c r="DC19" s="248">
        <f t="shared" ca="1" si="71"/>
        <v>0</v>
      </c>
      <c r="DD19" s="778">
        <f t="shared" ca="1" si="72"/>
        <v>0</v>
      </c>
      <c r="DE19" s="363">
        <f t="shared" ca="1" si="73"/>
        <v>0</v>
      </c>
      <c r="DF19" s="378" t="str">
        <f t="shared" ca="1" si="74"/>
        <v/>
      </c>
      <c r="DG19" s="508" t="str">
        <f t="shared" ca="1" si="75"/>
        <v/>
      </c>
      <c r="DH19" s="508" t="str">
        <f t="shared" ca="1" si="76"/>
        <v/>
      </c>
      <c r="DI19" s="508" t="str">
        <f t="shared" ca="1" si="77"/>
        <v/>
      </c>
      <c r="DJ19" s="508" t="str">
        <f t="shared" ca="1" si="78"/>
        <v/>
      </c>
      <c r="DK19" s="353">
        <f t="shared" ca="1" si="79"/>
        <v>0</v>
      </c>
      <c r="DL19" s="781">
        <f t="shared" ca="1" si="80"/>
        <v>0</v>
      </c>
      <c r="DM19" s="303">
        <f t="shared" ca="1" si="81"/>
        <v>0</v>
      </c>
      <c r="DN19" s="508" t="str">
        <f t="shared" ca="1" si="82"/>
        <v/>
      </c>
      <c r="DO19" s="508" t="str">
        <f t="shared" ca="1" si="83"/>
        <v/>
      </c>
      <c r="DP19" s="508" t="str">
        <f t="shared" ca="1" si="84"/>
        <v/>
      </c>
      <c r="DQ19" s="508" t="str">
        <f t="shared" ca="1" si="85"/>
        <v/>
      </c>
      <c r="DR19" s="508" t="str">
        <f t="shared" ca="1" si="86"/>
        <v/>
      </c>
      <c r="DS19" s="353">
        <f t="shared" ca="1" si="87"/>
        <v>0</v>
      </c>
      <c r="DT19" s="353">
        <f t="shared" ca="1" si="88"/>
        <v>0</v>
      </c>
      <c r="DU19" s="380">
        <f t="shared" ca="1" si="189"/>
        <v>0.24914442162902123</v>
      </c>
      <c r="DV19" s="303">
        <f t="shared" ca="1" si="89"/>
        <v>0</v>
      </c>
      <c r="DW19" s="303">
        <f t="shared" ca="1" si="90"/>
        <v>0</v>
      </c>
      <c r="DX19" s="303">
        <f t="shared" ca="1" si="91"/>
        <v>0</v>
      </c>
      <c r="DY19" s="303">
        <f t="shared" ca="1" si="92"/>
        <v>0</v>
      </c>
      <c r="DZ19" s="303">
        <f t="shared" ca="1" si="93"/>
        <v>0</v>
      </c>
      <c r="EA19" s="303">
        <f t="shared" ca="1" si="94"/>
        <v>0</v>
      </c>
      <c r="EB19" s="302">
        <f t="shared" ca="1" si="95"/>
        <v>0</v>
      </c>
      <c r="EC19" s="299">
        <f t="shared" ca="1" si="96"/>
        <v>0</v>
      </c>
      <c r="ED19" s="299">
        <f t="shared" ca="1" si="97"/>
        <v>0</v>
      </c>
      <c r="EE19" s="299">
        <f t="shared" ca="1" si="98"/>
        <v>0</v>
      </c>
      <c r="EF19" s="299">
        <f t="shared" ca="1" si="99"/>
        <v>0</v>
      </c>
      <c r="EG19" s="299">
        <f t="shared" ca="1" si="100"/>
        <v>0</v>
      </c>
      <c r="EH19" s="302">
        <f t="shared" ca="1" si="101"/>
        <v>0</v>
      </c>
      <c r="EI19" s="304" t="str">
        <f t="shared" ca="1" si="102"/>
        <v/>
      </c>
      <c r="EJ19" s="305" t="str">
        <f t="shared" ca="1" si="103"/>
        <v/>
      </c>
      <c r="EK19" s="305" t="str">
        <f t="shared" ca="1" si="104"/>
        <v/>
      </c>
      <c r="EL19" s="305" t="str">
        <f t="shared" ca="1" si="105"/>
        <v/>
      </c>
      <c r="EM19" s="305" t="str">
        <f t="shared" ca="1" si="106"/>
        <v/>
      </c>
      <c r="EN19" s="305" t="str">
        <f t="shared" ca="1" si="107"/>
        <v/>
      </c>
      <c r="EO19" s="305" t="str">
        <f t="shared" ca="1" si="108"/>
        <v/>
      </c>
      <c r="EP19" s="305" t="str">
        <f t="shared" ca="1" si="109"/>
        <v/>
      </c>
      <c r="EQ19" s="305" t="str">
        <f t="shared" ca="1" si="110"/>
        <v/>
      </c>
      <c r="ER19" s="305" t="str">
        <f t="shared" ca="1" si="111"/>
        <v/>
      </c>
      <c r="ES19" s="305" t="str">
        <f t="shared" ca="1" si="112"/>
        <v/>
      </c>
      <c r="ET19" s="299">
        <f t="shared" ca="1" si="113"/>
        <v>0</v>
      </c>
      <c r="EU19" s="302">
        <f t="shared" ca="1" si="114"/>
        <v>0</v>
      </c>
      <c r="EV19" s="304" t="str">
        <f t="shared" ca="1" si="115"/>
        <v/>
      </c>
      <c r="EW19" s="305" t="str">
        <f t="shared" ca="1" si="116"/>
        <v/>
      </c>
      <c r="EX19" s="305" t="str">
        <f t="shared" ca="1" si="117"/>
        <v/>
      </c>
      <c r="EY19" s="305" t="str">
        <f t="shared" ca="1" si="118"/>
        <v/>
      </c>
      <c r="EZ19" s="305" t="str">
        <f t="shared" ca="1" si="119"/>
        <v/>
      </c>
      <c r="FA19" s="305" t="str">
        <f t="shared" ca="1" si="120"/>
        <v/>
      </c>
      <c r="FB19" s="305" t="str">
        <f t="shared" ca="1" si="121"/>
        <v/>
      </c>
      <c r="FC19" s="305" t="str">
        <f t="shared" ca="1" si="122"/>
        <v/>
      </c>
      <c r="FD19" s="305" t="str">
        <f t="shared" ca="1" si="123"/>
        <v/>
      </c>
      <c r="FE19" s="305" t="str">
        <f t="shared" ca="1" si="124"/>
        <v/>
      </c>
      <c r="FF19" s="305" t="str">
        <f t="shared" ca="1" si="125"/>
        <v/>
      </c>
      <c r="FG19" s="299">
        <f t="shared" ca="1" si="126"/>
        <v>0</v>
      </c>
      <c r="FH19" s="302">
        <f t="shared" ca="1" si="127"/>
        <v>0</v>
      </c>
      <c r="FI19" s="248">
        <f t="shared" ca="1" si="128"/>
        <v>0</v>
      </c>
      <c r="FJ19" s="363">
        <f t="shared" ca="1" si="129"/>
        <v>0</v>
      </c>
      <c r="FK19" s="378" t="str">
        <f t="shared" ca="1" si="130"/>
        <v/>
      </c>
      <c r="FL19" s="508" t="str">
        <f t="shared" ca="1" si="131"/>
        <v/>
      </c>
      <c r="FM19" s="508" t="str">
        <f t="shared" ca="1" si="132"/>
        <v/>
      </c>
      <c r="FN19" s="508" t="str">
        <f t="shared" ca="1" si="133"/>
        <v/>
      </c>
      <c r="FO19" s="508" t="str">
        <f t="shared" ca="1" si="134"/>
        <v/>
      </c>
      <c r="FP19" s="353">
        <f t="shared" ca="1" si="135"/>
        <v>0</v>
      </c>
      <c r="FQ19" s="356">
        <f t="shared" ca="1" si="136"/>
        <v>0</v>
      </c>
      <c r="FR19" s="380">
        <f t="shared" ca="1" si="137"/>
        <v>0</v>
      </c>
      <c r="FS19" s="299">
        <f t="shared" ca="1" si="138"/>
        <v>0</v>
      </c>
      <c r="FT19" s="299">
        <f t="shared" ca="1" si="139"/>
        <v>0</v>
      </c>
      <c r="FU19" s="299">
        <f t="shared" ca="1" si="140"/>
        <v>0</v>
      </c>
      <c r="FV19" s="299">
        <f t="shared" ca="1" si="141"/>
        <v>0</v>
      </c>
      <c r="FW19" s="850" t="str">
        <f t="shared" ca="1" si="142"/>
        <v/>
      </c>
      <c r="FX19" s="851" t="str">
        <f t="shared" ca="1" si="143"/>
        <v/>
      </c>
      <c r="FY19" s="851" t="str">
        <f t="shared" ca="1" si="144"/>
        <v/>
      </c>
      <c r="FZ19" s="201" t="str">
        <f t="shared" ca="1" si="145"/>
        <v/>
      </c>
      <c r="GA19" s="201" t="str">
        <f t="shared" ca="1" si="146"/>
        <v/>
      </c>
      <c r="GB19" s="201" t="str">
        <f t="shared" ca="1" si="147"/>
        <v/>
      </c>
      <c r="GC19" s="201" t="str">
        <f t="shared" ca="1" si="148"/>
        <v/>
      </c>
      <c r="GD19" s="850" t="str">
        <f t="shared" ca="1" si="149"/>
        <v/>
      </c>
      <c r="GE19" s="866" t="str">
        <f t="shared" ca="1" si="150"/>
        <v/>
      </c>
      <c r="GF19" s="866" t="str">
        <f t="shared" ca="1" si="151"/>
        <v/>
      </c>
      <c r="GG19" s="866" t="str">
        <f t="shared" ca="1" si="152"/>
        <v/>
      </c>
      <c r="GH19" s="866" t="str">
        <f t="shared" ca="1" si="153"/>
        <v/>
      </c>
      <c r="GI19" s="302">
        <f t="shared" ca="1" si="154"/>
        <v>0</v>
      </c>
      <c r="GJ19" s="299">
        <f t="shared" ca="1" si="155"/>
        <v>0</v>
      </c>
      <c r="GK19" s="299">
        <f t="shared" ca="1" si="156"/>
        <v>0</v>
      </c>
      <c r="GL19" s="299">
        <f t="shared" ca="1" si="157"/>
        <v>0</v>
      </c>
      <c r="GM19" s="299">
        <f t="shared" ca="1" si="158"/>
        <v>0</v>
      </c>
      <c r="GN19" s="302">
        <f t="shared" ca="1" si="159"/>
        <v>0</v>
      </c>
      <c r="GO19" s="299">
        <f t="shared" ca="1" si="160"/>
        <v>0</v>
      </c>
      <c r="GP19" s="299">
        <f t="shared" ca="1" si="161"/>
        <v>0</v>
      </c>
      <c r="GQ19" s="299">
        <f t="shared" ca="1" si="162"/>
        <v>0</v>
      </c>
      <c r="GR19" s="299">
        <f t="shared" ca="1" si="163"/>
        <v>0</v>
      </c>
      <c r="GS19" s="302">
        <f t="shared" ca="1" si="164"/>
        <v>0</v>
      </c>
      <c r="GT19" s="299">
        <f t="shared" ca="1" si="165"/>
        <v>0</v>
      </c>
      <c r="GU19" s="299">
        <f t="shared" ca="1" si="166"/>
        <v>0</v>
      </c>
      <c r="GV19" s="299">
        <f t="shared" ca="1" si="167"/>
        <v>0</v>
      </c>
      <c r="GW19" s="299">
        <f t="shared" ca="1" si="168"/>
        <v>0</v>
      </c>
      <c r="GX19" s="303">
        <f t="shared" ca="1" si="169"/>
        <v>0</v>
      </c>
      <c r="GY19" s="303">
        <f t="shared" ca="1" si="170"/>
        <v>0</v>
      </c>
      <c r="GZ19" s="303">
        <f t="shared" ca="1" si="171"/>
        <v>0</v>
      </c>
      <c r="HA19" s="303">
        <f t="shared" ca="1" si="172"/>
        <v>0</v>
      </c>
      <c r="HB19" s="303">
        <f t="shared" ca="1" si="173"/>
        <v>0</v>
      </c>
      <c r="HC19" s="303">
        <f t="shared" ca="1" si="174"/>
        <v>0</v>
      </c>
      <c r="HD19" s="303">
        <f t="shared" ca="1" si="175"/>
        <v>0</v>
      </c>
      <c r="HE19" s="303">
        <f t="shared" ca="1" si="176"/>
        <v>0</v>
      </c>
      <c r="HF19" s="303">
        <f t="shared" ca="1" si="177"/>
        <v>0</v>
      </c>
      <c r="HG19" s="852">
        <f t="shared" ca="1" si="178"/>
        <v>0</v>
      </c>
      <c r="HH19" s="13"/>
      <c r="IG19" s="13"/>
      <c r="IH19" s="13"/>
      <c r="II19" s="13"/>
      <c r="IJ19" s="13"/>
      <c r="IK19" s="13"/>
      <c r="IL19" s="13"/>
      <c r="IM19" s="13"/>
      <c r="IN19" s="13"/>
      <c r="IO19" s="13"/>
      <c r="IP19" s="13"/>
      <c r="IQ19" s="13"/>
      <c r="IR19" s="13"/>
      <c r="IS19" s="13"/>
      <c r="IT19" s="13"/>
      <c r="IU19" s="13"/>
      <c r="IV19" s="13"/>
    </row>
    <row r="20" spans="1:256" x14ac:dyDescent="0.25">
      <c r="A20" s="244">
        <f t="shared" ca="1" si="179"/>
        <v>36708</v>
      </c>
      <c r="B20" s="13">
        <f t="shared" ca="1" si="3"/>
        <v>2000</v>
      </c>
      <c r="C20" s="619">
        <f t="shared" ca="1" si="180"/>
        <v>7</v>
      </c>
      <c r="D20" s="195">
        <f t="shared" ca="1" si="4"/>
        <v>36711</v>
      </c>
      <c r="E20" s="469" t="str">
        <f t="shared" ca="1" si="5"/>
        <v/>
      </c>
      <c r="F20" s="465" t="str">
        <f t="shared" ca="1" si="6"/>
        <v/>
      </c>
      <c r="G20" s="521">
        <f t="shared" ca="1" si="181"/>
        <v>1</v>
      </c>
      <c r="H20" s="518">
        <f t="shared" ca="1" si="182"/>
        <v>1</v>
      </c>
      <c r="I20" s="724">
        <f t="shared" ca="1" si="7"/>
        <v>6.3186804789157003E-2</v>
      </c>
      <c r="J20" s="198">
        <f t="shared" ca="1" si="8"/>
        <v>0.97129539926941733</v>
      </c>
      <c r="K20" s="200">
        <f t="shared" ca="1" si="190"/>
        <v>107.5</v>
      </c>
      <c r="L20" s="201">
        <f t="shared" ca="1" si="191"/>
        <v>110</v>
      </c>
      <c r="M20" s="206">
        <f t="shared" ca="1" si="192"/>
        <v>112.5</v>
      </c>
      <c r="N20" s="851">
        <f t="shared" ref="N20:N83" ca="1" si="196">VLOOKUP(A20,BigTable,2,0)+IF(BasisNumber&lt;&gt;1,VLOOKUP(A20,BasisTable,2,0),0)</f>
        <v>30.872501373291016</v>
      </c>
      <c r="O20" s="201">
        <f t="shared" ref="O20:O83" ca="1" si="197">VLOOKUP(A20,BigTable,3,0)+IF(BasisNumber&lt;&gt;1,VLOOKUP(A20,BasisTable,2,0),0)</f>
        <v>32.747501373291016</v>
      </c>
      <c r="P20" s="206">
        <f t="shared" ref="P20:P83" ca="1" si="198">VLOOKUP(A20,BigTable,4,0)+IF(BasisNumber&lt;&gt;1,VLOOKUP(A20,BasisTable,2,0),0)</f>
        <v>34.622501373291016</v>
      </c>
      <c r="Q20" s="201">
        <f t="shared" ref="Q20:Q83" ca="1" si="199">VLOOKUP(A20,BigTable,6,0)+IF(BasisNumber&lt;&gt;1,VLOOKUP(A20,BasisTable,3,0),0)</f>
        <v>24.252498626708984</v>
      </c>
      <c r="R20" s="201">
        <f t="shared" ref="R20:R83" ca="1" si="200">VLOOKUP(A20,BigTable,7,0)+IF(BasisNumber&lt;&gt;1,VLOOKUP(A20,BasisTable,3,0),0)</f>
        <v>26.752498626708984</v>
      </c>
      <c r="S20" s="201">
        <f t="shared" ref="S20:S83" ca="1" si="201">VLOOKUP(A20,BigTable,8,0)+IF(BasisNumber&lt;&gt;1,VLOOKUP(A20,BasisTable,3,0),0)</f>
        <v>29.252498626708984</v>
      </c>
      <c r="T20" s="851">
        <f t="shared" ca="1" si="193"/>
        <v>23.749998092651367</v>
      </c>
      <c r="U20" s="201">
        <f t="shared" ca="1" si="194"/>
        <v>24.999998092651367</v>
      </c>
      <c r="V20" s="206">
        <f t="shared" ca="1" si="195"/>
        <v>26.249998092651367</v>
      </c>
      <c r="W20" s="230">
        <f t="shared" ca="1" si="183"/>
        <v>0.22512499999999999</v>
      </c>
      <c r="X20" s="231">
        <f t="shared" ca="1" si="184"/>
        <v>0.45024999999999998</v>
      </c>
      <c r="Y20" s="232">
        <f t="shared" ca="1" si="185"/>
        <v>0.67537499999999995</v>
      </c>
      <c r="Z20" s="231">
        <f t="shared" ca="1" si="9"/>
        <v>0.22512499999999999</v>
      </c>
      <c r="AA20" s="231">
        <f t="shared" ca="1" si="10"/>
        <v>0.45024999999999998</v>
      </c>
      <c r="AB20" s="232">
        <f t="shared" ca="1" si="11"/>
        <v>0.67537499999999995</v>
      </c>
      <c r="AC20" s="231">
        <f t="shared" ca="1" si="12"/>
        <v>0.22512499999999999</v>
      </c>
      <c r="AD20" s="231">
        <f t="shared" ca="1" si="13"/>
        <v>0.45024999999999998</v>
      </c>
      <c r="AE20" s="232">
        <f t="shared" ca="1" si="14"/>
        <v>0.67537499999999995</v>
      </c>
      <c r="AF20" s="231">
        <f t="shared" ca="1" si="186"/>
        <v>0.06</v>
      </c>
      <c r="AG20" s="231">
        <f t="shared" ca="1" si="187"/>
        <v>0.12</v>
      </c>
      <c r="AH20" s="232">
        <f t="shared" ca="1" si="188"/>
        <v>0.18</v>
      </c>
      <c r="AI20" s="233">
        <f t="shared" ca="1" si="15"/>
        <v>2.75</v>
      </c>
      <c r="AJ20" s="233">
        <f t="shared" ca="1" si="16"/>
        <v>4.25</v>
      </c>
      <c r="AK20" s="234">
        <f t="shared" ca="1" si="17"/>
        <v>5.75</v>
      </c>
      <c r="AL20" s="919">
        <f t="shared" ca="1" si="18"/>
        <v>2.75</v>
      </c>
      <c r="AM20" s="233">
        <f t="shared" ca="1" si="19"/>
        <v>4.25</v>
      </c>
      <c r="AN20" s="234">
        <f t="shared" ca="1" si="20"/>
        <v>5.75</v>
      </c>
      <c r="AO20" s="233">
        <f t="shared" ca="1" si="21"/>
        <v>2.75</v>
      </c>
      <c r="AP20" s="233">
        <f t="shared" ca="1" si="22"/>
        <v>4.25</v>
      </c>
      <c r="AQ20" s="233">
        <f t="shared" ca="1" si="23"/>
        <v>5.75</v>
      </c>
      <c r="AR20" s="919">
        <f t="shared" ca="1" si="24"/>
        <v>0.6</v>
      </c>
      <c r="AS20" s="233">
        <f t="shared" ca="1" si="25"/>
        <v>0.75</v>
      </c>
      <c r="AT20" s="235">
        <f t="shared" ca="1" si="26"/>
        <v>0.95</v>
      </c>
      <c r="AU20" s="946">
        <f t="shared" si="27"/>
        <v>0.5</v>
      </c>
      <c r="AV20" s="13">
        <f t="shared" ca="1" si="28"/>
        <v>0</v>
      </c>
      <c r="AW20" s="210">
        <f t="shared" ca="1" si="29"/>
        <v>0</v>
      </c>
      <c r="AX20" s="210">
        <f t="shared" ca="1" si="30"/>
        <v>0</v>
      </c>
      <c r="AY20" s="210">
        <f t="shared" ca="1" si="31"/>
        <v>0</v>
      </c>
      <c r="AZ20" s="13">
        <f t="shared" ca="1" si="32"/>
        <v>0</v>
      </c>
      <c r="BA20" s="355">
        <f ca="1"/>
        <v>0</v>
      </c>
      <c r="BB20" s="363">
        <f ca="1"/>
        <v>0</v>
      </c>
      <c r="BC20" s="363">
        <f ca="1"/>
        <v>0</v>
      </c>
      <c r="BD20" s="927">
        <f ca="1"/>
        <v>0</v>
      </c>
      <c r="BE20" s="930">
        <f ca="1"/>
        <v>0</v>
      </c>
      <c r="BF20" s="931">
        <f ca="1"/>
        <v>0</v>
      </c>
      <c r="BG20" s="931">
        <f ca="1"/>
        <v>0</v>
      </c>
      <c r="BH20" s="932">
        <f ca="1"/>
        <v>0</v>
      </c>
      <c r="BI20" s="355">
        <f ca="1"/>
        <v>0</v>
      </c>
      <c r="BJ20" s="363">
        <f ca="1"/>
        <v>0</v>
      </c>
      <c r="BK20" s="363">
        <f ca="1"/>
        <v>0</v>
      </c>
      <c r="BL20" s="927">
        <f ca="1"/>
        <v>0</v>
      </c>
      <c r="BM20" s="930">
        <f ca="1"/>
        <v>0</v>
      </c>
      <c r="BN20" s="931">
        <f ca="1"/>
        <v>0</v>
      </c>
      <c r="BO20" s="931">
        <f ca="1"/>
        <v>0</v>
      </c>
      <c r="BP20" s="932">
        <f ca="1"/>
        <v>0</v>
      </c>
      <c r="BQ20" s="355">
        <f t="shared" ca="1" si="33"/>
        <v>0</v>
      </c>
      <c r="BR20" s="360">
        <f t="shared" ca="1" si="34"/>
        <v>0</v>
      </c>
      <c r="BS20" s="357">
        <f t="shared" ca="1" si="35"/>
        <v>0</v>
      </c>
      <c r="BT20" s="302">
        <f t="shared" ca="1" si="36"/>
        <v>0</v>
      </c>
      <c r="BU20" s="299">
        <f t="shared" ca="1" si="37"/>
        <v>0</v>
      </c>
      <c r="BV20" s="299">
        <f t="shared" ca="1" si="38"/>
        <v>0</v>
      </c>
      <c r="BW20" s="299">
        <f t="shared" ca="1" si="39"/>
        <v>0</v>
      </c>
      <c r="BX20" s="380">
        <f t="shared" ca="1" si="40"/>
        <v>0.33127994524298426</v>
      </c>
      <c r="BY20" s="363">
        <f t="shared" ca="1" si="41"/>
        <v>0</v>
      </c>
      <c r="BZ20" s="353">
        <f t="shared" ca="1" si="42"/>
        <v>0</v>
      </c>
      <c r="CA20" s="353">
        <f t="shared" ca="1" si="43"/>
        <v>0</v>
      </c>
      <c r="CB20" s="353">
        <f t="shared" ca="1" si="44"/>
        <v>0</v>
      </c>
      <c r="CC20" s="353">
        <f t="shared" ca="1" si="45"/>
        <v>0</v>
      </c>
      <c r="CD20" s="353">
        <f t="shared" ca="1" si="46"/>
        <v>0</v>
      </c>
      <c r="CE20" s="302">
        <f t="shared" ca="1" si="47"/>
        <v>0</v>
      </c>
      <c r="CF20" s="299">
        <f t="shared" ca="1" si="48"/>
        <v>0</v>
      </c>
      <c r="CG20" s="299">
        <f t="shared" ca="1" si="49"/>
        <v>0</v>
      </c>
      <c r="CH20" s="299">
        <f t="shared" ca="1" si="50"/>
        <v>0</v>
      </c>
      <c r="CI20" s="299">
        <f t="shared" ca="1" si="51"/>
        <v>0</v>
      </c>
      <c r="CJ20" s="299">
        <f t="shared" ca="1" si="52"/>
        <v>0</v>
      </c>
      <c r="CK20" s="299">
        <f t="shared" ca="1" si="53"/>
        <v>0</v>
      </c>
      <c r="CL20" s="377" t="str">
        <f t="shared" ca="1" si="54"/>
        <v/>
      </c>
      <c r="CM20" s="305" t="str">
        <f t="shared" ca="1" si="55"/>
        <v/>
      </c>
      <c r="CN20" s="305" t="str">
        <f t="shared" ca="1" si="56"/>
        <v/>
      </c>
      <c r="CO20" s="305" t="str">
        <f t="shared" ca="1" si="57"/>
        <v/>
      </c>
      <c r="CP20" s="305" t="str">
        <f t="shared" ca="1" si="58"/>
        <v/>
      </c>
      <c r="CQ20" s="305" t="str">
        <f t="shared" ca="1" si="59"/>
        <v/>
      </c>
      <c r="CR20" s="775" t="str">
        <f t="shared" ca="1" si="60"/>
        <v/>
      </c>
      <c r="CS20" s="305" t="str">
        <f t="shared" ca="1" si="61"/>
        <v/>
      </c>
      <c r="CT20" s="305" t="str">
        <f t="shared" ca="1" si="62"/>
        <v/>
      </c>
      <c r="CU20" s="305" t="str">
        <f t="shared" ca="1" si="63"/>
        <v/>
      </c>
      <c r="CV20" s="770" t="str">
        <f t="shared" ca="1" si="64"/>
        <v/>
      </c>
      <c r="CW20" s="302">
        <f t="shared" ca="1" si="65"/>
        <v>0</v>
      </c>
      <c r="CX20" s="299">
        <f t="shared" ca="1" si="66"/>
        <v>0</v>
      </c>
      <c r="CY20" s="299">
        <f t="shared" ca="1" si="67"/>
        <v>0</v>
      </c>
      <c r="CZ20" s="299">
        <f t="shared" ca="1" si="68"/>
        <v>0</v>
      </c>
      <c r="DA20" s="774">
        <f t="shared" ca="1" si="69"/>
        <v>0</v>
      </c>
      <c r="DB20" s="303">
        <f t="shared" ca="1" si="70"/>
        <v>0</v>
      </c>
      <c r="DC20" s="248">
        <f t="shared" ca="1" si="71"/>
        <v>0</v>
      </c>
      <c r="DD20" s="778">
        <f t="shared" ca="1" si="72"/>
        <v>0</v>
      </c>
      <c r="DE20" s="363">
        <f t="shared" ca="1" si="73"/>
        <v>0</v>
      </c>
      <c r="DF20" s="378" t="str">
        <f t="shared" ca="1" si="74"/>
        <v/>
      </c>
      <c r="DG20" s="508" t="str">
        <f t="shared" ca="1" si="75"/>
        <v/>
      </c>
      <c r="DH20" s="508" t="str">
        <f t="shared" ca="1" si="76"/>
        <v/>
      </c>
      <c r="DI20" s="508" t="str">
        <f t="shared" ca="1" si="77"/>
        <v/>
      </c>
      <c r="DJ20" s="508" t="str">
        <f t="shared" ca="1" si="78"/>
        <v/>
      </c>
      <c r="DK20" s="353">
        <f t="shared" ca="1" si="79"/>
        <v>0</v>
      </c>
      <c r="DL20" s="781">
        <f t="shared" ca="1" si="80"/>
        <v>0</v>
      </c>
      <c r="DM20" s="303">
        <f t="shared" ca="1" si="81"/>
        <v>0</v>
      </c>
      <c r="DN20" s="508" t="str">
        <f t="shared" ca="1" si="82"/>
        <v/>
      </c>
      <c r="DO20" s="508" t="str">
        <f t="shared" ca="1" si="83"/>
        <v/>
      </c>
      <c r="DP20" s="508" t="str">
        <f t="shared" ca="1" si="84"/>
        <v/>
      </c>
      <c r="DQ20" s="508" t="str">
        <f t="shared" ca="1" si="85"/>
        <v/>
      </c>
      <c r="DR20" s="508" t="str">
        <f t="shared" ca="1" si="86"/>
        <v/>
      </c>
      <c r="DS20" s="353">
        <f t="shared" ca="1" si="87"/>
        <v>0</v>
      </c>
      <c r="DT20" s="353">
        <f t="shared" ca="1" si="88"/>
        <v>0</v>
      </c>
      <c r="DU20" s="380">
        <f t="shared" ca="1" si="189"/>
        <v>0.33127994524298426</v>
      </c>
      <c r="DV20" s="303">
        <f t="shared" ca="1" si="89"/>
        <v>0</v>
      </c>
      <c r="DW20" s="303">
        <f t="shared" ca="1" si="90"/>
        <v>0</v>
      </c>
      <c r="DX20" s="303">
        <f t="shared" ca="1" si="91"/>
        <v>0</v>
      </c>
      <c r="DY20" s="303">
        <f t="shared" ca="1" si="92"/>
        <v>0</v>
      </c>
      <c r="DZ20" s="303">
        <f t="shared" ca="1" si="93"/>
        <v>0</v>
      </c>
      <c r="EA20" s="303">
        <f t="shared" ca="1" si="94"/>
        <v>0</v>
      </c>
      <c r="EB20" s="302">
        <f t="shared" ca="1" si="95"/>
        <v>0</v>
      </c>
      <c r="EC20" s="299">
        <f t="shared" ca="1" si="96"/>
        <v>0</v>
      </c>
      <c r="ED20" s="299">
        <f t="shared" ca="1" si="97"/>
        <v>0</v>
      </c>
      <c r="EE20" s="299">
        <f t="shared" ca="1" si="98"/>
        <v>0</v>
      </c>
      <c r="EF20" s="299">
        <f t="shared" ca="1" si="99"/>
        <v>0</v>
      </c>
      <c r="EG20" s="299">
        <f t="shared" ca="1" si="100"/>
        <v>0</v>
      </c>
      <c r="EH20" s="302">
        <f t="shared" ca="1" si="101"/>
        <v>0</v>
      </c>
      <c r="EI20" s="304" t="str">
        <f t="shared" ca="1" si="102"/>
        <v/>
      </c>
      <c r="EJ20" s="305" t="str">
        <f t="shared" ca="1" si="103"/>
        <v/>
      </c>
      <c r="EK20" s="305" t="str">
        <f t="shared" ca="1" si="104"/>
        <v/>
      </c>
      <c r="EL20" s="305" t="str">
        <f t="shared" ca="1" si="105"/>
        <v/>
      </c>
      <c r="EM20" s="305" t="str">
        <f t="shared" ca="1" si="106"/>
        <v/>
      </c>
      <c r="EN20" s="305" t="str">
        <f t="shared" ca="1" si="107"/>
        <v/>
      </c>
      <c r="EO20" s="305" t="str">
        <f t="shared" ca="1" si="108"/>
        <v/>
      </c>
      <c r="EP20" s="305" t="str">
        <f t="shared" ca="1" si="109"/>
        <v/>
      </c>
      <c r="EQ20" s="305" t="str">
        <f t="shared" ca="1" si="110"/>
        <v/>
      </c>
      <c r="ER20" s="305" t="str">
        <f t="shared" ca="1" si="111"/>
        <v/>
      </c>
      <c r="ES20" s="305" t="str">
        <f t="shared" ca="1" si="112"/>
        <v/>
      </c>
      <c r="ET20" s="299">
        <f t="shared" ca="1" si="113"/>
        <v>0</v>
      </c>
      <c r="EU20" s="302">
        <f t="shared" ca="1" si="114"/>
        <v>0</v>
      </c>
      <c r="EV20" s="304" t="str">
        <f t="shared" ca="1" si="115"/>
        <v/>
      </c>
      <c r="EW20" s="305" t="str">
        <f t="shared" ca="1" si="116"/>
        <v/>
      </c>
      <c r="EX20" s="305" t="str">
        <f t="shared" ca="1" si="117"/>
        <v/>
      </c>
      <c r="EY20" s="305" t="str">
        <f t="shared" ca="1" si="118"/>
        <v/>
      </c>
      <c r="EZ20" s="305" t="str">
        <f t="shared" ca="1" si="119"/>
        <v/>
      </c>
      <c r="FA20" s="305" t="str">
        <f t="shared" ca="1" si="120"/>
        <v/>
      </c>
      <c r="FB20" s="305" t="str">
        <f t="shared" ca="1" si="121"/>
        <v/>
      </c>
      <c r="FC20" s="305" t="str">
        <f t="shared" ca="1" si="122"/>
        <v/>
      </c>
      <c r="FD20" s="305" t="str">
        <f t="shared" ca="1" si="123"/>
        <v/>
      </c>
      <c r="FE20" s="305" t="str">
        <f t="shared" ca="1" si="124"/>
        <v/>
      </c>
      <c r="FF20" s="305" t="str">
        <f t="shared" ca="1" si="125"/>
        <v/>
      </c>
      <c r="FG20" s="299">
        <f t="shared" ca="1" si="126"/>
        <v>0</v>
      </c>
      <c r="FH20" s="302">
        <f t="shared" ca="1" si="127"/>
        <v>0</v>
      </c>
      <c r="FI20" s="248">
        <f t="shared" ca="1" si="128"/>
        <v>0</v>
      </c>
      <c r="FJ20" s="363">
        <f t="shared" ca="1" si="129"/>
        <v>0</v>
      </c>
      <c r="FK20" s="378" t="str">
        <f t="shared" ca="1" si="130"/>
        <v/>
      </c>
      <c r="FL20" s="508" t="str">
        <f t="shared" ca="1" si="131"/>
        <v/>
      </c>
      <c r="FM20" s="508" t="str">
        <f t="shared" ca="1" si="132"/>
        <v/>
      </c>
      <c r="FN20" s="508" t="str">
        <f t="shared" ca="1" si="133"/>
        <v/>
      </c>
      <c r="FO20" s="508" t="str">
        <f t="shared" ca="1" si="134"/>
        <v/>
      </c>
      <c r="FP20" s="353">
        <f t="shared" ca="1" si="135"/>
        <v>0</v>
      </c>
      <c r="FQ20" s="356">
        <f t="shared" ca="1" si="136"/>
        <v>0</v>
      </c>
      <c r="FR20" s="380">
        <f t="shared" ca="1" si="137"/>
        <v>0</v>
      </c>
      <c r="FS20" s="299">
        <f t="shared" ca="1" si="138"/>
        <v>0</v>
      </c>
      <c r="FT20" s="299">
        <f t="shared" ca="1" si="139"/>
        <v>0</v>
      </c>
      <c r="FU20" s="299">
        <f t="shared" ca="1" si="140"/>
        <v>0</v>
      </c>
      <c r="FV20" s="299">
        <f t="shared" ca="1" si="141"/>
        <v>0</v>
      </c>
      <c r="FW20" s="850" t="str">
        <f t="shared" ca="1" si="142"/>
        <v/>
      </c>
      <c r="FX20" s="851" t="str">
        <f t="shared" ca="1" si="143"/>
        <v/>
      </c>
      <c r="FY20" s="851" t="str">
        <f t="shared" ca="1" si="144"/>
        <v/>
      </c>
      <c r="FZ20" s="201" t="str">
        <f t="shared" ca="1" si="145"/>
        <v/>
      </c>
      <c r="GA20" s="201" t="str">
        <f t="shared" ca="1" si="146"/>
        <v/>
      </c>
      <c r="GB20" s="201" t="str">
        <f t="shared" ca="1" si="147"/>
        <v/>
      </c>
      <c r="GC20" s="201" t="str">
        <f t="shared" ca="1" si="148"/>
        <v/>
      </c>
      <c r="GD20" s="850" t="str">
        <f t="shared" ca="1" si="149"/>
        <v/>
      </c>
      <c r="GE20" s="866" t="str">
        <f t="shared" ca="1" si="150"/>
        <v/>
      </c>
      <c r="GF20" s="866" t="str">
        <f t="shared" ca="1" si="151"/>
        <v/>
      </c>
      <c r="GG20" s="866" t="str">
        <f t="shared" ca="1" si="152"/>
        <v/>
      </c>
      <c r="GH20" s="866" t="str">
        <f t="shared" ca="1" si="153"/>
        <v/>
      </c>
      <c r="GI20" s="302">
        <f t="shared" ca="1" si="154"/>
        <v>0</v>
      </c>
      <c r="GJ20" s="299">
        <f t="shared" ca="1" si="155"/>
        <v>0</v>
      </c>
      <c r="GK20" s="299">
        <f t="shared" ca="1" si="156"/>
        <v>0</v>
      </c>
      <c r="GL20" s="299">
        <f t="shared" ca="1" si="157"/>
        <v>0</v>
      </c>
      <c r="GM20" s="299">
        <f t="shared" ca="1" si="158"/>
        <v>0</v>
      </c>
      <c r="GN20" s="302">
        <f t="shared" ca="1" si="159"/>
        <v>0</v>
      </c>
      <c r="GO20" s="299">
        <f t="shared" ca="1" si="160"/>
        <v>0</v>
      </c>
      <c r="GP20" s="299">
        <f t="shared" ca="1" si="161"/>
        <v>0</v>
      </c>
      <c r="GQ20" s="299">
        <f t="shared" ca="1" si="162"/>
        <v>0</v>
      </c>
      <c r="GR20" s="299">
        <f t="shared" ca="1" si="163"/>
        <v>0</v>
      </c>
      <c r="GS20" s="302">
        <f t="shared" ca="1" si="164"/>
        <v>0</v>
      </c>
      <c r="GT20" s="299">
        <f t="shared" ca="1" si="165"/>
        <v>0</v>
      </c>
      <c r="GU20" s="299">
        <f t="shared" ca="1" si="166"/>
        <v>0</v>
      </c>
      <c r="GV20" s="299">
        <f t="shared" ca="1" si="167"/>
        <v>0</v>
      </c>
      <c r="GW20" s="299">
        <f t="shared" ca="1" si="168"/>
        <v>0</v>
      </c>
      <c r="GX20" s="303">
        <f t="shared" ca="1" si="169"/>
        <v>0</v>
      </c>
      <c r="GY20" s="303">
        <f t="shared" ca="1" si="170"/>
        <v>0</v>
      </c>
      <c r="GZ20" s="303">
        <f t="shared" ca="1" si="171"/>
        <v>0</v>
      </c>
      <c r="HA20" s="303">
        <f t="shared" ca="1" si="172"/>
        <v>0</v>
      </c>
      <c r="HB20" s="303">
        <f t="shared" ca="1" si="173"/>
        <v>0</v>
      </c>
      <c r="HC20" s="303">
        <f t="shared" ca="1" si="174"/>
        <v>0</v>
      </c>
      <c r="HD20" s="303">
        <f t="shared" ca="1" si="175"/>
        <v>0</v>
      </c>
      <c r="HE20" s="303">
        <f t="shared" ca="1" si="176"/>
        <v>0</v>
      </c>
      <c r="HF20" s="303">
        <f t="shared" ca="1" si="177"/>
        <v>0</v>
      </c>
      <c r="HG20" s="852">
        <f t="shared" ca="1" si="178"/>
        <v>0</v>
      </c>
      <c r="HH20" s="13"/>
      <c r="IG20" s="13"/>
      <c r="IH20" s="13"/>
      <c r="II20" s="13"/>
      <c r="IJ20" s="13"/>
      <c r="IK20" s="13"/>
      <c r="IL20" s="13"/>
      <c r="IM20" s="13"/>
      <c r="IN20" s="13"/>
      <c r="IO20" s="13"/>
      <c r="IP20" s="13"/>
      <c r="IQ20" s="13"/>
      <c r="IR20" s="13"/>
      <c r="IS20" s="13"/>
      <c r="IT20" s="13"/>
      <c r="IU20" s="13"/>
      <c r="IV20" s="13"/>
    </row>
    <row r="21" spans="1:256" x14ac:dyDescent="0.25">
      <c r="A21" s="244">
        <f t="shared" ca="1" si="179"/>
        <v>36739</v>
      </c>
      <c r="B21" s="13">
        <f t="shared" ca="1" si="3"/>
        <v>2000</v>
      </c>
      <c r="C21" s="619">
        <f t="shared" ca="1" si="180"/>
        <v>8</v>
      </c>
      <c r="D21" s="195" t="str">
        <f t="shared" ca="1" si="4"/>
        <v/>
      </c>
      <c r="E21" s="469" t="str">
        <f t="shared" ca="1" si="5"/>
        <v/>
      </c>
      <c r="F21" s="465" t="str">
        <f t="shared" ca="1" si="6"/>
        <v/>
      </c>
      <c r="G21" s="521">
        <f t="shared" ca="1" si="181"/>
        <v>1</v>
      </c>
      <c r="H21" s="518">
        <f t="shared" ca="1" si="182"/>
        <v>1</v>
      </c>
      <c r="I21" s="724">
        <f t="shared" ca="1" si="7"/>
        <v>6.3800434036869011E-2</v>
      </c>
      <c r="J21" s="198">
        <f t="shared" ca="1" si="8"/>
        <v>0.96586282036162763</v>
      </c>
      <c r="K21" s="200">
        <f t="shared" ca="1" si="190"/>
        <v>95</v>
      </c>
      <c r="L21" s="201">
        <f t="shared" ca="1" si="191"/>
        <v>97.5</v>
      </c>
      <c r="M21" s="206">
        <f t="shared" ca="1" si="192"/>
        <v>100</v>
      </c>
      <c r="N21" s="851">
        <f t="shared" ca="1" si="196"/>
        <v>30.872501373291016</v>
      </c>
      <c r="O21" s="201">
        <f t="shared" ca="1" si="197"/>
        <v>32.747501373291016</v>
      </c>
      <c r="P21" s="206">
        <f t="shared" ca="1" si="198"/>
        <v>34.622501373291016</v>
      </c>
      <c r="Q21" s="201">
        <f t="shared" ca="1" si="199"/>
        <v>24.25</v>
      </c>
      <c r="R21" s="201">
        <f t="shared" ca="1" si="200"/>
        <v>26.75</v>
      </c>
      <c r="S21" s="201">
        <f t="shared" ca="1" si="201"/>
        <v>29.25</v>
      </c>
      <c r="T21" s="851">
        <f t="shared" ca="1" si="193"/>
        <v>23.749998092651367</v>
      </c>
      <c r="U21" s="201">
        <f t="shared" ca="1" si="194"/>
        <v>24.999998092651367</v>
      </c>
      <c r="V21" s="206">
        <f t="shared" ca="1" si="195"/>
        <v>26.249998092651367</v>
      </c>
      <c r="W21" s="230">
        <f t="shared" ca="1" si="183"/>
        <v>0.22175</v>
      </c>
      <c r="X21" s="231">
        <f t="shared" ca="1" si="184"/>
        <v>0.44350000000000001</v>
      </c>
      <c r="Y21" s="232">
        <f t="shared" ca="1" si="185"/>
        <v>0.66525000000000001</v>
      </c>
      <c r="Z21" s="231">
        <f t="shared" ca="1" si="9"/>
        <v>0.22175</v>
      </c>
      <c r="AA21" s="231">
        <f t="shared" ca="1" si="10"/>
        <v>0.44350000000000001</v>
      </c>
      <c r="AB21" s="232">
        <f t="shared" ca="1" si="11"/>
        <v>0.66525000000000001</v>
      </c>
      <c r="AC21" s="231">
        <f t="shared" ca="1" si="12"/>
        <v>0.22175</v>
      </c>
      <c r="AD21" s="231">
        <f t="shared" ca="1" si="13"/>
        <v>0.44350000000000001</v>
      </c>
      <c r="AE21" s="232">
        <f t="shared" ca="1" si="14"/>
        <v>0.66525000000000001</v>
      </c>
      <c r="AF21" s="231">
        <f t="shared" ca="1" si="186"/>
        <v>0.06</v>
      </c>
      <c r="AG21" s="231">
        <f t="shared" ca="1" si="187"/>
        <v>0.12</v>
      </c>
      <c r="AH21" s="232">
        <f t="shared" ca="1" si="188"/>
        <v>0.18</v>
      </c>
      <c r="AI21" s="233">
        <f t="shared" ca="1" si="15"/>
        <v>2.75</v>
      </c>
      <c r="AJ21" s="233">
        <f t="shared" ca="1" si="16"/>
        <v>4.25</v>
      </c>
      <c r="AK21" s="234">
        <f t="shared" ca="1" si="17"/>
        <v>5.75</v>
      </c>
      <c r="AL21" s="919">
        <f t="shared" ca="1" si="18"/>
        <v>2.75</v>
      </c>
      <c r="AM21" s="233">
        <f t="shared" ca="1" si="19"/>
        <v>4.25</v>
      </c>
      <c r="AN21" s="234">
        <f t="shared" ca="1" si="20"/>
        <v>5.75</v>
      </c>
      <c r="AO21" s="233">
        <f t="shared" ca="1" si="21"/>
        <v>2.75</v>
      </c>
      <c r="AP21" s="233">
        <f t="shared" ca="1" si="22"/>
        <v>4.25</v>
      </c>
      <c r="AQ21" s="233">
        <f t="shared" ca="1" si="23"/>
        <v>5.75</v>
      </c>
      <c r="AR21" s="919">
        <f t="shared" ca="1" si="24"/>
        <v>0.6</v>
      </c>
      <c r="AS21" s="233">
        <f t="shared" ca="1" si="25"/>
        <v>0.75</v>
      </c>
      <c r="AT21" s="235">
        <f t="shared" ca="1" si="26"/>
        <v>0.95</v>
      </c>
      <c r="AU21" s="946">
        <f t="shared" si="27"/>
        <v>0.5</v>
      </c>
      <c r="AV21" s="13">
        <f t="shared" ca="1" si="28"/>
        <v>0</v>
      </c>
      <c r="AW21" s="210">
        <f t="shared" ca="1" si="29"/>
        <v>0</v>
      </c>
      <c r="AX21" s="210">
        <f t="shared" ca="1" si="30"/>
        <v>0</v>
      </c>
      <c r="AY21" s="210">
        <f t="shared" ca="1" si="31"/>
        <v>0</v>
      </c>
      <c r="AZ21" s="13">
        <f t="shared" ca="1" si="32"/>
        <v>0</v>
      </c>
      <c r="BA21" s="355">
        <f ca="1"/>
        <v>0</v>
      </c>
      <c r="BB21" s="363">
        <f ca="1"/>
        <v>0</v>
      </c>
      <c r="BC21" s="363">
        <f ca="1"/>
        <v>0</v>
      </c>
      <c r="BD21" s="927">
        <f ca="1"/>
        <v>0</v>
      </c>
      <c r="BE21" s="930">
        <f ca="1"/>
        <v>0</v>
      </c>
      <c r="BF21" s="931">
        <f ca="1"/>
        <v>0</v>
      </c>
      <c r="BG21" s="931">
        <f ca="1"/>
        <v>0</v>
      </c>
      <c r="BH21" s="932">
        <f ca="1"/>
        <v>0</v>
      </c>
      <c r="BI21" s="355">
        <f ca="1"/>
        <v>0</v>
      </c>
      <c r="BJ21" s="363">
        <f ca="1"/>
        <v>0</v>
      </c>
      <c r="BK21" s="363">
        <f ca="1"/>
        <v>0</v>
      </c>
      <c r="BL21" s="927">
        <f ca="1"/>
        <v>0</v>
      </c>
      <c r="BM21" s="930">
        <f ca="1"/>
        <v>0</v>
      </c>
      <c r="BN21" s="931">
        <f ca="1"/>
        <v>0</v>
      </c>
      <c r="BO21" s="931">
        <f ca="1"/>
        <v>0</v>
      </c>
      <c r="BP21" s="932">
        <f ca="1"/>
        <v>0</v>
      </c>
      <c r="BQ21" s="355">
        <f t="shared" ca="1" si="33"/>
        <v>0</v>
      </c>
      <c r="BR21" s="360">
        <f t="shared" ca="1" si="34"/>
        <v>0</v>
      </c>
      <c r="BS21" s="357">
        <f t="shared" ca="1" si="35"/>
        <v>0</v>
      </c>
      <c r="BT21" s="302">
        <f t="shared" ca="1" si="36"/>
        <v>0</v>
      </c>
      <c r="BU21" s="299">
        <f t="shared" ca="1" si="37"/>
        <v>0</v>
      </c>
      <c r="BV21" s="299">
        <f t="shared" ca="1" si="38"/>
        <v>0</v>
      </c>
      <c r="BW21" s="299">
        <f t="shared" ca="1" si="39"/>
        <v>0</v>
      </c>
      <c r="BX21" s="380">
        <f t="shared" ca="1" si="40"/>
        <v>0.41615331964407942</v>
      </c>
      <c r="BY21" s="363">
        <f t="shared" ca="1" si="41"/>
        <v>0</v>
      </c>
      <c r="BZ21" s="353">
        <f t="shared" ca="1" si="42"/>
        <v>0</v>
      </c>
      <c r="CA21" s="353">
        <f t="shared" ca="1" si="43"/>
        <v>0</v>
      </c>
      <c r="CB21" s="353">
        <f t="shared" ca="1" si="44"/>
        <v>0</v>
      </c>
      <c r="CC21" s="353">
        <f t="shared" ca="1" si="45"/>
        <v>0</v>
      </c>
      <c r="CD21" s="353">
        <f t="shared" ca="1" si="46"/>
        <v>0</v>
      </c>
      <c r="CE21" s="302">
        <f t="shared" ca="1" si="47"/>
        <v>0</v>
      </c>
      <c r="CF21" s="299">
        <f t="shared" ca="1" si="48"/>
        <v>0</v>
      </c>
      <c r="CG21" s="299">
        <f t="shared" ca="1" si="49"/>
        <v>0</v>
      </c>
      <c r="CH21" s="299">
        <f t="shared" ca="1" si="50"/>
        <v>0</v>
      </c>
      <c r="CI21" s="299">
        <f t="shared" ca="1" si="51"/>
        <v>0</v>
      </c>
      <c r="CJ21" s="299">
        <f t="shared" ca="1" si="52"/>
        <v>0</v>
      </c>
      <c r="CK21" s="299">
        <f t="shared" ca="1" si="53"/>
        <v>0</v>
      </c>
      <c r="CL21" s="377" t="str">
        <f t="shared" ca="1" si="54"/>
        <v/>
      </c>
      <c r="CM21" s="305" t="str">
        <f t="shared" ca="1" si="55"/>
        <v/>
      </c>
      <c r="CN21" s="305" t="str">
        <f t="shared" ca="1" si="56"/>
        <v/>
      </c>
      <c r="CO21" s="305" t="str">
        <f t="shared" ca="1" si="57"/>
        <v/>
      </c>
      <c r="CP21" s="305" t="str">
        <f t="shared" ca="1" si="58"/>
        <v/>
      </c>
      <c r="CQ21" s="305" t="str">
        <f t="shared" ca="1" si="59"/>
        <v/>
      </c>
      <c r="CR21" s="775" t="str">
        <f t="shared" ca="1" si="60"/>
        <v/>
      </c>
      <c r="CS21" s="305" t="str">
        <f t="shared" ca="1" si="61"/>
        <v/>
      </c>
      <c r="CT21" s="305" t="str">
        <f t="shared" ca="1" si="62"/>
        <v/>
      </c>
      <c r="CU21" s="305" t="str">
        <f t="shared" ca="1" si="63"/>
        <v/>
      </c>
      <c r="CV21" s="770" t="str">
        <f t="shared" ca="1" si="64"/>
        <v/>
      </c>
      <c r="CW21" s="302">
        <f t="shared" ca="1" si="65"/>
        <v>0</v>
      </c>
      <c r="CX21" s="299">
        <f t="shared" ca="1" si="66"/>
        <v>0</v>
      </c>
      <c r="CY21" s="299">
        <f t="shared" ca="1" si="67"/>
        <v>0</v>
      </c>
      <c r="CZ21" s="299">
        <f t="shared" ca="1" si="68"/>
        <v>0</v>
      </c>
      <c r="DA21" s="774">
        <f t="shared" ca="1" si="69"/>
        <v>0</v>
      </c>
      <c r="DB21" s="303">
        <f t="shared" ca="1" si="70"/>
        <v>0</v>
      </c>
      <c r="DC21" s="248">
        <f t="shared" ca="1" si="71"/>
        <v>0</v>
      </c>
      <c r="DD21" s="778">
        <f t="shared" ca="1" si="72"/>
        <v>0</v>
      </c>
      <c r="DE21" s="363">
        <f t="shared" ca="1" si="73"/>
        <v>0</v>
      </c>
      <c r="DF21" s="378" t="str">
        <f t="shared" ca="1" si="74"/>
        <v/>
      </c>
      <c r="DG21" s="508" t="str">
        <f t="shared" ca="1" si="75"/>
        <v/>
      </c>
      <c r="DH21" s="508" t="str">
        <f t="shared" ca="1" si="76"/>
        <v/>
      </c>
      <c r="DI21" s="508" t="str">
        <f t="shared" ca="1" si="77"/>
        <v/>
      </c>
      <c r="DJ21" s="508" t="str">
        <f t="shared" ca="1" si="78"/>
        <v/>
      </c>
      <c r="DK21" s="353">
        <f t="shared" ca="1" si="79"/>
        <v>0</v>
      </c>
      <c r="DL21" s="781">
        <f t="shared" ca="1" si="80"/>
        <v>0</v>
      </c>
      <c r="DM21" s="303">
        <f t="shared" ca="1" si="81"/>
        <v>0</v>
      </c>
      <c r="DN21" s="508" t="str">
        <f t="shared" ca="1" si="82"/>
        <v/>
      </c>
      <c r="DO21" s="508" t="str">
        <f t="shared" ca="1" si="83"/>
        <v/>
      </c>
      <c r="DP21" s="508" t="str">
        <f t="shared" ca="1" si="84"/>
        <v/>
      </c>
      <c r="DQ21" s="508" t="str">
        <f t="shared" ca="1" si="85"/>
        <v/>
      </c>
      <c r="DR21" s="508" t="str">
        <f t="shared" ca="1" si="86"/>
        <v/>
      </c>
      <c r="DS21" s="353">
        <f t="shared" ca="1" si="87"/>
        <v>0</v>
      </c>
      <c r="DT21" s="353">
        <f t="shared" ca="1" si="88"/>
        <v>0</v>
      </c>
      <c r="DU21" s="380">
        <f t="shared" ca="1" si="189"/>
        <v>0.41615331964407942</v>
      </c>
      <c r="DV21" s="303">
        <f t="shared" ca="1" si="89"/>
        <v>0</v>
      </c>
      <c r="DW21" s="303">
        <f t="shared" ca="1" si="90"/>
        <v>0</v>
      </c>
      <c r="DX21" s="303">
        <f t="shared" ca="1" si="91"/>
        <v>0</v>
      </c>
      <c r="DY21" s="303">
        <f t="shared" ca="1" si="92"/>
        <v>0</v>
      </c>
      <c r="DZ21" s="303">
        <f t="shared" ca="1" si="93"/>
        <v>0</v>
      </c>
      <c r="EA21" s="303">
        <f t="shared" ca="1" si="94"/>
        <v>0</v>
      </c>
      <c r="EB21" s="302">
        <f t="shared" ca="1" si="95"/>
        <v>0</v>
      </c>
      <c r="EC21" s="299">
        <f t="shared" ca="1" si="96"/>
        <v>0</v>
      </c>
      <c r="ED21" s="299">
        <f t="shared" ca="1" si="97"/>
        <v>0</v>
      </c>
      <c r="EE21" s="299">
        <f t="shared" ca="1" si="98"/>
        <v>0</v>
      </c>
      <c r="EF21" s="299">
        <f t="shared" ca="1" si="99"/>
        <v>0</v>
      </c>
      <c r="EG21" s="299">
        <f t="shared" ca="1" si="100"/>
        <v>0</v>
      </c>
      <c r="EH21" s="302">
        <f t="shared" ca="1" si="101"/>
        <v>0</v>
      </c>
      <c r="EI21" s="304" t="str">
        <f t="shared" ca="1" si="102"/>
        <v/>
      </c>
      <c r="EJ21" s="305" t="str">
        <f t="shared" ca="1" si="103"/>
        <v/>
      </c>
      <c r="EK21" s="305" t="str">
        <f t="shared" ca="1" si="104"/>
        <v/>
      </c>
      <c r="EL21" s="305" t="str">
        <f t="shared" ca="1" si="105"/>
        <v/>
      </c>
      <c r="EM21" s="305" t="str">
        <f t="shared" ca="1" si="106"/>
        <v/>
      </c>
      <c r="EN21" s="305" t="str">
        <f t="shared" ca="1" si="107"/>
        <v/>
      </c>
      <c r="EO21" s="305" t="str">
        <f t="shared" ca="1" si="108"/>
        <v/>
      </c>
      <c r="EP21" s="305" t="str">
        <f t="shared" ca="1" si="109"/>
        <v/>
      </c>
      <c r="EQ21" s="305" t="str">
        <f t="shared" ca="1" si="110"/>
        <v/>
      </c>
      <c r="ER21" s="305" t="str">
        <f t="shared" ca="1" si="111"/>
        <v/>
      </c>
      <c r="ES21" s="305" t="str">
        <f t="shared" ca="1" si="112"/>
        <v/>
      </c>
      <c r="ET21" s="299">
        <f t="shared" ca="1" si="113"/>
        <v>0</v>
      </c>
      <c r="EU21" s="302">
        <f t="shared" ca="1" si="114"/>
        <v>0</v>
      </c>
      <c r="EV21" s="304" t="str">
        <f t="shared" ca="1" si="115"/>
        <v/>
      </c>
      <c r="EW21" s="305" t="str">
        <f t="shared" ca="1" si="116"/>
        <v/>
      </c>
      <c r="EX21" s="305" t="str">
        <f t="shared" ca="1" si="117"/>
        <v/>
      </c>
      <c r="EY21" s="305" t="str">
        <f t="shared" ca="1" si="118"/>
        <v/>
      </c>
      <c r="EZ21" s="305" t="str">
        <f t="shared" ca="1" si="119"/>
        <v/>
      </c>
      <c r="FA21" s="305" t="str">
        <f t="shared" ca="1" si="120"/>
        <v/>
      </c>
      <c r="FB21" s="305" t="str">
        <f t="shared" ca="1" si="121"/>
        <v/>
      </c>
      <c r="FC21" s="305" t="str">
        <f t="shared" ca="1" si="122"/>
        <v/>
      </c>
      <c r="FD21" s="305" t="str">
        <f t="shared" ca="1" si="123"/>
        <v/>
      </c>
      <c r="FE21" s="305" t="str">
        <f t="shared" ca="1" si="124"/>
        <v/>
      </c>
      <c r="FF21" s="305" t="str">
        <f t="shared" ca="1" si="125"/>
        <v/>
      </c>
      <c r="FG21" s="299">
        <f t="shared" ca="1" si="126"/>
        <v>0</v>
      </c>
      <c r="FH21" s="302">
        <f t="shared" ca="1" si="127"/>
        <v>0</v>
      </c>
      <c r="FI21" s="248">
        <f t="shared" ca="1" si="128"/>
        <v>0</v>
      </c>
      <c r="FJ21" s="363">
        <f t="shared" ca="1" si="129"/>
        <v>0</v>
      </c>
      <c r="FK21" s="378" t="str">
        <f t="shared" ca="1" si="130"/>
        <v/>
      </c>
      <c r="FL21" s="508" t="str">
        <f t="shared" ca="1" si="131"/>
        <v/>
      </c>
      <c r="FM21" s="508" t="str">
        <f t="shared" ca="1" si="132"/>
        <v/>
      </c>
      <c r="FN21" s="508" t="str">
        <f t="shared" ca="1" si="133"/>
        <v/>
      </c>
      <c r="FO21" s="508" t="str">
        <f t="shared" ca="1" si="134"/>
        <v/>
      </c>
      <c r="FP21" s="353">
        <f t="shared" ca="1" si="135"/>
        <v>0</v>
      </c>
      <c r="FQ21" s="356">
        <f t="shared" ca="1" si="136"/>
        <v>0</v>
      </c>
      <c r="FR21" s="380">
        <f t="shared" ca="1" si="137"/>
        <v>0</v>
      </c>
      <c r="FS21" s="299">
        <f t="shared" ca="1" si="138"/>
        <v>0</v>
      </c>
      <c r="FT21" s="299">
        <f t="shared" ca="1" si="139"/>
        <v>0</v>
      </c>
      <c r="FU21" s="299">
        <f t="shared" ca="1" si="140"/>
        <v>0</v>
      </c>
      <c r="FV21" s="299">
        <f t="shared" ca="1" si="141"/>
        <v>0</v>
      </c>
      <c r="FW21" s="850" t="str">
        <f t="shared" ca="1" si="142"/>
        <v/>
      </c>
      <c r="FX21" s="851" t="str">
        <f t="shared" ca="1" si="143"/>
        <v/>
      </c>
      <c r="FY21" s="851" t="str">
        <f t="shared" ca="1" si="144"/>
        <v/>
      </c>
      <c r="FZ21" s="201" t="str">
        <f t="shared" ca="1" si="145"/>
        <v/>
      </c>
      <c r="GA21" s="201" t="str">
        <f t="shared" ca="1" si="146"/>
        <v/>
      </c>
      <c r="GB21" s="201" t="str">
        <f t="shared" ca="1" si="147"/>
        <v/>
      </c>
      <c r="GC21" s="201" t="str">
        <f t="shared" ca="1" si="148"/>
        <v/>
      </c>
      <c r="GD21" s="850" t="str">
        <f t="shared" ca="1" si="149"/>
        <v/>
      </c>
      <c r="GE21" s="866" t="str">
        <f t="shared" ca="1" si="150"/>
        <v/>
      </c>
      <c r="GF21" s="866" t="str">
        <f t="shared" ca="1" si="151"/>
        <v/>
      </c>
      <c r="GG21" s="866" t="str">
        <f t="shared" ca="1" si="152"/>
        <v/>
      </c>
      <c r="GH21" s="866" t="str">
        <f t="shared" ca="1" si="153"/>
        <v/>
      </c>
      <c r="GI21" s="302">
        <f t="shared" ca="1" si="154"/>
        <v>0</v>
      </c>
      <c r="GJ21" s="299">
        <f t="shared" ca="1" si="155"/>
        <v>0</v>
      </c>
      <c r="GK21" s="299">
        <f t="shared" ca="1" si="156"/>
        <v>0</v>
      </c>
      <c r="GL21" s="299">
        <f t="shared" ca="1" si="157"/>
        <v>0</v>
      </c>
      <c r="GM21" s="299">
        <f t="shared" ca="1" si="158"/>
        <v>0</v>
      </c>
      <c r="GN21" s="302">
        <f t="shared" ca="1" si="159"/>
        <v>0</v>
      </c>
      <c r="GO21" s="299">
        <f t="shared" ca="1" si="160"/>
        <v>0</v>
      </c>
      <c r="GP21" s="299">
        <f t="shared" ca="1" si="161"/>
        <v>0</v>
      </c>
      <c r="GQ21" s="299">
        <f t="shared" ca="1" si="162"/>
        <v>0</v>
      </c>
      <c r="GR21" s="299">
        <f t="shared" ca="1" si="163"/>
        <v>0</v>
      </c>
      <c r="GS21" s="302">
        <f t="shared" ca="1" si="164"/>
        <v>0</v>
      </c>
      <c r="GT21" s="299">
        <f t="shared" ca="1" si="165"/>
        <v>0</v>
      </c>
      <c r="GU21" s="299">
        <f t="shared" ca="1" si="166"/>
        <v>0</v>
      </c>
      <c r="GV21" s="299">
        <f t="shared" ca="1" si="167"/>
        <v>0</v>
      </c>
      <c r="GW21" s="299">
        <f t="shared" ca="1" si="168"/>
        <v>0</v>
      </c>
      <c r="GX21" s="303">
        <f t="shared" ca="1" si="169"/>
        <v>0</v>
      </c>
      <c r="GY21" s="303">
        <f t="shared" ca="1" si="170"/>
        <v>0</v>
      </c>
      <c r="GZ21" s="303">
        <f t="shared" ca="1" si="171"/>
        <v>0</v>
      </c>
      <c r="HA21" s="303">
        <f t="shared" ca="1" si="172"/>
        <v>0</v>
      </c>
      <c r="HB21" s="303">
        <f t="shared" ca="1" si="173"/>
        <v>0</v>
      </c>
      <c r="HC21" s="303">
        <f t="shared" ca="1" si="174"/>
        <v>0</v>
      </c>
      <c r="HD21" s="303">
        <f t="shared" ca="1" si="175"/>
        <v>0</v>
      </c>
      <c r="HE21" s="303">
        <f t="shared" ca="1" si="176"/>
        <v>0</v>
      </c>
      <c r="HF21" s="303">
        <f t="shared" ca="1" si="177"/>
        <v>0</v>
      </c>
      <c r="HG21" s="852">
        <f t="shared" ca="1" si="178"/>
        <v>0</v>
      </c>
      <c r="HH21" s="13"/>
      <c r="IG21" s="13"/>
      <c r="IH21" s="13"/>
      <c r="II21" s="13"/>
      <c r="IJ21" s="13"/>
      <c r="IK21" s="13"/>
      <c r="IL21" s="13"/>
      <c r="IM21" s="13"/>
      <c r="IN21" s="13"/>
      <c r="IO21" s="13"/>
      <c r="IP21" s="13"/>
      <c r="IQ21" s="13"/>
      <c r="IR21" s="13"/>
      <c r="IS21" s="13"/>
      <c r="IT21" s="13"/>
      <c r="IU21" s="13"/>
      <c r="IV21" s="13"/>
    </row>
    <row r="22" spans="1:256" x14ac:dyDescent="0.25">
      <c r="A22" s="244">
        <f t="shared" ca="1" si="179"/>
        <v>36770</v>
      </c>
      <c r="B22" s="13">
        <f t="shared" ca="1" si="3"/>
        <v>2000</v>
      </c>
      <c r="C22" s="619">
        <f t="shared" ca="1" si="180"/>
        <v>9</v>
      </c>
      <c r="D22" s="195">
        <f t="shared" ca="1" si="4"/>
        <v>36773</v>
      </c>
      <c r="E22" s="469" t="str">
        <f t="shared" ca="1" si="5"/>
        <v/>
      </c>
      <c r="F22" s="465" t="str">
        <f t="shared" ca="1" si="6"/>
        <v/>
      </c>
      <c r="G22" s="521">
        <f t="shared" ca="1" si="181"/>
        <v>1</v>
      </c>
      <c r="H22" s="518">
        <f t="shared" ca="1" si="182"/>
        <v>1</v>
      </c>
      <c r="I22" s="724">
        <f t="shared" ca="1" si="7"/>
        <v>6.4414063409461E-2</v>
      </c>
      <c r="J22" s="198">
        <f t="shared" ca="1" si="8"/>
        <v>0.96053048520051898</v>
      </c>
      <c r="K22" s="200">
        <f t="shared" ca="1" si="190"/>
        <v>33.4</v>
      </c>
      <c r="L22" s="201">
        <f t="shared" ca="1" si="191"/>
        <v>34</v>
      </c>
      <c r="M22" s="206">
        <f t="shared" ca="1" si="192"/>
        <v>34.6</v>
      </c>
      <c r="N22" s="851">
        <f t="shared" ca="1" si="196"/>
        <v>22.804999160766602</v>
      </c>
      <c r="O22" s="201">
        <f t="shared" ca="1" si="197"/>
        <v>23.254999160766602</v>
      </c>
      <c r="P22" s="206">
        <f t="shared" ca="1" si="198"/>
        <v>23.704999160766601</v>
      </c>
      <c r="Q22" s="201">
        <f t="shared" ca="1" si="199"/>
        <v>21.25</v>
      </c>
      <c r="R22" s="201">
        <f t="shared" ca="1" si="200"/>
        <v>23.75</v>
      </c>
      <c r="S22" s="201">
        <f t="shared" ca="1" si="201"/>
        <v>26.25</v>
      </c>
      <c r="T22" s="851">
        <f t="shared" ca="1" si="193"/>
        <v>19.199998092651366</v>
      </c>
      <c r="U22" s="201">
        <f t="shared" ca="1" si="194"/>
        <v>19.499998092651367</v>
      </c>
      <c r="V22" s="206">
        <f t="shared" ca="1" si="195"/>
        <v>19.799998092651368</v>
      </c>
      <c r="W22" s="230">
        <f t="shared" ca="1" si="183"/>
        <v>0.14674999999999999</v>
      </c>
      <c r="X22" s="231">
        <f t="shared" ca="1" si="184"/>
        <v>0.29349999999999998</v>
      </c>
      <c r="Y22" s="232">
        <f t="shared" ca="1" si="185"/>
        <v>0.44024999999999997</v>
      </c>
      <c r="Z22" s="231">
        <f t="shared" ca="1" si="9"/>
        <v>0.14674999999999999</v>
      </c>
      <c r="AA22" s="231">
        <f t="shared" ca="1" si="10"/>
        <v>0.29349999999999998</v>
      </c>
      <c r="AB22" s="232">
        <f t="shared" ca="1" si="11"/>
        <v>0.44024999999999997</v>
      </c>
      <c r="AC22" s="231">
        <f t="shared" ca="1" si="12"/>
        <v>0.14674999999999999</v>
      </c>
      <c r="AD22" s="231">
        <f t="shared" ca="1" si="13"/>
        <v>0.29349999999999998</v>
      </c>
      <c r="AE22" s="232">
        <f t="shared" ca="1" si="14"/>
        <v>0.44024999999999997</v>
      </c>
      <c r="AF22" s="231">
        <f t="shared" ca="1" si="186"/>
        <v>0.04</v>
      </c>
      <c r="AG22" s="231">
        <f t="shared" ca="1" si="187"/>
        <v>0.08</v>
      </c>
      <c r="AH22" s="232">
        <f t="shared" ca="1" si="188"/>
        <v>0.12</v>
      </c>
      <c r="AI22" s="233">
        <f t="shared" ca="1" si="15"/>
        <v>1.75</v>
      </c>
      <c r="AJ22" s="233">
        <f t="shared" ca="1" si="16"/>
        <v>2.25</v>
      </c>
      <c r="AK22" s="234">
        <f t="shared" ca="1" si="17"/>
        <v>2.75</v>
      </c>
      <c r="AL22" s="919">
        <f t="shared" ca="1" si="18"/>
        <v>1.75</v>
      </c>
      <c r="AM22" s="233">
        <f t="shared" ca="1" si="19"/>
        <v>2.25</v>
      </c>
      <c r="AN22" s="234">
        <f t="shared" ca="1" si="20"/>
        <v>2.75</v>
      </c>
      <c r="AO22" s="233">
        <f t="shared" ca="1" si="21"/>
        <v>1.75</v>
      </c>
      <c r="AP22" s="233">
        <f t="shared" ca="1" si="22"/>
        <v>2.25</v>
      </c>
      <c r="AQ22" s="233">
        <f t="shared" ca="1" si="23"/>
        <v>2.75</v>
      </c>
      <c r="AR22" s="919">
        <f t="shared" ca="1" si="24"/>
        <v>0.25</v>
      </c>
      <c r="AS22" s="233">
        <f t="shared" ca="1" si="25"/>
        <v>0.4</v>
      </c>
      <c r="AT22" s="235">
        <f t="shared" ca="1" si="26"/>
        <v>0.60000000000000009</v>
      </c>
      <c r="AU22" s="946">
        <f t="shared" si="27"/>
        <v>0.5</v>
      </c>
      <c r="AV22" s="13">
        <f t="shared" ca="1" si="28"/>
        <v>0</v>
      </c>
      <c r="AW22" s="210">
        <f t="shared" ca="1" si="29"/>
        <v>0</v>
      </c>
      <c r="AX22" s="210">
        <f t="shared" ca="1" si="30"/>
        <v>0</v>
      </c>
      <c r="AY22" s="210">
        <f t="shared" ca="1" si="31"/>
        <v>0</v>
      </c>
      <c r="AZ22" s="13">
        <f t="shared" ca="1" si="32"/>
        <v>0</v>
      </c>
      <c r="BA22" s="355">
        <f ca="1"/>
        <v>0</v>
      </c>
      <c r="BB22" s="363">
        <f ca="1"/>
        <v>0</v>
      </c>
      <c r="BC22" s="363">
        <f ca="1"/>
        <v>0</v>
      </c>
      <c r="BD22" s="927">
        <f ca="1"/>
        <v>0</v>
      </c>
      <c r="BE22" s="930">
        <f ca="1"/>
        <v>0</v>
      </c>
      <c r="BF22" s="931">
        <f ca="1"/>
        <v>0</v>
      </c>
      <c r="BG22" s="931">
        <f ca="1"/>
        <v>0</v>
      </c>
      <c r="BH22" s="932">
        <f ca="1"/>
        <v>0</v>
      </c>
      <c r="BI22" s="355">
        <f ca="1"/>
        <v>0</v>
      </c>
      <c r="BJ22" s="363">
        <f ca="1"/>
        <v>0</v>
      </c>
      <c r="BK22" s="363">
        <f ca="1"/>
        <v>0</v>
      </c>
      <c r="BL22" s="927">
        <f ca="1"/>
        <v>0</v>
      </c>
      <c r="BM22" s="930">
        <f ca="1"/>
        <v>0</v>
      </c>
      <c r="BN22" s="931">
        <f ca="1"/>
        <v>0</v>
      </c>
      <c r="BO22" s="931">
        <f ca="1"/>
        <v>0</v>
      </c>
      <c r="BP22" s="932">
        <f ca="1"/>
        <v>0</v>
      </c>
      <c r="BQ22" s="355">
        <f t="shared" ca="1" si="33"/>
        <v>0</v>
      </c>
      <c r="BR22" s="360">
        <f t="shared" ca="1" si="34"/>
        <v>0</v>
      </c>
      <c r="BS22" s="357">
        <f t="shared" ca="1" si="35"/>
        <v>0</v>
      </c>
      <c r="BT22" s="302">
        <f t="shared" ca="1" si="36"/>
        <v>0</v>
      </c>
      <c r="BU22" s="299">
        <f t="shared" ca="1" si="37"/>
        <v>0</v>
      </c>
      <c r="BV22" s="299">
        <f t="shared" ca="1" si="38"/>
        <v>0</v>
      </c>
      <c r="BW22" s="299">
        <f t="shared" ca="1" si="39"/>
        <v>0</v>
      </c>
      <c r="BX22" s="380">
        <f t="shared" ca="1" si="40"/>
        <v>0.50102669404517453</v>
      </c>
      <c r="BY22" s="363">
        <f t="shared" ca="1" si="41"/>
        <v>0</v>
      </c>
      <c r="BZ22" s="353">
        <f t="shared" ca="1" si="42"/>
        <v>0</v>
      </c>
      <c r="CA22" s="353">
        <f t="shared" ca="1" si="43"/>
        <v>0</v>
      </c>
      <c r="CB22" s="353">
        <f t="shared" ca="1" si="44"/>
        <v>0</v>
      </c>
      <c r="CC22" s="353">
        <f t="shared" ca="1" si="45"/>
        <v>0</v>
      </c>
      <c r="CD22" s="353">
        <f t="shared" ca="1" si="46"/>
        <v>0</v>
      </c>
      <c r="CE22" s="302">
        <f t="shared" ca="1" si="47"/>
        <v>0</v>
      </c>
      <c r="CF22" s="299">
        <f t="shared" ca="1" si="48"/>
        <v>0</v>
      </c>
      <c r="CG22" s="299">
        <f t="shared" ca="1" si="49"/>
        <v>0</v>
      </c>
      <c r="CH22" s="299">
        <f t="shared" ca="1" si="50"/>
        <v>0</v>
      </c>
      <c r="CI22" s="299">
        <f t="shared" ca="1" si="51"/>
        <v>0</v>
      </c>
      <c r="CJ22" s="299">
        <f t="shared" ca="1" si="52"/>
        <v>0</v>
      </c>
      <c r="CK22" s="299">
        <f t="shared" ca="1" si="53"/>
        <v>0</v>
      </c>
      <c r="CL22" s="377" t="str">
        <f t="shared" ca="1" si="54"/>
        <v/>
      </c>
      <c r="CM22" s="305" t="str">
        <f t="shared" ca="1" si="55"/>
        <v/>
      </c>
      <c r="CN22" s="305" t="str">
        <f t="shared" ca="1" si="56"/>
        <v/>
      </c>
      <c r="CO22" s="305" t="str">
        <f t="shared" ca="1" si="57"/>
        <v/>
      </c>
      <c r="CP22" s="305" t="str">
        <f t="shared" ca="1" si="58"/>
        <v/>
      </c>
      <c r="CQ22" s="305" t="str">
        <f t="shared" ca="1" si="59"/>
        <v/>
      </c>
      <c r="CR22" s="775" t="str">
        <f t="shared" ca="1" si="60"/>
        <v/>
      </c>
      <c r="CS22" s="305" t="str">
        <f t="shared" ca="1" si="61"/>
        <v/>
      </c>
      <c r="CT22" s="305" t="str">
        <f t="shared" ca="1" si="62"/>
        <v/>
      </c>
      <c r="CU22" s="305" t="str">
        <f t="shared" ca="1" si="63"/>
        <v/>
      </c>
      <c r="CV22" s="770" t="str">
        <f t="shared" ca="1" si="64"/>
        <v/>
      </c>
      <c r="CW22" s="302">
        <f t="shared" ca="1" si="65"/>
        <v>0</v>
      </c>
      <c r="CX22" s="299">
        <f t="shared" ca="1" si="66"/>
        <v>0</v>
      </c>
      <c r="CY22" s="299">
        <f t="shared" ca="1" si="67"/>
        <v>0</v>
      </c>
      <c r="CZ22" s="299">
        <f t="shared" ca="1" si="68"/>
        <v>0</v>
      </c>
      <c r="DA22" s="774">
        <f t="shared" ca="1" si="69"/>
        <v>0</v>
      </c>
      <c r="DB22" s="303">
        <f t="shared" ca="1" si="70"/>
        <v>0</v>
      </c>
      <c r="DC22" s="248">
        <f t="shared" ca="1" si="71"/>
        <v>0</v>
      </c>
      <c r="DD22" s="778">
        <f t="shared" ca="1" si="72"/>
        <v>0</v>
      </c>
      <c r="DE22" s="363">
        <f t="shared" ca="1" si="73"/>
        <v>0</v>
      </c>
      <c r="DF22" s="378" t="str">
        <f t="shared" ca="1" si="74"/>
        <v/>
      </c>
      <c r="DG22" s="508" t="str">
        <f t="shared" ca="1" si="75"/>
        <v/>
      </c>
      <c r="DH22" s="508" t="str">
        <f t="shared" ca="1" si="76"/>
        <v/>
      </c>
      <c r="DI22" s="508" t="str">
        <f t="shared" ca="1" si="77"/>
        <v/>
      </c>
      <c r="DJ22" s="508" t="str">
        <f t="shared" ca="1" si="78"/>
        <v/>
      </c>
      <c r="DK22" s="353">
        <f t="shared" ca="1" si="79"/>
        <v>0</v>
      </c>
      <c r="DL22" s="781">
        <f t="shared" ca="1" si="80"/>
        <v>0</v>
      </c>
      <c r="DM22" s="303">
        <f t="shared" ca="1" si="81"/>
        <v>0</v>
      </c>
      <c r="DN22" s="508" t="str">
        <f t="shared" ca="1" si="82"/>
        <v/>
      </c>
      <c r="DO22" s="508" t="str">
        <f t="shared" ca="1" si="83"/>
        <v/>
      </c>
      <c r="DP22" s="508" t="str">
        <f t="shared" ca="1" si="84"/>
        <v/>
      </c>
      <c r="DQ22" s="508" t="str">
        <f t="shared" ca="1" si="85"/>
        <v/>
      </c>
      <c r="DR22" s="508" t="str">
        <f t="shared" ca="1" si="86"/>
        <v/>
      </c>
      <c r="DS22" s="353">
        <f t="shared" ca="1" si="87"/>
        <v>0</v>
      </c>
      <c r="DT22" s="353">
        <f t="shared" ca="1" si="88"/>
        <v>0</v>
      </c>
      <c r="DU22" s="380">
        <f t="shared" ca="1" si="189"/>
        <v>0.50102669404517453</v>
      </c>
      <c r="DV22" s="303">
        <f t="shared" ca="1" si="89"/>
        <v>0</v>
      </c>
      <c r="DW22" s="303">
        <f t="shared" ca="1" si="90"/>
        <v>0</v>
      </c>
      <c r="DX22" s="303">
        <f t="shared" ca="1" si="91"/>
        <v>0</v>
      </c>
      <c r="DY22" s="303">
        <f t="shared" ca="1" si="92"/>
        <v>0</v>
      </c>
      <c r="DZ22" s="303">
        <f t="shared" ca="1" si="93"/>
        <v>0</v>
      </c>
      <c r="EA22" s="303">
        <f t="shared" ca="1" si="94"/>
        <v>0</v>
      </c>
      <c r="EB22" s="302">
        <f t="shared" ca="1" si="95"/>
        <v>0</v>
      </c>
      <c r="EC22" s="299">
        <f t="shared" ca="1" si="96"/>
        <v>0</v>
      </c>
      <c r="ED22" s="299">
        <f t="shared" ca="1" si="97"/>
        <v>0</v>
      </c>
      <c r="EE22" s="299">
        <f t="shared" ca="1" si="98"/>
        <v>0</v>
      </c>
      <c r="EF22" s="299">
        <f t="shared" ca="1" si="99"/>
        <v>0</v>
      </c>
      <c r="EG22" s="299">
        <f t="shared" ca="1" si="100"/>
        <v>0</v>
      </c>
      <c r="EH22" s="302">
        <f t="shared" ca="1" si="101"/>
        <v>0</v>
      </c>
      <c r="EI22" s="304" t="str">
        <f t="shared" ca="1" si="102"/>
        <v/>
      </c>
      <c r="EJ22" s="305" t="str">
        <f t="shared" ca="1" si="103"/>
        <v/>
      </c>
      <c r="EK22" s="305" t="str">
        <f t="shared" ca="1" si="104"/>
        <v/>
      </c>
      <c r="EL22" s="305" t="str">
        <f t="shared" ca="1" si="105"/>
        <v/>
      </c>
      <c r="EM22" s="305" t="str">
        <f t="shared" ca="1" si="106"/>
        <v/>
      </c>
      <c r="EN22" s="305" t="str">
        <f t="shared" ca="1" si="107"/>
        <v/>
      </c>
      <c r="EO22" s="305" t="str">
        <f t="shared" ca="1" si="108"/>
        <v/>
      </c>
      <c r="EP22" s="305" t="str">
        <f t="shared" ca="1" si="109"/>
        <v/>
      </c>
      <c r="EQ22" s="305" t="str">
        <f t="shared" ca="1" si="110"/>
        <v/>
      </c>
      <c r="ER22" s="305" t="str">
        <f t="shared" ca="1" si="111"/>
        <v/>
      </c>
      <c r="ES22" s="305" t="str">
        <f t="shared" ca="1" si="112"/>
        <v/>
      </c>
      <c r="ET22" s="299">
        <f t="shared" ca="1" si="113"/>
        <v>0</v>
      </c>
      <c r="EU22" s="302">
        <f t="shared" ca="1" si="114"/>
        <v>0</v>
      </c>
      <c r="EV22" s="304" t="str">
        <f t="shared" ca="1" si="115"/>
        <v/>
      </c>
      <c r="EW22" s="305" t="str">
        <f t="shared" ca="1" si="116"/>
        <v/>
      </c>
      <c r="EX22" s="305" t="str">
        <f t="shared" ca="1" si="117"/>
        <v/>
      </c>
      <c r="EY22" s="305" t="str">
        <f t="shared" ca="1" si="118"/>
        <v/>
      </c>
      <c r="EZ22" s="305" t="str">
        <f t="shared" ca="1" si="119"/>
        <v/>
      </c>
      <c r="FA22" s="305" t="str">
        <f t="shared" ca="1" si="120"/>
        <v/>
      </c>
      <c r="FB22" s="305" t="str">
        <f t="shared" ca="1" si="121"/>
        <v/>
      </c>
      <c r="FC22" s="305" t="str">
        <f t="shared" ca="1" si="122"/>
        <v/>
      </c>
      <c r="FD22" s="305" t="str">
        <f t="shared" ca="1" si="123"/>
        <v/>
      </c>
      <c r="FE22" s="305" t="str">
        <f t="shared" ca="1" si="124"/>
        <v/>
      </c>
      <c r="FF22" s="305" t="str">
        <f t="shared" ca="1" si="125"/>
        <v/>
      </c>
      <c r="FG22" s="299">
        <f t="shared" ca="1" si="126"/>
        <v>0</v>
      </c>
      <c r="FH22" s="302">
        <f t="shared" ca="1" si="127"/>
        <v>0</v>
      </c>
      <c r="FI22" s="248">
        <f t="shared" ca="1" si="128"/>
        <v>0</v>
      </c>
      <c r="FJ22" s="363">
        <f t="shared" ca="1" si="129"/>
        <v>0</v>
      </c>
      <c r="FK22" s="378" t="str">
        <f t="shared" ca="1" si="130"/>
        <v/>
      </c>
      <c r="FL22" s="508" t="str">
        <f t="shared" ca="1" si="131"/>
        <v/>
      </c>
      <c r="FM22" s="508" t="str">
        <f t="shared" ca="1" si="132"/>
        <v/>
      </c>
      <c r="FN22" s="508" t="str">
        <f t="shared" ca="1" si="133"/>
        <v/>
      </c>
      <c r="FO22" s="508" t="str">
        <f t="shared" ca="1" si="134"/>
        <v/>
      </c>
      <c r="FP22" s="353">
        <f t="shared" ca="1" si="135"/>
        <v>0</v>
      </c>
      <c r="FQ22" s="356">
        <f t="shared" ca="1" si="136"/>
        <v>0</v>
      </c>
      <c r="FR22" s="380">
        <f t="shared" ca="1" si="137"/>
        <v>0</v>
      </c>
      <c r="FS22" s="299">
        <f t="shared" ca="1" si="138"/>
        <v>0</v>
      </c>
      <c r="FT22" s="299">
        <f t="shared" ca="1" si="139"/>
        <v>0</v>
      </c>
      <c r="FU22" s="299">
        <f t="shared" ca="1" si="140"/>
        <v>0</v>
      </c>
      <c r="FV22" s="299">
        <f t="shared" ca="1" si="141"/>
        <v>0</v>
      </c>
      <c r="FW22" s="850" t="str">
        <f t="shared" ca="1" si="142"/>
        <v/>
      </c>
      <c r="FX22" s="851" t="str">
        <f t="shared" ca="1" si="143"/>
        <v/>
      </c>
      <c r="FY22" s="851" t="str">
        <f t="shared" ca="1" si="144"/>
        <v/>
      </c>
      <c r="FZ22" s="201" t="str">
        <f t="shared" ca="1" si="145"/>
        <v/>
      </c>
      <c r="GA22" s="201" t="str">
        <f t="shared" ca="1" si="146"/>
        <v/>
      </c>
      <c r="GB22" s="201" t="str">
        <f t="shared" ca="1" si="147"/>
        <v/>
      </c>
      <c r="GC22" s="201" t="str">
        <f t="shared" ca="1" si="148"/>
        <v/>
      </c>
      <c r="GD22" s="850" t="str">
        <f t="shared" ca="1" si="149"/>
        <v/>
      </c>
      <c r="GE22" s="866" t="str">
        <f t="shared" ca="1" si="150"/>
        <v/>
      </c>
      <c r="GF22" s="866" t="str">
        <f t="shared" ca="1" si="151"/>
        <v/>
      </c>
      <c r="GG22" s="866" t="str">
        <f t="shared" ca="1" si="152"/>
        <v/>
      </c>
      <c r="GH22" s="866" t="str">
        <f t="shared" ca="1" si="153"/>
        <v/>
      </c>
      <c r="GI22" s="302">
        <f t="shared" ca="1" si="154"/>
        <v>0</v>
      </c>
      <c r="GJ22" s="299">
        <f t="shared" ca="1" si="155"/>
        <v>0</v>
      </c>
      <c r="GK22" s="299">
        <f t="shared" ca="1" si="156"/>
        <v>0</v>
      </c>
      <c r="GL22" s="299">
        <f t="shared" ca="1" si="157"/>
        <v>0</v>
      </c>
      <c r="GM22" s="299">
        <f t="shared" ca="1" si="158"/>
        <v>0</v>
      </c>
      <c r="GN22" s="302">
        <f t="shared" ca="1" si="159"/>
        <v>0</v>
      </c>
      <c r="GO22" s="299">
        <f t="shared" ca="1" si="160"/>
        <v>0</v>
      </c>
      <c r="GP22" s="299">
        <f t="shared" ca="1" si="161"/>
        <v>0</v>
      </c>
      <c r="GQ22" s="299">
        <f t="shared" ca="1" si="162"/>
        <v>0</v>
      </c>
      <c r="GR22" s="299">
        <f t="shared" ca="1" si="163"/>
        <v>0</v>
      </c>
      <c r="GS22" s="302">
        <f t="shared" ca="1" si="164"/>
        <v>0</v>
      </c>
      <c r="GT22" s="299">
        <f t="shared" ca="1" si="165"/>
        <v>0</v>
      </c>
      <c r="GU22" s="299">
        <f t="shared" ca="1" si="166"/>
        <v>0</v>
      </c>
      <c r="GV22" s="299">
        <f t="shared" ca="1" si="167"/>
        <v>0</v>
      </c>
      <c r="GW22" s="299">
        <f t="shared" ca="1" si="168"/>
        <v>0</v>
      </c>
      <c r="GX22" s="303">
        <f t="shared" ca="1" si="169"/>
        <v>0</v>
      </c>
      <c r="GY22" s="303">
        <f t="shared" ca="1" si="170"/>
        <v>0</v>
      </c>
      <c r="GZ22" s="303">
        <f t="shared" ca="1" si="171"/>
        <v>0</v>
      </c>
      <c r="HA22" s="303">
        <f t="shared" ca="1" si="172"/>
        <v>0</v>
      </c>
      <c r="HB22" s="303">
        <f t="shared" ca="1" si="173"/>
        <v>0</v>
      </c>
      <c r="HC22" s="303">
        <f t="shared" ca="1" si="174"/>
        <v>0</v>
      </c>
      <c r="HD22" s="303">
        <f t="shared" ca="1" si="175"/>
        <v>0</v>
      </c>
      <c r="HE22" s="303">
        <f t="shared" ca="1" si="176"/>
        <v>0</v>
      </c>
      <c r="HF22" s="303">
        <f t="shared" ca="1" si="177"/>
        <v>0</v>
      </c>
      <c r="HG22" s="852">
        <f t="shared" ca="1" si="178"/>
        <v>0</v>
      </c>
      <c r="HH22" s="13"/>
      <c r="IG22" s="13"/>
      <c r="IH22" s="13"/>
      <c r="II22" s="13"/>
      <c r="IJ22" s="13"/>
      <c r="IK22" s="13"/>
      <c r="IL22" s="13"/>
      <c r="IM22" s="13"/>
      <c r="IN22" s="13"/>
      <c r="IO22" s="13"/>
      <c r="IP22" s="13"/>
      <c r="IQ22" s="13"/>
      <c r="IR22" s="13"/>
      <c r="IS22" s="13"/>
      <c r="IT22" s="13"/>
      <c r="IU22" s="13"/>
      <c r="IV22" s="13"/>
    </row>
    <row r="23" spans="1:256" x14ac:dyDescent="0.25">
      <c r="A23" s="244">
        <f t="shared" ca="1" si="179"/>
        <v>36800</v>
      </c>
      <c r="B23" s="13">
        <f t="shared" ca="1" si="3"/>
        <v>2000</v>
      </c>
      <c r="C23" s="619">
        <f t="shared" ca="1" si="180"/>
        <v>10</v>
      </c>
      <c r="D23" s="195" t="str">
        <f t="shared" ca="1" si="4"/>
        <v/>
      </c>
      <c r="E23" s="469" t="str">
        <f t="shared" ca="1" si="5"/>
        <v/>
      </c>
      <c r="F23" s="465" t="str">
        <f t="shared" ca="1" si="6"/>
        <v/>
      </c>
      <c r="G23" s="521">
        <f t="shared" ca="1" si="181"/>
        <v>1</v>
      </c>
      <c r="H23" s="518">
        <f t="shared" ca="1" si="182"/>
        <v>1</v>
      </c>
      <c r="I23" s="724">
        <f t="shared" ca="1" si="7"/>
        <v>6.4972245960336003E-2</v>
      </c>
      <c r="J23" s="198">
        <f t="shared" ca="1" si="8"/>
        <v>0.95500401615520725</v>
      </c>
      <c r="K23" s="200">
        <f t="shared" ca="1" si="190"/>
        <v>31.05</v>
      </c>
      <c r="L23" s="201">
        <f t="shared" ca="1" si="191"/>
        <v>31.5</v>
      </c>
      <c r="M23" s="206">
        <f t="shared" ca="1" si="192"/>
        <v>31.95</v>
      </c>
      <c r="N23" s="851">
        <f t="shared" ca="1" si="196"/>
        <v>22.412999725341798</v>
      </c>
      <c r="O23" s="201">
        <f t="shared" ca="1" si="197"/>
        <v>22.750499725341797</v>
      </c>
      <c r="P23" s="206">
        <f t="shared" ca="1" si="198"/>
        <v>23.087999725341795</v>
      </c>
      <c r="Q23" s="201">
        <f t="shared" ca="1" si="199"/>
        <v>18.250999450683594</v>
      </c>
      <c r="R23" s="201">
        <f t="shared" ca="1" si="200"/>
        <v>20.750999450683594</v>
      </c>
      <c r="S23" s="201">
        <f t="shared" ca="1" si="201"/>
        <v>23.250999450683594</v>
      </c>
      <c r="T23" s="851">
        <f t="shared" ca="1" si="193"/>
        <v>19.274998092651366</v>
      </c>
      <c r="U23" s="201">
        <f t="shared" ca="1" si="194"/>
        <v>19.499998092651367</v>
      </c>
      <c r="V23" s="206">
        <f t="shared" ca="1" si="195"/>
        <v>19.724998092651369</v>
      </c>
      <c r="W23" s="230">
        <f t="shared" ca="1" si="183"/>
        <v>0.13350000000000001</v>
      </c>
      <c r="X23" s="231">
        <f t="shared" ca="1" si="184"/>
        <v>0.26700000000000002</v>
      </c>
      <c r="Y23" s="232">
        <f t="shared" ca="1" si="185"/>
        <v>0.40050000000000002</v>
      </c>
      <c r="Z23" s="231">
        <f t="shared" ca="1" si="9"/>
        <v>0.13350000000000001</v>
      </c>
      <c r="AA23" s="231">
        <f t="shared" ca="1" si="10"/>
        <v>0.26700000000000002</v>
      </c>
      <c r="AB23" s="232">
        <f t="shared" ca="1" si="11"/>
        <v>0.40050000000000002</v>
      </c>
      <c r="AC23" s="231">
        <f t="shared" ca="1" si="12"/>
        <v>0.13350000000000001</v>
      </c>
      <c r="AD23" s="231">
        <f t="shared" ca="1" si="13"/>
        <v>0.26700000000000002</v>
      </c>
      <c r="AE23" s="232">
        <f t="shared" ca="1" si="14"/>
        <v>0.40050000000000002</v>
      </c>
      <c r="AF23" s="231">
        <f t="shared" ca="1" si="186"/>
        <v>0.03</v>
      </c>
      <c r="AG23" s="231">
        <f t="shared" ca="1" si="187"/>
        <v>0.06</v>
      </c>
      <c r="AH23" s="232">
        <f t="shared" ca="1" si="188"/>
        <v>0.09</v>
      </c>
      <c r="AI23" s="233">
        <f t="shared" ca="1" si="15"/>
        <v>0.85000000000000009</v>
      </c>
      <c r="AJ23" s="233">
        <f t="shared" ca="1" si="16"/>
        <v>1.1000000000000001</v>
      </c>
      <c r="AK23" s="234">
        <f t="shared" ca="1" si="17"/>
        <v>1.4000000000000001</v>
      </c>
      <c r="AL23" s="919">
        <f t="shared" ca="1" si="18"/>
        <v>0.85000000000000009</v>
      </c>
      <c r="AM23" s="233">
        <f t="shared" ca="1" si="19"/>
        <v>1.1000000000000001</v>
      </c>
      <c r="AN23" s="234">
        <f t="shared" ca="1" si="20"/>
        <v>1.4000000000000001</v>
      </c>
      <c r="AO23" s="233">
        <f t="shared" ca="1" si="21"/>
        <v>0.85000000000000009</v>
      </c>
      <c r="AP23" s="233">
        <f t="shared" ca="1" si="22"/>
        <v>1.1000000000000001</v>
      </c>
      <c r="AQ23" s="233">
        <f t="shared" ca="1" si="23"/>
        <v>1.4000000000000001</v>
      </c>
      <c r="AR23" s="919">
        <f t="shared" ca="1" si="24"/>
        <v>0.19999999999999998</v>
      </c>
      <c r="AS23" s="233">
        <f t="shared" ca="1" si="25"/>
        <v>0.35</v>
      </c>
      <c r="AT23" s="235">
        <f t="shared" ca="1" si="26"/>
        <v>0.55000000000000004</v>
      </c>
      <c r="AU23" s="946">
        <f t="shared" si="27"/>
        <v>0.5</v>
      </c>
      <c r="AV23" s="13">
        <f t="shared" ca="1" si="28"/>
        <v>0</v>
      </c>
      <c r="AW23" s="210">
        <f t="shared" ca="1" si="29"/>
        <v>0</v>
      </c>
      <c r="AX23" s="210">
        <f t="shared" ca="1" si="30"/>
        <v>0</v>
      </c>
      <c r="AY23" s="210">
        <f t="shared" ca="1" si="31"/>
        <v>0</v>
      </c>
      <c r="AZ23" s="13">
        <f t="shared" ca="1" si="32"/>
        <v>0</v>
      </c>
      <c r="BA23" s="355">
        <f ca="1"/>
        <v>0</v>
      </c>
      <c r="BB23" s="363">
        <f ca="1"/>
        <v>0</v>
      </c>
      <c r="BC23" s="363">
        <f ca="1"/>
        <v>0</v>
      </c>
      <c r="BD23" s="927">
        <f ca="1"/>
        <v>0</v>
      </c>
      <c r="BE23" s="930">
        <f ca="1"/>
        <v>0</v>
      </c>
      <c r="BF23" s="931">
        <f ca="1"/>
        <v>0</v>
      </c>
      <c r="BG23" s="931">
        <f ca="1"/>
        <v>0</v>
      </c>
      <c r="BH23" s="932">
        <f ca="1"/>
        <v>0</v>
      </c>
      <c r="BI23" s="355">
        <f ca="1"/>
        <v>0</v>
      </c>
      <c r="BJ23" s="363">
        <f ca="1"/>
        <v>0</v>
      </c>
      <c r="BK23" s="363">
        <f ca="1"/>
        <v>0</v>
      </c>
      <c r="BL23" s="927">
        <f ca="1"/>
        <v>0</v>
      </c>
      <c r="BM23" s="930">
        <f ca="1"/>
        <v>0</v>
      </c>
      <c r="BN23" s="931">
        <f ca="1"/>
        <v>0</v>
      </c>
      <c r="BO23" s="931">
        <f ca="1"/>
        <v>0</v>
      </c>
      <c r="BP23" s="932">
        <f ca="1"/>
        <v>0</v>
      </c>
      <c r="BQ23" s="355">
        <f t="shared" ca="1" si="33"/>
        <v>0</v>
      </c>
      <c r="BR23" s="360">
        <f t="shared" ca="1" si="34"/>
        <v>0</v>
      </c>
      <c r="BS23" s="357">
        <f t="shared" ca="1" si="35"/>
        <v>0</v>
      </c>
      <c r="BT23" s="302">
        <f t="shared" ca="1" si="36"/>
        <v>0</v>
      </c>
      <c r="BU23" s="299">
        <f t="shared" ca="1" si="37"/>
        <v>0</v>
      </c>
      <c r="BV23" s="299">
        <f t="shared" ca="1" si="38"/>
        <v>0</v>
      </c>
      <c r="BW23" s="299">
        <f t="shared" ca="1" si="39"/>
        <v>0</v>
      </c>
      <c r="BX23" s="380">
        <f t="shared" ca="1" si="40"/>
        <v>0.58316221765913756</v>
      </c>
      <c r="BY23" s="363">
        <f t="shared" ca="1" si="41"/>
        <v>0</v>
      </c>
      <c r="BZ23" s="353">
        <f t="shared" ca="1" si="42"/>
        <v>0</v>
      </c>
      <c r="CA23" s="353">
        <f t="shared" ca="1" si="43"/>
        <v>0</v>
      </c>
      <c r="CB23" s="353">
        <f t="shared" ca="1" si="44"/>
        <v>0</v>
      </c>
      <c r="CC23" s="353">
        <f t="shared" ca="1" si="45"/>
        <v>0</v>
      </c>
      <c r="CD23" s="353">
        <f t="shared" ca="1" si="46"/>
        <v>0</v>
      </c>
      <c r="CE23" s="302">
        <f t="shared" ca="1" si="47"/>
        <v>0</v>
      </c>
      <c r="CF23" s="299">
        <f t="shared" ca="1" si="48"/>
        <v>0</v>
      </c>
      <c r="CG23" s="299">
        <f t="shared" ca="1" si="49"/>
        <v>0</v>
      </c>
      <c r="CH23" s="299">
        <f t="shared" ca="1" si="50"/>
        <v>0</v>
      </c>
      <c r="CI23" s="299">
        <f t="shared" ca="1" si="51"/>
        <v>0</v>
      </c>
      <c r="CJ23" s="299">
        <f t="shared" ca="1" si="52"/>
        <v>0</v>
      </c>
      <c r="CK23" s="299">
        <f t="shared" ca="1" si="53"/>
        <v>0</v>
      </c>
      <c r="CL23" s="377" t="str">
        <f t="shared" ca="1" si="54"/>
        <v/>
      </c>
      <c r="CM23" s="305" t="str">
        <f t="shared" ca="1" si="55"/>
        <v/>
      </c>
      <c r="CN23" s="305" t="str">
        <f t="shared" ca="1" si="56"/>
        <v/>
      </c>
      <c r="CO23" s="305" t="str">
        <f t="shared" ca="1" si="57"/>
        <v/>
      </c>
      <c r="CP23" s="305" t="str">
        <f t="shared" ca="1" si="58"/>
        <v/>
      </c>
      <c r="CQ23" s="305" t="str">
        <f t="shared" ca="1" si="59"/>
        <v/>
      </c>
      <c r="CR23" s="775" t="str">
        <f t="shared" ca="1" si="60"/>
        <v/>
      </c>
      <c r="CS23" s="305" t="str">
        <f t="shared" ca="1" si="61"/>
        <v/>
      </c>
      <c r="CT23" s="305" t="str">
        <f t="shared" ca="1" si="62"/>
        <v/>
      </c>
      <c r="CU23" s="305" t="str">
        <f t="shared" ca="1" si="63"/>
        <v/>
      </c>
      <c r="CV23" s="770" t="str">
        <f t="shared" ca="1" si="64"/>
        <v/>
      </c>
      <c r="CW23" s="302">
        <f t="shared" ca="1" si="65"/>
        <v>0</v>
      </c>
      <c r="CX23" s="299">
        <f t="shared" ca="1" si="66"/>
        <v>0</v>
      </c>
      <c r="CY23" s="299">
        <f t="shared" ca="1" si="67"/>
        <v>0</v>
      </c>
      <c r="CZ23" s="299">
        <f t="shared" ca="1" si="68"/>
        <v>0</v>
      </c>
      <c r="DA23" s="774">
        <f t="shared" ca="1" si="69"/>
        <v>0</v>
      </c>
      <c r="DB23" s="303">
        <f t="shared" ca="1" si="70"/>
        <v>0</v>
      </c>
      <c r="DC23" s="248">
        <f t="shared" ca="1" si="71"/>
        <v>0</v>
      </c>
      <c r="DD23" s="778">
        <f t="shared" ca="1" si="72"/>
        <v>0</v>
      </c>
      <c r="DE23" s="363">
        <f t="shared" ca="1" si="73"/>
        <v>0</v>
      </c>
      <c r="DF23" s="378" t="str">
        <f t="shared" ca="1" si="74"/>
        <v/>
      </c>
      <c r="DG23" s="508" t="str">
        <f t="shared" ca="1" si="75"/>
        <v/>
      </c>
      <c r="DH23" s="508" t="str">
        <f t="shared" ca="1" si="76"/>
        <v/>
      </c>
      <c r="DI23" s="508" t="str">
        <f t="shared" ca="1" si="77"/>
        <v/>
      </c>
      <c r="DJ23" s="508" t="str">
        <f t="shared" ca="1" si="78"/>
        <v/>
      </c>
      <c r="DK23" s="353">
        <f t="shared" ca="1" si="79"/>
        <v>0</v>
      </c>
      <c r="DL23" s="781">
        <f t="shared" ca="1" si="80"/>
        <v>0</v>
      </c>
      <c r="DM23" s="303">
        <f t="shared" ca="1" si="81"/>
        <v>0</v>
      </c>
      <c r="DN23" s="508" t="str">
        <f t="shared" ca="1" si="82"/>
        <v/>
      </c>
      <c r="DO23" s="508" t="str">
        <f t="shared" ca="1" si="83"/>
        <v/>
      </c>
      <c r="DP23" s="508" t="str">
        <f t="shared" ca="1" si="84"/>
        <v/>
      </c>
      <c r="DQ23" s="508" t="str">
        <f t="shared" ca="1" si="85"/>
        <v/>
      </c>
      <c r="DR23" s="508" t="str">
        <f t="shared" ca="1" si="86"/>
        <v/>
      </c>
      <c r="DS23" s="353">
        <f t="shared" ca="1" si="87"/>
        <v>0</v>
      </c>
      <c r="DT23" s="353">
        <f t="shared" ca="1" si="88"/>
        <v>0</v>
      </c>
      <c r="DU23" s="380">
        <f t="shared" ca="1" si="189"/>
        <v>0.58316221765913756</v>
      </c>
      <c r="DV23" s="303">
        <f t="shared" ca="1" si="89"/>
        <v>0</v>
      </c>
      <c r="DW23" s="303">
        <f t="shared" ca="1" si="90"/>
        <v>0</v>
      </c>
      <c r="DX23" s="303">
        <f t="shared" ca="1" si="91"/>
        <v>0</v>
      </c>
      <c r="DY23" s="303">
        <f t="shared" ca="1" si="92"/>
        <v>0</v>
      </c>
      <c r="DZ23" s="303">
        <f t="shared" ca="1" si="93"/>
        <v>0</v>
      </c>
      <c r="EA23" s="303">
        <f t="shared" ca="1" si="94"/>
        <v>0</v>
      </c>
      <c r="EB23" s="302">
        <f t="shared" ca="1" si="95"/>
        <v>0</v>
      </c>
      <c r="EC23" s="299">
        <f t="shared" ca="1" si="96"/>
        <v>0</v>
      </c>
      <c r="ED23" s="299">
        <f t="shared" ca="1" si="97"/>
        <v>0</v>
      </c>
      <c r="EE23" s="299">
        <f t="shared" ca="1" si="98"/>
        <v>0</v>
      </c>
      <c r="EF23" s="299">
        <f t="shared" ca="1" si="99"/>
        <v>0</v>
      </c>
      <c r="EG23" s="299">
        <f t="shared" ca="1" si="100"/>
        <v>0</v>
      </c>
      <c r="EH23" s="302">
        <f t="shared" ca="1" si="101"/>
        <v>0</v>
      </c>
      <c r="EI23" s="304" t="str">
        <f t="shared" ca="1" si="102"/>
        <v/>
      </c>
      <c r="EJ23" s="305" t="str">
        <f t="shared" ca="1" si="103"/>
        <v/>
      </c>
      <c r="EK23" s="305" t="str">
        <f t="shared" ca="1" si="104"/>
        <v/>
      </c>
      <c r="EL23" s="305" t="str">
        <f t="shared" ca="1" si="105"/>
        <v/>
      </c>
      <c r="EM23" s="305" t="str">
        <f t="shared" ca="1" si="106"/>
        <v/>
      </c>
      <c r="EN23" s="305" t="str">
        <f t="shared" ca="1" si="107"/>
        <v/>
      </c>
      <c r="EO23" s="305" t="str">
        <f t="shared" ca="1" si="108"/>
        <v/>
      </c>
      <c r="EP23" s="305" t="str">
        <f t="shared" ca="1" si="109"/>
        <v/>
      </c>
      <c r="EQ23" s="305" t="str">
        <f t="shared" ca="1" si="110"/>
        <v/>
      </c>
      <c r="ER23" s="305" t="str">
        <f t="shared" ca="1" si="111"/>
        <v/>
      </c>
      <c r="ES23" s="305" t="str">
        <f t="shared" ca="1" si="112"/>
        <v/>
      </c>
      <c r="ET23" s="299">
        <f t="shared" ca="1" si="113"/>
        <v>0</v>
      </c>
      <c r="EU23" s="302">
        <f t="shared" ca="1" si="114"/>
        <v>0</v>
      </c>
      <c r="EV23" s="304" t="str">
        <f t="shared" ca="1" si="115"/>
        <v/>
      </c>
      <c r="EW23" s="305" t="str">
        <f t="shared" ca="1" si="116"/>
        <v/>
      </c>
      <c r="EX23" s="305" t="str">
        <f t="shared" ca="1" si="117"/>
        <v/>
      </c>
      <c r="EY23" s="305" t="str">
        <f t="shared" ca="1" si="118"/>
        <v/>
      </c>
      <c r="EZ23" s="305" t="str">
        <f t="shared" ca="1" si="119"/>
        <v/>
      </c>
      <c r="FA23" s="305" t="str">
        <f t="shared" ca="1" si="120"/>
        <v/>
      </c>
      <c r="FB23" s="305" t="str">
        <f t="shared" ca="1" si="121"/>
        <v/>
      </c>
      <c r="FC23" s="305" t="str">
        <f t="shared" ca="1" si="122"/>
        <v/>
      </c>
      <c r="FD23" s="305" t="str">
        <f t="shared" ca="1" si="123"/>
        <v/>
      </c>
      <c r="FE23" s="305" t="str">
        <f t="shared" ca="1" si="124"/>
        <v/>
      </c>
      <c r="FF23" s="305" t="str">
        <f t="shared" ca="1" si="125"/>
        <v/>
      </c>
      <c r="FG23" s="299">
        <f t="shared" ca="1" si="126"/>
        <v>0</v>
      </c>
      <c r="FH23" s="302">
        <f t="shared" ca="1" si="127"/>
        <v>0</v>
      </c>
      <c r="FI23" s="248">
        <f t="shared" ca="1" si="128"/>
        <v>0</v>
      </c>
      <c r="FJ23" s="363">
        <f t="shared" ca="1" si="129"/>
        <v>0</v>
      </c>
      <c r="FK23" s="378" t="str">
        <f t="shared" ca="1" si="130"/>
        <v/>
      </c>
      <c r="FL23" s="508" t="str">
        <f t="shared" ca="1" si="131"/>
        <v/>
      </c>
      <c r="FM23" s="508" t="str">
        <f t="shared" ca="1" si="132"/>
        <v/>
      </c>
      <c r="FN23" s="508" t="str">
        <f t="shared" ca="1" si="133"/>
        <v/>
      </c>
      <c r="FO23" s="508" t="str">
        <f t="shared" ca="1" si="134"/>
        <v/>
      </c>
      <c r="FP23" s="353">
        <f t="shared" ca="1" si="135"/>
        <v>0</v>
      </c>
      <c r="FQ23" s="356">
        <f t="shared" ca="1" si="136"/>
        <v>0</v>
      </c>
      <c r="FR23" s="380">
        <f t="shared" ca="1" si="137"/>
        <v>0</v>
      </c>
      <c r="FS23" s="299">
        <f t="shared" ca="1" si="138"/>
        <v>0</v>
      </c>
      <c r="FT23" s="299">
        <f t="shared" ca="1" si="139"/>
        <v>0</v>
      </c>
      <c r="FU23" s="299">
        <f t="shared" ca="1" si="140"/>
        <v>0</v>
      </c>
      <c r="FV23" s="299">
        <f t="shared" ca="1" si="141"/>
        <v>0</v>
      </c>
      <c r="FW23" s="850" t="str">
        <f t="shared" ca="1" si="142"/>
        <v/>
      </c>
      <c r="FX23" s="851" t="str">
        <f t="shared" ca="1" si="143"/>
        <v/>
      </c>
      <c r="FY23" s="851" t="str">
        <f t="shared" ca="1" si="144"/>
        <v/>
      </c>
      <c r="FZ23" s="201" t="str">
        <f t="shared" ca="1" si="145"/>
        <v/>
      </c>
      <c r="GA23" s="201" t="str">
        <f t="shared" ca="1" si="146"/>
        <v/>
      </c>
      <c r="GB23" s="201" t="str">
        <f t="shared" ca="1" si="147"/>
        <v/>
      </c>
      <c r="GC23" s="201" t="str">
        <f t="shared" ca="1" si="148"/>
        <v/>
      </c>
      <c r="GD23" s="850" t="str">
        <f t="shared" ca="1" si="149"/>
        <v/>
      </c>
      <c r="GE23" s="866" t="str">
        <f t="shared" ca="1" si="150"/>
        <v/>
      </c>
      <c r="GF23" s="866" t="str">
        <f t="shared" ca="1" si="151"/>
        <v/>
      </c>
      <c r="GG23" s="866" t="str">
        <f t="shared" ca="1" si="152"/>
        <v/>
      </c>
      <c r="GH23" s="866" t="str">
        <f t="shared" ca="1" si="153"/>
        <v/>
      </c>
      <c r="GI23" s="302">
        <f t="shared" ca="1" si="154"/>
        <v>0</v>
      </c>
      <c r="GJ23" s="299">
        <f t="shared" ca="1" si="155"/>
        <v>0</v>
      </c>
      <c r="GK23" s="299">
        <f t="shared" ca="1" si="156"/>
        <v>0</v>
      </c>
      <c r="GL23" s="299">
        <f t="shared" ca="1" si="157"/>
        <v>0</v>
      </c>
      <c r="GM23" s="299">
        <f t="shared" ca="1" si="158"/>
        <v>0</v>
      </c>
      <c r="GN23" s="302">
        <f t="shared" ca="1" si="159"/>
        <v>0</v>
      </c>
      <c r="GO23" s="299">
        <f t="shared" ca="1" si="160"/>
        <v>0</v>
      </c>
      <c r="GP23" s="299">
        <f t="shared" ca="1" si="161"/>
        <v>0</v>
      </c>
      <c r="GQ23" s="299">
        <f t="shared" ca="1" si="162"/>
        <v>0</v>
      </c>
      <c r="GR23" s="299">
        <f t="shared" ca="1" si="163"/>
        <v>0</v>
      </c>
      <c r="GS23" s="302">
        <f t="shared" ca="1" si="164"/>
        <v>0</v>
      </c>
      <c r="GT23" s="299">
        <f t="shared" ca="1" si="165"/>
        <v>0</v>
      </c>
      <c r="GU23" s="299">
        <f t="shared" ca="1" si="166"/>
        <v>0</v>
      </c>
      <c r="GV23" s="299">
        <f t="shared" ca="1" si="167"/>
        <v>0</v>
      </c>
      <c r="GW23" s="299">
        <f t="shared" ca="1" si="168"/>
        <v>0</v>
      </c>
      <c r="GX23" s="303">
        <f t="shared" ca="1" si="169"/>
        <v>0</v>
      </c>
      <c r="GY23" s="303">
        <f t="shared" ca="1" si="170"/>
        <v>0</v>
      </c>
      <c r="GZ23" s="303">
        <f t="shared" ca="1" si="171"/>
        <v>0</v>
      </c>
      <c r="HA23" s="303">
        <f t="shared" ca="1" si="172"/>
        <v>0</v>
      </c>
      <c r="HB23" s="303">
        <f t="shared" ca="1" si="173"/>
        <v>0</v>
      </c>
      <c r="HC23" s="303">
        <f t="shared" ca="1" si="174"/>
        <v>0</v>
      </c>
      <c r="HD23" s="303">
        <f t="shared" ca="1" si="175"/>
        <v>0</v>
      </c>
      <c r="HE23" s="303">
        <f t="shared" ca="1" si="176"/>
        <v>0</v>
      </c>
      <c r="HF23" s="303">
        <f t="shared" ca="1" si="177"/>
        <v>0</v>
      </c>
      <c r="HG23" s="852">
        <f t="shared" ca="1" si="178"/>
        <v>0</v>
      </c>
      <c r="HH23" s="13"/>
      <c r="IG23" s="13"/>
      <c r="IH23" s="13"/>
      <c r="II23" s="13"/>
      <c r="IJ23" s="13"/>
      <c r="IK23" s="13"/>
      <c r="IL23" s="13"/>
      <c r="IM23" s="13"/>
      <c r="IN23" s="13"/>
      <c r="IO23" s="13"/>
      <c r="IP23" s="13"/>
      <c r="IQ23" s="13"/>
      <c r="IR23" s="13"/>
      <c r="IS23" s="13"/>
      <c r="IT23" s="13"/>
      <c r="IU23" s="13"/>
      <c r="IV23" s="13"/>
    </row>
    <row r="24" spans="1:256" x14ac:dyDescent="0.25">
      <c r="A24" s="244">
        <f t="shared" ca="1" si="179"/>
        <v>36831</v>
      </c>
      <c r="B24" s="13">
        <f t="shared" ca="1" si="3"/>
        <v>2000</v>
      </c>
      <c r="C24" s="619">
        <f t="shared" ca="1" si="180"/>
        <v>11</v>
      </c>
      <c r="D24" s="195">
        <f t="shared" ca="1" si="4"/>
        <v>36853</v>
      </c>
      <c r="E24" s="469" t="str">
        <f t="shared" ca="1" si="5"/>
        <v/>
      </c>
      <c r="F24" s="465" t="str">
        <f t="shared" ca="1" si="6"/>
        <v/>
      </c>
      <c r="G24" s="521">
        <f t="shared" ca="1" si="181"/>
        <v>1</v>
      </c>
      <c r="H24" s="518">
        <f t="shared" ca="1" si="182"/>
        <v>1</v>
      </c>
      <c r="I24" s="724">
        <f t="shared" ca="1" si="7"/>
        <v>6.5482946055964997E-2</v>
      </c>
      <c r="J24" s="198">
        <f t="shared" ca="1" si="8"/>
        <v>0.94962495820647441</v>
      </c>
      <c r="K24" s="200">
        <f t="shared" ca="1" si="190"/>
        <v>31.55</v>
      </c>
      <c r="L24" s="201">
        <f t="shared" ca="1" si="191"/>
        <v>32</v>
      </c>
      <c r="M24" s="206">
        <f t="shared" ca="1" si="192"/>
        <v>32.450000000000003</v>
      </c>
      <c r="N24" s="851">
        <f t="shared" ca="1" si="196"/>
        <v>23.417251205444337</v>
      </c>
      <c r="O24" s="201">
        <f t="shared" ca="1" si="197"/>
        <v>23.754751205444336</v>
      </c>
      <c r="P24" s="206">
        <f t="shared" ca="1" si="198"/>
        <v>24.092251205444335</v>
      </c>
      <c r="Q24" s="201">
        <f t="shared" ca="1" si="199"/>
        <v>19.254499435424805</v>
      </c>
      <c r="R24" s="201">
        <f t="shared" ca="1" si="200"/>
        <v>21.754499435424805</v>
      </c>
      <c r="S24" s="201">
        <f t="shared" ca="1" si="201"/>
        <v>24.254499435424805</v>
      </c>
      <c r="T24" s="851">
        <f t="shared" ca="1" si="193"/>
        <v>19.274998092651366</v>
      </c>
      <c r="U24" s="201">
        <f t="shared" ca="1" si="194"/>
        <v>19.499998092651367</v>
      </c>
      <c r="V24" s="206">
        <f t="shared" ca="1" si="195"/>
        <v>19.724998092651369</v>
      </c>
      <c r="W24" s="230">
        <f t="shared" ca="1" si="183"/>
        <v>0.13350000000000001</v>
      </c>
      <c r="X24" s="231">
        <f t="shared" ca="1" si="184"/>
        <v>0.26700000000000002</v>
      </c>
      <c r="Y24" s="232">
        <f t="shared" ca="1" si="185"/>
        <v>0.40050000000000002</v>
      </c>
      <c r="Z24" s="231">
        <f t="shared" ca="1" si="9"/>
        <v>0.13350000000000001</v>
      </c>
      <c r="AA24" s="231">
        <f t="shared" ca="1" si="10"/>
        <v>0.26700000000000002</v>
      </c>
      <c r="AB24" s="232">
        <f t="shared" ca="1" si="11"/>
        <v>0.40050000000000002</v>
      </c>
      <c r="AC24" s="231">
        <f t="shared" ca="1" si="12"/>
        <v>0.13350000000000001</v>
      </c>
      <c r="AD24" s="231">
        <f t="shared" ca="1" si="13"/>
        <v>0.26700000000000002</v>
      </c>
      <c r="AE24" s="232">
        <f t="shared" ca="1" si="14"/>
        <v>0.40050000000000002</v>
      </c>
      <c r="AF24" s="231">
        <f t="shared" ca="1" si="186"/>
        <v>0.03</v>
      </c>
      <c r="AG24" s="231">
        <f t="shared" ca="1" si="187"/>
        <v>0.06</v>
      </c>
      <c r="AH24" s="232">
        <f t="shared" ca="1" si="188"/>
        <v>0.09</v>
      </c>
      <c r="AI24" s="233">
        <f t="shared" ca="1" si="15"/>
        <v>1</v>
      </c>
      <c r="AJ24" s="233">
        <f t="shared" ca="1" si="16"/>
        <v>1.25</v>
      </c>
      <c r="AK24" s="234">
        <f t="shared" ca="1" si="17"/>
        <v>1.55</v>
      </c>
      <c r="AL24" s="919">
        <f t="shared" ca="1" si="18"/>
        <v>1</v>
      </c>
      <c r="AM24" s="233">
        <f t="shared" ca="1" si="19"/>
        <v>1.25</v>
      </c>
      <c r="AN24" s="234">
        <f t="shared" ca="1" si="20"/>
        <v>1.55</v>
      </c>
      <c r="AO24" s="233">
        <f t="shared" ca="1" si="21"/>
        <v>1</v>
      </c>
      <c r="AP24" s="233">
        <f t="shared" ca="1" si="22"/>
        <v>1.25</v>
      </c>
      <c r="AQ24" s="233">
        <f t="shared" ca="1" si="23"/>
        <v>1.55</v>
      </c>
      <c r="AR24" s="919">
        <f t="shared" ca="1" si="24"/>
        <v>0.15</v>
      </c>
      <c r="AS24" s="233">
        <f t="shared" ca="1" si="25"/>
        <v>0.3</v>
      </c>
      <c r="AT24" s="235">
        <f t="shared" ca="1" si="26"/>
        <v>0.5</v>
      </c>
      <c r="AU24" s="946">
        <f t="shared" si="27"/>
        <v>0.5</v>
      </c>
      <c r="AV24" s="13">
        <f t="shared" ca="1" si="28"/>
        <v>0</v>
      </c>
      <c r="AW24" s="210">
        <f t="shared" ca="1" si="29"/>
        <v>0</v>
      </c>
      <c r="AX24" s="210">
        <f t="shared" ca="1" si="30"/>
        <v>0</v>
      </c>
      <c r="AY24" s="210">
        <f t="shared" ca="1" si="31"/>
        <v>0</v>
      </c>
      <c r="AZ24" s="13">
        <f t="shared" ca="1" si="32"/>
        <v>0</v>
      </c>
      <c r="BA24" s="355">
        <f ca="1"/>
        <v>0</v>
      </c>
      <c r="BB24" s="363">
        <f ca="1"/>
        <v>0</v>
      </c>
      <c r="BC24" s="363">
        <f ca="1"/>
        <v>0</v>
      </c>
      <c r="BD24" s="927">
        <f ca="1"/>
        <v>0</v>
      </c>
      <c r="BE24" s="930">
        <f ca="1"/>
        <v>0</v>
      </c>
      <c r="BF24" s="931">
        <f ca="1"/>
        <v>0</v>
      </c>
      <c r="BG24" s="931">
        <f ca="1"/>
        <v>0</v>
      </c>
      <c r="BH24" s="932">
        <f ca="1"/>
        <v>0</v>
      </c>
      <c r="BI24" s="355">
        <f ca="1"/>
        <v>0</v>
      </c>
      <c r="BJ24" s="363">
        <f ca="1"/>
        <v>0</v>
      </c>
      <c r="BK24" s="363">
        <f ca="1"/>
        <v>0</v>
      </c>
      <c r="BL24" s="927">
        <f ca="1"/>
        <v>0</v>
      </c>
      <c r="BM24" s="930">
        <f ca="1"/>
        <v>0</v>
      </c>
      <c r="BN24" s="931">
        <f ca="1"/>
        <v>0</v>
      </c>
      <c r="BO24" s="931">
        <f ca="1"/>
        <v>0</v>
      </c>
      <c r="BP24" s="932">
        <f ca="1"/>
        <v>0</v>
      </c>
      <c r="BQ24" s="355">
        <f t="shared" ca="1" si="33"/>
        <v>0</v>
      </c>
      <c r="BR24" s="360">
        <f t="shared" ca="1" si="34"/>
        <v>0</v>
      </c>
      <c r="BS24" s="357">
        <f t="shared" ca="1" si="35"/>
        <v>0</v>
      </c>
      <c r="BT24" s="302">
        <f t="shared" ca="1" si="36"/>
        <v>0</v>
      </c>
      <c r="BU24" s="299">
        <f t="shared" ca="1" si="37"/>
        <v>0</v>
      </c>
      <c r="BV24" s="299">
        <f t="shared" ca="1" si="38"/>
        <v>0</v>
      </c>
      <c r="BW24" s="299">
        <f t="shared" ca="1" si="39"/>
        <v>0</v>
      </c>
      <c r="BX24" s="380">
        <f t="shared" ca="1" si="40"/>
        <v>0.66803559206023266</v>
      </c>
      <c r="BY24" s="363">
        <f t="shared" ca="1" si="41"/>
        <v>0</v>
      </c>
      <c r="BZ24" s="353">
        <f t="shared" ca="1" si="42"/>
        <v>0</v>
      </c>
      <c r="CA24" s="353">
        <f t="shared" ca="1" si="43"/>
        <v>0</v>
      </c>
      <c r="CB24" s="353">
        <f t="shared" ca="1" si="44"/>
        <v>0</v>
      </c>
      <c r="CC24" s="353">
        <f t="shared" ca="1" si="45"/>
        <v>0</v>
      </c>
      <c r="CD24" s="353">
        <f t="shared" ca="1" si="46"/>
        <v>0</v>
      </c>
      <c r="CE24" s="302">
        <f t="shared" ca="1" si="47"/>
        <v>0</v>
      </c>
      <c r="CF24" s="299">
        <f t="shared" ca="1" si="48"/>
        <v>0</v>
      </c>
      <c r="CG24" s="299">
        <f t="shared" ca="1" si="49"/>
        <v>0</v>
      </c>
      <c r="CH24" s="299">
        <f t="shared" ca="1" si="50"/>
        <v>0</v>
      </c>
      <c r="CI24" s="299">
        <f t="shared" ca="1" si="51"/>
        <v>0</v>
      </c>
      <c r="CJ24" s="299">
        <f t="shared" ca="1" si="52"/>
        <v>0</v>
      </c>
      <c r="CK24" s="299">
        <f t="shared" ca="1" si="53"/>
        <v>0</v>
      </c>
      <c r="CL24" s="377" t="str">
        <f t="shared" ca="1" si="54"/>
        <v/>
      </c>
      <c r="CM24" s="305" t="str">
        <f t="shared" ca="1" si="55"/>
        <v/>
      </c>
      <c r="CN24" s="305" t="str">
        <f t="shared" ca="1" si="56"/>
        <v/>
      </c>
      <c r="CO24" s="305" t="str">
        <f t="shared" ca="1" si="57"/>
        <v/>
      </c>
      <c r="CP24" s="305" t="str">
        <f t="shared" ca="1" si="58"/>
        <v/>
      </c>
      <c r="CQ24" s="305" t="str">
        <f t="shared" ca="1" si="59"/>
        <v/>
      </c>
      <c r="CR24" s="775" t="str">
        <f t="shared" ca="1" si="60"/>
        <v/>
      </c>
      <c r="CS24" s="305" t="str">
        <f t="shared" ca="1" si="61"/>
        <v/>
      </c>
      <c r="CT24" s="305" t="str">
        <f t="shared" ca="1" si="62"/>
        <v/>
      </c>
      <c r="CU24" s="305" t="str">
        <f t="shared" ca="1" si="63"/>
        <v/>
      </c>
      <c r="CV24" s="770" t="str">
        <f t="shared" ca="1" si="64"/>
        <v/>
      </c>
      <c r="CW24" s="302">
        <f t="shared" ca="1" si="65"/>
        <v>0</v>
      </c>
      <c r="CX24" s="299">
        <f t="shared" ca="1" si="66"/>
        <v>0</v>
      </c>
      <c r="CY24" s="299">
        <f t="shared" ca="1" si="67"/>
        <v>0</v>
      </c>
      <c r="CZ24" s="299">
        <f t="shared" ca="1" si="68"/>
        <v>0</v>
      </c>
      <c r="DA24" s="774">
        <f t="shared" ca="1" si="69"/>
        <v>0</v>
      </c>
      <c r="DB24" s="303">
        <f t="shared" ca="1" si="70"/>
        <v>0</v>
      </c>
      <c r="DC24" s="248">
        <f t="shared" ca="1" si="71"/>
        <v>0</v>
      </c>
      <c r="DD24" s="778">
        <f t="shared" ca="1" si="72"/>
        <v>0</v>
      </c>
      <c r="DE24" s="363">
        <f t="shared" ca="1" si="73"/>
        <v>0</v>
      </c>
      <c r="DF24" s="378" t="str">
        <f t="shared" ca="1" si="74"/>
        <v/>
      </c>
      <c r="DG24" s="508" t="str">
        <f t="shared" ca="1" si="75"/>
        <v/>
      </c>
      <c r="DH24" s="508" t="str">
        <f t="shared" ca="1" si="76"/>
        <v/>
      </c>
      <c r="DI24" s="508" t="str">
        <f t="shared" ca="1" si="77"/>
        <v/>
      </c>
      <c r="DJ24" s="508" t="str">
        <f t="shared" ca="1" si="78"/>
        <v/>
      </c>
      <c r="DK24" s="353">
        <f t="shared" ca="1" si="79"/>
        <v>0</v>
      </c>
      <c r="DL24" s="781">
        <f t="shared" ca="1" si="80"/>
        <v>0</v>
      </c>
      <c r="DM24" s="303">
        <f t="shared" ca="1" si="81"/>
        <v>0</v>
      </c>
      <c r="DN24" s="508" t="str">
        <f t="shared" ca="1" si="82"/>
        <v/>
      </c>
      <c r="DO24" s="508" t="str">
        <f t="shared" ca="1" si="83"/>
        <v/>
      </c>
      <c r="DP24" s="508" t="str">
        <f t="shared" ca="1" si="84"/>
        <v/>
      </c>
      <c r="DQ24" s="508" t="str">
        <f t="shared" ca="1" si="85"/>
        <v/>
      </c>
      <c r="DR24" s="508" t="str">
        <f t="shared" ca="1" si="86"/>
        <v/>
      </c>
      <c r="DS24" s="353">
        <f t="shared" ca="1" si="87"/>
        <v>0</v>
      </c>
      <c r="DT24" s="353">
        <f t="shared" ca="1" si="88"/>
        <v>0</v>
      </c>
      <c r="DU24" s="380">
        <f t="shared" ca="1" si="189"/>
        <v>0.66803559206023266</v>
      </c>
      <c r="DV24" s="303">
        <f t="shared" ca="1" si="89"/>
        <v>0</v>
      </c>
      <c r="DW24" s="303">
        <f t="shared" ca="1" si="90"/>
        <v>0</v>
      </c>
      <c r="DX24" s="303">
        <f t="shared" ca="1" si="91"/>
        <v>0</v>
      </c>
      <c r="DY24" s="303">
        <f t="shared" ca="1" si="92"/>
        <v>0</v>
      </c>
      <c r="DZ24" s="303">
        <f t="shared" ca="1" si="93"/>
        <v>0</v>
      </c>
      <c r="EA24" s="303">
        <f t="shared" ca="1" si="94"/>
        <v>0</v>
      </c>
      <c r="EB24" s="302">
        <f t="shared" ca="1" si="95"/>
        <v>0</v>
      </c>
      <c r="EC24" s="299">
        <f t="shared" ca="1" si="96"/>
        <v>0</v>
      </c>
      <c r="ED24" s="299">
        <f t="shared" ca="1" si="97"/>
        <v>0</v>
      </c>
      <c r="EE24" s="299">
        <f t="shared" ca="1" si="98"/>
        <v>0</v>
      </c>
      <c r="EF24" s="299">
        <f t="shared" ca="1" si="99"/>
        <v>0</v>
      </c>
      <c r="EG24" s="299">
        <f t="shared" ca="1" si="100"/>
        <v>0</v>
      </c>
      <c r="EH24" s="302">
        <f t="shared" ca="1" si="101"/>
        <v>0</v>
      </c>
      <c r="EI24" s="304" t="str">
        <f t="shared" ca="1" si="102"/>
        <v/>
      </c>
      <c r="EJ24" s="305" t="str">
        <f t="shared" ca="1" si="103"/>
        <v/>
      </c>
      <c r="EK24" s="305" t="str">
        <f t="shared" ca="1" si="104"/>
        <v/>
      </c>
      <c r="EL24" s="305" t="str">
        <f t="shared" ca="1" si="105"/>
        <v/>
      </c>
      <c r="EM24" s="305" t="str">
        <f t="shared" ca="1" si="106"/>
        <v/>
      </c>
      <c r="EN24" s="305" t="str">
        <f t="shared" ca="1" si="107"/>
        <v/>
      </c>
      <c r="EO24" s="305" t="str">
        <f t="shared" ca="1" si="108"/>
        <v/>
      </c>
      <c r="EP24" s="305" t="str">
        <f t="shared" ca="1" si="109"/>
        <v/>
      </c>
      <c r="EQ24" s="305" t="str">
        <f t="shared" ca="1" si="110"/>
        <v/>
      </c>
      <c r="ER24" s="305" t="str">
        <f t="shared" ca="1" si="111"/>
        <v/>
      </c>
      <c r="ES24" s="305" t="str">
        <f t="shared" ca="1" si="112"/>
        <v/>
      </c>
      <c r="ET24" s="299">
        <f t="shared" ca="1" si="113"/>
        <v>0</v>
      </c>
      <c r="EU24" s="302">
        <f t="shared" ca="1" si="114"/>
        <v>0</v>
      </c>
      <c r="EV24" s="304" t="str">
        <f t="shared" ca="1" si="115"/>
        <v/>
      </c>
      <c r="EW24" s="305" t="str">
        <f t="shared" ca="1" si="116"/>
        <v/>
      </c>
      <c r="EX24" s="305" t="str">
        <f t="shared" ca="1" si="117"/>
        <v/>
      </c>
      <c r="EY24" s="305" t="str">
        <f t="shared" ca="1" si="118"/>
        <v/>
      </c>
      <c r="EZ24" s="305" t="str">
        <f t="shared" ca="1" si="119"/>
        <v/>
      </c>
      <c r="FA24" s="305" t="str">
        <f t="shared" ca="1" si="120"/>
        <v/>
      </c>
      <c r="FB24" s="305" t="str">
        <f t="shared" ca="1" si="121"/>
        <v/>
      </c>
      <c r="FC24" s="305" t="str">
        <f t="shared" ca="1" si="122"/>
        <v/>
      </c>
      <c r="FD24" s="305" t="str">
        <f t="shared" ca="1" si="123"/>
        <v/>
      </c>
      <c r="FE24" s="305" t="str">
        <f t="shared" ca="1" si="124"/>
        <v/>
      </c>
      <c r="FF24" s="305" t="str">
        <f t="shared" ca="1" si="125"/>
        <v/>
      </c>
      <c r="FG24" s="299">
        <f t="shared" ca="1" si="126"/>
        <v>0</v>
      </c>
      <c r="FH24" s="302">
        <f t="shared" ca="1" si="127"/>
        <v>0</v>
      </c>
      <c r="FI24" s="248">
        <f t="shared" ca="1" si="128"/>
        <v>0</v>
      </c>
      <c r="FJ24" s="363">
        <f t="shared" ca="1" si="129"/>
        <v>0</v>
      </c>
      <c r="FK24" s="378" t="str">
        <f t="shared" ca="1" si="130"/>
        <v/>
      </c>
      <c r="FL24" s="508" t="str">
        <f t="shared" ca="1" si="131"/>
        <v/>
      </c>
      <c r="FM24" s="508" t="str">
        <f t="shared" ca="1" si="132"/>
        <v/>
      </c>
      <c r="FN24" s="508" t="str">
        <f t="shared" ca="1" si="133"/>
        <v/>
      </c>
      <c r="FO24" s="508" t="str">
        <f t="shared" ca="1" si="134"/>
        <v/>
      </c>
      <c r="FP24" s="353">
        <f t="shared" ca="1" si="135"/>
        <v>0</v>
      </c>
      <c r="FQ24" s="356">
        <f t="shared" ca="1" si="136"/>
        <v>0</v>
      </c>
      <c r="FR24" s="380">
        <f t="shared" ca="1" si="137"/>
        <v>0</v>
      </c>
      <c r="FS24" s="299">
        <f t="shared" ca="1" si="138"/>
        <v>0</v>
      </c>
      <c r="FT24" s="299">
        <f t="shared" ca="1" si="139"/>
        <v>0</v>
      </c>
      <c r="FU24" s="299">
        <f t="shared" ca="1" si="140"/>
        <v>0</v>
      </c>
      <c r="FV24" s="299">
        <f t="shared" ca="1" si="141"/>
        <v>0</v>
      </c>
      <c r="FW24" s="850" t="str">
        <f t="shared" ca="1" si="142"/>
        <v/>
      </c>
      <c r="FX24" s="851" t="str">
        <f t="shared" ca="1" si="143"/>
        <v/>
      </c>
      <c r="FY24" s="851" t="str">
        <f t="shared" ca="1" si="144"/>
        <v/>
      </c>
      <c r="FZ24" s="201" t="str">
        <f t="shared" ca="1" si="145"/>
        <v/>
      </c>
      <c r="GA24" s="201" t="str">
        <f t="shared" ca="1" si="146"/>
        <v/>
      </c>
      <c r="GB24" s="201" t="str">
        <f t="shared" ca="1" si="147"/>
        <v/>
      </c>
      <c r="GC24" s="201" t="str">
        <f t="shared" ca="1" si="148"/>
        <v/>
      </c>
      <c r="GD24" s="850" t="str">
        <f t="shared" ca="1" si="149"/>
        <v/>
      </c>
      <c r="GE24" s="866" t="str">
        <f t="shared" ca="1" si="150"/>
        <v/>
      </c>
      <c r="GF24" s="866" t="str">
        <f t="shared" ca="1" si="151"/>
        <v/>
      </c>
      <c r="GG24" s="866" t="str">
        <f t="shared" ca="1" si="152"/>
        <v/>
      </c>
      <c r="GH24" s="866" t="str">
        <f t="shared" ca="1" si="153"/>
        <v/>
      </c>
      <c r="GI24" s="302">
        <f t="shared" ca="1" si="154"/>
        <v>0</v>
      </c>
      <c r="GJ24" s="299">
        <f t="shared" ca="1" si="155"/>
        <v>0</v>
      </c>
      <c r="GK24" s="299">
        <f t="shared" ca="1" si="156"/>
        <v>0</v>
      </c>
      <c r="GL24" s="299">
        <f t="shared" ca="1" si="157"/>
        <v>0</v>
      </c>
      <c r="GM24" s="299">
        <f t="shared" ca="1" si="158"/>
        <v>0</v>
      </c>
      <c r="GN24" s="302">
        <f t="shared" ca="1" si="159"/>
        <v>0</v>
      </c>
      <c r="GO24" s="299">
        <f t="shared" ca="1" si="160"/>
        <v>0</v>
      </c>
      <c r="GP24" s="299">
        <f t="shared" ca="1" si="161"/>
        <v>0</v>
      </c>
      <c r="GQ24" s="299">
        <f t="shared" ca="1" si="162"/>
        <v>0</v>
      </c>
      <c r="GR24" s="299">
        <f t="shared" ca="1" si="163"/>
        <v>0</v>
      </c>
      <c r="GS24" s="302">
        <f t="shared" ca="1" si="164"/>
        <v>0</v>
      </c>
      <c r="GT24" s="299">
        <f t="shared" ca="1" si="165"/>
        <v>0</v>
      </c>
      <c r="GU24" s="299">
        <f t="shared" ca="1" si="166"/>
        <v>0</v>
      </c>
      <c r="GV24" s="299">
        <f t="shared" ca="1" si="167"/>
        <v>0</v>
      </c>
      <c r="GW24" s="299">
        <f t="shared" ca="1" si="168"/>
        <v>0</v>
      </c>
      <c r="GX24" s="303">
        <f t="shared" ca="1" si="169"/>
        <v>0</v>
      </c>
      <c r="GY24" s="303">
        <f t="shared" ca="1" si="170"/>
        <v>0</v>
      </c>
      <c r="GZ24" s="303">
        <f t="shared" ca="1" si="171"/>
        <v>0</v>
      </c>
      <c r="HA24" s="303">
        <f t="shared" ca="1" si="172"/>
        <v>0</v>
      </c>
      <c r="HB24" s="303">
        <f t="shared" ca="1" si="173"/>
        <v>0</v>
      </c>
      <c r="HC24" s="303">
        <f t="shared" ca="1" si="174"/>
        <v>0</v>
      </c>
      <c r="HD24" s="303">
        <f t="shared" ca="1" si="175"/>
        <v>0</v>
      </c>
      <c r="HE24" s="303">
        <f t="shared" ca="1" si="176"/>
        <v>0</v>
      </c>
      <c r="HF24" s="303">
        <f t="shared" ca="1" si="177"/>
        <v>0</v>
      </c>
      <c r="HG24" s="852">
        <f t="shared" ca="1" si="178"/>
        <v>0</v>
      </c>
      <c r="HH24" s="13"/>
      <c r="IG24" s="13"/>
      <c r="IH24" s="13"/>
      <c r="II24" s="13"/>
      <c r="IJ24" s="13"/>
      <c r="IK24" s="13"/>
      <c r="IL24" s="13"/>
      <c r="IM24" s="13"/>
      <c r="IN24" s="13"/>
      <c r="IO24" s="13"/>
      <c r="IP24" s="13"/>
      <c r="IQ24" s="13"/>
      <c r="IR24" s="13"/>
      <c r="IS24" s="13"/>
      <c r="IT24" s="13"/>
      <c r="IU24" s="13"/>
      <c r="IV24" s="13"/>
    </row>
    <row r="25" spans="1:256" x14ac:dyDescent="0.25">
      <c r="A25" s="244">
        <f t="shared" ca="1" si="179"/>
        <v>36861</v>
      </c>
      <c r="B25" s="13">
        <f t="shared" ca="1" si="3"/>
        <v>2000</v>
      </c>
      <c r="C25" s="619">
        <f t="shared" ca="1" si="180"/>
        <v>12</v>
      </c>
      <c r="D25" s="195">
        <f t="shared" ca="1" si="4"/>
        <v>36885</v>
      </c>
      <c r="E25" s="469" t="str">
        <f t="shared" ca="1" si="5"/>
        <v/>
      </c>
      <c r="F25" s="465" t="str">
        <f t="shared" ca="1" si="6"/>
        <v/>
      </c>
      <c r="G25" s="521">
        <f t="shared" ca="1" si="181"/>
        <v>1</v>
      </c>
      <c r="H25" s="518">
        <f t="shared" ca="1" si="182"/>
        <v>1</v>
      </c>
      <c r="I25" s="724">
        <f t="shared" ca="1" si="7"/>
        <v>6.5977172037254006E-2</v>
      </c>
      <c r="J25" s="198">
        <f t="shared" ca="1" si="8"/>
        <v>0.94404511219418852</v>
      </c>
      <c r="K25" s="200">
        <f t="shared" ca="1" si="190"/>
        <v>32.049999999999997</v>
      </c>
      <c r="L25" s="201">
        <f t="shared" ca="1" si="191"/>
        <v>32.5</v>
      </c>
      <c r="M25" s="206">
        <f t="shared" ca="1" si="192"/>
        <v>32.950000000000003</v>
      </c>
      <c r="N25" s="851">
        <f t="shared" ca="1" si="196"/>
        <v>24.917499160766603</v>
      </c>
      <c r="O25" s="201">
        <f t="shared" ca="1" si="197"/>
        <v>25.254999160766602</v>
      </c>
      <c r="P25" s="206">
        <f t="shared" ca="1" si="198"/>
        <v>25.5924991607666</v>
      </c>
      <c r="Q25" s="201">
        <f t="shared" ca="1" si="199"/>
        <v>19.25</v>
      </c>
      <c r="R25" s="201">
        <f t="shared" ca="1" si="200"/>
        <v>21.75</v>
      </c>
      <c r="S25" s="201">
        <f t="shared" ca="1" si="201"/>
        <v>24.25</v>
      </c>
      <c r="T25" s="851">
        <f t="shared" ca="1" si="193"/>
        <v>20.824999237060545</v>
      </c>
      <c r="U25" s="201">
        <f t="shared" ca="1" si="194"/>
        <v>21.049999237060547</v>
      </c>
      <c r="V25" s="206">
        <f t="shared" ca="1" si="195"/>
        <v>21.274999237060548</v>
      </c>
      <c r="W25" s="230">
        <f t="shared" ca="1" si="183"/>
        <v>0.13830000000000001</v>
      </c>
      <c r="X25" s="231">
        <f t="shared" ca="1" si="184"/>
        <v>0.27660000000000001</v>
      </c>
      <c r="Y25" s="232">
        <f t="shared" ca="1" si="185"/>
        <v>0.41490000000000005</v>
      </c>
      <c r="Z25" s="231">
        <f t="shared" ca="1" si="9"/>
        <v>0.13830000000000001</v>
      </c>
      <c r="AA25" s="231">
        <f t="shared" ca="1" si="10"/>
        <v>0.27660000000000001</v>
      </c>
      <c r="AB25" s="232">
        <f t="shared" ca="1" si="11"/>
        <v>0.41490000000000005</v>
      </c>
      <c r="AC25" s="231">
        <f t="shared" ca="1" si="12"/>
        <v>0.13830000000000001</v>
      </c>
      <c r="AD25" s="231">
        <f t="shared" ca="1" si="13"/>
        <v>0.27660000000000001</v>
      </c>
      <c r="AE25" s="232">
        <f t="shared" ca="1" si="14"/>
        <v>0.41490000000000005</v>
      </c>
      <c r="AF25" s="231">
        <f t="shared" ca="1" si="186"/>
        <v>0.03</v>
      </c>
      <c r="AG25" s="231">
        <f t="shared" ca="1" si="187"/>
        <v>0.06</v>
      </c>
      <c r="AH25" s="232">
        <f t="shared" ca="1" si="188"/>
        <v>0.09</v>
      </c>
      <c r="AI25" s="233">
        <f t="shared" ca="1" si="15"/>
        <v>1</v>
      </c>
      <c r="AJ25" s="233">
        <f t="shared" ca="1" si="16"/>
        <v>1.25</v>
      </c>
      <c r="AK25" s="234">
        <f t="shared" ca="1" si="17"/>
        <v>1.6</v>
      </c>
      <c r="AL25" s="919">
        <f t="shared" ca="1" si="18"/>
        <v>1</v>
      </c>
      <c r="AM25" s="233">
        <f t="shared" ca="1" si="19"/>
        <v>1.25</v>
      </c>
      <c r="AN25" s="234">
        <f t="shared" ca="1" si="20"/>
        <v>1.6</v>
      </c>
      <c r="AO25" s="233">
        <f t="shared" ca="1" si="21"/>
        <v>1</v>
      </c>
      <c r="AP25" s="233">
        <f t="shared" ca="1" si="22"/>
        <v>1.25</v>
      </c>
      <c r="AQ25" s="233">
        <f t="shared" ca="1" si="23"/>
        <v>1.6</v>
      </c>
      <c r="AR25" s="919">
        <f t="shared" ca="1" si="24"/>
        <v>0.15</v>
      </c>
      <c r="AS25" s="233">
        <f t="shared" ca="1" si="25"/>
        <v>0.3</v>
      </c>
      <c r="AT25" s="235">
        <f t="shared" ca="1" si="26"/>
        <v>0.5</v>
      </c>
      <c r="AU25" s="946">
        <f t="shared" si="27"/>
        <v>0.5</v>
      </c>
      <c r="AV25" s="13">
        <f t="shared" ca="1" si="28"/>
        <v>0</v>
      </c>
      <c r="AW25" s="210">
        <f t="shared" ca="1" si="29"/>
        <v>0</v>
      </c>
      <c r="AX25" s="210">
        <f t="shared" ca="1" si="30"/>
        <v>0</v>
      </c>
      <c r="AY25" s="210">
        <f t="shared" ca="1" si="31"/>
        <v>0</v>
      </c>
      <c r="AZ25" s="13">
        <f t="shared" ca="1" si="32"/>
        <v>0</v>
      </c>
      <c r="BA25" s="355">
        <f ca="1"/>
        <v>0</v>
      </c>
      <c r="BB25" s="363">
        <f ca="1"/>
        <v>0</v>
      </c>
      <c r="BC25" s="363">
        <f ca="1"/>
        <v>0</v>
      </c>
      <c r="BD25" s="927">
        <f ca="1"/>
        <v>0</v>
      </c>
      <c r="BE25" s="930">
        <f ca="1"/>
        <v>0</v>
      </c>
      <c r="BF25" s="931">
        <f ca="1"/>
        <v>0</v>
      </c>
      <c r="BG25" s="931">
        <f ca="1"/>
        <v>0</v>
      </c>
      <c r="BH25" s="932">
        <f ca="1"/>
        <v>0</v>
      </c>
      <c r="BI25" s="355">
        <f ca="1"/>
        <v>0</v>
      </c>
      <c r="BJ25" s="363">
        <f ca="1"/>
        <v>0</v>
      </c>
      <c r="BK25" s="363">
        <f ca="1"/>
        <v>0</v>
      </c>
      <c r="BL25" s="927">
        <f ca="1"/>
        <v>0</v>
      </c>
      <c r="BM25" s="930">
        <f ca="1"/>
        <v>0</v>
      </c>
      <c r="BN25" s="931">
        <f ca="1"/>
        <v>0</v>
      </c>
      <c r="BO25" s="931">
        <f ca="1"/>
        <v>0</v>
      </c>
      <c r="BP25" s="932">
        <f ca="1"/>
        <v>0</v>
      </c>
      <c r="BQ25" s="355">
        <f t="shared" ca="1" si="33"/>
        <v>0</v>
      </c>
      <c r="BR25" s="360">
        <f t="shared" ca="1" si="34"/>
        <v>0</v>
      </c>
      <c r="BS25" s="357">
        <f t="shared" ca="1" si="35"/>
        <v>0</v>
      </c>
      <c r="BT25" s="302">
        <f t="shared" ca="1" si="36"/>
        <v>0</v>
      </c>
      <c r="BU25" s="299">
        <f t="shared" ca="1" si="37"/>
        <v>0</v>
      </c>
      <c r="BV25" s="299">
        <f t="shared" ca="1" si="38"/>
        <v>0</v>
      </c>
      <c r="BW25" s="299">
        <f t="shared" ca="1" si="39"/>
        <v>0</v>
      </c>
      <c r="BX25" s="380">
        <f t="shared" ca="1" si="40"/>
        <v>0.75017111567419581</v>
      </c>
      <c r="BY25" s="363">
        <f t="shared" ca="1" si="41"/>
        <v>0</v>
      </c>
      <c r="BZ25" s="353">
        <f t="shared" ca="1" si="42"/>
        <v>0</v>
      </c>
      <c r="CA25" s="353">
        <f t="shared" ca="1" si="43"/>
        <v>0</v>
      </c>
      <c r="CB25" s="353">
        <f t="shared" ca="1" si="44"/>
        <v>0</v>
      </c>
      <c r="CC25" s="353">
        <f t="shared" ca="1" si="45"/>
        <v>0</v>
      </c>
      <c r="CD25" s="353">
        <f t="shared" ca="1" si="46"/>
        <v>0</v>
      </c>
      <c r="CE25" s="302">
        <f t="shared" ca="1" si="47"/>
        <v>0</v>
      </c>
      <c r="CF25" s="299">
        <f t="shared" ca="1" si="48"/>
        <v>0</v>
      </c>
      <c r="CG25" s="299">
        <f t="shared" ca="1" si="49"/>
        <v>0</v>
      </c>
      <c r="CH25" s="299">
        <f t="shared" ca="1" si="50"/>
        <v>0</v>
      </c>
      <c r="CI25" s="299">
        <f t="shared" ca="1" si="51"/>
        <v>0</v>
      </c>
      <c r="CJ25" s="299">
        <f t="shared" ca="1" si="52"/>
        <v>0</v>
      </c>
      <c r="CK25" s="299">
        <f t="shared" ca="1" si="53"/>
        <v>0</v>
      </c>
      <c r="CL25" s="377" t="str">
        <f t="shared" ca="1" si="54"/>
        <v/>
      </c>
      <c r="CM25" s="305" t="str">
        <f t="shared" ca="1" si="55"/>
        <v/>
      </c>
      <c r="CN25" s="305" t="str">
        <f t="shared" ca="1" si="56"/>
        <v/>
      </c>
      <c r="CO25" s="305" t="str">
        <f t="shared" ca="1" si="57"/>
        <v/>
      </c>
      <c r="CP25" s="305" t="str">
        <f t="shared" ca="1" si="58"/>
        <v/>
      </c>
      <c r="CQ25" s="305" t="str">
        <f t="shared" ca="1" si="59"/>
        <v/>
      </c>
      <c r="CR25" s="775" t="str">
        <f t="shared" ca="1" si="60"/>
        <v/>
      </c>
      <c r="CS25" s="305" t="str">
        <f t="shared" ca="1" si="61"/>
        <v/>
      </c>
      <c r="CT25" s="305" t="str">
        <f t="shared" ca="1" si="62"/>
        <v/>
      </c>
      <c r="CU25" s="305" t="str">
        <f t="shared" ca="1" si="63"/>
        <v/>
      </c>
      <c r="CV25" s="770" t="str">
        <f t="shared" ca="1" si="64"/>
        <v/>
      </c>
      <c r="CW25" s="302">
        <f t="shared" ca="1" si="65"/>
        <v>0</v>
      </c>
      <c r="CX25" s="299">
        <f t="shared" ca="1" si="66"/>
        <v>0</v>
      </c>
      <c r="CY25" s="299">
        <f t="shared" ca="1" si="67"/>
        <v>0</v>
      </c>
      <c r="CZ25" s="299">
        <f t="shared" ca="1" si="68"/>
        <v>0</v>
      </c>
      <c r="DA25" s="774">
        <f t="shared" ca="1" si="69"/>
        <v>0</v>
      </c>
      <c r="DB25" s="303">
        <f t="shared" ca="1" si="70"/>
        <v>0</v>
      </c>
      <c r="DC25" s="248">
        <f t="shared" ca="1" si="71"/>
        <v>0</v>
      </c>
      <c r="DD25" s="778">
        <f t="shared" ca="1" si="72"/>
        <v>0</v>
      </c>
      <c r="DE25" s="363">
        <f t="shared" ca="1" si="73"/>
        <v>0</v>
      </c>
      <c r="DF25" s="378" t="str">
        <f t="shared" ca="1" si="74"/>
        <v/>
      </c>
      <c r="DG25" s="508" t="str">
        <f t="shared" ca="1" si="75"/>
        <v/>
      </c>
      <c r="DH25" s="508" t="str">
        <f t="shared" ca="1" si="76"/>
        <v/>
      </c>
      <c r="DI25" s="508" t="str">
        <f t="shared" ca="1" si="77"/>
        <v/>
      </c>
      <c r="DJ25" s="508" t="str">
        <f t="shared" ca="1" si="78"/>
        <v/>
      </c>
      <c r="DK25" s="353">
        <f t="shared" ca="1" si="79"/>
        <v>0</v>
      </c>
      <c r="DL25" s="781">
        <f t="shared" ca="1" si="80"/>
        <v>0</v>
      </c>
      <c r="DM25" s="303">
        <f t="shared" ca="1" si="81"/>
        <v>0</v>
      </c>
      <c r="DN25" s="508" t="str">
        <f t="shared" ca="1" si="82"/>
        <v/>
      </c>
      <c r="DO25" s="508" t="str">
        <f t="shared" ca="1" si="83"/>
        <v/>
      </c>
      <c r="DP25" s="508" t="str">
        <f t="shared" ca="1" si="84"/>
        <v/>
      </c>
      <c r="DQ25" s="508" t="str">
        <f t="shared" ca="1" si="85"/>
        <v/>
      </c>
      <c r="DR25" s="508" t="str">
        <f t="shared" ca="1" si="86"/>
        <v/>
      </c>
      <c r="DS25" s="353">
        <f t="shared" ca="1" si="87"/>
        <v>0</v>
      </c>
      <c r="DT25" s="353">
        <f t="shared" ca="1" si="88"/>
        <v>0</v>
      </c>
      <c r="DU25" s="380">
        <f t="shared" ca="1" si="189"/>
        <v>0.75017111567419581</v>
      </c>
      <c r="DV25" s="303">
        <f t="shared" ca="1" si="89"/>
        <v>0</v>
      </c>
      <c r="DW25" s="303">
        <f t="shared" ca="1" si="90"/>
        <v>0</v>
      </c>
      <c r="DX25" s="303">
        <f t="shared" ca="1" si="91"/>
        <v>0</v>
      </c>
      <c r="DY25" s="303">
        <f t="shared" ca="1" si="92"/>
        <v>0</v>
      </c>
      <c r="DZ25" s="303">
        <f t="shared" ca="1" si="93"/>
        <v>0</v>
      </c>
      <c r="EA25" s="303">
        <f t="shared" ca="1" si="94"/>
        <v>0</v>
      </c>
      <c r="EB25" s="302">
        <f t="shared" ca="1" si="95"/>
        <v>0</v>
      </c>
      <c r="EC25" s="299">
        <f t="shared" ca="1" si="96"/>
        <v>0</v>
      </c>
      <c r="ED25" s="299">
        <f t="shared" ca="1" si="97"/>
        <v>0</v>
      </c>
      <c r="EE25" s="299">
        <f t="shared" ca="1" si="98"/>
        <v>0</v>
      </c>
      <c r="EF25" s="299">
        <f t="shared" ca="1" si="99"/>
        <v>0</v>
      </c>
      <c r="EG25" s="299">
        <f t="shared" ca="1" si="100"/>
        <v>0</v>
      </c>
      <c r="EH25" s="302">
        <f t="shared" ca="1" si="101"/>
        <v>0</v>
      </c>
      <c r="EI25" s="304" t="str">
        <f t="shared" ca="1" si="102"/>
        <v/>
      </c>
      <c r="EJ25" s="305" t="str">
        <f t="shared" ca="1" si="103"/>
        <v/>
      </c>
      <c r="EK25" s="305" t="str">
        <f t="shared" ca="1" si="104"/>
        <v/>
      </c>
      <c r="EL25" s="305" t="str">
        <f t="shared" ca="1" si="105"/>
        <v/>
      </c>
      <c r="EM25" s="305" t="str">
        <f t="shared" ca="1" si="106"/>
        <v/>
      </c>
      <c r="EN25" s="305" t="str">
        <f t="shared" ca="1" si="107"/>
        <v/>
      </c>
      <c r="EO25" s="305" t="str">
        <f t="shared" ca="1" si="108"/>
        <v/>
      </c>
      <c r="EP25" s="305" t="str">
        <f t="shared" ca="1" si="109"/>
        <v/>
      </c>
      <c r="EQ25" s="305" t="str">
        <f t="shared" ca="1" si="110"/>
        <v/>
      </c>
      <c r="ER25" s="305" t="str">
        <f t="shared" ca="1" si="111"/>
        <v/>
      </c>
      <c r="ES25" s="305" t="str">
        <f t="shared" ca="1" si="112"/>
        <v/>
      </c>
      <c r="ET25" s="299">
        <f t="shared" ca="1" si="113"/>
        <v>0</v>
      </c>
      <c r="EU25" s="302">
        <f t="shared" ca="1" si="114"/>
        <v>0</v>
      </c>
      <c r="EV25" s="304" t="str">
        <f t="shared" ca="1" si="115"/>
        <v/>
      </c>
      <c r="EW25" s="305" t="str">
        <f t="shared" ca="1" si="116"/>
        <v/>
      </c>
      <c r="EX25" s="305" t="str">
        <f t="shared" ca="1" si="117"/>
        <v/>
      </c>
      <c r="EY25" s="305" t="str">
        <f t="shared" ca="1" si="118"/>
        <v/>
      </c>
      <c r="EZ25" s="305" t="str">
        <f t="shared" ca="1" si="119"/>
        <v/>
      </c>
      <c r="FA25" s="305" t="str">
        <f t="shared" ca="1" si="120"/>
        <v/>
      </c>
      <c r="FB25" s="305" t="str">
        <f t="shared" ca="1" si="121"/>
        <v/>
      </c>
      <c r="FC25" s="305" t="str">
        <f t="shared" ca="1" si="122"/>
        <v/>
      </c>
      <c r="FD25" s="305" t="str">
        <f t="shared" ca="1" si="123"/>
        <v/>
      </c>
      <c r="FE25" s="305" t="str">
        <f t="shared" ca="1" si="124"/>
        <v/>
      </c>
      <c r="FF25" s="305" t="str">
        <f t="shared" ca="1" si="125"/>
        <v/>
      </c>
      <c r="FG25" s="299">
        <f t="shared" ca="1" si="126"/>
        <v>0</v>
      </c>
      <c r="FH25" s="302">
        <f t="shared" ca="1" si="127"/>
        <v>0</v>
      </c>
      <c r="FI25" s="248">
        <f t="shared" ca="1" si="128"/>
        <v>0</v>
      </c>
      <c r="FJ25" s="363">
        <f t="shared" ca="1" si="129"/>
        <v>0</v>
      </c>
      <c r="FK25" s="378" t="str">
        <f t="shared" ca="1" si="130"/>
        <v/>
      </c>
      <c r="FL25" s="508" t="str">
        <f t="shared" ca="1" si="131"/>
        <v/>
      </c>
      <c r="FM25" s="508" t="str">
        <f t="shared" ca="1" si="132"/>
        <v/>
      </c>
      <c r="FN25" s="508" t="str">
        <f t="shared" ca="1" si="133"/>
        <v/>
      </c>
      <c r="FO25" s="508" t="str">
        <f t="shared" ca="1" si="134"/>
        <v/>
      </c>
      <c r="FP25" s="353">
        <f t="shared" ca="1" si="135"/>
        <v>0</v>
      </c>
      <c r="FQ25" s="356">
        <f t="shared" ca="1" si="136"/>
        <v>0</v>
      </c>
      <c r="FR25" s="380">
        <f t="shared" ca="1" si="137"/>
        <v>0</v>
      </c>
      <c r="FS25" s="299">
        <f t="shared" ca="1" si="138"/>
        <v>0</v>
      </c>
      <c r="FT25" s="299">
        <f t="shared" ca="1" si="139"/>
        <v>0</v>
      </c>
      <c r="FU25" s="299">
        <f t="shared" ca="1" si="140"/>
        <v>0</v>
      </c>
      <c r="FV25" s="299">
        <f t="shared" ca="1" si="141"/>
        <v>0</v>
      </c>
      <c r="FW25" s="850" t="str">
        <f t="shared" ca="1" si="142"/>
        <v/>
      </c>
      <c r="FX25" s="851" t="str">
        <f t="shared" ca="1" si="143"/>
        <v/>
      </c>
      <c r="FY25" s="851" t="str">
        <f t="shared" ca="1" si="144"/>
        <v/>
      </c>
      <c r="FZ25" s="201" t="str">
        <f t="shared" ca="1" si="145"/>
        <v/>
      </c>
      <c r="GA25" s="201" t="str">
        <f t="shared" ca="1" si="146"/>
        <v/>
      </c>
      <c r="GB25" s="201" t="str">
        <f t="shared" ca="1" si="147"/>
        <v/>
      </c>
      <c r="GC25" s="201" t="str">
        <f t="shared" ca="1" si="148"/>
        <v/>
      </c>
      <c r="GD25" s="850" t="str">
        <f t="shared" ca="1" si="149"/>
        <v/>
      </c>
      <c r="GE25" s="866" t="str">
        <f t="shared" ca="1" si="150"/>
        <v/>
      </c>
      <c r="GF25" s="866" t="str">
        <f t="shared" ca="1" si="151"/>
        <v/>
      </c>
      <c r="GG25" s="866" t="str">
        <f t="shared" ca="1" si="152"/>
        <v/>
      </c>
      <c r="GH25" s="866" t="str">
        <f t="shared" ca="1" si="153"/>
        <v/>
      </c>
      <c r="GI25" s="302">
        <f t="shared" ca="1" si="154"/>
        <v>0</v>
      </c>
      <c r="GJ25" s="299">
        <f t="shared" ca="1" si="155"/>
        <v>0</v>
      </c>
      <c r="GK25" s="299">
        <f t="shared" ca="1" si="156"/>
        <v>0</v>
      </c>
      <c r="GL25" s="299">
        <f t="shared" ca="1" si="157"/>
        <v>0</v>
      </c>
      <c r="GM25" s="299">
        <f t="shared" ca="1" si="158"/>
        <v>0</v>
      </c>
      <c r="GN25" s="302">
        <f t="shared" ca="1" si="159"/>
        <v>0</v>
      </c>
      <c r="GO25" s="299">
        <f t="shared" ca="1" si="160"/>
        <v>0</v>
      </c>
      <c r="GP25" s="299">
        <f t="shared" ca="1" si="161"/>
        <v>0</v>
      </c>
      <c r="GQ25" s="299">
        <f t="shared" ca="1" si="162"/>
        <v>0</v>
      </c>
      <c r="GR25" s="299">
        <f t="shared" ca="1" si="163"/>
        <v>0</v>
      </c>
      <c r="GS25" s="302">
        <f t="shared" ca="1" si="164"/>
        <v>0</v>
      </c>
      <c r="GT25" s="299">
        <f t="shared" ca="1" si="165"/>
        <v>0</v>
      </c>
      <c r="GU25" s="299">
        <f t="shared" ca="1" si="166"/>
        <v>0</v>
      </c>
      <c r="GV25" s="299">
        <f t="shared" ca="1" si="167"/>
        <v>0</v>
      </c>
      <c r="GW25" s="299">
        <f t="shared" ca="1" si="168"/>
        <v>0</v>
      </c>
      <c r="GX25" s="303">
        <f t="shared" ca="1" si="169"/>
        <v>0</v>
      </c>
      <c r="GY25" s="303">
        <f t="shared" ca="1" si="170"/>
        <v>0</v>
      </c>
      <c r="GZ25" s="303">
        <f t="shared" ca="1" si="171"/>
        <v>0</v>
      </c>
      <c r="HA25" s="303">
        <f t="shared" ca="1" si="172"/>
        <v>0</v>
      </c>
      <c r="HB25" s="303">
        <f t="shared" ca="1" si="173"/>
        <v>0</v>
      </c>
      <c r="HC25" s="303">
        <f t="shared" ca="1" si="174"/>
        <v>0</v>
      </c>
      <c r="HD25" s="303">
        <f t="shared" ca="1" si="175"/>
        <v>0</v>
      </c>
      <c r="HE25" s="303">
        <f t="shared" ca="1" si="176"/>
        <v>0</v>
      </c>
      <c r="HF25" s="303">
        <f t="shared" ca="1" si="177"/>
        <v>0</v>
      </c>
      <c r="HG25" s="852">
        <f t="shared" ca="1" si="178"/>
        <v>0</v>
      </c>
      <c r="HH25" s="13"/>
      <c r="IG25" s="13"/>
      <c r="IH25" s="13"/>
      <c r="II25" s="13"/>
      <c r="IJ25" s="13"/>
      <c r="IK25" s="13"/>
      <c r="IL25" s="13"/>
      <c r="IM25" s="13"/>
      <c r="IN25" s="13"/>
      <c r="IO25" s="13"/>
      <c r="IP25" s="13"/>
      <c r="IQ25" s="13"/>
      <c r="IR25" s="13"/>
      <c r="IS25" s="13"/>
      <c r="IT25" s="13"/>
      <c r="IU25" s="13"/>
      <c r="IV25" s="13"/>
    </row>
    <row r="26" spans="1:256" x14ac:dyDescent="0.25">
      <c r="A26" s="244">
        <f t="shared" ca="1" si="179"/>
        <v>36892</v>
      </c>
      <c r="B26" s="13">
        <f t="shared" ca="1" si="3"/>
        <v>2001</v>
      </c>
      <c r="C26" s="619">
        <f t="shared" ca="1" si="180"/>
        <v>1</v>
      </c>
      <c r="D26" s="195">
        <f t="shared" ca="1" si="4"/>
        <v>36892</v>
      </c>
      <c r="E26" s="469">
        <f t="shared" ca="1" si="5"/>
        <v>36892</v>
      </c>
      <c r="F26" s="465">
        <f t="shared" ca="1" si="6"/>
        <v>36922</v>
      </c>
      <c r="G26" s="521">
        <f t="shared" ca="1" si="181"/>
        <v>1</v>
      </c>
      <c r="H26" s="518">
        <f t="shared" ca="1" si="182"/>
        <v>1</v>
      </c>
      <c r="I26" s="724">
        <f t="shared" ca="1" si="7"/>
        <v>6.6467823306128992E-2</v>
      </c>
      <c r="J26" s="198">
        <f t="shared" ca="1" si="8"/>
        <v>0.93842508713442885</v>
      </c>
      <c r="K26" s="200">
        <f t="shared" ca="1" si="190"/>
        <v>36.9</v>
      </c>
      <c r="L26" s="201">
        <f t="shared" ca="1" si="191"/>
        <v>37.5</v>
      </c>
      <c r="M26" s="206">
        <f t="shared" ca="1" si="192"/>
        <v>38.1</v>
      </c>
      <c r="N26" s="851">
        <f t="shared" ca="1" si="196"/>
        <v>28.298748779296876</v>
      </c>
      <c r="O26" s="201">
        <f t="shared" ca="1" si="197"/>
        <v>28.748748779296875</v>
      </c>
      <c r="P26" s="206">
        <f t="shared" ca="1" si="198"/>
        <v>29.198748779296874</v>
      </c>
      <c r="Q26" s="201">
        <f t="shared" ca="1" si="199"/>
        <v>24.752500534057617</v>
      </c>
      <c r="R26" s="201">
        <f t="shared" ca="1" si="200"/>
        <v>27.252500534057617</v>
      </c>
      <c r="S26" s="201">
        <f t="shared" ca="1" si="201"/>
        <v>29.752500534057617</v>
      </c>
      <c r="T26" s="851">
        <f t="shared" ca="1" si="193"/>
        <v>20.54000015258789</v>
      </c>
      <c r="U26" s="201">
        <f t="shared" ca="1" si="194"/>
        <v>20.840000152587891</v>
      </c>
      <c r="V26" s="206">
        <f t="shared" ca="1" si="195"/>
        <v>21.140000152587891</v>
      </c>
      <c r="W26" s="230">
        <f t="shared" ca="1" si="183"/>
        <v>0.14150000000000001</v>
      </c>
      <c r="X26" s="231">
        <f t="shared" ca="1" si="184"/>
        <v>0.28300000000000003</v>
      </c>
      <c r="Y26" s="232">
        <f t="shared" ca="1" si="185"/>
        <v>0.42450000000000004</v>
      </c>
      <c r="Z26" s="231">
        <f t="shared" ca="1" si="9"/>
        <v>0.14150000000000001</v>
      </c>
      <c r="AA26" s="231">
        <f t="shared" ca="1" si="10"/>
        <v>0.28300000000000003</v>
      </c>
      <c r="AB26" s="232">
        <f t="shared" ca="1" si="11"/>
        <v>0.42450000000000004</v>
      </c>
      <c r="AC26" s="231">
        <f t="shared" ca="1" si="12"/>
        <v>0.14150000000000001</v>
      </c>
      <c r="AD26" s="231">
        <f t="shared" ca="1" si="13"/>
        <v>0.28300000000000003</v>
      </c>
      <c r="AE26" s="232">
        <f t="shared" ca="1" si="14"/>
        <v>0.42450000000000004</v>
      </c>
      <c r="AF26" s="231">
        <f t="shared" ca="1" si="186"/>
        <v>3.4300000000000004E-2</v>
      </c>
      <c r="AG26" s="231">
        <f t="shared" ca="1" si="187"/>
        <v>6.8600000000000008E-2</v>
      </c>
      <c r="AH26" s="232">
        <f t="shared" ca="1" si="188"/>
        <v>0.10290000000000002</v>
      </c>
      <c r="AI26" s="233">
        <f t="shared" ca="1" si="15"/>
        <v>1.25</v>
      </c>
      <c r="AJ26" s="233">
        <f t="shared" ca="1" si="16"/>
        <v>2</v>
      </c>
      <c r="AK26" s="234">
        <f t="shared" ca="1" si="17"/>
        <v>2.75</v>
      </c>
      <c r="AL26" s="919">
        <f t="shared" ca="1" si="18"/>
        <v>1.25</v>
      </c>
      <c r="AM26" s="233">
        <f t="shared" ca="1" si="19"/>
        <v>2</v>
      </c>
      <c r="AN26" s="234">
        <f t="shared" ca="1" si="20"/>
        <v>2.75</v>
      </c>
      <c r="AO26" s="233">
        <f t="shared" ca="1" si="21"/>
        <v>1.25</v>
      </c>
      <c r="AP26" s="233">
        <f t="shared" ca="1" si="22"/>
        <v>2</v>
      </c>
      <c r="AQ26" s="233">
        <f t="shared" ca="1" si="23"/>
        <v>2.75</v>
      </c>
      <c r="AR26" s="919">
        <f t="shared" ca="1" si="24"/>
        <v>0.35</v>
      </c>
      <c r="AS26" s="233">
        <f t="shared" ca="1" si="25"/>
        <v>0.5</v>
      </c>
      <c r="AT26" s="235">
        <f t="shared" ca="1" si="26"/>
        <v>0.7</v>
      </c>
      <c r="AU26" s="946">
        <f t="shared" si="27"/>
        <v>0.5</v>
      </c>
      <c r="AV26" s="13">
        <f t="shared" ca="1" si="28"/>
        <v>22</v>
      </c>
      <c r="AW26" s="210">
        <f t="shared" ca="1" si="29"/>
        <v>4</v>
      </c>
      <c r="AX26" s="210">
        <f t="shared" ca="1" si="30"/>
        <v>4</v>
      </c>
      <c r="AY26" s="210">
        <f t="shared" ca="1" si="31"/>
        <v>1</v>
      </c>
      <c r="AZ26" s="13">
        <f t="shared" ca="1" si="32"/>
        <v>31</v>
      </c>
      <c r="BA26" s="355">
        <f ca="1"/>
        <v>352</v>
      </c>
      <c r="BB26" s="363">
        <f ca="1"/>
        <v>64</v>
      </c>
      <c r="BC26" s="363">
        <f ca="1"/>
        <v>80</v>
      </c>
      <c r="BD26" s="927">
        <f ca="1"/>
        <v>248</v>
      </c>
      <c r="BE26" s="930">
        <f ca="1"/>
        <v>0.99998503923416138</v>
      </c>
      <c r="BF26" s="931">
        <f ca="1"/>
        <v>0.99998503923416138</v>
      </c>
      <c r="BG26" s="931">
        <f ca="1"/>
        <v>0.99998503923416138</v>
      </c>
      <c r="BH26" s="932">
        <f ca="1"/>
        <v>1.0000070855021477</v>
      </c>
      <c r="BI26" s="355">
        <f ca="1"/>
        <v>352</v>
      </c>
      <c r="BJ26" s="363">
        <f ca="1"/>
        <v>64</v>
      </c>
      <c r="BK26" s="363">
        <f ca="1"/>
        <v>80</v>
      </c>
      <c r="BL26" s="927">
        <f ca="1"/>
        <v>248</v>
      </c>
      <c r="BM26" s="930">
        <f ca="1"/>
        <v>0.99998503923416138</v>
      </c>
      <c r="BN26" s="931">
        <f ca="1"/>
        <v>0.99998503923416138</v>
      </c>
      <c r="BO26" s="931">
        <f ca="1"/>
        <v>0.99998503923416138</v>
      </c>
      <c r="BP26" s="932">
        <f ca="1"/>
        <v>1.0000070855021477</v>
      </c>
      <c r="BQ26" s="355">
        <f t="shared" ca="1" si="33"/>
        <v>744</v>
      </c>
      <c r="BR26" s="360">
        <f t="shared" ca="1" si="34"/>
        <v>744</v>
      </c>
      <c r="BS26" s="357">
        <f t="shared" ca="1" si="35"/>
        <v>698.18826482801501</v>
      </c>
      <c r="BT26" s="302">
        <f t="shared" ca="1" si="36"/>
        <v>29.40030248921672</v>
      </c>
      <c r="BU26" s="299">
        <f t="shared" ca="1" si="37"/>
        <v>30.091692199464553</v>
      </c>
      <c r="BV26" s="299">
        <f t="shared" ca="1" si="38"/>
        <v>30.783081909712397</v>
      </c>
      <c r="BW26" s="299">
        <f t="shared" ca="1" si="39"/>
        <v>32.659889647739881</v>
      </c>
      <c r="BX26" s="380">
        <f t="shared" ca="1" si="40"/>
        <v>0.83504449007529091</v>
      </c>
      <c r="BY26" s="363">
        <f t="shared" ca="1" si="41"/>
        <v>330.32563067131895</v>
      </c>
      <c r="BZ26" s="353">
        <f t="shared" ca="1" si="42"/>
        <v>60.059205576603446</v>
      </c>
      <c r="CA26" s="353">
        <f t="shared" ca="1" si="43"/>
        <v>75.074006970754311</v>
      </c>
      <c r="CB26" s="353">
        <f t="shared" ca="1" si="44"/>
        <v>465.45884321867675</v>
      </c>
      <c r="CC26" s="353">
        <f t="shared" ca="1" si="45"/>
        <v>232.72942160933835</v>
      </c>
      <c r="CD26" s="353">
        <f t="shared" ca="1" si="46"/>
        <v>698.18826482801512</v>
      </c>
      <c r="CE26" s="302">
        <f t="shared" ca="1" si="47"/>
        <v>38.099429994821548</v>
      </c>
      <c r="CF26" s="299">
        <f t="shared" ca="1" si="48"/>
        <v>29.198311943653607</v>
      </c>
      <c r="CG26" s="299">
        <f t="shared" ca="1" si="49"/>
        <v>29.752055413864014</v>
      </c>
      <c r="CH26" s="299">
        <f t="shared" ca="1" si="50"/>
        <v>35.604547894516408</v>
      </c>
      <c r="CI26" s="299">
        <f t="shared" ca="1" si="51"/>
        <v>21.140149940104376</v>
      </c>
      <c r="CJ26" s="299">
        <f t="shared" ca="1" si="52"/>
        <v>30.783081909712401</v>
      </c>
      <c r="CK26" s="299">
        <f t="shared" ca="1" si="53"/>
        <v>32.659889647739881</v>
      </c>
      <c r="CL26" s="377">
        <f t="shared" ca="1" si="54"/>
        <v>0.42450000000000004</v>
      </c>
      <c r="CM26" s="305">
        <f t="shared" ca="1" si="55"/>
        <v>0.42450000000000004</v>
      </c>
      <c r="CN26" s="305">
        <f t="shared" ca="1" si="56"/>
        <v>0.42450000000000004</v>
      </c>
      <c r="CO26" s="305">
        <f t="shared" ca="1" si="57"/>
        <v>0.42449999999999993</v>
      </c>
      <c r="CP26" s="305">
        <f t="shared" ca="1" si="58"/>
        <v>0.10290000000000002</v>
      </c>
      <c r="CQ26" s="305">
        <f t="shared" ca="1" si="59"/>
        <v>0.34344808574070057</v>
      </c>
      <c r="CR26" s="775">
        <f t="shared" ca="1" si="60"/>
        <v>0.43950000000000006</v>
      </c>
      <c r="CS26" s="305">
        <f t="shared" ca="1" si="61"/>
        <v>0.43450000000000005</v>
      </c>
      <c r="CT26" s="305">
        <f t="shared" ca="1" si="62"/>
        <v>0.42450000000000004</v>
      </c>
      <c r="CU26" s="305">
        <f t="shared" ca="1" si="63"/>
        <v>0.16290000000000002</v>
      </c>
      <c r="CV26" s="770">
        <f t="shared" ca="1" si="64"/>
        <v>0.34344808574070057</v>
      </c>
      <c r="CW26" s="302">
        <f t="shared" ca="1" si="65"/>
        <v>8.7532851051925462</v>
      </c>
      <c r="CX26" s="299">
        <f t="shared" ca="1" si="66"/>
        <v>3.32610936690374</v>
      </c>
      <c r="CY26" s="299">
        <f t="shared" ca="1" si="67"/>
        <v>3.4813830718402272</v>
      </c>
      <c r="CZ26" s="299">
        <f t="shared" ca="1" si="68"/>
        <v>1.9577904417178577E-3</v>
      </c>
      <c r="DA26" s="774">
        <f t="shared" ca="1" si="69"/>
        <v>3.0866000469011521</v>
      </c>
      <c r="DB26" s="303">
        <f t="shared" ca="1" si="70"/>
        <v>2155.0279309639855</v>
      </c>
      <c r="DC26" s="248">
        <f t="shared" ca="1" si="71"/>
        <v>340.28006228835545</v>
      </c>
      <c r="DD26" s="778">
        <f t="shared" ca="1" si="72"/>
        <v>0</v>
      </c>
      <c r="DE26" s="363">
        <f t="shared" ca="1" si="73"/>
        <v>0.93842508713442885</v>
      </c>
      <c r="DF26" s="378">
        <f t="shared" ca="1" si="74"/>
        <v>0.1827677639157059</v>
      </c>
      <c r="DG26" s="508">
        <f t="shared" ca="1" si="75"/>
        <v>-0.4806981723470039</v>
      </c>
      <c r="DH26" s="508">
        <f t="shared" ca="1" si="76"/>
        <v>-0.43434433325055205</v>
      </c>
      <c r="DI26" s="508">
        <f t="shared" ca="1" si="77"/>
        <v>-2.9964755980173949</v>
      </c>
      <c r="DJ26" s="508">
        <f t="shared" ca="1" si="78"/>
        <v>-0.34549470104976948</v>
      </c>
      <c r="DK26" s="353">
        <f t="shared" ca="1" si="79"/>
        <v>-254.74188407043232</v>
      </c>
      <c r="DL26" s="781">
        <f t="shared" ca="1" si="80"/>
        <v>25.599533327644085</v>
      </c>
      <c r="DM26" s="303">
        <f t="shared" ca="1" si="81"/>
        <v>7161.0337898502403</v>
      </c>
      <c r="DN26" s="508">
        <f t="shared" ca="1" si="82"/>
        <v>0.62545710629793749</v>
      </c>
      <c r="DO26" s="508">
        <f t="shared" ca="1" si="83"/>
        <v>0.33424152681666797</v>
      </c>
      <c r="DP26" s="508">
        <f t="shared" ca="1" si="84"/>
        <v>0.35480296536182204</v>
      </c>
      <c r="DQ26" s="508">
        <f t="shared" ca="1" si="85"/>
        <v>-1.9190738616478742E-2</v>
      </c>
      <c r="DR26" s="508">
        <f t="shared" ca="1" si="86"/>
        <v>0.39208700091521131</v>
      </c>
      <c r="DS26" s="353">
        <f t="shared" ca="1" si="87"/>
        <v>7255.4970995357153</v>
      </c>
      <c r="DT26" s="353">
        <f t="shared" ca="1" si="88"/>
        <v>-1484.072205197363</v>
      </c>
      <c r="DU26" s="380">
        <f t="shared" ca="1" si="189"/>
        <v>0.83504449007529091</v>
      </c>
      <c r="DV26" s="303">
        <f t="shared" ca="1" si="89"/>
        <v>330.32563067131895</v>
      </c>
      <c r="DW26" s="303">
        <f t="shared" ca="1" si="90"/>
        <v>60.059205576603446</v>
      </c>
      <c r="DX26" s="303">
        <f t="shared" ca="1" si="91"/>
        <v>75.074006970754311</v>
      </c>
      <c r="DY26" s="303">
        <f t="shared" ca="1" si="92"/>
        <v>465.45884321867675</v>
      </c>
      <c r="DZ26" s="303">
        <f t="shared" ca="1" si="93"/>
        <v>232.72942160933835</v>
      </c>
      <c r="EA26" s="303">
        <f t="shared" ca="1" si="94"/>
        <v>698.18826482801512</v>
      </c>
      <c r="EB26" s="302">
        <f t="shared" ca="1" si="95"/>
        <v>38.099429994821548</v>
      </c>
      <c r="EC26" s="299">
        <f t="shared" ca="1" si="96"/>
        <v>29.198311943653607</v>
      </c>
      <c r="ED26" s="299">
        <f t="shared" ca="1" si="97"/>
        <v>29.752055413864014</v>
      </c>
      <c r="EE26" s="299">
        <f t="shared" ca="1" si="98"/>
        <v>35.604547894516408</v>
      </c>
      <c r="EF26" s="299">
        <f t="shared" ca="1" si="99"/>
        <v>21.140149940104376</v>
      </c>
      <c r="EG26" s="299">
        <f t="shared" ca="1" si="100"/>
        <v>30.783081909712401</v>
      </c>
      <c r="EH26" s="302">
        <f t="shared" ca="1" si="101"/>
        <v>30</v>
      </c>
      <c r="EI26" s="304">
        <f t="shared" ca="1" si="102"/>
        <v>0.14150000000000001</v>
      </c>
      <c r="EJ26" s="305">
        <f t="shared" ca="1" si="103"/>
        <v>0.14150000000000001</v>
      </c>
      <c r="EK26" s="305">
        <f t="shared" ca="1" si="104"/>
        <v>0.14150000000000001</v>
      </c>
      <c r="EL26" s="305">
        <f t="shared" ca="1" si="105"/>
        <v>0.14150000000000024</v>
      </c>
      <c r="EM26" s="305">
        <f t="shared" ca="1" si="106"/>
        <v>3.4300000000000004E-2</v>
      </c>
      <c r="EN26" s="305">
        <f t="shared" ca="1" si="107"/>
        <v>0.11337877287233425</v>
      </c>
      <c r="EO26" s="305">
        <f t="shared" ca="1" si="108"/>
        <v>0.14150000000000001</v>
      </c>
      <c r="EP26" s="305">
        <f t="shared" ca="1" si="109"/>
        <v>0.14150000000000001</v>
      </c>
      <c r="EQ26" s="305">
        <f t="shared" ca="1" si="110"/>
        <v>0.14150000000000001</v>
      </c>
      <c r="ER26" s="305">
        <f t="shared" ca="1" si="111"/>
        <v>3.4300000000000004E-2</v>
      </c>
      <c r="ES26" s="305">
        <f t="shared" ca="1" si="112"/>
        <v>0.11337877287233425</v>
      </c>
      <c r="ET26" s="299">
        <f t="shared" ca="1" si="113"/>
        <v>0.90266654057085383</v>
      </c>
      <c r="EU26" s="302">
        <f t="shared" ca="1" si="114"/>
        <v>30</v>
      </c>
      <c r="EV26" s="304">
        <f t="shared" ca="1" si="115"/>
        <v>0.42450000000000004</v>
      </c>
      <c r="EW26" s="305">
        <f t="shared" ca="1" si="116"/>
        <v>0.42450000000000004</v>
      </c>
      <c r="EX26" s="305">
        <f t="shared" ca="1" si="117"/>
        <v>0.42450000000000004</v>
      </c>
      <c r="EY26" s="305">
        <f t="shared" ca="1" si="118"/>
        <v>0.42449999999999993</v>
      </c>
      <c r="EZ26" s="305">
        <f t="shared" ca="1" si="119"/>
        <v>0.10290000000000002</v>
      </c>
      <c r="FA26" s="305">
        <f t="shared" ca="1" si="120"/>
        <v>0.34344808574070057</v>
      </c>
      <c r="FB26" s="305">
        <f t="shared" ca="1" si="121"/>
        <v>0.42450000000000004</v>
      </c>
      <c r="FC26" s="305">
        <f t="shared" ca="1" si="122"/>
        <v>0.42450000000000004</v>
      </c>
      <c r="FD26" s="305">
        <f t="shared" ca="1" si="123"/>
        <v>0.42450000000000004</v>
      </c>
      <c r="FE26" s="305">
        <f t="shared" ca="1" si="124"/>
        <v>0.10290000000000002</v>
      </c>
      <c r="FF26" s="305">
        <f t="shared" ca="1" si="125"/>
        <v>0.34344808574070057</v>
      </c>
      <c r="FG26" s="299">
        <f t="shared" ca="1" si="126"/>
        <v>4.1938525611805275</v>
      </c>
      <c r="FH26" s="302">
        <f t="shared" ca="1" si="127"/>
        <v>-3.2911860206096737</v>
      </c>
      <c r="FI26" s="248">
        <f t="shared" ca="1" si="128"/>
        <v>-2297.8674569556879</v>
      </c>
      <c r="FJ26" s="363">
        <f t="shared" ca="1" si="129"/>
        <v>0.93842508713442885</v>
      </c>
      <c r="FK26" s="378">
        <f t="shared" ca="1" si="130"/>
        <v>1.7837234989984441</v>
      </c>
      <c r="FL26" s="508">
        <f t="shared" ca="1" si="131"/>
        <v>-0.27413132731478179</v>
      </c>
      <c r="FM26" s="508">
        <f t="shared" ca="1" si="132"/>
        <v>-0.12883533861301796</v>
      </c>
      <c r="FN26" s="508">
        <f t="shared" ca="1" si="133"/>
        <v>-11.182968071064016</v>
      </c>
      <c r="FO26" s="508">
        <f t="shared" ca="1" si="134"/>
        <v>0.19690605424459209</v>
      </c>
      <c r="FP26" s="353">
        <f t="shared" ca="1" si="135"/>
        <v>294.60092086510491</v>
      </c>
      <c r="FQ26" s="356">
        <f t="shared" ca="1" si="136"/>
        <v>87.893295485439893</v>
      </c>
      <c r="FR26" s="380">
        <f t="shared" ca="1" si="137"/>
        <v>24.96</v>
      </c>
      <c r="FS26" s="299">
        <f t="shared" ca="1" si="138"/>
        <v>24.96</v>
      </c>
      <c r="FT26" s="299">
        <f t="shared" ca="1" si="139"/>
        <v>24.96</v>
      </c>
      <c r="FU26" s="299">
        <f t="shared" ca="1" si="140"/>
        <v>24.96</v>
      </c>
      <c r="FV26" s="299">
        <f t="shared" ca="1" si="141"/>
        <v>24.96</v>
      </c>
      <c r="FW26" s="850">
        <f t="shared" ca="1" si="142"/>
        <v>0.40250000000000002</v>
      </c>
      <c r="FX26" s="851">
        <f t="shared" ca="1" si="143"/>
        <v>0.5</v>
      </c>
      <c r="FY26" s="851">
        <f t="shared" ca="1" si="144"/>
        <v>0</v>
      </c>
      <c r="FZ26" s="201">
        <f t="shared" ca="1" si="145"/>
        <v>0</v>
      </c>
      <c r="GA26" s="201">
        <f t="shared" ca="1" si="146"/>
        <v>0</v>
      </c>
      <c r="GB26" s="201">
        <f t="shared" ca="1" si="147"/>
        <v>0</v>
      </c>
      <c r="GC26" s="201">
        <f t="shared" ca="1" si="148"/>
        <v>0</v>
      </c>
      <c r="GD26" s="850">
        <f t="shared" ca="1" si="149"/>
        <v>0.43950000000000006</v>
      </c>
      <c r="GE26" s="866">
        <f t="shared" ca="1" si="150"/>
        <v>0.43950000000000006</v>
      </c>
      <c r="GF26" s="866">
        <f t="shared" ca="1" si="151"/>
        <v>0.43950000000000006</v>
      </c>
      <c r="GG26" s="866">
        <f t="shared" ca="1" si="152"/>
        <v>0.11290000000000001</v>
      </c>
      <c r="GH26" s="866">
        <f t="shared" ca="1" si="153"/>
        <v>0.35844808574070058</v>
      </c>
      <c r="GI26" s="302">
        <f t="shared" ca="1" si="154"/>
        <v>13.95214375052023</v>
      </c>
      <c r="GJ26" s="299">
        <f t="shared" ca="1" si="155"/>
        <v>6.5941168705149593</v>
      </c>
      <c r="GK26" s="299">
        <f t="shared" ca="1" si="156"/>
        <v>7.0003489564111963</v>
      </c>
      <c r="GL26" s="299">
        <f t="shared" ca="1" si="157"/>
        <v>1.4701359873859943</v>
      </c>
      <c r="GM26" s="299">
        <f t="shared" ca="1" si="158"/>
        <v>7.4431580438541758</v>
      </c>
      <c r="GN26" s="302">
        <f t="shared" ca="1" si="159"/>
        <v>0.90131286088535556</v>
      </c>
      <c r="GO26" s="299">
        <f t="shared" ca="1" si="160"/>
        <v>0.72554974398397631</v>
      </c>
      <c r="GP26" s="299">
        <f t="shared" ca="1" si="161"/>
        <v>0.74154061145222372</v>
      </c>
      <c r="GQ26" s="299">
        <f t="shared" ca="1" si="162"/>
        <v>0.36648671624613205</v>
      </c>
      <c r="GR26" s="299">
        <f t="shared" ca="1" si="163"/>
        <v>0.78077606229756624</v>
      </c>
      <c r="GS26" s="302">
        <f t="shared" ca="1" si="164"/>
        <v>-0.81680143669700156</v>
      </c>
      <c r="GT26" s="299">
        <f t="shared" ca="1" si="165"/>
        <v>-0.5845636894123788</v>
      </c>
      <c r="GU26" s="299">
        <f t="shared" ca="1" si="166"/>
        <v>-0.6034457976623161</v>
      </c>
      <c r="GV26" s="299">
        <f t="shared" ca="1" si="167"/>
        <v>-0.25150026663720354</v>
      </c>
      <c r="GW26" s="299">
        <f t="shared" ca="1" si="168"/>
        <v>-0.66472492394078164</v>
      </c>
      <c r="GX26" s="303">
        <f t="shared" ca="1" si="169"/>
        <v>4608.7506836074963</v>
      </c>
      <c r="GY26" s="303">
        <f t="shared" ca="1" si="170"/>
        <v>396.03742072240692</v>
      </c>
      <c r="GZ26" s="303">
        <f t="shared" ca="1" si="171"/>
        <v>525.54424635132682</v>
      </c>
      <c r="HA26" s="303">
        <f t="shared" ca="1" si="172"/>
        <v>342.14389803141597</v>
      </c>
      <c r="HB26" s="303">
        <f t="shared" ca="1" si="173"/>
        <v>5196.7255994792304</v>
      </c>
      <c r="HC26" s="303">
        <f t="shared" ca="1" si="174"/>
        <v>4340.2904997010728</v>
      </c>
      <c r="HD26" s="303">
        <f t="shared" ca="1" si="175"/>
        <v>254.54964832166567</v>
      </c>
      <c r="HE26" s="303">
        <f t="shared" ca="1" si="176"/>
        <v>359.75880154466785</v>
      </c>
      <c r="HF26" s="303">
        <f t="shared" ca="1" si="177"/>
        <v>0</v>
      </c>
      <c r="HG26" s="852">
        <f t="shared" ca="1" si="178"/>
        <v>4065.607454493505</v>
      </c>
      <c r="HH26" s="13"/>
      <c r="IG26" s="13"/>
      <c r="IH26" s="13"/>
      <c r="II26" s="13"/>
      <c r="IJ26" s="13"/>
      <c r="IK26" s="13"/>
      <c r="IL26" s="13"/>
      <c r="IM26" s="13"/>
      <c r="IN26" s="13"/>
      <c r="IO26" s="13"/>
      <c r="IP26" s="13"/>
      <c r="IQ26" s="13"/>
      <c r="IR26" s="13"/>
      <c r="IS26" s="13"/>
      <c r="IT26" s="13"/>
      <c r="IU26" s="13"/>
      <c r="IV26" s="13"/>
    </row>
    <row r="27" spans="1:256" x14ac:dyDescent="0.25">
      <c r="A27" s="244">
        <f t="shared" ca="1" si="179"/>
        <v>36923</v>
      </c>
      <c r="B27" s="13">
        <f t="shared" ca="1" si="3"/>
        <v>2001</v>
      </c>
      <c r="C27" s="619">
        <f t="shared" ca="1" si="180"/>
        <v>2</v>
      </c>
      <c r="D27" s="195" t="str">
        <f t="shared" ca="1" si="4"/>
        <v/>
      </c>
      <c r="E27" s="469">
        <f t="shared" ca="1" si="5"/>
        <v>36923</v>
      </c>
      <c r="F27" s="465">
        <f t="shared" ca="1" si="6"/>
        <v>36950</v>
      </c>
      <c r="G27" s="521">
        <f t="shared" ca="1" si="181"/>
        <v>1</v>
      </c>
      <c r="H27" s="518">
        <f t="shared" ca="1" si="182"/>
        <v>1</v>
      </c>
      <c r="I27" s="724">
        <f t="shared" ca="1" si="7"/>
        <v>6.6926730404914009E-2</v>
      </c>
      <c r="J27" s="198">
        <f t="shared" ca="1" si="8"/>
        <v>0.93329821543014668</v>
      </c>
      <c r="K27" s="200">
        <f t="shared" ca="1" si="190"/>
        <v>36.9</v>
      </c>
      <c r="L27" s="201">
        <f t="shared" ca="1" si="191"/>
        <v>37.5</v>
      </c>
      <c r="M27" s="206">
        <f t="shared" ca="1" si="192"/>
        <v>38.1</v>
      </c>
      <c r="N27" s="851">
        <f t="shared" ca="1" si="196"/>
        <v>27.296250152587891</v>
      </c>
      <c r="O27" s="201">
        <f t="shared" ca="1" si="197"/>
        <v>27.746250152587891</v>
      </c>
      <c r="P27" s="206">
        <f t="shared" ca="1" si="198"/>
        <v>28.19625015258789</v>
      </c>
      <c r="Q27" s="201">
        <f t="shared" ca="1" si="199"/>
        <v>22.747499465942383</v>
      </c>
      <c r="R27" s="201">
        <f t="shared" ca="1" si="200"/>
        <v>25.247499465942383</v>
      </c>
      <c r="S27" s="201">
        <f t="shared" ca="1" si="201"/>
        <v>27.747499465942383</v>
      </c>
      <c r="T27" s="851">
        <f t="shared" ca="1" si="193"/>
        <v>20.34999771118164</v>
      </c>
      <c r="U27" s="201">
        <f t="shared" ca="1" si="194"/>
        <v>20.649997711181641</v>
      </c>
      <c r="V27" s="206">
        <f t="shared" ca="1" si="195"/>
        <v>20.949997711181641</v>
      </c>
      <c r="W27" s="230">
        <f t="shared" ca="1" si="183"/>
        <v>0.13650000000000001</v>
      </c>
      <c r="X27" s="231">
        <f t="shared" ca="1" si="184"/>
        <v>0.27300000000000002</v>
      </c>
      <c r="Y27" s="232">
        <f t="shared" ca="1" si="185"/>
        <v>0.40950000000000003</v>
      </c>
      <c r="Z27" s="231">
        <f t="shared" ca="1" si="9"/>
        <v>0.13650000000000001</v>
      </c>
      <c r="AA27" s="231">
        <f t="shared" ca="1" si="10"/>
        <v>0.27300000000000002</v>
      </c>
      <c r="AB27" s="232">
        <f t="shared" ca="1" si="11"/>
        <v>0.40950000000000003</v>
      </c>
      <c r="AC27" s="231">
        <f t="shared" ca="1" si="12"/>
        <v>0.13650000000000001</v>
      </c>
      <c r="AD27" s="231">
        <f t="shared" ca="1" si="13"/>
        <v>0.27300000000000002</v>
      </c>
      <c r="AE27" s="232">
        <f t="shared" ca="1" si="14"/>
        <v>0.40950000000000003</v>
      </c>
      <c r="AF27" s="231">
        <f t="shared" ca="1" si="186"/>
        <v>3.4300000000000004E-2</v>
      </c>
      <c r="AG27" s="231">
        <f t="shared" ca="1" si="187"/>
        <v>6.8600000000000008E-2</v>
      </c>
      <c r="AH27" s="232">
        <f t="shared" ca="1" si="188"/>
        <v>0.10290000000000002</v>
      </c>
      <c r="AI27" s="233">
        <f t="shared" ca="1" si="15"/>
        <v>1.25</v>
      </c>
      <c r="AJ27" s="233">
        <f t="shared" ca="1" si="16"/>
        <v>2</v>
      </c>
      <c r="AK27" s="234">
        <f t="shared" ca="1" si="17"/>
        <v>2.75</v>
      </c>
      <c r="AL27" s="919">
        <f t="shared" ca="1" si="18"/>
        <v>1.25</v>
      </c>
      <c r="AM27" s="233">
        <f t="shared" ca="1" si="19"/>
        <v>2</v>
      </c>
      <c r="AN27" s="234">
        <f t="shared" ca="1" si="20"/>
        <v>2.75</v>
      </c>
      <c r="AO27" s="233">
        <f t="shared" ca="1" si="21"/>
        <v>1.25</v>
      </c>
      <c r="AP27" s="233">
        <f t="shared" ca="1" si="22"/>
        <v>2</v>
      </c>
      <c r="AQ27" s="233">
        <f t="shared" ca="1" si="23"/>
        <v>2.75</v>
      </c>
      <c r="AR27" s="919">
        <f t="shared" ca="1" si="24"/>
        <v>0.35</v>
      </c>
      <c r="AS27" s="233">
        <f t="shared" ca="1" si="25"/>
        <v>0.5</v>
      </c>
      <c r="AT27" s="235">
        <f t="shared" ca="1" si="26"/>
        <v>0.7</v>
      </c>
      <c r="AU27" s="946">
        <f t="shared" si="27"/>
        <v>0.5</v>
      </c>
      <c r="AV27" s="13">
        <f t="shared" ca="1" si="28"/>
        <v>20</v>
      </c>
      <c r="AW27" s="210">
        <f t="shared" ca="1" si="29"/>
        <v>4</v>
      </c>
      <c r="AX27" s="210">
        <f t="shared" ca="1" si="30"/>
        <v>4</v>
      </c>
      <c r="AY27" s="210">
        <f t="shared" ca="1" si="31"/>
        <v>0</v>
      </c>
      <c r="AZ27" s="13">
        <f t="shared" ca="1" si="32"/>
        <v>28</v>
      </c>
      <c r="BA27" s="355">
        <f ca="1"/>
        <v>320</v>
      </c>
      <c r="BB27" s="363">
        <f ca="1"/>
        <v>64</v>
      </c>
      <c r="BC27" s="363">
        <f ca="1"/>
        <v>64</v>
      </c>
      <c r="BD27" s="927">
        <f ca="1"/>
        <v>224</v>
      </c>
      <c r="BE27" s="930">
        <f ca="1"/>
        <v>0.99998503923416138</v>
      </c>
      <c r="BF27" s="931">
        <f ca="1"/>
        <v>0.99998503923416138</v>
      </c>
      <c r="BG27" s="931">
        <f ca="1"/>
        <v>0.99998503923416138</v>
      </c>
      <c r="BH27" s="932">
        <f ca="1"/>
        <v>1.0000070855021477</v>
      </c>
      <c r="BI27" s="355">
        <f ca="1"/>
        <v>320</v>
      </c>
      <c r="BJ27" s="363">
        <f ca="1"/>
        <v>64</v>
      </c>
      <c r="BK27" s="363">
        <f ca="1"/>
        <v>64</v>
      </c>
      <c r="BL27" s="927">
        <f ca="1"/>
        <v>224</v>
      </c>
      <c r="BM27" s="930">
        <f ca="1"/>
        <v>0.99998503923416138</v>
      </c>
      <c r="BN27" s="931">
        <f ca="1"/>
        <v>0.99998503923416138</v>
      </c>
      <c r="BO27" s="931">
        <f ca="1"/>
        <v>0.99998503923416138</v>
      </c>
      <c r="BP27" s="932">
        <f ca="1"/>
        <v>1.0000070855021477</v>
      </c>
      <c r="BQ27" s="355">
        <f t="shared" ca="1" si="33"/>
        <v>672</v>
      </c>
      <c r="BR27" s="360">
        <f t="shared" ca="1" si="34"/>
        <v>672</v>
      </c>
      <c r="BS27" s="357">
        <f t="shared" ca="1" si="35"/>
        <v>627.17640076905855</v>
      </c>
      <c r="BT27" s="302">
        <f t="shared" ca="1" si="36"/>
        <v>29.12054641127455</v>
      </c>
      <c r="BU27" s="299">
        <f t="shared" ca="1" si="37"/>
        <v>29.787205308724122</v>
      </c>
      <c r="BV27" s="299">
        <f t="shared" ca="1" si="38"/>
        <v>30.453864206173698</v>
      </c>
      <c r="BW27" s="299">
        <f t="shared" ca="1" si="39"/>
        <v>32.659889647739881</v>
      </c>
      <c r="BX27" s="380">
        <f t="shared" ca="1" si="40"/>
        <v>0.91991786447638602</v>
      </c>
      <c r="BY27" s="363">
        <f t="shared" ca="1" si="41"/>
        <v>298.65542893764695</v>
      </c>
      <c r="BZ27" s="353">
        <f t="shared" ca="1" si="42"/>
        <v>59.731085787529388</v>
      </c>
      <c r="CA27" s="353">
        <f t="shared" ca="1" si="43"/>
        <v>59.731085787529388</v>
      </c>
      <c r="CB27" s="353">
        <f t="shared" ca="1" si="44"/>
        <v>418.11760051270568</v>
      </c>
      <c r="CC27" s="353">
        <f t="shared" ca="1" si="45"/>
        <v>209.05880025635287</v>
      </c>
      <c r="CD27" s="353">
        <f t="shared" ca="1" si="46"/>
        <v>627.17640076905855</v>
      </c>
      <c r="CE27" s="302">
        <f t="shared" ca="1" si="47"/>
        <v>38.099429994821548</v>
      </c>
      <c r="CF27" s="299">
        <f t="shared" ca="1" si="48"/>
        <v>28.195828315091831</v>
      </c>
      <c r="CG27" s="299">
        <f t="shared" ca="1" si="49"/>
        <v>27.747084342100266</v>
      </c>
      <c r="CH27" s="299">
        <f t="shared" ca="1" si="50"/>
        <v>35.205723233042839</v>
      </c>
      <c r="CI27" s="299">
        <f t="shared" ca="1" si="51"/>
        <v>20.950146152435419</v>
      </c>
      <c r="CJ27" s="299">
        <f t="shared" ca="1" si="52"/>
        <v>30.453864206173698</v>
      </c>
      <c r="CK27" s="299">
        <f t="shared" ca="1" si="53"/>
        <v>32.659889647739881</v>
      </c>
      <c r="CL27" s="377">
        <f t="shared" ca="1" si="54"/>
        <v>0.40950000000000003</v>
      </c>
      <c r="CM27" s="305">
        <f t="shared" ca="1" si="55"/>
        <v>0.40950000000000003</v>
      </c>
      <c r="CN27" s="305">
        <f t="shared" ca="1" si="56"/>
        <v>0.40950000000000003</v>
      </c>
      <c r="CO27" s="305">
        <f t="shared" ca="1" si="57"/>
        <v>0.40949999999999992</v>
      </c>
      <c r="CP27" s="305">
        <f t="shared" ca="1" si="58"/>
        <v>0.10290000000000002</v>
      </c>
      <c r="CQ27" s="305">
        <f t="shared" ca="1" si="59"/>
        <v>0.33168393692962106</v>
      </c>
      <c r="CR27" s="775">
        <f t="shared" ca="1" si="60"/>
        <v>0.42450000000000004</v>
      </c>
      <c r="CS27" s="305">
        <f t="shared" ca="1" si="61"/>
        <v>0.42450000000000004</v>
      </c>
      <c r="CT27" s="305">
        <f t="shared" ca="1" si="62"/>
        <v>0.42450000000000004</v>
      </c>
      <c r="CU27" s="305">
        <f t="shared" ca="1" si="63"/>
        <v>0.16290000000000002</v>
      </c>
      <c r="CV27" s="770">
        <f t="shared" ca="1" si="64"/>
        <v>0.33168393692962106</v>
      </c>
      <c r="CW27" s="302">
        <f t="shared" ca="1" si="65"/>
        <v>8.8241878562023857</v>
      </c>
      <c r="CX27" s="299">
        <f t="shared" ca="1" si="66"/>
        <v>2.9877283394149092</v>
      </c>
      <c r="CY27" s="299">
        <f t="shared" ca="1" si="67"/>
        <v>2.7948882573144562</v>
      </c>
      <c r="CZ27" s="299">
        <f t="shared" ca="1" si="68"/>
        <v>2.6933613547317284E-3</v>
      </c>
      <c r="DA27" s="774">
        <f t="shared" ca="1" si="69"/>
        <v>2.9802909824166601</v>
      </c>
      <c r="DB27" s="303">
        <f t="shared" ca="1" si="70"/>
        <v>1869.1681715965624</v>
      </c>
      <c r="DC27" s="248">
        <f t="shared" ca="1" si="71"/>
        <v>298.39224049984858</v>
      </c>
      <c r="DD27" s="778">
        <f t="shared" ca="1" si="72"/>
        <v>0</v>
      </c>
      <c r="DE27" s="363">
        <f t="shared" ca="1" si="73"/>
        <v>0.93329821543014668</v>
      </c>
      <c r="DF27" s="378">
        <f t="shared" ca="1" si="74"/>
        <v>0.17479371593944754</v>
      </c>
      <c r="DG27" s="508">
        <f t="shared" ca="1" si="75"/>
        <v>-0.56455744169789057</v>
      </c>
      <c r="DH27" s="508">
        <f t="shared" ca="1" si="76"/>
        <v>-0.60396147199148564</v>
      </c>
      <c r="DI27" s="508">
        <f t="shared" ca="1" si="77"/>
        <v>-2.9198937145348633</v>
      </c>
      <c r="DJ27" s="508">
        <f t="shared" ca="1" si="78"/>
        <v>-0.37889673927211492</v>
      </c>
      <c r="DK27" s="353">
        <f t="shared" ca="1" si="79"/>
        <v>-221.00587888834229</v>
      </c>
      <c r="DL27" s="781">
        <f t="shared" ca="1" si="80"/>
        <v>22.413621101378503</v>
      </c>
      <c r="DM27" s="303">
        <f t="shared" ca="1" si="81"/>
        <v>6617.950423906681</v>
      </c>
      <c r="DN27" s="508">
        <f t="shared" ca="1" si="82"/>
        <v>0.64014692948249552</v>
      </c>
      <c r="DO27" s="508">
        <f t="shared" ca="1" si="83"/>
        <v>0.32626097446994423</v>
      </c>
      <c r="DP27" s="508">
        <f t="shared" ca="1" si="84"/>
        <v>0.30953229074194039</v>
      </c>
      <c r="DQ27" s="508">
        <f t="shared" ca="1" si="85"/>
        <v>1.6542651470848876E-2</v>
      </c>
      <c r="DR27" s="508">
        <f t="shared" ca="1" si="86"/>
        <v>0.40659115110148197</v>
      </c>
      <c r="DS27" s="353">
        <f t="shared" ca="1" si="87"/>
        <v>6728.5099444980196</v>
      </c>
      <c r="DT27" s="353">
        <f t="shared" ca="1" si="88"/>
        <v>-1511.4805337213782</v>
      </c>
      <c r="DU27" s="380">
        <f t="shared" ca="1" si="189"/>
        <v>0.91991786447638602</v>
      </c>
      <c r="DV27" s="303">
        <f t="shared" ca="1" si="89"/>
        <v>298.65542893764695</v>
      </c>
      <c r="DW27" s="303">
        <f t="shared" ca="1" si="90"/>
        <v>59.731085787529388</v>
      </c>
      <c r="DX27" s="303">
        <f t="shared" ca="1" si="91"/>
        <v>59.731085787529388</v>
      </c>
      <c r="DY27" s="303">
        <f t="shared" ca="1" si="92"/>
        <v>418.11760051270568</v>
      </c>
      <c r="DZ27" s="303">
        <f t="shared" ca="1" si="93"/>
        <v>209.05880025635287</v>
      </c>
      <c r="EA27" s="303">
        <f t="shared" ca="1" si="94"/>
        <v>627.17640076905855</v>
      </c>
      <c r="EB27" s="302">
        <f t="shared" ca="1" si="95"/>
        <v>38.099429994821548</v>
      </c>
      <c r="EC27" s="299">
        <f t="shared" ca="1" si="96"/>
        <v>28.195828315091831</v>
      </c>
      <c r="ED27" s="299">
        <f t="shared" ca="1" si="97"/>
        <v>27.747084342100266</v>
      </c>
      <c r="EE27" s="299">
        <f t="shared" ca="1" si="98"/>
        <v>35.205723233042839</v>
      </c>
      <c r="EF27" s="299">
        <f t="shared" ca="1" si="99"/>
        <v>20.950146152435419</v>
      </c>
      <c r="EG27" s="299">
        <f t="shared" ca="1" si="100"/>
        <v>30.453864206173698</v>
      </c>
      <c r="EH27" s="302">
        <f t="shared" ca="1" si="101"/>
        <v>30</v>
      </c>
      <c r="EI27" s="304">
        <f t="shared" ca="1" si="102"/>
        <v>0.13650000000000001</v>
      </c>
      <c r="EJ27" s="305">
        <f t="shared" ca="1" si="103"/>
        <v>0.13650000000000001</v>
      </c>
      <c r="EK27" s="305">
        <f t="shared" ca="1" si="104"/>
        <v>0.13650000000000001</v>
      </c>
      <c r="EL27" s="305">
        <f t="shared" ca="1" si="105"/>
        <v>0.13650000000000034</v>
      </c>
      <c r="EM27" s="305">
        <f t="shared" ca="1" si="106"/>
        <v>3.4300000000000004E-2</v>
      </c>
      <c r="EN27" s="305">
        <f t="shared" ca="1" si="107"/>
        <v>0.10948123809784983</v>
      </c>
      <c r="EO27" s="305">
        <f t="shared" ca="1" si="108"/>
        <v>0.13650000000000001</v>
      </c>
      <c r="EP27" s="305">
        <f t="shared" ca="1" si="109"/>
        <v>0.13650000000000001</v>
      </c>
      <c r="EQ27" s="305">
        <f t="shared" ca="1" si="110"/>
        <v>0.13650000000000001</v>
      </c>
      <c r="ER27" s="305">
        <f t="shared" ca="1" si="111"/>
        <v>3.4300000000000004E-2</v>
      </c>
      <c r="ES27" s="305">
        <f t="shared" ca="1" si="112"/>
        <v>0.10948123809784983</v>
      </c>
      <c r="ET27" s="299">
        <f t="shared" ca="1" si="113"/>
        <v>1.0516363374386533</v>
      </c>
      <c r="EU27" s="302">
        <f t="shared" ca="1" si="114"/>
        <v>30</v>
      </c>
      <c r="EV27" s="304">
        <f t="shared" ca="1" si="115"/>
        <v>0.40950000000000003</v>
      </c>
      <c r="EW27" s="305">
        <f t="shared" ca="1" si="116"/>
        <v>0.40950000000000003</v>
      </c>
      <c r="EX27" s="305">
        <f t="shared" ca="1" si="117"/>
        <v>0.40950000000000003</v>
      </c>
      <c r="EY27" s="305">
        <f t="shared" ca="1" si="118"/>
        <v>0.40949999999999992</v>
      </c>
      <c r="EZ27" s="305">
        <f t="shared" ca="1" si="119"/>
        <v>0.10290000000000002</v>
      </c>
      <c r="FA27" s="305">
        <f t="shared" ca="1" si="120"/>
        <v>0.33168393692962106</v>
      </c>
      <c r="FB27" s="305">
        <f t="shared" ca="1" si="121"/>
        <v>0.40950000000000003</v>
      </c>
      <c r="FC27" s="305">
        <f t="shared" ca="1" si="122"/>
        <v>0.40950000000000003</v>
      </c>
      <c r="FD27" s="305">
        <f t="shared" ca="1" si="123"/>
        <v>0.40950000000000003</v>
      </c>
      <c r="FE27" s="305">
        <f t="shared" ca="1" si="124"/>
        <v>0.10290000000000002</v>
      </c>
      <c r="FF27" s="305">
        <f t="shared" ca="1" si="125"/>
        <v>0.33168393692962106</v>
      </c>
      <c r="FG27" s="299">
        <f t="shared" ca="1" si="126"/>
        <v>4.0512528299241435</v>
      </c>
      <c r="FH27" s="302">
        <f t="shared" ca="1" si="127"/>
        <v>-2.9996164924854902</v>
      </c>
      <c r="FI27" s="248">
        <f t="shared" ca="1" si="128"/>
        <v>-1881.2886754445576</v>
      </c>
      <c r="FJ27" s="363">
        <f t="shared" ca="1" si="129"/>
        <v>0.93329821543014668</v>
      </c>
      <c r="FK27" s="378">
        <f t="shared" ca="1" si="130"/>
        <v>1.7600919881032191</v>
      </c>
      <c r="FL27" s="508">
        <f t="shared" ca="1" si="131"/>
        <v>-0.53920886476894236</v>
      </c>
      <c r="FM27" s="508">
        <f t="shared" ca="1" si="132"/>
        <v>-0.66175106886880475</v>
      </c>
      <c r="FN27" s="508">
        <f t="shared" ca="1" si="133"/>
        <v>-10.930561122529285</v>
      </c>
      <c r="FO27" s="508">
        <f t="shared" ca="1" si="134"/>
        <v>9.0493614513282167E-2</v>
      </c>
      <c r="FP27" s="353">
        <f t="shared" ca="1" si="135"/>
        <v>290.97687337657976</v>
      </c>
      <c r="FQ27" s="356">
        <f t="shared" ca="1" si="136"/>
        <v>79.10177651684134</v>
      </c>
      <c r="FR27" s="380">
        <f t="shared" ca="1" si="137"/>
        <v>23.64</v>
      </c>
      <c r="FS27" s="299">
        <f t="shared" ca="1" si="138"/>
        <v>23.64</v>
      </c>
      <c r="FT27" s="299">
        <f t="shared" ca="1" si="139"/>
        <v>23.64</v>
      </c>
      <c r="FU27" s="299">
        <f t="shared" ca="1" si="140"/>
        <v>23.64</v>
      </c>
      <c r="FV27" s="299">
        <f t="shared" ca="1" si="141"/>
        <v>23.64</v>
      </c>
      <c r="FW27" s="850">
        <f t="shared" ca="1" si="142"/>
        <v>0.39750000000000002</v>
      </c>
      <c r="FX27" s="851">
        <f t="shared" ca="1" si="143"/>
        <v>0.5</v>
      </c>
      <c r="FY27" s="851">
        <f t="shared" ca="1" si="144"/>
        <v>0</v>
      </c>
      <c r="FZ27" s="201">
        <f t="shared" ca="1" si="145"/>
        <v>0</v>
      </c>
      <c r="GA27" s="201">
        <f t="shared" ca="1" si="146"/>
        <v>0</v>
      </c>
      <c r="GB27" s="201">
        <f t="shared" ca="1" si="147"/>
        <v>0</v>
      </c>
      <c r="GC27" s="201">
        <f t="shared" ca="1" si="148"/>
        <v>0</v>
      </c>
      <c r="GD27" s="850">
        <f t="shared" ca="1" si="149"/>
        <v>0.42450000000000004</v>
      </c>
      <c r="GE27" s="866">
        <f t="shared" ca="1" si="150"/>
        <v>0.42450000000000004</v>
      </c>
      <c r="GF27" s="866">
        <f t="shared" ca="1" si="151"/>
        <v>0.42450000000000004</v>
      </c>
      <c r="GG27" s="866">
        <f t="shared" ca="1" si="152"/>
        <v>0.10290000000000002</v>
      </c>
      <c r="GH27" s="866">
        <f t="shared" ca="1" si="153"/>
        <v>0.34668393692962107</v>
      </c>
      <c r="GI27" s="302">
        <f t="shared" ca="1" si="154"/>
        <v>15.103846554821237</v>
      </c>
      <c r="GJ27" s="299">
        <f t="shared" ca="1" si="155"/>
        <v>6.7251354284251805</v>
      </c>
      <c r="GK27" s="299">
        <f t="shared" ca="1" si="156"/>
        <v>6.3959778240776446</v>
      </c>
      <c r="GL27" s="299">
        <f t="shared" ca="1" si="157"/>
        <v>1.8730275056027808</v>
      </c>
      <c r="GM27" s="299">
        <f t="shared" ca="1" si="158"/>
        <v>8.1680481620253644</v>
      </c>
      <c r="GN27" s="302">
        <f t="shared" ca="1" si="159"/>
        <v>0.92016297273810577</v>
      </c>
      <c r="GO27" s="299">
        <f t="shared" ca="1" si="160"/>
        <v>0.74013592850512422</v>
      </c>
      <c r="GP27" s="299">
        <f t="shared" ca="1" si="161"/>
        <v>0.72678952433781308</v>
      </c>
      <c r="GQ27" s="299">
        <f t="shared" ca="1" si="162"/>
        <v>0.42815313160177015</v>
      </c>
      <c r="GR27" s="299">
        <f t="shared" ca="1" si="163"/>
        <v>0.81177460170574445</v>
      </c>
      <c r="GS27" s="302">
        <f t="shared" ca="1" si="164"/>
        <v>-0.84407104133452537</v>
      </c>
      <c r="GT27" s="299">
        <f t="shared" ca="1" si="165"/>
        <v>-0.59829141283874221</v>
      </c>
      <c r="GU27" s="299">
        <f t="shared" ca="1" si="166"/>
        <v>-0.58250047625043255</v>
      </c>
      <c r="GV27" s="299">
        <f t="shared" ca="1" si="167"/>
        <v>-0.30020482435840545</v>
      </c>
      <c r="GW27" s="299">
        <f t="shared" ca="1" si="168"/>
        <v>-0.70023791667968216</v>
      </c>
      <c r="GX27" s="303">
        <f t="shared" ca="1" si="169"/>
        <v>4510.8457714385377</v>
      </c>
      <c r="GY27" s="303">
        <f t="shared" ca="1" si="170"/>
        <v>401.69964120801768</v>
      </c>
      <c r="GZ27" s="303">
        <f t="shared" ca="1" si="171"/>
        <v>382.03870010511736</v>
      </c>
      <c r="HA27" s="303">
        <f t="shared" ca="1" si="172"/>
        <v>391.5728831684666</v>
      </c>
      <c r="HB27" s="303">
        <f t="shared" ca="1" si="173"/>
        <v>5122.8070475673921</v>
      </c>
      <c r="HC27" s="303">
        <f t="shared" ca="1" si="174"/>
        <v>4318.3872672973075</v>
      </c>
      <c r="HD27" s="303">
        <f t="shared" ca="1" si="175"/>
        <v>272.12457192200554</v>
      </c>
      <c r="HE27" s="303">
        <f t="shared" ca="1" si="176"/>
        <v>245.32060717460962</v>
      </c>
      <c r="HF27" s="303">
        <f t="shared" ca="1" si="177"/>
        <v>0</v>
      </c>
      <c r="HG27" s="852">
        <f t="shared" ca="1" si="178"/>
        <v>4273.4948281571378</v>
      </c>
      <c r="HH27" s="13"/>
      <c r="IG27" s="13"/>
      <c r="IH27" s="13"/>
      <c r="II27" s="13"/>
      <c r="IJ27" s="13"/>
      <c r="IK27" s="13"/>
      <c r="IL27" s="13"/>
      <c r="IM27" s="13"/>
      <c r="IN27" s="13"/>
      <c r="IO27" s="13"/>
      <c r="IP27" s="13"/>
      <c r="IQ27" s="13"/>
      <c r="IR27" s="13"/>
      <c r="IS27" s="13"/>
      <c r="IT27" s="13"/>
      <c r="IU27" s="13"/>
      <c r="IV27" s="13"/>
    </row>
    <row r="28" spans="1:256" x14ac:dyDescent="0.25">
      <c r="A28" s="244">
        <f t="shared" ca="1" si="179"/>
        <v>36951</v>
      </c>
      <c r="B28" s="13">
        <f t="shared" ca="1" si="3"/>
        <v>2001</v>
      </c>
      <c r="C28" s="619">
        <f t="shared" ca="1" si="180"/>
        <v>3</v>
      </c>
      <c r="D28" s="195" t="str">
        <f t="shared" ca="1" si="4"/>
        <v/>
      </c>
      <c r="E28" s="469">
        <f t="shared" ca="1" si="5"/>
        <v>36951</v>
      </c>
      <c r="F28" s="465">
        <f t="shared" ca="1" si="6"/>
        <v>36981</v>
      </c>
      <c r="G28" s="521">
        <f t="shared" ca="1" si="181"/>
        <v>1</v>
      </c>
      <c r="H28" s="518">
        <f t="shared" ca="1" si="182"/>
        <v>1</v>
      </c>
      <c r="I28" s="724">
        <f t="shared" ca="1" si="7"/>
        <v>6.7341227199243001E-2</v>
      </c>
      <c r="J28" s="198">
        <f t="shared" ca="1" si="8"/>
        <v>0.92767633406505923</v>
      </c>
      <c r="K28" s="200">
        <f t="shared" ca="1" si="190"/>
        <v>33.35</v>
      </c>
      <c r="L28" s="201">
        <f t="shared" ca="1" si="191"/>
        <v>33.75</v>
      </c>
      <c r="M28" s="206">
        <f t="shared" ca="1" si="192"/>
        <v>34.15</v>
      </c>
      <c r="N28" s="851">
        <f t="shared" ca="1" si="196"/>
        <v>20.634749603271484</v>
      </c>
      <c r="O28" s="201">
        <f t="shared" ca="1" si="197"/>
        <v>20.934749603271484</v>
      </c>
      <c r="P28" s="206">
        <f t="shared" ca="1" si="198"/>
        <v>21.234749603271485</v>
      </c>
      <c r="Q28" s="201">
        <f t="shared" ca="1" si="199"/>
        <v>18.064498901367188</v>
      </c>
      <c r="R28" s="201">
        <f t="shared" ca="1" si="200"/>
        <v>20.564498901367188</v>
      </c>
      <c r="S28" s="201">
        <f t="shared" ca="1" si="201"/>
        <v>23.064498901367188</v>
      </c>
      <c r="T28" s="851">
        <f t="shared" ca="1" si="193"/>
        <v>19.449999618530274</v>
      </c>
      <c r="U28" s="201">
        <f t="shared" ca="1" si="194"/>
        <v>19.649999618530273</v>
      </c>
      <c r="V28" s="206">
        <f t="shared" ca="1" si="195"/>
        <v>19.849999618530273</v>
      </c>
      <c r="W28" s="230">
        <f t="shared" ca="1" si="183"/>
        <v>0.13286250000000002</v>
      </c>
      <c r="X28" s="231">
        <f t="shared" ca="1" si="184"/>
        <v>0.26572500000000004</v>
      </c>
      <c r="Y28" s="232">
        <f t="shared" ca="1" si="185"/>
        <v>0.39858750000000009</v>
      </c>
      <c r="Z28" s="231">
        <f t="shared" ca="1" si="9"/>
        <v>0.13286250000000002</v>
      </c>
      <c r="AA28" s="231">
        <f t="shared" ca="1" si="10"/>
        <v>0.26572500000000004</v>
      </c>
      <c r="AB28" s="232">
        <f t="shared" ca="1" si="11"/>
        <v>0.39858750000000009</v>
      </c>
      <c r="AC28" s="231">
        <f t="shared" ca="1" si="12"/>
        <v>0.13286250000000002</v>
      </c>
      <c r="AD28" s="231">
        <f t="shared" ca="1" si="13"/>
        <v>0.26572500000000004</v>
      </c>
      <c r="AE28" s="232">
        <f t="shared" ca="1" si="14"/>
        <v>0.39858750000000009</v>
      </c>
      <c r="AF28" s="231">
        <f t="shared" ca="1" si="186"/>
        <v>2.9399999999999999E-2</v>
      </c>
      <c r="AG28" s="231">
        <f t="shared" ca="1" si="187"/>
        <v>5.8799999999999998E-2</v>
      </c>
      <c r="AH28" s="232">
        <f t="shared" ca="1" si="188"/>
        <v>8.8200000000000001E-2</v>
      </c>
      <c r="AI28" s="233">
        <f t="shared" ca="1" si="15"/>
        <v>1.05</v>
      </c>
      <c r="AJ28" s="233">
        <f t="shared" ca="1" si="16"/>
        <v>1.3</v>
      </c>
      <c r="AK28" s="234">
        <f t="shared" ca="1" si="17"/>
        <v>1.6</v>
      </c>
      <c r="AL28" s="919">
        <f t="shared" ca="1" si="18"/>
        <v>1.05</v>
      </c>
      <c r="AM28" s="233">
        <f t="shared" ca="1" si="19"/>
        <v>1.3</v>
      </c>
      <c r="AN28" s="234">
        <f t="shared" ca="1" si="20"/>
        <v>1.6</v>
      </c>
      <c r="AO28" s="233">
        <f t="shared" ca="1" si="21"/>
        <v>1.05</v>
      </c>
      <c r="AP28" s="233">
        <f t="shared" ca="1" si="22"/>
        <v>1.3</v>
      </c>
      <c r="AQ28" s="233">
        <f t="shared" ca="1" si="23"/>
        <v>1.6</v>
      </c>
      <c r="AR28" s="919">
        <f t="shared" ca="1" si="24"/>
        <v>0.19999999999999998</v>
      </c>
      <c r="AS28" s="233">
        <f t="shared" ca="1" si="25"/>
        <v>0.35</v>
      </c>
      <c r="AT28" s="235">
        <f t="shared" ca="1" si="26"/>
        <v>0.55000000000000004</v>
      </c>
      <c r="AU28" s="946">
        <f t="shared" si="27"/>
        <v>0.5</v>
      </c>
      <c r="AV28" s="13">
        <f t="shared" ca="1" si="28"/>
        <v>22</v>
      </c>
      <c r="AW28" s="210">
        <f t="shared" ca="1" si="29"/>
        <v>5</v>
      </c>
      <c r="AX28" s="210">
        <f t="shared" ca="1" si="30"/>
        <v>4</v>
      </c>
      <c r="AY28" s="210">
        <f t="shared" ca="1" si="31"/>
        <v>0</v>
      </c>
      <c r="AZ28" s="13">
        <f t="shared" ca="1" si="32"/>
        <v>31</v>
      </c>
      <c r="BA28" s="355">
        <f ca="1"/>
        <v>352</v>
      </c>
      <c r="BB28" s="363">
        <f ca="1"/>
        <v>80</v>
      </c>
      <c r="BC28" s="363">
        <f ca="1"/>
        <v>64</v>
      </c>
      <c r="BD28" s="927">
        <f ca="1"/>
        <v>248</v>
      </c>
      <c r="BE28" s="930">
        <f ca="1"/>
        <v>0.99999375641345978</v>
      </c>
      <c r="BF28" s="931">
        <f ca="1"/>
        <v>0.99999375641345978</v>
      </c>
      <c r="BG28" s="931">
        <f ca="1"/>
        <v>0.99999375641345978</v>
      </c>
      <c r="BH28" s="932">
        <f ca="1"/>
        <v>0.99999988824129105</v>
      </c>
      <c r="BI28" s="355">
        <f ca="1"/>
        <v>352</v>
      </c>
      <c r="BJ28" s="363">
        <f ca="1"/>
        <v>80</v>
      </c>
      <c r="BK28" s="363">
        <f ca="1"/>
        <v>64</v>
      </c>
      <c r="BL28" s="927">
        <f ca="1"/>
        <v>248</v>
      </c>
      <c r="BM28" s="930">
        <f ca="1"/>
        <v>0.99999375641345978</v>
      </c>
      <c r="BN28" s="931">
        <f ca="1"/>
        <v>0.99999375641345978</v>
      </c>
      <c r="BO28" s="931">
        <f ca="1"/>
        <v>0.99999375641345978</v>
      </c>
      <c r="BP28" s="932">
        <f ca="1"/>
        <v>0.99999988824129105</v>
      </c>
      <c r="BQ28" s="355">
        <f t="shared" ca="1" si="33"/>
        <v>744</v>
      </c>
      <c r="BR28" s="360">
        <f t="shared" ca="1" si="34"/>
        <v>744</v>
      </c>
      <c r="BS28" s="357">
        <f t="shared" ca="1" si="35"/>
        <v>690.19119254440409</v>
      </c>
      <c r="BT28" s="302">
        <f t="shared" ca="1" si="36"/>
        <v>26.03443070481444</v>
      </c>
      <c r="BU28" s="299">
        <f t="shared" ca="1" si="37"/>
        <v>26.537653778120706</v>
      </c>
      <c r="BV28" s="299">
        <f t="shared" ca="1" si="38"/>
        <v>27.040876851426969</v>
      </c>
      <c r="BW28" s="299">
        <f t="shared" ca="1" si="39"/>
        <v>32.659889647739881</v>
      </c>
      <c r="BX28" s="380">
        <f t="shared" ca="1" si="40"/>
        <v>0.99657768651608492</v>
      </c>
      <c r="BY28" s="363">
        <f t="shared" ca="1" si="41"/>
        <v>326.54206959090084</v>
      </c>
      <c r="BZ28" s="353">
        <f t="shared" ca="1" si="42"/>
        <v>74.214106725204743</v>
      </c>
      <c r="CA28" s="353">
        <f t="shared" ca="1" si="43"/>
        <v>59.371285380163791</v>
      </c>
      <c r="CB28" s="353">
        <f t="shared" ca="1" si="44"/>
        <v>460.12746169626934</v>
      </c>
      <c r="CC28" s="353">
        <f t="shared" ca="1" si="45"/>
        <v>230.0637308481347</v>
      </c>
      <c r="CD28" s="353">
        <f t="shared" ca="1" si="46"/>
        <v>690.19119254440398</v>
      </c>
      <c r="CE28" s="302">
        <f t="shared" ca="1" si="47"/>
        <v>34.149786781519651</v>
      </c>
      <c r="CF28" s="299">
        <f t="shared" ca="1" si="48"/>
        <v>21.234617022274676</v>
      </c>
      <c r="CG28" s="299">
        <f t="shared" ca="1" si="49"/>
        <v>23.06435489617229</v>
      </c>
      <c r="CH28" s="299">
        <f t="shared" ca="1" si="50"/>
        <v>30.636316577080482</v>
      </c>
      <c r="CI28" s="299">
        <f t="shared" ca="1" si="51"/>
        <v>19.849997400119943</v>
      </c>
      <c r="CJ28" s="299">
        <f t="shared" ca="1" si="52"/>
        <v>27.040876851426969</v>
      </c>
      <c r="CK28" s="299">
        <f t="shared" ca="1" si="53"/>
        <v>32.659889647739881</v>
      </c>
      <c r="CL28" s="377">
        <f t="shared" ca="1" si="54"/>
        <v>0.39858750000000009</v>
      </c>
      <c r="CM28" s="305">
        <f t="shared" ca="1" si="55"/>
        <v>0.39858750000000009</v>
      </c>
      <c r="CN28" s="305">
        <f t="shared" ca="1" si="56"/>
        <v>0.39858750000000009</v>
      </c>
      <c r="CO28" s="305">
        <f t="shared" ca="1" si="57"/>
        <v>0.39858750000000004</v>
      </c>
      <c r="CP28" s="305">
        <f t="shared" ca="1" si="58"/>
        <v>8.8200000000000001E-2</v>
      </c>
      <c r="CQ28" s="305">
        <f t="shared" ca="1" si="59"/>
        <v>0.31633340184371439</v>
      </c>
      <c r="CR28" s="775">
        <f t="shared" ca="1" si="60"/>
        <v>0.39858750000000009</v>
      </c>
      <c r="CS28" s="305">
        <f t="shared" ca="1" si="61"/>
        <v>0.45858750000000009</v>
      </c>
      <c r="CT28" s="305">
        <f t="shared" ca="1" si="62"/>
        <v>0.44858750000000008</v>
      </c>
      <c r="CU28" s="305">
        <f t="shared" ca="1" si="63"/>
        <v>0.1482</v>
      </c>
      <c r="CV28" s="770">
        <f t="shared" ca="1" si="64"/>
        <v>0.33383340184371441</v>
      </c>
      <c r="CW28" s="302">
        <f t="shared" ca="1" si="65"/>
        <v>6.0455232341479963</v>
      </c>
      <c r="CX28" s="299">
        <f t="shared" ca="1" si="66"/>
        <v>1.105607546540782</v>
      </c>
      <c r="CY28" s="299">
        <f t="shared" ca="1" si="67"/>
        <v>1.5165083838022682</v>
      </c>
      <c r="CZ28" s="299">
        <f t="shared" ca="1" si="68"/>
        <v>3.7147890289945459E-4</v>
      </c>
      <c r="DA28" s="774">
        <f t="shared" ca="1" si="69"/>
        <v>1.7504242055911421</v>
      </c>
      <c r="DB28" s="303">
        <f t="shared" ca="1" si="70"/>
        <v>1208.1273699155413</v>
      </c>
      <c r="DC28" s="248">
        <f t="shared" ca="1" si="71"/>
        <v>237.85411119980481</v>
      </c>
      <c r="DD28" s="778">
        <f t="shared" ca="1" si="72"/>
        <v>0</v>
      </c>
      <c r="DE28" s="363">
        <f t="shared" ca="1" si="73"/>
        <v>0.92767633406505923</v>
      </c>
      <c r="DF28" s="378">
        <f t="shared" ca="1" si="74"/>
        <v>-8.6843644357853161E-2</v>
      </c>
      <c r="DG28" s="508">
        <f t="shared" ca="1" si="75"/>
        <v>-1.1692964119349036</v>
      </c>
      <c r="DH28" s="508">
        <f t="shared" ca="1" si="76"/>
        <v>-1.0006948287367345</v>
      </c>
      <c r="DI28" s="508">
        <f t="shared" ca="1" si="77"/>
        <v>-3.4396821754117433</v>
      </c>
      <c r="DJ28" s="508">
        <f t="shared" ca="1" si="78"/>
        <v>-0.73314671945593457</v>
      </c>
      <c r="DK28" s="353">
        <f t="shared" ca="1" si="79"/>
        <v>-159.94104193983688</v>
      </c>
      <c r="DL28" s="781">
        <f t="shared" ca="1" si="80"/>
        <v>19.335795610976611</v>
      </c>
      <c r="DM28" s="303">
        <f t="shared" ca="1" si="81"/>
        <v>6065.6577269130485</v>
      </c>
      <c r="DN28" s="508">
        <f t="shared" ca="1" si="82"/>
        <v>0.54378340549753101</v>
      </c>
      <c r="DO28" s="508">
        <f t="shared" ca="1" si="83"/>
        <v>6.7797089117348983E-2</v>
      </c>
      <c r="DP28" s="508">
        <f t="shared" ca="1" si="84"/>
        <v>0.15060278975479621</v>
      </c>
      <c r="DQ28" s="508">
        <f t="shared" ca="1" si="85"/>
        <v>2.458034194046576E-4</v>
      </c>
      <c r="DR28" s="508">
        <f t="shared" ca="1" si="86"/>
        <v>0.30995293516511058</v>
      </c>
      <c r="DS28" s="353">
        <f t="shared" ca="1" si="87"/>
        <v>7084.2601020394195</v>
      </c>
      <c r="DT28" s="353">
        <f t="shared" ca="1" si="88"/>
        <v>-1511.36789853598</v>
      </c>
      <c r="DU28" s="380">
        <f t="shared" ca="1" si="189"/>
        <v>0.99657768651608492</v>
      </c>
      <c r="DV28" s="303">
        <f t="shared" ca="1" si="89"/>
        <v>326.54206959090084</v>
      </c>
      <c r="DW28" s="303">
        <f t="shared" ca="1" si="90"/>
        <v>74.214106725204743</v>
      </c>
      <c r="DX28" s="303">
        <f t="shared" ca="1" si="91"/>
        <v>59.371285380163791</v>
      </c>
      <c r="DY28" s="303">
        <f t="shared" ca="1" si="92"/>
        <v>460.12746169626934</v>
      </c>
      <c r="DZ28" s="303">
        <f t="shared" ca="1" si="93"/>
        <v>230.0637308481347</v>
      </c>
      <c r="EA28" s="303">
        <f t="shared" ca="1" si="94"/>
        <v>690.19119254440398</v>
      </c>
      <c r="EB28" s="302">
        <f t="shared" ca="1" si="95"/>
        <v>34.149786781519651</v>
      </c>
      <c r="EC28" s="299">
        <f t="shared" ca="1" si="96"/>
        <v>21.234617022274676</v>
      </c>
      <c r="ED28" s="299">
        <f t="shared" ca="1" si="97"/>
        <v>23.06435489617229</v>
      </c>
      <c r="EE28" s="299">
        <f t="shared" ca="1" si="98"/>
        <v>30.636316577080482</v>
      </c>
      <c r="EF28" s="299">
        <f t="shared" ca="1" si="99"/>
        <v>19.849997400119943</v>
      </c>
      <c r="EG28" s="299">
        <f t="shared" ca="1" si="100"/>
        <v>27.040876851426969</v>
      </c>
      <c r="EH28" s="302">
        <f t="shared" ca="1" si="101"/>
        <v>30</v>
      </c>
      <c r="EI28" s="304">
        <f t="shared" ca="1" si="102"/>
        <v>0.13286250000000002</v>
      </c>
      <c r="EJ28" s="305">
        <f t="shared" ca="1" si="103"/>
        <v>0.13286250000000002</v>
      </c>
      <c r="EK28" s="305">
        <f t="shared" ca="1" si="104"/>
        <v>0.13286250000000002</v>
      </c>
      <c r="EL28" s="305">
        <f t="shared" ca="1" si="105"/>
        <v>0.13286250000000033</v>
      </c>
      <c r="EM28" s="305">
        <f t="shared" ca="1" si="106"/>
        <v>2.9399999999999999E-2</v>
      </c>
      <c r="EN28" s="305">
        <f t="shared" ca="1" si="107"/>
        <v>0.10428292905304702</v>
      </c>
      <c r="EO28" s="305">
        <f t="shared" ca="1" si="108"/>
        <v>0.13286250000000002</v>
      </c>
      <c r="EP28" s="305">
        <f t="shared" ca="1" si="109"/>
        <v>0.13286250000000002</v>
      </c>
      <c r="EQ28" s="305">
        <f t="shared" ca="1" si="110"/>
        <v>0.13286250000000002</v>
      </c>
      <c r="ER28" s="305">
        <f t="shared" ca="1" si="111"/>
        <v>2.9399999999999999E-2</v>
      </c>
      <c r="ES28" s="305">
        <f t="shared" ca="1" si="112"/>
        <v>0.10428292905304702</v>
      </c>
      <c r="ET28" s="299">
        <f t="shared" ca="1" si="113"/>
        <v>3.207109674034978</v>
      </c>
      <c r="EU28" s="302">
        <f t="shared" ca="1" si="114"/>
        <v>30</v>
      </c>
      <c r="EV28" s="304">
        <f t="shared" ca="1" si="115"/>
        <v>0.39858750000000009</v>
      </c>
      <c r="EW28" s="305">
        <f t="shared" ca="1" si="116"/>
        <v>0.39858750000000009</v>
      </c>
      <c r="EX28" s="305">
        <f t="shared" ca="1" si="117"/>
        <v>0.39858750000000009</v>
      </c>
      <c r="EY28" s="305">
        <f t="shared" ca="1" si="118"/>
        <v>0.39858750000000004</v>
      </c>
      <c r="EZ28" s="305">
        <f t="shared" ca="1" si="119"/>
        <v>8.8200000000000001E-2</v>
      </c>
      <c r="FA28" s="305">
        <f t="shared" ca="1" si="120"/>
        <v>0.31633340184371439</v>
      </c>
      <c r="FB28" s="305">
        <f t="shared" ca="1" si="121"/>
        <v>0.39858750000000009</v>
      </c>
      <c r="FC28" s="305">
        <f t="shared" ca="1" si="122"/>
        <v>0.39858750000000009</v>
      </c>
      <c r="FD28" s="305">
        <f t="shared" ca="1" si="123"/>
        <v>0.39858750000000009</v>
      </c>
      <c r="FE28" s="305">
        <f t="shared" ca="1" si="124"/>
        <v>8.8200000000000001E-2</v>
      </c>
      <c r="FF28" s="305">
        <f t="shared" ca="1" si="125"/>
        <v>0.31633340184371439</v>
      </c>
      <c r="FG28" s="299">
        <f t="shared" ca="1" si="126"/>
        <v>2.2885941453806389</v>
      </c>
      <c r="FH28" s="302">
        <f t="shared" ca="1" si="127"/>
        <v>0.91851552865433916</v>
      </c>
      <c r="FI28" s="248">
        <f t="shared" ca="1" si="128"/>
        <v>633.95132809249196</v>
      </c>
      <c r="FJ28" s="363">
        <f t="shared" ca="1" si="129"/>
        <v>0.92767633406505923</v>
      </c>
      <c r="FK28" s="378">
        <f t="shared" ca="1" si="130"/>
        <v>0.91049108017449543</v>
      </c>
      <c r="FL28" s="508">
        <f t="shared" ca="1" si="131"/>
        <v>-2.6716989113471445</v>
      </c>
      <c r="FM28" s="508">
        <f t="shared" ca="1" si="132"/>
        <v>-2.0485176520197683</v>
      </c>
      <c r="FN28" s="508">
        <f t="shared" ca="1" si="133"/>
        <v>-14.086172144788501</v>
      </c>
      <c r="FO28" s="508">
        <f t="shared" ca="1" si="134"/>
        <v>-1.049587056070326</v>
      </c>
      <c r="FP28" s="353">
        <f t="shared" ca="1" si="135"/>
        <v>588.76481552467806</v>
      </c>
      <c r="FQ28" s="356">
        <f t="shared" ca="1" si="136"/>
        <v>50.824491606560336</v>
      </c>
      <c r="FR28" s="380">
        <f t="shared" ca="1" si="137"/>
        <v>22.52</v>
      </c>
      <c r="FS28" s="299">
        <f t="shared" ca="1" si="138"/>
        <v>22.52</v>
      </c>
      <c r="FT28" s="299">
        <f t="shared" ca="1" si="139"/>
        <v>22.52</v>
      </c>
      <c r="FU28" s="299">
        <f t="shared" ca="1" si="140"/>
        <v>22.52</v>
      </c>
      <c r="FV28" s="299">
        <f t="shared" ca="1" si="141"/>
        <v>22.520000000000003</v>
      </c>
      <c r="FW28" s="850">
        <f t="shared" ca="1" si="142"/>
        <v>0.35</v>
      </c>
      <c r="FX28" s="851">
        <f t="shared" ca="1" si="143"/>
        <v>0.5</v>
      </c>
      <c r="FY28" s="851">
        <f t="shared" ca="1" si="144"/>
        <v>0</v>
      </c>
      <c r="FZ28" s="201">
        <f t="shared" ca="1" si="145"/>
        <v>0</v>
      </c>
      <c r="GA28" s="201">
        <f t="shared" ca="1" si="146"/>
        <v>0</v>
      </c>
      <c r="GB28" s="201">
        <f t="shared" ca="1" si="147"/>
        <v>0</v>
      </c>
      <c r="GC28" s="201">
        <f t="shared" ca="1" si="148"/>
        <v>0</v>
      </c>
      <c r="GD28" s="850">
        <f t="shared" ca="1" si="149"/>
        <v>0.41358750000000011</v>
      </c>
      <c r="GE28" s="866">
        <f t="shared" ca="1" si="150"/>
        <v>0.39858750000000009</v>
      </c>
      <c r="GF28" s="866">
        <f t="shared" ca="1" si="151"/>
        <v>0.39858750000000009</v>
      </c>
      <c r="GG28" s="866">
        <f t="shared" ca="1" si="152"/>
        <v>8.8200000000000001E-2</v>
      </c>
      <c r="GH28" s="866">
        <f t="shared" ca="1" si="153"/>
        <v>0.3313334018437144</v>
      </c>
      <c r="GI28" s="302">
        <f t="shared" ca="1" si="154"/>
        <v>12.381115731563071</v>
      </c>
      <c r="GJ28" s="299">
        <f t="shared" ca="1" si="155"/>
        <v>2.6590727972288031</v>
      </c>
      <c r="GK28" s="299">
        <f t="shared" ca="1" si="156"/>
        <v>3.6778557812277843</v>
      </c>
      <c r="GL28" s="299">
        <f t="shared" ca="1" si="157"/>
        <v>1.5222806752624842</v>
      </c>
      <c r="GM28" s="299">
        <f t="shared" ca="1" si="158"/>
        <v>6.0761931868212544</v>
      </c>
      <c r="GN28" s="302">
        <f t="shared" ca="1" si="159"/>
        <v>0.89862251431315876</v>
      </c>
      <c r="GO28" s="299">
        <f t="shared" ca="1" si="160"/>
        <v>0.51264437249239303</v>
      </c>
      <c r="GP28" s="299">
        <f t="shared" ca="1" si="161"/>
        <v>0.59929591661367521</v>
      </c>
      <c r="GQ28" s="299">
        <f t="shared" ca="1" si="162"/>
        <v>0.40378053059623364</v>
      </c>
      <c r="GR28" s="299">
        <f t="shared" ca="1" si="163"/>
        <v>0.7603947819540231</v>
      </c>
      <c r="GS28" s="302">
        <f t="shared" ca="1" si="164"/>
        <v>-0.81290646199823746</v>
      </c>
      <c r="GT28" s="299">
        <f t="shared" ca="1" si="165"/>
        <v>-0.36530789130846214</v>
      </c>
      <c r="GU28" s="299">
        <f t="shared" ca="1" si="166"/>
        <v>-0.45046702825232332</v>
      </c>
      <c r="GV28" s="299">
        <f t="shared" ca="1" si="167"/>
        <v>-0.28831084922258809</v>
      </c>
      <c r="GW28" s="299">
        <f t="shared" ca="1" si="168"/>
        <v>-0.64323034528158496</v>
      </c>
      <c r="GX28" s="303">
        <f t="shared" ca="1" si="169"/>
        <v>4042.9551548290656</v>
      </c>
      <c r="GY28" s="303">
        <f t="shared" ca="1" si="170"/>
        <v>197.34071236362709</v>
      </c>
      <c r="GZ28" s="303">
        <f t="shared" ca="1" si="171"/>
        <v>218.35902517436003</v>
      </c>
      <c r="HA28" s="303">
        <f t="shared" ca="1" si="172"/>
        <v>350.22157154890493</v>
      </c>
      <c r="HB28" s="303">
        <f t="shared" ca="1" si="173"/>
        <v>4193.7350217423436</v>
      </c>
      <c r="HC28" s="303">
        <f t="shared" ca="1" si="174"/>
        <v>3797.6146445383288</v>
      </c>
      <c r="HD28" s="303">
        <f t="shared" ca="1" si="175"/>
        <v>0</v>
      </c>
      <c r="HE28" s="303">
        <f t="shared" ca="1" si="176"/>
        <v>32.319049888734483</v>
      </c>
      <c r="HF28" s="303">
        <f t="shared" ca="1" si="177"/>
        <v>0</v>
      </c>
      <c r="HG28" s="852">
        <f t="shared" ca="1" si="178"/>
        <v>3120.2693854327676</v>
      </c>
      <c r="HH28" s="13"/>
      <c r="IG28" s="13"/>
      <c r="IH28" s="13"/>
      <c r="II28" s="13"/>
      <c r="IJ28" s="13"/>
      <c r="IK28" s="13"/>
      <c r="IL28" s="13"/>
      <c r="IM28" s="13"/>
      <c r="IN28" s="13"/>
      <c r="IO28" s="13"/>
      <c r="IP28" s="13"/>
      <c r="IQ28" s="13"/>
      <c r="IR28" s="13"/>
      <c r="IS28" s="13"/>
      <c r="IT28" s="13"/>
      <c r="IU28" s="13"/>
      <c r="IV28" s="13"/>
    </row>
    <row r="29" spans="1:256" x14ac:dyDescent="0.25">
      <c r="A29" s="244">
        <f t="shared" ca="1" si="179"/>
        <v>36982</v>
      </c>
      <c r="B29" s="13">
        <f t="shared" ca="1" si="3"/>
        <v>2001</v>
      </c>
      <c r="C29" s="619">
        <f t="shared" ca="1" si="180"/>
        <v>4</v>
      </c>
      <c r="D29" s="195" t="str">
        <f t="shared" ca="1" si="4"/>
        <v/>
      </c>
      <c r="E29" s="469">
        <f t="shared" ca="1" si="5"/>
        <v>36982</v>
      </c>
      <c r="F29" s="465">
        <f t="shared" ca="1" si="6"/>
        <v>37011</v>
      </c>
      <c r="G29" s="521">
        <f t="shared" ca="1" si="181"/>
        <v>1</v>
      </c>
      <c r="H29" s="518">
        <f t="shared" ca="1" si="182"/>
        <v>1</v>
      </c>
      <c r="I29" s="724">
        <f t="shared" ca="1" si="7"/>
        <v>6.7760452095970994E-2</v>
      </c>
      <c r="J29" s="198">
        <f t="shared" ca="1" si="8"/>
        <v>0.92218873460327666</v>
      </c>
      <c r="K29" s="200">
        <f t="shared" ca="1" si="190"/>
        <v>32.25</v>
      </c>
      <c r="L29" s="201">
        <f t="shared" ca="1" si="191"/>
        <v>32.5</v>
      </c>
      <c r="M29" s="206">
        <f t="shared" ca="1" si="192"/>
        <v>32.75</v>
      </c>
      <c r="N29" s="851">
        <f t="shared" ca="1" si="196"/>
        <v>21.430000305175781</v>
      </c>
      <c r="O29" s="201">
        <f t="shared" ca="1" si="197"/>
        <v>21.617500305175781</v>
      </c>
      <c r="P29" s="206">
        <f t="shared" ca="1" si="198"/>
        <v>21.805000305175781</v>
      </c>
      <c r="Q29" s="201">
        <f t="shared" ca="1" si="199"/>
        <v>17.834999084472656</v>
      </c>
      <c r="R29" s="201">
        <f t="shared" ca="1" si="200"/>
        <v>20.334999084472656</v>
      </c>
      <c r="S29" s="201">
        <f t="shared" ca="1" si="201"/>
        <v>22.834999084472656</v>
      </c>
      <c r="T29" s="851">
        <f t="shared" ca="1" si="193"/>
        <v>19.524997711181641</v>
      </c>
      <c r="U29" s="201">
        <f t="shared" ca="1" si="194"/>
        <v>19.649997711181641</v>
      </c>
      <c r="V29" s="206">
        <f t="shared" ca="1" si="195"/>
        <v>19.774997711181641</v>
      </c>
      <c r="W29" s="230">
        <f t="shared" ca="1" si="183"/>
        <v>0.11857500000000001</v>
      </c>
      <c r="X29" s="231">
        <f t="shared" ca="1" si="184"/>
        <v>0.23715000000000003</v>
      </c>
      <c r="Y29" s="232">
        <f t="shared" ca="1" si="185"/>
        <v>0.35572500000000007</v>
      </c>
      <c r="Z29" s="231">
        <f t="shared" ca="1" si="9"/>
        <v>0.11857500000000001</v>
      </c>
      <c r="AA29" s="231">
        <f t="shared" ca="1" si="10"/>
        <v>0.23715000000000003</v>
      </c>
      <c r="AB29" s="232">
        <f t="shared" ca="1" si="11"/>
        <v>0.35572500000000007</v>
      </c>
      <c r="AC29" s="231">
        <f t="shared" ca="1" si="12"/>
        <v>0.11857500000000001</v>
      </c>
      <c r="AD29" s="231">
        <f t="shared" ca="1" si="13"/>
        <v>0.23715000000000003</v>
      </c>
      <c r="AE29" s="232">
        <f t="shared" ca="1" si="14"/>
        <v>0.35572500000000007</v>
      </c>
      <c r="AF29" s="231">
        <f t="shared" ca="1" si="186"/>
        <v>2.9399999999999999E-2</v>
      </c>
      <c r="AG29" s="231">
        <f t="shared" ca="1" si="187"/>
        <v>5.8799999999999998E-2</v>
      </c>
      <c r="AH29" s="232">
        <f t="shared" ca="1" si="188"/>
        <v>8.8200000000000001E-2</v>
      </c>
      <c r="AI29" s="233">
        <f t="shared" ca="1" si="15"/>
        <v>0.85000000000000009</v>
      </c>
      <c r="AJ29" s="233">
        <f t="shared" ca="1" si="16"/>
        <v>1.1000000000000001</v>
      </c>
      <c r="AK29" s="234">
        <f t="shared" ca="1" si="17"/>
        <v>1.4000000000000001</v>
      </c>
      <c r="AL29" s="919">
        <f t="shared" ca="1" si="18"/>
        <v>0.85000000000000009</v>
      </c>
      <c r="AM29" s="233">
        <f t="shared" ca="1" si="19"/>
        <v>1.1000000000000001</v>
      </c>
      <c r="AN29" s="234">
        <f t="shared" ca="1" si="20"/>
        <v>1.4000000000000001</v>
      </c>
      <c r="AO29" s="233">
        <f t="shared" ca="1" si="21"/>
        <v>0.85000000000000009</v>
      </c>
      <c r="AP29" s="233">
        <f t="shared" ca="1" si="22"/>
        <v>1.1000000000000001</v>
      </c>
      <c r="AQ29" s="233">
        <f t="shared" ca="1" si="23"/>
        <v>1.4000000000000001</v>
      </c>
      <c r="AR29" s="919">
        <f t="shared" ca="1" si="24"/>
        <v>0.19999999999999998</v>
      </c>
      <c r="AS29" s="233">
        <f t="shared" ca="1" si="25"/>
        <v>0.35</v>
      </c>
      <c r="AT29" s="235">
        <f t="shared" ca="1" si="26"/>
        <v>0.55000000000000004</v>
      </c>
      <c r="AU29" s="946">
        <f t="shared" si="27"/>
        <v>0.5</v>
      </c>
      <c r="AV29" s="13">
        <f t="shared" ca="1" si="28"/>
        <v>21</v>
      </c>
      <c r="AW29" s="210">
        <f t="shared" ca="1" si="29"/>
        <v>4</v>
      </c>
      <c r="AX29" s="210">
        <f t="shared" ca="1" si="30"/>
        <v>5</v>
      </c>
      <c r="AY29" s="210">
        <f t="shared" ca="1" si="31"/>
        <v>0</v>
      </c>
      <c r="AZ29" s="13">
        <f t="shared" ca="1" si="32"/>
        <v>30</v>
      </c>
      <c r="BA29" s="355">
        <f ca="1"/>
        <v>336</v>
      </c>
      <c r="BB29" s="363">
        <f ca="1"/>
        <v>64</v>
      </c>
      <c r="BC29" s="363">
        <f ca="1"/>
        <v>80</v>
      </c>
      <c r="BD29" s="927">
        <f ca="1"/>
        <v>240</v>
      </c>
      <c r="BE29" s="930">
        <f ca="1"/>
        <v>1.0000000074505806</v>
      </c>
      <c r="BF29" s="931">
        <f ca="1"/>
        <v>1.0000000074505806</v>
      </c>
      <c r="BG29" s="931">
        <f ca="1"/>
        <v>1.0000000074505806</v>
      </c>
      <c r="BH29" s="932">
        <f ca="1"/>
        <v>0.99995028972625732</v>
      </c>
      <c r="BI29" s="355">
        <f ca="1"/>
        <v>336</v>
      </c>
      <c r="BJ29" s="363">
        <f ca="1"/>
        <v>64</v>
      </c>
      <c r="BK29" s="363">
        <f ca="1"/>
        <v>80</v>
      </c>
      <c r="BL29" s="927">
        <f ca="1"/>
        <v>240</v>
      </c>
      <c r="BM29" s="930">
        <f ca="1"/>
        <v>1.0000000074505806</v>
      </c>
      <c r="BN29" s="931">
        <f ca="1"/>
        <v>1.0000000074505806</v>
      </c>
      <c r="BO29" s="931">
        <f ca="1"/>
        <v>1.0000000074505806</v>
      </c>
      <c r="BP29" s="932">
        <f ca="1"/>
        <v>0.99995028972625732</v>
      </c>
      <c r="BQ29" s="355">
        <f t="shared" ca="1" si="33"/>
        <v>720</v>
      </c>
      <c r="BR29" s="360">
        <f t="shared" ca="1" si="34"/>
        <v>720</v>
      </c>
      <c r="BS29" s="357">
        <f t="shared" ca="1" si="35"/>
        <v>663.97588891435919</v>
      </c>
      <c r="BT29" s="302">
        <f t="shared" ca="1" si="36"/>
        <v>25.444564661445561</v>
      </c>
      <c r="BU29" s="299">
        <f t="shared" ca="1" si="37"/>
        <v>25.897340371024949</v>
      </c>
      <c r="BV29" s="299">
        <f t="shared" ca="1" si="38"/>
        <v>26.350116080604337</v>
      </c>
      <c r="BW29" s="299">
        <f t="shared" ca="1" si="39"/>
        <v>32.659889647739881</v>
      </c>
      <c r="BX29" s="380">
        <f t="shared" ca="1" si="40"/>
        <v>1.0814510609171799</v>
      </c>
      <c r="BY29" s="363">
        <f t="shared" ca="1" si="41"/>
        <v>309.85541482670095</v>
      </c>
      <c r="BZ29" s="353">
        <f t="shared" ca="1" si="42"/>
        <v>59.020079014609706</v>
      </c>
      <c r="CA29" s="353">
        <f t="shared" ca="1" si="43"/>
        <v>73.775098768262126</v>
      </c>
      <c r="CB29" s="353">
        <f t="shared" ca="1" si="44"/>
        <v>442.65059260957281</v>
      </c>
      <c r="CC29" s="353">
        <f t="shared" ca="1" si="45"/>
        <v>221.32529630478641</v>
      </c>
      <c r="CD29" s="353">
        <f t="shared" ca="1" si="46"/>
        <v>663.97588891435919</v>
      </c>
      <c r="CE29" s="302">
        <f t="shared" ca="1" si="47"/>
        <v>32.750000244006515</v>
      </c>
      <c r="CF29" s="299">
        <f t="shared" ca="1" si="48"/>
        <v>21.805000467635693</v>
      </c>
      <c r="CG29" s="299">
        <f t="shared" ca="1" si="49"/>
        <v>22.834999254606657</v>
      </c>
      <c r="CH29" s="299">
        <f t="shared" ca="1" si="50"/>
        <v>29.638166775590424</v>
      </c>
      <c r="CI29" s="299">
        <f t="shared" ca="1" si="51"/>
        <v>19.774014690632157</v>
      </c>
      <c r="CJ29" s="299">
        <f t="shared" ca="1" si="52"/>
        <v>26.350116080604334</v>
      </c>
      <c r="CK29" s="299">
        <f t="shared" ca="1" si="53"/>
        <v>32.659889647739881</v>
      </c>
      <c r="CL29" s="377">
        <f t="shared" ca="1" si="54"/>
        <v>0.35572500000000007</v>
      </c>
      <c r="CM29" s="305">
        <f t="shared" ca="1" si="55"/>
        <v>0.35572500000000007</v>
      </c>
      <c r="CN29" s="305">
        <f t="shared" ca="1" si="56"/>
        <v>0.35572500000000007</v>
      </c>
      <c r="CO29" s="305">
        <f t="shared" ca="1" si="57"/>
        <v>0.35572500000000012</v>
      </c>
      <c r="CP29" s="305">
        <f t="shared" ca="1" si="58"/>
        <v>8.8200000000000001E-2</v>
      </c>
      <c r="CQ29" s="305">
        <f t="shared" ca="1" si="59"/>
        <v>0.2813974841861886</v>
      </c>
      <c r="CR29" s="775">
        <f t="shared" ca="1" si="60"/>
        <v>0.35572500000000007</v>
      </c>
      <c r="CS29" s="305">
        <f t="shared" ca="1" si="61"/>
        <v>0.41572500000000007</v>
      </c>
      <c r="CT29" s="305">
        <f t="shared" ca="1" si="62"/>
        <v>0.40572500000000006</v>
      </c>
      <c r="CU29" s="305">
        <f t="shared" ca="1" si="63"/>
        <v>0.1482</v>
      </c>
      <c r="CV29" s="770">
        <f t="shared" ca="1" si="64"/>
        <v>0.30639748418618862</v>
      </c>
      <c r="CW29" s="302">
        <f t="shared" ca="1" si="65"/>
        <v>4.8444058109548269</v>
      </c>
      <c r="CX29" s="299">
        <f t="shared" ca="1" si="66"/>
        <v>1.0715779629787319</v>
      </c>
      <c r="CY29" s="299">
        <f t="shared" ca="1" si="67"/>
        <v>1.2544863046998582</v>
      </c>
      <c r="CZ29" s="299">
        <f t="shared" ca="1" si="68"/>
        <v>5.8693020223056849E-4</v>
      </c>
      <c r="DA29" s="774">
        <f t="shared" ca="1" si="69"/>
        <v>1.3860955561118367</v>
      </c>
      <c r="DB29" s="303">
        <f t="shared" ca="1" si="70"/>
        <v>920.3340289895998</v>
      </c>
      <c r="DC29" s="248">
        <f t="shared" ca="1" si="71"/>
        <v>201.50171376424757</v>
      </c>
      <c r="DD29" s="778">
        <f t="shared" ca="1" si="72"/>
        <v>0</v>
      </c>
      <c r="DE29" s="363">
        <f t="shared" ca="1" si="73"/>
        <v>0.92218873460327666</v>
      </c>
      <c r="DF29" s="378">
        <f t="shared" ca="1" si="74"/>
        <v>-0.17751617406385617</v>
      </c>
      <c r="DG29" s="508">
        <f t="shared" ca="1" si="75"/>
        <v>-1.150665335800354</v>
      </c>
      <c r="DH29" s="508">
        <f t="shared" ca="1" si="76"/>
        <v>-1.0591069060882772</v>
      </c>
      <c r="DI29" s="508">
        <f t="shared" ca="1" si="77"/>
        <v>-3.3328822561632321</v>
      </c>
      <c r="DJ29" s="508">
        <f t="shared" ca="1" si="78"/>
        <v>-0.8330566000751648</v>
      </c>
      <c r="DK29" s="353">
        <f t="shared" ca="1" si="79"/>
        <v>-134.39293493612615</v>
      </c>
      <c r="DL29" s="781">
        <f t="shared" ca="1" si="80"/>
        <v>17.991304588911735</v>
      </c>
      <c r="DM29" s="303">
        <f t="shared" ca="1" si="81"/>
        <v>5830.3030429006058</v>
      </c>
      <c r="DN29" s="508">
        <f t="shared" ca="1" si="82"/>
        <v>0.52256193632847137</v>
      </c>
      <c r="DO29" s="508">
        <f t="shared" ca="1" si="83"/>
        <v>0.13137699487261978</v>
      </c>
      <c r="DP29" s="508">
        <f t="shared" ca="1" si="84"/>
        <v>0.17576438497567592</v>
      </c>
      <c r="DQ29" s="508">
        <f t="shared" ca="1" si="85"/>
        <v>3.7350891619861187E-2</v>
      </c>
      <c r="DR29" s="508">
        <f t="shared" ca="1" si="86"/>
        <v>0.31345904419548137</v>
      </c>
      <c r="DS29" s="353">
        <f t="shared" ca="1" si="87"/>
        <v>6910.5463300781903</v>
      </c>
      <c r="DT29" s="353">
        <f t="shared" ca="1" si="88"/>
        <v>-1573.5905593361977</v>
      </c>
      <c r="DU29" s="380">
        <f t="shared" ca="1" si="189"/>
        <v>1.0814510609171799</v>
      </c>
      <c r="DV29" s="303">
        <f t="shared" ca="1" si="89"/>
        <v>309.85541482670095</v>
      </c>
      <c r="DW29" s="303">
        <f t="shared" ca="1" si="90"/>
        <v>59.020079014609706</v>
      </c>
      <c r="DX29" s="303">
        <f t="shared" ca="1" si="91"/>
        <v>73.775098768262126</v>
      </c>
      <c r="DY29" s="303">
        <f t="shared" ca="1" si="92"/>
        <v>442.65059260957281</v>
      </c>
      <c r="DZ29" s="303">
        <f t="shared" ca="1" si="93"/>
        <v>221.32529630478641</v>
      </c>
      <c r="EA29" s="303">
        <f t="shared" ca="1" si="94"/>
        <v>663.97588891435919</v>
      </c>
      <c r="EB29" s="302">
        <f t="shared" ca="1" si="95"/>
        <v>32.750000244006515</v>
      </c>
      <c r="EC29" s="299">
        <f t="shared" ca="1" si="96"/>
        <v>21.805000467635693</v>
      </c>
      <c r="ED29" s="299">
        <f t="shared" ca="1" si="97"/>
        <v>22.834999254606657</v>
      </c>
      <c r="EE29" s="299">
        <f t="shared" ca="1" si="98"/>
        <v>29.638166775590424</v>
      </c>
      <c r="EF29" s="299">
        <f t="shared" ca="1" si="99"/>
        <v>19.774014690632157</v>
      </c>
      <c r="EG29" s="299">
        <f t="shared" ca="1" si="100"/>
        <v>26.350116080604334</v>
      </c>
      <c r="EH29" s="302">
        <f t="shared" ca="1" si="101"/>
        <v>30</v>
      </c>
      <c r="EI29" s="304">
        <f t="shared" ca="1" si="102"/>
        <v>0.11857500000000001</v>
      </c>
      <c r="EJ29" s="305">
        <f t="shared" ca="1" si="103"/>
        <v>0.11857500000000001</v>
      </c>
      <c r="EK29" s="305">
        <f t="shared" ca="1" si="104"/>
        <v>0.11857500000000001</v>
      </c>
      <c r="EL29" s="305">
        <f t="shared" ca="1" si="105"/>
        <v>0.11857499999999964</v>
      </c>
      <c r="EM29" s="305">
        <f t="shared" ca="1" si="106"/>
        <v>2.9399999999999999E-2</v>
      </c>
      <c r="EN29" s="305">
        <f t="shared" ca="1" si="107"/>
        <v>9.2921012831682887E-2</v>
      </c>
      <c r="EO29" s="305">
        <f t="shared" ca="1" si="108"/>
        <v>0.11857500000000001</v>
      </c>
      <c r="EP29" s="305">
        <f t="shared" ca="1" si="109"/>
        <v>0.11857500000000001</v>
      </c>
      <c r="EQ29" s="305">
        <f t="shared" ca="1" si="110"/>
        <v>0.11857500000000001</v>
      </c>
      <c r="ER29" s="305">
        <f t="shared" ca="1" si="111"/>
        <v>2.9399999999999999E-2</v>
      </c>
      <c r="ES29" s="305">
        <f t="shared" ca="1" si="112"/>
        <v>9.2921012831682887E-2</v>
      </c>
      <c r="ET29" s="299">
        <f t="shared" ca="1" si="113"/>
        <v>3.762727226067959</v>
      </c>
      <c r="EU29" s="302">
        <f t="shared" ca="1" si="114"/>
        <v>30</v>
      </c>
      <c r="EV29" s="304">
        <f t="shared" ca="1" si="115"/>
        <v>0.35572500000000007</v>
      </c>
      <c r="EW29" s="305">
        <f t="shared" ca="1" si="116"/>
        <v>0.35572500000000007</v>
      </c>
      <c r="EX29" s="305">
        <f t="shared" ca="1" si="117"/>
        <v>0.35572500000000007</v>
      </c>
      <c r="EY29" s="305">
        <f t="shared" ca="1" si="118"/>
        <v>0.35572500000000012</v>
      </c>
      <c r="EZ29" s="305">
        <f t="shared" ca="1" si="119"/>
        <v>8.8200000000000001E-2</v>
      </c>
      <c r="FA29" s="305">
        <f t="shared" ca="1" si="120"/>
        <v>0.2813974841861886</v>
      </c>
      <c r="FB29" s="305">
        <f t="shared" ca="1" si="121"/>
        <v>0.35572500000000007</v>
      </c>
      <c r="FC29" s="305">
        <f t="shared" ca="1" si="122"/>
        <v>0.35572500000000007</v>
      </c>
      <c r="FD29" s="305">
        <f t="shared" ca="1" si="123"/>
        <v>0.35572500000000007</v>
      </c>
      <c r="FE29" s="305">
        <f t="shared" ca="1" si="124"/>
        <v>8.8200000000000001E-2</v>
      </c>
      <c r="FF29" s="305">
        <f t="shared" ca="1" si="125"/>
        <v>0.2813974841861886</v>
      </c>
      <c r="FG29" s="299">
        <f t="shared" ca="1" si="126"/>
        <v>1.7666959875921684</v>
      </c>
      <c r="FH29" s="302">
        <f t="shared" ca="1" si="127"/>
        <v>1.9960312384757906</v>
      </c>
      <c r="FI29" s="248">
        <f t="shared" ca="1" si="128"/>
        <v>1325.3166158677923</v>
      </c>
      <c r="FJ29" s="363">
        <f t="shared" ca="1" si="129"/>
        <v>0.92218873460327666</v>
      </c>
      <c r="FK29" s="378">
        <f t="shared" ca="1" si="130"/>
        <v>0.64960902798611542</v>
      </c>
      <c r="FL29" s="508">
        <f t="shared" ca="1" si="131"/>
        <v>-2.6491118066055437</v>
      </c>
      <c r="FM29" s="508">
        <f t="shared" ca="1" si="132"/>
        <v>-2.2748090331368878</v>
      </c>
      <c r="FN29" s="508">
        <f t="shared" ca="1" si="133"/>
        <v>-13.648770640888241</v>
      </c>
      <c r="FO29" s="508">
        <f t="shared" ca="1" si="134"/>
        <v>-1.3907878245638379</v>
      </c>
      <c r="FP29" s="353">
        <f t="shared" ca="1" si="135"/>
        <v>609.43362808946779</v>
      </c>
      <c r="FQ29" s="356">
        <f t="shared" ca="1" si="136"/>
        <v>34.737457509980011</v>
      </c>
      <c r="FR29" s="380">
        <f t="shared" ca="1" si="137"/>
        <v>21.536000000000001</v>
      </c>
      <c r="FS29" s="299">
        <f t="shared" ca="1" si="138"/>
        <v>21.536000000000001</v>
      </c>
      <c r="FT29" s="299">
        <f t="shared" ca="1" si="139"/>
        <v>21.536000000000001</v>
      </c>
      <c r="FU29" s="299">
        <f t="shared" ca="1" si="140"/>
        <v>21.536000000000001</v>
      </c>
      <c r="FV29" s="299">
        <f t="shared" ca="1" si="141"/>
        <v>21.536000000000001</v>
      </c>
      <c r="FW29" s="850">
        <f t="shared" ca="1" si="142"/>
        <v>0.28499999999999998</v>
      </c>
      <c r="FX29" s="851">
        <f t="shared" ca="1" si="143"/>
        <v>0.5</v>
      </c>
      <c r="FY29" s="851">
        <f t="shared" ca="1" si="144"/>
        <v>0</v>
      </c>
      <c r="FZ29" s="201">
        <f t="shared" ca="1" si="145"/>
        <v>0</v>
      </c>
      <c r="GA29" s="201">
        <f t="shared" ca="1" si="146"/>
        <v>0</v>
      </c>
      <c r="GB29" s="201">
        <f t="shared" ca="1" si="147"/>
        <v>0</v>
      </c>
      <c r="GC29" s="201">
        <f t="shared" ca="1" si="148"/>
        <v>0</v>
      </c>
      <c r="GD29" s="850">
        <f t="shared" ca="1" si="149"/>
        <v>0.37072500000000008</v>
      </c>
      <c r="GE29" s="866">
        <f t="shared" ca="1" si="150"/>
        <v>0.35572500000000007</v>
      </c>
      <c r="GF29" s="866">
        <f t="shared" ca="1" si="151"/>
        <v>0.35572500000000007</v>
      </c>
      <c r="GG29" s="866">
        <f t="shared" ca="1" si="152"/>
        <v>8.8200000000000001E-2</v>
      </c>
      <c r="GH29" s="866">
        <f t="shared" ca="1" si="153"/>
        <v>0.29639748418618861</v>
      </c>
      <c r="GI29" s="302">
        <f t="shared" ca="1" si="154"/>
        <v>11.730519039711085</v>
      </c>
      <c r="GJ29" s="299">
        <f t="shared" ca="1" si="155"/>
        <v>3.0548171825875041</v>
      </c>
      <c r="GK29" s="299">
        <f t="shared" ca="1" si="156"/>
        <v>3.6812269881452262</v>
      </c>
      <c r="GL29" s="299">
        <f t="shared" ca="1" si="157"/>
        <v>1.39055803677294</v>
      </c>
      <c r="GM29" s="299">
        <f t="shared" ca="1" si="158"/>
        <v>5.8955633216517498</v>
      </c>
      <c r="GN29" s="302">
        <f t="shared" ca="1" si="159"/>
        <v>0.91525788984805168</v>
      </c>
      <c r="GO29" s="299">
        <f t="shared" ca="1" si="160"/>
        <v>0.58167939225967513</v>
      </c>
      <c r="GP29" s="299">
        <f t="shared" ca="1" si="161"/>
        <v>0.63392494120216492</v>
      </c>
      <c r="GQ29" s="299">
        <f t="shared" ca="1" si="162"/>
        <v>0.4233302293888937</v>
      </c>
      <c r="GR29" s="299">
        <f t="shared" ca="1" si="163"/>
        <v>0.79338297497559418</v>
      </c>
      <c r="GS29" s="302">
        <f t="shared" ca="1" si="164"/>
        <v>-0.8471481072151279</v>
      </c>
      <c r="GT29" s="299">
        <f t="shared" ca="1" si="165"/>
        <v>-0.44709798004079837</v>
      </c>
      <c r="GU29" s="299">
        <f t="shared" ca="1" si="166"/>
        <v>-0.50122812908018988</v>
      </c>
      <c r="GV29" s="299">
        <f t="shared" ca="1" si="167"/>
        <v>-0.32412605319890031</v>
      </c>
      <c r="GW29" s="299">
        <f t="shared" ca="1" si="168"/>
        <v>-0.69698036029837129</v>
      </c>
      <c r="GX29" s="303">
        <f t="shared" ca="1" si="169"/>
        <v>3634.7648431821922</v>
      </c>
      <c r="GY29" s="303">
        <f t="shared" ca="1" si="170"/>
        <v>180.2955514915019</v>
      </c>
      <c r="GZ29" s="303">
        <f t="shared" ca="1" si="171"/>
        <v>271.58288463880615</v>
      </c>
      <c r="HA29" s="303">
        <f t="shared" ca="1" si="172"/>
        <v>307.76566951777301</v>
      </c>
      <c r="HB29" s="303">
        <f t="shared" ca="1" si="173"/>
        <v>3914.5118971446127</v>
      </c>
      <c r="HC29" s="303">
        <f t="shared" ca="1" si="174"/>
        <v>3474.718697473364</v>
      </c>
      <c r="HD29" s="303">
        <f t="shared" ca="1" si="175"/>
        <v>15.876428854825507</v>
      </c>
      <c r="HE29" s="303">
        <f t="shared" ca="1" si="176"/>
        <v>95.833798308504925</v>
      </c>
      <c r="HF29" s="303">
        <f t="shared" ca="1" si="177"/>
        <v>0</v>
      </c>
      <c r="HG29" s="852">
        <f t="shared" ca="1" si="178"/>
        <v>3196.4570039561722</v>
      </c>
      <c r="HH29" s="13"/>
      <c r="IG29" s="13"/>
      <c r="IH29" s="13"/>
      <c r="II29" s="13"/>
      <c r="IJ29" s="13"/>
      <c r="IK29" s="13"/>
      <c r="IL29" s="13"/>
      <c r="IM29" s="13"/>
      <c r="IN29" s="13"/>
      <c r="IO29" s="13"/>
      <c r="IP29" s="13"/>
      <c r="IQ29" s="13"/>
      <c r="IR29" s="13"/>
      <c r="IS29" s="13"/>
      <c r="IT29" s="13"/>
      <c r="IU29" s="13"/>
      <c r="IV29" s="13"/>
    </row>
    <row r="30" spans="1:256" x14ac:dyDescent="0.25">
      <c r="A30" s="244">
        <f t="shared" ca="1" si="179"/>
        <v>37012</v>
      </c>
      <c r="B30" s="13">
        <f t="shared" ca="1" si="3"/>
        <v>2001</v>
      </c>
      <c r="C30" s="619">
        <f t="shared" ca="1" si="180"/>
        <v>5</v>
      </c>
      <c r="D30" s="195">
        <f t="shared" ca="1" si="4"/>
        <v>37039</v>
      </c>
      <c r="E30" s="469">
        <f t="shared" ca="1" si="5"/>
        <v>37012</v>
      </c>
      <c r="F30" s="465">
        <f t="shared" ca="1" si="6"/>
        <v>37042</v>
      </c>
      <c r="G30" s="521">
        <f t="shared" ca="1" si="181"/>
        <v>1</v>
      </c>
      <c r="H30" s="518">
        <f t="shared" ca="1" si="182"/>
        <v>1</v>
      </c>
      <c r="I30" s="724">
        <f t="shared" ca="1" si="7"/>
        <v>6.8094409945583995E-2</v>
      </c>
      <c r="J30" s="198">
        <f t="shared" ca="1" si="8"/>
        <v>0.91660266916426358</v>
      </c>
      <c r="K30" s="200">
        <f t="shared" ca="1" si="190"/>
        <v>33.700000000000003</v>
      </c>
      <c r="L30" s="201">
        <f t="shared" ca="1" si="191"/>
        <v>34.5</v>
      </c>
      <c r="M30" s="206">
        <f t="shared" ca="1" si="192"/>
        <v>35.299999999999997</v>
      </c>
      <c r="N30" s="851">
        <f t="shared" ca="1" si="196"/>
        <v>21.132500076293944</v>
      </c>
      <c r="O30" s="201">
        <f t="shared" ca="1" si="197"/>
        <v>21.732500076293945</v>
      </c>
      <c r="P30" s="206">
        <f t="shared" ca="1" si="198"/>
        <v>22.332500076293947</v>
      </c>
      <c r="Q30" s="201">
        <f t="shared" ca="1" si="199"/>
        <v>18.364999771118164</v>
      </c>
      <c r="R30" s="201">
        <f t="shared" ca="1" si="200"/>
        <v>20.864999771118164</v>
      </c>
      <c r="S30" s="201">
        <f t="shared" ca="1" si="201"/>
        <v>23.364999771118164</v>
      </c>
      <c r="T30" s="851">
        <f t="shared" ca="1" si="193"/>
        <v>19.249997711181642</v>
      </c>
      <c r="U30" s="201">
        <f t="shared" ca="1" si="194"/>
        <v>19.649997711181641</v>
      </c>
      <c r="V30" s="206">
        <f t="shared" ca="1" si="195"/>
        <v>20.049997711181639</v>
      </c>
      <c r="W30" s="230">
        <f t="shared" ca="1" si="183"/>
        <v>0.136575</v>
      </c>
      <c r="X30" s="231">
        <f t="shared" ca="1" si="184"/>
        <v>0.27315</v>
      </c>
      <c r="Y30" s="232">
        <f t="shared" ca="1" si="185"/>
        <v>0.40972500000000001</v>
      </c>
      <c r="Z30" s="231">
        <f t="shared" ca="1" si="9"/>
        <v>0.136575</v>
      </c>
      <c r="AA30" s="231">
        <f t="shared" ca="1" si="10"/>
        <v>0.27315</v>
      </c>
      <c r="AB30" s="232">
        <f t="shared" ca="1" si="11"/>
        <v>0.40972500000000001</v>
      </c>
      <c r="AC30" s="231">
        <f t="shared" ca="1" si="12"/>
        <v>0.136575</v>
      </c>
      <c r="AD30" s="231">
        <f t="shared" ca="1" si="13"/>
        <v>0.27315</v>
      </c>
      <c r="AE30" s="232">
        <f t="shared" ca="1" si="14"/>
        <v>0.40972500000000001</v>
      </c>
      <c r="AF30" s="231">
        <f t="shared" ca="1" si="186"/>
        <v>3.4300000000000004E-2</v>
      </c>
      <c r="AG30" s="231">
        <f t="shared" ca="1" si="187"/>
        <v>6.8600000000000008E-2</v>
      </c>
      <c r="AH30" s="232">
        <f t="shared" ca="1" si="188"/>
        <v>0.10290000000000002</v>
      </c>
      <c r="AI30" s="233">
        <f t="shared" ca="1" si="15"/>
        <v>0.85000000000000009</v>
      </c>
      <c r="AJ30" s="233">
        <f t="shared" ca="1" si="16"/>
        <v>1.1000000000000001</v>
      </c>
      <c r="AK30" s="234">
        <f t="shared" ca="1" si="17"/>
        <v>1.4000000000000001</v>
      </c>
      <c r="AL30" s="919">
        <f t="shared" ca="1" si="18"/>
        <v>0.85000000000000009</v>
      </c>
      <c r="AM30" s="233">
        <f t="shared" ca="1" si="19"/>
        <v>1.1000000000000001</v>
      </c>
      <c r="AN30" s="234">
        <f t="shared" ca="1" si="20"/>
        <v>1.4000000000000001</v>
      </c>
      <c r="AO30" s="233">
        <f t="shared" ca="1" si="21"/>
        <v>0.85000000000000009</v>
      </c>
      <c r="AP30" s="233">
        <f t="shared" ca="1" si="22"/>
        <v>1.1000000000000001</v>
      </c>
      <c r="AQ30" s="233">
        <f t="shared" ca="1" si="23"/>
        <v>1.4000000000000001</v>
      </c>
      <c r="AR30" s="919">
        <f t="shared" ca="1" si="24"/>
        <v>0.35</v>
      </c>
      <c r="AS30" s="233">
        <f t="shared" ca="1" si="25"/>
        <v>0.5</v>
      </c>
      <c r="AT30" s="235">
        <f t="shared" ca="1" si="26"/>
        <v>0.7</v>
      </c>
      <c r="AU30" s="946">
        <f t="shared" si="27"/>
        <v>0.5</v>
      </c>
      <c r="AV30" s="13">
        <f t="shared" ca="1" si="28"/>
        <v>22</v>
      </c>
      <c r="AW30" s="210">
        <f t="shared" ca="1" si="29"/>
        <v>4</v>
      </c>
      <c r="AX30" s="210">
        <f t="shared" ca="1" si="30"/>
        <v>4</v>
      </c>
      <c r="AY30" s="210">
        <f t="shared" ca="1" si="31"/>
        <v>1</v>
      </c>
      <c r="AZ30" s="13">
        <f t="shared" ca="1" si="32"/>
        <v>31</v>
      </c>
      <c r="BA30" s="355">
        <f ca="1"/>
        <v>352</v>
      </c>
      <c r="BB30" s="363">
        <f ca="1"/>
        <v>64</v>
      </c>
      <c r="BC30" s="363">
        <f ca="1"/>
        <v>80</v>
      </c>
      <c r="BD30" s="927">
        <f ca="1"/>
        <v>248</v>
      </c>
      <c r="BE30" s="930">
        <f ca="1"/>
        <v>0.9999999925494194</v>
      </c>
      <c r="BF30" s="931">
        <f ca="1"/>
        <v>0.9999999925494194</v>
      </c>
      <c r="BG30" s="931">
        <f ca="1"/>
        <v>0.9999999925494194</v>
      </c>
      <c r="BH30" s="932">
        <f ca="1"/>
        <v>1</v>
      </c>
      <c r="BI30" s="355">
        <f ca="1"/>
        <v>352</v>
      </c>
      <c r="BJ30" s="363">
        <f ca="1"/>
        <v>64</v>
      </c>
      <c r="BK30" s="363">
        <f ca="1"/>
        <v>80</v>
      </c>
      <c r="BL30" s="927">
        <f ca="1"/>
        <v>248</v>
      </c>
      <c r="BM30" s="930">
        <f ca="1"/>
        <v>0.9999999925494194</v>
      </c>
      <c r="BN30" s="931">
        <f ca="1"/>
        <v>0.9999999925494194</v>
      </c>
      <c r="BO30" s="931">
        <f ca="1"/>
        <v>0.9999999925494194</v>
      </c>
      <c r="BP30" s="932">
        <f ca="1"/>
        <v>1</v>
      </c>
      <c r="BQ30" s="355">
        <f t="shared" ca="1" si="33"/>
        <v>744</v>
      </c>
      <c r="BR30" s="360">
        <f t="shared" ca="1" si="34"/>
        <v>744</v>
      </c>
      <c r="BS30" s="357">
        <f t="shared" ca="1" si="35"/>
        <v>681.9523858582121</v>
      </c>
      <c r="BT30" s="302">
        <f t="shared" ca="1" si="36"/>
        <v>26.153332405296222</v>
      </c>
      <c r="BU30" s="299">
        <f t="shared" ca="1" si="37"/>
        <v>26.985590464604957</v>
      </c>
      <c r="BV30" s="299">
        <f t="shared" ca="1" si="38"/>
        <v>27.817848523913689</v>
      </c>
      <c r="BW30" s="299">
        <f t="shared" ca="1" si="39"/>
        <v>32.659889647739881</v>
      </c>
      <c r="BX30" s="380">
        <f t="shared" ca="1" si="40"/>
        <v>1.1635865845311431</v>
      </c>
      <c r="BY30" s="363">
        <f t="shared" ca="1" si="41"/>
        <v>322.64413954582079</v>
      </c>
      <c r="BZ30" s="353">
        <f t="shared" ca="1" si="42"/>
        <v>58.662570826512869</v>
      </c>
      <c r="CA30" s="353">
        <f t="shared" ca="1" si="43"/>
        <v>73.328213533141081</v>
      </c>
      <c r="CB30" s="353">
        <f t="shared" ca="1" si="44"/>
        <v>454.63492390547475</v>
      </c>
      <c r="CC30" s="353">
        <f t="shared" ca="1" si="45"/>
        <v>227.31746195273737</v>
      </c>
      <c r="CD30" s="353">
        <f t="shared" ca="1" si="46"/>
        <v>681.9523858582121</v>
      </c>
      <c r="CE30" s="302">
        <f t="shared" ca="1" si="47"/>
        <v>35.299999736994501</v>
      </c>
      <c r="CF30" s="299">
        <f t="shared" ca="1" si="48"/>
        <v>22.332499909903856</v>
      </c>
      <c r="CG30" s="299">
        <f t="shared" ca="1" si="49"/>
        <v>23.36499959703535</v>
      </c>
      <c r="CH30" s="299">
        <f t="shared" ca="1" si="50"/>
        <v>31.701773930279717</v>
      </c>
      <c r="CI30" s="299">
        <f t="shared" ca="1" si="51"/>
        <v>20.049997711181639</v>
      </c>
      <c r="CJ30" s="299">
        <f t="shared" ca="1" si="52"/>
        <v>27.817848523913693</v>
      </c>
      <c r="CK30" s="299">
        <f t="shared" ca="1" si="53"/>
        <v>32.659889647739881</v>
      </c>
      <c r="CL30" s="377">
        <f t="shared" ca="1" si="54"/>
        <v>0.40972500000000001</v>
      </c>
      <c r="CM30" s="305">
        <f t="shared" ca="1" si="55"/>
        <v>0.40972500000000001</v>
      </c>
      <c r="CN30" s="305">
        <f t="shared" ca="1" si="56"/>
        <v>0.40972500000000001</v>
      </c>
      <c r="CO30" s="305">
        <f t="shared" ca="1" si="57"/>
        <v>0.40972499999999995</v>
      </c>
      <c r="CP30" s="305">
        <f t="shared" ca="1" si="58"/>
        <v>0.10290000000000002</v>
      </c>
      <c r="CQ30" s="305">
        <f t="shared" ca="1" si="59"/>
        <v>0.3290861239790695</v>
      </c>
      <c r="CR30" s="775">
        <f t="shared" ca="1" si="60"/>
        <v>0.41972500000000001</v>
      </c>
      <c r="CS30" s="305">
        <f t="shared" ca="1" si="61"/>
        <v>0.469725</v>
      </c>
      <c r="CT30" s="305">
        <f t="shared" ca="1" si="62"/>
        <v>0.45972499999999999</v>
      </c>
      <c r="CU30" s="305">
        <f t="shared" ca="1" si="63"/>
        <v>0.16290000000000002</v>
      </c>
      <c r="CV30" s="770">
        <f t="shared" ca="1" si="64"/>
        <v>0.34408612397906951</v>
      </c>
      <c r="CW30" s="302">
        <f t="shared" ca="1" si="65"/>
        <v>7.4935146170854647</v>
      </c>
      <c r="CX30" s="299">
        <f t="shared" ca="1" si="66"/>
        <v>1.7614706637929043</v>
      </c>
      <c r="CY30" s="299">
        <f t="shared" ca="1" si="67"/>
        <v>2.0056293426997494</v>
      </c>
      <c r="CZ30" s="299">
        <f t="shared" ca="1" si="68"/>
        <v>3.6867377195995421E-3</v>
      </c>
      <c r="DA30" s="774">
        <f t="shared" ca="1" si="69"/>
        <v>2.434936426821924</v>
      </c>
      <c r="DB30" s="303">
        <f t="shared" ca="1" si="70"/>
        <v>1660.510705684281</v>
      </c>
      <c r="DC30" s="248">
        <f t="shared" ca="1" si="71"/>
        <v>274.51812427038664</v>
      </c>
      <c r="DD30" s="778">
        <f t="shared" ca="1" si="72"/>
        <v>0</v>
      </c>
      <c r="DE30" s="363">
        <f t="shared" ca="1" si="73"/>
        <v>0.91660266916426358</v>
      </c>
      <c r="DF30" s="378">
        <f t="shared" ca="1" si="74"/>
        <v>-5.4684510181636677E-2</v>
      </c>
      <c r="DG30" s="508">
        <f t="shared" ca="1" si="75"/>
        <v>-1.0035162950880923</v>
      </c>
      <c r="DH30" s="508">
        <f t="shared" ca="1" si="76"/>
        <v>-0.92330169822914898</v>
      </c>
      <c r="DI30" s="508">
        <f t="shared" ca="1" si="77"/>
        <v>-2.8645473053267101</v>
      </c>
      <c r="DJ30" s="508">
        <f t="shared" ca="1" si="78"/>
        <v>-0.61792382322326134</v>
      </c>
      <c r="DK30" s="353">
        <f t="shared" ca="1" si="79"/>
        <v>-182.97649843061819</v>
      </c>
      <c r="DL30" s="781">
        <f t="shared" ca="1" si="80"/>
        <v>18.542563665235555</v>
      </c>
      <c r="DM30" s="303">
        <f t="shared" ca="1" si="81"/>
        <v>6894.8344924246612</v>
      </c>
      <c r="DN30" s="508">
        <f t="shared" ca="1" si="82"/>
        <v>0.61136567031322819</v>
      </c>
      <c r="DO30" s="508">
        <f t="shared" ca="1" si="83"/>
        <v>0.18688515622660995</v>
      </c>
      <c r="DP30" s="508">
        <f t="shared" ca="1" si="84"/>
        <v>0.22878819175291751</v>
      </c>
      <c r="DQ30" s="508">
        <f t="shared" ca="1" si="85"/>
        <v>8.6926794629546153E-2</v>
      </c>
      <c r="DR30" s="508">
        <f t="shared" ca="1" si="86"/>
        <v>0.39051681628499041</v>
      </c>
      <c r="DS30" s="353">
        <f t="shared" ca="1" si="87"/>
        <v>7564.3480613835218</v>
      </c>
      <c r="DT30" s="353">
        <f t="shared" ca="1" si="88"/>
        <v>-2032.7715501742775</v>
      </c>
      <c r="DU30" s="380">
        <f t="shared" ca="1" si="189"/>
        <v>1.1635865845311431</v>
      </c>
      <c r="DV30" s="303">
        <f t="shared" ca="1" si="89"/>
        <v>322.64413954582079</v>
      </c>
      <c r="DW30" s="303">
        <f t="shared" ca="1" si="90"/>
        <v>58.662570826512869</v>
      </c>
      <c r="DX30" s="303">
        <f t="shared" ca="1" si="91"/>
        <v>73.328213533141081</v>
      </c>
      <c r="DY30" s="303">
        <f t="shared" ca="1" si="92"/>
        <v>454.63492390547475</v>
      </c>
      <c r="DZ30" s="303">
        <f t="shared" ca="1" si="93"/>
        <v>227.31746195273737</v>
      </c>
      <c r="EA30" s="303">
        <f t="shared" ca="1" si="94"/>
        <v>681.9523858582121</v>
      </c>
      <c r="EB30" s="302">
        <f t="shared" ca="1" si="95"/>
        <v>35.299999736994501</v>
      </c>
      <c r="EC30" s="299">
        <f t="shared" ca="1" si="96"/>
        <v>22.332499909903856</v>
      </c>
      <c r="ED30" s="299">
        <f t="shared" ca="1" si="97"/>
        <v>23.36499959703535</v>
      </c>
      <c r="EE30" s="299">
        <f t="shared" ca="1" si="98"/>
        <v>31.701773930279717</v>
      </c>
      <c r="EF30" s="299">
        <f t="shared" ca="1" si="99"/>
        <v>20.049997711181639</v>
      </c>
      <c r="EG30" s="299">
        <f t="shared" ca="1" si="100"/>
        <v>27.817848523913693</v>
      </c>
      <c r="EH30" s="302">
        <f t="shared" ca="1" si="101"/>
        <v>30</v>
      </c>
      <c r="EI30" s="304">
        <f t="shared" ca="1" si="102"/>
        <v>0.136575</v>
      </c>
      <c r="EJ30" s="305">
        <f t="shared" ca="1" si="103"/>
        <v>0.136575</v>
      </c>
      <c r="EK30" s="305">
        <f t="shared" ca="1" si="104"/>
        <v>0.136575</v>
      </c>
      <c r="EL30" s="305">
        <f t="shared" ca="1" si="105"/>
        <v>0.13657500000000009</v>
      </c>
      <c r="EM30" s="305">
        <f t="shared" ca="1" si="106"/>
        <v>3.4300000000000004E-2</v>
      </c>
      <c r="EN30" s="305">
        <f t="shared" ca="1" si="107"/>
        <v>0.10829648724469448</v>
      </c>
      <c r="EO30" s="305">
        <f t="shared" ca="1" si="108"/>
        <v>0.136575</v>
      </c>
      <c r="EP30" s="305">
        <f t="shared" ca="1" si="109"/>
        <v>0.136575</v>
      </c>
      <c r="EQ30" s="305">
        <f t="shared" ca="1" si="110"/>
        <v>0.136575</v>
      </c>
      <c r="ER30" s="305">
        <f t="shared" ca="1" si="111"/>
        <v>3.4300000000000004E-2</v>
      </c>
      <c r="ES30" s="305">
        <f t="shared" ca="1" si="112"/>
        <v>0.10829648724469448</v>
      </c>
      <c r="ET30" s="299">
        <f t="shared" ca="1" si="113"/>
        <v>2.7090756294692859</v>
      </c>
      <c r="EU30" s="302">
        <f t="shared" ca="1" si="114"/>
        <v>30</v>
      </c>
      <c r="EV30" s="304">
        <f t="shared" ca="1" si="115"/>
        <v>0.40972500000000001</v>
      </c>
      <c r="EW30" s="305">
        <f t="shared" ca="1" si="116"/>
        <v>0.40972500000000001</v>
      </c>
      <c r="EX30" s="305">
        <f t="shared" ca="1" si="117"/>
        <v>0.40972500000000001</v>
      </c>
      <c r="EY30" s="305">
        <f t="shared" ca="1" si="118"/>
        <v>0.40972499999999995</v>
      </c>
      <c r="EZ30" s="305">
        <f t="shared" ca="1" si="119"/>
        <v>0.10290000000000002</v>
      </c>
      <c r="FA30" s="305">
        <f t="shared" ca="1" si="120"/>
        <v>0.3290861239790695</v>
      </c>
      <c r="FB30" s="305">
        <f t="shared" ca="1" si="121"/>
        <v>0.40972500000000001</v>
      </c>
      <c r="FC30" s="305">
        <f t="shared" ca="1" si="122"/>
        <v>0.40972500000000001</v>
      </c>
      <c r="FD30" s="305">
        <f t="shared" ca="1" si="123"/>
        <v>0.40972500000000001</v>
      </c>
      <c r="FE30" s="305">
        <f t="shared" ca="1" si="124"/>
        <v>0.10290000000000002</v>
      </c>
      <c r="FF30" s="305">
        <f t="shared" ca="1" si="125"/>
        <v>0.3290861239790695</v>
      </c>
      <c r="FG30" s="299">
        <f t="shared" ca="1" si="126"/>
        <v>3.072356104614137</v>
      </c>
      <c r="FH30" s="302">
        <f t="shared" ca="1" si="127"/>
        <v>-0.36328047514485107</v>
      </c>
      <c r="FI30" s="248">
        <f t="shared" ca="1" si="128"/>
        <v>-247.73998676073612</v>
      </c>
      <c r="FJ30" s="363">
        <f t="shared" ca="1" si="129"/>
        <v>0.91660266916426358</v>
      </c>
      <c r="FK30" s="378">
        <f t="shared" ca="1" si="130"/>
        <v>1.0306166620232564</v>
      </c>
      <c r="FL30" s="508">
        <f t="shared" ca="1" si="131"/>
        <v>-2.077112175869547</v>
      </c>
      <c r="FM30" s="508">
        <f t="shared" ca="1" si="132"/>
        <v>-1.7703294907313079</v>
      </c>
      <c r="FN30" s="508">
        <f t="shared" ca="1" si="133"/>
        <v>-10.909742844855051</v>
      </c>
      <c r="FO30" s="508">
        <f t="shared" ca="1" si="134"/>
        <v>-0.70487536638155801</v>
      </c>
      <c r="FP30" s="353">
        <f t="shared" ca="1" si="135"/>
        <v>517.98114457373049</v>
      </c>
      <c r="FQ30" s="356">
        <f t="shared" ca="1" si="136"/>
        <v>60.553586974264896</v>
      </c>
      <c r="FR30" s="380">
        <f t="shared" ca="1" si="137"/>
        <v>21.208000000000002</v>
      </c>
      <c r="FS30" s="299">
        <f t="shared" ca="1" si="138"/>
        <v>21.208000000000002</v>
      </c>
      <c r="FT30" s="299">
        <f t="shared" ca="1" si="139"/>
        <v>21.208000000000002</v>
      </c>
      <c r="FU30" s="299">
        <f t="shared" ca="1" si="140"/>
        <v>21.208000000000002</v>
      </c>
      <c r="FV30" s="299">
        <f t="shared" ca="1" si="141"/>
        <v>21.208000000000002</v>
      </c>
      <c r="FW30" s="850">
        <f t="shared" ca="1" si="142"/>
        <v>0.255</v>
      </c>
      <c r="FX30" s="851">
        <f t="shared" ca="1" si="143"/>
        <v>0.5</v>
      </c>
      <c r="FY30" s="851">
        <f t="shared" ca="1" si="144"/>
        <v>0</v>
      </c>
      <c r="FZ30" s="201">
        <f t="shared" ca="1" si="145"/>
        <v>0</v>
      </c>
      <c r="GA30" s="201">
        <f t="shared" ca="1" si="146"/>
        <v>0</v>
      </c>
      <c r="GB30" s="201">
        <f t="shared" ca="1" si="147"/>
        <v>0</v>
      </c>
      <c r="GC30" s="201">
        <f t="shared" ca="1" si="148"/>
        <v>0</v>
      </c>
      <c r="GD30" s="850">
        <f t="shared" ca="1" si="149"/>
        <v>0.42472500000000002</v>
      </c>
      <c r="GE30" s="866">
        <f t="shared" ca="1" si="150"/>
        <v>0.40972500000000001</v>
      </c>
      <c r="GF30" s="866">
        <f t="shared" ca="1" si="151"/>
        <v>0.41472500000000001</v>
      </c>
      <c r="GG30" s="866">
        <f t="shared" ca="1" si="152"/>
        <v>0.10290000000000002</v>
      </c>
      <c r="GH30" s="866">
        <f t="shared" ca="1" si="153"/>
        <v>0.34408612397906951</v>
      </c>
      <c r="GI30" s="302">
        <f t="shared" ca="1" si="154"/>
        <v>14.608826814462011</v>
      </c>
      <c r="GJ30" s="299">
        <f t="shared" ca="1" si="155"/>
        <v>3.92813094530133</v>
      </c>
      <c r="GK30" s="299">
        <f t="shared" ca="1" si="156"/>
        <v>4.6353714299052555</v>
      </c>
      <c r="GL30" s="299">
        <f t="shared" ca="1" si="157"/>
        <v>1.4423508263946041</v>
      </c>
      <c r="GM30" s="299">
        <f t="shared" ca="1" si="158"/>
        <v>7.5539428170139677</v>
      </c>
      <c r="GN30" s="302">
        <f t="shared" ca="1" si="159"/>
        <v>0.92993480637718207</v>
      </c>
      <c r="GO30" s="299">
        <f t="shared" ca="1" si="160"/>
        <v>0.62814033474629949</v>
      </c>
      <c r="GP30" s="299">
        <f t="shared" ca="1" si="161"/>
        <v>0.67120747897966793</v>
      </c>
      <c r="GQ30" s="299">
        <f t="shared" ca="1" si="162"/>
        <v>0.45445446250380611</v>
      </c>
      <c r="GR30" s="299">
        <f t="shared" ca="1" si="163"/>
        <v>0.83643938205729251</v>
      </c>
      <c r="GS30" s="302">
        <f t="shared" ca="1" si="164"/>
        <v>-0.85900977329173034</v>
      </c>
      <c r="GT30" s="299">
        <f t="shared" ca="1" si="165"/>
        <v>-0.47622659313470955</v>
      </c>
      <c r="GU30" s="299">
        <f t="shared" ca="1" si="166"/>
        <v>-0.52090693168327085</v>
      </c>
      <c r="GV30" s="299">
        <f t="shared" ca="1" si="167"/>
        <v>-0.36163046483944594</v>
      </c>
      <c r="GW30" s="299">
        <f t="shared" ca="1" si="168"/>
        <v>-0.74094669937870572</v>
      </c>
      <c r="GX30" s="303">
        <f t="shared" ca="1" si="169"/>
        <v>4713.4523573260094</v>
      </c>
      <c r="GY30" s="303">
        <f t="shared" ca="1" si="170"/>
        <v>230.43425979455623</v>
      </c>
      <c r="GZ30" s="303">
        <f t="shared" ca="1" si="171"/>
        <v>339.90350601751408</v>
      </c>
      <c r="HA30" s="303">
        <f t="shared" ca="1" si="172"/>
        <v>327.87152910145471</v>
      </c>
      <c r="HB30" s="303">
        <f t="shared" ca="1" si="173"/>
        <v>5151.429326699179</v>
      </c>
      <c r="HC30" s="303">
        <f t="shared" ca="1" si="174"/>
        <v>4546.7011296225228</v>
      </c>
      <c r="HD30" s="303">
        <f t="shared" ca="1" si="175"/>
        <v>65.96605560914216</v>
      </c>
      <c r="HE30" s="303">
        <f t="shared" ca="1" si="176"/>
        <v>158.16892704230727</v>
      </c>
      <c r="HF30" s="303">
        <f t="shared" ca="1" si="177"/>
        <v>0</v>
      </c>
      <c r="HG30" s="852">
        <f t="shared" ca="1" si="178"/>
        <v>4507.6019710443225</v>
      </c>
      <c r="HH30" s="13"/>
      <c r="IG30" s="13"/>
      <c r="IH30" s="13"/>
      <c r="II30" s="13"/>
      <c r="IJ30" s="13"/>
      <c r="IK30" s="13"/>
      <c r="IL30" s="13"/>
      <c r="IM30" s="13"/>
      <c r="IN30" s="13"/>
      <c r="IO30" s="13"/>
      <c r="IP30" s="13"/>
      <c r="IQ30" s="13"/>
      <c r="IR30" s="13"/>
      <c r="IS30" s="13"/>
      <c r="IT30" s="13"/>
      <c r="IU30" s="13"/>
      <c r="IV30" s="13"/>
    </row>
    <row r="31" spans="1:256" x14ac:dyDescent="0.25">
      <c r="A31" s="244">
        <f t="shared" ca="1" si="179"/>
        <v>37043</v>
      </c>
      <c r="B31" s="13">
        <f t="shared" ca="1" si="3"/>
        <v>2001</v>
      </c>
      <c r="C31" s="619">
        <f t="shared" ca="1" si="180"/>
        <v>6</v>
      </c>
      <c r="D31" s="195" t="str">
        <f t="shared" ca="1" si="4"/>
        <v/>
      </c>
      <c r="E31" s="469">
        <f t="shared" ca="1" si="5"/>
        <v>37043</v>
      </c>
      <c r="F31" s="465">
        <f t="shared" ca="1" si="6"/>
        <v>37072</v>
      </c>
      <c r="G31" s="521">
        <f t="shared" ca="1" si="181"/>
        <v>1</v>
      </c>
      <c r="H31" s="518">
        <f t="shared" ca="1" si="182"/>
        <v>1</v>
      </c>
      <c r="I31" s="724">
        <f t="shared" ca="1" si="7"/>
        <v>6.8439499762296005E-2</v>
      </c>
      <c r="J31" s="198">
        <f t="shared" ca="1" si="8"/>
        <v>0.91115483222267024</v>
      </c>
      <c r="K31" s="200">
        <f t="shared" ca="1" si="190"/>
        <v>48.7</v>
      </c>
      <c r="L31" s="201">
        <f t="shared" ca="1" si="191"/>
        <v>51</v>
      </c>
      <c r="M31" s="206">
        <f t="shared" ca="1" si="192"/>
        <v>53.3</v>
      </c>
      <c r="N31" s="851">
        <f t="shared" ca="1" si="196"/>
        <v>24.583750152587889</v>
      </c>
      <c r="O31" s="201">
        <f t="shared" ca="1" si="197"/>
        <v>26.308750152587891</v>
      </c>
      <c r="P31" s="206">
        <f t="shared" ca="1" si="198"/>
        <v>28.033750152587892</v>
      </c>
      <c r="Q31" s="201">
        <f t="shared" ca="1" si="199"/>
        <v>17.292499542236328</v>
      </c>
      <c r="R31" s="201">
        <f t="shared" ca="1" si="200"/>
        <v>19.792499542236328</v>
      </c>
      <c r="S31" s="201">
        <f t="shared" ca="1" si="201"/>
        <v>22.292499542236328</v>
      </c>
      <c r="T31" s="851">
        <f t="shared" ca="1" si="193"/>
        <v>18.504998779296876</v>
      </c>
      <c r="U31" s="201">
        <f t="shared" ca="1" si="194"/>
        <v>19.654998779296875</v>
      </c>
      <c r="V31" s="206">
        <f t="shared" ca="1" si="195"/>
        <v>20.804998779296874</v>
      </c>
      <c r="W31" s="230">
        <f t="shared" ca="1" si="183"/>
        <v>0.1711125</v>
      </c>
      <c r="X31" s="231">
        <f t="shared" ca="1" si="184"/>
        <v>0.342225</v>
      </c>
      <c r="Y31" s="232">
        <f t="shared" ca="1" si="185"/>
        <v>0.5133375</v>
      </c>
      <c r="Z31" s="231">
        <f t="shared" ca="1" si="9"/>
        <v>0.1711125</v>
      </c>
      <c r="AA31" s="231">
        <f t="shared" ca="1" si="10"/>
        <v>0.342225</v>
      </c>
      <c r="AB31" s="232">
        <f t="shared" ca="1" si="11"/>
        <v>0.5133375</v>
      </c>
      <c r="AC31" s="231">
        <f t="shared" ca="1" si="12"/>
        <v>0.1711125</v>
      </c>
      <c r="AD31" s="231">
        <f t="shared" ca="1" si="13"/>
        <v>0.342225</v>
      </c>
      <c r="AE31" s="232">
        <f t="shared" ca="1" si="14"/>
        <v>0.5133375</v>
      </c>
      <c r="AF31" s="231">
        <f t="shared" ca="1" si="186"/>
        <v>4.41E-2</v>
      </c>
      <c r="AG31" s="231">
        <f t="shared" ca="1" si="187"/>
        <v>8.8200000000000001E-2</v>
      </c>
      <c r="AH31" s="232">
        <f t="shared" ca="1" si="188"/>
        <v>0.1323</v>
      </c>
      <c r="AI31" s="233">
        <f t="shared" ca="1" si="15"/>
        <v>1.9</v>
      </c>
      <c r="AJ31" s="233">
        <f t="shared" ca="1" si="16"/>
        <v>2.25</v>
      </c>
      <c r="AK31" s="234">
        <f t="shared" ca="1" si="17"/>
        <v>2.5499999999999998</v>
      </c>
      <c r="AL31" s="919">
        <f t="shared" ca="1" si="18"/>
        <v>1.9</v>
      </c>
      <c r="AM31" s="233">
        <f t="shared" ca="1" si="19"/>
        <v>2.25</v>
      </c>
      <c r="AN31" s="234">
        <f t="shared" ca="1" si="20"/>
        <v>2.5499999999999998</v>
      </c>
      <c r="AO31" s="233">
        <f t="shared" ca="1" si="21"/>
        <v>1.9</v>
      </c>
      <c r="AP31" s="233">
        <f t="shared" ca="1" si="22"/>
        <v>2.25</v>
      </c>
      <c r="AQ31" s="233">
        <f t="shared" ca="1" si="23"/>
        <v>2.5499999999999998</v>
      </c>
      <c r="AR31" s="919">
        <f t="shared" ca="1" si="24"/>
        <v>0.5</v>
      </c>
      <c r="AS31" s="233">
        <f t="shared" ca="1" si="25"/>
        <v>0.65</v>
      </c>
      <c r="AT31" s="235">
        <f t="shared" ca="1" si="26"/>
        <v>0.85000000000000009</v>
      </c>
      <c r="AU31" s="946">
        <f t="shared" si="27"/>
        <v>0.5</v>
      </c>
      <c r="AV31" s="13">
        <f t="shared" ca="1" si="28"/>
        <v>21</v>
      </c>
      <c r="AW31" s="210">
        <f t="shared" ca="1" si="29"/>
        <v>5</v>
      </c>
      <c r="AX31" s="210">
        <f t="shared" ca="1" si="30"/>
        <v>4</v>
      </c>
      <c r="AY31" s="210">
        <f t="shared" ca="1" si="31"/>
        <v>0</v>
      </c>
      <c r="AZ31" s="13">
        <f t="shared" ca="1" si="32"/>
        <v>30</v>
      </c>
      <c r="BA31" s="355">
        <f ca="1"/>
        <v>336</v>
      </c>
      <c r="BB31" s="363">
        <f ca="1"/>
        <v>80</v>
      </c>
      <c r="BC31" s="363">
        <f ca="1"/>
        <v>64</v>
      </c>
      <c r="BD31" s="927">
        <f ca="1"/>
        <v>240</v>
      </c>
      <c r="BE31" s="930">
        <f ca="1"/>
        <v>1.0000000037252903</v>
      </c>
      <c r="BF31" s="931">
        <f ca="1"/>
        <v>1.0000000037252903</v>
      </c>
      <c r="BG31" s="931">
        <f ca="1"/>
        <v>1.0000000037252903</v>
      </c>
      <c r="BH31" s="932">
        <f ca="1"/>
        <v>1</v>
      </c>
      <c r="BI31" s="355">
        <f ca="1"/>
        <v>336</v>
      </c>
      <c r="BJ31" s="363">
        <f ca="1"/>
        <v>80</v>
      </c>
      <c r="BK31" s="363">
        <f ca="1"/>
        <v>64</v>
      </c>
      <c r="BL31" s="927">
        <f ca="1"/>
        <v>240</v>
      </c>
      <c r="BM31" s="930">
        <f ca="1"/>
        <v>1.0000000037252903</v>
      </c>
      <c r="BN31" s="931">
        <f ca="1"/>
        <v>1.0000000037252903</v>
      </c>
      <c r="BO31" s="931">
        <f ca="1"/>
        <v>1.0000000037252903</v>
      </c>
      <c r="BP31" s="932">
        <f ca="1"/>
        <v>1</v>
      </c>
      <c r="BQ31" s="355">
        <f t="shared" ca="1" si="33"/>
        <v>720</v>
      </c>
      <c r="BR31" s="360">
        <f t="shared" ca="1" si="34"/>
        <v>720</v>
      </c>
      <c r="BS31" s="357">
        <f t="shared" ca="1" si="35"/>
        <v>656.03147920032256</v>
      </c>
      <c r="BT31" s="302">
        <f t="shared" ca="1" si="36"/>
        <v>33.163638558817304</v>
      </c>
      <c r="BU31" s="299">
        <f t="shared" ca="1" si="37"/>
        <v>35.034194119913195</v>
      </c>
      <c r="BV31" s="299">
        <f t="shared" ca="1" si="38"/>
        <v>36.904749681009079</v>
      </c>
      <c r="BW31" s="299">
        <f t="shared" ca="1" si="39"/>
        <v>32.659889647739881</v>
      </c>
      <c r="BX31" s="380">
        <f t="shared" ca="1" si="40"/>
        <v>1.2484599589322383</v>
      </c>
      <c r="BY31" s="363">
        <f t="shared" ca="1" si="41"/>
        <v>306.14802362681718</v>
      </c>
      <c r="BZ31" s="353">
        <f t="shared" ca="1" si="42"/>
        <v>72.892386577813625</v>
      </c>
      <c r="CA31" s="353">
        <f t="shared" ca="1" si="43"/>
        <v>58.313909262250895</v>
      </c>
      <c r="CB31" s="353">
        <f t="shared" ca="1" si="44"/>
        <v>437.35431946688169</v>
      </c>
      <c r="CC31" s="353">
        <f t="shared" ca="1" si="45"/>
        <v>218.67715973344085</v>
      </c>
      <c r="CD31" s="353">
        <f t="shared" ca="1" si="46"/>
        <v>656.03147920032256</v>
      </c>
      <c r="CE31" s="302">
        <f t="shared" ca="1" si="47"/>
        <v>53.300000198557967</v>
      </c>
      <c r="CF31" s="299">
        <f t="shared" ca="1" si="48"/>
        <v>28.033750257021751</v>
      </c>
      <c r="CG31" s="299">
        <f t="shared" ca="1" si="49"/>
        <v>22.29249962528236</v>
      </c>
      <c r="CH31" s="299">
        <f t="shared" ca="1" si="50"/>
        <v>44.954625131865185</v>
      </c>
      <c r="CI31" s="299">
        <f t="shared" ca="1" si="51"/>
        <v>20.804998779296874</v>
      </c>
      <c r="CJ31" s="299">
        <f t="shared" ca="1" si="52"/>
        <v>36.904749681009079</v>
      </c>
      <c r="CK31" s="299">
        <f t="shared" ca="1" si="53"/>
        <v>32.659889647739881</v>
      </c>
      <c r="CL31" s="377">
        <f t="shared" ca="1" si="54"/>
        <v>0.5133375</v>
      </c>
      <c r="CM31" s="305">
        <f t="shared" ca="1" si="55"/>
        <v>0.5133375</v>
      </c>
      <c r="CN31" s="305">
        <f t="shared" ca="1" si="56"/>
        <v>0.5133375</v>
      </c>
      <c r="CO31" s="305">
        <f t="shared" ca="1" si="57"/>
        <v>0.5133375</v>
      </c>
      <c r="CP31" s="305">
        <f t="shared" ca="1" si="58"/>
        <v>0.1323</v>
      </c>
      <c r="CQ31" s="305">
        <f t="shared" ca="1" si="59"/>
        <v>0.4382012825470617</v>
      </c>
      <c r="CR31" s="775">
        <f t="shared" ca="1" si="60"/>
        <v>0.52833750000000002</v>
      </c>
      <c r="CS31" s="305">
        <f t="shared" ca="1" si="61"/>
        <v>0.52833750000000002</v>
      </c>
      <c r="CT31" s="305">
        <f t="shared" ca="1" si="62"/>
        <v>0.57333750000000006</v>
      </c>
      <c r="CU31" s="305">
        <f t="shared" ca="1" si="63"/>
        <v>0.1923</v>
      </c>
      <c r="CV31" s="770">
        <f t="shared" ca="1" si="64"/>
        <v>0.45320128254706171</v>
      </c>
      <c r="CW31" s="302">
        <f t="shared" ca="1" si="65"/>
        <v>23.377134452917346</v>
      </c>
      <c r="CX31" s="299">
        <f t="shared" ca="1" si="66"/>
        <v>4.9586660529843964</v>
      </c>
      <c r="CY31" s="299">
        <f t="shared" ca="1" si="67"/>
        <v>2.8544108010258018</v>
      </c>
      <c r="CZ31" s="299">
        <f t="shared" ca="1" si="68"/>
        <v>3.6184432835134006E-2</v>
      </c>
      <c r="DA31" s="774">
        <f t="shared" ca="1" si="69"/>
        <v>9.2715620047841476</v>
      </c>
      <c r="DB31" s="303">
        <f t="shared" ca="1" si="70"/>
        <v>6082.4365364960522</v>
      </c>
      <c r="DC31" s="248">
        <f t="shared" ca="1" si="71"/>
        <v>452.34821482249339</v>
      </c>
      <c r="DD31" s="778">
        <f t="shared" ca="1" si="72"/>
        <v>2784.7618066239224</v>
      </c>
      <c r="DE31" s="363">
        <f t="shared" ca="1" si="73"/>
        <v>0.91115483222267024</v>
      </c>
      <c r="DF31" s="378">
        <f t="shared" ca="1" si="74"/>
        <v>0.5345110724417006</v>
      </c>
      <c r="DG31" s="508">
        <f t="shared" ca="1" si="75"/>
        <v>-0.55389952275570098</v>
      </c>
      <c r="DH31" s="508">
        <f t="shared" ca="1" si="76"/>
        <v>-0.91644902198344591</v>
      </c>
      <c r="DI31" s="508">
        <f t="shared" ca="1" si="77"/>
        <v>-2.2062085824743978</v>
      </c>
      <c r="DJ31" s="508">
        <f t="shared" ca="1" si="78"/>
        <v>-1.1886119153858432E-2</v>
      </c>
      <c r="DK31" s="353">
        <f t="shared" ca="1" si="79"/>
        <v>-324.9049760309278</v>
      </c>
      <c r="DL31" s="781">
        <f t="shared" ca="1" si="80"/>
        <v>15.823811385453133</v>
      </c>
      <c r="DM31" s="303">
        <f t="shared" ca="1" si="81"/>
        <v>11109.588391591171</v>
      </c>
      <c r="DN31" s="508">
        <f t="shared" ca="1" si="82"/>
        <v>0.99701087611642347</v>
      </c>
      <c r="DO31" s="508">
        <f t="shared" ca="1" si="83"/>
        <v>0.42190523271197583</v>
      </c>
      <c r="DP31" s="508">
        <f t="shared" ca="1" si="84"/>
        <v>0.21679241930194446</v>
      </c>
      <c r="DQ31" s="508">
        <f t="shared" ca="1" si="85"/>
        <v>0.15498169673470188</v>
      </c>
      <c r="DR31" s="508">
        <f t="shared" ca="1" si="86"/>
        <v>0.667987323325543</v>
      </c>
      <c r="DS31" s="353">
        <f t="shared" ca="1" si="87"/>
        <v>8633.9965047521782</v>
      </c>
      <c r="DT31" s="353">
        <f t="shared" ca="1" si="88"/>
        <v>-2591.2405510810172</v>
      </c>
      <c r="DU31" s="380">
        <f t="shared" ca="1" si="189"/>
        <v>1.2484599589322383</v>
      </c>
      <c r="DV31" s="303">
        <f t="shared" ca="1" si="89"/>
        <v>306.14802362681718</v>
      </c>
      <c r="DW31" s="303">
        <f t="shared" ca="1" si="90"/>
        <v>72.892386577813625</v>
      </c>
      <c r="DX31" s="303">
        <f t="shared" ca="1" si="91"/>
        <v>58.313909262250895</v>
      </c>
      <c r="DY31" s="303">
        <f t="shared" ca="1" si="92"/>
        <v>437.35431946688169</v>
      </c>
      <c r="DZ31" s="303">
        <f t="shared" ca="1" si="93"/>
        <v>218.67715973344085</v>
      </c>
      <c r="EA31" s="303">
        <f t="shared" ca="1" si="94"/>
        <v>656.03147920032256</v>
      </c>
      <c r="EB31" s="302">
        <f t="shared" ca="1" si="95"/>
        <v>53.300000198557967</v>
      </c>
      <c r="EC31" s="299">
        <f t="shared" ca="1" si="96"/>
        <v>28.033750257021751</v>
      </c>
      <c r="ED31" s="299">
        <f t="shared" ca="1" si="97"/>
        <v>22.29249962528236</v>
      </c>
      <c r="EE31" s="299">
        <f t="shared" ca="1" si="98"/>
        <v>44.954625131865185</v>
      </c>
      <c r="EF31" s="299">
        <f t="shared" ca="1" si="99"/>
        <v>20.804998779296874</v>
      </c>
      <c r="EG31" s="299">
        <f t="shared" ca="1" si="100"/>
        <v>36.904749681009079</v>
      </c>
      <c r="EH31" s="302">
        <f t="shared" ca="1" si="101"/>
        <v>30</v>
      </c>
      <c r="EI31" s="304">
        <f t="shared" ca="1" si="102"/>
        <v>0.1711125</v>
      </c>
      <c r="EJ31" s="305">
        <f t="shared" ca="1" si="103"/>
        <v>0.1711125</v>
      </c>
      <c r="EK31" s="305">
        <f t="shared" ca="1" si="104"/>
        <v>0.1711125</v>
      </c>
      <c r="EL31" s="305">
        <f t="shared" ca="1" si="105"/>
        <v>0.17111249999999978</v>
      </c>
      <c r="EM31" s="305">
        <f t="shared" ca="1" si="106"/>
        <v>4.41E-2</v>
      </c>
      <c r="EN31" s="305">
        <f t="shared" ca="1" si="107"/>
        <v>0.14360285154554564</v>
      </c>
      <c r="EO31" s="305">
        <f t="shared" ca="1" si="108"/>
        <v>0.1711125</v>
      </c>
      <c r="EP31" s="305">
        <f t="shared" ca="1" si="109"/>
        <v>0.1711125</v>
      </c>
      <c r="EQ31" s="305">
        <f t="shared" ca="1" si="110"/>
        <v>0.1711125</v>
      </c>
      <c r="ER31" s="305">
        <f t="shared" ca="1" si="111"/>
        <v>4.41E-2</v>
      </c>
      <c r="ES31" s="305">
        <f t="shared" ca="1" si="112"/>
        <v>0.14360285154554564</v>
      </c>
      <c r="ET31" s="299">
        <f t="shared" ca="1" si="113"/>
        <v>0.24721841835035985</v>
      </c>
      <c r="EU31" s="302">
        <f t="shared" ca="1" si="114"/>
        <v>30</v>
      </c>
      <c r="EV31" s="304">
        <f t="shared" ca="1" si="115"/>
        <v>0.5133375</v>
      </c>
      <c r="EW31" s="305">
        <f t="shared" ca="1" si="116"/>
        <v>0.5133375</v>
      </c>
      <c r="EX31" s="305">
        <f t="shared" ca="1" si="117"/>
        <v>0.5133375</v>
      </c>
      <c r="EY31" s="305">
        <f t="shared" ca="1" si="118"/>
        <v>0.5133375</v>
      </c>
      <c r="EZ31" s="305">
        <f t="shared" ca="1" si="119"/>
        <v>0.1323</v>
      </c>
      <c r="FA31" s="305">
        <f t="shared" ca="1" si="120"/>
        <v>0.4382012825470617</v>
      </c>
      <c r="FB31" s="305">
        <f t="shared" ca="1" si="121"/>
        <v>0.5133375</v>
      </c>
      <c r="FC31" s="305">
        <f t="shared" ca="1" si="122"/>
        <v>0.5133375</v>
      </c>
      <c r="FD31" s="305">
        <f t="shared" ca="1" si="123"/>
        <v>0.5133375</v>
      </c>
      <c r="FE31" s="305">
        <f t="shared" ca="1" si="124"/>
        <v>0.1323</v>
      </c>
      <c r="FF31" s="305">
        <f t="shared" ca="1" si="125"/>
        <v>0.4382012825470617</v>
      </c>
      <c r="FG31" s="299">
        <f t="shared" ca="1" si="126"/>
        <v>10.478683512049479</v>
      </c>
      <c r="FH31" s="302">
        <f t="shared" ca="1" si="127"/>
        <v>-10.231465093699118</v>
      </c>
      <c r="FI31" s="248">
        <f t="shared" ca="1" si="128"/>
        <v>-6712.1631798058988</v>
      </c>
      <c r="FJ31" s="363">
        <f t="shared" ca="1" si="129"/>
        <v>0.91115483222267024</v>
      </c>
      <c r="FK31" s="378">
        <f t="shared" ca="1" si="130"/>
        <v>2.9104914360564864</v>
      </c>
      <c r="FL31" s="508">
        <f t="shared" ca="1" si="131"/>
        <v>-0.45015219220040431</v>
      </c>
      <c r="FM31" s="508">
        <f t="shared" ca="1" si="132"/>
        <v>-1.6487338395300291</v>
      </c>
      <c r="FN31" s="508">
        <f t="shared" ca="1" si="133"/>
        <v>-7.4524348579697293</v>
      </c>
      <c r="FO31" s="508">
        <f t="shared" ca="1" si="134"/>
        <v>1.2107533904315795</v>
      </c>
      <c r="FP31" s="353">
        <f t="shared" ca="1" si="135"/>
        <v>74.128296303595633</v>
      </c>
      <c r="FQ31" s="356">
        <f t="shared" ca="1" si="136"/>
        <v>26.124139741479269</v>
      </c>
      <c r="FR31" s="380">
        <f t="shared" ca="1" si="137"/>
        <v>21.24</v>
      </c>
      <c r="FS31" s="299">
        <f t="shared" ca="1" si="138"/>
        <v>21.24</v>
      </c>
      <c r="FT31" s="299">
        <f t="shared" ca="1" si="139"/>
        <v>21.24</v>
      </c>
      <c r="FU31" s="299">
        <f t="shared" ca="1" si="140"/>
        <v>21.24</v>
      </c>
      <c r="FV31" s="299">
        <f t="shared" ca="1" si="141"/>
        <v>21.24</v>
      </c>
      <c r="FW31" s="850">
        <f t="shared" ca="1" si="142"/>
        <v>0.2475</v>
      </c>
      <c r="FX31" s="851">
        <f t="shared" ca="1" si="143"/>
        <v>0.5</v>
      </c>
      <c r="FY31" s="851">
        <f t="shared" ca="1" si="144"/>
        <v>0</v>
      </c>
      <c r="FZ31" s="201">
        <f t="shared" ca="1" si="145"/>
        <v>0</v>
      </c>
      <c r="GA31" s="201">
        <f t="shared" ca="1" si="146"/>
        <v>0</v>
      </c>
      <c r="GB31" s="201">
        <f t="shared" ca="1" si="147"/>
        <v>0</v>
      </c>
      <c r="GC31" s="201">
        <f t="shared" ca="1" si="148"/>
        <v>0</v>
      </c>
      <c r="GD31" s="850">
        <f t="shared" ca="1" si="149"/>
        <v>0.52833750000000002</v>
      </c>
      <c r="GE31" s="866">
        <f t="shared" ca="1" si="150"/>
        <v>0.52833750000000002</v>
      </c>
      <c r="GF31" s="866">
        <f t="shared" ca="1" si="151"/>
        <v>0.5133375</v>
      </c>
      <c r="GG31" s="866">
        <f t="shared" ca="1" si="152"/>
        <v>0.1323</v>
      </c>
      <c r="GH31" s="866">
        <f t="shared" ca="1" si="153"/>
        <v>0.45320128254706171</v>
      </c>
      <c r="GI31" s="302">
        <f t="shared" ca="1" si="154"/>
        <v>32.300625448275611</v>
      </c>
      <c r="GJ31" s="299">
        <f t="shared" ca="1" si="155"/>
        <v>9.0642240717528075</v>
      </c>
      <c r="GK31" s="299">
        <f t="shared" ca="1" si="156"/>
        <v>4.8163493717226427</v>
      </c>
      <c r="GL31" s="299">
        <f t="shared" ca="1" si="157"/>
        <v>1.7953010741380155</v>
      </c>
      <c r="GM31" s="299">
        <f t="shared" ca="1" si="158"/>
        <v>16.266448878598059</v>
      </c>
      <c r="GN31" s="302">
        <f t="shared" ca="1" si="159"/>
        <v>0.98002320997901371</v>
      </c>
      <c r="GO31" s="299">
        <f t="shared" ca="1" si="160"/>
        <v>0.78764310418338346</v>
      </c>
      <c r="GP31" s="299">
        <f t="shared" ca="1" si="161"/>
        <v>0.63523931558518076</v>
      </c>
      <c r="GQ31" s="299">
        <f t="shared" ca="1" si="162"/>
        <v>0.51336514741390227</v>
      </c>
      <c r="GR31" s="299">
        <f t="shared" ca="1" si="163"/>
        <v>0.93023679541955739</v>
      </c>
      <c r="GS31" s="302">
        <f t="shared" ca="1" si="164"/>
        <v>-0.93854144960718378</v>
      </c>
      <c r="GT31" s="299">
        <f t="shared" ca="1" si="165"/>
        <v>-0.61282337085654937</v>
      </c>
      <c r="GU31" s="299">
        <f t="shared" ca="1" si="166"/>
        <v>-0.43995867595753713</v>
      </c>
      <c r="GV31" s="299">
        <f t="shared" ca="1" si="167"/>
        <v>-0.41832669571899456</v>
      </c>
      <c r="GW31" s="299">
        <f t="shared" ca="1" si="168"/>
        <v>-0.85045730608873105</v>
      </c>
      <c r="GX31" s="303">
        <f t="shared" ca="1" si="169"/>
        <v>9888.7726428996539</v>
      </c>
      <c r="GY31" s="303">
        <f t="shared" ca="1" si="170"/>
        <v>660.71292506612951</v>
      </c>
      <c r="GZ31" s="303">
        <f t="shared" ca="1" si="171"/>
        <v>280.86016023793331</v>
      </c>
      <c r="HA31" s="303">
        <f t="shared" ca="1" si="172"/>
        <v>392.59133975889677</v>
      </c>
      <c r="HB31" s="303">
        <f t="shared" ca="1" si="173"/>
        <v>10671.302519163113</v>
      </c>
      <c r="HC31" s="303">
        <f t="shared" ca="1" si="174"/>
        <v>9815.1056982638893</v>
      </c>
      <c r="HD31" s="303">
        <f t="shared" ca="1" si="175"/>
        <v>495.21267004795027</v>
      </c>
      <c r="HE31" s="303">
        <f t="shared" ca="1" si="176"/>
        <v>61.375367647268725</v>
      </c>
      <c r="HF31" s="303">
        <f t="shared" ca="1" si="177"/>
        <v>0</v>
      </c>
      <c r="HG31" s="852">
        <f t="shared" ca="1" si="178"/>
        <v>10276.568904535168</v>
      </c>
      <c r="HH31" s="13"/>
      <c r="IG31" s="13"/>
      <c r="IH31" s="13"/>
      <c r="II31" s="13"/>
      <c r="IJ31" s="13"/>
      <c r="IK31" s="13"/>
      <c r="IL31" s="13"/>
      <c r="IM31" s="13"/>
      <c r="IN31" s="13"/>
      <c r="IO31" s="13"/>
      <c r="IP31" s="13"/>
      <c r="IQ31" s="13"/>
      <c r="IR31" s="13"/>
      <c r="IS31" s="13"/>
      <c r="IT31" s="13"/>
      <c r="IU31" s="13"/>
      <c r="IV31" s="13"/>
    </row>
    <row r="32" spans="1:256" x14ac:dyDescent="0.25">
      <c r="A32" s="244">
        <f t="shared" ca="1" si="179"/>
        <v>37073</v>
      </c>
      <c r="B32" s="13">
        <f t="shared" ca="1" si="3"/>
        <v>2001</v>
      </c>
      <c r="C32" s="619">
        <f t="shared" ca="1" si="180"/>
        <v>7</v>
      </c>
      <c r="D32" s="195">
        <f t="shared" ca="1" si="4"/>
        <v>37076</v>
      </c>
      <c r="E32" s="469">
        <f t="shared" ca="1" si="5"/>
        <v>37073</v>
      </c>
      <c r="F32" s="465">
        <f t="shared" ca="1" si="6"/>
        <v>37103</v>
      </c>
      <c r="G32" s="521">
        <f t="shared" ca="1" si="181"/>
        <v>1</v>
      </c>
      <c r="H32" s="518">
        <f t="shared" ca="1" si="182"/>
        <v>1</v>
      </c>
      <c r="I32" s="724">
        <f t="shared" ca="1" si="7"/>
        <v>6.8753696866555011E-2</v>
      </c>
      <c r="J32" s="198">
        <f t="shared" ca="1" si="8"/>
        <v>0.90556180920885243</v>
      </c>
      <c r="K32" s="200">
        <f t="shared" ca="1" si="190"/>
        <v>72</v>
      </c>
      <c r="L32" s="201">
        <f t="shared" ca="1" si="191"/>
        <v>75</v>
      </c>
      <c r="M32" s="206">
        <f t="shared" ca="1" si="192"/>
        <v>78</v>
      </c>
      <c r="N32" s="851">
        <f t="shared" ca="1" si="196"/>
        <v>38.511249542236328</v>
      </c>
      <c r="O32" s="201">
        <f t="shared" ca="1" si="197"/>
        <v>40.761249542236328</v>
      </c>
      <c r="P32" s="206">
        <f t="shared" ca="1" si="198"/>
        <v>43.011249542236328</v>
      </c>
      <c r="Q32" s="201">
        <f t="shared" ca="1" si="199"/>
        <v>27.747499465942383</v>
      </c>
      <c r="R32" s="201">
        <f t="shared" ca="1" si="200"/>
        <v>30.247499465942383</v>
      </c>
      <c r="S32" s="201">
        <f t="shared" ca="1" si="201"/>
        <v>32.747499465942383</v>
      </c>
      <c r="T32" s="851">
        <f t="shared" ca="1" si="193"/>
        <v>22.649997711181641</v>
      </c>
      <c r="U32" s="201">
        <f t="shared" ca="1" si="194"/>
        <v>24.149997711181641</v>
      </c>
      <c r="V32" s="206">
        <f t="shared" ca="1" si="195"/>
        <v>25.649997711181641</v>
      </c>
      <c r="W32" s="230">
        <f t="shared" ca="1" si="183"/>
        <v>0.2026125</v>
      </c>
      <c r="X32" s="231">
        <f t="shared" ca="1" si="184"/>
        <v>0.405225</v>
      </c>
      <c r="Y32" s="232">
        <f t="shared" ca="1" si="185"/>
        <v>0.60783750000000003</v>
      </c>
      <c r="Z32" s="231">
        <f t="shared" ca="1" si="9"/>
        <v>0.2026125</v>
      </c>
      <c r="AA32" s="231">
        <f t="shared" ca="1" si="10"/>
        <v>0.405225</v>
      </c>
      <c r="AB32" s="232">
        <f t="shared" ca="1" si="11"/>
        <v>0.60783750000000003</v>
      </c>
      <c r="AC32" s="231">
        <f t="shared" ca="1" si="12"/>
        <v>0.2026125</v>
      </c>
      <c r="AD32" s="231">
        <f t="shared" ca="1" si="13"/>
        <v>0.405225</v>
      </c>
      <c r="AE32" s="232">
        <f t="shared" ca="1" si="14"/>
        <v>0.60783750000000003</v>
      </c>
      <c r="AF32" s="231">
        <f t="shared" ca="1" si="186"/>
        <v>5.8799999999999998E-2</v>
      </c>
      <c r="AG32" s="231">
        <f t="shared" ca="1" si="187"/>
        <v>0.1176</v>
      </c>
      <c r="AH32" s="232">
        <f t="shared" ca="1" si="188"/>
        <v>0.1764</v>
      </c>
      <c r="AI32" s="233">
        <f t="shared" ca="1" si="15"/>
        <v>3.4</v>
      </c>
      <c r="AJ32" s="233">
        <f t="shared" ca="1" si="16"/>
        <v>3.75</v>
      </c>
      <c r="AK32" s="234">
        <f t="shared" ca="1" si="17"/>
        <v>4.25</v>
      </c>
      <c r="AL32" s="919">
        <f t="shared" ca="1" si="18"/>
        <v>3.4</v>
      </c>
      <c r="AM32" s="233">
        <f t="shared" ca="1" si="19"/>
        <v>3.75</v>
      </c>
      <c r="AN32" s="234">
        <f t="shared" ca="1" si="20"/>
        <v>4.25</v>
      </c>
      <c r="AO32" s="233">
        <f t="shared" ca="1" si="21"/>
        <v>3.4</v>
      </c>
      <c r="AP32" s="233">
        <f t="shared" ca="1" si="22"/>
        <v>3.75</v>
      </c>
      <c r="AQ32" s="233">
        <f t="shared" ca="1" si="23"/>
        <v>4.25</v>
      </c>
      <c r="AR32" s="919">
        <f t="shared" ca="1" si="24"/>
        <v>0.6</v>
      </c>
      <c r="AS32" s="233">
        <f t="shared" ca="1" si="25"/>
        <v>0.75</v>
      </c>
      <c r="AT32" s="235">
        <f t="shared" ca="1" si="26"/>
        <v>0.95</v>
      </c>
      <c r="AU32" s="946">
        <f t="shared" si="27"/>
        <v>0.5</v>
      </c>
      <c r="AV32" s="13">
        <f t="shared" ca="1" si="28"/>
        <v>21</v>
      </c>
      <c r="AW32" s="210">
        <f t="shared" ca="1" si="29"/>
        <v>4</v>
      </c>
      <c r="AX32" s="210">
        <f t="shared" ca="1" si="30"/>
        <v>5</v>
      </c>
      <c r="AY32" s="210">
        <f t="shared" ca="1" si="31"/>
        <v>1</v>
      </c>
      <c r="AZ32" s="13">
        <f t="shared" ca="1" si="32"/>
        <v>31</v>
      </c>
      <c r="BA32" s="355">
        <f ca="1"/>
        <v>336</v>
      </c>
      <c r="BB32" s="363">
        <f ca="1"/>
        <v>64</v>
      </c>
      <c r="BC32" s="363">
        <f ca="1"/>
        <v>96</v>
      </c>
      <c r="BD32" s="927">
        <f ca="1"/>
        <v>248</v>
      </c>
      <c r="BE32" s="930">
        <f ca="1"/>
        <v>1.0000000111758709</v>
      </c>
      <c r="BF32" s="931">
        <f ca="1"/>
        <v>1.0000000111758709</v>
      </c>
      <c r="BG32" s="931">
        <f ca="1"/>
        <v>1.0000000111758709</v>
      </c>
      <c r="BH32" s="932">
        <f ca="1"/>
        <v>1.0000000149011612</v>
      </c>
      <c r="BI32" s="355">
        <f ca="1"/>
        <v>336</v>
      </c>
      <c r="BJ32" s="363">
        <f ca="1"/>
        <v>64</v>
      </c>
      <c r="BK32" s="363">
        <f ca="1"/>
        <v>96</v>
      </c>
      <c r="BL32" s="927">
        <f ca="1"/>
        <v>248</v>
      </c>
      <c r="BM32" s="930">
        <f ca="1"/>
        <v>1.0000000111758709</v>
      </c>
      <c r="BN32" s="931">
        <f ca="1"/>
        <v>1.0000000111758709</v>
      </c>
      <c r="BO32" s="931">
        <f ca="1"/>
        <v>1.0000000111758709</v>
      </c>
      <c r="BP32" s="932">
        <f ca="1"/>
        <v>1.0000000149011612</v>
      </c>
      <c r="BQ32" s="355">
        <f t="shared" ca="1" si="33"/>
        <v>744</v>
      </c>
      <c r="BR32" s="360">
        <f t="shared" ca="1" si="34"/>
        <v>744</v>
      </c>
      <c r="BS32" s="357">
        <f t="shared" ca="1" si="35"/>
        <v>673.7379860513862</v>
      </c>
      <c r="BT32" s="302">
        <f t="shared" ca="1" si="36"/>
        <v>46.959246993536745</v>
      </c>
      <c r="BU32" s="299">
        <f t="shared" ca="1" si="37"/>
        <v>49.330214763832494</v>
      </c>
      <c r="BV32" s="299">
        <f t="shared" ca="1" si="38"/>
        <v>51.70118253412825</v>
      </c>
      <c r="BW32" s="299">
        <f t="shared" ca="1" si="39"/>
        <v>32.659889647739881</v>
      </c>
      <c r="BX32" s="380">
        <f t="shared" ca="1" si="40"/>
        <v>1.3305954825462012</v>
      </c>
      <c r="BY32" s="363">
        <f t="shared" ca="1" si="41"/>
        <v>304.2687678941744</v>
      </c>
      <c r="BZ32" s="353">
        <f t="shared" ca="1" si="42"/>
        <v>57.955955789366556</v>
      </c>
      <c r="CA32" s="353">
        <f t="shared" ca="1" si="43"/>
        <v>86.933933684049833</v>
      </c>
      <c r="CB32" s="353">
        <f t="shared" ca="1" si="44"/>
        <v>449.15865736759076</v>
      </c>
      <c r="CC32" s="353">
        <f t="shared" ca="1" si="45"/>
        <v>224.57932868379541</v>
      </c>
      <c r="CD32" s="353">
        <f t="shared" ca="1" si="46"/>
        <v>673.7379860513862</v>
      </c>
      <c r="CE32" s="302">
        <f t="shared" ca="1" si="47"/>
        <v>78.00000087171793</v>
      </c>
      <c r="CF32" s="299">
        <f t="shared" ca="1" si="48"/>
        <v>43.0112500229245</v>
      </c>
      <c r="CG32" s="299">
        <f t="shared" ca="1" si="49"/>
        <v>32.747499831924209</v>
      </c>
      <c r="CH32" s="299">
        <f t="shared" ca="1" si="50"/>
        <v>64.726774754494187</v>
      </c>
      <c r="CI32" s="299">
        <f t="shared" ca="1" si="51"/>
        <v>25.649998093396391</v>
      </c>
      <c r="CJ32" s="299">
        <f t="shared" ca="1" si="52"/>
        <v>51.70118253412825</v>
      </c>
      <c r="CK32" s="299">
        <f t="shared" ca="1" si="53"/>
        <v>32.659889647739881</v>
      </c>
      <c r="CL32" s="377">
        <f t="shared" ca="1" si="54"/>
        <v>0.60783750000000003</v>
      </c>
      <c r="CM32" s="305">
        <f t="shared" ca="1" si="55"/>
        <v>0.60783750000000003</v>
      </c>
      <c r="CN32" s="305">
        <f t="shared" ca="1" si="56"/>
        <v>0.60783750000000003</v>
      </c>
      <c r="CO32" s="305">
        <f t="shared" ca="1" si="57"/>
        <v>0.60783750000000014</v>
      </c>
      <c r="CP32" s="305">
        <f t="shared" ca="1" si="58"/>
        <v>0.1764</v>
      </c>
      <c r="CQ32" s="305">
        <f t="shared" ca="1" si="59"/>
        <v>0.53516549063700691</v>
      </c>
      <c r="CR32" s="775">
        <f t="shared" ca="1" si="60"/>
        <v>0.62283750000000004</v>
      </c>
      <c r="CS32" s="305">
        <f t="shared" ca="1" si="61"/>
        <v>0.62283750000000004</v>
      </c>
      <c r="CT32" s="305">
        <f t="shared" ca="1" si="62"/>
        <v>0.60783750000000003</v>
      </c>
      <c r="CU32" s="305">
        <f t="shared" ca="1" si="63"/>
        <v>0.2114</v>
      </c>
      <c r="CV32" s="770">
        <f t="shared" ca="1" si="64"/>
        <v>0.55016549063700693</v>
      </c>
      <c r="CW32" s="302">
        <f t="shared" ca="1" si="65"/>
        <v>47.241514302290966</v>
      </c>
      <c r="CX32" s="299">
        <f t="shared" ca="1" si="66"/>
        <v>16.523065051808462</v>
      </c>
      <c r="CY32" s="299">
        <f t="shared" ca="1" si="67"/>
        <v>9.0077033998244502</v>
      </c>
      <c r="CZ32" s="299">
        <f t="shared" ca="1" si="68"/>
        <v>0.59562583908544386</v>
      </c>
      <c r="DA32" s="774">
        <f t="shared" ca="1" si="69"/>
        <v>22.51833040336227</v>
      </c>
      <c r="DB32" s="303">
        <f t="shared" ca="1" si="70"/>
        <v>15171.454575200994</v>
      </c>
      <c r="DC32" s="248">
        <f t="shared" ca="1" si="71"/>
        <v>573.40851738600566</v>
      </c>
      <c r="DD32" s="778">
        <f t="shared" ca="1" si="72"/>
        <v>12828.842321089887</v>
      </c>
      <c r="DE32" s="363">
        <f t="shared" ca="1" si="73"/>
        <v>0.90556180920885243</v>
      </c>
      <c r="DF32" s="378">
        <f t="shared" ca="1" si="74"/>
        <v>0.85249181108360395</v>
      </c>
      <c r="DG32" s="508">
        <f t="shared" ca="1" si="75"/>
        <v>2.3978417613193814E-2</v>
      </c>
      <c r="DH32" s="508">
        <f t="shared" ca="1" si="76"/>
        <v>-0.34675391576467435</v>
      </c>
      <c r="DI32" s="508">
        <f t="shared" ca="1" si="77"/>
        <v>-1.1127047927805183</v>
      </c>
      <c r="DJ32" s="508">
        <f t="shared" ca="1" si="78"/>
        <v>0.4064758403720472</v>
      </c>
      <c r="DK32" s="353">
        <f t="shared" ca="1" si="79"/>
        <v>-443.18717515692964</v>
      </c>
      <c r="DL32" s="781">
        <f t="shared" ca="1" si="80"/>
        <v>11.939676740294146</v>
      </c>
      <c r="DM32" s="303">
        <f t="shared" ca="1" si="81"/>
        <v>19648.944711361186</v>
      </c>
      <c r="DN32" s="508">
        <f t="shared" ca="1" si="82"/>
        <v>1.3314783056090704</v>
      </c>
      <c r="DO32" s="508">
        <f t="shared" ca="1" si="83"/>
        <v>0.81539748682156488</v>
      </c>
      <c r="DP32" s="508">
        <f t="shared" ca="1" si="84"/>
        <v>0.57902214828112786</v>
      </c>
      <c r="DQ32" s="508">
        <f t="shared" ca="1" si="85"/>
        <v>0.36722804274781906</v>
      </c>
      <c r="DR32" s="508">
        <f t="shared" ca="1" si="86"/>
        <v>0.9749423934783511</v>
      </c>
      <c r="DS32" s="353">
        <f t="shared" ca="1" si="87"/>
        <v>9966.0618539141651</v>
      </c>
      <c r="DT32" s="353">
        <f t="shared" ca="1" si="88"/>
        <v>-1734.1183178624237</v>
      </c>
      <c r="DU32" s="380">
        <f t="shared" ca="1" si="189"/>
        <v>1.3305954825462012</v>
      </c>
      <c r="DV32" s="303">
        <f t="shared" ca="1" si="89"/>
        <v>304.2687678941744</v>
      </c>
      <c r="DW32" s="303">
        <f t="shared" ca="1" si="90"/>
        <v>57.955955789366556</v>
      </c>
      <c r="DX32" s="303">
        <f t="shared" ca="1" si="91"/>
        <v>86.933933684049833</v>
      </c>
      <c r="DY32" s="303">
        <f t="shared" ca="1" si="92"/>
        <v>449.15865736759076</v>
      </c>
      <c r="DZ32" s="303">
        <f t="shared" ca="1" si="93"/>
        <v>224.57932868379541</v>
      </c>
      <c r="EA32" s="303">
        <f t="shared" ca="1" si="94"/>
        <v>673.7379860513862</v>
      </c>
      <c r="EB32" s="302">
        <f t="shared" ca="1" si="95"/>
        <v>78.00000087171793</v>
      </c>
      <c r="EC32" s="299">
        <f t="shared" ca="1" si="96"/>
        <v>43.0112500229245</v>
      </c>
      <c r="ED32" s="299">
        <f t="shared" ca="1" si="97"/>
        <v>32.747499831924209</v>
      </c>
      <c r="EE32" s="299">
        <f t="shared" ca="1" si="98"/>
        <v>64.726774754494187</v>
      </c>
      <c r="EF32" s="299">
        <f t="shared" ca="1" si="99"/>
        <v>25.649998093396391</v>
      </c>
      <c r="EG32" s="299">
        <f t="shared" ca="1" si="100"/>
        <v>51.70118253412825</v>
      </c>
      <c r="EH32" s="302">
        <f t="shared" ca="1" si="101"/>
        <v>30</v>
      </c>
      <c r="EI32" s="304">
        <f t="shared" ca="1" si="102"/>
        <v>0.2026125</v>
      </c>
      <c r="EJ32" s="305">
        <f t="shared" ca="1" si="103"/>
        <v>0.2026125</v>
      </c>
      <c r="EK32" s="305">
        <f t="shared" ca="1" si="104"/>
        <v>0.2026125</v>
      </c>
      <c r="EL32" s="305">
        <f t="shared" ca="1" si="105"/>
        <v>0.20261250000000003</v>
      </c>
      <c r="EM32" s="305">
        <f t="shared" ca="1" si="106"/>
        <v>5.8799999999999998E-2</v>
      </c>
      <c r="EN32" s="305">
        <f t="shared" ca="1" si="107"/>
        <v>0.17467147314223078</v>
      </c>
      <c r="EO32" s="305">
        <f t="shared" ca="1" si="108"/>
        <v>0.2026125</v>
      </c>
      <c r="EP32" s="305">
        <f t="shared" ca="1" si="109"/>
        <v>0.2026125</v>
      </c>
      <c r="EQ32" s="305">
        <f t="shared" ca="1" si="110"/>
        <v>0.2026125</v>
      </c>
      <c r="ER32" s="305">
        <f t="shared" ca="1" si="111"/>
        <v>5.8799999999999998E-2</v>
      </c>
      <c r="ES32" s="305">
        <f t="shared" ca="1" si="112"/>
        <v>0.17467147314223078</v>
      </c>
      <c r="ET32" s="299">
        <f t="shared" ca="1" si="113"/>
        <v>8.3371917456047107E-3</v>
      </c>
      <c r="EU32" s="302">
        <f t="shared" ca="1" si="114"/>
        <v>30</v>
      </c>
      <c r="EV32" s="304">
        <f t="shared" ca="1" si="115"/>
        <v>0.60783750000000003</v>
      </c>
      <c r="EW32" s="305">
        <f t="shared" ca="1" si="116"/>
        <v>0.60783750000000003</v>
      </c>
      <c r="EX32" s="305">
        <f t="shared" ca="1" si="117"/>
        <v>0.60783750000000003</v>
      </c>
      <c r="EY32" s="305">
        <f t="shared" ca="1" si="118"/>
        <v>0.60783750000000014</v>
      </c>
      <c r="EZ32" s="305">
        <f t="shared" ca="1" si="119"/>
        <v>0.1764</v>
      </c>
      <c r="FA32" s="305">
        <f t="shared" ca="1" si="120"/>
        <v>0.53516549063700691</v>
      </c>
      <c r="FB32" s="305">
        <f t="shared" ca="1" si="121"/>
        <v>0.60783750000000003</v>
      </c>
      <c r="FC32" s="305">
        <f t="shared" ca="1" si="122"/>
        <v>0.60783750000000003</v>
      </c>
      <c r="FD32" s="305">
        <f t="shared" ca="1" si="123"/>
        <v>0.60783750000000003</v>
      </c>
      <c r="FE32" s="305">
        <f t="shared" ca="1" si="124"/>
        <v>0.1764</v>
      </c>
      <c r="FF32" s="305">
        <f t="shared" ca="1" si="125"/>
        <v>0.53516549063700691</v>
      </c>
      <c r="FG32" s="299">
        <f t="shared" ca="1" si="126"/>
        <v>24.15387324022236</v>
      </c>
      <c r="FH32" s="302">
        <f t="shared" ca="1" si="127"/>
        <v>-24.145536048476757</v>
      </c>
      <c r="FI32" s="248">
        <f t="shared" ca="1" si="128"/>
        <v>-16267.764829431875</v>
      </c>
      <c r="FJ32" s="363">
        <f t="shared" ca="1" si="129"/>
        <v>0.90556180920885243</v>
      </c>
      <c r="FK32" s="378">
        <f t="shared" ca="1" si="130"/>
        <v>3.9714783437722092</v>
      </c>
      <c r="FL32" s="508">
        <f t="shared" ca="1" si="131"/>
        <v>1.4246008771518051</v>
      </c>
      <c r="FM32" s="508">
        <f t="shared" ca="1" si="132"/>
        <v>0.25808005041809923</v>
      </c>
      <c r="FN32" s="508">
        <f t="shared" ca="1" si="133"/>
        <v>-2.3435348553564981</v>
      </c>
      <c r="FO32" s="508">
        <f t="shared" ca="1" si="134"/>
        <v>2.6006015267180769</v>
      </c>
      <c r="FP32" s="353">
        <f t="shared" ca="1" si="135"/>
        <v>3.1349417611706509</v>
      </c>
      <c r="FQ32" s="356">
        <f t="shared" ca="1" si="136"/>
        <v>1.5116121446537349</v>
      </c>
      <c r="FR32" s="380">
        <f t="shared" ca="1" si="137"/>
        <v>21.32</v>
      </c>
      <c r="FS32" s="299">
        <f t="shared" ca="1" si="138"/>
        <v>21.32</v>
      </c>
      <c r="FT32" s="299">
        <f t="shared" ca="1" si="139"/>
        <v>21.32</v>
      </c>
      <c r="FU32" s="299">
        <f t="shared" ca="1" si="140"/>
        <v>21.32</v>
      </c>
      <c r="FV32" s="299">
        <f t="shared" ca="1" si="141"/>
        <v>21.32</v>
      </c>
      <c r="FW32" s="850">
        <f t="shared" ca="1" si="142"/>
        <v>0.245</v>
      </c>
      <c r="FX32" s="851">
        <f t="shared" ca="1" si="143"/>
        <v>0.5</v>
      </c>
      <c r="FY32" s="851">
        <f t="shared" ca="1" si="144"/>
        <v>0</v>
      </c>
      <c r="FZ32" s="201">
        <f t="shared" ca="1" si="145"/>
        <v>0</v>
      </c>
      <c r="GA32" s="201">
        <f t="shared" ca="1" si="146"/>
        <v>0</v>
      </c>
      <c r="GB32" s="201">
        <f t="shared" ca="1" si="147"/>
        <v>0</v>
      </c>
      <c r="GC32" s="201">
        <f t="shared" ca="1" si="148"/>
        <v>0</v>
      </c>
      <c r="GD32" s="850">
        <f t="shared" ca="1" si="149"/>
        <v>0.62283750000000004</v>
      </c>
      <c r="GE32" s="866">
        <f t="shared" ca="1" si="150"/>
        <v>0.62283750000000004</v>
      </c>
      <c r="GF32" s="866">
        <f t="shared" ca="1" si="151"/>
        <v>0.62283750000000004</v>
      </c>
      <c r="GG32" s="866">
        <f t="shared" ca="1" si="152"/>
        <v>0.19140000000000001</v>
      </c>
      <c r="GH32" s="866">
        <f t="shared" ca="1" si="153"/>
        <v>0.55016549063700693</v>
      </c>
      <c r="GI32" s="302">
        <f t="shared" ca="1" si="154"/>
        <v>56.853186690802211</v>
      </c>
      <c r="GJ32" s="299">
        <f t="shared" ca="1" si="155"/>
        <v>22.904608064762122</v>
      </c>
      <c r="GK32" s="299">
        <f t="shared" ca="1" si="156"/>
        <v>13.79065347442987</v>
      </c>
      <c r="GL32" s="299">
        <f t="shared" ca="1" si="157"/>
        <v>5.159222659901836</v>
      </c>
      <c r="GM32" s="299">
        <f t="shared" ca="1" si="158"/>
        <v>30.78612230580012</v>
      </c>
      <c r="GN32" s="302">
        <f t="shared" ca="1" si="159"/>
        <v>0.99140165279626791</v>
      </c>
      <c r="GO32" s="299">
        <f t="shared" ca="1" si="160"/>
        <v>0.92406491674209046</v>
      </c>
      <c r="GP32" s="299">
        <f t="shared" ca="1" si="161"/>
        <v>0.84087500872250498</v>
      </c>
      <c r="GQ32" s="299">
        <f t="shared" ca="1" si="162"/>
        <v>0.80155581078968663</v>
      </c>
      <c r="GR32" s="299">
        <f t="shared" ca="1" si="163"/>
        <v>0.97021259805846982</v>
      </c>
      <c r="GS32" s="302">
        <f t="shared" ca="1" si="164"/>
        <v>-0.96042061061677664</v>
      </c>
      <c r="GT32" s="299">
        <f t="shared" ca="1" si="165"/>
        <v>-0.7898959008977785</v>
      </c>
      <c r="GU32" s="299">
        <f t="shared" ca="1" si="166"/>
        <v>-0.64474252510051089</v>
      </c>
      <c r="GV32" s="299">
        <f t="shared" ca="1" si="167"/>
        <v>-0.72235838566237864</v>
      </c>
      <c r="GW32" s="299">
        <f t="shared" ca="1" si="168"/>
        <v>-0.90877219301043743</v>
      </c>
      <c r="GX32" s="303">
        <f t="shared" ca="1" si="169"/>
        <v>17298.649065267862</v>
      </c>
      <c r="GY32" s="303">
        <f t="shared" ca="1" si="170"/>
        <v>1327.4584523741223</v>
      </c>
      <c r="GZ32" s="303">
        <f t="shared" ca="1" si="171"/>
        <v>1198.8757546057977</v>
      </c>
      <c r="HA32" s="303">
        <f t="shared" ca="1" si="172"/>
        <v>1158.6547614909796</v>
      </c>
      <c r="HB32" s="303">
        <f t="shared" ca="1" si="173"/>
        <v>20741.780040641432</v>
      </c>
      <c r="HC32" s="303">
        <f t="shared" ca="1" si="174"/>
        <v>17245.954029478344</v>
      </c>
      <c r="HD32" s="303">
        <f t="shared" ca="1" si="175"/>
        <v>1257.1371273447087</v>
      </c>
      <c r="HE32" s="303">
        <f t="shared" ca="1" si="176"/>
        <v>993.43751256298981</v>
      </c>
      <c r="HF32" s="303">
        <f t="shared" ca="1" si="177"/>
        <v>972.42806501707548</v>
      </c>
      <c r="HG32" s="852">
        <f t="shared" ca="1" si="178"/>
        <v>20468.956734403117</v>
      </c>
      <c r="HH32" s="13"/>
      <c r="IG32" s="13"/>
      <c r="IH32" s="13"/>
      <c r="II32" s="13"/>
      <c r="IJ32" s="13"/>
      <c r="IK32" s="13"/>
      <c r="IL32" s="13"/>
      <c r="IM32" s="13"/>
      <c r="IN32" s="13"/>
      <c r="IO32" s="13"/>
      <c r="IP32" s="13"/>
      <c r="IQ32" s="13"/>
      <c r="IR32" s="13"/>
      <c r="IS32" s="13"/>
      <c r="IT32" s="13"/>
      <c r="IU32" s="13"/>
      <c r="IV32" s="13"/>
    </row>
    <row r="33" spans="1:256" x14ac:dyDescent="0.25">
      <c r="A33" s="244">
        <f t="shared" ca="1" si="179"/>
        <v>37104</v>
      </c>
      <c r="B33" s="13">
        <f t="shared" ca="1" si="3"/>
        <v>2001</v>
      </c>
      <c r="C33" s="619">
        <f t="shared" ca="1" si="180"/>
        <v>8</v>
      </c>
      <c r="D33" s="195" t="str">
        <f t="shared" ca="1" si="4"/>
        <v/>
      </c>
      <c r="E33" s="469">
        <f t="shared" ca="1" si="5"/>
        <v>37104</v>
      </c>
      <c r="F33" s="465">
        <f t="shared" ca="1" si="6"/>
        <v>37134</v>
      </c>
      <c r="G33" s="521">
        <f t="shared" ca="1" si="181"/>
        <v>1</v>
      </c>
      <c r="H33" s="518">
        <f t="shared" ca="1" si="182"/>
        <v>1</v>
      </c>
      <c r="I33" s="724">
        <f t="shared" ca="1" si="7"/>
        <v>6.9040994820187995E-2</v>
      </c>
      <c r="J33" s="198">
        <f t="shared" ca="1" si="8"/>
        <v>0.89999310122749387</v>
      </c>
      <c r="K33" s="200">
        <f t="shared" ca="1" si="190"/>
        <v>67.5</v>
      </c>
      <c r="L33" s="201">
        <f t="shared" ca="1" si="191"/>
        <v>70.5</v>
      </c>
      <c r="M33" s="206">
        <f t="shared" ca="1" si="192"/>
        <v>73.5</v>
      </c>
      <c r="N33" s="851">
        <f t="shared" ca="1" si="196"/>
        <v>40.772499084472656</v>
      </c>
      <c r="O33" s="201">
        <f t="shared" ca="1" si="197"/>
        <v>43.022499084472656</v>
      </c>
      <c r="P33" s="206">
        <f t="shared" ca="1" si="198"/>
        <v>45.272499084472656</v>
      </c>
      <c r="Q33" s="201">
        <f t="shared" ca="1" si="199"/>
        <v>29.245000839233398</v>
      </c>
      <c r="R33" s="201">
        <f t="shared" ca="1" si="200"/>
        <v>31.745000839233398</v>
      </c>
      <c r="S33" s="201">
        <f t="shared" ca="1" si="201"/>
        <v>34.245000839233398</v>
      </c>
      <c r="T33" s="851">
        <f t="shared" ca="1" si="193"/>
        <v>22.999998092651367</v>
      </c>
      <c r="U33" s="201">
        <f t="shared" ca="1" si="194"/>
        <v>24.499998092651367</v>
      </c>
      <c r="V33" s="206">
        <f t="shared" ca="1" si="195"/>
        <v>25.999998092651367</v>
      </c>
      <c r="W33" s="230">
        <f t="shared" ca="1" si="183"/>
        <v>0.199575</v>
      </c>
      <c r="X33" s="231">
        <f t="shared" ca="1" si="184"/>
        <v>0.39915</v>
      </c>
      <c r="Y33" s="232">
        <f t="shared" ca="1" si="185"/>
        <v>0.59872499999999995</v>
      </c>
      <c r="Z33" s="231">
        <f t="shared" ref="Z33:Z96" ca="1" si="202">VLOOKUP($A33,BigTable,14,0)</f>
        <v>0.199575</v>
      </c>
      <c r="AA33" s="231">
        <f t="shared" ref="AA33:AA96" ca="1" si="203">VLOOKUP($A33,BigTable,15,0)</f>
        <v>0.39915</v>
      </c>
      <c r="AB33" s="232">
        <f t="shared" ref="AB33:AB96" ca="1" si="204">VLOOKUP($A33,BigTable,16,0)</f>
        <v>0.59872499999999995</v>
      </c>
      <c r="AC33" s="231">
        <f t="shared" ref="AC33:AC96" ca="1" si="205">VLOOKUP($A33,BigTable,14,0)</f>
        <v>0.199575</v>
      </c>
      <c r="AD33" s="231">
        <f t="shared" ref="AD33:AD96" ca="1" si="206">VLOOKUP($A33,BigTable,15,0)</f>
        <v>0.39915</v>
      </c>
      <c r="AE33" s="232">
        <f t="shared" ca="1" si="14"/>
        <v>0.59872499999999995</v>
      </c>
      <c r="AF33" s="231">
        <f t="shared" ca="1" si="186"/>
        <v>5.8799999999999998E-2</v>
      </c>
      <c r="AG33" s="231">
        <f t="shared" ca="1" si="187"/>
        <v>0.1176</v>
      </c>
      <c r="AH33" s="232">
        <f t="shared" ca="1" si="188"/>
        <v>0.1764</v>
      </c>
      <c r="AI33" s="233">
        <f t="shared" ca="1" si="15"/>
        <v>3.4</v>
      </c>
      <c r="AJ33" s="233">
        <f t="shared" ca="1" si="16"/>
        <v>3.75</v>
      </c>
      <c r="AK33" s="234">
        <f t="shared" ca="1" si="17"/>
        <v>4.25</v>
      </c>
      <c r="AL33" s="919">
        <f t="shared" ca="1" si="18"/>
        <v>3.4</v>
      </c>
      <c r="AM33" s="233">
        <f t="shared" ca="1" si="19"/>
        <v>3.75</v>
      </c>
      <c r="AN33" s="234">
        <f t="shared" ca="1" si="20"/>
        <v>4.25</v>
      </c>
      <c r="AO33" s="233">
        <f t="shared" ca="1" si="21"/>
        <v>3.4</v>
      </c>
      <c r="AP33" s="233">
        <f t="shared" ca="1" si="22"/>
        <v>3.75</v>
      </c>
      <c r="AQ33" s="233">
        <f t="shared" ca="1" si="23"/>
        <v>4.25</v>
      </c>
      <c r="AR33" s="919">
        <f t="shared" ca="1" si="24"/>
        <v>0.6</v>
      </c>
      <c r="AS33" s="233">
        <f t="shared" ca="1" si="25"/>
        <v>0.75</v>
      </c>
      <c r="AT33" s="235">
        <f t="shared" ca="1" si="26"/>
        <v>0.95</v>
      </c>
      <c r="AU33" s="946">
        <f t="shared" si="27"/>
        <v>0.5</v>
      </c>
      <c r="AV33" s="13">
        <f t="shared" ca="1" si="28"/>
        <v>23</v>
      </c>
      <c r="AW33" s="210">
        <f t="shared" ca="1" si="29"/>
        <v>4</v>
      </c>
      <c r="AX33" s="210">
        <f t="shared" ca="1" si="30"/>
        <v>4</v>
      </c>
      <c r="AY33" s="210">
        <f t="shared" ca="1" si="31"/>
        <v>0</v>
      </c>
      <c r="AZ33" s="13">
        <f t="shared" ca="1" si="32"/>
        <v>31</v>
      </c>
      <c r="BA33" s="355">
        <f ca="1"/>
        <v>368</v>
      </c>
      <c r="BB33" s="363">
        <f ca="1"/>
        <v>64</v>
      </c>
      <c r="BC33" s="363">
        <f ca="1"/>
        <v>64</v>
      </c>
      <c r="BD33" s="927">
        <f ca="1"/>
        <v>248</v>
      </c>
      <c r="BE33" s="930">
        <f ca="1"/>
        <v>1</v>
      </c>
      <c r="BF33" s="931">
        <f ca="1"/>
        <v>1</v>
      </c>
      <c r="BG33" s="931">
        <f ca="1"/>
        <v>1</v>
      </c>
      <c r="BH33" s="932">
        <f ca="1"/>
        <v>1.0000000074505806</v>
      </c>
      <c r="BI33" s="355">
        <f ca="1"/>
        <v>368</v>
      </c>
      <c r="BJ33" s="363">
        <f ca="1"/>
        <v>64</v>
      </c>
      <c r="BK33" s="363">
        <f ca="1"/>
        <v>64</v>
      </c>
      <c r="BL33" s="927">
        <f ca="1"/>
        <v>248</v>
      </c>
      <c r="BM33" s="930">
        <f ca="1"/>
        <v>1</v>
      </c>
      <c r="BN33" s="931">
        <f ca="1"/>
        <v>1</v>
      </c>
      <c r="BO33" s="931">
        <f ca="1"/>
        <v>1</v>
      </c>
      <c r="BP33" s="932">
        <f ca="1"/>
        <v>1.0000000074505806</v>
      </c>
      <c r="BQ33" s="355">
        <f t="shared" ca="1" si="33"/>
        <v>744</v>
      </c>
      <c r="BR33" s="360">
        <f t="shared" ca="1" si="34"/>
        <v>744</v>
      </c>
      <c r="BS33" s="357">
        <f t="shared" ca="1" si="35"/>
        <v>669.59486731325546</v>
      </c>
      <c r="BT33" s="302">
        <f t="shared" ca="1" si="36"/>
        <v>47.076773608323705</v>
      </c>
      <c r="BU33" s="299">
        <f t="shared" ca="1" si="37"/>
        <v>49.469246730328571</v>
      </c>
      <c r="BV33" s="299">
        <f t="shared" ca="1" si="38"/>
        <v>51.86171985233343</v>
      </c>
      <c r="BW33" s="299">
        <f t="shared" ca="1" si="39"/>
        <v>32.659889647739881</v>
      </c>
      <c r="BX33" s="380">
        <f t="shared" ca="1" si="40"/>
        <v>1.4154688569472964</v>
      </c>
      <c r="BY33" s="363">
        <f t="shared" ca="1" si="41"/>
        <v>331.19746125171775</v>
      </c>
      <c r="BZ33" s="353">
        <f t="shared" ca="1" si="42"/>
        <v>57.599558478559608</v>
      </c>
      <c r="CA33" s="353">
        <f t="shared" ca="1" si="43"/>
        <v>57.599558478559608</v>
      </c>
      <c r="CB33" s="353">
        <f t="shared" ca="1" si="44"/>
        <v>446.39657820883701</v>
      </c>
      <c r="CC33" s="353">
        <f t="shared" ca="1" si="45"/>
        <v>223.19828910441848</v>
      </c>
      <c r="CD33" s="353">
        <f t="shared" ca="1" si="46"/>
        <v>669.59486731325546</v>
      </c>
      <c r="CE33" s="302">
        <f t="shared" ca="1" si="47"/>
        <v>73.5</v>
      </c>
      <c r="CF33" s="299">
        <f t="shared" ca="1" si="48"/>
        <v>45.272499084472656</v>
      </c>
      <c r="CG33" s="299">
        <f t="shared" ca="1" si="49"/>
        <v>34.245000839233398</v>
      </c>
      <c r="CH33" s="299">
        <f t="shared" ca="1" si="50"/>
        <v>64.792580635316909</v>
      </c>
      <c r="CI33" s="299">
        <f t="shared" ca="1" si="51"/>
        <v>25.999998286366448</v>
      </c>
      <c r="CJ33" s="299">
        <f t="shared" ca="1" si="52"/>
        <v>51.861719852333422</v>
      </c>
      <c r="CK33" s="299">
        <f t="shared" ca="1" si="53"/>
        <v>32.659889647739881</v>
      </c>
      <c r="CL33" s="377">
        <f t="shared" ca="1" si="54"/>
        <v>0.59872499999999995</v>
      </c>
      <c r="CM33" s="305">
        <f t="shared" ca="1" si="55"/>
        <v>0.59872499999999995</v>
      </c>
      <c r="CN33" s="305">
        <f t="shared" ca="1" si="56"/>
        <v>0.59872499999999995</v>
      </c>
      <c r="CO33" s="305">
        <f t="shared" ca="1" si="57"/>
        <v>0.59872500000000006</v>
      </c>
      <c r="CP33" s="305">
        <f t="shared" ca="1" si="58"/>
        <v>0.1764</v>
      </c>
      <c r="CQ33" s="305">
        <f t="shared" ca="1" si="59"/>
        <v>0.52690621152448125</v>
      </c>
      <c r="CR33" s="775">
        <f t="shared" ca="1" si="60"/>
        <v>0.61372499999999997</v>
      </c>
      <c r="CS33" s="305">
        <f t="shared" ca="1" si="61"/>
        <v>0.61372499999999997</v>
      </c>
      <c r="CT33" s="305">
        <f t="shared" ca="1" si="62"/>
        <v>0.6012249999999999</v>
      </c>
      <c r="CU33" s="305">
        <f t="shared" ca="1" si="63"/>
        <v>0.2014</v>
      </c>
      <c r="CV33" s="770">
        <f t="shared" ca="1" si="64"/>
        <v>0.54190621152448126</v>
      </c>
      <c r="CW33" s="302">
        <f t="shared" ca="1" si="65"/>
        <v>43.139868107501982</v>
      </c>
      <c r="CX33" s="299">
        <f t="shared" ca="1" si="66"/>
        <v>18.442947866009916</v>
      </c>
      <c r="CY33" s="299">
        <f t="shared" ca="1" si="67"/>
        <v>10.158612955511764</v>
      </c>
      <c r="CZ33" s="299">
        <f t="shared" ca="1" si="68"/>
        <v>0.63433833378944549</v>
      </c>
      <c r="DA33" s="774">
        <f t="shared" ca="1" si="69"/>
        <v>22.776390815268218</v>
      </c>
      <c r="DB33" s="303">
        <f t="shared" ca="1" si="70"/>
        <v>15250.954385824372</v>
      </c>
      <c r="DC33" s="248">
        <f t="shared" ca="1" si="71"/>
        <v>569.65219678380913</v>
      </c>
      <c r="DD33" s="778">
        <f t="shared" ca="1" si="72"/>
        <v>12857.446948016473</v>
      </c>
      <c r="DE33" s="363">
        <f t="shared" ca="1" si="73"/>
        <v>0.89999310122749387</v>
      </c>
      <c r="DF33" s="378">
        <f t="shared" ca="1" si="74"/>
        <v>0.74580387012840099</v>
      </c>
      <c r="DG33" s="508">
        <f t="shared" ca="1" si="75"/>
        <v>8.2142455310587614E-2</v>
      </c>
      <c r="DH33" s="508">
        <f t="shared" ca="1" si="76"/>
        <v>-0.29139303521618781</v>
      </c>
      <c r="DI33" s="508">
        <f t="shared" ca="1" si="77"/>
        <v>-1.0715561187528306</v>
      </c>
      <c r="DJ33" s="508">
        <f t="shared" ca="1" si="78"/>
        <v>0.3948945904303493</v>
      </c>
      <c r="DK33" s="353">
        <f t="shared" ca="1" si="79"/>
        <v>-437.60676954809588</v>
      </c>
      <c r="DL33" s="781">
        <f t="shared" ca="1" si="80"/>
        <v>11.734674454729232</v>
      </c>
      <c r="DM33" s="303">
        <f t="shared" ca="1" si="81"/>
        <v>19928.178607502559</v>
      </c>
      <c r="DN33" s="508">
        <f t="shared" ca="1" si="82"/>
        <v>1.2766563560823632</v>
      </c>
      <c r="DO33" s="508">
        <f t="shared" ca="1" si="83"/>
        <v>0.86931001963965637</v>
      </c>
      <c r="DP33" s="508">
        <f t="shared" ca="1" si="84"/>
        <v>0.63464672060033478</v>
      </c>
      <c r="DQ33" s="508">
        <f t="shared" ca="1" si="85"/>
        <v>0.40310632029544657</v>
      </c>
      <c r="DR33" s="508">
        <f t="shared" ca="1" si="86"/>
        <v>0.98353276095191033</v>
      </c>
      <c r="DS33" s="353">
        <f t="shared" ca="1" si="87"/>
        <v>10161.666689354168</v>
      </c>
      <c r="DT33" s="353">
        <f t="shared" ca="1" si="88"/>
        <v>-2059.8684262507777</v>
      </c>
      <c r="DU33" s="380">
        <f t="shared" ca="1" si="189"/>
        <v>1.4154688569472964</v>
      </c>
      <c r="DV33" s="303">
        <f t="shared" ca="1" si="89"/>
        <v>331.19746125171775</v>
      </c>
      <c r="DW33" s="303">
        <f t="shared" ca="1" si="90"/>
        <v>57.599558478559608</v>
      </c>
      <c r="DX33" s="303">
        <f t="shared" ca="1" si="91"/>
        <v>57.599558478559608</v>
      </c>
      <c r="DY33" s="303">
        <f t="shared" ca="1" si="92"/>
        <v>446.39657820883701</v>
      </c>
      <c r="DZ33" s="303">
        <f t="shared" ca="1" si="93"/>
        <v>223.19828910441848</v>
      </c>
      <c r="EA33" s="303">
        <f t="shared" ca="1" si="94"/>
        <v>669.59486731325546</v>
      </c>
      <c r="EB33" s="302">
        <f t="shared" ca="1" si="95"/>
        <v>73.5</v>
      </c>
      <c r="EC33" s="299">
        <f t="shared" ca="1" si="96"/>
        <v>45.272499084472656</v>
      </c>
      <c r="ED33" s="299">
        <f t="shared" ca="1" si="97"/>
        <v>34.245000839233398</v>
      </c>
      <c r="EE33" s="299">
        <f t="shared" ca="1" si="98"/>
        <v>64.792580635316909</v>
      </c>
      <c r="EF33" s="299">
        <f t="shared" ca="1" si="99"/>
        <v>25.999998286366448</v>
      </c>
      <c r="EG33" s="299">
        <f t="shared" ca="1" si="100"/>
        <v>51.861719852333422</v>
      </c>
      <c r="EH33" s="302">
        <f t="shared" ca="1" si="101"/>
        <v>30</v>
      </c>
      <c r="EI33" s="304">
        <f t="shared" ca="1" si="102"/>
        <v>0.199575</v>
      </c>
      <c r="EJ33" s="305">
        <f t="shared" ca="1" si="103"/>
        <v>0.199575</v>
      </c>
      <c r="EK33" s="305">
        <f t="shared" ca="1" si="104"/>
        <v>0.199575</v>
      </c>
      <c r="EL33" s="305">
        <f t="shared" ca="1" si="105"/>
        <v>0.19957500000000003</v>
      </c>
      <c r="EM33" s="305">
        <f t="shared" ca="1" si="106"/>
        <v>5.8799999999999998E-2</v>
      </c>
      <c r="EN33" s="305">
        <f t="shared" ca="1" si="107"/>
        <v>0.17185734571115516</v>
      </c>
      <c r="EO33" s="305">
        <f t="shared" ca="1" si="108"/>
        <v>0.199575</v>
      </c>
      <c r="EP33" s="305">
        <f t="shared" ca="1" si="109"/>
        <v>0.199575</v>
      </c>
      <c r="EQ33" s="305">
        <f t="shared" ca="1" si="110"/>
        <v>0.199575</v>
      </c>
      <c r="ER33" s="305">
        <f t="shared" ca="1" si="111"/>
        <v>5.8799999999999998E-2</v>
      </c>
      <c r="ES33" s="305">
        <f t="shared" ca="1" si="112"/>
        <v>0.17185734571115516</v>
      </c>
      <c r="ET33" s="299">
        <f t="shared" ca="1" si="113"/>
        <v>9.1681371300167125E-3</v>
      </c>
      <c r="EU33" s="302">
        <f t="shared" ca="1" si="114"/>
        <v>30</v>
      </c>
      <c r="EV33" s="304">
        <f t="shared" ca="1" si="115"/>
        <v>0.59872499999999995</v>
      </c>
      <c r="EW33" s="305">
        <f t="shared" ca="1" si="116"/>
        <v>0.59872499999999995</v>
      </c>
      <c r="EX33" s="305">
        <f t="shared" ca="1" si="117"/>
        <v>0.59872499999999995</v>
      </c>
      <c r="EY33" s="305">
        <f t="shared" ca="1" si="118"/>
        <v>0.59872500000000006</v>
      </c>
      <c r="EZ33" s="305">
        <f t="shared" ca="1" si="119"/>
        <v>0.1764</v>
      </c>
      <c r="FA33" s="305">
        <f t="shared" ca="1" si="120"/>
        <v>0.52690621152448125</v>
      </c>
      <c r="FB33" s="305">
        <f t="shared" ca="1" si="121"/>
        <v>0.59872499999999995</v>
      </c>
      <c r="FC33" s="305">
        <f t="shared" ca="1" si="122"/>
        <v>0.59872499999999995</v>
      </c>
      <c r="FD33" s="305">
        <f t="shared" ca="1" si="123"/>
        <v>0.59872499999999995</v>
      </c>
      <c r="FE33" s="305">
        <f t="shared" ca="1" si="124"/>
        <v>0.1764</v>
      </c>
      <c r="FF33" s="305">
        <f t="shared" ca="1" si="125"/>
        <v>0.52690621152448125</v>
      </c>
      <c r="FG33" s="299">
        <f t="shared" ca="1" si="126"/>
        <v>24.393012394418012</v>
      </c>
      <c r="FH33" s="302">
        <f t="shared" ca="1" si="127"/>
        <v>-24.383844257287993</v>
      </c>
      <c r="FI33" s="248">
        <f t="shared" ca="1" si="128"/>
        <v>-16327.29696004584</v>
      </c>
      <c r="FJ33" s="363">
        <f t="shared" ca="1" si="129"/>
        <v>0.89999310122749387</v>
      </c>
      <c r="FK33" s="378">
        <f t="shared" ca="1" si="130"/>
        <v>3.6552139955730727</v>
      </c>
      <c r="FL33" s="508">
        <f t="shared" ca="1" si="131"/>
        <v>1.6143491487282156</v>
      </c>
      <c r="FM33" s="508">
        <f t="shared" ca="1" si="132"/>
        <v>0.4386516279494716</v>
      </c>
      <c r="FN33" s="508">
        <f t="shared" ca="1" si="133"/>
        <v>-2.0805508546955611</v>
      </c>
      <c r="FO33" s="508">
        <f t="shared" ca="1" si="134"/>
        <v>2.5749225159907487</v>
      </c>
      <c r="FP33" s="353">
        <f t="shared" ca="1" si="135"/>
        <v>3.3567838512064547</v>
      </c>
      <c r="FQ33" s="356">
        <f t="shared" ca="1" si="136"/>
        <v>1.5821497118152592</v>
      </c>
      <c r="FR33" s="380">
        <f t="shared" ca="1" si="137"/>
        <v>21.376000000000001</v>
      </c>
      <c r="FS33" s="299">
        <f t="shared" ca="1" si="138"/>
        <v>21.376000000000001</v>
      </c>
      <c r="FT33" s="299">
        <f t="shared" ca="1" si="139"/>
        <v>21.376000000000001</v>
      </c>
      <c r="FU33" s="299">
        <f t="shared" ca="1" si="140"/>
        <v>21.376000000000001</v>
      </c>
      <c r="FV33" s="299">
        <f t="shared" ca="1" si="141"/>
        <v>21.376000000000001</v>
      </c>
      <c r="FW33" s="850">
        <f t="shared" ca="1" si="142"/>
        <v>0.245</v>
      </c>
      <c r="FX33" s="851">
        <f t="shared" ca="1" si="143"/>
        <v>0.5</v>
      </c>
      <c r="FY33" s="851">
        <f t="shared" ca="1" si="144"/>
        <v>0</v>
      </c>
      <c r="FZ33" s="201">
        <f t="shared" ca="1" si="145"/>
        <v>0</v>
      </c>
      <c r="GA33" s="201">
        <f t="shared" ca="1" si="146"/>
        <v>0</v>
      </c>
      <c r="GB33" s="201">
        <f t="shared" ca="1" si="147"/>
        <v>0</v>
      </c>
      <c r="GC33" s="201">
        <f t="shared" ca="1" si="148"/>
        <v>0</v>
      </c>
      <c r="GD33" s="850">
        <f t="shared" ca="1" si="149"/>
        <v>0.61372499999999997</v>
      </c>
      <c r="GE33" s="866">
        <f t="shared" ca="1" si="150"/>
        <v>0.61372499999999997</v>
      </c>
      <c r="GF33" s="866">
        <f t="shared" ca="1" si="151"/>
        <v>0.61372499999999997</v>
      </c>
      <c r="GG33" s="866">
        <f t="shared" ca="1" si="152"/>
        <v>0.19140000000000001</v>
      </c>
      <c r="GH33" s="866">
        <f t="shared" ca="1" si="153"/>
        <v>0.54190621152448126</v>
      </c>
      <c r="GI33" s="302">
        <f t="shared" ca="1" si="154"/>
        <v>52.365550606428819</v>
      </c>
      <c r="GJ33" s="299">
        <f t="shared" ca="1" si="155"/>
        <v>25.018135661836194</v>
      </c>
      <c r="GK33" s="299">
        <f t="shared" ca="1" si="156"/>
        <v>15.100614982969548</v>
      </c>
      <c r="GL33" s="299">
        <f t="shared" ca="1" si="157"/>
        <v>5.4578754413480413</v>
      </c>
      <c r="GM33" s="299">
        <f t="shared" ca="1" si="158"/>
        <v>30.921355643907098</v>
      </c>
      <c r="GN33" s="302">
        <f t="shared" ca="1" si="159"/>
        <v>0.98803612848823785</v>
      </c>
      <c r="GO33" s="299">
        <f t="shared" ca="1" si="160"/>
        <v>0.93281531293738507</v>
      </c>
      <c r="GP33" s="299">
        <f t="shared" ca="1" si="161"/>
        <v>0.85510574363252301</v>
      </c>
      <c r="GQ33" s="299">
        <f t="shared" ca="1" si="162"/>
        <v>0.80799664599141896</v>
      </c>
      <c r="GR33" s="299">
        <f t="shared" ca="1" si="163"/>
        <v>0.96887876741948886</v>
      </c>
      <c r="GS33" s="302">
        <f t="shared" ca="1" si="164"/>
        <v>-0.94756393768689917</v>
      </c>
      <c r="GT33" s="299">
        <f t="shared" ca="1" si="165"/>
        <v>-0.80523696247114585</v>
      </c>
      <c r="GU33" s="299">
        <f t="shared" ca="1" si="166"/>
        <v>-0.66347738443612936</v>
      </c>
      <c r="GV33" s="299">
        <f t="shared" ca="1" si="167"/>
        <v>-0.72745295908608942</v>
      </c>
      <c r="GW33" s="299">
        <f t="shared" ca="1" si="168"/>
        <v>-0.90411536149557614</v>
      </c>
      <c r="GX33" s="303">
        <f t="shared" ca="1" si="169"/>
        <v>17343.337417897576</v>
      </c>
      <c r="GY33" s="303">
        <f t="shared" ca="1" si="170"/>
        <v>1441.0335680784715</v>
      </c>
      <c r="GZ33" s="303">
        <f t="shared" ca="1" si="171"/>
        <v>869.78875577376789</v>
      </c>
      <c r="HA33" s="303">
        <f t="shared" ca="1" si="172"/>
        <v>1218.1884606539056</v>
      </c>
      <c r="HB33" s="303">
        <f t="shared" ca="1" si="173"/>
        <v>20704.781029527956</v>
      </c>
      <c r="HC33" s="303">
        <f t="shared" ca="1" si="174"/>
        <v>17263.336470284536</v>
      </c>
      <c r="HD33" s="303">
        <f t="shared" ca="1" si="175"/>
        <v>1376.4277964489288</v>
      </c>
      <c r="HE33" s="303">
        <f t="shared" ca="1" si="176"/>
        <v>741.24876640005675</v>
      </c>
      <c r="HF33" s="303">
        <f t="shared" ca="1" si="177"/>
        <v>1032.0685063387539</v>
      </c>
      <c r="HG33" s="852">
        <f t="shared" ca="1" si="178"/>
        <v>20413.081539472274</v>
      </c>
      <c r="HH33" s="13"/>
      <c r="IG33" s="13"/>
      <c r="IH33" s="13"/>
      <c r="II33" s="13"/>
      <c r="IJ33" s="13"/>
      <c r="IK33" s="13"/>
      <c r="IL33" s="13"/>
      <c r="IM33" s="13"/>
      <c r="IN33" s="13"/>
      <c r="IO33" s="13"/>
      <c r="IP33" s="13"/>
      <c r="IQ33" s="13"/>
      <c r="IR33" s="13"/>
      <c r="IS33" s="13"/>
      <c r="IT33" s="13"/>
      <c r="IU33" s="13"/>
      <c r="IV33" s="13"/>
    </row>
    <row r="34" spans="1:256" x14ac:dyDescent="0.25">
      <c r="A34" s="244">
        <f t="shared" ca="1" si="179"/>
        <v>37135</v>
      </c>
      <c r="B34" s="13">
        <f t="shared" ca="1" si="3"/>
        <v>2001</v>
      </c>
      <c r="C34" s="619">
        <f t="shared" ca="1" si="180"/>
        <v>9</v>
      </c>
      <c r="D34" s="195">
        <f t="shared" ca="1" si="4"/>
        <v>37137</v>
      </c>
      <c r="E34" s="469">
        <f t="shared" ca="1" si="5"/>
        <v>37135</v>
      </c>
      <c r="F34" s="465">
        <f t="shared" ca="1" si="6"/>
        <v>37164</v>
      </c>
      <c r="G34" s="521">
        <f t="shared" ca="1" si="181"/>
        <v>1</v>
      </c>
      <c r="H34" s="518">
        <f t="shared" ca="1" si="182"/>
        <v>1</v>
      </c>
      <c r="I34" s="724">
        <f t="shared" ca="1" si="7"/>
        <v>6.9328292801126998E-2</v>
      </c>
      <c r="J34" s="198">
        <f t="shared" ca="1" si="8"/>
        <v>0.89458343599949186</v>
      </c>
      <c r="K34" s="200">
        <f t="shared" ca="1" si="190"/>
        <v>32.799999999999997</v>
      </c>
      <c r="L34" s="201">
        <f t="shared" ca="1" si="191"/>
        <v>33.5</v>
      </c>
      <c r="M34" s="206">
        <f t="shared" ca="1" si="192"/>
        <v>34.200000000000003</v>
      </c>
      <c r="N34" s="851">
        <f t="shared" ca="1" si="196"/>
        <v>22.479999160766603</v>
      </c>
      <c r="O34" s="201">
        <f t="shared" ca="1" si="197"/>
        <v>23.004999160766602</v>
      </c>
      <c r="P34" s="206">
        <f t="shared" ca="1" si="198"/>
        <v>23.5299991607666</v>
      </c>
      <c r="Q34" s="201">
        <f t="shared" ca="1" si="199"/>
        <v>21</v>
      </c>
      <c r="R34" s="201">
        <f t="shared" ca="1" si="200"/>
        <v>23.5</v>
      </c>
      <c r="S34" s="201">
        <f t="shared" ca="1" si="201"/>
        <v>26</v>
      </c>
      <c r="T34" s="851">
        <f t="shared" ca="1" si="193"/>
        <v>19.649998092651366</v>
      </c>
      <c r="U34" s="201">
        <f t="shared" ca="1" si="194"/>
        <v>19.999998092651367</v>
      </c>
      <c r="V34" s="206">
        <f t="shared" ca="1" si="195"/>
        <v>20.349998092651369</v>
      </c>
      <c r="W34" s="230">
        <f t="shared" ca="1" si="183"/>
        <v>0.132075</v>
      </c>
      <c r="X34" s="231">
        <f t="shared" ca="1" si="184"/>
        <v>0.26415</v>
      </c>
      <c r="Y34" s="232">
        <f t="shared" ca="1" si="185"/>
        <v>0.39622499999999999</v>
      </c>
      <c r="Z34" s="231">
        <f t="shared" ca="1" si="202"/>
        <v>0.132075</v>
      </c>
      <c r="AA34" s="231">
        <f t="shared" ca="1" si="203"/>
        <v>0.26415</v>
      </c>
      <c r="AB34" s="232">
        <f t="shared" ca="1" si="204"/>
        <v>0.39622499999999999</v>
      </c>
      <c r="AC34" s="231">
        <f t="shared" ca="1" si="205"/>
        <v>0.132075</v>
      </c>
      <c r="AD34" s="231">
        <f t="shared" ca="1" si="206"/>
        <v>0.26415</v>
      </c>
      <c r="AE34" s="232">
        <f t="shared" ca="1" si="14"/>
        <v>0.39622499999999999</v>
      </c>
      <c r="AF34" s="231">
        <f t="shared" ca="1" si="186"/>
        <v>3.9199999999999999E-2</v>
      </c>
      <c r="AG34" s="231">
        <f t="shared" ca="1" si="187"/>
        <v>7.8399999999999997E-2</v>
      </c>
      <c r="AH34" s="232">
        <f t="shared" ca="1" si="188"/>
        <v>0.1176</v>
      </c>
      <c r="AI34" s="233">
        <f t="shared" ca="1" si="15"/>
        <v>1.1499999999999999</v>
      </c>
      <c r="AJ34" s="233">
        <f t="shared" ca="1" si="16"/>
        <v>1.5</v>
      </c>
      <c r="AK34" s="234">
        <f t="shared" ca="1" si="17"/>
        <v>1.8</v>
      </c>
      <c r="AL34" s="919">
        <f t="shared" ca="1" si="18"/>
        <v>1.1499999999999999</v>
      </c>
      <c r="AM34" s="233">
        <f t="shared" ca="1" si="19"/>
        <v>1.5</v>
      </c>
      <c r="AN34" s="234">
        <f t="shared" ca="1" si="20"/>
        <v>1.8</v>
      </c>
      <c r="AO34" s="233">
        <f t="shared" ca="1" si="21"/>
        <v>1.1499999999999999</v>
      </c>
      <c r="AP34" s="233">
        <f t="shared" ca="1" si="22"/>
        <v>1.5</v>
      </c>
      <c r="AQ34" s="233">
        <f t="shared" ca="1" si="23"/>
        <v>1.8</v>
      </c>
      <c r="AR34" s="919">
        <f t="shared" ca="1" si="24"/>
        <v>0.25</v>
      </c>
      <c r="AS34" s="233">
        <f t="shared" ca="1" si="25"/>
        <v>0.4</v>
      </c>
      <c r="AT34" s="235">
        <f t="shared" ca="1" si="26"/>
        <v>0.60000000000000009</v>
      </c>
      <c r="AU34" s="946">
        <f t="shared" si="27"/>
        <v>0.5</v>
      </c>
      <c r="AV34" s="13">
        <f t="shared" ca="1" si="28"/>
        <v>19</v>
      </c>
      <c r="AW34" s="210">
        <f t="shared" ca="1" si="29"/>
        <v>5</v>
      </c>
      <c r="AX34" s="210">
        <f t="shared" ca="1" si="30"/>
        <v>5</v>
      </c>
      <c r="AY34" s="210">
        <f t="shared" ca="1" si="31"/>
        <v>1</v>
      </c>
      <c r="AZ34" s="13">
        <f t="shared" ca="1" si="32"/>
        <v>30</v>
      </c>
      <c r="BA34" s="355">
        <f ca="1"/>
        <v>304</v>
      </c>
      <c r="BB34" s="363">
        <f ca="1"/>
        <v>80</v>
      </c>
      <c r="BC34" s="363">
        <f ca="1"/>
        <v>96</v>
      </c>
      <c r="BD34" s="927">
        <f ca="1"/>
        <v>240</v>
      </c>
      <c r="BE34" s="930">
        <f ca="1"/>
        <v>1.0000000074505806</v>
      </c>
      <c r="BF34" s="931">
        <f ca="1"/>
        <v>1.0000000074505806</v>
      </c>
      <c r="BG34" s="931">
        <f ca="1"/>
        <v>1.0000000074505806</v>
      </c>
      <c r="BH34" s="932">
        <f ca="1"/>
        <v>1.0000000149011612</v>
      </c>
      <c r="BI34" s="355">
        <f ca="1"/>
        <v>304</v>
      </c>
      <c r="BJ34" s="363">
        <f ca="1"/>
        <v>80</v>
      </c>
      <c r="BK34" s="363">
        <f ca="1"/>
        <v>96</v>
      </c>
      <c r="BL34" s="927">
        <f ca="1"/>
        <v>240</v>
      </c>
      <c r="BM34" s="930">
        <f ca="1"/>
        <v>1.0000000074505806</v>
      </c>
      <c r="BN34" s="931">
        <f ca="1"/>
        <v>1.0000000074505806</v>
      </c>
      <c r="BO34" s="931">
        <f ca="1"/>
        <v>1.0000000074505806</v>
      </c>
      <c r="BP34" s="932">
        <f ca="1"/>
        <v>1.0000000149011612</v>
      </c>
      <c r="BQ34" s="355">
        <f t="shared" ca="1" si="33"/>
        <v>720</v>
      </c>
      <c r="BR34" s="360">
        <f t="shared" ca="1" si="34"/>
        <v>720</v>
      </c>
      <c r="BS34" s="357">
        <f t="shared" ca="1" si="35"/>
        <v>644.10007391963416</v>
      </c>
      <c r="BT34" s="302">
        <f t="shared" ca="1" si="36"/>
        <v>25.696666177892016</v>
      </c>
      <c r="BU34" s="299">
        <f t="shared" ca="1" si="37"/>
        <v>26.500555073639575</v>
      </c>
      <c r="BV34" s="299">
        <f t="shared" ca="1" si="38"/>
        <v>27.304443969387137</v>
      </c>
      <c r="BW34" s="299">
        <f t="shared" ca="1" si="39"/>
        <v>32.659889647739881</v>
      </c>
      <c r="BX34" s="380">
        <f t="shared" ca="1" si="40"/>
        <v>1.5003422313483916</v>
      </c>
      <c r="BY34" s="363">
        <f t="shared" ca="1" si="41"/>
        <v>271.95336454384551</v>
      </c>
      <c r="BZ34" s="353">
        <f t="shared" ca="1" si="42"/>
        <v>71.566674879959351</v>
      </c>
      <c r="CA34" s="353">
        <f t="shared" ca="1" si="43"/>
        <v>85.880009855951215</v>
      </c>
      <c r="CB34" s="353">
        <f t="shared" ca="1" si="44"/>
        <v>429.4000492797561</v>
      </c>
      <c r="CC34" s="353">
        <f t="shared" ca="1" si="45"/>
        <v>214.70002463987805</v>
      </c>
      <c r="CD34" s="353">
        <f t="shared" ca="1" si="46"/>
        <v>644.10007391963416</v>
      </c>
      <c r="CE34" s="302">
        <f t="shared" ca="1" si="47"/>
        <v>34.200000254809858</v>
      </c>
      <c r="CF34" s="299">
        <f t="shared" ca="1" si="48"/>
        <v>23.529999336078756</v>
      </c>
      <c r="CG34" s="299">
        <f t="shared" ca="1" si="49"/>
        <v>26.000000193715096</v>
      </c>
      <c r="CH34" s="299">
        <f t="shared" ca="1" si="50"/>
        <v>30.781666756135721</v>
      </c>
      <c r="CI34" s="299">
        <f t="shared" ca="1" si="51"/>
        <v>20.349998395889969</v>
      </c>
      <c r="CJ34" s="299">
        <f t="shared" ca="1" si="52"/>
        <v>27.304443969387137</v>
      </c>
      <c r="CK34" s="299">
        <f t="shared" ca="1" si="53"/>
        <v>32.659889647739881</v>
      </c>
      <c r="CL34" s="377">
        <f t="shared" ca="1" si="54"/>
        <v>0.39622499999999999</v>
      </c>
      <c r="CM34" s="305">
        <f t="shared" ca="1" si="55"/>
        <v>0.39622499999999999</v>
      </c>
      <c r="CN34" s="305">
        <f t="shared" ca="1" si="56"/>
        <v>0.39622499999999999</v>
      </c>
      <c r="CO34" s="305">
        <f t="shared" ca="1" si="57"/>
        <v>0.39622500000000005</v>
      </c>
      <c r="CP34" s="305">
        <f t="shared" ca="1" si="58"/>
        <v>0.1176</v>
      </c>
      <c r="CQ34" s="305">
        <f t="shared" ca="1" si="59"/>
        <v>0.31868963948541618</v>
      </c>
      <c r="CR34" s="775">
        <f t="shared" ca="1" si="60"/>
        <v>0.398725</v>
      </c>
      <c r="CS34" s="305">
        <f t="shared" ca="1" si="61"/>
        <v>0.44622499999999998</v>
      </c>
      <c r="CT34" s="305">
        <f t="shared" ca="1" si="62"/>
        <v>0.42122500000000002</v>
      </c>
      <c r="CU34" s="305">
        <f t="shared" ca="1" si="63"/>
        <v>0.17759999999999998</v>
      </c>
      <c r="CV34" s="770">
        <f t="shared" ca="1" si="64"/>
        <v>0.33618963948541619</v>
      </c>
      <c r="CW34" s="302">
        <f t="shared" ca="1" si="65"/>
        <v>7.2475036979499343</v>
      </c>
      <c r="CX34" s="299">
        <f t="shared" ca="1" si="66"/>
        <v>2.5054975476391848</v>
      </c>
      <c r="CY34" s="299">
        <f t="shared" ca="1" si="67"/>
        <v>3.1991824993969642</v>
      </c>
      <c r="CZ34" s="299">
        <f t="shared" ca="1" si="68"/>
        <v>2.9311464651788188E-2</v>
      </c>
      <c r="DA34" s="774">
        <f t="shared" ca="1" si="69"/>
        <v>2.6607554960188633</v>
      </c>
      <c r="DB34" s="303">
        <f t="shared" ca="1" si="70"/>
        <v>1713.7928116678227</v>
      </c>
      <c r="DC34" s="248">
        <f t="shared" ca="1" si="71"/>
        <v>263.71034186411549</v>
      </c>
      <c r="DD34" s="778">
        <f t="shared" ca="1" si="72"/>
        <v>0</v>
      </c>
      <c r="DE34" s="363">
        <f t="shared" ca="1" si="73"/>
        <v>0.89458343599949186</v>
      </c>
      <c r="DF34" s="378">
        <f t="shared" ca="1" si="74"/>
        <v>-0.14984984424067629</v>
      </c>
      <c r="DG34" s="508">
        <f t="shared" ca="1" si="75"/>
        <v>-0.87315361389315249</v>
      </c>
      <c r="DH34" s="508">
        <f t="shared" ca="1" si="76"/>
        <v>-0.69997673264907412</v>
      </c>
      <c r="DI34" s="508">
        <f t="shared" ca="1" si="77"/>
        <v>-2.2833949246955423</v>
      </c>
      <c r="DJ34" s="508">
        <f t="shared" ca="1" si="78"/>
        <v>-0.64081919505441887</v>
      </c>
      <c r="DK34" s="353">
        <f t="shared" ca="1" si="79"/>
        <v>-167.99419097585326</v>
      </c>
      <c r="DL34" s="781">
        <f t="shared" ca="1" si="80"/>
        <v>15.55958620983349</v>
      </c>
      <c r="DM34" s="303">
        <f t="shared" ca="1" si="81"/>
        <v>7236.2695368947261</v>
      </c>
      <c r="DN34" s="508">
        <f t="shared" ca="1" si="82"/>
        <v>0.65000299898392511</v>
      </c>
      <c r="DO34" s="508">
        <f t="shared" ca="1" si="83"/>
        <v>0.34467882219171697</v>
      </c>
      <c r="DP34" s="508">
        <f t="shared" ca="1" si="84"/>
        <v>0.42618066792730452</v>
      </c>
      <c r="DQ34" s="508">
        <f t="shared" ca="1" si="85"/>
        <v>0.22612898903853815</v>
      </c>
      <c r="DR34" s="508">
        <f t="shared" ca="1" si="86"/>
        <v>0.46615000288564218</v>
      </c>
      <c r="DS34" s="353">
        <f t="shared" ca="1" si="87"/>
        <v>7709.1574059221821</v>
      </c>
      <c r="DT34" s="353">
        <f t="shared" ca="1" si="88"/>
        <v>-2726.4390561135897</v>
      </c>
      <c r="DU34" s="380">
        <f t="shared" ca="1" si="189"/>
        <v>1.5003422313483916</v>
      </c>
      <c r="DV34" s="303">
        <f t="shared" ca="1" si="89"/>
        <v>271.95336454384551</v>
      </c>
      <c r="DW34" s="303">
        <f t="shared" ca="1" si="90"/>
        <v>71.566674879959351</v>
      </c>
      <c r="DX34" s="303">
        <f t="shared" ca="1" si="91"/>
        <v>85.880009855951215</v>
      </c>
      <c r="DY34" s="303">
        <f t="shared" ca="1" si="92"/>
        <v>429.4000492797561</v>
      </c>
      <c r="DZ34" s="303">
        <f t="shared" ca="1" si="93"/>
        <v>214.70002463987805</v>
      </c>
      <c r="EA34" s="303">
        <f t="shared" ca="1" si="94"/>
        <v>644.10007391963416</v>
      </c>
      <c r="EB34" s="302">
        <f t="shared" ca="1" si="95"/>
        <v>34.200000254809858</v>
      </c>
      <c r="EC34" s="299">
        <f t="shared" ca="1" si="96"/>
        <v>23.529999336078756</v>
      </c>
      <c r="ED34" s="299">
        <f t="shared" ca="1" si="97"/>
        <v>26.000000193715096</v>
      </c>
      <c r="EE34" s="299">
        <f t="shared" ca="1" si="98"/>
        <v>30.781666756135721</v>
      </c>
      <c r="EF34" s="299">
        <f t="shared" ca="1" si="99"/>
        <v>20.349998395889969</v>
      </c>
      <c r="EG34" s="299">
        <f t="shared" ca="1" si="100"/>
        <v>27.304443969387137</v>
      </c>
      <c r="EH34" s="302">
        <f t="shared" ca="1" si="101"/>
        <v>30</v>
      </c>
      <c r="EI34" s="304">
        <f t="shared" ca="1" si="102"/>
        <v>0.132075</v>
      </c>
      <c r="EJ34" s="305">
        <f t="shared" ca="1" si="103"/>
        <v>0.132075</v>
      </c>
      <c r="EK34" s="305">
        <f t="shared" ca="1" si="104"/>
        <v>0.132075</v>
      </c>
      <c r="EL34" s="305">
        <f t="shared" ca="1" si="105"/>
        <v>0.13207500000000005</v>
      </c>
      <c r="EM34" s="305">
        <f t="shared" ca="1" si="106"/>
        <v>3.9199999999999999E-2</v>
      </c>
      <c r="EN34" s="305">
        <f t="shared" ca="1" si="107"/>
        <v>0.10467193484155635</v>
      </c>
      <c r="EO34" s="305">
        <f t="shared" ca="1" si="108"/>
        <v>0.132075</v>
      </c>
      <c r="EP34" s="305">
        <f t="shared" ca="1" si="109"/>
        <v>0.132075</v>
      </c>
      <c r="EQ34" s="305">
        <f t="shared" ca="1" si="110"/>
        <v>0.132075</v>
      </c>
      <c r="ER34" s="305">
        <f t="shared" ca="1" si="111"/>
        <v>3.9199999999999999E-2</v>
      </c>
      <c r="ES34" s="305">
        <f t="shared" ca="1" si="112"/>
        <v>0.10467193484155635</v>
      </c>
      <c r="ET34" s="299">
        <f t="shared" ca="1" si="113"/>
        <v>3.1894620696341107</v>
      </c>
      <c r="EU34" s="302">
        <f t="shared" ca="1" si="114"/>
        <v>30</v>
      </c>
      <c r="EV34" s="304">
        <f t="shared" ca="1" si="115"/>
        <v>0.39622499999999999</v>
      </c>
      <c r="EW34" s="305">
        <f t="shared" ca="1" si="116"/>
        <v>0.39622499999999999</v>
      </c>
      <c r="EX34" s="305">
        <f t="shared" ca="1" si="117"/>
        <v>0.39622499999999999</v>
      </c>
      <c r="EY34" s="305">
        <f t="shared" ca="1" si="118"/>
        <v>0.39622500000000005</v>
      </c>
      <c r="EZ34" s="305">
        <f t="shared" ca="1" si="119"/>
        <v>0.1176</v>
      </c>
      <c r="FA34" s="305">
        <f t="shared" ca="1" si="120"/>
        <v>0.31868963948541618</v>
      </c>
      <c r="FB34" s="305">
        <f t="shared" ca="1" si="121"/>
        <v>0.39622499999999999</v>
      </c>
      <c r="FC34" s="305">
        <f t="shared" ca="1" si="122"/>
        <v>0.39622499999999999</v>
      </c>
      <c r="FD34" s="305">
        <f t="shared" ca="1" si="123"/>
        <v>0.39622499999999999</v>
      </c>
      <c r="FE34" s="305">
        <f t="shared" ca="1" si="124"/>
        <v>0.1176</v>
      </c>
      <c r="FF34" s="305">
        <f t="shared" ca="1" si="125"/>
        <v>0.31868963948541618</v>
      </c>
      <c r="FG34" s="299">
        <f t="shared" ca="1" si="126"/>
        <v>3.2126675994010458</v>
      </c>
      <c r="FH34" s="302">
        <f t="shared" ca="1" si="127"/>
        <v>-2.3205529766935129E-2</v>
      </c>
      <c r="FI34" s="248">
        <f t="shared" ca="1" si="128"/>
        <v>-14.946683438227188</v>
      </c>
      <c r="FJ34" s="363">
        <f t="shared" ca="1" si="129"/>
        <v>0.89458343599949186</v>
      </c>
      <c r="FK34" s="378">
        <f t="shared" ca="1" si="130"/>
        <v>0.72904491945376748</v>
      </c>
      <c r="FL34" s="508">
        <f t="shared" ca="1" si="131"/>
        <v>-1.5824723576579411</v>
      </c>
      <c r="FM34" s="508">
        <f t="shared" ca="1" si="132"/>
        <v>-0.96544645910776905</v>
      </c>
      <c r="FN34" s="508">
        <f t="shared" ca="1" si="133"/>
        <v>-8.1071631090409539</v>
      </c>
      <c r="FO34" s="508">
        <f t="shared" ca="1" si="134"/>
        <v>-0.79842536288491361</v>
      </c>
      <c r="FP34" s="353">
        <f t="shared" ca="1" si="135"/>
        <v>507.35004078549457</v>
      </c>
      <c r="FQ34" s="356">
        <f t="shared" ca="1" si="136"/>
        <v>48.572363539016663</v>
      </c>
      <c r="FR34" s="380">
        <f t="shared" ca="1" si="137"/>
        <v>21.44</v>
      </c>
      <c r="FS34" s="299">
        <f t="shared" ca="1" si="138"/>
        <v>21.44</v>
      </c>
      <c r="FT34" s="299">
        <f t="shared" ca="1" si="139"/>
        <v>21.44</v>
      </c>
      <c r="FU34" s="299">
        <f t="shared" ca="1" si="140"/>
        <v>21.44</v>
      </c>
      <c r="FV34" s="299">
        <f t="shared" ca="1" si="141"/>
        <v>21.44</v>
      </c>
      <c r="FW34" s="850">
        <f t="shared" ca="1" si="142"/>
        <v>0.245</v>
      </c>
      <c r="FX34" s="851">
        <f t="shared" ca="1" si="143"/>
        <v>0.5</v>
      </c>
      <c r="FY34" s="851">
        <f t="shared" ca="1" si="144"/>
        <v>0</v>
      </c>
      <c r="FZ34" s="201">
        <f t="shared" ca="1" si="145"/>
        <v>0</v>
      </c>
      <c r="GA34" s="201">
        <f t="shared" ca="1" si="146"/>
        <v>0</v>
      </c>
      <c r="GB34" s="201">
        <f t="shared" ca="1" si="147"/>
        <v>0</v>
      </c>
      <c r="GC34" s="201">
        <f t="shared" ca="1" si="148"/>
        <v>0</v>
      </c>
      <c r="GD34" s="850">
        <f t="shared" ca="1" si="149"/>
        <v>0.41122500000000001</v>
      </c>
      <c r="GE34" s="866">
        <f t="shared" ca="1" si="150"/>
        <v>0.401225</v>
      </c>
      <c r="GF34" s="866">
        <f t="shared" ca="1" si="151"/>
        <v>0.41122500000000001</v>
      </c>
      <c r="GG34" s="866">
        <f t="shared" ca="1" si="152"/>
        <v>0.1176</v>
      </c>
      <c r="GH34" s="866">
        <f t="shared" ca="1" si="153"/>
        <v>0.33368963948541619</v>
      </c>
      <c r="GI34" s="302">
        <f t="shared" ca="1" si="154"/>
        <v>13.621699373788227</v>
      </c>
      <c r="GJ34" s="299">
        <f t="shared" ca="1" si="155"/>
        <v>4.952496701583077</v>
      </c>
      <c r="GK34" s="299">
        <f t="shared" ca="1" si="156"/>
        <v>6.7836909387182462</v>
      </c>
      <c r="GL34" s="299">
        <f t="shared" ca="1" si="157"/>
        <v>1.6590443771542234</v>
      </c>
      <c r="GM34" s="299">
        <f t="shared" ca="1" si="158"/>
        <v>7.2089876836742715</v>
      </c>
      <c r="GN34" s="302">
        <f t="shared" ca="1" si="159"/>
        <v>0.90033082884493509</v>
      </c>
      <c r="GO34" s="299">
        <f t="shared" ca="1" si="160"/>
        <v>0.66688382462870299</v>
      </c>
      <c r="GP34" s="299">
        <f t="shared" ca="1" si="161"/>
        <v>0.74499682029277869</v>
      </c>
      <c r="GQ34" s="299">
        <f t="shared" ca="1" si="162"/>
        <v>0.47180530054447389</v>
      </c>
      <c r="GR34" s="299">
        <f t="shared" ca="1" si="163"/>
        <v>0.80031191613440678</v>
      </c>
      <c r="GS34" s="302">
        <f t="shared" ca="1" si="164"/>
        <v>-0.80082178813576821</v>
      </c>
      <c r="GT34" s="299">
        <f t="shared" ca="1" si="165"/>
        <v>-0.50089932787750624</v>
      </c>
      <c r="GU34" s="299">
        <f t="shared" ca="1" si="166"/>
        <v>-0.58704435160939183</v>
      </c>
      <c r="GV34" s="299">
        <f t="shared" ca="1" si="167"/>
        <v>-0.37043804997177354</v>
      </c>
      <c r="GW34" s="299">
        <f t="shared" ca="1" si="168"/>
        <v>-0.68297950301118926</v>
      </c>
      <c r="GX34" s="303">
        <f t="shared" ca="1" si="169"/>
        <v>3704.4669755065015</v>
      </c>
      <c r="GY34" s="303">
        <f t="shared" ca="1" si="170"/>
        <v>354.43372128626714</v>
      </c>
      <c r="GZ34" s="303">
        <f t="shared" ca="1" si="171"/>
        <v>582.58344467684992</v>
      </c>
      <c r="HA34" s="303">
        <f t="shared" ca="1" si="172"/>
        <v>356.19686865366288</v>
      </c>
      <c r="HB34" s="303">
        <f t="shared" ca="1" si="173"/>
        <v>4643.3094999403302</v>
      </c>
      <c r="HC34" s="303">
        <f t="shared" ca="1" si="174"/>
        <v>3470.1250008758666</v>
      </c>
      <c r="HD34" s="303">
        <f t="shared" ca="1" si="175"/>
        <v>149.57430298447915</v>
      </c>
      <c r="HE34" s="303">
        <f t="shared" ca="1" si="176"/>
        <v>391.61286157939173</v>
      </c>
      <c r="HF34" s="303">
        <f t="shared" ca="1" si="177"/>
        <v>0</v>
      </c>
      <c r="HG34" s="852">
        <f t="shared" ca="1" si="178"/>
        <v>3777.2887941798067</v>
      </c>
      <c r="HH34" s="13"/>
      <c r="IG34" s="13"/>
      <c r="IH34" s="13"/>
      <c r="II34" s="13"/>
      <c r="IJ34" s="13"/>
      <c r="IK34" s="13"/>
      <c r="IL34" s="13"/>
      <c r="IM34" s="13"/>
      <c r="IN34" s="13"/>
      <c r="IO34" s="13"/>
      <c r="IP34" s="13"/>
      <c r="IQ34" s="13"/>
      <c r="IR34" s="13"/>
      <c r="IS34" s="13"/>
      <c r="IT34" s="13"/>
      <c r="IU34" s="13"/>
      <c r="IV34" s="13"/>
    </row>
    <row r="35" spans="1:256" x14ac:dyDescent="0.25">
      <c r="A35" s="244">
        <f t="shared" ca="1" si="179"/>
        <v>37165</v>
      </c>
      <c r="B35" s="13">
        <f t="shared" ca="1" si="3"/>
        <v>2001</v>
      </c>
      <c r="C35" s="619">
        <f t="shared" ca="1" si="180"/>
        <v>10</v>
      </c>
      <c r="D35" s="195" t="str">
        <f t="shared" ca="1" si="4"/>
        <v/>
      </c>
      <c r="E35" s="469">
        <f t="shared" ca="1" si="5"/>
        <v>37165</v>
      </c>
      <c r="F35" s="465">
        <f t="shared" ca="1" si="6"/>
        <v>37195</v>
      </c>
      <c r="G35" s="521">
        <f t="shared" ca="1" si="181"/>
        <v>1</v>
      </c>
      <c r="H35" s="518">
        <f t="shared" ca="1" si="182"/>
        <v>1</v>
      </c>
      <c r="I35" s="724">
        <f t="shared" ca="1" si="7"/>
        <v>6.9584614191969998E-2</v>
      </c>
      <c r="J35" s="198">
        <f t="shared" ca="1" si="8"/>
        <v>0.88904496730260629</v>
      </c>
      <c r="K35" s="200">
        <f t="shared" ca="1" si="190"/>
        <v>30.7</v>
      </c>
      <c r="L35" s="201">
        <f t="shared" ca="1" si="191"/>
        <v>31.25</v>
      </c>
      <c r="M35" s="206">
        <f t="shared" ca="1" si="192"/>
        <v>31.8</v>
      </c>
      <c r="N35" s="851">
        <f t="shared" ca="1" si="196"/>
        <v>22.688000106811522</v>
      </c>
      <c r="O35" s="201">
        <f t="shared" ca="1" si="197"/>
        <v>23.100500106811523</v>
      </c>
      <c r="P35" s="206">
        <f t="shared" ca="1" si="198"/>
        <v>23.513000106811525</v>
      </c>
      <c r="Q35" s="201">
        <f t="shared" ca="1" si="199"/>
        <v>18.60099983215332</v>
      </c>
      <c r="R35" s="201">
        <f t="shared" ca="1" si="200"/>
        <v>21.10099983215332</v>
      </c>
      <c r="S35" s="201">
        <f t="shared" ca="1" si="201"/>
        <v>23.60099983215332</v>
      </c>
      <c r="T35" s="851">
        <f t="shared" ca="1" si="193"/>
        <v>19.424998855590822</v>
      </c>
      <c r="U35" s="201">
        <f t="shared" ca="1" si="194"/>
        <v>19.69999885559082</v>
      </c>
      <c r="V35" s="206">
        <f t="shared" ca="1" si="195"/>
        <v>19.974998855590819</v>
      </c>
      <c r="W35" s="230">
        <f t="shared" ca="1" si="183"/>
        <v>0.12015000000000001</v>
      </c>
      <c r="X35" s="231">
        <f t="shared" ca="1" si="184"/>
        <v>0.24030000000000001</v>
      </c>
      <c r="Y35" s="232">
        <f t="shared" ca="1" si="185"/>
        <v>0.36045000000000005</v>
      </c>
      <c r="Z35" s="231">
        <f t="shared" ca="1" si="202"/>
        <v>0.12015000000000001</v>
      </c>
      <c r="AA35" s="231">
        <f t="shared" ca="1" si="203"/>
        <v>0.24030000000000001</v>
      </c>
      <c r="AB35" s="232">
        <f t="shared" ca="1" si="204"/>
        <v>0.36045000000000005</v>
      </c>
      <c r="AC35" s="231">
        <f t="shared" ca="1" si="205"/>
        <v>0.12015000000000001</v>
      </c>
      <c r="AD35" s="231">
        <f t="shared" ca="1" si="206"/>
        <v>0.24030000000000001</v>
      </c>
      <c r="AE35" s="232">
        <f t="shared" ca="1" si="14"/>
        <v>0.36045000000000005</v>
      </c>
      <c r="AF35" s="231">
        <f t="shared" ca="1" si="186"/>
        <v>2.9399999999999999E-2</v>
      </c>
      <c r="AG35" s="231">
        <f t="shared" ca="1" si="187"/>
        <v>5.8799999999999998E-2</v>
      </c>
      <c r="AH35" s="232">
        <f t="shared" ca="1" si="188"/>
        <v>8.8200000000000001E-2</v>
      </c>
      <c r="AI35" s="233">
        <f t="shared" ca="1" si="15"/>
        <v>0.85000000000000009</v>
      </c>
      <c r="AJ35" s="233">
        <f t="shared" ca="1" si="16"/>
        <v>1.1000000000000001</v>
      </c>
      <c r="AK35" s="234">
        <f t="shared" ca="1" si="17"/>
        <v>1.4000000000000001</v>
      </c>
      <c r="AL35" s="919">
        <f t="shared" ca="1" si="18"/>
        <v>0.85000000000000009</v>
      </c>
      <c r="AM35" s="233">
        <f t="shared" ca="1" si="19"/>
        <v>1.1000000000000001</v>
      </c>
      <c r="AN35" s="234">
        <f t="shared" ca="1" si="20"/>
        <v>1.4000000000000001</v>
      </c>
      <c r="AO35" s="233">
        <f t="shared" ca="1" si="21"/>
        <v>0.85000000000000009</v>
      </c>
      <c r="AP35" s="233">
        <f t="shared" ca="1" si="22"/>
        <v>1.1000000000000001</v>
      </c>
      <c r="AQ35" s="233">
        <f t="shared" ca="1" si="23"/>
        <v>1.4000000000000001</v>
      </c>
      <c r="AR35" s="919">
        <f t="shared" ca="1" si="24"/>
        <v>0.19999999999999998</v>
      </c>
      <c r="AS35" s="233">
        <f t="shared" ca="1" si="25"/>
        <v>0.35</v>
      </c>
      <c r="AT35" s="235">
        <f t="shared" ca="1" si="26"/>
        <v>0.55000000000000004</v>
      </c>
      <c r="AU35" s="946">
        <f t="shared" si="27"/>
        <v>0.5</v>
      </c>
      <c r="AV35" s="13">
        <f t="shared" ca="1" si="28"/>
        <v>23</v>
      </c>
      <c r="AW35" s="210">
        <f t="shared" ca="1" si="29"/>
        <v>4</v>
      </c>
      <c r="AX35" s="210">
        <f t="shared" ca="1" si="30"/>
        <v>4</v>
      </c>
      <c r="AY35" s="210">
        <f t="shared" ca="1" si="31"/>
        <v>0</v>
      </c>
      <c r="AZ35" s="13">
        <f t="shared" ca="1" si="32"/>
        <v>31</v>
      </c>
      <c r="BA35" s="355">
        <f ca="1"/>
        <v>368</v>
      </c>
      <c r="BB35" s="363">
        <f ca="1"/>
        <v>64</v>
      </c>
      <c r="BC35" s="363">
        <f ca="1"/>
        <v>64</v>
      </c>
      <c r="BD35" s="927">
        <f ca="1"/>
        <v>248</v>
      </c>
      <c r="BE35" s="930">
        <f ca="1"/>
        <v>1.0000187270343304</v>
      </c>
      <c r="BF35" s="931">
        <f ca="1"/>
        <v>1.0000187270343304</v>
      </c>
      <c r="BG35" s="931">
        <f ca="1"/>
        <v>1.0000187270343304</v>
      </c>
      <c r="BH35" s="932">
        <f ca="1"/>
        <v>1.0000000074505806</v>
      </c>
      <c r="BI35" s="355">
        <f ca="1"/>
        <v>368</v>
      </c>
      <c r="BJ35" s="363">
        <f ca="1"/>
        <v>64</v>
      </c>
      <c r="BK35" s="363">
        <f ca="1"/>
        <v>64</v>
      </c>
      <c r="BL35" s="927">
        <f ca="1"/>
        <v>248</v>
      </c>
      <c r="BM35" s="930">
        <f ca="1"/>
        <v>1.0000187270343304</v>
      </c>
      <c r="BN35" s="931">
        <f ca="1"/>
        <v>1.0000187270343304</v>
      </c>
      <c r="BO35" s="931">
        <f ca="1"/>
        <v>1.0000187270343304</v>
      </c>
      <c r="BP35" s="932">
        <f ca="1"/>
        <v>1.0000000074505806</v>
      </c>
      <c r="BQ35" s="355">
        <f t="shared" ca="1" si="33"/>
        <v>744</v>
      </c>
      <c r="BR35" s="360">
        <f t="shared" ca="1" si="34"/>
        <v>744</v>
      </c>
      <c r="BS35" s="357">
        <f t="shared" ca="1" si="35"/>
        <v>661.44945567313903</v>
      </c>
      <c r="BT35" s="302">
        <f t="shared" ca="1" si="36"/>
        <v>25.212038716167989</v>
      </c>
      <c r="BU35" s="299">
        <f t="shared" ca="1" si="37"/>
        <v>25.826295815064597</v>
      </c>
      <c r="BV35" s="299">
        <f t="shared" ca="1" si="38"/>
        <v>26.440552913961213</v>
      </c>
      <c r="BW35" s="299">
        <f t="shared" ca="1" si="39"/>
        <v>32.659889647739881</v>
      </c>
      <c r="BX35" s="380">
        <f t="shared" ca="1" si="40"/>
        <v>1.5824777549623545</v>
      </c>
      <c r="BY35" s="363">
        <f t="shared" ca="1" si="41"/>
        <v>327.16854796735913</v>
      </c>
      <c r="BZ35" s="353">
        <f t="shared" ca="1" si="42"/>
        <v>56.898877907366803</v>
      </c>
      <c r="CA35" s="353">
        <f t="shared" ca="1" si="43"/>
        <v>56.898877907366803</v>
      </c>
      <c r="CB35" s="353">
        <f t="shared" ca="1" si="44"/>
        <v>440.96630378209272</v>
      </c>
      <c r="CC35" s="353">
        <f t="shared" ca="1" si="45"/>
        <v>220.48315189104636</v>
      </c>
      <c r="CD35" s="353">
        <f t="shared" ca="1" si="46"/>
        <v>661.44945567313903</v>
      </c>
      <c r="CE35" s="302">
        <f t="shared" ca="1" si="47"/>
        <v>31.800595519691708</v>
      </c>
      <c r="CF35" s="299">
        <f t="shared" ca="1" si="48"/>
        <v>23.513440435571734</v>
      </c>
      <c r="CG35" s="299">
        <f t="shared" ca="1" si="49"/>
        <v>23.601441808887408</v>
      </c>
      <c r="CH35" s="299">
        <f t="shared" ca="1" si="50"/>
        <v>29.673329868733735</v>
      </c>
      <c r="CI35" s="299">
        <f t="shared" ca="1" si="51"/>
        <v>19.974999004416158</v>
      </c>
      <c r="CJ35" s="299">
        <f t="shared" ca="1" si="52"/>
        <v>26.440552913961213</v>
      </c>
      <c r="CK35" s="299">
        <f t="shared" ca="1" si="53"/>
        <v>32.659889647739881</v>
      </c>
      <c r="CL35" s="377">
        <f t="shared" ca="1" si="54"/>
        <v>0.36045000000000005</v>
      </c>
      <c r="CM35" s="305">
        <f t="shared" ca="1" si="55"/>
        <v>0.36045000000000005</v>
      </c>
      <c r="CN35" s="305">
        <f t="shared" ca="1" si="56"/>
        <v>0.36045000000000005</v>
      </c>
      <c r="CO35" s="305">
        <f t="shared" ca="1" si="57"/>
        <v>0.3604500000000001</v>
      </c>
      <c r="CP35" s="305">
        <f t="shared" ca="1" si="58"/>
        <v>8.8200000000000001E-2</v>
      </c>
      <c r="CQ35" s="305">
        <f t="shared" ca="1" si="59"/>
        <v>0.28596956526471368</v>
      </c>
      <c r="CR35" s="775">
        <f t="shared" ca="1" si="60"/>
        <v>0.36045000000000005</v>
      </c>
      <c r="CS35" s="305">
        <f t="shared" ca="1" si="61"/>
        <v>0.41045000000000004</v>
      </c>
      <c r="CT35" s="305">
        <f t="shared" ca="1" si="62"/>
        <v>0.41045000000000004</v>
      </c>
      <c r="CU35" s="305">
        <f t="shared" ca="1" si="63"/>
        <v>0.1482</v>
      </c>
      <c r="CV35" s="770">
        <f t="shared" ca="1" si="64"/>
        <v>0.3109695652647137</v>
      </c>
      <c r="CW35" s="302">
        <f t="shared" ca="1" si="65"/>
        <v>5.3608620512777581</v>
      </c>
      <c r="CX35" s="299">
        <f t="shared" ca="1" si="66"/>
        <v>2.2327875373096573</v>
      </c>
      <c r="CY35" s="299">
        <f t="shared" ca="1" si="67"/>
        <v>2.2639392549171609</v>
      </c>
      <c r="CZ35" s="299">
        <f t="shared" ca="1" si="68"/>
        <v>6.1631820377105045E-3</v>
      </c>
      <c r="DA35" s="774">
        <f t="shared" ca="1" si="69"/>
        <v>2.1138965030849102</v>
      </c>
      <c r="DB35" s="303">
        <f t="shared" ca="1" si="70"/>
        <v>1398.2356913148658</v>
      </c>
      <c r="DC35" s="248">
        <f t="shared" ca="1" si="71"/>
        <v>241.60393608434825</v>
      </c>
      <c r="DD35" s="778">
        <f t="shared" ca="1" si="72"/>
        <v>0</v>
      </c>
      <c r="DE35" s="363">
        <f t="shared" ca="1" si="73"/>
        <v>0.88904496730260629</v>
      </c>
      <c r="DF35" s="378">
        <f t="shared" ca="1" si="74"/>
        <v>-0.28551860972008558</v>
      </c>
      <c r="DG35" s="508">
        <f t="shared" ca="1" si="75"/>
        <v>-0.89453079286419812</v>
      </c>
      <c r="DH35" s="508">
        <f t="shared" ca="1" si="76"/>
        <v>-0.88729588885446464</v>
      </c>
      <c r="DI35" s="508">
        <f t="shared" ca="1" si="77"/>
        <v>-2.7304780178310648</v>
      </c>
      <c r="DJ35" s="508">
        <f t="shared" ca="1" si="78"/>
        <v>-0.73561163635171656</v>
      </c>
      <c r="DK35" s="353">
        <f t="shared" ca="1" si="79"/>
        <v>-152.78388770256086</v>
      </c>
      <c r="DL35" s="781">
        <f t="shared" ca="1" si="80"/>
        <v>15.7580262095717</v>
      </c>
      <c r="DM35" s="303">
        <f t="shared" ca="1" si="81"/>
        <v>7254.1355316722993</v>
      </c>
      <c r="DN35" s="508">
        <f t="shared" ca="1" si="82"/>
        <v>0.6077227561005295</v>
      </c>
      <c r="DO35" s="508">
        <f t="shared" ca="1" si="83"/>
        <v>0.36769791691517306</v>
      </c>
      <c r="DP35" s="508">
        <f t="shared" ca="1" si="84"/>
        <v>0.37066778025230185</v>
      </c>
      <c r="DQ35" s="508">
        <f t="shared" ca="1" si="85"/>
        <v>0.23803853329904306</v>
      </c>
      <c r="DR35" s="508">
        <f t="shared" ca="1" si="86"/>
        <v>0.46097428176427763</v>
      </c>
      <c r="DS35" s="353">
        <f t="shared" ca="1" si="87"/>
        <v>7892.2903169050469</v>
      </c>
      <c r="DT35" s="353">
        <f t="shared" ca="1" si="88"/>
        <v>-2899.4009882226042</v>
      </c>
      <c r="DU35" s="380">
        <f t="shared" ca="1" si="189"/>
        <v>1.5824777549623545</v>
      </c>
      <c r="DV35" s="303">
        <f t="shared" ca="1" si="89"/>
        <v>327.16854796735913</v>
      </c>
      <c r="DW35" s="303">
        <f t="shared" ca="1" si="90"/>
        <v>56.898877907366803</v>
      </c>
      <c r="DX35" s="303">
        <f t="shared" ca="1" si="91"/>
        <v>56.898877907366803</v>
      </c>
      <c r="DY35" s="303">
        <f t="shared" ca="1" si="92"/>
        <v>440.96630378209272</v>
      </c>
      <c r="DZ35" s="303">
        <f t="shared" ca="1" si="93"/>
        <v>220.48315189104636</v>
      </c>
      <c r="EA35" s="303">
        <f t="shared" ca="1" si="94"/>
        <v>661.44945567313903</v>
      </c>
      <c r="EB35" s="302">
        <f t="shared" ca="1" si="95"/>
        <v>31.800595519691708</v>
      </c>
      <c r="EC35" s="299">
        <f t="shared" ca="1" si="96"/>
        <v>23.513440435571734</v>
      </c>
      <c r="ED35" s="299">
        <f t="shared" ca="1" si="97"/>
        <v>23.601441808887408</v>
      </c>
      <c r="EE35" s="299">
        <f t="shared" ca="1" si="98"/>
        <v>29.673329868733735</v>
      </c>
      <c r="EF35" s="299">
        <f t="shared" ca="1" si="99"/>
        <v>19.974999004416158</v>
      </c>
      <c r="EG35" s="299">
        <f t="shared" ca="1" si="100"/>
        <v>26.440552913961213</v>
      </c>
      <c r="EH35" s="302">
        <f t="shared" ca="1" si="101"/>
        <v>30</v>
      </c>
      <c r="EI35" s="304">
        <f t="shared" ca="1" si="102"/>
        <v>0.12015000000000001</v>
      </c>
      <c r="EJ35" s="305">
        <f t="shared" ca="1" si="103"/>
        <v>0.12015000000000001</v>
      </c>
      <c r="EK35" s="305">
        <f t="shared" ca="1" si="104"/>
        <v>0.12015000000000001</v>
      </c>
      <c r="EL35" s="305">
        <f t="shared" ca="1" si="105"/>
        <v>0.12015000000000016</v>
      </c>
      <c r="EM35" s="305">
        <f t="shared" ca="1" si="106"/>
        <v>2.9399999999999999E-2</v>
      </c>
      <c r="EN35" s="305">
        <f t="shared" ca="1" si="107"/>
        <v>9.3984791602426718E-2</v>
      </c>
      <c r="EO35" s="305">
        <f t="shared" ca="1" si="108"/>
        <v>0.12015000000000001</v>
      </c>
      <c r="EP35" s="305">
        <f t="shared" ca="1" si="109"/>
        <v>0.12015000000000001</v>
      </c>
      <c r="EQ35" s="305">
        <f t="shared" ca="1" si="110"/>
        <v>0.12015000000000001</v>
      </c>
      <c r="ER35" s="305">
        <f t="shared" ca="1" si="111"/>
        <v>2.9399999999999999E-2</v>
      </c>
      <c r="ES35" s="305">
        <f t="shared" ca="1" si="112"/>
        <v>9.3984791602426718E-2</v>
      </c>
      <c r="ET35" s="299">
        <f t="shared" ca="1" si="113"/>
        <v>3.8023753524135486</v>
      </c>
      <c r="EU35" s="302">
        <f t="shared" ca="1" si="114"/>
        <v>30</v>
      </c>
      <c r="EV35" s="304">
        <f t="shared" ca="1" si="115"/>
        <v>0.36045000000000005</v>
      </c>
      <c r="EW35" s="305">
        <f t="shared" ca="1" si="116"/>
        <v>0.36045000000000005</v>
      </c>
      <c r="EX35" s="305">
        <f t="shared" ca="1" si="117"/>
        <v>0.36045000000000005</v>
      </c>
      <c r="EY35" s="305">
        <f t="shared" ca="1" si="118"/>
        <v>0.3604500000000001</v>
      </c>
      <c r="EZ35" s="305">
        <f t="shared" ca="1" si="119"/>
        <v>8.8200000000000001E-2</v>
      </c>
      <c r="FA35" s="305">
        <f t="shared" ca="1" si="120"/>
        <v>0.28596956526471368</v>
      </c>
      <c r="FB35" s="305">
        <f t="shared" ca="1" si="121"/>
        <v>0.36045000000000005</v>
      </c>
      <c r="FC35" s="305">
        <f t="shared" ca="1" si="122"/>
        <v>0.36045000000000005</v>
      </c>
      <c r="FD35" s="305">
        <f t="shared" ca="1" si="123"/>
        <v>0.36045000000000005</v>
      </c>
      <c r="FE35" s="305">
        <f t="shared" ca="1" si="124"/>
        <v>8.8200000000000001E-2</v>
      </c>
      <c r="FF35" s="305">
        <f t="shared" ca="1" si="125"/>
        <v>0.28596956526471368</v>
      </c>
      <c r="FG35" s="299">
        <f t="shared" ca="1" si="126"/>
        <v>2.4912926702823661</v>
      </c>
      <c r="FH35" s="302">
        <f t="shared" ca="1" si="127"/>
        <v>1.3110826821311825</v>
      </c>
      <c r="FI35" s="248">
        <f t="shared" ca="1" si="128"/>
        <v>867.21492643814986</v>
      </c>
      <c r="FJ35" s="363">
        <f t="shared" ca="1" si="129"/>
        <v>0.88904496730260629</v>
      </c>
      <c r="FK35" s="378">
        <f t="shared" ca="1" si="130"/>
        <v>0.31006928810232592</v>
      </c>
      <c r="FL35" s="508">
        <f t="shared" ca="1" si="131"/>
        <v>-1.6874407968035237</v>
      </c>
      <c r="FM35" s="508">
        <f t="shared" ca="1" si="132"/>
        <v>-1.6627253049117632</v>
      </c>
      <c r="FN35" s="508">
        <f t="shared" ca="1" si="133"/>
        <v>-11.015513139911292</v>
      </c>
      <c r="FO35" s="508">
        <f t="shared" ca="1" si="134"/>
        <v>-1.127361739247676</v>
      </c>
      <c r="FP35" s="353">
        <f t="shared" ca="1" si="135"/>
        <v>575.59673449444597</v>
      </c>
      <c r="FQ35" s="356">
        <f t="shared" ca="1" si="136"/>
        <v>39.407345231675755</v>
      </c>
      <c r="FR35" s="380">
        <f t="shared" ca="1" si="137"/>
        <v>21.728000000000002</v>
      </c>
      <c r="FS35" s="299">
        <f t="shared" ca="1" si="138"/>
        <v>21.728000000000002</v>
      </c>
      <c r="FT35" s="299">
        <f t="shared" ca="1" si="139"/>
        <v>21.728000000000002</v>
      </c>
      <c r="FU35" s="299">
        <f t="shared" ca="1" si="140"/>
        <v>21.728000000000002</v>
      </c>
      <c r="FV35" s="299">
        <f t="shared" ca="1" si="141"/>
        <v>21.728000000000005</v>
      </c>
      <c r="FW35" s="850">
        <f t="shared" ca="1" si="142"/>
        <v>0.2475</v>
      </c>
      <c r="FX35" s="851">
        <f t="shared" ca="1" si="143"/>
        <v>0.5</v>
      </c>
      <c r="FY35" s="851">
        <f t="shared" ca="1" si="144"/>
        <v>0</v>
      </c>
      <c r="FZ35" s="201">
        <f t="shared" ca="1" si="145"/>
        <v>0</v>
      </c>
      <c r="GA35" s="201">
        <f t="shared" ca="1" si="146"/>
        <v>0</v>
      </c>
      <c r="GB35" s="201">
        <f t="shared" ca="1" si="147"/>
        <v>0</v>
      </c>
      <c r="GC35" s="201">
        <f t="shared" ca="1" si="148"/>
        <v>0</v>
      </c>
      <c r="GD35" s="850">
        <f t="shared" ca="1" si="149"/>
        <v>0.37545000000000006</v>
      </c>
      <c r="GE35" s="866">
        <f t="shared" ca="1" si="150"/>
        <v>0.36295000000000005</v>
      </c>
      <c r="GF35" s="866">
        <f t="shared" ca="1" si="151"/>
        <v>0.36295000000000005</v>
      </c>
      <c r="GG35" s="866">
        <f t="shared" ca="1" si="152"/>
        <v>8.8200000000000001E-2</v>
      </c>
      <c r="GH35" s="866">
        <f t="shared" ca="1" si="153"/>
        <v>0.30096956526471369</v>
      </c>
      <c r="GI35" s="302">
        <f t="shared" ca="1" si="154"/>
        <v>11.124869069367225</v>
      </c>
      <c r="GJ35" s="299">
        <f t="shared" ca="1" si="155"/>
        <v>4.5822323017555693</v>
      </c>
      <c r="GK35" s="299">
        <f t="shared" ca="1" si="156"/>
        <v>4.6399782685239011</v>
      </c>
      <c r="GL35" s="299">
        <f t="shared" ca="1" si="157"/>
        <v>1.4958170441793028</v>
      </c>
      <c r="GM35" s="299">
        <f t="shared" ca="1" si="158"/>
        <v>6.2065631714767111</v>
      </c>
      <c r="GN35" s="302">
        <f t="shared" ca="1" si="159"/>
        <v>0.86944842727013494</v>
      </c>
      <c r="GO35" s="299">
        <f t="shared" ca="1" si="160"/>
        <v>0.65449036793350368</v>
      </c>
      <c r="GP35" s="299">
        <f t="shared" ca="1" si="161"/>
        <v>0.65789241537990129</v>
      </c>
      <c r="GQ35" s="299">
        <f t="shared" ca="1" si="162"/>
        <v>0.43206618764469995</v>
      </c>
      <c r="GR35" s="299">
        <f t="shared" ca="1" si="163"/>
        <v>0.76913535270329247</v>
      </c>
      <c r="GS35" s="302">
        <f t="shared" ca="1" si="164"/>
        <v>-0.76049827340079945</v>
      </c>
      <c r="GT35" s="299">
        <f t="shared" ca="1" si="165"/>
        <v>-0.4973808227888154</v>
      </c>
      <c r="GU35" s="299">
        <f t="shared" ca="1" si="166"/>
        <v>-0.50106930830661922</v>
      </c>
      <c r="GV35" s="299">
        <f t="shared" ca="1" si="167"/>
        <v>-0.32836447129370716</v>
      </c>
      <c r="GW35" s="299">
        <f t="shared" ca="1" si="168"/>
        <v>-0.65030371072446713</v>
      </c>
      <c r="GX35" s="303">
        <f t="shared" ca="1" si="169"/>
        <v>3639.7072597518609</v>
      </c>
      <c r="GY35" s="303">
        <f t="shared" ca="1" si="170"/>
        <v>260.72387628078252</v>
      </c>
      <c r="GZ35" s="303">
        <f t="shared" ca="1" si="171"/>
        <v>264.00955699357667</v>
      </c>
      <c r="HA35" s="303">
        <f t="shared" ca="1" si="172"/>
        <v>329.80245655300121</v>
      </c>
      <c r="HB35" s="303">
        <f t="shared" ca="1" si="173"/>
        <v>4105.3278313742221</v>
      </c>
      <c r="HC35" s="303">
        <f t="shared" ca="1" si="174"/>
        <v>3295.4364504400628</v>
      </c>
      <c r="HD35" s="303">
        <f t="shared" ca="1" si="175"/>
        <v>101.58955735447184</v>
      </c>
      <c r="HE35" s="303">
        <f t="shared" ca="1" si="176"/>
        <v>106.59673675044095</v>
      </c>
      <c r="HF35" s="303">
        <f t="shared" ca="1" si="177"/>
        <v>0</v>
      </c>
      <c r="HG35" s="852">
        <f t="shared" ca="1" si="178"/>
        <v>3117.115559770506</v>
      </c>
      <c r="HH35" s="13"/>
      <c r="IG35" s="13"/>
      <c r="IH35" s="13"/>
      <c r="II35" s="13"/>
      <c r="IJ35" s="13"/>
      <c r="IK35" s="13"/>
      <c r="IL35" s="13"/>
      <c r="IM35" s="13"/>
      <c r="IN35" s="13"/>
      <c r="IO35" s="13"/>
      <c r="IP35" s="13"/>
      <c r="IQ35" s="13"/>
      <c r="IR35" s="13"/>
      <c r="IS35" s="13"/>
      <c r="IT35" s="13"/>
      <c r="IU35" s="13"/>
      <c r="IV35" s="13"/>
    </row>
    <row r="36" spans="1:256" x14ac:dyDescent="0.25">
      <c r="A36" s="244">
        <f t="shared" ca="1" si="179"/>
        <v>37196</v>
      </c>
      <c r="B36" s="13">
        <f t="shared" ca="1" si="3"/>
        <v>2001</v>
      </c>
      <c r="C36" s="619">
        <f t="shared" ca="1" si="180"/>
        <v>11</v>
      </c>
      <c r="D36" s="195">
        <f t="shared" ca="1" si="4"/>
        <v>37217</v>
      </c>
      <c r="E36" s="469">
        <f t="shared" ca="1" si="5"/>
        <v>37196</v>
      </c>
      <c r="F36" s="465">
        <f t="shared" ca="1" si="6"/>
        <v>37225</v>
      </c>
      <c r="G36" s="521">
        <f t="shared" ca="1" si="181"/>
        <v>1</v>
      </c>
      <c r="H36" s="518">
        <f t="shared" ca="1" si="182"/>
        <v>1</v>
      </c>
      <c r="I36" s="724">
        <f t="shared" ca="1" si="7"/>
        <v>6.9813795169925003E-2</v>
      </c>
      <c r="J36" s="198">
        <f t="shared" ca="1" si="8"/>
        <v>0.88371150556546374</v>
      </c>
      <c r="K36" s="200">
        <f t="shared" ca="1" si="190"/>
        <v>31.074999999999999</v>
      </c>
      <c r="L36" s="201">
        <f t="shared" ca="1" si="191"/>
        <v>31.625</v>
      </c>
      <c r="M36" s="206">
        <f t="shared" ca="1" si="192"/>
        <v>32.174999999999997</v>
      </c>
      <c r="N36" s="851">
        <f t="shared" ca="1" si="196"/>
        <v>23.692251586914061</v>
      </c>
      <c r="O36" s="201">
        <f t="shared" ca="1" si="197"/>
        <v>24.104751586914063</v>
      </c>
      <c r="P36" s="206">
        <f t="shared" ca="1" si="198"/>
        <v>24.517251586914064</v>
      </c>
      <c r="Q36" s="201">
        <f t="shared" ca="1" si="199"/>
        <v>19.604499816894531</v>
      </c>
      <c r="R36" s="201">
        <f t="shared" ca="1" si="200"/>
        <v>22.104499816894531</v>
      </c>
      <c r="S36" s="201">
        <f t="shared" ca="1" si="201"/>
        <v>24.604499816894531</v>
      </c>
      <c r="T36" s="851">
        <f t="shared" ca="1" si="193"/>
        <v>19.349998092651369</v>
      </c>
      <c r="U36" s="201">
        <f t="shared" ca="1" si="194"/>
        <v>19.624998092651367</v>
      </c>
      <c r="V36" s="206">
        <f t="shared" ca="1" si="195"/>
        <v>19.899998092651366</v>
      </c>
      <c r="W36" s="230">
        <f t="shared" ca="1" si="183"/>
        <v>0.12015000000000001</v>
      </c>
      <c r="X36" s="231">
        <f t="shared" ca="1" si="184"/>
        <v>0.24030000000000001</v>
      </c>
      <c r="Y36" s="232">
        <f t="shared" ca="1" si="185"/>
        <v>0.36045000000000005</v>
      </c>
      <c r="Z36" s="231">
        <f t="shared" ca="1" si="202"/>
        <v>0.12015000000000001</v>
      </c>
      <c r="AA36" s="231">
        <f t="shared" ca="1" si="203"/>
        <v>0.24030000000000001</v>
      </c>
      <c r="AB36" s="232">
        <f t="shared" ca="1" si="204"/>
        <v>0.36045000000000005</v>
      </c>
      <c r="AC36" s="231">
        <f t="shared" ca="1" si="205"/>
        <v>0.12015000000000001</v>
      </c>
      <c r="AD36" s="231">
        <f t="shared" ca="1" si="206"/>
        <v>0.24030000000000001</v>
      </c>
      <c r="AE36" s="232">
        <f t="shared" ca="1" si="14"/>
        <v>0.36045000000000005</v>
      </c>
      <c r="AF36" s="231">
        <f t="shared" ca="1" si="186"/>
        <v>2.9399999999999999E-2</v>
      </c>
      <c r="AG36" s="231">
        <f t="shared" ca="1" si="187"/>
        <v>5.8799999999999998E-2</v>
      </c>
      <c r="AH36" s="232">
        <f t="shared" ca="1" si="188"/>
        <v>8.8200000000000001E-2</v>
      </c>
      <c r="AI36" s="233">
        <f t="shared" ca="1" si="15"/>
        <v>1</v>
      </c>
      <c r="AJ36" s="233">
        <f t="shared" ca="1" si="16"/>
        <v>1.25</v>
      </c>
      <c r="AK36" s="234">
        <f t="shared" ca="1" si="17"/>
        <v>1.55</v>
      </c>
      <c r="AL36" s="919">
        <f t="shared" ca="1" si="18"/>
        <v>1</v>
      </c>
      <c r="AM36" s="233">
        <f t="shared" ca="1" si="19"/>
        <v>1.25</v>
      </c>
      <c r="AN36" s="234">
        <f t="shared" ca="1" si="20"/>
        <v>1.55</v>
      </c>
      <c r="AO36" s="233">
        <f t="shared" ca="1" si="21"/>
        <v>1</v>
      </c>
      <c r="AP36" s="233">
        <f t="shared" ca="1" si="22"/>
        <v>1.25</v>
      </c>
      <c r="AQ36" s="233">
        <f t="shared" ca="1" si="23"/>
        <v>1.55</v>
      </c>
      <c r="AR36" s="919">
        <f t="shared" ca="1" si="24"/>
        <v>0.15</v>
      </c>
      <c r="AS36" s="233">
        <f t="shared" ca="1" si="25"/>
        <v>0.3</v>
      </c>
      <c r="AT36" s="235">
        <f t="shared" ca="1" si="26"/>
        <v>0.5</v>
      </c>
      <c r="AU36" s="946">
        <f t="shared" si="27"/>
        <v>0.5</v>
      </c>
      <c r="AV36" s="13">
        <f t="shared" ca="1" si="28"/>
        <v>21</v>
      </c>
      <c r="AW36" s="210">
        <f t="shared" ca="1" si="29"/>
        <v>4</v>
      </c>
      <c r="AX36" s="210">
        <f t="shared" ca="1" si="30"/>
        <v>4</v>
      </c>
      <c r="AY36" s="210">
        <f t="shared" ca="1" si="31"/>
        <v>1</v>
      </c>
      <c r="AZ36" s="13">
        <f t="shared" ca="1" si="32"/>
        <v>30</v>
      </c>
      <c r="BA36" s="355">
        <f ca="1"/>
        <v>336</v>
      </c>
      <c r="BB36" s="363">
        <f ca="1"/>
        <v>64</v>
      </c>
      <c r="BC36" s="363">
        <f ca="1"/>
        <v>80</v>
      </c>
      <c r="BD36" s="927">
        <f ca="1"/>
        <v>240</v>
      </c>
      <c r="BE36" s="930">
        <f ca="1"/>
        <v>0.99996249377727509</v>
      </c>
      <c r="BF36" s="931">
        <f ca="1"/>
        <v>0.99996249377727509</v>
      </c>
      <c r="BG36" s="931">
        <f ca="1"/>
        <v>0.99996249377727509</v>
      </c>
      <c r="BH36" s="932">
        <f ca="1"/>
        <v>1.0000000074505806</v>
      </c>
      <c r="BI36" s="355">
        <f ca="1"/>
        <v>336</v>
      </c>
      <c r="BJ36" s="363">
        <f ca="1"/>
        <v>64</v>
      </c>
      <c r="BK36" s="363">
        <f ca="1"/>
        <v>80</v>
      </c>
      <c r="BL36" s="927">
        <f ca="1"/>
        <v>240</v>
      </c>
      <c r="BM36" s="930">
        <f ca="1"/>
        <v>0.99996249377727509</v>
      </c>
      <c r="BN36" s="931">
        <f ca="1"/>
        <v>0.99996249377727509</v>
      </c>
      <c r="BO36" s="931">
        <f ca="1"/>
        <v>0.99996249377727509</v>
      </c>
      <c r="BP36" s="932">
        <f ca="1"/>
        <v>1.0000000074505806</v>
      </c>
      <c r="BQ36" s="355">
        <f t="shared" ca="1" si="33"/>
        <v>720</v>
      </c>
      <c r="BR36" s="360">
        <f t="shared" ca="1" si="34"/>
        <v>720</v>
      </c>
      <c r="BS36" s="357">
        <f t="shared" ca="1" si="35"/>
        <v>636.27228400713386</v>
      </c>
      <c r="BT36" s="302">
        <f t="shared" ca="1" si="36"/>
        <v>25.235217166222071</v>
      </c>
      <c r="BU36" s="299">
        <f t="shared" ca="1" si="37"/>
        <v>25.897973524462284</v>
      </c>
      <c r="BV36" s="299">
        <f t="shared" ca="1" si="38"/>
        <v>26.560729882702496</v>
      </c>
      <c r="BW36" s="299">
        <f t="shared" ca="1" si="39"/>
        <v>32.659889647739881</v>
      </c>
      <c r="BX36" s="380">
        <f t="shared" ca="1" si="40"/>
        <v>1.6673511293634498</v>
      </c>
      <c r="BY36" s="363">
        <f t="shared" ca="1" si="41"/>
        <v>296.92706586999583</v>
      </c>
      <c r="BZ36" s="353">
        <f t="shared" ca="1" si="42"/>
        <v>56.557536356189679</v>
      </c>
      <c r="CA36" s="353">
        <f t="shared" ca="1" si="43"/>
        <v>70.696920445237097</v>
      </c>
      <c r="CB36" s="353">
        <f t="shared" ca="1" si="44"/>
        <v>424.18152267142261</v>
      </c>
      <c r="CC36" s="353">
        <f t="shared" ca="1" si="45"/>
        <v>212.09076133571131</v>
      </c>
      <c r="CD36" s="353">
        <f t="shared" ca="1" si="46"/>
        <v>636.27228400713398</v>
      </c>
      <c r="CE36" s="302">
        <f t="shared" ca="1" si="47"/>
        <v>32.173793237283824</v>
      </c>
      <c r="CF36" s="299">
        <f t="shared" ca="1" si="48"/>
        <v>24.516332037415442</v>
      </c>
      <c r="CG36" s="299">
        <f t="shared" ca="1" si="49"/>
        <v>24.603576995044364</v>
      </c>
      <c r="CH36" s="299">
        <f t="shared" ca="1" si="50"/>
        <v>29.891095703594797</v>
      </c>
      <c r="CI36" s="299">
        <f t="shared" ca="1" si="51"/>
        <v>19.899998240917906</v>
      </c>
      <c r="CJ36" s="299">
        <f t="shared" ca="1" si="52"/>
        <v>26.5607298827025</v>
      </c>
      <c r="CK36" s="299">
        <f t="shared" ca="1" si="53"/>
        <v>32.659889647739881</v>
      </c>
      <c r="CL36" s="377">
        <f t="shared" ca="1" si="54"/>
        <v>0.36045000000000005</v>
      </c>
      <c r="CM36" s="305">
        <f t="shared" ca="1" si="55"/>
        <v>0.36045000000000005</v>
      </c>
      <c r="CN36" s="305">
        <f t="shared" ca="1" si="56"/>
        <v>0.36045000000000005</v>
      </c>
      <c r="CO36" s="305">
        <f t="shared" ca="1" si="57"/>
        <v>0.3604500000000001</v>
      </c>
      <c r="CP36" s="305">
        <f t="shared" ca="1" si="58"/>
        <v>8.8200000000000001E-2</v>
      </c>
      <c r="CQ36" s="305">
        <f t="shared" ca="1" si="59"/>
        <v>0.28683273987509039</v>
      </c>
      <c r="CR36" s="775">
        <f t="shared" ca="1" si="60"/>
        <v>0.36045000000000005</v>
      </c>
      <c r="CS36" s="305">
        <f t="shared" ca="1" si="61"/>
        <v>0.40045000000000003</v>
      </c>
      <c r="CT36" s="305">
        <f t="shared" ca="1" si="62"/>
        <v>0.40045000000000003</v>
      </c>
      <c r="CU36" s="305">
        <f t="shared" ca="1" si="63"/>
        <v>0.1482</v>
      </c>
      <c r="CV36" s="770">
        <f t="shared" ca="1" si="64"/>
        <v>0.31183273987509041</v>
      </c>
      <c r="CW36" s="302">
        <f t="shared" ca="1" si="65"/>
        <v>5.7253052064119263</v>
      </c>
      <c r="CX36" s="299">
        <f t="shared" ca="1" si="66"/>
        <v>2.6088142725290249</v>
      </c>
      <c r="CY36" s="299">
        <f t="shared" ca="1" si="67"/>
        <v>2.6423929665623218</v>
      </c>
      <c r="CZ36" s="299">
        <f t="shared" ca="1" si="68"/>
        <v>7.368136628702962E-3</v>
      </c>
      <c r="DA36" s="774">
        <f t="shared" ca="1" si="69"/>
        <v>2.2734170534549065</v>
      </c>
      <c r="DB36" s="303">
        <f t="shared" ca="1" si="70"/>
        <v>1446.512261102522</v>
      </c>
      <c r="DC36" s="248">
        <f t="shared" ca="1" si="71"/>
        <v>240.19453623803579</v>
      </c>
      <c r="DD36" s="778">
        <f t="shared" ca="1" si="72"/>
        <v>0</v>
      </c>
      <c r="DE36" s="363">
        <f t="shared" ca="1" si="73"/>
        <v>0.88371150556546374</v>
      </c>
      <c r="DF36" s="378">
        <f t="shared" ca="1" si="74"/>
        <v>-0.26493544704616728</v>
      </c>
      <c r="DG36" s="508">
        <f t="shared" ca="1" si="75"/>
        <v>-0.81320611897287187</v>
      </c>
      <c r="DH36" s="508">
        <f t="shared" ca="1" si="76"/>
        <v>-0.80633620335734291</v>
      </c>
      <c r="DI36" s="508">
        <f t="shared" ca="1" si="77"/>
        <v>-2.6846037426225888</v>
      </c>
      <c r="DJ36" s="508">
        <f t="shared" ca="1" si="78"/>
        <v>-0.71470317505377379</v>
      </c>
      <c r="DK36" s="353">
        <f t="shared" ca="1" si="79"/>
        <v>-151.04859917562968</v>
      </c>
      <c r="DL36" s="781">
        <f t="shared" ca="1" si="80"/>
        <v>14.951485716824893</v>
      </c>
      <c r="DM36" s="303">
        <f t="shared" ca="1" si="81"/>
        <v>7230.3738261967583</v>
      </c>
      <c r="DN36" s="508">
        <f t="shared" ca="1" si="82"/>
        <v>0.63395098131867023</v>
      </c>
      <c r="DO36" s="508">
        <f t="shared" ca="1" si="83"/>
        <v>0.42342790782202072</v>
      </c>
      <c r="DP36" s="508">
        <f t="shared" ca="1" si="84"/>
        <v>0.4261792406635434</v>
      </c>
      <c r="DQ36" s="508">
        <f t="shared" ca="1" si="85"/>
        <v>0.26184866839960785</v>
      </c>
      <c r="DR36" s="508">
        <f t="shared" ca="1" si="86"/>
        <v>0.48546215032474466</v>
      </c>
      <c r="DS36" s="353">
        <f t="shared" ca="1" si="87"/>
        <v>7738.0395311661341</v>
      </c>
      <c r="DT36" s="353">
        <f t="shared" ca="1" si="88"/>
        <v>-3026.8158035764636</v>
      </c>
      <c r="DU36" s="380">
        <f t="shared" ca="1" si="189"/>
        <v>1.6673511293634498</v>
      </c>
      <c r="DV36" s="303">
        <f t="shared" ca="1" si="89"/>
        <v>296.92706586999583</v>
      </c>
      <c r="DW36" s="303">
        <f t="shared" ca="1" si="90"/>
        <v>56.557536356189679</v>
      </c>
      <c r="DX36" s="303">
        <f t="shared" ca="1" si="91"/>
        <v>70.696920445237097</v>
      </c>
      <c r="DY36" s="303">
        <f t="shared" ca="1" si="92"/>
        <v>424.18152267142261</v>
      </c>
      <c r="DZ36" s="303">
        <f t="shared" ca="1" si="93"/>
        <v>212.09076133571131</v>
      </c>
      <c r="EA36" s="303">
        <f t="shared" ca="1" si="94"/>
        <v>636.27228400713398</v>
      </c>
      <c r="EB36" s="302">
        <f t="shared" ca="1" si="95"/>
        <v>32.173793237283824</v>
      </c>
      <c r="EC36" s="299">
        <f t="shared" ca="1" si="96"/>
        <v>24.516332037415442</v>
      </c>
      <c r="ED36" s="299">
        <f t="shared" ca="1" si="97"/>
        <v>24.603576995044364</v>
      </c>
      <c r="EE36" s="299">
        <f t="shared" ca="1" si="98"/>
        <v>29.891095703594797</v>
      </c>
      <c r="EF36" s="299">
        <f t="shared" ca="1" si="99"/>
        <v>19.899998240917906</v>
      </c>
      <c r="EG36" s="299">
        <f t="shared" ca="1" si="100"/>
        <v>26.5607298827025</v>
      </c>
      <c r="EH36" s="302">
        <f t="shared" ca="1" si="101"/>
        <v>30</v>
      </c>
      <c r="EI36" s="304">
        <f t="shared" ca="1" si="102"/>
        <v>0.12015000000000001</v>
      </c>
      <c r="EJ36" s="305">
        <f t="shared" ca="1" si="103"/>
        <v>0.12015000000000001</v>
      </c>
      <c r="EK36" s="305">
        <f t="shared" ca="1" si="104"/>
        <v>0.12015000000000001</v>
      </c>
      <c r="EL36" s="305">
        <f t="shared" ca="1" si="105"/>
        <v>0.12015000000000019</v>
      </c>
      <c r="EM36" s="305">
        <f t="shared" ca="1" si="106"/>
        <v>2.9399999999999999E-2</v>
      </c>
      <c r="EN36" s="305">
        <f t="shared" ca="1" si="107"/>
        <v>9.4208463828188385E-2</v>
      </c>
      <c r="EO36" s="305">
        <f t="shared" ca="1" si="108"/>
        <v>0.12015000000000001</v>
      </c>
      <c r="EP36" s="305">
        <f t="shared" ca="1" si="109"/>
        <v>0.12015000000000001</v>
      </c>
      <c r="EQ36" s="305">
        <f t="shared" ca="1" si="110"/>
        <v>0.12015000000000001</v>
      </c>
      <c r="ER36" s="305">
        <f t="shared" ca="1" si="111"/>
        <v>2.9399999999999999E-2</v>
      </c>
      <c r="ES36" s="305">
        <f t="shared" ca="1" si="112"/>
        <v>9.4208463828188385E-2</v>
      </c>
      <c r="ET36" s="299">
        <f t="shared" ca="1" si="113"/>
        <v>3.724509166046694</v>
      </c>
      <c r="EU36" s="302">
        <f t="shared" ca="1" si="114"/>
        <v>30</v>
      </c>
      <c r="EV36" s="304">
        <f t="shared" ca="1" si="115"/>
        <v>0.36045000000000005</v>
      </c>
      <c r="EW36" s="305">
        <f t="shared" ca="1" si="116"/>
        <v>0.36045000000000005</v>
      </c>
      <c r="EX36" s="305">
        <f t="shared" ca="1" si="117"/>
        <v>0.36045000000000005</v>
      </c>
      <c r="EY36" s="305">
        <f t="shared" ca="1" si="118"/>
        <v>0.3604500000000001</v>
      </c>
      <c r="EZ36" s="305">
        <f t="shared" ca="1" si="119"/>
        <v>8.8200000000000001E-2</v>
      </c>
      <c r="FA36" s="305">
        <f t="shared" ca="1" si="120"/>
        <v>0.28683273987509039</v>
      </c>
      <c r="FB36" s="305">
        <f t="shared" ca="1" si="121"/>
        <v>0.36045000000000005</v>
      </c>
      <c r="FC36" s="305">
        <f t="shared" ca="1" si="122"/>
        <v>0.36045000000000005</v>
      </c>
      <c r="FD36" s="305">
        <f t="shared" ca="1" si="123"/>
        <v>0.36045000000000005</v>
      </c>
      <c r="FE36" s="305">
        <f t="shared" ca="1" si="124"/>
        <v>8.8200000000000001E-2</v>
      </c>
      <c r="FF36" s="305">
        <f t="shared" ca="1" si="125"/>
        <v>0.28683273987509039</v>
      </c>
      <c r="FG36" s="299">
        <f t="shared" ca="1" si="126"/>
        <v>2.6549274177148217</v>
      </c>
      <c r="FH36" s="302">
        <f t="shared" ca="1" si="127"/>
        <v>1.0695817483318724</v>
      </c>
      <c r="FI36" s="248">
        <f t="shared" ca="1" si="128"/>
        <v>680.54522194346396</v>
      </c>
      <c r="FJ36" s="363">
        <f t="shared" ca="1" si="129"/>
        <v>0.88371150556546374</v>
      </c>
      <c r="FK36" s="378">
        <f t="shared" ca="1" si="130"/>
        <v>0.37332797691190517</v>
      </c>
      <c r="FL36" s="508">
        <f t="shared" ca="1" si="131"/>
        <v>-1.378665541101411</v>
      </c>
      <c r="FM36" s="508">
        <f t="shared" ca="1" si="132"/>
        <v>-1.3557686812742065</v>
      </c>
      <c r="FN36" s="508">
        <f t="shared" ca="1" si="133"/>
        <v>-10.831546840410674</v>
      </c>
      <c r="FO36" s="508">
        <f t="shared" ca="1" si="134"/>
        <v>-1.0617773766778325</v>
      </c>
      <c r="FP36" s="353">
        <f t="shared" ca="1" si="135"/>
        <v>544.54192061883759</v>
      </c>
      <c r="FQ36" s="356">
        <f t="shared" ca="1" si="136"/>
        <v>39.584302700572465</v>
      </c>
      <c r="FR36" s="380">
        <f t="shared" ca="1" si="137"/>
        <v>22.712</v>
      </c>
      <c r="FS36" s="299">
        <f t="shared" ca="1" si="138"/>
        <v>22.712</v>
      </c>
      <c r="FT36" s="299">
        <f t="shared" ca="1" si="139"/>
        <v>22.712</v>
      </c>
      <c r="FU36" s="299">
        <f t="shared" ca="1" si="140"/>
        <v>22.712</v>
      </c>
      <c r="FV36" s="299">
        <f t="shared" ca="1" si="141"/>
        <v>22.711999999999996</v>
      </c>
      <c r="FW36" s="850">
        <f t="shared" ca="1" si="142"/>
        <v>0.2475</v>
      </c>
      <c r="FX36" s="851">
        <f t="shared" ca="1" si="143"/>
        <v>0.5</v>
      </c>
      <c r="FY36" s="851">
        <f t="shared" ca="1" si="144"/>
        <v>0</v>
      </c>
      <c r="FZ36" s="201">
        <f t="shared" ca="1" si="145"/>
        <v>0</v>
      </c>
      <c r="GA36" s="201">
        <f t="shared" ca="1" si="146"/>
        <v>0</v>
      </c>
      <c r="GB36" s="201">
        <f t="shared" ca="1" si="147"/>
        <v>0</v>
      </c>
      <c r="GC36" s="201">
        <f t="shared" ca="1" si="148"/>
        <v>0</v>
      </c>
      <c r="GD36" s="850">
        <f t="shared" ca="1" si="149"/>
        <v>0.37545000000000006</v>
      </c>
      <c r="GE36" s="866">
        <f t="shared" ca="1" si="150"/>
        <v>0.36295000000000005</v>
      </c>
      <c r="GF36" s="866">
        <f t="shared" ca="1" si="151"/>
        <v>0.36295000000000005</v>
      </c>
      <c r="GG36" s="866">
        <f t="shared" ca="1" si="152"/>
        <v>8.8200000000000001E-2</v>
      </c>
      <c r="GH36" s="866">
        <f t="shared" ca="1" si="153"/>
        <v>0.2993327398750904</v>
      </c>
      <c r="GI36" s="302">
        <f t="shared" ca="1" si="154"/>
        <v>10.792609640988415</v>
      </c>
      <c r="GJ36" s="299">
        <f t="shared" ca="1" si="155"/>
        <v>4.8461385899668041</v>
      </c>
      <c r="GK36" s="299">
        <f t="shared" ca="1" si="156"/>
        <v>4.9031914851064649</v>
      </c>
      <c r="GL36" s="299">
        <f t="shared" ca="1" si="157"/>
        <v>1.2276924715614053</v>
      </c>
      <c r="GM36" s="299">
        <f t="shared" ca="1" si="158"/>
        <v>5.747345938085977</v>
      </c>
      <c r="GN36" s="302">
        <f t="shared" ca="1" si="159"/>
        <v>0.84831959713771876</v>
      </c>
      <c r="GO36" s="299">
        <f t="shared" ca="1" si="160"/>
        <v>0.65235734366788301</v>
      </c>
      <c r="GP36" s="299">
        <f t="shared" ca="1" si="161"/>
        <v>0.65551676647317159</v>
      </c>
      <c r="GQ36" s="299">
        <f t="shared" ca="1" si="162"/>
        <v>0.3703803720038476</v>
      </c>
      <c r="GR36" s="299">
        <f t="shared" ca="1" si="163"/>
        <v>0.73119276405592348</v>
      </c>
      <c r="GS36" s="302">
        <f t="shared" ca="1" si="164"/>
        <v>-0.72653419136713271</v>
      </c>
      <c r="GT36" s="299">
        <f t="shared" ca="1" si="165"/>
        <v>-0.49080984483502887</v>
      </c>
      <c r="GU36" s="299">
        <f t="shared" ca="1" si="166"/>
        <v>-0.49422632920448717</v>
      </c>
      <c r="GV36" s="299">
        <f t="shared" ca="1" si="167"/>
        <v>-0.27046825512461053</v>
      </c>
      <c r="GW36" s="299">
        <f t="shared" ca="1" si="168"/>
        <v>-0.60204590417213899</v>
      </c>
      <c r="GX36" s="303">
        <f t="shared" ca="1" si="169"/>
        <v>3204.617913778919</v>
      </c>
      <c r="GY36" s="303">
        <f t="shared" ca="1" si="170"/>
        <v>274.0856594891813</v>
      </c>
      <c r="GZ36" s="303">
        <f t="shared" ca="1" si="171"/>
        <v>346.6405383503357</v>
      </c>
      <c r="HA36" s="303">
        <f t="shared" ca="1" si="172"/>
        <v>260.38223097957956</v>
      </c>
      <c r="HB36" s="303">
        <f t="shared" ca="1" si="173"/>
        <v>3656.8769270050884</v>
      </c>
      <c r="HC36" s="303">
        <f t="shared" ca="1" si="174"/>
        <v>2809.4625038152553</v>
      </c>
      <c r="HD36" s="303">
        <f t="shared" ca="1" si="175"/>
        <v>102.04857480476166</v>
      </c>
      <c r="HE36" s="303">
        <f t="shared" ca="1" si="176"/>
        <v>133.72866833469203</v>
      </c>
      <c r="HF36" s="303">
        <f t="shared" ca="1" si="177"/>
        <v>0</v>
      </c>
      <c r="HG36" s="852">
        <f t="shared" ca="1" si="178"/>
        <v>2448.8401529936309</v>
      </c>
      <c r="HH36" s="13"/>
      <c r="IG36" s="13"/>
      <c r="IH36" s="13"/>
      <c r="II36" s="13"/>
      <c r="IJ36" s="13"/>
      <c r="IK36" s="13"/>
      <c r="IL36" s="13"/>
      <c r="IM36" s="13"/>
      <c r="IN36" s="13"/>
      <c r="IO36" s="13"/>
      <c r="IP36" s="13"/>
      <c r="IQ36" s="13"/>
      <c r="IR36" s="13"/>
      <c r="IS36" s="13"/>
      <c r="IT36" s="13"/>
      <c r="IU36" s="13"/>
      <c r="IV36" s="13"/>
    </row>
    <row r="37" spans="1:256" x14ac:dyDescent="0.25">
      <c r="A37" s="244">
        <f t="shared" ca="1" si="179"/>
        <v>37226</v>
      </c>
      <c r="B37" s="13">
        <f t="shared" ca="1" si="3"/>
        <v>2001</v>
      </c>
      <c r="C37" s="619">
        <f t="shared" ca="1" si="180"/>
        <v>12</v>
      </c>
      <c r="D37" s="195">
        <f t="shared" ca="1" si="4"/>
        <v>37250</v>
      </c>
      <c r="E37" s="469">
        <f t="shared" ca="1" si="5"/>
        <v>37226</v>
      </c>
      <c r="F37" s="465">
        <f t="shared" ca="1" si="6"/>
        <v>37256</v>
      </c>
      <c r="G37" s="521">
        <f t="shared" ca="1" si="181"/>
        <v>1</v>
      </c>
      <c r="H37" s="518">
        <f t="shared" ca="1" si="182"/>
        <v>1</v>
      </c>
      <c r="I37" s="724">
        <f t="shared" ca="1" si="7"/>
        <v>7.0035583229644996E-2</v>
      </c>
      <c r="J37" s="198">
        <f t="shared" ca="1" si="8"/>
        <v>0.87822441142858754</v>
      </c>
      <c r="K37" s="200">
        <f t="shared" ca="1" si="190"/>
        <v>30.95</v>
      </c>
      <c r="L37" s="201">
        <f t="shared" ca="1" si="191"/>
        <v>31.5</v>
      </c>
      <c r="M37" s="206">
        <f t="shared" ca="1" si="192"/>
        <v>32.049999999999997</v>
      </c>
      <c r="N37" s="851">
        <f t="shared" ca="1" si="196"/>
        <v>25.142498397827147</v>
      </c>
      <c r="O37" s="201">
        <f t="shared" ca="1" si="197"/>
        <v>25.554998397827148</v>
      </c>
      <c r="P37" s="206">
        <f t="shared" ca="1" si="198"/>
        <v>25.96749839782715</v>
      </c>
      <c r="Q37" s="201">
        <f t="shared" ca="1" si="199"/>
        <v>19.549999237060547</v>
      </c>
      <c r="R37" s="201">
        <f t="shared" ca="1" si="200"/>
        <v>22.049999237060547</v>
      </c>
      <c r="S37" s="201">
        <f t="shared" ca="1" si="201"/>
        <v>24.549999237060547</v>
      </c>
      <c r="T37" s="851">
        <f t="shared" ca="1" si="193"/>
        <v>20.774999237060548</v>
      </c>
      <c r="U37" s="201">
        <f t="shared" ca="1" si="194"/>
        <v>21.049999237060547</v>
      </c>
      <c r="V37" s="206">
        <f t="shared" ca="1" si="195"/>
        <v>21.324999237060545</v>
      </c>
      <c r="W37" s="230">
        <f t="shared" ca="1" si="183"/>
        <v>0.12447000000000001</v>
      </c>
      <c r="X37" s="231">
        <f t="shared" ca="1" si="184"/>
        <v>0.24894000000000002</v>
      </c>
      <c r="Y37" s="232">
        <f t="shared" ca="1" si="185"/>
        <v>0.37341000000000002</v>
      </c>
      <c r="Z37" s="231">
        <f t="shared" ca="1" si="202"/>
        <v>0.12447000000000001</v>
      </c>
      <c r="AA37" s="231">
        <f t="shared" ca="1" si="203"/>
        <v>0.24894000000000002</v>
      </c>
      <c r="AB37" s="232">
        <f t="shared" ca="1" si="204"/>
        <v>0.37341000000000002</v>
      </c>
      <c r="AC37" s="231">
        <f t="shared" ca="1" si="205"/>
        <v>0.12447000000000001</v>
      </c>
      <c r="AD37" s="231">
        <f t="shared" ca="1" si="206"/>
        <v>0.24894000000000002</v>
      </c>
      <c r="AE37" s="232">
        <f t="shared" ca="1" si="14"/>
        <v>0.37341000000000002</v>
      </c>
      <c r="AF37" s="231">
        <f t="shared" ca="1" si="186"/>
        <v>2.9399999999999999E-2</v>
      </c>
      <c r="AG37" s="231">
        <f t="shared" ca="1" si="187"/>
        <v>5.8799999999999998E-2</v>
      </c>
      <c r="AH37" s="232">
        <f t="shared" ca="1" si="188"/>
        <v>8.8200000000000001E-2</v>
      </c>
      <c r="AI37" s="233">
        <f t="shared" ca="1" si="15"/>
        <v>1</v>
      </c>
      <c r="AJ37" s="233">
        <f t="shared" ca="1" si="16"/>
        <v>1.25</v>
      </c>
      <c r="AK37" s="234">
        <f t="shared" ca="1" si="17"/>
        <v>1.6</v>
      </c>
      <c r="AL37" s="919">
        <f t="shared" ca="1" si="18"/>
        <v>1</v>
      </c>
      <c r="AM37" s="233">
        <f t="shared" ca="1" si="19"/>
        <v>1.25</v>
      </c>
      <c r="AN37" s="234">
        <f t="shared" ca="1" si="20"/>
        <v>1.6</v>
      </c>
      <c r="AO37" s="233">
        <f t="shared" ca="1" si="21"/>
        <v>1</v>
      </c>
      <c r="AP37" s="233">
        <f t="shared" ca="1" si="22"/>
        <v>1.25</v>
      </c>
      <c r="AQ37" s="233">
        <f t="shared" ca="1" si="23"/>
        <v>1.6</v>
      </c>
      <c r="AR37" s="919">
        <f t="shared" ca="1" si="24"/>
        <v>0.15</v>
      </c>
      <c r="AS37" s="233">
        <f t="shared" ca="1" si="25"/>
        <v>0.3</v>
      </c>
      <c r="AT37" s="235">
        <f t="shared" ca="1" si="26"/>
        <v>0.5</v>
      </c>
      <c r="AU37" s="946">
        <f t="shared" si="27"/>
        <v>0.5</v>
      </c>
      <c r="AV37" s="13">
        <f t="shared" ca="1" si="28"/>
        <v>20</v>
      </c>
      <c r="AW37" s="210">
        <f t="shared" ca="1" si="29"/>
        <v>5</v>
      </c>
      <c r="AX37" s="210">
        <f t="shared" ca="1" si="30"/>
        <v>5</v>
      </c>
      <c r="AY37" s="210">
        <f t="shared" ca="1" si="31"/>
        <v>1</v>
      </c>
      <c r="AZ37" s="13">
        <f t="shared" ca="1" si="32"/>
        <v>31</v>
      </c>
      <c r="BA37" s="355">
        <f ca="1"/>
        <v>320</v>
      </c>
      <c r="BB37" s="363">
        <f ca="1"/>
        <v>80</v>
      </c>
      <c r="BC37" s="363">
        <f ca="1"/>
        <v>96</v>
      </c>
      <c r="BD37" s="927">
        <f ca="1"/>
        <v>248</v>
      </c>
      <c r="BE37" s="930">
        <f ca="1"/>
        <v>0.9999692440032959</v>
      </c>
      <c r="BF37" s="931">
        <f ca="1"/>
        <v>0.9999692440032959</v>
      </c>
      <c r="BG37" s="931">
        <f ca="1"/>
        <v>0.9999692440032959</v>
      </c>
      <c r="BH37" s="932">
        <f ca="1"/>
        <v>1.0000000074505806</v>
      </c>
      <c r="BI37" s="355">
        <f ca="1"/>
        <v>320</v>
      </c>
      <c r="BJ37" s="363">
        <f ca="1"/>
        <v>80</v>
      </c>
      <c r="BK37" s="363">
        <f ca="1"/>
        <v>96</v>
      </c>
      <c r="BL37" s="927">
        <f ca="1"/>
        <v>248</v>
      </c>
      <c r="BM37" s="930">
        <f ca="1"/>
        <v>0.9999692440032959</v>
      </c>
      <c r="BN37" s="931">
        <f ca="1"/>
        <v>0.9999692440032959</v>
      </c>
      <c r="BO37" s="931">
        <f ca="1"/>
        <v>0.9999692440032959</v>
      </c>
      <c r="BP37" s="932">
        <f ca="1"/>
        <v>1.0000000074505806</v>
      </c>
      <c r="BQ37" s="355">
        <f t="shared" ca="1" si="33"/>
        <v>744</v>
      </c>
      <c r="BR37" s="360">
        <f t="shared" ca="1" si="34"/>
        <v>744</v>
      </c>
      <c r="BS37" s="357">
        <f t="shared" ca="1" si="35"/>
        <v>653.39896210286918</v>
      </c>
      <c r="BT37" s="302">
        <f t="shared" ca="1" si="36"/>
        <v>25.462332600685929</v>
      </c>
      <c r="BU37" s="299">
        <f t="shared" ca="1" si="37"/>
        <v>26.157475330612826</v>
      </c>
      <c r="BV37" s="299">
        <f t="shared" ca="1" si="38"/>
        <v>26.852618060539719</v>
      </c>
      <c r="BW37" s="299">
        <f t="shared" ca="1" si="39"/>
        <v>32.659889647739881</v>
      </c>
      <c r="BX37" s="380">
        <f t="shared" ca="1" si="40"/>
        <v>1.7494866529774127</v>
      </c>
      <c r="BY37" s="363">
        <f t="shared" ca="1" si="41"/>
        <v>281.03181165714801</v>
      </c>
      <c r="BZ37" s="353">
        <f t="shared" ca="1" si="42"/>
        <v>70.257952914287003</v>
      </c>
      <c r="CA37" s="353">
        <f t="shared" ca="1" si="43"/>
        <v>84.309543497144404</v>
      </c>
      <c r="CB37" s="353">
        <f t="shared" ca="1" si="44"/>
        <v>435.59930806857938</v>
      </c>
      <c r="CC37" s="353">
        <f t="shared" ca="1" si="45"/>
        <v>217.79965403428972</v>
      </c>
      <c r="CD37" s="353">
        <f t="shared" ca="1" si="46"/>
        <v>653.39896210286906</v>
      </c>
      <c r="CE37" s="302">
        <f t="shared" ca="1" si="47"/>
        <v>32.049014270305634</v>
      </c>
      <c r="CF37" s="299">
        <f t="shared" ca="1" si="48"/>
        <v>25.966699741532011</v>
      </c>
      <c r="CG37" s="299">
        <f t="shared" ca="1" si="49"/>
        <v>24.549244177364926</v>
      </c>
      <c r="CH37" s="299">
        <f t="shared" ca="1" si="50"/>
        <v>29.616427392837497</v>
      </c>
      <c r="CI37" s="299">
        <f t="shared" ca="1" si="51"/>
        <v>21.324999395944172</v>
      </c>
      <c r="CJ37" s="299">
        <f t="shared" ca="1" si="52"/>
        <v>26.852618060539722</v>
      </c>
      <c r="CK37" s="299">
        <f t="shared" ca="1" si="53"/>
        <v>32.659889647739881</v>
      </c>
      <c r="CL37" s="377">
        <f t="shared" ca="1" si="54"/>
        <v>0.37341000000000002</v>
      </c>
      <c r="CM37" s="305">
        <f t="shared" ca="1" si="55"/>
        <v>0.37341000000000002</v>
      </c>
      <c r="CN37" s="305">
        <f t="shared" ca="1" si="56"/>
        <v>0.37341000000000002</v>
      </c>
      <c r="CO37" s="305">
        <f t="shared" ca="1" si="57"/>
        <v>0.37340999999999996</v>
      </c>
      <c r="CP37" s="305">
        <f t="shared" ca="1" si="58"/>
        <v>8.8200000000000001E-2</v>
      </c>
      <c r="CQ37" s="305">
        <f t="shared" ca="1" si="59"/>
        <v>0.29270021194550228</v>
      </c>
      <c r="CR37" s="775">
        <f t="shared" ca="1" si="60"/>
        <v>0.37341000000000002</v>
      </c>
      <c r="CS37" s="305">
        <f t="shared" ca="1" si="61"/>
        <v>0.39841000000000004</v>
      </c>
      <c r="CT37" s="305">
        <f t="shared" ca="1" si="62"/>
        <v>0.41341</v>
      </c>
      <c r="CU37" s="305">
        <f t="shared" ca="1" si="63"/>
        <v>0.1482</v>
      </c>
      <c r="CV37" s="770">
        <f t="shared" ca="1" si="64"/>
        <v>0.31020021194550229</v>
      </c>
      <c r="CW37" s="302">
        <f t="shared" ca="1" si="65"/>
        <v>6.00994497139631</v>
      </c>
      <c r="CX37" s="299">
        <f t="shared" ca="1" si="66"/>
        <v>3.2972958425310415</v>
      </c>
      <c r="CY37" s="299">
        <f t="shared" ca="1" si="67"/>
        <v>2.9020688503313377</v>
      </c>
      <c r="CZ37" s="299">
        <f t="shared" ca="1" si="68"/>
        <v>2.7063591086425809E-2</v>
      </c>
      <c r="DA37" s="774">
        <f t="shared" ca="1" si="69"/>
        <v>2.4638406291914947</v>
      </c>
      <c r="DB37" s="303">
        <f t="shared" ca="1" si="70"/>
        <v>1609.8709099006026</v>
      </c>
      <c r="DC37" s="248">
        <f t="shared" ca="1" si="71"/>
        <v>256.65473515478391</v>
      </c>
      <c r="DD37" s="778">
        <f t="shared" ca="1" si="72"/>
        <v>0</v>
      </c>
      <c r="DE37" s="363">
        <f t="shared" ca="1" si="73"/>
        <v>0.87822441142858754</v>
      </c>
      <c r="DF37" s="378">
        <f t="shared" ca="1" si="74"/>
        <v>-0.28518003099752254</v>
      </c>
      <c r="DG37" s="508">
        <f t="shared" ca="1" si="75"/>
        <v>-0.69867645784895549</v>
      </c>
      <c r="DH37" s="508">
        <f t="shared" ca="1" si="76"/>
        <v>-0.7954632838887119</v>
      </c>
      <c r="DI37" s="508">
        <f t="shared" ca="1" si="77"/>
        <v>-2.2726080245760127</v>
      </c>
      <c r="DJ37" s="508">
        <f t="shared" ca="1" si="78"/>
        <v>-0.68232631455085557</v>
      </c>
      <c r="DK37" s="353">
        <f t="shared" ca="1" si="79"/>
        <v>-161.72685846812223</v>
      </c>
      <c r="DL37" s="781">
        <f t="shared" ca="1" si="80"/>
        <v>15.412727582316199</v>
      </c>
      <c r="DM37" s="303">
        <f t="shared" ca="1" si="81"/>
        <v>7749.9047446822551</v>
      </c>
      <c r="DN37" s="508">
        <f t="shared" ca="1" si="82"/>
        <v>0.64699824411688156</v>
      </c>
      <c r="DO37" s="508">
        <f t="shared" ca="1" si="83"/>
        <v>0.48787262090272604</v>
      </c>
      <c r="DP37" s="508">
        <f t="shared" ca="1" si="84"/>
        <v>0.44542893332443756</v>
      </c>
      <c r="DQ37" s="508">
        <f t="shared" ca="1" si="85"/>
        <v>0.33896711997390117</v>
      </c>
      <c r="DR37" s="508">
        <f t="shared" ca="1" si="86"/>
        <v>0.51323907339611963</v>
      </c>
      <c r="DS37" s="353">
        <f t="shared" ca="1" si="87"/>
        <v>8115.7926440934407</v>
      </c>
      <c r="DT37" s="353">
        <f t="shared" ca="1" si="88"/>
        <v>-3371.391125726369</v>
      </c>
      <c r="DU37" s="380">
        <f t="shared" ca="1" si="189"/>
        <v>1.7494866529774127</v>
      </c>
      <c r="DV37" s="303">
        <f t="shared" ca="1" si="89"/>
        <v>281.03181165714801</v>
      </c>
      <c r="DW37" s="303">
        <f t="shared" ca="1" si="90"/>
        <v>70.257952914287003</v>
      </c>
      <c r="DX37" s="303">
        <f t="shared" ca="1" si="91"/>
        <v>84.309543497144404</v>
      </c>
      <c r="DY37" s="303">
        <f t="shared" ca="1" si="92"/>
        <v>435.59930806857938</v>
      </c>
      <c r="DZ37" s="303">
        <f t="shared" ca="1" si="93"/>
        <v>217.79965403428972</v>
      </c>
      <c r="EA37" s="303">
        <f t="shared" ca="1" si="94"/>
        <v>653.39896210286906</v>
      </c>
      <c r="EB37" s="302">
        <f t="shared" ca="1" si="95"/>
        <v>32.049014270305634</v>
      </c>
      <c r="EC37" s="299">
        <f t="shared" ca="1" si="96"/>
        <v>25.966699741532011</v>
      </c>
      <c r="ED37" s="299">
        <f t="shared" ca="1" si="97"/>
        <v>24.549244177364926</v>
      </c>
      <c r="EE37" s="299">
        <f t="shared" ca="1" si="98"/>
        <v>29.616427392837497</v>
      </c>
      <c r="EF37" s="299">
        <f t="shared" ca="1" si="99"/>
        <v>21.324999395944172</v>
      </c>
      <c r="EG37" s="299">
        <f t="shared" ca="1" si="100"/>
        <v>26.852618060539722</v>
      </c>
      <c r="EH37" s="302">
        <f t="shared" ca="1" si="101"/>
        <v>30</v>
      </c>
      <c r="EI37" s="304">
        <f t="shared" ca="1" si="102"/>
        <v>0.12447000000000001</v>
      </c>
      <c r="EJ37" s="305">
        <f t="shared" ca="1" si="103"/>
        <v>0.12447000000000001</v>
      </c>
      <c r="EK37" s="305">
        <f t="shared" ca="1" si="104"/>
        <v>0.12447000000000001</v>
      </c>
      <c r="EL37" s="305">
        <f t="shared" ca="1" si="105"/>
        <v>0.12446999999999993</v>
      </c>
      <c r="EM37" s="305">
        <f t="shared" ca="1" si="106"/>
        <v>2.9399999999999999E-2</v>
      </c>
      <c r="EN37" s="305">
        <f t="shared" ca="1" si="107"/>
        <v>9.5866270916655894E-2</v>
      </c>
      <c r="EO37" s="305">
        <f t="shared" ca="1" si="108"/>
        <v>0.12447000000000001</v>
      </c>
      <c r="EP37" s="305">
        <f t="shared" ca="1" si="109"/>
        <v>0.12447000000000001</v>
      </c>
      <c r="EQ37" s="305">
        <f t="shared" ca="1" si="110"/>
        <v>0.12447000000000001</v>
      </c>
      <c r="ER37" s="305">
        <f t="shared" ca="1" si="111"/>
        <v>2.9399999999999999E-2</v>
      </c>
      <c r="ES37" s="305">
        <f t="shared" ca="1" si="112"/>
        <v>9.5866270916655894E-2</v>
      </c>
      <c r="ET37" s="299">
        <f t="shared" ca="1" si="113"/>
        <v>3.525858120522102</v>
      </c>
      <c r="EU37" s="302">
        <f t="shared" ca="1" si="114"/>
        <v>30</v>
      </c>
      <c r="EV37" s="304">
        <f t="shared" ca="1" si="115"/>
        <v>0.37341000000000002</v>
      </c>
      <c r="EW37" s="305">
        <f t="shared" ca="1" si="116"/>
        <v>0.37341000000000002</v>
      </c>
      <c r="EX37" s="305">
        <f t="shared" ca="1" si="117"/>
        <v>0.37341000000000002</v>
      </c>
      <c r="EY37" s="305">
        <f t="shared" ca="1" si="118"/>
        <v>0.37340999999999996</v>
      </c>
      <c r="EZ37" s="305">
        <f t="shared" ca="1" si="119"/>
        <v>8.8200000000000001E-2</v>
      </c>
      <c r="FA37" s="305">
        <f t="shared" ca="1" si="120"/>
        <v>0.29270021194550228</v>
      </c>
      <c r="FB37" s="305">
        <f t="shared" ca="1" si="121"/>
        <v>0.37341000000000002</v>
      </c>
      <c r="FC37" s="305">
        <f t="shared" ca="1" si="122"/>
        <v>0.37341000000000002</v>
      </c>
      <c r="FD37" s="305">
        <f t="shared" ca="1" si="123"/>
        <v>0.37341000000000002</v>
      </c>
      <c r="FE37" s="305">
        <f t="shared" ca="1" si="124"/>
        <v>8.8200000000000001E-2</v>
      </c>
      <c r="FF37" s="305">
        <f t="shared" ca="1" si="125"/>
        <v>0.29270021194550228</v>
      </c>
      <c r="FG37" s="299">
        <f t="shared" ca="1" si="126"/>
        <v>2.9646455832340717</v>
      </c>
      <c r="FH37" s="302">
        <f t="shared" ca="1" si="127"/>
        <v>0.56121253728803033</v>
      </c>
      <c r="FI37" s="248">
        <f t="shared" ca="1" si="128"/>
        <v>366.6956893831167</v>
      </c>
      <c r="FJ37" s="363">
        <f t="shared" ca="1" si="129"/>
        <v>0.87822441142858754</v>
      </c>
      <c r="FK37" s="378">
        <f t="shared" ca="1" si="130"/>
        <v>0.31899110112848633</v>
      </c>
      <c r="FL37" s="508">
        <f t="shared" ca="1" si="131"/>
        <v>-0.95930656619563959</v>
      </c>
      <c r="FM37" s="508">
        <f t="shared" ca="1" si="132"/>
        <v>-1.3002677874500046</v>
      </c>
      <c r="FN37" s="508">
        <f t="shared" ca="1" si="133"/>
        <v>-8.7966369723570406</v>
      </c>
      <c r="FO37" s="508">
        <f t="shared" ca="1" si="134"/>
        <v>-0.93748209345214795</v>
      </c>
      <c r="FP37" s="353">
        <f t="shared" ca="1" si="135"/>
        <v>539.5407324439924</v>
      </c>
      <c r="FQ37" s="356">
        <f t="shared" ca="1" si="136"/>
        <v>44.15719798244767</v>
      </c>
      <c r="FR37" s="380">
        <f t="shared" ca="1" si="137"/>
        <v>23.752000000000002</v>
      </c>
      <c r="FS37" s="299">
        <f t="shared" ca="1" si="138"/>
        <v>23.752000000000002</v>
      </c>
      <c r="FT37" s="299">
        <f t="shared" ca="1" si="139"/>
        <v>23.752000000000002</v>
      </c>
      <c r="FU37" s="299">
        <f t="shared" ca="1" si="140"/>
        <v>23.752000000000002</v>
      </c>
      <c r="FV37" s="299">
        <f t="shared" ca="1" si="141"/>
        <v>23.752000000000002</v>
      </c>
      <c r="FW37" s="850">
        <f t="shared" ca="1" si="142"/>
        <v>0.25</v>
      </c>
      <c r="FX37" s="851">
        <f t="shared" ca="1" si="143"/>
        <v>0.5</v>
      </c>
      <c r="FY37" s="851">
        <f t="shared" ca="1" si="144"/>
        <v>0</v>
      </c>
      <c r="FZ37" s="201">
        <f t="shared" ca="1" si="145"/>
        <v>0</v>
      </c>
      <c r="GA37" s="201">
        <f t="shared" ca="1" si="146"/>
        <v>0</v>
      </c>
      <c r="GB37" s="201">
        <f t="shared" ca="1" si="147"/>
        <v>0</v>
      </c>
      <c r="GC37" s="201">
        <f t="shared" ca="1" si="148"/>
        <v>0</v>
      </c>
      <c r="GD37" s="850">
        <f t="shared" ca="1" si="149"/>
        <v>0.38841000000000003</v>
      </c>
      <c r="GE37" s="866">
        <f t="shared" ca="1" si="150"/>
        <v>0.37841000000000002</v>
      </c>
      <c r="GF37" s="866">
        <f t="shared" ca="1" si="151"/>
        <v>0.37341000000000002</v>
      </c>
      <c r="GG37" s="866">
        <f t="shared" ca="1" si="152"/>
        <v>8.8200000000000001E-2</v>
      </c>
      <c r="GH37" s="866">
        <f t="shared" ca="1" si="153"/>
        <v>0.30520021194550229</v>
      </c>
      <c r="GI37" s="302">
        <f t="shared" ca="1" si="154"/>
        <v>10.158369045019926</v>
      </c>
      <c r="GJ37" s="299">
        <f t="shared" ca="1" si="155"/>
        <v>5.5312373024865256</v>
      </c>
      <c r="GK37" s="299">
        <f t="shared" ca="1" si="156"/>
        <v>4.5766459632260315</v>
      </c>
      <c r="GL37" s="299">
        <f t="shared" ca="1" si="157"/>
        <v>1.5648822401412716</v>
      </c>
      <c r="GM37" s="299">
        <f t="shared" ca="1" si="158"/>
        <v>5.4878846448218912</v>
      </c>
      <c r="GN37" s="302">
        <f t="shared" ca="1" si="159"/>
        <v>0.81321544764719988</v>
      </c>
      <c r="GO37" s="299">
        <f t="shared" ca="1" si="160"/>
        <v>0.66372261462929449</v>
      </c>
      <c r="GP37" s="299">
        <f t="shared" ca="1" si="161"/>
        <v>0.61549557215295103</v>
      </c>
      <c r="GQ37" s="299">
        <f t="shared" ca="1" si="162"/>
        <v>0.4106665806530127</v>
      </c>
      <c r="GR37" s="299">
        <f t="shared" ca="1" si="163"/>
        <v>0.69693516774854869</v>
      </c>
      <c r="GS37" s="302">
        <f t="shared" ca="1" si="164"/>
        <v>-0.66960169581091544</v>
      </c>
      <c r="GT37" s="299">
        <f t="shared" ca="1" si="165"/>
        <v>-0.49273541568046025</v>
      </c>
      <c r="GU37" s="299">
        <f t="shared" ca="1" si="166"/>
        <v>-0.44347028943965872</v>
      </c>
      <c r="GV37" s="299">
        <f t="shared" ca="1" si="167"/>
        <v>-0.30282001035820488</v>
      </c>
      <c r="GW37" s="299">
        <f t="shared" ca="1" si="168"/>
        <v>-0.55686464599076935</v>
      </c>
      <c r="GX37" s="303">
        <f t="shared" ca="1" si="169"/>
        <v>2854.8248562038425</v>
      </c>
      <c r="GY37" s="303">
        <f t="shared" ca="1" si="170"/>
        <v>388.61340995584618</v>
      </c>
      <c r="GZ37" s="303">
        <f t="shared" ca="1" si="171"/>
        <v>385.85493190763543</v>
      </c>
      <c r="HA37" s="303">
        <f t="shared" ca="1" si="172"/>
        <v>340.83081050717323</v>
      </c>
      <c r="HB37" s="303">
        <f t="shared" ca="1" si="173"/>
        <v>3585.7781310668961</v>
      </c>
      <c r="HC37" s="303">
        <f t="shared" ca="1" si="174"/>
        <v>2331.7249517292016</v>
      </c>
      <c r="HD37" s="303">
        <f t="shared" ca="1" si="175"/>
        <v>155.60027015983945</v>
      </c>
      <c r="HE37" s="303">
        <f t="shared" ca="1" si="176"/>
        <v>67.215292649393149</v>
      </c>
      <c r="HF37" s="303">
        <f t="shared" ca="1" si="177"/>
        <v>0</v>
      </c>
      <c r="HG37" s="852">
        <f t="shared" ca="1" si="178"/>
        <v>2025.9406226340636</v>
      </c>
      <c r="HH37" s="13"/>
      <c r="IG37" s="13"/>
      <c r="IH37" s="13"/>
      <c r="II37" s="13"/>
      <c r="IJ37" s="13"/>
      <c r="IK37" s="13"/>
      <c r="IL37" s="13"/>
      <c r="IM37" s="13"/>
      <c r="IN37" s="13"/>
      <c r="IO37" s="13"/>
      <c r="IP37" s="13"/>
      <c r="IQ37" s="13"/>
      <c r="IR37" s="13"/>
      <c r="IS37" s="13"/>
      <c r="IT37" s="13"/>
      <c r="IU37" s="13"/>
      <c r="IV37" s="13"/>
    </row>
    <row r="38" spans="1:256" x14ac:dyDescent="0.25">
      <c r="A38" s="244">
        <f t="shared" ca="1" si="179"/>
        <v>37257</v>
      </c>
      <c r="B38" s="13">
        <f t="shared" ca="1" si="3"/>
        <v>2002</v>
      </c>
      <c r="C38" s="619">
        <f t="shared" ca="1" si="180"/>
        <v>1</v>
      </c>
      <c r="D38" s="195">
        <f t="shared" ca="1" si="4"/>
        <v>37257</v>
      </c>
      <c r="E38" s="469">
        <f t="shared" ca="1" si="5"/>
        <v>37257</v>
      </c>
      <c r="F38" s="465">
        <f t="shared" ca="1" si="6"/>
        <v>37287</v>
      </c>
      <c r="G38" s="521">
        <f t="shared" ca="1" si="181"/>
        <v>1</v>
      </c>
      <c r="H38" s="518">
        <f t="shared" ca="1" si="182"/>
        <v>1</v>
      </c>
      <c r="I38" s="724">
        <f t="shared" ca="1" si="7"/>
        <v>7.0252861138366998E-2</v>
      </c>
      <c r="J38" s="198">
        <f t="shared" ca="1" si="8"/>
        <v>0.87274717553579284</v>
      </c>
      <c r="K38" s="200">
        <f t="shared" ca="1" si="190"/>
        <v>36.299999999999997</v>
      </c>
      <c r="L38" s="201">
        <f t="shared" ca="1" si="191"/>
        <v>37</v>
      </c>
      <c r="M38" s="206">
        <f t="shared" ca="1" si="192"/>
        <v>37.700000000000003</v>
      </c>
      <c r="N38" s="851">
        <f t="shared" ca="1" si="196"/>
        <v>28.123748779296875</v>
      </c>
      <c r="O38" s="201">
        <f t="shared" ca="1" si="197"/>
        <v>28.648748779296874</v>
      </c>
      <c r="P38" s="206">
        <f t="shared" ca="1" si="198"/>
        <v>29.173748779296872</v>
      </c>
      <c r="Q38" s="201">
        <f t="shared" ca="1" si="199"/>
        <v>24.152500534057616</v>
      </c>
      <c r="R38" s="201">
        <f t="shared" ca="1" si="200"/>
        <v>27.152500534057616</v>
      </c>
      <c r="S38" s="201">
        <f t="shared" ca="1" si="201"/>
        <v>30.152500534057616</v>
      </c>
      <c r="T38" s="851">
        <f t="shared" ca="1" si="193"/>
        <v>20.440000152587888</v>
      </c>
      <c r="U38" s="201">
        <f t="shared" ca="1" si="194"/>
        <v>20.79000015258789</v>
      </c>
      <c r="V38" s="206">
        <f t="shared" ca="1" si="195"/>
        <v>21.140000152587891</v>
      </c>
      <c r="W38" s="230">
        <f t="shared" ca="1" si="183"/>
        <v>0.13442500000000002</v>
      </c>
      <c r="X38" s="231">
        <f t="shared" ca="1" si="184"/>
        <v>0.26885000000000003</v>
      </c>
      <c r="Y38" s="232">
        <f t="shared" ca="1" si="185"/>
        <v>0.40327500000000005</v>
      </c>
      <c r="Z38" s="231">
        <f t="shared" ca="1" si="202"/>
        <v>0.13442500000000002</v>
      </c>
      <c r="AA38" s="231">
        <f t="shared" ca="1" si="203"/>
        <v>0.26885000000000003</v>
      </c>
      <c r="AB38" s="232">
        <f t="shared" ca="1" si="204"/>
        <v>0.40327500000000005</v>
      </c>
      <c r="AC38" s="231">
        <f t="shared" ca="1" si="205"/>
        <v>0.13442500000000002</v>
      </c>
      <c r="AD38" s="231">
        <f t="shared" ca="1" si="206"/>
        <v>0.26885000000000003</v>
      </c>
      <c r="AE38" s="232">
        <f t="shared" ca="1" si="14"/>
        <v>0.40327500000000005</v>
      </c>
      <c r="AF38" s="231">
        <f t="shared" ca="1" si="186"/>
        <v>3.3614000000000005E-2</v>
      </c>
      <c r="AG38" s="231">
        <f t="shared" ca="1" si="187"/>
        <v>6.722800000000001E-2</v>
      </c>
      <c r="AH38" s="232">
        <f t="shared" ca="1" si="188"/>
        <v>0.10084200000000001</v>
      </c>
      <c r="AI38" s="233">
        <f t="shared" ca="1" si="15"/>
        <v>1.25</v>
      </c>
      <c r="AJ38" s="233">
        <f t="shared" ca="1" si="16"/>
        <v>2</v>
      </c>
      <c r="AK38" s="234">
        <f t="shared" ca="1" si="17"/>
        <v>2.75</v>
      </c>
      <c r="AL38" s="919">
        <f t="shared" ca="1" si="18"/>
        <v>1.25</v>
      </c>
      <c r="AM38" s="233">
        <f t="shared" ca="1" si="19"/>
        <v>2</v>
      </c>
      <c r="AN38" s="234">
        <f t="shared" ca="1" si="20"/>
        <v>2.75</v>
      </c>
      <c r="AO38" s="233">
        <f t="shared" ca="1" si="21"/>
        <v>1.25</v>
      </c>
      <c r="AP38" s="233">
        <f t="shared" ca="1" si="22"/>
        <v>2</v>
      </c>
      <c r="AQ38" s="233">
        <f t="shared" ca="1" si="23"/>
        <v>2.75</v>
      </c>
      <c r="AR38" s="919">
        <f t="shared" ca="1" si="24"/>
        <v>0.35</v>
      </c>
      <c r="AS38" s="233">
        <f t="shared" ca="1" si="25"/>
        <v>0.5</v>
      </c>
      <c r="AT38" s="235">
        <f t="shared" ca="1" si="26"/>
        <v>0.7</v>
      </c>
      <c r="AU38" s="946">
        <f t="shared" si="27"/>
        <v>0.5</v>
      </c>
      <c r="AV38" s="13">
        <f t="shared" ca="1" si="28"/>
        <v>22</v>
      </c>
      <c r="AW38" s="210">
        <f t="shared" ca="1" si="29"/>
        <v>4</v>
      </c>
      <c r="AX38" s="210">
        <f t="shared" ca="1" si="30"/>
        <v>4</v>
      </c>
      <c r="AY38" s="210">
        <f t="shared" ca="1" si="31"/>
        <v>1</v>
      </c>
      <c r="AZ38" s="13">
        <f t="shared" ca="1" si="32"/>
        <v>31</v>
      </c>
      <c r="BA38" s="355">
        <f ca="1"/>
        <v>352</v>
      </c>
      <c r="BB38" s="363">
        <f ca="1"/>
        <v>64</v>
      </c>
      <c r="BC38" s="363">
        <f ca="1"/>
        <v>80</v>
      </c>
      <c r="BD38" s="927">
        <f ca="1"/>
        <v>248</v>
      </c>
      <c r="BE38" s="930">
        <f ca="1"/>
        <v>0.99998503923416138</v>
      </c>
      <c r="BF38" s="931">
        <f ca="1"/>
        <v>0.99998503923416138</v>
      </c>
      <c r="BG38" s="931">
        <f ca="1"/>
        <v>0.99998503923416138</v>
      </c>
      <c r="BH38" s="932">
        <f ca="1"/>
        <v>1.0000070855021477</v>
      </c>
      <c r="BI38" s="355">
        <f ca="1"/>
        <v>352</v>
      </c>
      <c r="BJ38" s="363">
        <f ca="1"/>
        <v>64</v>
      </c>
      <c r="BK38" s="363">
        <f ca="1"/>
        <v>80</v>
      </c>
      <c r="BL38" s="927">
        <f ca="1"/>
        <v>248</v>
      </c>
      <c r="BM38" s="930">
        <f ca="1"/>
        <v>0.99998503923416138</v>
      </c>
      <c r="BN38" s="931">
        <f ca="1"/>
        <v>0.99998503923416138</v>
      </c>
      <c r="BO38" s="931">
        <f ca="1"/>
        <v>0.99998503923416138</v>
      </c>
      <c r="BP38" s="932">
        <f ca="1"/>
        <v>1.0000070855021477</v>
      </c>
      <c r="BQ38" s="355">
        <f t="shared" ca="1" si="33"/>
        <v>744</v>
      </c>
      <c r="BR38" s="360">
        <f t="shared" ca="1" si="34"/>
        <v>744</v>
      </c>
      <c r="BS38" s="357">
        <f t="shared" ca="1" si="35"/>
        <v>649.32389859862985</v>
      </c>
      <c r="BT38" s="302">
        <f t="shared" ca="1" si="36"/>
        <v>29.003533496838532</v>
      </c>
      <c r="BU38" s="299">
        <f t="shared" ca="1" si="37"/>
        <v>29.819115264880672</v>
      </c>
      <c r="BV38" s="299">
        <f t="shared" ca="1" si="38"/>
        <v>30.634697032922812</v>
      </c>
      <c r="BW38" s="299">
        <f t="shared" ca="1" si="39"/>
        <v>32.659889647739881</v>
      </c>
      <c r="BX38" s="380">
        <f t="shared" ca="1" si="40"/>
        <v>1.8343600273785079</v>
      </c>
      <c r="BY38" s="363">
        <f t="shared" ca="1" si="41"/>
        <v>307.20700578859908</v>
      </c>
      <c r="BZ38" s="353">
        <f t="shared" ca="1" si="42"/>
        <v>55.855819234290742</v>
      </c>
      <c r="CA38" s="353">
        <f t="shared" ca="1" si="43"/>
        <v>69.819774042863429</v>
      </c>
      <c r="CB38" s="353">
        <f t="shared" ca="1" si="44"/>
        <v>432.8825990657532</v>
      </c>
      <c r="CC38" s="353">
        <f t="shared" ca="1" si="45"/>
        <v>216.44129953287663</v>
      </c>
      <c r="CD38" s="353">
        <f t="shared" ca="1" si="46"/>
        <v>649.32389859862985</v>
      </c>
      <c r="CE38" s="302">
        <f t="shared" ca="1" si="47"/>
        <v>37.699435979127884</v>
      </c>
      <c r="CF38" s="299">
        <f t="shared" ca="1" si="48"/>
        <v>29.17331231767275</v>
      </c>
      <c r="CG38" s="299">
        <f t="shared" ca="1" si="49"/>
        <v>30.152049429557678</v>
      </c>
      <c r="CH38" s="299">
        <f t="shared" ca="1" si="50"/>
        <v>35.381970579332034</v>
      </c>
      <c r="CI38" s="299">
        <f t="shared" ca="1" si="51"/>
        <v>21.140149940104376</v>
      </c>
      <c r="CJ38" s="299">
        <f t="shared" ca="1" si="52"/>
        <v>30.634697032922812</v>
      </c>
      <c r="CK38" s="299">
        <f t="shared" ca="1" si="53"/>
        <v>32.659889647739881</v>
      </c>
      <c r="CL38" s="377">
        <f t="shared" ca="1" si="54"/>
        <v>0.40327500000000005</v>
      </c>
      <c r="CM38" s="305">
        <f t="shared" ca="1" si="55"/>
        <v>0.40327500000000005</v>
      </c>
      <c r="CN38" s="305">
        <f t="shared" ca="1" si="56"/>
        <v>0.40327500000000005</v>
      </c>
      <c r="CO38" s="305">
        <f t="shared" ca="1" si="57"/>
        <v>0.40327499999999999</v>
      </c>
      <c r="CP38" s="305">
        <f t="shared" ca="1" si="58"/>
        <v>0.10084200000000001</v>
      </c>
      <c r="CQ38" s="305">
        <f t="shared" ca="1" si="59"/>
        <v>0.32960992279674456</v>
      </c>
      <c r="CR38" s="775">
        <f t="shared" ca="1" si="60"/>
        <v>0.41827500000000006</v>
      </c>
      <c r="CS38" s="305">
        <f t="shared" ca="1" si="61"/>
        <v>0.41327500000000006</v>
      </c>
      <c r="CT38" s="305">
        <f t="shared" ca="1" si="62"/>
        <v>0.40327500000000005</v>
      </c>
      <c r="CU38" s="305">
        <f t="shared" ca="1" si="63"/>
        <v>0.16084200000000001</v>
      </c>
      <c r="CV38" s="770">
        <f t="shared" ca="1" si="64"/>
        <v>0.32960992279674456</v>
      </c>
      <c r="CW38" s="302">
        <f t="shared" ca="1" si="65"/>
        <v>10.60865170537377</v>
      </c>
      <c r="CX38" s="299">
        <f t="shared" ca="1" si="66"/>
        <v>5.2057533564716163</v>
      </c>
      <c r="CY38" s="299">
        <f t="shared" ca="1" si="67"/>
        <v>5.5756253825389006</v>
      </c>
      <c r="CZ38" s="299">
        <f t="shared" ca="1" si="68"/>
        <v>4.8800241819355161E-2</v>
      </c>
      <c r="DA38" s="774">
        <f t="shared" ca="1" si="69"/>
        <v>4.633586740242075</v>
      </c>
      <c r="DB38" s="303">
        <f t="shared" ca="1" si="70"/>
        <v>3008.698606668901</v>
      </c>
      <c r="DC38" s="248">
        <f t="shared" ca="1" si="71"/>
        <v>345.31529254447776</v>
      </c>
      <c r="DD38" s="778">
        <f t="shared" ca="1" si="72"/>
        <v>0</v>
      </c>
      <c r="DE38" s="363">
        <f t="shared" ca="1" si="73"/>
        <v>0.87274717553579284</v>
      </c>
      <c r="DF38" s="378">
        <f t="shared" ca="1" si="74"/>
        <v>-2.9950039865388516E-2</v>
      </c>
      <c r="DG38" s="508">
        <f t="shared" ca="1" si="75"/>
        <v>-0.48155807546155516</v>
      </c>
      <c r="DH38" s="508">
        <f t="shared" ca="1" si="76"/>
        <v>-0.41937154952964506</v>
      </c>
      <c r="DI38" s="508">
        <f t="shared" ca="1" si="77"/>
        <v>-2.1056594835440152</v>
      </c>
      <c r="DJ38" s="508">
        <f t="shared" ca="1" si="78"/>
        <v>-0.36660492817562623</v>
      </c>
      <c r="DK38" s="353">
        <f t="shared" ca="1" si="79"/>
        <v>-231.78066078358822</v>
      </c>
      <c r="DL38" s="781">
        <f t="shared" ca="1" si="80"/>
        <v>16.612306967031902</v>
      </c>
      <c r="DM38" s="303">
        <f t="shared" ca="1" si="81"/>
        <v>9661.4143285296886</v>
      </c>
      <c r="DN38" s="508">
        <f t="shared" ca="1" si="82"/>
        <v>0.78308582578014141</v>
      </c>
      <c r="DO38" s="508">
        <f t="shared" ca="1" si="83"/>
        <v>0.59376273464542462</v>
      </c>
      <c r="DP38" s="508">
        <f t="shared" ca="1" si="84"/>
        <v>0.61812940599548838</v>
      </c>
      <c r="DQ38" s="508">
        <f t="shared" ca="1" si="85"/>
        <v>0.35593349578247141</v>
      </c>
      <c r="DR38" s="508">
        <f t="shared" ca="1" si="86"/>
        <v>0.62985572001767254</v>
      </c>
      <c r="DS38" s="353">
        <f t="shared" ca="1" si="87"/>
        <v>8814.166433587483</v>
      </c>
      <c r="DT38" s="353">
        <f t="shared" ca="1" si="88"/>
        <v>-4021.9882097446025</v>
      </c>
      <c r="DU38" s="380">
        <f t="shared" ca="1" si="189"/>
        <v>1.8343600273785079</v>
      </c>
      <c r="DV38" s="303">
        <f t="shared" ca="1" si="89"/>
        <v>307.20700578859908</v>
      </c>
      <c r="DW38" s="303">
        <f t="shared" ca="1" si="90"/>
        <v>55.855819234290742</v>
      </c>
      <c r="DX38" s="303">
        <f t="shared" ca="1" si="91"/>
        <v>69.819774042863429</v>
      </c>
      <c r="DY38" s="303">
        <f t="shared" ca="1" si="92"/>
        <v>432.8825990657532</v>
      </c>
      <c r="DZ38" s="303">
        <f t="shared" ca="1" si="93"/>
        <v>216.44129953287663</v>
      </c>
      <c r="EA38" s="303">
        <f t="shared" ca="1" si="94"/>
        <v>649.32389859862985</v>
      </c>
      <c r="EB38" s="302">
        <f t="shared" ca="1" si="95"/>
        <v>37.699435979127884</v>
      </c>
      <c r="EC38" s="299">
        <f t="shared" ca="1" si="96"/>
        <v>29.17331231767275</v>
      </c>
      <c r="ED38" s="299">
        <f t="shared" ca="1" si="97"/>
        <v>30.152049429557678</v>
      </c>
      <c r="EE38" s="299">
        <f t="shared" ca="1" si="98"/>
        <v>35.381970579332034</v>
      </c>
      <c r="EF38" s="299">
        <f t="shared" ca="1" si="99"/>
        <v>21.140149940104376</v>
      </c>
      <c r="EG38" s="299">
        <f t="shared" ca="1" si="100"/>
        <v>30.634697032922812</v>
      </c>
      <c r="EH38" s="302">
        <f t="shared" ca="1" si="101"/>
        <v>30</v>
      </c>
      <c r="EI38" s="304">
        <f t="shared" ca="1" si="102"/>
        <v>0.13442500000000002</v>
      </c>
      <c r="EJ38" s="305">
        <f t="shared" ca="1" si="103"/>
        <v>0.13442500000000002</v>
      </c>
      <c r="EK38" s="305">
        <f t="shared" ca="1" si="104"/>
        <v>0.13442500000000002</v>
      </c>
      <c r="EL38" s="305">
        <f t="shared" ca="1" si="105"/>
        <v>0.13442499999999982</v>
      </c>
      <c r="EM38" s="305">
        <f t="shared" ca="1" si="106"/>
        <v>3.3614000000000005E-2</v>
      </c>
      <c r="EN38" s="305">
        <f t="shared" ca="1" si="107"/>
        <v>0.10784009304239243</v>
      </c>
      <c r="EO38" s="305">
        <f t="shared" ca="1" si="108"/>
        <v>0.13442500000000002</v>
      </c>
      <c r="EP38" s="305">
        <f t="shared" ca="1" si="109"/>
        <v>0.13442500000000002</v>
      </c>
      <c r="EQ38" s="305">
        <f t="shared" ca="1" si="110"/>
        <v>0.13442500000000002</v>
      </c>
      <c r="ER38" s="305">
        <f t="shared" ca="1" si="111"/>
        <v>3.3614000000000005E-2</v>
      </c>
      <c r="ES38" s="305">
        <f t="shared" ca="1" si="112"/>
        <v>0.10784009304239243</v>
      </c>
      <c r="ET38" s="299">
        <f t="shared" ca="1" si="113"/>
        <v>1.4656888442608089</v>
      </c>
      <c r="EU38" s="302">
        <f t="shared" ca="1" si="114"/>
        <v>30</v>
      </c>
      <c r="EV38" s="304">
        <f t="shared" ca="1" si="115"/>
        <v>0.40327500000000005</v>
      </c>
      <c r="EW38" s="305">
        <f t="shared" ca="1" si="116"/>
        <v>0.40327500000000005</v>
      </c>
      <c r="EX38" s="305">
        <f t="shared" ca="1" si="117"/>
        <v>0.40327500000000005</v>
      </c>
      <c r="EY38" s="305">
        <f t="shared" ca="1" si="118"/>
        <v>0.40327499999999999</v>
      </c>
      <c r="EZ38" s="305">
        <f t="shared" ca="1" si="119"/>
        <v>0.10084200000000001</v>
      </c>
      <c r="FA38" s="305">
        <f t="shared" ca="1" si="120"/>
        <v>0.32960992279674456</v>
      </c>
      <c r="FB38" s="305">
        <f t="shared" ca="1" si="121"/>
        <v>0.40327500000000005</v>
      </c>
      <c r="FC38" s="305">
        <f t="shared" ca="1" si="122"/>
        <v>0.40327500000000005</v>
      </c>
      <c r="FD38" s="305">
        <f t="shared" ca="1" si="123"/>
        <v>0.40327500000000005</v>
      </c>
      <c r="FE38" s="305">
        <f t="shared" ca="1" si="124"/>
        <v>0.10084200000000001</v>
      </c>
      <c r="FF38" s="305">
        <f t="shared" ca="1" si="125"/>
        <v>0.32960992279674456</v>
      </c>
      <c r="FG38" s="299">
        <f t="shared" ca="1" si="126"/>
        <v>5.6780142532280493</v>
      </c>
      <c r="FH38" s="302">
        <f t="shared" ca="1" si="127"/>
        <v>-4.2123254089672404</v>
      </c>
      <c r="FI38" s="248">
        <f t="shared" ca="1" si="128"/>
        <v>-2735.1635567166763</v>
      </c>
      <c r="FJ38" s="363">
        <f t="shared" ca="1" si="129"/>
        <v>0.87274717553579284</v>
      </c>
      <c r="FK38" s="378">
        <f t="shared" ca="1" si="130"/>
        <v>1.1637396018106261</v>
      </c>
      <c r="FL38" s="508">
        <f t="shared" ca="1" si="131"/>
        <v>-0.24451153321338817</v>
      </c>
      <c r="FM38" s="508">
        <f t="shared" ca="1" si="132"/>
        <v>-6.3263739403243854E-2</v>
      </c>
      <c r="FN38" s="508">
        <f t="shared" ca="1" si="133"/>
        <v>-7.7111367922747958</v>
      </c>
      <c r="FO38" s="508">
        <f t="shared" ca="1" si="134"/>
        <v>7.0311858538895322E-2</v>
      </c>
      <c r="FP38" s="353">
        <f t="shared" ca="1" si="135"/>
        <v>306.46312256896965</v>
      </c>
      <c r="FQ38" s="356">
        <f t="shared" ca="1" si="136"/>
        <v>58.973148636051626</v>
      </c>
      <c r="FR38" s="380">
        <f t="shared" ca="1" si="137"/>
        <v>24.008000000000003</v>
      </c>
      <c r="FS38" s="299">
        <f t="shared" ca="1" si="138"/>
        <v>24.008000000000003</v>
      </c>
      <c r="FT38" s="299">
        <f t="shared" ca="1" si="139"/>
        <v>24.008000000000003</v>
      </c>
      <c r="FU38" s="299">
        <f t="shared" ca="1" si="140"/>
        <v>24.008000000000003</v>
      </c>
      <c r="FV38" s="299">
        <f t="shared" ca="1" si="141"/>
        <v>24.008000000000003</v>
      </c>
      <c r="FW38" s="850">
        <f t="shared" ca="1" si="142"/>
        <v>0.2525</v>
      </c>
      <c r="FX38" s="851">
        <f t="shared" ca="1" si="143"/>
        <v>0.5</v>
      </c>
      <c r="FY38" s="851">
        <f t="shared" ca="1" si="144"/>
        <v>0</v>
      </c>
      <c r="FZ38" s="201">
        <f t="shared" ca="1" si="145"/>
        <v>0</v>
      </c>
      <c r="GA38" s="201">
        <f t="shared" ca="1" si="146"/>
        <v>0</v>
      </c>
      <c r="GB38" s="201">
        <f t="shared" ca="1" si="147"/>
        <v>0</v>
      </c>
      <c r="GC38" s="201">
        <f t="shared" ca="1" si="148"/>
        <v>0</v>
      </c>
      <c r="GD38" s="850">
        <f t="shared" ca="1" si="149"/>
        <v>0.41827500000000006</v>
      </c>
      <c r="GE38" s="866">
        <f t="shared" ca="1" si="150"/>
        <v>0.41827500000000006</v>
      </c>
      <c r="GF38" s="866">
        <f t="shared" ca="1" si="151"/>
        <v>0.41827500000000006</v>
      </c>
      <c r="GG38" s="866">
        <f t="shared" ca="1" si="152"/>
        <v>0.10084200000000001</v>
      </c>
      <c r="GH38" s="866">
        <f t="shared" ca="1" si="153"/>
        <v>0.34460992279674457</v>
      </c>
      <c r="GI38" s="302">
        <f t="shared" ca="1" si="154"/>
        <v>15.121290410205065</v>
      </c>
      <c r="GJ38" s="299">
        <f t="shared" ca="1" si="155"/>
        <v>8.1602108444725836</v>
      </c>
      <c r="GK38" s="299">
        <f t="shared" ca="1" si="156"/>
        <v>8.8943873324577112</v>
      </c>
      <c r="GL38" s="299">
        <f t="shared" ca="1" si="157"/>
        <v>1.4790002179785959</v>
      </c>
      <c r="GM38" s="299">
        <f t="shared" ca="1" si="158"/>
        <v>8.5738836025145719</v>
      </c>
      <c r="GN38" s="302">
        <f t="shared" ca="1" si="159"/>
        <v>0.87704245921657087</v>
      </c>
      <c r="GO38" s="299">
        <f t="shared" ca="1" si="160"/>
        <v>0.73938008245423592</v>
      </c>
      <c r="GP38" s="299">
        <f t="shared" ca="1" si="161"/>
        <v>0.76059542149761084</v>
      </c>
      <c r="GQ38" s="299">
        <f t="shared" ca="1" si="162"/>
        <v>0.39066578769023991</v>
      </c>
      <c r="GR38" s="299">
        <f t="shared" ca="1" si="163"/>
        <v>0.7857147608699715</v>
      </c>
      <c r="GS38" s="302">
        <f t="shared" ca="1" si="164"/>
        <v>-0.74736397763511786</v>
      </c>
      <c r="GT38" s="299">
        <f t="shared" ca="1" si="165"/>
        <v>-0.55856212506695924</v>
      </c>
      <c r="GU38" s="299">
        <f t="shared" ca="1" si="166"/>
        <v>-0.5847686916614343</v>
      </c>
      <c r="GV38" s="299">
        <f t="shared" ca="1" si="167"/>
        <v>-0.28239471651395193</v>
      </c>
      <c r="GW38" s="299">
        <f t="shared" ca="1" si="168"/>
        <v>-0.64546182608848146</v>
      </c>
      <c r="GX38" s="303">
        <f t="shared" ca="1" si="169"/>
        <v>4645.3663505789555</v>
      </c>
      <c r="GY38" s="303">
        <f t="shared" ca="1" si="170"/>
        <v>455.79526184255963</v>
      </c>
      <c r="GZ38" s="303">
        <f t="shared" ca="1" si="171"/>
        <v>621.00411380190417</v>
      </c>
      <c r="HA38" s="303">
        <f t="shared" ca="1" si="172"/>
        <v>320.1167291886951</v>
      </c>
      <c r="HB38" s="303">
        <f t="shared" ca="1" si="173"/>
        <v>5567.2275269156271</v>
      </c>
      <c r="HC38" s="303">
        <f t="shared" ca="1" si="174"/>
        <v>4206.1050520941726</v>
      </c>
      <c r="HD38" s="303">
        <f t="shared" ca="1" si="175"/>
        <v>288.51275110458431</v>
      </c>
      <c r="HE38" s="303">
        <f t="shared" ca="1" si="176"/>
        <v>428.97614287990086</v>
      </c>
      <c r="HF38" s="303">
        <f t="shared" ca="1" si="177"/>
        <v>0</v>
      </c>
      <c r="HG38" s="852">
        <f t="shared" ca="1" si="178"/>
        <v>4302.8727522494119</v>
      </c>
      <c r="HH38" s="13"/>
      <c r="IG38" s="13"/>
      <c r="IH38" s="13"/>
      <c r="II38" s="13"/>
      <c r="IJ38" s="13"/>
      <c r="IK38" s="13"/>
      <c r="IL38" s="13"/>
      <c r="IM38" s="13"/>
      <c r="IN38" s="13"/>
      <c r="IO38" s="13"/>
      <c r="IP38" s="13"/>
      <c r="IQ38" s="13"/>
      <c r="IR38" s="13"/>
      <c r="IS38" s="13"/>
      <c r="IT38" s="13"/>
      <c r="IU38" s="13"/>
      <c r="IV38" s="13"/>
    </row>
    <row r="39" spans="1:256" x14ac:dyDescent="0.25">
      <c r="A39" s="244">
        <f t="shared" ca="1" si="179"/>
        <v>37288</v>
      </c>
      <c r="B39" s="13">
        <f t="shared" ca="1" si="3"/>
        <v>2002</v>
      </c>
      <c r="C39" s="619">
        <f t="shared" ca="1" si="180"/>
        <v>2</v>
      </c>
      <c r="D39" s="195" t="str">
        <f t="shared" ca="1" si="4"/>
        <v/>
      </c>
      <c r="E39" s="469">
        <f t="shared" ca="1" si="5"/>
        <v>37288</v>
      </c>
      <c r="F39" s="465">
        <f t="shared" ca="1" si="6"/>
        <v>37315</v>
      </c>
      <c r="G39" s="521">
        <f t="shared" ca="1" si="181"/>
        <v>1</v>
      </c>
      <c r="H39" s="518">
        <f t="shared" ca="1" si="182"/>
        <v>1</v>
      </c>
      <c r="I39" s="724">
        <f t="shared" ca="1" si="7"/>
        <v>7.0453657841486009E-2</v>
      </c>
      <c r="J39" s="198">
        <f t="shared" ca="1" si="8"/>
        <v>0.86779501339320064</v>
      </c>
      <c r="K39" s="200">
        <f t="shared" ca="1" si="190"/>
        <v>36.299999999999997</v>
      </c>
      <c r="L39" s="201">
        <f t="shared" ca="1" si="191"/>
        <v>37</v>
      </c>
      <c r="M39" s="206">
        <f t="shared" ca="1" si="192"/>
        <v>37.700000000000003</v>
      </c>
      <c r="N39" s="851">
        <f t="shared" ca="1" si="196"/>
        <v>27.121250152587891</v>
      </c>
      <c r="O39" s="201">
        <f t="shared" ca="1" si="197"/>
        <v>27.646250152587889</v>
      </c>
      <c r="P39" s="206">
        <f t="shared" ca="1" si="198"/>
        <v>28.171250152587888</v>
      </c>
      <c r="Q39" s="201">
        <f t="shared" ca="1" si="199"/>
        <v>22.147499465942381</v>
      </c>
      <c r="R39" s="201">
        <f t="shared" ca="1" si="200"/>
        <v>25.147499465942381</v>
      </c>
      <c r="S39" s="201">
        <f t="shared" ca="1" si="201"/>
        <v>28.147499465942381</v>
      </c>
      <c r="T39" s="851">
        <f t="shared" ca="1" si="193"/>
        <v>20.249997711181638</v>
      </c>
      <c r="U39" s="201">
        <f t="shared" ca="1" si="194"/>
        <v>20.59999771118164</v>
      </c>
      <c r="V39" s="206">
        <f t="shared" ca="1" si="195"/>
        <v>20.949997711181641</v>
      </c>
      <c r="W39" s="230">
        <f t="shared" ca="1" si="183"/>
        <v>0.12967500000000001</v>
      </c>
      <c r="X39" s="231">
        <f t="shared" ca="1" si="184"/>
        <v>0.25935000000000002</v>
      </c>
      <c r="Y39" s="232">
        <f t="shared" ca="1" si="185"/>
        <v>0.38902500000000007</v>
      </c>
      <c r="Z39" s="231">
        <f t="shared" ca="1" si="202"/>
        <v>0.12967500000000001</v>
      </c>
      <c r="AA39" s="231">
        <f t="shared" ca="1" si="203"/>
        <v>0.25935000000000002</v>
      </c>
      <c r="AB39" s="232">
        <f t="shared" ca="1" si="204"/>
        <v>0.38902500000000007</v>
      </c>
      <c r="AC39" s="231">
        <f t="shared" ca="1" si="205"/>
        <v>0.12967500000000001</v>
      </c>
      <c r="AD39" s="231">
        <f t="shared" ca="1" si="206"/>
        <v>0.25935000000000002</v>
      </c>
      <c r="AE39" s="232">
        <f t="shared" ca="1" si="14"/>
        <v>0.38902500000000007</v>
      </c>
      <c r="AF39" s="231">
        <f t="shared" ca="1" si="186"/>
        <v>3.3614000000000005E-2</v>
      </c>
      <c r="AG39" s="231">
        <f t="shared" ca="1" si="187"/>
        <v>6.722800000000001E-2</v>
      </c>
      <c r="AH39" s="232">
        <f t="shared" ca="1" si="188"/>
        <v>0.10084200000000001</v>
      </c>
      <c r="AI39" s="233">
        <f t="shared" ca="1" si="15"/>
        <v>1.25</v>
      </c>
      <c r="AJ39" s="233">
        <f t="shared" ca="1" si="16"/>
        <v>2</v>
      </c>
      <c r="AK39" s="234">
        <f t="shared" ca="1" si="17"/>
        <v>2.75</v>
      </c>
      <c r="AL39" s="919">
        <f t="shared" ca="1" si="18"/>
        <v>1.25</v>
      </c>
      <c r="AM39" s="233">
        <f t="shared" ca="1" si="19"/>
        <v>2</v>
      </c>
      <c r="AN39" s="234">
        <f t="shared" ca="1" si="20"/>
        <v>2.75</v>
      </c>
      <c r="AO39" s="233">
        <f t="shared" ca="1" si="21"/>
        <v>1.25</v>
      </c>
      <c r="AP39" s="233">
        <f t="shared" ca="1" si="22"/>
        <v>2</v>
      </c>
      <c r="AQ39" s="233">
        <f t="shared" ca="1" si="23"/>
        <v>2.75</v>
      </c>
      <c r="AR39" s="919">
        <f t="shared" ca="1" si="24"/>
        <v>0.35</v>
      </c>
      <c r="AS39" s="233">
        <f t="shared" ca="1" si="25"/>
        <v>0.5</v>
      </c>
      <c r="AT39" s="235">
        <f t="shared" ca="1" si="26"/>
        <v>0.7</v>
      </c>
      <c r="AU39" s="946">
        <f t="shared" si="27"/>
        <v>0.5</v>
      </c>
      <c r="AV39" s="13">
        <f t="shared" ca="1" si="28"/>
        <v>20</v>
      </c>
      <c r="AW39" s="210">
        <f t="shared" ca="1" si="29"/>
        <v>4</v>
      </c>
      <c r="AX39" s="210">
        <f t="shared" ca="1" si="30"/>
        <v>4</v>
      </c>
      <c r="AY39" s="210">
        <f t="shared" ca="1" si="31"/>
        <v>0</v>
      </c>
      <c r="AZ39" s="13">
        <f t="shared" ca="1" si="32"/>
        <v>28</v>
      </c>
      <c r="BA39" s="355">
        <f ca="1"/>
        <v>320</v>
      </c>
      <c r="BB39" s="363">
        <f ca="1"/>
        <v>64</v>
      </c>
      <c r="BC39" s="363">
        <f ca="1"/>
        <v>64</v>
      </c>
      <c r="BD39" s="927">
        <f ca="1"/>
        <v>224</v>
      </c>
      <c r="BE39" s="930">
        <f ca="1"/>
        <v>0.99998503923416138</v>
      </c>
      <c r="BF39" s="931">
        <f ca="1"/>
        <v>0.99998503923416138</v>
      </c>
      <c r="BG39" s="931">
        <f ca="1"/>
        <v>0.99998503923416138</v>
      </c>
      <c r="BH39" s="932">
        <f ca="1"/>
        <v>1.0000070855021477</v>
      </c>
      <c r="BI39" s="355">
        <f ca="1"/>
        <v>320</v>
      </c>
      <c r="BJ39" s="363">
        <f ca="1"/>
        <v>64</v>
      </c>
      <c r="BK39" s="363">
        <f ca="1"/>
        <v>64</v>
      </c>
      <c r="BL39" s="927">
        <f ca="1"/>
        <v>224</v>
      </c>
      <c r="BM39" s="930">
        <f ca="1"/>
        <v>0.99998503923416138</v>
      </c>
      <c r="BN39" s="931">
        <f ca="1"/>
        <v>0.99998503923416138</v>
      </c>
      <c r="BO39" s="931">
        <f ca="1"/>
        <v>0.99998503923416138</v>
      </c>
      <c r="BP39" s="932">
        <f ca="1"/>
        <v>1.0000070855021477</v>
      </c>
      <c r="BQ39" s="355">
        <f t="shared" ca="1" si="33"/>
        <v>672</v>
      </c>
      <c r="BR39" s="360">
        <f t="shared" ca="1" si="34"/>
        <v>672</v>
      </c>
      <c r="BS39" s="357">
        <f t="shared" ca="1" si="35"/>
        <v>583.15824900023085</v>
      </c>
      <c r="BT39" s="302">
        <f t="shared" ca="1" si="36"/>
        <v>28.727694410985528</v>
      </c>
      <c r="BU39" s="299">
        <f t="shared" ca="1" si="37"/>
        <v>29.513399513876969</v>
      </c>
      <c r="BV39" s="299">
        <f t="shared" ca="1" si="38"/>
        <v>30.29910461676841</v>
      </c>
      <c r="BW39" s="299">
        <f t="shared" ca="1" si="39"/>
        <v>32.659889647739881</v>
      </c>
      <c r="BX39" s="380">
        <f t="shared" ca="1" si="40"/>
        <v>1.9192334017796031</v>
      </c>
      <c r="BY39" s="363">
        <f t="shared" ca="1" si="41"/>
        <v>277.69440428582419</v>
      </c>
      <c r="BZ39" s="353">
        <f t="shared" ca="1" si="42"/>
        <v>55.538880857164841</v>
      </c>
      <c r="CA39" s="353">
        <f t="shared" ca="1" si="43"/>
        <v>55.538880857164841</v>
      </c>
      <c r="CB39" s="353">
        <f t="shared" ca="1" si="44"/>
        <v>388.77216600015385</v>
      </c>
      <c r="CC39" s="353">
        <f t="shared" ca="1" si="45"/>
        <v>194.38608300007695</v>
      </c>
      <c r="CD39" s="353">
        <f t="shared" ca="1" si="46"/>
        <v>583.15824900023085</v>
      </c>
      <c r="CE39" s="302">
        <f t="shared" ca="1" si="47"/>
        <v>37.699435979127884</v>
      </c>
      <c r="CF39" s="299">
        <f t="shared" ca="1" si="48"/>
        <v>28.170828689110973</v>
      </c>
      <c r="CG39" s="299">
        <f t="shared" ca="1" si="49"/>
        <v>28.14707835779393</v>
      </c>
      <c r="CH39" s="299">
        <f t="shared" ca="1" si="50"/>
        <v>34.973583848934908</v>
      </c>
      <c r="CI39" s="299">
        <f t="shared" ca="1" si="51"/>
        <v>20.950146152435419</v>
      </c>
      <c r="CJ39" s="299">
        <f t="shared" ca="1" si="52"/>
        <v>30.299104616768407</v>
      </c>
      <c r="CK39" s="299">
        <f t="shared" ca="1" si="53"/>
        <v>32.659889647739881</v>
      </c>
      <c r="CL39" s="377">
        <f t="shared" ca="1" si="54"/>
        <v>0.38902500000000007</v>
      </c>
      <c r="CM39" s="305">
        <f t="shared" ca="1" si="55"/>
        <v>0.38902500000000007</v>
      </c>
      <c r="CN39" s="305">
        <f t="shared" ca="1" si="56"/>
        <v>0.38902500000000007</v>
      </c>
      <c r="CO39" s="305">
        <f t="shared" ca="1" si="57"/>
        <v>0.38902500000000007</v>
      </c>
      <c r="CP39" s="305">
        <f t="shared" ca="1" si="58"/>
        <v>0.10084200000000001</v>
      </c>
      <c r="CQ39" s="305">
        <f t="shared" ca="1" si="59"/>
        <v>0.31802823696174087</v>
      </c>
      <c r="CR39" s="775">
        <f t="shared" ca="1" si="60"/>
        <v>0.40402500000000008</v>
      </c>
      <c r="CS39" s="305">
        <f t="shared" ca="1" si="61"/>
        <v>0.40402500000000008</v>
      </c>
      <c r="CT39" s="305">
        <f t="shared" ca="1" si="62"/>
        <v>0.40402500000000008</v>
      </c>
      <c r="CU39" s="305">
        <f t="shared" ca="1" si="63"/>
        <v>0.16084200000000001</v>
      </c>
      <c r="CV39" s="770">
        <f t="shared" ca="1" si="64"/>
        <v>0.31802823696174087</v>
      </c>
      <c r="CW39" s="302">
        <f t="shared" ca="1" si="65"/>
        <v>10.520292901581875</v>
      </c>
      <c r="CX39" s="299">
        <f t="shared" ca="1" si="66"/>
        <v>4.6855401797618992</v>
      </c>
      <c r="CY39" s="299">
        <f t="shared" ca="1" si="67"/>
        <v>4.673523756493962</v>
      </c>
      <c r="CZ39" s="299">
        <f t="shared" ca="1" si="68"/>
        <v>5.0233229946643032E-2</v>
      </c>
      <c r="DA39" s="774">
        <f t="shared" ca="1" si="69"/>
        <v>4.3863394329388772</v>
      </c>
      <c r="DB39" s="303">
        <f t="shared" ca="1" si="70"/>
        <v>2557.9300232333012</v>
      </c>
      <c r="DC39" s="248">
        <f t="shared" ca="1" si="71"/>
        <v>303.20597229694806</v>
      </c>
      <c r="DD39" s="778">
        <f t="shared" ca="1" si="72"/>
        <v>0</v>
      </c>
      <c r="DE39" s="363">
        <f t="shared" ca="1" si="73"/>
        <v>0.86779501339320064</v>
      </c>
      <c r="DF39" s="378">
        <f t="shared" ca="1" si="74"/>
        <v>-2.3488029353184437E-2</v>
      </c>
      <c r="DG39" s="508">
        <f t="shared" ca="1" si="75"/>
        <v>-0.54402911370558593</v>
      </c>
      <c r="DH39" s="508">
        <f t="shared" ca="1" si="76"/>
        <v>-0.5455360019731651</v>
      </c>
      <c r="DI39" s="508">
        <f t="shared" ca="1" si="77"/>
        <v>-2.1040193467829806</v>
      </c>
      <c r="DJ39" s="508">
        <f t="shared" ca="1" si="78"/>
        <v>-0.39058776811405826</v>
      </c>
      <c r="DK39" s="353">
        <f t="shared" ca="1" si="79"/>
        <v>-202.96883100697235</v>
      </c>
      <c r="DL39" s="781">
        <f t="shared" ca="1" si="80"/>
        <v>14.98044304173766</v>
      </c>
      <c r="DM39" s="303">
        <f t="shared" ca="1" si="81"/>
        <v>8712.2548425581135</v>
      </c>
      <c r="DN39" s="508">
        <f t="shared" ca="1" si="82"/>
        <v>0.79620411555113257</v>
      </c>
      <c r="DO39" s="508">
        <f t="shared" ca="1" si="83"/>
        <v>0.58587147068116652</v>
      </c>
      <c r="DP39" s="508">
        <f t="shared" ca="1" si="84"/>
        <v>0.58526258926071584</v>
      </c>
      <c r="DQ39" s="508">
        <f t="shared" ca="1" si="85"/>
        <v>0.37208578387111851</v>
      </c>
      <c r="DR39" s="508">
        <f t="shared" ca="1" si="86"/>
        <v>0.63844858877833333</v>
      </c>
      <c r="DS39" s="353">
        <f t="shared" ca="1" si="87"/>
        <v>7964.8489438666638</v>
      </c>
      <c r="DT39" s="353">
        <f t="shared" ca="1" si="88"/>
        <v>-3797.8496273910132</v>
      </c>
      <c r="DU39" s="380">
        <f t="shared" ca="1" si="189"/>
        <v>1.9192334017796031</v>
      </c>
      <c r="DV39" s="303">
        <f t="shared" ca="1" si="89"/>
        <v>277.69440428582419</v>
      </c>
      <c r="DW39" s="303">
        <f t="shared" ca="1" si="90"/>
        <v>55.538880857164841</v>
      </c>
      <c r="DX39" s="303">
        <f t="shared" ca="1" si="91"/>
        <v>55.538880857164841</v>
      </c>
      <c r="DY39" s="303">
        <f t="shared" ca="1" si="92"/>
        <v>388.77216600015385</v>
      </c>
      <c r="DZ39" s="303">
        <f t="shared" ca="1" si="93"/>
        <v>194.38608300007695</v>
      </c>
      <c r="EA39" s="303">
        <f t="shared" ca="1" si="94"/>
        <v>583.15824900023085</v>
      </c>
      <c r="EB39" s="302">
        <f t="shared" ca="1" si="95"/>
        <v>37.699435979127884</v>
      </c>
      <c r="EC39" s="299">
        <f t="shared" ca="1" si="96"/>
        <v>28.170828689110973</v>
      </c>
      <c r="ED39" s="299">
        <f t="shared" ca="1" si="97"/>
        <v>28.14707835779393</v>
      </c>
      <c r="EE39" s="299">
        <f t="shared" ca="1" si="98"/>
        <v>34.973583848934908</v>
      </c>
      <c r="EF39" s="299">
        <f t="shared" ca="1" si="99"/>
        <v>20.950146152435419</v>
      </c>
      <c r="EG39" s="299">
        <f t="shared" ca="1" si="100"/>
        <v>30.299104616768407</v>
      </c>
      <c r="EH39" s="302">
        <f t="shared" ca="1" si="101"/>
        <v>30</v>
      </c>
      <c r="EI39" s="304">
        <f t="shared" ca="1" si="102"/>
        <v>0.12967500000000001</v>
      </c>
      <c r="EJ39" s="305">
        <f t="shared" ca="1" si="103"/>
        <v>0.12967500000000001</v>
      </c>
      <c r="EK39" s="305">
        <f t="shared" ca="1" si="104"/>
        <v>0.12967500000000001</v>
      </c>
      <c r="EL39" s="305">
        <f t="shared" ca="1" si="105"/>
        <v>0.12967500000000007</v>
      </c>
      <c r="EM39" s="305">
        <f t="shared" ca="1" si="106"/>
        <v>3.3614000000000005E-2</v>
      </c>
      <c r="EN39" s="305">
        <f t="shared" ca="1" si="107"/>
        <v>0.10412088694910872</v>
      </c>
      <c r="EO39" s="305">
        <f t="shared" ca="1" si="108"/>
        <v>0.12967500000000001</v>
      </c>
      <c r="EP39" s="305">
        <f t="shared" ca="1" si="109"/>
        <v>0.12967500000000001</v>
      </c>
      <c r="EQ39" s="305">
        <f t="shared" ca="1" si="110"/>
        <v>0.12967500000000001</v>
      </c>
      <c r="ER39" s="305">
        <f t="shared" ca="1" si="111"/>
        <v>3.3614000000000005E-2</v>
      </c>
      <c r="ES39" s="305">
        <f t="shared" ca="1" si="112"/>
        <v>0.10412088694910872</v>
      </c>
      <c r="ET39" s="299">
        <f t="shared" ca="1" si="113"/>
        <v>1.5880098217972485</v>
      </c>
      <c r="EU39" s="302">
        <f t="shared" ca="1" si="114"/>
        <v>30</v>
      </c>
      <c r="EV39" s="304">
        <f t="shared" ca="1" si="115"/>
        <v>0.38902500000000007</v>
      </c>
      <c r="EW39" s="305">
        <f t="shared" ca="1" si="116"/>
        <v>0.38902500000000007</v>
      </c>
      <c r="EX39" s="305">
        <f t="shared" ca="1" si="117"/>
        <v>0.38902500000000007</v>
      </c>
      <c r="EY39" s="305">
        <f t="shared" ca="1" si="118"/>
        <v>0.38902500000000007</v>
      </c>
      <c r="EZ39" s="305">
        <f t="shared" ca="1" si="119"/>
        <v>0.10084200000000001</v>
      </c>
      <c r="FA39" s="305">
        <f t="shared" ca="1" si="120"/>
        <v>0.31802823696174087</v>
      </c>
      <c r="FB39" s="305">
        <f t="shared" ca="1" si="121"/>
        <v>0.38902500000000007</v>
      </c>
      <c r="FC39" s="305">
        <f t="shared" ca="1" si="122"/>
        <v>0.38902500000000007</v>
      </c>
      <c r="FD39" s="305">
        <f t="shared" ca="1" si="123"/>
        <v>0.38902500000000007</v>
      </c>
      <c r="FE39" s="305">
        <f t="shared" ca="1" si="124"/>
        <v>0.10084200000000001</v>
      </c>
      <c r="FF39" s="305">
        <f t="shared" ca="1" si="125"/>
        <v>0.31802823696174087</v>
      </c>
      <c r="FG39" s="299">
        <f t="shared" ca="1" si="126"/>
        <v>5.4076346805544304</v>
      </c>
      <c r="FH39" s="302">
        <f t="shared" ca="1" si="127"/>
        <v>-3.8196248587571819</v>
      </c>
      <c r="FI39" s="248">
        <f t="shared" ca="1" si="128"/>
        <v>-2227.4457444705922</v>
      </c>
      <c r="FJ39" s="363">
        <f t="shared" ca="1" si="129"/>
        <v>0.86779501339320064</v>
      </c>
      <c r="FK39" s="378">
        <f t="shared" ca="1" si="130"/>
        <v>1.1818239428856279</v>
      </c>
      <c r="FL39" s="508">
        <f t="shared" ca="1" si="131"/>
        <v>-0.44001227539452664</v>
      </c>
      <c r="FM39" s="508">
        <f t="shared" ca="1" si="132"/>
        <v>-0.44470724768917574</v>
      </c>
      <c r="FN39" s="508">
        <f t="shared" ca="1" si="133"/>
        <v>-7.7336138165544472</v>
      </c>
      <c r="FO39" s="508">
        <f t="shared" ca="1" si="134"/>
        <v>-3.3455330598289833E-3</v>
      </c>
      <c r="FP39" s="353">
        <f t="shared" ca="1" si="135"/>
        <v>292.35745422723886</v>
      </c>
      <c r="FQ39" s="356">
        <f t="shared" ca="1" si="136"/>
        <v>53.761481954774652</v>
      </c>
      <c r="FR39" s="380">
        <f t="shared" ca="1" si="137"/>
        <v>23</v>
      </c>
      <c r="FS39" s="299">
        <f t="shared" ca="1" si="138"/>
        <v>23</v>
      </c>
      <c r="FT39" s="299">
        <f t="shared" ca="1" si="139"/>
        <v>23</v>
      </c>
      <c r="FU39" s="299">
        <f t="shared" ca="1" si="140"/>
        <v>23</v>
      </c>
      <c r="FV39" s="299">
        <f t="shared" ca="1" si="141"/>
        <v>23</v>
      </c>
      <c r="FW39" s="850">
        <f t="shared" ca="1" si="142"/>
        <v>0.25</v>
      </c>
      <c r="FX39" s="851">
        <f t="shared" ca="1" si="143"/>
        <v>0.5</v>
      </c>
      <c r="FY39" s="851">
        <f t="shared" ca="1" si="144"/>
        <v>0</v>
      </c>
      <c r="FZ39" s="201">
        <f t="shared" ca="1" si="145"/>
        <v>0</v>
      </c>
      <c r="GA39" s="201">
        <f t="shared" ca="1" si="146"/>
        <v>0</v>
      </c>
      <c r="GB39" s="201">
        <f t="shared" ca="1" si="147"/>
        <v>0</v>
      </c>
      <c r="GC39" s="201">
        <f t="shared" ca="1" si="148"/>
        <v>0</v>
      </c>
      <c r="GD39" s="850">
        <f t="shared" ca="1" si="149"/>
        <v>0.40402500000000008</v>
      </c>
      <c r="GE39" s="866">
        <f t="shared" ca="1" si="150"/>
        <v>0.40402500000000008</v>
      </c>
      <c r="GF39" s="866">
        <f t="shared" ca="1" si="151"/>
        <v>0.40402500000000008</v>
      </c>
      <c r="GG39" s="866">
        <f t="shared" ca="1" si="152"/>
        <v>0.10084200000000001</v>
      </c>
      <c r="GH39" s="866">
        <f t="shared" ca="1" si="153"/>
        <v>0.33302823696174089</v>
      </c>
      <c r="GI39" s="302">
        <f t="shared" ca="1" si="154"/>
        <v>15.854950118410009</v>
      </c>
      <c r="GJ39" s="299">
        <f t="shared" ca="1" si="155"/>
        <v>7.938803559778008</v>
      </c>
      <c r="GK39" s="299">
        <f t="shared" ca="1" si="156"/>
        <v>7.92111400558474</v>
      </c>
      <c r="GL39" s="299">
        <f t="shared" ca="1" si="157"/>
        <v>1.7349238577668953</v>
      </c>
      <c r="GM39" s="299">
        <f t="shared" ca="1" si="158"/>
        <v>8.949804002647376</v>
      </c>
      <c r="GN39" s="302">
        <f t="shared" ca="1" si="159"/>
        <v>0.89518982324908181</v>
      </c>
      <c r="GO39" s="299">
        <f t="shared" ca="1" si="160"/>
        <v>0.74508919413364494</v>
      </c>
      <c r="GP39" s="299">
        <f t="shared" ca="1" si="161"/>
        <v>0.74453542990404453</v>
      </c>
      <c r="GQ39" s="299">
        <f t="shared" ca="1" si="162"/>
        <v>0.43706934942951903</v>
      </c>
      <c r="GR39" s="299">
        <f t="shared" ca="1" si="163"/>
        <v>0.80801502417298932</v>
      </c>
      <c r="GS39" s="302">
        <f t="shared" ca="1" si="164"/>
        <v>-0.77796537813012467</v>
      </c>
      <c r="GT39" s="299">
        <f t="shared" ca="1" si="165"/>
        <v>-0.56743391889025474</v>
      </c>
      <c r="GU39" s="299">
        <f t="shared" ca="1" si="166"/>
        <v>-0.5667559456746406</v>
      </c>
      <c r="GV39" s="299">
        <f t="shared" ca="1" si="167"/>
        <v>-0.32268441486647659</v>
      </c>
      <c r="GW39" s="299">
        <f t="shared" ca="1" si="168"/>
        <v>-0.67531845617831465</v>
      </c>
      <c r="GX39" s="303">
        <f t="shared" ca="1" si="169"/>
        <v>4402.8309281133252</v>
      </c>
      <c r="GY39" s="303">
        <f t="shared" ca="1" si="170"/>
        <v>440.91226505494689</v>
      </c>
      <c r="GZ39" s="303">
        <f t="shared" ca="1" si="171"/>
        <v>439.92980701219062</v>
      </c>
      <c r="HA39" s="303">
        <f t="shared" ca="1" si="172"/>
        <v>337.2450530146894</v>
      </c>
      <c r="HB39" s="303">
        <f t="shared" ca="1" si="173"/>
        <v>5219.1520310791011</v>
      </c>
      <c r="HC39" s="303">
        <f t="shared" ca="1" si="174"/>
        <v>4081.9511175615285</v>
      </c>
      <c r="HD39" s="303">
        <f t="shared" ca="1" si="175"/>
        <v>287.18203849734419</v>
      </c>
      <c r="HE39" s="303">
        <f t="shared" ca="1" si="176"/>
        <v>285.86297167600873</v>
      </c>
      <c r="HF39" s="303">
        <f t="shared" ca="1" si="177"/>
        <v>0</v>
      </c>
      <c r="HG39" s="852">
        <f t="shared" ca="1" si="178"/>
        <v>4256.5330675841651</v>
      </c>
      <c r="HH39" s="13"/>
      <c r="IG39" s="13"/>
      <c r="IH39" s="13"/>
      <c r="II39" s="13"/>
      <c r="IJ39" s="13"/>
      <c r="IK39" s="13"/>
      <c r="IL39" s="13"/>
      <c r="IM39" s="13"/>
      <c r="IN39" s="13"/>
      <c r="IO39" s="13"/>
      <c r="IP39" s="13"/>
      <c r="IQ39" s="13"/>
      <c r="IR39" s="13"/>
      <c r="IS39" s="13"/>
      <c r="IT39" s="13"/>
      <c r="IU39" s="13"/>
      <c r="IV39" s="13"/>
    </row>
    <row r="40" spans="1:256" x14ac:dyDescent="0.25">
      <c r="A40" s="244">
        <f t="shared" ca="1" si="179"/>
        <v>37316</v>
      </c>
      <c r="B40" s="13">
        <f t="shared" ca="1" si="3"/>
        <v>2002</v>
      </c>
      <c r="C40" s="619">
        <f t="shared" ca="1" si="180"/>
        <v>3</v>
      </c>
      <c r="D40" s="195" t="str">
        <f t="shared" ca="1" si="4"/>
        <v/>
      </c>
      <c r="E40" s="469">
        <f t="shared" ca="1" si="5"/>
        <v>37316</v>
      </c>
      <c r="F40" s="465">
        <f t="shared" ca="1" si="6"/>
        <v>37346</v>
      </c>
      <c r="G40" s="521">
        <f t="shared" ca="1" si="181"/>
        <v>1</v>
      </c>
      <c r="H40" s="518">
        <f t="shared" ca="1" si="182"/>
        <v>1</v>
      </c>
      <c r="I40" s="724">
        <f t="shared" ca="1" si="7"/>
        <v>7.0635022617049001E-2</v>
      </c>
      <c r="J40" s="198">
        <f t="shared" ca="1" si="8"/>
        <v>0.86238789707049279</v>
      </c>
      <c r="K40" s="200">
        <f t="shared" ca="1" si="190"/>
        <v>32.799999999999997</v>
      </c>
      <c r="L40" s="201">
        <f t="shared" ca="1" si="191"/>
        <v>33.25</v>
      </c>
      <c r="M40" s="206">
        <f t="shared" ca="1" si="192"/>
        <v>33.700000000000003</v>
      </c>
      <c r="N40" s="851">
        <f t="shared" ca="1" si="196"/>
        <v>20.497249603271484</v>
      </c>
      <c r="O40" s="201">
        <f t="shared" ca="1" si="197"/>
        <v>20.834749603271483</v>
      </c>
      <c r="P40" s="206">
        <f t="shared" ca="1" si="198"/>
        <v>21.172249603271482</v>
      </c>
      <c r="Q40" s="201">
        <f t="shared" ca="1" si="199"/>
        <v>17.464498901367186</v>
      </c>
      <c r="R40" s="201">
        <f t="shared" ca="1" si="200"/>
        <v>20.464498901367186</v>
      </c>
      <c r="S40" s="201">
        <f t="shared" ca="1" si="201"/>
        <v>23.464498901367186</v>
      </c>
      <c r="T40" s="851">
        <f t="shared" ca="1" si="193"/>
        <v>19.374999618530271</v>
      </c>
      <c r="U40" s="201">
        <f t="shared" ca="1" si="194"/>
        <v>19.599999618530273</v>
      </c>
      <c r="V40" s="206">
        <f t="shared" ca="1" si="195"/>
        <v>19.824999618530274</v>
      </c>
      <c r="W40" s="230">
        <f t="shared" ca="1" si="183"/>
        <v>0.12621937500000002</v>
      </c>
      <c r="X40" s="231">
        <f t="shared" ca="1" si="184"/>
        <v>0.25243875000000005</v>
      </c>
      <c r="Y40" s="232">
        <f t="shared" ca="1" si="185"/>
        <v>0.37865812500000007</v>
      </c>
      <c r="Z40" s="231">
        <f t="shared" ca="1" si="202"/>
        <v>0.12621937500000002</v>
      </c>
      <c r="AA40" s="231">
        <f t="shared" ca="1" si="203"/>
        <v>0.25243875000000005</v>
      </c>
      <c r="AB40" s="232">
        <f t="shared" ca="1" si="204"/>
        <v>0.37865812500000007</v>
      </c>
      <c r="AC40" s="231">
        <f t="shared" ca="1" si="205"/>
        <v>0.12621937500000002</v>
      </c>
      <c r="AD40" s="231">
        <f t="shared" ca="1" si="206"/>
        <v>0.25243875000000005</v>
      </c>
      <c r="AE40" s="232">
        <f t="shared" ca="1" si="14"/>
        <v>0.37865812500000007</v>
      </c>
      <c r="AF40" s="231">
        <f t="shared" ca="1" si="186"/>
        <v>2.8811999999999997E-2</v>
      </c>
      <c r="AG40" s="231">
        <f t="shared" ca="1" si="187"/>
        <v>5.7623999999999995E-2</v>
      </c>
      <c r="AH40" s="232">
        <f t="shared" ca="1" si="188"/>
        <v>8.6435999999999985E-2</v>
      </c>
      <c r="AI40" s="233">
        <f t="shared" ca="1" si="15"/>
        <v>1.05</v>
      </c>
      <c r="AJ40" s="233">
        <f t="shared" ca="1" si="16"/>
        <v>1.3</v>
      </c>
      <c r="AK40" s="234">
        <f t="shared" ca="1" si="17"/>
        <v>1.6</v>
      </c>
      <c r="AL40" s="919">
        <f t="shared" ca="1" si="18"/>
        <v>1.05</v>
      </c>
      <c r="AM40" s="233">
        <f t="shared" ca="1" si="19"/>
        <v>1.3</v>
      </c>
      <c r="AN40" s="234">
        <f t="shared" ca="1" si="20"/>
        <v>1.6</v>
      </c>
      <c r="AO40" s="233">
        <f t="shared" ca="1" si="21"/>
        <v>1.05</v>
      </c>
      <c r="AP40" s="233">
        <f t="shared" ca="1" si="22"/>
        <v>1.3</v>
      </c>
      <c r="AQ40" s="233">
        <f t="shared" ca="1" si="23"/>
        <v>1.6</v>
      </c>
      <c r="AR40" s="919">
        <f t="shared" ca="1" si="24"/>
        <v>0.19999999999999998</v>
      </c>
      <c r="AS40" s="233">
        <f t="shared" ca="1" si="25"/>
        <v>0.35</v>
      </c>
      <c r="AT40" s="235">
        <f t="shared" ca="1" si="26"/>
        <v>0.55000000000000004</v>
      </c>
      <c r="AU40" s="946">
        <f t="shared" si="27"/>
        <v>0.5</v>
      </c>
      <c r="AV40" s="13">
        <f t="shared" ca="1" si="28"/>
        <v>21</v>
      </c>
      <c r="AW40" s="210">
        <f t="shared" ca="1" si="29"/>
        <v>5</v>
      </c>
      <c r="AX40" s="210">
        <f t="shared" ca="1" si="30"/>
        <v>5</v>
      </c>
      <c r="AY40" s="210">
        <f t="shared" ca="1" si="31"/>
        <v>0</v>
      </c>
      <c r="AZ40" s="13">
        <f t="shared" ca="1" si="32"/>
        <v>31</v>
      </c>
      <c r="BA40" s="355">
        <f ca="1"/>
        <v>336</v>
      </c>
      <c r="BB40" s="363">
        <f ca="1"/>
        <v>80</v>
      </c>
      <c r="BC40" s="363">
        <f ca="1"/>
        <v>80</v>
      </c>
      <c r="BD40" s="927">
        <f ca="1"/>
        <v>248</v>
      </c>
      <c r="BE40" s="930">
        <f ca="1"/>
        <v>0.99999375641345978</v>
      </c>
      <c r="BF40" s="931">
        <f ca="1"/>
        <v>0.99999375641345978</v>
      </c>
      <c r="BG40" s="931">
        <f ca="1"/>
        <v>0.99999375641345978</v>
      </c>
      <c r="BH40" s="932">
        <f ca="1"/>
        <v>0.99999988824129105</v>
      </c>
      <c r="BI40" s="355">
        <f ca="1"/>
        <v>336</v>
      </c>
      <c r="BJ40" s="363">
        <f ca="1"/>
        <v>80</v>
      </c>
      <c r="BK40" s="363">
        <f ca="1"/>
        <v>80</v>
      </c>
      <c r="BL40" s="927">
        <f ca="1"/>
        <v>248</v>
      </c>
      <c r="BM40" s="930">
        <f ca="1"/>
        <v>0.99999375641345978</v>
      </c>
      <c r="BN40" s="931">
        <f ca="1"/>
        <v>0.99999375641345978</v>
      </c>
      <c r="BO40" s="931">
        <f ca="1"/>
        <v>0.99999375641345978</v>
      </c>
      <c r="BP40" s="932">
        <f ca="1"/>
        <v>0.99999988824129105</v>
      </c>
      <c r="BQ40" s="355">
        <f t="shared" ca="1" si="33"/>
        <v>744</v>
      </c>
      <c r="BR40" s="360">
        <f t="shared" ca="1" si="34"/>
        <v>744</v>
      </c>
      <c r="BS40" s="357">
        <f t="shared" ca="1" si="35"/>
        <v>641.61659542044663</v>
      </c>
      <c r="BT40" s="302">
        <f t="shared" ca="1" si="36"/>
        <v>25.353026180175419</v>
      </c>
      <c r="BU40" s="299">
        <f t="shared" ca="1" si="37"/>
        <v>25.990119436487213</v>
      </c>
      <c r="BV40" s="299">
        <f t="shared" ca="1" si="38"/>
        <v>26.627212692799002</v>
      </c>
      <c r="BW40" s="299">
        <f t="shared" ca="1" si="39"/>
        <v>32.659889647739881</v>
      </c>
      <c r="BX40" s="380">
        <f t="shared" ca="1" si="40"/>
        <v>1.9958932238193019</v>
      </c>
      <c r="BY40" s="363">
        <f t="shared" ca="1" si="41"/>
        <v>289.76233341568559</v>
      </c>
      <c r="BZ40" s="353">
        <f t="shared" ca="1" si="42"/>
        <v>68.99103176563942</v>
      </c>
      <c r="CA40" s="353">
        <f t="shared" ca="1" si="43"/>
        <v>68.99103176563942</v>
      </c>
      <c r="CB40" s="353">
        <f t="shared" ca="1" si="44"/>
        <v>427.74439694696446</v>
      </c>
      <c r="CC40" s="353">
        <f t="shared" ca="1" si="45"/>
        <v>213.8721984734822</v>
      </c>
      <c r="CD40" s="353">
        <f t="shared" ca="1" si="46"/>
        <v>641.61659542044663</v>
      </c>
      <c r="CE40" s="302">
        <f t="shared" ca="1" si="47"/>
        <v>33.699789591133595</v>
      </c>
      <c r="CF40" s="299">
        <f t="shared" ca="1" si="48"/>
        <v>21.172117412498832</v>
      </c>
      <c r="CG40" s="299">
        <f t="shared" ca="1" si="49"/>
        <v>23.464352398737674</v>
      </c>
      <c r="CH40" s="299">
        <f t="shared" ca="1" si="50"/>
        <v>30.028320337741551</v>
      </c>
      <c r="CI40" s="299">
        <f t="shared" ca="1" si="51"/>
        <v>19.824997402913912</v>
      </c>
      <c r="CJ40" s="299">
        <f t="shared" ca="1" si="52"/>
        <v>26.627212692799006</v>
      </c>
      <c r="CK40" s="299">
        <f t="shared" ca="1" si="53"/>
        <v>32.659889647739881</v>
      </c>
      <c r="CL40" s="377">
        <f t="shared" ca="1" si="54"/>
        <v>0.37865812500000007</v>
      </c>
      <c r="CM40" s="305">
        <f t="shared" ca="1" si="55"/>
        <v>0.37865812500000007</v>
      </c>
      <c r="CN40" s="305">
        <f t="shared" ca="1" si="56"/>
        <v>0.37865812500000007</v>
      </c>
      <c r="CO40" s="305">
        <f t="shared" ca="1" si="57"/>
        <v>0.37865812500000007</v>
      </c>
      <c r="CP40" s="305">
        <f t="shared" ca="1" si="58"/>
        <v>8.6435999999999985E-2</v>
      </c>
      <c r="CQ40" s="305">
        <f t="shared" ca="1" si="59"/>
        <v>0.30264726268406167</v>
      </c>
      <c r="CR40" s="775">
        <f t="shared" ca="1" si="60"/>
        <v>0.37865812500000007</v>
      </c>
      <c r="CS40" s="305">
        <f t="shared" ca="1" si="61"/>
        <v>0.43865812500000007</v>
      </c>
      <c r="CT40" s="305">
        <f t="shared" ca="1" si="62"/>
        <v>0.42865812500000006</v>
      </c>
      <c r="CU40" s="305">
        <f t="shared" ca="1" si="63"/>
        <v>0.14643599999999998</v>
      </c>
      <c r="CV40" s="770">
        <f t="shared" ca="1" si="64"/>
        <v>0.32764726268406169</v>
      </c>
      <c r="CW40" s="302">
        <f t="shared" ca="1" si="65"/>
        <v>7.5292273314944165</v>
      </c>
      <c r="CX40" s="299">
        <f t="shared" ca="1" si="66"/>
        <v>2.2683487581055255</v>
      </c>
      <c r="CY40" s="299">
        <f t="shared" ca="1" si="67"/>
        <v>3.0112314729127263</v>
      </c>
      <c r="CZ40" s="299">
        <f t="shared" ca="1" si="68"/>
        <v>1.3707063696138083E-2</v>
      </c>
      <c r="DA40" s="774">
        <f t="shared" ca="1" si="69"/>
        <v>2.9175131240476482</v>
      </c>
      <c r="DB40" s="303">
        <f t="shared" ca="1" si="70"/>
        <v>1871.9248377459232</v>
      </c>
      <c r="DC40" s="248">
        <f t="shared" ca="1" si="71"/>
        <v>267.51494171761482</v>
      </c>
      <c r="DD40" s="778">
        <f t="shared" ca="1" si="72"/>
        <v>0</v>
      </c>
      <c r="DE40" s="363">
        <f t="shared" ca="1" si="73"/>
        <v>0.86238789707049279</v>
      </c>
      <c r="DF40" s="378">
        <f t="shared" ca="1" si="74"/>
        <v>-0.20888488033614108</v>
      </c>
      <c r="DG40" s="508">
        <f t="shared" ca="1" si="75"/>
        <v>-1.0093097328711393</v>
      </c>
      <c r="DH40" s="508">
        <f t="shared" ca="1" si="76"/>
        <v>-0.84881625799623583</v>
      </c>
      <c r="DI40" s="508">
        <f t="shared" ca="1" si="77"/>
        <v>-2.5164633505874368</v>
      </c>
      <c r="DJ40" s="508">
        <f t="shared" ca="1" si="78"/>
        <v>-0.67261798737735501</v>
      </c>
      <c r="DK40" s="353">
        <f t="shared" ca="1" si="79"/>
        <v>-160.78597909647155</v>
      </c>
      <c r="DL40" s="781">
        <f t="shared" ca="1" si="80"/>
        <v>13.503777364307169</v>
      </c>
      <c r="DM40" s="303">
        <f t="shared" ca="1" si="81"/>
        <v>8041.7961824921349</v>
      </c>
      <c r="DN40" s="508">
        <f t="shared" ca="1" si="82"/>
        <v>0.72849827047443738</v>
      </c>
      <c r="DO40" s="508">
        <f t="shared" ca="1" si="83"/>
        <v>0.39945958081024419</v>
      </c>
      <c r="DP40" s="508">
        <f t="shared" ca="1" si="84"/>
        <v>0.4722302349991937</v>
      </c>
      <c r="DQ40" s="508">
        <f t="shared" ca="1" si="85"/>
        <v>0.35292089180345659</v>
      </c>
      <c r="DR40" s="508">
        <f t="shared" ca="1" si="86"/>
        <v>0.56174575520026859</v>
      </c>
      <c r="DS40" s="353">
        <f t="shared" ca="1" si="87"/>
        <v>8223.5168022693833</v>
      </c>
      <c r="DT40" s="353">
        <f t="shared" ca="1" si="88"/>
        <v>-3931.0265460452993</v>
      </c>
      <c r="DU40" s="380">
        <f t="shared" ca="1" si="189"/>
        <v>1.9958932238193019</v>
      </c>
      <c r="DV40" s="303">
        <f t="shared" ca="1" si="89"/>
        <v>289.76233341568559</v>
      </c>
      <c r="DW40" s="303">
        <f t="shared" ca="1" si="90"/>
        <v>68.99103176563942</v>
      </c>
      <c r="DX40" s="303">
        <f t="shared" ca="1" si="91"/>
        <v>68.99103176563942</v>
      </c>
      <c r="DY40" s="303">
        <f t="shared" ca="1" si="92"/>
        <v>427.74439694696446</v>
      </c>
      <c r="DZ40" s="303">
        <f t="shared" ca="1" si="93"/>
        <v>213.8721984734822</v>
      </c>
      <c r="EA40" s="303">
        <f t="shared" ca="1" si="94"/>
        <v>641.61659542044663</v>
      </c>
      <c r="EB40" s="302">
        <f t="shared" ca="1" si="95"/>
        <v>33.699789591133595</v>
      </c>
      <c r="EC40" s="299">
        <f t="shared" ca="1" si="96"/>
        <v>21.172117412498832</v>
      </c>
      <c r="ED40" s="299">
        <f t="shared" ca="1" si="97"/>
        <v>23.464352398737674</v>
      </c>
      <c r="EE40" s="299">
        <f t="shared" ca="1" si="98"/>
        <v>30.028320337741551</v>
      </c>
      <c r="EF40" s="299">
        <f t="shared" ca="1" si="99"/>
        <v>19.824997402913912</v>
      </c>
      <c r="EG40" s="299">
        <f t="shared" ca="1" si="100"/>
        <v>26.627212692799006</v>
      </c>
      <c r="EH40" s="302">
        <f t="shared" ca="1" si="101"/>
        <v>30</v>
      </c>
      <c r="EI40" s="304">
        <f t="shared" ca="1" si="102"/>
        <v>0.12621937500000002</v>
      </c>
      <c r="EJ40" s="305">
        <f t="shared" ca="1" si="103"/>
        <v>0.12621937500000002</v>
      </c>
      <c r="EK40" s="305">
        <f t="shared" ca="1" si="104"/>
        <v>0.12621937500000002</v>
      </c>
      <c r="EL40" s="305">
        <f t="shared" ca="1" si="105"/>
        <v>0.12621937500000005</v>
      </c>
      <c r="EM40" s="305">
        <f t="shared" ca="1" si="106"/>
        <v>2.8811999999999997E-2</v>
      </c>
      <c r="EN40" s="305">
        <f t="shared" ca="1" si="107"/>
        <v>9.8916184520700848E-2</v>
      </c>
      <c r="EO40" s="305">
        <f t="shared" ca="1" si="108"/>
        <v>0.12621937500000002</v>
      </c>
      <c r="EP40" s="305">
        <f t="shared" ca="1" si="109"/>
        <v>0.12621937500000002</v>
      </c>
      <c r="EQ40" s="305">
        <f t="shared" ca="1" si="110"/>
        <v>0.12621937500000002</v>
      </c>
      <c r="ER40" s="305">
        <f t="shared" ca="1" si="111"/>
        <v>2.8811999999999997E-2</v>
      </c>
      <c r="ES40" s="305">
        <f t="shared" ca="1" si="112"/>
        <v>9.8916184520700848E-2</v>
      </c>
      <c r="ET40" s="299">
        <f t="shared" ca="1" si="113"/>
        <v>3.8038250902266455</v>
      </c>
      <c r="EU40" s="302">
        <f t="shared" ca="1" si="114"/>
        <v>30</v>
      </c>
      <c r="EV40" s="304">
        <f t="shared" ca="1" si="115"/>
        <v>0.37865812500000007</v>
      </c>
      <c r="EW40" s="305">
        <f t="shared" ca="1" si="116"/>
        <v>0.37865812500000007</v>
      </c>
      <c r="EX40" s="305">
        <f t="shared" ca="1" si="117"/>
        <v>0.37865812500000007</v>
      </c>
      <c r="EY40" s="305">
        <f t="shared" ca="1" si="118"/>
        <v>0.37865812500000007</v>
      </c>
      <c r="EZ40" s="305">
        <f t="shared" ca="1" si="119"/>
        <v>8.6435999999999985E-2</v>
      </c>
      <c r="FA40" s="305">
        <f t="shared" ca="1" si="120"/>
        <v>0.30264726268406167</v>
      </c>
      <c r="FB40" s="305">
        <f t="shared" ca="1" si="121"/>
        <v>0.37865812500000007</v>
      </c>
      <c r="FC40" s="305">
        <f t="shared" ca="1" si="122"/>
        <v>0.37865812500000007</v>
      </c>
      <c r="FD40" s="305">
        <f t="shared" ca="1" si="123"/>
        <v>0.37865812500000007</v>
      </c>
      <c r="FE40" s="305">
        <f t="shared" ca="1" si="124"/>
        <v>8.6435999999999985E-2</v>
      </c>
      <c r="FF40" s="305">
        <f t="shared" ca="1" si="125"/>
        <v>0.30264726268406167</v>
      </c>
      <c r="FG40" s="299">
        <f t="shared" ca="1" si="126"/>
        <v>3.2888476951796886</v>
      </c>
      <c r="FH40" s="302">
        <f t="shared" ca="1" si="127"/>
        <v>0.51497739504695694</v>
      </c>
      <c r="FI40" s="248">
        <f t="shared" ca="1" si="128"/>
        <v>330.4180429285189</v>
      </c>
      <c r="FJ40" s="363">
        <f t="shared" ca="1" si="129"/>
        <v>0.86238789707049279</v>
      </c>
      <c r="FK40" s="378">
        <f t="shared" ca="1" si="130"/>
        <v>0.56301501776397411</v>
      </c>
      <c r="FL40" s="508">
        <f t="shared" ca="1" si="131"/>
        <v>-2.0436037029770113</v>
      </c>
      <c r="FM40" s="508">
        <f t="shared" ca="1" si="132"/>
        <v>-1.467120281762712</v>
      </c>
      <c r="FN40" s="508">
        <f t="shared" ca="1" si="133"/>
        <v>-10.197460283799677</v>
      </c>
      <c r="FO40" s="508">
        <f t="shared" ca="1" si="134"/>
        <v>-0.92331071503333806</v>
      </c>
      <c r="FP40" s="353">
        <f t="shared" ca="1" si="135"/>
        <v>527.45848451731649</v>
      </c>
      <c r="FQ40" s="356">
        <f t="shared" ca="1" si="136"/>
        <v>39.866670893124621</v>
      </c>
      <c r="FR40" s="380">
        <f t="shared" ca="1" si="137"/>
        <v>21.992000000000001</v>
      </c>
      <c r="FS40" s="299">
        <f t="shared" ca="1" si="138"/>
        <v>21.992000000000001</v>
      </c>
      <c r="FT40" s="299">
        <f t="shared" ca="1" si="139"/>
        <v>21.992000000000001</v>
      </c>
      <c r="FU40" s="299">
        <f t="shared" ca="1" si="140"/>
        <v>21.992000000000001</v>
      </c>
      <c r="FV40" s="299">
        <f t="shared" ca="1" si="141"/>
        <v>21.992000000000001</v>
      </c>
      <c r="FW40" s="850">
        <f t="shared" ca="1" si="142"/>
        <v>0.23499999999999999</v>
      </c>
      <c r="FX40" s="851">
        <f t="shared" ca="1" si="143"/>
        <v>0.5</v>
      </c>
      <c r="FY40" s="851">
        <f t="shared" ca="1" si="144"/>
        <v>0</v>
      </c>
      <c r="FZ40" s="201">
        <f t="shared" ca="1" si="145"/>
        <v>0</v>
      </c>
      <c r="GA40" s="201">
        <f t="shared" ca="1" si="146"/>
        <v>0</v>
      </c>
      <c r="GB40" s="201">
        <f t="shared" ca="1" si="147"/>
        <v>0</v>
      </c>
      <c r="GC40" s="201">
        <f t="shared" ca="1" si="148"/>
        <v>0</v>
      </c>
      <c r="GD40" s="850">
        <f t="shared" ca="1" si="149"/>
        <v>0.39365812500000008</v>
      </c>
      <c r="GE40" s="866">
        <f t="shared" ca="1" si="150"/>
        <v>0.37865812500000007</v>
      </c>
      <c r="GF40" s="866">
        <f t="shared" ca="1" si="151"/>
        <v>0.37865812500000007</v>
      </c>
      <c r="GG40" s="866">
        <f t="shared" ca="1" si="152"/>
        <v>8.6435999999999985E-2</v>
      </c>
      <c r="GH40" s="866">
        <f t="shared" ca="1" si="153"/>
        <v>0.31764726268406168</v>
      </c>
      <c r="GI40" s="302">
        <f t="shared" ca="1" si="154"/>
        <v>13.056170741137135</v>
      </c>
      <c r="GJ40" s="299">
        <f t="shared" ca="1" si="155"/>
        <v>3.5939263465233759</v>
      </c>
      <c r="GK40" s="299">
        <f t="shared" ca="1" si="156"/>
        <v>4.9785902138566245</v>
      </c>
      <c r="GL40" s="299">
        <f t="shared" ca="1" si="157"/>
        <v>1.4849492009611753</v>
      </c>
      <c r="GM40" s="299">
        <f t="shared" ca="1" si="158"/>
        <v>6.6236493514416575</v>
      </c>
      <c r="GN40" s="302">
        <f t="shared" ca="1" si="159"/>
        <v>0.86927994756867399</v>
      </c>
      <c r="GO40" s="299">
        <f t="shared" ca="1" si="160"/>
        <v>0.56066360875687971</v>
      </c>
      <c r="GP40" s="299">
        <f t="shared" ca="1" si="161"/>
        <v>0.64520967743167301</v>
      </c>
      <c r="GQ40" s="299">
        <f t="shared" ca="1" si="162"/>
        <v>0.41635088276828797</v>
      </c>
      <c r="GR40" s="299">
        <f t="shared" ca="1" si="163"/>
        <v>0.75044816048640506</v>
      </c>
      <c r="GS40" s="302">
        <f t="shared" ca="1" si="164"/>
        <v>-0.7383766092990407</v>
      </c>
      <c r="GT40" s="299">
        <f t="shared" ca="1" si="165"/>
        <v>-0.37634178662485229</v>
      </c>
      <c r="GU40" s="299">
        <f t="shared" ca="1" si="166"/>
        <v>-0.46202433438992979</v>
      </c>
      <c r="GV40" s="299">
        <f t="shared" ca="1" si="167"/>
        <v>-0.30780304484436111</v>
      </c>
      <c r="GW40" s="299">
        <f t="shared" ca="1" si="168"/>
        <v>-0.60743420482796606</v>
      </c>
      <c r="GX40" s="303">
        <f t="shared" ca="1" si="169"/>
        <v>3783.1864994254975</v>
      </c>
      <c r="GY40" s="303">
        <f t="shared" ca="1" si="170"/>
        <v>247.94868673636265</v>
      </c>
      <c r="GZ40" s="303">
        <f t="shared" ca="1" si="171"/>
        <v>343.47807559228391</v>
      </c>
      <c r="HA40" s="303">
        <f t="shared" ca="1" si="172"/>
        <v>317.5893502310073</v>
      </c>
      <c r="HB40" s="303">
        <f t="shared" ca="1" si="173"/>
        <v>4249.8433461308459</v>
      </c>
      <c r="HC40" s="303">
        <f t="shared" ca="1" si="174"/>
        <v>3392.4764310667456</v>
      </c>
      <c r="HD40" s="303">
        <f t="shared" ca="1" si="175"/>
        <v>0</v>
      </c>
      <c r="HE40" s="303">
        <f t="shared" ca="1" si="176"/>
        <v>101.57911111152619</v>
      </c>
      <c r="HF40" s="303">
        <f t="shared" ca="1" si="177"/>
        <v>0</v>
      </c>
      <c r="HG40" s="852">
        <f t="shared" ca="1" si="178"/>
        <v>2974.0293870033383</v>
      </c>
      <c r="HH40" s="13"/>
      <c r="IG40" s="13"/>
      <c r="IH40" s="13"/>
      <c r="II40" s="13"/>
      <c r="IJ40" s="13"/>
      <c r="IK40" s="13"/>
      <c r="IL40" s="13"/>
      <c r="IM40" s="13"/>
      <c r="IN40" s="13"/>
      <c r="IO40" s="13"/>
      <c r="IP40" s="13"/>
      <c r="IQ40" s="13"/>
      <c r="IR40" s="13"/>
      <c r="IS40" s="13"/>
      <c r="IT40" s="13"/>
      <c r="IU40" s="13"/>
      <c r="IV40" s="13"/>
    </row>
    <row r="41" spans="1:256" x14ac:dyDescent="0.25">
      <c r="A41" s="244">
        <f t="shared" ca="1" si="179"/>
        <v>37347</v>
      </c>
      <c r="B41" s="13">
        <f t="shared" ca="1" si="3"/>
        <v>2002</v>
      </c>
      <c r="C41" s="619">
        <f t="shared" ca="1" si="180"/>
        <v>4</v>
      </c>
      <c r="D41" s="195" t="str">
        <f t="shared" ca="1" si="4"/>
        <v/>
      </c>
      <c r="E41" s="469">
        <f t="shared" ca="1" si="5"/>
        <v>37347</v>
      </c>
      <c r="F41" s="465">
        <f t="shared" ca="1" si="6"/>
        <v>37376</v>
      </c>
      <c r="G41" s="522">
        <f t="shared" ca="1" si="181"/>
        <v>1</v>
      </c>
      <c r="H41" s="519">
        <f t="shared" ca="1" si="182"/>
        <v>1</v>
      </c>
      <c r="I41" s="724">
        <f t="shared" ca="1" si="7"/>
        <v>7.0812521572685999E-2</v>
      </c>
      <c r="J41" s="198">
        <f t="shared" ca="1" si="8"/>
        <v>0.85715940312422123</v>
      </c>
      <c r="K41" s="200">
        <f t="shared" ca="1" si="190"/>
        <v>31.7</v>
      </c>
      <c r="L41" s="201">
        <f t="shared" ca="1" si="191"/>
        <v>32</v>
      </c>
      <c r="M41" s="206">
        <f t="shared" ca="1" si="192"/>
        <v>32.299999999999997</v>
      </c>
      <c r="N41" s="851">
        <f t="shared" ca="1" si="196"/>
        <v>21.292500305175778</v>
      </c>
      <c r="O41" s="201">
        <f t="shared" ca="1" si="197"/>
        <v>21.51750030517578</v>
      </c>
      <c r="P41" s="206">
        <f t="shared" ca="1" si="198"/>
        <v>21.742500305175781</v>
      </c>
      <c r="Q41" s="201">
        <f t="shared" ca="1" si="199"/>
        <v>17.234999084472655</v>
      </c>
      <c r="R41" s="201">
        <f t="shared" ca="1" si="200"/>
        <v>20.234999084472655</v>
      </c>
      <c r="S41" s="201">
        <f t="shared" ca="1" si="201"/>
        <v>23.234999084472655</v>
      </c>
      <c r="T41" s="851">
        <f t="shared" ca="1" si="193"/>
        <v>19.449997711181641</v>
      </c>
      <c r="U41" s="201">
        <f t="shared" ca="1" si="194"/>
        <v>19.59999771118164</v>
      </c>
      <c r="V41" s="206">
        <f t="shared" ca="1" si="195"/>
        <v>19.749997711181638</v>
      </c>
      <c r="W41" s="230">
        <f t="shared" ca="1" si="183"/>
        <v>0.11264625</v>
      </c>
      <c r="X41" s="231">
        <f t="shared" ca="1" si="184"/>
        <v>0.22529250000000001</v>
      </c>
      <c r="Y41" s="232">
        <f t="shared" ca="1" si="185"/>
        <v>0.33793875000000001</v>
      </c>
      <c r="Z41" s="231">
        <f t="shared" ca="1" si="202"/>
        <v>0.11264625</v>
      </c>
      <c r="AA41" s="231">
        <f t="shared" ca="1" si="203"/>
        <v>0.22529250000000001</v>
      </c>
      <c r="AB41" s="232">
        <f t="shared" ca="1" si="204"/>
        <v>0.33793875000000001</v>
      </c>
      <c r="AC41" s="231">
        <f t="shared" ca="1" si="205"/>
        <v>0.11264625</v>
      </c>
      <c r="AD41" s="231">
        <f t="shared" ca="1" si="206"/>
        <v>0.22529250000000001</v>
      </c>
      <c r="AE41" s="232">
        <f t="shared" ca="1" si="14"/>
        <v>0.33793875000000001</v>
      </c>
      <c r="AF41" s="231">
        <f t="shared" ca="1" si="186"/>
        <v>2.8811999999999997E-2</v>
      </c>
      <c r="AG41" s="231">
        <f t="shared" ca="1" si="187"/>
        <v>5.7623999999999995E-2</v>
      </c>
      <c r="AH41" s="232">
        <f t="shared" ca="1" si="188"/>
        <v>8.6435999999999985E-2</v>
      </c>
      <c r="AI41" s="233">
        <f t="shared" ca="1" si="15"/>
        <v>0.85000000000000009</v>
      </c>
      <c r="AJ41" s="233">
        <f t="shared" ca="1" si="16"/>
        <v>1.1000000000000001</v>
      </c>
      <c r="AK41" s="234">
        <f t="shared" ca="1" si="17"/>
        <v>1.4000000000000001</v>
      </c>
      <c r="AL41" s="919">
        <f t="shared" ca="1" si="18"/>
        <v>0.85000000000000009</v>
      </c>
      <c r="AM41" s="233">
        <f t="shared" ca="1" si="19"/>
        <v>1.1000000000000001</v>
      </c>
      <c r="AN41" s="234">
        <f t="shared" ca="1" si="20"/>
        <v>1.4000000000000001</v>
      </c>
      <c r="AO41" s="233">
        <f t="shared" ca="1" si="21"/>
        <v>0.85000000000000009</v>
      </c>
      <c r="AP41" s="233">
        <f t="shared" ca="1" si="22"/>
        <v>1.1000000000000001</v>
      </c>
      <c r="AQ41" s="233">
        <f t="shared" ca="1" si="23"/>
        <v>1.4000000000000001</v>
      </c>
      <c r="AR41" s="919">
        <f t="shared" ca="1" si="24"/>
        <v>0.19999999999999998</v>
      </c>
      <c r="AS41" s="233">
        <f t="shared" ca="1" si="25"/>
        <v>0.35</v>
      </c>
      <c r="AT41" s="235">
        <f t="shared" ca="1" si="26"/>
        <v>0.55000000000000004</v>
      </c>
      <c r="AU41" s="946">
        <f t="shared" si="27"/>
        <v>0.5</v>
      </c>
      <c r="AV41" s="13">
        <f t="shared" ca="1" si="28"/>
        <v>22</v>
      </c>
      <c r="AW41" s="210">
        <f t="shared" ca="1" si="29"/>
        <v>4</v>
      </c>
      <c r="AX41" s="210">
        <f t="shared" ca="1" si="30"/>
        <v>4</v>
      </c>
      <c r="AY41" s="210">
        <f t="shared" ca="1" si="31"/>
        <v>0</v>
      </c>
      <c r="AZ41" s="13">
        <f t="shared" ca="1" si="32"/>
        <v>30</v>
      </c>
      <c r="BA41" s="357">
        <f ca="1"/>
        <v>352</v>
      </c>
      <c r="BB41" s="925">
        <f ca="1"/>
        <v>64</v>
      </c>
      <c r="BC41" s="925">
        <f ca="1"/>
        <v>64</v>
      </c>
      <c r="BD41" s="928">
        <f ca="1"/>
        <v>240</v>
      </c>
      <c r="BE41" s="200">
        <f ca="1"/>
        <v>1.0000000074505806</v>
      </c>
      <c r="BF41" s="851">
        <f ca="1"/>
        <v>1.0000000074505806</v>
      </c>
      <c r="BG41" s="851">
        <f ca="1"/>
        <v>1.0000000074505806</v>
      </c>
      <c r="BH41" s="933">
        <f ca="1"/>
        <v>0.99995028972625732</v>
      </c>
      <c r="BI41" s="357">
        <f ca="1"/>
        <v>352</v>
      </c>
      <c r="BJ41" s="925">
        <f ca="1"/>
        <v>64</v>
      </c>
      <c r="BK41" s="925">
        <f ca="1"/>
        <v>64</v>
      </c>
      <c r="BL41" s="928">
        <f ca="1"/>
        <v>240</v>
      </c>
      <c r="BM41" s="200">
        <f ca="1"/>
        <v>1.0000000074505806</v>
      </c>
      <c r="BN41" s="851">
        <f ca="1"/>
        <v>1.0000000074505806</v>
      </c>
      <c r="BO41" s="851">
        <f ca="1"/>
        <v>1.0000000074505806</v>
      </c>
      <c r="BP41" s="933">
        <f ca="1"/>
        <v>0.99995028972625732</v>
      </c>
      <c r="BQ41" s="357">
        <f t="shared" ca="1" si="33"/>
        <v>720</v>
      </c>
      <c r="BR41" s="361">
        <f t="shared" ca="1" si="34"/>
        <v>720</v>
      </c>
      <c r="BS41" s="357">
        <f t="shared" ca="1" si="35"/>
        <v>617.15477024943925</v>
      </c>
      <c r="BT41" s="302">
        <f t="shared" ca="1" si="36"/>
        <v>25.405454813331207</v>
      </c>
      <c r="BU41" s="299">
        <f t="shared" ca="1" si="37"/>
        <v>25.888785664379441</v>
      </c>
      <c r="BV41" s="299">
        <f t="shared" ca="1" si="38"/>
        <v>26.37211651542767</v>
      </c>
      <c r="BW41" s="299">
        <f t="shared" ca="1" si="39"/>
        <v>32.659889647739881</v>
      </c>
      <c r="BX41" s="380">
        <f t="shared" ca="1" si="40"/>
        <v>2.0807665982203969</v>
      </c>
      <c r="BY41" s="363">
        <f t="shared" ca="1" si="41"/>
        <v>301.72010989972586</v>
      </c>
      <c r="BZ41" s="353">
        <f t="shared" ca="1" si="42"/>
        <v>54.858201799950159</v>
      </c>
      <c r="CA41" s="353">
        <f t="shared" ca="1" si="43"/>
        <v>54.858201799950159</v>
      </c>
      <c r="CB41" s="353">
        <f t="shared" ca="1" si="44"/>
        <v>411.43651349962619</v>
      </c>
      <c r="CC41" s="353">
        <f t="shared" ca="1" si="45"/>
        <v>205.71825674981309</v>
      </c>
      <c r="CD41" s="353">
        <f t="shared" ca="1" si="46"/>
        <v>617.15477024943925</v>
      </c>
      <c r="CE41" s="302">
        <f t="shared" ca="1" si="47"/>
        <v>32.300000240653752</v>
      </c>
      <c r="CF41" s="299">
        <f t="shared" ca="1" si="48"/>
        <v>21.742500467170032</v>
      </c>
      <c r="CG41" s="299">
        <f t="shared" ca="1" si="49"/>
        <v>23.234999257586889</v>
      </c>
      <c r="CH41" s="299">
        <f t="shared" ca="1" si="50"/>
        <v>29.683666806447008</v>
      </c>
      <c r="CI41" s="299">
        <f t="shared" ca="1" si="51"/>
        <v>19.749015933389</v>
      </c>
      <c r="CJ41" s="299">
        <f t="shared" ca="1" si="52"/>
        <v>26.372116515427674</v>
      </c>
      <c r="CK41" s="299">
        <f t="shared" ca="1" si="53"/>
        <v>32.659889647739881</v>
      </c>
      <c r="CL41" s="377">
        <f t="shared" ca="1" si="54"/>
        <v>0.33793875000000001</v>
      </c>
      <c r="CM41" s="305">
        <f t="shared" ca="1" si="55"/>
        <v>0.33793875000000001</v>
      </c>
      <c r="CN41" s="305">
        <f t="shared" ca="1" si="56"/>
        <v>0.33793875000000001</v>
      </c>
      <c r="CO41" s="305">
        <f t="shared" ca="1" si="57"/>
        <v>0.33793875000000007</v>
      </c>
      <c r="CP41" s="305">
        <f t="shared" ca="1" si="58"/>
        <v>8.6435999999999985E-2</v>
      </c>
      <c r="CQ41" s="305">
        <f t="shared" ca="1" si="59"/>
        <v>0.26982844001606993</v>
      </c>
      <c r="CR41" s="775">
        <f t="shared" ca="1" si="60"/>
        <v>0.33793875000000001</v>
      </c>
      <c r="CS41" s="305">
        <f t="shared" ca="1" si="61"/>
        <v>0.39793875000000001</v>
      </c>
      <c r="CT41" s="305">
        <f t="shared" ca="1" si="62"/>
        <v>0.38793875</v>
      </c>
      <c r="CU41" s="305">
        <f t="shared" ca="1" si="63"/>
        <v>0.14643599999999998</v>
      </c>
      <c r="CV41" s="770">
        <f t="shared" ca="1" si="64"/>
        <v>0.29482844001606995</v>
      </c>
      <c r="CW41" s="302">
        <f t="shared" ca="1" si="65"/>
        <v>6.0761270697966676</v>
      </c>
      <c r="CX41" s="299">
        <f t="shared" ca="1" si="66"/>
        <v>2.1034549752088871</v>
      </c>
      <c r="CY41" s="299">
        <f t="shared" ca="1" si="67"/>
        <v>2.5110033363462456</v>
      </c>
      <c r="CZ41" s="299">
        <f t="shared" ca="1" si="68"/>
        <v>1.5358000502471519E-2</v>
      </c>
      <c r="DA41" s="774">
        <f t="shared" ca="1" si="69"/>
        <v>2.4297640277720651</v>
      </c>
      <c r="DB41" s="303">
        <f t="shared" ca="1" si="70"/>
        <v>1499.5404603200209</v>
      </c>
      <c r="DC41" s="248">
        <f t="shared" ca="1" si="71"/>
        <v>238.12429408098257</v>
      </c>
      <c r="DD41" s="778">
        <f t="shared" ca="1" si="72"/>
        <v>0</v>
      </c>
      <c r="DE41" s="363">
        <f t="shared" ca="1" si="73"/>
        <v>0.85715940312422123</v>
      </c>
      <c r="DF41" s="378">
        <f t="shared" ca="1" si="74"/>
        <v>-0.26646647789388578</v>
      </c>
      <c r="DG41" s="508">
        <f t="shared" ca="1" si="75"/>
        <v>-0.99583254982634928</v>
      </c>
      <c r="DH41" s="508">
        <f t="shared" ca="1" si="76"/>
        <v>-0.88825101720242694</v>
      </c>
      <c r="DI41" s="508">
        <f t="shared" ca="1" si="77"/>
        <v>-2.48709339382712</v>
      </c>
      <c r="DJ41" s="508">
        <f t="shared" ca="1" si="78"/>
        <v>-0.71545865180219714</v>
      </c>
      <c r="DK41" s="353">
        <f t="shared" ca="1" si="79"/>
        <v>-146.36613278808764</v>
      </c>
      <c r="DL41" s="781">
        <f t="shared" ca="1" si="80"/>
        <v>13.723187694895074</v>
      </c>
      <c r="DM41" s="303">
        <f t="shared" ca="1" si="81"/>
        <v>7787.7715365960039</v>
      </c>
      <c r="DN41" s="508">
        <f t="shared" ca="1" si="82"/>
        <v>0.7134887264503823</v>
      </c>
      <c r="DO41" s="508">
        <f t="shared" ca="1" si="83"/>
        <v>0.43907506884521907</v>
      </c>
      <c r="DP41" s="508">
        <f t="shared" ca="1" si="84"/>
        <v>0.48510495515879409</v>
      </c>
      <c r="DQ41" s="508">
        <f t="shared" ca="1" si="85"/>
        <v>0.37240209701151672</v>
      </c>
      <c r="DR41" s="508">
        <f t="shared" ca="1" si="86"/>
        <v>0.57291181939373925</v>
      </c>
      <c r="DS41" s="353">
        <f t="shared" ca="1" si="87"/>
        <v>7948.5372664913584</v>
      </c>
      <c r="DT41" s="353">
        <f t="shared" ca="1" si="88"/>
        <v>-3959.6166683935016</v>
      </c>
      <c r="DU41" s="380">
        <f t="shared" ca="1" si="189"/>
        <v>2.0807665982203969</v>
      </c>
      <c r="DV41" s="303">
        <f t="shared" ca="1" si="89"/>
        <v>301.72010989972586</v>
      </c>
      <c r="DW41" s="303">
        <f t="shared" ca="1" si="90"/>
        <v>54.858201799950159</v>
      </c>
      <c r="DX41" s="303">
        <f t="shared" ca="1" si="91"/>
        <v>54.858201799950159</v>
      </c>
      <c r="DY41" s="303">
        <f t="shared" ca="1" si="92"/>
        <v>411.43651349962619</v>
      </c>
      <c r="DZ41" s="303">
        <f t="shared" ca="1" si="93"/>
        <v>205.71825674981309</v>
      </c>
      <c r="EA41" s="303">
        <f t="shared" ca="1" si="94"/>
        <v>617.15477024943925</v>
      </c>
      <c r="EB41" s="302">
        <f t="shared" ca="1" si="95"/>
        <v>32.300000240653752</v>
      </c>
      <c r="EC41" s="299">
        <f t="shared" ca="1" si="96"/>
        <v>21.742500467170032</v>
      </c>
      <c r="ED41" s="299">
        <f t="shared" ca="1" si="97"/>
        <v>23.234999257586889</v>
      </c>
      <c r="EE41" s="299">
        <f t="shared" ca="1" si="98"/>
        <v>29.683666806447008</v>
      </c>
      <c r="EF41" s="299">
        <f t="shared" ca="1" si="99"/>
        <v>19.749015933389</v>
      </c>
      <c r="EG41" s="299">
        <f t="shared" ca="1" si="100"/>
        <v>26.372116515427674</v>
      </c>
      <c r="EH41" s="302">
        <f t="shared" ca="1" si="101"/>
        <v>30</v>
      </c>
      <c r="EI41" s="304">
        <f t="shared" ca="1" si="102"/>
        <v>0.11264625</v>
      </c>
      <c r="EJ41" s="305">
        <f t="shared" ca="1" si="103"/>
        <v>0.11264625</v>
      </c>
      <c r="EK41" s="305">
        <f t="shared" ca="1" si="104"/>
        <v>0.11264625</v>
      </c>
      <c r="EL41" s="305">
        <f t="shared" ca="1" si="105"/>
        <v>0.11264625000000009</v>
      </c>
      <c r="EM41" s="305">
        <f t="shared" ca="1" si="106"/>
        <v>2.8811999999999997E-2</v>
      </c>
      <c r="EN41" s="305">
        <f t="shared" ca="1" si="107"/>
        <v>8.8524246890637634E-2</v>
      </c>
      <c r="EO41" s="305">
        <f t="shared" ca="1" si="108"/>
        <v>0.11264625</v>
      </c>
      <c r="EP41" s="305">
        <f t="shared" ca="1" si="109"/>
        <v>0.11264625</v>
      </c>
      <c r="EQ41" s="305">
        <f t="shared" ca="1" si="110"/>
        <v>0.11264625</v>
      </c>
      <c r="ER41" s="305">
        <f t="shared" ca="1" si="111"/>
        <v>2.8811999999999997E-2</v>
      </c>
      <c r="ES41" s="305">
        <f t="shared" ca="1" si="112"/>
        <v>8.8524246890637634E-2</v>
      </c>
      <c r="ET41" s="299">
        <f t="shared" ca="1" si="113"/>
        <v>3.9214549749408008</v>
      </c>
      <c r="EU41" s="302">
        <f t="shared" ca="1" si="114"/>
        <v>30</v>
      </c>
      <c r="EV41" s="304">
        <f t="shared" ca="1" si="115"/>
        <v>0.33793875000000001</v>
      </c>
      <c r="EW41" s="305">
        <f t="shared" ca="1" si="116"/>
        <v>0.33793875000000001</v>
      </c>
      <c r="EX41" s="305">
        <f t="shared" ca="1" si="117"/>
        <v>0.33793875000000001</v>
      </c>
      <c r="EY41" s="305">
        <f t="shared" ca="1" si="118"/>
        <v>0.33793875000000007</v>
      </c>
      <c r="EZ41" s="305">
        <f t="shared" ca="1" si="119"/>
        <v>8.6435999999999985E-2</v>
      </c>
      <c r="FA41" s="305">
        <f t="shared" ca="1" si="120"/>
        <v>0.26982844001606993</v>
      </c>
      <c r="FB41" s="305">
        <f t="shared" ca="1" si="121"/>
        <v>0.33793875000000001</v>
      </c>
      <c r="FC41" s="305">
        <f t="shared" ca="1" si="122"/>
        <v>0.33793875000000001</v>
      </c>
      <c r="FD41" s="305">
        <f t="shared" ca="1" si="123"/>
        <v>0.33793875000000001</v>
      </c>
      <c r="FE41" s="305">
        <f t="shared" ca="1" si="124"/>
        <v>8.6435999999999985E-2</v>
      </c>
      <c r="FF41" s="305">
        <f t="shared" ca="1" si="125"/>
        <v>0.26982844001606993</v>
      </c>
      <c r="FG41" s="299">
        <f t="shared" ca="1" si="126"/>
        <v>2.7681936661117703</v>
      </c>
      <c r="FH41" s="302">
        <f t="shared" ca="1" si="127"/>
        <v>1.1532613088290304</v>
      </c>
      <c r="FI41" s="248">
        <f t="shared" ca="1" si="128"/>
        <v>711.74071808794793</v>
      </c>
      <c r="FJ41" s="363">
        <f t="shared" ca="1" si="129"/>
        <v>0.85715940312422123</v>
      </c>
      <c r="FK41" s="378">
        <f t="shared" ca="1" si="130"/>
        <v>0.37336450452685715</v>
      </c>
      <c r="FL41" s="508">
        <f t="shared" ca="1" si="131"/>
        <v>-2.0624575156416136</v>
      </c>
      <c r="FM41" s="508">
        <f t="shared" ca="1" si="132"/>
        <v>-1.6538750433006018</v>
      </c>
      <c r="FN41" s="508">
        <f t="shared" ca="1" si="133"/>
        <v>-10.080562051020465</v>
      </c>
      <c r="FO41" s="508">
        <f t="shared" ca="1" si="134"/>
        <v>-1.0732066240080722</v>
      </c>
      <c r="FP41" s="353">
        <f t="shared" ca="1" si="135"/>
        <v>529.77229414192334</v>
      </c>
      <c r="FQ41" s="356">
        <f t="shared" ca="1" si="136"/>
        <v>36.133077180148376</v>
      </c>
      <c r="FR41" s="380">
        <f t="shared" ca="1" si="137"/>
        <v>21.2</v>
      </c>
      <c r="FS41" s="299">
        <f t="shared" ca="1" si="138"/>
        <v>21.2</v>
      </c>
      <c r="FT41" s="299">
        <f t="shared" ca="1" si="139"/>
        <v>21.2</v>
      </c>
      <c r="FU41" s="299">
        <f t="shared" ca="1" si="140"/>
        <v>21.2</v>
      </c>
      <c r="FV41" s="299">
        <f t="shared" ca="1" si="141"/>
        <v>21.199999999999996</v>
      </c>
      <c r="FW41" s="850">
        <f t="shared" ca="1" si="142"/>
        <v>0.19500000000000001</v>
      </c>
      <c r="FX41" s="851">
        <f t="shared" ca="1" si="143"/>
        <v>0.5</v>
      </c>
      <c r="FY41" s="851">
        <f t="shared" ca="1" si="144"/>
        <v>0</v>
      </c>
      <c r="FZ41" s="201">
        <f t="shared" ca="1" si="145"/>
        <v>0</v>
      </c>
      <c r="GA41" s="201">
        <f t="shared" ca="1" si="146"/>
        <v>0</v>
      </c>
      <c r="GB41" s="201">
        <f t="shared" ca="1" si="147"/>
        <v>0</v>
      </c>
      <c r="GC41" s="201">
        <f t="shared" ca="1" si="148"/>
        <v>0</v>
      </c>
      <c r="GD41" s="850">
        <f t="shared" ca="1" si="149"/>
        <v>0.35293875000000002</v>
      </c>
      <c r="GE41" s="866">
        <f t="shared" ca="1" si="150"/>
        <v>0.33793875000000001</v>
      </c>
      <c r="GF41" s="866">
        <f t="shared" ca="1" si="151"/>
        <v>0.34293875000000001</v>
      </c>
      <c r="GG41" s="866">
        <f t="shared" ca="1" si="152"/>
        <v>8.6435999999999985E-2</v>
      </c>
      <c r="GH41" s="866">
        <f t="shared" ca="1" si="153"/>
        <v>0.28482844001606994</v>
      </c>
      <c r="GI41" s="302">
        <f t="shared" ca="1" si="154"/>
        <v>12.135936844218056</v>
      </c>
      <c r="GJ41" s="299">
        <f t="shared" ca="1" si="155"/>
        <v>3.8810019381009875</v>
      </c>
      <c r="GK41" s="299">
        <f t="shared" ca="1" si="156"/>
        <v>4.8817612761744043</v>
      </c>
      <c r="GL41" s="299">
        <f t="shared" ca="1" si="157"/>
        <v>1.3464338144006198</v>
      </c>
      <c r="GM41" s="299">
        <f t="shared" ca="1" si="158"/>
        <v>6.6101202351850707</v>
      </c>
      <c r="GN41" s="302">
        <f t="shared" ca="1" si="159"/>
        <v>0.87982591940745125</v>
      </c>
      <c r="GO41" s="299">
        <f t="shared" ca="1" si="160"/>
        <v>0.60700927065483901</v>
      </c>
      <c r="GP41" s="299">
        <f t="shared" ca="1" si="161"/>
        <v>0.66573216868057405</v>
      </c>
      <c r="GQ41" s="299">
        <f t="shared" ca="1" si="162"/>
        <v>0.43315115667776</v>
      </c>
      <c r="GR41" s="299">
        <f t="shared" ca="1" si="163"/>
        <v>0.78288054580964539</v>
      </c>
      <c r="GS41" s="302">
        <f t="shared" ca="1" si="164"/>
        <v>-0.76803969410130346</v>
      </c>
      <c r="GT41" s="299">
        <f t="shared" ca="1" si="165"/>
        <v>-0.43947634887953652</v>
      </c>
      <c r="GU41" s="299">
        <f t="shared" ca="1" si="166"/>
        <v>-0.49936441222604361</v>
      </c>
      <c r="GV41" s="299">
        <f t="shared" ca="1" si="167"/>
        <v>-0.33999405401699795</v>
      </c>
      <c r="GW41" s="299">
        <f t="shared" ca="1" si="168"/>
        <v>-0.66207988684385122</v>
      </c>
      <c r="GX41" s="303">
        <f t="shared" ca="1" si="169"/>
        <v>3661.6561983736042</v>
      </c>
      <c r="GY41" s="303">
        <f t="shared" ca="1" si="170"/>
        <v>212.90478750634165</v>
      </c>
      <c r="GZ41" s="303">
        <f t="shared" ca="1" si="171"/>
        <v>267.80464522755767</v>
      </c>
      <c r="HA41" s="303">
        <f t="shared" ca="1" si="172"/>
        <v>276.98601712749689</v>
      </c>
      <c r="HB41" s="303">
        <f t="shared" ca="1" si="173"/>
        <v>4079.4672350668116</v>
      </c>
      <c r="HC41" s="303">
        <f t="shared" ca="1" si="174"/>
        <v>3349.0932924970339</v>
      </c>
      <c r="HD41" s="303">
        <f t="shared" ca="1" si="175"/>
        <v>29.760600104580899</v>
      </c>
      <c r="HE41" s="303">
        <f t="shared" ca="1" si="176"/>
        <v>111.63639993545034</v>
      </c>
      <c r="HF41" s="303">
        <f t="shared" ca="1" si="177"/>
        <v>0</v>
      </c>
      <c r="HG41" s="852">
        <f t="shared" ca="1" si="178"/>
        <v>3191.9963797820992</v>
      </c>
    </row>
    <row r="42" spans="1:256" x14ac:dyDescent="0.25">
      <c r="A42" s="244">
        <f t="shared" ca="1" si="179"/>
        <v>37377</v>
      </c>
      <c r="B42" s="13">
        <f t="shared" ca="1" si="3"/>
        <v>2002</v>
      </c>
      <c r="C42" s="619">
        <f t="shared" ca="1" si="180"/>
        <v>5</v>
      </c>
      <c r="D42" s="195">
        <f t="shared" ca="1" si="4"/>
        <v>37403</v>
      </c>
      <c r="E42" s="469">
        <f t="shared" ca="1" si="5"/>
        <v>37377</v>
      </c>
      <c r="F42" s="465">
        <f t="shared" ca="1" si="6"/>
        <v>37407</v>
      </c>
      <c r="G42" s="522">
        <f t="shared" ca="1" si="181"/>
        <v>1</v>
      </c>
      <c r="H42" s="519">
        <f t="shared" ca="1" si="182"/>
        <v>1</v>
      </c>
      <c r="I42" s="724">
        <f t="shared" ca="1" si="7"/>
        <v>7.0949656842764997E-2</v>
      </c>
      <c r="J42" s="198">
        <f t="shared" ca="1" si="8"/>
        <v>0.85185231085675739</v>
      </c>
      <c r="K42" s="200">
        <f t="shared" ca="1" si="190"/>
        <v>33</v>
      </c>
      <c r="L42" s="201">
        <f t="shared" ca="1" si="191"/>
        <v>34</v>
      </c>
      <c r="M42" s="206">
        <f t="shared" ca="1" si="192"/>
        <v>35</v>
      </c>
      <c r="N42" s="851">
        <f t="shared" ca="1" si="196"/>
        <v>20.882500076293944</v>
      </c>
      <c r="O42" s="201">
        <f t="shared" ca="1" si="197"/>
        <v>21.632500076293944</v>
      </c>
      <c r="P42" s="206">
        <f t="shared" ca="1" si="198"/>
        <v>22.382500076293944</v>
      </c>
      <c r="Q42" s="201">
        <f t="shared" ca="1" si="199"/>
        <v>17.764999771118163</v>
      </c>
      <c r="R42" s="201">
        <f t="shared" ca="1" si="200"/>
        <v>20.764999771118163</v>
      </c>
      <c r="S42" s="201">
        <f t="shared" ca="1" si="201"/>
        <v>23.764999771118163</v>
      </c>
      <c r="T42" s="851">
        <f t="shared" ca="1" si="193"/>
        <v>19.09999771118164</v>
      </c>
      <c r="U42" s="201">
        <f t="shared" ca="1" si="194"/>
        <v>19.59999771118164</v>
      </c>
      <c r="V42" s="206">
        <f t="shared" ca="1" si="195"/>
        <v>20.09999771118164</v>
      </c>
      <c r="W42" s="230">
        <f t="shared" ca="1" si="183"/>
        <v>0.12974625000000001</v>
      </c>
      <c r="X42" s="231">
        <f t="shared" ca="1" si="184"/>
        <v>0.25949250000000001</v>
      </c>
      <c r="Y42" s="232">
        <f t="shared" ca="1" si="185"/>
        <v>0.38923875000000002</v>
      </c>
      <c r="Z42" s="231">
        <f t="shared" ca="1" si="202"/>
        <v>0.12974625000000001</v>
      </c>
      <c r="AA42" s="231">
        <f t="shared" ca="1" si="203"/>
        <v>0.25949250000000001</v>
      </c>
      <c r="AB42" s="232">
        <f t="shared" ca="1" si="204"/>
        <v>0.38923875000000002</v>
      </c>
      <c r="AC42" s="231">
        <f t="shared" ca="1" si="205"/>
        <v>0.12974625000000001</v>
      </c>
      <c r="AD42" s="231">
        <f t="shared" ca="1" si="206"/>
        <v>0.25949250000000001</v>
      </c>
      <c r="AE42" s="232">
        <f t="shared" ca="1" si="14"/>
        <v>0.38923875000000002</v>
      </c>
      <c r="AF42" s="231">
        <f t="shared" ca="1" si="186"/>
        <v>3.3614000000000005E-2</v>
      </c>
      <c r="AG42" s="231">
        <f t="shared" ca="1" si="187"/>
        <v>6.722800000000001E-2</v>
      </c>
      <c r="AH42" s="232">
        <f t="shared" ca="1" si="188"/>
        <v>0.10084200000000001</v>
      </c>
      <c r="AI42" s="233">
        <f t="shared" ca="1" si="15"/>
        <v>0.85000000000000009</v>
      </c>
      <c r="AJ42" s="233">
        <f t="shared" ca="1" si="16"/>
        <v>1.1000000000000001</v>
      </c>
      <c r="AK42" s="234">
        <f t="shared" ca="1" si="17"/>
        <v>1.4000000000000001</v>
      </c>
      <c r="AL42" s="919">
        <f t="shared" ca="1" si="18"/>
        <v>0.85000000000000009</v>
      </c>
      <c r="AM42" s="233">
        <f t="shared" ca="1" si="19"/>
        <v>1.1000000000000001</v>
      </c>
      <c r="AN42" s="234">
        <f t="shared" ca="1" si="20"/>
        <v>1.4000000000000001</v>
      </c>
      <c r="AO42" s="233">
        <f t="shared" ca="1" si="21"/>
        <v>0.85000000000000009</v>
      </c>
      <c r="AP42" s="233">
        <f t="shared" ca="1" si="22"/>
        <v>1.1000000000000001</v>
      </c>
      <c r="AQ42" s="233">
        <f t="shared" ca="1" si="23"/>
        <v>1.4000000000000001</v>
      </c>
      <c r="AR42" s="919">
        <f t="shared" ca="1" si="24"/>
        <v>0.35</v>
      </c>
      <c r="AS42" s="233">
        <f t="shared" ca="1" si="25"/>
        <v>0.5</v>
      </c>
      <c r="AT42" s="235">
        <f t="shared" ca="1" si="26"/>
        <v>0.7</v>
      </c>
      <c r="AU42" s="946">
        <f t="shared" si="27"/>
        <v>0.5</v>
      </c>
      <c r="AV42" s="13">
        <f t="shared" ca="1" si="28"/>
        <v>22</v>
      </c>
      <c r="AW42" s="210">
        <f t="shared" ca="1" si="29"/>
        <v>4</v>
      </c>
      <c r="AX42" s="210">
        <f t="shared" ca="1" si="30"/>
        <v>4</v>
      </c>
      <c r="AY42" s="210">
        <f t="shared" ca="1" si="31"/>
        <v>1</v>
      </c>
      <c r="AZ42" s="13">
        <f t="shared" ca="1" si="32"/>
        <v>31</v>
      </c>
      <c r="BA42" s="357">
        <f ca="1"/>
        <v>352</v>
      </c>
      <c r="BB42" s="925">
        <f ca="1"/>
        <v>64</v>
      </c>
      <c r="BC42" s="925">
        <f ca="1"/>
        <v>80</v>
      </c>
      <c r="BD42" s="928">
        <f ca="1"/>
        <v>248</v>
      </c>
      <c r="BE42" s="200">
        <f ca="1"/>
        <v>0.9999999925494194</v>
      </c>
      <c r="BF42" s="851">
        <f ca="1"/>
        <v>0.9999999925494194</v>
      </c>
      <c r="BG42" s="851">
        <f ca="1"/>
        <v>0.9999999925494194</v>
      </c>
      <c r="BH42" s="933">
        <f ca="1"/>
        <v>1</v>
      </c>
      <c r="BI42" s="357">
        <f ca="1"/>
        <v>352</v>
      </c>
      <c r="BJ42" s="925">
        <f ca="1"/>
        <v>64</v>
      </c>
      <c r="BK42" s="925">
        <f ca="1"/>
        <v>80</v>
      </c>
      <c r="BL42" s="928">
        <f ca="1"/>
        <v>248</v>
      </c>
      <c r="BM42" s="200">
        <f ca="1"/>
        <v>0.9999999925494194</v>
      </c>
      <c r="BN42" s="851">
        <f ca="1"/>
        <v>0.9999999925494194</v>
      </c>
      <c r="BO42" s="851">
        <f ca="1"/>
        <v>0.9999999925494194</v>
      </c>
      <c r="BP42" s="933">
        <f ca="1"/>
        <v>1</v>
      </c>
      <c r="BQ42" s="357">
        <f t="shared" ca="1" si="33"/>
        <v>744</v>
      </c>
      <c r="BR42" s="361">
        <f t="shared" ca="1" si="34"/>
        <v>744</v>
      </c>
      <c r="BS42" s="357">
        <f t="shared" ca="1" si="35"/>
        <v>633.77811927742755</v>
      </c>
      <c r="BT42" s="302">
        <f t="shared" ca="1" si="36"/>
        <v>25.686128107329363</v>
      </c>
      <c r="BU42" s="299">
        <f t="shared" ca="1" si="37"/>
        <v>26.713009821350369</v>
      </c>
      <c r="BV42" s="299">
        <f t="shared" ca="1" si="38"/>
        <v>27.739891535371378</v>
      </c>
      <c r="BW42" s="299">
        <f t="shared" ca="1" si="39"/>
        <v>32.659889647739881</v>
      </c>
      <c r="BX42" s="380">
        <f t="shared" ca="1" si="40"/>
        <v>2.1629021218343598</v>
      </c>
      <c r="BY42" s="363">
        <f t="shared" ca="1" si="41"/>
        <v>299.85201342157859</v>
      </c>
      <c r="BZ42" s="353">
        <f t="shared" ca="1" si="42"/>
        <v>54.518547894832473</v>
      </c>
      <c r="CA42" s="353">
        <f t="shared" ca="1" si="43"/>
        <v>68.148184868540596</v>
      </c>
      <c r="CB42" s="353">
        <f t="shared" ca="1" si="44"/>
        <v>422.51874618495162</v>
      </c>
      <c r="CC42" s="353">
        <f t="shared" ca="1" si="45"/>
        <v>211.25937309247584</v>
      </c>
      <c r="CD42" s="353">
        <f t="shared" ca="1" si="46"/>
        <v>633.77811927742744</v>
      </c>
      <c r="CE42" s="302">
        <f t="shared" ca="1" si="47"/>
        <v>34.999999739229679</v>
      </c>
      <c r="CF42" s="299">
        <f t="shared" ca="1" si="48"/>
        <v>22.382499909531322</v>
      </c>
      <c r="CG42" s="299">
        <f t="shared" ca="1" si="49"/>
        <v>23.764999594055116</v>
      </c>
      <c r="CH42" s="299">
        <f t="shared" ca="1" si="50"/>
        <v>31.559838447466255</v>
      </c>
      <c r="CI42" s="299">
        <f t="shared" ca="1" si="51"/>
        <v>20.09999771118164</v>
      </c>
      <c r="CJ42" s="299">
        <f t="shared" ca="1" si="52"/>
        <v>27.739891535371381</v>
      </c>
      <c r="CK42" s="299">
        <f t="shared" ca="1" si="53"/>
        <v>32.659889647739881</v>
      </c>
      <c r="CL42" s="377">
        <f t="shared" ca="1" si="54"/>
        <v>0.38923875000000002</v>
      </c>
      <c r="CM42" s="305">
        <f t="shared" ca="1" si="55"/>
        <v>0.38923875000000002</v>
      </c>
      <c r="CN42" s="305">
        <f t="shared" ca="1" si="56"/>
        <v>0.38923875000000002</v>
      </c>
      <c r="CO42" s="305">
        <f t="shared" ca="1" si="57"/>
        <v>0.38923875000000002</v>
      </c>
      <c r="CP42" s="305">
        <f t="shared" ca="1" si="58"/>
        <v>0.10084200000000001</v>
      </c>
      <c r="CQ42" s="305">
        <f t="shared" ca="1" si="59"/>
        <v>0.31551679435182173</v>
      </c>
      <c r="CR42" s="775">
        <f t="shared" ca="1" si="60"/>
        <v>0.39423875000000003</v>
      </c>
      <c r="CS42" s="305">
        <f t="shared" ca="1" si="61"/>
        <v>0.44923875000000002</v>
      </c>
      <c r="CT42" s="305">
        <f t="shared" ca="1" si="62"/>
        <v>0.42923875</v>
      </c>
      <c r="CU42" s="305">
        <f t="shared" ca="1" si="63"/>
        <v>0.16084200000000001</v>
      </c>
      <c r="CV42" s="770">
        <f t="shared" ca="1" si="64"/>
        <v>0.33051679435182174</v>
      </c>
      <c r="CW42" s="302">
        <f t="shared" ca="1" si="65"/>
        <v>8.9402521533244617</v>
      </c>
      <c r="CX42" s="299">
        <f t="shared" ca="1" si="66"/>
        <v>3.0632010264915586</v>
      </c>
      <c r="CY42" s="299">
        <f t="shared" ca="1" si="67"/>
        <v>3.3723093138757356</v>
      </c>
      <c r="CZ42" s="299">
        <f t="shared" ca="1" si="68"/>
        <v>4.4453843455787789E-2</v>
      </c>
      <c r="DA42" s="774">
        <f t="shared" ca="1" si="69"/>
        <v>3.6561148757595401</v>
      </c>
      <c r="DB42" s="303">
        <f t="shared" ca="1" si="70"/>
        <v>2317.1656098211065</v>
      </c>
      <c r="DC42" s="248">
        <f t="shared" ca="1" si="71"/>
        <v>293.44430701841026</v>
      </c>
      <c r="DD42" s="778">
        <f t="shared" ca="1" si="72"/>
        <v>0</v>
      </c>
      <c r="DE42" s="363">
        <f t="shared" ca="1" si="73"/>
        <v>0.85185231085675739</v>
      </c>
      <c r="DF42" s="378">
        <f t="shared" ca="1" si="74"/>
        <v>-0.17054746238085428</v>
      </c>
      <c r="DG42" s="508">
        <f t="shared" ca="1" si="75"/>
        <v>-0.9022759772572615</v>
      </c>
      <c r="DH42" s="508">
        <f t="shared" ca="1" si="76"/>
        <v>-0.81927561877248134</v>
      </c>
      <c r="DI42" s="508">
        <f t="shared" ca="1" si="77"/>
        <v>-2.1704133697243226</v>
      </c>
      <c r="DJ42" s="508">
        <f t="shared" ca="1" si="78"/>
        <v>-0.57894307356603902</v>
      </c>
      <c r="DK42" s="353">
        <f t="shared" ca="1" si="79"/>
        <v>-178.29049801340221</v>
      </c>
      <c r="DL42" s="781">
        <f t="shared" ca="1" si="80"/>
        <v>13.469096610145437</v>
      </c>
      <c r="DM42" s="303">
        <f t="shared" ca="1" si="81"/>
        <v>8787.4768523472503</v>
      </c>
      <c r="DN42" s="508">
        <f t="shared" ca="1" si="82"/>
        <v>0.78232486177470784</v>
      </c>
      <c r="DO42" s="508">
        <f t="shared" ca="1" si="83"/>
        <v>0.47830691654870389</v>
      </c>
      <c r="DP42" s="508">
        <f t="shared" ca="1" si="84"/>
        <v>0.51906388167348472</v>
      </c>
      <c r="DQ42" s="508">
        <f t="shared" ca="1" si="85"/>
        <v>0.4051636126504069</v>
      </c>
      <c r="DR42" s="508">
        <f t="shared" ca="1" si="86"/>
        <v>0.62423495302753607</v>
      </c>
      <c r="DS42" s="353">
        <f t="shared" ca="1" si="87"/>
        <v>8488.9714764843011</v>
      </c>
      <c r="DT42" s="353">
        <f t="shared" ca="1" si="88"/>
        <v>-4485.0813161305741</v>
      </c>
      <c r="DU42" s="380">
        <f t="shared" ca="1" si="189"/>
        <v>2.1629021218343598</v>
      </c>
      <c r="DV42" s="303">
        <f t="shared" ca="1" si="89"/>
        <v>299.85201342157859</v>
      </c>
      <c r="DW42" s="303">
        <f t="shared" ca="1" si="90"/>
        <v>54.518547894832473</v>
      </c>
      <c r="DX42" s="303">
        <f t="shared" ca="1" si="91"/>
        <v>68.148184868540596</v>
      </c>
      <c r="DY42" s="303">
        <f t="shared" ca="1" si="92"/>
        <v>422.51874618495162</v>
      </c>
      <c r="DZ42" s="303">
        <f t="shared" ca="1" si="93"/>
        <v>211.25937309247584</v>
      </c>
      <c r="EA42" s="303">
        <f t="shared" ca="1" si="94"/>
        <v>633.77811927742744</v>
      </c>
      <c r="EB42" s="302">
        <f t="shared" ca="1" si="95"/>
        <v>34.999999739229679</v>
      </c>
      <c r="EC42" s="299">
        <f t="shared" ca="1" si="96"/>
        <v>22.382499909531322</v>
      </c>
      <c r="ED42" s="299">
        <f t="shared" ca="1" si="97"/>
        <v>23.764999594055116</v>
      </c>
      <c r="EE42" s="299">
        <f t="shared" ca="1" si="98"/>
        <v>31.559838447466255</v>
      </c>
      <c r="EF42" s="299">
        <f t="shared" ca="1" si="99"/>
        <v>20.09999771118164</v>
      </c>
      <c r="EG42" s="299">
        <f t="shared" ca="1" si="100"/>
        <v>27.739891535371381</v>
      </c>
      <c r="EH42" s="302">
        <f t="shared" ca="1" si="101"/>
        <v>30</v>
      </c>
      <c r="EI42" s="304">
        <f t="shared" ca="1" si="102"/>
        <v>0.12974625000000001</v>
      </c>
      <c r="EJ42" s="305">
        <f t="shared" ca="1" si="103"/>
        <v>0.12974625000000001</v>
      </c>
      <c r="EK42" s="305">
        <f t="shared" ca="1" si="104"/>
        <v>0.12974625000000001</v>
      </c>
      <c r="EL42" s="305">
        <f t="shared" ca="1" si="105"/>
        <v>0.1297462499999999</v>
      </c>
      <c r="EM42" s="305">
        <f t="shared" ca="1" si="106"/>
        <v>3.3614000000000005E-2</v>
      </c>
      <c r="EN42" s="305">
        <f t="shared" ca="1" si="107"/>
        <v>0.10299015361886039</v>
      </c>
      <c r="EO42" s="305">
        <f t="shared" ca="1" si="108"/>
        <v>0.12974625000000001</v>
      </c>
      <c r="EP42" s="305">
        <f t="shared" ca="1" si="109"/>
        <v>0.12974625000000001</v>
      </c>
      <c r="EQ42" s="305">
        <f t="shared" ca="1" si="110"/>
        <v>0.12974625000000001</v>
      </c>
      <c r="ER42" s="305">
        <f t="shared" ca="1" si="111"/>
        <v>3.3614000000000005E-2</v>
      </c>
      <c r="ES42" s="305">
        <f t="shared" ca="1" si="112"/>
        <v>0.10299015361886039</v>
      </c>
      <c r="ET42" s="299">
        <f t="shared" ca="1" si="113"/>
        <v>3.1002771338433739</v>
      </c>
      <c r="EU42" s="302">
        <f t="shared" ca="1" si="114"/>
        <v>30</v>
      </c>
      <c r="EV42" s="304">
        <f t="shared" ca="1" si="115"/>
        <v>0.38923875000000002</v>
      </c>
      <c r="EW42" s="305">
        <f t="shared" ca="1" si="116"/>
        <v>0.38923875000000002</v>
      </c>
      <c r="EX42" s="305">
        <f t="shared" ca="1" si="117"/>
        <v>0.38923875000000002</v>
      </c>
      <c r="EY42" s="305">
        <f t="shared" ca="1" si="118"/>
        <v>0.38923875000000002</v>
      </c>
      <c r="EZ42" s="305">
        <f t="shared" ca="1" si="119"/>
        <v>0.10084200000000001</v>
      </c>
      <c r="FA42" s="305">
        <f t="shared" ca="1" si="120"/>
        <v>0.31551679435182173</v>
      </c>
      <c r="FB42" s="305">
        <f t="shared" ca="1" si="121"/>
        <v>0.38923875000000002</v>
      </c>
      <c r="FC42" s="305">
        <f t="shared" ca="1" si="122"/>
        <v>0.38923875000000002</v>
      </c>
      <c r="FD42" s="305">
        <f t="shared" ca="1" si="123"/>
        <v>0.38923875000000002</v>
      </c>
      <c r="FE42" s="305">
        <f t="shared" ca="1" si="124"/>
        <v>0.10084200000000001</v>
      </c>
      <c r="FF42" s="305">
        <f t="shared" ca="1" si="125"/>
        <v>0.31551679435182173</v>
      </c>
      <c r="FG42" s="299">
        <f t="shared" ca="1" si="126"/>
        <v>4.2406508000461987</v>
      </c>
      <c r="FH42" s="302">
        <f t="shared" ca="1" si="127"/>
        <v>-1.1403736662028248</v>
      </c>
      <c r="FI42" s="248">
        <f t="shared" ca="1" si="128"/>
        <v>-722.74387743953105</v>
      </c>
      <c r="FJ42" s="363">
        <f t="shared" ca="1" si="129"/>
        <v>0.85185231085675739</v>
      </c>
      <c r="FK42" s="378">
        <f t="shared" ca="1" si="130"/>
        <v>0.71244502851190272</v>
      </c>
      <c r="FL42" s="508">
        <f t="shared" ca="1" si="131"/>
        <v>-1.6304939268065075</v>
      </c>
      <c r="FM42" s="508">
        <f t="shared" ca="1" si="132"/>
        <v>-1.3163970690686673</v>
      </c>
      <c r="FN42" s="508">
        <f t="shared" ca="1" si="133"/>
        <v>-8.1257374237014766</v>
      </c>
      <c r="FO42" s="508">
        <f t="shared" ca="1" si="134"/>
        <v>-0.59285257412087733</v>
      </c>
      <c r="FP42" s="353">
        <f t="shared" ca="1" si="135"/>
        <v>458.44982934957937</v>
      </c>
      <c r="FQ42" s="356">
        <f t="shared" ca="1" si="136"/>
        <v>46.675658035630292</v>
      </c>
      <c r="FR42" s="380">
        <f t="shared" ca="1" si="137"/>
        <v>20.992000000000001</v>
      </c>
      <c r="FS42" s="299">
        <f t="shared" ca="1" si="138"/>
        <v>20.992000000000001</v>
      </c>
      <c r="FT42" s="299">
        <f t="shared" ca="1" si="139"/>
        <v>20.992000000000001</v>
      </c>
      <c r="FU42" s="299">
        <f t="shared" ca="1" si="140"/>
        <v>20.992000000000001</v>
      </c>
      <c r="FV42" s="299">
        <f t="shared" ca="1" si="141"/>
        <v>20.992000000000001</v>
      </c>
      <c r="FW42" s="850">
        <f t="shared" ca="1" si="142"/>
        <v>0.1925</v>
      </c>
      <c r="FX42" s="851">
        <f t="shared" ca="1" si="143"/>
        <v>0.5</v>
      </c>
      <c r="FY42" s="851">
        <f t="shared" ca="1" si="144"/>
        <v>0</v>
      </c>
      <c r="FZ42" s="201">
        <f t="shared" ca="1" si="145"/>
        <v>0</v>
      </c>
      <c r="GA42" s="201">
        <f t="shared" ca="1" si="146"/>
        <v>0</v>
      </c>
      <c r="GB42" s="201">
        <f t="shared" ca="1" si="147"/>
        <v>0</v>
      </c>
      <c r="GC42" s="201">
        <f t="shared" ca="1" si="148"/>
        <v>0</v>
      </c>
      <c r="GD42" s="850">
        <f t="shared" ca="1" si="149"/>
        <v>0.40423875000000004</v>
      </c>
      <c r="GE42" s="866">
        <f t="shared" ca="1" si="150"/>
        <v>0.38923875000000002</v>
      </c>
      <c r="GF42" s="866">
        <f t="shared" ca="1" si="151"/>
        <v>0.39923875000000003</v>
      </c>
      <c r="GG42" s="866">
        <f t="shared" ca="1" si="152"/>
        <v>0.10084200000000001</v>
      </c>
      <c r="GH42" s="866">
        <f t="shared" ca="1" si="153"/>
        <v>0.33051679435182174</v>
      </c>
      <c r="GI42" s="302">
        <f t="shared" ca="1" si="154"/>
        <v>15.163302089681723</v>
      </c>
      <c r="GJ42" s="299">
        <f t="shared" ca="1" si="155"/>
        <v>4.9757904344085295</v>
      </c>
      <c r="GK42" s="299">
        <f t="shared" ca="1" si="156"/>
        <v>6.0086084627309759</v>
      </c>
      <c r="GL42" s="299">
        <f t="shared" ca="1" si="157"/>
        <v>1.5905495685610338</v>
      </c>
      <c r="GM42" s="299">
        <f t="shared" ca="1" si="158"/>
        <v>8.2902058400893033</v>
      </c>
      <c r="GN42" s="302">
        <f t="shared" ca="1" si="159"/>
        <v>0.89436129260264685</v>
      </c>
      <c r="GO42" s="299">
        <f t="shared" ca="1" si="160"/>
        <v>0.64700747568882944</v>
      </c>
      <c r="GP42" s="299">
        <f t="shared" ca="1" si="161"/>
        <v>0.69084580655320982</v>
      </c>
      <c r="GQ42" s="299">
        <f t="shared" ca="1" si="162"/>
        <v>0.47830777739442287</v>
      </c>
      <c r="GR42" s="299">
        <f t="shared" ca="1" si="163"/>
        <v>0.80800849936374375</v>
      </c>
      <c r="GS42" s="302">
        <f t="shared" ca="1" si="164"/>
        <v>-0.7688331888269726</v>
      </c>
      <c r="GT42" s="299">
        <f t="shared" ca="1" si="165"/>
        <v>-0.45283226203026306</v>
      </c>
      <c r="GU42" s="299">
        <f t="shared" ca="1" si="166"/>
        <v>-0.49587198931099513</v>
      </c>
      <c r="GV42" s="299">
        <f t="shared" ca="1" si="167"/>
        <v>-0.38221392937339516</v>
      </c>
      <c r="GW42" s="299">
        <f t="shared" ca="1" si="168"/>
        <v>-0.67282097907392657</v>
      </c>
      <c r="GX42" s="303">
        <f t="shared" ca="1" si="169"/>
        <v>4546.7466617106948</v>
      </c>
      <c r="GY42" s="303">
        <f t="shared" ca="1" si="170"/>
        <v>271.27286911295067</v>
      </c>
      <c r="GZ42" s="303">
        <f t="shared" ca="1" si="171"/>
        <v>409.47576032086806</v>
      </c>
      <c r="HA42" s="303">
        <f t="shared" ca="1" si="172"/>
        <v>336.01850472671191</v>
      </c>
      <c r="HB42" s="303">
        <f t="shared" ca="1" si="173"/>
        <v>5254.1510657545441</v>
      </c>
      <c r="HC42" s="303">
        <f t="shared" ca="1" si="174"/>
        <v>4200.3269258169667</v>
      </c>
      <c r="HD42" s="303">
        <f t="shared" ca="1" si="175"/>
        <v>75.80803591554357</v>
      </c>
      <c r="HE42" s="303">
        <f t="shared" ca="1" si="176"/>
        <v>188.97488897605601</v>
      </c>
      <c r="HF42" s="303">
        <f t="shared" ca="1" si="177"/>
        <v>0</v>
      </c>
      <c r="HG42" s="852">
        <f t="shared" ca="1" si="178"/>
        <v>4276.6660063757454</v>
      </c>
    </row>
    <row r="43" spans="1:256" x14ac:dyDescent="0.25">
      <c r="A43" s="244">
        <f t="shared" ca="1" si="179"/>
        <v>37408</v>
      </c>
      <c r="B43" s="13">
        <f t="shared" ca="1" si="3"/>
        <v>2002</v>
      </c>
      <c r="C43" s="619">
        <f t="shared" ca="1" si="180"/>
        <v>6</v>
      </c>
      <c r="D43" s="195" t="str">
        <f t="shared" ca="1" si="4"/>
        <v/>
      </c>
      <c r="E43" s="469">
        <f t="shared" ca="1" si="5"/>
        <v>37408</v>
      </c>
      <c r="F43" s="465">
        <f t="shared" ca="1" si="6"/>
        <v>37437</v>
      </c>
      <c r="G43" s="522">
        <f t="shared" ca="1" si="181"/>
        <v>1</v>
      </c>
      <c r="H43" s="519">
        <f t="shared" ca="1" si="182"/>
        <v>1</v>
      </c>
      <c r="I43" s="724">
        <f t="shared" ca="1" si="7"/>
        <v>7.1091363295042009E-2</v>
      </c>
      <c r="J43" s="198">
        <f t="shared" ca="1" si="8"/>
        <v>0.84671207670571935</v>
      </c>
      <c r="K43" s="200">
        <f t="shared" ca="1" si="190"/>
        <v>46.85</v>
      </c>
      <c r="L43" s="201">
        <f t="shared" ca="1" si="191"/>
        <v>49.75</v>
      </c>
      <c r="M43" s="206">
        <f t="shared" ca="1" si="192"/>
        <v>52.65</v>
      </c>
      <c r="N43" s="851">
        <f t="shared" ca="1" si="196"/>
        <v>23.88375015258789</v>
      </c>
      <c r="O43" s="201">
        <f t="shared" ca="1" si="197"/>
        <v>26.058750152587891</v>
      </c>
      <c r="P43" s="206">
        <f t="shared" ca="1" si="198"/>
        <v>28.233750152587891</v>
      </c>
      <c r="Q43" s="201">
        <f t="shared" ca="1" si="199"/>
        <v>16.542499542236328</v>
      </c>
      <c r="R43" s="201">
        <f t="shared" ca="1" si="200"/>
        <v>19.542499542236328</v>
      </c>
      <c r="S43" s="201">
        <f t="shared" ca="1" si="201"/>
        <v>22.542499542236328</v>
      </c>
      <c r="T43" s="851">
        <f t="shared" ca="1" si="193"/>
        <v>18.104998779296874</v>
      </c>
      <c r="U43" s="201">
        <f t="shared" ca="1" si="194"/>
        <v>19.554998779296874</v>
      </c>
      <c r="V43" s="206">
        <f t="shared" ca="1" si="195"/>
        <v>21.004998779296873</v>
      </c>
      <c r="W43" s="230">
        <f t="shared" ca="1" si="183"/>
        <v>0.16255687499999999</v>
      </c>
      <c r="X43" s="231">
        <f t="shared" ca="1" si="184"/>
        <v>0.32511374999999998</v>
      </c>
      <c r="Y43" s="232">
        <f t="shared" ca="1" si="185"/>
        <v>0.48767062499999997</v>
      </c>
      <c r="Z43" s="231">
        <f t="shared" ca="1" si="202"/>
        <v>0.16255687499999999</v>
      </c>
      <c r="AA43" s="231">
        <f t="shared" ca="1" si="203"/>
        <v>0.32511374999999998</v>
      </c>
      <c r="AB43" s="232">
        <f t="shared" ca="1" si="204"/>
        <v>0.48767062499999997</v>
      </c>
      <c r="AC43" s="231">
        <f t="shared" ca="1" si="205"/>
        <v>0.16255687499999999</v>
      </c>
      <c r="AD43" s="231">
        <f t="shared" ca="1" si="206"/>
        <v>0.32511374999999998</v>
      </c>
      <c r="AE43" s="232">
        <f t="shared" ca="1" si="14"/>
        <v>0.48767062499999997</v>
      </c>
      <c r="AF43" s="231">
        <f t="shared" ca="1" si="186"/>
        <v>4.3217999999999999E-2</v>
      </c>
      <c r="AG43" s="231">
        <f t="shared" ca="1" si="187"/>
        <v>8.6435999999999999E-2</v>
      </c>
      <c r="AH43" s="232">
        <f t="shared" ca="1" si="188"/>
        <v>0.12965399999999999</v>
      </c>
      <c r="AI43" s="233">
        <f t="shared" ca="1" si="15"/>
        <v>1.65</v>
      </c>
      <c r="AJ43" s="233">
        <f t="shared" ca="1" si="16"/>
        <v>2</v>
      </c>
      <c r="AK43" s="234">
        <f t="shared" ca="1" si="17"/>
        <v>2.2999999999999998</v>
      </c>
      <c r="AL43" s="919">
        <f t="shared" ca="1" si="18"/>
        <v>1.65</v>
      </c>
      <c r="AM43" s="233">
        <f t="shared" ca="1" si="19"/>
        <v>2</v>
      </c>
      <c r="AN43" s="234">
        <f t="shared" ca="1" si="20"/>
        <v>2.2999999999999998</v>
      </c>
      <c r="AO43" s="233">
        <f t="shared" ca="1" si="21"/>
        <v>1.65</v>
      </c>
      <c r="AP43" s="233">
        <f t="shared" ca="1" si="22"/>
        <v>2</v>
      </c>
      <c r="AQ43" s="233">
        <f t="shared" ca="1" si="23"/>
        <v>2.2999999999999998</v>
      </c>
      <c r="AR43" s="919">
        <f t="shared" ca="1" si="24"/>
        <v>0.5</v>
      </c>
      <c r="AS43" s="233">
        <f t="shared" ca="1" si="25"/>
        <v>0.65</v>
      </c>
      <c r="AT43" s="235">
        <f t="shared" ca="1" si="26"/>
        <v>0.85000000000000009</v>
      </c>
      <c r="AU43" s="946">
        <f t="shared" si="27"/>
        <v>0.5</v>
      </c>
      <c r="AV43" s="13">
        <f t="shared" ca="1" si="28"/>
        <v>20</v>
      </c>
      <c r="AW43" s="210">
        <f t="shared" ca="1" si="29"/>
        <v>5</v>
      </c>
      <c r="AX43" s="210">
        <f t="shared" ca="1" si="30"/>
        <v>5</v>
      </c>
      <c r="AY43" s="210">
        <f t="shared" ca="1" si="31"/>
        <v>0</v>
      </c>
      <c r="AZ43" s="13">
        <f t="shared" ca="1" si="32"/>
        <v>30</v>
      </c>
      <c r="BA43" s="357">
        <f ca="1"/>
        <v>320</v>
      </c>
      <c r="BB43" s="925">
        <f ca="1"/>
        <v>80</v>
      </c>
      <c r="BC43" s="925">
        <f ca="1"/>
        <v>80</v>
      </c>
      <c r="BD43" s="928">
        <f ca="1"/>
        <v>240</v>
      </c>
      <c r="BE43" s="200">
        <f ca="1"/>
        <v>1.0000000037252903</v>
      </c>
      <c r="BF43" s="851">
        <f ca="1"/>
        <v>1.0000000037252903</v>
      </c>
      <c r="BG43" s="851">
        <f ca="1"/>
        <v>1.0000000037252903</v>
      </c>
      <c r="BH43" s="933">
        <f ca="1"/>
        <v>1</v>
      </c>
      <c r="BI43" s="357">
        <f ca="1"/>
        <v>320</v>
      </c>
      <c r="BJ43" s="925">
        <f ca="1"/>
        <v>80</v>
      </c>
      <c r="BK43" s="925">
        <f ca="1"/>
        <v>80</v>
      </c>
      <c r="BL43" s="928">
        <f ca="1"/>
        <v>240</v>
      </c>
      <c r="BM43" s="200">
        <f ca="1"/>
        <v>1.0000000037252903</v>
      </c>
      <c r="BN43" s="851">
        <f ca="1"/>
        <v>1.0000000037252903</v>
      </c>
      <c r="BO43" s="851">
        <f ca="1"/>
        <v>1.0000000037252903</v>
      </c>
      <c r="BP43" s="933">
        <f ca="1"/>
        <v>1</v>
      </c>
      <c r="BQ43" s="357">
        <f t="shared" ca="1" si="33"/>
        <v>720</v>
      </c>
      <c r="BR43" s="361">
        <f t="shared" ca="1" si="34"/>
        <v>720</v>
      </c>
      <c r="BS43" s="357">
        <f t="shared" ca="1" si="35"/>
        <v>609.63269522811788</v>
      </c>
      <c r="BT43" s="302">
        <f t="shared" ca="1" si="36"/>
        <v>31.349027431270422</v>
      </c>
      <c r="BU43" s="299">
        <f t="shared" ca="1" si="37"/>
        <v>33.696249660436173</v>
      </c>
      <c r="BV43" s="299">
        <f t="shared" ca="1" si="38"/>
        <v>36.043471889601918</v>
      </c>
      <c r="BW43" s="299">
        <f t="shared" ca="1" si="39"/>
        <v>32.659889647739881</v>
      </c>
      <c r="BX43" s="380">
        <f t="shared" ca="1" si="40"/>
        <v>2.2477754962354553</v>
      </c>
      <c r="BY43" s="363">
        <f t="shared" ca="1" si="41"/>
        <v>270.94786454583021</v>
      </c>
      <c r="BZ43" s="353">
        <f t="shared" ca="1" si="42"/>
        <v>67.736966136457553</v>
      </c>
      <c r="CA43" s="353">
        <f t="shared" ca="1" si="43"/>
        <v>67.736966136457553</v>
      </c>
      <c r="CB43" s="353">
        <f t="shared" ca="1" si="44"/>
        <v>406.42179681874535</v>
      </c>
      <c r="CC43" s="353">
        <f t="shared" ca="1" si="45"/>
        <v>203.21089840937265</v>
      </c>
      <c r="CD43" s="353">
        <f t="shared" ca="1" si="46"/>
        <v>609.632695228118</v>
      </c>
      <c r="CE43" s="302">
        <f t="shared" ca="1" si="47"/>
        <v>52.650000196136531</v>
      </c>
      <c r="CF43" s="299">
        <f t="shared" ca="1" si="48"/>
        <v>28.233750257766808</v>
      </c>
      <c r="CG43" s="299">
        <f t="shared" ca="1" si="49"/>
        <v>22.542499626213683</v>
      </c>
      <c r="CH43" s="299">
        <f t="shared" ca="1" si="50"/>
        <v>43.562708444754435</v>
      </c>
      <c r="CI43" s="299">
        <f t="shared" ca="1" si="51"/>
        <v>21.004998779296873</v>
      </c>
      <c r="CJ43" s="299">
        <f t="shared" ca="1" si="52"/>
        <v>36.043471889601918</v>
      </c>
      <c r="CK43" s="299">
        <f t="shared" ca="1" si="53"/>
        <v>32.659889647739881</v>
      </c>
      <c r="CL43" s="377">
        <f t="shared" ca="1" si="54"/>
        <v>0.48767062499999997</v>
      </c>
      <c r="CM43" s="305">
        <f t="shared" ca="1" si="55"/>
        <v>0.48767062499999997</v>
      </c>
      <c r="CN43" s="305">
        <f t="shared" ca="1" si="56"/>
        <v>0.48767062499999997</v>
      </c>
      <c r="CO43" s="305">
        <f t="shared" ca="1" si="57"/>
        <v>0.48767062499999991</v>
      </c>
      <c r="CP43" s="305">
        <f t="shared" ca="1" si="58"/>
        <v>0.12965399999999999</v>
      </c>
      <c r="CQ43" s="305">
        <f t="shared" ca="1" si="59"/>
        <v>0.41882188948359073</v>
      </c>
      <c r="CR43" s="775">
        <f t="shared" ca="1" si="60"/>
        <v>0.50267062499999993</v>
      </c>
      <c r="CS43" s="305">
        <f t="shared" ca="1" si="61"/>
        <v>0.50267062499999993</v>
      </c>
      <c r="CT43" s="305">
        <f t="shared" ca="1" si="62"/>
        <v>0.54767062499999997</v>
      </c>
      <c r="CU43" s="305">
        <f t="shared" ca="1" si="63"/>
        <v>0.18965399999999999</v>
      </c>
      <c r="CV43" s="770">
        <f t="shared" ca="1" si="64"/>
        <v>0.43132188948359074</v>
      </c>
      <c r="CW43" s="302">
        <f t="shared" ca="1" si="65"/>
        <v>24.789543069586525</v>
      </c>
      <c r="CX43" s="299">
        <f t="shared" ca="1" si="66"/>
        <v>6.8872112899471833</v>
      </c>
      <c r="CY43" s="299">
        <f t="shared" ca="1" si="67"/>
        <v>4.5562842410417099</v>
      </c>
      <c r="CZ43" s="299">
        <f t="shared" ca="1" si="68"/>
        <v>0.19209382684092136</v>
      </c>
      <c r="DA43" s="774">
        <f t="shared" ca="1" si="69"/>
        <v>10.499296792953512</v>
      </c>
      <c r="DB43" s="303">
        <f t="shared" ca="1" si="70"/>
        <v>6400.7146018881849</v>
      </c>
      <c r="DC43" s="248">
        <f t="shared" ca="1" si="71"/>
        <v>416.30710034988931</v>
      </c>
      <c r="DD43" s="778">
        <f t="shared" ca="1" si="72"/>
        <v>2062.7423616323513</v>
      </c>
      <c r="DE43" s="363">
        <f t="shared" ca="1" si="73"/>
        <v>0.84671207670571935</v>
      </c>
      <c r="DF43" s="378">
        <f t="shared" ca="1" si="74"/>
        <v>0.25680545918405956</v>
      </c>
      <c r="DG43" s="508">
        <f t="shared" ca="1" si="75"/>
        <v>-0.57005332713381063</v>
      </c>
      <c r="DH43" s="508">
        <f t="shared" ca="1" si="76"/>
        <v>-0.86207273732260625</v>
      </c>
      <c r="DI43" s="508">
        <f t="shared" ca="1" si="77"/>
        <v>-1.6944904179190843</v>
      </c>
      <c r="DJ43" s="508">
        <f t="shared" ca="1" si="78"/>
        <v>-0.17089029444719153</v>
      </c>
      <c r="DK43" s="353">
        <f t="shared" ca="1" si="79"/>
        <v>-263.45582539686023</v>
      </c>
      <c r="DL43" s="781">
        <f t="shared" ca="1" si="80"/>
        <v>11.348654217457176</v>
      </c>
      <c r="DM43" s="303">
        <f t="shared" ca="1" si="81"/>
        <v>12496.058550295227</v>
      </c>
      <c r="DN43" s="508">
        <f t="shared" ca="1" si="82"/>
        <v>1.0680892232736527</v>
      </c>
      <c r="DO43" s="508">
        <f t="shared" ca="1" si="83"/>
        <v>0.65241003244942519</v>
      </c>
      <c r="DP43" s="508">
        <f t="shared" ca="1" si="84"/>
        <v>0.50224365239376956</v>
      </c>
      <c r="DQ43" s="508">
        <f t="shared" ca="1" si="85"/>
        <v>0.45512100682886353</v>
      </c>
      <c r="DR43" s="508">
        <f t="shared" ca="1" si="86"/>
        <v>0.81531198414452821</v>
      </c>
      <c r="DS43" s="353">
        <f t="shared" ca="1" si="87"/>
        <v>9426.1969544466629</v>
      </c>
      <c r="DT43" s="353">
        <f t="shared" ca="1" si="88"/>
        <v>-5255.7001640654589</v>
      </c>
      <c r="DU43" s="380">
        <f t="shared" ca="1" si="189"/>
        <v>2.2477754962354553</v>
      </c>
      <c r="DV43" s="303">
        <f t="shared" ca="1" si="89"/>
        <v>270.94786454583021</v>
      </c>
      <c r="DW43" s="303">
        <f t="shared" ca="1" si="90"/>
        <v>67.736966136457553</v>
      </c>
      <c r="DX43" s="303">
        <f t="shared" ca="1" si="91"/>
        <v>67.736966136457553</v>
      </c>
      <c r="DY43" s="303">
        <f t="shared" ca="1" si="92"/>
        <v>406.42179681874535</v>
      </c>
      <c r="DZ43" s="303">
        <f t="shared" ca="1" si="93"/>
        <v>203.21089840937265</v>
      </c>
      <c r="EA43" s="303">
        <f t="shared" ca="1" si="94"/>
        <v>609.632695228118</v>
      </c>
      <c r="EB43" s="302">
        <f t="shared" ca="1" si="95"/>
        <v>52.650000196136531</v>
      </c>
      <c r="EC43" s="299">
        <f t="shared" ca="1" si="96"/>
        <v>28.233750257766808</v>
      </c>
      <c r="ED43" s="299">
        <f t="shared" ca="1" si="97"/>
        <v>22.542499626213683</v>
      </c>
      <c r="EE43" s="299">
        <f t="shared" ca="1" si="98"/>
        <v>43.562708444754435</v>
      </c>
      <c r="EF43" s="299">
        <f t="shared" ca="1" si="99"/>
        <v>21.004998779296873</v>
      </c>
      <c r="EG43" s="299">
        <f t="shared" ca="1" si="100"/>
        <v>36.043471889601918</v>
      </c>
      <c r="EH43" s="302">
        <f t="shared" ca="1" si="101"/>
        <v>30</v>
      </c>
      <c r="EI43" s="304">
        <f t="shared" ca="1" si="102"/>
        <v>0.16255687499999999</v>
      </c>
      <c r="EJ43" s="305">
        <f t="shared" ca="1" si="103"/>
        <v>0.16255687499999999</v>
      </c>
      <c r="EK43" s="305">
        <f t="shared" ca="1" si="104"/>
        <v>0.16255687499999999</v>
      </c>
      <c r="EL43" s="305">
        <f t="shared" ca="1" si="105"/>
        <v>0.16255687500000005</v>
      </c>
      <c r="EM43" s="305">
        <f t="shared" ca="1" si="106"/>
        <v>4.3217999999999999E-2</v>
      </c>
      <c r="EN43" s="305">
        <f t="shared" ca="1" si="107"/>
        <v>0.13587302791609274</v>
      </c>
      <c r="EO43" s="305">
        <f t="shared" ca="1" si="108"/>
        <v>0.16255687499999999</v>
      </c>
      <c r="EP43" s="305">
        <f t="shared" ca="1" si="109"/>
        <v>0.16255687499999999</v>
      </c>
      <c r="EQ43" s="305">
        <f t="shared" ca="1" si="110"/>
        <v>0.16255687499999999</v>
      </c>
      <c r="ER43" s="305">
        <f t="shared" ca="1" si="111"/>
        <v>4.3217999999999999E-2</v>
      </c>
      <c r="ES43" s="305">
        <f t="shared" ca="1" si="112"/>
        <v>0.13587302791609274</v>
      </c>
      <c r="ET43" s="299">
        <f t="shared" ca="1" si="113"/>
        <v>0.66946017040879546</v>
      </c>
      <c r="EU43" s="302">
        <f t="shared" ca="1" si="114"/>
        <v>30</v>
      </c>
      <c r="EV43" s="304">
        <f t="shared" ca="1" si="115"/>
        <v>0.48767062499999997</v>
      </c>
      <c r="EW43" s="305">
        <f t="shared" ca="1" si="116"/>
        <v>0.48767062499999997</v>
      </c>
      <c r="EX43" s="305">
        <f t="shared" ca="1" si="117"/>
        <v>0.48767062499999997</v>
      </c>
      <c r="EY43" s="305">
        <f t="shared" ca="1" si="118"/>
        <v>0.48767062499999991</v>
      </c>
      <c r="EZ43" s="305">
        <f t="shared" ca="1" si="119"/>
        <v>0.12965399999999999</v>
      </c>
      <c r="FA43" s="305">
        <f t="shared" ca="1" si="120"/>
        <v>0.41882188948359073</v>
      </c>
      <c r="FB43" s="305">
        <f t="shared" ca="1" si="121"/>
        <v>0.48767062499999997</v>
      </c>
      <c r="FC43" s="305">
        <f t="shared" ca="1" si="122"/>
        <v>0.48767062499999997</v>
      </c>
      <c r="FD43" s="305">
        <f t="shared" ca="1" si="123"/>
        <v>0.48767062499999997</v>
      </c>
      <c r="FE43" s="305">
        <f t="shared" ca="1" si="124"/>
        <v>0.12965399999999999</v>
      </c>
      <c r="FF43" s="305">
        <f t="shared" ca="1" si="125"/>
        <v>0.41882188948359073</v>
      </c>
      <c r="FG43" s="299">
        <f t="shared" ca="1" si="126"/>
        <v>11.492724625848698</v>
      </c>
      <c r="FH43" s="302">
        <f t="shared" ca="1" si="127"/>
        <v>-10.823264455439903</v>
      </c>
      <c r="FI43" s="248">
        <f t="shared" ca="1" si="128"/>
        <v>-6598.2158811365171</v>
      </c>
      <c r="FJ43" s="363">
        <f t="shared" ca="1" si="129"/>
        <v>0.84671207670571935</v>
      </c>
      <c r="FK43" s="378">
        <f t="shared" ca="1" si="130"/>
        <v>2.1860409733237467</v>
      </c>
      <c r="FL43" s="508">
        <f t="shared" ca="1" si="131"/>
        <v>-0.37083410750654905</v>
      </c>
      <c r="FM43" s="508">
        <f t="shared" ca="1" si="132"/>
        <v>-1.2945192079838441</v>
      </c>
      <c r="FN43" s="508">
        <f t="shared" ca="1" si="133"/>
        <v>-5.5333965145653741</v>
      </c>
      <c r="FO43" s="508">
        <f t="shared" ca="1" si="134"/>
        <v>0.79908072862966251</v>
      </c>
      <c r="FP43" s="353">
        <f t="shared" ca="1" si="135"/>
        <v>129.31634611942522</v>
      </c>
      <c r="FQ43" s="356">
        <f t="shared" ca="1" si="136"/>
        <v>28.919614203177456</v>
      </c>
      <c r="FR43" s="380">
        <f t="shared" ca="1" si="137"/>
        <v>21.04</v>
      </c>
      <c r="FS43" s="299">
        <f t="shared" ca="1" si="138"/>
        <v>21.04</v>
      </c>
      <c r="FT43" s="299">
        <f t="shared" ca="1" si="139"/>
        <v>21.04</v>
      </c>
      <c r="FU43" s="299">
        <f t="shared" ca="1" si="140"/>
        <v>21.04</v>
      </c>
      <c r="FV43" s="299">
        <f t="shared" ca="1" si="141"/>
        <v>21.039999999999996</v>
      </c>
      <c r="FW43" s="850">
        <f t="shared" ca="1" si="142"/>
        <v>0.1915</v>
      </c>
      <c r="FX43" s="851">
        <f t="shared" ca="1" si="143"/>
        <v>0.5</v>
      </c>
      <c r="FY43" s="851">
        <f t="shared" ca="1" si="144"/>
        <v>0</v>
      </c>
      <c r="FZ43" s="201">
        <f t="shared" ca="1" si="145"/>
        <v>0</v>
      </c>
      <c r="GA43" s="201">
        <f t="shared" ca="1" si="146"/>
        <v>0</v>
      </c>
      <c r="GB43" s="201">
        <f t="shared" ca="1" si="147"/>
        <v>0</v>
      </c>
      <c r="GC43" s="201">
        <f t="shared" ca="1" si="148"/>
        <v>0</v>
      </c>
      <c r="GD43" s="850">
        <f t="shared" ca="1" si="149"/>
        <v>0.50267062499999993</v>
      </c>
      <c r="GE43" s="866">
        <f t="shared" ca="1" si="150"/>
        <v>0.50267062499999993</v>
      </c>
      <c r="GF43" s="866">
        <f t="shared" ca="1" si="151"/>
        <v>0.49017062499999997</v>
      </c>
      <c r="GG43" s="866">
        <f t="shared" ca="1" si="152"/>
        <v>0.12965399999999999</v>
      </c>
      <c r="GH43" s="866">
        <f t="shared" ca="1" si="153"/>
        <v>0.43382188948359074</v>
      </c>
      <c r="GI43" s="302">
        <f t="shared" ca="1" si="154"/>
        <v>32.397071775236618</v>
      </c>
      <c r="GJ43" s="299">
        <f t="shared" ca="1" si="155"/>
        <v>10.552620444998237</v>
      </c>
      <c r="GK43" s="299">
        <f t="shared" ca="1" si="156"/>
        <v>6.2643943988317927</v>
      </c>
      <c r="GL43" s="299">
        <f t="shared" ca="1" si="157"/>
        <v>2.1052849356611776</v>
      </c>
      <c r="GM43" s="299">
        <f t="shared" ca="1" si="158"/>
        <v>16.382919121307648</v>
      </c>
      <c r="GN43" s="302">
        <f t="shared" ca="1" si="159"/>
        <v>0.95743706806664541</v>
      </c>
      <c r="GO43" s="299">
        <f t="shared" ca="1" si="160"/>
        <v>0.78106846110184502</v>
      </c>
      <c r="GP43" s="299">
        <f t="shared" ca="1" si="161"/>
        <v>0.66577275667281077</v>
      </c>
      <c r="GQ43" s="299">
        <f t="shared" ca="1" si="162"/>
        <v>0.54789010510421099</v>
      </c>
      <c r="GR43" s="299">
        <f t="shared" ca="1" si="163"/>
        <v>0.89172749845684296</v>
      </c>
      <c r="GS43" s="302">
        <f t="shared" ca="1" si="164"/>
        <v>-0.85608326751731323</v>
      </c>
      <c r="GT43" s="299">
        <f t="shared" ca="1" si="165"/>
        <v>-0.54657202350903422</v>
      </c>
      <c r="GU43" s="299">
        <f t="shared" ca="1" si="166"/>
        <v>-0.41557915042068605</v>
      </c>
      <c r="GV43" s="299">
        <f t="shared" ca="1" si="167"/>
        <v>-0.44691753137964463</v>
      </c>
      <c r="GW43" s="299">
        <f t="shared" ca="1" si="168"/>
        <v>-0.74895633110824578</v>
      </c>
      <c r="GX43" s="303">
        <f t="shared" ca="1" si="169"/>
        <v>8777.9174150383496</v>
      </c>
      <c r="GY43" s="303">
        <f t="shared" ca="1" si="170"/>
        <v>714.80249373373522</v>
      </c>
      <c r="GZ43" s="303">
        <f t="shared" ca="1" si="171"/>
        <v>424.3310712590835</v>
      </c>
      <c r="HA43" s="303">
        <f t="shared" ca="1" si="172"/>
        <v>427.81684318342616</v>
      </c>
      <c r="HB43" s="303">
        <f t="shared" ca="1" si="173"/>
        <v>9987.563139627051</v>
      </c>
      <c r="HC43" s="303">
        <f t="shared" ca="1" si="174"/>
        <v>8564.6620514364677</v>
      </c>
      <c r="HD43" s="303">
        <f t="shared" ca="1" si="175"/>
        <v>487.28281760448311</v>
      </c>
      <c r="HE43" s="303">
        <f t="shared" ca="1" si="176"/>
        <v>101.77476630087644</v>
      </c>
      <c r="HF43" s="303">
        <f t="shared" ca="1" si="177"/>
        <v>0</v>
      </c>
      <c r="HG43" s="852">
        <f t="shared" ca="1" si="178"/>
        <v>9146.6070058373243</v>
      </c>
    </row>
    <row r="44" spans="1:256" x14ac:dyDescent="0.25">
      <c r="A44" s="244">
        <f t="shared" ca="1" si="179"/>
        <v>37438</v>
      </c>
      <c r="B44" s="13">
        <f t="shared" ca="1" si="3"/>
        <v>2002</v>
      </c>
      <c r="C44" s="619">
        <f t="shared" ca="1" si="180"/>
        <v>7</v>
      </c>
      <c r="D44" s="195">
        <f t="shared" ca="1" si="4"/>
        <v>37441</v>
      </c>
      <c r="E44" s="469">
        <f t="shared" ca="1" si="5"/>
        <v>37438</v>
      </c>
      <c r="F44" s="465">
        <f t="shared" ca="1" si="6"/>
        <v>37468</v>
      </c>
      <c r="G44" s="522">
        <f t="shared" ca="1" si="181"/>
        <v>1</v>
      </c>
      <c r="H44" s="519">
        <f t="shared" ca="1" si="182"/>
        <v>1</v>
      </c>
      <c r="I44" s="724">
        <f t="shared" ca="1" si="7"/>
        <v>7.1217617269914005E-2</v>
      </c>
      <c r="J44" s="198">
        <f t="shared" ca="1" si="8"/>
        <v>0.84145367162451279</v>
      </c>
      <c r="K44" s="200">
        <f t="shared" ca="1" si="190"/>
        <v>68.5</v>
      </c>
      <c r="L44" s="201">
        <f t="shared" ca="1" si="191"/>
        <v>72.5</v>
      </c>
      <c r="M44" s="206">
        <f t="shared" ca="1" si="192"/>
        <v>76.5</v>
      </c>
      <c r="N44" s="851">
        <f t="shared" ca="1" si="196"/>
        <v>36.761249542236328</v>
      </c>
      <c r="O44" s="201">
        <f t="shared" ca="1" si="197"/>
        <v>39.761249542236328</v>
      </c>
      <c r="P44" s="206">
        <f t="shared" ca="1" si="198"/>
        <v>42.761249542236328</v>
      </c>
      <c r="Q44" s="201">
        <f t="shared" ca="1" si="199"/>
        <v>26.247499465942383</v>
      </c>
      <c r="R44" s="201">
        <f t="shared" ca="1" si="200"/>
        <v>29.247499465942383</v>
      </c>
      <c r="S44" s="201">
        <f t="shared" ca="1" si="201"/>
        <v>32.247499465942383</v>
      </c>
      <c r="T44" s="851">
        <f t="shared" ca="1" si="193"/>
        <v>22.049997711181639</v>
      </c>
      <c r="U44" s="201">
        <f t="shared" ca="1" si="194"/>
        <v>24.049997711181639</v>
      </c>
      <c r="V44" s="206">
        <f t="shared" ca="1" si="195"/>
        <v>26.049997711181639</v>
      </c>
      <c r="W44" s="230">
        <f t="shared" ca="1" si="183"/>
        <v>0.192481875</v>
      </c>
      <c r="X44" s="231">
        <f t="shared" ca="1" si="184"/>
        <v>0.38496374999999999</v>
      </c>
      <c r="Y44" s="232">
        <f t="shared" ca="1" si="185"/>
        <v>0.57744562499999996</v>
      </c>
      <c r="Z44" s="231">
        <f t="shared" ca="1" si="202"/>
        <v>0.192481875</v>
      </c>
      <c r="AA44" s="231">
        <f t="shared" ca="1" si="203"/>
        <v>0.38496374999999999</v>
      </c>
      <c r="AB44" s="232">
        <f t="shared" ca="1" si="204"/>
        <v>0.57744562499999996</v>
      </c>
      <c r="AC44" s="231">
        <f t="shared" ca="1" si="205"/>
        <v>0.192481875</v>
      </c>
      <c r="AD44" s="231">
        <f t="shared" ca="1" si="206"/>
        <v>0.38496374999999999</v>
      </c>
      <c r="AE44" s="232">
        <f t="shared" ca="1" si="14"/>
        <v>0.57744562499999996</v>
      </c>
      <c r="AF44" s="231">
        <f t="shared" ca="1" si="186"/>
        <v>5.7623999999999995E-2</v>
      </c>
      <c r="AG44" s="231">
        <f t="shared" ca="1" si="187"/>
        <v>0.11524799999999999</v>
      </c>
      <c r="AH44" s="232">
        <f t="shared" ca="1" si="188"/>
        <v>0.17287199999999997</v>
      </c>
      <c r="AI44" s="233">
        <f t="shared" ca="1" si="15"/>
        <v>2.65</v>
      </c>
      <c r="AJ44" s="233">
        <f t="shared" ca="1" si="16"/>
        <v>3</v>
      </c>
      <c r="AK44" s="234">
        <f t="shared" ca="1" si="17"/>
        <v>3.5</v>
      </c>
      <c r="AL44" s="919">
        <f t="shared" ca="1" si="18"/>
        <v>2.65</v>
      </c>
      <c r="AM44" s="233">
        <f t="shared" ca="1" si="19"/>
        <v>3</v>
      </c>
      <c r="AN44" s="234">
        <f t="shared" ca="1" si="20"/>
        <v>3.5</v>
      </c>
      <c r="AO44" s="233">
        <f t="shared" ca="1" si="21"/>
        <v>2.65</v>
      </c>
      <c r="AP44" s="233">
        <f t="shared" ca="1" si="22"/>
        <v>3</v>
      </c>
      <c r="AQ44" s="233">
        <f t="shared" ca="1" si="23"/>
        <v>3.5</v>
      </c>
      <c r="AR44" s="919">
        <f t="shared" ca="1" si="24"/>
        <v>0.6</v>
      </c>
      <c r="AS44" s="233">
        <f t="shared" ca="1" si="25"/>
        <v>0.75</v>
      </c>
      <c r="AT44" s="235">
        <f t="shared" ca="1" si="26"/>
        <v>0.95</v>
      </c>
      <c r="AU44" s="946">
        <f t="shared" si="27"/>
        <v>0.5</v>
      </c>
      <c r="AV44" s="13">
        <f t="shared" ca="1" si="28"/>
        <v>22</v>
      </c>
      <c r="AW44" s="210">
        <f t="shared" ca="1" si="29"/>
        <v>4</v>
      </c>
      <c r="AX44" s="210">
        <f t="shared" ca="1" si="30"/>
        <v>4</v>
      </c>
      <c r="AY44" s="210">
        <f t="shared" ca="1" si="31"/>
        <v>1</v>
      </c>
      <c r="AZ44" s="13">
        <f t="shared" ca="1" si="32"/>
        <v>31</v>
      </c>
      <c r="BA44" s="357">
        <f ca="1"/>
        <v>352</v>
      </c>
      <c r="BB44" s="925">
        <f ca="1"/>
        <v>64</v>
      </c>
      <c r="BC44" s="925">
        <f ca="1"/>
        <v>80</v>
      </c>
      <c r="BD44" s="928">
        <f ca="1"/>
        <v>248</v>
      </c>
      <c r="BE44" s="200">
        <f ca="1"/>
        <v>1.0000000111758709</v>
      </c>
      <c r="BF44" s="851">
        <f ca="1"/>
        <v>1.0000000111758709</v>
      </c>
      <c r="BG44" s="851">
        <f ca="1"/>
        <v>1.0000000111758709</v>
      </c>
      <c r="BH44" s="933">
        <f ca="1"/>
        <v>1.0000000149011612</v>
      </c>
      <c r="BI44" s="357">
        <f ca="1"/>
        <v>352</v>
      </c>
      <c r="BJ44" s="925">
        <f ca="1"/>
        <v>64</v>
      </c>
      <c r="BK44" s="925">
        <f ca="1"/>
        <v>80</v>
      </c>
      <c r="BL44" s="928">
        <f ca="1"/>
        <v>248</v>
      </c>
      <c r="BM44" s="200">
        <f ca="1"/>
        <v>1.0000000111758709</v>
      </c>
      <c r="BN44" s="851">
        <f ca="1"/>
        <v>1.0000000111758709</v>
      </c>
      <c r="BO44" s="851">
        <f ca="1"/>
        <v>1.0000000111758709</v>
      </c>
      <c r="BP44" s="933">
        <f ca="1"/>
        <v>1.0000000149011612</v>
      </c>
      <c r="BQ44" s="357">
        <f t="shared" ca="1" si="33"/>
        <v>744</v>
      </c>
      <c r="BR44" s="361">
        <f t="shared" ca="1" si="34"/>
        <v>744</v>
      </c>
      <c r="BS44" s="357">
        <f t="shared" ca="1" si="35"/>
        <v>626.04153168863752</v>
      </c>
      <c r="BT44" s="302">
        <f t="shared" ca="1" si="36"/>
        <v>45.743171721868883</v>
      </c>
      <c r="BU44" s="299">
        <f t="shared" ca="1" si="37"/>
        <v>48.882956705678801</v>
      </c>
      <c r="BV44" s="299">
        <f t="shared" ca="1" si="38"/>
        <v>52.022741689488718</v>
      </c>
      <c r="BW44" s="299">
        <f t="shared" ca="1" si="39"/>
        <v>32.659889647739881</v>
      </c>
      <c r="BX44" s="380">
        <f t="shared" ca="1" si="40"/>
        <v>2.3299110198494182</v>
      </c>
      <c r="BY44" s="363">
        <f t="shared" ca="1" si="41"/>
        <v>296.19169241182851</v>
      </c>
      <c r="BZ44" s="353">
        <f t="shared" ca="1" si="42"/>
        <v>53.853034983968818</v>
      </c>
      <c r="CA44" s="353">
        <f t="shared" ca="1" si="43"/>
        <v>67.316293729961018</v>
      </c>
      <c r="CB44" s="353">
        <f t="shared" ca="1" si="44"/>
        <v>417.36102112575838</v>
      </c>
      <c r="CC44" s="353">
        <f t="shared" ca="1" si="45"/>
        <v>208.68051056287916</v>
      </c>
      <c r="CD44" s="353">
        <f t="shared" ca="1" si="46"/>
        <v>626.04153168863752</v>
      </c>
      <c r="CE44" s="302">
        <f t="shared" ca="1" si="47"/>
        <v>76.500000854954123</v>
      </c>
      <c r="CF44" s="299">
        <f t="shared" ca="1" si="48"/>
        <v>42.761250020130532</v>
      </c>
      <c r="CG44" s="299">
        <f t="shared" ca="1" si="49"/>
        <v>32.247499826336274</v>
      </c>
      <c r="CH44" s="299">
        <f t="shared" ca="1" si="50"/>
        <v>65.009113484554646</v>
      </c>
      <c r="CI44" s="299">
        <f t="shared" ca="1" si="51"/>
        <v>26.049998099356856</v>
      </c>
      <c r="CJ44" s="299">
        <f t="shared" ca="1" si="52"/>
        <v>52.022741689488718</v>
      </c>
      <c r="CK44" s="299">
        <f t="shared" ca="1" si="53"/>
        <v>32.659889647739881</v>
      </c>
      <c r="CL44" s="377">
        <f t="shared" ca="1" si="54"/>
        <v>0.57744562499999996</v>
      </c>
      <c r="CM44" s="305">
        <f t="shared" ca="1" si="55"/>
        <v>0.57744562499999996</v>
      </c>
      <c r="CN44" s="305">
        <f t="shared" ca="1" si="56"/>
        <v>0.57744562499999996</v>
      </c>
      <c r="CO44" s="305">
        <f t="shared" ca="1" si="57"/>
        <v>0.57744562499999996</v>
      </c>
      <c r="CP44" s="305">
        <f t="shared" ca="1" si="58"/>
        <v>0.17287199999999997</v>
      </c>
      <c r="CQ44" s="305">
        <f t="shared" ca="1" si="59"/>
        <v>0.51420510006752151</v>
      </c>
      <c r="CR44" s="775">
        <f t="shared" ca="1" si="60"/>
        <v>0.59244562499999998</v>
      </c>
      <c r="CS44" s="305">
        <f t="shared" ca="1" si="61"/>
        <v>0.59244562499999998</v>
      </c>
      <c r="CT44" s="305">
        <f t="shared" ca="1" si="62"/>
        <v>0.57744562499999996</v>
      </c>
      <c r="CU44" s="305">
        <f t="shared" ca="1" si="63"/>
        <v>0.19787199999999996</v>
      </c>
      <c r="CV44" s="770">
        <f t="shared" ca="1" si="64"/>
        <v>0.52920510006752153</v>
      </c>
      <c r="CW44" s="302">
        <f t="shared" ca="1" si="65"/>
        <v>47.788884755389446</v>
      </c>
      <c r="CX44" s="299">
        <f t="shared" ca="1" si="66"/>
        <v>18.743079473666565</v>
      </c>
      <c r="CY44" s="299">
        <f t="shared" ca="1" si="67"/>
        <v>10.847813232367773</v>
      </c>
      <c r="CZ44" s="299">
        <f t="shared" ca="1" si="68"/>
        <v>1.150565222878309</v>
      </c>
      <c r="DA44" s="774">
        <f t="shared" ca="1" si="69"/>
        <v>24.951972181945298</v>
      </c>
      <c r="DB44" s="303">
        <f t="shared" ca="1" si="70"/>
        <v>15620.970883437309</v>
      </c>
      <c r="DC44" s="248">
        <f t="shared" ca="1" si="71"/>
        <v>523.68796024241669</v>
      </c>
      <c r="DD44" s="778">
        <f t="shared" ca="1" si="72"/>
        <v>12121.949550076904</v>
      </c>
      <c r="DE44" s="363">
        <f t="shared" ca="1" si="73"/>
        <v>0.84145367162451279</v>
      </c>
      <c r="DF44" s="378">
        <f t="shared" ca="1" si="74"/>
        <v>0.48904948964110795</v>
      </c>
      <c r="DG44" s="508">
        <f t="shared" ca="1" si="75"/>
        <v>-0.15415618074580406</v>
      </c>
      <c r="DH44" s="508">
        <f t="shared" ca="1" si="76"/>
        <v>-0.45512463065608366</v>
      </c>
      <c r="DI44" s="508">
        <f t="shared" ca="1" si="77"/>
        <v>-0.89971009835030669</v>
      </c>
      <c r="DJ44" s="508">
        <f t="shared" ca="1" si="78"/>
        <v>0.17242059723715056</v>
      </c>
      <c r="DK44" s="353">
        <f t="shared" ca="1" si="79"/>
        <v>-355.87115482148783</v>
      </c>
      <c r="DL44" s="781">
        <f t="shared" ca="1" si="80"/>
        <v>9.3271605511449707</v>
      </c>
      <c r="DM44" s="303">
        <f t="shared" ca="1" si="81"/>
        <v>21306.834740591919</v>
      </c>
      <c r="DN44" s="508">
        <f t="shared" ca="1" si="82"/>
        <v>1.3207947441650782</v>
      </c>
      <c r="DO44" s="508">
        <f t="shared" ca="1" si="83"/>
        <v>0.93969224851959543</v>
      </c>
      <c r="DP44" s="508">
        <f t="shared" ca="1" si="84"/>
        <v>0.75480023192544066</v>
      </c>
      <c r="DQ44" s="508">
        <f t="shared" ca="1" si="85"/>
        <v>0.61496564031458145</v>
      </c>
      <c r="DR44" s="508">
        <f t="shared" ca="1" si="86"/>
        <v>1.0681432831549842</v>
      </c>
      <c r="DS44" s="353">
        <f t="shared" ca="1" si="87"/>
        <v>11210.538675486065</v>
      </c>
      <c r="DT44" s="353">
        <f t="shared" ca="1" si="88"/>
        <v>-5486.1534297530998</v>
      </c>
      <c r="DU44" s="380">
        <f t="shared" ca="1" si="189"/>
        <v>2.3299110198494182</v>
      </c>
      <c r="DV44" s="303">
        <f t="shared" ca="1" si="89"/>
        <v>296.19169241182851</v>
      </c>
      <c r="DW44" s="303">
        <f t="shared" ca="1" si="90"/>
        <v>53.853034983968818</v>
      </c>
      <c r="DX44" s="303">
        <f t="shared" ca="1" si="91"/>
        <v>67.316293729961018</v>
      </c>
      <c r="DY44" s="303">
        <f t="shared" ca="1" si="92"/>
        <v>417.36102112575838</v>
      </c>
      <c r="DZ44" s="303">
        <f t="shared" ca="1" si="93"/>
        <v>208.68051056287916</v>
      </c>
      <c r="EA44" s="303">
        <f t="shared" ca="1" si="94"/>
        <v>626.04153168863752</v>
      </c>
      <c r="EB44" s="302">
        <f t="shared" ca="1" si="95"/>
        <v>76.500000854954123</v>
      </c>
      <c r="EC44" s="299">
        <f t="shared" ca="1" si="96"/>
        <v>42.761250020130532</v>
      </c>
      <c r="ED44" s="299">
        <f t="shared" ca="1" si="97"/>
        <v>32.247499826336274</v>
      </c>
      <c r="EE44" s="299">
        <f t="shared" ca="1" si="98"/>
        <v>65.009113484554646</v>
      </c>
      <c r="EF44" s="299">
        <f t="shared" ca="1" si="99"/>
        <v>26.049998099356856</v>
      </c>
      <c r="EG44" s="299">
        <f t="shared" ca="1" si="100"/>
        <v>52.022741689488718</v>
      </c>
      <c r="EH44" s="302">
        <f t="shared" ca="1" si="101"/>
        <v>30</v>
      </c>
      <c r="EI44" s="304">
        <f t="shared" ca="1" si="102"/>
        <v>0.192481875</v>
      </c>
      <c r="EJ44" s="305">
        <f t="shared" ca="1" si="103"/>
        <v>0.192481875</v>
      </c>
      <c r="EK44" s="305">
        <f t="shared" ca="1" si="104"/>
        <v>0.192481875</v>
      </c>
      <c r="EL44" s="305">
        <f t="shared" ca="1" si="105"/>
        <v>0.19248187500000011</v>
      </c>
      <c r="EM44" s="305">
        <f t="shared" ca="1" si="106"/>
        <v>5.7623999999999995E-2</v>
      </c>
      <c r="EN44" s="305">
        <f t="shared" ca="1" si="107"/>
        <v>0.1661163307993288</v>
      </c>
      <c r="EO44" s="305">
        <f t="shared" ca="1" si="108"/>
        <v>0.192481875</v>
      </c>
      <c r="EP44" s="305">
        <f t="shared" ca="1" si="109"/>
        <v>0.192481875</v>
      </c>
      <c r="EQ44" s="305">
        <f t="shared" ca="1" si="110"/>
        <v>0.192481875</v>
      </c>
      <c r="ER44" s="305">
        <f t="shared" ca="1" si="111"/>
        <v>5.7623999999999995E-2</v>
      </c>
      <c r="ES44" s="305">
        <f t="shared" ca="1" si="112"/>
        <v>0.1661163307993288</v>
      </c>
      <c r="ET44" s="299">
        <f t="shared" ca="1" si="113"/>
        <v>5.2800432347125392E-2</v>
      </c>
      <c r="EU44" s="302">
        <f t="shared" ca="1" si="114"/>
        <v>30</v>
      </c>
      <c r="EV44" s="304">
        <f t="shared" ca="1" si="115"/>
        <v>0.57744562499999996</v>
      </c>
      <c r="EW44" s="305">
        <f t="shared" ca="1" si="116"/>
        <v>0.57744562499999996</v>
      </c>
      <c r="EX44" s="305">
        <f t="shared" ca="1" si="117"/>
        <v>0.57744562499999996</v>
      </c>
      <c r="EY44" s="305">
        <f t="shared" ca="1" si="118"/>
        <v>0.57744562499999996</v>
      </c>
      <c r="EZ44" s="305">
        <f t="shared" ca="1" si="119"/>
        <v>0.17287199999999997</v>
      </c>
      <c r="FA44" s="305">
        <f t="shared" ca="1" si="120"/>
        <v>0.51420510006752151</v>
      </c>
      <c r="FB44" s="305">
        <f t="shared" ca="1" si="121"/>
        <v>0.57744562499999996</v>
      </c>
      <c r="FC44" s="305">
        <f t="shared" ca="1" si="122"/>
        <v>0.57744562499999996</v>
      </c>
      <c r="FD44" s="305">
        <f t="shared" ca="1" si="123"/>
        <v>0.57744562499999996</v>
      </c>
      <c r="FE44" s="305">
        <f t="shared" ca="1" si="124"/>
        <v>0.17287199999999997</v>
      </c>
      <c r="FF44" s="305">
        <f t="shared" ca="1" si="125"/>
        <v>0.51420510006752151</v>
      </c>
      <c r="FG44" s="299">
        <f t="shared" ca="1" si="126"/>
        <v>26.25530956118401</v>
      </c>
      <c r="FH44" s="302">
        <f t="shared" ca="1" si="127"/>
        <v>-26.202509128836883</v>
      </c>
      <c r="FI44" s="248">
        <f t="shared" ca="1" si="128"/>
        <v>-16403.858949102549</v>
      </c>
      <c r="FJ44" s="363">
        <f t="shared" ca="1" si="129"/>
        <v>0.84145367162451279</v>
      </c>
      <c r="FK44" s="378">
        <f t="shared" ca="1" si="130"/>
        <v>3.0391992867904922</v>
      </c>
      <c r="FL44" s="508">
        <f t="shared" ca="1" si="131"/>
        <v>1.0594576337339745</v>
      </c>
      <c r="FM44" s="508">
        <f t="shared" ca="1" si="132"/>
        <v>9.8985239164380553E-2</v>
      </c>
      <c r="FN44" s="508">
        <f t="shared" ca="1" si="133"/>
        <v>-1.6490678618546333</v>
      </c>
      <c r="FO44" s="508">
        <f t="shared" ca="1" si="134"/>
        <v>2.0442323782033953</v>
      </c>
      <c r="FP44" s="353">
        <f t="shared" ca="1" si="135"/>
        <v>12.812083909285025</v>
      </c>
      <c r="FQ44" s="356">
        <f t="shared" ca="1" si="136"/>
        <v>4.0632783453726251</v>
      </c>
      <c r="FR44" s="380">
        <f t="shared" ca="1" si="137"/>
        <v>21.12</v>
      </c>
      <c r="FS44" s="299">
        <f t="shared" ca="1" si="138"/>
        <v>21.12</v>
      </c>
      <c r="FT44" s="299">
        <f t="shared" ca="1" si="139"/>
        <v>21.12</v>
      </c>
      <c r="FU44" s="299">
        <f t="shared" ca="1" si="140"/>
        <v>21.12</v>
      </c>
      <c r="FV44" s="299">
        <f t="shared" ca="1" si="141"/>
        <v>21.12</v>
      </c>
      <c r="FW44" s="850">
        <f t="shared" ca="1" si="142"/>
        <v>0.1905</v>
      </c>
      <c r="FX44" s="851">
        <f t="shared" ca="1" si="143"/>
        <v>0.5</v>
      </c>
      <c r="FY44" s="851">
        <f t="shared" ca="1" si="144"/>
        <v>0</v>
      </c>
      <c r="FZ44" s="201">
        <f t="shared" ca="1" si="145"/>
        <v>0</v>
      </c>
      <c r="GA44" s="201">
        <f t="shared" ca="1" si="146"/>
        <v>0</v>
      </c>
      <c r="GB44" s="201">
        <f t="shared" ca="1" si="147"/>
        <v>0</v>
      </c>
      <c r="GC44" s="201">
        <f t="shared" ca="1" si="148"/>
        <v>0</v>
      </c>
      <c r="GD44" s="850">
        <f t="shared" ca="1" si="149"/>
        <v>0.59244562499999998</v>
      </c>
      <c r="GE44" s="866">
        <f t="shared" ca="1" si="150"/>
        <v>0.59244562499999998</v>
      </c>
      <c r="GF44" s="866">
        <f t="shared" ca="1" si="151"/>
        <v>0.59244562499999998</v>
      </c>
      <c r="GG44" s="866">
        <f t="shared" ca="1" si="152"/>
        <v>0.18787199999999998</v>
      </c>
      <c r="GH44" s="866">
        <f t="shared" ca="1" si="153"/>
        <v>0.52920510006752153</v>
      </c>
      <c r="GI44" s="302">
        <f t="shared" ca="1" si="154"/>
        <v>56.068446115034597</v>
      </c>
      <c r="GJ44" s="299">
        <f t="shared" ca="1" si="155"/>
        <v>24.01631910930455</v>
      </c>
      <c r="GK44" s="299">
        <f t="shared" ca="1" si="156"/>
        <v>14.910448488841347</v>
      </c>
      <c r="GL44" s="299">
        <f t="shared" ca="1" si="157"/>
        <v>5.8497294718938901</v>
      </c>
      <c r="GM44" s="299">
        <f t="shared" ca="1" si="158"/>
        <v>31.989451008232461</v>
      </c>
      <c r="GN44" s="302">
        <f t="shared" ca="1" si="159"/>
        <v>0.97775421455249145</v>
      </c>
      <c r="GO44" s="299">
        <f t="shared" ca="1" si="160"/>
        <v>0.90007866791060787</v>
      </c>
      <c r="GP44" s="299">
        <f t="shared" ca="1" si="161"/>
        <v>0.82357835912399113</v>
      </c>
      <c r="GQ44" s="299">
        <f t="shared" ca="1" si="162"/>
        <v>0.80808324467384363</v>
      </c>
      <c r="GR44" s="299">
        <f t="shared" ca="1" si="163"/>
        <v>0.94806929629968772</v>
      </c>
      <c r="GS44" s="302">
        <f t="shared" ca="1" si="164"/>
        <v>-0.8868263668108064</v>
      </c>
      <c r="GT44" s="299">
        <f t="shared" ca="1" si="165"/>
        <v>-0.68523581659366872</v>
      </c>
      <c r="GU44" s="299">
        <f t="shared" ca="1" si="166"/>
        <v>-0.55151060596655044</v>
      </c>
      <c r="GV44" s="299">
        <f t="shared" ca="1" si="167"/>
        <v>-0.71973658624273251</v>
      </c>
      <c r="GW44" s="299">
        <f t="shared" ca="1" si="168"/>
        <v>-0.82063039024244322</v>
      </c>
      <c r="GX44" s="303">
        <f t="shared" ca="1" si="169"/>
        <v>16607.007945713507</v>
      </c>
      <c r="GY44" s="303">
        <f t="shared" ca="1" si="170"/>
        <v>1293.3516731795369</v>
      </c>
      <c r="GZ44" s="303">
        <f t="shared" ca="1" si="171"/>
        <v>1003.7161301202975</v>
      </c>
      <c r="HA44" s="303">
        <f t="shared" ca="1" si="172"/>
        <v>1220.7245328495385</v>
      </c>
      <c r="HB44" s="303">
        <f t="shared" ca="1" si="173"/>
        <v>20026.724907072479</v>
      </c>
      <c r="HC44" s="303">
        <f t="shared" ca="1" si="174"/>
        <v>16403.09617899737</v>
      </c>
      <c r="HD44" s="303">
        <f t="shared" ca="1" si="175"/>
        <v>1165.4469944309053</v>
      </c>
      <c r="HE44" s="303">
        <f t="shared" ca="1" si="176"/>
        <v>749.06204678974279</v>
      </c>
      <c r="HF44" s="303">
        <f t="shared" ca="1" si="177"/>
        <v>1028.7945204478124</v>
      </c>
      <c r="HG44" s="852">
        <f t="shared" ca="1" si="178"/>
        <v>19346.399740665831</v>
      </c>
    </row>
    <row r="45" spans="1:256" x14ac:dyDescent="0.25">
      <c r="A45" s="244">
        <f t="shared" ca="1" si="179"/>
        <v>37469</v>
      </c>
      <c r="B45" s="13">
        <f t="shared" ca="1" si="3"/>
        <v>2002</v>
      </c>
      <c r="C45" s="619">
        <f t="shared" ca="1" si="180"/>
        <v>8</v>
      </c>
      <c r="D45" s="195" t="str">
        <f t="shared" ca="1" si="4"/>
        <v/>
      </c>
      <c r="E45" s="469">
        <f t="shared" ca="1" si="5"/>
        <v>37469</v>
      </c>
      <c r="F45" s="465">
        <f t="shared" ca="1" si="6"/>
        <v>37499</v>
      </c>
      <c r="G45" s="522">
        <f t="shared" ca="1" si="181"/>
        <v>1</v>
      </c>
      <c r="H45" s="519">
        <f t="shared" ca="1" si="182"/>
        <v>1</v>
      </c>
      <c r="I45" s="724">
        <f t="shared" ca="1" si="7"/>
        <v>7.1330136209252007E-2</v>
      </c>
      <c r="J45" s="198">
        <f t="shared" ca="1" si="8"/>
        <v>0.83623893173036756</v>
      </c>
      <c r="K45" s="200">
        <f t="shared" ca="1" si="190"/>
        <v>64</v>
      </c>
      <c r="L45" s="201">
        <f t="shared" ca="1" si="191"/>
        <v>68</v>
      </c>
      <c r="M45" s="206">
        <f t="shared" ca="1" si="192"/>
        <v>72</v>
      </c>
      <c r="N45" s="851">
        <f t="shared" ca="1" si="196"/>
        <v>39.022499084472656</v>
      </c>
      <c r="O45" s="201">
        <f t="shared" ca="1" si="197"/>
        <v>42.022499084472656</v>
      </c>
      <c r="P45" s="206">
        <f t="shared" ca="1" si="198"/>
        <v>45.022499084472656</v>
      </c>
      <c r="Q45" s="201">
        <f t="shared" ca="1" si="199"/>
        <v>27.745000839233398</v>
      </c>
      <c r="R45" s="201">
        <f t="shared" ca="1" si="200"/>
        <v>30.745000839233398</v>
      </c>
      <c r="S45" s="201">
        <f t="shared" ca="1" si="201"/>
        <v>33.745000839233398</v>
      </c>
      <c r="T45" s="851">
        <f t="shared" ca="1" si="193"/>
        <v>22.399998092651366</v>
      </c>
      <c r="U45" s="201">
        <f t="shared" ca="1" si="194"/>
        <v>24.399998092651366</v>
      </c>
      <c r="V45" s="206">
        <f t="shared" ca="1" si="195"/>
        <v>26.399998092651366</v>
      </c>
      <c r="W45" s="230">
        <f t="shared" ca="1" si="183"/>
        <v>0.18959624999999999</v>
      </c>
      <c r="X45" s="231">
        <f t="shared" ca="1" si="184"/>
        <v>0.37919249999999999</v>
      </c>
      <c r="Y45" s="232">
        <f t="shared" ca="1" si="185"/>
        <v>0.56878874999999995</v>
      </c>
      <c r="Z45" s="231">
        <f t="shared" ca="1" si="202"/>
        <v>0.18959624999999999</v>
      </c>
      <c r="AA45" s="231">
        <f t="shared" ca="1" si="203"/>
        <v>0.37919249999999999</v>
      </c>
      <c r="AB45" s="232">
        <f t="shared" ca="1" si="204"/>
        <v>0.56878874999999995</v>
      </c>
      <c r="AC45" s="231">
        <f t="shared" ca="1" si="205"/>
        <v>0.18959624999999999</v>
      </c>
      <c r="AD45" s="231">
        <f t="shared" ca="1" si="206"/>
        <v>0.37919249999999999</v>
      </c>
      <c r="AE45" s="232">
        <f t="shared" ca="1" si="14"/>
        <v>0.56878874999999995</v>
      </c>
      <c r="AF45" s="231">
        <f t="shared" ca="1" si="186"/>
        <v>5.7623999999999995E-2</v>
      </c>
      <c r="AG45" s="231">
        <f t="shared" ca="1" si="187"/>
        <v>0.11524799999999999</v>
      </c>
      <c r="AH45" s="232">
        <f t="shared" ca="1" si="188"/>
        <v>0.17287199999999997</v>
      </c>
      <c r="AI45" s="233">
        <f t="shared" ca="1" si="15"/>
        <v>2.65</v>
      </c>
      <c r="AJ45" s="233">
        <f t="shared" ca="1" si="16"/>
        <v>3</v>
      </c>
      <c r="AK45" s="234">
        <f t="shared" ca="1" si="17"/>
        <v>3.5</v>
      </c>
      <c r="AL45" s="919">
        <f t="shared" ca="1" si="18"/>
        <v>2.65</v>
      </c>
      <c r="AM45" s="233">
        <f t="shared" ca="1" si="19"/>
        <v>3</v>
      </c>
      <c r="AN45" s="234">
        <f t="shared" ca="1" si="20"/>
        <v>3.5</v>
      </c>
      <c r="AO45" s="233">
        <f t="shared" ca="1" si="21"/>
        <v>2.65</v>
      </c>
      <c r="AP45" s="233">
        <f t="shared" ca="1" si="22"/>
        <v>3</v>
      </c>
      <c r="AQ45" s="233">
        <f t="shared" ca="1" si="23"/>
        <v>3.5</v>
      </c>
      <c r="AR45" s="919">
        <f t="shared" ca="1" si="24"/>
        <v>0.6</v>
      </c>
      <c r="AS45" s="233">
        <f t="shared" ca="1" si="25"/>
        <v>0.75</v>
      </c>
      <c r="AT45" s="235">
        <f t="shared" ca="1" si="26"/>
        <v>0.95</v>
      </c>
      <c r="AU45" s="946">
        <f t="shared" si="27"/>
        <v>0.5</v>
      </c>
      <c r="AV45" s="13">
        <f t="shared" ca="1" si="28"/>
        <v>22</v>
      </c>
      <c r="AW45" s="210">
        <f t="shared" ca="1" si="29"/>
        <v>5</v>
      </c>
      <c r="AX45" s="210">
        <f t="shared" ca="1" si="30"/>
        <v>4</v>
      </c>
      <c r="AY45" s="210">
        <f t="shared" ca="1" si="31"/>
        <v>0</v>
      </c>
      <c r="AZ45" s="13">
        <f t="shared" ca="1" si="32"/>
        <v>31</v>
      </c>
      <c r="BA45" s="357">
        <f ca="1"/>
        <v>352</v>
      </c>
      <c r="BB45" s="925">
        <f ca="1"/>
        <v>80</v>
      </c>
      <c r="BC45" s="925">
        <f ca="1"/>
        <v>64</v>
      </c>
      <c r="BD45" s="928">
        <f ca="1"/>
        <v>248</v>
      </c>
      <c r="BE45" s="200">
        <f ca="1"/>
        <v>1</v>
      </c>
      <c r="BF45" s="851">
        <f ca="1"/>
        <v>1</v>
      </c>
      <c r="BG45" s="851">
        <f ca="1"/>
        <v>1</v>
      </c>
      <c r="BH45" s="933">
        <f ca="1"/>
        <v>1.0000000074505806</v>
      </c>
      <c r="BI45" s="357">
        <f ca="1"/>
        <v>352</v>
      </c>
      <c r="BJ45" s="925">
        <f ca="1"/>
        <v>80</v>
      </c>
      <c r="BK45" s="925">
        <f ca="1"/>
        <v>64</v>
      </c>
      <c r="BL45" s="928">
        <f ca="1"/>
        <v>248</v>
      </c>
      <c r="BM45" s="200">
        <f ca="1"/>
        <v>1</v>
      </c>
      <c r="BN45" s="851">
        <f ca="1"/>
        <v>1</v>
      </c>
      <c r="BO45" s="851">
        <f ca="1"/>
        <v>1</v>
      </c>
      <c r="BP45" s="933">
        <f ca="1"/>
        <v>1.0000000074505806</v>
      </c>
      <c r="BQ45" s="357">
        <f t="shared" ca="1" si="33"/>
        <v>744</v>
      </c>
      <c r="BR45" s="361">
        <f t="shared" ca="1" si="34"/>
        <v>744</v>
      </c>
      <c r="BS45" s="357">
        <f t="shared" ca="1" si="35"/>
        <v>622.1617652073935</v>
      </c>
      <c r="BT45" s="302">
        <f t="shared" ca="1" si="36"/>
        <v>44.328870361338375</v>
      </c>
      <c r="BU45" s="299">
        <f t="shared" ca="1" si="37"/>
        <v>47.468655312541991</v>
      </c>
      <c r="BV45" s="299">
        <f t="shared" ca="1" si="38"/>
        <v>50.608440263745607</v>
      </c>
      <c r="BW45" s="299">
        <f t="shared" ca="1" si="39"/>
        <v>32.659889647739881</v>
      </c>
      <c r="BX45" s="380">
        <f t="shared" ca="1" si="40"/>
        <v>2.4147843942505132</v>
      </c>
      <c r="BY45" s="363">
        <f t="shared" ca="1" si="41"/>
        <v>294.35610396908936</v>
      </c>
      <c r="BZ45" s="353">
        <f t="shared" ca="1" si="42"/>
        <v>66.899114538429401</v>
      </c>
      <c r="CA45" s="353">
        <f t="shared" ca="1" si="43"/>
        <v>53.519291630743524</v>
      </c>
      <c r="CB45" s="353">
        <f t="shared" ca="1" si="44"/>
        <v>414.77451013826226</v>
      </c>
      <c r="CC45" s="353">
        <f t="shared" ca="1" si="45"/>
        <v>207.38725506913116</v>
      </c>
      <c r="CD45" s="353">
        <f t="shared" ca="1" si="46"/>
        <v>622.16176520739339</v>
      </c>
      <c r="CE45" s="302">
        <f t="shared" ca="1" si="47"/>
        <v>72</v>
      </c>
      <c r="CF45" s="299">
        <f t="shared" ca="1" si="48"/>
        <v>45.022499084472656</v>
      </c>
      <c r="CG45" s="299">
        <f t="shared" ca="1" si="49"/>
        <v>33.745000839233398</v>
      </c>
      <c r="CH45" s="299">
        <f t="shared" ca="1" si="50"/>
        <v>62.712661250945068</v>
      </c>
      <c r="CI45" s="299">
        <f t="shared" ca="1" si="51"/>
        <v>26.39999828934668</v>
      </c>
      <c r="CJ45" s="299">
        <f t="shared" ca="1" si="52"/>
        <v>50.608440263745614</v>
      </c>
      <c r="CK45" s="299">
        <f t="shared" ca="1" si="53"/>
        <v>32.659889647739881</v>
      </c>
      <c r="CL45" s="377">
        <f t="shared" ca="1" si="54"/>
        <v>0.56878874999999995</v>
      </c>
      <c r="CM45" s="305">
        <f t="shared" ca="1" si="55"/>
        <v>0.56878874999999995</v>
      </c>
      <c r="CN45" s="305">
        <f t="shared" ca="1" si="56"/>
        <v>0.56878874999999995</v>
      </c>
      <c r="CO45" s="305">
        <f t="shared" ca="1" si="57"/>
        <v>0.56878874999999995</v>
      </c>
      <c r="CP45" s="305">
        <f t="shared" ca="1" si="58"/>
        <v>0.17287199999999997</v>
      </c>
      <c r="CQ45" s="305">
        <f t="shared" ca="1" si="59"/>
        <v>0.50398715147188167</v>
      </c>
      <c r="CR45" s="775">
        <f t="shared" ca="1" si="60"/>
        <v>0.58378874999999997</v>
      </c>
      <c r="CS45" s="305">
        <f t="shared" ca="1" si="61"/>
        <v>0.58378874999999997</v>
      </c>
      <c r="CT45" s="305">
        <f t="shared" ca="1" si="62"/>
        <v>0.56878874999999995</v>
      </c>
      <c r="CU45" s="305">
        <f t="shared" ca="1" si="63"/>
        <v>0.19787199999999996</v>
      </c>
      <c r="CV45" s="770">
        <f t="shared" ca="1" si="64"/>
        <v>0.51898715147188168</v>
      </c>
      <c r="CW45" s="302">
        <f t="shared" ca="1" si="65"/>
        <v>43.714310240842593</v>
      </c>
      <c r="CX45" s="299">
        <f t="shared" ca="1" si="66"/>
        <v>20.548488785741078</v>
      </c>
      <c r="CY45" s="299">
        <f t="shared" ca="1" si="67"/>
        <v>11.887289613538968</v>
      </c>
      <c r="CZ45" s="299">
        <f t="shared" ca="1" si="68"/>
        <v>1.2989077698520424</v>
      </c>
      <c r="DA45" s="774">
        <f t="shared" ca="1" si="69"/>
        <v>23.758154623766011</v>
      </c>
      <c r="DB45" s="303">
        <f t="shared" ca="1" si="70"/>
        <v>14781.415418792456</v>
      </c>
      <c r="DC45" s="248">
        <f t="shared" ca="1" si="71"/>
        <v>515.15193188759349</v>
      </c>
      <c r="DD45" s="778">
        <f t="shared" ca="1" si="72"/>
        <v>11166.901934168374</v>
      </c>
      <c r="DE45" s="363">
        <f t="shared" ca="1" si="73"/>
        <v>0.83623893173036756</v>
      </c>
      <c r="DF45" s="378">
        <f t="shared" ca="1" si="74"/>
        <v>0.41780756076469561</v>
      </c>
      <c r="DG45" s="508">
        <f t="shared" ca="1" si="75"/>
        <v>-9.9732754739192825E-2</v>
      </c>
      <c r="DH45" s="508">
        <f t="shared" ca="1" si="76"/>
        <v>-0.40495802962697891</v>
      </c>
      <c r="DI45" s="508">
        <f t="shared" ca="1" si="77"/>
        <v>-0.84575648414560756</v>
      </c>
      <c r="DJ45" s="508">
        <f t="shared" ca="1" si="78"/>
        <v>0.13981973880974458</v>
      </c>
      <c r="DK45" s="353">
        <f t="shared" ca="1" si="79"/>
        <v>-345.67234219982913</v>
      </c>
      <c r="DL45" s="781">
        <f t="shared" ca="1" si="80"/>
        <v>9.3316391192110775</v>
      </c>
      <c r="DM45" s="303">
        <f t="shared" ca="1" si="81"/>
        <v>20620.741548435039</v>
      </c>
      <c r="DN45" s="508">
        <f t="shared" ca="1" si="82"/>
        <v>1.2856649737055958</v>
      </c>
      <c r="DO45" s="508">
        <f t="shared" ca="1" si="83"/>
        <v>0.98350054339994464</v>
      </c>
      <c r="DP45" s="508">
        <f t="shared" ca="1" si="84"/>
        <v>0.79793635100967464</v>
      </c>
      <c r="DQ45" s="508">
        <f t="shared" ca="1" si="85"/>
        <v>0.63995721549541407</v>
      </c>
      <c r="DR45" s="508">
        <f t="shared" ca="1" si="86"/>
        <v>1.058771396447705</v>
      </c>
      <c r="DS45" s="353">
        <f t="shared" ca="1" si="87"/>
        <v>11144.339217482249</v>
      </c>
      <c r="DT45" s="353">
        <f t="shared" ca="1" si="88"/>
        <v>-5841.6055827077462</v>
      </c>
      <c r="DU45" s="380">
        <f t="shared" ca="1" si="189"/>
        <v>2.4147843942505132</v>
      </c>
      <c r="DV45" s="303">
        <f t="shared" ca="1" si="89"/>
        <v>294.35610396908936</v>
      </c>
      <c r="DW45" s="303">
        <f t="shared" ca="1" si="90"/>
        <v>66.899114538429401</v>
      </c>
      <c r="DX45" s="303">
        <f t="shared" ca="1" si="91"/>
        <v>53.519291630743524</v>
      </c>
      <c r="DY45" s="303">
        <f t="shared" ca="1" si="92"/>
        <v>414.77451013826226</v>
      </c>
      <c r="DZ45" s="303">
        <f t="shared" ca="1" si="93"/>
        <v>207.38725506913116</v>
      </c>
      <c r="EA45" s="303">
        <f t="shared" ca="1" si="94"/>
        <v>622.16176520739339</v>
      </c>
      <c r="EB45" s="302">
        <f t="shared" ca="1" si="95"/>
        <v>72</v>
      </c>
      <c r="EC45" s="299">
        <f t="shared" ca="1" si="96"/>
        <v>45.022499084472656</v>
      </c>
      <c r="ED45" s="299">
        <f t="shared" ca="1" si="97"/>
        <v>33.745000839233398</v>
      </c>
      <c r="EE45" s="299">
        <f t="shared" ca="1" si="98"/>
        <v>62.712661250945068</v>
      </c>
      <c r="EF45" s="299">
        <f t="shared" ca="1" si="99"/>
        <v>26.39999828934668</v>
      </c>
      <c r="EG45" s="299">
        <f t="shared" ca="1" si="100"/>
        <v>50.608440263745614</v>
      </c>
      <c r="EH45" s="302">
        <f t="shared" ca="1" si="101"/>
        <v>30</v>
      </c>
      <c r="EI45" s="304">
        <f t="shared" ca="1" si="102"/>
        <v>0.18959624999999999</v>
      </c>
      <c r="EJ45" s="305">
        <f t="shared" ca="1" si="103"/>
        <v>0.18959624999999999</v>
      </c>
      <c r="EK45" s="305">
        <f t="shared" ca="1" si="104"/>
        <v>0.18959624999999999</v>
      </c>
      <c r="EL45" s="305">
        <f t="shared" ca="1" si="105"/>
        <v>0.18959624999999999</v>
      </c>
      <c r="EM45" s="305">
        <f t="shared" ca="1" si="106"/>
        <v>5.7623999999999995E-2</v>
      </c>
      <c r="EN45" s="305">
        <f t="shared" ca="1" si="107"/>
        <v>0.16262405169899943</v>
      </c>
      <c r="EO45" s="305">
        <f t="shared" ca="1" si="108"/>
        <v>0.18959624999999999</v>
      </c>
      <c r="EP45" s="305">
        <f t="shared" ca="1" si="109"/>
        <v>0.18959624999999999</v>
      </c>
      <c r="EQ45" s="305">
        <f t="shared" ca="1" si="110"/>
        <v>0.18959624999999999</v>
      </c>
      <c r="ER45" s="305">
        <f t="shared" ca="1" si="111"/>
        <v>5.7623999999999995E-2</v>
      </c>
      <c r="ES45" s="305">
        <f t="shared" ca="1" si="112"/>
        <v>0.16262405169899943</v>
      </c>
      <c r="ET45" s="299">
        <f t="shared" ca="1" si="113"/>
        <v>6.8874365055566322E-2</v>
      </c>
      <c r="EU45" s="302">
        <f t="shared" ca="1" si="114"/>
        <v>30</v>
      </c>
      <c r="EV45" s="304">
        <f t="shared" ca="1" si="115"/>
        <v>0.56878874999999995</v>
      </c>
      <c r="EW45" s="305">
        <f t="shared" ca="1" si="116"/>
        <v>0.56878874999999995</v>
      </c>
      <c r="EX45" s="305">
        <f t="shared" ca="1" si="117"/>
        <v>0.56878874999999995</v>
      </c>
      <c r="EY45" s="305">
        <f t="shared" ca="1" si="118"/>
        <v>0.56878874999999995</v>
      </c>
      <c r="EZ45" s="305">
        <f t="shared" ca="1" si="119"/>
        <v>0.17287199999999997</v>
      </c>
      <c r="FA45" s="305">
        <f t="shared" ca="1" si="120"/>
        <v>0.50398715147188167</v>
      </c>
      <c r="FB45" s="305">
        <f t="shared" ca="1" si="121"/>
        <v>0.56878874999999995</v>
      </c>
      <c r="FC45" s="305">
        <f t="shared" ca="1" si="122"/>
        <v>0.56878874999999995</v>
      </c>
      <c r="FD45" s="305">
        <f t="shared" ca="1" si="123"/>
        <v>0.56878874999999995</v>
      </c>
      <c r="FE45" s="305">
        <f t="shared" ca="1" si="124"/>
        <v>0.17287199999999997</v>
      </c>
      <c r="FF45" s="305">
        <f t="shared" ca="1" si="125"/>
        <v>0.50398715147188167</v>
      </c>
      <c r="FG45" s="299">
        <f t="shared" ca="1" si="126"/>
        <v>25.020577924123298</v>
      </c>
      <c r="FH45" s="302">
        <f t="shared" ca="1" si="127"/>
        <v>-24.951703559067731</v>
      </c>
      <c r="FI45" s="248">
        <f t="shared" ca="1" si="128"/>
        <v>-15523.995931241179</v>
      </c>
      <c r="FJ45" s="363">
        <f t="shared" ca="1" si="129"/>
        <v>0.83623893173036756</v>
      </c>
      <c r="FK45" s="378">
        <f t="shared" ca="1" si="130"/>
        <v>2.8241602509119592</v>
      </c>
      <c r="FL45" s="508">
        <f t="shared" ca="1" si="131"/>
        <v>1.2305938493474737</v>
      </c>
      <c r="FM45" s="508">
        <f t="shared" ca="1" si="132"/>
        <v>0.25195826994634651</v>
      </c>
      <c r="FN45" s="508">
        <f t="shared" ca="1" si="133"/>
        <v>-1.472357316696878</v>
      </c>
      <c r="FO45" s="508">
        <f t="shared" ca="1" si="134"/>
        <v>1.9428904993105225</v>
      </c>
      <c r="FP45" s="353">
        <f t="shared" ca="1" si="135"/>
        <v>16.185305357040658</v>
      </c>
      <c r="FQ45" s="356">
        <f t="shared" ca="1" si="136"/>
        <v>4.9587915086876544</v>
      </c>
      <c r="FR45" s="380">
        <f t="shared" ca="1" si="137"/>
        <v>21.176000000000002</v>
      </c>
      <c r="FS45" s="299">
        <f t="shared" ca="1" si="138"/>
        <v>21.176000000000002</v>
      </c>
      <c r="FT45" s="299">
        <f t="shared" ca="1" si="139"/>
        <v>21.176000000000002</v>
      </c>
      <c r="FU45" s="299">
        <f t="shared" ca="1" si="140"/>
        <v>21.176000000000002</v>
      </c>
      <c r="FV45" s="299">
        <f t="shared" ca="1" si="141"/>
        <v>21.176000000000005</v>
      </c>
      <c r="FW45" s="850">
        <f t="shared" ca="1" si="142"/>
        <v>0.1895</v>
      </c>
      <c r="FX45" s="851">
        <f t="shared" ca="1" si="143"/>
        <v>0.5</v>
      </c>
      <c r="FY45" s="851">
        <f t="shared" ca="1" si="144"/>
        <v>0</v>
      </c>
      <c r="FZ45" s="201">
        <f t="shared" ca="1" si="145"/>
        <v>0</v>
      </c>
      <c r="GA45" s="201">
        <f t="shared" ca="1" si="146"/>
        <v>0</v>
      </c>
      <c r="GB45" s="201">
        <f t="shared" ca="1" si="147"/>
        <v>0</v>
      </c>
      <c r="GC45" s="201">
        <f t="shared" ca="1" si="148"/>
        <v>0</v>
      </c>
      <c r="GD45" s="850">
        <f t="shared" ca="1" si="149"/>
        <v>0.58378874999999997</v>
      </c>
      <c r="GE45" s="866">
        <f t="shared" ca="1" si="150"/>
        <v>0.58378874999999997</v>
      </c>
      <c r="GF45" s="866">
        <f t="shared" ca="1" si="151"/>
        <v>0.58378874999999997</v>
      </c>
      <c r="GG45" s="866">
        <f t="shared" ca="1" si="152"/>
        <v>0.18787199999999998</v>
      </c>
      <c r="GH45" s="866">
        <f t="shared" ca="1" si="153"/>
        <v>0.51898715147188168</v>
      </c>
      <c r="GI45" s="302">
        <f t="shared" ca="1" si="154"/>
        <v>51.638041524779005</v>
      </c>
      <c r="GJ45" s="299">
        <f t="shared" ca="1" si="155"/>
        <v>26.039027611124379</v>
      </c>
      <c r="GK45" s="299">
        <f t="shared" ca="1" si="156"/>
        <v>16.139044042957163</v>
      </c>
      <c r="GL45" s="299">
        <f t="shared" ca="1" si="157"/>
        <v>6.1246412017552663</v>
      </c>
      <c r="GM45" s="299">
        <f t="shared" ca="1" si="158"/>
        <v>30.595925904767398</v>
      </c>
      <c r="GN45" s="302">
        <f t="shared" ca="1" si="159"/>
        <v>0.97304156855045632</v>
      </c>
      <c r="GO45" s="299">
        <f t="shared" ca="1" si="160"/>
        <v>0.91016786334278954</v>
      </c>
      <c r="GP45" s="299">
        <f t="shared" ca="1" si="161"/>
        <v>0.83697317290859896</v>
      </c>
      <c r="GQ45" s="299">
        <f t="shared" ca="1" si="162"/>
        <v>0.8155654559490022</v>
      </c>
      <c r="GR45" s="299">
        <f t="shared" ca="1" si="163"/>
        <v>0.94363056560935454</v>
      </c>
      <c r="GS45" s="302">
        <f t="shared" ca="1" si="164"/>
        <v>-0.86989828821301574</v>
      </c>
      <c r="GT45" s="299">
        <f t="shared" ca="1" si="165"/>
        <v>-0.70546909202374397</v>
      </c>
      <c r="GU45" s="299">
        <f t="shared" ca="1" si="166"/>
        <v>-0.57162007546570681</v>
      </c>
      <c r="GV45" s="299">
        <f t="shared" ca="1" si="167"/>
        <v>-0.72753516404181728</v>
      </c>
      <c r="GW45" s="299">
        <f t="shared" ca="1" si="168"/>
        <v>-0.8103393447568894</v>
      </c>
      <c r="GX45" s="303">
        <f t="shared" ca="1" si="169"/>
        <v>15199.972719828003</v>
      </c>
      <c r="GY45" s="303">
        <f t="shared" ca="1" si="170"/>
        <v>1741.9878906259355</v>
      </c>
      <c r="GZ45" s="303">
        <f t="shared" ca="1" si="171"/>
        <v>863.75020477643841</v>
      </c>
      <c r="HA45" s="303">
        <f t="shared" ca="1" si="172"/>
        <v>1270.1725271153293</v>
      </c>
      <c r="HB45" s="303">
        <f t="shared" ca="1" si="173"/>
        <v>19035.6152690647</v>
      </c>
      <c r="HC45" s="303">
        <f t="shared" ca="1" si="174"/>
        <v>14960.354628124996</v>
      </c>
      <c r="HD45" s="303">
        <f t="shared" ca="1" si="175"/>
        <v>1595.3096735926879</v>
      </c>
      <c r="HE45" s="303">
        <f t="shared" ca="1" si="176"/>
        <v>672.68402142199227</v>
      </c>
      <c r="HF45" s="303">
        <f t="shared" ca="1" si="177"/>
        <v>1083.3906657134444</v>
      </c>
      <c r="HG45" s="852">
        <f t="shared" ca="1" si="178"/>
        <v>18311.738988853125</v>
      </c>
    </row>
    <row r="46" spans="1:256" x14ac:dyDescent="0.25">
      <c r="A46" s="244">
        <f t="shared" ca="1" si="179"/>
        <v>37500</v>
      </c>
      <c r="B46" s="13">
        <f t="shared" ca="1" si="3"/>
        <v>2002</v>
      </c>
      <c r="C46" s="619">
        <f t="shared" ca="1" si="180"/>
        <v>9</v>
      </c>
      <c r="D46" s="195">
        <f t="shared" ca="1" si="4"/>
        <v>37501</v>
      </c>
      <c r="E46" s="469">
        <f t="shared" ca="1" si="5"/>
        <v>37500</v>
      </c>
      <c r="F46" s="465">
        <f t="shared" ca="1" si="6"/>
        <v>37529</v>
      </c>
      <c r="G46" s="522">
        <f t="shared" ca="1" si="181"/>
        <v>1</v>
      </c>
      <c r="H46" s="519">
        <f t="shared" ca="1" si="182"/>
        <v>1</v>
      </c>
      <c r="I46" s="724">
        <f t="shared" ca="1" si="7"/>
        <v>7.1442655152773996E-2</v>
      </c>
      <c r="J46" s="198">
        <f t="shared" ca="1" si="8"/>
        <v>0.8312009259670522</v>
      </c>
      <c r="K46" s="200">
        <f t="shared" ca="1" si="190"/>
        <v>32.200000000000003</v>
      </c>
      <c r="L46" s="201">
        <f t="shared" ca="1" si="191"/>
        <v>33</v>
      </c>
      <c r="M46" s="206">
        <f t="shared" ca="1" si="192"/>
        <v>33.799999999999997</v>
      </c>
      <c r="N46" s="851">
        <f t="shared" ca="1" si="196"/>
        <v>22.304999160766599</v>
      </c>
      <c r="O46" s="201">
        <f t="shared" ca="1" si="197"/>
        <v>22.9049991607666</v>
      </c>
      <c r="P46" s="206">
        <f t="shared" ca="1" si="198"/>
        <v>23.504999160766602</v>
      </c>
      <c r="Q46" s="201">
        <f t="shared" ca="1" si="199"/>
        <v>20.399999999999999</v>
      </c>
      <c r="R46" s="201">
        <f t="shared" ca="1" si="200"/>
        <v>23.4</v>
      </c>
      <c r="S46" s="201">
        <f t="shared" ca="1" si="201"/>
        <v>26.4</v>
      </c>
      <c r="T46" s="851">
        <f t="shared" ca="1" si="193"/>
        <v>19.549998092651368</v>
      </c>
      <c r="U46" s="201">
        <f t="shared" ca="1" si="194"/>
        <v>19.949998092651366</v>
      </c>
      <c r="V46" s="206">
        <f t="shared" ca="1" si="195"/>
        <v>20.349998092651365</v>
      </c>
      <c r="W46" s="230">
        <f t="shared" ca="1" si="183"/>
        <v>0.12547124999999998</v>
      </c>
      <c r="X46" s="231">
        <f t="shared" ca="1" si="184"/>
        <v>0.25094249999999996</v>
      </c>
      <c r="Y46" s="232">
        <f t="shared" ca="1" si="185"/>
        <v>0.37641374999999994</v>
      </c>
      <c r="Z46" s="231">
        <f t="shared" ca="1" si="202"/>
        <v>0.12547124999999998</v>
      </c>
      <c r="AA46" s="231">
        <f t="shared" ca="1" si="203"/>
        <v>0.25094249999999996</v>
      </c>
      <c r="AB46" s="232">
        <f t="shared" ca="1" si="204"/>
        <v>0.37641374999999994</v>
      </c>
      <c r="AC46" s="231">
        <f t="shared" ca="1" si="205"/>
        <v>0.12547124999999998</v>
      </c>
      <c r="AD46" s="231">
        <f t="shared" ca="1" si="206"/>
        <v>0.25094249999999996</v>
      </c>
      <c r="AE46" s="232">
        <f t="shared" ca="1" si="14"/>
        <v>0.37641374999999994</v>
      </c>
      <c r="AF46" s="231">
        <f t="shared" ca="1" si="186"/>
        <v>3.8415999999999999E-2</v>
      </c>
      <c r="AG46" s="231">
        <f t="shared" ca="1" si="187"/>
        <v>7.6831999999999998E-2</v>
      </c>
      <c r="AH46" s="232">
        <f t="shared" ca="1" si="188"/>
        <v>0.11524799999999999</v>
      </c>
      <c r="AI46" s="233">
        <f t="shared" ca="1" si="15"/>
        <v>0.9</v>
      </c>
      <c r="AJ46" s="233">
        <f t="shared" ca="1" si="16"/>
        <v>1.25</v>
      </c>
      <c r="AK46" s="234">
        <f t="shared" ca="1" si="17"/>
        <v>1.55</v>
      </c>
      <c r="AL46" s="919">
        <f t="shared" ca="1" si="18"/>
        <v>0.9</v>
      </c>
      <c r="AM46" s="233">
        <f t="shared" ca="1" si="19"/>
        <v>1.25</v>
      </c>
      <c r="AN46" s="234">
        <f t="shared" ca="1" si="20"/>
        <v>1.55</v>
      </c>
      <c r="AO46" s="233">
        <f t="shared" ca="1" si="21"/>
        <v>0.9</v>
      </c>
      <c r="AP46" s="233">
        <f t="shared" ca="1" si="22"/>
        <v>1.25</v>
      </c>
      <c r="AQ46" s="233">
        <f t="shared" ca="1" si="23"/>
        <v>1.55</v>
      </c>
      <c r="AR46" s="919">
        <f t="shared" ca="1" si="24"/>
        <v>0.25</v>
      </c>
      <c r="AS46" s="233">
        <f t="shared" ca="1" si="25"/>
        <v>0.4</v>
      </c>
      <c r="AT46" s="235">
        <f t="shared" ca="1" si="26"/>
        <v>0.60000000000000009</v>
      </c>
      <c r="AU46" s="946">
        <f t="shared" si="27"/>
        <v>0.5</v>
      </c>
      <c r="AV46" s="13">
        <f t="shared" ca="1" si="28"/>
        <v>20</v>
      </c>
      <c r="AW46" s="210">
        <f t="shared" ca="1" si="29"/>
        <v>4</v>
      </c>
      <c r="AX46" s="210">
        <f t="shared" ca="1" si="30"/>
        <v>5</v>
      </c>
      <c r="AY46" s="210">
        <f t="shared" ca="1" si="31"/>
        <v>1</v>
      </c>
      <c r="AZ46" s="13">
        <f t="shared" ca="1" si="32"/>
        <v>30</v>
      </c>
      <c r="BA46" s="357">
        <f ca="1"/>
        <v>320</v>
      </c>
      <c r="BB46" s="925">
        <f ca="1"/>
        <v>64</v>
      </c>
      <c r="BC46" s="925">
        <f ca="1"/>
        <v>96</v>
      </c>
      <c r="BD46" s="928">
        <f ca="1"/>
        <v>240</v>
      </c>
      <c r="BE46" s="200">
        <f ca="1"/>
        <v>1.0000000074505806</v>
      </c>
      <c r="BF46" s="851">
        <f ca="1"/>
        <v>1.0000000074505806</v>
      </c>
      <c r="BG46" s="851">
        <f ca="1"/>
        <v>1.0000000074505806</v>
      </c>
      <c r="BH46" s="933">
        <f ca="1"/>
        <v>1.0000000149011612</v>
      </c>
      <c r="BI46" s="357">
        <f ca="1"/>
        <v>320</v>
      </c>
      <c r="BJ46" s="925">
        <f ca="1"/>
        <v>64</v>
      </c>
      <c r="BK46" s="925">
        <f ca="1"/>
        <v>96</v>
      </c>
      <c r="BL46" s="928">
        <f ca="1"/>
        <v>240</v>
      </c>
      <c r="BM46" s="200">
        <f ca="1"/>
        <v>1.0000000074505806</v>
      </c>
      <c r="BN46" s="851">
        <f ca="1"/>
        <v>1.0000000074505806</v>
      </c>
      <c r="BO46" s="851">
        <f ca="1"/>
        <v>1.0000000074505806</v>
      </c>
      <c r="BP46" s="933">
        <f ca="1"/>
        <v>1.0000000149011612</v>
      </c>
      <c r="BQ46" s="357">
        <f t="shared" ca="1" si="33"/>
        <v>720</v>
      </c>
      <c r="BR46" s="361">
        <f t="shared" ca="1" si="34"/>
        <v>720</v>
      </c>
      <c r="BS46" s="357">
        <f t="shared" ca="1" si="35"/>
        <v>598.46466669627762</v>
      </c>
      <c r="BT46" s="302">
        <f t="shared" ca="1" si="36"/>
        <v>25.530443972832618</v>
      </c>
      <c r="BU46" s="299">
        <f t="shared" ca="1" si="37"/>
        <v>26.47266620306835</v>
      </c>
      <c r="BV46" s="299">
        <f t="shared" ca="1" si="38"/>
        <v>27.414888433304085</v>
      </c>
      <c r="BW46" s="299">
        <f t="shared" ca="1" si="39"/>
        <v>32.659889647739881</v>
      </c>
      <c r="BX46" s="380">
        <f t="shared" ca="1" si="40"/>
        <v>2.4996577686516086</v>
      </c>
      <c r="BY46" s="363">
        <f t="shared" ca="1" si="41"/>
        <v>265.98429630945668</v>
      </c>
      <c r="BZ46" s="353">
        <f t="shared" ca="1" si="42"/>
        <v>53.196859261891341</v>
      </c>
      <c r="CA46" s="353">
        <f t="shared" ca="1" si="43"/>
        <v>79.795288892837007</v>
      </c>
      <c r="CB46" s="353">
        <f t="shared" ca="1" si="44"/>
        <v>398.97644446418502</v>
      </c>
      <c r="CC46" s="353">
        <f t="shared" ca="1" si="45"/>
        <v>199.48822223209254</v>
      </c>
      <c r="CD46" s="353">
        <f t="shared" ca="1" si="46"/>
        <v>598.46466669627762</v>
      </c>
      <c r="CE46" s="302">
        <f t="shared" ca="1" si="47"/>
        <v>33.800000251829623</v>
      </c>
      <c r="CF46" s="299">
        <f t="shared" ca="1" si="48"/>
        <v>23.504999335892492</v>
      </c>
      <c r="CG46" s="299">
        <f t="shared" ca="1" si="49"/>
        <v>26.400000196695327</v>
      </c>
      <c r="CH46" s="299">
        <f t="shared" ca="1" si="50"/>
        <v>30.947333452011151</v>
      </c>
      <c r="CI46" s="299">
        <f t="shared" ca="1" si="51"/>
        <v>20.349998395889966</v>
      </c>
      <c r="CJ46" s="299">
        <f t="shared" ca="1" si="52"/>
        <v>27.414888433304085</v>
      </c>
      <c r="CK46" s="299">
        <f t="shared" ca="1" si="53"/>
        <v>32.659889647739881</v>
      </c>
      <c r="CL46" s="377">
        <f t="shared" ca="1" si="54"/>
        <v>0.37641374999999994</v>
      </c>
      <c r="CM46" s="305">
        <f t="shared" ca="1" si="55"/>
        <v>0.37641374999999994</v>
      </c>
      <c r="CN46" s="305">
        <f t="shared" ca="1" si="56"/>
        <v>0.37641374999999994</v>
      </c>
      <c r="CO46" s="305">
        <f t="shared" ca="1" si="57"/>
        <v>0.37641374999999988</v>
      </c>
      <c r="CP46" s="305">
        <f t="shared" ca="1" si="58"/>
        <v>0.11524799999999999</v>
      </c>
      <c r="CQ46" s="305">
        <f t="shared" ca="1" si="59"/>
        <v>0.30589602520995329</v>
      </c>
      <c r="CR46" s="775">
        <f t="shared" ca="1" si="60"/>
        <v>0.37641374999999994</v>
      </c>
      <c r="CS46" s="305">
        <f t="shared" ca="1" si="61"/>
        <v>0.42641374999999992</v>
      </c>
      <c r="CT46" s="305">
        <f t="shared" ca="1" si="62"/>
        <v>0.40141374999999996</v>
      </c>
      <c r="CU46" s="305">
        <f t="shared" ca="1" si="63"/>
        <v>0.17524799999999999</v>
      </c>
      <c r="CV46" s="770">
        <f t="shared" ca="1" si="64"/>
        <v>0.32339602520995331</v>
      </c>
      <c r="CW46" s="302">
        <f t="shared" ca="1" si="65"/>
        <v>8.3571244189515497</v>
      </c>
      <c r="CX46" s="299">
        <f t="shared" ca="1" si="66"/>
        <v>3.6585059560951798</v>
      </c>
      <c r="CY46" s="299">
        <f t="shared" ca="1" si="67"/>
        <v>4.6171099421376667</v>
      </c>
      <c r="CZ46" s="299">
        <f t="shared" ca="1" si="68"/>
        <v>0.12738044312354568</v>
      </c>
      <c r="DA46" s="774">
        <f t="shared" ca="1" si="69"/>
        <v>3.7815302355611315</v>
      </c>
      <c r="DB46" s="303">
        <f t="shared" ca="1" si="70"/>
        <v>2263.1122320269887</v>
      </c>
      <c r="DC46" s="248">
        <f t="shared" ca="1" si="71"/>
        <v>278.54971798341234</v>
      </c>
      <c r="DD46" s="778">
        <f t="shared" ca="1" si="72"/>
        <v>0</v>
      </c>
      <c r="DE46" s="363">
        <f t="shared" ca="1" si="73"/>
        <v>0.8312009259670522</v>
      </c>
      <c r="DF46" s="378">
        <f t="shared" ca="1" si="74"/>
        <v>-0.23990354049703666</v>
      </c>
      <c r="DG46" s="508">
        <f t="shared" ca="1" si="75"/>
        <v>-0.82499471358212484</v>
      </c>
      <c r="DH46" s="508">
        <f t="shared" ca="1" si="76"/>
        <v>-0.65260229831242478</v>
      </c>
      <c r="DI46" s="508">
        <f t="shared" ca="1" si="77"/>
        <v>-1.8459123059350497</v>
      </c>
      <c r="DJ46" s="508">
        <f t="shared" ca="1" si="78"/>
        <v>-0.59803520445797065</v>
      </c>
      <c r="DK46" s="353">
        <f t="shared" ca="1" si="79"/>
        <v>-164.52282603740872</v>
      </c>
      <c r="DL46" s="781">
        <f t="shared" ca="1" si="80"/>
        <v>11.956311786556988</v>
      </c>
      <c r="DM46" s="303">
        <f t="shared" ca="1" si="81"/>
        <v>8740.7444363758277</v>
      </c>
      <c r="DN46" s="508">
        <f t="shared" ca="1" si="82"/>
        <v>0.8121414168788641</v>
      </c>
      <c r="DO46" s="508">
        <f t="shared" ca="1" si="83"/>
        <v>0.58236471214370877</v>
      </c>
      <c r="DP46" s="508">
        <f t="shared" ca="1" si="84"/>
        <v>0.65583735548538369</v>
      </c>
      <c r="DQ46" s="508">
        <f t="shared" ca="1" si="85"/>
        <v>0.49119208238673251</v>
      </c>
      <c r="DR46" s="508">
        <f t="shared" ca="1" si="86"/>
        <v>0.67969900257532079</v>
      </c>
      <c r="DS46" s="353">
        <f t="shared" ca="1" si="87"/>
        <v>8214.0153492297195</v>
      </c>
      <c r="DT46" s="353">
        <f t="shared" ca="1" si="88"/>
        <v>-5031.8071224329815</v>
      </c>
      <c r="DU46" s="380">
        <f t="shared" ca="1" si="189"/>
        <v>2.4996577686516086</v>
      </c>
      <c r="DV46" s="303">
        <f t="shared" ca="1" si="89"/>
        <v>265.98429630945668</v>
      </c>
      <c r="DW46" s="303">
        <f t="shared" ca="1" si="90"/>
        <v>53.196859261891341</v>
      </c>
      <c r="DX46" s="303">
        <f t="shared" ca="1" si="91"/>
        <v>79.795288892837007</v>
      </c>
      <c r="DY46" s="303">
        <f t="shared" ca="1" si="92"/>
        <v>398.97644446418502</v>
      </c>
      <c r="DZ46" s="303">
        <f t="shared" ca="1" si="93"/>
        <v>199.48822223209254</v>
      </c>
      <c r="EA46" s="303">
        <f t="shared" ca="1" si="94"/>
        <v>598.46466669627762</v>
      </c>
      <c r="EB46" s="302">
        <f t="shared" ca="1" si="95"/>
        <v>33.800000251829623</v>
      </c>
      <c r="EC46" s="299">
        <f t="shared" ca="1" si="96"/>
        <v>23.504999335892492</v>
      </c>
      <c r="ED46" s="299">
        <f t="shared" ca="1" si="97"/>
        <v>26.400000196695327</v>
      </c>
      <c r="EE46" s="299">
        <f t="shared" ca="1" si="98"/>
        <v>30.947333452011151</v>
      </c>
      <c r="EF46" s="299">
        <f t="shared" ca="1" si="99"/>
        <v>20.349998395889966</v>
      </c>
      <c r="EG46" s="299">
        <f t="shared" ca="1" si="100"/>
        <v>27.414888433304085</v>
      </c>
      <c r="EH46" s="302">
        <f t="shared" ca="1" si="101"/>
        <v>30</v>
      </c>
      <c r="EI46" s="304">
        <f t="shared" ca="1" si="102"/>
        <v>0.12547124999999998</v>
      </c>
      <c r="EJ46" s="305">
        <f t="shared" ca="1" si="103"/>
        <v>0.12547124999999998</v>
      </c>
      <c r="EK46" s="305">
        <f t="shared" ca="1" si="104"/>
        <v>0.12547124999999998</v>
      </c>
      <c r="EL46" s="305">
        <f t="shared" ca="1" si="105"/>
        <v>0.12547124999999998</v>
      </c>
      <c r="EM46" s="305">
        <f t="shared" ca="1" si="106"/>
        <v>3.8415999999999999E-2</v>
      </c>
      <c r="EN46" s="305">
        <f t="shared" ca="1" si="107"/>
        <v>9.9798380126567582E-2</v>
      </c>
      <c r="EO46" s="305">
        <f t="shared" ca="1" si="108"/>
        <v>0.12547124999999998</v>
      </c>
      <c r="EP46" s="305">
        <f t="shared" ca="1" si="109"/>
        <v>0.12547124999999998</v>
      </c>
      <c r="EQ46" s="305">
        <f t="shared" ca="1" si="110"/>
        <v>0.12547124999999998</v>
      </c>
      <c r="ER46" s="305">
        <f t="shared" ca="1" si="111"/>
        <v>3.8415999999999999E-2</v>
      </c>
      <c r="ES46" s="305">
        <f t="shared" ca="1" si="112"/>
        <v>9.9798380126567582E-2</v>
      </c>
      <c r="ET46" s="299">
        <f t="shared" ca="1" si="113"/>
        <v>3.3835309637215971</v>
      </c>
      <c r="EU46" s="302">
        <f t="shared" ca="1" si="114"/>
        <v>30</v>
      </c>
      <c r="EV46" s="304">
        <f t="shared" ca="1" si="115"/>
        <v>0.37641374999999994</v>
      </c>
      <c r="EW46" s="305">
        <f t="shared" ca="1" si="116"/>
        <v>0.37641374999999994</v>
      </c>
      <c r="EX46" s="305">
        <f t="shared" ca="1" si="117"/>
        <v>0.37641374999999994</v>
      </c>
      <c r="EY46" s="305">
        <f t="shared" ca="1" si="118"/>
        <v>0.37641374999999988</v>
      </c>
      <c r="EZ46" s="305">
        <f t="shared" ca="1" si="119"/>
        <v>0.11524799999999999</v>
      </c>
      <c r="FA46" s="305">
        <f t="shared" ca="1" si="120"/>
        <v>0.30589602520995329</v>
      </c>
      <c r="FB46" s="305">
        <f t="shared" ca="1" si="121"/>
        <v>0.37641374999999994</v>
      </c>
      <c r="FC46" s="305">
        <f t="shared" ca="1" si="122"/>
        <v>0.37641374999999994</v>
      </c>
      <c r="FD46" s="305">
        <f t="shared" ca="1" si="123"/>
        <v>0.37641374999999994</v>
      </c>
      <c r="FE46" s="305">
        <f t="shared" ca="1" si="124"/>
        <v>0.11524799999999999</v>
      </c>
      <c r="FF46" s="305">
        <f t="shared" ca="1" si="125"/>
        <v>0.30589602520995329</v>
      </c>
      <c r="FG46" s="299">
        <f t="shared" ca="1" si="126"/>
        <v>4.2857982722710233</v>
      </c>
      <c r="FH46" s="302">
        <f t="shared" ca="1" si="127"/>
        <v>-0.90226730854942616</v>
      </c>
      <c r="FI46" s="248">
        <f t="shared" ca="1" si="128"/>
        <v>-539.97510408197979</v>
      </c>
      <c r="FJ46" s="363">
        <f t="shared" ca="1" si="129"/>
        <v>0.8312009259670522</v>
      </c>
      <c r="FK46" s="378">
        <f t="shared" ca="1" si="130"/>
        <v>0.50201833971607257</v>
      </c>
      <c r="FL46" s="508">
        <f t="shared" ca="1" si="131"/>
        <v>-1.3291081300105132</v>
      </c>
      <c r="FM46" s="508">
        <f t="shared" ca="1" si="132"/>
        <v>-0.7435931528556623</v>
      </c>
      <c r="FN46" s="508">
        <f t="shared" ca="1" si="133"/>
        <v>-6.4204991424145819</v>
      </c>
      <c r="FO46" s="508">
        <f t="shared" ca="1" si="134"/>
        <v>-0.64999552174975705</v>
      </c>
      <c r="FP46" s="353">
        <f t="shared" ca="1" si="135"/>
        <v>444.15205451648546</v>
      </c>
      <c r="FQ46" s="356">
        <f t="shared" ca="1" si="136"/>
        <v>40.833846849907282</v>
      </c>
      <c r="FR46" s="380">
        <f t="shared" ca="1" si="137"/>
        <v>21.231999999999999</v>
      </c>
      <c r="FS46" s="299">
        <f t="shared" ca="1" si="138"/>
        <v>21.231999999999999</v>
      </c>
      <c r="FT46" s="299">
        <f t="shared" ca="1" si="139"/>
        <v>21.231999999999999</v>
      </c>
      <c r="FU46" s="299">
        <f t="shared" ca="1" si="140"/>
        <v>21.231999999999999</v>
      </c>
      <c r="FV46" s="299">
        <f t="shared" ca="1" si="141"/>
        <v>21.231999999999999</v>
      </c>
      <c r="FW46" s="850">
        <f t="shared" ca="1" si="142"/>
        <v>0.1885</v>
      </c>
      <c r="FX46" s="851">
        <f t="shared" ca="1" si="143"/>
        <v>0.5</v>
      </c>
      <c r="FY46" s="851">
        <f t="shared" ca="1" si="144"/>
        <v>0</v>
      </c>
      <c r="FZ46" s="201">
        <f t="shared" ca="1" si="145"/>
        <v>0</v>
      </c>
      <c r="GA46" s="201">
        <f t="shared" ca="1" si="146"/>
        <v>0</v>
      </c>
      <c r="GB46" s="201">
        <f t="shared" ca="1" si="147"/>
        <v>0</v>
      </c>
      <c r="GC46" s="201">
        <f t="shared" ca="1" si="148"/>
        <v>0</v>
      </c>
      <c r="GD46" s="850">
        <f t="shared" ca="1" si="149"/>
        <v>0.39141374999999995</v>
      </c>
      <c r="GE46" s="866">
        <f t="shared" ca="1" si="150"/>
        <v>0.38141374999999994</v>
      </c>
      <c r="GF46" s="866">
        <f t="shared" ca="1" si="151"/>
        <v>0.39141374999999995</v>
      </c>
      <c r="GG46" s="866">
        <f t="shared" ca="1" si="152"/>
        <v>0.11524799999999999</v>
      </c>
      <c r="GH46" s="866">
        <f t="shared" ca="1" si="153"/>
        <v>0.32089602520995331</v>
      </c>
      <c r="GI46" s="302">
        <f t="shared" ca="1" si="154"/>
        <v>14.06562827479399</v>
      </c>
      <c r="GJ46" s="299">
        <f t="shared" ca="1" si="155"/>
        <v>5.8295328654329435</v>
      </c>
      <c r="GK46" s="299">
        <f t="shared" ca="1" si="156"/>
        <v>8.0151033502155968</v>
      </c>
      <c r="GL46" s="299">
        <f t="shared" ca="1" si="157"/>
        <v>1.7397005312405662</v>
      </c>
      <c r="GM46" s="299">
        <f t="shared" ca="1" si="158"/>
        <v>8.0189477785915777</v>
      </c>
      <c r="GN46" s="302">
        <f t="shared" ca="1" si="159"/>
        <v>0.87189426124115998</v>
      </c>
      <c r="GO46" s="299">
        <f t="shared" ca="1" si="160"/>
        <v>0.6757569302982217</v>
      </c>
      <c r="GP46" s="299">
        <f t="shared" ca="1" si="161"/>
        <v>0.74998186809293865</v>
      </c>
      <c r="GQ46" s="299">
        <f t="shared" ca="1" si="162"/>
        <v>0.48686296701222787</v>
      </c>
      <c r="GR46" s="299">
        <f t="shared" ca="1" si="163"/>
        <v>0.78801307215795346</v>
      </c>
      <c r="GS46" s="302">
        <f t="shared" ca="1" si="164"/>
        <v>-0.72552760639742087</v>
      </c>
      <c r="GT46" s="299">
        <f t="shared" ca="1" si="165"/>
        <v>-0.47353684292808934</v>
      </c>
      <c r="GU46" s="299">
        <f t="shared" ca="1" si="166"/>
        <v>-0.55503100970473762</v>
      </c>
      <c r="GV46" s="299">
        <f t="shared" ca="1" si="167"/>
        <v>-0.38470041837212776</v>
      </c>
      <c r="GW46" s="299">
        <f t="shared" ca="1" si="168"/>
        <v>-0.63980506587030228</v>
      </c>
      <c r="GX46" s="303">
        <f t="shared" ca="1" si="169"/>
        <v>3741.2362388214769</v>
      </c>
      <c r="GY46" s="303">
        <f t="shared" ca="1" si="170"/>
        <v>310.11283940500647</v>
      </c>
      <c r="GZ46" s="303">
        <f t="shared" ca="1" si="171"/>
        <v>639.56748733639927</v>
      </c>
      <c r="HA46" s="303">
        <f t="shared" ca="1" si="172"/>
        <v>347.04976619340755</v>
      </c>
      <c r="HB46" s="303">
        <f t="shared" ca="1" si="173"/>
        <v>4799.0569095696646</v>
      </c>
      <c r="HC46" s="303">
        <f t="shared" ca="1" si="174"/>
        <v>3342.8907029999768</v>
      </c>
      <c r="HD46" s="303">
        <f t="shared" ca="1" si="175"/>
        <v>120.91642577384543</v>
      </c>
      <c r="HE46" s="303">
        <f t="shared" ca="1" si="176"/>
        <v>412.38206869354218</v>
      </c>
      <c r="HF46" s="303">
        <f t="shared" ca="1" si="177"/>
        <v>0</v>
      </c>
      <c r="HG46" s="852">
        <f t="shared" ca="1" si="178"/>
        <v>3700.2402654575999</v>
      </c>
    </row>
    <row r="47" spans="1:256" x14ac:dyDescent="0.25">
      <c r="A47" s="244">
        <f t="shared" ca="1" si="179"/>
        <v>37530</v>
      </c>
      <c r="B47" s="13">
        <f t="shared" ca="1" si="3"/>
        <v>2002</v>
      </c>
      <c r="C47" s="619">
        <f t="shared" ca="1" si="180"/>
        <v>10</v>
      </c>
      <c r="D47" s="195" t="str">
        <f t="shared" ca="1" si="4"/>
        <v/>
      </c>
      <c r="E47" s="469">
        <f t="shared" ca="1" si="5"/>
        <v>37530</v>
      </c>
      <c r="F47" s="465">
        <f t="shared" ca="1" si="6"/>
        <v>37560</v>
      </c>
      <c r="G47" s="522">
        <f t="shared" ca="1" si="181"/>
        <v>1</v>
      </c>
      <c r="H47" s="519">
        <f t="shared" ca="1" si="182"/>
        <v>1</v>
      </c>
      <c r="I47" s="724">
        <f t="shared" ca="1" si="7"/>
        <v>7.1542259185124996E-2</v>
      </c>
      <c r="J47" s="198">
        <f t="shared" ca="1" si="8"/>
        <v>0.8260475313611404</v>
      </c>
      <c r="K47" s="200">
        <f t="shared" ca="1" si="190"/>
        <v>30.1</v>
      </c>
      <c r="L47" s="201">
        <f t="shared" ca="1" si="191"/>
        <v>30.75</v>
      </c>
      <c r="M47" s="206">
        <f t="shared" ca="1" si="192"/>
        <v>31.4</v>
      </c>
      <c r="N47" s="851">
        <f t="shared" ca="1" si="196"/>
        <v>22.513000106811521</v>
      </c>
      <c r="O47" s="201">
        <f t="shared" ca="1" si="197"/>
        <v>23.000500106811522</v>
      </c>
      <c r="P47" s="206">
        <f t="shared" ca="1" si="198"/>
        <v>23.488000106811523</v>
      </c>
      <c r="Q47" s="201">
        <f t="shared" ca="1" si="199"/>
        <v>18.000999832153319</v>
      </c>
      <c r="R47" s="201">
        <f t="shared" ca="1" si="200"/>
        <v>21.000999832153319</v>
      </c>
      <c r="S47" s="201">
        <f t="shared" ca="1" si="201"/>
        <v>24.000999832153319</v>
      </c>
      <c r="T47" s="851">
        <f t="shared" ca="1" si="193"/>
        <v>19.32499885559082</v>
      </c>
      <c r="U47" s="201">
        <f t="shared" ca="1" si="194"/>
        <v>19.64999885559082</v>
      </c>
      <c r="V47" s="206">
        <f t="shared" ca="1" si="195"/>
        <v>19.974998855590819</v>
      </c>
      <c r="W47" s="230">
        <f t="shared" ca="1" si="183"/>
        <v>0.11414250000000001</v>
      </c>
      <c r="X47" s="231">
        <f t="shared" ca="1" si="184"/>
        <v>0.22828500000000002</v>
      </c>
      <c r="Y47" s="232">
        <f t="shared" ca="1" si="185"/>
        <v>0.3424275</v>
      </c>
      <c r="Z47" s="231">
        <f t="shared" ca="1" si="202"/>
        <v>0.11414250000000001</v>
      </c>
      <c r="AA47" s="231">
        <f t="shared" ca="1" si="203"/>
        <v>0.22828500000000002</v>
      </c>
      <c r="AB47" s="232">
        <f t="shared" ca="1" si="204"/>
        <v>0.3424275</v>
      </c>
      <c r="AC47" s="231">
        <f t="shared" ca="1" si="205"/>
        <v>0.11414250000000001</v>
      </c>
      <c r="AD47" s="231">
        <f t="shared" ca="1" si="206"/>
        <v>0.22828500000000002</v>
      </c>
      <c r="AE47" s="232">
        <f t="shared" ca="1" si="14"/>
        <v>0.3424275</v>
      </c>
      <c r="AF47" s="231">
        <f t="shared" ca="1" si="186"/>
        <v>2.8811999999999997E-2</v>
      </c>
      <c r="AG47" s="231">
        <f t="shared" ca="1" si="187"/>
        <v>5.7623999999999995E-2</v>
      </c>
      <c r="AH47" s="232">
        <f t="shared" ca="1" si="188"/>
        <v>8.6435999999999985E-2</v>
      </c>
      <c r="AI47" s="233">
        <f t="shared" ca="1" si="15"/>
        <v>0.85000000000000009</v>
      </c>
      <c r="AJ47" s="233">
        <f t="shared" ca="1" si="16"/>
        <v>1.1000000000000001</v>
      </c>
      <c r="AK47" s="234">
        <f t="shared" ca="1" si="17"/>
        <v>1.4000000000000001</v>
      </c>
      <c r="AL47" s="919">
        <f t="shared" ca="1" si="18"/>
        <v>0.85000000000000009</v>
      </c>
      <c r="AM47" s="233">
        <f t="shared" ca="1" si="19"/>
        <v>1.1000000000000001</v>
      </c>
      <c r="AN47" s="234">
        <f t="shared" ca="1" si="20"/>
        <v>1.4000000000000001</v>
      </c>
      <c r="AO47" s="233">
        <f t="shared" ca="1" si="21"/>
        <v>0.85000000000000009</v>
      </c>
      <c r="AP47" s="233">
        <f t="shared" ca="1" si="22"/>
        <v>1.1000000000000001</v>
      </c>
      <c r="AQ47" s="233">
        <f t="shared" ca="1" si="23"/>
        <v>1.4000000000000001</v>
      </c>
      <c r="AR47" s="919">
        <f t="shared" ca="1" si="24"/>
        <v>0.19999999999999998</v>
      </c>
      <c r="AS47" s="233">
        <f t="shared" ca="1" si="25"/>
        <v>0.35</v>
      </c>
      <c r="AT47" s="235">
        <f t="shared" ca="1" si="26"/>
        <v>0.55000000000000004</v>
      </c>
      <c r="AU47" s="946">
        <f t="shared" si="27"/>
        <v>0.5</v>
      </c>
      <c r="AV47" s="13">
        <f t="shared" ca="1" si="28"/>
        <v>23</v>
      </c>
      <c r="AW47" s="210">
        <f t="shared" ca="1" si="29"/>
        <v>4</v>
      </c>
      <c r="AX47" s="210">
        <f t="shared" ca="1" si="30"/>
        <v>4</v>
      </c>
      <c r="AY47" s="210">
        <f t="shared" ca="1" si="31"/>
        <v>0</v>
      </c>
      <c r="AZ47" s="13">
        <f t="shared" ca="1" si="32"/>
        <v>31</v>
      </c>
      <c r="BA47" s="357">
        <f ca="1"/>
        <v>368</v>
      </c>
      <c r="BB47" s="925">
        <f ca="1"/>
        <v>64</v>
      </c>
      <c r="BC47" s="925">
        <f ca="1"/>
        <v>64</v>
      </c>
      <c r="BD47" s="928">
        <f ca="1"/>
        <v>248</v>
      </c>
      <c r="BE47" s="200">
        <f ca="1"/>
        <v>1.0000187270343304</v>
      </c>
      <c r="BF47" s="851">
        <f ca="1"/>
        <v>1.0000187270343304</v>
      </c>
      <c r="BG47" s="851">
        <f ca="1"/>
        <v>1.0000187270343304</v>
      </c>
      <c r="BH47" s="933">
        <f ca="1"/>
        <v>1.0000000074505806</v>
      </c>
      <c r="BI47" s="357">
        <f ca="1"/>
        <v>368</v>
      </c>
      <c r="BJ47" s="925">
        <f ca="1"/>
        <v>64</v>
      </c>
      <c r="BK47" s="925">
        <f ca="1"/>
        <v>64</v>
      </c>
      <c r="BL47" s="928">
        <f ca="1"/>
        <v>248</v>
      </c>
      <c r="BM47" s="200">
        <f ca="1"/>
        <v>1.0000187270343304</v>
      </c>
      <c r="BN47" s="851">
        <f ca="1"/>
        <v>1.0000187270343304</v>
      </c>
      <c r="BO47" s="851">
        <f ca="1"/>
        <v>1.0000187270343304</v>
      </c>
      <c r="BP47" s="933">
        <f ca="1"/>
        <v>1.0000000074505806</v>
      </c>
      <c r="BQ47" s="357">
        <f t="shared" ca="1" si="33"/>
        <v>744</v>
      </c>
      <c r="BR47" s="361">
        <f t="shared" ca="1" si="34"/>
        <v>744</v>
      </c>
      <c r="BS47" s="357">
        <f t="shared" ca="1" si="35"/>
        <v>614.57936333268844</v>
      </c>
      <c r="BT47" s="302">
        <f t="shared" ca="1" si="36"/>
        <v>24.815257716201788</v>
      </c>
      <c r="BU47" s="299">
        <f t="shared" ca="1" si="37"/>
        <v>25.545108065638868</v>
      </c>
      <c r="BV47" s="299">
        <f t="shared" ca="1" si="38"/>
        <v>26.274958415075957</v>
      </c>
      <c r="BW47" s="299">
        <f t="shared" ca="1" si="39"/>
        <v>32.659889647739881</v>
      </c>
      <c r="BX47" s="380">
        <f t="shared" ca="1" si="40"/>
        <v>2.5817932922655715</v>
      </c>
      <c r="BY47" s="363">
        <f t="shared" ca="1" si="41"/>
        <v>303.98549154089966</v>
      </c>
      <c r="BZ47" s="353">
        <f t="shared" ca="1" si="42"/>
        <v>52.867042007112985</v>
      </c>
      <c r="CA47" s="353">
        <f t="shared" ca="1" si="43"/>
        <v>52.867042007112985</v>
      </c>
      <c r="CB47" s="353">
        <f t="shared" ca="1" si="44"/>
        <v>409.71957555512563</v>
      </c>
      <c r="CC47" s="353">
        <f t="shared" ca="1" si="45"/>
        <v>204.85978777756281</v>
      </c>
      <c r="CD47" s="353">
        <f t="shared" ca="1" si="46"/>
        <v>614.57936333268844</v>
      </c>
      <c r="CE47" s="302">
        <f t="shared" ca="1" si="47"/>
        <v>31.400588028877973</v>
      </c>
      <c r="CF47" s="299">
        <f t="shared" ca="1" si="48"/>
        <v>23.488439967395873</v>
      </c>
      <c r="CG47" s="299">
        <f t="shared" ca="1" si="49"/>
        <v>24.001449299701139</v>
      </c>
      <c r="CH47" s="299">
        <f t="shared" ca="1" si="50"/>
        <v>29.424938120405852</v>
      </c>
      <c r="CI47" s="299">
        <f t="shared" ca="1" si="51"/>
        <v>19.974999004416158</v>
      </c>
      <c r="CJ47" s="299">
        <f t="shared" ca="1" si="52"/>
        <v>26.27495841507595</v>
      </c>
      <c r="CK47" s="299">
        <f t="shared" ca="1" si="53"/>
        <v>32.659889647739881</v>
      </c>
      <c r="CL47" s="377">
        <f t="shared" ca="1" si="54"/>
        <v>0.3424275</v>
      </c>
      <c r="CM47" s="305">
        <f t="shared" ca="1" si="55"/>
        <v>0.3424275</v>
      </c>
      <c r="CN47" s="305">
        <f t="shared" ca="1" si="56"/>
        <v>0.3424275</v>
      </c>
      <c r="CO47" s="305">
        <f t="shared" ca="1" si="57"/>
        <v>0.34242749999999994</v>
      </c>
      <c r="CP47" s="305">
        <f t="shared" ca="1" si="58"/>
        <v>8.6435999999999985E-2</v>
      </c>
      <c r="CQ47" s="305">
        <f t="shared" ca="1" si="59"/>
        <v>0.27351373153079084</v>
      </c>
      <c r="CR47" s="775">
        <f t="shared" ca="1" si="60"/>
        <v>0.3424275</v>
      </c>
      <c r="CS47" s="305">
        <f t="shared" ca="1" si="61"/>
        <v>0.39242749999999998</v>
      </c>
      <c r="CT47" s="305">
        <f t="shared" ca="1" si="62"/>
        <v>0.38242749999999998</v>
      </c>
      <c r="CU47" s="305">
        <f t="shared" ca="1" si="63"/>
        <v>0.14643599999999998</v>
      </c>
      <c r="CV47" s="770">
        <f t="shared" ca="1" si="64"/>
        <v>0.29851373153079086</v>
      </c>
      <c r="CW47" s="302">
        <f t="shared" ca="1" si="65"/>
        <v>6.3306531824339363</v>
      </c>
      <c r="CX47" s="299">
        <f t="shared" ca="1" si="66"/>
        <v>3.2490283965021485</v>
      </c>
      <c r="CY47" s="299">
        <f t="shared" ca="1" si="67"/>
        <v>3.3155398414563706</v>
      </c>
      <c r="CZ47" s="299">
        <f t="shared" ca="1" si="68"/>
        <v>3.9785404964165383E-2</v>
      </c>
      <c r="DA47" s="774">
        <f t="shared" ca="1" si="69"/>
        <v>2.9438963997193257</v>
      </c>
      <c r="DB47" s="303">
        <f t="shared" ca="1" si="70"/>
        <v>1809.2579750568968</v>
      </c>
      <c r="DC47" s="248">
        <f t="shared" ca="1" si="71"/>
        <v>255.29163496909354</v>
      </c>
      <c r="DD47" s="778">
        <f t="shared" ca="1" si="72"/>
        <v>0</v>
      </c>
      <c r="DE47" s="363">
        <f t="shared" ca="1" si="73"/>
        <v>0.8260475313611404</v>
      </c>
      <c r="DF47" s="378">
        <f t="shared" ca="1" si="74"/>
        <v>-0.34657101936544155</v>
      </c>
      <c r="DG47" s="508">
        <f t="shared" ca="1" si="75"/>
        <v>-0.83805532313263187</v>
      </c>
      <c r="DH47" s="508">
        <f t="shared" ca="1" si="76"/>
        <v>-0.80853038718953896</v>
      </c>
      <c r="DI47" s="508">
        <f t="shared" ca="1" si="77"/>
        <v>-2.2072399472503235</v>
      </c>
      <c r="DJ47" s="508">
        <f t="shared" ca="1" si="78"/>
        <v>-0.69334576172557028</v>
      </c>
      <c r="DK47" s="353">
        <f t="shared" ca="1" si="79"/>
        <v>-149.98577193137126</v>
      </c>
      <c r="DL47" s="781">
        <f t="shared" ca="1" si="80"/>
        <v>12.307210485150845</v>
      </c>
      <c r="DM47" s="303">
        <f t="shared" ca="1" si="81"/>
        <v>8585.9401201173023</v>
      </c>
      <c r="DN47" s="508">
        <f t="shared" ca="1" si="82"/>
        <v>0.77884346092901968</v>
      </c>
      <c r="DO47" s="508">
        <f t="shared" ca="1" si="83"/>
        <v>0.59814393472236471</v>
      </c>
      <c r="DP47" s="508">
        <f t="shared" ca="1" si="84"/>
        <v>0.6115918107213103</v>
      </c>
      <c r="DQ47" s="508">
        <f t="shared" ca="1" si="85"/>
        <v>0.49729532091458534</v>
      </c>
      <c r="DR47" s="508">
        <f t="shared" ca="1" si="86"/>
        <v>0.66792202987948968</v>
      </c>
      <c r="DS47" s="353">
        <f t="shared" ca="1" si="87"/>
        <v>8281.6581910465993</v>
      </c>
      <c r="DT47" s="353">
        <f t="shared" ca="1" si="88"/>
        <v>-5193.013537440781</v>
      </c>
      <c r="DU47" s="380">
        <f t="shared" ca="1" si="189"/>
        <v>2.5817932922655715</v>
      </c>
      <c r="DV47" s="303">
        <f t="shared" ca="1" si="89"/>
        <v>303.98549154089966</v>
      </c>
      <c r="DW47" s="303">
        <f t="shared" ca="1" si="90"/>
        <v>52.867042007112985</v>
      </c>
      <c r="DX47" s="303">
        <f t="shared" ca="1" si="91"/>
        <v>52.867042007112985</v>
      </c>
      <c r="DY47" s="303">
        <f t="shared" ca="1" si="92"/>
        <v>409.71957555512563</v>
      </c>
      <c r="DZ47" s="303">
        <f t="shared" ca="1" si="93"/>
        <v>204.85978777756281</v>
      </c>
      <c r="EA47" s="303">
        <f t="shared" ca="1" si="94"/>
        <v>614.57936333268844</v>
      </c>
      <c r="EB47" s="302">
        <f t="shared" ca="1" si="95"/>
        <v>31.400588028877973</v>
      </c>
      <c r="EC47" s="299">
        <f t="shared" ca="1" si="96"/>
        <v>23.488439967395873</v>
      </c>
      <c r="ED47" s="299">
        <f t="shared" ca="1" si="97"/>
        <v>24.001449299701139</v>
      </c>
      <c r="EE47" s="299">
        <f t="shared" ca="1" si="98"/>
        <v>29.424938120405852</v>
      </c>
      <c r="EF47" s="299">
        <f t="shared" ca="1" si="99"/>
        <v>19.974999004416158</v>
      </c>
      <c r="EG47" s="299">
        <f t="shared" ca="1" si="100"/>
        <v>26.27495841507595</v>
      </c>
      <c r="EH47" s="302">
        <f t="shared" ca="1" si="101"/>
        <v>30</v>
      </c>
      <c r="EI47" s="304">
        <f t="shared" ca="1" si="102"/>
        <v>0.11414250000000001</v>
      </c>
      <c r="EJ47" s="305">
        <f t="shared" ca="1" si="103"/>
        <v>0.11414250000000001</v>
      </c>
      <c r="EK47" s="305">
        <f t="shared" ca="1" si="104"/>
        <v>0.11414250000000001</v>
      </c>
      <c r="EL47" s="305">
        <f t="shared" ca="1" si="105"/>
        <v>0.11414249999999998</v>
      </c>
      <c r="EM47" s="305">
        <f t="shared" ca="1" si="106"/>
        <v>2.8811999999999997E-2</v>
      </c>
      <c r="EN47" s="305">
        <f t="shared" ca="1" si="107"/>
        <v>8.9329085756781473E-2</v>
      </c>
      <c r="EO47" s="305">
        <f t="shared" ca="1" si="108"/>
        <v>0.11414250000000001</v>
      </c>
      <c r="EP47" s="305">
        <f t="shared" ca="1" si="109"/>
        <v>0.11414250000000001</v>
      </c>
      <c r="EQ47" s="305">
        <f t="shared" ca="1" si="110"/>
        <v>0.11414250000000001</v>
      </c>
      <c r="ER47" s="305">
        <f t="shared" ca="1" si="111"/>
        <v>2.8811999999999997E-2</v>
      </c>
      <c r="ES47" s="305">
        <f t="shared" ca="1" si="112"/>
        <v>8.9329085756781473E-2</v>
      </c>
      <c r="ET47" s="299">
        <f t="shared" ca="1" si="113"/>
        <v>4.1118679310703783</v>
      </c>
      <c r="EU47" s="302">
        <f t="shared" ca="1" si="114"/>
        <v>30</v>
      </c>
      <c r="EV47" s="304">
        <f t="shared" ca="1" si="115"/>
        <v>0.3424275</v>
      </c>
      <c r="EW47" s="305">
        <f t="shared" ca="1" si="116"/>
        <v>0.3424275</v>
      </c>
      <c r="EX47" s="305">
        <f t="shared" ca="1" si="117"/>
        <v>0.3424275</v>
      </c>
      <c r="EY47" s="305">
        <f t="shared" ca="1" si="118"/>
        <v>0.34242749999999994</v>
      </c>
      <c r="EZ47" s="305">
        <f t="shared" ca="1" si="119"/>
        <v>8.6435999999999985E-2</v>
      </c>
      <c r="FA47" s="305">
        <f t="shared" ca="1" si="120"/>
        <v>0.27351373153079084</v>
      </c>
      <c r="FB47" s="305">
        <f t="shared" ca="1" si="121"/>
        <v>0.3424275</v>
      </c>
      <c r="FC47" s="305">
        <f t="shared" ca="1" si="122"/>
        <v>0.3424275</v>
      </c>
      <c r="FD47" s="305">
        <f t="shared" ca="1" si="123"/>
        <v>0.3424275</v>
      </c>
      <c r="FE47" s="305">
        <f t="shared" ca="1" si="124"/>
        <v>8.6435999999999985E-2</v>
      </c>
      <c r="FF47" s="305">
        <f t="shared" ca="1" si="125"/>
        <v>0.27351373153079084</v>
      </c>
      <c r="FG47" s="299">
        <f t="shared" ca="1" si="126"/>
        <v>3.2484218302557846</v>
      </c>
      <c r="FH47" s="302">
        <f t="shared" ca="1" si="127"/>
        <v>0.86344610081459372</v>
      </c>
      <c r="FI47" s="248">
        <f t="shared" ca="1" si="128"/>
        <v>530.65615491072538</v>
      </c>
      <c r="FJ47" s="363">
        <f t="shared" ca="1" si="129"/>
        <v>0.8260475313611404</v>
      </c>
      <c r="FK47" s="378">
        <f t="shared" ca="1" si="130"/>
        <v>0.15708939580186695</v>
      </c>
      <c r="FL47" s="508">
        <f t="shared" ca="1" si="131"/>
        <v>-1.4258569760932143</v>
      </c>
      <c r="FM47" s="508">
        <f t="shared" ca="1" si="132"/>
        <v>-1.3080522038887707</v>
      </c>
      <c r="FN47" s="508">
        <f t="shared" ca="1" si="133"/>
        <v>-8.8084567456538103</v>
      </c>
      <c r="FO47" s="508">
        <f t="shared" ca="1" si="134"/>
        <v>-0.9954601702718533</v>
      </c>
      <c r="FP47" s="353">
        <f t="shared" ca="1" si="135"/>
        <v>516.39646438531793</v>
      </c>
      <c r="FQ47" s="356">
        <f t="shared" ca="1" si="136"/>
        <v>34.692312605765572</v>
      </c>
      <c r="FR47" s="380">
        <f t="shared" ca="1" si="137"/>
        <v>21.44</v>
      </c>
      <c r="FS47" s="299">
        <f t="shared" ca="1" si="138"/>
        <v>21.44</v>
      </c>
      <c r="FT47" s="299">
        <f t="shared" ca="1" si="139"/>
        <v>21.44</v>
      </c>
      <c r="FU47" s="299">
        <f t="shared" ca="1" si="140"/>
        <v>21.44</v>
      </c>
      <c r="FV47" s="299">
        <f t="shared" ca="1" si="141"/>
        <v>21.44</v>
      </c>
      <c r="FW47" s="850">
        <f t="shared" ca="1" si="142"/>
        <v>0.1885</v>
      </c>
      <c r="FX47" s="851">
        <f t="shared" ca="1" si="143"/>
        <v>0.5</v>
      </c>
      <c r="FY47" s="851">
        <f t="shared" ca="1" si="144"/>
        <v>0</v>
      </c>
      <c r="FZ47" s="201">
        <f t="shared" ca="1" si="145"/>
        <v>0</v>
      </c>
      <c r="GA47" s="201">
        <f t="shared" ca="1" si="146"/>
        <v>0</v>
      </c>
      <c r="GB47" s="201">
        <f t="shared" ca="1" si="147"/>
        <v>0</v>
      </c>
      <c r="GC47" s="201">
        <f t="shared" ca="1" si="148"/>
        <v>0</v>
      </c>
      <c r="GD47" s="850">
        <f t="shared" ca="1" si="149"/>
        <v>0.35742750000000001</v>
      </c>
      <c r="GE47" s="866">
        <f t="shared" ca="1" si="150"/>
        <v>0.3474275</v>
      </c>
      <c r="GF47" s="866">
        <f t="shared" ca="1" si="151"/>
        <v>0.3524275</v>
      </c>
      <c r="GG47" s="866">
        <f t="shared" ca="1" si="152"/>
        <v>8.6435999999999985E-2</v>
      </c>
      <c r="GH47" s="866">
        <f t="shared" ca="1" si="153"/>
        <v>0.28851373153079085</v>
      </c>
      <c r="GI47" s="302">
        <f t="shared" ca="1" si="154"/>
        <v>11.576254026059948</v>
      </c>
      <c r="GJ47" s="299">
        <f t="shared" ca="1" si="155"/>
        <v>5.3947276239643767</v>
      </c>
      <c r="GK47" s="299">
        <f t="shared" ca="1" si="156"/>
        <v>5.7987628886332896</v>
      </c>
      <c r="GL47" s="299">
        <f t="shared" ca="1" si="157"/>
        <v>1.5082782791923006</v>
      </c>
      <c r="GM47" s="299">
        <f t="shared" ca="1" si="158"/>
        <v>6.7325634121563791</v>
      </c>
      <c r="GN47" s="302">
        <f t="shared" ca="1" si="159"/>
        <v>0.84508974312419216</v>
      </c>
      <c r="GO47" s="299">
        <f t="shared" ca="1" si="160"/>
        <v>0.66659765061414289</v>
      </c>
      <c r="GP47" s="299">
        <f t="shared" ca="1" si="161"/>
        <v>0.68272881995656853</v>
      </c>
      <c r="GQ47" s="299">
        <f t="shared" ca="1" si="162"/>
        <v>0.44503371951867982</v>
      </c>
      <c r="GR47" s="299">
        <f t="shared" ca="1" si="163"/>
        <v>0.75885661567517515</v>
      </c>
      <c r="GS47" s="302">
        <f t="shared" ca="1" si="164"/>
        <v>-0.69776401741376337</v>
      </c>
      <c r="GT47" s="299">
        <f t="shared" ca="1" si="165"/>
        <v>-0.47866662021016154</v>
      </c>
      <c r="GU47" s="299">
        <f t="shared" ca="1" si="166"/>
        <v>-0.49383011950233052</v>
      </c>
      <c r="GV47" s="299">
        <f t="shared" ca="1" si="167"/>
        <v>-0.34427558668373021</v>
      </c>
      <c r="GW47" s="299">
        <f t="shared" ca="1" si="168"/>
        <v>-0.61596844343776114</v>
      </c>
      <c r="GX47" s="303">
        <f t="shared" ca="1" si="169"/>
        <v>3519.0132703141517</v>
      </c>
      <c r="GY47" s="303">
        <f t="shared" ca="1" si="170"/>
        <v>285.20329191305751</v>
      </c>
      <c r="GZ47" s="303">
        <f t="shared" ca="1" si="171"/>
        <v>306.56344122266398</v>
      </c>
      <c r="HA47" s="303">
        <f t="shared" ca="1" si="172"/>
        <v>308.98556818484235</v>
      </c>
      <c r="HB47" s="303">
        <f t="shared" ca="1" si="173"/>
        <v>4137.6945354400195</v>
      </c>
      <c r="HC47" s="303">
        <f t="shared" ca="1" si="174"/>
        <v>3027.874247994871</v>
      </c>
      <c r="HD47" s="303">
        <f t="shared" ca="1" si="175"/>
        <v>108.29496180536671</v>
      </c>
      <c r="HE47" s="303">
        <f t="shared" ca="1" si="176"/>
        <v>135.41624772639022</v>
      </c>
      <c r="HF47" s="303">
        <f t="shared" ca="1" si="177"/>
        <v>0</v>
      </c>
      <c r="HG47" s="852">
        <f t="shared" ca="1" si="178"/>
        <v>2971.4656644774013</v>
      </c>
    </row>
    <row r="48" spans="1:256" x14ac:dyDescent="0.25">
      <c r="A48" s="244">
        <f t="shared" ca="1" si="179"/>
        <v>37561</v>
      </c>
      <c r="B48" s="13">
        <f t="shared" ca="1" si="3"/>
        <v>2002</v>
      </c>
      <c r="C48" s="619">
        <f t="shared" ca="1" si="180"/>
        <v>11</v>
      </c>
      <c r="D48" s="195">
        <f t="shared" ca="1" si="4"/>
        <v>37588</v>
      </c>
      <c r="E48" s="469">
        <f t="shared" ca="1" si="5"/>
        <v>37561</v>
      </c>
      <c r="F48" s="465">
        <f t="shared" ca="1" si="6"/>
        <v>37590</v>
      </c>
      <c r="G48" s="522">
        <f t="shared" ca="1" si="181"/>
        <v>1</v>
      </c>
      <c r="H48" s="519">
        <f t="shared" ca="1" si="182"/>
        <v>1</v>
      </c>
      <c r="I48" s="724">
        <f t="shared" ca="1" si="7"/>
        <v>7.1631839731324004E-2</v>
      </c>
      <c r="J48" s="198">
        <f t="shared" ca="1" si="8"/>
        <v>0.82109316755121442</v>
      </c>
      <c r="K48" s="200">
        <f t="shared" ca="1" si="190"/>
        <v>30.475000000000001</v>
      </c>
      <c r="L48" s="201">
        <f t="shared" ca="1" si="191"/>
        <v>31.125</v>
      </c>
      <c r="M48" s="206">
        <f t="shared" ca="1" si="192"/>
        <v>31.774999999999999</v>
      </c>
      <c r="N48" s="851">
        <f t="shared" ca="1" si="196"/>
        <v>23.51725158691406</v>
      </c>
      <c r="O48" s="201">
        <f t="shared" ca="1" si="197"/>
        <v>24.004751586914061</v>
      </c>
      <c r="P48" s="206">
        <f t="shared" ca="1" si="198"/>
        <v>24.492251586914062</v>
      </c>
      <c r="Q48" s="201">
        <f t="shared" ca="1" si="199"/>
        <v>19.00449981689453</v>
      </c>
      <c r="R48" s="201">
        <f t="shared" ca="1" si="200"/>
        <v>22.00449981689453</v>
      </c>
      <c r="S48" s="201">
        <f t="shared" ca="1" si="201"/>
        <v>25.00449981689453</v>
      </c>
      <c r="T48" s="851">
        <f t="shared" ca="1" si="193"/>
        <v>19.249998092651367</v>
      </c>
      <c r="U48" s="201">
        <f t="shared" ca="1" si="194"/>
        <v>19.574998092651366</v>
      </c>
      <c r="V48" s="206">
        <f t="shared" ca="1" si="195"/>
        <v>19.899998092651366</v>
      </c>
      <c r="W48" s="230">
        <f t="shared" ca="1" si="183"/>
        <v>0.11414250000000001</v>
      </c>
      <c r="X48" s="231">
        <f t="shared" ca="1" si="184"/>
        <v>0.22828500000000002</v>
      </c>
      <c r="Y48" s="232">
        <f t="shared" ca="1" si="185"/>
        <v>0.3424275</v>
      </c>
      <c r="Z48" s="231">
        <f t="shared" ca="1" si="202"/>
        <v>0.11414250000000001</v>
      </c>
      <c r="AA48" s="231">
        <f t="shared" ca="1" si="203"/>
        <v>0.22828500000000002</v>
      </c>
      <c r="AB48" s="232">
        <f t="shared" ca="1" si="204"/>
        <v>0.3424275</v>
      </c>
      <c r="AC48" s="231">
        <f t="shared" ca="1" si="205"/>
        <v>0.11414250000000001</v>
      </c>
      <c r="AD48" s="231">
        <f t="shared" ca="1" si="206"/>
        <v>0.22828500000000002</v>
      </c>
      <c r="AE48" s="232">
        <f t="shared" ca="1" si="14"/>
        <v>0.3424275</v>
      </c>
      <c r="AF48" s="231">
        <f t="shared" ca="1" si="186"/>
        <v>2.8811999999999997E-2</v>
      </c>
      <c r="AG48" s="231">
        <f t="shared" ca="1" si="187"/>
        <v>5.7623999999999995E-2</v>
      </c>
      <c r="AH48" s="232">
        <f t="shared" ca="1" si="188"/>
        <v>8.6435999999999985E-2</v>
      </c>
      <c r="AI48" s="233">
        <f t="shared" ca="1" si="15"/>
        <v>1</v>
      </c>
      <c r="AJ48" s="233">
        <f t="shared" ca="1" si="16"/>
        <v>1.25</v>
      </c>
      <c r="AK48" s="234">
        <f t="shared" ca="1" si="17"/>
        <v>1.55</v>
      </c>
      <c r="AL48" s="919">
        <f t="shared" ca="1" si="18"/>
        <v>1</v>
      </c>
      <c r="AM48" s="233">
        <f t="shared" ca="1" si="19"/>
        <v>1.25</v>
      </c>
      <c r="AN48" s="234">
        <f t="shared" ca="1" si="20"/>
        <v>1.55</v>
      </c>
      <c r="AO48" s="233">
        <f t="shared" ca="1" si="21"/>
        <v>1</v>
      </c>
      <c r="AP48" s="233">
        <f t="shared" ca="1" si="22"/>
        <v>1.25</v>
      </c>
      <c r="AQ48" s="233">
        <f t="shared" ca="1" si="23"/>
        <v>1.55</v>
      </c>
      <c r="AR48" s="919">
        <f t="shared" ca="1" si="24"/>
        <v>0.15</v>
      </c>
      <c r="AS48" s="233">
        <f t="shared" ca="1" si="25"/>
        <v>0.3</v>
      </c>
      <c r="AT48" s="235">
        <f t="shared" ca="1" si="26"/>
        <v>0.5</v>
      </c>
      <c r="AU48" s="946">
        <f t="shared" si="27"/>
        <v>0.5</v>
      </c>
      <c r="AV48" s="13">
        <f t="shared" ca="1" si="28"/>
        <v>20</v>
      </c>
      <c r="AW48" s="210">
        <f t="shared" ca="1" si="29"/>
        <v>5</v>
      </c>
      <c r="AX48" s="210">
        <f t="shared" ca="1" si="30"/>
        <v>4</v>
      </c>
      <c r="AY48" s="210">
        <f t="shared" ca="1" si="31"/>
        <v>1</v>
      </c>
      <c r="AZ48" s="13">
        <f t="shared" ca="1" si="32"/>
        <v>30</v>
      </c>
      <c r="BA48" s="357">
        <f ca="1"/>
        <v>320</v>
      </c>
      <c r="BB48" s="925">
        <f ca="1"/>
        <v>80</v>
      </c>
      <c r="BC48" s="925">
        <f ca="1"/>
        <v>80</v>
      </c>
      <c r="BD48" s="928">
        <f ca="1"/>
        <v>240</v>
      </c>
      <c r="BE48" s="200">
        <f ca="1"/>
        <v>0.99996249377727509</v>
      </c>
      <c r="BF48" s="851">
        <f ca="1"/>
        <v>0.99996249377727509</v>
      </c>
      <c r="BG48" s="851">
        <f ca="1"/>
        <v>0.99996249377727509</v>
      </c>
      <c r="BH48" s="933">
        <f ca="1"/>
        <v>1.0000000074505806</v>
      </c>
      <c r="BI48" s="357">
        <f ca="1"/>
        <v>320</v>
      </c>
      <c r="BJ48" s="925">
        <f ca="1"/>
        <v>80</v>
      </c>
      <c r="BK48" s="925">
        <f ca="1"/>
        <v>80</v>
      </c>
      <c r="BL48" s="928">
        <f ca="1"/>
        <v>240</v>
      </c>
      <c r="BM48" s="200">
        <f ca="1"/>
        <v>0.99996249377727509</v>
      </c>
      <c r="BN48" s="851">
        <f ca="1"/>
        <v>0.99996249377727509</v>
      </c>
      <c r="BO48" s="851">
        <f ca="1"/>
        <v>0.99996249377727509</v>
      </c>
      <c r="BP48" s="933">
        <f ca="1"/>
        <v>1.0000000074505806</v>
      </c>
      <c r="BQ48" s="357">
        <f t="shared" ca="1" si="33"/>
        <v>720</v>
      </c>
      <c r="BR48" s="361">
        <f t="shared" ca="1" si="34"/>
        <v>720</v>
      </c>
      <c r="BS48" s="357">
        <f t="shared" ca="1" si="35"/>
        <v>591.18708063687438</v>
      </c>
      <c r="BT48" s="302">
        <f t="shared" ca="1" si="36"/>
        <v>24.685064363689413</v>
      </c>
      <c r="BU48" s="299">
        <f t="shared" ca="1" si="37"/>
        <v>25.469761217926468</v>
      </c>
      <c r="BV48" s="299">
        <f t="shared" ca="1" si="38"/>
        <v>26.254458072163519</v>
      </c>
      <c r="BW48" s="299">
        <f t="shared" ca="1" si="39"/>
        <v>32.659889647739881</v>
      </c>
      <c r="BX48" s="380">
        <f t="shared" ca="1" si="40"/>
        <v>2.6666666666666665</v>
      </c>
      <c r="BY48" s="363">
        <f t="shared" ca="1" si="41"/>
        <v>262.74981361638862</v>
      </c>
      <c r="BZ48" s="353">
        <f t="shared" ca="1" si="42"/>
        <v>65.687453404097155</v>
      </c>
      <c r="CA48" s="353">
        <f t="shared" ca="1" si="43"/>
        <v>65.687453404097155</v>
      </c>
      <c r="CB48" s="353">
        <f t="shared" ca="1" si="44"/>
        <v>394.1247204245829</v>
      </c>
      <c r="CC48" s="353">
        <f t="shared" ca="1" si="45"/>
        <v>197.06236021229145</v>
      </c>
      <c r="CD48" s="353">
        <f t="shared" ca="1" si="46"/>
        <v>591.18708063687438</v>
      </c>
      <c r="CE48" s="302">
        <f t="shared" ca="1" si="47"/>
        <v>31.773808239772915</v>
      </c>
      <c r="CF48" s="299">
        <f t="shared" ca="1" si="48"/>
        <v>24.491332975071007</v>
      </c>
      <c r="CG48" s="299">
        <f t="shared" ca="1" si="49"/>
        <v>25.003561992555273</v>
      </c>
      <c r="CH48" s="299">
        <f t="shared" ca="1" si="50"/>
        <v>29.431687987786326</v>
      </c>
      <c r="CI48" s="299">
        <f t="shared" ca="1" si="51"/>
        <v>19.899998240917906</v>
      </c>
      <c r="CJ48" s="299">
        <f t="shared" ca="1" si="52"/>
        <v>26.254458072163516</v>
      </c>
      <c r="CK48" s="299">
        <f t="shared" ca="1" si="53"/>
        <v>32.659889647739881</v>
      </c>
      <c r="CL48" s="377">
        <f t="shared" ca="1" si="54"/>
        <v>0.3424275</v>
      </c>
      <c r="CM48" s="305">
        <f t="shared" ca="1" si="55"/>
        <v>0.3424275</v>
      </c>
      <c r="CN48" s="305">
        <f t="shared" ca="1" si="56"/>
        <v>0.3424275</v>
      </c>
      <c r="CO48" s="305">
        <f t="shared" ca="1" si="57"/>
        <v>0.3424275</v>
      </c>
      <c r="CP48" s="305">
        <f t="shared" ca="1" si="58"/>
        <v>8.6435999999999985E-2</v>
      </c>
      <c r="CQ48" s="305">
        <f t="shared" ca="1" si="59"/>
        <v>0.27392373442032586</v>
      </c>
      <c r="CR48" s="775">
        <f t="shared" ca="1" si="60"/>
        <v>0.3424275</v>
      </c>
      <c r="CS48" s="305">
        <f t="shared" ca="1" si="61"/>
        <v>0.38242749999999998</v>
      </c>
      <c r="CT48" s="305">
        <f t="shared" ca="1" si="62"/>
        <v>0.37742750000000003</v>
      </c>
      <c r="CU48" s="305">
        <f t="shared" ca="1" si="63"/>
        <v>0.14643599999999998</v>
      </c>
      <c r="CV48" s="770">
        <f t="shared" ca="1" si="64"/>
        <v>0.29892373442032588</v>
      </c>
      <c r="CW48" s="302">
        <f t="shared" ca="1" si="65"/>
        <v>6.6597415981128947</v>
      </c>
      <c r="CX48" s="299">
        <f t="shared" ca="1" si="66"/>
        <v>3.6226836761669636</v>
      </c>
      <c r="CY48" s="299">
        <f t="shared" ca="1" si="67"/>
        <v>3.7710435036483112</v>
      </c>
      <c r="CZ48" s="299">
        <f t="shared" ca="1" si="68"/>
        <v>4.2371496048740909E-2</v>
      </c>
      <c r="DA48" s="774">
        <f t="shared" ca="1" si="69"/>
        <v>3.0223835346153995</v>
      </c>
      <c r="DB48" s="303">
        <f t="shared" ca="1" si="70"/>
        <v>1786.7940983942356</v>
      </c>
      <c r="DC48" s="248">
        <f t="shared" ca="1" si="71"/>
        <v>248.00558163112646</v>
      </c>
      <c r="DD48" s="778">
        <f t="shared" ca="1" si="72"/>
        <v>0</v>
      </c>
      <c r="DE48" s="363">
        <f t="shared" ca="1" si="73"/>
        <v>0.82109316755121442</v>
      </c>
      <c r="DF48" s="378">
        <f t="shared" ca="1" si="74"/>
        <v>-0.32877953725127024</v>
      </c>
      <c r="DG48" s="508">
        <f t="shared" ca="1" si="75"/>
        <v>-0.7731438159107108</v>
      </c>
      <c r="DH48" s="508">
        <f t="shared" ca="1" si="76"/>
        <v>-0.74158313126115694</v>
      </c>
      <c r="DI48" s="508">
        <f t="shared" ca="1" si="77"/>
        <v>-2.1913671314069396</v>
      </c>
      <c r="DJ48" s="508">
        <f t="shared" ca="1" si="78"/>
        <v>-0.69130197980821195</v>
      </c>
      <c r="DK48" s="353">
        <f t="shared" ca="1" si="79"/>
        <v>-144.6562784468648</v>
      </c>
      <c r="DL48" s="781">
        <f t="shared" ca="1" si="80"/>
        <v>11.649341605121366</v>
      </c>
      <c r="DM48" s="303">
        <f t="shared" ca="1" si="81"/>
        <v>8379.2238513854991</v>
      </c>
      <c r="DN48" s="508">
        <f t="shared" ca="1" si="82"/>
        <v>0.79956969883099283</v>
      </c>
      <c r="DO48" s="508">
        <f t="shared" ca="1" si="83"/>
        <v>0.64013911927268774</v>
      </c>
      <c r="DP48" s="508">
        <f t="shared" ca="1" si="84"/>
        <v>0.65281588128650792</v>
      </c>
      <c r="DQ48" s="508">
        <f t="shared" ca="1" si="85"/>
        <v>0.51299809847614786</v>
      </c>
      <c r="DR48" s="508">
        <f t="shared" ca="1" si="86"/>
        <v>0.68271336946778172</v>
      </c>
      <c r="DS48" s="353">
        <f t="shared" ca="1" si="87"/>
        <v>8009.599715860827</v>
      </c>
      <c r="DT48" s="353">
        <f t="shared" ca="1" si="88"/>
        <v>-5196.004384534257</v>
      </c>
      <c r="DU48" s="380">
        <f t="shared" ca="1" si="189"/>
        <v>2.6666666666666665</v>
      </c>
      <c r="DV48" s="303">
        <f t="shared" ca="1" si="89"/>
        <v>262.74981361638862</v>
      </c>
      <c r="DW48" s="303">
        <f t="shared" ca="1" si="90"/>
        <v>65.687453404097155</v>
      </c>
      <c r="DX48" s="303">
        <f t="shared" ca="1" si="91"/>
        <v>65.687453404097155</v>
      </c>
      <c r="DY48" s="303">
        <f t="shared" ca="1" si="92"/>
        <v>394.1247204245829</v>
      </c>
      <c r="DZ48" s="303">
        <f t="shared" ca="1" si="93"/>
        <v>197.06236021229145</v>
      </c>
      <c r="EA48" s="303">
        <f t="shared" ca="1" si="94"/>
        <v>591.18708063687438</v>
      </c>
      <c r="EB48" s="302">
        <f t="shared" ca="1" si="95"/>
        <v>31.773808239772915</v>
      </c>
      <c r="EC48" s="299">
        <f t="shared" ca="1" si="96"/>
        <v>24.491332975071007</v>
      </c>
      <c r="ED48" s="299">
        <f t="shared" ca="1" si="97"/>
        <v>25.003561992555273</v>
      </c>
      <c r="EE48" s="299">
        <f t="shared" ca="1" si="98"/>
        <v>29.431687987786326</v>
      </c>
      <c r="EF48" s="299">
        <f t="shared" ca="1" si="99"/>
        <v>19.899998240917906</v>
      </c>
      <c r="EG48" s="299">
        <f t="shared" ca="1" si="100"/>
        <v>26.254458072163516</v>
      </c>
      <c r="EH48" s="302">
        <f t="shared" ca="1" si="101"/>
        <v>30</v>
      </c>
      <c r="EI48" s="304">
        <f t="shared" ca="1" si="102"/>
        <v>0.11414250000000001</v>
      </c>
      <c r="EJ48" s="305">
        <f t="shared" ca="1" si="103"/>
        <v>0.11414250000000001</v>
      </c>
      <c r="EK48" s="305">
        <f t="shared" ca="1" si="104"/>
        <v>0.11414250000000001</v>
      </c>
      <c r="EL48" s="305">
        <f t="shared" ca="1" si="105"/>
        <v>0.11414249999999998</v>
      </c>
      <c r="EM48" s="305">
        <f t="shared" ca="1" si="106"/>
        <v>2.8811999999999997E-2</v>
      </c>
      <c r="EN48" s="305">
        <f t="shared" ca="1" si="107"/>
        <v>8.9410188877057178E-2</v>
      </c>
      <c r="EO48" s="305">
        <f t="shared" ca="1" si="108"/>
        <v>0.11414250000000001</v>
      </c>
      <c r="EP48" s="305">
        <f t="shared" ca="1" si="109"/>
        <v>0.11414250000000001</v>
      </c>
      <c r="EQ48" s="305">
        <f t="shared" ca="1" si="110"/>
        <v>0.11414250000000001</v>
      </c>
      <c r="ER48" s="305">
        <f t="shared" ca="1" si="111"/>
        <v>2.8811999999999997E-2</v>
      </c>
      <c r="ES48" s="305">
        <f t="shared" ca="1" si="112"/>
        <v>8.9410188877057178E-2</v>
      </c>
      <c r="ET48" s="299">
        <f t="shared" ca="1" si="113"/>
        <v>4.1464064076364551</v>
      </c>
      <c r="EU48" s="302">
        <f t="shared" ca="1" si="114"/>
        <v>30</v>
      </c>
      <c r="EV48" s="304">
        <f t="shared" ca="1" si="115"/>
        <v>0.3424275</v>
      </c>
      <c r="EW48" s="305">
        <f t="shared" ca="1" si="116"/>
        <v>0.3424275</v>
      </c>
      <c r="EX48" s="305">
        <f t="shared" ca="1" si="117"/>
        <v>0.3424275</v>
      </c>
      <c r="EY48" s="305">
        <f t="shared" ca="1" si="118"/>
        <v>0.3424275</v>
      </c>
      <c r="EZ48" s="305">
        <f t="shared" ca="1" si="119"/>
        <v>8.6435999999999985E-2</v>
      </c>
      <c r="FA48" s="305">
        <f t="shared" ca="1" si="120"/>
        <v>0.27392373442032586</v>
      </c>
      <c r="FB48" s="305">
        <f t="shared" ca="1" si="121"/>
        <v>0.3424275</v>
      </c>
      <c r="FC48" s="305">
        <f t="shared" ca="1" si="122"/>
        <v>0.3424275</v>
      </c>
      <c r="FD48" s="305">
        <f t="shared" ca="1" si="123"/>
        <v>0.3424275</v>
      </c>
      <c r="FE48" s="305">
        <f t="shared" ca="1" si="124"/>
        <v>8.6435999999999985E-2</v>
      </c>
      <c r="FF48" s="305">
        <f t="shared" ca="1" si="125"/>
        <v>0.27392373442032586</v>
      </c>
      <c r="FG48" s="299">
        <f t="shared" ca="1" si="126"/>
        <v>3.3206537510865139</v>
      </c>
      <c r="FH48" s="302">
        <f t="shared" ca="1" si="127"/>
        <v>0.82575265654994112</v>
      </c>
      <c r="FI48" s="248">
        <f t="shared" ca="1" si="128"/>
        <v>488.17430235390327</v>
      </c>
      <c r="FJ48" s="363">
        <f t="shared" ca="1" si="129"/>
        <v>0.82109316755121442</v>
      </c>
      <c r="FK48" s="378">
        <f t="shared" ca="1" si="130"/>
        <v>0.21499403514449261</v>
      </c>
      <c r="FL48" s="508">
        <f t="shared" ca="1" si="131"/>
        <v>-1.1816341839706426</v>
      </c>
      <c r="FM48" s="508">
        <f t="shared" ca="1" si="132"/>
        <v>-1.0705844493177403</v>
      </c>
      <c r="FN48" s="508">
        <f t="shared" ca="1" si="133"/>
        <v>-8.7478499174924131</v>
      </c>
      <c r="FO48" s="508">
        <f t="shared" ca="1" si="134"/>
        <v>-0.98639960646663849</v>
      </c>
      <c r="FP48" s="353">
        <f t="shared" ca="1" si="135"/>
        <v>495.43337850118706</v>
      </c>
      <c r="FQ48" s="356">
        <f t="shared" ca="1" si="136"/>
        <v>33.102570550753597</v>
      </c>
      <c r="FR48" s="380">
        <f t="shared" ca="1" si="137"/>
        <v>22.52</v>
      </c>
      <c r="FS48" s="299">
        <f t="shared" ca="1" si="138"/>
        <v>22.52</v>
      </c>
      <c r="FT48" s="299">
        <f t="shared" ca="1" si="139"/>
        <v>22.52</v>
      </c>
      <c r="FU48" s="299">
        <f t="shared" ca="1" si="140"/>
        <v>22.52</v>
      </c>
      <c r="FV48" s="299">
        <f t="shared" ca="1" si="141"/>
        <v>22.52</v>
      </c>
      <c r="FW48" s="850">
        <f t="shared" ca="1" si="142"/>
        <v>0.1895</v>
      </c>
      <c r="FX48" s="851">
        <f t="shared" ca="1" si="143"/>
        <v>0.5</v>
      </c>
      <c r="FY48" s="851">
        <f t="shared" ca="1" si="144"/>
        <v>0</v>
      </c>
      <c r="FZ48" s="201">
        <f t="shared" ca="1" si="145"/>
        <v>0</v>
      </c>
      <c r="GA48" s="201">
        <f t="shared" ca="1" si="146"/>
        <v>0</v>
      </c>
      <c r="GB48" s="201">
        <f t="shared" ca="1" si="147"/>
        <v>0</v>
      </c>
      <c r="GC48" s="201">
        <f t="shared" ca="1" si="148"/>
        <v>0</v>
      </c>
      <c r="GD48" s="850">
        <f t="shared" ca="1" si="149"/>
        <v>0.35742750000000001</v>
      </c>
      <c r="GE48" s="866">
        <f t="shared" ca="1" si="150"/>
        <v>0.3449275</v>
      </c>
      <c r="GF48" s="866">
        <f t="shared" ca="1" si="151"/>
        <v>0.3474275</v>
      </c>
      <c r="GG48" s="866">
        <f t="shared" ca="1" si="152"/>
        <v>8.6435999999999985E-2</v>
      </c>
      <c r="GH48" s="866">
        <f t="shared" ca="1" si="153"/>
        <v>0.28642373442032587</v>
      </c>
      <c r="GI48" s="302">
        <f t="shared" ca="1" si="154"/>
        <v>11.21582129620519</v>
      </c>
      <c r="GJ48" s="299">
        <f t="shared" ca="1" si="155"/>
        <v>5.5876203504178168</v>
      </c>
      <c r="GK48" s="299">
        <f t="shared" ca="1" si="156"/>
        <v>5.9610215203059864</v>
      </c>
      <c r="GL48" s="299">
        <f t="shared" ca="1" si="157"/>
        <v>1.1882745761818161</v>
      </c>
      <c r="GM48" s="299">
        <f t="shared" ca="1" si="158"/>
        <v>6.1163122083576624</v>
      </c>
      <c r="GN48" s="302">
        <f t="shared" ca="1" si="159"/>
        <v>0.82471774876294235</v>
      </c>
      <c r="GO48" s="299">
        <f t="shared" ca="1" si="160"/>
        <v>0.66131184160969725</v>
      </c>
      <c r="GP48" s="299">
        <f t="shared" ca="1" si="161"/>
        <v>0.67675081708761897</v>
      </c>
      <c r="GQ48" s="299">
        <f t="shared" ca="1" si="162"/>
        <v>0.37192489430555453</v>
      </c>
      <c r="GR48" s="299">
        <f t="shared" ca="1" si="163"/>
        <v>0.71849797423331163</v>
      </c>
      <c r="GS48" s="302">
        <f t="shared" ca="1" si="164"/>
        <v>-0.66556845889781469</v>
      </c>
      <c r="GT48" s="299">
        <f t="shared" ca="1" si="165"/>
        <v>-0.4710830496050743</v>
      </c>
      <c r="GU48" s="299">
        <f t="shared" ca="1" si="166"/>
        <v>-0.4866856062414982</v>
      </c>
      <c r="GV48" s="299">
        <f t="shared" ca="1" si="167"/>
        <v>-0.27588938498499038</v>
      </c>
      <c r="GW48" s="299">
        <f t="shared" ca="1" si="168"/>
        <v>-0.56605090861438667</v>
      </c>
      <c r="GX48" s="303">
        <f t="shared" ca="1" si="169"/>
        <v>2946.9549551326359</v>
      </c>
      <c r="GY48" s="303">
        <f t="shared" ca="1" si="170"/>
        <v>367.03655140785537</v>
      </c>
      <c r="GZ48" s="303">
        <f t="shared" ca="1" si="171"/>
        <v>391.5643233559199</v>
      </c>
      <c r="HA48" s="303">
        <f t="shared" ca="1" si="172"/>
        <v>234.16419256264899</v>
      </c>
      <c r="HB48" s="303">
        <f t="shared" ca="1" si="173"/>
        <v>3615.8847587226405</v>
      </c>
      <c r="HC48" s="303">
        <f t="shared" ca="1" si="174"/>
        <v>2431.4363902421346</v>
      </c>
      <c r="HD48" s="303">
        <f t="shared" ca="1" si="175"/>
        <v>129.491842943937</v>
      </c>
      <c r="HE48" s="303">
        <f t="shared" ca="1" si="176"/>
        <v>163.13886266216122</v>
      </c>
      <c r="HF48" s="303">
        <f t="shared" ca="1" si="177"/>
        <v>0</v>
      </c>
      <c r="HG48" s="852">
        <f t="shared" ca="1" si="178"/>
        <v>2207.7633654431593</v>
      </c>
    </row>
    <row r="49" spans="1:215" x14ac:dyDescent="0.25">
      <c r="A49" s="244">
        <f t="shared" ca="1" si="179"/>
        <v>37591</v>
      </c>
      <c r="B49" s="13">
        <f t="shared" ca="1" si="3"/>
        <v>2002</v>
      </c>
      <c r="C49" s="619">
        <f t="shared" ca="1" si="180"/>
        <v>12</v>
      </c>
      <c r="D49" s="195">
        <f t="shared" ca="1" si="4"/>
        <v>37615</v>
      </c>
      <c r="E49" s="469">
        <f t="shared" ca="1" si="5"/>
        <v>37591</v>
      </c>
      <c r="F49" s="465">
        <f t="shared" ca="1" si="6"/>
        <v>37621</v>
      </c>
      <c r="G49" s="522">
        <f t="shared" ca="1" si="181"/>
        <v>1</v>
      </c>
      <c r="H49" s="519">
        <f t="shared" ca="1" si="182"/>
        <v>1</v>
      </c>
      <c r="I49" s="724">
        <f t="shared" ca="1" si="7"/>
        <v>7.1718530585009002E-2</v>
      </c>
      <c r="J49" s="198">
        <f t="shared" ca="1" si="8"/>
        <v>0.8160060600948037</v>
      </c>
      <c r="K49" s="200">
        <f t="shared" ca="1" si="190"/>
        <v>30.35</v>
      </c>
      <c r="L49" s="201">
        <f t="shared" ca="1" si="191"/>
        <v>31</v>
      </c>
      <c r="M49" s="206">
        <f t="shared" ca="1" si="192"/>
        <v>31.65</v>
      </c>
      <c r="N49" s="851">
        <f t="shared" ca="1" si="196"/>
        <v>24.967498397827146</v>
      </c>
      <c r="O49" s="201">
        <f t="shared" ca="1" si="197"/>
        <v>25.454998397827147</v>
      </c>
      <c r="P49" s="206">
        <f t="shared" ca="1" si="198"/>
        <v>25.942498397827148</v>
      </c>
      <c r="Q49" s="201">
        <f t="shared" ca="1" si="199"/>
        <v>18.949999237060545</v>
      </c>
      <c r="R49" s="201">
        <f t="shared" ca="1" si="200"/>
        <v>21.949999237060545</v>
      </c>
      <c r="S49" s="201">
        <f t="shared" ca="1" si="201"/>
        <v>24.949999237060545</v>
      </c>
      <c r="T49" s="851">
        <f t="shared" ca="1" si="193"/>
        <v>20.674999237060547</v>
      </c>
      <c r="U49" s="201">
        <f t="shared" ca="1" si="194"/>
        <v>20.999999237060546</v>
      </c>
      <c r="V49" s="206">
        <f t="shared" ca="1" si="195"/>
        <v>21.324999237060545</v>
      </c>
      <c r="W49" s="230">
        <f t="shared" ca="1" si="183"/>
        <v>0.1182465</v>
      </c>
      <c r="X49" s="231">
        <f t="shared" ca="1" si="184"/>
        <v>0.23649300000000001</v>
      </c>
      <c r="Y49" s="232">
        <f t="shared" ca="1" si="185"/>
        <v>0.35473949999999999</v>
      </c>
      <c r="Z49" s="231">
        <f t="shared" ca="1" si="202"/>
        <v>0.1182465</v>
      </c>
      <c r="AA49" s="231">
        <f t="shared" ca="1" si="203"/>
        <v>0.23649300000000001</v>
      </c>
      <c r="AB49" s="232">
        <f t="shared" ca="1" si="204"/>
        <v>0.35473949999999999</v>
      </c>
      <c r="AC49" s="231">
        <f t="shared" ca="1" si="205"/>
        <v>0.1182465</v>
      </c>
      <c r="AD49" s="231">
        <f t="shared" ca="1" si="206"/>
        <v>0.23649300000000001</v>
      </c>
      <c r="AE49" s="232">
        <f t="shared" ca="1" si="14"/>
        <v>0.35473949999999999</v>
      </c>
      <c r="AF49" s="231">
        <f t="shared" ca="1" si="186"/>
        <v>2.8811999999999997E-2</v>
      </c>
      <c r="AG49" s="231">
        <f t="shared" ca="1" si="187"/>
        <v>5.7623999999999995E-2</v>
      </c>
      <c r="AH49" s="232">
        <f t="shared" ca="1" si="188"/>
        <v>8.6435999999999985E-2</v>
      </c>
      <c r="AI49" s="233">
        <f t="shared" ca="1" si="15"/>
        <v>1</v>
      </c>
      <c r="AJ49" s="233">
        <f t="shared" ca="1" si="16"/>
        <v>1.25</v>
      </c>
      <c r="AK49" s="234">
        <f t="shared" ca="1" si="17"/>
        <v>1.6</v>
      </c>
      <c r="AL49" s="919">
        <f t="shared" ca="1" si="18"/>
        <v>1</v>
      </c>
      <c r="AM49" s="233">
        <f t="shared" ca="1" si="19"/>
        <v>1.25</v>
      </c>
      <c r="AN49" s="234">
        <f t="shared" ca="1" si="20"/>
        <v>1.6</v>
      </c>
      <c r="AO49" s="233">
        <f t="shared" ca="1" si="21"/>
        <v>1</v>
      </c>
      <c r="AP49" s="233">
        <f t="shared" ca="1" si="22"/>
        <v>1.25</v>
      </c>
      <c r="AQ49" s="233">
        <f t="shared" ca="1" si="23"/>
        <v>1.6</v>
      </c>
      <c r="AR49" s="919">
        <f t="shared" ca="1" si="24"/>
        <v>0.15</v>
      </c>
      <c r="AS49" s="233">
        <f t="shared" ca="1" si="25"/>
        <v>0.3</v>
      </c>
      <c r="AT49" s="235">
        <f t="shared" ca="1" si="26"/>
        <v>0.5</v>
      </c>
      <c r="AU49" s="946">
        <f t="shared" si="27"/>
        <v>0.5</v>
      </c>
      <c r="AV49" s="13">
        <f t="shared" ca="1" si="28"/>
        <v>21</v>
      </c>
      <c r="AW49" s="210">
        <f t="shared" ca="1" si="29"/>
        <v>4</v>
      </c>
      <c r="AX49" s="210">
        <f t="shared" ca="1" si="30"/>
        <v>5</v>
      </c>
      <c r="AY49" s="210">
        <f t="shared" ca="1" si="31"/>
        <v>1</v>
      </c>
      <c r="AZ49" s="13">
        <f t="shared" ca="1" si="32"/>
        <v>31</v>
      </c>
      <c r="BA49" s="357">
        <f ca="1"/>
        <v>336</v>
      </c>
      <c r="BB49" s="925">
        <f ca="1"/>
        <v>64</v>
      </c>
      <c r="BC49" s="925">
        <f ca="1"/>
        <v>96</v>
      </c>
      <c r="BD49" s="928">
        <f ca="1"/>
        <v>248</v>
      </c>
      <c r="BE49" s="200">
        <f ca="1"/>
        <v>0.9999692440032959</v>
      </c>
      <c r="BF49" s="851">
        <f ca="1"/>
        <v>0.9999692440032959</v>
      </c>
      <c r="BG49" s="851">
        <f ca="1"/>
        <v>0.9999692440032959</v>
      </c>
      <c r="BH49" s="933">
        <f ca="1"/>
        <v>1.0000000074505806</v>
      </c>
      <c r="BI49" s="357">
        <f ca="1"/>
        <v>336</v>
      </c>
      <c r="BJ49" s="925">
        <f ca="1"/>
        <v>64</v>
      </c>
      <c r="BK49" s="925">
        <f ca="1"/>
        <v>96</v>
      </c>
      <c r="BL49" s="928">
        <f ca="1"/>
        <v>248</v>
      </c>
      <c r="BM49" s="200">
        <f ca="1"/>
        <v>0.9999692440032959</v>
      </c>
      <c r="BN49" s="851">
        <f ca="1"/>
        <v>0.9999692440032959</v>
      </c>
      <c r="BO49" s="851">
        <f ca="1"/>
        <v>0.9999692440032959</v>
      </c>
      <c r="BP49" s="933">
        <f ca="1"/>
        <v>1.0000000074505806</v>
      </c>
      <c r="BQ49" s="357">
        <f t="shared" ca="1" si="33"/>
        <v>744</v>
      </c>
      <c r="BR49" s="361">
        <f t="shared" ca="1" si="34"/>
        <v>744</v>
      </c>
      <c r="BS49" s="357">
        <f t="shared" ca="1" si="35"/>
        <v>607.1085087105339</v>
      </c>
      <c r="BT49" s="302">
        <f t="shared" ca="1" si="36"/>
        <v>25.190458251255148</v>
      </c>
      <c r="BU49" s="299">
        <f t="shared" ca="1" si="37"/>
        <v>26.021350006868978</v>
      </c>
      <c r="BV49" s="299">
        <f t="shared" ca="1" si="38"/>
        <v>26.852241762482805</v>
      </c>
      <c r="BW49" s="299">
        <f t="shared" ca="1" si="39"/>
        <v>32.659889647739881</v>
      </c>
      <c r="BX49" s="380">
        <f t="shared" ca="1" si="40"/>
        <v>2.7488021902806299</v>
      </c>
      <c r="BY49" s="363">
        <f t="shared" ca="1" si="41"/>
        <v>274.17803619185406</v>
      </c>
      <c r="BZ49" s="353">
        <f t="shared" ca="1" si="42"/>
        <v>52.224387846067437</v>
      </c>
      <c r="CA49" s="353">
        <f t="shared" ca="1" si="43"/>
        <v>78.336581769101159</v>
      </c>
      <c r="CB49" s="353">
        <f t="shared" ca="1" si="44"/>
        <v>404.73900580702264</v>
      </c>
      <c r="CC49" s="353">
        <f t="shared" ca="1" si="45"/>
        <v>202.36950290351132</v>
      </c>
      <c r="CD49" s="353">
        <f t="shared" ca="1" si="46"/>
        <v>607.1085087105339</v>
      </c>
      <c r="CE49" s="302">
        <f t="shared" ca="1" si="47"/>
        <v>31.649026572704315</v>
      </c>
      <c r="CF49" s="299">
        <f t="shared" ca="1" si="48"/>
        <v>25.941700510431929</v>
      </c>
      <c r="CG49" s="299">
        <f t="shared" ca="1" si="49"/>
        <v>24.949231874966245</v>
      </c>
      <c r="CH49" s="299">
        <f t="shared" ca="1" si="50"/>
        <v>29.615862945752127</v>
      </c>
      <c r="CI49" s="299">
        <f t="shared" ca="1" si="51"/>
        <v>21.324999395944172</v>
      </c>
      <c r="CJ49" s="299">
        <f t="shared" ca="1" si="52"/>
        <v>26.852241762482812</v>
      </c>
      <c r="CK49" s="299">
        <f t="shared" ca="1" si="53"/>
        <v>32.659889647739881</v>
      </c>
      <c r="CL49" s="377">
        <f t="shared" ca="1" si="54"/>
        <v>0.35473949999999999</v>
      </c>
      <c r="CM49" s="305">
        <f t="shared" ca="1" si="55"/>
        <v>0.35473949999999999</v>
      </c>
      <c r="CN49" s="305">
        <f t="shared" ca="1" si="56"/>
        <v>0.35473949999999999</v>
      </c>
      <c r="CO49" s="305">
        <f t="shared" ca="1" si="57"/>
        <v>0.35473949999999993</v>
      </c>
      <c r="CP49" s="305">
        <f t="shared" ca="1" si="58"/>
        <v>8.6435999999999985E-2</v>
      </c>
      <c r="CQ49" s="305">
        <f t="shared" ca="1" si="59"/>
        <v>0.28060229093101813</v>
      </c>
      <c r="CR49" s="775">
        <f t="shared" ca="1" si="60"/>
        <v>0.35473949999999999</v>
      </c>
      <c r="CS49" s="305">
        <f t="shared" ca="1" si="61"/>
        <v>0.37973950000000001</v>
      </c>
      <c r="CT49" s="305">
        <f t="shared" ca="1" si="62"/>
        <v>0.38973950000000002</v>
      </c>
      <c r="CU49" s="305">
        <f t="shared" ca="1" si="63"/>
        <v>0.14643599999999998</v>
      </c>
      <c r="CV49" s="770">
        <f t="shared" ca="1" si="64"/>
        <v>0.29810229093101814</v>
      </c>
      <c r="CW49" s="302">
        <f t="shared" ca="1" si="65"/>
        <v>6.9420791428122985</v>
      </c>
      <c r="CX49" s="299">
        <f t="shared" ca="1" si="66"/>
        <v>4.3414725227534987</v>
      </c>
      <c r="CY49" s="299">
        <f t="shared" ca="1" si="67"/>
        <v>4.0417146516107172</v>
      </c>
      <c r="CZ49" s="299">
        <f t="shared" ca="1" si="68"/>
        <v>0.10159568189154622</v>
      </c>
      <c r="DA49" s="774">
        <f t="shared" ca="1" si="69"/>
        <v>3.3431493345084586</v>
      </c>
      <c r="DB49" s="303">
        <f t="shared" ca="1" si="70"/>
        <v>2029.6544068700441</v>
      </c>
      <c r="DC49" s="248">
        <f t="shared" ca="1" si="71"/>
        <v>267.5893167042334</v>
      </c>
      <c r="DD49" s="778">
        <f t="shared" ca="1" si="72"/>
        <v>0</v>
      </c>
      <c r="DE49" s="363">
        <f t="shared" ca="1" si="73"/>
        <v>0.8160060600948037</v>
      </c>
      <c r="DF49" s="378">
        <f t="shared" ca="1" si="74"/>
        <v>-0.34752751764699741</v>
      </c>
      <c r="DG49" s="508">
        <f t="shared" ca="1" si="75"/>
        <v>-0.68058225654504922</v>
      </c>
      <c r="DH49" s="508">
        <f t="shared" ca="1" si="76"/>
        <v>-0.73985575760171118</v>
      </c>
      <c r="DI49" s="508">
        <f t="shared" ca="1" si="77"/>
        <v>-1.8771422340647907</v>
      </c>
      <c r="DJ49" s="508">
        <f t="shared" ca="1" si="78"/>
        <v>-0.64328085401804447</v>
      </c>
      <c r="DK49" s="353">
        <f t="shared" ca="1" si="79"/>
        <v>-157.8608844482944</v>
      </c>
      <c r="DL49" s="781">
        <f t="shared" ca="1" si="80"/>
        <v>12.200202593428722</v>
      </c>
      <c r="DM49" s="303">
        <f t="shared" ca="1" si="81"/>
        <v>9005.5229760429447</v>
      </c>
      <c r="DN49" s="508">
        <f t="shared" ca="1" si="82"/>
        <v>0.809927452607618</v>
      </c>
      <c r="DO49" s="508">
        <f t="shared" ca="1" si="83"/>
        <v>0.68997485865216701</v>
      </c>
      <c r="DP49" s="508">
        <f t="shared" ca="1" si="84"/>
        <v>0.66644425152814868</v>
      </c>
      <c r="DQ49" s="508">
        <f t="shared" ca="1" si="85"/>
        <v>0.57176193053103419</v>
      </c>
      <c r="DR49" s="508">
        <f t="shared" ca="1" si="86"/>
        <v>0.71078429341343707</v>
      </c>
      <c r="DS49" s="353">
        <f t="shared" ca="1" si="87"/>
        <v>8375.7357617615853</v>
      </c>
      <c r="DT49" s="353">
        <f t="shared" ca="1" si="88"/>
        <v>-5638.3848007404649</v>
      </c>
      <c r="DU49" s="380">
        <f t="shared" ca="1" si="189"/>
        <v>2.7488021902806299</v>
      </c>
      <c r="DV49" s="303">
        <f t="shared" ca="1" si="89"/>
        <v>274.17803619185406</v>
      </c>
      <c r="DW49" s="303">
        <f t="shared" ca="1" si="90"/>
        <v>52.224387846067437</v>
      </c>
      <c r="DX49" s="303">
        <f t="shared" ca="1" si="91"/>
        <v>78.336581769101159</v>
      </c>
      <c r="DY49" s="303">
        <f t="shared" ca="1" si="92"/>
        <v>404.73900580702264</v>
      </c>
      <c r="DZ49" s="303">
        <f t="shared" ca="1" si="93"/>
        <v>202.36950290351132</v>
      </c>
      <c r="EA49" s="303">
        <f t="shared" ca="1" si="94"/>
        <v>607.1085087105339</v>
      </c>
      <c r="EB49" s="302">
        <f t="shared" ca="1" si="95"/>
        <v>31.649026572704315</v>
      </c>
      <c r="EC49" s="299">
        <f t="shared" ca="1" si="96"/>
        <v>25.941700510431929</v>
      </c>
      <c r="ED49" s="299">
        <f t="shared" ca="1" si="97"/>
        <v>24.949231874966245</v>
      </c>
      <c r="EE49" s="299">
        <f t="shared" ca="1" si="98"/>
        <v>29.615862945752127</v>
      </c>
      <c r="EF49" s="299">
        <f t="shared" ca="1" si="99"/>
        <v>21.324999395944172</v>
      </c>
      <c r="EG49" s="299">
        <f t="shared" ca="1" si="100"/>
        <v>26.852241762482812</v>
      </c>
      <c r="EH49" s="302">
        <f t="shared" ca="1" si="101"/>
        <v>30</v>
      </c>
      <c r="EI49" s="304">
        <f t="shared" ca="1" si="102"/>
        <v>0.1182465</v>
      </c>
      <c r="EJ49" s="305">
        <f t="shared" ca="1" si="103"/>
        <v>0.1182465</v>
      </c>
      <c r="EK49" s="305">
        <f t="shared" ca="1" si="104"/>
        <v>0.1182465</v>
      </c>
      <c r="EL49" s="305">
        <f t="shared" ca="1" si="105"/>
        <v>0.11824650000000016</v>
      </c>
      <c r="EM49" s="305">
        <f t="shared" ca="1" si="106"/>
        <v>2.8811999999999997E-2</v>
      </c>
      <c r="EN49" s="305">
        <f t="shared" ca="1" si="107"/>
        <v>9.1286390067049805E-2</v>
      </c>
      <c r="EO49" s="305">
        <f t="shared" ca="1" si="108"/>
        <v>0.1182465</v>
      </c>
      <c r="EP49" s="305">
        <f t="shared" ca="1" si="109"/>
        <v>0.1182465</v>
      </c>
      <c r="EQ49" s="305">
        <f t="shared" ca="1" si="110"/>
        <v>0.1182465</v>
      </c>
      <c r="ER49" s="305">
        <f t="shared" ca="1" si="111"/>
        <v>2.8811999999999997E-2</v>
      </c>
      <c r="ES49" s="305">
        <f t="shared" ca="1" si="112"/>
        <v>9.1286390067049805E-2</v>
      </c>
      <c r="ET49" s="299">
        <f t="shared" ca="1" si="113"/>
        <v>3.7275841674748094</v>
      </c>
      <c r="EU49" s="302">
        <f t="shared" ca="1" si="114"/>
        <v>30</v>
      </c>
      <c r="EV49" s="304">
        <f t="shared" ca="1" si="115"/>
        <v>0.35473949999999999</v>
      </c>
      <c r="EW49" s="305">
        <f t="shared" ca="1" si="116"/>
        <v>0.35473949999999999</v>
      </c>
      <c r="EX49" s="305">
        <f t="shared" ca="1" si="117"/>
        <v>0.35473949999999999</v>
      </c>
      <c r="EY49" s="305">
        <f t="shared" ca="1" si="118"/>
        <v>0.35473949999999993</v>
      </c>
      <c r="EZ49" s="305">
        <f t="shared" ca="1" si="119"/>
        <v>8.6435999999999985E-2</v>
      </c>
      <c r="FA49" s="305">
        <f t="shared" ca="1" si="120"/>
        <v>0.28060229093101813</v>
      </c>
      <c r="FB49" s="305">
        <f t="shared" ca="1" si="121"/>
        <v>0.35473949999999999</v>
      </c>
      <c r="FC49" s="305">
        <f t="shared" ca="1" si="122"/>
        <v>0.35473949999999999</v>
      </c>
      <c r="FD49" s="305">
        <f t="shared" ca="1" si="123"/>
        <v>0.35473949999999999</v>
      </c>
      <c r="FE49" s="305">
        <f t="shared" ca="1" si="124"/>
        <v>8.6435999999999985E-2</v>
      </c>
      <c r="FF49" s="305">
        <f t="shared" ca="1" si="125"/>
        <v>0.28060229093101813</v>
      </c>
      <c r="FG49" s="299">
        <f t="shared" ca="1" si="126"/>
        <v>3.7996434153731862</v>
      </c>
      <c r="FH49" s="302">
        <f t="shared" ca="1" si="127"/>
        <v>-7.205924789837681E-2</v>
      </c>
      <c r="FI49" s="248">
        <f t="shared" ca="1" si="128"/>
        <v>-43.747782530386218</v>
      </c>
      <c r="FJ49" s="363">
        <f t="shared" ca="1" si="129"/>
        <v>0.8160060600948037</v>
      </c>
      <c r="FK49" s="378">
        <f t="shared" ca="1" si="130"/>
        <v>0.17492144474887725</v>
      </c>
      <c r="FL49" s="508">
        <f t="shared" ca="1" si="131"/>
        <v>-0.83940539533565406</v>
      </c>
      <c r="FM49" s="508">
        <f t="shared" ca="1" si="132"/>
        <v>-1.0383817207516775</v>
      </c>
      <c r="FN49" s="508">
        <f t="shared" ca="1" si="133"/>
        <v>-7.1690644199715452</v>
      </c>
      <c r="FO49" s="508">
        <f t="shared" ca="1" si="134"/>
        <v>-0.80807761565666192</v>
      </c>
      <c r="FP49" s="353">
        <f t="shared" ca="1" si="135"/>
        <v>479.90538030870891</v>
      </c>
      <c r="FQ49" s="356">
        <f t="shared" ca="1" si="136"/>
        <v>38.48421950679267</v>
      </c>
      <c r="FR49" s="380">
        <f t="shared" ca="1" si="137"/>
        <v>23.512</v>
      </c>
      <c r="FS49" s="299">
        <f t="shared" ca="1" si="138"/>
        <v>23.512</v>
      </c>
      <c r="FT49" s="299">
        <f t="shared" ca="1" si="139"/>
        <v>23.512</v>
      </c>
      <c r="FU49" s="299">
        <f t="shared" ca="1" si="140"/>
        <v>23.512</v>
      </c>
      <c r="FV49" s="299">
        <f t="shared" ca="1" si="141"/>
        <v>23.512000000000004</v>
      </c>
      <c r="FW49" s="850">
        <f t="shared" ca="1" si="142"/>
        <v>0.1905</v>
      </c>
      <c r="FX49" s="851">
        <f t="shared" ca="1" si="143"/>
        <v>0.5</v>
      </c>
      <c r="FY49" s="851">
        <f t="shared" ca="1" si="144"/>
        <v>0</v>
      </c>
      <c r="FZ49" s="201">
        <f t="shared" ca="1" si="145"/>
        <v>0</v>
      </c>
      <c r="GA49" s="201">
        <f t="shared" ca="1" si="146"/>
        <v>0</v>
      </c>
      <c r="GB49" s="201">
        <f t="shared" ca="1" si="147"/>
        <v>0</v>
      </c>
      <c r="GC49" s="201">
        <f t="shared" ca="1" si="148"/>
        <v>0</v>
      </c>
      <c r="GD49" s="850">
        <f t="shared" ca="1" si="149"/>
        <v>0.3697395</v>
      </c>
      <c r="GE49" s="866">
        <f t="shared" ca="1" si="150"/>
        <v>0.35973949999999999</v>
      </c>
      <c r="GF49" s="866">
        <f t="shared" ca="1" si="151"/>
        <v>0.35473949999999999</v>
      </c>
      <c r="GG49" s="866">
        <f t="shared" ca="1" si="152"/>
        <v>8.6435999999999985E-2</v>
      </c>
      <c r="GH49" s="866">
        <f t="shared" ca="1" si="153"/>
        <v>0.29310229093101814</v>
      </c>
      <c r="GI49" s="302">
        <f t="shared" ca="1" si="154"/>
        <v>10.696122666386611</v>
      </c>
      <c r="GJ49" s="299">
        <f t="shared" ca="1" si="155"/>
        <v>6.3458407523786233</v>
      </c>
      <c r="GK49" s="299">
        <f t="shared" ca="1" si="156"/>
        <v>5.626159447970366</v>
      </c>
      <c r="GL49" s="299">
        <f t="shared" ca="1" si="157"/>
        <v>1.5010727121401812</v>
      </c>
      <c r="GM49" s="299">
        <f t="shared" ca="1" si="158"/>
        <v>6.1293906284548125</v>
      </c>
      <c r="GN49" s="302">
        <f t="shared" ca="1" si="159"/>
        <v>0.79537447272721651</v>
      </c>
      <c r="GO49" s="299">
        <f t="shared" ca="1" si="160"/>
        <v>0.67317283628512581</v>
      </c>
      <c r="GP49" s="299">
        <f t="shared" ca="1" si="161"/>
        <v>0.64478768489248139</v>
      </c>
      <c r="GQ49" s="299">
        <f t="shared" ca="1" si="162"/>
        <v>0.41314220553219</v>
      </c>
      <c r="GR49" s="299">
        <f t="shared" ca="1" si="163"/>
        <v>0.7000599886662805</v>
      </c>
      <c r="GS49" s="302">
        <f t="shared" ca="1" si="164"/>
        <v>-0.61571567073737132</v>
      </c>
      <c r="GT49" s="299">
        <f t="shared" ca="1" si="165"/>
        <v>-0.47283980748023013</v>
      </c>
      <c r="GU49" s="299">
        <f t="shared" ca="1" si="166"/>
        <v>-0.44491332265431471</v>
      </c>
      <c r="GV49" s="299">
        <f t="shared" ca="1" si="167"/>
        <v>-0.31087035203363578</v>
      </c>
      <c r="GW49" s="299">
        <f t="shared" ca="1" si="168"/>
        <v>-0.53882246123649946</v>
      </c>
      <c r="GX49" s="303">
        <f t="shared" ca="1" si="169"/>
        <v>2932.6419075370586</v>
      </c>
      <c r="GY49" s="303">
        <f t="shared" ca="1" si="170"/>
        <v>331.40764866160163</v>
      </c>
      <c r="GZ49" s="303">
        <f t="shared" ca="1" si="171"/>
        <v>440.73409964193161</v>
      </c>
      <c r="HA49" s="303">
        <f t="shared" ca="1" si="172"/>
        <v>303.771338577834</v>
      </c>
      <c r="HB49" s="303">
        <f t="shared" ca="1" si="173"/>
        <v>3721.2052037455232</v>
      </c>
      <c r="HC49" s="303">
        <f t="shared" ca="1" si="174"/>
        <v>2230.9939661450017</v>
      </c>
      <c r="HD49" s="303">
        <f t="shared" ca="1" si="175"/>
        <v>126.88962180658504</v>
      </c>
      <c r="HE49" s="303">
        <f t="shared" ca="1" si="176"/>
        <v>112.58783229445174</v>
      </c>
      <c r="HF49" s="303">
        <f t="shared" ca="1" si="177"/>
        <v>0</v>
      </c>
      <c r="HG49" s="852">
        <f t="shared" ca="1" si="178"/>
        <v>2027.8891951535832</v>
      </c>
    </row>
    <row r="50" spans="1:215" x14ac:dyDescent="0.25">
      <c r="A50" s="244">
        <f t="shared" ca="1" si="179"/>
        <v>37622</v>
      </c>
      <c r="B50" s="13">
        <f t="shared" ca="1" si="3"/>
        <v>2003</v>
      </c>
      <c r="C50" s="619">
        <f t="shared" ca="1" si="180"/>
        <v>1</v>
      </c>
      <c r="D50" s="195">
        <f t="shared" ca="1" si="4"/>
        <v>37622</v>
      </c>
      <c r="E50" s="469">
        <f t="shared" ca="1" si="5"/>
        <v>37622</v>
      </c>
      <c r="F50" s="465">
        <f t="shared" ca="1" si="6"/>
        <v>37652</v>
      </c>
      <c r="G50" s="522">
        <f t="shared" ca="1" si="181"/>
        <v>1</v>
      </c>
      <c r="H50" s="519">
        <f t="shared" ca="1" si="182"/>
        <v>1</v>
      </c>
      <c r="I50" s="724">
        <f t="shared" ca="1" si="7"/>
        <v>7.1808036216494994E-2</v>
      </c>
      <c r="J50" s="198">
        <f t="shared" ca="1" si="8"/>
        <v>0.81093241220215584</v>
      </c>
      <c r="K50" s="200">
        <f t="shared" ca="1" si="190"/>
        <v>35.85</v>
      </c>
      <c r="L50" s="201">
        <f t="shared" ca="1" si="191"/>
        <v>36.65</v>
      </c>
      <c r="M50" s="206">
        <f t="shared" ca="1" si="192"/>
        <v>37.450000000000003</v>
      </c>
      <c r="N50" s="851">
        <f t="shared" ca="1" si="196"/>
        <v>28.048748779296872</v>
      </c>
      <c r="O50" s="201">
        <f t="shared" ca="1" si="197"/>
        <v>28.648748779296874</v>
      </c>
      <c r="P50" s="206">
        <f t="shared" ca="1" si="198"/>
        <v>29.248748779296875</v>
      </c>
      <c r="Q50" s="201">
        <f t="shared" ca="1" si="199"/>
        <v>23.852500534057615</v>
      </c>
      <c r="R50" s="201">
        <f t="shared" ca="1" si="200"/>
        <v>27.152500534057616</v>
      </c>
      <c r="S50" s="201">
        <f t="shared" ca="1" si="201"/>
        <v>30.452500534057616</v>
      </c>
      <c r="T50" s="851">
        <f t="shared" ca="1" si="193"/>
        <v>20.390000152587891</v>
      </c>
      <c r="U50" s="201">
        <f t="shared" ca="1" si="194"/>
        <v>20.79000015258789</v>
      </c>
      <c r="V50" s="206">
        <f t="shared" ca="1" si="195"/>
        <v>21.190000152587888</v>
      </c>
      <c r="W50" s="230">
        <f t="shared" ca="1" si="183"/>
        <v>0.12770375</v>
      </c>
      <c r="X50" s="231">
        <f t="shared" ca="1" si="184"/>
        <v>0.25540750000000001</v>
      </c>
      <c r="Y50" s="232">
        <f t="shared" ca="1" si="185"/>
        <v>0.38311125000000001</v>
      </c>
      <c r="Z50" s="231">
        <f t="shared" ca="1" si="202"/>
        <v>0.12770375</v>
      </c>
      <c r="AA50" s="231">
        <f t="shared" ca="1" si="203"/>
        <v>0.25540750000000001</v>
      </c>
      <c r="AB50" s="232">
        <f t="shared" ca="1" si="204"/>
        <v>0.38311125000000001</v>
      </c>
      <c r="AC50" s="231">
        <f t="shared" ca="1" si="205"/>
        <v>0.12770375</v>
      </c>
      <c r="AD50" s="231">
        <f t="shared" ca="1" si="206"/>
        <v>0.25540750000000001</v>
      </c>
      <c r="AE50" s="232">
        <f t="shared" ca="1" si="14"/>
        <v>0.38311125000000001</v>
      </c>
      <c r="AF50" s="231">
        <f t="shared" ca="1" si="186"/>
        <v>3.2941720000000008E-2</v>
      </c>
      <c r="AG50" s="231">
        <f t="shared" ca="1" si="187"/>
        <v>6.5883440000000015E-2</v>
      </c>
      <c r="AH50" s="232">
        <f t="shared" ca="1" si="188"/>
        <v>9.8825160000000023E-2</v>
      </c>
      <c r="AI50" s="233">
        <f t="shared" ca="1" si="15"/>
        <v>1.25</v>
      </c>
      <c r="AJ50" s="233">
        <f t="shared" ca="1" si="16"/>
        <v>2</v>
      </c>
      <c r="AK50" s="234">
        <f t="shared" ca="1" si="17"/>
        <v>2.75</v>
      </c>
      <c r="AL50" s="919">
        <f t="shared" ca="1" si="18"/>
        <v>1.25</v>
      </c>
      <c r="AM50" s="233">
        <f t="shared" ca="1" si="19"/>
        <v>2</v>
      </c>
      <c r="AN50" s="234">
        <f t="shared" ca="1" si="20"/>
        <v>2.75</v>
      </c>
      <c r="AO50" s="233">
        <f t="shared" ca="1" si="21"/>
        <v>1.25</v>
      </c>
      <c r="AP50" s="233">
        <f t="shared" ca="1" si="22"/>
        <v>2</v>
      </c>
      <c r="AQ50" s="233">
        <f t="shared" ca="1" si="23"/>
        <v>2.75</v>
      </c>
      <c r="AR50" s="919">
        <f t="shared" ca="1" si="24"/>
        <v>0.35</v>
      </c>
      <c r="AS50" s="233">
        <f t="shared" ca="1" si="25"/>
        <v>0.5</v>
      </c>
      <c r="AT50" s="235">
        <f t="shared" ca="1" si="26"/>
        <v>0.7</v>
      </c>
      <c r="AU50" s="946">
        <f t="shared" si="27"/>
        <v>0.5</v>
      </c>
      <c r="AV50" s="13">
        <f t="shared" ca="1" si="28"/>
        <v>22</v>
      </c>
      <c r="AW50" s="210">
        <f t="shared" ca="1" si="29"/>
        <v>4</v>
      </c>
      <c r="AX50" s="210">
        <f t="shared" ca="1" si="30"/>
        <v>4</v>
      </c>
      <c r="AY50" s="210">
        <f t="shared" ca="1" si="31"/>
        <v>1</v>
      </c>
      <c r="AZ50" s="13">
        <f t="shared" ca="1" si="32"/>
        <v>31</v>
      </c>
      <c r="BA50" s="357">
        <f ca="1"/>
        <v>352</v>
      </c>
      <c r="BB50" s="925">
        <f ca="1"/>
        <v>64</v>
      </c>
      <c r="BC50" s="925">
        <f ca="1"/>
        <v>80</v>
      </c>
      <c r="BD50" s="928">
        <f ca="1"/>
        <v>248</v>
      </c>
      <c r="BE50" s="200">
        <f ca="1"/>
        <v>0.99998503923416138</v>
      </c>
      <c r="BF50" s="851">
        <f ca="1"/>
        <v>0.99998503923416138</v>
      </c>
      <c r="BG50" s="851">
        <f ca="1"/>
        <v>0.99998503923416138</v>
      </c>
      <c r="BH50" s="933">
        <f ca="1"/>
        <v>1.0000070855021477</v>
      </c>
      <c r="BI50" s="357">
        <f ca="1"/>
        <v>352</v>
      </c>
      <c r="BJ50" s="925">
        <f ca="1"/>
        <v>64</v>
      </c>
      <c r="BK50" s="925">
        <f ca="1"/>
        <v>80</v>
      </c>
      <c r="BL50" s="928">
        <f ca="1"/>
        <v>248</v>
      </c>
      <c r="BM50" s="200">
        <f ca="1"/>
        <v>0.99998503923416138</v>
      </c>
      <c r="BN50" s="851">
        <f ca="1"/>
        <v>0.99998503923416138</v>
      </c>
      <c r="BO50" s="851">
        <f ca="1"/>
        <v>0.99998503923416138</v>
      </c>
      <c r="BP50" s="933">
        <f ca="1"/>
        <v>1.0000070855021477</v>
      </c>
      <c r="BQ50" s="357">
        <f t="shared" ca="1" si="33"/>
        <v>744</v>
      </c>
      <c r="BR50" s="361">
        <f t="shared" ca="1" si="34"/>
        <v>744</v>
      </c>
      <c r="BS50" s="357">
        <f t="shared" ca="1" si="35"/>
        <v>603.33371467840391</v>
      </c>
      <c r="BT50" s="302">
        <f t="shared" ca="1" si="36"/>
        <v>28.735257573176085</v>
      </c>
      <c r="BU50" s="299">
        <f t="shared" ca="1" si="37"/>
        <v>29.653526344405339</v>
      </c>
      <c r="BV50" s="299">
        <f t="shared" ca="1" si="38"/>
        <v>30.57179511563459</v>
      </c>
      <c r="BW50" s="299">
        <f t="shared" ca="1" si="39"/>
        <v>32.659889647739881</v>
      </c>
      <c r="BX50" s="380">
        <f t="shared" ca="1" si="40"/>
        <v>2.8336755646817249</v>
      </c>
      <c r="BY50" s="363">
        <f t="shared" ca="1" si="41"/>
        <v>285.44820909515886</v>
      </c>
      <c r="BZ50" s="353">
        <f t="shared" ca="1" si="42"/>
        <v>51.899674380937974</v>
      </c>
      <c r="CA50" s="353">
        <f t="shared" ca="1" si="43"/>
        <v>64.874592976172465</v>
      </c>
      <c r="CB50" s="353">
        <f t="shared" ca="1" si="44"/>
        <v>402.22247645226935</v>
      </c>
      <c r="CC50" s="353">
        <f t="shared" ca="1" si="45"/>
        <v>201.11123822613465</v>
      </c>
      <c r="CD50" s="353">
        <f t="shared" ca="1" si="46"/>
        <v>603.33371467840402</v>
      </c>
      <c r="CE50" s="302">
        <f t="shared" ca="1" si="47"/>
        <v>37.449439719319344</v>
      </c>
      <c r="CF50" s="299">
        <f t="shared" ca="1" si="48"/>
        <v>29.248311195615315</v>
      </c>
      <c r="CG50" s="299">
        <f t="shared" ca="1" si="49"/>
        <v>30.452044941327927</v>
      </c>
      <c r="CH50" s="299">
        <f t="shared" ca="1" si="50"/>
        <v>35.26261752626214</v>
      </c>
      <c r="CI50" s="299">
        <f t="shared" ca="1" si="51"/>
        <v>21.190150294379478</v>
      </c>
      <c r="CJ50" s="299">
        <f t="shared" ca="1" si="52"/>
        <v>30.571795115634586</v>
      </c>
      <c r="CK50" s="299">
        <f t="shared" ca="1" si="53"/>
        <v>32.659889647739881</v>
      </c>
      <c r="CL50" s="377">
        <f t="shared" ca="1" si="54"/>
        <v>0.38311125000000001</v>
      </c>
      <c r="CM50" s="305">
        <f t="shared" ca="1" si="55"/>
        <v>0.38311125000000001</v>
      </c>
      <c r="CN50" s="305">
        <f t="shared" ca="1" si="56"/>
        <v>0.38311125000000001</v>
      </c>
      <c r="CO50" s="305">
        <f t="shared" ca="1" si="57"/>
        <v>0.38311125000000001</v>
      </c>
      <c r="CP50" s="305">
        <f t="shared" ca="1" si="58"/>
        <v>9.8825160000000023E-2</v>
      </c>
      <c r="CQ50" s="305">
        <f t="shared" ca="1" si="59"/>
        <v>0.3155739484992125</v>
      </c>
      <c r="CR50" s="775">
        <f t="shared" ca="1" si="60"/>
        <v>0.39811125000000003</v>
      </c>
      <c r="CS50" s="305">
        <f t="shared" ca="1" si="61"/>
        <v>0.39311125000000002</v>
      </c>
      <c r="CT50" s="305">
        <f t="shared" ca="1" si="62"/>
        <v>0.38311125000000001</v>
      </c>
      <c r="CU50" s="305">
        <f t="shared" ca="1" si="63"/>
        <v>0.15882516000000002</v>
      </c>
      <c r="CV50" s="770">
        <f t="shared" ca="1" si="64"/>
        <v>0.3155739484992125</v>
      </c>
      <c r="CW50" s="302">
        <f t="shared" ca="1" si="65"/>
        <v>11.778102369132789</v>
      </c>
      <c r="CX50" s="299">
        <f t="shared" ca="1" si="66"/>
        <v>6.4264810626185689</v>
      </c>
      <c r="CY50" s="299">
        <f t="shared" ca="1" si="67"/>
        <v>6.9216696682973691</v>
      </c>
      <c r="CZ50" s="299">
        <f t="shared" ca="1" si="68"/>
        <v>0.1555947046154138</v>
      </c>
      <c r="DA50" s="774">
        <f t="shared" ca="1" si="69"/>
        <v>5.6281852613202545</v>
      </c>
      <c r="DB50" s="303">
        <f t="shared" ca="1" si="70"/>
        <v>3395.6739206105931</v>
      </c>
      <c r="DC50" s="248">
        <f t="shared" ca="1" si="71"/>
        <v>335.54947891875258</v>
      </c>
      <c r="DD50" s="778">
        <f t="shared" ca="1" si="72"/>
        <v>0</v>
      </c>
      <c r="DE50" s="363">
        <f t="shared" ca="1" si="73"/>
        <v>0.81093241220215584</v>
      </c>
      <c r="DF50" s="378">
        <f t="shared" ca="1" si="74"/>
        <v>-0.13088518151071191</v>
      </c>
      <c r="DG50" s="508">
        <f t="shared" ca="1" si="75"/>
        <v>-0.49759206757497887</v>
      </c>
      <c r="DH50" s="508">
        <f t="shared" ca="1" si="76"/>
        <v>-0.43098926302680723</v>
      </c>
      <c r="DI50" s="508">
        <f t="shared" ca="1" si="77"/>
        <v>-1.7517722126122568</v>
      </c>
      <c r="DJ50" s="508">
        <f t="shared" ca="1" si="78"/>
        <v>-0.38998438745803371</v>
      </c>
      <c r="DK50" s="353">
        <f t="shared" ca="1" si="79"/>
        <v>-210.12550342302404</v>
      </c>
      <c r="DL50" s="781">
        <f t="shared" ca="1" si="80"/>
        <v>12.857350210978062</v>
      </c>
      <c r="DM50" s="303">
        <f t="shared" ca="1" si="81"/>
        <v>10821.644476635416</v>
      </c>
      <c r="DN50" s="508">
        <f t="shared" ca="1" si="82"/>
        <v>0.92289276615961358</v>
      </c>
      <c r="DO50" s="508">
        <f t="shared" ca="1" si="83"/>
        <v>0.77604613915037157</v>
      </c>
      <c r="DP50" s="508">
        <f t="shared" ca="1" si="84"/>
        <v>0.80000745931840667</v>
      </c>
      <c r="DQ50" s="508">
        <f t="shared" ca="1" si="85"/>
        <v>0.58457251366061802</v>
      </c>
      <c r="DR50" s="508">
        <f t="shared" ca="1" si="86"/>
        <v>0.80233917473055438</v>
      </c>
      <c r="DS50" s="353">
        <f t="shared" ca="1" si="87"/>
        <v>8977.9196021891839</v>
      </c>
      <c r="DT50" s="353">
        <f t="shared" ca="1" si="88"/>
        <v>-6345.6573656193614</v>
      </c>
      <c r="DU50" s="380">
        <f t="shared" ca="1" si="189"/>
        <v>2.8336755646817249</v>
      </c>
      <c r="DV50" s="303">
        <f t="shared" ca="1" si="89"/>
        <v>285.44820909515886</v>
      </c>
      <c r="DW50" s="303">
        <f t="shared" ca="1" si="90"/>
        <v>51.899674380937974</v>
      </c>
      <c r="DX50" s="303">
        <f t="shared" ca="1" si="91"/>
        <v>64.874592976172465</v>
      </c>
      <c r="DY50" s="303">
        <f t="shared" ca="1" si="92"/>
        <v>402.22247645226935</v>
      </c>
      <c r="DZ50" s="303">
        <f t="shared" ca="1" si="93"/>
        <v>201.11123822613465</v>
      </c>
      <c r="EA50" s="303">
        <f t="shared" ca="1" si="94"/>
        <v>603.33371467840402</v>
      </c>
      <c r="EB50" s="302">
        <f t="shared" ca="1" si="95"/>
        <v>37.449439719319344</v>
      </c>
      <c r="EC50" s="299">
        <f t="shared" ca="1" si="96"/>
        <v>29.248311195615315</v>
      </c>
      <c r="ED50" s="299">
        <f t="shared" ca="1" si="97"/>
        <v>30.452044941327927</v>
      </c>
      <c r="EE50" s="299">
        <f t="shared" ca="1" si="98"/>
        <v>35.26261752626214</v>
      </c>
      <c r="EF50" s="299">
        <f t="shared" ca="1" si="99"/>
        <v>21.190150294379478</v>
      </c>
      <c r="EG50" s="299">
        <f t="shared" ca="1" si="100"/>
        <v>30.571795115634586</v>
      </c>
      <c r="EH50" s="302">
        <f t="shared" ca="1" si="101"/>
        <v>30</v>
      </c>
      <c r="EI50" s="304">
        <f t="shared" ca="1" si="102"/>
        <v>0.12770375</v>
      </c>
      <c r="EJ50" s="305">
        <f t="shared" ca="1" si="103"/>
        <v>0.12770375</v>
      </c>
      <c r="EK50" s="305">
        <f t="shared" ca="1" si="104"/>
        <v>0.12770375</v>
      </c>
      <c r="EL50" s="305">
        <f t="shared" ca="1" si="105"/>
        <v>0.12770374999999987</v>
      </c>
      <c r="EM50" s="305">
        <f t="shared" ca="1" si="106"/>
        <v>3.2941720000000008E-2</v>
      </c>
      <c r="EN50" s="305">
        <f t="shared" ca="1" si="107"/>
        <v>0.1025601469746604</v>
      </c>
      <c r="EO50" s="305">
        <f t="shared" ca="1" si="108"/>
        <v>0.12770375</v>
      </c>
      <c r="EP50" s="305">
        <f t="shared" ca="1" si="109"/>
        <v>0.12770375</v>
      </c>
      <c r="EQ50" s="305">
        <f t="shared" ca="1" si="110"/>
        <v>0.12770375</v>
      </c>
      <c r="ER50" s="305">
        <f t="shared" ca="1" si="111"/>
        <v>3.2941720000000008E-2</v>
      </c>
      <c r="ES50" s="305">
        <f t="shared" ca="1" si="112"/>
        <v>0.1025601469746604</v>
      </c>
      <c r="ET50" s="299">
        <f t="shared" ca="1" si="113"/>
        <v>1.8098790287833406</v>
      </c>
      <c r="EU50" s="302">
        <f t="shared" ca="1" si="114"/>
        <v>30</v>
      </c>
      <c r="EV50" s="304">
        <f t="shared" ca="1" si="115"/>
        <v>0.38311125000000001</v>
      </c>
      <c r="EW50" s="305">
        <f t="shared" ca="1" si="116"/>
        <v>0.38311125000000001</v>
      </c>
      <c r="EX50" s="305">
        <f t="shared" ca="1" si="117"/>
        <v>0.38311125000000001</v>
      </c>
      <c r="EY50" s="305">
        <f t="shared" ca="1" si="118"/>
        <v>0.38311125000000001</v>
      </c>
      <c r="EZ50" s="305">
        <f t="shared" ca="1" si="119"/>
        <v>9.8825160000000023E-2</v>
      </c>
      <c r="FA50" s="305">
        <f t="shared" ca="1" si="120"/>
        <v>0.3155739484992125</v>
      </c>
      <c r="FB50" s="305">
        <f t="shared" ca="1" si="121"/>
        <v>0.38311125000000001</v>
      </c>
      <c r="FC50" s="305">
        <f t="shared" ca="1" si="122"/>
        <v>0.38311125000000001</v>
      </c>
      <c r="FD50" s="305">
        <f t="shared" ca="1" si="123"/>
        <v>0.38311125000000001</v>
      </c>
      <c r="FE50" s="305">
        <f t="shared" ca="1" si="124"/>
        <v>9.8825160000000023E-2</v>
      </c>
      <c r="FF50" s="305">
        <f t="shared" ca="1" si="125"/>
        <v>0.3155739484992125</v>
      </c>
      <c r="FG50" s="299">
        <f t="shared" ca="1" si="126"/>
        <v>6.6335292433575397</v>
      </c>
      <c r="FH50" s="302">
        <f t="shared" ca="1" si="127"/>
        <v>-4.8236502145741991</v>
      </c>
      <c r="FI50" s="248">
        <f t="shared" ca="1" si="128"/>
        <v>-2910.2708022683323</v>
      </c>
      <c r="FJ50" s="363">
        <f t="shared" ca="1" si="129"/>
        <v>0.81093241220215584</v>
      </c>
      <c r="FK50" s="378">
        <f t="shared" ca="1" si="130"/>
        <v>0.92425842651611789</v>
      </c>
      <c r="FL50" s="508">
        <f t="shared" ca="1" si="131"/>
        <v>-0.22552724811396155</v>
      </c>
      <c r="FM50" s="508">
        <f t="shared" ca="1" si="132"/>
        <v>-3.7913931856464578E-2</v>
      </c>
      <c r="FN50" s="508">
        <f t="shared" ca="1" si="133"/>
        <v>-6.2972497971933912</v>
      </c>
      <c r="FO50" s="508">
        <f t="shared" ca="1" si="134"/>
        <v>2.3037736090642292E-2</v>
      </c>
      <c r="FP50" s="353">
        <f t="shared" ca="1" si="135"/>
        <v>296.12224548736941</v>
      </c>
      <c r="FQ50" s="356">
        <f t="shared" ca="1" si="136"/>
        <v>46.459832946510794</v>
      </c>
      <c r="FR50" s="380">
        <f t="shared" ca="1" si="137"/>
        <v>23.76</v>
      </c>
      <c r="FS50" s="299">
        <f t="shared" ca="1" si="138"/>
        <v>23.76</v>
      </c>
      <c r="FT50" s="299">
        <f t="shared" ca="1" si="139"/>
        <v>23.76</v>
      </c>
      <c r="FU50" s="299">
        <f t="shared" ca="1" si="140"/>
        <v>23.76</v>
      </c>
      <c r="FV50" s="299">
        <f t="shared" ca="1" si="141"/>
        <v>23.76</v>
      </c>
      <c r="FW50" s="850">
        <f t="shared" ca="1" si="142"/>
        <v>0.19550000000000001</v>
      </c>
      <c r="FX50" s="851">
        <f t="shared" ca="1" si="143"/>
        <v>0.5</v>
      </c>
      <c r="FY50" s="851">
        <f t="shared" ca="1" si="144"/>
        <v>0</v>
      </c>
      <c r="FZ50" s="201">
        <f t="shared" ca="1" si="145"/>
        <v>0</v>
      </c>
      <c r="GA50" s="201">
        <f t="shared" ca="1" si="146"/>
        <v>0</v>
      </c>
      <c r="GB50" s="201">
        <f t="shared" ca="1" si="147"/>
        <v>0</v>
      </c>
      <c r="GC50" s="201">
        <f t="shared" ca="1" si="148"/>
        <v>0</v>
      </c>
      <c r="GD50" s="850">
        <f t="shared" ca="1" si="149"/>
        <v>0.39811125000000003</v>
      </c>
      <c r="GE50" s="866">
        <f t="shared" ca="1" si="150"/>
        <v>0.39811125000000003</v>
      </c>
      <c r="GF50" s="866">
        <f t="shared" ca="1" si="151"/>
        <v>0.39811125000000003</v>
      </c>
      <c r="GG50" s="866">
        <f t="shared" ca="1" si="152"/>
        <v>9.8825160000000023E-2</v>
      </c>
      <c r="GH50" s="866">
        <f t="shared" ca="1" si="153"/>
        <v>0.33057394849921251</v>
      </c>
      <c r="GI50" s="302">
        <f t="shared" ca="1" si="154"/>
        <v>15.778204063651728</v>
      </c>
      <c r="GJ50" s="299">
        <f t="shared" ca="1" si="155"/>
        <v>9.1676343417704746</v>
      </c>
      <c r="GK50" s="299">
        <f t="shared" ca="1" si="156"/>
        <v>10.073719874395918</v>
      </c>
      <c r="GL50" s="299">
        <f t="shared" ca="1" si="157"/>
        <v>1.462978582062096</v>
      </c>
      <c r="GM50" s="299">
        <f t="shared" ca="1" si="158"/>
        <v>9.277230429368327</v>
      </c>
      <c r="GN50" s="302">
        <f t="shared" ca="1" si="159"/>
        <v>0.85861455273605258</v>
      </c>
      <c r="GO50" s="299">
        <f t="shared" ca="1" si="160"/>
        <v>0.74159163686625296</v>
      </c>
      <c r="GP50" s="299">
        <f t="shared" ca="1" si="161"/>
        <v>0.76354367874818796</v>
      </c>
      <c r="GQ50" s="299">
        <f t="shared" ca="1" si="162"/>
        <v>0.39777207878422682</v>
      </c>
      <c r="GR50" s="299">
        <f t="shared" ca="1" si="163"/>
        <v>0.77711112943850957</v>
      </c>
      <c r="GS50" s="302">
        <f t="shared" ca="1" si="164"/>
        <v>-0.68924385291052537</v>
      </c>
      <c r="GT50" s="299">
        <f t="shared" ca="1" si="165"/>
        <v>-0.52704841410329517</v>
      </c>
      <c r="GU50" s="299">
        <f t="shared" ca="1" si="166"/>
        <v>-0.5546190248443047</v>
      </c>
      <c r="GV50" s="299">
        <f t="shared" ca="1" si="167"/>
        <v>-0.29317639170696413</v>
      </c>
      <c r="GW50" s="299">
        <f t="shared" ca="1" si="168"/>
        <v>-0.60944668831650339</v>
      </c>
      <c r="GX50" s="303">
        <f t="shared" ca="1" si="169"/>
        <v>4503.8600927073439</v>
      </c>
      <c r="GY50" s="303">
        <f t="shared" ca="1" si="170"/>
        <v>475.79723718139229</v>
      </c>
      <c r="GZ50" s="303">
        <f t="shared" ca="1" si="171"/>
        <v>653.5284766074144</v>
      </c>
      <c r="HA50" s="303">
        <f t="shared" ca="1" si="172"/>
        <v>294.22143413682284</v>
      </c>
      <c r="HB50" s="303">
        <f t="shared" ca="1" si="173"/>
        <v>5597.265896878318</v>
      </c>
      <c r="HC50" s="303">
        <f t="shared" ca="1" si="174"/>
        <v>3907.6260513958405</v>
      </c>
      <c r="HD50" s="303">
        <f t="shared" ca="1" si="175"/>
        <v>284.84156395369115</v>
      </c>
      <c r="HE50" s="303">
        <f t="shared" ca="1" si="176"/>
        <v>434.14369174690307</v>
      </c>
      <c r="HF50" s="303">
        <f t="shared" ca="1" si="177"/>
        <v>0</v>
      </c>
      <c r="HG50" s="852">
        <f t="shared" ca="1" si="178"/>
        <v>4109.7856507440229</v>
      </c>
    </row>
    <row r="51" spans="1:215" x14ac:dyDescent="0.25">
      <c r="A51" s="244">
        <f t="shared" ca="1" si="179"/>
        <v>37653</v>
      </c>
      <c r="B51" s="13">
        <f t="shared" ca="1" si="3"/>
        <v>2003</v>
      </c>
      <c r="C51" s="619">
        <f t="shared" ca="1" si="180"/>
        <v>2</v>
      </c>
      <c r="D51" s="195" t="str">
        <f t="shared" ca="1" si="4"/>
        <v/>
      </c>
      <c r="E51" s="469">
        <f t="shared" ca="1" si="5"/>
        <v>37653</v>
      </c>
      <c r="F51" s="465">
        <f t="shared" ca="1" si="6"/>
        <v>37680</v>
      </c>
      <c r="G51" s="522">
        <f t="shared" ca="1" si="181"/>
        <v>1</v>
      </c>
      <c r="H51" s="519">
        <f t="shared" ca="1" si="182"/>
        <v>1</v>
      </c>
      <c r="I51" s="724">
        <f t="shared" ca="1" si="7"/>
        <v>7.1897450876422006E-2</v>
      </c>
      <c r="J51" s="198">
        <f t="shared" ca="1" si="8"/>
        <v>0.80634639570016642</v>
      </c>
      <c r="K51" s="200">
        <f t="shared" ca="1" si="190"/>
        <v>35.85</v>
      </c>
      <c r="L51" s="201">
        <f t="shared" ca="1" si="191"/>
        <v>36.65</v>
      </c>
      <c r="M51" s="206">
        <f t="shared" ca="1" si="192"/>
        <v>37.450000000000003</v>
      </c>
      <c r="N51" s="851">
        <f t="shared" ca="1" si="196"/>
        <v>27.046250152587888</v>
      </c>
      <c r="O51" s="201">
        <f t="shared" ca="1" si="197"/>
        <v>27.646250152587889</v>
      </c>
      <c r="P51" s="206">
        <f t="shared" ca="1" si="198"/>
        <v>28.246250152587891</v>
      </c>
      <c r="Q51" s="201">
        <f t="shared" ca="1" si="199"/>
        <v>21.847499465942381</v>
      </c>
      <c r="R51" s="201">
        <f t="shared" ca="1" si="200"/>
        <v>25.147499465942381</v>
      </c>
      <c r="S51" s="201">
        <f t="shared" ca="1" si="201"/>
        <v>28.447499465942382</v>
      </c>
      <c r="T51" s="851">
        <f t="shared" ca="1" si="193"/>
        <v>20.199997711181641</v>
      </c>
      <c r="U51" s="201">
        <f t="shared" ca="1" si="194"/>
        <v>20.59999771118164</v>
      </c>
      <c r="V51" s="206">
        <f t="shared" ca="1" si="195"/>
        <v>20.999997711181638</v>
      </c>
      <c r="W51" s="230">
        <f t="shared" ca="1" si="183"/>
        <v>0.12319125</v>
      </c>
      <c r="X51" s="231">
        <f t="shared" ca="1" si="184"/>
        <v>0.2463825</v>
      </c>
      <c r="Y51" s="232">
        <f t="shared" ca="1" si="185"/>
        <v>0.36957375000000003</v>
      </c>
      <c r="Z51" s="231">
        <f t="shared" ca="1" si="202"/>
        <v>0.12319125</v>
      </c>
      <c r="AA51" s="231">
        <f t="shared" ca="1" si="203"/>
        <v>0.2463825</v>
      </c>
      <c r="AB51" s="232">
        <f t="shared" ca="1" si="204"/>
        <v>0.36957375000000003</v>
      </c>
      <c r="AC51" s="231">
        <f t="shared" ca="1" si="205"/>
        <v>0.12319125</v>
      </c>
      <c r="AD51" s="231">
        <f t="shared" ca="1" si="206"/>
        <v>0.2463825</v>
      </c>
      <c r="AE51" s="232">
        <f t="shared" ca="1" si="14"/>
        <v>0.36957375000000003</v>
      </c>
      <c r="AF51" s="231">
        <f t="shared" ca="1" si="186"/>
        <v>3.2941720000000008E-2</v>
      </c>
      <c r="AG51" s="231">
        <f t="shared" ca="1" si="187"/>
        <v>6.5883440000000015E-2</v>
      </c>
      <c r="AH51" s="232">
        <f t="shared" ca="1" si="188"/>
        <v>9.8825160000000023E-2</v>
      </c>
      <c r="AI51" s="233">
        <f t="shared" ca="1" si="15"/>
        <v>1.25</v>
      </c>
      <c r="AJ51" s="233">
        <f t="shared" ca="1" si="16"/>
        <v>2</v>
      </c>
      <c r="AK51" s="234">
        <f t="shared" ca="1" si="17"/>
        <v>2.75</v>
      </c>
      <c r="AL51" s="919">
        <f t="shared" ca="1" si="18"/>
        <v>1.25</v>
      </c>
      <c r="AM51" s="233">
        <f t="shared" ca="1" si="19"/>
        <v>2</v>
      </c>
      <c r="AN51" s="234">
        <f t="shared" ca="1" si="20"/>
        <v>2.75</v>
      </c>
      <c r="AO51" s="233">
        <f t="shared" ca="1" si="21"/>
        <v>1.25</v>
      </c>
      <c r="AP51" s="233">
        <f t="shared" ca="1" si="22"/>
        <v>2</v>
      </c>
      <c r="AQ51" s="233">
        <f t="shared" ca="1" si="23"/>
        <v>2.75</v>
      </c>
      <c r="AR51" s="919">
        <f t="shared" ca="1" si="24"/>
        <v>0.35</v>
      </c>
      <c r="AS51" s="233">
        <f t="shared" ca="1" si="25"/>
        <v>0.5</v>
      </c>
      <c r="AT51" s="235">
        <f t="shared" ca="1" si="26"/>
        <v>0.7</v>
      </c>
      <c r="AU51" s="946">
        <f t="shared" si="27"/>
        <v>0.5</v>
      </c>
      <c r="AV51" s="13">
        <f t="shared" ca="1" si="28"/>
        <v>20</v>
      </c>
      <c r="AW51" s="210">
        <f t="shared" ca="1" si="29"/>
        <v>4</v>
      </c>
      <c r="AX51" s="210">
        <f t="shared" ca="1" si="30"/>
        <v>4</v>
      </c>
      <c r="AY51" s="210">
        <f t="shared" ca="1" si="31"/>
        <v>0</v>
      </c>
      <c r="AZ51" s="13">
        <f t="shared" ca="1" si="32"/>
        <v>28</v>
      </c>
      <c r="BA51" s="357">
        <f ca="1"/>
        <v>320</v>
      </c>
      <c r="BB51" s="925">
        <f ca="1"/>
        <v>64</v>
      </c>
      <c r="BC51" s="925">
        <f ca="1"/>
        <v>64</v>
      </c>
      <c r="BD51" s="928">
        <f ca="1"/>
        <v>224</v>
      </c>
      <c r="BE51" s="200">
        <f ca="1"/>
        <v>0.99998503923416138</v>
      </c>
      <c r="BF51" s="851">
        <f ca="1"/>
        <v>0.99998503923416138</v>
      </c>
      <c r="BG51" s="851">
        <f ca="1"/>
        <v>0.99998503923416138</v>
      </c>
      <c r="BH51" s="933">
        <f ca="1"/>
        <v>1.0000070855021477</v>
      </c>
      <c r="BI51" s="357">
        <f ca="1"/>
        <v>320</v>
      </c>
      <c r="BJ51" s="925">
        <f ca="1"/>
        <v>64</v>
      </c>
      <c r="BK51" s="925">
        <f ca="1"/>
        <v>64</v>
      </c>
      <c r="BL51" s="928">
        <f ca="1"/>
        <v>224</v>
      </c>
      <c r="BM51" s="200">
        <f ca="1"/>
        <v>0.99998503923416138</v>
      </c>
      <c r="BN51" s="851">
        <f ca="1"/>
        <v>0.99998503923416138</v>
      </c>
      <c r="BO51" s="851">
        <f ca="1"/>
        <v>0.99998503923416138</v>
      </c>
      <c r="BP51" s="933">
        <f ca="1"/>
        <v>1.0000070855021477</v>
      </c>
      <c r="BQ51" s="357">
        <f t="shared" ca="1" si="33"/>
        <v>672</v>
      </c>
      <c r="BR51" s="361">
        <f t="shared" ca="1" si="34"/>
        <v>672</v>
      </c>
      <c r="BS51" s="357">
        <f t="shared" ca="1" si="35"/>
        <v>541.86477791051186</v>
      </c>
      <c r="BT51" s="302">
        <f t="shared" ca="1" si="36"/>
        <v>28.46103136641862</v>
      </c>
      <c r="BU51" s="299">
        <f t="shared" ca="1" si="37"/>
        <v>29.346735340671277</v>
      </c>
      <c r="BV51" s="299">
        <f t="shared" ca="1" si="38"/>
        <v>30.23243931492393</v>
      </c>
      <c r="BW51" s="299">
        <f t="shared" ca="1" si="39"/>
        <v>32.659889647739881</v>
      </c>
      <c r="BX51" s="380">
        <f t="shared" ca="1" si="40"/>
        <v>2.9185489390828199</v>
      </c>
      <c r="BY51" s="363">
        <f t="shared" ca="1" si="41"/>
        <v>258.03084662405325</v>
      </c>
      <c r="BZ51" s="353">
        <f t="shared" ca="1" si="42"/>
        <v>51.606169324810651</v>
      </c>
      <c r="CA51" s="353">
        <f t="shared" ca="1" si="43"/>
        <v>51.606169324810651</v>
      </c>
      <c r="CB51" s="353">
        <f t="shared" ca="1" si="44"/>
        <v>361.24318527367456</v>
      </c>
      <c r="CC51" s="353">
        <f t="shared" ca="1" si="45"/>
        <v>180.62159263683728</v>
      </c>
      <c r="CD51" s="353">
        <f t="shared" ca="1" si="46"/>
        <v>541.86477791051186</v>
      </c>
      <c r="CE51" s="302">
        <f t="shared" ca="1" si="47"/>
        <v>37.449439719319344</v>
      </c>
      <c r="CF51" s="299">
        <f t="shared" ca="1" si="48"/>
        <v>28.245827567053539</v>
      </c>
      <c r="CG51" s="299">
        <f t="shared" ca="1" si="49"/>
        <v>28.447073869564178</v>
      </c>
      <c r="CH51" s="299">
        <f t="shared" ca="1" si="50"/>
        <v>34.848585719030638</v>
      </c>
      <c r="CI51" s="299">
        <f t="shared" ca="1" si="51"/>
        <v>21.000146506710522</v>
      </c>
      <c r="CJ51" s="299">
        <f t="shared" ca="1" si="52"/>
        <v>30.232439314923933</v>
      </c>
      <c r="CK51" s="299">
        <f t="shared" ca="1" si="53"/>
        <v>32.659889647739881</v>
      </c>
      <c r="CL51" s="377">
        <f t="shared" ca="1" si="54"/>
        <v>0.36957375000000003</v>
      </c>
      <c r="CM51" s="305">
        <f t="shared" ca="1" si="55"/>
        <v>0.36957375000000003</v>
      </c>
      <c r="CN51" s="305">
        <f t="shared" ca="1" si="56"/>
        <v>0.36957375000000003</v>
      </c>
      <c r="CO51" s="305">
        <f t="shared" ca="1" si="57"/>
        <v>0.36957374999999998</v>
      </c>
      <c r="CP51" s="305">
        <f t="shared" ca="1" si="58"/>
        <v>9.8825160000000023E-2</v>
      </c>
      <c r="CQ51" s="305">
        <f t="shared" ca="1" si="59"/>
        <v>0.30428494170361076</v>
      </c>
      <c r="CR51" s="775">
        <f t="shared" ca="1" si="60"/>
        <v>0.38457375000000005</v>
      </c>
      <c r="CS51" s="305">
        <f t="shared" ca="1" si="61"/>
        <v>0.38457375000000005</v>
      </c>
      <c r="CT51" s="305">
        <f t="shared" ca="1" si="62"/>
        <v>0.38457375000000005</v>
      </c>
      <c r="CU51" s="305">
        <f t="shared" ca="1" si="63"/>
        <v>0.15882516000000002</v>
      </c>
      <c r="CV51" s="770">
        <f t="shared" ca="1" si="64"/>
        <v>0.30428494170361076</v>
      </c>
      <c r="CW51" s="302">
        <f t="shared" ca="1" si="65"/>
        <v>11.607918478724727</v>
      </c>
      <c r="CX51" s="299">
        <f t="shared" ca="1" si="66"/>
        <v>5.8170636107511164</v>
      </c>
      <c r="CY51" s="299">
        <f t="shared" ca="1" si="67"/>
        <v>5.9267309296229058</v>
      </c>
      <c r="CZ51" s="299">
        <f t="shared" ca="1" si="68"/>
        <v>0.15365959574304089</v>
      </c>
      <c r="DA51" s="774">
        <f t="shared" ca="1" si="69"/>
        <v>5.30441176316236</v>
      </c>
      <c r="DB51" s="303">
        <f t="shared" ca="1" si="70"/>
        <v>2874.273901991879</v>
      </c>
      <c r="DC51" s="248">
        <f t="shared" ca="1" si="71"/>
        <v>294.95260307843927</v>
      </c>
      <c r="DD51" s="778">
        <f t="shared" ca="1" si="72"/>
        <v>0</v>
      </c>
      <c r="DE51" s="363">
        <f t="shared" ca="1" si="73"/>
        <v>0.80634639570016642</v>
      </c>
      <c r="DF51" s="378">
        <f t="shared" ca="1" si="74"/>
        <v>-0.12021101778383306</v>
      </c>
      <c r="DG51" s="508">
        <f t="shared" ca="1" si="75"/>
        <v>-0.54950699258810887</v>
      </c>
      <c r="DH51" s="508">
        <f t="shared" ca="1" si="76"/>
        <v>-0.53870091905294792</v>
      </c>
      <c r="DI51" s="508">
        <f t="shared" ca="1" si="77"/>
        <v>-1.7632537505931589</v>
      </c>
      <c r="DJ51" s="508">
        <f t="shared" ca="1" si="78"/>
        <v>-0.40848772441533693</v>
      </c>
      <c r="DK51" s="353">
        <f t="shared" ca="1" si="79"/>
        <v>-185.02398848150258</v>
      </c>
      <c r="DL51" s="781">
        <f t="shared" ca="1" si="80"/>
        <v>11.71355811641156</v>
      </c>
      <c r="DM51" s="303">
        <f t="shared" ca="1" si="81"/>
        <v>9692.7593838758294</v>
      </c>
      <c r="DN51" s="508">
        <f t="shared" ca="1" si="82"/>
        <v>0.93421247071438884</v>
      </c>
      <c r="DO51" s="508">
        <f t="shared" ca="1" si="83"/>
        <v>0.76909999657658934</v>
      </c>
      <c r="DP51" s="508">
        <f t="shared" ca="1" si="84"/>
        <v>0.77325614441356549</v>
      </c>
      <c r="DQ51" s="508">
        <f t="shared" ca="1" si="85"/>
        <v>0.59557498747666171</v>
      </c>
      <c r="DR51" s="508">
        <f t="shared" ca="1" si="86"/>
        <v>0.80889014854687236</v>
      </c>
      <c r="DS51" s="353">
        <f t="shared" ca="1" si="87"/>
        <v>8049.663034154185</v>
      </c>
      <c r="DT51" s="353">
        <f t="shared" ca="1" si="88"/>
        <v>-5856.2900254610131</v>
      </c>
      <c r="DU51" s="380">
        <f t="shared" ca="1" si="189"/>
        <v>2.9185489390828199</v>
      </c>
      <c r="DV51" s="303">
        <f t="shared" ca="1" si="89"/>
        <v>258.03084662405325</v>
      </c>
      <c r="DW51" s="303">
        <f t="shared" ca="1" si="90"/>
        <v>51.606169324810651</v>
      </c>
      <c r="DX51" s="303">
        <f t="shared" ca="1" si="91"/>
        <v>51.606169324810651</v>
      </c>
      <c r="DY51" s="303">
        <f t="shared" ca="1" si="92"/>
        <v>361.24318527367456</v>
      </c>
      <c r="DZ51" s="303">
        <f t="shared" ca="1" si="93"/>
        <v>180.62159263683728</v>
      </c>
      <c r="EA51" s="303">
        <f t="shared" ca="1" si="94"/>
        <v>541.86477791051186</v>
      </c>
      <c r="EB51" s="302">
        <f t="shared" ca="1" si="95"/>
        <v>37.449439719319344</v>
      </c>
      <c r="EC51" s="299">
        <f t="shared" ca="1" si="96"/>
        <v>28.245827567053539</v>
      </c>
      <c r="ED51" s="299">
        <f t="shared" ca="1" si="97"/>
        <v>28.447073869564178</v>
      </c>
      <c r="EE51" s="299">
        <f t="shared" ca="1" si="98"/>
        <v>34.848585719030638</v>
      </c>
      <c r="EF51" s="299">
        <f t="shared" ca="1" si="99"/>
        <v>21.000146506710522</v>
      </c>
      <c r="EG51" s="299">
        <f t="shared" ca="1" si="100"/>
        <v>30.232439314923933</v>
      </c>
      <c r="EH51" s="302">
        <f t="shared" ca="1" si="101"/>
        <v>30</v>
      </c>
      <c r="EI51" s="304">
        <f t="shared" ca="1" si="102"/>
        <v>0.12319125</v>
      </c>
      <c r="EJ51" s="305">
        <f t="shared" ca="1" si="103"/>
        <v>0.12319125</v>
      </c>
      <c r="EK51" s="305">
        <f t="shared" ca="1" si="104"/>
        <v>0.12319125</v>
      </c>
      <c r="EL51" s="305">
        <f t="shared" ca="1" si="105"/>
        <v>0.12319125</v>
      </c>
      <c r="EM51" s="305">
        <f t="shared" ca="1" si="106"/>
        <v>3.2941720000000008E-2</v>
      </c>
      <c r="EN51" s="305">
        <f t="shared" ca="1" si="107"/>
        <v>9.9016224118438786E-2</v>
      </c>
      <c r="EO51" s="305">
        <f t="shared" ca="1" si="108"/>
        <v>0.12319125</v>
      </c>
      <c r="EP51" s="305">
        <f t="shared" ca="1" si="109"/>
        <v>0.12319125</v>
      </c>
      <c r="EQ51" s="305">
        <f t="shared" ca="1" si="110"/>
        <v>0.12319125</v>
      </c>
      <c r="ER51" s="305">
        <f t="shared" ca="1" si="111"/>
        <v>3.2941720000000008E-2</v>
      </c>
      <c r="ES51" s="305">
        <f t="shared" ca="1" si="112"/>
        <v>9.9016224118438786E-2</v>
      </c>
      <c r="ET51" s="299">
        <f t="shared" ca="1" si="113"/>
        <v>1.915829251477966</v>
      </c>
      <c r="EU51" s="302">
        <f t="shared" ca="1" si="114"/>
        <v>30</v>
      </c>
      <c r="EV51" s="304">
        <f t="shared" ca="1" si="115"/>
        <v>0.36957375000000003</v>
      </c>
      <c r="EW51" s="305">
        <f t="shared" ca="1" si="116"/>
        <v>0.36957375000000003</v>
      </c>
      <c r="EX51" s="305">
        <f t="shared" ca="1" si="117"/>
        <v>0.36957375000000003</v>
      </c>
      <c r="EY51" s="305">
        <f t="shared" ca="1" si="118"/>
        <v>0.36957374999999998</v>
      </c>
      <c r="EZ51" s="305">
        <f t="shared" ca="1" si="119"/>
        <v>9.8825160000000023E-2</v>
      </c>
      <c r="FA51" s="305">
        <f t="shared" ca="1" si="120"/>
        <v>0.30428494170361076</v>
      </c>
      <c r="FB51" s="305">
        <f t="shared" ca="1" si="121"/>
        <v>0.36957375000000003</v>
      </c>
      <c r="FC51" s="305">
        <f t="shared" ca="1" si="122"/>
        <v>0.36957375000000003</v>
      </c>
      <c r="FD51" s="305">
        <f t="shared" ca="1" si="123"/>
        <v>0.36957375000000003</v>
      </c>
      <c r="FE51" s="305">
        <f t="shared" ca="1" si="124"/>
        <v>9.8825160000000023E-2</v>
      </c>
      <c r="FF51" s="305">
        <f t="shared" ca="1" si="125"/>
        <v>0.30428494170361076</v>
      </c>
      <c r="FG51" s="299">
        <f t="shared" ca="1" si="126"/>
        <v>6.2928707578856855</v>
      </c>
      <c r="FH51" s="302">
        <f t="shared" ca="1" si="127"/>
        <v>-4.3770415064077195</v>
      </c>
      <c r="FI51" s="248">
        <f t="shared" ca="1" si="128"/>
        <v>-2371.7646237747113</v>
      </c>
      <c r="FJ51" s="363">
        <f t="shared" ca="1" si="129"/>
        <v>0.80634639570016642</v>
      </c>
      <c r="FK51" s="378">
        <f t="shared" ca="1" si="130"/>
        <v>0.94864179442142638</v>
      </c>
      <c r="FL51" s="508">
        <f t="shared" ca="1" si="131"/>
        <v>-0.39151802123419766</v>
      </c>
      <c r="FM51" s="508">
        <f t="shared" ca="1" si="132"/>
        <v>-0.35778403264172287</v>
      </c>
      <c r="FN51" s="508">
        <f t="shared" ca="1" si="133"/>
        <v>-6.3658773541983331</v>
      </c>
      <c r="FO51" s="508">
        <f t="shared" ca="1" si="134"/>
        <v>-3.8951526305598824E-2</v>
      </c>
      <c r="FP51" s="353">
        <f t="shared" ca="1" si="135"/>
        <v>279.35055274946353</v>
      </c>
      <c r="FQ51" s="356">
        <f t="shared" ca="1" si="136"/>
        <v>42.56578089331903</v>
      </c>
      <c r="FR51" s="380">
        <f t="shared" ca="1" si="137"/>
        <v>22.816000000000003</v>
      </c>
      <c r="FS51" s="299">
        <f t="shared" ca="1" si="138"/>
        <v>22.816000000000003</v>
      </c>
      <c r="FT51" s="299">
        <f t="shared" ca="1" si="139"/>
        <v>22.816000000000003</v>
      </c>
      <c r="FU51" s="299">
        <f t="shared" ca="1" si="140"/>
        <v>22.816000000000003</v>
      </c>
      <c r="FV51" s="299">
        <f t="shared" ca="1" si="141"/>
        <v>22.815999999999999</v>
      </c>
      <c r="FW51" s="850">
        <f t="shared" ca="1" si="142"/>
        <v>0.19400000000000001</v>
      </c>
      <c r="FX51" s="851">
        <f t="shared" ca="1" si="143"/>
        <v>0.5</v>
      </c>
      <c r="FY51" s="851">
        <f t="shared" ca="1" si="144"/>
        <v>0</v>
      </c>
      <c r="FZ51" s="201">
        <f t="shared" ca="1" si="145"/>
        <v>0</v>
      </c>
      <c r="GA51" s="201">
        <f t="shared" ca="1" si="146"/>
        <v>0</v>
      </c>
      <c r="GB51" s="201">
        <f t="shared" ca="1" si="147"/>
        <v>0</v>
      </c>
      <c r="GC51" s="201">
        <f t="shared" ca="1" si="148"/>
        <v>0</v>
      </c>
      <c r="GD51" s="850">
        <f t="shared" ca="1" si="149"/>
        <v>0.38457375000000005</v>
      </c>
      <c r="GE51" s="866">
        <f t="shared" ca="1" si="150"/>
        <v>0.38457375000000005</v>
      </c>
      <c r="GF51" s="866">
        <f t="shared" ca="1" si="151"/>
        <v>0.38457375000000005</v>
      </c>
      <c r="GG51" s="866">
        <f t="shared" ca="1" si="152"/>
        <v>9.8825160000000023E-2</v>
      </c>
      <c r="GH51" s="866">
        <f t="shared" ca="1" si="153"/>
        <v>0.31928494170361077</v>
      </c>
      <c r="GI51" s="302">
        <f t="shared" ca="1" si="154"/>
        <v>16.352130862953892</v>
      </c>
      <c r="GJ51" s="299">
        <f t="shared" ca="1" si="155"/>
        <v>8.8183653593036855</v>
      </c>
      <c r="GK51" s="299">
        <f t="shared" ca="1" si="156"/>
        <v>8.9687517100748071</v>
      </c>
      <c r="GL51" s="299">
        <f t="shared" ca="1" si="157"/>
        <v>1.6950773979194054</v>
      </c>
      <c r="GM51" s="299">
        <f t="shared" ca="1" si="158"/>
        <v>9.5230818185788966</v>
      </c>
      <c r="GN51" s="302">
        <f t="shared" ca="1" si="159"/>
        <v>0.87603578875249744</v>
      </c>
      <c r="GO51" s="299">
        <f t="shared" ca="1" si="160"/>
        <v>0.74527495782192299</v>
      </c>
      <c r="GP51" s="299">
        <f t="shared" ca="1" si="161"/>
        <v>0.74926284501612983</v>
      </c>
      <c r="GQ51" s="299">
        <f t="shared" ca="1" si="162"/>
        <v>0.44219579495908573</v>
      </c>
      <c r="GR51" s="299">
        <f t="shared" ca="1" si="163"/>
        <v>0.79652673760230563</v>
      </c>
      <c r="GS51" s="302">
        <f t="shared" ca="1" si="164"/>
        <v>-0.72120098077427242</v>
      </c>
      <c r="GT51" s="299">
        <f t="shared" ca="1" si="165"/>
        <v>-0.53613887523500081</v>
      </c>
      <c r="GU51" s="299">
        <f t="shared" ca="1" si="166"/>
        <v>-0.54109334874654114</v>
      </c>
      <c r="GV51" s="299">
        <f t="shared" ca="1" si="167"/>
        <v>-0.33270940750412709</v>
      </c>
      <c r="GW51" s="299">
        <f t="shared" ca="1" si="168"/>
        <v>-0.63805498235353053</v>
      </c>
      <c r="GX51" s="303">
        <f t="shared" ca="1" si="169"/>
        <v>4219.3541706753031</v>
      </c>
      <c r="GY51" s="303">
        <f t="shared" ca="1" si="170"/>
        <v>455.08205590027069</v>
      </c>
      <c r="GZ51" s="303">
        <f t="shared" ca="1" si="171"/>
        <v>462.84291938230558</v>
      </c>
      <c r="HA51" s="303">
        <f t="shared" ca="1" si="172"/>
        <v>306.16757925490896</v>
      </c>
      <c r="HB51" s="303">
        <f t="shared" ca="1" si="173"/>
        <v>5160.222614647887</v>
      </c>
      <c r="HC51" s="303">
        <f t="shared" ca="1" si="174"/>
        <v>3775.8788397980179</v>
      </c>
      <c r="HD51" s="303">
        <f t="shared" ca="1" si="175"/>
        <v>280.21260082988942</v>
      </c>
      <c r="HE51" s="303">
        <f t="shared" ca="1" si="176"/>
        <v>290.59815159324557</v>
      </c>
      <c r="HF51" s="303">
        <f t="shared" ca="1" si="177"/>
        <v>0</v>
      </c>
      <c r="HG51" s="852">
        <f t="shared" ca="1" si="178"/>
        <v>4018.7072422680467</v>
      </c>
    </row>
    <row r="52" spans="1:215" x14ac:dyDescent="0.25">
      <c r="A52" s="244">
        <f t="shared" ca="1" si="179"/>
        <v>37681</v>
      </c>
      <c r="B52" s="13">
        <f t="shared" ca="1" si="3"/>
        <v>2003</v>
      </c>
      <c r="C52" s="619">
        <f t="shared" ca="1" si="180"/>
        <v>3</v>
      </c>
      <c r="D52" s="195" t="str">
        <f t="shared" ca="1" si="4"/>
        <v/>
      </c>
      <c r="E52" s="469">
        <f t="shared" ca="1" si="5"/>
        <v>37681</v>
      </c>
      <c r="F52" s="465">
        <f t="shared" ca="1" si="6"/>
        <v>37711</v>
      </c>
      <c r="G52" s="522">
        <f t="shared" ca="1" si="181"/>
        <v>1</v>
      </c>
      <c r="H52" s="519">
        <f t="shared" ca="1" si="182"/>
        <v>1</v>
      </c>
      <c r="I52" s="724">
        <f t="shared" ca="1" si="7"/>
        <v>7.1978212507014E-2</v>
      </c>
      <c r="J52" s="198">
        <f t="shared" ca="1" si="8"/>
        <v>0.8013310793992765</v>
      </c>
      <c r="K52" s="200">
        <f t="shared" ca="1" si="190"/>
        <v>32.4</v>
      </c>
      <c r="L52" s="201">
        <f t="shared" ca="1" si="191"/>
        <v>32.9</v>
      </c>
      <c r="M52" s="206">
        <f t="shared" ca="1" si="192"/>
        <v>33.4</v>
      </c>
      <c r="N52" s="851">
        <f t="shared" ca="1" si="196"/>
        <v>20.459749603271483</v>
      </c>
      <c r="O52" s="201">
        <f t="shared" ca="1" si="197"/>
        <v>20.834749603271483</v>
      </c>
      <c r="P52" s="206">
        <f t="shared" ca="1" si="198"/>
        <v>21.209749603271483</v>
      </c>
      <c r="Q52" s="201">
        <f t="shared" ca="1" si="199"/>
        <v>17.164498901367185</v>
      </c>
      <c r="R52" s="201">
        <f t="shared" ca="1" si="200"/>
        <v>20.464498901367186</v>
      </c>
      <c r="S52" s="201">
        <f t="shared" ca="1" si="201"/>
        <v>23.764498901367187</v>
      </c>
      <c r="T52" s="851">
        <f t="shared" ca="1" si="193"/>
        <v>19.349999618530273</v>
      </c>
      <c r="U52" s="201">
        <f t="shared" ca="1" si="194"/>
        <v>19.599999618530273</v>
      </c>
      <c r="V52" s="206">
        <f t="shared" ca="1" si="195"/>
        <v>19.849999618530273</v>
      </c>
      <c r="W52" s="230">
        <f t="shared" ca="1" si="183"/>
        <v>0.11990840625000002</v>
      </c>
      <c r="X52" s="231">
        <f t="shared" ca="1" si="184"/>
        <v>0.23981681250000003</v>
      </c>
      <c r="Y52" s="232">
        <f t="shared" ca="1" si="185"/>
        <v>0.35972521875000008</v>
      </c>
      <c r="Z52" s="231">
        <f t="shared" ca="1" si="202"/>
        <v>0.11990840625000002</v>
      </c>
      <c r="AA52" s="231">
        <f t="shared" ca="1" si="203"/>
        <v>0.23981681250000003</v>
      </c>
      <c r="AB52" s="232">
        <f t="shared" ca="1" si="204"/>
        <v>0.35972521875000008</v>
      </c>
      <c r="AC52" s="231">
        <f t="shared" ca="1" si="205"/>
        <v>0.11990840625000002</v>
      </c>
      <c r="AD52" s="231">
        <f t="shared" ca="1" si="206"/>
        <v>0.23981681250000003</v>
      </c>
      <c r="AE52" s="232">
        <f t="shared" ca="1" si="14"/>
        <v>0.35972521875000008</v>
      </c>
      <c r="AF52" s="231">
        <f t="shared" ca="1" si="186"/>
        <v>2.8235759999999995E-2</v>
      </c>
      <c r="AG52" s="231">
        <f t="shared" ca="1" si="187"/>
        <v>5.647151999999999E-2</v>
      </c>
      <c r="AH52" s="232">
        <f t="shared" ca="1" si="188"/>
        <v>8.4707279999999982E-2</v>
      </c>
      <c r="AI52" s="233">
        <f t="shared" ca="1" si="15"/>
        <v>1.05</v>
      </c>
      <c r="AJ52" s="233">
        <f t="shared" ca="1" si="16"/>
        <v>1.3</v>
      </c>
      <c r="AK52" s="234">
        <f t="shared" ca="1" si="17"/>
        <v>1.6</v>
      </c>
      <c r="AL52" s="919">
        <f t="shared" ca="1" si="18"/>
        <v>1.05</v>
      </c>
      <c r="AM52" s="233">
        <f t="shared" ca="1" si="19"/>
        <v>1.3</v>
      </c>
      <c r="AN52" s="234">
        <f t="shared" ca="1" si="20"/>
        <v>1.6</v>
      </c>
      <c r="AO52" s="233">
        <f t="shared" ca="1" si="21"/>
        <v>1.05</v>
      </c>
      <c r="AP52" s="233">
        <f t="shared" ca="1" si="22"/>
        <v>1.3</v>
      </c>
      <c r="AQ52" s="233">
        <f t="shared" ca="1" si="23"/>
        <v>1.6</v>
      </c>
      <c r="AR52" s="919">
        <f t="shared" ca="1" si="24"/>
        <v>0.19999999999999998</v>
      </c>
      <c r="AS52" s="233">
        <f t="shared" ca="1" si="25"/>
        <v>0.35</v>
      </c>
      <c r="AT52" s="235">
        <f t="shared" ca="1" si="26"/>
        <v>0.55000000000000004</v>
      </c>
      <c r="AU52" s="946">
        <f t="shared" si="27"/>
        <v>0.5</v>
      </c>
      <c r="AV52" s="13">
        <f t="shared" ca="1" si="28"/>
        <v>21</v>
      </c>
      <c r="AW52" s="210">
        <f t="shared" ca="1" si="29"/>
        <v>5</v>
      </c>
      <c r="AX52" s="210">
        <f t="shared" ca="1" si="30"/>
        <v>5</v>
      </c>
      <c r="AY52" s="210">
        <f t="shared" ca="1" si="31"/>
        <v>0</v>
      </c>
      <c r="AZ52" s="13">
        <f t="shared" ca="1" si="32"/>
        <v>31</v>
      </c>
      <c r="BA52" s="357">
        <f ca="1"/>
        <v>336</v>
      </c>
      <c r="BB52" s="925">
        <f ca="1"/>
        <v>80</v>
      </c>
      <c r="BC52" s="925">
        <f ca="1"/>
        <v>80</v>
      </c>
      <c r="BD52" s="928">
        <f ca="1"/>
        <v>248</v>
      </c>
      <c r="BE52" s="200">
        <f ca="1"/>
        <v>0.99999375641345978</v>
      </c>
      <c r="BF52" s="851">
        <f ca="1"/>
        <v>0.99999375641345978</v>
      </c>
      <c r="BG52" s="851">
        <f ca="1"/>
        <v>0.99999375641345978</v>
      </c>
      <c r="BH52" s="933">
        <f ca="1"/>
        <v>0.99999988824129105</v>
      </c>
      <c r="BI52" s="357">
        <f ca="1"/>
        <v>336</v>
      </c>
      <c r="BJ52" s="925">
        <f ca="1"/>
        <v>80</v>
      </c>
      <c r="BK52" s="925">
        <f ca="1"/>
        <v>80</v>
      </c>
      <c r="BL52" s="928">
        <f ca="1"/>
        <v>248</v>
      </c>
      <c r="BM52" s="200">
        <f ca="1"/>
        <v>0.99999375641345978</v>
      </c>
      <c r="BN52" s="851">
        <f ca="1"/>
        <v>0.99999375641345978</v>
      </c>
      <c r="BO52" s="851">
        <f ca="1"/>
        <v>0.99999375641345978</v>
      </c>
      <c r="BP52" s="933">
        <f ca="1"/>
        <v>0.99999988824129105</v>
      </c>
      <c r="BQ52" s="357">
        <f t="shared" ca="1" si="33"/>
        <v>744</v>
      </c>
      <c r="BR52" s="361">
        <f t="shared" ca="1" si="34"/>
        <v>744</v>
      </c>
      <c r="BS52" s="357">
        <f t="shared" ca="1" si="35"/>
        <v>596.19032307306168</v>
      </c>
      <c r="BT52" s="302">
        <f t="shared" ca="1" si="36"/>
        <v>25.12775871835791</v>
      </c>
      <c r="BU52" s="299">
        <f t="shared" ca="1" si="37"/>
        <v>25.832055907247664</v>
      </c>
      <c r="BV52" s="299">
        <f t="shared" ca="1" si="38"/>
        <v>26.536353096137422</v>
      </c>
      <c r="BW52" s="299">
        <f t="shared" ca="1" si="39"/>
        <v>32.659889647739881</v>
      </c>
      <c r="BX52" s="380">
        <f t="shared" ca="1" si="40"/>
        <v>2.9952087611225187</v>
      </c>
      <c r="BY52" s="363">
        <f t="shared" ca="1" si="41"/>
        <v>269.24724267815691</v>
      </c>
      <c r="BZ52" s="353">
        <f t="shared" ca="1" si="42"/>
        <v>64.106486351942124</v>
      </c>
      <c r="CA52" s="353">
        <f t="shared" ca="1" si="43"/>
        <v>64.106486351942124</v>
      </c>
      <c r="CB52" s="353">
        <f t="shared" ca="1" si="44"/>
        <v>397.46021538204116</v>
      </c>
      <c r="CC52" s="353">
        <f t="shared" ca="1" si="45"/>
        <v>198.73010769102058</v>
      </c>
      <c r="CD52" s="353">
        <f t="shared" ca="1" si="46"/>
        <v>596.19032307306179</v>
      </c>
      <c r="CE52" s="302">
        <f t="shared" ca="1" si="47"/>
        <v>33.399791464209557</v>
      </c>
      <c r="CF52" s="299">
        <f t="shared" ca="1" si="48"/>
        <v>21.20961717836434</v>
      </c>
      <c r="CG52" s="299">
        <f t="shared" ca="1" si="49"/>
        <v>23.764350525661712</v>
      </c>
      <c r="CH52" s="299">
        <f t="shared" ca="1" si="50"/>
        <v>29.879530944146161</v>
      </c>
      <c r="CI52" s="299">
        <f t="shared" ca="1" si="51"/>
        <v>19.849997400119943</v>
      </c>
      <c r="CJ52" s="299">
        <f t="shared" ca="1" si="52"/>
        <v>26.536353096137422</v>
      </c>
      <c r="CK52" s="299">
        <f t="shared" ca="1" si="53"/>
        <v>32.659889647739881</v>
      </c>
      <c r="CL52" s="377">
        <f t="shared" ca="1" si="54"/>
        <v>0.35972521875000008</v>
      </c>
      <c r="CM52" s="305">
        <f t="shared" ca="1" si="55"/>
        <v>0.35972521875000008</v>
      </c>
      <c r="CN52" s="305">
        <f t="shared" ca="1" si="56"/>
        <v>0.35972521875000008</v>
      </c>
      <c r="CO52" s="305">
        <f t="shared" ca="1" si="57"/>
        <v>0.35972521875000008</v>
      </c>
      <c r="CP52" s="305">
        <f t="shared" ca="1" si="58"/>
        <v>8.4707279999999982E-2</v>
      </c>
      <c r="CQ52" s="305">
        <f t="shared" ca="1" si="59"/>
        <v>0.28961084132940756</v>
      </c>
      <c r="CR52" s="775">
        <f t="shared" ca="1" si="60"/>
        <v>0.35972521875000008</v>
      </c>
      <c r="CS52" s="305">
        <f t="shared" ca="1" si="61"/>
        <v>0.41972521875000007</v>
      </c>
      <c r="CT52" s="305">
        <f t="shared" ca="1" si="62"/>
        <v>0.39972521875000006</v>
      </c>
      <c r="CU52" s="305">
        <f t="shared" ca="1" si="63"/>
        <v>0.14470727999999999</v>
      </c>
      <c r="CV52" s="770">
        <f t="shared" ca="1" si="64"/>
        <v>0.31461084132940759</v>
      </c>
      <c r="CW52" s="302">
        <f t="shared" ca="1" si="65"/>
        <v>8.4479607042297928</v>
      </c>
      <c r="CX52" s="299">
        <f t="shared" ca="1" si="66"/>
        <v>3.1420186099121699</v>
      </c>
      <c r="CY52" s="299">
        <f t="shared" ca="1" si="67"/>
        <v>3.9392168243207166</v>
      </c>
      <c r="CZ52" s="299">
        <f t="shared" ca="1" si="68"/>
        <v>5.5525054261238216E-2</v>
      </c>
      <c r="DA52" s="774">
        <f t="shared" ca="1" si="69"/>
        <v>3.7320433319698818</v>
      </c>
      <c r="DB52" s="303">
        <f t="shared" ca="1" si="70"/>
        <v>2225.0081198097896</v>
      </c>
      <c r="DC52" s="248">
        <f t="shared" ca="1" si="71"/>
        <v>272.19941018340717</v>
      </c>
      <c r="DD52" s="778">
        <f t="shared" ca="1" si="72"/>
        <v>0</v>
      </c>
      <c r="DE52" s="363">
        <f t="shared" ca="1" si="73"/>
        <v>0.8013310793992765</v>
      </c>
      <c r="DF52" s="378">
        <f t="shared" ca="1" si="74"/>
        <v>-0.27529897899185801</v>
      </c>
      <c r="DG52" s="508">
        <f t="shared" ca="1" si="75"/>
        <v>-0.95748953185114338</v>
      </c>
      <c r="DH52" s="508">
        <f t="shared" ca="1" si="76"/>
        <v>-0.80551566512780215</v>
      </c>
      <c r="DI52" s="508">
        <f t="shared" ca="1" si="77"/>
        <v>-2.1134949609907405</v>
      </c>
      <c r="DJ52" s="508">
        <f t="shared" ca="1" si="78"/>
        <v>-0.65357884771097963</v>
      </c>
      <c r="DK52" s="353">
        <f t="shared" ca="1" si="79"/>
        <v>-153.03700017582852</v>
      </c>
      <c r="DL52" s="781">
        <f t="shared" ca="1" si="80"/>
        <v>10.802778153927338</v>
      </c>
      <c r="DM52" s="303">
        <f t="shared" ca="1" si="81"/>
        <v>9053.3466077417452</v>
      </c>
      <c r="DN52" s="508">
        <f t="shared" ca="1" si="82"/>
        <v>0.87819244389596363</v>
      </c>
      <c r="DO52" s="508">
        <f t="shared" ca="1" si="83"/>
        <v>0.61578476322221509</v>
      </c>
      <c r="DP52" s="508">
        <f t="shared" ca="1" si="84"/>
        <v>0.68150695372058712</v>
      </c>
      <c r="DQ52" s="508">
        <f t="shared" ca="1" si="85"/>
        <v>0.5775004119261502</v>
      </c>
      <c r="DR52" s="508">
        <f t="shared" ca="1" si="86"/>
        <v>0.74526274964378914</v>
      </c>
      <c r="DS52" s="353">
        <f t="shared" ca="1" si="87"/>
        <v>8274.5194848756473</v>
      </c>
      <c r="DT52" s="353">
        <f t="shared" ca="1" si="88"/>
        <v>-6076.2249208257599</v>
      </c>
      <c r="DU52" s="380">
        <f t="shared" ca="1" si="189"/>
        <v>2.9952087611225187</v>
      </c>
      <c r="DV52" s="303">
        <f t="shared" ca="1" si="89"/>
        <v>269.24724267815691</v>
      </c>
      <c r="DW52" s="303">
        <f t="shared" ca="1" si="90"/>
        <v>64.106486351942124</v>
      </c>
      <c r="DX52" s="303">
        <f t="shared" ca="1" si="91"/>
        <v>64.106486351942124</v>
      </c>
      <c r="DY52" s="303">
        <f t="shared" ca="1" si="92"/>
        <v>397.46021538204116</v>
      </c>
      <c r="DZ52" s="303">
        <f t="shared" ca="1" si="93"/>
        <v>198.73010769102058</v>
      </c>
      <c r="EA52" s="303">
        <f t="shared" ca="1" si="94"/>
        <v>596.19032307306179</v>
      </c>
      <c r="EB52" s="302">
        <f t="shared" ca="1" si="95"/>
        <v>33.399791464209557</v>
      </c>
      <c r="EC52" s="299">
        <f t="shared" ca="1" si="96"/>
        <v>21.20961717836434</v>
      </c>
      <c r="ED52" s="299">
        <f t="shared" ca="1" si="97"/>
        <v>23.764350525661712</v>
      </c>
      <c r="EE52" s="299">
        <f t="shared" ca="1" si="98"/>
        <v>29.879530944146161</v>
      </c>
      <c r="EF52" s="299">
        <f t="shared" ca="1" si="99"/>
        <v>19.849997400119943</v>
      </c>
      <c r="EG52" s="299">
        <f t="shared" ca="1" si="100"/>
        <v>26.536353096137422</v>
      </c>
      <c r="EH52" s="302">
        <f t="shared" ca="1" si="101"/>
        <v>30</v>
      </c>
      <c r="EI52" s="304">
        <f t="shared" ca="1" si="102"/>
        <v>0.11990840625000002</v>
      </c>
      <c r="EJ52" s="305">
        <f t="shared" ca="1" si="103"/>
        <v>0.11990840625000002</v>
      </c>
      <c r="EK52" s="305">
        <f t="shared" ca="1" si="104"/>
        <v>0.11990840625000002</v>
      </c>
      <c r="EL52" s="305">
        <f t="shared" ca="1" si="105"/>
        <v>0.11990840624999997</v>
      </c>
      <c r="EM52" s="305">
        <f t="shared" ca="1" si="106"/>
        <v>2.8235759999999995E-2</v>
      </c>
      <c r="EN52" s="305">
        <f t="shared" ca="1" si="107"/>
        <v>9.4050590740742568E-2</v>
      </c>
      <c r="EO52" s="305">
        <f t="shared" ca="1" si="108"/>
        <v>0.11990840625000002</v>
      </c>
      <c r="EP52" s="305">
        <f t="shared" ca="1" si="109"/>
        <v>0.11990840625000002</v>
      </c>
      <c r="EQ52" s="305">
        <f t="shared" ca="1" si="110"/>
        <v>0.11990840625000002</v>
      </c>
      <c r="ER52" s="305">
        <f t="shared" ca="1" si="111"/>
        <v>2.8235759999999995E-2</v>
      </c>
      <c r="ES52" s="305">
        <f t="shared" ca="1" si="112"/>
        <v>9.4050590740742568E-2</v>
      </c>
      <c r="ET52" s="299">
        <f t="shared" ca="1" si="113"/>
        <v>4.0610424893838939</v>
      </c>
      <c r="EU52" s="302">
        <f t="shared" ca="1" si="114"/>
        <v>30</v>
      </c>
      <c r="EV52" s="304">
        <f t="shared" ca="1" si="115"/>
        <v>0.35972521875000008</v>
      </c>
      <c r="EW52" s="305">
        <f t="shared" ca="1" si="116"/>
        <v>0.35972521875000008</v>
      </c>
      <c r="EX52" s="305">
        <f t="shared" ca="1" si="117"/>
        <v>0.35972521875000008</v>
      </c>
      <c r="EY52" s="305">
        <f t="shared" ca="1" si="118"/>
        <v>0.35972521875000008</v>
      </c>
      <c r="EZ52" s="305">
        <f t="shared" ca="1" si="119"/>
        <v>8.4707279999999982E-2</v>
      </c>
      <c r="FA52" s="305">
        <f t="shared" ca="1" si="120"/>
        <v>0.28961084132940756</v>
      </c>
      <c r="FB52" s="305">
        <f t="shared" ca="1" si="121"/>
        <v>0.35972521875000008</v>
      </c>
      <c r="FC52" s="305">
        <f t="shared" ca="1" si="122"/>
        <v>0.35972521875000008</v>
      </c>
      <c r="FD52" s="305">
        <f t="shared" ca="1" si="123"/>
        <v>0.35972521875000008</v>
      </c>
      <c r="FE52" s="305">
        <f t="shared" ca="1" si="124"/>
        <v>8.4707279999999982E-2</v>
      </c>
      <c r="FF52" s="305">
        <f t="shared" ca="1" si="125"/>
        <v>0.28961084132940756</v>
      </c>
      <c r="FG52" s="299">
        <f t="shared" ca="1" si="126"/>
        <v>4.0250220043514719</v>
      </c>
      <c r="FH52" s="302">
        <f t="shared" ca="1" si="127"/>
        <v>3.6020485032421945E-2</v>
      </c>
      <c r="FI52" s="248">
        <f t="shared" ca="1" si="128"/>
        <v>21.475064608728026</v>
      </c>
      <c r="FJ52" s="363">
        <f t="shared" ca="1" si="129"/>
        <v>0.8013310793992765</v>
      </c>
      <c r="FK52" s="378">
        <f t="shared" ca="1" si="130"/>
        <v>0.41354589316065316</v>
      </c>
      <c r="FL52" s="508">
        <f t="shared" ca="1" si="131"/>
        <v>-1.7746363044964124</v>
      </c>
      <c r="FM52" s="508">
        <f t="shared" ca="1" si="132"/>
        <v>-1.2265878370494354</v>
      </c>
      <c r="FN52" s="508">
        <f t="shared" ca="1" si="133"/>
        <v>-8.4758632155147531</v>
      </c>
      <c r="FO52" s="508">
        <f t="shared" ca="1" si="134"/>
        <v>-0.83509633592327071</v>
      </c>
      <c r="FP52" s="353">
        <f t="shared" ca="1" si="135"/>
        <v>475.86022906565535</v>
      </c>
      <c r="FQ52" s="356">
        <f t="shared" ca="1" si="136"/>
        <v>34.368724811278419</v>
      </c>
      <c r="FR52" s="380">
        <f t="shared" ca="1" si="137"/>
        <v>21.856000000000002</v>
      </c>
      <c r="FS52" s="299">
        <f t="shared" ca="1" si="138"/>
        <v>21.856000000000002</v>
      </c>
      <c r="FT52" s="299">
        <f t="shared" ca="1" si="139"/>
        <v>21.856000000000002</v>
      </c>
      <c r="FU52" s="299">
        <f t="shared" ca="1" si="140"/>
        <v>21.856000000000002</v>
      </c>
      <c r="FV52" s="299">
        <f t="shared" ca="1" si="141"/>
        <v>21.855999999999998</v>
      </c>
      <c r="FW52" s="850">
        <f t="shared" ca="1" si="142"/>
        <v>0.184</v>
      </c>
      <c r="FX52" s="851">
        <f t="shared" ca="1" si="143"/>
        <v>0.5</v>
      </c>
      <c r="FY52" s="851">
        <f t="shared" ca="1" si="144"/>
        <v>0</v>
      </c>
      <c r="FZ52" s="201">
        <f t="shared" ca="1" si="145"/>
        <v>0</v>
      </c>
      <c r="GA52" s="201">
        <f t="shared" ca="1" si="146"/>
        <v>0</v>
      </c>
      <c r="GB52" s="201">
        <f t="shared" ca="1" si="147"/>
        <v>0</v>
      </c>
      <c r="GC52" s="201">
        <f t="shared" ca="1" si="148"/>
        <v>0</v>
      </c>
      <c r="GD52" s="850">
        <f t="shared" ca="1" si="149"/>
        <v>0.37472521875000009</v>
      </c>
      <c r="GE52" s="866">
        <f t="shared" ca="1" si="150"/>
        <v>0.35972521875000008</v>
      </c>
      <c r="GF52" s="866">
        <f t="shared" ca="1" si="151"/>
        <v>0.36222521875000008</v>
      </c>
      <c r="GG52" s="866">
        <f t="shared" ca="1" si="152"/>
        <v>8.4707279999999982E-2</v>
      </c>
      <c r="GH52" s="866">
        <f t="shared" ca="1" si="153"/>
        <v>0.30461084132940758</v>
      </c>
      <c r="GI52" s="302">
        <f t="shared" ca="1" si="154"/>
        <v>13.472611544740671</v>
      </c>
      <c r="GJ52" s="299">
        <f t="shared" ca="1" si="155"/>
        <v>4.2601741666610176</v>
      </c>
      <c r="GK52" s="299">
        <f t="shared" ca="1" si="156"/>
        <v>5.891212127218509</v>
      </c>
      <c r="GL52" s="299">
        <f t="shared" ca="1" si="157"/>
        <v>1.4231822376411409</v>
      </c>
      <c r="GM52" s="299">
        <f t="shared" ca="1" si="158"/>
        <v>7.1179011367611924</v>
      </c>
      <c r="GN52" s="302">
        <f t="shared" ca="1" si="159"/>
        <v>0.84986626104320173</v>
      </c>
      <c r="GO52" s="299">
        <f t="shared" ca="1" si="160"/>
        <v>0.58469770284042943</v>
      </c>
      <c r="GP52" s="299">
        <f t="shared" ca="1" si="161"/>
        <v>0.66481796477224442</v>
      </c>
      <c r="GQ52" s="299">
        <f t="shared" ca="1" si="162"/>
        <v>0.4165646770351456</v>
      </c>
      <c r="GR52" s="299">
        <f t="shared" ca="1" si="163"/>
        <v>0.74276581215561222</v>
      </c>
      <c r="GS52" s="302">
        <f t="shared" ca="1" si="164"/>
        <v>-0.68231826246238303</v>
      </c>
      <c r="GT52" s="299">
        <f t="shared" ca="1" si="165"/>
        <v>-0.37248537837600143</v>
      </c>
      <c r="GU52" s="299">
        <f t="shared" ca="1" si="166"/>
        <v>-0.45331977341987262</v>
      </c>
      <c r="GV52" s="299">
        <f t="shared" ca="1" si="167"/>
        <v>-0.31321488774969214</v>
      </c>
      <c r="GW52" s="299">
        <f t="shared" ca="1" si="168"/>
        <v>-0.57615295597819693</v>
      </c>
      <c r="GX52" s="303">
        <f t="shared" ca="1" si="169"/>
        <v>3627.4635100953296</v>
      </c>
      <c r="GY52" s="303">
        <f t="shared" ca="1" si="170"/>
        <v>273.10479707195094</v>
      </c>
      <c r="GZ52" s="303">
        <f t="shared" ca="1" si="171"/>
        <v>377.66490982992929</v>
      </c>
      <c r="HA52" s="303">
        <f t="shared" ca="1" si="172"/>
        <v>282.82915935037158</v>
      </c>
      <c r="HB52" s="303">
        <f t="shared" ca="1" si="173"/>
        <v>4243.6237783277693</v>
      </c>
      <c r="HC52" s="303">
        <f t="shared" ca="1" si="174"/>
        <v>3108.1340217900665</v>
      </c>
      <c r="HD52" s="303">
        <f t="shared" ca="1" si="175"/>
        <v>0</v>
      </c>
      <c r="HE52" s="303">
        <f t="shared" ca="1" si="176"/>
        <v>122.337646928054</v>
      </c>
      <c r="HF52" s="303">
        <f t="shared" ca="1" si="177"/>
        <v>0</v>
      </c>
      <c r="HG52" s="852">
        <f t="shared" ca="1" si="178"/>
        <v>2790.3812244821756</v>
      </c>
    </row>
    <row r="53" spans="1:215" x14ac:dyDescent="0.25">
      <c r="A53" s="244">
        <f t="shared" ca="1" si="179"/>
        <v>37712</v>
      </c>
      <c r="B53" s="13">
        <f t="shared" ca="1" si="3"/>
        <v>2003</v>
      </c>
      <c r="C53" s="619">
        <f t="shared" ca="1" si="180"/>
        <v>4</v>
      </c>
      <c r="D53" s="195" t="str">
        <f t="shared" ca="1" si="4"/>
        <v/>
      </c>
      <c r="E53" s="469">
        <f t="shared" ca="1" si="5"/>
        <v>37712</v>
      </c>
      <c r="F53" s="465">
        <f t="shared" ca="1" si="6"/>
        <v>37741</v>
      </c>
      <c r="G53" s="522">
        <f t="shared" ca="1" si="181"/>
        <v>1</v>
      </c>
      <c r="H53" s="519">
        <f t="shared" ca="1" si="182"/>
        <v>1</v>
      </c>
      <c r="I53" s="724">
        <f t="shared" ca="1" si="7"/>
        <v>7.20561019016E-2</v>
      </c>
      <c r="J53" s="198">
        <f t="shared" ca="1" si="8"/>
        <v>0.79649788221559004</v>
      </c>
      <c r="K53" s="200">
        <f t="shared" ca="1" si="190"/>
        <v>31.3</v>
      </c>
      <c r="L53" s="201">
        <f t="shared" ca="1" si="191"/>
        <v>31.65</v>
      </c>
      <c r="M53" s="206">
        <f t="shared" ca="1" si="192"/>
        <v>32</v>
      </c>
      <c r="N53" s="851">
        <f t="shared" ca="1" si="196"/>
        <v>21.255000305175781</v>
      </c>
      <c r="O53" s="201">
        <f t="shared" ca="1" si="197"/>
        <v>21.51750030517578</v>
      </c>
      <c r="P53" s="206">
        <f t="shared" ca="1" si="198"/>
        <v>21.780000305175779</v>
      </c>
      <c r="Q53" s="201">
        <f t="shared" ca="1" si="199"/>
        <v>16.934999084472654</v>
      </c>
      <c r="R53" s="201">
        <f t="shared" ca="1" si="200"/>
        <v>20.234999084472655</v>
      </c>
      <c r="S53" s="201">
        <f t="shared" ca="1" si="201"/>
        <v>23.534999084472656</v>
      </c>
      <c r="T53" s="851">
        <f t="shared" ca="1" si="193"/>
        <v>19.424997711181639</v>
      </c>
      <c r="U53" s="201">
        <f t="shared" ca="1" si="194"/>
        <v>19.59999771118164</v>
      </c>
      <c r="V53" s="206">
        <f t="shared" ca="1" si="195"/>
        <v>19.774997711181641</v>
      </c>
      <c r="W53" s="230">
        <f t="shared" ca="1" si="183"/>
        <v>0.1070139375</v>
      </c>
      <c r="X53" s="231">
        <f t="shared" ca="1" si="184"/>
        <v>0.21402787500000001</v>
      </c>
      <c r="Y53" s="232">
        <f t="shared" ca="1" si="185"/>
        <v>0.32104181250000002</v>
      </c>
      <c r="Z53" s="231">
        <f t="shared" ca="1" si="202"/>
        <v>0.1070139375</v>
      </c>
      <c r="AA53" s="231">
        <f t="shared" ca="1" si="203"/>
        <v>0.21402787500000001</v>
      </c>
      <c r="AB53" s="232">
        <f t="shared" ca="1" si="204"/>
        <v>0.32104181250000002</v>
      </c>
      <c r="AC53" s="231">
        <f t="shared" ca="1" si="205"/>
        <v>0.1070139375</v>
      </c>
      <c r="AD53" s="231">
        <f t="shared" ca="1" si="206"/>
        <v>0.21402787500000001</v>
      </c>
      <c r="AE53" s="232">
        <f t="shared" ca="1" si="14"/>
        <v>0.32104181250000002</v>
      </c>
      <c r="AF53" s="231">
        <f t="shared" ca="1" si="186"/>
        <v>2.8235759999999995E-2</v>
      </c>
      <c r="AG53" s="231">
        <f t="shared" ca="1" si="187"/>
        <v>5.647151999999999E-2</v>
      </c>
      <c r="AH53" s="232">
        <f t="shared" ca="1" si="188"/>
        <v>8.4707279999999982E-2</v>
      </c>
      <c r="AI53" s="233">
        <f t="shared" ca="1" si="15"/>
        <v>0.85000000000000009</v>
      </c>
      <c r="AJ53" s="233">
        <f t="shared" ca="1" si="16"/>
        <v>1.1000000000000001</v>
      </c>
      <c r="AK53" s="234">
        <f t="shared" ca="1" si="17"/>
        <v>1.4000000000000001</v>
      </c>
      <c r="AL53" s="919">
        <f t="shared" ca="1" si="18"/>
        <v>0.85000000000000009</v>
      </c>
      <c r="AM53" s="233">
        <f t="shared" ca="1" si="19"/>
        <v>1.1000000000000001</v>
      </c>
      <c r="AN53" s="234">
        <f t="shared" ca="1" si="20"/>
        <v>1.4000000000000001</v>
      </c>
      <c r="AO53" s="233">
        <f t="shared" ca="1" si="21"/>
        <v>0.85000000000000009</v>
      </c>
      <c r="AP53" s="233">
        <f t="shared" ca="1" si="22"/>
        <v>1.1000000000000001</v>
      </c>
      <c r="AQ53" s="233">
        <f t="shared" ca="1" si="23"/>
        <v>1.4000000000000001</v>
      </c>
      <c r="AR53" s="919">
        <f t="shared" ca="1" si="24"/>
        <v>0.19999999999999998</v>
      </c>
      <c r="AS53" s="233">
        <f t="shared" ca="1" si="25"/>
        <v>0.35</v>
      </c>
      <c r="AT53" s="235">
        <f t="shared" ca="1" si="26"/>
        <v>0.55000000000000004</v>
      </c>
      <c r="AU53" s="946">
        <f t="shared" si="27"/>
        <v>0.5</v>
      </c>
      <c r="AV53" s="13">
        <f t="shared" ca="1" si="28"/>
        <v>22</v>
      </c>
      <c r="AW53" s="210">
        <f t="shared" ca="1" si="29"/>
        <v>4</v>
      </c>
      <c r="AX53" s="210">
        <f t="shared" ca="1" si="30"/>
        <v>4</v>
      </c>
      <c r="AY53" s="210">
        <f t="shared" ca="1" si="31"/>
        <v>0</v>
      </c>
      <c r="AZ53" s="13">
        <f t="shared" ca="1" si="32"/>
        <v>30</v>
      </c>
      <c r="BA53" s="357">
        <f ca="1"/>
        <v>352</v>
      </c>
      <c r="BB53" s="925">
        <f ca="1"/>
        <v>64</v>
      </c>
      <c r="BC53" s="925">
        <f ca="1"/>
        <v>64</v>
      </c>
      <c r="BD53" s="928">
        <f ca="1"/>
        <v>240</v>
      </c>
      <c r="BE53" s="200">
        <f ca="1"/>
        <v>1.0000000074505806</v>
      </c>
      <c r="BF53" s="851">
        <f ca="1"/>
        <v>1.0000000074505806</v>
      </c>
      <c r="BG53" s="851">
        <f ca="1"/>
        <v>1.0000000074505806</v>
      </c>
      <c r="BH53" s="933">
        <f ca="1"/>
        <v>0.99995028972625732</v>
      </c>
      <c r="BI53" s="357">
        <f ca="1"/>
        <v>352</v>
      </c>
      <c r="BJ53" s="925">
        <f ca="1"/>
        <v>64</v>
      </c>
      <c r="BK53" s="925">
        <f ca="1"/>
        <v>64</v>
      </c>
      <c r="BL53" s="928">
        <f ca="1"/>
        <v>240</v>
      </c>
      <c r="BM53" s="200">
        <f ca="1"/>
        <v>1.0000000074505806</v>
      </c>
      <c r="BN53" s="851">
        <f ca="1"/>
        <v>1.0000000074505806</v>
      </c>
      <c r="BO53" s="851">
        <f ca="1"/>
        <v>1.0000000074505806</v>
      </c>
      <c r="BP53" s="933">
        <f ca="1"/>
        <v>0.99995028972625732</v>
      </c>
      <c r="BQ53" s="357">
        <f t="shared" ca="1" si="33"/>
        <v>720</v>
      </c>
      <c r="BR53" s="361">
        <f t="shared" ca="1" si="34"/>
        <v>720</v>
      </c>
      <c r="BS53" s="357">
        <f t="shared" ca="1" si="35"/>
        <v>573.47847519522486</v>
      </c>
      <c r="BT53" s="302">
        <f t="shared" ca="1" si="36"/>
        <v>25.171566337014085</v>
      </c>
      <c r="BU53" s="299">
        <f t="shared" ca="1" si="37"/>
        <v>25.717674551993454</v>
      </c>
      <c r="BV53" s="299">
        <f t="shared" ca="1" si="38"/>
        <v>26.263782766972827</v>
      </c>
      <c r="BW53" s="299">
        <f t="shared" ca="1" si="39"/>
        <v>32.659889647739881</v>
      </c>
      <c r="BX53" s="380">
        <f t="shared" ca="1" si="40"/>
        <v>3.0800821355236141</v>
      </c>
      <c r="BY53" s="363">
        <f t="shared" ca="1" si="41"/>
        <v>280.36725453988771</v>
      </c>
      <c r="BZ53" s="353">
        <f t="shared" ca="1" si="42"/>
        <v>50.975864461797762</v>
      </c>
      <c r="CA53" s="353">
        <f t="shared" ca="1" si="43"/>
        <v>50.975864461797762</v>
      </c>
      <c r="CB53" s="353">
        <f t="shared" ca="1" si="44"/>
        <v>382.31898346348322</v>
      </c>
      <c r="CC53" s="353">
        <f t="shared" ca="1" si="45"/>
        <v>191.15949173174161</v>
      </c>
      <c r="CD53" s="353">
        <f t="shared" ca="1" si="46"/>
        <v>573.47847519522486</v>
      </c>
      <c r="CE53" s="302">
        <f t="shared" ca="1" si="47"/>
        <v>32.000000238418579</v>
      </c>
      <c r="CF53" s="299">
        <f t="shared" ca="1" si="48"/>
        <v>21.780000467449426</v>
      </c>
      <c r="CG53" s="299">
        <f t="shared" ca="1" si="49"/>
        <v>23.534999259822062</v>
      </c>
      <c r="CH53" s="299">
        <f t="shared" ca="1" si="50"/>
        <v>29.508666805143157</v>
      </c>
      <c r="CI53" s="299">
        <f t="shared" ca="1" si="51"/>
        <v>19.774014690632157</v>
      </c>
      <c r="CJ53" s="299">
        <f t="shared" ca="1" si="52"/>
        <v>26.26378276697282</v>
      </c>
      <c r="CK53" s="299">
        <f t="shared" ca="1" si="53"/>
        <v>32.659889647739881</v>
      </c>
      <c r="CL53" s="377">
        <f t="shared" ca="1" si="54"/>
        <v>0.32104181250000002</v>
      </c>
      <c r="CM53" s="305">
        <f t="shared" ca="1" si="55"/>
        <v>0.32104181250000002</v>
      </c>
      <c r="CN53" s="305">
        <f t="shared" ca="1" si="56"/>
        <v>0.32104181250000002</v>
      </c>
      <c r="CO53" s="305">
        <f t="shared" ca="1" si="57"/>
        <v>0.32104181249999997</v>
      </c>
      <c r="CP53" s="305">
        <f t="shared" ca="1" si="58"/>
        <v>8.4707279999999982E-2</v>
      </c>
      <c r="CQ53" s="305">
        <f t="shared" ca="1" si="59"/>
        <v>0.2577746254404879</v>
      </c>
      <c r="CR53" s="775">
        <f t="shared" ca="1" si="60"/>
        <v>0.32104181250000002</v>
      </c>
      <c r="CS53" s="305">
        <f t="shared" ca="1" si="61"/>
        <v>0.38104181250000002</v>
      </c>
      <c r="CT53" s="305">
        <f t="shared" ca="1" si="62"/>
        <v>0.37104181250000001</v>
      </c>
      <c r="CU53" s="305">
        <f t="shared" ca="1" si="63"/>
        <v>0.14470727999999999</v>
      </c>
      <c r="CV53" s="770">
        <f t="shared" ca="1" si="64"/>
        <v>0.28277462544048793</v>
      </c>
      <c r="CW53" s="302">
        <f t="shared" ca="1" si="65"/>
        <v>6.8466877872026828</v>
      </c>
      <c r="CX53" s="299">
        <f t="shared" ca="1" si="66"/>
        <v>2.8915343552319088</v>
      </c>
      <c r="CY53" s="299">
        <f t="shared" ca="1" si="67"/>
        <v>3.458736674361222</v>
      </c>
      <c r="CZ53" s="299">
        <f t="shared" ca="1" si="68"/>
        <v>5.8089878580107279E-2</v>
      </c>
      <c r="DA53" s="774">
        <f t="shared" ca="1" si="69"/>
        <v>3.1098849547741114</v>
      </c>
      <c r="DB53" s="303">
        <f t="shared" ca="1" si="70"/>
        <v>1783.4520818964284</v>
      </c>
      <c r="DC53" s="248">
        <f t="shared" ca="1" si="71"/>
        <v>243.29451031131453</v>
      </c>
      <c r="DD53" s="778">
        <f t="shared" ca="1" si="72"/>
        <v>0</v>
      </c>
      <c r="DE53" s="363">
        <f t="shared" ca="1" si="73"/>
        <v>0.79649788221559004</v>
      </c>
      <c r="DF53" s="378">
        <f t="shared" ca="1" si="74"/>
        <v>-0.31794431667230261</v>
      </c>
      <c r="DG53" s="508">
        <f t="shared" ca="1" si="75"/>
        <v>-0.94022136263500544</v>
      </c>
      <c r="DH53" s="508">
        <f t="shared" ca="1" si="76"/>
        <v>-0.82876620361174036</v>
      </c>
      <c r="DI53" s="508">
        <f t="shared" ca="1" si="77"/>
        <v>-2.1027726743404185</v>
      </c>
      <c r="DJ53" s="508">
        <f t="shared" ca="1" si="78"/>
        <v>-0.68732338936135373</v>
      </c>
      <c r="DK53" s="353">
        <f t="shared" ca="1" si="79"/>
        <v>-141.04095705020683</v>
      </c>
      <c r="DL53" s="781">
        <f t="shared" ca="1" si="80"/>
        <v>11.145711513376197</v>
      </c>
      <c r="DM53" s="303">
        <f t="shared" ca="1" si="81"/>
        <v>8698.6727679782452</v>
      </c>
      <c r="DN53" s="508">
        <f t="shared" ca="1" si="82"/>
        <v>0.86578867841891793</v>
      </c>
      <c r="DO53" s="508">
        <f t="shared" ca="1" si="83"/>
        <v>0.64654156694529719</v>
      </c>
      <c r="DP53" s="508">
        <f t="shared" ca="1" si="84"/>
        <v>0.69070312592311045</v>
      </c>
      <c r="DQ53" s="508">
        <f t="shared" ca="1" si="85"/>
        <v>0.59148047315551067</v>
      </c>
      <c r="DR53" s="508">
        <f t="shared" ca="1" si="86"/>
        <v>0.75321721102747219</v>
      </c>
      <c r="DS53" s="353">
        <f t="shared" ca="1" si="87"/>
        <v>7940.9107379921243</v>
      </c>
      <c r="DT53" s="353">
        <f t="shared" ca="1" si="88"/>
        <v>-5991.5407110557608</v>
      </c>
      <c r="DU53" s="380">
        <f t="shared" ca="1" si="189"/>
        <v>3.0800821355236141</v>
      </c>
      <c r="DV53" s="303">
        <f t="shared" ca="1" si="89"/>
        <v>280.36725453988771</v>
      </c>
      <c r="DW53" s="303">
        <f t="shared" ca="1" si="90"/>
        <v>50.975864461797762</v>
      </c>
      <c r="DX53" s="303">
        <f t="shared" ca="1" si="91"/>
        <v>50.975864461797762</v>
      </c>
      <c r="DY53" s="303">
        <f t="shared" ca="1" si="92"/>
        <v>382.31898346348322</v>
      </c>
      <c r="DZ53" s="303">
        <f t="shared" ca="1" si="93"/>
        <v>191.15949173174161</v>
      </c>
      <c r="EA53" s="303">
        <f t="shared" ca="1" si="94"/>
        <v>573.47847519522486</v>
      </c>
      <c r="EB53" s="302">
        <f t="shared" ca="1" si="95"/>
        <v>32.000000238418579</v>
      </c>
      <c r="EC53" s="299">
        <f t="shared" ca="1" si="96"/>
        <v>21.780000467449426</v>
      </c>
      <c r="ED53" s="299">
        <f t="shared" ca="1" si="97"/>
        <v>23.534999259822062</v>
      </c>
      <c r="EE53" s="299">
        <f t="shared" ca="1" si="98"/>
        <v>29.508666805143157</v>
      </c>
      <c r="EF53" s="299">
        <f t="shared" ca="1" si="99"/>
        <v>19.774014690632157</v>
      </c>
      <c r="EG53" s="299">
        <f t="shared" ca="1" si="100"/>
        <v>26.26378276697282</v>
      </c>
      <c r="EH53" s="302">
        <f t="shared" ca="1" si="101"/>
        <v>30</v>
      </c>
      <c r="EI53" s="304">
        <f t="shared" ca="1" si="102"/>
        <v>0.1070139375</v>
      </c>
      <c r="EJ53" s="305">
        <f t="shared" ca="1" si="103"/>
        <v>0.1070139375</v>
      </c>
      <c r="EK53" s="305">
        <f t="shared" ca="1" si="104"/>
        <v>0.1070139375</v>
      </c>
      <c r="EL53" s="305">
        <f t="shared" ca="1" si="105"/>
        <v>0.10701393749999984</v>
      </c>
      <c r="EM53" s="305">
        <f t="shared" ca="1" si="106"/>
        <v>2.8235759999999995E-2</v>
      </c>
      <c r="EN53" s="305">
        <f t="shared" ca="1" si="107"/>
        <v>8.4152358074962061E-2</v>
      </c>
      <c r="EO53" s="305">
        <f t="shared" ca="1" si="108"/>
        <v>0.1070139375</v>
      </c>
      <c r="EP53" s="305">
        <f t="shared" ca="1" si="109"/>
        <v>0.1070139375</v>
      </c>
      <c r="EQ53" s="305">
        <f t="shared" ca="1" si="110"/>
        <v>0.1070139375</v>
      </c>
      <c r="ER53" s="305">
        <f t="shared" ca="1" si="111"/>
        <v>2.8235759999999995E-2</v>
      </c>
      <c r="ES53" s="305">
        <f t="shared" ca="1" si="112"/>
        <v>8.4152358074962061E-2</v>
      </c>
      <c r="ET53" s="299">
        <f t="shared" ca="1" si="113"/>
        <v>4.1514206848383601</v>
      </c>
      <c r="EU53" s="302">
        <f t="shared" ca="1" si="114"/>
        <v>30</v>
      </c>
      <c r="EV53" s="304">
        <f t="shared" ca="1" si="115"/>
        <v>0.32104181250000002</v>
      </c>
      <c r="EW53" s="305">
        <f t="shared" ca="1" si="116"/>
        <v>0.32104181250000002</v>
      </c>
      <c r="EX53" s="305">
        <f t="shared" ca="1" si="117"/>
        <v>0.32104181250000002</v>
      </c>
      <c r="EY53" s="305">
        <f t="shared" ca="1" si="118"/>
        <v>0.32104181249999997</v>
      </c>
      <c r="EZ53" s="305">
        <f t="shared" ca="1" si="119"/>
        <v>8.4707279999999982E-2</v>
      </c>
      <c r="FA53" s="305">
        <f t="shared" ca="1" si="120"/>
        <v>0.2577746254404879</v>
      </c>
      <c r="FB53" s="305">
        <f t="shared" ca="1" si="121"/>
        <v>0.32104181250000002</v>
      </c>
      <c r="FC53" s="305">
        <f t="shared" ca="1" si="122"/>
        <v>0.32104181250000002</v>
      </c>
      <c r="FD53" s="305">
        <f t="shared" ca="1" si="123"/>
        <v>0.32104181250000002</v>
      </c>
      <c r="FE53" s="305">
        <f t="shared" ca="1" si="124"/>
        <v>8.4707279999999982E-2</v>
      </c>
      <c r="FF53" s="305">
        <f t="shared" ca="1" si="125"/>
        <v>0.2577746254404879</v>
      </c>
      <c r="FG53" s="299">
        <f t="shared" ca="1" si="126"/>
        <v>3.3781665925849733</v>
      </c>
      <c r="FH53" s="302">
        <f t="shared" ca="1" si="127"/>
        <v>0.77325409225338682</v>
      </c>
      <c r="FI53" s="248">
        <f t="shared" ca="1" si="128"/>
        <v>443.44457776394</v>
      </c>
      <c r="FJ53" s="363">
        <f t="shared" ca="1" si="129"/>
        <v>0.79649788221559004</v>
      </c>
      <c r="FK53" s="378">
        <f t="shared" ca="1" si="130"/>
        <v>0.24972953781479487</v>
      </c>
      <c r="FL53" s="508">
        <f t="shared" ca="1" si="131"/>
        <v>-1.798837143160507</v>
      </c>
      <c r="FM53" s="508">
        <f t="shared" ca="1" si="132"/>
        <v>-1.3862073133131996</v>
      </c>
      <c r="FN53" s="508">
        <f t="shared" ca="1" si="133"/>
        <v>-8.4363454594331397</v>
      </c>
      <c r="FO53" s="508">
        <f t="shared" ca="1" si="134"/>
        <v>-0.97443068110925068</v>
      </c>
      <c r="FP53" s="353">
        <f t="shared" ca="1" si="135"/>
        <v>478.89962133151403</v>
      </c>
      <c r="FQ53" s="356">
        <f t="shared" ca="1" si="136"/>
        <v>32.119892404848024</v>
      </c>
      <c r="FR53" s="380">
        <f t="shared" ca="1" si="137"/>
        <v>21.46</v>
      </c>
      <c r="FS53" s="299">
        <f t="shared" ca="1" si="138"/>
        <v>21.46</v>
      </c>
      <c r="FT53" s="299">
        <f t="shared" ca="1" si="139"/>
        <v>21.46</v>
      </c>
      <c r="FU53" s="299">
        <f t="shared" ca="1" si="140"/>
        <v>21.46</v>
      </c>
      <c r="FV53" s="299">
        <f t="shared" ca="1" si="141"/>
        <v>21.46</v>
      </c>
      <c r="FW53" s="850">
        <f t="shared" ca="1" si="142"/>
        <v>0.18150000000000002</v>
      </c>
      <c r="FX53" s="851">
        <f t="shared" ca="1" si="143"/>
        <v>0.5</v>
      </c>
      <c r="FY53" s="851">
        <f t="shared" ca="1" si="144"/>
        <v>0</v>
      </c>
      <c r="FZ53" s="201">
        <f t="shared" ca="1" si="145"/>
        <v>0</v>
      </c>
      <c r="GA53" s="201">
        <f t="shared" ca="1" si="146"/>
        <v>0</v>
      </c>
      <c r="GB53" s="201">
        <f t="shared" ca="1" si="147"/>
        <v>0</v>
      </c>
      <c r="GC53" s="201">
        <f t="shared" ca="1" si="148"/>
        <v>0</v>
      </c>
      <c r="GD53" s="850">
        <f t="shared" ca="1" si="149"/>
        <v>0.33604181250000004</v>
      </c>
      <c r="GE53" s="866">
        <f t="shared" ca="1" si="150"/>
        <v>0.32104181250000002</v>
      </c>
      <c r="GF53" s="866">
        <f t="shared" ca="1" si="151"/>
        <v>0.32604181250000003</v>
      </c>
      <c r="GG53" s="866">
        <f t="shared" ca="1" si="152"/>
        <v>8.4707279999999982E-2</v>
      </c>
      <c r="GH53" s="866">
        <f t="shared" ca="1" si="153"/>
        <v>0.27277462544048792</v>
      </c>
      <c r="GI53" s="302">
        <f t="shared" ca="1" si="154"/>
        <v>12.17248712140093</v>
      </c>
      <c r="GJ53" s="299">
        <f t="shared" ca="1" si="155"/>
        <v>4.3407182351296063</v>
      </c>
      <c r="GK53" s="299">
        <f t="shared" ca="1" si="156"/>
        <v>5.5236366082964521</v>
      </c>
      <c r="GL53" s="299">
        <f t="shared" ca="1" si="157"/>
        <v>1.5184411138727019</v>
      </c>
      <c r="GM53" s="299">
        <f t="shared" ca="1" si="158"/>
        <v>6.8300064114068579</v>
      </c>
      <c r="GN53" s="302">
        <f t="shared" ca="1" si="159"/>
        <v>0.85015231699539107</v>
      </c>
      <c r="GO53" s="299">
        <f t="shared" ca="1" si="160"/>
        <v>0.6083094418387206</v>
      </c>
      <c r="GP53" s="299">
        <f t="shared" ca="1" si="161"/>
        <v>0.66791414195023413</v>
      </c>
      <c r="GQ53" s="299">
        <f t="shared" ca="1" si="162"/>
        <v>0.43708794099014092</v>
      </c>
      <c r="GR53" s="299">
        <f t="shared" ca="1" si="163"/>
        <v>0.75478453246302579</v>
      </c>
      <c r="GS53" s="302">
        <f t="shared" ca="1" si="164"/>
        <v>-0.7004839757140312</v>
      </c>
      <c r="GT53" s="299">
        <f t="shared" ca="1" si="165"/>
        <v>-0.4151101331194984</v>
      </c>
      <c r="GU53" s="299">
        <f t="shared" ca="1" si="166"/>
        <v>-0.47510363450965543</v>
      </c>
      <c r="GV53" s="299">
        <f t="shared" ca="1" si="167"/>
        <v>-0.33199165899479371</v>
      </c>
      <c r="GW53" s="299">
        <f t="shared" ca="1" si="168"/>
        <v>-0.60547491620031924</v>
      </c>
      <c r="GX53" s="303">
        <f t="shared" ca="1" si="169"/>
        <v>3412.7667951493199</v>
      </c>
      <c r="GY53" s="303">
        <f t="shared" ca="1" si="170"/>
        <v>221.2718644208208</v>
      </c>
      <c r="GZ53" s="303">
        <f t="shared" ca="1" si="171"/>
        <v>281.57215108074422</v>
      </c>
      <c r="HA53" s="303">
        <f t="shared" ca="1" si="172"/>
        <v>290.26443155248529</v>
      </c>
      <c r="HB53" s="303">
        <f t="shared" ca="1" si="173"/>
        <v>3916.8616623872144</v>
      </c>
      <c r="HC53" s="303">
        <f t="shared" ca="1" si="174"/>
        <v>2955.0709296951786</v>
      </c>
      <c r="HD53" s="303">
        <f t="shared" ca="1" si="175"/>
        <v>16.312300456413826</v>
      </c>
      <c r="HE53" s="303">
        <f t="shared" ca="1" si="176"/>
        <v>105.77488102702004</v>
      </c>
      <c r="HF53" s="303">
        <f t="shared" ca="1" si="177"/>
        <v>0</v>
      </c>
      <c r="HG53" s="852">
        <f t="shared" ca="1" si="178"/>
        <v>2754.8660163726709</v>
      </c>
    </row>
    <row r="54" spans="1:215" x14ac:dyDescent="0.25">
      <c r="A54" s="244">
        <f t="shared" ca="1" si="179"/>
        <v>37742</v>
      </c>
      <c r="B54" s="13">
        <f t="shared" ca="1" si="3"/>
        <v>2003</v>
      </c>
      <c r="C54" s="619">
        <f t="shared" ca="1" si="180"/>
        <v>5</v>
      </c>
      <c r="D54" s="195">
        <f t="shared" ca="1" si="4"/>
        <v>37767</v>
      </c>
      <c r="E54" s="469">
        <f t="shared" ca="1" si="5"/>
        <v>37742</v>
      </c>
      <c r="F54" s="465">
        <f t="shared" ca="1" si="6"/>
        <v>37772</v>
      </c>
      <c r="G54" s="522">
        <f t="shared" ca="1" si="181"/>
        <v>1</v>
      </c>
      <c r="H54" s="519">
        <f t="shared" ca="1" si="182"/>
        <v>1</v>
      </c>
      <c r="I54" s="724">
        <f t="shared" ca="1" si="7"/>
        <v>7.2116257975074011E-2</v>
      </c>
      <c r="J54" s="198">
        <f t="shared" ca="1" si="8"/>
        <v>0.79157518043313924</v>
      </c>
      <c r="K54" s="200">
        <f t="shared" ca="1" si="190"/>
        <v>32.4</v>
      </c>
      <c r="L54" s="201">
        <f t="shared" ca="1" si="191"/>
        <v>33.65</v>
      </c>
      <c r="M54" s="206">
        <f t="shared" ca="1" si="192"/>
        <v>34.9</v>
      </c>
      <c r="N54" s="851">
        <f t="shared" ca="1" si="196"/>
        <v>20.695000076293944</v>
      </c>
      <c r="O54" s="201">
        <f t="shared" ca="1" si="197"/>
        <v>21.632500076293944</v>
      </c>
      <c r="P54" s="206">
        <f t="shared" ca="1" si="198"/>
        <v>22.570000076293944</v>
      </c>
      <c r="Q54" s="201">
        <f t="shared" ca="1" si="199"/>
        <v>17.464999771118162</v>
      </c>
      <c r="R54" s="201">
        <f t="shared" ca="1" si="200"/>
        <v>20.764999771118163</v>
      </c>
      <c r="S54" s="201">
        <f t="shared" ca="1" si="201"/>
        <v>24.064999771118163</v>
      </c>
      <c r="T54" s="851">
        <f t="shared" ca="1" si="193"/>
        <v>18.97499771118164</v>
      </c>
      <c r="U54" s="201">
        <f t="shared" ca="1" si="194"/>
        <v>19.59999771118164</v>
      </c>
      <c r="V54" s="206">
        <f t="shared" ca="1" si="195"/>
        <v>20.22499771118164</v>
      </c>
      <c r="W54" s="230">
        <f t="shared" ca="1" si="183"/>
        <v>0.1232589375</v>
      </c>
      <c r="X54" s="231">
        <f t="shared" ca="1" si="184"/>
        <v>0.246517875</v>
      </c>
      <c r="Y54" s="232">
        <f t="shared" ca="1" si="185"/>
        <v>0.3697768125</v>
      </c>
      <c r="Z54" s="231">
        <f t="shared" ca="1" si="202"/>
        <v>0.1232589375</v>
      </c>
      <c r="AA54" s="231">
        <f t="shared" ca="1" si="203"/>
        <v>0.246517875</v>
      </c>
      <c r="AB54" s="232">
        <f t="shared" ca="1" si="204"/>
        <v>0.3697768125</v>
      </c>
      <c r="AC54" s="231">
        <f t="shared" ca="1" si="205"/>
        <v>0.1232589375</v>
      </c>
      <c r="AD54" s="231">
        <f t="shared" ca="1" si="206"/>
        <v>0.246517875</v>
      </c>
      <c r="AE54" s="232">
        <f t="shared" ca="1" si="14"/>
        <v>0.3697768125</v>
      </c>
      <c r="AF54" s="231">
        <f t="shared" ca="1" si="186"/>
        <v>3.2941720000000008E-2</v>
      </c>
      <c r="AG54" s="231">
        <f t="shared" ca="1" si="187"/>
        <v>6.5883440000000015E-2</v>
      </c>
      <c r="AH54" s="232">
        <f t="shared" ca="1" si="188"/>
        <v>9.8825160000000023E-2</v>
      </c>
      <c r="AI54" s="233">
        <f t="shared" ca="1" si="15"/>
        <v>0.85000000000000009</v>
      </c>
      <c r="AJ54" s="233">
        <f t="shared" ca="1" si="16"/>
        <v>1.1000000000000001</v>
      </c>
      <c r="AK54" s="234">
        <f t="shared" ca="1" si="17"/>
        <v>1.4000000000000001</v>
      </c>
      <c r="AL54" s="919">
        <f t="shared" ca="1" si="18"/>
        <v>0.85000000000000009</v>
      </c>
      <c r="AM54" s="233">
        <f t="shared" ca="1" si="19"/>
        <v>1.1000000000000001</v>
      </c>
      <c r="AN54" s="234">
        <f t="shared" ca="1" si="20"/>
        <v>1.4000000000000001</v>
      </c>
      <c r="AO54" s="233">
        <f t="shared" ca="1" si="21"/>
        <v>0.85000000000000009</v>
      </c>
      <c r="AP54" s="233">
        <f t="shared" ca="1" si="22"/>
        <v>1.1000000000000001</v>
      </c>
      <c r="AQ54" s="233">
        <f t="shared" ca="1" si="23"/>
        <v>1.4000000000000001</v>
      </c>
      <c r="AR54" s="919">
        <f t="shared" ca="1" si="24"/>
        <v>0.35</v>
      </c>
      <c r="AS54" s="233">
        <f t="shared" ca="1" si="25"/>
        <v>0.5</v>
      </c>
      <c r="AT54" s="235">
        <f t="shared" ca="1" si="26"/>
        <v>0.7</v>
      </c>
      <c r="AU54" s="946">
        <f t="shared" si="27"/>
        <v>0.5</v>
      </c>
      <c r="AV54" s="13">
        <f t="shared" ca="1" si="28"/>
        <v>21</v>
      </c>
      <c r="AW54" s="210">
        <f t="shared" ca="1" si="29"/>
        <v>5</v>
      </c>
      <c r="AX54" s="210">
        <f t="shared" ca="1" si="30"/>
        <v>4</v>
      </c>
      <c r="AY54" s="210">
        <f t="shared" ca="1" si="31"/>
        <v>1</v>
      </c>
      <c r="AZ54" s="13">
        <f t="shared" ca="1" si="32"/>
        <v>31</v>
      </c>
      <c r="BA54" s="357">
        <f ca="1"/>
        <v>336</v>
      </c>
      <c r="BB54" s="925">
        <f ca="1"/>
        <v>80</v>
      </c>
      <c r="BC54" s="925">
        <f ca="1"/>
        <v>80</v>
      </c>
      <c r="BD54" s="928">
        <f ca="1"/>
        <v>248</v>
      </c>
      <c r="BE54" s="200">
        <f ca="1"/>
        <v>0.9999999925494194</v>
      </c>
      <c r="BF54" s="851">
        <f ca="1"/>
        <v>0.9999999925494194</v>
      </c>
      <c r="BG54" s="851">
        <f ca="1"/>
        <v>0.9999999925494194</v>
      </c>
      <c r="BH54" s="933">
        <f ca="1"/>
        <v>1</v>
      </c>
      <c r="BI54" s="357">
        <f ca="1"/>
        <v>336</v>
      </c>
      <c r="BJ54" s="925">
        <f ca="1"/>
        <v>80</v>
      </c>
      <c r="BK54" s="925">
        <f ca="1"/>
        <v>80</v>
      </c>
      <c r="BL54" s="928">
        <f ca="1"/>
        <v>248</v>
      </c>
      <c r="BM54" s="200">
        <f ca="1"/>
        <v>0.9999999925494194</v>
      </c>
      <c r="BN54" s="851">
        <f ca="1"/>
        <v>0.9999999925494194</v>
      </c>
      <c r="BO54" s="851">
        <f ca="1"/>
        <v>0.9999999925494194</v>
      </c>
      <c r="BP54" s="933">
        <f ca="1"/>
        <v>1</v>
      </c>
      <c r="BQ54" s="357">
        <f t="shared" ca="1" si="33"/>
        <v>744</v>
      </c>
      <c r="BR54" s="361">
        <f t="shared" ca="1" si="34"/>
        <v>744</v>
      </c>
      <c r="BS54" s="357">
        <f t="shared" ca="1" si="35"/>
        <v>588.93193424225558</v>
      </c>
      <c r="BT54" s="302">
        <f t="shared" ca="1" si="36"/>
        <v>25.060482952030753</v>
      </c>
      <c r="BU54" s="299">
        <f t="shared" ca="1" si="37"/>
        <v>26.288977568085873</v>
      </c>
      <c r="BV54" s="299">
        <f t="shared" ca="1" si="38"/>
        <v>27.517472184140995</v>
      </c>
      <c r="BW54" s="299">
        <f t="shared" ca="1" si="39"/>
        <v>32.659889647739881</v>
      </c>
      <c r="BX54" s="380">
        <f t="shared" ca="1" si="40"/>
        <v>3.162217659137577</v>
      </c>
      <c r="BY54" s="363">
        <f t="shared" ca="1" si="41"/>
        <v>265.96926062553479</v>
      </c>
      <c r="BZ54" s="353">
        <f t="shared" ca="1" si="42"/>
        <v>63.326014434651142</v>
      </c>
      <c r="CA54" s="353">
        <f t="shared" ca="1" si="43"/>
        <v>63.326014434651142</v>
      </c>
      <c r="CB54" s="353">
        <f t="shared" ca="1" si="44"/>
        <v>392.62128949483707</v>
      </c>
      <c r="CC54" s="353">
        <f t="shared" ca="1" si="45"/>
        <v>196.31064474741854</v>
      </c>
      <c r="CD54" s="353">
        <f t="shared" ca="1" si="46"/>
        <v>588.93193424225558</v>
      </c>
      <c r="CE54" s="302">
        <f t="shared" ca="1" si="47"/>
        <v>34.899999739974739</v>
      </c>
      <c r="CF54" s="299">
        <f t="shared" ca="1" si="48"/>
        <v>22.569999908134339</v>
      </c>
      <c r="CG54" s="299">
        <f t="shared" ca="1" si="49"/>
        <v>24.064999591819944</v>
      </c>
      <c r="CH54" s="299">
        <f t="shared" ca="1" si="50"/>
        <v>31.16370942062067</v>
      </c>
      <c r="CI54" s="299">
        <f t="shared" ca="1" si="51"/>
        <v>20.22499771118164</v>
      </c>
      <c r="CJ54" s="299">
        <f t="shared" ca="1" si="52"/>
        <v>27.517472184140995</v>
      </c>
      <c r="CK54" s="299">
        <f t="shared" ca="1" si="53"/>
        <v>32.659889647739881</v>
      </c>
      <c r="CL54" s="377">
        <f t="shared" ca="1" si="54"/>
        <v>0.3697768125</v>
      </c>
      <c r="CM54" s="305">
        <f t="shared" ca="1" si="55"/>
        <v>0.3697768125</v>
      </c>
      <c r="CN54" s="305">
        <f t="shared" ca="1" si="56"/>
        <v>0.3697768125</v>
      </c>
      <c r="CO54" s="305">
        <f t="shared" ca="1" si="57"/>
        <v>0.36977681250000005</v>
      </c>
      <c r="CP54" s="305">
        <f t="shared" ca="1" si="58"/>
        <v>9.8825160000000023E-2</v>
      </c>
      <c r="CQ54" s="305">
        <f t="shared" ca="1" si="59"/>
        <v>0.30118744815462301</v>
      </c>
      <c r="CR54" s="775">
        <f t="shared" ca="1" si="60"/>
        <v>0.3747768125</v>
      </c>
      <c r="CS54" s="305">
        <f t="shared" ca="1" si="61"/>
        <v>0.42977681249999999</v>
      </c>
      <c r="CT54" s="305">
        <f t="shared" ca="1" si="62"/>
        <v>0.40977681249999998</v>
      </c>
      <c r="CU54" s="305">
        <f t="shared" ca="1" si="63"/>
        <v>0.15882516000000002</v>
      </c>
      <c r="CV54" s="770">
        <f t="shared" ca="1" si="64"/>
        <v>0.31868744815462302</v>
      </c>
      <c r="CW54" s="302">
        <f t="shared" ca="1" si="65"/>
        <v>9.9798781482362937</v>
      </c>
      <c r="CX54" s="299">
        <f t="shared" ca="1" si="66"/>
        <v>4.0590998528661668</v>
      </c>
      <c r="CY54" s="299">
        <f t="shared" ca="1" si="67"/>
        <v>4.430252590341424</v>
      </c>
      <c r="CZ54" s="299">
        <f t="shared" ca="1" si="68"/>
        <v>0.13279583403669437</v>
      </c>
      <c r="DA54" s="774">
        <f t="shared" ca="1" si="69"/>
        <v>4.4369094309889725</v>
      </c>
      <c r="DB54" s="303">
        <f t="shared" ca="1" si="70"/>
        <v>2613.0376532500413</v>
      </c>
      <c r="DC54" s="248">
        <f t="shared" ca="1" si="71"/>
        <v>290.01087937203806</v>
      </c>
      <c r="DD54" s="778">
        <f t="shared" ca="1" si="72"/>
        <v>0</v>
      </c>
      <c r="DE54" s="363">
        <f t="shared" ca="1" si="73"/>
        <v>0.79157518043313924</v>
      </c>
      <c r="DF54" s="378">
        <f t="shared" ca="1" si="74"/>
        <v>-0.23368499670881557</v>
      </c>
      <c r="DG54" s="508">
        <f t="shared" ca="1" si="75"/>
        <v>-0.86563891957507821</v>
      </c>
      <c r="DH54" s="508">
        <f t="shared" ca="1" si="76"/>
        <v>-0.78343841637412859</v>
      </c>
      <c r="DI54" s="508">
        <f t="shared" ca="1" si="77"/>
        <v>-1.8380034184413456</v>
      </c>
      <c r="DJ54" s="508">
        <f t="shared" ca="1" si="78"/>
        <v>-0.5856728602397786</v>
      </c>
      <c r="DK54" s="353">
        <f t="shared" ca="1" si="79"/>
        <v>-164.34006657779665</v>
      </c>
      <c r="DL54" s="781">
        <f t="shared" ca="1" si="80"/>
        <v>10.693393307851318</v>
      </c>
      <c r="DM54" s="303">
        <f t="shared" ca="1" si="81"/>
        <v>9618.0700824086653</v>
      </c>
      <c r="DN54" s="508">
        <f t="shared" ca="1" si="82"/>
        <v>0.92635166617771192</v>
      </c>
      <c r="DO54" s="508">
        <f t="shared" ca="1" si="83"/>
        <v>0.68121979379339337</v>
      </c>
      <c r="DP54" s="508">
        <f t="shared" ca="1" si="84"/>
        <v>0.71729057183848477</v>
      </c>
      <c r="DQ54" s="508">
        <f t="shared" ca="1" si="85"/>
        <v>0.61952293752465559</v>
      </c>
      <c r="DR54" s="508">
        <f t="shared" ca="1" si="86"/>
        <v>0.79268780588784493</v>
      </c>
      <c r="DS54" s="353">
        <f t="shared" ca="1" si="87"/>
        <v>8397.1989171496098</v>
      </c>
      <c r="DT54" s="353">
        <f t="shared" ca="1" si="88"/>
        <v>-6559.8097651122062</v>
      </c>
      <c r="DU54" s="380">
        <f t="shared" ca="1" si="189"/>
        <v>3.162217659137577</v>
      </c>
      <c r="DV54" s="303">
        <f t="shared" ca="1" si="89"/>
        <v>265.96926062553479</v>
      </c>
      <c r="DW54" s="303">
        <f t="shared" ca="1" si="90"/>
        <v>63.326014434651142</v>
      </c>
      <c r="DX54" s="303">
        <f t="shared" ca="1" si="91"/>
        <v>63.326014434651142</v>
      </c>
      <c r="DY54" s="303">
        <f t="shared" ca="1" si="92"/>
        <v>392.62128949483707</v>
      </c>
      <c r="DZ54" s="303">
        <f t="shared" ca="1" si="93"/>
        <v>196.31064474741854</v>
      </c>
      <c r="EA54" s="303">
        <f t="shared" ca="1" si="94"/>
        <v>588.93193424225558</v>
      </c>
      <c r="EB54" s="302">
        <f t="shared" ca="1" si="95"/>
        <v>34.899999739974739</v>
      </c>
      <c r="EC54" s="299">
        <f t="shared" ca="1" si="96"/>
        <v>22.569999908134339</v>
      </c>
      <c r="ED54" s="299">
        <f t="shared" ca="1" si="97"/>
        <v>24.064999591819944</v>
      </c>
      <c r="EE54" s="299">
        <f t="shared" ca="1" si="98"/>
        <v>31.16370942062067</v>
      </c>
      <c r="EF54" s="299">
        <f t="shared" ca="1" si="99"/>
        <v>20.22499771118164</v>
      </c>
      <c r="EG54" s="299">
        <f t="shared" ca="1" si="100"/>
        <v>27.517472184140995</v>
      </c>
      <c r="EH54" s="302">
        <f t="shared" ca="1" si="101"/>
        <v>30</v>
      </c>
      <c r="EI54" s="304">
        <f t="shared" ca="1" si="102"/>
        <v>0.1232589375</v>
      </c>
      <c r="EJ54" s="305">
        <f t="shared" ca="1" si="103"/>
        <v>0.1232589375</v>
      </c>
      <c r="EK54" s="305">
        <f t="shared" ca="1" si="104"/>
        <v>0.1232589375</v>
      </c>
      <c r="EL54" s="305">
        <f t="shared" ca="1" si="105"/>
        <v>0.1232589374999999</v>
      </c>
      <c r="EM54" s="305">
        <f t="shared" ca="1" si="106"/>
        <v>3.2941720000000008E-2</v>
      </c>
      <c r="EN54" s="305">
        <f t="shared" ca="1" si="107"/>
        <v>9.7698348410500471E-2</v>
      </c>
      <c r="EO54" s="305">
        <f t="shared" ca="1" si="108"/>
        <v>0.1232589375</v>
      </c>
      <c r="EP54" s="305">
        <f t="shared" ca="1" si="109"/>
        <v>0.1232589375</v>
      </c>
      <c r="EQ54" s="305">
        <f t="shared" ca="1" si="110"/>
        <v>0.1232589375</v>
      </c>
      <c r="ER54" s="305">
        <f t="shared" ca="1" si="111"/>
        <v>3.2941720000000008E-2</v>
      </c>
      <c r="ES54" s="305">
        <f t="shared" ca="1" si="112"/>
        <v>9.7698348410500471E-2</v>
      </c>
      <c r="ET54" s="299">
        <f t="shared" ca="1" si="113"/>
        <v>3.4723229369956208</v>
      </c>
      <c r="EU54" s="302">
        <f t="shared" ca="1" si="114"/>
        <v>30</v>
      </c>
      <c r="EV54" s="304">
        <f t="shared" ca="1" si="115"/>
        <v>0.3697768125</v>
      </c>
      <c r="EW54" s="305">
        <f t="shared" ca="1" si="116"/>
        <v>0.3697768125</v>
      </c>
      <c r="EX54" s="305">
        <f t="shared" ca="1" si="117"/>
        <v>0.3697768125</v>
      </c>
      <c r="EY54" s="305">
        <f t="shared" ca="1" si="118"/>
        <v>0.36977681250000005</v>
      </c>
      <c r="EZ54" s="305">
        <f t="shared" ca="1" si="119"/>
        <v>9.8825160000000023E-2</v>
      </c>
      <c r="FA54" s="305">
        <f t="shared" ca="1" si="120"/>
        <v>0.30118744815462301</v>
      </c>
      <c r="FB54" s="305">
        <f t="shared" ca="1" si="121"/>
        <v>0.3697768125</v>
      </c>
      <c r="FC54" s="305">
        <f t="shared" ca="1" si="122"/>
        <v>0.3697768125</v>
      </c>
      <c r="FD54" s="305">
        <f t="shared" ca="1" si="123"/>
        <v>0.3697768125</v>
      </c>
      <c r="FE54" s="305">
        <f t="shared" ca="1" si="124"/>
        <v>9.8825160000000023E-2</v>
      </c>
      <c r="FF54" s="305">
        <f t="shared" ca="1" si="125"/>
        <v>0.30118744815462301</v>
      </c>
      <c r="FG54" s="299">
        <f t="shared" ca="1" si="126"/>
        <v>4.9078123934192028</v>
      </c>
      <c r="FH54" s="302">
        <f t="shared" ca="1" si="127"/>
        <v>-1.4354894564235821</v>
      </c>
      <c r="FI54" s="248">
        <f t="shared" ca="1" si="128"/>
        <v>-845.4055821559042</v>
      </c>
      <c r="FJ54" s="363">
        <f t="shared" ca="1" si="129"/>
        <v>0.79157518043313924</v>
      </c>
      <c r="FK54" s="378">
        <f t="shared" ca="1" si="130"/>
        <v>0.58063739456508889</v>
      </c>
      <c r="FL54" s="508">
        <f t="shared" ca="1" si="131"/>
        <v>-1.4079190879786636</v>
      </c>
      <c r="FM54" s="508">
        <f t="shared" ca="1" si="132"/>
        <v>-1.1153060596756494</v>
      </c>
      <c r="FN54" s="508">
        <f t="shared" ca="1" si="133"/>
        <v>-6.7599925373210121</v>
      </c>
      <c r="FO54" s="508">
        <f t="shared" ca="1" si="134"/>
        <v>-0.58404376686399462</v>
      </c>
      <c r="FP54" s="353">
        <f t="shared" ca="1" si="135"/>
        <v>424.26928248609221</v>
      </c>
      <c r="FQ54" s="356">
        <f t="shared" ca="1" si="136"/>
        <v>38.010232534123027</v>
      </c>
      <c r="FR54" s="380">
        <f t="shared" ca="1" si="137"/>
        <v>21.252000000000002</v>
      </c>
      <c r="FS54" s="299">
        <f t="shared" ca="1" si="138"/>
        <v>21.252000000000002</v>
      </c>
      <c r="FT54" s="299">
        <f t="shared" ca="1" si="139"/>
        <v>21.252000000000002</v>
      </c>
      <c r="FU54" s="299">
        <f t="shared" ca="1" si="140"/>
        <v>21.252000000000002</v>
      </c>
      <c r="FV54" s="299">
        <f t="shared" ca="1" si="141"/>
        <v>21.252000000000006</v>
      </c>
      <c r="FW54" s="850">
        <f t="shared" ca="1" si="142"/>
        <v>0.17900000000000002</v>
      </c>
      <c r="FX54" s="851">
        <f t="shared" ca="1" si="143"/>
        <v>0.5</v>
      </c>
      <c r="FY54" s="851">
        <f t="shared" ca="1" si="144"/>
        <v>0</v>
      </c>
      <c r="FZ54" s="201">
        <f t="shared" ca="1" si="145"/>
        <v>0</v>
      </c>
      <c r="GA54" s="201">
        <f t="shared" ca="1" si="146"/>
        <v>0</v>
      </c>
      <c r="GB54" s="201">
        <f t="shared" ca="1" si="147"/>
        <v>0</v>
      </c>
      <c r="GC54" s="201">
        <f t="shared" ca="1" si="148"/>
        <v>0</v>
      </c>
      <c r="GD54" s="850">
        <f t="shared" ca="1" si="149"/>
        <v>0.38477681250000001</v>
      </c>
      <c r="GE54" s="866">
        <f t="shared" ca="1" si="150"/>
        <v>0.3697768125</v>
      </c>
      <c r="GF54" s="866">
        <f t="shared" ca="1" si="151"/>
        <v>0.37977681250000001</v>
      </c>
      <c r="GG54" s="866">
        <f t="shared" ca="1" si="152"/>
        <v>9.8825160000000023E-2</v>
      </c>
      <c r="GH54" s="866">
        <f t="shared" ca="1" si="153"/>
        <v>0.31618744815462302</v>
      </c>
      <c r="GI54" s="302">
        <f t="shared" ca="1" si="154"/>
        <v>15.420728151543798</v>
      </c>
      <c r="GJ54" s="299">
        <f t="shared" ca="1" si="155"/>
        <v>5.5978122935457435</v>
      </c>
      <c r="GK54" s="299">
        <f t="shared" ca="1" si="156"/>
        <v>6.7354574917328067</v>
      </c>
      <c r="GL54" s="299">
        <f t="shared" ca="1" si="157"/>
        <v>1.8003707311042136</v>
      </c>
      <c r="GM54" s="299">
        <f t="shared" ca="1" si="158"/>
        <v>8.4630664497711283</v>
      </c>
      <c r="GN54" s="302">
        <f t="shared" ca="1" si="159"/>
        <v>0.87138176920169519</v>
      </c>
      <c r="GO54" s="299">
        <f t="shared" ca="1" si="160"/>
        <v>0.65188851327538577</v>
      </c>
      <c r="GP54" s="299">
        <f t="shared" ca="1" si="161"/>
        <v>0.69322652721420608</v>
      </c>
      <c r="GQ54" s="299">
        <f t="shared" ca="1" si="162"/>
        <v>0.48353789996247415</v>
      </c>
      <c r="GR54" s="299">
        <f t="shared" ca="1" si="163"/>
        <v>0.78031034363836238</v>
      </c>
      <c r="GS54" s="302">
        <f t="shared" ca="1" si="164"/>
        <v>-0.70536896409218197</v>
      </c>
      <c r="GT54" s="299">
        <f t="shared" ca="1" si="165"/>
        <v>-0.42891544906948753</v>
      </c>
      <c r="GU54" s="299">
        <f t="shared" ca="1" si="166"/>
        <v>-0.46805188042856583</v>
      </c>
      <c r="GV54" s="299">
        <f t="shared" ca="1" si="167"/>
        <v>-0.37545555424559385</v>
      </c>
      <c r="GW54" s="299">
        <f t="shared" ca="1" si="168"/>
        <v>-0.61213547006861324</v>
      </c>
      <c r="GX54" s="303">
        <f t="shared" ca="1" si="169"/>
        <v>4101.4396647734739</v>
      </c>
      <c r="GY54" s="303">
        <f t="shared" ca="1" si="170"/>
        <v>354.48714210354535</v>
      </c>
      <c r="GZ54" s="303">
        <f t="shared" ca="1" si="171"/>
        <v>426.52967834545092</v>
      </c>
      <c r="HA54" s="303">
        <f t="shared" ca="1" si="172"/>
        <v>353.43193900744944</v>
      </c>
      <c r="HB54" s="303">
        <f t="shared" ca="1" si="173"/>
        <v>4984.1700938844497</v>
      </c>
      <c r="HC54" s="303">
        <f t="shared" ca="1" si="174"/>
        <v>3629.9483998585715</v>
      </c>
      <c r="HD54" s="303">
        <f t="shared" ca="1" si="175"/>
        <v>83.463681207383843</v>
      </c>
      <c r="HE54" s="303">
        <f t="shared" ca="1" si="176"/>
        <v>178.13605275625741</v>
      </c>
      <c r="HF54" s="303">
        <f t="shared" ca="1" si="177"/>
        <v>0</v>
      </c>
      <c r="HG54" s="852">
        <f t="shared" ca="1" si="178"/>
        <v>3689.9366523472027</v>
      </c>
    </row>
    <row r="55" spans="1:215" x14ac:dyDescent="0.25">
      <c r="A55" s="244">
        <f t="shared" ca="1" si="179"/>
        <v>37773</v>
      </c>
      <c r="B55" s="13">
        <f t="shared" ca="1" si="3"/>
        <v>2003</v>
      </c>
      <c r="C55" s="619">
        <f t="shared" ca="1" si="180"/>
        <v>6</v>
      </c>
      <c r="D55" s="195" t="str">
        <f t="shared" ca="1" si="4"/>
        <v/>
      </c>
      <c r="E55" s="469">
        <f t="shared" ca="1" si="5"/>
        <v>37773</v>
      </c>
      <c r="F55" s="465">
        <f t="shared" ca="1" si="6"/>
        <v>37802</v>
      </c>
      <c r="G55" s="522">
        <f t="shared" ca="1" si="181"/>
        <v>1</v>
      </c>
      <c r="H55" s="519">
        <f t="shared" ca="1" si="182"/>
        <v>1</v>
      </c>
      <c r="I55" s="724">
        <f t="shared" ca="1" si="7"/>
        <v>7.2178419252254003E-2</v>
      </c>
      <c r="J55" s="198">
        <f t="shared" ca="1" si="8"/>
        <v>0.78682273410589021</v>
      </c>
      <c r="K55" s="200">
        <f t="shared" ca="1" si="190"/>
        <v>45.37</v>
      </c>
      <c r="L55" s="201">
        <f t="shared" ca="1" si="191"/>
        <v>49</v>
      </c>
      <c r="M55" s="206">
        <f t="shared" ca="1" si="192"/>
        <v>52.63</v>
      </c>
      <c r="N55" s="851">
        <f t="shared" ca="1" si="196"/>
        <v>23.33625015258789</v>
      </c>
      <c r="O55" s="201">
        <f t="shared" ca="1" si="197"/>
        <v>26.058750152587891</v>
      </c>
      <c r="P55" s="206">
        <f t="shared" ca="1" si="198"/>
        <v>28.781250152587891</v>
      </c>
      <c r="Q55" s="201">
        <f t="shared" ca="1" si="199"/>
        <v>16.242499542236327</v>
      </c>
      <c r="R55" s="201">
        <f t="shared" ca="1" si="200"/>
        <v>19.542499542236328</v>
      </c>
      <c r="S55" s="201">
        <f t="shared" ca="1" si="201"/>
        <v>22.842499542236329</v>
      </c>
      <c r="T55" s="851">
        <f t="shared" ca="1" si="193"/>
        <v>17.739998779296872</v>
      </c>
      <c r="U55" s="201">
        <f t="shared" ca="1" si="194"/>
        <v>19.554998779296874</v>
      </c>
      <c r="V55" s="206">
        <f t="shared" ca="1" si="195"/>
        <v>21.369998779296875</v>
      </c>
      <c r="W55" s="230">
        <f t="shared" ca="1" si="183"/>
        <v>0.15442903124999999</v>
      </c>
      <c r="X55" s="231">
        <f t="shared" ca="1" si="184"/>
        <v>0.30885806249999997</v>
      </c>
      <c r="Y55" s="232">
        <f t="shared" ca="1" si="185"/>
        <v>0.46328709374999999</v>
      </c>
      <c r="Z55" s="231">
        <f t="shared" ca="1" si="202"/>
        <v>0.15442903124999999</v>
      </c>
      <c r="AA55" s="231">
        <f t="shared" ca="1" si="203"/>
        <v>0.30885806249999997</v>
      </c>
      <c r="AB55" s="232">
        <f t="shared" ca="1" si="204"/>
        <v>0.46328709374999999</v>
      </c>
      <c r="AC55" s="231">
        <f t="shared" ca="1" si="205"/>
        <v>0.15442903124999999</v>
      </c>
      <c r="AD55" s="231">
        <f t="shared" ca="1" si="206"/>
        <v>0.30885806249999997</v>
      </c>
      <c r="AE55" s="232">
        <f t="shared" ca="1" si="14"/>
        <v>0.46328709374999999</v>
      </c>
      <c r="AF55" s="231">
        <f t="shared" ca="1" si="186"/>
        <v>4.2353639999999998E-2</v>
      </c>
      <c r="AG55" s="231">
        <f t="shared" ca="1" si="187"/>
        <v>8.4707279999999996E-2</v>
      </c>
      <c r="AH55" s="232">
        <f t="shared" ca="1" si="188"/>
        <v>0.12706091999999999</v>
      </c>
      <c r="AI55" s="233">
        <f t="shared" ca="1" si="15"/>
        <v>1.65</v>
      </c>
      <c r="AJ55" s="233">
        <f t="shared" ca="1" si="16"/>
        <v>2</v>
      </c>
      <c r="AK55" s="234">
        <f t="shared" ca="1" si="17"/>
        <v>2.2999999999999998</v>
      </c>
      <c r="AL55" s="919">
        <f t="shared" ca="1" si="18"/>
        <v>1.65</v>
      </c>
      <c r="AM55" s="233">
        <f t="shared" ca="1" si="19"/>
        <v>2</v>
      </c>
      <c r="AN55" s="234">
        <f t="shared" ca="1" si="20"/>
        <v>2.2999999999999998</v>
      </c>
      <c r="AO55" s="233">
        <f t="shared" ca="1" si="21"/>
        <v>1.65</v>
      </c>
      <c r="AP55" s="233">
        <f t="shared" ca="1" si="22"/>
        <v>2</v>
      </c>
      <c r="AQ55" s="233">
        <f t="shared" ca="1" si="23"/>
        <v>2.2999999999999998</v>
      </c>
      <c r="AR55" s="919">
        <f t="shared" ca="1" si="24"/>
        <v>0.5</v>
      </c>
      <c r="AS55" s="233">
        <f t="shared" ca="1" si="25"/>
        <v>0.65</v>
      </c>
      <c r="AT55" s="235">
        <f t="shared" ca="1" si="26"/>
        <v>0.85000000000000009</v>
      </c>
      <c r="AU55" s="946">
        <f t="shared" si="27"/>
        <v>0.5</v>
      </c>
      <c r="AV55" s="13">
        <f t="shared" ca="1" si="28"/>
        <v>21</v>
      </c>
      <c r="AW55" s="210">
        <f t="shared" ca="1" si="29"/>
        <v>4</v>
      </c>
      <c r="AX55" s="210">
        <f t="shared" ca="1" si="30"/>
        <v>5</v>
      </c>
      <c r="AY55" s="210">
        <f t="shared" ca="1" si="31"/>
        <v>0</v>
      </c>
      <c r="AZ55" s="13">
        <f t="shared" ca="1" si="32"/>
        <v>30</v>
      </c>
      <c r="BA55" s="357">
        <f ca="1"/>
        <v>336</v>
      </c>
      <c r="BB55" s="925">
        <f ca="1"/>
        <v>64</v>
      </c>
      <c r="BC55" s="925">
        <f ca="1"/>
        <v>80</v>
      </c>
      <c r="BD55" s="928">
        <f ca="1"/>
        <v>240</v>
      </c>
      <c r="BE55" s="200">
        <f ca="1"/>
        <v>1.0000000037252903</v>
      </c>
      <c r="BF55" s="851">
        <f ca="1"/>
        <v>1.0000000037252903</v>
      </c>
      <c r="BG55" s="851">
        <f ca="1"/>
        <v>1.0000000037252903</v>
      </c>
      <c r="BH55" s="933">
        <f ca="1"/>
        <v>1</v>
      </c>
      <c r="BI55" s="357">
        <f ca="1"/>
        <v>336</v>
      </c>
      <c r="BJ55" s="925">
        <f ca="1"/>
        <v>64</v>
      </c>
      <c r="BK55" s="925">
        <f ca="1"/>
        <v>80</v>
      </c>
      <c r="BL55" s="928">
        <f ca="1"/>
        <v>240</v>
      </c>
      <c r="BM55" s="200">
        <f ca="1"/>
        <v>1.0000000037252903</v>
      </c>
      <c r="BN55" s="851">
        <f ca="1"/>
        <v>1.0000000037252903</v>
      </c>
      <c r="BO55" s="851">
        <f ca="1"/>
        <v>1.0000000037252903</v>
      </c>
      <c r="BP55" s="933">
        <f ca="1"/>
        <v>1</v>
      </c>
      <c r="BQ55" s="357">
        <f t="shared" ca="1" si="33"/>
        <v>720</v>
      </c>
      <c r="BR55" s="361">
        <f t="shared" ca="1" si="34"/>
        <v>720</v>
      </c>
      <c r="BS55" s="357">
        <f t="shared" ca="1" si="35"/>
        <v>566.51236855624097</v>
      </c>
      <c r="BT55" s="302">
        <f t="shared" ca="1" si="36"/>
        <v>30.965055204680194</v>
      </c>
      <c r="BU55" s="299">
        <f t="shared" ca="1" si="37"/>
        <v>33.87272187992496</v>
      </c>
      <c r="BV55" s="299">
        <f t="shared" ca="1" si="38"/>
        <v>36.780388555169729</v>
      </c>
      <c r="BW55" s="299">
        <f t="shared" ca="1" si="39"/>
        <v>32.659889647739881</v>
      </c>
      <c r="BX55" s="380">
        <f t="shared" ca="1" si="40"/>
        <v>3.247091033538672</v>
      </c>
      <c r="BY55" s="363">
        <f t="shared" ca="1" si="41"/>
        <v>264.37243865957913</v>
      </c>
      <c r="BZ55" s="353">
        <f t="shared" ca="1" si="42"/>
        <v>50.356654982776973</v>
      </c>
      <c r="CA55" s="353">
        <f t="shared" ca="1" si="43"/>
        <v>62.945818728471217</v>
      </c>
      <c r="CB55" s="353">
        <f t="shared" ca="1" si="44"/>
        <v>377.67491237082737</v>
      </c>
      <c r="CC55" s="353">
        <f t="shared" ca="1" si="45"/>
        <v>188.83745618541366</v>
      </c>
      <c r="CD55" s="353">
        <f t="shared" ca="1" si="46"/>
        <v>566.51236855624097</v>
      </c>
      <c r="CE55" s="302">
        <f t="shared" ca="1" si="47"/>
        <v>52.630000196062028</v>
      </c>
      <c r="CF55" s="299">
        <f t="shared" ca="1" si="48"/>
        <v>28.781250259806402</v>
      </c>
      <c r="CG55" s="299">
        <f t="shared" ca="1" si="49"/>
        <v>22.842499627331271</v>
      </c>
      <c r="CH55" s="299">
        <f t="shared" ca="1" si="50"/>
        <v>44.485583443106151</v>
      </c>
      <c r="CI55" s="299">
        <f t="shared" ca="1" si="51"/>
        <v>21.369998779296875</v>
      </c>
      <c r="CJ55" s="299">
        <f t="shared" ca="1" si="52"/>
        <v>36.780388555169729</v>
      </c>
      <c r="CK55" s="299">
        <f t="shared" ca="1" si="53"/>
        <v>32.659889647739881</v>
      </c>
      <c r="CL55" s="377">
        <f t="shared" ca="1" si="54"/>
        <v>0.46328709374999999</v>
      </c>
      <c r="CM55" s="305">
        <f t="shared" ca="1" si="55"/>
        <v>0.46328709374999999</v>
      </c>
      <c r="CN55" s="305">
        <f t="shared" ca="1" si="56"/>
        <v>0.46328709374999999</v>
      </c>
      <c r="CO55" s="305">
        <f t="shared" ca="1" si="57"/>
        <v>0.46328709374999999</v>
      </c>
      <c r="CP55" s="305">
        <f t="shared" ca="1" si="58"/>
        <v>0.12706091999999999</v>
      </c>
      <c r="CQ55" s="305">
        <f t="shared" ca="1" si="59"/>
        <v>0.4016419589135154</v>
      </c>
      <c r="CR55" s="775">
        <f t="shared" ca="1" si="60"/>
        <v>0.47828709375</v>
      </c>
      <c r="CS55" s="305">
        <f t="shared" ca="1" si="61"/>
        <v>0.47328709375</v>
      </c>
      <c r="CT55" s="305">
        <f t="shared" ca="1" si="62"/>
        <v>0.51328709375000003</v>
      </c>
      <c r="CU55" s="305">
        <f t="shared" ca="1" si="63"/>
        <v>0.18706091999999999</v>
      </c>
      <c r="CV55" s="770">
        <f t="shared" ca="1" si="64"/>
        <v>0.41664195891351541</v>
      </c>
      <c r="CW55" s="302">
        <f t="shared" ca="1" si="65"/>
        <v>26.157156517350472</v>
      </c>
      <c r="CX55" s="299">
        <f t="shared" ca="1" si="66"/>
        <v>8.309145662975002</v>
      </c>
      <c r="CY55" s="299">
        <f t="shared" ca="1" si="67"/>
        <v>5.6477813284753715</v>
      </c>
      <c r="CZ55" s="299">
        <f t="shared" ca="1" si="68"/>
        <v>0.43840995107817538</v>
      </c>
      <c r="DA55" s="774">
        <f t="shared" ca="1" si="69"/>
        <v>12.341271891076445</v>
      </c>
      <c r="DB55" s="303">
        <f t="shared" ca="1" si="70"/>
        <v>6991.4831700102759</v>
      </c>
      <c r="DC55" s="248">
        <f t="shared" ca="1" si="71"/>
        <v>398.37551451167889</v>
      </c>
      <c r="DD55" s="778">
        <f t="shared" ca="1" si="72"/>
        <v>2334.3135956814863</v>
      </c>
      <c r="DE55" s="363">
        <f t="shared" ca="1" si="73"/>
        <v>0.78682273410589021</v>
      </c>
      <c r="DF55" s="378">
        <f t="shared" ca="1" si="74"/>
        <v>0.12268684945462717</v>
      </c>
      <c r="DG55" s="508">
        <f t="shared" ca="1" si="75"/>
        <v>-0.57466109205194471</v>
      </c>
      <c r="DH55" s="508">
        <f t="shared" ca="1" si="76"/>
        <v>-0.84900742013651076</v>
      </c>
      <c r="DI55" s="508">
        <f t="shared" ca="1" si="77"/>
        <v>-1.4268821424829488</v>
      </c>
      <c r="DJ55" s="508">
        <f t="shared" ca="1" si="78"/>
        <v>-0.21712880157788794</v>
      </c>
      <c r="DK55" s="353">
        <f t="shared" ca="1" si="79"/>
        <v>-234.56672279754514</v>
      </c>
      <c r="DL55" s="781">
        <f t="shared" ca="1" si="80"/>
        <v>9.0023792989267761</v>
      </c>
      <c r="DM55" s="303">
        <f t="shared" ca="1" si="81"/>
        <v>13625.65218033131</v>
      </c>
      <c r="DN55" s="508">
        <f t="shared" ca="1" si="82"/>
        <v>1.1657081100802733</v>
      </c>
      <c r="DO55" s="508">
        <f t="shared" ca="1" si="83"/>
        <v>0.83072863016990561</v>
      </c>
      <c r="DP55" s="508">
        <f t="shared" ca="1" si="84"/>
        <v>0.70246644607970032</v>
      </c>
      <c r="DQ55" s="508">
        <f t="shared" ca="1" si="85"/>
        <v>0.66548385410727673</v>
      </c>
      <c r="DR55" s="508">
        <f t="shared" ca="1" si="86"/>
        <v>0.96683819388641923</v>
      </c>
      <c r="DS55" s="353">
        <f t="shared" ca="1" si="87"/>
        <v>9386.4018007260493</v>
      </c>
      <c r="DT55" s="353">
        <f t="shared" ca="1" si="88"/>
        <v>-7578.0414685127489</v>
      </c>
      <c r="DU55" s="380">
        <f t="shared" ca="1" si="189"/>
        <v>3.247091033538672</v>
      </c>
      <c r="DV55" s="303">
        <f t="shared" ca="1" si="89"/>
        <v>264.37243865957913</v>
      </c>
      <c r="DW55" s="303">
        <f t="shared" ca="1" si="90"/>
        <v>50.356654982776973</v>
      </c>
      <c r="DX55" s="303">
        <f t="shared" ca="1" si="91"/>
        <v>62.945818728471217</v>
      </c>
      <c r="DY55" s="303">
        <f t="shared" ca="1" si="92"/>
        <v>377.67491237082737</v>
      </c>
      <c r="DZ55" s="303">
        <f t="shared" ca="1" si="93"/>
        <v>188.83745618541366</v>
      </c>
      <c r="EA55" s="303">
        <f t="shared" ca="1" si="94"/>
        <v>566.51236855624097</v>
      </c>
      <c r="EB55" s="302">
        <f t="shared" ca="1" si="95"/>
        <v>52.630000196062028</v>
      </c>
      <c r="EC55" s="299">
        <f t="shared" ca="1" si="96"/>
        <v>28.781250259806402</v>
      </c>
      <c r="ED55" s="299">
        <f t="shared" ca="1" si="97"/>
        <v>22.842499627331271</v>
      </c>
      <c r="EE55" s="299">
        <f t="shared" ca="1" si="98"/>
        <v>44.485583443106151</v>
      </c>
      <c r="EF55" s="299">
        <f t="shared" ca="1" si="99"/>
        <v>21.369998779296875</v>
      </c>
      <c r="EG55" s="299">
        <f t="shared" ca="1" si="100"/>
        <v>36.780388555169729</v>
      </c>
      <c r="EH55" s="302">
        <f t="shared" ca="1" si="101"/>
        <v>30</v>
      </c>
      <c r="EI55" s="304">
        <f t="shared" ca="1" si="102"/>
        <v>0.15442903124999999</v>
      </c>
      <c r="EJ55" s="305">
        <f t="shared" ca="1" si="103"/>
        <v>0.15442903124999999</v>
      </c>
      <c r="EK55" s="305">
        <f t="shared" ca="1" si="104"/>
        <v>0.15442903124999999</v>
      </c>
      <c r="EL55" s="305">
        <f t="shared" ca="1" si="105"/>
        <v>0.1544290312499999</v>
      </c>
      <c r="EM55" s="305">
        <f t="shared" ca="1" si="106"/>
        <v>4.2353639999999998E-2</v>
      </c>
      <c r="EN55" s="305">
        <f t="shared" ca="1" si="107"/>
        <v>0.12942889982198627</v>
      </c>
      <c r="EO55" s="305">
        <f t="shared" ca="1" si="108"/>
        <v>0.15442903124999999</v>
      </c>
      <c r="EP55" s="305">
        <f t="shared" ca="1" si="109"/>
        <v>0.15442903124999999</v>
      </c>
      <c r="EQ55" s="305">
        <f t="shared" ca="1" si="110"/>
        <v>0.15442903124999999</v>
      </c>
      <c r="ER55" s="305">
        <f t="shared" ca="1" si="111"/>
        <v>4.2353639999999998E-2</v>
      </c>
      <c r="ES55" s="305">
        <f t="shared" ca="1" si="112"/>
        <v>0.12942889982198627</v>
      </c>
      <c r="ET55" s="299">
        <f t="shared" ca="1" si="113"/>
        <v>0.81293992569757734</v>
      </c>
      <c r="EU55" s="302">
        <f t="shared" ca="1" si="114"/>
        <v>30</v>
      </c>
      <c r="EV55" s="304">
        <f t="shared" ca="1" si="115"/>
        <v>0.46328709374999999</v>
      </c>
      <c r="EW55" s="305">
        <f t="shared" ca="1" si="116"/>
        <v>0.46328709374999999</v>
      </c>
      <c r="EX55" s="305">
        <f t="shared" ca="1" si="117"/>
        <v>0.46328709374999999</v>
      </c>
      <c r="EY55" s="305">
        <f t="shared" ca="1" si="118"/>
        <v>0.46328709374999999</v>
      </c>
      <c r="EZ55" s="305">
        <f t="shared" ca="1" si="119"/>
        <v>0.12706091999999999</v>
      </c>
      <c r="FA55" s="305">
        <f t="shared" ca="1" si="120"/>
        <v>0.4016419589135154</v>
      </c>
      <c r="FB55" s="305">
        <f t="shared" ca="1" si="121"/>
        <v>0.46328709374999999</v>
      </c>
      <c r="FC55" s="305">
        <f t="shared" ca="1" si="122"/>
        <v>0.46328709374999999</v>
      </c>
      <c r="FD55" s="305">
        <f t="shared" ca="1" si="123"/>
        <v>0.46328709374999999</v>
      </c>
      <c r="FE55" s="305">
        <f t="shared" ca="1" si="124"/>
        <v>0.12706091999999999</v>
      </c>
      <c r="FF55" s="305">
        <f t="shared" ca="1" si="125"/>
        <v>0.4016419589135154</v>
      </c>
      <c r="FG55" s="299">
        <f t="shared" ca="1" si="126"/>
        <v>13.178714461179116</v>
      </c>
      <c r="FH55" s="302">
        <f t="shared" ca="1" si="127"/>
        <v>-12.365774535481538</v>
      </c>
      <c r="FI55" s="248">
        <f t="shared" ca="1" si="128"/>
        <v>-7005.3642211280967</v>
      </c>
      <c r="FJ55" s="363">
        <f t="shared" ca="1" si="129"/>
        <v>0.78682273410589021</v>
      </c>
      <c r="FK55" s="378">
        <f t="shared" ca="1" si="130"/>
        <v>1.8807571056965382</v>
      </c>
      <c r="FL55" s="508">
        <f t="shared" ca="1" si="131"/>
        <v>-0.28817433971377304</v>
      </c>
      <c r="FM55" s="508">
        <f t="shared" ca="1" si="132"/>
        <v>-1.1186487449062636</v>
      </c>
      <c r="FN55" s="508">
        <f t="shared" ca="1" si="133"/>
        <v>-4.4827311529331642</v>
      </c>
      <c r="FO55" s="508">
        <f t="shared" ca="1" si="134"/>
        <v>0.75707427841054853</v>
      </c>
      <c r="FP55" s="353">
        <f t="shared" ca="1" si="135"/>
        <v>127.18350511458648</v>
      </c>
      <c r="FQ55" s="356">
        <f t="shared" ca="1" si="136"/>
        <v>24.252665036158117</v>
      </c>
      <c r="FR55" s="380">
        <f t="shared" ca="1" si="137"/>
        <v>21.3</v>
      </c>
      <c r="FS55" s="299">
        <f t="shared" ca="1" si="138"/>
        <v>21.3</v>
      </c>
      <c r="FT55" s="299">
        <f t="shared" ca="1" si="139"/>
        <v>21.3</v>
      </c>
      <c r="FU55" s="299">
        <f t="shared" ca="1" si="140"/>
        <v>21.3</v>
      </c>
      <c r="FV55" s="299">
        <f t="shared" ca="1" si="141"/>
        <v>21.300000000000004</v>
      </c>
      <c r="FW55" s="850">
        <f t="shared" ca="1" si="142"/>
        <v>0.17900000000000002</v>
      </c>
      <c r="FX55" s="851">
        <f t="shared" ca="1" si="143"/>
        <v>0.5</v>
      </c>
      <c r="FY55" s="851">
        <f t="shared" ca="1" si="144"/>
        <v>0</v>
      </c>
      <c r="FZ55" s="201">
        <f t="shared" ca="1" si="145"/>
        <v>0</v>
      </c>
      <c r="GA55" s="201">
        <f t="shared" ca="1" si="146"/>
        <v>0</v>
      </c>
      <c r="GB55" s="201">
        <f t="shared" ca="1" si="147"/>
        <v>0</v>
      </c>
      <c r="GC55" s="201">
        <f t="shared" ca="1" si="148"/>
        <v>0</v>
      </c>
      <c r="GD55" s="850">
        <f t="shared" ca="1" si="149"/>
        <v>0.47828709375</v>
      </c>
      <c r="GE55" s="866">
        <f t="shared" ca="1" si="150"/>
        <v>0.47828709375</v>
      </c>
      <c r="GF55" s="866">
        <f t="shared" ca="1" si="151"/>
        <v>0.46578709374999999</v>
      </c>
      <c r="GG55" s="866">
        <f t="shared" ca="1" si="152"/>
        <v>0.12706091999999999</v>
      </c>
      <c r="GH55" s="866">
        <f t="shared" ca="1" si="153"/>
        <v>0.41664195891351541</v>
      </c>
      <c r="GI55" s="302">
        <f t="shared" ca="1" si="154"/>
        <v>32.682392198874879</v>
      </c>
      <c r="GJ55" s="299">
        <f t="shared" ca="1" si="155"/>
        <v>11.646697492831176</v>
      </c>
      <c r="GK55" s="299">
        <f t="shared" ca="1" si="156"/>
        <v>7.1140316738081601</v>
      </c>
      <c r="GL55" s="299">
        <f t="shared" ca="1" si="157"/>
        <v>2.473131539324871</v>
      </c>
      <c r="GM55" s="299">
        <f t="shared" ca="1" si="158"/>
        <v>17.47000744619848</v>
      </c>
      <c r="GN55" s="302">
        <f t="shared" ca="1" si="159"/>
        <v>0.94254122663127238</v>
      </c>
      <c r="GO55" s="299">
        <f t="shared" ca="1" si="160"/>
        <v>0.78119072246396293</v>
      </c>
      <c r="GP55" s="299">
        <f t="shared" ca="1" si="161"/>
        <v>0.67796296858096849</v>
      </c>
      <c r="GQ55" s="299">
        <f t="shared" ca="1" si="162"/>
        <v>0.56163901990094522</v>
      </c>
      <c r="GR55" s="299">
        <f t="shared" ca="1" si="163"/>
        <v>0.87769816401215794</v>
      </c>
      <c r="GS55" s="302">
        <f t="shared" ca="1" si="164"/>
        <v>-0.79453310506156138</v>
      </c>
      <c r="GT55" s="299">
        <f t="shared" ca="1" si="165"/>
        <v>-0.50877715409320268</v>
      </c>
      <c r="GU55" s="299">
        <f t="shared" ca="1" si="166"/>
        <v>-0.39306741045312799</v>
      </c>
      <c r="GV55" s="299">
        <f t="shared" ca="1" si="167"/>
        <v>-0.44737523889781833</v>
      </c>
      <c r="GW55" s="299">
        <f t="shared" ca="1" si="168"/>
        <v>-0.69540284355705773</v>
      </c>
      <c r="GX55" s="303">
        <f t="shared" ca="1" si="169"/>
        <v>8640.3237268453558</v>
      </c>
      <c r="GY55" s="303">
        <f t="shared" ca="1" si="170"/>
        <v>586.4887273352731</v>
      </c>
      <c r="GZ55" s="303">
        <f t="shared" ca="1" si="171"/>
        <v>447.79854816813111</v>
      </c>
      <c r="HA55" s="303">
        <f t="shared" ca="1" si="172"/>
        <v>467.01986869802494</v>
      </c>
      <c r="HB55" s="303">
        <f t="shared" ca="1" si="173"/>
        <v>9896.9752970410682</v>
      </c>
      <c r="HC55" s="303">
        <f t="shared" ca="1" si="174"/>
        <v>8282.7885550380106</v>
      </c>
      <c r="HD55" s="303">
        <f t="shared" ca="1" si="175"/>
        <v>376.73073817288156</v>
      </c>
      <c r="HE55" s="303">
        <f t="shared" ca="1" si="176"/>
        <v>97.093901930728578</v>
      </c>
      <c r="HF55" s="303">
        <f t="shared" ca="1" si="177"/>
        <v>13.218391418505913</v>
      </c>
      <c r="HG55" s="852">
        <f t="shared" ca="1" si="178"/>
        <v>8769.8315865601253</v>
      </c>
    </row>
    <row r="56" spans="1:215" x14ac:dyDescent="0.25">
      <c r="A56" s="244">
        <f t="shared" ca="1" si="179"/>
        <v>37803</v>
      </c>
      <c r="B56" s="13">
        <f t="shared" ca="1" si="3"/>
        <v>2003</v>
      </c>
      <c r="C56" s="619">
        <f t="shared" ca="1" si="180"/>
        <v>7</v>
      </c>
      <c r="D56" s="195">
        <f t="shared" ca="1" si="4"/>
        <v>37806</v>
      </c>
      <c r="E56" s="469">
        <f t="shared" ca="1" si="5"/>
        <v>37803</v>
      </c>
      <c r="F56" s="465">
        <f t="shared" ca="1" si="6"/>
        <v>37833</v>
      </c>
      <c r="G56" s="522">
        <f t="shared" ca="1" si="181"/>
        <v>1</v>
      </c>
      <c r="H56" s="519">
        <f t="shared" ca="1" si="182"/>
        <v>1</v>
      </c>
      <c r="I56" s="724">
        <f t="shared" ca="1" si="7"/>
        <v>7.2234722830806009E-2</v>
      </c>
      <c r="J56" s="198">
        <f t="shared" ca="1" si="8"/>
        <v>0.78195449781268733</v>
      </c>
      <c r="K56" s="200">
        <f t="shared" ca="1" si="190"/>
        <v>66.5</v>
      </c>
      <c r="L56" s="201">
        <f t="shared" ca="1" si="191"/>
        <v>70.5</v>
      </c>
      <c r="M56" s="206">
        <f t="shared" ca="1" si="192"/>
        <v>74.5</v>
      </c>
      <c r="N56" s="851">
        <f t="shared" ca="1" si="196"/>
        <v>36.261249542236328</v>
      </c>
      <c r="O56" s="201">
        <f t="shared" ca="1" si="197"/>
        <v>39.261249542236328</v>
      </c>
      <c r="P56" s="206">
        <f t="shared" ca="1" si="198"/>
        <v>42.261249542236328</v>
      </c>
      <c r="Q56" s="201">
        <f t="shared" ca="1" si="199"/>
        <v>25.447499465942382</v>
      </c>
      <c r="R56" s="201">
        <f t="shared" ca="1" si="200"/>
        <v>28.747499465942383</v>
      </c>
      <c r="S56" s="201">
        <f t="shared" ca="1" si="201"/>
        <v>32.04749946594238</v>
      </c>
      <c r="T56" s="851">
        <f t="shared" ca="1" si="193"/>
        <v>22.049997711181639</v>
      </c>
      <c r="U56" s="201">
        <f t="shared" ca="1" si="194"/>
        <v>24.049997711181639</v>
      </c>
      <c r="V56" s="206">
        <f t="shared" ca="1" si="195"/>
        <v>26.049997711181639</v>
      </c>
      <c r="W56" s="230">
        <f t="shared" ca="1" si="183"/>
        <v>0.18285778124999999</v>
      </c>
      <c r="X56" s="231">
        <f t="shared" ca="1" si="184"/>
        <v>0.36571556249999998</v>
      </c>
      <c r="Y56" s="232">
        <f t="shared" ca="1" si="185"/>
        <v>0.54857334375</v>
      </c>
      <c r="Z56" s="231">
        <f t="shared" ca="1" si="202"/>
        <v>0.18285778124999999</v>
      </c>
      <c r="AA56" s="231">
        <f t="shared" ca="1" si="203"/>
        <v>0.36571556249999998</v>
      </c>
      <c r="AB56" s="232">
        <f t="shared" ca="1" si="204"/>
        <v>0.54857334375</v>
      </c>
      <c r="AC56" s="231">
        <f t="shared" ca="1" si="205"/>
        <v>0.18285778124999999</v>
      </c>
      <c r="AD56" s="231">
        <f t="shared" ca="1" si="206"/>
        <v>0.36571556249999998</v>
      </c>
      <c r="AE56" s="232">
        <f t="shared" ca="1" si="14"/>
        <v>0.54857334375</v>
      </c>
      <c r="AF56" s="231">
        <f t="shared" ca="1" si="186"/>
        <v>5.647151999999999E-2</v>
      </c>
      <c r="AG56" s="231">
        <f t="shared" ca="1" si="187"/>
        <v>0.11294303999999998</v>
      </c>
      <c r="AH56" s="232">
        <f t="shared" ca="1" si="188"/>
        <v>0.16941455999999996</v>
      </c>
      <c r="AI56" s="233">
        <f t="shared" ca="1" si="15"/>
        <v>2.65</v>
      </c>
      <c r="AJ56" s="233">
        <f t="shared" ca="1" si="16"/>
        <v>3</v>
      </c>
      <c r="AK56" s="234">
        <f t="shared" ca="1" si="17"/>
        <v>3.5</v>
      </c>
      <c r="AL56" s="919">
        <f t="shared" ca="1" si="18"/>
        <v>2.65</v>
      </c>
      <c r="AM56" s="233">
        <f t="shared" ca="1" si="19"/>
        <v>3</v>
      </c>
      <c r="AN56" s="234">
        <f t="shared" ca="1" si="20"/>
        <v>3.5</v>
      </c>
      <c r="AO56" s="233">
        <f t="shared" ca="1" si="21"/>
        <v>2.65</v>
      </c>
      <c r="AP56" s="233">
        <f t="shared" ca="1" si="22"/>
        <v>3</v>
      </c>
      <c r="AQ56" s="233">
        <f t="shared" ca="1" si="23"/>
        <v>3.5</v>
      </c>
      <c r="AR56" s="919">
        <f t="shared" ca="1" si="24"/>
        <v>0.6</v>
      </c>
      <c r="AS56" s="233">
        <f t="shared" ca="1" si="25"/>
        <v>0.75</v>
      </c>
      <c r="AT56" s="235">
        <f t="shared" ca="1" si="26"/>
        <v>0.95</v>
      </c>
      <c r="AU56" s="946">
        <f t="shared" si="27"/>
        <v>0.5</v>
      </c>
      <c r="AV56" s="13">
        <f t="shared" ca="1" si="28"/>
        <v>22</v>
      </c>
      <c r="AW56" s="210">
        <f t="shared" ca="1" si="29"/>
        <v>4</v>
      </c>
      <c r="AX56" s="210">
        <f t="shared" ca="1" si="30"/>
        <v>4</v>
      </c>
      <c r="AY56" s="210">
        <f t="shared" ca="1" si="31"/>
        <v>1</v>
      </c>
      <c r="AZ56" s="13">
        <f t="shared" ca="1" si="32"/>
        <v>31</v>
      </c>
      <c r="BA56" s="357">
        <f ca="1"/>
        <v>352</v>
      </c>
      <c r="BB56" s="925">
        <f ca="1"/>
        <v>64</v>
      </c>
      <c r="BC56" s="925">
        <f ca="1"/>
        <v>80</v>
      </c>
      <c r="BD56" s="928">
        <f ca="1"/>
        <v>248</v>
      </c>
      <c r="BE56" s="200">
        <f ca="1"/>
        <v>1.0000000111758709</v>
      </c>
      <c r="BF56" s="851">
        <f ca="1"/>
        <v>1.0000000111758709</v>
      </c>
      <c r="BG56" s="851">
        <f ca="1"/>
        <v>1.0000000111758709</v>
      </c>
      <c r="BH56" s="933">
        <f ca="1"/>
        <v>1.0000000149011612</v>
      </c>
      <c r="BI56" s="357">
        <f ca="1"/>
        <v>352</v>
      </c>
      <c r="BJ56" s="925">
        <f ca="1"/>
        <v>64</v>
      </c>
      <c r="BK56" s="925">
        <f ca="1"/>
        <v>80</v>
      </c>
      <c r="BL56" s="928">
        <f ca="1"/>
        <v>248</v>
      </c>
      <c r="BM56" s="200">
        <f ca="1"/>
        <v>1.0000000111758709</v>
      </c>
      <c r="BN56" s="851">
        <f ca="1"/>
        <v>1.0000000111758709</v>
      </c>
      <c r="BO56" s="851">
        <f ca="1"/>
        <v>1.0000000111758709</v>
      </c>
      <c r="BP56" s="933">
        <f ca="1"/>
        <v>1.0000000149011612</v>
      </c>
      <c r="BQ56" s="357">
        <f t="shared" ca="1" si="33"/>
        <v>744</v>
      </c>
      <c r="BR56" s="361">
        <f t="shared" ca="1" si="34"/>
        <v>744</v>
      </c>
      <c r="BS56" s="357">
        <f t="shared" ca="1" si="35"/>
        <v>581.77414637263939</v>
      </c>
      <c r="BT56" s="302">
        <f t="shared" ca="1" si="36"/>
        <v>44.667902892647518</v>
      </c>
      <c r="BU56" s="299">
        <f t="shared" ca="1" si="37"/>
        <v>47.839945941334079</v>
      </c>
      <c r="BV56" s="299">
        <f t="shared" ca="1" si="38"/>
        <v>51.011988990020633</v>
      </c>
      <c r="BW56" s="299">
        <f t="shared" ca="1" si="39"/>
        <v>32.659889647739881</v>
      </c>
      <c r="BX56" s="380">
        <f t="shared" ca="1" si="40"/>
        <v>3.3292265571526354</v>
      </c>
      <c r="BY56" s="363">
        <f t="shared" ca="1" si="41"/>
        <v>275.24798323006593</v>
      </c>
      <c r="BZ56" s="353">
        <f t="shared" ca="1" si="42"/>
        <v>50.045087860011989</v>
      </c>
      <c r="CA56" s="353">
        <f t="shared" ca="1" si="43"/>
        <v>62.556359825014987</v>
      </c>
      <c r="CB56" s="353">
        <f t="shared" ca="1" si="44"/>
        <v>387.84943091509285</v>
      </c>
      <c r="CC56" s="353">
        <f t="shared" ca="1" si="45"/>
        <v>193.92471545754645</v>
      </c>
      <c r="CD56" s="353">
        <f t="shared" ca="1" si="46"/>
        <v>581.77414637263928</v>
      </c>
      <c r="CE56" s="302">
        <f t="shared" ca="1" si="47"/>
        <v>74.500000832602382</v>
      </c>
      <c r="CF56" s="299">
        <f t="shared" ca="1" si="48"/>
        <v>42.261250014542597</v>
      </c>
      <c r="CG56" s="299">
        <f t="shared" ca="1" si="49"/>
        <v>32.047499824101095</v>
      </c>
      <c r="CH56" s="299">
        <f t="shared" ca="1" si="50"/>
        <v>63.492984435352533</v>
      </c>
      <c r="CI56" s="299">
        <f t="shared" ca="1" si="51"/>
        <v>26.049998099356856</v>
      </c>
      <c r="CJ56" s="299">
        <f t="shared" ca="1" si="52"/>
        <v>51.01198899002064</v>
      </c>
      <c r="CK56" s="299">
        <f t="shared" ca="1" si="53"/>
        <v>32.659889647739881</v>
      </c>
      <c r="CL56" s="377">
        <f t="shared" ca="1" si="54"/>
        <v>0.54857334375</v>
      </c>
      <c r="CM56" s="305">
        <f t="shared" ca="1" si="55"/>
        <v>0.54857334375</v>
      </c>
      <c r="CN56" s="305">
        <f t="shared" ca="1" si="56"/>
        <v>0.54857334375</v>
      </c>
      <c r="CO56" s="305">
        <f t="shared" ca="1" si="57"/>
        <v>0.54857334375000011</v>
      </c>
      <c r="CP56" s="305">
        <f t="shared" ca="1" si="58"/>
        <v>0.16941455999999996</v>
      </c>
      <c r="CQ56" s="305">
        <f t="shared" ca="1" si="59"/>
        <v>0.49173973858219261</v>
      </c>
      <c r="CR56" s="775">
        <f t="shared" ca="1" si="60"/>
        <v>0.56357334375000001</v>
      </c>
      <c r="CS56" s="305">
        <f t="shared" ca="1" si="61"/>
        <v>0.56357334375000001</v>
      </c>
      <c r="CT56" s="305">
        <f t="shared" ca="1" si="62"/>
        <v>0.54857334375</v>
      </c>
      <c r="CU56" s="305">
        <f t="shared" ca="1" si="63"/>
        <v>0.19441455999999996</v>
      </c>
      <c r="CV56" s="770">
        <f t="shared" ca="1" si="64"/>
        <v>0.50673973858219257</v>
      </c>
      <c r="CW56" s="302">
        <f t="shared" ca="1" si="65"/>
        <v>47.463152315925335</v>
      </c>
      <c r="CX56" s="299">
        <f t="shared" ca="1" si="66"/>
        <v>19.935052526179156</v>
      </c>
      <c r="CY56" s="299">
        <f t="shared" ca="1" si="67"/>
        <v>12.09554166534337</v>
      </c>
      <c r="CZ56" s="299">
        <f t="shared" ca="1" si="68"/>
        <v>1.6272377438500394</v>
      </c>
      <c r="DA56" s="774">
        <f t="shared" ca="1" si="69"/>
        <v>25.625472601840013</v>
      </c>
      <c r="DB56" s="303">
        <f t="shared" ca="1" si="70"/>
        <v>14908.237448330929</v>
      </c>
      <c r="DC56" s="248">
        <f t="shared" ca="1" si="71"/>
        <v>481.45443914584143</v>
      </c>
      <c r="DD56" s="778">
        <f t="shared" ca="1" si="72"/>
        <v>10676.776929001264</v>
      </c>
      <c r="DE56" s="363">
        <f t="shared" ca="1" si="73"/>
        <v>0.78195449781268733</v>
      </c>
      <c r="DF56" s="378">
        <f t="shared" ca="1" si="74"/>
        <v>0.2877991532949048</v>
      </c>
      <c r="DG56" s="508">
        <f t="shared" ca="1" si="75"/>
        <v>-0.26352396814373302</v>
      </c>
      <c r="DH56" s="508">
        <f t="shared" ca="1" si="76"/>
        <v>-0.51937890988208935</v>
      </c>
      <c r="DI56" s="508">
        <f t="shared" ca="1" si="77"/>
        <v>-0.81483309623302369</v>
      </c>
      <c r="DJ56" s="508">
        <f t="shared" ca="1" si="78"/>
        <v>1.9970653504657369E-2</v>
      </c>
      <c r="DK56" s="353">
        <f t="shared" ca="1" si="79"/>
        <v>-295.52186336623186</v>
      </c>
      <c r="DL56" s="781">
        <f t="shared" ca="1" si="80"/>
        <v>7.6843424615505196</v>
      </c>
      <c r="DM56" s="303">
        <f t="shared" ca="1" si="81"/>
        <v>21215.378476956077</v>
      </c>
      <c r="DN56" s="508">
        <f t="shared" ca="1" si="82"/>
        <v>1.3642210708143729</v>
      </c>
      <c r="DO56" s="508">
        <f t="shared" ca="1" si="83"/>
        <v>1.053478981569588</v>
      </c>
      <c r="DP56" s="508">
        <f t="shared" ca="1" si="84"/>
        <v>0.90184216482369783</v>
      </c>
      <c r="DQ56" s="508">
        <f t="shared" ca="1" si="85"/>
        <v>0.7882719094765509</v>
      </c>
      <c r="DR56" s="508">
        <f t="shared" ca="1" si="86"/>
        <v>1.156628810497818</v>
      </c>
      <c r="DS56" s="353">
        <f t="shared" ca="1" si="87"/>
        <v>11066.521885715243</v>
      </c>
      <c r="DT56" s="353">
        <f t="shared" ca="1" si="88"/>
        <v>-8548.6711416559483</v>
      </c>
      <c r="DU56" s="380">
        <f t="shared" ca="1" si="189"/>
        <v>3.3292265571526354</v>
      </c>
      <c r="DV56" s="303">
        <f t="shared" ca="1" si="89"/>
        <v>275.24798323006593</v>
      </c>
      <c r="DW56" s="303">
        <f t="shared" ca="1" si="90"/>
        <v>50.045087860011989</v>
      </c>
      <c r="DX56" s="303">
        <f t="shared" ca="1" si="91"/>
        <v>62.556359825014987</v>
      </c>
      <c r="DY56" s="303">
        <f t="shared" ca="1" si="92"/>
        <v>387.84943091509285</v>
      </c>
      <c r="DZ56" s="303">
        <f t="shared" ca="1" si="93"/>
        <v>193.92471545754645</v>
      </c>
      <c r="EA56" s="303">
        <f t="shared" ca="1" si="94"/>
        <v>581.77414637263928</v>
      </c>
      <c r="EB56" s="302">
        <f t="shared" ca="1" si="95"/>
        <v>74.500000832602382</v>
      </c>
      <c r="EC56" s="299">
        <f t="shared" ca="1" si="96"/>
        <v>42.261250014542597</v>
      </c>
      <c r="ED56" s="299">
        <f t="shared" ca="1" si="97"/>
        <v>32.047499824101095</v>
      </c>
      <c r="EE56" s="299">
        <f t="shared" ca="1" si="98"/>
        <v>63.492984435352533</v>
      </c>
      <c r="EF56" s="299">
        <f t="shared" ca="1" si="99"/>
        <v>26.049998099356856</v>
      </c>
      <c r="EG56" s="299">
        <f t="shared" ca="1" si="100"/>
        <v>51.01198899002064</v>
      </c>
      <c r="EH56" s="302">
        <f t="shared" ca="1" si="101"/>
        <v>30</v>
      </c>
      <c r="EI56" s="304">
        <f t="shared" ca="1" si="102"/>
        <v>0.18285778124999999</v>
      </c>
      <c r="EJ56" s="305">
        <f t="shared" ca="1" si="103"/>
        <v>0.18285778124999999</v>
      </c>
      <c r="EK56" s="305">
        <f t="shared" ca="1" si="104"/>
        <v>0.18285778124999999</v>
      </c>
      <c r="EL56" s="305">
        <f t="shared" ca="1" si="105"/>
        <v>0.18285778124999999</v>
      </c>
      <c r="EM56" s="305">
        <f t="shared" ca="1" si="106"/>
        <v>5.647151999999999E-2</v>
      </c>
      <c r="EN56" s="305">
        <f t="shared" ca="1" si="107"/>
        <v>0.15766781641582825</v>
      </c>
      <c r="EO56" s="305">
        <f t="shared" ca="1" si="108"/>
        <v>0.18285778124999999</v>
      </c>
      <c r="EP56" s="305">
        <f t="shared" ca="1" si="109"/>
        <v>0.18285778124999999</v>
      </c>
      <c r="EQ56" s="305">
        <f t="shared" ca="1" si="110"/>
        <v>0.18285778124999999</v>
      </c>
      <c r="ER56" s="305">
        <f t="shared" ca="1" si="111"/>
        <v>5.647151999999999E-2</v>
      </c>
      <c r="ES56" s="305">
        <f t="shared" ca="1" si="112"/>
        <v>0.15766781641582825</v>
      </c>
      <c r="ET56" s="299">
        <f t="shared" ca="1" si="113"/>
        <v>0.14209519977804574</v>
      </c>
      <c r="EU56" s="302">
        <f t="shared" ca="1" si="114"/>
        <v>30</v>
      </c>
      <c r="EV56" s="304">
        <f t="shared" ca="1" si="115"/>
        <v>0.54857334375</v>
      </c>
      <c r="EW56" s="305">
        <f t="shared" ca="1" si="116"/>
        <v>0.54857334375</v>
      </c>
      <c r="EX56" s="305">
        <f t="shared" ca="1" si="117"/>
        <v>0.54857334375</v>
      </c>
      <c r="EY56" s="305">
        <f t="shared" ca="1" si="118"/>
        <v>0.54857334375000011</v>
      </c>
      <c r="EZ56" s="305">
        <f t="shared" ca="1" si="119"/>
        <v>0.16941455999999996</v>
      </c>
      <c r="FA56" s="305">
        <f t="shared" ca="1" si="120"/>
        <v>0.49173973858219261</v>
      </c>
      <c r="FB56" s="305">
        <f t="shared" ca="1" si="121"/>
        <v>0.54857334375</v>
      </c>
      <c r="FC56" s="305">
        <f t="shared" ca="1" si="122"/>
        <v>0.54857334375</v>
      </c>
      <c r="FD56" s="305">
        <f t="shared" ca="1" si="123"/>
        <v>0.54857334375</v>
      </c>
      <c r="FE56" s="305">
        <f t="shared" ca="1" si="124"/>
        <v>0.16941455999999996</v>
      </c>
      <c r="FF56" s="305">
        <f t="shared" ca="1" si="125"/>
        <v>0.49173973858219261</v>
      </c>
      <c r="FG56" s="299">
        <f t="shared" ca="1" si="126"/>
        <v>26.699688073724644</v>
      </c>
      <c r="FH56" s="302">
        <f t="shared" ca="1" si="127"/>
        <v>-26.5575928739466</v>
      </c>
      <c r="FI56" s="248">
        <f t="shared" ca="1" si="128"/>
        <v>-15450.520923952372</v>
      </c>
      <c r="FJ56" s="363">
        <f t="shared" ca="1" si="129"/>
        <v>0.78195449781268733</v>
      </c>
      <c r="FK56" s="378">
        <f t="shared" ca="1" si="130"/>
        <v>2.5594303836509282</v>
      </c>
      <c r="FL56" s="508">
        <f t="shared" ca="1" si="131"/>
        <v>0.86023545242149502</v>
      </c>
      <c r="FM56" s="508">
        <f t="shared" ca="1" si="132"/>
        <v>3.1057432061939984E-2</v>
      </c>
      <c r="FN56" s="508">
        <f t="shared" ca="1" si="133"/>
        <v>-1.4216787347924245</v>
      </c>
      <c r="FO56" s="508">
        <f t="shared" ca="1" si="134"/>
        <v>1.7014625477511358</v>
      </c>
      <c r="FP56" s="353">
        <f t="shared" ca="1" si="135"/>
        <v>25.847091467111301</v>
      </c>
      <c r="FQ56" s="356">
        <f t="shared" ca="1" si="136"/>
        <v>6.324015026730228</v>
      </c>
      <c r="FR56" s="380">
        <f t="shared" ca="1" si="137"/>
        <v>21.38</v>
      </c>
      <c r="FS56" s="299">
        <f t="shared" ca="1" si="138"/>
        <v>21.38</v>
      </c>
      <c r="FT56" s="299">
        <f t="shared" ca="1" si="139"/>
        <v>21.38</v>
      </c>
      <c r="FU56" s="299">
        <f t="shared" ca="1" si="140"/>
        <v>21.38</v>
      </c>
      <c r="FV56" s="299">
        <f t="shared" ca="1" si="141"/>
        <v>21.380000000000003</v>
      </c>
      <c r="FW56" s="850">
        <f t="shared" ca="1" si="142"/>
        <v>0.17900000000000002</v>
      </c>
      <c r="FX56" s="851">
        <f t="shared" ca="1" si="143"/>
        <v>0.5</v>
      </c>
      <c r="FY56" s="851">
        <f t="shared" ca="1" si="144"/>
        <v>0</v>
      </c>
      <c r="FZ56" s="201">
        <f t="shared" ca="1" si="145"/>
        <v>0</v>
      </c>
      <c r="GA56" s="201">
        <f t="shared" ca="1" si="146"/>
        <v>0</v>
      </c>
      <c r="GB56" s="201">
        <f t="shared" ca="1" si="147"/>
        <v>0</v>
      </c>
      <c r="GC56" s="201">
        <f t="shared" ca="1" si="148"/>
        <v>0</v>
      </c>
      <c r="GD56" s="850">
        <f t="shared" ca="1" si="149"/>
        <v>0.56357334375000001</v>
      </c>
      <c r="GE56" s="866">
        <f t="shared" ca="1" si="150"/>
        <v>0.56357334375000001</v>
      </c>
      <c r="GF56" s="866">
        <f t="shared" ca="1" si="151"/>
        <v>0.56357334375000001</v>
      </c>
      <c r="GG56" s="866">
        <f t="shared" ca="1" si="152"/>
        <v>0.18441455999999995</v>
      </c>
      <c r="GH56" s="866">
        <f t="shared" ca="1" si="153"/>
        <v>0.50673973858219257</v>
      </c>
      <c r="GI56" s="302">
        <f t="shared" ca="1" si="154"/>
        <v>54.437836087307971</v>
      </c>
      <c r="GJ56" s="299">
        <f t="shared" ca="1" si="155"/>
        <v>24.269627761460313</v>
      </c>
      <c r="GK56" s="299">
        <f t="shared" ca="1" si="156"/>
        <v>15.54474887788685</v>
      </c>
      <c r="GL56" s="299">
        <f t="shared" ca="1" si="157"/>
        <v>5.9897188454206916</v>
      </c>
      <c r="GM56" s="299">
        <f t="shared" ca="1" si="158"/>
        <v>31.480121049433627</v>
      </c>
      <c r="GN56" s="302">
        <f t="shared" ca="1" si="159"/>
        <v>0.96613013399123004</v>
      </c>
      <c r="GO56" s="299">
        <f t="shared" ca="1" si="160"/>
        <v>0.88566348385963367</v>
      </c>
      <c r="GP56" s="299">
        <f t="shared" ca="1" si="161"/>
        <v>0.81588558076152107</v>
      </c>
      <c r="GQ56" s="299">
        <f t="shared" ca="1" si="162"/>
        <v>0.77682390159318659</v>
      </c>
      <c r="GR56" s="299">
        <f t="shared" ca="1" si="163"/>
        <v>0.93013814652719251</v>
      </c>
      <c r="GS56" s="302">
        <f t="shared" ca="1" si="164"/>
        <v>-0.8203401160742998</v>
      </c>
      <c r="GT56" s="299">
        <f t="shared" ca="1" si="165"/>
        <v>-0.6155111849832331</v>
      </c>
      <c r="GU56" s="299">
        <f t="shared" ca="1" si="166"/>
        <v>-0.49590051452166928</v>
      </c>
      <c r="GV56" s="299">
        <f t="shared" ca="1" si="167"/>
        <v>-0.66634898310110913</v>
      </c>
      <c r="GW56" s="299">
        <f t="shared" ca="1" si="168"/>
        <v>-0.74687005389586325</v>
      </c>
      <c r="GX56" s="303">
        <f t="shared" ca="1" si="169"/>
        <v>14983.904594440422</v>
      </c>
      <c r="GY56" s="303">
        <f t="shared" ca="1" si="170"/>
        <v>1214.5756536520676</v>
      </c>
      <c r="GZ56" s="303">
        <f t="shared" ca="1" si="171"/>
        <v>972.42290419458777</v>
      </c>
      <c r="HA56" s="303">
        <f t="shared" ca="1" si="172"/>
        <v>1161.5545227689113</v>
      </c>
      <c r="HB56" s="303">
        <f t="shared" ca="1" si="173"/>
        <v>18314.320551241603</v>
      </c>
      <c r="HC56" s="303">
        <f t="shared" ca="1" si="174"/>
        <v>14621.173098353229</v>
      </c>
      <c r="HD56" s="303">
        <f t="shared" ca="1" si="175"/>
        <v>1045.003991604661</v>
      </c>
      <c r="HE56" s="303">
        <f t="shared" ca="1" si="176"/>
        <v>667.31995742975221</v>
      </c>
      <c r="HF56" s="303">
        <f t="shared" ca="1" si="177"/>
        <v>905.62805260506116</v>
      </c>
      <c r="HG56" s="852">
        <f t="shared" ca="1" si="178"/>
        <v>17239.125099992703</v>
      </c>
    </row>
    <row r="57" spans="1:215" x14ac:dyDescent="0.25">
      <c r="A57" s="244">
        <f t="shared" ca="1" si="179"/>
        <v>37834</v>
      </c>
      <c r="B57" s="13">
        <f t="shared" ca="1" si="3"/>
        <v>2003</v>
      </c>
      <c r="C57" s="619">
        <f t="shared" ca="1" si="180"/>
        <v>8</v>
      </c>
      <c r="D57" s="195" t="str">
        <f t="shared" ca="1" si="4"/>
        <v/>
      </c>
      <c r="E57" s="469">
        <f t="shared" ca="1" si="5"/>
        <v>37834</v>
      </c>
      <c r="F57" s="465">
        <f t="shared" ca="1" si="6"/>
        <v>37864</v>
      </c>
      <c r="G57" s="522">
        <f t="shared" ca="1" si="181"/>
        <v>1</v>
      </c>
      <c r="H57" s="519">
        <f t="shared" ca="1" si="182"/>
        <v>1</v>
      </c>
      <c r="I57" s="724">
        <f t="shared" ca="1" si="7"/>
        <v>7.2287360659209987E-2</v>
      </c>
      <c r="J57" s="198">
        <f t="shared" ca="1" si="8"/>
        <v>0.77711898090809006</v>
      </c>
      <c r="K57" s="200">
        <f t="shared" ca="1" si="190"/>
        <v>62</v>
      </c>
      <c r="L57" s="201">
        <f t="shared" ca="1" si="191"/>
        <v>66</v>
      </c>
      <c r="M57" s="206">
        <f t="shared" ca="1" si="192"/>
        <v>70</v>
      </c>
      <c r="N57" s="851">
        <f t="shared" ca="1" si="196"/>
        <v>38.522499084472656</v>
      </c>
      <c r="O57" s="201">
        <f t="shared" ca="1" si="197"/>
        <v>41.522499084472656</v>
      </c>
      <c r="P57" s="206">
        <f t="shared" ca="1" si="198"/>
        <v>44.522499084472656</v>
      </c>
      <c r="Q57" s="201">
        <f t="shared" ca="1" si="199"/>
        <v>26.945000839233398</v>
      </c>
      <c r="R57" s="201">
        <f t="shared" ca="1" si="200"/>
        <v>30.245000839233398</v>
      </c>
      <c r="S57" s="201">
        <f t="shared" ca="1" si="201"/>
        <v>33.545000839233396</v>
      </c>
      <c r="T57" s="851">
        <f t="shared" ca="1" si="193"/>
        <v>22.399998092651366</v>
      </c>
      <c r="U57" s="201">
        <f t="shared" ca="1" si="194"/>
        <v>24.399998092651366</v>
      </c>
      <c r="V57" s="206">
        <f t="shared" ca="1" si="195"/>
        <v>26.399998092651366</v>
      </c>
      <c r="W57" s="230">
        <f t="shared" ca="1" si="183"/>
        <v>0.18011643749999998</v>
      </c>
      <c r="X57" s="231">
        <f t="shared" ca="1" si="184"/>
        <v>0.36023287499999995</v>
      </c>
      <c r="Y57" s="232">
        <f t="shared" ca="1" si="185"/>
        <v>0.54034931249999996</v>
      </c>
      <c r="Z57" s="231">
        <f t="shared" ca="1" si="202"/>
        <v>0.18011643749999998</v>
      </c>
      <c r="AA57" s="231">
        <f t="shared" ca="1" si="203"/>
        <v>0.36023287499999995</v>
      </c>
      <c r="AB57" s="232">
        <f t="shared" ca="1" si="204"/>
        <v>0.54034931249999996</v>
      </c>
      <c r="AC57" s="231">
        <f t="shared" ca="1" si="205"/>
        <v>0.18011643749999998</v>
      </c>
      <c r="AD57" s="231">
        <f t="shared" ca="1" si="206"/>
        <v>0.36023287499999995</v>
      </c>
      <c r="AE57" s="232">
        <f t="shared" ca="1" si="14"/>
        <v>0.54034931249999996</v>
      </c>
      <c r="AF57" s="231">
        <f t="shared" ca="1" si="186"/>
        <v>5.647151999999999E-2</v>
      </c>
      <c r="AG57" s="231">
        <f t="shared" ca="1" si="187"/>
        <v>0.11294303999999998</v>
      </c>
      <c r="AH57" s="232">
        <f t="shared" ca="1" si="188"/>
        <v>0.16941455999999996</v>
      </c>
      <c r="AI57" s="233">
        <f t="shared" ca="1" si="15"/>
        <v>2.65</v>
      </c>
      <c r="AJ57" s="233">
        <f t="shared" ca="1" si="16"/>
        <v>3</v>
      </c>
      <c r="AK57" s="234">
        <f t="shared" ca="1" si="17"/>
        <v>3.5</v>
      </c>
      <c r="AL57" s="919">
        <f t="shared" ca="1" si="18"/>
        <v>2.65</v>
      </c>
      <c r="AM57" s="233">
        <f t="shared" ca="1" si="19"/>
        <v>3</v>
      </c>
      <c r="AN57" s="234">
        <f t="shared" ca="1" si="20"/>
        <v>3.5</v>
      </c>
      <c r="AO57" s="233">
        <f t="shared" ca="1" si="21"/>
        <v>2.65</v>
      </c>
      <c r="AP57" s="233">
        <f t="shared" ca="1" si="22"/>
        <v>3</v>
      </c>
      <c r="AQ57" s="233">
        <f t="shared" ca="1" si="23"/>
        <v>3.5</v>
      </c>
      <c r="AR57" s="919">
        <f t="shared" ca="1" si="24"/>
        <v>0.6</v>
      </c>
      <c r="AS57" s="233">
        <f t="shared" ca="1" si="25"/>
        <v>0.75</v>
      </c>
      <c r="AT57" s="235">
        <f t="shared" ca="1" si="26"/>
        <v>0.95</v>
      </c>
      <c r="AU57" s="946">
        <f t="shared" si="27"/>
        <v>0.5</v>
      </c>
      <c r="AV57" s="13">
        <f t="shared" ca="1" si="28"/>
        <v>21</v>
      </c>
      <c r="AW57" s="210">
        <f t="shared" ca="1" si="29"/>
        <v>5</v>
      </c>
      <c r="AX57" s="210">
        <f t="shared" ca="1" si="30"/>
        <v>5</v>
      </c>
      <c r="AY57" s="210">
        <f t="shared" ca="1" si="31"/>
        <v>0</v>
      </c>
      <c r="AZ57" s="13">
        <f t="shared" ca="1" si="32"/>
        <v>31</v>
      </c>
      <c r="BA57" s="357">
        <f ca="1"/>
        <v>336</v>
      </c>
      <c r="BB57" s="925">
        <f ca="1"/>
        <v>80</v>
      </c>
      <c r="BC57" s="925">
        <f ca="1"/>
        <v>80</v>
      </c>
      <c r="BD57" s="928">
        <f ca="1"/>
        <v>248</v>
      </c>
      <c r="BE57" s="200">
        <f ca="1"/>
        <v>1</v>
      </c>
      <c r="BF57" s="851">
        <f ca="1"/>
        <v>1</v>
      </c>
      <c r="BG57" s="851">
        <f ca="1"/>
        <v>1</v>
      </c>
      <c r="BH57" s="933">
        <f ca="1"/>
        <v>1.0000000074505806</v>
      </c>
      <c r="BI57" s="357">
        <f ca="1"/>
        <v>336</v>
      </c>
      <c r="BJ57" s="925">
        <f ca="1"/>
        <v>80</v>
      </c>
      <c r="BK57" s="925">
        <f ca="1"/>
        <v>80</v>
      </c>
      <c r="BL57" s="928">
        <f ca="1"/>
        <v>248</v>
      </c>
      <c r="BM57" s="200">
        <f ca="1"/>
        <v>1</v>
      </c>
      <c r="BN57" s="851">
        <f ca="1"/>
        <v>1</v>
      </c>
      <c r="BO57" s="851">
        <f ca="1"/>
        <v>1</v>
      </c>
      <c r="BP57" s="933">
        <f ca="1"/>
        <v>1.0000000074505806</v>
      </c>
      <c r="BQ57" s="357">
        <f t="shared" ca="1" si="33"/>
        <v>744</v>
      </c>
      <c r="BR57" s="361">
        <f t="shared" ca="1" si="34"/>
        <v>744</v>
      </c>
      <c r="BS57" s="357">
        <f t="shared" ca="1" si="35"/>
        <v>578.17652179561901</v>
      </c>
      <c r="BT57" s="302">
        <f t="shared" ca="1" si="36"/>
        <v>42.5061822073434</v>
      </c>
      <c r="BU57" s="299">
        <f t="shared" ca="1" si="37"/>
        <v>45.656719846719049</v>
      </c>
      <c r="BV57" s="299">
        <f t="shared" ca="1" si="38"/>
        <v>48.807257486094706</v>
      </c>
      <c r="BW57" s="299">
        <f t="shared" ca="1" si="39"/>
        <v>32.659889647739881</v>
      </c>
      <c r="BX57" s="380">
        <f t="shared" ca="1" si="40"/>
        <v>3.4140999315537304</v>
      </c>
      <c r="BY57" s="363">
        <f t="shared" ca="1" si="41"/>
        <v>261.11197758511827</v>
      </c>
      <c r="BZ57" s="353">
        <f t="shared" ca="1" si="42"/>
        <v>62.169518472647205</v>
      </c>
      <c r="CA57" s="353">
        <f t="shared" ca="1" si="43"/>
        <v>62.169518472647205</v>
      </c>
      <c r="CB57" s="353">
        <f t="shared" ca="1" si="44"/>
        <v>385.45101453041269</v>
      </c>
      <c r="CC57" s="353">
        <f t="shared" ca="1" si="45"/>
        <v>192.72550726520635</v>
      </c>
      <c r="CD57" s="353">
        <f t="shared" ca="1" si="46"/>
        <v>578.17652179561901</v>
      </c>
      <c r="CE57" s="302">
        <f t="shared" ca="1" si="47"/>
        <v>70</v>
      </c>
      <c r="CF57" s="299">
        <f t="shared" ca="1" si="48"/>
        <v>44.522499084472656</v>
      </c>
      <c r="CG57" s="299">
        <f t="shared" ca="1" si="49"/>
        <v>33.545000839233396</v>
      </c>
      <c r="CH57" s="299">
        <f t="shared" ca="1" si="50"/>
        <v>60.01088708446872</v>
      </c>
      <c r="CI57" s="299">
        <f t="shared" ca="1" si="51"/>
        <v>26.39999828934668</v>
      </c>
      <c r="CJ57" s="299">
        <f t="shared" ca="1" si="52"/>
        <v>48.807257486094713</v>
      </c>
      <c r="CK57" s="299">
        <f t="shared" ca="1" si="53"/>
        <v>32.659889647739881</v>
      </c>
      <c r="CL57" s="377">
        <f t="shared" ca="1" si="54"/>
        <v>0.54034931249999996</v>
      </c>
      <c r="CM57" s="305">
        <f t="shared" ca="1" si="55"/>
        <v>0.54034931249999996</v>
      </c>
      <c r="CN57" s="305">
        <f t="shared" ca="1" si="56"/>
        <v>0.54034931249999996</v>
      </c>
      <c r="CO57" s="305">
        <f t="shared" ca="1" si="57"/>
        <v>0.54034931249999996</v>
      </c>
      <c r="CP57" s="305">
        <f t="shared" ca="1" si="58"/>
        <v>0.16941455999999996</v>
      </c>
      <c r="CQ57" s="305">
        <f t="shared" ca="1" si="59"/>
        <v>0.48085496985959947</v>
      </c>
      <c r="CR57" s="775">
        <f t="shared" ca="1" si="60"/>
        <v>0.55534931249999997</v>
      </c>
      <c r="CS57" s="305">
        <f t="shared" ca="1" si="61"/>
        <v>0.55534931249999997</v>
      </c>
      <c r="CT57" s="305">
        <f t="shared" ca="1" si="62"/>
        <v>0.54034931249999996</v>
      </c>
      <c r="CU57" s="305">
        <f t="shared" ca="1" si="63"/>
        <v>0.19441455999999996</v>
      </c>
      <c r="CV57" s="770">
        <f t="shared" ca="1" si="64"/>
        <v>0.49585496985959948</v>
      </c>
      <c r="CW57" s="302">
        <f t="shared" ca="1" si="65"/>
        <v>43.38215002330476</v>
      </c>
      <c r="CX57" s="299">
        <f t="shared" ca="1" si="66"/>
        <v>21.683184796965797</v>
      </c>
      <c r="CY57" s="299">
        <f t="shared" ca="1" si="67"/>
        <v>13.104050216934494</v>
      </c>
      <c r="CZ57" s="299">
        <f t="shared" ca="1" si="68"/>
        <v>1.7859443663631405</v>
      </c>
      <c r="DA57" s="774">
        <f t="shared" ca="1" si="69"/>
        <v>23.705052711484051</v>
      </c>
      <c r="DB57" s="303">
        <f t="shared" ca="1" si="70"/>
        <v>13705.704925707656</v>
      </c>
      <c r="DC57" s="248">
        <f t="shared" ca="1" si="71"/>
        <v>471.22967682326049</v>
      </c>
      <c r="DD57" s="778">
        <f t="shared" ca="1" si="72"/>
        <v>9336.0289729344404</v>
      </c>
      <c r="DE57" s="363">
        <f t="shared" ca="1" si="73"/>
        <v>0.77711898090809006</v>
      </c>
      <c r="DF57" s="378">
        <f t="shared" ca="1" si="74"/>
        <v>0.22986395894049222</v>
      </c>
      <c r="DG57" s="508">
        <f t="shared" ca="1" si="75"/>
        <v>-0.21111187511297111</v>
      </c>
      <c r="DH57" s="508">
        <f t="shared" ca="1" si="76"/>
        <v>-0.47242687496941205</v>
      </c>
      <c r="DI57" s="508">
        <f t="shared" ca="1" si="77"/>
        <v>-0.77195335779307117</v>
      </c>
      <c r="DJ57" s="508">
        <f t="shared" ca="1" si="78"/>
        <v>-1.9629591459588598E-2</v>
      </c>
      <c r="DK57" s="353">
        <f t="shared" ca="1" si="79"/>
        <v>-284.56078566032642</v>
      </c>
      <c r="DL57" s="781">
        <f t="shared" ca="1" si="80"/>
        <v>7.706896597633655</v>
      </c>
      <c r="DM57" s="303">
        <f t="shared" ca="1" si="81"/>
        <v>20106.657744196804</v>
      </c>
      <c r="DN57" s="508">
        <f t="shared" ca="1" si="82"/>
        <v>1.3363994124326839</v>
      </c>
      <c r="DO57" s="508">
        <f t="shared" ca="1" si="83"/>
        <v>1.0914792941501508</v>
      </c>
      <c r="DP57" s="508">
        <f t="shared" ca="1" si="84"/>
        <v>0.93824511802274135</v>
      </c>
      <c r="DQ57" s="508">
        <f t="shared" ca="1" si="85"/>
        <v>0.80860059543460672</v>
      </c>
      <c r="DR57" s="508">
        <f t="shared" ca="1" si="86"/>
        <v>1.1412125533686253</v>
      </c>
      <c r="DS57" s="353">
        <f t="shared" ca="1" si="87"/>
        <v>10846.459957423011</v>
      </c>
      <c r="DT57" s="353">
        <f t="shared" ca="1" si="88"/>
        <v>-8743.9215101146347</v>
      </c>
      <c r="DU57" s="380">
        <f t="shared" ca="1" si="189"/>
        <v>3.4140999315537304</v>
      </c>
      <c r="DV57" s="303">
        <f t="shared" ca="1" si="89"/>
        <v>261.11197758511827</v>
      </c>
      <c r="DW57" s="303">
        <f t="shared" ca="1" si="90"/>
        <v>62.169518472647205</v>
      </c>
      <c r="DX57" s="303">
        <f t="shared" ca="1" si="91"/>
        <v>62.169518472647205</v>
      </c>
      <c r="DY57" s="303">
        <f t="shared" ca="1" si="92"/>
        <v>385.45101453041269</v>
      </c>
      <c r="DZ57" s="303">
        <f t="shared" ca="1" si="93"/>
        <v>192.72550726520635</v>
      </c>
      <c r="EA57" s="303">
        <f t="shared" ca="1" si="94"/>
        <v>578.17652179561901</v>
      </c>
      <c r="EB57" s="302">
        <f t="shared" ca="1" si="95"/>
        <v>70</v>
      </c>
      <c r="EC57" s="299">
        <f t="shared" ca="1" si="96"/>
        <v>44.522499084472656</v>
      </c>
      <c r="ED57" s="299">
        <f t="shared" ca="1" si="97"/>
        <v>33.545000839233396</v>
      </c>
      <c r="EE57" s="299">
        <f t="shared" ca="1" si="98"/>
        <v>60.01088708446872</v>
      </c>
      <c r="EF57" s="299">
        <f t="shared" ca="1" si="99"/>
        <v>26.39999828934668</v>
      </c>
      <c r="EG57" s="299">
        <f t="shared" ca="1" si="100"/>
        <v>48.807257486094713</v>
      </c>
      <c r="EH57" s="302">
        <f t="shared" ca="1" si="101"/>
        <v>30</v>
      </c>
      <c r="EI57" s="304">
        <f t="shared" ca="1" si="102"/>
        <v>0.18011643749999998</v>
      </c>
      <c r="EJ57" s="305">
        <f t="shared" ca="1" si="103"/>
        <v>0.18011643749999998</v>
      </c>
      <c r="EK57" s="305">
        <f t="shared" ca="1" si="104"/>
        <v>0.18011643749999998</v>
      </c>
      <c r="EL57" s="305">
        <f t="shared" ca="1" si="105"/>
        <v>0.18011643750000003</v>
      </c>
      <c r="EM57" s="305">
        <f t="shared" ca="1" si="106"/>
        <v>5.647151999999999E-2</v>
      </c>
      <c r="EN57" s="305">
        <f t="shared" ca="1" si="107"/>
        <v>0.15390713035651415</v>
      </c>
      <c r="EO57" s="305">
        <f t="shared" ca="1" si="108"/>
        <v>0.18011643749999998</v>
      </c>
      <c r="EP57" s="305">
        <f t="shared" ca="1" si="109"/>
        <v>0.18011643749999998</v>
      </c>
      <c r="EQ57" s="305">
        <f t="shared" ca="1" si="110"/>
        <v>0.18011643749999998</v>
      </c>
      <c r="ER57" s="305">
        <f t="shared" ca="1" si="111"/>
        <v>5.647151999999999E-2</v>
      </c>
      <c r="ES57" s="305">
        <f t="shared" ca="1" si="112"/>
        <v>0.15390713035651415</v>
      </c>
      <c r="ET57" s="299">
        <f t="shared" ca="1" si="113"/>
        <v>0.19208450039223979</v>
      </c>
      <c r="EU57" s="302">
        <f t="shared" ca="1" si="114"/>
        <v>30</v>
      </c>
      <c r="EV57" s="304">
        <f t="shared" ca="1" si="115"/>
        <v>0.54034931249999996</v>
      </c>
      <c r="EW57" s="305">
        <f t="shared" ca="1" si="116"/>
        <v>0.54034931249999996</v>
      </c>
      <c r="EX57" s="305">
        <f t="shared" ca="1" si="117"/>
        <v>0.54034931249999996</v>
      </c>
      <c r="EY57" s="305">
        <f t="shared" ca="1" si="118"/>
        <v>0.54034931249999996</v>
      </c>
      <c r="EZ57" s="305">
        <f t="shared" ca="1" si="119"/>
        <v>0.16941455999999996</v>
      </c>
      <c r="FA57" s="305">
        <f t="shared" ca="1" si="120"/>
        <v>0.48085496985959947</v>
      </c>
      <c r="FB57" s="305">
        <f t="shared" ca="1" si="121"/>
        <v>0.54034931249999996</v>
      </c>
      <c r="FC57" s="305">
        <f t="shared" ca="1" si="122"/>
        <v>0.54034931249999996</v>
      </c>
      <c r="FD57" s="305">
        <f t="shared" ca="1" si="123"/>
        <v>0.54034931249999996</v>
      </c>
      <c r="FE57" s="305">
        <f t="shared" ca="1" si="124"/>
        <v>0.16941455999999996</v>
      </c>
      <c r="FF57" s="305">
        <f t="shared" ca="1" si="125"/>
        <v>0.48085496985959947</v>
      </c>
      <c r="FG57" s="299">
        <f t="shared" ca="1" si="126"/>
        <v>24.732236564161028</v>
      </c>
      <c r="FH57" s="302">
        <f t="shared" ca="1" si="127"/>
        <v>-24.540152063768787</v>
      </c>
      <c r="FI57" s="248">
        <f t="shared" ca="1" si="128"/>
        <v>-14188.539764565419</v>
      </c>
      <c r="FJ57" s="363">
        <f t="shared" ca="1" si="129"/>
        <v>0.77711898090809006</v>
      </c>
      <c r="FK57" s="378">
        <f t="shared" ca="1" si="130"/>
        <v>2.3795162576335378</v>
      </c>
      <c r="FL57" s="508">
        <f t="shared" ca="1" si="131"/>
        <v>1.0198645252884264</v>
      </c>
      <c r="FM57" s="508">
        <f t="shared" ca="1" si="132"/>
        <v>0.16919895119390974</v>
      </c>
      <c r="FN57" s="508">
        <f t="shared" ca="1" si="133"/>
        <v>-1.2772870533957936</v>
      </c>
      <c r="FO57" s="508">
        <f t="shared" ca="1" si="134"/>
        <v>1.5691972387248625</v>
      </c>
      <c r="FP57" s="353">
        <f t="shared" ca="1" si="135"/>
        <v>33.708269865447207</v>
      </c>
      <c r="FQ57" s="356">
        <f t="shared" ca="1" si="136"/>
        <v>7.8932084836413843</v>
      </c>
      <c r="FR57" s="380">
        <f t="shared" ca="1" si="137"/>
        <v>21.436</v>
      </c>
      <c r="FS57" s="299">
        <f t="shared" ca="1" si="138"/>
        <v>21.436</v>
      </c>
      <c r="FT57" s="299">
        <f t="shared" ca="1" si="139"/>
        <v>21.436</v>
      </c>
      <c r="FU57" s="299">
        <f t="shared" ca="1" si="140"/>
        <v>21.436</v>
      </c>
      <c r="FV57" s="299">
        <f t="shared" ca="1" si="141"/>
        <v>21.436</v>
      </c>
      <c r="FW57" s="850">
        <f t="shared" ca="1" si="142"/>
        <v>0.17900000000000002</v>
      </c>
      <c r="FX57" s="851">
        <f t="shared" ca="1" si="143"/>
        <v>0.5</v>
      </c>
      <c r="FY57" s="851">
        <f t="shared" ca="1" si="144"/>
        <v>0</v>
      </c>
      <c r="FZ57" s="201">
        <f t="shared" ca="1" si="145"/>
        <v>0</v>
      </c>
      <c r="GA57" s="201">
        <f t="shared" ca="1" si="146"/>
        <v>0</v>
      </c>
      <c r="GB57" s="201">
        <f t="shared" ca="1" si="147"/>
        <v>0</v>
      </c>
      <c r="GC57" s="201">
        <f t="shared" ca="1" si="148"/>
        <v>0</v>
      </c>
      <c r="GD57" s="850">
        <f t="shared" ca="1" si="149"/>
        <v>0.55534931249999997</v>
      </c>
      <c r="GE57" s="866">
        <f t="shared" ca="1" si="150"/>
        <v>0.55534931249999997</v>
      </c>
      <c r="GF57" s="866">
        <f t="shared" ca="1" si="151"/>
        <v>0.55534931249999997</v>
      </c>
      <c r="GG57" s="866">
        <f t="shared" ca="1" si="152"/>
        <v>0.18441455999999995</v>
      </c>
      <c r="GH57" s="866">
        <f t="shared" ca="1" si="153"/>
        <v>0.49585496985959948</v>
      </c>
      <c r="GI57" s="302">
        <f t="shared" ca="1" si="154"/>
        <v>50.039990666487455</v>
      </c>
      <c r="GJ57" s="299">
        <f t="shared" ca="1" si="155"/>
        <v>26.225663240220353</v>
      </c>
      <c r="GK57" s="299">
        <f t="shared" ca="1" si="156"/>
        <v>16.722790616342671</v>
      </c>
      <c r="GL57" s="299">
        <f t="shared" ca="1" si="157"/>
        <v>6.2580033926547527</v>
      </c>
      <c r="GM57" s="299">
        <f t="shared" ca="1" si="158"/>
        <v>29.336377076808482</v>
      </c>
      <c r="GN57" s="302">
        <f t="shared" ca="1" si="159"/>
        <v>0.96063555940261347</v>
      </c>
      <c r="GO57" s="299">
        <f t="shared" ca="1" si="160"/>
        <v>0.89603958509127479</v>
      </c>
      <c r="GP57" s="299">
        <f t="shared" ca="1" si="161"/>
        <v>0.82823822051469065</v>
      </c>
      <c r="GQ57" s="299">
        <f t="shared" ca="1" si="162"/>
        <v>0.78468365584196864</v>
      </c>
      <c r="GR57" s="299">
        <f t="shared" ca="1" si="163"/>
        <v>0.92302131631400375</v>
      </c>
      <c r="GS57" s="302">
        <f t="shared" ca="1" si="164"/>
        <v>-0.8025987908757527</v>
      </c>
      <c r="GT57" s="299">
        <f t="shared" ca="1" si="165"/>
        <v>-0.63763150437143357</v>
      </c>
      <c r="GU57" s="299">
        <f t="shared" ca="1" si="166"/>
        <v>-0.51597643674006488</v>
      </c>
      <c r="GV57" s="299">
        <f t="shared" ca="1" si="167"/>
        <v>-0.67445618594822054</v>
      </c>
      <c r="GW57" s="299">
        <f t="shared" ca="1" si="168"/>
        <v>-0.73305508896491867</v>
      </c>
      <c r="GX57" s="303">
        <f t="shared" ca="1" si="169"/>
        <v>13066.0409212674</v>
      </c>
      <c r="GY57" s="303">
        <f t="shared" ca="1" si="170"/>
        <v>1630.436855270304</v>
      </c>
      <c r="GZ57" s="303">
        <f t="shared" ca="1" si="171"/>
        <v>1039.647840136927</v>
      </c>
      <c r="HA57" s="303">
        <f t="shared" ca="1" si="172"/>
        <v>1206.0768783167696</v>
      </c>
      <c r="HB57" s="303">
        <f t="shared" ca="1" si="173"/>
        <v>16961.604460353858</v>
      </c>
      <c r="HC57" s="303">
        <f t="shared" ca="1" si="174"/>
        <v>12680.642079443684</v>
      </c>
      <c r="HD57" s="303">
        <f t="shared" ca="1" si="175"/>
        <v>1435.2765313008756</v>
      </c>
      <c r="HE57" s="303">
        <f t="shared" ca="1" si="176"/>
        <v>752.81075136002107</v>
      </c>
      <c r="HF57" s="303">
        <f t="shared" ca="1" si="177"/>
        <v>956.6890883779555</v>
      </c>
      <c r="HG57" s="852">
        <f t="shared" ca="1" si="178"/>
        <v>15825.418450482539</v>
      </c>
    </row>
    <row r="58" spans="1:215" x14ac:dyDescent="0.25">
      <c r="A58" s="244">
        <f t="shared" ca="1" si="179"/>
        <v>37865</v>
      </c>
      <c r="B58" s="13">
        <f t="shared" ca="1" si="3"/>
        <v>2003</v>
      </c>
      <c r="C58" s="619">
        <f t="shared" ca="1" si="180"/>
        <v>9</v>
      </c>
      <c r="D58" s="195">
        <f t="shared" ca="1" si="4"/>
        <v>37865</v>
      </c>
      <c r="E58" s="469">
        <f t="shared" ca="1" si="5"/>
        <v>37865</v>
      </c>
      <c r="F58" s="465">
        <f t="shared" ca="1" si="6"/>
        <v>37894</v>
      </c>
      <c r="G58" s="522">
        <f t="shared" ca="1" si="181"/>
        <v>1</v>
      </c>
      <c r="H58" s="519">
        <f t="shared" ca="1" si="182"/>
        <v>1</v>
      </c>
      <c r="I58" s="724">
        <f t="shared" ca="1" si="7"/>
        <v>7.2339998488529011E-2</v>
      </c>
      <c r="J58" s="198">
        <f t="shared" ca="1" si="8"/>
        <v>0.77245698322183542</v>
      </c>
      <c r="K58" s="200">
        <f t="shared" ca="1" si="190"/>
        <v>31.75</v>
      </c>
      <c r="L58" s="201">
        <f t="shared" ca="1" si="191"/>
        <v>32.65</v>
      </c>
      <c r="M58" s="206">
        <f t="shared" ca="1" si="192"/>
        <v>33.549999999999997</v>
      </c>
      <c r="N58" s="851">
        <f t="shared" ca="1" si="196"/>
        <v>22.229999160766599</v>
      </c>
      <c r="O58" s="201">
        <f t="shared" ca="1" si="197"/>
        <v>22.9049991607666</v>
      </c>
      <c r="P58" s="206">
        <f t="shared" ca="1" si="198"/>
        <v>23.579999160766601</v>
      </c>
      <c r="Q58" s="201">
        <f t="shared" ca="1" si="199"/>
        <v>20.100000000000001</v>
      </c>
      <c r="R58" s="201">
        <f t="shared" ca="1" si="200"/>
        <v>23.4</v>
      </c>
      <c r="S58" s="201">
        <f t="shared" ca="1" si="201"/>
        <v>26.7</v>
      </c>
      <c r="T58" s="851">
        <f t="shared" ca="1" si="193"/>
        <v>19.499998092651367</v>
      </c>
      <c r="U58" s="201">
        <f t="shared" ca="1" si="194"/>
        <v>19.949998092651366</v>
      </c>
      <c r="V58" s="206">
        <f t="shared" ca="1" si="195"/>
        <v>20.399998092651366</v>
      </c>
      <c r="W58" s="230">
        <f t="shared" ca="1" si="183"/>
        <v>0.11919768749999997</v>
      </c>
      <c r="X58" s="231">
        <f t="shared" ca="1" si="184"/>
        <v>0.23839537499999994</v>
      </c>
      <c r="Y58" s="232">
        <f t="shared" ca="1" si="185"/>
        <v>0.35759306249999989</v>
      </c>
      <c r="Z58" s="231">
        <f t="shared" ca="1" si="202"/>
        <v>0.11919768749999997</v>
      </c>
      <c r="AA58" s="231">
        <f t="shared" ca="1" si="203"/>
        <v>0.23839537499999994</v>
      </c>
      <c r="AB58" s="232">
        <f t="shared" ca="1" si="204"/>
        <v>0.35759306249999989</v>
      </c>
      <c r="AC58" s="231">
        <f t="shared" ca="1" si="205"/>
        <v>0.11919768749999997</v>
      </c>
      <c r="AD58" s="231">
        <f t="shared" ca="1" si="206"/>
        <v>0.23839537499999994</v>
      </c>
      <c r="AE58" s="232">
        <f t="shared" ca="1" si="14"/>
        <v>0.35759306249999989</v>
      </c>
      <c r="AF58" s="231">
        <f t="shared" ca="1" si="186"/>
        <v>3.7647679999999996E-2</v>
      </c>
      <c r="AG58" s="231">
        <f t="shared" ca="1" si="187"/>
        <v>7.5295359999999992E-2</v>
      </c>
      <c r="AH58" s="232">
        <f t="shared" ca="1" si="188"/>
        <v>0.11294303999999999</v>
      </c>
      <c r="AI58" s="233">
        <f t="shared" ca="1" si="15"/>
        <v>1.1499999999999999</v>
      </c>
      <c r="AJ58" s="233">
        <f t="shared" ca="1" si="16"/>
        <v>1.5</v>
      </c>
      <c r="AK58" s="234">
        <f t="shared" ca="1" si="17"/>
        <v>1.8</v>
      </c>
      <c r="AL58" s="919">
        <f t="shared" ca="1" si="18"/>
        <v>1.1499999999999999</v>
      </c>
      <c r="AM58" s="233">
        <f t="shared" ca="1" si="19"/>
        <v>1.5</v>
      </c>
      <c r="AN58" s="234">
        <f t="shared" ca="1" si="20"/>
        <v>1.8</v>
      </c>
      <c r="AO58" s="233">
        <f t="shared" ca="1" si="21"/>
        <v>1.1499999999999999</v>
      </c>
      <c r="AP58" s="233">
        <f t="shared" ca="1" si="22"/>
        <v>1.5</v>
      </c>
      <c r="AQ58" s="233">
        <f t="shared" ca="1" si="23"/>
        <v>1.8</v>
      </c>
      <c r="AR58" s="919">
        <f t="shared" ca="1" si="24"/>
        <v>0.25</v>
      </c>
      <c r="AS58" s="233">
        <f t="shared" ca="1" si="25"/>
        <v>0.4</v>
      </c>
      <c r="AT58" s="235">
        <f t="shared" ca="1" si="26"/>
        <v>0.60000000000000009</v>
      </c>
      <c r="AU58" s="946">
        <f t="shared" si="27"/>
        <v>0.5</v>
      </c>
      <c r="AV58" s="13">
        <f t="shared" ca="1" si="28"/>
        <v>21</v>
      </c>
      <c r="AW58" s="210">
        <f t="shared" ca="1" si="29"/>
        <v>4</v>
      </c>
      <c r="AX58" s="210">
        <f t="shared" ca="1" si="30"/>
        <v>4</v>
      </c>
      <c r="AY58" s="210">
        <f t="shared" ca="1" si="31"/>
        <v>1</v>
      </c>
      <c r="AZ58" s="13">
        <f t="shared" ca="1" si="32"/>
        <v>30</v>
      </c>
      <c r="BA58" s="357">
        <f ca="1"/>
        <v>336</v>
      </c>
      <c r="BB58" s="925">
        <f ca="1"/>
        <v>64</v>
      </c>
      <c r="BC58" s="925">
        <f ca="1"/>
        <v>80</v>
      </c>
      <c r="BD58" s="928">
        <f ca="1"/>
        <v>240</v>
      </c>
      <c r="BE58" s="200">
        <f ca="1"/>
        <v>1.0000000074505806</v>
      </c>
      <c r="BF58" s="851">
        <f ca="1"/>
        <v>1.0000000074505806</v>
      </c>
      <c r="BG58" s="851">
        <f ca="1"/>
        <v>1.0000000074505806</v>
      </c>
      <c r="BH58" s="933">
        <f ca="1"/>
        <v>1.0000000149011612</v>
      </c>
      <c r="BI58" s="357">
        <f ca="1"/>
        <v>336</v>
      </c>
      <c r="BJ58" s="925">
        <f ca="1"/>
        <v>64</v>
      </c>
      <c r="BK58" s="925">
        <f ca="1"/>
        <v>80</v>
      </c>
      <c r="BL58" s="928">
        <f ca="1"/>
        <v>240</v>
      </c>
      <c r="BM58" s="200">
        <f ca="1"/>
        <v>1.0000000074505806</v>
      </c>
      <c r="BN58" s="851">
        <f ca="1"/>
        <v>1.0000000074505806</v>
      </c>
      <c r="BO58" s="851">
        <f ca="1"/>
        <v>1.0000000074505806</v>
      </c>
      <c r="BP58" s="933">
        <f ca="1"/>
        <v>1.0000000149011612</v>
      </c>
      <c r="BQ58" s="357">
        <f t="shared" ca="1" si="33"/>
        <v>720</v>
      </c>
      <c r="BR58" s="361">
        <f t="shared" ca="1" si="34"/>
        <v>720</v>
      </c>
      <c r="BS58" s="357">
        <f t="shared" ca="1" si="35"/>
        <v>556.16902791972154</v>
      </c>
      <c r="BT58" s="302">
        <f t="shared" ca="1" si="36"/>
        <v>25.52599952823088</v>
      </c>
      <c r="BU58" s="299">
        <f t="shared" ca="1" si="37"/>
        <v>26.522666203440881</v>
      </c>
      <c r="BV58" s="299">
        <f t="shared" ca="1" si="38"/>
        <v>27.519332878650879</v>
      </c>
      <c r="BW58" s="299">
        <f t="shared" ca="1" si="39"/>
        <v>32.659889647739881</v>
      </c>
      <c r="BX58" s="380">
        <f t="shared" ca="1" si="40"/>
        <v>3.4989733059548254</v>
      </c>
      <c r="BY58" s="363">
        <f t="shared" ca="1" si="41"/>
        <v>259.5455463625367</v>
      </c>
      <c r="BZ58" s="353">
        <f t="shared" ca="1" si="42"/>
        <v>49.437246926197467</v>
      </c>
      <c r="CA58" s="353">
        <f t="shared" ca="1" si="43"/>
        <v>61.796558657746836</v>
      </c>
      <c r="CB58" s="353">
        <f t="shared" ca="1" si="44"/>
        <v>370.77935194648103</v>
      </c>
      <c r="CC58" s="353">
        <f t="shared" ca="1" si="45"/>
        <v>185.38967597324051</v>
      </c>
      <c r="CD58" s="353">
        <f t="shared" ca="1" si="46"/>
        <v>556.16902791972154</v>
      </c>
      <c r="CE58" s="302">
        <f t="shared" ca="1" si="47"/>
        <v>33.550000249966978</v>
      </c>
      <c r="CF58" s="299">
        <f t="shared" ca="1" si="48"/>
        <v>23.579999336451284</v>
      </c>
      <c r="CG58" s="299">
        <f t="shared" ca="1" si="49"/>
        <v>26.7000001989305</v>
      </c>
      <c r="CH58" s="299">
        <f t="shared" ca="1" si="50"/>
        <v>31.079000119658804</v>
      </c>
      <c r="CI58" s="299">
        <f t="shared" ca="1" si="51"/>
        <v>20.399998396635027</v>
      </c>
      <c r="CJ58" s="299">
        <f t="shared" ca="1" si="52"/>
        <v>27.519332878650879</v>
      </c>
      <c r="CK58" s="299">
        <f t="shared" ca="1" si="53"/>
        <v>32.659889647739881</v>
      </c>
      <c r="CL58" s="377">
        <f t="shared" ca="1" si="54"/>
        <v>0.35759306249999989</v>
      </c>
      <c r="CM58" s="305">
        <f t="shared" ca="1" si="55"/>
        <v>0.35759306249999989</v>
      </c>
      <c r="CN58" s="305">
        <f t="shared" ca="1" si="56"/>
        <v>0.35759306249999989</v>
      </c>
      <c r="CO58" s="305">
        <f t="shared" ca="1" si="57"/>
        <v>0.35759306249999989</v>
      </c>
      <c r="CP58" s="305">
        <f t="shared" ca="1" si="58"/>
        <v>0.11294303999999999</v>
      </c>
      <c r="CQ58" s="305">
        <f t="shared" ca="1" si="59"/>
        <v>0.29282580264026331</v>
      </c>
      <c r="CR58" s="775">
        <f t="shared" ca="1" si="60"/>
        <v>0.35759306249999989</v>
      </c>
      <c r="CS58" s="305">
        <f t="shared" ca="1" si="61"/>
        <v>0.40759306249999988</v>
      </c>
      <c r="CT58" s="305">
        <f t="shared" ca="1" si="62"/>
        <v>0.37509306249999991</v>
      </c>
      <c r="CU58" s="305">
        <f t="shared" ca="1" si="63"/>
        <v>0.17294303999999999</v>
      </c>
      <c r="CV58" s="770">
        <f t="shared" ca="1" si="64"/>
        <v>0.31032580264026333</v>
      </c>
      <c r="CW58" s="302">
        <f t="shared" ca="1" si="65"/>
        <v>9.1239355187602129</v>
      </c>
      <c r="CX58" s="299">
        <f t="shared" ca="1" si="66"/>
        <v>4.5176967802018932</v>
      </c>
      <c r="CY58" s="299">
        <f t="shared" ca="1" si="67"/>
        <v>5.4790433067202446</v>
      </c>
      <c r="CZ58" s="299">
        <f t="shared" ca="1" si="68"/>
        <v>0.26856210548991477</v>
      </c>
      <c r="DA58" s="774">
        <f t="shared" ca="1" si="69"/>
        <v>4.5890052072101906</v>
      </c>
      <c r="DB58" s="303">
        <f t="shared" ca="1" si="70"/>
        <v>2552.2625652126321</v>
      </c>
      <c r="DC58" s="248">
        <f t="shared" ca="1" si="71"/>
        <v>277.02203093837312</v>
      </c>
      <c r="DD58" s="778">
        <f t="shared" ca="1" si="72"/>
        <v>0</v>
      </c>
      <c r="DE58" s="363">
        <f t="shared" ca="1" si="73"/>
        <v>0.77245698322183542</v>
      </c>
      <c r="DF58" s="378">
        <f t="shared" ca="1" si="74"/>
        <v>-0.29424937374717114</v>
      </c>
      <c r="DG58" s="508">
        <f t="shared" ca="1" si="75"/>
        <v>-0.80846612390364603</v>
      </c>
      <c r="DH58" s="508">
        <f t="shared" ca="1" si="76"/>
        <v>-0.63798096905829726</v>
      </c>
      <c r="DI58" s="508">
        <f t="shared" ca="1" si="77"/>
        <v>-1.6165065242988066</v>
      </c>
      <c r="DJ58" s="508">
        <f t="shared" ca="1" si="78"/>
        <v>-0.58526985675714716</v>
      </c>
      <c r="DK58" s="353">
        <f t="shared" ca="1" si="79"/>
        <v>-155.27298924714401</v>
      </c>
      <c r="DL58" s="781">
        <f t="shared" ca="1" si="80"/>
        <v>9.8612585048251606</v>
      </c>
      <c r="DM58" s="303">
        <f t="shared" ca="1" si="81"/>
        <v>9486.9868333051345</v>
      </c>
      <c r="DN58" s="508">
        <f t="shared" ca="1" si="82"/>
        <v>0.94956001907578536</v>
      </c>
      <c r="DO58" s="508">
        <f t="shared" ca="1" si="83"/>
        <v>0.76102057094310482</v>
      </c>
      <c r="DP58" s="508">
        <f t="shared" ca="1" si="84"/>
        <v>0.82745923839074764</v>
      </c>
      <c r="DQ58" s="508">
        <f t="shared" ca="1" si="85"/>
        <v>0.6835683770705473</v>
      </c>
      <c r="DR58" s="508">
        <f t="shared" ca="1" si="86"/>
        <v>0.8436192727550933</v>
      </c>
      <c r="DS58" s="353">
        <f t="shared" ca="1" si="87"/>
        <v>8001.713371289542</v>
      </c>
      <c r="DT58" s="353">
        <f t="shared" ca="1" si="88"/>
        <v>-6931.652128659628</v>
      </c>
      <c r="DU58" s="380">
        <f t="shared" ca="1" si="189"/>
        <v>3.4989733059548254</v>
      </c>
      <c r="DV58" s="303">
        <f t="shared" ca="1" si="89"/>
        <v>259.5455463625367</v>
      </c>
      <c r="DW58" s="303">
        <f t="shared" ca="1" si="90"/>
        <v>49.437246926197467</v>
      </c>
      <c r="DX58" s="303">
        <f t="shared" ca="1" si="91"/>
        <v>61.796558657746836</v>
      </c>
      <c r="DY58" s="303">
        <f t="shared" ca="1" si="92"/>
        <v>370.77935194648103</v>
      </c>
      <c r="DZ58" s="303">
        <f t="shared" ca="1" si="93"/>
        <v>185.38967597324051</v>
      </c>
      <c r="EA58" s="303">
        <f t="shared" ca="1" si="94"/>
        <v>556.16902791972154</v>
      </c>
      <c r="EB58" s="302">
        <f t="shared" ca="1" si="95"/>
        <v>33.550000249966978</v>
      </c>
      <c r="EC58" s="299">
        <f t="shared" ca="1" si="96"/>
        <v>23.579999336451284</v>
      </c>
      <c r="ED58" s="299">
        <f t="shared" ca="1" si="97"/>
        <v>26.7000001989305</v>
      </c>
      <c r="EE58" s="299">
        <f t="shared" ca="1" si="98"/>
        <v>31.079000119658804</v>
      </c>
      <c r="EF58" s="299">
        <f t="shared" ca="1" si="99"/>
        <v>20.399998396635027</v>
      </c>
      <c r="EG58" s="299">
        <f t="shared" ca="1" si="100"/>
        <v>27.519332878650879</v>
      </c>
      <c r="EH58" s="302">
        <f t="shared" ca="1" si="101"/>
        <v>30</v>
      </c>
      <c r="EI58" s="304">
        <f t="shared" ca="1" si="102"/>
        <v>0.11919768749999997</v>
      </c>
      <c r="EJ58" s="305">
        <f t="shared" ca="1" si="103"/>
        <v>0.11919768749999997</v>
      </c>
      <c r="EK58" s="305">
        <f t="shared" ca="1" si="104"/>
        <v>0.11919768749999997</v>
      </c>
      <c r="EL58" s="305">
        <f t="shared" ca="1" si="105"/>
        <v>0.11919768749999986</v>
      </c>
      <c r="EM58" s="305">
        <f t="shared" ca="1" si="106"/>
        <v>3.7647679999999996E-2</v>
      </c>
      <c r="EN58" s="305">
        <f t="shared" ca="1" si="107"/>
        <v>9.5068548014060214E-2</v>
      </c>
      <c r="EO58" s="305">
        <f t="shared" ca="1" si="108"/>
        <v>0.11919768749999997</v>
      </c>
      <c r="EP58" s="305">
        <f t="shared" ca="1" si="109"/>
        <v>0.11919768749999997</v>
      </c>
      <c r="EQ58" s="305">
        <f t="shared" ca="1" si="110"/>
        <v>0.11919768749999997</v>
      </c>
      <c r="ER58" s="305">
        <f t="shared" ca="1" si="111"/>
        <v>3.7647679999999996E-2</v>
      </c>
      <c r="ES58" s="305">
        <f t="shared" ca="1" si="112"/>
        <v>9.5068548014060214E-2</v>
      </c>
      <c r="ET58" s="299">
        <f t="shared" ca="1" si="113"/>
        <v>3.5125706700463653</v>
      </c>
      <c r="EU58" s="302">
        <f t="shared" ca="1" si="114"/>
        <v>30</v>
      </c>
      <c r="EV58" s="304">
        <f t="shared" ca="1" si="115"/>
        <v>0.35759306249999989</v>
      </c>
      <c r="EW58" s="305">
        <f t="shared" ca="1" si="116"/>
        <v>0.35759306249999989</v>
      </c>
      <c r="EX58" s="305">
        <f t="shared" ca="1" si="117"/>
        <v>0.35759306249999989</v>
      </c>
      <c r="EY58" s="305">
        <f t="shared" ca="1" si="118"/>
        <v>0.35759306249999989</v>
      </c>
      <c r="EZ58" s="305">
        <f t="shared" ca="1" si="119"/>
        <v>0.11294303999999999</v>
      </c>
      <c r="FA58" s="305">
        <f t="shared" ca="1" si="120"/>
        <v>0.29282580264026331</v>
      </c>
      <c r="FB58" s="305">
        <f t="shared" ca="1" si="121"/>
        <v>0.35759306249999989</v>
      </c>
      <c r="FC58" s="305">
        <f t="shared" ca="1" si="122"/>
        <v>0.35759306249999989</v>
      </c>
      <c r="FD58" s="305">
        <f t="shared" ca="1" si="123"/>
        <v>0.35759306249999989</v>
      </c>
      <c r="FE58" s="305">
        <f t="shared" ca="1" si="124"/>
        <v>0.11294303999999999</v>
      </c>
      <c r="FF58" s="305">
        <f t="shared" ca="1" si="125"/>
        <v>0.29282580264026331</v>
      </c>
      <c r="FG58" s="299">
        <f t="shared" ca="1" si="126"/>
        <v>5.0414527398775597</v>
      </c>
      <c r="FH58" s="302">
        <f t="shared" ca="1" si="127"/>
        <v>-1.5288820698311945</v>
      </c>
      <c r="FI58" s="248">
        <f t="shared" ca="1" si="128"/>
        <v>-850.31685458190725</v>
      </c>
      <c r="FJ58" s="363">
        <f t="shared" ca="1" si="129"/>
        <v>0.77245698322183542</v>
      </c>
      <c r="FK58" s="378">
        <f t="shared" ca="1" si="130"/>
        <v>0.39011655330574124</v>
      </c>
      <c r="FL58" s="508">
        <f t="shared" ca="1" si="131"/>
        <v>-1.1914627385565038</v>
      </c>
      <c r="FM58" s="508">
        <f t="shared" ca="1" si="132"/>
        <v>-0.63413629226199886</v>
      </c>
      <c r="FN58" s="508">
        <f t="shared" ca="1" si="133"/>
        <v>-5.5116587338806857</v>
      </c>
      <c r="FO58" s="508">
        <f t="shared" ca="1" si="134"/>
        <v>-0.57425640299599801</v>
      </c>
      <c r="FP58" s="353">
        <f t="shared" ca="1" si="135"/>
        <v>398.83041694830354</v>
      </c>
      <c r="FQ58" s="356">
        <f t="shared" ca="1" si="136"/>
        <v>35.267922923019277</v>
      </c>
      <c r="FR58" s="380">
        <f t="shared" ca="1" si="137"/>
        <v>21.492000000000001</v>
      </c>
      <c r="FS58" s="299">
        <f t="shared" ca="1" si="138"/>
        <v>21.492000000000001</v>
      </c>
      <c r="FT58" s="299">
        <f t="shared" ca="1" si="139"/>
        <v>21.492000000000001</v>
      </c>
      <c r="FU58" s="299">
        <f t="shared" ca="1" si="140"/>
        <v>21.492000000000001</v>
      </c>
      <c r="FV58" s="299">
        <f t="shared" ca="1" si="141"/>
        <v>21.492000000000001</v>
      </c>
      <c r="FW58" s="850">
        <f t="shared" ca="1" si="142"/>
        <v>0.17850000000000002</v>
      </c>
      <c r="FX58" s="851">
        <f t="shared" ca="1" si="143"/>
        <v>0.5</v>
      </c>
      <c r="FY58" s="851">
        <f t="shared" ca="1" si="144"/>
        <v>0</v>
      </c>
      <c r="FZ58" s="201">
        <f t="shared" ca="1" si="145"/>
        <v>0</v>
      </c>
      <c r="GA58" s="201">
        <f t="shared" ca="1" si="146"/>
        <v>0</v>
      </c>
      <c r="GB58" s="201">
        <f t="shared" ca="1" si="147"/>
        <v>0</v>
      </c>
      <c r="GC58" s="201">
        <f t="shared" ca="1" si="148"/>
        <v>0</v>
      </c>
      <c r="GD58" s="850">
        <f t="shared" ca="1" si="149"/>
        <v>0.37259306249999991</v>
      </c>
      <c r="GE58" s="866">
        <f t="shared" ca="1" si="150"/>
        <v>0.3625930624999999</v>
      </c>
      <c r="GF58" s="866">
        <f t="shared" ca="1" si="151"/>
        <v>0.37259306249999991</v>
      </c>
      <c r="GG58" s="866">
        <f t="shared" ca="1" si="152"/>
        <v>0.11294303999999999</v>
      </c>
      <c r="GH58" s="866">
        <f t="shared" ca="1" si="153"/>
        <v>0.30782580264026332</v>
      </c>
      <c r="GI58" s="302">
        <f t="shared" ca="1" si="154"/>
        <v>14.174302402929714</v>
      </c>
      <c r="GJ58" s="299">
        <f t="shared" ca="1" si="155"/>
        <v>6.3129736662403291</v>
      </c>
      <c r="GK58" s="299">
        <f t="shared" ca="1" si="156"/>
        <v>8.6734932054715621</v>
      </c>
      <c r="GL58" s="299">
        <f t="shared" ca="1" si="157"/>
        <v>1.9281351036342766</v>
      </c>
      <c r="GM58" s="299">
        <f t="shared" ca="1" si="158"/>
        <v>8.4218467745036847</v>
      </c>
      <c r="GN58" s="302">
        <f t="shared" ca="1" si="159"/>
        <v>0.85071849063988458</v>
      </c>
      <c r="GO58" s="299">
        <f t="shared" ca="1" si="160"/>
        <v>0.67420204354799673</v>
      </c>
      <c r="GP58" s="299">
        <f t="shared" ca="1" si="161"/>
        <v>0.74577931777884621</v>
      </c>
      <c r="GQ58" s="299">
        <f t="shared" ca="1" si="162"/>
        <v>0.48724191941813849</v>
      </c>
      <c r="GR58" s="299">
        <f t="shared" ca="1" si="163"/>
        <v>0.77157306958890015</v>
      </c>
      <c r="GS58" s="302">
        <f t="shared" ca="1" si="164"/>
        <v>-0.6684956220601721</v>
      </c>
      <c r="GT58" s="299">
        <f t="shared" ca="1" si="165"/>
        <v>-0.44596643306878048</v>
      </c>
      <c r="GU58" s="299">
        <f t="shared" ca="1" si="166"/>
        <v>-0.52293024246014319</v>
      </c>
      <c r="GV58" s="299">
        <f t="shared" ca="1" si="167"/>
        <v>-0.37277119475235526</v>
      </c>
      <c r="GW58" s="299">
        <f t="shared" ca="1" si="168"/>
        <v>-0.59609770856916311</v>
      </c>
      <c r="GX58" s="303">
        <f t="shared" ca="1" si="169"/>
        <v>3678.8770614762093</v>
      </c>
      <c r="GY58" s="303">
        <f t="shared" ca="1" si="170"/>
        <v>312.09603797650527</v>
      </c>
      <c r="GZ58" s="303">
        <f t="shared" ca="1" si="171"/>
        <v>535.99203163949198</v>
      </c>
      <c r="HA58" s="303">
        <f t="shared" ca="1" si="172"/>
        <v>357.45634209538906</v>
      </c>
      <c r="HB58" s="303">
        <f t="shared" ca="1" si="173"/>
        <v>4683.9703338645568</v>
      </c>
      <c r="HC58" s="303">
        <f t="shared" ca="1" si="174"/>
        <v>3129.6002629172831</v>
      </c>
      <c r="HD58" s="303">
        <f t="shared" ca="1" si="175"/>
        <v>103.22493877787853</v>
      </c>
      <c r="HE58" s="303">
        <f t="shared" ca="1" si="176"/>
        <v>321.83648978276574</v>
      </c>
      <c r="HF58" s="303">
        <f t="shared" ca="1" si="177"/>
        <v>0</v>
      </c>
      <c r="HG58" s="852">
        <f t="shared" ca="1" si="178"/>
        <v>3352.2158680678358</v>
      </c>
    </row>
    <row r="59" spans="1:215" x14ac:dyDescent="0.25">
      <c r="A59" s="244">
        <f t="shared" ca="1" si="179"/>
        <v>37895</v>
      </c>
      <c r="B59" s="13">
        <f t="shared" ca="1" si="3"/>
        <v>2003</v>
      </c>
      <c r="C59" s="619">
        <f t="shared" ca="1" si="180"/>
        <v>10</v>
      </c>
      <c r="D59" s="195" t="str">
        <f t="shared" ca="1" si="4"/>
        <v/>
      </c>
      <c r="E59" s="469">
        <f t="shared" ca="1" si="5"/>
        <v>37895</v>
      </c>
      <c r="F59" s="465">
        <f t="shared" ca="1" si="6"/>
        <v>37925</v>
      </c>
      <c r="G59" s="522">
        <f t="shared" ca="1" si="181"/>
        <v>1</v>
      </c>
      <c r="H59" s="519">
        <f t="shared" ca="1" si="182"/>
        <v>1</v>
      </c>
      <c r="I59" s="724">
        <f t="shared" ca="1" si="7"/>
        <v>7.238779519034301E-2</v>
      </c>
      <c r="J59" s="198">
        <f t="shared" ca="1" si="8"/>
        <v>0.7676804069152684</v>
      </c>
      <c r="K59" s="200">
        <f t="shared" ca="1" si="190"/>
        <v>29.65</v>
      </c>
      <c r="L59" s="201">
        <f t="shared" ca="1" si="191"/>
        <v>30.4</v>
      </c>
      <c r="M59" s="206">
        <f t="shared" ca="1" si="192"/>
        <v>31.15</v>
      </c>
      <c r="N59" s="851">
        <f t="shared" ca="1" si="196"/>
        <v>22.438000106811522</v>
      </c>
      <c r="O59" s="201">
        <f t="shared" ca="1" si="197"/>
        <v>23.000500106811522</v>
      </c>
      <c r="P59" s="206">
        <f t="shared" ca="1" si="198"/>
        <v>23.563000106811522</v>
      </c>
      <c r="Q59" s="201">
        <f t="shared" ca="1" si="199"/>
        <v>17.700999832153318</v>
      </c>
      <c r="R59" s="201">
        <f t="shared" ca="1" si="200"/>
        <v>21.000999832153319</v>
      </c>
      <c r="S59" s="201">
        <f t="shared" ca="1" si="201"/>
        <v>24.30099983215332</v>
      </c>
      <c r="T59" s="851">
        <f t="shared" ca="1" si="193"/>
        <v>19.27499885559082</v>
      </c>
      <c r="U59" s="201">
        <f t="shared" ca="1" si="194"/>
        <v>19.64999885559082</v>
      </c>
      <c r="V59" s="206">
        <f t="shared" ca="1" si="195"/>
        <v>20.02499885559082</v>
      </c>
      <c r="W59" s="230">
        <f t="shared" ca="1" si="183"/>
        <v>0.108435375</v>
      </c>
      <c r="X59" s="231">
        <f t="shared" ca="1" si="184"/>
        <v>0.21687075</v>
      </c>
      <c r="Y59" s="232">
        <f t="shared" ca="1" si="185"/>
        <v>0.325306125</v>
      </c>
      <c r="Z59" s="231">
        <f t="shared" ca="1" si="202"/>
        <v>0.108435375</v>
      </c>
      <c r="AA59" s="231">
        <f t="shared" ca="1" si="203"/>
        <v>0.21687075</v>
      </c>
      <c r="AB59" s="232">
        <f t="shared" ca="1" si="204"/>
        <v>0.325306125</v>
      </c>
      <c r="AC59" s="231">
        <f t="shared" ca="1" si="205"/>
        <v>0.108435375</v>
      </c>
      <c r="AD59" s="231">
        <f t="shared" ca="1" si="206"/>
        <v>0.21687075</v>
      </c>
      <c r="AE59" s="232">
        <f t="shared" ca="1" si="14"/>
        <v>0.325306125</v>
      </c>
      <c r="AF59" s="231">
        <f t="shared" ca="1" si="186"/>
        <v>2.8235759999999995E-2</v>
      </c>
      <c r="AG59" s="231">
        <f t="shared" ca="1" si="187"/>
        <v>5.647151999999999E-2</v>
      </c>
      <c r="AH59" s="232">
        <f t="shared" ca="1" si="188"/>
        <v>8.4707279999999982E-2</v>
      </c>
      <c r="AI59" s="233">
        <f t="shared" ca="1" si="15"/>
        <v>0.85000000000000009</v>
      </c>
      <c r="AJ59" s="233">
        <f t="shared" ca="1" si="16"/>
        <v>1.1000000000000001</v>
      </c>
      <c r="AK59" s="234">
        <f t="shared" ca="1" si="17"/>
        <v>1.4000000000000001</v>
      </c>
      <c r="AL59" s="919">
        <f t="shared" ca="1" si="18"/>
        <v>0.85000000000000009</v>
      </c>
      <c r="AM59" s="233">
        <f t="shared" ca="1" si="19"/>
        <v>1.1000000000000001</v>
      </c>
      <c r="AN59" s="234">
        <f t="shared" ca="1" si="20"/>
        <v>1.4000000000000001</v>
      </c>
      <c r="AO59" s="233">
        <f t="shared" ca="1" si="21"/>
        <v>0.85000000000000009</v>
      </c>
      <c r="AP59" s="233">
        <f t="shared" ca="1" si="22"/>
        <v>1.1000000000000001</v>
      </c>
      <c r="AQ59" s="233">
        <f t="shared" ca="1" si="23"/>
        <v>1.4000000000000001</v>
      </c>
      <c r="AR59" s="919">
        <f t="shared" ca="1" si="24"/>
        <v>0.19999999999999998</v>
      </c>
      <c r="AS59" s="233">
        <f t="shared" ca="1" si="25"/>
        <v>0.35</v>
      </c>
      <c r="AT59" s="235">
        <f t="shared" ca="1" si="26"/>
        <v>0.55000000000000004</v>
      </c>
      <c r="AU59" s="946">
        <f t="shared" si="27"/>
        <v>0.5</v>
      </c>
      <c r="AV59" s="13">
        <f t="shared" ca="1" si="28"/>
        <v>23</v>
      </c>
      <c r="AW59" s="210">
        <f t="shared" ca="1" si="29"/>
        <v>4</v>
      </c>
      <c r="AX59" s="210">
        <f t="shared" ca="1" si="30"/>
        <v>4</v>
      </c>
      <c r="AY59" s="210">
        <f t="shared" ca="1" si="31"/>
        <v>0</v>
      </c>
      <c r="AZ59" s="13">
        <f t="shared" ca="1" si="32"/>
        <v>31</v>
      </c>
      <c r="BA59" s="357">
        <f ca="1"/>
        <v>368</v>
      </c>
      <c r="BB59" s="925">
        <f ca="1"/>
        <v>64</v>
      </c>
      <c r="BC59" s="925">
        <f ca="1"/>
        <v>64</v>
      </c>
      <c r="BD59" s="928">
        <f ca="1"/>
        <v>248</v>
      </c>
      <c r="BE59" s="200">
        <f ca="1"/>
        <v>1.0000187270343304</v>
      </c>
      <c r="BF59" s="851">
        <f ca="1"/>
        <v>1.0000187270343304</v>
      </c>
      <c r="BG59" s="851">
        <f ca="1"/>
        <v>1.0000187270343304</v>
      </c>
      <c r="BH59" s="933">
        <f ca="1"/>
        <v>1.0000000074505806</v>
      </c>
      <c r="BI59" s="357">
        <f ca="1"/>
        <v>368</v>
      </c>
      <c r="BJ59" s="925">
        <f ca="1"/>
        <v>64</v>
      </c>
      <c r="BK59" s="925">
        <f ca="1"/>
        <v>64</v>
      </c>
      <c r="BL59" s="928">
        <f ca="1"/>
        <v>248</v>
      </c>
      <c r="BM59" s="200">
        <f ca="1"/>
        <v>1.0000187270343304</v>
      </c>
      <c r="BN59" s="851">
        <f ca="1"/>
        <v>1.0000187270343304</v>
      </c>
      <c r="BO59" s="851">
        <f ca="1"/>
        <v>1.0000187270343304</v>
      </c>
      <c r="BP59" s="933">
        <f ca="1"/>
        <v>1.0000000074505806</v>
      </c>
      <c r="BQ59" s="357">
        <f t="shared" ca="1" si="33"/>
        <v>744</v>
      </c>
      <c r="BR59" s="361">
        <f t="shared" ca="1" si="34"/>
        <v>744</v>
      </c>
      <c r="BS59" s="357">
        <f t="shared" ca="1" si="35"/>
        <v>571.15422274495972</v>
      </c>
      <c r="BT59" s="302">
        <f t="shared" ca="1" si="36"/>
        <v>24.543747567360256</v>
      </c>
      <c r="BU59" s="299">
        <f t="shared" ca="1" si="37"/>
        <v>25.371986544077014</v>
      </c>
      <c r="BV59" s="299">
        <f t="shared" ca="1" si="38"/>
        <v>26.200225520793769</v>
      </c>
      <c r="BW59" s="299">
        <f t="shared" ca="1" si="39"/>
        <v>32.659889647739881</v>
      </c>
      <c r="BX59" s="380">
        <f t="shared" ca="1" si="40"/>
        <v>3.5811088295687883</v>
      </c>
      <c r="BY59" s="363">
        <f t="shared" ca="1" si="41"/>
        <v>282.50638974481876</v>
      </c>
      <c r="BZ59" s="353">
        <f t="shared" ca="1" si="42"/>
        <v>49.131546042577178</v>
      </c>
      <c r="CA59" s="353">
        <f t="shared" ca="1" si="43"/>
        <v>49.131546042577178</v>
      </c>
      <c r="CB59" s="353">
        <f t="shared" ca="1" si="44"/>
        <v>380.76948182997307</v>
      </c>
      <c r="CC59" s="353">
        <f t="shared" ca="1" si="45"/>
        <v>190.38474091498657</v>
      </c>
      <c r="CD59" s="353">
        <f t="shared" ca="1" si="46"/>
        <v>571.15422274495961</v>
      </c>
      <c r="CE59" s="302">
        <f t="shared" ca="1" si="47"/>
        <v>31.15058334711939</v>
      </c>
      <c r="CF59" s="299">
        <f t="shared" ca="1" si="48"/>
        <v>23.563441371923449</v>
      </c>
      <c r="CG59" s="299">
        <f t="shared" ca="1" si="49"/>
        <v>24.301454917811437</v>
      </c>
      <c r="CH59" s="299">
        <f t="shared" ca="1" si="50"/>
        <v>29.28783877879631</v>
      </c>
      <c r="CI59" s="299">
        <f t="shared" ca="1" si="51"/>
        <v>20.024999004788686</v>
      </c>
      <c r="CJ59" s="299">
        <f t="shared" ca="1" si="52"/>
        <v>26.200225520793769</v>
      </c>
      <c r="CK59" s="299">
        <f t="shared" ca="1" si="53"/>
        <v>32.659889647739881</v>
      </c>
      <c r="CL59" s="377">
        <f t="shared" ca="1" si="54"/>
        <v>0.325306125</v>
      </c>
      <c r="CM59" s="305">
        <f t="shared" ca="1" si="55"/>
        <v>0.325306125</v>
      </c>
      <c r="CN59" s="305">
        <f t="shared" ca="1" si="56"/>
        <v>0.325306125</v>
      </c>
      <c r="CO59" s="305">
        <f t="shared" ca="1" si="57"/>
        <v>0.325306125</v>
      </c>
      <c r="CP59" s="305">
        <f t="shared" ca="1" si="58"/>
        <v>8.4707279999999982E-2</v>
      </c>
      <c r="CQ59" s="305">
        <f t="shared" ca="1" si="59"/>
        <v>0.26121649112130885</v>
      </c>
      <c r="CR59" s="775">
        <f t="shared" ca="1" si="60"/>
        <v>0.325306125</v>
      </c>
      <c r="CS59" s="305">
        <f t="shared" ca="1" si="61"/>
        <v>0.37530612499999999</v>
      </c>
      <c r="CT59" s="305">
        <f t="shared" ca="1" si="62"/>
        <v>0.36530612499999998</v>
      </c>
      <c r="CU59" s="305">
        <f t="shared" ca="1" si="63"/>
        <v>0.14470727999999999</v>
      </c>
      <c r="CV59" s="770">
        <f t="shared" ca="1" si="64"/>
        <v>0.28621649112130887</v>
      </c>
      <c r="CW59" s="302">
        <f t="shared" ca="1" si="65"/>
        <v>6.9810264627791359</v>
      </c>
      <c r="CX59" s="299">
        <f t="shared" ca="1" si="66"/>
        <v>4.0204570244240312</v>
      </c>
      <c r="CY59" s="299">
        <f t="shared" ca="1" si="67"/>
        <v>4.1821478185157659</v>
      </c>
      <c r="CZ59" s="299">
        <f t="shared" ca="1" si="68"/>
        <v>0.10273607061126233</v>
      </c>
      <c r="DA59" s="774">
        <f t="shared" ca="1" si="69"/>
        <v>3.5505543526985832</v>
      </c>
      <c r="DB59" s="303">
        <f t="shared" ca="1" si="70"/>
        <v>2027.9141116292924</v>
      </c>
      <c r="DC59" s="248">
        <f t="shared" ca="1" si="71"/>
        <v>254.66876915360325</v>
      </c>
      <c r="DD59" s="778">
        <f t="shared" ca="1" si="72"/>
        <v>0</v>
      </c>
      <c r="DE59" s="363">
        <f t="shared" ca="1" si="73"/>
        <v>0.7676804069152684</v>
      </c>
      <c r="DF59" s="378">
        <f t="shared" ca="1" si="74"/>
        <v>-0.38466081653714029</v>
      </c>
      <c r="DG59" s="508">
        <f t="shared" ca="1" si="75"/>
        <v>-0.81475776179724047</v>
      </c>
      <c r="DH59" s="508">
        <f t="shared" ca="1" si="76"/>
        <v>-0.77326694925239103</v>
      </c>
      <c r="DI59" s="508">
        <f t="shared" ca="1" si="77"/>
        <v>-1.9232328884230245</v>
      </c>
      <c r="DJ59" s="508">
        <f t="shared" ca="1" si="78"/>
        <v>-0.67769713587586977</v>
      </c>
      <c r="DK59" s="353">
        <f t="shared" ca="1" si="79"/>
        <v>-142.20700624877963</v>
      </c>
      <c r="DL59" s="781">
        <f t="shared" ca="1" si="80"/>
        <v>10.238010297452375</v>
      </c>
      <c r="DM59" s="303">
        <f t="shared" ca="1" si="81"/>
        <v>9235.0368439305657</v>
      </c>
      <c r="DN59" s="508">
        <f t="shared" ca="1" si="82"/>
        <v>0.92109103052465791</v>
      </c>
      <c r="DO59" s="508">
        <f t="shared" ca="1" si="83"/>
        <v>0.77357086633103123</v>
      </c>
      <c r="DP59" s="508">
        <f t="shared" ca="1" si="84"/>
        <v>0.78986931608043276</v>
      </c>
      <c r="DQ59" s="508">
        <f t="shared" ca="1" si="85"/>
        <v>0.68757804634094299</v>
      </c>
      <c r="DR59" s="508">
        <f t="shared" ca="1" si="86"/>
        <v>0.82962837585831373</v>
      </c>
      <c r="DS59" s="353">
        <f t="shared" ca="1" si="87"/>
        <v>8007.8996745255981</v>
      </c>
      <c r="DT59" s="353">
        <f t="shared" ca="1" si="88"/>
        <v>-7059.936936193154</v>
      </c>
      <c r="DU59" s="380">
        <f t="shared" ca="1" si="189"/>
        <v>3.5811088295687883</v>
      </c>
      <c r="DV59" s="303">
        <f t="shared" ca="1" si="89"/>
        <v>282.50638974481876</v>
      </c>
      <c r="DW59" s="303">
        <f t="shared" ca="1" si="90"/>
        <v>49.131546042577178</v>
      </c>
      <c r="DX59" s="303">
        <f t="shared" ca="1" si="91"/>
        <v>49.131546042577178</v>
      </c>
      <c r="DY59" s="303">
        <f t="shared" ca="1" si="92"/>
        <v>380.76948182997307</v>
      </c>
      <c r="DZ59" s="303">
        <f t="shared" ca="1" si="93"/>
        <v>190.38474091498657</v>
      </c>
      <c r="EA59" s="303">
        <f t="shared" ca="1" si="94"/>
        <v>571.15422274495961</v>
      </c>
      <c r="EB59" s="302">
        <f t="shared" ca="1" si="95"/>
        <v>31.15058334711939</v>
      </c>
      <c r="EC59" s="299">
        <f t="shared" ca="1" si="96"/>
        <v>23.563441371923449</v>
      </c>
      <c r="ED59" s="299">
        <f t="shared" ca="1" si="97"/>
        <v>24.301454917811437</v>
      </c>
      <c r="EE59" s="299">
        <f t="shared" ca="1" si="98"/>
        <v>29.28783877879631</v>
      </c>
      <c r="EF59" s="299">
        <f t="shared" ca="1" si="99"/>
        <v>20.024999004788686</v>
      </c>
      <c r="EG59" s="299">
        <f t="shared" ca="1" si="100"/>
        <v>26.200225520793769</v>
      </c>
      <c r="EH59" s="302">
        <f t="shared" ca="1" si="101"/>
        <v>30</v>
      </c>
      <c r="EI59" s="304">
        <f t="shared" ca="1" si="102"/>
        <v>0.108435375</v>
      </c>
      <c r="EJ59" s="305">
        <f t="shared" ca="1" si="103"/>
        <v>0.108435375</v>
      </c>
      <c r="EK59" s="305">
        <f t="shared" ca="1" si="104"/>
        <v>0.108435375</v>
      </c>
      <c r="EL59" s="305">
        <f t="shared" ca="1" si="105"/>
        <v>0.10843537500000013</v>
      </c>
      <c r="EM59" s="305">
        <f t="shared" ca="1" si="106"/>
        <v>2.8235759999999995E-2</v>
      </c>
      <c r="EN59" s="305">
        <f t="shared" ca="1" si="107"/>
        <v>8.4914239435541397E-2</v>
      </c>
      <c r="EO59" s="305">
        <f t="shared" ca="1" si="108"/>
        <v>0.108435375</v>
      </c>
      <c r="EP59" s="305">
        <f t="shared" ca="1" si="109"/>
        <v>0.108435375</v>
      </c>
      <c r="EQ59" s="305">
        <f t="shared" ca="1" si="110"/>
        <v>0.108435375</v>
      </c>
      <c r="ER59" s="305">
        <f t="shared" ca="1" si="111"/>
        <v>2.8235759999999995E-2</v>
      </c>
      <c r="ES59" s="305">
        <f t="shared" ca="1" si="112"/>
        <v>8.4914239435541397E-2</v>
      </c>
      <c r="ET59" s="299">
        <f t="shared" ca="1" si="113"/>
        <v>4.3006789225825202</v>
      </c>
      <c r="EU59" s="302">
        <f t="shared" ca="1" si="114"/>
        <v>30</v>
      </c>
      <c r="EV59" s="304">
        <f t="shared" ca="1" si="115"/>
        <v>0.325306125</v>
      </c>
      <c r="EW59" s="305">
        <f t="shared" ca="1" si="116"/>
        <v>0.325306125</v>
      </c>
      <c r="EX59" s="305">
        <f t="shared" ca="1" si="117"/>
        <v>0.325306125</v>
      </c>
      <c r="EY59" s="305">
        <f t="shared" ca="1" si="118"/>
        <v>0.325306125</v>
      </c>
      <c r="EZ59" s="305">
        <f t="shared" ca="1" si="119"/>
        <v>8.4707279999999982E-2</v>
      </c>
      <c r="FA59" s="305">
        <f t="shared" ca="1" si="120"/>
        <v>0.26121649112130885</v>
      </c>
      <c r="FB59" s="305">
        <f t="shared" ca="1" si="121"/>
        <v>0.325306125</v>
      </c>
      <c r="FC59" s="305">
        <f t="shared" ca="1" si="122"/>
        <v>0.325306125</v>
      </c>
      <c r="FD59" s="305">
        <f t="shared" ca="1" si="123"/>
        <v>0.325306125</v>
      </c>
      <c r="FE59" s="305">
        <f t="shared" ca="1" si="124"/>
        <v>8.4707279999999982E-2</v>
      </c>
      <c r="FF59" s="305">
        <f t="shared" ca="1" si="125"/>
        <v>0.26121649112130885</v>
      </c>
      <c r="FG59" s="299">
        <f t="shared" ca="1" si="126"/>
        <v>3.7857881452279063</v>
      </c>
      <c r="FH59" s="302">
        <f t="shared" ca="1" si="127"/>
        <v>0.51489077735461386</v>
      </c>
      <c r="FI59" s="248">
        <f t="shared" ca="1" si="128"/>
        <v>294.08204173852255</v>
      </c>
      <c r="FJ59" s="363">
        <f t="shared" ca="1" si="129"/>
        <v>0.7676804069152684</v>
      </c>
      <c r="FK59" s="378">
        <f t="shared" ca="1" si="130"/>
        <v>8.0807736809210259E-2</v>
      </c>
      <c r="FL59" s="508">
        <f t="shared" ca="1" si="131"/>
        <v>-1.2794993786243583</v>
      </c>
      <c r="FM59" s="508">
        <f t="shared" ca="1" si="132"/>
        <v>-1.1292087570958531</v>
      </c>
      <c r="FN59" s="508">
        <f t="shared" ca="1" si="133"/>
        <v>-7.5916512734896617</v>
      </c>
      <c r="FO59" s="508">
        <f t="shared" ca="1" si="134"/>
        <v>-0.92314318980242738</v>
      </c>
      <c r="FP59" s="353">
        <f t="shared" ca="1" si="135"/>
        <v>469.50803606071008</v>
      </c>
      <c r="FQ59" s="356">
        <f t="shared" ca="1" si="136"/>
        <v>30.867515034732396</v>
      </c>
      <c r="FR59" s="380">
        <f t="shared" ca="1" si="137"/>
        <v>21.7</v>
      </c>
      <c r="FS59" s="299">
        <f t="shared" ca="1" si="138"/>
        <v>21.7</v>
      </c>
      <c r="FT59" s="299">
        <f t="shared" ca="1" si="139"/>
        <v>21.7</v>
      </c>
      <c r="FU59" s="299">
        <f t="shared" ca="1" si="140"/>
        <v>21.7</v>
      </c>
      <c r="FV59" s="299">
        <f t="shared" ca="1" si="141"/>
        <v>21.7</v>
      </c>
      <c r="FW59" s="850">
        <f t="shared" ca="1" si="142"/>
        <v>0.17850000000000002</v>
      </c>
      <c r="FX59" s="851">
        <f t="shared" ca="1" si="143"/>
        <v>0.5</v>
      </c>
      <c r="FY59" s="851">
        <f t="shared" ca="1" si="144"/>
        <v>0</v>
      </c>
      <c r="FZ59" s="201">
        <f t="shared" ca="1" si="145"/>
        <v>0</v>
      </c>
      <c r="GA59" s="201">
        <f t="shared" ca="1" si="146"/>
        <v>0</v>
      </c>
      <c r="GB59" s="201">
        <f t="shared" ca="1" si="147"/>
        <v>0</v>
      </c>
      <c r="GC59" s="201">
        <f t="shared" ca="1" si="148"/>
        <v>0</v>
      </c>
      <c r="GD59" s="850">
        <f t="shared" ca="1" si="149"/>
        <v>0.34030612500000001</v>
      </c>
      <c r="GE59" s="866">
        <f t="shared" ca="1" si="150"/>
        <v>0.327806125</v>
      </c>
      <c r="GF59" s="866">
        <f t="shared" ca="1" si="151"/>
        <v>0.33530612500000001</v>
      </c>
      <c r="GG59" s="866">
        <f t="shared" ca="1" si="152"/>
        <v>8.4707279999999982E-2</v>
      </c>
      <c r="GH59" s="866">
        <f t="shared" ca="1" si="153"/>
        <v>0.27621649112130886</v>
      </c>
      <c r="GI59" s="302">
        <f t="shared" ca="1" si="154"/>
        <v>11.66413433636246</v>
      </c>
      <c r="GJ59" s="299">
        <f t="shared" ca="1" si="155"/>
        <v>5.785460278520504</v>
      </c>
      <c r="GK59" s="299">
        <f t="shared" ca="1" si="156"/>
        <v>6.3862210002477839</v>
      </c>
      <c r="GL59" s="299">
        <f t="shared" ca="1" si="157"/>
        <v>1.6797883902755937</v>
      </c>
      <c r="GM59" s="299">
        <f t="shared" ca="1" si="158"/>
        <v>6.9520246237896481</v>
      </c>
      <c r="GN59" s="302">
        <f t="shared" ca="1" si="159"/>
        <v>0.82301864247282541</v>
      </c>
      <c r="GO59" s="299">
        <f t="shared" ca="1" si="160"/>
        <v>0.66353002212213608</v>
      </c>
      <c r="GP59" s="299">
        <f t="shared" ca="1" si="161"/>
        <v>0.68468823076673679</v>
      </c>
      <c r="GQ59" s="299">
        <f t="shared" ca="1" si="162"/>
        <v>0.44901380353036496</v>
      </c>
      <c r="GR59" s="299">
        <f t="shared" ca="1" si="163"/>
        <v>0.73892854145097031</v>
      </c>
      <c r="GS59" s="302">
        <f t="shared" ca="1" si="164"/>
        <v>-0.64393442652465116</v>
      </c>
      <c r="GT59" s="299">
        <f t="shared" ca="1" si="165"/>
        <v>-0.45389835985193355</v>
      </c>
      <c r="GU59" s="299">
        <f t="shared" ca="1" si="166"/>
        <v>-0.47247471730814955</v>
      </c>
      <c r="GV59" s="299">
        <f t="shared" ca="1" si="167"/>
        <v>-0.33694522669715493</v>
      </c>
      <c r="GW59" s="299">
        <f t="shared" ca="1" si="168"/>
        <v>-0.57180059534492012</v>
      </c>
      <c r="GX59" s="303">
        <f t="shared" ca="1" si="169"/>
        <v>3295.1924808643362</v>
      </c>
      <c r="GY59" s="303">
        <f t="shared" ca="1" si="170"/>
        <v>284.24860805163155</v>
      </c>
      <c r="GZ59" s="303">
        <f t="shared" ca="1" si="171"/>
        <v>313.76491111174727</v>
      </c>
      <c r="HA59" s="303">
        <f t="shared" ca="1" si="172"/>
        <v>319.80607747462125</v>
      </c>
      <c r="HB59" s="303">
        <f t="shared" ca="1" si="173"/>
        <v>3970.6782205043969</v>
      </c>
      <c r="HC59" s="303">
        <f t="shared" ca="1" si="174"/>
        <v>2669.8501823772044</v>
      </c>
      <c r="HD59" s="303">
        <f t="shared" ca="1" si="175"/>
        <v>91.553755562300168</v>
      </c>
      <c r="HE59" s="303">
        <f t="shared" ca="1" si="176"/>
        <v>127.81350207214149</v>
      </c>
      <c r="HF59" s="303">
        <f t="shared" ca="1" si="177"/>
        <v>0</v>
      </c>
      <c r="HG59" s="852">
        <f t="shared" ca="1" si="178"/>
        <v>2570.3228095059962</v>
      </c>
    </row>
    <row r="60" spans="1:215" x14ac:dyDescent="0.25">
      <c r="A60" s="244">
        <f t="shared" ca="1" si="179"/>
        <v>37926</v>
      </c>
      <c r="B60" s="13">
        <f t="shared" ca="1" si="3"/>
        <v>2003</v>
      </c>
      <c r="C60" s="619">
        <f t="shared" ca="1" si="180"/>
        <v>11</v>
      </c>
      <c r="D60" s="195">
        <f t="shared" ca="1" si="4"/>
        <v>37952</v>
      </c>
      <c r="E60" s="469">
        <f t="shared" ca="1" si="5"/>
        <v>37926</v>
      </c>
      <c r="F60" s="465">
        <f t="shared" ca="1" si="6"/>
        <v>37955</v>
      </c>
      <c r="G60" s="522">
        <f t="shared" ca="1" si="181"/>
        <v>1</v>
      </c>
      <c r="H60" s="519">
        <f t="shared" ca="1" si="182"/>
        <v>1</v>
      </c>
      <c r="I60" s="724">
        <f t="shared" ca="1" si="7"/>
        <v>7.2433234070914995E-2</v>
      </c>
      <c r="J60" s="198">
        <f t="shared" ca="1" si="8"/>
        <v>0.76308263577695024</v>
      </c>
      <c r="K60" s="200">
        <f t="shared" ca="1" si="190"/>
        <v>30.024999999999999</v>
      </c>
      <c r="L60" s="201">
        <f t="shared" ca="1" si="191"/>
        <v>30.774999999999999</v>
      </c>
      <c r="M60" s="206">
        <f t="shared" ca="1" si="192"/>
        <v>31.524999999999999</v>
      </c>
      <c r="N60" s="851">
        <f t="shared" ca="1" si="196"/>
        <v>23.442251586914061</v>
      </c>
      <c r="O60" s="201">
        <f t="shared" ca="1" si="197"/>
        <v>24.004751586914061</v>
      </c>
      <c r="P60" s="206">
        <f t="shared" ca="1" si="198"/>
        <v>24.567251586914061</v>
      </c>
      <c r="Q60" s="201">
        <f t="shared" ca="1" si="199"/>
        <v>18.704499816894529</v>
      </c>
      <c r="R60" s="201">
        <f t="shared" ca="1" si="200"/>
        <v>22.00449981689453</v>
      </c>
      <c r="S60" s="201">
        <f t="shared" ca="1" si="201"/>
        <v>25.304499816894531</v>
      </c>
      <c r="T60" s="851">
        <f t="shared" ca="1" si="193"/>
        <v>19.199998092651366</v>
      </c>
      <c r="U60" s="201">
        <f t="shared" ca="1" si="194"/>
        <v>19.574998092651366</v>
      </c>
      <c r="V60" s="206">
        <f t="shared" ca="1" si="195"/>
        <v>19.949998092651366</v>
      </c>
      <c r="W60" s="230">
        <f t="shared" ca="1" si="183"/>
        <v>0.108435375</v>
      </c>
      <c r="X60" s="231">
        <f t="shared" ca="1" si="184"/>
        <v>0.21687075</v>
      </c>
      <c r="Y60" s="232">
        <f t="shared" ca="1" si="185"/>
        <v>0.325306125</v>
      </c>
      <c r="Z60" s="231">
        <f t="shared" ca="1" si="202"/>
        <v>0.108435375</v>
      </c>
      <c r="AA60" s="231">
        <f t="shared" ca="1" si="203"/>
        <v>0.21687075</v>
      </c>
      <c r="AB60" s="232">
        <f t="shared" ca="1" si="204"/>
        <v>0.325306125</v>
      </c>
      <c r="AC60" s="231">
        <f t="shared" ca="1" si="205"/>
        <v>0.108435375</v>
      </c>
      <c r="AD60" s="231">
        <f t="shared" ca="1" si="206"/>
        <v>0.21687075</v>
      </c>
      <c r="AE60" s="232">
        <f t="shared" ca="1" si="14"/>
        <v>0.325306125</v>
      </c>
      <c r="AF60" s="231">
        <f t="shared" ca="1" si="186"/>
        <v>2.8235759999999995E-2</v>
      </c>
      <c r="AG60" s="231">
        <f t="shared" ca="1" si="187"/>
        <v>5.647151999999999E-2</v>
      </c>
      <c r="AH60" s="232">
        <f t="shared" ca="1" si="188"/>
        <v>8.4707279999999982E-2</v>
      </c>
      <c r="AI60" s="233">
        <f t="shared" ca="1" si="15"/>
        <v>1</v>
      </c>
      <c r="AJ60" s="233">
        <f t="shared" ca="1" si="16"/>
        <v>1.25</v>
      </c>
      <c r="AK60" s="234">
        <f t="shared" ca="1" si="17"/>
        <v>1.55</v>
      </c>
      <c r="AL60" s="919">
        <f t="shared" ca="1" si="18"/>
        <v>1</v>
      </c>
      <c r="AM60" s="233">
        <f t="shared" ca="1" si="19"/>
        <v>1.25</v>
      </c>
      <c r="AN60" s="234">
        <f t="shared" ca="1" si="20"/>
        <v>1.55</v>
      </c>
      <c r="AO60" s="233">
        <f t="shared" ca="1" si="21"/>
        <v>1</v>
      </c>
      <c r="AP60" s="233">
        <f t="shared" ca="1" si="22"/>
        <v>1.25</v>
      </c>
      <c r="AQ60" s="233">
        <f t="shared" ca="1" si="23"/>
        <v>1.55</v>
      </c>
      <c r="AR60" s="919">
        <f t="shared" ca="1" si="24"/>
        <v>0.15</v>
      </c>
      <c r="AS60" s="233">
        <f t="shared" ca="1" si="25"/>
        <v>0.3</v>
      </c>
      <c r="AT60" s="235">
        <f t="shared" ca="1" si="26"/>
        <v>0.5</v>
      </c>
      <c r="AU60" s="946">
        <f t="shared" si="27"/>
        <v>0.5</v>
      </c>
      <c r="AV60" s="13">
        <f t="shared" ca="1" si="28"/>
        <v>19</v>
      </c>
      <c r="AW60" s="210">
        <f t="shared" ca="1" si="29"/>
        <v>5</v>
      </c>
      <c r="AX60" s="210">
        <f t="shared" ca="1" si="30"/>
        <v>5</v>
      </c>
      <c r="AY60" s="210">
        <f t="shared" ca="1" si="31"/>
        <v>1</v>
      </c>
      <c r="AZ60" s="13">
        <f t="shared" ca="1" si="32"/>
        <v>30</v>
      </c>
      <c r="BA60" s="357">
        <f ca="1"/>
        <v>304</v>
      </c>
      <c r="BB60" s="925">
        <f ca="1"/>
        <v>80</v>
      </c>
      <c r="BC60" s="925">
        <f ca="1"/>
        <v>96</v>
      </c>
      <c r="BD60" s="928">
        <f ca="1"/>
        <v>240</v>
      </c>
      <c r="BE60" s="200">
        <f ca="1"/>
        <v>0.99996249377727509</v>
      </c>
      <c r="BF60" s="851">
        <f ca="1"/>
        <v>0.99996249377727509</v>
      </c>
      <c r="BG60" s="851">
        <f ca="1"/>
        <v>0.99996249377727509</v>
      </c>
      <c r="BH60" s="933">
        <f ca="1"/>
        <v>1.0000000074505806</v>
      </c>
      <c r="BI60" s="357">
        <f ca="1"/>
        <v>304</v>
      </c>
      <c r="BJ60" s="925">
        <f ca="1"/>
        <v>80</v>
      </c>
      <c r="BK60" s="925">
        <f ca="1"/>
        <v>96</v>
      </c>
      <c r="BL60" s="928">
        <f ca="1"/>
        <v>240</v>
      </c>
      <c r="BM60" s="200">
        <f ca="1"/>
        <v>0.99996249377727509</v>
      </c>
      <c r="BN60" s="851">
        <f ca="1"/>
        <v>0.99996249377727509</v>
      </c>
      <c r="BO60" s="851">
        <f ca="1"/>
        <v>0.99996249377727509</v>
      </c>
      <c r="BP60" s="933">
        <f ca="1"/>
        <v>1.0000000074505806</v>
      </c>
      <c r="BQ60" s="357">
        <f t="shared" ca="1" si="33"/>
        <v>720</v>
      </c>
      <c r="BR60" s="361">
        <f t="shared" ca="1" si="34"/>
        <v>720</v>
      </c>
      <c r="BS60" s="357">
        <f t="shared" ca="1" si="35"/>
        <v>549.41949775940418</v>
      </c>
      <c r="BT60" s="302">
        <f t="shared" ca="1" si="36"/>
        <v>24.175182858815631</v>
      </c>
      <c r="BU60" s="299">
        <f t="shared" ca="1" si="37"/>
        <v>25.119318802566173</v>
      </c>
      <c r="BV60" s="299">
        <f t="shared" ca="1" si="38"/>
        <v>26.063454746316712</v>
      </c>
      <c r="BW60" s="299">
        <f t="shared" ca="1" si="39"/>
        <v>32.659889647739881</v>
      </c>
      <c r="BX60" s="380">
        <f t="shared" ca="1" si="40"/>
        <v>3.6659822039698837</v>
      </c>
      <c r="BY60" s="363">
        <f t="shared" ca="1" si="41"/>
        <v>231.97712127619286</v>
      </c>
      <c r="BZ60" s="353">
        <f t="shared" ca="1" si="42"/>
        <v>61.046610862156015</v>
      </c>
      <c r="CA60" s="353">
        <f t="shared" ca="1" si="43"/>
        <v>73.25593303458723</v>
      </c>
      <c r="CB60" s="353">
        <f t="shared" ca="1" si="44"/>
        <v>366.27966517293612</v>
      </c>
      <c r="CC60" s="353">
        <f t="shared" ca="1" si="45"/>
        <v>183.13983258646806</v>
      </c>
      <c r="CD60" s="353">
        <f t="shared" ca="1" si="46"/>
        <v>549.41949775940418</v>
      </c>
      <c r="CE60" s="302">
        <f t="shared" ca="1" si="47"/>
        <v>31.523817616328596</v>
      </c>
      <c r="CF60" s="299">
        <f t="shared" ca="1" si="48"/>
        <v>24.566330162104304</v>
      </c>
      <c r="CG60" s="299">
        <f t="shared" ca="1" si="49"/>
        <v>25.303550740688454</v>
      </c>
      <c r="CH60" s="299">
        <f t="shared" ca="1" si="50"/>
        <v>29.120182998829854</v>
      </c>
      <c r="CI60" s="299">
        <f t="shared" ca="1" si="51"/>
        <v>19.949998241290434</v>
      </c>
      <c r="CJ60" s="299">
        <f t="shared" ca="1" si="52"/>
        <v>26.063454746316712</v>
      </c>
      <c r="CK60" s="299">
        <f t="shared" ca="1" si="53"/>
        <v>32.659889647739881</v>
      </c>
      <c r="CL60" s="377">
        <f t="shared" ca="1" si="54"/>
        <v>0.325306125</v>
      </c>
      <c r="CM60" s="305">
        <f t="shared" ca="1" si="55"/>
        <v>0.325306125</v>
      </c>
      <c r="CN60" s="305">
        <f t="shared" ca="1" si="56"/>
        <v>0.325306125</v>
      </c>
      <c r="CO60" s="305">
        <f t="shared" ca="1" si="57"/>
        <v>0.32530612499999995</v>
      </c>
      <c r="CP60" s="305">
        <f t="shared" ca="1" si="58"/>
        <v>8.4707279999999982E-2</v>
      </c>
      <c r="CQ60" s="305">
        <f t="shared" ca="1" si="59"/>
        <v>0.26128500977988994</v>
      </c>
      <c r="CR60" s="775">
        <f t="shared" ca="1" si="60"/>
        <v>0.325306125</v>
      </c>
      <c r="CS60" s="305">
        <f t="shared" ca="1" si="61"/>
        <v>0.36530612499999998</v>
      </c>
      <c r="CT60" s="305">
        <f t="shared" ca="1" si="62"/>
        <v>0.36030612500000003</v>
      </c>
      <c r="CU60" s="305">
        <f t="shared" ca="1" si="63"/>
        <v>0.14470727999999999</v>
      </c>
      <c r="CV60" s="770">
        <f t="shared" ca="1" si="64"/>
        <v>0.28628500977988997</v>
      </c>
      <c r="CW60" s="302">
        <f t="shared" ca="1" si="65"/>
        <v>7.2914757657231046</v>
      </c>
      <c r="CX60" s="299">
        <f t="shared" ca="1" si="66"/>
        <v>4.3864244290324388</v>
      </c>
      <c r="CY60" s="299">
        <f t="shared" ca="1" si="67"/>
        <v>4.6477778836900399</v>
      </c>
      <c r="CZ60" s="299">
        <f t="shared" ca="1" si="68"/>
        <v>0.10563600499008963</v>
      </c>
      <c r="DA60" s="774">
        <f t="shared" ca="1" si="69"/>
        <v>3.5568669631860867</v>
      </c>
      <c r="DB60" s="303">
        <f t="shared" ca="1" si="70"/>
        <v>1954.212060510717</v>
      </c>
      <c r="DC60" s="248">
        <f t="shared" ca="1" si="71"/>
        <v>244.66088570914252</v>
      </c>
      <c r="DD60" s="778">
        <f t="shared" ca="1" si="72"/>
        <v>0</v>
      </c>
      <c r="DE60" s="363">
        <f t="shared" ca="1" si="73"/>
        <v>0.76308263577695024</v>
      </c>
      <c r="DF60" s="378">
        <f t="shared" ca="1" si="74"/>
        <v>-0.36826978641112584</v>
      </c>
      <c r="DG60" s="508">
        <f t="shared" ca="1" si="75"/>
        <v>-0.75686105847057961</v>
      </c>
      <c r="DH60" s="508">
        <f t="shared" ca="1" si="76"/>
        <v>-0.7148641094701178</v>
      </c>
      <c r="DI60" s="508">
        <f t="shared" ca="1" si="77"/>
        <v>-1.9175900608610779</v>
      </c>
      <c r="DJ60" s="508">
        <f t="shared" ca="1" si="78"/>
        <v>-0.68566772963825207</v>
      </c>
      <c r="DK60" s="353">
        <f t="shared" ca="1" si="79"/>
        <v>-135.41062043820907</v>
      </c>
      <c r="DL60" s="781">
        <f t="shared" ca="1" si="80"/>
        <v>9.6786807326393003</v>
      </c>
      <c r="DM60" s="303">
        <f t="shared" ca="1" si="81"/>
        <v>8913.7777712431907</v>
      </c>
      <c r="DN60" s="508">
        <f t="shared" ca="1" si="82"/>
        <v>0.9387491220084716</v>
      </c>
      <c r="DO60" s="508">
        <f t="shared" ca="1" si="83"/>
        <v>0.80849650034724829</v>
      </c>
      <c r="DP60" s="508">
        <f t="shared" ca="1" si="84"/>
        <v>0.82394082806603675</v>
      </c>
      <c r="DQ60" s="508">
        <f t="shared" ca="1" si="85"/>
        <v>0.69977385967713468</v>
      </c>
      <c r="DR60" s="508">
        <f t="shared" ca="1" si="86"/>
        <v>0.8393963765264465</v>
      </c>
      <c r="DS60" s="353">
        <f t="shared" ca="1" si="87"/>
        <v>7690.2863021368157</v>
      </c>
      <c r="DT60" s="353">
        <f t="shared" ca="1" si="88"/>
        <v>-6940.5981250914047</v>
      </c>
      <c r="DU60" s="380">
        <f t="shared" ca="1" si="189"/>
        <v>3.6659822039698837</v>
      </c>
      <c r="DV60" s="303">
        <f t="shared" ca="1" si="89"/>
        <v>231.97712127619286</v>
      </c>
      <c r="DW60" s="303">
        <f t="shared" ca="1" si="90"/>
        <v>61.046610862156015</v>
      </c>
      <c r="DX60" s="303">
        <f t="shared" ca="1" si="91"/>
        <v>73.25593303458723</v>
      </c>
      <c r="DY60" s="303">
        <f t="shared" ca="1" si="92"/>
        <v>366.27966517293612</v>
      </c>
      <c r="DZ60" s="303">
        <f t="shared" ca="1" si="93"/>
        <v>183.13983258646806</v>
      </c>
      <c r="EA60" s="303">
        <f t="shared" ca="1" si="94"/>
        <v>549.41949775940418</v>
      </c>
      <c r="EB60" s="302">
        <f t="shared" ca="1" si="95"/>
        <v>31.523817616328596</v>
      </c>
      <c r="EC60" s="299">
        <f t="shared" ca="1" si="96"/>
        <v>24.566330162104304</v>
      </c>
      <c r="ED60" s="299">
        <f t="shared" ca="1" si="97"/>
        <v>25.303550740688454</v>
      </c>
      <c r="EE60" s="299">
        <f t="shared" ca="1" si="98"/>
        <v>29.120182998829854</v>
      </c>
      <c r="EF60" s="299">
        <f t="shared" ca="1" si="99"/>
        <v>19.949998241290434</v>
      </c>
      <c r="EG60" s="299">
        <f t="shared" ca="1" si="100"/>
        <v>26.063454746316712</v>
      </c>
      <c r="EH60" s="302">
        <f t="shared" ca="1" si="101"/>
        <v>30</v>
      </c>
      <c r="EI60" s="304">
        <f t="shared" ca="1" si="102"/>
        <v>0.108435375</v>
      </c>
      <c r="EJ60" s="305">
        <f t="shared" ca="1" si="103"/>
        <v>0.108435375</v>
      </c>
      <c r="EK60" s="305">
        <f t="shared" ca="1" si="104"/>
        <v>0.108435375</v>
      </c>
      <c r="EL60" s="305">
        <f t="shared" ca="1" si="105"/>
        <v>0.10843537500000006</v>
      </c>
      <c r="EM60" s="305">
        <f t="shared" ca="1" si="106"/>
        <v>2.8235759999999995E-2</v>
      </c>
      <c r="EN60" s="305">
        <f t="shared" ca="1" si="107"/>
        <v>8.4886172103196017E-2</v>
      </c>
      <c r="EO60" s="305">
        <f t="shared" ca="1" si="108"/>
        <v>0.108435375</v>
      </c>
      <c r="EP60" s="305">
        <f t="shared" ca="1" si="109"/>
        <v>0.108435375</v>
      </c>
      <c r="EQ60" s="305">
        <f t="shared" ca="1" si="110"/>
        <v>0.108435375</v>
      </c>
      <c r="ER60" s="305">
        <f t="shared" ca="1" si="111"/>
        <v>2.8235759999999995E-2</v>
      </c>
      <c r="ES60" s="305">
        <f t="shared" ca="1" si="112"/>
        <v>8.4886172103196017E-2</v>
      </c>
      <c r="ET60" s="299">
        <f t="shared" ca="1" si="113"/>
        <v>4.4216249875100395</v>
      </c>
      <c r="EU60" s="302">
        <f t="shared" ca="1" si="114"/>
        <v>30</v>
      </c>
      <c r="EV60" s="304">
        <f t="shared" ca="1" si="115"/>
        <v>0.325306125</v>
      </c>
      <c r="EW60" s="305">
        <f t="shared" ca="1" si="116"/>
        <v>0.325306125</v>
      </c>
      <c r="EX60" s="305">
        <f t="shared" ca="1" si="117"/>
        <v>0.325306125</v>
      </c>
      <c r="EY60" s="305">
        <f t="shared" ca="1" si="118"/>
        <v>0.32530612499999995</v>
      </c>
      <c r="EZ60" s="305">
        <f t="shared" ca="1" si="119"/>
        <v>8.4707279999999982E-2</v>
      </c>
      <c r="FA60" s="305">
        <f t="shared" ca="1" si="120"/>
        <v>0.26128500977988994</v>
      </c>
      <c r="FB60" s="305">
        <f t="shared" ca="1" si="121"/>
        <v>0.325306125</v>
      </c>
      <c r="FC60" s="305">
        <f t="shared" ca="1" si="122"/>
        <v>0.325306125</v>
      </c>
      <c r="FD60" s="305">
        <f t="shared" ca="1" si="123"/>
        <v>0.325306125</v>
      </c>
      <c r="FE60" s="305">
        <f t="shared" ca="1" si="124"/>
        <v>8.4707279999999982E-2</v>
      </c>
      <c r="FF60" s="305">
        <f t="shared" ca="1" si="125"/>
        <v>0.26128500977988994</v>
      </c>
      <c r="FG60" s="299">
        <f t="shared" ca="1" si="126"/>
        <v>3.7810332768513142</v>
      </c>
      <c r="FH60" s="302">
        <f t="shared" ca="1" si="127"/>
        <v>0.64059171065872533</v>
      </c>
      <c r="FI60" s="248">
        <f t="shared" ca="1" si="128"/>
        <v>351.95357593895443</v>
      </c>
      <c r="FJ60" s="363">
        <f t="shared" ca="1" si="129"/>
        <v>0.76308263577695024</v>
      </c>
      <c r="FK60" s="378">
        <f t="shared" ca="1" si="130"/>
        <v>0.13483024880000238</v>
      </c>
      <c r="FL60" s="508">
        <f t="shared" ca="1" si="131"/>
        <v>-1.0662500849845862</v>
      </c>
      <c r="FM60" s="508">
        <f t="shared" ca="1" si="132"/>
        <v>-0.92383545981252768</v>
      </c>
      <c r="FN60" s="508">
        <f t="shared" ca="1" si="133"/>
        <v>-7.5732915865055173</v>
      </c>
      <c r="FO60" s="508">
        <f t="shared" ca="1" si="134"/>
        <v>-0.94672776657564228</v>
      </c>
      <c r="FP60" s="353">
        <f t="shared" ca="1" si="135"/>
        <v>454.98047064074166</v>
      </c>
      <c r="FQ60" s="356">
        <f t="shared" ca="1" si="136"/>
        <v>28.716617490252933</v>
      </c>
      <c r="FR60" s="380">
        <f t="shared" ca="1" si="137"/>
        <v>22.78</v>
      </c>
      <c r="FS60" s="299">
        <f t="shared" ca="1" si="138"/>
        <v>22.78</v>
      </c>
      <c r="FT60" s="299">
        <f t="shared" ca="1" si="139"/>
        <v>22.78</v>
      </c>
      <c r="FU60" s="299">
        <f t="shared" ca="1" si="140"/>
        <v>22.78</v>
      </c>
      <c r="FV60" s="299">
        <f t="shared" ca="1" si="141"/>
        <v>22.78</v>
      </c>
      <c r="FW60" s="850">
        <f t="shared" ca="1" si="142"/>
        <v>0.17850000000000002</v>
      </c>
      <c r="FX60" s="851">
        <f t="shared" ca="1" si="143"/>
        <v>0.5</v>
      </c>
      <c r="FY60" s="851">
        <f t="shared" ca="1" si="144"/>
        <v>0</v>
      </c>
      <c r="FZ60" s="201">
        <f t="shared" ca="1" si="145"/>
        <v>0</v>
      </c>
      <c r="GA60" s="201">
        <f t="shared" ca="1" si="146"/>
        <v>0</v>
      </c>
      <c r="GB60" s="201">
        <f t="shared" ca="1" si="147"/>
        <v>0</v>
      </c>
      <c r="GC60" s="201">
        <f t="shared" ca="1" si="148"/>
        <v>0</v>
      </c>
      <c r="GD60" s="850">
        <f t="shared" ca="1" si="149"/>
        <v>0.34030612500000001</v>
      </c>
      <c r="GE60" s="866">
        <f t="shared" ca="1" si="150"/>
        <v>0.327806125</v>
      </c>
      <c r="GF60" s="866">
        <f t="shared" ca="1" si="151"/>
        <v>0.33530612500000001</v>
      </c>
      <c r="GG60" s="866">
        <f t="shared" ca="1" si="152"/>
        <v>8.4707279999999982E-2</v>
      </c>
      <c r="GH60" s="866">
        <f t="shared" ca="1" si="153"/>
        <v>0.27378500977988995</v>
      </c>
      <c r="GI60" s="302">
        <f t="shared" ca="1" si="154"/>
        <v>11.343180272931399</v>
      </c>
      <c r="GJ60" s="299">
        <f t="shared" ca="1" si="155"/>
        <v>6.0181942595299169</v>
      </c>
      <c r="GK60" s="299">
        <f t="shared" ca="1" si="156"/>
        <v>6.6212719746349658</v>
      </c>
      <c r="GL60" s="299">
        <f t="shared" ca="1" si="157"/>
        <v>1.3456092183201804</v>
      </c>
      <c r="GM60" s="299">
        <f t="shared" ca="1" si="158"/>
        <v>6.277868399560135</v>
      </c>
      <c r="GN60" s="302">
        <f t="shared" ca="1" si="159"/>
        <v>0.80447924712066132</v>
      </c>
      <c r="GO60" s="299">
        <f t="shared" ca="1" si="160"/>
        <v>0.65940591471327226</v>
      </c>
      <c r="GP60" s="299">
        <f t="shared" ca="1" si="161"/>
        <v>0.67975752756286401</v>
      </c>
      <c r="GQ60" s="299">
        <f t="shared" ca="1" si="162"/>
        <v>0.3821131097962992</v>
      </c>
      <c r="GR60" s="299">
        <f t="shared" ca="1" si="163"/>
        <v>0.69937248566863697</v>
      </c>
      <c r="GS60" s="302">
        <f t="shared" ca="1" si="164"/>
        <v>-0.61532389161729817</v>
      </c>
      <c r="GT60" s="299">
        <f t="shared" ca="1" si="165"/>
        <v>-0.44692684662329779</v>
      </c>
      <c r="GU60" s="299">
        <f t="shared" ca="1" si="166"/>
        <v>-0.46439904715592129</v>
      </c>
      <c r="GV60" s="299">
        <f t="shared" ca="1" si="167"/>
        <v>-0.27557268256591266</v>
      </c>
      <c r="GW60" s="299">
        <f t="shared" ca="1" si="168"/>
        <v>-0.52459168124938882</v>
      </c>
      <c r="GX60" s="303">
        <f t="shared" ca="1" si="169"/>
        <v>2631.3583058315253</v>
      </c>
      <c r="GY60" s="303">
        <f t="shared" ca="1" si="170"/>
        <v>367.39036305438401</v>
      </c>
      <c r="GZ60" s="303">
        <f t="shared" ca="1" si="171"/>
        <v>485.04745637764819</v>
      </c>
      <c r="HA60" s="303">
        <f t="shared" ca="1" si="172"/>
        <v>246.434646969966</v>
      </c>
      <c r="HB60" s="303">
        <f t="shared" ca="1" si="173"/>
        <v>3449.1833030859639</v>
      </c>
      <c r="HC60" s="303">
        <f t="shared" ca="1" si="174"/>
        <v>2028.3656395999701</v>
      </c>
      <c r="HD60" s="303">
        <f t="shared" ca="1" si="175"/>
        <v>109.04940227731345</v>
      </c>
      <c r="HE60" s="303">
        <f t="shared" ca="1" si="176"/>
        <v>184.86506406925631</v>
      </c>
      <c r="HF60" s="303">
        <f t="shared" ca="1" si="177"/>
        <v>0</v>
      </c>
      <c r="HG60" s="852">
        <f t="shared" ca="1" si="178"/>
        <v>1803.9940576370589</v>
      </c>
    </row>
    <row r="61" spans="1:215" x14ac:dyDescent="0.25">
      <c r="A61" s="244">
        <f t="shared" ca="1" si="179"/>
        <v>37956</v>
      </c>
      <c r="B61" s="13">
        <f t="shared" ca="1" si="3"/>
        <v>2003</v>
      </c>
      <c r="C61" s="619">
        <f t="shared" ca="1" si="180"/>
        <v>12</v>
      </c>
      <c r="D61" s="195">
        <f t="shared" ca="1" si="4"/>
        <v>37980</v>
      </c>
      <c r="E61" s="469">
        <f t="shared" ca="1" si="5"/>
        <v>37956</v>
      </c>
      <c r="F61" s="465">
        <f t="shared" ca="1" si="6"/>
        <v>37986</v>
      </c>
      <c r="G61" s="522">
        <f t="shared" ca="1" si="181"/>
        <v>1</v>
      </c>
      <c r="H61" s="519">
        <f t="shared" ca="1" si="182"/>
        <v>1</v>
      </c>
      <c r="I61" s="724">
        <f t="shared" ca="1" si="7"/>
        <v>7.2477207181795011E-2</v>
      </c>
      <c r="J61" s="198">
        <f t="shared" ca="1" si="8"/>
        <v>0.7583632705034653</v>
      </c>
      <c r="K61" s="200">
        <f t="shared" ca="1" si="190"/>
        <v>29.9</v>
      </c>
      <c r="L61" s="201">
        <f t="shared" ca="1" si="191"/>
        <v>30.65</v>
      </c>
      <c r="M61" s="206">
        <f t="shared" ca="1" si="192"/>
        <v>31.4</v>
      </c>
      <c r="N61" s="851">
        <f t="shared" ca="1" si="196"/>
        <v>24.892498397827147</v>
      </c>
      <c r="O61" s="201">
        <f t="shared" ca="1" si="197"/>
        <v>25.454998397827147</v>
      </c>
      <c r="P61" s="206">
        <f t="shared" ca="1" si="198"/>
        <v>26.017498397827147</v>
      </c>
      <c r="Q61" s="201">
        <f t="shared" ca="1" si="199"/>
        <v>18.649999237060545</v>
      </c>
      <c r="R61" s="201">
        <f t="shared" ca="1" si="200"/>
        <v>21.949999237060545</v>
      </c>
      <c r="S61" s="201">
        <f t="shared" ca="1" si="201"/>
        <v>25.249999237060546</v>
      </c>
      <c r="T61" s="851">
        <f t="shared" ca="1" si="193"/>
        <v>20.624999237060546</v>
      </c>
      <c r="U61" s="201">
        <f t="shared" ca="1" si="194"/>
        <v>20.999999237060546</v>
      </c>
      <c r="V61" s="206">
        <f t="shared" ca="1" si="195"/>
        <v>21.374999237060546</v>
      </c>
      <c r="W61" s="230">
        <f t="shared" ca="1" si="183"/>
        <v>0.11233417499999999</v>
      </c>
      <c r="X61" s="231">
        <f t="shared" ca="1" si="184"/>
        <v>0.22466834999999999</v>
      </c>
      <c r="Y61" s="232">
        <f t="shared" ca="1" si="185"/>
        <v>0.337002525</v>
      </c>
      <c r="Z61" s="231">
        <f t="shared" ca="1" si="202"/>
        <v>0.11233417499999999</v>
      </c>
      <c r="AA61" s="231">
        <f t="shared" ca="1" si="203"/>
        <v>0.22466834999999999</v>
      </c>
      <c r="AB61" s="232">
        <f t="shared" ca="1" si="204"/>
        <v>0.337002525</v>
      </c>
      <c r="AC61" s="231">
        <f t="shared" ca="1" si="205"/>
        <v>0.11233417499999999</v>
      </c>
      <c r="AD61" s="231">
        <f t="shared" ca="1" si="206"/>
        <v>0.22466834999999999</v>
      </c>
      <c r="AE61" s="232">
        <f t="shared" ca="1" si="14"/>
        <v>0.337002525</v>
      </c>
      <c r="AF61" s="231">
        <f t="shared" ca="1" si="186"/>
        <v>2.8235759999999995E-2</v>
      </c>
      <c r="AG61" s="231">
        <f t="shared" ca="1" si="187"/>
        <v>5.647151999999999E-2</v>
      </c>
      <c r="AH61" s="232">
        <f t="shared" ca="1" si="188"/>
        <v>8.4707279999999982E-2</v>
      </c>
      <c r="AI61" s="233">
        <f t="shared" ca="1" si="15"/>
        <v>1</v>
      </c>
      <c r="AJ61" s="233">
        <f t="shared" ca="1" si="16"/>
        <v>1.25</v>
      </c>
      <c r="AK61" s="234">
        <f t="shared" ca="1" si="17"/>
        <v>1.6</v>
      </c>
      <c r="AL61" s="919">
        <f t="shared" ca="1" si="18"/>
        <v>1</v>
      </c>
      <c r="AM61" s="233">
        <f t="shared" ca="1" si="19"/>
        <v>1.25</v>
      </c>
      <c r="AN61" s="234">
        <f t="shared" ca="1" si="20"/>
        <v>1.6</v>
      </c>
      <c r="AO61" s="233">
        <f t="shared" ca="1" si="21"/>
        <v>1</v>
      </c>
      <c r="AP61" s="233">
        <f t="shared" ca="1" si="22"/>
        <v>1.25</v>
      </c>
      <c r="AQ61" s="233">
        <f t="shared" ca="1" si="23"/>
        <v>1.6</v>
      </c>
      <c r="AR61" s="919">
        <f t="shared" ca="1" si="24"/>
        <v>0.15</v>
      </c>
      <c r="AS61" s="233">
        <f t="shared" ca="1" si="25"/>
        <v>0.3</v>
      </c>
      <c r="AT61" s="235">
        <f t="shared" ca="1" si="26"/>
        <v>0.5</v>
      </c>
      <c r="AU61" s="946">
        <f t="shared" si="27"/>
        <v>0.5</v>
      </c>
      <c r="AV61" s="13">
        <f t="shared" ca="1" si="28"/>
        <v>22</v>
      </c>
      <c r="AW61" s="210">
        <f t="shared" ca="1" si="29"/>
        <v>4</v>
      </c>
      <c r="AX61" s="210">
        <f t="shared" ca="1" si="30"/>
        <v>4</v>
      </c>
      <c r="AY61" s="210">
        <f t="shared" ca="1" si="31"/>
        <v>1</v>
      </c>
      <c r="AZ61" s="13">
        <f t="shared" ca="1" si="32"/>
        <v>31</v>
      </c>
      <c r="BA61" s="357">
        <f ca="1"/>
        <v>352</v>
      </c>
      <c r="BB61" s="925">
        <f ca="1"/>
        <v>64</v>
      </c>
      <c r="BC61" s="925">
        <f ca="1"/>
        <v>80</v>
      </c>
      <c r="BD61" s="928">
        <f ca="1"/>
        <v>248</v>
      </c>
      <c r="BE61" s="200">
        <f ca="1"/>
        <v>0.9999692440032959</v>
      </c>
      <c r="BF61" s="851">
        <f ca="1"/>
        <v>0.9999692440032959</v>
      </c>
      <c r="BG61" s="851">
        <f ca="1"/>
        <v>0.9999692440032959</v>
      </c>
      <c r="BH61" s="933">
        <f ca="1"/>
        <v>1.0000000074505806</v>
      </c>
      <c r="BI61" s="357">
        <f ca="1"/>
        <v>352</v>
      </c>
      <c r="BJ61" s="925">
        <f ca="1"/>
        <v>64</v>
      </c>
      <c r="BK61" s="925">
        <f ca="1"/>
        <v>80</v>
      </c>
      <c r="BL61" s="928">
        <f ca="1"/>
        <v>248</v>
      </c>
      <c r="BM61" s="200">
        <f ca="1"/>
        <v>0.9999692440032959</v>
      </c>
      <c r="BN61" s="851">
        <f ca="1"/>
        <v>0.9999692440032959</v>
      </c>
      <c r="BO61" s="851">
        <f ca="1"/>
        <v>0.9999692440032959</v>
      </c>
      <c r="BP61" s="933">
        <f ca="1"/>
        <v>1.0000000074505806</v>
      </c>
      <c r="BQ61" s="357">
        <f t="shared" ca="1" si="33"/>
        <v>744</v>
      </c>
      <c r="BR61" s="361">
        <f t="shared" ca="1" si="34"/>
        <v>744</v>
      </c>
      <c r="BS61" s="357">
        <f t="shared" ca="1" si="35"/>
        <v>564.22227325457823</v>
      </c>
      <c r="BT61" s="302">
        <f t="shared" ca="1" si="36"/>
        <v>25.167340186393659</v>
      </c>
      <c r="BU61" s="299">
        <f t="shared" ca="1" si="37"/>
        <v>26.050381388424256</v>
      </c>
      <c r="BV61" s="299">
        <f t="shared" ca="1" si="38"/>
        <v>26.93342259045485</v>
      </c>
      <c r="BW61" s="299">
        <f t="shared" ca="1" si="39"/>
        <v>32.659889647739881</v>
      </c>
      <c r="BX61" s="380">
        <f t="shared" ca="1" si="40"/>
        <v>3.7481177275838466</v>
      </c>
      <c r="BY61" s="363">
        <f t="shared" ca="1" si="41"/>
        <v>266.94387121721979</v>
      </c>
      <c r="BZ61" s="353">
        <f t="shared" ca="1" si="42"/>
        <v>48.535249312221779</v>
      </c>
      <c r="CA61" s="353">
        <f t="shared" ca="1" si="43"/>
        <v>60.669061640277221</v>
      </c>
      <c r="CB61" s="353">
        <f t="shared" ca="1" si="44"/>
        <v>376.14818216971878</v>
      </c>
      <c r="CC61" s="353">
        <f t="shared" ca="1" si="45"/>
        <v>188.07409108485939</v>
      </c>
      <c r="CD61" s="353">
        <f t="shared" ca="1" si="46"/>
        <v>564.22227325457811</v>
      </c>
      <c r="CE61" s="302">
        <f t="shared" ca="1" si="47"/>
        <v>31.399034261703491</v>
      </c>
      <c r="CF61" s="299">
        <f t="shared" ca="1" si="48"/>
        <v>26.016698203732176</v>
      </c>
      <c r="CG61" s="299">
        <f t="shared" ca="1" si="49"/>
        <v>25.249222648167233</v>
      </c>
      <c r="CH61" s="299">
        <f t="shared" ca="1" si="50"/>
        <v>29.712634187523928</v>
      </c>
      <c r="CI61" s="299">
        <f t="shared" ca="1" si="51"/>
        <v>21.374999396316699</v>
      </c>
      <c r="CJ61" s="299">
        <f t="shared" ca="1" si="52"/>
        <v>26.933422590454853</v>
      </c>
      <c r="CK61" s="299">
        <f t="shared" ca="1" si="53"/>
        <v>32.659889647739881</v>
      </c>
      <c r="CL61" s="377">
        <f t="shared" ca="1" si="54"/>
        <v>0.337002525</v>
      </c>
      <c r="CM61" s="305">
        <f t="shared" ca="1" si="55"/>
        <v>0.337002525</v>
      </c>
      <c r="CN61" s="305">
        <f t="shared" ca="1" si="56"/>
        <v>0.337002525</v>
      </c>
      <c r="CO61" s="305">
        <f t="shared" ca="1" si="57"/>
        <v>0.337002525</v>
      </c>
      <c r="CP61" s="305">
        <f t="shared" ca="1" si="58"/>
        <v>8.4707279999999982E-2</v>
      </c>
      <c r="CQ61" s="305">
        <f t="shared" ca="1" si="59"/>
        <v>0.26852530074168285</v>
      </c>
      <c r="CR61" s="775">
        <f t="shared" ca="1" si="60"/>
        <v>0.337002525</v>
      </c>
      <c r="CS61" s="305">
        <f t="shared" ca="1" si="61"/>
        <v>0.36200252500000002</v>
      </c>
      <c r="CT61" s="305">
        <f t="shared" ca="1" si="62"/>
        <v>0.37200252499999997</v>
      </c>
      <c r="CU61" s="305">
        <f t="shared" ca="1" si="63"/>
        <v>0.14470727999999999</v>
      </c>
      <c r="CV61" s="770">
        <f t="shared" ca="1" si="64"/>
        <v>0.28602530074168286</v>
      </c>
      <c r="CW61" s="302">
        <f t="shared" ca="1" si="65"/>
        <v>7.5752210696017848</v>
      </c>
      <c r="CX61" s="299">
        <f t="shared" ca="1" si="66"/>
        <v>5.1168317589345804</v>
      </c>
      <c r="CY61" s="299">
        <f t="shared" ca="1" si="67"/>
        <v>4.9266643571871809</v>
      </c>
      <c r="CZ61" s="299">
        <f t="shared" ca="1" si="68"/>
        <v>0.20900456917416932</v>
      </c>
      <c r="DA61" s="774">
        <f t="shared" ca="1" si="69"/>
        <v>4.0146913341182326</v>
      </c>
      <c r="DB61" s="303">
        <f t="shared" ca="1" si="70"/>
        <v>2265.1782709516442</v>
      </c>
      <c r="DC61" s="248">
        <f t="shared" ca="1" si="71"/>
        <v>266.0837383433535</v>
      </c>
      <c r="DD61" s="778">
        <f t="shared" ca="1" si="72"/>
        <v>0</v>
      </c>
      <c r="DE61" s="363">
        <f t="shared" ca="1" si="73"/>
        <v>0.7583632705034653</v>
      </c>
      <c r="DF61" s="378">
        <f t="shared" ca="1" si="74"/>
        <v>-0.38656309325498833</v>
      </c>
      <c r="DG61" s="508">
        <f t="shared" ca="1" si="75"/>
        <v>-0.67490078051631275</v>
      </c>
      <c r="DH61" s="508">
        <f t="shared" ca="1" si="76"/>
        <v>-0.71743454158390596</v>
      </c>
      <c r="DI61" s="508">
        <f t="shared" ca="1" si="77"/>
        <v>-1.6532646626839564</v>
      </c>
      <c r="DJ61" s="508">
        <f t="shared" ca="1" si="78"/>
        <v>-0.625010369861005</v>
      </c>
      <c r="DK61" s="353">
        <f t="shared" ca="1" si="79"/>
        <v>-150.07300545808684</v>
      </c>
      <c r="DL61" s="781">
        <f t="shared" ca="1" si="80"/>
        <v>10.237849575692429</v>
      </c>
      <c r="DM61" s="303">
        <f t="shared" ca="1" si="81"/>
        <v>9636.6398313444006</v>
      </c>
      <c r="DN61" s="508">
        <f t="shared" ca="1" si="82"/>
        <v>0.94756799119197177</v>
      </c>
      <c r="DO61" s="508">
        <f t="shared" ca="1" si="83"/>
        <v>0.8504312005807152</v>
      </c>
      <c r="DP61" s="508">
        <f t="shared" ca="1" si="84"/>
        <v>0.83496316893567646</v>
      </c>
      <c r="DQ61" s="508">
        <f t="shared" ca="1" si="85"/>
        <v>0.74891484321057078</v>
      </c>
      <c r="DR61" s="508">
        <f t="shared" ca="1" si="86"/>
        <v>0.86832003492051779</v>
      </c>
      <c r="DS61" s="353">
        <f t="shared" ca="1" si="87"/>
        <v>8050.7070686092684</v>
      </c>
      <c r="DT61" s="353">
        <f t="shared" ca="1" si="88"/>
        <v>-7463.1453061943494</v>
      </c>
      <c r="DU61" s="380">
        <f t="shared" ca="1" si="189"/>
        <v>3.7481177275838466</v>
      </c>
      <c r="DV61" s="303">
        <f t="shared" ca="1" si="89"/>
        <v>266.94387121721979</v>
      </c>
      <c r="DW61" s="303">
        <f t="shared" ca="1" si="90"/>
        <v>48.535249312221779</v>
      </c>
      <c r="DX61" s="303">
        <f t="shared" ca="1" si="91"/>
        <v>60.669061640277221</v>
      </c>
      <c r="DY61" s="303">
        <f t="shared" ca="1" si="92"/>
        <v>376.14818216971878</v>
      </c>
      <c r="DZ61" s="303">
        <f t="shared" ca="1" si="93"/>
        <v>188.07409108485939</v>
      </c>
      <c r="EA61" s="303">
        <f t="shared" ca="1" si="94"/>
        <v>564.22227325457811</v>
      </c>
      <c r="EB61" s="302">
        <f t="shared" ca="1" si="95"/>
        <v>31.399034261703491</v>
      </c>
      <c r="EC61" s="299">
        <f t="shared" ca="1" si="96"/>
        <v>26.016698203732176</v>
      </c>
      <c r="ED61" s="299">
        <f t="shared" ca="1" si="97"/>
        <v>25.249222648167233</v>
      </c>
      <c r="EE61" s="299">
        <f t="shared" ca="1" si="98"/>
        <v>29.712634187523928</v>
      </c>
      <c r="EF61" s="299">
        <f t="shared" ca="1" si="99"/>
        <v>21.374999396316699</v>
      </c>
      <c r="EG61" s="299">
        <f t="shared" ca="1" si="100"/>
        <v>26.933422590454853</v>
      </c>
      <c r="EH61" s="302">
        <f t="shared" ca="1" si="101"/>
        <v>30</v>
      </c>
      <c r="EI61" s="304">
        <f t="shared" ca="1" si="102"/>
        <v>0.11233417499999999</v>
      </c>
      <c r="EJ61" s="305">
        <f t="shared" ca="1" si="103"/>
        <v>0.11233417499999999</v>
      </c>
      <c r="EK61" s="305">
        <f t="shared" ca="1" si="104"/>
        <v>0.11233417499999999</v>
      </c>
      <c r="EL61" s="305">
        <f t="shared" ca="1" si="105"/>
        <v>0.11233417500000009</v>
      </c>
      <c r="EM61" s="305">
        <f t="shared" ca="1" si="106"/>
        <v>2.8235759999999995E-2</v>
      </c>
      <c r="EN61" s="305">
        <f t="shared" ca="1" si="107"/>
        <v>8.6927485397228083E-2</v>
      </c>
      <c r="EO61" s="305">
        <f t="shared" ca="1" si="108"/>
        <v>0.11233417499999999</v>
      </c>
      <c r="EP61" s="305">
        <f t="shared" ca="1" si="109"/>
        <v>0.11233417499999999</v>
      </c>
      <c r="EQ61" s="305">
        <f t="shared" ca="1" si="110"/>
        <v>0.11233417499999999</v>
      </c>
      <c r="ER61" s="305">
        <f t="shared" ca="1" si="111"/>
        <v>2.8235759999999995E-2</v>
      </c>
      <c r="ES61" s="305">
        <f t="shared" ca="1" si="112"/>
        <v>8.6927485397228083E-2</v>
      </c>
      <c r="ET61" s="299">
        <f t="shared" ca="1" si="113"/>
        <v>3.8198816204683474</v>
      </c>
      <c r="EU61" s="302">
        <f t="shared" ca="1" si="114"/>
        <v>30</v>
      </c>
      <c r="EV61" s="304">
        <f t="shared" ca="1" si="115"/>
        <v>0.337002525</v>
      </c>
      <c r="EW61" s="305">
        <f t="shared" ca="1" si="116"/>
        <v>0.337002525</v>
      </c>
      <c r="EX61" s="305">
        <f t="shared" ca="1" si="117"/>
        <v>0.337002525</v>
      </c>
      <c r="EY61" s="305">
        <f t="shared" ca="1" si="118"/>
        <v>0.337002525</v>
      </c>
      <c r="EZ61" s="305">
        <f t="shared" ca="1" si="119"/>
        <v>8.4707279999999982E-2</v>
      </c>
      <c r="FA61" s="305">
        <f t="shared" ca="1" si="120"/>
        <v>0.26852530074168285</v>
      </c>
      <c r="FB61" s="305">
        <f t="shared" ca="1" si="121"/>
        <v>0.337002525</v>
      </c>
      <c r="FC61" s="305">
        <f t="shared" ca="1" si="122"/>
        <v>0.337002525</v>
      </c>
      <c r="FD61" s="305">
        <f t="shared" ca="1" si="123"/>
        <v>0.337002525</v>
      </c>
      <c r="FE61" s="305">
        <f t="shared" ca="1" si="124"/>
        <v>8.4707279999999982E-2</v>
      </c>
      <c r="FF61" s="305">
        <f t="shared" ca="1" si="125"/>
        <v>0.26852530074168285</v>
      </c>
      <c r="FG61" s="299">
        <f t="shared" ca="1" si="126"/>
        <v>4.4269942208848025</v>
      </c>
      <c r="FH61" s="302">
        <f t="shared" ca="1" si="127"/>
        <v>-0.60711260041645509</v>
      </c>
      <c r="FI61" s="248">
        <f t="shared" ca="1" si="128"/>
        <v>-342.54645152847064</v>
      </c>
      <c r="FJ61" s="363">
        <f t="shared" ca="1" si="129"/>
        <v>0.7583632705034653</v>
      </c>
      <c r="FK61" s="378">
        <f t="shared" ca="1" si="130"/>
        <v>0.10084195829037973</v>
      </c>
      <c r="FL61" s="508">
        <f t="shared" ca="1" si="131"/>
        <v>-0.76378429576093954</v>
      </c>
      <c r="FM61" s="508">
        <f t="shared" ca="1" si="132"/>
        <v>-0.90146710548357556</v>
      </c>
      <c r="FN61" s="508">
        <f t="shared" ca="1" si="133"/>
        <v>-6.2283373019670565</v>
      </c>
      <c r="FO61" s="508">
        <f t="shared" ca="1" si="134"/>
        <v>-0.72487363658645776</v>
      </c>
      <c r="FP61" s="353">
        <f t="shared" ca="1" si="135"/>
        <v>432.04490957663944</v>
      </c>
      <c r="FQ61" s="356">
        <f t="shared" ca="1" si="136"/>
        <v>34.282876772755252</v>
      </c>
      <c r="FR61" s="380">
        <f t="shared" ca="1" si="137"/>
        <v>23.772000000000002</v>
      </c>
      <c r="FS61" s="299">
        <f t="shared" ca="1" si="138"/>
        <v>23.772000000000002</v>
      </c>
      <c r="FT61" s="299">
        <f t="shared" ca="1" si="139"/>
        <v>23.772000000000002</v>
      </c>
      <c r="FU61" s="299">
        <f t="shared" ca="1" si="140"/>
        <v>23.772000000000002</v>
      </c>
      <c r="FV61" s="299">
        <f t="shared" ca="1" si="141"/>
        <v>23.772000000000006</v>
      </c>
      <c r="FW61" s="850">
        <f t="shared" ca="1" si="142"/>
        <v>0.17900000000000002</v>
      </c>
      <c r="FX61" s="851">
        <f t="shared" ca="1" si="143"/>
        <v>0.5</v>
      </c>
      <c r="FY61" s="851">
        <f t="shared" ca="1" si="144"/>
        <v>0</v>
      </c>
      <c r="FZ61" s="201">
        <f t="shared" ca="1" si="145"/>
        <v>0</v>
      </c>
      <c r="GA61" s="201">
        <f t="shared" ca="1" si="146"/>
        <v>0</v>
      </c>
      <c r="GB61" s="201">
        <f t="shared" ca="1" si="147"/>
        <v>0</v>
      </c>
      <c r="GC61" s="201">
        <f t="shared" ca="1" si="148"/>
        <v>0</v>
      </c>
      <c r="GD61" s="850">
        <f t="shared" ca="1" si="149"/>
        <v>0.35200252500000001</v>
      </c>
      <c r="GE61" s="866">
        <f t="shared" ca="1" si="150"/>
        <v>0.342002525</v>
      </c>
      <c r="GF61" s="866">
        <f t="shared" ca="1" si="151"/>
        <v>0.337002525</v>
      </c>
      <c r="GG61" s="866">
        <f t="shared" ca="1" si="152"/>
        <v>8.4707279999999982E-2</v>
      </c>
      <c r="GH61" s="866">
        <f t="shared" ca="1" si="153"/>
        <v>0.28102530074168286</v>
      </c>
      <c r="GI61" s="302">
        <f t="shared" ca="1" si="154"/>
        <v>10.888917770704207</v>
      </c>
      <c r="GJ61" s="299">
        <f t="shared" ca="1" si="155"/>
        <v>6.8095051699270774</v>
      </c>
      <c r="GK61" s="299">
        <f t="shared" ca="1" si="156"/>
        <v>6.2246075794803497</v>
      </c>
      <c r="GL61" s="299">
        <f t="shared" ca="1" si="157"/>
        <v>1.6609651469106932</v>
      </c>
      <c r="GM61" s="299">
        <f t="shared" ca="1" si="158"/>
        <v>6.5196383777775306</v>
      </c>
      <c r="GN61" s="302">
        <f t="shared" ca="1" si="159"/>
        <v>0.77833456184534511</v>
      </c>
      <c r="GO61" s="299">
        <f t="shared" ca="1" si="160"/>
        <v>0.67151842085963342</v>
      </c>
      <c r="GP61" s="299">
        <f t="shared" ca="1" si="161"/>
        <v>0.65148224165997526</v>
      </c>
      <c r="GQ61" s="299">
        <f t="shared" ca="1" si="162"/>
        <v>0.41923502533868207</v>
      </c>
      <c r="GR61" s="299">
        <f t="shared" ca="1" si="163"/>
        <v>0.69155360252297804</v>
      </c>
      <c r="GS61" s="302">
        <f t="shared" ca="1" si="164"/>
        <v>-0.56999993055994391</v>
      </c>
      <c r="GT61" s="299">
        <f t="shared" ca="1" si="165"/>
        <v>-0.4484768027455126</v>
      </c>
      <c r="GU61" s="299">
        <f t="shared" ca="1" si="166"/>
        <v>-0.43012016154891203</v>
      </c>
      <c r="GV61" s="299">
        <f t="shared" ca="1" si="167"/>
        <v>-0.30709163064233497</v>
      </c>
      <c r="GW61" s="299">
        <f t="shared" ca="1" si="168"/>
        <v>-0.509265975755258</v>
      </c>
      <c r="GX61" s="303">
        <f t="shared" ca="1" si="169"/>
        <v>2906.72986307776</v>
      </c>
      <c r="GY61" s="303">
        <f t="shared" ca="1" si="170"/>
        <v>330.50103111527386</v>
      </c>
      <c r="GZ61" s="303">
        <f t="shared" ca="1" si="171"/>
        <v>377.64110092603011</v>
      </c>
      <c r="HA61" s="303">
        <f t="shared" ca="1" si="172"/>
        <v>312.3845103288586</v>
      </c>
      <c r="HB61" s="303">
        <f t="shared" ca="1" si="173"/>
        <v>3678.5251863074282</v>
      </c>
      <c r="HC61" s="303">
        <f t="shared" ca="1" si="174"/>
        <v>2035.9900517254994</v>
      </c>
      <c r="HD61" s="303">
        <f t="shared" ca="1" si="175"/>
        <v>108.94698694883746</v>
      </c>
      <c r="HE61" s="303">
        <f t="shared" ca="1" si="176"/>
        <v>89.621711898071297</v>
      </c>
      <c r="HF61" s="303">
        <f t="shared" ca="1" si="177"/>
        <v>0</v>
      </c>
      <c r="HG61" s="852">
        <f t="shared" ca="1" si="178"/>
        <v>1783.7450407048113</v>
      </c>
    </row>
    <row r="62" spans="1:215" x14ac:dyDescent="0.25">
      <c r="A62" s="244">
        <f t="shared" ca="1" si="179"/>
        <v>37987</v>
      </c>
      <c r="B62" s="13">
        <f t="shared" ca="1" si="3"/>
        <v>2004</v>
      </c>
      <c r="C62" s="619">
        <f t="shared" ca="1" si="180"/>
        <v>1</v>
      </c>
      <c r="D62" s="195">
        <f t="shared" ca="1" si="4"/>
        <v>37987</v>
      </c>
      <c r="E62" s="469">
        <f t="shared" ca="1" si="5"/>
        <v>37987</v>
      </c>
      <c r="F62" s="465">
        <f t="shared" ca="1" si="6"/>
        <v>38017</v>
      </c>
      <c r="G62" s="522">
        <f t="shared" ca="1" si="181"/>
        <v>1</v>
      </c>
      <c r="H62" s="519">
        <f t="shared" ca="1" si="182"/>
        <v>1</v>
      </c>
      <c r="I62" s="724">
        <f t="shared" ca="1" si="7"/>
        <v>7.2526454080711011E-2</v>
      </c>
      <c r="J62" s="198">
        <f t="shared" ca="1" si="8"/>
        <v>0.75365243967713424</v>
      </c>
      <c r="K62" s="200">
        <f t="shared" ca="1" si="190"/>
        <v>35.75</v>
      </c>
      <c r="L62" s="201">
        <f t="shared" ca="1" si="191"/>
        <v>36.65</v>
      </c>
      <c r="M62" s="206">
        <f t="shared" ca="1" si="192"/>
        <v>37.549999999999997</v>
      </c>
      <c r="N62" s="851">
        <f t="shared" ca="1" si="196"/>
        <v>28.173748779296872</v>
      </c>
      <c r="O62" s="201">
        <f t="shared" ca="1" si="197"/>
        <v>28.848748779296873</v>
      </c>
      <c r="P62" s="206">
        <f t="shared" ca="1" si="198"/>
        <v>29.523748779296874</v>
      </c>
      <c r="Q62" s="201">
        <f t="shared" ca="1" si="199"/>
        <v>24.052500534057614</v>
      </c>
      <c r="R62" s="201">
        <f t="shared" ca="1" si="200"/>
        <v>27.352500534057615</v>
      </c>
      <c r="S62" s="201">
        <f t="shared" ca="1" si="201"/>
        <v>30.652500534057616</v>
      </c>
      <c r="T62" s="851">
        <f t="shared" ca="1" si="193"/>
        <v>20.340000152587891</v>
      </c>
      <c r="U62" s="201">
        <f t="shared" ca="1" si="194"/>
        <v>20.79000015258789</v>
      </c>
      <c r="V62" s="206">
        <f t="shared" ca="1" si="195"/>
        <v>21.240000152587889</v>
      </c>
      <c r="W62" s="230">
        <f t="shared" ca="1" si="183"/>
        <v>0.1213185625</v>
      </c>
      <c r="X62" s="231">
        <f t="shared" ca="1" si="184"/>
        <v>0.24263712500000001</v>
      </c>
      <c r="Y62" s="232">
        <f t="shared" ca="1" si="185"/>
        <v>0.36395568750000001</v>
      </c>
      <c r="Z62" s="231">
        <f t="shared" ca="1" si="202"/>
        <v>0.1213185625</v>
      </c>
      <c r="AA62" s="231">
        <f t="shared" ca="1" si="203"/>
        <v>0.24263712500000001</v>
      </c>
      <c r="AB62" s="232">
        <f t="shared" ca="1" si="204"/>
        <v>0.36395568750000001</v>
      </c>
      <c r="AC62" s="231">
        <f t="shared" ca="1" si="205"/>
        <v>0.1213185625</v>
      </c>
      <c r="AD62" s="231">
        <f t="shared" ca="1" si="206"/>
        <v>0.24263712500000001</v>
      </c>
      <c r="AE62" s="232">
        <f t="shared" ca="1" si="14"/>
        <v>0.36395568750000001</v>
      </c>
      <c r="AF62" s="231">
        <f t="shared" ca="1" si="186"/>
        <v>3.2282885600000005E-2</v>
      </c>
      <c r="AG62" s="231">
        <f t="shared" ca="1" si="187"/>
        <v>6.4565771200000011E-2</v>
      </c>
      <c r="AH62" s="232">
        <f t="shared" ca="1" si="188"/>
        <v>9.6848656800000016E-2</v>
      </c>
      <c r="AI62" s="233">
        <f t="shared" ca="1" si="15"/>
        <v>1.25</v>
      </c>
      <c r="AJ62" s="233">
        <f t="shared" ca="1" si="16"/>
        <v>2</v>
      </c>
      <c r="AK62" s="234">
        <f t="shared" ca="1" si="17"/>
        <v>2.75</v>
      </c>
      <c r="AL62" s="919">
        <f t="shared" ca="1" si="18"/>
        <v>1.25</v>
      </c>
      <c r="AM62" s="233">
        <f t="shared" ca="1" si="19"/>
        <v>2</v>
      </c>
      <c r="AN62" s="234">
        <f t="shared" ca="1" si="20"/>
        <v>2.75</v>
      </c>
      <c r="AO62" s="233">
        <f t="shared" ca="1" si="21"/>
        <v>1.25</v>
      </c>
      <c r="AP62" s="233">
        <f t="shared" ca="1" si="22"/>
        <v>2</v>
      </c>
      <c r="AQ62" s="233">
        <f t="shared" ca="1" si="23"/>
        <v>2.75</v>
      </c>
      <c r="AR62" s="919">
        <f t="shared" ca="1" si="24"/>
        <v>0.35</v>
      </c>
      <c r="AS62" s="233">
        <f t="shared" ca="1" si="25"/>
        <v>0.5</v>
      </c>
      <c r="AT62" s="235">
        <f t="shared" ca="1" si="26"/>
        <v>0.7</v>
      </c>
      <c r="AU62" s="946">
        <f t="shared" si="27"/>
        <v>0.5</v>
      </c>
      <c r="AV62" s="13">
        <f t="shared" ca="1" si="28"/>
        <v>21</v>
      </c>
      <c r="AW62" s="210">
        <f t="shared" ca="1" si="29"/>
        <v>5</v>
      </c>
      <c r="AX62" s="210">
        <f t="shared" ca="1" si="30"/>
        <v>4</v>
      </c>
      <c r="AY62" s="210">
        <f t="shared" ca="1" si="31"/>
        <v>1</v>
      </c>
      <c r="AZ62" s="13">
        <f t="shared" ca="1" si="32"/>
        <v>31</v>
      </c>
      <c r="BA62" s="357">
        <f ca="1"/>
        <v>336</v>
      </c>
      <c r="BB62" s="925">
        <f ca="1"/>
        <v>80</v>
      </c>
      <c r="BC62" s="925">
        <f ca="1"/>
        <v>80</v>
      </c>
      <c r="BD62" s="928">
        <f ca="1"/>
        <v>248</v>
      </c>
      <c r="BE62" s="200">
        <f ca="1"/>
        <v>0.99998503923416138</v>
      </c>
      <c r="BF62" s="851">
        <f ca="1"/>
        <v>0.99998503923416138</v>
      </c>
      <c r="BG62" s="851">
        <f ca="1"/>
        <v>0.99998503923416138</v>
      </c>
      <c r="BH62" s="933">
        <f ca="1"/>
        <v>1.0000070855021477</v>
      </c>
      <c r="BI62" s="357">
        <f ca="1"/>
        <v>336</v>
      </c>
      <c r="BJ62" s="925">
        <f ca="1"/>
        <v>80</v>
      </c>
      <c r="BK62" s="925">
        <f ca="1"/>
        <v>80</v>
      </c>
      <c r="BL62" s="928">
        <f ca="1"/>
        <v>248</v>
      </c>
      <c r="BM62" s="200">
        <f ca="1"/>
        <v>0.99998503923416138</v>
      </c>
      <c r="BN62" s="851">
        <f ca="1"/>
        <v>0.99998503923416138</v>
      </c>
      <c r="BO62" s="851">
        <f ca="1"/>
        <v>0.99998503923416138</v>
      </c>
      <c r="BP62" s="933">
        <f ca="1"/>
        <v>1.0000070855021477</v>
      </c>
      <c r="BQ62" s="357">
        <f t="shared" ca="1" si="33"/>
        <v>744</v>
      </c>
      <c r="BR62" s="361">
        <f t="shared" ca="1" si="34"/>
        <v>744</v>
      </c>
      <c r="BS62" s="357">
        <f t="shared" ca="1" si="35"/>
        <v>560.71741511978792</v>
      </c>
      <c r="BT62" s="302">
        <f t="shared" ca="1" si="36"/>
        <v>28.540609553973702</v>
      </c>
      <c r="BU62" s="299">
        <f t="shared" ca="1" si="37"/>
        <v>29.524469109192669</v>
      </c>
      <c r="BV62" s="299">
        <f t="shared" ca="1" si="38"/>
        <v>30.50832866441165</v>
      </c>
      <c r="BW62" s="299">
        <f t="shared" ca="1" si="39"/>
        <v>32.659889647739881</v>
      </c>
      <c r="BX62" s="380">
        <f t="shared" ca="1" si="40"/>
        <v>3.8329911019849416</v>
      </c>
      <c r="BY62" s="363">
        <f t="shared" ca="1" si="41"/>
        <v>253.2272197315171</v>
      </c>
      <c r="BZ62" s="353">
        <f t="shared" ca="1" si="42"/>
        <v>60.292195174170743</v>
      </c>
      <c r="CA62" s="353">
        <f t="shared" ca="1" si="43"/>
        <v>60.292195174170743</v>
      </c>
      <c r="CB62" s="353">
        <f t="shared" ca="1" si="44"/>
        <v>373.81161007985855</v>
      </c>
      <c r="CC62" s="353">
        <f t="shared" ca="1" si="45"/>
        <v>186.90580503992931</v>
      </c>
      <c r="CD62" s="353">
        <f t="shared" ca="1" si="46"/>
        <v>560.7174151197878</v>
      </c>
      <c r="CE62" s="302">
        <f t="shared" ca="1" si="47"/>
        <v>37.54943822324276</v>
      </c>
      <c r="CF62" s="299">
        <f t="shared" ca="1" si="48"/>
        <v>29.52330708140471</v>
      </c>
      <c r="CG62" s="299">
        <f t="shared" ca="1" si="49"/>
        <v>30.652041949174759</v>
      </c>
      <c r="CH62" s="299">
        <f t="shared" ca="1" si="50"/>
        <v>35.142417672290172</v>
      </c>
      <c r="CI62" s="299">
        <f t="shared" ca="1" si="51"/>
        <v>21.240150648654588</v>
      </c>
      <c r="CJ62" s="299">
        <f t="shared" ca="1" si="52"/>
        <v>30.508328664411646</v>
      </c>
      <c r="CK62" s="299">
        <f t="shared" ca="1" si="53"/>
        <v>32.659889647739881</v>
      </c>
      <c r="CL62" s="377">
        <f t="shared" ca="1" si="54"/>
        <v>0.36395568750000001</v>
      </c>
      <c r="CM62" s="305">
        <f t="shared" ca="1" si="55"/>
        <v>0.36395568750000001</v>
      </c>
      <c r="CN62" s="305">
        <f t="shared" ca="1" si="56"/>
        <v>0.36395568750000001</v>
      </c>
      <c r="CO62" s="305">
        <f t="shared" ca="1" si="57"/>
        <v>0.36395568750000001</v>
      </c>
      <c r="CP62" s="305">
        <f t="shared" ca="1" si="58"/>
        <v>9.6848656800000016E-2</v>
      </c>
      <c r="CQ62" s="305">
        <f t="shared" ca="1" si="59"/>
        <v>0.30154667038988936</v>
      </c>
      <c r="CR62" s="775">
        <f t="shared" ca="1" si="60"/>
        <v>0.37895568750000003</v>
      </c>
      <c r="CS62" s="305">
        <f t="shared" ca="1" si="61"/>
        <v>0.37395568750000002</v>
      </c>
      <c r="CT62" s="305">
        <f t="shared" ca="1" si="62"/>
        <v>0.36395568750000001</v>
      </c>
      <c r="CU62" s="305">
        <f t="shared" ca="1" si="63"/>
        <v>0.15684865680000001</v>
      </c>
      <c r="CV62" s="770">
        <f t="shared" ca="1" si="64"/>
        <v>0.30154667038988936</v>
      </c>
      <c r="CW62" s="302">
        <f t="shared" ca="1" si="65"/>
        <v>12.772341499166128</v>
      </c>
      <c r="CX62" s="299">
        <f t="shared" ca="1" si="66"/>
        <v>7.3946266374319283</v>
      </c>
      <c r="CY62" s="299">
        <f t="shared" ca="1" si="67"/>
        <v>7.8414834764012671</v>
      </c>
      <c r="CZ62" s="299">
        <f t="shared" ca="1" si="68"/>
        <v>0.29338036005619506</v>
      </c>
      <c r="DA62" s="774">
        <f t="shared" ca="1" si="69"/>
        <v>6.3037464545399313</v>
      </c>
      <c r="DB62" s="303">
        <f t="shared" ca="1" si="70"/>
        <v>3534.6204175601574</v>
      </c>
      <c r="DC62" s="248">
        <f t="shared" ca="1" si="71"/>
        <v>320.35254924554641</v>
      </c>
      <c r="DD62" s="778">
        <f t="shared" ca="1" si="72"/>
        <v>0</v>
      </c>
      <c r="DE62" s="363">
        <f t="shared" ca="1" si="73"/>
        <v>0.75365243967713424</v>
      </c>
      <c r="DF62" s="378">
        <f t="shared" ca="1" si="74"/>
        <v>-0.1829202333286872</v>
      </c>
      <c r="DG62" s="508">
        <f t="shared" ca="1" si="75"/>
        <v>-0.50397495026723316</v>
      </c>
      <c r="DH62" s="508">
        <f t="shared" ca="1" si="76"/>
        <v>-0.44532044989588088</v>
      </c>
      <c r="DI62" s="508">
        <f t="shared" ca="1" si="77"/>
        <v>-1.5546603184053192</v>
      </c>
      <c r="DJ62" s="508">
        <f t="shared" ca="1" si="78"/>
        <v>-0.41061733359217739</v>
      </c>
      <c r="DK62" s="353">
        <f t="shared" ca="1" si="79"/>
        <v>-191.02331162412682</v>
      </c>
      <c r="DL62" s="781">
        <f t="shared" ca="1" si="80"/>
        <v>10.663595956946841</v>
      </c>
      <c r="DM62" s="303">
        <f t="shared" ca="1" si="81"/>
        <v>11308.656038251786</v>
      </c>
      <c r="DN62" s="508">
        <f t="shared" ca="1" si="82"/>
        <v>1.0500693689368206</v>
      </c>
      <c r="DO62" s="508">
        <f t="shared" ca="1" si="83"/>
        <v>0.92722631874257266</v>
      </c>
      <c r="DP62" s="508">
        <f t="shared" ca="1" si="84"/>
        <v>0.94639219972152655</v>
      </c>
      <c r="DQ62" s="508">
        <f t="shared" ca="1" si="85"/>
        <v>0.75901750065512774</v>
      </c>
      <c r="DR62" s="508">
        <f t="shared" ca="1" si="86"/>
        <v>0.94399153158340543</v>
      </c>
      <c r="DS62" s="353">
        <f t="shared" ca="1" si="87"/>
        <v>8557.3119502364825</v>
      </c>
      <c r="DT62" s="353">
        <f t="shared" ca="1" si="88"/>
        <v>-8188.8337718497969</v>
      </c>
      <c r="DU62" s="380">
        <f t="shared" ca="1" si="189"/>
        <v>3.8329911019849416</v>
      </c>
      <c r="DV62" s="303">
        <f t="shared" ca="1" si="89"/>
        <v>253.2272197315171</v>
      </c>
      <c r="DW62" s="303">
        <f t="shared" ca="1" si="90"/>
        <v>60.292195174170743</v>
      </c>
      <c r="DX62" s="303">
        <f t="shared" ca="1" si="91"/>
        <v>60.292195174170743</v>
      </c>
      <c r="DY62" s="303">
        <f t="shared" ca="1" si="92"/>
        <v>373.81161007985855</v>
      </c>
      <c r="DZ62" s="303">
        <f t="shared" ca="1" si="93"/>
        <v>186.90580503992931</v>
      </c>
      <c r="EA62" s="303">
        <f t="shared" ca="1" si="94"/>
        <v>560.7174151197878</v>
      </c>
      <c r="EB62" s="302">
        <f t="shared" ca="1" si="95"/>
        <v>37.54943822324276</v>
      </c>
      <c r="EC62" s="299">
        <f t="shared" ca="1" si="96"/>
        <v>29.52330708140471</v>
      </c>
      <c r="ED62" s="299">
        <f t="shared" ca="1" si="97"/>
        <v>30.652041949174759</v>
      </c>
      <c r="EE62" s="299">
        <f t="shared" ca="1" si="98"/>
        <v>35.142417672290172</v>
      </c>
      <c r="EF62" s="299">
        <f t="shared" ca="1" si="99"/>
        <v>21.240150648654588</v>
      </c>
      <c r="EG62" s="299">
        <f t="shared" ca="1" si="100"/>
        <v>30.508328664411646</v>
      </c>
      <c r="EH62" s="302">
        <f t="shared" ca="1" si="101"/>
        <v>30</v>
      </c>
      <c r="EI62" s="304">
        <f t="shared" ca="1" si="102"/>
        <v>0.1213185625</v>
      </c>
      <c r="EJ62" s="305">
        <f t="shared" ca="1" si="103"/>
        <v>0.1213185625</v>
      </c>
      <c r="EK62" s="305">
        <f t="shared" ca="1" si="104"/>
        <v>0.1213185625</v>
      </c>
      <c r="EL62" s="305">
        <f t="shared" ca="1" si="105"/>
        <v>0.12131856250000005</v>
      </c>
      <c r="EM62" s="305">
        <f t="shared" ca="1" si="106"/>
        <v>3.2282885600000005E-2</v>
      </c>
      <c r="EN62" s="305">
        <f t="shared" ca="1" si="107"/>
        <v>9.7521499515558621E-2</v>
      </c>
      <c r="EO62" s="305">
        <f t="shared" ca="1" si="108"/>
        <v>0.1213185625</v>
      </c>
      <c r="EP62" s="305">
        <f t="shared" ca="1" si="109"/>
        <v>0.1213185625</v>
      </c>
      <c r="EQ62" s="305">
        <f t="shared" ca="1" si="110"/>
        <v>0.1213185625</v>
      </c>
      <c r="ER62" s="305">
        <f t="shared" ca="1" si="111"/>
        <v>3.2282885600000005E-2</v>
      </c>
      <c r="ES62" s="305">
        <f t="shared" ca="1" si="112"/>
        <v>9.7521499515558621E-2</v>
      </c>
      <c r="ET62" s="299">
        <f t="shared" ca="1" si="113"/>
        <v>2.0556523234077968</v>
      </c>
      <c r="EU62" s="302">
        <f t="shared" ca="1" si="114"/>
        <v>30</v>
      </c>
      <c r="EV62" s="304">
        <f t="shared" ca="1" si="115"/>
        <v>0.36395568750000001</v>
      </c>
      <c r="EW62" s="305">
        <f t="shared" ca="1" si="116"/>
        <v>0.36395568750000001</v>
      </c>
      <c r="EX62" s="305">
        <f t="shared" ca="1" si="117"/>
        <v>0.36395568750000001</v>
      </c>
      <c r="EY62" s="305">
        <f t="shared" ca="1" si="118"/>
        <v>0.36395568750000001</v>
      </c>
      <c r="EZ62" s="305">
        <f t="shared" ca="1" si="119"/>
        <v>9.6848656800000016E-2</v>
      </c>
      <c r="FA62" s="305">
        <f t="shared" ca="1" si="120"/>
        <v>0.30154667038988936</v>
      </c>
      <c r="FB62" s="305">
        <f t="shared" ca="1" si="121"/>
        <v>0.36395568750000001</v>
      </c>
      <c r="FC62" s="305">
        <f t="shared" ca="1" si="122"/>
        <v>0.36395568750000001</v>
      </c>
      <c r="FD62" s="305">
        <f t="shared" ca="1" si="123"/>
        <v>0.36395568750000001</v>
      </c>
      <c r="FE62" s="305">
        <f t="shared" ca="1" si="124"/>
        <v>9.6848656800000016E-2</v>
      </c>
      <c r="FF62" s="305">
        <f t="shared" ca="1" si="125"/>
        <v>0.30154667038988936</v>
      </c>
      <c r="FG62" s="299">
        <f t="shared" ca="1" si="126"/>
        <v>7.2803370259600548</v>
      </c>
      <c r="FH62" s="302">
        <f t="shared" ca="1" si="127"/>
        <v>-5.224684702552258</v>
      </c>
      <c r="FI62" s="248">
        <f t="shared" ca="1" si="128"/>
        <v>-2929.5717012309997</v>
      </c>
      <c r="FJ62" s="363">
        <f t="shared" ca="1" si="129"/>
        <v>0.75365243967713424</v>
      </c>
      <c r="FK62" s="378">
        <f t="shared" ca="1" si="130"/>
        <v>0.82626937190858118</v>
      </c>
      <c r="FL62" s="508">
        <f t="shared" ca="1" si="131"/>
        <v>-0.18619536026485323</v>
      </c>
      <c r="FM62" s="508">
        <f t="shared" ca="1" si="132"/>
        <v>-2.8231368638624691E-2</v>
      </c>
      <c r="FN62" s="508">
        <f t="shared" ca="1" si="133"/>
        <v>-5.4949699917661921</v>
      </c>
      <c r="FO62" s="508">
        <f t="shared" ca="1" si="134"/>
        <v>-7.4603355428712118E-3</v>
      </c>
      <c r="FP62" s="353">
        <f t="shared" ca="1" si="135"/>
        <v>282.02753321982175</v>
      </c>
      <c r="FQ62" s="356">
        <f t="shared" ca="1" si="136"/>
        <v>39.052755077645159</v>
      </c>
      <c r="FR62" s="380">
        <f t="shared" ca="1" si="137"/>
        <v>24.08</v>
      </c>
      <c r="FS62" s="299">
        <f t="shared" ca="1" si="138"/>
        <v>24.08</v>
      </c>
      <c r="FT62" s="299">
        <f t="shared" ca="1" si="139"/>
        <v>24.08</v>
      </c>
      <c r="FU62" s="299">
        <f t="shared" ca="1" si="140"/>
        <v>24.08</v>
      </c>
      <c r="FV62" s="299">
        <f t="shared" ca="1" si="141"/>
        <v>24.080000000000002</v>
      </c>
      <c r="FW62" s="850">
        <f t="shared" ca="1" si="142"/>
        <v>0.18150000000000002</v>
      </c>
      <c r="FX62" s="851">
        <f t="shared" ca="1" si="143"/>
        <v>0.5</v>
      </c>
      <c r="FY62" s="851">
        <f t="shared" ca="1" si="144"/>
        <v>0</v>
      </c>
      <c r="FZ62" s="201">
        <f t="shared" ca="1" si="145"/>
        <v>0</v>
      </c>
      <c r="GA62" s="201">
        <f t="shared" ca="1" si="146"/>
        <v>0</v>
      </c>
      <c r="GB62" s="201">
        <f t="shared" ca="1" si="147"/>
        <v>0</v>
      </c>
      <c r="GC62" s="201">
        <f t="shared" ca="1" si="148"/>
        <v>0</v>
      </c>
      <c r="GD62" s="850">
        <f t="shared" ca="1" si="149"/>
        <v>0.37895568750000003</v>
      </c>
      <c r="GE62" s="866">
        <f t="shared" ca="1" si="150"/>
        <v>0.37895568750000003</v>
      </c>
      <c r="GF62" s="866">
        <f t="shared" ca="1" si="151"/>
        <v>0.37895568750000003</v>
      </c>
      <c r="GG62" s="866">
        <f t="shared" ca="1" si="152"/>
        <v>9.6848656800000016E-2</v>
      </c>
      <c r="GH62" s="866">
        <f t="shared" ca="1" si="153"/>
        <v>0.31654667038988937</v>
      </c>
      <c r="GI62" s="302">
        <f t="shared" ca="1" si="154"/>
        <v>16.191833843504522</v>
      </c>
      <c r="GJ62" s="299">
        <f t="shared" ca="1" si="155"/>
        <v>9.8012372888980455</v>
      </c>
      <c r="GK62" s="299">
        <f t="shared" ca="1" si="156"/>
        <v>10.645354684098306</v>
      </c>
      <c r="GL62" s="299">
        <f t="shared" ca="1" si="157"/>
        <v>1.5780682362405696</v>
      </c>
      <c r="GM62" s="299">
        <f t="shared" ca="1" si="158"/>
        <v>9.5431105540362768</v>
      </c>
      <c r="GN62" s="302">
        <f t="shared" ca="1" si="159"/>
        <v>0.8443767153404993</v>
      </c>
      <c r="GO62" s="299">
        <f t="shared" ca="1" si="160"/>
        <v>0.73840888402621463</v>
      </c>
      <c r="GP62" s="299">
        <f t="shared" ca="1" si="161"/>
        <v>0.75704363293218369</v>
      </c>
      <c r="GQ62" s="299">
        <f t="shared" ca="1" si="162"/>
        <v>0.39994424934577077</v>
      </c>
      <c r="GR62" s="299">
        <f t="shared" ca="1" si="163"/>
        <v>0.76071725957555902</v>
      </c>
      <c r="GS62" s="302">
        <f t="shared" ca="1" si="164"/>
        <v>-0.64427086609996409</v>
      </c>
      <c r="GT62" s="299">
        <f t="shared" ca="1" si="165"/>
        <v>-0.49829897295687359</v>
      </c>
      <c r="GU62" s="299">
        <f t="shared" ca="1" si="166"/>
        <v>-0.52157729907386785</v>
      </c>
      <c r="GV62" s="299">
        <f t="shared" ca="1" si="167"/>
        <v>-0.2872428341012862</v>
      </c>
      <c r="GW62" s="299">
        <f t="shared" ca="1" si="168"/>
        <v>-0.56748777543711226</v>
      </c>
      <c r="GX62" s="303">
        <f t="shared" ca="1" si="169"/>
        <v>4100.2130665453342</v>
      </c>
      <c r="GY62" s="303">
        <f t="shared" ca="1" si="170"/>
        <v>590.93811157060111</v>
      </c>
      <c r="GZ62" s="303">
        <f t="shared" ca="1" si="171"/>
        <v>641.83180231192785</v>
      </c>
      <c r="HA62" s="303">
        <f t="shared" ca="1" si="172"/>
        <v>294.95011410248497</v>
      </c>
      <c r="HB62" s="303">
        <f t="shared" ca="1" si="173"/>
        <v>5350.9882820615876</v>
      </c>
      <c r="HC62" s="303">
        <f t="shared" ca="1" si="174"/>
        <v>3410.8283926171898</v>
      </c>
      <c r="HD62" s="303">
        <f t="shared" ca="1" si="175"/>
        <v>328.18893294499856</v>
      </c>
      <c r="HE62" s="303">
        <f t="shared" ca="1" si="176"/>
        <v>396.24283589248216</v>
      </c>
      <c r="HF62" s="303">
        <f t="shared" ca="1" si="177"/>
        <v>0</v>
      </c>
      <c r="HG62" s="852">
        <f t="shared" ca="1" si="178"/>
        <v>3604.4758322493353</v>
      </c>
    </row>
    <row r="63" spans="1:215" x14ac:dyDescent="0.25">
      <c r="A63" s="244">
        <f t="shared" ca="1" si="179"/>
        <v>38018</v>
      </c>
      <c r="B63" s="13">
        <f t="shared" ca="1" si="3"/>
        <v>2004</v>
      </c>
      <c r="C63" s="619">
        <f t="shared" ca="1" si="180"/>
        <v>2</v>
      </c>
      <c r="D63" s="195" t="str">
        <f t="shared" ca="1" si="4"/>
        <v/>
      </c>
      <c r="E63" s="469">
        <f t="shared" ca="1" si="5"/>
        <v>38018</v>
      </c>
      <c r="F63" s="465">
        <f t="shared" ca="1" si="6"/>
        <v>38046</v>
      </c>
      <c r="G63" s="522">
        <f t="shared" ca="1" si="181"/>
        <v>1</v>
      </c>
      <c r="H63" s="519">
        <f t="shared" ca="1" si="182"/>
        <v>1</v>
      </c>
      <c r="I63" s="724">
        <f t="shared" ca="1" si="7"/>
        <v>7.2579762865304001E-2</v>
      </c>
      <c r="J63" s="198">
        <f t="shared" ca="1" si="8"/>
        <v>0.74924536597621894</v>
      </c>
      <c r="K63" s="200">
        <f t="shared" ca="1" si="190"/>
        <v>35.75</v>
      </c>
      <c r="L63" s="201">
        <f t="shared" ca="1" si="191"/>
        <v>36.65</v>
      </c>
      <c r="M63" s="206">
        <f t="shared" ca="1" si="192"/>
        <v>37.549999999999997</v>
      </c>
      <c r="N63" s="851">
        <f t="shared" ca="1" si="196"/>
        <v>27.171250152587888</v>
      </c>
      <c r="O63" s="201">
        <f t="shared" ca="1" si="197"/>
        <v>27.846250152587888</v>
      </c>
      <c r="P63" s="206">
        <f t="shared" ca="1" si="198"/>
        <v>28.521250152587889</v>
      </c>
      <c r="Q63" s="201">
        <f t="shared" ca="1" si="199"/>
        <v>22.04749946594238</v>
      </c>
      <c r="R63" s="201">
        <f t="shared" ca="1" si="200"/>
        <v>25.347499465942381</v>
      </c>
      <c r="S63" s="201">
        <f t="shared" ca="1" si="201"/>
        <v>28.647499465942381</v>
      </c>
      <c r="T63" s="851">
        <f t="shared" ca="1" si="193"/>
        <v>20.149997711181641</v>
      </c>
      <c r="U63" s="201">
        <f t="shared" ca="1" si="194"/>
        <v>20.59999771118164</v>
      </c>
      <c r="V63" s="206">
        <f t="shared" ca="1" si="195"/>
        <v>21.049997711181639</v>
      </c>
      <c r="W63" s="230">
        <f t="shared" ca="1" si="183"/>
        <v>0.1170316875</v>
      </c>
      <c r="X63" s="231">
        <f t="shared" ca="1" si="184"/>
        <v>0.23406337499999999</v>
      </c>
      <c r="Y63" s="232">
        <f t="shared" ca="1" si="185"/>
        <v>0.3510950625</v>
      </c>
      <c r="Z63" s="231">
        <f t="shared" ca="1" si="202"/>
        <v>0.1170316875</v>
      </c>
      <c r="AA63" s="231">
        <f t="shared" ca="1" si="203"/>
        <v>0.23406337499999999</v>
      </c>
      <c r="AB63" s="232">
        <f t="shared" ca="1" si="204"/>
        <v>0.3510950625</v>
      </c>
      <c r="AC63" s="231">
        <f t="shared" ca="1" si="205"/>
        <v>0.1170316875</v>
      </c>
      <c r="AD63" s="231">
        <f t="shared" ca="1" si="206"/>
        <v>0.23406337499999999</v>
      </c>
      <c r="AE63" s="232">
        <f t="shared" ca="1" si="14"/>
        <v>0.3510950625</v>
      </c>
      <c r="AF63" s="231">
        <f t="shared" ca="1" si="186"/>
        <v>3.2282885600000005E-2</v>
      </c>
      <c r="AG63" s="231">
        <f t="shared" ca="1" si="187"/>
        <v>6.4565771200000011E-2</v>
      </c>
      <c r="AH63" s="232">
        <f t="shared" ca="1" si="188"/>
        <v>9.6848656800000016E-2</v>
      </c>
      <c r="AI63" s="233">
        <f t="shared" ca="1" si="15"/>
        <v>1.25</v>
      </c>
      <c r="AJ63" s="233">
        <f t="shared" ca="1" si="16"/>
        <v>2</v>
      </c>
      <c r="AK63" s="234">
        <f t="shared" ca="1" si="17"/>
        <v>2.75</v>
      </c>
      <c r="AL63" s="919">
        <f t="shared" ca="1" si="18"/>
        <v>1.25</v>
      </c>
      <c r="AM63" s="233">
        <f t="shared" ca="1" si="19"/>
        <v>2</v>
      </c>
      <c r="AN63" s="234">
        <f t="shared" ca="1" si="20"/>
        <v>2.75</v>
      </c>
      <c r="AO63" s="233">
        <f t="shared" ca="1" si="21"/>
        <v>1.25</v>
      </c>
      <c r="AP63" s="233">
        <f t="shared" ca="1" si="22"/>
        <v>2</v>
      </c>
      <c r="AQ63" s="233">
        <f t="shared" ca="1" si="23"/>
        <v>2.75</v>
      </c>
      <c r="AR63" s="919">
        <f t="shared" ca="1" si="24"/>
        <v>0.35</v>
      </c>
      <c r="AS63" s="233">
        <f t="shared" ca="1" si="25"/>
        <v>0.5</v>
      </c>
      <c r="AT63" s="235">
        <f t="shared" ca="1" si="26"/>
        <v>0.7</v>
      </c>
      <c r="AU63" s="946">
        <f t="shared" si="27"/>
        <v>0.5</v>
      </c>
      <c r="AV63" s="13">
        <f t="shared" ca="1" si="28"/>
        <v>20</v>
      </c>
      <c r="AW63" s="210">
        <f t="shared" ca="1" si="29"/>
        <v>4</v>
      </c>
      <c r="AX63" s="210">
        <f t="shared" ca="1" si="30"/>
        <v>5</v>
      </c>
      <c r="AY63" s="210">
        <f t="shared" ca="1" si="31"/>
        <v>0</v>
      </c>
      <c r="AZ63" s="13">
        <f t="shared" ca="1" si="32"/>
        <v>29</v>
      </c>
      <c r="BA63" s="357">
        <f ca="1"/>
        <v>320</v>
      </c>
      <c r="BB63" s="925">
        <f ca="1"/>
        <v>64</v>
      </c>
      <c r="BC63" s="925">
        <f ca="1"/>
        <v>80</v>
      </c>
      <c r="BD63" s="928">
        <f ca="1"/>
        <v>232</v>
      </c>
      <c r="BE63" s="200">
        <f ca="1"/>
        <v>0.99998503923416138</v>
      </c>
      <c r="BF63" s="851">
        <f ca="1"/>
        <v>0.99998503923416138</v>
      </c>
      <c r="BG63" s="851">
        <f ca="1"/>
        <v>0.99998503923416138</v>
      </c>
      <c r="BH63" s="933">
        <f ca="1"/>
        <v>1.0000070855021477</v>
      </c>
      <c r="BI63" s="357">
        <f ca="1"/>
        <v>320</v>
      </c>
      <c r="BJ63" s="925">
        <f ca="1"/>
        <v>64</v>
      </c>
      <c r="BK63" s="925">
        <f ca="1"/>
        <v>80</v>
      </c>
      <c r="BL63" s="928">
        <f ca="1"/>
        <v>232</v>
      </c>
      <c r="BM63" s="200">
        <f ca="1"/>
        <v>0.99998503923416138</v>
      </c>
      <c r="BN63" s="851">
        <f ca="1"/>
        <v>0.99998503923416138</v>
      </c>
      <c r="BO63" s="851">
        <f ca="1"/>
        <v>0.99998503923416138</v>
      </c>
      <c r="BP63" s="933">
        <f ca="1"/>
        <v>1.0000070855021477</v>
      </c>
      <c r="BQ63" s="357">
        <f t="shared" ca="1" si="33"/>
        <v>696</v>
      </c>
      <c r="BR63" s="361">
        <f t="shared" ca="1" si="34"/>
        <v>696</v>
      </c>
      <c r="BS63" s="357">
        <f t="shared" ca="1" si="35"/>
        <v>521.47477471944842</v>
      </c>
      <c r="BT63" s="302">
        <f t="shared" ca="1" si="36"/>
        <v>28.185875006040202</v>
      </c>
      <c r="BU63" s="299">
        <f t="shared" ca="1" si="37"/>
        <v>29.191035688624396</v>
      </c>
      <c r="BV63" s="299">
        <f t="shared" ca="1" si="38"/>
        <v>30.19619637120859</v>
      </c>
      <c r="BW63" s="299">
        <f t="shared" ca="1" si="39"/>
        <v>32.659889647739881</v>
      </c>
      <c r="BX63" s="380">
        <f t="shared" ca="1" si="40"/>
        <v>3.9178644763860371</v>
      </c>
      <c r="BY63" s="363">
        <f t="shared" ca="1" si="41"/>
        <v>239.75851711239005</v>
      </c>
      <c r="BZ63" s="353">
        <f t="shared" ca="1" si="42"/>
        <v>47.951703422478012</v>
      </c>
      <c r="CA63" s="353">
        <f t="shared" ca="1" si="43"/>
        <v>59.939629278097513</v>
      </c>
      <c r="CB63" s="353">
        <f t="shared" ca="1" si="44"/>
        <v>347.64984981296561</v>
      </c>
      <c r="CC63" s="353">
        <f t="shared" ca="1" si="45"/>
        <v>173.82492490648281</v>
      </c>
      <c r="CD63" s="353">
        <f t="shared" ca="1" si="46"/>
        <v>521.47477471944842</v>
      </c>
      <c r="CE63" s="302">
        <f t="shared" ca="1" si="47"/>
        <v>37.54943822324276</v>
      </c>
      <c r="CF63" s="299">
        <f t="shared" ca="1" si="48"/>
        <v>28.520823452842933</v>
      </c>
      <c r="CG63" s="299">
        <f t="shared" ca="1" si="49"/>
        <v>28.647070877411011</v>
      </c>
      <c r="CH63" s="299">
        <f t="shared" ca="1" si="50"/>
        <v>34.769221126320062</v>
      </c>
      <c r="CI63" s="299">
        <f t="shared" ca="1" si="51"/>
        <v>21.050146860985631</v>
      </c>
      <c r="CJ63" s="299">
        <f t="shared" ca="1" si="52"/>
        <v>30.196196371208586</v>
      </c>
      <c r="CK63" s="299">
        <f t="shared" ca="1" si="53"/>
        <v>32.659889647739881</v>
      </c>
      <c r="CL63" s="377">
        <f t="shared" ca="1" si="54"/>
        <v>0.3510950625</v>
      </c>
      <c r="CM63" s="305">
        <f t="shared" ca="1" si="55"/>
        <v>0.3510950625</v>
      </c>
      <c r="CN63" s="305">
        <f t="shared" ca="1" si="56"/>
        <v>0.3510950625</v>
      </c>
      <c r="CO63" s="305">
        <f t="shared" ca="1" si="57"/>
        <v>0.3510950625</v>
      </c>
      <c r="CP63" s="305">
        <f t="shared" ca="1" si="58"/>
        <v>9.6848656800000016E-2</v>
      </c>
      <c r="CQ63" s="305">
        <f t="shared" ca="1" si="59"/>
        <v>0.29068417421508141</v>
      </c>
      <c r="CR63" s="775">
        <f t="shared" ca="1" si="60"/>
        <v>0.36609506250000001</v>
      </c>
      <c r="CS63" s="305">
        <f t="shared" ca="1" si="61"/>
        <v>0.36609506250000001</v>
      </c>
      <c r="CT63" s="305">
        <f t="shared" ca="1" si="62"/>
        <v>0.36609506250000001</v>
      </c>
      <c r="CU63" s="305">
        <f t="shared" ca="1" si="63"/>
        <v>0.15684865680000001</v>
      </c>
      <c r="CV63" s="770">
        <f t="shared" ca="1" si="64"/>
        <v>0.29068417421508141</v>
      </c>
      <c r="CW63" s="302">
        <f t="shared" ca="1" si="65"/>
        <v>12.550584505864288</v>
      </c>
      <c r="CX63" s="299">
        <f t="shared" ca="1" si="66"/>
        <v>6.7281288102175143</v>
      </c>
      <c r="CY63" s="299">
        <f t="shared" ca="1" si="67"/>
        <v>6.8001877363288319</v>
      </c>
      <c r="CZ63" s="299">
        <f t="shared" ca="1" si="68"/>
        <v>0.28643053955473352</v>
      </c>
      <c r="DA63" s="774">
        <f t="shared" ca="1" si="69"/>
        <v>5.9479917070599395</v>
      </c>
      <c r="DB63" s="303">
        <f t="shared" ca="1" si="70"/>
        <v>3101.7276354722294</v>
      </c>
      <c r="DC63" s="248">
        <f t="shared" ca="1" si="71"/>
        <v>292.10801184669987</v>
      </c>
      <c r="DD63" s="778">
        <f t="shared" ca="1" si="72"/>
        <v>0</v>
      </c>
      <c r="DE63" s="363">
        <f t="shared" ca="1" si="73"/>
        <v>0.74924536597621894</v>
      </c>
      <c r="DF63" s="378">
        <f t="shared" ca="1" si="74"/>
        <v>-0.16979107648679023</v>
      </c>
      <c r="DG63" s="508">
        <f t="shared" ca="1" si="75"/>
        <v>-0.54932616931256195</v>
      </c>
      <c r="DH63" s="508">
        <f t="shared" ca="1" si="76"/>
        <v>-0.54323104655740162</v>
      </c>
      <c r="DI63" s="508">
        <f t="shared" ca="1" si="77"/>
        <v>-1.5700348125808001</v>
      </c>
      <c r="DJ63" s="508">
        <f t="shared" ca="1" si="78"/>
        <v>-0.42399991975743107</v>
      </c>
      <c r="DK63" s="353">
        <f t="shared" ca="1" si="79"/>
        <v>-175.10234865505703</v>
      </c>
      <c r="DL63" s="781">
        <f t="shared" ca="1" si="80"/>
        <v>10.119170213471556</v>
      </c>
      <c r="DM63" s="303">
        <f t="shared" ca="1" si="81"/>
        <v>10469.328619902071</v>
      </c>
      <c r="DN63" s="508">
        <f t="shared" ca="1" si="82"/>
        <v>1.0600706372852389</v>
      </c>
      <c r="DO63" s="508">
        <f t="shared" ca="1" si="83"/>
        <v>0.9211108177742936</v>
      </c>
      <c r="DP63" s="508">
        <f t="shared" ca="1" si="84"/>
        <v>0.92334243528203985</v>
      </c>
      <c r="DQ63" s="508">
        <f t="shared" ca="1" si="85"/>
        <v>0.76764840252712141</v>
      </c>
      <c r="DR63" s="508">
        <f t="shared" ca="1" si="86"/>
        <v>0.94995206970258272</v>
      </c>
      <c r="DS63" s="353">
        <f t="shared" ca="1" si="87"/>
        <v>7918.9005628174518</v>
      </c>
      <c r="DT63" s="353">
        <f t="shared" ca="1" si="88"/>
        <v>-7743.0817758497869</v>
      </c>
      <c r="DU63" s="380">
        <f t="shared" ca="1" si="189"/>
        <v>3.9178644763860371</v>
      </c>
      <c r="DV63" s="303">
        <f t="shared" ca="1" si="89"/>
        <v>239.75851711239005</v>
      </c>
      <c r="DW63" s="303">
        <f t="shared" ca="1" si="90"/>
        <v>47.951703422478012</v>
      </c>
      <c r="DX63" s="303">
        <f t="shared" ca="1" si="91"/>
        <v>59.939629278097513</v>
      </c>
      <c r="DY63" s="303">
        <f t="shared" ca="1" si="92"/>
        <v>347.64984981296561</v>
      </c>
      <c r="DZ63" s="303">
        <f t="shared" ca="1" si="93"/>
        <v>173.82492490648281</v>
      </c>
      <c r="EA63" s="303">
        <f t="shared" ca="1" si="94"/>
        <v>521.47477471944842</v>
      </c>
      <c r="EB63" s="302">
        <f t="shared" ca="1" si="95"/>
        <v>37.54943822324276</v>
      </c>
      <c r="EC63" s="299">
        <f t="shared" ca="1" si="96"/>
        <v>28.520823452842933</v>
      </c>
      <c r="ED63" s="299">
        <f t="shared" ca="1" si="97"/>
        <v>28.647070877411011</v>
      </c>
      <c r="EE63" s="299">
        <f t="shared" ca="1" si="98"/>
        <v>34.769221126320062</v>
      </c>
      <c r="EF63" s="299">
        <f t="shared" ca="1" si="99"/>
        <v>21.050146860985631</v>
      </c>
      <c r="EG63" s="299">
        <f t="shared" ca="1" si="100"/>
        <v>30.196196371208586</v>
      </c>
      <c r="EH63" s="302">
        <f t="shared" ca="1" si="101"/>
        <v>30</v>
      </c>
      <c r="EI63" s="304">
        <f t="shared" ca="1" si="102"/>
        <v>0.1170316875</v>
      </c>
      <c r="EJ63" s="305">
        <f t="shared" ca="1" si="103"/>
        <v>0.1170316875</v>
      </c>
      <c r="EK63" s="305">
        <f t="shared" ca="1" si="104"/>
        <v>0.1170316875</v>
      </c>
      <c r="EL63" s="305">
        <f t="shared" ca="1" si="105"/>
        <v>0.11703168749999994</v>
      </c>
      <c r="EM63" s="305">
        <f t="shared" ca="1" si="106"/>
        <v>3.2282885600000005E-2</v>
      </c>
      <c r="EN63" s="305">
        <f t="shared" ca="1" si="107"/>
        <v>9.4170555337354189E-2</v>
      </c>
      <c r="EO63" s="305">
        <f t="shared" ca="1" si="108"/>
        <v>0.1170316875</v>
      </c>
      <c r="EP63" s="305">
        <f t="shared" ca="1" si="109"/>
        <v>0.1170316875</v>
      </c>
      <c r="EQ63" s="305">
        <f t="shared" ca="1" si="110"/>
        <v>0.1170316875</v>
      </c>
      <c r="ER63" s="305">
        <f t="shared" ca="1" si="111"/>
        <v>3.2282885600000005E-2</v>
      </c>
      <c r="ES63" s="305">
        <f t="shared" ca="1" si="112"/>
        <v>9.4170555337354189E-2</v>
      </c>
      <c r="ET63" s="299">
        <f t="shared" ca="1" si="113"/>
        <v>2.1381808951055383</v>
      </c>
      <c r="EU63" s="302">
        <f t="shared" ca="1" si="114"/>
        <v>30</v>
      </c>
      <c r="EV63" s="304">
        <f t="shared" ca="1" si="115"/>
        <v>0.3510950625</v>
      </c>
      <c r="EW63" s="305">
        <f t="shared" ca="1" si="116"/>
        <v>0.3510950625</v>
      </c>
      <c r="EX63" s="305">
        <f t="shared" ca="1" si="117"/>
        <v>0.3510950625</v>
      </c>
      <c r="EY63" s="305">
        <f t="shared" ca="1" si="118"/>
        <v>0.3510950625</v>
      </c>
      <c r="EZ63" s="305">
        <f t="shared" ca="1" si="119"/>
        <v>9.6848656800000016E-2</v>
      </c>
      <c r="FA63" s="305">
        <f t="shared" ca="1" si="120"/>
        <v>0.29068417421508141</v>
      </c>
      <c r="FB63" s="305">
        <f t="shared" ca="1" si="121"/>
        <v>0.3510950625</v>
      </c>
      <c r="FC63" s="305">
        <f t="shared" ca="1" si="122"/>
        <v>0.3510950625</v>
      </c>
      <c r="FD63" s="305">
        <f t="shared" ca="1" si="123"/>
        <v>0.3510950625</v>
      </c>
      <c r="FE63" s="305">
        <f t="shared" ca="1" si="124"/>
        <v>9.6848656800000016E-2</v>
      </c>
      <c r="FF63" s="305">
        <f t="shared" ca="1" si="125"/>
        <v>0.29068417421508141</v>
      </c>
      <c r="FG63" s="299">
        <f t="shared" ca="1" si="126"/>
        <v>6.9130764121057737</v>
      </c>
      <c r="FH63" s="302">
        <f t="shared" ca="1" si="127"/>
        <v>-4.7748955170002354</v>
      </c>
      <c r="FI63" s="248">
        <f t="shared" ca="1" si="128"/>
        <v>-2489.9875640366017</v>
      </c>
      <c r="FJ63" s="363">
        <f t="shared" ca="1" si="129"/>
        <v>0.74924536597621894</v>
      </c>
      <c r="FK63" s="378">
        <f t="shared" ca="1" si="130"/>
        <v>0.85315158949779057</v>
      </c>
      <c r="FL63" s="508">
        <f t="shared" ca="1" si="131"/>
        <v>-0.33409885947992163</v>
      </c>
      <c r="FM63" s="508">
        <f t="shared" ca="1" si="132"/>
        <v>-0.31503227679909351</v>
      </c>
      <c r="FN63" s="508">
        <f t="shared" ca="1" si="133"/>
        <v>-5.5764403310405646</v>
      </c>
      <c r="FO63" s="508">
        <f t="shared" ca="1" si="134"/>
        <v>-5.8227248735064914E-2</v>
      </c>
      <c r="FP63" s="353">
        <f t="shared" ca="1" si="135"/>
        <v>272.8440821618438</v>
      </c>
      <c r="FQ63" s="356">
        <f t="shared" ca="1" si="136"/>
        <v>37.140371616358117</v>
      </c>
      <c r="FR63" s="380">
        <f t="shared" ca="1" si="137"/>
        <v>23.136000000000003</v>
      </c>
      <c r="FS63" s="299">
        <f t="shared" ca="1" si="138"/>
        <v>23.136000000000003</v>
      </c>
      <c r="FT63" s="299">
        <f t="shared" ca="1" si="139"/>
        <v>23.136000000000003</v>
      </c>
      <c r="FU63" s="299">
        <f t="shared" ca="1" si="140"/>
        <v>23.136000000000003</v>
      </c>
      <c r="FV63" s="299">
        <f t="shared" ca="1" si="141"/>
        <v>23.136000000000003</v>
      </c>
      <c r="FW63" s="850">
        <f t="shared" ca="1" si="142"/>
        <v>0.18</v>
      </c>
      <c r="FX63" s="851">
        <f t="shared" ca="1" si="143"/>
        <v>0.5</v>
      </c>
      <c r="FY63" s="851">
        <f t="shared" ca="1" si="144"/>
        <v>0</v>
      </c>
      <c r="FZ63" s="201">
        <f t="shared" ca="1" si="145"/>
        <v>0</v>
      </c>
      <c r="GA63" s="201">
        <f t="shared" ca="1" si="146"/>
        <v>0</v>
      </c>
      <c r="GB63" s="201">
        <f t="shared" ca="1" si="147"/>
        <v>0</v>
      </c>
      <c r="GC63" s="201">
        <f t="shared" ca="1" si="148"/>
        <v>0</v>
      </c>
      <c r="GD63" s="850">
        <f t="shared" ca="1" si="149"/>
        <v>0.36609506250000001</v>
      </c>
      <c r="GE63" s="866">
        <f t="shared" ca="1" si="150"/>
        <v>0.36609506250000001</v>
      </c>
      <c r="GF63" s="866">
        <f t="shared" ca="1" si="151"/>
        <v>0.36609506250000001</v>
      </c>
      <c r="GG63" s="866">
        <f t="shared" ca="1" si="152"/>
        <v>9.6848656800000016E-2</v>
      </c>
      <c r="GH63" s="866">
        <f t="shared" ca="1" si="153"/>
        <v>0.30568417421508143</v>
      </c>
      <c r="GI63" s="302">
        <f t="shared" ca="1" si="154"/>
        <v>16.684307602872174</v>
      </c>
      <c r="GJ63" s="299">
        <f t="shared" ca="1" si="155"/>
        <v>9.3919494509708308</v>
      </c>
      <c r="GK63" s="299">
        <f t="shared" ca="1" si="156"/>
        <v>9.4856738621711081</v>
      </c>
      <c r="GL63" s="299">
        <f t="shared" ca="1" si="157"/>
        <v>1.793225914443743</v>
      </c>
      <c r="GM63" s="299">
        <f t="shared" ca="1" si="158"/>
        <v>9.7421477941322649</v>
      </c>
      <c r="GN63" s="302">
        <f t="shared" ca="1" si="159"/>
        <v>0.86113536525848999</v>
      </c>
      <c r="GO63" s="299">
        <f t="shared" ca="1" si="160"/>
        <v>0.74125053218143988</v>
      </c>
      <c r="GP63" s="299">
        <f t="shared" ca="1" si="161"/>
        <v>0.74352244920852362</v>
      </c>
      <c r="GQ63" s="299">
        <f t="shared" ca="1" si="162"/>
        <v>0.43979363499869145</v>
      </c>
      <c r="GR63" s="299">
        <f t="shared" ca="1" si="163"/>
        <v>0.77904730605030281</v>
      </c>
      <c r="GS63" s="302">
        <f t="shared" ca="1" si="164"/>
        <v>-0.67647154664546727</v>
      </c>
      <c r="GT63" s="299">
        <f t="shared" ca="1" si="165"/>
        <v>-0.50782887591656345</v>
      </c>
      <c r="GU63" s="299">
        <f t="shared" ca="1" si="166"/>
        <v>-0.5106357643425975</v>
      </c>
      <c r="GV63" s="299">
        <f t="shared" ca="1" si="167"/>
        <v>-0.32263543999550048</v>
      </c>
      <c r="GW63" s="299">
        <f t="shared" ca="1" si="168"/>
        <v>-0.59570019901666194</v>
      </c>
      <c r="GX63" s="303">
        <f t="shared" ca="1" si="169"/>
        <v>4000.2048499116077</v>
      </c>
      <c r="GY63" s="303">
        <f t="shared" ca="1" si="170"/>
        <v>450.35997463185845</v>
      </c>
      <c r="GZ63" s="303">
        <f t="shared" ca="1" si="171"/>
        <v>568.56777475147567</v>
      </c>
      <c r="HA63" s="303">
        <f t="shared" ca="1" si="172"/>
        <v>311.70735991854258</v>
      </c>
      <c r="HB63" s="303">
        <f t="shared" ca="1" si="173"/>
        <v>5080.2843262286942</v>
      </c>
      <c r="HC63" s="303">
        <f t="shared" ca="1" si="174"/>
        <v>3455.7445748957252</v>
      </c>
      <c r="HD63" s="303">
        <f t="shared" ca="1" si="175"/>
        <v>258.21145719312818</v>
      </c>
      <c r="HE63" s="303">
        <f t="shared" ca="1" si="176"/>
        <v>330.33154531733538</v>
      </c>
      <c r="HF63" s="303">
        <f t="shared" ca="1" si="177"/>
        <v>0</v>
      </c>
      <c r="HG63" s="852">
        <f t="shared" ca="1" si="178"/>
        <v>3681.714312151063</v>
      </c>
    </row>
    <row r="64" spans="1:215" x14ac:dyDescent="0.25">
      <c r="A64" s="244">
        <f t="shared" ca="1" si="179"/>
        <v>38047</v>
      </c>
      <c r="B64" s="13">
        <f t="shared" ca="1" si="3"/>
        <v>2004</v>
      </c>
      <c r="C64" s="619">
        <f t="shared" ca="1" si="180"/>
        <v>3</v>
      </c>
      <c r="D64" s="195" t="str">
        <f t="shared" ca="1" si="4"/>
        <v/>
      </c>
      <c r="E64" s="469">
        <f t="shared" ca="1" si="5"/>
        <v>38047</v>
      </c>
      <c r="F64" s="465">
        <f t="shared" ca="1" si="6"/>
        <v>38077</v>
      </c>
      <c r="G64" s="522">
        <f t="shared" ca="1" si="181"/>
        <v>1</v>
      </c>
      <c r="H64" s="519">
        <f t="shared" ca="1" si="182"/>
        <v>1</v>
      </c>
      <c r="I64" s="724">
        <f t="shared" ca="1" si="7"/>
        <v>7.2629632374320005E-2</v>
      </c>
      <c r="J64" s="198">
        <f t="shared" ca="1" si="8"/>
        <v>0.74457726488595455</v>
      </c>
      <c r="K64" s="200">
        <f t="shared" ca="1" si="190"/>
        <v>32.35</v>
      </c>
      <c r="L64" s="201">
        <f t="shared" ca="1" si="191"/>
        <v>32.9</v>
      </c>
      <c r="M64" s="206">
        <f t="shared" ca="1" si="192"/>
        <v>33.450000000000003</v>
      </c>
      <c r="N64" s="851">
        <f t="shared" ca="1" si="196"/>
        <v>20.622249603271481</v>
      </c>
      <c r="O64" s="201">
        <f t="shared" ca="1" si="197"/>
        <v>21.034749603271482</v>
      </c>
      <c r="P64" s="206">
        <f t="shared" ca="1" si="198"/>
        <v>21.447249603271484</v>
      </c>
      <c r="Q64" s="201">
        <f t="shared" ca="1" si="199"/>
        <v>17.364498901367185</v>
      </c>
      <c r="R64" s="201">
        <f t="shared" ca="1" si="200"/>
        <v>20.664498901367185</v>
      </c>
      <c r="S64" s="201">
        <f t="shared" ca="1" si="201"/>
        <v>23.964498901367186</v>
      </c>
      <c r="T64" s="851">
        <f t="shared" ca="1" si="193"/>
        <v>19.324999618530274</v>
      </c>
      <c r="U64" s="201">
        <f t="shared" ca="1" si="194"/>
        <v>19.599999618530273</v>
      </c>
      <c r="V64" s="206">
        <f t="shared" ca="1" si="195"/>
        <v>19.874999618530271</v>
      </c>
      <c r="W64" s="230">
        <f t="shared" ca="1" si="183"/>
        <v>0.11391298593750002</v>
      </c>
      <c r="X64" s="231">
        <f t="shared" ca="1" si="184"/>
        <v>0.22782597187500003</v>
      </c>
      <c r="Y64" s="232">
        <f t="shared" ca="1" si="185"/>
        <v>0.34173895781250008</v>
      </c>
      <c r="Z64" s="231">
        <f t="shared" ca="1" si="202"/>
        <v>0.11391298593750002</v>
      </c>
      <c r="AA64" s="231">
        <f t="shared" ca="1" si="203"/>
        <v>0.22782597187500003</v>
      </c>
      <c r="AB64" s="232">
        <f t="shared" ca="1" si="204"/>
        <v>0.34173895781250008</v>
      </c>
      <c r="AC64" s="231">
        <f t="shared" ca="1" si="205"/>
        <v>0.11391298593750002</v>
      </c>
      <c r="AD64" s="231">
        <f t="shared" ca="1" si="206"/>
        <v>0.22782597187500003</v>
      </c>
      <c r="AE64" s="232">
        <f t="shared" ca="1" si="14"/>
        <v>0.34173895781250008</v>
      </c>
      <c r="AF64" s="231">
        <f t="shared" ca="1" si="186"/>
        <v>2.7671044799999996E-2</v>
      </c>
      <c r="AG64" s="231">
        <f t="shared" ca="1" si="187"/>
        <v>5.5342089599999991E-2</v>
      </c>
      <c r="AH64" s="232">
        <f t="shared" ca="1" si="188"/>
        <v>8.3013134399999994E-2</v>
      </c>
      <c r="AI64" s="233">
        <f t="shared" ca="1" si="15"/>
        <v>1.05</v>
      </c>
      <c r="AJ64" s="233">
        <f t="shared" ca="1" si="16"/>
        <v>1.3</v>
      </c>
      <c r="AK64" s="234">
        <f t="shared" ca="1" si="17"/>
        <v>1.6</v>
      </c>
      <c r="AL64" s="919">
        <f t="shared" ca="1" si="18"/>
        <v>1.05</v>
      </c>
      <c r="AM64" s="233">
        <f t="shared" ca="1" si="19"/>
        <v>1.3</v>
      </c>
      <c r="AN64" s="234">
        <f t="shared" ca="1" si="20"/>
        <v>1.6</v>
      </c>
      <c r="AO64" s="233">
        <f t="shared" ca="1" si="21"/>
        <v>1.05</v>
      </c>
      <c r="AP64" s="233">
        <f t="shared" ca="1" si="22"/>
        <v>1.3</v>
      </c>
      <c r="AQ64" s="233">
        <f t="shared" ca="1" si="23"/>
        <v>1.6</v>
      </c>
      <c r="AR64" s="919">
        <f t="shared" ca="1" si="24"/>
        <v>0.19999999999999998</v>
      </c>
      <c r="AS64" s="233">
        <f t="shared" ca="1" si="25"/>
        <v>0.35</v>
      </c>
      <c r="AT64" s="235">
        <f t="shared" ca="1" si="26"/>
        <v>0.55000000000000004</v>
      </c>
      <c r="AU64" s="946">
        <f t="shared" si="27"/>
        <v>0.5</v>
      </c>
      <c r="AV64" s="13">
        <f t="shared" ca="1" si="28"/>
        <v>23</v>
      </c>
      <c r="AW64" s="210">
        <f t="shared" ca="1" si="29"/>
        <v>4</v>
      </c>
      <c r="AX64" s="210">
        <f t="shared" ca="1" si="30"/>
        <v>4</v>
      </c>
      <c r="AY64" s="210">
        <f t="shared" ca="1" si="31"/>
        <v>0</v>
      </c>
      <c r="AZ64" s="13">
        <f t="shared" ca="1" si="32"/>
        <v>31</v>
      </c>
      <c r="BA64" s="357">
        <f ca="1"/>
        <v>368</v>
      </c>
      <c r="BB64" s="925">
        <f ca="1"/>
        <v>64</v>
      </c>
      <c r="BC64" s="925">
        <f ca="1"/>
        <v>64</v>
      </c>
      <c r="BD64" s="928">
        <f ca="1"/>
        <v>248</v>
      </c>
      <c r="BE64" s="200">
        <f ca="1"/>
        <v>0.99999375641345978</v>
      </c>
      <c r="BF64" s="851">
        <f ca="1"/>
        <v>0.99999375641345978</v>
      </c>
      <c r="BG64" s="851">
        <f ca="1"/>
        <v>0.99999375641345978</v>
      </c>
      <c r="BH64" s="933">
        <f ca="1"/>
        <v>0.99999988824129105</v>
      </c>
      <c r="BI64" s="357">
        <f ca="1"/>
        <v>368</v>
      </c>
      <c r="BJ64" s="925">
        <f ca="1"/>
        <v>64</v>
      </c>
      <c r="BK64" s="925">
        <f ca="1"/>
        <v>64</v>
      </c>
      <c r="BL64" s="928">
        <f ca="1"/>
        <v>248</v>
      </c>
      <c r="BM64" s="200">
        <f ca="1"/>
        <v>0.99999375641345978</v>
      </c>
      <c r="BN64" s="851">
        <f ca="1"/>
        <v>0.99999375641345978</v>
      </c>
      <c r="BO64" s="851">
        <f ca="1"/>
        <v>0.99999375641345978</v>
      </c>
      <c r="BP64" s="933">
        <f ca="1"/>
        <v>0.99999988824129105</v>
      </c>
      <c r="BQ64" s="357">
        <f t="shared" ca="1" si="33"/>
        <v>744</v>
      </c>
      <c r="BR64" s="361">
        <f t="shared" ca="1" si="34"/>
        <v>744</v>
      </c>
      <c r="BS64" s="357">
        <f t="shared" ca="1" si="35"/>
        <v>553.96548507515013</v>
      </c>
      <c r="BT64" s="302">
        <f t="shared" ca="1" si="36"/>
        <v>25.710298073012435</v>
      </c>
      <c r="BU64" s="299">
        <f t="shared" ca="1" si="37"/>
        <v>26.393358886453267</v>
      </c>
      <c r="BV64" s="299">
        <f t="shared" ca="1" si="38"/>
        <v>27.0764196998941</v>
      </c>
      <c r="BW64" s="299">
        <f t="shared" ca="1" si="39"/>
        <v>32.659889647739881</v>
      </c>
      <c r="BX64" s="380">
        <f t="shared" ca="1" si="40"/>
        <v>3.9972621492128679</v>
      </c>
      <c r="BY64" s="363">
        <f t="shared" ca="1" si="41"/>
        <v>274.00443347803127</v>
      </c>
      <c r="BZ64" s="353">
        <f t="shared" ca="1" si="42"/>
        <v>47.652944952701091</v>
      </c>
      <c r="CA64" s="353">
        <f t="shared" ca="1" si="43"/>
        <v>47.652944952701091</v>
      </c>
      <c r="CB64" s="353">
        <f t="shared" ca="1" si="44"/>
        <v>369.31032338343346</v>
      </c>
      <c r="CC64" s="353">
        <f t="shared" ca="1" si="45"/>
        <v>184.65516169171673</v>
      </c>
      <c r="CD64" s="353">
        <f t="shared" ca="1" si="46"/>
        <v>553.96548507515013</v>
      </c>
      <c r="CE64" s="302">
        <f t="shared" ca="1" si="47"/>
        <v>33.44979115203023</v>
      </c>
      <c r="CF64" s="299">
        <f t="shared" ca="1" si="48"/>
        <v>21.447115695512537</v>
      </c>
      <c r="CG64" s="299">
        <f t="shared" ca="1" si="49"/>
        <v>23.964349276944404</v>
      </c>
      <c r="CH64" s="299">
        <f t="shared" ca="1" si="50"/>
        <v>30.677130851178163</v>
      </c>
      <c r="CI64" s="299">
        <f t="shared" ca="1" si="51"/>
        <v>19.874997397325973</v>
      </c>
      <c r="CJ64" s="299">
        <f t="shared" ca="1" si="52"/>
        <v>27.0764196998941</v>
      </c>
      <c r="CK64" s="299">
        <f t="shared" ca="1" si="53"/>
        <v>32.659889647739881</v>
      </c>
      <c r="CL64" s="377">
        <f t="shared" ca="1" si="54"/>
        <v>0.34173895781250008</v>
      </c>
      <c r="CM64" s="305">
        <f t="shared" ca="1" si="55"/>
        <v>0.34173895781250008</v>
      </c>
      <c r="CN64" s="305">
        <f t="shared" ca="1" si="56"/>
        <v>0.34173895781250008</v>
      </c>
      <c r="CO64" s="305">
        <f t="shared" ca="1" si="57"/>
        <v>0.34173895781250008</v>
      </c>
      <c r="CP64" s="305">
        <f t="shared" ca="1" si="58"/>
        <v>8.3013134399999994E-2</v>
      </c>
      <c r="CQ64" s="305">
        <f t="shared" ca="1" si="59"/>
        <v>0.27822543224803037</v>
      </c>
      <c r="CR64" s="775">
        <f t="shared" ca="1" si="60"/>
        <v>0.34173895781250008</v>
      </c>
      <c r="CS64" s="305">
        <f t="shared" ca="1" si="61"/>
        <v>0.40173895781250007</v>
      </c>
      <c r="CT64" s="305">
        <f t="shared" ca="1" si="62"/>
        <v>0.38173895781250006</v>
      </c>
      <c r="CU64" s="305">
        <f t="shared" ca="1" si="63"/>
        <v>0.14301313439999999</v>
      </c>
      <c r="CV64" s="770">
        <f t="shared" ca="1" si="64"/>
        <v>0.29572543224803038</v>
      </c>
      <c r="CW64" s="302">
        <f t="shared" ca="1" si="65"/>
        <v>9.2378397103983456</v>
      </c>
      <c r="CX64" s="299">
        <f t="shared" ca="1" si="66"/>
        <v>3.8874392724527409</v>
      </c>
      <c r="CY64" s="299">
        <f t="shared" ca="1" si="67"/>
        <v>4.7120097518550841</v>
      </c>
      <c r="CZ64" s="299">
        <f t="shared" ca="1" si="68"/>
        <v>0.12070784980870186</v>
      </c>
      <c r="DA64" s="774">
        <f t="shared" ca="1" si="69"/>
        <v>4.4871196973383185</v>
      </c>
      <c r="DB64" s="303">
        <f t="shared" ca="1" si="70"/>
        <v>2485.7094397262827</v>
      </c>
      <c r="DC64" s="248">
        <f t="shared" ca="1" si="71"/>
        <v>272.23709304913024</v>
      </c>
      <c r="DD64" s="778">
        <f t="shared" ca="1" si="72"/>
        <v>0</v>
      </c>
      <c r="DE64" s="363">
        <f t="shared" ca="1" si="73"/>
        <v>0.74457726488595455</v>
      </c>
      <c r="DF64" s="378">
        <f t="shared" ca="1" si="74"/>
        <v>-0.30664496939865782</v>
      </c>
      <c r="DG64" s="508">
        <f t="shared" ca="1" si="75"/>
        <v>-0.92520207397701859</v>
      </c>
      <c r="DH64" s="508">
        <f t="shared" ca="1" si="76"/>
        <v>-0.78723421261389737</v>
      </c>
      <c r="DI64" s="508">
        <f t="shared" ca="1" si="77"/>
        <v>-1.8800607427031433</v>
      </c>
      <c r="DJ64" s="508">
        <f t="shared" ca="1" si="78"/>
        <v>-0.61272354609643409</v>
      </c>
      <c r="DK64" s="353">
        <f t="shared" ca="1" si="79"/>
        <v>-149.58703304632553</v>
      </c>
      <c r="DL64" s="781">
        <f t="shared" ca="1" si="80"/>
        <v>9.486033024079596</v>
      </c>
      <c r="DM64" s="303">
        <f t="shared" ca="1" si="81"/>
        <v>9780.7228210016165</v>
      </c>
      <c r="DN64" s="508">
        <f t="shared" ca="1" si="82"/>
        <v>1.0115119482400234</v>
      </c>
      <c r="DO64" s="508">
        <f t="shared" ca="1" si="83"/>
        <v>0.78918593677142546</v>
      </c>
      <c r="DP64" s="508">
        <f t="shared" ca="1" si="84"/>
        <v>0.84469904238941651</v>
      </c>
      <c r="DQ64" s="508">
        <f t="shared" ca="1" si="85"/>
        <v>0.75110527521441894</v>
      </c>
      <c r="DR64" s="508">
        <f t="shared" ca="1" si="86"/>
        <v>0.905774027225003</v>
      </c>
      <c r="DS64" s="353">
        <f t="shared" ca="1" si="87"/>
        <v>7938.0190865902196</v>
      </c>
      <c r="DT64" s="353">
        <f t="shared" ca="1" si="88"/>
        <v>-7861.967628892342</v>
      </c>
      <c r="DU64" s="380">
        <f t="shared" ca="1" si="189"/>
        <v>3.9972621492128679</v>
      </c>
      <c r="DV64" s="303">
        <f t="shared" ca="1" si="89"/>
        <v>274.00443347803127</v>
      </c>
      <c r="DW64" s="303">
        <f t="shared" ca="1" si="90"/>
        <v>47.652944952701091</v>
      </c>
      <c r="DX64" s="303">
        <f t="shared" ca="1" si="91"/>
        <v>47.652944952701091</v>
      </c>
      <c r="DY64" s="303">
        <f t="shared" ca="1" si="92"/>
        <v>369.31032338343346</v>
      </c>
      <c r="DZ64" s="303">
        <f t="shared" ca="1" si="93"/>
        <v>184.65516169171673</v>
      </c>
      <c r="EA64" s="303">
        <f t="shared" ca="1" si="94"/>
        <v>553.96548507515013</v>
      </c>
      <c r="EB64" s="302">
        <f t="shared" ca="1" si="95"/>
        <v>33.44979115203023</v>
      </c>
      <c r="EC64" s="299">
        <f t="shared" ca="1" si="96"/>
        <v>21.447115695512537</v>
      </c>
      <c r="ED64" s="299">
        <f t="shared" ca="1" si="97"/>
        <v>23.964349276944404</v>
      </c>
      <c r="EE64" s="299">
        <f t="shared" ca="1" si="98"/>
        <v>30.677130851178163</v>
      </c>
      <c r="EF64" s="299">
        <f t="shared" ca="1" si="99"/>
        <v>19.874997397325973</v>
      </c>
      <c r="EG64" s="299">
        <f t="shared" ca="1" si="100"/>
        <v>27.0764196998941</v>
      </c>
      <c r="EH64" s="302">
        <f t="shared" ca="1" si="101"/>
        <v>30</v>
      </c>
      <c r="EI64" s="304">
        <f t="shared" ca="1" si="102"/>
        <v>0.11391298593750002</v>
      </c>
      <c r="EJ64" s="305">
        <f t="shared" ca="1" si="103"/>
        <v>0.11391298593750002</v>
      </c>
      <c r="EK64" s="305">
        <f t="shared" ca="1" si="104"/>
        <v>0.11391298593750002</v>
      </c>
      <c r="EL64" s="305">
        <f t="shared" ca="1" si="105"/>
        <v>0.11391298593749993</v>
      </c>
      <c r="EM64" s="305">
        <f t="shared" ca="1" si="106"/>
        <v>2.7671044799999996E-2</v>
      </c>
      <c r="EN64" s="305">
        <f t="shared" ca="1" si="107"/>
        <v>8.9979259008491408E-2</v>
      </c>
      <c r="EO64" s="305">
        <f t="shared" ca="1" si="108"/>
        <v>0.11391298593750002</v>
      </c>
      <c r="EP64" s="305">
        <f t="shared" ca="1" si="109"/>
        <v>0.11391298593750002</v>
      </c>
      <c r="EQ64" s="305">
        <f t="shared" ca="1" si="110"/>
        <v>0.11391298593750002</v>
      </c>
      <c r="ER64" s="305">
        <f t="shared" ca="1" si="111"/>
        <v>2.7671044799999996E-2</v>
      </c>
      <c r="ES64" s="305">
        <f t="shared" ca="1" si="112"/>
        <v>8.9979259008491408E-2</v>
      </c>
      <c r="ET64" s="299">
        <f t="shared" ca="1" si="113"/>
        <v>3.8294719046290844</v>
      </c>
      <c r="EU64" s="302">
        <f t="shared" ca="1" si="114"/>
        <v>30</v>
      </c>
      <c r="EV64" s="304">
        <f t="shared" ca="1" si="115"/>
        <v>0.34173895781250008</v>
      </c>
      <c r="EW64" s="305">
        <f t="shared" ca="1" si="116"/>
        <v>0.34173895781250008</v>
      </c>
      <c r="EX64" s="305">
        <f t="shared" ca="1" si="117"/>
        <v>0.34173895781250008</v>
      </c>
      <c r="EY64" s="305">
        <f t="shared" ca="1" si="118"/>
        <v>0.34173895781250008</v>
      </c>
      <c r="EZ64" s="305">
        <f t="shared" ca="1" si="119"/>
        <v>8.3013134399999994E-2</v>
      </c>
      <c r="FA64" s="305">
        <f t="shared" ca="1" si="120"/>
        <v>0.27822543224803037</v>
      </c>
      <c r="FB64" s="305">
        <f t="shared" ca="1" si="121"/>
        <v>0.34173895781250008</v>
      </c>
      <c r="FC64" s="305">
        <f t="shared" ca="1" si="122"/>
        <v>0.34173895781250008</v>
      </c>
      <c r="FD64" s="305">
        <f t="shared" ca="1" si="123"/>
        <v>0.34173895781250008</v>
      </c>
      <c r="FE64" s="305">
        <f t="shared" ca="1" si="124"/>
        <v>8.3013134399999994E-2</v>
      </c>
      <c r="FF64" s="305">
        <f t="shared" ca="1" si="125"/>
        <v>0.27822543224803037</v>
      </c>
      <c r="FG64" s="299">
        <f t="shared" ca="1" si="126"/>
        <v>4.8936801586650525</v>
      </c>
      <c r="FH64" s="302">
        <f t="shared" ca="1" si="127"/>
        <v>-1.0642082540359681</v>
      </c>
      <c r="FI64" s="248">
        <f t="shared" ca="1" si="128"/>
        <v>-589.53464166801371</v>
      </c>
      <c r="FJ64" s="363">
        <f t="shared" ca="1" si="129"/>
        <v>0.74457726488595455</v>
      </c>
      <c r="FK64" s="378">
        <f t="shared" ca="1" si="130"/>
        <v>0.3640584850941545</v>
      </c>
      <c r="FL64" s="508">
        <f t="shared" ca="1" si="131"/>
        <v>-1.5874642235584058</v>
      </c>
      <c r="FM64" s="508">
        <f t="shared" ca="1" si="132"/>
        <v>-1.1001839205218049</v>
      </c>
      <c r="FN64" s="508">
        <f t="shared" ca="1" si="133"/>
        <v>-7.4700230020000191</v>
      </c>
      <c r="FO64" s="508">
        <f t="shared" ca="1" si="134"/>
        <v>-0.65990904806133632</v>
      </c>
      <c r="FP64" s="353">
        <f t="shared" ca="1" si="135"/>
        <v>412.89483407270438</v>
      </c>
      <c r="FQ64" s="356">
        <f t="shared" ca="1" si="136"/>
        <v>32.937050321921006</v>
      </c>
      <c r="FR64" s="380">
        <f t="shared" ca="1" si="137"/>
        <v>22.176000000000002</v>
      </c>
      <c r="FS64" s="299">
        <f t="shared" ca="1" si="138"/>
        <v>22.176000000000002</v>
      </c>
      <c r="FT64" s="299">
        <f t="shared" ca="1" si="139"/>
        <v>22.176000000000002</v>
      </c>
      <c r="FU64" s="299">
        <f t="shared" ca="1" si="140"/>
        <v>22.176000000000002</v>
      </c>
      <c r="FV64" s="299">
        <f t="shared" ca="1" si="141"/>
        <v>22.176000000000005</v>
      </c>
      <c r="FW64" s="850">
        <f t="shared" ca="1" si="142"/>
        <v>0.17749999999999999</v>
      </c>
      <c r="FX64" s="851">
        <f t="shared" ca="1" si="143"/>
        <v>0.5</v>
      </c>
      <c r="FY64" s="851">
        <f t="shared" ca="1" si="144"/>
        <v>0</v>
      </c>
      <c r="FZ64" s="201">
        <f t="shared" ca="1" si="145"/>
        <v>0</v>
      </c>
      <c r="GA64" s="201">
        <f t="shared" ca="1" si="146"/>
        <v>0</v>
      </c>
      <c r="GB64" s="201">
        <f t="shared" ca="1" si="147"/>
        <v>0</v>
      </c>
      <c r="GC64" s="201">
        <f t="shared" ca="1" si="148"/>
        <v>0</v>
      </c>
      <c r="GD64" s="850">
        <f t="shared" ca="1" si="149"/>
        <v>0.35673895781250009</v>
      </c>
      <c r="GE64" s="866">
        <f t="shared" ca="1" si="150"/>
        <v>0.34173895781250008</v>
      </c>
      <c r="GF64" s="866">
        <f t="shared" ca="1" si="151"/>
        <v>0.34423895781250008</v>
      </c>
      <c r="GG64" s="866">
        <f t="shared" ca="1" si="152"/>
        <v>8.3013134399999994E-2</v>
      </c>
      <c r="GH64" s="866">
        <f t="shared" ca="1" si="153"/>
        <v>0.29322543224803038</v>
      </c>
      <c r="GI64" s="302">
        <f t="shared" ca="1" si="154"/>
        <v>13.754752325514072</v>
      </c>
      <c r="GJ64" s="299">
        <f t="shared" ca="1" si="155"/>
        <v>4.7192798437945775</v>
      </c>
      <c r="GK64" s="299">
        <f t="shared" ca="1" si="156"/>
        <v>6.3449340032997803</v>
      </c>
      <c r="GL64" s="299">
        <f t="shared" ca="1" si="157"/>
        <v>1.5789073976579098</v>
      </c>
      <c r="GM64" s="299">
        <f t="shared" ca="1" si="158"/>
        <v>7.7850668708324902</v>
      </c>
      <c r="GN64" s="302">
        <f t="shared" ca="1" si="159"/>
        <v>0.83504358828370917</v>
      </c>
      <c r="GO64" s="299">
        <f t="shared" ca="1" si="160"/>
        <v>0.59462567611020944</v>
      </c>
      <c r="GP64" s="299">
        <f t="shared" ca="1" si="161"/>
        <v>0.66573487849850355</v>
      </c>
      <c r="GQ64" s="299">
        <f t="shared" ca="1" si="162"/>
        <v>0.41979238752378351</v>
      </c>
      <c r="GR64" s="299">
        <f t="shared" ca="1" si="163"/>
        <v>0.74088993447091178</v>
      </c>
      <c r="GS64" s="302">
        <f t="shared" ca="1" si="164"/>
        <v>-0.63930755077926649</v>
      </c>
      <c r="GT64" s="299">
        <f t="shared" ca="1" si="165"/>
        <v>-0.3622711809665598</v>
      </c>
      <c r="GU64" s="299">
        <f t="shared" ca="1" si="166"/>
        <v>-0.43330500843002145</v>
      </c>
      <c r="GV64" s="299">
        <f t="shared" ca="1" si="167"/>
        <v>-0.30503536292972855</v>
      </c>
      <c r="GW64" s="299">
        <f t="shared" ca="1" si="168"/>
        <v>-0.55355264826976891</v>
      </c>
      <c r="GX64" s="303">
        <f t="shared" ca="1" si="169"/>
        <v>3768.8631185831168</v>
      </c>
      <c r="GY64" s="303">
        <f t="shared" ca="1" si="170"/>
        <v>224.8875826127348</v>
      </c>
      <c r="GZ64" s="303">
        <f t="shared" ca="1" si="171"/>
        <v>302.35479078776581</v>
      </c>
      <c r="HA64" s="303">
        <f t="shared" ca="1" si="172"/>
        <v>291.55340081076901</v>
      </c>
      <c r="HB64" s="303">
        <f t="shared" ca="1" si="173"/>
        <v>4312.6583454432011</v>
      </c>
      <c r="HC64" s="303">
        <f t="shared" ca="1" si="174"/>
        <v>3089.0687577616841</v>
      </c>
      <c r="HD64" s="303">
        <f t="shared" ca="1" si="175"/>
        <v>0</v>
      </c>
      <c r="HE64" s="303">
        <f t="shared" ca="1" si="176"/>
        <v>85.220109650434381</v>
      </c>
      <c r="HF64" s="303">
        <f t="shared" ca="1" si="177"/>
        <v>0</v>
      </c>
      <c r="HG64" s="852">
        <f t="shared" ca="1" si="178"/>
        <v>2714.6633761236535</v>
      </c>
    </row>
    <row r="65" spans="1:215" x14ac:dyDescent="0.25">
      <c r="A65" s="244">
        <f t="shared" ca="1" si="179"/>
        <v>38078</v>
      </c>
      <c r="B65" s="13">
        <f t="shared" ca="1" si="3"/>
        <v>2004</v>
      </c>
      <c r="C65" s="619">
        <f t="shared" ca="1" si="180"/>
        <v>4</v>
      </c>
      <c r="D65" s="195" t="str">
        <f t="shared" ca="1" si="4"/>
        <v/>
      </c>
      <c r="E65" s="469">
        <f t="shared" ca="1" si="5"/>
        <v>38078</v>
      </c>
      <c r="F65" s="465">
        <f t="shared" ca="1" si="6"/>
        <v>38107</v>
      </c>
      <c r="G65" s="522">
        <f t="shared" ca="1" si="181"/>
        <v>1</v>
      </c>
      <c r="H65" s="519">
        <f t="shared" ca="1" si="182"/>
        <v>1</v>
      </c>
      <c r="I65" s="724">
        <f t="shared" ca="1" si="7"/>
        <v>7.2675147877700005E-2</v>
      </c>
      <c r="J65" s="198">
        <f t="shared" ca="1" si="8"/>
        <v>0.7400899550175809</v>
      </c>
      <c r="K65" s="200">
        <f t="shared" ca="1" si="190"/>
        <v>31.25</v>
      </c>
      <c r="L65" s="201">
        <f t="shared" ca="1" si="191"/>
        <v>31.65</v>
      </c>
      <c r="M65" s="206">
        <f t="shared" ca="1" si="192"/>
        <v>32.049999999999997</v>
      </c>
      <c r="N65" s="851">
        <f t="shared" ca="1" si="196"/>
        <v>21.417500305175778</v>
      </c>
      <c r="O65" s="201">
        <f t="shared" ca="1" si="197"/>
        <v>21.717500305175779</v>
      </c>
      <c r="P65" s="206">
        <f t="shared" ca="1" si="198"/>
        <v>22.01750030517578</v>
      </c>
      <c r="Q65" s="201">
        <f t="shared" ca="1" si="199"/>
        <v>17.134999084472653</v>
      </c>
      <c r="R65" s="201">
        <f t="shared" ca="1" si="200"/>
        <v>20.434999084472654</v>
      </c>
      <c r="S65" s="201">
        <f t="shared" ca="1" si="201"/>
        <v>23.734999084472655</v>
      </c>
      <c r="T65" s="851">
        <f t="shared" ca="1" si="193"/>
        <v>19.399997711181641</v>
      </c>
      <c r="U65" s="201">
        <f t="shared" ca="1" si="194"/>
        <v>19.59999771118164</v>
      </c>
      <c r="V65" s="206">
        <f t="shared" ca="1" si="195"/>
        <v>19.799997711181639</v>
      </c>
      <c r="W65" s="230">
        <f t="shared" ca="1" si="183"/>
        <v>0.101663240625</v>
      </c>
      <c r="X65" s="231">
        <f t="shared" ca="1" si="184"/>
        <v>0.20332648125</v>
      </c>
      <c r="Y65" s="232">
        <f t="shared" ca="1" si="185"/>
        <v>0.30498972187500001</v>
      </c>
      <c r="Z65" s="231">
        <f t="shared" ca="1" si="202"/>
        <v>0.101663240625</v>
      </c>
      <c r="AA65" s="231">
        <f t="shared" ca="1" si="203"/>
        <v>0.20332648125</v>
      </c>
      <c r="AB65" s="232">
        <f t="shared" ca="1" si="204"/>
        <v>0.30498972187500001</v>
      </c>
      <c r="AC65" s="231">
        <f t="shared" ca="1" si="205"/>
        <v>0.101663240625</v>
      </c>
      <c r="AD65" s="231">
        <f t="shared" ca="1" si="206"/>
        <v>0.20332648125</v>
      </c>
      <c r="AE65" s="232">
        <f t="shared" ca="1" si="14"/>
        <v>0.30498972187500001</v>
      </c>
      <c r="AF65" s="231">
        <f t="shared" ca="1" si="186"/>
        <v>2.7671044799999996E-2</v>
      </c>
      <c r="AG65" s="231">
        <f t="shared" ca="1" si="187"/>
        <v>5.5342089599999991E-2</v>
      </c>
      <c r="AH65" s="232">
        <f t="shared" ca="1" si="188"/>
        <v>8.3013134399999994E-2</v>
      </c>
      <c r="AI65" s="233">
        <f t="shared" ca="1" si="15"/>
        <v>0.85000000000000009</v>
      </c>
      <c r="AJ65" s="233">
        <f t="shared" ca="1" si="16"/>
        <v>1.1000000000000001</v>
      </c>
      <c r="AK65" s="234">
        <f t="shared" ca="1" si="17"/>
        <v>1.4000000000000001</v>
      </c>
      <c r="AL65" s="919">
        <f t="shared" ca="1" si="18"/>
        <v>0.85000000000000009</v>
      </c>
      <c r="AM65" s="233">
        <f t="shared" ca="1" si="19"/>
        <v>1.1000000000000001</v>
      </c>
      <c r="AN65" s="234">
        <f t="shared" ca="1" si="20"/>
        <v>1.4000000000000001</v>
      </c>
      <c r="AO65" s="233">
        <f t="shared" ca="1" si="21"/>
        <v>0.85000000000000009</v>
      </c>
      <c r="AP65" s="233">
        <f t="shared" ca="1" si="22"/>
        <v>1.1000000000000001</v>
      </c>
      <c r="AQ65" s="233">
        <f t="shared" ca="1" si="23"/>
        <v>1.4000000000000001</v>
      </c>
      <c r="AR65" s="919">
        <f t="shared" ca="1" si="24"/>
        <v>0.19999999999999998</v>
      </c>
      <c r="AS65" s="233">
        <f t="shared" ca="1" si="25"/>
        <v>0.35</v>
      </c>
      <c r="AT65" s="235">
        <f t="shared" ca="1" si="26"/>
        <v>0.55000000000000004</v>
      </c>
      <c r="AU65" s="946">
        <f t="shared" si="27"/>
        <v>0.5</v>
      </c>
      <c r="AV65" s="13">
        <f t="shared" ca="1" si="28"/>
        <v>22</v>
      </c>
      <c r="AW65" s="210">
        <f t="shared" ca="1" si="29"/>
        <v>4</v>
      </c>
      <c r="AX65" s="210">
        <f t="shared" ca="1" si="30"/>
        <v>4</v>
      </c>
      <c r="AY65" s="210">
        <f t="shared" ca="1" si="31"/>
        <v>0</v>
      </c>
      <c r="AZ65" s="13">
        <f t="shared" ca="1" si="32"/>
        <v>30</v>
      </c>
      <c r="BA65" s="357">
        <f ca="1"/>
        <v>352</v>
      </c>
      <c r="BB65" s="925">
        <f ca="1"/>
        <v>64</v>
      </c>
      <c r="BC65" s="925">
        <f ca="1"/>
        <v>64</v>
      </c>
      <c r="BD65" s="928">
        <f ca="1"/>
        <v>240</v>
      </c>
      <c r="BE65" s="200">
        <f ca="1"/>
        <v>1.0000000074505806</v>
      </c>
      <c r="BF65" s="851">
        <f ca="1"/>
        <v>1.0000000074505806</v>
      </c>
      <c r="BG65" s="851">
        <f ca="1"/>
        <v>1.0000000074505806</v>
      </c>
      <c r="BH65" s="933">
        <f ca="1"/>
        <v>0.99995028972625732</v>
      </c>
      <c r="BI65" s="357">
        <f ca="1"/>
        <v>352</v>
      </c>
      <c r="BJ65" s="925">
        <f ca="1"/>
        <v>64</v>
      </c>
      <c r="BK65" s="925">
        <f ca="1"/>
        <v>64</v>
      </c>
      <c r="BL65" s="928">
        <f ca="1"/>
        <v>240</v>
      </c>
      <c r="BM65" s="200">
        <f ca="1"/>
        <v>1.0000000074505806</v>
      </c>
      <c r="BN65" s="851">
        <f ca="1"/>
        <v>1.0000000074505806</v>
      </c>
      <c r="BO65" s="851">
        <f ca="1"/>
        <v>1.0000000074505806</v>
      </c>
      <c r="BP65" s="933">
        <f ca="1"/>
        <v>0.99995028972625732</v>
      </c>
      <c r="BQ65" s="357">
        <f t="shared" ca="1" si="33"/>
        <v>720</v>
      </c>
      <c r="BR65" s="361">
        <f t="shared" ca="1" si="34"/>
        <v>720</v>
      </c>
      <c r="BS65" s="357">
        <f t="shared" ca="1" si="35"/>
        <v>532.86476761265828</v>
      </c>
      <c r="BT65" s="302">
        <f t="shared" ca="1" si="36"/>
        <v>25.171011195768752</v>
      </c>
      <c r="BU65" s="299">
        <f t="shared" ca="1" si="37"/>
        <v>25.753230107813916</v>
      </c>
      <c r="BV65" s="299">
        <f t="shared" ca="1" si="38"/>
        <v>26.335449019859077</v>
      </c>
      <c r="BW65" s="299">
        <f t="shared" ca="1" si="39"/>
        <v>32.659889647739881</v>
      </c>
      <c r="BX65" s="380">
        <f t="shared" ca="1" si="40"/>
        <v>4.0821355236139629</v>
      </c>
      <c r="BY65" s="363">
        <f t="shared" ca="1" si="41"/>
        <v>260.5116641661885</v>
      </c>
      <c r="BZ65" s="353">
        <f t="shared" ca="1" si="42"/>
        <v>47.365757121125178</v>
      </c>
      <c r="CA65" s="353">
        <f t="shared" ca="1" si="43"/>
        <v>47.365757121125178</v>
      </c>
      <c r="CB65" s="353">
        <f t="shared" ca="1" si="44"/>
        <v>355.24317840843884</v>
      </c>
      <c r="CC65" s="353">
        <f t="shared" ca="1" si="45"/>
        <v>177.62158920421942</v>
      </c>
      <c r="CD65" s="353">
        <f t="shared" ca="1" si="46"/>
        <v>532.86476761265828</v>
      </c>
      <c r="CE65" s="302">
        <f t="shared" ca="1" si="47"/>
        <v>32.050000238791107</v>
      </c>
      <c r="CF65" s="299">
        <f t="shared" ca="1" si="48"/>
        <v>22.017500469218941</v>
      </c>
      <c r="CG65" s="299">
        <f t="shared" ca="1" si="49"/>
        <v>23.734999261312179</v>
      </c>
      <c r="CH65" s="299">
        <f t="shared" ca="1" si="50"/>
        <v>29.60366680585096</v>
      </c>
      <c r="CI65" s="299">
        <f t="shared" ca="1" si="51"/>
        <v>19.799013447875311</v>
      </c>
      <c r="CJ65" s="299">
        <f t="shared" ca="1" si="52"/>
        <v>26.335449019859077</v>
      </c>
      <c r="CK65" s="299">
        <f t="shared" ca="1" si="53"/>
        <v>32.659889647739881</v>
      </c>
      <c r="CL65" s="377">
        <f t="shared" ca="1" si="54"/>
        <v>0.30498972187500001</v>
      </c>
      <c r="CM65" s="305">
        <f t="shared" ca="1" si="55"/>
        <v>0.30498972187500001</v>
      </c>
      <c r="CN65" s="305">
        <f t="shared" ca="1" si="56"/>
        <v>0.30498972187500001</v>
      </c>
      <c r="CO65" s="305">
        <f t="shared" ca="1" si="57"/>
        <v>0.30498972187500006</v>
      </c>
      <c r="CP65" s="305">
        <f t="shared" ca="1" si="58"/>
        <v>8.3013134399999994E-2</v>
      </c>
      <c r="CQ65" s="305">
        <f t="shared" ca="1" si="59"/>
        <v>0.24633925744390592</v>
      </c>
      <c r="CR65" s="775">
        <f t="shared" ca="1" si="60"/>
        <v>0.30498972187500001</v>
      </c>
      <c r="CS65" s="305">
        <f t="shared" ca="1" si="61"/>
        <v>0.36498972187500001</v>
      </c>
      <c r="CT65" s="305">
        <f t="shared" ca="1" si="62"/>
        <v>0.34498972187499999</v>
      </c>
      <c r="CU65" s="305">
        <f t="shared" ca="1" si="63"/>
        <v>0.14301313439999999</v>
      </c>
      <c r="CV65" s="770">
        <f t="shared" ca="1" si="64"/>
        <v>0.27133925744390591</v>
      </c>
      <c r="CW65" s="302">
        <f t="shared" ca="1" si="65"/>
        <v>7.5284205011027332</v>
      </c>
      <c r="CX65" s="299">
        <f t="shared" ca="1" si="66"/>
        <v>3.5757543983025144</v>
      </c>
      <c r="CY65" s="299">
        <f t="shared" ca="1" si="67"/>
        <v>3.9751470690717952</v>
      </c>
      <c r="CZ65" s="299">
        <f t="shared" ca="1" si="68"/>
        <v>0.12320787591797278</v>
      </c>
      <c r="DA65" s="774">
        <f t="shared" ca="1" si="69"/>
        <v>3.6798314161254702</v>
      </c>
      <c r="DB65" s="303">
        <f t="shared" ca="1" si="70"/>
        <v>1960.8525124074579</v>
      </c>
      <c r="DC65" s="248">
        <f t="shared" ca="1" si="71"/>
        <v>241.30255154560606</v>
      </c>
      <c r="DD65" s="778">
        <f t="shared" ca="1" si="72"/>
        <v>0</v>
      </c>
      <c r="DE65" s="363">
        <f t="shared" ca="1" si="73"/>
        <v>0.7400899550175809</v>
      </c>
      <c r="DF65" s="378">
        <f t="shared" ca="1" si="74"/>
        <v>-0.33869617089022974</v>
      </c>
      <c r="DG65" s="508">
        <f t="shared" ca="1" si="75"/>
        <v>-0.9034221548157253</v>
      </c>
      <c r="DH65" s="508">
        <f t="shared" ca="1" si="76"/>
        <v>-0.80645406951103826</v>
      </c>
      <c r="DI65" s="508">
        <f t="shared" ca="1" si="77"/>
        <v>-1.876673771683284</v>
      </c>
      <c r="DJ65" s="508">
        <f t="shared" ca="1" si="78"/>
        <v>-0.66671075572190008</v>
      </c>
      <c r="DK65" s="353">
        <f t="shared" ca="1" si="79"/>
        <v>-134.53683508669332</v>
      </c>
      <c r="DL65" s="781">
        <f t="shared" ca="1" si="80"/>
        <v>9.5067823330418193</v>
      </c>
      <c r="DM65" s="303">
        <f t="shared" ca="1" si="81"/>
        <v>9165.1217991094509</v>
      </c>
      <c r="DN65" s="508">
        <f t="shared" ca="1" si="82"/>
        <v>1.0007828595239958</v>
      </c>
      <c r="DO65" s="508">
        <f t="shared" ca="1" si="83"/>
        <v>0.8149327122152682</v>
      </c>
      <c r="DP65" s="508">
        <f t="shared" ca="1" si="84"/>
        <v>0.85211323173847375</v>
      </c>
      <c r="DQ65" s="508">
        <f t="shared" ca="1" si="85"/>
        <v>0.76236165147973356</v>
      </c>
      <c r="DR65" s="508">
        <f t="shared" ca="1" si="86"/>
        <v>0.90357534796086625</v>
      </c>
      <c r="DS65" s="353">
        <f t="shared" ca="1" si="87"/>
        <v>7520.0750146298742</v>
      </c>
      <c r="DT65" s="353">
        <f t="shared" ca="1" si="88"/>
        <v>-7588.3592632409491</v>
      </c>
      <c r="DU65" s="380">
        <f t="shared" ca="1" si="189"/>
        <v>4.0821355236139629</v>
      </c>
      <c r="DV65" s="303">
        <f t="shared" ca="1" si="89"/>
        <v>260.5116641661885</v>
      </c>
      <c r="DW65" s="303">
        <f t="shared" ca="1" si="90"/>
        <v>47.365757121125178</v>
      </c>
      <c r="DX65" s="303">
        <f t="shared" ca="1" si="91"/>
        <v>47.365757121125178</v>
      </c>
      <c r="DY65" s="303">
        <f t="shared" ca="1" si="92"/>
        <v>355.24317840843884</v>
      </c>
      <c r="DZ65" s="303">
        <f t="shared" ca="1" si="93"/>
        <v>177.62158920421942</v>
      </c>
      <c r="EA65" s="303">
        <f t="shared" ca="1" si="94"/>
        <v>532.86476761265828</v>
      </c>
      <c r="EB65" s="302">
        <f t="shared" ca="1" si="95"/>
        <v>32.050000238791107</v>
      </c>
      <c r="EC65" s="299">
        <f t="shared" ca="1" si="96"/>
        <v>22.017500469218941</v>
      </c>
      <c r="ED65" s="299">
        <f t="shared" ca="1" si="97"/>
        <v>23.734999261312179</v>
      </c>
      <c r="EE65" s="299">
        <f t="shared" ca="1" si="98"/>
        <v>29.60366680585096</v>
      </c>
      <c r="EF65" s="299">
        <f t="shared" ca="1" si="99"/>
        <v>19.799013447875311</v>
      </c>
      <c r="EG65" s="299">
        <f t="shared" ca="1" si="100"/>
        <v>26.335449019859077</v>
      </c>
      <c r="EH65" s="302">
        <f t="shared" ca="1" si="101"/>
        <v>30</v>
      </c>
      <c r="EI65" s="304">
        <f t="shared" ca="1" si="102"/>
        <v>0.101663240625</v>
      </c>
      <c r="EJ65" s="305">
        <f t="shared" ca="1" si="103"/>
        <v>0.101663240625</v>
      </c>
      <c r="EK65" s="305">
        <f t="shared" ca="1" si="104"/>
        <v>0.101663240625</v>
      </c>
      <c r="EL65" s="305">
        <f t="shared" ca="1" si="105"/>
        <v>0.10166324062500012</v>
      </c>
      <c r="EM65" s="305">
        <f t="shared" ca="1" si="106"/>
        <v>2.7671044799999996E-2</v>
      </c>
      <c r="EN65" s="305">
        <f t="shared" ca="1" si="107"/>
        <v>8.013507238320558E-2</v>
      </c>
      <c r="EO65" s="305">
        <f t="shared" ca="1" si="108"/>
        <v>0.101663240625</v>
      </c>
      <c r="EP65" s="305">
        <f t="shared" ca="1" si="109"/>
        <v>0.101663240625</v>
      </c>
      <c r="EQ65" s="305">
        <f t="shared" ca="1" si="110"/>
        <v>0.101663240625</v>
      </c>
      <c r="ER65" s="305">
        <f t="shared" ca="1" si="111"/>
        <v>2.7671044799999996E-2</v>
      </c>
      <c r="ES65" s="305">
        <f t="shared" ca="1" si="112"/>
        <v>8.013507238320558E-2</v>
      </c>
      <c r="ET65" s="299">
        <f t="shared" ca="1" si="113"/>
        <v>4.2060658834569757</v>
      </c>
      <c r="EU65" s="302">
        <f t="shared" ca="1" si="114"/>
        <v>30</v>
      </c>
      <c r="EV65" s="304">
        <f t="shared" ca="1" si="115"/>
        <v>0.30498972187500001</v>
      </c>
      <c r="EW65" s="305">
        <f t="shared" ca="1" si="116"/>
        <v>0.30498972187500001</v>
      </c>
      <c r="EX65" s="305">
        <f t="shared" ca="1" si="117"/>
        <v>0.30498972187500001</v>
      </c>
      <c r="EY65" s="305">
        <f t="shared" ca="1" si="118"/>
        <v>0.30498972187500006</v>
      </c>
      <c r="EZ65" s="305">
        <f t="shared" ca="1" si="119"/>
        <v>8.3013134399999994E-2</v>
      </c>
      <c r="FA65" s="305">
        <f t="shared" ca="1" si="120"/>
        <v>0.24633925744390592</v>
      </c>
      <c r="FB65" s="305">
        <f t="shared" ca="1" si="121"/>
        <v>0.30498972187500001</v>
      </c>
      <c r="FC65" s="305">
        <f t="shared" ca="1" si="122"/>
        <v>0.30498972187500001</v>
      </c>
      <c r="FD65" s="305">
        <f t="shared" ca="1" si="123"/>
        <v>0.30498972187500001</v>
      </c>
      <c r="FE65" s="305">
        <f t="shared" ca="1" si="124"/>
        <v>8.3013134399999994E-2</v>
      </c>
      <c r="FF65" s="305">
        <f t="shared" ca="1" si="125"/>
        <v>0.24633925744390592</v>
      </c>
      <c r="FG65" s="299">
        <f t="shared" ca="1" si="126"/>
        <v>3.8878455142643666</v>
      </c>
      <c r="FH65" s="302">
        <f t="shared" ca="1" si="127"/>
        <v>0.3182203691926091</v>
      </c>
      <c r="FI65" s="248">
        <f t="shared" ca="1" si="128"/>
        <v>169.56842307943398</v>
      </c>
      <c r="FJ65" s="363">
        <f t="shared" ca="1" si="129"/>
        <v>0.7400899550175809</v>
      </c>
      <c r="FK65" s="378">
        <f t="shared" ca="1" si="130"/>
        <v>0.21910311447839867</v>
      </c>
      <c r="FL65" s="508">
        <f t="shared" ca="1" si="131"/>
        <v>-1.6088099163432732</v>
      </c>
      <c r="FM65" s="508">
        <f t="shared" ca="1" si="132"/>
        <v>-1.2431241360877994</v>
      </c>
      <c r="FN65" s="508">
        <f t="shared" ca="1" si="133"/>
        <v>-7.4610537631479259</v>
      </c>
      <c r="FO65" s="508">
        <f t="shared" ca="1" si="134"/>
        <v>-0.88562090199615251</v>
      </c>
      <c r="FP65" s="353">
        <f t="shared" ca="1" si="135"/>
        <v>432.73367848577766</v>
      </c>
      <c r="FQ65" s="356">
        <f t="shared" ca="1" si="136"/>
        <v>29.56826093451814</v>
      </c>
      <c r="FR65" s="380">
        <f t="shared" ca="1" si="137"/>
        <v>21.78</v>
      </c>
      <c r="FS65" s="299">
        <f t="shared" ca="1" si="138"/>
        <v>21.78</v>
      </c>
      <c r="FT65" s="299">
        <f t="shared" ca="1" si="139"/>
        <v>21.78</v>
      </c>
      <c r="FU65" s="299">
        <f t="shared" ca="1" si="140"/>
        <v>21.78</v>
      </c>
      <c r="FV65" s="299">
        <f t="shared" ca="1" si="141"/>
        <v>21.78</v>
      </c>
      <c r="FW65" s="850">
        <f t="shared" ca="1" si="142"/>
        <v>0.17499999999999999</v>
      </c>
      <c r="FX65" s="851">
        <f t="shared" ca="1" si="143"/>
        <v>0.5</v>
      </c>
      <c r="FY65" s="851">
        <f t="shared" ca="1" si="144"/>
        <v>0</v>
      </c>
      <c r="FZ65" s="201">
        <f t="shared" ca="1" si="145"/>
        <v>0</v>
      </c>
      <c r="GA65" s="201">
        <f t="shared" ca="1" si="146"/>
        <v>0</v>
      </c>
      <c r="GB65" s="201">
        <f t="shared" ca="1" si="147"/>
        <v>0</v>
      </c>
      <c r="GC65" s="201">
        <f t="shared" ca="1" si="148"/>
        <v>0</v>
      </c>
      <c r="GD65" s="850">
        <f t="shared" ca="1" si="149"/>
        <v>0.31998972187500002</v>
      </c>
      <c r="GE65" s="866">
        <f t="shared" ca="1" si="150"/>
        <v>0.30498972187500001</v>
      </c>
      <c r="GF65" s="866">
        <f t="shared" ca="1" si="151"/>
        <v>0.30748972187500001</v>
      </c>
      <c r="GG65" s="866">
        <f t="shared" ca="1" si="152"/>
        <v>8.3013134399999994E-2</v>
      </c>
      <c r="GH65" s="866">
        <f t="shared" ca="1" si="153"/>
        <v>0.2613392574439059</v>
      </c>
      <c r="GI65" s="302">
        <f t="shared" ca="1" si="154"/>
        <v>12.379578532327683</v>
      </c>
      <c r="GJ65" s="299">
        <f t="shared" ca="1" si="155"/>
        <v>4.7434176886455734</v>
      </c>
      <c r="GK65" s="299">
        <f t="shared" ca="1" si="156"/>
        <v>5.8786674791707574</v>
      </c>
      <c r="GL65" s="299">
        <f t="shared" ca="1" si="157"/>
        <v>1.6609034804238998</v>
      </c>
      <c r="GM65" s="299">
        <f t="shared" ca="1" si="158"/>
        <v>7.0650481197717374</v>
      </c>
      <c r="GN65" s="302">
        <f t="shared" ca="1" si="159"/>
        <v>0.83380350578725748</v>
      </c>
      <c r="GO65" s="299">
        <f t="shared" ca="1" si="160"/>
        <v>0.61334327741913397</v>
      </c>
      <c r="GP65" s="299">
        <f t="shared" ca="1" si="161"/>
        <v>0.66608542928588488</v>
      </c>
      <c r="GQ65" s="299">
        <f t="shared" ca="1" si="162"/>
        <v>0.43718145979164796</v>
      </c>
      <c r="GR65" s="299">
        <f t="shared" ca="1" si="163"/>
        <v>0.73910058007358848</v>
      </c>
      <c r="GS65" s="302">
        <f t="shared" ca="1" si="164"/>
        <v>-0.65857772686425897</v>
      </c>
      <c r="GT65" s="299">
        <f t="shared" ca="1" si="165"/>
        <v>-0.40224378749122575</v>
      </c>
      <c r="GU65" s="299">
        <f t="shared" ca="1" si="166"/>
        <v>-0.45596296860064112</v>
      </c>
      <c r="GV65" s="299">
        <f t="shared" ca="1" si="167"/>
        <v>-0.32115963822973015</v>
      </c>
      <c r="GW65" s="299">
        <f t="shared" ca="1" si="168"/>
        <v>-0.56930670070021483</v>
      </c>
      <c r="GX65" s="303">
        <f t="shared" ca="1" si="169"/>
        <v>3225.0246051327058</v>
      </c>
      <c r="GY65" s="303">
        <f t="shared" ca="1" si="170"/>
        <v>224.67557016443521</v>
      </c>
      <c r="GZ65" s="303">
        <f t="shared" ca="1" si="171"/>
        <v>278.4475360142593</v>
      </c>
      <c r="HA65" s="303">
        <f t="shared" ca="1" si="172"/>
        <v>295.01231570771222</v>
      </c>
      <c r="HB65" s="303">
        <f t="shared" ca="1" si="173"/>
        <v>3764.7152245144152</v>
      </c>
      <c r="HC65" s="303">
        <f t="shared" ca="1" si="174"/>
        <v>2675.4548531946243</v>
      </c>
      <c r="HD65" s="303">
        <f t="shared" ca="1" si="175"/>
        <v>11.249389541177576</v>
      </c>
      <c r="HE65" s="303">
        <f t="shared" ca="1" si="176"/>
        <v>92.600020183291761</v>
      </c>
      <c r="HF65" s="303">
        <f t="shared" ca="1" si="177"/>
        <v>0</v>
      </c>
      <c r="HG65" s="852">
        <f t="shared" ca="1" si="178"/>
        <v>2427.4382833385184</v>
      </c>
    </row>
    <row r="66" spans="1:215" x14ac:dyDescent="0.25">
      <c r="A66" s="244">
        <f t="shared" ca="1" si="179"/>
        <v>38108</v>
      </c>
      <c r="B66" s="13">
        <f t="shared" ca="1" si="3"/>
        <v>2004</v>
      </c>
      <c r="C66" s="619">
        <f t="shared" ca="1" si="180"/>
        <v>5</v>
      </c>
      <c r="D66" s="195">
        <f t="shared" ca="1" si="4"/>
        <v>38138</v>
      </c>
      <c r="E66" s="469">
        <f t="shared" ca="1" si="5"/>
        <v>38108</v>
      </c>
      <c r="F66" s="465">
        <f t="shared" ca="1" si="6"/>
        <v>38138</v>
      </c>
      <c r="G66" s="522">
        <f t="shared" ca="1" si="181"/>
        <v>1</v>
      </c>
      <c r="H66" s="519">
        <f t="shared" ca="1" si="182"/>
        <v>1</v>
      </c>
      <c r="I66" s="724">
        <f t="shared" ca="1" si="7"/>
        <v>7.2711150460336008E-2</v>
      </c>
      <c r="J66" s="198">
        <f t="shared" ca="1" si="8"/>
        <v>0.73550957482072366</v>
      </c>
      <c r="K66" s="200">
        <f t="shared" ca="1" si="190"/>
        <v>32.270000000000003</v>
      </c>
      <c r="L66" s="201">
        <f t="shared" ca="1" si="191"/>
        <v>33.65</v>
      </c>
      <c r="M66" s="206">
        <f t="shared" ca="1" si="192"/>
        <v>35.03</v>
      </c>
      <c r="N66" s="851">
        <f t="shared" ca="1" si="196"/>
        <v>20.797500076293943</v>
      </c>
      <c r="O66" s="201">
        <f t="shared" ca="1" si="197"/>
        <v>21.832500076293943</v>
      </c>
      <c r="P66" s="206">
        <f t="shared" ca="1" si="198"/>
        <v>22.867500076293943</v>
      </c>
      <c r="Q66" s="201">
        <f t="shared" ca="1" si="199"/>
        <v>17.664999771118161</v>
      </c>
      <c r="R66" s="201">
        <f t="shared" ca="1" si="200"/>
        <v>20.964999771118162</v>
      </c>
      <c r="S66" s="201">
        <f t="shared" ca="1" si="201"/>
        <v>24.264999771118163</v>
      </c>
      <c r="T66" s="851">
        <f t="shared" ca="1" si="193"/>
        <v>18.909997711181639</v>
      </c>
      <c r="U66" s="201">
        <f t="shared" ca="1" si="194"/>
        <v>19.59999771118164</v>
      </c>
      <c r="V66" s="206">
        <f t="shared" ca="1" si="195"/>
        <v>20.289997711181641</v>
      </c>
      <c r="W66" s="230">
        <f t="shared" ca="1" si="183"/>
        <v>0.11709599062499999</v>
      </c>
      <c r="X66" s="231">
        <f t="shared" ca="1" si="184"/>
        <v>0.23419198124999999</v>
      </c>
      <c r="Y66" s="232">
        <f t="shared" ca="1" si="185"/>
        <v>0.35128797187499999</v>
      </c>
      <c r="Z66" s="231">
        <f t="shared" ca="1" si="202"/>
        <v>0.11709599062499999</v>
      </c>
      <c r="AA66" s="231">
        <f t="shared" ca="1" si="203"/>
        <v>0.23419198124999999</v>
      </c>
      <c r="AB66" s="232">
        <f t="shared" ca="1" si="204"/>
        <v>0.35128797187499999</v>
      </c>
      <c r="AC66" s="231">
        <f t="shared" ca="1" si="205"/>
        <v>0.11709599062499999</v>
      </c>
      <c r="AD66" s="231">
        <f t="shared" ca="1" si="206"/>
        <v>0.23419198124999999</v>
      </c>
      <c r="AE66" s="232">
        <f t="shared" ca="1" si="14"/>
        <v>0.35128797187499999</v>
      </c>
      <c r="AF66" s="231">
        <f t="shared" ca="1" si="186"/>
        <v>3.2282885600000005E-2</v>
      </c>
      <c r="AG66" s="231">
        <f t="shared" ca="1" si="187"/>
        <v>6.4565771200000011E-2</v>
      </c>
      <c r="AH66" s="232">
        <f t="shared" ca="1" si="188"/>
        <v>9.6848656800000016E-2</v>
      </c>
      <c r="AI66" s="233">
        <f t="shared" ca="1" si="15"/>
        <v>0.85000000000000009</v>
      </c>
      <c r="AJ66" s="233">
        <f t="shared" ca="1" si="16"/>
        <v>1.1000000000000001</v>
      </c>
      <c r="AK66" s="234">
        <f t="shared" ca="1" si="17"/>
        <v>1.4000000000000001</v>
      </c>
      <c r="AL66" s="919">
        <f t="shared" ca="1" si="18"/>
        <v>0.85000000000000009</v>
      </c>
      <c r="AM66" s="233">
        <f t="shared" ca="1" si="19"/>
        <v>1.1000000000000001</v>
      </c>
      <c r="AN66" s="234">
        <f t="shared" ca="1" si="20"/>
        <v>1.4000000000000001</v>
      </c>
      <c r="AO66" s="233">
        <f t="shared" ca="1" si="21"/>
        <v>0.85000000000000009</v>
      </c>
      <c r="AP66" s="233">
        <f t="shared" ca="1" si="22"/>
        <v>1.1000000000000001</v>
      </c>
      <c r="AQ66" s="233">
        <f t="shared" ca="1" si="23"/>
        <v>1.4000000000000001</v>
      </c>
      <c r="AR66" s="919">
        <f t="shared" ca="1" si="24"/>
        <v>0.35</v>
      </c>
      <c r="AS66" s="233">
        <f t="shared" ca="1" si="25"/>
        <v>0.5</v>
      </c>
      <c r="AT66" s="235">
        <f t="shared" ca="1" si="26"/>
        <v>0.7</v>
      </c>
      <c r="AU66" s="946">
        <f t="shared" si="27"/>
        <v>0.5</v>
      </c>
      <c r="AV66" s="13">
        <f t="shared" ca="1" si="28"/>
        <v>20</v>
      </c>
      <c r="AW66" s="210">
        <f t="shared" ca="1" si="29"/>
        <v>5</v>
      </c>
      <c r="AX66" s="210">
        <f t="shared" ca="1" si="30"/>
        <v>5</v>
      </c>
      <c r="AY66" s="210">
        <f t="shared" ca="1" si="31"/>
        <v>1</v>
      </c>
      <c r="AZ66" s="13">
        <f t="shared" ca="1" si="32"/>
        <v>31</v>
      </c>
      <c r="BA66" s="357">
        <f ca="1"/>
        <v>320</v>
      </c>
      <c r="BB66" s="925">
        <f ca="1"/>
        <v>80</v>
      </c>
      <c r="BC66" s="925">
        <f ca="1"/>
        <v>96</v>
      </c>
      <c r="BD66" s="928">
        <f ca="1"/>
        <v>248</v>
      </c>
      <c r="BE66" s="200">
        <f ca="1"/>
        <v>0.9999999925494194</v>
      </c>
      <c r="BF66" s="851">
        <f ca="1"/>
        <v>0.9999999925494194</v>
      </c>
      <c r="BG66" s="851">
        <f ca="1"/>
        <v>0.9999999925494194</v>
      </c>
      <c r="BH66" s="933">
        <f ca="1"/>
        <v>1</v>
      </c>
      <c r="BI66" s="357">
        <f ca="1"/>
        <v>320</v>
      </c>
      <c r="BJ66" s="925">
        <f ca="1"/>
        <v>80</v>
      </c>
      <c r="BK66" s="925">
        <f ca="1"/>
        <v>96</v>
      </c>
      <c r="BL66" s="928">
        <f ca="1"/>
        <v>248</v>
      </c>
      <c r="BM66" s="200">
        <f ca="1"/>
        <v>0.9999999925494194</v>
      </c>
      <c r="BN66" s="851">
        <f ca="1"/>
        <v>0.9999999925494194</v>
      </c>
      <c r="BO66" s="851">
        <f ca="1"/>
        <v>0.9999999925494194</v>
      </c>
      <c r="BP66" s="933">
        <f ca="1"/>
        <v>1</v>
      </c>
      <c r="BQ66" s="357">
        <f t="shared" ca="1" si="33"/>
        <v>744</v>
      </c>
      <c r="BR66" s="361">
        <f t="shared" ca="1" si="34"/>
        <v>744</v>
      </c>
      <c r="BS66" s="357">
        <f t="shared" ca="1" si="35"/>
        <v>547.21912366661843</v>
      </c>
      <c r="BT66" s="302">
        <f t="shared" ca="1" si="36"/>
        <v>24.698547465772801</v>
      </c>
      <c r="BU66" s="299">
        <f t="shared" ca="1" si="37"/>
        <v>26.059192618639155</v>
      </c>
      <c r="BV66" s="299">
        <f t="shared" ca="1" si="38"/>
        <v>27.41983777150552</v>
      </c>
      <c r="BW66" s="299">
        <f t="shared" ca="1" si="39"/>
        <v>32.659889647739881</v>
      </c>
      <c r="BX66" s="380">
        <f t="shared" ca="1" si="40"/>
        <v>4.1642710472279258</v>
      </c>
      <c r="BY66" s="363">
        <f t="shared" ca="1" si="41"/>
        <v>235.36306394263158</v>
      </c>
      <c r="BZ66" s="353">
        <f t="shared" ca="1" si="42"/>
        <v>58.840765985657896</v>
      </c>
      <c r="CA66" s="353">
        <f t="shared" ca="1" si="43"/>
        <v>70.608919182789464</v>
      </c>
      <c r="CB66" s="353">
        <f t="shared" ca="1" si="44"/>
        <v>364.81274911107892</v>
      </c>
      <c r="CC66" s="353">
        <f t="shared" ca="1" si="45"/>
        <v>182.40637455553946</v>
      </c>
      <c r="CD66" s="353">
        <f t="shared" ca="1" si="46"/>
        <v>547.21912366661832</v>
      </c>
      <c r="CE66" s="302">
        <f t="shared" ca="1" si="47"/>
        <v>35.029999739006165</v>
      </c>
      <c r="CF66" s="299">
        <f t="shared" ca="1" si="48"/>
        <v>22.867499905917789</v>
      </c>
      <c r="CG66" s="299">
        <f t="shared" ca="1" si="49"/>
        <v>24.264999590329825</v>
      </c>
      <c r="CH66" s="299">
        <f t="shared" ca="1" si="50"/>
        <v>30.984757801667456</v>
      </c>
      <c r="CI66" s="299">
        <f t="shared" ca="1" si="51"/>
        <v>20.289997711181641</v>
      </c>
      <c r="CJ66" s="299">
        <f t="shared" ca="1" si="52"/>
        <v>27.41983777150552</v>
      </c>
      <c r="CK66" s="299">
        <f t="shared" ca="1" si="53"/>
        <v>32.659889647739881</v>
      </c>
      <c r="CL66" s="377">
        <f t="shared" ca="1" si="54"/>
        <v>0.35128797187499999</v>
      </c>
      <c r="CM66" s="305">
        <f t="shared" ca="1" si="55"/>
        <v>0.35128797187499999</v>
      </c>
      <c r="CN66" s="305">
        <f t="shared" ca="1" si="56"/>
        <v>0.35128797187499999</v>
      </c>
      <c r="CO66" s="305">
        <f t="shared" ca="1" si="57"/>
        <v>0.35128797187500005</v>
      </c>
      <c r="CP66" s="305">
        <f t="shared" ca="1" si="58"/>
        <v>9.6848656800000016E-2</v>
      </c>
      <c r="CQ66" s="305">
        <f t="shared" ca="1" si="59"/>
        <v>0.2875254492008219</v>
      </c>
      <c r="CR66" s="775">
        <f t="shared" ca="1" si="60"/>
        <v>0.356287971875</v>
      </c>
      <c r="CS66" s="305">
        <f t="shared" ca="1" si="61"/>
        <v>0.40128797187499998</v>
      </c>
      <c r="CT66" s="305">
        <f t="shared" ca="1" si="62"/>
        <v>0.39128797187499997</v>
      </c>
      <c r="CU66" s="305">
        <f t="shared" ca="1" si="63"/>
        <v>0.15684865680000001</v>
      </c>
      <c r="CV66" s="770">
        <f t="shared" ca="1" si="64"/>
        <v>0.30502544920082192</v>
      </c>
      <c r="CW66" s="302">
        <f t="shared" ca="1" si="65"/>
        <v>10.8325553835348</v>
      </c>
      <c r="CX66" s="299">
        <f t="shared" ca="1" si="66"/>
        <v>4.6944543963795882</v>
      </c>
      <c r="CY66" s="299">
        <f t="shared" ca="1" si="67"/>
        <v>5.2018007105204376</v>
      </c>
      <c r="CZ66" s="299">
        <f t="shared" ca="1" si="68"/>
        <v>0.24631301030040831</v>
      </c>
      <c r="DA66" s="774">
        <f t="shared" ca="1" si="69"/>
        <v>4.9986291321754628</v>
      </c>
      <c r="DB66" s="303">
        <f t="shared" ca="1" si="70"/>
        <v>2735.3454532434857</v>
      </c>
      <c r="DC66" s="248">
        <f t="shared" ca="1" si="71"/>
        <v>280.21695192435021</v>
      </c>
      <c r="DD66" s="778">
        <f t="shared" ca="1" si="72"/>
        <v>0</v>
      </c>
      <c r="DE66" s="363">
        <f t="shared" ca="1" si="73"/>
        <v>0.73550957482072366</v>
      </c>
      <c r="DF66" s="378">
        <f t="shared" ca="1" si="74"/>
        <v>-0.26717370162480031</v>
      </c>
      <c r="DG66" s="508">
        <f t="shared" ca="1" si="75"/>
        <v>-0.84470617170704365</v>
      </c>
      <c r="DH66" s="508">
        <f t="shared" ca="1" si="76"/>
        <v>-0.7713380363495721</v>
      </c>
      <c r="DI66" s="508">
        <f t="shared" ca="1" si="77"/>
        <v>-1.6472548440464008</v>
      </c>
      <c r="DJ66" s="508">
        <f t="shared" ca="1" si="78"/>
        <v>-0.59218089798474616</v>
      </c>
      <c r="DK66" s="353">
        <f t="shared" ca="1" si="79"/>
        <v>-151.50564743115893</v>
      </c>
      <c r="DL66" s="781">
        <f t="shared" ca="1" si="80"/>
        <v>9.0116107695755794</v>
      </c>
      <c r="DM66" s="303">
        <f t="shared" ca="1" si="81"/>
        <v>9976.9510232017274</v>
      </c>
      <c r="DN66" s="508">
        <f t="shared" ca="1" si="82"/>
        <v>1.0545593928962109</v>
      </c>
      <c r="DO66" s="508">
        <f t="shared" ca="1" si="83"/>
        <v>0.84554273419794024</v>
      </c>
      <c r="DP66" s="508">
        <f t="shared" ca="1" si="84"/>
        <v>0.87461390333382749</v>
      </c>
      <c r="DQ66" s="508">
        <f t="shared" ca="1" si="85"/>
        <v>0.78693379292701959</v>
      </c>
      <c r="DR66" s="508">
        <f t="shared" ca="1" si="86"/>
        <v>0.93451821948113112</v>
      </c>
      <c r="DS66" s="353">
        <f t="shared" ca="1" si="87"/>
        <v>7893.4330263432439</v>
      </c>
      <c r="DT66" s="353">
        <f t="shared" ca="1" si="88"/>
        <v>-8158.788344213498</v>
      </c>
      <c r="DU66" s="380">
        <f t="shared" ca="1" si="189"/>
        <v>4.1642710472279258</v>
      </c>
      <c r="DV66" s="303">
        <f t="shared" ca="1" si="89"/>
        <v>235.36306394263158</v>
      </c>
      <c r="DW66" s="303">
        <f t="shared" ca="1" si="90"/>
        <v>58.840765985657896</v>
      </c>
      <c r="DX66" s="303">
        <f t="shared" ca="1" si="91"/>
        <v>70.608919182789464</v>
      </c>
      <c r="DY66" s="303">
        <f t="shared" ca="1" si="92"/>
        <v>364.81274911107892</v>
      </c>
      <c r="DZ66" s="303">
        <f t="shared" ca="1" si="93"/>
        <v>182.40637455553946</v>
      </c>
      <c r="EA66" s="303">
        <f t="shared" ca="1" si="94"/>
        <v>547.21912366661832</v>
      </c>
      <c r="EB66" s="302">
        <f t="shared" ca="1" si="95"/>
        <v>35.029999739006165</v>
      </c>
      <c r="EC66" s="299">
        <f t="shared" ca="1" si="96"/>
        <v>22.867499905917789</v>
      </c>
      <c r="ED66" s="299">
        <f t="shared" ca="1" si="97"/>
        <v>24.264999590329825</v>
      </c>
      <c r="EE66" s="299">
        <f t="shared" ca="1" si="98"/>
        <v>30.984757801667456</v>
      </c>
      <c r="EF66" s="299">
        <f t="shared" ca="1" si="99"/>
        <v>20.289997711181641</v>
      </c>
      <c r="EG66" s="299">
        <f t="shared" ca="1" si="100"/>
        <v>27.41983777150552</v>
      </c>
      <c r="EH66" s="302">
        <f t="shared" ca="1" si="101"/>
        <v>30</v>
      </c>
      <c r="EI66" s="304">
        <f t="shared" ca="1" si="102"/>
        <v>0.11709599062499999</v>
      </c>
      <c r="EJ66" s="305">
        <f t="shared" ca="1" si="103"/>
        <v>0.11709599062499999</v>
      </c>
      <c r="EK66" s="305">
        <f t="shared" ca="1" si="104"/>
        <v>0.11709599062499999</v>
      </c>
      <c r="EL66" s="305">
        <f t="shared" ca="1" si="105"/>
        <v>0.11709599062499991</v>
      </c>
      <c r="EM66" s="305">
        <f t="shared" ca="1" si="106"/>
        <v>3.2282885600000005E-2</v>
      </c>
      <c r="EN66" s="305">
        <f t="shared" ca="1" si="107"/>
        <v>9.2844970966801332E-2</v>
      </c>
      <c r="EO66" s="305">
        <f t="shared" ca="1" si="108"/>
        <v>0.11709599062499999</v>
      </c>
      <c r="EP66" s="305">
        <f t="shared" ca="1" si="109"/>
        <v>0.11709599062499999</v>
      </c>
      <c r="EQ66" s="305">
        <f t="shared" ca="1" si="110"/>
        <v>0.11709599062499999</v>
      </c>
      <c r="ER66" s="305">
        <f t="shared" ca="1" si="111"/>
        <v>3.2282885600000005E-2</v>
      </c>
      <c r="ES66" s="305">
        <f t="shared" ca="1" si="112"/>
        <v>9.2844970966801332E-2</v>
      </c>
      <c r="ET66" s="299">
        <f t="shared" ca="1" si="113"/>
        <v>3.6955850859550203</v>
      </c>
      <c r="EU66" s="302">
        <f t="shared" ca="1" si="114"/>
        <v>30</v>
      </c>
      <c r="EV66" s="304">
        <f t="shared" ca="1" si="115"/>
        <v>0.35128797187499999</v>
      </c>
      <c r="EW66" s="305">
        <f t="shared" ca="1" si="116"/>
        <v>0.35128797187499999</v>
      </c>
      <c r="EX66" s="305">
        <f t="shared" ca="1" si="117"/>
        <v>0.35128797187499999</v>
      </c>
      <c r="EY66" s="305">
        <f t="shared" ca="1" si="118"/>
        <v>0.35128797187500005</v>
      </c>
      <c r="EZ66" s="305">
        <f t="shared" ca="1" si="119"/>
        <v>9.6848656800000016E-2</v>
      </c>
      <c r="FA66" s="305">
        <f t="shared" ca="1" si="120"/>
        <v>0.2875254492008219</v>
      </c>
      <c r="FB66" s="305">
        <f t="shared" ca="1" si="121"/>
        <v>0.35128797187499999</v>
      </c>
      <c r="FC66" s="305">
        <f t="shared" ca="1" si="122"/>
        <v>0.35128797187499999</v>
      </c>
      <c r="FD66" s="305">
        <f t="shared" ca="1" si="123"/>
        <v>0.35128797187499999</v>
      </c>
      <c r="FE66" s="305">
        <f t="shared" ca="1" si="124"/>
        <v>9.6848656800000016E-2</v>
      </c>
      <c r="FF66" s="305">
        <f t="shared" ca="1" si="125"/>
        <v>0.2875254492008219</v>
      </c>
      <c r="FG66" s="299">
        <f t="shared" ca="1" si="126"/>
        <v>5.4104406278530153</v>
      </c>
      <c r="FH66" s="302">
        <f t="shared" ca="1" si="127"/>
        <v>-1.7148555418979949</v>
      </c>
      <c r="FI66" s="248">
        <f t="shared" ca="1" si="128"/>
        <v>-938.40174685226464</v>
      </c>
      <c r="FJ66" s="363">
        <f t="shared" ca="1" si="129"/>
        <v>0.73550957482072366</v>
      </c>
      <c r="FK66" s="378">
        <f t="shared" ca="1" si="130"/>
        <v>0.52921950737503021</v>
      </c>
      <c r="FL66" s="508">
        <f t="shared" ca="1" si="131"/>
        <v>-1.2556046861510324</v>
      </c>
      <c r="FM66" s="508">
        <f t="shared" ca="1" si="132"/>
        <v>-1.0073616689151574</v>
      </c>
      <c r="FN66" s="508">
        <f t="shared" ca="1" si="133"/>
        <v>-5.9691856190567547</v>
      </c>
      <c r="FO66" s="508">
        <f t="shared" ca="1" si="134"/>
        <v>-0.56938907896812863</v>
      </c>
      <c r="FP66" s="353">
        <f t="shared" ca="1" si="135"/>
        <v>391.51009849865852</v>
      </c>
      <c r="FQ66" s="356">
        <f t="shared" ca="1" si="136"/>
        <v>32.660467271242759</v>
      </c>
      <c r="FR66" s="380">
        <f t="shared" ca="1" si="137"/>
        <v>21.572000000000003</v>
      </c>
      <c r="FS66" s="299">
        <f t="shared" ca="1" si="138"/>
        <v>21.572000000000003</v>
      </c>
      <c r="FT66" s="299">
        <f t="shared" ca="1" si="139"/>
        <v>21.572000000000003</v>
      </c>
      <c r="FU66" s="299">
        <f t="shared" ca="1" si="140"/>
        <v>21.572000000000003</v>
      </c>
      <c r="FV66" s="299">
        <f t="shared" ca="1" si="141"/>
        <v>21.572000000000006</v>
      </c>
      <c r="FW66" s="850">
        <f t="shared" ca="1" si="142"/>
        <v>0.17300000000000001</v>
      </c>
      <c r="FX66" s="851">
        <f t="shared" ca="1" si="143"/>
        <v>0.5</v>
      </c>
      <c r="FY66" s="851">
        <f t="shared" ca="1" si="144"/>
        <v>0</v>
      </c>
      <c r="FZ66" s="201">
        <f t="shared" ca="1" si="145"/>
        <v>0</v>
      </c>
      <c r="GA66" s="201">
        <f t="shared" ca="1" si="146"/>
        <v>0</v>
      </c>
      <c r="GB66" s="201">
        <f t="shared" ca="1" si="147"/>
        <v>0</v>
      </c>
      <c r="GC66" s="201">
        <f t="shared" ca="1" si="148"/>
        <v>0</v>
      </c>
      <c r="GD66" s="850">
        <f t="shared" ca="1" si="149"/>
        <v>0.36628797187500001</v>
      </c>
      <c r="GE66" s="866">
        <f t="shared" ca="1" si="150"/>
        <v>0.35128797187499999</v>
      </c>
      <c r="GF66" s="866">
        <f t="shared" ca="1" si="151"/>
        <v>0.361287971875</v>
      </c>
      <c r="GG66" s="866">
        <f t="shared" ca="1" si="152"/>
        <v>9.6848656800000016E-2</v>
      </c>
      <c r="GH66" s="866">
        <f t="shared" ca="1" si="153"/>
        <v>0.30252544920082192</v>
      </c>
      <c r="GI66" s="302">
        <f t="shared" ca="1" si="154"/>
        <v>15.729452228480529</v>
      </c>
      <c r="GJ66" s="299">
        <f t="shared" ca="1" si="155"/>
        <v>6.0871158860537662</v>
      </c>
      <c r="GK66" s="299">
        <f t="shared" ca="1" si="156"/>
        <v>7.1820337083088974</v>
      </c>
      <c r="GL66" s="299">
        <f t="shared" ca="1" si="157"/>
        <v>1.9584317602998462</v>
      </c>
      <c r="GM66" s="299">
        <f t="shared" ca="1" si="158"/>
        <v>8.5987518112149726</v>
      </c>
      <c r="GN66" s="302">
        <f t="shared" ca="1" si="159"/>
        <v>0.8582268466317533</v>
      </c>
      <c r="GO66" s="299">
        <f t="shared" ca="1" si="160"/>
        <v>0.65702533918207651</v>
      </c>
      <c r="GP66" s="299">
        <f t="shared" ca="1" si="161"/>
        <v>0.69270440484472751</v>
      </c>
      <c r="GQ66" s="299">
        <f t="shared" ca="1" si="162"/>
        <v>0.48138131652783461</v>
      </c>
      <c r="GR66" s="299">
        <f t="shared" ca="1" si="163"/>
        <v>0.76280687496285926</v>
      </c>
      <c r="GS66" s="302">
        <f t="shared" ca="1" si="164"/>
        <v>-0.66448356301412781</v>
      </c>
      <c r="GT66" s="299">
        <f t="shared" ca="1" si="165"/>
        <v>-0.41430612266295241</v>
      </c>
      <c r="GU66" s="299">
        <f t="shared" ca="1" si="166"/>
        <v>-0.44624689023807351</v>
      </c>
      <c r="GV66" s="299">
        <f t="shared" ca="1" si="167"/>
        <v>-0.36198745284633416</v>
      </c>
      <c r="GW66" s="299">
        <f t="shared" ca="1" si="168"/>
        <v>-0.57098519121228952</v>
      </c>
      <c r="GX66" s="303">
        <f t="shared" ca="1" si="169"/>
        <v>3702.1320706344318</v>
      </c>
      <c r="GY66" s="303">
        <f t="shared" ca="1" si="170"/>
        <v>358.17056137887027</v>
      </c>
      <c r="GZ66" s="303">
        <f t="shared" ca="1" si="171"/>
        <v>507.11563767805268</v>
      </c>
      <c r="HA66" s="303">
        <f t="shared" ca="1" si="172"/>
        <v>357.23043721071821</v>
      </c>
      <c r="HB66" s="303">
        <f t="shared" ca="1" si="173"/>
        <v>4705.4014307598045</v>
      </c>
      <c r="HC66" s="303">
        <f t="shared" ca="1" si="174"/>
        <v>3167.5160531116267</v>
      </c>
      <c r="HD66" s="303">
        <f t="shared" ca="1" si="175"/>
        <v>76.228206798550303</v>
      </c>
      <c r="HE66" s="303">
        <f t="shared" ca="1" si="176"/>
        <v>190.14979043288358</v>
      </c>
      <c r="HF66" s="303">
        <f t="shared" ca="1" si="177"/>
        <v>0</v>
      </c>
      <c r="HG66" s="852">
        <f t="shared" ca="1" si="178"/>
        <v>3200.0486606677973</v>
      </c>
    </row>
    <row r="67" spans="1:215" x14ac:dyDescent="0.25">
      <c r="A67" s="244">
        <f t="shared" ca="1" si="179"/>
        <v>38139</v>
      </c>
      <c r="B67" s="13">
        <f t="shared" ca="1" si="3"/>
        <v>2004</v>
      </c>
      <c r="C67" s="619">
        <f t="shared" ca="1" si="180"/>
        <v>6</v>
      </c>
      <c r="D67" s="195" t="str">
        <f t="shared" ca="1" si="4"/>
        <v/>
      </c>
      <c r="E67" s="469">
        <f t="shared" ca="1" si="5"/>
        <v>38139</v>
      </c>
      <c r="F67" s="465">
        <f t="shared" ca="1" si="6"/>
        <v>38168</v>
      </c>
      <c r="G67" s="522">
        <f t="shared" ca="1" si="181"/>
        <v>1</v>
      </c>
      <c r="H67" s="519">
        <f t="shared" ca="1" si="182"/>
        <v>1</v>
      </c>
      <c r="I67" s="724">
        <f t="shared" ca="1" si="7"/>
        <v>7.2748353129509002E-2</v>
      </c>
      <c r="J67" s="198">
        <f t="shared" ca="1" si="8"/>
        <v>0.73109253639737004</v>
      </c>
      <c r="K67" s="200">
        <f t="shared" ca="1" si="190"/>
        <v>44.75</v>
      </c>
      <c r="L67" s="201">
        <f t="shared" ca="1" si="191"/>
        <v>48.75</v>
      </c>
      <c r="M67" s="206">
        <f t="shared" ca="1" si="192"/>
        <v>52.75</v>
      </c>
      <c r="N67" s="851">
        <f t="shared" ca="1" si="196"/>
        <v>23.25875015258789</v>
      </c>
      <c r="O67" s="201">
        <f t="shared" ca="1" si="197"/>
        <v>26.25875015258789</v>
      </c>
      <c r="P67" s="206">
        <f t="shared" ca="1" si="198"/>
        <v>29.25875015258789</v>
      </c>
      <c r="Q67" s="201">
        <f t="shared" ca="1" si="199"/>
        <v>16.442499542236327</v>
      </c>
      <c r="R67" s="201">
        <f t="shared" ca="1" si="200"/>
        <v>19.742499542236327</v>
      </c>
      <c r="S67" s="201">
        <f t="shared" ca="1" si="201"/>
        <v>23.042499542236328</v>
      </c>
      <c r="T67" s="851">
        <f t="shared" ca="1" si="193"/>
        <v>17.554998779296874</v>
      </c>
      <c r="U67" s="201">
        <f t="shared" ca="1" si="194"/>
        <v>19.554998779296874</v>
      </c>
      <c r="V67" s="206">
        <f t="shared" ca="1" si="195"/>
        <v>21.554998779296874</v>
      </c>
      <c r="W67" s="230">
        <f t="shared" ca="1" si="183"/>
        <v>0.14670757968749998</v>
      </c>
      <c r="X67" s="231">
        <f t="shared" ca="1" si="184"/>
        <v>0.29341515937499996</v>
      </c>
      <c r="Y67" s="232">
        <f t="shared" ca="1" si="185"/>
        <v>0.44012273906249993</v>
      </c>
      <c r="Z67" s="231">
        <f t="shared" ca="1" si="202"/>
        <v>0.14670757968749998</v>
      </c>
      <c r="AA67" s="231">
        <f t="shared" ca="1" si="203"/>
        <v>0.29341515937499996</v>
      </c>
      <c r="AB67" s="232">
        <f t="shared" ca="1" si="204"/>
        <v>0.44012273906249993</v>
      </c>
      <c r="AC67" s="231">
        <f t="shared" ca="1" si="205"/>
        <v>0.14670757968749998</v>
      </c>
      <c r="AD67" s="231">
        <f t="shared" ca="1" si="206"/>
        <v>0.29341515937499996</v>
      </c>
      <c r="AE67" s="232">
        <f t="shared" ca="1" si="14"/>
        <v>0.44012273906249993</v>
      </c>
      <c r="AF67" s="231">
        <f t="shared" ca="1" si="186"/>
        <v>4.1506567199999997E-2</v>
      </c>
      <c r="AG67" s="231">
        <f t="shared" ca="1" si="187"/>
        <v>8.3013134399999994E-2</v>
      </c>
      <c r="AH67" s="232">
        <f t="shared" ca="1" si="188"/>
        <v>0.12451970159999999</v>
      </c>
      <c r="AI67" s="233">
        <f t="shared" ca="1" si="15"/>
        <v>1.65</v>
      </c>
      <c r="AJ67" s="233">
        <f t="shared" ca="1" si="16"/>
        <v>2</v>
      </c>
      <c r="AK67" s="234">
        <f t="shared" ca="1" si="17"/>
        <v>2.2999999999999998</v>
      </c>
      <c r="AL67" s="919">
        <f t="shared" ca="1" si="18"/>
        <v>1.65</v>
      </c>
      <c r="AM67" s="233">
        <f t="shared" ca="1" si="19"/>
        <v>2</v>
      </c>
      <c r="AN67" s="234">
        <f t="shared" ca="1" si="20"/>
        <v>2.2999999999999998</v>
      </c>
      <c r="AO67" s="233">
        <f t="shared" ca="1" si="21"/>
        <v>1.65</v>
      </c>
      <c r="AP67" s="233">
        <f t="shared" ca="1" si="22"/>
        <v>2</v>
      </c>
      <c r="AQ67" s="233">
        <f t="shared" ca="1" si="23"/>
        <v>2.2999999999999998</v>
      </c>
      <c r="AR67" s="919">
        <f t="shared" ca="1" si="24"/>
        <v>0.5</v>
      </c>
      <c r="AS67" s="233">
        <f t="shared" ca="1" si="25"/>
        <v>0.65</v>
      </c>
      <c r="AT67" s="235">
        <f t="shared" ca="1" si="26"/>
        <v>0.85000000000000009</v>
      </c>
      <c r="AU67" s="946">
        <f t="shared" si="27"/>
        <v>0.5</v>
      </c>
      <c r="AV67" s="13">
        <f t="shared" ca="1" si="28"/>
        <v>22</v>
      </c>
      <c r="AW67" s="210">
        <f t="shared" ca="1" si="29"/>
        <v>4</v>
      </c>
      <c r="AX67" s="210">
        <f t="shared" ca="1" si="30"/>
        <v>4</v>
      </c>
      <c r="AY67" s="210">
        <f t="shared" ca="1" si="31"/>
        <v>0</v>
      </c>
      <c r="AZ67" s="13">
        <f t="shared" ca="1" si="32"/>
        <v>30</v>
      </c>
      <c r="BA67" s="357">
        <f ca="1"/>
        <v>352</v>
      </c>
      <c r="BB67" s="925">
        <f ca="1"/>
        <v>64</v>
      </c>
      <c r="BC67" s="925">
        <f ca="1"/>
        <v>64</v>
      </c>
      <c r="BD67" s="928">
        <f ca="1"/>
        <v>240</v>
      </c>
      <c r="BE67" s="200">
        <f ca="1"/>
        <v>1.0000000037252903</v>
      </c>
      <c r="BF67" s="851">
        <f ca="1"/>
        <v>1.0000000037252903</v>
      </c>
      <c r="BG67" s="851">
        <f ca="1"/>
        <v>1.0000000037252903</v>
      </c>
      <c r="BH67" s="933">
        <f ca="1"/>
        <v>1</v>
      </c>
      <c r="BI67" s="357">
        <f ca="1"/>
        <v>352</v>
      </c>
      <c r="BJ67" s="925">
        <f ca="1"/>
        <v>64</v>
      </c>
      <c r="BK67" s="925">
        <f ca="1"/>
        <v>64</v>
      </c>
      <c r="BL67" s="928">
        <f ca="1"/>
        <v>240</v>
      </c>
      <c r="BM67" s="200">
        <f ca="1"/>
        <v>1.0000000037252903</v>
      </c>
      <c r="BN67" s="851">
        <f ca="1"/>
        <v>1.0000000037252903</v>
      </c>
      <c r="BO67" s="851">
        <f ca="1"/>
        <v>1.0000000037252903</v>
      </c>
      <c r="BP67" s="933">
        <f ca="1"/>
        <v>1</v>
      </c>
      <c r="BQ67" s="357">
        <f t="shared" ca="1" si="33"/>
        <v>720</v>
      </c>
      <c r="BR67" s="361">
        <f t="shared" ca="1" si="34"/>
        <v>720</v>
      </c>
      <c r="BS67" s="357">
        <f t="shared" ca="1" si="35"/>
        <v>526.38662620610648</v>
      </c>
      <c r="BT67" s="302">
        <f t="shared" ca="1" si="36"/>
        <v>31.258444105064292</v>
      </c>
      <c r="BU67" s="299">
        <f t="shared" ca="1" si="37"/>
        <v>34.440666336657692</v>
      </c>
      <c r="BV67" s="299">
        <f t="shared" ca="1" si="38"/>
        <v>37.622888568251085</v>
      </c>
      <c r="BW67" s="299">
        <f t="shared" ca="1" si="39"/>
        <v>32.659889647739881</v>
      </c>
      <c r="BX67" s="380">
        <f t="shared" ca="1" si="40"/>
        <v>4.2491444216290208</v>
      </c>
      <c r="BY67" s="363">
        <f t="shared" ca="1" si="41"/>
        <v>257.34457281187423</v>
      </c>
      <c r="BZ67" s="353">
        <f t="shared" ca="1" si="42"/>
        <v>46.789922329431683</v>
      </c>
      <c r="CA67" s="353">
        <f t="shared" ca="1" si="43"/>
        <v>46.789922329431683</v>
      </c>
      <c r="CB67" s="353">
        <f t="shared" ca="1" si="44"/>
        <v>350.92441747073764</v>
      </c>
      <c r="CC67" s="353">
        <f t="shared" ca="1" si="45"/>
        <v>175.46220873536882</v>
      </c>
      <c r="CD67" s="353">
        <f t="shared" ca="1" si="46"/>
        <v>526.38662620610648</v>
      </c>
      <c r="CE67" s="302">
        <f t="shared" ca="1" si="47"/>
        <v>52.750000196509063</v>
      </c>
      <c r="CF67" s="299">
        <f t="shared" ca="1" si="48"/>
        <v>29.258750261585227</v>
      </c>
      <c r="CG67" s="299">
        <f t="shared" ca="1" si="49"/>
        <v>23.042499628076328</v>
      </c>
      <c r="CH67" s="299">
        <f t="shared" ca="1" si="50"/>
        <v>45.65683346272818</v>
      </c>
      <c r="CI67" s="299">
        <f t="shared" ca="1" si="51"/>
        <v>21.554998779296874</v>
      </c>
      <c r="CJ67" s="299">
        <f t="shared" ca="1" si="52"/>
        <v>37.622888568251078</v>
      </c>
      <c r="CK67" s="299">
        <f t="shared" ca="1" si="53"/>
        <v>32.659889647739881</v>
      </c>
      <c r="CL67" s="377">
        <f t="shared" ca="1" si="54"/>
        <v>0.44012273906249993</v>
      </c>
      <c r="CM67" s="305">
        <f t="shared" ca="1" si="55"/>
        <v>0.44012273906249993</v>
      </c>
      <c r="CN67" s="305">
        <f t="shared" ca="1" si="56"/>
        <v>0.44012273906249993</v>
      </c>
      <c r="CO67" s="305">
        <f t="shared" ca="1" si="57"/>
        <v>0.44012273906249993</v>
      </c>
      <c r="CP67" s="305">
        <f t="shared" ca="1" si="58"/>
        <v>0.12451970159999999</v>
      </c>
      <c r="CQ67" s="305">
        <f t="shared" ca="1" si="59"/>
        <v>0.38492283569558633</v>
      </c>
      <c r="CR67" s="775">
        <f t="shared" ca="1" si="60"/>
        <v>0.45512273906249995</v>
      </c>
      <c r="CS67" s="305">
        <f t="shared" ca="1" si="61"/>
        <v>0.45012273906249994</v>
      </c>
      <c r="CT67" s="305">
        <f t="shared" ca="1" si="62"/>
        <v>0.49012273906249992</v>
      </c>
      <c r="CU67" s="305">
        <f t="shared" ca="1" si="63"/>
        <v>0.18451970159999997</v>
      </c>
      <c r="CV67" s="770">
        <f t="shared" ca="1" si="64"/>
        <v>0.39992283569558634</v>
      </c>
      <c r="CW67" s="302">
        <f t="shared" ca="1" si="65"/>
        <v>27.248232384010731</v>
      </c>
      <c r="CX67" s="299">
        <f t="shared" ca="1" si="66"/>
        <v>9.4333439914320323</v>
      </c>
      <c r="CY67" s="299">
        <f t="shared" ca="1" si="67"/>
        <v>6.5330179181720469</v>
      </c>
      <c r="CZ67" s="299">
        <f t="shared" ca="1" si="68"/>
        <v>0.69458800166183288</v>
      </c>
      <c r="DA67" s="774">
        <f t="shared" ca="1" si="69"/>
        <v>13.875299252941785</v>
      </c>
      <c r="DB67" s="303">
        <f t="shared" ca="1" si="70"/>
        <v>7303.7719613561358</v>
      </c>
      <c r="DC67" s="248">
        <f t="shared" ca="1" si="71"/>
        <v>379.16665973214617</v>
      </c>
      <c r="DD67" s="778">
        <f t="shared" ca="1" si="72"/>
        <v>2612.4562576324374</v>
      </c>
      <c r="DE67" s="363">
        <f t="shared" ca="1" si="73"/>
        <v>0.73109253639737004</v>
      </c>
      <c r="DF67" s="378">
        <f t="shared" ca="1" si="74"/>
        <v>4.1932037170060943E-2</v>
      </c>
      <c r="DG67" s="508">
        <f t="shared" ca="1" si="75"/>
        <v>-0.5824483857527788</v>
      </c>
      <c r="DH67" s="508">
        <f t="shared" ca="1" si="76"/>
        <v>-0.85040323078346935</v>
      </c>
      <c r="DI67" s="508">
        <f t="shared" ca="1" si="77"/>
        <v>-1.2826740140223511</v>
      </c>
      <c r="DJ67" s="508">
        <f t="shared" ca="1" si="78"/>
        <v>-0.24058776989479883</v>
      </c>
      <c r="DK67" s="353">
        <f t="shared" ca="1" si="79"/>
        <v>-213.15361210225481</v>
      </c>
      <c r="DL67" s="781">
        <f t="shared" ca="1" si="80"/>
        <v>7.5771243371937</v>
      </c>
      <c r="DM67" s="303">
        <f t="shared" ca="1" si="81"/>
        <v>14225.077236279654</v>
      </c>
      <c r="DN67" s="508">
        <f t="shared" ca="1" si="82"/>
        <v>1.2631672019119264</v>
      </c>
      <c r="DO67" s="508">
        <f t="shared" ca="1" si="83"/>
        <v>0.97721606166310848</v>
      </c>
      <c r="DP67" s="508">
        <f t="shared" ca="1" si="84"/>
        <v>0.86133918778728646</v>
      </c>
      <c r="DQ67" s="508">
        <f t="shared" ca="1" si="85"/>
        <v>0.82896264064003411</v>
      </c>
      <c r="DR67" s="508">
        <f t="shared" ca="1" si="86"/>
        <v>1.0992039048194397</v>
      </c>
      <c r="DS67" s="353">
        <f t="shared" ca="1" si="87"/>
        <v>8901.2293843204097</v>
      </c>
      <c r="DT67" s="353">
        <f t="shared" ca="1" si="88"/>
        <v>-9412.7717779760824</v>
      </c>
      <c r="DU67" s="380">
        <f t="shared" ca="1" si="189"/>
        <v>4.2491444216290208</v>
      </c>
      <c r="DV67" s="303">
        <f t="shared" ca="1" si="89"/>
        <v>257.34457281187423</v>
      </c>
      <c r="DW67" s="303">
        <f t="shared" ca="1" si="90"/>
        <v>46.789922329431683</v>
      </c>
      <c r="DX67" s="303">
        <f t="shared" ca="1" si="91"/>
        <v>46.789922329431683</v>
      </c>
      <c r="DY67" s="303">
        <f t="shared" ca="1" si="92"/>
        <v>350.92441747073764</v>
      </c>
      <c r="DZ67" s="303">
        <f t="shared" ca="1" si="93"/>
        <v>175.46220873536882</v>
      </c>
      <c r="EA67" s="303">
        <f t="shared" ca="1" si="94"/>
        <v>526.38662620610648</v>
      </c>
      <c r="EB67" s="302">
        <f t="shared" ca="1" si="95"/>
        <v>52.750000196509063</v>
      </c>
      <c r="EC67" s="299">
        <f t="shared" ca="1" si="96"/>
        <v>29.258750261585227</v>
      </c>
      <c r="ED67" s="299">
        <f t="shared" ca="1" si="97"/>
        <v>23.042499628076328</v>
      </c>
      <c r="EE67" s="299">
        <f t="shared" ca="1" si="98"/>
        <v>45.65683346272818</v>
      </c>
      <c r="EF67" s="299">
        <f t="shared" ca="1" si="99"/>
        <v>21.554998779296874</v>
      </c>
      <c r="EG67" s="299">
        <f t="shared" ca="1" si="100"/>
        <v>37.622888568251078</v>
      </c>
      <c r="EH67" s="302">
        <f t="shared" ca="1" si="101"/>
        <v>30</v>
      </c>
      <c r="EI67" s="304">
        <f t="shared" ca="1" si="102"/>
        <v>0.14670757968749998</v>
      </c>
      <c r="EJ67" s="305">
        <f t="shared" ca="1" si="103"/>
        <v>0.14670757968749998</v>
      </c>
      <c r="EK67" s="305">
        <f t="shared" ca="1" si="104"/>
        <v>0.14670757968749998</v>
      </c>
      <c r="EL67" s="305">
        <f t="shared" ca="1" si="105"/>
        <v>0.14670757968749989</v>
      </c>
      <c r="EM67" s="305">
        <f t="shared" ca="1" si="106"/>
        <v>4.1506567199999997E-2</v>
      </c>
      <c r="EN67" s="305">
        <f t="shared" ca="1" si="107"/>
        <v>0.12351629066337513</v>
      </c>
      <c r="EO67" s="305">
        <f t="shared" ca="1" si="108"/>
        <v>0.14670757968749998</v>
      </c>
      <c r="EP67" s="305">
        <f t="shared" ca="1" si="109"/>
        <v>0.14670757968749998</v>
      </c>
      <c r="EQ67" s="305">
        <f t="shared" ca="1" si="110"/>
        <v>0.14670757968749998</v>
      </c>
      <c r="ER67" s="305">
        <f t="shared" ca="1" si="111"/>
        <v>4.1506567199999997E-2</v>
      </c>
      <c r="ES67" s="305">
        <f t="shared" ca="1" si="112"/>
        <v>0.12351629066337513</v>
      </c>
      <c r="ET67" s="299">
        <f t="shared" ca="1" si="113"/>
        <v>0.8717812488062151</v>
      </c>
      <c r="EU67" s="302">
        <f t="shared" ca="1" si="114"/>
        <v>30</v>
      </c>
      <c r="EV67" s="304">
        <f t="shared" ca="1" si="115"/>
        <v>0.44012273906249993</v>
      </c>
      <c r="EW67" s="305">
        <f t="shared" ca="1" si="116"/>
        <v>0.44012273906249993</v>
      </c>
      <c r="EX67" s="305">
        <f t="shared" ca="1" si="117"/>
        <v>0.44012273906249993</v>
      </c>
      <c r="EY67" s="305">
        <f t="shared" ca="1" si="118"/>
        <v>0.44012273906249993</v>
      </c>
      <c r="EZ67" s="305">
        <f t="shared" ca="1" si="119"/>
        <v>0.12451970159999999</v>
      </c>
      <c r="FA67" s="305">
        <f t="shared" ca="1" si="120"/>
        <v>0.38492283569558633</v>
      </c>
      <c r="FB67" s="305">
        <f t="shared" ca="1" si="121"/>
        <v>0.44012273906249993</v>
      </c>
      <c r="FC67" s="305">
        <f t="shared" ca="1" si="122"/>
        <v>0.44012273906249993</v>
      </c>
      <c r="FD67" s="305">
        <f t="shared" ca="1" si="123"/>
        <v>0.44012273906249993</v>
      </c>
      <c r="FE67" s="305">
        <f t="shared" ca="1" si="124"/>
        <v>0.12451970159999999</v>
      </c>
      <c r="FF67" s="305">
        <f t="shared" ca="1" si="125"/>
        <v>0.38492283569558633</v>
      </c>
      <c r="FG67" s="299">
        <f t="shared" ca="1" si="126"/>
        <v>14.637947259222166</v>
      </c>
      <c r="FH67" s="302">
        <f t="shared" ca="1" si="127"/>
        <v>-13.766166010415951</v>
      </c>
      <c r="FI67" s="248">
        <f t="shared" ca="1" si="128"/>
        <v>-7246.3256820160295</v>
      </c>
      <c r="FJ67" s="363">
        <f t="shared" ca="1" si="129"/>
        <v>0.73109253639737004</v>
      </c>
      <c r="FK67" s="378">
        <f t="shared" ca="1" si="130"/>
        <v>1.7149910575482326</v>
      </c>
      <c r="FL67" s="508">
        <f t="shared" ca="1" si="131"/>
        <v>-0.23393718285920403</v>
      </c>
      <c r="FM67" s="508">
        <f t="shared" ca="1" si="132"/>
        <v>-1.0237074621810884</v>
      </c>
      <c r="FN67" s="508">
        <f t="shared" ca="1" si="133"/>
        <v>-3.9066421896070302</v>
      </c>
      <c r="FO67" s="508">
        <f t="shared" ca="1" si="134"/>
        <v>0.76195898060648171</v>
      </c>
      <c r="FP67" s="353">
        <f t="shared" ca="1" si="135"/>
        <v>117.40641635360444</v>
      </c>
      <c r="FQ67" s="356">
        <f t="shared" ca="1" si="136"/>
        <v>20.565874722415366</v>
      </c>
      <c r="FR67" s="380">
        <f t="shared" ca="1" si="137"/>
        <v>21.62</v>
      </c>
      <c r="FS67" s="299">
        <f t="shared" ca="1" si="138"/>
        <v>21.62</v>
      </c>
      <c r="FT67" s="299">
        <f t="shared" ca="1" si="139"/>
        <v>21.62</v>
      </c>
      <c r="FU67" s="299">
        <f t="shared" ca="1" si="140"/>
        <v>21.62</v>
      </c>
      <c r="FV67" s="299">
        <f t="shared" ca="1" si="141"/>
        <v>21.619999999999997</v>
      </c>
      <c r="FW67" s="850">
        <f t="shared" ca="1" si="142"/>
        <v>0.17270000000000002</v>
      </c>
      <c r="FX67" s="851">
        <f t="shared" ca="1" si="143"/>
        <v>0.5</v>
      </c>
      <c r="FY67" s="851">
        <f t="shared" ca="1" si="144"/>
        <v>0</v>
      </c>
      <c r="FZ67" s="201">
        <f t="shared" ca="1" si="145"/>
        <v>0</v>
      </c>
      <c r="GA67" s="201">
        <f t="shared" ca="1" si="146"/>
        <v>0</v>
      </c>
      <c r="GB67" s="201">
        <f t="shared" ca="1" si="147"/>
        <v>0</v>
      </c>
      <c r="GC67" s="201">
        <f t="shared" ca="1" si="148"/>
        <v>0</v>
      </c>
      <c r="GD67" s="850">
        <f t="shared" ca="1" si="149"/>
        <v>0.45512273906249995</v>
      </c>
      <c r="GE67" s="866">
        <f t="shared" ca="1" si="150"/>
        <v>0.45512273906249995</v>
      </c>
      <c r="GF67" s="866">
        <f t="shared" ca="1" si="151"/>
        <v>0.44012273906249993</v>
      </c>
      <c r="GG67" s="866">
        <f t="shared" ca="1" si="152"/>
        <v>0.12451970159999999</v>
      </c>
      <c r="GH67" s="866">
        <f t="shared" ca="1" si="153"/>
        <v>0.39992283569558634</v>
      </c>
      <c r="GI67" s="302">
        <f t="shared" ca="1" si="154"/>
        <v>32.975257188604076</v>
      </c>
      <c r="GJ67" s="299">
        <f t="shared" ca="1" si="155"/>
        <v>12.426822898718667</v>
      </c>
      <c r="GK67" s="299">
        <f t="shared" ca="1" si="156"/>
        <v>7.6058854229874902</v>
      </c>
      <c r="GL67" s="299">
        <f t="shared" ca="1" si="157"/>
        <v>2.6963401229965398</v>
      </c>
      <c r="GM67" s="299">
        <f t="shared" ca="1" si="158"/>
        <v>18.480334843086254</v>
      </c>
      <c r="GN67" s="302">
        <f t="shared" ca="1" si="159"/>
        <v>0.93286637397384387</v>
      </c>
      <c r="GO67" s="299">
        <f t="shared" ca="1" si="160"/>
        <v>0.78200758729711295</v>
      </c>
      <c r="GP67" s="299">
        <f t="shared" ca="1" si="161"/>
        <v>0.68308848439807757</v>
      </c>
      <c r="GQ67" s="299">
        <f t="shared" ca="1" si="162"/>
        <v>0.55947085626193871</v>
      </c>
      <c r="GR67" s="299">
        <f t="shared" ca="1" si="163"/>
        <v>0.87110972500259798</v>
      </c>
      <c r="GS67" s="302">
        <f t="shared" ca="1" si="164"/>
        <v>-0.75085337335487867</v>
      </c>
      <c r="GT67" s="299">
        <f t="shared" ca="1" si="165"/>
        <v>-0.48352206499136907</v>
      </c>
      <c r="GU67" s="299">
        <f t="shared" ca="1" si="166"/>
        <v>-0.37623405692559819</v>
      </c>
      <c r="GV67" s="299">
        <f t="shared" ca="1" si="167"/>
        <v>-0.4330736588653718</v>
      </c>
      <c r="GW67" s="299">
        <f t="shared" ca="1" si="168"/>
        <v>-0.6611164444019213</v>
      </c>
      <c r="GX67" s="303">
        <f t="shared" ca="1" si="169"/>
        <v>8486.0034745630001</v>
      </c>
      <c r="GY67" s="303">
        <f t="shared" ca="1" si="170"/>
        <v>581.4500782326495</v>
      </c>
      <c r="GZ67" s="303">
        <f t="shared" ca="1" si="171"/>
        <v>355.8787881881413</v>
      </c>
      <c r="HA67" s="303">
        <f t="shared" ca="1" si="172"/>
        <v>473.10579348276889</v>
      </c>
      <c r="HB67" s="303">
        <f t="shared" ca="1" si="173"/>
        <v>9727.8011092113302</v>
      </c>
      <c r="HC67" s="303">
        <f t="shared" ca="1" si="174"/>
        <v>8011.1366022041857</v>
      </c>
      <c r="HD67" s="303">
        <f t="shared" ca="1" si="175"/>
        <v>357.41653143349868</v>
      </c>
      <c r="HE67" s="303">
        <f t="shared" ca="1" si="176"/>
        <v>66.558647111336796</v>
      </c>
      <c r="HF67" s="303">
        <f t="shared" ca="1" si="177"/>
        <v>0</v>
      </c>
      <c r="HG67" s="852">
        <f t="shared" ca="1" si="178"/>
        <v>8423.7065229939562</v>
      </c>
    </row>
    <row r="68" spans="1:215" x14ac:dyDescent="0.25">
      <c r="A68" s="244">
        <f t="shared" ca="1" si="179"/>
        <v>38169</v>
      </c>
      <c r="B68" s="13">
        <f t="shared" ca="1" si="3"/>
        <v>2004</v>
      </c>
      <c r="C68" s="619">
        <f t="shared" ca="1" si="180"/>
        <v>7</v>
      </c>
      <c r="D68" s="195">
        <f t="shared" ca="1" si="4"/>
        <v>38173</v>
      </c>
      <c r="E68" s="469">
        <f t="shared" ca="1" si="5"/>
        <v>38169</v>
      </c>
      <c r="F68" s="465">
        <f t="shared" ca="1" si="6"/>
        <v>38199</v>
      </c>
      <c r="G68" s="522">
        <f t="shared" ca="1" si="181"/>
        <v>1</v>
      </c>
      <c r="H68" s="519">
        <f t="shared" ca="1" si="182"/>
        <v>1</v>
      </c>
      <c r="I68" s="724">
        <f t="shared" ca="1" si="7"/>
        <v>7.2784355713015003E-2</v>
      </c>
      <c r="J68" s="198">
        <f t="shared" ca="1" si="8"/>
        <v>0.72655927342574345</v>
      </c>
      <c r="K68" s="200">
        <f t="shared" ca="1" si="190"/>
        <v>65.5</v>
      </c>
      <c r="L68" s="201">
        <f t="shared" ca="1" si="191"/>
        <v>69.5</v>
      </c>
      <c r="M68" s="206">
        <f t="shared" ca="1" si="192"/>
        <v>73.5</v>
      </c>
      <c r="N68" s="851">
        <f t="shared" ca="1" si="196"/>
        <v>36.461249542236331</v>
      </c>
      <c r="O68" s="201">
        <f t="shared" ca="1" si="197"/>
        <v>39.461249542236331</v>
      </c>
      <c r="P68" s="206">
        <f t="shared" ca="1" si="198"/>
        <v>42.461249542236331</v>
      </c>
      <c r="Q68" s="201">
        <f t="shared" ca="1" si="199"/>
        <v>25.647499465942381</v>
      </c>
      <c r="R68" s="201">
        <f t="shared" ca="1" si="200"/>
        <v>28.947499465942382</v>
      </c>
      <c r="S68" s="201">
        <f t="shared" ca="1" si="201"/>
        <v>32.247499465942383</v>
      </c>
      <c r="T68" s="851">
        <f t="shared" ca="1" si="193"/>
        <v>22.049997711181639</v>
      </c>
      <c r="U68" s="201">
        <f t="shared" ca="1" si="194"/>
        <v>24.049997711181639</v>
      </c>
      <c r="V68" s="206">
        <f t="shared" ca="1" si="195"/>
        <v>26.049997711181639</v>
      </c>
      <c r="W68" s="230">
        <f t="shared" ca="1" si="183"/>
        <v>0.17371489218749997</v>
      </c>
      <c r="X68" s="231">
        <f t="shared" ca="1" si="184"/>
        <v>0.34742978437499994</v>
      </c>
      <c r="Y68" s="232">
        <f t="shared" ca="1" si="185"/>
        <v>0.52114467656249985</v>
      </c>
      <c r="Z68" s="231">
        <f t="shared" ca="1" si="202"/>
        <v>0.17371489218749997</v>
      </c>
      <c r="AA68" s="231">
        <f t="shared" ca="1" si="203"/>
        <v>0.34742978437499994</v>
      </c>
      <c r="AB68" s="232">
        <f t="shared" ca="1" si="204"/>
        <v>0.52114467656249985</v>
      </c>
      <c r="AC68" s="231">
        <f t="shared" ca="1" si="205"/>
        <v>0.17371489218749997</v>
      </c>
      <c r="AD68" s="231">
        <f t="shared" ca="1" si="206"/>
        <v>0.34742978437499994</v>
      </c>
      <c r="AE68" s="232">
        <f t="shared" ca="1" si="14"/>
        <v>0.52114467656249985</v>
      </c>
      <c r="AF68" s="231">
        <f t="shared" ca="1" si="186"/>
        <v>5.5342089599999991E-2</v>
      </c>
      <c r="AG68" s="231">
        <f t="shared" ca="1" si="187"/>
        <v>0.11068417919999998</v>
      </c>
      <c r="AH68" s="232">
        <f t="shared" ca="1" si="188"/>
        <v>0.16602626879999999</v>
      </c>
      <c r="AI68" s="233">
        <f t="shared" ca="1" si="15"/>
        <v>2.65</v>
      </c>
      <c r="AJ68" s="233">
        <f t="shared" ca="1" si="16"/>
        <v>3</v>
      </c>
      <c r="AK68" s="234">
        <f t="shared" ca="1" si="17"/>
        <v>3.5</v>
      </c>
      <c r="AL68" s="919">
        <f t="shared" ca="1" si="18"/>
        <v>2.65</v>
      </c>
      <c r="AM68" s="233">
        <f t="shared" ca="1" si="19"/>
        <v>3</v>
      </c>
      <c r="AN68" s="234">
        <f t="shared" ca="1" si="20"/>
        <v>3.5</v>
      </c>
      <c r="AO68" s="233">
        <f t="shared" ca="1" si="21"/>
        <v>2.65</v>
      </c>
      <c r="AP68" s="233">
        <f t="shared" ca="1" si="22"/>
        <v>3</v>
      </c>
      <c r="AQ68" s="233">
        <f t="shared" ca="1" si="23"/>
        <v>3.5</v>
      </c>
      <c r="AR68" s="919">
        <f t="shared" ca="1" si="24"/>
        <v>0.6</v>
      </c>
      <c r="AS68" s="233">
        <f t="shared" ca="1" si="25"/>
        <v>0.75</v>
      </c>
      <c r="AT68" s="235">
        <f t="shared" ca="1" si="26"/>
        <v>0.95</v>
      </c>
      <c r="AU68" s="946">
        <f t="shared" si="27"/>
        <v>0.5</v>
      </c>
      <c r="AV68" s="13">
        <f t="shared" ca="1" si="28"/>
        <v>21</v>
      </c>
      <c r="AW68" s="210">
        <f t="shared" ca="1" si="29"/>
        <v>5</v>
      </c>
      <c r="AX68" s="210">
        <f t="shared" ca="1" si="30"/>
        <v>4</v>
      </c>
      <c r="AY68" s="210">
        <f t="shared" ca="1" si="31"/>
        <v>1</v>
      </c>
      <c r="AZ68" s="13">
        <f t="shared" ca="1" si="32"/>
        <v>31</v>
      </c>
      <c r="BA68" s="357">
        <f ca="1"/>
        <v>336</v>
      </c>
      <c r="BB68" s="925">
        <f ca="1"/>
        <v>80</v>
      </c>
      <c r="BC68" s="925">
        <f ca="1"/>
        <v>80</v>
      </c>
      <c r="BD68" s="928">
        <f ca="1"/>
        <v>248</v>
      </c>
      <c r="BE68" s="200">
        <f ca="1"/>
        <v>1.0000000111758709</v>
      </c>
      <c r="BF68" s="851">
        <f ca="1"/>
        <v>1.0000000111758709</v>
      </c>
      <c r="BG68" s="851">
        <f ca="1"/>
        <v>1.0000000111758709</v>
      </c>
      <c r="BH68" s="933">
        <f ca="1"/>
        <v>1.0000000149011612</v>
      </c>
      <c r="BI68" s="357">
        <f ca="1"/>
        <v>336</v>
      </c>
      <c r="BJ68" s="925">
        <f ca="1"/>
        <v>80</v>
      </c>
      <c r="BK68" s="925">
        <f ca="1"/>
        <v>80</v>
      </c>
      <c r="BL68" s="928">
        <f ca="1"/>
        <v>248</v>
      </c>
      <c r="BM68" s="200">
        <f ca="1"/>
        <v>1.0000000111758709</v>
      </c>
      <c r="BN68" s="851">
        <f ca="1"/>
        <v>1.0000000111758709</v>
      </c>
      <c r="BO68" s="851">
        <f ca="1"/>
        <v>1.0000000111758709</v>
      </c>
      <c r="BP68" s="933">
        <f ca="1"/>
        <v>1.0000000149011612</v>
      </c>
      <c r="BQ68" s="357">
        <f t="shared" ca="1" si="33"/>
        <v>744</v>
      </c>
      <c r="BR68" s="361">
        <f t="shared" ca="1" si="34"/>
        <v>744</v>
      </c>
      <c r="BS68" s="357">
        <f t="shared" ca="1" si="35"/>
        <v>540.56009942875312</v>
      </c>
      <c r="BT68" s="302">
        <f t="shared" ca="1" si="36"/>
        <v>43.609005021506668</v>
      </c>
      <c r="BU68" s="299">
        <f t="shared" ca="1" si="37"/>
        <v>46.7595426936088</v>
      </c>
      <c r="BV68" s="299">
        <f t="shared" ca="1" si="38"/>
        <v>49.910080365710932</v>
      </c>
      <c r="BW68" s="299">
        <f t="shared" ca="1" si="39"/>
        <v>32.659889647739881</v>
      </c>
      <c r="BX68" s="380">
        <f t="shared" ca="1" si="40"/>
        <v>4.3312799452429847</v>
      </c>
      <c r="BY68" s="363">
        <f t="shared" ca="1" si="41"/>
        <v>244.1239158710498</v>
      </c>
      <c r="BZ68" s="353">
        <f t="shared" ca="1" si="42"/>
        <v>58.124741874059474</v>
      </c>
      <c r="CA68" s="353">
        <f t="shared" ca="1" si="43"/>
        <v>58.124741874059474</v>
      </c>
      <c r="CB68" s="353">
        <f t="shared" ca="1" si="44"/>
        <v>360.37339961916871</v>
      </c>
      <c r="CC68" s="353">
        <f t="shared" ca="1" si="45"/>
        <v>180.18669980958438</v>
      </c>
      <c r="CD68" s="353">
        <f t="shared" ca="1" si="46"/>
        <v>540.56009942875312</v>
      </c>
      <c r="CE68" s="302">
        <f t="shared" ca="1" si="47"/>
        <v>73.500000821426511</v>
      </c>
      <c r="CF68" s="299">
        <f t="shared" ca="1" si="48"/>
        <v>42.461250016777775</v>
      </c>
      <c r="CG68" s="299">
        <f t="shared" ca="1" si="49"/>
        <v>32.247499826336274</v>
      </c>
      <c r="CH68" s="299">
        <f t="shared" ca="1" si="50"/>
        <v>61.840121498887981</v>
      </c>
      <c r="CI68" s="299">
        <f t="shared" ca="1" si="51"/>
        <v>26.049998099356856</v>
      </c>
      <c r="CJ68" s="299">
        <f t="shared" ca="1" si="52"/>
        <v>49.91008036571094</v>
      </c>
      <c r="CK68" s="299">
        <f t="shared" ca="1" si="53"/>
        <v>32.659889647739881</v>
      </c>
      <c r="CL68" s="377">
        <f t="shared" ca="1" si="54"/>
        <v>0.52114467656249985</v>
      </c>
      <c r="CM68" s="305">
        <f t="shared" ca="1" si="55"/>
        <v>0.52114467656249985</v>
      </c>
      <c r="CN68" s="305">
        <f t="shared" ca="1" si="56"/>
        <v>0.52114467656249985</v>
      </c>
      <c r="CO68" s="305">
        <f t="shared" ca="1" si="57"/>
        <v>0.52114467656249985</v>
      </c>
      <c r="CP68" s="305">
        <f t="shared" ca="1" si="58"/>
        <v>0.16602626879999999</v>
      </c>
      <c r="CQ68" s="305">
        <f t="shared" ca="1" si="59"/>
        <v>0.46903869199321124</v>
      </c>
      <c r="CR68" s="775">
        <f t="shared" ca="1" si="60"/>
        <v>0.53614467656249987</v>
      </c>
      <c r="CS68" s="305">
        <f t="shared" ca="1" si="61"/>
        <v>0.53614467656249987</v>
      </c>
      <c r="CT68" s="305">
        <f t="shared" ca="1" si="62"/>
        <v>0.52114467656249985</v>
      </c>
      <c r="CU68" s="305">
        <f t="shared" ca="1" si="63"/>
        <v>0.19102626879999998</v>
      </c>
      <c r="CV68" s="770">
        <f t="shared" ca="1" si="64"/>
        <v>0.48403869199321126</v>
      </c>
      <c r="CW68" s="302">
        <f t="shared" ca="1" si="65"/>
        <v>47.670455835920109</v>
      </c>
      <c r="CX68" s="299">
        <f t="shared" ca="1" si="66"/>
        <v>21.183414354484601</v>
      </c>
      <c r="CY68" s="299">
        <f t="shared" ca="1" si="67"/>
        <v>13.178070777834206</v>
      </c>
      <c r="CZ68" s="299">
        <f t="shared" ca="1" si="68"/>
        <v>2.0356860681463607</v>
      </c>
      <c r="DA68" s="774">
        <f t="shared" ca="1" si="69"/>
        <v>25.793946335043643</v>
      </c>
      <c r="DB68" s="303">
        <f t="shared" ca="1" si="70"/>
        <v>13943.178195531114</v>
      </c>
      <c r="DC68" s="248">
        <f t="shared" ca="1" si="71"/>
        <v>444.57176102576221</v>
      </c>
      <c r="DD68" s="778">
        <f t="shared" ca="1" si="72"/>
        <v>9324.7648096713892</v>
      </c>
      <c r="DE68" s="363">
        <f t="shared" ca="1" si="73"/>
        <v>0.72655927342574345</v>
      </c>
      <c r="DF68" s="378">
        <f t="shared" ca="1" si="74"/>
        <v>0.16904503396919113</v>
      </c>
      <c r="DG68" s="508">
        <f t="shared" ca="1" si="75"/>
        <v>-0.32269968790479014</v>
      </c>
      <c r="DH68" s="508">
        <f t="shared" ca="1" si="76"/>
        <v>-0.55401214899486817</v>
      </c>
      <c r="DI68" s="508">
        <f t="shared" ca="1" si="77"/>
        <v>-0.76757592660654106</v>
      </c>
      <c r="DJ68" s="508">
        <f t="shared" ca="1" si="78"/>
        <v>-8.2710565249657669E-2</v>
      </c>
      <c r="DK68" s="353">
        <f t="shared" ca="1" si="79"/>
        <v>-252.46360785683345</v>
      </c>
      <c r="DL68" s="781">
        <f t="shared" ca="1" si="80"/>
        <v>6.5322952149153677</v>
      </c>
      <c r="DM68" s="303">
        <f t="shared" ca="1" si="81"/>
        <v>20545.364722127149</v>
      </c>
      <c r="DN68" s="508">
        <f t="shared" ca="1" si="82"/>
        <v>1.4302715924341358</v>
      </c>
      <c r="DO68" s="508">
        <f t="shared" ca="1" si="83"/>
        <v>1.1665989103054808</v>
      </c>
      <c r="DP68" s="508">
        <f t="shared" ca="1" si="84"/>
        <v>1.0343759123087184</v>
      </c>
      <c r="DQ68" s="508">
        <f t="shared" ca="1" si="85"/>
        <v>0.93181634997661555</v>
      </c>
      <c r="DR68" s="508">
        <f t="shared" ca="1" si="86"/>
        <v>1.244270148321561</v>
      </c>
      <c r="DS68" s="353">
        <f t="shared" ca="1" si="87"/>
        <v>10329.076453892616</v>
      </c>
      <c r="DT68" s="353">
        <f t="shared" ca="1" si="88"/>
        <v>-10754.407856800499</v>
      </c>
      <c r="DU68" s="380">
        <f t="shared" ca="1" si="189"/>
        <v>4.3312799452429847</v>
      </c>
      <c r="DV68" s="303">
        <f t="shared" ca="1" si="89"/>
        <v>244.1239158710498</v>
      </c>
      <c r="DW68" s="303">
        <f t="shared" ca="1" si="90"/>
        <v>58.124741874059474</v>
      </c>
      <c r="DX68" s="303">
        <f t="shared" ca="1" si="91"/>
        <v>58.124741874059474</v>
      </c>
      <c r="DY68" s="303">
        <f t="shared" ca="1" si="92"/>
        <v>360.37339961916871</v>
      </c>
      <c r="DZ68" s="303">
        <f t="shared" ca="1" si="93"/>
        <v>180.18669980958438</v>
      </c>
      <c r="EA68" s="303">
        <f t="shared" ca="1" si="94"/>
        <v>540.56009942875312</v>
      </c>
      <c r="EB68" s="302">
        <f t="shared" ca="1" si="95"/>
        <v>73.500000821426511</v>
      </c>
      <c r="EC68" s="299">
        <f t="shared" ca="1" si="96"/>
        <v>42.461250016777775</v>
      </c>
      <c r="ED68" s="299">
        <f t="shared" ca="1" si="97"/>
        <v>32.247499826336274</v>
      </c>
      <c r="EE68" s="299">
        <f t="shared" ca="1" si="98"/>
        <v>61.840121498887981</v>
      </c>
      <c r="EF68" s="299">
        <f t="shared" ca="1" si="99"/>
        <v>26.049998099356856</v>
      </c>
      <c r="EG68" s="299">
        <f t="shared" ca="1" si="100"/>
        <v>49.91008036571094</v>
      </c>
      <c r="EH68" s="302">
        <f t="shared" ca="1" si="101"/>
        <v>30</v>
      </c>
      <c r="EI68" s="304">
        <f t="shared" ca="1" si="102"/>
        <v>0.17371489218749997</v>
      </c>
      <c r="EJ68" s="305">
        <f t="shared" ca="1" si="103"/>
        <v>0.17371489218749997</v>
      </c>
      <c r="EK68" s="305">
        <f t="shared" ca="1" si="104"/>
        <v>0.17371489218749997</v>
      </c>
      <c r="EL68" s="305">
        <f t="shared" ca="1" si="105"/>
        <v>0.17371489218749991</v>
      </c>
      <c r="EM68" s="305">
        <f t="shared" ca="1" si="106"/>
        <v>5.5342089599999991E-2</v>
      </c>
      <c r="EN68" s="305">
        <f t="shared" ca="1" si="107"/>
        <v>0.14955383469004885</v>
      </c>
      <c r="EO68" s="305">
        <f t="shared" ca="1" si="108"/>
        <v>0.17371489218749997</v>
      </c>
      <c r="EP68" s="305">
        <f t="shared" ca="1" si="109"/>
        <v>0.17371489218749997</v>
      </c>
      <c r="EQ68" s="305">
        <f t="shared" ca="1" si="110"/>
        <v>0.17371489218749997</v>
      </c>
      <c r="ER68" s="305">
        <f t="shared" ca="1" si="111"/>
        <v>5.5342089599999991E-2</v>
      </c>
      <c r="ES68" s="305">
        <f t="shared" ca="1" si="112"/>
        <v>0.14955383469004885</v>
      </c>
      <c r="ET68" s="299">
        <f t="shared" ca="1" si="113"/>
        <v>0.25505551321612652</v>
      </c>
      <c r="EU68" s="302">
        <f t="shared" ca="1" si="114"/>
        <v>30</v>
      </c>
      <c r="EV68" s="304">
        <f t="shared" ca="1" si="115"/>
        <v>0.52114467656249985</v>
      </c>
      <c r="EW68" s="305">
        <f t="shared" ca="1" si="116"/>
        <v>0.52114467656249985</v>
      </c>
      <c r="EX68" s="305">
        <f t="shared" ca="1" si="117"/>
        <v>0.52114467656249985</v>
      </c>
      <c r="EY68" s="305">
        <f t="shared" ca="1" si="118"/>
        <v>0.52114467656249985</v>
      </c>
      <c r="EZ68" s="305">
        <f t="shared" ca="1" si="119"/>
        <v>0.16602626879999999</v>
      </c>
      <c r="FA68" s="305">
        <f t="shared" ca="1" si="120"/>
        <v>0.46903869199321124</v>
      </c>
      <c r="FB68" s="305">
        <f t="shared" ca="1" si="121"/>
        <v>0.52114467656249985</v>
      </c>
      <c r="FC68" s="305">
        <f t="shared" ca="1" si="122"/>
        <v>0.52114467656249985</v>
      </c>
      <c r="FD68" s="305">
        <f t="shared" ca="1" si="123"/>
        <v>0.52114467656249985</v>
      </c>
      <c r="FE68" s="305">
        <f t="shared" ca="1" si="124"/>
        <v>0.16602626879999999</v>
      </c>
      <c r="FF68" s="305">
        <f t="shared" ca="1" si="125"/>
        <v>0.46903869199321124</v>
      </c>
      <c r="FG68" s="299">
        <f t="shared" ca="1" si="126"/>
        <v>26.706704266982804</v>
      </c>
      <c r="FH68" s="302">
        <f t="shared" ca="1" si="127"/>
        <v>-26.451648753766676</v>
      </c>
      <c r="FI68" s="248">
        <f t="shared" ca="1" si="128"/>
        <v>-14298.705880390567</v>
      </c>
      <c r="FJ68" s="363">
        <f t="shared" ca="1" si="129"/>
        <v>0.72655927342574345</v>
      </c>
      <c r="FK68" s="378">
        <f t="shared" ca="1" si="130"/>
        <v>2.2978292584405722</v>
      </c>
      <c r="FL68" s="508">
        <f t="shared" ca="1" si="131"/>
        <v>0.78013373135890918</v>
      </c>
      <c r="FM68" s="508">
        <f t="shared" ca="1" si="132"/>
        <v>1.9060377013090147E-2</v>
      </c>
      <c r="FN68" s="508">
        <f t="shared" ca="1" si="133"/>
        <v>-1.2833569382270029</v>
      </c>
      <c r="FO68" s="508">
        <f t="shared" ca="1" si="134"/>
        <v>1.4798138281071138</v>
      </c>
      <c r="FP68" s="353">
        <f t="shared" ca="1" si="135"/>
        <v>37.548116301804022</v>
      </c>
      <c r="FQ68" s="356">
        <f t="shared" ca="1" si="136"/>
        <v>7.7269417589415443</v>
      </c>
      <c r="FR68" s="380">
        <f t="shared" ca="1" si="137"/>
        <v>21.7</v>
      </c>
      <c r="FS68" s="299">
        <f t="shared" ca="1" si="138"/>
        <v>21.7</v>
      </c>
      <c r="FT68" s="299">
        <f t="shared" ca="1" si="139"/>
        <v>21.7</v>
      </c>
      <c r="FU68" s="299">
        <f t="shared" ca="1" si="140"/>
        <v>21.7</v>
      </c>
      <c r="FV68" s="299">
        <f t="shared" ca="1" si="141"/>
        <v>21.7</v>
      </c>
      <c r="FW68" s="850">
        <f t="shared" ca="1" si="142"/>
        <v>0.1724</v>
      </c>
      <c r="FX68" s="851">
        <f t="shared" ca="1" si="143"/>
        <v>0.5</v>
      </c>
      <c r="FY68" s="851">
        <f t="shared" ca="1" si="144"/>
        <v>0</v>
      </c>
      <c r="FZ68" s="201">
        <f t="shared" ca="1" si="145"/>
        <v>0</v>
      </c>
      <c r="GA68" s="201">
        <f t="shared" ca="1" si="146"/>
        <v>0</v>
      </c>
      <c r="GB68" s="201">
        <f t="shared" ca="1" si="147"/>
        <v>0</v>
      </c>
      <c r="GC68" s="201">
        <f t="shared" ca="1" si="148"/>
        <v>0</v>
      </c>
      <c r="GD68" s="850">
        <f t="shared" ca="1" si="149"/>
        <v>0.53614467656249987</v>
      </c>
      <c r="GE68" s="866">
        <f t="shared" ca="1" si="150"/>
        <v>0.53614467656249987</v>
      </c>
      <c r="GF68" s="866">
        <f t="shared" ca="1" si="151"/>
        <v>0.53614467656249987</v>
      </c>
      <c r="GG68" s="866">
        <f t="shared" ca="1" si="152"/>
        <v>0.1810262688</v>
      </c>
      <c r="GH68" s="866">
        <f t="shared" ca="1" si="153"/>
        <v>0.48403869199321126</v>
      </c>
      <c r="GI68" s="302">
        <f t="shared" ca="1" si="154"/>
        <v>53.687773625035753</v>
      </c>
      <c r="GJ68" s="299">
        <f t="shared" ca="1" si="155"/>
        <v>24.894797819389979</v>
      </c>
      <c r="GK68" s="299">
        <f t="shared" ca="1" si="156"/>
        <v>16.211071578347092</v>
      </c>
      <c r="GL68" s="299">
        <f t="shared" ca="1" si="157"/>
        <v>6.0760354378000647</v>
      </c>
      <c r="GM68" s="299">
        <f t="shared" ca="1" si="158"/>
        <v>30.756586005434759</v>
      </c>
      <c r="GN68" s="302">
        <f t="shared" ca="1" si="159"/>
        <v>0.95816961915362864</v>
      </c>
      <c r="GO68" s="299">
        <f t="shared" ca="1" si="160"/>
        <v>0.87974108654868077</v>
      </c>
      <c r="GP68" s="299">
        <f t="shared" ca="1" si="161"/>
        <v>0.81455584077607446</v>
      </c>
      <c r="GQ68" s="299">
        <f t="shared" ca="1" si="162"/>
        <v>0.75187389396179138</v>
      </c>
      <c r="GR68" s="299">
        <f t="shared" ca="1" si="163"/>
        <v>0.91682163883232648</v>
      </c>
      <c r="GS68" s="302">
        <f t="shared" ca="1" si="164"/>
        <v>-0.77132283381805811</v>
      </c>
      <c r="GT68" s="299">
        <f t="shared" ca="1" si="165"/>
        <v>-0.57419903707582498</v>
      </c>
      <c r="GU68" s="299">
        <f t="shared" ca="1" si="166"/>
        <v>-0.46342518003239019</v>
      </c>
      <c r="GV68" s="299">
        <f t="shared" ca="1" si="167"/>
        <v>-0.62259340933583684</v>
      </c>
      <c r="GW68" s="299">
        <f t="shared" ca="1" si="168"/>
        <v>-0.69133938452478094</v>
      </c>
      <c r="GX68" s="303">
        <f t="shared" ca="1" si="169"/>
        <v>13106.469531742194</v>
      </c>
      <c r="GY68" s="303">
        <f t="shared" ca="1" si="170"/>
        <v>1447.0036972589412</v>
      </c>
      <c r="GZ68" s="303">
        <f t="shared" ca="1" si="171"/>
        <v>942.26435099332662</v>
      </c>
      <c r="HA68" s="303">
        <f t="shared" ca="1" si="172"/>
        <v>1094.820773463277</v>
      </c>
      <c r="HB68" s="303">
        <f t="shared" ca="1" si="173"/>
        <v>16625.783189186808</v>
      </c>
      <c r="HC68" s="303">
        <f t="shared" ca="1" si="174"/>
        <v>12645.619042650236</v>
      </c>
      <c r="HD68" s="303">
        <f t="shared" ca="1" si="175"/>
        <v>1206.7422982080211</v>
      </c>
      <c r="HE68" s="303">
        <f t="shared" ca="1" si="176"/>
        <v>613.07070482248309</v>
      </c>
      <c r="HF68" s="303">
        <f t="shared" ca="1" si="177"/>
        <v>783.81180170107655</v>
      </c>
      <c r="HG68" s="852">
        <f t="shared" ca="1" si="178"/>
        <v>15249.243847381822</v>
      </c>
    </row>
    <row r="69" spans="1:215" x14ac:dyDescent="0.25">
      <c r="A69" s="244">
        <f t="shared" ca="1" si="179"/>
        <v>38200</v>
      </c>
      <c r="B69" s="13">
        <f t="shared" ca="1" si="3"/>
        <v>2004</v>
      </c>
      <c r="C69" s="619">
        <f t="shared" ca="1" si="180"/>
        <v>8</v>
      </c>
      <c r="D69" s="195" t="str">
        <f t="shared" ca="1" si="4"/>
        <v/>
      </c>
      <c r="E69" s="469">
        <f t="shared" ca="1" si="5"/>
        <v>38200</v>
      </c>
      <c r="F69" s="465">
        <f t="shared" ca="1" si="6"/>
        <v>38230</v>
      </c>
      <c r="G69" s="522">
        <f t="shared" ca="1" si="181"/>
        <v>1</v>
      </c>
      <c r="H69" s="519">
        <f t="shared" ca="1" si="182"/>
        <v>1</v>
      </c>
      <c r="I69" s="724">
        <f t="shared" ca="1" si="7"/>
        <v>7.2821558383088E-2</v>
      </c>
      <c r="J69" s="198">
        <f t="shared" ca="1" si="8"/>
        <v>0.72204605721980342</v>
      </c>
      <c r="K69" s="200">
        <f t="shared" ca="1" si="190"/>
        <v>61</v>
      </c>
      <c r="L69" s="201">
        <f t="shared" ca="1" si="191"/>
        <v>65</v>
      </c>
      <c r="M69" s="206">
        <f t="shared" ca="1" si="192"/>
        <v>69</v>
      </c>
      <c r="N69" s="851">
        <f t="shared" ca="1" si="196"/>
        <v>38.722499084472659</v>
      </c>
      <c r="O69" s="201">
        <f t="shared" ca="1" si="197"/>
        <v>41.722499084472659</v>
      </c>
      <c r="P69" s="206">
        <f t="shared" ca="1" si="198"/>
        <v>44.722499084472659</v>
      </c>
      <c r="Q69" s="201">
        <f t="shared" ca="1" si="199"/>
        <v>27.145000839233397</v>
      </c>
      <c r="R69" s="201">
        <f t="shared" ca="1" si="200"/>
        <v>30.445000839233398</v>
      </c>
      <c r="S69" s="201">
        <f t="shared" ca="1" si="201"/>
        <v>33.745000839233398</v>
      </c>
      <c r="T69" s="851">
        <f t="shared" ca="1" si="193"/>
        <v>22.399998092651366</v>
      </c>
      <c r="U69" s="201">
        <f t="shared" ca="1" si="194"/>
        <v>24.399998092651366</v>
      </c>
      <c r="V69" s="206">
        <f t="shared" ca="1" si="195"/>
        <v>26.399998092651366</v>
      </c>
      <c r="W69" s="230">
        <f t="shared" ca="1" si="183"/>
        <v>0.17111061562499996</v>
      </c>
      <c r="X69" s="231">
        <f t="shared" ca="1" si="184"/>
        <v>0.34222123124999992</v>
      </c>
      <c r="Y69" s="232">
        <f t="shared" ca="1" si="185"/>
        <v>0.51333184687499989</v>
      </c>
      <c r="Z69" s="231">
        <f t="shared" ca="1" si="202"/>
        <v>0.17111061562499996</v>
      </c>
      <c r="AA69" s="231">
        <f t="shared" ca="1" si="203"/>
        <v>0.34222123124999992</v>
      </c>
      <c r="AB69" s="232">
        <f t="shared" ca="1" si="204"/>
        <v>0.51333184687499989</v>
      </c>
      <c r="AC69" s="231">
        <f t="shared" ca="1" si="205"/>
        <v>0.17111061562499996</v>
      </c>
      <c r="AD69" s="231">
        <f t="shared" ca="1" si="206"/>
        <v>0.34222123124999992</v>
      </c>
      <c r="AE69" s="232">
        <f t="shared" ca="1" si="14"/>
        <v>0.51333184687499989</v>
      </c>
      <c r="AF69" s="231">
        <f t="shared" ca="1" si="186"/>
        <v>5.5342089599999991E-2</v>
      </c>
      <c r="AG69" s="231">
        <f t="shared" ca="1" si="187"/>
        <v>0.11068417919999998</v>
      </c>
      <c r="AH69" s="232">
        <f t="shared" ca="1" si="188"/>
        <v>0.16602626879999999</v>
      </c>
      <c r="AI69" s="233">
        <f t="shared" ca="1" si="15"/>
        <v>2.65</v>
      </c>
      <c r="AJ69" s="233">
        <f t="shared" ca="1" si="16"/>
        <v>3</v>
      </c>
      <c r="AK69" s="234">
        <f t="shared" ca="1" si="17"/>
        <v>3.5</v>
      </c>
      <c r="AL69" s="919">
        <f t="shared" ca="1" si="18"/>
        <v>2.65</v>
      </c>
      <c r="AM69" s="233">
        <f t="shared" ca="1" si="19"/>
        <v>3</v>
      </c>
      <c r="AN69" s="234">
        <f t="shared" ca="1" si="20"/>
        <v>3.5</v>
      </c>
      <c r="AO69" s="233">
        <f t="shared" ca="1" si="21"/>
        <v>2.65</v>
      </c>
      <c r="AP69" s="233">
        <f t="shared" ca="1" si="22"/>
        <v>3</v>
      </c>
      <c r="AQ69" s="233">
        <f t="shared" ca="1" si="23"/>
        <v>3.5</v>
      </c>
      <c r="AR69" s="919">
        <f t="shared" ca="1" si="24"/>
        <v>0.6</v>
      </c>
      <c r="AS69" s="233">
        <f t="shared" ca="1" si="25"/>
        <v>0.75</v>
      </c>
      <c r="AT69" s="235">
        <f t="shared" ca="1" si="26"/>
        <v>0.95</v>
      </c>
      <c r="AU69" s="946">
        <f t="shared" si="27"/>
        <v>0.5</v>
      </c>
      <c r="AV69" s="13">
        <f t="shared" ca="1" si="28"/>
        <v>22</v>
      </c>
      <c r="AW69" s="210">
        <f t="shared" ca="1" si="29"/>
        <v>4</v>
      </c>
      <c r="AX69" s="210">
        <f t="shared" ca="1" si="30"/>
        <v>5</v>
      </c>
      <c r="AY69" s="210">
        <f t="shared" ca="1" si="31"/>
        <v>0</v>
      </c>
      <c r="AZ69" s="13">
        <f t="shared" ca="1" si="32"/>
        <v>31</v>
      </c>
      <c r="BA69" s="357">
        <f ca="1"/>
        <v>352</v>
      </c>
      <c r="BB69" s="925">
        <f ca="1"/>
        <v>64</v>
      </c>
      <c r="BC69" s="925">
        <f ca="1"/>
        <v>80</v>
      </c>
      <c r="BD69" s="928">
        <f ca="1"/>
        <v>248</v>
      </c>
      <c r="BE69" s="200">
        <f ca="1"/>
        <v>1</v>
      </c>
      <c r="BF69" s="851">
        <f ca="1"/>
        <v>1</v>
      </c>
      <c r="BG69" s="851">
        <f ca="1"/>
        <v>1</v>
      </c>
      <c r="BH69" s="933">
        <f ca="1"/>
        <v>1.0000000074505806</v>
      </c>
      <c r="BI69" s="357">
        <f ca="1"/>
        <v>352</v>
      </c>
      <c r="BJ69" s="925">
        <f ca="1"/>
        <v>64</v>
      </c>
      <c r="BK69" s="925">
        <f ca="1"/>
        <v>80</v>
      </c>
      <c r="BL69" s="928">
        <f ca="1"/>
        <v>248</v>
      </c>
      <c r="BM69" s="200">
        <f ca="1"/>
        <v>1</v>
      </c>
      <c r="BN69" s="851">
        <f ca="1"/>
        <v>1</v>
      </c>
      <c r="BO69" s="851">
        <f ca="1"/>
        <v>1</v>
      </c>
      <c r="BP69" s="933">
        <f ca="1"/>
        <v>1.0000000074505806</v>
      </c>
      <c r="BQ69" s="357">
        <f t="shared" ca="1" si="33"/>
        <v>744</v>
      </c>
      <c r="BR69" s="361">
        <f t="shared" ca="1" si="34"/>
        <v>744</v>
      </c>
      <c r="BS69" s="357">
        <f t="shared" ca="1" si="35"/>
        <v>537.20226657153376</v>
      </c>
      <c r="BT69" s="302">
        <f t="shared" ca="1" si="36"/>
        <v>42.576666097999897</v>
      </c>
      <c r="BU69" s="299">
        <f t="shared" ca="1" si="37"/>
        <v>45.748709113719634</v>
      </c>
      <c r="BV69" s="299">
        <f t="shared" ca="1" si="38"/>
        <v>48.920752129439386</v>
      </c>
      <c r="BW69" s="299">
        <f t="shared" ca="1" si="39"/>
        <v>32.659889647739881</v>
      </c>
      <c r="BX69" s="380">
        <f t="shared" ca="1" si="40"/>
        <v>4.4161533196440796</v>
      </c>
      <c r="BY69" s="363">
        <f t="shared" ca="1" si="41"/>
        <v>254.16021214137081</v>
      </c>
      <c r="BZ69" s="353">
        <f t="shared" ca="1" si="42"/>
        <v>46.210947662067419</v>
      </c>
      <c r="CA69" s="353">
        <f t="shared" ca="1" si="43"/>
        <v>57.763684577584272</v>
      </c>
      <c r="CB69" s="353">
        <f t="shared" ca="1" si="44"/>
        <v>358.1348443810225</v>
      </c>
      <c r="CC69" s="353">
        <f t="shared" ca="1" si="45"/>
        <v>179.06742219051125</v>
      </c>
      <c r="CD69" s="353">
        <f t="shared" ca="1" si="46"/>
        <v>537.20226657153376</v>
      </c>
      <c r="CE69" s="302">
        <f t="shared" ca="1" si="47"/>
        <v>69</v>
      </c>
      <c r="CF69" s="299">
        <f t="shared" ca="1" si="48"/>
        <v>44.722499084472659</v>
      </c>
      <c r="CG69" s="299">
        <f t="shared" ca="1" si="49"/>
        <v>33.745000839233398</v>
      </c>
      <c r="CH69" s="299">
        <f t="shared" ca="1" si="50"/>
        <v>60.181129049485733</v>
      </c>
      <c r="CI69" s="299">
        <f t="shared" ca="1" si="51"/>
        <v>26.39999828934668</v>
      </c>
      <c r="CJ69" s="299">
        <f t="shared" ca="1" si="52"/>
        <v>48.920752129439379</v>
      </c>
      <c r="CK69" s="299">
        <f t="shared" ca="1" si="53"/>
        <v>32.659889647739881</v>
      </c>
      <c r="CL69" s="377">
        <f t="shared" ca="1" si="54"/>
        <v>0.51333184687499989</v>
      </c>
      <c r="CM69" s="305">
        <f t="shared" ca="1" si="55"/>
        <v>0.51333184687499989</v>
      </c>
      <c r="CN69" s="305">
        <f t="shared" ca="1" si="56"/>
        <v>0.51333184687499989</v>
      </c>
      <c r="CO69" s="305">
        <f t="shared" ca="1" si="57"/>
        <v>0.51333184687499989</v>
      </c>
      <c r="CP69" s="305">
        <f t="shared" ca="1" si="58"/>
        <v>0.16602626879999999</v>
      </c>
      <c r="CQ69" s="305">
        <f t="shared" ca="1" si="59"/>
        <v>0.4600319731464485</v>
      </c>
      <c r="CR69" s="775">
        <f t="shared" ca="1" si="60"/>
        <v>0.5283318468749999</v>
      </c>
      <c r="CS69" s="305">
        <f t="shared" ca="1" si="61"/>
        <v>0.5283318468749999</v>
      </c>
      <c r="CT69" s="305">
        <f t="shared" ca="1" si="62"/>
        <v>0.51333184687499989</v>
      </c>
      <c r="CU69" s="305">
        <f t="shared" ca="1" si="63"/>
        <v>0.19102626879999998</v>
      </c>
      <c r="CV69" s="770">
        <f t="shared" ca="1" si="64"/>
        <v>0.47503197314644852</v>
      </c>
      <c r="CW69" s="302">
        <f t="shared" ca="1" si="65"/>
        <v>43.568726869144697</v>
      </c>
      <c r="CX69" s="299">
        <f t="shared" ca="1" si="66"/>
        <v>22.906826997079115</v>
      </c>
      <c r="CY69" s="299">
        <f t="shared" ca="1" si="67"/>
        <v>14.173562613686617</v>
      </c>
      <c r="CZ69" s="299">
        <f t="shared" ca="1" si="68"/>
        <v>2.2010033030898244</v>
      </c>
      <c r="DA69" s="774">
        <f t="shared" ca="1" si="69"/>
        <v>24.864800314198742</v>
      </c>
      <c r="DB69" s="303">
        <f t="shared" ca="1" si="70"/>
        <v>13357.427086636149</v>
      </c>
      <c r="DC69" s="248">
        <f t="shared" ca="1" si="71"/>
        <v>438.87963471052342</v>
      </c>
      <c r="DD69" s="778">
        <f t="shared" ca="1" si="72"/>
        <v>8735.3721815769859</v>
      </c>
      <c r="DE69" s="363">
        <f t="shared" ca="1" si="73"/>
        <v>0.72204605721980342</v>
      </c>
      <c r="DF69" s="378">
        <f t="shared" ca="1" si="74"/>
        <v>0.11853716175723501</v>
      </c>
      <c r="DG69" s="508">
        <f t="shared" ca="1" si="75"/>
        <v>-0.27202507857547698</v>
      </c>
      <c r="DH69" s="508">
        <f t="shared" ca="1" si="76"/>
        <v>-0.50907574381044007</v>
      </c>
      <c r="DI69" s="508">
        <f t="shared" ca="1" si="77"/>
        <v>-0.73077537932619219</v>
      </c>
      <c r="DJ69" s="508">
        <f t="shared" ca="1" si="78"/>
        <v>-9.4374332686655141E-2</v>
      </c>
      <c r="DK69" s="353">
        <f t="shared" ca="1" si="79"/>
        <v>-248.40546570186436</v>
      </c>
      <c r="DL69" s="781">
        <f t="shared" ca="1" si="80"/>
        <v>6.5441679161297293</v>
      </c>
      <c r="DM69" s="303">
        <f t="shared" ca="1" si="81"/>
        <v>20042.213782396138</v>
      </c>
      <c r="DN69" s="508">
        <f t="shared" ca="1" si="82"/>
        <v>1.4065854357291325</v>
      </c>
      <c r="DO69" s="508">
        <f t="shared" ca="1" si="83"/>
        <v>1.2002183292638668</v>
      </c>
      <c r="DP69" s="508">
        <f t="shared" ca="1" si="84"/>
        <v>1.0661820009605398</v>
      </c>
      <c r="DQ69" s="508">
        <f t="shared" ca="1" si="85"/>
        <v>0.94936209781262948</v>
      </c>
      <c r="DR69" s="508">
        <f t="shared" ca="1" si="86"/>
        <v>1.2429190009967774</v>
      </c>
      <c r="DS69" s="353">
        <f t="shared" ca="1" si="87"/>
        <v>10176.627522697199</v>
      </c>
      <c r="DT69" s="353">
        <f t="shared" ca="1" si="88"/>
        <v>-10857.93334894339</v>
      </c>
      <c r="DU69" s="380">
        <f t="shared" ca="1" si="189"/>
        <v>4.4161533196440796</v>
      </c>
      <c r="DV69" s="303">
        <f t="shared" ca="1" si="89"/>
        <v>254.16021214137081</v>
      </c>
      <c r="DW69" s="303">
        <f t="shared" ca="1" si="90"/>
        <v>46.210947662067419</v>
      </c>
      <c r="DX69" s="303">
        <f t="shared" ca="1" si="91"/>
        <v>57.763684577584272</v>
      </c>
      <c r="DY69" s="303">
        <f t="shared" ca="1" si="92"/>
        <v>358.1348443810225</v>
      </c>
      <c r="DZ69" s="303">
        <f t="shared" ca="1" si="93"/>
        <v>179.06742219051125</v>
      </c>
      <c r="EA69" s="303">
        <f t="shared" ca="1" si="94"/>
        <v>537.20226657153376</v>
      </c>
      <c r="EB69" s="302">
        <f t="shared" ca="1" si="95"/>
        <v>69</v>
      </c>
      <c r="EC69" s="299">
        <f t="shared" ca="1" si="96"/>
        <v>44.722499084472659</v>
      </c>
      <c r="ED69" s="299">
        <f t="shared" ca="1" si="97"/>
        <v>33.745000839233398</v>
      </c>
      <c r="EE69" s="299">
        <f t="shared" ca="1" si="98"/>
        <v>60.181129049485733</v>
      </c>
      <c r="EF69" s="299">
        <f t="shared" ca="1" si="99"/>
        <v>26.39999828934668</v>
      </c>
      <c r="EG69" s="299">
        <f t="shared" ca="1" si="100"/>
        <v>48.920752129439379</v>
      </c>
      <c r="EH69" s="302">
        <f t="shared" ca="1" si="101"/>
        <v>30</v>
      </c>
      <c r="EI69" s="304">
        <f t="shared" ca="1" si="102"/>
        <v>0.17111061562499996</v>
      </c>
      <c r="EJ69" s="305">
        <f t="shared" ca="1" si="103"/>
        <v>0.17111061562499996</v>
      </c>
      <c r="EK69" s="305">
        <f t="shared" ca="1" si="104"/>
        <v>0.17111061562499996</v>
      </c>
      <c r="EL69" s="305">
        <f t="shared" ca="1" si="105"/>
        <v>0.17111061562499999</v>
      </c>
      <c r="EM69" s="305">
        <f t="shared" ca="1" si="106"/>
        <v>5.5342089599999991E-2</v>
      </c>
      <c r="EN69" s="305">
        <f t="shared" ca="1" si="107"/>
        <v>0.14656758692448474</v>
      </c>
      <c r="EO69" s="305">
        <f t="shared" ca="1" si="108"/>
        <v>0.17111061562499996</v>
      </c>
      <c r="EP69" s="305">
        <f t="shared" ca="1" si="109"/>
        <v>0.17111061562499996</v>
      </c>
      <c r="EQ69" s="305">
        <f t="shared" ca="1" si="110"/>
        <v>0.17111061562499996</v>
      </c>
      <c r="ER69" s="305">
        <f t="shared" ca="1" si="111"/>
        <v>5.5342089599999991E-2</v>
      </c>
      <c r="ES69" s="305">
        <f t="shared" ca="1" si="112"/>
        <v>0.14656758692448474</v>
      </c>
      <c r="ET69" s="299">
        <f t="shared" ca="1" si="113"/>
        <v>0.27988857982813764</v>
      </c>
      <c r="EU69" s="302">
        <f t="shared" ca="1" si="114"/>
        <v>30</v>
      </c>
      <c r="EV69" s="304">
        <f t="shared" ca="1" si="115"/>
        <v>0.51333184687499989</v>
      </c>
      <c r="EW69" s="305">
        <f t="shared" ca="1" si="116"/>
        <v>0.51333184687499989</v>
      </c>
      <c r="EX69" s="305">
        <f t="shared" ca="1" si="117"/>
        <v>0.51333184687499989</v>
      </c>
      <c r="EY69" s="305">
        <f t="shared" ca="1" si="118"/>
        <v>0.51333184687499989</v>
      </c>
      <c r="EZ69" s="305">
        <f t="shared" ca="1" si="119"/>
        <v>0.16602626879999999</v>
      </c>
      <c r="FA69" s="305">
        <f t="shared" ca="1" si="120"/>
        <v>0.4600319731464485</v>
      </c>
      <c r="FB69" s="305">
        <f t="shared" ca="1" si="121"/>
        <v>0.51333184687499989</v>
      </c>
      <c r="FC69" s="305">
        <f t="shared" ca="1" si="122"/>
        <v>0.51333184687499989</v>
      </c>
      <c r="FD69" s="305">
        <f t="shared" ca="1" si="123"/>
        <v>0.51333184687499989</v>
      </c>
      <c r="FE69" s="305">
        <f t="shared" ca="1" si="124"/>
        <v>0.16602626879999999</v>
      </c>
      <c r="FF69" s="305">
        <f t="shared" ca="1" si="125"/>
        <v>0.4600319731464485</v>
      </c>
      <c r="FG69" s="299">
        <f t="shared" ca="1" si="126"/>
        <v>25.761909790129923</v>
      </c>
      <c r="FH69" s="302">
        <f t="shared" ca="1" si="127"/>
        <v>-25.482021210301784</v>
      </c>
      <c r="FI69" s="248">
        <f t="shared" ca="1" si="128"/>
        <v>-13688.999550998016</v>
      </c>
      <c r="FJ69" s="363">
        <f t="shared" ca="1" si="129"/>
        <v>0.72204605721980342</v>
      </c>
      <c r="FK69" s="378">
        <f t="shared" ca="1" si="130"/>
        <v>2.136528748115833</v>
      </c>
      <c r="FL69" s="508">
        <f t="shared" ca="1" si="131"/>
        <v>0.93060432898545675</v>
      </c>
      <c r="FM69" s="508">
        <f t="shared" ca="1" si="132"/>
        <v>0.14735120245696326</v>
      </c>
      <c r="FN69" s="508">
        <f t="shared" ca="1" si="133"/>
        <v>-1.1573247119564625</v>
      </c>
      <c r="FO69" s="508">
        <f t="shared" ca="1" si="134"/>
        <v>1.4336390443938056</v>
      </c>
      <c r="FP69" s="353">
        <f t="shared" ca="1" si="135"/>
        <v>40.740180276318114</v>
      </c>
      <c r="FQ69" s="356">
        <f t="shared" ca="1" si="136"/>
        <v>8.2996457693676007</v>
      </c>
      <c r="FR69" s="380">
        <f t="shared" ca="1" si="137"/>
        <v>21.756</v>
      </c>
      <c r="FS69" s="299">
        <f t="shared" ca="1" si="138"/>
        <v>21.756</v>
      </c>
      <c r="FT69" s="299">
        <f t="shared" ca="1" si="139"/>
        <v>21.756</v>
      </c>
      <c r="FU69" s="299">
        <f t="shared" ca="1" si="140"/>
        <v>21.756</v>
      </c>
      <c r="FV69" s="299">
        <f t="shared" ca="1" si="141"/>
        <v>21.756000000000004</v>
      </c>
      <c r="FW69" s="850">
        <f t="shared" ca="1" si="142"/>
        <v>0.1721</v>
      </c>
      <c r="FX69" s="851">
        <f t="shared" ca="1" si="143"/>
        <v>0.5</v>
      </c>
      <c r="FY69" s="851">
        <f t="shared" ca="1" si="144"/>
        <v>0</v>
      </c>
      <c r="FZ69" s="201">
        <f t="shared" ca="1" si="145"/>
        <v>0</v>
      </c>
      <c r="GA69" s="201">
        <f t="shared" ca="1" si="146"/>
        <v>0</v>
      </c>
      <c r="GB69" s="201">
        <f t="shared" ca="1" si="147"/>
        <v>0</v>
      </c>
      <c r="GC69" s="201">
        <f t="shared" ca="1" si="148"/>
        <v>0</v>
      </c>
      <c r="GD69" s="850">
        <f t="shared" ca="1" si="149"/>
        <v>0.5283318468749999</v>
      </c>
      <c r="GE69" s="866">
        <f t="shared" ca="1" si="150"/>
        <v>0.5283318468749999</v>
      </c>
      <c r="GF69" s="866">
        <f t="shared" ca="1" si="151"/>
        <v>0.5283318468749999</v>
      </c>
      <c r="GG69" s="866">
        <f t="shared" ca="1" si="152"/>
        <v>0.1810262688</v>
      </c>
      <c r="GH69" s="866">
        <f t="shared" ca="1" si="153"/>
        <v>0.47503197314644852</v>
      </c>
      <c r="GI69" s="302">
        <f t="shared" ca="1" si="154"/>
        <v>49.307081370082301</v>
      </c>
      <c r="GJ69" s="299">
        <f t="shared" ca="1" si="155"/>
        <v>26.81348712237174</v>
      </c>
      <c r="GK69" s="299">
        <f t="shared" ca="1" si="156"/>
        <v>17.362564269681936</v>
      </c>
      <c r="GL69" s="299">
        <f t="shared" ca="1" si="157"/>
        <v>6.3326573153007724</v>
      </c>
      <c r="GM69" s="299">
        <f t="shared" ca="1" si="158"/>
        <v>29.743660192394888</v>
      </c>
      <c r="GN69" s="302">
        <f t="shared" ca="1" si="159"/>
        <v>0.95226434931110304</v>
      </c>
      <c r="GO69" s="299">
        <f t="shared" ca="1" si="160"/>
        <v>0.88973026649527898</v>
      </c>
      <c r="GP69" s="299">
        <f t="shared" ca="1" si="161"/>
        <v>0.82586121252782851</v>
      </c>
      <c r="GQ69" s="299">
        <f t="shared" ca="1" si="162"/>
        <v>0.7601036411608485</v>
      </c>
      <c r="GR69" s="299">
        <f t="shared" ca="1" si="163"/>
        <v>0.91361513907856784</v>
      </c>
      <c r="GS69" s="302">
        <f t="shared" ca="1" si="164"/>
        <v>-0.75377682947625346</v>
      </c>
      <c r="GT69" s="299">
        <f t="shared" ca="1" si="165"/>
        <v>-0.59650138822938292</v>
      </c>
      <c r="GU69" s="299">
        <f t="shared" ca="1" si="166"/>
        <v>-0.48290735887551911</v>
      </c>
      <c r="GV69" s="299">
        <f t="shared" ca="1" si="167"/>
        <v>-0.63127763925085045</v>
      </c>
      <c r="GW69" s="299">
        <f t="shared" ca="1" si="168"/>
        <v>-0.68721679803971614</v>
      </c>
      <c r="GX69" s="303">
        <f t="shared" ca="1" si="169"/>
        <v>12531.89826109195</v>
      </c>
      <c r="GY69" s="303">
        <f t="shared" ca="1" si="170"/>
        <v>1239.0766500494392</v>
      </c>
      <c r="GZ69" s="303">
        <f t="shared" ca="1" si="171"/>
        <v>1002.9256859319422</v>
      </c>
      <c r="HA69" s="303">
        <f t="shared" ca="1" si="172"/>
        <v>1133.972621066793</v>
      </c>
      <c r="HB69" s="303">
        <f t="shared" ca="1" si="173"/>
        <v>15978.361671488035</v>
      </c>
      <c r="HC69" s="303">
        <f t="shared" ca="1" si="174"/>
        <v>12007.545062406922</v>
      </c>
      <c r="HD69" s="303">
        <f t="shared" ca="1" si="175"/>
        <v>1061.3036871734853</v>
      </c>
      <c r="HE69" s="303">
        <f t="shared" ca="1" si="176"/>
        <v>692.52886287787112</v>
      </c>
      <c r="HF69" s="303">
        <f t="shared" ca="1" si="177"/>
        <v>831.58880233045397</v>
      </c>
      <c r="HG69" s="852">
        <f t="shared" ca="1" si="178"/>
        <v>14592.966414788731</v>
      </c>
    </row>
    <row r="70" spans="1:215" x14ac:dyDescent="0.25">
      <c r="A70" s="244">
        <f t="shared" ca="1" si="179"/>
        <v>38231</v>
      </c>
      <c r="B70" s="13">
        <f t="shared" ca="1" si="3"/>
        <v>2004</v>
      </c>
      <c r="C70" s="619">
        <f t="shared" ca="1" si="180"/>
        <v>9</v>
      </c>
      <c r="D70" s="195">
        <f t="shared" ca="1" si="4"/>
        <v>38236</v>
      </c>
      <c r="E70" s="469">
        <f t="shared" ca="1" si="5"/>
        <v>38231</v>
      </c>
      <c r="F70" s="465">
        <f t="shared" ca="1" si="6"/>
        <v>38260</v>
      </c>
      <c r="G70" s="522">
        <f t="shared" ca="1" si="181"/>
        <v>1</v>
      </c>
      <c r="H70" s="519">
        <f t="shared" ca="1" si="182"/>
        <v>1</v>
      </c>
      <c r="I70" s="724">
        <f t="shared" ca="1" si="7"/>
        <v>7.2858761053617993E-2</v>
      </c>
      <c r="J70" s="198">
        <f t="shared" ca="1" si="8"/>
        <v>0.71769710979032808</v>
      </c>
      <c r="K70" s="200">
        <f t="shared" ca="1" si="190"/>
        <v>31.65</v>
      </c>
      <c r="L70" s="201">
        <f t="shared" ca="1" si="191"/>
        <v>32.65</v>
      </c>
      <c r="M70" s="206">
        <f t="shared" ca="1" si="192"/>
        <v>33.65</v>
      </c>
      <c r="N70" s="851">
        <f t="shared" ca="1" si="196"/>
        <v>22.354999160766599</v>
      </c>
      <c r="O70" s="201">
        <f t="shared" ca="1" si="197"/>
        <v>23.104999160766599</v>
      </c>
      <c r="P70" s="206">
        <f t="shared" ca="1" si="198"/>
        <v>23.854999160766599</v>
      </c>
      <c r="Q70" s="201">
        <f t="shared" ca="1" si="199"/>
        <v>20.3</v>
      </c>
      <c r="R70" s="201">
        <f t="shared" ca="1" si="200"/>
        <v>23.6</v>
      </c>
      <c r="S70" s="201">
        <f t="shared" ca="1" si="201"/>
        <v>26.9</v>
      </c>
      <c r="T70" s="851">
        <f t="shared" ca="1" si="193"/>
        <v>19.449998092651366</v>
      </c>
      <c r="U70" s="201">
        <f t="shared" ca="1" si="194"/>
        <v>19.949998092651366</v>
      </c>
      <c r="V70" s="206">
        <f t="shared" ca="1" si="195"/>
        <v>20.449998092651366</v>
      </c>
      <c r="W70" s="230">
        <f t="shared" ca="1" si="183"/>
        <v>0.11323780312499997</v>
      </c>
      <c r="X70" s="231">
        <f t="shared" ca="1" si="184"/>
        <v>0.22647560624999993</v>
      </c>
      <c r="Y70" s="232">
        <f t="shared" ca="1" si="185"/>
        <v>0.33971340937499989</v>
      </c>
      <c r="Z70" s="231">
        <f t="shared" ca="1" si="202"/>
        <v>0.11323780312499997</v>
      </c>
      <c r="AA70" s="231">
        <f t="shared" ca="1" si="203"/>
        <v>0.22647560624999993</v>
      </c>
      <c r="AB70" s="232">
        <f t="shared" ca="1" si="204"/>
        <v>0.33971340937499989</v>
      </c>
      <c r="AC70" s="231">
        <f t="shared" ca="1" si="205"/>
        <v>0.11323780312499997</v>
      </c>
      <c r="AD70" s="231">
        <f t="shared" ca="1" si="206"/>
        <v>0.22647560624999993</v>
      </c>
      <c r="AE70" s="232">
        <f t="shared" ca="1" si="14"/>
        <v>0.33971340937499989</v>
      </c>
      <c r="AF70" s="231">
        <f t="shared" ca="1" si="186"/>
        <v>3.6894726399999994E-2</v>
      </c>
      <c r="AG70" s="231">
        <f t="shared" ca="1" si="187"/>
        <v>7.3789452799999988E-2</v>
      </c>
      <c r="AH70" s="232">
        <f t="shared" ca="1" si="188"/>
        <v>0.11068417919999998</v>
      </c>
      <c r="AI70" s="233">
        <f t="shared" ca="1" si="15"/>
        <v>1.1499999999999999</v>
      </c>
      <c r="AJ70" s="233">
        <f t="shared" ca="1" si="16"/>
        <v>1.5</v>
      </c>
      <c r="AK70" s="234">
        <f t="shared" ca="1" si="17"/>
        <v>1.8</v>
      </c>
      <c r="AL70" s="919">
        <f t="shared" ca="1" si="18"/>
        <v>1.1499999999999999</v>
      </c>
      <c r="AM70" s="233">
        <f t="shared" ca="1" si="19"/>
        <v>1.5</v>
      </c>
      <c r="AN70" s="234">
        <f t="shared" ca="1" si="20"/>
        <v>1.8</v>
      </c>
      <c r="AO70" s="233">
        <f t="shared" ca="1" si="21"/>
        <v>1.1499999999999999</v>
      </c>
      <c r="AP70" s="233">
        <f t="shared" ca="1" si="22"/>
        <v>1.5</v>
      </c>
      <c r="AQ70" s="233">
        <f t="shared" ca="1" si="23"/>
        <v>1.8</v>
      </c>
      <c r="AR70" s="919">
        <f t="shared" ca="1" si="24"/>
        <v>0.25</v>
      </c>
      <c r="AS70" s="233">
        <f t="shared" ca="1" si="25"/>
        <v>0.4</v>
      </c>
      <c r="AT70" s="235">
        <f t="shared" ca="1" si="26"/>
        <v>0.60000000000000009</v>
      </c>
      <c r="AU70" s="946">
        <f t="shared" si="27"/>
        <v>0.5</v>
      </c>
      <c r="AV70" s="13">
        <f t="shared" ca="1" si="28"/>
        <v>21</v>
      </c>
      <c r="AW70" s="210">
        <f t="shared" ca="1" si="29"/>
        <v>4</v>
      </c>
      <c r="AX70" s="210">
        <f t="shared" ca="1" si="30"/>
        <v>4</v>
      </c>
      <c r="AY70" s="210">
        <f t="shared" ca="1" si="31"/>
        <v>1</v>
      </c>
      <c r="AZ70" s="13">
        <f t="shared" ca="1" si="32"/>
        <v>30</v>
      </c>
      <c r="BA70" s="357">
        <f ca="1"/>
        <v>336</v>
      </c>
      <c r="BB70" s="925">
        <f ca="1"/>
        <v>64</v>
      </c>
      <c r="BC70" s="925">
        <f ca="1"/>
        <v>80</v>
      </c>
      <c r="BD70" s="928">
        <f ca="1"/>
        <v>240</v>
      </c>
      <c r="BE70" s="200">
        <f ca="1"/>
        <v>1.0000000074505806</v>
      </c>
      <c r="BF70" s="851">
        <f ca="1"/>
        <v>1.0000000074505806</v>
      </c>
      <c r="BG70" s="851">
        <f ca="1"/>
        <v>1.0000000074505806</v>
      </c>
      <c r="BH70" s="933">
        <f ca="1"/>
        <v>1.0000000149011612</v>
      </c>
      <c r="BI70" s="357">
        <f ca="1"/>
        <v>336</v>
      </c>
      <c r="BJ70" s="925">
        <f ca="1"/>
        <v>64</v>
      </c>
      <c r="BK70" s="925">
        <f ca="1"/>
        <v>80</v>
      </c>
      <c r="BL70" s="928">
        <f ca="1"/>
        <v>240</v>
      </c>
      <c r="BM70" s="200">
        <f ca="1"/>
        <v>1.0000000074505806</v>
      </c>
      <c r="BN70" s="851">
        <f ca="1"/>
        <v>1.0000000074505806</v>
      </c>
      <c r="BO70" s="851">
        <f ca="1"/>
        <v>1.0000000074505806</v>
      </c>
      <c r="BP70" s="933">
        <f ca="1"/>
        <v>1.0000000149011612</v>
      </c>
      <c r="BQ70" s="357">
        <f t="shared" ca="1" si="33"/>
        <v>720</v>
      </c>
      <c r="BR70" s="361">
        <f t="shared" ca="1" si="34"/>
        <v>720</v>
      </c>
      <c r="BS70" s="357">
        <f t="shared" ca="1" si="35"/>
        <v>516.74191904903626</v>
      </c>
      <c r="BT70" s="302">
        <f t="shared" ca="1" si="36"/>
        <v>25.495999527883182</v>
      </c>
      <c r="BU70" s="299">
        <f t="shared" ca="1" si="37"/>
        <v>26.5626662037389</v>
      </c>
      <c r="BV70" s="299">
        <f t="shared" ca="1" si="38"/>
        <v>27.629332879594617</v>
      </c>
      <c r="BW70" s="299">
        <f t="shared" ca="1" si="39"/>
        <v>32.659889647739881</v>
      </c>
      <c r="BX70" s="380">
        <f t="shared" ca="1" si="40"/>
        <v>4.5010266940451746</v>
      </c>
      <c r="BY70" s="363">
        <f t="shared" ca="1" si="41"/>
        <v>241.14622888955023</v>
      </c>
      <c r="BZ70" s="353">
        <f t="shared" ca="1" si="42"/>
        <v>45.932615026580997</v>
      </c>
      <c r="CA70" s="353">
        <f t="shared" ca="1" si="43"/>
        <v>57.415768783226248</v>
      </c>
      <c r="CB70" s="353">
        <f t="shared" ca="1" si="44"/>
        <v>344.4946126993575</v>
      </c>
      <c r="CC70" s="353">
        <f t="shared" ca="1" si="45"/>
        <v>172.24730634967875</v>
      </c>
      <c r="CD70" s="353">
        <f t="shared" ca="1" si="46"/>
        <v>516.74191904903626</v>
      </c>
      <c r="CE70" s="302">
        <f t="shared" ca="1" si="47"/>
        <v>33.650000250712033</v>
      </c>
      <c r="CF70" s="299">
        <f t="shared" ca="1" si="48"/>
        <v>23.854999338500193</v>
      </c>
      <c r="CG70" s="299">
        <f t="shared" ca="1" si="49"/>
        <v>26.900000200420617</v>
      </c>
      <c r="CH70" s="299">
        <f t="shared" ca="1" si="50"/>
        <v>31.219000120701882</v>
      </c>
      <c r="CI70" s="299">
        <f t="shared" ca="1" si="51"/>
        <v>20.449998397380085</v>
      </c>
      <c r="CJ70" s="299">
        <f t="shared" ca="1" si="52"/>
        <v>27.629332879594617</v>
      </c>
      <c r="CK70" s="299">
        <f t="shared" ca="1" si="53"/>
        <v>32.659889647739881</v>
      </c>
      <c r="CL70" s="377">
        <f t="shared" ca="1" si="54"/>
        <v>0.33971340937499989</v>
      </c>
      <c r="CM70" s="305">
        <f t="shared" ca="1" si="55"/>
        <v>0.33971340937499989</v>
      </c>
      <c r="CN70" s="305">
        <f t="shared" ca="1" si="56"/>
        <v>0.33971340937499989</v>
      </c>
      <c r="CO70" s="305">
        <f t="shared" ca="1" si="57"/>
        <v>0.33971340937499989</v>
      </c>
      <c r="CP70" s="305">
        <f t="shared" ca="1" si="58"/>
        <v>0.11068417919999998</v>
      </c>
      <c r="CQ70" s="305">
        <f t="shared" ca="1" si="59"/>
        <v>0.2798842367241039</v>
      </c>
      <c r="CR70" s="775">
        <f t="shared" ca="1" si="60"/>
        <v>0.33971340937499989</v>
      </c>
      <c r="CS70" s="305">
        <f t="shared" ca="1" si="61"/>
        <v>0.37971340937499987</v>
      </c>
      <c r="CT70" s="305">
        <f t="shared" ca="1" si="62"/>
        <v>0.3572134093749999</v>
      </c>
      <c r="CU70" s="305">
        <f t="shared" ca="1" si="63"/>
        <v>0.17068417919999998</v>
      </c>
      <c r="CV70" s="770">
        <f t="shared" ca="1" si="64"/>
        <v>0.29738423672410391</v>
      </c>
      <c r="CW70" s="302">
        <f t="shared" ca="1" si="65"/>
        <v>9.8332926523623758</v>
      </c>
      <c r="CX70" s="299">
        <f t="shared" ca="1" si="66"/>
        <v>5.0616862833103733</v>
      </c>
      <c r="CY70" s="299">
        <f t="shared" ca="1" si="67"/>
        <v>6.1848532388071238</v>
      </c>
      <c r="CZ70" s="299">
        <f t="shared" ca="1" si="68"/>
        <v>0.42772023661905312</v>
      </c>
      <c r="DA70" s="774">
        <f t="shared" ca="1" si="69"/>
        <v>5.1996515915593058</v>
      </c>
      <c r="DB70" s="303">
        <f t="shared" ca="1" si="70"/>
        <v>2686.8779418087315</v>
      </c>
      <c r="DC70" s="248">
        <f t="shared" ca="1" si="71"/>
        <v>268.74401333104231</v>
      </c>
      <c r="DD70" s="778">
        <f t="shared" ca="1" si="72"/>
        <v>0</v>
      </c>
      <c r="DE70" s="363">
        <f t="shared" ca="1" si="73"/>
        <v>0.71769710979032808</v>
      </c>
      <c r="DF70" s="378">
        <f t="shared" ca="1" si="74"/>
        <v>-0.31892354613759977</v>
      </c>
      <c r="DG70" s="508">
        <f t="shared" ca="1" si="75"/>
        <v>-0.79276240507857176</v>
      </c>
      <c r="DH70" s="508">
        <f t="shared" ca="1" si="76"/>
        <v>-0.63494067256573816</v>
      </c>
      <c r="DI70" s="508">
        <f t="shared" ca="1" si="77"/>
        <v>-1.4739134802319598</v>
      </c>
      <c r="DJ70" s="508">
        <f t="shared" ca="1" si="78"/>
        <v>-0.58058025962223048</v>
      </c>
      <c r="DK70" s="353">
        <f t="shared" ca="1" si="79"/>
        <v>-145.0813110137411</v>
      </c>
      <c r="DL70" s="781">
        <f t="shared" ca="1" si="80"/>
        <v>8.4528064406034691</v>
      </c>
      <c r="DM70" s="303">
        <f t="shared" ca="1" si="81"/>
        <v>9801.2855636282329</v>
      </c>
      <c r="DN70" s="508">
        <f t="shared" ca="1" si="82"/>
        <v>1.0747535491638855</v>
      </c>
      <c r="DO70" s="508">
        <f t="shared" ca="1" si="83"/>
        <v>0.91258359836923297</v>
      </c>
      <c r="DP70" s="508">
        <f t="shared" ca="1" si="84"/>
        <v>0.96921379768911886</v>
      </c>
      <c r="DQ70" s="508">
        <f t="shared" ca="1" si="85"/>
        <v>0.83998313406738656</v>
      </c>
      <c r="DR70" s="508">
        <f t="shared" ca="1" si="86"/>
        <v>0.98182449261765181</v>
      </c>
      <c r="DS70" s="353">
        <f t="shared" ca="1" si="87"/>
        <v>7462.5058284974775</v>
      </c>
      <c r="DT70" s="353">
        <f t="shared" ca="1" si="88"/>
        <v>-8349.9926198298162</v>
      </c>
      <c r="DU70" s="380">
        <f t="shared" ca="1" si="189"/>
        <v>4.5010266940451746</v>
      </c>
      <c r="DV70" s="303">
        <f t="shared" ca="1" si="89"/>
        <v>241.14622888955023</v>
      </c>
      <c r="DW70" s="303">
        <f t="shared" ca="1" si="90"/>
        <v>45.932615026580997</v>
      </c>
      <c r="DX70" s="303">
        <f t="shared" ca="1" si="91"/>
        <v>57.415768783226248</v>
      </c>
      <c r="DY70" s="303">
        <f t="shared" ca="1" si="92"/>
        <v>344.4946126993575</v>
      </c>
      <c r="DZ70" s="303">
        <f t="shared" ca="1" si="93"/>
        <v>172.24730634967875</v>
      </c>
      <c r="EA70" s="303">
        <f t="shared" ca="1" si="94"/>
        <v>516.74191904903626</v>
      </c>
      <c r="EB70" s="302">
        <f t="shared" ca="1" si="95"/>
        <v>33.650000250712033</v>
      </c>
      <c r="EC70" s="299">
        <f t="shared" ca="1" si="96"/>
        <v>23.854999338500193</v>
      </c>
      <c r="ED70" s="299">
        <f t="shared" ca="1" si="97"/>
        <v>26.900000200420617</v>
      </c>
      <c r="EE70" s="299">
        <f t="shared" ca="1" si="98"/>
        <v>31.219000120701882</v>
      </c>
      <c r="EF70" s="299">
        <f t="shared" ca="1" si="99"/>
        <v>20.449998397380085</v>
      </c>
      <c r="EG70" s="299">
        <f t="shared" ca="1" si="100"/>
        <v>27.629332879594617</v>
      </c>
      <c r="EH70" s="302">
        <f t="shared" ca="1" si="101"/>
        <v>30</v>
      </c>
      <c r="EI70" s="304">
        <f t="shared" ca="1" si="102"/>
        <v>0.11323780312499997</v>
      </c>
      <c r="EJ70" s="305">
        <f t="shared" ca="1" si="103"/>
        <v>0.11323780312499997</v>
      </c>
      <c r="EK70" s="305">
        <f t="shared" ca="1" si="104"/>
        <v>0.11323780312499997</v>
      </c>
      <c r="EL70" s="305">
        <f t="shared" ca="1" si="105"/>
        <v>0.11323780312499997</v>
      </c>
      <c r="EM70" s="305">
        <f t="shared" ca="1" si="106"/>
        <v>3.6894726399999994E-2</v>
      </c>
      <c r="EN70" s="305">
        <f t="shared" ca="1" si="107"/>
        <v>9.0554777984376181E-2</v>
      </c>
      <c r="EO70" s="305">
        <f t="shared" ca="1" si="108"/>
        <v>0.11323780312499997</v>
      </c>
      <c r="EP70" s="305">
        <f t="shared" ca="1" si="109"/>
        <v>0.11323780312499997</v>
      </c>
      <c r="EQ70" s="305">
        <f t="shared" ca="1" si="110"/>
        <v>0.11323780312499997</v>
      </c>
      <c r="ER70" s="305">
        <f t="shared" ca="1" si="111"/>
        <v>3.6894726399999994E-2</v>
      </c>
      <c r="ES70" s="305">
        <f t="shared" ca="1" si="112"/>
        <v>9.0554777984376181E-2</v>
      </c>
      <c r="ET70" s="299">
        <f t="shared" ca="1" si="113"/>
        <v>3.5890416828016072</v>
      </c>
      <c r="EU70" s="302">
        <f t="shared" ca="1" si="114"/>
        <v>30</v>
      </c>
      <c r="EV70" s="304">
        <f t="shared" ca="1" si="115"/>
        <v>0.33971340937499989</v>
      </c>
      <c r="EW70" s="305">
        <f t="shared" ca="1" si="116"/>
        <v>0.33971340937499989</v>
      </c>
      <c r="EX70" s="305">
        <f t="shared" ca="1" si="117"/>
        <v>0.33971340937499989</v>
      </c>
      <c r="EY70" s="305">
        <f t="shared" ca="1" si="118"/>
        <v>0.33971340937499989</v>
      </c>
      <c r="EZ70" s="305">
        <f t="shared" ca="1" si="119"/>
        <v>0.11068417919999998</v>
      </c>
      <c r="FA70" s="305">
        <f t="shared" ca="1" si="120"/>
        <v>0.2798842367241039</v>
      </c>
      <c r="FB70" s="305">
        <f t="shared" ca="1" si="121"/>
        <v>0.33971340937499989</v>
      </c>
      <c r="FC70" s="305">
        <f t="shared" ca="1" si="122"/>
        <v>0.33971340937499989</v>
      </c>
      <c r="FD70" s="305">
        <f t="shared" ca="1" si="123"/>
        <v>0.33971340937499989</v>
      </c>
      <c r="FE70" s="305">
        <f t="shared" ca="1" si="124"/>
        <v>0.11068417919999998</v>
      </c>
      <c r="FF70" s="305">
        <f t="shared" ca="1" si="125"/>
        <v>0.2798842367241039</v>
      </c>
      <c r="FG70" s="299">
        <f t="shared" ca="1" si="126"/>
        <v>5.6041878154244937</v>
      </c>
      <c r="FH70" s="302">
        <f t="shared" ca="1" si="127"/>
        <v>-2.0151461326228866</v>
      </c>
      <c r="FI70" s="248">
        <f t="shared" ca="1" si="128"/>
        <v>-1041.3104797357942</v>
      </c>
      <c r="FJ70" s="363">
        <f t="shared" ca="1" si="129"/>
        <v>0.71769710979032808</v>
      </c>
      <c r="FK70" s="378">
        <f t="shared" ca="1" si="130"/>
        <v>0.35779812314118714</v>
      </c>
      <c r="FL70" s="508">
        <f t="shared" ca="1" si="131"/>
        <v>-1.0741771477016822</v>
      </c>
      <c r="FM70" s="508">
        <f t="shared" ca="1" si="132"/>
        <v>-0.57412738748646563</v>
      </c>
      <c r="FN70" s="508">
        <f t="shared" ca="1" si="133"/>
        <v>-4.9349176717349366</v>
      </c>
      <c r="FO70" s="508">
        <f t="shared" ca="1" si="134"/>
        <v>-0.52454315577318056</v>
      </c>
      <c r="FP70" s="353">
        <f t="shared" ca="1" si="135"/>
        <v>361.74498054222846</v>
      </c>
      <c r="FQ70" s="356">
        <f t="shared" ca="1" si="136"/>
        <v>31.170834751903648</v>
      </c>
      <c r="FR70" s="380">
        <f t="shared" ca="1" si="137"/>
        <v>21.812000000000001</v>
      </c>
      <c r="FS70" s="299">
        <f t="shared" ca="1" si="138"/>
        <v>21.812000000000001</v>
      </c>
      <c r="FT70" s="299">
        <f t="shared" ca="1" si="139"/>
        <v>21.812000000000001</v>
      </c>
      <c r="FU70" s="299">
        <f t="shared" ca="1" si="140"/>
        <v>21.812000000000001</v>
      </c>
      <c r="FV70" s="299">
        <f t="shared" ca="1" si="141"/>
        <v>21.812000000000001</v>
      </c>
      <c r="FW70" s="850">
        <f t="shared" ca="1" si="142"/>
        <v>0.17180000000000001</v>
      </c>
      <c r="FX70" s="851">
        <f t="shared" ca="1" si="143"/>
        <v>0.5</v>
      </c>
      <c r="FY70" s="851">
        <f t="shared" ca="1" si="144"/>
        <v>0</v>
      </c>
      <c r="FZ70" s="201">
        <f t="shared" ca="1" si="145"/>
        <v>0</v>
      </c>
      <c r="GA70" s="201">
        <f t="shared" ca="1" si="146"/>
        <v>0</v>
      </c>
      <c r="GB70" s="201">
        <f t="shared" ca="1" si="147"/>
        <v>0</v>
      </c>
      <c r="GC70" s="201">
        <f t="shared" ca="1" si="148"/>
        <v>0</v>
      </c>
      <c r="GD70" s="850">
        <f t="shared" ca="1" si="149"/>
        <v>0.3547134093749999</v>
      </c>
      <c r="GE70" s="866">
        <f t="shared" ca="1" si="150"/>
        <v>0.34471340937499989</v>
      </c>
      <c r="GF70" s="866">
        <f t="shared" ca="1" si="151"/>
        <v>0.3547134093749999</v>
      </c>
      <c r="GG70" s="866">
        <f t="shared" ca="1" si="152"/>
        <v>0.11068417919999998</v>
      </c>
      <c r="GH70" s="866">
        <f t="shared" ca="1" si="153"/>
        <v>0.29488423672410391</v>
      </c>
      <c r="GI70" s="302">
        <f t="shared" ca="1" si="154"/>
        <v>14.435909319232165</v>
      </c>
      <c r="GJ70" s="299">
        <f t="shared" ca="1" si="155"/>
        <v>6.7505592218220363</v>
      </c>
      <c r="GK70" s="299">
        <f t="shared" ca="1" si="156"/>
        <v>9.0738931397193578</v>
      </c>
      <c r="GL70" s="299">
        <f t="shared" ca="1" si="157"/>
        <v>2.0590262593053978</v>
      </c>
      <c r="GM70" s="299">
        <f t="shared" ca="1" si="158"/>
        <v>8.6883714932331664</v>
      </c>
      <c r="GN70" s="302">
        <f t="shared" ca="1" si="159"/>
        <v>0.83916856462308664</v>
      </c>
      <c r="GO70" s="299">
        <f t="shared" ca="1" si="160"/>
        <v>0.67653844755578374</v>
      </c>
      <c r="GP70" s="299">
        <f t="shared" ca="1" si="161"/>
        <v>0.74136941503954978</v>
      </c>
      <c r="GQ70" s="299">
        <f t="shared" ca="1" si="162"/>
        <v>0.48345288280469434</v>
      </c>
      <c r="GR70" s="299">
        <f t="shared" ca="1" si="163"/>
        <v>0.76006603404987627</v>
      </c>
      <c r="GS70" s="302">
        <f t="shared" ca="1" si="164"/>
        <v>-0.63277631515935573</v>
      </c>
      <c r="GT70" s="299">
        <f t="shared" ca="1" si="165"/>
        <v>-0.43041748599985524</v>
      </c>
      <c r="GU70" s="299">
        <f t="shared" ca="1" si="166"/>
        <v>-0.49830129786307387</v>
      </c>
      <c r="GV70" s="299">
        <f t="shared" ca="1" si="167"/>
        <v>-0.35886592933818656</v>
      </c>
      <c r="GW70" s="299">
        <f t="shared" ca="1" si="168"/>
        <v>-0.56444843711259118</v>
      </c>
      <c r="GX70" s="303">
        <f t="shared" ca="1" si="169"/>
        <v>3481.165092924351</v>
      </c>
      <c r="GY70" s="303">
        <f t="shared" ca="1" si="170"/>
        <v>310.07083795008776</v>
      </c>
      <c r="GZ70" s="303">
        <f t="shared" ca="1" si="171"/>
        <v>520.98455047382947</v>
      </c>
      <c r="HA70" s="303">
        <f t="shared" ca="1" si="172"/>
        <v>354.66172686860995</v>
      </c>
      <c r="HB70" s="303">
        <f t="shared" ca="1" si="173"/>
        <v>4489.6457588242474</v>
      </c>
      <c r="HC70" s="303">
        <f t="shared" ca="1" si="174"/>
        <v>2854.6891180527564</v>
      </c>
      <c r="HD70" s="303">
        <f t="shared" ca="1" si="175"/>
        <v>93.840302114888928</v>
      </c>
      <c r="HE70" s="303">
        <f t="shared" ca="1" si="176"/>
        <v>292.13144307635889</v>
      </c>
      <c r="HF70" s="303">
        <f t="shared" ca="1" si="177"/>
        <v>0</v>
      </c>
      <c r="HG70" s="852">
        <f t="shared" ca="1" si="178"/>
        <v>3006.0597559487783</v>
      </c>
    </row>
    <row r="71" spans="1:215" x14ac:dyDescent="0.25">
      <c r="A71" s="244">
        <f t="shared" ca="1" si="179"/>
        <v>38261</v>
      </c>
      <c r="B71" s="13">
        <f t="shared" ca="1" si="3"/>
        <v>2004</v>
      </c>
      <c r="C71" s="619">
        <f t="shared" ca="1" si="180"/>
        <v>10</v>
      </c>
      <c r="D71" s="195" t="str">
        <f t="shared" ca="1" si="4"/>
        <v/>
      </c>
      <c r="E71" s="469">
        <f t="shared" ca="1" si="5"/>
        <v>38261</v>
      </c>
      <c r="F71" s="465">
        <f t="shared" ca="1" si="6"/>
        <v>38291</v>
      </c>
      <c r="G71" s="522">
        <f t="shared" ca="1" si="181"/>
        <v>1</v>
      </c>
      <c r="H71" s="519">
        <f t="shared" ca="1" si="182"/>
        <v>1</v>
      </c>
      <c r="I71" s="724">
        <f t="shared" ca="1" si="7"/>
        <v>7.2894763638436999E-2</v>
      </c>
      <c r="J71" s="198">
        <f t="shared" ca="1" si="8"/>
        <v>0.71323422394632896</v>
      </c>
      <c r="K71" s="200">
        <f t="shared" ca="1" si="190"/>
        <v>29.55</v>
      </c>
      <c r="L71" s="201">
        <f t="shared" ca="1" si="191"/>
        <v>30.4</v>
      </c>
      <c r="M71" s="206">
        <f t="shared" ca="1" si="192"/>
        <v>31.25</v>
      </c>
      <c r="N71" s="851">
        <f t="shared" ca="1" si="196"/>
        <v>22.563000106811522</v>
      </c>
      <c r="O71" s="201">
        <f t="shared" ca="1" si="197"/>
        <v>23.200500106811521</v>
      </c>
      <c r="P71" s="206">
        <f t="shared" ca="1" si="198"/>
        <v>23.838000106811521</v>
      </c>
      <c r="Q71" s="201">
        <f t="shared" ca="1" si="199"/>
        <v>17.900999832153317</v>
      </c>
      <c r="R71" s="201">
        <f t="shared" ca="1" si="200"/>
        <v>21.200999832153318</v>
      </c>
      <c r="S71" s="201">
        <f t="shared" ca="1" si="201"/>
        <v>24.500999832153319</v>
      </c>
      <c r="T71" s="851">
        <f t="shared" ca="1" si="193"/>
        <v>19.224998855590819</v>
      </c>
      <c r="U71" s="201">
        <f t="shared" ca="1" si="194"/>
        <v>19.64999885559082</v>
      </c>
      <c r="V71" s="206">
        <f t="shared" ca="1" si="195"/>
        <v>20.07499885559082</v>
      </c>
      <c r="W71" s="230">
        <f t="shared" ca="1" si="183"/>
        <v>0.10301360625</v>
      </c>
      <c r="X71" s="231">
        <f t="shared" ca="1" si="184"/>
        <v>0.2060272125</v>
      </c>
      <c r="Y71" s="232">
        <f t="shared" ca="1" si="185"/>
        <v>0.30904081875</v>
      </c>
      <c r="Z71" s="231">
        <f t="shared" ca="1" si="202"/>
        <v>0.10301360625</v>
      </c>
      <c r="AA71" s="231">
        <f t="shared" ca="1" si="203"/>
        <v>0.2060272125</v>
      </c>
      <c r="AB71" s="232">
        <f t="shared" ca="1" si="204"/>
        <v>0.30904081875</v>
      </c>
      <c r="AC71" s="231">
        <f t="shared" ca="1" si="205"/>
        <v>0.10301360625</v>
      </c>
      <c r="AD71" s="231">
        <f t="shared" ca="1" si="206"/>
        <v>0.2060272125</v>
      </c>
      <c r="AE71" s="232">
        <f t="shared" ca="1" si="14"/>
        <v>0.30904081875</v>
      </c>
      <c r="AF71" s="231">
        <f t="shared" ca="1" si="186"/>
        <v>2.7671044799999996E-2</v>
      </c>
      <c r="AG71" s="231">
        <f t="shared" ca="1" si="187"/>
        <v>5.5342089599999991E-2</v>
      </c>
      <c r="AH71" s="232">
        <f t="shared" ca="1" si="188"/>
        <v>8.3013134399999994E-2</v>
      </c>
      <c r="AI71" s="233">
        <f t="shared" ca="1" si="15"/>
        <v>0.85000000000000009</v>
      </c>
      <c r="AJ71" s="233">
        <f t="shared" ca="1" si="16"/>
        <v>1.1000000000000001</v>
      </c>
      <c r="AK71" s="234">
        <f t="shared" ca="1" si="17"/>
        <v>1.4000000000000001</v>
      </c>
      <c r="AL71" s="919">
        <f t="shared" ca="1" si="18"/>
        <v>0.85000000000000009</v>
      </c>
      <c r="AM71" s="233">
        <f t="shared" ca="1" si="19"/>
        <v>1.1000000000000001</v>
      </c>
      <c r="AN71" s="234">
        <f t="shared" ca="1" si="20"/>
        <v>1.4000000000000001</v>
      </c>
      <c r="AO71" s="233">
        <f t="shared" ca="1" si="21"/>
        <v>0.85000000000000009</v>
      </c>
      <c r="AP71" s="233">
        <f t="shared" ca="1" si="22"/>
        <v>1.1000000000000001</v>
      </c>
      <c r="AQ71" s="233">
        <f t="shared" ca="1" si="23"/>
        <v>1.4000000000000001</v>
      </c>
      <c r="AR71" s="919">
        <f t="shared" ca="1" si="24"/>
        <v>0.19999999999999998</v>
      </c>
      <c r="AS71" s="233">
        <f t="shared" ca="1" si="25"/>
        <v>0.35</v>
      </c>
      <c r="AT71" s="235">
        <f t="shared" ca="1" si="26"/>
        <v>0.55000000000000004</v>
      </c>
      <c r="AU71" s="946">
        <f t="shared" si="27"/>
        <v>0.5</v>
      </c>
      <c r="AV71" s="13">
        <f t="shared" ca="1" si="28"/>
        <v>21</v>
      </c>
      <c r="AW71" s="210">
        <f t="shared" ca="1" si="29"/>
        <v>5</v>
      </c>
      <c r="AX71" s="210">
        <f t="shared" ca="1" si="30"/>
        <v>5</v>
      </c>
      <c r="AY71" s="210">
        <f t="shared" ca="1" si="31"/>
        <v>0</v>
      </c>
      <c r="AZ71" s="13">
        <f t="shared" ca="1" si="32"/>
        <v>31</v>
      </c>
      <c r="BA71" s="357">
        <f ca="1"/>
        <v>336</v>
      </c>
      <c r="BB71" s="925">
        <f ca="1"/>
        <v>80</v>
      </c>
      <c r="BC71" s="925">
        <f ca="1"/>
        <v>80</v>
      </c>
      <c r="BD71" s="928">
        <f ca="1"/>
        <v>248</v>
      </c>
      <c r="BE71" s="200">
        <f ca="1"/>
        <v>1.0000187270343304</v>
      </c>
      <c r="BF71" s="851">
        <f ca="1"/>
        <v>1.0000187270343304</v>
      </c>
      <c r="BG71" s="851">
        <f ca="1"/>
        <v>1.0000187270343304</v>
      </c>
      <c r="BH71" s="933">
        <f ca="1"/>
        <v>1.0000000074505806</v>
      </c>
      <c r="BI71" s="357">
        <f ca="1"/>
        <v>336</v>
      </c>
      <c r="BJ71" s="925">
        <f ca="1"/>
        <v>80</v>
      </c>
      <c r="BK71" s="925">
        <f ca="1"/>
        <v>80</v>
      </c>
      <c r="BL71" s="928">
        <f ca="1"/>
        <v>248</v>
      </c>
      <c r="BM71" s="200">
        <f ca="1"/>
        <v>1.0000187270343304</v>
      </c>
      <c r="BN71" s="851">
        <f ca="1"/>
        <v>1.0000187270343304</v>
      </c>
      <c r="BO71" s="851">
        <f ca="1"/>
        <v>1.0000187270343304</v>
      </c>
      <c r="BP71" s="933">
        <f ca="1"/>
        <v>1.0000000074505806</v>
      </c>
      <c r="BQ71" s="357">
        <f t="shared" ca="1" si="33"/>
        <v>744</v>
      </c>
      <c r="BR71" s="361">
        <f t="shared" ca="1" si="34"/>
        <v>744</v>
      </c>
      <c r="BS71" s="357">
        <f t="shared" ca="1" si="35"/>
        <v>530.64626261606873</v>
      </c>
      <c r="BT71" s="302">
        <f t="shared" ca="1" si="36"/>
        <v>24.104793421320331</v>
      </c>
      <c r="BU71" s="299">
        <f t="shared" ca="1" si="37"/>
        <v>25.053733271108115</v>
      </c>
      <c r="BV71" s="299">
        <f t="shared" ca="1" si="38"/>
        <v>26.002673120895896</v>
      </c>
      <c r="BW71" s="299">
        <f t="shared" ca="1" si="39"/>
        <v>32.659889647739881</v>
      </c>
      <c r="BX71" s="380">
        <f t="shared" ca="1" si="40"/>
        <v>4.5831622176591376</v>
      </c>
      <c r="BY71" s="363">
        <f t="shared" ca="1" si="41"/>
        <v>239.64669924596654</v>
      </c>
      <c r="BZ71" s="353">
        <f t="shared" ca="1" si="42"/>
        <v>57.058737915706317</v>
      </c>
      <c r="CA71" s="353">
        <f t="shared" ca="1" si="43"/>
        <v>57.058737915706317</v>
      </c>
      <c r="CB71" s="353">
        <f t="shared" ca="1" si="44"/>
        <v>353.76417507737921</v>
      </c>
      <c r="CC71" s="353">
        <f t="shared" ca="1" si="45"/>
        <v>176.88208753868958</v>
      </c>
      <c r="CD71" s="353">
        <f t="shared" ca="1" si="46"/>
        <v>530.64626261606873</v>
      </c>
      <c r="CE71" s="302">
        <f t="shared" ca="1" si="47"/>
        <v>31.250585219822824</v>
      </c>
      <c r="CF71" s="299">
        <f t="shared" ca="1" si="48"/>
        <v>23.83844652185789</v>
      </c>
      <c r="CG71" s="299">
        <f t="shared" ca="1" si="49"/>
        <v>24.501458663218305</v>
      </c>
      <c r="CH71" s="299">
        <f t="shared" ca="1" si="50"/>
        <v>28.96651017876323</v>
      </c>
      <c r="CI71" s="299">
        <f t="shared" ca="1" si="51"/>
        <v>20.074999005161217</v>
      </c>
      <c r="CJ71" s="299">
        <f t="shared" ca="1" si="52"/>
        <v>26.002673120895896</v>
      </c>
      <c r="CK71" s="299">
        <f t="shared" ca="1" si="53"/>
        <v>32.659889647739881</v>
      </c>
      <c r="CL71" s="377">
        <f t="shared" ca="1" si="54"/>
        <v>0.30904081875</v>
      </c>
      <c r="CM71" s="305">
        <f t="shared" ca="1" si="55"/>
        <v>0.30904081875</v>
      </c>
      <c r="CN71" s="305">
        <f t="shared" ca="1" si="56"/>
        <v>0.30904081875</v>
      </c>
      <c r="CO71" s="305">
        <f t="shared" ca="1" si="57"/>
        <v>0.30904081875</v>
      </c>
      <c r="CP71" s="305">
        <f t="shared" ca="1" si="58"/>
        <v>8.3013134399999994E-2</v>
      </c>
      <c r="CQ71" s="305">
        <f t="shared" ca="1" si="59"/>
        <v>0.24883895652050578</v>
      </c>
      <c r="CR71" s="775">
        <f t="shared" ca="1" si="60"/>
        <v>0.30904081875</v>
      </c>
      <c r="CS71" s="305">
        <f t="shared" ca="1" si="61"/>
        <v>0.34904081874999998</v>
      </c>
      <c r="CT71" s="305">
        <f t="shared" ca="1" si="62"/>
        <v>0.34904081874999998</v>
      </c>
      <c r="CU71" s="305">
        <f t="shared" ca="1" si="63"/>
        <v>0.14301313439999999</v>
      </c>
      <c r="CV71" s="770">
        <f t="shared" ca="1" si="64"/>
        <v>0.27383895652050577</v>
      </c>
      <c r="CW71" s="302">
        <f t="shared" ca="1" si="65"/>
        <v>7.5960757765127696</v>
      </c>
      <c r="CX71" s="299">
        <f t="shared" ca="1" si="66"/>
        <v>4.4985946997651807</v>
      </c>
      <c r="CY71" s="299">
        <f t="shared" ca="1" si="67"/>
        <v>4.8223566551915695</v>
      </c>
      <c r="CZ71" s="299">
        <f t="shared" ca="1" si="68"/>
        <v>0.18513736216971433</v>
      </c>
      <c r="DA71" s="774">
        <f t="shared" ca="1" si="69"/>
        <v>3.9222892242355432</v>
      </c>
      <c r="DB71" s="303">
        <f t="shared" ca="1" si="70"/>
        <v>2081.3481177398703</v>
      </c>
      <c r="DC71" s="248">
        <f t="shared" ca="1" si="71"/>
        <v>245.09299940428053</v>
      </c>
      <c r="DD71" s="778">
        <f t="shared" ca="1" si="72"/>
        <v>0</v>
      </c>
      <c r="DE71" s="363">
        <f t="shared" ca="1" si="73"/>
        <v>0.71323422394632896</v>
      </c>
      <c r="DF71" s="378">
        <f t="shared" ca="1" si="74"/>
        <v>-0.39747291141522845</v>
      </c>
      <c r="DG71" s="508">
        <f t="shared" ca="1" si="75"/>
        <v>-0.79496807600235064</v>
      </c>
      <c r="DH71" s="508">
        <f t="shared" ca="1" si="76"/>
        <v>-0.75825556541231121</v>
      </c>
      <c r="DI71" s="508">
        <f t="shared" ca="1" si="77"/>
        <v>-1.742648461278361</v>
      </c>
      <c r="DJ71" s="508">
        <f t="shared" ca="1" si="78"/>
        <v>-0.68195060489820492</v>
      </c>
      <c r="DK71" s="353">
        <f t="shared" ca="1" si="79"/>
        <v>-131.40659800887096</v>
      </c>
      <c r="DL71" s="781">
        <f t="shared" ca="1" si="80"/>
        <v>8.7626817058604409</v>
      </c>
      <c r="DM71" s="303">
        <f t="shared" ca="1" si="81"/>
        <v>9412.6492930212462</v>
      </c>
      <c r="DN71" s="508">
        <f t="shared" ca="1" si="82"/>
        <v>1.0497030103335043</v>
      </c>
      <c r="DO71" s="508">
        <f t="shared" ca="1" si="83"/>
        <v>0.92322625480625631</v>
      </c>
      <c r="DP71" s="508">
        <f t="shared" ca="1" si="84"/>
        <v>0.93604170110560159</v>
      </c>
      <c r="DQ71" s="508">
        <f t="shared" ca="1" si="85"/>
        <v>0.84295762994994627</v>
      </c>
      <c r="DR71" s="508">
        <f t="shared" ca="1" si="86"/>
        <v>0.96382185182339375</v>
      </c>
      <c r="DS71" s="353">
        <f t="shared" ca="1" si="87"/>
        <v>7406.2178808281924</v>
      </c>
      <c r="DT71" s="353">
        <f t="shared" ca="1" si="88"/>
        <v>-8401.1345547670862</v>
      </c>
      <c r="DU71" s="380">
        <f t="shared" ca="1" si="189"/>
        <v>4.5831622176591376</v>
      </c>
      <c r="DV71" s="303">
        <f t="shared" ca="1" si="89"/>
        <v>239.64669924596654</v>
      </c>
      <c r="DW71" s="303">
        <f t="shared" ca="1" si="90"/>
        <v>57.058737915706317</v>
      </c>
      <c r="DX71" s="303">
        <f t="shared" ca="1" si="91"/>
        <v>57.058737915706317</v>
      </c>
      <c r="DY71" s="303">
        <f t="shared" ca="1" si="92"/>
        <v>353.76417507737921</v>
      </c>
      <c r="DZ71" s="303">
        <f t="shared" ca="1" si="93"/>
        <v>176.88208753868958</v>
      </c>
      <c r="EA71" s="303">
        <f t="shared" ca="1" si="94"/>
        <v>530.64626261606873</v>
      </c>
      <c r="EB71" s="302">
        <f t="shared" ca="1" si="95"/>
        <v>31.250585219822824</v>
      </c>
      <c r="EC71" s="299">
        <f t="shared" ca="1" si="96"/>
        <v>23.83844652185789</v>
      </c>
      <c r="ED71" s="299">
        <f t="shared" ca="1" si="97"/>
        <v>24.501458663218305</v>
      </c>
      <c r="EE71" s="299">
        <f t="shared" ca="1" si="98"/>
        <v>28.96651017876323</v>
      </c>
      <c r="EF71" s="299">
        <f t="shared" ca="1" si="99"/>
        <v>20.074999005161217</v>
      </c>
      <c r="EG71" s="299">
        <f t="shared" ca="1" si="100"/>
        <v>26.002673120895896</v>
      </c>
      <c r="EH71" s="302">
        <f t="shared" ca="1" si="101"/>
        <v>30</v>
      </c>
      <c r="EI71" s="304">
        <f t="shared" ca="1" si="102"/>
        <v>0.10301360625</v>
      </c>
      <c r="EJ71" s="305">
        <f t="shared" ca="1" si="103"/>
        <v>0.10301360625</v>
      </c>
      <c r="EK71" s="305">
        <f t="shared" ca="1" si="104"/>
        <v>0.10301360625</v>
      </c>
      <c r="EL71" s="305">
        <f t="shared" ca="1" si="105"/>
        <v>0.10301360624999992</v>
      </c>
      <c r="EM71" s="305">
        <f t="shared" ca="1" si="106"/>
        <v>2.7671044799999996E-2</v>
      </c>
      <c r="EN71" s="305">
        <f t="shared" ca="1" si="107"/>
        <v>8.0604695386333677E-2</v>
      </c>
      <c r="EO71" s="305">
        <f t="shared" ca="1" si="108"/>
        <v>0.10301360625</v>
      </c>
      <c r="EP71" s="305">
        <f t="shared" ca="1" si="109"/>
        <v>0.10301360625</v>
      </c>
      <c r="EQ71" s="305">
        <f t="shared" ca="1" si="110"/>
        <v>0.10301360625</v>
      </c>
      <c r="ER71" s="305">
        <f t="shared" ca="1" si="111"/>
        <v>2.7671044799999996E-2</v>
      </c>
      <c r="ES71" s="305">
        <f t="shared" ca="1" si="112"/>
        <v>8.0604695386333677E-2</v>
      </c>
      <c r="ET71" s="299">
        <f t="shared" ca="1" si="113"/>
        <v>4.5467430069051531</v>
      </c>
      <c r="EU71" s="302">
        <f t="shared" ca="1" si="114"/>
        <v>30</v>
      </c>
      <c r="EV71" s="304">
        <f t="shared" ca="1" si="115"/>
        <v>0.30904081875</v>
      </c>
      <c r="EW71" s="305">
        <f t="shared" ca="1" si="116"/>
        <v>0.30904081875</v>
      </c>
      <c r="EX71" s="305">
        <f t="shared" ca="1" si="117"/>
        <v>0.30904081875</v>
      </c>
      <c r="EY71" s="305">
        <f t="shared" ca="1" si="118"/>
        <v>0.30904081875</v>
      </c>
      <c r="EZ71" s="305">
        <f t="shared" ca="1" si="119"/>
        <v>8.3013134399999994E-2</v>
      </c>
      <c r="FA71" s="305">
        <f t="shared" ca="1" si="120"/>
        <v>0.24883895652050578</v>
      </c>
      <c r="FB71" s="305">
        <f t="shared" ca="1" si="121"/>
        <v>0.30904081875</v>
      </c>
      <c r="FC71" s="305">
        <f t="shared" ca="1" si="122"/>
        <v>0.30904081875</v>
      </c>
      <c r="FD71" s="305">
        <f t="shared" ca="1" si="123"/>
        <v>0.30904081875</v>
      </c>
      <c r="FE71" s="305">
        <f t="shared" ca="1" si="124"/>
        <v>8.3013134399999994E-2</v>
      </c>
      <c r="FF71" s="305">
        <f t="shared" ca="1" si="125"/>
        <v>0.24883895652050578</v>
      </c>
      <c r="FG71" s="299">
        <f t="shared" ca="1" si="126"/>
        <v>4.0879625911439703</v>
      </c>
      <c r="FH71" s="302">
        <f t="shared" ca="1" si="127"/>
        <v>0.45878041576118278</v>
      </c>
      <c r="FI71" s="248">
        <f t="shared" ca="1" si="128"/>
        <v>243.45011298511778</v>
      </c>
      <c r="FJ71" s="363">
        <f t="shared" ca="1" si="129"/>
        <v>0.71323422394632896</v>
      </c>
      <c r="FK71" s="378">
        <f t="shared" ca="1" si="130"/>
        <v>7.4922012570870403E-2</v>
      </c>
      <c r="FL71" s="508">
        <f t="shared" ca="1" si="131"/>
        <v>-1.1527226885066182</v>
      </c>
      <c r="FM71" s="508">
        <f t="shared" ca="1" si="132"/>
        <v>-1.0283297542022205</v>
      </c>
      <c r="FN71" s="508">
        <f t="shared" ca="1" si="133"/>
        <v>-6.8109924787364333</v>
      </c>
      <c r="FO71" s="508">
        <f t="shared" ca="1" si="134"/>
        <v>-0.91496105992468812</v>
      </c>
      <c r="FP71" s="353">
        <f t="shared" ca="1" si="135"/>
        <v>435.07368225909221</v>
      </c>
      <c r="FQ71" s="356">
        <f t="shared" ca="1" si="136"/>
        <v>26.907015169321308</v>
      </c>
      <c r="FR71" s="380">
        <f t="shared" ca="1" si="137"/>
        <v>22.02</v>
      </c>
      <c r="FS71" s="299">
        <f t="shared" ca="1" si="138"/>
        <v>22.02</v>
      </c>
      <c r="FT71" s="299">
        <f t="shared" ca="1" si="139"/>
        <v>22.02</v>
      </c>
      <c r="FU71" s="299">
        <f t="shared" ca="1" si="140"/>
        <v>22.02</v>
      </c>
      <c r="FV71" s="299">
        <f t="shared" ca="1" si="141"/>
        <v>22.02</v>
      </c>
      <c r="FW71" s="850">
        <f t="shared" ca="1" si="142"/>
        <v>0.17150000000000001</v>
      </c>
      <c r="FX71" s="851">
        <f t="shared" ca="1" si="143"/>
        <v>0.5</v>
      </c>
      <c r="FY71" s="851">
        <f t="shared" ca="1" si="144"/>
        <v>0</v>
      </c>
      <c r="FZ71" s="201">
        <f t="shared" ca="1" si="145"/>
        <v>0</v>
      </c>
      <c r="GA71" s="201">
        <f t="shared" ca="1" si="146"/>
        <v>0</v>
      </c>
      <c r="GB71" s="201">
        <f t="shared" ca="1" si="147"/>
        <v>0</v>
      </c>
      <c r="GC71" s="201">
        <f t="shared" ca="1" si="148"/>
        <v>0</v>
      </c>
      <c r="GD71" s="850">
        <f t="shared" ca="1" si="149"/>
        <v>0.32404081875000001</v>
      </c>
      <c r="GE71" s="866">
        <f t="shared" ca="1" si="150"/>
        <v>0.31154081875</v>
      </c>
      <c r="GF71" s="866">
        <f t="shared" ca="1" si="151"/>
        <v>0.31404081875000001</v>
      </c>
      <c r="GG71" s="866">
        <f t="shared" ca="1" si="152"/>
        <v>8.3013134399999994E-2</v>
      </c>
      <c r="GH71" s="866">
        <f t="shared" ca="1" si="153"/>
        <v>0.26133895652050576</v>
      </c>
      <c r="GI71" s="302">
        <f t="shared" ca="1" si="154"/>
        <v>11.902326532213671</v>
      </c>
      <c r="GJ71" s="299">
        <f t="shared" ca="1" si="155"/>
        <v>6.1764891702524283</v>
      </c>
      <c r="GK71" s="299">
        <f t="shared" ca="1" si="156"/>
        <v>6.6622971322657918</v>
      </c>
      <c r="GL71" s="299">
        <f t="shared" ca="1" si="157"/>
        <v>1.7972016715475954</v>
      </c>
      <c r="GM71" s="299">
        <f t="shared" ca="1" si="158"/>
        <v>6.9180526868709409</v>
      </c>
      <c r="GN71" s="302">
        <f t="shared" ca="1" si="159"/>
        <v>0.81136890501201508</v>
      </c>
      <c r="GO71" s="299">
        <f t="shared" ca="1" si="160"/>
        <v>0.66510429764598533</v>
      </c>
      <c r="GP71" s="299">
        <f t="shared" ca="1" si="161"/>
        <v>0.68248898710440942</v>
      </c>
      <c r="GQ71" s="299">
        <f t="shared" ca="1" si="162"/>
        <v>0.44757922389669264</v>
      </c>
      <c r="GR71" s="299">
        <f t="shared" ca="1" si="163"/>
        <v>0.72033547932917907</v>
      </c>
      <c r="GS71" s="302">
        <f t="shared" ca="1" si="164"/>
        <v>-0.61096403773468455</v>
      </c>
      <c r="GT71" s="299">
        <f t="shared" ca="1" si="165"/>
        <v>-0.43953536451370928</v>
      </c>
      <c r="GU71" s="299">
        <f t="shared" ca="1" si="166"/>
        <v>-0.45684298429349118</v>
      </c>
      <c r="GV71" s="299">
        <f t="shared" ca="1" si="167"/>
        <v>-0.32642823206909077</v>
      </c>
      <c r="GW71" s="299">
        <f t="shared" ca="1" si="168"/>
        <v>-0.5364486202623111</v>
      </c>
      <c r="GX71" s="303">
        <f t="shared" ca="1" si="169"/>
        <v>2852.3532667926975</v>
      </c>
      <c r="GY71" s="303">
        <f t="shared" ca="1" si="170"/>
        <v>352.42267680463169</v>
      </c>
      <c r="GZ71" s="303">
        <f t="shared" ca="1" si="171"/>
        <v>380.14226598651561</v>
      </c>
      <c r="HA71" s="303">
        <f t="shared" ca="1" si="172"/>
        <v>317.89278339136098</v>
      </c>
      <c r="HB71" s="303">
        <f t="shared" ca="1" si="173"/>
        <v>3671.0388028691173</v>
      </c>
      <c r="HC71" s="303">
        <f t="shared" ca="1" si="174"/>
        <v>2212.0792800391446</v>
      </c>
      <c r="HD71" s="303">
        <f t="shared" ca="1" si="175"/>
        <v>103.75826350441706</v>
      </c>
      <c r="HE71" s="303">
        <f t="shared" ca="1" si="176"/>
        <v>141.58889951323221</v>
      </c>
      <c r="HF71" s="303">
        <f t="shared" ca="1" si="177"/>
        <v>0</v>
      </c>
      <c r="HG71" s="852">
        <f t="shared" ca="1" si="178"/>
        <v>2113.3906068248816</v>
      </c>
    </row>
    <row r="72" spans="1:215" x14ac:dyDescent="0.25">
      <c r="A72" s="244">
        <f t="shared" ca="1" si="179"/>
        <v>38292</v>
      </c>
      <c r="B72" s="13">
        <f t="shared" ca="1" si="3"/>
        <v>2004</v>
      </c>
      <c r="C72" s="619">
        <f t="shared" ca="1" si="180"/>
        <v>11</v>
      </c>
      <c r="D72" s="195">
        <f t="shared" ca="1" si="4"/>
        <v>38316</v>
      </c>
      <c r="E72" s="469">
        <f t="shared" ca="1" si="5"/>
        <v>38292</v>
      </c>
      <c r="F72" s="465">
        <f t="shared" ca="1" si="6"/>
        <v>38321</v>
      </c>
      <c r="G72" s="522">
        <f t="shared" ca="1" si="181"/>
        <v>1</v>
      </c>
      <c r="H72" s="519">
        <f t="shared" ca="1" si="182"/>
        <v>1</v>
      </c>
      <c r="I72" s="724">
        <f t="shared" ca="1" si="7"/>
        <v>7.293196630986501E-2</v>
      </c>
      <c r="J72" s="198">
        <f t="shared" ca="1" si="8"/>
        <v>0.70892999251362265</v>
      </c>
      <c r="K72" s="200">
        <f t="shared" ca="1" si="190"/>
        <v>29.925000000000001</v>
      </c>
      <c r="L72" s="201">
        <f t="shared" ca="1" si="191"/>
        <v>30.774999999999999</v>
      </c>
      <c r="M72" s="206">
        <f t="shared" ca="1" si="192"/>
        <v>31.625</v>
      </c>
      <c r="N72" s="851">
        <f t="shared" ca="1" si="196"/>
        <v>23.567251586914061</v>
      </c>
      <c r="O72" s="201">
        <f t="shared" ca="1" si="197"/>
        <v>24.20475158691406</v>
      </c>
      <c r="P72" s="206">
        <f t="shared" ca="1" si="198"/>
        <v>24.84225158691406</v>
      </c>
      <c r="Q72" s="201">
        <f t="shared" ca="1" si="199"/>
        <v>18.904499816894528</v>
      </c>
      <c r="R72" s="201">
        <f t="shared" ca="1" si="200"/>
        <v>22.204499816894529</v>
      </c>
      <c r="S72" s="201">
        <f t="shared" ca="1" si="201"/>
        <v>25.50449981689453</v>
      </c>
      <c r="T72" s="851">
        <f t="shared" ca="1" si="193"/>
        <v>19.149998092651366</v>
      </c>
      <c r="U72" s="201">
        <f t="shared" ca="1" si="194"/>
        <v>19.574998092651366</v>
      </c>
      <c r="V72" s="206">
        <f t="shared" ca="1" si="195"/>
        <v>19.999998092651367</v>
      </c>
      <c r="W72" s="230">
        <f t="shared" ca="1" si="183"/>
        <v>0.10301360625</v>
      </c>
      <c r="X72" s="231">
        <f t="shared" ca="1" si="184"/>
        <v>0.2060272125</v>
      </c>
      <c r="Y72" s="232">
        <f t="shared" ca="1" si="185"/>
        <v>0.30904081875</v>
      </c>
      <c r="Z72" s="231">
        <f t="shared" ca="1" si="202"/>
        <v>0.10301360625</v>
      </c>
      <c r="AA72" s="231">
        <f t="shared" ca="1" si="203"/>
        <v>0.2060272125</v>
      </c>
      <c r="AB72" s="232">
        <f t="shared" ca="1" si="204"/>
        <v>0.30904081875</v>
      </c>
      <c r="AC72" s="231">
        <f t="shared" ca="1" si="205"/>
        <v>0.10301360625</v>
      </c>
      <c r="AD72" s="231">
        <f t="shared" ca="1" si="206"/>
        <v>0.2060272125</v>
      </c>
      <c r="AE72" s="232">
        <f t="shared" ca="1" si="14"/>
        <v>0.30904081875</v>
      </c>
      <c r="AF72" s="231">
        <f t="shared" ca="1" si="186"/>
        <v>2.7671044799999996E-2</v>
      </c>
      <c r="AG72" s="231">
        <f t="shared" ca="1" si="187"/>
        <v>5.5342089599999991E-2</v>
      </c>
      <c r="AH72" s="232">
        <f t="shared" ca="1" si="188"/>
        <v>8.3013134399999994E-2</v>
      </c>
      <c r="AI72" s="233">
        <f t="shared" ca="1" si="15"/>
        <v>1</v>
      </c>
      <c r="AJ72" s="233">
        <f t="shared" ca="1" si="16"/>
        <v>1.25</v>
      </c>
      <c r="AK72" s="234">
        <f t="shared" ca="1" si="17"/>
        <v>1.55</v>
      </c>
      <c r="AL72" s="919">
        <f t="shared" ca="1" si="18"/>
        <v>1</v>
      </c>
      <c r="AM72" s="233">
        <f t="shared" ca="1" si="19"/>
        <v>1.25</v>
      </c>
      <c r="AN72" s="234">
        <f t="shared" ca="1" si="20"/>
        <v>1.55</v>
      </c>
      <c r="AO72" s="233">
        <f t="shared" ca="1" si="21"/>
        <v>1</v>
      </c>
      <c r="AP72" s="233">
        <f t="shared" ca="1" si="22"/>
        <v>1.25</v>
      </c>
      <c r="AQ72" s="233">
        <f t="shared" ca="1" si="23"/>
        <v>1.55</v>
      </c>
      <c r="AR72" s="919">
        <f t="shared" ca="1" si="24"/>
        <v>0.15</v>
      </c>
      <c r="AS72" s="233">
        <f t="shared" ca="1" si="25"/>
        <v>0.3</v>
      </c>
      <c r="AT72" s="235">
        <f t="shared" ca="1" si="26"/>
        <v>0.5</v>
      </c>
      <c r="AU72" s="946">
        <f t="shared" si="27"/>
        <v>0.5</v>
      </c>
      <c r="AV72" s="13">
        <f t="shared" ca="1" si="28"/>
        <v>21</v>
      </c>
      <c r="AW72" s="210">
        <f t="shared" ca="1" si="29"/>
        <v>4</v>
      </c>
      <c r="AX72" s="210">
        <f t="shared" ca="1" si="30"/>
        <v>4</v>
      </c>
      <c r="AY72" s="210">
        <f t="shared" ca="1" si="31"/>
        <v>1</v>
      </c>
      <c r="AZ72" s="13">
        <f t="shared" ca="1" si="32"/>
        <v>30</v>
      </c>
      <c r="BA72" s="357">
        <f ca="1"/>
        <v>336</v>
      </c>
      <c r="BB72" s="925">
        <f ca="1"/>
        <v>64</v>
      </c>
      <c r="BC72" s="925">
        <f ca="1"/>
        <v>80</v>
      </c>
      <c r="BD72" s="928">
        <f ca="1"/>
        <v>240</v>
      </c>
      <c r="BE72" s="200">
        <f ca="1"/>
        <v>0.99996249377727509</v>
      </c>
      <c r="BF72" s="851">
        <f ca="1"/>
        <v>0.99996249377727509</v>
      </c>
      <c r="BG72" s="851">
        <f ca="1"/>
        <v>0.99996249377727509</v>
      </c>
      <c r="BH72" s="933">
        <f ca="1"/>
        <v>1.0000000074505806</v>
      </c>
      <c r="BI72" s="357">
        <f ca="1"/>
        <v>336</v>
      </c>
      <c r="BJ72" s="925">
        <f ca="1"/>
        <v>64</v>
      </c>
      <c r="BK72" s="925">
        <f ca="1"/>
        <v>80</v>
      </c>
      <c r="BL72" s="928">
        <f ca="1"/>
        <v>240</v>
      </c>
      <c r="BM72" s="200">
        <f ca="1"/>
        <v>0.99996249377727509</v>
      </c>
      <c r="BN72" s="851">
        <f ca="1"/>
        <v>0.99996249377727509</v>
      </c>
      <c r="BO72" s="851">
        <f ca="1"/>
        <v>0.99996249377727509</v>
      </c>
      <c r="BP72" s="933">
        <f ca="1"/>
        <v>1.0000000074505806</v>
      </c>
      <c r="BQ72" s="357">
        <f t="shared" ca="1" si="33"/>
        <v>720</v>
      </c>
      <c r="BR72" s="361">
        <f t="shared" ca="1" si="34"/>
        <v>720</v>
      </c>
      <c r="BS72" s="357">
        <f t="shared" ca="1" si="35"/>
        <v>510.4295946098083</v>
      </c>
      <c r="BT72" s="302">
        <f t="shared" ca="1" si="36"/>
        <v>24.543018405729143</v>
      </c>
      <c r="BU72" s="299">
        <f t="shared" ca="1" si="37"/>
        <v>25.504654318348663</v>
      </c>
      <c r="BV72" s="299">
        <f t="shared" ca="1" si="38"/>
        <v>26.466290230968198</v>
      </c>
      <c r="BW72" s="299">
        <f t="shared" ca="1" si="39"/>
        <v>32.659889647739881</v>
      </c>
      <c r="BX72" s="380">
        <f t="shared" ca="1" si="40"/>
        <v>4.6680355920602326</v>
      </c>
      <c r="BY72" s="363">
        <f t="shared" ca="1" si="41"/>
        <v>238.20047748457722</v>
      </c>
      <c r="BZ72" s="353">
        <f t="shared" ca="1" si="42"/>
        <v>45.37151952087185</v>
      </c>
      <c r="CA72" s="353">
        <f t="shared" ca="1" si="43"/>
        <v>56.714399401089814</v>
      </c>
      <c r="CB72" s="353">
        <f t="shared" ca="1" si="44"/>
        <v>340.28639640653887</v>
      </c>
      <c r="CC72" s="353">
        <f t="shared" ca="1" si="45"/>
        <v>170.14319820326943</v>
      </c>
      <c r="CD72" s="353">
        <f t="shared" ca="1" si="46"/>
        <v>510.4295946098083</v>
      </c>
      <c r="CE72" s="302">
        <f t="shared" ca="1" si="47"/>
        <v>31.623813865706325</v>
      </c>
      <c r="CF72" s="299">
        <f t="shared" ca="1" si="48"/>
        <v>24.841319847893054</v>
      </c>
      <c r="CG72" s="299">
        <f t="shared" ca="1" si="49"/>
        <v>25.503543239443911</v>
      </c>
      <c r="CH72" s="299">
        <f t="shared" ca="1" si="50"/>
        <v>29.699436225620818</v>
      </c>
      <c r="CI72" s="299">
        <f t="shared" ca="1" si="51"/>
        <v>19.999998241662965</v>
      </c>
      <c r="CJ72" s="299">
        <f t="shared" ca="1" si="52"/>
        <v>26.466290230968202</v>
      </c>
      <c r="CK72" s="299">
        <f t="shared" ca="1" si="53"/>
        <v>32.659889647739881</v>
      </c>
      <c r="CL72" s="377">
        <f t="shared" ca="1" si="54"/>
        <v>0.30904081875</v>
      </c>
      <c r="CM72" s="305">
        <f t="shared" ca="1" si="55"/>
        <v>0.30904081875</v>
      </c>
      <c r="CN72" s="305">
        <f t="shared" ca="1" si="56"/>
        <v>0.30904081875</v>
      </c>
      <c r="CO72" s="305">
        <f t="shared" ca="1" si="57"/>
        <v>0.30904081875000006</v>
      </c>
      <c r="CP72" s="305">
        <f t="shared" ca="1" si="58"/>
        <v>8.3013134399999994E-2</v>
      </c>
      <c r="CQ72" s="305">
        <f t="shared" ca="1" si="59"/>
        <v>0.2503094873956877</v>
      </c>
      <c r="CR72" s="775">
        <f t="shared" ca="1" si="60"/>
        <v>0.30904081875</v>
      </c>
      <c r="CS72" s="305">
        <f t="shared" ca="1" si="61"/>
        <v>0.34404081875000003</v>
      </c>
      <c r="CT72" s="305">
        <f t="shared" ca="1" si="62"/>
        <v>0.34404081875000003</v>
      </c>
      <c r="CU72" s="305">
        <f t="shared" ca="1" si="63"/>
        <v>0.14301313439999999</v>
      </c>
      <c r="CV72" s="770">
        <f t="shared" ca="1" si="64"/>
        <v>0.27530948739568772</v>
      </c>
      <c r="CW72" s="302">
        <f t="shared" ca="1" si="65"/>
        <v>7.8967496675887023</v>
      </c>
      <c r="CX72" s="299">
        <f t="shared" ca="1" si="66"/>
        <v>4.9532419214023982</v>
      </c>
      <c r="CY72" s="299">
        <f t="shared" ca="1" si="67"/>
        <v>5.2899832101980255</v>
      </c>
      <c r="CZ72" s="299">
        <f t="shared" ca="1" si="68"/>
        <v>0.18752051271478964</v>
      </c>
      <c r="DA72" s="774">
        <f t="shared" ca="1" si="69"/>
        <v>4.2296371913395223</v>
      </c>
      <c r="DB72" s="303">
        <f t="shared" ca="1" si="70"/>
        <v>2158.9319969220005</v>
      </c>
      <c r="DC72" s="248">
        <f t="shared" ca="1" si="71"/>
        <v>243.79745658221458</v>
      </c>
      <c r="DD72" s="778">
        <f t="shared" ca="1" si="72"/>
        <v>0</v>
      </c>
      <c r="DE72" s="363">
        <f t="shared" ca="1" si="73"/>
        <v>0.70892999251362265</v>
      </c>
      <c r="DF72" s="378">
        <f t="shared" ca="1" si="74"/>
        <v>-0.38213208568456714</v>
      </c>
      <c r="DG72" s="508">
        <f t="shared" ca="1" si="75"/>
        <v>-0.73979125779333388</v>
      </c>
      <c r="DH72" s="508">
        <f t="shared" ca="1" si="76"/>
        <v>-0.70439744528029169</v>
      </c>
      <c r="DI72" s="508">
        <f t="shared" ca="1" si="77"/>
        <v>-1.7416563008980128</v>
      </c>
      <c r="DJ72" s="508">
        <f t="shared" ca="1" si="78"/>
        <v>-0.65092139035253649</v>
      </c>
      <c r="DK72" s="353">
        <f t="shared" ca="1" si="79"/>
        <v>-131.46040146036944</v>
      </c>
      <c r="DL72" s="781">
        <f t="shared" ca="1" si="80"/>
        <v>8.4808255832397101</v>
      </c>
      <c r="DM72" s="303">
        <f t="shared" ca="1" si="81"/>
        <v>9317.225368007068</v>
      </c>
      <c r="DN72" s="508">
        <f t="shared" ca="1" si="82"/>
        <v>1.0652515727005198</v>
      </c>
      <c r="DO72" s="508">
        <f t="shared" ca="1" si="83"/>
        <v>0.95350934969693668</v>
      </c>
      <c r="DP72" s="508">
        <f t="shared" ca="1" si="84"/>
        <v>0.96568748374601265</v>
      </c>
      <c r="DQ72" s="508">
        <f t="shared" ca="1" si="85"/>
        <v>0.85316614681837888</v>
      </c>
      <c r="DR72" s="508">
        <f t="shared" ca="1" si="86"/>
        <v>0.98283956718283139</v>
      </c>
      <c r="DS72" s="353">
        <f t="shared" ca="1" si="87"/>
        <v>7183.6926123444209</v>
      </c>
      <c r="DT72" s="353">
        <f t="shared" ca="1" si="88"/>
        <v>-8314.5300389915119</v>
      </c>
      <c r="DU72" s="380">
        <f t="shared" ca="1" si="189"/>
        <v>4.6680355920602326</v>
      </c>
      <c r="DV72" s="303">
        <f t="shared" ca="1" si="89"/>
        <v>238.20047748457722</v>
      </c>
      <c r="DW72" s="303">
        <f t="shared" ca="1" si="90"/>
        <v>45.37151952087185</v>
      </c>
      <c r="DX72" s="303">
        <f t="shared" ca="1" si="91"/>
        <v>56.714399401089814</v>
      </c>
      <c r="DY72" s="303">
        <f t="shared" ca="1" si="92"/>
        <v>340.28639640653887</v>
      </c>
      <c r="DZ72" s="303">
        <f t="shared" ca="1" si="93"/>
        <v>170.14319820326943</v>
      </c>
      <c r="EA72" s="303">
        <f t="shared" ca="1" si="94"/>
        <v>510.4295946098083</v>
      </c>
      <c r="EB72" s="302">
        <f t="shared" ca="1" si="95"/>
        <v>31.623813865706325</v>
      </c>
      <c r="EC72" s="299">
        <f t="shared" ca="1" si="96"/>
        <v>24.841319847893054</v>
      </c>
      <c r="ED72" s="299">
        <f t="shared" ca="1" si="97"/>
        <v>25.503543239443911</v>
      </c>
      <c r="EE72" s="299">
        <f t="shared" ca="1" si="98"/>
        <v>29.699436225620818</v>
      </c>
      <c r="EF72" s="299">
        <f t="shared" ca="1" si="99"/>
        <v>19.999998241662965</v>
      </c>
      <c r="EG72" s="299">
        <f t="shared" ca="1" si="100"/>
        <v>26.466290230968202</v>
      </c>
      <c r="EH72" s="302">
        <f t="shared" ca="1" si="101"/>
        <v>30</v>
      </c>
      <c r="EI72" s="304">
        <f t="shared" ca="1" si="102"/>
        <v>0.10301360625</v>
      </c>
      <c r="EJ72" s="305">
        <f t="shared" ca="1" si="103"/>
        <v>0.10301360625</v>
      </c>
      <c r="EK72" s="305">
        <f t="shared" ca="1" si="104"/>
        <v>0.10301360625</v>
      </c>
      <c r="EL72" s="305">
        <f t="shared" ca="1" si="105"/>
        <v>0.10301360625000001</v>
      </c>
      <c r="EM72" s="305">
        <f t="shared" ca="1" si="106"/>
        <v>2.7671044799999996E-2</v>
      </c>
      <c r="EN72" s="305">
        <f t="shared" ca="1" si="107"/>
        <v>8.1082080641262239E-2</v>
      </c>
      <c r="EO72" s="305">
        <f t="shared" ca="1" si="108"/>
        <v>0.10301360625</v>
      </c>
      <c r="EP72" s="305">
        <f t="shared" ca="1" si="109"/>
        <v>0.10301360625</v>
      </c>
      <c r="EQ72" s="305">
        <f t="shared" ca="1" si="110"/>
        <v>0.10301360625</v>
      </c>
      <c r="ER72" s="305">
        <f t="shared" ca="1" si="111"/>
        <v>2.7671044799999996E-2</v>
      </c>
      <c r="ES72" s="305">
        <f t="shared" ca="1" si="112"/>
        <v>8.1082080641262239E-2</v>
      </c>
      <c r="ET72" s="299">
        <f t="shared" ca="1" si="113"/>
        <v>4.2192950922479753</v>
      </c>
      <c r="EU72" s="302">
        <f t="shared" ca="1" si="114"/>
        <v>30</v>
      </c>
      <c r="EV72" s="304">
        <f t="shared" ca="1" si="115"/>
        <v>0.30904081875</v>
      </c>
      <c r="EW72" s="305">
        <f t="shared" ca="1" si="116"/>
        <v>0.30904081875</v>
      </c>
      <c r="EX72" s="305">
        <f t="shared" ca="1" si="117"/>
        <v>0.30904081875</v>
      </c>
      <c r="EY72" s="305">
        <f t="shared" ca="1" si="118"/>
        <v>0.30904081875000006</v>
      </c>
      <c r="EZ72" s="305">
        <f t="shared" ca="1" si="119"/>
        <v>8.3013134399999994E-2</v>
      </c>
      <c r="FA72" s="305">
        <f t="shared" ca="1" si="120"/>
        <v>0.2503094873956877</v>
      </c>
      <c r="FB72" s="305">
        <f t="shared" ca="1" si="121"/>
        <v>0.30904081875</v>
      </c>
      <c r="FC72" s="305">
        <f t="shared" ca="1" si="122"/>
        <v>0.30904081875</v>
      </c>
      <c r="FD72" s="305">
        <f t="shared" ca="1" si="123"/>
        <v>0.30904081875</v>
      </c>
      <c r="FE72" s="305">
        <f t="shared" ca="1" si="124"/>
        <v>8.3013134399999994E-2</v>
      </c>
      <c r="FF72" s="305">
        <f t="shared" ca="1" si="125"/>
        <v>0.2503094873956877</v>
      </c>
      <c r="FG72" s="299">
        <f t="shared" ca="1" si="126"/>
        <v>4.4078032179579587</v>
      </c>
      <c r="FH72" s="302">
        <f t="shared" ca="1" si="127"/>
        <v>-0.18850812570998343</v>
      </c>
      <c r="FI72" s="248">
        <f t="shared" ca="1" si="128"/>
        <v>-96.220126186801622</v>
      </c>
      <c r="FJ72" s="363">
        <f t="shared" ca="1" si="129"/>
        <v>0.70892999251362265</v>
      </c>
      <c r="FK72" s="378">
        <f t="shared" ca="1" si="130"/>
        <v>0.12555708362255846</v>
      </c>
      <c r="FL72" s="508">
        <f t="shared" ca="1" si="131"/>
        <v>-0.95906710194499478</v>
      </c>
      <c r="FM72" s="508">
        <f t="shared" ca="1" si="132"/>
        <v>-0.84086022929052806</v>
      </c>
      <c r="FN72" s="508">
        <f t="shared" ca="1" si="133"/>
        <v>-6.8119418632900288</v>
      </c>
      <c r="FO72" s="508">
        <f t="shared" ca="1" si="134"/>
        <v>-0.80298924994802046</v>
      </c>
      <c r="FP72" s="353">
        <f t="shared" ca="1" si="135"/>
        <v>402.73384514612093</v>
      </c>
      <c r="FQ72" s="356">
        <f t="shared" ca="1" si="136"/>
        <v>28.068430634581123</v>
      </c>
      <c r="FR72" s="380">
        <f t="shared" ca="1" si="137"/>
        <v>23.1</v>
      </c>
      <c r="FS72" s="299">
        <f t="shared" ca="1" si="138"/>
        <v>23.1</v>
      </c>
      <c r="FT72" s="299">
        <f t="shared" ca="1" si="139"/>
        <v>23.1</v>
      </c>
      <c r="FU72" s="299">
        <f t="shared" ca="1" si="140"/>
        <v>23.1</v>
      </c>
      <c r="FV72" s="299">
        <f t="shared" ca="1" si="141"/>
        <v>23.099999999999998</v>
      </c>
      <c r="FW72" s="850">
        <f t="shared" ca="1" si="142"/>
        <v>0.17150000000000001</v>
      </c>
      <c r="FX72" s="851">
        <f t="shared" ca="1" si="143"/>
        <v>0.5</v>
      </c>
      <c r="FY72" s="851">
        <f t="shared" ca="1" si="144"/>
        <v>0</v>
      </c>
      <c r="FZ72" s="201">
        <f t="shared" ca="1" si="145"/>
        <v>0</v>
      </c>
      <c r="GA72" s="201">
        <f t="shared" ca="1" si="146"/>
        <v>0</v>
      </c>
      <c r="GB72" s="201">
        <f t="shared" ca="1" si="147"/>
        <v>0</v>
      </c>
      <c r="GC72" s="201">
        <f t="shared" ca="1" si="148"/>
        <v>0</v>
      </c>
      <c r="GD72" s="850">
        <f t="shared" ca="1" si="149"/>
        <v>0.32404081875000001</v>
      </c>
      <c r="GE72" s="866">
        <f t="shared" ca="1" si="150"/>
        <v>0.31154081875</v>
      </c>
      <c r="GF72" s="866">
        <f t="shared" ca="1" si="151"/>
        <v>0.31404081875000001</v>
      </c>
      <c r="GG72" s="866">
        <f t="shared" ca="1" si="152"/>
        <v>9.3013134399999989E-2</v>
      </c>
      <c r="GH72" s="866">
        <f t="shared" ca="1" si="153"/>
        <v>0.26280948739568771</v>
      </c>
      <c r="GI72" s="302">
        <f t="shared" ca="1" si="154"/>
        <v>11.604657957629396</v>
      </c>
      <c r="GJ72" s="299">
        <f t="shared" ca="1" si="155"/>
        <v>6.4176301419299753</v>
      </c>
      <c r="GK72" s="299">
        <f t="shared" ca="1" si="156"/>
        <v>6.9024397371567643</v>
      </c>
      <c r="GL72" s="299">
        <f t="shared" ca="1" si="157"/>
        <v>1.4694349011705299</v>
      </c>
      <c r="GM72" s="299">
        <f t="shared" ca="1" si="158"/>
        <v>6.7452710039560575</v>
      </c>
      <c r="GN72" s="302">
        <f t="shared" ca="1" si="159"/>
        <v>0.79419027027943079</v>
      </c>
      <c r="GO72" s="299">
        <f t="shared" ca="1" si="160"/>
        <v>0.66144883707627711</v>
      </c>
      <c r="GP72" s="299">
        <f t="shared" ca="1" si="161"/>
        <v>0.67811518641820634</v>
      </c>
      <c r="GQ72" s="299">
        <f t="shared" ca="1" si="162"/>
        <v>0.38671772931115728</v>
      </c>
      <c r="GR72" s="299">
        <f t="shared" ca="1" si="163"/>
        <v>0.69920295371120389</v>
      </c>
      <c r="GS72" s="302">
        <f t="shared" ca="1" si="164"/>
        <v>-0.58487748760040315</v>
      </c>
      <c r="GT72" s="299">
        <f t="shared" ca="1" si="165"/>
        <v>-0.43349077272382175</v>
      </c>
      <c r="GU72" s="299">
        <f t="shared" ca="1" si="166"/>
        <v>-0.44986600968074963</v>
      </c>
      <c r="GV72" s="299">
        <f t="shared" ca="1" si="167"/>
        <v>-0.27120858142541232</v>
      </c>
      <c r="GW72" s="299">
        <f t="shared" ca="1" si="168"/>
        <v>-0.50909267727312413</v>
      </c>
      <c r="GX72" s="303">
        <f t="shared" ca="1" si="169"/>
        <v>2764.2350665525209</v>
      </c>
      <c r="GY72" s="303">
        <f t="shared" ca="1" si="170"/>
        <v>291.17763126231148</v>
      </c>
      <c r="GZ72" s="303">
        <f t="shared" ca="1" si="171"/>
        <v>391.46772409506212</v>
      </c>
      <c r="HA72" s="303">
        <f t="shared" ca="1" si="172"/>
        <v>250.01435363665911</v>
      </c>
      <c r="HB72" s="303">
        <f t="shared" ca="1" si="173"/>
        <v>3442.9859440825853</v>
      </c>
      <c r="HC72" s="303">
        <f t="shared" ca="1" si="174"/>
        <v>2030.3765328009063</v>
      </c>
      <c r="HD72" s="303">
        <f t="shared" ca="1" si="175"/>
        <v>79.006327470761235</v>
      </c>
      <c r="HE72" s="303">
        <f t="shared" ca="1" si="176"/>
        <v>136.3155112596111</v>
      </c>
      <c r="HF72" s="303">
        <f t="shared" ca="1" si="177"/>
        <v>0</v>
      </c>
      <c r="HG72" s="852">
        <f t="shared" ca="1" si="178"/>
        <v>1718.2541579320582</v>
      </c>
    </row>
    <row r="73" spans="1:215" x14ac:dyDescent="0.25">
      <c r="A73" s="244">
        <f t="shared" ca="1" si="179"/>
        <v>38322</v>
      </c>
      <c r="B73" s="13">
        <f t="shared" ca="1" si="3"/>
        <v>2004</v>
      </c>
      <c r="C73" s="619">
        <f t="shared" ca="1" si="180"/>
        <v>12</v>
      </c>
      <c r="D73" s="195">
        <f t="shared" ca="1" si="4"/>
        <v>38346</v>
      </c>
      <c r="E73" s="469">
        <f t="shared" ca="1" si="5"/>
        <v>38322</v>
      </c>
      <c r="F73" s="465">
        <f t="shared" ca="1" si="6"/>
        <v>38352</v>
      </c>
      <c r="G73" s="522">
        <f t="shared" ca="1" si="181"/>
        <v>1</v>
      </c>
      <c r="H73" s="519">
        <f t="shared" ca="1" si="182"/>
        <v>1</v>
      </c>
      <c r="I73" s="724">
        <f t="shared" ca="1" si="7"/>
        <v>7.2967968895554999E-2</v>
      </c>
      <c r="J73" s="198">
        <f t="shared" ca="1" si="8"/>
        <v>0.70451331730150835</v>
      </c>
      <c r="K73" s="200">
        <f t="shared" ca="1" si="190"/>
        <v>29.8</v>
      </c>
      <c r="L73" s="201">
        <f t="shared" ca="1" si="191"/>
        <v>30.65</v>
      </c>
      <c r="M73" s="206">
        <f t="shared" ca="1" si="192"/>
        <v>31.5</v>
      </c>
      <c r="N73" s="851">
        <f t="shared" ca="1" si="196"/>
        <v>25.017498397827147</v>
      </c>
      <c r="O73" s="201">
        <f t="shared" ca="1" si="197"/>
        <v>25.654998397827146</v>
      </c>
      <c r="P73" s="206">
        <f t="shared" ca="1" si="198"/>
        <v>26.292498397827146</v>
      </c>
      <c r="Q73" s="201">
        <f t="shared" ca="1" si="199"/>
        <v>18.849999237060544</v>
      </c>
      <c r="R73" s="201">
        <f t="shared" ca="1" si="200"/>
        <v>22.149999237060545</v>
      </c>
      <c r="S73" s="201">
        <f t="shared" ca="1" si="201"/>
        <v>25.449999237060545</v>
      </c>
      <c r="T73" s="851">
        <f t="shared" ca="1" si="193"/>
        <v>20.574999237060545</v>
      </c>
      <c r="U73" s="201">
        <f t="shared" ca="1" si="194"/>
        <v>20.999999237060546</v>
      </c>
      <c r="V73" s="206">
        <f t="shared" ca="1" si="195"/>
        <v>21.424999237060547</v>
      </c>
      <c r="W73" s="230">
        <f t="shared" ca="1" si="183"/>
        <v>0.10671746624999999</v>
      </c>
      <c r="X73" s="231">
        <f t="shared" ca="1" si="184"/>
        <v>0.21343493249999998</v>
      </c>
      <c r="Y73" s="232">
        <f t="shared" ca="1" si="185"/>
        <v>0.32015239874999996</v>
      </c>
      <c r="Z73" s="231">
        <f t="shared" ca="1" si="202"/>
        <v>0.10671746624999999</v>
      </c>
      <c r="AA73" s="231">
        <f t="shared" ca="1" si="203"/>
        <v>0.21343493249999998</v>
      </c>
      <c r="AB73" s="232">
        <f t="shared" ca="1" si="204"/>
        <v>0.32015239874999996</v>
      </c>
      <c r="AC73" s="231">
        <f t="shared" ca="1" si="205"/>
        <v>0.10671746624999999</v>
      </c>
      <c r="AD73" s="231">
        <f t="shared" ca="1" si="206"/>
        <v>0.21343493249999998</v>
      </c>
      <c r="AE73" s="232">
        <f t="shared" ca="1" si="14"/>
        <v>0.32015239874999996</v>
      </c>
      <c r="AF73" s="231">
        <f t="shared" ca="1" si="186"/>
        <v>2.7671044799999996E-2</v>
      </c>
      <c r="AG73" s="231">
        <f t="shared" ca="1" si="187"/>
        <v>5.5342089599999991E-2</v>
      </c>
      <c r="AH73" s="232">
        <f t="shared" ca="1" si="188"/>
        <v>8.3013134399999994E-2</v>
      </c>
      <c r="AI73" s="233">
        <f t="shared" ca="1" si="15"/>
        <v>1</v>
      </c>
      <c r="AJ73" s="233">
        <f t="shared" ca="1" si="16"/>
        <v>1.25</v>
      </c>
      <c r="AK73" s="234">
        <f t="shared" ca="1" si="17"/>
        <v>1.6</v>
      </c>
      <c r="AL73" s="919">
        <f t="shared" ca="1" si="18"/>
        <v>1</v>
      </c>
      <c r="AM73" s="233">
        <f t="shared" ca="1" si="19"/>
        <v>1.25</v>
      </c>
      <c r="AN73" s="234">
        <f t="shared" ca="1" si="20"/>
        <v>1.6</v>
      </c>
      <c r="AO73" s="233">
        <f t="shared" ca="1" si="21"/>
        <v>1</v>
      </c>
      <c r="AP73" s="233">
        <f t="shared" ca="1" si="22"/>
        <v>1.25</v>
      </c>
      <c r="AQ73" s="233">
        <f t="shared" ca="1" si="23"/>
        <v>1.6</v>
      </c>
      <c r="AR73" s="919">
        <f t="shared" ca="1" si="24"/>
        <v>0.15</v>
      </c>
      <c r="AS73" s="233">
        <f t="shared" ca="1" si="25"/>
        <v>0.3</v>
      </c>
      <c r="AT73" s="235">
        <f t="shared" ca="1" si="26"/>
        <v>0.5</v>
      </c>
      <c r="AU73" s="946">
        <f t="shared" si="27"/>
        <v>0.5</v>
      </c>
      <c r="AV73" s="13">
        <f t="shared" ca="1" si="28"/>
        <v>23</v>
      </c>
      <c r="AW73" s="210">
        <f t="shared" ca="1" si="29"/>
        <v>3</v>
      </c>
      <c r="AX73" s="210">
        <f t="shared" ca="1" si="30"/>
        <v>4</v>
      </c>
      <c r="AY73" s="210">
        <f t="shared" ca="1" si="31"/>
        <v>1</v>
      </c>
      <c r="AZ73" s="13">
        <f t="shared" ca="1" si="32"/>
        <v>31</v>
      </c>
      <c r="BA73" s="357">
        <f ca="1"/>
        <v>368</v>
      </c>
      <c r="BB73" s="925">
        <f ca="1"/>
        <v>48</v>
      </c>
      <c r="BC73" s="925">
        <f ca="1"/>
        <v>80</v>
      </c>
      <c r="BD73" s="928">
        <f ca="1"/>
        <v>248</v>
      </c>
      <c r="BE73" s="200">
        <f ca="1"/>
        <v>0.9999692440032959</v>
      </c>
      <c r="BF73" s="851">
        <f ca="1"/>
        <v>0.9999692440032959</v>
      </c>
      <c r="BG73" s="851">
        <f ca="1"/>
        <v>0.9999692440032959</v>
      </c>
      <c r="BH73" s="933">
        <f ca="1"/>
        <v>1.0000000074505806</v>
      </c>
      <c r="BI73" s="357">
        <f ca="1"/>
        <v>368</v>
      </c>
      <c r="BJ73" s="925">
        <f ca="1"/>
        <v>48</v>
      </c>
      <c r="BK73" s="925">
        <f ca="1"/>
        <v>80</v>
      </c>
      <c r="BL73" s="928">
        <f ca="1"/>
        <v>248</v>
      </c>
      <c r="BM73" s="200">
        <f ca="1"/>
        <v>0.9999692440032959</v>
      </c>
      <c r="BN73" s="851">
        <f ca="1"/>
        <v>0.9999692440032959</v>
      </c>
      <c r="BO73" s="851">
        <f ca="1"/>
        <v>0.9999692440032959</v>
      </c>
      <c r="BP73" s="933">
        <f ca="1"/>
        <v>1.0000000074505806</v>
      </c>
      <c r="BQ73" s="357">
        <f t="shared" ca="1" si="33"/>
        <v>744</v>
      </c>
      <c r="BR73" s="361">
        <f t="shared" ca="1" si="34"/>
        <v>744</v>
      </c>
      <c r="BS73" s="357">
        <f t="shared" ca="1" si="35"/>
        <v>524.15790807232224</v>
      </c>
      <c r="BT73" s="302">
        <f t="shared" ca="1" si="36"/>
        <v>25.238466552737592</v>
      </c>
      <c r="BU73" s="299">
        <f t="shared" ca="1" si="37"/>
        <v>26.196505960792557</v>
      </c>
      <c r="BV73" s="299">
        <f t="shared" ca="1" si="38"/>
        <v>27.154545368847522</v>
      </c>
      <c r="BW73" s="299">
        <f t="shared" ca="1" si="39"/>
        <v>32.659889647739881</v>
      </c>
      <c r="BX73" s="380">
        <f t="shared" ca="1" si="40"/>
        <v>4.7501711156741955</v>
      </c>
      <c r="BY73" s="363">
        <f t="shared" ca="1" si="41"/>
        <v>259.26090076695505</v>
      </c>
      <c r="BZ73" s="353">
        <f t="shared" ca="1" si="42"/>
        <v>33.816639230472404</v>
      </c>
      <c r="CA73" s="353">
        <f t="shared" ca="1" si="43"/>
        <v>56.361065384120664</v>
      </c>
      <c r="CB73" s="353">
        <f t="shared" ca="1" si="44"/>
        <v>349.43860538154809</v>
      </c>
      <c r="CC73" s="353">
        <f t="shared" ca="1" si="45"/>
        <v>174.71930269077407</v>
      </c>
      <c r="CD73" s="353">
        <f t="shared" ca="1" si="46"/>
        <v>524.15790807232213</v>
      </c>
      <c r="CE73" s="302">
        <f t="shared" ca="1" si="47"/>
        <v>31.499031186103821</v>
      </c>
      <c r="CF73" s="299">
        <f t="shared" ca="1" si="48"/>
        <v>26.291689745833079</v>
      </c>
      <c r="CG73" s="299">
        <f t="shared" ca="1" si="49"/>
        <v>25.449216496967892</v>
      </c>
      <c r="CH73" s="299">
        <f t="shared" ca="1" si="50"/>
        <v>30.019318354926664</v>
      </c>
      <c r="CI73" s="299">
        <f t="shared" ca="1" si="51"/>
        <v>21.42499939668923</v>
      </c>
      <c r="CJ73" s="299">
        <f t="shared" ca="1" si="52"/>
        <v>27.154545368847522</v>
      </c>
      <c r="CK73" s="299">
        <f t="shared" ca="1" si="53"/>
        <v>32.659889647739881</v>
      </c>
      <c r="CL73" s="377">
        <f t="shared" ca="1" si="54"/>
        <v>0.32015239874999996</v>
      </c>
      <c r="CM73" s="305">
        <f t="shared" ca="1" si="55"/>
        <v>0.32015239874999996</v>
      </c>
      <c r="CN73" s="305">
        <f t="shared" ca="1" si="56"/>
        <v>0.32015239874999996</v>
      </c>
      <c r="CO73" s="305">
        <f t="shared" ca="1" si="57"/>
        <v>0.3201523987499999</v>
      </c>
      <c r="CP73" s="305">
        <f t="shared" ca="1" si="58"/>
        <v>8.3013134399999994E-2</v>
      </c>
      <c r="CQ73" s="305">
        <f t="shared" ca="1" si="59"/>
        <v>0.25691437562603081</v>
      </c>
      <c r="CR73" s="775">
        <f t="shared" ca="1" si="60"/>
        <v>0.32015239874999996</v>
      </c>
      <c r="CS73" s="305">
        <f t="shared" ca="1" si="61"/>
        <v>0.34515239874999998</v>
      </c>
      <c r="CT73" s="305">
        <f t="shared" ca="1" si="62"/>
        <v>0.35515239874999993</v>
      </c>
      <c r="CU73" s="305">
        <f t="shared" ca="1" si="63"/>
        <v>0.14301313439999999</v>
      </c>
      <c r="CV73" s="770">
        <f t="shared" ca="1" si="64"/>
        <v>0.27441437562603083</v>
      </c>
      <c r="CW73" s="302">
        <f t="shared" ca="1" si="65"/>
        <v>8.1829063062879062</v>
      </c>
      <c r="CX73" s="299">
        <f t="shared" ca="1" si="66"/>
        <v>5.7961271590287993</v>
      </c>
      <c r="CY73" s="299">
        <f t="shared" ca="1" si="67"/>
        <v>5.5735795212399735</v>
      </c>
      <c r="CZ73" s="299">
        <f t="shared" ca="1" si="68"/>
        <v>0.3324993714324278</v>
      </c>
      <c r="DA73" s="774">
        <f t="shared" ca="1" si="69"/>
        <v>4.599623629684622</v>
      </c>
      <c r="DB73" s="303">
        <f t="shared" ca="1" si="70"/>
        <v>2410.9290996555128</v>
      </c>
      <c r="DC73" s="248">
        <f t="shared" ca="1" si="71"/>
        <v>260.06803572417039</v>
      </c>
      <c r="DD73" s="778">
        <f t="shared" ca="1" si="72"/>
        <v>0</v>
      </c>
      <c r="DE73" s="363">
        <f t="shared" ca="1" si="73"/>
        <v>0.70451331730150835</v>
      </c>
      <c r="DF73" s="378">
        <f t="shared" ca="1" si="74"/>
        <v>-0.40075092572720078</v>
      </c>
      <c r="DG73" s="508">
        <f t="shared" ca="1" si="75"/>
        <v>-0.66445375328171397</v>
      </c>
      <c r="DH73" s="508">
        <f t="shared" ca="1" si="76"/>
        <v>-0.70930753244431133</v>
      </c>
      <c r="DI73" s="508">
        <f t="shared" ca="1" si="77"/>
        <v>-1.5084154167600472</v>
      </c>
      <c r="DJ73" s="508">
        <f t="shared" ca="1" si="78"/>
        <v>-0.60769976161039785</v>
      </c>
      <c r="DK73" s="353">
        <f t="shared" ca="1" si="79"/>
        <v>-142.41016823076919</v>
      </c>
      <c r="DL73" s="781">
        <f t="shared" ca="1" si="80"/>
        <v>8.9002854103891593</v>
      </c>
      <c r="DM73" s="303">
        <f t="shared" ca="1" si="81"/>
        <v>9935.5366547922204</v>
      </c>
      <c r="DN73" s="508">
        <f t="shared" ca="1" si="82"/>
        <v>1.0730284953438225</v>
      </c>
      <c r="DO73" s="508">
        <f t="shared" ca="1" si="83"/>
        <v>0.99010907060638764</v>
      </c>
      <c r="DP73" s="508">
        <f t="shared" ca="1" si="84"/>
        <v>0.97516464342998832</v>
      </c>
      <c r="DQ73" s="508">
        <f t="shared" ca="1" si="85"/>
        <v>0.89618110367471693</v>
      </c>
      <c r="DR73" s="508">
        <f t="shared" ca="1" si="86"/>
        <v>1.0049266598525308</v>
      </c>
      <c r="DS73" s="353">
        <f t="shared" ca="1" si="87"/>
        <v>7469.2573359734615</v>
      </c>
      <c r="DT73" s="353">
        <f t="shared" ca="1" si="88"/>
        <v>-8815.5740762110563</v>
      </c>
      <c r="DU73" s="380">
        <f t="shared" ca="1" si="189"/>
        <v>4.7501711156741955</v>
      </c>
      <c r="DV73" s="303">
        <f t="shared" ca="1" si="89"/>
        <v>259.26090076695505</v>
      </c>
      <c r="DW73" s="303">
        <f t="shared" ca="1" si="90"/>
        <v>33.816639230472404</v>
      </c>
      <c r="DX73" s="303">
        <f t="shared" ca="1" si="91"/>
        <v>56.361065384120664</v>
      </c>
      <c r="DY73" s="303">
        <f t="shared" ca="1" si="92"/>
        <v>349.43860538154809</v>
      </c>
      <c r="DZ73" s="303">
        <f t="shared" ca="1" si="93"/>
        <v>174.71930269077407</v>
      </c>
      <c r="EA73" s="303">
        <f t="shared" ca="1" si="94"/>
        <v>524.15790807232213</v>
      </c>
      <c r="EB73" s="302">
        <f t="shared" ca="1" si="95"/>
        <v>31.499031186103821</v>
      </c>
      <c r="EC73" s="299">
        <f t="shared" ca="1" si="96"/>
        <v>26.291689745833079</v>
      </c>
      <c r="ED73" s="299">
        <f t="shared" ca="1" si="97"/>
        <v>25.449216496967892</v>
      </c>
      <c r="EE73" s="299">
        <f t="shared" ca="1" si="98"/>
        <v>30.019318354926664</v>
      </c>
      <c r="EF73" s="299">
        <f t="shared" ca="1" si="99"/>
        <v>21.42499939668923</v>
      </c>
      <c r="EG73" s="299">
        <f t="shared" ca="1" si="100"/>
        <v>27.154545368847522</v>
      </c>
      <c r="EH73" s="302">
        <f t="shared" ca="1" si="101"/>
        <v>30</v>
      </c>
      <c r="EI73" s="304">
        <f t="shared" ca="1" si="102"/>
        <v>0.10671746624999999</v>
      </c>
      <c r="EJ73" s="305">
        <f t="shared" ca="1" si="103"/>
        <v>0.10671746624999999</v>
      </c>
      <c r="EK73" s="305">
        <f t="shared" ca="1" si="104"/>
        <v>0.10671746624999999</v>
      </c>
      <c r="EL73" s="305">
        <f t="shared" ca="1" si="105"/>
        <v>0.10671746624999989</v>
      </c>
      <c r="EM73" s="305">
        <f t="shared" ca="1" si="106"/>
        <v>2.7671044799999996E-2</v>
      </c>
      <c r="EN73" s="305">
        <f t="shared" ca="1" si="107"/>
        <v>8.2888018789463905E-2</v>
      </c>
      <c r="EO73" s="305">
        <f t="shared" ca="1" si="108"/>
        <v>0.10671746624999999</v>
      </c>
      <c r="EP73" s="305">
        <f t="shared" ca="1" si="109"/>
        <v>0.10671746624999999</v>
      </c>
      <c r="EQ73" s="305">
        <f t="shared" ca="1" si="110"/>
        <v>0.10671746624999999</v>
      </c>
      <c r="ER73" s="305">
        <f t="shared" ca="1" si="111"/>
        <v>2.7671044799999996E-2</v>
      </c>
      <c r="ES73" s="305">
        <f t="shared" ca="1" si="112"/>
        <v>8.2888018789463905E-2</v>
      </c>
      <c r="ET73" s="299">
        <f t="shared" ca="1" si="113"/>
        <v>3.7835909451907526</v>
      </c>
      <c r="EU73" s="302">
        <f t="shared" ca="1" si="114"/>
        <v>30</v>
      </c>
      <c r="EV73" s="304">
        <f t="shared" ca="1" si="115"/>
        <v>0.32015239874999996</v>
      </c>
      <c r="EW73" s="305">
        <f t="shared" ca="1" si="116"/>
        <v>0.32015239874999996</v>
      </c>
      <c r="EX73" s="305">
        <f t="shared" ca="1" si="117"/>
        <v>0.32015239874999996</v>
      </c>
      <c r="EY73" s="305">
        <f t="shared" ca="1" si="118"/>
        <v>0.3201523987499999</v>
      </c>
      <c r="EZ73" s="305">
        <f t="shared" ca="1" si="119"/>
        <v>8.3013134399999994E-2</v>
      </c>
      <c r="FA73" s="305">
        <f t="shared" ca="1" si="120"/>
        <v>0.25691437562603081</v>
      </c>
      <c r="FB73" s="305">
        <f t="shared" ca="1" si="121"/>
        <v>0.32015239874999996</v>
      </c>
      <c r="FC73" s="305">
        <f t="shared" ca="1" si="122"/>
        <v>0.32015239874999996</v>
      </c>
      <c r="FD73" s="305">
        <f t="shared" ca="1" si="123"/>
        <v>0.32015239874999996</v>
      </c>
      <c r="FE73" s="305">
        <f t="shared" ca="1" si="124"/>
        <v>8.3013134399999994E-2</v>
      </c>
      <c r="FF73" s="305">
        <f t="shared" ca="1" si="125"/>
        <v>0.25691437562603081</v>
      </c>
      <c r="FG73" s="299">
        <f t="shared" ca="1" si="126"/>
        <v>4.9754244619791717</v>
      </c>
      <c r="FH73" s="302">
        <f t="shared" ca="1" si="127"/>
        <v>-1.1918335167884191</v>
      </c>
      <c r="FI73" s="248">
        <f t="shared" ca="1" si="128"/>
        <v>-624.70896293029659</v>
      </c>
      <c r="FJ73" s="363">
        <f t="shared" ca="1" si="129"/>
        <v>0.70451331730150835</v>
      </c>
      <c r="FK73" s="378">
        <f t="shared" ca="1" si="130"/>
        <v>9.334241282693348E-2</v>
      </c>
      <c r="FL73" s="508">
        <f t="shared" ca="1" si="131"/>
        <v>-0.68357945112297014</v>
      </c>
      <c r="FM73" s="508">
        <f t="shared" ca="1" si="132"/>
        <v>-0.82360275994737508</v>
      </c>
      <c r="FN73" s="508">
        <f t="shared" ca="1" si="133"/>
        <v>-5.6120816255115544</v>
      </c>
      <c r="FO73" s="508">
        <f t="shared" ca="1" si="134"/>
        <v>-0.64195144133357862</v>
      </c>
      <c r="FP73" s="353">
        <f t="shared" ca="1" si="135"/>
        <v>387.63978018409273</v>
      </c>
      <c r="FQ73" s="356">
        <f t="shared" ca="1" si="136"/>
        <v>31.399158827734986</v>
      </c>
      <c r="FR73" s="380">
        <f t="shared" ca="1" si="137"/>
        <v>24.092000000000002</v>
      </c>
      <c r="FS73" s="299">
        <f t="shared" ca="1" si="138"/>
        <v>24.092000000000002</v>
      </c>
      <c r="FT73" s="299">
        <f t="shared" ca="1" si="139"/>
        <v>24.092000000000002</v>
      </c>
      <c r="FU73" s="299">
        <f t="shared" ca="1" si="140"/>
        <v>24.092000000000002</v>
      </c>
      <c r="FV73" s="299">
        <f t="shared" ca="1" si="141"/>
        <v>24.092000000000006</v>
      </c>
      <c r="FW73" s="850">
        <f t="shared" ca="1" si="142"/>
        <v>0.17200000000000001</v>
      </c>
      <c r="FX73" s="851">
        <f t="shared" ca="1" si="143"/>
        <v>0.5</v>
      </c>
      <c r="FY73" s="851">
        <f t="shared" ca="1" si="144"/>
        <v>0</v>
      </c>
      <c r="FZ73" s="201">
        <f t="shared" ca="1" si="145"/>
        <v>0</v>
      </c>
      <c r="GA73" s="201">
        <f t="shared" ca="1" si="146"/>
        <v>0</v>
      </c>
      <c r="GB73" s="201">
        <f t="shared" ca="1" si="147"/>
        <v>0</v>
      </c>
      <c r="GC73" s="201">
        <f t="shared" ca="1" si="148"/>
        <v>0</v>
      </c>
      <c r="GD73" s="850">
        <f t="shared" ca="1" si="149"/>
        <v>0.33515239874999997</v>
      </c>
      <c r="GE73" s="866">
        <f t="shared" ca="1" si="150"/>
        <v>0.32515239874999996</v>
      </c>
      <c r="GF73" s="866">
        <f t="shared" ca="1" si="151"/>
        <v>0.32015239874999996</v>
      </c>
      <c r="GG73" s="866">
        <f t="shared" ca="1" si="152"/>
        <v>8.3013134399999994E-2</v>
      </c>
      <c r="GH73" s="866">
        <f t="shared" ca="1" si="153"/>
        <v>0.26941437562603082</v>
      </c>
      <c r="GI73" s="302">
        <f t="shared" ca="1" si="154"/>
        <v>11.18968655695854</v>
      </c>
      <c r="GJ73" s="299">
        <f t="shared" ca="1" si="155"/>
        <v>7.2351091233088392</v>
      </c>
      <c r="GK73" s="299">
        <f t="shared" ca="1" si="156"/>
        <v>6.5892432619265087</v>
      </c>
      <c r="GL73" s="299">
        <f t="shared" ca="1" si="157"/>
        <v>1.7893876516372631</v>
      </c>
      <c r="GM73" s="299">
        <f t="shared" ca="1" si="158"/>
        <v>6.8745024858471799</v>
      </c>
      <c r="GN73" s="302">
        <f t="shared" ca="1" si="159"/>
        <v>0.7703677638089218</v>
      </c>
      <c r="GO73" s="299">
        <f t="shared" ca="1" si="160"/>
        <v>0.67339936336069894</v>
      </c>
      <c r="GP73" s="299">
        <f t="shared" ca="1" si="161"/>
        <v>0.65285221676077176</v>
      </c>
      <c r="GQ73" s="299">
        <f t="shared" ca="1" si="162"/>
        <v>0.42115103466459969</v>
      </c>
      <c r="GR73" s="299">
        <f t="shared" ca="1" si="163"/>
        <v>0.68788259203704616</v>
      </c>
      <c r="GS73" s="302">
        <f t="shared" ca="1" si="164"/>
        <v>-0.54275918709317428</v>
      </c>
      <c r="GT73" s="299">
        <f t="shared" ca="1" si="165"/>
        <v>-0.43457173161177304</v>
      </c>
      <c r="GU73" s="299">
        <f t="shared" ca="1" si="166"/>
        <v>-0.41612726268219213</v>
      </c>
      <c r="GV73" s="299">
        <f t="shared" ca="1" si="167"/>
        <v>-0.30025618420785749</v>
      </c>
      <c r="GW73" s="299">
        <f t="shared" ca="1" si="168"/>
        <v>-0.4899817421483692</v>
      </c>
      <c r="GX73" s="303">
        <f t="shared" ca="1" si="169"/>
        <v>2901.0482160569591</v>
      </c>
      <c r="GY73" s="303">
        <f t="shared" ca="1" si="170"/>
        <v>244.66707501603449</v>
      </c>
      <c r="GZ73" s="303">
        <f t="shared" ca="1" si="171"/>
        <v>371.37677031731647</v>
      </c>
      <c r="HA73" s="303">
        <f t="shared" ca="1" si="172"/>
        <v>312.64056273754437</v>
      </c>
      <c r="HB73" s="303">
        <f t="shared" ca="1" si="173"/>
        <v>3603.324842019636</v>
      </c>
      <c r="HC73" s="303">
        <f t="shared" ca="1" si="174"/>
        <v>1920.3535773182034</v>
      </c>
      <c r="HD73" s="303">
        <f t="shared" ca="1" si="175"/>
        <v>74.386114553806678</v>
      </c>
      <c r="HE73" s="303">
        <f t="shared" ca="1" si="176"/>
        <v>76.494167726014467</v>
      </c>
      <c r="HF73" s="303">
        <f t="shared" ca="1" si="177"/>
        <v>0</v>
      </c>
      <c r="HG73" s="852">
        <f t="shared" ca="1" si="178"/>
        <v>1605.2573739116922</v>
      </c>
    </row>
    <row r="74" spans="1:215" x14ac:dyDescent="0.25">
      <c r="A74" s="244">
        <f t="shared" ca="1" si="179"/>
        <v>38353</v>
      </c>
      <c r="B74" s="13">
        <f t="shared" ca="1" si="3"/>
        <v>2005</v>
      </c>
      <c r="C74" s="619">
        <f t="shared" ca="1" si="180"/>
        <v>1</v>
      </c>
      <c r="D74" s="195">
        <f t="shared" ca="1" si="4"/>
        <v>38353</v>
      </c>
      <c r="E74" s="469">
        <f t="shared" ca="1" si="5"/>
        <v>38353</v>
      </c>
      <c r="F74" s="465">
        <f t="shared" ca="1" si="6"/>
        <v>38383</v>
      </c>
      <c r="G74" s="522">
        <f t="shared" ca="1" si="181"/>
        <v>1</v>
      </c>
      <c r="H74" s="519">
        <f t="shared" ca="1" si="182"/>
        <v>1</v>
      </c>
      <c r="I74" s="724">
        <f t="shared" ca="1" si="7"/>
        <v>7.3005171567883012E-2</v>
      </c>
      <c r="J74" s="198">
        <f t="shared" ca="1" si="8"/>
        <v>0.70011600191744161</v>
      </c>
      <c r="K74" s="200">
        <f t="shared" ca="1" si="190"/>
        <v>35.75</v>
      </c>
      <c r="L74" s="201">
        <f t="shared" ca="1" si="191"/>
        <v>36.75</v>
      </c>
      <c r="M74" s="206">
        <f t="shared" ca="1" si="192"/>
        <v>37.75</v>
      </c>
      <c r="N74" s="851">
        <f t="shared" ca="1" si="196"/>
        <v>28.298748779296872</v>
      </c>
      <c r="O74" s="201">
        <f t="shared" ca="1" si="197"/>
        <v>29.048748779296872</v>
      </c>
      <c r="P74" s="206">
        <f t="shared" ca="1" si="198"/>
        <v>29.798748779296872</v>
      </c>
      <c r="Q74" s="201">
        <f t="shared" ca="1" si="199"/>
        <v>24.252500534057614</v>
      </c>
      <c r="R74" s="201">
        <f t="shared" ca="1" si="200"/>
        <v>27.552500534057614</v>
      </c>
      <c r="S74" s="201">
        <f t="shared" ca="1" si="201"/>
        <v>30.852500534057615</v>
      </c>
      <c r="T74" s="851">
        <f t="shared" ca="1" si="193"/>
        <v>20.29000015258789</v>
      </c>
      <c r="U74" s="201">
        <f t="shared" ca="1" si="194"/>
        <v>20.79000015258789</v>
      </c>
      <c r="V74" s="206">
        <f t="shared" ca="1" si="195"/>
        <v>21.29000015258789</v>
      </c>
      <c r="W74" s="230">
        <f t="shared" ca="1" si="183"/>
        <v>0.115252634375</v>
      </c>
      <c r="X74" s="231">
        <f t="shared" ca="1" si="184"/>
        <v>0.23050526874999999</v>
      </c>
      <c r="Y74" s="232">
        <f t="shared" ca="1" si="185"/>
        <v>0.34575790312499999</v>
      </c>
      <c r="Z74" s="231">
        <f t="shared" ca="1" si="202"/>
        <v>0.115252634375</v>
      </c>
      <c r="AA74" s="231">
        <f t="shared" ca="1" si="203"/>
        <v>0.23050526874999999</v>
      </c>
      <c r="AB74" s="232">
        <f t="shared" ca="1" si="204"/>
        <v>0.34575790312499999</v>
      </c>
      <c r="AC74" s="231">
        <f t="shared" ca="1" si="205"/>
        <v>0.115252634375</v>
      </c>
      <c r="AD74" s="231">
        <f t="shared" ca="1" si="206"/>
        <v>0.23050526874999999</v>
      </c>
      <c r="AE74" s="232">
        <f t="shared" ca="1" si="14"/>
        <v>0.34575790312499999</v>
      </c>
      <c r="AF74" s="231">
        <f t="shared" ca="1" si="186"/>
        <v>3.1637227888000004E-2</v>
      </c>
      <c r="AG74" s="231">
        <f t="shared" ca="1" si="187"/>
        <v>6.3274455776000008E-2</v>
      </c>
      <c r="AH74" s="232">
        <f t="shared" ca="1" si="188"/>
        <v>9.4911683664000018E-2</v>
      </c>
      <c r="AI74" s="233">
        <f t="shared" ca="1" si="15"/>
        <v>1.25</v>
      </c>
      <c r="AJ74" s="233">
        <f t="shared" ca="1" si="16"/>
        <v>2</v>
      </c>
      <c r="AK74" s="234">
        <f t="shared" ca="1" si="17"/>
        <v>2.75</v>
      </c>
      <c r="AL74" s="919">
        <f t="shared" ca="1" si="18"/>
        <v>1.25</v>
      </c>
      <c r="AM74" s="233">
        <f t="shared" ca="1" si="19"/>
        <v>2</v>
      </c>
      <c r="AN74" s="234">
        <f t="shared" ca="1" si="20"/>
        <v>2.75</v>
      </c>
      <c r="AO74" s="233">
        <f t="shared" ca="1" si="21"/>
        <v>1.25</v>
      </c>
      <c r="AP74" s="233">
        <f t="shared" ca="1" si="22"/>
        <v>2</v>
      </c>
      <c r="AQ74" s="233">
        <f t="shared" ca="1" si="23"/>
        <v>2.75</v>
      </c>
      <c r="AR74" s="919">
        <f t="shared" ca="1" si="24"/>
        <v>0.35</v>
      </c>
      <c r="AS74" s="233">
        <f t="shared" ca="1" si="25"/>
        <v>0.5</v>
      </c>
      <c r="AT74" s="235">
        <f t="shared" ca="1" si="26"/>
        <v>0.7</v>
      </c>
      <c r="AU74" s="946">
        <f t="shared" si="27"/>
        <v>0.5</v>
      </c>
      <c r="AV74" s="13">
        <f t="shared" ca="1" si="28"/>
        <v>21</v>
      </c>
      <c r="AW74" s="210">
        <f t="shared" ca="1" si="29"/>
        <v>4</v>
      </c>
      <c r="AX74" s="210">
        <f t="shared" ca="1" si="30"/>
        <v>5</v>
      </c>
      <c r="AY74" s="210">
        <f t="shared" ca="1" si="31"/>
        <v>1</v>
      </c>
      <c r="AZ74" s="13">
        <f t="shared" ca="1" si="32"/>
        <v>31</v>
      </c>
      <c r="BA74" s="357">
        <f ca="1"/>
        <v>336</v>
      </c>
      <c r="BB74" s="925">
        <f ca="1"/>
        <v>64</v>
      </c>
      <c r="BC74" s="925">
        <f ca="1"/>
        <v>96</v>
      </c>
      <c r="BD74" s="928">
        <f ca="1"/>
        <v>248</v>
      </c>
      <c r="BE74" s="200">
        <f ca="1"/>
        <v>0.99998503923416138</v>
      </c>
      <c r="BF74" s="851">
        <f ca="1"/>
        <v>0.99998503923416138</v>
      </c>
      <c r="BG74" s="851">
        <f ca="1"/>
        <v>0.99998503923416138</v>
      </c>
      <c r="BH74" s="933">
        <f ca="1"/>
        <v>1.0000070855021477</v>
      </c>
      <c r="BI74" s="357">
        <f ca="1"/>
        <v>336</v>
      </c>
      <c r="BJ74" s="925">
        <f ca="1"/>
        <v>64</v>
      </c>
      <c r="BK74" s="925">
        <f ca="1"/>
        <v>96</v>
      </c>
      <c r="BL74" s="928">
        <f ca="1"/>
        <v>248</v>
      </c>
      <c r="BM74" s="200">
        <f ca="1"/>
        <v>0.99998503923416138</v>
      </c>
      <c r="BN74" s="851">
        <f ca="1"/>
        <v>0.99998503923416138</v>
      </c>
      <c r="BO74" s="851">
        <f ca="1"/>
        <v>0.99998503923416138</v>
      </c>
      <c r="BP74" s="933">
        <f ca="1"/>
        <v>1.0000070855021477</v>
      </c>
      <c r="BQ74" s="357">
        <f t="shared" ca="1" si="33"/>
        <v>744</v>
      </c>
      <c r="BR74" s="361">
        <f t="shared" ca="1" si="34"/>
        <v>744</v>
      </c>
      <c r="BS74" s="357">
        <f t="shared" ca="1" si="35"/>
        <v>520.88630542657654</v>
      </c>
      <c r="BT74" s="302">
        <f t="shared" ca="1" si="36"/>
        <v>28.471873693483911</v>
      </c>
      <c r="BU74" s="299">
        <f t="shared" ca="1" si="37"/>
        <v>29.580462932862361</v>
      </c>
      <c r="BV74" s="299">
        <f t="shared" ca="1" si="38"/>
        <v>30.68905217224081</v>
      </c>
      <c r="BW74" s="299">
        <f t="shared" ca="1" si="39"/>
        <v>32.659889647739881</v>
      </c>
      <c r="BX74" s="380">
        <f t="shared" ca="1" si="40"/>
        <v>4.8350444900752905</v>
      </c>
      <c r="BY74" s="363">
        <f t="shared" ca="1" si="41"/>
        <v>235.23897664426039</v>
      </c>
      <c r="BZ74" s="353">
        <f t="shared" ca="1" si="42"/>
        <v>44.807424122716263</v>
      </c>
      <c r="CA74" s="353">
        <f t="shared" ca="1" si="43"/>
        <v>67.211136184074391</v>
      </c>
      <c r="CB74" s="353">
        <f t="shared" ca="1" si="44"/>
        <v>347.25753695105107</v>
      </c>
      <c r="CC74" s="353">
        <f t="shared" ca="1" si="45"/>
        <v>173.62876847552553</v>
      </c>
      <c r="CD74" s="353">
        <f t="shared" ca="1" si="46"/>
        <v>520.88630542657666</v>
      </c>
      <c r="CE74" s="302">
        <f t="shared" ca="1" si="47"/>
        <v>37.749435231089592</v>
      </c>
      <c r="CF74" s="299">
        <f t="shared" ca="1" si="48"/>
        <v>29.7983029671941</v>
      </c>
      <c r="CG74" s="299">
        <f t="shared" ca="1" si="49"/>
        <v>30.852038957021588</v>
      </c>
      <c r="CH74" s="299">
        <f t="shared" ca="1" si="50"/>
        <v>35.388502756896365</v>
      </c>
      <c r="CI74" s="299">
        <f t="shared" ca="1" si="51"/>
        <v>21.290151002929694</v>
      </c>
      <c r="CJ74" s="299">
        <f t="shared" ca="1" si="52"/>
        <v>30.689052172240807</v>
      </c>
      <c r="CK74" s="299">
        <f t="shared" ca="1" si="53"/>
        <v>32.659889647739881</v>
      </c>
      <c r="CL74" s="377">
        <f t="shared" ca="1" si="54"/>
        <v>0.34575790312499999</v>
      </c>
      <c r="CM74" s="305">
        <f t="shared" ca="1" si="55"/>
        <v>0.34575790312499999</v>
      </c>
      <c r="CN74" s="305">
        <f t="shared" ca="1" si="56"/>
        <v>0.34575790312499999</v>
      </c>
      <c r="CO74" s="305">
        <f t="shared" ca="1" si="57"/>
        <v>0.34575790312499999</v>
      </c>
      <c r="CP74" s="305">
        <f t="shared" ca="1" si="58"/>
        <v>9.4911683664000018E-2</v>
      </c>
      <c r="CQ74" s="305">
        <f t="shared" ca="1" si="59"/>
        <v>0.28819524040180905</v>
      </c>
      <c r="CR74" s="775">
        <f t="shared" ca="1" si="60"/>
        <v>0.360757903125</v>
      </c>
      <c r="CS74" s="305">
        <f t="shared" ca="1" si="61"/>
        <v>0.34575790312499999</v>
      </c>
      <c r="CT74" s="305">
        <f t="shared" ca="1" si="62"/>
        <v>0.34575790312499999</v>
      </c>
      <c r="CU74" s="305">
        <f t="shared" ca="1" si="63"/>
        <v>0.15491168366400002</v>
      </c>
      <c r="CV74" s="770">
        <f t="shared" ca="1" si="64"/>
        <v>0.28819524040180905</v>
      </c>
      <c r="CW74" s="302">
        <f t="shared" ca="1" si="65"/>
        <v>13.571260670903236</v>
      </c>
      <c r="CX74" s="299">
        <f t="shared" ca="1" si="66"/>
        <v>7.8819000731619138</v>
      </c>
      <c r="CY74" s="299">
        <f t="shared" ca="1" si="67"/>
        <v>8.5259600737694079</v>
      </c>
      <c r="CZ74" s="299">
        <f t="shared" ca="1" si="68"/>
        <v>0.44409626977558903</v>
      </c>
      <c r="DA74" s="774">
        <f t="shared" ca="1" si="69"/>
        <v>6.9269493548566867</v>
      </c>
      <c r="DB74" s="303">
        <f t="shared" ca="1" si="70"/>
        <v>3608.153057328308</v>
      </c>
      <c r="DC74" s="248">
        <f t="shared" ca="1" si="71"/>
        <v>305.51661492935534</v>
      </c>
      <c r="DD74" s="778">
        <f t="shared" ca="1" si="72"/>
        <v>0</v>
      </c>
      <c r="DE74" s="363">
        <f t="shared" ca="1" si="73"/>
        <v>0.70011600191744161</v>
      </c>
      <c r="DF74" s="378">
        <f t="shared" ca="1" si="74"/>
        <v>-0.21406408289377174</v>
      </c>
      <c r="DG74" s="508">
        <f t="shared" ca="1" si="75"/>
        <v>-0.50074781965828075</v>
      </c>
      <c r="DH74" s="508">
        <f t="shared" ca="1" si="76"/>
        <v>-0.45503901058980611</v>
      </c>
      <c r="DI74" s="508">
        <f t="shared" ca="1" si="77"/>
        <v>-1.4265221609415044</v>
      </c>
      <c r="DJ74" s="508">
        <f t="shared" ca="1" si="78"/>
        <v>-0.41507122168088584</v>
      </c>
      <c r="DK74" s="353">
        <f t="shared" ca="1" si="79"/>
        <v>-176.60385644218778</v>
      </c>
      <c r="DL74" s="781">
        <f t="shared" ca="1" si="80"/>
        <v>9.2117133114409562</v>
      </c>
      <c r="DM74" s="303">
        <f t="shared" ca="1" si="81"/>
        <v>11507.177763899981</v>
      </c>
      <c r="DN74" s="508">
        <f t="shared" ca="1" si="82"/>
        <v>1.1651956467936753</v>
      </c>
      <c r="DO74" s="508">
        <f t="shared" ca="1" si="83"/>
        <v>1.0576211414906986</v>
      </c>
      <c r="DP74" s="508">
        <f t="shared" ca="1" si="84"/>
        <v>1.0734269040448108</v>
      </c>
      <c r="DQ74" s="508">
        <f t="shared" ca="1" si="85"/>
        <v>0.90470624975097291</v>
      </c>
      <c r="DR74" s="508">
        <f t="shared" ca="1" si="86"/>
        <v>1.0710177675539274</v>
      </c>
      <c r="DS74" s="353">
        <f t="shared" ca="1" si="87"/>
        <v>7902.2697206510247</v>
      </c>
      <c r="DT74" s="353">
        <f t="shared" ca="1" si="88"/>
        <v>-9544.6677058885234</v>
      </c>
      <c r="DU74" s="380">
        <f t="shared" ca="1" si="189"/>
        <v>4.8350444900752905</v>
      </c>
      <c r="DV74" s="303">
        <f t="shared" ca="1" si="89"/>
        <v>235.23897664426039</v>
      </c>
      <c r="DW74" s="303">
        <f t="shared" ca="1" si="90"/>
        <v>44.807424122716263</v>
      </c>
      <c r="DX74" s="303">
        <f t="shared" ca="1" si="91"/>
        <v>67.211136184074391</v>
      </c>
      <c r="DY74" s="303">
        <f t="shared" ca="1" si="92"/>
        <v>347.25753695105107</v>
      </c>
      <c r="DZ74" s="303">
        <f t="shared" ca="1" si="93"/>
        <v>173.62876847552553</v>
      </c>
      <c r="EA74" s="303">
        <f t="shared" ca="1" si="94"/>
        <v>520.88630542657666</v>
      </c>
      <c r="EB74" s="302">
        <f t="shared" ca="1" si="95"/>
        <v>37.749435231089592</v>
      </c>
      <c r="EC74" s="299">
        <f t="shared" ca="1" si="96"/>
        <v>29.7983029671941</v>
      </c>
      <c r="ED74" s="299">
        <f t="shared" ca="1" si="97"/>
        <v>30.852038957021588</v>
      </c>
      <c r="EE74" s="299">
        <f t="shared" ca="1" si="98"/>
        <v>35.388502756896365</v>
      </c>
      <c r="EF74" s="299">
        <f t="shared" ca="1" si="99"/>
        <v>21.290151002929694</v>
      </c>
      <c r="EG74" s="299">
        <f t="shared" ca="1" si="100"/>
        <v>30.689052172240807</v>
      </c>
      <c r="EH74" s="302">
        <f t="shared" ca="1" si="101"/>
        <v>30</v>
      </c>
      <c r="EI74" s="304">
        <f t="shared" ca="1" si="102"/>
        <v>0.115252634375</v>
      </c>
      <c r="EJ74" s="305">
        <f t="shared" ca="1" si="103"/>
        <v>0.115252634375</v>
      </c>
      <c r="EK74" s="305">
        <f t="shared" ca="1" si="104"/>
        <v>0.115252634375</v>
      </c>
      <c r="EL74" s="305">
        <f t="shared" ca="1" si="105"/>
        <v>0.115252634375</v>
      </c>
      <c r="EM74" s="305">
        <f t="shared" ca="1" si="106"/>
        <v>3.1637227888000004E-2</v>
      </c>
      <c r="EN74" s="305">
        <f t="shared" ca="1" si="107"/>
        <v>9.2896954970472775E-2</v>
      </c>
      <c r="EO74" s="305">
        <f t="shared" ca="1" si="108"/>
        <v>0.115252634375</v>
      </c>
      <c r="EP74" s="305">
        <f t="shared" ca="1" si="109"/>
        <v>0.115252634375</v>
      </c>
      <c r="EQ74" s="305">
        <f t="shared" ca="1" si="110"/>
        <v>0.115252634375</v>
      </c>
      <c r="ER74" s="305">
        <f t="shared" ca="1" si="111"/>
        <v>3.1637227888000004E-2</v>
      </c>
      <c r="ES74" s="305">
        <f t="shared" ca="1" si="112"/>
        <v>9.2896954970472775E-2</v>
      </c>
      <c r="ET74" s="299">
        <f t="shared" ca="1" si="113"/>
        <v>2.1391821886863376</v>
      </c>
      <c r="EU74" s="302">
        <f t="shared" ca="1" si="114"/>
        <v>30</v>
      </c>
      <c r="EV74" s="304">
        <f t="shared" ca="1" si="115"/>
        <v>0.34575790312499999</v>
      </c>
      <c r="EW74" s="305">
        <f t="shared" ca="1" si="116"/>
        <v>0.34575790312499999</v>
      </c>
      <c r="EX74" s="305">
        <f t="shared" ca="1" si="117"/>
        <v>0.34575790312499999</v>
      </c>
      <c r="EY74" s="305">
        <f t="shared" ca="1" si="118"/>
        <v>0.34575790312499999</v>
      </c>
      <c r="EZ74" s="305">
        <f t="shared" ca="1" si="119"/>
        <v>9.4911683664000018E-2</v>
      </c>
      <c r="FA74" s="305">
        <f t="shared" ca="1" si="120"/>
        <v>0.28819524040180905</v>
      </c>
      <c r="FB74" s="305">
        <f t="shared" ca="1" si="121"/>
        <v>0.34575790312499999</v>
      </c>
      <c r="FC74" s="305">
        <f t="shared" ca="1" si="122"/>
        <v>0.34575790312499999</v>
      </c>
      <c r="FD74" s="305">
        <f t="shared" ca="1" si="123"/>
        <v>0.34575790312499999</v>
      </c>
      <c r="FE74" s="305">
        <f t="shared" ca="1" si="124"/>
        <v>9.4911683664000018E-2</v>
      </c>
      <c r="FF74" s="305">
        <f t="shared" ca="1" si="125"/>
        <v>0.28819524040180905</v>
      </c>
      <c r="FG74" s="299">
        <f t="shared" ca="1" si="126"/>
        <v>7.8942035215201543</v>
      </c>
      <c r="FH74" s="302">
        <f t="shared" ca="1" si="127"/>
        <v>-5.7550213328338167</v>
      </c>
      <c r="FI74" s="248">
        <f t="shared" ca="1" si="128"/>
        <v>-2997.7117997109399</v>
      </c>
      <c r="FJ74" s="363">
        <f t="shared" ca="1" si="129"/>
        <v>0.70011600191744161</v>
      </c>
      <c r="FK74" s="378">
        <f t="shared" ca="1" si="130"/>
        <v>0.77995472819587375</v>
      </c>
      <c r="FL74" s="508">
        <f t="shared" ca="1" si="131"/>
        <v>-0.1533319462107515</v>
      </c>
      <c r="FM74" s="508">
        <f t="shared" ca="1" si="132"/>
        <v>-1.6205519005327764E-2</v>
      </c>
      <c r="FN74" s="508">
        <f t="shared" ca="1" si="133"/>
        <v>-4.96465583759064</v>
      </c>
      <c r="FO74" s="508">
        <f t="shared" ca="1" si="134"/>
        <v>9.0359541102423401E-3</v>
      </c>
      <c r="FP74" s="353">
        <f t="shared" ca="1" si="135"/>
        <v>258.56546399962417</v>
      </c>
      <c r="FQ74" s="356">
        <f t="shared" ca="1" si="136"/>
        <v>33.908805277297752</v>
      </c>
      <c r="FR74" s="380">
        <f t="shared" ca="1" si="137"/>
        <v>24.48</v>
      </c>
      <c r="FS74" s="299">
        <f t="shared" ca="1" si="138"/>
        <v>24.48</v>
      </c>
      <c r="FT74" s="299">
        <f t="shared" ca="1" si="139"/>
        <v>24.48</v>
      </c>
      <c r="FU74" s="299">
        <f t="shared" ca="1" si="140"/>
        <v>24.48</v>
      </c>
      <c r="FV74" s="299">
        <f t="shared" ca="1" si="141"/>
        <v>24.479999999999997</v>
      </c>
      <c r="FW74" s="850">
        <f t="shared" ca="1" si="142"/>
        <v>0.17350000000000002</v>
      </c>
      <c r="FX74" s="851">
        <f t="shared" ca="1" si="143"/>
        <v>0.5</v>
      </c>
      <c r="FY74" s="851">
        <f t="shared" ca="1" si="144"/>
        <v>0</v>
      </c>
      <c r="FZ74" s="201">
        <f t="shared" ca="1" si="145"/>
        <v>0</v>
      </c>
      <c r="GA74" s="201">
        <f t="shared" ca="1" si="146"/>
        <v>0</v>
      </c>
      <c r="GB74" s="201">
        <f t="shared" ca="1" si="147"/>
        <v>0</v>
      </c>
      <c r="GC74" s="201">
        <f t="shared" ca="1" si="148"/>
        <v>0</v>
      </c>
      <c r="GD74" s="850">
        <f t="shared" ca="1" si="149"/>
        <v>0.360757903125</v>
      </c>
      <c r="GE74" s="866">
        <f t="shared" ca="1" si="150"/>
        <v>0.360757903125</v>
      </c>
      <c r="GF74" s="866">
        <f t="shared" ca="1" si="151"/>
        <v>0.360757903125</v>
      </c>
      <c r="GG74" s="866">
        <f t="shared" ca="1" si="152"/>
        <v>0.10491168366400001</v>
      </c>
      <c r="GH74" s="866">
        <f t="shared" ca="1" si="153"/>
        <v>0.30319524040180906</v>
      </c>
      <c r="GI74" s="302">
        <f t="shared" ca="1" si="154"/>
        <v>16.51626167463116</v>
      </c>
      <c r="GJ74" s="299">
        <f t="shared" ca="1" si="155"/>
        <v>10.239042966749073</v>
      </c>
      <c r="GK74" s="299">
        <f t="shared" ca="1" si="156"/>
        <v>11.022788946559318</v>
      </c>
      <c r="GL74" s="299">
        <f t="shared" ca="1" si="157"/>
        <v>1.6888530264876882</v>
      </c>
      <c r="GM74" s="299">
        <f t="shared" ca="1" si="158"/>
        <v>9.8493595131865579</v>
      </c>
      <c r="GN74" s="302">
        <f t="shared" ca="1" si="159"/>
        <v>0.83494196100032358</v>
      </c>
      <c r="GO74" s="299">
        <f t="shared" ca="1" si="160"/>
        <v>0.73554719618628828</v>
      </c>
      <c r="GP74" s="299">
        <f t="shared" ca="1" si="161"/>
        <v>0.7518271432043121</v>
      </c>
      <c r="GQ74" s="299">
        <f t="shared" ca="1" si="162"/>
        <v>0.40009111012959142</v>
      </c>
      <c r="GR74" s="299">
        <f t="shared" ca="1" si="163"/>
        <v>0.75170001866824809</v>
      </c>
      <c r="GS74" s="302">
        <f t="shared" ca="1" si="164"/>
        <v>-0.61284027675771791</v>
      </c>
      <c r="GT74" s="299">
        <f t="shared" ca="1" si="165"/>
        <v>-0.47708404359891893</v>
      </c>
      <c r="GU74" s="299">
        <f t="shared" ca="1" si="166"/>
        <v>-0.49724738180261241</v>
      </c>
      <c r="GV74" s="299">
        <f t="shared" ca="1" si="167"/>
        <v>-0.27896840563710745</v>
      </c>
      <c r="GW74" s="299">
        <f t="shared" ca="1" si="168"/>
        <v>-0.54001651379660898</v>
      </c>
      <c r="GX74" s="303">
        <f t="shared" ca="1" si="169"/>
        <v>3885.2684943290524</v>
      </c>
      <c r="GY74" s="303">
        <f t="shared" ca="1" si="170"/>
        <v>458.78514082184074</v>
      </c>
      <c r="GZ74" s="303">
        <f t="shared" ca="1" si="171"/>
        <v>740.85416901550821</v>
      </c>
      <c r="HA74" s="303">
        <f t="shared" ca="1" si="172"/>
        <v>293.2334711252214</v>
      </c>
      <c r="HB74" s="303">
        <f t="shared" ca="1" si="173"/>
        <v>5130.3964876418513</v>
      </c>
      <c r="HC74" s="303">
        <f t="shared" ca="1" si="174"/>
        <v>3121.4883644088104</v>
      </c>
      <c r="HD74" s="303">
        <f t="shared" ca="1" si="175"/>
        <v>238.2994566641664</v>
      </c>
      <c r="HE74" s="303">
        <f t="shared" ca="1" si="176"/>
        <v>428.27197811060523</v>
      </c>
      <c r="HF74" s="303">
        <f t="shared" ca="1" si="177"/>
        <v>0</v>
      </c>
      <c r="HG74" s="852">
        <f t="shared" ca="1" si="178"/>
        <v>3234.2102461993759</v>
      </c>
    </row>
    <row r="75" spans="1:215" x14ac:dyDescent="0.25">
      <c r="A75" s="244">
        <f t="shared" ca="1" si="179"/>
        <v>38384</v>
      </c>
      <c r="B75" s="13">
        <f t="shared" ca="1" si="3"/>
        <v>2005</v>
      </c>
      <c r="C75" s="619">
        <f t="shared" ca="1" si="180"/>
        <v>2</v>
      </c>
      <c r="D75" s="195" t="str">
        <f t="shared" ca="1" si="4"/>
        <v/>
      </c>
      <c r="E75" s="469">
        <f t="shared" ca="1" si="5"/>
        <v>38384</v>
      </c>
      <c r="F75" s="465">
        <f t="shared" ca="1" si="6"/>
        <v>38411</v>
      </c>
      <c r="G75" s="522">
        <f t="shared" ca="1" si="181"/>
        <v>1</v>
      </c>
      <c r="H75" s="519">
        <f t="shared" ca="1" si="182"/>
        <v>1</v>
      </c>
      <c r="I75" s="724">
        <f t="shared" ca="1" si="7"/>
        <v>7.3042374240667993E-2</v>
      </c>
      <c r="J75" s="198">
        <f t="shared" ca="1" si="8"/>
        <v>0.69615197728927514</v>
      </c>
      <c r="K75" s="200">
        <f t="shared" ca="1" si="190"/>
        <v>35.75</v>
      </c>
      <c r="L75" s="201">
        <f t="shared" ca="1" si="191"/>
        <v>36.75</v>
      </c>
      <c r="M75" s="206">
        <f t="shared" ca="1" si="192"/>
        <v>37.75</v>
      </c>
      <c r="N75" s="851">
        <f t="shared" ca="1" si="196"/>
        <v>27.296250152587888</v>
      </c>
      <c r="O75" s="201">
        <f t="shared" ca="1" si="197"/>
        <v>28.046250152587888</v>
      </c>
      <c r="P75" s="206">
        <f t="shared" ca="1" si="198"/>
        <v>28.796250152587888</v>
      </c>
      <c r="Q75" s="201">
        <f t="shared" ca="1" si="199"/>
        <v>22.247499465942379</v>
      </c>
      <c r="R75" s="201">
        <f t="shared" ca="1" si="200"/>
        <v>25.54749946594238</v>
      </c>
      <c r="S75" s="201">
        <f t="shared" ca="1" si="201"/>
        <v>28.847499465942381</v>
      </c>
      <c r="T75" s="851">
        <f t="shared" ca="1" si="193"/>
        <v>20.09999771118164</v>
      </c>
      <c r="U75" s="201">
        <f t="shared" ca="1" si="194"/>
        <v>20.59999771118164</v>
      </c>
      <c r="V75" s="206">
        <f t="shared" ca="1" si="195"/>
        <v>21.09999771118164</v>
      </c>
      <c r="W75" s="230">
        <f t="shared" ca="1" si="183"/>
        <v>0.11118010312499998</v>
      </c>
      <c r="X75" s="231">
        <f t="shared" ca="1" si="184"/>
        <v>0.22236020624999997</v>
      </c>
      <c r="Y75" s="232">
        <f t="shared" ca="1" si="185"/>
        <v>0.33354030937499995</v>
      </c>
      <c r="Z75" s="231">
        <f t="shared" ca="1" si="202"/>
        <v>0.11118010312499998</v>
      </c>
      <c r="AA75" s="231">
        <f t="shared" ca="1" si="203"/>
        <v>0.22236020624999997</v>
      </c>
      <c r="AB75" s="232">
        <f t="shared" ca="1" si="204"/>
        <v>0.33354030937499995</v>
      </c>
      <c r="AC75" s="231">
        <f t="shared" ca="1" si="205"/>
        <v>0.11118010312499998</v>
      </c>
      <c r="AD75" s="231">
        <f t="shared" ca="1" si="206"/>
        <v>0.22236020624999997</v>
      </c>
      <c r="AE75" s="232">
        <f t="shared" ca="1" si="14"/>
        <v>0.33354030937499995</v>
      </c>
      <c r="AF75" s="231">
        <f t="shared" ca="1" si="186"/>
        <v>3.1637227888000004E-2</v>
      </c>
      <c r="AG75" s="231">
        <f t="shared" ca="1" si="187"/>
        <v>6.3274455776000008E-2</v>
      </c>
      <c r="AH75" s="232">
        <f t="shared" ca="1" si="188"/>
        <v>9.4911683664000018E-2</v>
      </c>
      <c r="AI75" s="233">
        <f t="shared" ca="1" si="15"/>
        <v>1.25</v>
      </c>
      <c r="AJ75" s="233">
        <f t="shared" ca="1" si="16"/>
        <v>2</v>
      </c>
      <c r="AK75" s="234">
        <f t="shared" ca="1" si="17"/>
        <v>2.75</v>
      </c>
      <c r="AL75" s="919">
        <f t="shared" ca="1" si="18"/>
        <v>1.25</v>
      </c>
      <c r="AM75" s="233">
        <f t="shared" ca="1" si="19"/>
        <v>2</v>
      </c>
      <c r="AN75" s="234">
        <f t="shared" ca="1" si="20"/>
        <v>2.75</v>
      </c>
      <c r="AO75" s="233">
        <f t="shared" ca="1" si="21"/>
        <v>1.25</v>
      </c>
      <c r="AP75" s="233">
        <f t="shared" ca="1" si="22"/>
        <v>2</v>
      </c>
      <c r="AQ75" s="233">
        <f t="shared" ca="1" si="23"/>
        <v>2.75</v>
      </c>
      <c r="AR75" s="919">
        <f t="shared" ca="1" si="24"/>
        <v>0.35</v>
      </c>
      <c r="AS75" s="233">
        <f t="shared" ca="1" si="25"/>
        <v>0.5</v>
      </c>
      <c r="AT75" s="235">
        <f t="shared" ca="1" si="26"/>
        <v>0.7</v>
      </c>
      <c r="AU75" s="946">
        <f t="shared" si="27"/>
        <v>0.5</v>
      </c>
      <c r="AV75" s="13">
        <f t="shared" ca="1" si="28"/>
        <v>20</v>
      </c>
      <c r="AW75" s="210">
        <f t="shared" ca="1" si="29"/>
        <v>4</v>
      </c>
      <c r="AX75" s="210">
        <f t="shared" ca="1" si="30"/>
        <v>4</v>
      </c>
      <c r="AY75" s="210">
        <f t="shared" ca="1" si="31"/>
        <v>0</v>
      </c>
      <c r="AZ75" s="13">
        <f t="shared" ca="1" si="32"/>
        <v>28</v>
      </c>
      <c r="BA75" s="357">
        <f ca="1"/>
        <v>320</v>
      </c>
      <c r="BB75" s="925">
        <f ca="1"/>
        <v>64</v>
      </c>
      <c r="BC75" s="925">
        <f ca="1"/>
        <v>64</v>
      </c>
      <c r="BD75" s="928">
        <f ca="1"/>
        <v>224</v>
      </c>
      <c r="BE75" s="200">
        <f ca="1"/>
        <v>0.99998503923416138</v>
      </c>
      <c r="BF75" s="851">
        <f ca="1"/>
        <v>0.99998503923416138</v>
      </c>
      <c r="BG75" s="851">
        <f ca="1"/>
        <v>0.99998503923416138</v>
      </c>
      <c r="BH75" s="933">
        <f ca="1"/>
        <v>1.0000070855021477</v>
      </c>
      <c r="BI75" s="357">
        <f ca="1"/>
        <v>320</v>
      </c>
      <c r="BJ75" s="925">
        <f ca="1"/>
        <v>64</v>
      </c>
      <c r="BK75" s="925">
        <f ca="1"/>
        <v>64</v>
      </c>
      <c r="BL75" s="928">
        <f ca="1"/>
        <v>224</v>
      </c>
      <c r="BM75" s="200">
        <f ca="1"/>
        <v>0.99998503923416138</v>
      </c>
      <c r="BN75" s="851">
        <f ca="1"/>
        <v>0.99998503923416138</v>
      </c>
      <c r="BO75" s="851">
        <f ca="1"/>
        <v>0.99998503923416138</v>
      </c>
      <c r="BP75" s="933">
        <f ca="1"/>
        <v>1.0000070855021477</v>
      </c>
      <c r="BQ75" s="357">
        <f t="shared" ca="1" si="33"/>
        <v>672</v>
      </c>
      <c r="BR75" s="361">
        <f t="shared" ca="1" si="34"/>
        <v>672</v>
      </c>
      <c r="BS75" s="357">
        <f t="shared" ca="1" si="35"/>
        <v>467.81412873839287</v>
      </c>
      <c r="BT75" s="302">
        <f t="shared" ca="1" si="36"/>
        <v>28.441983297462372</v>
      </c>
      <c r="BU75" s="299">
        <f t="shared" ca="1" si="37"/>
        <v>29.470543012195506</v>
      </c>
      <c r="BV75" s="299">
        <f t="shared" ca="1" si="38"/>
        <v>30.499102726928641</v>
      </c>
      <c r="BW75" s="299">
        <f t="shared" ca="1" si="39"/>
        <v>32.659889647739881</v>
      </c>
      <c r="BX75" s="380">
        <f t="shared" ca="1" si="40"/>
        <v>4.9199178644763863</v>
      </c>
      <c r="BY75" s="363">
        <f t="shared" ca="1" si="41"/>
        <v>222.76863273256805</v>
      </c>
      <c r="BZ75" s="353">
        <f t="shared" ca="1" si="42"/>
        <v>44.553726546513609</v>
      </c>
      <c r="CA75" s="353">
        <f t="shared" ca="1" si="43"/>
        <v>44.553726546513609</v>
      </c>
      <c r="CB75" s="353">
        <f t="shared" ca="1" si="44"/>
        <v>311.87608582559523</v>
      </c>
      <c r="CC75" s="353">
        <f t="shared" ca="1" si="45"/>
        <v>155.93804291279764</v>
      </c>
      <c r="CD75" s="353">
        <f t="shared" ca="1" si="46"/>
        <v>467.81412873839287</v>
      </c>
      <c r="CE75" s="302">
        <f t="shared" ca="1" si="47"/>
        <v>37.749435231089592</v>
      </c>
      <c r="CF75" s="299">
        <f t="shared" ca="1" si="48"/>
        <v>28.795819338632324</v>
      </c>
      <c r="CG75" s="299">
        <f t="shared" ca="1" si="49"/>
        <v>28.847067885257839</v>
      </c>
      <c r="CH75" s="299">
        <f t="shared" ca="1" si="50"/>
        <v>35.198580482762594</v>
      </c>
      <c r="CI75" s="299">
        <f t="shared" ca="1" si="51"/>
        <v>21.100147215260737</v>
      </c>
      <c r="CJ75" s="299">
        <f t="shared" ca="1" si="52"/>
        <v>30.499102726928641</v>
      </c>
      <c r="CK75" s="299">
        <f t="shared" ca="1" si="53"/>
        <v>32.659889647739881</v>
      </c>
      <c r="CL75" s="377">
        <f t="shared" ca="1" si="54"/>
        <v>0.33354030937499995</v>
      </c>
      <c r="CM75" s="305">
        <f t="shared" ca="1" si="55"/>
        <v>0.33354030937499995</v>
      </c>
      <c r="CN75" s="305">
        <f t="shared" ca="1" si="56"/>
        <v>0.33354030937499995</v>
      </c>
      <c r="CO75" s="305">
        <f t="shared" ca="1" si="57"/>
        <v>0.33354030937499995</v>
      </c>
      <c r="CP75" s="305">
        <f t="shared" ca="1" si="58"/>
        <v>9.4911683664000018E-2</v>
      </c>
      <c r="CQ75" s="305">
        <f t="shared" ca="1" si="59"/>
        <v>0.2779638136269641</v>
      </c>
      <c r="CR75" s="775">
        <f t="shared" ca="1" si="60"/>
        <v>0.34854030937499997</v>
      </c>
      <c r="CS75" s="305">
        <f t="shared" ca="1" si="61"/>
        <v>0.34354030937499996</v>
      </c>
      <c r="CT75" s="305">
        <f t="shared" ca="1" si="62"/>
        <v>0.34354030937499996</v>
      </c>
      <c r="CU75" s="305">
        <f t="shared" ca="1" si="63"/>
        <v>0.15491168366400002</v>
      </c>
      <c r="CV75" s="770">
        <f t="shared" ca="1" si="64"/>
        <v>0.2779638136269641</v>
      </c>
      <c r="CW75" s="302">
        <f t="shared" ca="1" si="65"/>
        <v>13.314042484794923</v>
      </c>
      <c r="CX75" s="299">
        <f t="shared" ca="1" si="66"/>
        <v>7.3060681419565121</v>
      </c>
      <c r="CY75" s="299">
        <f t="shared" ca="1" si="67"/>
        <v>7.3360926698018822</v>
      </c>
      <c r="CZ75" s="299">
        <f t="shared" ca="1" si="68"/>
        <v>0.4318726117110061</v>
      </c>
      <c r="DA75" s="774">
        <f t="shared" ca="1" si="69"/>
        <v>6.6114127100819022</v>
      </c>
      <c r="DB75" s="303">
        <f t="shared" ca="1" si="70"/>
        <v>3092.9122766969017</v>
      </c>
      <c r="DC75" s="248">
        <f t="shared" ca="1" si="71"/>
        <v>270.48308134518038</v>
      </c>
      <c r="DD75" s="778">
        <f t="shared" ca="1" si="72"/>
        <v>0</v>
      </c>
      <c r="DE75" s="363">
        <f t="shared" ca="1" si="73"/>
        <v>0.69615197728927514</v>
      </c>
      <c r="DF75" s="378">
        <f t="shared" ca="1" si="74"/>
        <v>-0.19921767386043912</v>
      </c>
      <c r="DG75" s="508">
        <f t="shared" ca="1" si="75"/>
        <v>-0.54624687842494213</v>
      </c>
      <c r="DH75" s="508">
        <f t="shared" ca="1" si="76"/>
        <v>-0.543913370343167</v>
      </c>
      <c r="DI75" s="508">
        <f t="shared" ca="1" si="77"/>
        <v>-1.4432174592823135</v>
      </c>
      <c r="DJ75" s="508">
        <f t="shared" ca="1" si="78"/>
        <v>-0.41929621852021315</v>
      </c>
      <c r="DK75" s="353">
        <f t="shared" ca="1" si="79"/>
        <v>-157.8872059077828</v>
      </c>
      <c r="DL75" s="781">
        <f t="shared" ca="1" si="80"/>
        <v>8.4883870478438705</v>
      </c>
      <c r="DM75" s="303">
        <f t="shared" ca="1" si="81"/>
        <v>10320.015265207785</v>
      </c>
      <c r="DN75" s="508">
        <f t="shared" ca="1" si="82"/>
        <v>1.1742317269315794</v>
      </c>
      <c r="DO75" s="508">
        <f t="shared" ca="1" si="83"/>
        <v>1.0521593471152673</v>
      </c>
      <c r="DP75" s="508">
        <f t="shared" ca="1" si="84"/>
        <v>1.0529610813770351</v>
      </c>
      <c r="DQ75" s="508">
        <f t="shared" ca="1" si="85"/>
        <v>0.91195698132179503</v>
      </c>
      <c r="DR75" s="508">
        <f t="shared" ca="1" si="86"/>
        <v>1.0780703012983945</v>
      </c>
      <c r="DS75" s="353">
        <f t="shared" ca="1" si="87"/>
        <v>7061.1156390926317</v>
      </c>
      <c r="DT75" s="353">
        <f t="shared" ca="1" si="88"/>
        <v>-8677.432099332209</v>
      </c>
      <c r="DU75" s="380">
        <f t="shared" ca="1" si="189"/>
        <v>4.9199178644763863</v>
      </c>
      <c r="DV75" s="303">
        <f t="shared" ca="1" si="89"/>
        <v>222.76863273256805</v>
      </c>
      <c r="DW75" s="303">
        <f t="shared" ca="1" si="90"/>
        <v>44.553726546513609</v>
      </c>
      <c r="DX75" s="303">
        <f t="shared" ca="1" si="91"/>
        <v>44.553726546513609</v>
      </c>
      <c r="DY75" s="303">
        <f t="shared" ca="1" si="92"/>
        <v>311.87608582559523</v>
      </c>
      <c r="DZ75" s="303">
        <f t="shared" ca="1" si="93"/>
        <v>155.93804291279764</v>
      </c>
      <c r="EA75" s="303">
        <f t="shared" ca="1" si="94"/>
        <v>467.81412873839287</v>
      </c>
      <c r="EB75" s="302">
        <f t="shared" ca="1" si="95"/>
        <v>37.749435231089592</v>
      </c>
      <c r="EC75" s="299">
        <f t="shared" ca="1" si="96"/>
        <v>28.795819338632324</v>
      </c>
      <c r="ED75" s="299">
        <f t="shared" ca="1" si="97"/>
        <v>28.847067885257839</v>
      </c>
      <c r="EE75" s="299">
        <f t="shared" ca="1" si="98"/>
        <v>35.198580482762594</v>
      </c>
      <c r="EF75" s="299">
        <f t="shared" ca="1" si="99"/>
        <v>21.100147215260737</v>
      </c>
      <c r="EG75" s="299">
        <f t="shared" ca="1" si="100"/>
        <v>30.499102726928641</v>
      </c>
      <c r="EH75" s="302">
        <f t="shared" ca="1" si="101"/>
        <v>30</v>
      </c>
      <c r="EI75" s="304">
        <f t="shared" ca="1" si="102"/>
        <v>0.11118010312499998</v>
      </c>
      <c r="EJ75" s="305">
        <f t="shared" ca="1" si="103"/>
        <v>0.11118010312499998</v>
      </c>
      <c r="EK75" s="305">
        <f t="shared" ca="1" si="104"/>
        <v>0.11118010312499998</v>
      </c>
      <c r="EL75" s="305">
        <f t="shared" ca="1" si="105"/>
        <v>0.11118010312499993</v>
      </c>
      <c r="EM75" s="305">
        <f t="shared" ca="1" si="106"/>
        <v>3.1637227888000004E-2</v>
      </c>
      <c r="EN75" s="305">
        <f t="shared" ca="1" si="107"/>
        <v>8.9791144179666812E-2</v>
      </c>
      <c r="EO75" s="305">
        <f t="shared" ca="1" si="108"/>
        <v>0.11118010312499998</v>
      </c>
      <c r="EP75" s="305">
        <f t="shared" ca="1" si="109"/>
        <v>0.11118010312499998</v>
      </c>
      <c r="EQ75" s="305">
        <f t="shared" ca="1" si="110"/>
        <v>0.11118010312499998</v>
      </c>
      <c r="ER75" s="305">
        <f t="shared" ca="1" si="111"/>
        <v>3.1637227888000004E-2</v>
      </c>
      <c r="ES75" s="305">
        <f t="shared" ca="1" si="112"/>
        <v>8.9791144179666812E-2</v>
      </c>
      <c r="ET75" s="299">
        <f t="shared" ca="1" si="113"/>
        <v>2.158169911294415</v>
      </c>
      <c r="EU75" s="302">
        <f t="shared" ca="1" si="114"/>
        <v>30</v>
      </c>
      <c r="EV75" s="304">
        <f t="shared" ca="1" si="115"/>
        <v>0.33354030937499995</v>
      </c>
      <c r="EW75" s="305">
        <f t="shared" ca="1" si="116"/>
        <v>0.33354030937499995</v>
      </c>
      <c r="EX75" s="305">
        <f t="shared" ca="1" si="117"/>
        <v>0.33354030937499995</v>
      </c>
      <c r="EY75" s="305">
        <f t="shared" ca="1" si="118"/>
        <v>0.33354030937499995</v>
      </c>
      <c r="EZ75" s="305">
        <f t="shared" ca="1" si="119"/>
        <v>9.4911683664000018E-2</v>
      </c>
      <c r="FA75" s="305">
        <f t="shared" ca="1" si="120"/>
        <v>0.2779638136269641</v>
      </c>
      <c r="FB75" s="305">
        <f t="shared" ca="1" si="121"/>
        <v>0.33354030937499995</v>
      </c>
      <c r="FC75" s="305">
        <f t="shared" ca="1" si="122"/>
        <v>0.33354030937499995</v>
      </c>
      <c r="FD75" s="305">
        <f t="shared" ca="1" si="123"/>
        <v>0.33354030937499995</v>
      </c>
      <c r="FE75" s="305">
        <f t="shared" ca="1" si="124"/>
        <v>9.4911683664000018E-2</v>
      </c>
      <c r="FF75" s="305">
        <f t="shared" ca="1" si="125"/>
        <v>0.2779638136269641</v>
      </c>
      <c r="FG75" s="299">
        <f t="shared" ca="1" si="126"/>
        <v>7.5763012015743705</v>
      </c>
      <c r="FH75" s="302">
        <f t="shared" ca="1" si="127"/>
        <v>-5.4181312902799554</v>
      </c>
      <c r="FI75" s="248">
        <f t="shared" ca="1" si="128"/>
        <v>-2534.6783689525419</v>
      </c>
      <c r="FJ75" s="363">
        <f t="shared" ca="1" si="129"/>
        <v>0.69615197728927514</v>
      </c>
      <c r="FK75" s="378">
        <f t="shared" ca="1" si="130"/>
        <v>0.80843312720496896</v>
      </c>
      <c r="FL75" s="508">
        <f t="shared" ca="1" si="131"/>
        <v>-0.28942673393491708</v>
      </c>
      <c r="FM75" s="508">
        <f t="shared" ca="1" si="132"/>
        <v>-0.28221632428598198</v>
      </c>
      <c r="FN75" s="508">
        <f t="shared" ca="1" si="133"/>
        <v>-5.0499994427493426</v>
      </c>
      <c r="FO75" s="508">
        <f t="shared" ca="1" si="134"/>
        <v>-1.673695996967722E-2</v>
      </c>
      <c r="FP75" s="353">
        <f t="shared" ca="1" si="135"/>
        <v>237.03056770483204</v>
      </c>
      <c r="FQ75" s="356">
        <f t="shared" ca="1" si="136"/>
        <v>31.231228521243732</v>
      </c>
      <c r="FR75" s="380">
        <f t="shared" ca="1" si="137"/>
        <v>23.536000000000001</v>
      </c>
      <c r="FS75" s="299">
        <f t="shared" ca="1" si="138"/>
        <v>23.536000000000001</v>
      </c>
      <c r="FT75" s="299">
        <f t="shared" ca="1" si="139"/>
        <v>23.536000000000001</v>
      </c>
      <c r="FU75" s="299">
        <f t="shared" ca="1" si="140"/>
        <v>23.536000000000001</v>
      </c>
      <c r="FV75" s="299">
        <f t="shared" ca="1" si="141"/>
        <v>23.536000000000001</v>
      </c>
      <c r="FW75" s="850">
        <f t="shared" ca="1" si="142"/>
        <v>0.17350000000000002</v>
      </c>
      <c r="FX75" s="851">
        <f t="shared" ca="1" si="143"/>
        <v>0.5</v>
      </c>
      <c r="FY75" s="851">
        <f t="shared" ca="1" si="144"/>
        <v>0</v>
      </c>
      <c r="FZ75" s="201">
        <f t="shared" ca="1" si="145"/>
        <v>0</v>
      </c>
      <c r="GA75" s="201">
        <f t="shared" ca="1" si="146"/>
        <v>0</v>
      </c>
      <c r="GB75" s="201">
        <f t="shared" ca="1" si="147"/>
        <v>0</v>
      </c>
      <c r="GC75" s="201">
        <f t="shared" ca="1" si="148"/>
        <v>0</v>
      </c>
      <c r="GD75" s="850">
        <f t="shared" ca="1" si="149"/>
        <v>0.34854030937499997</v>
      </c>
      <c r="GE75" s="866">
        <f t="shared" ca="1" si="150"/>
        <v>0.34854030937499997</v>
      </c>
      <c r="GF75" s="866">
        <f t="shared" ca="1" si="151"/>
        <v>0.34854030937499997</v>
      </c>
      <c r="GG75" s="866">
        <f t="shared" ca="1" si="152"/>
        <v>9.4911683664000018E-2</v>
      </c>
      <c r="GH75" s="866">
        <f t="shared" ca="1" si="153"/>
        <v>0.29296381362696411</v>
      </c>
      <c r="GI75" s="302">
        <f t="shared" ca="1" si="154"/>
        <v>16.949703332831525</v>
      </c>
      <c r="GJ75" s="299">
        <f t="shared" ca="1" si="155"/>
        <v>9.7868236557205588</v>
      </c>
      <c r="GK75" s="299">
        <f t="shared" ca="1" si="156"/>
        <v>9.8246476451963858</v>
      </c>
      <c r="GL75" s="299">
        <f t="shared" ca="1" si="157"/>
        <v>1.8955265026893435</v>
      </c>
      <c r="GM75" s="299">
        <f t="shared" ca="1" si="158"/>
        <v>10.100888516676376</v>
      </c>
      <c r="GN75" s="302">
        <f t="shared" ca="1" si="159"/>
        <v>0.85092268461934784</v>
      </c>
      <c r="GO75" s="299">
        <f t="shared" ca="1" si="160"/>
        <v>0.73761820243313125</v>
      </c>
      <c r="GP75" s="299">
        <f t="shared" ca="1" si="161"/>
        <v>0.73848298046223504</v>
      </c>
      <c r="GQ75" s="299">
        <f t="shared" ca="1" si="162"/>
        <v>0.43626810562910867</v>
      </c>
      <c r="GR75" s="299">
        <f t="shared" ca="1" si="163"/>
        <v>0.77062568264685671</v>
      </c>
      <c r="GS75" s="302">
        <f t="shared" ca="1" si="164"/>
        <v>-0.64463591961432931</v>
      </c>
      <c r="GT75" s="299">
        <f t="shared" ca="1" si="165"/>
        <v>-0.48663744579296891</v>
      </c>
      <c r="GU75" s="299">
        <f t="shared" ca="1" si="166"/>
        <v>-0.48769642808069341</v>
      </c>
      <c r="GV75" s="299">
        <f t="shared" ca="1" si="167"/>
        <v>-0.31057927004321406</v>
      </c>
      <c r="GW75" s="299">
        <f t="shared" ca="1" si="168"/>
        <v>-0.56944706691144242</v>
      </c>
      <c r="GX75" s="303">
        <f t="shared" ca="1" si="169"/>
        <v>3775.8622366775307</v>
      </c>
      <c r="GY75" s="303">
        <f t="shared" ca="1" si="170"/>
        <v>436.03946491592444</v>
      </c>
      <c r="GZ75" s="303">
        <f t="shared" ca="1" si="171"/>
        <v>437.72466459992864</v>
      </c>
      <c r="HA75" s="303">
        <f t="shared" ca="1" si="172"/>
        <v>295.58469311871607</v>
      </c>
      <c r="HB75" s="303">
        <f t="shared" ca="1" si="173"/>
        <v>4725.3383609125958</v>
      </c>
      <c r="HC75" s="303">
        <f t="shared" ca="1" si="174"/>
        <v>3166.3075328627406</v>
      </c>
      <c r="HD75" s="303">
        <f t="shared" ca="1" si="175"/>
        <v>234.34455249748856</v>
      </c>
      <c r="HE75" s="303">
        <f t="shared" ca="1" si="176"/>
        <v>236.62786622974804</v>
      </c>
      <c r="HF75" s="303">
        <f t="shared" ca="1" si="177"/>
        <v>0</v>
      </c>
      <c r="HG75" s="852">
        <f t="shared" ca="1" si="178"/>
        <v>3257.4378355140489</v>
      </c>
    </row>
    <row r="76" spans="1:215" x14ac:dyDescent="0.25">
      <c r="A76" s="244">
        <f t="shared" ca="1" si="179"/>
        <v>38412</v>
      </c>
      <c r="B76" s="13">
        <f t="shared" ca="1" si="3"/>
        <v>2005</v>
      </c>
      <c r="C76" s="619">
        <f t="shared" ca="1" si="180"/>
        <v>3</v>
      </c>
      <c r="D76" s="195" t="str">
        <f t="shared" ca="1" si="4"/>
        <v/>
      </c>
      <c r="E76" s="469">
        <f t="shared" ca="1" si="5"/>
        <v>38412</v>
      </c>
      <c r="F76" s="465">
        <f t="shared" ca="1" si="6"/>
        <v>38442</v>
      </c>
      <c r="G76" s="522">
        <f t="shared" ca="1" si="181"/>
        <v>1</v>
      </c>
      <c r="H76" s="519">
        <f t="shared" ca="1" si="182"/>
        <v>1</v>
      </c>
      <c r="I76" s="724">
        <f t="shared" ca="1" si="7"/>
        <v>7.3075976655189001E-2</v>
      </c>
      <c r="J76" s="198">
        <f t="shared" ca="1" si="8"/>
        <v>0.69181096412255072</v>
      </c>
      <c r="K76" s="200">
        <f t="shared" ca="1" si="190"/>
        <v>32.4</v>
      </c>
      <c r="L76" s="201">
        <f t="shared" ca="1" si="191"/>
        <v>33</v>
      </c>
      <c r="M76" s="206">
        <f t="shared" ca="1" si="192"/>
        <v>33.6</v>
      </c>
      <c r="N76" s="851">
        <f t="shared" ca="1" si="196"/>
        <v>20.784749603271482</v>
      </c>
      <c r="O76" s="201">
        <f t="shared" ca="1" si="197"/>
        <v>21.234749603271482</v>
      </c>
      <c r="P76" s="206">
        <f t="shared" ca="1" si="198"/>
        <v>21.684749603271481</v>
      </c>
      <c r="Q76" s="201">
        <f t="shared" ca="1" si="199"/>
        <v>17.564498901367184</v>
      </c>
      <c r="R76" s="201">
        <f t="shared" ca="1" si="200"/>
        <v>20.864498901367185</v>
      </c>
      <c r="S76" s="201">
        <f t="shared" ca="1" si="201"/>
        <v>24.164498901367185</v>
      </c>
      <c r="T76" s="851">
        <f t="shared" ca="1" si="193"/>
        <v>19.299999618530272</v>
      </c>
      <c r="U76" s="201">
        <f t="shared" ca="1" si="194"/>
        <v>19.599999618530273</v>
      </c>
      <c r="V76" s="206">
        <f t="shared" ca="1" si="195"/>
        <v>19.899999618530273</v>
      </c>
      <c r="W76" s="230">
        <f t="shared" ca="1" si="183"/>
        <v>0.10821733664062501</v>
      </c>
      <c r="X76" s="231">
        <f t="shared" ca="1" si="184"/>
        <v>0.21643467328125002</v>
      </c>
      <c r="Y76" s="232">
        <f t="shared" ca="1" si="185"/>
        <v>0.32465200992187504</v>
      </c>
      <c r="Z76" s="231">
        <f t="shared" ca="1" si="202"/>
        <v>0.10821733664062501</v>
      </c>
      <c r="AA76" s="231">
        <f t="shared" ca="1" si="203"/>
        <v>0.21643467328125002</v>
      </c>
      <c r="AB76" s="232">
        <f t="shared" ca="1" si="204"/>
        <v>0.32465200992187504</v>
      </c>
      <c r="AC76" s="231">
        <f t="shared" ca="1" si="205"/>
        <v>0.10821733664062501</v>
      </c>
      <c r="AD76" s="231">
        <f t="shared" ca="1" si="206"/>
        <v>0.21643467328125002</v>
      </c>
      <c r="AE76" s="232">
        <f t="shared" ca="1" si="14"/>
        <v>0.32465200992187504</v>
      </c>
      <c r="AF76" s="231">
        <f t="shared" ca="1" si="186"/>
        <v>2.7117623903999997E-2</v>
      </c>
      <c r="AG76" s="231">
        <f t="shared" ca="1" si="187"/>
        <v>5.4235247807999994E-2</v>
      </c>
      <c r="AH76" s="232">
        <f t="shared" ca="1" si="188"/>
        <v>8.1352871711999994E-2</v>
      </c>
      <c r="AI76" s="233">
        <f t="shared" ca="1" si="15"/>
        <v>1.05</v>
      </c>
      <c r="AJ76" s="233">
        <f t="shared" ca="1" si="16"/>
        <v>1.3</v>
      </c>
      <c r="AK76" s="234">
        <f t="shared" ca="1" si="17"/>
        <v>1.6</v>
      </c>
      <c r="AL76" s="919">
        <f t="shared" ca="1" si="18"/>
        <v>1.05</v>
      </c>
      <c r="AM76" s="233">
        <f t="shared" ca="1" si="19"/>
        <v>1.3</v>
      </c>
      <c r="AN76" s="234">
        <f t="shared" ca="1" si="20"/>
        <v>1.6</v>
      </c>
      <c r="AO76" s="233">
        <f t="shared" ca="1" si="21"/>
        <v>1.05</v>
      </c>
      <c r="AP76" s="233">
        <f t="shared" ca="1" si="22"/>
        <v>1.3</v>
      </c>
      <c r="AQ76" s="233">
        <f t="shared" ca="1" si="23"/>
        <v>1.6</v>
      </c>
      <c r="AR76" s="919">
        <f t="shared" ca="1" si="24"/>
        <v>0.19999999999999998</v>
      </c>
      <c r="AS76" s="233">
        <f t="shared" ca="1" si="25"/>
        <v>0.35</v>
      </c>
      <c r="AT76" s="235">
        <f t="shared" ca="1" si="26"/>
        <v>0.55000000000000004</v>
      </c>
      <c r="AU76" s="946">
        <f t="shared" si="27"/>
        <v>0.5</v>
      </c>
      <c r="AV76" s="13">
        <f t="shared" ca="1" si="28"/>
        <v>23</v>
      </c>
      <c r="AW76" s="210">
        <f t="shared" ca="1" si="29"/>
        <v>4</v>
      </c>
      <c r="AX76" s="210">
        <f t="shared" ca="1" si="30"/>
        <v>4</v>
      </c>
      <c r="AY76" s="210">
        <f t="shared" ca="1" si="31"/>
        <v>0</v>
      </c>
      <c r="AZ76" s="13">
        <f t="shared" ca="1" si="32"/>
        <v>31</v>
      </c>
      <c r="BA76" s="357">
        <f ca="1"/>
        <v>368</v>
      </c>
      <c r="BB76" s="925">
        <f ca="1"/>
        <v>64</v>
      </c>
      <c r="BC76" s="925">
        <f ca="1"/>
        <v>64</v>
      </c>
      <c r="BD76" s="928">
        <f ca="1"/>
        <v>248</v>
      </c>
      <c r="BE76" s="200">
        <f ca="1"/>
        <v>0.99999375641345978</v>
      </c>
      <c r="BF76" s="851">
        <f ca="1"/>
        <v>0.99999375641345978</v>
      </c>
      <c r="BG76" s="851">
        <f ca="1"/>
        <v>0.99999375641345978</v>
      </c>
      <c r="BH76" s="933">
        <f ca="1"/>
        <v>0.99999988824129105</v>
      </c>
      <c r="BI76" s="357">
        <f ca="1"/>
        <v>368</v>
      </c>
      <c r="BJ76" s="925">
        <f ca="1"/>
        <v>64</v>
      </c>
      <c r="BK76" s="925">
        <f ca="1"/>
        <v>64</v>
      </c>
      <c r="BL76" s="928">
        <f ca="1"/>
        <v>248</v>
      </c>
      <c r="BM76" s="200">
        <f ca="1"/>
        <v>0.99999375641345978</v>
      </c>
      <c r="BN76" s="851">
        <f ca="1"/>
        <v>0.99999375641345978</v>
      </c>
      <c r="BO76" s="851">
        <f ca="1"/>
        <v>0.99999375641345978</v>
      </c>
      <c r="BP76" s="933">
        <f ca="1"/>
        <v>0.99999988824129105</v>
      </c>
      <c r="BQ76" s="357">
        <f t="shared" ca="1" si="33"/>
        <v>744</v>
      </c>
      <c r="BR76" s="361">
        <f t="shared" ca="1" si="34"/>
        <v>744</v>
      </c>
      <c r="BS76" s="357">
        <f t="shared" ca="1" si="35"/>
        <v>514.70735730717774</v>
      </c>
      <c r="BT76" s="302">
        <f t="shared" ca="1" si="36"/>
        <v>25.75787837000129</v>
      </c>
      <c r="BU76" s="299">
        <f t="shared" ca="1" si="37"/>
        <v>26.477229330539558</v>
      </c>
      <c r="BV76" s="299">
        <f t="shared" ca="1" si="38"/>
        <v>27.196580291077833</v>
      </c>
      <c r="BW76" s="299">
        <f t="shared" ca="1" si="39"/>
        <v>32.659889647739881</v>
      </c>
      <c r="BX76" s="380">
        <f t="shared" ca="1" si="40"/>
        <v>4.9965776865160851</v>
      </c>
      <c r="BY76" s="363">
        <f t="shared" ca="1" si="41"/>
        <v>254.58643479709866</v>
      </c>
      <c r="BZ76" s="353">
        <f t="shared" ca="1" si="42"/>
        <v>44.275901703843246</v>
      </c>
      <c r="CA76" s="353">
        <f t="shared" ca="1" si="43"/>
        <v>44.275901703843246</v>
      </c>
      <c r="CB76" s="353">
        <f t="shared" ca="1" si="44"/>
        <v>343.13823820478518</v>
      </c>
      <c r="CC76" s="353">
        <f t="shared" ca="1" si="45"/>
        <v>171.56911910239259</v>
      </c>
      <c r="CD76" s="353">
        <f t="shared" ca="1" si="46"/>
        <v>514.70735730717774</v>
      </c>
      <c r="CE76" s="302">
        <f t="shared" ca="1" si="47"/>
        <v>33.599790215492249</v>
      </c>
      <c r="CF76" s="299">
        <f t="shared" ca="1" si="48"/>
        <v>21.68461421266073</v>
      </c>
      <c r="CG76" s="299">
        <f t="shared" ca="1" si="49"/>
        <v>24.164348028227092</v>
      </c>
      <c r="CH76" s="299">
        <f t="shared" ca="1" si="50"/>
        <v>30.84487173935074</v>
      </c>
      <c r="CI76" s="299">
        <f t="shared" ca="1" si="51"/>
        <v>19.899997394532008</v>
      </c>
      <c r="CJ76" s="299">
        <f t="shared" ca="1" si="52"/>
        <v>27.196580291077833</v>
      </c>
      <c r="CK76" s="299">
        <f t="shared" ca="1" si="53"/>
        <v>32.659889647739881</v>
      </c>
      <c r="CL76" s="377">
        <f t="shared" ca="1" si="54"/>
        <v>0.32465200992187504</v>
      </c>
      <c r="CM76" s="305">
        <f t="shared" ca="1" si="55"/>
        <v>0.32465200992187504</v>
      </c>
      <c r="CN76" s="305">
        <f t="shared" ca="1" si="56"/>
        <v>0.32465200992187504</v>
      </c>
      <c r="CO76" s="305">
        <f t="shared" ca="1" si="57"/>
        <v>0.32465200992187504</v>
      </c>
      <c r="CP76" s="305">
        <f t="shared" ca="1" si="58"/>
        <v>8.1352871711999994E-2</v>
      </c>
      <c r="CQ76" s="305">
        <f t="shared" ca="1" si="59"/>
        <v>0.26583192609636769</v>
      </c>
      <c r="CR76" s="775">
        <f t="shared" ca="1" si="60"/>
        <v>0.32465200992187504</v>
      </c>
      <c r="CS76" s="305">
        <f t="shared" ca="1" si="61"/>
        <v>0.38465200992187504</v>
      </c>
      <c r="CT76" s="305">
        <f t="shared" ca="1" si="62"/>
        <v>0.36465200992187502</v>
      </c>
      <c r="CU76" s="305">
        <f t="shared" ca="1" si="63"/>
        <v>0.14135287171200001</v>
      </c>
      <c r="CV76" s="770">
        <f t="shared" ca="1" si="64"/>
        <v>0.2833319260963677</v>
      </c>
      <c r="CW76" s="302">
        <f t="shared" ca="1" si="65"/>
        <v>9.8618744350557925</v>
      </c>
      <c r="CX76" s="299">
        <f t="shared" ca="1" si="66"/>
        <v>4.4835130057338315</v>
      </c>
      <c r="CY76" s="299">
        <f t="shared" ca="1" si="67"/>
        <v>5.3106749180574209</v>
      </c>
      <c r="CZ76" s="299">
        <f t="shared" ca="1" si="68"/>
        <v>0.19998484985695364</v>
      </c>
      <c r="DA76" s="774">
        <f t="shared" ca="1" si="69"/>
        <v>5.0029160004020667</v>
      </c>
      <c r="DB76" s="303">
        <f t="shared" ca="1" si="70"/>
        <v>2575.0376733967432</v>
      </c>
      <c r="DC76" s="248">
        <f t="shared" ca="1" si="71"/>
        <v>263.02638754729458</v>
      </c>
      <c r="DD76" s="778">
        <f t="shared" ca="1" si="72"/>
        <v>0</v>
      </c>
      <c r="DE76" s="363">
        <f t="shared" ca="1" si="73"/>
        <v>0.69181096412255072</v>
      </c>
      <c r="DF76" s="378">
        <f t="shared" ca="1" si="74"/>
        <v>-0.3237512932604083</v>
      </c>
      <c r="DG76" s="508">
        <f t="shared" ca="1" si="75"/>
        <v>-0.9062248303891669</v>
      </c>
      <c r="DH76" s="508">
        <f t="shared" ca="1" si="76"/>
        <v>-0.77716068768795654</v>
      </c>
      <c r="DI76" s="508">
        <f t="shared" ca="1" si="77"/>
        <v>-1.7259602076390819</v>
      </c>
      <c r="DJ76" s="508">
        <f t="shared" ca="1" si="78"/>
        <v>-0.60570316249091782</v>
      </c>
      <c r="DK76" s="353">
        <f t="shared" ca="1" si="79"/>
        <v>-140.1835788430663</v>
      </c>
      <c r="DL76" s="781">
        <f t="shared" ca="1" si="80"/>
        <v>8.263383249196858</v>
      </c>
      <c r="DM76" s="303">
        <f t="shared" ca="1" si="81"/>
        <v>9959.7606642851679</v>
      </c>
      <c r="DN76" s="508">
        <f t="shared" ca="1" si="82"/>
        <v>1.1302335412459215</v>
      </c>
      <c r="DO76" s="508">
        <f t="shared" ca="1" si="83"/>
        <v>0.93430452742969461</v>
      </c>
      <c r="DP76" s="508">
        <f t="shared" ca="1" si="84"/>
        <v>0.98274815525296744</v>
      </c>
      <c r="DQ76" s="508">
        <f t="shared" ca="1" si="85"/>
        <v>0.89587931589874115</v>
      </c>
      <c r="DR76" s="508">
        <f t="shared" ca="1" si="86"/>
        <v>1.035637969217762</v>
      </c>
      <c r="DS76" s="353">
        <f t="shared" ca="1" si="87"/>
        <v>7301.6471370683066</v>
      </c>
      <c r="DT76" s="353">
        <f t="shared" ca="1" si="88"/>
        <v>-9070.9163401682472</v>
      </c>
      <c r="DU76" s="380">
        <f t="shared" ca="1" si="189"/>
        <v>4.9965776865160851</v>
      </c>
      <c r="DV76" s="303">
        <f t="shared" ca="1" si="89"/>
        <v>254.58643479709866</v>
      </c>
      <c r="DW76" s="303">
        <f t="shared" ca="1" si="90"/>
        <v>44.275901703843246</v>
      </c>
      <c r="DX76" s="303">
        <f t="shared" ca="1" si="91"/>
        <v>44.275901703843246</v>
      </c>
      <c r="DY76" s="303">
        <f t="shared" ca="1" si="92"/>
        <v>343.13823820478518</v>
      </c>
      <c r="DZ76" s="303">
        <f t="shared" ca="1" si="93"/>
        <v>171.56911910239259</v>
      </c>
      <c r="EA76" s="303">
        <f t="shared" ca="1" si="94"/>
        <v>514.70735730717774</v>
      </c>
      <c r="EB76" s="302">
        <f t="shared" ca="1" si="95"/>
        <v>33.599790215492249</v>
      </c>
      <c r="EC76" s="299">
        <f t="shared" ca="1" si="96"/>
        <v>21.68461421266073</v>
      </c>
      <c r="ED76" s="299">
        <f t="shared" ca="1" si="97"/>
        <v>24.164348028227092</v>
      </c>
      <c r="EE76" s="299">
        <f t="shared" ca="1" si="98"/>
        <v>30.84487173935074</v>
      </c>
      <c r="EF76" s="299">
        <f t="shared" ca="1" si="99"/>
        <v>19.899997394532008</v>
      </c>
      <c r="EG76" s="299">
        <f t="shared" ca="1" si="100"/>
        <v>27.196580291077833</v>
      </c>
      <c r="EH76" s="302">
        <f t="shared" ca="1" si="101"/>
        <v>30</v>
      </c>
      <c r="EI76" s="304">
        <f t="shared" ca="1" si="102"/>
        <v>0.10821733664062501</v>
      </c>
      <c r="EJ76" s="305">
        <f t="shared" ca="1" si="103"/>
        <v>0.10821733664062501</v>
      </c>
      <c r="EK76" s="305">
        <f t="shared" ca="1" si="104"/>
        <v>0.10821733664062501</v>
      </c>
      <c r="EL76" s="305">
        <f t="shared" ca="1" si="105"/>
        <v>0.10821733664062511</v>
      </c>
      <c r="EM76" s="305">
        <f t="shared" ca="1" si="106"/>
        <v>2.7117623903999997E-2</v>
      </c>
      <c r="EN76" s="305">
        <f t="shared" ca="1" si="107"/>
        <v>8.5704525294432315E-2</v>
      </c>
      <c r="EO76" s="305">
        <f t="shared" ca="1" si="108"/>
        <v>0.10821733664062501</v>
      </c>
      <c r="EP76" s="305">
        <f t="shared" ca="1" si="109"/>
        <v>0.10821733664062501</v>
      </c>
      <c r="EQ76" s="305">
        <f t="shared" ca="1" si="110"/>
        <v>0.10821733664062501</v>
      </c>
      <c r="ER76" s="305">
        <f t="shared" ca="1" si="111"/>
        <v>2.7117623903999997E-2</v>
      </c>
      <c r="ES76" s="305">
        <f t="shared" ca="1" si="112"/>
        <v>8.5704525294432315E-2</v>
      </c>
      <c r="ET76" s="299">
        <f t="shared" ca="1" si="113"/>
        <v>3.8630046283812618</v>
      </c>
      <c r="EU76" s="302">
        <f t="shared" ca="1" si="114"/>
        <v>30</v>
      </c>
      <c r="EV76" s="304">
        <f t="shared" ca="1" si="115"/>
        <v>0.32465200992187504</v>
      </c>
      <c r="EW76" s="305">
        <f t="shared" ca="1" si="116"/>
        <v>0.32465200992187504</v>
      </c>
      <c r="EX76" s="305">
        <f t="shared" ca="1" si="117"/>
        <v>0.32465200992187504</v>
      </c>
      <c r="EY76" s="305">
        <f t="shared" ca="1" si="118"/>
        <v>0.32465200992187504</v>
      </c>
      <c r="EZ76" s="305">
        <f t="shared" ca="1" si="119"/>
        <v>8.1352871711999994E-2</v>
      </c>
      <c r="FA76" s="305">
        <f t="shared" ca="1" si="120"/>
        <v>0.26583192609636769</v>
      </c>
      <c r="FB76" s="305">
        <f t="shared" ca="1" si="121"/>
        <v>0.32465200992187504</v>
      </c>
      <c r="FC76" s="305">
        <f t="shared" ca="1" si="122"/>
        <v>0.32465200992187504</v>
      </c>
      <c r="FD76" s="305">
        <f t="shared" ca="1" si="123"/>
        <v>0.32465200992187504</v>
      </c>
      <c r="FE76" s="305">
        <f t="shared" ca="1" si="124"/>
        <v>8.1352871711999994E-2</v>
      </c>
      <c r="FF76" s="305">
        <f t="shared" ca="1" si="125"/>
        <v>0.26583192609636769</v>
      </c>
      <c r="FG76" s="299">
        <f t="shared" ca="1" si="126"/>
        <v>5.3674154968169301</v>
      </c>
      <c r="FH76" s="302">
        <f t="shared" ca="1" si="127"/>
        <v>-1.5044108684356683</v>
      </c>
      <c r="FI76" s="248">
        <f t="shared" ca="1" si="128"/>
        <v>-774.33134239671904</v>
      </c>
      <c r="FJ76" s="363">
        <f t="shared" ca="1" si="129"/>
        <v>0.69181096412255072</v>
      </c>
      <c r="FK76" s="378">
        <f t="shared" ca="1" si="130"/>
        <v>0.34752180562159979</v>
      </c>
      <c r="FL76" s="508">
        <f t="shared" ca="1" si="131"/>
        <v>-1.4628112426351103</v>
      </c>
      <c r="FM76" s="508">
        <f t="shared" ca="1" si="132"/>
        <v>-1.0152047410876837</v>
      </c>
      <c r="FN76" s="508">
        <f t="shared" ca="1" si="133"/>
        <v>-6.8020702419032553</v>
      </c>
      <c r="FO76" s="508">
        <f t="shared" ca="1" si="134"/>
        <v>-0.60788935483550943</v>
      </c>
      <c r="FP76" s="353">
        <f t="shared" ca="1" si="135"/>
        <v>374.89720503636192</v>
      </c>
      <c r="FQ76" s="356">
        <f t="shared" ca="1" si="136"/>
        <v>29.700720883863827</v>
      </c>
      <c r="FR76" s="380">
        <f t="shared" ca="1" si="137"/>
        <v>22.576000000000001</v>
      </c>
      <c r="FS76" s="299">
        <f t="shared" ca="1" si="138"/>
        <v>22.576000000000001</v>
      </c>
      <c r="FT76" s="299">
        <f t="shared" ca="1" si="139"/>
        <v>22.576000000000001</v>
      </c>
      <c r="FU76" s="299">
        <f t="shared" ca="1" si="140"/>
        <v>22.576000000000001</v>
      </c>
      <c r="FV76" s="299">
        <f t="shared" ca="1" si="141"/>
        <v>22.576000000000004</v>
      </c>
      <c r="FW76" s="850">
        <f t="shared" ca="1" si="142"/>
        <v>0.17150000000000001</v>
      </c>
      <c r="FX76" s="851">
        <f t="shared" ca="1" si="143"/>
        <v>0.5</v>
      </c>
      <c r="FY76" s="851">
        <f t="shared" ca="1" si="144"/>
        <v>0</v>
      </c>
      <c r="FZ76" s="201">
        <f t="shared" ca="1" si="145"/>
        <v>0</v>
      </c>
      <c r="GA76" s="201">
        <f t="shared" ca="1" si="146"/>
        <v>0</v>
      </c>
      <c r="GB76" s="201">
        <f t="shared" ca="1" si="147"/>
        <v>0</v>
      </c>
      <c r="GC76" s="201">
        <f t="shared" ca="1" si="148"/>
        <v>0</v>
      </c>
      <c r="GD76" s="850">
        <f t="shared" ca="1" si="149"/>
        <v>0.33965200992187505</v>
      </c>
      <c r="GE76" s="866">
        <f t="shared" ca="1" si="150"/>
        <v>0.32465200992187504</v>
      </c>
      <c r="GF76" s="866">
        <f t="shared" ca="1" si="151"/>
        <v>0.32715200992187504</v>
      </c>
      <c r="GG76" s="866">
        <f t="shared" ca="1" si="152"/>
        <v>8.1352871711999994E-2</v>
      </c>
      <c r="GH76" s="866">
        <f t="shared" ca="1" si="153"/>
        <v>0.2808319260963677</v>
      </c>
      <c r="GI76" s="302">
        <f t="shared" ca="1" si="154"/>
        <v>13.967956826026153</v>
      </c>
      <c r="GJ76" s="299">
        <f t="shared" ca="1" si="155"/>
        <v>5.0265648114727997</v>
      </c>
      <c r="GK76" s="299">
        <f t="shared" ca="1" si="156"/>
        <v>6.6360369608825946</v>
      </c>
      <c r="GL76" s="299">
        <f t="shared" ca="1" si="157"/>
        <v>1.6608051679319231</v>
      </c>
      <c r="GM76" s="299">
        <f t="shared" ca="1" si="158"/>
        <v>7.9827589576128535</v>
      </c>
      <c r="GN76" s="302">
        <f t="shared" ca="1" si="159"/>
        <v>0.82472079653360475</v>
      </c>
      <c r="GO76" s="299">
        <f t="shared" ca="1" si="160"/>
        <v>0.59883687907856598</v>
      </c>
      <c r="GP76" s="299">
        <f t="shared" ca="1" si="161"/>
        <v>0.66425178409150265</v>
      </c>
      <c r="GQ76" s="299">
        <f t="shared" ca="1" si="162"/>
        <v>0.41535426124867503</v>
      </c>
      <c r="GR76" s="299">
        <f t="shared" ca="1" si="163"/>
        <v>0.73031986355486644</v>
      </c>
      <c r="GS76" s="302">
        <f t="shared" ca="1" si="164"/>
        <v>-0.60872127744015869</v>
      </c>
      <c r="GT76" s="299">
        <f t="shared" ca="1" si="165"/>
        <v>-0.35254169766895965</v>
      </c>
      <c r="GU76" s="299">
        <f t="shared" ca="1" si="166"/>
        <v>-0.41704364980351188</v>
      </c>
      <c r="GV76" s="299">
        <f t="shared" ca="1" si="167"/>
        <v>-0.29255593522645712</v>
      </c>
      <c r="GW76" s="299">
        <f t="shared" ca="1" si="168"/>
        <v>-0.5261980291077647</v>
      </c>
      <c r="GX76" s="303">
        <f t="shared" ca="1" si="169"/>
        <v>3556.0523297377963</v>
      </c>
      <c r="GY76" s="303">
        <f t="shared" ca="1" si="170"/>
        <v>222.55568950076704</v>
      </c>
      <c r="GZ76" s="303">
        <f t="shared" ca="1" si="171"/>
        <v>293.81652018310842</v>
      </c>
      <c r="HA76" s="303">
        <f t="shared" ca="1" si="172"/>
        <v>284.94287966278125</v>
      </c>
      <c r="HB76" s="303">
        <f t="shared" ca="1" si="173"/>
        <v>4108.7847670931124</v>
      </c>
      <c r="HC76" s="303">
        <f t="shared" ca="1" si="174"/>
        <v>2806.5074489133112</v>
      </c>
      <c r="HD76" s="303">
        <f t="shared" ca="1" si="175"/>
        <v>0</v>
      </c>
      <c r="HE76" s="303">
        <f t="shared" ca="1" si="176"/>
        <v>70.325541169275951</v>
      </c>
      <c r="HF76" s="303">
        <f t="shared" ca="1" si="177"/>
        <v>0</v>
      </c>
      <c r="HG76" s="852">
        <f t="shared" ca="1" si="178"/>
        <v>2378.2466708462994</v>
      </c>
    </row>
    <row r="77" spans="1:215" x14ac:dyDescent="0.25">
      <c r="A77" s="244">
        <f t="shared" ca="1" si="179"/>
        <v>38443</v>
      </c>
      <c r="B77" s="13">
        <f t="shared" ca="1" si="3"/>
        <v>2005</v>
      </c>
      <c r="C77" s="619">
        <f t="shared" ca="1" si="180"/>
        <v>4</v>
      </c>
      <c r="D77" s="195" t="str">
        <f t="shared" ca="1" si="4"/>
        <v/>
      </c>
      <c r="E77" s="469">
        <f t="shared" ca="1" si="5"/>
        <v>38443</v>
      </c>
      <c r="F77" s="465">
        <f t="shared" ca="1" si="6"/>
        <v>38472</v>
      </c>
      <c r="G77" s="522">
        <f t="shared" ca="1" si="181"/>
        <v>1</v>
      </c>
      <c r="H77" s="519">
        <f t="shared" ca="1" si="182"/>
        <v>1</v>
      </c>
      <c r="I77" s="724">
        <f t="shared" ca="1" si="7"/>
        <v>7.3101626699756006E-2</v>
      </c>
      <c r="J77" s="198">
        <f t="shared" ca="1" si="8"/>
        <v>0.68765592276002041</v>
      </c>
      <c r="K77" s="200">
        <f t="shared" ca="1" si="190"/>
        <v>31.3</v>
      </c>
      <c r="L77" s="201">
        <f t="shared" ca="1" si="191"/>
        <v>31.75</v>
      </c>
      <c r="M77" s="206">
        <f t="shared" ca="1" si="192"/>
        <v>32.200000000000003</v>
      </c>
      <c r="N77" s="851">
        <f t="shared" ca="1" si="196"/>
        <v>21.58000030517578</v>
      </c>
      <c r="O77" s="201">
        <f t="shared" ca="1" si="197"/>
        <v>21.917500305175778</v>
      </c>
      <c r="P77" s="206">
        <f t="shared" ca="1" si="198"/>
        <v>22.255000305175777</v>
      </c>
      <c r="Q77" s="201">
        <f t="shared" ca="1" si="199"/>
        <v>17.334999084472653</v>
      </c>
      <c r="R77" s="201">
        <f t="shared" ca="1" si="200"/>
        <v>20.634999084472653</v>
      </c>
      <c r="S77" s="201">
        <f t="shared" ca="1" si="201"/>
        <v>23.934999084472654</v>
      </c>
      <c r="T77" s="851">
        <f t="shared" ca="1" si="193"/>
        <v>19.374997711181638</v>
      </c>
      <c r="U77" s="201">
        <f t="shared" ca="1" si="194"/>
        <v>19.59999771118164</v>
      </c>
      <c r="V77" s="206">
        <f t="shared" ca="1" si="195"/>
        <v>19.824997711181641</v>
      </c>
      <c r="W77" s="230">
        <f t="shared" ca="1" si="183"/>
        <v>9.6580078593749993E-2</v>
      </c>
      <c r="X77" s="231">
        <f t="shared" ca="1" si="184"/>
        <v>0.19316015718749999</v>
      </c>
      <c r="Y77" s="232">
        <f t="shared" ca="1" si="185"/>
        <v>0.28974023578124997</v>
      </c>
      <c r="Z77" s="231">
        <f t="shared" ca="1" si="202"/>
        <v>9.6580078593749993E-2</v>
      </c>
      <c r="AA77" s="231">
        <f t="shared" ca="1" si="203"/>
        <v>0.19316015718749999</v>
      </c>
      <c r="AB77" s="232">
        <f t="shared" ca="1" si="204"/>
        <v>0.28974023578124997</v>
      </c>
      <c r="AC77" s="231">
        <f t="shared" ca="1" si="205"/>
        <v>9.6580078593749993E-2</v>
      </c>
      <c r="AD77" s="231">
        <f t="shared" ca="1" si="206"/>
        <v>0.19316015718749999</v>
      </c>
      <c r="AE77" s="232">
        <f t="shared" ca="1" si="14"/>
        <v>0.28974023578124997</v>
      </c>
      <c r="AF77" s="231">
        <f t="shared" ca="1" si="186"/>
        <v>2.7117623903999997E-2</v>
      </c>
      <c r="AG77" s="231">
        <f t="shared" ca="1" si="187"/>
        <v>5.4235247807999994E-2</v>
      </c>
      <c r="AH77" s="232">
        <f t="shared" ca="1" si="188"/>
        <v>8.1352871711999994E-2</v>
      </c>
      <c r="AI77" s="233">
        <f t="shared" ca="1" si="15"/>
        <v>0.85000000000000009</v>
      </c>
      <c r="AJ77" s="233">
        <f t="shared" ca="1" si="16"/>
        <v>1.1000000000000001</v>
      </c>
      <c r="AK77" s="234">
        <f t="shared" ca="1" si="17"/>
        <v>1.4000000000000001</v>
      </c>
      <c r="AL77" s="919">
        <f t="shared" ca="1" si="18"/>
        <v>0.85000000000000009</v>
      </c>
      <c r="AM77" s="233">
        <f t="shared" ca="1" si="19"/>
        <v>1.1000000000000001</v>
      </c>
      <c r="AN77" s="234">
        <f t="shared" ca="1" si="20"/>
        <v>1.4000000000000001</v>
      </c>
      <c r="AO77" s="233">
        <f t="shared" ca="1" si="21"/>
        <v>0.85000000000000009</v>
      </c>
      <c r="AP77" s="233">
        <f t="shared" ca="1" si="22"/>
        <v>1.1000000000000001</v>
      </c>
      <c r="AQ77" s="233">
        <f t="shared" ca="1" si="23"/>
        <v>1.4000000000000001</v>
      </c>
      <c r="AR77" s="919">
        <f t="shared" ca="1" si="24"/>
        <v>0.19999999999999998</v>
      </c>
      <c r="AS77" s="233">
        <f t="shared" ca="1" si="25"/>
        <v>0.35</v>
      </c>
      <c r="AT77" s="235">
        <f t="shared" ca="1" si="26"/>
        <v>0.55000000000000004</v>
      </c>
      <c r="AU77" s="946">
        <f t="shared" si="27"/>
        <v>0.5</v>
      </c>
      <c r="AV77" s="13">
        <f t="shared" ca="1" si="28"/>
        <v>21</v>
      </c>
      <c r="AW77" s="210">
        <f t="shared" ca="1" si="29"/>
        <v>5</v>
      </c>
      <c r="AX77" s="210">
        <f t="shared" ca="1" si="30"/>
        <v>4</v>
      </c>
      <c r="AY77" s="210">
        <f t="shared" ca="1" si="31"/>
        <v>0</v>
      </c>
      <c r="AZ77" s="13">
        <f t="shared" ca="1" si="32"/>
        <v>30</v>
      </c>
      <c r="BA77" s="357">
        <f ca="1"/>
        <v>336</v>
      </c>
      <c r="BB77" s="925">
        <f ca="1"/>
        <v>80</v>
      </c>
      <c r="BC77" s="925">
        <f ca="1"/>
        <v>64</v>
      </c>
      <c r="BD77" s="928">
        <f ca="1"/>
        <v>240</v>
      </c>
      <c r="BE77" s="200">
        <f ca="1"/>
        <v>1.0000000074505806</v>
      </c>
      <c r="BF77" s="851">
        <f ca="1"/>
        <v>1.0000000074505806</v>
      </c>
      <c r="BG77" s="851">
        <f ca="1"/>
        <v>1.0000000074505806</v>
      </c>
      <c r="BH77" s="933">
        <f ca="1"/>
        <v>0.99995028972625732</v>
      </c>
      <c r="BI77" s="357">
        <f ca="1"/>
        <v>336</v>
      </c>
      <c r="BJ77" s="925">
        <f ca="1"/>
        <v>80</v>
      </c>
      <c r="BK77" s="925">
        <f ca="1"/>
        <v>64</v>
      </c>
      <c r="BL77" s="928">
        <f ca="1"/>
        <v>240</v>
      </c>
      <c r="BM77" s="200">
        <f ca="1"/>
        <v>1.0000000074505806</v>
      </c>
      <c r="BN77" s="851">
        <f ca="1"/>
        <v>1.0000000074505806</v>
      </c>
      <c r="BO77" s="851">
        <f ca="1"/>
        <v>1.0000000074505806</v>
      </c>
      <c r="BP77" s="933">
        <f ca="1"/>
        <v>0.99995028972625732</v>
      </c>
      <c r="BQ77" s="357">
        <f t="shared" ca="1" si="33"/>
        <v>720</v>
      </c>
      <c r="BR77" s="361">
        <f t="shared" ca="1" si="34"/>
        <v>720</v>
      </c>
      <c r="BS77" s="357">
        <f t="shared" ca="1" si="35"/>
        <v>495.11226438721468</v>
      </c>
      <c r="BT77" s="302">
        <f t="shared" ca="1" si="36"/>
        <v>25.003344948948932</v>
      </c>
      <c r="BU77" s="299">
        <f t="shared" ca="1" si="37"/>
        <v>25.619174558041252</v>
      </c>
      <c r="BV77" s="299">
        <f t="shared" ca="1" si="38"/>
        <v>26.235004167133582</v>
      </c>
      <c r="BW77" s="299">
        <f t="shared" ca="1" si="39"/>
        <v>32.659889647739881</v>
      </c>
      <c r="BX77" s="380">
        <f t="shared" ca="1" si="40"/>
        <v>5.0814510609171801</v>
      </c>
      <c r="BY77" s="363">
        <f t="shared" ca="1" si="41"/>
        <v>231.05239004736686</v>
      </c>
      <c r="BZ77" s="353">
        <f t="shared" ca="1" si="42"/>
        <v>55.012473820801631</v>
      </c>
      <c r="CA77" s="353">
        <f t="shared" ca="1" si="43"/>
        <v>44.009979056641306</v>
      </c>
      <c r="CB77" s="353">
        <f t="shared" ca="1" si="44"/>
        <v>330.07484292480979</v>
      </c>
      <c r="CC77" s="353">
        <f t="shared" ca="1" si="45"/>
        <v>165.03742146240489</v>
      </c>
      <c r="CD77" s="353">
        <f t="shared" ca="1" si="46"/>
        <v>495.11226438721468</v>
      </c>
      <c r="CE77" s="302">
        <f t="shared" ca="1" si="47"/>
        <v>32.200000239908697</v>
      </c>
      <c r="CF77" s="299">
        <f t="shared" ca="1" si="48"/>
        <v>22.255000470988449</v>
      </c>
      <c r="CG77" s="299">
        <f t="shared" ca="1" si="49"/>
        <v>23.934999262802293</v>
      </c>
      <c r="CH77" s="299">
        <f t="shared" ca="1" si="50"/>
        <v>29.440500148141133</v>
      </c>
      <c r="CI77" s="299">
        <f t="shared" ca="1" si="51"/>
        <v>19.824012205118471</v>
      </c>
      <c r="CJ77" s="299">
        <f t="shared" ca="1" si="52"/>
        <v>26.235004167133575</v>
      </c>
      <c r="CK77" s="299">
        <f t="shared" ca="1" si="53"/>
        <v>32.659889647739881</v>
      </c>
      <c r="CL77" s="377">
        <f t="shared" ca="1" si="54"/>
        <v>0.28974023578124997</v>
      </c>
      <c r="CM77" s="305">
        <f t="shared" ca="1" si="55"/>
        <v>0.28974023578124997</v>
      </c>
      <c r="CN77" s="305">
        <f t="shared" ca="1" si="56"/>
        <v>0.28974023578124997</v>
      </c>
      <c r="CO77" s="305">
        <f t="shared" ca="1" si="57"/>
        <v>0.28974023578125002</v>
      </c>
      <c r="CP77" s="305">
        <f t="shared" ca="1" si="58"/>
        <v>8.1352871711999994E-2</v>
      </c>
      <c r="CQ77" s="305">
        <f t="shared" ca="1" si="59"/>
        <v>0.23475874209732256</v>
      </c>
      <c r="CR77" s="775">
        <f t="shared" ca="1" si="60"/>
        <v>0.28974023578124997</v>
      </c>
      <c r="CS77" s="305">
        <f t="shared" ca="1" si="61"/>
        <v>0.34974023578124996</v>
      </c>
      <c r="CT77" s="305">
        <f t="shared" ca="1" si="62"/>
        <v>0.32974023578124995</v>
      </c>
      <c r="CU77" s="305">
        <f t="shared" ca="1" si="63"/>
        <v>0.14135287171200001</v>
      </c>
      <c r="CV77" s="770">
        <f t="shared" ca="1" si="64"/>
        <v>0.25975874209732258</v>
      </c>
      <c r="CW77" s="302">
        <f t="shared" ca="1" si="65"/>
        <v>8.0741620036843536</v>
      </c>
      <c r="CX77" s="299">
        <f t="shared" ca="1" si="66"/>
        <v>4.1285047174155842</v>
      </c>
      <c r="CY77" s="299">
        <f t="shared" ca="1" si="67"/>
        <v>4.5076016187670138</v>
      </c>
      <c r="CZ77" s="299">
        <f t="shared" ca="1" si="68"/>
        <v>0.20179725014708305</v>
      </c>
      <c r="DA77" s="774">
        <f t="shared" ca="1" si="69"/>
        <v>4.0230676737008135</v>
      </c>
      <c r="DB77" s="303">
        <f t="shared" ca="1" si="70"/>
        <v>1991.870145709014</v>
      </c>
      <c r="DC77" s="248">
        <f t="shared" ca="1" si="71"/>
        <v>231.51077069616926</v>
      </c>
      <c r="DD77" s="778">
        <f t="shared" ca="1" si="72"/>
        <v>0</v>
      </c>
      <c r="DE77" s="363">
        <f t="shared" ca="1" si="73"/>
        <v>0.68765592276002041</v>
      </c>
      <c r="DF77" s="378">
        <f t="shared" ca="1" si="74"/>
        <v>-0.34827989164468276</v>
      </c>
      <c r="DG77" s="508">
        <f t="shared" ca="1" si="75"/>
        <v>-0.88073244866167666</v>
      </c>
      <c r="DH77" s="508">
        <f t="shared" ca="1" si="76"/>
        <v>-0.7897931220183404</v>
      </c>
      <c r="DI77" s="508">
        <f t="shared" ca="1" si="77"/>
        <v>-1.7261528214236108</v>
      </c>
      <c r="DJ77" s="508">
        <f t="shared" ca="1" si="78"/>
        <v>-0.66687310617047257</v>
      </c>
      <c r="DK77" s="353">
        <f t="shared" ca="1" si="79"/>
        <v>-124.97946846239212</v>
      </c>
      <c r="DL77" s="781">
        <f t="shared" ca="1" si="80"/>
        <v>8.2692383474286171</v>
      </c>
      <c r="DM77" s="303">
        <f t="shared" ca="1" si="81"/>
        <v>9234.8433049762298</v>
      </c>
      <c r="DN77" s="508">
        <f t="shared" ca="1" si="82"/>
        <v>1.1206993537200389</v>
      </c>
      <c r="DO77" s="508">
        <f t="shared" ca="1" si="83"/>
        <v>0.95681173721059765</v>
      </c>
      <c r="DP77" s="508">
        <f t="shared" ca="1" si="84"/>
        <v>0.98909907076635906</v>
      </c>
      <c r="DQ77" s="508">
        <f t="shared" ca="1" si="85"/>
        <v>0.90549243498597898</v>
      </c>
      <c r="DR77" s="508">
        <f t="shared" ca="1" si="86"/>
        <v>1.0298060348180569</v>
      </c>
      <c r="DS77" s="353">
        <f t="shared" ca="1" si="87"/>
        <v>6873.9155738779327</v>
      </c>
      <c r="DT77" s="353">
        <f t="shared" ca="1" si="88"/>
        <v>-8666.5631066925507</v>
      </c>
      <c r="DU77" s="380">
        <f t="shared" ca="1" si="189"/>
        <v>5.0814510609171801</v>
      </c>
      <c r="DV77" s="303">
        <f t="shared" ca="1" si="89"/>
        <v>231.05239004736686</v>
      </c>
      <c r="DW77" s="303">
        <f t="shared" ca="1" si="90"/>
        <v>55.012473820801631</v>
      </c>
      <c r="DX77" s="303">
        <f t="shared" ca="1" si="91"/>
        <v>44.009979056641306</v>
      </c>
      <c r="DY77" s="303">
        <f t="shared" ca="1" si="92"/>
        <v>330.07484292480979</v>
      </c>
      <c r="DZ77" s="303">
        <f t="shared" ca="1" si="93"/>
        <v>165.03742146240489</v>
      </c>
      <c r="EA77" s="303">
        <f t="shared" ca="1" si="94"/>
        <v>495.11226438721468</v>
      </c>
      <c r="EB77" s="302">
        <f t="shared" ca="1" si="95"/>
        <v>32.200000239908697</v>
      </c>
      <c r="EC77" s="299">
        <f t="shared" ca="1" si="96"/>
        <v>22.255000470988449</v>
      </c>
      <c r="ED77" s="299">
        <f t="shared" ca="1" si="97"/>
        <v>23.934999262802293</v>
      </c>
      <c r="EE77" s="299">
        <f t="shared" ca="1" si="98"/>
        <v>29.440500148141133</v>
      </c>
      <c r="EF77" s="299">
        <f t="shared" ca="1" si="99"/>
        <v>19.824012205118471</v>
      </c>
      <c r="EG77" s="299">
        <f t="shared" ca="1" si="100"/>
        <v>26.235004167133575</v>
      </c>
      <c r="EH77" s="302">
        <f t="shared" ca="1" si="101"/>
        <v>30</v>
      </c>
      <c r="EI77" s="304">
        <f t="shared" ca="1" si="102"/>
        <v>9.6580078593749993E-2</v>
      </c>
      <c r="EJ77" s="305">
        <f t="shared" ca="1" si="103"/>
        <v>9.6580078593749993E-2</v>
      </c>
      <c r="EK77" s="305">
        <f t="shared" ca="1" si="104"/>
        <v>9.6580078593749993E-2</v>
      </c>
      <c r="EL77" s="305">
        <f t="shared" ca="1" si="105"/>
        <v>9.6580078593750007E-2</v>
      </c>
      <c r="EM77" s="305">
        <f t="shared" ca="1" si="106"/>
        <v>2.7117623903999997E-2</v>
      </c>
      <c r="EN77" s="305">
        <f t="shared" ca="1" si="107"/>
        <v>7.6169786550734017E-2</v>
      </c>
      <c r="EO77" s="305">
        <f t="shared" ca="1" si="108"/>
        <v>9.6580078593749993E-2</v>
      </c>
      <c r="EP77" s="305">
        <f t="shared" ca="1" si="109"/>
        <v>9.6580078593749993E-2</v>
      </c>
      <c r="EQ77" s="305">
        <f t="shared" ca="1" si="110"/>
        <v>9.6580078593749993E-2</v>
      </c>
      <c r="ER77" s="305">
        <f t="shared" ca="1" si="111"/>
        <v>2.7117623903999997E-2</v>
      </c>
      <c r="ES77" s="305">
        <f t="shared" ca="1" si="112"/>
        <v>7.6169786550734017E-2</v>
      </c>
      <c r="ET77" s="299">
        <f t="shared" ca="1" si="113"/>
        <v>4.3623685342279224</v>
      </c>
      <c r="EU77" s="302">
        <f t="shared" ca="1" si="114"/>
        <v>30</v>
      </c>
      <c r="EV77" s="304">
        <f t="shared" ca="1" si="115"/>
        <v>0.28974023578124997</v>
      </c>
      <c r="EW77" s="305">
        <f t="shared" ca="1" si="116"/>
        <v>0.28974023578124997</v>
      </c>
      <c r="EX77" s="305">
        <f t="shared" ca="1" si="117"/>
        <v>0.28974023578124997</v>
      </c>
      <c r="EY77" s="305">
        <f t="shared" ca="1" si="118"/>
        <v>0.28974023578125002</v>
      </c>
      <c r="EZ77" s="305">
        <f t="shared" ca="1" si="119"/>
        <v>8.1352871711999994E-2</v>
      </c>
      <c r="FA77" s="305">
        <f t="shared" ca="1" si="120"/>
        <v>0.23475874209732256</v>
      </c>
      <c r="FB77" s="305">
        <f t="shared" ca="1" si="121"/>
        <v>0.28974023578124997</v>
      </c>
      <c r="FC77" s="305">
        <f t="shared" ca="1" si="122"/>
        <v>0.28974023578124997</v>
      </c>
      <c r="FD77" s="305">
        <f t="shared" ca="1" si="123"/>
        <v>0.28974023578124997</v>
      </c>
      <c r="FE77" s="305">
        <f t="shared" ca="1" si="124"/>
        <v>8.1352871711999994E-2</v>
      </c>
      <c r="FF77" s="305">
        <f t="shared" ca="1" si="125"/>
        <v>0.23475874209732256</v>
      </c>
      <c r="FG77" s="299">
        <f t="shared" ca="1" si="126"/>
        <v>4.1677953031350707</v>
      </c>
      <c r="FH77" s="302">
        <f t="shared" ca="1" si="127"/>
        <v>0.19457323109285163</v>
      </c>
      <c r="FI77" s="248">
        <f t="shared" ca="1" si="128"/>
        <v>96.335593035518571</v>
      </c>
      <c r="FJ77" s="363">
        <f t="shared" ca="1" si="129"/>
        <v>0.68765592276002041</v>
      </c>
      <c r="FK77" s="378">
        <f t="shared" ca="1" si="130"/>
        <v>0.21620317295475519</v>
      </c>
      <c r="FL77" s="508">
        <f t="shared" ca="1" si="131"/>
        <v>-1.4805362595848544</v>
      </c>
      <c r="FM77" s="508">
        <f t="shared" ca="1" si="132"/>
        <v>-1.1462633402367128</v>
      </c>
      <c r="FN77" s="508">
        <f t="shared" ca="1" si="133"/>
        <v>-6.8081191100442533</v>
      </c>
      <c r="FO77" s="508">
        <f t="shared" ca="1" si="134"/>
        <v>-0.86686974087259316</v>
      </c>
      <c r="FP77" s="353">
        <f t="shared" ca="1" si="135"/>
        <v>399.55230646317631</v>
      </c>
      <c r="FQ77" s="356">
        <f t="shared" ca="1" si="136"/>
        <v>26.335278621142667</v>
      </c>
      <c r="FR77" s="380">
        <f t="shared" ca="1" si="137"/>
        <v>22.18</v>
      </c>
      <c r="FS77" s="299">
        <f t="shared" ca="1" si="138"/>
        <v>22.18</v>
      </c>
      <c r="FT77" s="299">
        <f t="shared" ca="1" si="139"/>
        <v>22.18</v>
      </c>
      <c r="FU77" s="299">
        <f t="shared" ca="1" si="140"/>
        <v>22.18</v>
      </c>
      <c r="FV77" s="299">
        <f t="shared" ca="1" si="141"/>
        <v>22.179999999999996</v>
      </c>
      <c r="FW77" s="850">
        <f t="shared" ca="1" si="142"/>
        <v>0.16950000000000001</v>
      </c>
      <c r="FX77" s="851">
        <f t="shared" ca="1" si="143"/>
        <v>0.5</v>
      </c>
      <c r="FY77" s="851">
        <f t="shared" ca="1" si="144"/>
        <v>0</v>
      </c>
      <c r="FZ77" s="201">
        <f t="shared" ca="1" si="145"/>
        <v>0</v>
      </c>
      <c r="GA77" s="201">
        <f t="shared" ca="1" si="146"/>
        <v>0</v>
      </c>
      <c r="GB77" s="201">
        <f t="shared" ca="1" si="147"/>
        <v>0</v>
      </c>
      <c r="GC77" s="201">
        <f t="shared" ca="1" si="148"/>
        <v>0</v>
      </c>
      <c r="GD77" s="850">
        <f t="shared" ca="1" si="149"/>
        <v>0.30474023578124998</v>
      </c>
      <c r="GE77" s="866">
        <f t="shared" ca="1" si="150"/>
        <v>0.28974023578124997</v>
      </c>
      <c r="GF77" s="866">
        <f t="shared" ca="1" si="151"/>
        <v>0.29224023578124997</v>
      </c>
      <c r="GG77" s="866">
        <f t="shared" ca="1" si="152"/>
        <v>8.1352871711999994E-2</v>
      </c>
      <c r="GH77" s="866">
        <f t="shared" ca="1" si="153"/>
        <v>0.24975874209732257</v>
      </c>
      <c r="GI77" s="302">
        <f t="shared" ca="1" si="154"/>
        <v>12.536957391012107</v>
      </c>
      <c r="GJ77" s="299">
        <f t="shared" ca="1" si="155"/>
        <v>5.0081623174684307</v>
      </c>
      <c r="GK77" s="299">
        <f t="shared" ca="1" si="156"/>
        <v>6.1211414358561216</v>
      </c>
      <c r="GL77" s="299">
        <f t="shared" ca="1" si="157"/>
        <v>1.7383441433225519</v>
      </c>
      <c r="GM77" s="299">
        <f t="shared" ca="1" si="158"/>
        <v>7.0480479987898121</v>
      </c>
      <c r="GN77" s="302">
        <f t="shared" ca="1" si="159"/>
        <v>0.82209318440869417</v>
      </c>
      <c r="GO77" s="299">
        <f t="shared" ca="1" si="160"/>
        <v>0.61413564255626107</v>
      </c>
      <c r="GP77" s="299">
        <f t="shared" ca="1" si="161"/>
        <v>0.66253177961871046</v>
      </c>
      <c r="GQ77" s="299">
        <f t="shared" ca="1" si="162"/>
        <v>0.43101674522107575</v>
      </c>
      <c r="GR77" s="299">
        <f t="shared" ca="1" si="163"/>
        <v>0.72112386373927251</v>
      </c>
      <c r="GS77" s="302">
        <f t="shared" ca="1" si="164"/>
        <v>-0.62824360712861083</v>
      </c>
      <c r="GT77" s="299">
        <f t="shared" ca="1" si="165"/>
        <v>-0.39041603073314046</v>
      </c>
      <c r="GU77" s="299">
        <f t="shared" ca="1" si="166"/>
        <v>-0.43897929142000802</v>
      </c>
      <c r="GV77" s="299">
        <f t="shared" ca="1" si="167"/>
        <v>-0.30685914927713653</v>
      </c>
      <c r="GW77" s="299">
        <f t="shared" ca="1" si="168"/>
        <v>-0.53519578029982928</v>
      </c>
      <c r="GX77" s="303">
        <f t="shared" ca="1" si="169"/>
        <v>2896.693969115348</v>
      </c>
      <c r="GY77" s="303">
        <f t="shared" ca="1" si="170"/>
        <v>275.51139838005724</v>
      </c>
      <c r="GZ77" s="303">
        <f t="shared" ca="1" si="171"/>
        <v>269.39130639476718</v>
      </c>
      <c r="HA77" s="303">
        <f t="shared" ca="1" si="172"/>
        <v>286.89183502822721</v>
      </c>
      <c r="HB77" s="303">
        <f t="shared" ca="1" si="173"/>
        <v>3489.5750041906008</v>
      </c>
      <c r="HC77" s="303">
        <f t="shared" ca="1" si="174"/>
        <v>2315.1450037060936</v>
      </c>
      <c r="HD77" s="303">
        <f t="shared" ca="1" si="175"/>
        <v>4.1259614467998595</v>
      </c>
      <c r="HE77" s="303">
        <f t="shared" ca="1" si="176"/>
        <v>77.237480800349871</v>
      </c>
      <c r="HF77" s="303">
        <f t="shared" ca="1" si="177"/>
        <v>0</v>
      </c>
      <c r="HG77" s="852">
        <f t="shared" ca="1" si="178"/>
        <v>2007.6822952890975</v>
      </c>
    </row>
    <row r="78" spans="1:215" x14ac:dyDescent="0.25">
      <c r="A78" s="244">
        <f t="shared" ca="1" si="179"/>
        <v>38473</v>
      </c>
      <c r="B78" s="13">
        <f t="shared" ca="1" si="3"/>
        <v>2005</v>
      </c>
      <c r="C78" s="619">
        <f t="shared" ca="1" si="180"/>
        <v>5</v>
      </c>
      <c r="D78" s="195">
        <f t="shared" ca="1" si="4"/>
        <v>38502</v>
      </c>
      <c r="E78" s="469">
        <f t="shared" ca="1" si="5"/>
        <v>38473</v>
      </c>
      <c r="F78" s="465">
        <f t="shared" ca="1" si="6"/>
        <v>38503</v>
      </c>
      <c r="G78" s="522">
        <f t="shared" ca="1" si="181"/>
        <v>1</v>
      </c>
      <c r="H78" s="519">
        <f t="shared" ca="1" si="182"/>
        <v>1</v>
      </c>
      <c r="I78" s="724">
        <f t="shared" ca="1" si="7"/>
        <v>7.3125678291756008E-2</v>
      </c>
      <c r="J78" s="198">
        <f t="shared" ca="1" si="8"/>
        <v>0.68339425162413847</v>
      </c>
      <c r="K78" s="200">
        <f t="shared" ca="1" si="190"/>
        <v>32.229999999999997</v>
      </c>
      <c r="L78" s="201">
        <f t="shared" ca="1" si="191"/>
        <v>33.75</v>
      </c>
      <c r="M78" s="206">
        <f t="shared" ca="1" si="192"/>
        <v>35.270000000000003</v>
      </c>
      <c r="N78" s="851">
        <f t="shared" ca="1" si="196"/>
        <v>20.892500076293942</v>
      </c>
      <c r="O78" s="201">
        <f t="shared" ca="1" si="197"/>
        <v>22.032500076293942</v>
      </c>
      <c r="P78" s="206">
        <f t="shared" ca="1" si="198"/>
        <v>23.172500076293943</v>
      </c>
      <c r="Q78" s="201">
        <f t="shared" ca="1" si="199"/>
        <v>17.864999771118161</v>
      </c>
      <c r="R78" s="201">
        <f t="shared" ca="1" si="200"/>
        <v>21.164999771118161</v>
      </c>
      <c r="S78" s="201">
        <f t="shared" ca="1" si="201"/>
        <v>24.464999771118162</v>
      </c>
      <c r="T78" s="851">
        <f t="shared" ca="1" si="193"/>
        <v>18.839997711181638</v>
      </c>
      <c r="U78" s="201">
        <f t="shared" ca="1" si="194"/>
        <v>19.59999771118164</v>
      </c>
      <c r="V78" s="206">
        <f t="shared" ca="1" si="195"/>
        <v>20.359997711181641</v>
      </c>
      <c r="W78" s="230">
        <f t="shared" ca="1" si="183"/>
        <v>0.11124119109374998</v>
      </c>
      <c r="X78" s="231">
        <f t="shared" ca="1" si="184"/>
        <v>0.22248238218749997</v>
      </c>
      <c r="Y78" s="232">
        <f t="shared" ca="1" si="185"/>
        <v>0.33372357328124996</v>
      </c>
      <c r="Z78" s="231">
        <f t="shared" ca="1" si="202"/>
        <v>0.11124119109374998</v>
      </c>
      <c r="AA78" s="231">
        <f t="shared" ca="1" si="203"/>
        <v>0.22248238218749997</v>
      </c>
      <c r="AB78" s="232">
        <f t="shared" ca="1" si="204"/>
        <v>0.33372357328124996</v>
      </c>
      <c r="AC78" s="231">
        <f t="shared" ca="1" si="205"/>
        <v>0.11124119109374998</v>
      </c>
      <c r="AD78" s="231">
        <f t="shared" ca="1" si="206"/>
        <v>0.22248238218749997</v>
      </c>
      <c r="AE78" s="232">
        <f t="shared" ca="1" si="14"/>
        <v>0.33372357328124996</v>
      </c>
      <c r="AF78" s="231">
        <f t="shared" ca="1" si="186"/>
        <v>3.1637227888000004E-2</v>
      </c>
      <c r="AG78" s="231">
        <f t="shared" ca="1" si="187"/>
        <v>6.3274455776000008E-2</v>
      </c>
      <c r="AH78" s="232">
        <f t="shared" ca="1" si="188"/>
        <v>9.4911683664000018E-2</v>
      </c>
      <c r="AI78" s="233">
        <f t="shared" ca="1" si="15"/>
        <v>0.85000000000000009</v>
      </c>
      <c r="AJ78" s="233">
        <f t="shared" ca="1" si="16"/>
        <v>1.1000000000000001</v>
      </c>
      <c r="AK78" s="234">
        <f t="shared" ca="1" si="17"/>
        <v>1.4000000000000001</v>
      </c>
      <c r="AL78" s="919">
        <f t="shared" ca="1" si="18"/>
        <v>0.85000000000000009</v>
      </c>
      <c r="AM78" s="233">
        <f t="shared" ca="1" si="19"/>
        <v>1.1000000000000001</v>
      </c>
      <c r="AN78" s="234">
        <f t="shared" ca="1" si="20"/>
        <v>1.4000000000000001</v>
      </c>
      <c r="AO78" s="233">
        <f t="shared" ca="1" si="21"/>
        <v>0.85000000000000009</v>
      </c>
      <c r="AP78" s="233">
        <f t="shared" ca="1" si="22"/>
        <v>1.1000000000000001</v>
      </c>
      <c r="AQ78" s="233">
        <f t="shared" ca="1" si="23"/>
        <v>1.4000000000000001</v>
      </c>
      <c r="AR78" s="919">
        <f t="shared" ca="1" si="24"/>
        <v>0.35</v>
      </c>
      <c r="AS78" s="233">
        <f t="shared" ca="1" si="25"/>
        <v>0.5</v>
      </c>
      <c r="AT78" s="235">
        <f t="shared" ca="1" si="26"/>
        <v>0.7</v>
      </c>
      <c r="AU78" s="946">
        <f t="shared" si="27"/>
        <v>0.5</v>
      </c>
      <c r="AV78" s="13">
        <f t="shared" ca="1" si="28"/>
        <v>21</v>
      </c>
      <c r="AW78" s="210">
        <f t="shared" ca="1" si="29"/>
        <v>4</v>
      </c>
      <c r="AX78" s="210">
        <f t="shared" ca="1" si="30"/>
        <v>5</v>
      </c>
      <c r="AY78" s="210">
        <f t="shared" ca="1" si="31"/>
        <v>1</v>
      </c>
      <c r="AZ78" s="13">
        <f t="shared" ca="1" si="32"/>
        <v>31</v>
      </c>
      <c r="BA78" s="357">
        <f ca="1"/>
        <v>336</v>
      </c>
      <c r="BB78" s="925">
        <f ca="1"/>
        <v>64</v>
      </c>
      <c r="BC78" s="925">
        <f ca="1"/>
        <v>96</v>
      </c>
      <c r="BD78" s="928">
        <f ca="1"/>
        <v>248</v>
      </c>
      <c r="BE78" s="200">
        <f ca="1"/>
        <v>0.9999999925494194</v>
      </c>
      <c r="BF78" s="851">
        <f ca="1"/>
        <v>0.9999999925494194</v>
      </c>
      <c r="BG78" s="851">
        <f ca="1"/>
        <v>0.9999999925494194</v>
      </c>
      <c r="BH78" s="933">
        <f ca="1"/>
        <v>1</v>
      </c>
      <c r="BI78" s="357">
        <f ca="1"/>
        <v>336</v>
      </c>
      <c r="BJ78" s="925">
        <f ca="1"/>
        <v>64</v>
      </c>
      <c r="BK78" s="925">
        <f ca="1"/>
        <v>96</v>
      </c>
      <c r="BL78" s="928">
        <f ca="1"/>
        <v>248</v>
      </c>
      <c r="BM78" s="200">
        <f ca="1"/>
        <v>0.9999999925494194</v>
      </c>
      <c r="BN78" s="851">
        <f ca="1"/>
        <v>0.9999999925494194</v>
      </c>
      <c r="BO78" s="851">
        <f ca="1"/>
        <v>0.9999999925494194</v>
      </c>
      <c r="BP78" s="933">
        <f ca="1"/>
        <v>1</v>
      </c>
      <c r="BQ78" s="357">
        <f t="shared" ca="1" si="33"/>
        <v>744</v>
      </c>
      <c r="BR78" s="361">
        <f t="shared" ca="1" si="34"/>
        <v>744</v>
      </c>
      <c r="BS78" s="357">
        <f t="shared" ca="1" si="35"/>
        <v>508.44532320835901</v>
      </c>
      <c r="BT78" s="302">
        <f t="shared" ca="1" si="36"/>
        <v>24.937848537444108</v>
      </c>
      <c r="BU78" s="299">
        <f t="shared" ca="1" si="37"/>
        <v>26.401504442404995</v>
      </c>
      <c r="BV78" s="299">
        <f t="shared" ca="1" si="38"/>
        <v>27.865160347365883</v>
      </c>
      <c r="BW78" s="299">
        <f t="shared" ca="1" si="39"/>
        <v>32.659889647739881</v>
      </c>
      <c r="BX78" s="380">
        <f t="shared" ca="1" si="40"/>
        <v>5.1635865845311431</v>
      </c>
      <c r="BY78" s="363">
        <f t="shared" ca="1" si="41"/>
        <v>229.62046854571054</v>
      </c>
      <c r="BZ78" s="353">
        <f t="shared" ca="1" si="42"/>
        <v>43.737232103944862</v>
      </c>
      <c r="CA78" s="353">
        <f t="shared" ca="1" si="43"/>
        <v>65.6058481559173</v>
      </c>
      <c r="CB78" s="353">
        <f t="shared" ca="1" si="44"/>
        <v>338.96354880557271</v>
      </c>
      <c r="CC78" s="353">
        <f t="shared" ca="1" si="45"/>
        <v>169.48177440278633</v>
      </c>
      <c r="CD78" s="353">
        <f t="shared" ca="1" si="46"/>
        <v>508.44532320835901</v>
      </c>
      <c r="CE78" s="302">
        <f t="shared" ca="1" si="47"/>
        <v>35.269999737218022</v>
      </c>
      <c r="CF78" s="299">
        <f t="shared" ca="1" si="48"/>
        <v>23.172499903645363</v>
      </c>
      <c r="CG78" s="299">
        <f t="shared" ca="1" si="49"/>
        <v>24.46499958883971</v>
      </c>
      <c r="CH78" s="299">
        <f t="shared" ca="1" si="50"/>
        <v>31.617741665458002</v>
      </c>
      <c r="CI78" s="299">
        <f t="shared" ca="1" si="51"/>
        <v>20.359997711181641</v>
      </c>
      <c r="CJ78" s="299">
        <f t="shared" ca="1" si="52"/>
        <v>27.865160347365883</v>
      </c>
      <c r="CK78" s="299">
        <f t="shared" ca="1" si="53"/>
        <v>32.659889647739881</v>
      </c>
      <c r="CL78" s="377">
        <f t="shared" ca="1" si="54"/>
        <v>0.33372357328124996</v>
      </c>
      <c r="CM78" s="305">
        <f t="shared" ca="1" si="55"/>
        <v>0.33372357328124996</v>
      </c>
      <c r="CN78" s="305">
        <f t="shared" ca="1" si="56"/>
        <v>0.33372357328124996</v>
      </c>
      <c r="CO78" s="305">
        <f t="shared" ca="1" si="57"/>
        <v>0.33372357328125002</v>
      </c>
      <c r="CP78" s="305">
        <f t="shared" ca="1" si="58"/>
        <v>9.4911683664000018E-2</v>
      </c>
      <c r="CQ78" s="305">
        <f t="shared" ca="1" si="59"/>
        <v>0.27530203670242387</v>
      </c>
      <c r="CR78" s="775">
        <f t="shared" ca="1" si="60"/>
        <v>0.34372357328124997</v>
      </c>
      <c r="CS78" s="305">
        <f t="shared" ca="1" si="61"/>
        <v>0.38372357328124995</v>
      </c>
      <c r="CT78" s="305">
        <f t="shared" ca="1" si="62"/>
        <v>0.37372357328124994</v>
      </c>
      <c r="CU78" s="305">
        <f t="shared" ca="1" si="63"/>
        <v>0.15491168366400002</v>
      </c>
      <c r="CV78" s="770">
        <f t="shared" ca="1" si="64"/>
        <v>0.29030203670242388</v>
      </c>
      <c r="CW78" s="302">
        <f t="shared" ca="1" si="65"/>
        <v>11.672940780410464</v>
      </c>
      <c r="CX78" s="299">
        <f t="shared" ca="1" si="66"/>
        <v>5.3352405222884807</v>
      </c>
      <c r="CY78" s="299">
        <f t="shared" ca="1" si="67"/>
        <v>5.7987157096169275</v>
      </c>
      <c r="CZ78" s="299">
        <f t="shared" ca="1" si="68"/>
        <v>0.37325468110533411</v>
      </c>
      <c r="DA78" s="774">
        <f t="shared" ca="1" si="69"/>
        <v>5.6415835568293922</v>
      </c>
      <c r="DB78" s="303">
        <f t="shared" ca="1" si="70"/>
        <v>2868.4367749590838</v>
      </c>
      <c r="DC78" s="248">
        <f t="shared" ca="1" si="71"/>
        <v>272.28238957496518</v>
      </c>
      <c r="DD78" s="778">
        <f t="shared" ca="1" si="72"/>
        <v>0</v>
      </c>
      <c r="DE78" s="363">
        <f t="shared" ca="1" si="73"/>
        <v>0.68339425162413847</v>
      </c>
      <c r="DF78" s="378">
        <f t="shared" ca="1" si="74"/>
        <v>-0.29209395920243914</v>
      </c>
      <c r="DG78" s="508">
        <f t="shared" ca="1" si="75"/>
        <v>-0.82955456990242837</v>
      </c>
      <c r="DH78" s="508">
        <f t="shared" ca="1" si="76"/>
        <v>-0.76481064643773811</v>
      </c>
      <c r="DI78" s="508">
        <f t="shared" ca="1" si="77"/>
        <v>-1.5184980884339665</v>
      </c>
      <c r="DJ78" s="508">
        <f t="shared" ca="1" si="78"/>
        <v>-0.57051656620953783</v>
      </c>
      <c r="DK78" s="353">
        <f t="shared" ca="1" si="79"/>
        <v>-144.48168068603999</v>
      </c>
      <c r="DL78" s="781">
        <f t="shared" ca="1" si="80"/>
        <v>8.0008275025711981</v>
      </c>
      <c r="DM78" s="303">
        <f t="shared" ca="1" si="81"/>
        <v>10247.755835032254</v>
      </c>
      <c r="DN78" s="508">
        <f t="shared" ca="1" si="82"/>
        <v>1.1699010826989116</v>
      </c>
      <c r="DO78" s="508">
        <f t="shared" ca="1" si="83"/>
        <v>0.98502285955674695</v>
      </c>
      <c r="DP78" s="508">
        <f t="shared" ca="1" si="84"/>
        <v>1.0089111893451166</v>
      </c>
      <c r="DQ78" s="508">
        <f t="shared" ca="1" si="85"/>
        <v>0.9280743538655577</v>
      </c>
      <c r="DR78" s="508">
        <f t="shared" ca="1" si="86"/>
        <v>1.0661851700982194</v>
      </c>
      <c r="DS78" s="353">
        <f t="shared" ca="1" si="87"/>
        <v>7275.2761235115267</v>
      </c>
      <c r="DT78" s="353">
        <f t="shared" ca="1" si="88"/>
        <v>-9355.1626006327679</v>
      </c>
      <c r="DU78" s="380">
        <f t="shared" ca="1" si="189"/>
        <v>5.1635865845311431</v>
      </c>
      <c r="DV78" s="303">
        <f t="shared" ca="1" si="89"/>
        <v>229.62046854571054</v>
      </c>
      <c r="DW78" s="303">
        <f t="shared" ca="1" si="90"/>
        <v>43.737232103944862</v>
      </c>
      <c r="DX78" s="303">
        <f t="shared" ca="1" si="91"/>
        <v>65.6058481559173</v>
      </c>
      <c r="DY78" s="303">
        <f t="shared" ca="1" si="92"/>
        <v>338.96354880557271</v>
      </c>
      <c r="DZ78" s="303">
        <f t="shared" ca="1" si="93"/>
        <v>169.48177440278633</v>
      </c>
      <c r="EA78" s="303">
        <f t="shared" ca="1" si="94"/>
        <v>508.44532320835901</v>
      </c>
      <c r="EB78" s="302">
        <f t="shared" ca="1" si="95"/>
        <v>35.269999737218022</v>
      </c>
      <c r="EC78" s="299">
        <f t="shared" ca="1" si="96"/>
        <v>23.172499903645363</v>
      </c>
      <c r="ED78" s="299">
        <f t="shared" ca="1" si="97"/>
        <v>24.46499958883971</v>
      </c>
      <c r="EE78" s="299">
        <f t="shared" ca="1" si="98"/>
        <v>31.617741665458002</v>
      </c>
      <c r="EF78" s="299">
        <f t="shared" ca="1" si="99"/>
        <v>20.359997711181641</v>
      </c>
      <c r="EG78" s="299">
        <f t="shared" ca="1" si="100"/>
        <v>27.865160347365883</v>
      </c>
      <c r="EH78" s="302">
        <f t="shared" ca="1" si="101"/>
        <v>30</v>
      </c>
      <c r="EI78" s="304">
        <f t="shared" ca="1" si="102"/>
        <v>0.11124119109374998</v>
      </c>
      <c r="EJ78" s="305">
        <f t="shared" ca="1" si="103"/>
        <v>0.11124119109374998</v>
      </c>
      <c r="EK78" s="305">
        <f t="shared" ca="1" si="104"/>
        <v>0.11124119109374998</v>
      </c>
      <c r="EL78" s="305">
        <f t="shared" ca="1" si="105"/>
        <v>0.11124119109374991</v>
      </c>
      <c r="EM78" s="305">
        <f t="shared" ca="1" si="106"/>
        <v>3.1637227888000004E-2</v>
      </c>
      <c r="EN78" s="305">
        <f t="shared" ca="1" si="107"/>
        <v>8.8663100751794774E-2</v>
      </c>
      <c r="EO78" s="305">
        <f t="shared" ca="1" si="108"/>
        <v>0.11124119109374998</v>
      </c>
      <c r="EP78" s="305">
        <f t="shared" ca="1" si="109"/>
        <v>0.11124119109374998</v>
      </c>
      <c r="EQ78" s="305">
        <f t="shared" ca="1" si="110"/>
        <v>0.11124119109374998</v>
      </c>
      <c r="ER78" s="305">
        <f t="shared" ca="1" si="111"/>
        <v>3.1637227888000004E-2</v>
      </c>
      <c r="ES78" s="305">
        <f t="shared" ca="1" si="112"/>
        <v>8.8663100751794774E-2</v>
      </c>
      <c r="ET78" s="299">
        <f t="shared" ca="1" si="113"/>
        <v>3.542498738287911</v>
      </c>
      <c r="EU78" s="302">
        <f t="shared" ca="1" si="114"/>
        <v>30</v>
      </c>
      <c r="EV78" s="304">
        <f t="shared" ca="1" si="115"/>
        <v>0.33372357328124996</v>
      </c>
      <c r="EW78" s="305">
        <f t="shared" ca="1" si="116"/>
        <v>0.33372357328124996</v>
      </c>
      <c r="EX78" s="305">
        <f t="shared" ca="1" si="117"/>
        <v>0.33372357328124996</v>
      </c>
      <c r="EY78" s="305">
        <f t="shared" ca="1" si="118"/>
        <v>0.33372357328125002</v>
      </c>
      <c r="EZ78" s="305">
        <f t="shared" ca="1" si="119"/>
        <v>9.4911683664000018E-2</v>
      </c>
      <c r="FA78" s="305">
        <f t="shared" ca="1" si="120"/>
        <v>0.27530203670242387</v>
      </c>
      <c r="FB78" s="305">
        <f t="shared" ca="1" si="121"/>
        <v>0.33372357328124996</v>
      </c>
      <c r="FC78" s="305">
        <f t="shared" ca="1" si="122"/>
        <v>0.33372357328124996</v>
      </c>
      <c r="FD78" s="305">
        <f t="shared" ca="1" si="123"/>
        <v>0.33372357328124996</v>
      </c>
      <c r="FE78" s="305">
        <f t="shared" ca="1" si="124"/>
        <v>9.4911683664000018E-2</v>
      </c>
      <c r="FF78" s="305">
        <f t="shared" ca="1" si="125"/>
        <v>0.27530203670242387</v>
      </c>
      <c r="FG78" s="299">
        <f t="shared" ca="1" si="126"/>
        <v>6.0850827829015799</v>
      </c>
      <c r="FH78" s="302">
        <f t="shared" ca="1" si="127"/>
        <v>-2.5425840446136689</v>
      </c>
      <c r="FI78" s="248">
        <f t="shared" ca="1" si="128"/>
        <v>-1292.7649663480136</v>
      </c>
      <c r="FJ78" s="363">
        <f t="shared" ca="1" si="129"/>
        <v>0.68339425162413847</v>
      </c>
      <c r="FK78" s="378">
        <f t="shared" ca="1" si="130"/>
        <v>0.51383452842170174</v>
      </c>
      <c r="FL78" s="508">
        <f t="shared" ca="1" si="131"/>
        <v>-1.1479575964401889</v>
      </c>
      <c r="FM78" s="508">
        <f t="shared" ca="1" si="132"/>
        <v>-0.93323550725237581</v>
      </c>
      <c r="FN78" s="508">
        <f t="shared" ca="1" si="133"/>
        <v>-5.4277974758683909</v>
      </c>
      <c r="FO78" s="508">
        <f t="shared" ca="1" si="134"/>
        <v>-0.46713787936612161</v>
      </c>
      <c r="FP78" s="353">
        <f t="shared" ca="1" si="135"/>
        <v>345.64081084547729</v>
      </c>
      <c r="FQ78" s="356">
        <f t="shared" ca="1" si="136"/>
        <v>30.090486625283354</v>
      </c>
      <c r="FR78" s="380">
        <f t="shared" ca="1" si="137"/>
        <v>21.972000000000001</v>
      </c>
      <c r="FS78" s="299">
        <f t="shared" ca="1" si="138"/>
        <v>21.972000000000001</v>
      </c>
      <c r="FT78" s="299">
        <f t="shared" ca="1" si="139"/>
        <v>21.972000000000001</v>
      </c>
      <c r="FU78" s="299">
        <f t="shared" ca="1" si="140"/>
        <v>21.972000000000001</v>
      </c>
      <c r="FV78" s="299">
        <f t="shared" ca="1" si="141"/>
        <v>21.972000000000005</v>
      </c>
      <c r="FW78" s="850">
        <f t="shared" ca="1" si="142"/>
        <v>0.16850000000000001</v>
      </c>
      <c r="FX78" s="851">
        <f t="shared" ca="1" si="143"/>
        <v>0.5</v>
      </c>
      <c r="FY78" s="851">
        <f t="shared" ca="1" si="144"/>
        <v>0</v>
      </c>
      <c r="FZ78" s="201">
        <f t="shared" ca="1" si="145"/>
        <v>0</v>
      </c>
      <c r="GA78" s="201">
        <f t="shared" ca="1" si="146"/>
        <v>0</v>
      </c>
      <c r="GB78" s="201">
        <f t="shared" ca="1" si="147"/>
        <v>0</v>
      </c>
      <c r="GC78" s="201">
        <f t="shared" ca="1" si="148"/>
        <v>0</v>
      </c>
      <c r="GD78" s="850">
        <f t="shared" ca="1" si="149"/>
        <v>0.34872357328124998</v>
      </c>
      <c r="GE78" s="866">
        <f t="shared" ca="1" si="150"/>
        <v>0.33372357328124996</v>
      </c>
      <c r="GF78" s="866">
        <f t="shared" ca="1" si="151"/>
        <v>0.33872357328124997</v>
      </c>
      <c r="GG78" s="866">
        <f t="shared" ca="1" si="152"/>
        <v>9.4911683664000018E-2</v>
      </c>
      <c r="GH78" s="866">
        <f t="shared" ca="1" si="153"/>
        <v>0.29030203670242388</v>
      </c>
      <c r="GI78" s="302">
        <f t="shared" ca="1" si="154"/>
        <v>15.986721696292559</v>
      </c>
      <c r="GJ78" s="299">
        <f t="shared" ca="1" si="155"/>
        <v>6.4280800651593939</v>
      </c>
      <c r="GK78" s="299">
        <f t="shared" ca="1" si="156"/>
        <v>7.3841763612762117</v>
      </c>
      <c r="GL78" s="299">
        <f t="shared" ca="1" si="157"/>
        <v>2.060921999704024</v>
      </c>
      <c r="GM78" s="299">
        <f t="shared" ca="1" si="158"/>
        <v>9.0330752027597523</v>
      </c>
      <c r="GN78" s="302">
        <f t="shared" ca="1" si="159"/>
        <v>0.84912631936528893</v>
      </c>
      <c r="GO78" s="299">
        <f t="shared" ca="1" si="160"/>
        <v>0.65886813847590731</v>
      </c>
      <c r="GP78" s="299">
        <f t="shared" ca="1" si="161"/>
        <v>0.6895317898877098</v>
      </c>
      <c r="GQ78" s="299">
        <f t="shared" ca="1" si="162"/>
        <v>0.47490717700873658</v>
      </c>
      <c r="GR78" s="299">
        <f t="shared" ca="1" si="163"/>
        <v>0.75835096638358379</v>
      </c>
      <c r="GS78" s="302">
        <f t="shared" ca="1" si="164"/>
        <v>-0.63544363903836776</v>
      </c>
      <c r="GT78" s="299">
        <f t="shared" ca="1" si="165"/>
        <v>-0.40230945612395691</v>
      </c>
      <c r="GU78" s="299">
        <f t="shared" ca="1" si="166"/>
        <v>-0.43169578776619616</v>
      </c>
      <c r="GV78" s="299">
        <f t="shared" ca="1" si="167"/>
        <v>-0.34626735351532134</v>
      </c>
      <c r="GW78" s="299">
        <f t="shared" ca="1" si="168"/>
        <v>-0.55063257126483811</v>
      </c>
      <c r="GX78" s="303">
        <f t="shared" ca="1" si="169"/>
        <v>3670.8785264125736</v>
      </c>
      <c r="GY78" s="303">
        <f t="shared" ca="1" si="170"/>
        <v>281.14642979261743</v>
      </c>
      <c r="GZ78" s="303">
        <f t="shared" ca="1" si="171"/>
        <v>484.44515311440108</v>
      </c>
      <c r="HA78" s="303">
        <f t="shared" ca="1" si="172"/>
        <v>349.28871741557668</v>
      </c>
      <c r="HB78" s="303">
        <f t="shared" ca="1" si="173"/>
        <v>4592.824841032595</v>
      </c>
      <c r="HC78" s="303">
        <f t="shared" ca="1" si="174"/>
        <v>3053.4929303807376</v>
      </c>
      <c r="HD78" s="303">
        <f t="shared" ca="1" si="175"/>
        <v>52.506542926500636</v>
      </c>
      <c r="HE78" s="303">
        <f t="shared" ca="1" si="176"/>
        <v>163.55535247818219</v>
      </c>
      <c r="HF78" s="303">
        <f t="shared" ca="1" si="177"/>
        <v>0</v>
      </c>
      <c r="HG78" s="852">
        <f t="shared" ca="1" si="178"/>
        <v>2996.3498175351292</v>
      </c>
    </row>
    <row r="79" spans="1:215" x14ac:dyDescent="0.25">
      <c r="A79" s="244">
        <f t="shared" ca="1" si="179"/>
        <v>38504</v>
      </c>
      <c r="B79" s="13">
        <f t="shared" ca="1" si="3"/>
        <v>2005</v>
      </c>
      <c r="C79" s="619">
        <f t="shared" ca="1" si="180"/>
        <v>6</v>
      </c>
      <c r="D79" s="195" t="str">
        <f t="shared" ca="1" si="4"/>
        <v/>
      </c>
      <c r="E79" s="469">
        <f t="shared" ca="1" si="5"/>
        <v>38504</v>
      </c>
      <c r="F79" s="465">
        <f t="shared" ca="1" si="6"/>
        <v>38533</v>
      </c>
      <c r="G79" s="522">
        <f t="shared" ca="1" si="181"/>
        <v>1</v>
      </c>
      <c r="H79" s="519">
        <f t="shared" ca="1" si="182"/>
        <v>1</v>
      </c>
      <c r="I79" s="724">
        <f t="shared" ca="1" si="7"/>
        <v>7.3150531603689992E-2</v>
      </c>
      <c r="J79" s="198">
        <f t="shared" ca="1" si="8"/>
        <v>0.67928709125806674</v>
      </c>
      <c r="K79" s="200">
        <f t="shared" ca="1" si="190"/>
        <v>44.35</v>
      </c>
      <c r="L79" s="201">
        <f t="shared" ca="1" si="191"/>
        <v>48.75</v>
      </c>
      <c r="M79" s="206">
        <f t="shared" ca="1" si="192"/>
        <v>53.15</v>
      </c>
      <c r="N79" s="851">
        <f t="shared" ca="1" si="196"/>
        <v>23.158750152587888</v>
      </c>
      <c r="O79" s="201">
        <f t="shared" ca="1" si="197"/>
        <v>26.458750152587889</v>
      </c>
      <c r="P79" s="206">
        <f t="shared" ca="1" si="198"/>
        <v>29.75875015258789</v>
      </c>
      <c r="Q79" s="201">
        <f t="shared" ca="1" si="199"/>
        <v>16.642499542236326</v>
      </c>
      <c r="R79" s="201">
        <f t="shared" ca="1" si="200"/>
        <v>19.942499542236327</v>
      </c>
      <c r="S79" s="201">
        <f t="shared" ca="1" si="201"/>
        <v>23.242499542236327</v>
      </c>
      <c r="T79" s="851">
        <f t="shared" ca="1" si="193"/>
        <v>17.354998779296874</v>
      </c>
      <c r="U79" s="201">
        <f t="shared" ca="1" si="194"/>
        <v>19.554998779296874</v>
      </c>
      <c r="V79" s="206">
        <f t="shared" ca="1" si="195"/>
        <v>21.754998779296873</v>
      </c>
      <c r="W79" s="230">
        <f t="shared" ca="1" si="183"/>
        <v>0.13937220070312498</v>
      </c>
      <c r="X79" s="231">
        <f t="shared" ca="1" si="184"/>
        <v>0.27874440140624995</v>
      </c>
      <c r="Y79" s="232">
        <f t="shared" ca="1" si="185"/>
        <v>0.41811660210937496</v>
      </c>
      <c r="Z79" s="231">
        <f t="shared" ca="1" si="202"/>
        <v>0.13937220070312498</v>
      </c>
      <c r="AA79" s="231">
        <f t="shared" ca="1" si="203"/>
        <v>0.27874440140624995</v>
      </c>
      <c r="AB79" s="232">
        <f t="shared" ca="1" si="204"/>
        <v>0.41811660210937496</v>
      </c>
      <c r="AC79" s="231">
        <f t="shared" ca="1" si="205"/>
        <v>0.13937220070312498</v>
      </c>
      <c r="AD79" s="231">
        <f t="shared" ca="1" si="206"/>
        <v>0.27874440140624995</v>
      </c>
      <c r="AE79" s="232">
        <f t="shared" ca="1" si="14"/>
        <v>0.41811660210937496</v>
      </c>
      <c r="AF79" s="231">
        <f t="shared" ca="1" si="186"/>
        <v>4.0676435855999997E-2</v>
      </c>
      <c r="AG79" s="231">
        <f t="shared" ca="1" si="187"/>
        <v>8.1352871711999994E-2</v>
      </c>
      <c r="AH79" s="232">
        <f t="shared" ca="1" si="188"/>
        <v>0.12202930756799998</v>
      </c>
      <c r="AI79" s="233">
        <f t="shared" ca="1" si="15"/>
        <v>1.65</v>
      </c>
      <c r="AJ79" s="233">
        <f t="shared" ca="1" si="16"/>
        <v>2</v>
      </c>
      <c r="AK79" s="234">
        <f t="shared" ca="1" si="17"/>
        <v>2.2999999999999998</v>
      </c>
      <c r="AL79" s="919">
        <f t="shared" ca="1" si="18"/>
        <v>1.65</v>
      </c>
      <c r="AM79" s="233">
        <f t="shared" ca="1" si="19"/>
        <v>2</v>
      </c>
      <c r="AN79" s="234">
        <f t="shared" ca="1" si="20"/>
        <v>2.2999999999999998</v>
      </c>
      <c r="AO79" s="233">
        <f t="shared" ca="1" si="21"/>
        <v>1.65</v>
      </c>
      <c r="AP79" s="233">
        <f t="shared" ca="1" si="22"/>
        <v>2</v>
      </c>
      <c r="AQ79" s="233">
        <f t="shared" ca="1" si="23"/>
        <v>2.2999999999999998</v>
      </c>
      <c r="AR79" s="919">
        <f t="shared" ca="1" si="24"/>
        <v>0.5</v>
      </c>
      <c r="AS79" s="233">
        <f t="shared" ca="1" si="25"/>
        <v>0.65</v>
      </c>
      <c r="AT79" s="235">
        <f t="shared" ca="1" si="26"/>
        <v>0.85000000000000009</v>
      </c>
      <c r="AU79" s="946">
        <f t="shared" si="27"/>
        <v>0.5</v>
      </c>
      <c r="AV79" s="13">
        <f t="shared" ca="1" si="28"/>
        <v>22</v>
      </c>
      <c r="AW79" s="210">
        <f t="shared" ca="1" si="29"/>
        <v>4</v>
      </c>
      <c r="AX79" s="210">
        <f t="shared" ca="1" si="30"/>
        <v>4</v>
      </c>
      <c r="AY79" s="210">
        <f t="shared" ca="1" si="31"/>
        <v>0</v>
      </c>
      <c r="AZ79" s="13">
        <f t="shared" ca="1" si="32"/>
        <v>30</v>
      </c>
      <c r="BA79" s="357">
        <f ca="1"/>
        <v>352</v>
      </c>
      <c r="BB79" s="925">
        <f ca="1"/>
        <v>64</v>
      </c>
      <c r="BC79" s="925">
        <f ca="1"/>
        <v>64</v>
      </c>
      <c r="BD79" s="928">
        <f ca="1"/>
        <v>240</v>
      </c>
      <c r="BE79" s="200">
        <f ca="1"/>
        <v>1.0000000037252903</v>
      </c>
      <c r="BF79" s="851">
        <f ca="1"/>
        <v>1.0000000037252903</v>
      </c>
      <c r="BG79" s="851">
        <f ca="1"/>
        <v>1.0000000037252903</v>
      </c>
      <c r="BH79" s="933">
        <f ca="1"/>
        <v>1</v>
      </c>
      <c r="BI79" s="357">
        <f ca="1"/>
        <v>352</v>
      </c>
      <c r="BJ79" s="925">
        <f ca="1"/>
        <v>64</v>
      </c>
      <c r="BK79" s="925">
        <f ca="1"/>
        <v>64</v>
      </c>
      <c r="BL79" s="928">
        <f ca="1"/>
        <v>240</v>
      </c>
      <c r="BM79" s="200">
        <f ca="1"/>
        <v>1.0000000037252903</v>
      </c>
      <c r="BN79" s="851">
        <f ca="1"/>
        <v>1.0000000037252903</v>
      </c>
      <c r="BO79" s="851">
        <f ca="1"/>
        <v>1.0000000037252903</v>
      </c>
      <c r="BP79" s="933">
        <f ca="1"/>
        <v>1</v>
      </c>
      <c r="BQ79" s="357">
        <f t="shared" ca="1" si="33"/>
        <v>720</v>
      </c>
      <c r="BR79" s="361">
        <f t="shared" ca="1" si="34"/>
        <v>720</v>
      </c>
      <c r="BS79" s="357">
        <f t="shared" ca="1" si="35"/>
        <v>489.08670570580807</v>
      </c>
      <c r="BT79" s="302">
        <f t="shared" ca="1" si="36"/>
        <v>31.005110771035564</v>
      </c>
      <c r="BU79" s="299">
        <f t="shared" ca="1" si="37"/>
        <v>34.476221892345698</v>
      </c>
      <c r="BV79" s="299">
        <f t="shared" ca="1" si="38"/>
        <v>37.947333013655829</v>
      </c>
      <c r="BW79" s="299">
        <f t="shared" ca="1" si="39"/>
        <v>32.659889647739881</v>
      </c>
      <c r="BX79" s="380">
        <f t="shared" ca="1" si="40"/>
        <v>5.248459958932238</v>
      </c>
      <c r="BY79" s="363">
        <f t="shared" ca="1" si="41"/>
        <v>239.10905612283949</v>
      </c>
      <c r="BZ79" s="353">
        <f t="shared" ca="1" si="42"/>
        <v>43.474373840516272</v>
      </c>
      <c r="CA79" s="353">
        <f t="shared" ca="1" si="43"/>
        <v>43.474373840516272</v>
      </c>
      <c r="CB79" s="353">
        <f t="shared" ca="1" si="44"/>
        <v>326.05780380387199</v>
      </c>
      <c r="CC79" s="353">
        <f t="shared" ca="1" si="45"/>
        <v>163.02890190193602</v>
      </c>
      <c r="CD79" s="353">
        <f t="shared" ca="1" si="46"/>
        <v>489.08670570580801</v>
      </c>
      <c r="CE79" s="302">
        <f t="shared" ca="1" si="47"/>
        <v>53.150000197999177</v>
      </c>
      <c r="CF79" s="299">
        <f t="shared" ca="1" si="48"/>
        <v>29.758750263447872</v>
      </c>
      <c r="CG79" s="299">
        <f t="shared" ca="1" si="49"/>
        <v>23.242499628821385</v>
      </c>
      <c r="CH79" s="299">
        <f t="shared" ca="1" si="50"/>
        <v>46.043500130835305</v>
      </c>
      <c r="CI79" s="299">
        <f t="shared" ca="1" si="51"/>
        <v>21.754998779296873</v>
      </c>
      <c r="CJ79" s="299">
        <f t="shared" ca="1" si="52"/>
        <v>37.947333013655822</v>
      </c>
      <c r="CK79" s="299">
        <f t="shared" ca="1" si="53"/>
        <v>32.659889647739881</v>
      </c>
      <c r="CL79" s="377">
        <f t="shared" ca="1" si="54"/>
        <v>0.41811660210937496</v>
      </c>
      <c r="CM79" s="305">
        <f t="shared" ca="1" si="55"/>
        <v>0.41811660210937496</v>
      </c>
      <c r="CN79" s="305">
        <f t="shared" ca="1" si="56"/>
        <v>0.41811660210937496</v>
      </c>
      <c r="CO79" s="305">
        <f t="shared" ca="1" si="57"/>
        <v>0.41811660210937501</v>
      </c>
      <c r="CP79" s="305">
        <f t="shared" ca="1" si="58"/>
        <v>0.12202930756799998</v>
      </c>
      <c r="CQ79" s="305">
        <f t="shared" ca="1" si="59"/>
        <v>0.3673939129686235</v>
      </c>
      <c r="CR79" s="775">
        <f t="shared" ca="1" si="60"/>
        <v>0.43311660210937497</v>
      </c>
      <c r="CS79" s="305">
        <f t="shared" ca="1" si="61"/>
        <v>0.41811660210937496</v>
      </c>
      <c r="CT79" s="305">
        <f t="shared" ca="1" si="62"/>
        <v>0.46811660210937495</v>
      </c>
      <c r="CU79" s="305">
        <f t="shared" ca="1" si="63"/>
        <v>0.18202930756799998</v>
      </c>
      <c r="CV79" s="770">
        <f t="shared" ca="1" si="64"/>
        <v>0.38239391296862352</v>
      </c>
      <c r="CW79" s="302">
        <f t="shared" ca="1" si="65"/>
        <v>28.287648401665937</v>
      </c>
      <c r="CX79" s="299">
        <f t="shared" ca="1" si="66"/>
        <v>10.085160166797269</v>
      </c>
      <c r="CY79" s="299">
        <f t="shared" ca="1" si="67"/>
        <v>7.2112758330446507</v>
      </c>
      <c r="CZ79" s="299">
        <f t="shared" ca="1" si="68"/>
        <v>0.95913701556611741</v>
      </c>
      <c r="DA79" s="774">
        <f t="shared" ca="1" si="69"/>
        <v>14.762247998981342</v>
      </c>
      <c r="DB79" s="303">
        <f t="shared" ca="1" si="70"/>
        <v>7220.0192426339408</v>
      </c>
      <c r="DC79" s="248">
        <f t="shared" ca="1" si="71"/>
        <v>356.46555060862357</v>
      </c>
      <c r="DD79" s="778">
        <f t="shared" ca="1" si="72"/>
        <v>2586.0182574418568</v>
      </c>
      <c r="DE79" s="363">
        <f t="shared" ca="1" si="73"/>
        <v>0.67928709125806674</v>
      </c>
      <c r="DF79" s="378">
        <f t="shared" ca="1" si="74"/>
        <v>-5.3503477482467789E-3</v>
      </c>
      <c r="DG79" s="508">
        <f t="shared" ca="1" si="75"/>
        <v>-0.57605695530799417</v>
      </c>
      <c r="DH79" s="508">
        <f t="shared" ca="1" si="76"/>
        <v>-0.85340659706720179</v>
      </c>
      <c r="DI79" s="508">
        <f t="shared" ca="1" si="77"/>
        <v>-1.1828130820011007</v>
      </c>
      <c r="DJ79" s="508">
        <f t="shared" ca="1" si="78"/>
        <v>-0.26674031404884263</v>
      </c>
      <c r="DK79" s="353">
        <f t="shared" ca="1" si="79"/>
        <v>-193.10836071933784</v>
      </c>
      <c r="DL79" s="781">
        <f t="shared" ca="1" si="80"/>
        <v>6.5811890689186585</v>
      </c>
      <c r="DM79" s="303">
        <f t="shared" ca="1" si="81"/>
        <v>14224.863314596909</v>
      </c>
      <c r="DN79" s="508">
        <f t="shared" ca="1" si="82"/>
        <v>1.3579450753958302</v>
      </c>
      <c r="DO79" s="508">
        <f t="shared" ca="1" si="83"/>
        <v>1.1047520972154201</v>
      </c>
      <c r="DP79" s="508">
        <f t="shared" ca="1" si="84"/>
        <v>0.99686442672347786</v>
      </c>
      <c r="DQ79" s="508">
        <f t="shared" ca="1" si="85"/>
        <v>0.96799191221920244</v>
      </c>
      <c r="DR79" s="508">
        <f t="shared" ca="1" si="86"/>
        <v>1.2108653398685185</v>
      </c>
      <c r="DS79" s="353">
        <f t="shared" ca="1" si="87"/>
        <v>8149.1655197525852</v>
      </c>
      <c r="DT79" s="353">
        <f t="shared" ca="1" si="88"/>
        <v>-10656.603234563016</v>
      </c>
      <c r="DU79" s="380">
        <f t="shared" ca="1" si="189"/>
        <v>5.248459958932238</v>
      </c>
      <c r="DV79" s="303">
        <f t="shared" ca="1" si="89"/>
        <v>239.10905612283949</v>
      </c>
      <c r="DW79" s="303">
        <f t="shared" ca="1" si="90"/>
        <v>43.474373840516272</v>
      </c>
      <c r="DX79" s="303">
        <f t="shared" ca="1" si="91"/>
        <v>43.474373840516272</v>
      </c>
      <c r="DY79" s="303">
        <f t="shared" ca="1" si="92"/>
        <v>326.05780380387199</v>
      </c>
      <c r="DZ79" s="303">
        <f t="shared" ca="1" si="93"/>
        <v>163.02890190193602</v>
      </c>
      <c r="EA79" s="303">
        <f t="shared" ca="1" si="94"/>
        <v>489.08670570580801</v>
      </c>
      <c r="EB79" s="302">
        <f t="shared" ca="1" si="95"/>
        <v>53.150000197999177</v>
      </c>
      <c r="EC79" s="299">
        <f t="shared" ca="1" si="96"/>
        <v>29.758750263447872</v>
      </c>
      <c r="ED79" s="299">
        <f t="shared" ca="1" si="97"/>
        <v>23.242499628821385</v>
      </c>
      <c r="EE79" s="299">
        <f t="shared" ca="1" si="98"/>
        <v>46.043500130835305</v>
      </c>
      <c r="EF79" s="299">
        <f t="shared" ca="1" si="99"/>
        <v>21.754998779296873</v>
      </c>
      <c r="EG79" s="299">
        <f t="shared" ca="1" si="100"/>
        <v>37.947333013655822</v>
      </c>
      <c r="EH79" s="302">
        <f t="shared" ca="1" si="101"/>
        <v>30</v>
      </c>
      <c r="EI79" s="304">
        <f t="shared" ca="1" si="102"/>
        <v>0.13937220070312498</v>
      </c>
      <c r="EJ79" s="305">
        <f t="shared" ca="1" si="103"/>
        <v>0.13937220070312498</v>
      </c>
      <c r="EK79" s="305">
        <f t="shared" ca="1" si="104"/>
        <v>0.13937220070312498</v>
      </c>
      <c r="EL79" s="305">
        <f t="shared" ca="1" si="105"/>
        <v>0.139372200703125</v>
      </c>
      <c r="EM79" s="305">
        <f t="shared" ca="1" si="106"/>
        <v>4.0676435855999997E-2</v>
      </c>
      <c r="EN79" s="305">
        <f t="shared" ca="1" si="107"/>
        <v>0.11752072638140991</v>
      </c>
      <c r="EO79" s="305">
        <f t="shared" ca="1" si="108"/>
        <v>0.13937220070312498</v>
      </c>
      <c r="EP79" s="305">
        <f t="shared" ca="1" si="109"/>
        <v>0.13937220070312498</v>
      </c>
      <c r="EQ79" s="305">
        <f t="shared" ca="1" si="110"/>
        <v>0.13937220070312498</v>
      </c>
      <c r="ER79" s="305">
        <f t="shared" ca="1" si="111"/>
        <v>4.0676435855999997E-2</v>
      </c>
      <c r="ES79" s="305">
        <f t="shared" ca="1" si="112"/>
        <v>0.11752072638140991</v>
      </c>
      <c r="ET79" s="299">
        <f t="shared" ca="1" si="113"/>
        <v>0.95335641806876747</v>
      </c>
      <c r="EU79" s="302">
        <f t="shared" ca="1" si="114"/>
        <v>30</v>
      </c>
      <c r="EV79" s="304">
        <f t="shared" ca="1" si="115"/>
        <v>0.41811660210937496</v>
      </c>
      <c r="EW79" s="305">
        <f t="shared" ca="1" si="116"/>
        <v>0.41811660210937496</v>
      </c>
      <c r="EX79" s="305">
        <f t="shared" ca="1" si="117"/>
        <v>0.41811660210937496</v>
      </c>
      <c r="EY79" s="305">
        <f t="shared" ca="1" si="118"/>
        <v>0.41811660210937501</v>
      </c>
      <c r="EZ79" s="305">
        <f t="shared" ca="1" si="119"/>
        <v>0.12202930756799998</v>
      </c>
      <c r="FA79" s="305">
        <f t="shared" ca="1" si="120"/>
        <v>0.3673939129686235</v>
      </c>
      <c r="FB79" s="305">
        <f t="shared" ca="1" si="121"/>
        <v>0.41811660210937496</v>
      </c>
      <c r="FC79" s="305">
        <f t="shared" ca="1" si="122"/>
        <v>0.41811660210937496</v>
      </c>
      <c r="FD79" s="305">
        <f t="shared" ca="1" si="123"/>
        <v>0.41811660210937496</v>
      </c>
      <c r="FE79" s="305">
        <f t="shared" ca="1" si="124"/>
        <v>0.12202930756799998</v>
      </c>
      <c r="FF79" s="305">
        <f t="shared" ca="1" si="125"/>
        <v>0.3673939129686235</v>
      </c>
      <c r="FG79" s="299">
        <f t="shared" ca="1" si="126"/>
        <v>15.455491060347162</v>
      </c>
      <c r="FH79" s="302">
        <f t="shared" ca="1" si="127"/>
        <v>-14.502134642278396</v>
      </c>
      <c r="FI79" s="248">
        <f t="shared" ca="1" si="128"/>
        <v>-7092.801257894017</v>
      </c>
      <c r="FJ79" s="363">
        <f t="shared" ca="1" si="129"/>
        <v>0.67928709125806674</v>
      </c>
      <c r="FK79" s="378">
        <f t="shared" ca="1" si="130"/>
        <v>1.6315510773395481</v>
      </c>
      <c r="FL79" s="508">
        <f t="shared" ca="1" si="131"/>
        <v>-0.18493497658925234</v>
      </c>
      <c r="FM79" s="508">
        <f t="shared" ca="1" si="132"/>
        <v>-0.95895505506013889</v>
      </c>
      <c r="FN79" s="508">
        <f t="shared" ca="1" si="133"/>
        <v>-3.4950494280008604</v>
      </c>
      <c r="FO79" s="508">
        <f t="shared" ca="1" si="134"/>
        <v>0.73823533773195871</v>
      </c>
      <c r="FP79" s="353">
        <f t="shared" ca="1" si="135"/>
        <v>112.58074255906619</v>
      </c>
      <c r="FQ79" s="356">
        <f t="shared" ca="1" si="136"/>
        <v>18.395053677055905</v>
      </c>
      <c r="FR79" s="380">
        <f t="shared" ca="1" si="137"/>
        <v>22.02</v>
      </c>
      <c r="FS79" s="299">
        <f t="shared" ca="1" si="138"/>
        <v>22.02</v>
      </c>
      <c r="FT79" s="299">
        <f t="shared" ca="1" si="139"/>
        <v>22.02</v>
      </c>
      <c r="FU79" s="299">
        <f t="shared" ca="1" si="140"/>
        <v>22.02</v>
      </c>
      <c r="FV79" s="299">
        <f t="shared" ca="1" si="141"/>
        <v>22.02</v>
      </c>
      <c r="FW79" s="850">
        <f t="shared" ca="1" si="142"/>
        <v>0.16820000000000002</v>
      </c>
      <c r="FX79" s="851">
        <f t="shared" ca="1" si="143"/>
        <v>0.5</v>
      </c>
      <c r="FY79" s="851">
        <f t="shared" ca="1" si="144"/>
        <v>0</v>
      </c>
      <c r="FZ79" s="201">
        <f t="shared" ca="1" si="145"/>
        <v>0</v>
      </c>
      <c r="GA79" s="201">
        <f t="shared" ca="1" si="146"/>
        <v>0</v>
      </c>
      <c r="GB79" s="201">
        <f t="shared" ca="1" si="147"/>
        <v>0</v>
      </c>
      <c r="GC79" s="201">
        <f t="shared" ca="1" si="148"/>
        <v>0</v>
      </c>
      <c r="GD79" s="850">
        <f t="shared" ca="1" si="149"/>
        <v>0.43311660210937497</v>
      </c>
      <c r="GE79" s="866">
        <f t="shared" ca="1" si="150"/>
        <v>0.43311660210937497</v>
      </c>
      <c r="GF79" s="866">
        <f t="shared" ca="1" si="151"/>
        <v>0.41811660210937496</v>
      </c>
      <c r="GG79" s="866">
        <f t="shared" ca="1" si="152"/>
        <v>0.12202930756799998</v>
      </c>
      <c r="GH79" s="866">
        <f t="shared" ca="1" si="153"/>
        <v>0.38239391296862352</v>
      </c>
      <c r="GI79" s="302">
        <f t="shared" ca="1" si="154"/>
        <v>33.382086627612452</v>
      </c>
      <c r="GJ79" s="299">
        <f t="shared" ca="1" si="155"/>
        <v>13.02868733007635</v>
      </c>
      <c r="GK79" s="299">
        <f t="shared" ca="1" si="156"/>
        <v>7.9496435585226584</v>
      </c>
      <c r="GL79" s="299">
        <f t="shared" ca="1" si="157"/>
        <v>2.8655666682817236</v>
      </c>
      <c r="GM79" s="299">
        <f t="shared" ca="1" si="158"/>
        <v>18.863172248037991</v>
      </c>
      <c r="GN79" s="302">
        <f t="shared" ca="1" si="159"/>
        <v>0.92650246616644649</v>
      </c>
      <c r="GO79" s="299">
        <f t="shared" ca="1" si="160"/>
        <v>0.78254467902899083</v>
      </c>
      <c r="GP79" s="299">
        <f t="shared" ca="1" si="161"/>
        <v>0.68514359304118644</v>
      </c>
      <c r="GQ79" s="299">
        <f t="shared" ca="1" si="162"/>
        <v>0.5546069472039008</v>
      </c>
      <c r="GR79" s="299">
        <f t="shared" ca="1" si="163"/>
        <v>0.86343721376476745</v>
      </c>
      <c r="GS79" s="302">
        <f t="shared" ca="1" si="164"/>
        <v>-0.72032367595651492</v>
      </c>
      <c r="GT79" s="299">
        <f t="shared" ca="1" si="165"/>
        <v>-0.46588869968598523</v>
      </c>
      <c r="GU79" s="299">
        <f t="shared" ca="1" si="166"/>
        <v>-0.36216197287659757</v>
      </c>
      <c r="GV79" s="299">
        <f t="shared" ca="1" si="167"/>
        <v>-0.41779772026105655</v>
      </c>
      <c r="GW79" s="299">
        <f t="shared" ca="1" si="168"/>
        <v>-0.63133397202958985</v>
      </c>
      <c r="GX79" s="303">
        <f t="shared" ca="1" si="169"/>
        <v>7981.9592249392754</v>
      </c>
      <c r="GY79" s="303">
        <f t="shared" ca="1" si="170"/>
        <v>566.41402363893701</v>
      </c>
      <c r="GZ79" s="303">
        <f t="shared" ca="1" si="171"/>
        <v>345.60577596206616</v>
      </c>
      <c r="HA79" s="303">
        <f t="shared" ca="1" si="172"/>
        <v>467.17018725675877</v>
      </c>
      <c r="HB79" s="303">
        <f t="shared" ca="1" si="173"/>
        <v>9225.7267739541221</v>
      </c>
      <c r="HC79" s="303">
        <f t="shared" ca="1" si="174"/>
        <v>7443.4649644473893</v>
      </c>
      <c r="HD79" s="303">
        <f t="shared" ca="1" si="175"/>
        <v>336.43732201152659</v>
      </c>
      <c r="HE79" s="303">
        <f t="shared" ca="1" si="176"/>
        <v>53.147405883273279</v>
      </c>
      <c r="HF79" s="303">
        <f t="shared" ca="1" si="177"/>
        <v>0</v>
      </c>
      <c r="HG79" s="852">
        <f t="shared" ca="1" si="178"/>
        <v>7789.8468343282857</v>
      </c>
    </row>
    <row r="80" spans="1:215" x14ac:dyDescent="0.25">
      <c r="A80" s="244">
        <f t="shared" ca="1" si="179"/>
        <v>38534</v>
      </c>
      <c r="B80" s="13">
        <f t="shared" ca="1" si="3"/>
        <v>2005</v>
      </c>
      <c r="C80" s="619">
        <f t="shared" ca="1" si="180"/>
        <v>7</v>
      </c>
      <c r="D80" s="195">
        <f t="shared" ca="1" si="4"/>
        <v>38537</v>
      </c>
      <c r="E80" s="469">
        <f t="shared" ca="1" si="5"/>
        <v>38534</v>
      </c>
      <c r="F80" s="465">
        <f t="shared" ca="1" si="6"/>
        <v>38564</v>
      </c>
      <c r="G80" s="522">
        <f t="shared" ca="1" si="181"/>
        <v>1</v>
      </c>
      <c r="H80" s="519">
        <f t="shared" ca="1" si="182"/>
        <v>1</v>
      </c>
      <c r="I80" s="724">
        <f t="shared" ca="1" si="7"/>
        <v>7.3174583196079002E-2</v>
      </c>
      <c r="J80" s="198">
        <f t="shared" ca="1" si="8"/>
        <v>0.67507196780665579</v>
      </c>
      <c r="K80" s="200">
        <f t="shared" ca="1" si="190"/>
        <v>65.5</v>
      </c>
      <c r="L80" s="201">
        <f t="shared" ca="1" si="191"/>
        <v>69.5</v>
      </c>
      <c r="M80" s="206">
        <f t="shared" ca="1" si="192"/>
        <v>73.5</v>
      </c>
      <c r="N80" s="851">
        <f t="shared" ca="1" si="196"/>
        <v>36.661249542236334</v>
      </c>
      <c r="O80" s="201">
        <f t="shared" ca="1" si="197"/>
        <v>39.661249542236334</v>
      </c>
      <c r="P80" s="206">
        <f t="shared" ca="1" si="198"/>
        <v>42.661249542236334</v>
      </c>
      <c r="Q80" s="201">
        <f t="shared" ca="1" si="199"/>
        <v>25.847499465942381</v>
      </c>
      <c r="R80" s="201">
        <f t="shared" ca="1" si="200"/>
        <v>29.147499465942381</v>
      </c>
      <c r="S80" s="201">
        <f t="shared" ca="1" si="201"/>
        <v>32.447499465942379</v>
      </c>
      <c r="T80" s="851">
        <f t="shared" ca="1" si="193"/>
        <v>22.049997711181639</v>
      </c>
      <c r="U80" s="201">
        <f t="shared" ca="1" si="194"/>
        <v>24.049997711181639</v>
      </c>
      <c r="V80" s="206">
        <f t="shared" ca="1" si="195"/>
        <v>26.049997711181639</v>
      </c>
      <c r="W80" s="230">
        <f t="shared" ca="1" si="183"/>
        <v>0.16502914757812495</v>
      </c>
      <c r="X80" s="231">
        <f t="shared" ca="1" si="184"/>
        <v>0.3300582951562499</v>
      </c>
      <c r="Y80" s="232">
        <f t="shared" ca="1" si="185"/>
        <v>0.49508744273437488</v>
      </c>
      <c r="Z80" s="231">
        <f t="shared" ca="1" si="202"/>
        <v>0.16502914757812495</v>
      </c>
      <c r="AA80" s="231">
        <f t="shared" ca="1" si="203"/>
        <v>0.3300582951562499</v>
      </c>
      <c r="AB80" s="232">
        <f t="shared" ca="1" si="204"/>
        <v>0.49508744273437488</v>
      </c>
      <c r="AC80" s="231">
        <f t="shared" ca="1" si="205"/>
        <v>0.16502914757812495</v>
      </c>
      <c r="AD80" s="231">
        <f t="shared" ca="1" si="206"/>
        <v>0.3300582951562499</v>
      </c>
      <c r="AE80" s="232">
        <f t="shared" ca="1" si="14"/>
        <v>0.49508744273437488</v>
      </c>
      <c r="AF80" s="231">
        <f t="shared" ca="1" si="186"/>
        <v>5.4235247807999994E-2</v>
      </c>
      <c r="AG80" s="231">
        <f t="shared" ca="1" si="187"/>
        <v>0.10847049561599999</v>
      </c>
      <c r="AH80" s="232">
        <f t="shared" ca="1" si="188"/>
        <v>0.16270574342399999</v>
      </c>
      <c r="AI80" s="233">
        <f t="shared" ca="1" si="15"/>
        <v>2.65</v>
      </c>
      <c r="AJ80" s="233">
        <f t="shared" ca="1" si="16"/>
        <v>3</v>
      </c>
      <c r="AK80" s="234">
        <f t="shared" ca="1" si="17"/>
        <v>3.5</v>
      </c>
      <c r="AL80" s="919">
        <f t="shared" ca="1" si="18"/>
        <v>2.65</v>
      </c>
      <c r="AM80" s="233">
        <f t="shared" ca="1" si="19"/>
        <v>3</v>
      </c>
      <c r="AN80" s="234">
        <f t="shared" ca="1" si="20"/>
        <v>3.5</v>
      </c>
      <c r="AO80" s="233">
        <f t="shared" ca="1" si="21"/>
        <v>2.65</v>
      </c>
      <c r="AP80" s="233">
        <f t="shared" ca="1" si="22"/>
        <v>3</v>
      </c>
      <c r="AQ80" s="233">
        <f t="shared" ca="1" si="23"/>
        <v>3.5</v>
      </c>
      <c r="AR80" s="919">
        <f t="shared" ca="1" si="24"/>
        <v>0.6</v>
      </c>
      <c r="AS80" s="233">
        <f t="shared" ca="1" si="25"/>
        <v>0.75</v>
      </c>
      <c r="AT80" s="235">
        <f t="shared" ca="1" si="26"/>
        <v>0.95</v>
      </c>
      <c r="AU80" s="946">
        <f t="shared" si="27"/>
        <v>0.5</v>
      </c>
      <c r="AV80" s="13">
        <f t="shared" ca="1" si="28"/>
        <v>20</v>
      </c>
      <c r="AW80" s="210">
        <f t="shared" ca="1" si="29"/>
        <v>5</v>
      </c>
      <c r="AX80" s="210">
        <f t="shared" ca="1" si="30"/>
        <v>5</v>
      </c>
      <c r="AY80" s="210">
        <f t="shared" ca="1" si="31"/>
        <v>1</v>
      </c>
      <c r="AZ80" s="13">
        <f t="shared" ca="1" si="32"/>
        <v>31</v>
      </c>
      <c r="BA80" s="357">
        <f ca="1"/>
        <v>320</v>
      </c>
      <c r="BB80" s="925">
        <f ca="1"/>
        <v>80</v>
      </c>
      <c r="BC80" s="925">
        <f ca="1"/>
        <v>96</v>
      </c>
      <c r="BD80" s="928">
        <f ca="1"/>
        <v>248</v>
      </c>
      <c r="BE80" s="200">
        <f ca="1"/>
        <v>1.0000000111758709</v>
      </c>
      <c r="BF80" s="851">
        <f ca="1"/>
        <v>1.0000000111758709</v>
      </c>
      <c r="BG80" s="851">
        <f ca="1"/>
        <v>1.0000000111758709</v>
      </c>
      <c r="BH80" s="933">
        <f ca="1"/>
        <v>1.0000000149011612</v>
      </c>
      <c r="BI80" s="357">
        <f ca="1"/>
        <v>320</v>
      </c>
      <c r="BJ80" s="925">
        <f ca="1"/>
        <v>80</v>
      </c>
      <c r="BK80" s="925">
        <f ca="1"/>
        <v>96</v>
      </c>
      <c r="BL80" s="928">
        <f ca="1"/>
        <v>248</v>
      </c>
      <c r="BM80" s="200">
        <f ca="1"/>
        <v>1.0000000111758709</v>
      </c>
      <c r="BN80" s="851">
        <f ca="1"/>
        <v>1.0000000111758709</v>
      </c>
      <c r="BO80" s="851">
        <f ca="1"/>
        <v>1.0000000111758709</v>
      </c>
      <c r="BP80" s="933">
        <f ca="1"/>
        <v>1.0000000149011612</v>
      </c>
      <c r="BQ80" s="357">
        <f t="shared" ca="1" si="33"/>
        <v>744</v>
      </c>
      <c r="BR80" s="361">
        <f t="shared" ca="1" si="34"/>
        <v>744</v>
      </c>
      <c r="BS80" s="357">
        <f t="shared" ca="1" si="35"/>
        <v>502.25354404815192</v>
      </c>
      <c r="BT80" s="302">
        <f t="shared" ca="1" si="36"/>
        <v>42.79927381817641</v>
      </c>
      <c r="BU80" s="299">
        <f t="shared" ca="1" si="37"/>
        <v>45.934757726669439</v>
      </c>
      <c r="BV80" s="299">
        <f t="shared" ca="1" si="38"/>
        <v>49.070241635162475</v>
      </c>
      <c r="BW80" s="299">
        <f t="shared" ca="1" si="39"/>
        <v>32.659889647739881</v>
      </c>
      <c r="BX80" s="380">
        <f t="shared" ca="1" si="40"/>
        <v>5.330595482546201</v>
      </c>
      <c r="BY80" s="363">
        <f t="shared" ca="1" si="41"/>
        <v>216.02302969812985</v>
      </c>
      <c r="BZ80" s="353">
        <f t="shared" ca="1" si="42"/>
        <v>54.005757424532462</v>
      </c>
      <c r="CA80" s="353">
        <f t="shared" ca="1" si="43"/>
        <v>64.80690890943896</v>
      </c>
      <c r="CB80" s="353">
        <f t="shared" ca="1" si="44"/>
        <v>334.83569603210128</v>
      </c>
      <c r="CC80" s="353">
        <f t="shared" ca="1" si="45"/>
        <v>167.41784801605064</v>
      </c>
      <c r="CD80" s="353">
        <f t="shared" ca="1" si="46"/>
        <v>502.25354404815192</v>
      </c>
      <c r="CE80" s="302">
        <f t="shared" ca="1" si="47"/>
        <v>73.500000821426511</v>
      </c>
      <c r="CF80" s="299">
        <f t="shared" ca="1" si="48"/>
        <v>42.661250019012954</v>
      </c>
      <c r="CG80" s="299">
        <f t="shared" ca="1" si="49"/>
        <v>32.447499828571445</v>
      </c>
      <c r="CH80" s="299">
        <f t="shared" ca="1" si="50"/>
        <v>60.580363403065284</v>
      </c>
      <c r="CI80" s="299">
        <f t="shared" ca="1" si="51"/>
        <v>26.049998099356856</v>
      </c>
      <c r="CJ80" s="299">
        <f t="shared" ca="1" si="52"/>
        <v>49.070241635162468</v>
      </c>
      <c r="CK80" s="299">
        <f t="shared" ca="1" si="53"/>
        <v>32.659889647739881</v>
      </c>
      <c r="CL80" s="377">
        <f t="shared" ca="1" si="54"/>
        <v>0.49508744273437488</v>
      </c>
      <c r="CM80" s="305">
        <f t="shared" ca="1" si="55"/>
        <v>0.49508744273437488</v>
      </c>
      <c r="CN80" s="305">
        <f t="shared" ca="1" si="56"/>
        <v>0.49508744273437488</v>
      </c>
      <c r="CO80" s="305">
        <f t="shared" ca="1" si="57"/>
        <v>0.49508744273437488</v>
      </c>
      <c r="CP80" s="305">
        <f t="shared" ca="1" si="58"/>
        <v>0.16270574342399999</v>
      </c>
      <c r="CQ80" s="305">
        <f t="shared" ca="1" si="59"/>
        <v>0.44685453223050153</v>
      </c>
      <c r="CR80" s="775">
        <f t="shared" ca="1" si="60"/>
        <v>0.5100874427343749</v>
      </c>
      <c r="CS80" s="305">
        <f t="shared" ca="1" si="61"/>
        <v>0.5100874427343749</v>
      </c>
      <c r="CT80" s="305">
        <f t="shared" ca="1" si="62"/>
        <v>0.49508744273437488</v>
      </c>
      <c r="CU80" s="305">
        <f t="shared" ca="1" si="63"/>
        <v>0.18770574342399998</v>
      </c>
      <c r="CV80" s="770">
        <f t="shared" ca="1" si="64"/>
        <v>0.46185453223050155</v>
      </c>
      <c r="CW80" s="302">
        <f t="shared" ca="1" si="65"/>
        <v>48.469394446784307</v>
      </c>
      <c r="CX80" s="299">
        <f t="shared" ca="1" si="66"/>
        <v>22.101652677398722</v>
      </c>
      <c r="CY80" s="299">
        <f t="shared" ca="1" si="67"/>
        <v>13.968935666159233</v>
      </c>
      <c r="CZ80" s="299">
        <f t="shared" ca="1" si="68"/>
        <v>2.3873331977329677</v>
      </c>
      <c r="DA80" s="774">
        <f t="shared" ca="1" si="69"/>
        <v>25.867238591018392</v>
      </c>
      <c r="DB80" s="303">
        <f t="shared" ca="1" si="70"/>
        <v>12991.912257078111</v>
      </c>
      <c r="DC80" s="248">
        <f t="shared" ca="1" si="71"/>
        <v>411.79280571896214</v>
      </c>
      <c r="DD80" s="778">
        <f t="shared" ca="1" si="72"/>
        <v>8242.1574447606272</v>
      </c>
      <c r="DE80" s="363">
        <f t="shared" ca="1" si="73"/>
        <v>0.67507196780665579</v>
      </c>
      <c r="DF80" s="378">
        <f t="shared" ca="1" si="74"/>
        <v>9.9903722565417019E-2</v>
      </c>
      <c r="DG80" s="508">
        <f t="shared" ca="1" si="75"/>
        <v>-0.36201113921110417</v>
      </c>
      <c r="DH80" s="508">
        <f t="shared" ca="1" si="76"/>
        <v>-0.57723873634658829</v>
      </c>
      <c r="DI80" s="508">
        <f t="shared" ca="1" si="77"/>
        <v>-0.73847471761845906</v>
      </c>
      <c r="DJ80" s="508">
        <f t="shared" ca="1" si="78"/>
        <v>-0.15138654634064486</v>
      </c>
      <c r="DK80" s="353">
        <f t="shared" ca="1" si="79"/>
        <v>-220.90887985153722</v>
      </c>
      <c r="DL80" s="781">
        <f t="shared" ca="1" si="80"/>
        <v>5.6878602482873255</v>
      </c>
      <c r="DM80" s="303">
        <f t="shared" ca="1" si="81"/>
        <v>19695.784189577113</v>
      </c>
      <c r="DN80" s="508">
        <f t="shared" ca="1" si="82"/>
        <v>1.5056469324600017</v>
      </c>
      <c r="DO80" s="508">
        <f t="shared" ca="1" si="83"/>
        <v>1.270006397801948</v>
      </c>
      <c r="DP80" s="508">
        <f t="shared" ca="1" si="84"/>
        <v>1.151462559408706</v>
      </c>
      <c r="DQ80" s="508">
        <f t="shared" ca="1" si="85"/>
        <v>1.0563365731295586</v>
      </c>
      <c r="DR80" s="508">
        <f t="shared" ca="1" si="86"/>
        <v>1.3306332420363411</v>
      </c>
      <c r="DS80" s="353">
        <f t="shared" ca="1" si="87"/>
        <v>9366.1629580755725</v>
      </c>
      <c r="DT80" s="353">
        <f t="shared" ca="1" si="88"/>
        <v>-12189.265815997062</v>
      </c>
      <c r="DU80" s="380">
        <f t="shared" ca="1" si="189"/>
        <v>5.330595482546201</v>
      </c>
      <c r="DV80" s="303">
        <f t="shared" ca="1" si="89"/>
        <v>216.02302969812985</v>
      </c>
      <c r="DW80" s="303">
        <f t="shared" ca="1" si="90"/>
        <v>54.005757424532462</v>
      </c>
      <c r="DX80" s="303">
        <f t="shared" ca="1" si="91"/>
        <v>64.80690890943896</v>
      </c>
      <c r="DY80" s="303">
        <f t="shared" ca="1" si="92"/>
        <v>334.83569603210128</v>
      </c>
      <c r="DZ80" s="303">
        <f t="shared" ca="1" si="93"/>
        <v>167.41784801605064</v>
      </c>
      <c r="EA80" s="303">
        <f t="shared" ca="1" si="94"/>
        <v>502.25354404815192</v>
      </c>
      <c r="EB80" s="302">
        <f t="shared" ca="1" si="95"/>
        <v>73.500000821426511</v>
      </c>
      <c r="EC80" s="299">
        <f t="shared" ca="1" si="96"/>
        <v>42.661250019012954</v>
      </c>
      <c r="ED80" s="299">
        <f t="shared" ca="1" si="97"/>
        <v>32.447499828571445</v>
      </c>
      <c r="EE80" s="299">
        <f t="shared" ca="1" si="98"/>
        <v>60.580363403065284</v>
      </c>
      <c r="EF80" s="299">
        <f t="shared" ca="1" si="99"/>
        <v>26.049998099356856</v>
      </c>
      <c r="EG80" s="299">
        <f t="shared" ca="1" si="100"/>
        <v>49.070241635162468</v>
      </c>
      <c r="EH80" s="302">
        <f t="shared" ca="1" si="101"/>
        <v>30</v>
      </c>
      <c r="EI80" s="304">
        <f t="shared" ca="1" si="102"/>
        <v>0.16502914757812495</v>
      </c>
      <c r="EJ80" s="305">
        <f t="shared" ca="1" si="103"/>
        <v>0.16502914757812495</v>
      </c>
      <c r="EK80" s="305">
        <f t="shared" ca="1" si="104"/>
        <v>0.16502914757812495</v>
      </c>
      <c r="EL80" s="305">
        <f t="shared" ca="1" si="105"/>
        <v>0.16502914757812492</v>
      </c>
      <c r="EM80" s="305">
        <f t="shared" ca="1" si="106"/>
        <v>5.4235247807999994E-2</v>
      </c>
      <c r="EN80" s="305">
        <f t="shared" ca="1" si="107"/>
        <v>0.14193550542772057</v>
      </c>
      <c r="EO80" s="305">
        <f t="shared" ca="1" si="108"/>
        <v>0.16502914757812495</v>
      </c>
      <c r="EP80" s="305">
        <f t="shared" ca="1" si="109"/>
        <v>0.16502914757812495</v>
      </c>
      <c r="EQ80" s="305">
        <f t="shared" ca="1" si="110"/>
        <v>0.16502914757812495</v>
      </c>
      <c r="ER80" s="305">
        <f t="shared" ca="1" si="111"/>
        <v>5.4235247807999994E-2</v>
      </c>
      <c r="ES80" s="305">
        <f t="shared" ca="1" si="112"/>
        <v>0.14193550542772057</v>
      </c>
      <c r="ET80" s="299">
        <f t="shared" ca="1" si="113"/>
        <v>0.36365244469444757</v>
      </c>
      <c r="EU80" s="302">
        <f t="shared" ca="1" si="114"/>
        <v>30</v>
      </c>
      <c r="EV80" s="304">
        <f t="shared" ca="1" si="115"/>
        <v>0.49508744273437488</v>
      </c>
      <c r="EW80" s="305">
        <f t="shared" ca="1" si="116"/>
        <v>0.49508744273437488</v>
      </c>
      <c r="EX80" s="305">
        <f t="shared" ca="1" si="117"/>
        <v>0.49508744273437488</v>
      </c>
      <c r="EY80" s="305">
        <f t="shared" ca="1" si="118"/>
        <v>0.49508744273437488</v>
      </c>
      <c r="EZ80" s="305">
        <f t="shared" ca="1" si="119"/>
        <v>0.16270574342399999</v>
      </c>
      <c r="FA80" s="305">
        <f t="shared" ca="1" si="120"/>
        <v>0.44685453223050153</v>
      </c>
      <c r="FB80" s="305">
        <f t="shared" ca="1" si="121"/>
        <v>0.49508744273437488</v>
      </c>
      <c r="FC80" s="305">
        <f t="shared" ca="1" si="122"/>
        <v>0.49508744273437488</v>
      </c>
      <c r="FD80" s="305">
        <f t="shared" ca="1" si="123"/>
        <v>0.49508744273437488</v>
      </c>
      <c r="FE80" s="305">
        <f t="shared" ca="1" si="124"/>
        <v>0.16270574342399999</v>
      </c>
      <c r="FF80" s="305">
        <f t="shared" ca="1" si="125"/>
        <v>0.44685453223050153</v>
      </c>
      <c r="FG80" s="299">
        <f t="shared" ca="1" si="126"/>
        <v>26.664658234497502</v>
      </c>
      <c r="FH80" s="302">
        <f t="shared" ca="1" si="127"/>
        <v>-26.301005789803053</v>
      </c>
      <c r="FI80" s="248">
        <f t="shared" ca="1" si="128"/>
        <v>-13209.773369959546</v>
      </c>
      <c r="FJ80" s="363">
        <f t="shared" ca="1" si="129"/>
        <v>0.67507196780665579</v>
      </c>
      <c r="FK80" s="378">
        <f t="shared" ca="1" si="130"/>
        <v>2.1612992728833351</v>
      </c>
      <c r="FL80" s="508">
        <f t="shared" ca="1" si="131"/>
        <v>0.73356984409835846</v>
      </c>
      <c r="FM80" s="508">
        <f t="shared" ca="1" si="132"/>
        <v>1.5321063510737707E-2</v>
      </c>
      <c r="FN80" s="508">
        <f t="shared" ca="1" si="133"/>
        <v>-1.1900734893310088</v>
      </c>
      <c r="FO80" s="508">
        <f t="shared" ca="1" si="134"/>
        <v>1.3376827677235383</v>
      </c>
      <c r="FP80" s="353">
        <f t="shared" ca="1" si="135"/>
        <v>45.453944297268194</v>
      </c>
      <c r="FQ80" s="356">
        <f t="shared" ca="1" si="136"/>
        <v>8.3304960836002628</v>
      </c>
      <c r="FR80" s="380">
        <f t="shared" ca="1" si="137"/>
        <v>22.1</v>
      </c>
      <c r="FS80" s="299">
        <f t="shared" ca="1" si="138"/>
        <v>22.1</v>
      </c>
      <c r="FT80" s="299">
        <f t="shared" ca="1" si="139"/>
        <v>22.1</v>
      </c>
      <c r="FU80" s="299">
        <f t="shared" ca="1" si="140"/>
        <v>22.1</v>
      </c>
      <c r="FV80" s="299">
        <f t="shared" ca="1" si="141"/>
        <v>22.1</v>
      </c>
      <c r="FW80" s="850">
        <f t="shared" ca="1" si="142"/>
        <v>0.16790000000000002</v>
      </c>
      <c r="FX80" s="851">
        <f t="shared" ca="1" si="143"/>
        <v>0.5</v>
      </c>
      <c r="FY80" s="851">
        <f t="shared" ca="1" si="144"/>
        <v>0</v>
      </c>
      <c r="FZ80" s="201">
        <f t="shared" ca="1" si="145"/>
        <v>0</v>
      </c>
      <c r="GA80" s="201">
        <f t="shared" ca="1" si="146"/>
        <v>0</v>
      </c>
      <c r="GB80" s="201">
        <f t="shared" ca="1" si="147"/>
        <v>0</v>
      </c>
      <c r="GC80" s="201">
        <f t="shared" ca="1" si="148"/>
        <v>0</v>
      </c>
      <c r="GD80" s="850">
        <f t="shared" ca="1" si="149"/>
        <v>0.5100874427343749</v>
      </c>
      <c r="GE80" s="866">
        <f t="shared" ca="1" si="150"/>
        <v>0.5100874427343749</v>
      </c>
      <c r="GF80" s="866">
        <f t="shared" ca="1" si="151"/>
        <v>0.5100874427343749</v>
      </c>
      <c r="GG80" s="866">
        <f t="shared" ca="1" si="152"/>
        <v>0.175205743424</v>
      </c>
      <c r="GH80" s="866">
        <f t="shared" ca="1" si="153"/>
        <v>0.46185453223050155</v>
      </c>
      <c r="GI80" s="302">
        <f t="shared" ca="1" si="154"/>
        <v>53.750802362087789</v>
      </c>
      <c r="GJ80" s="299">
        <f t="shared" ca="1" si="155"/>
        <v>25.303898090429296</v>
      </c>
      <c r="GK80" s="299">
        <f t="shared" ca="1" si="156"/>
        <v>16.652278650510183</v>
      </c>
      <c r="GL80" s="299">
        <f t="shared" ca="1" si="157"/>
        <v>6.0728434229943984</v>
      </c>
      <c r="GM80" s="299">
        <f t="shared" ca="1" si="158"/>
        <v>30.12275742173971</v>
      </c>
      <c r="GN80" s="302">
        <f t="shared" ca="1" si="159"/>
        <v>0.95310672199583202</v>
      </c>
      <c r="GO80" s="299">
        <f t="shared" ca="1" si="160"/>
        <v>0.87543470979296367</v>
      </c>
      <c r="GP80" s="299">
        <f t="shared" ca="1" si="161"/>
        <v>0.81305560946283095</v>
      </c>
      <c r="GQ80" s="299">
        <f t="shared" ca="1" si="162"/>
        <v>0.73008176638640698</v>
      </c>
      <c r="GR80" s="299">
        <f t="shared" ca="1" si="163"/>
        <v>0.90669658428367261</v>
      </c>
      <c r="GS80" s="302">
        <f t="shared" ca="1" si="164"/>
        <v>-0.73767214311936813</v>
      </c>
      <c r="GT80" s="299">
        <f t="shared" ca="1" si="165"/>
        <v>-0.54494351224001158</v>
      </c>
      <c r="GU80" s="299">
        <f t="shared" ca="1" si="166"/>
        <v>-0.44024214854482385</v>
      </c>
      <c r="GV80" s="299">
        <f t="shared" ca="1" si="167"/>
        <v>-0.58578208591946201</v>
      </c>
      <c r="GW80" s="299">
        <f t="shared" ca="1" si="168"/>
        <v>-0.65018426046949462</v>
      </c>
      <c r="GX80" s="303">
        <f t="shared" ca="1" si="169"/>
        <v>11611.411174963598</v>
      </c>
      <c r="GY80" s="303">
        <f t="shared" ca="1" si="170"/>
        <v>1366.5561821668148</v>
      </c>
      <c r="GZ80" s="303">
        <f t="shared" ca="1" si="171"/>
        <v>1079.1827056382085</v>
      </c>
      <c r="HA80" s="303">
        <f t="shared" ca="1" si="172"/>
        <v>1016.7023772161489</v>
      </c>
      <c r="HB80" s="303">
        <f t="shared" ca="1" si="173"/>
        <v>15129.261671571541</v>
      </c>
      <c r="HC80" s="303">
        <f t="shared" ca="1" si="174"/>
        <v>11103.583903930918</v>
      </c>
      <c r="HD80" s="303">
        <f t="shared" ca="1" si="175"/>
        <v>1110.4258808719769</v>
      </c>
      <c r="HE80" s="303">
        <f t="shared" ca="1" si="176"/>
        <v>670.5894788306648</v>
      </c>
      <c r="HF80" s="303">
        <f t="shared" ca="1" si="177"/>
        <v>661.30018146181476</v>
      </c>
      <c r="HG80" s="852">
        <f t="shared" ca="1" si="178"/>
        <v>13545.899445095372</v>
      </c>
    </row>
    <row r="81" spans="1:215" x14ac:dyDescent="0.25">
      <c r="A81" s="244">
        <f t="shared" ca="1" si="179"/>
        <v>38565</v>
      </c>
      <c r="B81" s="13">
        <f t="shared" ref="B81:B96" ca="1" si="207">YEAR(A81)</f>
        <v>2005</v>
      </c>
      <c r="C81" s="619">
        <f t="shared" ref="C81:C96" ca="1" si="208">MONTH(A81)</f>
        <v>8</v>
      </c>
      <c r="D81" s="195" t="str">
        <f t="shared" ref="D81:D144" ca="1" si="209">Holiday(B81,C81)</f>
        <v/>
      </c>
      <c r="E81" s="469">
        <f t="shared" ref="E81:E144" ca="1" si="210">IF(OR(BegDate&gt;=A82,EndDate&lt;A81,AND(VolumeMonthlyOverFlag,INDEX(VolumeMonthlyOver,C81)=0),NOT(INDEX(MonthKnockOutTable,C81))),"",MAX(A81,BegDate))</f>
        <v>38565</v>
      </c>
      <c r="F81" s="465">
        <f t="shared" ref="F81:F144" ca="1" si="211">IF(E81="","",MIN(A82-1,EndDate))</f>
        <v>38595</v>
      </c>
      <c r="G81" s="522">
        <f t="shared" ca="1" si="181"/>
        <v>1</v>
      </c>
      <c r="H81" s="519">
        <f t="shared" ca="1" si="182"/>
        <v>1</v>
      </c>
      <c r="I81" s="724">
        <f t="shared" ref="I81:I96" ca="1" si="212">VLOOKUP(A81,IRTable,2)</f>
        <v>7.3199436508414997E-2</v>
      </c>
      <c r="J81" s="198">
        <f t="shared" ref="J81:J144" ca="1" si="213">(1+I81/2)^(-2*(DATE(B82,C82,20)-DateToday)/365.25)</f>
        <v>0.67087747784082374</v>
      </c>
      <c r="K81" s="200">
        <f t="shared" ca="1" si="190"/>
        <v>61</v>
      </c>
      <c r="L81" s="201">
        <f t="shared" ca="1" si="191"/>
        <v>65</v>
      </c>
      <c r="M81" s="206">
        <f t="shared" ca="1" si="192"/>
        <v>69</v>
      </c>
      <c r="N81" s="851">
        <f t="shared" ca="1" si="196"/>
        <v>38.922499084472662</v>
      </c>
      <c r="O81" s="201">
        <f t="shared" ca="1" si="197"/>
        <v>41.922499084472662</v>
      </c>
      <c r="P81" s="206">
        <f t="shared" ca="1" si="198"/>
        <v>44.922499084472662</v>
      </c>
      <c r="Q81" s="201">
        <f t="shared" ca="1" si="199"/>
        <v>27.345000839233396</v>
      </c>
      <c r="R81" s="201">
        <f t="shared" ca="1" si="200"/>
        <v>30.645000839233397</v>
      </c>
      <c r="S81" s="201">
        <f t="shared" ca="1" si="201"/>
        <v>33.945000839233394</v>
      </c>
      <c r="T81" s="851">
        <f t="shared" ca="1" si="193"/>
        <v>22.399998092651366</v>
      </c>
      <c r="U81" s="201">
        <f t="shared" ca="1" si="194"/>
        <v>24.399998092651366</v>
      </c>
      <c r="V81" s="206">
        <f t="shared" ca="1" si="195"/>
        <v>26.399998092651366</v>
      </c>
      <c r="W81" s="230">
        <f t="shared" ca="1" si="183"/>
        <v>0.16255508484374995</v>
      </c>
      <c r="X81" s="231">
        <f t="shared" ca="1" si="184"/>
        <v>0.32511016968749989</v>
      </c>
      <c r="Y81" s="232">
        <f t="shared" ca="1" si="185"/>
        <v>0.48766525453124987</v>
      </c>
      <c r="Z81" s="231">
        <f t="shared" ca="1" si="202"/>
        <v>0.16255508484374995</v>
      </c>
      <c r="AA81" s="231">
        <f t="shared" ca="1" si="203"/>
        <v>0.32511016968749989</v>
      </c>
      <c r="AB81" s="232">
        <f t="shared" ca="1" si="204"/>
        <v>0.48766525453124987</v>
      </c>
      <c r="AC81" s="231">
        <f t="shared" ca="1" si="205"/>
        <v>0.16255508484374995</v>
      </c>
      <c r="AD81" s="231">
        <f t="shared" ca="1" si="206"/>
        <v>0.32511016968749989</v>
      </c>
      <c r="AE81" s="232">
        <f t="shared" ref="AE81:AE144" ca="1" si="214">VLOOKUP($A81,BigTable,16,0)</f>
        <v>0.48766525453124987</v>
      </c>
      <c r="AF81" s="231">
        <f t="shared" ca="1" si="186"/>
        <v>5.4235247807999994E-2</v>
      </c>
      <c r="AG81" s="231">
        <f t="shared" ca="1" si="187"/>
        <v>0.10847049561599999</v>
      </c>
      <c r="AH81" s="232">
        <f t="shared" ca="1" si="188"/>
        <v>0.16270574342399999</v>
      </c>
      <c r="AI81" s="233">
        <f t="shared" ref="AI81:AI144" ca="1" si="215">VLOOKUP($A81,BigTable,22,0)*INDEX(IntraMonthVolScalars,C81)+AJ81</f>
        <v>2.65</v>
      </c>
      <c r="AJ81" s="233">
        <f t="shared" ref="AJ81:AJ144" ca="1" si="216">VLOOKUP($A81,BigTable,23,0)*INDEX(IntraMonthVolScalars,C81)</f>
        <v>3</v>
      </c>
      <c r="AK81" s="234">
        <f t="shared" ref="AK81:AK144" ca="1" si="217">VLOOKUP($A81,BigTable,24,0)*INDEX(IntraMonthVolScalars,C81)+AJ81</f>
        <v>3.5</v>
      </c>
      <c r="AL81" s="919">
        <f t="shared" ref="AL81:AL144" ca="1" si="218">VLOOKUP($A81,BigTable,22,0)*INDEX(IntraMonthVolScalars,C81)+AM81</f>
        <v>2.65</v>
      </c>
      <c r="AM81" s="233">
        <f t="shared" ref="AM81:AM144" ca="1" si="219">VLOOKUP($A81,BigTable,23,0)*INDEX(IntraMonthVolScalars,C81)</f>
        <v>3</v>
      </c>
      <c r="AN81" s="234">
        <f t="shared" ref="AN81:AN144" ca="1" si="220">VLOOKUP($A81,BigTable,24,0)*INDEX(IntraMonthVolScalars,C81)+AM81</f>
        <v>3.5</v>
      </c>
      <c r="AO81" s="233">
        <f t="shared" ref="AO81:AO144" ca="1" si="221">VLOOKUP($A81,BigTable,22,0)*INDEX(IntraMonthVolScalars,C81)+AP81</f>
        <v>2.65</v>
      </c>
      <c r="AP81" s="233">
        <f t="shared" ref="AP81:AP144" ca="1" si="222">VLOOKUP($A81,BigTable,23,0)*INDEX(IntraMonthVolScalars,C81)</f>
        <v>3</v>
      </c>
      <c r="AQ81" s="233">
        <f t="shared" ref="AQ81:AQ144" ca="1" si="223">VLOOKUP($A81,BigTable,24,0)*INDEX(IntraMonthVolScalars,C81)+AP81</f>
        <v>3.5</v>
      </c>
      <c r="AR81" s="919">
        <f t="shared" ref="AR81:AR144" ca="1" si="224">VLOOKUP($A81,BigTable,26,0)*INDEX(IntraMonthVolScalars,C81)+AS81</f>
        <v>0.6</v>
      </c>
      <c r="AS81" s="233">
        <f t="shared" ref="AS81:AS144" ca="1" si="225">VLOOKUP($A81,BigTable,27,0)*INDEX(IntraMonthVolScalars,C81)</f>
        <v>0.75</v>
      </c>
      <c r="AT81" s="235">
        <f t="shared" ref="AT81:AT144" ca="1" si="226">VLOOKUP($A81,BigTable,28,0)*INDEX(IntraMonthVolScalars,C81)+AS81</f>
        <v>0.95</v>
      </c>
      <c r="AU81" s="946">
        <f t="shared" ref="AU81:AU144" si="227">IF(CorrPeakOffPeakOverFlag,INDEX(CorrPeakOffPeakOver,C81),CorrPeakOffPeak)</f>
        <v>0.5</v>
      </c>
      <c r="AV81" s="13">
        <f t="shared" ref="AV81:AV144" ca="1" si="228">AZ81-SUM(AW81:AY81)</f>
        <v>23</v>
      </c>
      <c r="AW81" s="210">
        <f t="shared" ref="AW81:AW144" ca="1" si="229">IF(E81="",0,INT((F81-MOD(F81,7)-E81)/7)+1-IF(AY81,IF(WEEKDAY(D81)=7,1,0),0))</f>
        <v>4</v>
      </c>
      <c r="AX81" s="210">
        <f t="shared" ref="AX81:AX144" ca="1" si="230">IF(E81="",0,INT((F81-MOD(F81-1,7)-E81)/7)+1-IF(AY81,IF(WEEKDAY(D81)=1,1,0),0))</f>
        <v>4</v>
      </c>
      <c r="AY81" s="210">
        <f t="shared" ref="AY81:AY144" ca="1" si="231">IF(OR(E81="",D81="",D81&lt;BegDate,D81&gt;EndDate),0,1)</f>
        <v>0</v>
      </c>
      <c r="AZ81" s="13">
        <f t="shared" ref="AZ81:AZ144" ca="1" si="232">IF(E81="",0,F81-E81+1)</f>
        <v>31</v>
      </c>
      <c r="BA81" s="357">
        <f ca="1"/>
        <v>368</v>
      </c>
      <c r="BB81" s="925">
        <f ca="1"/>
        <v>64</v>
      </c>
      <c r="BC81" s="925">
        <f ca="1"/>
        <v>64</v>
      </c>
      <c r="BD81" s="928">
        <f ca="1"/>
        <v>248</v>
      </c>
      <c r="BE81" s="200">
        <f ca="1"/>
        <v>1</v>
      </c>
      <c r="BF81" s="851">
        <f ca="1"/>
        <v>1</v>
      </c>
      <c r="BG81" s="851">
        <f ca="1"/>
        <v>1</v>
      </c>
      <c r="BH81" s="933">
        <f ca="1"/>
        <v>1.0000000074505806</v>
      </c>
      <c r="BI81" s="357">
        <f ca="1"/>
        <v>368</v>
      </c>
      <c r="BJ81" s="925">
        <f ca="1"/>
        <v>64</v>
      </c>
      <c r="BK81" s="925">
        <f ca="1"/>
        <v>64</v>
      </c>
      <c r="BL81" s="928">
        <f ca="1"/>
        <v>248</v>
      </c>
      <c r="BM81" s="200">
        <f ca="1"/>
        <v>1</v>
      </c>
      <c r="BN81" s="851">
        <f ca="1"/>
        <v>1</v>
      </c>
      <c r="BO81" s="851">
        <f ca="1"/>
        <v>1</v>
      </c>
      <c r="BP81" s="933">
        <f ca="1"/>
        <v>1.0000000074505806</v>
      </c>
      <c r="BQ81" s="357">
        <f t="shared" ref="BQ81:BQ144" ca="1" si="233">SUM(BA81:BD81)</f>
        <v>744</v>
      </c>
      <c r="BR81" s="361">
        <f t="shared" ref="BR81:BR144" ca="1" si="234">SUM(BI81:BL81)</f>
        <v>744</v>
      </c>
      <c r="BS81" s="357">
        <f t="shared" ref="BS81:BS144" ca="1" si="235">BQ81*J81</f>
        <v>499.13284351357288</v>
      </c>
      <c r="BT81" s="302">
        <f t="shared" ref="BT81:BT144" ca="1" si="236">IF(BS81,(IF(BA81,K81*BE81*BA81,0)+IF(BD81,T81*BH81*BD81,0)+IF(BB81,N81*BF81*BB81,0)+IF(BC81,Q81*BG81*BC81,0))/BQ81,0)</f>
        <v>43.339139198231436</v>
      </c>
      <c r="BU81" s="299">
        <f t="shared" ref="BU81:BU144" ca="1" si="237">IF(BS81,(IF(BA81,L81*BE81*BA81,0)+IF(BD81,U81*BH81*BD81,0)+IF(BB81,O81*BF81*BB81,0)+IF(BC81,R81*BG81*BC81,0))/BQ81,0)</f>
        <v>46.526235977392034</v>
      </c>
      <c r="BV81" s="299">
        <f t="shared" ref="BV81:BV144" ca="1" si="238">IF(BS81,(IF(BA81,M81*BE81*BA81,0)+IF(BD81,V81*BH81*BD81,0)+IF(BB81,P81*BF81*BB81,0)+IF(BC81,S81*BG81*BC81,0))/BQ81,0)</f>
        <v>49.713332756552646</v>
      </c>
      <c r="BW81" s="299">
        <f t="shared" ref="BW81:BW144" ca="1" si="239">IF(BS81,SPrice*G81,0)</f>
        <v>32.659889647739881</v>
      </c>
      <c r="BX81" s="380">
        <f t="shared" ref="BX81:BX144" ca="1" si="240">(IF(OVolType&lt;&gt;2,A81+14,IF(OptExpDateShift,ShiftBack(A81,OptExpDateShift,D80),A81))-DateToday)/365.25</f>
        <v>5.415468856947296</v>
      </c>
      <c r="BY81" s="363">
        <f t="shared" ref="BY81:BY144" ca="1" si="241">BI81*J81</f>
        <v>246.88291184542314</v>
      </c>
      <c r="BZ81" s="353">
        <f t="shared" ref="BZ81:BZ144" ca="1" si="242">BJ81*J81</f>
        <v>42.93615858181272</v>
      </c>
      <c r="CA81" s="353">
        <f t="shared" ref="CA81:CA144" ca="1" si="243">BK81*J81</f>
        <v>42.93615858181272</v>
      </c>
      <c r="CB81" s="353">
        <f t="shared" ref="CB81:CB144" ca="1" si="244">SUM(BY81:CA81)</f>
        <v>332.75522900904855</v>
      </c>
      <c r="CC81" s="353">
        <f t="shared" ref="CC81:CC144" ca="1" si="245">BL81*J81</f>
        <v>166.37761450452427</v>
      </c>
      <c r="CD81" s="353">
        <f t="shared" ref="CD81:CD144" ca="1" si="246">CB81+CC81</f>
        <v>499.13284351357282</v>
      </c>
      <c r="CE81" s="302">
        <f t="shared" ref="CE81:CE144" ca="1" si="247">IF(CD81,IF(OPriceCurve,IF(OBuySell=OCallPut,K81,M81),L81)*BM81,0)</f>
        <v>69</v>
      </c>
      <c r="CF81" s="299">
        <f t="shared" ref="CF81:CF144" ca="1" si="248">IF(CD81,IF(OPriceCurve,IF(OBuySell=OCallPut,N81,P81),O81)*BN81,0)</f>
        <v>44.922499084472662</v>
      </c>
      <c r="CG81" s="299">
        <f t="shared" ref="CG81:CG144" ca="1" si="249">IF(CD81,IF(OPriceCurve,IF(OBuySell=OCallPut,Q81,S81),R81)*BO81,0)</f>
        <v>33.945000839233394</v>
      </c>
      <c r="CH81" s="299">
        <f t="shared" ref="CH81:CH144" ca="1" si="250">IF(CB81,(CE81*BY81+CF81*BZ81+CG81*CA81)/CB81,0)</f>
        <v>61.369999990155627</v>
      </c>
      <c r="CI81" s="299">
        <f t="shared" ref="CI81:CI144" ca="1" si="251">IF(CD81,IF(OPriceCurve,IF(OBuySell=OCallPut,T81,V81),U81)*BP81,0)</f>
        <v>26.39999828934668</v>
      </c>
      <c r="CJ81" s="299">
        <f t="shared" ref="CJ81:CJ144" ca="1" si="252">IF(CD81,(CH81*CB81+CI81*CC81)/CD81,0)</f>
        <v>49.713332756552646</v>
      </c>
      <c r="CK81" s="299">
        <f t="shared" ref="CK81:CK144" ca="1" si="253">IF(CD81,OStrike*G81,0)</f>
        <v>32.659889647739881</v>
      </c>
      <c r="CL81" s="377">
        <f t="shared" ref="CL81:CL144" ca="1" si="254">IF(CD81,IF(OVolType&lt;&gt;2,SQRT(IF(OVolOverMonthlyPeak,OVolOverMonthlyPeak,IF(OVolCurve,IF(OBuySell,W81,Y81),X81))^2*(1-15/365.25/BX81)+IF(OVolOverDailyPeak,OVolOverDailyPeak,IF(OVolCurve,IF(OBuySell,AI81,AK81),AJ81))^2*15/365.25/BX81),IF(OVolOverMonthlyPeak,OVolOverMonthlyPeak,IF(OVolCurve,IF(OBuySell,W81,Y81),X81))),"")</f>
        <v>0.48766525453124987</v>
      </c>
      <c r="CM81" s="305">
        <f t="shared" ref="CM81:CM144" ca="1" si="255">IF(CD81,IF(OVolType&lt;&gt;2,SQRT(IF(OVolOverMonthlyPeak,OVolOverMonthlyPeak,IF(OVolCurve,IF(OBuySell,Z81,AB81),AA81))^2*(1-15/365.25/BX81)+IF(OVolOverDailyPeak,OVolOverDailyPeak,IF(OVolCurve,IF(OBuySell,AL81,AN81),AM81))^2*15/365.25/BX81),IF(OVolOverMonthlyPeak,OVolOverMonthlyPeak,IF(OVolCurve,IF(OBuySell,Z81,AB81),AA81))),"")</f>
        <v>0.48766525453124987</v>
      </c>
      <c r="CN81" s="305">
        <f t="shared" ref="CN81:CN144" ca="1" si="256">IF(CD81,IF(OVolType&lt;&gt;2,SQRT(IF(OVolOverMonthlyPeak,OVolOverMonthlyPeak,IF(OVolCurve,IF(OBuySell,AC81,AE81),AD81))^2*(1-15/365.25/BX81)+IF(OVolOverDailyPeak,OVolOverDailyPeak,IF(OVolCurve,IF(OBuySell,AO81,AQ81),AP81))^2*15/365.25/BX81),IF(OVolOverMonthlyPeak,OVolOverMonthlyPeak,IF(OVolCurve,IF(OBuySell,AC81,AE81),AD81))),"")</f>
        <v>0.48766525453124987</v>
      </c>
      <c r="CO81" s="305">
        <f t="shared" ref="CO81:CO144" ca="1" si="257">IF(CD81,IF(CB81,SQRT(LN(1+((CE81*BY81)^2*(EXP(CL81^2*BX81)-1)+(CF81*BZ81)^2*(EXP(CM81^2*BX81)-1)+(CG81*CA81)^2*(EXP(CN81^2*BX81)-1)+2*CE81*BY81*CF81*BZ81*(EXP(CL81*CM81*BX81)-1)+2*CF81*BZ81*CG81*CA81*(EXP(CM81*CN81*BX81)-1)+2*CG81*CA81*CE81*BY81*(EXP(CN81*CL81*BX81)-1))/(CH81*CB81)^2)/BX81),0),"")</f>
        <v>0.48766525453124993</v>
      </c>
      <c r="CP81" s="305">
        <f t="shared" ref="CP81:CP144" ca="1" si="258">IF(CD81,IF(OVolType&lt;&gt;2,SQRT(IF(OVolOverMonthlyOffPeak,OVolOverMonthlyOffPeak,IF(OVolCurve,IF(OBuySell,AF81,AH81),AG81))^2*(1-15/365.25/BX81)+IF(OVolOverDailyOffPeak,OVolOverDailyOffPeak,IF(OVolCurve,IF(OBuySell,AR81,AT81),AS81))^2*15/365.25/BX81),IF(OVolOverMonthlyOffPeak,OVolOverMonthlyOffPeak,IF(OVolCurve,IF(OBuySell,AF81,AH81),AG81))),"")</f>
        <v>0.16270574342399999</v>
      </c>
      <c r="CQ81" s="305">
        <f t="shared" ref="CQ81:CQ144" ca="1" si="259">IF(CD81,SQRT(LN(1+((CH81*CB81)^2*(EXP(CO81^2*BX81)-1)+(CI81*CC81)^2*(EXP(CP81^2*BX81)-1)+2*CH81*CB81*CI81*CC81*(EXP(AU81*CO81*CP81*BX81)-1))/(CH81*CB81+CI81*CC81)^2)/BX81),"")</f>
        <v>0.43996312216108729</v>
      </c>
      <c r="CR81" s="775">
        <f t="shared" ref="CR81:CR144" ca="1" si="260">IF(CD81,CL81+IF(OVolSmile,VLOOKUP(MAX(-5,CK81-CE81),IF(OVolSmile=1,VolSmileBook,VolSmileModel),2),0),"")</f>
        <v>0.50266525453124988</v>
      </c>
      <c r="CS81" s="305">
        <f t="shared" ref="CS81:CS144" ca="1" si="261">IF(CD81,CM81+IF(OVolSmile,VLOOKUP(MAX(-5,CK81-CF81),IF(OVolSmile=1,VolSmileBook,VolSmileModel),2),0),"")</f>
        <v>0.50266525453124988</v>
      </c>
      <c r="CT81" s="305">
        <f t="shared" ref="CT81:CT144" ca="1" si="262">IF(CD81,CN81+IF(OVolSmile,VLOOKUP(MAX(-5,CK81-CG81),IF(OVolSmile=1,VolSmileBook,VolSmileModel),2),0),"")</f>
        <v>0.48766525453124987</v>
      </c>
      <c r="CU81" s="305">
        <f t="shared" ref="CU81:CU144" ca="1" si="263">IF(CD81,CP81+IF(OVolSmile,VLOOKUP(MAX(-5,CK81-CI81),IF(OVolSmile=1,VolSmileBook,VolSmileModel),2),0),"")</f>
        <v>0.18770574342399998</v>
      </c>
      <c r="CV81" s="770">
        <f t="shared" ref="CV81:CV144" ca="1" si="264">IF(CD81,CQ81+IF(OVolSmile,VLOOKUP(MAX(-5,CK81-CJ81),IF(OVolSmile=1,VolSmileBook,VolSmileModel),2),0),"")</f>
        <v>0.45496312216108731</v>
      </c>
      <c r="CW81" s="302">
        <f t="shared" ref="CW81:CW144" ca="1" si="265">IF(BY81,UndiscountedOption(CE81,CK81,CR81,BX81,OCallPut,0),0)</f>
        <v>44.340833844199317</v>
      </c>
      <c r="CX81" s="299">
        <f t="shared" ref="CX81:CX144" ca="1" si="266">IF(BZ81,UndiscountedOption(CF81,CK81,CS81,BX81,OCallPut,0),0)</f>
        <v>23.809826254214471</v>
      </c>
      <c r="CY81" s="299">
        <f t="shared" ref="CY81:CY144" ca="1" si="267">IF(CA81,UndiscountedOption(CG81,CK81,CT81,BX81,OCallPut,0),0)</f>
        <v>14.955900932852966</v>
      </c>
      <c r="CZ81" s="299">
        <f t="shared" ref="CZ81:CZ144" ca="1" si="268">IF(CC81,UndiscountedOption(CI81,CK81,CU81,BX81,OCallPut,0),0)</f>
        <v>2.557330474667844</v>
      </c>
      <c r="DA81" s="774">
        <f t="shared" ref="DA81:DA144" ca="1" si="269">IF(CD81,UndiscountedOption(CJ81,CK81,CV81,BX81,OCallPut,0),0)</f>
        <v>26.297657882114457</v>
      </c>
      <c r="DB81" s="303">
        <f t="shared" ref="DB81:DB144" ca="1" si="270">IF(CD81,IF(OVolType,DA81*CD81,CW81*BY81+CX81*BZ81+CY81*CA81+CZ81*CC81),0)</f>
        <v>13126.02475644691</v>
      </c>
      <c r="DC81" s="248">
        <f t="shared" ref="DC81:DC144" ca="1" si="271">IF(CD81,IF(OVolType,UndiscountedOption(CJ81,CK81,CV81,BX81,OCallPut,1)*CD81,IF(BY81,UndiscountedOption(CE81,CK81,CR81,BX81,OCallPut,1),0)*BY81+IF(BZ81,UndiscountedOption(CF81,CK81,CS81,BX81,OCallPut,1),0)*BZ81+IF(CA81,UndiscountedOption(CG81,CK81,CT81,BX81,OCallPut,1),0)*CA81+IF(CC81,UndiscountedOption(CI81,CK81,CU81,BX81,OCallPut,1),0)*CC81),0)</f>
        <v>410.69942001781658</v>
      </c>
      <c r="DD81" s="778">
        <f t="shared" ref="DD81:DD144" ca="1" si="272">IF(CD81,IF(OVolType,IF(OCallPut,IF(CJ81&gt;CK81,CJ81-CK81,0),IF(CK81&gt;CJ81,CK81-CJ81,0))*CD81,IF(OCallPut,IF(CE81&gt;CK81,CE81-CK81,0)*BY81+IF(CF81&gt;CK81,CF81-CK81,0)*BZ81+IF(CG81&gt;CK81,CG81-CK81,0)*CA81+IF(CI81&gt;CK81,CI81-CK81,0)*CC81,IF(CK81&gt;CE81,CK81-CE81,0)*BY81+IF(CK81&gt;CF81,CK81-CF81,0)*BZ81+IF(CK81&gt;CG81,CK81-CG81,0)*CA81+IF(CK81&gt;CI81,CK81-CI81,0)*CC81)),0)</f>
        <v>8511.9335505986583</v>
      </c>
      <c r="DE81" s="363">
        <f t="shared" ref="DE81:DE144" ca="1" si="273">IF(E81&lt;&gt;"",INDEX(MaxMWTable,C81,2)*H81*J81,0)</f>
        <v>0.67087747784082374</v>
      </c>
      <c r="DF81" s="378">
        <f t="shared" ref="DF81:DF144" ca="1" si="274">IF(BY81,(LN(CE81/CK81)-CR81^2*BX81/2)/CR81/SQRT(BX81),"")</f>
        <v>5.4531812830569001E-2</v>
      </c>
      <c r="DG81" s="508">
        <f t="shared" ref="DG81:DG144" ca="1" si="275">IF(BZ81,(LN(CF81/CK81)-CS81^2*BX81/2)/CS81/SQRT(BX81),"")</f>
        <v>-0.31235337061758678</v>
      </c>
      <c r="DH81" s="508">
        <f t="shared" ref="DH81:DH144" ca="1" si="276">IF(CA81,(LN(CG81/CK81)-CT81^2*BX81/2)/CT81/SQRT(BX81),"")</f>
        <v>-0.53341899921332603</v>
      </c>
      <c r="DI81" s="508">
        <f t="shared" ref="DI81:DI144" ca="1" si="277">IF(CC81,(LN(CI81/CK81)-CU81^2*BX81/2)/CU81/SQRT(BX81),"")</f>
        <v>-0.70553429416820812</v>
      </c>
      <c r="DJ81" s="508">
        <f t="shared" ref="DJ81:DJ144" ca="1" si="278">IF(CD81,(LN(CJ81/CK81)-CV81^2*BX81/2)/CV81/SQRT(BX81),"")</f>
        <v>-0.13256400709211269</v>
      </c>
      <c r="DK81" s="353">
        <f t="shared" ref="DK81:DK144" ca="1" si="279">IF(CD81,IF(OVolType,(-NORMSDIST(DJ81)+IF(OCallPut=1,0,1))*CD81,IF(BY81,(-NORMSDIST(DF81)+IF(OCallPut=1,0,1)),0)*BY81+IF(BZ81,(-NORMSDIST(DG81)+IF(OCallPut=1,0,1)),0)*BZ81+IF(CA81,(-NORMSDIST(DH81)+IF(OCallPut=1,0,1)),0)*CA81+IF(CC81,(-NORMSDIST(DI81)+IF(OCallPut=1,0,1)),0)*CC81),0)</f>
        <v>-223.24668050280641</v>
      </c>
      <c r="DL81" s="781">
        <f t="shared" ref="DL81:DL144" ca="1" si="280">IF(CD81,IF(OVolType,EXP(-0.5*DJ81^2)/CV81*CD81,IF(BY81,EXP(-0.5*DF81^2)/CR81,0)*BY81+IF(BZ81,EXP(-0.5*DG81^2)/CS81,0)*BZ81+IF(CA81,EXP(-0.5*DH81^2)/CT81,0)*CA81+IF(CC81,EXP(-0.5*DI81^2)/CU81,0)*CC81)/SQRT(2*3.14159*BX81)/CK81,0)</f>
        <v>5.7082302387123933</v>
      </c>
      <c r="DM81" s="303">
        <f t="shared" ref="DM81:DM144" ca="1" si="281">IF(CD81,IF(OVolType,UndiscountedOption(CJ81,CK81,OImpVol,BX81,OCallPut,0)*CD81,IF(BY81,UndiscountedOption(CE81,CK81,OImpVol,BX81,OCallPut,0),0)*BY81+IF(BZ81,UndiscountedOption(CF81,CK81,OImpVol,BX81,OCallPut,0),0)*BZ81+IF(CA81,UndiscountedOption(CG81,CK81,OImpVol,BX81,OCallPut,0),0)*CA81+IF(CC81,UndiscountedOption(CI81,CK81,OImpVol,BX81,OCallPut,0),0)*CC81),0)</f>
        <v>19938.949290739016</v>
      </c>
      <c r="DN81" s="508">
        <f t="shared" ref="DN81:DN144" ca="1" si="282">IF(BY81,(LN(CE81/CK81)+OImpVol^2*BX81/2)/OImpVol/SQRT(BX81),"")</f>
        <v>1.4848839769115194</v>
      </c>
      <c r="DO81" s="508">
        <f t="shared" ref="DO81:DO144" ca="1" si="283">IF(BZ81,(LN(CF81/CK81)+OImpVol^2*BX81/2)/OImpVol/SQRT(BX81),"")</f>
        <v>1.3004450989020067</v>
      </c>
      <c r="DP81" s="508">
        <f t="shared" ref="DP81:DP144" ca="1" si="284">IF(CA81,(LN(CG81/CK81)+OImpVol^2*BX81/2)/OImpVol/SQRT(BX81),"")</f>
        <v>1.1800277269225936</v>
      </c>
      <c r="DQ81" s="508">
        <f t="shared" ref="DQ81:DQ144" ca="1" si="285">IF(CC81,(LN(CI81/CK81)+OImpVol^2*BX81/2)/OImpVol/SQRT(BX81),"")</f>
        <v>1.0719958162327425</v>
      </c>
      <c r="DR81" s="508">
        <f t="shared" ref="DR81:DR144" ca="1" si="286">IF(CD81,(LN(CJ81/CK81)+OImpVol^2*BX81/2)/OImpVol/SQRT(BX81),"")</f>
        <v>1.3439945111583667</v>
      </c>
      <c r="DS81" s="353">
        <f t="shared" ref="DS81:DS144" ca="1" si="287">IF(CD81,SQRT(BX81/2/3.14159)*IF(OVolType,CJ81*EXP(-0.5*DR81^2)*CD81,IF(BY81,CE81*EXP(-0.5*DN81^2),0)*BY81+IF(BZ81,CF81*EXP(-0.5*DO81^2),0)*BZ81+IF(CA81,CG81*EXP(-0.5*DP81^2),0)*CA81+IF(CC81,CI81*EXP(-0.5*DQ81^2),0)*CC81),0)</f>
        <v>9336.4039266508207</v>
      </c>
      <c r="DT81" s="353">
        <f t="shared" ref="DT81:DT144" ca="1" si="288">IF(CD81,IF(OVolType,CJ81*DR81*EXP(-0.5*DR81^2)*(LN(CJ81/CK81)/OImpVol^2-BX81/2)*CD81,IF(BY81,CE81*DN81*EXP(-0.5*DN81^2)*(LN(CE81/CK81)/OImpVol^2-BX81/2),0)*BY81+IF(BZ81,CF81*DO81*EXP(-0.5*DO81^2)*(LN(CF81/CK81)/OImpVol^2-BX81/2),0)*BZ81+IF(CA81,CG81*DP81*EXP(-0.5*DP81^2)*(LN(CG81/CK81)/OImpVol^2-BX81/2),0)*CA81+IF(CC81,CI81*DQ81*EXP(-0.5*DQ81^2)*(LN(CI81/CK81)/OImpVol^2-BX81/2),0)*CC81)/SQRT(2*3.14159),0)</f>
        <v>-12334.596118383542</v>
      </c>
      <c r="DU81" s="380">
        <f t="shared" ca="1" si="189"/>
        <v>5.415468856947296</v>
      </c>
      <c r="DV81" s="303">
        <f t="shared" ref="DV81:DV144" ca="1" si="289">BA81*J81</f>
        <v>246.88291184542314</v>
      </c>
      <c r="DW81" s="303">
        <f t="shared" ref="DW81:DW144" ca="1" si="290">BB81*J81</f>
        <v>42.93615858181272</v>
      </c>
      <c r="DX81" s="303">
        <f t="shared" ref="DX81:DX144" ca="1" si="291">BC81*J81</f>
        <v>42.93615858181272</v>
      </c>
      <c r="DY81" s="303">
        <f t="shared" ref="DY81:DY144" ca="1" si="292">SUM(DV81:DX81)</f>
        <v>332.75522900904855</v>
      </c>
      <c r="DZ81" s="303">
        <f t="shared" ref="DZ81:DZ144" ca="1" si="293">BD81*J81</f>
        <v>166.37761450452427</v>
      </c>
      <c r="EA81" s="303">
        <f t="shared" ref="EA81:EA144" ca="1" si="294">DY81+DZ81</f>
        <v>499.13284351357282</v>
      </c>
      <c r="EB81" s="302">
        <f t="shared" ref="EB81:EB144" ca="1" si="295">IF(EA81,IF(CPriceCurve,IF(CBuySell,K81,M81),L81)*BE81,0)</f>
        <v>69</v>
      </c>
      <c r="EC81" s="299">
        <f t="shared" ref="EC81:EC144" ca="1" si="296">IF(EA81,IF(CPriceCurve,IF(CBuySell,N81,P81),O81)*BF81,0)</f>
        <v>44.922499084472662</v>
      </c>
      <c r="ED81" s="299">
        <f t="shared" ref="ED81:ED144" ca="1" si="297">IF(EA81,IF(CPriceCurve,IF(CBuySell,Q81,S81),R81)*BG81,0)</f>
        <v>33.945000839233394</v>
      </c>
      <c r="EE81" s="299">
        <f t="shared" ref="EE81:EE144" ca="1" si="298">IF(DY81,(EB81*DV81+EC81*DW81+ED81*DX81)/DY81,0)</f>
        <v>61.369999990155627</v>
      </c>
      <c r="EF81" s="299">
        <f t="shared" ref="EF81:EF144" ca="1" si="299">IF(EA81,IF(CPriceCurve,IF(CBuySell,T81,V81),U81)*BH81,0)</f>
        <v>26.39999828934668</v>
      </c>
      <c r="EG81" s="299">
        <f t="shared" ref="EG81:EG144" ca="1" si="300">IF(EA81,(EE81*DY81+EF81*DZ81)/EA81,0)</f>
        <v>49.713332756552646</v>
      </c>
      <c r="EH81" s="302">
        <f t="shared" ref="EH81:EH144" ca="1" si="301">IF(EA81,CFloor*G81,0)</f>
        <v>30</v>
      </c>
      <c r="EI81" s="304">
        <f t="shared" ref="EI81:EI144" ca="1" si="302">IF(EA81,IF(CVolType&lt;&gt;2,SQRT(IF(CBidOfferVolSpreadFlag,X81^2*(1-15/365.25/DU81)+AJ81^2*15/365.25/DU81,IF(CFloorVolOverMonthlyPeak,CFloorVolOverMonthlyPeak,IF(CFloorVolCurve,IF(CBuySell,Y81,W81),X81))^2*(1-15/365.25/DU81)+IF(CFloorVolOverDailyPeak,CFloorVolOverDailyPeak,IF(CFloorVolCurve,IF(CBuySell,AK81,AI81),AJ81))^2*15/365.25/DU81)),IF(CBidOfferVolSpreadFlag,X81,IF(CFloorVolOverMonthlyPeak,CFloorVolOverMonthlyPeak,IF(CFloorVolCurve,IF(CBuySell,Y81,W81),X81)))),"")</f>
        <v>0.16255508484374995</v>
      </c>
      <c r="EJ81" s="305">
        <f t="shared" ref="EJ81:EJ144" ca="1" si="303">IF(EA81,IF(CVolType&lt;&gt;2,SQRT(IF(CBidOfferVolSpreadFlag,AA81^2*(1-15/365.25/DU81)+AM81^2*15/365.25/DU81,IF(CFloorVolOverMonthlyPeak,CFloorVolOverMonthlyPeak,IF(CFloorVolCurve,IF(CBuySell,AB81,Z81),AA81))^2*(1-15/365.25/DU81)+IF(CFloorVolOverDailyPeak,CFloorVolOverDailyPeak,IF(CFloorVolCurve,IF(CBuySell,AN81,AL81),AM81))^2*15/365.25/DU81)),IF(CBidOfferVolSpreadFlag,AA81,IF(CFloorVolOverMonthlyPeak,CFloorVolOverMonthlyPeak,IF(CFloorVolCurve,IF(CBuySell,AB81,Z81),AA81)))),"")</f>
        <v>0.16255508484374995</v>
      </c>
      <c r="EK81" s="305">
        <f t="shared" ref="EK81:EK144" ca="1" si="304">IF(EA81,IF(CVolType&lt;&gt;2,SQRT(IF(CBidOfferVolSpreadFlag,AD81^2*(1-15/365.25/DU81)+AP81^2*15/365.25/DU81,IF(CFloorVolOverMonthlyPeak,CFloorVolOverMonthlyPeak,IF(CFloorVolCurve,IF(CBuySell,AE81,AC81),AD81))^2*(1-15/365.25/DU81)+IF(CFloorVolOverDailyPeak,CFloorVolOverDailyPeak,IF(CFloorVolCurve,IF(CBuySell,AQ81,AO81),AP81))^2*15/365.25/DU81)),IF(CBidOfferVolSpreadFlag,AD81,IF(CFloorVolOverMonthlyPeak,CFloorVolOverMonthlyPeak,IF(CFloorVolCurve,IF(CBuySell,AE81,AC81),AD81)))),"")</f>
        <v>0.16255508484374995</v>
      </c>
      <c r="EL81" s="305">
        <f t="shared" ref="EL81:EL144" ca="1" si="305">IF(EA81,IF(DY81,SQRT(LN(1+((EB81*DV81)^2*(EXP(EI81^2*DU81)-1)+(EC81*DW81)^2*(EXP(EJ81^2*DU81)-1)+(ED81*DX81)^2*(EXP(EK81^2*DU81)-1)+2*EB81*DV81*EC81*DW81*(EXP(EI81*EJ81*DU81)-1)+2*EC81*DW81*ED81*DX81*(EXP(EJ81*EK81*DU81)-1)+2*ED81*DX81*EB81*DV81*(EXP(EK81*EI81*DU81)-1))/(EE81*DY81)^2)/DU81),0),"")</f>
        <v>0.16255508484374998</v>
      </c>
      <c r="EM81" s="305">
        <f t="shared" ref="EM81:EM144" ca="1" si="306">IF(EA81,IF(CVolType&lt;&gt;2,SQRT(IF(CBidOfferVolSpreadFlag,AG81^2*(1-15/365.25/DU81)+AS81^2*15/365.25/DU81,IF(CFloorVolOverMonthlyOffPeak,CFloorVolOverMonthlyOffPeak,IF(CFloorVolCurve,IF(CBuySell,AH81,AF81),AG81))^2*(1-15/365.25/DU81)+IF(CFloorVolOverDailyOffPeak,CFloorVolOverDailyOffPeak,IF(CFloorVolCurve,IF(CBuySell,AT81,AR81),AS81))^2*15/365.25/DU81)),IF(CBidOfferVolSpreadFlag,AG81,IF(CFloorVolOverMonthlyOffPeak,CFloorVolOverMonthlyOffPeak,IF(CFloorVolCurve,IF(CBuySell,AH81,AF81),AG81)))),"")</f>
        <v>5.4235247807999994E-2</v>
      </c>
      <c r="EN81" s="305">
        <f t="shared" ref="EN81:EN144" ca="1" si="307">IF(EA81,SQRT(LN(1+((EE81*DY81)^2*(EXP(EL81^2*DU81)-1)+(EF81*DZ81)^2*(EXP(EM81^2*DU81)-1)+2*EE81*DY81*EF81*DZ81*(EXP(AU81*EL81*EM81*DU81)-1))/(EE81*DY81+EF81*DZ81)^2)/DU81),"")</f>
        <v>0.13985786960888025</v>
      </c>
      <c r="EO81" s="305">
        <f t="shared" ref="EO81:EO144" ca="1" si="308">IF(EA81,EI81+IF(CBidOfferVolSpreadFlag,IF(CBuySell,1,-1)*CBidOfferVolSpread/2,IF(CVolSmile,VLOOKUP(MAX(-5,EH81-EB81),IF(CVolSmile=1,VolSmileBook,VolSmileModel),2),0)),"")</f>
        <v>0.16255508484374995</v>
      </c>
      <c r="EP81" s="305">
        <f t="shared" ref="EP81:EP144" ca="1" si="309">IF(EA81,EJ81+IF(CBidOfferVolSpreadFlag,IF(CBuySell,1,-1)*CBidOfferVolSpread/2,IF(CVolSmile,VLOOKUP(MAX(-5,EH81-EC81),IF(CVolSmile=1,VolSmileBook,VolSmileModel),2),0)),"")</f>
        <v>0.16255508484374995</v>
      </c>
      <c r="EQ81" s="305">
        <f t="shared" ref="EQ81:EQ144" ca="1" si="310">IF(EA81,EK81+IF(CBidOfferVolSpreadFlag,IF(CBuySell,1,-1)*CBidOfferVolSpread/2,IF(CVolSmile,VLOOKUP(MAX(-5,EH81-ED81),IF(CVolSmile=1,VolSmileBook,VolSmileModel),2),0)),"")</f>
        <v>0.16255508484374995</v>
      </c>
      <c r="ER81" s="305">
        <f t="shared" ref="ER81:ER144" ca="1" si="311">IF(EA81,EM81+IF(CBidOfferVolSpreadFlag,IF(CBuySell,1,-1)*CBidOfferVolSpread/2,IF(CVolSmile,VLOOKUP(MAX(-5,EH81-EF81),IF(CVolSmile=1,VolSmileBook,VolSmileModel),2),0)),"")</f>
        <v>5.4235247807999994E-2</v>
      </c>
      <c r="ES81" s="305">
        <f t="shared" ref="ES81:ES144" ca="1" si="312">IF(EA81,EN81+IF(CBidOfferVolSpreadFlag,IF(CBuySell,1,-1)*CBidOfferVolSpread/2,IF(CVolSmile,VLOOKUP(MAX(-5,EH81-EG81),IF(CVolSmile=1,VolSmileBook,VolSmileModel),2),0)),"")</f>
        <v>0.13985786960888025</v>
      </c>
      <c r="ET81" s="299">
        <f t="shared" ref="ET81:ET144" ca="1" si="313">IF(EA81,IF(CVolType,UndiscountedOption(EG81,EH81,ES81,DU81,0,0),(IF(DV81,UndiscountedOption(EB81,EH81,EO81,DU81,0,0),0)*DV81+IF(DW81,UndiscountedOption(EC81,EH81,EP81,DU81,0,0),0)*DW81+IF(DX81,UndiscountedOption(ED81,EH81,EQ81,DU81,0,0),0)*DX81+IF(DZ81,UndiscountedOption(EF81,EH81,ER81,DU81,0,0),0)*DZ81)/EA81),0)</f>
        <v>0.32380285367330552</v>
      </c>
      <c r="EU81" s="302">
        <f t="shared" ref="EU81:EU144" ca="1" si="314">IF(EA81,CCap*G81,0)</f>
        <v>30</v>
      </c>
      <c r="EV81" s="304">
        <f t="shared" ref="EV81:EV144" ca="1" si="315">IF(EA81,IF(CVolType&lt;&gt;2,SQRT(IF(CBidOfferVolSpreadFlag,X81^2*(1-15/365.25/DU81)+AJ81^2*15/365.25/DU81,IF(CCapVolOverMonthlyPeak,CCapVolOverMonthlyPeak,IF(CCapVolCurve,IF(CBuySell,W81,Y81),X81))^2*(1-15/365.25/DU81)+IF(CCapVolOverDailyPeak,CCapVolOverDailyPeak,IF(CCapVolCurve,IF(CBuySell,AI81,AK81),AJ81))^2*15/365.25/DU81)),IF(CBidOfferVolSpreadFlag,X81,IF(CCapVolOverMonthlyPeak,CCapVolOverMonthlyPeak,IF(CCapVolCurve,IF(CBuySell,W81,Y81),X81)))),"")</f>
        <v>0.48766525453124987</v>
      </c>
      <c r="EW81" s="305">
        <f t="shared" ref="EW81:EW144" ca="1" si="316">IF(EA81,IF(CVolType&lt;&gt;2,SQRT(IF(CBidOfferVolSpreadFlag,AA81^2*(1-15/365.25/DU81)+AM81^2*15/365.25/DU81,IF(CCapVolOverMonthlyPeak,CCapVolOverMonthlyPeak,IF(CCapVolCurve,IF(CBuySell,Z81,AB81),AA81))^2*(1-15/365.25/DU81)+IF(CCapVolOverDailyPeak,CCapVolOverDailyPeak,IF(CCapVolCurve,IF(CBuySell,AL81,AN81),AM81))^2*15/365.25/DU81)),IF(CBidOfferVolSpreadFlag,AA81,IF(CCapVolOverMonthlyPeak,CCapVolOverMonthlyPeak,IF(CCapVolCurve,IF(CBuySell,Z81,AB81),AA81)))),"")</f>
        <v>0.48766525453124987</v>
      </c>
      <c r="EX81" s="305">
        <f t="shared" ref="EX81:EX144" ca="1" si="317">IF(EA81,IF(CVolType&lt;&gt;2,SQRT(IF(CBidOfferVolSpreadFlag,AD81^2*(1-15/365.25/DU81)+AP81^2*15/365.25/DU81,IF(CCapVolOverMonthlyPeak,CCapVolOverMonthlyPeak,IF(CCapVolCurve,IF(CBuySell,AC81,AE81),AD81))^2*(1-15/365.25/DU81)+IF(CCapVolOverDailyPeak,CCapVolOverDailyPeak,IF(CCapVolCurve,IF(CBuySell,AO81,AQ81),AP81))^2*15/365.25/DU81)),IF(CBidOfferVolSpreadFlag,AD81,IF(CCapVolOverMonthlyPeak,CCapVolOverMonthlyPeak,IF(CCapVolCurve,IF(CBuySell,AC81,AE81),AD81)))),"")</f>
        <v>0.48766525453124987</v>
      </c>
      <c r="EY81" s="305">
        <f t="shared" ref="EY81:EY144" ca="1" si="318">IF(EA81,IF(DY81,SQRT(LN(1+((EB81*DV81)^2*(EXP(EV81^2*DU81)-1)+(EC81*DW81)^2*(EXP(EW81^2*DU81)-1)+(ED81*DX81)^2*(EXP(EX81^2*DU81)-1)+2*EB81*DV81*EC81*DW81*(EXP(EV81*EW81*DU81)-1)+2*EC81*DW81*ED81*DX81*(EXP(EW81*EX81*DU81)-1)+2*ED81*DX81*EB81*DV81*(EXP(EX81*EV81*DU81)-1))/(EE81*DY81)^2)/DU81),0),"")</f>
        <v>0.48766525453124993</v>
      </c>
      <c r="EZ81" s="305">
        <f t="shared" ref="EZ81:EZ144" ca="1" si="319">IF(EA81,IF(CVolType&lt;&gt;2,SQRT(IF(CBidOfferVolSpreadFlag,AG81^2*(1-15/365.25/DU81)+AS81^2*15/365.25/DU81,IF(CCapVolOverMonthlyOffPeak,CCapVolOverMonthlyOffPeak,IF(CCapVolCurve,IF(CBuySell,AF81,AH81),AG81))^2*(1-15/365.25/DU81)+IF(CCapVolOverDailyOffPeak,CCapVolOverDailyOffPeak,IF(CCapVolCurve,IF(CBuySell,AR81,AT81),AS81))^2*15/365.25/DU81)),IF(CBidOfferVolSpreadFlag,AG81,IF(CCapVolOverMonthlyOffPeak,CCapVolOverMonthlyOffPeak,IF(CCapVolCurve,IF(CBuySell,AF81,AH81),AG81)))),"")</f>
        <v>0.16270574342399999</v>
      </c>
      <c r="FA81" s="305">
        <f t="shared" ref="FA81:FA144" ca="1" si="320">IF(EA81,SQRT(LN(1+((EE81*DY81)^2*(EXP(EY81^2*DU81)-1)+(EF81*DZ81)^2*(EXP(EZ81^2*DU81)-1)+2*EE81*DY81*EF81*DZ81*(EXP(AU81*EY81*EZ81*DU81)-1))/(EE81*DY81+EF81*DZ81)^2)/DU81),"")</f>
        <v>0.43996312216108729</v>
      </c>
      <c r="FB81" s="305">
        <f t="shared" ref="FB81:FB144" ca="1" si="321">IF(EA81,EV81+IF(CBidOfferVolSpreadFlag,IF(CBuySell,-1,1)*CBidOfferVolSpread/2,IF(CVolSmile,VLOOKUP(MAX(-5,EU81-EB81),IF(CVolSmile=1,VolSmileBook,VolSmileModel),2),0)),"")</f>
        <v>0.48766525453124987</v>
      </c>
      <c r="FC81" s="305">
        <f t="shared" ref="FC81:FC144" ca="1" si="322">IF(EA81,EW81+IF(CBidOfferVolSpreadFlag,IF(CBuySell,-1,1)*CBidOfferVolSpread/2,IF(CVolSmile,VLOOKUP(MAX(-5,EU81-EC81),IF(CVolSmile=1,VolSmileBook,VolSmileModel),2),0)),"")</f>
        <v>0.48766525453124987</v>
      </c>
      <c r="FD81" s="305">
        <f t="shared" ref="FD81:FD144" ca="1" si="323">IF(EA81,EX81+IF(CBidOfferVolSpreadFlag,IF(CBuySell,-1,1)*CBidOfferVolSpread/2,IF(CVolSmile,VLOOKUP(MAX(-5,EU81-ED81),IF(CVolSmile=1,VolSmileBook,VolSmileModel),2),0)),"")</f>
        <v>0.48766525453124987</v>
      </c>
      <c r="FE81" s="305">
        <f t="shared" ref="FE81:FE144" ca="1" si="324">IF(EA81,EZ81+IF(CBidOfferVolSpreadFlag,IF(CBuySell,-1,1)*CBidOfferVolSpread/2,IF(CVolSmile,VLOOKUP(MAX(-5,EU81-EF81),IF(CVolSmile=1,VolSmileBook,VolSmileModel),2),0)),"")</f>
        <v>0.16270574342399999</v>
      </c>
      <c r="FF81" s="305">
        <f t="shared" ref="FF81:FF144" ca="1" si="325">IF(EA81,FA81+IF(CBidOfferVolSpreadFlag,IF(CBuySell,-1,1)*CBidOfferVolSpread/2,IF(CVolSmile,VLOOKUP(MAX(-5,EU81-EG81),IF(CVolSmile=1,VolSmileBook,VolSmileModel),2),0)),"")</f>
        <v>0.43996312216108729</v>
      </c>
      <c r="FG81" s="299">
        <f t="shared" ref="FG81:FG144" ca="1" si="326">IF(EA81,IF(CVolType,UndiscountedOption(EG81,EU81,FF81,DU81,1,0),(IF(DV81,UndiscountedOption(EB81,EU81,FB81,DU81,1,0),0)*DV81+IF(DW81,UndiscountedOption(EC81,EU81,FC81,DU81,1,0),0)*DW81+IF(DX81,UndiscountedOption(ED81,EU81,FD81,DU81,1,0),0)*DX81+IF(DZ81,UndiscountedOption(EF81,EU81,FE81,DU81,1,0),0)*DZ81)/EA81),0)</f>
        <v>27.111579608966501</v>
      </c>
      <c r="FH81" s="302">
        <f t="shared" ref="FH81:FH144" ca="1" si="327">ET81-FG81</f>
        <v>-26.787776755293194</v>
      </c>
      <c r="FI81" s="248">
        <f t="shared" ref="FI81:FI144" ca="1" si="328">FH81*EA81</f>
        <v>-13370.659183276281</v>
      </c>
      <c r="FJ81" s="363">
        <f t="shared" ref="FJ81:FJ144" ca="1" si="329">IF(E81&lt;&gt;"",INDEX(MaxMWTable,C81,1)*H81*J81,0)</f>
        <v>0.67087747784082374</v>
      </c>
      <c r="FK81" s="378">
        <f t="shared" ref="FK81:FK144" ca="1" si="330">IF(DV81,IF(CSpec,(LN(EB81/EH81)-EO81^2*DU81/2)/EO81/SQRT(DU81),(LN(EB81/EU81)-FB81^2*DU81/2)/FB81/SQRT(DU81)),"")</f>
        <v>2.012663617880214</v>
      </c>
      <c r="FL81" s="508">
        <f t="shared" ref="FL81:FL144" ca="1" si="331">IF(DW81,IF(CSpec,(LN(EC81/EH81)-EP81^2*DU81/2)/EP81/SQRT(DU81),(LN(EC81/EU81)-FC81^2*DU81/2)/FC81/SQRT(DU81)),"")</f>
        <v>0.87815321914996969</v>
      </c>
      <c r="FM81" s="508">
        <f t="shared" ref="FM81:FM144" ca="1" si="332">IF(DX81,IF(CSpec,(LN(ED81/EH81)-EQ81^2*DU81/2)/EQ81/SQRT(DU81),(LN(ED81/EU81)-FD81^2*DU81/2)/FD81/SQRT(DU81)),"")</f>
        <v>0.13744842755301306</v>
      </c>
      <c r="FN81" s="508">
        <f t="shared" ref="FN81:FN144" ca="1" si="333">IF(DZ81,IF(CSpec,(LN(EF81/EH81)-ER81^2*DU81/2)/ER81/SQRT(DU81),(LN(EF81/EU81)-FE81^2*DU81/2)/FE81/SQRT(DU81)),"")</f>
        <v>-1.0759550885935114</v>
      </c>
      <c r="FO81" s="508">
        <f t="shared" ref="FO81:FO144" ca="1" si="334">IF(EA81,IF(CSpec,(LN(EG81/EH81)-ES81^2*DU81/2)/ES81/SQRT(DU81),(LN(EG81/EU81)-FF81^2*DU81/2)/FF81/SQRT(DU81)),"")</f>
        <v>1.3891239140247833</v>
      </c>
      <c r="FP81" s="353">
        <f t="shared" ref="FP81:FP144" ca="1" si="335">IF(EA81,IF(CVolType,(-NORMSDIST(FO81)+IF(CSpec,1,0))*EA81,IF(DV81,(-NORMSDIST(FK81)+IF(CSpec,1,0)),0)*DV81+IF(DW81,(-NORMSDIST(FL81)+IF(CSpec,1,0)),0)*DW81+IF(DX81,(-NORMSDIST(FM81)+IF(CSpec,1,0)),0)*DX81+IF(DZ81,(-NORMSDIST(FN81)+IF(CSpec,1,0)),0)*DZ81),0)</f>
        <v>41.127343700384266</v>
      </c>
      <c r="FQ81" s="356">
        <f t="shared" ref="FQ81:FQ144" ca="1" si="336">IF(EA81,IF(CVolType,EXP(-0.5*FO81^2)/IF(CSpec,ES81,FF81)*EA81,IF(DV81,EXP(-0.5*FK81^2)/IF(CSpec,EO81,FB81),0)*DV81+IF(DW81,EXP(-0.5*FL81^2)/IF(CSpec,EP81,FC81),0)*DW81+IF(DX81,EXP(-0.5*FM81^2)/IF(CSpec,EQ81,FD81),0)*DX81+IF(DZ81,EXP(-0.5*FN81^2)/IF(CSpec,ER81,FE81),0)*DZ81)/SQRT(2*3.14159*DU81)/IF(CSpec,EH81,EU81),0)</f>
        <v>7.7710323672626158</v>
      </c>
      <c r="FR81" s="380">
        <f t="shared" ref="FR81:FR144" ca="1" si="337">IF(CD81,VLOOKUP(A81,GasTable,13)*HeatRatePeak/1000,0)</f>
        <v>22.156000000000002</v>
      </c>
      <c r="FS81" s="299">
        <f t="shared" ref="FS81:FS144" ca="1" si="338">IF(CD81,VLOOKUP(A81,GasTable,13)*HeatRatePeak/1000,0)</f>
        <v>22.156000000000002</v>
      </c>
      <c r="FT81" s="299">
        <f t="shared" ref="FT81:FT144" ca="1" si="339">IF(CD81,VLOOKUP(A81,GasTable,13)*HeatRateOffPeak/1000,0)</f>
        <v>22.156000000000002</v>
      </c>
      <c r="FU81" s="299">
        <f t="shared" ref="FU81:FU144" ca="1" si="340">IF(CD81,VLOOKUP(A81,GasTable,13)*HeatRateOffPeak/1000,0)</f>
        <v>22.156000000000002</v>
      </c>
      <c r="FV81" s="299">
        <f t="shared" ref="FV81:FV144" ca="1" si="341">IF(CD81,(FR81*CB81+FU81*CC81)/CD81,0)</f>
        <v>22.156000000000002</v>
      </c>
      <c r="FW81" s="850">
        <f t="shared" ref="FW81:FW144" ca="1" si="342">IF(CD81,VLOOKUP(A81,GasTable,14),"")</f>
        <v>0.1676</v>
      </c>
      <c r="FX81" s="851">
        <f t="shared" ref="FX81:FX144" ca="1" si="343">IF(CD81,IF(CorrPowerGasOverFlag,INDEX(CorrPowerGasOver,C81),CorrPowerGas),"")</f>
        <v>0.5</v>
      </c>
      <c r="FY81" s="851">
        <f t="shared" ref="FY81:FY144" ca="1" si="344">IF(CD81,SpreadOptGasMargin*HeatRatePeak/1000+SpreadOptPowerMargin+SpreadOptStrike,"")</f>
        <v>0</v>
      </c>
      <c r="FZ81" s="201">
        <f t="shared" ref="FZ81:FZ144" ca="1" si="345">IF(CD81,SpreadOptGasMargin*HeatRatePeak/1000+SpreadOptPowerMargin+SpreadOptStrike,"")</f>
        <v>0</v>
      </c>
      <c r="GA81" s="201">
        <f t="shared" ref="GA81:GA144" ca="1" si="346">IF(CD81,SpreadOptGasMargin*HeatRateOffPeak/1000+SpreadOptPowerMargin+SpreadOptStrike,"")</f>
        <v>0</v>
      </c>
      <c r="GB81" s="201">
        <f t="shared" ref="GB81:GB144" ca="1" si="347">IF(CD81,SpreadOptGasMargin*HeatRateOffPeak/1000+SpreadOptPowerMargin+SpreadOptStrike,"")</f>
        <v>0</v>
      </c>
      <c r="GC81" s="201">
        <f t="shared" ref="GC81:GC144" ca="1" si="348">IF(CD81,(FY81*CB81+GB81*CC81)/CD81,"")</f>
        <v>0</v>
      </c>
      <c r="GD81" s="850">
        <f t="shared" ref="GD81:GD144" ca="1" si="349">IF(CD81,CL81+IF(OVolSmile,VLOOKUP(MAX(-5,FR81+FY81-CE81),IF(OVolSmile=1,VolSmileBook,VolSmileModel),2),0),"")</f>
        <v>0.50266525453124988</v>
      </c>
      <c r="GE81" s="866">
        <f t="shared" ref="GE81:GE144" ca="1" si="350">IF(CD81,CM81+IF(OVolSmile,VLOOKUP(MAX(-5,FS81+FY81-CF81),IF(OVolSmile=1,VolSmileBook,VolSmileModel),2),0),"")</f>
        <v>0.50266525453124988</v>
      </c>
      <c r="GF81" s="866">
        <f t="shared" ref="GF81:GF144" ca="1" si="351">IF(CD81,CN81+IF(OVolSmile,VLOOKUP(MAX(-5,FT81+FY81-CG81),IF(OVolSmile=1,VolSmileBook,VolSmileModel),2),0),"")</f>
        <v>0.50266525453124988</v>
      </c>
      <c r="GG81" s="866">
        <f t="shared" ref="GG81:GG144" ca="1" si="352">IF(CD81,CP81+IF(OVolSmile,VLOOKUP(MAX(-5,FU81+GB81-CI81),IF(OVolSmile=1,VolSmileBook,VolSmileModel),2),0),"")</f>
        <v>0.17770574342399997</v>
      </c>
      <c r="GH81" s="866">
        <f t="shared" ref="GH81:GH144" ca="1" si="353">IF(CD81,CQ81+IF(OVolSmile,VLOOKUP(MAX(-5,FV81+GC81-CJ81),IF(OVolSmile=1,VolSmileBook,VolSmileModel),2),0),"")</f>
        <v>0.45496312216108731</v>
      </c>
      <c r="GI81" s="302">
        <f t="shared" ref="GI81:GI144" ca="1" si="354">IF(AND(CE81&gt;0,FR81&gt;0,GD81&gt;0,FW81&gt;0),newSPRDOPT(CE81,FR81,FY81,0,GD81,FW81,FX81,BX81*365.25,OCallPut,0),0)</f>
        <v>49.375905169461873</v>
      </c>
      <c r="GJ81" s="299">
        <f t="shared" ref="GJ81:GJ144" ca="1" si="355">IF(AND(CF81&gt;0,FS81&gt;0,GE81&gt;0,FW81&gt;0),newSPRDOPT(CF81,FS81,FZ81,0,GE81,FW81,FX81,BX81*365.25,OCallPut,0),0)</f>
        <v>27.193914578422884</v>
      </c>
      <c r="GK81" s="299">
        <f t="shared" ref="GK81:GK144" ca="1" si="356">IF(AND(CG81&gt;0,FT81&gt;0,GF81&gt;0,FW81&gt;0),newSPRDOPT(CG81,FT81,GA81,0,GF81,FW81,FX81,BX81*365.25,OCallPut,0),0)</f>
        <v>17.782987017424478</v>
      </c>
      <c r="GL81" s="299">
        <f t="shared" ref="GL81:GL144" ca="1" si="357">IF(AND(CI81&gt;0,FU81&gt;0,GG81&gt;0,FW81&gt;0),newSPRDOPT(CI81,FU81,GB81,0,GG81,FW81,FX81,BX81*365.25,OCallPut,0),0)</f>
        <v>6.3479281506108123</v>
      </c>
      <c r="GM81" s="299">
        <f t="shared" ref="GM81:GM144" ca="1" si="358">IF(OVolType,IF(AND(CJ81&gt;0,FV81&gt;0,GH81&gt;0,FW81&gt;0),newSPRDOPT(CJ81,FV81,GC81,0,GH81,FW81,FX81,BX81*365.25,OCallPut,0),0),IF(CD81,(GI81*BY81+GJ81*BZ81+GK81*CA81+GL81*CC81)/CD81,0))</f>
        <v>30.609337658768464</v>
      </c>
      <c r="GN81" s="302">
        <f t="shared" ref="GN81:GN144" ca="1" si="359">IF(AND(CE81&gt;0,FR81&gt;0,GD81&gt;0,FW81&gt;0),newSPRDOPT(CE81,FR81,FY81,0,GD81,FW81,FX81,BX81*365.25,OCallPut,1),0)</f>
        <v>0.94706025691957785</v>
      </c>
      <c r="GO81" s="299">
        <f t="shared" ref="GO81:GO144" ca="1" si="360">IF(AND(CF81&gt;0,FS81&gt;0,GE81&gt;0,FW81&gt;0),newSPRDOPT(CF81,FS81,FZ81,0,GE81,FW81,FX81,BX81*365.25,OCallPut,1),0)</f>
        <v>0.88511994742851052</v>
      </c>
      <c r="GP81" s="299">
        <f t="shared" ref="GP81:GP144" ca="1" si="361">IF(AND(CG81&gt;0,FT81&gt;0,GF81&gt;0,FW81&gt;0),newSPRDOPT(CG81,FT81,GA81,0,GF81,FW81,FX81,BX81*365.25,OCallPut,1),0)</f>
        <v>0.82365030999176692</v>
      </c>
      <c r="GQ81" s="299">
        <f t="shared" ref="GQ81:GQ144" ca="1" si="362">IF(AND(CI81&gt;0,FU81&gt;0,GG81&gt;0,FW81&gt;0),newSPRDOPT(CI81,FU81,GB81,0,GG81,FW81,FX81,BX81*365.25,OCallPut,1),0)</f>
        <v>0.73786753709391451</v>
      </c>
      <c r="GR81" s="299">
        <f t="shared" ref="GR81:GR144" ca="1" si="363">IF(OVolType,IF(AND(CJ81&gt;0,FV81&gt;0,GH81&gt;0,FW81&gt;0),newSPRDOPT(CJ81,FV81,GC81,0,GH81,FW81,FX81,BX81*365.25,OCallPut,1),0),IF(CD81,(GN81*BY81+GO81*BZ81+GP81*CA81+GQ81*CC81)/CD81,0))</f>
        <v>0.90908074455453836</v>
      </c>
      <c r="GS81" s="302">
        <f t="shared" ref="GS81:GS144" ca="1" si="364">IF(AND(CE81&gt;0,FR81&gt;0,GD81&gt;0,FW81&gt;0),newSPRDOPT(CE81,FR81,FY81,0,GD81,FW81,FX81,BX81*365.25,OCallPut,2),0)</f>
        <v>-0.72085499877610559</v>
      </c>
      <c r="GT81" s="299">
        <f t="shared" ref="GT81:GT144" ca="1" si="365">IF(AND(CF81&gt;0,FS81&gt;0,GE81&gt;0,FW81&gt;0),newSPRDOPT(CF81,FS81,FZ81,0,GE81,FW81,FX81,BX81*365.25,OCallPut,2),0)</f>
        <v>-0.56724569568684879</v>
      </c>
      <c r="GU81" s="299">
        <f t="shared" ref="GU81:GU144" ca="1" si="366">IF(AND(CG81&gt;0,FT81&gt;0,GF81&gt;0,FW81&gt;0),newSPRDOPT(CG81,FT81,GA81,0,GF81,FW81,FX81,BX81*365.25,OCallPut,2),0)</f>
        <v>-0.45928112306323993</v>
      </c>
      <c r="GV81" s="299">
        <f t="shared" ref="GV81:GV144" ca="1" si="367">IF(AND(CI81&gt;0,FU81&gt;0,GG81&gt;0,FW81&gt;0),newSPRDOPT(CI81,FU81,GB81,0,GG81,FW81,FX81,BX81*365.25,OCallPut,2),0)</f>
        <v>-0.5926959973221626</v>
      </c>
      <c r="GW81" s="299">
        <f t="shared" ref="GW81:GW144" ca="1" si="368">IF(OVolType,IF(AND(CJ81&gt;0,FV81&gt;0,GH81&gt;0,FW81&gt;0),newSPRDOPT(CJ81,FV81,GC81,0,GH81,FW81,FX81,BX81*365.25,OCallPut,2),0),IF(CD81,(GS81*BY81+GT81*BZ81+GU81*CA81+GV81*CC81)/CD81,0))</f>
        <v>-0.65824629846406846</v>
      </c>
      <c r="GX81" s="303">
        <f t="shared" ref="GX81:GX144" ca="1" si="369">GI81*BY81</f>
        <v>12190.067243240228</v>
      </c>
      <c r="GY81" s="303">
        <f t="shared" ref="GY81:GY144" ca="1" si="370">GJ81*BZ81</f>
        <v>1167.6022287994338</v>
      </c>
      <c r="GZ81" s="303">
        <f t="shared" ref="GZ81:GZ144" ca="1" si="371">GK81*CA81</f>
        <v>763.53315063845423</v>
      </c>
      <c r="HA81" s="303">
        <f t="shared" ref="HA81:HA144" ca="1" si="372">GL81*CC81</f>
        <v>1056.1531427447435</v>
      </c>
      <c r="HB81" s="303">
        <f t="shared" ref="HB81:HB144" ca="1" si="373">GM81*CD81</f>
        <v>15278.125743688192</v>
      </c>
      <c r="HC81" s="303">
        <f t="shared" ref="HC81:HC144" ca="1" si="374">IF(CD81,IF(OCallPut,IF(CE81&gt;(FR81+FY81),CE81-(FR81+FY81),0),IF((FR81+FY81)&gt;CE81,(FR81+FY81)-CE81,0))*BY81,0)</f>
        <v>11564.983122486999</v>
      </c>
      <c r="HD81" s="303">
        <f t="shared" ref="HD81:HD144" ca="1" si="375">IF(CD81,IF(OCallPut,IF(CF81&gt;(FS81+FY81),CF81-(FS81+FY81),0),IF((FS81+FY81)&gt;CF81,(FS81+FY81)-CF81,0))*BZ81,0)</f>
        <v>977.50601504361225</v>
      </c>
      <c r="HE81" s="303">
        <f t="shared" ref="HE81:HE144" ca="1" si="376">IF(CD81,IF(OCallPut,IF(CG81&gt;(FT81+FY81),CG81-(FT81+FY81),0),IF((FT81+FY81)&gt;CG81,(FT81+FY81)-CG81,0))*CA81,0)</f>
        <v>506.17440955444818</v>
      </c>
      <c r="HF81" s="303">
        <f t="shared" ref="HF81:HF144" ca="1" si="377">IF(CD81,IF(OCallPut,IF(CI81&gt;(FU81+GB81),CI81-(FU81+GB81),0),IF((FU81+GB81)&gt;CI81,(FU81+GB81)-CI81,0))*CC81,0)</f>
        <v>706.10631134278196</v>
      </c>
      <c r="HG81" s="852">
        <f t="shared" ref="HG81:HG144" ca="1" si="378">IF(CD81,IF(OVolType,IF(OCallPut,IF(CJ81&gt;(FV81+GC81),CJ81-(FV81+GC81),0),IF((FV81+GC81)&gt;CJ81,(FV81+GC81)-CJ81,0))*CD81,SUM(HC81:HF81)),0)</f>
        <v>13754.769858427844</v>
      </c>
    </row>
    <row r="82" spans="1:215" x14ac:dyDescent="0.25">
      <c r="A82" s="244">
        <f t="shared" ref="A82:A145" ca="1" si="379">EOMONTH(A81,0)+1</f>
        <v>38596</v>
      </c>
      <c r="B82" s="13">
        <f t="shared" ca="1" si="207"/>
        <v>2005</v>
      </c>
      <c r="C82" s="619">
        <f t="shared" ca="1" si="208"/>
        <v>9</v>
      </c>
      <c r="D82" s="195">
        <f t="shared" ca="1" si="209"/>
        <v>38600</v>
      </c>
      <c r="E82" s="469">
        <f t="shared" ca="1" si="210"/>
        <v>38596</v>
      </c>
      <c r="F82" s="465">
        <f t="shared" ca="1" si="211"/>
        <v>38625</v>
      </c>
      <c r="G82" s="522">
        <f t="shared" ref="G82:G145" ca="1" si="380">G81*(1+((PriceEscType=1)*(C82=1)+(PriceEscType=2)*(C82=BegMonth))*(B82&gt;BegYear)*PriceEsc)</f>
        <v>1</v>
      </c>
      <c r="H82" s="519">
        <f t="shared" ref="H82:H145" ca="1" si="381">H81*(1+((VolumeEscType=1)*(C82=1)+(VolumeEscType=2)*(C82=BegMonth))*(B82&gt;BegYear)*VolumeEsc)</f>
        <v>1</v>
      </c>
      <c r="I82" s="724">
        <f t="shared" ca="1" si="212"/>
        <v>7.3224289820954996E-2</v>
      </c>
      <c r="J82" s="198">
        <f t="shared" ca="1" si="213"/>
        <v>0.66683762127099377</v>
      </c>
      <c r="K82" s="200">
        <f t="shared" ca="1" si="190"/>
        <v>31.65</v>
      </c>
      <c r="L82" s="201">
        <f t="shared" ca="1" si="191"/>
        <v>32.75</v>
      </c>
      <c r="M82" s="206">
        <f t="shared" ca="1" si="192"/>
        <v>33.85</v>
      </c>
      <c r="N82" s="851">
        <f t="shared" ca="1" si="196"/>
        <v>22.479999160766599</v>
      </c>
      <c r="O82" s="201">
        <f t="shared" ca="1" si="197"/>
        <v>23.304999160766599</v>
      </c>
      <c r="P82" s="206">
        <f t="shared" ca="1" si="198"/>
        <v>24.129999160766598</v>
      </c>
      <c r="Q82" s="201">
        <f t="shared" ca="1" si="199"/>
        <v>20.5</v>
      </c>
      <c r="R82" s="201">
        <f t="shared" ca="1" si="200"/>
        <v>23.8</v>
      </c>
      <c r="S82" s="201">
        <f t="shared" ca="1" si="201"/>
        <v>27.1</v>
      </c>
      <c r="T82" s="851">
        <f t="shared" ca="1" si="193"/>
        <v>19.399998092651366</v>
      </c>
      <c r="U82" s="201">
        <f t="shared" ca="1" si="194"/>
        <v>19.949998092651366</v>
      </c>
      <c r="V82" s="206">
        <f t="shared" ca="1" si="195"/>
        <v>20.499998092651367</v>
      </c>
      <c r="W82" s="230">
        <f t="shared" ref="W82:W145" ca="1" si="382">VLOOKUP($A82,BigTable,14,0)</f>
        <v>0.10757591296874996</v>
      </c>
      <c r="X82" s="231">
        <f t="shared" ref="X82:X145" ca="1" si="383">VLOOKUP($A82,BigTable,15,0)</f>
        <v>0.21515182593749993</v>
      </c>
      <c r="Y82" s="232">
        <f t="shared" ref="Y82:Y145" ca="1" si="384">VLOOKUP($A82,BigTable,16,0)</f>
        <v>0.32272773890624989</v>
      </c>
      <c r="Z82" s="231">
        <f t="shared" ca="1" si="202"/>
        <v>0.10757591296874996</v>
      </c>
      <c r="AA82" s="231">
        <f t="shared" ca="1" si="203"/>
        <v>0.21515182593749993</v>
      </c>
      <c r="AB82" s="232">
        <f t="shared" ca="1" si="204"/>
        <v>0.32272773890624989</v>
      </c>
      <c r="AC82" s="231">
        <f t="shared" ca="1" si="205"/>
        <v>0.10757591296874996</v>
      </c>
      <c r="AD82" s="231">
        <f t="shared" ca="1" si="206"/>
        <v>0.21515182593749993</v>
      </c>
      <c r="AE82" s="232">
        <f t="shared" ca="1" si="214"/>
        <v>0.32272773890624989</v>
      </c>
      <c r="AF82" s="231">
        <f t="shared" ref="AF82:AF145" ca="1" si="385">VLOOKUP($A82,BigTable,18,0)</f>
        <v>3.6156831871999993E-2</v>
      </c>
      <c r="AG82" s="231">
        <f t="shared" ref="AG82:AG145" ca="1" si="386">VLOOKUP($A82,BigTable,19,0)</f>
        <v>7.2313663743999987E-2</v>
      </c>
      <c r="AH82" s="232">
        <f t="shared" ref="AH82:AH145" ca="1" si="387">VLOOKUP($A82,BigTable,20,0)</f>
        <v>0.10847049561599997</v>
      </c>
      <c r="AI82" s="233">
        <f t="shared" ca="1" si="215"/>
        <v>1.1499999999999999</v>
      </c>
      <c r="AJ82" s="233">
        <f t="shared" ca="1" si="216"/>
        <v>1.5</v>
      </c>
      <c r="AK82" s="234">
        <f t="shared" ca="1" si="217"/>
        <v>1.8</v>
      </c>
      <c r="AL82" s="919">
        <f t="shared" ca="1" si="218"/>
        <v>1.1499999999999999</v>
      </c>
      <c r="AM82" s="233">
        <f t="shared" ca="1" si="219"/>
        <v>1.5</v>
      </c>
      <c r="AN82" s="234">
        <f t="shared" ca="1" si="220"/>
        <v>1.8</v>
      </c>
      <c r="AO82" s="233">
        <f t="shared" ca="1" si="221"/>
        <v>1.1499999999999999</v>
      </c>
      <c r="AP82" s="233">
        <f t="shared" ca="1" si="222"/>
        <v>1.5</v>
      </c>
      <c r="AQ82" s="233">
        <f t="shared" ca="1" si="223"/>
        <v>1.8</v>
      </c>
      <c r="AR82" s="919">
        <f t="shared" ca="1" si="224"/>
        <v>0.25</v>
      </c>
      <c r="AS82" s="233">
        <f t="shared" ca="1" si="225"/>
        <v>0.4</v>
      </c>
      <c r="AT82" s="235">
        <f t="shared" ca="1" si="226"/>
        <v>0.60000000000000009</v>
      </c>
      <c r="AU82" s="946">
        <f t="shared" si="227"/>
        <v>0.5</v>
      </c>
      <c r="AV82" s="13">
        <f t="shared" ca="1" si="228"/>
        <v>21</v>
      </c>
      <c r="AW82" s="210">
        <f t="shared" ca="1" si="229"/>
        <v>4</v>
      </c>
      <c r="AX82" s="210">
        <f t="shared" ca="1" si="230"/>
        <v>4</v>
      </c>
      <c r="AY82" s="210">
        <f t="shared" ca="1" si="231"/>
        <v>1</v>
      </c>
      <c r="AZ82" s="13">
        <f t="shared" ca="1" si="232"/>
        <v>30</v>
      </c>
      <c r="BA82" s="357">
        <f ca="1"/>
        <v>336</v>
      </c>
      <c r="BB82" s="925">
        <f ca="1"/>
        <v>64</v>
      </c>
      <c r="BC82" s="925">
        <f ca="1"/>
        <v>80</v>
      </c>
      <c r="BD82" s="928">
        <f ca="1"/>
        <v>240</v>
      </c>
      <c r="BE82" s="200">
        <f ca="1"/>
        <v>1.0000000074505806</v>
      </c>
      <c r="BF82" s="851">
        <f ca="1"/>
        <v>1.0000000074505806</v>
      </c>
      <c r="BG82" s="851">
        <f ca="1"/>
        <v>1.0000000074505806</v>
      </c>
      <c r="BH82" s="933">
        <f ca="1"/>
        <v>1.0000000149011612</v>
      </c>
      <c r="BI82" s="357">
        <f ca="1"/>
        <v>336</v>
      </c>
      <c r="BJ82" s="925">
        <f ca="1"/>
        <v>64</v>
      </c>
      <c r="BK82" s="925">
        <f ca="1"/>
        <v>80</v>
      </c>
      <c r="BL82" s="928">
        <f ca="1"/>
        <v>240</v>
      </c>
      <c r="BM82" s="200">
        <f ca="1"/>
        <v>1.0000000074505806</v>
      </c>
      <c r="BN82" s="851">
        <f ca="1"/>
        <v>1.0000000074505806</v>
      </c>
      <c r="BO82" s="851">
        <f ca="1"/>
        <v>1.0000000074505806</v>
      </c>
      <c r="BP82" s="933">
        <f ca="1"/>
        <v>1.0000000149011612</v>
      </c>
      <c r="BQ82" s="357">
        <f t="shared" ca="1" si="233"/>
        <v>720</v>
      </c>
      <c r="BR82" s="361">
        <f t="shared" ca="1" si="234"/>
        <v>720</v>
      </c>
      <c r="BS82" s="357">
        <f t="shared" ca="1" si="235"/>
        <v>480.12308731511553</v>
      </c>
      <c r="BT82" s="302">
        <f t="shared" ca="1" si="236"/>
        <v>25.512666194549851</v>
      </c>
      <c r="BU82" s="299">
        <f t="shared" ca="1" si="237"/>
        <v>26.649332871051289</v>
      </c>
      <c r="BV82" s="299">
        <f t="shared" ca="1" si="238"/>
        <v>27.785999547552723</v>
      </c>
      <c r="BW82" s="299">
        <f t="shared" ca="1" si="239"/>
        <v>32.659889647739881</v>
      </c>
      <c r="BX82" s="380">
        <f t="shared" ca="1" si="240"/>
        <v>5.5003422313483918</v>
      </c>
      <c r="BY82" s="363">
        <f t="shared" ca="1" si="241"/>
        <v>224.0574407470539</v>
      </c>
      <c r="BZ82" s="353">
        <f t="shared" ca="1" si="242"/>
        <v>42.677607761343602</v>
      </c>
      <c r="CA82" s="353">
        <f t="shared" ca="1" si="243"/>
        <v>53.347009701679504</v>
      </c>
      <c r="CB82" s="353">
        <f t="shared" ca="1" si="244"/>
        <v>320.08205821007698</v>
      </c>
      <c r="CC82" s="353">
        <f t="shared" ca="1" si="245"/>
        <v>160.04102910503852</v>
      </c>
      <c r="CD82" s="353">
        <f t="shared" ca="1" si="246"/>
        <v>480.12308731511553</v>
      </c>
      <c r="CE82" s="302">
        <f t="shared" ca="1" si="247"/>
        <v>33.850000252202157</v>
      </c>
      <c r="CF82" s="299">
        <f t="shared" ca="1" si="248"/>
        <v>24.129999340549102</v>
      </c>
      <c r="CG82" s="299">
        <f t="shared" ca="1" si="249"/>
        <v>27.100000201910735</v>
      </c>
      <c r="CH82" s="299">
        <f t="shared" ca="1" si="250"/>
        <v>31.429000122266515</v>
      </c>
      <c r="CI82" s="299">
        <f t="shared" ca="1" si="251"/>
        <v>20.499998398125143</v>
      </c>
      <c r="CJ82" s="299">
        <f t="shared" ca="1" si="252"/>
        <v>27.785999547552723</v>
      </c>
      <c r="CK82" s="299">
        <f t="shared" ca="1" si="253"/>
        <v>32.659889647739881</v>
      </c>
      <c r="CL82" s="377">
        <f t="shared" ca="1" si="254"/>
        <v>0.32272773890624989</v>
      </c>
      <c r="CM82" s="305">
        <f t="shared" ca="1" si="255"/>
        <v>0.32272773890624989</v>
      </c>
      <c r="CN82" s="305">
        <f t="shared" ca="1" si="256"/>
        <v>0.32272773890624989</v>
      </c>
      <c r="CO82" s="305">
        <f t="shared" ca="1" si="257"/>
        <v>0.32272773890624989</v>
      </c>
      <c r="CP82" s="305">
        <f t="shared" ca="1" si="258"/>
        <v>0.10847049561599997</v>
      </c>
      <c r="CQ82" s="305">
        <f t="shared" ca="1" si="259"/>
        <v>0.26726992304792324</v>
      </c>
      <c r="CR82" s="775">
        <f t="shared" ca="1" si="260"/>
        <v>0.32272773890624989</v>
      </c>
      <c r="CS82" s="305">
        <f t="shared" ca="1" si="261"/>
        <v>0.36272773890624987</v>
      </c>
      <c r="CT82" s="305">
        <f t="shared" ca="1" si="262"/>
        <v>0.34022773890624991</v>
      </c>
      <c r="CU82" s="305">
        <f t="shared" ca="1" si="263"/>
        <v>0.16847049561599997</v>
      </c>
      <c r="CV82" s="770">
        <f t="shared" ca="1" si="264"/>
        <v>0.28226992304792325</v>
      </c>
      <c r="CW82" s="302">
        <f t="shared" ca="1" si="265"/>
        <v>10.412345949889184</v>
      </c>
      <c r="CX82" s="299">
        <f t="shared" ca="1" si="266"/>
        <v>5.6351104124348899</v>
      </c>
      <c r="CY82" s="299">
        <f t="shared" ca="1" si="267"/>
        <v>6.7235297048954994</v>
      </c>
      <c r="CZ82" s="299">
        <f t="shared" ca="1" si="268"/>
        <v>0.59128467826057429</v>
      </c>
      <c r="DA82" s="774">
        <f t="shared" ca="1" si="269"/>
        <v>5.6250331180037136</v>
      </c>
      <c r="DB82" s="303">
        <f t="shared" ca="1" si="270"/>
        <v>2700.7082668657135</v>
      </c>
      <c r="DC82" s="248">
        <f t="shared" ca="1" si="271"/>
        <v>256.67985374251919</v>
      </c>
      <c r="DD82" s="778">
        <f t="shared" ca="1" si="272"/>
        <v>0</v>
      </c>
      <c r="DE82" s="363">
        <f t="shared" ca="1" si="273"/>
        <v>0.66683762127099377</v>
      </c>
      <c r="DF82" s="378">
        <f t="shared" ca="1" si="274"/>
        <v>-0.33115609781265537</v>
      </c>
      <c r="DG82" s="508">
        <f t="shared" ca="1" si="275"/>
        <v>-0.78116491283549516</v>
      </c>
      <c r="DH82" s="508">
        <f t="shared" ca="1" si="276"/>
        <v>-0.63283752898231327</v>
      </c>
      <c r="DI82" s="508">
        <f t="shared" ca="1" si="277"/>
        <v>-1.3762705135759903</v>
      </c>
      <c r="DJ82" s="508">
        <f t="shared" ca="1" si="278"/>
        <v>-0.5751323612092708</v>
      </c>
      <c r="DK82" s="353">
        <f t="shared" ca="1" si="279"/>
        <v>-135.68319186972718</v>
      </c>
      <c r="DL82" s="781">
        <f t="shared" ca="1" si="280"/>
        <v>7.5086403319846555</v>
      </c>
      <c r="DM82" s="303">
        <f t="shared" ca="1" si="281"/>
        <v>9859.960855334275</v>
      </c>
      <c r="DN82" s="508">
        <f t="shared" ca="1" si="282"/>
        <v>1.1877856695753788</v>
      </c>
      <c r="DO82" s="508">
        <f t="shared" ca="1" si="283"/>
        <v>1.043446023750545</v>
      </c>
      <c r="DP82" s="508">
        <f t="shared" ca="1" si="284"/>
        <v>1.0929452094607255</v>
      </c>
      <c r="DQ82" s="508">
        <f t="shared" ca="1" si="285"/>
        <v>0.97392456343461464</v>
      </c>
      <c r="DR82" s="508">
        <f t="shared" ca="1" si="286"/>
        <v>1.1036053593054695</v>
      </c>
      <c r="DS82" s="353">
        <f t="shared" ca="1" si="287"/>
        <v>6789.0712899847176</v>
      </c>
      <c r="DT82" s="353">
        <f t="shared" ca="1" si="288"/>
        <v>-9302.3713017666705</v>
      </c>
      <c r="DU82" s="380">
        <f t="shared" ref="DU82:DU145" ca="1" si="388">(A82+IF(CVolType=2,0,14)-DateToday)/365.25</f>
        <v>5.5003422313483918</v>
      </c>
      <c r="DV82" s="303">
        <f t="shared" ca="1" si="289"/>
        <v>224.0574407470539</v>
      </c>
      <c r="DW82" s="303">
        <f t="shared" ca="1" si="290"/>
        <v>42.677607761343602</v>
      </c>
      <c r="DX82" s="303">
        <f t="shared" ca="1" si="291"/>
        <v>53.347009701679504</v>
      </c>
      <c r="DY82" s="303">
        <f t="shared" ca="1" si="292"/>
        <v>320.08205821007698</v>
      </c>
      <c r="DZ82" s="303">
        <f t="shared" ca="1" si="293"/>
        <v>160.04102910503852</v>
      </c>
      <c r="EA82" s="303">
        <f t="shared" ca="1" si="294"/>
        <v>480.12308731511553</v>
      </c>
      <c r="EB82" s="302">
        <f t="shared" ca="1" si="295"/>
        <v>33.850000252202157</v>
      </c>
      <c r="EC82" s="299">
        <f t="shared" ca="1" si="296"/>
        <v>24.129999340549102</v>
      </c>
      <c r="ED82" s="299">
        <f t="shared" ca="1" si="297"/>
        <v>27.100000201910735</v>
      </c>
      <c r="EE82" s="299">
        <f t="shared" ca="1" si="298"/>
        <v>31.429000122266515</v>
      </c>
      <c r="EF82" s="299">
        <f t="shared" ca="1" si="299"/>
        <v>20.499998398125143</v>
      </c>
      <c r="EG82" s="299">
        <f t="shared" ca="1" si="300"/>
        <v>27.785999547552723</v>
      </c>
      <c r="EH82" s="302">
        <f t="shared" ca="1" si="301"/>
        <v>30</v>
      </c>
      <c r="EI82" s="304">
        <f t="shared" ca="1" si="302"/>
        <v>0.10757591296874996</v>
      </c>
      <c r="EJ82" s="305">
        <f t="shared" ca="1" si="303"/>
        <v>0.10757591296874996</v>
      </c>
      <c r="EK82" s="305">
        <f t="shared" ca="1" si="304"/>
        <v>0.10757591296874996</v>
      </c>
      <c r="EL82" s="305">
        <f t="shared" ca="1" si="305"/>
        <v>0.10757591296875001</v>
      </c>
      <c r="EM82" s="305">
        <f t="shared" ca="1" si="306"/>
        <v>3.6156831871999993E-2</v>
      </c>
      <c r="EN82" s="305">
        <f t="shared" ca="1" si="307"/>
        <v>8.6281159503900598E-2</v>
      </c>
      <c r="EO82" s="305">
        <f t="shared" ca="1" si="308"/>
        <v>0.10757591296874996</v>
      </c>
      <c r="EP82" s="305">
        <f t="shared" ca="1" si="309"/>
        <v>0.10757591296874996</v>
      </c>
      <c r="EQ82" s="305">
        <f t="shared" ca="1" si="310"/>
        <v>0.10757591296874996</v>
      </c>
      <c r="ER82" s="305">
        <f t="shared" ca="1" si="311"/>
        <v>3.6156831871999993E-2</v>
      </c>
      <c r="ES82" s="305">
        <f t="shared" ca="1" si="312"/>
        <v>8.6281159503900598E-2</v>
      </c>
      <c r="ET82" s="299">
        <f t="shared" ca="1" si="313"/>
        <v>3.599966390058146</v>
      </c>
      <c r="EU82" s="302">
        <f t="shared" ca="1" si="314"/>
        <v>30</v>
      </c>
      <c r="EV82" s="304">
        <f t="shared" ca="1" si="315"/>
        <v>0.32272773890624989</v>
      </c>
      <c r="EW82" s="305">
        <f t="shared" ca="1" si="316"/>
        <v>0.32272773890624989</v>
      </c>
      <c r="EX82" s="305">
        <f t="shared" ca="1" si="317"/>
        <v>0.32272773890624989</v>
      </c>
      <c r="EY82" s="305">
        <f t="shared" ca="1" si="318"/>
        <v>0.32272773890624989</v>
      </c>
      <c r="EZ82" s="305">
        <f t="shared" ca="1" si="319"/>
        <v>0.10847049561599997</v>
      </c>
      <c r="FA82" s="305">
        <f t="shared" ca="1" si="320"/>
        <v>0.26726992304792324</v>
      </c>
      <c r="FB82" s="305">
        <f t="shared" ca="1" si="321"/>
        <v>0.32272773890624989</v>
      </c>
      <c r="FC82" s="305">
        <f t="shared" ca="1" si="322"/>
        <v>0.32272773890624989</v>
      </c>
      <c r="FD82" s="305">
        <f t="shared" ca="1" si="323"/>
        <v>0.32272773890624989</v>
      </c>
      <c r="FE82" s="305">
        <f t="shared" ca="1" si="324"/>
        <v>0.10847049561599997</v>
      </c>
      <c r="FF82" s="305">
        <f t="shared" ca="1" si="325"/>
        <v>0.26726992304792324</v>
      </c>
      <c r="FG82" s="299">
        <f t="shared" ca="1" si="326"/>
        <v>6.0529548860524702</v>
      </c>
      <c r="FH82" s="302">
        <f t="shared" ca="1" si="327"/>
        <v>-2.4529884959943242</v>
      </c>
      <c r="FI82" s="248">
        <f t="shared" ca="1" si="328"/>
        <v>-1177.7364098452567</v>
      </c>
      <c r="FJ82" s="363">
        <f t="shared" ca="1" si="329"/>
        <v>0.66683762127099377</v>
      </c>
      <c r="FK82" s="378">
        <f t="shared" ca="1" si="330"/>
        <v>0.35242395411519778</v>
      </c>
      <c r="FL82" s="508">
        <f t="shared" ca="1" si="331"/>
        <v>-0.98918875338909884</v>
      </c>
      <c r="FM82" s="508">
        <f t="shared" ca="1" si="332"/>
        <v>-0.52910215569517649</v>
      </c>
      <c r="FN82" s="508">
        <f t="shared" ca="1" si="333"/>
        <v>-4.5327514458600024</v>
      </c>
      <c r="FO82" s="508">
        <f t="shared" ca="1" si="334"/>
        <v>-0.48004386721085512</v>
      </c>
      <c r="FP82" s="353">
        <f t="shared" ca="1" si="335"/>
        <v>328.59715068865</v>
      </c>
      <c r="FQ82" s="356">
        <f t="shared" ca="1" si="336"/>
        <v>28.11841823389474</v>
      </c>
      <c r="FR82" s="380">
        <f t="shared" ca="1" si="337"/>
        <v>22.212</v>
      </c>
      <c r="FS82" s="299">
        <f t="shared" ca="1" si="338"/>
        <v>22.212</v>
      </c>
      <c r="FT82" s="299">
        <f t="shared" ca="1" si="339"/>
        <v>22.212</v>
      </c>
      <c r="FU82" s="299">
        <f t="shared" ca="1" si="340"/>
        <v>22.212</v>
      </c>
      <c r="FV82" s="299">
        <f t="shared" ca="1" si="341"/>
        <v>22.212</v>
      </c>
      <c r="FW82" s="850">
        <f t="shared" ca="1" si="342"/>
        <v>0.1673</v>
      </c>
      <c r="FX82" s="851">
        <f t="shared" ca="1" si="343"/>
        <v>0.5</v>
      </c>
      <c r="FY82" s="851">
        <f t="shared" ca="1" si="344"/>
        <v>0</v>
      </c>
      <c r="FZ82" s="201">
        <f t="shared" ca="1" si="345"/>
        <v>0</v>
      </c>
      <c r="GA82" s="201">
        <f t="shared" ca="1" si="346"/>
        <v>0</v>
      </c>
      <c r="GB82" s="201">
        <f t="shared" ca="1" si="347"/>
        <v>0</v>
      </c>
      <c r="GC82" s="201">
        <f t="shared" ca="1" si="348"/>
        <v>0</v>
      </c>
      <c r="GD82" s="850">
        <f t="shared" ca="1" si="349"/>
        <v>0.33772773890624991</v>
      </c>
      <c r="GE82" s="866">
        <f t="shared" ca="1" si="350"/>
        <v>0.3252277389062499</v>
      </c>
      <c r="GF82" s="866">
        <f t="shared" ca="1" si="351"/>
        <v>0.33772773890624991</v>
      </c>
      <c r="GG82" s="866">
        <f t="shared" ca="1" si="352"/>
        <v>0.10847049561599997</v>
      </c>
      <c r="GH82" s="866">
        <f t="shared" ca="1" si="353"/>
        <v>0.28226992304792325</v>
      </c>
      <c r="GI82" s="302">
        <f t="shared" ca="1" si="354"/>
        <v>14.641065103816027</v>
      </c>
      <c r="GJ82" s="299">
        <f t="shared" ca="1" si="355"/>
        <v>7.0020843398582109</v>
      </c>
      <c r="GK82" s="299">
        <f t="shared" ca="1" si="356"/>
        <v>9.3258340166368416</v>
      </c>
      <c r="GL82" s="299">
        <f t="shared" ca="1" si="357"/>
        <v>2.1446284638348052</v>
      </c>
      <c r="GM82" s="299">
        <f t="shared" ca="1" si="358"/>
        <v>8.8673378467717328</v>
      </c>
      <c r="GN82" s="302">
        <f t="shared" ca="1" si="359"/>
        <v>0.83075816740770025</v>
      </c>
      <c r="GO82" s="299">
        <f t="shared" ca="1" si="360"/>
        <v>0.67569432394972129</v>
      </c>
      <c r="GP82" s="299">
        <f t="shared" ca="1" si="361"/>
        <v>0.7366137640511552</v>
      </c>
      <c r="GQ82" s="299">
        <f t="shared" ca="1" si="362"/>
        <v>0.47596561333427023</v>
      </c>
      <c r="GR82" s="299">
        <f t="shared" ca="1" si="363"/>
        <v>0.75067426038698504</v>
      </c>
      <c r="GS82" s="302">
        <f t="shared" ca="1" si="364"/>
        <v>-0.60688376368691133</v>
      </c>
      <c r="GT82" s="299">
        <f t="shared" ca="1" si="365"/>
        <v>-0.41880162841511864</v>
      </c>
      <c r="GU82" s="299">
        <f t="shared" ca="1" si="366"/>
        <v>-0.47885832163191577</v>
      </c>
      <c r="GV82" s="299">
        <f t="shared" ca="1" si="367"/>
        <v>-0.34272758101395462</v>
      </c>
      <c r="GW82" s="299">
        <f t="shared" ca="1" si="368"/>
        <v>-0.53983878942004249</v>
      </c>
      <c r="GX82" s="303">
        <f t="shared" ca="1" si="369"/>
        <v>3280.4395769720181</v>
      </c>
      <c r="GY82" s="303">
        <f t="shared" ca="1" si="370"/>
        <v>298.83220896831529</v>
      </c>
      <c r="GZ82" s="303">
        <f t="shared" ca="1" si="371"/>
        <v>497.50535776177833</v>
      </c>
      <c r="HA82" s="303">
        <f t="shared" ca="1" si="372"/>
        <v>343.22854640008012</v>
      </c>
      <c r="HB82" s="303">
        <f t="shared" ca="1" si="373"/>
        <v>4257.4136232582132</v>
      </c>
      <c r="HC82" s="303">
        <f t="shared" ca="1" si="374"/>
        <v>2607.5805519219834</v>
      </c>
      <c r="HD82" s="303">
        <f t="shared" ca="1" si="375"/>
        <v>81.855623542470255</v>
      </c>
      <c r="HE82" s="303">
        <f t="shared" ca="1" si="376"/>
        <v>260.76019419314338</v>
      </c>
      <c r="HF82" s="303">
        <f t="shared" ca="1" si="377"/>
        <v>0</v>
      </c>
      <c r="HG82" s="852">
        <f t="shared" ca="1" si="378"/>
        <v>2676.2058714640707</v>
      </c>
    </row>
    <row r="83" spans="1:215" x14ac:dyDescent="0.25">
      <c r="A83" s="244">
        <f t="shared" ca="1" si="379"/>
        <v>38626</v>
      </c>
      <c r="B83" s="13">
        <f t="shared" ca="1" si="207"/>
        <v>2005</v>
      </c>
      <c r="C83" s="619">
        <f t="shared" ca="1" si="208"/>
        <v>10</v>
      </c>
      <c r="D83" s="195" t="str">
        <f t="shared" ca="1" si="209"/>
        <v/>
      </c>
      <c r="E83" s="469">
        <f t="shared" ca="1" si="210"/>
        <v>38626</v>
      </c>
      <c r="F83" s="465">
        <f t="shared" ca="1" si="211"/>
        <v>38656</v>
      </c>
      <c r="G83" s="522">
        <f t="shared" ca="1" si="380"/>
        <v>1</v>
      </c>
      <c r="H83" s="519">
        <f t="shared" ca="1" si="381"/>
        <v>1</v>
      </c>
      <c r="I83" s="724">
        <f t="shared" ca="1" si="212"/>
        <v>7.3248341413929996E-2</v>
      </c>
      <c r="J83" s="198">
        <f t="shared" ca="1" si="213"/>
        <v>0.66269187746322022</v>
      </c>
      <c r="K83" s="200">
        <f t="shared" ref="K83:K146" ca="1" si="389">VLOOKUP(A83,PriceTable,2,0)+IF(BasisNumber&lt;&gt;1,VLOOKUP(A83,BasisTable,2,0),0)</f>
        <v>29.55</v>
      </c>
      <c r="L83" s="201">
        <f t="shared" ref="L83:L146" ca="1" si="390">VLOOKUP(A83,PriceTable,3,0)+IF(BasisNumber&lt;&gt;1,VLOOKUP(A83,BasisTable,2,0),0)</f>
        <v>30.5</v>
      </c>
      <c r="M83" s="206">
        <f t="shared" ref="M83:M146" ca="1" si="391">VLOOKUP(A83,PriceTable,4,0)+IF(BasisNumber&lt;&gt;1,VLOOKUP(A83,BasisTable,2,0),0)</f>
        <v>31.45</v>
      </c>
      <c r="N83" s="851">
        <f t="shared" ca="1" si="196"/>
        <v>22.688000106811522</v>
      </c>
      <c r="O83" s="201">
        <f t="shared" ca="1" si="197"/>
        <v>23.400500106811521</v>
      </c>
      <c r="P83" s="206">
        <f t="shared" ca="1" si="198"/>
        <v>24.113000106811519</v>
      </c>
      <c r="Q83" s="201">
        <f t="shared" ca="1" si="199"/>
        <v>18.100999832153317</v>
      </c>
      <c r="R83" s="201">
        <f t="shared" ca="1" si="200"/>
        <v>21.400999832153317</v>
      </c>
      <c r="S83" s="201">
        <f t="shared" ca="1" si="201"/>
        <v>24.700999832153318</v>
      </c>
      <c r="T83" s="851">
        <f t="shared" ref="T83:T146" ca="1" si="392">VLOOKUP(A83,PriceTable,6,0)+IF(BasisNumber&lt;&gt;1,VLOOKUP(A83,BasisTable,3,0),0)</f>
        <v>19.174998855590818</v>
      </c>
      <c r="U83" s="201">
        <f t="shared" ref="U83:U146" ca="1" si="393">VLOOKUP(A83,PriceTable,7,0)+IF(BasisNumber&lt;&gt;1,VLOOKUP(A83,BasisTable,3,0),0)</f>
        <v>19.64999885559082</v>
      </c>
      <c r="V83" s="206">
        <f t="shared" ref="V83:V146" ca="1" si="394">VLOOKUP(A83,PriceTable,8,0)+IF(BasisNumber&lt;&gt;1,VLOOKUP(A83,BasisTable,3,0),0)</f>
        <v>20.124998855590821</v>
      </c>
      <c r="W83" s="230">
        <f t="shared" ca="1" si="382"/>
        <v>9.7862925937499998E-2</v>
      </c>
      <c r="X83" s="231">
        <f t="shared" ca="1" si="383"/>
        <v>0.195725851875</v>
      </c>
      <c r="Y83" s="232">
        <f t="shared" ca="1" si="384"/>
        <v>0.29358877781249998</v>
      </c>
      <c r="Z83" s="231">
        <f t="shared" ca="1" si="202"/>
        <v>9.7862925937499998E-2</v>
      </c>
      <c r="AA83" s="231">
        <f t="shared" ca="1" si="203"/>
        <v>0.195725851875</v>
      </c>
      <c r="AB83" s="232">
        <f t="shared" ca="1" si="204"/>
        <v>0.29358877781249998</v>
      </c>
      <c r="AC83" s="231">
        <f t="shared" ca="1" si="205"/>
        <v>9.7862925937499998E-2</v>
      </c>
      <c r="AD83" s="231">
        <f t="shared" ca="1" si="206"/>
        <v>0.195725851875</v>
      </c>
      <c r="AE83" s="232">
        <f t="shared" ca="1" si="214"/>
        <v>0.29358877781249998</v>
      </c>
      <c r="AF83" s="231">
        <f t="shared" ca="1" si="385"/>
        <v>2.7117623903999997E-2</v>
      </c>
      <c r="AG83" s="231">
        <f t="shared" ca="1" si="386"/>
        <v>5.4235247807999994E-2</v>
      </c>
      <c r="AH83" s="232">
        <f t="shared" ca="1" si="387"/>
        <v>8.1352871711999994E-2</v>
      </c>
      <c r="AI83" s="233">
        <f t="shared" ca="1" si="215"/>
        <v>0.85000000000000009</v>
      </c>
      <c r="AJ83" s="233">
        <f t="shared" ca="1" si="216"/>
        <v>1.1000000000000001</v>
      </c>
      <c r="AK83" s="234">
        <f t="shared" ca="1" si="217"/>
        <v>1.4000000000000001</v>
      </c>
      <c r="AL83" s="919">
        <f t="shared" ca="1" si="218"/>
        <v>0.85000000000000009</v>
      </c>
      <c r="AM83" s="233">
        <f t="shared" ca="1" si="219"/>
        <v>1.1000000000000001</v>
      </c>
      <c r="AN83" s="234">
        <f t="shared" ca="1" si="220"/>
        <v>1.4000000000000001</v>
      </c>
      <c r="AO83" s="233">
        <f t="shared" ca="1" si="221"/>
        <v>0.85000000000000009</v>
      </c>
      <c r="AP83" s="233">
        <f t="shared" ca="1" si="222"/>
        <v>1.1000000000000001</v>
      </c>
      <c r="AQ83" s="233">
        <f t="shared" ca="1" si="223"/>
        <v>1.4000000000000001</v>
      </c>
      <c r="AR83" s="919">
        <f t="shared" ca="1" si="224"/>
        <v>0.19999999999999998</v>
      </c>
      <c r="AS83" s="233">
        <f t="shared" ca="1" si="225"/>
        <v>0.35</v>
      </c>
      <c r="AT83" s="235">
        <f t="shared" ca="1" si="226"/>
        <v>0.55000000000000004</v>
      </c>
      <c r="AU83" s="946">
        <f t="shared" si="227"/>
        <v>0.5</v>
      </c>
      <c r="AV83" s="13">
        <f t="shared" ca="1" si="228"/>
        <v>21</v>
      </c>
      <c r="AW83" s="210">
        <f t="shared" ca="1" si="229"/>
        <v>5</v>
      </c>
      <c r="AX83" s="210">
        <f t="shared" ca="1" si="230"/>
        <v>5</v>
      </c>
      <c r="AY83" s="210">
        <f t="shared" ca="1" si="231"/>
        <v>0</v>
      </c>
      <c r="AZ83" s="13">
        <f t="shared" ca="1" si="232"/>
        <v>31</v>
      </c>
      <c r="BA83" s="357">
        <f ca="1"/>
        <v>336</v>
      </c>
      <c r="BB83" s="925">
        <f ca="1"/>
        <v>80</v>
      </c>
      <c r="BC83" s="925">
        <f ca="1"/>
        <v>80</v>
      </c>
      <c r="BD83" s="928">
        <f ca="1"/>
        <v>248</v>
      </c>
      <c r="BE83" s="200">
        <f ca="1"/>
        <v>1.0000187270343304</v>
      </c>
      <c r="BF83" s="851">
        <f ca="1"/>
        <v>1.0000187270343304</v>
      </c>
      <c r="BG83" s="851">
        <f ca="1"/>
        <v>1.0000187270343304</v>
      </c>
      <c r="BH83" s="933">
        <f ca="1"/>
        <v>1.0000000074505806</v>
      </c>
      <c r="BI83" s="357">
        <f ca="1"/>
        <v>336</v>
      </c>
      <c r="BJ83" s="925">
        <f ca="1"/>
        <v>80</v>
      </c>
      <c r="BK83" s="925">
        <f ca="1"/>
        <v>80</v>
      </c>
      <c r="BL83" s="928">
        <f ca="1"/>
        <v>248</v>
      </c>
      <c r="BM83" s="200">
        <f ca="1"/>
        <v>1.0000187270343304</v>
      </c>
      <c r="BN83" s="851">
        <f ca="1"/>
        <v>1.0000187270343304</v>
      </c>
      <c r="BO83" s="851">
        <f ca="1"/>
        <v>1.0000187270343304</v>
      </c>
      <c r="BP83" s="933">
        <f ca="1"/>
        <v>1.0000000074505806</v>
      </c>
      <c r="BQ83" s="357">
        <f t="shared" ca="1" si="233"/>
        <v>744</v>
      </c>
      <c r="BR83" s="361">
        <f t="shared" ca="1" si="234"/>
        <v>744</v>
      </c>
      <c r="BS83" s="357">
        <f t="shared" ca="1" si="235"/>
        <v>493.04275683263586</v>
      </c>
      <c r="BT83" s="302">
        <f t="shared" ca="1" si="236"/>
        <v>24.123073645527999</v>
      </c>
      <c r="BU83" s="299">
        <f t="shared" ca="1" si="237"/>
        <v>25.141906965319741</v>
      </c>
      <c r="BV83" s="299">
        <f t="shared" ca="1" si="238"/>
        <v>26.160740285111487</v>
      </c>
      <c r="BW83" s="299">
        <f t="shared" ca="1" si="239"/>
        <v>32.659889647739881</v>
      </c>
      <c r="BX83" s="380">
        <f t="shared" ca="1" si="240"/>
        <v>5.5824777549623548</v>
      </c>
      <c r="BY83" s="363">
        <f t="shared" ca="1" si="241"/>
        <v>222.66447082764199</v>
      </c>
      <c r="BZ83" s="353">
        <f t="shared" ca="1" si="242"/>
        <v>53.015350197057614</v>
      </c>
      <c r="CA83" s="353">
        <f t="shared" ca="1" si="243"/>
        <v>53.015350197057614</v>
      </c>
      <c r="CB83" s="353">
        <f t="shared" ca="1" si="244"/>
        <v>328.69517122175722</v>
      </c>
      <c r="CC83" s="353">
        <f t="shared" ca="1" si="245"/>
        <v>164.34758561087861</v>
      </c>
      <c r="CD83" s="353">
        <f t="shared" ca="1" si="246"/>
        <v>493.04275683263586</v>
      </c>
      <c r="CE83" s="302">
        <f t="shared" ca="1" si="247"/>
        <v>31.450588965229688</v>
      </c>
      <c r="CF83" s="299">
        <f t="shared" ca="1" si="248"/>
        <v>24.113451671792326</v>
      </c>
      <c r="CG83" s="299">
        <f t="shared" ca="1" si="249"/>
        <v>24.701462408625169</v>
      </c>
      <c r="CH83" s="299">
        <f t="shared" ca="1" si="250"/>
        <v>29.178610924900351</v>
      </c>
      <c r="CI83" s="299">
        <f t="shared" ca="1" si="251"/>
        <v>20.124999005533748</v>
      </c>
      <c r="CJ83" s="299">
        <f t="shared" ca="1" si="252"/>
        <v>26.16074028511148</v>
      </c>
      <c r="CK83" s="299">
        <f t="shared" ca="1" si="253"/>
        <v>32.659889647739881</v>
      </c>
      <c r="CL83" s="377">
        <f t="shared" ca="1" si="254"/>
        <v>0.29358877781249998</v>
      </c>
      <c r="CM83" s="305">
        <f t="shared" ca="1" si="255"/>
        <v>0.29358877781249998</v>
      </c>
      <c r="CN83" s="305">
        <f t="shared" ca="1" si="256"/>
        <v>0.29358877781249998</v>
      </c>
      <c r="CO83" s="305">
        <f t="shared" ca="1" si="257"/>
        <v>0.29358877781249998</v>
      </c>
      <c r="CP83" s="305">
        <f t="shared" ca="1" si="258"/>
        <v>8.1352871711999994E-2</v>
      </c>
      <c r="CQ83" s="305">
        <f t="shared" ca="1" si="259"/>
        <v>0.23759394038245413</v>
      </c>
      <c r="CR83" s="775">
        <f t="shared" ca="1" si="260"/>
        <v>0.29358877781249998</v>
      </c>
      <c r="CS83" s="305">
        <f t="shared" ca="1" si="261"/>
        <v>0.33358877781249996</v>
      </c>
      <c r="CT83" s="305">
        <f t="shared" ca="1" si="262"/>
        <v>0.32858877781249995</v>
      </c>
      <c r="CU83" s="305">
        <f t="shared" ca="1" si="263"/>
        <v>0.14135287171200001</v>
      </c>
      <c r="CV83" s="770">
        <f t="shared" ca="1" si="264"/>
        <v>0.26259394038245415</v>
      </c>
      <c r="CW83" s="302">
        <f t="shared" ca="1" si="265"/>
        <v>8.1037943727434865</v>
      </c>
      <c r="CX83" s="299">
        <f t="shared" ca="1" si="266"/>
        <v>5.0255046407257691</v>
      </c>
      <c r="CY83" s="299">
        <f t="shared" ca="1" si="267"/>
        <v>5.2089143011036896</v>
      </c>
      <c r="CZ83" s="299">
        <f t="shared" ca="1" si="268"/>
        <v>0.27832702437205725</v>
      </c>
      <c r="DA83" s="774">
        <f t="shared" ca="1" si="269"/>
        <v>4.3516947566136785</v>
      </c>
      <c r="DB83" s="303">
        <f t="shared" ca="1" si="270"/>
        <v>2145.5715796949344</v>
      </c>
      <c r="DC83" s="248">
        <f t="shared" ca="1" si="271"/>
        <v>237.19905589927544</v>
      </c>
      <c r="DD83" s="778">
        <f t="shared" ca="1" si="272"/>
        <v>0</v>
      </c>
      <c r="DE83" s="363">
        <f t="shared" ca="1" si="273"/>
        <v>0.66269187746322022</v>
      </c>
      <c r="DF83" s="378">
        <f t="shared" ca="1" si="274"/>
        <v>-0.40122688231330644</v>
      </c>
      <c r="DG83" s="508">
        <f t="shared" ca="1" si="275"/>
        <v>-0.77899935486788008</v>
      </c>
      <c r="DH83" s="508">
        <f t="shared" ca="1" si="276"/>
        <v>-0.74791699886470486</v>
      </c>
      <c r="DI83" s="508">
        <f t="shared" ca="1" si="277"/>
        <v>-1.6167391680779686</v>
      </c>
      <c r="DJ83" s="508">
        <f t="shared" ca="1" si="278"/>
        <v>-0.66785005570236522</v>
      </c>
      <c r="DK83" s="353">
        <f t="shared" ca="1" si="279"/>
        <v>-124.30327005371811</v>
      </c>
      <c r="DL83" s="781">
        <f t="shared" ca="1" si="280"/>
        <v>7.7665671846004578</v>
      </c>
      <c r="DM83" s="303">
        <f t="shared" ca="1" si="281"/>
        <v>9484.2338396743817</v>
      </c>
      <c r="DN83" s="508">
        <f t="shared" ca="1" si="282"/>
        <v>1.1652748108766271</v>
      </c>
      <c r="DO83" s="508">
        <f t="shared" ca="1" si="283"/>
        <v>1.0528308176863139</v>
      </c>
      <c r="DP83" s="508">
        <f t="shared" ca="1" si="284"/>
        <v>1.0630287860473453</v>
      </c>
      <c r="DQ83" s="508">
        <f t="shared" ca="1" si="285"/>
        <v>0.97629841583537158</v>
      </c>
      <c r="DR83" s="508">
        <f t="shared" ca="1" si="286"/>
        <v>1.0873240693868638</v>
      </c>
      <c r="DS83" s="353">
        <f t="shared" ca="1" si="287"/>
        <v>6731.7953539525233</v>
      </c>
      <c r="DT83" s="353">
        <f t="shared" ca="1" si="288"/>
        <v>-9334.6965851301975</v>
      </c>
      <c r="DU83" s="380">
        <f t="shared" ca="1" si="388"/>
        <v>5.5824777549623548</v>
      </c>
      <c r="DV83" s="303">
        <f t="shared" ca="1" si="289"/>
        <v>222.66447082764199</v>
      </c>
      <c r="DW83" s="303">
        <f t="shared" ca="1" si="290"/>
        <v>53.015350197057614</v>
      </c>
      <c r="DX83" s="303">
        <f t="shared" ca="1" si="291"/>
        <v>53.015350197057614</v>
      </c>
      <c r="DY83" s="303">
        <f t="shared" ca="1" si="292"/>
        <v>328.69517122175722</v>
      </c>
      <c r="DZ83" s="303">
        <f t="shared" ca="1" si="293"/>
        <v>164.34758561087861</v>
      </c>
      <c r="EA83" s="303">
        <f t="shared" ca="1" si="294"/>
        <v>493.04275683263586</v>
      </c>
      <c r="EB83" s="302">
        <f t="shared" ca="1" si="295"/>
        <v>31.450588965229688</v>
      </c>
      <c r="EC83" s="299">
        <f t="shared" ca="1" si="296"/>
        <v>24.113451671792326</v>
      </c>
      <c r="ED83" s="299">
        <f t="shared" ca="1" si="297"/>
        <v>24.701462408625169</v>
      </c>
      <c r="EE83" s="299">
        <f t="shared" ca="1" si="298"/>
        <v>29.178610924900351</v>
      </c>
      <c r="EF83" s="299">
        <f t="shared" ca="1" si="299"/>
        <v>20.124999005533748</v>
      </c>
      <c r="EG83" s="299">
        <f t="shared" ca="1" si="300"/>
        <v>26.16074028511148</v>
      </c>
      <c r="EH83" s="302">
        <f t="shared" ca="1" si="301"/>
        <v>30</v>
      </c>
      <c r="EI83" s="304">
        <f t="shared" ca="1" si="302"/>
        <v>9.7862925937499998E-2</v>
      </c>
      <c r="EJ83" s="305">
        <f t="shared" ca="1" si="303"/>
        <v>9.7862925937499998E-2</v>
      </c>
      <c r="EK83" s="305">
        <f t="shared" ca="1" si="304"/>
        <v>9.7862925937499998E-2</v>
      </c>
      <c r="EL83" s="305">
        <f t="shared" ca="1" si="305"/>
        <v>9.7862925937500095E-2</v>
      </c>
      <c r="EM83" s="305">
        <f t="shared" ca="1" si="306"/>
        <v>2.7117623903999997E-2</v>
      </c>
      <c r="EN83" s="305">
        <f t="shared" ca="1" si="307"/>
        <v>7.6795199347415577E-2</v>
      </c>
      <c r="EO83" s="305">
        <f t="shared" ca="1" si="308"/>
        <v>9.7862925937499998E-2</v>
      </c>
      <c r="EP83" s="305">
        <f t="shared" ca="1" si="309"/>
        <v>9.7862925937499998E-2</v>
      </c>
      <c r="EQ83" s="305">
        <f t="shared" ca="1" si="310"/>
        <v>9.7862925937499998E-2</v>
      </c>
      <c r="ER83" s="305">
        <f t="shared" ca="1" si="311"/>
        <v>2.7117623903999997E-2</v>
      </c>
      <c r="ES83" s="305">
        <f t="shared" ca="1" si="312"/>
        <v>7.6795199347415577E-2</v>
      </c>
      <c r="ET83" s="299">
        <f t="shared" ca="1" si="313"/>
        <v>4.4990291447823978</v>
      </c>
      <c r="EU83" s="302">
        <f t="shared" ca="1" si="314"/>
        <v>30</v>
      </c>
      <c r="EV83" s="304">
        <f t="shared" ca="1" si="315"/>
        <v>0.29358877781249998</v>
      </c>
      <c r="EW83" s="305">
        <f t="shared" ca="1" si="316"/>
        <v>0.29358877781249998</v>
      </c>
      <c r="EX83" s="305">
        <f t="shared" ca="1" si="317"/>
        <v>0.29358877781249998</v>
      </c>
      <c r="EY83" s="305">
        <f t="shared" ca="1" si="318"/>
        <v>0.29358877781249998</v>
      </c>
      <c r="EZ83" s="305">
        <f t="shared" ca="1" si="319"/>
        <v>8.1352871711999994E-2</v>
      </c>
      <c r="FA83" s="305">
        <f t="shared" ca="1" si="320"/>
        <v>0.23759394038245413</v>
      </c>
      <c r="FB83" s="305">
        <f t="shared" ca="1" si="321"/>
        <v>0.29358877781249998</v>
      </c>
      <c r="FC83" s="305">
        <f t="shared" ca="1" si="322"/>
        <v>0.29358877781249998</v>
      </c>
      <c r="FD83" s="305">
        <f t="shared" ca="1" si="323"/>
        <v>0.29358877781249998</v>
      </c>
      <c r="FE83" s="305">
        <f t="shared" ca="1" si="324"/>
        <v>8.1352871711999994E-2</v>
      </c>
      <c r="FF83" s="305">
        <f t="shared" ca="1" si="325"/>
        <v>0.23759394038245413</v>
      </c>
      <c r="FG83" s="299">
        <f t="shared" ca="1" si="326"/>
        <v>4.4661160236871833</v>
      </c>
      <c r="FH83" s="302">
        <f t="shared" ca="1" si="327"/>
        <v>3.2913121095214493E-2</v>
      </c>
      <c r="FI83" s="248">
        <f t="shared" ca="1" si="328"/>
        <v>16.227575960750936</v>
      </c>
      <c r="FJ83" s="363">
        <f t="shared" ca="1" si="329"/>
        <v>0.66269187746322022</v>
      </c>
      <c r="FK83" s="378">
        <f t="shared" ca="1" si="330"/>
        <v>8.8607868593004332E-2</v>
      </c>
      <c r="FL83" s="508">
        <f t="shared" ca="1" si="331"/>
        <v>-1.0602720337185121</v>
      </c>
      <c r="FM83" s="508">
        <f t="shared" ca="1" si="332"/>
        <v>-0.95607579733469772</v>
      </c>
      <c r="FN83" s="508">
        <f t="shared" ca="1" si="333"/>
        <v>-6.2631117546722175</v>
      </c>
      <c r="FO83" s="508">
        <f t="shared" ca="1" si="334"/>
        <v>-0.84542417177700635</v>
      </c>
      <c r="FP83" s="353">
        <f t="shared" ca="1" si="335"/>
        <v>394.9583226489159</v>
      </c>
      <c r="FQ83" s="356">
        <f t="shared" ca="1" si="336"/>
        <v>25.276779799037516</v>
      </c>
      <c r="FR83" s="380">
        <f t="shared" ca="1" si="337"/>
        <v>22.42</v>
      </c>
      <c r="FS83" s="299">
        <f t="shared" ca="1" si="338"/>
        <v>22.42</v>
      </c>
      <c r="FT83" s="299">
        <f t="shared" ca="1" si="339"/>
        <v>22.42</v>
      </c>
      <c r="FU83" s="299">
        <f t="shared" ca="1" si="340"/>
        <v>22.42</v>
      </c>
      <c r="FV83" s="299">
        <f t="shared" ca="1" si="341"/>
        <v>22.42</v>
      </c>
      <c r="FW83" s="850">
        <f t="shared" ca="1" si="342"/>
        <v>0.16700000000000001</v>
      </c>
      <c r="FX83" s="851">
        <f t="shared" ca="1" si="343"/>
        <v>0.5</v>
      </c>
      <c r="FY83" s="851">
        <f t="shared" ca="1" si="344"/>
        <v>0</v>
      </c>
      <c r="FZ83" s="201">
        <f t="shared" ca="1" si="345"/>
        <v>0</v>
      </c>
      <c r="GA83" s="201">
        <f t="shared" ca="1" si="346"/>
        <v>0</v>
      </c>
      <c r="GB83" s="201">
        <f t="shared" ca="1" si="347"/>
        <v>0</v>
      </c>
      <c r="GC83" s="201">
        <f t="shared" ca="1" si="348"/>
        <v>0</v>
      </c>
      <c r="GD83" s="850">
        <f t="shared" ca="1" si="349"/>
        <v>0.30858877781249999</v>
      </c>
      <c r="GE83" s="866">
        <f t="shared" ca="1" si="350"/>
        <v>0.29608877781249998</v>
      </c>
      <c r="GF83" s="866">
        <f t="shared" ca="1" si="351"/>
        <v>0.29858877781249998</v>
      </c>
      <c r="GG83" s="866">
        <f t="shared" ca="1" si="352"/>
        <v>8.1352871711999994E-2</v>
      </c>
      <c r="GH83" s="866">
        <f t="shared" ca="1" si="353"/>
        <v>0.25009394038245414</v>
      </c>
      <c r="GI83" s="302">
        <f t="shared" ca="1" si="354"/>
        <v>12.090714510815351</v>
      </c>
      <c r="GJ83" s="299">
        <f t="shared" ca="1" si="355"/>
        <v>6.4387187376660755</v>
      </c>
      <c r="GK83" s="299">
        <f t="shared" ca="1" si="356"/>
        <v>6.8767467893848009</v>
      </c>
      <c r="GL83" s="299">
        <f t="shared" ca="1" si="357"/>
        <v>1.8800600808265038</v>
      </c>
      <c r="GM83" s="299">
        <f t="shared" ca="1" si="358"/>
        <v>7.0767730004937537</v>
      </c>
      <c r="GN83" s="302">
        <f t="shared" ca="1" si="359"/>
        <v>0.8027530702082607</v>
      </c>
      <c r="GO83" s="299">
        <f t="shared" ca="1" si="360"/>
        <v>0.66407630780906501</v>
      </c>
      <c r="GP83" s="299">
        <f t="shared" ca="1" si="361"/>
        <v>0.67883524096018288</v>
      </c>
      <c r="GQ83" s="299">
        <f t="shared" ca="1" si="362"/>
        <v>0.44230883631878515</v>
      </c>
      <c r="GR83" s="299">
        <f t="shared" ca="1" si="363"/>
        <v>0.71111904880487509</v>
      </c>
      <c r="GS83" s="302">
        <f t="shared" ca="1" si="364"/>
        <v>-0.5868128807516666</v>
      </c>
      <c r="GT83" s="299">
        <f t="shared" ca="1" si="365"/>
        <v>-0.4270498699297936</v>
      </c>
      <c r="GU83" s="299">
        <f t="shared" ca="1" si="366"/>
        <v>-0.44119006773482022</v>
      </c>
      <c r="GV83" s="299">
        <f t="shared" ca="1" si="367"/>
        <v>-0.31317589974141224</v>
      </c>
      <c r="GW83" s="299">
        <f t="shared" ca="1" si="368"/>
        <v>-0.51412269820088763</v>
      </c>
      <c r="GX83" s="303">
        <f t="shared" ca="1" si="369"/>
        <v>2692.1725484787926</v>
      </c>
      <c r="GY83" s="303">
        <f t="shared" ca="1" si="370"/>
        <v>341.3509286977237</v>
      </c>
      <c r="GZ83" s="303">
        <f t="shared" ca="1" si="371"/>
        <v>364.5731392557268</v>
      </c>
      <c r="HA83" s="303">
        <f t="shared" ca="1" si="372"/>
        <v>308.98333508722919</v>
      </c>
      <c r="HB83" s="303">
        <f t="shared" ca="1" si="373"/>
        <v>3489.1516696422045</v>
      </c>
      <c r="HC83" s="303">
        <f t="shared" ca="1" si="374"/>
        <v>2010.7913132048111</v>
      </c>
      <c r="HD83" s="303">
        <f t="shared" ca="1" si="375"/>
        <v>89.77893342186276</v>
      </c>
      <c r="HE83" s="303">
        <f t="shared" ca="1" si="376"/>
        <v>120.95252855468578</v>
      </c>
      <c r="HF83" s="303">
        <f t="shared" ca="1" si="377"/>
        <v>0</v>
      </c>
      <c r="HG83" s="852">
        <f t="shared" ca="1" si="378"/>
        <v>1844.3449027662634</v>
      </c>
    </row>
    <row r="84" spans="1:215" x14ac:dyDescent="0.25">
      <c r="A84" s="244">
        <f t="shared" ca="1" si="379"/>
        <v>38657</v>
      </c>
      <c r="B84" s="13">
        <f t="shared" ca="1" si="207"/>
        <v>2005</v>
      </c>
      <c r="C84" s="619">
        <f t="shared" ca="1" si="208"/>
        <v>11</v>
      </c>
      <c r="D84" s="195">
        <f t="shared" ca="1" si="209"/>
        <v>38680</v>
      </c>
      <c r="E84" s="469">
        <f t="shared" ca="1" si="210"/>
        <v>38657</v>
      </c>
      <c r="F84" s="465">
        <f t="shared" ca="1" si="211"/>
        <v>38686</v>
      </c>
      <c r="G84" s="522">
        <f t="shared" ca="1" si="380"/>
        <v>1</v>
      </c>
      <c r="H84" s="519">
        <f t="shared" ca="1" si="381"/>
        <v>1</v>
      </c>
      <c r="I84" s="724">
        <f t="shared" ca="1" si="212"/>
        <v>7.3273194726871008E-2</v>
      </c>
      <c r="J84" s="198">
        <f t="shared" ca="1" si="213"/>
        <v>0.65869612473466754</v>
      </c>
      <c r="K84" s="200">
        <f t="shared" ca="1" si="389"/>
        <v>29.925000000000001</v>
      </c>
      <c r="L84" s="201">
        <f t="shared" ca="1" si="390"/>
        <v>30.875</v>
      </c>
      <c r="M84" s="206">
        <f t="shared" ca="1" si="391"/>
        <v>31.824999999999999</v>
      </c>
      <c r="N84" s="851">
        <f t="shared" ref="N84:N147" ca="1" si="395">VLOOKUP(A84,BigTable,2,0)+IF(BasisNumber&lt;&gt;1,VLOOKUP(A84,BasisTable,2,0),0)</f>
        <v>23.692251586914061</v>
      </c>
      <c r="O84" s="201">
        <f t="shared" ref="O84:O147" ca="1" si="396">VLOOKUP(A84,BigTable,3,0)+IF(BasisNumber&lt;&gt;1,VLOOKUP(A84,BasisTable,2,0),0)</f>
        <v>24.40475158691406</v>
      </c>
      <c r="P84" s="206">
        <f t="shared" ref="P84:P147" ca="1" si="397">VLOOKUP(A84,BigTable,4,0)+IF(BasisNumber&lt;&gt;1,VLOOKUP(A84,BasisTable,2,0),0)</f>
        <v>25.117251586914058</v>
      </c>
      <c r="Q84" s="201">
        <f t="shared" ref="Q84:Q147" ca="1" si="398">VLOOKUP(A84,BigTable,6,0)+IF(BasisNumber&lt;&gt;1,VLOOKUP(A84,BasisTable,3,0),0)</f>
        <v>19.104499816894528</v>
      </c>
      <c r="R84" s="201">
        <f t="shared" ref="R84:R147" ca="1" si="399">VLOOKUP(A84,BigTable,7,0)+IF(BasisNumber&lt;&gt;1,VLOOKUP(A84,BasisTable,3,0),0)</f>
        <v>22.404499816894528</v>
      </c>
      <c r="S84" s="201">
        <f t="shared" ref="S84:S147" ca="1" si="400">VLOOKUP(A84,BigTable,8,0)+IF(BasisNumber&lt;&gt;1,VLOOKUP(A84,BasisTable,3,0),0)</f>
        <v>25.704499816894529</v>
      </c>
      <c r="T84" s="851">
        <f t="shared" ca="1" si="392"/>
        <v>19.099998092651365</v>
      </c>
      <c r="U84" s="201">
        <f t="shared" ca="1" si="393"/>
        <v>19.574998092651366</v>
      </c>
      <c r="V84" s="206">
        <f t="shared" ca="1" si="394"/>
        <v>20.049998092651368</v>
      </c>
      <c r="W84" s="230">
        <f t="shared" ca="1" si="382"/>
        <v>9.7862925937499998E-2</v>
      </c>
      <c r="X84" s="231">
        <f t="shared" ca="1" si="383"/>
        <v>0.195725851875</v>
      </c>
      <c r="Y84" s="232">
        <f t="shared" ca="1" si="384"/>
        <v>0.29358877781249998</v>
      </c>
      <c r="Z84" s="231">
        <f t="shared" ca="1" si="202"/>
        <v>9.7862925937499998E-2</v>
      </c>
      <c r="AA84" s="231">
        <f t="shared" ca="1" si="203"/>
        <v>0.195725851875</v>
      </c>
      <c r="AB84" s="232">
        <f t="shared" ca="1" si="204"/>
        <v>0.29358877781249998</v>
      </c>
      <c r="AC84" s="231">
        <f t="shared" ca="1" si="205"/>
        <v>9.7862925937499998E-2</v>
      </c>
      <c r="AD84" s="231">
        <f t="shared" ca="1" si="206"/>
        <v>0.195725851875</v>
      </c>
      <c r="AE84" s="232">
        <f t="shared" ca="1" si="214"/>
        <v>0.29358877781249998</v>
      </c>
      <c r="AF84" s="231">
        <f t="shared" ca="1" si="385"/>
        <v>2.7117623903999997E-2</v>
      </c>
      <c r="AG84" s="231">
        <f t="shared" ca="1" si="386"/>
        <v>5.4235247807999994E-2</v>
      </c>
      <c r="AH84" s="232">
        <f t="shared" ca="1" si="387"/>
        <v>8.1352871711999994E-2</v>
      </c>
      <c r="AI84" s="233">
        <f t="shared" ca="1" si="215"/>
        <v>1</v>
      </c>
      <c r="AJ84" s="233">
        <f t="shared" ca="1" si="216"/>
        <v>1.25</v>
      </c>
      <c r="AK84" s="234">
        <f t="shared" ca="1" si="217"/>
        <v>1.55</v>
      </c>
      <c r="AL84" s="919">
        <f t="shared" ca="1" si="218"/>
        <v>1</v>
      </c>
      <c r="AM84" s="233">
        <f t="shared" ca="1" si="219"/>
        <v>1.25</v>
      </c>
      <c r="AN84" s="234">
        <f t="shared" ca="1" si="220"/>
        <v>1.55</v>
      </c>
      <c r="AO84" s="233">
        <f t="shared" ca="1" si="221"/>
        <v>1</v>
      </c>
      <c r="AP84" s="233">
        <f t="shared" ca="1" si="222"/>
        <v>1.25</v>
      </c>
      <c r="AQ84" s="233">
        <f t="shared" ca="1" si="223"/>
        <v>1.55</v>
      </c>
      <c r="AR84" s="919">
        <f t="shared" ca="1" si="224"/>
        <v>0.15</v>
      </c>
      <c r="AS84" s="233">
        <f t="shared" ca="1" si="225"/>
        <v>0.3</v>
      </c>
      <c r="AT84" s="235">
        <f t="shared" ca="1" si="226"/>
        <v>0.5</v>
      </c>
      <c r="AU84" s="946">
        <f t="shared" si="227"/>
        <v>0.5</v>
      </c>
      <c r="AV84" s="13">
        <f t="shared" ca="1" si="228"/>
        <v>21</v>
      </c>
      <c r="AW84" s="210">
        <f t="shared" ca="1" si="229"/>
        <v>4</v>
      </c>
      <c r="AX84" s="210">
        <f t="shared" ca="1" si="230"/>
        <v>4</v>
      </c>
      <c r="AY84" s="210">
        <f t="shared" ca="1" si="231"/>
        <v>1</v>
      </c>
      <c r="AZ84" s="13">
        <f t="shared" ca="1" si="232"/>
        <v>30</v>
      </c>
      <c r="BA84" s="357">
        <f ca="1"/>
        <v>336</v>
      </c>
      <c r="BB84" s="925">
        <f ca="1"/>
        <v>64</v>
      </c>
      <c r="BC84" s="925">
        <f ca="1"/>
        <v>80</v>
      </c>
      <c r="BD84" s="928">
        <f ca="1"/>
        <v>240</v>
      </c>
      <c r="BE84" s="200">
        <f ca="1"/>
        <v>0.99996249377727509</v>
      </c>
      <c r="BF84" s="851">
        <f ca="1"/>
        <v>0.99996249377727509</v>
      </c>
      <c r="BG84" s="851">
        <f ca="1"/>
        <v>0.99996249377727509</v>
      </c>
      <c r="BH84" s="933">
        <f ca="1"/>
        <v>1.0000000074505806</v>
      </c>
      <c r="BI84" s="357">
        <f ca="1"/>
        <v>336</v>
      </c>
      <c r="BJ84" s="925">
        <f ca="1"/>
        <v>64</v>
      </c>
      <c r="BK84" s="925">
        <f ca="1"/>
        <v>80</v>
      </c>
      <c r="BL84" s="928">
        <f ca="1"/>
        <v>240</v>
      </c>
      <c r="BM84" s="200">
        <f ca="1"/>
        <v>0.99996249377727509</v>
      </c>
      <c r="BN84" s="851">
        <f ca="1"/>
        <v>0.99996249377727509</v>
      </c>
      <c r="BO84" s="851">
        <f ca="1"/>
        <v>0.99996249377727509</v>
      </c>
      <c r="BP84" s="933">
        <f ca="1"/>
        <v>1.0000000074505806</v>
      </c>
      <c r="BQ84" s="357">
        <f t="shared" ca="1" si="233"/>
        <v>720</v>
      </c>
      <c r="BR84" s="361">
        <f t="shared" ca="1" si="234"/>
        <v>720</v>
      </c>
      <c r="BS84" s="357">
        <f t="shared" ca="1" si="235"/>
        <v>474.26120980896064</v>
      </c>
      <c r="BT84" s="302">
        <f t="shared" ca="1" si="236"/>
        <v>24.559683822064205</v>
      </c>
      <c r="BU84" s="299">
        <f t="shared" ca="1" si="237"/>
        <v>25.591317734476029</v>
      </c>
      <c r="BV84" s="299">
        <f t="shared" ca="1" si="238"/>
        <v>26.622951646887859</v>
      </c>
      <c r="BW84" s="299">
        <f t="shared" ca="1" si="239"/>
        <v>32.659889647739881</v>
      </c>
      <c r="BX84" s="380">
        <f t="shared" ca="1" si="240"/>
        <v>5.6673511293634498</v>
      </c>
      <c r="BY84" s="363">
        <f t="shared" ca="1" si="241"/>
        <v>221.32189791084829</v>
      </c>
      <c r="BZ84" s="353">
        <f t="shared" ca="1" si="242"/>
        <v>42.156551983018723</v>
      </c>
      <c r="CA84" s="353">
        <f t="shared" ca="1" si="243"/>
        <v>52.695689978773402</v>
      </c>
      <c r="CB84" s="353">
        <f t="shared" ca="1" si="244"/>
        <v>316.17413987264047</v>
      </c>
      <c r="CC84" s="353">
        <f t="shared" ca="1" si="245"/>
        <v>158.0870699363202</v>
      </c>
      <c r="CD84" s="353">
        <f t="shared" ca="1" si="246"/>
        <v>474.26120980896064</v>
      </c>
      <c r="CE84" s="302">
        <f t="shared" ca="1" si="247"/>
        <v>31.823806364461777</v>
      </c>
      <c r="CF84" s="299">
        <f t="shared" ca="1" si="248"/>
        <v>25.1163095336818</v>
      </c>
      <c r="CG84" s="299">
        <f t="shared" ca="1" si="249"/>
        <v>25.703535738199363</v>
      </c>
      <c r="CH84" s="299">
        <f t="shared" ca="1" si="250"/>
        <v>29.909428349314041</v>
      </c>
      <c r="CI84" s="299">
        <f t="shared" ca="1" si="251"/>
        <v>20.049998242035496</v>
      </c>
      <c r="CJ84" s="299">
        <f t="shared" ca="1" si="252"/>
        <v>26.622951646887863</v>
      </c>
      <c r="CK84" s="299">
        <f t="shared" ca="1" si="253"/>
        <v>32.659889647739881</v>
      </c>
      <c r="CL84" s="377">
        <f t="shared" ca="1" si="254"/>
        <v>0.29358877781249998</v>
      </c>
      <c r="CM84" s="305">
        <f t="shared" ca="1" si="255"/>
        <v>0.29358877781249998</v>
      </c>
      <c r="CN84" s="305">
        <f t="shared" ca="1" si="256"/>
        <v>0.29358877781249998</v>
      </c>
      <c r="CO84" s="305">
        <f t="shared" ca="1" si="257"/>
        <v>0.29358877781250003</v>
      </c>
      <c r="CP84" s="305">
        <f t="shared" ca="1" si="258"/>
        <v>8.1352871711999994E-2</v>
      </c>
      <c r="CQ84" s="305">
        <f t="shared" ca="1" si="259"/>
        <v>0.23894398014137197</v>
      </c>
      <c r="CR84" s="775">
        <f t="shared" ca="1" si="260"/>
        <v>0.29358877781249998</v>
      </c>
      <c r="CS84" s="305">
        <f t="shared" ca="1" si="261"/>
        <v>0.32858877781249995</v>
      </c>
      <c r="CT84" s="305">
        <f t="shared" ca="1" si="262"/>
        <v>0.3185887778125</v>
      </c>
      <c r="CU84" s="305">
        <f t="shared" ca="1" si="263"/>
        <v>0.14135287171200001</v>
      </c>
      <c r="CV84" s="770">
        <f t="shared" ca="1" si="264"/>
        <v>0.26394398014137199</v>
      </c>
      <c r="CW84" s="302">
        <f t="shared" ca="1" si="265"/>
        <v>8.3980945219533574</v>
      </c>
      <c r="CX84" s="299">
        <f t="shared" ca="1" si="266"/>
        <v>5.4816563267804792</v>
      </c>
      <c r="CY84" s="299">
        <f t="shared" ca="1" si="267"/>
        <v>5.5482650053175124</v>
      </c>
      <c r="CZ84" s="299">
        <f t="shared" ca="1" si="268"/>
        <v>0.27974458923446055</v>
      </c>
      <c r="DA84" s="774">
        <f t="shared" ca="1" si="269"/>
        <v>4.6606996677196424</v>
      </c>
      <c r="DB84" s="303">
        <f t="shared" ca="1" si="270"/>
        <v>2210.3890629689386</v>
      </c>
      <c r="DC84" s="248">
        <f t="shared" ca="1" si="271"/>
        <v>235.03430365222744</v>
      </c>
      <c r="DD84" s="778">
        <f t="shared" ca="1" si="272"/>
        <v>0</v>
      </c>
      <c r="DE84" s="363">
        <f t="shared" ca="1" si="273"/>
        <v>0.65869612473466754</v>
      </c>
      <c r="DF84" s="378">
        <f t="shared" ca="1" si="274"/>
        <v>-0.38656596102583579</v>
      </c>
      <c r="DG84" s="508">
        <f t="shared" ca="1" si="275"/>
        <v>-0.72686167447543615</v>
      </c>
      <c r="DH84" s="508">
        <f t="shared" ca="1" si="276"/>
        <v>-0.69502490469635103</v>
      </c>
      <c r="DI84" s="508">
        <f t="shared" ca="1" si="277"/>
        <v>-1.6182026931302269</v>
      </c>
      <c r="DJ84" s="508">
        <f t="shared" ca="1" si="278"/>
        <v>-0.63943006143525405</v>
      </c>
      <c r="DK84" s="353">
        <f t="shared" ca="1" si="279"/>
        <v>-123.91095393055144</v>
      </c>
      <c r="DL84" s="781">
        <f t="shared" ca="1" si="280"/>
        <v>7.5149509865776825</v>
      </c>
      <c r="DM84" s="303">
        <f t="shared" ca="1" si="281"/>
        <v>9361.2274764009853</v>
      </c>
      <c r="DN84" s="508">
        <f t="shared" ca="1" si="282"/>
        <v>1.1792964207080789</v>
      </c>
      <c r="DO84" s="508">
        <f t="shared" ca="1" si="283"/>
        <v>1.0798597606065998</v>
      </c>
      <c r="DP84" s="508">
        <f t="shared" ca="1" si="284"/>
        <v>1.0895687669723046</v>
      </c>
      <c r="DQ84" s="508">
        <f t="shared" ca="1" si="285"/>
        <v>0.98521597394641569</v>
      </c>
      <c r="DR84" s="508">
        <f t="shared" ca="1" si="286"/>
        <v>1.1043332586152566</v>
      </c>
      <c r="DS84" s="353">
        <f t="shared" ca="1" si="287"/>
        <v>6517.060873250447</v>
      </c>
      <c r="DT84" s="353">
        <f t="shared" ca="1" si="288"/>
        <v>-9184.6491453120489</v>
      </c>
      <c r="DU84" s="380">
        <f t="shared" ca="1" si="388"/>
        <v>5.6673511293634498</v>
      </c>
      <c r="DV84" s="303">
        <f t="shared" ca="1" si="289"/>
        <v>221.32189791084829</v>
      </c>
      <c r="DW84" s="303">
        <f t="shared" ca="1" si="290"/>
        <v>42.156551983018723</v>
      </c>
      <c r="DX84" s="303">
        <f t="shared" ca="1" si="291"/>
        <v>52.695689978773402</v>
      </c>
      <c r="DY84" s="303">
        <f t="shared" ca="1" si="292"/>
        <v>316.17413987264047</v>
      </c>
      <c r="DZ84" s="303">
        <f t="shared" ca="1" si="293"/>
        <v>158.0870699363202</v>
      </c>
      <c r="EA84" s="303">
        <f t="shared" ca="1" si="294"/>
        <v>474.26120980896064</v>
      </c>
      <c r="EB84" s="302">
        <f t="shared" ca="1" si="295"/>
        <v>31.823806364461777</v>
      </c>
      <c r="EC84" s="299">
        <f t="shared" ca="1" si="296"/>
        <v>25.1163095336818</v>
      </c>
      <c r="ED84" s="299">
        <f t="shared" ca="1" si="297"/>
        <v>25.703535738199363</v>
      </c>
      <c r="EE84" s="299">
        <f t="shared" ca="1" si="298"/>
        <v>29.909428349314041</v>
      </c>
      <c r="EF84" s="299">
        <f t="shared" ca="1" si="299"/>
        <v>20.049998242035496</v>
      </c>
      <c r="EG84" s="299">
        <f t="shared" ca="1" si="300"/>
        <v>26.622951646887863</v>
      </c>
      <c r="EH84" s="302">
        <f t="shared" ca="1" si="301"/>
        <v>30</v>
      </c>
      <c r="EI84" s="304">
        <f t="shared" ca="1" si="302"/>
        <v>9.7862925937499998E-2</v>
      </c>
      <c r="EJ84" s="305">
        <f t="shared" ca="1" si="303"/>
        <v>9.7862925937499998E-2</v>
      </c>
      <c r="EK84" s="305">
        <f t="shared" ca="1" si="304"/>
        <v>9.7862925937499998E-2</v>
      </c>
      <c r="EL84" s="305">
        <f t="shared" ca="1" si="305"/>
        <v>9.7862925937500012E-2</v>
      </c>
      <c r="EM84" s="305">
        <f t="shared" ca="1" si="306"/>
        <v>2.7117623903999997E-2</v>
      </c>
      <c r="EN84" s="305">
        <f t="shared" ca="1" si="307"/>
        <v>7.7239970896630789E-2</v>
      </c>
      <c r="EO84" s="305">
        <f t="shared" ca="1" si="308"/>
        <v>9.7862925937499998E-2</v>
      </c>
      <c r="EP84" s="305">
        <f t="shared" ca="1" si="309"/>
        <v>9.7862925937499998E-2</v>
      </c>
      <c r="EQ84" s="305">
        <f t="shared" ca="1" si="310"/>
        <v>9.7862925937499998E-2</v>
      </c>
      <c r="ER84" s="305">
        <f t="shared" ca="1" si="311"/>
        <v>2.7117623903999997E-2</v>
      </c>
      <c r="ES84" s="305">
        <f t="shared" ca="1" si="312"/>
        <v>7.7239970896630789E-2</v>
      </c>
      <c r="ET84" s="299">
        <f t="shared" ca="1" si="313"/>
        <v>4.1832903788500424</v>
      </c>
      <c r="EU84" s="302">
        <f t="shared" ca="1" si="314"/>
        <v>30</v>
      </c>
      <c r="EV84" s="304">
        <f t="shared" ca="1" si="315"/>
        <v>0.29358877781249998</v>
      </c>
      <c r="EW84" s="305">
        <f t="shared" ca="1" si="316"/>
        <v>0.29358877781249998</v>
      </c>
      <c r="EX84" s="305">
        <f t="shared" ca="1" si="317"/>
        <v>0.29358877781249998</v>
      </c>
      <c r="EY84" s="305">
        <f t="shared" ca="1" si="318"/>
        <v>0.29358877781250003</v>
      </c>
      <c r="EZ84" s="305">
        <f t="shared" ca="1" si="319"/>
        <v>8.1352871711999994E-2</v>
      </c>
      <c r="FA84" s="305">
        <f t="shared" ca="1" si="320"/>
        <v>0.23894398014137197</v>
      </c>
      <c r="FB84" s="305">
        <f t="shared" ca="1" si="321"/>
        <v>0.29358877781249998</v>
      </c>
      <c r="FC84" s="305">
        <f t="shared" ca="1" si="322"/>
        <v>0.29358877781249998</v>
      </c>
      <c r="FD84" s="305">
        <f t="shared" ca="1" si="323"/>
        <v>0.29358877781249998</v>
      </c>
      <c r="FE84" s="305">
        <f t="shared" ca="1" si="324"/>
        <v>8.1352871711999994E-2</v>
      </c>
      <c r="FF84" s="305">
        <f t="shared" ca="1" si="325"/>
        <v>0.23894398014137197</v>
      </c>
      <c r="FG84" s="299">
        <f t="shared" ca="1" si="326"/>
        <v>4.7859661673440819</v>
      </c>
      <c r="FH84" s="302">
        <f t="shared" ca="1" si="327"/>
        <v>-0.60267578849403947</v>
      </c>
      <c r="FI84" s="248">
        <f t="shared" ca="1" si="328"/>
        <v>-285.82574857375243</v>
      </c>
      <c r="FJ84" s="363">
        <f t="shared" ca="1" si="329"/>
        <v>0.65869612473466754</v>
      </c>
      <c r="FK84" s="378">
        <f t="shared" ca="1" si="330"/>
        <v>0.13683352959794853</v>
      </c>
      <c r="FL84" s="508">
        <f t="shared" ca="1" si="331"/>
        <v>-0.87914586692007002</v>
      </c>
      <c r="FM84" s="508">
        <f t="shared" ca="1" si="332"/>
        <v>-0.77994552754672919</v>
      </c>
      <c r="FN84" s="508">
        <f t="shared" ca="1" si="333"/>
        <v>-6.2743565950461226</v>
      </c>
      <c r="FO84" s="508">
        <f t="shared" ca="1" si="334"/>
        <v>-0.74140837506042812</v>
      </c>
      <c r="FP84" s="353">
        <f t="shared" ca="1" si="335"/>
        <v>365.54969861101227</v>
      </c>
      <c r="FQ84" s="356">
        <f t="shared" ca="1" si="336"/>
        <v>26.056228669515406</v>
      </c>
      <c r="FR84" s="380">
        <f t="shared" ca="1" si="337"/>
        <v>23.5</v>
      </c>
      <c r="FS84" s="299">
        <f t="shared" ca="1" si="338"/>
        <v>23.5</v>
      </c>
      <c r="FT84" s="299">
        <f t="shared" ca="1" si="339"/>
        <v>23.5</v>
      </c>
      <c r="FU84" s="299">
        <f t="shared" ca="1" si="340"/>
        <v>23.5</v>
      </c>
      <c r="FV84" s="299">
        <f t="shared" ca="1" si="341"/>
        <v>23.5</v>
      </c>
      <c r="FW84" s="850">
        <f t="shared" ca="1" si="342"/>
        <v>0.16700000000000001</v>
      </c>
      <c r="FX84" s="851">
        <f t="shared" ca="1" si="343"/>
        <v>0.5</v>
      </c>
      <c r="FY84" s="851">
        <f t="shared" ca="1" si="344"/>
        <v>0</v>
      </c>
      <c r="FZ84" s="201">
        <f t="shared" ca="1" si="345"/>
        <v>0</v>
      </c>
      <c r="GA84" s="201">
        <f t="shared" ca="1" si="346"/>
        <v>0</v>
      </c>
      <c r="GB84" s="201">
        <f t="shared" ca="1" si="347"/>
        <v>0</v>
      </c>
      <c r="GC84" s="201">
        <f t="shared" ca="1" si="348"/>
        <v>0</v>
      </c>
      <c r="GD84" s="850">
        <f t="shared" ca="1" si="349"/>
        <v>0.30858877781249999</v>
      </c>
      <c r="GE84" s="866">
        <f t="shared" ca="1" si="350"/>
        <v>0.29608877781249998</v>
      </c>
      <c r="GF84" s="866">
        <f t="shared" ca="1" si="351"/>
        <v>0.29858877781249998</v>
      </c>
      <c r="GG84" s="866">
        <f t="shared" ca="1" si="352"/>
        <v>9.1352871711999989E-2</v>
      </c>
      <c r="GH84" s="866">
        <f t="shared" ca="1" si="353"/>
        <v>0.25144398014137198</v>
      </c>
      <c r="GI84" s="302">
        <f t="shared" ca="1" si="354"/>
        <v>11.80978833511306</v>
      </c>
      <c r="GJ84" s="299">
        <f t="shared" ca="1" si="355"/>
        <v>6.6860922228741719</v>
      </c>
      <c r="GK84" s="299">
        <f t="shared" ca="1" si="356"/>
        <v>7.1238200267497911</v>
      </c>
      <c r="GL84" s="299">
        <f t="shared" ca="1" si="357"/>
        <v>1.5622013068657314</v>
      </c>
      <c r="GM84" s="299">
        <f t="shared" ca="1" si="358"/>
        <v>6.9177558579410174</v>
      </c>
      <c r="GN84" s="302">
        <f t="shared" ca="1" si="359"/>
        <v>0.78655406751975421</v>
      </c>
      <c r="GO84" s="299">
        <f t="shared" ca="1" si="360"/>
        <v>0.66082727142469322</v>
      </c>
      <c r="GP84" s="299">
        <f t="shared" ca="1" si="361"/>
        <v>0.67500420258965221</v>
      </c>
      <c r="GQ84" s="299">
        <f t="shared" ca="1" si="362"/>
        <v>0.38665030264270234</v>
      </c>
      <c r="GR84" s="299">
        <f t="shared" ca="1" si="363"/>
        <v>0.69156592349366119</v>
      </c>
      <c r="GS84" s="302">
        <f t="shared" ca="1" si="364"/>
        <v>-0.56261103076030172</v>
      </c>
      <c r="GT84" s="299">
        <f t="shared" ca="1" si="365"/>
        <v>-0.42176404246532612</v>
      </c>
      <c r="GU84" s="299">
        <f t="shared" ca="1" si="366"/>
        <v>-0.43515659015852715</v>
      </c>
      <c r="GV84" s="299">
        <f t="shared" ca="1" si="367"/>
        <v>-0.26341003725414486</v>
      </c>
      <c r="GW84" s="299">
        <f t="shared" ca="1" si="368"/>
        <v>-0.48909674918070301</v>
      </c>
      <c r="GX84" s="303">
        <f t="shared" ca="1" si="369"/>
        <v>2613.7647682526199</v>
      </c>
      <c r="GY84" s="303">
        <f t="shared" ca="1" si="370"/>
        <v>281.86259435685224</v>
      </c>
      <c r="GZ84" s="303">
        <f t="shared" ca="1" si="371"/>
        <v>375.39461159418425</v>
      </c>
      <c r="HA84" s="303">
        <f t="shared" ca="1" si="372"/>
        <v>246.96382725309371</v>
      </c>
      <c r="HB84" s="303">
        <f t="shared" ca="1" si="373"/>
        <v>3280.8232623501312</v>
      </c>
      <c r="HC84" s="303">
        <f t="shared" ca="1" si="374"/>
        <v>1842.2406224250788</v>
      </c>
      <c r="HD84" s="303">
        <f t="shared" ca="1" si="375"/>
        <v>68.138036877305566</v>
      </c>
      <c r="HE84" s="303">
        <f t="shared" ca="1" si="376"/>
        <v>116.11683611730125</v>
      </c>
      <c r="HF84" s="303">
        <f t="shared" ca="1" si="377"/>
        <v>0</v>
      </c>
      <c r="HG84" s="852">
        <f t="shared" ca="1" si="378"/>
        <v>1481.0948262279239</v>
      </c>
    </row>
    <row r="85" spans="1:215" x14ac:dyDescent="0.25">
      <c r="A85" s="244">
        <f t="shared" ca="1" si="379"/>
        <v>38687</v>
      </c>
      <c r="B85" s="13">
        <f t="shared" ca="1" si="207"/>
        <v>2005</v>
      </c>
      <c r="C85" s="619">
        <f t="shared" ca="1" si="208"/>
        <v>12</v>
      </c>
      <c r="D85" s="195">
        <f t="shared" ca="1" si="209"/>
        <v>38712</v>
      </c>
      <c r="E85" s="469">
        <f t="shared" ca="1" si="210"/>
        <v>38687</v>
      </c>
      <c r="F85" s="465">
        <f t="shared" ca="1" si="211"/>
        <v>38717</v>
      </c>
      <c r="G85" s="522">
        <f t="shared" ca="1" si="380"/>
        <v>1</v>
      </c>
      <c r="H85" s="519">
        <f t="shared" ca="1" si="381"/>
        <v>1</v>
      </c>
      <c r="I85" s="724">
        <f t="shared" ca="1" si="212"/>
        <v>7.3297246320234002E-2</v>
      </c>
      <c r="J85" s="198">
        <f t="shared" ca="1" si="213"/>
        <v>0.65459584130256854</v>
      </c>
      <c r="K85" s="200">
        <f t="shared" ca="1" si="389"/>
        <v>29.8</v>
      </c>
      <c r="L85" s="201">
        <f t="shared" ca="1" si="390"/>
        <v>30.75</v>
      </c>
      <c r="M85" s="206">
        <f t="shared" ca="1" si="391"/>
        <v>31.7</v>
      </c>
      <c r="N85" s="851">
        <f t="shared" ca="1" si="395"/>
        <v>25.142498397827147</v>
      </c>
      <c r="O85" s="201">
        <f t="shared" ca="1" si="396"/>
        <v>25.854998397827146</v>
      </c>
      <c r="P85" s="206">
        <f t="shared" ca="1" si="397"/>
        <v>26.567498397827144</v>
      </c>
      <c r="Q85" s="201">
        <f t="shared" ca="1" si="398"/>
        <v>19.049999237060543</v>
      </c>
      <c r="R85" s="201">
        <f t="shared" ca="1" si="399"/>
        <v>22.349999237060544</v>
      </c>
      <c r="S85" s="201">
        <f t="shared" ca="1" si="400"/>
        <v>25.649999237060545</v>
      </c>
      <c r="T85" s="851">
        <f t="shared" ca="1" si="392"/>
        <v>20.524999237060545</v>
      </c>
      <c r="U85" s="201">
        <f t="shared" ca="1" si="393"/>
        <v>20.999999237060546</v>
      </c>
      <c r="V85" s="206">
        <f t="shared" ca="1" si="394"/>
        <v>21.474999237060548</v>
      </c>
      <c r="W85" s="230">
        <f t="shared" ca="1" si="382"/>
        <v>0.10138159293749999</v>
      </c>
      <c r="X85" s="231">
        <f t="shared" ca="1" si="383"/>
        <v>0.20276318587499997</v>
      </c>
      <c r="Y85" s="232">
        <f t="shared" ca="1" si="384"/>
        <v>0.30414477881249996</v>
      </c>
      <c r="Z85" s="231">
        <f t="shared" ca="1" si="202"/>
        <v>0.10138159293749999</v>
      </c>
      <c r="AA85" s="231">
        <f t="shared" ca="1" si="203"/>
        <v>0.20276318587499997</v>
      </c>
      <c r="AB85" s="232">
        <f t="shared" ca="1" si="204"/>
        <v>0.30414477881249996</v>
      </c>
      <c r="AC85" s="231">
        <f t="shared" ca="1" si="205"/>
        <v>0.10138159293749999</v>
      </c>
      <c r="AD85" s="231">
        <f t="shared" ca="1" si="206"/>
        <v>0.20276318587499997</v>
      </c>
      <c r="AE85" s="232">
        <f t="shared" ca="1" si="214"/>
        <v>0.30414477881249996</v>
      </c>
      <c r="AF85" s="231">
        <f t="shared" ca="1" si="385"/>
        <v>2.7117623903999997E-2</v>
      </c>
      <c r="AG85" s="231">
        <f t="shared" ca="1" si="386"/>
        <v>5.4235247807999994E-2</v>
      </c>
      <c r="AH85" s="232">
        <f t="shared" ca="1" si="387"/>
        <v>8.1352871711999994E-2</v>
      </c>
      <c r="AI85" s="233">
        <f t="shared" ca="1" si="215"/>
        <v>1</v>
      </c>
      <c r="AJ85" s="233">
        <f t="shared" ca="1" si="216"/>
        <v>1.25</v>
      </c>
      <c r="AK85" s="234">
        <f t="shared" ca="1" si="217"/>
        <v>1.6</v>
      </c>
      <c r="AL85" s="919">
        <f t="shared" ca="1" si="218"/>
        <v>1</v>
      </c>
      <c r="AM85" s="233">
        <f t="shared" ca="1" si="219"/>
        <v>1.25</v>
      </c>
      <c r="AN85" s="234">
        <f t="shared" ca="1" si="220"/>
        <v>1.6</v>
      </c>
      <c r="AO85" s="233">
        <f t="shared" ca="1" si="221"/>
        <v>1</v>
      </c>
      <c r="AP85" s="233">
        <f t="shared" ca="1" si="222"/>
        <v>1.25</v>
      </c>
      <c r="AQ85" s="233">
        <f t="shared" ca="1" si="223"/>
        <v>1.6</v>
      </c>
      <c r="AR85" s="919">
        <f t="shared" ca="1" si="224"/>
        <v>0.15</v>
      </c>
      <c r="AS85" s="233">
        <f t="shared" ca="1" si="225"/>
        <v>0.3</v>
      </c>
      <c r="AT85" s="235">
        <f t="shared" ca="1" si="226"/>
        <v>0.5</v>
      </c>
      <c r="AU85" s="946">
        <f t="shared" si="227"/>
        <v>0.5</v>
      </c>
      <c r="AV85" s="13">
        <f t="shared" ca="1" si="228"/>
        <v>21</v>
      </c>
      <c r="AW85" s="210">
        <f t="shared" ca="1" si="229"/>
        <v>5</v>
      </c>
      <c r="AX85" s="210">
        <f t="shared" ca="1" si="230"/>
        <v>4</v>
      </c>
      <c r="AY85" s="210">
        <f t="shared" ca="1" si="231"/>
        <v>1</v>
      </c>
      <c r="AZ85" s="13">
        <f t="shared" ca="1" si="232"/>
        <v>31</v>
      </c>
      <c r="BA85" s="357">
        <f ca="1"/>
        <v>336</v>
      </c>
      <c r="BB85" s="925">
        <f ca="1"/>
        <v>80</v>
      </c>
      <c r="BC85" s="925">
        <f ca="1"/>
        <v>80</v>
      </c>
      <c r="BD85" s="928">
        <f ca="1"/>
        <v>248</v>
      </c>
      <c r="BE85" s="200">
        <f ca="1"/>
        <v>0.9999692440032959</v>
      </c>
      <c r="BF85" s="851">
        <f ca="1"/>
        <v>0.9999692440032959</v>
      </c>
      <c r="BG85" s="851">
        <f ca="1"/>
        <v>0.9999692440032959</v>
      </c>
      <c r="BH85" s="933">
        <f ca="1"/>
        <v>1.0000000074505806</v>
      </c>
      <c r="BI85" s="357">
        <f ca="1"/>
        <v>336</v>
      </c>
      <c r="BJ85" s="925">
        <f ca="1"/>
        <v>80</v>
      </c>
      <c r="BK85" s="925">
        <f ca="1"/>
        <v>80</v>
      </c>
      <c r="BL85" s="928">
        <f ca="1"/>
        <v>248</v>
      </c>
      <c r="BM85" s="200">
        <f ca="1"/>
        <v>0.9999692440032959</v>
      </c>
      <c r="BN85" s="851">
        <f ca="1"/>
        <v>0.9999692440032959</v>
      </c>
      <c r="BO85" s="851">
        <f ca="1"/>
        <v>0.9999692440032959</v>
      </c>
      <c r="BP85" s="933">
        <f ca="1"/>
        <v>1.0000000074505806</v>
      </c>
      <c r="BQ85" s="357">
        <f t="shared" ca="1" si="233"/>
        <v>744</v>
      </c>
      <c r="BR85" s="361">
        <f t="shared" ca="1" si="234"/>
        <v>744</v>
      </c>
      <c r="BS85" s="357">
        <f t="shared" ca="1" si="235"/>
        <v>487.019305929111</v>
      </c>
      <c r="BT85" s="302">
        <f t="shared" ca="1" si="236"/>
        <v>25.051052380535278</v>
      </c>
      <c r="BU85" s="299">
        <f t="shared" ca="1" si="237"/>
        <v>26.06984312097693</v>
      </c>
      <c r="BV85" s="299">
        <f t="shared" ca="1" si="238"/>
        <v>27.088633861418582</v>
      </c>
      <c r="BW85" s="299">
        <f t="shared" ca="1" si="239"/>
        <v>32.659889647739881</v>
      </c>
      <c r="BX85" s="380">
        <f t="shared" ca="1" si="240"/>
        <v>5.7494866529774127</v>
      </c>
      <c r="BY85" s="363">
        <f t="shared" ca="1" si="241"/>
        <v>219.94420267766304</v>
      </c>
      <c r="BZ85" s="353">
        <f t="shared" ca="1" si="242"/>
        <v>52.367667304205483</v>
      </c>
      <c r="CA85" s="353">
        <f t="shared" ca="1" si="243"/>
        <v>52.367667304205483</v>
      </c>
      <c r="CB85" s="353">
        <f t="shared" ca="1" si="244"/>
        <v>324.67953728607404</v>
      </c>
      <c r="CC85" s="353">
        <f t="shared" ca="1" si="245"/>
        <v>162.33976864303699</v>
      </c>
      <c r="CD85" s="353">
        <f t="shared" ca="1" si="246"/>
        <v>487.01930592911106</v>
      </c>
      <c r="CE85" s="302">
        <f t="shared" ca="1" si="247"/>
        <v>31.69902503490448</v>
      </c>
      <c r="CF85" s="299">
        <f t="shared" ca="1" si="248"/>
        <v>26.566681287933985</v>
      </c>
      <c r="CG85" s="299">
        <f t="shared" ca="1" si="249"/>
        <v>25.649210345768548</v>
      </c>
      <c r="CH85" s="299">
        <f t="shared" ca="1" si="250"/>
        <v>29.895451093596996</v>
      </c>
      <c r="CI85" s="299">
        <f t="shared" ca="1" si="251"/>
        <v>21.474999397061762</v>
      </c>
      <c r="CJ85" s="299">
        <f t="shared" ca="1" si="252"/>
        <v>27.088633861418582</v>
      </c>
      <c r="CK85" s="299">
        <f t="shared" ca="1" si="253"/>
        <v>32.659889647739881</v>
      </c>
      <c r="CL85" s="377">
        <f t="shared" ca="1" si="254"/>
        <v>0.30414477881249996</v>
      </c>
      <c r="CM85" s="305">
        <f t="shared" ca="1" si="255"/>
        <v>0.30414477881249996</v>
      </c>
      <c r="CN85" s="305">
        <f t="shared" ca="1" si="256"/>
        <v>0.30414477881249996</v>
      </c>
      <c r="CO85" s="305">
        <f t="shared" ca="1" si="257"/>
        <v>0.30414477881249991</v>
      </c>
      <c r="CP85" s="305">
        <f t="shared" ca="1" si="258"/>
        <v>8.1352871711999994E-2</v>
      </c>
      <c r="CQ85" s="305">
        <f t="shared" ca="1" si="259"/>
        <v>0.24481752024802397</v>
      </c>
      <c r="CR85" s="775">
        <f t="shared" ca="1" si="260"/>
        <v>0.30414477881249996</v>
      </c>
      <c r="CS85" s="305">
        <f t="shared" ca="1" si="261"/>
        <v>0.32914477881249998</v>
      </c>
      <c r="CT85" s="305">
        <f t="shared" ca="1" si="262"/>
        <v>0.33914477881249994</v>
      </c>
      <c r="CU85" s="305">
        <f t="shared" ca="1" si="263"/>
        <v>0.14135287171200001</v>
      </c>
      <c r="CV85" s="770">
        <f t="shared" ca="1" si="264"/>
        <v>0.26231752024802396</v>
      </c>
      <c r="CW85" s="302">
        <f t="shared" ca="1" si="265"/>
        <v>8.6858300031877995</v>
      </c>
      <c r="CX85" s="299">
        <f t="shared" ca="1" si="266"/>
        <v>6.3331258862606585</v>
      </c>
      <c r="CY85" s="299">
        <f t="shared" ca="1" si="267"/>
        <v>6.0780598729093542</v>
      </c>
      <c r="CZ85" s="299">
        <f t="shared" ca="1" si="268"/>
        <v>0.46203075728444043</v>
      </c>
      <c r="DA85" s="774">
        <f t="shared" ca="1" si="269"/>
        <v>4.900936799286459</v>
      </c>
      <c r="DB85" s="303">
        <f t="shared" ca="1" si="270"/>
        <v>2386.8508383909302</v>
      </c>
      <c r="DC85" s="248">
        <f t="shared" ca="1" si="271"/>
        <v>246.83910752394476</v>
      </c>
      <c r="DD85" s="778">
        <f t="shared" ca="1" si="272"/>
        <v>0</v>
      </c>
      <c r="DE85" s="363">
        <f t="shared" ca="1" si="273"/>
        <v>0.65459584130256854</v>
      </c>
      <c r="DF85" s="378">
        <f t="shared" ca="1" si="274"/>
        <v>-0.40558738481606482</v>
      </c>
      <c r="DG85" s="508">
        <f t="shared" ca="1" si="275"/>
        <v>-0.65624894527138888</v>
      </c>
      <c r="DH85" s="508">
        <f t="shared" ca="1" si="276"/>
        <v>-0.70374141027022552</v>
      </c>
      <c r="DI85" s="508">
        <f t="shared" ca="1" si="277"/>
        <v>-1.4064479701244628</v>
      </c>
      <c r="DJ85" s="508">
        <f t="shared" ca="1" si="278"/>
        <v>-0.61185018238394906</v>
      </c>
      <c r="DK85" s="353">
        <f t="shared" ca="1" si="279"/>
        <v>-131.65027242705921</v>
      </c>
      <c r="DL85" s="781">
        <f t="shared" ca="1" si="280"/>
        <v>7.843474682973417</v>
      </c>
      <c r="DM85" s="303">
        <f t="shared" ca="1" si="281"/>
        <v>9857.992207745825</v>
      </c>
      <c r="DN85" s="508">
        <f t="shared" ca="1" si="282"/>
        <v>1.1863294427197442</v>
      </c>
      <c r="DO85" s="508">
        <f t="shared" ca="1" si="283"/>
        <v>1.1126597875476301</v>
      </c>
      <c r="DP85" s="508">
        <f t="shared" ca="1" si="284"/>
        <v>1.0980011633356985</v>
      </c>
      <c r="DQ85" s="508">
        <f t="shared" ca="1" si="285"/>
        <v>1.0239163923899619</v>
      </c>
      <c r="DR85" s="508">
        <f t="shared" ca="1" si="286"/>
        <v>1.1207748316659014</v>
      </c>
      <c r="DS85" s="353">
        <f t="shared" ca="1" si="287"/>
        <v>6734.2858937259844</v>
      </c>
      <c r="DT85" s="353">
        <f t="shared" ca="1" si="288"/>
        <v>-9637.7181295292576</v>
      </c>
      <c r="DU85" s="380">
        <f t="shared" ca="1" si="388"/>
        <v>5.7494866529774127</v>
      </c>
      <c r="DV85" s="303">
        <f t="shared" ca="1" si="289"/>
        <v>219.94420267766304</v>
      </c>
      <c r="DW85" s="303">
        <f t="shared" ca="1" si="290"/>
        <v>52.367667304205483</v>
      </c>
      <c r="DX85" s="303">
        <f t="shared" ca="1" si="291"/>
        <v>52.367667304205483</v>
      </c>
      <c r="DY85" s="303">
        <f t="shared" ca="1" si="292"/>
        <v>324.67953728607404</v>
      </c>
      <c r="DZ85" s="303">
        <f t="shared" ca="1" si="293"/>
        <v>162.33976864303699</v>
      </c>
      <c r="EA85" s="303">
        <f t="shared" ca="1" si="294"/>
        <v>487.01930592911106</v>
      </c>
      <c r="EB85" s="302">
        <f t="shared" ca="1" si="295"/>
        <v>31.69902503490448</v>
      </c>
      <c r="EC85" s="299">
        <f t="shared" ca="1" si="296"/>
        <v>26.566681287933985</v>
      </c>
      <c r="ED85" s="299">
        <f t="shared" ca="1" si="297"/>
        <v>25.649210345768548</v>
      </c>
      <c r="EE85" s="299">
        <f t="shared" ca="1" si="298"/>
        <v>29.895451093596996</v>
      </c>
      <c r="EF85" s="299">
        <f t="shared" ca="1" si="299"/>
        <v>21.474999397061762</v>
      </c>
      <c r="EG85" s="299">
        <f t="shared" ca="1" si="300"/>
        <v>27.088633861418582</v>
      </c>
      <c r="EH85" s="302">
        <f t="shared" ca="1" si="301"/>
        <v>30</v>
      </c>
      <c r="EI85" s="304">
        <f t="shared" ca="1" si="302"/>
        <v>0.10138159293749999</v>
      </c>
      <c r="EJ85" s="305">
        <f t="shared" ca="1" si="303"/>
        <v>0.10138159293749999</v>
      </c>
      <c r="EK85" s="305">
        <f t="shared" ca="1" si="304"/>
        <v>0.10138159293749999</v>
      </c>
      <c r="EL85" s="305">
        <f t="shared" ca="1" si="305"/>
        <v>0.10138159293750003</v>
      </c>
      <c r="EM85" s="305">
        <f t="shared" ca="1" si="306"/>
        <v>2.7117623903999997E-2</v>
      </c>
      <c r="EN85" s="305">
        <f t="shared" ca="1" si="307"/>
        <v>7.8787555602898574E-2</v>
      </c>
      <c r="EO85" s="305">
        <f t="shared" ca="1" si="308"/>
        <v>0.10138159293749999</v>
      </c>
      <c r="EP85" s="305">
        <f t="shared" ca="1" si="309"/>
        <v>0.10138159293749999</v>
      </c>
      <c r="EQ85" s="305">
        <f t="shared" ca="1" si="310"/>
        <v>0.10138159293749999</v>
      </c>
      <c r="ER85" s="305">
        <f t="shared" ca="1" si="311"/>
        <v>2.7117623903999997E-2</v>
      </c>
      <c r="ES85" s="305">
        <f t="shared" ca="1" si="312"/>
        <v>7.8787555602898574E-2</v>
      </c>
      <c r="ET85" s="299">
        <f t="shared" ca="1" si="313"/>
        <v>3.9087516725049625</v>
      </c>
      <c r="EU85" s="302">
        <f t="shared" ca="1" si="314"/>
        <v>30</v>
      </c>
      <c r="EV85" s="304">
        <f t="shared" ca="1" si="315"/>
        <v>0.30414477881249996</v>
      </c>
      <c r="EW85" s="305">
        <f t="shared" ca="1" si="316"/>
        <v>0.30414477881249996</v>
      </c>
      <c r="EX85" s="305">
        <f t="shared" ca="1" si="317"/>
        <v>0.30414477881249996</v>
      </c>
      <c r="EY85" s="305">
        <f t="shared" ca="1" si="318"/>
        <v>0.30414477881249991</v>
      </c>
      <c r="EZ85" s="305">
        <f t="shared" ca="1" si="319"/>
        <v>8.1352871711999994E-2</v>
      </c>
      <c r="FA85" s="305">
        <f t="shared" ca="1" si="320"/>
        <v>0.24481752024802397</v>
      </c>
      <c r="FB85" s="305">
        <f t="shared" ca="1" si="321"/>
        <v>0.30414477881249996</v>
      </c>
      <c r="FC85" s="305">
        <f t="shared" ca="1" si="322"/>
        <v>0.30414477881249996</v>
      </c>
      <c r="FD85" s="305">
        <f t="shared" ca="1" si="323"/>
        <v>0.30414477881249996</v>
      </c>
      <c r="FE85" s="305">
        <f t="shared" ca="1" si="324"/>
        <v>8.1352871711999994E-2</v>
      </c>
      <c r="FF85" s="305">
        <f t="shared" ca="1" si="325"/>
        <v>0.24481752024802397</v>
      </c>
      <c r="FG85" s="299">
        <f t="shared" ca="1" si="326"/>
        <v>5.2308054979780003</v>
      </c>
      <c r="FH85" s="302">
        <f t="shared" ca="1" si="327"/>
        <v>-1.3220538254730378</v>
      </c>
      <c r="FI85" s="248">
        <f t="shared" ca="1" si="328"/>
        <v>-643.865736482805</v>
      </c>
      <c r="FJ85" s="363">
        <f t="shared" ca="1" si="329"/>
        <v>0.65459584130256854</v>
      </c>
      <c r="FK85" s="378">
        <f t="shared" ca="1" si="330"/>
        <v>0.1050676367969559</v>
      </c>
      <c r="FL85" s="508">
        <f t="shared" ca="1" si="331"/>
        <v>-0.62151680592341663</v>
      </c>
      <c r="FM85" s="508">
        <f t="shared" ca="1" si="332"/>
        <v>-0.76609096307387647</v>
      </c>
      <c r="FN85" s="508">
        <f t="shared" ca="1" si="333"/>
        <v>-5.1739011666453472</v>
      </c>
      <c r="FO85" s="508">
        <f t="shared" ca="1" si="334"/>
        <v>-0.63481717055206055</v>
      </c>
      <c r="FP85" s="353">
        <f t="shared" ca="1" si="335"/>
        <v>359.04340778234678</v>
      </c>
      <c r="FQ85" s="356">
        <f t="shared" ca="1" si="336"/>
        <v>28.025555327190016</v>
      </c>
      <c r="FR85" s="380">
        <f t="shared" ca="1" si="337"/>
        <v>24.492000000000001</v>
      </c>
      <c r="FS85" s="299">
        <f t="shared" ca="1" si="338"/>
        <v>24.492000000000001</v>
      </c>
      <c r="FT85" s="299">
        <f t="shared" ca="1" si="339"/>
        <v>24.492000000000001</v>
      </c>
      <c r="FU85" s="299">
        <f t="shared" ca="1" si="340"/>
        <v>24.492000000000001</v>
      </c>
      <c r="FV85" s="299">
        <f t="shared" ca="1" si="341"/>
        <v>24.491999999999997</v>
      </c>
      <c r="FW85" s="850">
        <f t="shared" ca="1" si="342"/>
        <v>0.16700000000000001</v>
      </c>
      <c r="FX85" s="851">
        <f t="shared" ca="1" si="343"/>
        <v>0.5</v>
      </c>
      <c r="FY85" s="851">
        <f t="shared" ca="1" si="344"/>
        <v>0</v>
      </c>
      <c r="FZ85" s="201">
        <f t="shared" ca="1" si="345"/>
        <v>0</v>
      </c>
      <c r="GA85" s="201">
        <f t="shared" ca="1" si="346"/>
        <v>0</v>
      </c>
      <c r="GB85" s="201">
        <f t="shared" ca="1" si="347"/>
        <v>0</v>
      </c>
      <c r="GC85" s="201">
        <f t="shared" ca="1" si="348"/>
        <v>0</v>
      </c>
      <c r="GD85" s="850">
        <f t="shared" ca="1" si="349"/>
        <v>0.31914477881249997</v>
      </c>
      <c r="GE85" s="866">
        <f t="shared" ca="1" si="350"/>
        <v>0.30914477881249997</v>
      </c>
      <c r="GF85" s="866">
        <f t="shared" ca="1" si="351"/>
        <v>0.30414477881249996</v>
      </c>
      <c r="GG85" s="866">
        <f t="shared" ca="1" si="352"/>
        <v>9.1352871711999989E-2</v>
      </c>
      <c r="GH85" s="866">
        <f t="shared" ca="1" si="353"/>
        <v>0.25481752024802395</v>
      </c>
      <c r="GI85" s="302">
        <f t="shared" ca="1" si="354"/>
        <v>11.422592191329647</v>
      </c>
      <c r="GJ85" s="299">
        <f t="shared" ca="1" si="355"/>
        <v>7.5213035020735992</v>
      </c>
      <c r="GK85" s="299">
        <f t="shared" ca="1" si="356"/>
        <v>6.8176743621481011</v>
      </c>
      <c r="GL85" s="299">
        <f t="shared" ca="1" si="357"/>
        <v>1.8816279894225516</v>
      </c>
      <c r="GM85" s="299">
        <f t="shared" ca="1" si="358"/>
        <v>6.8569884401367016</v>
      </c>
      <c r="GN85" s="302">
        <f t="shared" ca="1" si="359"/>
        <v>0.76440757039006169</v>
      </c>
      <c r="GO85" s="299">
        <f t="shared" ca="1" si="360"/>
        <v>0.67286933843856589</v>
      </c>
      <c r="GP85" s="299">
        <f t="shared" ca="1" si="361"/>
        <v>0.65146347924579762</v>
      </c>
      <c r="GQ85" s="299">
        <f t="shared" ca="1" si="362"/>
        <v>0.41883824244771944</v>
      </c>
      <c r="GR85" s="299">
        <f t="shared" ca="1" si="363"/>
        <v>0.67589097031816792</v>
      </c>
      <c r="GS85" s="302">
        <f t="shared" ca="1" si="364"/>
        <v>-0.52296194921675254</v>
      </c>
      <c r="GT85" s="299">
        <f t="shared" ca="1" si="365"/>
        <v>-0.42277504554702672</v>
      </c>
      <c r="GU85" s="299">
        <f t="shared" ca="1" si="366"/>
        <v>-0.40388098965489988</v>
      </c>
      <c r="GV85" s="299">
        <f t="shared" ca="1" si="367"/>
        <v>-0.29041819948998859</v>
      </c>
      <c r="GW85" s="299">
        <f t="shared" ca="1" si="368"/>
        <v>-0.46758034923606756</v>
      </c>
      <c r="GX85" s="303">
        <f t="shared" ca="1" si="369"/>
        <v>2512.332932034099</v>
      </c>
      <c r="GY85" s="303">
        <f t="shared" ca="1" si="370"/>
        <v>393.87311949054583</v>
      </c>
      <c r="GZ85" s="303">
        <f t="shared" ca="1" si="371"/>
        <v>357.02570278538309</v>
      </c>
      <c r="HA85" s="303">
        <f t="shared" ca="1" si="372"/>
        <v>305.46305247511987</v>
      </c>
      <c r="HB85" s="303">
        <f t="shared" ca="1" si="373"/>
        <v>3339.4857508793143</v>
      </c>
      <c r="HC85" s="303">
        <f t="shared" ca="1" si="374"/>
        <v>1585.1433749800224</v>
      </c>
      <c r="HD85" s="303">
        <f t="shared" ca="1" si="375"/>
        <v>108.64621944878742</v>
      </c>
      <c r="HE85" s="303">
        <f t="shared" ca="1" si="376"/>
        <v>60.600406388191871</v>
      </c>
      <c r="HF85" s="303">
        <f t="shared" ca="1" si="377"/>
        <v>0</v>
      </c>
      <c r="HG85" s="852">
        <f t="shared" ca="1" si="378"/>
        <v>1264.6108209401068</v>
      </c>
    </row>
    <row r="86" spans="1:215" x14ac:dyDescent="0.25">
      <c r="A86" s="244">
        <f t="shared" ca="1" si="379"/>
        <v>38718</v>
      </c>
      <c r="B86" s="13">
        <f t="shared" ca="1" si="207"/>
        <v>2006</v>
      </c>
      <c r="C86" s="619">
        <f t="shared" ca="1" si="208"/>
        <v>1</v>
      </c>
      <c r="D86" s="195">
        <f t="shared" ca="1" si="209"/>
        <v>38719</v>
      </c>
      <c r="E86" s="469">
        <f t="shared" ca="1" si="210"/>
        <v>38718</v>
      </c>
      <c r="F86" s="465">
        <f t="shared" ca="1" si="211"/>
        <v>38748</v>
      </c>
      <c r="G86" s="522">
        <f t="shared" ca="1" si="380"/>
        <v>1</v>
      </c>
      <c r="H86" s="519">
        <f t="shared" ca="1" si="381"/>
        <v>1</v>
      </c>
      <c r="I86" s="724">
        <f t="shared" ca="1" si="212"/>
        <v>7.3322099633577012E-2</v>
      </c>
      <c r="J86" s="198">
        <f t="shared" ca="1" si="213"/>
        <v>0.65051551650156136</v>
      </c>
      <c r="K86" s="200">
        <f t="shared" ca="1" si="389"/>
        <v>35.75</v>
      </c>
      <c r="L86" s="201">
        <f t="shared" ca="1" si="390"/>
        <v>36.85</v>
      </c>
      <c r="M86" s="206">
        <f t="shared" ca="1" si="391"/>
        <v>37.950000000000003</v>
      </c>
      <c r="N86" s="851">
        <f t="shared" ca="1" si="395"/>
        <v>28.423748779296872</v>
      </c>
      <c r="O86" s="201">
        <f t="shared" ca="1" si="396"/>
        <v>29.248748779296871</v>
      </c>
      <c r="P86" s="206">
        <f t="shared" ca="1" si="397"/>
        <v>30.073748779296871</v>
      </c>
      <c r="Q86" s="201">
        <f t="shared" ca="1" si="398"/>
        <v>24.452500534057613</v>
      </c>
      <c r="R86" s="201">
        <f t="shared" ca="1" si="399"/>
        <v>27.752500534057614</v>
      </c>
      <c r="S86" s="201">
        <f t="shared" ca="1" si="400"/>
        <v>31.052500534057614</v>
      </c>
      <c r="T86" s="851">
        <f t="shared" ca="1" si="392"/>
        <v>20.240000152587889</v>
      </c>
      <c r="U86" s="201">
        <f t="shared" ca="1" si="393"/>
        <v>20.79000015258789</v>
      </c>
      <c r="V86" s="206">
        <f t="shared" ca="1" si="394"/>
        <v>21.340000152587891</v>
      </c>
      <c r="W86" s="230">
        <f t="shared" ca="1" si="382"/>
        <v>0.10949000265624999</v>
      </c>
      <c r="X86" s="231">
        <f t="shared" ca="1" si="383"/>
        <v>0.21898000531249998</v>
      </c>
      <c r="Y86" s="232">
        <f t="shared" ca="1" si="384"/>
        <v>0.32847000796874998</v>
      </c>
      <c r="Z86" s="231">
        <f t="shared" ca="1" si="202"/>
        <v>0.10949000265624999</v>
      </c>
      <c r="AA86" s="231">
        <f t="shared" ca="1" si="203"/>
        <v>0.21898000531249998</v>
      </c>
      <c r="AB86" s="232">
        <f t="shared" ca="1" si="204"/>
        <v>0.32847000796874998</v>
      </c>
      <c r="AC86" s="231">
        <f t="shared" ca="1" si="205"/>
        <v>0.10949000265624999</v>
      </c>
      <c r="AD86" s="231">
        <f t="shared" ca="1" si="206"/>
        <v>0.21898000531249998</v>
      </c>
      <c r="AE86" s="232">
        <f t="shared" ca="1" si="214"/>
        <v>0.32847000796874998</v>
      </c>
      <c r="AF86" s="231">
        <f t="shared" ca="1" si="385"/>
        <v>3.1004483330240005E-2</v>
      </c>
      <c r="AG86" s="231">
        <f t="shared" ca="1" si="386"/>
        <v>6.200896666048001E-2</v>
      </c>
      <c r="AH86" s="232">
        <f t="shared" ca="1" si="387"/>
        <v>9.3013449990720018E-2</v>
      </c>
      <c r="AI86" s="233">
        <f t="shared" ca="1" si="215"/>
        <v>1.25</v>
      </c>
      <c r="AJ86" s="233">
        <f t="shared" ca="1" si="216"/>
        <v>2</v>
      </c>
      <c r="AK86" s="234">
        <f t="shared" ca="1" si="217"/>
        <v>2.75</v>
      </c>
      <c r="AL86" s="919">
        <f t="shared" ca="1" si="218"/>
        <v>1.25</v>
      </c>
      <c r="AM86" s="233">
        <f t="shared" ca="1" si="219"/>
        <v>2</v>
      </c>
      <c r="AN86" s="234">
        <f t="shared" ca="1" si="220"/>
        <v>2.75</v>
      </c>
      <c r="AO86" s="233">
        <f t="shared" ca="1" si="221"/>
        <v>1.25</v>
      </c>
      <c r="AP86" s="233">
        <f t="shared" ca="1" si="222"/>
        <v>2</v>
      </c>
      <c r="AQ86" s="233">
        <f t="shared" ca="1" si="223"/>
        <v>2.75</v>
      </c>
      <c r="AR86" s="919">
        <f t="shared" ca="1" si="224"/>
        <v>0.35</v>
      </c>
      <c r="AS86" s="233">
        <f t="shared" ca="1" si="225"/>
        <v>0.5</v>
      </c>
      <c r="AT86" s="235">
        <f t="shared" ca="1" si="226"/>
        <v>0.7</v>
      </c>
      <c r="AU86" s="946">
        <f t="shared" si="227"/>
        <v>0.5</v>
      </c>
      <c r="AV86" s="13">
        <f t="shared" ca="1" si="228"/>
        <v>21</v>
      </c>
      <c r="AW86" s="210">
        <f t="shared" ca="1" si="229"/>
        <v>4</v>
      </c>
      <c r="AX86" s="210">
        <f t="shared" ca="1" si="230"/>
        <v>5</v>
      </c>
      <c r="AY86" s="210">
        <f t="shared" ca="1" si="231"/>
        <v>1</v>
      </c>
      <c r="AZ86" s="13">
        <f t="shared" ca="1" si="232"/>
        <v>31</v>
      </c>
      <c r="BA86" s="357">
        <f ca="1"/>
        <v>336</v>
      </c>
      <c r="BB86" s="925">
        <f ca="1"/>
        <v>64</v>
      </c>
      <c r="BC86" s="925">
        <f ca="1"/>
        <v>96</v>
      </c>
      <c r="BD86" s="928">
        <f ca="1"/>
        <v>248</v>
      </c>
      <c r="BE86" s="200">
        <f ca="1"/>
        <v>0.99998503923416138</v>
      </c>
      <c r="BF86" s="851">
        <f ca="1"/>
        <v>0.99998503923416138</v>
      </c>
      <c r="BG86" s="851">
        <f ca="1"/>
        <v>0.99998503923416138</v>
      </c>
      <c r="BH86" s="933">
        <f ca="1"/>
        <v>1.0000070855021477</v>
      </c>
      <c r="BI86" s="357">
        <f ca="1"/>
        <v>336</v>
      </c>
      <c r="BJ86" s="925">
        <f ca="1"/>
        <v>64</v>
      </c>
      <c r="BK86" s="925">
        <f ca="1"/>
        <v>96</v>
      </c>
      <c r="BL86" s="928">
        <f ca="1"/>
        <v>248</v>
      </c>
      <c r="BM86" s="200">
        <f ca="1"/>
        <v>0.99998503923416138</v>
      </c>
      <c r="BN86" s="851">
        <f ca="1"/>
        <v>0.99998503923416138</v>
      </c>
      <c r="BO86" s="851">
        <f ca="1"/>
        <v>0.99998503923416138</v>
      </c>
      <c r="BP86" s="933">
        <f ca="1"/>
        <v>1.0000070855021477</v>
      </c>
      <c r="BQ86" s="357">
        <f t="shared" ca="1" si="233"/>
        <v>744</v>
      </c>
      <c r="BR86" s="361">
        <f t="shared" ca="1" si="234"/>
        <v>744</v>
      </c>
      <c r="BS86" s="357">
        <f t="shared" ca="1" si="235"/>
        <v>483.98354427716163</v>
      </c>
      <c r="BT86" s="302">
        <f t="shared" ca="1" si="236"/>
        <v>28.491765501557762</v>
      </c>
      <c r="BU86" s="299">
        <f t="shared" ca="1" si="237"/>
        <v>29.668633656751823</v>
      </c>
      <c r="BV86" s="299">
        <f t="shared" ca="1" si="238"/>
        <v>30.845501811945891</v>
      </c>
      <c r="BW86" s="299">
        <f t="shared" ca="1" si="239"/>
        <v>32.659889647739881</v>
      </c>
      <c r="BX86" s="380">
        <f t="shared" ca="1" si="240"/>
        <v>5.8343600273785077</v>
      </c>
      <c r="BY86" s="363">
        <f t="shared" ca="1" si="241"/>
        <v>218.57321354452461</v>
      </c>
      <c r="BZ86" s="353">
        <f t="shared" ca="1" si="242"/>
        <v>41.632993056099927</v>
      </c>
      <c r="CA86" s="353">
        <f t="shared" ca="1" si="243"/>
        <v>62.449489584149887</v>
      </c>
      <c r="CB86" s="353">
        <f t="shared" ca="1" si="244"/>
        <v>322.6556961847744</v>
      </c>
      <c r="CC86" s="353">
        <f t="shared" ca="1" si="245"/>
        <v>161.32784809238723</v>
      </c>
      <c r="CD86" s="353">
        <f t="shared" ca="1" si="246"/>
        <v>483.98354427716163</v>
      </c>
      <c r="CE86" s="302">
        <f t="shared" ca="1" si="247"/>
        <v>37.949432238936424</v>
      </c>
      <c r="CF86" s="299">
        <f t="shared" ca="1" si="248"/>
        <v>30.073298852983495</v>
      </c>
      <c r="CG86" s="299">
        <f t="shared" ca="1" si="249"/>
        <v>31.05203596486842</v>
      </c>
      <c r="CH86" s="299">
        <f t="shared" ca="1" si="250"/>
        <v>35.59817703931644</v>
      </c>
      <c r="CI86" s="299">
        <f t="shared" ca="1" si="251"/>
        <v>21.340151357204803</v>
      </c>
      <c r="CJ86" s="299">
        <f t="shared" ca="1" si="252"/>
        <v>30.845501811945891</v>
      </c>
      <c r="CK86" s="299">
        <f t="shared" ca="1" si="253"/>
        <v>32.659889647739881</v>
      </c>
      <c r="CL86" s="377">
        <f t="shared" ca="1" si="254"/>
        <v>0.32847000796874998</v>
      </c>
      <c r="CM86" s="305">
        <f t="shared" ca="1" si="255"/>
        <v>0.32847000796874998</v>
      </c>
      <c r="CN86" s="305">
        <f t="shared" ca="1" si="256"/>
        <v>0.32847000796874998</v>
      </c>
      <c r="CO86" s="305">
        <f t="shared" ca="1" si="257"/>
        <v>0.32847000796874998</v>
      </c>
      <c r="CP86" s="305">
        <f t="shared" ca="1" si="258"/>
        <v>9.3013449990720018E-2</v>
      </c>
      <c r="CQ86" s="305">
        <f t="shared" ca="1" si="259"/>
        <v>0.27503171330685094</v>
      </c>
      <c r="CR86" s="775">
        <f t="shared" ca="1" si="260"/>
        <v>0.34347000796874999</v>
      </c>
      <c r="CS86" s="305">
        <f t="shared" ca="1" si="261"/>
        <v>0.32847000796874998</v>
      </c>
      <c r="CT86" s="305">
        <f t="shared" ca="1" si="262"/>
        <v>0.32847000796874998</v>
      </c>
      <c r="CU86" s="305">
        <f t="shared" ca="1" si="263"/>
        <v>0.15301344999072003</v>
      </c>
      <c r="CV86" s="770">
        <f t="shared" ca="1" si="264"/>
        <v>0.27503171330685094</v>
      </c>
      <c r="CW86" s="302">
        <f t="shared" ca="1" si="265"/>
        <v>14.177713102574973</v>
      </c>
      <c r="CX86" s="299">
        <f t="shared" ca="1" si="266"/>
        <v>8.4300637795509044</v>
      </c>
      <c r="CY86" s="299">
        <f t="shared" ca="1" si="267"/>
        <v>9.0396688655521764</v>
      </c>
      <c r="CZ86" s="299">
        <f t="shared" ca="1" si="268"/>
        <v>0.59742384944857019</v>
      </c>
      <c r="DA86" s="774">
        <f t="shared" ca="1" si="269"/>
        <v>7.385341219885289</v>
      </c>
      <c r="DB86" s="303">
        <f t="shared" ca="1" si="270"/>
        <v>3574.3836192962985</v>
      </c>
      <c r="DC86" s="248">
        <f t="shared" ca="1" si="271"/>
        <v>289.03826564073927</v>
      </c>
      <c r="DD86" s="778">
        <f t="shared" ca="1" si="272"/>
        <v>0</v>
      </c>
      <c r="DE86" s="363">
        <f t="shared" ca="1" si="273"/>
        <v>0.65051551650156136</v>
      </c>
      <c r="DF86" s="378">
        <f t="shared" ca="1" si="274"/>
        <v>-0.23388408664294616</v>
      </c>
      <c r="DG86" s="508">
        <f t="shared" ca="1" si="275"/>
        <v>-0.50069557025621703</v>
      </c>
      <c r="DH86" s="508">
        <f t="shared" ca="1" si="276"/>
        <v>-0.46032921047243258</v>
      </c>
      <c r="DI86" s="508">
        <f t="shared" ca="1" si="277"/>
        <v>-1.336212592722231</v>
      </c>
      <c r="DJ86" s="508">
        <f t="shared" ca="1" si="278"/>
        <v>-0.41819918693013175</v>
      </c>
      <c r="DK86" s="353">
        <f t="shared" ca="1" si="279"/>
        <v>-163.53841808665081</v>
      </c>
      <c r="DL86" s="781">
        <f t="shared" ca="1" si="280"/>
        <v>8.1539818888878965</v>
      </c>
      <c r="DM86" s="303">
        <f t="shared" ca="1" si="281"/>
        <v>11439.135626544426</v>
      </c>
      <c r="DN86" s="508">
        <f t="shared" ca="1" si="282"/>
        <v>1.2697511053776025</v>
      </c>
      <c r="DO86" s="508">
        <f t="shared" ca="1" si="283"/>
        <v>1.1734374241698944</v>
      </c>
      <c r="DP86" s="508">
        <f t="shared" ca="1" si="284"/>
        <v>1.1866978887362003</v>
      </c>
      <c r="DQ86" s="508">
        <f t="shared" ca="1" si="285"/>
        <v>1.0314006179631463</v>
      </c>
      <c r="DR86" s="508">
        <f t="shared" ca="1" si="286"/>
        <v>1.1839347866502203</v>
      </c>
      <c r="DS86" s="353">
        <f t="shared" ca="1" si="287"/>
        <v>7137.6240111687484</v>
      </c>
      <c r="DT86" s="353">
        <f t="shared" ca="1" si="288"/>
        <v>-10405.828121270937</v>
      </c>
      <c r="DU86" s="380">
        <f t="shared" ca="1" si="388"/>
        <v>5.8343600273785077</v>
      </c>
      <c r="DV86" s="303">
        <f t="shared" ca="1" si="289"/>
        <v>218.57321354452461</v>
      </c>
      <c r="DW86" s="303">
        <f t="shared" ca="1" si="290"/>
        <v>41.632993056099927</v>
      </c>
      <c r="DX86" s="303">
        <f t="shared" ca="1" si="291"/>
        <v>62.449489584149887</v>
      </c>
      <c r="DY86" s="303">
        <f t="shared" ca="1" si="292"/>
        <v>322.6556961847744</v>
      </c>
      <c r="DZ86" s="303">
        <f t="shared" ca="1" si="293"/>
        <v>161.32784809238723</v>
      </c>
      <c r="EA86" s="303">
        <f t="shared" ca="1" si="294"/>
        <v>483.98354427716163</v>
      </c>
      <c r="EB86" s="302">
        <f t="shared" ca="1" si="295"/>
        <v>37.949432238936424</v>
      </c>
      <c r="EC86" s="299">
        <f t="shared" ca="1" si="296"/>
        <v>30.073298852983495</v>
      </c>
      <c r="ED86" s="299">
        <f t="shared" ca="1" si="297"/>
        <v>31.05203596486842</v>
      </c>
      <c r="EE86" s="299">
        <f t="shared" ca="1" si="298"/>
        <v>35.59817703931644</v>
      </c>
      <c r="EF86" s="299">
        <f t="shared" ca="1" si="299"/>
        <v>21.340151357204803</v>
      </c>
      <c r="EG86" s="299">
        <f t="shared" ca="1" si="300"/>
        <v>30.845501811945891</v>
      </c>
      <c r="EH86" s="302">
        <f t="shared" ca="1" si="301"/>
        <v>30</v>
      </c>
      <c r="EI86" s="304">
        <f t="shared" ca="1" si="302"/>
        <v>0.10949000265624999</v>
      </c>
      <c r="EJ86" s="305">
        <f t="shared" ca="1" si="303"/>
        <v>0.10949000265624999</v>
      </c>
      <c r="EK86" s="305">
        <f t="shared" ca="1" si="304"/>
        <v>0.10949000265624999</v>
      </c>
      <c r="EL86" s="305">
        <f t="shared" ca="1" si="305"/>
        <v>0.10949000265625004</v>
      </c>
      <c r="EM86" s="305">
        <f t="shared" ca="1" si="306"/>
        <v>3.1004483330240005E-2</v>
      </c>
      <c r="EN86" s="305">
        <f t="shared" ca="1" si="307"/>
        <v>8.8462656648476204E-2</v>
      </c>
      <c r="EO86" s="305">
        <f t="shared" ca="1" si="308"/>
        <v>0.10949000265624999</v>
      </c>
      <c r="EP86" s="305">
        <f t="shared" ca="1" si="309"/>
        <v>0.10949000265624999</v>
      </c>
      <c r="EQ86" s="305">
        <f t="shared" ca="1" si="310"/>
        <v>0.10949000265624999</v>
      </c>
      <c r="ER86" s="305">
        <f t="shared" ca="1" si="311"/>
        <v>3.1004483330240005E-2</v>
      </c>
      <c r="ES86" s="305">
        <f t="shared" ca="1" si="312"/>
        <v>8.8462656648476204E-2</v>
      </c>
      <c r="ET86" s="299">
        <f t="shared" ca="1" si="313"/>
        <v>2.187476812743995</v>
      </c>
      <c r="EU86" s="302">
        <f t="shared" ca="1" si="314"/>
        <v>30</v>
      </c>
      <c r="EV86" s="304">
        <f t="shared" ca="1" si="315"/>
        <v>0.32847000796874998</v>
      </c>
      <c r="EW86" s="305">
        <f t="shared" ca="1" si="316"/>
        <v>0.32847000796874998</v>
      </c>
      <c r="EX86" s="305">
        <f t="shared" ca="1" si="317"/>
        <v>0.32847000796874998</v>
      </c>
      <c r="EY86" s="305">
        <f t="shared" ca="1" si="318"/>
        <v>0.32847000796874998</v>
      </c>
      <c r="EZ86" s="305">
        <f t="shared" ca="1" si="319"/>
        <v>9.3013449990720018E-2</v>
      </c>
      <c r="FA86" s="305">
        <f t="shared" ca="1" si="320"/>
        <v>0.27503171330685094</v>
      </c>
      <c r="FB86" s="305">
        <f t="shared" ca="1" si="321"/>
        <v>0.32847000796874998</v>
      </c>
      <c r="FC86" s="305">
        <f t="shared" ca="1" si="322"/>
        <v>0.32847000796874998</v>
      </c>
      <c r="FD86" s="305">
        <f t="shared" ca="1" si="323"/>
        <v>0.32847000796874998</v>
      </c>
      <c r="FE86" s="305">
        <f t="shared" ca="1" si="324"/>
        <v>9.3013449990720018E-2</v>
      </c>
      <c r="FF86" s="305">
        <f t="shared" ca="1" si="325"/>
        <v>0.27503171330685094</v>
      </c>
      <c r="FG86" s="299">
        <f t="shared" ca="1" si="326"/>
        <v>8.3464189095995831</v>
      </c>
      <c r="FH86" s="302">
        <f t="shared" ca="1" si="327"/>
        <v>-6.1589420968555881</v>
      </c>
      <c r="FI86" s="248">
        <f t="shared" ca="1" si="328"/>
        <v>-2980.8266250339811</v>
      </c>
      <c r="FJ86" s="363">
        <f t="shared" ca="1" si="329"/>
        <v>0.65051551650156136</v>
      </c>
      <c r="FK86" s="378">
        <f t="shared" ca="1" si="330"/>
        <v>0.7565632730942734</v>
      </c>
      <c r="FL86" s="508">
        <f t="shared" ca="1" si="331"/>
        <v>-0.12300607116758952</v>
      </c>
      <c r="FM86" s="508">
        <f t="shared" ca="1" si="332"/>
        <v>-1.9069918162356975E-3</v>
      </c>
      <c r="FN86" s="508">
        <f t="shared" ca="1" si="333"/>
        <v>-4.5855710311087687</v>
      </c>
      <c r="FO86" s="508">
        <f t="shared" ca="1" si="334"/>
        <v>2.3234872894572191E-2</v>
      </c>
      <c r="FP86" s="353">
        <f t="shared" ca="1" si="335"/>
        <v>237.50592999548948</v>
      </c>
      <c r="FQ86" s="356">
        <f t="shared" ca="1" si="336"/>
        <v>30.112427749197561</v>
      </c>
      <c r="FR86" s="380">
        <f t="shared" ca="1" si="337"/>
        <v>24.92</v>
      </c>
      <c r="FS86" s="299">
        <f t="shared" ca="1" si="338"/>
        <v>24.92</v>
      </c>
      <c r="FT86" s="299">
        <f t="shared" ca="1" si="339"/>
        <v>24.92</v>
      </c>
      <c r="FU86" s="299">
        <f t="shared" ca="1" si="340"/>
        <v>24.92</v>
      </c>
      <c r="FV86" s="299">
        <f t="shared" ca="1" si="341"/>
        <v>24.92</v>
      </c>
      <c r="FW86" s="850">
        <f t="shared" ca="1" si="342"/>
        <v>0.16700000000000001</v>
      </c>
      <c r="FX86" s="851">
        <f t="shared" ca="1" si="343"/>
        <v>0.5</v>
      </c>
      <c r="FY86" s="851">
        <f t="shared" ca="1" si="344"/>
        <v>0</v>
      </c>
      <c r="FZ86" s="201">
        <f t="shared" ca="1" si="345"/>
        <v>0</v>
      </c>
      <c r="GA86" s="201">
        <f t="shared" ca="1" si="346"/>
        <v>0</v>
      </c>
      <c r="GB86" s="201">
        <f t="shared" ca="1" si="347"/>
        <v>0</v>
      </c>
      <c r="GC86" s="201">
        <f t="shared" ca="1" si="348"/>
        <v>0</v>
      </c>
      <c r="GD86" s="850">
        <f t="shared" ca="1" si="349"/>
        <v>0.34347000796874999</v>
      </c>
      <c r="GE86" s="866">
        <f t="shared" ca="1" si="350"/>
        <v>0.34347000796874999</v>
      </c>
      <c r="GF86" s="866">
        <f t="shared" ca="1" si="351"/>
        <v>0.34347000796874999</v>
      </c>
      <c r="GG86" s="866">
        <f t="shared" ca="1" si="352"/>
        <v>0.10301344999072001</v>
      </c>
      <c r="GH86" s="866">
        <f t="shared" ca="1" si="353"/>
        <v>0.29003171330685096</v>
      </c>
      <c r="GI86" s="302">
        <f t="shared" ca="1" si="354"/>
        <v>16.717666808931195</v>
      </c>
      <c r="GJ86" s="299">
        <f t="shared" ca="1" si="355"/>
        <v>10.543218101369927</v>
      </c>
      <c r="GK86" s="299">
        <f t="shared" ca="1" si="356"/>
        <v>11.267444664574967</v>
      </c>
      <c r="GL86" s="299">
        <f t="shared" ca="1" si="357"/>
        <v>1.7503111605866997</v>
      </c>
      <c r="GM86" s="299">
        <f t="shared" ca="1" si="358"/>
        <v>10.024863207344627</v>
      </c>
      <c r="GN86" s="302">
        <f t="shared" ca="1" si="359"/>
        <v>0.82756616618169265</v>
      </c>
      <c r="GO86" s="299">
        <f t="shared" ca="1" si="360"/>
        <v>0.73265765023112639</v>
      </c>
      <c r="GP86" s="299">
        <f t="shared" ca="1" si="361"/>
        <v>0.74711562748526128</v>
      </c>
      <c r="GQ86" s="299">
        <f t="shared" ca="1" si="362"/>
        <v>0.39600893886028637</v>
      </c>
      <c r="GR86" s="299">
        <f t="shared" ca="1" si="363"/>
        <v>0.74369486712802069</v>
      </c>
      <c r="GS86" s="302">
        <f t="shared" ca="1" si="364"/>
        <v>-0.58940621511252489</v>
      </c>
      <c r="GT86" s="299">
        <f t="shared" ca="1" si="365"/>
        <v>-0.46108409793354704</v>
      </c>
      <c r="GU86" s="299">
        <f t="shared" ca="1" si="366"/>
        <v>-0.47881296974878645</v>
      </c>
      <c r="GV86" s="299">
        <f t="shared" ca="1" si="367"/>
        <v>-0.26888358307960231</v>
      </c>
      <c r="GW86" s="299">
        <f t="shared" ca="1" si="368"/>
        <v>-0.51824957577587072</v>
      </c>
      <c r="GX86" s="303">
        <f t="shared" ca="1" si="369"/>
        <v>3654.0341573947294</v>
      </c>
      <c r="GY86" s="303">
        <f t="shared" ca="1" si="370"/>
        <v>438.94572600328121</v>
      </c>
      <c r="GZ86" s="303">
        <f t="shared" ca="1" si="371"/>
        <v>703.64616822035964</v>
      </c>
      <c r="HA86" s="303">
        <f t="shared" ca="1" si="372"/>
        <v>282.37393302954109</v>
      </c>
      <c r="HB86" s="303">
        <f t="shared" ca="1" si="373"/>
        <v>4851.8688259843666</v>
      </c>
      <c r="HC86" s="303">
        <f t="shared" ca="1" si="374"/>
        <v>2847.8848751249639</v>
      </c>
      <c r="HD86" s="303">
        <f t="shared" ca="1" si="375"/>
        <v>214.54725536226948</v>
      </c>
      <c r="HE86" s="303">
        <f t="shared" ca="1" si="376"/>
        <v>382.94251611768277</v>
      </c>
      <c r="HF86" s="303">
        <f t="shared" ca="1" si="377"/>
        <v>0</v>
      </c>
      <c r="HG86" s="852">
        <f t="shared" ca="1" si="378"/>
        <v>2867.8453685663144</v>
      </c>
    </row>
    <row r="87" spans="1:215" x14ac:dyDescent="0.25">
      <c r="A87" s="244">
        <f t="shared" ca="1" si="379"/>
        <v>38749</v>
      </c>
      <c r="B87" s="13">
        <f t="shared" ca="1" si="207"/>
        <v>2006</v>
      </c>
      <c r="C87" s="619">
        <f t="shared" ca="1" si="208"/>
        <v>2</v>
      </c>
      <c r="D87" s="195" t="str">
        <f t="shared" ca="1" si="209"/>
        <v/>
      </c>
      <c r="E87" s="469">
        <f t="shared" ca="1" si="210"/>
        <v>38749</v>
      </c>
      <c r="F87" s="465">
        <f t="shared" ca="1" si="211"/>
        <v>38776</v>
      </c>
      <c r="G87" s="522">
        <f t="shared" ca="1" si="380"/>
        <v>1</v>
      </c>
      <c r="H87" s="519">
        <f t="shared" ca="1" si="381"/>
        <v>1</v>
      </c>
      <c r="I87" s="724">
        <f t="shared" ca="1" si="212"/>
        <v>7.3346952947122013E-2</v>
      </c>
      <c r="J87" s="198">
        <f t="shared" ca="1" si="213"/>
        <v>0.64684058945095924</v>
      </c>
      <c r="K87" s="200">
        <f t="shared" ca="1" si="389"/>
        <v>35.75</v>
      </c>
      <c r="L87" s="201">
        <f t="shared" ca="1" si="390"/>
        <v>36.85</v>
      </c>
      <c r="M87" s="206">
        <f t="shared" ca="1" si="391"/>
        <v>37.950000000000003</v>
      </c>
      <c r="N87" s="851">
        <f t="shared" ca="1" si="395"/>
        <v>27.421250152587888</v>
      </c>
      <c r="O87" s="201">
        <f t="shared" ca="1" si="396"/>
        <v>28.246250152587887</v>
      </c>
      <c r="P87" s="206">
        <f t="shared" ca="1" si="397"/>
        <v>29.071250152587886</v>
      </c>
      <c r="Q87" s="201">
        <f t="shared" ca="1" si="398"/>
        <v>22.447499465942379</v>
      </c>
      <c r="R87" s="201">
        <f t="shared" ca="1" si="399"/>
        <v>25.747499465942379</v>
      </c>
      <c r="S87" s="201">
        <f t="shared" ca="1" si="400"/>
        <v>29.04749946594238</v>
      </c>
      <c r="T87" s="851">
        <f t="shared" ca="1" si="392"/>
        <v>20.049997711181639</v>
      </c>
      <c r="U87" s="201">
        <f t="shared" ca="1" si="393"/>
        <v>20.59999771118164</v>
      </c>
      <c r="V87" s="206">
        <f t="shared" ca="1" si="394"/>
        <v>21.149997711181641</v>
      </c>
      <c r="W87" s="230">
        <f t="shared" ca="1" si="382"/>
        <v>0.10562109796874998</v>
      </c>
      <c r="X87" s="231">
        <f t="shared" ca="1" si="383"/>
        <v>0.21124219593749996</v>
      </c>
      <c r="Y87" s="232">
        <f t="shared" ca="1" si="384"/>
        <v>0.31686329390624995</v>
      </c>
      <c r="Z87" s="231">
        <f t="shared" ca="1" si="202"/>
        <v>0.10562109796874998</v>
      </c>
      <c r="AA87" s="231">
        <f t="shared" ca="1" si="203"/>
        <v>0.21124219593749996</v>
      </c>
      <c r="AB87" s="232">
        <f t="shared" ca="1" si="204"/>
        <v>0.31686329390624995</v>
      </c>
      <c r="AC87" s="231">
        <f t="shared" ca="1" si="205"/>
        <v>0.10562109796874998</v>
      </c>
      <c r="AD87" s="231">
        <f t="shared" ca="1" si="206"/>
        <v>0.21124219593749996</v>
      </c>
      <c r="AE87" s="232">
        <f t="shared" ca="1" si="214"/>
        <v>0.31686329390624995</v>
      </c>
      <c r="AF87" s="231">
        <f t="shared" ca="1" si="385"/>
        <v>3.1004483330240005E-2</v>
      </c>
      <c r="AG87" s="231">
        <f t="shared" ca="1" si="386"/>
        <v>6.200896666048001E-2</v>
      </c>
      <c r="AH87" s="232">
        <f t="shared" ca="1" si="387"/>
        <v>9.3013449990720018E-2</v>
      </c>
      <c r="AI87" s="233">
        <f t="shared" ca="1" si="215"/>
        <v>1.25</v>
      </c>
      <c r="AJ87" s="233">
        <f t="shared" ca="1" si="216"/>
        <v>2</v>
      </c>
      <c r="AK87" s="234">
        <f t="shared" ca="1" si="217"/>
        <v>2.75</v>
      </c>
      <c r="AL87" s="919">
        <f t="shared" ca="1" si="218"/>
        <v>1.25</v>
      </c>
      <c r="AM87" s="233">
        <f t="shared" ca="1" si="219"/>
        <v>2</v>
      </c>
      <c r="AN87" s="234">
        <f t="shared" ca="1" si="220"/>
        <v>2.75</v>
      </c>
      <c r="AO87" s="233">
        <f t="shared" ca="1" si="221"/>
        <v>1.25</v>
      </c>
      <c r="AP87" s="233">
        <f t="shared" ca="1" si="222"/>
        <v>2</v>
      </c>
      <c r="AQ87" s="233">
        <f t="shared" ca="1" si="223"/>
        <v>2.75</v>
      </c>
      <c r="AR87" s="919">
        <f t="shared" ca="1" si="224"/>
        <v>0.35</v>
      </c>
      <c r="AS87" s="233">
        <f t="shared" ca="1" si="225"/>
        <v>0.5</v>
      </c>
      <c r="AT87" s="235">
        <f t="shared" ca="1" si="226"/>
        <v>0.7</v>
      </c>
      <c r="AU87" s="946">
        <f t="shared" si="227"/>
        <v>0.5</v>
      </c>
      <c r="AV87" s="13">
        <f t="shared" ca="1" si="228"/>
        <v>20</v>
      </c>
      <c r="AW87" s="210">
        <f t="shared" ca="1" si="229"/>
        <v>4</v>
      </c>
      <c r="AX87" s="210">
        <f t="shared" ca="1" si="230"/>
        <v>4</v>
      </c>
      <c r="AY87" s="210">
        <f t="shared" ca="1" si="231"/>
        <v>0</v>
      </c>
      <c r="AZ87" s="13">
        <f t="shared" ca="1" si="232"/>
        <v>28</v>
      </c>
      <c r="BA87" s="357">
        <f ca="1"/>
        <v>320</v>
      </c>
      <c r="BB87" s="925">
        <f ca="1"/>
        <v>64</v>
      </c>
      <c r="BC87" s="925">
        <f ca="1"/>
        <v>64</v>
      </c>
      <c r="BD87" s="928">
        <f ca="1"/>
        <v>224</v>
      </c>
      <c r="BE87" s="200">
        <f ca="1"/>
        <v>0.99998503923416138</v>
      </c>
      <c r="BF87" s="851">
        <f ca="1"/>
        <v>0.99998503923416138</v>
      </c>
      <c r="BG87" s="851">
        <f ca="1"/>
        <v>0.99998503923416138</v>
      </c>
      <c r="BH87" s="933">
        <f ca="1"/>
        <v>1.0000070855021477</v>
      </c>
      <c r="BI87" s="357">
        <f ca="1"/>
        <v>320</v>
      </c>
      <c r="BJ87" s="925">
        <f ca="1"/>
        <v>64</v>
      </c>
      <c r="BK87" s="925">
        <f ca="1"/>
        <v>64</v>
      </c>
      <c r="BL87" s="928">
        <f ca="1"/>
        <v>224</v>
      </c>
      <c r="BM87" s="200">
        <f ca="1"/>
        <v>0.99998503923416138</v>
      </c>
      <c r="BN87" s="851">
        <f ca="1"/>
        <v>0.99998503923416138</v>
      </c>
      <c r="BO87" s="851">
        <f ca="1"/>
        <v>0.99998503923416138</v>
      </c>
      <c r="BP87" s="933">
        <f ca="1"/>
        <v>1.0000070855021477</v>
      </c>
      <c r="BQ87" s="357">
        <f t="shared" ca="1" si="233"/>
        <v>672</v>
      </c>
      <c r="BR87" s="361">
        <f t="shared" ca="1" si="234"/>
        <v>672</v>
      </c>
      <c r="BS87" s="357">
        <f t="shared" ca="1" si="235"/>
        <v>434.67687611104463</v>
      </c>
      <c r="BT87" s="302">
        <f t="shared" ca="1" si="236"/>
        <v>28.456268430585055</v>
      </c>
      <c r="BU87" s="299">
        <f t="shared" ca="1" si="237"/>
        <v>29.556256015558432</v>
      </c>
      <c r="BV87" s="299">
        <f t="shared" ca="1" si="238"/>
        <v>30.656243600531806</v>
      </c>
      <c r="BW87" s="299">
        <f t="shared" ca="1" si="239"/>
        <v>32.659889647739881</v>
      </c>
      <c r="BX87" s="380">
        <f t="shared" ca="1" si="240"/>
        <v>5.9192334017796027</v>
      </c>
      <c r="BY87" s="363">
        <f t="shared" ca="1" si="241"/>
        <v>206.98898862430696</v>
      </c>
      <c r="BZ87" s="353">
        <f t="shared" ca="1" si="242"/>
        <v>41.397797724861391</v>
      </c>
      <c r="CA87" s="353">
        <f t="shared" ca="1" si="243"/>
        <v>41.397797724861391</v>
      </c>
      <c r="CB87" s="353">
        <f t="shared" ca="1" si="244"/>
        <v>289.78458407402974</v>
      </c>
      <c r="CC87" s="353">
        <f t="shared" ca="1" si="245"/>
        <v>144.89229203701487</v>
      </c>
      <c r="CD87" s="353">
        <f t="shared" ca="1" si="246"/>
        <v>434.67687611104463</v>
      </c>
      <c r="CE87" s="302">
        <f t="shared" ca="1" si="247"/>
        <v>37.949432238936424</v>
      </c>
      <c r="CF87" s="299">
        <f t="shared" ca="1" si="248"/>
        <v>29.070815224421718</v>
      </c>
      <c r="CG87" s="299">
        <f t="shared" ca="1" si="249"/>
        <v>29.047064893104672</v>
      </c>
      <c r="CH87" s="299">
        <f t="shared" ca="1" si="250"/>
        <v>35.40929161602979</v>
      </c>
      <c r="CI87" s="299">
        <f t="shared" ca="1" si="251"/>
        <v>21.150147569535847</v>
      </c>
      <c r="CJ87" s="299">
        <f t="shared" ca="1" si="252"/>
        <v>30.656243600531809</v>
      </c>
      <c r="CK87" s="299">
        <f t="shared" ca="1" si="253"/>
        <v>32.659889647739881</v>
      </c>
      <c r="CL87" s="377">
        <f t="shared" ca="1" si="254"/>
        <v>0.31686329390624995</v>
      </c>
      <c r="CM87" s="305">
        <f t="shared" ca="1" si="255"/>
        <v>0.31686329390624995</v>
      </c>
      <c r="CN87" s="305">
        <f t="shared" ca="1" si="256"/>
        <v>0.31686329390624995</v>
      </c>
      <c r="CO87" s="305">
        <f t="shared" ca="1" si="257"/>
        <v>0.31686329390624995</v>
      </c>
      <c r="CP87" s="305">
        <f t="shared" ca="1" si="258"/>
        <v>9.3013449990720018E-2</v>
      </c>
      <c r="CQ87" s="305">
        <f t="shared" ca="1" si="259"/>
        <v>0.26520951154949929</v>
      </c>
      <c r="CR87" s="775">
        <f t="shared" ca="1" si="260"/>
        <v>0.33186329390624997</v>
      </c>
      <c r="CS87" s="305">
        <f t="shared" ca="1" si="261"/>
        <v>0.32686329390624996</v>
      </c>
      <c r="CT87" s="305">
        <f t="shared" ca="1" si="262"/>
        <v>0.32686329390624996</v>
      </c>
      <c r="CU87" s="305">
        <f t="shared" ca="1" si="263"/>
        <v>0.15301344999072003</v>
      </c>
      <c r="CV87" s="770">
        <f t="shared" ca="1" si="264"/>
        <v>0.26520951154949929</v>
      </c>
      <c r="CW87" s="302">
        <f t="shared" ca="1" si="265"/>
        <v>13.895418233415437</v>
      </c>
      <c r="CX87" s="299">
        <f t="shared" ca="1" si="266"/>
        <v>7.8422743788661649</v>
      </c>
      <c r="CY87" s="299">
        <f t="shared" ca="1" si="267"/>
        <v>7.82804800600384</v>
      </c>
      <c r="CZ87" s="299">
        <f t="shared" ca="1" si="268"/>
        <v>0.58018930960570492</v>
      </c>
      <c r="DA87" s="774">
        <f t="shared" ca="1" si="269"/>
        <v>7.0454070552364989</v>
      </c>
      <c r="DB87" s="303">
        <f t="shared" ca="1" si="270"/>
        <v>3062.4755297009156</v>
      </c>
      <c r="DC87" s="248">
        <f t="shared" ca="1" si="271"/>
        <v>255.9446196743865</v>
      </c>
      <c r="DD87" s="778">
        <f t="shared" ca="1" si="272"/>
        <v>0</v>
      </c>
      <c r="DE87" s="363">
        <f t="shared" ca="1" si="273"/>
        <v>0.64684058945095924</v>
      </c>
      <c r="DF87" s="378">
        <f t="shared" ca="1" si="274"/>
        <v>-0.21779051400642666</v>
      </c>
      <c r="DG87" s="508">
        <f t="shared" ca="1" si="275"/>
        <v>-0.54400757948231093</v>
      </c>
      <c r="DH87" s="508">
        <f t="shared" ca="1" si="276"/>
        <v>-0.54503533789896486</v>
      </c>
      <c r="DI87" s="508">
        <f t="shared" ca="1" si="277"/>
        <v>-1.3532911221420232</v>
      </c>
      <c r="DJ87" s="508">
        <f t="shared" ca="1" si="278"/>
        <v>-0.42074092043206451</v>
      </c>
      <c r="DK87" s="353">
        <f t="shared" ca="1" si="279"/>
        <v>-146.47401197303719</v>
      </c>
      <c r="DL87" s="781">
        <f t="shared" ca="1" si="280"/>
        <v>7.5318247477582005</v>
      </c>
      <c r="DM87" s="303">
        <f t="shared" ca="1" si="281"/>
        <v>10247.298078393635</v>
      </c>
      <c r="DN87" s="508">
        <f t="shared" ca="1" si="282"/>
        <v>1.278055782694308</v>
      </c>
      <c r="DO87" s="508">
        <f t="shared" ca="1" si="283"/>
        <v>1.1684987770474125</v>
      </c>
      <c r="DP87" s="508">
        <f t="shared" ca="1" si="284"/>
        <v>1.1681628069489951</v>
      </c>
      <c r="DQ87" s="508">
        <f t="shared" ca="1" si="285"/>
        <v>1.0377439249410765</v>
      </c>
      <c r="DR87" s="508">
        <f t="shared" ca="1" si="286"/>
        <v>1.1903269922650259</v>
      </c>
      <c r="DS87" s="353">
        <f t="shared" ca="1" si="287"/>
        <v>6368.7944618497741</v>
      </c>
      <c r="DT87" s="353">
        <f t="shared" ca="1" si="288"/>
        <v>-9419.3387155625642</v>
      </c>
      <c r="DU87" s="380">
        <f t="shared" ca="1" si="388"/>
        <v>5.9192334017796027</v>
      </c>
      <c r="DV87" s="303">
        <f t="shared" ca="1" si="289"/>
        <v>206.98898862430696</v>
      </c>
      <c r="DW87" s="303">
        <f t="shared" ca="1" si="290"/>
        <v>41.397797724861391</v>
      </c>
      <c r="DX87" s="303">
        <f t="shared" ca="1" si="291"/>
        <v>41.397797724861391</v>
      </c>
      <c r="DY87" s="303">
        <f t="shared" ca="1" si="292"/>
        <v>289.78458407402974</v>
      </c>
      <c r="DZ87" s="303">
        <f t="shared" ca="1" si="293"/>
        <v>144.89229203701487</v>
      </c>
      <c r="EA87" s="303">
        <f t="shared" ca="1" si="294"/>
        <v>434.67687611104463</v>
      </c>
      <c r="EB87" s="302">
        <f t="shared" ca="1" si="295"/>
        <v>37.949432238936424</v>
      </c>
      <c r="EC87" s="299">
        <f t="shared" ca="1" si="296"/>
        <v>29.070815224421718</v>
      </c>
      <c r="ED87" s="299">
        <f t="shared" ca="1" si="297"/>
        <v>29.047064893104672</v>
      </c>
      <c r="EE87" s="299">
        <f t="shared" ca="1" si="298"/>
        <v>35.40929161602979</v>
      </c>
      <c r="EF87" s="299">
        <f t="shared" ca="1" si="299"/>
        <v>21.150147569535847</v>
      </c>
      <c r="EG87" s="299">
        <f t="shared" ca="1" si="300"/>
        <v>30.656243600531809</v>
      </c>
      <c r="EH87" s="302">
        <f t="shared" ca="1" si="301"/>
        <v>30</v>
      </c>
      <c r="EI87" s="304">
        <f t="shared" ca="1" si="302"/>
        <v>0.10562109796874998</v>
      </c>
      <c r="EJ87" s="305">
        <f t="shared" ca="1" si="303"/>
        <v>0.10562109796874998</v>
      </c>
      <c r="EK87" s="305">
        <f t="shared" ca="1" si="304"/>
        <v>0.10562109796874998</v>
      </c>
      <c r="EL87" s="305">
        <f t="shared" ca="1" si="305"/>
        <v>0.10562109796874998</v>
      </c>
      <c r="EM87" s="305">
        <f t="shared" ca="1" si="306"/>
        <v>3.1004483330240005E-2</v>
      </c>
      <c r="EN87" s="305">
        <f t="shared" ca="1" si="307"/>
        <v>8.5505917963053804E-2</v>
      </c>
      <c r="EO87" s="305">
        <f t="shared" ca="1" si="308"/>
        <v>0.10562109796874998</v>
      </c>
      <c r="EP87" s="305">
        <f t="shared" ca="1" si="309"/>
        <v>0.10562109796874998</v>
      </c>
      <c r="EQ87" s="305">
        <f t="shared" ca="1" si="310"/>
        <v>0.10562109796874998</v>
      </c>
      <c r="ER87" s="305">
        <f t="shared" ca="1" si="311"/>
        <v>3.1004483330240005E-2</v>
      </c>
      <c r="ES87" s="305">
        <f t="shared" ca="1" si="312"/>
        <v>8.5505917963053804E-2</v>
      </c>
      <c r="ET87" s="299">
        <f t="shared" ca="1" si="313"/>
        <v>2.1978833839163858</v>
      </c>
      <c r="EU87" s="302">
        <f t="shared" ca="1" si="314"/>
        <v>30</v>
      </c>
      <c r="EV87" s="304">
        <f t="shared" ca="1" si="315"/>
        <v>0.31686329390624995</v>
      </c>
      <c r="EW87" s="305">
        <f t="shared" ca="1" si="316"/>
        <v>0.31686329390624995</v>
      </c>
      <c r="EX87" s="305">
        <f t="shared" ca="1" si="317"/>
        <v>0.31686329390624995</v>
      </c>
      <c r="EY87" s="305">
        <f t="shared" ca="1" si="318"/>
        <v>0.31686329390624995</v>
      </c>
      <c r="EZ87" s="305">
        <f t="shared" ca="1" si="319"/>
        <v>9.3013449990720018E-2</v>
      </c>
      <c r="FA87" s="305">
        <f t="shared" ca="1" si="320"/>
        <v>0.26520951154949929</v>
      </c>
      <c r="FB87" s="305">
        <f t="shared" ca="1" si="321"/>
        <v>0.31686329390624995</v>
      </c>
      <c r="FC87" s="305">
        <f t="shared" ca="1" si="322"/>
        <v>0.31686329390624995</v>
      </c>
      <c r="FD87" s="305">
        <f t="shared" ca="1" si="323"/>
        <v>0.31686329390624995</v>
      </c>
      <c r="FE87" s="305">
        <f t="shared" ca="1" si="324"/>
        <v>9.3013449990720018E-2</v>
      </c>
      <c r="FF87" s="305">
        <f t="shared" ca="1" si="325"/>
        <v>0.26520951154949929</v>
      </c>
      <c r="FG87" s="299">
        <f t="shared" ca="1" si="326"/>
        <v>8.0058241078022494</v>
      </c>
      <c r="FH87" s="302">
        <f t="shared" ca="1" si="327"/>
        <v>-5.8079407238858636</v>
      </c>
      <c r="FI87" s="248">
        <f t="shared" ca="1" si="328"/>
        <v>-2524.5775304968265</v>
      </c>
      <c r="FJ87" s="363">
        <f t="shared" ca="1" si="329"/>
        <v>0.64684058945095924</v>
      </c>
      <c r="FK87" s="378">
        <f t="shared" ca="1" si="330"/>
        <v>0.78623871404915469</v>
      </c>
      <c r="FL87" s="508">
        <f t="shared" ca="1" si="331"/>
        <v>-0.25092196741566408</v>
      </c>
      <c r="FM87" s="508">
        <f t="shared" ca="1" si="332"/>
        <v>-0.2541025488323308</v>
      </c>
      <c r="FN87" s="508">
        <f t="shared" ca="1" si="333"/>
        <v>-4.6716805640048369</v>
      </c>
      <c r="FO87" s="508">
        <f t="shared" ca="1" si="334"/>
        <v>2.0824481492494197E-6</v>
      </c>
      <c r="FP87" s="353">
        <f t="shared" ca="1" si="335"/>
        <v>217.33807702869984</v>
      </c>
      <c r="FQ87" s="356">
        <f t="shared" ca="1" si="336"/>
        <v>27.786038010524898</v>
      </c>
      <c r="FR87" s="380">
        <f t="shared" ca="1" si="337"/>
        <v>23.976000000000003</v>
      </c>
      <c r="FS87" s="299">
        <f t="shared" ca="1" si="338"/>
        <v>23.976000000000003</v>
      </c>
      <c r="FT87" s="299">
        <f t="shared" ca="1" si="339"/>
        <v>23.976000000000003</v>
      </c>
      <c r="FU87" s="299">
        <f t="shared" ca="1" si="340"/>
        <v>23.976000000000003</v>
      </c>
      <c r="FV87" s="299">
        <f t="shared" ca="1" si="341"/>
        <v>23.975999999999999</v>
      </c>
      <c r="FW87" s="850">
        <f t="shared" ca="1" si="342"/>
        <v>0.16700000000000001</v>
      </c>
      <c r="FX87" s="851">
        <f t="shared" ca="1" si="343"/>
        <v>0.5</v>
      </c>
      <c r="FY87" s="851">
        <f t="shared" ca="1" si="344"/>
        <v>0</v>
      </c>
      <c r="FZ87" s="201">
        <f t="shared" ca="1" si="345"/>
        <v>0</v>
      </c>
      <c r="GA87" s="201">
        <f t="shared" ca="1" si="346"/>
        <v>0</v>
      </c>
      <c r="GB87" s="201">
        <f t="shared" ca="1" si="347"/>
        <v>0</v>
      </c>
      <c r="GC87" s="201">
        <f t="shared" ca="1" si="348"/>
        <v>0</v>
      </c>
      <c r="GD87" s="850">
        <f t="shared" ca="1" si="349"/>
        <v>0.33186329390624997</v>
      </c>
      <c r="GE87" s="866">
        <f t="shared" ca="1" si="350"/>
        <v>0.33186329390624997</v>
      </c>
      <c r="GF87" s="866">
        <f t="shared" ca="1" si="351"/>
        <v>0.33186329390624997</v>
      </c>
      <c r="GG87" s="866">
        <f t="shared" ca="1" si="352"/>
        <v>9.3013449990720018E-2</v>
      </c>
      <c r="GH87" s="866">
        <f t="shared" ca="1" si="353"/>
        <v>0.2802095115494993</v>
      </c>
      <c r="GI87" s="302">
        <f t="shared" ca="1" si="354"/>
        <v>17.106683994075876</v>
      </c>
      <c r="GJ87" s="299">
        <f t="shared" ca="1" si="355"/>
        <v>10.059850148136501</v>
      </c>
      <c r="GK87" s="299">
        <f t="shared" ca="1" si="356"/>
        <v>10.042420207885124</v>
      </c>
      <c r="GL87" s="299">
        <f t="shared" ca="1" si="357"/>
        <v>1.9400945197979671</v>
      </c>
      <c r="GM87" s="299">
        <f t="shared" ca="1" si="358"/>
        <v>10.239021089429617</v>
      </c>
      <c r="GN87" s="302">
        <f t="shared" ca="1" si="359"/>
        <v>0.8428729163397698</v>
      </c>
      <c r="GO87" s="299">
        <f t="shared" ca="1" si="360"/>
        <v>0.73407310604556675</v>
      </c>
      <c r="GP87" s="299">
        <f t="shared" ca="1" si="361"/>
        <v>0.73368943245980234</v>
      </c>
      <c r="GQ87" s="299">
        <f t="shared" ca="1" si="362"/>
        <v>0.42884363224466149</v>
      </c>
      <c r="GR87" s="299">
        <f t="shared" ca="1" si="363"/>
        <v>0.7613877557915012</v>
      </c>
      <c r="GS87" s="302">
        <f t="shared" ca="1" si="364"/>
        <v>-0.62061511061710173</v>
      </c>
      <c r="GT87" s="299">
        <f t="shared" ca="1" si="365"/>
        <v>-0.4704811306435574</v>
      </c>
      <c r="GU87" s="299">
        <f t="shared" ca="1" si="366"/>
        <v>-0.47001611861755205</v>
      </c>
      <c r="GV87" s="299">
        <f t="shared" ca="1" si="367"/>
        <v>-0.29738116530194375</v>
      </c>
      <c r="GW87" s="299">
        <f t="shared" ca="1" si="368"/>
        <v>-0.54647438195955045</v>
      </c>
      <c r="GX87" s="303">
        <f t="shared" ca="1" si="369"/>
        <v>3540.8952186493852</v>
      </c>
      <c r="GY87" s="303">
        <f t="shared" ca="1" si="370"/>
        <v>416.45564157497176</v>
      </c>
      <c r="GZ87" s="303">
        <f t="shared" ca="1" si="371"/>
        <v>415.73408043408887</v>
      </c>
      <c r="HA87" s="303">
        <f t="shared" ca="1" si="372"/>
        <v>281.10474174197918</v>
      </c>
      <c r="HB87" s="303">
        <f t="shared" ca="1" si="373"/>
        <v>4450.6657015883711</v>
      </c>
      <c r="HC87" s="303">
        <f t="shared" ca="1" si="374"/>
        <v>2892.3466067477352</v>
      </c>
      <c r="HD87" s="303">
        <f t="shared" ca="1" si="375"/>
        <v>210.91413010615446</v>
      </c>
      <c r="HE87" s="303">
        <f t="shared" ca="1" si="376"/>
        <v>209.93091869439294</v>
      </c>
      <c r="HF87" s="303">
        <f t="shared" ca="1" si="377"/>
        <v>0</v>
      </c>
      <c r="HG87" s="852">
        <f t="shared" ca="1" si="378"/>
        <v>2903.7474199399644</v>
      </c>
    </row>
    <row r="88" spans="1:215" x14ac:dyDescent="0.25">
      <c r="A88" s="244">
        <f t="shared" ca="1" si="379"/>
        <v>38777</v>
      </c>
      <c r="B88" s="13">
        <f t="shared" ca="1" si="207"/>
        <v>2006</v>
      </c>
      <c r="C88" s="619">
        <f t="shared" ca="1" si="208"/>
        <v>3</v>
      </c>
      <c r="D88" s="195" t="str">
        <f t="shared" ca="1" si="209"/>
        <v/>
      </c>
      <c r="E88" s="469">
        <f t="shared" ca="1" si="210"/>
        <v>38777</v>
      </c>
      <c r="F88" s="465">
        <f t="shared" ca="1" si="211"/>
        <v>38807</v>
      </c>
      <c r="G88" s="522">
        <f t="shared" ca="1" si="380"/>
        <v>1</v>
      </c>
      <c r="H88" s="519">
        <f t="shared" ca="1" si="381"/>
        <v>1</v>
      </c>
      <c r="I88" s="724">
        <f t="shared" ca="1" si="212"/>
        <v>7.3369401101469001E-2</v>
      </c>
      <c r="J88" s="198">
        <f t="shared" ca="1" si="213"/>
        <v>0.64281264888236933</v>
      </c>
      <c r="K88" s="200">
        <f t="shared" ca="1" si="389"/>
        <v>32.450000000000003</v>
      </c>
      <c r="L88" s="201">
        <f t="shared" ca="1" si="390"/>
        <v>33.1</v>
      </c>
      <c r="M88" s="206">
        <f t="shared" ca="1" si="391"/>
        <v>33.75</v>
      </c>
      <c r="N88" s="851">
        <f t="shared" ca="1" si="395"/>
        <v>20.94724960327148</v>
      </c>
      <c r="O88" s="201">
        <f t="shared" ca="1" si="396"/>
        <v>21.434749603271481</v>
      </c>
      <c r="P88" s="206">
        <f t="shared" ca="1" si="397"/>
        <v>21.922249603271482</v>
      </c>
      <c r="Q88" s="201">
        <f t="shared" ca="1" si="398"/>
        <v>17.764498901367183</v>
      </c>
      <c r="R88" s="201">
        <f t="shared" ca="1" si="399"/>
        <v>21.064498901367184</v>
      </c>
      <c r="S88" s="201">
        <f t="shared" ca="1" si="400"/>
        <v>24.364498901367185</v>
      </c>
      <c r="T88" s="851">
        <f t="shared" ca="1" si="392"/>
        <v>19.274999618530273</v>
      </c>
      <c r="U88" s="201">
        <f t="shared" ca="1" si="393"/>
        <v>19.599999618530273</v>
      </c>
      <c r="V88" s="206">
        <f t="shared" ca="1" si="394"/>
        <v>19.924999618530272</v>
      </c>
      <c r="W88" s="230">
        <f t="shared" ca="1" si="382"/>
        <v>0.10280646980859376</v>
      </c>
      <c r="X88" s="231">
        <f t="shared" ca="1" si="383"/>
        <v>0.20561293961718752</v>
      </c>
      <c r="Y88" s="232">
        <f t="shared" ca="1" si="384"/>
        <v>0.30841940942578128</v>
      </c>
      <c r="Z88" s="231">
        <f t="shared" ca="1" si="202"/>
        <v>0.10280646980859376</v>
      </c>
      <c r="AA88" s="231">
        <f t="shared" ca="1" si="203"/>
        <v>0.20561293961718752</v>
      </c>
      <c r="AB88" s="232">
        <f t="shared" ca="1" si="204"/>
        <v>0.30841940942578128</v>
      </c>
      <c r="AC88" s="231">
        <f t="shared" ca="1" si="205"/>
        <v>0.10280646980859376</v>
      </c>
      <c r="AD88" s="231">
        <f t="shared" ca="1" si="206"/>
        <v>0.20561293961718752</v>
      </c>
      <c r="AE88" s="232">
        <f t="shared" ca="1" si="214"/>
        <v>0.30841940942578128</v>
      </c>
      <c r="AF88" s="231">
        <f t="shared" ca="1" si="385"/>
        <v>2.6575271425919995E-2</v>
      </c>
      <c r="AG88" s="231">
        <f t="shared" ca="1" si="386"/>
        <v>5.3150542851839989E-2</v>
      </c>
      <c r="AH88" s="232">
        <f t="shared" ca="1" si="387"/>
        <v>7.9725814277759988E-2</v>
      </c>
      <c r="AI88" s="233">
        <f t="shared" ca="1" si="215"/>
        <v>1.05</v>
      </c>
      <c r="AJ88" s="233">
        <f t="shared" ca="1" si="216"/>
        <v>1.3</v>
      </c>
      <c r="AK88" s="234">
        <f t="shared" ca="1" si="217"/>
        <v>1.6</v>
      </c>
      <c r="AL88" s="919">
        <f t="shared" ca="1" si="218"/>
        <v>1.05</v>
      </c>
      <c r="AM88" s="233">
        <f t="shared" ca="1" si="219"/>
        <v>1.3</v>
      </c>
      <c r="AN88" s="234">
        <f t="shared" ca="1" si="220"/>
        <v>1.6</v>
      </c>
      <c r="AO88" s="233">
        <f t="shared" ca="1" si="221"/>
        <v>1.05</v>
      </c>
      <c r="AP88" s="233">
        <f t="shared" ca="1" si="222"/>
        <v>1.3</v>
      </c>
      <c r="AQ88" s="233">
        <f t="shared" ca="1" si="223"/>
        <v>1.6</v>
      </c>
      <c r="AR88" s="919">
        <f t="shared" ca="1" si="224"/>
        <v>0.19999999999999998</v>
      </c>
      <c r="AS88" s="233">
        <f t="shared" ca="1" si="225"/>
        <v>0.35</v>
      </c>
      <c r="AT88" s="235">
        <f t="shared" ca="1" si="226"/>
        <v>0.55000000000000004</v>
      </c>
      <c r="AU88" s="946">
        <f t="shared" si="227"/>
        <v>0.5</v>
      </c>
      <c r="AV88" s="13">
        <f t="shared" ca="1" si="228"/>
        <v>23</v>
      </c>
      <c r="AW88" s="210">
        <f t="shared" ca="1" si="229"/>
        <v>4</v>
      </c>
      <c r="AX88" s="210">
        <f t="shared" ca="1" si="230"/>
        <v>4</v>
      </c>
      <c r="AY88" s="210">
        <f t="shared" ca="1" si="231"/>
        <v>0</v>
      </c>
      <c r="AZ88" s="13">
        <f t="shared" ca="1" si="232"/>
        <v>31</v>
      </c>
      <c r="BA88" s="357">
        <f ca="1"/>
        <v>368</v>
      </c>
      <c r="BB88" s="925">
        <f ca="1"/>
        <v>64</v>
      </c>
      <c r="BC88" s="925">
        <f ca="1"/>
        <v>64</v>
      </c>
      <c r="BD88" s="928">
        <f ca="1"/>
        <v>248</v>
      </c>
      <c r="BE88" s="200">
        <f ca="1"/>
        <v>0.99999375641345978</v>
      </c>
      <c r="BF88" s="851">
        <f ca="1"/>
        <v>0.99999375641345978</v>
      </c>
      <c r="BG88" s="851">
        <f ca="1"/>
        <v>0.99999375641345978</v>
      </c>
      <c r="BH88" s="933">
        <f ca="1"/>
        <v>0.99999988824129105</v>
      </c>
      <c r="BI88" s="357">
        <f ca="1"/>
        <v>368</v>
      </c>
      <c r="BJ88" s="925">
        <f ca="1"/>
        <v>64</v>
      </c>
      <c r="BK88" s="925">
        <f ca="1"/>
        <v>64</v>
      </c>
      <c r="BL88" s="928">
        <f ca="1"/>
        <v>248</v>
      </c>
      <c r="BM88" s="200">
        <f ca="1"/>
        <v>0.99999375641345978</v>
      </c>
      <c r="BN88" s="851">
        <f ca="1"/>
        <v>0.99999375641345978</v>
      </c>
      <c r="BO88" s="851">
        <f ca="1"/>
        <v>0.99999375641345978</v>
      </c>
      <c r="BP88" s="933">
        <f ca="1"/>
        <v>0.99999988824129105</v>
      </c>
      <c r="BQ88" s="357">
        <f t="shared" ca="1" si="233"/>
        <v>744</v>
      </c>
      <c r="BR88" s="361">
        <f t="shared" ca="1" si="234"/>
        <v>744</v>
      </c>
      <c r="BS88" s="357">
        <f t="shared" ca="1" si="235"/>
        <v>478.25261076848278</v>
      </c>
      <c r="BT88" s="302">
        <f t="shared" ca="1" si="236"/>
        <v>25.805458666990138</v>
      </c>
      <c r="BU88" s="299">
        <f t="shared" ca="1" si="237"/>
        <v>26.561099774625848</v>
      </c>
      <c r="BV88" s="299">
        <f t="shared" ca="1" si="238"/>
        <v>27.316740882261563</v>
      </c>
      <c r="BW88" s="299">
        <f t="shared" ca="1" si="239"/>
        <v>32.659889647739881</v>
      </c>
      <c r="BX88" s="380">
        <f t="shared" ca="1" si="240"/>
        <v>5.9958932238193015</v>
      </c>
      <c r="BY88" s="363">
        <f t="shared" ca="1" si="241"/>
        <v>236.55505478871191</v>
      </c>
      <c r="BZ88" s="353">
        <f t="shared" ca="1" si="242"/>
        <v>41.140009528471637</v>
      </c>
      <c r="CA88" s="353">
        <f t="shared" ca="1" si="243"/>
        <v>41.140009528471637</v>
      </c>
      <c r="CB88" s="353">
        <f t="shared" ca="1" si="244"/>
        <v>318.83507384565519</v>
      </c>
      <c r="CC88" s="353">
        <f t="shared" ca="1" si="245"/>
        <v>159.41753692282759</v>
      </c>
      <c r="CD88" s="353">
        <f t="shared" ca="1" si="246"/>
        <v>478.25261076848278</v>
      </c>
      <c r="CE88" s="302">
        <f t="shared" ca="1" si="247"/>
        <v>33.749789278954268</v>
      </c>
      <c r="CF88" s="299">
        <f t="shared" ca="1" si="248"/>
        <v>21.922112729808926</v>
      </c>
      <c r="CG88" s="299">
        <f t="shared" ca="1" si="249"/>
        <v>24.364346779509784</v>
      </c>
      <c r="CH88" s="299">
        <f t="shared" ca="1" si="250"/>
        <v>31.012612627523318</v>
      </c>
      <c r="CI88" s="299">
        <f t="shared" ca="1" si="251"/>
        <v>19.924997391738039</v>
      </c>
      <c r="CJ88" s="299">
        <f t="shared" ca="1" si="252"/>
        <v>27.316740882261559</v>
      </c>
      <c r="CK88" s="299">
        <f t="shared" ca="1" si="253"/>
        <v>32.659889647739881</v>
      </c>
      <c r="CL88" s="377">
        <f t="shared" ca="1" si="254"/>
        <v>0.30841940942578128</v>
      </c>
      <c r="CM88" s="305">
        <f t="shared" ca="1" si="255"/>
        <v>0.30841940942578128</v>
      </c>
      <c r="CN88" s="305">
        <f t="shared" ca="1" si="256"/>
        <v>0.30841940942578128</v>
      </c>
      <c r="CO88" s="305">
        <f t="shared" ca="1" si="257"/>
        <v>0.30841940942578133</v>
      </c>
      <c r="CP88" s="305">
        <f t="shared" ca="1" si="258"/>
        <v>7.9725814277759988E-2</v>
      </c>
      <c r="CQ88" s="305">
        <f t="shared" ca="1" si="259"/>
        <v>0.25368539624862119</v>
      </c>
      <c r="CR88" s="775">
        <f t="shared" ca="1" si="260"/>
        <v>0.30841940942578128</v>
      </c>
      <c r="CS88" s="305">
        <f t="shared" ca="1" si="261"/>
        <v>0.36841940942578127</v>
      </c>
      <c r="CT88" s="305">
        <f t="shared" ca="1" si="262"/>
        <v>0.34841940942578126</v>
      </c>
      <c r="CU88" s="305">
        <f t="shared" ca="1" si="263"/>
        <v>0.13972581427775999</v>
      </c>
      <c r="CV88" s="770">
        <f t="shared" ca="1" si="264"/>
        <v>0.2711853962486212</v>
      </c>
      <c r="CW88" s="302">
        <f t="shared" ca="1" si="265"/>
        <v>10.325150198308876</v>
      </c>
      <c r="CX88" s="299">
        <f t="shared" ca="1" si="266"/>
        <v>4.9685038716484353</v>
      </c>
      <c r="CY88" s="299">
        <f t="shared" ca="1" si="267"/>
        <v>5.783133494564713</v>
      </c>
      <c r="CZ88" s="299">
        <f t="shared" ca="1" si="268"/>
        <v>0.2870152657002969</v>
      </c>
      <c r="DA88" s="774">
        <f t="shared" ca="1" si="269"/>
        <v>5.3987029056414464</v>
      </c>
      <c r="DB88" s="303">
        <f t="shared" ca="1" si="270"/>
        <v>2581.9437593864159</v>
      </c>
      <c r="DC88" s="248">
        <f t="shared" ca="1" si="271"/>
        <v>251.13594561090213</v>
      </c>
      <c r="DD88" s="778">
        <f t="shared" ca="1" si="272"/>
        <v>0</v>
      </c>
      <c r="DE88" s="363">
        <f t="shared" ca="1" si="273"/>
        <v>0.64281264888236933</v>
      </c>
      <c r="DF88" s="378">
        <f t="shared" ca="1" si="274"/>
        <v>-0.33413921501326782</v>
      </c>
      <c r="DG88" s="508">
        <f t="shared" ca="1" si="275"/>
        <v>-0.89296569474291376</v>
      </c>
      <c r="DH88" s="508">
        <f t="shared" ca="1" si="276"/>
        <v>-0.77004036687319399</v>
      </c>
      <c r="DI88" s="508">
        <f t="shared" ca="1" si="277"/>
        <v>-1.6154286614938285</v>
      </c>
      <c r="DJ88" s="508">
        <f t="shared" ca="1" si="278"/>
        <v>-0.6010518042302615</v>
      </c>
      <c r="DK88" s="353">
        <f t="shared" ca="1" si="279"/>
        <v>-130.9946757043671</v>
      </c>
      <c r="DL88" s="781">
        <f t="shared" ca="1" si="280"/>
        <v>7.343655909598394</v>
      </c>
      <c r="DM88" s="303">
        <f t="shared" ca="1" si="281"/>
        <v>9914.065460318423</v>
      </c>
      <c r="DN88" s="508">
        <f t="shared" ca="1" si="282"/>
        <v>1.2376104986519483</v>
      </c>
      <c r="DO88" s="508">
        <f t="shared" ca="1" si="283"/>
        <v>1.0613822690492496</v>
      </c>
      <c r="DP88" s="508">
        <f t="shared" ca="1" si="284"/>
        <v>1.1045225840077499</v>
      </c>
      <c r="DQ88" s="508">
        <f t="shared" ca="1" si="285"/>
        <v>1.0223688333368308</v>
      </c>
      <c r="DR88" s="508">
        <f t="shared" ca="1" si="286"/>
        <v>1.1512382212770929</v>
      </c>
      <c r="DS88" s="353">
        <f t="shared" ca="1" si="287"/>
        <v>6578.5086838574853</v>
      </c>
      <c r="DT88" s="353">
        <f t="shared" ca="1" si="288"/>
        <v>-9824.996042146282</v>
      </c>
      <c r="DU88" s="380">
        <f t="shared" ca="1" si="388"/>
        <v>5.9958932238193015</v>
      </c>
      <c r="DV88" s="303">
        <f t="shared" ca="1" si="289"/>
        <v>236.55505478871191</v>
      </c>
      <c r="DW88" s="303">
        <f t="shared" ca="1" si="290"/>
        <v>41.140009528471637</v>
      </c>
      <c r="DX88" s="303">
        <f t="shared" ca="1" si="291"/>
        <v>41.140009528471637</v>
      </c>
      <c r="DY88" s="303">
        <f t="shared" ca="1" si="292"/>
        <v>318.83507384565519</v>
      </c>
      <c r="DZ88" s="303">
        <f t="shared" ca="1" si="293"/>
        <v>159.41753692282759</v>
      </c>
      <c r="EA88" s="303">
        <f t="shared" ca="1" si="294"/>
        <v>478.25261076848278</v>
      </c>
      <c r="EB88" s="302">
        <f t="shared" ca="1" si="295"/>
        <v>33.749789278954268</v>
      </c>
      <c r="EC88" s="299">
        <f t="shared" ca="1" si="296"/>
        <v>21.922112729808926</v>
      </c>
      <c r="ED88" s="299">
        <f t="shared" ca="1" si="297"/>
        <v>24.364346779509784</v>
      </c>
      <c r="EE88" s="299">
        <f t="shared" ca="1" si="298"/>
        <v>31.012612627523318</v>
      </c>
      <c r="EF88" s="299">
        <f t="shared" ca="1" si="299"/>
        <v>19.924997391738039</v>
      </c>
      <c r="EG88" s="299">
        <f t="shared" ca="1" si="300"/>
        <v>27.316740882261559</v>
      </c>
      <c r="EH88" s="302">
        <f t="shared" ca="1" si="301"/>
        <v>30</v>
      </c>
      <c r="EI88" s="304">
        <f t="shared" ca="1" si="302"/>
        <v>0.10280646980859376</v>
      </c>
      <c r="EJ88" s="305">
        <f t="shared" ca="1" si="303"/>
        <v>0.10280646980859376</v>
      </c>
      <c r="EK88" s="305">
        <f t="shared" ca="1" si="304"/>
        <v>0.10280646980859376</v>
      </c>
      <c r="EL88" s="305">
        <f t="shared" ca="1" si="305"/>
        <v>0.1028064698085937</v>
      </c>
      <c r="EM88" s="305">
        <f t="shared" ca="1" si="306"/>
        <v>2.6575271425919995E-2</v>
      </c>
      <c r="EN88" s="305">
        <f t="shared" ca="1" si="307"/>
        <v>8.1622649104991798E-2</v>
      </c>
      <c r="EO88" s="305">
        <f t="shared" ca="1" si="308"/>
        <v>0.10280646980859376</v>
      </c>
      <c r="EP88" s="305">
        <f t="shared" ca="1" si="309"/>
        <v>0.10280646980859376</v>
      </c>
      <c r="EQ88" s="305">
        <f t="shared" ca="1" si="310"/>
        <v>0.10280646980859376</v>
      </c>
      <c r="ER88" s="305">
        <f t="shared" ca="1" si="311"/>
        <v>2.6575271425919995E-2</v>
      </c>
      <c r="ES88" s="305">
        <f t="shared" ca="1" si="312"/>
        <v>8.1622649104991798E-2</v>
      </c>
      <c r="ET88" s="299">
        <f t="shared" ca="1" si="313"/>
        <v>3.868054691233354</v>
      </c>
      <c r="EU88" s="302">
        <f t="shared" ca="1" si="314"/>
        <v>30</v>
      </c>
      <c r="EV88" s="304">
        <f t="shared" ca="1" si="315"/>
        <v>0.30841940942578128</v>
      </c>
      <c r="EW88" s="305">
        <f t="shared" ca="1" si="316"/>
        <v>0.30841940942578128</v>
      </c>
      <c r="EX88" s="305">
        <f t="shared" ca="1" si="317"/>
        <v>0.30841940942578128</v>
      </c>
      <c r="EY88" s="305">
        <f t="shared" ca="1" si="318"/>
        <v>0.30841940942578133</v>
      </c>
      <c r="EZ88" s="305">
        <f t="shared" ca="1" si="319"/>
        <v>7.9725814277759988E-2</v>
      </c>
      <c r="FA88" s="305">
        <f t="shared" ca="1" si="320"/>
        <v>0.25368539624862119</v>
      </c>
      <c r="FB88" s="305">
        <f t="shared" ca="1" si="321"/>
        <v>0.30841940942578128</v>
      </c>
      <c r="FC88" s="305">
        <f t="shared" ca="1" si="322"/>
        <v>0.30841940942578128</v>
      </c>
      <c r="FD88" s="305">
        <f t="shared" ca="1" si="323"/>
        <v>0.30841940942578128</v>
      </c>
      <c r="FE88" s="305">
        <f t="shared" ca="1" si="324"/>
        <v>7.9725814277759988E-2</v>
      </c>
      <c r="FF88" s="305">
        <f t="shared" ca="1" si="325"/>
        <v>0.25368539624862119</v>
      </c>
      <c r="FG88" s="299">
        <f t="shared" ca="1" si="326"/>
        <v>5.724641005690918</v>
      </c>
      <c r="FH88" s="302">
        <f t="shared" ca="1" si="327"/>
        <v>-1.8565863144575641</v>
      </c>
      <c r="FI88" s="248">
        <f t="shared" ca="1" si="328"/>
        <v>-887.9172520063654</v>
      </c>
      <c r="FJ88" s="363">
        <f t="shared" ca="1" si="329"/>
        <v>0.64281264888236933</v>
      </c>
      <c r="FK88" s="378">
        <f t="shared" ca="1" si="330"/>
        <v>0.34198753736742238</v>
      </c>
      <c r="FL88" s="508">
        <f t="shared" ca="1" si="331"/>
        <v>-1.3720155512301058</v>
      </c>
      <c r="FM88" s="508">
        <f t="shared" ca="1" si="332"/>
        <v>-0.95243105419100338</v>
      </c>
      <c r="FN88" s="508">
        <f t="shared" ca="1" si="333"/>
        <v>-6.3211462528521025</v>
      </c>
      <c r="FO88" s="508">
        <f t="shared" ca="1" si="334"/>
        <v>-0.568736434484998</v>
      </c>
      <c r="FP88" s="353">
        <f t="shared" ca="1" si="335"/>
        <v>342.06182538280262</v>
      </c>
      <c r="FQ88" s="356">
        <f t="shared" ca="1" si="336"/>
        <v>27.068863410520738</v>
      </c>
      <c r="FR88" s="380">
        <f t="shared" ca="1" si="337"/>
        <v>23.015999999999998</v>
      </c>
      <c r="FS88" s="299">
        <f t="shared" ca="1" si="338"/>
        <v>23.015999999999998</v>
      </c>
      <c r="FT88" s="299">
        <f t="shared" ca="1" si="339"/>
        <v>23.015999999999998</v>
      </c>
      <c r="FU88" s="299">
        <f t="shared" ca="1" si="340"/>
        <v>23.015999999999998</v>
      </c>
      <c r="FV88" s="299">
        <f t="shared" ca="1" si="341"/>
        <v>23.015999999999998</v>
      </c>
      <c r="FW88" s="850">
        <f t="shared" ca="1" si="342"/>
        <v>0.16600000000000001</v>
      </c>
      <c r="FX88" s="851">
        <f t="shared" ca="1" si="343"/>
        <v>0.5</v>
      </c>
      <c r="FY88" s="851">
        <f t="shared" ca="1" si="344"/>
        <v>0</v>
      </c>
      <c r="FZ88" s="201">
        <f t="shared" ca="1" si="345"/>
        <v>0</v>
      </c>
      <c r="GA88" s="201">
        <f t="shared" ca="1" si="346"/>
        <v>0</v>
      </c>
      <c r="GB88" s="201">
        <f t="shared" ca="1" si="347"/>
        <v>0</v>
      </c>
      <c r="GC88" s="201">
        <f t="shared" ca="1" si="348"/>
        <v>0</v>
      </c>
      <c r="GD88" s="850">
        <f t="shared" ca="1" si="349"/>
        <v>0.32341940942578129</v>
      </c>
      <c r="GE88" s="866">
        <f t="shared" ca="1" si="350"/>
        <v>0.30841940942578128</v>
      </c>
      <c r="GF88" s="866">
        <f t="shared" ca="1" si="351"/>
        <v>0.30841940942578128</v>
      </c>
      <c r="GG88" s="866">
        <f t="shared" ca="1" si="352"/>
        <v>8.9725814277759983E-2</v>
      </c>
      <c r="GH88" s="866">
        <f t="shared" ca="1" si="353"/>
        <v>0.2686853962486212</v>
      </c>
      <c r="GI88" s="302">
        <f t="shared" ca="1" si="354"/>
        <v>14.079039187064716</v>
      </c>
      <c r="GJ88" s="299">
        <f t="shared" ca="1" si="355"/>
        <v>5.233657741228174</v>
      </c>
      <c r="GK88" s="299">
        <f t="shared" ca="1" si="356"/>
        <v>6.7748740573307158</v>
      </c>
      <c r="GL88" s="299">
        <f t="shared" ca="1" si="357"/>
        <v>1.7023785557418947</v>
      </c>
      <c r="GM88" s="299">
        <f t="shared" ca="1" si="358"/>
        <v>8.0882716302651669</v>
      </c>
      <c r="GN88" s="302">
        <f t="shared" ca="1" si="359"/>
        <v>0.81621114809160822</v>
      </c>
      <c r="GO88" s="299">
        <f t="shared" ca="1" si="360"/>
        <v>0.59984870380083111</v>
      </c>
      <c r="GP88" s="299">
        <f t="shared" ca="1" si="361"/>
        <v>0.66067154815213613</v>
      </c>
      <c r="GQ88" s="299">
        <f t="shared" ca="1" si="362"/>
        <v>0.40786942510110269</v>
      </c>
      <c r="GR88" s="299">
        <f t="shared" ca="1" si="363"/>
        <v>0.72087088843589431</v>
      </c>
      <c r="GS88" s="302">
        <f t="shared" ca="1" si="364"/>
        <v>-0.58515458103593698</v>
      </c>
      <c r="GT88" s="299">
        <f t="shared" ca="1" si="365"/>
        <v>-0.34394734627744039</v>
      </c>
      <c r="GU88" s="299">
        <f t="shared" ca="1" si="366"/>
        <v>-0.40502085834773993</v>
      </c>
      <c r="GV88" s="299">
        <f t="shared" ca="1" si="367"/>
        <v>-0.27912836099154281</v>
      </c>
      <c r="GW88" s="299">
        <f t="shared" ca="1" si="368"/>
        <v>-0.50415252438575398</v>
      </c>
      <c r="GX88" s="303">
        <f t="shared" ca="1" si="369"/>
        <v>3330.4678862685159</v>
      </c>
      <c r="GY88" s="303">
        <f t="shared" ca="1" si="370"/>
        <v>215.31272934288643</v>
      </c>
      <c r="GZ88" s="303">
        <f t="shared" ca="1" si="371"/>
        <v>278.71838327278095</v>
      </c>
      <c r="HA88" s="303">
        <f t="shared" ca="1" si="372"/>
        <v>271.38899626661339</v>
      </c>
      <c r="HB88" s="303">
        <f t="shared" ca="1" si="373"/>
        <v>3868.2370237789687</v>
      </c>
      <c r="HC88" s="303">
        <f t="shared" ca="1" si="374"/>
        <v>2539.1321109735159</v>
      </c>
      <c r="HD88" s="303">
        <f t="shared" ca="1" si="375"/>
        <v>0</v>
      </c>
      <c r="HE88" s="303">
        <f t="shared" ca="1" si="376"/>
        <v>55.470999356716639</v>
      </c>
      <c r="HF88" s="303">
        <f t="shared" ca="1" si="377"/>
        <v>0</v>
      </c>
      <c r="HG88" s="852">
        <f t="shared" ca="1" si="378"/>
        <v>2056.8405551803394</v>
      </c>
    </row>
    <row r="89" spans="1:215" x14ac:dyDescent="0.25">
      <c r="A89" s="244">
        <f t="shared" ca="1" si="379"/>
        <v>38808</v>
      </c>
      <c r="B89" s="13">
        <f t="shared" ca="1" si="207"/>
        <v>2006</v>
      </c>
      <c r="C89" s="619">
        <f t="shared" ca="1" si="208"/>
        <v>4</v>
      </c>
      <c r="D89" s="195" t="str">
        <f t="shared" ca="1" si="209"/>
        <v/>
      </c>
      <c r="E89" s="469">
        <f t="shared" ca="1" si="210"/>
        <v>38808</v>
      </c>
      <c r="F89" s="465">
        <f t="shared" ca="1" si="211"/>
        <v>38837</v>
      </c>
      <c r="G89" s="522">
        <f t="shared" ca="1" si="380"/>
        <v>1</v>
      </c>
      <c r="H89" s="519">
        <f t="shared" ca="1" si="381"/>
        <v>1</v>
      </c>
      <c r="I89" s="724">
        <f t="shared" ca="1" si="212"/>
        <v>7.339425441540301E-2</v>
      </c>
      <c r="J89" s="198">
        <f t="shared" ca="1" si="213"/>
        <v>0.63892430376292408</v>
      </c>
      <c r="K89" s="200">
        <f t="shared" ca="1" si="389"/>
        <v>31.35</v>
      </c>
      <c r="L89" s="201">
        <f t="shared" ca="1" si="390"/>
        <v>31.85</v>
      </c>
      <c r="M89" s="206">
        <f t="shared" ca="1" si="391"/>
        <v>32.35</v>
      </c>
      <c r="N89" s="851">
        <f t="shared" ca="1" si="395"/>
        <v>21.742500305175778</v>
      </c>
      <c r="O89" s="201">
        <f t="shared" ca="1" si="396"/>
        <v>22.117500305175778</v>
      </c>
      <c r="P89" s="206">
        <f t="shared" ca="1" si="397"/>
        <v>22.492500305175778</v>
      </c>
      <c r="Q89" s="201">
        <f t="shared" ca="1" si="398"/>
        <v>17.534999084472652</v>
      </c>
      <c r="R89" s="201">
        <f t="shared" ca="1" si="399"/>
        <v>20.834999084472653</v>
      </c>
      <c r="S89" s="201">
        <f t="shared" ca="1" si="400"/>
        <v>24.134999084472653</v>
      </c>
      <c r="T89" s="851">
        <f t="shared" ca="1" si="392"/>
        <v>19.34999771118164</v>
      </c>
      <c r="U89" s="201">
        <f t="shared" ca="1" si="393"/>
        <v>19.59999771118164</v>
      </c>
      <c r="V89" s="206">
        <f t="shared" ca="1" si="394"/>
        <v>19.84999771118164</v>
      </c>
      <c r="W89" s="230">
        <f t="shared" ca="1" si="382"/>
        <v>9.1751074664062487E-2</v>
      </c>
      <c r="X89" s="231">
        <f t="shared" ca="1" si="383"/>
        <v>0.18350214932812497</v>
      </c>
      <c r="Y89" s="232">
        <f t="shared" ca="1" si="384"/>
        <v>0.27525322399218743</v>
      </c>
      <c r="Z89" s="231">
        <f t="shared" ca="1" si="202"/>
        <v>9.1751074664062487E-2</v>
      </c>
      <c r="AA89" s="231">
        <f t="shared" ca="1" si="203"/>
        <v>0.18350214932812497</v>
      </c>
      <c r="AB89" s="232">
        <f t="shared" ca="1" si="204"/>
        <v>0.27525322399218743</v>
      </c>
      <c r="AC89" s="231">
        <f t="shared" ca="1" si="205"/>
        <v>9.1751074664062487E-2</v>
      </c>
      <c r="AD89" s="231">
        <f t="shared" ca="1" si="206"/>
        <v>0.18350214932812497</v>
      </c>
      <c r="AE89" s="232">
        <f t="shared" ca="1" si="214"/>
        <v>0.27525322399218743</v>
      </c>
      <c r="AF89" s="231">
        <f t="shared" ca="1" si="385"/>
        <v>2.6575271425919995E-2</v>
      </c>
      <c r="AG89" s="231">
        <f t="shared" ca="1" si="386"/>
        <v>5.3150542851839989E-2</v>
      </c>
      <c r="AH89" s="232">
        <f t="shared" ca="1" si="387"/>
        <v>7.9725814277759988E-2</v>
      </c>
      <c r="AI89" s="233">
        <f t="shared" ca="1" si="215"/>
        <v>0.85000000000000009</v>
      </c>
      <c r="AJ89" s="233">
        <f t="shared" ca="1" si="216"/>
        <v>1.1000000000000001</v>
      </c>
      <c r="AK89" s="234">
        <f t="shared" ca="1" si="217"/>
        <v>1.4000000000000001</v>
      </c>
      <c r="AL89" s="919">
        <f t="shared" ca="1" si="218"/>
        <v>0.85000000000000009</v>
      </c>
      <c r="AM89" s="233">
        <f t="shared" ca="1" si="219"/>
        <v>1.1000000000000001</v>
      </c>
      <c r="AN89" s="234">
        <f t="shared" ca="1" si="220"/>
        <v>1.4000000000000001</v>
      </c>
      <c r="AO89" s="233">
        <f t="shared" ca="1" si="221"/>
        <v>0.85000000000000009</v>
      </c>
      <c r="AP89" s="233">
        <f t="shared" ca="1" si="222"/>
        <v>1.1000000000000001</v>
      </c>
      <c r="AQ89" s="233">
        <f t="shared" ca="1" si="223"/>
        <v>1.4000000000000001</v>
      </c>
      <c r="AR89" s="919">
        <f t="shared" ca="1" si="224"/>
        <v>0.19999999999999998</v>
      </c>
      <c r="AS89" s="233">
        <f t="shared" ca="1" si="225"/>
        <v>0.35</v>
      </c>
      <c r="AT89" s="235">
        <f t="shared" ca="1" si="226"/>
        <v>0.55000000000000004</v>
      </c>
      <c r="AU89" s="946">
        <f t="shared" si="227"/>
        <v>0.5</v>
      </c>
      <c r="AV89" s="13">
        <f t="shared" ca="1" si="228"/>
        <v>20</v>
      </c>
      <c r="AW89" s="210">
        <f t="shared" ca="1" si="229"/>
        <v>5</v>
      </c>
      <c r="AX89" s="210">
        <f t="shared" ca="1" si="230"/>
        <v>5</v>
      </c>
      <c r="AY89" s="210">
        <f t="shared" ca="1" si="231"/>
        <v>0</v>
      </c>
      <c r="AZ89" s="13">
        <f t="shared" ca="1" si="232"/>
        <v>30</v>
      </c>
      <c r="BA89" s="357">
        <f ca="1"/>
        <v>320</v>
      </c>
      <c r="BB89" s="925">
        <f ca="1"/>
        <v>80</v>
      </c>
      <c r="BC89" s="925">
        <f ca="1"/>
        <v>80</v>
      </c>
      <c r="BD89" s="928">
        <f ca="1"/>
        <v>240</v>
      </c>
      <c r="BE89" s="200">
        <f ca="1"/>
        <v>1.0000000074505806</v>
      </c>
      <c r="BF89" s="851">
        <f ca="1"/>
        <v>1.0000000074505806</v>
      </c>
      <c r="BG89" s="851">
        <f ca="1"/>
        <v>1.0000000074505806</v>
      </c>
      <c r="BH89" s="933">
        <f ca="1"/>
        <v>0.99995028972625732</v>
      </c>
      <c r="BI89" s="357">
        <f ca="1"/>
        <v>320</v>
      </c>
      <c r="BJ89" s="925">
        <f ca="1"/>
        <v>80</v>
      </c>
      <c r="BK89" s="925">
        <f ca="1"/>
        <v>80</v>
      </c>
      <c r="BL89" s="928">
        <f ca="1"/>
        <v>240</v>
      </c>
      <c r="BM89" s="200">
        <f ca="1"/>
        <v>1.0000000074505806</v>
      </c>
      <c r="BN89" s="851">
        <f ca="1"/>
        <v>1.0000000074505806</v>
      </c>
      <c r="BO89" s="851">
        <f ca="1"/>
        <v>1.0000000074505806</v>
      </c>
      <c r="BP89" s="933">
        <f ca="1"/>
        <v>0.99995028972625732</v>
      </c>
      <c r="BQ89" s="357">
        <f t="shared" ca="1" si="233"/>
        <v>720</v>
      </c>
      <c r="BR89" s="361">
        <f t="shared" ca="1" si="234"/>
        <v>720</v>
      </c>
      <c r="BS89" s="357">
        <f t="shared" ca="1" si="235"/>
        <v>460.02549870930534</v>
      </c>
      <c r="BT89" s="302">
        <f t="shared" ca="1" si="236"/>
        <v>24.747178674342987</v>
      </c>
      <c r="BU89" s="299">
        <f t="shared" ca="1" si="237"/>
        <v>25.461063425407069</v>
      </c>
      <c r="BV89" s="299">
        <f t="shared" ca="1" si="238"/>
        <v>26.174948176471158</v>
      </c>
      <c r="BW89" s="299">
        <f t="shared" ca="1" si="239"/>
        <v>32.659889647739881</v>
      </c>
      <c r="BX89" s="380">
        <f t="shared" ca="1" si="240"/>
        <v>6.0807665982203973</v>
      </c>
      <c r="BY89" s="363">
        <f t="shared" ca="1" si="241"/>
        <v>204.4557772041357</v>
      </c>
      <c r="BZ89" s="353">
        <f t="shared" ca="1" si="242"/>
        <v>51.113944301033925</v>
      </c>
      <c r="CA89" s="353">
        <f t="shared" ca="1" si="243"/>
        <v>51.113944301033925</v>
      </c>
      <c r="CB89" s="353">
        <f t="shared" ca="1" si="244"/>
        <v>306.68366580620358</v>
      </c>
      <c r="CC89" s="353">
        <f t="shared" ca="1" si="245"/>
        <v>153.34183290310179</v>
      </c>
      <c r="CD89" s="353">
        <f t="shared" ca="1" si="246"/>
        <v>460.02549870930534</v>
      </c>
      <c r="CE89" s="302">
        <f t="shared" ca="1" si="247"/>
        <v>32.350000241026287</v>
      </c>
      <c r="CF89" s="299">
        <f t="shared" ca="1" si="248"/>
        <v>22.492500472757964</v>
      </c>
      <c r="CG89" s="299">
        <f t="shared" ca="1" si="249"/>
        <v>24.134999264292411</v>
      </c>
      <c r="CH89" s="299">
        <f t="shared" ca="1" si="250"/>
        <v>29.337916783525916</v>
      </c>
      <c r="CI89" s="299">
        <f t="shared" ca="1" si="251"/>
        <v>19.849010962361625</v>
      </c>
      <c r="CJ89" s="299">
        <f t="shared" ca="1" si="252"/>
        <v>26.174948176471155</v>
      </c>
      <c r="CK89" s="299">
        <f t="shared" ca="1" si="253"/>
        <v>32.659889647739881</v>
      </c>
      <c r="CL89" s="377">
        <f t="shared" ca="1" si="254"/>
        <v>0.27525322399218743</v>
      </c>
      <c r="CM89" s="305">
        <f t="shared" ca="1" si="255"/>
        <v>0.27525322399218743</v>
      </c>
      <c r="CN89" s="305">
        <f t="shared" ca="1" si="256"/>
        <v>0.27525322399218743</v>
      </c>
      <c r="CO89" s="305">
        <f t="shared" ca="1" si="257"/>
        <v>0.27525322399218743</v>
      </c>
      <c r="CP89" s="305">
        <f t="shared" ca="1" si="258"/>
        <v>7.9725814277759988E-2</v>
      </c>
      <c r="CQ89" s="305">
        <f t="shared" ca="1" si="259"/>
        <v>0.22360708664524764</v>
      </c>
      <c r="CR89" s="775">
        <f t="shared" ca="1" si="260"/>
        <v>0.27525322399218743</v>
      </c>
      <c r="CS89" s="305">
        <f t="shared" ca="1" si="261"/>
        <v>0.33525322399218743</v>
      </c>
      <c r="CT89" s="305">
        <f t="shared" ca="1" si="262"/>
        <v>0.31525322399218741</v>
      </c>
      <c r="CU89" s="305">
        <f t="shared" ca="1" si="263"/>
        <v>0.13972581427775999</v>
      </c>
      <c r="CV89" s="770">
        <f t="shared" ca="1" si="264"/>
        <v>0.24860708664524764</v>
      </c>
      <c r="CW89" s="302">
        <f t="shared" ca="1" si="265"/>
        <v>8.4815816998488405</v>
      </c>
      <c r="CX89" s="299">
        <f t="shared" ca="1" si="266"/>
        <v>4.5824111718943925</v>
      </c>
      <c r="CY89" s="299">
        <f t="shared" ca="1" si="267"/>
        <v>4.932476468857792</v>
      </c>
      <c r="CZ89" s="299">
        <f t="shared" ca="1" si="268"/>
        <v>0.28781669026301016</v>
      </c>
      <c r="DA89" s="774">
        <f t="shared" ca="1" si="269"/>
        <v>4.2814386950023735</v>
      </c>
      <c r="DB89" s="303">
        <f t="shared" ca="1" si="270"/>
        <v>1969.5709708617844</v>
      </c>
      <c r="DC89" s="248">
        <f t="shared" ca="1" si="271"/>
        <v>220.00916967731894</v>
      </c>
      <c r="DD89" s="778">
        <f t="shared" ca="1" si="272"/>
        <v>0</v>
      </c>
      <c r="DE89" s="363">
        <f t="shared" ca="1" si="273"/>
        <v>0.63892430376292408</v>
      </c>
      <c r="DF89" s="378">
        <f t="shared" ca="1" si="274"/>
        <v>-0.35342224043570558</v>
      </c>
      <c r="DG89" s="508">
        <f t="shared" ca="1" si="275"/>
        <v>-0.86449971061731268</v>
      </c>
      <c r="DH89" s="508">
        <f t="shared" ca="1" si="276"/>
        <v>-0.77779785733929463</v>
      </c>
      <c r="DI89" s="508">
        <f t="shared" ca="1" si="277"/>
        <v>-1.6176092936054582</v>
      </c>
      <c r="DJ89" s="508">
        <f t="shared" ca="1" si="278"/>
        <v>-0.66758067269900512</v>
      </c>
      <c r="DK89" s="353">
        <f t="shared" ca="1" si="279"/>
        <v>-116.01869702415078</v>
      </c>
      <c r="DL89" s="781">
        <f t="shared" ca="1" si="280"/>
        <v>7.3351681122268912</v>
      </c>
      <c r="DM89" s="303">
        <f t="shared" ca="1" si="281"/>
        <v>9120.8604239643391</v>
      </c>
      <c r="DN89" s="508">
        <f t="shared" ca="1" si="282"/>
        <v>1.2289706653947425</v>
      </c>
      <c r="DO89" s="508">
        <f t="shared" ca="1" si="283"/>
        <v>1.0815740426567029</v>
      </c>
      <c r="DP89" s="508">
        <f t="shared" ca="1" si="284"/>
        <v>1.1101589587352978</v>
      </c>
      <c r="DQ89" s="508">
        <f t="shared" ca="1" si="285"/>
        <v>1.0308667155467819</v>
      </c>
      <c r="DR89" s="508">
        <f t="shared" ca="1" si="286"/>
        <v>1.1430666843097186</v>
      </c>
      <c r="DS89" s="353">
        <f t="shared" ca="1" si="287"/>
        <v>6163.5688662181092</v>
      </c>
      <c r="DT89" s="353">
        <f t="shared" ca="1" si="288"/>
        <v>-9319.1933118928391</v>
      </c>
      <c r="DU89" s="380">
        <f t="shared" ca="1" si="388"/>
        <v>6.0807665982203973</v>
      </c>
      <c r="DV89" s="303">
        <f t="shared" ca="1" si="289"/>
        <v>204.4557772041357</v>
      </c>
      <c r="DW89" s="303">
        <f t="shared" ca="1" si="290"/>
        <v>51.113944301033925</v>
      </c>
      <c r="DX89" s="303">
        <f t="shared" ca="1" si="291"/>
        <v>51.113944301033925</v>
      </c>
      <c r="DY89" s="303">
        <f t="shared" ca="1" si="292"/>
        <v>306.68366580620358</v>
      </c>
      <c r="DZ89" s="303">
        <f t="shared" ca="1" si="293"/>
        <v>153.34183290310179</v>
      </c>
      <c r="EA89" s="303">
        <f t="shared" ca="1" si="294"/>
        <v>460.02549870930534</v>
      </c>
      <c r="EB89" s="302">
        <f t="shared" ca="1" si="295"/>
        <v>32.350000241026287</v>
      </c>
      <c r="EC89" s="299">
        <f t="shared" ca="1" si="296"/>
        <v>22.492500472757964</v>
      </c>
      <c r="ED89" s="299">
        <f t="shared" ca="1" si="297"/>
        <v>24.134999264292411</v>
      </c>
      <c r="EE89" s="299">
        <f t="shared" ca="1" si="298"/>
        <v>29.337916783525916</v>
      </c>
      <c r="EF89" s="299">
        <f t="shared" ca="1" si="299"/>
        <v>19.849010962361625</v>
      </c>
      <c r="EG89" s="299">
        <f t="shared" ca="1" si="300"/>
        <v>26.174948176471155</v>
      </c>
      <c r="EH89" s="302">
        <f t="shared" ca="1" si="301"/>
        <v>30</v>
      </c>
      <c r="EI89" s="304">
        <f t="shared" ca="1" si="302"/>
        <v>9.1751074664062487E-2</v>
      </c>
      <c r="EJ89" s="305">
        <f t="shared" ca="1" si="303"/>
        <v>9.1751074664062487E-2</v>
      </c>
      <c r="EK89" s="305">
        <f t="shared" ca="1" si="304"/>
        <v>9.1751074664062487E-2</v>
      </c>
      <c r="EL89" s="305">
        <f t="shared" ca="1" si="305"/>
        <v>9.1751074664062446E-2</v>
      </c>
      <c r="EM89" s="305">
        <f t="shared" ca="1" si="306"/>
        <v>2.6575271425919995E-2</v>
      </c>
      <c r="EN89" s="305">
        <f t="shared" ca="1" si="307"/>
        <v>7.2426628677015312E-2</v>
      </c>
      <c r="EO89" s="305">
        <f t="shared" ca="1" si="308"/>
        <v>9.1751074664062487E-2</v>
      </c>
      <c r="EP89" s="305">
        <f t="shared" ca="1" si="309"/>
        <v>9.1751074664062487E-2</v>
      </c>
      <c r="EQ89" s="305">
        <f t="shared" ca="1" si="310"/>
        <v>9.1751074664062487E-2</v>
      </c>
      <c r="ER89" s="305">
        <f t="shared" ca="1" si="311"/>
        <v>2.6575271425919995E-2</v>
      </c>
      <c r="ES89" s="305">
        <f t="shared" ca="1" si="312"/>
        <v>7.2426628677015312E-2</v>
      </c>
      <c r="ET89" s="299">
        <f t="shared" ca="1" si="313"/>
        <v>4.4646320425034141</v>
      </c>
      <c r="EU89" s="302">
        <f t="shared" ca="1" si="314"/>
        <v>30</v>
      </c>
      <c r="EV89" s="304">
        <f t="shared" ca="1" si="315"/>
        <v>0.27525322399218743</v>
      </c>
      <c r="EW89" s="305">
        <f t="shared" ca="1" si="316"/>
        <v>0.27525322399218743</v>
      </c>
      <c r="EX89" s="305">
        <f t="shared" ca="1" si="317"/>
        <v>0.27525322399218743</v>
      </c>
      <c r="EY89" s="305">
        <f t="shared" ca="1" si="318"/>
        <v>0.27525322399218743</v>
      </c>
      <c r="EZ89" s="305">
        <f t="shared" ca="1" si="319"/>
        <v>7.9725814277759988E-2</v>
      </c>
      <c r="FA89" s="305">
        <f t="shared" ca="1" si="320"/>
        <v>0.22360708664524764</v>
      </c>
      <c r="FB89" s="305">
        <f t="shared" ca="1" si="321"/>
        <v>0.27525322399218743</v>
      </c>
      <c r="FC89" s="305">
        <f t="shared" ca="1" si="322"/>
        <v>0.27525322399218743</v>
      </c>
      <c r="FD89" s="305">
        <f t="shared" ca="1" si="323"/>
        <v>0.27525322399218743</v>
      </c>
      <c r="FE89" s="305">
        <f t="shared" ca="1" si="324"/>
        <v>7.9725814277759988E-2</v>
      </c>
      <c r="FF89" s="305">
        <f t="shared" ca="1" si="325"/>
        <v>0.22360708664524764</v>
      </c>
      <c r="FG89" s="299">
        <f t="shared" ca="1" si="326"/>
        <v>4.3693562191220785</v>
      </c>
      <c r="FH89" s="302">
        <f t="shared" ca="1" si="327"/>
        <v>9.5275823381335556E-2</v>
      </c>
      <c r="FI89" s="248">
        <f t="shared" ca="1" si="328"/>
        <v>43.829308165938585</v>
      </c>
      <c r="FJ89" s="363">
        <f t="shared" ca="1" si="329"/>
        <v>0.63892430376292408</v>
      </c>
      <c r="FK89" s="378">
        <f t="shared" ca="1" si="330"/>
        <v>0.22020645767661723</v>
      </c>
      <c r="FL89" s="508">
        <f t="shared" ca="1" si="331"/>
        <v>-1.3861167773959968</v>
      </c>
      <c r="FM89" s="508">
        <f t="shared" ca="1" si="332"/>
        <v>-1.0745993625685686</v>
      </c>
      <c r="FN89" s="508">
        <f t="shared" ca="1" si="333"/>
        <v>-6.3356399264203089</v>
      </c>
      <c r="FO89" s="508">
        <f t="shared" ca="1" si="334"/>
        <v>-0.8529938353804265</v>
      </c>
      <c r="FP89" s="353">
        <f t="shared" ca="1" si="335"/>
        <v>369.47807657490637</v>
      </c>
      <c r="FQ89" s="356">
        <f t="shared" ca="1" si="336"/>
        <v>23.806604613865506</v>
      </c>
      <c r="FR89" s="380">
        <f t="shared" ca="1" si="337"/>
        <v>22.62</v>
      </c>
      <c r="FS89" s="299">
        <f t="shared" ca="1" si="338"/>
        <v>22.62</v>
      </c>
      <c r="FT89" s="299">
        <f t="shared" ca="1" si="339"/>
        <v>22.62</v>
      </c>
      <c r="FU89" s="299">
        <f t="shared" ca="1" si="340"/>
        <v>22.62</v>
      </c>
      <c r="FV89" s="299">
        <f t="shared" ca="1" si="341"/>
        <v>22.620000000000005</v>
      </c>
      <c r="FW89" s="850">
        <f t="shared" ca="1" si="342"/>
        <v>0.16500000000000001</v>
      </c>
      <c r="FX89" s="851">
        <f t="shared" ca="1" si="343"/>
        <v>0.5</v>
      </c>
      <c r="FY89" s="851">
        <f t="shared" ca="1" si="344"/>
        <v>0</v>
      </c>
      <c r="FZ89" s="201">
        <f t="shared" ca="1" si="345"/>
        <v>0</v>
      </c>
      <c r="GA89" s="201">
        <f t="shared" ca="1" si="346"/>
        <v>0</v>
      </c>
      <c r="GB89" s="201">
        <f t="shared" ca="1" si="347"/>
        <v>0</v>
      </c>
      <c r="GC89" s="201">
        <f t="shared" ca="1" si="348"/>
        <v>0</v>
      </c>
      <c r="GD89" s="850">
        <f t="shared" ca="1" si="349"/>
        <v>0.29025322399218745</v>
      </c>
      <c r="GE89" s="866">
        <f t="shared" ca="1" si="350"/>
        <v>0.27525322399218743</v>
      </c>
      <c r="GF89" s="866">
        <f t="shared" ca="1" si="351"/>
        <v>0.27775322399218744</v>
      </c>
      <c r="GG89" s="866">
        <f t="shared" ca="1" si="352"/>
        <v>7.9725814277759988E-2</v>
      </c>
      <c r="GH89" s="866">
        <f t="shared" ca="1" si="353"/>
        <v>0.23610708664524765</v>
      </c>
      <c r="GI89" s="302">
        <f t="shared" ca="1" si="354"/>
        <v>12.607544037092991</v>
      </c>
      <c r="GJ89" s="299">
        <f t="shared" ca="1" si="355"/>
        <v>5.1841426963090509</v>
      </c>
      <c r="GK89" s="299">
        <f t="shared" ca="1" si="356"/>
        <v>6.2718890297406036</v>
      </c>
      <c r="GL89" s="299">
        <f t="shared" ca="1" si="357"/>
        <v>1.7841415065280164</v>
      </c>
      <c r="GM89" s="299">
        <f t="shared" ca="1" si="358"/>
        <v>6.9493603875043046</v>
      </c>
      <c r="GN89" s="302">
        <f t="shared" ca="1" si="359"/>
        <v>0.81227215165993094</v>
      </c>
      <c r="GO89" s="299">
        <f t="shared" ca="1" si="360"/>
        <v>0.61267076032757839</v>
      </c>
      <c r="GP89" s="299">
        <f t="shared" ca="1" si="361"/>
        <v>0.65798771387798927</v>
      </c>
      <c r="GQ89" s="299">
        <f t="shared" ca="1" si="362"/>
        <v>0.42286115353009929</v>
      </c>
      <c r="GR89" s="299">
        <f t="shared" ca="1" si="363"/>
        <v>0.70568486765736349</v>
      </c>
      <c r="GS89" s="302">
        <f t="shared" ca="1" si="364"/>
        <v>-0.60430863735679197</v>
      </c>
      <c r="GT89" s="299">
        <f t="shared" ca="1" si="365"/>
        <v>-0.38003337267920029</v>
      </c>
      <c r="GU89" s="299">
        <f t="shared" ca="1" si="366"/>
        <v>-0.42478550592427061</v>
      </c>
      <c r="GV89" s="299">
        <f t="shared" ca="1" si="367"/>
        <v>-0.29218537524757093</v>
      </c>
      <c r="GW89" s="299">
        <f t="shared" ca="1" si="368"/>
        <v>-0.50936812917044405</v>
      </c>
      <c r="GX89" s="303">
        <f t="shared" ca="1" si="369"/>
        <v>2577.6852147392142</v>
      </c>
      <c r="GY89" s="303">
        <f t="shared" ca="1" si="370"/>
        <v>264.98198102775268</v>
      </c>
      <c r="GZ89" s="303">
        <f t="shared" ca="1" si="371"/>
        <v>320.58098652842693</v>
      </c>
      <c r="HA89" s="303">
        <f t="shared" ca="1" si="372"/>
        <v>273.58352876950738</v>
      </c>
      <c r="HB89" s="303">
        <f t="shared" ca="1" si="373"/>
        <v>3196.8829779723592</v>
      </c>
      <c r="HC89" s="303">
        <f t="shared" ca="1" si="374"/>
        <v>1989.3547614754568</v>
      </c>
      <c r="HD89" s="303">
        <f t="shared" ca="1" si="375"/>
        <v>0</v>
      </c>
      <c r="HE89" s="303">
        <f t="shared" ca="1" si="376"/>
        <v>77.4375880111496</v>
      </c>
      <c r="HF89" s="303">
        <f t="shared" ca="1" si="377"/>
        <v>0</v>
      </c>
      <c r="HG89" s="852">
        <f t="shared" ca="1" si="378"/>
        <v>1635.3668077668765</v>
      </c>
    </row>
    <row r="90" spans="1:215" x14ac:dyDescent="0.25">
      <c r="A90" s="244">
        <f t="shared" ca="1" si="379"/>
        <v>38838</v>
      </c>
      <c r="B90" s="13">
        <f t="shared" ca="1" si="207"/>
        <v>2006</v>
      </c>
      <c r="C90" s="619">
        <f t="shared" ca="1" si="208"/>
        <v>5</v>
      </c>
      <c r="D90" s="195">
        <f t="shared" ca="1" si="209"/>
        <v>38866</v>
      </c>
      <c r="E90" s="469">
        <f t="shared" ca="1" si="210"/>
        <v>38838</v>
      </c>
      <c r="F90" s="465">
        <f t="shared" ca="1" si="211"/>
        <v>38868</v>
      </c>
      <c r="G90" s="522">
        <f t="shared" ca="1" si="380"/>
        <v>1</v>
      </c>
      <c r="H90" s="519">
        <f t="shared" ca="1" si="381"/>
        <v>1</v>
      </c>
      <c r="I90" s="724">
        <f t="shared" ca="1" si="212"/>
        <v>7.3418306009727E-2</v>
      </c>
      <c r="J90" s="198">
        <f t="shared" ca="1" si="213"/>
        <v>0.63493471897843934</v>
      </c>
      <c r="K90" s="200">
        <f t="shared" ca="1" si="389"/>
        <v>32.17</v>
      </c>
      <c r="L90" s="201">
        <f t="shared" ca="1" si="390"/>
        <v>33.85</v>
      </c>
      <c r="M90" s="206">
        <f t="shared" ca="1" si="391"/>
        <v>35.53</v>
      </c>
      <c r="N90" s="851">
        <f t="shared" ca="1" si="395"/>
        <v>20.97250007629394</v>
      </c>
      <c r="O90" s="201">
        <f t="shared" ca="1" si="396"/>
        <v>22.232500076293942</v>
      </c>
      <c r="P90" s="206">
        <f t="shared" ca="1" si="397"/>
        <v>23.492500076293943</v>
      </c>
      <c r="Q90" s="201">
        <f t="shared" ca="1" si="398"/>
        <v>18.06499977111816</v>
      </c>
      <c r="R90" s="201">
        <f t="shared" ca="1" si="399"/>
        <v>21.364999771118161</v>
      </c>
      <c r="S90" s="201">
        <f t="shared" ca="1" si="400"/>
        <v>24.664999771118161</v>
      </c>
      <c r="T90" s="851">
        <f t="shared" ca="1" si="392"/>
        <v>18.75999771118164</v>
      </c>
      <c r="U90" s="201">
        <f t="shared" ca="1" si="393"/>
        <v>19.59999771118164</v>
      </c>
      <c r="V90" s="206">
        <f t="shared" ca="1" si="394"/>
        <v>20.43999771118164</v>
      </c>
      <c r="W90" s="230">
        <f t="shared" ca="1" si="382"/>
        <v>0.10567913153906248</v>
      </c>
      <c r="X90" s="231">
        <f t="shared" ca="1" si="383"/>
        <v>0.21135826307812497</v>
      </c>
      <c r="Y90" s="232">
        <f t="shared" ca="1" si="384"/>
        <v>0.31703739461718744</v>
      </c>
      <c r="Z90" s="231">
        <f t="shared" ca="1" si="202"/>
        <v>0.10567913153906248</v>
      </c>
      <c r="AA90" s="231">
        <f t="shared" ca="1" si="203"/>
        <v>0.21135826307812497</v>
      </c>
      <c r="AB90" s="232">
        <f t="shared" ca="1" si="204"/>
        <v>0.31703739461718744</v>
      </c>
      <c r="AC90" s="231">
        <f t="shared" ca="1" si="205"/>
        <v>0.10567913153906248</v>
      </c>
      <c r="AD90" s="231">
        <f t="shared" ca="1" si="206"/>
        <v>0.21135826307812497</v>
      </c>
      <c r="AE90" s="232">
        <f t="shared" ca="1" si="214"/>
        <v>0.31703739461718744</v>
      </c>
      <c r="AF90" s="231">
        <f t="shared" ca="1" si="385"/>
        <v>3.1004483330240005E-2</v>
      </c>
      <c r="AG90" s="231">
        <f t="shared" ca="1" si="386"/>
        <v>6.200896666048001E-2</v>
      </c>
      <c r="AH90" s="232">
        <f t="shared" ca="1" si="387"/>
        <v>9.3013449990720018E-2</v>
      </c>
      <c r="AI90" s="233">
        <f t="shared" ca="1" si="215"/>
        <v>0.85000000000000009</v>
      </c>
      <c r="AJ90" s="233">
        <f t="shared" ca="1" si="216"/>
        <v>1.1000000000000001</v>
      </c>
      <c r="AK90" s="234">
        <f t="shared" ca="1" si="217"/>
        <v>1.4000000000000001</v>
      </c>
      <c r="AL90" s="919">
        <f t="shared" ca="1" si="218"/>
        <v>0.85000000000000009</v>
      </c>
      <c r="AM90" s="233">
        <f t="shared" ca="1" si="219"/>
        <v>1.1000000000000001</v>
      </c>
      <c r="AN90" s="234">
        <f t="shared" ca="1" si="220"/>
        <v>1.4000000000000001</v>
      </c>
      <c r="AO90" s="233">
        <f t="shared" ca="1" si="221"/>
        <v>0.85000000000000009</v>
      </c>
      <c r="AP90" s="233">
        <f t="shared" ca="1" si="222"/>
        <v>1.1000000000000001</v>
      </c>
      <c r="AQ90" s="233">
        <f t="shared" ca="1" si="223"/>
        <v>1.4000000000000001</v>
      </c>
      <c r="AR90" s="919">
        <f t="shared" ca="1" si="224"/>
        <v>0.35</v>
      </c>
      <c r="AS90" s="233">
        <f t="shared" ca="1" si="225"/>
        <v>0.5</v>
      </c>
      <c r="AT90" s="235">
        <f t="shared" ca="1" si="226"/>
        <v>0.7</v>
      </c>
      <c r="AU90" s="946">
        <f t="shared" si="227"/>
        <v>0.5</v>
      </c>
      <c r="AV90" s="13">
        <f t="shared" ca="1" si="228"/>
        <v>22</v>
      </c>
      <c r="AW90" s="210">
        <f t="shared" ca="1" si="229"/>
        <v>4</v>
      </c>
      <c r="AX90" s="210">
        <f t="shared" ca="1" si="230"/>
        <v>4</v>
      </c>
      <c r="AY90" s="210">
        <f t="shared" ca="1" si="231"/>
        <v>1</v>
      </c>
      <c r="AZ90" s="13">
        <f t="shared" ca="1" si="232"/>
        <v>31</v>
      </c>
      <c r="BA90" s="357">
        <f ca="1"/>
        <v>352</v>
      </c>
      <c r="BB90" s="925">
        <f ca="1"/>
        <v>64</v>
      </c>
      <c r="BC90" s="925">
        <f ca="1"/>
        <v>80</v>
      </c>
      <c r="BD90" s="928">
        <f ca="1"/>
        <v>248</v>
      </c>
      <c r="BE90" s="200">
        <f ca="1"/>
        <v>0.9999999925494194</v>
      </c>
      <c r="BF90" s="851">
        <f ca="1"/>
        <v>0.9999999925494194</v>
      </c>
      <c r="BG90" s="851">
        <f ca="1"/>
        <v>0.9999999925494194</v>
      </c>
      <c r="BH90" s="933">
        <f ca="1"/>
        <v>1</v>
      </c>
      <c r="BI90" s="357">
        <f ca="1"/>
        <v>352</v>
      </c>
      <c r="BJ90" s="925">
        <f ca="1"/>
        <v>64</v>
      </c>
      <c r="BK90" s="925">
        <f ca="1"/>
        <v>80</v>
      </c>
      <c r="BL90" s="928">
        <f ca="1"/>
        <v>248</v>
      </c>
      <c r="BM90" s="200">
        <f ca="1"/>
        <v>0.9999999925494194</v>
      </c>
      <c r="BN90" s="851">
        <f ca="1"/>
        <v>0.9999999925494194</v>
      </c>
      <c r="BO90" s="851">
        <f ca="1"/>
        <v>0.9999999925494194</v>
      </c>
      <c r="BP90" s="933">
        <f ca="1"/>
        <v>1</v>
      </c>
      <c r="BQ90" s="357">
        <f t="shared" ca="1" si="233"/>
        <v>744</v>
      </c>
      <c r="BR90" s="361">
        <f t="shared" ca="1" si="234"/>
        <v>744</v>
      </c>
      <c r="BS90" s="357">
        <f t="shared" ca="1" si="235"/>
        <v>472.39143091995885</v>
      </c>
      <c r="BT90" s="302">
        <f t="shared" ca="1" si="236"/>
        <v>25.220106604580753</v>
      </c>
      <c r="BU90" s="299">
        <f t="shared" ca="1" si="237"/>
        <v>26.758171111336473</v>
      </c>
      <c r="BV90" s="299">
        <f t="shared" ca="1" si="238"/>
        <v>28.296235618092197</v>
      </c>
      <c r="BW90" s="299">
        <f t="shared" ca="1" si="239"/>
        <v>32.659889647739881</v>
      </c>
      <c r="BX90" s="380">
        <f t="shared" ca="1" si="240"/>
        <v>6.1629021218343603</v>
      </c>
      <c r="BY90" s="363">
        <f t="shared" ca="1" si="241"/>
        <v>223.49702108041066</v>
      </c>
      <c r="BZ90" s="353">
        <f t="shared" ca="1" si="242"/>
        <v>40.635822014620118</v>
      </c>
      <c r="CA90" s="353">
        <f t="shared" ca="1" si="243"/>
        <v>50.794777518275147</v>
      </c>
      <c r="CB90" s="353">
        <f t="shared" ca="1" si="244"/>
        <v>314.92762061330598</v>
      </c>
      <c r="CC90" s="353">
        <f t="shared" ca="1" si="245"/>
        <v>157.46381030665296</v>
      </c>
      <c r="CD90" s="353">
        <f t="shared" ca="1" si="246"/>
        <v>472.39143091995891</v>
      </c>
      <c r="CE90" s="302">
        <f t="shared" ca="1" si="247"/>
        <v>35.529999735280875</v>
      </c>
      <c r="CF90" s="299">
        <f t="shared" ca="1" si="248"/>
        <v>23.492499901261176</v>
      </c>
      <c r="CG90" s="299">
        <f t="shared" ca="1" si="249"/>
        <v>24.664999587349591</v>
      </c>
      <c r="CH90" s="299">
        <f t="shared" ca="1" si="250"/>
        <v>32.22435457154748</v>
      </c>
      <c r="CI90" s="299">
        <f t="shared" ca="1" si="251"/>
        <v>20.43999771118164</v>
      </c>
      <c r="CJ90" s="299">
        <f t="shared" ca="1" si="252"/>
        <v>28.296235618092201</v>
      </c>
      <c r="CK90" s="299">
        <f t="shared" ca="1" si="253"/>
        <v>32.659889647739881</v>
      </c>
      <c r="CL90" s="377">
        <f t="shared" ca="1" si="254"/>
        <v>0.31703739461718744</v>
      </c>
      <c r="CM90" s="305">
        <f t="shared" ca="1" si="255"/>
        <v>0.31703739461718744</v>
      </c>
      <c r="CN90" s="305">
        <f t="shared" ca="1" si="256"/>
        <v>0.31703739461718744</v>
      </c>
      <c r="CO90" s="305">
        <f t="shared" ca="1" si="257"/>
        <v>0.31703739461718738</v>
      </c>
      <c r="CP90" s="305">
        <f t="shared" ca="1" si="258"/>
        <v>9.3013449990720018E-2</v>
      </c>
      <c r="CQ90" s="305">
        <f t="shared" ca="1" si="259"/>
        <v>0.26318200756689786</v>
      </c>
      <c r="CR90" s="775">
        <f t="shared" ca="1" si="260"/>
        <v>0.32703739461718745</v>
      </c>
      <c r="CS90" s="305">
        <f t="shared" ca="1" si="261"/>
        <v>0.36703739461718743</v>
      </c>
      <c r="CT90" s="305">
        <f t="shared" ca="1" si="262"/>
        <v>0.35203739461718742</v>
      </c>
      <c r="CU90" s="305">
        <f t="shared" ca="1" si="263"/>
        <v>0.15301344999072003</v>
      </c>
      <c r="CV90" s="770">
        <f t="shared" ca="1" si="264"/>
        <v>0.27818200756689787</v>
      </c>
      <c r="CW90" s="302">
        <f t="shared" ca="1" si="265"/>
        <v>12.236832265913817</v>
      </c>
      <c r="CX90" s="299">
        <f t="shared" ca="1" si="266"/>
        <v>5.8681676438343962</v>
      </c>
      <c r="CY90" s="299">
        <f t="shared" ca="1" si="267"/>
        <v>6.1476085008470758</v>
      </c>
      <c r="CZ90" s="299">
        <f t="shared" ca="1" si="268"/>
        <v>0.50730979293081591</v>
      </c>
      <c r="DA90" s="774">
        <f t="shared" ca="1" si="269"/>
        <v>6.220781811512536</v>
      </c>
      <c r="DB90" s="303">
        <f t="shared" ca="1" si="270"/>
        <v>2938.6440213812612</v>
      </c>
      <c r="DC90" s="248">
        <f t="shared" ca="1" si="271"/>
        <v>262.04969756148682</v>
      </c>
      <c r="DD90" s="778">
        <f t="shared" ca="1" si="272"/>
        <v>0</v>
      </c>
      <c r="DE90" s="363">
        <f t="shared" ca="1" si="273"/>
        <v>0.63493471897843934</v>
      </c>
      <c r="DF90" s="378">
        <f t="shared" ca="1" si="274"/>
        <v>-0.30219141299289115</v>
      </c>
      <c r="DG90" s="508">
        <f t="shared" ca="1" si="275"/>
        <v>-0.81717195861805647</v>
      </c>
      <c r="DH90" s="508">
        <f t="shared" ca="1" si="276"/>
        <v>-0.75823055326940025</v>
      </c>
      <c r="DI90" s="508">
        <f t="shared" ca="1" si="277"/>
        <v>-1.4236878629133358</v>
      </c>
      <c r="DJ90" s="508">
        <f t="shared" ca="1" si="278"/>
        <v>-0.55297138315103123</v>
      </c>
      <c r="DK90" s="353">
        <f t="shared" ca="1" si="279"/>
        <v>-137.06034405999949</v>
      </c>
      <c r="DL90" s="781">
        <f t="shared" ca="1" si="280"/>
        <v>7.1709578046636198</v>
      </c>
      <c r="DM90" s="303">
        <f t="shared" ca="1" si="281"/>
        <v>10288.805649719148</v>
      </c>
      <c r="DN90" s="508">
        <f t="shared" ca="1" si="282"/>
        <v>1.2750680413353979</v>
      </c>
      <c r="DO90" s="508">
        <f t="shared" ca="1" si="283"/>
        <v>1.1084076823646403</v>
      </c>
      <c r="DP90" s="508">
        <f t="shared" ca="1" si="284"/>
        <v>1.1280284247230201</v>
      </c>
      <c r="DQ90" s="508">
        <f t="shared" ca="1" si="285"/>
        <v>1.0523350132288842</v>
      </c>
      <c r="DR90" s="508">
        <f t="shared" ca="1" si="286"/>
        <v>1.1833582245855689</v>
      </c>
      <c r="DS90" s="353">
        <f t="shared" ca="1" si="287"/>
        <v>6572.8589161988202</v>
      </c>
      <c r="DT90" s="353">
        <f t="shared" ca="1" si="288"/>
        <v>-10104.01502018214</v>
      </c>
      <c r="DU90" s="380">
        <f t="shared" ca="1" si="388"/>
        <v>6.1629021218343603</v>
      </c>
      <c r="DV90" s="303">
        <f t="shared" ca="1" si="289"/>
        <v>223.49702108041066</v>
      </c>
      <c r="DW90" s="303">
        <f t="shared" ca="1" si="290"/>
        <v>40.635822014620118</v>
      </c>
      <c r="DX90" s="303">
        <f t="shared" ca="1" si="291"/>
        <v>50.794777518275147</v>
      </c>
      <c r="DY90" s="303">
        <f t="shared" ca="1" si="292"/>
        <v>314.92762061330598</v>
      </c>
      <c r="DZ90" s="303">
        <f t="shared" ca="1" si="293"/>
        <v>157.46381030665296</v>
      </c>
      <c r="EA90" s="303">
        <f t="shared" ca="1" si="294"/>
        <v>472.39143091995891</v>
      </c>
      <c r="EB90" s="302">
        <f t="shared" ca="1" si="295"/>
        <v>35.529999735280875</v>
      </c>
      <c r="EC90" s="299">
        <f t="shared" ca="1" si="296"/>
        <v>23.492499901261176</v>
      </c>
      <c r="ED90" s="299">
        <f t="shared" ca="1" si="297"/>
        <v>24.664999587349591</v>
      </c>
      <c r="EE90" s="299">
        <f t="shared" ca="1" si="298"/>
        <v>32.22435457154748</v>
      </c>
      <c r="EF90" s="299">
        <f t="shared" ca="1" si="299"/>
        <v>20.43999771118164</v>
      </c>
      <c r="EG90" s="299">
        <f t="shared" ca="1" si="300"/>
        <v>28.296235618092201</v>
      </c>
      <c r="EH90" s="302">
        <f t="shared" ca="1" si="301"/>
        <v>30</v>
      </c>
      <c r="EI90" s="304">
        <f t="shared" ca="1" si="302"/>
        <v>0.10567913153906248</v>
      </c>
      <c r="EJ90" s="305">
        <f t="shared" ca="1" si="303"/>
        <v>0.10567913153906248</v>
      </c>
      <c r="EK90" s="305">
        <f t="shared" ca="1" si="304"/>
        <v>0.10567913153906248</v>
      </c>
      <c r="EL90" s="305">
        <f t="shared" ca="1" si="305"/>
        <v>0.10567913153906248</v>
      </c>
      <c r="EM90" s="305">
        <f t="shared" ca="1" si="306"/>
        <v>3.1004483330240005E-2</v>
      </c>
      <c r="EN90" s="305">
        <f t="shared" ca="1" si="307"/>
        <v>8.4626058098309975E-2</v>
      </c>
      <c r="EO90" s="305">
        <f t="shared" ca="1" si="308"/>
        <v>0.10567913153906248</v>
      </c>
      <c r="EP90" s="305">
        <f t="shared" ca="1" si="309"/>
        <v>0.10567913153906248</v>
      </c>
      <c r="EQ90" s="305">
        <f t="shared" ca="1" si="310"/>
        <v>0.10567913153906248</v>
      </c>
      <c r="ER90" s="305">
        <f t="shared" ca="1" si="311"/>
        <v>3.1004483330240005E-2</v>
      </c>
      <c r="ES90" s="305">
        <f t="shared" ca="1" si="312"/>
        <v>8.4626058098309975E-2</v>
      </c>
      <c r="ET90" s="299">
        <f t="shared" ca="1" si="313"/>
        <v>3.3838147810133954</v>
      </c>
      <c r="EU90" s="302">
        <f t="shared" ca="1" si="314"/>
        <v>30</v>
      </c>
      <c r="EV90" s="304">
        <f t="shared" ca="1" si="315"/>
        <v>0.31703739461718744</v>
      </c>
      <c r="EW90" s="305">
        <f t="shared" ca="1" si="316"/>
        <v>0.31703739461718744</v>
      </c>
      <c r="EX90" s="305">
        <f t="shared" ca="1" si="317"/>
        <v>0.31703739461718744</v>
      </c>
      <c r="EY90" s="305">
        <f t="shared" ca="1" si="318"/>
        <v>0.31703739461718738</v>
      </c>
      <c r="EZ90" s="305">
        <f t="shared" ca="1" si="319"/>
        <v>9.3013449990720018E-2</v>
      </c>
      <c r="FA90" s="305">
        <f t="shared" ca="1" si="320"/>
        <v>0.26318200756689786</v>
      </c>
      <c r="FB90" s="305">
        <f t="shared" ca="1" si="321"/>
        <v>0.31703739461718744</v>
      </c>
      <c r="FC90" s="305">
        <f t="shared" ca="1" si="322"/>
        <v>0.31703739461718744</v>
      </c>
      <c r="FD90" s="305">
        <f t="shared" ca="1" si="323"/>
        <v>0.31703739461718744</v>
      </c>
      <c r="FE90" s="305">
        <f t="shared" ca="1" si="324"/>
        <v>9.3013449990720018E-2</v>
      </c>
      <c r="FF90" s="305">
        <f t="shared" ca="1" si="325"/>
        <v>0.26318200756689786</v>
      </c>
      <c r="FG90" s="299">
        <f t="shared" ca="1" si="326"/>
        <v>6.6414097507080321</v>
      </c>
      <c r="FH90" s="302">
        <f t="shared" ca="1" si="327"/>
        <v>-3.2575949696946367</v>
      </c>
      <c r="FI90" s="248">
        <f t="shared" ca="1" si="328"/>
        <v>-1538.8599490917095</v>
      </c>
      <c r="FJ90" s="363">
        <f t="shared" ca="1" si="329"/>
        <v>0.63493471897843934</v>
      </c>
      <c r="FK90" s="378">
        <f t="shared" ca="1" si="330"/>
        <v>0.51368737778389584</v>
      </c>
      <c r="FL90" s="508">
        <f t="shared" ca="1" si="331"/>
        <v>-1.0631962557957706</v>
      </c>
      <c r="FM90" s="508">
        <f t="shared" ca="1" si="332"/>
        <v>-0.87755146482876667</v>
      </c>
      <c r="FN90" s="508">
        <f t="shared" ca="1" si="333"/>
        <v>-5.0236421317254196</v>
      </c>
      <c r="FO90" s="508">
        <f t="shared" ca="1" si="334"/>
        <v>-0.3833510905099034</v>
      </c>
      <c r="FP90" s="353">
        <f t="shared" ca="1" si="335"/>
        <v>306.70968696358335</v>
      </c>
      <c r="FQ90" s="356">
        <f t="shared" ca="1" si="336"/>
        <v>27.783229191928463</v>
      </c>
      <c r="FR90" s="380">
        <f t="shared" ca="1" si="337"/>
        <v>22.412000000000003</v>
      </c>
      <c r="FS90" s="299">
        <f t="shared" ca="1" si="338"/>
        <v>22.412000000000003</v>
      </c>
      <c r="FT90" s="299">
        <f t="shared" ca="1" si="339"/>
        <v>22.412000000000003</v>
      </c>
      <c r="FU90" s="299">
        <f t="shared" ca="1" si="340"/>
        <v>22.412000000000003</v>
      </c>
      <c r="FV90" s="299">
        <f t="shared" ca="1" si="341"/>
        <v>22.412000000000006</v>
      </c>
      <c r="FW90" s="850">
        <f t="shared" ca="1" si="342"/>
        <v>0.16500000000000001</v>
      </c>
      <c r="FX90" s="851">
        <f t="shared" ca="1" si="343"/>
        <v>0.5</v>
      </c>
      <c r="FY90" s="851">
        <f t="shared" ca="1" si="344"/>
        <v>0</v>
      </c>
      <c r="FZ90" s="201">
        <f t="shared" ca="1" si="345"/>
        <v>0</v>
      </c>
      <c r="GA90" s="201">
        <f t="shared" ca="1" si="346"/>
        <v>0</v>
      </c>
      <c r="GB90" s="201">
        <f t="shared" ca="1" si="347"/>
        <v>0</v>
      </c>
      <c r="GC90" s="201">
        <f t="shared" ca="1" si="348"/>
        <v>0</v>
      </c>
      <c r="GD90" s="850">
        <f t="shared" ca="1" si="349"/>
        <v>0.33203739461718745</v>
      </c>
      <c r="GE90" s="866">
        <f t="shared" ca="1" si="350"/>
        <v>0.31703739461718744</v>
      </c>
      <c r="GF90" s="866">
        <f t="shared" ca="1" si="351"/>
        <v>0.32203739461718744</v>
      </c>
      <c r="GG90" s="866">
        <f t="shared" ca="1" si="352"/>
        <v>9.3013449990720018E-2</v>
      </c>
      <c r="GH90" s="866">
        <f t="shared" ca="1" si="353"/>
        <v>0.27818200756689787</v>
      </c>
      <c r="GI90" s="302">
        <f t="shared" ca="1" si="354"/>
        <v>16.163081227875495</v>
      </c>
      <c r="GJ90" s="299">
        <f t="shared" ca="1" si="355"/>
        <v>6.6784010229559643</v>
      </c>
      <c r="GK90" s="299">
        <f t="shared" ca="1" si="356"/>
        <v>7.5595898629971039</v>
      </c>
      <c r="GL90" s="299">
        <f t="shared" ca="1" si="357"/>
        <v>2.1381290980259799</v>
      </c>
      <c r="GM90" s="299">
        <f t="shared" ca="1" si="358"/>
        <v>9.3648353213018094</v>
      </c>
      <c r="GN90" s="302">
        <f t="shared" ca="1" si="359"/>
        <v>0.84192679105814827</v>
      </c>
      <c r="GO90" s="299">
        <f t="shared" ca="1" si="360"/>
        <v>0.6590816448086475</v>
      </c>
      <c r="GP90" s="299">
        <f t="shared" ca="1" si="361"/>
        <v>0.6860026430594055</v>
      </c>
      <c r="GQ90" s="299">
        <f t="shared" ca="1" si="362"/>
        <v>0.46768584960547949</v>
      </c>
      <c r="GR90" s="299">
        <f t="shared" ca="1" si="363"/>
        <v>0.75437829283610736</v>
      </c>
      <c r="GS90" s="302">
        <f t="shared" ca="1" si="364"/>
        <v>-0.61353653386294216</v>
      </c>
      <c r="GT90" s="299">
        <f t="shared" ca="1" si="365"/>
        <v>-0.39287331001628228</v>
      </c>
      <c r="GU90" s="299">
        <f t="shared" ca="1" si="366"/>
        <v>-0.4176631931816735</v>
      </c>
      <c r="GV90" s="299">
        <f t="shared" ca="1" si="367"/>
        <v>-0.3311336690715897</v>
      </c>
      <c r="GW90" s="299">
        <f t="shared" ca="1" si="368"/>
        <v>-0.53459006419297772</v>
      </c>
      <c r="GX90" s="303">
        <f t="shared" ca="1" si="369"/>
        <v>3612.400505910879</v>
      </c>
      <c r="GY90" s="303">
        <f t="shared" ca="1" si="370"/>
        <v>271.38231531109551</v>
      </c>
      <c r="GZ90" s="303">
        <f t="shared" ca="1" si="371"/>
        <v>383.98768522034601</v>
      </c>
      <c r="HA90" s="303">
        <f t="shared" ca="1" si="372"/>
        <v>336.67795470269789</v>
      </c>
      <c r="HB90" s="303">
        <f t="shared" ca="1" si="373"/>
        <v>4423.8679577595349</v>
      </c>
      <c r="HC90" s="303">
        <f t="shared" ca="1" si="374"/>
        <v>2931.8338633688904</v>
      </c>
      <c r="HD90" s="303">
        <f t="shared" ca="1" si="375"/>
        <v>43.907001674463672</v>
      </c>
      <c r="HE90" s="303">
        <f t="shared" ca="1" si="376"/>
        <v>114.44061278818806</v>
      </c>
      <c r="HF90" s="303">
        <f t="shared" ca="1" si="377"/>
        <v>0</v>
      </c>
      <c r="HG90" s="852">
        <f t="shared" ca="1" si="378"/>
        <v>2779.6624835007606</v>
      </c>
    </row>
    <row r="91" spans="1:215" x14ac:dyDescent="0.25">
      <c r="A91" s="244">
        <f t="shared" ca="1" si="379"/>
        <v>38869</v>
      </c>
      <c r="B91" s="13">
        <f t="shared" ca="1" si="207"/>
        <v>2006</v>
      </c>
      <c r="C91" s="619">
        <f t="shared" ca="1" si="208"/>
        <v>6</v>
      </c>
      <c r="D91" s="195" t="str">
        <f t="shared" ca="1" si="209"/>
        <v/>
      </c>
      <c r="E91" s="469">
        <f t="shared" ca="1" si="210"/>
        <v>38869</v>
      </c>
      <c r="F91" s="465">
        <f t="shared" ca="1" si="211"/>
        <v>38898</v>
      </c>
      <c r="G91" s="522">
        <f t="shared" ca="1" si="380"/>
        <v>1</v>
      </c>
      <c r="H91" s="519">
        <f t="shared" ca="1" si="381"/>
        <v>1</v>
      </c>
      <c r="I91" s="724">
        <f t="shared" ca="1" si="212"/>
        <v>7.3443159324062993E-2</v>
      </c>
      <c r="J91" s="198">
        <f t="shared" ca="1" si="213"/>
        <v>0.63108905735073273</v>
      </c>
      <c r="K91" s="200">
        <f t="shared" ca="1" si="389"/>
        <v>44.16</v>
      </c>
      <c r="L91" s="201">
        <f t="shared" ca="1" si="390"/>
        <v>49</v>
      </c>
      <c r="M91" s="206">
        <f t="shared" ca="1" si="391"/>
        <v>53.84</v>
      </c>
      <c r="N91" s="851">
        <f t="shared" ca="1" si="395"/>
        <v>23.028750152587889</v>
      </c>
      <c r="O91" s="201">
        <f t="shared" ca="1" si="396"/>
        <v>26.658750152587888</v>
      </c>
      <c r="P91" s="206">
        <f t="shared" ca="1" si="397"/>
        <v>30.288750152587887</v>
      </c>
      <c r="Q91" s="201">
        <f t="shared" ca="1" si="398"/>
        <v>16.842499542236325</v>
      </c>
      <c r="R91" s="201">
        <f t="shared" ca="1" si="399"/>
        <v>20.142499542236326</v>
      </c>
      <c r="S91" s="201">
        <f t="shared" ca="1" si="400"/>
        <v>23.442499542236327</v>
      </c>
      <c r="T91" s="851">
        <f t="shared" ca="1" si="392"/>
        <v>17.134998779296872</v>
      </c>
      <c r="U91" s="201">
        <f t="shared" ca="1" si="393"/>
        <v>19.554998779296874</v>
      </c>
      <c r="V91" s="206">
        <f t="shared" ca="1" si="394"/>
        <v>21.974998779296875</v>
      </c>
      <c r="W91" s="230">
        <f t="shared" ca="1" si="382"/>
        <v>0.13240359066796872</v>
      </c>
      <c r="X91" s="231">
        <f t="shared" ca="1" si="383"/>
        <v>0.26480718133593745</v>
      </c>
      <c r="Y91" s="232">
        <f t="shared" ca="1" si="384"/>
        <v>0.3972107720039062</v>
      </c>
      <c r="Z91" s="231">
        <f t="shared" ca="1" si="202"/>
        <v>0.13240359066796872</v>
      </c>
      <c r="AA91" s="231">
        <f t="shared" ca="1" si="203"/>
        <v>0.26480718133593745</v>
      </c>
      <c r="AB91" s="232">
        <f t="shared" ca="1" si="204"/>
        <v>0.3972107720039062</v>
      </c>
      <c r="AC91" s="231">
        <f t="shared" ca="1" si="205"/>
        <v>0.13240359066796872</v>
      </c>
      <c r="AD91" s="231">
        <f t="shared" ca="1" si="206"/>
        <v>0.26480718133593745</v>
      </c>
      <c r="AE91" s="232">
        <f t="shared" ca="1" si="214"/>
        <v>0.3972107720039062</v>
      </c>
      <c r="AF91" s="231">
        <f t="shared" ca="1" si="385"/>
        <v>3.9862907138879994E-2</v>
      </c>
      <c r="AG91" s="231">
        <f t="shared" ca="1" si="386"/>
        <v>7.9725814277759988E-2</v>
      </c>
      <c r="AH91" s="232">
        <f t="shared" ca="1" si="387"/>
        <v>0.11958872141663998</v>
      </c>
      <c r="AI91" s="233">
        <f t="shared" ca="1" si="215"/>
        <v>1.65</v>
      </c>
      <c r="AJ91" s="233">
        <f t="shared" ca="1" si="216"/>
        <v>2</v>
      </c>
      <c r="AK91" s="234">
        <f t="shared" ca="1" si="217"/>
        <v>2.2999999999999998</v>
      </c>
      <c r="AL91" s="919">
        <f t="shared" ca="1" si="218"/>
        <v>1.65</v>
      </c>
      <c r="AM91" s="233">
        <f t="shared" ca="1" si="219"/>
        <v>2</v>
      </c>
      <c r="AN91" s="234">
        <f t="shared" ca="1" si="220"/>
        <v>2.2999999999999998</v>
      </c>
      <c r="AO91" s="233">
        <f t="shared" ca="1" si="221"/>
        <v>1.65</v>
      </c>
      <c r="AP91" s="233">
        <f t="shared" ca="1" si="222"/>
        <v>2</v>
      </c>
      <c r="AQ91" s="233">
        <f t="shared" ca="1" si="223"/>
        <v>2.2999999999999998</v>
      </c>
      <c r="AR91" s="919">
        <f t="shared" ca="1" si="224"/>
        <v>0.5</v>
      </c>
      <c r="AS91" s="233">
        <f t="shared" ca="1" si="225"/>
        <v>0.65</v>
      </c>
      <c r="AT91" s="235">
        <f t="shared" ca="1" si="226"/>
        <v>0.85000000000000009</v>
      </c>
      <c r="AU91" s="946">
        <f t="shared" si="227"/>
        <v>0.5</v>
      </c>
      <c r="AV91" s="13">
        <f t="shared" ca="1" si="228"/>
        <v>22</v>
      </c>
      <c r="AW91" s="210">
        <f t="shared" ca="1" si="229"/>
        <v>4</v>
      </c>
      <c r="AX91" s="210">
        <f t="shared" ca="1" si="230"/>
        <v>4</v>
      </c>
      <c r="AY91" s="210">
        <f t="shared" ca="1" si="231"/>
        <v>0</v>
      </c>
      <c r="AZ91" s="13">
        <f t="shared" ca="1" si="232"/>
        <v>30</v>
      </c>
      <c r="BA91" s="357">
        <f ca="1"/>
        <v>352</v>
      </c>
      <c r="BB91" s="925">
        <f ca="1"/>
        <v>64</v>
      </c>
      <c r="BC91" s="925">
        <f ca="1"/>
        <v>64</v>
      </c>
      <c r="BD91" s="928">
        <f ca="1"/>
        <v>240</v>
      </c>
      <c r="BE91" s="200">
        <f ca="1"/>
        <v>1.0000000037252903</v>
      </c>
      <c r="BF91" s="851">
        <f ca="1"/>
        <v>1.0000000037252903</v>
      </c>
      <c r="BG91" s="851">
        <f ca="1"/>
        <v>1.0000000037252903</v>
      </c>
      <c r="BH91" s="933">
        <f ca="1"/>
        <v>1</v>
      </c>
      <c r="BI91" s="357">
        <f ca="1"/>
        <v>352</v>
      </c>
      <c r="BJ91" s="925">
        <f ca="1"/>
        <v>64</v>
      </c>
      <c r="BK91" s="925">
        <f ca="1"/>
        <v>64</v>
      </c>
      <c r="BL91" s="928">
        <f ca="1"/>
        <v>240</v>
      </c>
      <c r="BM91" s="200">
        <f ca="1"/>
        <v>1.0000000037252903</v>
      </c>
      <c r="BN91" s="851">
        <f ca="1"/>
        <v>1.0000000037252903</v>
      </c>
      <c r="BO91" s="851">
        <f ca="1"/>
        <v>1.0000000037252903</v>
      </c>
      <c r="BP91" s="933">
        <f ca="1"/>
        <v>1</v>
      </c>
      <c r="BQ91" s="357">
        <f t="shared" ca="1" si="233"/>
        <v>720</v>
      </c>
      <c r="BR91" s="361">
        <f t="shared" ca="1" si="234"/>
        <v>720</v>
      </c>
      <c r="BS91" s="357">
        <f t="shared" ca="1" si="235"/>
        <v>454.38412129252754</v>
      </c>
      <c r="BT91" s="302">
        <f t="shared" ca="1" si="236"/>
        <v>30.845110770712708</v>
      </c>
      <c r="BU91" s="299">
        <f t="shared" ca="1" si="237"/>
        <v>34.633999670711241</v>
      </c>
      <c r="BV91" s="299">
        <f t="shared" ca="1" si="238"/>
        <v>38.422888570709773</v>
      </c>
      <c r="BW91" s="299">
        <f t="shared" ca="1" si="239"/>
        <v>32.659889647739881</v>
      </c>
      <c r="BX91" s="380">
        <f t="shared" ca="1" si="240"/>
        <v>6.2477754962354553</v>
      </c>
      <c r="BY91" s="363">
        <f t="shared" ca="1" si="241"/>
        <v>222.14334818745792</v>
      </c>
      <c r="BZ91" s="353">
        <f t="shared" ca="1" si="242"/>
        <v>40.389699670446895</v>
      </c>
      <c r="CA91" s="353">
        <f t="shared" ca="1" si="243"/>
        <v>40.389699670446895</v>
      </c>
      <c r="CB91" s="353">
        <f t="shared" ca="1" si="244"/>
        <v>302.92274752835169</v>
      </c>
      <c r="CC91" s="353">
        <f t="shared" ca="1" si="245"/>
        <v>151.46137376417585</v>
      </c>
      <c r="CD91" s="353">
        <f t="shared" ca="1" si="246"/>
        <v>454.38412129252754</v>
      </c>
      <c r="CE91" s="302">
        <f t="shared" ca="1" si="247"/>
        <v>53.840000200569634</v>
      </c>
      <c r="CF91" s="299">
        <f t="shared" ca="1" si="248"/>
        <v>30.288750265422273</v>
      </c>
      <c r="CG91" s="299">
        <f t="shared" ca="1" si="249"/>
        <v>23.442499629566441</v>
      </c>
      <c r="CH91" s="299">
        <f t="shared" ca="1" si="250"/>
        <v>46.646833466416233</v>
      </c>
      <c r="CI91" s="299">
        <f t="shared" ca="1" si="251"/>
        <v>21.974998779296875</v>
      </c>
      <c r="CJ91" s="299">
        <f t="shared" ca="1" si="252"/>
        <v>38.42288857070978</v>
      </c>
      <c r="CK91" s="299">
        <f t="shared" ca="1" si="253"/>
        <v>32.659889647739881</v>
      </c>
      <c r="CL91" s="377">
        <f t="shared" ca="1" si="254"/>
        <v>0.3972107720039062</v>
      </c>
      <c r="CM91" s="305">
        <f t="shared" ca="1" si="255"/>
        <v>0.3972107720039062</v>
      </c>
      <c r="CN91" s="305">
        <f t="shared" ca="1" si="256"/>
        <v>0.3972107720039062</v>
      </c>
      <c r="CO91" s="305">
        <f t="shared" ca="1" si="257"/>
        <v>0.39721077200390625</v>
      </c>
      <c r="CP91" s="305">
        <f t="shared" ca="1" si="258"/>
        <v>0.11958872141663998</v>
      </c>
      <c r="CQ91" s="305">
        <f t="shared" ca="1" si="259"/>
        <v>0.35036090342582948</v>
      </c>
      <c r="CR91" s="775">
        <f t="shared" ca="1" si="260"/>
        <v>0.41221077200390621</v>
      </c>
      <c r="CS91" s="305">
        <f t="shared" ca="1" si="261"/>
        <v>0.3972107720039062</v>
      </c>
      <c r="CT91" s="305">
        <f t="shared" ca="1" si="262"/>
        <v>0.44721077200390619</v>
      </c>
      <c r="CU91" s="305">
        <f t="shared" ca="1" si="263"/>
        <v>0.17958872141663998</v>
      </c>
      <c r="CV91" s="770">
        <f t="shared" ca="1" si="264"/>
        <v>0.3653609034258295</v>
      </c>
      <c r="CW91" s="302">
        <f t="shared" ca="1" si="265"/>
        <v>29.363356043955797</v>
      </c>
      <c r="CX91" s="299">
        <f t="shared" ca="1" si="266"/>
        <v>10.819157855399682</v>
      </c>
      <c r="CY91" s="299">
        <f t="shared" ca="1" si="267"/>
        <v>7.7409247363306761</v>
      </c>
      <c r="CZ91" s="299">
        <f t="shared" ca="1" si="268"/>
        <v>1.2275461313206595</v>
      </c>
      <c r="DA91" s="774">
        <f t="shared" ca="1" si="269"/>
        <v>15.577768540574866</v>
      </c>
      <c r="DB91" s="303">
        <f t="shared" ca="1" si="270"/>
        <v>7078.2906700074891</v>
      </c>
      <c r="DC91" s="248">
        <f t="shared" ca="1" si="271"/>
        <v>334.94637895710599</v>
      </c>
      <c r="DD91" s="778">
        <f t="shared" ca="1" si="272"/>
        <v>2618.6152016234601</v>
      </c>
      <c r="DE91" s="363">
        <f t="shared" ca="1" si="273"/>
        <v>0.63108905735073273</v>
      </c>
      <c r="DF91" s="378">
        <f t="shared" ca="1" si="274"/>
        <v>-3.0023875011944475E-2</v>
      </c>
      <c r="DG91" s="508">
        <f t="shared" ca="1" si="275"/>
        <v>-0.57233921208970651</v>
      </c>
      <c r="DH91" s="508">
        <f t="shared" ca="1" si="276"/>
        <v>-0.85555811388947633</v>
      </c>
      <c r="DI91" s="508">
        <f t="shared" ca="1" si="277"/>
        <v>-1.1071580739874956</v>
      </c>
      <c r="DJ91" s="508">
        <f t="shared" ca="1" si="278"/>
        <v>-0.27867573175632199</v>
      </c>
      <c r="DK91" s="353">
        <f t="shared" ca="1" si="279"/>
        <v>-177.32199723764458</v>
      </c>
      <c r="DL91" s="781">
        <f t="shared" ca="1" si="280"/>
        <v>5.8461534709547136</v>
      </c>
      <c r="DM91" s="303">
        <f t="shared" ca="1" si="281"/>
        <v>14059.870832772118</v>
      </c>
      <c r="DN91" s="508">
        <f t="shared" ca="1" si="282"/>
        <v>1.4496557367648912</v>
      </c>
      <c r="DO91" s="508">
        <f t="shared" ca="1" si="283"/>
        <v>1.2194956323015329</v>
      </c>
      <c r="DP91" s="508">
        <f t="shared" ca="1" si="284"/>
        <v>1.1169768296669227</v>
      </c>
      <c r="DQ91" s="508">
        <f t="shared" ca="1" si="285"/>
        <v>1.0911115560030615</v>
      </c>
      <c r="DR91" s="508">
        <f t="shared" ca="1" si="286"/>
        <v>1.3146728769489464</v>
      </c>
      <c r="DS91" s="353">
        <f t="shared" ca="1" si="287"/>
        <v>7336.2896999828072</v>
      </c>
      <c r="DT91" s="353">
        <f t="shared" ca="1" si="288"/>
        <v>-11426.708554896617</v>
      </c>
      <c r="DU91" s="380">
        <f t="shared" ca="1" si="388"/>
        <v>6.2477754962354553</v>
      </c>
      <c r="DV91" s="303">
        <f t="shared" ca="1" si="289"/>
        <v>222.14334818745792</v>
      </c>
      <c r="DW91" s="303">
        <f t="shared" ca="1" si="290"/>
        <v>40.389699670446895</v>
      </c>
      <c r="DX91" s="303">
        <f t="shared" ca="1" si="291"/>
        <v>40.389699670446895</v>
      </c>
      <c r="DY91" s="303">
        <f t="shared" ca="1" si="292"/>
        <v>302.92274752835169</v>
      </c>
      <c r="DZ91" s="303">
        <f t="shared" ca="1" si="293"/>
        <v>151.46137376417585</v>
      </c>
      <c r="EA91" s="303">
        <f t="shared" ca="1" si="294"/>
        <v>454.38412129252754</v>
      </c>
      <c r="EB91" s="302">
        <f t="shared" ca="1" si="295"/>
        <v>53.840000200569634</v>
      </c>
      <c r="EC91" s="299">
        <f t="shared" ca="1" si="296"/>
        <v>30.288750265422273</v>
      </c>
      <c r="ED91" s="299">
        <f t="shared" ca="1" si="297"/>
        <v>23.442499629566441</v>
      </c>
      <c r="EE91" s="299">
        <f t="shared" ca="1" si="298"/>
        <v>46.646833466416233</v>
      </c>
      <c r="EF91" s="299">
        <f t="shared" ca="1" si="299"/>
        <v>21.974998779296875</v>
      </c>
      <c r="EG91" s="299">
        <f t="shared" ca="1" si="300"/>
        <v>38.42288857070978</v>
      </c>
      <c r="EH91" s="302">
        <f t="shared" ca="1" si="301"/>
        <v>30</v>
      </c>
      <c r="EI91" s="304">
        <f t="shared" ca="1" si="302"/>
        <v>0.13240359066796872</v>
      </c>
      <c r="EJ91" s="305">
        <f t="shared" ca="1" si="303"/>
        <v>0.13240359066796872</v>
      </c>
      <c r="EK91" s="305">
        <f t="shared" ca="1" si="304"/>
        <v>0.13240359066796872</v>
      </c>
      <c r="EL91" s="305">
        <f t="shared" ca="1" si="305"/>
        <v>0.13240359066796878</v>
      </c>
      <c r="EM91" s="305">
        <f t="shared" ca="1" si="306"/>
        <v>3.9862907138879994E-2</v>
      </c>
      <c r="EN91" s="305">
        <f t="shared" ca="1" si="307"/>
        <v>0.11186247457983911</v>
      </c>
      <c r="EO91" s="305">
        <f t="shared" ca="1" si="308"/>
        <v>0.13240359066796872</v>
      </c>
      <c r="EP91" s="305">
        <f t="shared" ca="1" si="309"/>
        <v>0.13240359066796872</v>
      </c>
      <c r="EQ91" s="305">
        <f t="shared" ca="1" si="310"/>
        <v>0.13240359066796872</v>
      </c>
      <c r="ER91" s="305">
        <f t="shared" ca="1" si="311"/>
        <v>3.9862907138879994E-2</v>
      </c>
      <c r="ES91" s="305">
        <f t="shared" ca="1" si="312"/>
        <v>0.11186247457983911</v>
      </c>
      <c r="ET91" s="299">
        <f t="shared" ca="1" si="313"/>
        <v>0.97403641365607108</v>
      </c>
      <c r="EU91" s="302">
        <f t="shared" ca="1" si="314"/>
        <v>30</v>
      </c>
      <c r="EV91" s="304">
        <f t="shared" ca="1" si="315"/>
        <v>0.3972107720039062</v>
      </c>
      <c r="EW91" s="305">
        <f t="shared" ca="1" si="316"/>
        <v>0.3972107720039062</v>
      </c>
      <c r="EX91" s="305">
        <f t="shared" ca="1" si="317"/>
        <v>0.3972107720039062</v>
      </c>
      <c r="EY91" s="305">
        <f t="shared" ca="1" si="318"/>
        <v>0.39721077200390625</v>
      </c>
      <c r="EZ91" s="305">
        <f t="shared" ca="1" si="319"/>
        <v>0.11958872141663998</v>
      </c>
      <c r="FA91" s="305">
        <f t="shared" ca="1" si="320"/>
        <v>0.35036090342582948</v>
      </c>
      <c r="FB91" s="305">
        <f t="shared" ca="1" si="321"/>
        <v>0.3972107720039062</v>
      </c>
      <c r="FC91" s="305">
        <f t="shared" ca="1" si="322"/>
        <v>0.3972107720039062</v>
      </c>
      <c r="FD91" s="305">
        <f t="shared" ca="1" si="323"/>
        <v>0.3972107720039062</v>
      </c>
      <c r="FE91" s="305">
        <f t="shared" ca="1" si="324"/>
        <v>0.11958872141663998</v>
      </c>
      <c r="FF91" s="305">
        <f t="shared" ca="1" si="325"/>
        <v>0.35036090342582948</v>
      </c>
      <c r="FG91" s="299">
        <f t="shared" ca="1" si="326"/>
        <v>16.220723358690329</v>
      </c>
      <c r="FH91" s="302">
        <f t="shared" ca="1" si="327"/>
        <v>-15.246686945034257</v>
      </c>
      <c r="FI91" s="248">
        <f t="shared" ca="1" si="328"/>
        <v>-6927.8524501416423</v>
      </c>
      <c r="FJ91" s="363">
        <f t="shared" ca="1" si="329"/>
        <v>0.63108905735073273</v>
      </c>
      <c r="FK91" s="378">
        <f t="shared" ca="1" si="330"/>
        <v>1.6016172551446339</v>
      </c>
      <c r="FL91" s="508">
        <f t="shared" ca="1" si="331"/>
        <v>-0.13653113865558986</v>
      </c>
      <c r="FM91" s="508">
        <f t="shared" ca="1" si="332"/>
        <v>-0.91074390914917669</v>
      </c>
      <c r="FN91" s="508">
        <f t="shared" ca="1" si="333"/>
        <v>-3.1740014010897384</v>
      </c>
      <c r="FO91" s="508">
        <f t="shared" ca="1" si="334"/>
        <v>0.74521210083913969</v>
      </c>
      <c r="FP91" s="353">
        <f t="shared" ca="1" si="335"/>
        <v>103.63215048595096</v>
      </c>
      <c r="FQ91" s="356">
        <f t="shared" ca="1" si="336"/>
        <v>16.370963054862223</v>
      </c>
      <c r="FR91" s="380">
        <f t="shared" ca="1" si="337"/>
        <v>22.46</v>
      </c>
      <c r="FS91" s="299">
        <f t="shared" ca="1" si="338"/>
        <v>22.46</v>
      </c>
      <c r="FT91" s="299">
        <f t="shared" ca="1" si="339"/>
        <v>22.46</v>
      </c>
      <c r="FU91" s="299">
        <f t="shared" ca="1" si="340"/>
        <v>22.46</v>
      </c>
      <c r="FV91" s="299">
        <f t="shared" ca="1" si="341"/>
        <v>22.46</v>
      </c>
      <c r="FW91" s="850">
        <f t="shared" ca="1" si="342"/>
        <v>0.16500000000000001</v>
      </c>
      <c r="FX91" s="851">
        <f t="shared" ca="1" si="343"/>
        <v>0.5</v>
      </c>
      <c r="FY91" s="851">
        <f t="shared" ca="1" si="344"/>
        <v>0</v>
      </c>
      <c r="FZ91" s="201">
        <f t="shared" ca="1" si="345"/>
        <v>0</v>
      </c>
      <c r="GA91" s="201">
        <f t="shared" ca="1" si="346"/>
        <v>0</v>
      </c>
      <c r="GB91" s="201">
        <f t="shared" ca="1" si="347"/>
        <v>0</v>
      </c>
      <c r="GC91" s="201">
        <f t="shared" ca="1" si="348"/>
        <v>0</v>
      </c>
      <c r="GD91" s="850">
        <f t="shared" ca="1" si="349"/>
        <v>0.41221077200390621</v>
      </c>
      <c r="GE91" s="866">
        <f t="shared" ca="1" si="350"/>
        <v>0.41221077200390621</v>
      </c>
      <c r="GF91" s="866">
        <f t="shared" ca="1" si="351"/>
        <v>0.3972107720039062</v>
      </c>
      <c r="GG91" s="866">
        <f t="shared" ca="1" si="352"/>
        <v>0.11958872141663998</v>
      </c>
      <c r="GH91" s="866">
        <f t="shared" ca="1" si="353"/>
        <v>0.3653609034258295</v>
      </c>
      <c r="GI91" s="302">
        <f t="shared" ca="1" si="354"/>
        <v>33.949381822425174</v>
      </c>
      <c r="GJ91" s="299">
        <f t="shared" ca="1" si="355"/>
        <v>13.521682712372634</v>
      </c>
      <c r="GK91" s="299">
        <f t="shared" ca="1" si="356"/>
        <v>8.1711361263350941</v>
      </c>
      <c r="GL91" s="299">
        <f t="shared" ca="1" si="357"/>
        <v>3.0153546534180058</v>
      </c>
      <c r="GM91" s="299">
        <f t="shared" ca="1" si="358"/>
        <v>19.26681918419078</v>
      </c>
      <c r="GN91" s="302">
        <f t="shared" ca="1" si="359"/>
        <v>0.92255513704489345</v>
      </c>
      <c r="GO91" s="299">
        <f t="shared" ca="1" si="360"/>
        <v>0.78290252241069991</v>
      </c>
      <c r="GP91" s="299">
        <f t="shared" ca="1" si="361"/>
        <v>0.68492713718750486</v>
      </c>
      <c r="GQ91" s="299">
        <f t="shared" ca="1" si="362"/>
        <v>0.54987411600843783</v>
      </c>
      <c r="GR91" s="299">
        <f t="shared" ca="1" si="363"/>
        <v>0.85856236551149445</v>
      </c>
      <c r="GS91" s="302">
        <f t="shared" ca="1" si="364"/>
        <v>-0.69995527389084156</v>
      </c>
      <c r="GT91" s="299">
        <f t="shared" ca="1" si="365"/>
        <v>-0.45376048449224965</v>
      </c>
      <c r="GU91" s="299">
        <f t="shared" ca="1" si="366"/>
        <v>-0.35108055280353684</v>
      </c>
      <c r="GV91" s="299">
        <f t="shared" ca="1" si="367"/>
        <v>-0.40374565396943357</v>
      </c>
      <c r="GW91" s="299">
        <f t="shared" ca="1" si="368"/>
        <v>-0.61093643906953388</v>
      </c>
      <c r="GX91" s="303">
        <f t="shared" ca="1" si="369"/>
        <v>7541.6293469279499</v>
      </c>
      <c r="GY91" s="303">
        <f t="shared" ca="1" si="370"/>
        <v>546.13670379180439</v>
      </c>
      <c r="GZ91" s="303">
        <f t="shared" ca="1" si="371"/>
        <v>330.02973410901325</v>
      </c>
      <c r="HA91" s="303">
        <f t="shared" ca="1" si="372"/>
        <v>456.70975819289151</v>
      </c>
      <c r="HB91" s="303">
        <f t="shared" ca="1" si="373"/>
        <v>8754.5367051105404</v>
      </c>
      <c r="HC91" s="303">
        <f t="shared" ca="1" si="374"/>
        <v>6970.8583106776396</v>
      </c>
      <c r="HD91" s="303">
        <f t="shared" ca="1" si="375"/>
        <v>316.20087201533698</v>
      </c>
      <c r="HE91" s="303">
        <f t="shared" ca="1" si="376"/>
        <v>39.682864964513861</v>
      </c>
      <c r="HF91" s="303">
        <f t="shared" ca="1" si="377"/>
        <v>0</v>
      </c>
      <c r="HG91" s="852">
        <f t="shared" ca="1" si="378"/>
        <v>7253.2830964924942</v>
      </c>
    </row>
    <row r="92" spans="1:215" x14ac:dyDescent="0.25">
      <c r="A92" s="244">
        <f t="shared" ca="1" si="379"/>
        <v>38899</v>
      </c>
      <c r="B92" s="13">
        <f t="shared" ca="1" si="207"/>
        <v>2006</v>
      </c>
      <c r="C92" s="619">
        <f t="shared" ca="1" si="208"/>
        <v>7</v>
      </c>
      <c r="D92" s="195">
        <f t="shared" ca="1" si="209"/>
        <v>38902</v>
      </c>
      <c r="E92" s="469">
        <f t="shared" ca="1" si="210"/>
        <v>38899</v>
      </c>
      <c r="F92" s="465">
        <f t="shared" ca="1" si="211"/>
        <v>38929</v>
      </c>
      <c r="G92" s="522">
        <f t="shared" ca="1" si="380"/>
        <v>1</v>
      </c>
      <c r="H92" s="519">
        <f t="shared" ca="1" si="381"/>
        <v>1</v>
      </c>
      <c r="I92" s="724">
        <f t="shared" ca="1" si="212"/>
        <v>7.3467210918776005E-2</v>
      </c>
      <c r="J92" s="198">
        <f t="shared" ca="1" si="213"/>
        <v>0.62714345890985712</v>
      </c>
      <c r="K92" s="200">
        <f t="shared" ca="1" si="389"/>
        <v>66</v>
      </c>
      <c r="L92" s="201">
        <f t="shared" ca="1" si="390"/>
        <v>70</v>
      </c>
      <c r="M92" s="206">
        <f t="shared" ca="1" si="391"/>
        <v>74</v>
      </c>
      <c r="N92" s="851">
        <f t="shared" ca="1" si="395"/>
        <v>36.861249542236337</v>
      </c>
      <c r="O92" s="201">
        <f t="shared" ca="1" si="396"/>
        <v>39.861249542236337</v>
      </c>
      <c r="P92" s="206">
        <f t="shared" ca="1" si="397"/>
        <v>42.861249542236337</v>
      </c>
      <c r="Q92" s="201">
        <f t="shared" ca="1" si="398"/>
        <v>26.04749946594238</v>
      </c>
      <c r="R92" s="201">
        <f t="shared" ca="1" si="399"/>
        <v>29.347499465942381</v>
      </c>
      <c r="S92" s="201">
        <f t="shared" ca="1" si="400"/>
        <v>32.647499465942381</v>
      </c>
      <c r="T92" s="851">
        <f t="shared" ca="1" si="392"/>
        <v>22.049997711181639</v>
      </c>
      <c r="U92" s="201">
        <f t="shared" ca="1" si="393"/>
        <v>24.049997711181639</v>
      </c>
      <c r="V92" s="206">
        <f t="shared" ca="1" si="394"/>
        <v>26.049997711181639</v>
      </c>
      <c r="W92" s="230">
        <f t="shared" ca="1" si="382"/>
        <v>0.15677769019921869</v>
      </c>
      <c r="X92" s="231">
        <f t="shared" ca="1" si="383"/>
        <v>0.31355538039843739</v>
      </c>
      <c r="Y92" s="232">
        <f t="shared" ca="1" si="384"/>
        <v>0.47033307059765606</v>
      </c>
      <c r="Z92" s="231">
        <f t="shared" ca="1" si="202"/>
        <v>0.15677769019921869</v>
      </c>
      <c r="AA92" s="231">
        <f t="shared" ca="1" si="203"/>
        <v>0.31355538039843739</v>
      </c>
      <c r="AB92" s="232">
        <f t="shared" ca="1" si="204"/>
        <v>0.47033307059765606</v>
      </c>
      <c r="AC92" s="231">
        <f t="shared" ca="1" si="205"/>
        <v>0.15677769019921869</v>
      </c>
      <c r="AD92" s="231">
        <f t="shared" ca="1" si="206"/>
        <v>0.31355538039843739</v>
      </c>
      <c r="AE92" s="232">
        <f t="shared" ca="1" si="214"/>
        <v>0.47033307059765606</v>
      </c>
      <c r="AF92" s="231">
        <f t="shared" ca="1" si="385"/>
        <v>5.3150542851839989E-2</v>
      </c>
      <c r="AG92" s="231">
        <f t="shared" ca="1" si="386"/>
        <v>0.10630108570367998</v>
      </c>
      <c r="AH92" s="232">
        <f t="shared" ca="1" si="387"/>
        <v>0.15945162855551998</v>
      </c>
      <c r="AI92" s="233">
        <f t="shared" ca="1" si="215"/>
        <v>2.65</v>
      </c>
      <c r="AJ92" s="233">
        <f t="shared" ca="1" si="216"/>
        <v>3</v>
      </c>
      <c r="AK92" s="234">
        <f t="shared" ca="1" si="217"/>
        <v>3.5</v>
      </c>
      <c r="AL92" s="919">
        <f t="shared" ca="1" si="218"/>
        <v>2.65</v>
      </c>
      <c r="AM92" s="233">
        <f t="shared" ca="1" si="219"/>
        <v>3</v>
      </c>
      <c r="AN92" s="234">
        <f t="shared" ca="1" si="220"/>
        <v>3.5</v>
      </c>
      <c r="AO92" s="233">
        <f t="shared" ca="1" si="221"/>
        <v>2.65</v>
      </c>
      <c r="AP92" s="233">
        <f t="shared" ca="1" si="222"/>
        <v>3</v>
      </c>
      <c r="AQ92" s="233">
        <f t="shared" ca="1" si="223"/>
        <v>3.5</v>
      </c>
      <c r="AR92" s="919">
        <f t="shared" ca="1" si="224"/>
        <v>0.6</v>
      </c>
      <c r="AS92" s="233">
        <f t="shared" ca="1" si="225"/>
        <v>0.75</v>
      </c>
      <c r="AT92" s="235">
        <f t="shared" ca="1" si="226"/>
        <v>0.95</v>
      </c>
      <c r="AU92" s="946">
        <f t="shared" si="227"/>
        <v>0.5</v>
      </c>
      <c r="AV92" s="13">
        <f t="shared" ca="1" si="228"/>
        <v>20</v>
      </c>
      <c r="AW92" s="210">
        <f t="shared" ca="1" si="229"/>
        <v>5</v>
      </c>
      <c r="AX92" s="210">
        <f t="shared" ca="1" si="230"/>
        <v>5</v>
      </c>
      <c r="AY92" s="210">
        <f t="shared" ca="1" si="231"/>
        <v>1</v>
      </c>
      <c r="AZ92" s="13">
        <f t="shared" ca="1" si="232"/>
        <v>31</v>
      </c>
      <c r="BA92" s="357">
        <f ca="1"/>
        <v>320</v>
      </c>
      <c r="BB92" s="925">
        <f ca="1"/>
        <v>80</v>
      </c>
      <c r="BC92" s="925">
        <f ca="1"/>
        <v>96</v>
      </c>
      <c r="BD92" s="928">
        <f ca="1"/>
        <v>248</v>
      </c>
      <c r="BE92" s="200">
        <f ca="1"/>
        <v>1.0000000111758709</v>
      </c>
      <c r="BF92" s="851">
        <f ca="1"/>
        <v>1.0000000111758709</v>
      </c>
      <c r="BG92" s="851">
        <f ca="1"/>
        <v>1.0000000111758709</v>
      </c>
      <c r="BH92" s="933">
        <f ca="1"/>
        <v>1.0000000149011612</v>
      </c>
      <c r="BI92" s="357">
        <f ca="1"/>
        <v>320</v>
      </c>
      <c r="BJ92" s="925">
        <f ca="1"/>
        <v>80</v>
      </c>
      <c r="BK92" s="925">
        <f ca="1"/>
        <v>96</v>
      </c>
      <c r="BL92" s="928">
        <f ca="1"/>
        <v>248</v>
      </c>
      <c r="BM92" s="200">
        <f ca="1"/>
        <v>1.0000000111758709</v>
      </c>
      <c r="BN92" s="851">
        <f ca="1"/>
        <v>1.0000000111758709</v>
      </c>
      <c r="BO92" s="851">
        <f ca="1"/>
        <v>1.0000000111758709</v>
      </c>
      <c r="BP92" s="933">
        <f ca="1"/>
        <v>1.0000000149011612</v>
      </c>
      <c r="BQ92" s="357">
        <f t="shared" ca="1" si="233"/>
        <v>744</v>
      </c>
      <c r="BR92" s="361">
        <f t="shared" ca="1" si="234"/>
        <v>744</v>
      </c>
      <c r="BS92" s="357">
        <f t="shared" ca="1" si="235"/>
        <v>466.59473342893369</v>
      </c>
      <c r="BT92" s="302">
        <f t="shared" ca="1" si="236"/>
        <v>43.061639412506423</v>
      </c>
      <c r="BU92" s="299">
        <f t="shared" ca="1" si="237"/>
        <v>46.197123320999452</v>
      </c>
      <c r="BV92" s="299">
        <f t="shared" ca="1" si="238"/>
        <v>49.332607229492488</v>
      </c>
      <c r="BW92" s="299">
        <f t="shared" ca="1" si="239"/>
        <v>32.659889647739881</v>
      </c>
      <c r="BX92" s="380">
        <f t="shared" ca="1" si="240"/>
        <v>6.3299110198494182</v>
      </c>
      <c r="BY92" s="363">
        <f t="shared" ca="1" si="241"/>
        <v>200.68590685115427</v>
      </c>
      <c r="BZ92" s="353">
        <f t="shared" ca="1" si="242"/>
        <v>50.171476712788568</v>
      </c>
      <c r="CA92" s="353">
        <f t="shared" ca="1" si="243"/>
        <v>60.205772055346287</v>
      </c>
      <c r="CB92" s="353">
        <f t="shared" ca="1" si="244"/>
        <v>311.06315561928915</v>
      </c>
      <c r="CC92" s="353">
        <f t="shared" ca="1" si="245"/>
        <v>155.53157780964457</v>
      </c>
      <c r="CD92" s="353">
        <f t="shared" ca="1" si="246"/>
        <v>466.59473342893375</v>
      </c>
      <c r="CE92" s="302">
        <f t="shared" ca="1" si="247"/>
        <v>74.000000827014446</v>
      </c>
      <c r="CF92" s="299">
        <f t="shared" ca="1" si="248"/>
        <v>42.861250021248125</v>
      </c>
      <c r="CG92" s="299">
        <f t="shared" ca="1" si="249"/>
        <v>32.647499830806623</v>
      </c>
      <c r="CH92" s="299">
        <f t="shared" ca="1" si="250"/>
        <v>60.973911794560294</v>
      </c>
      <c r="CI92" s="299">
        <f t="shared" ca="1" si="251"/>
        <v>26.049998099356856</v>
      </c>
      <c r="CJ92" s="299">
        <f t="shared" ca="1" si="252"/>
        <v>49.332607229492481</v>
      </c>
      <c r="CK92" s="299">
        <f t="shared" ca="1" si="253"/>
        <v>32.659889647739881</v>
      </c>
      <c r="CL92" s="377">
        <f t="shared" ca="1" si="254"/>
        <v>0.47033307059765606</v>
      </c>
      <c r="CM92" s="305">
        <f t="shared" ca="1" si="255"/>
        <v>0.47033307059765606</v>
      </c>
      <c r="CN92" s="305">
        <f t="shared" ca="1" si="256"/>
        <v>0.47033307059765606</v>
      </c>
      <c r="CO92" s="305">
        <f t="shared" ca="1" si="257"/>
        <v>0.47033307059765606</v>
      </c>
      <c r="CP92" s="305">
        <f t="shared" ca="1" si="258"/>
        <v>0.15945162855551998</v>
      </c>
      <c r="CQ92" s="305">
        <f t="shared" ca="1" si="259"/>
        <v>0.42623401998761379</v>
      </c>
      <c r="CR92" s="775">
        <f t="shared" ca="1" si="260"/>
        <v>0.48533307059765607</v>
      </c>
      <c r="CS92" s="305">
        <f t="shared" ca="1" si="261"/>
        <v>0.48533307059765607</v>
      </c>
      <c r="CT92" s="305">
        <f t="shared" ca="1" si="262"/>
        <v>0.47033307059765606</v>
      </c>
      <c r="CU92" s="305">
        <f t="shared" ca="1" si="263"/>
        <v>0.18445162855551997</v>
      </c>
      <c r="CV92" s="770">
        <f t="shared" ca="1" si="264"/>
        <v>0.4412340199876138</v>
      </c>
      <c r="CW92" s="302">
        <f t="shared" ca="1" si="265"/>
        <v>49.482432526916995</v>
      </c>
      <c r="CX92" s="299">
        <f t="shared" ca="1" si="266"/>
        <v>22.787396434329615</v>
      </c>
      <c r="CY92" s="299">
        <f t="shared" ca="1" si="267"/>
        <v>14.554863145560235</v>
      </c>
      <c r="CZ92" s="299">
        <f t="shared" ca="1" si="268"/>
        <v>2.6940170360172067</v>
      </c>
      <c r="DA92" s="774">
        <f t="shared" ca="1" si="269"/>
        <v>26.645213718300308</v>
      </c>
      <c r="DB92" s="303">
        <f t="shared" ca="1" si="270"/>
        <v>12432.516392047301</v>
      </c>
      <c r="DC92" s="248">
        <f t="shared" ca="1" si="271"/>
        <v>383.97425315655443</v>
      </c>
      <c r="DD92" s="778">
        <f t="shared" ca="1" si="272"/>
        <v>7779.4022155937519</v>
      </c>
      <c r="DE92" s="363">
        <f t="shared" ca="1" si="273"/>
        <v>0.62714345890985712</v>
      </c>
      <c r="DF92" s="378">
        <f t="shared" ca="1" si="274"/>
        <v>5.9307138940025705E-2</v>
      </c>
      <c r="DG92" s="508">
        <f t="shared" ca="1" si="275"/>
        <v>-0.38792299980873451</v>
      </c>
      <c r="DH92" s="508">
        <f t="shared" ca="1" si="276"/>
        <v>-0.59198352800525633</v>
      </c>
      <c r="DI92" s="508">
        <f t="shared" ca="1" si="277"/>
        <v>-0.71931194711365243</v>
      </c>
      <c r="DJ92" s="508">
        <f t="shared" ca="1" si="278"/>
        <v>-0.18353024345569827</v>
      </c>
      <c r="DK92" s="353">
        <f t="shared" ca="1" si="279"/>
        <v>-199.32507306837238</v>
      </c>
      <c r="DL92" s="781">
        <f t="shared" ca="1" si="280"/>
        <v>5.0483950193215454</v>
      </c>
      <c r="DM92" s="303">
        <f t="shared" ca="1" si="281"/>
        <v>19145.64939652801</v>
      </c>
      <c r="DN92" s="508">
        <f t="shared" ca="1" si="282"/>
        <v>1.5829677008621839</v>
      </c>
      <c r="DO92" s="508">
        <f t="shared" ca="1" si="283"/>
        <v>1.3658904166310091</v>
      </c>
      <c r="DP92" s="508">
        <f t="shared" ca="1" si="284"/>
        <v>1.2576890979880824</v>
      </c>
      <c r="DQ92" s="508">
        <f t="shared" ca="1" si="285"/>
        <v>1.1679516924861908</v>
      </c>
      <c r="DR92" s="508">
        <f t="shared" ca="1" si="286"/>
        <v>1.4217866833611952</v>
      </c>
      <c r="DS92" s="353">
        <f t="shared" ca="1" si="287"/>
        <v>8408.6198499129805</v>
      </c>
      <c r="DT92" s="353">
        <f t="shared" ca="1" si="288"/>
        <v>-13079.08919035836</v>
      </c>
      <c r="DU92" s="380">
        <f t="shared" ca="1" si="388"/>
        <v>6.3299110198494182</v>
      </c>
      <c r="DV92" s="303">
        <f t="shared" ca="1" si="289"/>
        <v>200.68590685115427</v>
      </c>
      <c r="DW92" s="303">
        <f t="shared" ca="1" si="290"/>
        <v>50.171476712788568</v>
      </c>
      <c r="DX92" s="303">
        <f t="shared" ca="1" si="291"/>
        <v>60.205772055346287</v>
      </c>
      <c r="DY92" s="303">
        <f t="shared" ca="1" si="292"/>
        <v>311.06315561928915</v>
      </c>
      <c r="DZ92" s="303">
        <f t="shared" ca="1" si="293"/>
        <v>155.53157780964457</v>
      </c>
      <c r="EA92" s="303">
        <f t="shared" ca="1" si="294"/>
        <v>466.59473342893375</v>
      </c>
      <c r="EB92" s="302">
        <f t="shared" ca="1" si="295"/>
        <v>74.000000827014446</v>
      </c>
      <c r="EC92" s="299">
        <f t="shared" ca="1" si="296"/>
        <v>42.861250021248125</v>
      </c>
      <c r="ED92" s="299">
        <f t="shared" ca="1" si="297"/>
        <v>32.647499830806623</v>
      </c>
      <c r="EE92" s="299">
        <f t="shared" ca="1" si="298"/>
        <v>60.973911794560294</v>
      </c>
      <c r="EF92" s="299">
        <f t="shared" ca="1" si="299"/>
        <v>26.049998099356856</v>
      </c>
      <c r="EG92" s="299">
        <f t="shared" ca="1" si="300"/>
        <v>49.332607229492481</v>
      </c>
      <c r="EH92" s="302">
        <f t="shared" ca="1" si="301"/>
        <v>30</v>
      </c>
      <c r="EI92" s="304">
        <f t="shared" ca="1" si="302"/>
        <v>0.15677769019921869</v>
      </c>
      <c r="EJ92" s="305">
        <f t="shared" ca="1" si="303"/>
        <v>0.15677769019921869</v>
      </c>
      <c r="EK92" s="305">
        <f t="shared" ca="1" si="304"/>
        <v>0.15677769019921869</v>
      </c>
      <c r="EL92" s="305">
        <f t="shared" ca="1" si="305"/>
        <v>0.15677769019921872</v>
      </c>
      <c r="EM92" s="305">
        <f t="shared" ca="1" si="306"/>
        <v>5.3150542851839989E-2</v>
      </c>
      <c r="EN92" s="305">
        <f t="shared" ca="1" si="307"/>
        <v>0.13516939411733758</v>
      </c>
      <c r="EO92" s="305">
        <f t="shared" ca="1" si="308"/>
        <v>0.15677769019921869</v>
      </c>
      <c r="EP92" s="305">
        <f t="shared" ca="1" si="309"/>
        <v>0.15677769019921869</v>
      </c>
      <c r="EQ92" s="305">
        <f t="shared" ca="1" si="310"/>
        <v>0.15677769019921869</v>
      </c>
      <c r="ER92" s="305">
        <f t="shared" ca="1" si="311"/>
        <v>5.3150542851839989E-2</v>
      </c>
      <c r="ES92" s="305">
        <f t="shared" ca="1" si="312"/>
        <v>0.13516939411733758</v>
      </c>
      <c r="ET92" s="299">
        <f t="shared" ca="1" si="313"/>
        <v>0.4130362765766189</v>
      </c>
      <c r="EU92" s="302">
        <f t="shared" ca="1" si="314"/>
        <v>30</v>
      </c>
      <c r="EV92" s="304">
        <f t="shared" ca="1" si="315"/>
        <v>0.47033307059765606</v>
      </c>
      <c r="EW92" s="305">
        <f t="shared" ca="1" si="316"/>
        <v>0.47033307059765606</v>
      </c>
      <c r="EX92" s="305">
        <f t="shared" ca="1" si="317"/>
        <v>0.47033307059765606</v>
      </c>
      <c r="EY92" s="305">
        <f t="shared" ca="1" si="318"/>
        <v>0.47033307059765606</v>
      </c>
      <c r="EZ92" s="305">
        <f t="shared" ca="1" si="319"/>
        <v>0.15945162855551998</v>
      </c>
      <c r="FA92" s="305">
        <f t="shared" ca="1" si="320"/>
        <v>0.42623401998761379</v>
      </c>
      <c r="FB92" s="305">
        <f t="shared" ca="1" si="321"/>
        <v>0.47033307059765606</v>
      </c>
      <c r="FC92" s="305">
        <f t="shared" ca="1" si="322"/>
        <v>0.47033307059765606</v>
      </c>
      <c r="FD92" s="305">
        <f t="shared" ca="1" si="323"/>
        <v>0.47033307059765606</v>
      </c>
      <c r="FE92" s="305">
        <f t="shared" ca="1" si="324"/>
        <v>0.15945162855551998</v>
      </c>
      <c r="FF92" s="305">
        <f t="shared" ca="1" si="325"/>
        <v>0.42623401998761379</v>
      </c>
      <c r="FG92" s="299">
        <f t="shared" ca="1" si="326"/>
        <v>27.371186203453902</v>
      </c>
      <c r="FH92" s="302">
        <f t="shared" ca="1" si="327"/>
        <v>-26.958149926877283</v>
      </c>
      <c r="FI92" s="248">
        <f t="shared" ca="1" si="328"/>
        <v>-12578.530778868535</v>
      </c>
      <c r="FJ92" s="363">
        <f t="shared" ca="1" si="329"/>
        <v>0.62714345890985712</v>
      </c>
      <c r="FK92" s="378">
        <f t="shared" ca="1" si="330"/>
        <v>2.0917541123161056</v>
      </c>
      <c r="FL92" s="508">
        <f t="shared" ca="1" si="331"/>
        <v>0.70727411247086502</v>
      </c>
      <c r="FM92" s="508">
        <f t="shared" ca="1" si="332"/>
        <v>1.718550117939989E-2</v>
      </c>
      <c r="FN92" s="508">
        <f t="shared" ca="1" si="333"/>
        <v>-1.1226227816610395</v>
      </c>
      <c r="FO92" s="508">
        <f t="shared" ca="1" si="334"/>
        <v>1.2925361566965077</v>
      </c>
      <c r="FP92" s="353">
        <f t="shared" ca="1" si="335"/>
        <v>45.766332502813569</v>
      </c>
      <c r="FQ92" s="356">
        <f t="shared" ca="1" si="336"/>
        <v>7.9136106804324893</v>
      </c>
      <c r="FR92" s="380">
        <f t="shared" ca="1" si="337"/>
        <v>22.54</v>
      </c>
      <c r="FS92" s="299">
        <f t="shared" ca="1" si="338"/>
        <v>22.54</v>
      </c>
      <c r="FT92" s="299">
        <f t="shared" ca="1" si="339"/>
        <v>22.54</v>
      </c>
      <c r="FU92" s="299">
        <f t="shared" ca="1" si="340"/>
        <v>22.54</v>
      </c>
      <c r="FV92" s="299">
        <f t="shared" ca="1" si="341"/>
        <v>22.54</v>
      </c>
      <c r="FW92" s="850">
        <f t="shared" ca="1" si="342"/>
        <v>0.16500000000000001</v>
      </c>
      <c r="FX92" s="851">
        <f t="shared" ca="1" si="343"/>
        <v>0.5</v>
      </c>
      <c r="FY92" s="851">
        <f t="shared" ca="1" si="344"/>
        <v>0</v>
      </c>
      <c r="FZ92" s="201">
        <f t="shared" ca="1" si="345"/>
        <v>0</v>
      </c>
      <c r="GA92" s="201">
        <f t="shared" ca="1" si="346"/>
        <v>0</v>
      </c>
      <c r="GB92" s="201">
        <f t="shared" ca="1" si="347"/>
        <v>0</v>
      </c>
      <c r="GC92" s="201">
        <f t="shared" ca="1" si="348"/>
        <v>0</v>
      </c>
      <c r="GD92" s="850">
        <f t="shared" ca="1" si="349"/>
        <v>0.48533307059765607</v>
      </c>
      <c r="GE92" s="866">
        <f t="shared" ca="1" si="350"/>
        <v>0.48533307059765607</v>
      </c>
      <c r="GF92" s="866">
        <f t="shared" ca="1" si="351"/>
        <v>0.48533307059765607</v>
      </c>
      <c r="GG92" s="866">
        <f t="shared" ca="1" si="352"/>
        <v>0.17195162855551999</v>
      </c>
      <c r="GH92" s="866">
        <f t="shared" ca="1" si="353"/>
        <v>0.4412340199876138</v>
      </c>
      <c r="GI92" s="302">
        <f t="shared" ca="1" si="354"/>
        <v>54.173003749263557</v>
      </c>
      <c r="GJ92" s="299">
        <f t="shared" ca="1" si="355"/>
        <v>25.561130225525897</v>
      </c>
      <c r="GK92" s="299">
        <f t="shared" ca="1" si="356"/>
        <v>16.938851955866433</v>
      </c>
      <c r="GL92" s="299">
        <f t="shared" ca="1" si="357"/>
        <v>6.0665748591478383</v>
      </c>
      <c r="GM92" s="299">
        <f t="shared" ca="1" si="358"/>
        <v>30.385952189157422</v>
      </c>
      <c r="GN92" s="302">
        <f t="shared" ca="1" si="359"/>
        <v>0.94982287643403163</v>
      </c>
      <c r="GO92" s="299">
        <f t="shared" ca="1" si="360"/>
        <v>0.87187894255302745</v>
      </c>
      <c r="GP92" s="299">
        <f t="shared" ca="1" si="361"/>
        <v>0.8111649275159184</v>
      </c>
      <c r="GQ92" s="299">
        <f t="shared" ca="1" si="362"/>
        <v>0.70996816566728682</v>
      </c>
      <c r="GR92" s="299">
        <f t="shared" ca="1" si="363"/>
        <v>0.90182438266309106</v>
      </c>
      <c r="GS92" s="302">
        <f t="shared" ca="1" si="364"/>
        <v>-0.71490248521445587</v>
      </c>
      <c r="GT92" s="299">
        <f t="shared" ca="1" si="365"/>
        <v>-0.5238998134484375</v>
      </c>
      <c r="GU92" s="299">
        <f t="shared" ca="1" si="366"/>
        <v>-0.42341006490822247</v>
      </c>
      <c r="GV92" s="299">
        <f t="shared" ca="1" si="367"/>
        <v>-0.55137948485739219</v>
      </c>
      <c r="GW92" s="299">
        <f t="shared" ca="1" si="368"/>
        <v>-0.62570560474503245</v>
      </c>
      <c r="GX92" s="303">
        <f t="shared" ca="1" si="369"/>
        <v>10871.758384271938</v>
      </c>
      <c r="GY92" s="303">
        <f t="shared" ca="1" si="370"/>
        <v>1282.4396498625285</v>
      </c>
      <c r="GZ92" s="303">
        <f t="shared" ca="1" si="371"/>
        <v>1019.8166597341511</v>
      </c>
      <c r="HA92" s="303">
        <f t="shared" ca="1" si="372"/>
        <v>943.54395974358556</v>
      </c>
      <c r="HB92" s="303">
        <f t="shared" ca="1" si="373"/>
        <v>14177.925261684233</v>
      </c>
      <c r="HC92" s="303">
        <f t="shared" ca="1" si="374"/>
        <v>10327.296932530544</v>
      </c>
      <c r="HD92" s="303">
        <f t="shared" ca="1" si="375"/>
        <v>1019.5471222158045</v>
      </c>
      <c r="HE92" s="303">
        <f t="shared" ca="1" si="376"/>
        <v>608.5298308629948</v>
      </c>
      <c r="HF92" s="303">
        <f t="shared" ca="1" si="377"/>
        <v>545.91554250182548</v>
      </c>
      <c r="HG92" s="852">
        <f t="shared" ca="1" si="378"/>
        <v>12501.289428111168</v>
      </c>
    </row>
    <row r="93" spans="1:215" x14ac:dyDescent="0.25">
      <c r="A93" s="244">
        <f t="shared" ca="1" si="379"/>
        <v>38930</v>
      </c>
      <c r="B93" s="13">
        <f t="shared" ca="1" si="207"/>
        <v>2006</v>
      </c>
      <c r="C93" s="619">
        <f t="shared" ca="1" si="208"/>
        <v>8</v>
      </c>
      <c r="D93" s="195" t="str">
        <f t="shared" ca="1" si="209"/>
        <v/>
      </c>
      <c r="E93" s="469">
        <f t="shared" ca="1" si="210"/>
        <v>38930</v>
      </c>
      <c r="F93" s="465">
        <f t="shared" ca="1" si="211"/>
        <v>38960</v>
      </c>
      <c r="G93" s="522">
        <f t="shared" ca="1" si="380"/>
        <v>1</v>
      </c>
      <c r="H93" s="519">
        <f t="shared" ca="1" si="381"/>
        <v>1</v>
      </c>
      <c r="I93" s="724">
        <f t="shared" ca="1" si="212"/>
        <v>7.3492064233512996E-2</v>
      </c>
      <c r="J93" s="198">
        <f t="shared" ca="1" si="213"/>
        <v>0.62321691786190325</v>
      </c>
      <c r="K93" s="200">
        <f t="shared" ca="1" si="389"/>
        <v>61.5</v>
      </c>
      <c r="L93" s="201">
        <f t="shared" ca="1" si="390"/>
        <v>65.5</v>
      </c>
      <c r="M93" s="206">
        <f t="shared" ca="1" si="391"/>
        <v>69.5</v>
      </c>
      <c r="N93" s="851">
        <f t="shared" ca="1" si="395"/>
        <v>39.122499084472665</v>
      </c>
      <c r="O93" s="201">
        <f t="shared" ca="1" si="396"/>
        <v>42.122499084472665</v>
      </c>
      <c r="P93" s="206">
        <f t="shared" ca="1" si="397"/>
        <v>45.122499084472665</v>
      </c>
      <c r="Q93" s="201">
        <f t="shared" ca="1" si="398"/>
        <v>27.545000839233396</v>
      </c>
      <c r="R93" s="201">
        <f t="shared" ca="1" si="399"/>
        <v>30.845000839233396</v>
      </c>
      <c r="S93" s="201">
        <f t="shared" ca="1" si="400"/>
        <v>34.145000839233397</v>
      </c>
      <c r="T93" s="851">
        <f t="shared" ca="1" si="392"/>
        <v>22.399998092651366</v>
      </c>
      <c r="U93" s="201">
        <f t="shared" ca="1" si="393"/>
        <v>24.399998092651366</v>
      </c>
      <c r="V93" s="206">
        <f t="shared" ca="1" si="394"/>
        <v>26.399998092651366</v>
      </c>
      <c r="W93" s="230">
        <f t="shared" ca="1" si="382"/>
        <v>0.15442733060156244</v>
      </c>
      <c r="X93" s="231">
        <f t="shared" ca="1" si="383"/>
        <v>0.30885466120312488</v>
      </c>
      <c r="Y93" s="232">
        <f t="shared" ca="1" si="384"/>
        <v>0.46328199180468732</v>
      </c>
      <c r="Z93" s="231">
        <f t="shared" ca="1" si="202"/>
        <v>0.15442733060156244</v>
      </c>
      <c r="AA93" s="231">
        <f t="shared" ca="1" si="203"/>
        <v>0.30885466120312488</v>
      </c>
      <c r="AB93" s="232">
        <f t="shared" ca="1" si="204"/>
        <v>0.46328199180468732</v>
      </c>
      <c r="AC93" s="231">
        <f t="shared" ca="1" si="205"/>
        <v>0.15442733060156244</v>
      </c>
      <c r="AD93" s="231">
        <f t="shared" ca="1" si="206"/>
        <v>0.30885466120312488</v>
      </c>
      <c r="AE93" s="232">
        <f t="shared" ca="1" si="214"/>
        <v>0.46328199180468732</v>
      </c>
      <c r="AF93" s="231">
        <f t="shared" ca="1" si="385"/>
        <v>5.3150542851839989E-2</v>
      </c>
      <c r="AG93" s="231">
        <f t="shared" ca="1" si="386"/>
        <v>0.10630108570367998</v>
      </c>
      <c r="AH93" s="232">
        <f t="shared" ca="1" si="387"/>
        <v>0.15945162855551998</v>
      </c>
      <c r="AI93" s="233">
        <f t="shared" ca="1" si="215"/>
        <v>2.65</v>
      </c>
      <c r="AJ93" s="233">
        <f t="shared" ca="1" si="216"/>
        <v>3</v>
      </c>
      <c r="AK93" s="234">
        <f t="shared" ca="1" si="217"/>
        <v>3.5</v>
      </c>
      <c r="AL93" s="919">
        <f t="shared" ca="1" si="218"/>
        <v>2.65</v>
      </c>
      <c r="AM93" s="233">
        <f t="shared" ca="1" si="219"/>
        <v>3</v>
      </c>
      <c r="AN93" s="234">
        <f t="shared" ca="1" si="220"/>
        <v>3.5</v>
      </c>
      <c r="AO93" s="233">
        <f t="shared" ca="1" si="221"/>
        <v>2.65</v>
      </c>
      <c r="AP93" s="233">
        <f t="shared" ca="1" si="222"/>
        <v>3</v>
      </c>
      <c r="AQ93" s="233">
        <f t="shared" ca="1" si="223"/>
        <v>3.5</v>
      </c>
      <c r="AR93" s="919">
        <f t="shared" ca="1" si="224"/>
        <v>0.6</v>
      </c>
      <c r="AS93" s="233">
        <f t="shared" ca="1" si="225"/>
        <v>0.75</v>
      </c>
      <c r="AT93" s="235">
        <f t="shared" ca="1" si="226"/>
        <v>0.95</v>
      </c>
      <c r="AU93" s="946">
        <f t="shared" si="227"/>
        <v>0.5</v>
      </c>
      <c r="AV93" s="13">
        <f t="shared" ca="1" si="228"/>
        <v>23</v>
      </c>
      <c r="AW93" s="210">
        <f t="shared" ca="1" si="229"/>
        <v>4</v>
      </c>
      <c r="AX93" s="210">
        <f t="shared" ca="1" si="230"/>
        <v>4</v>
      </c>
      <c r="AY93" s="210">
        <f t="shared" ca="1" si="231"/>
        <v>0</v>
      </c>
      <c r="AZ93" s="13">
        <f t="shared" ca="1" si="232"/>
        <v>31</v>
      </c>
      <c r="BA93" s="357">
        <f ca="1"/>
        <v>368</v>
      </c>
      <c r="BB93" s="925">
        <f ca="1"/>
        <v>64</v>
      </c>
      <c r="BC93" s="925">
        <f ca="1"/>
        <v>64</v>
      </c>
      <c r="BD93" s="928">
        <f ca="1"/>
        <v>248</v>
      </c>
      <c r="BE93" s="200">
        <f ca="1"/>
        <v>1</v>
      </c>
      <c r="BF93" s="851">
        <f ca="1"/>
        <v>1</v>
      </c>
      <c r="BG93" s="851">
        <f ca="1"/>
        <v>1</v>
      </c>
      <c r="BH93" s="933">
        <f ca="1"/>
        <v>1.0000000074505806</v>
      </c>
      <c r="BI93" s="357">
        <f ca="1"/>
        <v>368</v>
      </c>
      <c r="BJ93" s="925">
        <f ca="1"/>
        <v>64</v>
      </c>
      <c r="BK93" s="925">
        <f ca="1"/>
        <v>64</v>
      </c>
      <c r="BL93" s="928">
        <f ca="1"/>
        <v>248</v>
      </c>
      <c r="BM93" s="200">
        <f ca="1"/>
        <v>1</v>
      </c>
      <c r="BN93" s="851">
        <f ca="1"/>
        <v>1</v>
      </c>
      <c r="BO93" s="851">
        <f ca="1"/>
        <v>1</v>
      </c>
      <c r="BP93" s="933">
        <f ca="1"/>
        <v>1.0000000074505806</v>
      </c>
      <c r="BQ93" s="357">
        <f t="shared" ca="1" si="233"/>
        <v>744</v>
      </c>
      <c r="BR93" s="361">
        <f t="shared" ca="1" si="234"/>
        <v>744</v>
      </c>
      <c r="BS93" s="357">
        <f t="shared" ca="1" si="235"/>
        <v>463.67338688925599</v>
      </c>
      <c r="BT93" s="302">
        <f t="shared" ca="1" si="236"/>
        <v>43.62085962833897</v>
      </c>
      <c r="BU93" s="299">
        <f t="shared" ca="1" si="237"/>
        <v>46.807956407499574</v>
      </c>
      <c r="BV93" s="299">
        <f t="shared" ca="1" si="238"/>
        <v>49.995053186660172</v>
      </c>
      <c r="BW93" s="299">
        <f t="shared" ca="1" si="239"/>
        <v>32.659889647739881</v>
      </c>
      <c r="BX93" s="380">
        <f t="shared" ca="1" si="240"/>
        <v>6.4147843942505132</v>
      </c>
      <c r="BY93" s="363">
        <f t="shared" ca="1" si="241"/>
        <v>229.34382577318038</v>
      </c>
      <c r="BZ93" s="353">
        <f t="shared" ca="1" si="242"/>
        <v>39.885882743161808</v>
      </c>
      <c r="CA93" s="353">
        <f t="shared" ca="1" si="243"/>
        <v>39.885882743161808</v>
      </c>
      <c r="CB93" s="353">
        <f t="shared" ca="1" si="244"/>
        <v>309.11559125950401</v>
      </c>
      <c r="CC93" s="353">
        <f t="shared" ca="1" si="245"/>
        <v>154.55779562975201</v>
      </c>
      <c r="CD93" s="353">
        <f t="shared" ca="1" si="246"/>
        <v>463.67338688925599</v>
      </c>
      <c r="CE93" s="302">
        <f t="shared" ca="1" si="247"/>
        <v>69.5</v>
      </c>
      <c r="CF93" s="299">
        <f t="shared" ca="1" si="248"/>
        <v>45.122499084472665</v>
      </c>
      <c r="CG93" s="299">
        <f t="shared" ca="1" si="249"/>
        <v>34.145000839233397</v>
      </c>
      <c r="CH93" s="299">
        <f t="shared" ca="1" si="250"/>
        <v>61.792580635316909</v>
      </c>
      <c r="CI93" s="299">
        <f t="shared" ca="1" si="251"/>
        <v>26.39999828934668</v>
      </c>
      <c r="CJ93" s="299">
        <f t="shared" ca="1" si="252"/>
        <v>49.995053186660165</v>
      </c>
      <c r="CK93" s="299">
        <f t="shared" ca="1" si="253"/>
        <v>32.659889647739881</v>
      </c>
      <c r="CL93" s="377">
        <f t="shared" ca="1" si="254"/>
        <v>0.46328199180468732</v>
      </c>
      <c r="CM93" s="305">
        <f t="shared" ca="1" si="255"/>
        <v>0.46328199180468732</v>
      </c>
      <c r="CN93" s="305">
        <f t="shared" ca="1" si="256"/>
        <v>0.46328199180468732</v>
      </c>
      <c r="CO93" s="305">
        <f t="shared" ca="1" si="257"/>
        <v>0.46328199180468732</v>
      </c>
      <c r="CP93" s="305">
        <f t="shared" ca="1" si="258"/>
        <v>0.15945162855551998</v>
      </c>
      <c r="CQ93" s="305">
        <f t="shared" ca="1" si="259"/>
        <v>0.41962375535979879</v>
      </c>
      <c r="CR93" s="775">
        <f t="shared" ca="1" si="260"/>
        <v>0.47828199180468733</v>
      </c>
      <c r="CS93" s="305">
        <f t="shared" ca="1" si="261"/>
        <v>0.47828199180468733</v>
      </c>
      <c r="CT93" s="305">
        <f t="shared" ca="1" si="262"/>
        <v>0.46328199180468732</v>
      </c>
      <c r="CU93" s="305">
        <f t="shared" ca="1" si="263"/>
        <v>0.18445162855551997</v>
      </c>
      <c r="CV93" s="770">
        <f t="shared" ca="1" si="264"/>
        <v>0.4346237553597988</v>
      </c>
      <c r="CW93" s="302">
        <f t="shared" ca="1" si="265"/>
        <v>45.32754469617214</v>
      </c>
      <c r="CX93" s="299">
        <f t="shared" ca="1" si="266"/>
        <v>24.485195237759378</v>
      </c>
      <c r="CY93" s="299">
        <f t="shared" ca="1" si="267"/>
        <v>15.535465361244587</v>
      </c>
      <c r="CZ93" s="299">
        <f t="shared" ca="1" si="268"/>
        <v>2.8675602026930473</v>
      </c>
      <c r="DA93" s="774">
        <f t="shared" ca="1" si="269"/>
        <v>27.071591831368661</v>
      </c>
      <c r="DB93" s="303">
        <f t="shared" ca="1" si="270"/>
        <v>12552.376672934222</v>
      </c>
      <c r="DC93" s="248">
        <f t="shared" ca="1" si="271"/>
        <v>382.84062275018215</v>
      </c>
      <c r="DD93" s="778">
        <f t="shared" ca="1" si="272"/>
        <v>8037.8539903703086</v>
      </c>
      <c r="DE93" s="363">
        <f t="shared" ca="1" si="273"/>
        <v>0.62321691786190325</v>
      </c>
      <c r="DF93" s="378">
        <f t="shared" ca="1" si="274"/>
        <v>1.7729029583792542E-2</v>
      </c>
      <c r="DG93" s="508">
        <f t="shared" ca="1" si="275"/>
        <v>-0.33884864919673713</v>
      </c>
      <c r="DH93" s="508">
        <f t="shared" ca="1" si="276"/>
        <v>-0.54878902837743493</v>
      </c>
      <c r="DI93" s="508">
        <f t="shared" ca="1" si="277"/>
        <v>-0.68905967158420345</v>
      </c>
      <c r="DJ93" s="508">
        <f t="shared" ca="1" si="278"/>
        <v>-0.1636034079249804</v>
      </c>
      <c r="DK93" s="353">
        <f t="shared" ca="1" si="279"/>
        <v>-201.70797275076575</v>
      </c>
      <c r="DL93" s="781">
        <f t="shared" ca="1" si="280"/>
        <v>5.0768114545565712</v>
      </c>
      <c r="DM93" s="303">
        <f t="shared" ca="1" si="281"/>
        <v>19365.097114243155</v>
      </c>
      <c r="DN93" s="508">
        <f t="shared" ca="1" si="282"/>
        <v>1.5644409496421572</v>
      </c>
      <c r="DO93" s="508">
        <f t="shared" ca="1" si="283"/>
        <v>1.393879211028052</v>
      </c>
      <c r="DP93" s="508">
        <f t="shared" ca="1" si="284"/>
        <v>1.2838037930607968</v>
      </c>
      <c r="DQ93" s="508">
        <f t="shared" ca="1" si="285"/>
        <v>1.1822230074166555</v>
      </c>
      <c r="DR93" s="508">
        <f t="shared" ca="1" si="286"/>
        <v>1.4343702312752058</v>
      </c>
      <c r="DS93" s="353">
        <f t="shared" ca="1" si="287"/>
        <v>8372.9375522623868</v>
      </c>
      <c r="DT93" s="353">
        <f t="shared" ca="1" si="288"/>
        <v>-13189.609477912951</v>
      </c>
      <c r="DU93" s="380">
        <f t="shared" ca="1" si="388"/>
        <v>6.4147843942505132</v>
      </c>
      <c r="DV93" s="303">
        <f t="shared" ca="1" si="289"/>
        <v>229.34382577318038</v>
      </c>
      <c r="DW93" s="303">
        <f t="shared" ca="1" si="290"/>
        <v>39.885882743161808</v>
      </c>
      <c r="DX93" s="303">
        <f t="shared" ca="1" si="291"/>
        <v>39.885882743161808</v>
      </c>
      <c r="DY93" s="303">
        <f t="shared" ca="1" si="292"/>
        <v>309.11559125950401</v>
      </c>
      <c r="DZ93" s="303">
        <f t="shared" ca="1" si="293"/>
        <v>154.55779562975201</v>
      </c>
      <c r="EA93" s="303">
        <f t="shared" ca="1" si="294"/>
        <v>463.67338688925599</v>
      </c>
      <c r="EB93" s="302">
        <f t="shared" ca="1" si="295"/>
        <v>69.5</v>
      </c>
      <c r="EC93" s="299">
        <f t="shared" ca="1" si="296"/>
        <v>45.122499084472665</v>
      </c>
      <c r="ED93" s="299">
        <f t="shared" ca="1" si="297"/>
        <v>34.145000839233397</v>
      </c>
      <c r="EE93" s="299">
        <f t="shared" ca="1" si="298"/>
        <v>61.792580635316909</v>
      </c>
      <c r="EF93" s="299">
        <f t="shared" ca="1" si="299"/>
        <v>26.39999828934668</v>
      </c>
      <c r="EG93" s="299">
        <f t="shared" ca="1" si="300"/>
        <v>49.995053186660165</v>
      </c>
      <c r="EH93" s="302">
        <f t="shared" ca="1" si="301"/>
        <v>30</v>
      </c>
      <c r="EI93" s="304">
        <f t="shared" ca="1" si="302"/>
        <v>0.15442733060156244</v>
      </c>
      <c r="EJ93" s="305">
        <f t="shared" ca="1" si="303"/>
        <v>0.15442733060156244</v>
      </c>
      <c r="EK93" s="305">
        <f t="shared" ca="1" si="304"/>
        <v>0.15442733060156244</v>
      </c>
      <c r="EL93" s="305">
        <f t="shared" ca="1" si="305"/>
        <v>0.15442733060156244</v>
      </c>
      <c r="EM93" s="305">
        <f t="shared" ca="1" si="306"/>
        <v>5.3150542851839989E-2</v>
      </c>
      <c r="EN93" s="305">
        <f t="shared" ca="1" si="307"/>
        <v>0.13319588759609868</v>
      </c>
      <c r="EO93" s="305">
        <f t="shared" ca="1" si="308"/>
        <v>0.15442733060156244</v>
      </c>
      <c r="EP93" s="305">
        <f t="shared" ca="1" si="309"/>
        <v>0.15442733060156244</v>
      </c>
      <c r="EQ93" s="305">
        <f t="shared" ca="1" si="310"/>
        <v>0.15442733060156244</v>
      </c>
      <c r="ER93" s="305">
        <f t="shared" ca="1" si="311"/>
        <v>5.3150542851839989E-2</v>
      </c>
      <c r="ES93" s="305">
        <f t="shared" ca="1" si="312"/>
        <v>0.13319588759609868</v>
      </c>
      <c r="ET93" s="299">
        <f t="shared" ca="1" si="313"/>
        <v>0.36708986940714006</v>
      </c>
      <c r="EU93" s="302">
        <f t="shared" ca="1" si="314"/>
        <v>30</v>
      </c>
      <c r="EV93" s="304">
        <f t="shared" ca="1" si="315"/>
        <v>0.46328199180468732</v>
      </c>
      <c r="EW93" s="305">
        <f t="shared" ca="1" si="316"/>
        <v>0.46328199180468732</v>
      </c>
      <c r="EX93" s="305">
        <f t="shared" ca="1" si="317"/>
        <v>0.46328199180468732</v>
      </c>
      <c r="EY93" s="305">
        <f t="shared" ca="1" si="318"/>
        <v>0.46328199180468732</v>
      </c>
      <c r="EZ93" s="305">
        <f t="shared" ca="1" si="319"/>
        <v>0.15945162855551998</v>
      </c>
      <c r="FA93" s="305">
        <f t="shared" ca="1" si="320"/>
        <v>0.41962375535979879</v>
      </c>
      <c r="FB93" s="305">
        <f t="shared" ca="1" si="321"/>
        <v>0.46328199180468732</v>
      </c>
      <c r="FC93" s="305">
        <f t="shared" ca="1" si="322"/>
        <v>0.46328199180468732</v>
      </c>
      <c r="FD93" s="305">
        <f t="shared" ca="1" si="323"/>
        <v>0.46328199180468732</v>
      </c>
      <c r="FE93" s="305">
        <f t="shared" ca="1" si="324"/>
        <v>0.15945162855551998</v>
      </c>
      <c r="FF93" s="305">
        <f t="shared" ca="1" si="325"/>
        <v>0.41962375535979879</v>
      </c>
      <c r="FG93" s="299">
        <f t="shared" ca="1" si="326"/>
        <v>27.815087008025827</v>
      </c>
      <c r="FH93" s="302">
        <f t="shared" ca="1" si="327"/>
        <v>-27.447997138618689</v>
      </c>
      <c r="FI93" s="248">
        <f t="shared" ca="1" si="328"/>
        <v>-12726.905796589936</v>
      </c>
      <c r="FJ93" s="363">
        <f t="shared" ca="1" si="329"/>
        <v>0.62321691786190325</v>
      </c>
      <c r="FK93" s="378">
        <f t="shared" ca="1" si="330"/>
        <v>1.952421322184873</v>
      </c>
      <c r="FL93" s="508">
        <f t="shared" ca="1" si="331"/>
        <v>0.84805280285673845</v>
      </c>
      <c r="FM93" s="508">
        <f t="shared" ca="1" si="332"/>
        <v>0.13532656458849246</v>
      </c>
      <c r="FN93" s="508">
        <f t="shared" ca="1" si="333"/>
        <v>-1.0169192969479537</v>
      </c>
      <c r="FO93" s="508">
        <f t="shared" ca="1" si="334"/>
        <v>1.3452577130820613</v>
      </c>
      <c r="FP93" s="353">
        <f t="shared" ca="1" si="335"/>
        <v>41.39262080129069</v>
      </c>
      <c r="FQ93" s="356">
        <f t="shared" ca="1" si="336"/>
        <v>7.3950987395644274</v>
      </c>
      <c r="FR93" s="380">
        <f t="shared" ca="1" si="337"/>
        <v>22.596</v>
      </c>
      <c r="FS93" s="299">
        <f t="shared" ca="1" si="338"/>
        <v>22.596</v>
      </c>
      <c r="FT93" s="299">
        <f t="shared" ca="1" si="339"/>
        <v>22.596</v>
      </c>
      <c r="FU93" s="299">
        <f t="shared" ca="1" si="340"/>
        <v>22.596</v>
      </c>
      <c r="FV93" s="299">
        <f t="shared" ca="1" si="341"/>
        <v>22.596</v>
      </c>
      <c r="FW93" s="850">
        <f t="shared" ca="1" si="342"/>
        <v>0.16500000000000001</v>
      </c>
      <c r="FX93" s="851">
        <f t="shared" ca="1" si="343"/>
        <v>0.5</v>
      </c>
      <c r="FY93" s="851">
        <f t="shared" ca="1" si="344"/>
        <v>0</v>
      </c>
      <c r="FZ93" s="201">
        <f t="shared" ca="1" si="345"/>
        <v>0</v>
      </c>
      <c r="GA93" s="201">
        <f t="shared" ca="1" si="346"/>
        <v>0</v>
      </c>
      <c r="GB93" s="201">
        <f t="shared" ca="1" si="347"/>
        <v>0</v>
      </c>
      <c r="GC93" s="201">
        <f t="shared" ca="1" si="348"/>
        <v>0</v>
      </c>
      <c r="GD93" s="850">
        <f t="shared" ca="1" si="349"/>
        <v>0.47828199180468733</v>
      </c>
      <c r="GE93" s="866">
        <f t="shared" ca="1" si="350"/>
        <v>0.47828199180468733</v>
      </c>
      <c r="GF93" s="866">
        <f t="shared" ca="1" si="351"/>
        <v>0.47828199180468733</v>
      </c>
      <c r="GG93" s="866">
        <f t="shared" ca="1" si="352"/>
        <v>0.17195162855551999</v>
      </c>
      <c r="GH93" s="866">
        <f t="shared" ca="1" si="353"/>
        <v>0.4346237553597988</v>
      </c>
      <c r="GI93" s="302">
        <f t="shared" ca="1" si="354"/>
        <v>49.797734108887134</v>
      </c>
      <c r="GJ93" s="299">
        <f t="shared" ca="1" si="355"/>
        <v>27.427230792400763</v>
      </c>
      <c r="GK93" s="299">
        <f t="shared" ca="1" si="356"/>
        <v>18.051536219215688</v>
      </c>
      <c r="GL93" s="299">
        <f t="shared" ca="1" si="357"/>
        <v>6.3106846283120435</v>
      </c>
      <c r="GM93" s="299">
        <f t="shared" ca="1" si="358"/>
        <v>30.871852861497388</v>
      </c>
      <c r="GN93" s="302">
        <f t="shared" ca="1" si="359"/>
        <v>0.9437567319213368</v>
      </c>
      <c r="GO93" s="299">
        <f t="shared" ca="1" si="360"/>
        <v>0.88136061512520791</v>
      </c>
      <c r="GP93" s="299">
        <f t="shared" ca="1" si="361"/>
        <v>0.82127849597969482</v>
      </c>
      <c r="GQ93" s="299">
        <f t="shared" ca="1" si="362"/>
        <v>0.71833075924540968</v>
      </c>
      <c r="GR93" s="299">
        <f t="shared" ca="1" si="363"/>
        <v>0.90428343188015425</v>
      </c>
      <c r="GS93" s="302">
        <f t="shared" ca="1" si="364"/>
        <v>-0.69894537977453164</v>
      </c>
      <c r="GT93" s="299">
        <f t="shared" ca="1" si="365"/>
        <v>-0.54620166936572456</v>
      </c>
      <c r="GU93" s="299">
        <f t="shared" ca="1" si="366"/>
        <v>-0.44215911317842155</v>
      </c>
      <c r="GV93" s="299">
        <f t="shared" ca="1" si="367"/>
        <v>-0.55997721723508043</v>
      </c>
      <c r="GW93" s="299">
        <f t="shared" ca="1" si="368"/>
        <v>-0.6345306205374609</v>
      </c>
      <c r="GX93" s="303">
        <f t="shared" ca="1" si="369"/>
        <v>11420.802855367772</v>
      </c>
      <c r="GY93" s="303">
        <f t="shared" ca="1" si="370"/>
        <v>1093.9593113553337</v>
      </c>
      <c r="GZ93" s="303">
        <f t="shared" ca="1" si="371"/>
        <v>720.00145697357539</v>
      </c>
      <c r="HA93" s="303">
        <f t="shared" ca="1" si="372"/>
        <v>975.36550506647029</v>
      </c>
      <c r="HB93" s="303">
        <f t="shared" ca="1" si="373"/>
        <v>14314.456575837263</v>
      </c>
      <c r="HC93" s="303">
        <f t="shared" ca="1" si="374"/>
        <v>10757.142804065252</v>
      </c>
      <c r="HD93" s="303">
        <f t="shared" ca="1" si="375"/>
        <v>898.48930109721857</v>
      </c>
      <c r="HE93" s="303">
        <f t="shared" ca="1" si="376"/>
        <v>460.6420932743406</v>
      </c>
      <c r="HF93" s="303">
        <f t="shared" ca="1" si="377"/>
        <v>587.93759018077037</v>
      </c>
      <c r="HG93" s="852">
        <f t="shared" ca="1" si="378"/>
        <v>12704.21178861758</v>
      </c>
    </row>
    <row r="94" spans="1:215" x14ac:dyDescent="0.25">
      <c r="A94" s="244">
        <f t="shared" ca="1" si="379"/>
        <v>38961</v>
      </c>
      <c r="B94" s="13">
        <f t="shared" ca="1" si="207"/>
        <v>2006</v>
      </c>
      <c r="C94" s="619">
        <f t="shared" ca="1" si="208"/>
        <v>9</v>
      </c>
      <c r="D94" s="195">
        <f t="shared" ca="1" si="209"/>
        <v>38964</v>
      </c>
      <c r="E94" s="469">
        <f t="shared" ca="1" si="210"/>
        <v>38961</v>
      </c>
      <c r="F94" s="465">
        <f t="shared" ca="1" si="211"/>
        <v>38990</v>
      </c>
      <c r="G94" s="522">
        <f t="shared" ca="1" si="380"/>
        <v>1</v>
      </c>
      <c r="H94" s="519">
        <f t="shared" ca="1" si="381"/>
        <v>1</v>
      </c>
      <c r="I94" s="724">
        <f t="shared" ca="1" si="212"/>
        <v>7.3516917548453006E-2</v>
      </c>
      <c r="J94" s="198">
        <f t="shared" ca="1" si="213"/>
        <v>0.61943487176854406</v>
      </c>
      <c r="K94" s="200">
        <f t="shared" ca="1" si="389"/>
        <v>31.65</v>
      </c>
      <c r="L94" s="201">
        <f t="shared" ca="1" si="390"/>
        <v>32.85</v>
      </c>
      <c r="M94" s="206">
        <f t="shared" ca="1" si="391"/>
        <v>34.049999999999997</v>
      </c>
      <c r="N94" s="851">
        <f t="shared" ca="1" si="395"/>
        <v>22.604999160766599</v>
      </c>
      <c r="O94" s="201">
        <f t="shared" ca="1" si="396"/>
        <v>23.504999160766598</v>
      </c>
      <c r="P94" s="206">
        <f t="shared" ca="1" si="397"/>
        <v>24.404999160766597</v>
      </c>
      <c r="Q94" s="201">
        <f t="shared" ca="1" si="398"/>
        <v>20.7</v>
      </c>
      <c r="R94" s="201">
        <f t="shared" ca="1" si="399"/>
        <v>24</v>
      </c>
      <c r="S94" s="201">
        <f t="shared" ca="1" si="400"/>
        <v>27.3</v>
      </c>
      <c r="T94" s="851">
        <f t="shared" ca="1" si="392"/>
        <v>19.349998092651365</v>
      </c>
      <c r="U94" s="201">
        <f t="shared" ca="1" si="393"/>
        <v>19.949998092651366</v>
      </c>
      <c r="V94" s="206">
        <f t="shared" ca="1" si="394"/>
        <v>20.549998092651368</v>
      </c>
      <c r="W94" s="230">
        <f t="shared" ca="1" si="382"/>
        <v>0.10219711732031246</v>
      </c>
      <c r="X94" s="231">
        <f t="shared" ca="1" si="383"/>
        <v>0.20439423464062492</v>
      </c>
      <c r="Y94" s="232">
        <f t="shared" ca="1" si="384"/>
        <v>0.3065913519609374</v>
      </c>
      <c r="Z94" s="231">
        <f t="shared" ca="1" si="202"/>
        <v>0.10219711732031246</v>
      </c>
      <c r="AA94" s="231">
        <f t="shared" ca="1" si="203"/>
        <v>0.20439423464062492</v>
      </c>
      <c r="AB94" s="232">
        <f t="shared" ca="1" si="204"/>
        <v>0.3065913519609374</v>
      </c>
      <c r="AC94" s="231">
        <f t="shared" ca="1" si="205"/>
        <v>0.10219711732031246</v>
      </c>
      <c r="AD94" s="231">
        <f t="shared" ca="1" si="206"/>
        <v>0.20439423464062492</v>
      </c>
      <c r="AE94" s="232">
        <f t="shared" ca="1" si="214"/>
        <v>0.3065913519609374</v>
      </c>
      <c r="AF94" s="231">
        <f t="shared" ca="1" si="385"/>
        <v>3.5433695234559991E-2</v>
      </c>
      <c r="AG94" s="231">
        <f t="shared" ca="1" si="386"/>
        <v>7.0867390469119981E-2</v>
      </c>
      <c r="AH94" s="232">
        <f t="shared" ca="1" si="387"/>
        <v>0.10630108570367997</v>
      </c>
      <c r="AI94" s="233">
        <f t="shared" ca="1" si="215"/>
        <v>1.1499999999999999</v>
      </c>
      <c r="AJ94" s="233">
        <f t="shared" ca="1" si="216"/>
        <v>1.5</v>
      </c>
      <c r="AK94" s="234">
        <f t="shared" ca="1" si="217"/>
        <v>1.8</v>
      </c>
      <c r="AL94" s="919">
        <f t="shared" ca="1" si="218"/>
        <v>1.1499999999999999</v>
      </c>
      <c r="AM94" s="233">
        <f t="shared" ca="1" si="219"/>
        <v>1.5</v>
      </c>
      <c r="AN94" s="234">
        <f t="shared" ca="1" si="220"/>
        <v>1.8</v>
      </c>
      <c r="AO94" s="233">
        <f t="shared" ca="1" si="221"/>
        <v>1.1499999999999999</v>
      </c>
      <c r="AP94" s="233">
        <f t="shared" ca="1" si="222"/>
        <v>1.5</v>
      </c>
      <c r="AQ94" s="233">
        <f t="shared" ca="1" si="223"/>
        <v>1.8</v>
      </c>
      <c r="AR94" s="919">
        <f t="shared" ca="1" si="224"/>
        <v>0.25</v>
      </c>
      <c r="AS94" s="233">
        <f t="shared" ca="1" si="225"/>
        <v>0.4</v>
      </c>
      <c r="AT94" s="235">
        <f t="shared" ca="1" si="226"/>
        <v>0.60000000000000009</v>
      </c>
      <c r="AU94" s="946">
        <f t="shared" si="227"/>
        <v>0.5</v>
      </c>
      <c r="AV94" s="13">
        <f t="shared" ca="1" si="228"/>
        <v>20</v>
      </c>
      <c r="AW94" s="210">
        <f t="shared" ca="1" si="229"/>
        <v>5</v>
      </c>
      <c r="AX94" s="210">
        <f t="shared" ca="1" si="230"/>
        <v>4</v>
      </c>
      <c r="AY94" s="210">
        <f t="shared" ca="1" si="231"/>
        <v>1</v>
      </c>
      <c r="AZ94" s="13">
        <f t="shared" ca="1" si="232"/>
        <v>30</v>
      </c>
      <c r="BA94" s="357">
        <f ca="1"/>
        <v>320</v>
      </c>
      <c r="BB94" s="925">
        <f ca="1"/>
        <v>80</v>
      </c>
      <c r="BC94" s="925">
        <f ca="1"/>
        <v>80</v>
      </c>
      <c r="BD94" s="928">
        <f ca="1"/>
        <v>240</v>
      </c>
      <c r="BE94" s="200">
        <f ca="1"/>
        <v>1.0000000074505806</v>
      </c>
      <c r="BF94" s="851">
        <f ca="1"/>
        <v>1.0000000074505806</v>
      </c>
      <c r="BG94" s="851">
        <f ca="1"/>
        <v>1.0000000074505806</v>
      </c>
      <c r="BH94" s="933">
        <f ca="1"/>
        <v>1.0000000149011612</v>
      </c>
      <c r="BI94" s="357">
        <f ca="1"/>
        <v>320</v>
      </c>
      <c r="BJ94" s="925">
        <f ca="1"/>
        <v>80</v>
      </c>
      <c r="BK94" s="925">
        <f ca="1"/>
        <v>80</v>
      </c>
      <c r="BL94" s="928">
        <f ca="1"/>
        <v>240</v>
      </c>
      <c r="BM94" s="200">
        <f ca="1"/>
        <v>1.0000000074505806</v>
      </c>
      <c r="BN94" s="851">
        <f ca="1"/>
        <v>1.0000000074505806</v>
      </c>
      <c r="BO94" s="851">
        <f ca="1"/>
        <v>1.0000000074505806</v>
      </c>
      <c r="BP94" s="933">
        <f ca="1"/>
        <v>1.0000000149011612</v>
      </c>
      <c r="BQ94" s="357">
        <f t="shared" ca="1" si="233"/>
        <v>720</v>
      </c>
      <c r="BR94" s="361">
        <f t="shared" ca="1" si="234"/>
        <v>720</v>
      </c>
      <c r="BS94" s="357">
        <f t="shared" ca="1" si="235"/>
        <v>445.99310767335174</v>
      </c>
      <c r="BT94" s="302">
        <f t="shared" ca="1" si="236"/>
        <v>25.328332841069322</v>
      </c>
      <c r="BU94" s="299">
        <f t="shared" ca="1" si="237"/>
        <v>26.528332851500142</v>
      </c>
      <c r="BV94" s="299">
        <f t="shared" ca="1" si="238"/>
        <v>27.728332861930948</v>
      </c>
      <c r="BW94" s="299">
        <f t="shared" ca="1" si="239"/>
        <v>32.659889647739881</v>
      </c>
      <c r="BX94" s="380">
        <f t="shared" ca="1" si="240"/>
        <v>6.4996577686516082</v>
      </c>
      <c r="BY94" s="363">
        <f t="shared" ca="1" si="241"/>
        <v>198.2191589659341</v>
      </c>
      <c r="BZ94" s="353">
        <f t="shared" ca="1" si="242"/>
        <v>49.554789741483525</v>
      </c>
      <c r="CA94" s="353">
        <f t="shared" ca="1" si="243"/>
        <v>49.554789741483525</v>
      </c>
      <c r="CB94" s="353">
        <f t="shared" ca="1" si="244"/>
        <v>297.32873844890116</v>
      </c>
      <c r="CC94" s="353">
        <f t="shared" ca="1" si="245"/>
        <v>148.66436922445058</v>
      </c>
      <c r="CD94" s="353">
        <f t="shared" ca="1" si="246"/>
        <v>445.99310767335174</v>
      </c>
      <c r="CE94" s="302">
        <f t="shared" ca="1" si="247"/>
        <v>34.050000253692268</v>
      </c>
      <c r="CF94" s="299">
        <f t="shared" ca="1" si="248"/>
        <v>24.404999342598011</v>
      </c>
      <c r="CG94" s="299">
        <f t="shared" ca="1" si="249"/>
        <v>27.300000203400852</v>
      </c>
      <c r="CH94" s="299">
        <f t="shared" ca="1" si="250"/>
        <v>31.317500093461316</v>
      </c>
      <c r="CI94" s="299">
        <f t="shared" ca="1" si="251"/>
        <v>20.549998398870201</v>
      </c>
      <c r="CJ94" s="299">
        <f t="shared" ca="1" si="252"/>
        <v>27.728332861930944</v>
      </c>
      <c r="CK94" s="299">
        <f t="shared" ca="1" si="253"/>
        <v>32.659889647739881</v>
      </c>
      <c r="CL94" s="377">
        <f t="shared" ca="1" si="254"/>
        <v>0.3065913519609374</v>
      </c>
      <c r="CM94" s="305">
        <f t="shared" ca="1" si="255"/>
        <v>0.3065913519609374</v>
      </c>
      <c r="CN94" s="305">
        <f t="shared" ca="1" si="256"/>
        <v>0.3065913519609374</v>
      </c>
      <c r="CO94" s="305">
        <f t="shared" ca="1" si="257"/>
        <v>0.30659135196093734</v>
      </c>
      <c r="CP94" s="305">
        <f t="shared" ca="1" si="258"/>
        <v>0.10630108570367997</v>
      </c>
      <c r="CQ94" s="305">
        <f t="shared" ca="1" si="259"/>
        <v>0.25454680421996034</v>
      </c>
      <c r="CR94" s="775">
        <f t="shared" ca="1" si="260"/>
        <v>0.3065913519609374</v>
      </c>
      <c r="CS94" s="305">
        <f t="shared" ca="1" si="261"/>
        <v>0.34659135196093738</v>
      </c>
      <c r="CT94" s="305">
        <f t="shared" ca="1" si="262"/>
        <v>0.32409135196093741</v>
      </c>
      <c r="CU94" s="305">
        <f t="shared" ca="1" si="263"/>
        <v>0.16630108570367996</v>
      </c>
      <c r="CV94" s="770">
        <f t="shared" ca="1" si="264"/>
        <v>0.26954680421996036</v>
      </c>
      <c r="CW94" s="302">
        <f t="shared" ca="1" si="265"/>
        <v>10.850940123342147</v>
      </c>
      <c r="CX94" s="299">
        <f t="shared" ca="1" si="266"/>
        <v>6.0999098210362517</v>
      </c>
      <c r="CY94" s="299">
        <f t="shared" ca="1" si="267"/>
        <v>7.1402154462881988</v>
      </c>
      <c r="CZ94" s="299">
        <f t="shared" ca="1" si="268"/>
        <v>0.75347428093451807</v>
      </c>
      <c r="DA94" s="774">
        <f t="shared" ca="1" si="269"/>
        <v>5.8716617583845707</v>
      </c>
      <c r="DB94" s="303">
        <f t="shared" ca="1" si="270"/>
        <v>2618.7206748287117</v>
      </c>
      <c r="DC94" s="248">
        <f t="shared" ca="1" si="271"/>
        <v>241.71388654469516</v>
      </c>
      <c r="DD94" s="778">
        <f t="shared" ca="1" si="272"/>
        <v>0</v>
      </c>
      <c r="DE94" s="363">
        <f t="shared" ca="1" si="273"/>
        <v>0.61943487176854406</v>
      </c>
      <c r="DF94" s="378">
        <f t="shared" ca="1" si="274"/>
        <v>-0.33749156909786565</v>
      </c>
      <c r="DG94" s="508">
        <f t="shared" ca="1" si="275"/>
        <v>-0.77154350566228469</v>
      </c>
      <c r="DH94" s="508">
        <f t="shared" ca="1" si="276"/>
        <v>-0.63008288505960908</v>
      </c>
      <c r="DI94" s="508">
        <f t="shared" ca="1" si="277"/>
        <v>-1.3047094206506809</v>
      </c>
      <c r="DJ94" s="508">
        <f t="shared" ca="1" si="278"/>
        <v>-0.58180190790388819</v>
      </c>
      <c r="DK94" s="353">
        <f t="shared" ca="1" si="279"/>
        <v>-125.03417378066945</v>
      </c>
      <c r="DL94" s="781">
        <f t="shared" ca="1" si="280"/>
        <v>6.6933160200866553</v>
      </c>
      <c r="DM94" s="303">
        <f t="shared" ca="1" si="281"/>
        <v>9652.8295138071153</v>
      </c>
      <c r="DN94" s="508">
        <f t="shared" ca="1" si="282"/>
        <v>1.2909450682661971</v>
      </c>
      <c r="DO94" s="508">
        <f t="shared" ca="1" si="283"/>
        <v>1.1602987300797487</v>
      </c>
      <c r="DP94" s="508">
        <f t="shared" ca="1" si="284"/>
        <v>1.2042730154879215</v>
      </c>
      <c r="DQ94" s="508">
        <f t="shared" ca="1" si="285"/>
        <v>1.0928548381527396</v>
      </c>
      <c r="DR94" s="508">
        <f t="shared" ca="1" si="286"/>
        <v>1.2103800698388343</v>
      </c>
      <c r="DS94" s="353">
        <f t="shared" ca="1" si="287"/>
        <v>6046.1980401077117</v>
      </c>
      <c r="DT94" s="353">
        <f t="shared" ca="1" si="288"/>
        <v>-9798.6386180486261</v>
      </c>
      <c r="DU94" s="380">
        <f t="shared" ca="1" si="388"/>
        <v>6.4996577686516082</v>
      </c>
      <c r="DV94" s="303">
        <f t="shared" ca="1" si="289"/>
        <v>198.2191589659341</v>
      </c>
      <c r="DW94" s="303">
        <f t="shared" ca="1" si="290"/>
        <v>49.554789741483525</v>
      </c>
      <c r="DX94" s="303">
        <f t="shared" ca="1" si="291"/>
        <v>49.554789741483525</v>
      </c>
      <c r="DY94" s="303">
        <f t="shared" ca="1" si="292"/>
        <v>297.32873844890116</v>
      </c>
      <c r="DZ94" s="303">
        <f t="shared" ca="1" si="293"/>
        <v>148.66436922445058</v>
      </c>
      <c r="EA94" s="303">
        <f t="shared" ca="1" si="294"/>
        <v>445.99310767335174</v>
      </c>
      <c r="EB94" s="302">
        <f t="shared" ca="1" si="295"/>
        <v>34.050000253692268</v>
      </c>
      <c r="EC94" s="299">
        <f t="shared" ca="1" si="296"/>
        <v>24.404999342598011</v>
      </c>
      <c r="ED94" s="299">
        <f t="shared" ca="1" si="297"/>
        <v>27.300000203400852</v>
      </c>
      <c r="EE94" s="299">
        <f t="shared" ca="1" si="298"/>
        <v>31.317500093461316</v>
      </c>
      <c r="EF94" s="299">
        <f t="shared" ca="1" si="299"/>
        <v>20.549998398870201</v>
      </c>
      <c r="EG94" s="299">
        <f t="shared" ca="1" si="300"/>
        <v>27.728332861930944</v>
      </c>
      <c r="EH94" s="302">
        <f t="shared" ca="1" si="301"/>
        <v>30</v>
      </c>
      <c r="EI94" s="304">
        <f t="shared" ca="1" si="302"/>
        <v>0.10219711732031246</v>
      </c>
      <c r="EJ94" s="305">
        <f t="shared" ca="1" si="303"/>
        <v>0.10219711732031246</v>
      </c>
      <c r="EK94" s="305">
        <f t="shared" ca="1" si="304"/>
        <v>0.10219711732031246</v>
      </c>
      <c r="EL94" s="305">
        <f t="shared" ca="1" si="305"/>
        <v>0.10219711732031249</v>
      </c>
      <c r="EM94" s="305">
        <f t="shared" ca="1" si="306"/>
        <v>3.5433695234559991E-2</v>
      </c>
      <c r="EN94" s="305">
        <f t="shared" ca="1" si="307"/>
        <v>8.2048878628248195E-2</v>
      </c>
      <c r="EO94" s="305">
        <f t="shared" ca="1" si="308"/>
        <v>0.10219711732031246</v>
      </c>
      <c r="EP94" s="305">
        <f t="shared" ca="1" si="309"/>
        <v>0.10219711732031246</v>
      </c>
      <c r="EQ94" s="305">
        <f t="shared" ca="1" si="310"/>
        <v>0.10219711732031246</v>
      </c>
      <c r="ER94" s="305">
        <f t="shared" ca="1" si="311"/>
        <v>3.5433695234559991E-2</v>
      </c>
      <c r="ES94" s="305">
        <f t="shared" ca="1" si="312"/>
        <v>8.2048878628248195E-2</v>
      </c>
      <c r="ET94" s="299">
        <f t="shared" ca="1" si="313"/>
        <v>3.7078229346463338</v>
      </c>
      <c r="EU94" s="302">
        <f t="shared" ca="1" si="314"/>
        <v>30</v>
      </c>
      <c r="EV94" s="304">
        <f t="shared" ca="1" si="315"/>
        <v>0.3065913519609374</v>
      </c>
      <c r="EW94" s="305">
        <f t="shared" ca="1" si="316"/>
        <v>0.3065913519609374</v>
      </c>
      <c r="EX94" s="305">
        <f t="shared" ca="1" si="317"/>
        <v>0.3065913519609374</v>
      </c>
      <c r="EY94" s="305">
        <f t="shared" ca="1" si="318"/>
        <v>0.30659135196093734</v>
      </c>
      <c r="EZ94" s="305">
        <f t="shared" ca="1" si="319"/>
        <v>0.10630108570367997</v>
      </c>
      <c r="FA94" s="305">
        <f t="shared" ca="1" si="320"/>
        <v>0.25454680421996034</v>
      </c>
      <c r="FB94" s="305">
        <f t="shared" ca="1" si="321"/>
        <v>0.3065913519609374</v>
      </c>
      <c r="FC94" s="305">
        <f t="shared" ca="1" si="322"/>
        <v>0.3065913519609374</v>
      </c>
      <c r="FD94" s="305">
        <f t="shared" ca="1" si="323"/>
        <v>0.3065913519609374</v>
      </c>
      <c r="FE94" s="305">
        <f t="shared" ca="1" si="324"/>
        <v>0.10630108570367997</v>
      </c>
      <c r="FF94" s="305">
        <f t="shared" ca="1" si="325"/>
        <v>0.25454680421996034</v>
      </c>
      <c r="FG94" s="299">
        <f t="shared" ca="1" si="326"/>
        <v>6.2599495873697713</v>
      </c>
      <c r="FH94" s="302">
        <f t="shared" ca="1" si="327"/>
        <v>-2.5521266527234374</v>
      </c>
      <c r="FI94" s="248">
        <f t="shared" ca="1" si="328"/>
        <v>-1138.2308970241147</v>
      </c>
      <c r="FJ94" s="363">
        <f t="shared" ca="1" si="329"/>
        <v>0.61943487176854406</v>
      </c>
      <c r="FK94" s="378">
        <f t="shared" ca="1" si="330"/>
        <v>0.3557557641559434</v>
      </c>
      <c r="FL94" s="508">
        <f t="shared" ca="1" si="331"/>
        <v>-0.92249236042854077</v>
      </c>
      <c r="FM94" s="508">
        <f t="shared" ca="1" si="332"/>
        <v>-0.49224648723214914</v>
      </c>
      <c r="FN94" s="508">
        <f t="shared" ca="1" si="333"/>
        <v>-4.2332635533802296</v>
      </c>
      <c r="FO94" s="508">
        <f t="shared" ca="1" si="334"/>
        <v>-0.48102627798797626</v>
      </c>
      <c r="FP94" s="353">
        <f t="shared" ca="1" si="335"/>
        <v>305.39426418207398</v>
      </c>
      <c r="FQ94" s="356">
        <f t="shared" ca="1" si="336"/>
        <v>25.255406001205017</v>
      </c>
      <c r="FR94" s="380">
        <f t="shared" ca="1" si="337"/>
        <v>22.652000000000001</v>
      </c>
      <c r="FS94" s="299">
        <f t="shared" ca="1" si="338"/>
        <v>22.652000000000001</v>
      </c>
      <c r="FT94" s="299">
        <f t="shared" ca="1" si="339"/>
        <v>22.652000000000001</v>
      </c>
      <c r="FU94" s="299">
        <f t="shared" ca="1" si="340"/>
        <v>22.652000000000001</v>
      </c>
      <c r="FV94" s="299">
        <f t="shared" ca="1" si="341"/>
        <v>22.652000000000001</v>
      </c>
      <c r="FW94" s="850">
        <f t="shared" ca="1" si="342"/>
        <v>0.16500000000000001</v>
      </c>
      <c r="FX94" s="851">
        <f t="shared" ca="1" si="343"/>
        <v>0.5</v>
      </c>
      <c r="FY94" s="851">
        <f t="shared" ca="1" si="344"/>
        <v>0</v>
      </c>
      <c r="FZ94" s="201">
        <f t="shared" ca="1" si="345"/>
        <v>0</v>
      </c>
      <c r="GA94" s="201">
        <f t="shared" ca="1" si="346"/>
        <v>0</v>
      </c>
      <c r="GB94" s="201">
        <f t="shared" ca="1" si="347"/>
        <v>0</v>
      </c>
      <c r="GC94" s="201">
        <f t="shared" ca="1" si="348"/>
        <v>0</v>
      </c>
      <c r="GD94" s="850">
        <f t="shared" ca="1" si="349"/>
        <v>0.32159135196093741</v>
      </c>
      <c r="GE94" s="866">
        <f t="shared" ca="1" si="350"/>
        <v>0.3090913519609374</v>
      </c>
      <c r="GF94" s="866">
        <f t="shared" ca="1" si="351"/>
        <v>0.32159135196093741</v>
      </c>
      <c r="GG94" s="866">
        <f t="shared" ca="1" si="352"/>
        <v>0.10630108570367997</v>
      </c>
      <c r="GH94" s="866">
        <f t="shared" ca="1" si="353"/>
        <v>0.26954680421996036</v>
      </c>
      <c r="GI94" s="302">
        <f t="shared" ca="1" si="354"/>
        <v>14.753734694076396</v>
      </c>
      <c r="GJ94" s="299">
        <f t="shared" ca="1" si="355"/>
        <v>7.2006138455046953</v>
      </c>
      <c r="GK94" s="299">
        <f t="shared" ca="1" si="356"/>
        <v>9.4810189368138076</v>
      </c>
      <c r="GL94" s="299">
        <f t="shared" ca="1" si="357"/>
        <v>2.2216819743453602</v>
      </c>
      <c r="GM94" s="299">
        <f t="shared" ca="1" si="358"/>
        <v>8.8023612297498719</v>
      </c>
      <c r="GN94" s="302">
        <f t="shared" ca="1" si="359"/>
        <v>0.82356153770669871</v>
      </c>
      <c r="GO94" s="299">
        <f t="shared" ca="1" si="360"/>
        <v>0.67386887589281819</v>
      </c>
      <c r="GP94" s="299">
        <f t="shared" ca="1" si="361"/>
        <v>0.73167501785687761</v>
      </c>
      <c r="GQ94" s="299">
        <f t="shared" ca="1" si="362"/>
        <v>0.46850281417448553</v>
      </c>
      <c r="GR94" s="299">
        <f t="shared" ca="1" si="363"/>
        <v>0.73793936547532724</v>
      </c>
      <c r="GS94" s="302">
        <f t="shared" ca="1" si="364"/>
        <v>-0.58663865084796629</v>
      </c>
      <c r="GT94" s="299">
        <f t="shared" ca="1" si="365"/>
        <v>-0.4081387558537703</v>
      </c>
      <c r="GU94" s="299">
        <f t="shared" ca="1" si="366"/>
        <v>-0.46325762325945735</v>
      </c>
      <c r="GV94" s="299">
        <f t="shared" ca="1" si="367"/>
        <v>-0.32694902274846538</v>
      </c>
      <c r="GW94" s="299">
        <f t="shared" ca="1" si="368"/>
        <v>-0.51472140891754725</v>
      </c>
      <c r="GX94" s="303">
        <f t="shared" ca="1" si="369"/>
        <v>2924.4728826663463</v>
      </c>
      <c r="GY94" s="303">
        <f t="shared" ca="1" si="370"/>
        <v>356.82490512360033</v>
      </c>
      <c r="GZ94" s="303">
        <f t="shared" ca="1" si="371"/>
        <v>469.82989994883189</v>
      </c>
      <c r="HA94" s="303">
        <f t="shared" ca="1" si="372"/>
        <v>330.28494933338499</v>
      </c>
      <c r="HB94" s="303">
        <f t="shared" ca="1" si="373"/>
        <v>3925.7924397195716</v>
      </c>
      <c r="HC94" s="303">
        <f t="shared" ca="1" si="374"/>
        <v>2259.3020241803847</v>
      </c>
      <c r="HD94" s="303">
        <f t="shared" ca="1" si="375"/>
        <v>86.869513839403197</v>
      </c>
      <c r="HE94" s="303">
        <f t="shared" ca="1" si="376"/>
        <v>230.33067279790185</v>
      </c>
      <c r="HF94" s="303">
        <f t="shared" ca="1" si="377"/>
        <v>0</v>
      </c>
      <c r="HG94" s="852">
        <f t="shared" ca="1" si="378"/>
        <v>2264.0094686769412</v>
      </c>
    </row>
    <row r="95" spans="1:215" x14ac:dyDescent="0.25">
      <c r="A95" s="244">
        <f t="shared" ca="1" si="379"/>
        <v>38991</v>
      </c>
      <c r="B95" s="13">
        <f t="shared" ca="1" si="207"/>
        <v>2006</v>
      </c>
      <c r="C95" s="619">
        <f t="shared" ca="1" si="208"/>
        <v>10</v>
      </c>
      <c r="D95" s="195" t="str">
        <f t="shared" ca="1" si="209"/>
        <v/>
      </c>
      <c r="E95" s="469">
        <f t="shared" ca="1" si="210"/>
        <v>38991</v>
      </c>
      <c r="F95" s="465">
        <f t="shared" ca="1" si="211"/>
        <v>39021</v>
      </c>
      <c r="G95" s="522">
        <f t="shared" ca="1" si="380"/>
        <v>1</v>
      </c>
      <c r="H95" s="519">
        <f t="shared" ca="1" si="381"/>
        <v>1</v>
      </c>
      <c r="I95" s="724">
        <f t="shared" ca="1" si="212"/>
        <v>7.3540969143751009E-2</v>
      </c>
      <c r="J95" s="198">
        <f t="shared" ca="1" si="213"/>
        <v>0.61555482530266015</v>
      </c>
      <c r="K95" s="200">
        <f t="shared" ca="1" si="389"/>
        <v>29.55</v>
      </c>
      <c r="L95" s="201">
        <f t="shared" ca="1" si="390"/>
        <v>30.6</v>
      </c>
      <c r="M95" s="206">
        <f t="shared" ca="1" si="391"/>
        <v>31.65</v>
      </c>
      <c r="N95" s="851">
        <f t="shared" ca="1" si="395"/>
        <v>22.813000106811518</v>
      </c>
      <c r="O95" s="201">
        <f t="shared" ca="1" si="396"/>
        <v>23.60050010681152</v>
      </c>
      <c r="P95" s="206">
        <f t="shared" ca="1" si="397"/>
        <v>24.388000106811521</v>
      </c>
      <c r="Q95" s="201">
        <f t="shared" ca="1" si="398"/>
        <v>18.300999832153316</v>
      </c>
      <c r="R95" s="201">
        <f t="shared" ca="1" si="399"/>
        <v>21.600999832153317</v>
      </c>
      <c r="S95" s="201">
        <f t="shared" ca="1" si="400"/>
        <v>24.900999832153317</v>
      </c>
      <c r="T95" s="851">
        <f t="shared" ca="1" si="392"/>
        <v>19.124998855590821</v>
      </c>
      <c r="U95" s="201">
        <f t="shared" ca="1" si="393"/>
        <v>19.64999885559082</v>
      </c>
      <c r="V95" s="206">
        <f t="shared" ca="1" si="394"/>
        <v>20.174998855590818</v>
      </c>
      <c r="W95" s="230">
        <f t="shared" ca="1" si="382"/>
        <v>9.2969779640625E-2</v>
      </c>
      <c r="X95" s="231">
        <f t="shared" ca="1" si="383"/>
        <v>0.18593955928125</v>
      </c>
      <c r="Y95" s="232">
        <f t="shared" ca="1" si="384"/>
        <v>0.27890933892187497</v>
      </c>
      <c r="Z95" s="231">
        <f t="shared" ca="1" si="202"/>
        <v>9.2969779640625E-2</v>
      </c>
      <c r="AA95" s="231">
        <f t="shared" ca="1" si="203"/>
        <v>0.18593955928125</v>
      </c>
      <c r="AB95" s="232">
        <f t="shared" ca="1" si="204"/>
        <v>0.27890933892187497</v>
      </c>
      <c r="AC95" s="231">
        <f t="shared" ca="1" si="205"/>
        <v>9.2969779640625E-2</v>
      </c>
      <c r="AD95" s="231">
        <f t="shared" ca="1" si="206"/>
        <v>0.18593955928125</v>
      </c>
      <c r="AE95" s="232">
        <f t="shared" ca="1" si="214"/>
        <v>0.27890933892187497</v>
      </c>
      <c r="AF95" s="231">
        <f t="shared" ca="1" si="385"/>
        <v>2.6575271425919995E-2</v>
      </c>
      <c r="AG95" s="231">
        <f t="shared" ca="1" si="386"/>
        <v>5.3150542851839989E-2</v>
      </c>
      <c r="AH95" s="232">
        <f t="shared" ca="1" si="387"/>
        <v>7.9725814277759988E-2</v>
      </c>
      <c r="AI95" s="233">
        <f t="shared" ca="1" si="215"/>
        <v>0.85000000000000009</v>
      </c>
      <c r="AJ95" s="233">
        <f t="shared" ca="1" si="216"/>
        <v>1.1000000000000001</v>
      </c>
      <c r="AK95" s="234">
        <f t="shared" ca="1" si="217"/>
        <v>1.4000000000000001</v>
      </c>
      <c r="AL95" s="919">
        <f t="shared" ca="1" si="218"/>
        <v>0.85000000000000009</v>
      </c>
      <c r="AM95" s="233">
        <f t="shared" ca="1" si="219"/>
        <v>1.1000000000000001</v>
      </c>
      <c r="AN95" s="234">
        <f t="shared" ca="1" si="220"/>
        <v>1.4000000000000001</v>
      </c>
      <c r="AO95" s="233">
        <f t="shared" ca="1" si="221"/>
        <v>0.85000000000000009</v>
      </c>
      <c r="AP95" s="233">
        <f t="shared" ca="1" si="222"/>
        <v>1.1000000000000001</v>
      </c>
      <c r="AQ95" s="233">
        <f t="shared" ca="1" si="223"/>
        <v>1.4000000000000001</v>
      </c>
      <c r="AR95" s="919">
        <f t="shared" ca="1" si="224"/>
        <v>0.19999999999999998</v>
      </c>
      <c r="AS95" s="233">
        <f t="shared" ca="1" si="225"/>
        <v>0.35</v>
      </c>
      <c r="AT95" s="235">
        <f t="shared" ca="1" si="226"/>
        <v>0.55000000000000004</v>
      </c>
      <c r="AU95" s="946">
        <f t="shared" si="227"/>
        <v>0.5</v>
      </c>
      <c r="AV95" s="13">
        <f t="shared" ca="1" si="228"/>
        <v>22</v>
      </c>
      <c r="AW95" s="210">
        <f t="shared" ca="1" si="229"/>
        <v>4</v>
      </c>
      <c r="AX95" s="210">
        <f t="shared" ca="1" si="230"/>
        <v>5</v>
      </c>
      <c r="AY95" s="210">
        <f t="shared" ca="1" si="231"/>
        <v>0</v>
      </c>
      <c r="AZ95" s="13">
        <f t="shared" ca="1" si="232"/>
        <v>31</v>
      </c>
      <c r="BA95" s="357">
        <f ca="1"/>
        <v>352</v>
      </c>
      <c r="BB95" s="925">
        <f ca="1"/>
        <v>64</v>
      </c>
      <c r="BC95" s="925">
        <f ca="1"/>
        <v>80</v>
      </c>
      <c r="BD95" s="928">
        <f ca="1"/>
        <v>248</v>
      </c>
      <c r="BE95" s="200">
        <f ca="1"/>
        <v>1.0000187270343304</v>
      </c>
      <c r="BF95" s="851">
        <f ca="1"/>
        <v>1.0000187270343304</v>
      </c>
      <c r="BG95" s="851">
        <f ca="1"/>
        <v>1.0000187270343304</v>
      </c>
      <c r="BH95" s="933">
        <f ca="1"/>
        <v>1.0000000074505806</v>
      </c>
      <c r="BI95" s="357">
        <f ca="1"/>
        <v>352</v>
      </c>
      <c r="BJ95" s="925">
        <f ca="1"/>
        <v>64</v>
      </c>
      <c r="BK95" s="925">
        <f ca="1"/>
        <v>80</v>
      </c>
      <c r="BL95" s="928">
        <f ca="1"/>
        <v>248</v>
      </c>
      <c r="BM95" s="200">
        <f ca="1"/>
        <v>1.0000187270343304</v>
      </c>
      <c r="BN95" s="851">
        <f ca="1"/>
        <v>1.0000187270343304</v>
      </c>
      <c r="BO95" s="851">
        <f ca="1"/>
        <v>1.0000187270343304</v>
      </c>
      <c r="BP95" s="933">
        <f ca="1"/>
        <v>1.0000000074505806</v>
      </c>
      <c r="BQ95" s="357">
        <f t="shared" ca="1" si="233"/>
        <v>744</v>
      </c>
      <c r="BR95" s="361">
        <f t="shared" ca="1" si="234"/>
        <v>744</v>
      </c>
      <c r="BS95" s="357">
        <f t="shared" ca="1" si="235"/>
        <v>457.97279002517917</v>
      </c>
      <c r="BT95" s="302">
        <f t="shared" ca="1" si="236"/>
        <v>24.286238301073666</v>
      </c>
      <c r="BU95" s="299">
        <f t="shared" ca="1" si="237"/>
        <v>25.380610357876819</v>
      </c>
      <c r="BV95" s="299">
        <f t="shared" ca="1" si="238"/>
        <v>26.474982414679975</v>
      </c>
      <c r="BW95" s="299">
        <f t="shared" ca="1" si="239"/>
        <v>32.659889647739881</v>
      </c>
      <c r="BX95" s="380">
        <f t="shared" ca="1" si="240"/>
        <v>6.5817932922655711</v>
      </c>
      <c r="BY95" s="363">
        <f t="shared" ca="1" si="241"/>
        <v>216.67529850653636</v>
      </c>
      <c r="BZ95" s="353">
        <f t="shared" ca="1" si="242"/>
        <v>39.395508819370249</v>
      </c>
      <c r="CA95" s="353">
        <f t="shared" ca="1" si="243"/>
        <v>49.244386024212815</v>
      </c>
      <c r="CB95" s="353">
        <f t="shared" ca="1" si="244"/>
        <v>305.31519335011944</v>
      </c>
      <c r="CC95" s="353">
        <f t="shared" ca="1" si="245"/>
        <v>152.65759667505972</v>
      </c>
      <c r="CD95" s="353">
        <f t="shared" ca="1" si="246"/>
        <v>457.97279002517917</v>
      </c>
      <c r="CE95" s="302">
        <f t="shared" ca="1" si="247"/>
        <v>31.650592710636555</v>
      </c>
      <c r="CF95" s="299">
        <f t="shared" ca="1" si="248"/>
        <v>24.38845682172677</v>
      </c>
      <c r="CG95" s="299">
        <f t="shared" ca="1" si="249"/>
        <v>24.901466154032036</v>
      </c>
      <c r="CH95" s="299">
        <f t="shared" ca="1" si="250"/>
        <v>29.624974119066817</v>
      </c>
      <c r="CI95" s="299">
        <f t="shared" ca="1" si="251"/>
        <v>20.174999005906272</v>
      </c>
      <c r="CJ95" s="299">
        <f t="shared" ca="1" si="252"/>
        <v>26.474982414679971</v>
      </c>
      <c r="CK95" s="299">
        <f t="shared" ca="1" si="253"/>
        <v>32.659889647739881</v>
      </c>
      <c r="CL95" s="377">
        <f t="shared" ca="1" si="254"/>
        <v>0.27890933892187497</v>
      </c>
      <c r="CM95" s="305">
        <f t="shared" ca="1" si="255"/>
        <v>0.27890933892187497</v>
      </c>
      <c r="CN95" s="305">
        <f t="shared" ca="1" si="256"/>
        <v>0.27890933892187497</v>
      </c>
      <c r="CO95" s="305">
        <f t="shared" ca="1" si="257"/>
        <v>0.27890933892187503</v>
      </c>
      <c r="CP95" s="305">
        <f t="shared" ca="1" si="258"/>
        <v>7.9725814277759988E-2</v>
      </c>
      <c r="CQ95" s="305">
        <f t="shared" ca="1" si="259"/>
        <v>0.22696627299698344</v>
      </c>
      <c r="CR95" s="775">
        <f t="shared" ca="1" si="260"/>
        <v>0.27890933892187497</v>
      </c>
      <c r="CS95" s="305">
        <f t="shared" ca="1" si="261"/>
        <v>0.31890933892187495</v>
      </c>
      <c r="CT95" s="305">
        <f t="shared" ca="1" si="262"/>
        <v>0.313909338921875</v>
      </c>
      <c r="CU95" s="305">
        <f t="shared" ca="1" si="263"/>
        <v>0.13972581427775999</v>
      </c>
      <c r="CV95" s="770">
        <f t="shared" ca="1" si="264"/>
        <v>0.25196627299698343</v>
      </c>
      <c r="CW95" s="302">
        <f t="shared" ca="1" si="265"/>
        <v>8.490549310200759</v>
      </c>
      <c r="CX95" s="299">
        <f t="shared" ca="1" si="266"/>
        <v>5.4563086986919389</v>
      </c>
      <c r="CY95" s="299">
        <f t="shared" ca="1" si="267"/>
        <v>5.5989837785603065</v>
      </c>
      <c r="CZ95" s="299">
        <f t="shared" ca="1" si="268"/>
        <v>0.37715522688715941</v>
      </c>
      <c r="DA95" s="774">
        <f t="shared" ca="1" si="269"/>
        <v>4.7784662749689915</v>
      </c>
      <c r="DB95" s="303">
        <f t="shared" ca="1" si="270"/>
        <v>2188.4075319887738</v>
      </c>
      <c r="DC95" s="248">
        <f t="shared" ca="1" si="271"/>
        <v>228.69858919369705</v>
      </c>
      <c r="DD95" s="778">
        <f t="shared" ca="1" si="272"/>
        <v>0</v>
      </c>
      <c r="DE95" s="363">
        <f t="shared" ca="1" si="273"/>
        <v>0.61555482530266015</v>
      </c>
      <c r="DF95" s="378">
        <f t="shared" ca="1" si="274"/>
        <v>-0.40164104063176964</v>
      </c>
      <c r="DG95" s="508">
        <f t="shared" ca="1" si="275"/>
        <v>-0.76602470374893927</v>
      </c>
      <c r="DH95" s="508">
        <f t="shared" ca="1" si="276"/>
        <v>-0.73944784434805644</v>
      </c>
      <c r="DI95" s="508">
        <f t="shared" ca="1" si="277"/>
        <v>-1.5230223020658984</v>
      </c>
      <c r="DJ95" s="508">
        <f t="shared" ca="1" si="278"/>
        <v>-0.64799494175178729</v>
      </c>
      <c r="DK95" s="353">
        <f t="shared" ca="1" si="279"/>
        <v>-118.38323864497995</v>
      </c>
      <c r="DL95" s="781">
        <f t="shared" ca="1" si="280"/>
        <v>7.0152169895225445</v>
      </c>
      <c r="DM95" s="303">
        <f t="shared" ca="1" si="281"/>
        <v>9441.9724569074224</v>
      </c>
      <c r="DN95" s="508">
        <f t="shared" ca="1" si="282"/>
        <v>1.2703850440727096</v>
      </c>
      <c r="DO95" s="508">
        <f t="shared" ca="1" si="283"/>
        <v>1.1687779720709297</v>
      </c>
      <c r="DP95" s="508">
        <f t="shared" ca="1" si="284"/>
        <v>1.176892889713544</v>
      </c>
      <c r="DQ95" s="508">
        <f t="shared" ca="1" si="285"/>
        <v>1.0948412349679941</v>
      </c>
      <c r="DR95" s="508">
        <f t="shared" ca="1" si="286"/>
        <v>1.2007789382978757</v>
      </c>
      <c r="DS95" s="353">
        <f t="shared" ca="1" si="287"/>
        <v>6034.7546699593022</v>
      </c>
      <c r="DT95" s="353">
        <f t="shared" ca="1" si="288"/>
        <v>-9888.4573830420959</v>
      </c>
      <c r="DU95" s="380">
        <f t="shared" ca="1" si="388"/>
        <v>6.5817932922655711</v>
      </c>
      <c r="DV95" s="303">
        <f t="shared" ca="1" si="289"/>
        <v>216.67529850653636</v>
      </c>
      <c r="DW95" s="303">
        <f t="shared" ca="1" si="290"/>
        <v>39.395508819370249</v>
      </c>
      <c r="DX95" s="303">
        <f t="shared" ca="1" si="291"/>
        <v>49.244386024212815</v>
      </c>
      <c r="DY95" s="303">
        <f t="shared" ca="1" si="292"/>
        <v>305.31519335011944</v>
      </c>
      <c r="DZ95" s="303">
        <f t="shared" ca="1" si="293"/>
        <v>152.65759667505972</v>
      </c>
      <c r="EA95" s="303">
        <f t="shared" ca="1" si="294"/>
        <v>457.97279002517917</v>
      </c>
      <c r="EB95" s="302">
        <f t="shared" ca="1" si="295"/>
        <v>31.650592710636555</v>
      </c>
      <c r="EC95" s="299">
        <f t="shared" ca="1" si="296"/>
        <v>24.38845682172677</v>
      </c>
      <c r="ED95" s="299">
        <f t="shared" ca="1" si="297"/>
        <v>24.901466154032036</v>
      </c>
      <c r="EE95" s="299">
        <f t="shared" ca="1" si="298"/>
        <v>29.624974119066817</v>
      </c>
      <c r="EF95" s="299">
        <f t="shared" ca="1" si="299"/>
        <v>20.174999005906272</v>
      </c>
      <c r="EG95" s="299">
        <f t="shared" ca="1" si="300"/>
        <v>26.474982414679971</v>
      </c>
      <c r="EH95" s="302">
        <f t="shared" ca="1" si="301"/>
        <v>30</v>
      </c>
      <c r="EI95" s="304">
        <f t="shared" ca="1" si="302"/>
        <v>9.2969779640625E-2</v>
      </c>
      <c r="EJ95" s="305">
        <f t="shared" ca="1" si="303"/>
        <v>9.2969779640625E-2</v>
      </c>
      <c r="EK95" s="305">
        <f t="shared" ca="1" si="304"/>
        <v>9.2969779640625E-2</v>
      </c>
      <c r="EL95" s="305">
        <f t="shared" ca="1" si="305"/>
        <v>9.2969779640625069E-2</v>
      </c>
      <c r="EM95" s="305">
        <f t="shared" ca="1" si="306"/>
        <v>2.6575271425919995E-2</v>
      </c>
      <c r="EN95" s="305">
        <f t="shared" ca="1" si="307"/>
        <v>7.3274926865592005E-2</v>
      </c>
      <c r="EO95" s="305">
        <f t="shared" ca="1" si="308"/>
        <v>9.2969779640625E-2</v>
      </c>
      <c r="EP95" s="305">
        <f t="shared" ca="1" si="309"/>
        <v>9.2969779640625E-2</v>
      </c>
      <c r="EQ95" s="305">
        <f t="shared" ca="1" si="310"/>
        <v>9.2969779640625E-2</v>
      </c>
      <c r="ER95" s="305">
        <f t="shared" ca="1" si="311"/>
        <v>2.6575271425919995E-2</v>
      </c>
      <c r="ES95" s="305">
        <f t="shared" ca="1" si="312"/>
        <v>7.3274926865592005E-2</v>
      </c>
      <c r="ET95" s="299">
        <f t="shared" ca="1" si="313"/>
        <v>4.3260020111893347</v>
      </c>
      <c r="EU95" s="302">
        <f t="shared" ca="1" si="314"/>
        <v>30</v>
      </c>
      <c r="EV95" s="304">
        <f t="shared" ca="1" si="315"/>
        <v>0.27890933892187497</v>
      </c>
      <c r="EW95" s="305">
        <f t="shared" ca="1" si="316"/>
        <v>0.27890933892187497</v>
      </c>
      <c r="EX95" s="305">
        <f t="shared" ca="1" si="317"/>
        <v>0.27890933892187497</v>
      </c>
      <c r="EY95" s="305">
        <f t="shared" ca="1" si="318"/>
        <v>0.27890933892187503</v>
      </c>
      <c r="EZ95" s="305">
        <f t="shared" ca="1" si="319"/>
        <v>7.9725814277759988E-2</v>
      </c>
      <c r="FA95" s="305">
        <f t="shared" ca="1" si="320"/>
        <v>0.22696627299698344</v>
      </c>
      <c r="FB95" s="305">
        <f t="shared" ca="1" si="321"/>
        <v>0.27890933892187497</v>
      </c>
      <c r="FC95" s="305">
        <f t="shared" ca="1" si="322"/>
        <v>0.27890933892187497</v>
      </c>
      <c r="FD95" s="305">
        <f t="shared" ca="1" si="323"/>
        <v>0.27890933892187497</v>
      </c>
      <c r="FE95" s="305">
        <f t="shared" ca="1" si="324"/>
        <v>7.9725814277759988E-2</v>
      </c>
      <c r="FF95" s="305">
        <f t="shared" ca="1" si="325"/>
        <v>0.22696627299698344</v>
      </c>
      <c r="FG95" s="299">
        <f t="shared" ca="1" si="326"/>
        <v>4.8495542778774556</v>
      </c>
      <c r="FH95" s="302">
        <f t="shared" ca="1" si="327"/>
        <v>-0.52355226668812094</v>
      </c>
      <c r="FI95" s="248">
        <f t="shared" ca="1" si="328"/>
        <v>-239.77269229916541</v>
      </c>
      <c r="FJ95" s="363">
        <f t="shared" ca="1" si="329"/>
        <v>0.61555482530266015</v>
      </c>
      <c r="FK95" s="378">
        <f t="shared" ca="1" si="330"/>
        <v>0.10529789096399939</v>
      </c>
      <c r="FL95" s="508">
        <f t="shared" ca="1" si="331"/>
        <v>-0.98749711927806982</v>
      </c>
      <c r="FM95" s="508">
        <f t="shared" ca="1" si="332"/>
        <v>-0.90022030543366449</v>
      </c>
      <c r="FN95" s="508">
        <f t="shared" ca="1" si="333"/>
        <v>-5.8533878505757198</v>
      </c>
      <c r="FO95" s="508">
        <f t="shared" ca="1" si="334"/>
        <v>-0.75891835958556519</v>
      </c>
      <c r="FP95" s="353">
        <f t="shared" ca="1" si="335"/>
        <v>355.40949697927834</v>
      </c>
      <c r="FQ95" s="356">
        <f t="shared" ca="1" si="336"/>
        <v>24.290344096325295</v>
      </c>
      <c r="FR95" s="380">
        <f t="shared" ca="1" si="337"/>
        <v>22.86</v>
      </c>
      <c r="FS95" s="299">
        <f t="shared" ca="1" si="338"/>
        <v>22.86</v>
      </c>
      <c r="FT95" s="299">
        <f t="shared" ca="1" si="339"/>
        <v>22.86</v>
      </c>
      <c r="FU95" s="299">
        <f t="shared" ca="1" si="340"/>
        <v>22.86</v>
      </c>
      <c r="FV95" s="299">
        <f t="shared" ca="1" si="341"/>
        <v>22.86</v>
      </c>
      <c r="FW95" s="850">
        <f t="shared" ca="1" si="342"/>
        <v>0.16500000000000001</v>
      </c>
      <c r="FX95" s="851">
        <f t="shared" ca="1" si="343"/>
        <v>0.5</v>
      </c>
      <c r="FY95" s="851">
        <f t="shared" ca="1" si="344"/>
        <v>0</v>
      </c>
      <c r="FZ95" s="201">
        <f t="shared" ca="1" si="345"/>
        <v>0</v>
      </c>
      <c r="GA95" s="201">
        <f t="shared" ca="1" si="346"/>
        <v>0</v>
      </c>
      <c r="GB95" s="201">
        <f t="shared" ca="1" si="347"/>
        <v>0</v>
      </c>
      <c r="GC95" s="201">
        <f t="shared" ca="1" si="348"/>
        <v>0</v>
      </c>
      <c r="GD95" s="850">
        <f t="shared" ca="1" si="349"/>
        <v>0.29390933892187499</v>
      </c>
      <c r="GE95" s="866">
        <f t="shared" ca="1" si="350"/>
        <v>0.28140933892187497</v>
      </c>
      <c r="GF95" s="866">
        <f t="shared" ca="1" si="351"/>
        <v>0.28390933892187498</v>
      </c>
      <c r="GG95" s="866">
        <f t="shared" ca="1" si="352"/>
        <v>7.9725814277759988E-2</v>
      </c>
      <c r="GH95" s="866">
        <f t="shared" ca="1" si="353"/>
        <v>0.23946627299698345</v>
      </c>
      <c r="GI95" s="302">
        <f t="shared" ca="1" si="354"/>
        <v>12.196031392729813</v>
      </c>
      <c r="GJ95" s="299">
        <f t="shared" ca="1" si="355"/>
        <v>6.6199384584877379</v>
      </c>
      <c r="GK95" s="299">
        <f t="shared" ca="1" si="356"/>
        <v>7.0093544217727679</v>
      </c>
      <c r="GL95" s="299">
        <f t="shared" ca="1" si="357"/>
        <v>1.9651786082123002</v>
      </c>
      <c r="GM95" s="299">
        <f t="shared" ca="1" si="358"/>
        <v>7.2871831068629573</v>
      </c>
      <c r="GN95" s="302">
        <f t="shared" ca="1" si="359"/>
        <v>0.79512628055684975</v>
      </c>
      <c r="GO95" s="299">
        <f t="shared" ca="1" si="360"/>
        <v>0.66172326296240269</v>
      </c>
      <c r="GP95" s="299">
        <f t="shared" ca="1" si="361"/>
        <v>0.67428964681967596</v>
      </c>
      <c r="GQ95" s="299">
        <f t="shared" ca="1" si="362"/>
        <v>0.43745387423976884</v>
      </c>
      <c r="GR95" s="299">
        <f t="shared" ca="1" si="363"/>
        <v>0.70604839494536631</v>
      </c>
      <c r="GS95" s="302">
        <f t="shared" ca="1" si="364"/>
        <v>-0.56737486119992864</v>
      </c>
      <c r="GT95" s="299">
        <f t="shared" ca="1" si="365"/>
        <v>-0.41638124292426559</v>
      </c>
      <c r="GU95" s="299">
        <f t="shared" ca="1" si="366"/>
        <v>-0.42788501156976555</v>
      </c>
      <c r="GV95" s="299">
        <f t="shared" ca="1" si="367"/>
        <v>-0.30010725018596984</v>
      </c>
      <c r="GW95" s="299">
        <f t="shared" ca="1" si="368"/>
        <v>-0.49892557008214738</v>
      </c>
      <c r="GX95" s="303">
        <f t="shared" ca="1" si="369"/>
        <v>2642.5787426148208</v>
      </c>
      <c r="GY95" s="303">
        <f t="shared" ca="1" si="370"/>
        <v>260.79584392504199</v>
      </c>
      <c r="GZ95" s="303">
        <f t="shared" ca="1" si="371"/>
        <v>345.17135492630121</v>
      </c>
      <c r="HA95" s="303">
        <f t="shared" ca="1" si="372"/>
        <v>299.99944336692852</v>
      </c>
      <c r="HB95" s="303">
        <f t="shared" ca="1" si="373"/>
        <v>3337.3315788743821</v>
      </c>
      <c r="HC95" s="303">
        <f t="shared" ca="1" si="374"/>
        <v>1904.7042996265584</v>
      </c>
      <c r="HD95" s="303">
        <f t="shared" ca="1" si="375"/>
        <v>60.214334200363609</v>
      </c>
      <c r="HE95" s="303">
        <f t="shared" ca="1" si="376"/>
        <v>100.53074734451872</v>
      </c>
      <c r="HF95" s="303">
        <f t="shared" ca="1" si="377"/>
        <v>0</v>
      </c>
      <c r="HG95" s="852">
        <f t="shared" ca="1" si="378"/>
        <v>1655.5635823429459</v>
      </c>
    </row>
    <row r="96" spans="1:215" x14ac:dyDescent="0.25">
      <c r="A96" s="244">
        <f t="shared" ca="1" si="379"/>
        <v>39022</v>
      </c>
      <c r="B96" s="13">
        <f t="shared" ca="1" si="207"/>
        <v>2006</v>
      </c>
      <c r="C96" s="619">
        <f t="shared" ca="1" si="208"/>
        <v>11</v>
      </c>
      <c r="D96" s="195">
        <f t="shared" ca="1" si="209"/>
        <v>39044</v>
      </c>
      <c r="E96" s="469">
        <f t="shared" ca="1" si="210"/>
        <v>39022</v>
      </c>
      <c r="F96" s="465">
        <f t="shared" ca="1" si="211"/>
        <v>39051</v>
      </c>
      <c r="G96" s="522">
        <f t="shared" ca="1" si="380"/>
        <v>1</v>
      </c>
      <c r="H96" s="519">
        <f t="shared" ca="1" si="381"/>
        <v>1</v>
      </c>
      <c r="I96" s="724">
        <f t="shared" ca="1" si="212"/>
        <v>7.3565822459093003E-2</v>
      </c>
      <c r="J96" s="198">
        <f t="shared" ca="1" si="213"/>
        <v>0.61181445974366278</v>
      </c>
      <c r="K96" s="200">
        <f t="shared" ca="1" si="389"/>
        <v>29.925000000000001</v>
      </c>
      <c r="L96" s="201">
        <f t="shared" ca="1" si="390"/>
        <v>30.975000000000001</v>
      </c>
      <c r="M96" s="206">
        <f t="shared" ca="1" si="391"/>
        <v>32.024999999999999</v>
      </c>
      <c r="N96" s="851">
        <f t="shared" ca="1" si="395"/>
        <v>23.817251586914058</v>
      </c>
      <c r="O96" s="201">
        <f t="shared" ca="1" si="396"/>
        <v>24.604751586914059</v>
      </c>
      <c r="P96" s="206">
        <f t="shared" ca="1" si="397"/>
        <v>25.39225158691406</v>
      </c>
      <c r="Q96" s="201">
        <f t="shared" ca="1" si="398"/>
        <v>19.304499816894527</v>
      </c>
      <c r="R96" s="201">
        <f t="shared" ca="1" si="399"/>
        <v>22.604499816894528</v>
      </c>
      <c r="S96" s="201">
        <f t="shared" ca="1" si="400"/>
        <v>25.904499816894528</v>
      </c>
      <c r="T96" s="851">
        <f t="shared" ca="1" si="392"/>
        <v>19.049998092651368</v>
      </c>
      <c r="U96" s="201">
        <f t="shared" ca="1" si="393"/>
        <v>19.574998092651366</v>
      </c>
      <c r="V96" s="206">
        <f t="shared" ca="1" si="394"/>
        <v>20.099998092651365</v>
      </c>
      <c r="W96" s="230">
        <f t="shared" ca="1" si="382"/>
        <v>9.2969779640625E-2</v>
      </c>
      <c r="X96" s="231">
        <f t="shared" ca="1" si="383"/>
        <v>0.18593955928125</v>
      </c>
      <c r="Y96" s="232">
        <f t="shared" ca="1" si="384"/>
        <v>0.27890933892187497</v>
      </c>
      <c r="Z96" s="231">
        <f t="shared" ca="1" si="202"/>
        <v>9.2969779640625E-2</v>
      </c>
      <c r="AA96" s="231">
        <f t="shared" ca="1" si="203"/>
        <v>0.18593955928125</v>
      </c>
      <c r="AB96" s="232">
        <f t="shared" ca="1" si="204"/>
        <v>0.27890933892187497</v>
      </c>
      <c r="AC96" s="231">
        <f t="shared" ca="1" si="205"/>
        <v>9.2969779640625E-2</v>
      </c>
      <c r="AD96" s="231">
        <f t="shared" ca="1" si="206"/>
        <v>0.18593955928125</v>
      </c>
      <c r="AE96" s="232">
        <f t="shared" ca="1" si="214"/>
        <v>0.27890933892187497</v>
      </c>
      <c r="AF96" s="231">
        <f t="shared" ca="1" si="385"/>
        <v>2.6575271425919995E-2</v>
      </c>
      <c r="AG96" s="231">
        <f t="shared" ca="1" si="386"/>
        <v>5.3150542851839989E-2</v>
      </c>
      <c r="AH96" s="232">
        <f t="shared" ca="1" si="387"/>
        <v>7.9725814277759988E-2</v>
      </c>
      <c r="AI96" s="233">
        <f t="shared" ca="1" si="215"/>
        <v>1</v>
      </c>
      <c r="AJ96" s="233">
        <f t="shared" ca="1" si="216"/>
        <v>1.25</v>
      </c>
      <c r="AK96" s="234">
        <f t="shared" ca="1" si="217"/>
        <v>1.55</v>
      </c>
      <c r="AL96" s="919">
        <f t="shared" ca="1" si="218"/>
        <v>1</v>
      </c>
      <c r="AM96" s="233">
        <f t="shared" ca="1" si="219"/>
        <v>1.25</v>
      </c>
      <c r="AN96" s="234">
        <f t="shared" ca="1" si="220"/>
        <v>1.55</v>
      </c>
      <c r="AO96" s="233">
        <f t="shared" ca="1" si="221"/>
        <v>1</v>
      </c>
      <c r="AP96" s="233">
        <f t="shared" ca="1" si="222"/>
        <v>1.25</v>
      </c>
      <c r="AQ96" s="233">
        <f t="shared" ca="1" si="223"/>
        <v>1.55</v>
      </c>
      <c r="AR96" s="919">
        <f t="shared" ca="1" si="224"/>
        <v>0.15</v>
      </c>
      <c r="AS96" s="233">
        <f t="shared" ca="1" si="225"/>
        <v>0.3</v>
      </c>
      <c r="AT96" s="235">
        <f t="shared" ca="1" si="226"/>
        <v>0.5</v>
      </c>
      <c r="AU96" s="946">
        <f t="shared" si="227"/>
        <v>0.5</v>
      </c>
      <c r="AV96" s="13">
        <f t="shared" ca="1" si="228"/>
        <v>21</v>
      </c>
      <c r="AW96" s="210">
        <f t="shared" ca="1" si="229"/>
        <v>4</v>
      </c>
      <c r="AX96" s="210">
        <f t="shared" ca="1" si="230"/>
        <v>4</v>
      </c>
      <c r="AY96" s="210">
        <f t="shared" ca="1" si="231"/>
        <v>1</v>
      </c>
      <c r="AZ96" s="13">
        <f t="shared" ca="1" si="232"/>
        <v>30</v>
      </c>
      <c r="BA96" s="357">
        <f ca="1"/>
        <v>336</v>
      </c>
      <c r="BB96" s="925">
        <f ca="1"/>
        <v>64</v>
      </c>
      <c r="BC96" s="925">
        <f ca="1"/>
        <v>80</v>
      </c>
      <c r="BD96" s="928">
        <f ca="1"/>
        <v>240</v>
      </c>
      <c r="BE96" s="200">
        <f ca="1"/>
        <v>0.99996249377727509</v>
      </c>
      <c r="BF96" s="851">
        <f ca="1"/>
        <v>0.99996249377727509</v>
      </c>
      <c r="BG96" s="851">
        <f ca="1"/>
        <v>0.99996249377727509</v>
      </c>
      <c r="BH96" s="933">
        <f ca="1"/>
        <v>1.0000000074505806</v>
      </c>
      <c r="BI96" s="357">
        <f ca="1"/>
        <v>336</v>
      </c>
      <c r="BJ96" s="925">
        <f ca="1"/>
        <v>64</v>
      </c>
      <c r="BK96" s="925">
        <f ca="1"/>
        <v>80</v>
      </c>
      <c r="BL96" s="928">
        <f ca="1"/>
        <v>240</v>
      </c>
      <c r="BM96" s="200">
        <f ca="1"/>
        <v>0.99996249377727509</v>
      </c>
      <c r="BN96" s="851">
        <f ca="1"/>
        <v>0.99996249377727509</v>
      </c>
      <c r="BO96" s="851">
        <f ca="1"/>
        <v>0.99996249377727509</v>
      </c>
      <c r="BP96" s="933">
        <f ca="1"/>
        <v>1.0000000074505806</v>
      </c>
      <c r="BQ96" s="357">
        <f t="shared" ca="1" si="233"/>
        <v>720</v>
      </c>
      <c r="BR96" s="361">
        <f t="shared" ca="1" si="234"/>
        <v>720</v>
      </c>
      <c r="BS96" s="357">
        <f t="shared" ca="1" si="235"/>
        <v>440.50641101543721</v>
      </c>
      <c r="BT96" s="302">
        <f t="shared" ca="1" si="236"/>
        <v>24.576349238399271</v>
      </c>
      <c r="BU96" s="299">
        <f t="shared" ca="1" si="237"/>
        <v>25.677981150603394</v>
      </c>
      <c r="BV96" s="299">
        <f t="shared" ca="1" si="238"/>
        <v>26.779613062807524</v>
      </c>
      <c r="BW96" s="299">
        <f t="shared" ca="1" si="239"/>
        <v>32.659889647739881</v>
      </c>
      <c r="BX96" s="380">
        <f t="shared" ca="1" si="240"/>
        <v>6.666666666666667</v>
      </c>
      <c r="BY96" s="363">
        <f t="shared" ca="1" si="241"/>
        <v>205.5696584738707</v>
      </c>
      <c r="BZ96" s="353">
        <f t="shared" ca="1" si="242"/>
        <v>39.156125423594418</v>
      </c>
      <c r="CA96" s="353">
        <f t="shared" ca="1" si="243"/>
        <v>48.945156779493018</v>
      </c>
      <c r="CB96" s="353">
        <f t="shared" ca="1" si="244"/>
        <v>293.67094067695814</v>
      </c>
      <c r="CC96" s="353">
        <f t="shared" ca="1" si="245"/>
        <v>146.83547033847907</v>
      </c>
      <c r="CD96" s="353">
        <f t="shared" ca="1" si="246"/>
        <v>440.50641101543721</v>
      </c>
      <c r="CE96" s="302">
        <f t="shared" ca="1" si="247"/>
        <v>32.02379886321723</v>
      </c>
      <c r="CF96" s="299">
        <f t="shared" ca="1" si="248"/>
        <v>25.391299219470554</v>
      </c>
      <c r="CG96" s="299">
        <f t="shared" ca="1" si="249"/>
        <v>25.90352823695482</v>
      </c>
      <c r="CH96" s="299">
        <f t="shared" ca="1" si="250"/>
        <v>30.119420473007274</v>
      </c>
      <c r="CI96" s="299">
        <f t="shared" ca="1" si="251"/>
        <v>20.09999824240802</v>
      </c>
      <c r="CJ96" s="299">
        <f t="shared" ca="1" si="252"/>
        <v>26.779613062807524</v>
      </c>
      <c r="CK96" s="299">
        <f t="shared" ca="1" si="253"/>
        <v>32.659889647739881</v>
      </c>
      <c r="CL96" s="377">
        <f t="shared" ca="1" si="254"/>
        <v>0.27890933892187497</v>
      </c>
      <c r="CM96" s="305">
        <f t="shared" ca="1" si="255"/>
        <v>0.27890933892187497</v>
      </c>
      <c r="CN96" s="305">
        <f t="shared" ca="1" si="256"/>
        <v>0.27890933892187497</v>
      </c>
      <c r="CO96" s="305">
        <f t="shared" ca="1" si="257"/>
        <v>0.27890933892187492</v>
      </c>
      <c r="CP96" s="305">
        <f t="shared" ca="1" si="258"/>
        <v>7.9725814277759988E-2</v>
      </c>
      <c r="CQ96" s="305">
        <f t="shared" ca="1" si="259"/>
        <v>0.22788519841005683</v>
      </c>
      <c r="CR96" s="775">
        <f t="shared" ca="1" si="260"/>
        <v>0.27890933892187497</v>
      </c>
      <c r="CS96" s="305">
        <f t="shared" ca="1" si="261"/>
        <v>0.313909338921875</v>
      </c>
      <c r="CT96" s="305">
        <f t="shared" ca="1" si="262"/>
        <v>0.30390933892187499</v>
      </c>
      <c r="CU96" s="305">
        <f t="shared" ca="1" si="263"/>
        <v>0.13972581427775999</v>
      </c>
      <c r="CV96" s="770">
        <f t="shared" ca="1" si="264"/>
        <v>0.24538519841005685</v>
      </c>
      <c r="CW96" s="302">
        <f t="shared" ca="1" si="265"/>
        <v>8.7799040523076801</v>
      </c>
      <c r="CX96" s="299">
        <f t="shared" ca="1" si="266"/>
        <v>5.911336674969446</v>
      </c>
      <c r="CY96" s="299">
        <f t="shared" ca="1" si="267"/>
        <v>5.9240180060449763</v>
      </c>
      <c r="CZ96" s="299">
        <f t="shared" ca="1" si="268"/>
        <v>0.37739347391820344</v>
      </c>
      <c r="DA96" s="774">
        <f t="shared" ca="1" si="269"/>
        <v>4.7945222915187529</v>
      </c>
      <c r="DB96" s="303">
        <f t="shared" ca="1" si="270"/>
        <v>2112.0178071704354</v>
      </c>
      <c r="DC96" s="248">
        <f t="shared" ca="1" si="271"/>
        <v>220.8651442576988</v>
      </c>
      <c r="DD96" s="778">
        <f t="shared" ca="1" si="272"/>
        <v>0</v>
      </c>
      <c r="DE96" s="363">
        <f t="shared" ca="1" si="273"/>
        <v>0.61181445974366278</v>
      </c>
      <c r="DF96" s="378">
        <f t="shared" ca="1" si="274"/>
        <v>-0.38738224422491752</v>
      </c>
      <c r="DG96" s="508">
        <f t="shared" ca="1" si="275"/>
        <v>-0.71585102509038256</v>
      </c>
      <c r="DH96" s="508">
        <f t="shared" ca="1" si="276"/>
        <v>-0.68770823413178561</v>
      </c>
      <c r="DI96" s="508">
        <f t="shared" ca="1" si="277"/>
        <v>-1.5259164942337877</v>
      </c>
      <c r="DJ96" s="508">
        <f t="shared" ca="1" si="278"/>
        <v>-0.63009980107195196</v>
      </c>
      <c r="DK96" s="353">
        <f t="shared" ca="1" si="279"/>
        <v>-116.43226815877304</v>
      </c>
      <c r="DL96" s="781">
        <f t="shared" ca="1" si="280"/>
        <v>6.9635706849296435</v>
      </c>
      <c r="DM96" s="303">
        <f t="shared" ca="1" si="281"/>
        <v>9238.0305717271422</v>
      </c>
      <c r="DN96" s="508">
        <f t="shared" ca="1" si="282"/>
        <v>1.2832470613452718</v>
      </c>
      <c r="DO96" s="508">
        <f t="shared" ca="1" si="283"/>
        <v>1.1933566726776921</v>
      </c>
      <c r="DP96" s="508">
        <f t="shared" ca="1" si="284"/>
        <v>1.2010928087036266</v>
      </c>
      <c r="DQ96" s="508">
        <f t="shared" ca="1" si="285"/>
        <v>1.1028410982098071</v>
      </c>
      <c r="DR96" s="508">
        <f t="shared" ca="1" si="286"/>
        <v>1.2139763006366231</v>
      </c>
      <c r="DS96" s="353">
        <f t="shared" ca="1" si="287"/>
        <v>5815.7122532237627</v>
      </c>
      <c r="DT96" s="353">
        <f t="shared" ca="1" si="288"/>
        <v>-9657.4989721151651</v>
      </c>
      <c r="DU96" s="380">
        <f t="shared" ca="1" si="388"/>
        <v>6.666666666666667</v>
      </c>
      <c r="DV96" s="303">
        <f t="shared" ca="1" si="289"/>
        <v>205.5696584738707</v>
      </c>
      <c r="DW96" s="303">
        <f t="shared" ca="1" si="290"/>
        <v>39.156125423594418</v>
      </c>
      <c r="DX96" s="303">
        <f t="shared" ca="1" si="291"/>
        <v>48.945156779493018</v>
      </c>
      <c r="DY96" s="303">
        <f t="shared" ca="1" si="292"/>
        <v>293.67094067695814</v>
      </c>
      <c r="DZ96" s="303">
        <f t="shared" ca="1" si="293"/>
        <v>146.83547033847907</v>
      </c>
      <c r="EA96" s="303">
        <f t="shared" ca="1" si="294"/>
        <v>440.50641101543721</v>
      </c>
      <c r="EB96" s="302">
        <f t="shared" ca="1" si="295"/>
        <v>32.02379886321723</v>
      </c>
      <c r="EC96" s="299">
        <f t="shared" ca="1" si="296"/>
        <v>25.391299219470554</v>
      </c>
      <c r="ED96" s="299">
        <f t="shared" ca="1" si="297"/>
        <v>25.90352823695482</v>
      </c>
      <c r="EE96" s="299">
        <f t="shared" ca="1" si="298"/>
        <v>30.119420473007274</v>
      </c>
      <c r="EF96" s="299">
        <f t="shared" ca="1" si="299"/>
        <v>20.09999824240802</v>
      </c>
      <c r="EG96" s="299">
        <f t="shared" ca="1" si="300"/>
        <v>26.779613062807524</v>
      </c>
      <c r="EH96" s="302">
        <f t="shared" ca="1" si="301"/>
        <v>30</v>
      </c>
      <c r="EI96" s="304">
        <f t="shared" ca="1" si="302"/>
        <v>9.2969779640625E-2</v>
      </c>
      <c r="EJ96" s="305">
        <f t="shared" ca="1" si="303"/>
        <v>9.2969779640625E-2</v>
      </c>
      <c r="EK96" s="305">
        <f t="shared" ca="1" si="304"/>
        <v>9.2969779640625E-2</v>
      </c>
      <c r="EL96" s="305">
        <f t="shared" ca="1" si="305"/>
        <v>9.2969779640625014E-2</v>
      </c>
      <c r="EM96" s="305">
        <f t="shared" ca="1" si="306"/>
        <v>2.6575271425919995E-2</v>
      </c>
      <c r="EN96" s="305">
        <f t="shared" ca="1" si="307"/>
        <v>7.3573298219686417E-2</v>
      </c>
      <c r="EO96" s="305">
        <f t="shared" ca="1" si="308"/>
        <v>9.2969779640625E-2</v>
      </c>
      <c r="EP96" s="305">
        <f t="shared" ca="1" si="309"/>
        <v>9.2969779640625E-2</v>
      </c>
      <c r="EQ96" s="305">
        <f t="shared" ca="1" si="310"/>
        <v>9.2969779640625E-2</v>
      </c>
      <c r="ER96" s="305">
        <f t="shared" ca="1" si="311"/>
        <v>2.6575271425919995E-2</v>
      </c>
      <c r="ES96" s="305">
        <f t="shared" ca="1" si="312"/>
        <v>7.3573298219686417E-2</v>
      </c>
      <c r="ET96" s="299">
        <f t="shared" ca="1" si="313"/>
        <v>4.1296725725952648</v>
      </c>
      <c r="EU96" s="302">
        <f t="shared" ca="1" si="314"/>
        <v>30</v>
      </c>
      <c r="EV96" s="304">
        <f t="shared" ca="1" si="315"/>
        <v>0.27890933892187497</v>
      </c>
      <c r="EW96" s="305">
        <f t="shared" ca="1" si="316"/>
        <v>0.27890933892187497</v>
      </c>
      <c r="EX96" s="305">
        <f t="shared" ca="1" si="317"/>
        <v>0.27890933892187497</v>
      </c>
      <c r="EY96" s="305">
        <f t="shared" ca="1" si="318"/>
        <v>0.27890933892187492</v>
      </c>
      <c r="EZ96" s="305">
        <f t="shared" ca="1" si="319"/>
        <v>7.9725814277759988E-2</v>
      </c>
      <c r="FA96" s="305">
        <f t="shared" ca="1" si="320"/>
        <v>0.22788519841005683</v>
      </c>
      <c r="FB96" s="305">
        <f t="shared" ca="1" si="321"/>
        <v>0.27890933892187497</v>
      </c>
      <c r="FC96" s="305">
        <f t="shared" ca="1" si="322"/>
        <v>0.27890933892187497</v>
      </c>
      <c r="FD96" s="305">
        <f t="shared" ca="1" si="323"/>
        <v>0.27890933892187497</v>
      </c>
      <c r="FE96" s="305">
        <f t="shared" ca="1" si="324"/>
        <v>7.9725814277759988E-2</v>
      </c>
      <c r="FF96" s="305">
        <f t="shared" ca="1" si="325"/>
        <v>0.22788519841005683</v>
      </c>
      <c r="FG96" s="299">
        <f t="shared" ca="1" si="326"/>
        <v>5.0773574921550235</v>
      </c>
      <c r="FH96" s="302">
        <f t="shared" ca="1" si="327"/>
        <v>-0.94768491955975875</v>
      </c>
      <c r="FI96" s="248">
        <f t="shared" ca="1" si="328"/>
        <v>-417.46128268872263</v>
      </c>
      <c r="FJ96" s="363">
        <f t="shared" ca="1" si="329"/>
        <v>0.61181445974366278</v>
      </c>
      <c r="FK96" s="378">
        <f t="shared" ca="1" si="330"/>
        <v>0.15193150535684366</v>
      </c>
      <c r="FL96" s="508">
        <f t="shared" ca="1" si="331"/>
        <v>-0.81484931284182205</v>
      </c>
      <c r="FM96" s="508">
        <f t="shared" ca="1" si="332"/>
        <v>-0.73164633610859908</v>
      </c>
      <c r="FN96" s="508">
        <f t="shared" ca="1" si="333"/>
        <v>-5.8707241180201697</v>
      </c>
      <c r="FO96" s="508">
        <f t="shared" ca="1" si="334"/>
        <v>-0.69275719238118627</v>
      </c>
      <c r="FP96" s="353">
        <f t="shared" ca="1" si="335"/>
        <v>332.92113508349905</v>
      </c>
      <c r="FQ96" s="356">
        <f t="shared" ca="1" si="336"/>
        <v>24.257997709097427</v>
      </c>
      <c r="FR96" s="380">
        <f t="shared" ca="1" si="337"/>
        <v>23.94</v>
      </c>
      <c r="FS96" s="299">
        <f t="shared" ca="1" si="338"/>
        <v>23.94</v>
      </c>
      <c r="FT96" s="299">
        <f t="shared" ca="1" si="339"/>
        <v>23.94</v>
      </c>
      <c r="FU96" s="299">
        <f t="shared" ca="1" si="340"/>
        <v>23.94</v>
      </c>
      <c r="FV96" s="299">
        <f t="shared" ca="1" si="341"/>
        <v>23.94</v>
      </c>
      <c r="FW96" s="850">
        <f t="shared" ca="1" si="342"/>
        <v>0.16500000000000001</v>
      </c>
      <c r="FX96" s="851">
        <f t="shared" ca="1" si="343"/>
        <v>0.5</v>
      </c>
      <c r="FY96" s="851">
        <f t="shared" ca="1" si="344"/>
        <v>0</v>
      </c>
      <c r="FZ96" s="201">
        <f t="shared" ca="1" si="345"/>
        <v>0</v>
      </c>
      <c r="GA96" s="201">
        <f t="shared" ca="1" si="346"/>
        <v>0</v>
      </c>
      <c r="GB96" s="201">
        <f t="shared" ca="1" si="347"/>
        <v>0</v>
      </c>
      <c r="GC96" s="201">
        <f t="shared" ca="1" si="348"/>
        <v>0</v>
      </c>
      <c r="GD96" s="850">
        <f t="shared" ca="1" si="349"/>
        <v>0.29390933892187499</v>
      </c>
      <c r="GE96" s="866">
        <f t="shared" ca="1" si="350"/>
        <v>0.27890933892187497</v>
      </c>
      <c r="GF96" s="866">
        <f t="shared" ca="1" si="351"/>
        <v>0.28140933892187497</v>
      </c>
      <c r="GG96" s="866">
        <f t="shared" ca="1" si="352"/>
        <v>8.9725814277759983E-2</v>
      </c>
      <c r="GH96" s="866">
        <f t="shared" ca="1" si="353"/>
        <v>0.23788519841005684</v>
      </c>
      <c r="GI96" s="302">
        <f t="shared" ca="1" si="354"/>
        <v>11.928386865719002</v>
      </c>
      <c r="GJ96" s="299">
        <f t="shared" ca="1" si="355"/>
        <v>6.8229858435159674</v>
      </c>
      <c r="GK96" s="299">
        <f t="shared" ca="1" si="356"/>
        <v>7.2121709088819337</v>
      </c>
      <c r="GL96" s="299">
        <f t="shared" ca="1" si="357"/>
        <v>1.6565514671091477</v>
      </c>
      <c r="GM96" s="299">
        <f t="shared" ca="1" si="358"/>
        <v>6.9785245256130652</v>
      </c>
      <c r="GN96" s="302">
        <f t="shared" ca="1" si="359"/>
        <v>0.77964527873323974</v>
      </c>
      <c r="GO96" s="299">
        <f t="shared" ca="1" si="360"/>
        <v>0.6581493575694668</v>
      </c>
      <c r="GP96" s="299">
        <f t="shared" ca="1" si="361"/>
        <v>0.67033582286858329</v>
      </c>
      <c r="GQ96" s="299">
        <f t="shared" ca="1" si="362"/>
        <v>0.38646549676560987</v>
      </c>
      <c r="GR96" s="299">
        <f t="shared" ca="1" si="363"/>
        <v>0.68373806970552464</v>
      </c>
      <c r="GS96" s="302">
        <f t="shared" ca="1" si="364"/>
        <v>-0.54464573368770042</v>
      </c>
      <c r="GT96" s="299">
        <f t="shared" ca="1" si="365"/>
        <v>-0.41304451720130297</v>
      </c>
      <c r="GU96" s="299">
        <f t="shared" ca="1" si="366"/>
        <v>-0.42405584845099165</v>
      </c>
      <c r="GV96" s="299">
        <f t="shared" ca="1" si="367"/>
        <v>-0.25528002100458841</v>
      </c>
      <c r="GW96" s="299">
        <f t="shared" ca="1" si="368"/>
        <v>-0.47333831046483238</v>
      </c>
      <c r="GX96" s="303">
        <f t="shared" ca="1" si="369"/>
        <v>2452.1144141300601</v>
      </c>
      <c r="GY96" s="303">
        <f t="shared" ca="1" si="370"/>
        <v>267.16168945212036</v>
      </c>
      <c r="GZ96" s="303">
        <f t="shared" ca="1" si="371"/>
        <v>353.00083585572492</v>
      </c>
      <c r="HA96" s="303">
        <f t="shared" ca="1" si="372"/>
        <v>243.24051381286924</v>
      </c>
      <c r="HB96" s="303">
        <f t="shared" ca="1" si="373"/>
        <v>3074.0847929610177</v>
      </c>
      <c r="HC96" s="303">
        <f t="shared" ca="1" si="374"/>
        <v>1661.78377148303</v>
      </c>
      <c r="HD96" s="303">
        <f t="shared" ca="1" si="375"/>
        <v>56.827254264753634</v>
      </c>
      <c r="HE96" s="303">
        <f t="shared" ca="1" si="376"/>
        <v>96.10519739871512</v>
      </c>
      <c r="HF96" s="303">
        <f t="shared" ca="1" si="377"/>
        <v>0</v>
      </c>
      <c r="HG96" s="852">
        <f t="shared" ca="1" si="378"/>
        <v>1250.867758969895</v>
      </c>
    </row>
    <row r="97" spans="1:215" x14ac:dyDescent="0.25">
      <c r="A97" s="244">
        <f t="shared" ca="1" si="379"/>
        <v>39052</v>
      </c>
      <c r="B97" s="13">
        <f t="shared" ref="B97:B112" ca="1" si="401">YEAR(A97)</f>
        <v>2006</v>
      </c>
      <c r="C97" s="619">
        <f t="shared" ref="C97:C112" ca="1" si="402">MONTH(A97)</f>
        <v>12</v>
      </c>
      <c r="D97" s="195">
        <f t="shared" ca="1" si="209"/>
        <v>39076</v>
      </c>
      <c r="E97" s="469">
        <f t="shared" ca="1" si="210"/>
        <v>39052</v>
      </c>
      <c r="F97" s="465">
        <f t="shared" ca="1" si="211"/>
        <v>39082</v>
      </c>
      <c r="G97" s="522">
        <f t="shared" ca="1" si="380"/>
        <v>1</v>
      </c>
      <c r="H97" s="519">
        <f t="shared" ca="1" si="381"/>
        <v>1</v>
      </c>
      <c r="I97" s="724">
        <f t="shared" ref="I97:I112" ca="1" si="403">VLOOKUP(A97,IRTable,2)</f>
        <v>7.3589874054779E-2</v>
      </c>
      <c r="J97" s="198">
        <f t="shared" ca="1" si="213"/>
        <v>0.60797735907077</v>
      </c>
      <c r="K97" s="200">
        <f t="shared" ca="1" si="389"/>
        <v>29.8</v>
      </c>
      <c r="L97" s="201">
        <f t="shared" ca="1" si="390"/>
        <v>30.85</v>
      </c>
      <c r="M97" s="206">
        <f t="shared" ca="1" si="391"/>
        <v>31.9</v>
      </c>
      <c r="N97" s="851">
        <f t="shared" ca="1" si="395"/>
        <v>25.267498397827143</v>
      </c>
      <c r="O97" s="201">
        <f t="shared" ca="1" si="396"/>
        <v>26.054998397827145</v>
      </c>
      <c r="P97" s="206">
        <f t="shared" ca="1" si="397"/>
        <v>26.842498397827146</v>
      </c>
      <c r="Q97" s="201">
        <f t="shared" ca="1" si="398"/>
        <v>19.249999237060543</v>
      </c>
      <c r="R97" s="201">
        <f t="shared" ca="1" si="399"/>
        <v>22.549999237060543</v>
      </c>
      <c r="S97" s="201">
        <f t="shared" ca="1" si="400"/>
        <v>25.849999237060544</v>
      </c>
      <c r="T97" s="851">
        <f t="shared" ca="1" si="392"/>
        <v>20.474999237060548</v>
      </c>
      <c r="U97" s="201">
        <f t="shared" ca="1" si="393"/>
        <v>20.999999237060546</v>
      </c>
      <c r="V97" s="206">
        <f t="shared" ca="1" si="394"/>
        <v>21.524999237060545</v>
      </c>
      <c r="W97" s="230">
        <f t="shared" ca="1" si="382"/>
        <v>9.6312513290624985E-2</v>
      </c>
      <c r="X97" s="231">
        <f t="shared" ca="1" si="383"/>
        <v>0.19262502658124997</v>
      </c>
      <c r="Y97" s="232">
        <f t="shared" ca="1" si="384"/>
        <v>0.28893753987187498</v>
      </c>
      <c r="Z97" s="231">
        <f t="shared" ref="Z97:Z160" ca="1" si="404">VLOOKUP($A97,BigTable,14,0)</f>
        <v>9.6312513290624985E-2</v>
      </c>
      <c r="AA97" s="231">
        <f t="shared" ref="AA97:AA160" ca="1" si="405">VLOOKUP($A97,BigTable,15,0)</f>
        <v>0.19262502658124997</v>
      </c>
      <c r="AB97" s="232">
        <f t="shared" ref="AB97:AB160" ca="1" si="406">VLOOKUP($A97,BigTable,16,0)</f>
        <v>0.28893753987187498</v>
      </c>
      <c r="AC97" s="231">
        <f t="shared" ref="AC97:AC160" ca="1" si="407">VLOOKUP($A97,BigTable,14,0)</f>
        <v>9.6312513290624985E-2</v>
      </c>
      <c r="AD97" s="231">
        <f t="shared" ref="AD97:AD160" ca="1" si="408">VLOOKUP($A97,BigTable,15,0)</f>
        <v>0.19262502658124997</v>
      </c>
      <c r="AE97" s="232">
        <f t="shared" ca="1" si="214"/>
        <v>0.28893753987187498</v>
      </c>
      <c r="AF97" s="231">
        <f t="shared" ca="1" si="385"/>
        <v>2.6575271425919995E-2</v>
      </c>
      <c r="AG97" s="231">
        <f t="shared" ca="1" si="386"/>
        <v>5.3150542851839989E-2</v>
      </c>
      <c r="AH97" s="232">
        <f t="shared" ca="1" si="387"/>
        <v>7.9725814277759988E-2</v>
      </c>
      <c r="AI97" s="233">
        <f t="shared" ca="1" si="215"/>
        <v>1</v>
      </c>
      <c r="AJ97" s="233">
        <f t="shared" ca="1" si="216"/>
        <v>1.25</v>
      </c>
      <c r="AK97" s="234">
        <f t="shared" ca="1" si="217"/>
        <v>1.6</v>
      </c>
      <c r="AL97" s="919">
        <f t="shared" ca="1" si="218"/>
        <v>1</v>
      </c>
      <c r="AM97" s="233">
        <f t="shared" ca="1" si="219"/>
        <v>1.25</v>
      </c>
      <c r="AN97" s="234">
        <f t="shared" ca="1" si="220"/>
        <v>1.6</v>
      </c>
      <c r="AO97" s="233">
        <f t="shared" ca="1" si="221"/>
        <v>1</v>
      </c>
      <c r="AP97" s="233">
        <f t="shared" ca="1" si="222"/>
        <v>1.25</v>
      </c>
      <c r="AQ97" s="233">
        <f t="shared" ca="1" si="223"/>
        <v>1.6</v>
      </c>
      <c r="AR97" s="919">
        <f t="shared" ca="1" si="224"/>
        <v>0.15</v>
      </c>
      <c r="AS97" s="233">
        <f t="shared" ca="1" si="225"/>
        <v>0.3</v>
      </c>
      <c r="AT97" s="235">
        <f t="shared" ca="1" si="226"/>
        <v>0.5</v>
      </c>
      <c r="AU97" s="946">
        <f t="shared" si="227"/>
        <v>0.5</v>
      </c>
      <c r="AV97" s="13">
        <f t="shared" ca="1" si="228"/>
        <v>20</v>
      </c>
      <c r="AW97" s="210">
        <f t="shared" ca="1" si="229"/>
        <v>5</v>
      </c>
      <c r="AX97" s="210">
        <f t="shared" ca="1" si="230"/>
        <v>5</v>
      </c>
      <c r="AY97" s="210">
        <f t="shared" ca="1" si="231"/>
        <v>1</v>
      </c>
      <c r="AZ97" s="13">
        <f t="shared" ca="1" si="232"/>
        <v>31</v>
      </c>
      <c r="BA97" s="357">
        <f ca="1"/>
        <v>320</v>
      </c>
      <c r="BB97" s="925">
        <f ca="1"/>
        <v>80</v>
      </c>
      <c r="BC97" s="925">
        <f ca="1"/>
        <v>96</v>
      </c>
      <c r="BD97" s="928">
        <f ca="1"/>
        <v>248</v>
      </c>
      <c r="BE97" s="200">
        <f ca="1"/>
        <v>0.9999692440032959</v>
      </c>
      <c r="BF97" s="851">
        <f ca="1"/>
        <v>0.9999692440032959</v>
      </c>
      <c r="BG97" s="851">
        <f ca="1"/>
        <v>0.9999692440032959</v>
      </c>
      <c r="BH97" s="933">
        <f ca="1"/>
        <v>1.0000000074505806</v>
      </c>
      <c r="BI97" s="357">
        <f ca="1"/>
        <v>320</v>
      </c>
      <c r="BJ97" s="925">
        <f ca="1"/>
        <v>80</v>
      </c>
      <c r="BK97" s="925">
        <f ca="1"/>
        <v>96</v>
      </c>
      <c r="BL97" s="928">
        <f ca="1"/>
        <v>248</v>
      </c>
      <c r="BM97" s="200">
        <f ca="1"/>
        <v>0.9999692440032959</v>
      </c>
      <c r="BN97" s="851">
        <f ca="1"/>
        <v>0.9999692440032959</v>
      </c>
      <c r="BO97" s="851">
        <f ca="1"/>
        <v>0.9999692440032959</v>
      </c>
      <c r="BP97" s="933">
        <f ca="1"/>
        <v>1.0000000074505806</v>
      </c>
      <c r="BQ97" s="357">
        <f t="shared" ca="1" si="233"/>
        <v>744</v>
      </c>
      <c r="BR97" s="361">
        <f t="shared" ca="1" si="234"/>
        <v>744</v>
      </c>
      <c r="BS97" s="357">
        <f t="shared" ca="1" si="235"/>
        <v>452.33515514865286</v>
      </c>
      <c r="BT97" s="302">
        <f t="shared" ca="1" si="236"/>
        <v>24.842456116633784</v>
      </c>
      <c r="BU97" s="299">
        <f t="shared" ca="1" si="237"/>
        <v>25.979523301885965</v>
      </c>
      <c r="BV97" s="299">
        <f t="shared" ca="1" si="238"/>
        <v>27.116590487138147</v>
      </c>
      <c r="BW97" s="299">
        <f t="shared" ca="1" si="239"/>
        <v>32.659889647739881</v>
      </c>
      <c r="BX97" s="380">
        <f t="shared" ca="1" si="240"/>
        <v>6.7488021902806299</v>
      </c>
      <c r="BY97" s="363">
        <f t="shared" ca="1" si="241"/>
        <v>194.5527549026464</v>
      </c>
      <c r="BZ97" s="353">
        <f t="shared" ca="1" si="242"/>
        <v>48.6381887256616</v>
      </c>
      <c r="CA97" s="353">
        <f t="shared" ca="1" si="243"/>
        <v>58.36582647079392</v>
      </c>
      <c r="CB97" s="353">
        <f t="shared" ca="1" si="244"/>
        <v>301.55677009910193</v>
      </c>
      <c r="CC97" s="353">
        <f t="shared" ca="1" si="245"/>
        <v>150.77838504955096</v>
      </c>
      <c r="CD97" s="353">
        <f t="shared" ca="1" si="246"/>
        <v>452.33515514865292</v>
      </c>
      <c r="CE97" s="302">
        <f t="shared" ca="1" si="247"/>
        <v>31.899018883705139</v>
      </c>
      <c r="CF97" s="299">
        <f t="shared" ca="1" si="248"/>
        <v>26.841672830034891</v>
      </c>
      <c r="CG97" s="299">
        <f t="shared" ca="1" si="249"/>
        <v>25.849204194569207</v>
      </c>
      <c r="CH97" s="299">
        <f t="shared" ca="1" si="250"/>
        <v>29.912386031990074</v>
      </c>
      <c r="CI97" s="299">
        <f t="shared" ca="1" si="251"/>
        <v>21.524999397434286</v>
      </c>
      <c r="CJ97" s="299">
        <f t="shared" ca="1" si="252"/>
        <v>27.116590487138144</v>
      </c>
      <c r="CK97" s="299">
        <f t="shared" ca="1" si="253"/>
        <v>32.659889647739881</v>
      </c>
      <c r="CL97" s="377">
        <f t="shared" ca="1" si="254"/>
        <v>0.28893753987187498</v>
      </c>
      <c r="CM97" s="305">
        <f t="shared" ca="1" si="255"/>
        <v>0.28893753987187498</v>
      </c>
      <c r="CN97" s="305">
        <f t="shared" ca="1" si="256"/>
        <v>0.28893753987187498</v>
      </c>
      <c r="CO97" s="305">
        <f t="shared" ca="1" si="257"/>
        <v>0.28893753987187504</v>
      </c>
      <c r="CP97" s="305">
        <f t="shared" ca="1" si="258"/>
        <v>7.9725814277759988E-2</v>
      </c>
      <c r="CQ97" s="305">
        <f t="shared" ca="1" si="259"/>
        <v>0.23327241898056725</v>
      </c>
      <c r="CR97" s="775">
        <f t="shared" ca="1" si="260"/>
        <v>0.28893753987187498</v>
      </c>
      <c r="CS97" s="305">
        <f t="shared" ca="1" si="261"/>
        <v>0.306437539871875</v>
      </c>
      <c r="CT97" s="305">
        <f t="shared" ca="1" si="262"/>
        <v>0.313937539871875</v>
      </c>
      <c r="CU97" s="305">
        <f t="shared" ca="1" si="263"/>
        <v>0.13972581427775999</v>
      </c>
      <c r="CV97" s="770">
        <f t="shared" ca="1" si="264"/>
        <v>0.25077241898056724</v>
      </c>
      <c r="CW97" s="302">
        <f t="shared" ca="1" si="265"/>
        <v>9.0679473295535917</v>
      </c>
      <c r="CX97" s="299">
        <f t="shared" ca="1" si="266"/>
        <v>6.5584343295452676</v>
      </c>
      <c r="CY97" s="299">
        <f t="shared" ca="1" si="267"/>
        <v>6.2112850172556158</v>
      </c>
      <c r="CZ97" s="299">
        <f t="shared" ca="1" si="268"/>
        <v>0.59284735618373618</v>
      </c>
      <c r="DA97" s="774">
        <f t="shared" ca="1" si="269"/>
        <v>5.158201647215682</v>
      </c>
      <c r="DB97" s="303">
        <f t="shared" ca="1" si="270"/>
        <v>2333.2359423813427</v>
      </c>
      <c r="DC97" s="248">
        <f t="shared" ca="1" si="271"/>
        <v>233.42393100161601</v>
      </c>
      <c r="DD97" s="778">
        <f t="shared" ca="1" si="272"/>
        <v>0</v>
      </c>
      <c r="DE97" s="363">
        <f t="shared" ca="1" si="273"/>
        <v>0.60797735907077</v>
      </c>
      <c r="DF97" s="378">
        <f t="shared" ca="1" si="274"/>
        <v>-0.40671175345457911</v>
      </c>
      <c r="DG97" s="508">
        <f t="shared" ca="1" si="275"/>
        <v>-0.64448719684229894</v>
      </c>
      <c r="DH97" s="508">
        <f t="shared" ca="1" si="276"/>
        <v>-0.69453762539012631</v>
      </c>
      <c r="DI97" s="508">
        <f t="shared" ca="1" si="277"/>
        <v>-1.3301119176274949</v>
      </c>
      <c r="DJ97" s="508">
        <f t="shared" ca="1" si="278"/>
        <v>-0.61124606643571477</v>
      </c>
      <c r="DK97" s="353">
        <f t="shared" ca="1" si="279"/>
        <v>-122.36493201557394</v>
      </c>
      <c r="DL97" s="781">
        <f t="shared" ca="1" si="280"/>
        <v>7.0360971392417868</v>
      </c>
      <c r="DM97" s="303">
        <f t="shared" ca="1" si="281"/>
        <v>9658.1900348859308</v>
      </c>
      <c r="DN97" s="508">
        <f t="shared" ca="1" si="282"/>
        <v>1.2897181940695019</v>
      </c>
      <c r="DO97" s="508">
        <f t="shared" ca="1" si="283"/>
        <v>1.2232643311626048</v>
      </c>
      <c r="DP97" s="508">
        <f t="shared" ca="1" si="284"/>
        <v>1.2087601635709393</v>
      </c>
      <c r="DQ97" s="508">
        <f t="shared" ca="1" si="285"/>
        <v>1.1382851918698234</v>
      </c>
      <c r="DR97" s="508">
        <f t="shared" ca="1" si="286"/>
        <v>1.2271872426272219</v>
      </c>
      <c r="DS97" s="353">
        <f t="shared" ca="1" si="287"/>
        <v>5986.8416238702621</v>
      </c>
      <c r="DT97" s="353">
        <f t="shared" ca="1" si="288"/>
        <v>-10069.292500636324</v>
      </c>
      <c r="DU97" s="380">
        <f t="shared" ca="1" si="388"/>
        <v>6.7488021902806299</v>
      </c>
      <c r="DV97" s="303">
        <f t="shared" ca="1" si="289"/>
        <v>194.5527549026464</v>
      </c>
      <c r="DW97" s="303">
        <f t="shared" ca="1" si="290"/>
        <v>48.6381887256616</v>
      </c>
      <c r="DX97" s="303">
        <f t="shared" ca="1" si="291"/>
        <v>58.36582647079392</v>
      </c>
      <c r="DY97" s="303">
        <f t="shared" ca="1" si="292"/>
        <v>301.55677009910193</v>
      </c>
      <c r="DZ97" s="303">
        <f t="shared" ca="1" si="293"/>
        <v>150.77838504955096</v>
      </c>
      <c r="EA97" s="303">
        <f t="shared" ca="1" si="294"/>
        <v>452.33515514865292</v>
      </c>
      <c r="EB97" s="302">
        <f t="shared" ca="1" si="295"/>
        <v>31.899018883705139</v>
      </c>
      <c r="EC97" s="299">
        <f t="shared" ca="1" si="296"/>
        <v>26.841672830034891</v>
      </c>
      <c r="ED97" s="299">
        <f t="shared" ca="1" si="297"/>
        <v>25.849204194569207</v>
      </c>
      <c r="EE97" s="299">
        <f t="shared" ca="1" si="298"/>
        <v>29.912386031990074</v>
      </c>
      <c r="EF97" s="299">
        <f t="shared" ca="1" si="299"/>
        <v>21.524999397434286</v>
      </c>
      <c r="EG97" s="299">
        <f t="shared" ca="1" si="300"/>
        <v>27.116590487138144</v>
      </c>
      <c r="EH97" s="302">
        <f t="shared" ca="1" si="301"/>
        <v>30</v>
      </c>
      <c r="EI97" s="304">
        <f t="shared" ca="1" si="302"/>
        <v>9.6312513290624985E-2</v>
      </c>
      <c r="EJ97" s="305">
        <f t="shared" ca="1" si="303"/>
        <v>9.6312513290624985E-2</v>
      </c>
      <c r="EK97" s="305">
        <f t="shared" ca="1" si="304"/>
        <v>9.6312513290624985E-2</v>
      </c>
      <c r="EL97" s="305">
        <f t="shared" ca="1" si="305"/>
        <v>9.6312513290624957E-2</v>
      </c>
      <c r="EM97" s="305">
        <f t="shared" ca="1" si="306"/>
        <v>2.6575271425919995E-2</v>
      </c>
      <c r="EN97" s="305">
        <f t="shared" ca="1" si="307"/>
        <v>7.4959273100055276E-2</v>
      </c>
      <c r="EO97" s="305">
        <f t="shared" ca="1" si="308"/>
        <v>9.6312513290624985E-2</v>
      </c>
      <c r="EP97" s="305">
        <f t="shared" ca="1" si="309"/>
        <v>9.6312513290624985E-2</v>
      </c>
      <c r="EQ97" s="305">
        <f t="shared" ca="1" si="310"/>
        <v>9.6312513290624985E-2</v>
      </c>
      <c r="ER97" s="305">
        <f t="shared" ca="1" si="311"/>
        <v>2.6575271425919995E-2</v>
      </c>
      <c r="ES97" s="305">
        <f t="shared" ca="1" si="312"/>
        <v>7.4959273100055276E-2</v>
      </c>
      <c r="ET97" s="299">
        <f t="shared" ca="1" si="313"/>
        <v>3.9473179270526089</v>
      </c>
      <c r="EU97" s="302">
        <f t="shared" ca="1" si="314"/>
        <v>30</v>
      </c>
      <c r="EV97" s="304">
        <f t="shared" ca="1" si="315"/>
        <v>0.28893753987187498</v>
      </c>
      <c r="EW97" s="305">
        <f t="shared" ca="1" si="316"/>
        <v>0.28893753987187498</v>
      </c>
      <c r="EX97" s="305">
        <f t="shared" ca="1" si="317"/>
        <v>0.28893753987187498</v>
      </c>
      <c r="EY97" s="305">
        <f t="shared" ca="1" si="318"/>
        <v>0.28893753987187504</v>
      </c>
      <c r="EZ97" s="305">
        <f t="shared" ca="1" si="319"/>
        <v>7.9725814277759988E-2</v>
      </c>
      <c r="FA97" s="305">
        <f t="shared" ca="1" si="320"/>
        <v>0.23327241898056725</v>
      </c>
      <c r="FB97" s="305">
        <f t="shared" ca="1" si="321"/>
        <v>0.28893753987187498</v>
      </c>
      <c r="FC97" s="305">
        <f t="shared" ca="1" si="322"/>
        <v>0.28893753987187498</v>
      </c>
      <c r="FD97" s="305">
        <f t="shared" ca="1" si="323"/>
        <v>0.28893753987187498</v>
      </c>
      <c r="FE97" s="305">
        <f t="shared" ca="1" si="324"/>
        <v>7.9725814277759988E-2</v>
      </c>
      <c r="FF97" s="305">
        <f t="shared" ca="1" si="325"/>
        <v>0.23327241898056725</v>
      </c>
      <c r="FG97" s="299">
        <f t="shared" ca="1" si="326"/>
        <v>5.4497514434782293</v>
      </c>
      <c r="FH97" s="302">
        <f t="shared" ca="1" si="327"/>
        <v>-1.5024335164256204</v>
      </c>
      <c r="FI97" s="248">
        <f t="shared" ca="1" si="328"/>
        <v>-679.60349775291922</v>
      </c>
      <c r="FJ97" s="363">
        <f t="shared" ca="1" si="329"/>
        <v>0.60797735907077</v>
      </c>
      <c r="FK97" s="378">
        <f t="shared" ca="1" si="330"/>
        <v>0.12020776283990699</v>
      </c>
      <c r="FL97" s="508">
        <f t="shared" ca="1" si="331"/>
        <v>-0.569704848204731</v>
      </c>
      <c r="FM97" s="508">
        <f t="shared" ca="1" si="332"/>
        <v>-0.72028462937131765</v>
      </c>
      <c r="FN97" s="508">
        <f t="shared" ca="1" si="333"/>
        <v>-4.8431778724031984</v>
      </c>
      <c r="FO97" s="508">
        <f t="shared" ca="1" si="334"/>
        <v>-0.6162914100292699</v>
      </c>
      <c r="FP97" s="353">
        <f t="shared" ca="1" si="335"/>
        <v>330.72437585633548</v>
      </c>
      <c r="FQ97" s="356">
        <f t="shared" ca="1" si="336"/>
        <v>25.546700657378761</v>
      </c>
      <c r="FR97" s="380">
        <f t="shared" ca="1" si="337"/>
        <v>24.932000000000002</v>
      </c>
      <c r="FS97" s="299">
        <f t="shared" ca="1" si="338"/>
        <v>24.932000000000002</v>
      </c>
      <c r="FT97" s="299">
        <f t="shared" ca="1" si="339"/>
        <v>24.932000000000002</v>
      </c>
      <c r="FU97" s="299">
        <f t="shared" ca="1" si="340"/>
        <v>24.932000000000002</v>
      </c>
      <c r="FV97" s="299">
        <f t="shared" ca="1" si="341"/>
        <v>24.932000000000002</v>
      </c>
      <c r="FW97" s="850">
        <f t="shared" ca="1" si="342"/>
        <v>0.16500000000000001</v>
      </c>
      <c r="FX97" s="851">
        <f t="shared" ca="1" si="343"/>
        <v>0.5</v>
      </c>
      <c r="FY97" s="851">
        <f t="shared" ca="1" si="344"/>
        <v>0</v>
      </c>
      <c r="FZ97" s="201">
        <f t="shared" ca="1" si="345"/>
        <v>0</v>
      </c>
      <c r="GA97" s="201">
        <f t="shared" ca="1" si="346"/>
        <v>0</v>
      </c>
      <c r="GB97" s="201">
        <f t="shared" ca="1" si="347"/>
        <v>0</v>
      </c>
      <c r="GC97" s="201">
        <f t="shared" ca="1" si="348"/>
        <v>0</v>
      </c>
      <c r="GD97" s="850">
        <f t="shared" ca="1" si="349"/>
        <v>0.303937539871875</v>
      </c>
      <c r="GE97" s="866">
        <f t="shared" ca="1" si="350"/>
        <v>0.29143753987187498</v>
      </c>
      <c r="GF97" s="866">
        <f t="shared" ca="1" si="351"/>
        <v>0.28893753987187498</v>
      </c>
      <c r="GG97" s="866">
        <f t="shared" ca="1" si="352"/>
        <v>8.9725814277759983E-2</v>
      </c>
      <c r="GH97" s="866">
        <f t="shared" ca="1" si="353"/>
        <v>0.23827241898056725</v>
      </c>
      <c r="GI97" s="302">
        <f t="shared" ca="1" si="354"/>
        <v>11.561827938079643</v>
      </c>
      <c r="GJ97" s="299">
        <f t="shared" ca="1" si="355"/>
        <v>7.6660229698542368</v>
      </c>
      <c r="GK97" s="299">
        <f t="shared" ca="1" si="356"/>
        <v>6.9596962958334876</v>
      </c>
      <c r="GL97" s="299">
        <f t="shared" ca="1" si="357"/>
        <v>1.9817328471734206</v>
      </c>
      <c r="GM97" s="299">
        <f t="shared" ca="1" si="358"/>
        <v>6.7868586883563768</v>
      </c>
      <c r="GN97" s="302">
        <f t="shared" ca="1" si="359"/>
        <v>0.75873885505392968</v>
      </c>
      <c r="GO97" s="299">
        <f t="shared" ca="1" si="360"/>
        <v>0.67040343257425139</v>
      </c>
      <c r="GP97" s="299">
        <f t="shared" ca="1" si="361"/>
        <v>0.64858710822004528</v>
      </c>
      <c r="GQ97" s="299">
        <f t="shared" ca="1" si="362"/>
        <v>0.41703898578312593</v>
      </c>
      <c r="GR97" s="299">
        <f t="shared" ca="1" si="363"/>
        <v>0.66550207831418962</v>
      </c>
      <c r="GS97" s="302">
        <f t="shared" ca="1" si="364"/>
        <v>-0.50702698133043944</v>
      </c>
      <c r="GT97" s="299">
        <f t="shared" ca="1" si="365"/>
        <v>-0.41427610296793443</v>
      </c>
      <c r="GU97" s="299">
        <f t="shared" ca="1" si="366"/>
        <v>-0.39330048433169401</v>
      </c>
      <c r="GV97" s="299">
        <f t="shared" ca="1" si="367"/>
        <v>-0.28056436062601875</v>
      </c>
      <c r="GW97" s="299">
        <f t="shared" ca="1" si="368"/>
        <v>-0.45159999624381741</v>
      </c>
      <c r="GX97" s="303">
        <f t="shared" ca="1" si="369"/>
        <v>2249.3854770637786</v>
      </c>
      <c r="GY97" s="303">
        <f t="shared" ca="1" si="370"/>
        <v>372.86147198302717</v>
      </c>
      <c r="GZ97" s="303">
        <f t="shared" ca="1" si="371"/>
        <v>406.20842629204458</v>
      </c>
      <c r="HA97" s="303">
        <f t="shared" ca="1" si="372"/>
        <v>298.80247829645691</v>
      </c>
      <c r="HB97" s="303">
        <f t="shared" ca="1" si="373"/>
        <v>3069.9347777696648</v>
      </c>
      <c r="HC97" s="303">
        <f t="shared" ca="1" si="374"/>
        <v>1355.4527172835947</v>
      </c>
      <c r="HD97" s="303">
        <f t="shared" ca="1" si="375"/>
        <v>92.883027511505233</v>
      </c>
      <c r="HE97" s="303">
        <f t="shared" ca="1" si="376"/>
        <v>53.533380858510526</v>
      </c>
      <c r="HF97" s="303">
        <f t="shared" ca="1" si="377"/>
        <v>0</v>
      </c>
      <c r="HG97" s="852">
        <f t="shared" ca="1" si="378"/>
        <v>988.1670769359024</v>
      </c>
    </row>
    <row r="98" spans="1:215" x14ac:dyDescent="0.25">
      <c r="A98" s="244">
        <f t="shared" ca="1" si="379"/>
        <v>39083</v>
      </c>
      <c r="B98" s="13">
        <f t="shared" ca="1" si="401"/>
        <v>2007</v>
      </c>
      <c r="C98" s="619">
        <f t="shared" ca="1" si="402"/>
        <v>1</v>
      </c>
      <c r="D98" s="195">
        <f t="shared" ca="1" si="209"/>
        <v>39083</v>
      </c>
      <c r="E98" s="469">
        <f t="shared" ca="1" si="210"/>
        <v>39083</v>
      </c>
      <c r="F98" s="465">
        <f t="shared" ca="1" si="211"/>
        <v>39113</v>
      </c>
      <c r="G98" s="522">
        <f t="shared" ca="1" si="380"/>
        <v>1</v>
      </c>
      <c r="H98" s="519">
        <f t="shared" ca="1" si="381"/>
        <v>1</v>
      </c>
      <c r="I98" s="724">
        <f t="shared" ca="1" si="403"/>
        <v>7.3614727370522992E-2</v>
      </c>
      <c r="J98" s="198">
        <f t="shared" ca="1" si="213"/>
        <v>0.60415868903812819</v>
      </c>
      <c r="K98" s="200">
        <f t="shared" ca="1" si="389"/>
        <v>35.75</v>
      </c>
      <c r="L98" s="201">
        <f t="shared" ca="1" si="390"/>
        <v>36.950000000000003</v>
      </c>
      <c r="M98" s="206">
        <f t="shared" ca="1" si="391"/>
        <v>38.15</v>
      </c>
      <c r="N98" s="851">
        <f t="shared" ca="1" si="395"/>
        <v>28.548748779296872</v>
      </c>
      <c r="O98" s="201">
        <f t="shared" ca="1" si="396"/>
        <v>29.448748779296871</v>
      </c>
      <c r="P98" s="206">
        <f t="shared" ca="1" si="397"/>
        <v>30.348748779296869</v>
      </c>
      <c r="Q98" s="201">
        <f t="shared" ca="1" si="398"/>
        <v>24.652500534057612</v>
      </c>
      <c r="R98" s="201">
        <f t="shared" ca="1" si="399"/>
        <v>27.952500534057613</v>
      </c>
      <c r="S98" s="201">
        <f t="shared" ca="1" si="400"/>
        <v>31.252500534057614</v>
      </c>
      <c r="T98" s="851">
        <f t="shared" ca="1" si="392"/>
        <v>20.190000152587888</v>
      </c>
      <c r="U98" s="201">
        <f t="shared" ca="1" si="393"/>
        <v>20.79000015258789</v>
      </c>
      <c r="V98" s="206">
        <f t="shared" ca="1" si="394"/>
        <v>21.390000152587891</v>
      </c>
      <c r="W98" s="230">
        <f t="shared" ca="1" si="382"/>
        <v>0.10401550252343748</v>
      </c>
      <c r="X98" s="231">
        <f t="shared" ca="1" si="383"/>
        <v>0.20803100504687497</v>
      </c>
      <c r="Y98" s="232">
        <f t="shared" ca="1" si="384"/>
        <v>0.31204650757031244</v>
      </c>
      <c r="Z98" s="231">
        <f t="shared" ca="1" si="404"/>
        <v>0.10401550252343748</v>
      </c>
      <c r="AA98" s="231">
        <f t="shared" ca="1" si="405"/>
        <v>0.20803100504687497</v>
      </c>
      <c r="AB98" s="232">
        <f t="shared" ca="1" si="406"/>
        <v>0.31204650757031244</v>
      </c>
      <c r="AC98" s="231">
        <f t="shared" ca="1" si="407"/>
        <v>0.10401550252343748</v>
      </c>
      <c r="AD98" s="231">
        <f t="shared" ca="1" si="408"/>
        <v>0.20803100504687497</v>
      </c>
      <c r="AE98" s="232">
        <f t="shared" ca="1" si="214"/>
        <v>0.31204650757031244</v>
      </c>
      <c r="AF98" s="231">
        <f t="shared" ca="1" si="385"/>
        <v>3.0384393663635205E-2</v>
      </c>
      <c r="AG98" s="231">
        <f t="shared" ca="1" si="386"/>
        <v>6.076878732727041E-2</v>
      </c>
      <c r="AH98" s="232">
        <f t="shared" ca="1" si="387"/>
        <v>9.1153180990905608E-2</v>
      </c>
      <c r="AI98" s="233">
        <f t="shared" ca="1" si="215"/>
        <v>1.25</v>
      </c>
      <c r="AJ98" s="233">
        <f t="shared" ca="1" si="216"/>
        <v>2</v>
      </c>
      <c r="AK98" s="234">
        <f t="shared" ca="1" si="217"/>
        <v>2.75</v>
      </c>
      <c r="AL98" s="919">
        <f t="shared" ca="1" si="218"/>
        <v>1.25</v>
      </c>
      <c r="AM98" s="233">
        <f t="shared" ca="1" si="219"/>
        <v>2</v>
      </c>
      <c r="AN98" s="234">
        <f t="shared" ca="1" si="220"/>
        <v>2.75</v>
      </c>
      <c r="AO98" s="233">
        <f t="shared" ca="1" si="221"/>
        <v>1.25</v>
      </c>
      <c r="AP98" s="233">
        <f t="shared" ca="1" si="222"/>
        <v>2</v>
      </c>
      <c r="AQ98" s="233">
        <f t="shared" ca="1" si="223"/>
        <v>2.75</v>
      </c>
      <c r="AR98" s="919">
        <f t="shared" ca="1" si="224"/>
        <v>0.35</v>
      </c>
      <c r="AS98" s="233">
        <f t="shared" ca="1" si="225"/>
        <v>0.5</v>
      </c>
      <c r="AT98" s="235">
        <f t="shared" ca="1" si="226"/>
        <v>0.7</v>
      </c>
      <c r="AU98" s="946">
        <f t="shared" si="227"/>
        <v>0.5</v>
      </c>
      <c r="AV98" s="13">
        <f t="shared" ca="1" si="228"/>
        <v>22</v>
      </c>
      <c r="AW98" s="210">
        <f t="shared" ca="1" si="229"/>
        <v>4</v>
      </c>
      <c r="AX98" s="210">
        <f t="shared" ca="1" si="230"/>
        <v>4</v>
      </c>
      <c r="AY98" s="210">
        <f t="shared" ca="1" si="231"/>
        <v>1</v>
      </c>
      <c r="AZ98" s="13">
        <f t="shared" ca="1" si="232"/>
        <v>31</v>
      </c>
      <c r="BA98" s="357">
        <f ca="1"/>
        <v>352</v>
      </c>
      <c r="BB98" s="925">
        <f ca="1"/>
        <v>64</v>
      </c>
      <c r="BC98" s="925">
        <f ca="1"/>
        <v>80</v>
      </c>
      <c r="BD98" s="928">
        <f ca="1"/>
        <v>248</v>
      </c>
      <c r="BE98" s="200">
        <f ca="1"/>
        <v>0.99998503923416138</v>
      </c>
      <c r="BF98" s="851">
        <f ca="1"/>
        <v>0.99998503923416138</v>
      </c>
      <c r="BG98" s="851">
        <f ca="1"/>
        <v>0.99998503923416138</v>
      </c>
      <c r="BH98" s="933">
        <f ca="1"/>
        <v>1.0000070855021477</v>
      </c>
      <c r="BI98" s="357">
        <f ca="1"/>
        <v>352</v>
      </c>
      <c r="BJ98" s="925">
        <f ca="1"/>
        <v>64</v>
      </c>
      <c r="BK98" s="925">
        <f ca="1"/>
        <v>80</v>
      </c>
      <c r="BL98" s="928">
        <f ca="1"/>
        <v>248</v>
      </c>
      <c r="BM98" s="200">
        <f ca="1"/>
        <v>0.99998503923416138</v>
      </c>
      <c r="BN98" s="851">
        <f ca="1"/>
        <v>0.99998503923416138</v>
      </c>
      <c r="BO98" s="851">
        <f ca="1"/>
        <v>0.99998503923416138</v>
      </c>
      <c r="BP98" s="933">
        <f ca="1"/>
        <v>1.0000070855021477</v>
      </c>
      <c r="BQ98" s="357">
        <f t="shared" ca="1" si="233"/>
        <v>744</v>
      </c>
      <c r="BR98" s="361">
        <f t="shared" ca="1" si="234"/>
        <v>744</v>
      </c>
      <c r="BS98" s="357">
        <f t="shared" ca="1" si="235"/>
        <v>449.49406464436737</v>
      </c>
      <c r="BT98" s="302">
        <f t="shared" ca="1" si="236"/>
        <v>28.750309641649913</v>
      </c>
      <c r="BU98" s="299">
        <f t="shared" ca="1" si="237"/>
        <v>29.950296097984506</v>
      </c>
      <c r="BV98" s="299">
        <f t="shared" ca="1" si="238"/>
        <v>31.150282554319098</v>
      </c>
      <c r="BW98" s="299">
        <f t="shared" ca="1" si="239"/>
        <v>32.659889647739881</v>
      </c>
      <c r="BX98" s="380">
        <f t="shared" ca="1" si="240"/>
        <v>6.8336755646817249</v>
      </c>
      <c r="BY98" s="363">
        <f t="shared" ca="1" si="241"/>
        <v>212.66385854142112</v>
      </c>
      <c r="BZ98" s="353">
        <f t="shared" ca="1" si="242"/>
        <v>38.666156098440204</v>
      </c>
      <c r="CA98" s="353">
        <f t="shared" ca="1" si="243"/>
        <v>48.332695123050257</v>
      </c>
      <c r="CB98" s="353">
        <f t="shared" ca="1" si="244"/>
        <v>299.66270976291162</v>
      </c>
      <c r="CC98" s="353">
        <f t="shared" ca="1" si="245"/>
        <v>149.83135488145578</v>
      </c>
      <c r="CD98" s="353">
        <f t="shared" ca="1" si="246"/>
        <v>449.49406464436743</v>
      </c>
      <c r="CE98" s="302">
        <f t="shared" ca="1" si="247"/>
        <v>38.149429246783257</v>
      </c>
      <c r="CF98" s="299">
        <f t="shared" ca="1" si="248"/>
        <v>30.348294738772886</v>
      </c>
      <c r="CG98" s="299">
        <f t="shared" ca="1" si="249"/>
        <v>31.252032972715252</v>
      </c>
      <c r="CH98" s="299">
        <f t="shared" ca="1" si="250"/>
        <v>36.030347975738692</v>
      </c>
      <c r="CI98" s="299">
        <f t="shared" ca="1" si="251"/>
        <v>21.390151711479913</v>
      </c>
      <c r="CJ98" s="299">
        <f t="shared" ca="1" si="252"/>
        <v>31.150282554319098</v>
      </c>
      <c r="CK98" s="299">
        <f t="shared" ca="1" si="253"/>
        <v>32.659889647739881</v>
      </c>
      <c r="CL98" s="377">
        <f t="shared" ca="1" si="254"/>
        <v>0.31204650757031244</v>
      </c>
      <c r="CM98" s="305">
        <f t="shared" ca="1" si="255"/>
        <v>0.31204650757031244</v>
      </c>
      <c r="CN98" s="305">
        <f t="shared" ca="1" si="256"/>
        <v>0.31204650757031244</v>
      </c>
      <c r="CO98" s="305">
        <f t="shared" ca="1" si="257"/>
        <v>0.31204650757031244</v>
      </c>
      <c r="CP98" s="305">
        <f t="shared" ca="1" si="258"/>
        <v>9.1153180990905608E-2</v>
      </c>
      <c r="CQ98" s="305">
        <f t="shared" ca="1" si="259"/>
        <v>0.26245915935656128</v>
      </c>
      <c r="CR98" s="775">
        <f t="shared" ca="1" si="260"/>
        <v>0.32704650757031245</v>
      </c>
      <c r="CS98" s="305">
        <f t="shared" ca="1" si="261"/>
        <v>0.31204650757031244</v>
      </c>
      <c r="CT98" s="305">
        <f t="shared" ca="1" si="262"/>
        <v>0.31204650757031244</v>
      </c>
      <c r="CU98" s="305">
        <f t="shared" ca="1" si="263"/>
        <v>0.15115318099090561</v>
      </c>
      <c r="CV98" s="770">
        <f t="shared" ca="1" si="264"/>
        <v>0.26245915935656128</v>
      </c>
      <c r="CW98" s="302">
        <f t="shared" ca="1" si="265"/>
        <v>14.643452796072319</v>
      </c>
      <c r="CX98" s="299">
        <f t="shared" ca="1" si="266"/>
        <v>8.8574073188369908</v>
      </c>
      <c r="CY98" s="299">
        <f t="shared" ca="1" si="267"/>
        <v>9.4281523585310758</v>
      </c>
      <c r="CZ98" s="299">
        <f t="shared" ca="1" si="268"/>
        <v>0.74905028495254244</v>
      </c>
      <c r="DA98" s="774">
        <f t="shared" ca="1" si="269"/>
        <v>7.8293703033148123</v>
      </c>
      <c r="DB98" s="303">
        <f t="shared" ca="1" si="270"/>
        <v>3519.2554812428789</v>
      </c>
      <c r="DC98" s="248">
        <f t="shared" ca="1" si="271"/>
        <v>273.28638705336499</v>
      </c>
      <c r="DD98" s="778">
        <f t="shared" ca="1" si="272"/>
        <v>0</v>
      </c>
      <c r="DE98" s="363">
        <f t="shared" ca="1" si="273"/>
        <v>0.60415868903812819</v>
      </c>
      <c r="DF98" s="378">
        <f t="shared" ca="1" si="274"/>
        <v>-0.24574751612508475</v>
      </c>
      <c r="DG98" s="508">
        <f t="shared" ca="1" si="275"/>
        <v>-0.49785485089162762</v>
      </c>
      <c r="DH98" s="508">
        <f t="shared" ca="1" si="276"/>
        <v>-0.46188204730054266</v>
      </c>
      <c r="DI98" s="508">
        <f t="shared" ca="1" si="277"/>
        <v>-1.2686391895406233</v>
      </c>
      <c r="DJ98" s="508">
        <f t="shared" ca="1" si="278"/>
        <v>-0.41202688226576567</v>
      </c>
      <c r="DK98" s="353">
        <f t="shared" ca="1" si="279"/>
        <v>-152.89985590313972</v>
      </c>
      <c r="DL98" s="781">
        <f t="shared" ca="1" si="280"/>
        <v>7.3513370412772536</v>
      </c>
      <c r="DM98" s="303">
        <f t="shared" ca="1" si="281"/>
        <v>11260.378261799036</v>
      </c>
      <c r="DN98" s="508">
        <f t="shared" ca="1" si="282"/>
        <v>1.3663722724814582</v>
      </c>
      <c r="DO98" s="508">
        <f t="shared" ca="1" si="283"/>
        <v>1.2788504781041603</v>
      </c>
      <c r="DP98" s="508">
        <f t="shared" ca="1" si="284"/>
        <v>1.2900767884633071</v>
      </c>
      <c r="DQ98" s="508">
        <f t="shared" ca="1" si="285"/>
        <v>1.1450221296589862</v>
      </c>
      <c r="DR98" s="508">
        <f t="shared" ca="1" si="286"/>
        <v>1.2888291690249973</v>
      </c>
      <c r="DS98" s="353">
        <f t="shared" ca="1" si="287"/>
        <v>6363.9140297181948</v>
      </c>
      <c r="DT98" s="353">
        <f t="shared" ca="1" si="288"/>
        <v>-10869.057457878664</v>
      </c>
      <c r="DU98" s="380">
        <f t="shared" ca="1" si="388"/>
        <v>6.8336755646817249</v>
      </c>
      <c r="DV98" s="303">
        <f t="shared" ca="1" si="289"/>
        <v>212.66385854142112</v>
      </c>
      <c r="DW98" s="303">
        <f t="shared" ca="1" si="290"/>
        <v>38.666156098440204</v>
      </c>
      <c r="DX98" s="303">
        <f t="shared" ca="1" si="291"/>
        <v>48.332695123050257</v>
      </c>
      <c r="DY98" s="303">
        <f t="shared" ca="1" si="292"/>
        <v>299.66270976291162</v>
      </c>
      <c r="DZ98" s="303">
        <f t="shared" ca="1" si="293"/>
        <v>149.83135488145578</v>
      </c>
      <c r="EA98" s="303">
        <f t="shared" ca="1" si="294"/>
        <v>449.49406464436743</v>
      </c>
      <c r="EB98" s="302">
        <f t="shared" ca="1" si="295"/>
        <v>38.149429246783257</v>
      </c>
      <c r="EC98" s="299">
        <f t="shared" ca="1" si="296"/>
        <v>30.348294738772886</v>
      </c>
      <c r="ED98" s="299">
        <f t="shared" ca="1" si="297"/>
        <v>31.252032972715252</v>
      </c>
      <c r="EE98" s="299">
        <f t="shared" ca="1" si="298"/>
        <v>36.030347975738692</v>
      </c>
      <c r="EF98" s="299">
        <f t="shared" ca="1" si="299"/>
        <v>21.390151711479913</v>
      </c>
      <c r="EG98" s="299">
        <f t="shared" ca="1" si="300"/>
        <v>31.150282554319098</v>
      </c>
      <c r="EH98" s="302">
        <f t="shared" ca="1" si="301"/>
        <v>30</v>
      </c>
      <c r="EI98" s="304">
        <f t="shared" ca="1" si="302"/>
        <v>0.10401550252343748</v>
      </c>
      <c r="EJ98" s="305">
        <f t="shared" ca="1" si="303"/>
        <v>0.10401550252343748</v>
      </c>
      <c r="EK98" s="305">
        <f t="shared" ca="1" si="304"/>
        <v>0.10401550252343748</v>
      </c>
      <c r="EL98" s="305">
        <f t="shared" ca="1" si="305"/>
        <v>0.10401550252343754</v>
      </c>
      <c r="EM98" s="305">
        <f t="shared" ca="1" si="306"/>
        <v>3.0384393663635205E-2</v>
      </c>
      <c r="EN98" s="305">
        <f t="shared" ca="1" si="307"/>
        <v>8.4325263800584194E-2</v>
      </c>
      <c r="EO98" s="305">
        <f t="shared" ca="1" si="308"/>
        <v>0.10401550252343748</v>
      </c>
      <c r="EP98" s="305">
        <f t="shared" ca="1" si="309"/>
        <v>0.10401550252343748</v>
      </c>
      <c r="EQ98" s="305">
        <f t="shared" ca="1" si="310"/>
        <v>0.10401550252343748</v>
      </c>
      <c r="ER98" s="305">
        <f t="shared" ca="1" si="311"/>
        <v>3.0384393663635205E-2</v>
      </c>
      <c r="ES98" s="305">
        <f t="shared" ca="1" si="312"/>
        <v>8.4325263800584194E-2</v>
      </c>
      <c r="ET98" s="299">
        <f t="shared" ca="1" si="313"/>
        <v>2.1470826489473662</v>
      </c>
      <c r="EU98" s="302">
        <f t="shared" ca="1" si="314"/>
        <v>30</v>
      </c>
      <c r="EV98" s="304">
        <f t="shared" ca="1" si="315"/>
        <v>0.31204650757031244</v>
      </c>
      <c r="EW98" s="305">
        <f t="shared" ca="1" si="316"/>
        <v>0.31204650757031244</v>
      </c>
      <c r="EX98" s="305">
        <f t="shared" ca="1" si="317"/>
        <v>0.31204650757031244</v>
      </c>
      <c r="EY98" s="305">
        <f t="shared" ca="1" si="318"/>
        <v>0.31204650757031244</v>
      </c>
      <c r="EZ98" s="305">
        <f t="shared" ca="1" si="319"/>
        <v>9.1153180990905608E-2</v>
      </c>
      <c r="FA98" s="305">
        <f t="shared" ca="1" si="320"/>
        <v>0.26245915935656128</v>
      </c>
      <c r="FB98" s="305">
        <f t="shared" ca="1" si="321"/>
        <v>0.31204650757031244</v>
      </c>
      <c r="FC98" s="305">
        <f t="shared" ca="1" si="322"/>
        <v>0.31204650757031244</v>
      </c>
      <c r="FD98" s="305">
        <f t="shared" ca="1" si="323"/>
        <v>0.31204650757031244</v>
      </c>
      <c r="FE98" s="305">
        <f t="shared" ca="1" si="324"/>
        <v>9.1153180990905608E-2</v>
      </c>
      <c r="FF98" s="305">
        <f t="shared" ca="1" si="325"/>
        <v>0.26245915935656128</v>
      </c>
      <c r="FG98" s="299">
        <f t="shared" ca="1" si="326"/>
        <v>8.7945903490599271</v>
      </c>
      <c r="FH98" s="302">
        <f t="shared" ca="1" si="327"/>
        <v>-6.6475077001125609</v>
      </c>
      <c r="FI98" s="248">
        <f t="shared" ca="1" si="328"/>
        <v>-2988.0152558783257</v>
      </c>
      <c r="FJ98" s="363">
        <f t="shared" ca="1" si="329"/>
        <v>0.60415868903812819</v>
      </c>
      <c r="FK98" s="378">
        <f t="shared" ca="1" si="330"/>
        <v>0.74784247176981866</v>
      </c>
      <c r="FL98" s="508">
        <f t="shared" ca="1" si="331"/>
        <v>-9.3503674475461443E-2</v>
      </c>
      <c r="FM98" s="508">
        <f t="shared" ca="1" si="332"/>
        <v>1.4414736297793721E-2</v>
      </c>
      <c r="FN98" s="508">
        <f t="shared" ca="1" si="333"/>
        <v>-4.2984588106073103</v>
      </c>
      <c r="FO98" s="508">
        <f t="shared" ca="1" si="334"/>
        <v>6.0469170441762921E-2</v>
      </c>
      <c r="FP98" s="353">
        <f t="shared" ca="1" si="335"/>
        <v>213.9101415544956</v>
      </c>
      <c r="FQ98" s="356">
        <f t="shared" ca="1" si="336"/>
        <v>27.066622504279518</v>
      </c>
      <c r="FR98" s="380">
        <f t="shared" ca="1" si="337"/>
        <v>25.4</v>
      </c>
      <c r="FS98" s="299">
        <f t="shared" ca="1" si="338"/>
        <v>25.4</v>
      </c>
      <c r="FT98" s="299">
        <f t="shared" ca="1" si="339"/>
        <v>25.4</v>
      </c>
      <c r="FU98" s="299">
        <f t="shared" ca="1" si="340"/>
        <v>25.4</v>
      </c>
      <c r="FV98" s="299">
        <f t="shared" ca="1" si="341"/>
        <v>25.399999999999995</v>
      </c>
      <c r="FW98" s="850">
        <f t="shared" ca="1" si="342"/>
        <v>0.16500000000000001</v>
      </c>
      <c r="FX98" s="851">
        <f t="shared" ca="1" si="343"/>
        <v>0.5</v>
      </c>
      <c r="FY98" s="851">
        <f t="shared" ca="1" si="344"/>
        <v>0</v>
      </c>
      <c r="FZ98" s="201">
        <f t="shared" ca="1" si="345"/>
        <v>0</v>
      </c>
      <c r="GA98" s="201">
        <f t="shared" ca="1" si="346"/>
        <v>0</v>
      </c>
      <c r="GB98" s="201">
        <f t="shared" ca="1" si="347"/>
        <v>0</v>
      </c>
      <c r="GC98" s="201">
        <f t="shared" ca="1" si="348"/>
        <v>0</v>
      </c>
      <c r="GD98" s="850">
        <f t="shared" ca="1" si="349"/>
        <v>0.32704650757031245</v>
      </c>
      <c r="GE98" s="866">
        <f t="shared" ca="1" si="350"/>
        <v>0.32704650757031245</v>
      </c>
      <c r="GF98" s="866">
        <f t="shared" ca="1" si="351"/>
        <v>0.32704650757031245</v>
      </c>
      <c r="GG98" s="866">
        <f t="shared" ca="1" si="352"/>
        <v>0.10615318099090561</v>
      </c>
      <c r="GH98" s="866">
        <f t="shared" ca="1" si="353"/>
        <v>0.27745915935656129</v>
      </c>
      <c r="GI98" s="302">
        <f t="shared" ca="1" si="354"/>
        <v>16.818776392277524</v>
      </c>
      <c r="GJ98" s="299">
        <f t="shared" ca="1" si="355"/>
        <v>10.743751262911809</v>
      </c>
      <c r="GK98" s="299">
        <f t="shared" ca="1" si="356"/>
        <v>11.408729533381614</v>
      </c>
      <c r="GL98" s="299">
        <f t="shared" ca="1" si="357"/>
        <v>1.8582262354005441</v>
      </c>
      <c r="GM98" s="299">
        <f t="shared" ca="1" si="358"/>
        <v>10.235132792130505</v>
      </c>
      <c r="GN98" s="302">
        <f t="shared" ca="1" si="359"/>
        <v>0.82110347944650108</v>
      </c>
      <c r="GO98" s="299">
        <f t="shared" ca="1" si="360"/>
        <v>0.72926815334384987</v>
      </c>
      <c r="GP98" s="299">
        <f t="shared" ca="1" si="361"/>
        <v>0.74222923076373837</v>
      </c>
      <c r="GQ98" s="299">
        <f t="shared" ca="1" si="362"/>
        <v>0.39570497705363789</v>
      </c>
      <c r="GR98" s="299">
        <f t="shared" ca="1" si="363"/>
        <v>0.73855725408499384</v>
      </c>
      <c r="GS98" s="302">
        <f t="shared" ca="1" si="364"/>
        <v>-0.57109669622902637</v>
      </c>
      <c r="GT98" s="299">
        <f t="shared" ca="1" si="365"/>
        <v>-0.44835811348040899</v>
      </c>
      <c r="GU98" s="299">
        <f t="shared" ca="1" si="366"/>
        <v>-0.46407265063128939</v>
      </c>
      <c r="GV98" s="299">
        <f t="shared" ca="1" si="367"/>
        <v>-0.26007726717100033</v>
      </c>
      <c r="GW98" s="299">
        <f t="shared" ca="1" si="368"/>
        <v>-0.50280063407852482</v>
      </c>
      <c r="GX98" s="303">
        <f t="shared" ca="1" si="369"/>
        <v>3576.7458835271004</v>
      </c>
      <c r="GY98" s="303">
        <f t="shared" ca="1" si="370"/>
        <v>415.41956341456211</v>
      </c>
      <c r="GZ98" s="303">
        <f t="shared" ca="1" si="371"/>
        <v>551.41464627827293</v>
      </c>
      <c r="HA98" s="303">
        <f t="shared" ca="1" si="372"/>
        <v>278.42055452633053</v>
      </c>
      <c r="HB98" s="303">
        <f t="shared" ca="1" si="373"/>
        <v>4600.6314409095939</v>
      </c>
      <c r="HC98" s="303">
        <f t="shared" ca="1" si="374"/>
        <v>2711.3428178217719</v>
      </c>
      <c r="HD98" s="303">
        <f t="shared" ca="1" si="375"/>
        <v>191.33153679048286</v>
      </c>
      <c r="HE98" s="303">
        <f t="shared" ca="1" si="376"/>
        <v>282.84452552028381</v>
      </c>
      <c r="HF98" s="303">
        <f t="shared" ca="1" si="377"/>
        <v>0</v>
      </c>
      <c r="HG98" s="852">
        <f t="shared" ca="1" si="378"/>
        <v>2584.717878194489</v>
      </c>
    </row>
    <row r="99" spans="1:215" x14ac:dyDescent="0.25">
      <c r="A99" s="244">
        <f t="shared" ca="1" si="379"/>
        <v>39114</v>
      </c>
      <c r="B99" s="13">
        <f t="shared" ca="1" si="401"/>
        <v>2007</v>
      </c>
      <c r="C99" s="619">
        <f t="shared" ca="1" si="402"/>
        <v>2</v>
      </c>
      <c r="D99" s="195" t="str">
        <f t="shared" ca="1" si="209"/>
        <v/>
      </c>
      <c r="E99" s="469">
        <f t="shared" ca="1" si="210"/>
        <v>39114</v>
      </c>
      <c r="F99" s="465">
        <f t="shared" ca="1" si="211"/>
        <v>39141</v>
      </c>
      <c r="G99" s="522">
        <f t="shared" ca="1" si="380"/>
        <v>1</v>
      </c>
      <c r="H99" s="519">
        <f t="shared" ca="1" si="381"/>
        <v>1</v>
      </c>
      <c r="I99" s="724">
        <f t="shared" ca="1" si="403"/>
        <v>7.3639580686470002E-2</v>
      </c>
      <c r="J99" s="198">
        <f t="shared" ca="1" si="213"/>
        <v>0.60071826693255137</v>
      </c>
      <c r="K99" s="200">
        <f t="shared" ca="1" si="389"/>
        <v>35.75</v>
      </c>
      <c r="L99" s="201">
        <f t="shared" ca="1" si="390"/>
        <v>36.950000000000003</v>
      </c>
      <c r="M99" s="206">
        <f t="shared" ca="1" si="391"/>
        <v>38.15</v>
      </c>
      <c r="N99" s="851">
        <f t="shared" ca="1" si="395"/>
        <v>27.546250152587888</v>
      </c>
      <c r="O99" s="201">
        <f t="shared" ca="1" si="396"/>
        <v>28.446250152587886</v>
      </c>
      <c r="P99" s="206">
        <f t="shared" ca="1" si="397"/>
        <v>29.346250152587885</v>
      </c>
      <c r="Q99" s="201">
        <f t="shared" ca="1" si="398"/>
        <v>22.647499465942378</v>
      </c>
      <c r="R99" s="201">
        <f t="shared" ca="1" si="399"/>
        <v>25.947499465942379</v>
      </c>
      <c r="S99" s="201">
        <f t="shared" ca="1" si="400"/>
        <v>29.247499465942379</v>
      </c>
      <c r="T99" s="851">
        <f t="shared" ca="1" si="392"/>
        <v>19.999997711181638</v>
      </c>
      <c r="U99" s="201">
        <f t="shared" ca="1" si="393"/>
        <v>20.59999771118164</v>
      </c>
      <c r="V99" s="206">
        <f t="shared" ca="1" si="394"/>
        <v>21.199997711181641</v>
      </c>
      <c r="W99" s="230">
        <f t="shared" ca="1" si="382"/>
        <v>0.10034004307031248</v>
      </c>
      <c r="X99" s="231">
        <f t="shared" ca="1" si="383"/>
        <v>0.20068008614062496</v>
      </c>
      <c r="Y99" s="232">
        <f t="shared" ca="1" si="384"/>
        <v>0.30102012921093746</v>
      </c>
      <c r="Z99" s="231">
        <f t="shared" ca="1" si="404"/>
        <v>0.10034004307031248</v>
      </c>
      <c r="AA99" s="231">
        <f t="shared" ca="1" si="405"/>
        <v>0.20068008614062496</v>
      </c>
      <c r="AB99" s="232">
        <f t="shared" ca="1" si="406"/>
        <v>0.30102012921093746</v>
      </c>
      <c r="AC99" s="231">
        <f t="shared" ca="1" si="407"/>
        <v>0.10034004307031248</v>
      </c>
      <c r="AD99" s="231">
        <f t="shared" ca="1" si="408"/>
        <v>0.20068008614062496</v>
      </c>
      <c r="AE99" s="232">
        <f t="shared" ca="1" si="214"/>
        <v>0.30102012921093746</v>
      </c>
      <c r="AF99" s="231">
        <f t="shared" ca="1" si="385"/>
        <v>3.0384393663635205E-2</v>
      </c>
      <c r="AG99" s="231">
        <f t="shared" ca="1" si="386"/>
        <v>6.076878732727041E-2</v>
      </c>
      <c r="AH99" s="232">
        <f t="shared" ca="1" si="387"/>
        <v>9.1153180990905608E-2</v>
      </c>
      <c r="AI99" s="233">
        <f t="shared" ca="1" si="215"/>
        <v>1.25</v>
      </c>
      <c r="AJ99" s="233">
        <f t="shared" ca="1" si="216"/>
        <v>2</v>
      </c>
      <c r="AK99" s="234">
        <f t="shared" ca="1" si="217"/>
        <v>2.75</v>
      </c>
      <c r="AL99" s="919">
        <f t="shared" ca="1" si="218"/>
        <v>1.25</v>
      </c>
      <c r="AM99" s="233">
        <f t="shared" ca="1" si="219"/>
        <v>2</v>
      </c>
      <c r="AN99" s="234">
        <f t="shared" ca="1" si="220"/>
        <v>2.75</v>
      </c>
      <c r="AO99" s="233">
        <f t="shared" ca="1" si="221"/>
        <v>1.25</v>
      </c>
      <c r="AP99" s="233">
        <f t="shared" ca="1" si="222"/>
        <v>2</v>
      </c>
      <c r="AQ99" s="233">
        <f t="shared" ca="1" si="223"/>
        <v>2.75</v>
      </c>
      <c r="AR99" s="919">
        <f t="shared" ca="1" si="224"/>
        <v>0.35</v>
      </c>
      <c r="AS99" s="233">
        <f t="shared" ca="1" si="225"/>
        <v>0.5</v>
      </c>
      <c r="AT99" s="235">
        <f t="shared" ca="1" si="226"/>
        <v>0.7</v>
      </c>
      <c r="AU99" s="946">
        <f t="shared" si="227"/>
        <v>0.5</v>
      </c>
      <c r="AV99" s="13">
        <f t="shared" ca="1" si="228"/>
        <v>20</v>
      </c>
      <c r="AW99" s="210">
        <f t="shared" ca="1" si="229"/>
        <v>4</v>
      </c>
      <c r="AX99" s="210">
        <f t="shared" ca="1" si="230"/>
        <v>4</v>
      </c>
      <c r="AY99" s="210">
        <f t="shared" ca="1" si="231"/>
        <v>0</v>
      </c>
      <c r="AZ99" s="13">
        <f t="shared" ca="1" si="232"/>
        <v>28</v>
      </c>
      <c r="BA99" s="357">
        <f ca="1"/>
        <v>320</v>
      </c>
      <c r="BB99" s="925">
        <f ca="1"/>
        <v>64</v>
      </c>
      <c r="BC99" s="925">
        <f ca="1"/>
        <v>64</v>
      </c>
      <c r="BD99" s="928">
        <f ca="1"/>
        <v>224</v>
      </c>
      <c r="BE99" s="200">
        <f ca="1"/>
        <v>0.99998503923416138</v>
      </c>
      <c r="BF99" s="851">
        <f ca="1"/>
        <v>0.99998503923416138</v>
      </c>
      <c r="BG99" s="851">
        <f ca="1"/>
        <v>0.99998503923416138</v>
      </c>
      <c r="BH99" s="933">
        <f ca="1"/>
        <v>1.0000070855021477</v>
      </c>
      <c r="BI99" s="357">
        <f ca="1"/>
        <v>320</v>
      </c>
      <c r="BJ99" s="925">
        <f ca="1"/>
        <v>64</v>
      </c>
      <c r="BK99" s="925">
        <f ca="1"/>
        <v>64</v>
      </c>
      <c r="BL99" s="928">
        <f ca="1"/>
        <v>224</v>
      </c>
      <c r="BM99" s="200">
        <f ca="1"/>
        <v>0.99998503923416138</v>
      </c>
      <c r="BN99" s="851">
        <f ca="1"/>
        <v>0.99998503923416138</v>
      </c>
      <c r="BO99" s="851">
        <f ca="1"/>
        <v>0.99998503923416138</v>
      </c>
      <c r="BP99" s="933">
        <f ca="1"/>
        <v>1.0000070855021477</v>
      </c>
      <c r="BQ99" s="357">
        <f t="shared" ca="1" si="233"/>
        <v>672</v>
      </c>
      <c r="BR99" s="361">
        <f t="shared" ca="1" si="234"/>
        <v>672</v>
      </c>
      <c r="BS99" s="357">
        <f t="shared" ca="1" si="235"/>
        <v>403.6826753786745</v>
      </c>
      <c r="BT99" s="302">
        <f t="shared" ca="1" si="236"/>
        <v>28.470553563707746</v>
      </c>
      <c r="BU99" s="299">
        <f t="shared" ca="1" si="237"/>
        <v>29.641969018921362</v>
      </c>
      <c r="BV99" s="299">
        <f t="shared" ca="1" si="238"/>
        <v>30.813384474134978</v>
      </c>
      <c r="BW99" s="299">
        <f t="shared" ca="1" si="239"/>
        <v>32.659889647739881</v>
      </c>
      <c r="BX99" s="380">
        <f t="shared" ca="1" si="240"/>
        <v>6.9185489390828199</v>
      </c>
      <c r="BY99" s="363">
        <f t="shared" ca="1" si="241"/>
        <v>192.22984541841643</v>
      </c>
      <c r="BZ99" s="353">
        <f t="shared" ca="1" si="242"/>
        <v>38.445969083683288</v>
      </c>
      <c r="CA99" s="353">
        <f t="shared" ca="1" si="243"/>
        <v>38.445969083683288</v>
      </c>
      <c r="CB99" s="353">
        <f t="shared" ca="1" si="244"/>
        <v>269.12178358578302</v>
      </c>
      <c r="CC99" s="353">
        <f t="shared" ca="1" si="245"/>
        <v>134.56089179289151</v>
      </c>
      <c r="CD99" s="353">
        <f t="shared" ca="1" si="246"/>
        <v>403.6826753786745</v>
      </c>
      <c r="CE99" s="302">
        <f t="shared" ca="1" si="247"/>
        <v>38.149429246783257</v>
      </c>
      <c r="CF99" s="299">
        <f t="shared" ca="1" si="248"/>
        <v>29.345811110211109</v>
      </c>
      <c r="CG99" s="299">
        <f t="shared" ca="1" si="249"/>
        <v>29.247061900951504</v>
      </c>
      <c r="CH99" s="299">
        <f t="shared" ca="1" si="250"/>
        <v>35.62000274929698</v>
      </c>
      <c r="CI99" s="299">
        <f t="shared" ca="1" si="251"/>
        <v>21.200147923810956</v>
      </c>
      <c r="CJ99" s="299">
        <f t="shared" ca="1" si="252"/>
        <v>30.813384474134978</v>
      </c>
      <c r="CK99" s="299">
        <f t="shared" ca="1" si="253"/>
        <v>32.659889647739881</v>
      </c>
      <c r="CL99" s="377">
        <f t="shared" ca="1" si="254"/>
        <v>0.30102012921093746</v>
      </c>
      <c r="CM99" s="305">
        <f t="shared" ca="1" si="255"/>
        <v>0.30102012921093746</v>
      </c>
      <c r="CN99" s="305">
        <f t="shared" ca="1" si="256"/>
        <v>0.30102012921093746</v>
      </c>
      <c r="CO99" s="305">
        <f t="shared" ca="1" si="257"/>
        <v>0.30102012921093746</v>
      </c>
      <c r="CP99" s="305">
        <f t="shared" ca="1" si="258"/>
        <v>9.1153180990905608E-2</v>
      </c>
      <c r="CQ99" s="305">
        <f t="shared" ca="1" si="259"/>
        <v>0.25280917220099247</v>
      </c>
      <c r="CR99" s="775">
        <f t="shared" ca="1" si="260"/>
        <v>0.31602012921093747</v>
      </c>
      <c r="CS99" s="305">
        <f t="shared" ca="1" si="261"/>
        <v>0.31102012921093747</v>
      </c>
      <c r="CT99" s="305">
        <f t="shared" ca="1" si="262"/>
        <v>0.31102012921093747</v>
      </c>
      <c r="CU99" s="305">
        <f t="shared" ca="1" si="263"/>
        <v>0.15115318099090561</v>
      </c>
      <c r="CV99" s="770">
        <f t="shared" ca="1" si="264"/>
        <v>0.25280917220099247</v>
      </c>
      <c r="CW99" s="302">
        <f t="shared" ca="1" si="265"/>
        <v>14.343101542228775</v>
      </c>
      <c r="CX99" s="299">
        <f t="shared" ca="1" si="266"/>
        <v>8.265441817354036</v>
      </c>
      <c r="CY99" s="299">
        <f t="shared" ca="1" si="267"/>
        <v>8.2053232112148446</v>
      </c>
      <c r="CZ99" s="299">
        <f t="shared" ca="1" si="268"/>
        <v>0.72719972153701917</v>
      </c>
      <c r="DA99" s="774">
        <f t="shared" ca="1" si="269"/>
        <v>7.3738565499302275</v>
      </c>
      <c r="DB99" s="303">
        <f t="shared" ca="1" si="270"/>
        <v>2976.6981399343967</v>
      </c>
      <c r="DC99" s="248">
        <f t="shared" ca="1" si="271"/>
        <v>240.90059376701035</v>
      </c>
      <c r="DD99" s="778">
        <f t="shared" ca="1" si="272"/>
        <v>0</v>
      </c>
      <c r="DE99" s="363">
        <f t="shared" ca="1" si="273"/>
        <v>0.60071826693255137</v>
      </c>
      <c r="DF99" s="378">
        <f t="shared" ca="1" si="274"/>
        <v>-0.22870899094778047</v>
      </c>
      <c r="DG99" s="508">
        <f t="shared" ca="1" si="275"/>
        <v>-0.539831628609593</v>
      </c>
      <c r="DH99" s="508">
        <f t="shared" ca="1" si="276"/>
        <v>-0.54395187543958778</v>
      </c>
      <c r="DI99" s="508">
        <f t="shared" ca="1" si="277"/>
        <v>-1.2857142154119992</v>
      </c>
      <c r="DJ99" s="508">
        <f t="shared" ca="1" si="278"/>
        <v>-0.42000459958087932</v>
      </c>
      <c r="DK99" s="353">
        <f t="shared" ca="1" si="279"/>
        <v>-136.13838256950709</v>
      </c>
      <c r="DL99" s="781">
        <f t="shared" ca="1" si="280"/>
        <v>6.789373487757727</v>
      </c>
      <c r="DM99" s="303">
        <f t="shared" ca="1" si="281"/>
        <v>10025.221906251543</v>
      </c>
      <c r="DN99" s="508">
        <f t="shared" ca="1" si="282"/>
        <v>1.374097502935949</v>
      </c>
      <c r="DO99" s="508">
        <f t="shared" ca="1" si="283"/>
        <v>1.2743423883216951</v>
      </c>
      <c r="DP99" s="508">
        <f t="shared" ca="1" si="284"/>
        <v>1.2730607804594627</v>
      </c>
      <c r="DQ99" s="508">
        <f t="shared" ca="1" si="285"/>
        <v>1.1507167534606897</v>
      </c>
      <c r="DR99" s="508">
        <f t="shared" ca="1" si="286"/>
        <v>1.2928969155039101</v>
      </c>
      <c r="DS99" s="353">
        <f t="shared" ca="1" si="287"/>
        <v>5658.7141829123975</v>
      </c>
      <c r="DT99" s="353">
        <f t="shared" ca="1" si="288"/>
        <v>-9783.772866230127</v>
      </c>
      <c r="DU99" s="380">
        <f t="shared" ca="1" si="388"/>
        <v>6.9185489390828199</v>
      </c>
      <c r="DV99" s="303">
        <f t="shared" ca="1" si="289"/>
        <v>192.22984541841643</v>
      </c>
      <c r="DW99" s="303">
        <f t="shared" ca="1" si="290"/>
        <v>38.445969083683288</v>
      </c>
      <c r="DX99" s="303">
        <f t="shared" ca="1" si="291"/>
        <v>38.445969083683288</v>
      </c>
      <c r="DY99" s="303">
        <f t="shared" ca="1" si="292"/>
        <v>269.12178358578302</v>
      </c>
      <c r="DZ99" s="303">
        <f t="shared" ca="1" si="293"/>
        <v>134.56089179289151</v>
      </c>
      <c r="EA99" s="303">
        <f t="shared" ca="1" si="294"/>
        <v>403.6826753786745</v>
      </c>
      <c r="EB99" s="302">
        <f t="shared" ca="1" si="295"/>
        <v>38.149429246783257</v>
      </c>
      <c r="EC99" s="299">
        <f t="shared" ca="1" si="296"/>
        <v>29.345811110211109</v>
      </c>
      <c r="ED99" s="299">
        <f t="shared" ca="1" si="297"/>
        <v>29.247061900951504</v>
      </c>
      <c r="EE99" s="299">
        <f t="shared" ca="1" si="298"/>
        <v>35.62000274929698</v>
      </c>
      <c r="EF99" s="299">
        <f t="shared" ca="1" si="299"/>
        <v>21.200147923810956</v>
      </c>
      <c r="EG99" s="299">
        <f t="shared" ca="1" si="300"/>
        <v>30.813384474134978</v>
      </c>
      <c r="EH99" s="302">
        <f t="shared" ca="1" si="301"/>
        <v>30</v>
      </c>
      <c r="EI99" s="304">
        <f t="shared" ca="1" si="302"/>
        <v>0.10034004307031248</v>
      </c>
      <c r="EJ99" s="305">
        <f t="shared" ca="1" si="303"/>
        <v>0.10034004307031248</v>
      </c>
      <c r="EK99" s="305">
        <f t="shared" ca="1" si="304"/>
        <v>0.10034004307031248</v>
      </c>
      <c r="EL99" s="305">
        <f t="shared" ca="1" si="305"/>
        <v>0.10034004307031247</v>
      </c>
      <c r="EM99" s="305">
        <f t="shared" ca="1" si="306"/>
        <v>3.0384393663635205E-2</v>
      </c>
      <c r="EN99" s="305">
        <f t="shared" ca="1" si="307"/>
        <v>8.1417923292945255E-2</v>
      </c>
      <c r="EO99" s="305">
        <f t="shared" ca="1" si="308"/>
        <v>0.10034004307031248</v>
      </c>
      <c r="EP99" s="305">
        <f t="shared" ca="1" si="309"/>
        <v>0.10034004307031248</v>
      </c>
      <c r="EQ99" s="305">
        <f t="shared" ca="1" si="310"/>
        <v>0.10034004307031248</v>
      </c>
      <c r="ER99" s="305">
        <f t="shared" ca="1" si="311"/>
        <v>3.0384393663635205E-2</v>
      </c>
      <c r="ES99" s="305">
        <f t="shared" ca="1" si="312"/>
        <v>8.1417923292945255E-2</v>
      </c>
      <c r="ET99" s="299">
        <f t="shared" ca="1" si="313"/>
        <v>2.2062810873939274</v>
      </c>
      <c r="EU99" s="302">
        <f t="shared" ca="1" si="314"/>
        <v>30</v>
      </c>
      <c r="EV99" s="304">
        <f t="shared" ca="1" si="315"/>
        <v>0.30102012921093746</v>
      </c>
      <c r="EW99" s="305">
        <f t="shared" ca="1" si="316"/>
        <v>0.30102012921093746</v>
      </c>
      <c r="EX99" s="305">
        <f t="shared" ca="1" si="317"/>
        <v>0.30102012921093746</v>
      </c>
      <c r="EY99" s="305">
        <f t="shared" ca="1" si="318"/>
        <v>0.30102012921093746</v>
      </c>
      <c r="EZ99" s="305">
        <f t="shared" ca="1" si="319"/>
        <v>9.1153180990905608E-2</v>
      </c>
      <c r="FA99" s="305">
        <f t="shared" ca="1" si="320"/>
        <v>0.25280917220099247</v>
      </c>
      <c r="FB99" s="305">
        <f t="shared" ca="1" si="321"/>
        <v>0.30102012921093746</v>
      </c>
      <c r="FC99" s="305">
        <f t="shared" ca="1" si="322"/>
        <v>0.30102012921093746</v>
      </c>
      <c r="FD99" s="305">
        <f t="shared" ca="1" si="323"/>
        <v>0.30102012921093746</v>
      </c>
      <c r="FE99" s="305">
        <f t="shared" ca="1" si="324"/>
        <v>9.1153180990905608E-2</v>
      </c>
      <c r="FF99" s="305">
        <f t="shared" ca="1" si="325"/>
        <v>0.25280917220099247</v>
      </c>
      <c r="FG99" s="299">
        <f t="shared" ca="1" si="326"/>
        <v>8.3330759664498029</v>
      </c>
      <c r="FH99" s="302">
        <f t="shared" ca="1" si="327"/>
        <v>-6.1267948790558755</v>
      </c>
      <c r="FI99" s="248">
        <f t="shared" ca="1" si="328"/>
        <v>-2473.2809482736384</v>
      </c>
      <c r="FJ99" s="363">
        <f t="shared" ca="1" si="329"/>
        <v>0.60071826693255137</v>
      </c>
      <c r="FK99" s="378">
        <f t="shared" ca="1" si="330"/>
        <v>0.77857123480847168</v>
      </c>
      <c r="FL99" s="508">
        <f t="shared" ca="1" si="331"/>
        <v>-0.21549988625829125</v>
      </c>
      <c r="FM99" s="508">
        <f t="shared" ca="1" si="332"/>
        <v>-0.22827125511795901</v>
      </c>
      <c r="FN99" s="508">
        <f t="shared" ca="1" si="333"/>
        <v>-4.3841436464204051</v>
      </c>
      <c r="FO99" s="508">
        <f t="shared" ca="1" si="334"/>
        <v>1.7840683618776807E-2</v>
      </c>
      <c r="FP99" s="353">
        <f t="shared" ca="1" si="335"/>
        <v>198.96830297566396</v>
      </c>
      <c r="FQ99" s="356">
        <f t="shared" ca="1" si="336"/>
        <v>25.062965758457764</v>
      </c>
      <c r="FR99" s="380">
        <f t="shared" ca="1" si="337"/>
        <v>24.456</v>
      </c>
      <c r="FS99" s="299">
        <f t="shared" ca="1" si="338"/>
        <v>24.456</v>
      </c>
      <c r="FT99" s="299">
        <f t="shared" ca="1" si="339"/>
        <v>24.456</v>
      </c>
      <c r="FU99" s="299">
        <f t="shared" ca="1" si="340"/>
        <v>24.456</v>
      </c>
      <c r="FV99" s="299">
        <f t="shared" ca="1" si="341"/>
        <v>24.456000000000003</v>
      </c>
      <c r="FW99" s="850">
        <f t="shared" ca="1" si="342"/>
        <v>0.16500000000000001</v>
      </c>
      <c r="FX99" s="851">
        <f t="shared" ca="1" si="343"/>
        <v>0.5</v>
      </c>
      <c r="FY99" s="851">
        <f t="shared" ca="1" si="344"/>
        <v>0</v>
      </c>
      <c r="FZ99" s="201">
        <f t="shared" ca="1" si="345"/>
        <v>0</v>
      </c>
      <c r="GA99" s="201">
        <f t="shared" ca="1" si="346"/>
        <v>0</v>
      </c>
      <c r="GB99" s="201">
        <f t="shared" ca="1" si="347"/>
        <v>0</v>
      </c>
      <c r="GC99" s="201">
        <f t="shared" ca="1" si="348"/>
        <v>0</v>
      </c>
      <c r="GD99" s="850">
        <f t="shared" ca="1" si="349"/>
        <v>0.31602012921093747</v>
      </c>
      <c r="GE99" s="866">
        <f t="shared" ca="1" si="350"/>
        <v>0.31602012921093747</v>
      </c>
      <c r="GF99" s="866">
        <f t="shared" ca="1" si="351"/>
        <v>0.31602012921093747</v>
      </c>
      <c r="GG99" s="866">
        <f t="shared" ca="1" si="352"/>
        <v>0.1011531809909056</v>
      </c>
      <c r="GH99" s="866">
        <f t="shared" ca="1" si="353"/>
        <v>0.26780917220099248</v>
      </c>
      <c r="GI99" s="302">
        <f t="shared" ca="1" si="354"/>
        <v>17.174942957721314</v>
      </c>
      <c r="GJ99" s="299">
        <f t="shared" ca="1" si="355"/>
        <v>10.239218190224262</v>
      </c>
      <c r="GK99" s="299">
        <f t="shared" ca="1" si="356"/>
        <v>10.167195786379899</v>
      </c>
      <c r="GL99" s="299">
        <f t="shared" ca="1" si="357"/>
        <v>2.0410399228059646</v>
      </c>
      <c r="GM99" s="299">
        <f t="shared" ca="1" si="358"/>
        <v>10.307123567847261</v>
      </c>
      <c r="GN99" s="302">
        <f t="shared" ca="1" si="359"/>
        <v>0.83584226671805606</v>
      </c>
      <c r="GO99" s="299">
        <f t="shared" ca="1" si="360"/>
        <v>0.7301194633037511</v>
      </c>
      <c r="GP99" s="299">
        <f t="shared" ca="1" si="361"/>
        <v>0.72856988474826434</v>
      </c>
      <c r="GQ99" s="299">
        <f t="shared" ca="1" si="362"/>
        <v>0.42567703813386287</v>
      </c>
      <c r="GR99" s="299">
        <f t="shared" ca="1" si="363"/>
        <v>0.75275153801729389</v>
      </c>
      <c r="GS99" s="302">
        <f t="shared" ca="1" si="364"/>
        <v>-0.60156874733818178</v>
      </c>
      <c r="GT99" s="299">
        <f t="shared" ca="1" si="365"/>
        <v>-0.45742283835200442</v>
      </c>
      <c r="GU99" s="299">
        <f t="shared" ca="1" si="366"/>
        <v>-0.45556657146788926</v>
      </c>
      <c r="GV99" s="299">
        <f t="shared" ca="1" si="367"/>
        <v>-0.2855485698512365</v>
      </c>
      <c r="GW99" s="299">
        <f t="shared" ca="1" si="368"/>
        <v>-0.52697501802117719</v>
      </c>
      <c r="GX99" s="303">
        <f t="shared" ca="1" si="369"/>
        <v>3301.5366298328881</v>
      </c>
      <c r="GY99" s="303">
        <f t="shared" ca="1" si="370"/>
        <v>393.65666598244951</v>
      </c>
      <c r="GZ99" s="303">
        <f t="shared" ca="1" si="371"/>
        <v>390.88769487091662</v>
      </c>
      <c r="HA99" s="303">
        <f t="shared" ca="1" si="372"/>
        <v>274.64415219766505</v>
      </c>
      <c r="HB99" s="303">
        <f t="shared" ca="1" si="373"/>
        <v>4160.8072173271712</v>
      </c>
      <c r="HC99" s="303">
        <f t="shared" ca="1" si="374"/>
        <v>2632.2857873571679</v>
      </c>
      <c r="HD99" s="303">
        <f t="shared" ca="1" si="375"/>
        <v>187.99352676822735</v>
      </c>
      <c r="HE99" s="303">
        <f t="shared" ca="1" si="376"/>
        <v>184.19701772199443</v>
      </c>
      <c r="HF99" s="303">
        <f t="shared" ca="1" si="377"/>
        <v>0</v>
      </c>
      <c r="HG99" s="852">
        <f t="shared" ca="1" si="378"/>
        <v>2566.3659729296542</v>
      </c>
    </row>
    <row r="100" spans="1:215" x14ac:dyDescent="0.25">
      <c r="A100" s="244">
        <f t="shared" ca="1" si="379"/>
        <v>39142</v>
      </c>
      <c r="B100" s="13">
        <f t="shared" ca="1" si="401"/>
        <v>2007</v>
      </c>
      <c r="C100" s="619">
        <f t="shared" ca="1" si="402"/>
        <v>3</v>
      </c>
      <c r="D100" s="195" t="str">
        <f t="shared" ca="1" si="209"/>
        <v/>
      </c>
      <c r="E100" s="469">
        <f t="shared" ca="1" si="210"/>
        <v>39142</v>
      </c>
      <c r="F100" s="465">
        <f t="shared" ca="1" si="211"/>
        <v>39172</v>
      </c>
      <c r="G100" s="522">
        <f t="shared" ca="1" si="380"/>
        <v>1</v>
      </c>
      <c r="H100" s="519">
        <f t="shared" ca="1" si="381"/>
        <v>1</v>
      </c>
      <c r="I100" s="724">
        <f t="shared" ca="1" si="403"/>
        <v>7.3662028842984992E-2</v>
      </c>
      <c r="J100" s="198">
        <f t="shared" ca="1" si="213"/>
        <v>0.5969503290230761</v>
      </c>
      <c r="K100" s="200">
        <f t="shared" ca="1" si="389"/>
        <v>32.5</v>
      </c>
      <c r="L100" s="201">
        <f t="shared" ca="1" si="390"/>
        <v>33.200000000000003</v>
      </c>
      <c r="M100" s="206">
        <f t="shared" ca="1" si="391"/>
        <v>33.9</v>
      </c>
      <c r="N100" s="851">
        <f t="shared" ca="1" si="395"/>
        <v>21.109749603271482</v>
      </c>
      <c r="O100" s="201">
        <f t="shared" ca="1" si="396"/>
        <v>21.63474960327148</v>
      </c>
      <c r="P100" s="206">
        <f t="shared" ca="1" si="397"/>
        <v>22.159749603271479</v>
      </c>
      <c r="Q100" s="201">
        <f t="shared" ca="1" si="398"/>
        <v>17.964498901367183</v>
      </c>
      <c r="R100" s="201">
        <f t="shared" ca="1" si="399"/>
        <v>21.264498901367183</v>
      </c>
      <c r="S100" s="201">
        <f t="shared" ca="1" si="400"/>
        <v>24.564498901367184</v>
      </c>
      <c r="T100" s="851">
        <f t="shared" ca="1" si="392"/>
        <v>19.249999618530271</v>
      </c>
      <c r="U100" s="201">
        <f t="shared" ca="1" si="393"/>
        <v>19.599999618530273</v>
      </c>
      <c r="V100" s="206">
        <f t="shared" ca="1" si="394"/>
        <v>19.949999618530274</v>
      </c>
      <c r="W100" s="230">
        <f t="shared" ca="1" si="382"/>
        <v>9.766614631816406E-2</v>
      </c>
      <c r="X100" s="231">
        <f t="shared" ca="1" si="383"/>
        <v>0.19533229263632812</v>
      </c>
      <c r="Y100" s="232">
        <f t="shared" ca="1" si="384"/>
        <v>0.29299843895449218</v>
      </c>
      <c r="Z100" s="231">
        <f t="shared" ca="1" si="404"/>
        <v>9.766614631816406E-2</v>
      </c>
      <c r="AA100" s="231">
        <f t="shared" ca="1" si="405"/>
        <v>0.19533229263632812</v>
      </c>
      <c r="AB100" s="232">
        <f t="shared" ca="1" si="406"/>
        <v>0.29299843895449218</v>
      </c>
      <c r="AC100" s="231">
        <f t="shared" ca="1" si="407"/>
        <v>9.766614631816406E-2</v>
      </c>
      <c r="AD100" s="231">
        <f t="shared" ca="1" si="408"/>
        <v>0.19533229263632812</v>
      </c>
      <c r="AE100" s="232">
        <f t="shared" ca="1" si="214"/>
        <v>0.29299843895449218</v>
      </c>
      <c r="AF100" s="231">
        <f t="shared" ca="1" si="385"/>
        <v>2.6043765997401595E-2</v>
      </c>
      <c r="AG100" s="231">
        <f t="shared" ca="1" si="386"/>
        <v>5.2087531994803191E-2</v>
      </c>
      <c r="AH100" s="232">
        <f t="shared" ca="1" si="387"/>
        <v>7.8131297992204779E-2</v>
      </c>
      <c r="AI100" s="233">
        <f t="shared" ca="1" si="215"/>
        <v>1.05</v>
      </c>
      <c r="AJ100" s="233">
        <f t="shared" ca="1" si="216"/>
        <v>1.3</v>
      </c>
      <c r="AK100" s="234">
        <f t="shared" ca="1" si="217"/>
        <v>1.6</v>
      </c>
      <c r="AL100" s="919">
        <f t="shared" ca="1" si="218"/>
        <v>1.05</v>
      </c>
      <c r="AM100" s="233">
        <f t="shared" ca="1" si="219"/>
        <v>1.3</v>
      </c>
      <c r="AN100" s="234">
        <f t="shared" ca="1" si="220"/>
        <v>1.6</v>
      </c>
      <c r="AO100" s="233">
        <f t="shared" ca="1" si="221"/>
        <v>1.05</v>
      </c>
      <c r="AP100" s="233">
        <f t="shared" ca="1" si="222"/>
        <v>1.3</v>
      </c>
      <c r="AQ100" s="233">
        <f t="shared" ca="1" si="223"/>
        <v>1.6</v>
      </c>
      <c r="AR100" s="919">
        <f t="shared" ca="1" si="224"/>
        <v>0.19999999999999998</v>
      </c>
      <c r="AS100" s="233">
        <f t="shared" ca="1" si="225"/>
        <v>0.35</v>
      </c>
      <c r="AT100" s="235">
        <f t="shared" ca="1" si="226"/>
        <v>0.55000000000000004</v>
      </c>
      <c r="AU100" s="946">
        <f t="shared" si="227"/>
        <v>0.5</v>
      </c>
      <c r="AV100" s="13">
        <f t="shared" ca="1" si="228"/>
        <v>22</v>
      </c>
      <c r="AW100" s="210">
        <f t="shared" ca="1" si="229"/>
        <v>5</v>
      </c>
      <c r="AX100" s="210">
        <f t="shared" ca="1" si="230"/>
        <v>4</v>
      </c>
      <c r="AY100" s="210">
        <f t="shared" ca="1" si="231"/>
        <v>0</v>
      </c>
      <c r="AZ100" s="13">
        <f t="shared" ca="1" si="232"/>
        <v>31</v>
      </c>
      <c r="BA100" s="357">
        <f ca="1"/>
        <v>352</v>
      </c>
      <c r="BB100" s="925">
        <f ca="1"/>
        <v>80</v>
      </c>
      <c r="BC100" s="925">
        <f ca="1"/>
        <v>64</v>
      </c>
      <c r="BD100" s="928">
        <f ca="1"/>
        <v>248</v>
      </c>
      <c r="BE100" s="200">
        <f ca="1"/>
        <v>0.99999375641345978</v>
      </c>
      <c r="BF100" s="851">
        <f ca="1"/>
        <v>0.99999375641345978</v>
      </c>
      <c r="BG100" s="851">
        <f ca="1"/>
        <v>0.99999375641345978</v>
      </c>
      <c r="BH100" s="933">
        <f ca="1"/>
        <v>0.99999988824129105</v>
      </c>
      <c r="BI100" s="357">
        <f ca="1"/>
        <v>352</v>
      </c>
      <c r="BJ100" s="925">
        <f ca="1"/>
        <v>80</v>
      </c>
      <c r="BK100" s="925">
        <f ca="1"/>
        <v>64</v>
      </c>
      <c r="BL100" s="928">
        <f ca="1"/>
        <v>248</v>
      </c>
      <c r="BM100" s="200">
        <f ca="1"/>
        <v>0.99999375641345978</v>
      </c>
      <c r="BN100" s="851">
        <f ca="1"/>
        <v>0.99999375641345978</v>
      </c>
      <c r="BO100" s="851">
        <f ca="1"/>
        <v>0.99999375641345978</v>
      </c>
      <c r="BP100" s="933">
        <f ca="1"/>
        <v>0.99999988824129105</v>
      </c>
      <c r="BQ100" s="357">
        <f t="shared" ca="1" si="233"/>
        <v>744</v>
      </c>
      <c r="BR100" s="361">
        <f t="shared" ca="1" si="234"/>
        <v>744</v>
      </c>
      <c r="BS100" s="357">
        <f t="shared" ca="1" si="235"/>
        <v>444.1310447931686</v>
      </c>
      <c r="BT100" s="302">
        <f t="shared" ca="1" si="236"/>
        <v>25.608088871920611</v>
      </c>
      <c r="BU100" s="299">
        <f t="shared" ca="1" si="237"/>
        <v>26.396256709290917</v>
      </c>
      <c r="BV100" s="299">
        <f t="shared" ca="1" si="238"/>
        <v>27.184424546661223</v>
      </c>
      <c r="BW100" s="299">
        <f t="shared" ca="1" si="239"/>
        <v>32.659889647739881</v>
      </c>
      <c r="BX100" s="380">
        <f t="shared" ca="1" si="240"/>
        <v>6.9952087611225187</v>
      </c>
      <c r="BY100" s="363">
        <f t="shared" ca="1" si="241"/>
        <v>210.12651581612278</v>
      </c>
      <c r="BZ100" s="353">
        <f t="shared" ca="1" si="242"/>
        <v>47.756026321846086</v>
      </c>
      <c r="CA100" s="353">
        <f t="shared" ca="1" si="243"/>
        <v>38.20482105747687</v>
      </c>
      <c r="CB100" s="353">
        <f t="shared" ca="1" si="244"/>
        <v>296.08736319544573</v>
      </c>
      <c r="CC100" s="353">
        <f t="shared" ca="1" si="245"/>
        <v>148.04368159772287</v>
      </c>
      <c r="CD100" s="353">
        <f t="shared" ca="1" si="246"/>
        <v>444.1310447931686</v>
      </c>
      <c r="CE100" s="302">
        <f t="shared" ca="1" si="247"/>
        <v>33.899788342416286</v>
      </c>
      <c r="CF100" s="299">
        <f t="shared" ca="1" si="248"/>
        <v>22.15961124695712</v>
      </c>
      <c r="CG100" s="299">
        <f t="shared" ca="1" si="249"/>
        <v>24.564345530792476</v>
      </c>
      <c r="CH100" s="299">
        <f t="shared" ca="1" si="250"/>
        <v>30.801638125519801</v>
      </c>
      <c r="CI100" s="299">
        <f t="shared" ca="1" si="251"/>
        <v>19.949997388944073</v>
      </c>
      <c r="CJ100" s="299">
        <f t="shared" ca="1" si="252"/>
        <v>27.184424546661223</v>
      </c>
      <c r="CK100" s="299">
        <f t="shared" ca="1" si="253"/>
        <v>32.659889647739881</v>
      </c>
      <c r="CL100" s="377">
        <f t="shared" ca="1" si="254"/>
        <v>0.29299843895449218</v>
      </c>
      <c r="CM100" s="305">
        <f t="shared" ca="1" si="255"/>
        <v>0.29299843895449218</v>
      </c>
      <c r="CN100" s="305">
        <f t="shared" ca="1" si="256"/>
        <v>0.29299843895449218</v>
      </c>
      <c r="CO100" s="305">
        <f t="shared" ca="1" si="257"/>
        <v>0.29299843895449218</v>
      </c>
      <c r="CP100" s="305">
        <f t="shared" ca="1" si="258"/>
        <v>7.8131297992204779E-2</v>
      </c>
      <c r="CQ100" s="305">
        <f t="shared" ca="1" si="259"/>
        <v>0.24135949414263644</v>
      </c>
      <c r="CR100" s="775">
        <f t="shared" ca="1" si="260"/>
        <v>0.29299843895449218</v>
      </c>
      <c r="CS100" s="305">
        <f t="shared" ca="1" si="261"/>
        <v>0.35299843895449218</v>
      </c>
      <c r="CT100" s="305">
        <f t="shared" ca="1" si="262"/>
        <v>0.33299843895449216</v>
      </c>
      <c r="CU100" s="305">
        <f t="shared" ca="1" si="263"/>
        <v>0.13813129799220478</v>
      </c>
      <c r="CV100" s="770">
        <f t="shared" ca="1" si="264"/>
        <v>0.25885949414263643</v>
      </c>
      <c r="CW100" s="302">
        <f t="shared" ca="1" si="265"/>
        <v>10.667845519589685</v>
      </c>
      <c r="CX100" s="299">
        <f t="shared" ca="1" si="266"/>
        <v>5.3669295590353556</v>
      </c>
      <c r="CY100" s="299">
        <f t="shared" ca="1" si="267"/>
        <v>6.1588469214721222</v>
      </c>
      <c r="CZ100" s="299">
        <f t="shared" ca="1" si="268"/>
        <v>0.37760273433830083</v>
      </c>
      <c r="DA100" s="774">
        <f t="shared" ca="1" si="269"/>
        <v>5.5524012428093688</v>
      </c>
      <c r="DB100" s="303">
        <f t="shared" ca="1" si="270"/>
        <v>2465.9937650798129</v>
      </c>
      <c r="DC100" s="248">
        <f t="shared" ca="1" si="271"/>
        <v>235.21704578653492</v>
      </c>
      <c r="DD100" s="778">
        <f t="shared" ca="1" si="272"/>
        <v>0</v>
      </c>
      <c r="DE100" s="363">
        <f t="shared" ca="1" si="273"/>
        <v>0.5969503290230761</v>
      </c>
      <c r="DF100" s="378">
        <f t="shared" ca="1" si="274"/>
        <v>-0.33938504872360559</v>
      </c>
      <c r="DG100" s="508">
        <f t="shared" ca="1" si="275"/>
        <v>-0.88226459481745467</v>
      </c>
      <c r="DH100" s="508">
        <f t="shared" ca="1" si="276"/>
        <v>-0.76379173233472863</v>
      </c>
      <c r="DI100" s="508">
        <f t="shared" ca="1" si="277"/>
        <v>-1.5318882582919289</v>
      </c>
      <c r="DJ100" s="508">
        <f t="shared" ca="1" si="278"/>
        <v>-0.61034959279355627</v>
      </c>
      <c r="DK100" s="353">
        <f t="shared" ca="1" si="279"/>
        <v>-120.2773797581193</v>
      </c>
      <c r="DL100" s="781">
        <f t="shared" ca="1" si="280"/>
        <v>6.5773219542366883</v>
      </c>
      <c r="DM100" s="303">
        <f t="shared" ca="1" si="281"/>
        <v>9614.7025082477758</v>
      </c>
      <c r="DN100" s="508">
        <f t="shared" ca="1" si="282"/>
        <v>1.3363801951201422</v>
      </c>
      <c r="DO100" s="508">
        <f t="shared" ca="1" si="283"/>
        <v>1.1756222459754204</v>
      </c>
      <c r="DP100" s="508">
        <f t="shared" ca="1" si="284"/>
        <v>1.2145791529205145</v>
      </c>
      <c r="DQ100" s="508">
        <f t="shared" ca="1" si="285"/>
        <v>1.1359024197258498</v>
      </c>
      <c r="DR100" s="508">
        <f t="shared" ca="1" si="286"/>
        <v>1.2529021051252904</v>
      </c>
      <c r="DS100" s="353">
        <f t="shared" ca="1" si="287"/>
        <v>5811.2828148021508</v>
      </c>
      <c r="DT100" s="353">
        <f t="shared" ca="1" si="288"/>
        <v>-10133.785082389579</v>
      </c>
      <c r="DU100" s="380">
        <f t="shared" ca="1" si="388"/>
        <v>6.9952087611225187</v>
      </c>
      <c r="DV100" s="303">
        <f t="shared" ca="1" si="289"/>
        <v>210.12651581612278</v>
      </c>
      <c r="DW100" s="303">
        <f t="shared" ca="1" si="290"/>
        <v>47.756026321846086</v>
      </c>
      <c r="DX100" s="303">
        <f t="shared" ca="1" si="291"/>
        <v>38.20482105747687</v>
      </c>
      <c r="DY100" s="303">
        <f t="shared" ca="1" si="292"/>
        <v>296.08736319544573</v>
      </c>
      <c r="DZ100" s="303">
        <f t="shared" ca="1" si="293"/>
        <v>148.04368159772287</v>
      </c>
      <c r="EA100" s="303">
        <f t="shared" ca="1" si="294"/>
        <v>444.1310447931686</v>
      </c>
      <c r="EB100" s="302">
        <f t="shared" ca="1" si="295"/>
        <v>33.899788342416286</v>
      </c>
      <c r="EC100" s="299">
        <f t="shared" ca="1" si="296"/>
        <v>22.15961124695712</v>
      </c>
      <c r="ED100" s="299">
        <f t="shared" ca="1" si="297"/>
        <v>24.564345530792476</v>
      </c>
      <c r="EE100" s="299">
        <f t="shared" ca="1" si="298"/>
        <v>30.801638125519801</v>
      </c>
      <c r="EF100" s="299">
        <f t="shared" ca="1" si="299"/>
        <v>19.949997388944073</v>
      </c>
      <c r="EG100" s="299">
        <f t="shared" ca="1" si="300"/>
        <v>27.184424546661223</v>
      </c>
      <c r="EH100" s="302">
        <f t="shared" ca="1" si="301"/>
        <v>30</v>
      </c>
      <c r="EI100" s="304">
        <f t="shared" ca="1" si="302"/>
        <v>9.766614631816406E-2</v>
      </c>
      <c r="EJ100" s="305">
        <f t="shared" ca="1" si="303"/>
        <v>9.766614631816406E-2</v>
      </c>
      <c r="EK100" s="305">
        <f t="shared" ca="1" si="304"/>
        <v>9.766614631816406E-2</v>
      </c>
      <c r="EL100" s="305">
        <f t="shared" ca="1" si="305"/>
        <v>9.7666146318164102E-2</v>
      </c>
      <c r="EM100" s="305">
        <f t="shared" ca="1" si="306"/>
        <v>2.6043765997401595E-2</v>
      </c>
      <c r="EN100" s="305">
        <f t="shared" ca="1" si="307"/>
        <v>7.7543015589529043E-2</v>
      </c>
      <c r="EO100" s="305">
        <f t="shared" ca="1" si="308"/>
        <v>9.766614631816406E-2</v>
      </c>
      <c r="EP100" s="305">
        <f t="shared" ca="1" si="309"/>
        <v>9.766614631816406E-2</v>
      </c>
      <c r="EQ100" s="305">
        <f t="shared" ca="1" si="310"/>
        <v>9.766614631816406E-2</v>
      </c>
      <c r="ER100" s="305">
        <f t="shared" ca="1" si="311"/>
        <v>2.6043765997401595E-2</v>
      </c>
      <c r="ES100" s="305">
        <f t="shared" ca="1" si="312"/>
        <v>7.7543015589529043E-2</v>
      </c>
      <c r="ET100" s="299">
        <f t="shared" ca="1" si="313"/>
        <v>4.0064426650094269</v>
      </c>
      <c r="EU100" s="302">
        <f t="shared" ca="1" si="314"/>
        <v>30</v>
      </c>
      <c r="EV100" s="304">
        <f t="shared" ca="1" si="315"/>
        <v>0.29299843895449218</v>
      </c>
      <c r="EW100" s="305">
        <f t="shared" ca="1" si="316"/>
        <v>0.29299843895449218</v>
      </c>
      <c r="EX100" s="305">
        <f t="shared" ca="1" si="317"/>
        <v>0.29299843895449218</v>
      </c>
      <c r="EY100" s="305">
        <f t="shared" ca="1" si="318"/>
        <v>0.29299843895449218</v>
      </c>
      <c r="EZ100" s="305">
        <f t="shared" ca="1" si="319"/>
        <v>7.8131297992204779E-2</v>
      </c>
      <c r="FA100" s="305">
        <f t="shared" ca="1" si="320"/>
        <v>0.24135949414263644</v>
      </c>
      <c r="FB100" s="305">
        <f t="shared" ca="1" si="321"/>
        <v>0.29299843895449218</v>
      </c>
      <c r="FC100" s="305">
        <f t="shared" ca="1" si="322"/>
        <v>0.29299843895449218</v>
      </c>
      <c r="FD100" s="305">
        <f t="shared" ca="1" si="323"/>
        <v>0.29299843895449218</v>
      </c>
      <c r="FE100" s="305">
        <f t="shared" ca="1" si="324"/>
        <v>7.8131297992204779E-2</v>
      </c>
      <c r="FF100" s="305">
        <f t="shared" ca="1" si="325"/>
        <v>0.24135949414263644</v>
      </c>
      <c r="FG100" s="299">
        <f t="shared" ca="1" si="326"/>
        <v>5.8341936814921578</v>
      </c>
      <c r="FH100" s="302">
        <f t="shared" ca="1" si="327"/>
        <v>-1.8277510164827309</v>
      </c>
      <c r="FI100" s="248">
        <f t="shared" ca="1" si="328"/>
        <v>-811.76096857225116</v>
      </c>
      <c r="FJ100" s="363">
        <f t="shared" ca="1" si="329"/>
        <v>0.5969503290230761</v>
      </c>
      <c r="FK100" s="378">
        <f t="shared" ca="1" si="330"/>
        <v>0.34395967900041396</v>
      </c>
      <c r="FL100" s="508">
        <f t="shared" ca="1" si="331"/>
        <v>-1.301870318490868</v>
      </c>
      <c r="FM100" s="508">
        <f t="shared" ca="1" si="332"/>
        <v>-0.90303190085223684</v>
      </c>
      <c r="FN100" s="508">
        <f t="shared" ca="1" si="333"/>
        <v>-5.9571767776762572</v>
      </c>
      <c r="FO100" s="508">
        <f t="shared" ca="1" si="334"/>
        <v>-0.58308261630272618</v>
      </c>
      <c r="FP100" s="353">
        <f t="shared" ca="1" si="335"/>
        <v>319.81041728533251</v>
      </c>
      <c r="FQ100" s="356">
        <f t="shared" ca="1" si="336"/>
        <v>24.295745052537459</v>
      </c>
      <c r="FR100" s="380">
        <f t="shared" ca="1" si="337"/>
        <v>23.496000000000002</v>
      </c>
      <c r="FS100" s="299">
        <f t="shared" ca="1" si="338"/>
        <v>23.496000000000002</v>
      </c>
      <c r="FT100" s="299">
        <f t="shared" ca="1" si="339"/>
        <v>23.496000000000002</v>
      </c>
      <c r="FU100" s="299">
        <f t="shared" ca="1" si="340"/>
        <v>23.496000000000002</v>
      </c>
      <c r="FV100" s="299">
        <f t="shared" ca="1" si="341"/>
        <v>23.496000000000002</v>
      </c>
      <c r="FW100" s="850">
        <f t="shared" ca="1" si="342"/>
        <v>0.16500000000000001</v>
      </c>
      <c r="FX100" s="851">
        <f t="shared" ca="1" si="343"/>
        <v>0.5</v>
      </c>
      <c r="FY100" s="851">
        <f t="shared" ca="1" si="344"/>
        <v>0</v>
      </c>
      <c r="FZ100" s="201">
        <f t="shared" ca="1" si="345"/>
        <v>0</v>
      </c>
      <c r="GA100" s="201">
        <f t="shared" ca="1" si="346"/>
        <v>0</v>
      </c>
      <c r="GB100" s="201">
        <f t="shared" ca="1" si="347"/>
        <v>0</v>
      </c>
      <c r="GC100" s="201">
        <f t="shared" ca="1" si="348"/>
        <v>0</v>
      </c>
      <c r="GD100" s="850">
        <f t="shared" ca="1" si="349"/>
        <v>0.30799843895449219</v>
      </c>
      <c r="GE100" s="866">
        <f t="shared" ca="1" si="350"/>
        <v>0.29299843895449218</v>
      </c>
      <c r="GF100" s="866">
        <f t="shared" ca="1" si="351"/>
        <v>0.29299843895449218</v>
      </c>
      <c r="GG100" s="866">
        <f t="shared" ca="1" si="352"/>
        <v>8.8131297992204774E-2</v>
      </c>
      <c r="GH100" s="866">
        <f t="shared" ca="1" si="353"/>
        <v>0.25385949414263642</v>
      </c>
      <c r="GI100" s="302">
        <f t="shared" ca="1" si="354"/>
        <v>14.108216558182644</v>
      </c>
      <c r="GJ100" s="299">
        <f t="shared" ca="1" si="355"/>
        <v>5.3680786094523114</v>
      </c>
      <c r="GK100" s="299">
        <f t="shared" ca="1" si="356"/>
        <v>6.8786246902066077</v>
      </c>
      <c r="GL100" s="299">
        <f t="shared" ca="1" si="357"/>
        <v>1.7811273514228354</v>
      </c>
      <c r="GM100" s="299">
        <f t="shared" ca="1" si="358"/>
        <v>7.8975505018394143</v>
      </c>
      <c r="GN100" s="302">
        <f t="shared" ca="1" si="359"/>
        <v>0.80845495282550617</v>
      </c>
      <c r="GO100" s="299">
        <f t="shared" ca="1" si="360"/>
        <v>0.59848304290743881</v>
      </c>
      <c r="GP100" s="299">
        <f t="shared" ca="1" si="361"/>
        <v>0.65635268809388481</v>
      </c>
      <c r="GQ100" s="299">
        <f t="shared" ca="1" si="362"/>
        <v>0.40383427835329444</v>
      </c>
      <c r="GR100" s="299">
        <f t="shared" ca="1" si="363"/>
        <v>0.7061432334806732</v>
      </c>
      <c r="GS100" s="302">
        <f t="shared" ca="1" si="364"/>
        <v>-0.56597881676370088</v>
      </c>
      <c r="GT100" s="299">
        <f t="shared" ca="1" si="365"/>
        <v>-0.33597509687194399</v>
      </c>
      <c r="GU100" s="299">
        <f t="shared" ca="1" si="366"/>
        <v>-0.39343943457868957</v>
      </c>
      <c r="GV100" s="299">
        <f t="shared" ca="1" si="367"/>
        <v>-0.26708227507082227</v>
      </c>
      <c r="GW100" s="299">
        <f t="shared" ca="1" si="368"/>
        <v>-0.48087122524483294</v>
      </c>
      <c r="GX100" s="303">
        <f t="shared" ca="1" si="369"/>
        <v>2964.5103897502504</v>
      </c>
      <c r="GY100" s="303">
        <f t="shared" ca="1" si="370"/>
        <v>256.35810337074349</v>
      </c>
      <c r="GZ100" s="303">
        <f t="shared" ca="1" si="371"/>
        <v>262.79662541088572</v>
      </c>
      <c r="HA100" s="303">
        <f t="shared" ca="1" si="372"/>
        <v>263.68465049903767</v>
      </c>
      <c r="HB100" s="303">
        <f t="shared" ca="1" si="373"/>
        <v>3507.5473556887518</v>
      </c>
      <c r="HC100" s="303">
        <f t="shared" ca="1" si="374"/>
        <v>2186.1117956803291</v>
      </c>
      <c r="HD100" s="303">
        <f t="shared" ca="1" si="375"/>
        <v>0</v>
      </c>
      <c r="HE100" s="303">
        <f t="shared" ca="1" si="376"/>
        <v>40.81594983148161</v>
      </c>
      <c r="HF100" s="303">
        <f t="shared" ca="1" si="377"/>
        <v>0</v>
      </c>
      <c r="HG100" s="852">
        <f t="shared" ca="1" si="378"/>
        <v>1638.1438475494172</v>
      </c>
    </row>
    <row r="101" spans="1:215" x14ac:dyDescent="0.25">
      <c r="A101" s="244">
        <f t="shared" ca="1" si="379"/>
        <v>39173</v>
      </c>
      <c r="B101" s="13">
        <f t="shared" ca="1" si="401"/>
        <v>2007</v>
      </c>
      <c r="C101" s="619">
        <f t="shared" ca="1" si="402"/>
        <v>4</v>
      </c>
      <c r="D101" s="195" t="str">
        <f t="shared" ca="1" si="209"/>
        <v/>
      </c>
      <c r="E101" s="469">
        <f t="shared" ca="1" si="210"/>
        <v>39173</v>
      </c>
      <c r="F101" s="465">
        <f t="shared" ca="1" si="211"/>
        <v>39202</v>
      </c>
      <c r="G101" s="522">
        <f t="shared" ca="1" si="380"/>
        <v>1</v>
      </c>
      <c r="H101" s="519">
        <f t="shared" ca="1" si="381"/>
        <v>1</v>
      </c>
      <c r="I101" s="724">
        <f t="shared" ca="1" si="403"/>
        <v>7.3678548860932003E-2</v>
      </c>
      <c r="J101" s="198">
        <f t="shared" ca="1" si="213"/>
        <v>0.59334585051619781</v>
      </c>
      <c r="K101" s="200">
        <f t="shared" ca="1" si="389"/>
        <v>31.4</v>
      </c>
      <c r="L101" s="201">
        <f t="shared" ca="1" si="390"/>
        <v>31.95</v>
      </c>
      <c r="M101" s="206">
        <f t="shared" ca="1" si="391"/>
        <v>32.5</v>
      </c>
      <c r="N101" s="851">
        <f t="shared" ca="1" si="395"/>
        <v>21.905000305175776</v>
      </c>
      <c r="O101" s="201">
        <f t="shared" ca="1" si="396"/>
        <v>22.317500305175777</v>
      </c>
      <c r="P101" s="206">
        <f t="shared" ca="1" si="397"/>
        <v>22.730000305175778</v>
      </c>
      <c r="Q101" s="201">
        <f t="shared" ca="1" si="398"/>
        <v>17.734999084472651</v>
      </c>
      <c r="R101" s="201">
        <f t="shared" ca="1" si="399"/>
        <v>21.034999084472652</v>
      </c>
      <c r="S101" s="201">
        <f t="shared" ca="1" si="400"/>
        <v>24.334999084472653</v>
      </c>
      <c r="T101" s="851">
        <f t="shared" ca="1" si="392"/>
        <v>19.324997711181641</v>
      </c>
      <c r="U101" s="201">
        <f t="shared" ca="1" si="393"/>
        <v>19.59999771118164</v>
      </c>
      <c r="V101" s="206">
        <f t="shared" ca="1" si="394"/>
        <v>19.874997711181638</v>
      </c>
      <c r="W101" s="230">
        <f t="shared" ca="1" si="382"/>
        <v>8.7163520930859356E-2</v>
      </c>
      <c r="X101" s="231">
        <f t="shared" ca="1" si="383"/>
        <v>0.17432704186171871</v>
      </c>
      <c r="Y101" s="232">
        <f t="shared" ca="1" si="384"/>
        <v>0.2614905627925781</v>
      </c>
      <c r="Z101" s="231">
        <f t="shared" ca="1" si="404"/>
        <v>8.7163520930859356E-2</v>
      </c>
      <c r="AA101" s="231">
        <f t="shared" ca="1" si="405"/>
        <v>0.17432704186171871</v>
      </c>
      <c r="AB101" s="232">
        <f t="shared" ca="1" si="406"/>
        <v>0.2614905627925781</v>
      </c>
      <c r="AC101" s="231">
        <f t="shared" ca="1" si="407"/>
        <v>8.7163520930859356E-2</v>
      </c>
      <c r="AD101" s="231">
        <f t="shared" ca="1" si="408"/>
        <v>0.17432704186171871</v>
      </c>
      <c r="AE101" s="232">
        <f t="shared" ca="1" si="214"/>
        <v>0.2614905627925781</v>
      </c>
      <c r="AF101" s="231">
        <f t="shared" ca="1" si="385"/>
        <v>2.6043765997401595E-2</v>
      </c>
      <c r="AG101" s="231">
        <f t="shared" ca="1" si="386"/>
        <v>5.2087531994803191E-2</v>
      </c>
      <c r="AH101" s="232">
        <f t="shared" ca="1" si="387"/>
        <v>7.8131297992204779E-2</v>
      </c>
      <c r="AI101" s="233">
        <f t="shared" ca="1" si="215"/>
        <v>0.85000000000000009</v>
      </c>
      <c r="AJ101" s="233">
        <f t="shared" ca="1" si="216"/>
        <v>1.1000000000000001</v>
      </c>
      <c r="AK101" s="234">
        <f t="shared" ca="1" si="217"/>
        <v>1.4000000000000001</v>
      </c>
      <c r="AL101" s="919">
        <f t="shared" ca="1" si="218"/>
        <v>0.85000000000000009</v>
      </c>
      <c r="AM101" s="233">
        <f t="shared" ca="1" si="219"/>
        <v>1.1000000000000001</v>
      </c>
      <c r="AN101" s="234">
        <f t="shared" ca="1" si="220"/>
        <v>1.4000000000000001</v>
      </c>
      <c r="AO101" s="233">
        <f t="shared" ca="1" si="221"/>
        <v>0.85000000000000009</v>
      </c>
      <c r="AP101" s="233">
        <f t="shared" ca="1" si="222"/>
        <v>1.1000000000000001</v>
      </c>
      <c r="AQ101" s="233">
        <f t="shared" ca="1" si="223"/>
        <v>1.4000000000000001</v>
      </c>
      <c r="AR101" s="919">
        <f t="shared" ca="1" si="224"/>
        <v>0.19999999999999998</v>
      </c>
      <c r="AS101" s="233">
        <f t="shared" ca="1" si="225"/>
        <v>0.35</v>
      </c>
      <c r="AT101" s="235">
        <f t="shared" ca="1" si="226"/>
        <v>0.55000000000000004</v>
      </c>
      <c r="AU101" s="946">
        <f t="shared" si="227"/>
        <v>0.5</v>
      </c>
      <c r="AV101" s="13">
        <f t="shared" ca="1" si="228"/>
        <v>21</v>
      </c>
      <c r="AW101" s="210">
        <f t="shared" ca="1" si="229"/>
        <v>4</v>
      </c>
      <c r="AX101" s="210">
        <f t="shared" ca="1" si="230"/>
        <v>5</v>
      </c>
      <c r="AY101" s="210">
        <f t="shared" ca="1" si="231"/>
        <v>0</v>
      </c>
      <c r="AZ101" s="13">
        <f t="shared" ca="1" si="232"/>
        <v>30</v>
      </c>
      <c r="BA101" s="357">
        <f ca="1"/>
        <v>336</v>
      </c>
      <c r="BB101" s="925">
        <f ca="1"/>
        <v>64</v>
      </c>
      <c r="BC101" s="925">
        <f ca="1"/>
        <v>80</v>
      </c>
      <c r="BD101" s="928">
        <f ca="1"/>
        <v>240</v>
      </c>
      <c r="BE101" s="200">
        <f ca="1"/>
        <v>1.0000000074505806</v>
      </c>
      <c r="BF101" s="851">
        <f ca="1"/>
        <v>1.0000000074505806</v>
      </c>
      <c r="BG101" s="851">
        <f ca="1"/>
        <v>1.0000000074505806</v>
      </c>
      <c r="BH101" s="933">
        <f ca="1"/>
        <v>0.99995028972625732</v>
      </c>
      <c r="BI101" s="357">
        <f ca="1"/>
        <v>336</v>
      </c>
      <c r="BJ101" s="925">
        <f ca="1"/>
        <v>64</v>
      </c>
      <c r="BK101" s="925">
        <f ca="1"/>
        <v>80</v>
      </c>
      <c r="BL101" s="928">
        <f ca="1"/>
        <v>240</v>
      </c>
      <c r="BM101" s="200">
        <f ca="1"/>
        <v>1.0000000074505806</v>
      </c>
      <c r="BN101" s="851">
        <f ca="1"/>
        <v>1.0000000074505806</v>
      </c>
      <c r="BO101" s="851">
        <f ca="1"/>
        <v>1.0000000074505806</v>
      </c>
      <c r="BP101" s="933">
        <f ca="1"/>
        <v>0.99995028972625732</v>
      </c>
      <c r="BQ101" s="357">
        <f t="shared" ca="1" si="233"/>
        <v>720</v>
      </c>
      <c r="BR101" s="361">
        <f t="shared" ca="1" si="234"/>
        <v>720</v>
      </c>
      <c r="BS101" s="357">
        <f t="shared" ca="1" si="235"/>
        <v>427.20901237166242</v>
      </c>
      <c r="BT101" s="302">
        <f t="shared" ca="1" si="236"/>
        <v>25.012345750517984</v>
      </c>
      <c r="BU101" s="299">
        <f t="shared" ca="1" si="237"/>
        <v>25.764007865326938</v>
      </c>
      <c r="BV101" s="299">
        <f t="shared" ca="1" si="238"/>
        <v>26.515669980135897</v>
      </c>
      <c r="BW101" s="299">
        <f t="shared" ca="1" si="239"/>
        <v>32.659889647739881</v>
      </c>
      <c r="BX101" s="380">
        <f t="shared" ca="1" si="240"/>
        <v>7.0800821355236137</v>
      </c>
      <c r="BY101" s="363">
        <f t="shared" ca="1" si="241"/>
        <v>199.36420577344248</v>
      </c>
      <c r="BZ101" s="353">
        <f t="shared" ca="1" si="242"/>
        <v>37.97413443303666</v>
      </c>
      <c r="CA101" s="353">
        <f t="shared" ca="1" si="243"/>
        <v>47.467668041295823</v>
      </c>
      <c r="CB101" s="353">
        <f t="shared" ca="1" si="244"/>
        <v>284.80600824777497</v>
      </c>
      <c r="CC101" s="353">
        <f t="shared" ca="1" si="245"/>
        <v>142.40300412388748</v>
      </c>
      <c r="CD101" s="353">
        <f t="shared" ca="1" si="246"/>
        <v>427.20901237166242</v>
      </c>
      <c r="CE101" s="302">
        <f t="shared" ca="1" si="247"/>
        <v>32.500000242143869</v>
      </c>
      <c r="CF101" s="299">
        <f t="shared" ca="1" si="248"/>
        <v>22.730000474527479</v>
      </c>
      <c r="CG101" s="299">
        <f t="shared" ca="1" si="249"/>
        <v>24.334999265782525</v>
      </c>
      <c r="CH101" s="299">
        <f t="shared" ca="1" si="250"/>
        <v>29.836500110401463</v>
      </c>
      <c r="CI101" s="299">
        <f t="shared" ca="1" si="251"/>
        <v>19.874009719604782</v>
      </c>
      <c r="CJ101" s="299">
        <f t="shared" ca="1" si="252"/>
        <v>26.515669980135904</v>
      </c>
      <c r="CK101" s="299">
        <f t="shared" ca="1" si="253"/>
        <v>32.659889647739881</v>
      </c>
      <c r="CL101" s="377">
        <f t="shared" ca="1" si="254"/>
        <v>0.2614905627925781</v>
      </c>
      <c r="CM101" s="305">
        <f t="shared" ca="1" si="255"/>
        <v>0.2614905627925781</v>
      </c>
      <c r="CN101" s="305">
        <f t="shared" ca="1" si="256"/>
        <v>0.2614905627925781</v>
      </c>
      <c r="CO101" s="305">
        <f t="shared" ca="1" si="257"/>
        <v>0.2614905627925781</v>
      </c>
      <c r="CP101" s="305">
        <f t="shared" ca="1" si="258"/>
        <v>7.8131297992204779E-2</v>
      </c>
      <c r="CQ101" s="305">
        <f t="shared" ca="1" si="259"/>
        <v>0.2136021136403414</v>
      </c>
      <c r="CR101" s="775">
        <f t="shared" ca="1" si="260"/>
        <v>0.2614905627925781</v>
      </c>
      <c r="CS101" s="305">
        <f t="shared" ca="1" si="261"/>
        <v>0.31149056279257809</v>
      </c>
      <c r="CT101" s="305">
        <f t="shared" ca="1" si="262"/>
        <v>0.30149056279257808</v>
      </c>
      <c r="CU101" s="305">
        <f t="shared" ca="1" si="263"/>
        <v>0.13813129799220478</v>
      </c>
      <c r="CV101" s="770">
        <f t="shared" ca="1" si="264"/>
        <v>0.2386021136403414</v>
      </c>
      <c r="CW101" s="302">
        <f t="shared" ca="1" si="265"/>
        <v>8.7845861965155443</v>
      </c>
      <c r="CX101" s="299">
        <f t="shared" ca="1" si="266"/>
        <v>4.7173960557452022</v>
      </c>
      <c r="CY101" s="299">
        <f t="shared" ca="1" si="267"/>
        <v>5.2738532268399405</v>
      </c>
      <c r="CZ101" s="299">
        <f t="shared" ca="1" si="268"/>
        <v>0.3772472920286627</v>
      </c>
      <c r="DA101" s="774">
        <f t="shared" ca="1" si="269"/>
        <v>4.6767643569780137</v>
      </c>
      <c r="DB101" s="303">
        <f t="shared" ca="1" si="270"/>
        <v>1997.95588203957</v>
      </c>
      <c r="DC101" s="248">
        <f t="shared" ca="1" si="271"/>
        <v>211.75928583683583</v>
      </c>
      <c r="DD101" s="778">
        <f t="shared" ca="1" si="272"/>
        <v>0</v>
      </c>
      <c r="DE101" s="363">
        <f t="shared" ca="1" si="273"/>
        <v>0.59334585051619781</v>
      </c>
      <c r="DF101" s="378">
        <f t="shared" ca="1" si="274"/>
        <v>-0.3549459285291881</v>
      </c>
      <c r="DG101" s="508">
        <f t="shared" ca="1" si="275"/>
        <v>-0.85173279989058226</v>
      </c>
      <c r="DH101" s="508">
        <f t="shared" ca="1" si="276"/>
        <v>-0.76788227770063988</v>
      </c>
      <c r="DI101" s="508">
        <f t="shared" ca="1" si="277"/>
        <v>-1.5352645938427316</v>
      </c>
      <c r="DJ101" s="508">
        <f t="shared" ca="1" si="278"/>
        <v>-0.64570959767416969</v>
      </c>
      <c r="DK101" s="353">
        <f t="shared" ca="1" si="279"/>
        <v>-110.7469540154773</v>
      </c>
      <c r="DL101" s="781">
        <f t="shared" ca="1" si="280"/>
        <v>6.6727513988248539</v>
      </c>
      <c r="DM101" s="303">
        <f t="shared" ca="1" si="281"/>
        <v>9026.1362827446119</v>
      </c>
      <c r="DN101" s="508">
        <f t="shared" ca="1" si="282"/>
        <v>1.3284435772633922</v>
      </c>
      <c r="DO101" s="508">
        <f t="shared" ca="1" si="283"/>
        <v>1.1940537311553823</v>
      </c>
      <c r="DP101" s="508">
        <f t="shared" ca="1" si="284"/>
        <v>1.2196985339951334</v>
      </c>
      <c r="DQ101" s="508">
        <f t="shared" ca="1" si="285"/>
        <v>1.143586159365392</v>
      </c>
      <c r="DR101" s="508">
        <f t="shared" ca="1" si="286"/>
        <v>1.2519548032384951</v>
      </c>
      <c r="DS101" s="353">
        <f t="shared" ca="1" si="287"/>
        <v>5491.8392182852813</v>
      </c>
      <c r="DT101" s="353">
        <f t="shared" ca="1" si="288"/>
        <v>-9685.9942056336276</v>
      </c>
      <c r="DU101" s="380">
        <f t="shared" ca="1" si="388"/>
        <v>7.0800821355236137</v>
      </c>
      <c r="DV101" s="303">
        <f t="shared" ca="1" si="289"/>
        <v>199.36420577344248</v>
      </c>
      <c r="DW101" s="303">
        <f t="shared" ca="1" si="290"/>
        <v>37.97413443303666</v>
      </c>
      <c r="DX101" s="303">
        <f t="shared" ca="1" si="291"/>
        <v>47.467668041295823</v>
      </c>
      <c r="DY101" s="303">
        <f t="shared" ca="1" si="292"/>
        <v>284.80600824777497</v>
      </c>
      <c r="DZ101" s="303">
        <f t="shared" ca="1" si="293"/>
        <v>142.40300412388748</v>
      </c>
      <c r="EA101" s="303">
        <f t="shared" ca="1" si="294"/>
        <v>427.20901237166242</v>
      </c>
      <c r="EB101" s="302">
        <f t="shared" ca="1" si="295"/>
        <v>32.500000242143869</v>
      </c>
      <c r="EC101" s="299">
        <f t="shared" ca="1" si="296"/>
        <v>22.730000474527479</v>
      </c>
      <c r="ED101" s="299">
        <f t="shared" ca="1" si="297"/>
        <v>24.334999265782525</v>
      </c>
      <c r="EE101" s="299">
        <f t="shared" ca="1" si="298"/>
        <v>29.836500110401463</v>
      </c>
      <c r="EF101" s="299">
        <f t="shared" ca="1" si="299"/>
        <v>19.874009719604782</v>
      </c>
      <c r="EG101" s="299">
        <f t="shared" ca="1" si="300"/>
        <v>26.515669980135904</v>
      </c>
      <c r="EH101" s="302">
        <f t="shared" ca="1" si="301"/>
        <v>30</v>
      </c>
      <c r="EI101" s="304">
        <f t="shared" ca="1" si="302"/>
        <v>8.7163520930859356E-2</v>
      </c>
      <c r="EJ101" s="305">
        <f t="shared" ca="1" si="303"/>
        <v>8.7163520930859356E-2</v>
      </c>
      <c r="EK101" s="305">
        <f t="shared" ca="1" si="304"/>
        <v>8.7163520930859356E-2</v>
      </c>
      <c r="EL101" s="305">
        <f t="shared" ca="1" si="305"/>
        <v>8.7163520930859342E-2</v>
      </c>
      <c r="EM101" s="305">
        <f t="shared" ca="1" si="306"/>
        <v>2.6043765997401595E-2</v>
      </c>
      <c r="EN101" s="305">
        <f t="shared" ca="1" si="307"/>
        <v>6.9139582141108491E-2</v>
      </c>
      <c r="EO101" s="305">
        <f t="shared" ca="1" si="308"/>
        <v>8.7163520930859356E-2</v>
      </c>
      <c r="EP101" s="305">
        <f t="shared" ca="1" si="309"/>
        <v>8.7163520930859356E-2</v>
      </c>
      <c r="EQ101" s="305">
        <f t="shared" ca="1" si="310"/>
        <v>8.7163520930859356E-2</v>
      </c>
      <c r="ER101" s="305">
        <f t="shared" ca="1" si="311"/>
        <v>2.6043765997401595E-2</v>
      </c>
      <c r="ES101" s="305">
        <f t="shared" ca="1" si="312"/>
        <v>6.9139582141108491E-2</v>
      </c>
      <c r="ET101" s="299">
        <f t="shared" ca="1" si="313"/>
        <v>4.260821559182105</v>
      </c>
      <c r="EU101" s="302">
        <f t="shared" ca="1" si="314"/>
        <v>30</v>
      </c>
      <c r="EV101" s="304">
        <f t="shared" ca="1" si="315"/>
        <v>0.2614905627925781</v>
      </c>
      <c r="EW101" s="305">
        <f t="shared" ca="1" si="316"/>
        <v>0.2614905627925781</v>
      </c>
      <c r="EX101" s="305">
        <f t="shared" ca="1" si="317"/>
        <v>0.2614905627925781</v>
      </c>
      <c r="EY101" s="305">
        <f t="shared" ca="1" si="318"/>
        <v>0.2614905627925781</v>
      </c>
      <c r="EZ101" s="305">
        <f t="shared" ca="1" si="319"/>
        <v>7.8131297992204779E-2</v>
      </c>
      <c r="FA101" s="305">
        <f t="shared" ca="1" si="320"/>
        <v>0.2136021136403414</v>
      </c>
      <c r="FB101" s="305">
        <f t="shared" ca="1" si="321"/>
        <v>0.2614905627925781</v>
      </c>
      <c r="FC101" s="305">
        <f t="shared" ca="1" si="322"/>
        <v>0.2614905627925781</v>
      </c>
      <c r="FD101" s="305">
        <f t="shared" ca="1" si="323"/>
        <v>0.2614905627925781</v>
      </c>
      <c r="FE101" s="305">
        <f t="shared" ca="1" si="324"/>
        <v>7.8131297992204779E-2</v>
      </c>
      <c r="FF101" s="305">
        <f t="shared" ca="1" si="325"/>
        <v>0.2136021136403414</v>
      </c>
      <c r="FG101" s="299">
        <f t="shared" ca="1" si="326"/>
        <v>4.7242977912045419</v>
      </c>
      <c r="FH101" s="302">
        <f t="shared" ca="1" si="327"/>
        <v>-0.46347623202243682</v>
      </c>
      <c r="FI101" s="248">
        <f t="shared" ca="1" si="328"/>
        <v>-198.0012233400447</v>
      </c>
      <c r="FJ101" s="363">
        <f t="shared" ca="1" si="329"/>
        <v>0.59334585051619781</v>
      </c>
      <c r="FK101" s="378">
        <f t="shared" ca="1" si="330"/>
        <v>0.22915403382461513</v>
      </c>
      <c r="FL101" s="508">
        <f t="shared" ca="1" si="331"/>
        <v>-1.3125047437044657</v>
      </c>
      <c r="FM101" s="508">
        <f t="shared" ca="1" si="332"/>
        <v>-1.01831930826517</v>
      </c>
      <c r="FN101" s="508">
        <f t="shared" ca="1" si="333"/>
        <v>-5.9768471003720256</v>
      </c>
      <c r="FO101" s="508">
        <f t="shared" ca="1" si="334"/>
        <v>-0.7630823294844683</v>
      </c>
      <c r="FP101" s="353">
        <f t="shared" ca="1" si="335"/>
        <v>332.06654167458811</v>
      </c>
      <c r="FQ101" s="356">
        <f t="shared" ca="1" si="336"/>
        <v>23.080213783151041</v>
      </c>
      <c r="FR101" s="380">
        <f t="shared" ca="1" si="337"/>
        <v>23.1</v>
      </c>
      <c r="FS101" s="299">
        <f t="shared" ca="1" si="338"/>
        <v>23.1</v>
      </c>
      <c r="FT101" s="299">
        <f t="shared" ca="1" si="339"/>
        <v>23.1</v>
      </c>
      <c r="FU101" s="299">
        <f t="shared" ca="1" si="340"/>
        <v>23.1</v>
      </c>
      <c r="FV101" s="299">
        <f t="shared" ca="1" si="341"/>
        <v>23.100000000000005</v>
      </c>
      <c r="FW101" s="850">
        <f t="shared" ca="1" si="342"/>
        <v>0.16500000000000001</v>
      </c>
      <c r="FX101" s="851">
        <f t="shared" ca="1" si="343"/>
        <v>0.5</v>
      </c>
      <c r="FY101" s="851">
        <f t="shared" ca="1" si="344"/>
        <v>0</v>
      </c>
      <c r="FZ101" s="201">
        <f t="shared" ca="1" si="345"/>
        <v>0</v>
      </c>
      <c r="GA101" s="201">
        <f t="shared" ca="1" si="346"/>
        <v>0</v>
      </c>
      <c r="GB101" s="201">
        <f t="shared" ca="1" si="347"/>
        <v>0</v>
      </c>
      <c r="GC101" s="201">
        <f t="shared" ca="1" si="348"/>
        <v>0</v>
      </c>
      <c r="GD101" s="850">
        <f t="shared" ca="1" si="349"/>
        <v>0.27649056279257811</v>
      </c>
      <c r="GE101" s="866">
        <f t="shared" ca="1" si="350"/>
        <v>0.2614905627925781</v>
      </c>
      <c r="GF101" s="866">
        <f t="shared" ca="1" si="351"/>
        <v>0.2614905627925781</v>
      </c>
      <c r="GG101" s="866">
        <f t="shared" ca="1" si="352"/>
        <v>8.8131297992204774E-2</v>
      </c>
      <c r="GH101" s="866">
        <f t="shared" ca="1" si="353"/>
        <v>0.22610211364034141</v>
      </c>
      <c r="GI101" s="302">
        <f t="shared" ca="1" si="354"/>
        <v>12.614757847710919</v>
      </c>
      <c r="GJ101" s="299">
        <f t="shared" ca="1" si="355"/>
        <v>5.3030340296825758</v>
      </c>
      <c r="GK101" s="299">
        <f t="shared" ca="1" si="356"/>
        <v>6.3158816489540115</v>
      </c>
      <c r="GL101" s="299">
        <f t="shared" ca="1" si="357"/>
        <v>1.8757240444464367</v>
      </c>
      <c r="GM101" s="299">
        <f t="shared" ca="1" si="358"/>
        <v>7.1459190051466654</v>
      </c>
      <c r="GN101" s="302">
        <f t="shared" ca="1" si="359"/>
        <v>0.80319394127168164</v>
      </c>
      <c r="GO101" s="299">
        <f t="shared" ca="1" si="360"/>
        <v>0.60957661822052023</v>
      </c>
      <c r="GP101" s="299">
        <f t="shared" ca="1" si="361"/>
        <v>0.65179612728110914</v>
      </c>
      <c r="GQ101" s="299">
        <f t="shared" ca="1" si="362"/>
        <v>0.41876668935164657</v>
      </c>
      <c r="GR101" s="299">
        <f t="shared" ca="1" si="363"/>
        <v>0.70033061507185401</v>
      </c>
      <c r="GS101" s="302">
        <f t="shared" ca="1" si="364"/>
        <v>-0.5839414147083507</v>
      </c>
      <c r="GT101" s="299">
        <f t="shared" ca="1" si="365"/>
        <v>-0.37024426659078352</v>
      </c>
      <c r="GU101" s="299">
        <f t="shared" ca="1" si="366"/>
        <v>-0.41322854535706238</v>
      </c>
      <c r="GV101" s="299">
        <f t="shared" ca="1" si="367"/>
        <v>-0.27908436103771522</v>
      </c>
      <c r="GW101" s="299">
        <f t="shared" ca="1" si="368"/>
        <v>-0.49453759396209118</v>
      </c>
      <c r="GX101" s="303">
        <f t="shared" ca="1" si="369"/>
        <v>2514.9311793331881</v>
      </c>
      <c r="GY101" s="303">
        <f t="shared" ca="1" si="370"/>
        <v>201.37812714613426</v>
      </c>
      <c r="GZ101" s="303">
        <f t="shared" ca="1" si="371"/>
        <v>299.80017350066112</v>
      </c>
      <c r="HA101" s="303">
        <f t="shared" ca="1" si="372"/>
        <v>267.10873883658081</v>
      </c>
      <c r="HB101" s="303">
        <f t="shared" ca="1" si="373"/>
        <v>3052.8010006765994</v>
      </c>
      <c r="HC101" s="303">
        <f t="shared" ca="1" si="374"/>
        <v>1874.0235825451791</v>
      </c>
      <c r="HD101" s="303">
        <f t="shared" ca="1" si="375"/>
        <v>0</v>
      </c>
      <c r="HE101" s="303">
        <f t="shared" ca="1" si="376"/>
        <v>58.622535179408885</v>
      </c>
      <c r="HF101" s="303">
        <f t="shared" ca="1" si="377"/>
        <v>0</v>
      </c>
      <c r="HG101" s="852">
        <f t="shared" ca="1" si="378"/>
        <v>1459.2049988013932</v>
      </c>
    </row>
    <row r="102" spans="1:215" x14ac:dyDescent="0.25">
      <c r="A102" s="244">
        <f t="shared" ca="1" si="379"/>
        <v>39203</v>
      </c>
      <c r="B102" s="13">
        <f t="shared" ca="1" si="401"/>
        <v>2007</v>
      </c>
      <c r="C102" s="619">
        <f t="shared" ca="1" si="402"/>
        <v>5</v>
      </c>
      <c r="D102" s="195">
        <f t="shared" ca="1" si="209"/>
        <v>39230</v>
      </c>
      <c r="E102" s="469">
        <f t="shared" ca="1" si="210"/>
        <v>39203</v>
      </c>
      <c r="F102" s="465">
        <f t="shared" ca="1" si="211"/>
        <v>39233</v>
      </c>
      <c r="G102" s="522">
        <f t="shared" ca="1" si="380"/>
        <v>1</v>
      </c>
      <c r="H102" s="519">
        <f t="shared" ca="1" si="381"/>
        <v>1</v>
      </c>
      <c r="I102" s="724">
        <f t="shared" ca="1" si="403"/>
        <v>7.3693341237034998E-2</v>
      </c>
      <c r="J102" s="198">
        <f t="shared" ca="1" si="213"/>
        <v>0.58965192229306307</v>
      </c>
      <c r="K102" s="200">
        <f t="shared" ca="1" si="389"/>
        <v>32.1</v>
      </c>
      <c r="L102" s="201">
        <f t="shared" ca="1" si="390"/>
        <v>33.950000000000003</v>
      </c>
      <c r="M102" s="206">
        <f t="shared" ca="1" si="391"/>
        <v>35.799999999999997</v>
      </c>
      <c r="N102" s="851">
        <f t="shared" ca="1" si="395"/>
        <v>21.045000076293942</v>
      </c>
      <c r="O102" s="201">
        <f t="shared" ca="1" si="396"/>
        <v>22.432500076293941</v>
      </c>
      <c r="P102" s="206">
        <f t="shared" ca="1" si="397"/>
        <v>23.82000007629394</v>
      </c>
      <c r="Q102" s="201">
        <f t="shared" ca="1" si="398"/>
        <v>18.264999771118159</v>
      </c>
      <c r="R102" s="201">
        <f t="shared" ca="1" si="399"/>
        <v>21.56499977111816</v>
      </c>
      <c r="S102" s="201">
        <f t="shared" ca="1" si="400"/>
        <v>24.864999771118161</v>
      </c>
      <c r="T102" s="851">
        <f t="shared" ca="1" si="392"/>
        <v>18.674997711181639</v>
      </c>
      <c r="U102" s="201">
        <f t="shared" ca="1" si="393"/>
        <v>19.59999771118164</v>
      </c>
      <c r="V102" s="206">
        <f t="shared" ca="1" si="394"/>
        <v>20.524997711181641</v>
      </c>
      <c r="W102" s="230">
        <f t="shared" ca="1" si="382"/>
        <v>0.10039517496210935</v>
      </c>
      <c r="X102" s="231">
        <f t="shared" ca="1" si="383"/>
        <v>0.20079034992421871</v>
      </c>
      <c r="Y102" s="232">
        <f t="shared" ca="1" si="384"/>
        <v>0.30118552488632805</v>
      </c>
      <c r="Z102" s="231">
        <f t="shared" ca="1" si="404"/>
        <v>0.10039517496210935</v>
      </c>
      <c r="AA102" s="231">
        <f t="shared" ca="1" si="405"/>
        <v>0.20079034992421871</v>
      </c>
      <c r="AB102" s="232">
        <f t="shared" ca="1" si="406"/>
        <v>0.30118552488632805</v>
      </c>
      <c r="AC102" s="231">
        <f t="shared" ca="1" si="407"/>
        <v>0.10039517496210935</v>
      </c>
      <c r="AD102" s="231">
        <f t="shared" ca="1" si="408"/>
        <v>0.20079034992421871</v>
      </c>
      <c r="AE102" s="232">
        <f t="shared" ca="1" si="214"/>
        <v>0.30118552488632805</v>
      </c>
      <c r="AF102" s="231">
        <f t="shared" ca="1" si="385"/>
        <v>3.0384393663635205E-2</v>
      </c>
      <c r="AG102" s="231">
        <f t="shared" ca="1" si="386"/>
        <v>6.076878732727041E-2</v>
      </c>
      <c r="AH102" s="232">
        <f t="shared" ca="1" si="387"/>
        <v>9.1153180990905608E-2</v>
      </c>
      <c r="AI102" s="233">
        <f t="shared" ca="1" si="215"/>
        <v>0.85000000000000009</v>
      </c>
      <c r="AJ102" s="233">
        <f t="shared" ca="1" si="216"/>
        <v>1.1000000000000001</v>
      </c>
      <c r="AK102" s="234">
        <f t="shared" ca="1" si="217"/>
        <v>1.4000000000000001</v>
      </c>
      <c r="AL102" s="919">
        <f t="shared" ca="1" si="218"/>
        <v>0.85000000000000009</v>
      </c>
      <c r="AM102" s="233">
        <f t="shared" ca="1" si="219"/>
        <v>1.1000000000000001</v>
      </c>
      <c r="AN102" s="234">
        <f t="shared" ca="1" si="220"/>
        <v>1.4000000000000001</v>
      </c>
      <c r="AO102" s="233">
        <f t="shared" ca="1" si="221"/>
        <v>0.85000000000000009</v>
      </c>
      <c r="AP102" s="233">
        <f t="shared" ca="1" si="222"/>
        <v>1.1000000000000001</v>
      </c>
      <c r="AQ102" s="233">
        <f t="shared" ca="1" si="223"/>
        <v>1.4000000000000001</v>
      </c>
      <c r="AR102" s="919">
        <f t="shared" ca="1" si="224"/>
        <v>0.35</v>
      </c>
      <c r="AS102" s="233">
        <f t="shared" ca="1" si="225"/>
        <v>0.5</v>
      </c>
      <c r="AT102" s="235">
        <f t="shared" ca="1" si="226"/>
        <v>0.7</v>
      </c>
      <c r="AU102" s="946">
        <f t="shared" si="227"/>
        <v>0.5</v>
      </c>
      <c r="AV102" s="13">
        <f t="shared" ca="1" si="228"/>
        <v>22</v>
      </c>
      <c r="AW102" s="210">
        <f t="shared" ca="1" si="229"/>
        <v>4</v>
      </c>
      <c r="AX102" s="210">
        <f t="shared" ca="1" si="230"/>
        <v>4</v>
      </c>
      <c r="AY102" s="210">
        <f t="shared" ca="1" si="231"/>
        <v>1</v>
      </c>
      <c r="AZ102" s="13">
        <f t="shared" ca="1" si="232"/>
        <v>31</v>
      </c>
      <c r="BA102" s="357">
        <f ca="1"/>
        <v>352</v>
      </c>
      <c r="BB102" s="925">
        <f ca="1"/>
        <v>64</v>
      </c>
      <c r="BC102" s="925">
        <f ca="1"/>
        <v>80</v>
      </c>
      <c r="BD102" s="928">
        <f ca="1"/>
        <v>248</v>
      </c>
      <c r="BE102" s="200">
        <f ca="1"/>
        <v>0.9999999925494194</v>
      </c>
      <c r="BF102" s="851">
        <f ca="1"/>
        <v>0.9999999925494194</v>
      </c>
      <c r="BG102" s="851">
        <f ca="1"/>
        <v>0.9999999925494194</v>
      </c>
      <c r="BH102" s="933">
        <f ca="1"/>
        <v>1</v>
      </c>
      <c r="BI102" s="357">
        <f ca="1"/>
        <v>352</v>
      </c>
      <c r="BJ102" s="925">
        <f ca="1"/>
        <v>64</v>
      </c>
      <c r="BK102" s="925">
        <f ca="1"/>
        <v>80</v>
      </c>
      <c r="BL102" s="928">
        <f ca="1"/>
        <v>248</v>
      </c>
      <c r="BM102" s="200">
        <f ca="1"/>
        <v>0.9999999925494194</v>
      </c>
      <c r="BN102" s="851">
        <f ca="1"/>
        <v>0.9999999925494194</v>
      </c>
      <c r="BO102" s="851">
        <f ca="1"/>
        <v>0.9999999925494194</v>
      </c>
      <c r="BP102" s="933">
        <f ca="1"/>
        <v>1</v>
      </c>
      <c r="BQ102" s="357">
        <f t="shared" ca="1" si="233"/>
        <v>744</v>
      </c>
      <c r="BR102" s="361">
        <f t="shared" ca="1" si="234"/>
        <v>744</v>
      </c>
      <c r="BS102" s="357">
        <f t="shared" ca="1" si="235"/>
        <v>438.70103018603891</v>
      </c>
      <c r="BT102" s="302">
        <f t="shared" ca="1" si="236"/>
        <v>25.186396927201457</v>
      </c>
      <c r="BU102" s="299">
        <f t="shared" ca="1" si="237"/>
        <v>26.844192616071915</v>
      </c>
      <c r="BV102" s="299">
        <f t="shared" ca="1" si="238"/>
        <v>28.501988304942358</v>
      </c>
      <c r="BW102" s="299">
        <f t="shared" ca="1" si="239"/>
        <v>32.659889647739881</v>
      </c>
      <c r="BX102" s="380">
        <f t="shared" ca="1" si="240"/>
        <v>7.1622176591375766</v>
      </c>
      <c r="BY102" s="363">
        <f t="shared" ca="1" si="241"/>
        <v>207.55747664715821</v>
      </c>
      <c r="BZ102" s="353">
        <f t="shared" ca="1" si="242"/>
        <v>37.737723026756036</v>
      </c>
      <c r="CA102" s="353">
        <f t="shared" ca="1" si="243"/>
        <v>47.172153783445047</v>
      </c>
      <c r="CB102" s="353">
        <f t="shared" ca="1" si="244"/>
        <v>292.46735345735931</v>
      </c>
      <c r="CC102" s="353">
        <f t="shared" ca="1" si="245"/>
        <v>146.23367672867965</v>
      </c>
      <c r="CD102" s="353">
        <f t="shared" ca="1" si="246"/>
        <v>438.70103018603896</v>
      </c>
      <c r="CE102" s="302">
        <f t="shared" ca="1" si="247"/>
        <v>35.79999973326921</v>
      </c>
      <c r="CF102" s="299">
        <f t="shared" ca="1" si="248"/>
        <v>23.819999898821109</v>
      </c>
      <c r="CG102" s="299">
        <f t="shared" ca="1" si="249"/>
        <v>24.864999585859476</v>
      </c>
      <c r="CH102" s="299">
        <f t="shared" ca="1" si="250"/>
        <v>32.490483601822724</v>
      </c>
      <c r="CI102" s="299">
        <f t="shared" ca="1" si="251"/>
        <v>20.524997711181641</v>
      </c>
      <c r="CJ102" s="299">
        <f t="shared" ca="1" si="252"/>
        <v>28.501988304942362</v>
      </c>
      <c r="CK102" s="299">
        <f t="shared" ca="1" si="253"/>
        <v>32.659889647739881</v>
      </c>
      <c r="CL102" s="377">
        <f t="shared" ca="1" si="254"/>
        <v>0.30118552488632805</v>
      </c>
      <c r="CM102" s="305">
        <f t="shared" ca="1" si="255"/>
        <v>0.30118552488632805</v>
      </c>
      <c r="CN102" s="305">
        <f t="shared" ca="1" si="256"/>
        <v>0.30118552488632805</v>
      </c>
      <c r="CO102" s="305">
        <f t="shared" ca="1" si="257"/>
        <v>0.3011855248863281</v>
      </c>
      <c r="CP102" s="305">
        <f t="shared" ca="1" si="258"/>
        <v>9.1153180990905608E-2</v>
      </c>
      <c r="CQ102" s="305">
        <f t="shared" ca="1" si="259"/>
        <v>0.25089708100687363</v>
      </c>
      <c r="CR102" s="775">
        <f t="shared" ca="1" si="260"/>
        <v>0.31368552488632806</v>
      </c>
      <c r="CS102" s="305">
        <f t="shared" ca="1" si="261"/>
        <v>0.34118552488632803</v>
      </c>
      <c r="CT102" s="305">
        <f t="shared" ca="1" si="262"/>
        <v>0.33618552488632802</v>
      </c>
      <c r="CU102" s="305">
        <f t="shared" ca="1" si="263"/>
        <v>0.15115318099090561</v>
      </c>
      <c r="CV102" s="770">
        <f t="shared" ca="1" si="264"/>
        <v>0.26589708100687365</v>
      </c>
      <c r="CW102" s="302">
        <f t="shared" ca="1" si="265"/>
        <v>12.768731970663664</v>
      </c>
      <c r="CX102" s="299">
        <f t="shared" ca="1" si="266"/>
        <v>6.0632513473130381</v>
      </c>
      <c r="CY102" s="299">
        <f t="shared" ca="1" si="267"/>
        <v>6.5104703882419397</v>
      </c>
      <c r="CZ102" s="299">
        <f t="shared" ca="1" si="268"/>
        <v>0.64388902085678534</v>
      </c>
      <c r="DA102" s="774">
        <f t="shared" ca="1" si="269"/>
        <v>6.571340404508156</v>
      </c>
      <c r="DB102" s="303">
        <f t="shared" ca="1" si="270"/>
        <v>2882.8538051608703</v>
      </c>
      <c r="DC102" s="248">
        <f t="shared" ca="1" si="271"/>
        <v>248.0008245502876</v>
      </c>
      <c r="DD102" s="778">
        <f t="shared" ca="1" si="272"/>
        <v>0</v>
      </c>
      <c r="DE102" s="363">
        <f t="shared" ca="1" si="273"/>
        <v>0.58965192229306307</v>
      </c>
      <c r="DF102" s="378">
        <f t="shared" ca="1" si="274"/>
        <v>-0.31039598240054433</v>
      </c>
      <c r="DG102" s="508">
        <f t="shared" ca="1" si="275"/>
        <v>-0.80220898516105288</v>
      </c>
      <c r="DH102" s="508">
        <f t="shared" ca="1" si="276"/>
        <v>-0.75293777125588068</v>
      </c>
      <c r="DI102" s="508">
        <f t="shared" ca="1" si="277"/>
        <v>-1.3505425063814354</v>
      </c>
      <c r="DJ102" s="508">
        <f t="shared" ca="1" si="278"/>
        <v>-0.54716345238633113</v>
      </c>
      <c r="DK102" s="353">
        <f t="shared" ca="1" si="279"/>
        <v>-128.15913178216334</v>
      </c>
      <c r="DL102" s="781">
        <f t="shared" ca="1" si="280"/>
        <v>6.483591123868659</v>
      </c>
      <c r="DM102" s="303">
        <f t="shared" ca="1" si="281"/>
        <v>10084.445474150234</v>
      </c>
      <c r="DN102" s="508">
        <f t="shared" ca="1" si="282"/>
        <v>1.3722876387052227</v>
      </c>
      <c r="DO102" s="508">
        <f t="shared" ca="1" si="283"/>
        <v>1.220035115660443</v>
      </c>
      <c r="DP102" s="508">
        <f t="shared" ca="1" si="284"/>
        <v>1.2360800288064395</v>
      </c>
      <c r="DQ102" s="508">
        <f t="shared" ca="1" si="285"/>
        <v>1.1643983449487543</v>
      </c>
      <c r="DR102" s="508">
        <f t="shared" ca="1" si="286"/>
        <v>1.2870944130630122</v>
      </c>
      <c r="DS102" s="353">
        <f t="shared" ca="1" si="287"/>
        <v>5831.0811749401346</v>
      </c>
      <c r="DT102" s="353">
        <f t="shared" ca="1" si="288"/>
        <v>-10424.722579366222</v>
      </c>
      <c r="DU102" s="380">
        <f t="shared" ca="1" si="388"/>
        <v>7.1622176591375766</v>
      </c>
      <c r="DV102" s="303">
        <f t="shared" ca="1" si="289"/>
        <v>207.55747664715821</v>
      </c>
      <c r="DW102" s="303">
        <f t="shared" ca="1" si="290"/>
        <v>37.737723026756036</v>
      </c>
      <c r="DX102" s="303">
        <f t="shared" ca="1" si="291"/>
        <v>47.172153783445047</v>
      </c>
      <c r="DY102" s="303">
        <f t="shared" ca="1" si="292"/>
        <v>292.46735345735931</v>
      </c>
      <c r="DZ102" s="303">
        <f t="shared" ca="1" si="293"/>
        <v>146.23367672867965</v>
      </c>
      <c r="EA102" s="303">
        <f t="shared" ca="1" si="294"/>
        <v>438.70103018603896</v>
      </c>
      <c r="EB102" s="302">
        <f t="shared" ca="1" si="295"/>
        <v>35.79999973326921</v>
      </c>
      <c r="EC102" s="299">
        <f t="shared" ca="1" si="296"/>
        <v>23.819999898821109</v>
      </c>
      <c r="ED102" s="299">
        <f t="shared" ca="1" si="297"/>
        <v>24.864999585859476</v>
      </c>
      <c r="EE102" s="299">
        <f t="shared" ca="1" si="298"/>
        <v>32.490483601822724</v>
      </c>
      <c r="EF102" s="299">
        <f t="shared" ca="1" si="299"/>
        <v>20.524997711181641</v>
      </c>
      <c r="EG102" s="299">
        <f t="shared" ca="1" si="300"/>
        <v>28.501988304942362</v>
      </c>
      <c r="EH102" s="302">
        <f t="shared" ca="1" si="301"/>
        <v>30</v>
      </c>
      <c r="EI102" s="304">
        <f t="shared" ca="1" si="302"/>
        <v>0.10039517496210935</v>
      </c>
      <c r="EJ102" s="305">
        <f t="shared" ca="1" si="303"/>
        <v>0.10039517496210935</v>
      </c>
      <c r="EK102" s="305">
        <f t="shared" ca="1" si="304"/>
        <v>0.10039517496210935</v>
      </c>
      <c r="EL102" s="305">
        <f t="shared" ca="1" si="305"/>
        <v>0.10039517496210938</v>
      </c>
      <c r="EM102" s="305">
        <f t="shared" ca="1" si="306"/>
        <v>3.0384393663635205E-2</v>
      </c>
      <c r="EN102" s="305">
        <f t="shared" ca="1" si="307"/>
        <v>8.059637053324499E-2</v>
      </c>
      <c r="EO102" s="305">
        <f t="shared" ca="1" si="308"/>
        <v>0.10039517496210935</v>
      </c>
      <c r="EP102" s="305">
        <f t="shared" ca="1" si="309"/>
        <v>0.10039517496210935</v>
      </c>
      <c r="EQ102" s="305">
        <f t="shared" ca="1" si="310"/>
        <v>0.10039517496210935</v>
      </c>
      <c r="ER102" s="305">
        <f t="shared" ca="1" si="311"/>
        <v>3.0384393663635205E-2</v>
      </c>
      <c r="ES102" s="305">
        <f t="shared" ca="1" si="312"/>
        <v>8.059637053324499E-2</v>
      </c>
      <c r="ET102" s="299">
        <f t="shared" ca="1" si="313"/>
        <v>3.3313885817808213</v>
      </c>
      <c r="EU102" s="302">
        <f t="shared" ca="1" si="314"/>
        <v>30</v>
      </c>
      <c r="EV102" s="304">
        <f t="shared" ca="1" si="315"/>
        <v>0.30118552488632805</v>
      </c>
      <c r="EW102" s="305">
        <f t="shared" ca="1" si="316"/>
        <v>0.30118552488632805</v>
      </c>
      <c r="EX102" s="305">
        <f t="shared" ca="1" si="317"/>
        <v>0.30118552488632805</v>
      </c>
      <c r="EY102" s="305">
        <f t="shared" ca="1" si="318"/>
        <v>0.3011855248863281</v>
      </c>
      <c r="EZ102" s="305">
        <f t="shared" ca="1" si="319"/>
        <v>9.1153180990905608E-2</v>
      </c>
      <c r="FA102" s="305">
        <f t="shared" ca="1" si="320"/>
        <v>0.25089708100687363</v>
      </c>
      <c r="FB102" s="305">
        <f t="shared" ca="1" si="321"/>
        <v>0.30118552488632805</v>
      </c>
      <c r="FC102" s="305">
        <f t="shared" ca="1" si="322"/>
        <v>0.30118552488632805</v>
      </c>
      <c r="FD102" s="305">
        <f t="shared" ca="1" si="323"/>
        <v>0.30118552488632805</v>
      </c>
      <c r="FE102" s="305">
        <f t="shared" ca="1" si="324"/>
        <v>9.1153180990905608E-2</v>
      </c>
      <c r="FF102" s="305">
        <f t="shared" ca="1" si="325"/>
        <v>0.25089708100687363</v>
      </c>
      <c r="FG102" s="299">
        <f t="shared" ca="1" si="326"/>
        <v>6.9633447759946758</v>
      </c>
      <c r="FH102" s="302">
        <f t="shared" ca="1" si="327"/>
        <v>-3.6319561942138545</v>
      </c>
      <c r="FI102" s="248">
        <f t="shared" ca="1" si="328"/>
        <v>-1593.3429239921834</v>
      </c>
      <c r="FJ102" s="363">
        <f t="shared" ca="1" si="329"/>
        <v>0.58965192229306307</v>
      </c>
      <c r="FK102" s="378">
        <f t="shared" ca="1" si="330"/>
        <v>0.52350534523135095</v>
      </c>
      <c r="FL102" s="508">
        <f t="shared" ca="1" si="331"/>
        <v>-0.99287527614743232</v>
      </c>
      <c r="FM102" s="508">
        <f t="shared" ca="1" si="332"/>
        <v>-0.83307368547600202</v>
      </c>
      <c r="FN102" s="508">
        <f t="shared" ca="1" si="333"/>
        <v>-4.7083161407507044</v>
      </c>
      <c r="FO102" s="508">
        <f t="shared" ca="1" si="334"/>
        <v>-0.34532906207048208</v>
      </c>
      <c r="FP102" s="353">
        <f t="shared" ca="1" si="335"/>
        <v>278.60868739544264</v>
      </c>
      <c r="FQ102" s="356">
        <f t="shared" ca="1" si="336"/>
        <v>25.481390806699128</v>
      </c>
      <c r="FR102" s="380">
        <f t="shared" ca="1" si="337"/>
        <v>22.891999999999999</v>
      </c>
      <c r="FS102" s="299">
        <f t="shared" ca="1" si="338"/>
        <v>22.891999999999999</v>
      </c>
      <c r="FT102" s="299">
        <f t="shared" ca="1" si="339"/>
        <v>22.891999999999999</v>
      </c>
      <c r="FU102" s="299">
        <f t="shared" ca="1" si="340"/>
        <v>22.891999999999999</v>
      </c>
      <c r="FV102" s="299">
        <f t="shared" ca="1" si="341"/>
        <v>22.891999999999999</v>
      </c>
      <c r="FW102" s="850">
        <f t="shared" ca="1" si="342"/>
        <v>0.16500000000000001</v>
      </c>
      <c r="FX102" s="851">
        <f t="shared" ca="1" si="343"/>
        <v>0.5</v>
      </c>
      <c r="FY102" s="851">
        <f t="shared" ca="1" si="344"/>
        <v>0</v>
      </c>
      <c r="FZ102" s="201">
        <f t="shared" ca="1" si="345"/>
        <v>0</v>
      </c>
      <c r="GA102" s="201">
        <f t="shared" ca="1" si="346"/>
        <v>0</v>
      </c>
      <c r="GB102" s="201">
        <f t="shared" ca="1" si="347"/>
        <v>0</v>
      </c>
      <c r="GC102" s="201">
        <f t="shared" ca="1" si="348"/>
        <v>0</v>
      </c>
      <c r="GD102" s="850">
        <f t="shared" ca="1" si="349"/>
        <v>0.31618552488632806</v>
      </c>
      <c r="GE102" s="866">
        <f t="shared" ca="1" si="350"/>
        <v>0.30118552488632805</v>
      </c>
      <c r="GF102" s="866">
        <f t="shared" ca="1" si="351"/>
        <v>0.30368552488632805</v>
      </c>
      <c r="GG102" s="866">
        <f t="shared" ca="1" si="352"/>
        <v>9.1153180990905608E-2</v>
      </c>
      <c r="GH102" s="866">
        <f t="shared" ca="1" si="353"/>
        <v>0.26589708100687365</v>
      </c>
      <c r="GI102" s="302">
        <f t="shared" ca="1" si="354"/>
        <v>16.266636439713224</v>
      </c>
      <c r="GJ102" s="299">
        <f t="shared" ca="1" si="355"/>
        <v>6.8577894097425274</v>
      </c>
      <c r="GK102" s="299">
        <f t="shared" ca="1" si="356"/>
        <v>7.6067977751848508</v>
      </c>
      <c r="GL102" s="299">
        <f t="shared" ca="1" si="357"/>
        <v>2.2454359577980054</v>
      </c>
      <c r="GM102" s="299">
        <f t="shared" ca="1" si="358"/>
        <v>9.4535805714065475</v>
      </c>
      <c r="GN102" s="302">
        <f t="shared" ca="1" si="359"/>
        <v>0.835597750681073</v>
      </c>
      <c r="GO102" s="299">
        <f t="shared" ca="1" si="360"/>
        <v>0.65777528613875069</v>
      </c>
      <c r="GP102" s="299">
        <f t="shared" ca="1" si="361"/>
        <v>0.68070707646623707</v>
      </c>
      <c r="GQ102" s="299">
        <f t="shared" ca="1" si="362"/>
        <v>0.46282326009715485</v>
      </c>
      <c r="GR102" s="299">
        <f t="shared" ca="1" si="363"/>
        <v>0.74645522454395863</v>
      </c>
      <c r="GS102" s="302">
        <f t="shared" ca="1" si="364"/>
        <v>-0.59618057071130715</v>
      </c>
      <c r="GT102" s="299">
        <f t="shared" ca="1" si="365"/>
        <v>-0.38486897200365106</v>
      </c>
      <c r="GU102" s="299">
        <f t="shared" ca="1" si="366"/>
        <v>-0.40708489129120706</v>
      </c>
      <c r="GV102" s="299">
        <f t="shared" ca="1" si="367"/>
        <v>-0.31687967728186206</v>
      </c>
      <c r="GW102" s="299">
        <f t="shared" ca="1" si="368"/>
        <v>-0.51641969097770946</v>
      </c>
      <c r="GX102" s="303">
        <f t="shared" ca="1" si="369"/>
        <v>3376.2620129635902</v>
      </c>
      <c r="GY102" s="303">
        <f t="shared" ca="1" si="370"/>
        <v>258.79735732068428</v>
      </c>
      <c r="GZ102" s="303">
        <f t="shared" ca="1" si="371"/>
        <v>358.82903445058741</v>
      </c>
      <c r="HA102" s="303">
        <f t="shared" ca="1" si="372"/>
        <v>328.3583559675867</v>
      </c>
      <c r="HB102" s="303">
        <f t="shared" ca="1" si="373"/>
        <v>4147.2955356227749</v>
      </c>
      <c r="HC102" s="303">
        <f t="shared" ca="1" si="374"/>
        <v>2679.1518531995484</v>
      </c>
      <c r="HD102" s="303">
        <f t="shared" ca="1" si="375"/>
        <v>35.020603150568668</v>
      </c>
      <c r="HE102" s="303">
        <f t="shared" ca="1" si="376"/>
        <v>93.070639878836602</v>
      </c>
      <c r="HF102" s="303">
        <f t="shared" ca="1" si="377"/>
        <v>0</v>
      </c>
      <c r="HG102" s="852">
        <f t="shared" ca="1" si="378"/>
        <v>2461.1076487098449</v>
      </c>
    </row>
    <row r="103" spans="1:215" x14ac:dyDescent="0.25">
      <c r="A103" s="244">
        <f t="shared" ca="1" si="379"/>
        <v>39234</v>
      </c>
      <c r="B103" s="13">
        <f t="shared" ca="1" si="401"/>
        <v>2007</v>
      </c>
      <c r="C103" s="619">
        <f t="shared" ca="1" si="402"/>
        <v>6</v>
      </c>
      <c r="D103" s="195" t="str">
        <f t="shared" ca="1" si="209"/>
        <v/>
      </c>
      <c r="E103" s="469">
        <f t="shared" ca="1" si="210"/>
        <v>39234</v>
      </c>
      <c r="F103" s="465">
        <f t="shared" ca="1" si="211"/>
        <v>39263</v>
      </c>
      <c r="G103" s="522">
        <f t="shared" ca="1" si="380"/>
        <v>1</v>
      </c>
      <c r="H103" s="519">
        <f t="shared" ca="1" si="381"/>
        <v>1</v>
      </c>
      <c r="I103" s="724">
        <f t="shared" ca="1" si="403"/>
        <v>7.3708626692417997E-2</v>
      </c>
      <c r="J103" s="198">
        <f t="shared" ca="1" si="213"/>
        <v>0.58609365136337499</v>
      </c>
      <c r="K103" s="200">
        <f t="shared" ca="1" si="389"/>
        <v>44.17</v>
      </c>
      <c r="L103" s="201">
        <f t="shared" ca="1" si="390"/>
        <v>49.5</v>
      </c>
      <c r="M103" s="206">
        <f t="shared" ca="1" si="391"/>
        <v>54.83</v>
      </c>
      <c r="N103" s="851">
        <f t="shared" ca="1" si="395"/>
        <v>22.861250152587889</v>
      </c>
      <c r="O103" s="201">
        <f t="shared" ca="1" si="396"/>
        <v>26.858750152587888</v>
      </c>
      <c r="P103" s="206">
        <f t="shared" ca="1" si="397"/>
        <v>30.856250152587887</v>
      </c>
      <c r="Q103" s="201">
        <f t="shared" ca="1" si="398"/>
        <v>17.042499542236325</v>
      </c>
      <c r="R103" s="201">
        <f t="shared" ca="1" si="399"/>
        <v>20.342499542236325</v>
      </c>
      <c r="S103" s="201">
        <f t="shared" ca="1" si="400"/>
        <v>23.642499542236326</v>
      </c>
      <c r="T103" s="851">
        <f t="shared" ca="1" si="392"/>
        <v>16.889998779296874</v>
      </c>
      <c r="U103" s="201">
        <f t="shared" ca="1" si="393"/>
        <v>19.554998779296874</v>
      </c>
      <c r="V103" s="206">
        <f t="shared" ca="1" si="394"/>
        <v>22.219998779296873</v>
      </c>
      <c r="W103" s="230">
        <f t="shared" ca="1" si="382"/>
        <v>0.12578341113457028</v>
      </c>
      <c r="X103" s="231">
        <f t="shared" ca="1" si="383"/>
        <v>0.25156682226914057</v>
      </c>
      <c r="Y103" s="232">
        <f t="shared" ca="1" si="384"/>
        <v>0.37735023340371088</v>
      </c>
      <c r="Z103" s="231">
        <f t="shared" ca="1" si="404"/>
        <v>0.12578341113457028</v>
      </c>
      <c r="AA103" s="231">
        <f t="shared" ca="1" si="405"/>
        <v>0.25156682226914057</v>
      </c>
      <c r="AB103" s="232">
        <f t="shared" ca="1" si="406"/>
        <v>0.37735023340371088</v>
      </c>
      <c r="AC103" s="231">
        <f t="shared" ca="1" si="407"/>
        <v>0.12578341113457028</v>
      </c>
      <c r="AD103" s="231">
        <f t="shared" ca="1" si="408"/>
        <v>0.25156682226914057</v>
      </c>
      <c r="AE103" s="232">
        <f t="shared" ca="1" si="214"/>
        <v>0.37735023340371088</v>
      </c>
      <c r="AF103" s="231">
        <f t="shared" ca="1" si="385"/>
        <v>3.9065648996102396E-2</v>
      </c>
      <c r="AG103" s="231">
        <f t="shared" ca="1" si="386"/>
        <v>7.8131297992204793E-2</v>
      </c>
      <c r="AH103" s="232">
        <f t="shared" ca="1" si="387"/>
        <v>0.11719694698830718</v>
      </c>
      <c r="AI103" s="233">
        <f t="shared" ca="1" si="215"/>
        <v>1.65</v>
      </c>
      <c r="AJ103" s="233">
        <f t="shared" ca="1" si="216"/>
        <v>2</v>
      </c>
      <c r="AK103" s="234">
        <f t="shared" ca="1" si="217"/>
        <v>2.2999999999999998</v>
      </c>
      <c r="AL103" s="919">
        <f t="shared" ca="1" si="218"/>
        <v>1.65</v>
      </c>
      <c r="AM103" s="233">
        <f t="shared" ca="1" si="219"/>
        <v>2</v>
      </c>
      <c r="AN103" s="234">
        <f t="shared" ca="1" si="220"/>
        <v>2.2999999999999998</v>
      </c>
      <c r="AO103" s="233">
        <f t="shared" ca="1" si="221"/>
        <v>1.65</v>
      </c>
      <c r="AP103" s="233">
        <f t="shared" ca="1" si="222"/>
        <v>2</v>
      </c>
      <c r="AQ103" s="233">
        <f t="shared" ca="1" si="223"/>
        <v>2.2999999999999998</v>
      </c>
      <c r="AR103" s="919">
        <f t="shared" ca="1" si="224"/>
        <v>0.5</v>
      </c>
      <c r="AS103" s="233">
        <f t="shared" ca="1" si="225"/>
        <v>0.65</v>
      </c>
      <c r="AT103" s="235">
        <f t="shared" ca="1" si="226"/>
        <v>0.85000000000000009</v>
      </c>
      <c r="AU103" s="946">
        <f t="shared" si="227"/>
        <v>0.5</v>
      </c>
      <c r="AV103" s="13">
        <f t="shared" ca="1" si="228"/>
        <v>21</v>
      </c>
      <c r="AW103" s="210">
        <f t="shared" ca="1" si="229"/>
        <v>5</v>
      </c>
      <c r="AX103" s="210">
        <f t="shared" ca="1" si="230"/>
        <v>4</v>
      </c>
      <c r="AY103" s="210">
        <f t="shared" ca="1" si="231"/>
        <v>0</v>
      </c>
      <c r="AZ103" s="13">
        <f t="shared" ca="1" si="232"/>
        <v>30</v>
      </c>
      <c r="BA103" s="357">
        <f ca="1"/>
        <v>336</v>
      </c>
      <c r="BB103" s="925">
        <f ca="1"/>
        <v>80</v>
      </c>
      <c r="BC103" s="925">
        <f ca="1"/>
        <v>64</v>
      </c>
      <c r="BD103" s="928">
        <f ca="1"/>
        <v>240</v>
      </c>
      <c r="BE103" s="200">
        <f ca="1"/>
        <v>1.0000000037252903</v>
      </c>
      <c r="BF103" s="851">
        <f ca="1"/>
        <v>1.0000000037252903</v>
      </c>
      <c r="BG103" s="851">
        <f ca="1"/>
        <v>1.0000000037252903</v>
      </c>
      <c r="BH103" s="933">
        <f ca="1"/>
        <v>1</v>
      </c>
      <c r="BI103" s="357">
        <f ca="1"/>
        <v>336</v>
      </c>
      <c r="BJ103" s="925">
        <f ca="1"/>
        <v>80</v>
      </c>
      <c r="BK103" s="925">
        <f ca="1"/>
        <v>64</v>
      </c>
      <c r="BL103" s="928">
        <f ca="1"/>
        <v>240</v>
      </c>
      <c r="BM103" s="200">
        <f ca="1"/>
        <v>1.0000000037252903</v>
      </c>
      <c r="BN103" s="851">
        <f ca="1"/>
        <v>1.0000000037252903</v>
      </c>
      <c r="BO103" s="851">
        <f ca="1"/>
        <v>1.0000000037252903</v>
      </c>
      <c r="BP103" s="933">
        <f ca="1"/>
        <v>1</v>
      </c>
      <c r="BQ103" s="357">
        <f t="shared" ca="1" si="233"/>
        <v>720</v>
      </c>
      <c r="BR103" s="361">
        <f t="shared" ca="1" si="234"/>
        <v>720</v>
      </c>
      <c r="BS103" s="357">
        <f t="shared" ca="1" si="235"/>
        <v>421.98742898162999</v>
      </c>
      <c r="BT103" s="302">
        <f t="shared" ca="1" si="236"/>
        <v>30.297694105701829</v>
      </c>
      <c r="BU103" s="299">
        <f t="shared" ca="1" si="237"/>
        <v>34.410860784381939</v>
      </c>
      <c r="BV103" s="299">
        <f t="shared" ca="1" si="238"/>
        <v>38.524027463062041</v>
      </c>
      <c r="BW103" s="299">
        <f t="shared" ca="1" si="239"/>
        <v>32.659889647739881</v>
      </c>
      <c r="BX103" s="380">
        <f t="shared" ca="1" si="240"/>
        <v>7.2470910335386725</v>
      </c>
      <c r="BY103" s="363">
        <f t="shared" ca="1" si="241"/>
        <v>196.92746685809399</v>
      </c>
      <c r="BZ103" s="353">
        <f t="shared" ca="1" si="242"/>
        <v>46.887492109069996</v>
      </c>
      <c r="CA103" s="353">
        <f t="shared" ca="1" si="243"/>
        <v>37.509993687255999</v>
      </c>
      <c r="CB103" s="353">
        <f t="shared" ca="1" si="244"/>
        <v>281.32495265441997</v>
      </c>
      <c r="CC103" s="353">
        <f t="shared" ca="1" si="245"/>
        <v>140.66247632720999</v>
      </c>
      <c r="CD103" s="353">
        <f t="shared" ca="1" si="246"/>
        <v>421.98742898162993</v>
      </c>
      <c r="CE103" s="302">
        <f t="shared" ca="1" si="247"/>
        <v>54.830000204257665</v>
      </c>
      <c r="CF103" s="299">
        <f t="shared" ca="1" si="248"/>
        <v>30.856250267536375</v>
      </c>
      <c r="CG103" s="299">
        <f t="shared" ca="1" si="249"/>
        <v>23.642499630311502</v>
      </c>
      <c r="CH103" s="299">
        <f t="shared" ca="1" si="250"/>
        <v>46.676041804944624</v>
      </c>
      <c r="CI103" s="299">
        <f t="shared" ca="1" si="251"/>
        <v>22.219998779296873</v>
      </c>
      <c r="CJ103" s="299">
        <f t="shared" ca="1" si="252"/>
        <v>38.524027463062041</v>
      </c>
      <c r="CK103" s="299">
        <f t="shared" ca="1" si="253"/>
        <v>32.659889647739881</v>
      </c>
      <c r="CL103" s="377">
        <f t="shared" ca="1" si="254"/>
        <v>0.37735023340371088</v>
      </c>
      <c r="CM103" s="305">
        <f t="shared" ca="1" si="255"/>
        <v>0.37735023340371088</v>
      </c>
      <c r="CN103" s="305">
        <f t="shared" ca="1" si="256"/>
        <v>0.37735023340371088</v>
      </c>
      <c r="CO103" s="305">
        <f t="shared" ca="1" si="257"/>
        <v>0.37735023340371093</v>
      </c>
      <c r="CP103" s="305">
        <f t="shared" ca="1" si="258"/>
        <v>0.11719694698830718</v>
      </c>
      <c r="CQ103" s="305">
        <f t="shared" ca="1" si="259"/>
        <v>0.33326564836319766</v>
      </c>
      <c r="CR103" s="775">
        <f t="shared" ca="1" si="260"/>
        <v>0.39235023340371089</v>
      </c>
      <c r="CS103" s="305">
        <f t="shared" ca="1" si="261"/>
        <v>0.37735023340371088</v>
      </c>
      <c r="CT103" s="305">
        <f t="shared" ca="1" si="262"/>
        <v>0.42735023340371087</v>
      </c>
      <c r="CU103" s="305">
        <f t="shared" ca="1" si="263"/>
        <v>0.17719694698830718</v>
      </c>
      <c r="CV103" s="770">
        <f t="shared" ca="1" si="264"/>
        <v>0.34826564836319768</v>
      </c>
      <c r="CW103" s="302">
        <f t="shared" ca="1" si="265"/>
        <v>30.535561052128411</v>
      </c>
      <c r="CX103" s="299">
        <f t="shared" ca="1" si="266"/>
        <v>11.453601121083615</v>
      </c>
      <c r="CY103" s="299">
        <f t="shared" ca="1" si="267"/>
        <v>8.1575360937691173</v>
      </c>
      <c r="CZ103" s="299">
        <f t="shared" ca="1" si="268"/>
        <v>1.4992127087111005</v>
      </c>
      <c r="DA103" s="774">
        <f t="shared" ca="1" si="269"/>
        <v>15.956522644282355</v>
      </c>
      <c r="DB103" s="303">
        <f t="shared" ca="1" si="270"/>
        <v>6733.4519661478698</v>
      </c>
      <c r="DC103" s="248">
        <f t="shared" ca="1" si="271"/>
        <v>312.48446338461906</v>
      </c>
      <c r="DD103" s="778">
        <f t="shared" ca="1" si="272"/>
        <v>2474.5924398817501</v>
      </c>
      <c r="DE103" s="363">
        <f t="shared" ca="1" si="273"/>
        <v>0.58609365136337499</v>
      </c>
      <c r="DF103" s="378">
        <f t="shared" ca="1" si="274"/>
        <v>-3.7600116904264978E-2</v>
      </c>
      <c r="DG103" s="508">
        <f t="shared" ca="1" si="275"/>
        <v>-0.56384378294217452</v>
      </c>
      <c r="DH103" s="508">
        <f t="shared" ca="1" si="276"/>
        <v>-0.85607185822836462</v>
      </c>
      <c r="DI103" s="508">
        <f t="shared" ca="1" si="277"/>
        <v>-1.0459269612696773</v>
      </c>
      <c r="DJ103" s="508">
        <f t="shared" ca="1" si="278"/>
        <v>-0.29263812262427391</v>
      </c>
      <c r="DK103" s="353">
        <f t="shared" ca="1" si="279"/>
        <v>-162.42272909224971</v>
      </c>
      <c r="DL103" s="781">
        <f t="shared" ca="1" si="280"/>
        <v>5.267526126919357</v>
      </c>
      <c r="DM103" s="303">
        <f t="shared" ca="1" si="281"/>
        <v>13590.345497621613</v>
      </c>
      <c r="DN103" s="508">
        <f t="shared" ca="1" si="282"/>
        <v>1.5383580577764684</v>
      </c>
      <c r="DO103" s="508">
        <f t="shared" ca="1" si="283"/>
        <v>1.3247820358717066</v>
      </c>
      <c r="DP103" s="508">
        <f t="shared" ca="1" si="284"/>
        <v>1.2258534074096448</v>
      </c>
      <c r="DQ103" s="508">
        <f t="shared" ca="1" si="285"/>
        <v>1.2028004992206207</v>
      </c>
      <c r="DR103" s="508">
        <f t="shared" ca="1" si="286"/>
        <v>1.407234310964173</v>
      </c>
      <c r="DS103" s="353">
        <f t="shared" ca="1" si="287"/>
        <v>6486.4160001523687</v>
      </c>
      <c r="DT103" s="353">
        <f t="shared" ca="1" si="288"/>
        <v>-11726.322185235345</v>
      </c>
      <c r="DU103" s="380">
        <f t="shared" ca="1" si="388"/>
        <v>7.2470910335386725</v>
      </c>
      <c r="DV103" s="303">
        <f t="shared" ca="1" si="289"/>
        <v>196.92746685809399</v>
      </c>
      <c r="DW103" s="303">
        <f t="shared" ca="1" si="290"/>
        <v>46.887492109069996</v>
      </c>
      <c r="DX103" s="303">
        <f t="shared" ca="1" si="291"/>
        <v>37.509993687255999</v>
      </c>
      <c r="DY103" s="303">
        <f t="shared" ca="1" si="292"/>
        <v>281.32495265441997</v>
      </c>
      <c r="DZ103" s="303">
        <f t="shared" ca="1" si="293"/>
        <v>140.66247632720999</v>
      </c>
      <c r="EA103" s="303">
        <f t="shared" ca="1" si="294"/>
        <v>421.98742898162993</v>
      </c>
      <c r="EB103" s="302">
        <f t="shared" ca="1" si="295"/>
        <v>54.830000204257665</v>
      </c>
      <c r="EC103" s="299">
        <f t="shared" ca="1" si="296"/>
        <v>30.856250267536375</v>
      </c>
      <c r="ED103" s="299">
        <f t="shared" ca="1" si="297"/>
        <v>23.642499630311502</v>
      </c>
      <c r="EE103" s="299">
        <f t="shared" ca="1" si="298"/>
        <v>46.676041804944624</v>
      </c>
      <c r="EF103" s="299">
        <f t="shared" ca="1" si="299"/>
        <v>22.219998779296873</v>
      </c>
      <c r="EG103" s="299">
        <f t="shared" ca="1" si="300"/>
        <v>38.524027463062041</v>
      </c>
      <c r="EH103" s="302">
        <f t="shared" ca="1" si="301"/>
        <v>30</v>
      </c>
      <c r="EI103" s="304">
        <f t="shared" ca="1" si="302"/>
        <v>0.12578341113457028</v>
      </c>
      <c r="EJ103" s="305">
        <f t="shared" ca="1" si="303"/>
        <v>0.12578341113457028</v>
      </c>
      <c r="EK103" s="305">
        <f t="shared" ca="1" si="304"/>
        <v>0.12578341113457028</v>
      </c>
      <c r="EL103" s="305">
        <f t="shared" ca="1" si="305"/>
        <v>0.12578341113457031</v>
      </c>
      <c r="EM103" s="305">
        <f t="shared" ca="1" si="306"/>
        <v>3.9065648996102396E-2</v>
      </c>
      <c r="EN103" s="305">
        <f t="shared" ca="1" si="307"/>
        <v>0.10625266133391795</v>
      </c>
      <c r="EO103" s="305">
        <f t="shared" ca="1" si="308"/>
        <v>0.12578341113457028</v>
      </c>
      <c r="EP103" s="305">
        <f t="shared" ca="1" si="309"/>
        <v>0.12578341113457028</v>
      </c>
      <c r="EQ103" s="305">
        <f t="shared" ca="1" si="310"/>
        <v>0.12578341113457028</v>
      </c>
      <c r="ER103" s="305">
        <f t="shared" ca="1" si="311"/>
        <v>3.9065648996102396E-2</v>
      </c>
      <c r="ES103" s="305">
        <f t="shared" ca="1" si="312"/>
        <v>0.10625266133391795</v>
      </c>
      <c r="ET103" s="299">
        <f t="shared" ca="1" si="313"/>
        <v>1.017102912068748</v>
      </c>
      <c r="EU103" s="302">
        <f t="shared" ca="1" si="314"/>
        <v>30</v>
      </c>
      <c r="EV103" s="304">
        <f t="shared" ca="1" si="315"/>
        <v>0.37735023340371088</v>
      </c>
      <c r="EW103" s="305">
        <f t="shared" ca="1" si="316"/>
        <v>0.37735023340371088</v>
      </c>
      <c r="EX103" s="305">
        <f t="shared" ca="1" si="317"/>
        <v>0.37735023340371088</v>
      </c>
      <c r="EY103" s="305">
        <f t="shared" ca="1" si="318"/>
        <v>0.37735023340371093</v>
      </c>
      <c r="EZ103" s="305">
        <f t="shared" ca="1" si="319"/>
        <v>0.11719694698830718</v>
      </c>
      <c r="FA103" s="305">
        <f t="shared" ca="1" si="320"/>
        <v>0.33326564836319766</v>
      </c>
      <c r="FB103" s="305">
        <f t="shared" ca="1" si="321"/>
        <v>0.37735023340371088</v>
      </c>
      <c r="FC103" s="305">
        <f t="shared" ca="1" si="322"/>
        <v>0.37735023340371088</v>
      </c>
      <c r="FD103" s="305">
        <f t="shared" ca="1" si="323"/>
        <v>0.37735023340371088</v>
      </c>
      <c r="FE103" s="305">
        <f t="shared" ca="1" si="324"/>
        <v>0.11719694698830718</v>
      </c>
      <c r="FF103" s="305">
        <f t="shared" ca="1" si="325"/>
        <v>0.33326564836319766</v>
      </c>
      <c r="FG103" s="299">
        <f t="shared" ca="1" si="326"/>
        <v>16.551116015739186</v>
      </c>
      <c r="FH103" s="302">
        <f t="shared" ca="1" si="327"/>
        <v>-15.534013103670439</v>
      </c>
      <c r="FI103" s="248">
        <f t="shared" ca="1" si="328"/>
        <v>-6555.158251384838</v>
      </c>
      <c r="FJ103" s="363">
        <f t="shared" ca="1" si="329"/>
        <v>0.58609365136337499</v>
      </c>
      <c r="FK103" s="378">
        <f t="shared" ca="1" si="330"/>
        <v>1.6115987811636618</v>
      </c>
      <c r="FL103" s="508">
        <f t="shared" ca="1" si="331"/>
        <v>-8.6197950347287777E-2</v>
      </c>
      <c r="FM103" s="508">
        <f t="shared" ca="1" si="332"/>
        <v>-0.87261910641998042</v>
      </c>
      <c r="FN103" s="508">
        <f t="shared" ca="1" si="333"/>
        <v>-2.9071519984380636</v>
      </c>
      <c r="FO103" s="508">
        <f t="shared" ca="1" si="334"/>
        <v>0.73129187353795566</v>
      </c>
      <c r="FP103" s="353">
        <f t="shared" ca="1" si="335"/>
        <v>98.02783700349768</v>
      </c>
      <c r="FQ103" s="356">
        <f t="shared" ca="1" si="336"/>
        <v>15.015477126809616</v>
      </c>
      <c r="FR103" s="380">
        <f t="shared" ca="1" si="337"/>
        <v>22.94</v>
      </c>
      <c r="FS103" s="299">
        <f t="shared" ca="1" si="338"/>
        <v>22.94</v>
      </c>
      <c r="FT103" s="299">
        <f t="shared" ca="1" si="339"/>
        <v>22.94</v>
      </c>
      <c r="FU103" s="299">
        <f t="shared" ca="1" si="340"/>
        <v>22.94</v>
      </c>
      <c r="FV103" s="299">
        <f t="shared" ca="1" si="341"/>
        <v>22.94</v>
      </c>
      <c r="FW103" s="850">
        <f t="shared" ca="1" si="342"/>
        <v>0.16500000000000001</v>
      </c>
      <c r="FX103" s="851">
        <f t="shared" ca="1" si="343"/>
        <v>0.5</v>
      </c>
      <c r="FY103" s="851">
        <f t="shared" ca="1" si="344"/>
        <v>0</v>
      </c>
      <c r="FZ103" s="201">
        <f t="shared" ca="1" si="345"/>
        <v>0</v>
      </c>
      <c r="GA103" s="201">
        <f t="shared" ca="1" si="346"/>
        <v>0</v>
      </c>
      <c r="GB103" s="201">
        <f t="shared" ca="1" si="347"/>
        <v>0</v>
      </c>
      <c r="GC103" s="201">
        <f t="shared" ca="1" si="348"/>
        <v>0</v>
      </c>
      <c r="GD103" s="850">
        <f t="shared" ca="1" si="349"/>
        <v>0.39235023340371089</v>
      </c>
      <c r="GE103" s="866">
        <f t="shared" ca="1" si="350"/>
        <v>0.39235023340371089</v>
      </c>
      <c r="GF103" s="866">
        <f t="shared" ca="1" si="351"/>
        <v>0.37735023340371088</v>
      </c>
      <c r="GG103" s="866">
        <f t="shared" ca="1" si="352"/>
        <v>0.11719694698830718</v>
      </c>
      <c r="GH103" s="866">
        <f t="shared" ca="1" si="353"/>
        <v>0.34826564836319768</v>
      </c>
      <c r="GI103" s="302">
        <f t="shared" ca="1" si="354"/>
        <v>34.69077018251658</v>
      </c>
      <c r="GJ103" s="299">
        <f t="shared" ca="1" si="355"/>
        <v>13.93300833169884</v>
      </c>
      <c r="GK103" s="299">
        <f t="shared" ca="1" si="356"/>
        <v>8.2933845723513215</v>
      </c>
      <c r="GL103" s="299">
        <f t="shared" ca="1" si="357"/>
        <v>3.1940999599472115</v>
      </c>
      <c r="GM103" s="299">
        <f t="shared" ca="1" si="358"/>
        <v>19.241582896446964</v>
      </c>
      <c r="GN103" s="302">
        <f t="shared" ca="1" si="359"/>
        <v>0.9204183953958277</v>
      </c>
      <c r="GO103" s="299">
        <f t="shared" ca="1" si="360"/>
        <v>0.78289902204167006</v>
      </c>
      <c r="GP103" s="299">
        <f t="shared" ca="1" si="361"/>
        <v>0.68268603854551968</v>
      </c>
      <c r="GQ103" s="299">
        <f t="shared" ca="1" si="362"/>
        <v>0.54671635315039735</v>
      </c>
      <c r="GR103" s="299">
        <f t="shared" ca="1" si="363"/>
        <v>0.85183482353534523</v>
      </c>
      <c r="GS103" s="302">
        <f t="shared" ca="1" si="364"/>
        <v>-0.68769743839982223</v>
      </c>
      <c r="GT103" s="299">
        <f t="shared" ca="1" si="365"/>
        <v>-0.44569847946300212</v>
      </c>
      <c r="GU103" s="299">
        <f t="shared" ca="1" si="366"/>
        <v>-0.34206719575933875</v>
      </c>
      <c r="GV103" s="299">
        <f t="shared" ca="1" si="367"/>
        <v>-0.39031978050879246</v>
      </c>
      <c r="GW103" s="299">
        <f t="shared" ca="1" si="368"/>
        <v>-0.59174060683305219</v>
      </c>
      <c r="GX103" s="303">
        <f t="shared" ca="1" si="369"/>
        <v>6831.5654953992889</v>
      </c>
      <c r="GY103" s="303">
        <f t="shared" ca="1" si="370"/>
        <v>653.28381820813581</v>
      </c>
      <c r="GZ103" s="303">
        <f t="shared" ca="1" si="371"/>
        <v>311.08480295488437</v>
      </c>
      <c r="HA103" s="303">
        <f t="shared" ca="1" si="372"/>
        <v>449.29001000281698</v>
      </c>
      <c r="HB103" s="303">
        <f t="shared" ca="1" si="373"/>
        <v>8119.7060960085582</v>
      </c>
      <c r="HC103" s="303">
        <f t="shared" ca="1" si="374"/>
        <v>6280.0169583285615</v>
      </c>
      <c r="HD103" s="303">
        <f t="shared" ca="1" si="375"/>
        <v>371.17312195253493</v>
      </c>
      <c r="HE103" s="303">
        <f t="shared" ca="1" si="376"/>
        <v>26.350756698284052</v>
      </c>
      <c r="HF103" s="303">
        <f t="shared" ca="1" si="377"/>
        <v>0</v>
      </c>
      <c r="HG103" s="852">
        <f t="shared" ca="1" si="378"/>
        <v>6576.2636823166631</v>
      </c>
    </row>
    <row r="104" spans="1:215" x14ac:dyDescent="0.25">
      <c r="A104" s="244">
        <f t="shared" ca="1" si="379"/>
        <v>39264</v>
      </c>
      <c r="B104" s="13">
        <f t="shared" ca="1" si="401"/>
        <v>2007</v>
      </c>
      <c r="C104" s="619">
        <f t="shared" ca="1" si="402"/>
        <v>7</v>
      </c>
      <c r="D104" s="195">
        <f t="shared" ca="1" si="209"/>
        <v>39267</v>
      </c>
      <c r="E104" s="469">
        <f t="shared" ca="1" si="210"/>
        <v>39264</v>
      </c>
      <c r="F104" s="465">
        <f t="shared" ca="1" si="211"/>
        <v>39294</v>
      </c>
      <c r="G104" s="522">
        <f t="shared" ca="1" si="380"/>
        <v>1</v>
      </c>
      <c r="H104" s="519">
        <f t="shared" ca="1" si="381"/>
        <v>1</v>
      </c>
      <c r="I104" s="724">
        <f t="shared" ca="1" si="403"/>
        <v>7.3723419068668999E-2</v>
      </c>
      <c r="J104" s="198">
        <f t="shared" ca="1" si="213"/>
        <v>0.58244205146161265</v>
      </c>
      <c r="K104" s="200">
        <f t="shared" ca="1" si="389"/>
        <v>66</v>
      </c>
      <c r="L104" s="201">
        <f t="shared" ca="1" si="390"/>
        <v>71</v>
      </c>
      <c r="M104" s="206">
        <f t="shared" ca="1" si="391"/>
        <v>76</v>
      </c>
      <c r="N104" s="851">
        <f t="shared" ca="1" si="395"/>
        <v>36.311249542236339</v>
      </c>
      <c r="O104" s="201">
        <f t="shared" ca="1" si="396"/>
        <v>40.061249542236339</v>
      </c>
      <c r="P104" s="206">
        <f t="shared" ca="1" si="397"/>
        <v>43.811249542236339</v>
      </c>
      <c r="Q104" s="201">
        <f t="shared" ca="1" si="398"/>
        <v>26.247499465942379</v>
      </c>
      <c r="R104" s="201">
        <f t="shared" ca="1" si="399"/>
        <v>29.54749946594238</v>
      </c>
      <c r="S104" s="201">
        <f t="shared" ca="1" si="400"/>
        <v>32.847499465942377</v>
      </c>
      <c r="T104" s="851">
        <f t="shared" ca="1" si="392"/>
        <v>21.549997711181639</v>
      </c>
      <c r="U104" s="201">
        <f t="shared" ca="1" si="393"/>
        <v>24.049997711181639</v>
      </c>
      <c r="V104" s="206">
        <f t="shared" ca="1" si="394"/>
        <v>26.549997711181639</v>
      </c>
      <c r="W104" s="230">
        <f t="shared" ca="1" si="382"/>
        <v>0.14893880568925774</v>
      </c>
      <c r="X104" s="231">
        <f t="shared" ca="1" si="383"/>
        <v>0.29787761137851548</v>
      </c>
      <c r="Y104" s="232">
        <f t="shared" ca="1" si="384"/>
        <v>0.4468164170677732</v>
      </c>
      <c r="Z104" s="231">
        <f t="shared" ca="1" si="404"/>
        <v>0.14893880568925774</v>
      </c>
      <c r="AA104" s="231">
        <f t="shared" ca="1" si="405"/>
        <v>0.29787761137851548</v>
      </c>
      <c r="AB104" s="232">
        <f t="shared" ca="1" si="406"/>
        <v>0.4468164170677732</v>
      </c>
      <c r="AC104" s="231">
        <f t="shared" ca="1" si="407"/>
        <v>0.14893880568925774</v>
      </c>
      <c r="AD104" s="231">
        <f t="shared" ca="1" si="408"/>
        <v>0.29787761137851548</v>
      </c>
      <c r="AE104" s="232">
        <f t="shared" ca="1" si="214"/>
        <v>0.4468164170677732</v>
      </c>
      <c r="AF104" s="231">
        <f t="shared" ca="1" si="385"/>
        <v>5.2087531994803191E-2</v>
      </c>
      <c r="AG104" s="231">
        <f t="shared" ca="1" si="386"/>
        <v>0.10417506398960638</v>
      </c>
      <c r="AH104" s="232">
        <f t="shared" ca="1" si="387"/>
        <v>0.15626259598440956</v>
      </c>
      <c r="AI104" s="233">
        <f t="shared" ca="1" si="215"/>
        <v>2.65</v>
      </c>
      <c r="AJ104" s="233">
        <f t="shared" ca="1" si="216"/>
        <v>3</v>
      </c>
      <c r="AK104" s="234">
        <f t="shared" ca="1" si="217"/>
        <v>3.5</v>
      </c>
      <c r="AL104" s="919">
        <f t="shared" ca="1" si="218"/>
        <v>2.65</v>
      </c>
      <c r="AM104" s="233">
        <f t="shared" ca="1" si="219"/>
        <v>3</v>
      </c>
      <c r="AN104" s="234">
        <f t="shared" ca="1" si="220"/>
        <v>3.5</v>
      </c>
      <c r="AO104" s="233">
        <f t="shared" ca="1" si="221"/>
        <v>2.65</v>
      </c>
      <c r="AP104" s="233">
        <f t="shared" ca="1" si="222"/>
        <v>3</v>
      </c>
      <c r="AQ104" s="233">
        <f t="shared" ca="1" si="223"/>
        <v>3.5</v>
      </c>
      <c r="AR104" s="919">
        <f t="shared" ca="1" si="224"/>
        <v>0.6</v>
      </c>
      <c r="AS104" s="233">
        <f t="shared" ca="1" si="225"/>
        <v>0.75</v>
      </c>
      <c r="AT104" s="235">
        <f t="shared" ca="1" si="226"/>
        <v>0.95</v>
      </c>
      <c r="AU104" s="946">
        <f t="shared" si="227"/>
        <v>0.5</v>
      </c>
      <c r="AV104" s="13">
        <f t="shared" ca="1" si="228"/>
        <v>21</v>
      </c>
      <c r="AW104" s="210">
        <f t="shared" ca="1" si="229"/>
        <v>4</v>
      </c>
      <c r="AX104" s="210">
        <f t="shared" ca="1" si="230"/>
        <v>5</v>
      </c>
      <c r="AY104" s="210">
        <f t="shared" ca="1" si="231"/>
        <v>1</v>
      </c>
      <c r="AZ104" s="13">
        <f t="shared" ca="1" si="232"/>
        <v>31</v>
      </c>
      <c r="BA104" s="357">
        <f ca="1"/>
        <v>336</v>
      </c>
      <c r="BB104" s="925">
        <f ca="1"/>
        <v>64</v>
      </c>
      <c r="BC104" s="925">
        <f ca="1"/>
        <v>96</v>
      </c>
      <c r="BD104" s="928">
        <f ca="1"/>
        <v>248</v>
      </c>
      <c r="BE104" s="200">
        <f ca="1"/>
        <v>1.0000000111758709</v>
      </c>
      <c r="BF104" s="851">
        <f ca="1"/>
        <v>1.0000000111758709</v>
      </c>
      <c r="BG104" s="851">
        <f ca="1"/>
        <v>1.0000000111758709</v>
      </c>
      <c r="BH104" s="933">
        <f ca="1"/>
        <v>1.0000000149011612</v>
      </c>
      <c r="BI104" s="357">
        <f ca="1"/>
        <v>336</v>
      </c>
      <c r="BJ104" s="925">
        <f ca="1"/>
        <v>64</v>
      </c>
      <c r="BK104" s="925">
        <f ca="1"/>
        <v>96</v>
      </c>
      <c r="BL104" s="928">
        <f ca="1"/>
        <v>248</v>
      </c>
      <c r="BM104" s="200">
        <f ca="1"/>
        <v>1.0000000111758709</v>
      </c>
      <c r="BN104" s="851">
        <f ca="1"/>
        <v>1.0000000111758709</v>
      </c>
      <c r="BO104" s="851">
        <f ca="1"/>
        <v>1.0000000111758709</v>
      </c>
      <c r="BP104" s="933">
        <f ca="1"/>
        <v>1.0000000149011612</v>
      </c>
      <c r="BQ104" s="357">
        <f t="shared" ca="1" si="233"/>
        <v>744</v>
      </c>
      <c r="BR104" s="361">
        <f t="shared" ca="1" si="234"/>
        <v>744</v>
      </c>
      <c r="BS104" s="357">
        <f t="shared" ca="1" si="235"/>
        <v>433.33688628743982</v>
      </c>
      <c r="BT104" s="302">
        <f t="shared" ca="1" si="236"/>
        <v>43.500107168565663</v>
      </c>
      <c r="BU104" s="299">
        <f t="shared" ca="1" si="237"/>
        <v>47.339892160819574</v>
      </c>
      <c r="BV104" s="299">
        <f t="shared" ca="1" si="238"/>
        <v>51.179677153073477</v>
      </c>
      <c r="BW104" s="299">
        <f t="shared" ca="1" si="239"/>
        <v>32.659889647739881</v>
      </c>
      <c r="BX104" s="380">
        <f t="shared" ca="1" si="240"/>
        <v>7.3292265571526354</v>
      </c>
      <c r="BY104" s="363">
        <f t="shared" ca="1" si="241"/>
        <v>195.70052929110184</v>
      </c>
      <c r="BZ104" s="353">
        <f t="shared" ca="1" si="242"/>
        <v>37.27629129354321</v>
      </c>
      <c r="CA104" s="353">
        <f t="shared" ca="1" si="243"/>
        <v>55.914436940314815</v>
      </c>
      <c r="CB104" s="353">
        <f t="shared" ca="1" si="244"/>
        <v>288.89125752495988</v>
      </c>
      <c r="CC104" s="353">
        <f t="shared" ca="1" si="245"/>
        <v>144.44562876247994</v>
      </c>
      <c r="CD104" s="353">
        <f t="shared" ca="1" si="246"/>
        <v>433.33688628743982</v>
      </c>
      <c r="CE104" s="302">
        <f t="shared" ca="1" si="247"/>
        <v>76.000000849366188</v>
      </c>
      <c r="CF104" s="299">
        <f t="shared" ca="1" si="248"/>
        <v>43.811250031865207</v>
      </c>
      <c r="CG104" s="299">
        <f t="shared" ca="1" si="249"/>
        <v>32.847499833041788</v>
      </c>
      <c r="CH104" s="299">
        <f t="shared" ca="1" si="250"/>
        <v>63.494516676206501</v>
      </c>
      <c r="CI104" s="299">
        <f t="shared" ca="1" si="251"/>
        <v>26.549998106807436</v>
      </c>
      <c r="CJ104" s="299">
        <f t="shared" ca="1" si="252"/>
        <v>51.179677153073477</v>
      </c>
      <c r="CK104" s="299">
        <f t="shared" ca="1" si="253"/>
        <v>32.659889647739881</v>
      </c>
      <c r="CL104" s="377">
        <f t="shared" ca="1" si="254"/>
        <v>0.4468164170677732</v>
      </c>
      <c r="CM104" s="305">
        <f t="shared" ca="1" si="255"/>
        <v>0.4468164170677732</v>
      </c>
      <c r="CN104" s="305">
        <f t="shared" ca="1" si="256"/>
        <v>0.4468164170677732</v>
      </c>
      <c r="CO104" s="305">
        <f t="shared" ca="1" si="257"/>
        <v>0.4468164170677732</v>
      </c>
      <c r="CP104" s="305">
        <f t="shared" ca="1" si="258"/>
        <v>0.15626259598440956</v>
      </c>
      <c r="CQ104" s="305">
        <f t="shared" ca="1" si="259"/>
        <v>0.40665684204301655</v>
      </c>
      <c r="CR104" s="775">
        <f t="shared" ca="1" si="260"/>
        <v>0.46181641706777321</v>
      </c>
      <c r="CS104" s="305">
        <f t="shared" ca="1" si="261"/>
        <v>0.46181641706777321</v>
      </c>
      <c r="CT104" s="305">
        <f t="shared" ca="1" si="262"/>
        <v>0.4468164170677732</v>
      </c>
      <c r="CU104" s="305">
        <f t="shared" ca="1" si="263"/>
        <v>0.18126259598440955</v>
      </c>
      <c r="CV104" s="770">
        <f t="shared" ca="1" si="264"/>
        <v>0.42165684204301657</v>
      </c>
      <c r="CW104" s="302">
        <f t="shared" ca="1" si="265"/>
        <v>51.665328549945713</v>
      </c>
      <c r="CX104" s="299">
        <f t="shared" ca="1" si="266"/>
        <v>23.901347593347641</v>
      </c>
      <c r="CY104" s="299">
        <f t="shared" ca="1" si="267"/>
        <v>14.987169027654176</v>
      </c>
      <c r="CZ104" s="299">
        <f t="shared" ca="1" si="268"/>
        <v>3.1746242723329754</v>
      </c>
      <c r="DA104" s="774">
        <f t="shared" ca="1" si="269"/>
        <v>28.577009724669946</v>
      </c>
      <c r="DB104" s="303">
        <f t="shared" ca="1" si="270"/>
        <v>12383.472413494363</v>
      </c>
      <c r="DC104" s="248">
        <f t="shared" ca="1" si="271"/>
        <v>360.77209005468808</v>
      </c>
      <c r="DD104" s="778">
        <f t="shared" ca="1" si="272"/>
        <v>8025.3070522662938</v>
      </c>
      <c r="DE104" s="363">
        <f t="shared" ca="1" si="273"/>
        <v>0.58244205146161265</v>
      </c>
      <c r="DF104" s="378">
        <f t="shared" ca="1" si="274"/>
        <v>5.0403682740065958E-2</v>
      </c>
      <c r="DG104" s="508">
        <f t="shared" ca="1" si="275"/>
        <v>-0.39018077319150701</v>
      </c>
      <c r="DH104" s="508">
        <f t="shared" ca="1" si="276"/>
        <v>-0.60008765408631093</v>
      </c>
      <c r="DI104" s="508">
        <f t="shared" ca="1" si="277"/>
        <v>-0.66742824966087633</v>
      </c>
      <c r="DJ104" s="508">
        <f t="shared" ca="1" si="278"/>
        <v>-0.17726457177095614</v>
      </c>
      <c r="DK104" s="353">
        <f t="shared" ca="1" si="279"/>
        <v>-186.18332023094473</v>
      </c>
      <c r="DL104" s="781">
        <f t="shared" ca="1" si="280"/>
        <v>4.5646723627728205</v>
      </c>
      <c r="DM104" s="303">
        <f t="shared" ca="1" si="281"/>
        <v>19088.377886886163</v>
      </c>
      <c r="DN104" s="508">
        <f t="shared" ca="1" si="282"/>
        <v>1.6654943379007712</v>
      </c>
      <c r="DO104" s="508">
        <f t="shared" ca="1" si="283"/>
        <v>1.4620048540983175</v>
      </c>
      <c r="DP104" s="508">
        <f t="shared" ca="1" si="284"/>
        <v>1.3556078335533508</v>
      </c>
      <c r="DQ104" s="508">
        <f t="shared" ca="1" si="285"/>
        <v>1.2769793746566453</v>
      </c>
      <c r="DR104" s="508">
        <f t="shared" ca="1" si="286"/>
        <v>1.5194310912227644</v>
      </c>
      <c r="DS104" s="353">
        <f t="shared" ca="1" si="287"/>
        <v>7551.6355022733724</v>
      </c>
      <c r="DT104" s="353">
        <f t="shared" ca="1" si="288"/>
        <v>-13627.566823795098</v>
      </c>
      <c r="DU104" s="380">
        <f t="shared" ca="1" si="388"/>
        <v>7.3292265571526354</v>
      </c>
      <c r="DV104" s="303">
        <f t="shared" ca="1" si="289"/>
        <v>195.70052929110184</v>
      </c>
      <c r="DW104" s="303">
        <f t="shared" ca="1" si="290"/>
        <v>37.27629129354321</v>
      </c>
      <c r="DX104" s="303">
        <f t="shared" ca="1" si="291"/>
        <v>55.914436940314815</v>
      </c>
      <c r="DY104" s="303">
        <f t="shared" ca="1" si="292"/>
        <v>288.89125752495988</v>
      </c>
      <c r="DZ104" s="303">
        <f t="shared" ca="1" si="293"/>
        <v>144.44562876247994</v>
      </c>
      <c r="EA104" s="303">
        <f t="shared" ca="1" si="294"/>
        <v>433.33688628743982</v>
      </c>
      <c r="EB104" s="302">
        <f t="shared" ca="1" si="295"/>
        <v>76.000000849366188</v>
      </c>
      <c r="EC104" s="299">
        <f t="shared" ca="1" si="296"/>
        <v>43.811250031865207</v>
      </c>
      <c r="ED104" s="299">
        <f t="shared" ca="1" si="297"/>
        <v>32.847499833041788</v>
      </c>
      <c r="EE104" s="299">
        <f t="shared" ca="1" si="298"/>
        <v>63.494516676206501</v>
      </c>
      <c r="EF104" s="299">
        <f t="shared" ca="1" si="299"/>
        <v>26.549998106807436</v>
      </c>
      <c r="EG104" s="299">
        <f t="shared" ca="1" si="300"/>
        <v>51.179677153073477</v>
      </c>
      <c r="EH104" s="302">
        <f t="shared" ca="1" si="301"/>
        <v>30</v>
      </c>
      <c r="EI104" s="304">
        <f t="shared" ca="1" si="302"/>
        <v>0.14893880568925774</v>
      </c>
      <c r="EJ104" s="305">
        <f t="shared" ca="1" si="303"/>
        <v>0.14893880568925774</v>
      </c>
      <c r="EK104" s="305">
        <f t="shared" ca="1" si="304"/>
        <v>0.14893880568925774</v>
      </c>
      <c r="EL104" s="305">
        <f t="shared" ca="1" si="305"/>
        <v>0.14893880568925777</v>
      </c>
      <c r="EM104" s="305">
        <f t="shared" ca="1" si="306"/>
        <v>5.2087531994803191E-2</v>
      </c>
      <c r="EN104" s="305">
        <f t="shared" ca="1" si="307"/>
        <v>0.12895396678178539</v>
      </c>
      <c r="EO104" s="305">
        <f t="shared" ca="1" si="308"/>
        <v>0.14893880568925774</v>
      </c>
      <c r="EP104" s="305">
        <f t="shared" ca="1" si="309"/>
        <v>0.14893880568925774</v>
      </c>
      <c r="EQ104" s="305">
        <f t="shared" ca="1" si="310"/>
        <v>0.14893880568925774</v>
      </c>
      <c r="ER104" s="305">
        <f t="shared" ca="1" si="311"/>
        <v>5.2087531994803191E-2</v>
      </c>
      <c r="ES104" s="305">
        <f t="shared" ca="1" si="312"/>
        <v>0.12895396678178539</v>
      </c>
      <c r="ET104" s="299">
        <f t="shared" ca="1" si="313"/>
        <v>0.37014082172351292</v>
      </c>
      <c r="EU104" s="302">
        <f t="shared" ca="1" si="314"/>
        <v>30</v>
      </c>
      <c r="EV104" s="304">
        <f t="shared" ca="1" si="315"/>
        <v>0.4468164170677732</v>
      </c>
      <c r="EW104" s="305">
        <f t="shared" ca="1" si="316"/>
        <v>0.4468164170677732</v>
      </c>
      <c r="EX104" s="305">
        <f t="shared" ca="1" si="317"/>
        <v>0.4468164170677732</v>
      </c>
      <c r="EY104" s="305">
        <f t="shared" ca="1" si="318"/>
        <v>0.4468164170677732</v>
      </c>
      <c r="EZ104" s="305">
        <f t="shared" ca="1" si="319"/>
        <v>0.15626259598440956</v>
      </c>
      <c r="FA104" s="305">
        <f t="shared" ca="1" si="320"/>
        <v>0.40665684204301655</v>
      </c>
      <c r="FB104" s="305">
        <f t="shared" ca="1" si="321"/>
        <v>0.4468164170677732</v>
      </c>
      <c r="FC104" s="305">
        <f t="shared" ca="1" si="322"/>
        <v>0.4468164170677732</v>
      </c>
      <c r="FD104" s="305">
        <f t="shared" ca="1" si="323"/>
        <v>0.4468164170677732</v>
      </c>
      <c r="FE104" s="305">
        <f t="shared" ca="1" si="324"/>
        <v>0.15626259598440956</v>
      </c>
      <c r="FF104" s="305">
        <f t="shared" ca="1" si="325"/>
        <v>0.40665684204301655</v>
      </c>
      <c r="FG104" s="299">
        <f t="shared" ca="1" si="326"/>
        <v>29.274030182943349</v>
      </c>
      <c r="FH104" s="302">
        <f t="shared" ca="1" si="327"/>
        <v>-28.903889361219836</v>
      </c>
      <c r="FI104" s="248">
        <f t="shared" ca="1" si="328"/>
        <v>-12525.121417387661</v>
      </c>
      <c r="FJ104" s="363">
        <f t="shared" ca="1" si="329"/>
        <v>0.58244205146161265</v>
      </c>
      <c r="FK104" s="378">
        <f t="shared" ca="1" si="330"/>
        <v>2.1037019845121376</v>
      </c>
      <c r="FL104" s="508">
        <f t="shared" ca="1" si="331"/>
        <v>0.7375762531256097</v>
      </c>
      <c r="FM104" s="508">
        <f t="shared" ca="1" si="332"/>
        <v>2.3280335748145635E-2</v>
      </c>
      <c r="FN104" s="508">
        <f t="shared" ca="1" si="333"/>
        <v>-0.93685746635516276</v>
      </c>
      <c r="FO104" s="508">
        <f t="shared" ca="1" si="334"/>
        <v>1.3554587459422736</v>
      </c>
      <c r="FP104" s="353">
        <f t="shared" ca="1" si="335"/>
        <v>37.975816653765115</v>
      </c>
      <c r="FQ104" s="356">
        <f t="shared" ca="1" si="336"/>
        <v>6.5870825634063301</v>
      </c>
      <c r="FR104" s="380">
        <f t="shared" ca="1" si="337"/>
        <v>23.02</v>
      </c>
      <c r="FS104" s="299">
        <f t="shared" ca="1" si="338"/>
        <v>23.02</v>
      </c>
      <c r="FT104" s="299">
        <f t="shared" ca="1" si="339"/>
        <v>23.02</v>
      </c>
      <c r="FU104" s="299">
        <f t="shared" ca="1" si="340"/>
        <v>23.02</v>
      </c>
      <c r="FV104" s="299">
        <f t="shared" ca="1" si="341"/>
        <v>23.02</v>
      </c>
      <c r="FW104" s="850">
        <f t="shared" ca="1" si="342"/>
        <v>0.16500000000000001</v>
      </c>
      <c r="FX104" s="851">
        <f t="shared" ca="1" si="343"/>
        <v>0.5</v>
      </c>
      <c r="FY104" s="851">
        <f t="shared" ca="1" si="344"/>
        <v>0</v>
      </c>
      <c r="FZ104" s="201">
        <f t="shared" ca="1" si="345"/>
        <v>0</v>
      </c>
      <c r="GA104" s="201">
        <f t="shared" ca="1" si="346"/>
        <v>0</v>
      </c>
      <c r="GB104" s="201">
        <f t="shared" ca="1" si="347"/>
        <v>0</v>
      </c>
      <c r="GC104" s="201">
        <f t="shared" ca="1" si="348"/>
        <v>0</v>
      </c>
      <c r="GD104" s="850">
        <f t="shared" ca="1" si="349"/>
        <v>0.46181641706777321</v>
      </c>
      <c r="GE104" s="866">
        <f t="shared" ca="1" si="350"/>
        <v>0.46181641706777321</v>
      </c>
      <c r="GF104" s="866">
        <f t="shared" ca="1" si="351"/>
        <v>0.46181641706777321</v>
      </c>
      <c r="GG104" s="866">
        <f t="shared" ca="1" si="352"/>
        <v>0.16876259598440957</v>
      </c>
      <c r="GH104" s="866">
        <f t="shared" ca="1" si="353"/>
        <v>0.42165684204301657</v>
      </c>
      <c r="GI104" s="302">
        <f t="shared" ca="1" si="354"/>
        <v>55.902530644052128</v>
      </c>
      <c r="GJ104" s="299">
        <f t="shared" ca="1" si="355"/>
        <v>26.339559317252711</v>
      </c>
      <c r="GK104" s="299">
        <f t="shared" ca="1" si="356"/>
        <v>17.09598925203645</v>
      </c>
      <c r="GL104" s="299">
        <f t="shared" ca="1" si="357"/>
        <v>6.4101631666265417</v>
      </c>
      <c r="GM104" s="299">
        <f t="shared" ca="1" si="358"/>
        <v>31.969120390487522</v>
      </c>
      <c r="GN104" s="302">
        <f t="shared" ca="1" si="359"/>
        <v>0.94919375734165612</v>
      </c>
      <c r="GO104" s="299">
        <f t="shared" ca="1" si="360"/>
        <v>0.87183591564477692</v>
      </c>
      <c r="GP104" s="299">
        <f t="shared" ca="1" si="361"/>
        <v>0.80857304702717248</v>
      </c>
      <c r="GQ104" s="299">
        <f t="shared" ca="1" si="362"/>
        <v>0.70597300881948977</v>
      </c>
      <c r="GR104" s="299">
        <f t="shared" ca="1" si="363"/>
        <v>0.90321339254042254</v>
      </c>
      <c r="GS104" s="302">
        <f t="shared" ca="1" si="364"/>
        <v>-0.70530877816811144</v>
      </c>
      <c r="GT104" s="299">
        <f t="shared" ca="1" si="365"/>
        <v>-0.51505961955718726</v>
      </c>
      <c r="GU104" s="299">
        <f t="shared" ca="1" si="366"/>
        <v>-0.41110430369494738</v>
      </c>
      <c r="GV104" s="299">
        <f t="shared" ca="1" si="367"/>
        <v>-0.53576967907703255</v>
      </c>
      <c r="GW104" s="299">
        <f t="shared" ca="1" si="368"/>
        <v>-0.61933350490086858</v>
      </c>
      <c r="GX104" s="303">
        <f t="shared" ca="1" si="369"/>
        <v>10940.154835753041</v>
      </c>
      <c r="GY104" s="303">
        <f t="shared" ca="1" si="370"/>
        <v>981.84108565347219</v>
      </c>
      <c r="GZ104" s="303">
        <f t="shared" ca="1" si="371"/>
        <v>955.91261296529194</v>
      </c>
      <c r="HA104" s="303">
        <f t="shared" ca="1" si="372"/>
        <v>925.92004907346029</v>
      </c>
      <c r="HB104" s="303">
        <f t="shared" ca="1" si="373"/>
        <v>13853.399087362164</v>
      </c>
      <c r="HC104" s="303">
        <f t="shared" ca="1" si="374"/>
        <v>10368.21420806399</v>
      </c>
      <c r="HD104" s="303">
        <f t="shared" ca="1" si="375"/>
        <v>775.020692544697</v>
      </c>
      <c r="HE104" s="303">
        <f t="shared" ca="1" si="376"/>
        <v>549.49911969556945</v>
      </c>
      <c r="HF104" s="303">
        <f t="shared" ca="1" si="377"/>
        <v>509.89279606816399</v>
      </c>
      <c r="HG104" s="852">
        <f t="shared" ca="1" si="378"/>
        <v>12202.626816372418</v>
      </c>
    </row>
    <row r="105" spans="1:215" x14ac:dyDescent="0.25">
      <c r="A105" s="244">
        <f t="shared" ca="1" si="379"/>
        <v>39295</v>
      </c>
      <c r="B105" s="13">
        <f t="shared" ca="1" si="401"/>
        <v>2007</v>
      </c>
      <c r="C105" s="619">
        <f t="shared" ca="1" si="402"/>
        <v>8</v>
      </c>
      <c r="D105" s="195" t="str">
        <f t="shared" ca="1" si="209"/>
        <v/>
      </c>
      <c r="E105" s="469">
        <f t="shared" ca="1" si="210"/>
        <v>39295</v>
      </c>
      <c r="F105" s="465">
        <f t="shared" ca="1" si="211"/>
        <v>39325</v>
      </c>
      <c r="G105" s="522">
        <f t="shared" ca="1" si="380"/>
        <v>1</v>
      </c>
      <c r="H105" s="519">
        <f t="shared" ca="1" si="381"/>
        <v>1</v>
      </c>
      <c r="I105" s="724">
        <f t="shared" ca="1" si="403"/>
        <v>7.3738704524204002E-2</v>
      </c>
      <c r="J105" s="198">
        <f t="shared" ca="1" si="213"/>
        <v>0.57880972281525267</v>
      </c>
      <c r="K105" s="200">
        <f t="shared" ca="1" si="389"/>
        <v>61.5</v>
      </c>
      <c r="L105" s="201">
        <f t="shared" ca="1" si="390"/>
        <v>66.5</v>
      </c>
      <c r="M105" s="206">
        <f t="shared" ca="1" si="391"/>
        <v>71.5</v>
      </c>
      <c r="N105" s="851">
        <f t="shared" ca="1" si="395"/>
        <v>38.572499084472668</v>
      </c>
      <c r="O105" s="201">
        <f t="shared" ca="1" si="396"/>
        <v>42.322499084472668</v>
      </c>
      <c r="P105" s="206">
        <f t="shared" ca="1" si="397"/>
        <v>46.072499084472668</v>
      </c>
      <c r="Q105" s="201">
        <f t="shared" ca="1" si="398"/>
        <v>27.745000839233395</v>
      </c>
      <c r="R105" s="201">
        <f t="shared" ca="1" si="399"/>
        <v>31.045000839233396</v>
      </c>
      <c r="S105" s="201">
        <f t="shared" ca="1" si="400"/>
        <v>34.345000839233393</v>
      </c>
      <c r="T105" s="851">
        <f t="shared" ca="1" si="392"/>
        <v>21.899998092651366</v>
      </c>
      <c r="U105" s="201">
        <f t="shared" ca="1" si="393"/>
        <v>24.399998092651366</v>
      </c>
      <c r="V105" s="206">
        <f t="shared" ca="1" si="394"/>
        <v>26.899998092651366</v>
      </c>
      <c r="W105" s="230">
        <f t="shared" ca="1" si="382"/>
        <v>0.14670596407148431</v>
      </c>
      <c r="X105" s="231">
        <f t="shared" ca="1" si="383"/>
        <v>0.29341192814296863</v>
      </c>
      <c r="Y105" s="232">
        <f t="shared" ca="1" si="384"/>
        <v>0.44011789221445297</v>
      </c>
      <c r="Z105" s="231">
        <f t="shared" ca="1" si="404"/>
        <v>0.14670596407148431</v>
      </c>
      <c r="AA105" s="231">
        <f t="shared" ca="1" si="405"/>
        <v>0.29341192814296863</v>
      </c>
      <c r="AB105" s="232">
        <f t="shared" ca="1" si="406"/>
        <v>0.44011789221445297</v>
      </c>
      <c r="AC105" s="231">
        <f t="shared" ca="1" si="407"/>
        <v>0.14670596407148431</v>
      </c>
      <c r="AD105" s="231">
        <f t="shared" ca="1" si="408"/>
        <v>0.29341192814296863</v>
      </c>
      <c r="AE105" s="232">
        <f t="shared" ca="1" si="214"/>
        <v>0.44011789221445297</v>
      </c>
      <c r="AF105" s="231">
        <f t="shared" ca="1" si="385"/>
        <v>5.2087531994803191E-2</v>
      </c>
      <c r="AG105" s="231">
        <f t="shared" ca="1" si="386"/>
        <v>0.10417506398960638</v>
      </c>
      <c r="AH105" s="232">
        <f t="shared" ca="1" si="387"/>
        <v>0.15626259598440956</v>
      </c>
      <c r="AI105" s="233">
        <f t="shared" ca="1" si="215"/>
        <v>2.65</v>
      </c>
      <c r="AJ105" s="233">
        <f t="shared" ca="1" si="216"/>
        <v>3</v>
      </c>
      <c r="AK105" s="234">
        <f t="shared" ca="1" si="217"/>
        <v>3.5</v>
      </c>
      <c r="AL105" s="919">
        <f t="shared" ca="1" si="218"/>
        <v>2.65</v>
      </c>
      <c r="AM105" s="233">
        <f t="shared" ca="1" si="219"/>
        <v>3</v>
      </c>
      <c r="AN105" s="234">
        <f t="shared" ca="1" si="220"/>
        <v>3.5</v>
      </c>
      <c r="AO105" s="233">
        <f t="shared" ca="1" si="221"/>
        <v>2.65</v>
      </c>
      <c r="AP105" s="233">
        <f t="shared" ca="1" si="222"/>
        <v>3</v>
      </c>
      <c r="AQ105" s="233">
        <f t="shared" ca="1" si="223"/>
        <v>3.5</v>
      </c>
      <c r="AR105" s="919">
        <f t="shared" ca="1" si="224"/>
        <v>0.6</v>
      </c>
      <c r="AS105" s="233">
        <f t="shared" ca="1" si="225"/>
        <v>0.75</v>
      </c>
      <c r="AT105" s="235">
        <f t="shared" ca="1" si="226"/>
        <v>0.95</v>
      </c>
      <c r="AU105" s="946">
        <f t="shared" si="227"/>
        <v>0.5</v>
      </c>
      <c r="AV105" s="13">
        <f t="shared" ca="1" si="228"/>
        <v>23</v>
      </c>
      <c r="AW105" s="210">
        <f t="shared" ca="1" si="229"/>
        <v>4</v>
      </c>
      <c r="AX105" s="210">
        <f t="shared" ca="1" si="230"/>
        <v>4</v>
      </c>
      <c r="AY105" s="210">
        <f t="shared" ca="1" si="231"/>
        <v>0</v>
      </c>
      <c r="AZ105" s="13">
        <f t="shared" ca="1" si="232"/>
        <v>31</v>
      </c>
      <c r="BA105" s="357">
        <f ca="1"/>
        <v>368</v>
      </c>
      <c r="BB105" s="925">
        <f ca="1"/>
        <v>64</v>
      </c>
      <c r="BC105" s="925">
        <f ca="1"/>
        <v>64</v>
      </c>
      <c r="BD105" s="928">
        <f ca="1"/>
        <v>248</v>
      </c>
      <c r="BE105" s="200">
        <f ca="1"/>
        <v>1</v>
      </c>
      <c r="BF105" s="851">
        <f ca="1"/>
        <v>1</v>
      </c>
      <c r="BG105" s="851">
        <f ca="1"/>
        <v>1</v>
      </c>
      <c r="BH105" s="933">
        <f ca="1"/>
        <v>1.0000000074505806</v>
      </c>
      <c r="BI105" s="357">
        <f ca="1"/>
        <v>368</v>
      </c>
      <c r="BJ105" s="925">
        <f ca="1"/>
        <v>64</v>
      </c>
      <c r="BK105" s="925">
        <f ca="1"/>
        <v>64</v>
      </c>
      <c r="BL105" s="928">
        <f ca="1"/>
        <v>248</v>
      </c>
      <c r="BM105" s="200">
        <f ca="1"/>
        <v>1</v>
      </c>
      <c r="BN105" s="851">
        <f ca="1"/>
        <v>1</v>
      </c>
      <c r="BO105" s="851">
        <f ca="1"/>
        <v>1</v>
      </c>
      <c r="BP105" s="933">
        <f ca="1"/>
        <v>1.0000000074505806</v>
      </c>
      <c r="BQ105" s="357">
        <f t="shared" ca="1" si="233"/>
        <v>744</v>
      </c>
      <c r="BR105" s="361">
        <f t="shared" ca="1" si="234"/>
        <v>744</v>
      </c>
      <c r="BS105" s="357">
        <f t="shared" ca="1" si="235"/>
        <v>430.63443377454797</v>
      </c>
      <c r="BT105" s="302">
        <f t="shared" ca="1" si="236"/>
        <v>43.424085433548818</v>
      </c>
      <c r="BU105" s="299">
        <f t="shared" ca="1" si="237"/>
        <v>47.336988665564085</v>
      </c>
      <c r="BV105" s="299">
        <f t="shared" ca="1" si="238"/>
        <v>51.24989189757936</v>
      </c>
      <c r="BW105" s="299">
        <f t="shared" ca="1" si="239"/>
        <v>32.659889647739881</v>
      </c>
      <c r="BX105" s="380">
        <f t="shared" ca="1" si="240"/>
        <v>7.4140999315537304</v>
      </c>
      <c r="BY105" s="363">
        <f t="shared" ca="1" si="241"/>
        <v>213.00197799601298</v>
      </c>
      <c r="BZ105" s="353">
        <f t="shared" ca="1" si="242"/>
        <v>37.043822260176171</v>
      </c>
      <c r="CA105" s="353">
        <f t="shared" ca="1" si="243"/>
        <v>37.043822260176171</v>
      </c>
      <c r="CB105" s="353">
        <f t="shared" ca="1" si="244"/>
        <v>287.08962251636535</v>
      </c>
      <c r="CC105" s="353">
        <f t="shared" ca="1" si="245"/>
        <v>143.54481125818268</v>
      </c>
      <c r="CD105" s="353">
        <f t="shared" ca="1" si="246"/>
        <v>430.63443377454803</v>
      </c>
      <c r="CE105" s="302">
        <f t="shared" ca="1" si="247"/>
        <v>71.5</v>
      </c>
      <c r="CF105" s="299">
        <f t="shared" ca="1" si="248"/>
        <v>46.072499084472668</v>
      </c>
      <c r="CG105" s="299">
        <f t="shared" ca="1" si="249"/>
        <v>34.345000839233393</v>
      </c>
      <c r="CH105" s="299">
        <f t="shared" ca="1" si="250"/>
        <v>63.424838699833032</v>
      </c>
      <c r="CI105" s="299">
        <f t="shared" ca="1" si="251"/>
        <v>26.89999829307197</v>
      </c>
      <c r="CJ105" s="299">
        <f t="shared" ca="1" si="252"/>
        <v>51.249891897579339</v>
      </c>
      <c r="CK105" s="299">
        <f t="shared" ca="1" si="253"/>
        <v>32.659889647739881</v>
      </c>
      <c r="CL105" s="377">
        <f t="shared" ca="1" si="254"/>
        <v>0.44011789221445297</v>
      </c>
      <c r="CM105" s="305">
        <f t="shared" ca="1" si="255"/>
        <v>0.44011789221445297</v>
      </c>
      <c r="CN105" s="305">
        <f t="shared" ca="1" si="256"/>
        <v>0.44011789221445297</v>
      </c>
      <c r="CO105" s="305">
        <f t="shared" ca="1" si="257"/>
        <v>0.44011789221445297</v>
      </c>
      <c r="CP105" s="305">
        <f t="shared" ca="1" si="258"/>
        <v>0.15626259598440956</v>
      </c>
      <c r="CQ105" s="305">
        <f t="shared" ca="1" si="259"/>
        <v>0.39981158344135498</v>
      </c>
      <c r="CR105" s="775">
        <f t="shared" ca="1" si="260"/>
        <v>0.45511789221445298</v>
      </c>
      <c r="CS105" s="305">
        <f t="shared" ca="1" si="261"/>
        <v>0.45511789221445298</v>
      </c>
      <c r="CT105" s="305">
        <f t="shared" ca="1" si="262"/>
        <v>0.44261789221445297</v>
      </c>
      <c r="CU105" s="305">
        <f t="shared" ca="1" si="263"/>
        <v>0.17376259598440957</v>
      </c>
      <c r="CV105" s="770">
        <f t="shared" ca="1" si="264"/>
        <v>0.41481158344135499</v>
      </c>
      <c r="CW105" s="302">
        <f t="shared" ca="1" si="265"/>
        <v>47.475840469924925</v>
      </c>
      <c r="CX105" s="299">
        <f t="shared" ca="1" si="266"/>
        <v>25.599180053033681</v>
      </c>
      <c r="CY105" s="299">
        <f t="shared" ca="1" si="267"/>
        <v>16.038381389993347</v>
      </c>
      <c r="CZ105" s="299">
        <f t="shared" ca="1" si="268"/>
        <v>3.1406225517756319</v>
      </c>
      <c r="DA105" s="774">
        <f t="shared" ca="1" si="269"/>
        <v>28.480774310728059</v>
      </c>
      <c r="DB105" s="303">
        <f t="shared" ca="1" si="270"/>
        <v>12264.80211876107</v>
      </c>
      <c r="DC105" s="248">
        <f t="shared" ca="1" si="271"/>
        <v>358.45602508218229</v>
      </c>
      <c r="DD105" s="778">
        <f t="shared" ca="1" si="272"/>
        <v>8005.4950927271884</v>
      </c>
      <c r="DE105" s="363">
        <f t="shared" ca="1" si="273"/>
        <v>0.57880972281525267</v>
      </c>
      <c r="DF105" s="378">
        <f t="shared" ca="1" si="274"/>
        <v>1.2669098702150678E-2</v>
      </c>
      <c r="DG105" s="508">
        <f t="shared" ca="1" si="275"/>
        <v>-0.34197047895897226</v>
      </c>
      <c r="DH105" s="508">
        <f t="shared" ca="1" si="276"/>
        <v>-0.56085552316465892</v>
      </c>
      <c r="DI105" s="508">
        <f t="shared" ca="1" si="277"/>
        <v>-0.64664369978255909</v>
      </c>
      <c r="DJ105" s="508">
        <f t="shared" ca="1" si="278"/>
        <v>-0.16582906702702799</v>
      </c>
      <c r="DK105" s="353">
        <f t="shared" ca="1" si="279"/>
        <v>-186.95810058779324</v>
      </c>
      <c r="DL105" s="781">
        <f t="shared" ca="1" si="280"/>
        <v>4.5935960721908797</v>
      </c>
      <c r="DM105" s="303">
        <f t="shared" ca="1" si="281"/>
        <v>19040.752205781002</v>
      </c>
      <c r="DN105" s="508">
        <f t="shared" ca="1" si="282"/>
        <v>1.6490994698467993</v>
      </c>
      <c r="DO105" s="508">
        <f t="shared" ca="1" si="283"/>
        <v>1.4876805108699476</v>
      </c>
      <c r="DP105" s="508">
        <f t="shared" ca="1" si="284"/>
        <v>1.3797842225671573</v>
      </c>
      <c r="DQ105" s="508">
        <f t="shared" ca="1" si="285"/>
        <v>1.2900431095856877</v>
      </c>
      <c r="DR105" s="508">
        <f t="shared" ca="1" si="286"/>
        <v>1.5267963592050149</v>
      </c>
      <c r="DS105" s="353">
        <f t="shared" ca="1" si="287"/>
        <v>7473.9070758822709</v>
      </c>
      <c r="DT105" s="353">
        <f t="shared" ca="1" si="288"/>
        <v>-13646.979618794672</v>
      </c>
      <c r="DU105" s="380">
        <f t="shared" ca="1" si="388"/>
        <v>7.4140999315537304</v>
      </c>
      <c r="DV105" s="303">
        <f t="shared" ca="1" si="289"/>
        <v>213.00197799601298</v>
      </c>
      <c r="DW105" s="303">
        <f t="shared" ca="1" si="290"/>
        <v>37.043822260176171</v>
      </c>
      <c r="DX105" s="303">
        <f t="shared" ca="1" si="291"/>
        <v>37.043822260176171</v>
      </c>
      <c r="DY105" s="303">
        <f t="shared" ca="1" si="292"/>
        <v>287.08962251636535</v>
      </c>
      <c r="DZ105" s="303">
        <f t="shared" ca="1" si="293"/>
        <v>143.54481125818268</v>
      </c>
      <c r="EA105" s="303">
        <f t="shared" ca="1" si="294"/>
        <v>430.63443377454803</v>
      </c>
      <c r="EB105" s="302">
        <f t="shared" ca="1" si="295"/>
        <v>71.5</v>
      </c>
      <c r="EC105" s="299">
        <f t="shared" ca="1" si="296"/>
        <v>46.072499084472668</v>
      </c>
      <c r="ED105" s="299">
        <f t="shared" ca="1" si="297"/>
        <v>34.345000839233393</v>
      </c>
      <c r="EE105" s="299">
        <f t="shared" ca="1" si="298"/>
        <v>63.424838699833032</v>
      </c>
      <c r="EF105" s="299">
        <f t="shared" ca="1" si="299"/>
        <v>26.89999829307197</v>
      </c>
      <c r="EG105" s="299">
        <f t="shared" ca="1" si="300"/>
        <v>51.249891897579339</v>
      </c>
      <c r="EH105" s="302">
        <f t="shared" ca="1" si="301"/>
        <v>30</v>
      </c>
      <c r="EI105" s="304">
        <f t="shared" ca="1" si="302"/>
        <v>0.14670596407148431</v>
      </c>
      <c r="EJ105" s="305">
        <f t="shared" ca="1" si="303"/>
        <v>0.14670596407148431</v>
      </c>
      <c r="EK105" s="305">
        <f t="shared" ca="1" si="304"/>
        <v>0.14670596407148431</v>
      </c>
      <c r="EL105" s="305">
        <f t="shared" ca="1" si="305"/>
        <v>0.14670596407148431</v>
      </c>
      <c r="EM105" s="305">
        <f t="shared" ca="1" si="306"/>
        <v>5.2087531994803191E-2</v>
      </c>
      <c r="EN105" s="305">
        <f t="shared" ca="1" si="307"/>
        <v>0.12683784607456758</v>
      </c>
      <c r="EO105" s="305">
        <f t="shared" ca="1" si="308"/>
        <v>0.14670596407148431</v>
      </c>
      <c r="EP105" s="305">
        <f t="shared" ca="1" si="309"/>
        <v>0.14670596407148431</v>
      </c>
      <c r="EQ105" s="305">
        <f t="shared" ca="1" si="310"/>
        <v>0.14670596407148431</v>
      </c>
      <c r="ER105" s="305">
        <f t="shared" ca="1" si="311"/>
        <v>5.2087531994803191E-2</v>
      </c>
      <c r="ES105" s="305">
        <f t="shared" ca="1" si="312"/>
        <v>0.12683784607456758</v>
      </c>
      <c r="ET105" s="299">
        <f t="shared" ca="1" si="313"/>
        <v>0.34947896191173511</v>
      </c>
      <c r="EU105" s="302">
        <f t="shared" ca="1" si="314"/>
        <v>30</v>
      </c>
      <c r="EV105" s="304">
        <f t="shared" ca="1" si="315"/>
        <v>0.44011789221445297</v>
      </c>
      <c r="EW105" s="305">
        <f t="shared" ca="1" si="316"/>
        <v>0.44011789221445297</v>
      </c>
      <c r="EX105" s="305">
        <f t="shared" ca="1" si="317"/>
        <v>0.44011789221445297</v>
      </c>
      <c r="EY105" s="305">
        <f t="shared" ca="1" si="318"/>
        <v>0.44011789221445297</v>
      </c>
      <c r="EZ105" s="305">
        <f t="shared" ca="1" si="319"/>
        <v>0.15626259598440956</v>
      </c>
      <c r="FA105" s="305">
        <f t="shared" ca="1" si="320"/>
        <v>0.39981158344135498</v>
      </c>
      <c r="FB105" s="305">
        <f t="shared" ca="1" si="321"/>
        <v>0.44011789221445297</v>
      </c>
      <c r="FC105" s="305">
        <f t="shared" ca="1" si="322"/>
        <v>0.44011789221445297</v>
      </c>
      <c r="FD105" s="305">
        <f t="shared" ca="1" si="323"/>
        <v>0.44011789221445297</v>
      </c>
      <c r="FE105" s="305">
        <f t="shared" ca="1" si="324"/>
        <v>0.15626259598440956</v>
      </c>
      <c r="FF105" s="305">
        <f t="shared" ca="1" si="325"/>
        <v>0.39981158344135498</v>
      </c>
      <c r="FG105" s="299">
        <f t="shared" ca="1" si="326"/>
        <v>29.186958803765457</v>
      </c>
      <c r="FH105" s="302">
        <f t="shared" ca="1" si="327"/>
        <v>-28.837479841853721</v>
      </c>
      <c r="FI105" s="248">
        <f t="shared" ca="1" si="328"/>
        <v>-12418.41180318162</v>
      </c>
      <c r="FJ105" s="363">
        <f t="shared" ca="1" si="329"/>
        <v>0.57880972281525267</v>
      </c>
      <c r="FK105" s="378">
        <f t="shared" ca="1" si="330"/>
        <v>1.9744351518716932</v>
      </c>
      <c r="FL105" s="508">
        <f t="shared" ca="1" si="331"/>
        <v>0.87425617753695872</v>
      </c>
      <c r="FM105" s="508">
        <f t="shared" ca="1" si="332"/>
        <v>0.13887026901730851</v>
      </c>
      <c r="FN105" s="508">
        <f t="shared" ca="1" si="333"/>
        <v>-0.83995062278324428</v>
      </c>
      <c r="FO105" s="508">
        <f t="shared" ca="1" si="334"/>
        <v>1.3778986697221116</v>
      </c>
      <c r="FP105" s="353">
        <f t="shared" ca="1" si="335"/>
        <v>36.223824779236502</v>
      </c>
      <c r="FQ105" s="356">
        <f t="shared" ca="1" si="336"/>
        <v>6.4171603280197171</v>
      </c>
      <c r="FR105" s="380">
        <f t="shared" ca="1" si="337"/>
        <v>23.076000000000001</v>
      </c>
      <c r="FS105" s="299">
        <f t="shared" ca="1" si="338"/>
        <v>23.076000000000001</v>
      </c>
      <c r="FT105" s="299">
        <f t="shared" ca="1" si="339"/>
        <v>23.076000000000001</v>
      </c>
      <c r="FU105" s="299">
        <f t="shared" ca="1" si="340"/>
        <v>23.076000000000001</v>
      </c>
      <c r="FV105" s="299">
        <f t="shared" ca="1" si="341"/>
        <v>23.076000000000001</v>
      </c>
      <c r="FW105" s="850">
        <f t="shared" ca="1" si="342"/>
        <v>0.16500000000000001</v>
      </c>
      <c r="FX105" s="851">
        <f t="shared" ca="1" si="343"/>
        <v>0.5</v>
      </c>
      <c r="FY105" s="851">
        <f t="shared" ca="1" si="344"/>
        <v>0</v>
      </c>
      <c r="FZ105" s="201">
        <f t="shared" ca="1" si="345"/>
        <v>0</v>
      </c>
      <c r="GA105" s="201">
        <f t="shared" ca="1" si="346"/>
        <v>0</v>
      </c>
      <c r="GB105" s="201">
        <f t="shared" ca="1" si="347"/>
        <v>0</v>
      </c>
      <c r="GC105" s="201">
        <f t="shared" ca="1" si="348"/>
        <v>0</v>
      </c>
      <c r="GD105" s="850">
        <f t="shared" ca="1" si="349"/>
        <v>0.45511789221445298</v>
      </c>
      <c r="GE105" s="866">
        <f t="shared" ca="1" si="350"/>
        <v>0.45511789221445298</v>
      </c>
      <c r="GF105" s="866">
        <f t="shared" ca="1" si="351"/>
        <v>0.45511789221445298</v>
      </c>
      <c r="GG105" s="866">
        <f t="shared" ca="1" si="352"/>
        <v>0.16876259598440957</v>
      </c>
      <c r="GH105" s="866">
        <f t="shared" ca="1" si="353"/>
        <v>0.41481158344135499</v>
      </c>
      <c r="GI105" s="302">
        <f t="shared" ca="1" si="354"/>
        <v>51.518618976035086</v>
      </c>
      <c r="GJ105" s="299">
        <f t="shared" ca="1" si="355"/>
        <v>28.193660973862379</v>
      </c>
      <c r="GK105" s="299">
        <f t="shared" ca="1" si="356"/>
        <v>18.194182345871873</v>
      </c>
      <c r="GL105" s="299">
        <f t="shared" ca="1" si="357"/>
        <v>6.6522759784436749</v>
      </c>
      <c r="GM105" s="299">
        <f t="shared" ca="1" si="358"/>
        <v>31.897862392166378</v>
      </c>
      <c r="GN105" s="302">
        <f t="shared" ca="1" si="359"/>
        <v>0.94340939272044499</v>
      </c>
      <c r="GO105" s="299">
        <f t="shared" ca="1" si="360"/>
        <v>0.88092322678678259</v>
      </c>
      <c r="GP105" s="299">
        <f t="shared" ca="1" si="361"/>
        <v>0.81839816949063704</v>
      </c>
      <c r="GQ105" s="299">
        <f t="shared" ca="1" si="362"/>
        <v>0.71383403593031314</v>
      </c>
      <c r="GR105" s="299">
        <f t="shared" ca="1" si="363"/>
        <v>0.90364205238933426</v>
      </c>
      <c r="GS105" s="302">
        <f t="shared" ca="1" si="364"/>
        <v>-0.69055138877938149</v>
      </c>
      <c r="GT105" s="299">
        <f t="shared" ca="1" si="365"/>
        <v>-0.53703776670617664</v>
      </c>
      <c r="GU105" s="299">
        <f t="shared" ca="1" si="366"/>
        <v>-0.42961133940484986</v>
      </c>
      <c r="GV105" s="299">
        <f t="shared" ca="1" si="367"/>
        <v>-0.54384891196475571</v>
      </c>
      <c r="GW105" s="299">
        <f t="shared" ca="1" si="368"/>
        <v>-0.62461877955664691</v>
      </c>
      <c r="GX105" s="303">
        <f t="shared" ca="1" si="369"/>
        <v>10973.567745518401</v>
      </c>
      <c r="GY105" s="303">
        <f t="shared" ca="1" si="370"/>
        <v>1044.4009659794233</v>
      </c>
      <c r="GZ105" s="303">
        <f t="shared" ca="1" si="371"/>
        <v>673.98205698971276</v>
      </c>
      <c r="HA105" s="303">
        <f t="shared" ca="1" si="372"/>
        <v>954.89969976303985</v>
      </c>
      <c r="HB105" s="303">
        <f t="shared" ca="1" si="373"/>
        <v>13736.317909869018</v>
      </c>
      <c r="HC105" s="303">
        <f t="shared" ca="1" si="374"/>
        <v>10314.407782478933</v>
      </c>
      <c r="HD105" s="303">
        <f t="shared" ca="1" si="375"/>
        <v>851.87822469150956</v>
      </c>
      <c r="HE105" s="303">
        <f t="shared" ca="1" si="376"/>
        <v>417.4468641383379</v>
      </c>
      <c r="HF105" s="303">
        <f t="shared" ca="1" si="377"/>
        <v>548.91511323062866</v>
      </c>
      <c r="HG105" s="852">
        <f t="shared" ca="1" si="378"/>
        <v>12132.647984539404</v>
      </c>
    </row>
    <row r="106" spans="1:215" x14ac:dyDescent="0.25">
      <c r="A106" s="244">
        <f t="shared" ca="1" si="379"/>
        <v>39326</v>
      </c>
      <c r="B106" s="13">
        <f t="shared" ca="1" si="401"/>
        <v>2007</v>
      </c>
      <c r="C106" s="619">
        <f t="shared" ca="1" si="402"/>
        <v>9</v>
      </c>
      <c r="D106" s="195">
        <f t="shared" ca="1" si="209"/>
        <v>39328</v>
      </c>
      <c r="E106" s="469">
        <f t="shared" ca="1" si="210"/>
        <v>39326</v>
      </c>
      <c r="F106" s="465">
        <f t="shared" ca="1" si="211"/>
        <v>39355</v>
      </c>
      <c r="G106" s="522">
        <f t="shared" ca="1" si="380"/>
        <v>1</v>
      </c>
      <c r="H106" s="519">
        <f t="shared" ca="1" si="381"/>
        <v>1</v>
      </c>
      <c r="I106" s="724">
        <f t="shared" ca="1" si="403"/>
        <v>7.3753989979814999E-2</v>
      </c>
      <c r="J106" s="198">
        <f t="shared" ca="1" si="213"/>
        <v>0.57531267715270051</v>
      </c>
      <c r="K106" s="200">
        <f t="shared" ca="1" si="389"/>
        <v>31.65</v>
      </c>
      <c r="L106" s="201">
        <f t="shared" ca="1" si="390"/>
        <v>32.950000000000003</v>
      </c>
      <c r="M106" s="206">
        <f t="shared" ca="1" si="391"/>
        <v>34.25</v>
      </c>
      <c r="N106" s="851">
        <f t="shared" ca="1" si="395"/>
        <v>22.729999160766596</v>
      </c>
      <c r="O106" s="201">
        <f t="shared" ca="1" si="396"/>
        <v>23.704999160766597</v>
      </c>
      <c r="P106" s="206">
        <f t="shared" ca="1" si="397"/>
        <v>24.679999160766599</v>
      </c>
      <c r="Q106" s="201">
        <f t="shared" ca="1" si="398"/>
        <v>20.9</v>
      </c>
      <c r="R106" s="201">
        <f t="shared" ca="1" si="399"/>
        <v>24.2</v>
      </c>
      <c r="S106" s="201">
        <f t="shared" ca="1" si="400"/>
        <v>27.5</v>
      </c>
      <c r="T106" s="851">
        <f t="shared" ca="1" si="392"/>
        <v>19.299998092651368</v>
      </c>
      <c r="U106" s="201">
        <f t="shared" ca="1" si="393"/>
        <v>19.949998092651366</v>
      </c>
      <c r="V106" s="206">
        <f t="shared" ca="1" si="394"/>
        <v>20.599998092651365</v>
      </c>
      <c r="W106" s="230">
        <f t="shared" ca="1" si="382"/>
        <v>9.708726145429683E-2</v>
      </c>
      <c r="X106" s="231">
        <f t="shared" ca="1" si="383"/>
        <v>0.19417452290859366</v>
      </c>
      <c r="Y106" s="232">
        <f t="shared" ca="1" si="384"/>
        <v>0.29126178436289052</v>
      </c>
      <c r="Z106" s="231">
        <f t="shared" ca="1" si="404"/>
        <v>9.708726145429683E-2</v>
      </c>
      <c r="AA106" s="231">
        <f t="shared" ca="1" si="405"/>
        <v>0.19417452290859366</v>
      </c>
      <c r="AB106" s="232">
        <f t="shared" ca="1" si="406"/>
        <v>0.29126178436289052</v>
      </c>
      <c r="AC106" s="231">
        <f t="shared" ca="1" si="407"/>
        <v>9.708726145429683E-2</v>
      </c>
      <c r="AD106" s="231">
        <f t="shared" ca="1" si="408"/>
        <v>0.19417452290859366</v>
      </c>
      <c r="AE106" s="232">
        <f t="shared" ca="1" si="214"/>
        <v>0.29126178436289052</v>
      </c>
      <c r="AF106" s="231">
        <f t="shared" ca="1" si="385"/>
        <v>3.4725021329868787E-2</v>
      </c>
      <c r="AG106" s="231">
        <f t="shared" ca="1" si="386"/>
        <v>6.9450042659737574E-2</v>
      </c>
      <c r="AH106" s="232">
        <f t="shared" ca="1" si="387"/>
        <v>0.10417506398960635</v>
      </c>
      <c r="AI106" s="233">
        <f t="shared" ca="1" si="215"/>
        <v>1.1499999999999999</v>
      </c>
      <c r="AJ106" s="233">
        <f t="shared" ca="1" si="216"/>
        <v>1.5</v>
      </c>
      <c r="AK106" s="234">
        <f t="shared" ca="1" si="217"/>
        <v>1.8</v>
      </c>
      <c r="AL106" s="919">
        <f t="shared" ca="1" si="218"/>
        <v>1.1499999999999999</v>
      </c>
      <c r="AM106" s="233">
        <f t="shared" ca="1" si="219"/>
        <v>1.5</v>
      </c>
      <c r="AN106" s="234">
        <f t="shared" ca="1" si="220"/>
        <v>1.8</v>
      </c>
      <c r="AO106" s="233">
        <f t="shared" ca="1" si="221"/>
        <v>1.1499999999999999</v>
      </c>
      <c r="AP106" s="233">
        <f t="shared" ca="1" si="222"/>
        <v>1.5</v>
      </c>
      <c r="AQ106" s="233">
        <f t="shared" ca="1" si="223"/>
        <v>1.8</v>
      </c>
      <c r="AR106" s="919">
        <f t="shared" ca="1" si="224"/>
        <v>0.25</v>
      </c>
      <c r="AS106" s="233">
        <f t="shared" ca="1" si="225"/>
        <v>0.4</v>
      </c>
      <c r="AT106" s="235">
        <f t="shared" ca="1" si="226"/>
        <v>0.60000000000000009</v>
      </c>
      <c r="AU106" s="946">
        <f t="shared" si="227"/>
        <v>0.5</v>
      </c>
      <c r="AV106" s="13">
        <f t="shared" ca="1" si="228"/>
        <v>19</v>
      </c>
      <c r="AW106" s="210">
        <f t="shared" ca="1" si="229"/>
        <v>5</v>
      </c>
      <c r="AX106" s="210">
        <f t="shared" ca="1" si="230"/>
        <v>5</v>
      </c>
      <c r="AY106" s="210">
        <f t="shared" ca="1" si="231"/>
        <v>1</v>
      </c>
      <c r="AZ106" s="13">
        <f t="shared" ca="1" si="232"/>
        <v>30</v>
      </c>
      <c r="BA106" s="357">
        <f ca="1"/>
        <v>304</v>
      </c>
      <c r="BB106" s="925">
        <f ca="1"/>
        <v>80</v>
      </c>
      <c r="BC106" s="925">
        <f ca="1"/>
        <v>96</v>
      </c>
      <c r="BD106" s="928">
        <f ca="1"/>
        <v>240</v>
      </c>
      <c r="BE106" s="200">
        <f ca="1"/>
        <v>1.0000000074505806</v>
      </c>
      <c r="BF106" s="851">
        <f ca="1"/>
        <v>1.0000000074505806</v>
      </c>
      <c r="BG106" s="851">
        <f ca="1"/>
        <v>1.0000000074505806</v>
      </c>
      <c r="BH106" s="933">
        <f ca="1"/>
        <v>1.0000000149011612</v>
      </c>
      <c r="BI106" s="357">
        <f ca="1"/>
        <v>304</v>
      </c>
      <c r="BJ106" s="925">
        <f ca="1"/>
        <v>80</v>
      </c>
      <c r="BK106" s="925">
        <f ca="1"/>
        <v>96</v>
      </c>
      <c r="BL106" s="928">
        <f ca="1"/>
        <v>240</v>
      </c>
      <c r="BM106" s="200">
        <f ca="1"/>
        <v>1.0000000074505806</v>
      </c>
      <c r="BN106" s="851">
        <f ca="1"/>
        <v>1.0000000074505806</v>
      </c>
      <c r="BO106" s="851">
        <f ca="1"/>
        <v>1.0000000074505806</v>
      </c>
      <c r="BP106" s="933">
        <f ca="1"/>
        <v>1.0000000149011612</v>
      </c>
      <c r="BQ106" s="357">
        <f t="shared" ca="1" si="233"/>
        <v>720</v>
      </c>
      <c r="BR106" s="361">
        <f t="shared" ca="1" si="234"/>
        <v>720</v>
      </c>
      <c r="BS106" s="357">
        <f t="shared" ca="1" si="235"/>
        <v>414.22512754994438</v>
      </c>
      <c r="BT106" s="302">
        <f t="shared" ca="1" si="236"/>
        <v>25.108888394865712</v>
      </c>
      <c r="BU106" s="299">
        <f t="shared" ca="1" si="237"/>
        <v>26.422777295158124</v>
      </c>
      <c r="BV106" s="299">
        <f t="shared" ca="1" si="238"/>
        <v>27.736666195450546</v>
      </c>
      <c r="BW106" s="299">
        <f t="shared" ca="1" si="239"/>
        <v>32.659889647739881</v>
      </c>
      <c r="BX106" s="380">
        <f t="shared" ca="1" si="240"/>
        <v>7.4989733059548254</v>
      </c>
      <c r="BY106" s="363">
        <f t="shared" ca="1" si="241"/>
        <v>174.89505385442095</v>
      </c>
      <c r="BZ106" s="353">
        <f t="shared" ca="1" si="242"/>
        <v>46.025014172216039</v>
      </c>
      <c r="CA106" s="353">
        <f t="shared" ca="1" si="243"/>
        <v>55.230017006659253</v>
      </c>
      <c r="CB106" s="353">
        <f t="shared" ca="1" si="244"/>
        <v>276.15008503329625</v>
      </c>
      <c r="CC106" s="353">
        <f t="shared" ca="1" si="245"/>
        <v>138.07504251664813</v>
      </c>
      <c r="CD106" s="353">
        <f t="shared" ca="1" si="246"/>
        <v>414.22512754994438</v>
      </c>
      <c r="CE106" s="302">
        <f t="shared" ca="1" si="247"/>
        <v>34.250000255182385</v>
      </c>
      <c r="CF106" s="299">
        <f t="shared" ca="1" si="248"/>
        <v>24.679999344646923</v>
      </c>
      <c r="CG106" s="299">
        <f t="shared" ca="1" si="249"/>
        <v>27.500000204890966</v>
      </c>
      <c r="CH106" s="299">
        <f t="shared" ca="1" si="250"/>
        <v>31.305000093368189</v>
      </c>
      <c r="CI106" s="299">
        <f t="shared" ca="1" si="251"/>
        <v>20.599998399615256</v>
      </c>
      <c r="CJ106" s="299">
        <f t="shared" ca="1" si="252"/>
        <v>27.736666195450546</v>
      </c>
      <c r="CK106" s="299">
        <f t="shared" ca="1" si="253"/>
        <v>32.659889647739881</v>
      </c>
      <c r="CL106" s="377">
        <f t="shared" ca="1" si="254"/>
        <v>0.29126178436289052</v>
      </c>
      <c r="CM106" s="305">
        <f t="shared" ca="1" si="255"/>
        <v>0.29126178436289052</v>
      </c>
      <c r="CN106" s="305">
        <f t="shared" ca="1" si="256"/>
        <v>0.29126178436289052</v>
      </c>
      <c r="CO106" s="305">
        <f t="shared" ca="1" si="257"/>
        <v>0.29126178436289052</v>
      </c>
      <c r="CP106" s="305">
        <f t="shared" ca="1" si="258"/>
        <v>0.10417506398960635</v>
      </c>
      <c r="CQ106" s="305">
        <f t="shared" ca="1" si="259"/>
        <v>0.2423731965494744</v>
      </c>
      <c r="CR106" s="775">
        <f t="shared" ca="1" si="260"/>
        <v>0.29376178436289052</v>
      </c>
      <c r="CS106" s="305">
        <f t="shared" ca="1" si="261"/>
        <v>0.32626178436289055</v>
      </c>
      <c r="CT106" s="305">
        <f t="shared" ca="1" si="262"/>
        <v>0.30876178436289053</v>
      </c>
      <c r="CU106" s="305">
        <f t="shared" ca="1" si="263"/>
        <v>0.16417506398960635</v>
      </c>
      <c r="CV106" s="770">
        <f t="shared" ca="1" si="264"/>
        <v>0.25737319654947438</v>
      </c>
      <c r="CW106" s="302">
        <f t="shared" ca="1" si="265"/>
        <v>11.266322626090961</v>
      </c>
      <c r="CX106" s="299">
        <f t="shared" ca="1" si="266"/>
        <v>6.3463420488783111</v>
      </c>
      <c r="CY106" s="299">
        <f t="shared" ca="1" si="267"/>
        <v>7.462800308878105</v>
      </c>
      <c r="CZ106" s="299">
        <f t="shared" ca="1" si="268"/>
        <v>0.91120874262450524</v>
      </c>
      <c r="DA106" s="774">
        <f t="shared" ca="1" si="269"/>
        <v>6.0697164161175614</v>
      </c>
      <c r="DB106" s="303">
        <f t="shared" ca="1" si="270"/>
        <v>2514.2290566582883</v>
      </c>
      <c r="DC106" s="248">
        <f t="shared" ca="1" si="271"/>
        <v>226.98877132438889</v>
      </c>
      <c r="DD106" s="778">
        <f t="shared" ca="1" si="272"/>
        <v>0</v>
      </c>
      <c r="DE106" s="363">
        <f t="shared" ca="1" si="273"/>
        <v>0.57531267715270051</v>
      </c>
      <c r="DF106" s="378">
        <f t="shared" ca="1" si="274"/>
        <v>-0.34312710356302112</v>
      </c>
      <c r="DG106" s="508">
        <f t="shared" ca="1" si="275"/>
        <v>-0.76028891006240695</v>
      </c>
      <c r="DH106" s="508">
        <f t="shared" ca="1" si="276"/>
        <v>-0.62614009297412154</v>
      </c>
      <c r="DI106" s="508">
        <f t="shared" ca="1" si="277"/>
        <v>-1.2498707127030906</v>
      </c>
      <c r="DJ106" s="508">
        <f t="shared" ca="1" si="278"/>
        <v>-0.58422768685279802</v>
      </c>
      <c r="DK106" s="353">
        <f t="shared" ca="1" si="279"/>
        <v>-115.78980854213994</v>
      </c>
      <c r="DL106" s="781">
        <f t="shared" ca="1" si="280"/>
        <v>6.0527206137302896</v>
      </c>
      <c r="DM106" s="303">
        <f t="shared" ca="1" si="281"/>
        <v>9360.0089762061398</v>
      </c>
      <c r="DN106" s="508">
        <f t="shared" ca="1" si="282"/>
        <v>1.3864374083799647</v>
      </c>
      <c r="DO106" s="508">
        <f t="shared" ca="1" si="283"/>
        <v>1.2667605384978782</v>
      </c>
      <c r="DP106" s="508">
        <f t="shared" ca="1" si="284"/>
        <v>1.3062736333743028</v>
      </c>
      <c r="DQ106" s="508">
        <f t="shared" ca="1" si="285"/>
        <v>1.2007663175839427</v>
      </c>
      <c r="DR106" s="508">
        <f t="shared" ca="1" si="286"/>
        <v>1.3094031954752876</v>
      </c>
      <c r="DS106" s="353">
        <f t="shared" ca="1" si="287"/>
        <v>5325.9236126280384</v>
      </c>
      <c r="DT106" s="353">
        <f t="shared" ca="1" si="288"/>
        <v>-9964.7747603737353</v>
      </c>
      <c r="DU106" s="380">
        <f t="shared" ca="1" si="388"/>
        <v>7.4989733059548254</v>
      </c>
      <c r="DV106" s="303">
        <f t="shared" ca="1" si="289"/>
        <v>174.89505385442095</v>
      </c>
      <c r="DW106" s="303">
        <f t="shared" ca="1" si="290"/>
        <v>46.025014172216039</v>
      </c>
      <c r="DX106" s="303">
        <f t="shared" ca="1" si="291"/>
        <v>55.230017006659253</v>
      </c>
      <c r="DY106" s="303">
        <f t="shared" ca="1" si="292"/>
        <v>276.15008503329625</v>
      </c>
      <c r="DZ106" s="303">
        <f t="shared" ca="1" si="293"/>
        <v>138.07504251664813</v>
      </c>
      <c r="EA106" s="303">
        <f t="shared" ca="1" si="294"/>
        <v>414.22512754994438</v>
      </c>
      <c r="EB106" s="302">
        <f t="shared" ca="1" si="295"/>
        <v>34.250000255182385</v>
      </c>
      <c r="EC106" s="299">
        <f t="shared" ca="1" si="296"/>
        <v>24.679999344646923</v>
      </c>
      <c r="ED106" s="299">
        <f t="shared" ca="1" si="297"/>
        <v>27.500000204890966</v>
      </c>
      <c r="EE106" s="299">
        <f t="shared" ca="1" si="298"/>
        <v>31.305000093368189</v>
      </c>
      <c r="EF106" s="299">
        <f t="shared" ca="1" si="299"/>
        <v>20.599998399615256</v>
      </c>
      <c r="EG106" s="299">
        <f t="shared" ca="1" si="300"/>
        <v>27.736666195450546</v>
      </c>
      <c r="EH106" s="302">
        <f t="shared" ca="1" si="301"/>
        <v>30</v>
      </c>
      <c r="EI106" s="304">
        <f t="shared" ca="1" si="302"/>
        <v>9.708726145429683E-2</v>
      </c>
      <c r="EJ106" s="305">
        <f t="shared" ca="1" si="303"/>
        <v>9.708726145429683E-2</v>
      </c>
      <c r="EK106" s="305">
        <f t="shared" ca="1" si="304"/>
        <v>9.708726145429683E-2</v>
      </c>
      <c r="EL106" s="305">
        <f t="shared" ca="1" si="305"/>
        <v>9.7087261454296803E-2</v>
      </c>
      <c r="EM106" s="305">
        <f t="shared" ca="1" si="306"/>
        <v>3.4725021329868787E-2</v>
      </c>
      <c r="EN106" s="305">
        <f t="shared" ca="1" si="307"/>
        <v>7.806729977313509E-2</v>
      </c>
      <c r="EO106" s="305">
        <f t="shared" ca="1" si="308"/>
        <v>9.708726145429683E-2</v>
      </c>
      <c r="EP106" s="305">
        <f t="shared" ca="1" si="309"/>
        <v>9.708726145429683E-2</v>
      </c>
      <c r="EQ106" s="305">
        <f t="shared" ca="1" si="310"/>
        <v>9.708726145429683E-2</v>
      </c>
      <c r="ER106" s="305">
        <f t="shared" ca="1" si="311"/>
        <v>3.4725021329868787E-2</v>
      </c>
      <c r="ES106" s="305">
        <f t="shared" ca="1" si="312"/>
        <v>7.806729977313509E-2</v>
      </c>
      <c r="ET106" s="299">
        <f t="shared" ca="1" si="313"/>
        <v>3.7519347928110562</v>
      </c>
      <c r="EU106" s="302">
        <f t="shared" ca="1" si="314"/>
        <v>30</v>
      </c>
      <c r="EV106" s="304">
        <f t="shared" ca="1" si="315"/>
        <v>0.29126178436289052</v>
      </c>
      <c r="EW106" s="305">
        <f t="shared" ca="1" si="316"/>
        <v>0.29126178436289052</v>
      </c>
      <c r="EX106" s="305">
        <f t="shared" ca="1" si="317"/>
        <v>0.29126178436289052</v>
      </c>
      <c r="EY106" s="305">
        <f t="shared" ca="1" si="318"/>
        <v>0.29126178436289052</v>
      </c>
      <c r="EZ106" s="305">
        <f t="shared" ca="1" si="319"/>
        <v>0.10417506398960635</v>
      </c>
      <c r="FA106" s="305">
        <f t="shared" ca="1" si="320"/>
        <v>0.2423731965494744</v>
      </c>
      <c r="FB106" s="305">
        <f t="shared" ca="1" si="321"/>
        <v>0.29126178436289052</v>
      </c>
      <c r="FC106" s="305">
        <f t="shared" ca="1" si="322"/>
        <v>0.29126178436289052</v>
      </c>
      <c r="FD106" s="305">
        <f t="shared" ca="1" si="323"/>
        <v>0.29126178436289052</v>
      </c>
      <c r="FE106" s="305">
        <f t="shared" ca="1" si="324"/>
        <v>0.10417506398960635</v>
      </c>
      <c r="FF106" s="305">
        <f t="shared" ca="1" si="325"/>
        <v>0.2423731965494744</v>
      </c>
      <c r="FG106" s="299">
        <f t="shared" ca="1" si="326"/>
        <v>6.4246862789882506</v>
      </c>
      <c r="FH106" s="302">
        <f t="shared" ca="1" si="327"/>
        <v>-2.6727514861771944</v>
      </c>
      <c r="FI106" s="248">
        <f t="shared" ca="1" si="328"/>
        <v>-1107.1208252710517</v>
      </c>
      <c r="FJ106" s="363">
        <f t="shared" ca="1" si="329"/>
        <v>0.57531267715270051</v>
      </c>
      <c r="FK106" s="378">
        <f t="shared" ca="1" si="330"/>
        <v>0.365397188708042</v>
      </c>
      <c r="FL106" s="508">
        <f t="shared" ca="1" si="331"/>
        <v>-0.86715279161486125</v>
      </c>
      <c r="FM106" s="508">
        <f t="shared" ca="1" si="332"/>
        <v>-0.46020812168475261</v>
      </c>
      <c r="FN106" s="508">
        <f t="shared" ca="1" si="333"/>
        <v>-4.0006320598957377</v>
      </c>
      <c r="FO106" s="508">
        <f t="shared" ca="1" si="334"/>
        <v>-0.47381755070066234</v>
      </c>
      <c r="FP106" s="353">
        <f t="shared" ca="1" si="335"/>
        <v>282.57816153570121</v>
      </c>
      <c r="FQ106" s="356">
        <f t="shared" ca="1" si="336"/>
        <v>23.030594589803218</v>
      </c>
      <c r="FR106" s="380">
        <f t="shared" ca="1" si="337"/>
        <v>23.132000000000001</v>
      </c>
      <c r="FS106" s="299">
        <f t="shared" ca="1" si="338"/>
        <v>23.132000000000001</v>
      </c>
      <c r="FT106" s="299">
        <f t="shared" ca="1" si="339"/>
        <v>23.132000000000001</v>
      </c>
      <c r="FU106" s="299">
        <f t="shared" ca="1" si="340"/>
        <v>23.132000000000001</v>
      </c>
      <c r="FV106" s="299">
        <f t="shared" ca="1" si="341"/>
        <v>23.132000000000001</v>
      </c>
      <c r="FW106" s="850">
        <f t="shared" ca="1" si="342"/>
        <v>0.16500000000000001</v>
      </c>
      <c r="FX106" s="851">
        <f t="shared" ca="1" si="343"/>
        <v>0.5</v>
      </c>
      <c r="FY106" s="851">
        <f t="shared" ca="1" si="344"/>
        <v>0</v>
      </c>
      <c r="FZ106" s="201">
        <f t="shared" ca="1" si="345"/>
        <v>0</v>
      </c>
      <c r="GA106" s="201">
        <f t="shared" ca="1" si="346"/>
        <v>0</v>
      </c>
      <c r="GB106" s="201">
        <f t="shared" ca="1" si="347"/>
        <v>0</v>
      </c>
      <c r="GC106" s="201">
        <f t="shared" ca="1" si="348"/>
        <v>0</v>
      </c>
      <c r="GD106" s="850">
        <f t="shared" ca="1" si="349"/>
        <v>0.30626178436289053</v>
      </c>
      <c r="GE106" s="866">
        <f t="shared" ca="1" si="350"/>
        <v>0.29376178436289052</v>
      </c>
      <c r="GF106" s="866">
        <f t="shared" ca="1" si="351"/>
        <v>0.30626178436289053</v>
      </c>
      <c r="GG106" s="866">
        <f t="shared" ca="1" si="352"/>
        <v>0.10417506398960635</v>
      </c>
      <c r="GH106" s="866">
        <f t="shared" ca="1" si="353"/>
        <v>0.25737319654947438</v>
      </c>
      <c r="GI106" s="302">
        <f t="shared" ca="1" si="354"/>
        <v>14.791777613650456</v>
      </c>
      <c r="GJ106" s="299">
        <f t="shared" ca="1" si="355"/>
        <v>7.329020841438961</v>
      </c>
      <c r="GK106" s="299">
        <f t="shared" ca="1" si="356"/>
        <v>9.5612780570798037</v>
      </c>
      <c r="GL106" s="299">
        <f t="shared" ca="1" si="357"/>
        <v>2.3081017745761119</v>
      </c>
      <c r="GM106" s="299">
        <f t="shared" ca="1" si="358"/>
        <v>8.7337970437193633</v>
      </c>
      <c r="GN106" s="302">
        <f t="shared" ca="1" si="359"/>
        <v>0.81682693744481394</v>
      </c>
      <c r="GO106" s="299">
        <f t="shared" ca="1" si="360"/>
        <v>0.67074172483250138</v>
      </c>
      <c r="GP106" s="299">
        <f t="shared" ca="1" si="361"/>
        <v>0.72622290330330663</v>
      </c>
      <c r="GQ106" s="299">
        <f t="shared" ca="1" si="362"/>
        <v>0.46215210541308271</v>
      </c>
      <c r="GR106" s="299">
        <f t="shared" ca="1" si="363"/>
        <v>0.72666653019117167</v>
      </c>
      <c r="GS106" s="302">
        <f t="shared" ca="1" si="364"/>
        <v>-0.56997009259383491</v>
      </c>
      <c r="GT106" s="299">
        <f t="shared" ca="1" si="365"/>
        <v>-0.39879338053003355</v>
      </c>
      <c r="GU106" s="299">
        <f t="shared" ca="1" si="366"/>
        <v>-0.45001970617130732</v>
      </c>
      <c r="GV106" s="299">
        <f t="shared" ca="1" si="367"/>
        <v>-0.31178583874866944</v>
      </c>
      <c r="GW106" s="299">
        <f t="shared" ca="1" si="368"/>
        <v>-0.4937537974539159</v>
      </c>
      <c r="GX106" s="303">
        <f t="shared" ca="1" si="369"/>
        <v>2587.008742342015</v>
      </c>
      <c r="GY106" s="303">
        <f t="shared" ca="1" si="370"/>
        <v>337.31828809569492</v>
      </c>
      <c r="GZ106" s="303">
        <f t="shared" ca="1" si="371"/>
        <v>528.06954969791548</v>
      </c>
      <c r="HA106" s="303">
        <f t="shared" ca="1" si="372"/>
        <v>318.69125065734761</v>
      </c>
      <c r="HB106" s="303">
        <f t="shared" ca="1" si="373"/>
        <v>3617.7581944299804</v>
      </c>
      <c r="HC106" s="303">
        <f t="shared" ca="1" si="374"/>
        <v>1944.4832533835888</v>
      </c>
      <c r="HD106" s="303">
        <f t="shared" ca="1" si="375"/>
        <v>71.246691775955711</v>
      </c>
      <c r="HE106" s="303">
        <f t="shared" ca="1" si="376"/>
        <v>241.2447256012191</v>
      </c>
      <c r="HF106" s="303">
        <f t="shared" ca="1" si="377"/>
        <v>0</v>
      </c>
      <c r="HG106" s="852">
        <f t="shared" ca="1" si="378"/>
        <v>1907.3684421354189</v>
      </c>
    </row>
    <row r="107" spans="1:215" x14ac:dyDescent="0.25">
      <c r="A107" s="244">
        <f t="shared" ca="1" si="379"/>
        <v>39356</v>
      </c>
      <c r="B107" s="13">
        <f t="shared" ca="1" si="401"/>
        <v>2007</v>
      </c>
      <c r="C107" s="619">
        <f t="shared" ca="1" si="402"/>
        <v>10</v>
      </c>
      <c r="D107" s="195" t="str">
        <f t="shared" ca="1" si="209"/>
        <v/>
      </c>
      <c r="E107" s="469">
        <f t="shared" ca="1" si="210"/>
        <v>39356</v>
      </c>
      <c r="F107" s="465">
        <f t="shared" ca="1" si="211"/>
        <v>39386</v>
      </c>
      <c r="G107" s="522">
        <f t="shared" ca="1" si="380"/>
        <v>1</v>
      </c>
      <c r="H107" s="519">
        <f t="shared" ca="1" si="381"/>
        <v>1</v>
      </c>
      <c r="I107" s="724">
        <f t="shared" ca="1" si="403"/>
        <v>7.3768782356288004E-2</v>
      </c>
      <c r="J107" s="198">
        <f t="shared" ca="1" si="213"/>
        <v>0.57172407099571054</v>
      </c>
      <c r="K107" s="200">
        <f t="shared" ca="1" si="389"/>
        <v>29.55</v>
      </c>
      <c r="L107" s="201">
        <f t="shared" ca="1" si="390"/>
        <v>30.7</v>
      </c>
      <c r="M107" s="206">
        <f t="shared" ca="1" si="391"/>
        <v>31.85</v>
      </c>
      <c r="N107" s="851">
        <f t="shared" ca="1" si="395"/>
        <v>22.938000106811518</v>
      </c>
      <c r="O107" s="201">
        <f t="shared" ca="1" si="396"/>
        <v>23.800500106811519</v>
      </c>
      <c r="P107" s="206">
        <f t="shared" ca="1" si="397"/>
        <v>24.66300010681152</v>
      </c>
      <c r="Q107" s="201">
        <f t="shared" ca="1" si="398"/>
        <v>18.500999832153315</v>
      </c>
      <c r="R107" s="201">
        <f t="shared" ca="1" si="399"/>
        <v>21.800999832153316</v>
      </c>
      <c r="S107" s="201">
        <f t="shared" ca="1" si="400"/>
        <v>25.100999832153317</v>
      </c>
      <c r="T107" s="851">
        <f t="shared" ca="1" si="392"/>
        <v>19.07499885559082</v>
      </c>
      <c r="U107" s="201">
        <f t="shared" ca="1" si="393"/>
        <v>19.64999885559082</v>
      </c>
      <c r="V107" s="206">
        <f t="shared" ca="1" si="394"/>
        <v>20.224998855590819</v>
      </c>
      <c r="W107" s="230">
        <f t="shared" ca="1" si="382"/>
        <v>8.8321290658593746E-2</v>
      </c>
      <c r="X107" s="231">
        <f t="shared" ca="1" si="383"/>
        <v>0.17664258131718749</v>
      </c>
      <c r="Y107" s="232">
        <f t="shared" ca="1" si="384"/>
        <v>0.26496387197578125</v>
      </c>
      <c r="Z107" s="231">
        <f t="shared" ca="1" si="404"/>
        <v>8.8321290658593746E-2</v>
      </c>
      <c r="AA107" s="231">
        <f t="shared" ca="1" si="405"/>
        <v>0.17664258131718749</v>
      </c>
      <c r="AB107" s="232">
        <f t="shared" ca="1" si="406"/>
        <v>0.26496387197578125</v>
      </c>
      <c r="AC107" s="231">
        <f t="shared" ca="1" si="407"/>
        <v>8.8321290658593746E-2</v>
      </c>
      <c r="AD107" s="231">
        <f t="shared" ca="1" si="408"/>
        <v>0.17664258131718749</v>
      </c>
      <c r="AE107" s="232">
        <f t="shared" ca="1" si="214"/>
        <v>0.26496387197578125</v>
      </c>
      <c r="AF107" s="231">
        <f t="shared" ca="1" si="385"/>
        <v>2.6043765997401595E-2</v>
      </c>
      <c r="AG107" s="231">
        <f t="shared" ca="1" si="386"/>
        <v>5.2087531994803191E-2</v>
      </c>
      <c r="AH107" s="232">
        <f t="shared" ca="1" si="387"/>
        <v>7.8131297992204779E-2</v>
      </c>
      <c r="AI107" s="233">
        <f t="shared" ca="1" si="215"/>
        <v>0.85000000000000009</v>
      </c>
      <c r="AJ107" s="233">
        <f t="shared" ca="1" si="216"/>
        <v>1.1000000000000001</v>
      </c>
      <c r="AK107" s="234">
        <f t="shared" ca="1" si="217"/>
        <v>1.4000000000000001</v>
      </c>
      <c r="AL107" s="919">
        <f t="shared" ca="1" si="218"/>
        <v>0.85000000000000009</v>
      </c>
      <c r="AM107" s="233">
        <f t="shared" ca="1" si="219"/>
        <v>1.1000000000000001</v>
      </c>
      <c r="AN107" s="234">
        <f t="shared" ca="1" si="220"/>
        <v>1.4000000000000001</v>
      </c>
      <c r="AO107" s="233">
        <f t="shared" ca="1" si="221"/>
        <v>0.85000000000000009</v>
      </c>
      <c r="AP107" s="233">
        <f t="shared" ca="1" si="222"/>
        <v>1.1000000000000001</v>
      </c>
      <c r="AQ107" s="233">
        <f t="shared" ca="1" si="223"/>
        <v>1.4000000000000001</v>
      </c>
      <c r="AR107" s="919">
        <f t="shared" ca="1" si="224"/>
        <v>0.19999999999999998</v>
      </c>
      <c r="AS107" s="233">
        <f t="shared" ca="1" si="225"/>
        <v>0.35</v>
      </c>
      <c r="AT107" s="235">
        <f t="shared" ca="1" si="226"/>
        <v>0.55000000000000004</v>
      </c>
      <c r="AU107" s="946">
        <f t="shared" si="227"/>
        <v>0.5</v>
      </c>
      <c r="AV107" s="13">
        <f t="shared" ca="1" si="228"/>
        <v>23</v>
      </c>
      <c r="AW107" s="210">
        <f t="shared" ca="1" si="229"/>
        <v>4</v>
      </c>
      <c r="AX107" s="210">
        <f t="shared" ca="1" si="230"/>
        <v>4</v>
      </c>
      <c r="AY107" s="210">
        <f t="shared" ca="1" si="231"/>
        <v>0</v>
      </c>
      <c r="AZ107" s="13">
        <f t="shared" ca="1" si="232"/>
        <v>31</v>
      </c>
      <c r="BA107" s="357">
        <f ca="1"/>
        <v>368</v>
      </c>
      <c r="BB107" s="925">
        <f ca="1"/>
        <v>64</v>
      </c>
      <c r="BC107" s="925">
        <f ca="1"/>
        <v>64</v>
      </c>
      <c r="BD107" s="928">
        <f ca="1"/>
        <v>248</v>
      </c>
      <c r="BE107" s="200">
        <f ca="1"/>
        <v>1.0000187270343304</v>
      </c>
      <c r="BF107" s="851">
        <f ca="1"/>
        <v>1.0000187270343304</v>
      </c>
      <c r="BG107" s="851">
        <f ca="1"/>
        <v>1.0000187270343304</v>
      </c>
      <c r="BH107" s="933">
        <f ca="1"/>
        <v>1.0000000074505806</v>
      </c>
      <c r="BI107" s="357">
        <f ca="1"/>
        <v>368</v>
      </c>
      <c r="BJ107" s="925">
        <f ca="1"/>
        <v>64</v>
      </c>
      <c r="BK107" s="925">
        <f ca="1"/>
        <v>64</v>
      </c>
      <c r="BL107" s="928">
        <f ca="1"/>
        <v>248</v>
      </c>
      <c r="BM107" s="200">
        <f ca="1"/>
        <v>1.0000187270343304</v>
      </c>
      <c r="BN107" s="851">
        <f ca="1"/>
        <v>1.0000187270343304</v>
      </c>
      <c r="BO107" s="851">
        <f ca="1"/>
        <v>1.0000187270343304</v>
      </c>
      <c r="BP107" s="933">
        <f ca="1"/>
        <v>1.0000000074505806</v>
      </c>
      <c r="BQ107" s="357">
        <f t="shared" ca="1" si="233"/>
        <v>744</v>
      </c>
      <c r="BR107" s="361">
        <f t="shared" ca="1" si="234"/>
        <v>744</v>
      </c>
      <c r="BS107" s="357">
        <f t="shared" ca="1" si="235"/>
        <v>425.36270882080862</v>
      </c>
      <c r="BT107" s="302">
        <f t="shared" ca="1" si="236"/>
        <v>24.539447659517307</v>
      </c>
      <c r="BU107" s="299">
        <f t="shared" ca="1" si="237"/>
        <v>25.658013405787905</v>
      </c>
      <c r="BV107" s="299">
        <f t="shared" ca="1" si="238"/>
        <v>26.776579152058506</v>
      </c>
      <c r="BW107" s="299">
        <f t="shared" ca="1" si="239"/>
        <v>32.659889647739881</v>
      </c>
      <c r="BX107" s="380">
        <f t="shared" ca="1" si="240"/>
        <v>7.5811088295687883</v>
      </c>
      <c r="BY107" s="363">
        <f t="shared" ca="1" si="241"/>
        <v>210.39445812642148</v>
      </c>
      <c r="BZ107" s="353">
        <f t="shared" ca="1" si="242"/>
        <v>36.590340543725475</v>
      </c>
      <c r="CA107" s="353">
        <f t="shared" ca="1" si="243"/>
        <v>36.590340543725475</v>
      </c>
      <c r="CB107" s="353">
        <f t="shared" ca="1" si="244"/>
        <v>283.57513921387243</v>
      </c>
      <c r="CC107" s="353">
        <f t="shared" ca="1" si="245"/>
        <v>141.78756960693622</v>
      </c>
      <c r="CD107" s="353">
        <f t="shared" ca="1" si="246"/>
        <v>425.36270882080862</v>
      </c>
      <c r="CE107" s="302">
        <f t="shared" ca="1" si="247"/>
        <v>31.850596456043423</v>
      </c>
      <c r="CF107" s="299">
        <f t="shared" ca="1" si="248"/>
        <v>24.66346197166121</v>
      </c>
      <c r="CG107" s="299">
        <f t="shared" ca="1" si="249"/>
        <v>25.1014698994389</v>
      </c>
      <c r="CH107" s="299">
        <f t="shared" ca="1" si="250"/>
        <v>30.052369224948361</v>
      </c>
      <c r="CI107" s="299">
        <f t="shared" ca="1" si="251"/>
        <v>20.224999006278804</v>
      </c>
      <c r="CJ107" s="299">
        <f t="shared" ca="1" si="252"/>
        <v>26.776579152058513</v>
      </c>
      <c r="CK107" s="299">
        <f t="shared" ca="1" si="253"/>
        <v>32.659889647739881</v>
      </c>
      <c r="CL107" s="377">
        <f t="shared" ca="1" si="254"/>
        <v>0.26496387197578125</v>
      </c>
      <c r="CM107" s="305">
        <f t="shared" ca="1" si="255"/>
        <v>0.26496387197578125</v>
      </c>
      <c r="CN107" s="305">
        <f t="shared" ca="1" si="256"/>
        <v>0.26496387197578125</v>
      </c>
      <c r="CO107" s="305">
        <f t="shared" ca="1" si="257"/>
        <v>0.26496387197578125</v>
      </c>
      <c r="CP107" s="305">
        <f t="shared" ca="1" si="258"/>
        <v>7.8131297992204779E-2</v>
      </c>
      <c r="CQ107" s="305">
        <f t="shared" ca="1" si="259"/>
        <v>0.21660900687633894</v>
      </c>
      <c r="CR107" s="775">
        <f t="shared" ca="1" si="260"/>
        <v>0.26496387197578125</v>
      </c>
      <c r="CS107" s="305">
        <f t="shared" ca="1" si="261"/>
        <v>0.29996387197578123</v>
      </c>
      <c r="CT107" s="305">
        <f t="shared" ca="1" si="262"/>
        <v>0.29996387197578123</v>
      </c>
      <c r="CU107" s="305">
        <f t="shared" ca="1" si="263"/>
        <v>0.13813129799220478</v>
      </c>
      <c r="CV107" s="770">
        <f t="shared" ca="1" si="264"/>
        <v>0.23410900687633895</v>
      </c>
      <c r="CW107" s="302">
        <f t="shared" ca="1" si="265"/>
        <v>8.7842367741455991</v>
      </c>
      <c r="CX107" s="299">
        <f t="shared" ca="1" si="266"/>
        <v>5.6763792904916652</v>
      </c>
      <c r="CY107" s="299">
        <f t="shared" ca="1" si="267"/>
        <v>5.9099785727106138</v>
      </c>
      <c r="CZ107" s="299">
        <f t="shared" ca="1" si="268"/>
        <v>0.47824848071813575</v>
      </c>
      <c r="DA107" s="774">
        <f t="shared" ca="1" si="269"/>
        <v>4.9106037682084782</v>
      </c>
      <c r="DB107" s="303">
        <f t="shared" ca="1" si="270"/>
        <v>2088.7877207908286</v>
      </c>
      <c r="DC107" s="248">
        <f t="shared" ca="1" si="271"/>
        <v>215.08456949271365</v>
      </c>
      <c r="DD107" s="778">
        <f t="shared" ca="1" si="272"/>
        <v>0</v>
      </c>
      <c r="DE107" s="363">
        <f t="shared" ca="1" si="273"/>
        <v>0.57172407099571054</v>
      </c>
      <c r="DF107" s="378">
        <f t="shared" ca="1" si="274"/>
        <v>-0.39916670809087268</v>
      </c>
      <c r="DG107" s="508">
        <f t="shared" ca="1" si="275"/>
        <v>-0.75297412098896266</v>
      </c>
      <c r="DH107" s="508">
        <f t="shared" ca="1" si="276"/>
        <v>-0.73166014602190177</v>
      </c>
      <c r="DI107" s="508">
        <f t="shared" ca="1" si="277"/>
        <v>-1.450203087774206</v>
      </c>
      <c r="DJ107" s="508">
        <f t="shared" ca="1" si="278"/>
        <v>-0.63042906188820824</v>
      </c>
      <c r="DK107" s="353">
        <f t="shared" ca="1" si="279"/>
        <v>-112.38375773169092</v>
      </c>
      <c r="DL107" s="781">
        <f t="shared" ca="1" si="280"/>
        <v>6.6079582052317907</v>
      </c>
      <c r="DM107" s="303">
        <f t="shared" ca="1" si="281"/>
        <v>9271.7869989517221</v>
      </c>
      <c r="DN107" s="508">
        <f t="shared" ca="1" si="282"/>
        <v>1.3674390789650723</v>
      </c>
      <c r="DO107" s="508">
        <f t="shared" ca="1" si="283"/>
        <v>1.2745500902245244</v>
      </c>
      <c r="DP107" s="508">
        <f t="shared" ca="1" si="284"/>
        <v>1.2809441520890252</v>
      </c>
      <c r="DQ107" s="508">
        <f t="shared" ca="1" si="285"/>
        <v>1.2024847713662714</v>
      </c>
      <c r="DR107" s="508">
        <f t="shared" ca="1" si="286"/>
        <v>1.3044089903072202</v>
      </c>
      <c r="DS107" s="353">
        <f t="shared" ca="1" si="287"/>
        <v>5343.4139762693503</v>
      </c>
      <c r="DT107" s="353">
        <f t="shared" ca="1" si="288"/>
        <v>-10098.424032510069</v>
      </c>
      <c r="DU107" s="380">
        <f t="shared" ca="1" si="388"/>
        <v>7.5811088295687883</v>
      </c>
      <c r="DV107" s="303">
        <f t="shared" ca="1" si="289"/>
        <v>210.39445812642148</v>
      </c>
      <c r="DW107" s="303">
        <f t="shared" ca="1" si="290"/>
        <v>36.590340543725475</v>
      </c>
      <c r="DX107" s="303">
        <f t="shared" ca="1" si="291"/>
        <v>36.590340543725475</v>
      </c>
      <c r="DY107" s="303">
        <f t="shared" ca="1" si="292"/>
        <v>283.57513921387243</v>
      </c>
      <c r="DZ107" s="303">
        <f t="shared" ca="1" si="293"/>
        <v>141.78756960693622</v>
      </c>
      <c r="EA107" s="303">
        <f t="shared" ca="1" si="294"/>
        <v>425.36270882080862</v>
      </c>
      <c r="EB107" s="302">
        <f t="shared" ca="1" si="295"/>
        <v>31.850596456043423</v>
      </c>
      <c r="EC107" s="299">
        <f t="shared" ca="1" si="296"/>
        <v>24.66346197166121</v>
      </c>
      <c r="ED107" s="299">
        <f t="shared" ca="1" si="297"/>
        <v>25.1014698994389</v>
      </c>
      <c r="EE107" s="299">
        <f t="shared" ca="1" si="298"/>
        <v>30.052369224948361</v>
      </c>
      <c r="EF107" s="299">
        <f t="shared" ca="1" si="299"/>
        <v>20.224999006278804</v>
      </c>
      <c r="EG107" s="299">
        <f t="shared" ca="1" si="300"/>
        <v>26.776579152058513</v>
      </c>
      <c r="EH107" s="302">
        <f t="shared" ca="1" si="301"/>
        <v>30</v>
      </c>
      <c r="EI107" s="304">
        <f t="shared" ca="1" si="302"/>
        <v>8.8321290658593746E-2</v>
      </c>
      <c r="EJ107" s="305">
        <f t="shared" ca="1" si="303"/>
        <v>8.8321290658593746E-2</v>
      </c>
      <c r="EK107" s="305">
        <f t="shared" ca="1" si="304"/>
        <v>8.8321290658593746E-2</v>
      </c>
      <c r="EL107" s="305">
        <f t="shared" ca="1" si="305"/>
        <v>8.8321290658593732E-2</v>
      </c>
      <c r="EM107" s="305">
        <f t="shared" ca="1" si="306"/>
        <v>2.6043765997401595E-2</v>
      </c>
      <c r="EN107" s="305">
        <f t="shared" ca="1" si="307"/>
        <v>6.9896794857227523E-2</v>
      </c>
      <c r="EO107" s="305">
        <f t="shared" ca="1" si="308"/>
        <v>8.8321290658593746E-2</v>
      </c>
      <c r="EP107" s="305">
        <f t="shared" ca="1" si="309"/>
        <v>8.8321290658593746E-2</v>
      </c>
      <c r="EQ107" s="305">
        <f t="shared" ca="1" si="310"/>
        <v>8.8321290658593746E-2</v>
      </c>
      <c r="ER107" s="305">
        <f t="shared" ca="1" si="311"/>
        <v>2.6043765997401595E-2</v>
      </c>
      <c r="ES107" s="305">
        <f t="shared" ca="1" si="312"/>
        <v>6.9896794857227523E-2</v>
      </c>
      <c r="ET107" s="299">
        <f t="shared" ca="1" si="313"/>
        <v>4.1552333934732424</v>
      </c>
      <c r="EU107" s="302">
        <f t="shared" ca="1" si="314"/>
        <v>30</v>
      </c>
      <c r="EV107" s="304">
        <f t="shared" ca="1" si="315"/>
        <v>0.26496387197578125</v>
      </c>
      <c r="EW107" s="305">
        <f t="shared" ca="1" si="316"/>
        <v>0.26496387197578125</v>
      </c>
      <c r="EX107" s="305">
        <f t="shared" ca="1" si="317"/>
        <v>0.26496387197578125</v>
      </c>
      <c r="EY107" s="305">
        <f t="shared" ca="1" si="318"/>
        <v>0.26496387197578125</v>
      </c>
      <c r="EZ107" s="305">
        <f t="shared" ca="1" si="319"/>
        <v>7.8131297992204779E-2</v>
      </c>
      <c r="FA107" s="305">
        <f t="shared" ca="1" si="320"/>
        <v>0.21660900687633894</v>
      </c>
      <c r="FB107" s="305">
        <f t="shared" ca="1" si="321"/>
        <v>0.26496387197578125</v>
      </c>
      <c r="FC107" s="305">
        <f t="shared" ca="1" si="322"/>
        <v>0.26496387197578125</v>
      </c>
      <c r="FD107" s="305">
        <f t="shared" ca="1" si="323"/>
        <v>0.26496387197578125</v>
      </c>
      <c r="FE107" s="305">
        <f t="shared" ca="1" si="324"/>
        <v>7.8131297992204779E-2</v>
      </c>
      <c r="FF107" s="305">
        <f t="shared" ca="1" si="325"/>
        <v>0.21660900687633894</v>
      </c>
      <c r="FG107" s="299">
        <f t="shared" ca="1" si="326"/>
        <v>5.1608203292762962</v>
      </c>
      <c r="FH107" s="302">
        <f t="shared" ca="1" si="327"/>
        <v>-1.0055869358030538</v>
      </c>
      <c r="FI107" s="248">
        <f t="shared" ca="1" si="328"/>
        <v>-427.73918296800355</v>
      </c>
      <c r="FJ107" s="363">
        <f t="shared" ca="1" si="329"/>
        <v>0.57172407099571054</v>
      </c>
      <c r="FK107" s="378">
        <f t="shared" ca="1" si="330"/>
        <v>0.12455655967936291</v>
      </c>
      <c r="FL107" s="508">
        <f t="shared" ca="1" si="331"/>
        <v>-0.92705510891253629</v>
      </c>
      <c r="FM107" s="508">
        <f t="shared" ca="1" si="332"/>
        <v>-0.85466687261481045</v>
      </c>
      <c r="FN107" s="508">
        <f t="shared" ca="1" si="333"/>
        <v>-5.5342039280356712</v>
      </c>
      <c r="FO107" s="508">
        <f t="shared" ca="1" si="334"/>
        <v>-0.68686431981291851</v>
      </c>
      <c r="FP107" s="353">
        <f t="shared" ca="1" si="335"/>
        <v>320.68773335372987</v>
      </c>
      <c r="FQ107" s="356">
        <f t="shared" ca="1" si="336"/>
        <v>23.215524069148739</v>
      </c>
      <c r="FR107" s="380">
        <f t="shared" ca="1" si="337"/>
        <v>23.34</v>
      </c>
      <c r="FS107" s="299">
        <f t="shared" ca="1" si="338"/>
        <v>23.34</v>
      </c>
      <c r="FT107" s="299">
        <f t="shared" ca="1" si="339"/>
        <v>23.34</v>
      </c>
      <c r="FU107" s="299">
        <f t="shared" ca="1" si="340"/>
        <v>23.34</v>
      </c>
      <c r="FV107" s="299">
        <f t="shared" ca="1" si="341"/>
        <v>23.34</v>
      </c>
      <c r="FW107" s="850">
        <f t="shared" ca="1" si="342"/>
        <v>0.16500000000000001</v>
      </c>
      <c r="FX107" s="851">
        <f t="shared" ca="1" si="343"/>
        <v>0.5</v>
      </c>
      <c r="FY107" s="851">
        <f t="shared" ca="1" si="344"/>
        <v>0</v>
      </c>
      <c r="FZ107" s="201">
        <f t="shared" ca="1" si="345"/>
        <v>0</v>
      </c>
      <c r="GA107" s="201">
        <f t="shared" ca="1" si="346"/>
        <v>0</v>
      </c>
      <c r="GB107" s="201">
        <f t="shared" ca="1" si="347"/>
        <v>0</v>
      </c>
      <c r="GC107" s="201">
        <f t="shared" ca="1" si="348"/>
        <v>0</v>
      </c>
      <c r="GD107" s="850">
        <f t="shared" ca="1" si="349"/>
        <v>0.27996387197578126</v>
      </c>
      <c r="GE107" s="866">
        <f t="shared" ca="1" si="350"/>
        <v>0.26496387197578125</v>
      </c>
      <c r="GF107" s="866">
        <f t="shared" ca="1" si="351"/>
        <v>0.26746387197578125</v>
      </c>
      <c r="GG107" s="866">
        <f t="shared" ca="1" si="352"/>
        <v>8.8131297992204774E-2</v>
      </c>
      <c r="GH107" s="866">
        <f t="shared" ca="1" si="353"/>
        <v>0.22910900687633895</v>
      </c>
      <c r="GI107" s="302">
        <f t="shared" ca="1" si="354"/>
        <v>12.236135469785356</v>
      </c>
      <c r="GJ107" s="299">
        <f t="shared" ca="1" si="355"/>
        <v>6.6914759102796921</v>
      </c>
      <c r="GK107" s="299">
        <f t="shared" ca="1" si="356"/>
        <v>7.0311795666198016</v>
      </c>
      <c r="GL107" s="299">
        <f t="shared" ca="1" si="357"/>
        <v>2.061383685583619</v>
      </c>
      <c r="GM107" s="299">
        <f t="shared" ca="1" si="358"/>
        <v>7.4393544989337075</v>
      </c>
      <c r="GN107" s="302">
        <f t="shared" ca="1" si="359"/>
        <v>0.78779614117464003</v>
      </c>
      <c r="GO107" s="299">
        <f t="shared" ca="1" si="360"/>
        <v>0.65744205493852914</v>
      </c>
      <c r="GP107" s="299">
        <f t="shared" ca="1" si="361"/>
        <v>0.66815806243579134</v>
      </c>
      <c r="GQ107" s="299">
        <f t="shared" ca="1" si="362"/>
        <v>0.4337102809178503</v>
      </c>
      <c r="GR107" s="299">
        <f t="shared" ca="1" si="363"/>
        <v>0.70039034598568872</v>
      </c>
      <c r="GS107" s="302">
        <f t="shared" ca="1" si="364"/>
        <v>-0.55079875569269221</v>
      </c>
      <c r="GT107" s="299">
        <f t="shared" ca="1" si="365"/>
        <v>-0.40802589350137186</v>
      </c>
      <c r="GU107" s="299">
        <f t="shared" ca="1" si="366"/>
        <v>-0.41733392302152383</v>
      </c>
      <c r="GV107" s="299">
        <f t="shared" ca="1" si="367"/>
        <v>-0.28750665692869798</v>
      </c>
      <c r="GW107" s="299">
        <f t="shared" ca="1" si="368"/>
        <v>-0.48477742825894898</v>
      </c>
      <c r="GX107" s="303">
        <f t="shared" ca="1" si="369"/>
        <v>2574.4150917269758</v>
      </c>
      <c r="GY107" s="303">
        <f t="shared" ca="1" si="370"/>
        <v>244.84338229726936</v>
      </c>
      <c r="GZ107" s="303">
        <f t="shared" ca="1" si="371"/>
        <v>257.27325476670262</v>
      </c>
      <c r="HA107" s="303">
        <f t="shared" ca="1" si="372"/>
        <v>292.2785828062901</v>
      </c>
      <c r="HB107" s="303">
        <f t="shared" ca="1" si="373"/>
        <v>3164.4239815447113</v>
      </c>
      <c r="HC107" s="303">
        <f t="shared" ca="1" si="374"/>
        <v>1790.582329701899</v>
      </c>
      <c r="HD107" s="303">
        <f t="shared" ca="1" si="375"/>
        <v>48.425924239754032</v>
      </c>
      <c r="HE107" s="303">
        <f t="shared" ca="1" si="376"/>
        <v>64.452783477991218</v>
      </c>
      <c r="HF107" s="303">
        <f t="shared" ca="1" si="377"/>
        <v>0</v>
      </c>
      <c r="HG107" s="852">
        <f t="shared" ca="1" si="378"/>
        <v>1461.7926171967267</v>
      </c>
    </row>
    <row r="108" spans="1:215" x14ac:dyDescent="0.25">
      <c r="A108" s="244">
        <f t="shared" ca="1" si="379"/>
        <v>39387</v>
      </c>
      <c r="B108" s="13">
        <f t="shared" ca="1" si="401"/>
        <v>2007</v>
      </c>
      <c r="C108" s="619">
        <f t="shared" ca="1" si="402"/>
        <v>11</v>
      </c>
      <c r="D108" s="195">
        <f t="shared" ca="1" si="209"/>
        <v>39408</v>
      </c>
      <c r="E108" s="469">
        <f t="shared" ca="1" si="210"/>
        <v>39387</v>
      </c>
      <c r="F108" s="465">
        <f t="shared" ca="1" si="211"/>
        <v>39416</v>
      </c>
      <c r="G108" s="522">
        <f t="shared" ca="1" si="380"/>
        <v>1</v>
      </c>
      <c r="H108" s="519">
        <f t="shared" ca="1" si="381"/>
        <v>1</v>
      </c>
      <c r="I108" s="724">
        <f t="shared" ca="1" si="403"/>
        <v>7.3784067812051005E-2</v>
      </c>
      <c r="J108" s="198">
        <f t="shared" ca="1" si="213"/>
        <v>0.56826708324181341</v>
      </c>
      <c r="K108" s="200">
        <f t="shared" ca="1" si="389"/>
        <v>29.925000000000001</v>
      </c>
      <c r="L108" s="201">
        <f t="shared" ca="1" si="390"/>
        <v>31.074999999999999</v>
      </c>
      <c r="M108" s="206">
        <f t="shared" ca="1" si="391"/>
        <v>32.225000000000001</v>
      </c>
      <c r="N108" s="851">
        <f t="shared" ca="1" si="395"/>
        <v>23.942251586914058</v>
      </c>
      <c r="O108" s="201">
        <f t="shared" ca="1" si="396"/>
        <v>24.804751586914058</v>
      </c>
      <c r="P108" s="206">
        <f t="shared" ca="1" si="397"/>
        <v>25.667251586914059</v>
      </c>
      <c r="Q108" s="201">
        <f t="shared" ca="1" si="398"/>
        <v>19.504499816894526</v>
      </c>
      <c r="R108" s="201">
        <f t="shared" ca="1" si="399"/>
        <v>22.804499816894527</v>
      </c>
      <c r="S108" s="201">
        <f t="shared" ca="1" si="400"/>
        <v>26.104499816894528</v>
      </c>
      <c r="T108" s="851">
        <f t="shared" ca="1" si="392"/>
        <v>18.999998092651367</v>
      </c>
      <c r="U108" s="201">
        <f t="shared" ca="1" si="393"/>
        <v>19.574998092651366</v>
      </c>
      <c r="V108" s="206">
        <f t="shared" ca="1" si="394"/>
        <v>20.149998092651366</v>
      </c>
      <c r="W108" s="230">
        <f t="shared" ca="1" si="382"/>
        <v>8.8321290658593746E-2</v>
      </c>
      <c r="X108" s="231">
        <f t="shared" ca="1" si="383"/>
        <v>0.17664258131718749</v>
      </c>
      <c r="Y108" s="232">
        <f t="shared" ca="1" si="384"/>
        <v>0.26496387197578125</v>
      </c>
      <c r="Z108" s="231">
        <f t="shared" ca="1" si="404"/>
        <v>8.8321290658593746E-2</v>
      </c>
      <c r="AA108" s="231">
        <f t="shared" ca="1" si="405"/>
        <v>0.17664258131718749</v>
      </c>
      <c r="AB108" s="232">
        <f t="shared" ca="1" si="406"/>
        <v>0.26496387197578125</v>
      </c>
      <c r="AC108" s="231">
        <f t="shared" ca="1" si="407"/>
        <v>8.8321290658593746E-2</v>
      </c>
      <c r="AD108" s="231">
        <f t="shared" ca="1" si="408"/>
        <v>0.17664258131718749</v>
      </c>
      <c r="AE108" s="232">
        <f t="shared" ca="1" si="214"/>
        <v>0.26496387197578125</v>
      </c>
      <c r="AF108" s="231">
        <f t="shared" ca="1" si="385"/>
        <v>2.6043765997401595E-2</v>
      </c>
      <c r="AG108" s="231">
        <f t="shared" ca="1" si="386"/>
        <v>5.2087531994803191E-2</v>
      </c>
      <c r="AH108" s="232">
        <f t="shared" ca="1" si="387"/>
        <v>7.8131297992204779E-2</v>
      </c>
      <c r="AI108" s="233">
        <f t="shared" ca="1" si="215"/>
        <v>1</v>
      </c>
      <c r="AJ108" s="233">
        <f t="shared" ca="1" si="216"/>
        <v>1.25</v>
      </c>
      <c r="AK108" s="234">
        <f t="shared" ca="1" si="217"/>
        <v>1.55</v>
      </c>
      <c r="AL108" s="919">
        <f t="shared" ca="1" si="218"/>
        <v>1</v>
      </c>
      <c r="AM108" s="233">
        <f t="shared" ca="1" si="219"/>
        <v>1.25</v>
      </c>
      <c r="AN108" s="234">
        <f t="shared" ca="1" si="220"/>
        <v>1.55</v>
      </c>
      <c r="AO108" s="233">
        <f t="shared" ca="1" si="221"/>
        <v>1</v>
      </c>
      <c r="AP108" s="233">
        <f t="shared" ca="1" si="222"/>
        <v>1.25</v>
      </c>
      <c r="AQ108" s="233">
        <f t="shared" ca="1" si="223"/>
        <v>1.55</v>
      </c>
      <c r="AR108" s="919">
        <f t="shared" ca="1" si="224"/>
        <v>0.15</v>
      </c>
      <c r="AS108" s="233">
        <f t="shared" ca="1" si="225"/>
        <v>0.3</v>
      </c>
      <c r="AT108" s="235">
        <f t="shared" ca="1" si="226"/>
        <v>0.5</v>
      </c>
      <c r="AU108" s="946">
        <f t="shared" si="227"/>
        <v>0.5</v>
      </c>
      <c r="AV108" s="13">
        <f t="shared" ca="1" si="228"/>
        <v>21</v>
      </c>
      <c r="AW108" s="210">
        <f t="shared" ca="1" si="229"/>
        <v>4</v>
      </c>
      <c r="AX108" s="210">
        <f t="shared" ca="1" si="230"/>
        <v>4</v>
      </c>
      <c r="AY108" s="210">
        <f t="shared" ca="1" si="231"/>
        <v>1</v>
      </c>
      <c r="AZ108" s="13">
        <f t="shared" ca="1" si="232"/>
        <v>30</v>
      </c>
      <c r="BA108" s="357">
        <f ca="1"/>
        <v>336</v>
      </c>
      <c r="BB108" s="925">
        <f ca="1"/>
        <v>64</v>
      </c>
      <c r="BC108" s="925">
        <f ca="1"/>
        <v>80</v>
      </c>
      <c r="BD108" s="928">
        <f ca="1"/>
        <v>240</v>
      </c>
      <c r="BE108" s="200">
        <f ca="1"/>
        <v>0.99996249377727509</v>
      </c>
      <c r="BF108" s="851">
        <f ca="1"/>
        <v>0.99996249377727509</v>
      </c>
      <c r="BG108" s="851">
        <f ca="1"/>
        <v>0.99996249377727509</v>
      </c>
      <c r="BH108" s="933">
        <f ca="1"/>
        <v>1.0000000074505806</v>
      </c>
      <c r="BI108" s="357">
        <f ca="1"/>
        <v>336</v>
      </c>
      <c r="BJ108" s="925">
        <f ca="1"/>
        <v>64</v>
      </c>
      <c r="BK108" s="925">
        <f ca="1"/>
        <v>80</v>
      </c>
      <c r="BL108" s="928">
        <f ca="1"/>
        <v>240</v>
      </c>
      <c r="BM108" s="200">
        <f ca="1"/>
        <v>0.99996249377727509</v>
      </c>
      <c r="BN108" s="851">
        <f ca="1"/>
        <v>0.99996249377727509</v>
      </c>
      <c r="BO108" s="851">
        <f ca="1"/>
        <v>0.99996249377727509</v>
      </c>
      <c r="BP108" s="933">
        <f ca="1"/>
        <v>1.0000000074505806</v>
      </c>
      <c r="BQ108" s="357">
        <f t="shared" ca="1" si="233"/>
        <v>720</v>
      </c>
      <c r="BR108" s="361">
        <f t="shared" ca="1" si="234"/>
        <v>720</v>
      </c>
      <c r="BS108" s="357">
        <f t="shared" ca="1" si="235"/>
        <v>409.15229993410566</v>
      </c>
      <c r="BT108" s="302">
        <f t="shared" ca="1" si="236"/>
        <v>24.593014654734336</v>
      </c>
      <c r="BU108" s="299">
        <f t="shared" ca="1" si="237"/>
        <v>25.764644566730755</v>
      </c>
      <c r="BV108" s="299">
        <f t="shared" ca="1" si="238"/>
        <v>26.936274478727182</v>
      </c>
      <c r="BW108" s="299">
        <f t="shared" ca="1" si="239"/>
        <v>32.659889647739881</v>
      </c>
      <c r="BX108" s="380">
        <f t="shared" ca="1" si="240"/>
        <v>7.6659822039698833</v>
      </c>
      <c r="BY108" s="363">
        <f t="shared" ca="1" si="241"/>
        <v>190.93773996924929</v>
      </c>
      <c r="BZ108" s="353">
        <f t="shared" ca="1" si="242"/>
        <v>36.369093327476058</v>
      </c>
      <c r="CA108" s="353">
        <f t="shared" ca="1" si="243"/>
        <v>45.461366659345074</v>
      </c>
      <c r="CB108" s="353">
        <f t="shared" ca="1" si="244"/>
        <v>272.76819995607042</v>
      </c>
      <c r="CC108" s="353">
        <f t="shared" ca="1" si="245"/>
        <v>136.38409997803521</v>
      </c>
      <c r="CD108" s="353">
        <f t="shared" ca="1" si="246"/>
        <v>409.1522999341056</v>
      </c>
      <c r="CE108" s="302">
        <f t="shared" ca="1" si="247"/>
        <v>32.223791361972694</v>
      </c>
      <c r="CF108" s="299">
        <f t="shared" ca="1" si="248"/>
        <v>25.666288905259304</v>
      </c>
      <c r="CG108" s="299">
        <f t="shared" ca="1" si="249"/>
        <v>26.103520735710273</v>
      </c>
      <c r="CH108" s="299">
        <f t="shared" ca="1" si="250"/>
        <v>30.329412596700504</v>
      </c>
      <c r="CI108" s="299">
        <f t="shared" ca="1" si="251"/>
        <v>20.149998242780551</v>
      </c>
      <c r="CJ108" s="299">
        <f t="shared" ca="1" si="252"/>
        <v>26.936274478727189</v>
      </c>
      <c r="CK108" s="299">
        <f t="shared" ca="1" si="253"/>
        <v>32.659889647739881</v>
      </c>
      <c r="CL108" s="377">
        <f t="shared" ca="1" si="254"/>
        <v>0.26496387197578125</v>
      </c>
      <c r="CM108" s="305">
        <f t="shared" ca="1" si="255"/>
        <v>0.26496387197578125</v>
      </c>
      <c r="CN108" s="305">
        <f t="shared" ca="1" si="256"/>
        <v>0.26496387197578125</v>
      </c>
      <c r="CO108" s="305">
        <f t="shared" ca="1" si="257"/>
        <v>0.26496387197578131</v>
      </c>
      <c r="CP108" s="305">
        <f t="shared" ca="1" si="258"/>
        <v>7.8131297992204779E-2</v>
      </c>
      <c r="CQ108" s="305">
        <f t="shared" ca="1" si="259"/>
        <v>0.21718018471018796</v>
      </c>
      <c r="CR108" s="775">
        <f t="shared" ca="1" si="260"/>
        <v>0.26496387197578125</v>
      </c>
      <c r="CS108" s="305">
        <f t="shared" ca="1" si="261"/>
        <v>0.28996387197578127</v>
      </c>
      <c r="CT108" s="305">
        <f t="shared" ca="1" si="262"/>
        <v>0.28996387197578127</v>
      </c>
      <c r="CU108" s="305">
        <f t="shared" ca="1" si="263"/>
        <v>0.13813129799220478</v>
      </c>
      <c r="CV108" s="770">
        <f t="shared" ca="1" si="264"/>
        <v>0.23468018471018798</v>
      </c>
      <c r="CW108" s="302">
        <f t="shared" ca="1" si="265"/>
        <v>9.0695543920993913</v>
      </c>
      <c r="CX108" s="299">
        <f t="shared" ca="1" si="266"/>
        <v>5.9817925809711419</v>
      </c>
      <c r="CY108" s="299">
        <f t="shared" ca="1" si="267"/>
        <v>6.2198729942291209</v>
      </c>
      <c r="CZ108" s="299">
        <f t="shared" ca="1" si="268"/>
        <v>0.47722542437654658</v>
      </c>
      <c r="DA108" s="774">
        <f t="shared" ca="1" si="269"/>
        <v>5.0472897773060588</v>
      </c>
      <c r="DB108" s="303">
        <f t="shared" ca="1" si="270"/>
        <v>2065.1102208186735</v>
      </c>
      <c r="DC108" s="248">
        <f t="shared" ca="1" si="271"/>
        <v>209.20465191252467</v>
      </c>
      <c r="DD108" s="778">
        <f t="shared" ca="1" si="272"/>
        <v>0</v>
      </c>
      <c r="DE108" s="363">
        <f t="shared" ca="1" si="273"/>
        <v>0.56826708324181341</v>
      </c>
      <c r="DF108" s="378">
        <f t="shared" ca="1" si="274"/>
        <v>-0.38513326682854443</v>
      </c>
      <c r="DG108" s="508">
        <f t="shared" ca="1" si="275"/>
        <v>-0.70156581655907257</v>
      </c>
      <c r="DH108" s="508">
        <f t="shared" ca="1" si="276"/>
        <v>-0.68052571987201371</v>
      </c>
      <c r="DI108" s="508">
        <f t="shared" ca="1" si="277"/>
        <v>-1.4539841885211051</v>
      </c>
      <c r="DJ108" s="508">
        <f t="shared" ca="1" si="278"/>
        <v>-0.62141125582952939</v>
      </c>
      <c r="DK108" s="353">
        <f t="shared" ca="1" si="279"/>
        <v>-109.31095906862502</v>
      </c>
      <c r="DL108" s="781">
        <f t="shared" ca="1" si="280"/>
        <v>6.3411551316082022</v>
      </c>
      <c r="DM108" s="303">
        <f t="shared" ca="1" si="281"/>
        <v>9006.1447334106106</v>
      </c>
      <c r="DN108" s="508">
        <f t="shared" ca="1" si="282"/>
        <v>1.3793814488040537</v>
      </c>
      <c r="DO108" s="508">
        <f t="shared" ca="1" si="283"/>
        <v>1.2971966007646611</v>
      </c>
      <c r="DP108" s="508">
        <f t="shared" ca="1" si="284"/>
        <v>1.3032980788145905</v>
      </c>
      <c r="DQ108" s="508">
        <f t="shared" ca="1" si="285"/>
        <v>1.209793142629594</v>
      </c>
      <c r="DR108" s="508">
        <f t="shared" ca="1" si="286"/>
        <v>1.3146413931784904</v>
      </c>
      <c r="DS108" s="353">
        <f t="shared" ca="1" si="287"/>
        <v>5130.0903269947175</v>
      </c>
      <c r="DT108" s="353">
        <f t="shared" ca="1" si="288"/>
        <v>-9805.9617307613007</v>
      </c>
      <c r="DU108" s="380">
        <f t="shared" ca="1" si="388"/>
        <v>7.6659822039698833</v>
      </c>
      <c r="DV108" s="303">
        <f t="shared" ca="1" si="289"/>
        <v>190.93773996924929</v>
      </c>
      <c r="DW108" s="303">
        <f t="shared" ca="1" si="290"/>
        <v>36.369093327476058</v>
      </c>
      <c r="DX108" s="303">
        <f t="shared" ca="1" si="291"/>
        <v>45.461366659345074</v>
      </c>
      <c r="DY108" s="303">
        <f t="shared" ca="1" si="292"/>
        <v>272.76819995607042</v>
      </c>
      <c r="DZ108" s="303">
        <f t="shared" ca="1" si="293"/>
        <v>136.38409997803521</v>
      </c>
      <c r="EA108" s="303">
        <f t="shared" ca="1" si="294"/>
        <v>409.1522999341056</v>
      </c>
      <c r="EB108" s="302">
        <f t="shared" ca="1" si="295"/>
        <v>32.223791361972694</v>
      </c>
      <c r="EC108" s="299">
        <f t="shared" ca="1" si="296"/>
        <v>25.666288905259304</v>
      </c>
      <c r="ED108" s="299">
        <f t="shared" ca="1" si="297"/>
        <v>26.103520735710273</v>
      </c>
      <c r="EE108" s="299">
        <f t="shared" ca="1" si="298"/>
        <v>30.329412596700504</v>
      </c>
      <c r="EF108" s="299">
        <f t="shared" ca="1" si="299"/>
        <v>20.149998242780551</v>
      </c>
      <c r="EG108" s="299">
        <f t="shared" ca="1" si="300"/>
        <v>26.936274478727189</v>
      </c>
      <c r="EH108" s="302">
        <f t="shared" ca="1" si="301"/>
        <v>30</v>
      </c>
      <c r="EI108" s="304">
        <f t="shared" ca="1" si="302"/>
        <v>8.8321290658593746E-2</v>
      </c>
      <c r="EJ108" s="305">
        <f t="shared" ca="1" si="303"/>
        <v>8.8321290658593746E-2</v>
      </c>
      <c r="EK108" s="305">
        <f t="shared" ca="1" si="304"/>
        <v>8.8321290658593746E-2</v>
      </c>
      <c r="EL108" s="305">
        <f t="shared" ca="1" si="305"/>
        <v>8.8321290658593732E-2</v>
      </c>
      <c r="EM108" s="305">
        <f t="shared" ca="1" si="306"/>
        <v>2.6043765997401595E-2</v>
      </c>
      <c r="EN108" s="305">
        <f t="shared" ca="1" si="307"/>
        <v>7.007598275802121E-2</v>
      </c>
      <c r="EO108" s="305">
        <f t="shared" ca="1" si="308"/>
        <v>8.8321290658593746E-2</v>
      </c>
      <c r="EP108" s="305">
        <f t="shared" ca="1" si="309"/>
        <v>8.8321290658593746E-2</v>
      </c>
      <c r="EQ108" s="305">
        <f t="shared" ca="1" si="310"/>
        <v>8.8321290658593746E-2</v>
      </c>
      <c r="ER108" s="305">
        <f t="shared" ca="1" si="311"/>
        <v>2.6043765997401595E-2</v>
      </c>
      <c r="ES108" s="305">
        <f t="shared" ca="1" si="312"/>
        <v>7.007598275802121E-2</v>
      </c>
      <c r="ET108" s="299">
        <f t="shared" ca="1" si="313"/>
        <v>4.0611774340507871</v>
      </c>
      <c r="EU108" s="302">
        <f t="shared" ca="1" si="314"/>
        <v>30</v>
      </c>
      <c r="EV108" s="304">
        <f t="shared" ca="1" si="315"/>
        <v>0.26496387197578125</v>
      </c>
      <c r="EW108" s="305">
        <f t="shared" ca="1" si="316"/>
        <v>0.26496387197578125</v>
      </c>
      <c r="EX108" s="305">
        <f t="shared" ca="1" si="317"/>
        <v>0.26496387197578125</v>
      </c>
      <c r="EY108" s="305">
        <f t="shared" ca="1" si="318"/>
        <v>0.26496387197578131</v>
      </c>
      <c r="EZ108" s="305">
        <f t="shared" ca="1" si="319"/>
        <v>7.8131297992204779E-2</v>
      </c>
      <c r="FA108" s="305">
        <f t="shared" ca="1" si="320"/>
        <v>0.21718018471018796</v>
      </c>
      <c r="FB108" s="305">
        <f t="shared" ca="1" si="321"/>
        <v>0.26496387197578125</v>
      </c>
      <c r="FC108" s="305">
        <f t="shared" ca="1" si="322"/>
        <v>0.26496387197578125</v>
      </c>
      <c r="FD108" s="305">
        <f t="shared" ca="1" si="323"/>
        <v>0.26496387197578125</v>
      </c>
      <c r="FE108" s="305">
        <f t="shared" ca="1" si="324"/>
        <v>7.8131297992204779E-2</v>
      </c>
      <c r="FF108" s="305">
        <f t="shared" ca="1" si="325"/>
        <v>0.21718018471018796</v>
      </c>
      <c r="FG108" s="299">
        <f t="shared" ca="1" si="326"/>
        <v>5.3002200136082571</v>
      </c>
      <c r="FH108" s="302">
        <f t="shared" ca="1" si="327"/>
        <v>-1.23904257955747</v>
      </c>
      <c r="FI108" s="248">
        <f t="shared" ca="1" si="328"/>
        <v>-506.95712114222584</v>
      </c>
      <c r="FJ108" s="363">
        <f t="shared" ca="1" si="329"/>
        <v>0.56826708324181341</v>
      </c>
      <c r="FK108" s="378">
        <f t="shared" ca="1" si="330"/>
        <v>0.17014759950616751</v>
      </c>
      <c r="FL108" s="508">
        <f t="shared" ca="1" si="331"/>
        <v>-0.7602807144577064</v>
      </c>
      <c r="FM108" s="508">
        <f t="shared" ca="1" si="332"/>
        <v>-0.6912048681172438</v>
      </c>
      <c r="FN108" s="508">
        <f t="shared" ca="1" si="333"/>
        <v>-5.5554044496115731</v>
      </c>
      <c r="FO108" s="508">
        <f t="shared" ca="1" si="334"/>
        <v>-0.65222162122020411</v>
      </c>
      <c r="FP108" s="353">
        <f t="shared" ca="1" si="335"/>
        <v>303.9473620922895</v>
      </c>
      <c r="FQ108" s="356">
        <f t="shared" ca="1" si="336"/>
        <v>22.669814434301639</v>
      </c>
      <c r="FR108" s="380">
        <f t="shared" ca="1" si="337"/>
        <v>24.42</v>
      </c>
      <c r="FS108" s="299">
        <f t="shared" ca="1" si="338"/>
        <v>24.42</v>
      </c>
      <c r="FT108" s="299">
        <f t="shared" ca="1" si="339"/>
        <v>24.42</v>
      </c>
      <c r="FU108" s="299">
        <f t="shared" ca="1" si="340"/>
        <v>24.42</v>
      </c>
      <c r="FV108" s="299">
        <f t="shared" ca="1" si="341"/>
        <v>24.42</v>
      </c>
      <c r="FW108" s="850">
        <f t="shared" ca="1" si="342"/>
        <v>0.16500000000000001</v>
      </c>
      <c r="FX108" s="851">
        <f t="shared" ca="1" si="343"/>
        <v>0.5</v>
      </c>
      <c r="FY108" s="851">
        <f t="shared" ca="1" si="344"/>
        <v>0</v>
      </c>
      <c r="FZ108" s="201">
        <f t="shared" ca="1" si="345"/>
        <v>0</v>
      </c>
      <c r="GA108" s="201">
        <f t="shared" ca="1" si="346"/>
        <v>0</v>
      </c>
      <c r="GB108" s="201">
        <f t="shared" ca="1" si="347"/>
        <v>0</v>
      </c>
      <c r="GC108" s="201">
        <f t="shared" ca="1" si="348"/>
        <v>0</v>
      </c>
      <c r="GD108" s="850">
        <f t="shared" ca="1" si="349"/>
        <v>0.27996387197578126</v>
      </c>
      <c r="GE108" s="866">
        <f t="shared" ca="1" si="350"/>
        <v>0.26496387197578125</v>
      </c>
      <c r="GF108" s="866">
        <f t="shared" ca="1" si="351"/>
        <v>0.26746387197578125</v>
      </c>
      <c r="GG108" s="866">
        <f t="shared" ca="1" si="352"/>
        <v>9.3131297992204778E-2</v>
      </c>
      <c r="GH108" s="866">
        <f t="shared" ca="1" si="353"/>
        <v>0.22718018471018797</v>
      </c>
      <c r="GI108" s="302">
        <f t="shared" ca="1" si="354"/>
        <v>11.979712790800694</v>
      </c>
      <c r="GJ108" s="299">
        <f t="shared" ca="1" si="355"/>
        <v>6.9440223332058348</v>
      </c>
      <c r="GK108" s="299">
        <f t="shared" ca="1" si="356"/>
        <v>7.2844267886248968</v>
      </c>
      <c r="GL108" s="299">
        <f t="shared" ca="1" si="357"/>
        <v>1.7656785158339221</v>
      </c>
      <c r="GM108" s="299">
        <f t="shared" ca="1" si="358"/>
        <v>7.0343366194939803</v>
      </c>
      <c r="GN108" s="302">
        <f t="shared" ca="1" si="359"/>
        <v>0.77287061026659798</v>
      </c>
      <c r="GO108" s="299">
        <f t="shared" ca="1" si="360"/>
        <v>0.65483661049440356</v>
      </c>
      <c r="GP108" s="299">
        <f t="shared" ca="1" si="361"/>
        <v>0.66516123697060869</v>
      </c>
      <c r="GQ108" s="299">
        <f t="shared" ca="1" si="362"/>
        <v>0.38740550072723806</v>
      </c>
      <c r="GR108" s="299">
        <f t="shared" ca="1" si="363"/>
        <v>0.67569688794487126</v>
      </c>
      <c r="GS108" s="302">
        <f t="shared" ca="1" si="364"/>
        <v>-0.52928376144264744</v>
      </c>
      <c r="GT108" s="299">
        <f t="shared" ca="1" si="365"/>
        <v>-0.40389870511842468</v>
      </c>
      <c r="GU108" s="299">
        <f t="shared" ca="1" si="366"/>
        <v>-0.4127201966514798</v>
      </c>
      <c r="GV108" s="299">
        <f t="shared" ca="1" si="367"/>
        <v>-0.24736040364175738</v>
      </c>
      <c r="GW108" s="299">
        <f t="shared" ca="1" si="368"/>
        <v>-0.45726544363998772</v>
      </c>
      <c r="GX108" s="303">
        <f t="shared" ca="1" si="369"/>
        <v>2287.3792857561925</v>
      </c>
      <c r="GY108" s="303">
        <f t="shared" ca="1" si="370"/>
        <v>252.54779630444105</v>
      </c>
      <c r="GZ108" s="303">
        <f t="shared" ca="1" si="371"/>
        <v>331.15999714083199</v>
      </c>
      <c r="HA108" s="303">
        <f t="shared" ca="1" si="372"/>
        <v>240.81047523256245</v>
      </c>
      <c r="HB108" s="303">
        <f t="shared" ca="1" si="373"/>
        <v>2878.1150063766636</v>
      </c>
      <c r="HC108" s="303">
        <f t="shared" ca="1" si="374"/>
        <v>1490.0382858466157</v>
      </c>
      <c r="HD108" s="303">
        <f t="shared" ca="1" si="375"/>
        <v>45.326397508373525</v>
      </c>
      <c r="HE108" s="303">
        <f t="shared" ca="1" si="376"/>
        <v>76.535153444735002</v>
      </c>
      <c r="HF108" s="303">
        <f t="shared" ca="1" si="377"/>
        <v>0</v>
      </c>
      <c r="HG108" s="852">
        <f t="shared" ca="1" si="378"/>
        <v>1029.5394902367211</v>
      </c>
    </row>
    <row r="109" spans="1:215" x14ac:dyDescent="0.25">
      <c r="A109" s="244">
        <f t="shared" ca="1" si="379"/>
        <v>39417</v>
      </c>
      <c r="B109" s="13">
        <f t="shared" ca="1" si="401"/>
        <v>2007</v>
      </c>
      <c r="C109" s="619">
        <f t="shared" ca="1" si="402"/>
        <v>12</v>
      </c>
      <c r="D109" s="195">
        <f t="shared" ca="1" si="209"/>
        <v>39441</v>
      </c>
      <c r="E109" s="469">
        <f t="shared" ca="1" si="210"/>
        <v>39417</v>
      </c>
      <c r="F109" s="465">
        <f t="shared" ca="1" si="211"/>
        <v>39447</v>
      </c>
      <c r="G109" s="522">
        <f t="shared" ca="1" si="380"/>
        <v>1</v>
      </c>
      <c r="H109" s="519">
        <f t="shared" ca="1" si="381"/>
        <v>1</v>
      </c>
      <c r="I109" s="724">
        <f t="shared" ca="1" si="403"/>
        <v>7.3798860188670004E-2</v>
      </c>
      <c r="J109" s="198">
        <f t="shared" ca="1" si="213"/>
        <v>0.56471969020165991</v>
      </c>
      <c r="K109" s="200">
        <f t="shared" ca="1" si="389"/>
        <v>29.8</v>
      </c>
      <c r="L109" s="201">
        <f t="shared" ca="1" si="390"/>
        <v>30.95</v>
      </c>
      <c r="M109" s="206">
        <f t="shared" ca="1" si="391"/>
        <v>32.1</v>
      </c>
      <c r="N109" s="851">
        <f t="shared" ca="1" si="395"/>
        <v>25.392498397827143</v>
      </c>
      <c r="O109" s="201">
        <f t="shared" ca="1" si="396"/>
        <v>26.254998397827144</v>
      </c>
      <c r="P109" s="206">
        <f t="shared" ca="1" si="397"/>
        <v>27.117498397827145</v>
      </c>
      <c r="Q109" s="201">
        <f t="shared" ca="1" si="398"/>
        <v>19.449999237060542</v>
      </c>
      <c r="R109" s="201">
        <f t="shared" ca="1" si="399"/>
        <v>22.749999237060543</v>
      </c>
      <c r="S109" s="201">
        <f t="shared" ca="1" si="400"/>
        <v>26.049999237060543</v>
      </c>
      <c r="T109" s="851">
        <f t="shared" ca="1" si="392"/>
        <v>20.424999237060547</v>
      </c>
      <c r="U109" s="201">
        <f t="shared" ca="1" si="393"/>
        <v>20.999999237060546</v>
      </c>
      <c r="V109" s="206">
        <f t="shared" ca="1" si="394"/>
        <v>21.574999237060545</v>
      </c>
      <c r="W109" s="230">
        <f t="shared" ca="1" si="382"/>
        <v>9.1496887626093731E-2</v>
      </c>
      <c r="X109" s="231">
        <f t="shared" ca="1" si="383"/>
        <v>0.18299377525218746</v>
      </c>
      <c r="Y109" s="232">
        <f t="shared" ca="1" si="384"/>
        <v>0.27449066287828117</v>
      </c>
      <c r="Z109" s="231">
        <f t="shared" ca="1" si="404"/>
        <v>9.1496887626093731E-2</v>
      </c>
      <c r="AA109" s="231">
        <f t="shared" ca="1" si="405"/>
        <v>0.18299377525218746</v>
      </c>
      <c r="AB109" s="232">
        <f t="shared" ca="1" si="406"/>
        <v>0.27449066287828117</v>
      </c>
      <c r="AC109" s="231">
        <f t="shared" ca="1" si="407"/>
        <v>9.1496887626093731E-2</v>
      </c>
      <c r="AD109" s="231">
        <f t="shared" ca="1" si="408"/>
        <v>0.18299377525218746</v>
      </c>
      <c r="AE109" s="232">
        <f t="shared" ca="1" si="214"/>
        <v>0.27449066287828117</v>
      </c>
      <c r="AF109" s="231">
        <f t="shared" ca="1" si="385"/>
        <v>2.6043765997401595E-2</v>
      </c>
      <c r="AG109" s="231">
        <f t="shared" ca="1" si="386"/>
        <v>5.2087531994803191E-2</v>
      </c>
      <c r="AH109" s="232">
        <f t="shared" ca="1" si="387"/>
        <v>7.8131297992204779E-2</v>
      </c>
      <c r="AI109" s="233">
        <f t="shared" ca="1" si="215"/>
        <v>1</v>
      </c>
      <c r="AJ109" s="233">
        <f t="shared" ca="1" si="216"/>
        <v>1.25</v>
      </c>
      <c r="AK109" s="234">
        <f t="shared" ca="1" si="217"/>
        <v>1.6</v>
      </c>
      <c r="AL109" s="919">
        <f t="shared" ca="1" si="218"/>
        <v>1</v>
      </c>
      <c r="AM109" s="233">
        <f t="shared" ca="1" si="219"/>
        <v>1.25</v>
      </c>
      <c r="AN109" s="234">
        <f t="shared" ca="1" si="220"/>
        <v>1.6</v>
      </c>
      <c r="AO109" s="233">
        <f t="shared" ca="1" si="221"/>
        <v>1</v>
      </c>
      <c r="AP109" s="233">
        <f t="shared" ca="1" si="222"/>
        <v>1.25</v>
      </c>
      <c r="AQ109" s="233">
        <f t="shared" ca="1" si="223"/>
        <v>1.6</v>
      </c>
      <c r="AR109" s="919">
        <f t="shared" ca="1" si="224"/>
        <v>0.15</v>
      </c>
      <c r="AS109" s="233">
        <f t="shared" ca="1" si="225"/>
        <v>0.3</v>
      </c>
      <c r="AT109" s="235">
        <f t="shared" ca="1" si="226"/>
        <v>0.5</v>
      </c>
      <c r="AU109" s="946">
        <f t="shared" si="227"/>
        <v>0.5</v>
      </c>
      <c r="AV109" s="13">
        <f t="shared" ca="1" si="228"/>
        <v>20</v>
      </c>
      <c r="AW109" s="210">
        <f t="shared" ca="1" si="229"/>
        <v>5</v>
      </c>
      <c r="AX109" s="210">
        <f t="shared" ca="1" si="230"/>
        <v>5</v>
      </c>
      <c r="AY109" s="210">
        <f t="shared" ca="1" si="231"/>
        <v>1</v>
      </c>
      <c r="AZ109" s="13">
        <f t="shared" ca="1" si="232"/>
        <v>31</v>
      </c>
      <c r="BA109" s="357">
        <f ca="1"/>
        <v>320</v>
      </c>
      <c r="BB109" s="925">
        <f ca="1"/>
        <v>80</v>
      </c>
      <c r="BC109" s="925">
        <f ca="1"/>
        <v>96</v>
      </c>
      <c r="BD109" s="928">
        <f ca="1"/>
        <v>248</v>
      </c>
      <c r="BE109" s="200">
        <f ca="1"/>
        <v>0.9999692440032959</v>
      </c>
      <c r="BF109" s="851">
        <f ca="1"/>
        <v>0.9999692440032959</v>
      </c>
      <c r="BG109" s="851">
        <f ca="1"/>
        <v>0.9999692440032959</v>
      </c>
      <c r="BH109" s="933">
        <f ca="1"/>
        <v>1.0000000074505806</v>
      </c>
      <c r="BI109" s="357">
        <f ca="1"/>
        <v>320</v>
      </c>
      <c r="BJ109" s="925">
        <f ca="1"/>
        <v>80</v>
      </c>
      <c r="BK109" s="925">
        <f ca="1"/>
        <v>96</v>
      </c>
      <c r="BL109" s="928">
        <f ca="1"/>
        <v>248</v>
      </c>
      <c r="BM109" s="200">
        <f ca="1"/>
        <v>0.9999692440032959</v>
      </c>
      <c r="BN109" s="851">
        <f ca="1"/>
        <v>0.9999692440032959</v>
      </c>
      <c r="BO109" s="851">
        <f ca="1"/>
        <v>0.9999692440032959</v>
      </c>
      <c r="BP109" s="933">
        <f ca="1"/>
        <v>1.0000000074505806</v>
      </c>
      <c r="BQ109" s="357">
        <f t="shared" ca="1" si="233"/>
        <v>744</v>
      </c>
      <c r="BR109" s="361">
        <f t="shared" ca="1" si="234"/>
        <v>744</v>
      </c>
      <c r="BS109" s="357">
        <f t="shared" ca="1" si="235"/>
        <v>420.15144951003498</v>
      </c>
      <c r="BT109" s="302">
        <f t="shared" ca="1" si="236"/>
        <v>24.865035554580704</v>
      </c>
      <c r="BU109" s="299">
        <f t="shared" ca="1" si="237"/>
        <v>26.069843104570136</v>
      </c>
      <c r="BV109" s="299">
        <f t="shared" ca="1" si="238"/>
        <v>27.274650654559565</v>
      </c>
      <c r="BW109" s="299">
        <f t="shared" ca="1" si="239"/>
        <v>32.659889647739881</v>
      </c>
      <c r="BX109" s="380">
        <f t="shared" ca="1" si="240"/>
        <v>7.7481177275838471</v>
      </c>
      <c r="BY109" s="363">
        <f t="shared" ca="1" si="241"/>
        <v>180.71030086453118</v>
      </c>
      <c r="BZ109" s="353">
        <f t="shared" ca="1" si="242"/>
        <v>45.177575216132794</v>
      </c>
      <c r="CA109" s="353">
        <f t="shared" ca="1" si="243"/>
        <v>54.213090259359348</v>
      </c>
      <c r="CB109" s="353">
        <f t="shared" ca="1" si="244"/>
        <v>280.10096634002332</v>
      </c>
      <c r="CC109" s="353">
        <f t="shared" ca="1" si="245"/>
        <v>140.05048317001166</v>
      </c>
      <c r="CD109" s="353">
        <f t="shared" ca="1" si="246"/>
        <v>420.15144951003498</v>
      </c>
      <c r="CE109" s="302">
        <f t="shared" ca="1" si="247"/>
        <v>32.099012732505798</v>
      </c>
      <c r="CF109" s="299">
        <f t="shared" ca="1" si="248"/>
        <v>27.116664372135798</v>
      </c>
      <c r="CG109" s="299">
        <f t="shared" ca="1" si="249"/>
        <v>26.049198043369866</v>
      </c>
      <c r="CH109" s="299">
        <f t="shared" ca="1" si="250"/>
        <v>30.124476282935941</v>
      </c>
      <c r="CI109" s="299">
        <f t="shared" ca="1" si="251"/>
        <v>21.574999397806817</v>
      </c>
      <c r="CJ109" s="299">
        <f t="shared" ca="1" si="252"/>
        <v>27.274650654559565</v>
      </c>
      <c r="CK109" s="299">
        <f t="shared" ca="1" si="253"/>
        <v>32.659889647739881</v>
      </c>
      <c r="CL109" s="377">
        <f t="shared" ca="1" si="254"/>
        <v>0.27449066287828117</v>
      </c>
      <c r="CM109" s="305">
        <f t="shared" ca="1" si="255"/>
        <v>0.27449066287828117</v>
      </c>
      <c r="CN109" s="305">
        <f t="shared" ca="1" si="256"/>
        <v>0.27449066287828117</v>
      </c>
      <c r="CO109" s="305">
        <f t="shared" ca="1" si="257"/>
        <v>0.27449066287828111</v>
      </c>
      <c r="CP109" s="305">
        <f t="shared" ca="1" si="258"/>
        <v>7.8131297992204779E-2</v>
      </c>
      <c r="CQ109" s="305">
        <f t="shared" ca="1" si="259"/>
        <v>0.22236496384942148</v>
      </c>
      <c r="CR109" s="775">
        <f t="shared" ca="1" si="260"/>
        <v>0.27449066287828117</v>
      </c>
      <c r="CS109" s="305">
        <f t="shared" ca="1" si="261"/>
        <v>0.29199066287828118</v>
      </c>
      <c r="CT109" s="305">
        <f t="shared" ca="1" si="262"/>
        <v>0.29949066287828119</v>
      </c>
      <c r="CU109" s="305">
        <f t="shared" ca="1" si="263"/>
        <v>0.13813129799220478</v>
      </c>
      <c r="CV109" s="770">
        <f t="shared" ca="1" si="264"/>
        <v>0.23986496384942146</v>
      </c>
      <c r="CW109" s="302">
        <f t="shared" ca="1" si="265"/>
        <v>9.3567377838674961</v>
      </c>
      <c r="CX109" s="299">
        <f t="shared" ca="1" si="266"/>
        <v>6.891137693883886</v>
      </c>
      <c r="CY109" s="299">
        <f t="shared" ca="1" si="267"/>
        <v>6.5074373613299183</v>
      </c>
      <c r="CZ109" s="299">
        <f t="shared" ca="1" si="268"/>
        <v>0.72215595869047888</v>
      </c>
      <c r="DA109" s="774">
        <f t="shared" ca="1" si="269"/>
        <v>5.4161101096188062</v>
      </c>
      <c r="DB109" s="303">
        <f t="shared" ca="1" si="270"/>
        <v>2275.5865132622957</v>
      </c>
      <c r="DC109" s="248">
        <f t="shared" ca="1" si="271"/>
        <v>220.78925981081295</v>
      </c>
      <c r="DD109" s="778">
        <f t="shared" ca="1" si="272"/>
        <v>0</v>
      </c>
      <c r="DE109" s="363">
        <f t="shared" ca="1" si="273"/>
        <v>0.56471969020165991</v>
      </c>
      <c r="DF109" s="378">
        <f t="shared" ca="1" si="274"/>
        <v>-0.40470008874237917</v>
      </c>
      <c r="DG109" s="508">
        <f t="shared" ca="1" si="275"/>
        <v>-0.63523086100577497</v>
      </c>
      <c r="DH109" s="508">
        <f t="shared" ca="1" si="276"/>
        <v>-0.68811398991004669</v>
      </c>
      <c r="DI109" s="508">
        <f t="shared" ca="1" si="277"/>
        <v>-1.2705785331003441</v>
      </c>
      <c r="DJ109" s="508">
        <f t="shared" ca="1" si="278"/>
        <v>-0.60371426098611425</v>
      </c>
      <c r="DK109" s="353">
        <f t="shared" ca="1" si="279"/>
        <v>-114.70838805262227</v>
      </c>
      <c r="DL109" s="781">
        <f t="shared" ca="1" si="280"/>
        <v>6.4060839814610935</v>
      </c>
      <c r="DM109" s="303">
        <f t="shared" ca="1" si="281"/>
        <v>9405.2534477756162</v>
      </c>
      <c r="DN109" s="508">
        <f t="shared" ca="1" si="282"/>
        <v>1.3854090896819165</v>
      </c>
      <c r="DO109" s="508">
        <f t="shared" ca="1" si="283"/>
        <v>1.3248051700346657</v>
      </c>
      <c r="DP109" s="508">
        <f t="shared" ca="1" si="284"/>
        <v>1.3103755461021696</v>
      </c>
      <c r="DQ109" s="508">
        <f t="shared" ca="1" si="285"/>
        <v>1.242666677828872</v>
      </c>
      <c r="DR109" s="508">
        <f t="shared" ca="1" si="286"/>
        <v>1.3268923810786735</v>
      </c>
      <c r="DS109" s="353">
        <f t="shared" ca="1" si="287"/>
        <v>5276.6047356565286</v>
      </c>
      <c r="DT109" s="353">
        <f t="shared" ca="1" si="288"/>
        <v>-10197.798371127488</v>
      </c>
      <c r="DU109" s="380">
        <f t="shared" ca="1" si="388"/>
        <v>7.7481177275838471</v>
      </c>
      <c r="DV109" s="303">
        <f t="shared" ca="1" si="289"/>
        <v>180.71030086453118</v>
      </c>
      <c r="DW109" s="303">
        <f t="shared" ca="1" si="290"/>
        <v>45.177575216132794</v>
      </c>
      <c r="DX109" s="303">
        <f t="shared" ca="1" si="291"/>
        <v>54.213090259359348</v>
      </c>
      <c r="DY109" s="303">
        <f t="shared" ca="1" si="292"/>
        <v>280.10096634002332</v>
      </c>
      <c r="DZ109" s="303">
        <f t="shared" ca="1" si="293"/>
        <v>140.05048317001166</v>
      </c>
      <c r="EA109" s="303">
        <f t="shared" ca="1" si="294"/>
        <v>420.15144951003498</v>
      </c>
      <c r="EB109" s="302">
        <f t="shared" ca="1" si="295"/>
        <v>32.099012732505798</v>
      </c>
      <c r="EC109" s="299">
        <f t="shared" ca="1" si="296"/>
        <v>27.116664372135798</v>
      </c>
      <c r="ED109" s="299">
        <f t="shared" ca="1" si="297"/>
        <v>26.049198043369866</v>
      </c>
      <c r="EE109" s="299">
        <f t="shared" ca="1" si="298"/>
        <v>30.124476282935941</v>
      </c>
      <c r="EF109" s="299">
        <f t="shared" ca="1" si="299"/>
        <v>21.574999397806817</v>
      </c>
      <c r="EG109" s="299">
        <f t="shared" ca="1" si="300"/>
        <v>27.274650654559565</v>
      </c>
      <c r="EH109" s="302">
        <f t="shared" ca="1" si="301"/>
        <v>30</v>
      </c>
      <c r="EI109" s="304">
        <f t="shared" ca="1" si="302"/>
        <v>9.1496887626093731E-2</v>
      </c>
      <c r="EJ109" s="305">
        <f t="shared" ca="1" si="303"/>
        <v>9.1496887626093731E-2</v>
      </c>
      <c r="EK109" s="305">
        <f t="shared" ca="1" si="304"/>
        <v>9.1496887626093731E-2</v>
      </c>
      <c r="EL109" s="305">
        <f t="shared" ca="1" si="305"/>
        <v>9.1496887626093745E-2</v>
      </c>
      <c r="EM109" s="305">
        <f t="shared" ca="1" si="306"/>
        <v>2.6043765997401595E-2</v>
      </c>
      <c r="EN109" s="305">
        <f t="shared" ca="1" si="307"/>
        <v>7.1409635527222043E-2</v>
      </c>
      <c r="EO109" s="305">
        <f t="shared" ca="1" si="308"/>
        <v>9.1496887626093731E-2</v>
      </c>
      <c r="EP109" s="305">
        <f t="shared" ca="1" si="309"/>
        <v>9.1496887626093731E-2</v>
      </c>
      <c r="EQ109" s="305">
        <f t="shared" ca="1" si="310"/>
        <v>9.1496887626093731E-2</v>
      </c>
      <c r="ER109" s="305">
        <f t="shared" ca="1" si="311"/>
        <v>2.6043765997401595E-2</v>
      </c>
      <c r="ES109" s="305">
        <f t="shared" ca="1" si="312"/>
        <v>7.1409635527222043E-2</v>
      </c>
      <c r="ET109" s="299">
        <f t="shared" ca="1" si="313"/>
        <v>3.8841381006399658</v>
      </c>
      <c r="EU109" s="302">
        <f t="shared" ca="1" si="314"/>
        <v>30</v>
      </c>
      <c r="EV109" s="304">
        <f t="shared" ca="1" si="315"/>
        <v>0.27449066287828117</v>
      </c>
      <c r="EW109" s="305">
        <f t="shared" ca="1" si="316"/>
        <v>0.27449066287828117</v>
      </c>
      <c r="EX109" s="305">
        <f t="shared" ca="1" si="317"/>
        <v>0.27449066287828117</v>
      </c>
      <c r="EY109" s="305">
        <f t="shared" ca="1" si="318"/>
        <v>0.27449066287828111</v>
      </c>
      <c r="EZ109" s="305">
        <f t="shared" ca="1" si="319"/>
        <v>7.8131297992204779E-2</v>
      </c>
      <c r="FA109" s="305">
        <f t="shared" ca="1" si="320"/>
        <v>0.22236496384942148</v>
      </c>
      <c r="FB109" s="305">
        <f t="shared" ca="1" si="321"/>
        <v>0.27449066287828117</v>
      </c>
      <c r="FC109" s="305">
        <f t="shared" ca="1" si="322"/>
        <v>0.27449066287828117</v>
      </c>
      <c r="FD109" s="305">
        <f t="shared" ca="1" si="323"/>
        <v>0.27449066287828117</v>
      </c>
      <c r="FE109" s="305">
        <f t="shared" ca="1" si="324"/>
        <v>7.8131297992204779E-2</v>
      </c>
      <c r="FF109" s="305">
        <f t="shared" ca="1" si="325"/>
        <v>0.22236496384942148</v>
      </c>
      <c r="FG109" s="299">
        <f t="shared" ca="1" si="326"/>
        <v>5.6770371196338729</v>
      </c>
      <c r="FH109" s="302">
        <f t="shared" ca="1" si="327"/>
        <v>-1.7928990189939071</v>
      </c>
      <c r="FI109" s="248">
        <f t="shared" ca="1" si="328"/>
        <v>-753.28912165540987</v>
      </c>
      <c r="FJ109" s="363">
        <f t="shared" ca="1" si="329"/>
        <v>0.56471969020165991</v>
      </c>
      <c r="FK109" s="378">
        <f t="shared" ca="1" si="330"/>
        <v>0.13819197565473734</v>
      </c>
      <c r="FL109" s="508">
        <f t="shared" ca="1" si="331"/>
        <v>-0.52410223814324552</v>
      </c>
      <c r="FM109" s="508">
        <f t="shared" ca="1" si="332"/>
        <v>-0.68179263990930605</v>
      </c>
      <c r="FN109" s="508">
        <f t="shared" ca="1" si="333"/>
        <v>-4.5836895912887758</v>
      </c>
      <c r="FO109" s="508">
        <f t="shared" ca="1" si="334"/>
        <v>-0.57852646209320924</v>
      </c>
      <c r="FP109" s="353">
        <f t="shared" ca="1" si="335"/>
        <v>301.89800730081896</v>
      </c>
      <c r="FQ109" s="356">
        <f t="shared" ca="1" si="336"/>
        <v>23.777287338490314</v>
      </c>
      <c r="FR109" s="380">
        <f t="shared" ca="1" si="337"/>
        <v>25.412000000000003</v>
      </c>
      <c r="FS109" s="299">
        <f t="shared" ca="1" si="338"/>
        <v>25.412000000000003</v>
      </c>
      <c r="FT109" s="299">
        <f t="shared" ca="1" si="339"/>
        <v>25.412000000000003</v>
      </c>
      <c r="FU109" s="299">
        <f t="shared" ca="1" si="340"/>
        <v>25.412000000000003</v>
      </c>
      <c r="FV109" s="299">
        <f t="shared" ca="1" si="341"/>
        <v>25.412000000000003</v>
      </c>
      <c r="FW109" s="850">
        <f t="shared" ca="1" si="342"/>
        <v>0.16500000000000001</v>
      </c>
      <c r="FX109" s="851">
        <f t="shared" ca="1" si="343"/>
        <v>0.5</v>
      </c>
      <c r="FY109" s="851">
        <f t="shared" ca="1" si="344"/>
        <v>0</v>
      </c>
      <c r="FZ109" s="201">
        <f t="shared" ca="1" si="345"/>
        <v>0</v>
      </c>
      <c r="GA109" s="201">
        <f t="shared" ca="1" si="346"/>
        <v>0</v>
      </c>
      <c r="GB109" s="201">
        <f t="shared" ca="1" si="347"/>
        <v>0</v>
      </c>
      <c r="GC109" s="201">
        <f t="shared" ca="1" si="348"/>
        <v>0</v>
      </c>
      <c r="GD109" s="850">
        <f t="shared" ca="1" si="349"/>
        <v>0.28949066287828118</v>
      </c>
      <c r="GE109" s="866">
        <f t="shared" ca="1" si="350"/>
        <v>0.27699066287828117</v>
      </c>
      <c r="GF109" s="866">
        <f t="shared" ca="1" si="351"/>
        <v>0.27449066287828117</v>
      </c>
      <c r="GG109" s="866">
        <f t="shared" ca="1" si="352"/>
        <v>8.8131297992204774E-2</v>
      </c>
      <c r="GH109" s="866">
        <f t="shared" ca="1" si="353"/>
        <v>0.22486496384942148</v>
      </c>
      <c r="GI109" s="302">
        <f t="shared" ca="1" si="354"/>
        <v>11.62843324880539</v>
      </c>
      <c r="GJ109" s="299">
        <f t="shared" ca="1" si="355"/>
        <v>7.7921250899480086</v>
      </c>
      <c r="GK109" s="299">
        <f t="shared" ca="1" si="356"/>
        <v>7.0371192755033078</v>
      </c>
      <c r="GL109" s="299">
        <f t="shared" ca="1" si="357"/>
        <v>2.0919722680111077</v>
      </c>
      <c r="GM109" s="299">
        <f t="shared" ca="1" si="358"/>
        <v>6.8003712472356819</v>
      </c>
      <c r="GN109" s="302">
        <f t="shared" ca="1" si="359"/>
        <v>0.75292497930858038</v>
      </c>
      <c r="GO109" s="299">
        <f t="shared" ca="1" si="360"/>
        <v>0.66732560345460668</v>
      </c>
      <c r="GP109" s="299">
        <f t="shared" ca="1" si="361"/>
        <v>0.64440888890539016</v>
      </c>
      <c r="GQ109" s="299">
        <f t="shared" ca="1" si="362"/>
        <v>0.41598393897765357</v>
      </c>
      <c r="GR109" s="299">
        <f t="shared" ca="1" si="363"/>
        <v>0.65789248095814068</v>
      </c>
      <c r="GS109" s="302">
        <f t="shared" ca="1" si="364"/>
        <v>-0.49345646475444321</v>
      </c>
      <c r="GT109" s="299">
        <f t="shared" ca="1" si="365"/>
        <v>-0.40545898963655153</v>
      </c>
      <c r="GU109" s="299">
        <f t="shared" ca="1" si="366"/>
        <v>-0.38364622476631433</v>
      </c>
      <c r="GV109" s="299">
        <f t="shared" ca="1" si="367"/>
        <v>-0.27085158725130076</v>
      </c>
      <c r="GW109" s="299">
        <f t="shared" ca="1" si="368"/>
        <v>-0.43851006784383739</v>
      </c>
      <c r="GX109" s="303">
        <f t="shared" ca="1" si="369"/>
        <v>2101.3776709747399</v>
      </c>
      <c r="GY109" s="303">
        <f t="shared" ca="1" si="370"/>
        <v>352.0293173446417</v>
      </c>
      <c r="GZ109" s="303">
        <f t="shared" ca="1" si="371"/>
        <v>381.50398244873827</v>
      </c>
      <c r="HA109" s="303">
        <f t="shared" ca="1" si="372"/>
        <v>292.98172691322077</v>
      </c>
      <c r="HB109" s="303">
        <f t="shared" ca="1" si="373"/>
        <v>2857.1858367324362</v>
      </c>
      <c r="HC109" s="303">
        <f t="shared" ca="1" si="374"/>
        <v>1208.412082776073</v>
      </c>
      <c r="HD109" s="303">
        <f t="shared" ca="1" si="375"/>
        <v>77.012602890426678</v>
      </c>
      <c r="HE109" s="303">
        <f t="shared" ca="1" si="376"/>
        <v>34.544475038297598</v>
      </c>
      <c r="HF109" s="303">
        <f t="shared" ca="1" si="377"/>
        <v>0</v>
      </c>
      <c r="HG109" s="852">
        <f t="shared" ca="1" si="378"/>
        <v>782.59537244401565</v>
      </c>
    </row>
    <row r="110" spans="1:215" x14ac:dyDescent="0.25">
      <c r="A110" s="244">
        <f t="shared" ca="1" si="379"/>
        <v>39448</v>
      </c>
      <c r="B110" s="13">
        <f t="shared" ca="1" si="401"/>
        <v>2008</v>
      </c>
      <c r="C110" s="619">
        <f t="shared" ca="1" si="402"/>
        <v>1</v>
      </c>
      <c r="D110" s="195">
        <f t="shared" ca="1" si="209"/>
        <v>39448</v>
      </c>
      <c r="E110" s="469">
        <f t="shared" ca="1" si="210"/>
        <v>39448</v>
      </c>
      <c r="F110" s="465">
        <f t="shared" ca="1" si="211"/>
        <v>39478</v>
      </c>
      <c r="G110" s="522">
        <f t="shared" ca="1" si="380"/>
        <v>1</v>
      </c>
      <c r="H110" s="519">
        <f t="shared" ca="1" si="381"/>
        <v>1</v>
      </c>
      <c r="I110" s="724">
        <f t="shared" ca="1" si="403"/>
        <v>7.3814145644586007E-2</v>
      </c>
      <c r="J110" s="198">
        <f t="shared" ca="1" si="213"/>
        <v>0.56119095626846427</v>
      </c>
      <c r="K110" s="200">
        <f t="shared" ca="1" si="389"/>
        <v>35.75</v>
      </c>
      <c r="L110" s="201">
        <f t="shared" ca="1" si="390"/>
        <v>37.049999999999997</v>
      </c>
      <c r="M110" s="206">
        <f t="shared" ca="1" si="391"/>
        <v>38.35</v>
      </c>
      <c r="N110" s="851">
        <f t="shared" ca="1" si="395"/>
        <v>28.673748779296869</v>
      </c>
      <c r="O110" s="201">
        <f t="shared" ca="1" si="396"/>
        <v>29.64874877929687</v>
      </c>
      <c r="P110" s="206">
        <f t="shared" ca="1" si="397"/>
        <v>30.623748779296871</v>
      </c>
      <c r="Q110" s="201">
        <f t="shared" ca="1" si="398"/>
        <v>24.852500534057612</v>
      </c>
      <c r="R110" s="201">
        <f t="shared" ca="1" si="399"/>
        <v>28.152500534057612</v>
      </c>
      <c r="S110" s="201">
        <f t="shared" ca="1" si="400"/>
        <v>31.452500534057613</v>
      </c>
      <c r="T110" s="851">
        <f t="shared" ca="1" si="392"/>
        <v>20.140000152587891</v>
      </c>
      <c r="U110" s="201">
        <f t="shared" ca="1" si="393"/>
        <v>20.79000015258789</v>
      </c>
      <c r="V110" s="206">
        <f t="shared" ca="1" si="394"/>
        <v>21.440000152587888</v>
      </c>
      <c r="W110" s="230">
        <f t="shared" ca="1" si="382"/>
        <v>9.88147273972656E-2</v>
      </c>
      <c r="X110" s="231">
        <f t="shared" ca="1" si="383"/>
        <v>0.1976294547945312</v>
      </c>
      <c r="Y110" s="232">
        <f t="shared" ca="1" si="384"/>
        <v>0.2964441821917968</v>
      </c>
      <c r="Z110" s="231">
        <f t="shared" ca="1" si="404"/>
        <v>9.88147273972656E-2</v>
      </c>
      <c r="AA110" s="231">
        <f t="shared" ca="1" si="405"/>
        <v>0.1976294547945312</v>
      </c>
      <c r="AB110" s="232">
        <f t="shared" ca="1" si="406"/>
        <v>0.2964441821917968</v>
      </c>
      <c r="AC110" s="231">
        <f t="shared" ca="1" si="407"/>
        <v>9.88147273972656E-2</v>
      </c>
      <c r="AD110" s="231">
        <f t="shared" ca="1" si="408"/>
        <v>0.1976294547945312</v>
      </c>
      <c r="AE110" s="232">
        <f t="shared" ca="1" si="214"/>
        <v>0.2964441821917968</v>
      </c>
      <c r="AF110" s="231">
        <f t="shared" ca="1" si="385"/>
        <v>2.9776705790362502E-2</v>
      </c>
      <c r="AG110" s="231">
        <f t="shared" ca="1" si="386"/>
        <v>5.9553411580725003E-2</v>
      </c>
      <c r="AH110" s="232">
        <f t="shared" ca="1" si="387"/>
        <v>8.9330117371087508E-2</v>
      </c>
      <c r="AI110" s="233">
        <f t="shared" ca="1" si="215"/>
        <v>1.25</v>
      </c>
      <c r="AJ110" s="233">
        <f t="shared" ca="1" si="216"/>
        <v>2</v>
      </c>
      <c r="AK110" s="234">
        <f t="shared" ca="1" si="217"/>
        <v>2.75</v>
      </c>
      <c r="AL110" s="919">
        <f t="shared" ca="1" si="218"/>
        <v>1.25</v>
      </c>
      <c r="AM110" s="233">
        <f t="shared" ca="1" si="219"/>
        <v>2</v>
      </c>
      <c r="AN110" s="234">
        <f t="shared" ca="1" si="220"/>
        <v>2.75</v>
      </c>
      <c r="AO110" s="233">
        <f t="shared" ca="1" si="221"/>
        <v>1.25</v>
      </c>
      <c r="AP110" s="233">
        <f t="shared" ca="1" si="222"/>
        <v>2</v>
      </c>
      <c r="AQ110" s="233">
        <f t="shared" ca="1" si="223"/>
        <v>2.75</v>
      </c>
      <c r="AR110" s="919">
        <f t="shared" ca="1" si="224"/>
        <v>0.35</v>
      </c>
      <c r="AS110" s="233">
        <f t="shared" ca="1" si="225"/>
        <v>0.5</v>
      </c>
      <c r="AT110" s="235">
        <f t="shared" ca="1" si="226"/>
        <v>0.7</v>
      </c>
      <c r="AU110" s="946">
        <f t="shared" si="227"/>
        <v>0.5</v>
      </c>
      <c r="AV110" s="13">
        <f t="shared" ca="1" si="228"/>
        <v>22</v>
      </c>
      <c r="AW110" s="210">
        <f t="shared" ca="1" si="229"/>
        <v>4</v>
      </c>
      <c r="AX110" s="210">
        <f t="shared" ca="1" si="230"/>
        <v>4</v>
      </c>
      <c r="AY110" s="210">
        <f t="shared" ca="1" si="231"/>
        <v>1</v>
      </c>
      <c r="AZ110" s="13">
        <f t="shared" ca="1" si="232"/>
        <v>31</v>
      </c>
      <c r="BA110" s="357">
        <f ca="1"/>
        <v>352</v>
      </c>
      <c r="BB110" s="925">
        <f ca="1"/>
        <v>64</v>
      </c>
      <c r="BC110" s="925">
        <f ca="1"/>
        <v>80</v>
      </c>
      <c r="BD110" s="928">
        <f ca="1"/>
        <v>248</v>
      </c>
      <c r="BE110" s="200">
        <f ca="1"/>
        <v>0.99998503923416138</v>
      </c>
      <c r="BF110" s="851">
        <f ca="1"/>
        <v>0.99998503923416138</v>
      </c>
      <c r="BG110" s="851">
        <f ca="1"/>
        <v>0.99998503923416138</v>
      </c>
      <c r="BH110" s="933">
        <f ca="1"/>
        <v>1.0000070855021477</v>
      </c>
      <c r="BI110" s="357">
        <f ca="1"/>
        <v>352</v>
      </c>
      <c r="BJ110" s="925">
        <f ca="1"/>
        <v>64</v>
      </c>
      <c r="BK110" s="925">
        <f ca="1"/>
        <v>80</v>
      </c>
      <c r="BL110" s="928">
        <f ca="1"/>
        <v>248</v>
      </c>
      <c r="BM110" s="200">
        <f ca="1"/>
        <v>0.99998503923416138</v>
      </c>
      <c r="BN110" s="851">
        <f ca="1"/>
        <v>0.99998503923416138</v>
      </c>
      <c r="BO110" s="851">
        <f ca="1"/>
        <v>0.99998503923416138</v>
      </c>
      <c r="BP110" s="933">
        <f ca="1"/>
        <v>1.0000070855021477</v>
      </c>
      <c r="BQ110" s="357">
        <f t="shared" ca="1" si="233"/>
        <v>744</v>
      </c>
      <c r="BR110" s="361">
        <f t="shared" ca="1" si="234"/>
        <v>744</v>
      </c>
      <c r="BS110" s="357">
        <f t="shared" ca="1" si="235"/>
        <v>417.52607146373742</v>
      </c>
      <c r="BT110" s="302">
        <f t="shared" ca="1" si="236"/>
        <v>28.765900438802326</v>
      </c>
      <c r="BU110" s="299">
        <f t="shared" ca="1" si="237"/>
        <v>30.036316316413249</v>
      </c>
      <c r="BV110" s="299">
        <f t="shared" ca="1" si="238"/>
        <v>31.306732194024175</v>
      </c>
      <c r="BW110" s="299">
        <f t="shared" ca="1" si="239"/>
        <v>32.659889647739881</v>
      </c>
      <c r="BX110" s="380">
        <f t="shared" ca="1" si="240"/>
        <v>7.8329911019849421</v>
      </c>
      <c r="BY110" s="363">
        <f t="shared" ca="1" si="241"/>
        <v>197.53921660649942</v>
      </c>
      <c r="BZ110" s="353">
        <f t="shared" ca="1" si="242"/>
        <v>35.916221201181713</v>
      </c>
      <c r="CA110" s="353">
        <f t="shared" ca="1" si="243"/>
        <v>44.895276501477142</v>
      </c>
      <c r="CB110" s="353">
        <f t="shared" ca="1" si="244"/>
        <v>278.35071430915826</v>
      </c>
      <c r="CC110" s="353">
        <f t="shared" ca="1" si="245"/>
        <v>139.17535715457913</v>
      </c>
      <c r="CD110" s="353">
        <f t="shared" ca="1" si="246"/>
        <v>417.52607146373737</v>
      </c>
      <c r="CE110" s="302">
        <f t="shared" ca="1" si="247"/>
        <v>38.349426254630089</v>
      </c>
      <c r="CF110" s="299">
        <f t="shared" ca="1" si="248"/>
        <v>30.623290624562284</v>
      </c>
      <c r="CG110" s="299">
        <f t="shared" ca="1" si="249"/>
        <v>31.452029980562084</v>
      </c>
      <c r="CH110" s="299">
        <f t="shared" ca="1" si="250"/>
        <v>36.24002225815876</v>
      </c>
      <c r="CI110" s="299">
        <f t="shared" ca="1" si="251"/>
        <v>21.440152065755015</v>
      </c>
      <c r="CJ110" s="299">
        <f t="shared" ca="1" si="252"/>
        <v>31.306732194024178</v>
      </c>
      <c r="CK110" s="299">
        <f t="shared" ca="1" si="253"/>
        <v>32.659889647739881</v>
      </c>
      <c r="CL110" s="377">
        <f t="shared" ca="1" si="254"/>
        <v>0.2964441821917968</v>
      </c>
      <c r="CM110" s="305">
        <f t="shared" ca="1" si="255"/>
        <v>0.2964441821917968</v>
      </c>
      <c r="CN110" s="305">
        <f t="shared" ca="1" si="256"/>
        <v>0.2964441821917968</v>
      </c>
      <c r="CO110" s="305">
        <f t="shared" ca="1" si="257"/>
        <v>0.29644418219179675</v>
      </c>
      <c r="CP110" s="305">
        <f t="shared" ca="1" si="258"/>
        <v>8.9330117371087508E-2</v>
      </c>
      <c r="CQ110" s="305">
        <f t="shared" ca="1" si="259"/>
        <v>0.250019263673942</v>
      </c>
      <c r="CR110" s="775">
        <f t="shared" ca="1" si="260"/>
        <v>0.31144418219179681</v>
      </c>
      <c r="CS110" s="305">
        <f t="shared" ca="1" si="261"/>
        <v>0.2964441821917968</v>
      </c>
      <c r="CT110" s="305">
        <f t="shared" ca="1" si="262"/>
        <v>0.2964441821917968</v>
      </c>
      <c r="CU110" s="305">
        <f t="shared" ca="1" si="263"/>
        <v>0.14933011737108751</v>
      </c>
      <c r="CV110" s="770">
        <f t="shared" ca="1" si="264"/>
        <v>0.250019263673942</v>
      </c>
      <c r="CW110" s="302">
        <f t="shared" ca="1" si="265"/>
        <v>15.00068683111531</v>
      </c>
      <c r="CX110" s="299">
        <f t="shared" ca="1" si="266"/>
        <v>9.1909189859608649</v>
      </c>
      <c r="CY110" s="299">
        <f t="shared" ca="1" si="267"/>
        <v>9.7197355216485146</v>
      </c>
      <c r="CZ110" s="299">
        <f t="shared" ca="1" si="268"/>
        <v>0.89658988250953175</v>
      </c>
      <c r="DA110" s="774">
        <f t="shared" ca="1" si="269"/>
        <v>8.0882511654355866</v>
      </c>
      <c r="DB110" s="303">
        <f t="shared" ca="1" si="270"/>
        <v>3377.0557341163158</v>
      </c>
      <c r="DC110" s="248">
        <f t="shared" ca="1" si="271"/>
        <v>256.30330707364169</v>
      </c>
      <c r="DD110" s="778">
        <f t="shared" ca="1" si="272"/>
        <v>0</v>
      </c>
      <c r="DE110" s="363">
        <f t="shared" ca="1" si="273"/>
        <v>0.56119095626846427</v>
      </c>
      <c r="DF110" s="378">
        <f t="shared" ca="1" si="274"/>
        <v>-0.25158879534514139</v>
      </c>
      <c r="DG110" s="508">
        <f t="shared" ca="1" si="275"/>
        <v>-0.49244143973865018</v>
      </c>
      <c r="DH110" s="508">
        <f t="shared" ca="1" si="276"/>
        <v>-0.46025684505714404</v>
      </c>
      <c r="DI110" s="508">
        <f t="shared" ca="1" si="277"/>
        <v>-1.21601494748495</v>
      </c>
      <c r="DJ110" s="508">
        <f t="shared" ca="1" si="278"/>
        <v>-0.41034220722013864</v>
      </c>
      <c r="DK110" s="353">
        <f t="shared" ca="1" si="279"/>
        <v>-142.28349406093375</v>
      </c>
      <c r="DL110" s="781">
        <f t="shared" ca="1" si="280"/>
        <v>6.7000560634539834</v>
      </c>
      <c r="DM110" s="303">
        <f t="shared" ca="1" si="281"/>
        <v>10912.124161170574</v>
      </c>
      <c r="DN110" s="508">
        <f t="shared" ca="1" si="282"/>
        <v>1.4566197561610956</v>
      </c>
      <c r="DO110" s="508">
        <f t="shared" ca="1" si="283"/>
        <v>1.3762262353646786</v>
      </c>
      <c r="DP110" s="508">
        <f t="shared" ca="1" si="284"/>
        <v>1.3857681254032159</v>
      </c>
      <c r="DQ110" s="508">
        <f t="shared" ca="1" si="285"/>
        <v>1.2488367531527573</v>
      </c>
      <c r="DR110" s="508">
        <f t="shared" ca="1" si="286"/>
        <v>1.3841135177995234</v>
      </c>
      <c r="DS110" s="353">
        <f t="shared" ca="1" si="287"/>
        <v>5600.0407008726916</v>
      </c>
      <c r="DT110" s="353">
        <f t="shared" ca="1" si="288"/>
        <v>-10963.89013708413</v>
      </c>
      <c r="DU110" s="380">
        <f t="shared" ca="1" si="388"/>
        <v>7.8329911019849421</v>
      </c>
      <c r="DV110" s="303">
        <f t="shared" ca="1" si="289"/>
        <v>197.53921660649942</v>
      </c>
      <c r="DW110" s="303">
        <f t="shared" ca="1" si="290"/>
        <v>35.916221201181713</v>
      </c>
      <c r="DX110" s="303">
        <f t="shared" ca="1" si="291"/>
        <v>44.895276501477142</v>
      </c>
      <c r="DY110" s="303">
        <f t="shared" ca="1" si="292"/>
        <v>278.35071430915826</v>
      </c>
      <c r="DZ110" s="303">
        <f t="shared" ca="1" si="293"/>
        <v>139.17535715457913</v>
      </c>
      <c r="EA110" s="303">
        <f t="shared" ca="1" si="294"/>
        <v>417.52607146373737</v>
      </c>
      <c r="EB110" s="302">
        <f t="shared" ca="1" si="295"/>
        <v>38.349426254630089</v>
      </c>
      <c r="EC110" s="299">
        <f t="shared" ca="1" si="296"/>
        <v>30.623290624562284</v>
      </c>
      <c r="ED110" s="299">
        <f t="shared" ca="1" si="297"/>
        <v>31.452029980562084</v>
      </c>
      <c r="EE110" s="299">
        <f t="shared" ca="1" si="298"/>
        <v>36.24002225815876</v>
      </c>
      <c r="EF110" s="299">
        <f t="shared" ca="1" si="299"/>
        <v>21.440152065755015</v>
      </c>
      <c r="EG110" s="299">
        <f t="shared" ca="1" si="300"/>
        <v>31.306732194024178</v>
      </c>
      <c r="EH110" s="302">
        <f t="shared" ca="1" si="301"/>
        <v>30</v>
      </c>
      <c r="EI110" s="304">
        <f t="shared" ca="1" si="302"/>
        <v>9.88147273972656E-2</v>
      </c>
      <c r="EJ110" s="305">
        <f t="shared" ca="1" si="303"/>
        <v>9.88147273972656E-2</v>
      </c>
      <c r="EK110" s="305">
        <f t="shared" ca="1" si="304"/>
        <v>9.88147273972656E-2</v>
      </c>
      <c r="EL110" s="305">
        <f t="shared" ca="1" si="305"/>
        <v>9.8814727397265656E-2</v>
      </c>
      <c r="EM110" s="305">
        <f t="shared" ca="1" si="306"/>
        <v>2.9776705790362502E-2</v>
      </c>
      <c r="EN110" s="305">
        <f t="shared" ca="1" si="307"/>
        <v>8.0284275245586206E-2</v>
      </c>
      <c r="EO110" s="305">
        <f t="shared" ca="1" si="308"/>
        <v>9.88147273972656E-2</v>
      </c>
      <c r="EP110" s="305">
        <f t="shared" ca="1" si="309"/>
        <v>9.88147273972656E-2</v>
      </c>
      <c r="EQ110" s="305">
        <f t="shared" ca="1" si="310"/>
        <v>9.88147273972656E-2</v>
      </c>
      <c r="ER110" s="305">
        <f t="shared" ca="1" si="311"/>
        <v>2.9776705790362502E-2</v>
      </c>
      <c r="ES110" s="305">
        <f t="shared" ca="1" si="312"/>
        <v>8.0284275245586206E-2</v>
      </c>
      <c r="ET110" s="299">
        <f t="shared" ca="1" si="313"/>
        <v>2.1376432557027751</v>
      </c>
      <c r="EU110" s="302">
        <f t="shared" ca="1" si="314"/>
        <v>30</v>
      </c>
      <c r="EV110" s="304">
        <f t="shared" ca="1" si="315"/>
        <v>0.2964441821917968</v>
      </c>
      <c r="EW110" s="305">
        <f t="shared" ca="1" si="316"/>
        <v>0.2964441821917968</v>
      </c>
      <c r="EX110" s="305">
        <f t="shared" ca="1" si="317"/>
        <v>0.2964441821917968</v>
      </c>
      <c r="EY110" s="305">
        <f t="shared" ca="1" si="318"/>
        <v>0.29644418219179675</v>
      </c>
      <c r="EZ110" s="305">
        <f t="shared" ca="1" si="319"/>
        <v>8.9330117371087508E-2</v>
      </c>
      <c r="FA110" s="305">
        <f t="shared" ca="1" si="320"/>
        <v>0.250019263673942</v>
      </c>
      <c r="FB110" s="305">
        <f t="shared" ca="1" si="321"/>
        <v>0.2964441821917968</v>
      </c>
      <c r="FC110" s="305">
        <f t="shared" ca="1" si="322"/>
        <v>0.2964441821917968</v>
      </c>
      <c r="FD110" s="305">
        <f t="shared" ca="1" si="323"/>
        <v>0.2964441821917968</v>
      </c>
      <c r="FE110" s="305">
        <f t="shared" ca="1" si="324"/>
        <v>8.9330117371087508E-2</v>
      </c>
      <c r="FF110" s="305">
        <f t="shared" ca="1" si="325"/>
        <v>0.250019263673942</v>
      </c>
      <c r="FG110" s="299">
        <f t="shared" ca="1" si="326"/>
        <v>9.0539567225240312</v>
      </c>
      <c r="FH110" s="302">
        <f t="shared" ca="1" si="327"/>
        <v>-6.916313466821256</v>
      </c>
      <c r="FI110" s="248">
        <f t="shared" ca="1" si="328"/>
        <v>-2887.741190813621</v>
      </c>
      <c r="FJ110" s="363">
        <f t="shared" ca="1" si="329"/>
        <v>0.56119095626846427</v>
      </c>
      <c r="FK110" s="378">
        <f t="shared" ca="1" si="330"/>
        <v>0.74957332689037559</v>
      </c>
      <c r="FL110" s="508">
        <f t="shared" ca="1" si="331"/>
        <v>-6.3923644276308977E-2</v>
      </c>
      <c r="FM110" s="508">
        <f t="shared" ca="1" si="332"/>
        <v>3.2630139768209741E-2</v>
      </c>
      <c r="FN110" s="508">
        <f t="shared" ca="1" si="333"/>
        <v>-4.0726506503927951</v>
      </c>
      <c r="FO110" s="508">
        <f t="shared" ca="1" si="334"/>
        <v>7.7401440825710544E-2</v>
      </c>
      <c r="FP110" s="353">
        <f t="shared" ca="1" si="335"/>
        <v>195.88320353721727</v>
      </c>
      <c r="FQ110" s="356">
        <f t="shared" ca="1" si="336"/>
        <v>24.636406452086042</v>
      </c>
      <c r="FR110" s="380">
        <f t="shared" ca="1" si="337"/>
        <v>25.92</v>
      </c>
      <c r="FS110" s="299">
        <f t="shared" ca="1" si="338"/>
        <v>25.92</v>
      </c>
      <c r="FT110" s="299">
        <f t="shared" ca="1" si="339"/>
        <v>25.92</v>
      </c>
      <c r="FU110" s="299">
        <f t="shared" ca="1" si="340"/>
        <v>25.92</v>
      </c>
      <c r="FV110" s="299">
        <f t="shared" ca="1" si="341"/>
        <v>25.92</v>
      </c>
      <c r="FW110" s="850">
        <f t="shared" ca="1" si="342"/>
        <v>0.16500000000000001</v>
      </c>
      <c r="FX110" s="851">
        <f t="shared" ca="1" si="343"/>
        <v>0.5</v>
      </c>
      <c r="FY110" s="851">
        <f t="shared" ca="1" si="344"/>
        <v>0</v>
      </c>
      <c r="FZ110" s="201">
        <f t="shared" ca="1" si="345"/>
        <v>0</v>
      </c>
      <c r="GA110" s="201">
        <f t="shared" ca="1" si="346"/>
        <v>0</v>
      </c>
      <c r="GB110" s="201">
        <f t="shared" ca="1" si="347"/>
        <v>0</v>
      </c>
      <c r="GC110" s="201">
        <f t="shared" ca="1" si="348"/>
        <v>0</v>
      </c>
      <c r="GD110" s="850">
        <f t="shared" ca="1" si="349"/>
        <v>0.31144418219179681</v>
      </c>
      <c r="GE110" s="866">
        <f t="shared" ca="1" si="350"/>
        <v>0.31144418219179681</v>
      </c>
      <c r="GF110" s="866">
        <f t="shared" ca="1" si="351"/>
        <v>0.31144418219179681</v>
      </c>
      <c r="GG110" s="866">
        <f t="shared" ca="1" si="352"/>
        <v>0.10433011737108751</v>
      </c>
      <c r="GH110" s="866">
        <f t="shared" ca="1" si="353"/>
        <v>0.26501926367394202</v>
      </c>
      <c r="GI110" s="302">
        <f t="shared" ca="1" si="354"/>
        <v>16.840017853348883</v>
      </c>
      <c r="GJ110" s="299">
        <f t="shared" ca="1" si="355"/>
        <v>10.864444027352992</v>
      </c>
      <c r="GK110" s="299">
        <f t="shared" ca="1" si="356"/>
        <v>11.470337031818904</v>
      </c>
      <c r="GL110" s="299">
        <f t="shared" ca="1" si="357"/>
        <v>1.9590544088958184</v>
      </c>
      <c r="GM110" s="299">
        <f t="shared" ca="1" si="358"/>
        <v>10.265517068067528</v>
      </c>
      <c r="GN110" s="302">
        <f t="shared" ca="1" si="359"/>
        <v>0.81494869160213257</v>
      </c>
      <c r="GO110" s="299">
        <f t="shared" ca="1" si="360"/>
        <v>0.72522100706229564</v>
      </c>
      <c r="GP110" s="299">
        <f t="shared" ca="1" si="361"/>
        <v>0.73688629915259363</v>
      </c>
      <c r="GQ110" s="299">
        <f t="shared" ca="1" si="362"/>
        <v>0.39483526466200808</v>
      </c>
      <c r="GR110" s="299">
        <f t="shared" ca="1" si="363"/>
        <v>0.7308629604007193</v>
      </c>
      <c r="GS110" s="302">
        <f t="shared" ca="1" si="364"/>
        <v>-0.55604939542521525</v>
      </c>
      <c r="GT110" s="299">
        <f t="shared" ca="1" si="365"/>
        <v>-0.43766257285912907</v>
      </c>
      <c r="GU110" s="299">
        <f t="shared" ca="1" si="366"/>
        <v>-0.45162950750576691</v>
      </c>
      <c r="GV110" s="299">
        <f t="shared" ca="1" si="367"/>
        <v>-0.251013622096667</v>
      </c>
      <c r="GW110" s="299">
        <f t="shared" ca="1" si="368"/>
        <v>-0.48670589856968477</v>
      </c>
      <c r="GX110" s="303">
        <f t="shared" ca="1" si="369"/>
        <v>3326.5639343900025</v>
      </c>
      <c r="GY110" s="303">
        <f t="shared" ca="1" si="370"/>
        <v>390.20977491426754</v>
      </c>
      <c r="GZ110" s="303">
        <f t="shared" ca="1" si="371"/>
        <v>514.96395260864233</v>
      </c>
      <c r="HA110" s="303">
        <f t="shared" ca="1" si="372"/>
        <v>272.65209704332841</v>
      </c>
      <c r="HB110" s="303">
        <f t="shared" ca="1" si="373"/>
        <v>4286.1210129741785</v>
      </c>
      <c r="HC110" s="303">
        <f t="shared" ca="1" si="374"/>
        <v>2455.2991252078837</v>
      </c>
      <c r="HD110" s="303">
        <f t="shared" ca="1" si="375"/>
        <v>168.92442644522302</v>
      </c>
      <c r="HE110" s="303">
        <f t="shared" ca="1" si="376"/>
        <v>248.36201559179591</v>
      </c>
      <c r="HF110" s="303">
        <f t="shared" ca="1" si="377"/>
        <v>0</v>
      </c>
      <c r="HG110" s="852">
        <f t="shared" ca="1" si="378"/>
        <v>2249.1011309981532</v>
      </c>
    </row>
    <row r="111" spans="1:215" x14ac:dyDescent="0.25">
      <c r="A111" s="244">
        <f t="shared" ca="1" si="379"/>
        <v>39479</v>
      </c>
      <c r="B111" s="13">
        <f t="shared" ca="1" si="401"/>
        <v>2008</v>
      </c>
      <c r="C111" s="619">
        <f t="shared" ca="1" si="402"/>
        <v>2</v>
      </c>
      <c r="D111" s="195" t="str">
        <f t="shared" ca="1" si="209"/>
        <v/>
      </c>
      <c r="E111" s="469">
        <f t="shared" ca="1" si="210"/>
        <v>39479</v>
      </c>
      <c r="F111" s="465">
        <f t="shared" ca="1" si="211"/>
        <v>39507</v>
      </c>
      <c r="G111" s="522">
        <f t="shared" ca="1" si="380"/>
        <v>1</v>
      </c>
      <c r="H111" s="519">
        <f t="shared" ca="1" si="381"/>
        <v>1</v>
      </c>
      <c r="I111" s="724">
        <f t="shared" ca="1" si="403"/>
        <v>7.3829431100578005E-2</v>
      </c>
      <c r="J111" s="198">
        <f t="shared" ca="1" si="213"/>
        <v>0.55790431277218178</v>
      </c>
      <c r="K111" s="200">
        <f t="shared" ca="1" si="389"/>
        <v>35.75</v>
      </c>
      <c r="L111" s="201">
        <f t="shared" ca="1" si="390"/>
        <v>37.049999999999997</v>
      </c>
      <c r="M111" s="206">
        <f t="shared" ca="1" si="391"/>
        <v>38.35</v>
      </c>
      <c r="N111" s="851">
        <f t="shared" ca="1" si="395"/>
        <v>27.671250152587884</v>
      </c>
      <c r="O111" s="201">
        <f t="shared" ca="1" si="396"/>
        <v>28.646250152587886</v>
      </c>
      <c r="P111" s="206">
        <f t="shared" ca="1" si="397"/>
        <v>29.621250152587887</v>
      </c>
      <c r="Q111" s="201">
        <f t="shared" ca="1" si="398"/>
        <v>22.847499465942377</v>
      </c>
      <c r="R111" s="201">
        <f t="shared" ca="1" si="399"/>
        <v>26.147499465942378</v>
      </c>
      <c r="S111" s="201">
        <f t="shared" ca="1" si="400"/>
        <v>29.447499465942379</v>
      </c>
      <c r="T111" s="851">
        <f t="shared" ca="1" si="392"/>
        <v>19.949997711181641</v>
      </c>
      <c r="U111" s="201">
        <f t="shared" ca="1" si="393"/>
        <v>20.59999771118164</v>
      </c>
      <c r="V111" s="206">
        <f t="shared" ca="1" si="394"/>
        <v>21.249997711181638</v>
      </c>
      <c r="W111" s="230">
        <f t="shared" ca="1" si="382"/>
        <v>9.5323040916796858E-2</v>
      </c>
      <c r="X111" s="231">
        <f t="shared" ca="1" si="383"/>
        <v>0.19064608183359372</v>
      </c>
      <c r="Y111" s="232">
        <f t="shared" ca="1" si="384"/>
        <v>0.28596912275039055</v>
      </c>
      <c r="Z111" s="231">
        <f t="shared" ca="1" si="404"/>
        <v>9.5323040916796858E-2</v>
      </c>
      <c r="AA111" s="231">
        <f t="shared" ca="1" si="405"/>
        <v>0.19064608183359372</v>
      </c>
      <c r="AB111" s="232">
        <f t="shared" ca="1" si="406"/>
        <v>0.28596912275039055</v>
      </c>
      <c r="AC111" s="231">
        <f t="shared" ca="1" si="407"/>
        <v>9.5323040916796858E-2</v>
      </c>
      <c r="AD111" s="231">
        <f t="shared" ca="1" si="408"/>
        <v>0.19064608183359372</v>
      </c>
      <c r="AE111" s="232">
        <f t="shared" ca="1" si="214"/>
        <v>0.28596912275039055</v>
      </c>
      <c r="AF111" s="231">
        <f t="shared" ca="1" si="385"/>
        <v>2.9776705790362502E-2</v>
      </c>
      <c r="AG111" s="231">
        <f t="shared" ca="1" si="386"/>
        <v>5.9553411580725003E-2</v>
      </c>
      <c r="AH111" s="232">
        <f t="shared" ca="1" si="387"/>
        <v>8.9330117371087508E-2</v>
      </c>
      <c r="AI111" s="233">
        <f t="shared" ca="1" si="215"/>
        <v>1.25</v>
      </c>
      <c r="AJ111" s="233">
        <f t="shared" ca="1" si="216"/>
        <v>2</v>
      </c>
      <c r="AK111" s="234">
        <f t="shared" ca="1" si="217"/>
        <v>2.75</v>
      </c>
      <c r="AL111" s="919">
        <f t="shared" ca="1" si="218"/>
        <v>1.25</v>
      </c>
      <c r="AM111" s="233">
        <f t="shared" ca="1" si="219"/>
        <v>2</v>
      </c>
      <c r="AN111" s="234">
        <f t="shared" ca="1" si="220"/>
        <v>2.75</v>
      </c>
      <c r="AO111" s="233">
        <f t="shared" ca="1" si="221"/>
        <v>1.25</v>
      </c>
      <c r="AP111" s="233">
        <f t="shared" ca="1" si="222"/>
        <v>2</v>
      </c>
      <c r="AQ111" s="233">
        <f t="shared" ca="1" si="223"/>
        <v>2.75</v>
      </c>
      <c r="AR111" s="919">
        <f t="shared" ca="1" si="224"/>
        <v>0.35</v>
      </c>
      <c r="AS111" s="233">
        <f t="shared" ca="1" si="225"/>
        <v>0.5</v>
      </c>
      <c r="AT111" s="235">
        <f t="shared" ca="1" si="226"/>
        <v>0.7</v>
      </c>
      <c r="AU111" s="946">
        <f t="shared" si="227"/>
        <v>0.5</v>
      </c>
      <c r="AV111" s="13">
        <f t="shared" ca="1" si="228"/>
        <v>21</v>
      </c>
      <c r="AW111" s="210">
        <f t="shared" ca="1" si="229"/>
        <v>4</v>
      </c>
      <c r="AX111" s="210">
        <f t="shared" ca="1" si="230"/>
        <v>4</v>
      </c>
      <c r="AY111" s="210">
        <f t="shared" ca="1" si="231"/>
        <v>0</v>
      </c>
      <c r="AZ111" s="13">
        <f t="shared" ca="1" si="232"/>
        <v>29</v>
      </c>
      <c r="BA111" s="357">
        <f ca="1"/>
        <v>336</v>
      </c>
      <c r="BB111" s="925">
        <f ca="1"/>
        <v>64</v>
      </c>
      <c r="BC111" s="925">
        <f ca="1"/>
        <v>64</v>
      </c>
      <c r="BD111" s="928">
        <f ca="1"/>
        <v>232</v>
      </c>
      <c r="BE111" s="200">
        <f ca="1"/>
        <v>0.99998503923416138</v>
      </c>
      <c r="BF111" s="851">
        <f ca="1"/>
        <v>0.99998503923416138</v>
      </c>
      <c r="BG111" s="851">
        <f ca="1"/>
        <v>0.99998503923416138</v>
      </c>
      <c r="BH111" s="933">
        <f ca="1"/>
        <v>1.0000070855021477</v>
      </c>
      <c r="BI111" s="357">
        <f ca="1"/>
        <v>336</v>
      </c>
      <c r="BJ111" s="925">
        <f ca="1"/>
        <v>64</v>
      </c>
      <c r="BK111" s="925">
        <f ca="1"/>
        <v>64</v>
      </c>
      <c r="BL111" s="928">
        <f ca="1"/>
        <v>232</v>
      </c>
      <c r="BM111" s="200">
        <f ca="1"/>
        <v>0.99998503923416138</v>
      </c>
      <c r="BN111" s="851">
        <f ca="1"/>
        <v>0.99998503923416138</v>
      </c>
      <c r="BO111" s="851">
        <f ca="1"/>
        <v>0.99998503923416138</v>
      </c>
      <c r="BP111" s="933">
        <f ca="1"/>
        <v>1.0000070855021477</v>
      </c>
      <c r="BQ111" s="357">
        <f t="shared" ca="1" si="233"/>
        <v>696</v>
      </c>
      <c r="BR111" s="361">
        <f t="shared" ca="1" si="234"/>
        <v>696</v>
      </c>
      <c r="BS111" s="357">
        <f t="shared" ca="1" si="235"/>
        <v>388.30140168943853</v>
      </c>
      <c r="BT111" s="302">
        <f t="shared" ca="1" si="236"/>
        <v>28.553741608114166</v>
      </c>
      <c r="BU111" s="299">
        <f t="shared" ca="1" si="237"/>
        <v>29.791084194846452</v>
      </c>
      <c r="BV111" s="299">
        <f t="shared" ca="1" si="238"/>
        <v>31.028426781578737</v>
      </c>
      <c r="BW111" s="299">
        <f t="shared" ca="1" si="239"/>
        <v>32.659889647739881</v>
      </c>
      <c r="BX111" s="380">
        <f t="shared" ca="1" si="240"/>
        <v>7.9178644763860371</v>
      </c>
      <c r="BY111" s="363">
        <f t="shared" ca="1" si="241"/>
        <v>187.45584909145308</v>
      </c>
      <c r="BZ111" s="353">
        <f t="shared" ca="1" si="242"/>
        <v>35.705876017419634</v>
      </c>
      <c r="CA111" s="353">
        <f t="shared" ca="1" si="243"/>
        <v>35.705876017419634</v>
      </c>
      <c r="CB111" s="353">
        <f t="shared" ca="1" si="244"/>
        <v>258.86760112629236</v>
      </c>
      <c r="CC111" s="353">
        <f t="shared" ca="1" si="245"/>
        <v>129.43380056314618</v>
      </c>
      <c r="CD111" s="353">
        <f t="shared" ca="1" si="246"/>
        <v>388.30140168943853</v>
      </c>
      <c r="CE111" s="302">
        <f t="shared" ca="1" si="247"/>
        <v>38.349426254630089</v>
      </c>
      <c r="CF111" s="299">
        <f t="shared" ca="1" si="248"/>
        <v>29.620806996000507</v>
      </c>
      <c r="CG111" s="299">
        <f t="shared" ca="1" si="249"/>
        <v>29.447058908798336</v>
      </c>
      <c r="CH111" s="299">
        <f t="shared" ca="1" si="250"/>
        <v>35.917566033325073</v>
      </c>
      <c r="CI111" s="299">
        <f t="shared" ca="1" si="251"/>
        <v>21.250148278086058</v>
      </c>
      <c r="CJ111" s="299">
        <f t="shared" ca="1" si="252"/>
        <v>31.028426781578737</v>
      </c>
      <c r="CK111" s="299">
        <f t="shared" ca="1" si="253"/>
        <v>32.659889647739881</v>
      </c>
      <c r="CL111" s="377">
        <f t="shared" ca="1" si="254"/>
        <v>0.28596912275039055</v>
      </c>
      <c r="CM111" s="305">
        <f t="shared" ca="1" si="255"/>
        <v>0.28596912275039055</v>
      </c>
      <c r="CN111" s="305">
        <f t="shared" ca="1" si="256"/>
        <v>0.28596912275039055</v>
      </c>
      <c r="CO111" s="305">
        <f t="shared" ca="1" si="257"/>
        <v>0.28596912275039055</v>
      </c>
      <c r="CP111" s="305">
        <f t="shared" ca="1" si="258"/>
        <v>8.9330117371087508E-2</v>
      </c>
      <c r="CQ111" s="305">
        <f t="shared" ca="1" si="259"/>
        <v>0.24090435961290965</v>
      </c>
      <c r="CR111" s="775">
        <f t="shared" ca="1" si="260"/>
        <v>0.30096912275039056</v>
      </c>
      <c r="CS111" s="305">
        <f t="shared" ca="1" si="261"/>
        <v>0.29596912275039056</v>
      </c>
      <c r="CT111" s="305">
        <f t="shared" ca="1" si="262"/>
        <v>0.29596912275039056</v>
      </c>
      <c r="CU111" s="305">
        <f t="shared" ca="1" si="263"/>
        <v>0.14933011737108751</v>
      </c>
      <c r="CV111" s="770">
        <f t="shared" ca="1" si="264"/>
        <v>0.24090435961290965</v>
      </c>
      <c r="CW111" s="302">
        <f t="shared" ca="1" si="265"/>
        <v>14.687373532322962</v>
      </c>
      <c r="CX111" s="299">
        <f t="shared" ca="1" si="266"/>
        <v>8.6004523072210244</v>
      </c>
      <c r="CY111" s="299">
        <f t="shared" ca="1" si="267"/>
        <v>8.4933831327491536</v>
      </c>
      <c r="CZ111" s="299">
        <f t="shared" ca="1" si="268"/>
        <v>0.87053540057311229</v>
      </c>
      <c r="DA111" s="774">
        <f t="shared" ca="1" si="269"/>
        <v>7.6570942603190559</v>
      </c>
      <c r="DB111" s="303">
        <f t="shared" ca="1" si="270"/>
        <v>2973.2604341500441</v>
      </c>
      <c r="DC111" s="248">
        <f t="shared" ca="1" si="271"/>
        <v>234.4782550001448</v>
      </c>
      <c r="DD111" s="778">
        <f t="shared" ca="1" si="272"/>
        <v>0</v>
      </c>
      <c r="DE111" s="363">
        <f t="shared" ca="1" si="273"/>
        <v>0.55790431277218178</v>
      </c>
      <c r="DF111" s="378">
        <f t="shared" ca="1" si="274"/>
        <v>-0.2338181416961341</v>
      </c>
      <c r="DG111" s="508">
        <f t="shared" ca="1" si="275"/>
        <v>-0.53368654073756128</v>
      </c>
      <c r="DH111" s="508">
        <f t="shared" ca="1" si="276"/>
        <v>-0.54075052239426191</v>
      </c>
      <c r="DI111" s="508">
        <f t="shared" ca="1" si="277"/>
        <v>-1.2329164214610404</v>
      </c>
      <c r="DJ111" s="508">
        <f t="shared" ca="1" si="278"/>
        <v>-0.41453189547805114</v>
      </c>
      <c r="DK111" s="353">
        <f t="shared" ca="1" si="279"/>
        <v>-131.72827815887379</v>
      </c>
      <c r="DL111" s="781">
        <f t="shared" ca="1" si="280"/>
        <v>6.4209891996818769</v>
      </c>
      <c r="DM111" s="303">
        <f t="shared" ca="1" si="281"/>
        <v>10077.140903487234</v>
      </c>
      <c r="DN111" s="508">
        <f t="shared" ca="1" si="282"/>
        <v>1.4638715498946107</v>
      </c>
      <c r="DO111" s="508">
        <f t="shared" ca="1" si="283"/>
        <v>1.3720804079054876</v>
      </c>
      <c r="DP111" s="508">
        <f t="shared" ca="1" si="284"/>
        <v>1.3699894783584743</v>
      </c>
      <c r="DQ111" s="508">
        <f t="shared" ca="1" si="285"/>
        <v>1.2540414107760516</v>
      </c>
      <c r="DR111" s="508">
        <f t="shared" ca="1" si="286"/>
        <v>1.3885813005071208</v>
      </c>
      <c r="DS111" s="353">
        <f t="shared" ca="1" si="287"/>
        <v>5157.6135706727864</v>
      </c>
      <c r="DT111" s="353">
        <f t="shared" ca="1" si="288"/>
        <v>-10206.589363145142</v>
      </c>
      <c r="DU111" s="380">
        <f t="shared" ca="1" si="388"/>
        <v>7.9178644763860371</v>
      </c>
      <c r="DV111" s="303">
        <f t="shared" ca="1" si="289"/>
        <v>187.45584909145308</v>
      </c>
      <c r="DW111" s="303">
        <f t="shared" ca="1" si="290"/>
        <v>35.705876017419634</v>
      </c>
      <c r="DX111" s="303">
        <f t="shared" ca="1" si="291"/>
        <v>35.705876017419634</v>
      </c>
      <c r="DY111" s="303">
        <f t="shared" ca="1" si="292"/>
        <v>258.86760112629236</v>
      </c>
      <c r="DZ111" s="303">
        <f t="shared" ca="1" si="293"/>
        <v>129.43380056314618</v>
      </c>
      <c r="EA111" s="303">
        <f t="shared" ca="1" si="294"/>
        <v>388.30140168943853</v>
      </c>
      <c r="EB111" s="302">
        <f t="shared" ca="1" si="295"/>
        <v>38.349426254630089</v>
      </c>
      <c r="EC111" s="299">
        <f t="shared" ca="1" si="296"/>
        <v>29.620806996000507</v>
      </c>
      <c r="ED111" s="299">
        <f t="shared" ca="1" si="297"/>
        <v>29.447058908798336</v>
      </c>
      <c r="EE111" s="299">
        <f t="shared" ca="1" si="298"/>
        <v>35.917566033325073</v>
      </c>
      <c r="EF111" s="299">
        <f t="shared" ca="1" si="299"/>
        <v>21.250148278086058</v>
      </c>
      <c r="EG111" s="299">
        <f t="shared" ca="1" si="300"/>
        <v>31.028426781578737</v>
      </c>
      <c r="EH111" s="302">
        <f t="shared" ca="1" si="301"/>
        <v>30</v>
      </c>
      <c r="EI111" s="304">
        <f t="shared" ca="1" si="302"/>
        <v>9.5323040916796858E-2</v>
      </c>
      <c r="EJ111" s="305">
        <f t="shared" ca="1" si="303"/>
        <v>9.5323040916796858E-2</v>
      </c>
      <c r="EK111" s="305">
        <f t="shared" ca="1" si="304"/>
        <v>9.5323040916796858E-2</v>
      </c>
      <c r="EL111" s="305">
        <f t="shared" ca="1" si="305"/>
        <v>9.5323040916796886E-2</v>
      </c>
      <c r="EM111" s="305">
        <f t="shared" ca="1" si="306"/>
        <v>2.9776705790362502E-2</v>
      </c>
      <c r="EN111" s="305">
        <f t="shared" ca="1" si="307"/>
        <v>7.7553304259121755E-2</v>
      </c>
      <c r="EO111" s="305">
        <f t="shared" ca="1" si="308"/>
        <v>9.5323040916796858E-2</v>
      </c>
      <c r="EP111" s="305">
        <f t="shared" ca="1" si="309"/>
        <v>9.5323040916796858E-2</v>
      </c>
      <c r="EQ111" s="305">
        <f t="shared" ca="1" si="310"/>
        <v>9.5323040916796858E-2</v>
      </c>
      <c r="ER111" s="305">
        <f t="shared" ca="1" si="311"/>
        <v>2.9776705790362502E-2</v>
      </c>
      <c r="ES111" s="305">
        <f t="shared" ca="1" si="312"/>
        <v>7.7553304259121755E-2</v>
      </c>
      <c r="ET111" s="299">
        <f t="shared" ca="1" si="313"/>
        <v>2.16849644503435</v>
      </c>
      <c r="EU111" s="302">
        <f t="shared" ca="1" si="314"/>
        <v>30</v>
      </c>
      <c r="EV111" s="304">
        <f t="shared" ca="1" si="315"/>
        <v>0.28596912275039055</v>
      </c>
      <c r="EW111" s="305">
        <f t="shared" ca="1" si="316"/>
        <v>0.28596912275039055</v>
      </c>
      <c r="EX111" s="305">
        <f t="shared" ca="1" si="317"/>
        <v>0.28596912275039055</v>
      </c>
      <c r="EY111" s="305">
        <f t="shared" ca="1" si="318"/>
        <v>0.28596912275039055</v>
      </c>
      <c r="EZ111" s="305">
        <f t="shared" ca="1" si="319"/>
        <v>8.9330117371087508E-2</v>
      </c>
      <c r="FA111" s="305">
        <f t="shared" ca="1" si="320"/>
        <v>0.24090435961290965</v>
      </c>
      <c r="FB111" s="305">
        <f t="shared" ca="1" si="321"/>
        <v>0.28596912275039055</v>
      </c>
      <c r="FC111" s="305">
        <f t="shared" ca="1" si="322"/>
        <v>0.28596912275039055</v>
      </c>
      <c r="FD111" s="305">
        <f t="shared" ca="1" si="323"/>
        <v>0.28596912275039055</v>
      </c>
      <c r="FE111" s="305">
        <f t="shared" ca="1" si="324"/>
        <v>8.9330117371087508E-2</v>
      </c>
      <c r="FF111" s="305">
        <f t="shared" ca="1" si="325"/>
        <v>0.24090435961290965</v>
      </c>
      <c r="FG111" s="299">
        <f t="shared" ca="1" si="326"/>
        <v>8.6205609273826038</v>
      </c>
      <c r="FH111" s="302">
        <f t="shared" ca="1" si="327"/>
        <v>-6.4520644823482538</v>
      </c>
      <c r="FI111" s="248">
        <f t="shared" ca="1" si="328"/>
        <v>-2505.3456822864687</v>
      </c>
      <c r="FJ111" s="363">
        <f t="shared" ca="1" si="329"/>
        <v>0.55790431277218178</v>
      </c>
      <c r="FK111" s="378">
        <f t="shared" ca="1" si="330"/>
        <v>0.78131468560510886</v>
      </c>
      <c r="FL111" s="508">
        <f t="shared" ca="1" si="331"/>
        <v>-0.18153712852277309</v>
      </c>
      <c r="FM111" s="508">
        <f t="shared" ca="1" si="332"/>
        <v>-0.20347013059604363</v>
      </c>
      <c r="FN111" s="508">
        <f t="shared" ca="1" si="333"/>
        <v>-4.1574523873705136</v>
      </c>
      <c r="FO111" s="508">
        <f t="shared" ca="1" si="334"/>
        <v>4.5344676341319515E-2</v>
      </c>
      <c r="FP111" s="353">
        <f t="shared" ca="1" si="335"/>
        <v>187.12874503623337</v>
      </c>
      <c r="FQ111" s="356">
        <f t="shared" ca="1" si="336"/>
        <v>23.637804122433689</v>
      </c>
      <c r="FR111" s="380">
        <f t="shared" ca="1" si="337"/>
        <v>24.976000000000003</v>
      </c>
      <c r="FS111" s="299">
        <f t="shared" ca="1" si="338"/>
        <v>24.976000000000003</v>
      </c>
      <c r="FT111" s="299">
        <f t="shared" ca="1" si="339"/>
        <v>24.976000000000003</v>
      </c>
      <c r="FU111" s="299">
        <f t="shared" ca="1" si="340"/>
        <v>24.976000000000003</v>
      </c>
      <c r="FV111" s="299">
        <f t="shared" ca="1" si="341"/>
        <v>24.976000000000003</v>
      </c>
      <c r="FW111" s="850">
        <f t="shared" ca="1" si="342"/>
        <v>0.16500000000000001</v>
      </c>
      <c r="FX111" s="851">
        <f t="shared" ca="1" si="343"/>
        <v>0.5</v>
      </c>
      <c r="FY111" s="851">
        <f t="shared" ca="1" si="344"/>
        <v>0</v>
      </c>
      <c r="FZ111" s="201">
        <f t="shared" ca="1" si="345"/>
        <v>0</v>
      </c>
      <c r="GA111" s="201">
        <f t="shared" ca="1" si="346"/>
        <v>0</v>
      </c>
      <c r="GB111" s="201">
        <f t="shared" ca="1" si="347"/>
        <v>0</v>
      </c>
      <c r="GC111" s="201">
        <f t="shared" ca="1" si="348"/>
        <v>0</v>
      </c>
      <c r="GD111" s="850">
        <f t="shared" ca="1" si="349"/>
        <v>0.30096912275039056</v>
      </c>
      <c r="GE111" s="866">
        <f t="shared" ca="1" si="350"/>
        <v>0.30096912275039056</v>
      </c>
      <c r="GF111" s="866">
        <f t="shared" ca="1" si="351"/>
        <v>0.30096912275039056</v>
      </c>
      <c r="GG111" s="866">
        <f t="shared" ca="1" si="352"/>
        <v>9.9330117371087503E-2</v>
      </c>
      <c r="GH111" s="866">
        <f t="shared" ca="1" si="353"/>
        <v>0.25590435961290964</v>
      </c>
      <c r="GI111" s="302">
        <f t="shared" ca="1" si="354"/>
        <v>17.17140835059179</v>
      </c>
      <c r="GJ111" s="299">
        <f t="shared" ca="1" si="355"/>
        <v>10.345960164631991</v>
      </c>
      <c r="GK111" s="299">
        <f t="shared" ca="1" si="356"/>
        <v>10.220125200505565</v>
      </c>
      <c r="GL111" s="299">
        <f t="shared" ca="1" si="357"/>
        <v>2.1314976614043699</v>
      </c>
      <c r="GM111" s="299">
        <f t="shared" ca="1" si="358"/>
        <v>10.363416596548038</v>
      </c>
      <c r="GN111" s="302">
        <f t="shared" ca="1" si="359"/>
        <v>0.82921388384998718</v>
      </c>
      <c r="GO111" s="299">
        <f t="shared" ca="1" si="360"/>
        <v>0.72557246641014395</v>
      </c>
      <c r="GP111" s="299">
        <f t="shared" ca="1" si="361"/>
        <v>0.72289648388677408</v>
      </c>
      <c r="GQ111" s="299">
        <f t="shared" ca="1" si="362"/>
        <v>0.42207303945450741</v>
      </c>
      <c r="GR111" s="299">
        <f t="shared" ca="1" si="363"/>
        <v>0.74515652395882415</v>
      </c>
      <c r="GS111" s="302">
        <f t="shared" ca="1" si="364"/>
        <v>-0.5857011192571927</v>
      </c>
      <c r="GT111" s="299">
        <f t="shared" ca="1" si="365"/>
        <v>-0.44627187560647014</v>
      </c>
      <c r="GU111" s="299">
        <f t="shared" ca="1" si="366"/>
        <v>-0.44310757729734696</v>
      </c>
      <c r="GV111" s="299">
        <f t="shared" ca="1" si="367"/>
        <v>-0.27376748169008303</v>
      </c>
      <c r="GW111" s="299">
        <f t="shared" ca="1" si="368"/>
        <v>-0.51079518403172608</v>
      </c>
      <c r="GX111" s="303">
        <f t="shared" ca="1" si="369"/>
        <v>3218.8809324562517</v>
      </c>
      <c r="GY111" s="303">
        <f t="shared" ca="1" si="370"/>
        <v>369.41157091951231</v>
      </c>
      <c r="GZ111" s="303">
        <f t="shared" ca="1" si="371"/>
        <v>364.91852329175771</v>
      </c>
      <c r="HA111" s="303">
        <f t="shared" ca="1" si="372"/>
        <v>275.8878432070257</v>
      </c>
      <c r="HB111" s="303">
        <f t="shared" ca="1" si="373"/>
        <v>4024.1291907311938</v>
      </c>
      <c r="HC111" s="303">
        <f t="shared" ca="1" si="374"/>
        <v>2506.9269738236139</v>
      </c>
      <c r="HD111" s="303">
        <f t="shared" ca="1" si="375"/>
        <v>165.84690272403734</v>
      </c>
      <c r="HE111" s="303">
        <f t="shared" ca="1" si="376"/>
        <v>159.64307506413283</v>
      </c>
      <c r="HF111" s="303">
        <f t="shared" ca="1" si="377"/>
        <v>0</v>
      </c>
      <c r="HG111" s="852">
        <f t="shared" ca="1" si="378"/>
        <v>2350.1658029097198</v>
      </c>
    </row>
    <row r="112" spans="1:215" x14ac:dyDescent="0.25">
      <c r="A112" s="244">
        <f t="shared" ca="1" si="379"/>
        <v>39508</v>
      </c>
      <c r="B112" s="13">
        <f t="shared" ca="1" si="401"/>
        <v>2008</v>
      </c>
      <c r="C112" s="619">
        <f t="shared" ca="1" si="402"/>
        <v>3</v>
      </c>
      <c r="D112" s="195" t="str">
        <f t="shared" ca="1" si="209"/>
        <v/>
      </c>
      <c r="E112" s="469">
        <f t="shared" ca="1" si="210"/>
        <v>39508</v>
      </c>
      <c r="F112" s="465">
        <f t="shared" ca="1" si="211"/>
        <v>39538</v>
      </c>
      <c r="G112" s="522">
        <f t="shared" ca="1" si="380"/>
        <v>1</v>
      </c>
      <c r="H112" s="519">
        <f t="shared" ca="1" si="381"/>
        <v>1</v>
      </c>
      <c r="I112" s="724">
        <f t="shared" ca="1" si="403"/>
        <v>7.3843730398189991E-2</v>
      </c>
      <c r="J112" s="198">
        <f t="shared" ca="1" si="213"/>
        <v>0.55441972575425003</v>
      </c>
      <c r="K112" s="200">
        <f t="shared" ca="1" si="389"/>
        <v>32.549999999999997</v>
      </c>
      <c r="L112" s="201">
        <f t="shared" ca="1" si="390"/>
        <v>33.299999999999997</v>
      </c>
      <c r="M112" s="206">
        <f t="shared" ca="1" si="391"/>
        <v>34.049999999999997</v>
      </c>
      <c r="N112" s="851">
        <f t="shared" ca="1" si="395"/>
        <v>21.272249603271479</v>
      </c>
      <c r="O112" s="201">
        <f t="shared" ca="1" si="396"/>
        <v>21.834749603271479</v>
      </c>
      <c r="P112" s="206">
        <f t="shared" ca="1" si="397"/>
        <v>22.397249603271479</v>
      </c>
      <c r="Q112" s="201">
        <f t="shared" ca="1" si="398"/>
        <v>18.164498901367182</v>
      </c>
      <c r="R112" s="201">
        <f t="shared" ca="1" si="399"/>
        <v>21.464498901367183</v>
      </c>
      <c r="S112" s="201">
        <f t="shared" ca="1" si="400"/>
        <v>24.764498901367183</v>
      </c>
      <c r="T112" s="851">
        <f t="shared" ca="1" si="392"/>
        <v>19.224999618530273</v>
      </c>
      <c r="U112" s="201">
        <f t="shared" ca="1" si="393"/>
        <v>19.599999618530273</v>
      </c>
      <c r="V112" s="206">
        <f t="shared" ca="1" si="394"/>
        <v>19.974999618530273</v>
      </c>
      <c r="W112" s="230">
        <f t="shared" ca="1" si="382"/>
        <v>9.2782839002255854E-2</v>
      </c>
      <c r="X112" s="231">
        <f t="shared" ca="1" si="383"/>
        <v>0.18556567800451171</v>
      </c>
      <c r="Y112" s="232">
        <f t="shared" ca="1" si="384"/>
        <v>0.27834851700676755</v>
      </c>
      <c r="Z112" s="231">
        <f t="shared" ca="1" si="404"/>
        <v>9.2782839002255854E-2</v>
      </c>
      <c r="AA112" s="231">
        <f t="shared" ca="1" si="405"/>
        <v>0.18556567800451171</v>
      </c>
      <c r="AB112" s="232">
        <f t="shared" ca="1" si="406"/>
        <v>0.27834851700676755</v>
      </c>
      <c r="AC112" s="231">
        <f t="shared" ca="1" si="407"/>
        <v>9.2782839002255854E-2</v>
      </c>
      <c r="AD112" s="231">
        <f t="shared" ca="1" si="408"/>
        <v>0.18556567800451171</v>
      </c>
      <c r="AE112" s="232">
        <f t="shared" ca="1" si="214"/>
        <v>0.27834851700676755</v>
      </c>
      <c r="AF112" s="231">
        <f t="shared" ca="1" si="385"/>
        <v>2.5522890677453561E-2</v>
      </c>
      <c r="AG112" s="231">
        <f t="shared" ca="1" si="386"/>
        <v>5.1045781354907123E-2</v>
      </c>
      <c r="AH112" s="232">
        <f t="shared" ca="1" si="387"/>
        <v>7.6568672032360688E-2</v>
      </c>
      <c r="AI112" s="233">
        <f t="shared" ca="1" si="215"/>
        <v>1.05</v>
      </c>
      <c r="AJ112" s="233">
        <f t="shared" ca="1" si="216"/>
        <v>1.3</v>
      </c>
      <c r="AK112" s="234">
        <f t="shared" ca="1" si="217"/>
        <v>1.6</v>
      </c>
      <c r="AL112" s="919">
        <f t="shared" ca="1" si="218"/>
        <v>1.05</v>
      </c>
      <c r="AM112" s="233">
        <f t="shared" ca="1" si="219"/>
        <v>1.3</v>
      </c>
      <c r="AN112" s="234">
        <f t="shared" ca="1" si="220"/>
        <v>1.6</v>
      </c>
      <c r="AO112" s="233">
        <f t="shared" ca="1" si="221"/>
        <v>1.05</v>
      </c>
      <c r="AP112" s="233">
        <f t="shared" ca="1" si="222"/>
        <v>1.3</v>
      </c>
      <c r="AQ112" s="233">
        <f t="shared" ca="1" si="223"/>
        <v>1.6</v>
      </c>
      <c r="AR112" s="919">
        <f t="shared" ca="1" si="224"/>
        <v>0.19999999999999998</v>
      </c>
      <c r="AS112" s="233">
        <f t="shared" ca="1" si="225"/>
        <v>0.35</v>
      </c>
      <c r="AT112" s="235">
        <f t="shared" ca="1" si="226"/>
        <v>0.55000000000000004</v>
      </c>
      <c r="AU112" s="946">
        <f t="shared" si="227"/>
        <v>0.5</v>
      </c>
      <c r="AV112" s="13">
        <f t="shared" ca="1" si="228"/>
        <v>21</v>
      </c>
      <c r="AW112" s="210">
        <f t="shared" ca="1" si="229"/>
        <v>5</v>
      </c>
      <c r="AX112" s="210">
        <f t="shared" ca="1" si="230"/>
        <v>5</v>
      </c>
      <c r="AY112" s="210">
        <f t="shared" ca="1" si="231"/>
        <v>0</v>
      </c>
      <c r="AZ112" s="13">
        <f t="shared" ca="1" si="232"/>
        <v>31</v>
      </c>
      <c r="BA112" s="357">
        <f ca="1"/>
        <v>336</v>
      </c>
      <c r="BB112" s="925">
        <f ca="1"/>
        <v>80</v>
      </c>
      <c r="BC112" s="925">
        <f ca="1"/>
        <v>80</v>
      </c>
      <c r="BD112" s="928">
        <f ca="1"/>
        <v>248</v>
      </c>
      <c r="BE112" s="200">
        <f ca="1"/>
        <v>0.99999375641345978</v>
      </c>
      <c r="BF112" s="851">
        <f ca="1"/>
        <v>0.99999375641345978</v>
      </c>
      <c r="BG112" s="851">
        <f ca="1"/>
        <v>0.99999375641345978</v>
      </c>
      <c r="BH112" s="933">
        <f ca="1"/>
        <v>0.99999988824129105</v>
      </c>
      <c r="BI112" s="357">
        <f ca="1"/>
        <v>336</v>
      </c>
      <c r="BJ112" s="925">
        <f ca="1"/>
        <v>80</v>
      </c>
      <c r="BK112" s="925">
        <f ca="1"/>
        <v>80</v>
      </c>
      <c r="BL112" s="928">
        <f ca="1"/>
        <v>248</v>
      </c>
      <c r="BM112" s="200">
        <f ca="1"/>
        <v>0.99999375641345978</v>
      </c>
      <c r="BN112" s="851">
        <f ca="1"/>
        <v>0.99999375641345978</v>
      </c>
      <c r="BO112" s="851">
        <f ca="1"/>
        <v>0.99999375641345978</v>
      </c>
      <c r="BP112" s="933">
        <f ca="1"/>
        <v>0.99999988824129105</v>
      </c>
      <c r="BQ112" s="357">
        <f t="shared" ca="1" si="233"/>
        <v>744</v>
      </c>
      <c r="BR112" s="361">
        <f t="shared" ca="1" si="234"/>
        <v>744</v>
      </c>
      <c r="BS112" s="357">
        <f t="shared" ca="1" si="235"/>
        <v>412.488275961162</v>
      </c>
      <c r="BT112" s="302">
        <f t="shared" ca="1" si="236"/>
        <v>25.348724825169345</v>
      </c>
      <c r="BU112" s="299">
        <f t="shared" ca="1" si="237"/>
        <v>26.227752361398366</v>
      </c>
      <c r="BV112" s="299">
        <f t="shared" ca="1" si="238"/>
        <v>27.106779897627387</v>
      </c>
      <c r="BW112" s="299">
        <f t="shared" ca="1" si="239"/>
        <v>32.659889647739881</v>
      </c>
      <c r="BX112" s="380">
        <f t="shared" ca="1" si="240"/>
        <v>7.9972621492128679</v>
      </c>
      <c r="BY112" s="363">
        <f t="shared" ca="1" si="241"/>
        <v>186.28502785342801</v>
      </c>
      <c r="BZ112" s="353">
        <f t="shared" ca="1" si="242"/>
        <v>44.353578060339999</v>
      </c>
      <c r="CA112" s="353">
        <f t="shared" ca="1" si="243"/>
        <v>44.353578060339999</v>
      </c>
      <c r="CB112" s="353">
        <f t="shared" ca="1" si="244"/>
        <v>274.992183974108</v>
      </c>
      <c r="CC112" s="353">
        <f t="shared" ca="1" si="245"/>
        <v>137.496091987054</v>
      </c>
      <c r="CD112" s="353">
        <f t="shared" ca="1" si="246"/>
        <v>412.488275961162</v>
      </c>
      <c r="CE112" s="302">
        <f t="shared" ca="1" si="247"/>
        <v>34.049787405878305</v>
      </c>
      <c r="CF112" s="299">
        <f t="shared" ca="1" si="248"/>
        <v>22.39710976410532</v>
      </c>
      <c r="CG112" s="299">
        <f t="shared" ca="1" si="249"/>
        <v>24.764344282075168</v>
      </c>
      <c r="CH112" s="299">
        <f t="shared" ca="1" si="250"/>
        <v>30.672671153366032</v>
      </c>
      <c r="CI112" s="299">
        <f t="shared" ca="1" si="251"/>
        <v>19.974997386150104</v>
      </c>
      <c r="CJ112" s="299">
        <f t="shared" ca="1" si="252"/>
        <v>27.106779897627391</v>
      </c>
      <c r="CK112" s="299">
        <f t="shared" ca="1" si="253"/>
        <v>32.659889647739881</v>
      </c>
      <c r="CL112" s="377">
        <f t="shared" ca="1" si="254"/>
        <v>0.27834851700676755</v>
      </c>
      <c r="CM112" s="305">
        <f t="shared" ca="1" si="255"/>
        <v>0.27834851700676755</v>
      </c>
      <c r="CN112" s="305">
        <f t="shared" ca="1" si="256"/>
        <v>0.27834851700676755</v>
      </c>
      <c r="CO112" s="305">
        <f t="shared" ca="1" si="257"/>
        <v>0.27834851700676755</v>
      </c>
      <c r="CP112" s="305">
        <f t="shared" ca="1" si="258"/>
        <v>7.6568672032360688E-2</v>
      </c>
      <c r="CQ112" s="305">
        <f t="shared" ca="1" si="259"/>
        <v>0.22957607572337649</v>
      </c>
      <c r="CR112" s="775">
        <f t="shared" ca="1" si="260"/>
        <v>0.27834851700676755</v>
      </c>
      <c r="CS112" s="305">
        <f t="shared" ca="1" si="261"/>
        <v>0.33834851700676755</v>
      </c>
      <c r="CT112" s="305">
        <f t="shared" ca="1" si="262"/>
        <v>0.31334851700676758</v>
      </c>
      <c r="CU112" s="305">
        <f t="shared" ca="1" si="263"/>
        <v>0.13656867203236067</v>
      </c>
      <c r="CV112" s="770">
        <f t="shared" ca="1" si="264"/>
        <v>0.24707607572337648</v>
      </c>
      <c r="CW112" s="302">
        <f t="shared" ca="1" si="265"/>
        <v>10.918660094813067</v>
      </c>
      <c r="CX112" s="299">
        <f t="shared" ca="1" si="266"/>
        <v>5.6978520883160746</v>
      </c>
      <c r="CY112" s="299">
        <f t="shared" ca="1" si="267"/>
        <v>6.3214546742774793</v>
      </c>
      <c r="CZ112" s="299">
        <f t="shared" ca="1" si="268"/>
        <v>0.46940746343988682</v>
      </c>
      <c r="DA112" s="774">
        <f t="shared" ca="1" si="269"/>
        <v>5.6630927208455937</v>
      </c>
      <c r="DB112" s="303">
        <f t="shared" ca="1" si="270"/>
        <v>2335.9593530298052</v>
      </c>
      <c r="DC112" s="248">
        <f t="shared" ca="1" si="271"/>
        <v>219.82714322038703</v>
      </c>
      <c r="DD112" s="778">
        <f t="shared" ca="1" si="272"/>
        <v>0</v>
      </c>
      <c r="DE112" s="363">
        <f t="shared" ca="1" si="273"/>
        <v>0.55441972575425003</v>
      </c>
      <c r="DF112" s="378">
        <f t="shared" ca="1" si="274"/>
        <v>-0.34063159866269721</v>
      </c>
      <c r="DG112" s="508">
        <f t="shared" ca="1" si="275"/>
        <v>-0.87264993853119666</v>
      </c>
      <c r="DH112" s="508">
        <f t="shared" ca="1" si="276"/>
        <v>-0.75537025175544914</v>
      </c>
      <c r="DI112" s="508">
        <f t="shared" ca="1" si="277"/>
        <v>-1.4661638025155572</v>
      </c>
      <c r="DJ112" s="508">
        <f t="shared" ca="1" si="278"/>
        <v>-0.61608141957754814</v>
      </c>
      <c r="DK112" s="353">
        <f t="shared" ca="1" si="279"/>
        <v>-110.92648494091266</v>
      </c>
      <c r="DL112" s="781">
        <f t="shared" ca="1" si="280"/>
        <v>5.9646666586453376</v>
      </c>
      <c r="DM112" s="303">
        <f t="shared" ca="1" si="281"/>
        <v>9251.9592105244483</v>
      </c>
      <c r="DN112" s="508">
        <f t="shared" ca="1" si="282"/>
        <v>1.4285688657505635</v>
      </c>
      <c r="DO112" s="508">
        <f t="shared" ca="1" si="283"/>
        <v>1.2804280630091265</v>
      </c>
      <c r="DP112" s="508">
        <f t="shared" ca="1" si="284"/>
        <v>1.3159602540246318</v>
      </c>
      <c r="DQ112" s="508">
        <f t="shared" ca="1" si="285"/>
        <v>1.2399527055840982</v>
      </c>
      <c r="DR112" s="508">
        <f t="shared" ca="1" si="286"/>
        <v>1.3479227175535771</v>
      </c>
      <c r="DS112" s="353">
        <f t="shared" ca="1" si="287"/>
        <v>5085.5341618092825</v>
      </c>
      <c r="DT112" s="353">
        <f t="shared" ca="1" si="288"/>
        <v>-10144.478006239489</v>
      </c>
      <c r="DU112" s="380">
        <f t="shared" ca="1" si="388"/>
        <v>7.9972621492128679</v>
      </c>
      <c r="DV112" s="303">
        <f t="shared" ca="1" si="289"/>
        <v>186.28502785342801</v>
      </c>
      <c r="DW112" s="303">
        <f t="shared" ca="1" si="290"/>
        <v>44.353578060339999</v>
      </c>
      <c r="DX112" s="303">
        <f t="shared" ca="1" si="291"/>
        <v>44.353578060339999</v>
      </c>
      <c r="DY112" s="303">
        <f t="shared" ca="1" si="292"/>
        <v>274.992183974108</v>
      </c>
      <c r="DZ112" s="303">
        <f t="shared" ca="1" si="293"/>
        <v>137.496091987054</v>
      </c>
      <c r="EA112" s="303">
        <f t="shared" ca="1" si="294"/>
        <v>412.488275961162</v>
      </c>
      <c r="EB112" s="302">
        <f t="shared" ca="1" si="295"/>
        <v>34.049787405878305</v>
      </c>
      <c r="EC112" s="299">
        <f t="shared" ca="1" si="296"/>
        <v>22.39710976410532</v>
      </c>
      <c r="ED112" s="299">
        <f t="shared" ca="1" si="297"/>
        <v>24.764344282075168</v>
      </c>
      <c r="EE112" s="299">
        <f t="shared" ca="1" si="298"/>
        <v>30.672671153366032</v>
      </c>
      <c r="EF112" s="299">
        <f t="shared" ca="1" si="299"/>
        <v>19.974997386150104</v>
      </c>
      <c r="EG112" s="299">
        <f t="shared" ca="1" si="300"/>
        <v>27.106779897627391</v>
      </c>
      <c r="EH112" s="302">
        <f t="shared" ca="1" si="301"/>
        <v>30</v>
      </c>
      <c r="EI112" s="304">
        <f t="shared" ca="1" si="302"/>
        <v>9.2782839002255854E-2</v>
      </c>
      <c r="EJ112" s="305">
        <f t="shared" ca="1" si="303"/>
        <v>9.2782839002255854E-2</v>
      </c>
      <c r="EK112" s="305">
        <f t="shared" ca="1" si="304"/>
        <v>9.2782839002255854E-2</v>
      </c>
      <c r="EL112" s="305">
        <f t="shared" ca="1" si="305"/>
        <v>9.2782839002255882E-2</v>
      </c>
      <c r="EM112" s="305">
        <f t="shared" ca="1" si="306"/>
        <v>2.5522890677453561E-2</v>
      </c>
      <c r="EN112" s="305">
        <f t="shared" ca="1" si="307"/>
        <v>7.3702543038043911E-2</v>
      </c>
      <c r="EO112" s="305">
        <f t="shared" ca="1" si="308"/>
        <v>9.2782839002255854E-2</v>
      </c>
      <c r="EP112" s="305">
        <f t="shared" ca="1" si="309"/>
        <v>9.2782839002255854E-2</v>
      </c>
      <c r="EQ112" s="305">
        <f t="shared" ca="1" si="310"/>
        <v>9.2782839002255854E-2</v>
      </c>
      <c r="ER112" s="305">
        <f t="shared" ca="1" si="311"/>
        <v>2.5522890677453561E-2</v>
      </c>
      <c r="ES112" s="305">
        <f t="shared" ca="1" si="312"/>
        <v>7.3702543038043911E-2</v>
      </c>
      <c r="ET112" s="299">
        <f t="shared" ca="1" si="313"/>
        <v>4.0903861625172269</v>
      </c>
      <c r="EU112" s="302">
        <f t="shared" ca="1" si="314"/>
        <v>30</v>
      </c>
      <c r="EV112" s="304">
        <f t="shared" ca="1" si="315"/>
        <v>0.27834851700676755</v>
      </c>
      <c r="EW112" s="305">
        <f t="shared" ca="1" si="316"/>
        <v>0.27834851700676755</v>
      </c>
      <c r="EX112" s="305">
        <f t="shared" ca="1" si="317"/>
        <v>0.27834851700676755</v>
      </c>
      <c r="EY112" s="305">
        <f t="shared" ca="1" si="318"/>
        <v>0.27834851700676755</v>
      </c>
      <c r="EZ112" s="305">
        <f t="shared" ca="1" si="319"/>
        <v>7.6568672032360688E-2</v>
      </c>
      <c r="FA112" s="305">
        <f t="shared" ca="1" si="320"/>
        <v>0.22957607572337649</v>
      </c>
      <c r="FB112" s="305">
        <f t="shared" ca="1" si="321"/>
        <v>0.27834851700676755</v>
      </c>
      <c r="FC112" s="305">
        <f t="shared" ca="1" si="322"/>
        <v>0.27834851700676755</v>
      </c>
      <c r="FD112" s="305">
        <f t="shared" ca="1" si="323"/>
        <v>0.27834851700676755</v>
      </c>
      <c r="FE112" s="305">
        <f t="shared" ca="1" si="324"/>
        <v>7.6568672032360688E-2</v>
      </c>
      <c r="FF112" s="305">
        <f t="shared" ca="1" si="325"/>
        <v>0.22957607572337649</v>
      </c>
      <c r="FG112" s="299">
        <f t="shared" ca="1" si="326"/>
        <v>5.9063227961977365</v>
      </c>
      <c r="FH112" s="302">
        <f t="shared" ca="1" si="327"/>
        <v>-1.8159366336805096</v>
      </c>
      <c r="FI112" s="248">
        <f t="shared" ca="1" si="328"/>
        <v>-749.05257128158962</v>
      </c>
      <c r="FJ112" s="363">
        <f t="shared" ca="1" si="329"/>
        <v>0.55441972575425003</v>
      </c>
      <c r="FK112" s="378">
        <f t="shared" ca="1" si="330"/>
        <v>0.3514061990711716</v>
      </c>
      <c r="FL112" s="508">
        <f t="shared" ca="1" si="331"/>
        <v>-1.2450742519911346</v>
      </c>
      <c r="FM112" s="508">
        <f t="shared" ca="1" si="332"/>
        <v>-0.86215173982765259</v>
      </c>
      <c r="FN112" s="508">
        <f t="shared" ca="1" si="333"/>
        <v>-5.6710475508920899</v>
      </c>
      <c r="FO112" s="508">
        <f t="shared" ca="1" si="334"/>
        <v>-0.59078029879220684</v>
      </c>
      <c r="FP112" s="353">
        <f t="shared" ca="1" si="335"/>
        <v>298.09134766449932</v>
      </c>
      <c r="FQ112" s="356">
        <f t="shared" ca="1" si="336"/>
        <v>22.103367211781361</v>
      </c>
      <c r="FR112" s="380">
        <f t="shared" ca="1" si="337"/>
        <v>24.015999999999998</v>
      </c>
      <c r="FS112" s="299">
        <f t="shared" ca="1" si="338"/>
        <v>24.015999999999998</v>
      </c>
      <c r="FT112" s="299">
        <f t="shared" ca="1" si="339"/>
        <v>24.015999999999998</v>
      </c>
      <c r="FU112" s="299">
        <f t="shared" ca="1" si="340"/>
        <v>24.015999999999998</v>
      </c>
      <c r="FV112" s="299">
        <f t="shared" ca="1" si="341"/>
        <v>24.015999999999998</v>
      </c>
      <c r="FW112" s="850">
        <f t="shared" ca="1" si="342"/>
        <v>0.16500000000000001</v>
      </c>
      <c r="FX112" s="851">
        <f t="shared" ca="1" si="343"/>
        <v>0.5</v>
      </c>
      <c r="FY112" s="851">
        <f t="shared" ca="1" si="344"/>
        <v>0</v>
      </c>
      <c r="FZ112" s="201">
        <f t="shared" ca="1" si="345"/>
        <v>0</v>
      </c>
      <c r="GA112" s="201">
        <f t="shared" ca="1" si="346"/>
        <v>0</v>
      </c>
      <c r="GB112" s="201">
        <f t="shared" ca="1" si="347"/>
        <v>0</v>
      </c>
      <c r="GC112" s="201">
        <f t="shared" ca="1" si="348"/>
        <v>0</v>
      </c>
      <c r="GD112" s="850">
        <f t="shared" ca="1" si="349"/>
        <v>0.29334851700676756</v>
      </c>
      <c r="GE112" s="866">
        <f t="shared" ca="1" si="350"/>
        <v>0.27834851700676755</v>
      </c>
      <c r="GF112" s="866">
        <f t="shared" ca="1" si="351"/>
        <v>0.27834851700676755</v>
      </c>
      <c r="GG112" s="866">
        <f t="shared" ca="1" si="352"/>
        <v>9.1568672032360687E-2</v>
      </c>
      <c r="GH112" s="866">
        <f t="shared" ca="1" si="353"/>
        <v>0.2420760757233765</v>
      </c>
      <c r="GI112" s="302">
        <f t="shared" ca="1" si="354"/>
        <v>14.072314976674077</v>
      </c>
      <c r="GJ112" s="299">
        <f t="shared" ca="1" si="355"/>
        <v>5.4466705524245231</v>
      </c>
      <c r="GK112" s="299">
        <f t="shared" ca="1" si="356"/>
        <v>6.9231253384118556</v>
      </c>
      <c r="GL112" s="299">
        <f t="shared" ca="1" si="357"/>
        <v>1.8614390911633119</v>
      </c>
      <c r="GM112" s="299">
        <f t="shared" ca="1" si="358"/>
        <v>7.7467078075532481</v>
      </c>
      <c r="GN112" s="302">
        <f t="shared" ca="1" si="359"/>
        <v>0.8008929045608203</v>
      </c>
      <c r="GO112" s="299">
        <f t="shared" ca="1" si="360"/>
        <v>0.59522478379642996</v>
      </c>
      <c r="GP112" s="299">
        <f t="shared" ca="1" si="361"/>
        <v>0.65082707309107846</v>
      </c>
      <c r="GQ112" s="299">
        <f t="shared" ca="1" si="362"/>
        <v>0.40030509843146544</v>
      </c>
      <c r="GR112" s="299">
        <f t="shared" ca="1" si="363"/>
        <v>0.6924242465537882</v>
      </c>
      <c r="GS112" s="302">
        <f t="shared" ca="1" si="364"/>
        <v>-0.54954697517392581</v>
      </c>
      <c r="GT112" s="299">
        <f t="shared" ca="1" si="365"/>
        <v>-0.32830786754049485</v>
      </c>
      <c r="GU112" s="299">
        <f t="shared" ca="1" si="366"/>
        <v>-0.38283573386880221</v>
      </c>
      <c r="GV112" s="299">
        <f t="shared" ca="1" si="367"/>
        <v>-0.25544028402698421</v>
      </c>
      <c r="GW112" s="299">
        <f t="shared" ca="1" si="368"/>
        <v>-0.45897263193526899</v>
      </c>
      <c r="GX112" s="303">
        <f t="shared" ca="1" si="369"/>
        <v>2621.4615873919424</v>
      </c>
      <c r="GY112" s="303">
        <f t="shared" ca="1" si="370"/>
        <v>241.57932751591628</v>
      </c>
      <c r="GZ112" s="303">
        <f t="shared" ca="1" si="371"/>
        <v>307.06538011876802</v>
      </c>
      <c r="HA112" s="303">
        <f t="shared" ca="1" si="372"/>
        <v>255.94060050688893</v>
      </c>
      <c r="HB112" s="303">
        <f t="shared" ca="1" si="373"/>
        <v>3195.4261479125125</v>
      </c>
      <c r="HC112" s="303">
        <f t="shared" ca="1" si="374"/>
        <v>1869.1443663794155</v>
      </c>
      <c r="HD112" s="303">
        <f t="shared" ca="1" si="375"/>
        <v>0</v>
      </c>
      <c r="HE112" s="303">
        <f t="shared" ca="1" si="376"/>
        <v>33.191746531030141</v>
      </c>
      <c r="HF112" s="303">
        <f t="shared" ca="1" si="377"/>
        <v>0</v>
      </c>
      <c r="HG112" s="852">
        <f t="shared" ca="1" si="378"/>
        <v>1274.9104713477398</v>
      </c>
    </row>
    <row r="113" spans="1:215" x14ac:dyDescent="0.25">
      <c r="A113" s="244">
        <f t="shared" ca="1" si="379"/>
        <v>39539</v>
      </c>
      <c r="B113" s="13">
        <f t="shared" ref="B113:B128" ca="1" si="409">YEAR(A113)</f>
        <v>2008</v>
      </c>
      <c r="C113" s="619">
        <f t="shared" ref="C113:C128" ca="1" si="410">MONTH(A113)</f>
        <v>4</v>
      </c>
      <c r="D113" s="195" t="str">
        <f t="shared" ca="1" si="209"/>
        <v/>
      </c>
      <c r="E113" s="469">
        <f t="shared" ca="1" si="210"/>
        <v>39539</v>
      </c>
      <c r="F113" s="465">
        <f t="shared" ca="1" si="211"/>
        <v>39568</v>
      </c>
      <c r="G113" s="522">
        <f t="shared" ca="1" si="380"/>
        <v>1</v>
      </c>
      <c r="H113" s="519">
        <f t="shared" ca="1" si="381"/>
        <v>1</v>
      </c>
      <c r="I113" s="724">
        <f t="shared" ref="I113:I128" ca="1" si="411">VLOOKUP(A113,IRTable,2)</f>
        <v>7.3859015854331009E-2</v>
      </c>
      <c r="J113" s="198">
        <f t="shared" ca="1" si="213"/>
        <v>0.5510607206691106</v>
      </c>
      <c r="K113" s="200">
        <f t="shared" ca="1" si="389"/>
        <v>31.45</v>
      </c>
      <c r="L113" s="201">
        <f t="shared" ca="1" si="390"/>
        <v>32.049999999999997</v>
      </c>
      <c r="M113" s="206">
        <f t="shared" ca="1" si="391"/>
        <v>32.65</v>
      </c>
      <c r="N113" s="851">
        <f t="shared" ca="1" si="395"/>
        <v>22.067500305175777</v>
      </c>
      <c r="O113" s="201">
        <f t="shared" ca="1" si="396"/>
        <v>22.517500305175776</v>
      </c>
      <c r="P113" s="206">
        <f t="shared" ca="1" si="397"/>
        <v>22.967500305175776</v>
      </c>
      <c r="Q113" s="201">
        <f t="shared" ca="1" si="398"/>
        <v>17.934999084472651</v>
      </c>
      <c r="R113" s="201">
        <f t="shared" ca="1" si="399"/>
        <v>21.234999084472651</v>
      </c>
      <c r="S113" s="201">
        <f t="shared" ca="1" si="400"/>
        <v>24.534999084472652</v>
      </c>
      <c r="T113" s="851">
        <f t="shared" ca="1" si="392"/>
        <v>19.299997711181639</v>
      </c>
      <c r="U113" s="201">
        <f t="shared" ca="1" si="393"/>
        <v>19.59999771118164</v>
      </c>
      <c r="V113" s="206">
        <f t="shared" ca="1" si="394"/>
        <v>19.899997711181641</v>
      </c>
      <c r="W113" s="230">
        <f t="shared" ca="1" si="382"/>
        <v>8.2805344884316387E-2</v>
      </c>
      <c r="X113" s="231">
        <f t="shared" ca="1" si="383"/>
        <v>0.16561068976863277</v>
      </c>
      <c r="Y113" s="232">
        <f t="shared" ca="1" si="384"/>
        <v>0.24841603465294915</v>
      </c>
      <c r="Z113" s="231">
        <f t="shared" ca="1" si="404"/>
        <v>8.2805344884316387E-2</v>
      </c>
      <c r="AA113" s="231">
        <f t="shared" ca="1" si="405"/>
        <v>0.16561068976863277</v>
      </c>
      <c r="AB113" s="232">
        <f t="shared" ca="1" si="406"/>
        <v>0.24841603465294915</v>
      </c>
      <c r="AC113" s="231">
        <f t="shared" ca="1" si="407"/>
        <v>8.2805344884316387E-2</v>
      </c>
      <c r="AD113" s="231">
        <f t="shared" ca="1" si="408"/>
        <v>0.16561068976863277</v>
      </c>
      <c r="AE113" s="232">
        <f t="shared" ca="1" si="214"/>
        <v>0.24841603465294915</v>
      </c>
      <c r="AF113" s="231">
        <f t="shared" ca="1" si="385"/>
        <v>2.5522890677453561E-2</v>
      </c>
      <c r="AG113" s="231">
        <f t="shared" ca="1" si="386"/>
        <v>5.1045781354907123E-2</v>
      </c>
      <c r="AH113" s="232">
        <f t="shared" ca="1" si="387"/>
        <v>7.6568672032360688E-2</v>
      </c>
      <c r="AI113" s="233">
        <f t="shared" ca="1" si="215"/>
        <v>0.85000000000000009</v>
      </c>
      <c r="AJ113" s="233">
        <f t="shared" ca="1" si="216"/>
        <v>1.1000000000000001</v>
      </c>
      <c r="AK113" s="234">
        <f t="shared" ca="1" si="217"/>
        <v>1.4000000000000001</v>
      </c>
      <c r="AL113" s="919">
        <f t="shared" ca="1" si="218"/>
        <v>0.85000000000000009</v>
      </c>
      <c r="AM113" s="233">
        <f t="shared" ca="1" si="219"/>
        <v>1.1000000000000001</v>
      </c>
      <c r="AN113" s="234">
        <f t="shared" ca="1" si="220"/>
        <v>1.4000000000000001</v>
      </c>
      <c r="AO113" s="233">
        <f t="shared" ca="1" si="221"/>
        <v>0.85000000000000009</v>
      </c>
      <c r="AP113" s="233">
        <f t="shared" ca="1" si="222"/>
        <v>1.1000000000000001</v>
      </c>
      <c r="AQ113" s="233">
        <f t="shared" ca="1" si="223"/>
        <v>1.4000000000000001</v>
      </c>
      <c r="AR113" s="919">
        <f t="shared" ca="1" si="224"/>
        <v>0.19999999999999998</v>
      </c>
      <c r="AS113" s="233">
        <f t="shared" ca="1" si="225"/>
        <v>0.35</v>
      </c>
      <c r="AT113" s="235">
        <f t="shared" ca="1" si="226"/>
        <v>0.55000000000000004</v>
      </c>
      <c r="AU113" s="946">
        <f t="shared" si="227"/>
        <v>0.5</v>
      </c>
      <c r="AV113" s="13">
        <f t="shared" ca="1" si="228"/>
        <v>22</v>
      </c>
      <c r="AW113" s="210">
        <f t="shared" ca="1" si="229"/>
        <v>4</v>
      </c>
      <c r="AX113" s="210">
        <f t="shared" ca="1" si="230"/>
        <v>4</v>
      </c>
      <c r="AY113" s="210">
        <f t="shared" ca="1" si="231"/>
        <v>0</v>
      </c>
      <c r="AZ113" s="13">
        <f t="shared" ca="1" si="232"/>
        <v>30</v>
      </c>
      <c r="BA113" s="357">
        <f ca="1"/>
        <v>352</v>
      </c>
      <c r="BB113" s="925">
        <f ca="1"/>
        <v>64</v>
      </c>
      <c r="BC113" s="925">
        <f ca="1"/>
        <v>64</v>
      </c>
      <c r="BD113" s="928">
        <f ca="1"/>
        <v>240</v>
      </c>
      <c r="BE113" s="200">
        <f ca="1"/>
        <v>1.0000000074505806</v>
      </c>
      <c r="BF113" s="851">
        <f ca="1"/>
        <v>1.0000000074505806</v>
      </c>
      <c r="BG113" s="851">
        <f ca="1"/>
        <v>1.0000000074505806</v>
      </c>
      <c r="BH113" s="933">
        <f ca="1"/>
        <v>0.99995028972625732</v>
      </c>
      <c r="BI113" s="357">
        <f ca="1"/>
        <v>352</v>
      </c>
      <c r="BJ113" s="925">
        <f ca="1"/>
        <v>64</v>
      </c>
      <c r="BK113" s="925">
        <f ca="1"/>
        <v>64</v>
      </c>
      <c r="BL113" s="928">
        <f ca="1"/>
        <v>240</v>
      </c>
      <c r="BM113" s="200">
        <f ca="1"/>
        <v>1.0000000074505806</v>
      </c>
      <c r="BN113" s="851">
        <f ca="1"/>
        <v>1.0000000074505806</v>
      </c>
      <c r="BO113" s="851">
        <f ca="1"/>
        <v>1.0000000074505806</v>
      </c>
      <c r="BP113" s="933">
        <f ca="1"/>
        <v>0.99995028972625732</v>
      </c>
      <c r="BQ113" s="357">
        <f t="shared" ca="1" si="233"/>
        <v>720</v>
      </c>
      <c r="BR113" s="361">
        <f t="shared" ca="1" si="234"/>
        <v>720</v>
      </c>
      <c r="BS113" s="357">
        <f t="shared" ca="1" si="235"/>
        <v>396.76371888175964</v>
      </c>
      <c r="BT113" s="302">
        <f t="shared" ca="1" si="236"/>
        <v>25.364346187800006</v>
      </c>
      <c r="BU113" s="299">
        <f t="shared" ca="1" si="237"/>
        <v>26.091007888108333</v>
      </c>
      <c r="BV113" s="299">
        <f t="shared" ca="1" si="238"/>
        <v>26.81766958841666</v>
      </c>
      <c r="BW113" s="299">
        <f t="shared" ca="1" si="239"/>
        <v>32.659889647739881</v>
      </c>
      <c r="BX113" s="380">
        <f t="shared" ca="1" si="240"/>
        <v>8.0821355236139638</v>
      </c>
      <c r="BY113" s="363">
        <f t="shared" ca="1" si="241"/>
        <v>193.97337367552694</v>
      </c>
      <c r="BZ113" s="353">
        <f t="shared" ca="1" si="242"/>
        <v>35.267886122823079</v>
      </c>
      <c r="CA113" s="353">
        <f t="shared" ca="1" si="243"/>
        <v>35.267886122823079</v>
      </c>
      <c r="CB113" s="353">
        <f t="shared" ca="1" si="244"/>
        <v>264.50914592117311</v>
      </c>
      <c r="CC113" s="353">
        <f t="shared" ca="1" si="245"/>
        <v>132.25457296058656</v>
      </c>
      <c r="CD113" s="353">
        <f t="shared" ca="1" si="246"/>
        <v>396.7637188817597</v>
      </c>
      <c r="CE113" s="302">
        <f t="shared" ca="1" si="247"/>
        <v>32.650000243261452</v>
      </c>
      <c r="CF113" s="299">
        <f t="shared" ca="1" si="248"/>
        <v>22.967500476296987</v>
      </c>
      <c r="CG113" s="299">
        <f t="shared" ca="1" si="249"/>
        <v>24.534999267272639</v>
      </c>
      <c r="CH113" s="299">
        <f t="shared" ca="1" si="250"/>
        <v>30.277000144201011</v>
      </c>
      <c r="CI113" s="299">
        <f t="shared" ca="1" si="251"/>
        <v>19.899008476847939</v>
      </c>
      <c r="CJ113" s="299">
        <f t="shared" ca="1" si="252"/>
        <v>26.817669588416649</v>
      </c>
      <c r="CK113" s="299">
        <f t="shared" ca="1" si="253"/>
        <v>32.659889647739881</v>
      </c>
      <c r="CL113" s="377">
        <f t="shared" ca="1" si="254"/>
        <v>0.24841603465294915</v>
      </c>
      <c r="CM113" s="305">
        <f t="shared" ca="1" si="255"/>
        <v>0.24841603465294915</v>
      </c>
      <c r="CN113" s="305">
        <f t="shared" ca="1" si="256"/>
        <v>0.24841603465294915</v>
      </c>
      <c r="CO113" s="305">
        <f t="shared" ca="1" si="257"/>
        <v>0.24841603465294915</v>
      </c>
      <c r="CP113" s="305">
        <f t="shared" ca="1" si="258"/>
        <v>7.6568672032360688E-2</v>
      </c>
      <c r="CQ113" s="305">
        <f t="shared" ca="1" si="259"/>
        <v>0.2038329771129308</v>
      </c>
      <c r="CR113" s="775">
        <f t="shared" ca="1" si="260"/>
        <v>0.24841603465294915</v>
      </c>
      <c r="CS113" s="305">
        <f t="shared" ca="1" si="261"/>
        <v>0.29841603465294914</v>
      </c>
      <c r="CT113" s="305">
        <f t="shared" ca="1" si="262"/>
        <v>0.28841603465294913</v>
      </c>
      <c r="CU113" s="305">
        <f t="shared" ca="1" si="263"/>
        <v>0.13656867203236067</v>
      </c>
      <c r="CV113" s="770">
        <f t="shared" ca="1" si="264"/>
        <v>0.22133297711293082</v>
      </c>
      <c r="CW113" s="302">
        <f t="shared" ca="1" si="265"/>
        <v>9.0076760311765227</v>
      </c>
      <c r="CX113" s="299">
        <f t="shared" ca="1" si="266"/>
        <v>5.0136334185954663</v>
      </c>
      <c r="CY113" s="299">
        <f t="shared" ca="1" si="267"/>
        <v>5.5502183156929421</v>
      </c>
      <c r="CZ113" s="299">
        <f t="shared" ca="1" si="268"/>
        <v>0.46784404386997558</v>
      </c>
      <c r="DA113" s="774">
        <f t="shared" ca="1" si="269"/>
        <v>4.767057802071589</v>
      </c>
      <c r="DB113" s="303">
        <f t="shared" ca="1" si="270"/>
        <v>1891.3955816742312</v>
      </c>
      <c r="DC113" s="248">
        <f t="shared" ca="1" si="271"/>
        <v>198.60279470957434</v>
      </c>
      <c r="DD113" s="778">
        <f t="shared" ca="1" si="272"/>
        <v>0</v>
      </c>
      <c r="DE113" s="363">
        <f t="shared" ca="1" si="273"/>
        <v>0.5510607206691106</v>
      </c>
      <c r="DF113" s="378">
        <f t="shared" ca="1" si="274"/>
        <v>-0.35354099985081838</v>
      </c>
      <c r="DG113" s="508">
        <f t="shared" ca="1" si="275"/>
        <v>-0.83917788438033369</v>
      </c>
      <c r="DH113" s="508">
        <f t="shared" ca="1" si="276"/>
        <v>-0.75883347085667752</v>
      </c>
      <c r="DI113" s="508">
        <f t="shared" ca="1" si="277"/>
        <v>-1.4703006727953556</v>
      </c>
      <c r="DJ113" s="508">
        <f t="shared" ca="1" si="278"/>
        <v>-0.62783389449704763</v>
      </c>
      <c r="DK113" s="353">
        <f t="shared" ca="1" si="279"/>
        <v>-105.16473049052873</v>
      </c>
      <c r="DL113" s="781">
        <f t="shared" ca="1" si="280"/>
        <v>6.3244708933653024</v>
      </c>
      <c r="DM113" s="303">
        <f t="shared" ca="1" si="281"/>
        <v>8820.3860501441795</v>
      </c>
      <c r="DN113" s="508">
        <f t="shared" ca="1" si="282"/>
        <v>1.4212061638408469</v>
      </c>
      <c r="DO113" s="508">
        <f t="shared" ca="1" si="283"/>
        <v>1.2974597606048468</v>
      </c>
      <c r="DP113" s="508">
        <f t="shared" ca="1" si="284"/>
        <v>1.32068492622971</v>
      </c>
      <c r="DQ113" s="508">
        <f t="shared" ca="1" si="285"/>
        <v>1.2470098178918918</v>
      </c>
      <c r="DR113" s="508">
        <f t="shared" ca="1" si="286"/>
        <v>1.3519800604811041</v>
      </c>
      <c r="DS113" s="353">
        <f t="shared" ca="1" si="287"/>
        <v>4838.5329048569183</v>
      </c>
      <c r="DT113" s="353">
        <f t="shared" ca="1" si="288"/>
        <v>-9752.1807995158633</v>
      </c>
      <c r="DU113" s="380">
        <f t="shared" ca="1" si="388"/>
        <v>8.0821355236139638</v>
      </c>
      <c r="DV113" s="303">
        <f t="shared" ca="1" si="289"/>
        <v>193.97337367552694</v>
      </c>
      <c r="DW113" s="303">
        <f t="shared" ca="1" si="290"/>
        <v>35.267886122823079</v>
      </c>
      <c r="DX113" s="303">
        <f t="shared" ca="1" si="291"/>
        <v>35.267886122823079</v>
      </c>
      <c r="DY113" s="303">
        <f t="shared" ca="1" si="292"/>
        <v>264.50914592117311</v>
      </c>
      <c r="DZ113" s="303">
        <f t="shared" ca="1" si="293"/>
        <v>132.25457296058656</v>
      </c>
      <c r="EA113" s="303">
        <f t="shared" ca="1" si="294"/>
        <v>396.7637188817597</v>
      </c>
      <c r="EB113" s="302">
        <f t="shared" ca="1" si="295"/>
        <v>32.650000243261452</v>
      </c>
      <c r="EC113" s="299">
        <f t="shared" ca="1" si="296"/>
        <v>22.967500476296987</v>
      </c>
      <c r="ED113" s="299">
        <f t="shared" ca="1" si="297"/>
        <v>24.534999267272639</v>
      </c>
      <c r="EE113" s="299">
        <f t="shared" ca="1" si="298"/>
        <v>30.277000144201011</v>
      </c>
      <c r="EF113" s="299">
        <f t="shared" ca="1" si="299"/>
        <v>19.899008476847939</v>
      </c>
      <c r="EG113" s="299">
        <f t="shared" ca="1" si="300"/>
        <v>26.817669588416649</v>
      </c>
      <c r="EH113" s="302">
        <f t="shared" ca="1" si="301"/>
        <v>30</v>
      </c>
      <c r="EI113" s="304">
        <f t="shared" ca="1" si="302"/>
        <v>8.2805344884316387E-2</v>
      </c>
      <c r="EJ113" s="305">
        <f t="shared" ca="1" si="303"/>
        <v>8.2805344884316387E-2</v>
      </c>
      <c r="EK113" s="305">
        <f t="shared" ca="1" si="304"/>
        <v>8.2805344884316387E-2</v>
      </c>
      <c r="EL113" s="305">
        <f t="shared" ca="1" si="305"/>
        <v>8.2805344884316415E-2</v>
      </c>
      <c r="EM113" s="305">
        <f t="shared" ca="1" si="306"/>
        <v>2.5522890677453561E-2</v>
      </c>
      <c r="EN113" s="305">
        <f t="shared" ca="1" si="307"/>
        <v>6.5966970234762348E-2</v>
      </c>
      <c r="EO113" s="305">
        <f t="shared" ca="1" si="308"/>
        <v>8.2805344884316387E-2</v>
      </c>
      <c r="EP113" s="305">
        <f t="shared" ca="1" si="309"/>
        <v>8.2805344884316387E-2</v>
      </c>
      <c r="EQ113" s="305">
        <f t="shared" ca="1" si="310"/>
        <v>8.2805344884316387E-2</v>
      </c>
      <c r="ER113" s="305">
        <f t="shared" ca="1" si="311"/>
        <v>2.5522890677453561E-2</v>
      </c>
      <c r="ES113" s="305">
        <f t="shared" ca="1" si="312"/>
        <v>6.5966970234762348E-2</v>
      </c>
      <c r="ET113" s="299">
        <f t="shared" ca="1" si="313"/>
        <v>4.0804509506888778</v>
      </c>
      <c r="EU113" s="302">
        <f t="shared" ca="1" si="314"/>
        <v>30</v>
      </c>
      <c r="EV113" s="304">
        <f t="shared" ca="1" si="315"/>
        <v>0.24841603465294915</v>
      </c>
      <c r="EW113" s="305">
        <f t="shared" ca="1" si="316"/>
        <v>0.24841603465294915</v>
      </c>
      <c r="EX113" s="305">
        <f t="shared" ca="1" si="317"/>
        <v>0.24841603465294915</v>
      </c>
      <c r="EY113" s="305">
        <f t="shared" ca="1" si="318"/>
        <v>0.24841603465294915</v>
      </c>
      <c r="EZ113" s="305">
        <f t="shared" ca="1" si="319"/>
        <v>7.6568672032360688E-2</v>
      </c>
      <c r="FA113" s="305">
        <f t="shared" ca="1" si="320"/>
        <v>0.2038329771129308</v>
      </c>
      <c r="FB113" s="305">
        <f t="shared" ca="1" si="321"/>
        <v>0.24841603465294915</v>
      </c>
      <c r="FC113" s="305">
        <f t="shared" ca="1" si="322"/>
        <v>0.24841603465294915</v>
      </c>
      <c r="FD113" s="305">
        <f t="shared" ca="1" si="323"/>
        <v>0.24841603465294915</v>
      </c>
      <c r="FE113" s="305">
        <f t="shared" ca="1" si="324"/>
        <v>7.6568672032360688E-2</v>
      </c>
      <c r="FF113" s="305">
        <f t="shared" ca="1" si="325"/>
        <v>0.2038329771129308</v>
      </c>
      <c r="FG113" s="299">
        <f t="shared" ca="1" si="326"/>
        <v>5.0029983620147132</v>
      </c>
      <c r="FH113" s="302">
        <f t="shared" ca="1" si="327"/>
        <v>-0.9225474113258354</v>
      </c>
      <c r="FI113" s="248">
        <f t="shared" ca="1" si="328"/>
        <v>-366.03334176237888</v>
      </c>
      <c r="FJ113" s="363">
        <f t="shared" ca="1" si="329"/>
        <v>0.5510607206691106</v>
      </c>
      <c r="FK113" s="378">
        <f t="shared" ca="1" si="330"/>
        <v>0.24187352231593884</v>
      </c>
      <c r="FL113" s="508">
        <f t="shared" ca="1" si="331"/>
        <v>-1.2524023456070741</v>
      </c>
      <c r="FM113" s="508">
        <f t="shared" ca="1" si="332"/>
        <v>-0.97195132954350516</v>
      </c>
      <c r="FN113" s="508">
        <f t="shared" ca="1" si="333"/>
        <v>-5.6941019625598477</v>
      </c>
      <c r="FO113" s="508">
        <f t="shared" ca="1" si="334"/>
        <v>-0.69170823503856727</v>
      </c>
      <c r="FP113" s="353">
        <f t="shared" ca="1" si="335"/>
        <v>299.73109888457816</v>
      </c>
      <c r="FQ113" s="356">
        <f t="shared" ca="1" si="336"/>
        <v>22.148025468483628</v>
      </c>
      <c r="FR113" s="380">
        <f t="shared" ca="1" si="337"/>
        <v>23.62</v>
      </c>
      <c r="FS113" s="299">
        <f t="shared" ca="1" si="338"/>
        <v>23.62</v>
      </c>
      <c r="FT113" s="299">
        <f t="shared" ca="1" si="339"/>
        <v>23.62</v>
      </c>
      <c r="FU113" s="299">
        <f t="shared" ca="1" si="340"/>
        <v>23.62</v>
      </c>
      <c r="FV113" s="299">
        <f t="shared" ca="1" si="341"/>
        <v>23.619999999999997</v>
      </c>
      <c r="FW113" s="850">
        <f t="shared" ca="1" si="342"/>
        <v>0.16500000000000001</v>
      </c>
      <c r="FX113" s="851">
        <f t="shared" ca="1" si="343"/>
        <v>0.5</v>
      </c>
      <c r="FY113" s="851">
        <f t="shared" ca="1" si="344"/>
        <v>0</v>
      </c>
      <c r="FZ113" s="201">
        <f t="shared" ca="1" si="345"/>
        <v>0</v>
      </c>
      <c r="GA113" s="201">
        <f t="shared" ca="1" si="346"/>
        <v>0</v>
      </c>
      <c r="GB113" s="201">
        <f t="shared" ca="1" si="347"/>
        <v>0</v>
      </c>
      <c r="GC113" s="201">
        <f t="shared" ca="1" si="348"/>
        <v>0</v>
      </c>
      <c r="GD113" s="850">
        <f t="shared" ca="1" si="349"/>
        <v>0.26341603465294916</v>
      </c>
      <c r="GE113" s="866">
        <f t="shared" ca="1" si="350"/>
        <v>0.24841603465294915</v>
      </c>
      <c r="GF113" s="866">
        <f t="shared" ca="1" si="351"/>
        <v>0.24841603465294915</v>
      </c>
      <c r="GG113" s="866">
        <f t="shared" ca="1" si="352"/>
        <v>8.6568672032360683E-2</v>
      </c>
      <c r="GH113" s="866">
        <f t="shared" ca="1" si="353"/>
        <v>0.21633297711293081</v>
      </c>
      <c r="GI113" s="302">
        <f t="shared" ca="1" si="354"/>
        <v>12.566609934447877</v>
      </c>
      <c r="GJ113" s="299">
        <f t="shared" ca="1" si="355"/>
        <v>5.372125110452294</v>
      </c>
      <c r="GK113" s="299">
        <f t="shared" ca="1" si="356"/>
        <v>6.3524501210946589</v>
      </c>
      <c r="GL113" s="299">
        <f t="shared" ca="1" si="357"/>
        <v>1.9452799684667792</v>
      </c>
      <c r="GM113" s="299">
        <f t="shared" ca="1" si="358"/>
        <v>7.266450639374078</v>
      </c>
      <c r="GN113" s="302">
        <f t="shared" ca="1" si="359"/>
        <v>0.79436850394254843</v>
      </c>
      <c r="GO113" s="299">
        <f t="shared" ca="1" si="360"/>
        <v>0.60497726191774115</v>
      </c>
      <c r="GP113" s="299">
        <f t="shared" ca="1" si="361"/>
        <v>0.64516807303087098</v>
      </c>
      <c r="GQ113" s="299">
        <f t="shared" ca="1" si="362"/>
        <v>0.41347663695522885</v>
      </c>
      <c r="GR113" s="299">
        <f t="shared" ca="1" si="363"/>
        <v>0.69371596632544363</v>
      </c>
      <c r="GS113" s="302">
        <f t="shared" ca="1" si="364"/>
        <v>-0.56602551258301492</v>
      </c>
      <c r="GT113" s="299">
        <f t="shared" ca="1" si="365"/>
        <v>-0.36082514786048636</v>
      </c>
      <c r="GU113" s="299">
        <f t="shared" ca="1" si="366"/>
        <v>-0.40121717756256325</v>
      </c>
      <c r="GV113" s="299">
        <f t="shared" ca="1" si="367"/>
        <v>-0.26598199657717148</v>
      </c>
      <c r="GW113" s="299">
        <f t="shared" ca="1" si="368"/>
        <v>-0.47999137088184901</v>
      </c>
      <c r="GX113" s="303">
        <f t="shared" ca="1" si="369"/>
        <v>2437.5877246492473</v>
      </c>
      <c r="GY113" s="303">
        <f t="shared" ca="1" si="370"/>
        <v>189.46349663298986</v>
      </c>
      <c r="GZ113" s="303">
        <f t="shared" ca="1" si="371"/>
        <v>224.03748747168009</v>
      </c>
      <c r="HA113" s="303">
        <f t="shared" ca="1" si="372"/>
        <v>257.27217151835714</v>
      </c>
      <c r="HB113" s="303">
        <f t="shared" ca="1" si="373"/>
        <v>2883.0639787487999</v>
      </c>
      <c r="HC113" s="303">
        <f t="shared" ca="1" si="374"/>
        <v>1751.5796114762527</v>
      </c>
      <c r="HD113" s="303">
        <f t="shared" ca="1" si="375"/>
        <v>0</v>
      </c>
      <c r="HE113" s="303">
        <f t="shared" ca="1" si="376"/>
        <v>32.270089960637947</v>
      </c>
      <c r="HF113" s="303">
        <f t="shared" ca="1" si="377"/>
        <v>0</v>
      </c>
      <c r="HG113" s="852">
        <f t="shared" ca="1" si="378"/>
        <v>1268.7192776552965</v>
      </c>
    </row>
    <row r="114" spans="1:215" x14ac:dyDescent="0.25">
      <c r="A114" s="244">
        <f t="shared" ca="1" si="379"/>
        <v>39569</v>
      </c>
      <c r="B114" s="13">
        <f t="shared" ca="1" si="409"/>
        <v>2008</v>
      </c>
      <c r="C114" s="619">
        <f t="shared" ca="1" si="410"/>
        <v>5</v>
      </c>
      <c r="D114" s="195">
        <f t="shared" ca="1" si="209"/>
        <v>39594</v>
      </c>
      <c r="E114" s="469">
        <f t="shared" ca="1" si="210"/>
        <v>39569</v>
      </c>
      <c r="F114" s="465">
        <f t="shared" ca="1" si="211"/>
        <v>39599</v>
      </c>
      <c r="G114" s="522">
        <f t="shared" ca="1" si="380"/>
        <v>1</v>
      </c>
      <c r="H114" s="519">
        <f t="shared" ca="1" si="381"/>
        <v>1</v>
      </c>
      <c r="I114" s="724">
        <f t="shared" ca="1" si="411"/>
        <v>7.3873808231316007E-2</v>
      </c>
      <c r="J114" s="198">
        <f t="shared" ca="1" si="213"/>
        <v>0.54761412968906398</v>
      </c>
      <c r="K114" s="200">
        <f t="shared" ca="1" si="389"/>
        <v>32.01</v>
      </c>
      <c r="L114" s="201">
        <f t="shared" ca="1" si="390"/>
        <v>34.049999999999997</v>
      </c>
      <c r="M114" s="206">
        <f t="shared" ca="1" si="391"/>
        <v>36.090000000000003</v>
      </c>
      <c r="N114" s="851">
        <f t="shared" ca="1" si="395"/>
        <v>21.102500076293939</v>
      </c>
      <c r="O114" s="201">
        <f t="shared" ca="1" si="396"/>
        <v>22.63250007629394</v>
      </c>
      <c r="P114" s="206">
        <f t="shared" ca="1" si="397"/>
        <v>24.162500076293941</v>
      </c>
      <c r="Q114" s="201">
        <f t="shared" ca="1" si="398"/>
        <v>18.464999771118158</v>
      </c>
      <c r="R114" s="201">
        <f t="shared" ca="1" si="399"/>
        <v>21.764999771118159</v>
      </c>
      <c r="S114" s="201">
        <f t="shared" ca="1" si="400"/>
        <v>25.06499977111816</v>
      </c>
      <c r="T114" s="851">
        <f t="shared" ca="1" si="392"/>
        <v>18.57999771118164</v>
      </c>
      <c r="U114" s="201">
        <f t="shared" ca="1" si="393"/>
        <v>19.59999771118164</v>
      </c>
      <c r="V114" s="206">
        <f t="shared" ca="1" si="394"/>
        <v>20.619997711181639</v>
      </c>
      <c r="W114" s="230">
        <f t="shared" ca="1" si="382"/>
        <v>9.5375416214003889E-2</v>
      </c>
      <c r="X114" s="231">
        <f t="shared" ca="1" si="383"/>
        <v>0.19075083242800778</v>
      </c>
      <c r="Y114" s="232">
        <f t="shared" ca="1" si="384"/>
        <v>0.28612624864201164</v>
      </c>
      <c r="Z114" s="231">
        <f t="shared" ca="1" si="404"/>
        <v>9.5375416214003889E-2</v>
      </c>
      <c r="AA114" s="231">
        <f t="shared" ca="1" si="405"/>
        <v>0.19075083242800778</v>
      </c>
      <c r="AB114" s="232">
        <f t="shared" ca="1" si="406"/>
        <v>0.28612624864201164</v>
      </c>
      <c r="AC114" s="231">
        <f t="shared" ca="1" si="407"/>
        <v>9.5375416214003889E-2</v>
      </c>
      <c r="AD114" s="231">
        <f t="shared" ca="1" si="408"/>
        <v>0.19075083242800778</v>
      </c>
      <c r="AE114" s="232">
        <f t="shared" ca="1" si="214"/>
        <v>0.28612624864201164</v>
      </c>
      <c r="AF114" s="231">
        <f t="shared" ca="1" si="385"/>
        <v>2.9776705790362502E-2</v>
      </c>
      <c r="AG114" s="231">
        <f t="shared" ca="1" si="386"/>
        <v>5.9553411580725003E-2</v>
      </c>
      <c r="AH114" s="232">
        <f t="shared" ca="1" si="387"/>
        <v>8.9330117371087508E-2</v>
      </c>
      <c r="AI114" s="233">
        <f t="shared" ca="1" si="215"/>
        <v>0.85000000000000009</v>
      </c>
      <c r="AJ114" s="233">
        <f t="shared" ca="1" si="216"/>
        <v>1.1000000000000001</v>
      </c>
      <c r="AK114" s="234">
        <f t="shared" ca="1" si="217"/>
        <v>1.4000000000000001</v>
      </c>
      <c r="AL114" s="919">
        <f t="shared" ca="1" si="218"/>
        <v>0.85000000000000009</v>
      </c>
      <c r="AM114" s="233">
        <f t="shared" ca="1" si="219"/>
        <v>1.1000000000000001</v>
      </c>
      <c r="AN114" s="234">
        <f t="shared" ca="1" si="220"/>
        <v>1.4000000000000001</v>
      </c>
      <c r="AO114" s="233">
        <f t="shared" ca="1" si="221"/>
        <v>0.85000000000000009</v>
      </c>
      <c r="AP114" s="233">
        <f t="shared" ca="1" si="222"/>
        <v>1.1000000000000001</v>
      </c>
      <c r="AQ114" s="233">
        <f t="shared" ca="1" si="223"/>
        <v>1.4000000000000001</v>
      </c>
      <c r="AR114" s="919">
        <f t="shared" ca="1" si="224"/>
        <v>0.35</v>
      </c>
      <c r="AS114" s="233">
        <f t="shared" ca="1" si="225"/>
        <v>0.5</v>
      </c>
      <c r="AT114" s="235">
        <f t="shared" ca="1" si="226"/>
        <v>0.7</v>
      </c>
      <c r="AU114" s="946">
        <f t="shared" si="227"/>
        <v>0.5</v>
      </c>
      <c r="AV114" s="13">
        <f t="shared" ca="1" si="228"/>
        <v>21</v>
      </c>
      <c r="AW114" s="210">
        <f t="shared" ca="1" si="229"/>
        <v>5</v>
      </c>
      <c r="AX114" s="210">
        <f t="shared" ca="1" si="230"/>
        <v>4</v>
      </c>
      <c r="AY114" s="210">
        <f t="shared" ca="1" si="231"/>
        <v>1</v>
      </c>
      <c r="AZ114" s="13">
        <f t="shared" ca="1" si="232"/>
        <v>31</v>
      </c>
      <c r="BA114" s="357">
        <f ca="1"/>
        <v>336</v>
      </c>
      <c r="BB114" s="925">
        <f ca="1"/>
        <v>80</v>
      </c>
      <c r="BC114" s="925">
        <f ca="1"/>
        <v>80</v>
      </c>
      <c r="BD114" s="928">
        <f ca="1"/>
        <v>248</v>
      </c>
      <c r="BE114" s="200">
        <f ca="1"/>
        <v>0.9999999925494194</v>
      </c>
      <c r="BF114" s="851">
        <f ca="1"/>
        <v>0.9999999925494194</v>
      </c>
      <c r="BG114" s="851">
        <f ca="1"/>
        <v>0.9999999925494194</v>
      </c>
      <c r="BH114" s="933">
        <f ca="1"/>
        <v>1</v>
      </c>
      <c r="BI114" s="357">
        <f ca="1"/>
        <v>336</v>
      </c>
      <c r="BJ114" s="925">
        <f ca="1"/>
        <v>80</v>
      </c>
      <c r="BK114" s="925">
        <f ca="1"/>
        <v>80</v>
      </c>
      <c r="BL114" s="928">
        <f ca="1"/>
        <v>248</v>
      </c>
      <c r="BM114" s="200">
        <f ca="1"/>
        <v>0.9999999925494194</v>
      </c>
      <c r="BN114" s="851">
        <f ca="1"/>
        <v>0.9999999925494194</v>
      </c>
      <c r="BO114" s="851">
        <f ca="1"/>
        <v>0.9999999925494194</v>
      </c>
      <c r="BP114" s="933">
        <f ca="1"/>
        <v>1</v>
      </c>
      <c r="BQ114" s="357">
        <f t="shared" ca="1" si="233"/>
        <v>744</v>
      </c>
      <c r="BR114" s="361">
        <f t="shared" ca="1" si="234"/>
        <v>744</v>
      </c>
      <c r="BS114" s="357">
        <f t="shared" ca="1" si="235"/>
        <v>407.42491248866361</v>
      </c>
      <c r="BT114" s="302">
        <f t="shared" ca="1" si="236"/>
        <v>24.904031339312187</v>
      </c>
      <c r="BU114" s="299">
        <f t="shared" ca="1" si="237"/>
        <v>26.684676489868867</v>
      </c>
      <c r="BV114" s="299">
        <f t="shared" ca="1" si="238"/>
        <v>28.465321640425554</v>
      </c>
      <c r="BW114" s="299">
        <f t="shared" ca="1" si="239"/>
        <v>32.659889647739881</v>
      </c>
      <c r="BX114" s="380">
        <f t="shared" ca="1" si="240"/>
        <v>8.1642710472279258</v>
      </c>
      <c r="BY114" s="363">
        <f t="shared" ca="1" si="241"/>
        <v>183.99834757552549</v>
      </c>
      <c r="BZ114" s="353">
        <f t="shared" ca="1" si="242"/>
        <v>43.809130375125122</v>
      </c>
      <c r="CA114" s="353">
        <f t="shared" ca="1" si="243"/>
        <v>43.809130375125122</v>
      </c>
      <c r="CB114" s="353">
        <f t="shared" ca="1" si="244"/>
        <v>271.6166083257757</v>
      </c>
      <c r="CC114" s="353">
        <f t="shared" ca="1" si="245"/>
        <v>135.80830416288788</v>
      </c>
      <c r="CD114" s="353">
        <f t="shared" ca="1" si="246"/>
        <v>407.42491248866361</v>
      </c>
      <c r="CE114" s="302">
        <f t="shared" ca="1" si="247"/>
        <v>36.089999731108549</v>
      </c>
      <c r="CF114" s="299">
        <f t="shared" ca="1" si="248"/>
        <v>24.162499896269289</v>
      </c>
      <c r="CG114" s="299">
        <f t="shared" ca="1" si="249"/>
        <v>25.06499958436936</v>
      </c>
      <c r="CH114" s="299">
        <f t="shared" ca="1" si="250"/>
        <v>32.387983605047509</v>
      </c>
      <c r="CI114" s="299">
        <f t="shared" ca="1" si="251"/>
        <v>20.619997711181639</v>
      </c>
      <c r="CJ114" s="299">
        <f t="shared" ca="1" si="252"/>
        <v>28.46532164042555</v>
      </c>
      <c r="CK114" s="299">
        <f t="shared" ca="1" si="253"/>
        <v>32.659889647739881</v>
      </c>
      <c r="CL114" s="377">
        <f t="shared" ca="1" si="254"/>
        <v>0.28612624864201164</v>
      </c>
      <c r="CM114" s="305">
        <f t="shared" ca="1" si="255"/>
        <v>0.28612624864201164</v>
      </c>
      <c r="CN114" s="305">
        <f t="shared" ca="1" si="256"/>
        <v>0.28612624864201164</v>
      </c>
      <c r="CO114" s="305">
        <f t="shared" ca="1" si="257"/>
        <v>0.28612624864201164</v>
      </c>
      <c r="CP114" s="305">
        <f t="shared" ca="1" si="258"/>
        <v>8.9330117371087508E-2</v>
      </c>
      <c r="CQ114" s="305">
        <f t="shared" ca="1" si="259"/>
        <v>0.23856316792692184</v>
      </c>
      <c r="CR114" s="775">
        <f t="shared" ca="1" si="260"/>
        <v>0.29862624864201165</v>
      </c>
      <c r="CS114" s="305">
        <f t="shared" ca="1" si="261"/>
        <v>0.32612624864201162</v>
      </c>
      <c r="CT114" s="305">
        <f t="shared" ca="1" si="262"/>
        <v>0.32112624864201167</v>
      </c>
      <c r="CU114" s="305">
        <f t="shared" ca="1" si="263"/>
        <v>0.14933011737108751</v>
      </c>
      <c r="CV114" s="770">
        <f t="shared" ca="1" si="264"/>
        <v>0.25356316792692185</v>
      </c>
      <c r="CW114" s="302">
        <f t="shared" ca="1" si="265"/>
        <v>13.144003514011587</v>
      </c>
      <c r="CX114" s="299">
        <f t="shared" ca="1" si="266"/>
        <v>6.4298423115814352</v>
      </c>
      <c r="CY114" s="299">
        <f t="shared" ca="1" si="267"/>
        <v>6.7986210939883112</v>
      </c>
      <c r="CZ114" s="299">
        <f t="shared" ca="1" si="268"/>
        <v>0.78207665174925634</v>
      </c>
      <c r="DA114" s="774">
        <f t="shared" ca="1" si="269"/>
        <v>6.6951705399900252</v>
      </c>
      <c r="DB114" s="303">
        <f t="shared" ca="1" si="270"/>
        <v>2727.7792713521148</v>
      </c>
      <c r="DC114" s="248">
        <f t="shared" ca="1" si="271"/>
        <v>231.61615248047087</v>
      </c>
      <c r="DD114" s="778">
        <f t="shared" ca="1" si="272"/>
        <v>0</v>
      </c>
      <c r="DE114" s="363">
        <f t="shared" ca="1" si="273"/>
        <v>0.54761412968906398</v>
      </c>
      <c r="DF114" s="378">
        <f t="shared" ca="1" si="274"/>
        <v>-0.30959364276011081</v>
      </c>
      <c r="DG114" s="508">
        <f t="shared" ca="1" si="275"/>
        <v>-0.78930901590232772</v>
      </c>
      <c r="DH114" s="508">
        <f t="shared" ca="1" si="276"/>
        <v>-0.74723556601416952</v>
      </c>
      <c r="DI114" s="508">
        <f t="shared" ca="1" si="277"/>
        <v>-1.2911573116420396</v>
      </c>
      <c r="DJ114" s="508">
        <f t="shared" ca="1" si="278"/>
        <v>-0.55198500858093835</v>
      </c>
      <c r="DK114" s="353">
        <f t="shared" ca="1" si="279"/>
        <v>-118.3484950318267</v>
      </c>
      <c r="DL114" s="781">
        <f t="shared" ca="1" si="280"/>
        <v>5.8984269040819779</v>
      </c>
      <c r="DM114" s="303">
        <f t="shared" ca="1" si="281"/>
        <v>9696.4548082437723</v>
      </c>
      <c r="DN114" s="508">
        <f t="shared" ca="1" si="282"/>
        <v>1.4634717406386455</v>
      </c>
      <c r="DO114" s="508">
        <f t="shared" ca="1" si="283"/>
        <v>1.3230414573780247</v>
      </c>
      <c r="DP114" s="508">
        <f t="shared" ca="1" si="284"/>
        <v>1.3358766581942505</v>
      </c>
      <c r="DQ114" s="508">
        <f t="shared" ca="1" si="285"/>
        <v>1.2675501607279021</v>
      </c>
      <c r="DR114" s="508">
        <f t="shared" ca="1" si="286"/>
        <v>1.380403313002404</v>
      </c>
      <c r="DS114" s="353">
        <f t="shared" ca="1" si="287"/>
        <v>5098.6555785716455</v>
      </c>
      <c r="DT114" s="353">
        <f t="shared" ca="1" si="288"/>
        <v>-10393.856879361068</v>
      </c>
      <c r="DU114" s="380">
        <f t="shared" ca="1" si="388"/>
        <v>8.1642710472279258</v>
      </c>
      <c r="DV114" s="303">
        <f t="shared" ca="1" si="289"/>
        <v>183.99834757552549</v>
      </c>
      <c r="DW114" s="303">
        <f t="shared" ca="1" si="290"/>
        <v>43.809130375125122</v>
      </c>
      <c r="DX114" s="303">
        <f t="shared" ca="1" si="291"/>
        <v>43.809130375125122</v>
      </c>
      <c r="DY114" s="303">
        <f t="shared" ca="1" si="292"/>
        <v>271.6166083257757</v>
      </c>
      <c r="DZ114" s="303">
        <f t="shared" ca="1" si="293"/>
        <v>135.80830416288788</v>
      </c>
      <c r="EA114" s="303">
        <f t="shared" ca="1" si="294"/>
        <v>407.42491248866361</v>
      </c>
      <c r="EB114" s="302">
        <f t="shared" ca="1" si="295"/>
        <v>36.089999731108549</v>
      </c>
      <c r="EC114" s="299">
        <f t="shared" ca="1" si="296"/>
        <v>24.162499896269289</v>
      </c>
      <c r="ED114" s="299">
        <f t="shared" ca="1" si="297"/>
        <v>25.06499958436936</v>
      </c>
      <c r="EE114" s="299">
        <f t="shared" ca="1" si="298"/>
        <v>32.387983605047509</v>
      </c>
      <c r="EF114" s="299">
        <f t="shared" ca="1" si="299"/>
        <v>20.619997711181639</v>
      </c>
      <c r="EG114" s="299">
        <f t="shared" ca="1" si="300"/>
        <v>28.46532164042555</v>
      </c>
      <c r="EH114" s="302">
        <f t="shared" ca="1" si="301"/>
        <v>30</v>
      </c>
      <c r="EI114" s="304">
        <f t="shared" ca="1" si="302"/>
        <v>9.5375416214003889E-2</v>
      </c>
      <c r="EJ114" s="305">
        <f t="shared" ca="1" si="303"/>
        <v>9.5375416214003889E-2</v>
      </c>
      <c r="EK114" s="305">
        <f t="shared" ca="1" si="304"/>
        <v>9.5375416214003889E-2</v>
      </c>
      <c r="EL114" s="305">
        <f t="shared" ca="1" si="305"/>
        <v>9.5375416214003889E-2</v>
      </c>
      <c r="EM114" s="305">
        <f t="shared" ca="1" si="306"/>
        <v>2.9776705790362502E-2</v>
      </c>
      <c r="EN114" s="305">
        <f t="shared" ca="1" si="307"/>
        <v>7.6586699771086064E-2</v>
      </c>
      <c r="EO114" s="305">
        <f t="shared" ca="1" si="308"/>
        <v>9.5375416214003889E-2</v>
      </c>
      <c r="EP114" s="305">
        <f t="shared" ca="1" si="309"/>
        <v>9.5375416214003889E-2</v>
      </c>
      <c r="EQ114" s="305">
        <f t="shared" ca="1" si="310"/>
        <v>9.5375416214003889E-2</v>
      </c>
      <c r="ER114" s="305">
        <f t="shared" ca="1" si="311"/>
        <v>2.9776705790362502E-2</v>
      </c>
      <c r="ES114" s="305">
        <f t="shared" ca="1" si="312"/>
        <v>7.6586699771086064E-2</v>
      </c>
      <c r="ET114" s="299">
        <f t="shared" ca="1" si="313"/>
        <v>3.3869767340316042</v>
      </c>
      <c r="EU114" s="302">
        <f t="shared" ca="1" si="314"/>
        <v>30</v>
      </c>
      <c r="EV114" s="304">
        <f t="shared" ca="1" si="315"/>
        <v>0.28612624864201164</v>
      </c>
      <c r="EW114" s="305">
        <f t="shared" ca="1" si="316"/>
        <v>0.28612624864201164</v>
      </c>
      <c r="EX114" s="305">
        <f t="shared" ca="1" si="317"/>
        <v>0.28612624864201164</v>
      </c>
      <c r="EY114" s="305">
        <f t="shared" ca="1" si="318"/>
        <v>0.28612624864201164</v>
      </c>
      <c r="EZ114" s="305">
        <f t="shared" ca="1" si="319"/>
        <v>8.9330117371087508E-2</v>
      </c>
      <c r="FA114" s="305">
        <f t="shared" ca="1" si="320"/>
        <v>0.23856316792692184</v>
      </c>
      <c r="FB114" s="305">
        <f t="shared" ca="1" si="321"/>
        <v>0.28612624864201164</v>
      </c>
      <c r="FC114" s="305">
        <f t="shared" ca="1" si="322"/>
        <v>0.28612624864201164</v>
      </c>
      <c r="FD114" s="305">
        <f t="shared" ca="1" si="323"/>
        <v>0.28612624864201164</v>
      </c>
      <c r="FE114" s="305">
        <f t="shared" ca="1" si="324"/>
        <v>8.9330117371087508E-2</v>
      </c>
      <c r="FF114" s="305">
        <f t="shared" ca="1" si="325"/>
        <v>0.23856316792692184</v>
      </c>
      <c r="FG114" s="299">
        <f t="shared" ca="1" si="326"/>
        <v>7.0531506212490562</v>
      </c>
      <c r="FH114" s="302">
        <f t="shared" ca="1" si="327"/>
        <v>-3.6661738872174521</v>
      </c>
      <c r="FI114" s="248">
        <f t="shared" ca="1" si="328"/>
        <v>-1493.6905751677941</v>
      </c>
      <c r="FJ114" s="363">
        <f t="shared" ca="1" si="329"/>
        <v>0.54761412968906398</v>
      </c>
      <c r="FK114" s="378">
        <f t="shared" ca="1" si="330"/>
        <v>0.54192904538061493</v>
      </c>
      <c r="FL114" s="508">
        <f t="shared" ca="1" si="331"/>
        <v>-0.93031868685709196</v>
      </c>
      <c r="FM114" s="508">
        <f t="shared" ca="1" si="332"/>
        <v>-0.79575657635109531</v>
      </c>
      <c r="FN114" s="508">
        <f t="shared" ca="1" si="333"/>
        <v>-4.4493251471588318</v>
      </c>
      <c r="FO114" s="508">
        <f t="shared" ca="1" si="334"/>
        <v>-0.34937514078939791</v>
      </c>
      <c r="FP114" s="353">
        <f t="shared" ca="1" si="335"/>
        <v>259.36510699175301</v>
      </c>
      <c r="FQ114" s="356">
        <f t="shared" ca="1" si="336"/>
        <v>23.292648413027507</v>
      </c>
      <c r="FR114" s="380">
        <f t="shared" ca="1" si="337"/>
        <v>23.412000000000003</v>
      </c>
      <c r="FS114" s="299">
        <f t="shared" ca="1" si="338"/>
        <v>23.412000000000003</v>
      </c>
      <c r="FT114" s="299">
        <f t="shared" ca="1" si="339"/>
        <v>23.412000000000003</v>
      </c>
      <c r="FU114" s="299">
        <f t="shared" ca="1" si="340"/>
        <v>23.412000000000003</v>
      </c>
      <c r="FV114" s="299">
        <f t="shared" ca="1" si="341"/>
        <v>23.412000000000003</v>
      </c>
      <c r="FW114" s="850">
        <f t="shared" ca="1" si="342"/>
        <v>0.16500000000000001</v>
      </c>
      <c r="FX114" s="851">
        <f t="shared" ca="1" si="343"/>
        <v>0.5</v>
      </c>
      <c r="FY114" s="851">
        <f t="shared" ca="1" si="344"/>
        <v>0</v>
      </c>
      <c r="FZ114" s="201">
        <f t="shared" ca="1" si="345"/>
        <v>0</v>
      </c>
      <c r="GA114" s="201">
        <f t="shared" ca="1" si="346"/>
        <v>0</v>
      </c>
      <c r="GB114" s="201">
        <f t="shared" ca="1" si="347"/>
        <v>0</v>
      </c>
      <c r="GC114" s="201">
        <f t="shared" ca="1" si="348"/>
        <v>0</v>
      </c>
      <c r="GD114" s="850">
        <f t="shared" ca="1" si="349"/>
        <v>0.30112624864201165</v>
      </c>
      <c r="GE114" s="866">
        <f t="shared" ca="1" si="350"/>
        <v>0.28612624864201164</v>
      </c>
      <c r="GF114" s="866">
        <f t="shared" ca="1" si="351"/>
        <v>0.28862624864201164</v>
      </c>
      <c r="GG114" s="866">
        <f t="shared" ca="1" si="352"/>
        <v>8.9330117371087508E-2</v>
      </c>
      <c r="GH114" s="866">
        <f t="shared" ca="1" si="353"/>
        <v>0.25356316792692185</v>
      </c>
      <c r="GI114" s="302">
        <f t="shared" ca="1" si="354"/>
        <v>16.320955800987594</v>
      </c>
      <c r="GJ114" s="299">
        <f t="shared" ca="1" si="355"/>
        <v>6.9873701330852285</v>
      </c>
      <c r="GK114" s="299">
        <f t="shared" ca="1" si="356"/>
        <v>7.6402701928334347</v>
      </c>
      <c r="GL114" s="299">
        <f t="shared" ca="1" si="357"/>
        <v>2.3373836808275503</v>
      </c>
      <c r="GM114" s="299">
        <f t="shared" ca="1" si="358"/>
        <v>9.2988876365221032</v>
      </c>
      <c r="GN114" s="302">
        <f t="shared" ca="1" si="359"/>
        <v>0.82971490143676863</v>
      </c>
      <c r="GO114" s="299">
        <f t="shared" ca="1" si="360"/>
        <v>0.65534346282975753</v>
      </c>
      <c r="GP114" s="299">
        <f t="shared" ca="1" si="361"/>
        <v>0.67491408328172153</v>
      </c>
      <c r="GQ114" s="299">
        <f t="shared" ca="1" si="362"/>
        <v>0.45767846736199008</v>
      </c>
      <c r="GR114" s="299">
        <f t="shared" ca="1" si="363"/>
        <v>0.73411551643045825</v>
      </c>
      <c r="GS114" s="302">
        <f t="shared" ca="1" si="364"/>
        <v>-0.58190062999313785</v>
      </c>
      <c r="GT114" s="299">
        <f t="shared" ca="1" si="365"/>
        <v>-0.37789888792364695</v>
      </c>
      <c r="GU114" s="299">
        <f t="shared" ca="1" si="366"/>
        <v>-0.39622651230366224</v>
      </c>
      <c r="GV114" s="299">
        <f t="shared" ca="1" si="367"/>
        <v>-0.3032609094803902</v>
      </c>
      <c r="GW114" s="299">
        <f t="shared" ca="1" si="368"/>
        <v>-0.49538481785743516</v>
      </c>
      <c r="GX114" s="303">
        <f t="shared" ca="1" si="369"/>
        <v>3003.0288982349043</v>
      </c>
      <c r="GY114" s="303">
        <f t="shared" ca="1" si="370"/>
        <v>306.11060913958613</v>
      </c>
      <c r="GZ114" s="303">
        <f t="shared" ca="1" si="371"/>
        <v>334.71359297902228</v>
      </c>
      <c r="HA114" s="303">
        <f t="shared" ca="1" si="372"/>
        <v>317.43611387119842</v>
      </c>
      <c r="HB114" s="303">
        <f t="shared" ca="1" si="373"/>
        <v>3788.5984815519337</v>
      </c>
      <c r="HC114" s="303">
        <f t="shared" ca="1" si="374"/>
        <v>2332.7310010869287</v>
      </c>
      <c r="HD114" s="303">
        <f t="shared" ca="1" si="375"/>
        <v>32.878747802179028</v>
      </c>
      <c r="HE114" s="303">
        <f t="shared" ca="1" si="376"/>
        <v>72.416474301664834</v>
      </c>
      <c r="HF114" s="303">
        <f t="shared" ca="1" si="377"/>
        <v>0</v>
      </c>
      <c r="HG114" s="852">
        <f t="shared" ca="1" si="378"/>
        <v>2058.8491271274488</v>
      </c>
    </row>
    <row r="115" spans="1:215" x14ac:dyDescent="0.25">
      <c r="A115" s="244">
        <f t="shared" ca="1" si="379"/>
        <v>39600</v>
      </c>
      <c r="B115" s="13">
        <f t="shared" ca="1" si="409"/>
        <v>2008</v>
      </c>
      <c r="C115" s="619">
        <f t="shared" ca="1" si="410"/>
        <v>6</v>
      </c>
      <c r="D115" s="195" t="str">
        <f t="shared" ca="1" si="209"/>
        <v/>
      </c>
      <c r="E115" s="469">
        <f t="shared" ca="1" si="210"/>
        <v>39600</v>
      </c>
      <c r="F115" s="465">
        <f t="shared" ca="1" si="211"/>
        <v>39629</v>
      </c>
      <c r="G115" s="522">
        <f t="shared" ca="1" si="380"/>
        <v>1</v>
      </c>
      <c r="H115" s="519">
        <f t="shared" ca="1" si="381"/>
        <v>1</v>
      </c>
      <c r="I115" s="724">
        <f t="shared" ca="1" si="411"/>
        <v>7.3889093687609E-2</v>
      </c>
      <c r="J115" s="198">
        <f t="shared" ca="1" si="213"/>
        <v>0.54429372116598296</v>
      </c>
      <c r="K115" s="200">
        <f t="shared" ca="1" si="389"/>
        <v>44.38</v>
      </c>
      <c r="L115" s="201">
        <f t="shared" ca="1" si="390"/>
        <v>50.25</v>
      </c>
      <c r="M115" s="206">
        <f t="shared" ca="1" si="391"/>
        <v>56.12</v>
      </c>
      <c r="N115" s="851">
        <f t="shared" ca="1" si="395"/>
        <v>22.656250152587887</v>
      </c>
      <c r="O115" s="201">
        <f t="shared" ca="1" si="396"/>
        <v>27.058750152587887</v>
      </c>
      <c r="P115" s="206">
        <f t="shared" ca="1" si="397"/>
        <v>31.461250152587887</v>
      </c>
      <c r="Q115" s="201">
        <f t="shared" ca="1" si="398"/>
        <v>17.242499542236324</v>
      </c>
      <c r="R115" s="201">
        <f t="shared" ca="1" si="399"/>
        <v>20.542499542236325</v>
      </c>
      <c r="S115" s="201">
        <f t="shared" ca="1" si="400"/>
        <v>23.842499542236325</v>
      </c>
      <c r="T115" s="851">
        <f t="shared" ca="1" si="392"/>
        <v>16.619998779296875</v>
      </c>
      <c r="U115" s="201">
        <f t="shared" ca="1" si="393"/>
        <v>19.554998779296874</v>
      </c>
      <c r="V115" s="206">
        <f t="shared" ca="1" si="394"/>
        <v>22.489998779296872</v>
      </c>
      <c r="W115" s="230">
        <f t="shared" ca="1" si="382"/>
        <v>0.11949424057784176</v>
      </c>
      <c r="X115" s="231">
        <f t="shared" ca="1" si="383"/>
        <v>0.23898848115568352</v>
      </c>
      <c r="Y115" s="232">
        <f t="shared" ca="1" si="384"/>
        <v>0.3584827217335253</v>
      </c>
      <c r="Z115" s="231">
        <f t="shared" ca="1" si="404"/>
        <v>0.11949424057784176</v>
      </c>
      <c r="AA115" s="231">
        <f t="shared" ca="1" si="405"/>
        <v>0.23898848115568352</v>
      </c>
      <c r="AB115" s="232">
        <f t="shared" ca="1" si="406"/>
        <v>0.3584827217335253</v>
      </c>
      <c r="AC115" s="231">
        <f t="shared" ca="1" si="407"/>
        <v>0.11949424057784176</v>
      </c>
      <c r="AD115" s="231">
        <f t="shared" ca="1" si="408"/>
        <v>0.23898848115568352</v>
      </c>
      <c r="AE115" s="232">
        <f t="shared" ca="1" si="214"/>
        <v>0.3584827217335253</v>
      </c>
      <c r="AF115" s="231">
        <f t="shared" ca="1" si="385"/>
        <v>3.8284336016180351E-2</v>
      </c>
      <c r="AG115" s="231">
        <f t="shared" ca="1" si="386"/>
        <v>7.6568672032360702E-2</v>
      </c>
      <c r="AH115" s="232">
        <f t="shared" ca="1" si="387"/>
        <v>0.11485300804854105</v>
      </c>
      <c r="AI115" s="233">
        <f t="shared" ca="1" si="215"/>
        <v>1.65</v>
      </c>
      <c r="AJ115" s="233">
        <f t="shared" ca="1" si="216"/>
        <v>2</v>
      </c>
      <c r="AK115" s="234">
        <f t="shared" ca="1" si="217"/>
        <v>2.2999999999999998</v>
      </c>
      <c r="AL115" s="919">
        <f t="shared" ca="1" si="218"/>
        <v>1.65</v>
      </c>
      <c r="AM115" s="233">
        <f t="shared" ca="1" si="219"/>
        <v>2</v>
      </c>
      <c r="AN115" s="234">
        <f t="shared" ca="1" si="220"/>
        <v>2.2999999999999998</v>
      </c>
      <c r="AO115" s="233">
        <f t="shared" ca="1" si="221"/>
        <v>1.65</v>
      </c>
      <c r="AP115" s="233">
        <f t="shared" ca="1" si="222"/>
        <v>2</v>
      </c>
      <c r="AQ115" s="233">
        <f t="shared" ca="1" si="223"/>
        <v>2.2999999999999998</v>
      </c>
      <c r="AR115" s="919">
        <f t="shared" ca="1" si="224"/>
        <v>0.5</v>
      </c>
      <c r="AS115" s="233">
        <f t="shared" ca="1" si="225"/>
        <v>0.65</v>
      </c>
      <c r="AT115" s="235">
        <f t="shared" ca="1" si="226"/>
        <v>0.85000000000000009</v>
      </c>
      <c r="AU115" s="946">
        <f t="shared" si="227"/>
        <v>0.5</v>
      </c>
      <c r="AV115" s="13">
        <f t="shared" ca="1" si="228"/>
        <v>21</v>
      </c>
      <c r="AW115" s="210">
        <f t="shared" ca="1" si="229"/>
        <v>4</v>
      </c>
      <c r="AX115" s="210">
        <f t="shared" ca="1" si="230"/>
        <v>5</v>
      </c>
      <c r="AY115" s="210">
        <f t="shared" ca="1" si="231"/>
        <v>0</v>
      </c>
      <c r="AZ115" s="13">
        <f t="shared" ca="1" si="232"/>
        <v>30</v>
      </c>
      <c r="BA115" s="357">
        <f ca="1"/>
        <v>336</v>
      </c>
      <c r="BB115" s="925">
        <f ca="1"/>
        <v>64</v>
      </c>
      <c r="BC115" s="925">
        <f ca="1"/>
        <v>80</v>
      </c>
      <c r="BD115" s="928">
        <f ca="1"/>
        <v>240</v>
      </c>
      <c r="BE115" s="200">
        <f ca="1"/>
        <v>1.0000000037252903</v>
      </c>
      <c r="BF115" s="851">
        <f ca="1"/>
        <v>1.0000000037252903</v>
      </c>
      <c r="BG115" s="851">
        <f ca="1"/>
        <v>1.0000000037252903</v>
      </c>
      <c r="BH115" s="933">
        <f ca="1"/>
        <v>1</v>
      </c>
      <c r="BI115" s="357">
        <f ca="1"/>
        <v>336</v>
      </c>
      <c r="BJ115" s="925">
        <f ca="1"/>
        <v>64</v>
      </c>
      <c r="BK115" s="925">
        <f ca="1"/>
        <v>80</v>
      </c>
      <c r="BL115" s="928">
        <f ca="1"/>
        <v>240</v>
      </c>
      <c r="BM115" s="200">
        <f ca="1"/>
        <v>1.0000000037252903</v>
      </c>
      <c r="BN115" s="851">
        <f ca="1"/>
        <v>1.0000000037252903</v>
      </c>
      <c r="BO115" s="851">
        <f ca="1"/>
        <v>1.0000000037252903</v>
      </c>
      <c r="BP115" s="933">
        <f ca="1"/>
        <v>1</v>
      </c>
      <c r="BQ115" s="357">
        <f t="shared" ca="1" si="233"/>
        <v>720</v>
      </c>
      <c r="BR115" s="361">
        <f t="shared" ca="1" si="234"/>
        <v>720</v>
      </c>
      <c r="BS115" s="357">
        <f t="shared" ca="1" si="235"/>
        <v>391.8914792395077</v>
      </c>
      <c r="BT115" s="302">
        <f t="shared" ca="1" si="236"/>
        <v>30.180388536481178</v>
      </c>
      <c r="BU115" s="299">
        <f t="shared" ca="1" si="237"/>
        <v>34.656055216176433</v>
      </c>
      <c r="BV115" s="299">
        <f t="shared" ca="1" si="238"/>
        <v>39.131721895871692</v>
      </c>
      <c r="BW115" s="299">
        <f t="shared" ca="1" si="239"/>
        <v>32.659889647739881</v>
      </c>
      <c r="BX115" s="380">
        <f t="shared" ca="1" si="240"/>
        <v>8.2491444216290208</v>
      </c>
      <c r="BY115" s="363">
        <f t="shared" ca="1" si="241"/>
        <v>182.88269031177026</v>
      </c>
      <c r="BZ115" s="353">
        <f t="shared" ca="1" si="242"/>
        <v>34.834798154622909</v>
      </c>
      <c r="CA115" s="353">
        <f t="shared" ca="1" si="243"/>
        <v>43.543497693278638</v>
      </c>
      <c r="CB115" s="353">
        <f t="shared" ca="1" si="244"/>
        <v>261.2609861596718</v>
      </c>
      <c r="CC115" s="353">
        <f t="shared" ca="1" si="245"/>
        <v>130.6304930798359</v>
      </c>
      <c r="CD115" s="353">
        <f t="shared" ca="1" si="246"/>
        <v>391.8914792395077</v>
      </c>
      <c r="CE115" s="302">
        <f t="shared" ca="1" si="247"/>
        <v>56.120000209063292</v>
      </c>
      <c r="CF115" s="299">
        <f t="shared" ca="1" si="248"/>
        <v>31.461250269790177</v>
      </c>
      <c r="CG115" s="299">
        <f t="shared" ca="1" si="249"/>
        <v>23.842499631056558</v>
      </c>
      <c r="CH115" s="299">
        <f t="shared" ca="1" si="250"/>
        <v>47.45258345415909</v>
      </c>
      <c r="CI115" s="299">
        <f t="shared" ca="1" si="251"/>
        <v>22.489998779296872</v>
      </c>
      <c r="CJ115" s="299">
        <f t="shared" ca="1" si="252"/>
        <v>39.131721895871685</v>
      </c>
      <c r="CK115" s="299">
        <f t="shared" ca="1" si="253"/>
        <v>32.659889647739881</v>
      </c>
      <c r="CL115" s="377">
        <f t="shared" ca="1" si="254"/>
        <v>0.3584827217335253</v>
      </c>
      <c r="CM115" s="305">
        <f t="shared" ca="1" si="255"/>
        <v>0.3584827217335253</v>
      </c>
      <c r="CN115" s="305">
        <f t="shared" ca="1" si="256"/>
        <v>0.3584827217335253</v>
      </c>
      <c r="CO115" s="305">
        <f t="shared" ca="1" si="257"/>
        <v>0.3584827217335253</v>
      </c>
      <c r="CP115" s="305">
        <f t="shared" ca="1" si="258"/>
        <v>0.11485300804854105</v>
      </c>
      <c r="CQ115" s="305">
        <f t="shared" ca="1" si="259"/>
        <v>0.31730540299925092</v>
      </c>
      <c r="CR115" s="775">
        <f t="shared" ca="1" si="260"/>
        <v>0.37348272173352531</v>
      </c>
      <c r="CS115" s="305">
        <f t="shared" ca="1" si="261"/>
        <v>0.3584827217335253</v>
      </c>
      <c r="CT115" s="305">
        <f t="shared" ca="1" si="262"/>
        <v>0.39848272173352528</v>
      </c>
      <c r="CU115" s="305">
        <f t="shared" ca="1" si="263"/>
        <v>0.17485300804854104</v>
      </c>
      <c r="CV115" s="770">
        <f t="shared" ca="1" si="264"/>
        <v>0.33230540299925093</v>
      </c>
      <c r="CW115" s="302">
        <f t="shared" ca="1" si="265"/>
        <v>31.84452436289428</v>
      </c>
      <c r="CX115" s="299">
        <f t="shared" ca="1" si="266"/>
        <v>12.018049135620167</v>
      </c>
      <c r="CY115" s="299">
        <f t="shared" ca="1" si="267"/>
        <v>8.2268584263272366</v>
      </c>
      <c r="CZ115" s="299">
        <f t="shared" ca="1" si="268"/>
        <v>1.7748545937171638</v>
      </c>
      <c r="DA115" s="774">
        <f t="shared" ca="1" si="269"/>
        <v>16.619525736233733</v>
      </c>
      <c r="DB115" s="303">
        <f t="shared" ca="1" si="270"/>
        <v>6513.0505250317055</v>
      </c>
      <c r="DC115" s="248">
        <f t="shared" ca="1" si="271"/>
        <v>292.93736550472022</v>
      </c>
      <c r="DD115" s="778">
        <f t="shared" ca="1" si="272"/>
        <v>2536.2559131103212</v>
      </c>
      <c r="DE115" s="363">
        <f t="shared" ca="1" si="273"/>
        <v>0.54429372116598296</v>
      </c>
      <c r="DF115" s="378">
        <f t="shared" ca="1" si="274"/>
        <v>-3.1686005966534168E-2</v>
      </c>
      <c r="DG115" s="508">
        <f t="shared" ca="1" si="275"/>
        <v>-0.55112068330149677</v>
      </c>
      <c r="DH115" s="508">
        <f t="shared" ca="1" si="276"/>
        <v>-0.84719676586717196</v>
      </c>
      <c r="DI115" s="508">
        <f t="shared" ca="1" si="277"/>
        <v>-0.99398433262996344</v>
      </c>
      <c r="DJ115" s="508">
        <f t="shared" ca="1" si="278"/>
        <v>-0.2877940978021547</v>
      </c>
      <c r="DK115" s="353">
        <f t="shared" ca="1" si="279"/>
        <v>-151.56490781554857</v>
      </c>
      <c r="DL115" s="781">
        <f t="shared" ca="1" si="280"/>
        <v>4.8120949119792522</v>
      </c>
      <c r="DM115" s="303">
        <f t="shared" ca="1" si="281"/>
        <v>13222.235529554604</v>
      </c>
      <c r="DN115" s="508">
        <f t="shared" ca="1" si="282"/>
        <v>1.6244231889897509</v>
      </c>
      <c r="DO115" s="508">
        <f t="shared" ca="1" si="283"/>
        <v>1.4229027077403487</v>
      </c>
      <c r="DP115" s="508">
        <f t="shared" ca="1" si="284"/>
        <v>1.3263491210783835</v>
      </c>
      <c r="DQ115" s="508">
        <f t="shared" ca="1" si="285"/>
        <v>1.3060141197588042</v>
      </c>
      <c r="DR115" s="508">
        <f t="shared" ca="1" si="286"/>
        <v>1.498873656204573</v>
      </c>
      <c r="DS115" s="353">
        <f t="shared" ca="1" si="287"/>
        <v>5714.2819042408682</v>
      </c>
      <c r="DT115" s="353">
        <f t="shared" ca="1" si="288"/>
        <v>-11760.65869019968</v>
      </c>
      <c r="DU115" s="380">
        <f t="shared" ca="1" si="388"/>
        <v>8.2491444216290208</v>
      </c>
      <c r="DV115" s="303">
        <f t="shared" ca="1" si="289"/>
        <v>182.88269031177026</v>
      </c>
      <c r="DW115" s="303">
        <f t="shared" ca="1" si="290"/>
        <v>34.834798154622909</v>
      </c>
      <c r="DX115" s="303">
        <f t="shared" ca="1" si="291"/>
        <v>43.543497693278638</v>
      </c>
      <c r="DY115" s="303">
        <f t="shared" ca="1" si="292"/>
        <v>261.2609861596718</v>
      </c>
      <c r="DZ115" s="303">
        <f t="shared" ca="1" si="293"/>
        <v>130.6304930798359</v>
      </c>
      <c r="EA115" s="303">
        <f t="shared" ca="1" si="294"/>
        <v>391.8914792395077</v>
      </c>
      <c r="EB115" s="302">
        <f t="shared" ca="1" si="295"/>
        <v>56.120000209063292</v>
      </c>
      <c r="EC115" s="299">
        <f t="shared" ca="1" si="296"/>
        <v>31.461250269790177</v>
      </c>
      <c r="ED115" s="299">
        <f t="shared" ca="1" si="297"/>
        <v>23.842499631056558</v>
      </c>
      <c r="EE115" s="299">
        <f t="shared" ca="1" si="298"/>
        <v>47.45258345415909</v>
      </c>
      <c r="EF115" s="299">
        <f t="shared" ca="1" si="299"/>
        <v>22.489998779296872</v>
      </c>
      <c r="EG115" s="299">
        <f t="shared" ca="1" si="300"/>
        <v>39.131721895871685</v>
      </c>
      <c r="EH115" s="302">
        <f t="shared" ca="1" si="301"/>
        <v>30</v>
      </c>
      <c r="EI115" s="304">
        <f t="shared" ca="1" si="302"/>
        <v>0.11949424057784176</v>
      </c>
      <c r="EJ115" s="305">
        <f t="shared" ca="1" si="303"/>
        <v>0.11949424057784176</v>
      </c>
      <c r="EK115" s="305">
        <f t="shared" ca="1" si="304"/>
        <v>0.11949424057784176</v>
      </c>
      <c r="EL115" s="305">
        <f t="shared" ca="1" si="305"/>
        <v>0.11949424057784178</v>
      </c>
      <c r="EM115" s="305">
        <f t="shared" ca="1" si="306"/>
        <v>3.8284336016180351E-2</v>
      </c>
      <c r="EN115" s="305">
        <f t="shared" ca="1" si="307"/>
        <v>0.10113938534934248</v>
      </c>
      <c r="EO115" s="305">
        <f t="shared" ca="1" si="308"/>
        <v>0.11949424057784176</v>
      </c>
      <c r="EP115" s="305">
        <f t="shared" ca="1" si="309"/>
        <v>0.11949424057784176</v>
      </c>
      <c r="EQ115" s="305">
        <f t="shared" ca="1" si="310"/>
        <v>0.11949424057784176</v>
      </c>
      <c r="ER115" s="305">
        <f t="shared" ca="1" si="311"/>
        <v>3.8284336016180351E-2</v>
      </c>
      <c r="ES115" s="305">
        <f t="shared" ca="1" si="312"/>
        <v>0.10113938534934248</v>
      </c>
      <c r="ET115" s="299">
        <f t="shared" ca="1" si="313"/>
        <v>0.9664550678645405</v>
      </c>
      <c r="EU115" s="302">
        <f t="shared" ca="1" si="314"/>
        <v>30</v>
      </c>
      <c r="EV115" s="304">
        <f t="shared" ca="1" si="315"/>
        <v>0.3584827217335253</v>
      </c>
      <c r="EW115" s="305">
        <f t="shared" ca="1" si="316"/>
        <v>0.3584827217335253</v>
      </c>
      <c r="EX115" s="305">
        <f t="shared" ca="1" si="317"/>
        <v>0.3584827217335253</v>
      </c>
      <c r="EY115" s="305">
        <f t="shared" ca="1" si="318"/>
        <v>0.3584827217335253</v>
      </c>
      <c r="EZ115" s="305">
        <f t="shared" ca="1" si="319"/>
        <v>0.11485300804854105</v>
      </c>
      <c r="FA115" s="305">
        <f t="shared" ca="1" si="320"/>
        <v>0.31730540299925092</v>
      </c>
      <c r="FB115" s="305">
        <f t="shared" ca="1" si="321"/>
        <v>0.3584827217335253</v>
      </c>
      <c r="FC115" s="305">
        <f t="shared" ca="1" si="322"/>
        <v>0.3584827217335253</v>
      </c>
      <c r="FD115" s="305">
        <f t="shared" ca="1" si="323"/>
        <v>0.3584827217335253</v>
      </c>
      <c r="FE115" s="305">
        <f t="shared" ca="1" si="324"/>
        <v>0.11485300804854105</v>
      </c>
      <c r="FF115" s="305">
        <f t="shared" ca="1" si="325"/>
        <v>0.31730540299925092</v>
      </c>
      <c r="FG115" s="299">
        <f t="shared" ca="1" si="326"/>
        <v>17.186099695261106</v>
      </c>
      <c r="FH115" s="302">
        <f t="shared" ca="1" si="327"/>
        <v>-16.219644627396566</v>
      </c>
      <c r="FI115" s="248">
        <f t="shared" ca="1" si="328"/>
        <v>-6356.340525769574</v>
      </c>
      <c r="FJ115" s="363">
        <f t="shared" ca="1" si="329"/>
        <v>0.54429372116598296</v>
      </c>
      <c r="FK115" s="378">
        <f t="shared" ca="1" si="330"/>
        <v>1.6532494557083648</v>
      </c>
      <c r="FL115" s="508">
        <f t="shared" ca="1" si="331"/>
        <v>-3.3027039517482634E-2</v>
      </c>
      <c r="FM115" s="508">
        <f t="shared" ca="1" si="332"/>
        <v>-0.84096498561796873</v>
      </c>
      <c r="FN115" s="508">
        <f t="shared" ca="1" si="333"/>
        <v>-2.6753202919965542</v>
      </c>
      <c r="FO115" s="508">
        <f t="shared" ca="1" si="334"/>
        <v>0.76955624017253277</v>
      </c>
      <c r="FP115" s="353">
        <f t="shared" ca="1" si="335"/>
        <v>86.522394654438116</v>
      </c>
      <c r="FQ115" s="356">
        <f t="shared" ca="1" si="336"/>
        <v>13.34233393973312</v>
      </c>
      <c r="FR115" s="380">
        <f t="shared" ca="1" si="337"/>
        <v>23.46</v>
      </c>
      <c r="FS115" s="299">
        <f t="shared" ca="1" si="338"/>
        <v>23.46</v>
      </c>
      <c r="FT115" s="299">
        <f t="shared" ca="1" si="339"/>
        <v>23.46</v>
      </c>
      <c r="FU115" s="299">
        <f t="shared" ca="1" si="340"/>
        <v>23.46</v>
      </c>
      <c r="FV115" s="299">
        <f t="shared" ca="1" si="341"/>
        <v>23.46</v>
      </c>
      <c r="FW115" s="850">
        <f t="shared" ca="1" si="342"/>
        <v>0.16500000000000001</v>
      </c>
      <c r="FX115" s="851">
        <f t="shared" ca="1" si="343"/>
        <v>0.5</v>
      </c>
      <c r="FY115" s="851">
        <f t="shared" ca="1" si="344"/>
        <v>0</v>
      </c>
      <c r="FZ115" s="201">
        <f t="shared" ca="1" si="345"/>
        <v>0</v>
      </c>
      <c r="GA115" s="201">
        <f t="shared" ca="1" si="346"/>
        <v>0</v>
      </c>
      <c r="GB115" s="201">
        <f t="shared" ca="1" si="347"/>
        <v>0</v>
      </c>
      <c r="GC115" s="201">
        <f t="shared" ca="1" si="348"/>
        <v>0</v>
      </c>
      <c r="GD115" s="850">
        <f t="shared" ca="1" si="349"/>
        <v>0.37348272173352531</v>
      </c>
      <c r="GE115" s="866">
        <f t="shared" ca="1" si="350"/>
        <v>0.37348272173352531</v>
      </c>
      <c r="GF115" s="866">
        <f t="shared" ca="1" si="351"/>
        <v>0.3584827217335253</v>
      </c>
      <c r="GG115" s="866">
        <f t="shared" ca="1" si="352"/>
        <v>0.11485300804854105</v>
      </c>
      <c r="GH115" s="866">
        <f t="shared" ca="1" si="353"/>
        <v>0.33230540299925093</v>
      </c>
      <c r="GI115" s="302">
        <f t="shared" ca="1" si="354"/>
        <v>35.62487114294585</v>
      </c>
      <c r="GJ115" s="299">
        <f t="shared" ca="1" si="355"/>
        <v>14.290861464383013</v>
      </c>
      <c r="GK115" s="299">
        <f t="shared" ca="1" si="356"/>
        <v>8.3432323243515647</v>
      </c>
      <c r="GL115" s="299">
        <f t="shared" ca="1" si="357"/>
        <v>3.3626219673932618</v>
      </c>
      <c r="GM115" s="299">
        <f t="shared" ca="1" si="358"/>
        <v>19.582139625838884</v>
      </c>
      <c r="GN115" s="302">
        <f t="shared" ca="1" si="359"/>
        <v>0.91958711162378737</v>
      </c>
      <c r="GO115" s="299">
        <f t="shared" ca="1" si="360"/>
        <v>0.78251692317904475</v>
      </c>
      <c r="GP115" s="299">
        <f t="shared" ca="1" si="361"/>
        <v>0.67882721798835688</v>
      </c>
      <c r="GQ115" s="299">
        <f t="shared" ca="1" si="362"/>
        <v>0.54381599224373034</v>
      </c>
      <c r="GR115" s="299">
        <f t="shared" ca="1" si="363"/>
        <v>0.84902826860708547</v>
      </c>
      <c r="GS115" s="302">
        <f t="shared" ca="1" si="364"/>
        <v>-0.68126028150396689</v>
      </c>
      <c r="GT115" s="299">
        <f t="shared" ca="1" si="365"/>
        <v>-0.44024304127855529</v>
      </c>
      <c r="GU115" s="299">
        <f t="shared" ca="1" si="366"/>
        <v>-0.33425861761252507</v>
      </c>
      <c r="GV115" s="299">
        <f t="shared" ca="1" si="367"/>
        <v>-0.37799650784850303</v>
      </c>
      <c r="GW115" s="299">
        <f t="shared" ca="1" si="368"/>
        <v>-0.58149200312225102</v>
      </c>
      <c r="GX115" s="303">
        <f t="shared" ca="1" si="369"/>
        <v>6515.1722766320872</v>
      </c>
      <c r="GY115" s="303">
        <f t="shared" ca="1" si="370"/>
        <v>497.81927456746104</v>
      </c>
      <c r="GZ115" s="303">
        <f t="shared" ca="1" si="371"/>
        <v>363.29351746989011</v>
      </c>
      <c r="HA115" s="303">
        <f t="shared" ca="1" si="372"/>
        <v>439.26096564166966</v>
      </c>
      <c r="HB115" s="303">
        <f t="shared" ca="1" si="373"/>
        <v>7674.0736646445803</v>
      </c>
      <c r="HC115" s="303">
        <f t="shared" ca="1" si="374"/>
        <v>5972.9487038164743</v>
      </c>
      <c r="HD115" s="303">
        <f t="shared" ca="1" si="375"/>
        <v>278.72193813276289</v>
      </c>
      <c r="HE115" s="303">
        <f t="shared" ca="1" si="376"/>
        <v>16.655371802591137</v>
      </c>
      <c r="HF115" s="303">
        <f t="shared" ca="1" si="377"/>
        <v>0</v>
      </c>
      <c r="HG115" s="852">
        <f t="shared" ca="1" si="378"/>
        <v>6141.6142760033363</v>
      </c>
    </row>
    <row r="116" spans="1:215" x14ac:dyDescent="0.25">
      <c r="A116" s="244">
        <f t="shared" ca="1" si="379"/>
        <v>39630</v>
      </c>
      <c r="B116" s="13">
        <f t="shared" ca="1" si="409"/>
        <v>2008</v>
      </c>
      <c r="C116" s="619">
        <f t="shared" ca="1" si="410"/>
        <v>7</v>
      </c>
      <c r="D116" s="195">
        <f t="shared" ca="1" si="209"/>
        <v>39633</v>
      </c>
      <c r="E116" s="469">
        <f t="shared" ca="1" si="210"/>
        <v>39630</v>
      </c>
      <c r="F116" s="465">
        <f t="shared" ca="1" si="211"/>
        <v>39660</v>
      </c>
      <c r="G116" s="522">
        <f t="shared" ca="1" si="380"/>
        <v>1</v>
      </c>
      <c r="H116" s="519">
        <f t="shared" ca="1" si="381"/>
        <v>1</v>
      </c>
      <c r="I116" s="724">
        <f t="shared" ca="1" si="411"/>
        <v>7.3903886064741006E-2</v>
      </c>
      <c r="J116" s="198">
        <f t="shared" ca="1" si="213"/>
        <v>0.54088683486088429</v>
      </c>
      <c r="K116" s="200">
        <f t="shared" ca="1" si="389"/>
        <v>67.5</v>
      </c>
      <c r="L116" s="201">
        <f t="shared" ca="1" si="390"/>
        <v>72.5</v>
      </c>
      <c r="M116" s="206">
        <f t="shared" ca="1" si="391"/>
        <v>77.5</v>
      </c>
      <c r="N116" s="851">
        <f t="shared" ca="1" si="395"/>
        <v>36.511249542236342</v>
      </c>
      <c r="O116" s="201">
        <f t="shared" ca="1" si="396"/>
        <v>40.261249542236342</v>
      </c>
      <c r="P116" s="206">
        <f t="shared" ca="1" si="397"/>
        <v>44.011249542236342</v>
      </c>
      <c r="Q116" s="201">
        <f t="shared" ca="1" si="398"/>
        <v>26.447499465942379</v>
      </c>
      <c r="R116" s="201">
        <f t="shared" ca="1" si="399"/>
        <v>29.747499465942379</v>
      </c>
      <c r="S116" s="201">
        <f t="shared" ca="1" si="400"/>
        <v>33.04749946594238</v>
      </c>
      <c r="T116" s="851">
        <f t="shared" ca="1" si="392"/>
        <v>21.549997711181639</v>
      </c>
      <c r="U116" s="201">
        <f t="shared" ca="1" si="393"/>
        <v>24.049997711181639</v>
      </c>
      <c r="V116" s="206">
        <f t="shared" ca="1" si="394"/>
        <v>26.549997711181639</v>
      </c>
      <c r="W116" s="230">
        <f t="shared" ca="1" si="382"/>
        <v>0.14149186540479486</v>
      </c>
      <c r="X116" s="231">
        <f t="shared" ca="1" si="383"/>
        <v>0.28298373080958972</v>
      </c>
      <c r="Y116" s="232">
        <f t="shared" ca="1" si="384"/>
        <v>0.42447559621438458</v>
      </c>
      <c r="Z116" s="231">
        <f t="shared" ca="1" si="404"/>
        <v>0.14149186540479486</v>
      </c>
      <c r="AA116" s="231">
        <f t="shared" ca="1" si="405"/>
        <v>0.28298373080958972</v>
      </c>
      <c r="AB116" s="232">
        <f t="shared" ca="1" si="406"/>
        <v>0.42447559621438458</v>
      </c>
      <c r="AC116" s="231">
        <f t="shared" ca="1" si="407"/>
        <v>0.14149186540479486</v>
      </c>
      <c r="AD116" s="231">
        <f t="shared" ca="1" si="408"/>
        <v>0.28298373080958972</v>
      </c>
      <c r="AE116" s="232">
        <f t="shared" ca="1" si="214"/>
        <v>0.42447559621438458</v>
      </c>
      <c r="AF116" s="231">
        <f t="shared" ca="1" si="385"/>
        <v>5.1045781354907123E-2</v>
      </c>
      <c r="AG116" s="231">
        <f t="shared" ca="1" si="386"/>
        <v>0.10209156270981425</v>
      </c>
      <c r="AH116" s="232">
        <f t="shared" ca="1" si="387"/>
        <v>0.15313734406472138</v>
      </c>
      <c r="AI116" s="233">
        <f t="shared" ca="1" si="215"/>
        <v>2.65</v>
      </c>
      <c r="AJ116" s="233">
        <f t="shared" ca="1" si="216"/>
        <v>3</v>
      </c>
      <c r="AK116" s="234">
        <f t="shared" ca="1" si="217"/>
        <v>3.5</v>
      </c>
      <c r="AL116" s="919">
        <f t="shared" ca="1" si="218"/>
        <v>2.65</v>
      </c>
      <c r="AM116" s="233">
        <f t="shared" ca="1" si="219"/>
        <v>3</v>
      </c>
      <c r="AN116" s="234">
        <f t="shared" ca="1" si="220"/>
        <v>3.5</v>
      </c>
      <c r="AO116" s="233">
        <f t="shared" ca="1" si="221"/>
        <v>2.65</v>
      </c>
      <c r="AP116" s="233">
        <f t="shared" ca="1" si="222"/>
        <v>3</v>
      </c>
      <c r="AQ116" s="233">
        <f t="shared" ca="1" si="223"/>
        <v>3.5</v>
      </c>
      <c r="AR116" s="919">
        <f t="shared" ca="1" si="224"/>
        <v>0.6</v>
      </c>
      <c r="AS116" s="233">
        <f t="shared" ca="1" si="225"/>
        <v>0.75</v>
      </c>
      <c r="AT116" s="235">
        <f t="shared" ca="1" si="226"/>
        <v>0.95</v>
      </c>
      <c r="AU116" s="946">
        <f t="shared" si="227"/>
        <v>0.5</v>
      </c>
      <c r="AV116" s="13">
        <f t="shared" ca="1" si="228"/>
        <v>22</v>
      </c>
      <c r="AW116" s="210">
        <f t="shared" ca="1" si="229"/>
        <v>4</v>
      </c>
      <c r="AX116" s="210">
        <f t="shared" ca="1" si="230"/>
        <v>4</v>
      </c>
      <c r="AY116" s="210">
        <f t="shared" ca="1" si="231"/>
        <v>1</v>
      </c>
      <c r="AZ116" s="13">
        <f t="shared" ca="1" si="232"/>
        <v>31</v>
      </c>
      <c r="BA116" s="357">
        <f ca="1"/>
        <v>352</v>
      </c>
      <c r="BB116" s="925">
        <f ca="1"/>
        <v>64</v>
      </c>
      <c r="BC116" s="925">
        <f ca="1"/>
        <v>80</v>
      </c>
      <c r="BD116" s="928">
        <f ca="1"/>
        <v>248</v>
      </c>
      <c r="BE116" s="200">
        <f ca="1"/>
        <v>1.0000000111758709</v>
      </c>
      <c r="BF116" s="851">
        <f ca="1"/>
        <v>1.0000000111758709</v>
      </c>
      <c r="BG116" s="851">
        <f ca="1"/>
        <v>1.0000000111758709</v>
      </c>
      <c r="BH116" s="933">
        <f ca="1"/>
        <v>1.0000000149011612</v>
      </c>
      <c r="BI116" s="357">
        <f ca="1"/>
        <v>352</v>
      </c>
      <c r="BJ116" s="925">
        <f ca="1"/>
        <v>64</v>
      </c>
      <c r="BK116" s="925">
        <f ca="1"/>
        <v>80</v>
      </c>
      <c r="BL116" s="928">
        <f ca="1"/>
        <v>248</v>
      </c>
      <c r="BM116" s="200">
        <f ca="1"/>
        <v>1.0000000111758709</v>
      </c>
      <c r="BN116" s="851">
        <f ca="1"/>
        <v>1.0000000111758709</v>
      </c>
      <c r="BO116" s="851">
        <f ca="1"/>
        <v>1.0000000111758709</v>
      </c>
      <c r="BP116" s="933">
        <f ca="1"/>
        <v>1.0000000149011612</v>
      </c>
      <c r="BQ116" s="357">
        <f t="shared" ca="1" si="233"/>
        <v>744</v>
      </c>
      <c r="BR116" s="361">
        <f t="shared" ca="1" si="234"/>
        <v>744</v>
      </c>
      <c r="BS116" s="357">
        <f t="shared" ca="1" si="235"/>
        <v>402.41980513649793</v>
      </c>
      <c r="BT116" s="302">
        <f t="shared" ca="1" si="236"/>
        <v>45.103386767861288</v>
      </c>
      <c r="BU116" s="299">
        <f t="shared" ca="1" si="237"/>
        <v>48.979730900308724</v>
      </c>
      <c r="BV116" s="299">
        <f t="shared" ca="1" si="238"/>
        <v>52.856075032756159</v>
      </c>
      <c r="BW116" s="299">
        <f t="shared" ca="1" si="239"/>
        <v>32.659889647739881</v>
      </c>
      <c r="BX116" s="380">
        <f t="shared" ca="1" si="240"/>
        <v>8.3312799452429847</v>
      </c>
      <c r="BY116" s="363">
        <f t="shared" ca="1" si="241"/>
        <v>190.39216587103127</v>
      </c>
      <c r="BZ116" s="353">
        <f t="shared" ca="1" si="242"/>
        <v>34.616757431096595</v>
      </c>
      <c r="CA116" s="353">
        <f t="shared" ca="1" si="243"/>
        <v>43.270946788870745</v>
      </c>
      <c r="CB116" s="353">
        <f t="shared" ca="1" si="244"/>
        <v>268.2798700909986</v>
      </c>
      <c r="CC116" s="353">
        <f t="shared" ca="1" si="245"/>
        <v>134.1399350454993</v>
      </c>
      <c r="CD116" s="353">
        <f t="shared" ca="1" si="246"/>
        <v>402.41980513649787</v>
      </c>
      <c r="CE116" s="302">
        <f t="shared" ca="1" si="247"/>
        <v>77.500000866129994</v>
      </c>
      <c r="CF116" s="299">
        <f t="shared" ca="1" si="248"/>
        <v>44.011250034100385</v>
      </c>
      <c r="CG116" s="299">
        <f t="shared" ca="1" si="249"/>
        <v>33.047499835276966</v>
      </c>
      <c r="CH116" s="299">
        <f t="shared" ca="1" si="250"/>
        <v>66.009113495730517</v>
      </c>
      <c r="CI116" s="299">
        <f t="shared" ca="1" si="251"/>
        <v>26.549998106807436</v>
      </c>
      <c r="CJ116" s="299">
        <f t="shared" ca="1" si="252"/>
        <v>52.856075032756166</v>
      </c>
      <c r="CK116" s="299">
        <f t="shared" ca="1" si="253"/>
        <v>32.659889647739881</v>
      </c>
      <c r="CL116" s="377">
        <f t="shared" ca="1" si="254"/>
        <v>0.42447559621438458</v>
      </c>
      <c r="CM116" s="305">
        <f t="shared" ca="1" si="255"/>
        <v>0.42447559621438458</v>
      </c>
      <c r="CN116" s="305">
        <f t="shared" ca="1" si="256"/>
        <v>0.42447559621438458</v>
      </c>
      <c r="CO116" s="305">
        <f t="shared" ca="1" si="257"/>
        <v>0.42447559621438463</v>
      </c>
      <c r="CP116" s="305">
        <f t="shared" ca="1" si="258"/>
        <v>0.15313734406472138</v>
      </c>
      <c r="CQ116" s="305">
        <f t="shared" ca="1" si="259"/>
        <v>0.38819898846248507</v>
      </c>
      <c r="CR116" s="775">
        <f t="shared" ca="1" si="260"/>
        <v>0.43947559621438459</v>
      </c>
      <c r="CS116" s="305">
        <f t="shared" ca="1" si="261"/>
        <v>0.43947559621438459</v>
      </c>
      <c r="CT116" s="305">
        <f t="shared" ca="1" si="262"/>
        <v>0.42447559621438458</v>
      </c>
      <c r="CU116" s="305">
        <f t="shared" ca="1" si="263"/>
        <v>0.17813734406472137</v>
      </c>
      <c r="CV116" s="770">
        <f t="shared" ca="1" si="264"/>
        <v>0.40319898846248509</v>
      </c>
      <c r="CW116" s="302">
        <f t="shared" ca="1" si="265"/>
        <v>53.259647791734537</v>
      </c>
      <c r="CX116" s="299">
        <f t="shared" ca="1" si="266"/>
        <v>24.282552942199278</v>
      </c>
      <c r="CY116" s="299">
        <f t="shared" ca="1" si="267"/>
        <v>15.302547722299458</v>
      </c>
      <c r="CZ116" s="299">
        <f t="shared" ca="1" si="268"/>
        <v>3.4198026290086805</v>
      </c>
      <c r="DA116" s="774">
        <f t="shared" ca="1" si="269"/>
        <v>30.264989911972478</v>
      </c>
      <c r="DB116" s="303">
        <f t="shared" ca="1" si="270"/>
        <v>12179.231342834039</v>
      </c>
      <c r="DC116" s="248">
        <f t="shared" ca="1" si="271"/>
        <v>338.14099967720949</v>
      </c>
      <c r="DD116" s="778">
        <f t="shared" ca="1" si="272"/>
        <v>8127.3449871388402</v>
      </c>
      <c r="DE116" s="363">
        <f t="shared" ca="1" si="273"/>
        <v>0.54088683486088429</v>
      </c>
      <c r="DF116" s="378">
        <f t="shared" ca="1" si="274"/>
        <v>4.6971630438714732E-2</v>
      </c>
      <c r="DG116" s="508">
        <f t="shared" ca="1" si="275"/>
        <v>-0.39909258717635443</v>
      </c>
      <c r="DH116" s="508">
        <f t="shared" ca="1" si="276"/>
        <v>-0.60297267930469456</v>
      </c>
      <c r="DI116" s="508">
        <f t="shared" ca="1" si="277"/>
        <v>-0.65990376494617697</v>
      </c>
      <c r="DJ116" s="508">
        <f t="shared" ca="1" si="278"/>
        <v>-0.16822660581282384</v>
      </c>
      <c r="DK116" s="353">
        <f t="shared" ca="1" si="279"/>
        <v>-174.32926647071864</v>
      </c>
      <c r="DL116" s="781">
        <f t="shared" ca="1" si="280"/>
        <v>4.1644176313562467</v>
      </c>
      <c r="DM116" s="303">
        <f t="shared" ca="1" si="281"/>
        <v>18801.235989778772</v>
      </c>
      <c r="DN116" s="508">
        <f t="shared" ca="1" si="282"/>
        <v>1.742463837159403</v>
      </c>
      <c r="DO116" s="508">
        <f t="shared" ca="1" si="283"/>
        <v>1.5464098937787796</v>
      </c>
      <c r="DP116" s="508">
        <f t="shared" ca="1" si="284"/>
        <v>1.4471414447430406</v>
      </c>
      <c r="DQ116" s="508">
        <f t="shared" ca="1" si="285"/>
        <v>1.3712897049977477</v>
      </c>
      <c r="DR116" s="508">
        <f t="shared" ca="1" si="286"/>
        <v>1.6098612380077177</v>
      </c>
      <c r="DS116" s="353">
        <f t="shared" ca="1" si="287"/>
        <v>6703.0124608148908</v>
      </c>
      <c r="DT116" s="353">
        <f t="shared" ca="1" si="288"/>
        <v>-13773.243457641691</v>
      </c>
      <c r="DU116" s="380">
        <f t="shared" ca="1" si="388"/>
        <v>8.3312799452429847</v>
      </c>
      <c r="DV116" s="303">
        <f t="shared" ca="1" si="289"/>
        <v>190.39216587103127</v>
      </c>
      <c r="DW116" s="303">
        <f t="shared" ca="1" si="290"/>
        <v>34.616757431096595</v>
      </c>
      <c r="DX116" s="303">
        <f t="shared" ca="1" si="291"/>
        <v>43.270946788870745</v>
      </c>
      <c r="DY116" s="303">
        <f t="shared" ca="1" si="292"/>
        <v>268.2798700909986</v>
      </c>
      <c r="DZ116" s="303">
        <f t="shared" ca="1" si="293"/>
        <v>134.1399350454993</v>
      </c>
      <c r="EA116" s="303">
        <f t="shared" ca="1" si="294"/>
        <v>402.41980513649787</v>
      </c>
      <c r="EB116" s="302">
        <f t="shared" ca="1" si="295"/>
        <v>77.500000866129994</v>
      </c>
      <c r="EC116" s="299">
        <f t="shared" ca="1" si="296"/>
        <v>44.011250034100385</v>
      </c>
      <c r="ED116" s="299">
        <f t="shared" ca="1" si="297"/>
        <v>33.047499835276966</v>
      </c>
      <c r="EE116" s="299">
        <f t="shared" ca="1" si="298"/>
        <v>66.009113495730517</v>
      </c>
      <c r="EF116" s="299">
        <f t="shared" ca="1" si="299"/>
        <v>26.549998106807436</v>
      </c>
      <c r="EG116" s="299">
        <f t="shared" ca="1" si="300"/>
        <v>52.856075032756166</v>
      </c>
      <c r="EH116" s="302">
        <f t="shared" ca="1" si="301"/>
        <v>30</v>
      </c>
      <c r="EI116" s="304">
        <f t="shared" ca="1" si="302"/>
        <v>0.14149186540479486</v>
      </c>
      <c r="EJ116" s="305">
        <f t="shared" ca="1" si="303"/>
        <v>0.14149186540479486</v>
      </c>
      <c r="EK116" s="305">
        <f t="shared" ca="1" si="304"/>
        <v>0.14149186540479486</v>
      </c>
      <c r="EL116" s="305">
        <f t="shared" ca="1" si="305"/>
        <v>0.14149186540479486</v>
      </c>
      <c r="EM116" s="305">
        <f t="shared" ca="1" si="306"/>
        <v>5.1045781354907123E-2</v>
      </c>
      <c r="EN116" s="305">
        <f t="shared" ca="1" si="307"/>
        <v>0.12326363975608196</v>
      </c>
      <c r="EO116" s="305">
        <f t="shared" ca="1" si="308"/>
        <v>0.14149186540479486</v>
      </c>
      <c r="EP116" s="305">
        <f t="shared" ca="1" si="309"/>
        <v>0.14149186540479486</v>
      </c>
      <c r="EQ116" s="305">
        <f t="shared" ca="1" si="310"/>
        <v>0.14149186540479486</v>
      </c>
      <c r="ER116" s="305">
        <f t="shared" ca="1" si="311"/>
        <v>5.1045781354907123E-2</v>
      </c>
      <c r="ES116" s="305">
        <f t="shared" ca="1" si="312"/>
        <v>0.12326363975608196</v>
      </c>
      <c r="ET116" s="299">
        <f t="shared" ca="1" si="313"/>
        <v>0.33174964232200521</v>
      </c>
      <c r="EU116" s="302">
        <f t="shared" ca="1" si="314"/>
        <v>30</v>
      </c>
      <c r="EV116" s="304">
        <f t="shared" ca="1" si="315"/>
        <v>0.42447559621438458</v>
      </c>
      <c r="EW116" s="305">
        <f t="shared" ca="1" si="316"/>
        <v>0.42447559621438458</v>
      </c>
      <c r="EX116" s="305">
        <f t="shared" ca="1" si="317"/>
        <v>0.42447559621438458</v>
      </c>
      <c r="EY116" s="305">
        <f t="shared" ca="1" si="318"/>
        <v>0.42447559621438463</v>
      </c>
      <c r="EZ116" s="305">
        <f t="shared" ca="1" si="319"/>
        <v>0.15313734406472138</v>
      </c>
      <c r="FA116" s="305">
        <f t="shared" ca="1" si="320"/>
        <v>0.38819898846248507</v>
      </c>
      <c r="FB116" s="305">
        <f t="shared" ca="1" si="321"/>
        <v>0.42447559621438458</v>
      </c>
      <c r="FC116" s="305">
        <f t="shared" ca="1" si="322"/>
        <v>0.42447559621438458</v>
      </c>
      <c r="FD116" s="305">
        <f t="shared" ca="1" si="323"/>
        <v>0.42447559621438458</v>
      </c>
      <c r="FE116" s="305">
        <f t="shared" ca="1" si="324"/>
        <v>0.15313734406472138</v>
      </c>
      <c r="FF116" s="305">
        <f t="shared" ca="1" si="325"/>
        <v>0.38819898846248507</v>
      </c>
      <c r="FG116" s="299">
        <f t="shared" ca="1" si="326"/>
        <v>30.938360452238626</v>
      </c>
      <c r="FH116" s="302">
        <f t="shared" ca="1" si="327"/>
        <v>-30.606610809916621</v>
      </c>
      <c r="FI116" s="248">
        <f t="shared" ca="1" si="328"/>
        <v>-12316.706358015275</v>
      </c>
      <c r="FJ116" s="363">
        <f t="shared" ca="1" si="329"/>
        <v>0.54088683486088429</v>
      </c>
      <c r="FK116" s="378">
        <f t="shared" ca="1" si="330"/>
        <v>2.119690194808598</v>
      </c>
      <c r="FL116" s="508">
        <f t="shared" ca="1" si="331"/>
        <v>0.73420886395293494</v>
      </c>
      <c r="FM116" s="508">
        <f t="shared" ca="1" si="332"/>
        <v>3.2694880043923874E-2</v>
      </c>
      <c r="FN116" s="508">
        <f t="shared" ca="1" si="333"/>
        <v>-0.90283365492843781</v>
      </c>
      <c r="FO116" s="508">
        <f t="shared" ca="1" si="334"/>
        <v>1.4139975686583013</v>
      </c>
      <c r="FP116" s="353">
        <f t="shared" ca="1" si="335"/>
        <v>31.662936487108212</v>
      </c>
      <c r="FQ116" s="356">
        <f t="shared" ca="1" si="336"/>
        <v>5.5349749236651267</v>
      </c>
      <c r="FR116" s="380">
        <f t="shared" ca="1" si="337"/>
        <v>23.54</v>
      </c>
      <c r="FS116" s="299">
        <f t="shared" ca="1" si="338"/>
        <v>23.54</v>
      </c>
      <c r="FT116" s="299">
        <f t="shared" ca="1" si="339"/>
        <v>23.54</v>
      </c>
      <c r="FU116" s="299">
        <f t="shared" ca="1" si="340"/>
        <v>23.54</v>
      </c>
      <c r="FV116" s="299">
        <f t="shared" ca="1" si="341"/>
        <v>23.540000000000003</v>
      </c>
      <c r="FW116" s="850">
        <f t="shared" ca="1" si="342"/>
        <v>0.16500000000000001</v>
      </c>
      <c r="FX116" s="851">
        <f t="shared" ca="1" si="343"/>
        <v>0.5</v>
      </c>
      <c r="FY116" s="851">
        <f t="shared" ca="1" si="344"/>
        <v>0</v>
      </c>
      <c r="FZ116" s="201">
        <f t="shared" ca="1" si="345"/>
        <v>0</v>
      </c>
      <c r="GA116" s="201">
        <f t="shared" ca="1" si="346"/>
        <v>0</v>
      </c>
      <c r="GB116" s="201">
        <f t="shared" ca="1" si="347"/>
        <v>0</v>
      </c>
      <c r="GC116" s="201">
        <f t="shared" ca="1" si="348"/>
        <v>0</v>
      </c>
      <c r="GD116" s="850">
        <f t="shared" ca="1" si="349"/>
        <v>0.43947559621438459</v>
      </c>
      <c r="GE116" s="866">
        <f t="shared" ca="1" si="350"/>
        <v>0.43947559621438459</v>
      </c>
      <c r="GF116" s="866">
        <f t="shared" ca="1" si="351"/>
        <v>0.43947559621438459</v>
      </c>
      <c r="GG116" s="866">
        <f t="shared" ca="1" si="352"/>
        <v>0.16563734406472139</v>
      </c>
      <c r="GH116" s="866">
        <f t="shared" ca="1" si="353"/>
        <v>0.40319898846248509</v>
      </c>
      <c r="GI116" s="302">
        <f t="shared" ca="1" si="354"/>
        <v>57.061717658340406</v>
      </c>
      <c r="GJ116" s="299">
        <f t="shared" ca="1" si="355"/>
        <v>26.364825737112771</v>
      </c>
      <c r="GK116" s="299">
        <f t="shared" ca="1" si="356"/>
        <v>17.158971806587413</v>
      </c>
      <c r="GL116" s="299">
        <f t="shared" ca="1" si="357"/>
        <v>6.374211754187133</v>
      </c>
      <c r="GM116" s="299">
        <f t="shared" ca="1" si="358"/>
        <v>33.314548905251058</v>
      </c>
      <c r="GN116" s="302">
        <f t="shared" ca="1" si="359"/>
        <v>0.94829694450093693</v>
      </c>
      <c r="GO116" s="299">
        <f t="shared" ca="1" si="360"/>
        <v>0.86837335796784931</v>
      </c>
      <c r="GP116" s="299">
        <f t="shared" ca="1" si="361"/>
        <v>0.80526920758096421</v>
      </c>
      <c r="GQ116" s="299">
        <f t="shared" ca="1" si="362"/>
        <v>0.68820061070389948</v>
      </c>
      <c r="GR116" s="299">
        <f t="shared" ca="1" si="363"/>
        <v>0.90403275981710374</v>
      </c>
      <c r="GS116" s="302">
        <f t="shared" ca="1" si="364"/>
        <v>-0.69801651559498323</v>
      </c>
      <c r="GT116" s="299">
        <f t="shared" ca="1" si="365"/>
        <v>-0.50354212546484833</v>
      </c>
      <c r="GU116" s="299">
        <f t="shared" ca="1" si="366"/>
        <v>-0.40157895965340756</v>
      </c>
      <c r="GV116" s="299">
        <f t="shared" ca="1" si="367"/>
        <v>-0.50541683485598443</v>
      </c>
      <c r="GW116" s="299">
        <f t="shared" ca="1" si="368"/>
        <v>-0.61465938288480826</v>
      </c>
      <c r="GX116" s="303">
        <f t="shared" ca="1" si="369"/>
        <v>10864.104013292701</v>
      </c>
      <c r="GY116" s="303">
        <f t="shared" ca="1" si="370"/>
        <v>912.66477725476523</v>
      </c>
      <c r="GZ116" s="303">
        <f t="shared" ca="1" si="371"/>
        <v>742.48495599457726</v>
      </c>
      <c r="HA116" s="303">
        <f t="shared" ca="1" si="372"/>
        <v>855.03635067292021</v>
      </c>
      <c r="HB116" s="303">
        <f t="shared" ca="1" si="373"/>
        <v>13406.43427866146</v>
      </c>
      <c r="HC116" s="303">
        <f t="shared" ca="1" si="374"/>
        <v>10273.561435305213</v>
      </c>
      <c r="HD116" s="303">
        <f t="shared" ca="1" si="375"/>
        <v>708.648296741781</v>
      </c>
      <c r="HE116" s="303">
        <f t="shared" ca="1" si="376"/>
        <v>411.398519467467</v>
      </c>
      <c r="HF116" s="303">
        <f t="shared" ca="1" si="377"/>
        <v>403.76095053422546</v>
      </c>
      <c r="HG116" s="852">
        <f t="shared" ca="1" si="378"/>
        <v>11797.369202048685</v>
      </c>
    </row>
    <row r="117" spans="1:215" x14ac:dyDescent="0.25">
      <c r="A117" s="244">
        <f t="shared" ca="1" si="379"/>
        <v>39661</v>
      </c>
      <c r="B117" s="13">
        <f t="shared" ca="1" si="409"/>
        <v>2008</v>
      </c>
      <c r="C117" s="619">
        <f t="shared" ca="1" si="410"/>
        <v>8</v>
      </c>
      <c r="D117" s="195" t="str">
        <f t="shared" ca="1" si="209"/>
        <v/>
      </c>
      <c r="E117" s="469">
        <f t="shared" ca="1" si="210"/>
        <v>39661</v>
      </c>
      <c r="F117" s="465">
        <f t="shared" ca="1" si="211"/>
        <v>39691</v>
      </c>
      <c r="G117" s="522">
        <f t="shared" ca="1" si="380"/>
        <v>1</v>
      </c>
      <c r="H117" s="519">
        <f t="shared" ca="1" si="381"/>
        <v>1</v>
      </c>
      <c r="I117" s="724">
        <f t="shared" ca="1" si="411"/>
        <v>7.3919171521186003E-2</v>
      </c>
      <c r="J117" s="198">
        <f t="shared" ca="1" si="213"/>
        <v>0.53749778610818577</v>
      </c>
      <c r="K117" s="200">
        <f t="shared" ca="1" si="389"/>
        <v>63</v>
      </c>
      <c r="L117" s="201">
        <f t="shared" ca="1" si="390"/>
        <v>68</v>
      </c>
      <c r="M117" s="206">
        <f t="shared" ca="1" si="391"/>
        <v>73</v>
      </c>
      <c r="N117" s="851">
        <f t="shared" ca="1" si="395"/>
        <v>38.77249908447267</v>
      </c>
      <c r="O117" s="201">
        <f t="shared" ca="1" si="396"/>
        <v>42.52249908447267</v>
      </c>
      <c r="P117" s="206">
        <f t="shared" ca="1" si="397"/>
        <v>46.27249908447267</v>
      </c>
      <c r="Q117" s="201">
        <f t="shared" ca="1" si="398"/>
        <v>27.945000839233394</v>
      </c>
      <c r="R117" s="201">
        <f t="shared" ca="1" si="399"/>
        <v>31.245000839233395</v>
      </c>
      <c r="S117" s="201">
        <f t="shared" ca="1" si="400"/>
        <v>34.545000839233396</v>
      </c>
      <c r="T117" s="851">
        <f t="shared" ca="1" si="392"/>
        <v>21.899998092651366</v>
      </c>
      <c r="U117" s="201">
        <f t="shared" ca="1" si="393"/>
        <v>24.399998092651366</v>
      </c>
      <c r="V117" s="206">
        <f t="shared" ca="1" si="394"/>
        <v>26.899998092651366</v>
      </c>
      <c r="W117" s="230">
        <f t="shared" ca="1" si="382"/>
        <v>0.13937066586791008</v>
      </c>
      <c r="X117" s="231">
        <f t="shared" ca="1" si="383"/>
        <v>0.27874133173582016</v>
      </c>
      <c r="Y117" s="232">
        <f t="shared" ca="1" si="384"/>
        <v>0.41811199760373025</v>
      </c>
      <c r="Z117" s="231">
        <f t="shared" ca="1" si="404"/>
        <v>0.13937066586791008</v>
      </c>
      <c r="AA117" s="231">
        <f t="shared" ca="1" si="405"/>
        <v>0.27874133173582016</v>
      </c>
      <c r="AB117" s="232">
        <f t="shared" ca="1" si="406"/>
        <v>0.41811199760373025</v>
      </c>
      <c r="AC117" s="231">
        <f t="shared" ca="1" si="407"/>
        <v>0.13937066586791008</v>
      </c>
      <c r="AD117" s="231">
        <f t="shared" ca="1" si="408"/>
        <v>0.27874133173582016</v>
      </c>
      <c r="AE117" s="232">
        <f t="shared" ca="1" si="214"/>
        <v>0.41811199760373025</v>
      </c>
      <c r="AF117" s="231">
        <f t="shared" ca="1" si="385"/>
        <v>5.1045781354907123E-2</v>
      </c>
      <c r="AG117" s="231">
        <f t="shared" ca="1" si="386"/>
        <v>0.10209156270981425</v>
      </c>
      <c r="AH117" s="232">
        <f t="shared" ca="1" si="387"/>
        <v>0.15313734406472138</v>
      </c>
      <c r="AI117" s="233">
        <f t="shared" ca="1" si="215"/>
        <v>2.65</v>
      </c>
      <c r="AJ117" s="233">
        <f t="shared" ca="1" si="216"/>
        <v>3</v>
      </c>
      <c r="AK117" s="234">
        <f t="shared" ca="1" si="217"/>
        <v>3.5</v>
      </c>
      <c r="AL117" s="919">
        <f t="shared" ca="1" si="218"/>
        <v>2.65</v>
      </c>
      <c r="AM117" s="233">
        <f t="shared" ca="1" si="219"/>
        <v>3</v>
      </c>
      <c r="AN117" s="234">
        <f t="shared" ca="1" si="220"/>
        <v>3.5</v>
      </c>
      <c r="AO117" s="233">
        <f t="shared" ca="1" si="221"/>
        <v>2.65</v>
      </c>
      <c r="AP117" s="233">
        <f t="shared" ca="1" si="222"/>
        <v>3</v>
      </c>
      <c r="AQ117" s="233">
        <f t="shared" ca="1" si="223"/>
        <v>3.5</v>
      </c>
      <c r="AR117" s="919">
        <f t="shared" ca="1" si="224"/>
        <v>0.6</v>
      </c>
      <c r="AS117" s="233">
        <f t="shared" ca="1" si="225"/>
        <v>0.75</v>
      </c>
      <c r="AT117" s="235">
        <f t="shared" ca="1" si="226"/>
        <v>0.95</v>
      </c>
      <c r="AU117" s="946">
        <f t="shared" si="227"/>
        <v>0.5</v>
      </c>
      <c r="AV117" s="13">
        <f t="shared" ca="1" si="228"/>
        <v>21</v>
      </c>
      <c r="AW117" s="210">
        <f t="shared" ca="1" si="229"/>
        <v>5</v>
      </c>
      <c r="AX117" s="210">
        <f t="shared" ca="1" si="230"/>
        <v>5</v>
      </c>
      <c r="AY117" s="210">
        <f t="shared" ca="1" si="231"/>
        <v>0</v>
      </c>
      <c r="AZ117" s="13">
        <f t="shared" ca="1" si="232"/>
        <v>31</v>
      </c>
      <c r="BA117" s="357">
        <f ca="1"/>
        <v>336</v>
      </c>
      <c r="BB117" s="925">
        <f ca="1"/>
        <v>80</v>
      </c>
      <c r="BC117" s="925">
        <f ca="1"/>
        <v>80</v>
      </c>
      <c r="BD117" s="928">
        <f ca="1"/>
        <v>248</v>
      </c>
      <c r="BE117" s="200">
        <f ca="1"/>
        <v>1</v>
      </c>
      <c r="BF117" s="851">
        <f ca="1"/>
        <v>1</v>
      </c>
      <c r="BG117" s="851">
        <f ca="1"/>
        <v>1</v>
      </c>
      <c r="BH117" s="933">
        <f ca="1"/>
        <v>1.0000000074505806</v>
      </c>
      <c r="BI117" s="357">
        <f ca="1"/>
        <v>336</v>
      </c>
      <c r="BJ117" s="925">
        <f ca="1"/>
        <v>80</v>
      </c>
      <c r="BK117" s="925">
        <f ca="1"/>
        <v>80</v>
      </c>
      <c r="BL117" s="928">
        <f ca="1"/>
        <v>248</v>
      </c>
      <c r="BM117" s="200">
        <f ca="1"/>
        <v>1</v>
      </c>
      <c r="BN117" s="851">
        <f ca="1"/>
        <v>1</v>
      </c>
      <c r="BO117" s="851">
        <f ca="1"/>
        <v>1</v>
      </c>
      <c r="BP117" s="933">
        <f ca="1"/>
        <v>1.0000000074505806</v>
      </c>
      <c r="BQ117" s="357">
        <f t="shared" ca="1" si="233"/>
        <v>744</v>
      </c>
      <c r="BR117" s="361">
        <f t="shared" ca="1" si="234"/>
        <v>744</v>
      </c>
      <c r="BS117" s="357">
        <f t="shared" ca="1" si="235"/>
        <v>399.89835286449022</v>
      </c>
      <c r="BT117" s="302">
        <f t="shared" ca="1" si="236"/>
        <v>42.925537044811314</v>
      </c>
      <c r="BU117" s="299">
        <f t="shared" ca="1" si="237"/>
        <v>46.774999416611529</v>
      </c>
      <c r="BV117" s="299">
        <f t="shared" ca="1" si="238"/>
        <v>50.624461788411743</v>
      </c>
      <c r="BW117" s="299">
        <f t="shared" ca="1" si="239"/>
        <v>32.659889647739881</v>
      </c>
      <c r="BX117" s="380">
        <f t="shared" ca="1" si="240"/>
        <v>8.4161533196440796</v>
      </c>
      <c r="BY117" s="363">
        <f t="shared" ca="1" si="241"/>
        <v>180.59925613235043</v>
      </c>
      <c r="BZ117" s="353">
        <f t="shared" ca="1" si="242"/>
        <v>42.999822888654862</v>
      </c>
      <c r="CA117" s="353">
        <f t="shared" ca="1" si="243"/>
        <v>42.999822888654862</v>
      </c>
      <c r="CB117" s="353">
        <f t="shared" ca="1" si="244"/>
        <v>266.59890190966019</v>
      </c>
      <c r="CC117" s="353">
        <f t="shared" ca="1" si="245"/>
        <v>133.29945095483006</v>
      </c>
      <c r="CD117" s="353">
        <f t="shared" ca="1" si="246"/>
        <v>399.89835286449022</v>
      </c>
      <c r="CE117" s="302">
        <f t="shared" ca="1" si="247"/>
        <v>73</v>
      </c>
      <c r="CF117" s="299">
        <f t="shared" ca="1" si="248"/>
        <v>46.27249908447267</v>
      </c>
      <c r="CG117" s="299">
        <f t="shared" ca="1" si="249"/>
        <v>34.545000839233396</v>
      </c>
      <c r="CH117" s="299">
        <f t="shared" ca="1" si="250"/>
        <v>62.486693536081624</v>
      </c>
      <c r="CI117" s="299">
        <f t="shared" ca="1" si="251"/>
        <v>26.89999829307197</v>
      </c>
      <c r="CJ117" s="299">
        <f t="shared" ca="1" si="252"/>
        <v>50.624461788411743</v>
      </c>
      <c r="CK117" s="299">
        <f t="shared" ca="1" si="253"/>
        <v>32.659889647739881</v>
      </c>
      <c r="CL117" s="377">
        <f t="shared" ca="1" si="254"/>
        <v>0.41811199760373025</v>
      </c>
      <c r="CM117" s="305">
        <f t="shared" ca="1" si="255"/>
        <v>0.41811199760373025</v>
      </c>
      <c r="CN117" s="305">
        <f t="shared" ca="1" si="256"/>
        <v>0.41811199760373025</v>
      </c>
      <c r="CO117" s="305">
        <f t="shared" ca="1" si="257"/>
        <v>0.41811199760373025</v>
      </c>
      <c r="CP117" s="305">
        <f t="shared" ca="1" si="258"/>
        <v>0.15313734406472138</v>
      </c>
      <c r="CQ117" s="305">
        <f t="shared" ca="1" si="259"/>
        <v>0.37987833024125639</v>
      </c>
      <c r="CR117" s="775">
        <f t="shared" ca="1" si="260"/>
        <v>0.43311199760373026</v>
      </c>
      <c r="CS117" s="305">
        <f t="shared" ca="1" si="261"/>
        <v>0.43311199760373026</v>
      </c>
      <c r="CT117" s="305">
        <f t="shared" ca="1" si="262"/>
        <v>0.42061199760373025</v>
      </c>
      <c r="CU117" s="305">
        <f t="shared" ca="1" si="263"/>
        <v>0.17063734406472136</v>
      </c>
      <c r="CV117" s="770">
        <f t="shared" ca="1" si="264"/>
        <v>0.3948783302412564</v>
      </c>
      <c r="CW117" s="302">
        <f t="shared" ca="1" si="265"/>
        <v>49.044884519210456</v>
      </c>
      <c r="CX117" s="299">
        <f t="shared" ca="1" si="266"/>
        <v>25.974115925539593</v>
      </c>
      <c r="CY117" s="299">
        <f t="shared" ca="1" si="267"/>
        <v>16.353934795238292</v>
      </c>
      <c r="CZ117" s="299">
        <f t="shared" ca="1" si="268"/>
        <v>3.3726236756058547</v>
      </c>
      <c r="DA117" s="774">
        <f t="shared" ca="1" si="269"/>
        <v>28.167065270893293</v>
      </c>
      <c r="DB117" s="303">
        <f t="shared" ca="1" si="270"/>
        <v>11263.963006856813</v>
      </c>
      <c r="DC117" s="248">
        <f t="shared" ca="1" si="271"/>
        <v>332.03823675906125</v>
      </c>
      <c r="DD117" s="778">
        <f t="shared" ca="1" si="272"/>
        <v>7184.0028089699872</v>
      </c>
      <c r="DE117" s="363">
        <f t="shared" ca="1" si="273"/>
        <v>0.53749778610818577</v>
      </c>
      <c r="DF117" s="378">
        <f t="shared" ca="1" si="274"/>
        <v>1.1886702336784318E-2</v>
      </c>
      <c r="DG117" s="508">
        <f t="shared" ca="1" si="275"/>
        <v>-0.35096038079739711</v>
      </c>
      <c r="DH117" s="508">
        <f t="shared" ca="1" si="276"/>
        <v>-0.56412278713544406</v>
      </c>
      <c r="DI117" s="508">
        <f t="shared" ca="1" si="277"/>
        <v>-0.63945404839332853</v>
      </c>
      <c r="DJ117" s="508">
        <f t="shared" ca="1" si="278"/>
        <v>-0.1901885692562387</v>
      </c>
      <c r="DK117" s="353">
        <f t="shared" ca="1" si="279"/>
        <v>-169.78912211433706</v>
      </c>
      <c r="DL117" s="781">
        <f t="shared" ca="1" si="280"/>
        <v>4.1876506848724304</v>
      </c>
      <c r="DM117" s="303">
        <f t="shared" ca="1" si="281"/>
        <v>17872.701324274487</v>
      </c>
      <c r="DN117" s="508">
        <f t="shared" ca="1" si="282"/>
        <v>1.72766050146349</v>
      </c>
      <c r="DO117" s="508">
        <f t="shared" ca="1" si="283"/>
        <v>1.5704913595483663</v>
      </c>
      <c r="DP117" s="508">
        <f t="shared" ca="1" si="284"/>
        <v>1.4697302154566705</v>
      </c>
      <c r="DQ117" s="508">
        <f t="shared" ca="1" si="285"/>
        <v>1.3834991216896357</v>
      </c>
      <c r="DR117" s="508">
        <f t="shared" ca="1" si="286"/>
        <v>1.6014786706913178</v>
      </c>
      <c r="DS117" s="353">
        <f t="shared" ca="1" si="287"/>
        <v>6499.0848296175309</v>
      </c>
      <c r="DT117" s="353">
        <f t="shared" ca="1" si="288"/>
        <v>-13524.572386211832</v>
      </c>
      <c r="DU117" s="380">
        <f t="shared" ca="1" si="388"/>
        <v>8.4161533196440796</v>
      </c>
      <c r="DV117" s="303">
        <f t="shared" ca="1" si="289"/>
        <v>180.59925613235043</v>
      </c>
      <c r="DW117" s="303">
        <f t="shared" ca="1" si="290"/>
        <v>42.999822888654862</v>
      </c>
      <c r="DX117" s="303">
        <f t="shared" ca="1" si="291"/>
        <v>42.999822888654862</v>
      </c>
      <c r="DY117" s="303">
        <f t="shared" ca="1" si="292"/>
        <v>266.59890190966019</v>
      </c>
      <c r="DZ117" s="303">
        <f t="shared" ca="1" si="293"/>
        <v>133.29945095483006</v>
      </c>
      <c r="EA117" s="303">
        <f t="shared" ca="1" si="294"/>
        <v>399.89835286449022</v>
      </c>
      <c r="EB117" s="302">
        <f t="shared" ca="1" si="295"/>
        <v>73</v>
      </c>
      <c r="EC117" s="299">
        <f t="shared" ca="1" si="296"/>
        <v>46.27249908447267</v>
      </c>
      <c r="ED117" s="299">
        <f t="shared" ca="1" si="297"/>
        <v>34.545000839233396</v>
      </c>
      <c r="EE117" s="299">
        <f t="shared" ca="1" si="298"/>
        <v>62.486693536081624</v>
      </c>
      <c r="EF117" s="299">
        <f t="shared" ca="1" si="299"/>
        <v>26.89999829307197</v>
      </c>
      <c r="EG117" s="299">
        <f t="shared" ca="1" si="300"/>
        <v>50.624461788411743</v>
      </c>
      <c r="EH117" s="302">
        <f t="shared" ca="1" si="301"/>
        <v>30</v>
      </c>
      <c r="EI117" s="304">
        <f t="shared" ca="1" si="302"/>
        <v>0.13937066586791008</v>
      </c>
      <c r="EJ117" s="305">
        <f t="shared" ca="1" si="303"/>
        <v>0.13937066586791008</v>
      </c>
      <c r="EK117" s="305">
        <f t="shared" ca="1" si="304"/>
        <v>0.13937066586791008</v>
      </c>
      <c r="EL117" s="305">
        <f t="shared" ca="1" si="305"/>
        <v>0.13937066586791008</v>
      </c>
      <c r="EM117" s="305">
        <f t="shared" ca="1" si="306"/>
        <v>5.1045781354907123E-2</v>
      </c>
      <c r="EN117" s="305">
        <f t="shared" ca="1" si="307"/>
        <v>0.12042399092600342</v>
      </c>
      <c r="EO117" s="305">
        <f t="shared" ca="1" si="308"/>
        <v>0.13937066586791008</v>
      </c>
      <c r="EP117" s="305">
        <f t="shared" ca="1" si="309"/>
        <v>0.13937066586791008</v>
      </c>
      <c r="EQ117" s="305">
        <f t="shared" ca="1" si="310"/>
        <v>0.13937066586791008</v>
      </c>
      <c r="ER117" s="305">
        <f t="shared" ca="1" si="311"/>
        <v>5.1045781354907123E-2</v>
      </c>
      <c r="ES117" s="305">
        <f t="shared" ca="1" si="312"/>
        <v>0.12042399092600342</v>
      </c>
      <c r="ET117" s="299">
        <f t="shared" ca="1" si="313"/>
        <v>0.39669488355366767</v>
      </c>
      <c r="EU117" s="302">
        <f t="shared" ca="1" si="314"/>
        <v>30</v>
      </c>
      <c r="EV117" s="304">
        <f t="shared" ca="1" si="315"/>
        <v>0.41811199760373025</v>
      </c>
      <c r="EW117" s="305">
        <f t="shared" ca="1" si="316"/>
        <v>0.41811199760373025</v>
      </c>
      <c r="EX117" s="305">
        <f t="shared" ca="1" si="317"/>
        <v>0.41811199760373025</v>
      </c>
      <c r="EY117" s="305">
        <f t="shared" ca="1" si="318"/>
        <v>0.41811199760373025</v>
      </c>
      <c r="EZ117" s="305">
        <f t="shared" ca="1" si="319"/>
        <v>0.15313734406472138</v>
      </c>
      <c r="FA117" s="305">
        <f t="shared" ca="1" si="320"/>
        <v>0.37987833024125639</v>
      </c>
      <c r="FB117" s="305">
        <f t="shared" ca="1" si="321"/>
        <v>0.41811199760373025</v>
      </c>
      <c r="FC117" s="305">
        <f t="shared" ca="1" si="322"/>
        <v>0.41811199760373025</v>
      </c>
      <c r="FD117" s="305">
        <f t="shared" ca="1" si="323"/>
        <v>0.41811199760373025</v>
      </c>
      <c r="FE117" s="305">
        <f t="shared" ca="1" si="324"/>
        <v>0.15313734406472138</v>
      </c>
      <c r="FF117" s="305">
        <f t="shared" ca="1" si="325"/>
        <v>0.37987833024125639</v>
      </c>
      <c r="FG117" s="299">
        <f t="shared" ca="1" si="326"/>
        <v>28.816288939851717</v>
      </c>
      <c r="FH117" s="302">
        <f t="shared" ca="1" si="327"/>
        <v>-28.419594056298049</v>
      </c>
      <c r="FI117" s="248">
        <f t="shared" ca="1" si="328"/>
        <v>-11364.948852191046</v>
      </c>
      <c r="FJ117" s="363">
        <f t="shared" ca="1" si="329"/>
        <v>0.53749778610818577</v>
      </c>
      <c r="FK117" s="378">
        <f t="shared" ca="1" si="330"/>
        <v>1.997225189690758</v>
      </c>
      <c r="FL117" s="508">
        <f t="shared" ca="1" si="331"/>
        <v>0.86963191873748735</v>
      </c>
      <c r="FM117" s="508">
        <f t="shared" ca="1" si="332"/>
        <v>0.14673182100261173</v>
      </c>
      <c r="FN117" s="508">
        <f t="shared" ca="1" si="333"/>
        <v>-0.81057822096352927</v>
      </c>
      <c r="FO117" s="508">
        <f t="shared" ca="1" si="334"/>
        <v>1.3230358540352456</v>
      </c>
      <c r="FP117" s="353">
        <f t="shared" ca="1" si="335"/>
        <v>37.155272035173773</v>
      </c>
      <c r="FQ117" s="356">
        <f t="shared" ca="1" si="336"/>
        <v>6.3440859847328799</v>
      </c>
      <c r="FR117" s="380">
        <f t="shared" ca="1" si="337"/>
        <v>23.596</v>
      </c>
      <c r="FS117" s="299">
        <f t="shared" ca="1" si="338"/>
        <v>23.596</v>
      </c>
      <c r="FT117" s="299">
        <f t="shared" ca="1" si="339"/>
        <v>23.596</v>
      </c>
      <c r="FU117" s="299">
        <f t="shared" ca="1" si="340"/>
        <v>23.596</v>
      </c>
      <c r="FV117" s="299">
        <f t="shared" ca="1" si="341"/>
        <v>23.596000000000004</v>
      </c>
      <c r="FW117" s="850">
        <f t="shared" ca="1" si="342"/>
        <v>0.16500000000000001</v>
      </c>
      <c r="FX117" s="851">
        <f t="shared" ca="1" si="343"/>
        <v>0.5</v>
      </c>
      <c r="FY117" s="851">
        <f t="shared" ca="1" si="344"/>
        <v>0</v>
      </c>
      <c r="FZ117" s="201">
        <f t="shared" ca="1" si="345"/>
        <v>0</v>
      </c>
      <c r="GA117" s="201">
        <f t="shared" ca="1" si="346"/>
        <v>0</v>
      </c>
      <c r="GB117" s="201">
        <f t="shared" ca="1" si="347"/>
        <v>0</v>
      </c>
      <c r="GC117" s="201">
        <f t="shared" ca="1" si="348"/>
        <v>0</v>
      </c>
      <c r="GD117" s="850">
        <f t="shared" ca="1" si="349"/>
        <v>0.43311199760373026</v>
      </c>
      <c r="GE117" s="866">
        <f t="shared" ca="1" si="350"/>
        <v>0.43311199760373026</v>
      </c>
      <c r="GF117" s="866">
        <f t="shared" ca="1" si="351"/>
        <v>0.43311199760373026</v>
      </c>
      <c r="GG117" s="866">
        <f t="shared" ca="1" si="352"/>
        <v>0.16563734406472139</v>
      </c>
      <c r="GH117" s="866">
        <f t="shared" ca="1" si="353"/>
        <v>0.3948783302412564</v>
      </c>
      <c r="GI117" s="302">
        <f t="shared" ca="1" si="354"/>
        <v>52.672755383528276</v>
      </c>
      <c r="GJ117" s="299">
        <f t="shared" ca="1" si="355"/>
        <v>28.202175016680584</v>
      </c>
      <c r="GK117" s="299">
        <f t="shared" ca="1" si="356"/>
        <v>18.243963017402191</v>
      </c>
      <c r="GL117" s="299">
        <f t="shared" ca="1" si="357"/>
        <v>6.610724518802785</v>
      </c>
      <c r="GM117" s="299">
        <f t="shared" ca="1" si="358"/>
        <v>31.118324607862949</v>
      </c>
      <c r="GN117" s="302">
        <f t="shared" ca="1" si="359"/>
        <v>0.94265018846291826</v>
      </c>
      <c r="GO117" s="299">
        <f t="shared" ca="1" si="360"/>
        <v>0.87745116129081535</v>
      </c>
      <c r="GP117" s="299">
        <f t="shared" ca="1" si="361"/>
        <v>0.81493597470797163</v>
      </c>
      <c r="GQ117" s="299">
        <f t="shared" ca="1" si="362"/>
        <v>0.69604065048218489</v>
      </c>
      <c r="GR117" s="299">
        <f t="shared" ca="1" si="363"/>
        <v>0.89693477821647272</v>
      </c>
      <c r="GS117" s="302">
        <f t="shared" ca="1" si="364"/>
        <v>-0.68404474064108456</v>
      </c>
      <c r="GT117" s="299">
        <f t="shared" ca="1" si="365"/>
        <v>-0.52549978683984655</v>
      </c>
      <c r="GU117" s="299">
        <f t="shared" ca="1" si="366"/>
        <v>-0.41990200573251035</v>
      </c>
      <c r="GV117" s="299">
        <f t="shared" ca="1" si="367"/>
        <v>-0.5133398425044513</v>
      </c>
      <c r="GW117" s="299">
        <f t="shared" ca="1" si="368"/>
        <v>-0.60554851245670482</v>
      </c>
      <c r="GX117" s="303">
        <f t="shared" ca="1" si="369"/>
        <v>9512.6604407064642</v>
      </c>
      <c r="GY117" s="303">
        <f t="shared" ca="1" si="370"/>
        <v>1212.688530792112</v>
      </c>
      <c r="GZ117" s="303">
        <f t="shared" ca="1" si="371"/>
        <v>784.4871785354635</v>
      </c>
      <c r="HA117" s="303">
        <f t="shared" ca="1" si="372"/>
        <v>881.20594877004442</v>
      </c>
      <c r="HB117" s="303">
        <f t="shared" ca="1" si="373"/>
        <v>12444.166754586926</v>
      </c>
      <c r="HC117" s="303">
        <f t="shared" ca="1" si="374"/>
        <v>8922.3256499626405</v>
      </c>
      <c r="HD117" s="303">
        <f t="shared" ca="1" si="375"/>
        <v>975.08544436706893</v>
      </c>
      <c r="HE117" s="303">
        <f t="shared" ca="1" si="376"/>
        <v>470.80509689476946</v>
      </c>
      <c r="HF117" s="303">
        <f t="shared" ca="1" si="377"/>
        <v>440.42115842218936</v>
      </c>
      <c r="HG117" s="852">
        <f t="shared" ca="1" si="378"/>
        <v>10808.637349646668</v>
      </c>
    </row>
    <row r="118" spans="1:215" x14ac:dyDescent="0.25">
      <c r="A118" s="244">
        <f t="shared" ca="1" si="379"/>
        <v>39692</v>
      </c>
      <c r="B118" s="13">
        <f t="shared" ca="1" si="409"/>
        <v>2008</v>
      </c>
      <c r="C118" s="619">
        <f t="shared" ca="1" si="410"/>
        <v>9</v>
      </c>
      <c r="D118" s="195">
        <f t="shared" ca="1" si="209"/>
        <v>39692</v>
      </c>
      <c r="E118" s="469">
        <f t="shared" ca="1" si="210"/>
        <v>39692</v>
      </c>
      <c r="F118" s="465">
        <f t="shared" ca="1" si="211"/>
        <v>39721</v>
      </c>
      <c r="G118" s="522">
        <f t="shared" ca="1" si="380"/>
        <v>1</v>
      </c>
      <c r="H118" s="519">
        <f t="shared" ca="1" si="381"/>
        <v>1</v>
      </c>
      <c r="I118" s="724">
        <f t="shared" ca="1" si="411"/>
        <v>7.3934456977708993E-2</v>
      </c>
      <c r="J118" s="198">
        <f t="shared" ca="1" si="213"/>
        <v>0.53423481538699313</v>
      </c>
      <c r="K118" s="200">
        <f t="shared" ca="1" si="389"/>
        <v>31.65</v>
      </c>
      <c r="L118" s="201">
        <f t="shared" ca="1" si="390"/>
        <v>33.049999999999997</v>
      </c>
      <c r="M118" s="206">
        <f t="shared" ca="1" si="391"/>
        <v>34.450000000000003</v>
      </c>
      <c r="N118" s="851">
        <f t="shared" ca="1" si="395"/>
        <v>22.854999160766596</v>
      </c>
      <c r="O118" s="201">
        <f t="shared" ca="1" si="396"/>
        <v>23.904999160766597</v>
      </c>
      <c r="P118" s="206">
        <f t="shared" ca="1" si="397"/>
        <v>24.954999160766597</v>
      </c>
      <c r="Q118" s="201">
        <f t="shared" ca="1" si="398"/>
        <v>21.1</v>
      </c>
      <c r="R118" s="201">
        <f t="shared" ca="1" si="399"/>
        <v>24.4</v>
      </c>
      <c r="S118" s="201">
        <f t="shared" ca="1" si="400"/>
        <v>27.7</v>
      </c>
      <c r="T118" s="851">
        <f t="shared" ca="1" si="392"/>
        <v>19.249998092651367</v>
      </c>
      <c r="U118" s="201">
        <f t="shared" ca="1" si="393"/>
        <v>19.949998092651366</v>
      </c>
      <c r="V118" s="206">
        <f t="shared" ca="1" si="394"/>
        <v>20.649998092651366</v>
      </c>
      <c r="W118" s="230">
        <f t="shared" ca="1" si="382"/>
        <v>9.2232898381581982E-2</v>
      </c>
      <c r="X118" s="231">
        <f t="shared" ca="1" si="383"/>
        <v>0.18446579676316396</v>
      </c>
      <c r="Y118" s="232">
        <f t="shared" ca="1" si="384"/>
        <v>0.27669869514474593</v>
      </c>
      <c r="Z118" s="231">
        <f t="shared" ca="1" si="404"/>
        <v>9.2232898381581982E-2</v>
      </c>
      <c r="AA118" s="231">
        <f t="shared" ca="1" si="405"/>
        <v>0.18446579676316396</v>
      </c>
      <c r="AB118" s="232">
        <f t="shared" ca="1" si="406"/>
        <v>0.27669869514474593</v>
      </c>
      <c r="AC118" s="231">
        <f t="shared" ca="1" si="407"/>
        <v>9.2232898381581982E-2</v>
      </c>
      <c r="AD118" s="231">
        <f t="shared" ca="1" si="408"/>
        <v>0.18446579676316396</v>
      </c>
      <c r="AE118" s="232">
        <f t="shared" ca="1" si="214"/>
        <v>0.27669869514474593</v>
      </c>
      <c r="AF118" s="231">
        <f t="shared" ca="1" si="385"/>
        <v>3.4030520903271411E-2</v>
      </c>
      <c r="AG118" s="231">
        <f t="shared" ca="1" si="386"/>
        <v>6.8061041806542821E-2</v>
      </c>
      <c r="AH118" s="232">
        <f t="shared" ca="1" si="387"/>
        <v>0.10209156270981423</v>
      </c>
      <c r="AI118" s="233">
        <f t="shared" ca="1" si="215"/>
        <v>1.1499999999999999</v>
      </c>
      <c r="AJ118" s="233">
        <f t="shared" ca="1" si="216"/>
        <v>1.5</v>
      </c>
      <c r="AK118" s="234">
        <f t="shared" ca="1" si="217"/>
        <v>1.8</v>
      </c>
      <c r="AL118" s="919">
        <f t="shared" ca="1" si="218"/>
        <v>1.1499999999999999</v>
      </c>
      <c r="AM118" s="233">
        <f t="shared" ca="1" si="219"/>
        <v>1.5</v>
      </c>
      <c r="AN118" s="234">
        <f t="shared" ca="1" si="220"/>
        <v>1.8</v>
      </c>
      <c r="AO118" s="233">
        <f t="shared" ca="1" si="221"/>
        <v>1.1499999999999999</v>
      </c>
      <c r="AP118" s="233">
        <f t="shared" ca="1" si="222"/>
        <v>1.5</v>
      </c>
      <c r="AQ118" s="233">
        <f t="shared" ca="1" si="223"/>
        <v>1.8</v>
      </c>
      <c r="AR118" s="919">
        <f t="shared" ca="1" si="224"/>
        <v>0.25</v>
      </c>
      <c r="AS118" s="233">
        <f t="shared" ca="1" si="225"/>
        <v>0.4</v>
      </c>
      <c r="AT118" s="235">
        <f t="shared" ca="1" si="226"/>
        <v>0.60000000000000009</v>
      </c>
      <c r="AU118" s="946">
        <f t="shared" si="227"/>
        <v>0.5</v>
      </c>
      <c r="AV118" s="13">
        <f t="shared" ca="1" si="228"/>
        <v>21</v>
      </c>
      <c r="AW118" s="210">
        <f t="shared" ca="1" si="229"/>
        <v>4</v>
      </c>
      <c r="AX118" s="210">
        <f t="shared" ca="1" si="230"/>
        <v>4</v>
      </c>
      <c r="AY118" s="210">
        <f t="shared" ca="1" si="231"/>
        <v>1</v>
      </c>
      <c r="AZ118" s="13">
        <f t="shared" ca="1" si="232"/>
        <v>30</v>
      </c>
      <c r="BA118" s="357">
        <f ca="1"/>
        <v>336</v>
      </c>
      <c r="BB118" s="925">
        <f ca="1"/>
        <v>64</v>
      </c>
      <c r="BC118" s="925">
        <f ca="1"/>
        <v>80</v>
      </c>
      <c r="BD118" s="928">
        <f ca="1"/>
        <v>240</v>
      </c>
      <c r="BE118" s="200">
        <f ca="1"/>
        <v>1.0000000074505806</v>
      </c>
      <c r="BF118" s="851">
        <f ca="1"/>
        <v>1.0000000074505806</v>
      </c>
      <c r="BG118" s="851">
        <f ca="1"/>
        <v>1.0000000074505806</v>
      </c>
      <c r="BH118" s="933">
        <f ca="1"/>
        <v>1.0000000149011612</v>
      </c>
      <c r="BI118" s="357">
        <f ca="1"/>
        <v>336</v>
      </c>
      <c r="BJ118" s="925">
        <f ca="1"/>
        <v>64</v>
      </c>
      <c r="BK118" s="925">
        <f ca="1"/>
        <v>80</v>
      </c>
      <c r="BL118" s="928">
        <f ca="1"/>
        <v>240</v>
      </c>
      <c r="BM118" s="200">
        <f ca="1"/>
        <v>1.0000000074505806</v>
      </c>
      <c r="BN118" s="851">
        <f ca="1"/>
        <v>1.0000000074505806</v>
      </c>
      <c r="BO118" s="851">
        <f ca="1"/>
        <v>1.0000000074505806</v>
      </c>
      <c r="BP118" s="933">
        <f ca="1"/>
        <v>1.0000000149011612</v>
      </c>
      <c r="BQ118" s="357">
        <f t="shared" ca="1" si="233"/>
        <v>720</v>
      </c>
      <c r="BR118" s="361">
        <f t="shared" ca="1" si="234"/>
        <v>720</v>
      </c>
      <c r="BS118" s="357">
        <f t="shared" ca="1" si="235"/>
        <v>384.64906707863508</v>
      </c>
      <c r="BT118" s="302">
        <f t="shared" ca="1" si="236"/>
        <v>25.562666194549852</v>
      </c>
      <c r="BU118" s="299">
        <f t="shared" ca="1" si="237"/>
        <v>26.90933287298844</v>
      </c>
      <c r="BV118" s="299">
        <f t="shared" ca="1" si="238"/>
        <v>28.255999551427021</v>
      </c>
      <c r="BW118" s="299">
        <f t="shared" ca="1" si="239"/>
        <v>32.659889647739881</v>
      </c>
      <c r="BX118" s="380">
        <f t="shared" ca="1" si="240"/>
        <v>8.5010266940451746</v>
      </c>
      <c r="BY118" s="363">
        <f t="shared" ca="1" si="241"/>
        <v>179.50289797002969</v>
      </c>
      <c r="BZ118" s="353">
        <f t="shared" ca="1" si="242"/>
        <v>34.191028184767561</v>
      </c>
      <c r="CA118" s="353">
        <f t="shared" ca="1" si="243"/>
        <v>42.738785230959451</v>
      </c>
      <c r="CB118" s="353">
        <f t="shared" ca="1" si="244"/>
        <v>256.4327113857567</v>
      </c>
      <c r="CC118" s="353">
        <f t="shared" ca="1" si="245"/>
        <v>128.21635569287835</v>
      </c>
      <c r="CD118" s="353">
        <f t="shared" ca="1" si="246"/>
        <v>384.64906707863508</v>
      </c>
      <c r="CE118" s="302">
        <f t="shared" ca="1" si="247"/>
        <v>34.450000256672503</v>
      </c>
      <c r="CF118" s="299">
        <f t="shared" ca="1" si="248"/>
        <v>24.954999346695828</v>
      </c>
      <c r="CG118" s="299">
        <f t="shared" ca="1" si="249"/>
        <v>27.70000020638108</v>
      </c>
      <c r="CH118" s="299">
        <f t="shared" ca="1" si="250"/>
        <v>32.059000126960385</v>
      </c>
      <c r="CI118" s="299">
        <f t="shared" ca="1" si="251"/>
        <v>20.649998400360317</v>
      </c>
      <c r="CJ118" s="299">
        <f t="shared" ca="1" si="252"/>
        <v>28.255999551427024</v>
      </c>
      <c r="CK118" s="299">
        <f t="shared" ca="1" si="253"/>
        <v>32.659889647739881</v>
      </c>
      <c r="CL118" s="377">
        <f t="shared" ca="1" si="254"/>
        <v>0.27669869514474593</v>
      </c>
      <c r="CM118" s="305">
        <f t="shared" ca="1" si="255"/>
        <v>0.27669869514474593</v>
      </c>
      <c r="CN118" s="305">
        <f t="shared" ca="1" si="256"/>
        <v>0.27669869514474593</v>
      </c>
      <c r="CO118" s="305">
        <f t="shared" ca="1" si="257"/>
        <v>0.27669869514474593</v>
      </c>
      <c r="CP118" s="305">
        <f t="shared" ca="1" si="258"/>
        <v>0.10209156270981423</v>
      </c>
      <c r="CQ118" s="305">
        <f t="shared" ca="1" si="259"/>
        <v>0.2315258839769371</v>
      </c>
      <c r="CR118" s="775">
        <f t="shared" ca="1" si="260"/>
        <v>0.27919869514474593</v>
      </c>
      <c r="CS118" s="305">
        <f t="shared" ca="1" si="261"/>
        <v>0.31169869514474591</v>
      </c>
      <c r="CT118" s="305">
        <f t="shared" ca="1" si="262"/>
        <v>0.29169869514474595</v>
      </c>
      <c r="CU118" s="305">
        <f t="shared" ca="1" si="263"/>
        <v>0.16209156270981423</v>
      </c>
      <c r="CV118" s="770">
        <f t="shared" ca="1" si="264"/>
        <v>0.24652588397693709</v>
      </c>
      <c r="CW118" s="302">
        <f t="shared" ca="1" si="265"/>
        <v>11.520255280668811</v>
      </c>
      <c r="CX118" s="299">
        <f t="shared" ca="1" si="266"/>
        <v>6.6502588868233063</v>
      </c>
      <c r="CY118" s="299">
        <f t="shared" ca="1" si="267"/>
        <v>7.6339991479924869</v>
      </c>
      <c r="CZ118" s="299">
        <f t="shared" ca="1" si="268"/>
        <v>1.0634880477772035</v>
      </c>
      <c r="DA118" s="774">
        <f t="shared" ca="1" si="269"/>
        <v>6.5128555728748481</v>
      </c>
      <c r="DB118" s="303">
        <f t="shared" ca="1" si="270"/>
        <v>2505.1638201241999</v>
      </c>
      <c r="DC118" s="248">
        <f t="shared" ca="1" si="271"/>
        <v>216.45170720389933</v>
      </c>
      <c r="DD118" s="778">
        <f t="shared" ca="1" si="272"/>
        <v>0</v>
      </c>
      <c r="DE118" s="363">
        <f t="shared" ca="1" si="273"/>
        <v>0.53423481538699313</v>
      </c>
      <c r="DF118" s="378">
        <f t="shared" ca="1" si="274"/>
        <v>-0.34147242522232046</v>
      </c>
      <c r="DG118" s="508">
        <f t="shared" ca="1" si="275"/>
        <v>-0.75047648820091795</v>
      </c>
      <c r="DH118" s="508">
        <f t="shared" ca="1" si="276"/>
        <v>-0.61891656062604194</v>
      </c>
      <c r="DI118" s="508">
        <f t="shared" ca="1" si="277"/>
        <v>-1.2063181230654876</v>
      </c>
      <c r="DJ118" s="508">
        <f t="shared" ca="1" si="278"/>
        <v>-0.56090156536061775</v>
      </c>
      <c r="DK118" s="353">
        <f t="shared" ca="1" si="279"/>
        <v>-110.56056011547727</v>
      </c>
      <c r="DL118" s="781">
        <f t="shared" ca="1" si="280"/>
        <v>5.585283069240111</v>
      </c>
      <c r="DM118" s="303">
        <f t="shared" ca="1" si="281"/>
        <v>9176.5113740540746</v>
      </c>
      <c r="DN118" s="508">
        <f t="shared" ca="1" si="282"/>
        <v>1.4759837254138206</v>
      </c>
      <c r="DO118" s="508">
        <f t="shared" ca="1" si="283"/>
        <v>1.3653851104867869</v>
      </c>
      <c r="DP118" s="508">
        <f t="shared" ca="1" si="284"/>
        <v>1.401181110867121</v>
      </c>
      <c r="DQ118" s="508">
        <f t="shared" ca="1" si="285"/>
        <v>1.3004329586615864</v>
      </c>
      <c r="DR118" s="508">
        <f t="shared" ca="1" si="286"/>
        <v>1.4079978967224118</v>
      </c>
      <c r="DS118" s="353">
        <f t="shared" ca="1" si="287"/>
        <v>4691.7622422369823</v>
      </c>
      <c r="DT118" s="353">
        <f t="shared" ca="1" si="288"/>
        <v>-9958.6199018731932</v>
      </c>
      <c r="DU118" s="380">
        <f t="shared" ca="1" si="388"/>
        <v>8.5010266940451746</v>
      </c>
      <c r="DV118" s="303">
        <f t="shared" ca="1" si="289"/>
        <v>179.50289797002969</v>
      </c>
      <c r="DW118" s="303">
        <f t="shared" ca="1" si="290"/>
        <v>34.191028184767561</v>
      </c>
      <c r="DX118" s="303">
        <f t="shared" ca="1" si="291"/>
        <v>42.738785230959451</v>
      </c>
      <c r="DY118" s="303">
        <f t="shared" ca="1" si="292"/>
        <v>256.4327113857567</v>
      </c>
      <c r="DZ118" s="303">
        <f t="shared" ca="1" si="293"/>
        <v>128.21635569287835</v>
      </c>
      <c r="EA118" s="303">
        <f t="shared" ca="1" si="294"/>
        <v>384.64906707863508</v>
      </c>
      <c r="EB118" s="302">
        <f t="shared" ca="1" si="295"/>
        <v>34.450000256672503</v>
      </c>
      <c r="EC118" s="299">
        <f t="shared" ca="1" si="296"/>
        <v>24.954999346695828</v>
      </c>
      <c r="ED118" s="299">
        <f t="shared" ca="1" si="297"/>
        <v>27.70000020638108</v>
      </c>
      <c r="EE118" s="299">
        <f t="shared" ca="1" si="298"/>
        <v>32.059000126960385</v>
      </c>
      <c r="EF118" s="299">
        <f t="shared" ca="1" si="299"/>
        <v>20.649998400360317</v>
      </c>
      <c r="EG118" s="299">
        <f t="shared" ca="1" si="300"/>
        <v>28.255999551427024</v>
      </c>
      <c r="EH118" s="302">
        <f t="shared" ca="1" si="301"/>
        <v>30</v>
      </c>
      <c r="EI118" s="304">
        <f t="shared" ca="1" si="302"/>
        <v>9.2232898381581982E-2</v>
      </c>
      <c r="EJ118" s="305">
        <f t="shared" ca="1" si="303"/>
        <v>9.2232898381581982E-2</v>
      </c>
      <c r="EK118" s="305">
        <f t="shared" ca="1" si="304"/>
        <v>9.2232898381581982E-2</v>
      </c>
      <c r="EL118" s="305">
        <f t="shared" ca="1" si="305"/>
        <v>9.223289838158201E-2</v>
      </c>
      <c r="EM118" s="305">
        <f t="shared" ca="1" si="306"/>
        <v>3.4030520903271411E-2</v>
      </c>
      <c r="EN118" s="305">
        <f t="shared" ca="1" si="307"/>
        <v>7.4598498840095673E-2</v>
      </c>
      <c r="EO118" s="305">
        <f t="shared" ca="1" si="308"/>
        <v>9.2232898381581982E-2</v>
      </c>
      <c r="EP118" s="305">
        <f t="shared" ca="1" si="309"/>
        <v>9.2232898381581982E-2</v>
      </c>
      <c r="EQ118" s="305">
        <f t="shared" ca="1" si="310"/>
        <v>9.2232898381581982E-2</v>
      </c>
      <c r="ER118" s="305">
        <f t="shared" ca="1" si="311"/>
        <v>3.4030520903271411E-2</v>
      </c>
      <c r="ES118" s="305">
        <f t="shared" ca="1" si="312"/>
        <v>7.4598498840095673E-2</v>
      </c>
      <c r="ET118" s="299">
        <f t="shared" ca="1" si="313"/>
        <v>3.4891213663707408</v>
      </c>
      <c r="EU118" s="302">
        <f t="shared" ca="1" si="314"/>
        <v>30</v>
      </c>
      <c r="EV118" s="304">
        <f t="shared" ca="1" si="315"/>
        <v>0.27669869514474593</v>
      </c>
      <c r="EW118" s="305">
        <f t="shared" ca="1" si="316"/>
        <v>0.27669869514474593</v>
      </c>
      <c r="EX118" s="305">
        <f t="shared" ca="1" si="317"/>
        <v>0.27669869514474593</v>
      </c>
      <c r="EY118" s="305">
        <f t="shared" ca="1" si="318"/>
        <v>0.27669869514474593</v>
      </c>
      <c r="EZ118" s="305">
        <f t="shared" ca="1" si="319"/>
        <v>0.10209156270981423</v>
      </c>
      <c r="FA118" s="305">
        <f t="shared" ca="1" si="320"/>
        <v>0.2315258839769371</v>
      </c>
      <c r="FB118" s="305">
        <f t="shared" ca="1" si="321"/>
        <v>0.27669869514474593</v>
      </c>
      <c r="FC118" s="305">
        <f t="shared" ca="1" si="322"/>
        <v>0.27669869514474593</v>
      </c>
      <c r="FD118" s="305">
        <f t="shared" ca="1" si="323"/>
        <v>0.27669869514474593</v>
      </c>
      <c r="FE118" s="305">
        <f t="shared" ca="1" si="324"/>
        <v>0.10209156270981423</v>
      </c>
      <c r="FF118" s="305">
        <f t="shared" ca="1" si="325"/>
        <v>0.2315258839769371</v>
      </c>
      <c r="FG118" s="299">
        <f t="shared" ca="1" si="326"/>
        <v>6.8550328908933498</v>
      </c>
      <c r="FH118" s="302">
        <f t="shared" ca="1" si="327"/>
        <v>-3.365911524522609</v>
      </c>
      <c r="FI118" s="248">
        <f t="shared" ca="1" si="328"/>
        <v>-1294.6947277768479</v>
      </c>
      <c r="FJ118" s="363">
        <f t="shared" ca="1" si="329"/>
        <v>0.53423481538699313</v>
      </c>
      <c r="FK118" s="378">
        <f t="shared" ca="1" si="330"/>
        <v>0.37986488638195209</v>
      </c>
      <c r="FL118" s="508">
        <f t="shared" ca="1" si="331"/>
        <v>-0.81913847365583925</v>
      </c>
      <c r="FM118" s="508">
        <f t="shared" ca="1" si="332"/>
        <v>-0.43107281152932475</v>
      </c>
      <c r="FN118" s="508">
        <f t="shared" ca="1" si="333"/>
        <v>-3.8137487031621049</v>
      </c>
      <c r="FO118" s="508">
        <f t="shared" ca="1" si="334"/>
        <v>-0.3841110544695302</v>
      </c>
      <c r="FP118" s="353">
        <f t="shared" ca="1" si="335"/>
        <v>249.84952445628386</v>
      </c>
      <c r="FQ118" s="356">
        <f t="shared" ca="1" si="336"/>
        <v>21.844882504737768</v>
      </c>
      <c r="FR118" s="380">
        <f t="shared" ca="1" si="337"/>
        <v>23.652000000000001</v>
      </c>
      <c r="FS118" s="299">
        <f t="shared" ca="1" si="338"/>
        <v>23.652000000000001</v>
      </c>
      <c r="FT118" s="299">
        <f t="shared" ca="1" si="339"/>
        <v>23.652000000000001</v>
      </c>
      <c r="FU118" s="299">
        <f t="shared" ca="1" si="340"/>
        <v>23.652000000000001</v>
      </c>
      <c r="FV118" s="299">
        <f t="shared" ca="1" si="341"/>
        <v>23.651999999999997</v>
      </c>
      <c r="FW118" s="850">
        <f t="shared" ca="1" si="342"/>
        <v>0.16500000000000001</v>
      </c>
      <c r="FX118" s="851">
        <f t="shared" ca="1" si="343"/>
        <v>0.5</v>
      </c>
      <c r="FY118" s="851">
        <f t="shared" ca="1" si="344"/>
        <v>0</v>
      </c>
      <c r="FZ118" s="201">
        <f t="shared" ca="1" si="345"/>
        <v>0</v>
      </c>
      <c r="GA118" s="201">
        <f t="shared" ca="1" si="346"/>
        <v>0</v>
      </c>
      <c r="GB118" s="201">
        <f t="shared" ca="1" si="347"/>
        <v>0</v>
      </c>
      <c r="GC118" s="201">
        <f t="shared" ca="1" si="348"/>
        <v>0</v>
      </c>
      <c r="GD118" s="850">
        <f t="shared" ca="1" si="349"/>
        <v>0.29169869514474595</v>
      </c>
      <c r="GE118" s="866">
        <f t="shared" ca="1" si="350"/>
        <v>0.27669869514474593</v>
      </c>
      <c r="GF118" s="866">
        <f t="shared" ca="1" si="351"/>
        <v>0.29169869514474595</v>
      </c>
      <c r="GG118" s="866">
        <f t="shared" ca="1" si="352"/>
        <v>0.11209156270981423</v>
      </c>
      <c r="GH118" s="866">
        <f t="shared" ca="1" si="353"/>
        <v>0.24652588397693709</v>
      </c>
      <c r="GI118" s="302">
        <f t="shared" ca="1" si="354"/>
        <v>14.768942533446985</v>
      </c>
      <c r="GJ118" s="299">
        <f t="shared" ca="1" si="355"/>
        <v>7.3482243214973817</v>
      </c>
      <c r="GK118" s="299">
        <f t="shared" ca="1" si="356"/>
        <v>9.5823539170695309</v>
      </c>
      <c r="GL118" s="299">
        <f t="shared" ca="1" si="357"/>
        <v>2.4158126819597587</v>
      </c>
      <c r="GM118" s="299">
        <f t="shared" ca="1" si="358"/>
        <v>9.0040072801182163</v>
      </c>
      <c r="GN118" s="302">
        <f t="shared" ca="1" si="359"/>
        <v>0.8101483709462769</v>
      </c>
      <c r="GO118" s="299">
        <f t="shared" ca="1" si="360"/>
        <v>0.66559240127800612</v>
      </c>
      <c r="GP118" s="299">
        <f t="shared" ca="1" si="361"/>
        <v>0.72012428985108456</v>
      </c>
      <c r="GQ118" s="299">
        <f t="shared" ca="1" si="362"/>
        <v>0.45767890613416901</v>
      </c>
      <c r="GR118" s="299">
        <f t="shared" ca="1" si="363"/>
        <v>0.72492960095345227</v>
      </c>
      <c r="GS118" s="302">
        <f t="shared" ca="1" si="364"/>
        <v>-0.55558392993147687</v>
      </c>
      <c r="GT118" s="299">
        <f t="shared" ca="1" si="365"/>
        <v>-0.39157945028329838</v>
      </c>
      <c r="GU118" s="299">
        <f t="shared" ca="1" si="366"/>
        <v>-0.43823329024717161</v>
      </c>
      <c r="GV118" s="299">
        <f t="shared" ca="1" si="367"/>
        <v>-0.29744864482693328</v>
      </c>
      <c r="GW118" s="299">
        <f t="shared" ca="1" si="368"/>
        <v>-0.48535455858477844</v>
      </c>
      <c r="GX118" s="303">
        <f t="shared" ca="1" si="369"/>
        <v>2651.0679847065662</v>
      </c>
      <c r="GY118" s="303">
        <f t="shared" ca="1" si="370"/>
        <v>251.24334488431145</v>
      </c>
      <c r="GZ118" s="303">
        <f t="shared" ca="1" si="371"/>
        <v>409.5381660686777</v>
      </c>
      <c r="HA118" s="303">
        <f t="shared" ca="1" si="372"/>
        <v>309.7466981175188</v>
      </c>
      <c r="HB118" s="303">
        <f t="shared" ca="1" si="373"/>
        <v>3463.3830002667105</v>
      </c>
      <c r="HC118" s="303">
        <f t="shared" ca="1" si="374"/>
        <v>1938.2723383538384</v>
      </c>
      <c r="HD118" s="303">
        <f t="shared" ca="1" si="375"/>
        <v>44.55088738761075</v>
      </c>
      <c r="HE118" s="303">
        <f t="shared" ca="1" si="376"/>
        <v>173.00661143540049</v>
      </c>
      <c r="HF118" s="303">
        <f t="shared" ca="1" si="377"/>
        <v>0</v>
      </c>
      <c r="HG118" s="852">
        <f t="shared" ca="1" si="378"/>
        <v>1770.9241322868602</v>
      </c>
    </row>
    <row r="119" spans="1:215" x14ac:dyDescent="0.25">
      <c r="A119" s="244">
        <f t="shared" ca="1" si="379"/>
        <v>39722</v>
      </c>
      <c r="B119" s="13">
        <f t="shared" ca="1" si="409"/>
        <v>2008</v>
      </c>
      <c r="C119" s="619">
        <f t="shared" ca="1" si="410"/>
        <v>10</v>
      </c>
      <c r="D119" s="195" t="str">
        <f t="shared" ca="1" si="209"/>
        <v/>
      </c>
      <c r="E119" s="469">
        <f t="shared" ca="1" si="210"/>
        <v>39722</v>
      </c>
      <c r="F119" s="465">
        <f t="shared" ca="1" si="211"/>
        <v>39752</v>
      </c>
      <c r="G119" s="522">
        <f t="shared" ca="1" si="380"/>
        <v>1</v>
      </c>
      <c r="H119" s="519">
        <f t="shared" ca="1" si="381"/>
        <v>1</v>
      </c>
      <c r="I119" s="724">
        <f t="shared" ca="1" si="411"/>
        <v>7.3949249355061003E-2</v>
      </c>
      <c r="J119" s="198">
        <f t="shared" ca="1" si="213"/>
        <v>0.53088701329765786</v>
      </c>
      <c r="K119" s="200">
        <f t="shared" ca="1" si="389"/>
        <v>29.55</v>
      </c>
      <c r="L119" s="201">
        <f t="shared" ca="1" si="390"/>
        <v>30.8</v>
      </c>
      <c r="M119" s="206">
        <f t="shared" ca="1" si="391"/>
        <v>32.049999999999997</v>
      </c>
      <c r="N119" s="851">
        <f t="shared" ca="1" si="395"/>
        <v>23.063000106811518</v>
      </c>
      <c r="O119" s="201">
        <f t="shared" ca="1" si="396"/>
        <v>24.000500106811518</v>
      </c>
      <c r="P119" s="206">
        <f t="shared" ca="1" si="397"/>
        <v>24.938000106811518</v>
      </c>
      <c r="Q119" s="201">
        <f t="shared" ca="1" si="398"/>
        <v>18.700999832153315</v>
      </c>
      <c r="R119" s="201">
        <f t="shared" ca="1" si="399"/>
        <v>22.000999832153315</v>
      </c>
      <c r="S119" s="201">
        <f t="shared" ca="1" si="400"/>
        <v>25.300999832153316</v>
      </c>
      <c r="T119" s="851">
        <f t="shared" ca="1" si="392"/>
        <v>19.02499885559082</v>
      </c>
      <c r="U119" s="201">
        <f t="shared" ca="1" si="393"/>
        <v>19.64999885559082</v>
      </c>
      <c r="V119" s="206">
        <f t="shared" ca="1" si="394"/>
        <v>20.27499885559082</v>
      </c>
      <c r="W119" s="230">
        <f t="shared" ca="1" si="382"/>
        <v>8.3905226125664048E-2</v>
      </c>
      <c r="X119" s="231">
        <f t="shared" ca="1" si="383"/>
        <v>0.1678104522513281</v>
      </c>
      <c r="Y119" s="232">
        <f t="shared" ca="1" si="384"/>
        <v>0.25171567837699216</v>
      </c>
      <c r="Z119" s="231">
        <f t="shared" ca="1" si="404"/>
        <v>8.3905226125664048E-2</v>
      </c>
      <c r="AA119" s="231">
        <f t="shared" ca="1" si="405"/>
        <v>0.1678104522513281</v>
      </c>
      <c r="AB119" s="232">
        <f t="shared" ca="1" si="406"/>
        <v>0.25171567837699216</v>
      </c>
      <c r="AC119" s="231">
        <f t="shared" ca="1" si="407"/>
        <v>8.3905226125664048E-2</v>
      </c>
      <c r="AD119" s="231">
        <f t="shared" ca="1" si="408"/>
        <v>0.1678104522513281</v>
      </c>
      <c r="AE119" s="232">
        <f t="shared" ca="1" si="214"/>
        <v>0.25171567837699216</v>
      </c>
      <c r="AF119" s="231">
        <f t="shared" ca="1" si="385"/>
        <v>2.5522890677453561E-2</v>
      </c>
      <c r="AG119" s="231">
        <f t="shared" ca="1" si="386"/>
        <v>5.1045781354907123E-2</v>
      </c>
      <c r="AH119" s="232">
        <f t="shared" ca="1" si="387"/>
        <v>7.6568672032360688E-2</v>
      </c>
      <c r="AI119" s="233">
        <f t="shared" ca="1" si="215"/>
        <v>0.85000000000000009</v>
      </c>
      <c r="AJ119" s="233">
        <f t="shared" ca="1" si="216"/>
        <v>1.1000000000000001</v>
      </c>
      <c r="AK119" s="234">
        <f t="shared" ca="1" si="217"/>
        <v>1.4000000000000001</v>
      </c>
      <c r="AL119" s="919">
        <f t="shared" ca="1" si="218"/>
        <v>0.85000000000000009</v>
      </c>
      <c r="AM119" s="233">
        <f t="shared" ca="1" si="219"/>
        <v>1.1000000000000001</v>
      </c>
      <c r="AN119" s="234">
        <f t="shared" ca="1" si="220"/>
        <v>1.4000000000000001</v>
      </c>
      <c r="AO119" s="233">
        <f t="shared" ca="1" si="221"/>
        <v>0.85000000000000009</v>
      </c>
      <c r="AP119" s="233">
        <f t="shared" ca="1" si="222"/>
        <v>1.1000000000000001</v>
      </c>
      <c r="AQ119" s="233">
        <f t="shared" ca="1" si="223"/>
        <v>1.4000000000000001</v>
      </c>
      <c r="AR119" s="919">
        <f t="shared" ca="1" si="224"/>
        <v>0.19999999999999998</v>
      </c>
      <c r="AS119" s="233">
        <f t="shared" ca="1" si="225"/>
        <v>0.35</v>
      </c>
      <c r="AT119" s="235">
        <f t="shared" ca="1" si="226"/>
        <v>0.55000000000000004</v>
      </c>
      <c r="AU119" s="946">
        <f t="shared" si="227"/>
        <v>0.5</v>
      </c>
      <c r="AV119" s="13">
        <f t="shared" ca="1" si="228"/>
        <v>23</v>
      </c>
      <c r="AW119" s="210">
        <f t="shared" ca="1" si="229"/>
        <v>4</v>
      </c>
      <c r="AX119" s="210">
        <f t="shared" ca="1" si="230"/>
        <v>4</v>
      </c>
      <c r="AY119" s="210">
        <f t="shared" ca="1" si="231"/>
        <v>0</v>
      </c>
      <c r="AZ119" s="13">
        <f t="shared" ca="1" si="232"/>
        <v>31</v>
      </c>
      <c r="BA119" s="357">
        <f ca="1"/>
        <v>368</v>
      </c>
      <c r="BB119" s="925">
        <f ca="1"/>
        <v>64</v>
      </c>
      <c r="BC119" s="925">
        <f ca="1"/>
        <v>64</v>
      </c>
      <c r="BD119" s="928">
        <f ca="1"/>
        <v>248</v>
      </c>
      <c r="BE119" s="200">
        <f ca="1"/>
        <v>1.0000187270343304</v>
      </c>
      <c r="BF119" s="851">
        <f ca="1"/>
        <v>1.0000187270343304</v>
      </c>
      <c r="BG119" s="851">
        <f ca="1"/>
        <v>1.0000187270343304</v>
      </c>
      <c r="BH119" s="933">
        <f ca="1"/>
        <v>1.0000000074505806</v>
      </c>
      <c r="BI119" s="357">
        <f ca="1"/>
        <v>368</v>
      </c>
      <c r="BJ119" s="925">
        <f ca="1"/>
        <v>64</v>
      </c>
      <c r="BK119" s="925">
        <f ca="1"/>
        <v>64</v>
      </c>
      <c r="BL119" s="928">
        <f ca="1"/>
        <v>248</v>
      </c>
      <c r="BM119" s="200">
        <f ca="1"/>
        <v>1.0000187270343304</v>
      </c>
      <c r="BN119" s="851">
        <f ca="1"/>
        <v>1.0000187270343304</v>
      </c>
      <c r="BO119" s="851">
        <f ca="1"/>
        <v>1.0000187270343304</v>
      </c>
      <c r="BP119" s="933">
        <f ca="1"/>
        <v>1.0000000074505806</v>
      </c>
      <c r="BQ119" s="357">
        <f t="shared" ca="1" si="233"/>
        <v>744</v>
      </c>
      <c r="BR119" s="361">
        <f t="shared" ca="1" si="234"/>
        <v>744</v>
      </c>
      <c r="BS119" s="357">
        <f t="shared" ca="1" si="235"/>
        <v>394.97993789345747</v>
      </c>
      <c r="BT119" s="302">
        <f t="shared" ca="1" si="236"/>
        <v>24.55073850552527</v>
      </c>
      <c r="BU119" s="299">
        <f t="shared" ca="1" si="237"/>
        <v>25.741885944184329</v>
      </c>
      <c r="BV119" s="299">
        <f t="shared" ca="1" si="238"/>
        <v>26.933033382843394</v>
      </c>
      <c r="BW119" s="299">
        <f t="shared" ca="1" si="239"/>
        <v>32.659889647739881</v>
      </c>
      <c r="BX119" s="380">
        <f t="shared" ca="1" si="240"/>
        <v>8.5831622176591384</v>
      </c>
      <c r="BY119" s="363">
        <f t="shared" ca="1" si="241"/>
        <v>195.36642089353811</v>
      </c>
      <c r="BZ119" s="353">
        <f t="shared" ca="1" si="242"/>
        <v>33.976768851050103</v>
      </c>
      <c r="CA119" s="353">
        <f t="shared" ca="1" si="243"/>
        <v>33.976768851050103</v>
      </c>
      <c r="CB119" s="353">
        <f t="shared" ca="1" si="244"/>
        <v>263.3199585956383</v>
      </c>
      <c r="CC119" s="353">
        <f t="shared" ca="1" si="245"/>
        <v>131.65997929781915</v>
      </c>
      <c r="CD119" s="353">
        <f t="shared" ca="1" si="246"/>
        <v>394.97993789345742</v>
      </c>
      <c r="CE119" s="302">
        <f t="shared" ca="1" si="247"/>
        <v>32.050600201450287</v>
      </c>
      <c r="CF119" s="299">
        <f t="shared" ca="1" si="248"/>
        <v>24.93846712159565</v>
      </c>
      <c r="CG119" s="299">
        <f t="shared" ca="1" si="249"/>
        <v>25.301473644845764</v>
      </c>
      <c r="CH119" s="299">
        <f t="shared" ca="1" si="250"/>
        <v>30.262050570939429</v>
      </c>
      <c r="CI119" s="299">
        <f t="shared" ca="1" si="251"/>
        <v>20.274999006651331</v>
      </c>
      <c r="CJ119" s="299">
        <f t="shared" ca="1" si="252"/>
        <v>26.933033382843401</v>
      </c>
      <c r="CK119" s="299">
        <f t="shared" ca="1" si="253"/>
        <v>32.659889647739881</v>
      </c>
      <c r="CL119" s="377">
        <f t="shared" ca="1" si="254"/>
        <v>0.25171567837699216</v>
      </c>
      <c r="CM119" s="305">
        <f t="shared" ca="1" si="255"/>
        <v>0.25171567837699216</v>
      </c>
      <c r="CN119" s="305">
        <f t="shared" ca="1" si="256"/>
        <v>0.25171567837699216</v>
      </c>
      <c r="CO119" s="305">
        <f t="shared" ca="1" si="257"/>
        <v>0.25171567837699216</v>
      </c>
      <c r="CP119" s="305">
        <f t="shared" ca="1" si="258"/>
        <v>7.6568672032360688E-2</v>
      </c>
      <c r="CQ119" s="305">
        <f t="shared" ca="1" si="259"/>
        <v>0.20633525882353057</v>
      </c>
      <c r="CR119" s="775">
        <f t="shared" ca="1" si="260"/>
        <v>0.25171567837699216</v>
      </c>
      <c r="CS119" s="305">
        <f t="shared" ca="1" si="261"/>
        <v>0.28671567837699219</v>
      </c>
      <c r="CT119" s="305">
        <f t="shared" ca="1" si="262"/>
        <v>0.28671567837699219</v>
      </c>
      <c r="CU119" s="305">
        <f t="shared" ca="1" si="263"/>
        <v>0.13656867203236067</v>
      </c>
      <c r="CV119" s="770">
        <f t="shared" ca="1" si="264"/>
        <v>0.22383525882353056</v>
      </c>
      <c r="CW119" s="302">
        <f t="shared" ca="1" si="265"/>
        <v>9.0058260326931041</v>
      </c>
      <c r="CX119" s="299">
        <f t="shared" ca="1" si="266"/>
        <v>5.9620646550272731</v>
      </c>
      <c r="CY119" s="299">
        <f t="shared" ca="1" si="267"/>
        <v>6.1591055868195488</v>
      </c>
      <c r="CZ119" s="299">
        <f t="shared" ca="1" si="268"/>
        <v>0.57981741283626986</v>
      </c>
      <c r="DA119" s="774">
        <f t="shared" ca="1" si="269"/>
        <v>5.1100696597721971</v>
      </c>
      <c r="DB119" s="303">
        <f t="shared" ca="1" si="270"/>
        <v>2018.3749968480636</v>
      </c>
      <c r="DC119" s="248">
        <f t="shared" ca="1" si="271"/>
        <v>202.82904830529017</v>
      </c>
      <c r="DD119" s="778">
        <f t="shared" ca="1" si="272"/>
        <v>0</v>
      </c>
      <c r="DE119" s="363">
        <f t="shared" ca="1" si="273"/>
        <v>0.53088701329765786</v>
      </c>
      <c r="DF119" s="378">
        <f t="shared" ca="1" si="274"/>
        <v>-0.39426243789150722</v>
      </c>
      <c r="DG119" s="508">
        <f t="shared" ca="1" si="275"/>
        <v>-0.74111361050995428</v>
      </c>
      <c r="DH119" s="508">
        <f t="shared" ca="1" si="276"/>
        <v>-0.72390967673664264</v>
      </c>
      <c r="DI119" s="508">
        <f t="shared" ca="1" si="277"/>
        <v>-1.3916358496732646</v>
      </c>
      <c r="DJ119" s="508">
        <f t="shared" ca="1" si="278"/>
        <v>-0.62188167581491549</v>
      </c>
      <c r="DK119" s="353">
        <f t="shared" ca="1" si="279"/>
        <v>-105.46350534429142</v>
      </c>
      <c r="DL119" s="781">
        <f t="shared" ca="1" si="280"/>
        <v>6.0637261823119895</v>
      </c>
      <c r="DM119" s="303">
        <f t="shared" ca="1" si="281"/>
        <v>8965.1701888785519</v>
      </c>
      <c r="DN119" s="508">
        <f t="shared" ca="1" si="282"/>
        <v>1.4582767039381632</v>
      </c>
      <c r="DO119" s="508">
        <f t="shared" ca="1" si="283"/>
        <v>1.3726265577645607</v>
      </c>
      <c r="DP119" s="508">
        <f t="shared" ca="1" si="284"/>
        <v>1.3775596886202142</v>
      </c>
      <c r="DQ119" s="508">
        <f t="shared" ca="1" si="285"/>
        <v>1.3019560500978615</v>
      </c>
      <c r="DR119" s="508">
        <f t="shared" ca="1" si="286"/>
        <v>1.3988919327369089</v>
      </c>
      <c r="DS119" s="353">
        <f t="shared" ca="1" si="287"/>
        <v>4673.6810991760558</v>
      </c>
      <c r="DT119" s="353">
        <f t="shared" ca="1" si="288"/>
        <v>-10007.492320834939</v>
      </c>
      <c r="DU119" s="380">
        <f t="shared" ca="1" si="388"/>
        <v>8.5831622176591384</v>
      </c>
      <c r="DV119" s="303">
        <f t="shared" ca="1" si="289"/>
        <v>195.36642089353811</v>
      </c>
      <c r="DW119" s="303">
        <f t="shared" ca="1" si="290"/>
        <v>33.976768851050103</v>
      </c>
      <c r="DX119" s="303">
        <f t="shared" ca="1" si="291"/>
        <v>33.976768851050103</v>
      </c>
      <c r="DY119" s="303">
        <f t="shared" ca="1" si="292"/>
        <v>263.3199585956383</v>
      </c>
      <c r="DZ119" s="303">
        <f t="shared" ca="1" si="293"/>
        <v>131.65997929781915</v>
      </c>
      <c r="EA119" s="303">
        <f t="shared" ca="1" si="294"/>
        <v>394.97993789345742</v>
      </c>
      <c r="EB119" s="302">
        <f t="shared" ca="1" si="295"/>
        <v>32.050600201450287</v>
      </c>
      <c r="EC119" s="299">
        <f t="shared" ca="1" si="296"/>
        <v>24.93846712159565</v>
      </c>
      <c r="ED119" s="299">
        <f t="shared" ca="1" si="297"/>
        <v>25.301473644845764</v>
      </c>
      <c r="EE119" s="299">
        <f t="shared" ca="1" si="298"/>
        <v>30.262050570939429</v>
      </c>
      <c r="EF119" s="299">
        <f t="shared" ca="1" si="299"/>
        <v>20.274999006651331</v>
      </c>
      <c r="EG119" s="299">
        <f t="shared" ca="1" si="300"/>
        <v>26.933033382843401</v>
      </c>
      <c r="EH119" s="302">
        <f t="shared" ca="1" si="301"/>
        <v>30</v>
      </c>
      <c r="EI119" s="304">
        <f t="shared" ca="1" si="302"/>
        <v>8.3905226125664048E-2</v>
      </c>
      <c r="EJ119" s="305">
        <f t="shared" ca="1" si="303"/>
        <v>8.3905226125664048E-2</v>
      </c>
      <c r="EK119" s="305">
        <f t="shared" ca="1" si="304"/>
        <v>8.3905226125664048E-2</v>
      </c>
      <c r="EL119" s="305">
        <f t="shared" ca="1" si="305"/>
        <v>8.3905226125664104E-2</v>
      </c>
      <c r="EM119" s="305">
        <f t="shared" ca="1" si="306"/>
        <v>2.5522890677453561E-2</v>
      </c>
      <c r="EN119" s="305">
        <f t="shared" ca="1" si="307"/>
        <v>6.6574354966322358E-2</v>
      </c>
      <c r="EO119" s="305">
        <f t="shared" ca="1" si="308"/>
        <v>8.3905226125664048E-2</v>
      </c>
      <c r="EP119" s="305">
        <f t="shared" ca="1" si="309"/>
        <v>8.3905226125664048E-2</v>
      </c>
      <c r="EQ119" s="305">
        <f t="shared" ca="1" si="310"/>
        <v>8.3905226125664048E-2</v>
      </c>
      <c r="ER119" s="305">
        <f t="shared" ca="1" si="311"/>
        <v>2.5522890677453561E-2</v>
      </c>
      <c r="ES119" s="305">
        <f t="shared" ca="1" si="312"/>
        <v>6.6574354966322358E-2</v>
      </c>
      <c r="ET119" s="299">
        <f t="shared" ca="1" si="313"/>
        <v>4.0732446628157106</v>
      </c>
      <c r="EU119" s="302">
        <f t="shared" ca="1" si="314"/>
        <v>30</v>
      </c>
      <c r="EV119" s="304">
        <f t="shared" ca="1" si="315"/>
        <v>0.25171567837699216</v>
      </c>
      <c r="EW119" s="305">
        <f t="shared" ca="1" si="316"/>
        <v>0.25171567837699216</v>
      </c>
      <c r="EX119" s="305">
        <f t="shared" ca="1" si="317"/>
        <v>0.25171567837699216</v>
      </c>
      <c r="EY119" s="305">
        <f t="shared" ca="1" si="318"/>
        <v>0.25171567837699216</v>
      </c>
      <c r="EZ119" s="305">
        <f t="shared" ca="1" si="319"/>
        <v>7.6568672032360688E-2</v>
      </c>
      <c r="FA119" s="305">
        <f t="shared" ca="1" si="320"/>
        <v>0.20633525882353057</v>
      </c>
      <c r="FB119" s="305">
        <f t="shared" ca="1" si="321"/>
        <v>0.25171567837699216</v>
      </c>
      <c r="FC119" s="305">
        <f t="shared" ca="1" si="322"/>
        <v>0.25171567837699216</v>
      </c>
      <c r="FD119" s="305">
        <f t="shared" ca="1" si="323"/>
        <v>0.25171567837699216</v>
      </c>
      <c r="FE119" s="305">
        <f t="shared" ca="1" si="324"/>
        <v>7.6568672032360688E-2</v>
      </c>
      <c r="FF119" s="305">
        <f t="shared" ca="1" si="325"/>
        <v>0.20633525882353057</v>
      </c>
      <c r="FG119" s="299">
        <f t="shared" ca="1" si="326"/>
        <v>5.3323904257525374</v>
      </c>
      <c r="FH119" s="302">
        <f t="shared" ca="1" si="327"/>
        <v>-1.2591457629368268</v>
      </c>
      <c r="FI119" s="248">
        <f t="shared" ca="1" si="328"/>
        <v>-497.33731524359791</v>
      </c>
      <c r="FJ119" s="363">
        <f t="shared" ca="1" si="329"/>
        <v>0.53088701329765786</v>
      </c>
      <c r="FK119" s="378">
        <f t="shared" ca="1" si="330"/>
        <v>0.14606541297632691</v>
      </c>
      <c r="FL119" s="508">
        <f t="shared" ca="1" si="331"/>
        <v>-0.87462882877114978</v>
      </c>
      <c r="FM119" s="508">
        <f t="shared" ca="1" si="332"/>
        <v>-0.81584062486141529</v>
      </c>
      <c r="FN119" s="508">
        <f t="shared" ca="1" si="333"/>
        <v>-5.2772595072180284</v>
      </c>
      <c r="FO119" s="508">
        <f t="shared" ca="1" si="334"/>
        <v>-0.65044464318544726</v>
      </c>
      <c r="FP119" s="353">
        <f t="shared" ca="1" si="335"/>
        <v>293.19263748006153</v>
      </c>
      <c r="FQ119" s="356">
        <f t="shared" ca="1" si="336"/>
        <v>21.795314139200027</v>
      </c>
      <c r="FR119" s="380">
        <f t="shared" ca="1" si="337"/>
        <v>23.86</v>
      </c>
      <c r="FS119" s="299">
        <f t="shared" ca="1" si="338"/>
        <v>23.86</v>
      </c>
      <c r="FT119" s="299">
        <f t="shared" ca="1" si="339"/>
        <v>23.86</v>
      </c>
      <c r="FU119" s="299">
        <f t="shared" ca="1" si="340"/>
        <v>23.86</v>
      </c>
      <c r="FV119" s="299">
        <f t="shared" ca="1" si="341"/>
        <v>23.86</v>
      </c>
      <c r="FW119" s="850">
        <f t="shared" ca="1" si="342"/>
        <v>0.16500000000000001</v>
      </c>
      <c r="FX119" s="851">
        <f t="shared" ca="1" si="343"/>
        <v>0.5</v>
      </c>
      <c r="FY119" s="851">
        <f t="shared" ca="1" si="344"/>
        <v>0</v>
      </c>
      <c r="FZ119" s="201">
        <f t="shared" ca="1" si="345"/>
        <v>0</v>
      </c>
      <c r="GA119" s="201">
        <f t="shared" ca="1" si="346"/>
        <v>0</v>
      </c>
      <c r="GB119" s="201">
        <f t="shared" ca="1" si="347"/>
        <v>0</v>
      </c>
      <c r="GC119" s="201">
        <f t="shared" ca="1" si="348"/>
        <v>0</v>
      </c>
      <c r="GD119" s="850">
        <f t="shared" ca="1" si="349"/>
        <v>0.26671567837699217</v>
      </c>
      <c r="GE119" s="866">
        <f t="shared" ca="1" si="350"/>
        <v>0.25171567837699216</v>
      </c>
      <c r="GF119" s="866">
        <f t="shared" ca="1" si="351"/>
        <v>0.25171567837699216</v>
      </c>
      <c r="GG119" s="866">
        <f t="shared" ca="1" si="352"/>
        <v>8.6568672032360683E-2</v>
      </c>
      <c r="GH119" s="866">
        <f t="shared" ca="1" si="353"/>
        <v>0.21883525882353058</v>
      </c>
      <c r="GI119" s="302">
        <f t="shared" ca="1" si="354"/>
        <v>12.221881636351233</v>
      </c>
      <c r="GJ119" s="299">
        <f t="shared" ca="1" si="355"/>
        <v>6.7600494416355845</v>
      </c>
      <c r="GK119" s="299">
        <f t="shared" ca="1" si="356"/>
        <v>6.9984686685797364</v>
      </c>
      <c r="GL119" s="299">
        <f t="shared" ca="1" si="357"/>
        <v>2.1362184631942718</v>
      </c>
      <c r="GM119" s="299">
        <f t="shared" ca="1" si="358"/>
        <v>7.4407346602661537</v>
      </c>
      <c r="GN119" s="302">
        <f t="shared" ca="1" si="359"/>
        <v>0.78041014856710955</v>
      </c>
      <c r="GO119" s="299">
        <f t="shared" ca="1" si="360"/>
        <v>0.65267942115160227</v>
      </c>
      <c r="GP119" s="299">
        <f t="shared" ca="1" si="361"/>
        <v>0.66086899381696018</v>
      </c>
      <c r="GQ119" s="299">
        <f t="shared" ca="1" si="362"/>
        <v>0.42882960827763206</v>
      </c>
      <c r="GR119" s="299">
        <f t="shared" ca="1" si="363"/>
        <v>0.69100015034130524</v>
      </c>
      <c r="GS119" s="302">
        <f t="shared" ca="1" si="364"/>
        <v>-0.53607430666407729</v>
      </c>
      <c r="GT119" s="299">
        <f t="shared" ca="1" si="365"/>
        <v>-0.39885904686213569</v>
      </c>
      <c r="GU119" s="299">
        <f t="shared" ca="1" si="366"/>
        <v>-0.40748085413845714</v>
      </c>
      <c r="GV119" s="299">
        <f t="shared" ca="1" si="367"/>
        <v>-0.27486590764708041</v>
      </c>
      <c r="GW119" s="299">
        <f t="shared" ca="1" si="368"/>
        <v>-0.46814739595928168</v>
      </c>
      <c r="GX119" s="303">
        <f t="shared" ca="1" si="369"/>
        <v>2387.7452718783993</v>
      </c>
      <c r="GY119" s="303">
        <f t="shared" ca="1" si="370"/>
        <v>229.68463730012257</v>
      </c>
      <c r="GZ119" s="303">
        <f t="shared" ca="1" si="371"/>
        <v>237.78535226365008</v>
      </c>
      <c r="HA119" s="303">
        <f t="shared" ca="1" si="372"/>
        <v>281.25447863977683</v>
      </c>
      <c r="HB119" s="303">
        <f t="shared" ca="1" si="373"/>
        <v>2938.9409139936215</v>
      </c>
      <c r="HC119" s="303">
        <f t="shared" ca="1" si="374"/>
        <v>1600.1682463272348</v>
      </c>
      <c r="HD119" s="303">
        <f t="shared" ca="1" si="375"/>
        <v>36.64282810391277</v>
      </c>
      <c r="HE119" s="303">
        <f t="shared" ca="1" si="376"/>
        <v>48.976616835805231</v>
      </c>
      <c r="HF119" s="303">
        <f t="shared" ca="1" si="377"/>
        <v>0</v>
      </c>
      <c r="HG119" s="852">
        <f t="shared" ca="1" si="378"/>
        <v>1213.7865347000084</v>
      </c>
    </row>
    <row r="120" spans="1:215" x14ac:dyDescent="0.25">
      <c r="A120" s="244">
        <f t="shared" ca="1" si="379"/>
        <v>39753</v>
      </c>
      <c r="B120" s="13">
        <f t="shared" ca="1" si="409"/>
        <v>2008</v>
      </c>
      <c r="C120" s="619">
        <f t="shared" ca="1" si="410"/>
        <v>11</v>
      </c>
      <c r="D120" s="195">
        <f t="shared" ca="1" si="209"/>
        <v>39779</v>
      </c>
      <c r="E120" s="469">
        <f t="shared" ca="1" si="210"/>
        <v>39753</v>
      </c>
      <c r="F120" s="465">
        <f t="shared" ca="1" si="211"/>
        <v>39782</v>
      </c>
      <c r="G120" s="522">
        <f t="shared" ca="1" si="380"/>
        <v>1</v>
      </c>
      <c r="H120" s="519">
        <f t="shared" ca="1" si="381"/>
        <v>1</v>
      </c>
      <c r="I120" s="724">
        <f t="shared" ca="1" si="411"/>
        <v>7.3964534811735996E-2</v>
      </c>
      <c r="J120" s="198">
        <f t="shared" ca="1" si="213"/>
        <v>0.52766161927294875</v>
      </c>
      <c r="K120" s="200">
        <f t="shared" ca="1" si="389"/>
        <v>29.925000000000001</v>
      </c>
      <c r="L120" s="201">
        <f t="shared" ca="1" si="390"/>
        <v>31.175000000000001</v>
      </c>
      <c r="M120" s="206">
        <f t="shared" ca="1" si="391"/>
        <v>32.424999999999997</v>
      </c>
      <c r="N120" s="851">
        <f t="shared" ca="1" si="395"/>
        <v>24.067251586914058</v>
      </c>
      <c r="O120" s="201">
        <f t="shared" ca="1" si="396"/>
        <v>25.004751586914058</v>
      </c>
      <c r="P120" s="206">
        <f t="shared" ca="1" si="397"/>
        <v>25.942251586914058</v>
      </c>
      <c r="Q120" s="201">
        <f t="shared" ca="1" si="398"/>
        <v>19.704499816894526</v>
      </c>
      <c r="R120" s="201">
        <f t="shared" ca="1" si="399"/>
        <v>23.004499816894526</v>
      </c>
      <c r="S120" s="201">
        <f t="shared" ca="1" si="400"/>
        <v>26.304499816894527</v>
      </c>
      <c r="T120" s="851">
        <f t="shared" ca="1" si="392"/>
        <v>18.949998092651366</v>
      </c>
      <c r="U120" s="201">
        <f t="shared" ca="1" si="393"/>
        <v>19.574998092651366</v>
      </c>
      <c r="V120" s="206">
        <f t="shared" ca="1" si="394"/>
        <v>20.199998092651366</v>
      </c>
      <c r="W120" s="230">
        <f t="shared" ca="1" si="382"/>
        <v>8.3905226125664048E-2</v>
      </c>
      <c r="X120" s="231">
        <f t="shared" ca="1" si="383"/>
        <v>0.1678104522513281</v>
      </c>
      <c r="Y120" s="232">
        <f t="shared" ca="1" si="384"/>
        <v>0.25171567837699216</v>
      </c>
      <c r="Z120" s="231">
        <f t="shared" ca="1" si="404"/>
        <v>8.3905226125664048E-2</v>
      </c>
      <c r="AA120" s="231">
        <f t="shared" ca="1" si="405"/>
        <v>0.1678104522513281</v>
      </c>
      <c r="AB120" s="232">
        <f t="shared" ca="1" si="406"/>
        <v>0.25171567837699216</v>
      </c>
      <c r="AC120" s="231">
        <f t="shared" ca="1" si="407"/>
        <v>8.3905226125664048E-2</v>
      </c>
      <c r="AD120" s="231">
        <f t="shared" ca="1" si="408"/>
        <v>0.1678104522513281</v>
      </c>
      <c r="AE120" s="232">
        <f t="shared" ca="1" si="214"/>
        <v>0.25171567837699216</v>
      </c>
      <c r="AF120" s="231">
        <f t="shared" ca="1" si="385"/>
        <v>2.5522890677453561E-2</v>
      </c>
      <c r="AG120" s="231">
        <f t="shared" ca="1" si="386"/>
        <v>5.1045781354907123E-2</v>
      </c>
      <c r="AH120" s="232">
        <f t="shared" ca="1" si="387"/>
        <v>7.6568672032360688E-2</v>
      </c>
      <c r="AI120" s="233">
        <f t="shared" ca="1" si="215"/>
        <v>1</v>
      </c>
      <c r="AJ120" s="233">
        <f t="shared" ca="1" si="216"/>
        <v>1.25</v>
      </c>
      <c r="AK120" s="234">
        <f t="shared" ca="1" si="217"/>
        <v>1.55</v>
      </c>
      <c r="AL120" s="919">
        <f t="shared" ca="1" si="218"/>
        <v>1</v>
      </c>
      <c r="AM120" s="233">
        <f t="shared" ca="1" si="219"/>
        <v>1.25</v>
      </c>
      <c r="AN120" s="234">
        <f t="shared" ca="1" si="220"/>
        <v>1.55</v>
      </c>
      <c r="AO120" s="233">
        <f t="shared" ca="1" si="221"/>
        <v>1</v>
      </c>
      <c r="AP120" s="233">
        <f t="shared" ca="1" si="222"/>
        <v>1.25</v>
      </c>
      <c r="AQ120" s="233">
        <f t="shared" ca="1" si="223"/>
        <v>1.55</v>
      </c>
      <c r="AR120" s="919">
        <f t="shared" ca="1" si="224"/>
        <v>0.15</v>
      </c>
      <c r="AS120" s="233">
        <f t="shared" ca="1" si="225"/>
        <v>0.3</v>
      </c>
      <c r="AT120" s="235">
        <f t="shared" ca="1" si="226"/>
        <v>0.5</v>
      </c>
      <c r="AU120" s="946">
        <f t="shared" si="227"/>
        <v>0.5</v>
      </c>
      <c r="AV120" s="13">
        <f t="shared" ca="1" si="228"/>
        <v>19</v>
      </c>
      <c r="AW120" s="210">
        <f t="shared" ca="1" si="229"/>
        <v>5</v>
      </c>
      <c r="AX120" s="210">
        <f t="shared" ca="1" si="230"/>
        <v>5</v>
      </c>
      <c r="AY120" s="210">
        <f t="shared" ca="1" si="231"/>
        <v>1</v>
      </c>
      <c r="AZ120" s="13">
        <f t="shared" ca="1" si="232"/>
        <v>30</v>
      </c>
      <c r="BA120" s="357">
        <f ca="1"/>
        <v>304</v>
      </c>
      <c r="BB120" s="925">
        <f ca="1"/>
        <v>80</v>
      </c>
      <c r="BC120" s="925">
        <f ca="1"/>
        <v>96</v>
      </c>
      <c r="BD120" s="928">
        <f ca="1"/>
        <v>240</v>
      </c>
      <c r="BE120" s="200">
        <f ca="1"/>
        <v>0.99996249377727509</v>
      </c>
      <c r="BF120" s="851">
        <f ca="1"/>
        <v>0.99996249377727509</v>
      </c>
      <c r="BG120" s="851">
        <f ca="1"/>
        <v>0.99996249377727509</v>
      </c>
      <c r="BH120" s="933">
        <f ca="1"/>
        <v>1.0000000074505806</v>
      </c>
      <c r="BI120" s="357">
        <f ca="1"/>
        <v>304</v>
      </c>
      <c r="BJ120" s="925">
        <f ca="1"/>
        <v>80</v>
      </c>
      <c r="BK120" s="925">
        <f ca="1"/>
        <v>96</v>
      </c>
      <c r="BL120" s="928">
        <f ca="1"/>
        <v>240</v>
      </c>
      <c r="BM120" s="200">
        <f ca="1"/>
        <v>0.99996249377727509</v>
      </c>
      <c r="BN120" s="851">
        <f ca="1"/>
        <v>0.99996249377727509</v>
      </c>
      <c r="BO120" s="851">
        <f ca="1"/>
        <v>0.99996249377727509</v>
      </c>
      <c r="BP120" s="933">
        <f ca="1"/>
        <v>1.0000000074505806</v>
      </c>
      <c r="BQ120" s="357">
        <f t="shared" ca="1" si="233"/>
        <v>720</v>
      </c>
      <c r="BR120" s="361">
        <f t="shared" ca="1" si="234"/>
        <v>720</v>
      </c>
      <c r="BS120" s="357">
        <f t="shared" ca="1" si="235"/>
        <v>379.91636587652312</v>
      </c>
      <c r="BT120" s="302">
        <f t="shared" ca="1" si="236"/>
        <v>24.252399058584544</v>
      </c>
      <c r="BU120" s="299">
        <f t="shared" ca="1" si="237"/>
        <v>25.532636633327446</v>
      </c>
      <c r="BV120" s="299">
        <f t="shared" ca="1" si="238"/>
        <v>26.812874208070344</v>
      </c>
      <c r="BW120" s="299">
        <f t="shared" ca="1" si="239"/>
        <v>32.659889647739881</v>
      </c>
      <c r="BX120" s="380">
        <f t="shared" ca="1" si="240"/>
        <v>8.6680355920602334</v>
      </c>
      <c r="BY120" s="363">
        <f t="shared" ca="1" si="241"/>
        <v>160.40913225897643</v>
      </c>
      <c r="BZ120" s="353">
        <f t="shared" ca="1" si="242"/>
        <v>42.212929541835898</v>
      </c>
      <c r="CA120" s="353">
        <f t="shared" ca="1" si="243"/>
        <v>50.655515450203083</v>
      </c>
      <c r="CB120" s="353">
        <f t="shared" ca="1" si="244"/>
        <v>253.27757725101543</v>
      </c>
      <c r="CC120" s="353">
        <f t="shared" ca="1" si="245"/>
        <v>126.6387886255077</v>
      </c>
      <c r="CD120" s="353">
        <f t="shared" ca="1" si="246"/>
        <v>379.91636587652312</v>
      </c>
      <c r="CE120" s="302">
        <f t="shared" ca="1" si="247"/>
        <v>32.423783860728143</v>
      </c>
      <c r="CF120" s="299">
        <f t="shared" ca="1" si="248"/>
        <v>25.941278591048054</v>
      </c>
      <c r="CG120" s="299">
        <f t="shared" ca="1" si="249"/>
        <v>26.303513234465726</v>
      </c>
      <c r="CH120" s="299">
        <f t="shared" ca="1" si="250"/>
        <v>30.119312190528976</v>
      </c>
      <c r="CI120" s="299">
        <f t="shared" ca="1" si="251"/>
        <v>20.199998243153079</v>
      </c>
      <c r="CJ120" s="299">
        <f t="shared" ca="1" si="252"/>
        <v>26.812874208070344</v>
      </c>
      <c r="CK120" s="299">
        <f t="shared" ca="1" si="253"/>
        <v>32.659889647739881</v>
      </c>
      <c r="CL120" s="377">
        <f t="shared" ca="1" si="254"/>
        <v>0.25171567837699216</v>
      </c>
      <c r="CM120" s="305">
        <f t="shared" ca="1" si="255"/>
        <v>0.25171567837699216</v>
      </c>
      <c r="CN120" s="305">
        <f t="shared" ca="1" si="256"/>
        <v>0.25171567837699216</v>
      </c>
      <c r="CO120" s="305">
        <f t="shared" ca="1" si="257"/>
        <v>0.25171567837699216</v>
      </c>
      <c r="CP120" s="305">
        <f t="shared" ca="1" si="258"/>
        <v>7.6568672032360688E-2</v>
      </c>
      <c r="CQ120" s="305">
        <f t="shared" ca="1" si="259"/>
        <v>0.2063687248104662</v>
      </c>
      <c r="CR120" s="775">
        <f t="shared" ca="1" si="260"/>
        <v>0.25171567837699216</v>
      </c>
      <c r="CS120" s="305">
        <f t="shared" ca="1" si="261"/>
        <v>0.27671567837699218</v>
      </c>
      <c r="CT120" s="305">
        <f t="shared" ca="1" si="262"/>
        <v>0.27671567837699218</v>
      </c>
      <c r="CU120" s="305">
        <f t="shared" ca="1" si="263"/>
        <v>0.13656867203236067</v>
      </c>
      <c r="CV120" s="770">
        <f t="shared" ca="1" si="264"/>
        <v>0.22386872481046621</v>
      </c>
      <c r="CW120" s="302">
        <f t="shared" ca="1" si="265"/>
        <v>9.2877233521474043</v>
      </c>
      <c r="CX120" s="299">
        <f t="shared" ca="1" si="266"/>
        <v>6.2529214171781167</v>
      </c>
      <c r="CY120" s="299">
        <f t="shared" ca="1" si="267"/>
        <v>6.4532268072057768</v>
      </c>
      <c r="CZ120" s="299">
        <f t="shared" ca="1" si="268"/>
        <v>0.57751912401101135</v>
      </c>
      <c r="DA120" s="774">
        <f t="shared" ca="1" si="269"/>
        <v>5.0841644776007335</v>
      </c>
      <c r="DB120" s="303">
        <f t="shared" ca="1" si="270"/>
        <v>1931.5572918485823</v>
      </c>
      <c r="DC120" s="248">
        <f t="shared" ca="1" si="271"/>
        <v>194.54357448216862</v>
      </c>
      <c r="DD120" s="778">
        <f t="shared" ca="1" si="272"/>
        <v>0</v>
      </c>
      <c r="DE120" s="363">
        <f t="shared" ca="1" si="273"/>
        <v>0.52766161927294875</v>
      </c>
      <c r="DF120" s="378">
        <f t="shared" ca="1" si="274"/>
        <v>-0.38033500409416565</v>
      </c>
      <c r="DG120" s="508">
        <f t="shared" ca="1" si="275"/>
        <v>-0.69004473093614882</v>
      </c>
      <c r="DH120" s="508">
        <f t="shared" ca="1" si="276"/>
        <v>-0.67302354461983893</v>
      </c>
      <c r="DI120" s="508">
        <f t="shared" ca="1" si="277"/>
        <v>-1.3959916264999206</v>
      </c>
      <c r="DJ120" s="508">
        <f t="shared" ca="1" si="278"/>
        <v>-0.62884550668903882</v>
      </c>
      <c r="DK120" s="353">
        <f t="shared" ca="1" si="279"/>
        <v>-100.57337525408607</v>
      </c>
      <c r="DL120" s="781">
        <f t="shared" ca="1" si="280"/>
        <v>5.7777615780225462</v>
      </c>
      <c r="DM120" s="303">
        <f t="shared" ca="1" si="281"/>
        <v>8603.3103553446981</v>
      </c>
      <c r="DN120" s="508">
        <f t="shared" ca="1" si="282"/>
        <v>1.4694645646648741</v>
      </c>
      <c r="DO120" s="508">
        <f t="shared" ca="1" si="283"/>
        <v>1.3936943584792876</v>
      </c>
      <c r="DP120" s="508">
        <f t="shared" ca="1" si="284"/>
        <v>1.3984048586476032</v>
      </c>
      <c r="DQ120" s="508">
        <f t="shared" ca="1" si="285"/>
        <v>1.3087198387940644</v>
      </c>
      <c r="DR120" s="508">
        <f t="shared" ca="1" si="286"/>
        <v>1.404919995373241</v>
      </c>
      <c r="DS120" s="353">
        <f t="shared" ca="1" si="287"/>
        <v>4459.608135240107</v>
      </c>
      <c r="DT120" s="353">
        <f t="shared" ca="1" si="288"/>
        <v>-9643.0174356787556</v>
      </c>
      <c r="DU120" s="380">
        <f t="shared" ca="1" si="388"/>
        <v>8.6680355920602334</v>
      </c>
      <c r="DV120" s="303">
        <f t="shared" ca="1" si="289"/>
        <v>160.40913225897643</v>
      </c>
      <c r="DW120" s="303">
        <f t="shared" ca="1" si="290"/>
        <v>42.212929541835898</v>
      </c>
      <c r="DX120" s="303">
        <f t="shared" ca="1" si="291"/>
        <v>50.655515450203083</v>
      </c>
      <c r="DY120" s="303">
        <f t="shared" ca="1" si="292"/>
        <v>253.27757725101543</v>
      </c>
      <c r="DZ120" s="303">
        <f t="shared" ca="1" si="293"/>
        <v>126.6387886255077</v>
      </c>
      <c r="EA120" s="303">
        <f t="shared" ca="1" si="294"/>
        <v>379.91636587652312</v>
      </c>
      <c r="EB120" s="302">
        <f t="shared" ca="1" si="295"/>
        <v>32.423783860728143</v>
      </c>
      <c r="EC120" s="299">
        <f t="shared" ca="1" si="296"/>
        <v>25.941278591048054</v>
      </c>
      <c r="ED120" s="299">
        <f t="shared" ca="1" si="297"/>
        <v>26.303513234465726</v>
      </c>
      <c r="EE120" s="299">
        <f t="shared" ca="1" si="298"/>
        <v>30.119312190528976</v>
      </c>
      <c r="EF120" s="299">
        <f t="shared" ca="1" si="299"/>
        <v>20.199998243153079</v>
      </c>
      <c r="EG120" s="299">
        <f t="shared" ca="1" si="300"/>
        <v>26.812874208070344</v>
      </c>
      <c r="EH120" s="302">
        <f t="shared" ca="1" si="301"/>
        <v>30</v>
      </c>
      <c r="EI120" s="304">
        <f t="shared" ca="1" si="302"/>
        <v>8.3905226125664048E-2</v>
      </c>
      <c r="EJ120" s="305">
        <f t="shared" ca="1" si="303"/>
        <v>8.3905226125664048E-2</v>
      </c>
      <c r="EK120" s="305">
        <f t="shared" ca="1" si="304"/>
        <v>8.3905226125664048E-2</v>
      </c>
      <c r="EL120" s="305">
        <f t="shared" ca="1" si="305"/>
        <v>8.390522612566409E-2</v>
      </c>
      <c r="EM120" s="305">
        <f t="shared" ca="1" si="306"/>
        <v>2.5522890677453561E-2</v>
      </c>
      <c r="EN120" s="305">
        <f t="shared" ca="1" si="307"/>
        <v>6.6564041198789697E-2</v>
      </c>
      <c r="EO120" s="305">
        <f t="shared" ca="1" si="308"/>
        <v>8.3905226125664048E-2</v>
      </c>
      <c r="EP120" s="305">
        <f t="shared" ca="1" si="309"/>
        <v>8.3905226125664048E-2</v>
      </c>
      <c r="EQ120" s="305">
        <f t="shared" ca="1" si="310"/>
        <v>8.3905226125664048E-2</v>
      </c>
      <c r="ER120" s="305">
        <f t="shared" ca="1" si="311"/>
        <v>2.5522890677453561E-2</v>
      </c>
      <c r="ES120" s="305">
        <f t="shared" ca="1" si="312"/>
        <v>6.6564041198789697E-2</v>
      </c>
      <c r="ET120" s="299">
        <f t="shared" ca="1" si="313"/>
        <v>4.1638100983113482</v>
      </c>
      <c r="EU120" s="302">
        <f t="shared" ca="1" si="314"/>
        <v>30</v>
      </c>
      <c r="EV120" s="304">
        <f t="shared" ca="1" si="315"/>
        <v>0.25171567837699216</v>
      </c>
      <c r="EW120" s="305">
        <f t="shared" ca="1" si="316"/>
        <v>0.25171567837699216</v>
      </c>
      <c r="EX120" s="305">
        <f t="shared" ca="1" si="317"/>
        <v>0.25171567837699216</v>
      </c>
      <c r="EY120" s="305">
        <f t="shared" ca="1" si="318"/>
        <v>0.25171567837699216</v>
      </c>
      <c r="EZ120" s="305">
        <f t="shared" ca="1" si="319"/>
        <v>7.6568672032360688E-2</v>
      </c>
      <c r="FA120" s="305">
        <f t="shared" ca="1" si="320"/>
        <v>0.2063687248104662</v>
      </c>
      <c r="FB120" s="305">
        <f t="shared" ca="1" si="321"/>
        <v>0.25171567837699216</v>
      </c>
      <c r="FC120" s="305">
        <f t="shared" ca="1" si="322"/>
        <v>0.25171567837699216</v>
      </c>
      <c r="FD120" s="305">
        <f t="shared" ca="1" si="323"/>
        <v>0.25171567837699216</v>
      </c>
      <c r="FE120" s="305">
        <f t="shared" ca="1" si="324"/>
        <v>7.6568672032360688E-2</v>
      </c>
      <c r="FF120" s="305">
        <f t="shared" ca="1" si="325"/>
        <v>0.2063687248104662</v>
      </c>
      <c r="FG120" s="299">
        <f t="shared" ca="1" si="326"/>
        <v>5.299283440634154</v>
      </c>
      <c r="FH120" s="302">
        <f t="shared" ca="1" si="327"/>
        <v>-1.1354733423228058</v>
      </c>
      <c r="FI120" s="248">
        <f t="shared" ca="1" si="328"/>
        <v>-431.38490576494968</v>
      </c>
      <c r="FJ120" s="363">
        <f t="shared" ca="1" si="329"/>
        <v>0.52766161927294875</v>
      </c>
      <c r="FK120" s="378">
        <f t="shared" ca="1" si="330"/>
        <v>0.1910011605367688</v>
      </c>
      <c r="FL120" s="508">
        <f t="shared" ca="1" si="331"/>
        <v>-0.71195366913616787</v>
      </c>
      <c r="FM120" s="508">
        <f t="shared" ca="1" si="332"/>
        <v>-0.6558185588958988</v>
      </c>
      <c r="FN120" s="508">
        <f t="shared" ca="1" si="333"/>
        <v>-5.3010471545375424</v>
      </c>
      <c r="FO120" s="508">
        <f t="shared" ca="1" si="334"/>
        <v>-0.67109819182674535</v>
      </c>
      <c r="FP120" s="353">
        <f t="shared" ca="1" si="335"/>
        <v>284.52737560745641</v>
      </c>
      <c r="FQ120" s="356">
        <f t="shared" ca="1" si="336"/>
        <v>20.581629969725377</v>
      </c>
      <c r="FR120" s="380">
        <f t="shared" ca="1" si="337"/>
        <v>24.94</v>
      </c>
      <c r="FS120" s="299">
        <f t="shared" ca="1" si="338"/>
        <v>24.94</v>
      </c>
      <c r="FT120" s="299">
        <f t="shared" ca="1" si="339"/>
        <v>24.94</v>
      </c>
      <c r="FU120" s="299">
        <f t="shared" ca="1" si="340"/>
        <v>24.94</v>
      </c>
      <c r="FV120" s="299">
        <f t="shared" ca="1" si="341"/>
        <v>24.94</v>
      </c>
      <c r="FW120" s="850">
        <f t="shared" ca="1" si="342"/>
        <v>0.16500000000000001</v>
      </c>
      <c r="FX120" s="851">
        <f t="shared" ca="1" si="343"/>
        <v>0.5</v>
      </c>
      <c r="FY120" s="851">
        <f t="shared" ca="1" si="344"/>
        <v>0</v>
      </c>
      <c r="FZ120" s="201">
        <f t="shared" ca="1" si="345"/>
        <v>0</v>
      </c>
      <c r="GA120" s="201">
        <f t="shared" ca="1" si="346"/>
        <v>0</v>
      </c>
      <c r="GB120" s="201">
        <f t="shared" ca="1" si="347"/>
        <v>0</v>
      </c>
      <c r="GC120" s="201">
        <f t="shared" ca="1" si="348"/>
        <v>0</v>
      </c>
      <c r="GD120" s="850">
        <f t="shared" ca="1" si="349"/>
        <v>0.26671567837699217</v>
      </c>
      <c r="GE120" s="866">
        <f t="shared" ca="1" si="350"/>
        <v>0.25171567837699216</v>
      </c>
      <c r="GF120" s="866">
        <f t="shared" ca="1" si="351"/>
        <v>0.25171567837699216</v>
      </c>
      <c r="GG120" s="866">
        <f t="shared" ca="1" si="352"/>
        <v>9.1568672032360687E-2</v>
      </c>
      <c r="GH120" s="866">
        <f t="shared" ca="1" si="353"/>
        <v>0.2088687248104662</v>
      </c>
      <c r="GI120" s="302">
        <f t="shared" ca="1" si="354"/>
        <v>11.975326101285845</v>
      </c>
      <c r="GJ120" s="299">
        <f t="shared" ca="1" si="355"/>
        <v>7.0147145816515533</v>
      </c>
      <c r="GK120" s="299">
        <f t="shared" ca="1" si="356"/>
        <v>7.2517372942625444</v>
      </c>
      <c r="GL120" s="299">
        <f t="shared" ca="1" si="357"/>
        <v>1.8503432922313301</v>
      </c>
      <c r="GM120" s="299">
        <f t="shared" ca="1" si="358"/>
        <v>6.7050336471929084</v>
      </c>
      <c r="GN120" s="302">
        <f t="shared" ca="1" si="359"/>
        <v>0.76593131032800388</v>
      </c>
      <c r="GO120" s="299">
        <f t="shared" ca="1" si="360"/>
        <v>0.65039947809054566</v>
      </c>
      <c r="GP120" s="299">
        <f t="shared" ca="1" si="361"/>
        <v>0.65824037284817416</v>
      </c>
      <c r="GQ120" s="299">
        <f t="shared" ca="1" si="362"/>
        <v>0.38618983343023827</v>
      </c>
      <c r="GR120" s="299">
        <f t="shared" ca="1" si="363"/>
        <v>0.65900090529764632</v>
      </c>
      <c r="GS120" s="302">
        <f t="shared" ca="1" si="364"/>
        <v>-0.51560009724785882</v>
      </c>
      <c r="GT120" s="299">
        <f t="shared" ca="1" si="365"/>
        <v>-0.39524785175731209</v>
      </c>
      <c r="GU120" s="299">
        <f t="shared" ca="1" si="366"/>
        <v>-0.40346028184993094</v>
      </c>
      <c r="GV120" s="299">
        <f t="shared" ca="1" si="367"/>
        <v>-0.23860024511649675</v>
      </c>
      <c r="GW120" s="299">
        <f t="shared" ca="1" si="368"/>
        <v>-0.43964215539545104</v>
      </c>
      <c r="GX120" s="303">
        <f t="shared" ca="1" si="369"/>
        <v>1920.9516684255336</v>
      </c>
      <c r="GY120" s="303">
        <f t="shared" ca="1" si="370"/>
        <v>296.1116523913459</v>
      </c>
      <c r="GZ120" s="303">
        <f t="shared" ca="1" si="371"/>
        <v>367.34049055033023</v>
      </c>
      <c r="HA120" s="303">
        <f t="shared" ca="1" si="372"/>
        <v>234.32523306950944</v>
      </c>
      <c r="HB120" s="303">
        <f t="shared" ca="1" si="373"/>
        <v>2547.3520163213393</v>
      </c>
      <c r="HC120" s="303">
        <f t="shared" ca="1" si="374"/>
        <v>1200.4672751131338</v>
      </c>
      <c r="HD120" s="303">
        <f t="shared" ca="1" si="375"/>
        <v>42.266902615660157</v>
      </c>
      <c r="HE120" s="303">
        <f t="shared" ca="1" si="376"/>
        <v>69.06946571503488</v>
      </c>
      <c r="HF120" s="303">
        <f t="shared" ca="1" si="377"/>
        <v>0</v>
      </c>
      <c r="HG120" s="852">
        <f t="shared" ca="1" si="378"/>
        <v>711.53556287395577</v>
      </c>
    </row>
    <row r="121" spans="1:215" x14ac:dyDescent="0.25">
      <c r="A121" s="244">
        <f t="shared" ca="1" si="379"/>
        <v>39783</v>
      </c>
      <c r="B121" s="13">
        <f t="shared" ca="1" si="409"/>
        <v>2008</v>
      </c>
      <c r="C121" s="619">
        <f t="shared" ca="1" si="410"/>
        <v>12</v>
      </c>
      <c r="D121" s="195">
        <f t="shared" ca="1" si="209"/>
        <v>39807</v>
      </c>
      <c r="E121" s="469">
        <f t="shared" ca="1" si="210"/>
        <v>39783</v>
      </c>
      <c r="F121" s="465">
        <f t="shared" ca="1" si="211"/>
        <v>39813</v>
      </c>
      <c r="G121" s="522">
        <f t="shared" ca="1" si="380"/>
        <v>1</v>
      </c>
      <c r="H121" s="519">
        <f t="shared" ca="1" si="381"/>
        <v>1</v>
      </c>
      <c r="I121" s="724">
        <f t="shared" ca="1" si="411"/>
        <v>7.3979327189235999E-2</v>
      </c>
      <c r="J121" s="198">
        <f t="shared" ca="1" si="213"/>
        <v>0.52435246926669343</v>
      </c>
      <c r="K121" s="200">
        <f t="shared" ca="1" si="389"/>
        <v>29.8</v>
      </c>
      <c r="L121" s="201">
        <f t="shared" ca="1" si="390"/>
        <v>31.05</v>
      </c>
      <c r="M121" s="206">
        <f t="shared" ca="1" si="391"/>
        <v>32.299999999999997</v>
      </c>
      <c r="N121" s="851">
        <f t="shared" ca="1" si="395"/>
        <v>25.517498397827143</v>
      </c>
      <c r="O121" s="201">
        <f t="shared" ca="1" si="396"/>
        <v>26.454998397827143</v>
      </c>
      <c r="P121" s="206">
        <f t="shared" ca="1" si="397"/>
        <v>27.392498397827143</v>
      </c>
      <c r="Q121" s="201">
        <f t="shared" ca="1" si="398"/>
        <v>19.649999237060541</v>
      </c>
      <c r="R121" s="201">
        <f t="shared" ca="1" si="399"/>
        <v>22.949999237060542</v>
      </c>
      <c r="S121" s="201">
        <f t="shared" ca="1" si="400"/>
        <v>26.249999237060543</v>
      </c>
      <c r="T121" s="851">
        <f t="shared" ca="1" si="392"/>
        <v>20.374999237060546</v>
      </c>
      <c r="U121" s="201">
        <f t="shared" ca="1" si="393"/>
        <v>20.999999237060546</v>
      </c>
      <c r="V121" s="206">
        <f t="shared" ca="1" si="394"/>
        <v>21.624999237060546</v>
      </c>
      <c r="W121" s="230">
        <f t="shared" ca="1" si="382"/>
        <v>8.6922043244789041E-2</v>
      </c>
      <c r="X121" s="231">
        <f t="shared" ca="1" si="383"/>
        <v>0.17384408648957808</v>
      </c>
      <c r="Y121" s="232">
        <f t="shared" ca="1" si="384"/>
        <v>0.26076612973436714</v>
      </c>
      <c r="Z121" s="231">
        <f t="shared" ca="1" si="404"/>
        <v>8.6922043244789041E-2</v>
      </c>
      <c r="AA121" s="231">
        <f t="shared" ca="1" si="405"/>
        <v>0.17384408648957808</v>
      </c>
      <c r="AB121" s="232">
        <f t="shared" ca="1" si="406"/>
        <v>0.26076612973436714</v>
      </c>
      <c r="AC121" s="231">
        <f t="shared" ca="1" si="407"/>
        <v>8.6922043244789041E-2</v>
      </c>
      <c r="AD121" s="231">
        <f t="shared" ca="1" si="408"/>
        <v>0.17384408648957808</v>
      </c>
      <c r="AE121" s="232">
        <f t="shared" ca="1" si="214"/>
        <v>0.26076612973436714</v>
      </c>
      <c r="AF121" s="231">
        <f t="shared" ca="1" si="385"/>
        <v>2.5522890677453561E-2</v>
      </c>
      <c r="AG121" s="231">
        <f t="shared" ca="1" si="386"/>
        <v>5.1045781354907123E-2</v>
      </c>
      <c r="AH121" s="232">
        <f t="shared" ca="1" si="387"/>
        <v>7.6568672032360688E-2</v>
      </c>
      <c r="AI121" s="233">
        <f t="shared" ca="1" si="215"/>
        <v>1</v>
      </c>
      <c r="AJ121" s="233">
        <f t="shared" ca="1" si="216"/>
        <v>1.25</v>
      </c>
      <c r="AK121" s="234">
        <f t="shared" ca="1" si="217"/>
        <v>1.6</v>
      </c>
      <c r="AL121" s="919">
        <f t="shared" ca="1" si="218"/>
        <v>1</v>
      </c>
      <c r="AM121" s="233">
        <f t="shared" ca="1" si="219"/>
        <v>1.25</v>
      </c>
      <c r="AN121" s="234">
        <f t="shared" ca="1" si="220"/>
        <v>1.6</v>
      </c>
      <c r="AO121" s="233">
        <f t="shared" ca="1" si="221"/>
        <v>1</v>
      </c>
      <c r="AP121" s="233">
        <f t="shared" ca="1" si="222"/>
        <v>1.25</v>
      </c>
      <c r="AQ121" s="233">
        <f t="shared" ca="1" si="223"/>
        <v>1.6</v>
      </c>
      <c r="AR121" s="919">
        <f t="shared" ca="1" si="224"/>
        <v>0.15</v>
      </c>
      <c r="AS121" s="233">
        <f t="shared" ca="1" si="225"/>
        <v>0.3</v>
      </c>
      <c r="AT121" s="235">
        <f t="shared" ca="1" si="226"/>
        <v>0.5</v>
      </c>
      <c r="AU121" s="946">
        <f t="shared" si="227"/>
        <v>0.5</v>
      </c>
      <c r="AV121" s="13">
        <f t="shared" ca="1" si="228"/>
        <v>22</v>
      </c>
      <c r="AW121" s="210">
        <f t="shared" ca="1" si="229"/>
        <v>4</v>
      </c>
      <c r="AX121" s="210">
        <f t="shared" ca="1" si="230"/>
        <v>4</v>
      </c>
      <c r="AY121" s="210">
        <f t="shared" ca="1" si="231"/>
        <v>1</v>
      </c>
      <c r="AZ121" s="13">
        <f t="shared" ca="1" si="232"/>
        <v>31</v>
      </c>
      <c r="BA121" s="357">
        <f ca="1"/>
        <v>352</v>
      </c>
      <c r="BB121" s="925">
        <f ca="1"/>
        <v>64</v>
      </c>
      <c r="BC121" s="925">
        <f ca="1"/>
        <v>80</v>
      </c>
      <c r="BD121" s="928">
        <f ca="1"/>
        <v>248</v>
      </c>
      <c r="BE121" s="200">
        <f ca="1"/>
        <v>0.9999692440032959</v>
      </c>
      <c r="BF121" s="851">
        <f ca="1"/>
        <v>0.9999692440032959</v>
      </c>
      <c r="BG121" s="851">
        <f ca="1"/>
        <v>0.9999692440032959</v>
      </c>
      <c r="BH121" s="933">
        <f ca="1"/>
        <v>1.0000000074505806</v>
      </c>
      <c r="BI121" s="357">
        <f ca="1"/>
        <v>352</v>
      </c>
      <c r="BJ121" s="925">
        <f ca="1"/>
        <v>64</v>
      </c>
      <c r="BK121" s="925">
        <f ca="1"/>
        <v>80</v>
      </c>
      <c r="BL121" s="928">
        <f ca="1"/>
        <v>248</v>
      </c>
      <c r="BM121" s="200">
        <f ca="1"/>
        <v>0.9999692440032959</v>
      </c>
      <c r="BN121" s="851">
        <f ca="1"/>
        <v>0.9999692440032959</v>
      </c>
      <c r="BO121" s="851">
        <f ca="1"/>
        <v>0.9999692440032959</v>
      </c>
      <c r="BP121" s="933">
        <f ca="1"/>
        <v>1.0000000074505806</v>
      </c>
      <c r="BQ121" s="357">
        <f t="shared" ca="1" si="233"/>
        <v>744</v>
      </c>
      <c r="BR121" s="361">
        <f t="shared" ca="1" si="234"/>
        <v>744</v>
      </c>
      <c r="BS121" s="357">
        <f t="shared" ca="1" si="235"/>
        <v>390.11823713441993</v>
      </c>
      <c r="BT121" s="302">
        <f t="shared" ca="1" si="236"/>
        <v>25.197981841540894</v>
      </c>
      <c r="BU121" s="299">
        <f t="shared" ca="1" si="237"/>
        <v>26.433165314085731</v>
      </c>
      <c r="BV121" s="299">
        <f t="shared" ca="1" si="238"/>
        <v>27.668348786630567</v>
      </c>
      <c r="BW121" s="299">
        <f t="shared" ca="1" si="239"/>
        <v>32.659889647739881</v>
      </c>
      <c r="BX121" s="380">
        <f t="shared" ca="1" si="240"/>
        <v>8.7501711156741955</v>
      </c>
      <c r="BY121" s="363">
        <f t="shared" ca="1" si="241"/>
        <v>184.57206918187609</v>
      </c>
      <c r="BZ121" s="353">
        <f t="shared" ca="1" si="242"/>
        <v>33.55855803306838</v>
      </c>
      <c r="CA121" s="353">
        <f t="shared" ca="1" si="243"/>
        <v>41.948197541335475</v>
      </c>
      <c r="CB121" s="353">
        <f t="shared" ca="1" si="244"/>
        <v>260.07882475627991</v>
      </c>
      <c r="CC121" s="353">
        <f t="shared" ca="1" si="245"/>
        <v>130.03941237813996</v>
      </c>
      <c r="CD121" s="353">
        <f t="shared" ca="1" si="246"/>
        <v>390.11823713441987</v>
      </c>
      <c r="CE121" s="302">
        <f t="shared" ca="1" si="247"/>
        <v>32.299006581306458</v>
      </c>
      <c r="CF121" s="299">
        <f t="shared" ca="1" si="248"/>
        <v>27.391655914236704</v>
      </c>
      <c r="CG121" s="299">
        <f t="shared" ca="1" si="249"/>
        <v>26.249191892170526</v>
      </c>
      <c r="CH121" s="299">
        <f t="shared" ca="1" si="250"/>
        <v>30.69002348085618</v>
      </c>
      <c r="CI121" s="299">
        <f t="shared" ca="1" si="251"/>
        <v>21.624999398179344</v>
      </c>
      <c r="CJ121" s="299">
        <f t="shared" ca="1" si="252"/>
        <v>27.668348786630567</v>
      </c>
      <c r="CK121" s="299">
        <f t="shared" ca="1" si="253"/>
        <v>32.659889647739881</v>
      </c>
      <c r="CL121" s="377">
        <f t="shared" ca="1" si="254"/>
        <v>0.26076612973436714</v>
      </c>
      <c r="CM121" s="305">
        <f t="shared" ca="1" si="255"/>
        <v>0.26076612973436714</v>
      </c>
      <c r="CN121" s="305">
        <f t="shared" ca="1" si="256"/>
        <v>0.26076612973436714</v>
      </c>
      <c r="CO121" s="305">
        <f t="shared" ca="1" si="257"/>
        <v>0.26076612973436714</v>
      </c>
      <c r="CP121" s="305">
        <f t="shared" ca="1" si="258"/>
        <v>7.6568672032360688E-2</v>
      </c>
      <c r="CQ121" s="305">
        <f t="shared" ca="1" si="259"/>
        <v>0.21227531648166398</v>
      </c>
      <c r="CR121" s="775">
        <f t="shared" ca="1" si="260"/>
        <v>0.26076612973436714</v>
      </c>
      <c r="CS121" s="305">
        <f t="shared" ca="1" si="261"/>
        <v>0.27826612973436715</v>
      </c>
      <c r="CT121" s="305">
        <f t="shared" ca="1" si="262"/>
        <v>0.28576612973436716</v>
      </c>
      <c r="CU121" s="305">
        <f t="shared" ca="1" si="263"/>
        <v>0.13656867203236067</v>
      </c>
      <c r="CV121" s="770">
        <f t="shared" ca="1" si="264"/>
        <v>0.22727531648166399</v>
      </c>
      <c r="CW121" s="302">
        <f t="shared" ca="1" si="265"/>
        <v>9.5730521731512219</v>
      </c>
      <c r="CX121" s="299">
        <f t="shared" ca="1" si="266"/>
        <v>7.1597960165881744</v>
      </c>
      <c r="CY121" s="299">
        <f t="shared" ca="1" si="267"/>
        <v>6.7400337507374175</v>
      </c>
      <c r="CZ121" s="299">
        <f t="shared" ca="1" si="268"/>
        <v>0.84882203305790505</v>
      </c>
      <c r="DA121" s="774">
        <f t="shared" ca="1" si="269"/>
        <v>5.67549815483755</v>
      </c>
      <c r="DB121" s="303">
        <f t="shared" ca="1" si="270"/>
        <v>2214.1153350248778</v>
      </c>
      <c r="DC121" s="248">
        <f t="shared" ca="1" si="271"/>
        <v>208.96107487521385</v>
      </c>
      <c r="DD121" s="778">
        <f t="shared" ca="1" si="272"/>
        <v>0</v>
      </c>
      <c r="DE121" s="363">
        <f t="shared" ca="1" si="273"/>
        <v>0.52435246926669343</v>
      </c>
      <c r="DF121" s="378">
        <f t="shared" ca="1" si="274"/>
        <v>-0.40008673374343789</v>
      </c>
      <c r="DG121" s="508">
        <f t="shared" ca="1" si="275"/>
        <v>-0.62527284899866309</v>
      </c>
      <c r="DH121" s="508">
        <f t="shared" ca="1" si="276"/>
        <v>-0.68115598772471631</v>
      </c>
      <c r="DI121" s="508">
        <f t="shared" ca="1" si="277"/>
        <v>-1.2225802979636424</v>
      </c>
      <c r="DJ121" s="508">
        <f t="shared" ca="1" si="278"/>
        <v>-0.58285271676048622</v>
      </c>
      <c r="DK121" s="353">
        <f t="shared" ca="1" si="279"/>
        <v>-109.23161628909925</v>
      </c>
      <c r="DL121" s="781">
        <f t="shared" ca="1" si="280"/>
        <v>5.9808453530095811</v>
      </c>
      <c r="DM121" s="303">
        <f t="shared" ca="1" si="281"/>
        <v>9163.5166967358873</v>
      </c>
      <c r="DN121" s="508">
        <f t="shared" ca="1" si="282"/>
        <v>1.4751298822438763</v>
      </c>
      <c r="DO121" s="508">
        <f t="shared" ca="1" si="283"/>
        <v>1.4194129509732334</v>
      </c>
      <c r="DP121" s="508">
        <f t="shared" ca="1" si="284"/>
        <v>1.4050091293431339</v>
      </c>
      <c r="DQ121" s="508">
        <f t="shared" ca="1" si="285"/>
        <v>1.3394918709300925</v>
      </c>
      <c r="DR121" s="508">
        <f t="shared" ca="1" si="286"/>
        <v>1.4228110070209392</v>
      </c>
      <c r="DS121" s="353">
        <f t="shared" ca="1" si="287"/>
        <v>4629.2119088365007</v>
      </c>
      <c r="DT121" s="353">
        <f t="shared" ca="1" si="288"/>
        <v>-10111.028589493906</v>
      </c>
      <c r="DU121" s="380">
        <f t="shared" ca="1" si="388"/>
        <v>8.7501711156741955</v>
      </c>
      <c r="DV121" s="303">
        <f t="shared" ca="1" si="289"/>
        <v>184.57206918187609</v>
      </c>
      <c r="DW121" s="303">
        <f t="shared" ca="1" si="290"/>
        <v>33.55855803306838</v>
      </c>
      <c r="DX121" s="303">
        <f t="shared" ca="1" si="291"/>
        <v>41.948197541335475</v>
      </c>
      <c r="DY121" s="303">
        <f t="shared" ca="1" si="292"/>
        <v>260.07882475627991</v>
      </c>
      <c r="DZ121" s="303">
        <f t="shared" ca="1" si="293"/>
        <v>130.03941237813996</v>
      </c>
      <c r="EA121" s="303">
        <f t="shared" ca="1" si="294"/>
        <v>390.11823713441987</v>
      </c>
      <c r="EB121" s="302">
        <f t="shared" ca="1" si="295"/>
        <v>32.299006581306458</v>
      </c>
      <c r="EC121" s="299">
        <f t="shared" ca="1" si="296"/>
        <v>27.391655914236704</v>
      </c>
      <c r="ED121" s="299">
        <f t="shared" ca="1" si="297"/>
        <v>26.249191892170526</v>
      </c>
      <c r="EE121" s="299">
        <f t="shared" ca="1" si="298"/>
        <v>30.69002348085618</v>
      </c>
      <c r="EF121" s="299">
        <f t="shared" ca="1" si="299"/>
        <v>21.624999398179344</v>
      </c>
      <c r="EG121" s="299">
        <f t="shared" ca="1" si="300"/>
        <v>27.668348786630567</v>
      </c>
      <c r="EH121" s="302">
        <f t="shared" ca="1" si="301"/>
        <v>30</v>
      </c>
      <c r="EI121" s="304">
        <f t="shared" ca="1" si="302"/>
        <v>8.6922043244789041E-2</v>
      </c>
      <c r="EJ121" s="305">
        <f t="shared" ca="1" si="303"/>
        <v>8.6922043244789041E-2</v>
      </c>
      <c r="EK121" s="305">
        <f t="shared" ca="1" si="304"/>
        <v>8.6922043244789041E-2</v>
      </c>
      <c r="EL121" s="305">
        <f t="shared" ca="1" si="305"/>
        <v>8.6922043244788999E-2</v>
      </c>
      <c r="EM121" s="305">
        <f t="shared" ca="1" si="306"/>
        <v>2.5522890677453561E-2</v>
      </c>
      <c r="EN121" s="305">
        <f t="shared" ca="1" si="307"/>
        <v>6.818407950586064E-2</v>
      </c>
      <c r="EO121" s="305">
        <f t="shared" ca="1" si="308"/>
        <v>8.6922043244789041E-2</v>
      </c>
      <c r="EP121" s="305">
        <f t="shared" ca="1" si="309"/>
        <v>8.6922043244789041E-2</v>
      </c>
      <c r="EQ121" s="305">
        <f t="shared" ca="1" si="310"/>
        <v>8.6922043244789041E-2</v>
      </c>
      <c r="ER121" s="305">
        <f t="shared" ca="1" si="311"/>
        <v>2.5522890677453561E-2</v>
      </c>
      <c r="ES121" s="305">
        <f t="shared" ca="1" si="312"/>
        <v>6.818407950586064E-2</v>
      </c>
      <c r="ET121" s="299">
        <f t="shared" ca="1" si="313"/>
        <v>3.6651631775875479</v>
      </c>
      <c r="EU121" s="302">
        <f t="shared" ca="1" si="314"/>
        <v>30</v>
      </c>
      <c r="EV121" s="304">
        <f t="shared" ca="1" si="315"/>
        <v>0.26076612973436714</v>
      </c>
      <c r="EW121" s="305">
        <f t="shared" ca="1" si="316"/>
        <v>0.26076612973436714</v>
      </c>
      <c r="EX121" s="305">
        <f t="shared" ca="1" si="317"/>
        <v>0.26076612973436714</v>
      </c>
      <c r="EY121" s="305">
        <f t="shared" ca="1" si="318"/>
        <v>0.26076612973436714</v>
      </c>
      <c r="EZ121" s="305">
        <f t="shared" ca="1" si="319"/>
        <v>7.6568672032360688E-2</v>
      </c>
      <c r="FA121" s="305">
        <f t="shared" ca="1" si="320"/>
        <v>0.21227531648166398</v>
      </c>
      <c r="FB121" s="305">
        <f t="shared" ca="1" si="321"/>
        <v>0.26076612973436714</v>
      </c>
      <c r="FC121" s="305">
        <f t="shared" ca="1" si="322"/>
        <v>0.26076612973436714</v>
      </c>
      <c r="FD121" s="305">
        <f t="shared" ca="1" si="323"/>
        <v>0.26076612973436714</v>
      </c>
      <c r="FE121" s="305">
        <f t="shared" ca="1" si="324"/>
        <v>7.6568672032360688E-2</v>
      </c>
      <c r="FF121" s="305">
        <f t="shared" ca="1" si="325"/>
        <v>0.21227531648166398</v>
      </c>
      <c r="FG121" s="299">
        <f t="shared" ca="1" si="326"/>
        <v>5.9973280923900649</v>
      </c>
      <c r="FH121" s="302">
        <f t="shared" ca="1" si="327"/>
        <v>-2.332164914802517</v>
      </c>
      <c r="FI121" s="248">
        <f t="shared" ca="1" si="328"/>
        <v>-909.82006526950238</v>
      </c>
      <c r="FJ121" s="363">
        <f t="shared" ca="1" si="329"/>
        <v>0.52435246926669343</v>
      </c>
      <c r="FK121" s="378">
        <f t="shared" ca="1" si="330"/>
        <v>0.15861531154035144</v>
      </c>
      <c r="FL121" s="508">
        <f t="shared" ca="1" si="331"/>
        <v>-0.48231945595725828</v>
      </c>
      <c r="FM121" s="508">
        <f t="shared" ca="1" si="332"/>
        <v>-0.64801253806045178</v>
      </c>
      <c r="FN121" s="508">
        <f t="shared" ca="1" si="333"/>
        <v>-4.3735638498032934</v>
      </c>
      <c r="FO121" s="508">
        <f t="shared" ca="1" si="334"/>
        <v>-0.50199182988759006</v>
      </c>
      <c r="FP121" s="353">
        <f t="shared" ca="1" si="335"/>
        <v>270.02555493692319</v>
      </c>
      <c r="FQ121" s="356">
        <f t="shared" ca="1" si="336"/>
        <v>22.676383891344791</v>
      </c>
      <c r="FR121" s="380">
        <f t="shared" ca="1" si="337"/>
        <v>25.932000000000002</v>
      </c>
      <c r="FS121" s="299">
        <f t="shared" ca="1" si="338"/>
        <v>25.932000000000002</v>
      </c>
      <c r="FT121" s="299">
        <f t="shared" ca="1" si="339"/>
        <v>25.932000000000002</v>
      </c>
      <c r="FU121" s="299">
        <f t="shared" ca="1" si="340"/>
        <v>25.932000000000002</v>
      </c>
      <c r="FV121" s="299">
        <f t="shared" ca="1" si="341"/>
        <v>25.932000000000006</v>
      </c>
      <c r="FW121" s="850">
        <f t="shared" ca="1" si="342"/>
        <v>0.16500000000000001</v>
      </c>
      <c r="FX121" s="851">
        <f t="shared" ca="1" si="343"/>
        <v>0.5</v>
      </c>
      <c r="FY121" s="851">
        <f t="shared" ca="1" si="344"/>
        <v>0</v>
      </c>
      <c r="FZ121" s="201">
        <f t="shared" ca="1" si="345"/>
        <v>0</v>
      </c>
      <c r="GA121" s="201">
        <f t="shared" ca="1" si="346"/>
        <v>0</v>
      </c>
      <c r="GB121" s="201">
        <f t="shared" ca="1" si="347"/>
        <v>0</v>
      </c>
      <c r="GC121" s="201">
        <f t="shared" ca="1" si="348"/>
        <v>0</v>
      </c>
      <c r="GD121" s="850">
        <f t="shared" ca="1" si="349"/>
        <v>0.27576612973436715</v>
      </c>
      <c r="GE121" s="866">
        <f t="shared" ca="1" si="350"/>
        <v>0.26076612973436714</v>
      </c>
      <c r="GF121" s="866">
        <f t="shared" ca="1" si="351"/>
        <v>0.26076612973436714</v>
      </c>
      <c r="GG121" s="866">
        <f t="shared" ca="1" si="352"/>
        <v>9.1568672032360687E-2</v>
      </c>
      <c r="GH121" s="866">
        <f t="shared" ca="1" si="353"/>
        <v>0.21477531648166398</v>
      </c>
      <c r="GI121" s="302">
        <f t="shared" ca="1" si="354"/>
        <v>11.636130021237447</v>
      </c>
      <c r="GJ121" s="299">
        <f t="shared" ca="1" si="355"/>
        <v>7.8060270267945606</v>
      </c>
      <c r="GK121" s="299">
        <f t="shared" ca="1" si="356"/>
        <v>7.0624692608668997</v>
      </c>
      <c r="GL121" s="299">
        <f t="shared" ca="1" si="357"/>
        <v>2.1890744401003182</v>
      </c>
      <c r="GM121" s="299">
        <f t="shared" ca="1" si="358"/>
        <v>6.9797900788011402</v>
      </c>
      <c r="GN121" s="302">
        <f t="shared" ca="1" si="359"/>
        <v>0.74675157922305291</v>
      </c>
      <c r="GO121" s="299">
        <f t="shared" ca="1" si="360"/>
        <v>0.6623700551203956</v>
      </c>
      <c r="GP121" s="299">
        <f t="shared" ca="1" si="361"/>
        <v>0.63904268788913676</v>
      </c>
      <c r="GQ121" s="299">
        <f t="shared" ca="1" si="362"/>
        <v>0.4140806189391204</v>
      </c>
      <c r="GR121" s="299">
        <f t="shared" ca="1" si="363"/>
        <v>0.65561237426565133</v>
      </c>
      <c r="GS121" s="302">
        <f t="shared" ca="1" si="364"/>
        <v>-0.48138231342693721</v>
      </c>
      <c r="GT121" s="299">
        <f t="shared" ca="1" si="365"/>
        <v>-0.39863445585528651</v>
      </c>
      <c r="GU121" s="299">
        <f t="shared" ca="1" si="366"/>
        <v>-0.37451357980152794</v>
      </c>
      <c r="GV121" s="299">
        <f t="shared" ca="1" si="367"/>
        <v>-0.2608907276894526</v>
      </c>
      <c r="GW121" s="299">
        <f t="shared" ca="1" si="368"/>
        <v>-0.43035333286833233</v>
      </c>
      <c r="GX121" s="303">
        <f t="shared" ca="1" si="369"/>
        <v>2147.7045952891435</v>
      </c>
      <c r="GY121" s="303">
        <f t="shared" ca="1" si="370"/>
        <v>261.95901098638547</v>
      </c>
      <c r="GZ121" s="303">
        <f t="shared" ca="1" si="371"/>
        <v>296.25785568445423</v>
      </c>
      <c r="HA121" s="303">
        <f t="shared" ca="1" si="372"/>
        <v>284.66595384265111</v>
      </c>
      <c r="HB121" s="303">
        <f t="shared" ca="1" si="373"/>
        <v>2722.9434011102144</v>
      </c>
      <c r="HC121" s="303">
        <f t="shared" ca="1" si="374"/>
        <v>1175.1715792063555</v>
      </c>
      <c r="HD121" s="303">
        <f t="shared" ca="1" si="375"/>
        <v>48.983947706223844</v>
      </c>
      <c r="HE121" s="303">
        <f t="shared" ca="1" si="376"/>
        <v>13.3056281512791</v>
      </c>
      <c r="HF121" s="303">
        <f t="shared" ca="1" si="377"/>
        <v>0</v>
      </c>
      <c r="HG121" s="852">
        <f t="shared" ca="1" si="378"/>
        <v>677.38132769080346</v>
      </c>
    </row>
    <row r="122" spans="1:215" x14ac:dyDescent="0.25">
      <c r="A122" s="244">
        <f t="shared" ca="1" si="379"/>
        <v>39814</v>
      </c>
      <c r="B122" s="13">
        <f t="shared" ca="1" si="409"/>
        <v>2009</v>
      </c>
      <c r="C122" s="619">
        <f t="shared" ca="1" si="410"/>
        <v>1</v>
      </c>
      <c r="D122" s="195">
        <f t="shared" ca="1" si="209"/>
        <v>39814</v>
      </c>
      <c r="E122" s="469">
        <f t="shared" ca="1" si="210"/>
        <v>39814</v>
      </c>
      <c r="F122" s="465">
        <f t="shared" ca="1" si="211"/>
        <v>39844</v>
      </c>
      <c r="G122" s="522">
        <f t="shared" ca="1" si="380"/>
        <v>1</v>
      </c>
      <c r="H122" s="519">
        <f t="shared" ca="1" si="381"/>
        <v>1</v>
      </c>
      <c r="I122" s="724">
        <f t="shared" ca="1" si="411"/>
        <v>7.3994612646060998E-2</v>
      </c>
      <c r="J122" s="198">
        <f t="shared" ca="1" si="213"/>
        <v>0.52106058799387756</v>
      </c>
      <c r="K122" s="200">
        <f t="shared" ca="1" si="389"/>
        <v>35.75</v>
      </c>
      <c r="L122" s="201">
        <f t="shared" ca="1" si="390"/>
        <v>37.15</v>
      </c>
      <c r="M122" s="206">
        <f t="shared" ca="1" si="391"/>
        <v>38.549999999999997</v>
      </c>
      <c r="N122" s="851">
        <f t="shared" ca="1" si="395"/>
        <v>28.798748779296869</v>
      </c>
      <c r="O122" s="201">
        <f t="shared" ca="1" si="396"/>
        <v>29.848748779296869</v>
      </c>
      <c r="P122" s="206">
        <f t="shared" ca="1" si="397"/>
        <v>30.89874877929687</v>
      </c>
      <c r="Q122" s="201">
        <f t="shared" ca="1" si="398"/>
        <v>25.052500534057611</v>
      </c>
      <c r="R122" s="201">
        <f t="shared" ca="1" si="399"/>
        <v>28.352500534057612</v>
      </c>
      <c r="S122" s="201">
        <f t="shared" ca="1" si="400"/>
        <v>31.652500534057612</v>
      </c>
      <c r="T122" s="851">
        <f t="shared" ca="1" si="392"/>
        <v>20.29000015258789</v>
      </c>
      <c r="U122" s="201">
        <f t="shared" ca="1" si="393"/>
        <v>20.990000152587889</v>
      </c>
      <c r="V122" s="206">
        <f t="shared" ca="1" si="394"/>
        <v>21.690000152587888</v>
      </c>
      <c r="W122" s="230">
        <f t="shared" ca="1" si="382"/>
        <v>9.387399102740232E-2</v>
      </c>
      <c r="X122" s="231">
        <f t="shared" ca="1" si="383"/>
        <v>0.18774798205480464</v>
      </c>
      <c r="Y122" s="232">
        <f t="shared" ca="1" si="384"/>
        <v>0.28162197308220693</v>
      </c>
      <c r="Z122" s="231">
        <f t="shared" ca="1" si="404"/>
        <v>9.387399102740232E-2</v>
      </c>
      <c r="AA122" s="231">
        <f t="shared" ca="1" si="405"/>
        <v>0.18774798205480464</v>
      </c>
      <c r="AB122" s="232">
        <f t="shared" ca="1" si="406"/>
        <v>0.28162197308220693</v>
      </c>
      <c r="AC122" s="231">
        <f t="shared" ca="1" si="407"/>
        <v>9.387399102740232E-2</v>
      </c>
      <c r="AD122" s="231">
        <f t="shared" ca="1" si="408"/>
        <v>0.18774798205480464</v>
      </c>
      <c r="AE122" s="232">
        <f t="shared" ca="1" si="214"/>
        <v>0.28162197308220693</v>
      </c>
      <c r="AF122" s="231">
        <f t="shared" ca="1" si="385"/>
        <v>2.9181171674555251E-2</v>
      </c>
      <c r="AG122" s="231">
        <f t="shared" ca="1" si="386"/>
        <v>5.8362343349110501E-2</v>
      </c>
      <c r="AH122" s="232">
        <f t="shared" ca="1" si="387"/>
        <v>8.7543515023665752E-2</v>
      </c>
      <c r="AI122" s="233">
        <f t="shared" ca="1" si="215"/>
        <v>1.25</v>
      </c>
      <c r="AJ122" s="233">
        <f t="shared" ca="1" si="216"/>
        <v>2</v>
      </c>
      <c r="AK122" s="234">
        <f t="shared" ca="1" si="217"/>
        <v>2.75</v>
      </c>
      <c r="AL122" s="919">
        <f t="shared" ca="1" si="218"/>
        <v>1.25</v>
      </c>
      <c r="AM122" s="233">
        <f t="shared" ca="1" si="219"/>
        <v>2</v>
      </c>
      <c r="AN122" s="234">
        <f t="shared" ca="1" si="220"/>
        <v>2.75</v>
      </c>
      <c r="AO122" s="233">
        <f t="shared" ca="1" si="221"/>
        <v>1.25</v>
      </c>
      <c r="AP122" s="233">
        <f t="shared" ca="1" si="222"/>
        <v>2</v>
      </c>
      <c r="AQ122" s="233">
        <f t="shared" ca="1" si="223"/>
        <v>2.75</v>
      </c>
      <c r="AR122" s="919">
        <f t="shared" ca="1" si="224"/>
        <v>0.35</v>
      </c>
      <c r="AS122" s="233">
        <f t="shared" ca="1" si="225"/>
        <v>0.5</v>
      </c>
      <c r="AT122" s="235">
        <f t="shared" ca="1" si="226"/>
        <v>0.7</v>
      </c>
      <c r="AU122" s="946">
        <f t="shared" si="227"/>
        <v>0.5</v>
      </c>
      <c r="AV122" s="13">
        <f t="shared" ca="1" si="228"/>
        <v>21</v>
      </c>
      <c r="AW122" s="210">
        <f t="shared" ca="1" si="229"/>
        <v>5</v>
      </c>
      <c r="AX122" s="210">
        <f t="shared" ca="1" si="230"/>
        <v>4</v>
      </c>
      <c r="AY122" s="210">
        <f t="shared" ca="1" si="231"/>
        <v>1</v>
      </c>
      <c r="AZ122" s="13">
        <f t="shared" ca="1" si="232"/>
        <v>31</v>
      </c>
      <c r="BA122" s="357">
        <f ca="1"/>
        <v>336</v>
      </c>
      <c r="BB122" s="925">
        <f ca="1"/>
        <v>80</v>
      </c>
      <c r="BC122" s="925">
        <f ca="1"/>
        <v>80</v>
      </c>
      <c r="BD122" s="928">
        <f ca="1"/>
        <v>248</v>
      </c>
      <c r="BE122" s="200">
        <f ca="1"/>
        <v>0.99998503923416138</v>
      </c>
      <c r="BF122" s="851">
        <f ca="1"/>
        <v>0.99998503923416138</v>
      </c>
      <c r="BG122" s="851">
        <f ca="1"/>
        <v>0.99998503923416138</v>
      </c>
      <c r="BH122" s="933">
        <f ca="1"/>
        <v>1.0000070855021477</v>
      </c>
      <c r="BI122" s="357">
        <f ca="1"/>
        <v>336</v>
      </c>
      <c r="BJ122" s="925">
        <f ca="1"/>
        <v>80</v>
      </c>
      <c r="BK122" s="925">
        <f ca="1"/>
        <v>80</v>
      </c>
      <c r="BL122" s="928">
        <f ca="1"/>
        <v>248</v>
      </c>
      <c r="BM122" s="200">
        <f ca="1"/>
        <v>0.99998503923416138</v>
      </c>
      <c r="BN122" s="851">
        <f ca="1"/>
        <v>0.99998503923416138</v>
      </c>
      <c r="BO122" s="851">
        <f ca="1"/>
        <v>0.99998503923416138</v>
      </c>
      <c r="BP122" s="933">
        <f ca="1"/>
        <v>1.0000070855021477</v>
      </c>
      <c r="BQ122" s="357">
        <f t="shared" ca="1" si="233"/>
        <v>744</v>
      </c>
      <c r="BR122" s="361">
        <f t="shared" ca="1" si="234"/>
        <v>744</v>
      </c>
      <c r="BS122" s="357">
        <f t="shared" ca="1" si="235"/>
        <v>387.66907746744488</v>
      </c>
      <c r="BT122" s="302">
        <f t="shared" ca="1" si="236"/>
        <v>28.69867133789872</v>
      </c>
      <c r="BU122" s="299">
        <f t="shared" ca="1" si="237"/>
        <v>30.03198986767347</v>
      </c>
      <c r="BV122" s="299">
        <f t="shared" ca="1" si="238"/>
        <v>31.36530839744821</v>
      </c>
      <c r="BW122" s="299">
        <f t="shared" ca="1" si="239"/>
        <v>32.659889647739881</v>
      </c>
      <c r="BX122" s="380">
        <f t="shared" ca="1" si="240"/>
        <v>8.8350444900752905</v>
      </c>
      <c r="BY122" s="363">
        <f t="shared" ca="1" si="241"/>
        <v>175.07635756594286</v>
      </c>
      <c r="BZ122" s="353">
        <f t="shared" ca="1" si="242"/>
        <v>41.684847039510203</v>
      </c>
      <c r="CA122" s="353">
        <f t="shared" ca="1" si="243"/>
        <v>41.684847039510203</v>
      </c>
      <c r="CB122" s="353">
        <f t="shared" ca="1" si="244"/>
        <v>258.44605164496329</v>
      </c>
      <c r="CC122" s="353">
        <f t="shared" ca="1" si="245"/>
        <v>129.22302582248165</v>
      </c>
      <c r="CD122" s="353">
        <f t="shared" ca="1" si="246"/>
        <v>387.66907746744494</v>
      </c>
      <c r="CE122" s="302">
        <f t="shared" ca="1" si="247"/>
        <v>38.549423262476921</v>
      </c>
      <c r="CF122" s="299">
        <f t="shared" ca="1" si="248"/>
        <v>30.898286510351678</v>
      </c>
      <c r="CG122" s="299">
        <f t="shared" ca="1" si="249"/>
        <v>31.652026988408917</v>
      </c>
      <c r="CH122" s="299">
        <f t="shared" ca="1" si="250"/>
        <v>36.202885677607036</v>
      </c>
      <c r="CI122" s="299">
        <f t="shared" ca="1" si="251"/>
        <v>21.690153837130552</v>
      </c>
      <c r="CJ122" s="299">
        <f t="shared" ca="1" si="252"/>
        <v>31.365308397448207</v>
      </c>
      <c r="CK122" s="299">
        <f t="shared" ca="1" si="253"/>
        <v>32.659889647739881</v>
      </c>
      <c r="CL122" s="377">
        <f t="shared" ca="1" si="254"/>
        <v>0.28162197308220693</v>
      </c>
      <c r="CM122" s="305">
        <f t="shared" ca="1" si="255"/>
        <v>0.28162197308220693</v>
      </c>
      <c r="CN122" s="305">
        <f t="shared" ca="1" si="256"/>
        <v>0.28162197308220693</v>
      </c>
      <c r="CO122" s="305">
        <f t="shared" ca="1" si="257"/>
        <v>0.28162197308220699</v>
      </c>
      <c r="CP122" s="305">
        <f t="shared" ca="1" si="258"/>
        <v>8.7543515023665752E-2</v>
      </c>
      <c r="CQ122" s="305">
        <f t="shared" ca="1" si="259"/>
        <v>0.23744859509773913</v>
      </c>
      <c r="CR122" s="775">
        <f t="shared" ca="1" si="260"/>
        <v>0.29662197308220695</v>
      </c>
      <c r="CS122" s="305">
        <f t="shared" ca="1" si="261"/>
        <v>0.28162197308220693</v>
      </c>
      <c r="CT122" s="305">
        <f t="shared" ca="1" si="262"/>
        <v>0.28162197308220693</v>
      </c>
      <c r="CU122" s="305">
        <f t="shared" ca="1" si="263"/>
        <v>0.14754351502366575</v>
      </c>
      <c r="CV122" s="770">
        <f t="shared" ca="1" si="264"/>
        <v>0.23744859509773913</v>
      </c>
      <c r="CW122" s="302">
        <f t="shared" ca="1" si="265"/>
        <v>15.27391561174406</v>
      </c>
      <c r="CX122" s="299">
        <f t="shared" ca="1" si="266"/>
        <v>9.4512494836852348</v>
      </c>
      <c r="CY122" s="299">
        <f t="shared" ca="1" si="267"/>
        <v>9.9359766758267245</v>
      </c>
      <c r="CZ122" s="299">
        <f t="shared" ca="1" si="268"/>
        <v>1.0861983554398948</v>
      </c>
      <c r="DA122" s="774">
        <f t="shared" ca="1" si="269"/>
        <v>8.1967030369530107</v>
      </c>
      <c r="DB122" s="303">
        <f t="shared" ca="1" si="270"/>
        <v>3177.608304610178</v>
      </c>
      <c r="DC122" s="248">
        <f t="shared" ca="1" si="271"/>
        <v>238.8924716270422</v>
      </c>
      <c r="DD122" s="778">
        <f t="shared" ca="1" si="272"/>
        <v>0</v>
      </c>
      <c r="DE122" s="363">
        <f t="shared" ca="1" si="273"/>
        <v>0.52106058799387756</v>
      </c>
      <c r="DF122" s="378">
        <f t="shared" ca="1" si="274"/>
        <v>-0.25279258708759594</v>
      </c>
      <c r="DG122" s="508">
        <f t="shared" ca="1" si="275"/>
        <v>-0.4847817638177121</v>
      </c>
      <c r="DH122" s="508">
        <f t="shared" ca="1" si="276"/>
        <v>-0.45598972239188679</v>
      </c>
      <c r="DI122" s="508">
        <f t="shared" ca="1" si="277"/>
        <v>-1.1525446656401173</v>
      </c>
      <c r="DJ122" s="508">
        <f t="shared" ca="1" si="278"/>
        <v>-0.4101989028999124</v>
      </c>
      <c r="DK122" s="353">
        <f t="shared" ca="1" si="279"/>
        <v>-132.1292762497514</v>
      </c>
      <c r="DL122" s="781">
        <f t="shared" ca="1" si="280"/>
        <v>6.1680068259748699</v>
      </c>
      <c r="DM122" s="303">
        <f t="shared" ca="1" si="281"/>
        <v>10456.273129441448</v>
      </c>
      <c r="DN122" s="508">
        <f t="shared" ca="1" si="282"/>
        <v>1.5418250972608654</v>
      </c>
      <c r="DO122" s="508">
        <f t="shared" ca="1" si="283"/>
        <v>1.4673855856903539</v>
      </c>
      <c r="DP122" s="508">
        <f t="shared" ca="1" si="284"/>
        <v>1.4754948681340037</v>
      </c>
      <c r="DQ122" s="508">
        <f t="shared" ca="1" si="285"/>
        <v>1.348330260500219</v>
      </c>
      <c r="DR122" s="508">
        <f t="shared" ca="1" si="286"/>
        <v>1.4724331312095755</v>
      </c>
      <c r="DS122" s="353">
        <f t="shared" ca="1" si="287"/>
        <v>4876.8257859372943</v>
      </c>
      <c r="DT122" s="353">
        <f t="shared" ca="1" si="288"/>
        <v>-10769.762802125902</v>
      </c>
      <c r="DU122" s="380">
        <f t="shared" ca="1" si="388"/>
        <v>8.8350444900752905</v>
      </c>
      <c r="DV122" s="303">
        <f t="shared" ca="1" si="289"/>
        <v>175.07635756594286</v>
      </c>
      <c r="DW122" s="303">
        <f t="shared" ca="1" si="290"/>
        <v>41.684847039510203</v>
      </c>
      <c r="DX122" s="303">
        <f t="shared" ca="1" si="291"/>
        <v>41.684847039510203</v>
      </c>
      <c r="DY122" s="303">
        <f t="shared" ca="1" si="292"/>
        <v>258.44605164496329</v>
      </c>
      <c r="DZ122" s="303">
        <f t="shared" ca="1" si="293"/>
        <v>129.22302582248165</v>
      </c>
      <c r="EA122" s="303">
        <f t="shared" ca="1" si="294"/>
        <v>387.66907746744494</v>
      </c>
      <c r="EB122" s="302">
        <f t="shared" ca="1" si="295"/>
        <v>38.549423262476921</v>
      </c>
      <c r="EC122" s="299">
        <f t="shared" ca="1" si="296"/>
        <v>30.898286510351678</v>
      </c>
      <c r="ED122" s="299">
        <f t="shared" ca="1" si="297"/>
        <v>31.652026988408917</v>
      </c>
      <c r="EE122" s="299">
        <f t="shared" ca="1" si="298"/>
        <v>36.202885677607036</v>
      </c>
      <c r="EF122" s="299">
        <f t="shared" ca="1" si="299"/>
        <v>21.690153837130552</v>
      </c>
      <c r="EG122" s="299">
        <f t="shared" ca="1" si="300"/>
        <v>31.365308397448207</v>
      </c>
      <c r="EH122" s="302">
        <f t="shared" ca="1" si="301"/>
        <v>30</v>
      </c>
      <c r="EI122" s="304">
        <f t="shared" ca="1" si="302"/>
        <v>9.387399102740232E-2</v>
      </c>
      <c r="EJ122" s="305">
        <f t="shared" ca="1" si="303"/>
        <v>9.387399102740232E-2</v>
      </c>
      <c r="EK122" s="305">
        <f t="shared" ca="1" si="304"/>
        <v>9.387399102740232E-2</v>
      </c>
      <c r="EL122" s="305">
        <f t="shared" ca="1" si="305"/>
        <v>9.3873991027402362E-2</v>
      </c>
      <c r="EM122" s="305">
        <f t="shared" ca="1" si="306"/>
        <v>2.9181171674555251E-2</v>
      </c>
      <c r="EN122" s="305">
        <f t="shared" ca="1" si="307"/>
        <v>7.6216857587424636E-2</v>
      </c>
      <c r="EO122" s="305">
        <f t="shared" ca="1" si="308"/>
        <v>9.387399102740232E-2</v>
      </c>
      <c r="EP122" s="305">
        <f t="shared" ca="1" si="309"/>
        <v>9.387399102740232E-2</v>
      </c>
      <c r="EQ122" s="305">
        <f t="shared" ca="1" si="310"/>
        <v>9.387399102740232E-2</v>
      </c>
      <c r="ER122" s="305">
        <f t="shared" ca="1" si="311"/>
        <v>2.9181171674555251E-2</v>
      </c>
      <c r="ES122" s="305">
        <f t="shared" ca="1" si="312"/>
        <v>7.6216857587424636E-2</v>
      </c>
      <c r="ET122" s="299">
        <f t="shared" ca="1" si="313"/>
        <v>2.1374640932368738</v>
      </c>
      <c r="EU122" s="302">
        <f t="shared" ca="1" si="314"/>
        <v>30</v>
      </c>
      <c r="EV122" s="304">
        <f t="shared" ca="1" si="315"/>
        <v>0.28162197308220693</v>
      </c>
      <c r="EW122" s="305">
        <f t="shared" ca="1" si="316"/>
        <v>0.28162197308220693</v>
      </c>
      <c r="EX122" s="305">
        <f t="shared" ca="1" si="317"/>
        <v>0.28162197308220693</v>
      </c>
      <c r="EY122" s="305">
        <f t="shared" ca="1" si="318"/>
        <v>0.28162197308220699</v>
      </c>
      <c r="EZ122" s="305">
        <f t="shared" ca="1" si="319"/>
        <v>8.7543515023665752E-2</v>
      </c>
      <c r="FA122" s="305">
        <f t="shared" ca="1" si="320"/>
        <v>0.23744859509773913</v>
      </c>
      <c r="FB122" s="305">
        <f t="shared" ca="1" si="321"/>
        <v>0.28162197308220693</v>
      </c>
      <c r="FC122" s="305">
        <f t="shared" ca="1" si="322"/>
        <v>0.28162197308220693</v>
      </c>
      <c r="FD122" s="305">
        <f t="shared" ca="1" si="323"/>
        <v>0.28162197308220693</v>
      </c>
      <c r="FE122" s="305">
        <f t="shared" ca="1" si="324"/>
        <v>8.7543515023665752E-2</v>
      </c>
      <c r="FF122" s="305">
        <f t="shared" ca="1" si="325"/>
        <v>0.23744859509773913</v>
      </c>
      <c r="FG122" s="299">
        <f t="shared" ca="1" si="326"/>
        <v>9.1620366627003325</v>
      </c>
      <c r="FH122" s="302">
        <f t="shared" ca="1" si="327"/>
        <v>-7.0245725694634586</v>
      </c>
      <c r="FI122" s="248">
        <f t="shared" ca="1" si="328"/>
        <v>-2723.2095676070185</v>
      </c>
      <c r="FJ122" s="363">
        <f t="shared" ca="1" si="329"/>
        <v>0.52106058799387756</v>
      </c>
      <c r="FK122" s="378">
        <f t="shared" ca="1" si="330"/>
        <v>0.75911449825139521</v>
      </c>
      <c r="FL122" s="508">
        <f t="shared" ca="1" si="331"/>
        <v>-3.377889857485953E-2</v>
      </c>
      <c r="FM122" s="508">
        <f t="shared" ca="1" si="332"/>
        <v>5.2597225702616796E-2</v>
      </c>
      <c r="FN122" s="508">
        <f t="shared" ca="1" si="333"/>
        <v>-3.7826835793904379</v>
      </c>
      <c r="FO122" s="508">
        <f t="shared" ca="1" si="334"/>
        <v>8.3178193977924267E-2</v>
      </c>
      <c r="FP122" s="353">
        <f t="shared" ca="1" si="335"/>
        <v>180.98519253532339</v>
      </c>
      <c r="FQ122" s="356">
        <f t="shared" ca="1" si="336"/>
        <v>22.677354465894908</v>
      </c>
      <c r="FR122" s="380">
        <f t="shared" ca="1" si="337"/>
        <v>26.48</v>
      </c>
      <c r="FS122" s="299">
        <f t="shared" ca="1" si="338"/>
        <v>26.48</v>
      </c>
      <c r="FT122" s="299">
        <f t="shared" ca="1" si="339"/>
        <v>26.48</v>
      </c>
      <c r="FU122" s="299">
        <f t="shared" ca="1" si="340"/>
        <v>26.48</v>
      </c>
      <c r="FV122" s="299">
        <f t="shared" ca="1" si="341"/>
        <v>26.48</v>
      </c>
      <c r="FW122" s="850">
        <f t="shared" ca="1" si="342"/>
        <v>0.16500000000000001</v>
      </c>
      <c r="FX122" s="851">
        <f t="shared" ca="1" si="343"/>
        <v>0.5</v>
      </c>
      <c r="FY122" s="851">
        <f t="shared" ca="1" si="344"/>
        <v>0</v>
      </c>
      <c r="FZ122" s="201">
        <f t="shared" ca="1" si="345"/>
        <v>0</v>
      </c>
      <c r="GA122" s="201">
        <f t="shared" ca="1" si="346"/>
        <v>0</v>
      </c>
      <c r="GB122" s="201">
        <f t="shared" ca="1" si="347"/>
        <v>0</v>
      </c>
      <c r="GC122" s="201">
        <f t="shared" ca="1" si="348"/>
        <v>0</v>
      </c>
      <c r="GD122" s="850">
        <f t="shared" ca="1" si="349"/>
        <v>0.29662197308220695</v>
      </c>
      <c r="GE122" s="866">
        <f t="shared" ca="1" si="350"/>
        <v>0.29662197308220695</v>
      </c>
      <c r="GF122" s="866">
        <f t="shared" ca="1" si="351"/>
        <v>0.29662197308220695</v>
      </c>
      <c r="GG122" s="866">
        <f t="shared" ca="1" si="352"/>
        <v>0.10254351502366575</v>
      </c>
      <c r="GH122" s="866">
        <f t="shared" ca="1" si="353"/>
        <v>0.25244859509773915</v>
      </c>
      <c r="GI122" s="302">
        <f t="shared" ca="1" si="354"/>
        <v>16.79670178806575</v>
      </c>
      <c r="GJ122" s="299">
        <f t="shared" ca="1" si="355"/>
        <v>10.922182800298383</v>
      </c>
      <c r="GK122" s="299">
        <f t="shared" ca="1" si="356"/>
        <v>11.469218436411591</v>
      </c>
      <c r="GL122" s="299">
        <f t="shared" ca="1" si="357"/>
        <v>2.1211274653690335</v>
      </c>
      <c r="GM122" s="299">
        <f t="shared" ca="1" si="358"/>
        <v>10.15719720344422</v>
      </c>
      <c r="GN122" s="302">
        <f t="shared" ca="1" si="359"/>
        <v>0.80877596664055329</v>
      </c>
      <c r="GO122" s="299">
        <f t="shared" ca="1" si="360"/>
        <v>0.72047467465043447</v>
      </c>
      <c r="GP122" s="299">
        <f t="shared" ca="1" si="361"/>
        <v>0.73097049046825802</v>
      </c>
      <c r="GQ122" s="299">
        <f t="shared" ca="1" si="362"/>
        <v>0.40099368393902041</v>
      </c>
      <c r="GR122" s="299">
        <f t="shared" ca="1" si="363"/>
        <v>0.72124130428439037</v>
      </c>
      <c r="GS122" s="302">
        <f t="shared" ca="1" si="364"/>
        <v>-0.54309468485942547</v>
      </c>
      <c r="GT122" s="299">
        <f t="shared" ca="1" si="365"/>
        <v>-0.42821961563415184</v>
      </c>
      <c r="GU122" s="299">
        <f t="shared" ca="1" si="366"/>
        <v>-0.44061496105648917</v>
      </c>
      <c r="GV122" s="299">
        <f t="shared" ca="1" si="367"/>
        <v>-0.24835674873576122</v>
      </c>
      <c r="GW122" s="299">
        <f t="shared" ca="1" si="368"/>
        <v>-0.47072364760679675</v>
      </c>
      <c r="GX122" s="303">
        <f t="shared" ca="1" si="369"/>
        <v>2940.7053681759112</v>
      </c>
      <c r="GY122" s="303">
        <f t="shared" ca="1" si="370"/>
        <v>455.28951936800735</v>
      </c>
      <c r="GZ122" s="303">
        <f t="shared" ca="1" si="371"/>
        <v>478.09261618454752</v>
      </c>
      <c r="HA122" s="303">
        <f t="shared" ca="1" si="372"/>
        <v>274.09850923015767</v>
      </c>
      <c r="HB122" s="303">
        <f t="shared" ca="1" si="373"/>
        <v>3937.6312695141323</v>
      </c>
      <c r="HC122" s="303">
        <f t="shared" ca="1" si="374"/>
        <v>2113.070662716118</v>
      </c>
      <c r="HD122" s="303">
        <f t="shared" ca="1" si="375"/>
        <v>184.17559736074099</v>
      </c>
      <c r="HE122" s="303">
        <f t="shared" ca="1" si="376"/>
        <v>215.59515389604428</v>
      </c>
      <c r="HF122" s="303">
        <f t="shared" ca="1" si="377"/>
        <v>0</v>
      </c>
      <c r="HG122" s="852">
        <f t="shared" ca="1" si="378"/>
        <v>1893.882999582708</v>
      </c>
    </row>
    <row r="123" spans="1:215" x14ac:dyDescent="0.25">
      <c r="A123" s="244">
        <f t="shared" ca="1" si="379"/>
        <v>39845</v>
      </c>
      <c r="B123" s="13">
        <f t="shared" ca="1" si="409"/>
        <v>2009</v>
      </c>
      <c r="C123" s="619">
        <f t="shared" ca="1" si="410"/>
        <v>2</v>
      </c>
      <c r="D123" s="195" t="str">
        <f t="shared" ca="1" si="209"/>
        <v/>
      </c>
      <c r="E123" s="469">
        <f t="shared" ca="1" si="210"/>
        <v>39845</v>
      </c>
      <c r="F123" s="465">
        <f t="shared" ca="1" si="211"/>
        <v>39872</v>
      </c>
      <c r="G123" s="522">
        <f t="shared" ca="1" si="380"/>
        <v>1</v>
      </c>
      <c r="H123" s="519">
        <f t="shared" ca="1" si="381"/>
        <v>1</v>
      </c>
      <c r="I123" s="724">
        <f t="shared" ca="1" si="411"/>
        <v>7.4009898102963989E-2</v>
      </c>
      <c r="J123" s="198">
        <f t="shared" ca="1" si="213"/>
        <v>0.5180972415705154</v>
      </c>
      <c r="K123" s="200">
        <f t="shared" ca="1" si="389"/>
        <v>35.75</v>
      </c>
      <c r="L123" s="201">
        <f t="shared" ca="1" si="390"/>
        <v>37.15</v>
      </c>
      <c r="M123" s="206">
        <f t="shared" ca="1" si="391"/>
        <v>38.549999999999997</v>
      </c>
      <c r="N123" s="851">
        <f t="shared" ca="1" si="395"/>
        <v>27.796250152587884</v>
      </c>
      <c r="O123" s="201">
        <f t="shared" ca="1" si="396"/>
        <v>28.846250152587885</v>
      </c>
      <c r="P123" s="206">
        <f t="shared" ca="1" si="397"/>
        <v>29.896250152587886</v>
      </c>
      <c r="Q123" s="201">
        <f t="shared" ca="1" si="398"/>
        <v>23.047499465942376</v>
      </c>
      <c r="R123" s="201">
        <f t="shared" ca="1" si="399"/>
        <v>26.347499465942377</v>
      </c>
      <c r="S123" s="201">
        <f t="shared" ca="1" si="400"/>
        <v>29.647499465942378</v>
      </c>
      <c r="T123" s="851">
        <f t="shared" ca="1" si="392"/>
        <v>20.09999771118164</v>
      </c>
      <c r="U123" s="201">
        <f t="shared" ca="1" si="393"/>
        <v>20.799997711181639</v>
      </c>
      <c r="V123" s="206">
        <f t="shared" ca="1" si="394"/>
        <v>21.499997711181638</v>
      </c>
      <c r="W123" s="230">
        <f t="shared" ca="1" si="382"/>
        <v>9.0556888870957017E-2</v>
      </c>
      <c r="X123" s="231">
        <f t="shared" ca="1" si="383"/>
        <v>0.18111377774191403</v>
      </c>
      <c r="Y123" s="232">
        <f t="shared" ca="1" si="384"/>
        <v>0.27167066661287104</v>
      </c>
      <c r="Z123" s="231">
        <f t="shared" ca="1" si="404"/>
        <v>9.0556888870957017E-2</v>
      </c>
      <c r="AA123" s="231">
        <f t="shared" ca="1" si="405"/>
        <v>0.18111377774191403</v>
      </c>
      <c r="AB123" s="232">
        <f t="shared" ca="1" si="406"/>
        <v>0.27167066661287104</v>
      </c>
      <c r="AC123" s="231">
        <f t="shared" ca="1" si="407"/>
        <v>9.0556888870957017E-2</v>
      </c>
      <c r="AD123" s="231">
        <f t="shared" ca="1" si="408"/>
        <v>0.18111377774191403</v>
      </c>
      <c r="AE123" s="232">
        <f t="shared" ca="1" si="214"/>
        <v>0.27167066661287104</v>
      </c>
      <c r="AF123" s="231">
        <f t="shared" ca="1" si="385"/>
        <v>2.9181171674555251E-2</v>
      </c>
      <c r="AG123" s="231">
        <f t="shared" ca="1" si="386"/>
        <v>5.8362343349110501E-2</v>
      </c>
      <c r="AH123" s="232">
        <f t="shared" ca="1" si="387"/>
        <v>8.7543515023665752E-2</v>
      </c>
      <c r="AI123" s="233">
        <f t="shared" ca="1" si="215"/>
        <v>1.25</v>
      </c>
      <c r="AJ123" s="233">
        <f t="shared" ca="1" si="216"/>
        <v>2</v>
      </c>
      <c r="AK123" s="234">
        <f t="shared" ca="1" si="217"/>
        <v>2.75</v>
      </c>
      <c r="AL123" s="919">
        <f t="shared" ca="1" si="218"/>
        <v>1.25</v>
      </c>
      <c r="AM123" s="233">
        <f t="shared" ca="1" si="219"/>
        <v>2</v>
      </c>
      <c r="AN123" s="234">
        <f t="shared" ca="1" si="220"/>
        <v>2.75</v>
      </c>
      <c r="AO123" s="233">
        <f t="shared" ca="1" si="221"/>
        <v>1.25</v>
      </c>
      <c r="AP123" s="233">
        <f t="shared" ca="1" si="222"/>
        <v>2</v>
      </c>
      <c r="AQ123" s="233">
        <f t="shared" ca="1" si="223"/>
        <v>2.75</v>
      </c>
      <c r="AR123" s="919">
        <f t="shared" ca="1" si="224"/>
        <v>0.35</v>
      </c>
      <c r="AS123" s="233">
        <f t="shared" ca="1" si="225"/>
        <v>0.5</v>
      </c>
      <c r="AT123" s="235">
        <f t="shared" ca="1" si="226"/>
        <v>0.7</v>
      </c>
      <c r="AU123" s="946">
        <f t="shared" si="227"/>
        <v>0.5</v>
      </c>
      <c r="AV123" s="13">
        <f t="shared" ca="1" si="228"/>
        <v>20</v>
      </c>
      <c r="AW123" s="210">
        <f t="shared" ca="1" si="229"/>
        <v>4</v>
      </c>
      <c r="AX123" s="210">
        <f t="shared" ca="1" si="230"/>
        <v>4</v>
      </c>
      <c r="AY123" s="210">
        <f t="shared" ca="1" si="231"/>
        <v>0</v>
      </c>
      <c r="AZ123" s="13">
        <f t="shared" ca="1" si="232"/>
        <v>28</v>
      </c>
      <c r="BA123" s="357">
        <f ca="1"/>
        <v>320</v>
      </c>
      <c r="BB123" s="925">
        <f ca="1"/>
        <v>64</v>
      </c>
      <c r="BC123" s="925">
        <f ca="1"/>
        <v>64</v>
      </c>
      <c r="BD123" s="928">
        <f ca="1"/>
        <v>224</v>
      </c>
      <c r="BE123" s="200">
        <f ca="1"/>
        <v>0.99998503923416138</v>
      </c>
      <c r="BF123" s="851">
        <f ca="1"/>
        <v>0.99998503923416138</v>
      </c>
      <c r="BG123" s="851">
        <f ca="1"/>
        <v>0.99998503923416138</v>
      </c>
      <c r="BH123" s="933">
        <f ca="1"/>
        <v>1.0000070855021477</v>
      </c>
      <c r="BI123" s="357">
        <f ca="1"/>
        <v>320</v>
      </c>
      <c r="BJ123" s="925">
        <f ca="1"/>
        <v>64</v>
      </c>
      <c r="BK123" s="925">
        <f ca="1"/>
        <v>64</v>
      </c>
      <c r="BL123" s="928">
        <f ca="1"/>
        <v>224</v>
      </c>
      <c r="BM123" s="200">
        <f ca="1"/>
        <v>0.99998503923416138</v>
      </c>
      <c r="BN123" s="851">
        <f ca="1"/>
        <v>0.99998503923416138</v>
      </c>
      <c r="BO123" s="851">
        <f ca="1"/>
        <v>0.99998503923416138</v>
      </c>
      <c r="BP123" s="933">
        <f ca="1"/>
        <v>1.0000070855021477</v>
      </c>
      <c r="BQ123" s="357">
        <f t="shared" ca="1" si="233"/>
        <v>672</v>
      </c>
      <c r="BR123" s="361">
        <f t="shared" ca="1" si="234"/>
        <v>672</v>
      </c>
      <c r="BS123" s="357">
        <f t="shared" ca="1" si="235"/>
        <v>348.16134633538633</v>
      </c>
      <c r="BT123" s="302">
        <f t="shared" ca="1" si="236"/>
        <v>28.565790968986601</v>
      </c>
      <c r="BU123" s="299">
        <f t="shared" ca="1" si="237"/>
        <v>29.880062164680698</v>
      </c>
      <c r="BV123" s="299">
        <f t="shared" ca="1" si="238"/>
        <v>31.194333360374788</v>
      </c>
      <c r="BW123" s="299">
        <f t="shared" ca="1" si="239"/>
        <v>32.659889647739881</v>
      </c>
      <c r="BX123" s="380">
        <f t="shared" ca="1" si="240"/>
        <v>8.9199178644763855</v>
      </c>
      <c r="BY123" s="363">
        <f t="shared" ca="1" si="241"/>
        <v>165.79111730256494</v>
      </c>
      <c r="BZ123" s="353">
        <f t="shared" ca="1" si="242"/>
        <v>33.158223460512986</v>
      </c>
      <c r="CA123" s="353">
        <f t="shared" ca="1" si="243"/>
        <v>33.158223460512986</v>
      </c>
      <c r="CB123" s="353">
        <f t="shared" ca="1" si="244"/>
        <v>232.10756422359094</v>
      </c>
      <c r="CC123" s="353">
        <f t="shared" ca="1" si="245"/>
        <v>116.05378211179544</v>
      </c>
      <c r="CD123" s="353">
        <f t="shared" ca="1" si="246"/>
        <v>348.16134633538638</v>
      </c>
      <c r="CE123" s="302">
        <f t="shared" ca="1" si="247"/>
        <v>38.549423262476921</v>
      </c>
      <c r="CF123" s="299">
        <f t="shared" ca="1" si="248"/>
        <v>29.895802881789901</v>
      </c>
      <c r="CG123" s="299">
        <f t="shared" ca="1" si="249"/>
        <v>29.647055916645169</v>
      </c>
      <c r="CH123" s="299">
        <f t="shared" ca="1" si="250"/>
        <v>36.041425015831379</v>
      </c>
      <c r="CI123" s="299">
        <f t="shared" ca="1" si="251"/>
        <v>21.500150049461595</v>
      </c>
      <c r="CJ123" s="299">
        <f t="shared" ca="1" si="252"/>
        <v>31.194333360374781</v>
      </c>
      <c r="CK123" s="299">
        <f t="shared" ca="1" si="253"/>
        <v>32.659889647739881</v>
      </c>
      <c r="CL123" s="377">
        <f t="shared" ca="1" si="254"/>
        <v>0.27167066661287104</v>
      </c>
      <c r="CM123" s="305">
        <f t="shared" ca="1" si="255"/>
        <v>0.27167066661287104</v>
      </c>
      <c r="CN123" s="305">
        <f t="shared" ca="1" si="256"/>
        <v>0.27167066661287104</v>
      </c>
      <c r="CO123" s="305">
        <f t="shared" ca="1" si="257"/>
        <v>0.27167066661287109</v>
      </c>
      <c r="CP123" s="305">
        <f t="shared" ca="1" si="258"/>
        <v>8.7543515023665752E-2</v>
      </c>
      <c r="CQ123" s="305">
        <f t="shared" ca="1" si="259"/>
        <v>0.22893951854621522</v>
      </c>
      <c r="CR123" s="775">
        <f t="shared" ca="1" si="260"/>
        <v>0.28667066661287105</v>
      </c>
      <c r="CS123" s="305">
        <f t="shared" ca="1" si="261"/>
        <v>0.27167066661287104</v>
      </c>
      <c r="CT123" s="305">
        <f t="shared" ca="1" si="262"/>
        <v>0.28167066661287105</v>
      </c>
      <c r="CU123" s="305">
        <f t="shared" ca="1" si="263"/>
        <v>0.14754351502366575</v>
      </c>
      <c r="CV123" s="770">
        <f t="shared" ca="1" si="264"/>
        <v>0.22893951854621522</v>
      </c>
      <c r="CW123" s="302">
        <f t="shared" ca="1" si="265"/>
        <v>14.951436123132758</v>
      </c>
      <c r="CX123" s="299">
        <f t="shared" ca="1" si="266"/>
        <v>8.5266592095216076</v>
      </c>
      <c r="CY123" s="299">
        <f t="shared" ca="1" si="267"/>
        <v>8.7118525847392494</v>
      </c>
      <c r="CZ123" s="299">
        <f t="shared" ca="1" si="268"/>
        <v>1.0554319848092466</v>
      </c>
      <c r="DA123" s="774">
        <f t="shared" ca="1" si="269"/>
        <v>7.8280588076947026</v>
      </c>
      <c r="DB123" s="303">
        <f t="shared" ca="1" si="270"/>
        <v>2725.4274936795673</v>
      </c>
      <c r="DC123" s="248">
        <f t="shared" ca="1" si="271"/>
        <v>211.76532191915732</v>
      </c>
      <c r="DD123" s="778">
        <f t="shared" ca="1" si="272"/>
        <v>0</v>
      </c>
      <c r="DE123" s="363">
        <f t="shared" ca="1" si="273"/>
        <v>0.5180972415705154</v>
      </c>
      <c r="DF123" s="378">
        <f t="shared" ca="1" si="274"/>
        <v>-0.23444480871847304</v>
      </c>
      <c r="DG123" s="508">
        <f t="shared" ca="1" si="275"/>
        <v>-0.51467591028815596</v>
      </c>
      <c r="DH123" s="508">
        <f t="shared" ca="1" si="276"/>
        <v>-0.53567176430277186</v>
      </c>
      <c r="DI123" s="508">
        <f t="shared" ca="1" si="277"/>
        <v>-1.1691115291716112</v>
      </c>
      <c r="DJ123" s="508">
        <f t="shared" ca="1" si="278"/>
        <v>-0.40902369504532826</v>
      </c>
      <c r="DK123" s="353">
        <f t="shared" ca="1" si="279"/>
        <v>-118.81395092676836</v>
      </c>
      <c r="DL123" s="781">
        <f t="shared" ca="1" si="280"/>
        <v>5.7206592501667535</v>
      </c>
      <c r="DM123" s="303">
        <f t="shared" ca="1" si="281"/>
        <v>9356.1550057450295</v>
      </c>
      <c r="DN123" s="508">
        <f t="shared" ca="1" si="282"/>
        <v>1.5486797996075037</v>
      </c>
      <c r="DO123" s="508">
        <f t="shared" ca="1" si="283"/>
        <v>1.463550725009044</v>
      </c>
      <c r="DP123" s="508">
        <f t="shared" ca="1" si="284"/>
        <v>1.4607528801148721</v>
      </c>
      <c r="DQ123" s="508">
        <f t="shared" ca="1" si="285"/>
        <v>1.3531614536983065</v>
      </c>
      <c r="DR123" s="508">
        <f t="shared" ca="1" si="286"/>
        <v>1.4777884130684755</v>
      </c>
      <c r="DS123" s="353">
        <f t="shared" ca="1" si="287"/>
        <v>4342.3824494866913</v>
      </c>
      <c r="DT123" s="353">
        <f t="shared" ca="1" si="288"/>
        <v>-9681.4289087224151</v>
      </c>
      <c r="DU123" s="380">
        <f t="shared" ca="1" si="388"/>
        <v>8.9199178644763855</v>
      </c>
      <c r="DV123" s="303">
        <f t="shared" ca="1" si="289"/>
        <v>165.79111730256494</v>
      </c>
      <c r="DW123" s="303">
        <f t="shared" ca="1" si="290"/>
        <v>33.158223460512986</v>
      </c>
      <c r="DX123" s="303">
        <f t="shared" ca="1" si="291"/>
        <v>33.158223460512986</v>
      </c>
      <c r="DY123" s="303">
        <f t="shared" ca="1" si="292"/>
        <v>232.10756422359094</v>
      </c>
      <c r="DZ123" s="303">
        <f t="shared" ca="1" si="293"/>
        <v>116.05378211179544</v>
      </c>
      <c r="EA123" s="303">
        <f t="shared" ca="1" si="294"/>
        <v>348.16134633538638</v>
      </c>
      <c r="EB123" s="302">
        <f t="shared" ca="1" si="295"/>
        <v>38.549423262476921</v>
      </c>
      <c r="EC123" s="299">
        <f t="shared" ca="1" si="296"/>
        <v>29.895802881789901</v>
      </c>
      <c r="ED123" s="299">
        <f t="shared" ca="1" si="297"/>
        <v>29.647055916645169</v>
      </c>
      <c r="EE123" s="299">
        <f t="shared" ca="1" si="298"/>
        <v>36.041425015831379</v>
      </c>
      <c r="EF123" s="299">
        <f t="shared" ca="1" si="299"/>
        <v>21.500150049461595</v>
      </c>
      <c r="EG123" s="299">
        <f t="shared" ca="1" si="300"/>
        <v>31.194333360374781</v>
      </c>
      <c r="EH123" s="302">
        <f t="shared" ca="1" si="301"/>
        <v>30</v>
      </c>
      <c r="EI123" s="304">
        <f t="shared" ca="1" si="302"/>
        <v>9.0556888870957017E-2</v>
      </c>
      <c r="EJ123" s="305">
        <f t="shared" ca="1" si="303"/>
        <v>9.0556888870957017E-2</v>
      </c>
      <c r="EK123" s="305">
        <f t="shared" ca="1" si="304"/>
        <v>9.0556888870957017E-2</v>
      </c>
      <c r="EL123" s="305">
        <f t="shared" ca="1" si="305"/>
        <v>9.0556888870956989E-2</v>
      </c>
      <c r="EM123" s="305">
        <f t="shared" ca="1" si="306"/>
        <v>2.9181171674555251E-2</v>
      </c>
      <c r="EN123" s="305">
        <f t="shared" ca="1" si="307"/>
        <v>7.3685735107684142E-2</v>
      </c>
      <c r="EO123" s="305">
        <f t="shared" ca="1" si="308"/>
        <v>9.0556888870957017E-2</v>
      </c>
      <c r="EP123" s="305">
        <f t="shared" ca="1" si="309"/>
        <v>9.0556888870957017E-2</v>
      </c>
      <c r="EQ123" s="305">
        <f t="shared" ca="1" si="310"/>
        <v>9.0556888870957017E-2</v>
      </c>
      <c r="ER123" s="305">
        <f t="shared" ca="1" si="311"/>
        <v>2.9181171674555251E-2</v>
      </c>
      <c r="ES123" s="305">
        <f t="shared" ca="1" si="312"/>
        <v>7.3685735107684142E-2</v>
      </c>
      <c r="ET123" s="299">
        <f t="shared" ca="1" si="313"/>
        <v>2.1256166753350492</v>
      </c>
      <c r="EU123" s="302">
        <f t="shared" ca="1" si="314"/>
        <v>30</v>
      </c>
      <c r="EV123" s="304">
        <f t="shared" ca="1" si="315"/>
        <v>0.27167066661287104</v>
      </c>
      <c r="EW123" s="305">
        <f t="shared" ca="1" si="316"/>
        <v>0.27167066661287104</v>
      </c>
      <c r="EX123" s="305">
        <f t="shared" ca="1" si="317"/>
        <v>0.27167066661287104</v>
      </c>
      <c r="EY123" s="305">
        <f t="shared" ca="1" si="318"/>
        <v>0.27167066661287109</v>
      </c>
      <c r="EZ123" s="305">
        <f t="shared" ca="1" si="319"/>
        <v>8.7543515023665752E-2</v>
      </c>
      <c r="FA123" s="305">
        <f t="shared" ca="1" si="320"/>
        <v>0.22893951854621522</v>
      </c>
      <c r="FB123" s="305">
        <f t="shared" ca="1" si="321"/>
        <v>0.27167066661287104</v>
      </c>
      <c r="FC123" s="305">
        <f t="shared" ca="1" si="322"/>
        <v>0.27167066661287104</v>
      </c>
      <c r="FD123" s="305">
        <f t="shared" ca="1" si="323"/>
        <v>0.27167066661287104</v>
      </c>
      <c r="FE123" s="305">
        <f t="shared" ca="1" si="324"/>
        <v>8.7543515023665752E-2</v>
      </c>
      <c r="FF123" s="305">
        <f t="shared" ca="1" si="325"/>
        <v>0.22893951854621522</v>
      </c>
      <c r="FG123" s="299">
        <f t="shared" ca="1" si="326"/>
        <v>8.7964859021509323</v>
      </c>
      <c r="FH123" s="302">
        <f t="shared" ca="1" si="327"/>
        <v>-6.6708692268158831</v>
      </c>
      <c r="FI123" s="248">
        <f t="shared" ca="1" si="328"/>
        <v>-2322.5388112355158</v>
      </c>
      <c r="FJ123" s="363">
        <f t="shared" ca="1" si="329"/>
        <v>0.5180972415705154</v>
      </c>
      <c r="FK123" s="378">
        <f t="shared" ca="1" si="330"/>
        <v>0.79187382301742049</v>
      </c>
      <c r="FL123" s="508">
        <f t="shared" ca="1" si="331"/>
        <v>-0.14809399999708298</v>
      </c>
      <c r="FM123" s="508">
        <f t="shared" ca="1" si="332"/>
        <v>-0.17898690217781912</v>
      </c>
      <c r="FN123" s="508">
        <f t="shared" ca="1" si="333"/>
        <v>-3.8660134970679643</v>
      </c>
      <c r="FO123" s="508">
        <f t="shared" ca="1" si="334"/>
        <v>6.7356902377201974E-2</v>
      </c>
      <c r="FP123" s="353">
        <f t="shared" ca="1" si="335"/>
        <v>164.73209500603386</v>
      </c>
      <c r="FQ123" s="356">
        <f t="shared" ca="1" si="336"/>
        <v>20.990390238211752</v>
      </c>
      <c r="FR123" s="380">
        <f t="shared" ca="1" si="337"/>
        <v>25.536000000000001</v>
      </c>
      <c r="FS123" s="299">
        <f t="shared" ca="1" si="338"/>
        <v>25.536000000000001</v>
      </c>
      <c r="FT123" s="299">
        <f t="shared" ca="1" si="339"/>
        <v>25.536000000000001</v>
      </c>
      <c r="FU123" s="299">
        <f t="shared" ca="1" si="340"/>
        <v>25.536000000000001</v>
      </c>
      <c r="FV123" s="299">
        <f t="shared" ca="1" si="341"/>
        <v>25.536000000000001</v>
      </c>
      <c r="FW123" s="850">
        <f t="shared" ca="1" si="342"/>
        <v>0.16500000000000001</v>
      </c>
      <c r="FX123" s="851">
        <f t="shared" ca="1" si="343"/>
        <v>0.5</v>
      </c>
      <c r="FY123" s="851">
        <f t="shared" ca="1" si="344"/>
        <v>0</v>
      </c>
      <c r="FZ123" s="201">
        <f t="shared" ca="1" si="345"/>
        <v>0</v>
      </c>
      <c r="GA123" s="201">
        <f t="shared" ca="1" si="346"/>
        <v>0</v>
      </c>
      <c r="GB123" s="201">
        <f t="shared" ca="1" si="347"/>
        <v>0</v>
      </c>
      <c r="GC123" s="201">
        <f t="shared" ca="1" si="348"/>
        <v>0</v>
      </c>
      <c r="GD123" s="850">
        <f t="shared" ca="1" si="349"/>
        <v>0.28667066661287105</v>
      </c>
      <c r="GE123" s="866">
        <f t="shared" ca="1" si="350"/>
        <v>0.28667066661287105</v>
      </c>
      <c r="GF123" s="866">
        <f t="shared" ca="1" si="351"/>
        <v>0.28667066661287105</v>
      </c>
      <c r="GG123" s="866">
        <f t="shared" ca="1" si="352"/>
        <v>0.10254351502366575</v>
      </c>
      <c r="GH123" s="866">
        <f t="shared" ca="1" si="353"/>
        <v>0.24393951854621521</v>
      </c>
      <c r="GI123" s="302">
        <f t="shared" ca="1" si="354"/>
        <v>17.108560087595468</v>
      </c>
      <c r="GJ123" s="299">
        <f t="shared" ca="1" si="355"/>
        <v>10.394597278424568</v>
      </c>
      <c r="GK123" s="299">
        <f t="shared" ca="1" si="356"/>
        <v>10.215878230440952</v>
      </c>
      <c r="GL123" s="299">
        <f t="shared" ca="1" si="357"/>
        <v>2.3040127993831159</v>
      </c>
      <c r="GM123" s="299">
        <f t="shared" ca="1" si="358"/>
        <v>10.321852685161419</v>
      </c>
      <c r="GN123" s="302">
        <f t="shared" ca="1" si="359"/>
        <v>0.82264559869812082</v>
      </c>
      <c r="GO123" s="299">
        <f t="shared" ca="1" si="360"/>
        <v>0.72036609080826375</v>
      </c>
      <c r="GP123" s="299">
        <f t="shared" ca="1" si="361"/>
        <v>0.71657727725197617</v>
      </c>
      <c r="GQ123" s="299">
        <f t="shared" ca="1" si="362"/>
        <v>0.4271195208820211</v>
      </c>
      <c r="GR123" s="299">
        <f t="shared" ca="1" si="363"/>
        <v>0.73656340371629148</v>
      </c>
      <c r="GS123" s="302">
        <f t="shared" ca="1" si="364"/>
        <v>-0.5718967519126924</v>
      </c>
      <c r="GT123" s="299">
        <f t="shared" ca="1" si="365"/>
        <v>-0.43629896717056038</v>
      </c>
      <c r="GU123" s="299">
        <f t="shared" ca="1" si="366"/>
        <v>-0.4318817984870062</v>
      </c>
      <c r="GV123" s="299">
        <f t="shared" ca="1" si="367"/>
        <v>-0.26938912021054073</v>
      </c>
      <c r="GW123" s="299">
        <f t="shared" ca="1" si="368"/>
        <v>-0.49556525315207772</v>
      </c>
      <c r="GX123" s="303">
        <f t="shared" ca="1" si="369"/>
        <v>2836.4472923605208</v>
      </c>
      <c r="GY123" s="303">
        <f t="shared" ca="1" si="370"/>
        <v>344.66637934004194</v>
      </c>
      <c r="GZ123" s="303">
        <f t="shared" ca="1" si="371"/>
        <v>338.74037321035104</v>
      </c>
      <c r="HA123" s="303">
        <f t="shared" ca="1" si="372"/>
        <v>267.38939940239601</v>
      </c>
      <c r="HB123" s="303">
        <f t="shared" ca="1" si="373"/>
        <v>3593.6701275413225</v>
      </c>
      <c r="HC123" s="303">
        <f t="shared" ca="1" si="374"/>
        <v>2157.5099826172382</v>
      </c>
      <c r="HD123" s="303">
        <f t="shared" ca="1" si="375"/>
        <v>144.563318198178</v>
      </c>
      <c r="HE123" s="303">
        <f t="shared" ca="1" si="376"/>
        <v>136.3153107427845</v>
      </c>
      <c r="HF123" s="303">
        <f t="shared" ca="1" si="377"/>
        <v>0</v>
      </c>
      <c r="HG123" s="852">
        <f t="shared" ca="1" si="378"/>
        <v>1970.0129607625142</v>
      </c>
    </row>
    <row r="124" spans="1:215" x14ac:dyDescent="0.25">
      <c r="A124" s="244">
        <f t="shared" ca="1" si="379"/>
        <v>39873</v>
      </c>
      <c r="B124" s="13">
        <f t="shared" ca="1" si="409"/>
        <v>2009</v>
      </c>
      <c r="C124" s="619">
        <f t="shared" ca="1" si="410"/>
        <v>3</v>
      </c>
      <c r="D124" s="195" t="str">
        <f t="shared" ca="1" si="209"/>
        <v/>
      </c>
      <c r="E124" s="469">
        <f t="shared" ca="1" si="210"/>
        <v>39873</v>
      </c>
      <c r="F124" s="465">
        <f t="shared" ca="1" si="211"/>
        <v>39903</v>
      </c>
      <c r="G124" s="522">
        <f t="shared" ca="1" si="380"/>
        <v>1</v>
      </c>
      <c r="H124" s="519">
        <f t="shared" ca="1" si="381"/>
        <v>1</v>
      </c>
      <c r="I124" s="724">
        <f t="shared" ca="1" si="411"/>
        <v>7.4023704322168996E-2</v>
      </c>
      <c r="J124" s="198">
        <f t="shared" ca="1" si="213"/>
        <v>0.51484882515290875</v>
      </c>
      <c r="K124" s="200">
        <f t="shared" ca="1" si="389"/>
        <v>32.6</v>
      </c>
      <c r="L124" s="201">
        <f t="shared" ca="1" si="390"/>
        <v>33.4</v>
      </c>
      <c r="M124" s="206">
        <f t="shared" ca="1" si="391"/>
        <v>34.200000000000003</v>
      </c>
      <c r="N124" s="851">
        <f t="shared" ca="1" si="395"/>
        <v>21.434749603271477</v>
      </c>
      <c r="O124" s="201">
        <f t="shared" ca="1" si="396"/>
        <v>22.034749603271479</v>
      </c>
      <c r="P124" s="206">
        <f t="shared" ca="1" si="397"/>
        <v>22.63474960327148</v>
      </c>
      <c r="Q124" s="201">
        <f t="shared" ca="1" si="398"/>
        <v>18.364498901367181</v>
      </c>
      <c r="R124" s="201">
        <f t="shared" ca="1" si="399"/>
        <v>21.664498901367182</v>
      </c>
      <c r="S124" s="201">
        <f t="shared" ca="1" si="400"/>
        <v>24.964498901367183</v>
      </c>
      <c r="T124" s="851">
        <f t="shared" ca="1" si="392"/>
        <v>19.399999618530273</v>
      </c>
      <c r="U124" s="201">
        <f t="shared" ca="1" si="393"/>
        <v>19.799999618530272</v>
      </c>
      <c r="V124" s="206">
        <f t="shared" ca="1" si="394"/>
        <v>20.199999618530271</v>
      </c>
      <c r="W124" s="230">
        <f t="shared" ca="1" si="382"/>
        <v>8.8143697052143061E-2</v>
      </c>
      <c r="X124" s="231">
        <f t="shared" ca="1" si="383"/>
        <v>0.17628739410428612</v>
      </c>
      <c r="Y124" s="232">
        <f t="shared" ca="1" si="384"/>
        <v>0.26443109115642915</v>
      </c>
      <c r="Z124" s="231">
        <f t="shared" ca="1" si="404"/>
        <v>8.8143697052143061E-2</v>
      </c>
      <c r="AA124" s="231">
        <f t="shared" ca="1" si="405"/>
        <v>0.17628739410428612</v>
      </c>
      <c r="AB124" s="232">
        <f t="shared" ca="1" si="406"/>
        <v>0.26443109115642915</v>
      </c>
      <c r="AC124" s="231">
        <f t="shared" ca="1" si="407"/>
        <v>8.8143697052143061E-2</v>
      </c>
      <c r="AD124" s="231">
        <f t="shared" ca="1" si="408"/>
        <v>0.17628739410428612</v>
      </c>
      <c r="AE124" s="232">
        <f t="shared" ca="1" si="214"/>
        <v>0.26443109115642915</v>
      </c>
      <c r="AF124" s="231">
        <f t="shared" ca="1" si="385"/>
        <v>2.5012432863904491E-2</v>
      </c>
      <c r="AG124" s="231">
        <f t="shared" ca="1" si="386"/>
        <v>5.0024865727808981E-2</v>
      </c>
      <c r="AH124" s="232">
        <f t="shared" ca="1" si="387"/>
        <v>7.5037298591713472E-2</v>
      </c>
      <c r="AI124" s="233">
        <f t="shared" ca="1" si="215"/>
        <v>1.05</v>
      </c>
      <c r="AJ124" s="233">
        <f t="shared" ca="1" si="216"/>
        <v>1.3</v>
      </c>
      <c r="AK124" s="234">
        <f t="shared" ca="1" si="217"/>
        <v>1.6</v>
      </c>
      <c r="AL124" s="919">
        <f t="shared" ca="1" si="218"/>
        <v>1.05</v>
      </c>
      <c r="AM124" s="233">
        <f t="shared" ca="1" si="219"/>
        <v>1.3</v>
      </c>
      <c r="AN124" s="234">
        <f t="shared" ca="1" si="220"/>
        <v>1.6</v>
      </c>
      <c r="AO124" s="233">
        <f t="shared" ca="1" si="221"/>
        <v>1.05</v>
      </c>
      <c r="AP124" s="233">
        <f t="shared" ca="1" si="222"/>
        <v>1.3</v>
      </c>
      <c r="AQ124" s="233">
        <f t="shared" ca="1" si="223"/>
        <v>1.6</v>
      </c>
      <c r="AR124" s="919">
        <f t="shared" ca="1" si="224"/>
        <v>0.19999999999999998</v>
      </c>
      <c r="AS124" s="233">
        <f t="shared" ca="1" si="225"/>
        <v>0.35</v>
      </c>
      <c r="AT124" s="235">
        <f t="shared" ca="1" si="226"/>
        <v>0.55000000000000004</v>
      </c>
      <c r="AU124" s="946">
        <f t="shared" si="227"/>
        <v>0.5</v>
      </c>
      <c r="AV124" s="13">
        <f t="shared" ca="1" si="228"/>
        <v>22</v>
      </c>
      <c r="AW124" s="210">
        <f t="shared" ca="1" si="229"/>
        <v>4</v>
      </c>
      <c r="AX124" s="210">
        <f t="shared" ca="1" si="230"/>
        <v>5</v>
      </c>
      <c r="AY124" s="210">
        <f t="shared" ca="1" si="231"/>
        <v>0</v>
      </c>
      <c r="AZ124" s="13">
        <f t="shared" ca="1" si="232"/>
        <v>31</v>
      </c>
      <c r="BA124" s="357">
        <f ca="1"/>
        <v>352</v>
      </c>
      <c r="BB124" s="925">
        <f ca="1"/>
        <v>64</v>
      </c>
      <c r="BC124" s="925">
        <f ca="1"/>
        <v>80</v>
      </c>
      <c r="BD124" s="928">
        <f ca="1"/>
        <v>248</v>
      </c>
      <c r="BE124" s="200">
        <f ca="1"/>
        <v>0.99999375641345978</v>
      </c>
      <c r="BF124" s="851">
        <f ca="1"/>
        <v>0.99999375641345978</v>
      </c>
      <c r="BG124" s="851">
        <f ca="1"/>
        <v>0.99999375641345978</v>
      </c>
      <c r="BH124" s="933">
        <f ca="1"/>
        <v>0.99999988824129105</v>
      </c>
      <c r="BI124" s="357">
        <f ca="1"/>
        <v>352</v>
      </c>
      <c r="BJ124" s="925">
        <f ca="1"/>
        <v>64</v>
      </c>
      <c r="BK124" s="925">
        <f ca="1"/>
        <v>80</v>
      </c>
      <c r="BL124" s="928">
        <f ca="1"/>
        <v>248</v>
      </c>
      <c r="BM124" s="200">
        <f ca="1"/>
        <v>0.99999375641345978</v>
      </c>
      <c r="BN124" s="851">
        <f ca="1"/>
        <v>0.99999375641345978</v>
      </c>
      <c r="BO124" s="851">
        <f ca="1"/>
        <v>0.99999375641345978</v>
      </c>
      <c r="BP124" s="933">
        <f ca="1"/>
        <v>0.99999988824129105</v>
      </c>
      <c r="BQ124" s="357">
        <f t="shared" ca="1" si="233"/>
        <v>744</v>
      </c>
      <c r="BR124" s="361">
        <f t="shared" ca="1" si="234"/>
        <v>744</v>
      </c>
      <c r="BS124" s="357">
        <f t="shared" ca="1" si="235"/>
        <v>383.0475259137641</v>
      </c>
      <c r="BT124" s="302">
        <f t="shared" ca="1" si="236"/>
        <v>25.708728320010412</v>
      </c>
      <c r="BU124" s="299">
        <f t="shared" ca="1" si="237"/>
        <v>26.627002974121968</v>
      </c>
      <c r="BV124" s="299">
        <f t="shared" ca="1" si="238"/>
        <v>27.545277628233517</v>
      </c>
      <c r="BW124" s="299">
        <f t="shared" ca="1" si="239"/>
        <v>32.659889647739881</v>
      </c>
      <c r="BX124" s="380">
        <f t="shared" ca="1" si="240"/>
        <v>8.9965776865160851</v>
      </c>
      <c r="BY124" s="363">
        <f t="shared" ca="1" si="241"/>
        <v>181.22678645382388</v>
      </c>
      <c r="BZ124" s="353">
        <f t="shared" ca="1" si="242"/>
        <v>32.95032480978616</v>
      </c>
      <c r="CA124" s="353">
        <f t="shared" ca="1" si="243"/>
        <v>41.187906012232702</v>
      </c>
      <c r="CB124" s="353">
        <f t="shared" ca="1" si="244"/>
        <v>255.36501727584275</v>
      </c>
      <c r="CC124" s="353">
        <f t="shared" ca="1" si="245"/>
        <v>127.68250863792137</v>
      </c>
      <c r="CD124" s="353">
        <f t="shared" ca="1" si="246"/>
        <v>383.0475259137641</v>
      </c>
      <c r="CE124" s="302">
        <f t="shared" ca="1" si="247"/>
        <v>34.199786469340324</v>
      </c>
      <c r="CF124" s="299">
        <f t="shared" ca="1" si="248"/>
        <v>22.634608281253517</v>
      </c>
      <c r="CG124" s="299">
        <f t="shared" ca="1" si="249"/>
        <v>24.96434303335786</v>
      </c>
      <c r="CH124" s="299">
        <f t="shared" ca="1" si="250"/>
        <v>31.217917761848081</v>
      </c>
      <c r="CI124" s="299">
        <f t="shared" ca="1" si="251"/>
        <v>20.199997361004392</v>
      </c>
      <c r="CJ124" s="299">
        <f t="shared" ca="1" si="252"/>
        <v>27.545277628233517</v>
      </c>
      <c r="CK124" s="299">
        <f t="shared" ca="1" si="253"/>
        <v>32.659889647739881</v>
      </c>
      <c r="CL124" s="377">
        <f t="shared" ca="1" si="254"/>
        <v>0.26443109115642915</v>
      </c>
      <c r="CM124" s="305">
        <f t="shared" ca="1" si="255"/>
        <v>0.26443109115642915</v>
      </c>
      <c r="CN124" s="305">
        <f t="shared" ca="1" si="256"/>
        <v>0.26443109115642915</v>
      </c>
      <c r="CO124" s="305">
        <f t="shared" ca="1" si="257"/>
        <v>0.26443109115642915</v>
      </c>
      <c r="CP124" s="305">
        <f t="shared" ca="1" si="258"/>
        <v>7.5037298591713472E-2</v>
      </c>
      <c r="CQ124" s="305">
        <f t="shared" ca="1" si="259"/>
        <v>0.21867849566109365</v>
      </c>
      <c r="CR124" s="775">
        <f t="shared" ca="1" si="260"/>
        <v>0.26693109115642916</v>
      </c>
      <c r="CS124" s="305">
        <f t="shared" ca="1" si="261"/>
        <v>0.32443109115642915</v>
      </c>
      <c r="CT124" s="305">
        <f t="shared" ca="1" si="262"/>
        <v>0.29943109115642919</v>
      </c>
      <c r="CU124" s="305">
        <f t="shared" ca="1" si="263"/>
        <v>0.13503729859171348</v>
      </c>
      <c r="CV124" s="770">
        <f t="shared" ca="1" si="264"/>
        <v>0.23617849566109367</v>
      </c>
      <c r="CW124" s="302">
        <f t="shared" ca="1" si="265"/>
        <v>11.185593415927173</v>
      </c>
      <c r="CX124" s="299">
        <f t="shared" ca="1" si="266"/>
        <v>5.9713055320085671</v>
      </c>
      <c r="CY124" s="299">
        <f t="shared" ca="1" si="267"/>
        <v>6.5503871076529956</v>
      </c>
      <c r="CZ124" s="299">
        <f t="shared" ca="1" si="268"/>
        <v>0.59212810366638813</v>
      </c>
      <c r="DA124" s="774">
        <f t="shared" ca="1" si="269"/>
        <v>6.0045622411362434</v>
      </c>
      <c r="DB124" s="303">
        <f t="shared" ca="1" si="270"/>
        <v>2300.0327106624445</v>
      </c>
      <c r="DC124" s="248">
        <f t="shared" ca="1" si="271"/>
        <v>208.87294946680802</v>
      </c>
      <c r="DD124" s="778">
        <f t="shared" ca="1" si="272"/>
        <v>0</v>
      </c>
      <c r="DE124" s="363">
        <f t="shared" ca="1" si="273"/>
        <v>0.51484882515290875</v>
      </c>
      <c r="DF124" s="378">
        <f t="shared" ca="1" si="274"/>
        <v>-0.3427769951113176</v>
      </c>
      <c r="DG124" s="508">
        <f t="shared" ca="1" si="275"/>
        <v>-0.86335457750120725</v>
      </c>
      <c r="DH124" s="508">
        <f t="shared" ca="1" si="276"/>
        <v>-0.74824000961208648</v>
      </c>
      <c r="DI124" s="508">
        <f t="shared" ca="1" si="277"/>
        <v>-1.3887492272153472</v>
      </c>
      <c r="DJ124" s="508">
        <f t="shared" ca="1" si="278"/>
        <v>-0.59462445707057887</v>
      </c>
      <c r="DK124" s="353">
        <f t="shared" ca="1" si="279"/>
        <v>-105.73920206241614</v>
      </c>
      <c r="DL124" s="781">
        <f t="shared" ca="1" si="280"/>
        <v>5.5346560664080284</v>
      </c>
      <c r="DM124" s="303">
        <f t="shared" ca="1" si="281"/>
        <v>9016.3827825155386</v>
      </c>
      <c r="DN124" s="508">
        <f t="shared" ca="1" si="282"/>
        <v>1.5149264960461817</v>
      </c>
      <c r="DO124" s="508">
        <f t="shared" ca="1" si="283"/>
        <v>1.3773067935698533</v>
      </c>
      <c r="DP124" s="508">
        <f t="shared" ca="1" si="284"/>
        <v>1.4099724218523626</v>
      </c>
      <c r="DQ124" s="508">
        <f t="shared" ca="1" si="285"/>
        <v>1.3393632514055314</v>
      </c>
      <c r="DR124" s="508">
        <f t="shared" ca="1" si="286"/>
        <v>1.442776133065395</v>
      </c>
      <c r="DS124" s="353">
        <f t="shared" ca="1" si="287"/>
        <v>4458.9683563486169</v>
      </c>
      <c r="DT124" s="353">
        <f t="shared" ca="1" si="288"/>
        <v>-10013.479514012697</v>
      </c>
      <c r="DU124" s="380">
        <f t="shared" ca="1" si="388"/>
        <v>8.9965776865160851</v>
      </c>
      <c r="DV124" s="303">
        <f t="shared" ca="1" si="289"/>
        <v>181.22678645382388</v>
      </c>
      <c r="DW124" s="303">
        <f t="shared" ca="1" si="290"/>
        <v>32.95032480978616</v>
      </c>
      <c r="DX124" s="303">
        <f t="shared" ca="1" si="291"/>
        <v>41.187906012232702</v>
      </c>
      <c r="DY124" s="303">
        <f t="shared" ca="1" si="292"/>
        <v>255.36501727584275</v>
      </c>
      <c r="DZ124" s="303">
        <f t="shared" ca="1" si="293"/>
        <v>127.68250863792137</v>
      </c>
      <c r="EA124" s="303">
        <f t="shared" ca="1" si="294"/>
        <v>383.0475259137641</v>
      </c>
      <c r="EB124" s="302">
        <f t="shared" ca="1" si="295"/>
        <v>34.199786469340324</v>
      </c>
      <c r="EC124" s="299">
        <f t="shared" ca="1" si="296"/>
        <v>22.634608281253517</v>
      </c>
      <c r="ED124" s="299">
        <f t="shared" ca="1" si="297"/>
        <v>24.96434303335786</v>
      </c>
      <c r="EE124" s="299">
        <f t="shared" ca="1" si="298"/>
        <v>31.217917761848081</v>
      </c>
      <c r="EF124" s="299">
        <f t="shared" ca="1" si="299"/>
        <v>20.199997361004392</v>
      </c>
      <c r="EG124" s="299">
        <f t="shared" ca="1" si="300"/>
        <v>27.545277628233517</v>
      </c>
      <c r="EH124" s="302">
        <f t="shared" ca="1" si="301"/>
        <v>30</v>
      </c>
      <c r="EI124" s="304">
        <f t="shared" ca="1" si="302"/>
        <v>8.8143697052143061E-2</v>
      </c>
      <c r="EJ124" s="305">
        <f t="shared" ca="1" si="303"/>
        <v>8.8143697052143061E-2</v>
      </c>
      <c r="EK124" s="305">
        <f t="shared" ca="1" si="304"/>
        <v>8.8143697052143061E-2</v>
      </c>
      <c r="EL124" s="305">
        <f t="shared" ca="1" si="305"/>
        <v>8.8143697052143116E-2</v>
      </c>
      <c r="EM124" s="305">
        <f t="shared" ca="1" si="306"/>
        <v>2.5012432863904491E-2</v>
      </c>
      <c r="EN124" s="305">
        <f t="shared" ca="1" si="307"/>
        <v>7.0211379953924263E-2</v>
      </c>
      <c r="EO124" s="305">
        <f t="shared" ca="1" si="308"/>
        <v>8.8143697052143061E-2</v>
      </c>
      <c r="EP124" s="305">
        <f t="shared" ca="1" si="309"/>
        <v>8.8143697052143061E-2</v>
      </c>
      <c r="EQ124" s="305">
        <f t="shared" ca="1" si="310"/>
        <v>8.8143697052143061E-2</v>
      </c>
      <c r="ER124" s="305">
        <f t="shared" ca="1" si="311"/>
        <v>2.5012432863904491E-2</v>
      </c>
      <c r="ES124" s="305">
        <f t="shared" ca="1" si="312"/>
        <v>7.0211379953924263E-2</v>
      </c>
      <c r="ET124" s="299">
        <f t="shared" ca="1" si="313"/>
        <v>3.8349298365101099</v>
      </c>
      <c r="EU124" s="302">
        <f t="shared" ca="1" si="314"/>
        <v>30</v>
      </c>
      <c r="EV124" s="304">
        <f t="shared" ca="1" si="315"/>
        <v>0.26443109115642915</v>
      </c>
      <c r="EW124" s="305">
        <f t="shared" ca="1" si="316"/>
        <v>0.26443109115642915</v>
      </c>
      <c r="EX124" s="305">
        <f t="shared" ca="1" si="317"/>
        <v>0.26443109115642915</v>
      </c>
      <c r="EY124" s="305">
        <f t="shared" ca="1" si="318"/>
        <v>0.26443109115642915</v>
      </c>
      <c r="EZ124" s="305">
        <f t="shared" ca="1" si="319"/>
        <v>7.5037298591713472E-2</v>
      </c>
      <c r="FA124" s="305">
        <f t="shared" ca="1" si="320"/>
        <v>0.21867849566109365</v>
      </c>
      <c r="FB124" s="305">
        <f t="shared" ca="1" si="321"/>
        <v>0.26443109115642915</v>
      </c>
      <c r="FC124" s="305">
        <f t="shared" ca="1" si="322"/>
        <v>0.26443109115642915</v>
      </c>
      <c r="FD124" s="305">
        <f t="shared" ca="1" si="323"/>
        <v>0.26443109115642915</v>
      </c>
      <c r="FE124" s="305">
        <f t="shared" ca="1" si="324"/>
        <v>7.5037298591713472E-2</v>
      </c>
      <c r="FF124" s="305">
        <f t="shared" ca="1" si="325"/>
        <v>0.21867849566109365</v>
      </c>
      <c r="FG124" s="299">
        <f t="shared" ca="1" si="326"/>
        <v>6.2290730767362064</v>
      </c>
      <c r="FH124" s="302">
        <f t="shared" ca="1" si="327"/>
        <v>-2.3941432402260965</v>
      </c>
      <c r="FI124" s="248">
        <f t="shared" ca="1" si="328"/>
        <v>-917.07064485176886</v>
      </c>
      <c r="FJ124" s="363">
        <f t="shared" ca="1" si="329"/>
        <v>0.51484882515290875</v>
      </c>
      <c r="FK124" s="378">
        <f t="shared" ca="1" si="330"/>
        <v>0.36339026327023694</v>
      </c>
      <c r="FL124" s="508">
        <f t="shared" ca="1" si="331"/>
        <v>-1.1977643638686417</v>
      </c>
      <c r="FM124" s="508">
        <f t="shared" ca="1" si="332"/>
        <v>-0.82720625464435227</v>
      </c>
      <c r="FN124" s="508">
        <f t="shared" ca="1" si="333"/>
        <v>-5.3094247562992827</v>
      </c>
      <c r="FO124" s="508">
        <f t="shared" ca="1" si="334"/>
        <v>-0.5106563414584302</v>
      </c>
      <c r="FP124" s="353">
        <f t="shared" ca="1" si="335"/>
        <v>266.29623100185188</v>
      </c>
      <c r="FQ124" s="356">
        <f t="shared" ca="1" si="336"/>
        <v>21.230978762579451</v>
      </c>
      <c r="FR124" s="380">
        <f t="shared" ca="1" si="337"/>
        <v>24.576000000000001</v>
      </c>
      <c r="FS124" s="299">
        <f t="shared" ca="1" si="338"/>
        <v>24.576000000000001</v>
      </c>
      <c r="FT124" s="299">
        <f t="shared" ca="1" si="339"/>
        <v>24.576000000000001</v>
      </c>
      <c r="FU124" s="299">
        <f t="shared" ca="1" si="340"/>
        <v>24.576000000000001</v>
      </c>
      <c r="FV124" s="299">
        <f t="shared" ca="1" si="341"/>
        <v>24.576000000000004</v>
      </c>
      <c r="FW124" s="850">
        <f t="shared" ca="1" si="342"/>
        <v>0.16500000000000001</v>
      </c>
      <c r="FX124" s="851">
        <f t="shared" ca="1" si="343"/>
        <v>0.5</v>
      </c>
      <c r="FY124" s="851">
        <f t="shared" ca="1" si="344"/>
        <v>0</v>
      </c>
      <c r="FZ124" s="201">
        <f t="shared" ca="1" si="345"/>
        <v>0</v>
      </c>
      <c r="GA124" s="201">
        <f t="shared" ca="1" si="346"/>
        <v>0</v>
      </c>
      <c r="GB124" s="201">
        <f t="shared" ca="1" si="347"/>
        <v>0</v>
      </c>
      <c r="GC124" s="201">
        <f t="shared" ca="1" si="348"/>
        <v>0</v>
      </c>
      <c r="GD124" s="850">
        <f t="shared" ca="1" si="349"/>
        <v>0.27943109115642917</v>
      </c>
      <c r="GE124" s="866">
        <f t="shared" ca="1" si="350"/>
        <v>0.26443109115642915</v>
      </c>
      <c r="GF124" s="866">
        <f t="shared" ca="1" si="351"/>
        <v>0.26443109115642915</v>
      </c>
      <c r="GG124" s="866">
        <f t="shared" ca="1" si="352"/>
        <v>9.0037298591713472E-2</v>
      </c>
      <c r="GH124" s="866">
        <f t="shared" ca="1" si="353"/>
        <v>0.22867849566109366</v>
      </c>
      <c r="GI124" s="302">
        <f t="shared" ca="1" si="354"/>
        <v>13.979762623617543</v>
      </c>
      <c r="GJ124" s="299">
        <f t="shared" ca="1" si="355"/>
        <v>5.4781523680516067</v>
      </c>
      <c r="GK124" s="299">
        <f t="shared" ca="1" si="356"/>
        <v>6.917585435320337</v>
      </c>
      <c r="GL124" s="299">
        <f t="shared" ca="1" si="357"/>
        <v>1.9989343913787079</v>
      </c>
      <c r="GM124" s="299">
        <f t="shared" ca="1" si="358"/>
        <v>7.8655862149230646</v>
      </c>
      <c r="GN124" s="302">
        <f t="shared" ca="1" si="359"/>
        <v>0.79323428912953842</v>
      </c>
      <c r="GO124" s="299">
        <f t="shared" ca="1" si="360"/>
        <v>0.59031247720995783</v>
      </c>
      <c r="GP124" s="299">
        <f t="shared" ca="1" si="361"/>
        <v>0.64413634538306719</v>
      </c>
      <c r="GQ124" s="299">
        <f t="shared" ca="1" si="362"/>
        <v>0.40428430905299811</v>
      </c>
      <c r="GR124" s="299">
        <f t="shared" ca="1" si="363"/>
        <v>0.68885141945711104</v>
      </c>
      <c r="GS124" s="302">
        <f t="shared" ca="1" si="364"/>
        <v>-0.53502121101458933</v>
      </c>
      <c r="GT124" s="299">
        <f t="shared" ca="1" si="365"/>
        <v>-0.32077380844932657</v>
      </c>
      <c r="GU124" s="299">
        <f t="shared" ca="1" si="366"/>
        <v>-0.37283759426563168</v>
      </c>
      <c r="GV124" s="299">
        <f t="shared" ca="1" si="367"/>
        <v>-0.25096058290548318</v>
      </c>
      <c r="GW124" s="299">
        <f t="shared" ca="1" si="368"/>
        <v>-0.4520271559196325</v>
      </c>
      <c r="GX124" s="303">
        <f t="shared" ca="1" si="369"/>
        <v>2533.5074556654849</v>
      </c>
      <c r="GY124" s="303">
        <f t="shared" ca="1" si="370"/>
        <v>180.50689988479965</v>
      </c>
      <c r="GZ124" s="303">
        <f t="shared" ca="1" si="371"/>
        <v>284.9208587415639</v>
      </c>
      <c r="HA124" s="303">
        <f t="shared" ca="1" si="372"/>
        <v>255.22895769384996</v>
      </c>
      <c r="HB124" s="303">
        <f t="shared" ca="1" si="373"/>
        <v>3012.8933394876885</v>
      </c>
      <c r="HC124" s="303">
        <f t="shared" ca="1" si="374"/>
        <v>1744.0878953563385</v>
      </c>
      <c r="HD124" s="303">
        <f t="shared" ca="1" si="375"/>
        <v>0</v>
      </c>
      <c r="HE124" s="303">
        <f t="shared" ca="1" si="376"/>
        <v>15.995036358448864</v>
      </c>
      <c r="HF124" s="303">
        <f t="shared" ca="1" si="377"/>
        <v>0</v>
      </c>
      <c r="HG124" s="852">
        <f t="shared" ca="1" si="378"/>
        <v>1137.3744492459366</v>
      </c>
    </row>
    <row r="125" spans="1:215" x14ac:dyDescent="0.25">
      <c r="A125" s="244">
        <f t="shared" ca="1" si="379"/>
        <v>39904</v>
      </c>
      <c r="B125" s="13">
        <f t="shared" ca="1" si="409"/>
        <v>2009</v>
      </c>
      <c r="C125" s="619">
        <f t="shared" ca="1" si="410"/>
        <v>4</v>
      </c>
      <c r="D125" s="195" t="str">
        <f t="shared" ca="1" si="209"/>
        <v/>
      </c>
      <c r="E125" s="469">
        <f t="shared" ca="1" si="210"/>
        <v>39904</v>
      </c>
      <c r="F125" s="465">
        <f t="shared" ca="1" si="211"/>
        <v>39933</v>
      </c>
      <c r="G125" s="522">
        <f t="shared" ca="1" si="380"/>
        <v>1</v>
      </c>
      <c r="H125" s="519">
        <f t="shared" ca="1" si="381"/>
        <v>1</v>
      </c>
      <c r="I125" s="724">
        <f t="shared" ca="1" si="411"/>
        <v>7.4038989779218009E-2</v>
      </c>
      <c r="J125" s="198">
        <f t="shared" ca="1" si="213"/>
        <v>0.5117147372508184</v>
      </c>
      <c r="K125" s="200">
        <f t="shared" ca="1" si="389"/>
        <v>31.5</v>
      </c>
      <c r="L125" s="201">
        <f t="shared" ca="1" si="390"/>
        <v>32.15</v>
      </c>
      <c r="M125" s="206">
        <f t="shared" ca="1" si="391"/>
        <v>32.799999999999997</v>
      </c>
      <c r="N125" s="851">
        <f t="shared" ca="1" si="395"/>
        <v>22.230000305175775</v>
      </c>
      <c r="O125" s="201">
        <f t="shared" ca="1" si="396"/>
        <v>22.717500305175776</v>
      </c>
      <c r="P125" s="206">
        <f t="shared" ca="1" si="397"/>
        <v>23.205000305175776</v>
      </c>
      <c r="Q125" s="201">
        <f t="shared" ca="1" si="398"/>
        <v>18.13499908447265</v>
      </c>
      <c r="R125" s="201">
        <f t="shared" ca="1" si="399"/>
        <v>21.434999084472651</v>
      </c>
      <c r="S125" s="201">
        <f t="shared" ca="1" si="400"/>
        <v>24.734999084472651</v>
      </c>
      <c r="T125" s="851">
        <f t="shared" ca="1" si="392"/>
        <v>19.47499771118164</v>
      </c>
      <c r="U125" s="201">
        <f t="shared" ca="1" si="393"/>
        <v>19.799997711181639</v>
      </c>
      <c r="V125" s="206">
        <f t="shared" ca="1" si="394"/>
        <v>20.124997711181638</v>
      </c>
      <c r="W125" s="230">
        <f t="shared" ca="1" si="382"/>
        <v>7.866507764010057E-2</v>
      </c>
      <c r="X125" s="231">
        <f t="shared" ca="1" si="383"/>
        <v>0.15733015528020114</v>
      </c>
      <c r="Y125" s="232">
        <f t="shared" ca="1" si="384"/>
        <v>0.23599523292030172</v>
      </c>
      <c r="Z125" s="231">
        <f t="shared" ca="1" si="404"/>
        <v>7.866507764010057E-2</v>
      </c>
      <c r="AA125" s="231">
        <f t="shared" ca="1" si="405"/>
        <v>0.15733015528020114</v>
      </c>
      <c r="AB125" s="232">
        <f t="shared" ca="1" si="406"/>
        <v>0.23599523292030172</v>
      </c>
      <c r="AC125" s="231">
        <f t="shared" ca="1" si="407"/>
        <v>7.866507764010057E-2</v>
      </c>
      <c r="AD125" s="231">
        <f t="shared" ca="1" si="408"/>
        <v>0.15733015528020114</v>
      </c>
      <c r="AE125" s="232">
        <f t="shared" ca="1" si="214"/>
        <v>0.23599523292030172</v>
      </c>
      <c r="AF125" s="231">
        <f t="shared" ca="1" si="385"/>
        <v>2.5012432863904491E-2</v>
      </c>
      <c r="AG125" s="231">
        <f t="shared" ca="1" si="386"/>
        <v>5.0024865727808981E-2</v>
      </c>
      <c r="AH125" s="232">
        <f t="shared" ca="1" si="387"/>
        <v>7.5037298591713472E-2</v>
      </c>
      <c r="AI125" s="233">
        <f t="shared" ca="1" si="215"/>
        <v>0.85000000000000009</v>
      </c>
      <c r="AJ125" s="233">
        <f t="shared" ca="1" si="216"/>
        <v>1.1000000000000001</v>
      </c>
      <c r="AK125" s="234">
        <f t="shared" ca="1" si="217"/>
        <v>1.4000000000000001</v>
      </c>
      <c r="AL125" s="919">
        <f t="shared" ca="1" si="218"/>
        <v>0.85000000000000009</v>
      </c>
      <c r="AM125" s="233">
        <f t="shared" ca="1" si="219"/>
        <v>1.1000000000000001</v>
      </c>
      <c r="AN125" s="234">
        <f t="shared" ca="1" si="220"/>
        <v>1.4000000000000001</v>
      </c>
      <c r="AO125" s="233">
        <f t="shared" ca="1" si="221"/>
        <v>0.85000000000000009</v>
      </c>
      <c r="AP125" s="233">
        <f t="shared" ca="1" si="222"/>
        <v>1.1000000000000001</v>
      </c>
      <c r="AQ125" s="233">
        <f t="shared" ca="1" si="223"/>
        <v>1.4000000000000001</v>
      </c>
      <c r="AR125" s="919">
        <f t="shared" ca="1" si="224"/>
        <v>0.19999999999999998</v>
      </c>
      <c r="AS125" s="233">
        <f t="shared" ca="1" si="225"/>
        <v>0.35</v>
      </c>
      <c r="AT125" s="235">
        <f t="shared" ca="1" si="226"/>
        <v>0.55000000000000004</v>
      </c>
      <c r="AU125" s="946">
        <f t="shared" si="227"/>
        <v>0.5</v>
      </c>
      <c r="AV125" s="13">
        <f t="shared" ca="1" si="228"/>
        <v>22</v>
      </c>
      <c r="AW125" s="210">
        <f t="shared" ca="1" si="229"/>
        <v>4</v>
      </c>
      <c r="AX125" s="210">
        <f t="shared" ca="1" si="230"/>
        <v>4</v>
      </c>
      <c r="AY125" s="210">
        <f t="shared" ca="1" si="231"/>
        <v>0</v>
      </c>
      <c r="AZ125" s="13">
        <f t="shared" ca="1" si="232"/>
        <v>30</v>
      </c>
      <c r="BA125" s="357">
        <f ca="1"/>
        <v>352</v>
      </c>
      <c r="BB125" s="925">
        <f ca="1"/>
        <v>64</v>
      </c>
      <c r="BC125" s="925">
        <f ca="1"/>
        <v>64</v>
      </c>
      <c r="BD125" s="928">
        <f ca="1"/>
        <v>240</v>
      </c>
      <c r="BE125" s="200">
        <f ca="1"/>
        <v>1.0000000074505806</v>
      </c>
      <c r="BF125" s="851">
        <f ca="1"/>
        <v>1.0000000074505806</v>
      </c>
      <c r="BG125" s="851">
        <f ca="1"/>
        <v>1.0000000074505806</v>
      </c>
      <c r="BH125" s="933">
        <f ca="1"/>
        <v>0.99995028972625732</v>
      </c>
      <c r="BI125" s="357">
        <f ca="1"/>
        <v>352</v>
      </c>
      <c r="BJ125" s="925">
        <f ca="1"/>
        <v>64</v>
      </c>
      <c r="BK125" s="925">
        <f ca="1"/>
        <v>64</v>
      </c>
      <c r="BL125" s="928">
        <f ca="1"/>
        <v>240</v>
      </c>
      <c r="BM125" s="200">
        <f ca="1"/>
        <v>1.0000000074505806</v>
      </c>
      <c r="BN125" s="851">
        <f ca="1"/>
        <v>1.0000000074505806</v>
      </c>
      <c r="BO125" s="851">
        <f ca="1"/>
        <v>1.0000000074505806</v>
      </c>
      <c r="BP125" s="933">
        <f ca="1"/>
        <v>0.99995028972625732</v>
      </c>
      <c r="BQ125" s="357">
        <f t="shared" ca="1" si="233"/>
        <v>720</v>
      </c>
      <c r="BR125" s="361">
        <f t="shared" ca="1" si="234"/>
        <v>720</v>
      </c>
      <c r="BS125" s="357">
        <f t="shared" ca="1" si="235"/>
        <v>368.43461082058923</v>
      </c>
      <c r="BT125" s="302">
        <f t="shared" ca="1" si="236"/>
        <v>25.479343288456242</v>
      </c>
      <c r="BU125" s="299">
        <f t="shared" ca="1" si="237"/>
        <v>26.242115685830356</v>
      </c>
      <c r="BV125" s="299">
        <f t="shared" ca="1" si="238"/>
        <v>27.00488808320447</v>
      </c>
      <c r="BW125" s="299">
        <f t="shared" ca="1" si="239"/>
        <v>32.659889647739881</v>
      </c>
      <c r="BX125" s="380">
        <f t="shared" ca="1" si="240"/>
        <v>9.0814510609171801</v>
      </c>
      <c r="BY125" s="363">
        <f t="shared" ca="1" si="241"/>
        <v>180.12358751228808</v>
      </c>
      <c r="BZ125" s="353">
        <f t="shared" ca="1" si="242"/>
        <v>32.749743184052377</v>
      </c>
      <c r="CA125" s="353">
        <f t="shared" ca="1" si="243"/>
        <v>32.749743184052377</v>
      </c>
      <c r="CB125" s="353">
        <f t="shared" ca="1" si="244"/>
        <v>245.62307388039284</v>
      </c>
      <c r="CC125" s="353">
        <f t="shared" ca="1" si="245"/>
        <v>122.81153694019642</v>
      </c>
      <c r="CD125" s="353">
        <f t="shared" ca="1" si="246"/>
        <v>368.43461082058923</v>
      </c>
      <c r="CE125" s="302">
        <f t="shared" ca="1" si="247"/>
        <v>32.800000244379042</v>
      </c>
      <c r="CF125" s="299">
        <f t="shared" ca="1" si="248"/>
        <v>23.205000478066502</v>
      </c>
      <c r="CG125" s="299">
        <f t="shared" ca="1" si="249"/>
        <v>24.734999268762756</v>
      </c>
      <c r="CH125" s="299">
        <f t="shared" ca="1" si="250"/>
        <v>30.44533347878853</v>
      </c>
      <c r="CI125" s="299">
        <f t="shared" ca="1" si="251"/>
        <v>20.123997292036346</v>
      </c>
      <c r="CJ125" s="299">
        <f t="shared" ca="1" si="252"/>
        <v>27.004888083204474</v>
      </c>
      <c r="CK125" s="299">
        <f t="shared" ca="1" si="253"/>
        <v>32.659889647739881</v>
      </c>
      <c r="CL125" s="377">
        <f t="shared" ca="1" si="254"/>
        <v>0.23599523292030172</v>
      </c>
      <c r="CM125" s="305">
        <f t="shared" ca="1" si="255"/>
        <v>0.23599523292030172</v>
      </c>
      <c r="CN125" s="305">
        <f t="shared" ca="1" si="256"/>
        <v>0.23599523292030172</v>
      </c>
      <c r="CO125" s="305">
        <f t="shared" ca="1" si="257"/>
        <v>0.23599523292030172</v>
      </c>
      <c r="CP125" s="305">
        <f t="shared" ca="1" si="258"/>
        <v>7.5037298591713472E-2</v>
      </c>
      <c r="CQ125" s="305">
        <f t="shared" ca="1" si="259"/>
        <v>0.19377827201815764</v>
      </c>
      <c r="CR125" s="775">
        <f t="shared" ca="1" si="260"/>
        <v>0.23599523292030172</v>
      </c>
      <c r="CS125" s="305">
        <f t="shared" ca="1" si="261"/>
        <v>0.28599523292030171</v>
      </c>
      <c r="CT125" s="305">
        <f t="shared" ca="1" si="262"/>
        <v>0.2709952329203017</v>
      </c>
      <c r="CU125" s="305">
        <f t="shared" ca="1" si="263"/>
        <v>0.13503729859171348</v>
      </c>
      <c r="CV125" s="770">
        <f t="shared" ca="1" si="264"/>
        <v>0.21127827201815763</v>
      </c>
      <c r="CW125" s="302">
        <f t="shared" ca="1" si="265"/>
        <v>9.1643281470623172</v>
      </c>
      <c r="CX125" s="299">
        <f t="shared" ca="1" si="266"/>
        <v>5.2586600914378687</v>
      </c>
      <c r="CY125" s="299">
        <f t="shared" ca="1" si="267"/>
        <v>5.623152525808683</v>
      </c>
      <c r="CZ125" s="299">
        <f t="shared" ca="1" si="268"/>
        <v>0.58923155115288139</v>
      </c>
      <c r="DA125" s="774">
        <f t="shared" ca="1" si="269"/>
        <v>4.9416186809573794</v>
      </c>
      <c r="DB125" s="303">
        <f t="shared" ca="1" si="270"/>
        <v>1820.6633555422857</v>
      </c>
      <c r="DC125" s="248">
        <f t="shared" ca="1" si="271"/>
        <v>187.11698697520711</v>
      </c>
      <c r="DD125" s="778">
        <f t="shared" ca="1" si="272"/>
        <v>0</v>
      </c>
      <c r="DE125" s="363">
        <f t="shared" ca="1" si="273"/>
        <v>0.5117147372508184</v>
      </c>
      <c r="DF125" s="378">
        <f t="shared" ca="1" si="274"/>
        <v>-0.3495717865294698</v>
      </c>
      <c r="DG125" s="508">
        <f t="shared" ca="1" si="275"/>
        <v>-0.82749080390921181</v>
      </c>
      <c r="DH125" s="508">
        <f t="shared" ca="1" si="276"/>
        <v>-0.74865306787296171</v>
      </c>
      <c r="DI125" s="508">
        <f t="shared" ca="1" si="277"/>
        <v>-1.3934090599421649</v>
      </c>
      <c r="DJ125" s="508">
        <f t="shared" ca="1" si="278"/>
        <v>-0.61696748051028727</v>
      </c>
      <c r="DK125" s="353">
        <f t="shared" ca="1" si="279"/>
        <v>-98.971863411563717</v>
      </c>
      <c r="DL125" s="781">
        <f t="shared" ca="1" si="280"/>
        <v>5.8434138470603845</v>
      </c>
      <c r="DM125" s="303">
        <f t="shared" ca="1" si="281"/>
        <v>8508.1203001614649</v>
      </c>
      <c r="DN125" s="508">
        <f t="shared" ca="1" si="282"/>
        <v>1.5080422897908339</v>
      </c>
      <c r="DO125" s="508">
        <f t="shared" ca="1" si="283"/>
        <v>1.3931956938620798</v>
      </c>
      <c r="DP125" s="508">
        <f t="shared" ca="1" si="284"/>
        <v>1.4143859585045671</v>
      </c>
      <c r="DQ125" s="508">
        <f t="shared" ca="1" si="285"/>
        <v>1.3459194590597261</v>
      </c>
      <c r="DR125" s="508">
        <f t="shared" ca="1" si="286"/>
        <v>1.4435235579092984</v>
      </c>
      <c r="DS125" s="353">
        <f t="shared" ca="1" si="287"/>
        <v>4219.9556221469784</v>
      </c>
      <c r="DT125" s="353">
        <f t="shared" ca="1" si="288"/>
        <v>-9563.0691649895634</v>
      </c>
      <c r="DU125" s="380">
        <f t="shared" ca="1" si="388"/>
        <v>9.0814510609171801</v>
      </c>
      <c r="DV125" s="303">
        <f t="shared" ca="1" si="289"/>
        <v>180.12358751228808</v>
      </c>
      <c r="DW125" s="303">
        <f t="shared" ca="1" si="290"/>
        <v>32.749743184052377</v>
      </c>
      <c r="DX125" s="303">
        <f t="shared" ca="1" si="291"/>
        <v>32.749743184052377</v>
      </c>
      <c r="DY125" s="303">
        <f t="shared" ca="1" si="292"/>
        <v>245.62307388039284</v>
      </c>
      <c r="DZ125" s="303">
        <f t="shared" ca="1" si="293"/>
        <v>122.81153694019642</v>
      </c>
      <c r="EA125" s="303">
        <f t="shared" ca="1" si="294"/>
        <v>368.43461082058923</v>
      </c>
      <c r="EB125" s="302">
        <f t="shared" ca="1" si="295"/>
        <v>32.800000244379042</v>
      </c>
      <c r="EC125" s="299">
        <f t="shared" ca="1" si="296"/>
        <v>23.205000478066502</v>
      </c>
      <c r="ED125" s="299">
        <f t="shared" ca="1" si="297"/>
        <v>24.734999268762756</v>
      </c>
      <c r="EE125" s="299">
        <f t="shared" ca="1" si="298"/>
        <v>30.44533347878853</v>
      </c>
      <c r="EF125" s="299">
        <f t="shared" ca="1" si="299"/>
        <v>20.123997292036346</v>
      </c>
      <c r="EG125" s="299">
        <f t="shared" ca="1" si="300"/>
        <v>27.004888083204474</v>
      </c>
      <c r="EH125" s="302">
        <f t="shared" ca="1" si="301"/>
        <v>30</v>
      </c>
      <c r="EI125" s="304">
        <f t="shared" ca="1" si="302"/>
        <v>7.866507764010057E-2</v>
      </c>
      <c r="EJ125" s="305">
        <f t="shared" ca="1" si="303"/>
        <v>7.866507764010057E-2</v>
      </c>
      <c r="EK125" s="305">
        <f t="shared" ca="1" si="304"/>
        <v>7.866507764010057E-2</v>
      </c>
      <c r="EL125" s="305">
        <f t="shared" ca="1" si="305"/>
        <v>7.8665077640100556E-2</v>
      </c>
      <c r="EM125" s="305">
        <f t="shared" ca="1" si="306"/>
        <v>2.5012432863904491E-2</v>
      </c>
      <c r="EN125" s="305">
        <f t="shared" ca="1" si="307"/>
        <v>6.2709379364225729E-2</v>
      </c>
      <c r="EO125" s="305">
        <f t="shared" ca="1" si="308"/>
        <v>7.866507764010057E-2</v>
      </c>
      <c r="EP125" s="305">
        <f t="shared" ca="1" si="309"/>
        <v>7.866507764010057E-2</v>
      </c>
      <c r="EQ125" s="305">
        <f t="shared" ca="1" si="310"/>
        <v>7.866507764010057E-2</v>
      </c>
      <c r="ER125" s="305">
        <f t="shared" ca="1" si="311"/>
        <v>2.5012432863904491E-2</v>
      </c>
      <c r="ES125" s="305">
        <f t="shared" ca="1" si="312"/>
        <v>6.2709379364225729E-2</v>
      </c>
      <c r="ET125" s="299">
        <f t="shared" ca="1" si="313"/>
        <v>3.9658706529421401</v>
      </c>
      <c r="EU125" s="302">
        <f t="shared" ca="1" si="314"/>
        <v>30</v>
      </c>
      <c r="EV125" s="304">
        <f t="shared" ca="1" si="315"/>
        <v>0.23599523292030172</v>
      </c>
      <c r="EW125" s="305">
        <f t="shared" ca="1" si="316"/>
        <v>0.23599523292030172</v>
      </c>
      <c r="EX125" s="305">
        <f t="shared" ca="1" si="317"/>
        <v>0.23599523292030172</v>
      </c>
      <c r="EY125" s="305">
        <f t="shared" ca="1" si="318"/>
        <v>0.23599523292030172</v>
      </c>
      <c r="EZ125" s="305">
        <f t="shared" ca="1" si="319"/>
        <v>7.5037298591713472E-2</v>
      </c>
      <c r="FA125" s="305">
        <f t="shared" ca="1" si="320"/>
        <v>0.19377827201815764</v>
      </c>
      <c r="FB125" s="305">
        <f t="shared" ca="1" si="321"/>
        <v>0.23599523292030172</v>
      </c>
      <c r="FC125" s="305">
        <f t="shared" ca="1" si="322"/>
        <v>0.23599523292030172</v>
      </c>
      <c r="FD125" s="305">
        <f t="shared" ca="1" si="323"/>
        <v>0.23599523292030172</v>
      </c>
      <c r="FE125" s="305">
        <f t="shared" ca="1" si="324"/>
        <v>7.5037298591713472E-2</v>
      </c>
      <c r="FF125" s="305">
        <f t="shared" ca="1" si="325"/>
        <v>0.19377827201815764</v>
      </c>
      <c r="FG125" s="299">
        <f t="shared" ca="1" si="326"/>
        <v>5.1522119147795316</v>
      </c>
      <c r="FH125" s="302">
        <f t="shared" ca="1" si="327"/>
        <v>-1.1863412618373914</v>
      </c>
      <c r="FI125" s="248">
        <f t="shared" ca="1" si="328"/>
        <v>-437.08918110546603</v>
      </c>
      <c r="FJ125" s="363">
        <f t="shared" ca="1" si="329"/>
        <v>0.5117147372508184</v>
      </c>
      <c r="FK125" s="378">
        <f t="shared" ca="1" si="330"/>
        <v>0.25787590917094494</v>
      </c>
      <c r="FL125" s="508">
        <f t="shared" ca="1" si="331"/>
        <v>-1.201921941592542</v>
      </c>
      <c r="FM125" s="508">
        <f t="shared" ca="1" si="332"/>
        <v>-0.93257566683310122</v>
      </c>
      <c r="FN125" s="508">
        <f t="shared" ca="1" si="333"/>
        <v>-5.3349172542005023</v>
      </c>
      <c r="FO125" s="508">
        <f t="shared" ca="1" si="334"/>
        <v>-0.65106022842481071</v>
      </c>
      <c r="FP125" s="353">
        <f t="shared" ca="1" si="335"/>
        <v>273.56132169172002</v>
      </c>
      <c r="FQ125" s="356">
        <f t="shared" ca="1" si="336"/>
        <v>20.974665468683344</v>
      </c>
      <c r="FR125" s="380">
        <f t="shared" ca="1" si="337"/>
        <v>24.18</v>
      </c>
      <c r="FS125" s="299">
        <f t="shared" ca="1" si="338"/>
        <v>24.18</v>
      </c>
      <c r="FT125" s="299">
        <f t="shared" ca="1" si="339"/>
        <v>24.18</v>
      </c>
      <c r="FU125" s="299">
        <f t="shared" ca="1" si="340"/>
        <v>24.18</v>
      </c>
      <c r="FV125" s="299">
        <f t="shared" ca="1" si="341"/>
        <v>24.18</v>
      </c>
      <c r="FW125" s="850">
        <f t="shared" ca="1" si="342"/>
        <v>0.16500000000000001</v>
      </c>
      <c r="FX125" s="851">
        <f t="shared" ca="1" si="343"/>
        <v>0.5</v>
      </c>
      <c r="FY125" s="851">
        <f t="shared" ca="1" si="344"/>
        <v>0</v>
      </c>
      <c r="FZ125" s="201">
        <f t="shared" ca="1" si="345"/>
        <v>0</v>
      </c>
      <c r="GA125" s="201">
        <f t="shared" ca="1" si="346"/>
        <v>0</v>
      </c>
      <c r="GB125" s="201">
        <f t="shared" ca="1" si="347"/>
        <v>0</v>
      </c>
      <c r="GC125" s="201">
        <f t="shared" ca="1" si="348"/>
        <v>0</v>
      </c>
      <c r="GD125" s="850">
        <f t="shared" ca="1" si="349"/>
        <v>0.25099523292030174</v>
      </c>
      <c r="GE125" s="866">
        <f t="shared" ca="1" si="350"/>
        <v>0.23599523292030172</v>
      </c>
      <c r="GF125" s="866">
        <f t="shared" ca="1" si="351"/>
        <v>0.23599523292030172</v>
      </c>
      <c r="GG125" s="866">
        <f t="shared" ca="1" si="352"/>
        <v>9.0037298591713472E-2</v>
      </c>
      <c r="GH125" s="866">
        <f t="shared" ca="1" si="353"/>
        <v>0.20377827201815765</v>
      </c>
      <c r="GI125" s="302">
        <f t="shared" ca="1" si="354"/>
        <v>12.470524971760799</v>
      </c>
      <c r="GJ125" s="299">
        <f t="shared" ca="1" si="355"/>
        <v>5.4000408831129247</v>
      </c>
      <c r="GK125" s="299">
        <f t="shared" ca="1" si="356"/>
        <v>6.3464891486211892</v>
      </c>
      <c r="GL125" s="299">
        <f t="shared" ca="1" si="357"/>
        <v>2.0848557803733261</v>
      </c>
      <c r="GM125" s="299">
        <f t="shared" ca="1" si="358"/>
        <v>7.208881104848361</v>
      </c>
      <c r="GN125" s="302">
        <f t="shared" ca="1" si="359"/>
        <v>0.78548539307620868</v>
      </c>
      <c r="GO125" s="299">
        <f t="shared" ca="1" si="360"/>
        <v>0.59904047915592817</v>
      </c>
      <c r="GP125" s="299">
        <f t="shared" ca="1" si="361"/>
        <v>0.63754274283638646</v>
      </c>
      <c r="GQ125" s="299">
        <f t="shared" ca="1" si="362"/>
        <v>0.41675837740887989</v>
      </c>
      <c r="GR125" s="299">
        <f t="shared" ca="1" si="363"/>
        <v>0.68368613421008806</v>
      </c>
      <c r="GS125" s="302">
        <f t="shared" ca="1" si="364"/>
        <v>-0.54976827012242957</v>
      </c>
      <c r="GT125" s="299">
        <f t="shared" ca="1" si="365"/>
        <v>-0.35155885770333506</v>
      </c>
      <c r="GU125" s="299">
        <f t="shared" ca="1" si="366"/>
        <v>-0.38970765092986126</v>
      </c>
      <c r="GV125" s="299">
        <f t="shared" ca="1" si="367"/>
        <v>-0.26062813540603991</v>
      </c>
      <c r="GW125" s="299">
        <f t="shared" ca="1" si="368"/>
        <v>-0.46542542768305095</v>
      </c>
      <c r="GX125" s="303">
        <f t="shared" ca="1" si="369"/>
        <v>2246.2356960751304</v>
      </c>
      <c r="GY125" s="303">
        <f t="shared" ca="1" si="370"/>
        <v>176.84995210533168</v>
      </c>
      <c r="GZ125" s="303">
        <f t="shared" ca="1" si="371"/>
        <v>207.84588973771918</v>
      </c>
      <c r="HA125" s="303">
        <f t="shared" ca="1" si="372"/>
        <v>256.04434268630075</v>
      </c>
      <c r="HB125" s="303">
        <f t="shared" ca="1" si="373"/>
        <v>2656.001304316705</v>
      </c>
      <c r="HC125" s="303">
        <f t="shared" ca="1" si="374"/>
        <v>1552.6653683743532</v>
      </c>
      <c r="HD125" s="303">
        <f t="shared" ca="1" si="375"/>
        <v>0</v>
      </c>
      <c r="HE125" s="303">
        <f t="shared" ca="1" si="376"/>
        <v>18.176083519317139</v>
      </c>
      <c r="HF125" s="303">
        <f t="shared" ca="1" si="377"/>
        <v>0</v>
      </c>
      <c r="HG125" s="852">
        <f t="shared" ca="1" si="378"/>
        <v>1040.7865415471606</v>
      </c>
    </row>
    <row r="126" spans="1:215" x14ac:dyDescent="0.25">
      <c r="A126" s="244">
        <f t="shared" ca="1" si="379"/>
        <v>39934</v>
      </c>
      <c r="B126" s="13">
        <f t="shared" ca="1" si="409"/>
        <v>2009</v>
      </c>
      <c r="C126" s="619">
        <f t="shared" ca="1" si="410"/>
        <v>5</v>
      </c>
      <c r="D126" s="195">
        <f t="shared" ca="1" si="209"/>
        <v>39958</v>
      </c>
      <c r="E126" s="469">
        <f t="shared" ca="1" si="210"/>
        <v>39934</v>
      </c>
      <c r="F126" s="465">
        <f t="shared" ca="1" si="211"/>
        <v>39964</v>
      </c>
      <c r="G126" s="522">
        <f t="shared" ca="1" si="380"/>
        <v>1</v>
      </c>
      <c r="H126" s="519">
        <f t="shared" ca="1" si="381"/>
        <v>1</v>
      </c>
      <c r="I126" s="724">
        <f t="shared" ca="1" si="411"/>
        <v>7.4053782157081999E-2</v>
      </c>
      <c r="J126" s="198">
        <f t="shared" ca="1" si="213"/>
        <v>0.5084995006426769</v>
      </c>
      <c r="K126" s="200">
        <f t="shared" ca="1" si="389"/>
        <v>31.9</v>
      </c>
      <c r="L126" s="201">
        <f t="shared" ca="1" si="390"/>
        <v>34.15</v>
      </c>
      <c r="M126" s="206">
        <f t="shared" ca="1" si="391"/>
        <v>36.4</v>
      </c>
      <c r="N126" s="851">
        <f t="shared" ca="1" si="395"/>
        <v>21.14500007629394</v>
      </c>
      <c r="O126" s="201">
        <f t="shared" ca="1" si="396"/>
        <v>22.83250007629394</v>
      </c>
      <c r="P126" s="206">
        <f t="shared" ca="1" si="397"/>
        <v>24.52000007629394</v>
      </c>
      <c r="Q126" s="201">
        <f t="shared" ca="1" si="398"/>
        <v>18.664999771118158</v>
      </c>
      <c r="R126" s="201">
        <f t="shared" ca="1" si="399"/>
        <v>21.964999771118158</v>
      </c>
      <c r="S126" s="201">
        <f t="shared" ca="1" si="400"/>
        <v>25.264999771118159</v>
      </c>
      <c r="T126" s="851">
        <f t="shared" ca="1" si="392"/>
        <v>18.674997711181639</v>
      </c>
      <c r="U126" s="201">
        <f t="shared" ca="1" si="393"/>
        <v>19.799997711181639</v>
      </c>
      <c r="V126" s="206">
        <f t="shared" ca="1" si="394"/>
        <v>20.924997711181639</v>
      </c>
      <c r="W126" s="230">
        <f t="shared" ca="1" si="382"/>
        <v>9.0606645403303696E-2</v>
      </c>
      <c r="X126" s="231">
        <f t="shared" ca="1" si="383"/>
        <v>0.18121329080660739</v>
      </c>
      <c r="Y126" s="232">
        <f t="shared" ca="1" si="384"/>
        <v>0.27181993620991107</v>
      </c>
      <c r="Z126" s="231">
        <f t="shared" ca="1" si="404"/>
        <v>9.0606645403303696E-2</v>
      </c>
      <c r="AA126" s="231">
        <f t="shared" ca="1" si="405"/>
        <v>0.18121329080660739</v>
      </c>
      <c r="AB126" s="232">
        <f t="shared" ca="1" si="406"/>
        <v>0.27181993620991107</v>
      </c>
      <c r="AC126" s="231">
        <f t="shared" ca="1" si="407"/>
        <v>9.0606645403303696E-2</v>
      </c>
      <c r="AD126" s="231">
        <f t="shared" ca="1" si="408"/>
        <v>0.18121329080660739</v>
      </c>
      <c r="AE126" s="232">
        <f t="shared" ca="1" si="214"/>
        <v>0.27181993620991107</v>
      </c>
      <c r="AF126" s="231">
        <f t="shared" ca="1" si="385"/>
        <v>2.9181171674555251E-2</v>
      </c>
      <c r="AG126" s="231">
        <f t="shared" ca="1" si="386"/>
        <v>5.8362343349110501E-2</v>
      </c>
      <c r="AH126" s="232">
        <f t="shared" ca="1" si="387"/>
        <v>8.7543515023665752E-2</v>
      </c>
      <c r="AI126" s="233">
        <f t="shared" ca="1" si="215"/>
        <v>0.85000000000000009</v>
      </c>
      <c r="AJ126" s="233">
        <f t="shared" ca="1" si="216"/>
        <v>1.1000000000000001</v>
      </c>
      <c r="AK126" s="234">
        <f t="shared" ca="1" si="217"/>
        <v>1.4000000000000001</v>
      </c>
      <c r="AL126" s="919">
        <f t="shared" ca="1" si="218"/>
        <v>0.85000000000000009</v>
      </c>
      <c r="AM126" s="233">
        <f t="shared" ca="1" si="219"/>
        <v>1.1000000000000001</v>
      </c>
      <c r="AN126" s="234">
        <f t="shared" ca="1" si="220"/>
        <v>1.4000000000000001</v>
      </c>
      <c r="AO126" s="233">
        <f t="shared" ca="1" si="221"/>
        <v>0.85000000000000009</v>
      </c>
      <c r="AP126" s="233">
        <f t="shared" ca="1" si="222"/>
        <v>1.1000000000000001</v>
      </c>
      <c r="AQ126" s="233">
        <f t="shared" ca="1" si="223"/>
        <v>1.4000000000000001</v>
      </c>
      <c r="AR126" s="919">
        <f t="shared" ca="1" si="224"/>
        <v>0.35</v>
      </c>
      <c r="AS126" s="233">
        <f t="shared" ca="1" si="225"/>
        <v>0.5</v>
      </c>
      <c r="AT126" s="235">
        <f t="shared" ca="1" si="226"/>
        <v>0.7</v>
      </c>
      <c r="AU126" s="946">
        <f t="shared" si="227"/>
        <v>0.5</v>
      </c>
      <c r="AV126" s="13">
        <f t="shared" ca="1" si="228"/>
        <v>20</v>
      </c>
      <c r="AW126" s="210">
        <f t="shared" ca="1" si="229"/>
        <v>5</v>
      </c>
      <c r="AX126" s="210">
        <f t="shared" ca="1" si="230"/>
        <v>5</v>
      </c>
      <c r="AY126" s="210">
        <f t="shared" ca="1" si="231"/>
        <v>1</v>
      </c>
      <c r="AZ126" s="13">
        <f t="shared" ca="1" si="232"/>
        <v>31</v>
      </c>
      <c r="BA126" s="357">
        <f ca="1"/>
        <v>320</v>
      </c>
      <c r="BB126" s="925">
        <f ca="1"/>
        <v>80</v>
      </c>
      <c r="BC126" s="925">
        <f ca="1"/>
        <v>96</v>
      </c>
      <c r="BD126" s="928">
        <f ca="1"/>
        <v>248</v>
      </c>
      <c r="BE126" s="200">
        <f ca="1"/>
        <v>0.9999999925494194</v>
      </c>
      <c r="BF126" s="851">
        <f ca="1"/>
        <v>0.9999999925494194</v>
      </c>
      <c r="BG126" s="851">
        <f ca="1"/>
        <v>0.9999999925494194</v>
      </c>
      <c r="BH126" s="933">
        <f ca="1"/>
        <v>1</v>
      </c>
      <c r="BI126" s="357">
        <f ca="1"/>
        <v>320</v>
      </c>
      <c r="BJ126" s="925">
        <f ca="1"/>
        <v>80</v>
      </c>
      <c r="BK126" s="925">
        <f ca="1"/>
        <v>96</v>
      </c>
      <c r="BL126" s="928">
        <f ca="1"/>
        <v>248</v>
      </c>
      <c r="BM126" s="200">
        <f ca="1"/>
        <v>0.9999999925494194</v>
      </c>
      <c r="BN126" s="851">
        <f ca="1"/>
        <v>0.9999999925494194</v>
      </c>
      <c r="BO126" s="851">
        <f ca="1"/>
        <v>0.9999999925494194</v>
      </c>
      <c r="BP126" s="933">
        <f ca="1"/>
        <v>1</v>
      </c>
      <c r="BQ126" s="357">
        <f t="shared" ca="1" si="233"/>
        <v>744</v>
      </c>
      <c r="BR126" s="361">
        <f t="shared" ca="1" si="234"/>
        <v>744</v>
      </c>
      <c r="BS126" s="357">
        <f t="shared" ca="1" si="235"/>
        <v>378.32362847815159</v>
      </c>
      <c r="BT126" s="302">
        <f t="shared" ca="1" si="236"/>
        <v>24.627472196901518</v>
      </c>
      <c r="BU126" s="299">
        <f t="shared" ca="1" si="237"/>
        <v>26.577472185166855</v>
      </c>
      <c r="BV126" s="299">
        <f t="shared" ca="1" si="238"/>
        <v>28.527472173432187</v>
      </c>
      <c r="BW126" s="299">
        <f t="shared" ca="1" si="239"/>
        <v>32.659889647739881</v>
      </c>
      <c r="BX126" s="380">
        <f t="shared" ca="1" si="240"/>
        <v>9.1635865845311422</v>
      </c>
      <c r="BY126" s="363">
        <f t="shared" ca="1" si="241"/>
        <v>162.71984020565662</v>
      </c>
      <c r="BZ126" s="353">
        <f t="shared" ca="1" si="242"/>
        <v>40.679960051414156</v>
      </c>
      <c r="CA126" s="353">
        <f t="shared" ca="1" si="243"/>
        <v>48.815952061696983</v>
      </c>
      <c r="CB126" s="353">
        <f t="shared" ca="1" si="244"/>
        <v>252.21575231876776</v>
      </c>
      <c r="CC126" s="353">
        <f t="shared" ca="1" si="245"/>
        <v>126.10787615938388</v>
      </c>
      <c r="CD126" s="353">
        <f t="shared" ca="1" si="246"/>
        <v>378.32362847815165</v>
      </c>
      <c r="CE126" s="302">
        <f t="shared" ca="1" si="247"/>
        <v>36.399999728798868</v>
      </c>
      <c r="CF126" s="299">
        <f t="shared" ca="1" si="248"/>
        <v>24.519999893605704</v>
      </c>
      <c r="CG126" s="299">
        <f t="shared" ca="1" si="249"/>
        <v>25.264999582879241</v>
      </c>
      <c r="CH126" s="299">
        <f t="shared" ca="1" si="250"/>
        <v>32.328709404557465</v>
      </c>
      <c r="CI126" s="299">
        <f t="shared" ca="1" si="251"/>
        <v>20.924997711181639</v>
      </c>
      <c r="CJ126" s="299">
        <f t="shared" ca="1" si="252"/>
        <v>28.527472173432187</v>
      </c>
      <c r="CK126" s="299">
        <f t="shared" ca="1" si="253"/>
        <v>32.659889647739881</v>
      </c>
      <c r="CL126" s="377">
        <f t="shared" ca="1" si="254"/>
        <v>0.27181993620991107</v>
      </c>
      <c r="CM126" s="305">
        <f t="shared" ca="1" si="255"/>
        <v>0.27181993620991107</v>
      </c>
      <c r="CN126" s="305">
        <f t="shared" ca="1" si="256"/>
        <v>0.27181993620991107</v>
      </c>
      <c r="CO126" s="305">
        <f t="shared" ca="1" si="257"/>
        <v>0.27181993620991107</v>
      </c>
      <c r="CP126" s="305">
        <f t="shared" ca="1" si="258"/>
        <v>8.7543515023665752E-2</v>
      </c>
      <c r="CQ126" s="305">
        <f t="shared" ca="1" si="259"/>
        <v>0.22639382108913689</v>
      </c>
      <c r="CR126" s="775">
        <f t="shared" ca="1" si="260"/>
        <v>0.28431993620991108</v>
      </c>
      <c r="CS126" s="305">
        <f t="shared" ca="1" si="261"/>
        <v>0.31181993620991105</v>
      </c>
      <c r="CT126" s="305">
        <f t="shared" ca="1" si="262"/>
        <v>0.3068199362099111</v>
      </c>
      <c r="CU126" s="305">
        <f t="shared" ca="1" si="263"/>
        <v>0.14754351502366575</v>
      </c>
      <c r="CV126" s="770">
        <f t="shared" ca="1" si="264"/>
        <v>0.24139382108913687</v>
      </c>
      <c r="CW126" s="302">
        <f t="shared" ca="1" si="265"/>
        <v>13.455805312209998</v>
      </c>
      <c r="CX126" s="299">
        <f t="shared" ca="1" si="266"/>
        <v>6.7465343460236005</v>
      </c>
      <c r="CY126" s="299">
        <f t="shared" ca="1" si="267"/>
        <v>7.0237588627288385</v>
      </c>
      <c r="CZ126" s="299">
        <f t="shared" ca="1" si="268"/>
        <v>0.96340078039409915</v>
      </c>
      <c r="DA126" s="774">
        <f t="shared" ca="1" si="269"/>
        <v>6.8002429937837654</v>
      </c>
      <c r="DB126" s="303">
        <f t="shared" ca="1" si="270"/>
        <v>2572.6926039414029</v>
      </c>
      <c r="DC126" s="248">
        <f t="shared" ca="1" si="271"/>
        <v>216.21832704888428</v>
      </c>
      <c r="DD126" s="778">
        <f t="shared" ca="1" si="272"/>
        <v>0</v>
      </c>
      <c r="DE126" s="363">
        <f t="shared" ca="1" si="273"/>
        <v>0.5084995006426769</v>
      </c>
      <c r="DF126" s="378">
        <f t="shared" ca="1" si="274"/>
        <v>-0.3043664879894471</v>
      </c>
      <c r="DG126" s="508">
        <f t="shared" ca="1" si="275"/>
        <v>-0.77565006535378811</v>
      </c>
      <c r="DH126" s="508">
        <f t="shared" ca="1" si="276"/>
        <v>-0.74080538272061136</v>
      </c>
      <c r="DI126" s="508">
        <f t="shared" ca="1" si="277"/>
        <v>-1.2201115465727037</v>
      </c>
      <c r="DJ126" s="508">
        <f t="shared" ca="1" si="278"/>
        <v>-0.55049595518552585</v>
      </c>
      <c r="DK126" s="353">
        <f t="shared" ca="1" si="279"/>
        <v>-110.08823875198358</v>
      </c>
      <c r="DL126" s="781">
        <f t="shared" ca="1" si="280"/>
        <v>5.4349374561499291</v>
      </c>
      <c r="DM126" s="303">
        <f t="shared" ca="1" si="281"/>
        <v>9290.3833035453863</v>
      </c>
      <c r="DN126" s="508">
        <f t="shared" ca="1" si="282"/>
        <v>1.5492393660104562</v>
      </c>
      <c r="DO126" s="508">
        <f t="shared" ca="1" si="283"/>
        <v>1.4187138677903328</v>
      </c>
      <c r="DP126" s="508">
        <f t="shared" ca="1" si="284"/>
        <v>1.4286023739561771</v>
      </c>
      <c r="DQ126" s="508">
        <f t="shared" ca="1" si="285"/>
        <v>1.3663342721252181</v>
      </c>
      <c r="DR126" s="508">
        <f t="shared" ca="1" si="286"/>
        <v>1.4687259283095075</v>
      </c>
      <c r="DS126" s="353">
        <f t="shared" ca="1" si="287"/>
        <v>4432.5057553409579</v>
      </c>
      <c r="DT126" s="353">
        <f t="shared" ca="1" si="288"/>
        <v>-10144.542256052173</v>
      </c>
      <c r="DU126" s="380">
        <f t="shared" ca="1" si="388"/>
        <v>9.1635865845311422</v>
      </c>
      <c r="DV126" s="303">
        <f t="shared" ca="1" si="289"/>
        <v>162.71984020565662</v>
      </c>
      <c r="DW126" s="303">
        <f t="shared" ca="1" si="290"/>
        <v>40.679960051414156</v>
      </c>
      <c r="DX126" s="303">
        <f t="shared" ca="1" si="291"/>
        <v>48.815952061696983</v>
      </c>
      <c r="DY126" s="303">
        <f t="shared" ca="1" si="292"/>
        <v>252.21575231876776</v>
      </c>
      <c r="DZ126" s="303">
        <f t="shared" ca="1" si="293"/>
        <v>126.10787615938388</v>
      </c>
      <c r="EA126" s="303">
        <f t="shared" ca="1" si="294"/>
        <v>378.32362847815165</v>
      </c>
      <c r="EB126" s="302">
        <f t="shared" ca="1" si="295"/>
        <v>36.399999728798868</v>
      </c>
      <c r="EC126" s="299">
        <f t="shared" ca="1" si="296"/>
        <v>24.519999893605704</v>
      </c>
      <c r="ED126" s="299">
        <f t="shared" ca="1" si="297"/>
        <v>25.264999582879241</v>
      </c>
      <c r="EE126" s="299">
        <f t="shared" ca="1" si="298"/>
        <v>32.328709404557465</v>
      </c>
      <c r="EF126" s="299">
        <f t="shared" ca="1" si="299"/>
        <v>20.924997711181639</v>
      </c>
      <c r="EG126" s="299">
        <f t="shared" ca="1" si="300"/>
        <v>28.527472173432187</v>
      </c>
      <c r="EH126" s="302">
        <f t="shared" ca="1" si="301"/>
        <v>30</v>
      </c>
      <c r="EI126" s="304">
        <f t="shared" ca="1" si="302"/>
        <v>9.0606645403303696E-2</v>
      </c>
      <c r="EJ126" s="305">
        <f t="shared" ca="1" si="303"/>
        <v>9.0606645403303696E-2</v>
      </c>
      <c r="EK126" s="305">
        <f t="shared" ca="1" si="304"/>
        <v>9.0606645403303696E-2</v>
      </c>
      <c r="EL126" s="305">
        <f t="shared" ca="1" si="305"/>
        <v>9.0606645403303751E-2</v>
      </c>
      <c r="EM126" s="305">
        <f t="shared" ca="1" si="306"/>
        <v>2.9181171674555251E-2</v>
      </c>
      <c r="EN126" s="305">
        <f t="shared" ca="1" si="307"/>
        <v>7.2658770265682182E-2</v>
      </c>
      <c r="EO126" s="305">
        <f t="shared" ca="1" si="308"/>
        <v>9.0606645403303696E-2</v>
      </c>
      <c r="EP126" s="305">
        <f t="shared" ca="1" si="309"/>
        <v>9.0606645403303696E-2</v>
      </c>
      <c r="EQ126" s="305">
        <f t="shared" ca="1" si="310"/>
        <v>9.0606645403303696E-2</v>
      </c>
      <c r="ER126" s="305">
        <f t="shared" ca="1" si="311"/>
        <v>2.9181171674555251E-2</v>
      </c>
      <c r="ES126" s="305">
        <f t="shared" ca="1" si="312"/>
        <v>7.2658770265682182E-2</v>
      </c>
      <c r="ET126" s="299">
        <f t="shared" ca="1" si="313"/>
        <v>3.3654046098296124</v>
      </c>
      <c r="EU126" s="302">
        <f t="shared" ca="1" si="314"/>
        <v>30</v>
      </c>
      <c r="EV126" s="304">
        <f t="shared" ca="1" si="315"/>
        <v>0.27181993620991107</v>
      </c>
      <c r="EW126" s="305">
        <f t="shared" ca="1" si="316"/>
        <v>0.27181993620991107</v>
      </c>
      <c r="EX126" s="305">
        <f t="shared" ca="1" si="317"/>
        <v>0.27181993620991107</v>
      </c>
      <c r="EY126" s="305">
        <f t="shared" ca="1" si="318"/>
        <v>0.27181993620991107</v>
      </c>
      <c r="EZ126" s="305">
        <f t="shared" ca="1" si="319"/>
        <v>8.7543515023665752E-2</v>
      </c>
      <c r="FA126" s="305">
        <f t="shared" ca="1" si="320"/>
        <v>0.22639382108913689</v>
      </c>
      <c r="FB126" s="305">
        <f t="shared" ca="1" si="321"/>
        <v>0.27181993620991107</v>
      </c>
      <c r="FC126" s="305">
        <f t="shared" ca="1" si="322"/>
        <v>0.27181993620991107</v>
      </c>
      <c r="FD126" s="305">
        <f t="shared" ca="1" si="323"/>
        <v>0.27181993620991107</v>
      </c>
      <c r="FE126" s="305">
        <f t="shared" ca="1" si="324"/>
        <v>8.7543515023665752E-2</v>
      </c>
      <c r="FF126" s="305">
        <f t="shared" ca="1" si="325"/>
        <v>0.22639382108913689</v>
      </c>
      <c r="FG126" s="299">
        <f t="shared" ca="1" si="326"/>
        <v>7.1310778154931587</v>
      </c>
      <c r="FH126" s="302">
        <f t="shared" ca="1" si="327"/>
        <v>-3.7656732056635462</v>
      </c>
      <c r="FI126" s="248">
        <f t="shared" ca="1" si="328"/>
        <v>-1424.6431508295859</v>
      </c>
      <c r="FJ126" s="363">
        <f t="shared" ca="1" si="329"/>
        <v>0.5084995006426769</v>
      </c>
      <c r="FK126" s="378">
        <f t="shared" ca="1" si="330"/>
        <v>0.56787713983144772</v>
      </c>
      <c r="FL126" s="508">
        <f t="shared" ca="1" si="331"/>
        <v>-0.87255192681560656</v>
      </c>
      <c r="FM126" s="508">
        <f t="shared" ca="1" si="332"/>
        <v>-0.76342618585900479</v>
      </c>
      <c r="FN126" s="508">
        <f t="shared" ca="1" si="333"/>
        <v>-4.1224003101146636</v>
      </c>
      <c r="FO126" s="508">
        <f t="shared" ca="1" si="334"/>
        <v>-0.33879979712509073</v>
      </c>
      <c r="FP126" s="353">
        <f t="shared" ca="1" si="335"/>
        <v>239.33496509099092</v>
      </c>
      <c r="FQ126" s="356">
        <f t="shared" ca="1" si="336"/>
        <v>21.597643187822982</v>
      </c>
      <c r="FR126" s="380">
        <f t="shared" ca="1" si="337"/>
        <v>23.972000000000001</v>
      </c>
      <c r="FS126" s="299">
        <f t="shared" ca="1" si="338"/>
        <v>23.972000000000001</v>
      </c>
      <c r="FT126" s="299">
        <f t="shared" ca="1" si="339"/>
        <v>23.972000000000001</v>
      </c>
      <c r="FU126" s="299">
        <f t="shared" ca="1" si="340"/>
        <v>23.972000000000001</v>
      </c>
      <c r="FV126" s="299">
        <f t="shared" ca="1" si="341"/>
        <v>23.971999999999998</v>
      </c>
      <c r="FW126" s="850">
        <f t="shared" ca="1" si="342"/>
        <v>0.16500000000000001</v>
      </c>
      <c r="FX126" s="851">
        <f t="shared" ca="1" si="343"/>
        <v>0.5</v>
      </c>
      <c r="FY126" s="851">
        <f t="shared" ca="1" si="344"/>
        <v>0</v>
      </c>
      <c r="FZ126" s="201">
        <f t="shared" ca="1" si="345"/>
        <v>0</v>
      </c>
      <c r="GA126" s="201">
        <f t="shared" ca="1" si="346"/>
        <v>0</v>
      </c>
      <c r="GB126" s="201">
        <f t="shared" ca="1" si="347"/>
        <v>0</v>
      </c>
      <c r="GC126" s="201">
        <f t="shared" ca="1" si="348"/>
        <v>0</v>
      </c>
      <c r="GD126" s="850">
        <f t="shared" ca="1" si="349"/>
        <v>0.28681993620991109</v>
      </c>
      <c r="GE126" s="866">
        <f t="shared" ca="1" si="350"/>
        <v>0.27181993620991107</v>
      </c>
      <c r="GF126" s="866">
        <f t="shared" ca="1" si="351"/>
        <v>0.27181993620991107</v>
      </c>
      <c r="GG126" s="866">
        <f t="shared" ca="1" si="352"/>
        <v>9.7543515023665747E-2</v>
      </c>
      <c r="GH126" s="866">
        <f t="shared" ca="1" si="353"/>
        <v>0.24139382108913687</v>
      </c>
      <c r="GI126" s="302">
        <f t="shared" ca="1" si="354"/>
        <v>16.333461359793802</v>
      </c>
      <c r="GJ126" s="299">
        <f t="shared" ca="1" si="355"/>
        <v>7.0760909093029678</v>
      </c>
      <c r="GK126" s="299">
        <f t="shared" ca="1" si="356"/>
        <v>7.5675022246443406</v>
      </c>
      <c r="GL126" s="299">
        <f t="shared" ca="1" si="357"/>
        <v>2.5252420992777487</v>
      </c>
      <c r="GM126" s="299">
        <f t="shared" ca="1" si="358"/>
        <v>9.1661523835167316</v>
      </c>
      <c r="GN126" s="302">
        <f t="shared" ca="1" si="359"/>
        <v>0.8240159640966902</v>
      </c>
      <c r="GO126" s="299">
        <f t="shared" ca="1" si="360"/>
        <v>0.6519123494319119</v>
      </c>
      <c r="GP126" s="299">
        <f t="shared" ca="1" si="361"/>
        <v>0.66719253950950674</v>
      </c>
      <c r="GQ126" s="299">
        <f t="shared" ca="1" si="362"/>
        <v>0.46212990850122077</v>
      </c>
      <c r="GR126" s="299">
        <f t="shared" ca="1" si="363"/>
        <v>0.72320701198533832</v>
      </c>
      <c r="GS126" s="302">
        <f t="shared" ca="1" si="364"/>
        <v>-0.56986156999258575</v>
      </c>
      <c r="GT126" s="299">
        <f t="shared" ca="1" si="365"/>
        <v>-0.37163364556081341</v>
      </c>
      <c r="GU126" s="299">
        <f t="shared" ca="1" si="366"/>
        <v>-0.38749875921928029</v>
      </c>
      <c r="GV126" s="299">
        <f t="shared" ca="1" si="367"/>
        <v>-0.29804874042064655</v>
      </c>
      <c r="GW126" s="299">
        <f t="shared" ca="1" si="368"/>
        <v>-0.47827124050831837</v>
      </c>
      <c r="GX126" s="303">
        <f t="shared" ca="1" si="369"/>
        <v>2657.7782224709144</v>
      </c>
      <c r="GY126" s="303">
        <f t="shared" ca="1" si="370"/>
        <v>287.85509551061961</v>
      </c>
      <c r="GZ126" s="303">
        <f t="shared" ca="1" si="371"/>
        <v>369.4148258250234</v>
      </c>
      <c r="HA126" s="303">
        <f t="shared" ca="1" si="372"/>
        <v>318.45291792818091</v>
      </c>
      <c r="HB126" s="303">
        <f t="shared" ca="1" si="373"/>
        <v>3467.7720289157082</v>
      </c>
      <c r="HC126" s="303">
        <f t="shared" ca="1" si="374"/>
        <v>2022.2821299460954</v>
      </c>
      <c r="HD126" s="303">
        <f t="shared" ca="1" si="375"/>
        <v>22.292613780059174</v>
      </c>
      <c r="HE126" s="303">
        <f t="shared" ca="1" si="376"/>
        <v>63.119005653627177</v>
      </c>
      <c r="HF126" s="303">
        <f t="shared" ca="1" si="377"/>
        <v>0</v>
      </c>
      <c r="HG126" s="852">
        <f t="shared" ca="1" si="378"/>
        <v>1723.4427620841177</v>
      </c>
    </row>
    <row r="127" spans="1:215" x14ac:dyDescent="0.25">
      <c r="A127" s="244">
        <f t="shared" ca="1" si="379"/>
        <v>39965</v>
      </c>
      <c r="B127" s="13">
        <f t="shared" ca="1" si="409"/>
        <v>2009</v>
      </c>
      <c r="C127" s="619">
        <f t="shared" ca="1" si="410"/>
        <v>6</v>
      </c>
      <c r="D127" s="195" t="str">
        <f t="shared" ca="1" si="209"/>
        <v/>
      </c>
      <c r="E127" s="469">
        <f t="shared" ca="1" si="210"/>
        <v>39965</v>
      </c>
      <c r="F127" s="465">
        <f t="shared" ca="1" si="211"/>
        <v>39994</v>
      </c>
      <c r="G127" s="522">
        <f t="shared" ca="1" si="380"/>
        <v>1</v>
      </c>
      <c r="H127" s="519">
        <f t="shared" ca="1" si="381"/>
        <v>1</v>
      </c>
      <c r="I127" s="724">
        <f t="shared" ca="1" si="411"/>
        <v>7.4069067614284001E-2</v>
      </c>
      <c r="J127" s="198">
        <f t="shared" ca="1" si="213"/>
        <v>0.50540161644795423</v>
      </c>
      <c r="K127" s="200">
        <f t="shared" ca="1" si="389"/>
        <v>44.79</v>
      </c>
      <c r="L127" s="201">
        <f t="shared" ca="1" si="390"/>
        <v>51.25</v>
      </c>
      <c r="M127" s="206">
        <f t="shared" ca="1" si="391"/>
        <v>57.71</v>
      </c>
      <c r="N127" s="851">
        <f t="shared" ca="1" si="395"/>
        <v>22.413750152587887</v>
      </c>
      <c r="O127" s="201">
        <f t="shared" ca="1" si="396"/>
        <v>27.258750152587886</v>
      </c>
      <c r="P127" s="206">
        <f t="shared" ca="1" si="397"/>
        <v>32.103750152587885</v>
      </c>
      <c r="Q127" s="201">
        <f t="shared" ca="1" si="398"/>
        <v>17.442499542236323</v>
      </c>
      <c r="R127" s="201">
        <f t="shared" ca="1" si="399"/>
        <v>20.742499542236324</v>
      </c>
      <c r="S127" s="201">
        <f t="shared" ca="1" si="400"/>
        <v>24.042499542236325</v>
      </c>
      <c r="T127" s="851">
        <f t="shared" ca="1" si="392"/>
        <v>16.524998779296872</v>
      </c>
      <c r="U127" s="201">
        <f t="shared" ca="1" si="393"/>
        <v>19.754998779296873</v>
      </c>
      <c r="V127" s="206">
        <f t="shared" ca="1" si="394"/>
        <v>22.984998779296873</v>
      </c>
      <c r="W127" s="230">
        <f t="shared" ca="1" si="382"/>
        <v>0.11351952854894967</v>
      </c>
      <c r="X127" s="231">
        <f t="shared" ca="1" si="383"/>
        <v>0.22703905709789934</v>
      </c>
      <c r="Y127" s="232">
        <f t="shared" ca="1" si="384"/>
        <v>0.34055858564684904</v>
      </c>
      <c r="Z127" s="231">
        <f t="shared" ca="1" si="404"/>
        <v>0.11351952854894967</v>
      </c>
      <c r="AA127" s="231">
        <f t="shared" ca="1" si="405"/>
        <v>0.22703905709789934</v>
      </c>
      <c r="AB127" s="232">
        <f t="shared" ca="1" si="406"/>
        <v>0.34055858564684904</v>
      </c>
      <c r="AC127" s="231">
        <f t="shared" ca="1" si="407"/>
        <v>0.11351952854894967</v>
      </c>
      <c r="AD127" s="231">
        <f t="shared" ca="1" si="408"/>
        <v>0.22703905709789934</v>
      </c>
      <c r="AE127" s="232">
        <f t="shared" ca="1" si="214"/>
        <v>0.34055858564684904</v>
      </c>
      <c r="AF127" s="231">
        <f t="shared" ca="1" si="385"/>
        <v>3.7518649295856743E-2</v>
      </c>
      <c r="AG127" s="231">
        <f t="shared" ca="1" si="386"/>
        <v>7.5037298591713486E-2</v>
      </c>
      <c r="AH127" s="232">
        <f t="shared" ca="1" si="387"/>
        <v>0.11255594788757023</v>
      </c>
      <c r="AI127" s="233">
        <f t="shared" ca="1" si="215"/>
        <v>1.65</v>
      </c>
      <c r="AJ127" s="233">
        <f t="shared" ca="1" si="216"/>
        <v>2</v>
      </c>
      <c r="AK127" s="234">
        <f t="shared" ca="1" si="217"/>
        <v>2.2999999999999998</v>
      </c>
      <c r="AL127" s="919">
        <f t="shared" ca="1" si="218"/>
        <v>1.65</v>
      </c>
      <c r="AM127" s="233">
        <f t="shared" ca="1" si="219"/>
        <v>2</v>
      </c>
      <c r="AN127" s="234">
        <f t="shared" ca="1" si="220"/>
        <v>2.2999999999999998</v>
      </c>
      <c r="AO127" s="233">
        <f t="shared" ca="1" si="221"/>
        <v>1.65</v>
      </c>
      <c r="AP127" s="233">
        <f t="shared" ca="1" si="222"/>
        <v>2</v>
      </c>
      <c r="AQ127" s="233">
        <f t="shared" ca="1" si="223"/>
        <v>2.2999999999999998</v>
      </c>
      <c r="AR127" s="919">
        <f t="shared" ca="1" si="224"/>
        <v>0.5</v>
      </c>
      <c r="AS127" s="233">
        <f t="shared" ca="1" si="225"/>
        <v>0.65</v>
      </c>
      <c r="AT127" s="235">
        <f t="shared" ca="1" si="226"/>
        <v>0.85000000000000009</v>
      </c>
      <c r="AU127" s="946">
        <f t="shared" si="227"/>
        <v>0.5</v>
      </c>
      <c r="AV127" s="13">
        <f t="shared" ca="1" si="228"/>
        <v>22</v>
      </c>
      <c r="AW127" s="210">
        <f t="shared" ca="1" si="229"/>
        <v>4</v>
      </c>
      <c r="AX127" s="210">
        <f t="shared" ca="1" si="230"/>
        <v>4</v>
      </c>
      <c r="AY127" s="210">
        <f t="shared" ca="1" si="231"/>
        <v>0</v>
      </c>
      <c r="AZ127" s="13">
        <f t="shared" ca="1" si="232"/>
        <v>30</v>
      </c>
      <c r="BA127" s="357">
        <f ca="1"/>
        <v>352</v>
      </c>
      <c r="BB127" s="925">
        <f ca="1"/>
        <v>64</v>
      </c>
      <c r="BC127" s="925">
        <f ca="1"/>
        <v>64</v>
      </c>
      <c r="BD127" s="928">
        <f ca="1"/>
        <v>240</v>
      </c>
      <c r="BE127" s="200">
        <f ca="1"/>
        <v>1.0000000037252903</v>
      </c>
      <c r="BF127" s="851">
        <f ca="1"/>
        <v>1.0000000037252903</v>
      </c>
      <c r="BG127" s="851">
        <f ca="1"/>
        <v>1.0000000037252903</v>
      </c>
      <c r="BH127" s="933">
        <f ca="1"/>
        <v>1</v>
      </c>
      <c r="BI127" s="357">
        <f ca="1"/>
        <v>352</v>
      </c>
      <c r="BJ127" s="925">
        <f ca="1"/>
        <v>64</v>
      </c>
      <c r="BK127" s="925">
        <f ca="1"/>
        <v>64</v>
      </c>
      <c r="BL127" s="928">
        <f ca="1"/>
        <v>240</v>
      </c>
      <c r="BM127" s="200">
        <f ca="1"/>
        <v>1.0000000037252903</v>
      </c>
      <c r="BN127" s="851">
        <f ca="1"/>
        <v>1.0000000037252903</v>
      </c>
      <c r="BO127" s="851">
        <f ca="1"/>
        <v>1.0000000037252903</v>
      </c>
      <c r="BP127" s="933">
        <f ca="1"/>
        <v>1</v>
      </c>
      <c r="BQ127" s="357">
        <f t="shared" ca="1" si="233"/>
        <v>720</v>
      </c>
      <c r="BR127" s="361">
        <f t="shared" ca="1" si="234"/>
        <v>720</v>
      </c>
      <c r="BS127" s="357">
        <f t="shared" ca="1" si="235"/>
        <v>363.88916384252707</v>
      </c>
      <c r="BT127" s="302">
        <f t="shared" ca="1" si="236"/>
        <v>30.948444105188461</v>
      </c>
      <c r="BU127" s="299">
        <f t="shared" ca="1" si="237"/>
        <v>35.907333008539766</v>
      </c>
      <c r="BV127" s="299">
        <f t="shared" ca="1" si="238"/>
        <v>40.866221911891053</v>
      </c>
      <c r="BW127" s="299">
        <f t="shared" ca="1" si="239"/>
        <v>32.659889647739881</v>
      </c>
      <c r="BX127" s="380">
        <f t="shared" ca="1" si="240"/>
        <v>9.2484599589322389</v>
      </c>
      <c r="BY127" s="363">
        <f t="shared" ca="1" si="241"/>
        <v>177.9013689896799</v>
      </c>
      <c r="BZ127" s="353">
        <f t="shared" ca="1" si="242"/>
        <v>32.345703452669071</v>
      </c>
      <c r="CA127" s="353">
        <f t="shared" ca="1" si="243"/>
        <v>32.345703452669071</v>
      </c>
      <c r="CB127" s="353">
        <f t="shared" ca="1" si="244"/>
        <v>242.59277589501801</v>
      </c>
      <c r="CC127" s="353">
        <f t="shared" ca="1" si="245"/>
        <v>121.29638794750902</v>
      </c>
      <c r="CD127" s="353">
        <f t="shared" ca="1" si="246"/>
        <v>363.88916384252701</v>
      </c>
      <c r="CE127" s="302">
        <f t="shared" ca="1" si="247"/>
        <v>57.710000214986501</v>
      </c>
      <c r="CF127" s="299">
        <f t="shared" ca="1" si="248"/>
        <v>32.103750272183674</v>
      </c>
      <c r="CG127" s="299">
        <f t="shared" ca="1" si="249"/>
        <v>24.042499631801615</v>
      </c>
      <c r="CH127" s="299">
        <f t="shared" ca="1" si="250"/>
        <v>49.806833478188146</v>
      </c>
      <c r="CI127" s="299">
        <f t="shared" ca="1" si="251"/>
        <v>22.984998779296873</v>
      </c>
      <c r="CJ127" s="299">
        <f t="shared" ca="1" si="252"/>
        <v>40.866221911891053</v>
      </c>
      <c r="CK127" s="299">
        <f t="shared" ca="1" si="253"/>
        <v>32.659889647739881</v>
      </c>
      <c r="CL127" s="377">
        <f t="shared" ca="1" si="254"/>
        <v>0.34055858564684904</v>
      </c>
      <c r="CM127" s="305">
        <f t="shared" ca="1" si="255"/>
        <v>0.34055858564684904</v>
      </c>
      <c r="CN127" s="305">
        <f t="shared" ca="1" si="256"/>
        <v>0.34055858564684904</v>
      </c>
      <c r="CO127" s="305">
        <f t="shared" ca="1" si="257"/>
        <v>0.34055858564684904</v>
      </c>
      <c r="CP127" s="305">
        <f t="shared" ca="1" si="258"/>
        <v>0.11255594788757023</v>
      </c>
      <c r="CQ127" s="305">
        <f t="shared" ca="1" si="259"/>
        <v>0.30265768303926621</v>
      </c>
      <c r="CR127" s="775">
        <f t="shared" ca="1" si="260"/>
        <v>0.35555858564684906</v>
      </c>
      <c r="CS127" s="305">
        <f t="shared" ca="1" si="261"/>
        <v>0.34055858564684904</v>
      </c>
      <c r="CT127" s="305">
        <f t="shared" ca="1" si="262"/>
        <v>0.38055858564684902</v>
      </c>
      <c r="CU127" s="305">
        <f t="shared" ca="1" si="263"/>
        <v>0.16255594788757022</v>
      </c>
      <c r="CV127" s="770">
        <f t="shared" ca="1" si="264"/>
        <v>0.31765768303926623</v>
      </c>
      <c r="CW127" s="302">
        <f t="shared" ca="1" si="265"/>
        <v>33.314639833374976</v>
      </c>
      <c r="CX127" s="299">
        <f t="shared" ca="1" si="266"/>
        <v>12.52831308967132</v>
      </c>
      <c r="CY127" s="299">
        <f t="shared" ca="1" si="267"/>
        <v>8.4678460042621335</v>
      </c>
      <c r="CZ127" s="299">
        <f t="shared" ca="1" si="268"/>
        <v>1.8679941097953883</v>
      </c>
      <c r="DA127" s="774">
        <f t="shared" ca="1" si="269"/>
        <v>18.075380235351936</v>
      </c>
      <c r="DB127" s="303">
        <f t="shared" ca="1" si="270"/>
        <v>6577.4349999779552</v>
      </c>
      <c r="DC127" s="248">
        <f t="shared" ca="1" si="271"/>
        <v>277.54288256852402</v>
      </c>
      <c r="DD127" s="778">
        <f t="shared" ca="1" si="272"/>
        <v>2986.1953858159213</v>
      </c>
      <c r="DE127" s="363">
        <f t="shared" ca="1" si="273"/>
        <v>0.50540161644795423</v>
      </c>
      <c r="DF127" s="378">
        <f t="shared" ca="1" si="274"/>
        <v>-1.4169262821121551E-2</v>
      </c>
      <c r="DG127" s="508">
        <f t="shared" ca="1" si="275"/>
        <v>-0.53442426838674673</v>
      </c>
      <c r="DH127" s="508">
        <f t="shared" ca="1" si="276"/>
        <v>-0.84334647336336654</v>
      </c>
      <c r="DI127" s="508">
        <f t="shared" ca="1" si="277"/>
        <v>-0.95781388045649962</v>
      </c>
      <c r="DJ127" s="508">
        <f t="shared" ca="1" si="278"/>
        <v>-0.2509822072427666</v>
      </c>
      <c r="DK127" s="353">
        <f t="shared" ca="1" si="279"/>
        <v>-145.88825481119844</v>
      </c>
      <c r="DL127" s="781">
        <f t="shared" ca="1" si="280"/>
        <v>4.4585334702819752</v>
      </c>
      <c r="DM127" s="303">
        <f t="shared" ca="1" si="281"/>
        <v>13166.783158563005</v>
      </c>
      <c r="DN127" s="508">
        <f t="shared" ca="1" si="282"/>
        <v>1.7076253050837398</v>
      </c>
      <c r="DO127" s="508">
        <f t="shared" ca="1" si="283"/>
        <v>1.5147638879731498</v>
      </c>
      <c r="DP127" s="508">
        <f t="shared" ca="1" si="284"/>
        <v>1.4196746043854163</v>
      </c>
      <c r="DQ127" s="508">
        <f t="shared" ca="1" si="285"/>
        <v>1.4048821314494035</v>
      </c>
      <c r="DR127" s="508">
        <f t="shared" ca="1" si="286"/>
        <v>1.5941275738064562</v>
      </c>
      <c r="DS127" s="353">
        <f t="shared" ca="1" si="287"/>
        <v>5063.5456070202617</v>
      </c>
      <c r="DT127" s="353">
        <f t="shared" ca="1" si="288"/>
        <v>-11678.810947680329</v>
      </c>
      <c r="DU127" s="380">
        <f t="shared" ca="1" si="388"/>
        <v>9.2484599589322389</v>
      </c>
      <c r="DV127" s="303">
        <f t="shared" ca="1" si="289"/>
        <v>177.9013689896799</v>
      </c>
      <c r="DW127" s="303">
        <f t="shared" ca="1" si="290"/>
        <v>32.345703452669071</v>
      </c>
      <c r="DX127" s="303">
        <f t="shared" ca="1" si="291"/>
        <v>32.345703452669071</v>
      </c>
      <c r="DY127" s="303">
        <f t="shared" ca="1" si="292"/>
        <v>242.59277589501801</v>
      </c>
      <c r="DZ127" s="303">
        <f t="shared" ca="1" si="293"/>
        <v>121.29638794750902</v>
      </c>
      <c r="EA127" s="303">
        <f t="shared" ca="1" si="294"/>
        <v>363.88916384252701</v>
      </c>
      <c r="EB127" s="302">
        <f t="shared" ca="1" si="295"/>
        <v>57.710000214986501</v>
      </c>
      <c r="EC127" s="299">
        <f t="shared" ca="1" si="296"/>
        <v>32.103750272183674</v>
      </c>
      <c r="ED127" s="299">
        <f t="shared" ca="1" si="297"/>
        <v>24.042499631801615</v>
      </c>
      <c r="EE127" s="299">
        <f t="shared" ca="1" si="298"/>
        <v>49.806833478188146</v>
      </c>
      <c r="EF127" s="299">
        <f t="shared" ca="1" si="299"/>
        <v>22.984998779296873</v>
      </c>
      <c r="EG127" s="299">
        <f t="shared" ca="1" si="300"/>
        <v>40.866221911891053</v>
      </c>
      <c r="EH127" s="302">
        <f t="shared" ca="1" si="301"/>
        <v>30</v>
      </c>
      <c r="EI127" s="304">
        <f t="shared" ca="1" si="302"/>
        <v>0.11351952854894967</v>
      </c>
      <c r="EJ127" s="305">
        <f t="shared" ca="1" si="303"/>
        <v>0.11351952854894967</v>
      </c>
      <c r="EK127" s="305">
        <f t="shared" ca="1" si="304"/>
        <v>0.11351952854894967</v>
      </c>
      <c r="EL127" s="305">
        <f t="shared" ca="1" si="305"/>
        <v>0.11351952854894964</v>
      </c>
      <c r="EM127" s="305">
        <f t="shared" ca="1" si="306"/>
        <v>3.7518649295856743E-2</v>
      </c>
      <c r="EN127" s="305">
        <f t="shared" ca="1" si="307"/>
        <v>9.6572958113607874E-2</v>
      </c>
      <c r="EO127" s="305">
        <f t="shared" ca="1" si="308"/>
        <v>0.11351952854894967</v>
      </c>
      <c r="EP127" s="305">
        <f t="shared" ca="1" si="309"/>
        <v>0.11351952854894967</v>
      </c>
      <c r="EQ127" s="305">
        <f t="shared" ca="1" si="310"/>
        <v>0.11351952854894967</v>
      </c>
      <c r="ER127" s="305">
        <f t="shared" ca="1" si="311"/>
        <v>3.7518649295856743E-2</v>
      </c>
      <c r="ES127" s="305">
        <f t="shared" ca="1" si="312"/>
        <v>9.6572958113607874E-2</v>
      </c>
      <c r="ET127" s="299">
        <f t="shared" ca="1" si="313"/>
        <v>0.76911712109089603</v>
      </c>
      <c r="EU127" s="302">
        <f t="shared" ca="1" si="314"/>
        <v>30</v>
      </c>
      <c r="EV127" s="304">
        <f t="shared" ca="1" si="315"/>
        <v>0.34055858564684904</v>
      </c>
      <c r="EW127" s="305">
        <f t="shared" ca="1" si="316"/>
        <v>0.34055858564684904</v>
      </c>
      <c r="EX127" s="305">
        <f t="shared" ca="1" si="317"/>
        <v>0.34055858564684904</v>
      </c>
      <c r="EY127" s="305">
        <f t="shared" ca="1" si="318"/>
        <v>0.34055858564684904</v>
      </c>
      <c r="EZ127" s="305">
        <f t="shared" ca="1" si="319"/>
        <v>0.11255594788757023</v>
      </c>
      <c r="FA127" s="305">
        <f t="shared" ca="1" si="320"/>
        <v>0.30265768303926621</v>
      </c>
      <c r="FB127" s="305">
        <f t="shared" ca="1" si="321"/>
        <v>0.34055858564684904</v>
      </c>
      <c r="FC127" s="305">
        <f t="shared" ca="1" si="322"/>
        <v>0.34055858564684904</v>
      </c>
      <c r="FD127" s="305">
        <f t="shared" ca="1" si="323"/>
        <v>0.34055858564684904</v>
      </c>
      <c r="FE127" s="305">
        <f t="shared" ca="1" si="324"/>
        <v>0.11255594788757023</v>
      </c>
      <c r="FF127" s="305">
        <f t="shared" ca="1" si="325"/>
        <v>0.30265768303926621</v>
      </c>
      <c r="FG127" s="299">
        <f t="shared" ca="1" si="326"/>
        <v>18.646334800363306</v>
      </c>
      <c r="FH127" s="302">
        <f t="shared" ca="1" si="327"/>
        <v>-17.877217679272409</v>
      </c>
      <c r="FI127" s="248">
        <f t="shared" ca="1" si="328"/>
        <v>-6505.3257931412782</v>
      </c>
      <c r="FJ127" s="363">
        <f t="shared" ca="1" si="329"/>
        <v>0.50540161644795423</v>
      </c>
      <c r="FK127" s="378">
        <f t="shared" ca="1" si="330"/>
        <v>1.722464844694416</v>
      </c>
      <c r="FL127" s="508">
        <f t="shared" ca="1" si="331"/>
        <v>2.3707516912479229E-2</v>
      </c>
      <c r="FM127" s="508">
        <f t="shared" ca="1" si="332"/>
        <v>-0.81385563961856922</v>
      </c>
      <c r="FN127" s="508">
        <f t="shared" ca="1" si="333"/>
        <v>-2.3914745634637331</v>
      </c>
      <c r="FO127" s="508">
        <f t="shared" ca="1" si="334"/>
        <v>0.90564432435100861</v>
      </c>
      <c r="FP127" s="353">
        <f t="shared" ca="1" si="335"/>
        <v>66.432347567520921</v>
      </c>
      <c r="FQ127" s="356">
        <f t="shared" ca="1" si="336"/>
        <v>10.933658891915313</v>
      </c>
      <c r="FR127" s="380">
        <f t="shared" ca="1" si="337"/>
        <v>24.02</v>
      </c>
      <c r="FS127" s="299">
        <f t="shared" ca="1" si="338"/>
        <v>24.02</v>
      </c>
      <c r="FT127" s="299">
        <f t="shared" ca="1" si="339"/>
        <v>24.02</v>
      </c>
      <c r="FU127" s="299">
        <f t="shared" ca="1" si="340"/>
        <v>24.02</v>
      </c>
      <c r="FV127" s="299">
        <f t="shared" ca="1" si="341"/>
        <v>24.019999999999996</v>
      </c>
      <c r="FW127" s="850">
        <f t="shared" ca="1" si="342"/>
        <v>0.16500000000000001</v>
      </c>
      <c r="FX127" s="851">
        <f t="shared" ca="1" si="343"/>
        <v>0.5</v>
      </c>
      <c r="FY127" s="851">
        <f t="shared" ca="1" si="344"/>
        <v>0</v>
      </c>
      <c r="FZ127" s="201">
        <f t="shared" ca="1" si="345"/>
        <v>0</v>
      </c>
      <c r="GA127" s="201">
        <f t="shared" ca="1" si="346"/>
        <v>0</v>
      </c>
      <c r="GB127" s="201">
        <f t="shared" ca="1" si="347"/>
        <v>0</v>
      </c>
      <c r="GC127" s="201">
        <f t="shared" ca="1" si="348"/>
        <v>0</v>
      </c>
      <c r="GD127" s="850">
        <f t="shared" ca="1" si="349"/>
        <v>0.35555858564684906</v>
      </c>
      <c r="GE127" s="866">
        <f t="shared" ca="1" si="350"/>
        <v>0.35555858564684906</v>
      </c>
      <c r="GF127" s="866">
        <f t="shared" ca="1" si="351"/>
        <v>0.34055858564684904</v>
      </c>
      <c r="GG127" s="866">
        <f t="shared" ca="1" si="352"/>
        <v>0.11255594788757023</v>
      </c>
      <c r="GH127" s="866">
        <f t="shared" ca="1" si="353"/>
        <v>0.31765768303926623</v>
      </c>
      <c r="GI127" s="302">
        <f t="shared" ca="1" si="354"/>
        <v>36.758455417143132</v>
      </c>
      <c r="GJ127" s="299">
        <f t="shared" ca="1" si="355"/>
        <v>14.6054981135571</v>
      </c>
      <c r="GK127" s="299">
        <f t="shared" ca="1" si="356"/>
        <v>8.3316697297037958</v>
      </c>
      <c r="GL127" s="299">
        <f t="shared" ca="1" si="357"/>
        <v>3.6321490619874806</v>
      </c>
      <c r="GM127" s="299">
        <f t="shared" ca="1" si="358"/>
        <v>20.827280818655105</v>
      </c>
      <c r="GN127" s="302">
        <f t="shared" ca="1" si="359"/>
        <v>0.91981976154375455</v>
      </c>
      <c r="GO127" s="299">
        <f t="shared" ca="1" si="360"/>
        <v>0.78175416811210763</v>
      </c>
      <c r="GP127" s="299">
        <f t="shared" ca="1" si="361"/>
        <v>0.67349307324092389</v>
      </c>
      <c r="GQ127" s="299">
        <f t="shared" ca="1" si="362"/>
        <v>0.54888670303960252</v>
      </c>
      <c r="GR127" s="299">
        <f t="shared" ca="1" si="363"/>
        <v>0.85393323430687729</v>
      </c>
      <c r="GS127" s="302">
        <f t="shared" ca="1" si="364"/>
        <v>-0.67961496223161755</v>
      </c>
      <c r="GT127" s="299">
        <f t="shared" ca="1" si="365"/>
        <v>-0.43679203579553039</v>
      </c>
      <c r="GU127" s="299">
        <f t="shared" ca="1" si="366"/>
        <v>-0.32726015779849704</v>
      </c>
      <c r="GV127" s="299">
        <f t="shared" ca="1" si="367"/>
        <v>-0.37402207326645859</v>
      </c>
      <c r="GW127" s="299">
        <f t="shared" ca="1" si="368"/>
        <v>-0.58575138128045168</v>
      </c>
      <c r="GX127" s="303">
        <f t="shared" ca="1" si="369"/>
        <v>6539.3795406558784</v>
      </c>
      <c r="GY127" s="303">
        <f t="shared" ca="1" si="370"/>
        <v>472.42511075963552</v>
      </c>
      <c r="GZ127" s="303">
        <f t="shared" ca="1" si="371"/>
        <v>269.49371834257846</v>
      </c>
      <c r="HA127" s="303">
        <f t="shared" ca="1" si="372"/>
        <v>440.5665617060144</v>
      </c>
      <c r="HB127" s="303">
        <f t="shared" ca="1" si="373"/>
        <v>7578.8218022139072</v>
      </c>
      <c r="HC127" s="303">
        <f t="shared" ca="1" si="374"/>
        <v>5993.4971595087081</v>
      </c>
      <c r="HD127" s="303">
        <f t="shared" ca="1" si="375"/>
        <v>261.47458908948602</v>
      </c>
      <c r="HE127" s="303">
        <f t="shared" ca="1" si="376"/>
        <v>0.72776641804929065</v>
      </c>
      <c r="HF127" s="303">
        <f t="shared" ca="1" si="377"/>
        <v>0</v>
      </c>
      <c r="HG127" s="852">
        <f t="shared" ca="1" si="378"/>
        <v>6130.157605423693</v>
      </c>
    </row>
    <row r="128" spans="1:215" x14ac:dyDescent="0.25">
      <c r="A128" s="244">
        <f t="shared" ca="1" si="379"/>
        <v>39995</v>
      </c>
      <c r="B128" s="13">
        <f t="shared" ca="1" si="409"/>
        <v>2009</v>
      </c>
      <c r="C128" s="619">
        <f t="shared" ca="1" si="410"/>
        <v>7</v>
      </c>
      <c r="D128" s="195">
        <f t="shared" ca="1" si="209"/>
        <v>39998</v>
      </c>
      <c r="E128" s="469">
        <f t="shared" ca="1" si="210"/>
        <v>39995</v>
      </c>
      <c r="F128" s="465">
        <f t="shared" ca="1" si="211"/>
        <v>40025</v>
      </c>
      <c r="G128" s="522">
        <f t="shared" ca="1" si="380"/>
        <v>1</v>
      </c>
      <c r="H128" s="519">
        <f t="shared" ca="1" si="381"/>
        <v>1</v>
      </c>
      <c r="I128" s="724">
        <f t="shared" ca="1" si="411"/>
        <v>7.4083859992294013E-2</v>
      </c>
      <c r="J128" s="198">
        <f t="shared" ca="1" si="213"/>
        <v>0.5022236150639402</v>
      </c>
      <c r="K128" s="200">
        <f t="shared" ca="1" si="389"/>
        <v>69.5</v>
      </c>
      <c r="L128" s="201">
        <f t="shared" ca="1" si="390"/>
        <v>74.5</v>
      </c>
      <c r="M128" s="206">
        <f t="shared" ca="1" si="391"/>
        <v>79.5</v>
      </c>
      <c r="N128" s="851">
        <f t="shared" ca="1" si="395"/>
        <v>36.711249542236345</v>
      </c>
      <c r="O128" s="201">
        <f t="shared" ca="1" si="396"/>
        <v>40.461249542236345</v>
      </c>
      <c r="P128" s="206">
        <f t="shared" ca="1" si="397"/>
        <v>44.211249542236345</v>
      </c>
      <c r="Q128" s="201">
        <f t="shared" ca="1" si="398"/>
        <v>26.647499465942378</v>
      </c>
      <c r="R128" s="201">
        <f t="shared" ca="1" si="399"/>
        <v>29.947499465942379</v>
      </c>
      <c r="S128" s="201">
        <f t="shared" ca="1" si="400"/>
        <v>33.247499465942376</v>
      </c>
      <c r="T128" s="851">
        <f t="shared" ca="1" si="392"/>
        <v>21.749997711181638</v>
      </c>
      <c r="U128" s="201">
        <f t="shared" ca="1" si="393"/>
        <v>24.249997711181638</v>
      </c>
      <c r="V128" s="206">
        <f t="shared" ca="1" si="394"/>
        <v>26.749997711181638</v>
      </c>
      <c r="W128" s="230">
        <f t="shared" ca="1" si="382"/>
        <v>0.13441727213455512</v>
      </c>
      <c r="X128" s="231">
        <f t="shared" ca="1" si="383"/>
        <v>0.26883454426911024</v>
      </c>
      <c r="Y128" s="232">
        <f t="shared" ca="1" si="384"/>
        <v>0.40325181640366536</v>
      </c>
      <c r="Z128" s="231">
        <f t="shared" ca="1" si="404"/>
        <v>0.13441727213455512</v>
      </c>
      <c r="AA128" s="231">
        <f t="shared" ca="1" si="405"/>
        <v>0.26883454426911024</v>
      </c>
      <c r="AB128" s="232">
        <f t="shared" ca="1" si="406"/>
        <v>0.40325181640366536</v>
      </c>
      <c r="AC128" s="231">
        <f t="shared" ca="1" si="407"/>
        <v>0.13441727213455512</v>
      </c>
      <c r="AD128" s="231">
        <f t="shared" ca="1" si="408"/>
        <v>0.26883454426911024</v>
      </c>
      <c r="AE128" s="232">
        <f t="shared" ca="1" si="214"/>
        <v>0.40325181640366536</v>
      </c>
      <c r="AF128" s="231">
        <f t="shared" ca="1" si="385"/>
        <v>5.0024865727808981E-2</v>
      </c>
      <c r="AG128" s="231">
        <f t="shared" ca="1" si="386"/>
        <v>0.10004973145561796</v>
      </c>
      <c r="AH128" s="232">
        <f t="shared" ca="1" si="387"/>
        <v>0.15007459718342694</v>
      </c>
      <c r="AI128" s="233">
        <f t="shared" ca="1" si="215"/>
        <v>2.65</v>
      </c>
      <c r="AJ128" s="233">
        <f t="shared" ca="1" si="216"/>
        <v>3</v>
      </c>
      <c r="AK128" s="234">
        <f t="shared" ca="1" si="217"/>
        <v>3.5</v>
      </c>
      <c r="AL128" s="919">
        <f t="shared" ca="1" si="218"/>
        <v>2.65</v>
      </c>
      <c r="AM128" s="233">
        <f t="shared" ca="1" si="219"/>
        <v>3</v>
      </c>
      <c r="AN128" s="234">
        <f t="shared" ca="1" si="220"/>
        <v>3.5</v>
      </c>
      <c r="AO128" s="233">
        <f t="shared" ca="1" si="221"/>
        <v>2.65</v>
      </c>
      <c r="AP128" s="233">
        <f t="shared" ca="1" si="222"/>
        <v>3</v>
      </c>
      <c r="AQ128" s="233">
        <f t="shared" ca="1" si="223"/>
        <v>3.5</v>
      </c>
      <c r="AR128" s="919">
        <f t="shared" ca="1" si="224"/>
        <v>0.6</v>
      </c>
      <c r="AS128" s="233">
        <f t="shared" ca="1" si="225"/>
        <v>0.75</v>
      </c>
      <c r="AT128" s="235">
        <f t="shared" ca="1" si="226"/>
        <v>0.95</v>
      </c>
      <c r="AU128" s="946">
        <f t="shared" si="227"/>
        <v>0.5</v>
      </c>
      <c r="AV128" s="13">
        <f t="shared" ca="1" si="228"/>
        <v>23</v>
      </c>
      <c r="AW128" s="210">
        <f t="shared" ca="1" si="229"/>
        <v>3</v>
      </c>
      <c r="AX128" s="210">
        <f t="shared" ca="1" si="230"/>
        <v>4</v>
      </c>
      <c r="AY128" s="210">
        <f t="shared" ca="1" si="231"/>
        <v>1</v>
      </c>
      <c r="AZ128" s="13">
        <f t="shared" ca="1" si="232"/>
        <v>31</v>
      </c>
      <c r="BA128" s="357">
        <f ca="1"/>
        <v>368</v>
      </c>
      <c r="BB128" s="925">
        <f ca="1"/>
        <v>48</v>
      </c>
      <c r="BC128" s="925">
        <f ca="1"/>
        <v>80</v>
      </c>
      <c r="BD128" s="928">
        <f ca="1"/>
        <v>248</v>
      </c>
      <c r="BE128" s="200">
        <f ca="1"/>
        <v>1.0000000111758709</v>
      </c>
      <c r="BF128" s="851">
        <f ca="1"/>
        <v>1.0000000111758709</v>
      </c>
      <c r="BG128" s="851">
        <f ca="1"/>
        <v>1.0000000111758709</v>
      </c>
      <c r="BH128" s="933">
        <f ca="1"/>
        <v>1.0000000149011612</v>
      </c>
      <c r="BI128" s="357">
        <f ca="1"/>
        <v>368</v>
      </c>
      <c r="BJ128" s="925">
        <f ca="1"/>
        <v>48</v>
      </c>
      <c r="BK128" s="925">
        <f ca="1"/>
        <v>80</v>
      </c>
      <c r="BL128" s="928">
        <f ca="1"/>
        <v>248</v>
      </c>
      <c r="BM128" s="200">
        <f ca="1"/>
        <v>1.0000000111758709</v>
      </c>
      <c r="BN128" s="851">
        <f ca="1"/>
        <v>1.0000000111758709</v>
      </c>
      <c r="BO128" s="851">
        <f ca="1"/>
        <v>1.0000000111758709</v>
      </c>
      <c r="BP128" s="933">
        <f ca="1"/>
        <v>1.0000000149011612</v>
      </c>
      <c r="BQ128" s="357">
        <f t="shared" ca="1" si="233"/>
        <v>744</v>
      </c>
      <c r="BR128" s="361">
        <f t="shared" ca="1" si="234"/>
        <v>744</v>
      </c>
      <c r="BS128" s="357">
        <f t="shared" ca="1" si="235"/>
        <v>373.65436960757148</v>
      </c>
      <c r="BT128" s="302">
        <f t="shared" ca="1" si="236"/>
        <v>46.860134109415171</v>
      </c>
      <c r="BU128" s="299">
        <f t="shared" ca="1" si="237"/>
        <v>50.763359962593128</v>
      </c>
      <c r="BV128" s="299">
        <f t="shared" ca="1" si="238"/>
        <v>54.666585815771093</v>
      </c>
      <c r="BW128" s="299">
        <f t="shared" ca="1" si="239"/>
        <v>32.659889647739881</v>
      </c>
      <c r="BX128" s="380">
        <f t="shared" ca="1" si="240"/>
        <v>9.330595482546201</v>
      </c>
      <c r="BY128" s="363">
        <f t="shared" ca="1" si="241"/>
        <v>184.81829034352998</v>
      </c>
      <c r="BZ128" s="353">
        <f t="shared" ca="1" si="242"/>
        <v>24.106733523069131</v>
      </c>
      <c r="CA128" s="353">
        <f t="shared" ca="1" si="243"/>
        <v>40.177889205115214</v>
      </c>
      <c r="CB128" s="353">
        <f t="shared" ca="1" si="244"/>
        <v>249.10291307171431</v>
      </c>
      <c r="CC128" s="353">
        <f t="shared" ca="1" si="245"/>
        <v>124.55145653585717</v>
      </c>
      <c r="CD128" s="353">
        <f t="shared" ca="1" si="246"/>
        <v>373.65436960757148</v>
      </c>
      <c r="CE128" s="302">
        <f t="shared" ca="1" si="247"/>
        <v>79.500000888481736</v>
      </c>
      <c r="CF128" s="299">
        <f t="shared" ca="1" si="248"/>
        <v>44.211250036335564</v>
      </c>
      <c r="CG128" s="299">
        <f t="shared" ca="1" si="249"/>
        <v>33.247499837512137</v>
      </c>
      <c r="CH128" s="299">
        <f t="shared" ca="1" si="250"/>
        <v>68.62487966876283</v>
      </c>
      <c r="CI128" s="299">
        <f t="shared" ca="1" si="251"/>
        <v>26.749998109787665</v>
      </c>
      <c r="CJ128" s="299">
        <f t="shared" ca="1" si="252"/>
        <v>54.666585815771107</v>
      </c>
      <c r="CK128" s="299">
        <f t="shared" ca="1" si="253"/>
        <v>32.659889647739881</v>
      </c>
      <c r="CL128" s="377">
        <f t="shared" ca="1" si="254"/>
        <v>0.40325181640366536</v>
      </c>
      <c r="CM128" s="305">
        <f t="shared" ca="1" si="255"/>
        <v>0.40325181640366536</v>
      </c>
      <c r="CN128" s="305">
        <f t="shared" ca="1" si="256"/>
        <v>0.40325181640366536</v>
      </c>
      <c r="CO128" s="305">
        <f t="shared" ca="1" si="257"/>
        <v>0.40325181640366531</v>
      </c>
      <c r="CP128" s="305">
        <f t="shared" ca="1" si="258"/>
        <v>0.15007459718342694</v>
      </c>
      <c r="CQ128" s="305">
        <f t="shared" ca="1" si="259"/>
        <v>0.3700534625629055</v>
      </c>
      <c r="CR128" s="775">
        <f t="shared" ca="1" si="260"/>
        <v>0.41825181640366538</v>
      </c>
      <c r="CS128" s="305">
        <f t="shared" ca="1" si="261"/>
        <v>0.41825181640366538</v>
      </c>
      <c r="CT128" s="305">
        <f t="shared" ca="1" si="262"/>
        <v>0.40325181640366536</v>
      </c>
      <c r="CU128" s="305">
        <f t="shared" ca="1" si="263"/>
        <v>0.16757459718342693</v>
      </c>
      <c r="CV128" s="770">
        <f t="shared" ca="1" si="264"/>
        <v>0.38505346256290551</v>
      </c>
      <c r="CW128" s="302">
        <f t="shared" ca="1" si="265"/>
        <v>55.192893921381909</v>
      </c>
      <c r="CX128" s="299">
        <f t="shared" ca="1" si="266"/>
        <v>24.553609192270322</v>
      </c>
      <c r="CY128" s="299">
        <f t="shared" ca="1" si="267"/>
        <v>15.520838673698005</v>
      </c>
      <c r="CZ128" s="299">
        <f t="shared" ca="1" si="268"/>
        <v>3.484451651862436</v>
      </c>
      <c r="DA128" s="774">
        <f t="shared" ca="1" si="269"/>
        <v>31.952441218710987</v>
      </c>
      <c r="DB128" s="303">
        <f t="shared" ca="1" si="270"/>
        <v>11939.169281000437</v>
      </c>
      <c r="DC128" s="248">
        <f t="shared" ca="1" si="271"/>
        <v>316.6956781858047</v>
      </c>
      <c r="DD128" s="778">
        <f t="shared" ca="1" si="272"/>
        <v>8222.8981838110667</v>
      </c>
      <c r="DE128" s="363">
        <f t="shared" ca="1" si="273"/>
        <v>0.5022236150639402</v>
      </c>
      <c r="DF128" s="378">
        <f t="shared" ca="1" si="274"/>
        <v>5.7520208239628431E-2</v>
      </c>
      <c r="DG128" s="508">
        <f t="shared" ca="1" si="275"/>
        <v>-0.40176358566017761</v>
      </c>
      <c r="DH128" s="508">
        <f t="shared" ca="1" si="276"/>
        <v>-0.60141040109384014</v>
      </c>
      <c r="DI128" s="508">
        <f t="shared" ca="1" si="277"/>
        <v>-0.6459027699926807</v>
      </c>
      <c r="DJ128" s="508">
        <f t="shared" ca="1" si="278"/>
        <v>-0.15014716271717171</v>
      </c>
      <c r="DK128" s="353">
        <f t="shared" ca="1" si="279"/>
        <v>-164.52907505613425</v>
      </c>
      <c r="DL128" s="781">
        <f t="shared" ca="1" si="280"/>
        <v>3.8370237145774397</v>
      </c>
      <c r="DM128" s="303">
        <f t="shared" ca="1" si="281"/>
        <v>18444.424886919049</v>
      </c>
      <c r="DN128" s="508">
        <f t="shared" ca="1" si="282"/>
        <v>1.8184132921889615</v>
      </c>
      <c r="DO128" s="508">
        <f t="shared" ca="1" si="283"/>
        <v>1.6262977995963417</v>
      </c>
      <c r="DP128" s="508">
        <f t="shared" ca="1" si="284"/>
        <v>1.5329867293909609</v>
      </c>
      <c r="DQ128" s="508">
        <f t="shared" ca="1" si="285"/>
        <v>1.461793529455534</v>
      </c>
      <c r="DR128" s="508">
        <f t="shared" ca="1" si="286"/>
        <v>1.6957977158840341</v>
      </c>
      <c r="DS128" s="353">
        <f t="shared" ca="1" si="287"/>
        <v>5910.1721942443519</v>
      </c>
      <c r="DT128" s="353">
        <f t="shared" ca="1" si="288"/>
        <v>-13616.860515819053</v>
      </c>
      <c r="DU128" s="380">
        <f t="shared" ca="1" si="388"/>
        <v>9.330595482546201</v>
      </c>
      <c r="DV128" s="303">
        <f t="shared" ca="1" si="289"/>
        <v>184.81829034352998</v>
      </c>
      <c r="DW128" s="303">
        <f t="shared" ca="1" si="290"/>
        <v>24.106733523069131</v>
      </c>
      <c r="DX128" s="303">
        <f t="shared" ca="1" si="291"/>
        <v>40.177889205115214</v>
      </c>
      <c r="DY128" s="303">
        <f t="shared" ca="1" si="292"/>
        <v>249.10291307171431</v>
      </c>
      <c r="DZ128" s="303">
        <f t="shared" ca="1" si="293"/>
        <v>124.55145653585717</v>
      </c>
      <c r="EA128" s="303">
        <f t="shared" ca="1" si="294"/>
        <v>373.65436960757148</v>
      </c>
      <c r="EB128" s="302">
        <f t="shared" ca="1" si="295"/>
        <v>79.500000888481736</v>
      </c>
      <c r="EC128" s="299">
        <f t="shared" ca="1" si="296"/>
        <v>44.211250036335564</v>
      </c>
      <c r="ED128" s="299">
        <f t="shared" ca="1" si="297"/>
        <v>33.247499837512137</v>
      </c>
      <c r="EE128" s="299">
        <f t="shared" ca="1" si="298"/>
        <v>68.62487966876283</v>
      </c>
      <c r="EF128" s="299">
        <f t="shared" ca="1" si="299"/>
        <v>26.749998109787665</v>
      </c>
      <c r="EG128" s="299">
        <f t="shared" ca="1" si="300"/>
        <v>54.666585815771107</v>
      </c>
      <c r="EH128" s="302">
        <f t="shared" ca="1" si="301"/>
        <v>30</v>
      </c>
      <c r="EI128" s="304">
        <f t="shared" ca="1" si="302"/>
        <v>0.13441727213455512</v>
      </c>
      <c r="EJ128" s="305">
        <f t="shared" ca="1" si="303"/>
        <v>0.13441727213455512</v>
      </c>
      <c r="EK128" s="305">
        <f t="shared" ca="1" si="304"/>
        <v>0.13441727213455512</v>
      </c>
      <c r="EL128" s="305">
        <f t="shared" ca="1" si="305"/>
        <v>0.13441727213455515</v>
      </c>
      <c r="EM128" s="305">
        <f t="shared" ca="1" si="306"/>
        <v>5.0024865727808981E-2</v>
      </c>
      <c r="EN128" s="305">
        <f t="shared" ca="1" si="307"/>
        <v>0.11768177067615128</v>
      </c>
      <c r="EO128" s="305">
        <f t="shared" ca="1" si="308"/>
        <v>0.13441727213455512</v>
      </c>
      <c r="EP128" s="305">
        <f t="shared" ca="1" si="309"/>
        <v>0.13441727213455512</v>
      </c>
      <c r="EQ128" s="305">
        <f t="shared" ca="1" si="310"/>
        <v>0.13441727213455512</v>
      </c>
      <c r="ER128" s="305">
        <f t="shared" ca="1" si="311"/>
        <v>5.0024865727808981E-2</v>
      </c>
      <c r="ES128" s="305">
        <f t="shared" ca="1" si="312"/>
        <v>0.11768177067615128</v>
      </c>
      <c r="ET128" s="299">
        <f t="shared" ca="1" si="313"/>
        <v>0.28338174949847805</v>
      </c>
      <c r="EU128" s="302">
        <f t="shared" ca="1" si="314"/>
        <v>30</v>
      </c>
      <c r="EV128" s="304">
        <f t="shared" ca="1" si="315"/>
        <v>0.40325181640366536</v>
      </c>
      <c r="EW128" s="305">
        <f t="shared" ca="1" si="316"/>
        <v>0.40325181640366536</v>
      </c>
      <c r="EX128" s="305">
        <f t="shared" ca="1" si="317"/>
        <v>0.40325181640366536</v>
      </c>
      <c r="EY128" s="305">
        <f t="shared" ca="1" si="318"/>
        <v>0.40325181640366531</v>
      </c>
      <c r="EZ128" s="305">
        <f t="shared" ca="1" si="319"/>
        <v>0.15007459718342694</v>
      </c>
      <c r="FA128" s="305">
        <f t="shared" ca="1" si="320"/>
        <v>0.3700534625629055</v>
      </c>
      <c r="FB128" s="305">
        <f t="shared" ca="1" si="321"/>
        <v>0.40325181640366536</v>
      </c>
      <c r="FC128" s="305">
        <f t="shared" ca="1" si="322"/>
        <v>0.40325181640366536</v>
      </c>
      <c r="FD128" s="305">
        <f t="shared" ca="1" si="323"/>
        <v>0.40325181640366536</v>
      </c>
      <c r="FE128" s="305">
        <f t="shared" ca="1" si="324"/>
        <v>0.15007459718342694</v>
      </c>
      <c r="FF128" s="305">
        <f t="shared" ca="1" si="325"/>
        <v>0.3700534625629055</v>
      </c>
      <c r="FG128" s="299">
        <f t="shared" ca="1" si="326"/>
        <v>32.613664295119328</v>
      </c>
      <c r="FH128" s="302">
        <f t="shared" ca="1" si="327"/>
        <v>-32.330282545620847</v>
      </c>
      <c r="FI128" s="248">
        <f t="shared" ca="1" si="328"/>
        <v>-12080.351343818629</v>
      </c>
      <c r="FJ128" s="363">
        <f t="shared" ca="1" si="329"/>
        <v>0.5022236150639402</v>
      </c>
      <c r="FK128" s="378">
        <f t="shared" ca="1" si="330"/>
        <v>2.1682558927164464</v>
      </c>
      <c r="FL128" s="508">
        <f t="shared" ca="1" si="331"/>
        <v>0.73915174566109365</v>
      </c>
      <c r="FM128" s="508">
        <f t="shared" ca="1" si="332"/>
        <v>4.5031580769167044E-2</v>
      </c>
      <c r="FN128" s="508">
        <f t="shared" ca="1" si="333"/>
        <v>-0.82678538267551849</v>
      </c>
      <c r="FO128" s="508">
        <f t="shared" ca="1" si="334"/>
        <v>1.4895375573811889</v>
      </c>
      <c r="FP128" s="353">
        <f t="shared" ca="1" si="335"/>
        <v>25.473126623377006</v>
      </c>
      <c r="FQ128" s="356">
        <f t="shared" ca="1" si="336"/>
        <v>4.5583303371603048</v>
      </c>
      <c r="FR128" s="380">
        <f t="shared" ca="1" si="337"/>
        <v>24.1</v>
      </c>
      <c r="FS128" s="299">
        <f t="shared" ca="1" si="338"/>
        <v>24.1</v>
      </c>
      <c r="FT128" s="299">
        <f t="shared" ca="1" si="339"/>
        <v>24.1</v>
      </c>
      <c r="FU128" s="299">
        <f t="shared" ca="1" si="340"/>
        <v>24.1</v>
      </c>
      <c r="FV128" s="299">
        <f t="shared" ca="1" si="341"/>
        <v>24.1</v>
      </c>
      <c r="FW128" s="850">
        <f t="shared" ca="1" si="342"/>
        <v>0.16500000000000001</v>
      </c>
      <c r="FX128" s="851">
        <f t="shared" ca="1" si="343"/>
        <v>0.5</v>
      </c>
      <c r="FY128" s="851">
        <f t="shared" ca="1" si="344"/>
        <v>0</v>
      </c>
      <c r="FZ128" s="201">
        <f t="shared" ca="1" si="345"/>
        <v>0</v>
      </c>
      <c r="GA128" s="201">
        <f t="shared" ca="1" si="346"/>
        <v>0</v>
      </c>
      <c r="GB128" s="201">
        <f t="shared" ca="1" si="347"/>
        <v>0</v>
      </c>
      <c r="GC128" s="201">
        <f t="shared" ca="1" si="348"/>
        <v>0</v>
      </c>
      <c r="GD128" s="850">
        <f t="shared" ca="1" si="349"/>
        <v>0.41825181640366538</v>
      </c>
      <c r="GE128" s="866">
        <f t="shared" ca="1" si="350"/>
        <v>0.41825181640366538</v>
      </c>
      <c r="GF128" s="866">
        <f t="shared" ca="1" si="351"/>
        <v>0.41825181640366538</v>
      </c>
      <c r="GG128" s="866">
        <f t="shared" ca="1" si="352"/>
        <v>0.16007459718342695</v>
      </c>
      <c r="GH128" s="866">
        <f t="shared" ca="1" si="353"/>
        <v>0.38505346256290551</v>
      </c>
      <c r="GI128" s="302">
        <f t="shared" ca="1" si="354"/>
        <v>58.607399821675884</v>
      </c>
      <c r="GJ128" s="299">
        <f t="shared" ca="1" si="355"/>
        <v>26.303741090437764</v>
      </c>
      <c r="GK128" s="299">
        <f t="shared" ca="1" si="356"/>
        <v>17.140494329952233</v>
      </c>
      <c r="GL128" s="299">
        <f t="shared" ca="1" si="357"/>
        <v>6.4185939012450204</v>
      </c>
      <c r="GM128" s="299">
        <f t="shared" ca="1" si="358"/>
        <v>34.687416598971055</v>
      </c>
      <c r="GN128" s="302">
        <f t="shared" ca="1" si="359"/>
        <v>0.94825087326594626</v>
      </c>
      <c r="GO128" s="299">
        <f t="shared" ca="1" si="360"/>
        <v>0.86469994512359583</v>
      </c>
      <c r="GP128" s="299">
        <f t="shared" ca="1" si="361"/>
        <v>0.80121993033689021</v>
      </c>
      <c r="GQ128" s="299">
        <f t="shared" ca="1" si="362"/>
        <v>0.67665967896938339</v>
      </c>
      <c r="GR128" s="299">
        <f t="shared" ca="1" si="363"/>
        <v>0.90530568542929923</v>
      </c>
      <c r="GS128" s="302">
        <f t="shared" ca="1" si="364"/>
        <v>-0.69620572748629539</v>
      </c>
      <c r="GT128" s="299">
        <f t="shared" ca="1" si="365"/>
        <v>-0.49484376116052009</v>
      </c>
      <c r="GU128" s="299">
        <f t="shared" ca="1" si="366"/>
        <v>-0.39411082661233215</v>
      </c>
      <c r="GV128" s="299">
        <f t="shared" ca="1" si="367"/>
        <v>-0.48473238696027987</v>
      </c>
      <c r="GW128" s="299">
        <f t="shared" ca="1" si="368"/>
        <v>-0.61421417410480261</v>
      </c>
      <c r="GX128" s="303">
        <f t="shared" ca="1" si="369"/>
        <v>10831.71943652184</v>
      </c>
      <c r="GY128" s="303">
        <f t="shared" ca="1" si="370"/>
        <v>634.09727712698702</v>
      </c>
      <c r="GZ128" s="303">
        <f t="shared" ca="1" si="371"/>
        <v>688.66888210972638</v>
      </c>
      <c r="HA128" s="303">
        <f t="shared" ca="1" si="372"/>
        <v>799.4452193122371</v>
      </c>
      <c r="HB128" s="303">
        <f t="shared" ca="1" si="373"/>
        <v>12961.104782603741</v>
      </c>
      <c r="HC128" s="303">
        <f t="shared" ca="1" si="374"/>
        <v>10238.933449239235</v>
      </c>
      <c r="HD128" s="303">
        <f t="shared" ca="1" si="375"/>
        <v>484.81654544175581</v>
      </c>
      <c r="HE128" s="303">
        <f t="shared" ca="1" si="376"/>
        <v>367.52723497537204</v>
      </c>
      <c r="HF128" s="303">
        <f t="shared" ca="1" si="377"/>
        <v>330.06112439132181</v>
      </c>
      <c r="HG128" s="852">
        <f t="shared" ca="1" si="378"/>
        <v>11421.338354047688</v>
      </c>
    </row>
    <row r="129" spans="1:215" x14ac:dyDescent="0.25">
      <c r="A129" s="244">
        <f t="shared" ca="1" si="379"/>
        <v>40026</v>
      </c>
      <c r="B129" s="13">
        <f t="shared" ref="B129:B144" ca="1" si="412">YEAR(A129)</f>
        <v>2009</v>
      </c>
      <c r="C129" s="619">
        <f t="shared" ref="C129:C144" ca="1" si="413">MONTH(A129)</f>
        <v>8</v>
      </c>
      <c r="D129" s="195" t="str">
        <f t="shared" ca="1" si="209"/>
        <v/>
      </c>
      <c r="E129" s="469">
        <f t="shared" ca="1" si="210"/>
        <v>40026</v>
      </c>
      <c r="F129" s="465">
        <f t="shared" ca="1" si="211"/>
        <v>40056</v>
      </c>
      <c r="G129" s="522">
        <f t="shared" ca="1" si="380"/>
        <v>1</v>
      </c>
      <c r="H129" s="519">
        <f t="shared" ca="1" si="381"/>
        <v>1</v>
      </c>
      <c r="I129" s="724">
        <f t="shared" ref="I129:I144" ca="1" si="414">VLOOKUP(A129,IRTable,2)</f>
        <v>7.4099145449646006E-2</v>
      </c>
      <c r="J129" s="198">
        <f t="shared" ca="1" si="213"/>
        <v>0.4990621226429876</v>
      </c>
      <c r="K129" s="200">
        <f t="shared" ca="1" si="389"/>
        <v>65</v>
      </c>
      <c r="L129" s="201">
        <f t="shared" ca="1" si="390"/>
        <v>70</v>
      </c>
      <c r="M129" s="206">
        <f t="shared" ca="1" si="391"/>
        <v>75</v>
      </c>
      <c r="N129" s="851">
        <f t="shared" ca="1" si="395"/>
        <v>38.972499084472673</v>
      </c>
      <c r="O129" s="201">
        <f t="shared" ca="1" si="396"/>
        <v>42.722499084472673</v>
      </c>
      <c r="P129" s="206">
        <f t="shared" ca="1" si="397"/>
        <v>46.472499084472673</v>
      </c>
      <c r="Q129" s="201">
        <f t="shared" ca="1" si="398"/>
        <v>28.145000839233393</v>
      </c>
      <c r="R129" s="201">
        <f t="shared" ca="1" si="399"/>
        <v>31.445000839233394</v>
      </c>
      <c r="S129" s="201">
        <f t="shared" ca="1" si="400"/>
        <v>34.745000839233391</v>
      </c>
      <c r="T129" s="851">
        <f t="shared" ca="1" si="392"/>
        <v>22.099998092651365</v>
      </c>
      <c r="U129" s="201">
        <f t="shared" ca="1" si="393"/>
        <v>24.599998092651365</v>
      </c>
      <c r="V129" s="206">
        <f t="shared" ca="1" si="394"/>
        <v>27.099998092651365</v>
      </c>
      <c r="W129" s="230">
        <f t="shared" ca="1" si="382"/>
        <v>0.13240213257451458</v>
      </c>
      <c r="X129" s="231">
        <f t="shared" ca="1" si="383"/>
        <v>0.26480426514902916</v>
      </c>
      <c r="Y129" s="232">
        <f t="shared" ca="1" si="384"/>
        <v>0.39720639772354371</v>
      </c>
      <c r="Z129" s="231">
        <f t="shared" ca="1" si="404"/>
        <v>0.13240213257451458</v>
      </c>
      <c r="AA129" s="231">
        <f t="shared" ca="1" si="405"/>
        <v>0.26480426514902916</v>
      </c>
      <c r="AB129" s="232">
        <f t="shared" ca="1" si="406"/>
        <v>0.39720639772354371</v>
      </c>
      <c r="AC129" s="231">
        <f t="shared" ca="1" si="407"/>
        <v>0.13240213257451458</v>
      </c>
      <c r="AD129" s="231">
        <f t="shared" ca="1" si="408"/>
        <v>0.26480426514902916</v>
      </c>
      <c r="AE129" s="232">
        <f t="shared" ca="1" si="214"/>
        <v>0.39720639772354371</v>
      </c>
      <c r="AF129" s="231">
        <f t="shared" ca="1" si="385"/>
        <v>5.0024865727808981E-2</v>
      </c>
      <c r="AG129" s="231">
        <f t="shared" ca="1" si="386"/>
        <v>0.10004973145561796</v>
      </c>
      <c r="AH129" s="232">
        <f t="shared" ca="1" si="387"/>
        <v>0.15007459718342694</v>
      </c>
      <c r="AI129" s="233">
        <f t="shared" ca="1" si="215"/>
        <v>2.65</v>
      </c>
      <c r="AJ129" s="233">
        <f t="shared" ca="1" si="216"/>
        <v>3</v>
      </c>
      <c r="AK129" s="234">
        <f t="shared" ca="1" si="217"/>
        <v>3.5</v>
      </c>
      <c r="AL129" s="919">
        <f t="shared" ca="1" si="218"/>
        <v>2.65</v>
      </c>
      <c r="AM129" s="233">
        <f t="shared" ca="1" si="219"/>
        <v>3</v>
      </c>
      <c r="AN129" s="234">
        <f t="shared" ca="1" si="220"/>
        <v>3.5</v>
      </c>
      <c r="AO129" s="233">
        <f t="shared" ca="1" si="221"/>
        <v>2.65</v>
      </c>
      <c r="AP129" s="233">
        <f t="shared" ca="1" si="222"/>
        <v>3</v>
      </c>
      <c r="AQ129" s="233">
        <f t="shared" ca="1" si="223"/>
        <v>3.5</v>
      </c>
      <c r="AR129" s="919">
        <f t="shared" ca="1" si="224"/>
        <v>0.6</v>
      </c>
      <c r="AS129" s="233">
        <f t="shared" ca="1" si="225"/>
        <v>0.75</v>
      </c>
      <c r="AT129" s="235">
        <f t="shared" ca="1" si="226"/>
        <v>0.95</v>
      </c>
      <c r="AU129" s="946">
        <f t="shared" si="227"/>
        <v>0.5</v>
      </c>
      <c r="AV129" s="13">
        <f t="shared" ca="1" si="228"/>
        <v>21</v>
      </c>
      <c r="AW129" s="210">
        <f t="shared" ca="1" si="229"/>
        <v>5</v>
      </c>
      <c r="AX129" s="210">
        <f t="shared" ca="1" si="230"/>
        <v>5</v>
      </c>
      <c r="AY129" s="210">
        <f t="shared" ca="1" si="231"/>
        <v>0</v>
      </c>
      <c r="AZ129" s="13">
        <f t="shared" ca="1" si="232"/>
        <v>31</v>
      </c>
      <c r="BA129" s="357">
        <f ca="1"/>
        <v>336</v>
      </c>
      <c r="BB129" s="925">
        <f ca="1"/>
        <v>80</v>
      </c>
      <c r="BC129" s="925">
        <f ca="1"/>
        <v>80</v>
      </c>
      <c r="BD129" s="928">
        <f ca="1"/>
        <v>248</v>
      </c>
      <c r="BE129" s="200">
        <f ca="1"/>
        <v>1</v>
      </c>
      <c r="BF129" s="851">
        <f ca="1"/>
        <v>1</v>
      </c>
      <c r="BG129" s="851">
        <f ca="1"/>
        <v>1</v>
      </c>
      <c r="BH129" s="933">
        <f ca="1"/>
        <v>1.0000000074505806</v>
      </c>
      <c r="BI129" s="357">
        <f ca="1"/>
        <v>336</v>
      </c>
      <c r="BJ129" s="925">
        <f ca="1"/>
        <v>80</v>
      </c>
      <c r="BK129" s="925">
        <f ca="1"/>
        <v>80</v>
      </c>
      <c r="BL129" s="928">
        <f ca="1"/>
        <v>248</v>
      </c>
      <c r="BM129" s="200">
        <f ca="1"/>
        <v>1</v>
      </c>
      <c r="BN129" s="851">
        <f ca="1"/>
        <v>1</v>
      </c>
      <c r="BO129" s="851">
        <f ca="1"/>
        <v>1</v>
      </c>
      <c r="BP129" s="933">
        <f ca="1"/>
        <v>1.0000000074505806</v>
      </c>
      <c r="BQ129" s="357">
        <f t="shared" ca="1" si="233"/>
        <v>744</v>
      </c>
      <c r="BR129" s="361">
        <f t="shared" ca="1" si="234"/>
        <v>744</v>
      </c>
      <c r="BS129" s="357">
        <f t="shared" ca="1" si="235"/>
        <v>371.30221924638278</v>
      </c>
      <c r="BT129" s="302">
        <f t="shared" ca="1" si="236"/>
        <v>43.938440271114459</v>
      </c>
      <c r="BU129" s="299">
        <f t="shared" ca="1" si="237"/>
        <v>47.78790264291468</v>
      </c>
      <c r="BV129" s="299">
        <f t="shared" ca="1" si="238"/>
        <v>51.637365014714895</v>
      </c>
      <c r="BW129" s="299">
        <f t="shared" ca="1" si="239"/>
        <v>32.659889647739881</v>
      </c>
      <c r="BX129" s="380">
        <f t="shared" ca="1" si="240"/>
        <v>9.415468856947296</v>
      </c>
      <c r="BY129" s="363">
        <f t="shared" ca="1" si="241"/>
        <v>167.68487320804383</v>
      </c>
      <c r="BZ129" s="353">
        <f t="shared" ca="1" si="242"/>
        <v>39.924969811439006</v>
      </c>
      <c r="CA129" s="353">
        <f t="shared" ca="1" si="243"/>
        <v>39.924969811439006</v>
      </c>
      <c r="CB129" s="353">
        <f t="shared" ca="1" si="244"/>
        <v>247.53481283092185</v>
      </c>
      <c r="CC129" s="353">
        <f t="shared" ca="1" si="245"/>
        <v>123.76740641546093</v>
      </c>
      <c r="CD129" s="353">
        <f t="shared" ca="1" si="246"/>
        <v>371.30221924638278</v>
      </c>
      <c r="CE129" s="302">
        <f t="shared" ca="1" si="247"/>
        <v>75</v>
      </c>
      <c r="CF129" s="299">
        <f t="shared" ca="1" si="248"/>
        <v>46.472499084472673</v>
      </c>
      <c r="CG129" s="299">
        <f t="shared" ca="1" si="249"/>
        <v>34.745000839233391</v>
      </c>
      <c r="CH129" s="299">
        <f t="shared" ca="1" si="250"/>
        <v>63.90604837479129</v>
      </c>
      <c r="CI129" s="299">
        <f t="shared" ca="1" si="251"/>
        <v>27.099998294562084</v>
      </c>
      <c r="CJ129" s="299">
        <f t="shared" ca="1" si="252"/>
        <v>51.637365014714888</v>
      </c>
      <c r="CK129" s="299">
        <f t="shared" ca="1" si="253"/>
        <v>32.659889647739881</v>
      </c>
      <c r="CL129" s="377">
        <f t="shared" ca="1" si="254"/>
        <v>0.39720639772354371</v>
      </c>
      <c r="CM129" s="305">
        <f t="shared" ca="1" si="255"/>
        <v>0.39720639772354371</v>
      </c>
      <c r="CN129" s="305">
        <f t="shared" ca="1" si="256"/>
        <v>0.39720639772354371</v>
      </c>
      <c r="CO129" s="305">
        <f t="shared" ca="1" si="257"/>
        <v>0.39720639772354371</v>
      </c>
      <c r="CP129" s="305">
        <f t="shared" ca="1" si="258"/>
        <v>0.15007459718342694</v>
      </c>
      <c r="CQ129" s="305">
        <f t="shared" ca="1" si="259"/>
        <v>0.36168065248593256</v>
      </c>
      <c r="CR129" s="775">
        <f t="shared" ca="1" si="260"/>
        <v>0.41220639772354373</v>
      </c>
      <c r="CS129" s="305">
        <f t="shared" ca="1" si="261"/>
        <v>0.41220639772354373</v>
      </c>
      <c r="CT129" s="305">
        <f t="shared" ca="1" si="262"/>
        <v>0.40220639772354372</v>
      </c>
      <c r="CU129" s="305">
        <f t="shared" ca="1" si="263"/>
        <v>0.16757459718342693</v>
      </c>
      <c r="CV129" s="770">
        <f t="shared" ca="1" si="264"/>
        <v>0.37668065248593258</v>
      </c>
      <c r="CW129" s="302">
        <f t="shared" ca="1" si="265"/>
        <v>50.95286974303886</v>
      </c>
      <c r="CX129" s="299">
        <f t="shared" ca="1" si="266"/>
        <v>26.240076775167424</v>
      </c>
      <c r="CY129" s="299">
        <f t="shared" ca="1" si="267"/>
        <v>16.657845940665947</v>
      </c>
      <c r="CZ129" s="299">
        <f t="shared" ca="1" si="268"/>
        <v>3.6675236546992362</v>
      </c>
      <c r="DA129" s="774">
        <f t="shared" ca="1" si="269"/>
        <v>29.141952984969478</v>
      </c>
      <c r="DB129" s="303">
        <f t="shared" ca="1" si="270"/>
        <v>10820.471816492916</v>
      </c>
      <c r="DC129" s="248">
        <f t="shared" ca="1" si="271"/>
        <v>310.05006673741076</v>
      </c>
      <c r="DD129" s="778">
        <f t="shared" ca="1" si="272"/>
        <v>7046.3787194513825</v>
      </c>
      <c r="DE129" s="363">
        <f t="shared" ca="1" si="273"/>
        <v>0.4990621226429876</v>
      </c>
      <c r="DF129" s="378">
        <f t="shared" ca="1" si="274"/>
        <v>2.4848890623681605E-2</v>
      </c>
      <c r="DG129" s="508">
        <f t="shared" ca="1" si="275"/>
        <v>-0.35356044957095056</v>
      </c>
      <c r="DH129" s="508">
        <f t="shared" ca="1" si="276"/>
        <v>-0.56693182833339262</v>
      </c>
      <c r="DI129" s="508">
        <f t="shared" ca="1" si="277"/>
        <v>-0.62002183720559523</v>
      </c>
      <c r="DJ129" s="508">
        <f t="shared" ca="1" si="278"/>
        <v>-0.18157904937493896</v>
      </c>
      <c r="DK129" s="353">
        <f t="shared" ca="1" si="279"/>
        <v>-158.90121813728007</v>
      </c>
      <c r="DL129" s="781">
        <f t="shared" ca="1" si="280"/>
        <v>3.8598394493995167</v>
      </c>
      <c r="DM129" s="303">
        <f t="shared" ca="1" si="281"/>
        <v>17280.968152525049</v>
      </c>
      <c r="DN129" s="508">
        <f t="shared" ca="1" si="282"/>
        <v>1.8050359810147267</v>
      </c>
      <c r="DO129" s="508">
        <f t="shared" ca="1" si="283"/>
        <v>1.6490376301930725</v>
      </c>
      <c r="DP129" s="508">
        <f t="shared" ca="1" si="284"/>
        <v>1.5542494421546402</v>
      </c>
      <c r="DQ129" s="508">
        <f t="shared" ca="1" si="285"/>
        <v>1.4732555243011334</v>
      </c>
      <c r="DR129" s="508">
        <f t="shared" ca="1" si="286"/>
        <v>1.6833855553582309</v>
      </c>
      <c r="DS129" s="353">
        <f t="shared" ca="1" si="287"/>
        <v>5690.8066412264325</v>
      </c>
      <c r="DT129" s="353">
        <f t="shared" ca="1" si="288"/>
        <v>-13267.187879270907</v>
      </c>
      <c r="DU129" s="380">
        <f t="shared" ca="1" si="388"/>
        <v>9.415468856947296</v>
      </c>
      <c r="DV129" s="303">
        <f t="shared" ca="1" si="289"/>
        <v>167.68487320804383</v>
      </c>
      <c r="DW129" s="303">
        <f t="shared" ca="1" si="290"/>
        <v>39.924969811439006</v>
      </c>
      <c r="DX129" s="303">
        <f t="shared" ca="1" si="291"/>
        <v>39.924969811439006</v>
      </c>
      <c r="DY129" s="303">
        <f t="shared" ca="1" si="292"/>
        <v>247.53481283092185</v>
      </c>
      <c r="DZ129" s="303">
        <f t="shared" ca="1" si="293"/>
        <v>123.76740641546093</v>
      </c>
      <c r="EA129" s="303">
        <f t="shared" ca="1" si="294"/>
        <v>371.30221924638278</v>
      </c>
      <c r="EB129" s="302">
        <f t="shared" ca="1" si="295"/>
        <v>75</v>
      </c>
      <c r="EC129" s="299">
        <f t="shared" ca="1" si="296"/>
        <v>46.472499084472673</v>
      </c>
      <c r="ED129" s="299">
        <f t="shared" ca="1" si="297"/>
        <v>34.745000839233391</v>
      </c>
      <c r="EE129" s="299">
        <f t="shared" ca="1" si="298"/>
        <v>63.90604837479129</v>
      </c>
      <c r="EF129" s="299">
        <f t="shared" ca="1" si="299"/>
        <v>27.099998294562084</v>
      </c>
      <c r="EG129" s="299">
        <f t="shared" ca="1" si="300"/>
        <v>51.637365014714888</v>
      </c>
      <c r="EH129" s="302">
        <f t="shared" ca="1" si="301"/>
        <v>30</v>
      </c>
      <c r="EI129" s="304">
        <f t="shared" ca="1" si="302"/>
        <v>0.13240213257451458</v>
      </c>
      <c r="EJ129" s="305">
        <f t="shared" ca="1" si="303"/>
        <v>0.13240213257451458</v>
      </c>
      <c r="EK129" s="305">
        <f t="shared" ca="1" si="304"/>
        <v>0.13240213257451458</v>
      </c>
      <c r="EL129" s="305">
        <f t="shared" ca="1" si="305"/>
        <v>0.13240213257451458</v>
      </c>
      <c r="EM129" s="305">
        <f t="shared" ca="1" si="306"/>
        <v>5.0024865727808981E-2</v>
      </c>
      <c r="EN129" s="305">
        <f t="shared" ca="1" si="307"/>
        <v>0.11476782909243101</v>
      </c>
      <c r="EO129" s="305">
        <f t="shared" ca="1" si="308"/>
        <v>0.13240213257451458</v>
      </c>
      <c r="EP129" s="305">
        <f t="shared" ca="1" si="309"/>
        <v>0.13240213257451458</v>
      </c>
      <c r="EQ129" s="305">
        <f t="shared" ca="1" si="310"/>
        <v>0.13240213257451458</v>
      </c>
      <c r="ER129" s="305">
        <f t="shared" ca="1" si="311"/>
        <v>5.0024865727808981E-2</v>
      </c>
      <c r="ES129" s="305">
        <f t="shared" ca="1" si="312"/>
        <v>0.11476782909243101</v>
      </c>
      <c r="ET129" s="299">
        <f t="shared" ca="1" si="313"/>
        <v>0.36469030071329511</v>
      </c>
      <c r="EU129" s="302">
        <f t="shared" ca="1" si="314"/>
        <v>30</v>
      </c>
      <c r="EV129" s="304">
        <f t="shared" ca="1" si="315"/>
        <v>0.39720639772354371</v>
      </c>
      <c r="EW129" s="305">
        <f t="shared" ca="1" si="316"/>
        <v>0.39720639772354371</v>
      </c>
      <c r="EX129" s="305">
        <f t="shared" ca="1" si="317"/>
        <v>0.39720639772354371</v>
      </c>
      <c r="EY129" s="305">
        <f t="shared" ca="1" si="318"/>
        <v>0.39720639772354371</v>
      </c>
      <c r="EZ129" s="305">
        <f t="shared" ca="1" si="319"/>
        <v>0.15007459718342694</v>
      </c>
      <c r="FA129" s="305">
        <f t="shared" ca="1" si="320"/>
        <v>0.36168065248593256</v>
      </c>
      <c r="FB129" s="305">
        <f t="shared" ca="1" si="321"/>
        <v>0.39720639772354371</v>
      </c>
      <c r="FC129" s="305">
        <f t="shared" ca="1" si="322"/>
        <v>0.39720639772354371</v>
      </c>
      <c r="FD129" s="305">
        <f t="shared" ca="1" si="323"/>
        <v>0.39720639772354371</v>
      </c>
      <c r="FE129" s="305">
        <f t="shared" ca="1" si="324"/>
        <v>0.15007459718342694</v>
      </c>
      <c r="FF129" s="305">
        <f t="shared" ca="1" si="325"/>
        <v>0.36168065248593256</v>
      </c>
      <c r="FG129" s="299">
        <f t="shared" ca="1" si="326"/>
        <v>29.769494063951157</v>
      </c>
      <c r="FH129" s="302">
        <f t="shared" ca="1" si="327"/>
        <v>-29.404803763237862</v>
      </c>
      <c r="FI129" s="248">
        <f t="shared" ca="1" si="328"/>
        <v>-10918.068893794605</v>
      </c>
      <c r="FJ129" s="363">
        <f t="shared" ca="1" si="329"/>
        <v>0.4990621226429876</v>
      </c>
      <c r="FK129" s="378">
        <f t="shared" ca="1" si="330"/>
        <v>2.0522320416624864</v>
      </c>
      <c r="FL129" s="508">
        <f t="shared" ca="1" si="331"/>
        <v>0.87413356278196852</v>
      </c>
      <c r="FM129" s="508">
        <f t="shared" ca="1" si="332"/>
        <v>0.1582938147606304</v>
      </c>
      <c r="FN129" s="508">
        <f t="shared" ca="1" si="333"/>
        <v>-0.73905632885295025</v>
      </c>
      <c r="FO129" s="508">
        <f t="shared" ca="1" si="334"/>
        <v>1.3659650946972737</v>
      </c>
      <c r="FP129" s="353">
        <f t="shared" ca="1" si="335"/>
        <v>31.922714881976319</v>
      </c>
      <c r="FQ129" s="356">
        <f t="shared" ca="1" si="336"/>
        <v>5.5158050379555483</v>
      </c>
      <c r="FR129" s="380">
        <f t="shared" ca="1" si="337"/>
        <v>24.156000000000002</v>
      </c>
      <c r="FS129" s="299">
        <f t="shared" ca="1" si="338"/>
        <v>24.156000000000002</v>
      </c>
      <c r="FT129" s="299">
        <f t="shared" ca="1" si="339"/>
        <v>24.156000000000002</v>
      </c>
      <c r="FU129" s="299">
        <f t="shared" ca="1" si="340"/>
        <v>24.156000000000002</v>
      </c>
      <c r="FV129" s="299">
        <f t="shared" ca="1" si="341"/>
        <v>24.156000000000002</v>
      </c>
      <c r="FW129" s="850">
        <f t="shared" ca="1" si="342"/>
        <v>0.16500000000000001</v>
      </c>
      <c r="FX129" s="851">
        <f t="shared" ca="1" si="343"/>
        <v>0.5</v>
      </c>
      <c r="FY129" s="851">
        <f t="shared" ca="1" si="344"/>
        <v>0</v>
      </c>
      <c r="FZ129" s="201">
        <f t="shared" ca="1" si="345"/>
        <v>0</v>
      </c>
      <c r="GA129" s="201">
        <f t="shared" ca="1" si="346"/>
        <v>0</v>
      </c>
      <c r="GB129" s="201">
        <f t="shared" ca="1" si="347"/>
        <v>0</v>
      </c>
      <c r="GC129" s="201">
        <f t="shared" ca="1" si="348"/>
        <v>0</v>
      </c>
      <c r="GD129" s="850">
        <f t="shared" ca="1" si="349"/>
        <v>0.41220639772354373</v>
      </c>
      <c r="GE129" s="866">
        <f t="shared" ca="1" si="350"/>
        <v>0.41220639772354373</v>
      </c>
      <c r="GF129" s="866">
        <f t="shared" ca="1" si="351"/>
        <v>0.41220639772354373</v>
      </c>
      <c r="GG129" s="866">
        <f t="shared" ca="1" si="352"/>
        <v>0.16007459718342695</v>
      </c>
      <c r="GH129" s="866">
        <f t="shared" ca="1" si="353"/>
        <v>0.37668065248593258</v>
      </c>
      <c r="GI129" s="302">
        <f t="shared" ca="1" si="354"/>
        <v>54.211491730659226</v>
      </c>
      <c r="GJ129" s="299">
        <f t="shared" ca="1" si="355"/>
        <v>28.125826470391505</v>
      </c>
      <c r="GK129" s="299">
        <f t="shared" ca="1" si="356"/>
        <v>18.21304940972059</v>
      </c>
      <c r="GL129" s="299">
        <f t="shared" ca="1" si="357"/>
        <v>6.6511050593036156</v>
      </c>
      <c r="GM129" s="299">
        <f t="shared" ca="1" si="358"/>
        <v>31.752962617005632</v>
      </c>
      <c r="GN129" s="302">
        <f t="shared" ca="1" si="359"/>
        <v>0.94281159444401252</v>
      </c>
      <c r="GO129" s="299">
        <f t="shared" ca="1" si="360"/>
        <v>0.87384161356467915</v>
      </c>
      <c r="GP129" s="299">
        <f t="shared" ca="1" si="361"/>
        <v>0.81083636410766424</v>
      </c>
      <c r="GQ129" s="299">
        <f t="shared" ca="1" si="362"/>
        <v>0.68437193183864065</v>
      </c>
      <c r="GR129" s="299">
        <f t="shared" ca="1" si="363"/>
        <v>0.89594935206180815</v>
      </c>
      <c r="GS129" s="302">
        <f t="shared" ca="1" si="364"/>
        <v>-0.68303483176592061</v>
      </c>
      <c r="GT129" s="299">
        <f t="shared" ca="1" si="365"/>
        <v>-0.516798605310128</v>
      </c>
      <c r="GU129" s="299">
        <f t="shared" ca="1" si="366"/>
        <v>-0.41229783588205915</v>
      </c>
      <c r="GV129" s="299">
        <f t="shared" ca="1" si="367"/>
        <v>-0.49243965873291901</v>
      </c>
      <c r="GW129" s="299">
        <f t="shared" ca="1" si="368"/>
        <v>-0.60074133282269104</v>
      </c>
      <c r="GX129" s="303">
        <f t="shared" ca="1" si="369"/>
        <v>9090.4471172745089</v>
      </c>
      <c r="GY129" s="303">
        <f t="shared" ca="1" si="370"/>
        <v>1122.9227727521529</v>
      </c>
      <c r="GZ129" s="303">
        <f t="shared" ca="1" si="371"/>
        <v>727.15544785734153</v>
      </c>
      <c r="HA129" s="303">
        <f t="shared" ca="1" si="372"/>
        <v>823.19002298675889</v>
      </c>
      <c r="HB129" s="303">
        <f t="shared" ca="1" si="373"/>
        <v>11789.945487341622</v>
      </c>
      <c r="HC129" s="303">
        <f t="shared" ca="1" si="374"/>
        <v>8525.7696933897787</v>
      </c>
      <c r="HD129" s="303">
        <f t="shared" ca="1" si="375"/>
        <v>890.98555224457755</v>
      </c>
      <c r="HE129" s="303">
        <f t="shared" ca="1" si="376"/>
        <v>422.76553883969535</v>
      </c>
      <c r="HF129" s="303">
        <f t="shared" ca="1" si="377"/>
        <v>364.37103340948903</v>
      </c>
      <c r="HG129" s="852">
        <f t="shared" ca="1" si="378"/>
        <v>10203.891817883539</v>
      </c>
    </row>
    <row r="130" spans="1:215" x14ac:dyDescent="0.25">
      <c r="A130" s="244">
        <f t="shared" ca="1" si="379"/>
        <v>40057</v>
      </c>
      <c r="B130" s="13">
        <f t="shared" ca="1" si="412"/>
        <v>2009</v>
      </c>
      <c r="C130" s="619">
        <f t="shared" ca="1" si="413"/>
        <v>9</v>
      </c>
      <c r="D130" s="195">
        <f t="shared" ca="1" si="209"/>
        <v>40063</v>
      </c>
      <c r="E130" s="469">
        <f t="shared" ca="1" si="210"/>
        <v>40057</v>
      </c>
      <c r="F130" s="465">
        <f t="shared" ca="1" si="211"/>
        <v>40086</v>
      </c>
      <c r="G130" s="522">
        <f t="shared" ca="1" si="380"/>
        <v>1</v>
      </c>
      <c r="H130" s="519">
        <f t="shared" ca="1" si="381"/>
        <v>1</v>
      </c>
      <c r="I130" s="724">
        <f t="shared" ca="1" si="414"/>
        <v>7.4114430907076992E-2</v>
      </c>
      <c r="J130" s="198">
        <f t="shared" ca="1" si="213"/>
        <v>0.49601811076526392</v>
      </c>
      <c r="K130" s="200">
        <f t="shared" ca="1" si="389"/>
        <v>31.65</v>
      </c>
      <c r="L130" s="201">
        <f t="shared" ca="1" si="390"/>
        <v>33.15</v>
      </c>
      <c r="M130" s="206">
        <f t="shared" ca="1" si="391"/>
        <v>34.65</v>
      </c>
      <c r="N130" s="851">
        <f t="shared" ca="1" si="395"/>
        <v>22.979999160766596</v>
      </c>
      <c r="O130" s="201">
        <f t="shared" ca="1" si="396"/>
        <v>24.104999160766596</v>
      </c>
      <c r="P130" s="206">
        <f t="shared" ca="1" si="397"/>
        <v>25.229999160766596</v>
      </c>
      <c r="Q130" s="201">
        <f t="shared" ca="1" si="398"/>
        <v>21.3</v>
      </c>
      <c r="R130" s="201">
        <f t="shared" ca="1" si="399"/>
        <v>24.6</v>
      </c>
      <c r="S130" s="201">
        <f t="shared" ca="1" si="400"/>
        <v>27.9</v>
      </c>
      <c r="T130" s="851">
        <f t="shared" ca="1" si="392"/>
        <v>19.399998092651366</v>
      </c>
      <c r="U130" s="201">
        <f t="shared" ca="1" si="393"/>
        <v>20.149998092651366</v>
      </c>
      <c r="V130" s="206">
        <f t="shared" ca="1" si="394"/>
        <v>20.899998092651366</v>
      </c>
      <c r="W130" s="230">
        <f t="shared" ca="1" si="382"/>
        <v>8.7621253462502879E-2</v>
      </c>
      <c r="X130" s="231">
        <f t="shared" ca="1" si="383"/>
        <v>0.17524250692500576</v>
      </c>
      <c r="Y130" s="232">
        <f t="shared" ca="1" si="384"/>
        <v>0.26286376038750864</v>
      </c>
      <c r="Z130" s="231">
        <f t="shared" ca="1" si="404"/>
        <v>8.7621253462502879E-2</v>
      </c>
      <c r="AA130" s="231">
        <f t="shared" ca="1" si="405"/>
        <v>0.17524250692500576</v>
      </c>
      <c r="AB130" s="232">
        <f t="shared" ca="1" si="406"/>
        <v>0.26286376038750864</v>
      </c>
      <c r="AC130" s="231">
        <f t="shared" ca="1" si="407"/>
        <v>8.7621253462502879E-2</v>
      </c>
      <c r="AD130" s="231">
        <f t="shared" ca="1" si="408"/>
        <v>0.17524250692500576</v>
      </c>
      <c r="AE130" s="232">
        <f t="shared" ca="1" si="214"/>
        <v>0.26286376038750864</v>
      </c>
      <c r="AF130" s="231">
        <f t="shared" ca="1" si="385"/>
        <v>3.3349910485205983E-2</v>
      </c>
      <c r="AG130" s="231">
        <f t="shared" ca="1" si="386"/>
        <v>6.6699820970411966E-2</v>
      </c>
      <c r="AH130" s="232">
        <f t="shared" ca="1" si="387"/>
        <v>0.10004973145561795</v>
      </c>
      <c r="AI130" s="233">
        <f t="shared" ca="1" si="215"/>
        <v>1.1499999999999999</v>
      </c>
      <c r="AJ130" s="233">
        <f t="shared" ca="1" si="216"/>
        <v>1.5</v>
      </c>
      <c r="AK130" s="234">
        <f t="shared" ca="1" si="217"/>
        <v>1.8</v>
      </c>
      <c r="AL130" s="919">
        <f t="shared" ca="1" si="218"/>
        <v>1.1499999999999999</v>
      </c>
      <c r="AM130" s="233">
        <f t="shared" ca="1" si="219"/>
        <v>1.5</v>
      </c>
      <c r="AN130" s="234">
        <f t="shared" ca="1" si="220"/>
        <v>1.8</v>
      </c>
      <c r="AO130" s="233">
        <f t="shared" ca="1" si="221"/>
        <v>1.1499999999999999</v>
      </c>
      <c r="AP130" s="233">
        <f t="shared" ca="1" si="222"/>
        <v>1.5</v>
      </c>
      <c r="AQ130" s="233">
        <f t="shared" ca="1" si="223"/>
        <v>1.8</v>
      </c>
      <c r="AR130" s="919">
        <f t="shared" ca="1" si="224"/>
        <v>0.25</v>
      </c>
      <c r="AS130" s="233">
        <f t="shared" ca="1" si="225"/>
        <v>0.4</v>
      </c>
      <c r="AT130" s="235">
        <f t="shared" ca="1" si="226"/>
        <v>0.60000000000000009</v>
      </c>
      <c r="AU130" s="946">
        <f t="shared" si="227"/>
        <v>0.5</v>
      </c>
      <c r="AV130" s="13">
        <f t="shared" ca="1" si="228"/>
        <v>21</v>
      </c>
      <c r="AW130" s="210">
        <f t="shared" ca="1" si="229"/>
        <v>4</v>
      </c>
      <c r="AX130" s="210">
        <f t="shared" ca="1" si="230"/>
        <v>4</v>
      </c>
      <c r="AY130" s="210">
        <f t="shared" ca="1" si="231"/>
        <v>1</v>
      </c>
      <c r="AZ130" s="13">
        <f t="shared" ca="1" si="232"/>
        <v>30</v>
      </c>
      <c r="BA130" s="357">
        <f ca="1"/>
        <v>336</v>
      </c>
      <c r="BB130" s="925">
        <f ca="1"/>
        <v>64</v>
      </c>
      <c r="BC130" s="925">
        <f ca="1"/>
        <v>80</v>
      </c>
      <c r="BD130" s="928">
        <f ca="1"/>
        <v>240</v>
      </c>
      <c r="BE130" s="200">
        <f ca="1"/>
        <v>1.0000000074505806</v>
      </c>
      <c r="BF130" s="851">
        <f ca="1"/>
        <v>1.0000000074505806</v>
      </c>
      <c r="BG130" s="851">
        <f ca="1"/>
        <v>1.0000000074505806</v>
      </c>
      <c r="BH130" s="933">
        <f ca="1"/>
        <v>1.0000000149011612</v>
      </c>
      <c r="BI130" s="357">
        <f ca="1"/>
        <v>336</v>
      </c>
      <c r="BJ130" s="925">
        <f ca="1"/>
        <v>64</v>
      </c>
      <c r="BK130" s="925">
        <f ca="1"/>
        <v>80</v>
      </c>
      <c r="BL130" s="928">
        <f ca="1"/>
        <v>240</v>
      </c>
      <c r="BM130" s="200">
        <f ca="1"/>
        <v>1.0000000074505806</v>
      </c>
      <c r="BN130" s="851">
        <f ca="1"/>
        <v>1.0000000074505806</v>
      </c>
      <c r="BO130" s="851">
        <f ca="1"/>
        <v>1.0000000074505806</v>
      </c>
      <c r="BP130" s="933">
        <f ca="1"/>
        <v>1.0000000149011612</v>
      </c>
      <c r="BQ130" s="357">
        <f t="shared" ca="1" si="233"/>
        <v>720</v>
      </c>
      <c r="BR130" s="361">
        <f t="shared" ca="1" si="234"/>
        <v>720</v>
      </c>
      <c r="BS130" s="357">
        <f t="shared" ca="1" si="235"/>
        <v>357.13303975099001</v>
      </c>
      <c r="BT130" s="302">
        <f t="shared" ca="1" si="236"/>
        <v>25.645999528876594</v>
      </c>
      <c r="BU130" s="299">
        <f t="shared" ca="1" si="237"/>
        <v>27.062666207960895</v>
      </c>
      <c r="BV130" s="299">
        <f t="shared" ca="1" si="238"/>
        <v>28.479332887045196</v>
      </c>
      <c r="BW130" s="299">
        <f t="shared" ca="1" si="239"/>
        <v>32.659889647739881</v>
      </c>
      <c r="BX130" s="380">
        <f t="shared" ca="1" si="240"/>
        <v>9.500342231348391</v>
      </c>
      <c r="BY130" s="363">
        <f t="shared" ca="1" si="241"/>
        <v>166.66208521712866</v>
      </c>
      <c r="BZ130" s="353">
        <f t="shared" ca="1" si="242"/>
        <v>31.745159088976891</v>
      </c>
      <c r="CA130" s="353">
        <f t="shared" ca="1" si="243"/>
        <v>39.681448861221114</v>
      </c>
      <c r="CB130" s="353">
        <f t="shared" ca="1" si="244"/>
        <v>238.08869316732665</v>
      </c>
      <c r="CC130" s="353">
        <f t="shared" ca="1" si="245"/>
        <v>119.04434658366334</v>
      </c>
      <c r="CD130" s="353">
        <f t="shared" ca="1" si="246"/>
        <v>357.13303975099001</v>
      </c>
      <c r="CE130" s="302">
        <f t="shared" ca="1" si="247"/>
        <v>34.650000258162613</v>
      </c>
      <c r="CF130" s="299">
        <f t="shared" ca="1" si="248"/>
        <v>25.229999348744737</v>
      </c>
      <c r="CG130" s="299">
        <f t="shared" ca="1" si="249"/>
        <v>27.900000207871198</v>
      </c>
      <c r="CH130" s="299">
        <f t="shared" ca="1" si="250"/>
        <v>32.269000128525001</v>
      </c>
      <c r="CI130" s="299">
        <f t="shared" ca="1" si="251"/>
        <v>20.899998404085608</v>
      </c>
      <c r="CJ130" s="299">
        <f t="shared" ca="1" si="252"/>
        <v>28.479332887045203</v>
      </c>
      <c r="CK130" s="299">
        <f t="shared" ca="1" si="253"/>
        <v>32.659889647739881</v>
      </c>
      <c r="CL130" s="377">
        <f t="shared" ca="1" si="254"/>
        <v>0.26286376038750864</v>
      </c>
      <c r="CM130" s="305">
        <f t="shared" ca="1" si="255"/>
        <v>0.26286376038750864</v>
      </c>
      <c r="CN130" s="305">
        <f t="shared" ca="1" si="256"/>
        <v>0.26286376038750864</v>
      </c>
      <c r="CO130" s="305">
        <f t="shared" ca="1" si="257"/>
        <v>0.26286376038750864</v>
      </c>
      <c r="CP130" s="305">
        <f t="shared" ca="1" si="258"/>
        <v>0.10004973145561795</v>
      </c>
      <c r="CQ130" s="305">
        <f t="shared" ca="1" si="259"/>
        <v>0.22012650355906091</v>
      </c>
      <c r="CR130" s="775">
        <f t="shared" ca="1" si="260"/>
        <v>0.26536376038750864</v>
      </c>
      <c r="CS130" s="305">
        <f t="shared" ca="1" si="261"/>
        <v>0.29786376038750861</v>
      </c>
      <c r="CT130" s="305">
        <f t="shared" ca="1" si="262"/>
        <v>0.27786376038750865</v>
      </c>
      <c r="CU130" s="305">
        <f t="shared" ca="1" si="263"/>
        <v>0.16004973145561796</v>
      </c>
      <c r="CV130" s="770">
        <f t="shared" ca="1" si="264"/>
        <v>0.2351265035590609</v>
      </c>
      <c r="CW130" s="302">
        <f t="shared" ca="1" si="265"/>
        <v>11.704577007981376</v>
      </c>
      <c r="CX130" s="299">
        <f t="shared" ca="1" si="266"/>
        <v>6.8978026742873597</v>
      </c>
      <c r="CY130" s="299">
        <f t="shared" ca="1" si="267"/>
        <v>7.8170307399998791</v>
      </c>
      <c r="CZ130" s="299">
        <f t="shared" ca="1" si="268"/>
        <v>1.2591243254773783</v>
      </c>
      <c r="DA130" s="774">
        <f t="shared" ca="1" si="269"/>
        <v>6.7054961771571229</v>
      </c>
      <c r="DB130" s="303">
        <f t="shared" ca="1" si="270"/>
        <v>2394.7542327867664</v>
      </c>
      <c r="DC130" s="248">
        <f t="shared" ca="1" si="271"/>
        <v>203.14365744640841</v>
      </c>
      <c r="DD130" s="778">
        <f t="shared" ca="1" si="272"/>
        <v>0</v>
      </c>
      <c r="DE130" s="363">
        <f t="shared" ca="1" si="273"/>
        <v>0.49601811076526392</v>
      </c>
      <c r="DF130" s="378">
        <f t="shared" ca="1" si="274"/>
        <v>-0.33664283859162974</v>
      </c>
      <c r="DG130" s="508">
        <f t="shared" ca="1" si="275"/>
        <v>-0.74018817507864254</v>
      </c>
      <c r="DH130" s="508">
        <f t="shared" ca="1" si="276"/>
        <v>-0.61214791585658246</v>
      </c>
      <c r="DI130" s="508">
        <f t="shared" ca="1" si="277"/>
        <v>-1.1515528231146321</v>
      </c>
      <c r="DJ130" s="508">
        <f t="shared" ca="1" si="278"/>
        <v>-0.55135619893851262</v>
      </c>
      <c r="DK130" s="353">
        <f t="shared" ca="1" si="279"/>
        <v>-103.81669179654159</v>
      </c>
      <c r="DL130" s="781">
        <f t="shared" ca="1" si="280"/>
        <v>5.1706241655882694</v>
      </c>
      <c r="DM130" s="303">
        <f t="shared" ca="1" si="281"/>
        <v>8828.5835403920428</v>
      </c>
      <c r="DN130" s="508">
        <f t="shared" ca="1" si="282"/>
        <v>1.5601695215993698</v>
      </c>
      <c r="DO130" s="508">
        <f t="shared" ca="1" si="283"/>
        <v>1.4572270486785361</v>
      </c>
      <c r="DP130" s="508">
        <f t="shared" ca="1" si="284"/>
        <v>1.4898663904426763</v>
      </c>
      <c r="DQ130" s="508">
        <f t="shared" ca="1" si="285"/>
        <v>1.3961344313355526</v>
      </c>
      <c r="DR130" s="508">
        <f t="shared" ca="1" si="286"/>
        <v>1.4965348754799224</v>
      </c>
      <c r="DS130" s="353">
        <f t="shared" ca="1" si="287"/>
        <v>4081.4374380746785</v>
      </c>
      <c r="DT130" s="353">
        <f t="shared" ca="1" si="288"/>
        <v>-9684.7316218911401</v>
      </c>
      <c r="DU130" s="380">
        <f t="shared" ca="1" si="388"/>
        <v>9.500342231348391</v>
      </c>
      <c r="DV130" s="303">
        <f t="shared" ca="1" si="289"/>
        <v>166.66208521712866</v>
      </c>
      <c r="DW130" s="303">
        <f t="shared" ca="1" si="290"/>
        <v>31.745159088976891</v>
      </c>
      <c r="DX130" s="303">
        <f t="shared" ca="1" si="291"/>
        <v>39.681448861221114</v>
      </c>
      <c r="DY130" s="303">
        <f t="shared" ca="1" si="292"/>
        <v>238.08869316732665</v>
      </c>
      <c r="DZ130" s="303">
        <f t="shared" ca="1" si="293"/>
        <v>119.04434658366334</v>
      </c>
      <c r="EA130" s="303">
        <f t="shared" ca="1" si="294"/>
        <v>357.13303975099001</v>
      </c>
      <c r="EB130" s="302">
        <f t="shared" ca="1" si="295"/>
        <v>34.650000258162613</v>
      </c>
      <c r="EC130" s="299">
        <f t="shared" ca="1" si="296"/>
        <v>25.229999348744737</v>
      </c>
      <c r="ED130" s="299">
        <f t="shared" ca="1" si="297"/>
        <v>27.900000207871198</v>
      </c>
      <c r="EE130" s="299">
        <f t="shared" ca="1" si="298"/>
        <v>32.269000128525001</v>
      </c>
      <c r="EF130" s="299">
        <f t="shared" ca="1" si="299"/>
        <v>20.899998404085608</v>
      </c>
      <c r="EG130" s="299">
        <f t="shared" ca="1" si="300"/>
        <v>28.479332887045203</v>
      </c>
      <c r="EH130" s="302">
        <f t="shared" ca="1" si="301"/>
        <v>30</v>
      </c>
      <c r="EI130" s="304">
        <f t="shared" ca="1" si="302"/>
        <v>8.7621253462502879E-2</v>
      </c>
      <c r="EJ130" s="305">
        <f t="shared" ca="1" si="303"/>
        <v>8.7621253462502879E-2</v>
      </c>
      <c r="EK130" s="305">
        <f t="shared" ca="1" si="304"/>
        <v>8.7621253462502879E-2</v>
      </c>
      <c r="EL130" s="305">
        <f t="shared" ca="1" si="305"/>
        <v>8.7621253462502852E-2</v>
      </c>
      <c r="EM130" s="305">
        <f t="shared" ca="1" si="306"/>
        <v>3.3349910485205983E-2</v>
      </c>
      <c r="EN130" s="305">
        <f t="shared" ca="1" si="307"/>
        <v>7.0942495466934513E-2</v>
      </c>
      <c r="EO130" s="305">
        <f t="shared" ca="1" si="308"/>
        <v>8.7621253462502879E-2</v>
      </c>
      <c r="EP130" s="305">
        <f t="shared" ca="1" si="309"/>
        <v>8.7621253462502879E-2</v>
      </c>
      <c r="EQ130" s="305">
        <f t="shared" ca="1" si="310"/>
        <v>8.7621253462502879E-2</v>
      </c>
      <c r="ER130" s="305">
        <f t="shared" ca="1" si="311"/>
        <v>3.3349910485205983E-2</v>
      </c>
      <c r="ES130" s="305">
        <f t="shared" ca="1" si="312"/>
        <v>7.0942495466934513E-2</v>
      </c>
      <c r="ET130" s="299">
        <f t="shared" ca="1" si="313"/>
        <v>3.3773436744544032</v>
      </c>
      <c r="EU130" s="302">
        <f t="shared" ca="1" si="314"/>
        <v>30</v>
      </c>
      <c r="EV130" s="304">
        <f t="shared" ca="1" si="315"/>
        <v>0.26286376038750864</v>
      </c>
      <c r="EW130" s="305">
        <f t="shared" ca="1" si="316"/>
        <v>0.26286376038750864</v>
      </c>
      <c r="EX130" s="305">
        <f t="shared" ca="1" si="317"/>
        <v>0.26286376038750864</v>
      </c>
      <c r="EY130" s="305">
        <f t="shared" ca="1" si="318"/>
        <v>0.26286376038750864</v>
      </c>
      <c r="EZ130" s="305">
        <f t="shared" ca="1" si="319"/>
        <v>0.10004973145561795</v>
      </c>
      <c r="FA130" s="305">
        <f t="shared" ca="1" si="320"/>
        <v>0.22012650355906091</v>
      </c>
      <c r="FB130" s="305">
        <f t="shared" ca="1" si="321"/>
        <v>0.26286376038750864</v>
      </c>
      <c r="FC130" s="305">
        <f t="shared" ca="1" si="322"/>
        <v>0.26286376038750864</v>
      </c>
      <c r="FD130" s="305">
        <f t="shared" ca="1" si="323"/>
        <v>0.26286376038750864</v>
      </c>
      <c r="FE130" s="305">
        <f t="shared" ca="1" si="324"/>
        <v>0.10004973145561795</v>
      </c>
      <c r="FF130" s="305">
        <f t="shared" ca="1" si="325"/>
        <v>0.22012650355906091</v>
      </c>
      <c r="FG130" s="299">
        <f t="shared" ca="1" si="326"/>
        <v>7.0269004720864086</v>
      </c>
      <c r="FH130" s="302">
        <f t="shared" ca="1" si="327"/>
        <v>-3.6495567976320054</v>
      </c>
      <c r="FI130" s="248">
        <f t="shared" ca="1" si="328"/>
        <v>-1303.3773128822068</v>
      </c>
      <c r="FJ130" s="363">
        <f t="shared" ca="1" si="329"/>
        <v>0.49601811076526392</v>
      </c>
      <c r="FK130" s="378">
        <f t="shared" ca="1" si="330"/>
        <v>0.39852745133147344</v>
      </c>
      <c r="FL130" s="508">
        <f t="shared" ca="1" si="331"/>
        <v>-0.77621240465096741</v>
      </c>
      <c r="FM130" s="508">
        <f t="shared" ca="1" si="332"/>
        <v>-0.40374480643371002</v>
      </c>
      <c r="FN130" s="508">
        <f t="shared" ca="1" si="333"/>
        <v>-3.5676639362888292</v>
      </c>
      <c r="FO130" s="508">
        <f t="shared" ca="1" si="334"/>
        <v>-0.34722574162020042</v>
      </c>
      <c r="FP130" s="353">
        <f t="shared" ca="1" si="335"/>
        <v>227.06128373241279</v>
      </c>
      <c r="FQ130" s="356">
        <f t="shared" ca="1" si="336"/>
        <v>20.448545685180886</v>
      </c>
      <c r="FR130" s="380">
        <f t="shared" ca="1" si="337"/>
        <v>24.212</v>
      </c>
      <c r="FS130" s="299">
        <f t="shared" ca="1" si="338"/>
        <v>24.212</v>
      </c>
      <c r="FT130" s="299">
        <f t="shared" ca="1" si="339"/>
        <v>24.212</v>
      </c>
      <c r="FU130" s="299">
        <f t="shared" ca="1" si="340"/>
        <v>24.212</v>
      </c>
      <c r="FV130" s="299">
        <f t="shared" ca="1" si="341"/>
        <v>24.211999999999996</v>
      </c>
      <c r="FW130" s="850">
        <f t="shared" ca="1" si="342"/>
        <v>0.16500000000000001</v>
      </c>
      <c r="FX130" s="851">
        <f t="shared" ca="1" si="343"/>
        <v>0.5</v>
      </c>
      <c r="FY130" s="851">
        <f t="shared" ca="1" si="344"/>
        <v>0</v>
      </c>
      <c r="FZ130" s="201">
        <f t="shared" ca="1" si="345"/>
        <v>0</v>
      </c>
      <c r="GA130" s="201">
        <f t="shared" ca="1" si="346"/>
        <v>0</v>
      </c>
      <c r="GB130" s="201">
        <f t="shared" ca="1" si="347"/>
        <v>0</v>
      </c>
      <c r="GC130" s="201">
        <f t="shared" ca="1" si="348"/>
        <v>0</v>
      </c>
      <c r="GD130" s="850">
        <f t="shared" ca="1" si="349"/>
        <v>0.27786376038750865</v>
      </c>
      <c r="GE130" s="866">
        <f t="shared" ca="1" si="350"/>
        <v>0.26286376038750864</v>
      </c>
      <c r="GF130" s="866">
        <f t="shared" ca="1" si="351"/>
        <v>0.27536376038750865</v>
      </c>
      <c r="GG130" s="866">
        <f t="shared" ca="1" si="352"/>
        <v>0.11004973145561794</v>
      </c>
      <c r="GH130" s="866">
        <f t="shared" ca="1" si="353"/>
        <v>0.2351265035590609</v>
      </c>
      <c r="GI130" s="302">
        <f t="shared" ca="1" si="354"/>
        <v>14.692733925345824</v>
      </c>
      <c r="GJ130" s="299">
        <f t="shared" ca="1" si="355"/>
        <v>7.3710254468474208</v>
      </c>
      <c r="GK130" s="299">
        <f t="shared" ca="1" si="356"/>
        <v>9.4938671263322956</v>
      </c>
      <c r="GL130" s="299">
        <f t="shared" ca="1" si="357"/>
        <v>2.5560074098381094</v>
      </c>
      <c r="GM130" s="299">
        <f t="shared" ca="1" si="358"/>
        <v>8.993907542654533</v>
      </c>
      <c r="GN130" s="302">
        <f t="shared" ca="1" si="359"/>
        <v>0.8033058983607041</v>
      </c>
      <c r="GO130" s="299">
        <f t="shared" ca="1" si="360"/>
        <v>0.66008526369315712</v>
      </c>
      <c r="GP130" s="299">
        <f t="shared" ca="1" si="361"/>
        <v>0.71279010400662635</v>
      </c>
      <c r="GQ130" s="299">
        <f t="shared" ca="1" si="362"/>
        <v>0.4587153388428914</v>
      </c>
      <c r="GR130" s="299">
        <f t="shared" ca="1" si="363"/>
        <v>0.7170543800869843</v>
      </c>
      <c r="GS130" s="302">
        <f t="shared" ca="1" si="364"/>
        <v>-0.54278111442743593</v>
      </c>
      <c r="GT130" s="299">
        <f t="shared" ca="1" si="365"/>
        <v>-0.38340193970494585</v>
      </c>
      <c r="GU130" s="299">
        <f t="shared" ca="1" si="366"/>
        <v>-0.4292491982386345</v>
      </c>
      <c r="GV130" s="299">
        <f t="shared" ca="1" si="367"/>
        <v>-0.29039904906295072</v>
      </c>
      <c r="GW130" s="299">
        <f t="shared" ca="1" si="368"/>
        <v>-0.47196948757603718</v>
      </c>
      <c r="GX130" s="303">
        <f t="shared" ca="1" si="369"/>
        <v>2448.7216735385828</v>
      </c>
      <c r="GY130" s="303">
        <f t="shared" ca="1" si="370"/>
        <v>233.99437545906835</v>
      </c>
      <c r="GZ130" s="303">
        <f t="shared" ca="1" si="371"/>
        <v>376.73040286878324</v>
      </c>
      <c r="HA130" s="303">
        <f t="shared" ca="1" si="372"/>
        <v>304.27823196717952</v>
      </c>
      <c r="HB130" s="303">
        <f t="shared" ca="1" si="373"/>
        <v>3212.0215399475701</v>
      </c>
      <c r="HC130" s="303">
        <f t="shared" ca="1" si="374"/>
        <v>1739.6188885223085</v>
      </c>
      <c r="HD130" s="303">
        <f t="shared" ca="1" si="375"/>
        <v>32.316551278376565</v>
      </c>
      <c r="HE130" s="303">
        <f t="shared" ca="1" si="376"/>
        <v>146.3451916488138</v>
      </c>
      <c r="HF130" s="303">
        <f t="shared" ca="1" si="377"/>
        <v>0</v>
      </c>
      <c r="HG130" s="852">
        <f t="shared" ca="1" si="378"/>
        <v>1524.0055655798228</v>
      </c>
    </row>
    <row r="131" spans="1:215" x14ac:dyDescent="0.25">
      <c r="A131" s="244">
        <f t="shared" ca="1" si="379"/>
        <v>40087</v>
      </c>
      <c r="B131" s="13">
        <f t="shared" ca="1" si="412"/>
        <v>2009</v>
      </c>
      <c r="C131" s="619">
        <f t="shared" ca="1" si="413"/>
        <v>10</v>
      </c>
      <c r="D131" s="195" t="str">
        <f t="shared" ca="1" si="209"/>
        <v/>
      </c>
      <c r="E131" s="469">
        <f t="shared" ca="1" si="210"/>
        <v>40087</v>
      </c>
      <c r="F131" s="465">
        <f t="shared" ca="1" si="211"/>
        <v>40117</v>
      </c>
      <c r="G131" s="522">
        <f t="shared" ca="1" si="380"/>
        <v>1</v>
      </c>
      <c r="H131" s="519">
        <f t="shared" ca="1" si="381"/>
        <v>1</v>
      </c>
      <c r="I131" s="724">
        <f t="shared" ca="1" si="414"/>
        <v>7.4129223285308993E-2</v>
      </c>
      <c r="J131" s="198">
        <f t="shared" ca="1" si="213"/>
        <v>0.49289551418382949</v>
      </c>
      <c r="K131" s="200">
        <f t="shared" ca="1" si="389"/>
        <v>29.55</v>
      </c>
      <c r="L131" s="201">
        <f t="shared" ca="1" si="390"/>
        <v>30.9</v>
      </c>
      <c r="M131" s="206">
        <f t="shared" ca="1" si="391"/>
        <v>32.25</v>
      </c>
      <c r="N131" s="851">
        <f t="shared" ca="1" si="395"/>
        <v>23.188000106811518</v>
      </c>
      <c r="O131" s="201">
        <f t="shared" ca="1" si="396"/>
        <v>24.200500106811518</v>
      </c>
      <c r="P131" s="206">
        <f t="shared" ca="1" si="397"/>
        <v>25.213000106811517</v>
      </c>
      <c r="Q131" s="201">
        <f t="shared" ca="1" si="398"/>
        <v>18.900999832153314</v>
      </c>
      <c r="R131" s="201">
        <f t="shared" ca="1" si="399"/>
        <v>22.200999832153315</v>
      </c>
      <c r="S131" s="201">
        <f t="shared" ca="1" si="400"/>
        <v>25.500999832153315</v>
      </c>
      <c r="T131" s="851">
        <f t="shared" ca="1" si="392"/>
        <v>19.174998855590818</v>
      </c>
      <c r="U131" s="201">
        <f t="shared" ca="1" si="393"/>
        <v>19.849998855590819</v>
      </c>
      <c r="V131" s="206">
        <f t="shared" ca="1" si="394"/>
        <v>20.52499885559082</v>
      </c>
      <c r="W131" s="230">
        <f t="shared" ca="1" si="382"/>
        <v>7.9709964819380835E-2</v>
      </c>
      <c r="X131" s="231">
        <f t="shared" ca="1" si="383"/>
        <v>0.15941992963876167</v>
      </c>
      <c r="Y131" s="232">
        <f t="shared" ca="1" si="384"/>
        <v>0.23912989445814251</v>
      </c>
      <c r="Z131" s="231">
        <f t="shared" ca="1" si="404"/>
        <v>7.9709964819380835E-2</v>
      </c>
      <c r="AA131" s="231">
        <f t="shared" ca="1" si="405"/>
        <v>0.15941992963876167</v>
      </c>
      <c r="AB131" s="232">
        <f t="shared" ca="1" si="406"/>
        <v>0.23912989445814251</v>
      </c>
      <c r="AC131" s="231">
        <f t="shared" ca="1" si="407"/>
        <v>7.9709964819380835E-2</v>
      </c>
      <c r="AD131" s="231">
        <f t="shared" ca="1" si="408"/>
        <v>0.15941992963876167</v>
      </c>
      <c r="AE131" s="232">
        <f t="shared" ca="1" si="214"/>
        <v>0.23912989445814251</v>
      </c>
      <c r="AF131" s="231">
        <f t="shared" ca="1" si="385"/>
        <v>2.5012432863904491E-2</v>
      </c>
      <c r="AG131" s="231">
        <f t="shared" ca="1" si="386"/>
        <v>5.0024865727808981E-2</v>
      </c>
      <c r="AH131" s="232">
        <f t="shared" ca="1" si="387"/>
        <v>7.5037298591713472E-2</v>
      </c>
      <c r="AI131" s="233">
        <f t="shared" ca="1" si="215"/>
        <v>0.85000000000000009</v>
      </c>
      <c r="AJ131" s="233">
        <f t="shared" ca="1" si="216"/>
        <v>1.1000000000000001</v>
      </c>
      <c r="AK131" s="234">
        <f t="shared" ca="1" si="217"/>
        <v>1.4000000000000001</v>
      </c>
      <c r="AL131" s="919">
        <f t="shared" ca="1" si="218"/>
        <v>0.85000000000000009</v>
      </c>
      <c r="AM131" s="233">
        <f t="shared" ca="1" si="219"/>
        <v>1.1000000000000001</v>
      </c>
      <c r="AN131" s="234">
        <f t="shared" ca="1" si="220"/>
        <v>1.4000000000000001</v>
      </c>
      <c r="AO131" s="233">
        <f t="shared" ca="1" si="221"/>
        <v>0.85000000000000009</v>
      </c>
      <c r="AP131" s="233">
        <f t="shared" ca="1" si="222"/>
        <v>1.1000000000000001</v>
      </c>
      <c r="AQ131" s="233">
        <f t="shared" ca="1" si="223"/>
        <v>1.4000000000000001</v>
      </c>
      <c r="AR131" s="919">
        <f t="shared" ca="1" si="224"/>
        <v>0.19999999999999998</v>
      </c>
      <c r="AS131" s="233">
        <f t="shared" ca="1" si="225"/>
        <v>0.35</v>
      </c>
      <c r="AT131" s="235">
        <f t="shared" ca="1" si="226"/>
        <v>0.55000000000000004</v>
      </c>
      <c r="AU131" s="946">
        <f t="shared" si="227"/>
        <v>0.5</v>
      </c>
      <c r="AV131" s="13">
        <f t="shared" ca="1" si="228"/>
        <v>22</v>
      </c>
      <c r="AW131" s="210">
        <f t="shared" ca="1" si="229"/>
        <v>5</v>
      </c>
      <c r="AX131" s="210">
        <f t="shared" ca="1" si="230"/>
        <v>4</v>
      </c>
      <c r="AY131" s="210">
        <f t="shared" ca="1" si="231"/>
        <v>0</v>
      </c>
      <c r="AZ131" s="13">
        <f t="shared" ca="1" si="232"/>
        <v>31</v>
      </c>
      <c r="BA131" s="357">
        <f ca="1"/>
        <v>352</v>
      </c>
      <c r="BB131" s="925">
        <f ca="1"/>
        <v>80</v>
      </c>
      <c r="BC131" s="925">
        <f ca="1"/>
        <v>64</v>
      </c>
      <c r="BD131" s="928">
        <f ca="1"/>
        <v>248</v>
      </c>
      <c r="BE131" s="200">
        <f ca="1"/>
        <v>1.0000187270343304</v>
      </c>
      <c r="BF131" s="851">
        <f ca="1"/>
        <v>1.0000187270343304</v>
      </c>
      <c r="BG131" s="851">
        <f ca="1"/>
        <v>1.0000187270343304</v>
      </c>
      <c r="BH131" s="933">
        <f ca="1"/>
        <v>1.0000000074505806</v>
      </c>
      <c r="BI131" s="357">
        <f ca="1"/>
        <v>352</v>
      </c>
      <c r="BJ131" s="925">
        <f ca="1"/>
        <v>80</v>
      </c>
      <c r="BK131" s="925">
        <f ca="1"/>
        <v>64</v>
      </c>
      <c r="BL131" s="928">
        <f ca="1"/>
        <v>248</v>
      </c>
      <c r="BM131" s="200">
        <f ca="1"/>
        <v>1.0000187270343304</v>
      </c>
      <c r="BN131" s="851">
        <f ca="1"/>
        <v>1.0000187270343304</v>
      </c>
      <c r="BO131" s="851">
        <f ca="1"/>
        <v>1.0000187270343304</v>
      </c>
      <c r="BP131" s="933">
        <f ca="1"/>
        <v>1.0000000074505806</v>
      </c>
      <c r="BQ131" s="357">
        <f t="shared" ca="1" si="233"/>
        <v>744</v>
      </c>
      <c r="BR131" s="361">
        <f t="shared" ca="1" si="234"/>
        <v>744</v>
      </c>
      <c r="BS131" s="357">
        <f t="shared" ca="1" si="235"/>
        <v>366.71426255276913</v>
      </c>
      <c r="BT131" s="302">
        <f t="shared" ca="1" si="236"/>
        <v>24.491876254512121</v>
      </c>
      <c r="BU131" s="299">
        <f t="shared" ca="1" si="237"/>
        <v>25.748347185121489</v>
      </c>
      <c r="BV131" s="299">
        <f t="shared" ca="1" si="238"/>
        <v>27.004818115730863</v>
      </c>
      <c r="BW131" s="299">
        <f t="shared" ca="1" si="239"/>
        <v>32.659889647739881</v>
      </c>
      <c r="BX131" s="380">
        <f t="shared" ca="1" si="240"/>
        <v>9.5824777549623548</v>
      </c>
      <c r="BY131" s="363">
        <f t="shared" ca="1" si="241"/>
        <v>173.49922099270799</v>
      </c>
      <c r="BZ131" s="353">
        <f t="shared" ca="1" si="242"/>
        <v>39.431641134706361</v>
      </c>
      <c r="CA131" s="353">
        <f t="shared" ca="1" si="243"/>
        <v>31.545312907765087</v>
      </c>
      <c r="CB131" s="353">
        <f t="shared" ca="1" si="244"/>
        <v>244.47617503517944</v>
      </c>
      <c r="CC131" s="353">
        <f t="shared" ca="1" si="245"/>
        <v>122.23808751758972</v>
      </c>
      <c r="CD131" s="353">
        <f t="shared" ca="1" si="246"/>
        <v>366.71426255276913</v>
      </c>
      <c r="CE131" s="302">
        <f t="shared" ca="1" si="247"/>
        <v>32.250603946857154</v>
      </c>
      <c r="CF131" s="299">
        <f t="shared" ca="1" si="248"/>
        <v>25.21347227153009</v>
      </c>
      <c r="CG131" s="299">
        <f t="shared" ca="1" si="249"/>
        <v>25.501477390252631</v>
      </c>
      <c r="CH131" s="299">
        <f t="shared" ca="1" si="250"/>
        <v>30.244727669339301</v>
      </c>
      <c r="CI131" s="299">
        <f t="shared" ca="1" si="251"/>
        <v>20.524999008513976</v>
      </c>
      <c r="CJ131" s="299">
        <f t="shared" ca="1" si="252"/>
        <v>27.004818115730863</v>
      </c>
      <c r="CK131" s="299">
        <f t="shared" ca="1" si="253"/>
        <v>32.659889647739881</v>
      </c>
      <c r="CL131" s="377">
        <f t="shared" ca="1" si="254"/>
        <v>0.23912989445814251</v>
      </c>
      <c r="CM131" s="305">
        <f t="shared" ca="1" si="255"/>
        <v>0.23912989445814251</v>
      </c>
      <c r="CN131" s="305">
        <f t="shared" ca="1" si="256"/>
        <v>0.23912989445814251</v>
      </c>
      <c r="CO131" s="305">
        <f t="shared" ca="1" si="257"/>
        <v>0.23912989445814253</v>
      </c>
      <c r="CP131" s="305">
        <f t="shared" ca="1" si="258"/>
        <v>7.5037298591713472E-2</v>
      </c>
      <c r="CQ131" s="305">
        <f t="shared" ca="1" si="259"/>
        <v>0.19587326058062493</v>
      </c>
      <c r="CR131" s="775">
        <f t="shared" ca="1" si="260"/>
        <v>0.23912989445814251</v>
      </c>
      <c r="CS131" s="305">
        <f t="shared" ca="1" si="261"/>
        <v>0.27412989445814251</v>
      </c>
      <c r="CT131" s="305">
        <f t="shared" ca="1" si="262"/>
        <v>0.27412989445814251</v>
      </c>
      <c r="CU131" s="305">
        <f t="shared" ca="1" si="263"/>
        <v>0.13503729859171348</v>
      </c>
      <c r="CV131" s="770">
        <f t="shared" ca="1" si="264"/>
        <v>0.21337326058062495</v>
      </c>
      <c r="CW131" s="302">
        <f t="shared" ca="1" si="265"/>
        <v>9.1667107594593169</v>
      </c>
      <c r="CX131" s="299">
        <f t="shared" ca="1" si="266"/>
        <v>6.1969689096347569</v>
      </c>
      <c r="CY131" s="299">
        <f t="shared" ca="1" si="267"/>
        <v>6.3554165147330171</v>
      </c>
      <c r="CZ131" s="299">
        <f t="shared" ca="1" si="268"/>
        <v>0.71599853896527232</v>
      </c>
      <c r="DA131" s="774">
        <f t="shared" ca="1" si="269"/>
        <v>5.1979964370472391</v>
      </c>
      <c r="DB131" s="303">
        <f t="shared" ca="1" si="270"/>
        <v>1906.1794301636996</v>
      </c>
      <c r="DC131" s="248">
        <f t="shared" ca="1" si="271"/>
        <v>189.55793040260667</v>
      </c>
      <c r="DD131" s="778">
        <f t="shared" ca="1" si="272"/>
        <v>0</v>
      </c>
      <c r="DE131" s="363">
        <f t="shared" ca="1" si="273"/>
        <v>0.49289551418382949</v>
      </c>
      <c r="DF131" s="378">
        <f t="shared" ca="1" si="274"/>
        <v>-0.38715647299430284</v>
      </c>
      <c r="DG131" s="508">
        <f t="shared" ca="1" si="275"/>
        <v>-0.72923453093566115</v>
      </c>
      <c r="DH131" s="508">
        <f t="shared" ca="1" si="276"/>
        <v>-0.7158499874379104</v>
      </c>
      <c r="DI131" s="508">
        <f t="shared" ca="1" si="277"/>
        <v>-1.3202198249297141</v>
      </c>
      <c r="DJ131" s="508">
        <f t="shared" ca="1" si="278"/>
        <v>-0.6181119258298714</v>
      </c>
      <c r="DK131" s="353">
        <f t="shared" ca="1" si="279"/>
        <v>-98.371365662571577</v>
      </c>
      <c r="DL131" s="781">
        <f t="shared" ca="1" si="280"/>
        <v>5.6024842982375951</v>
      </c>
      <c r="DM131" s="303">
        <f t="shared" ca="1" si="281"/>
        <v>8579.1831725487154</v>
      </c>
      <c r="DN131" s="508">
        <f t="shared" ca="1" si="282"/>
        <v>1.5435498048433085</v>
      </c>
      <c r="DO131" s="508">
        <f t="shared" ca="1" si="283"/>
        <v>1.4640219965997523</v>
      </c>
      <c r="DP131" s="508">
        <f t="shared" ca="1" si="284"/>
        <v>1.4676914670432055</v>
      </c>
      <c r="DQ131" s="508">
        <f t="shared" ca="1" si="285"/>
        <v>1.3975540282892476</v>
      </c>
      <c r="DR131" s="508">
        <f t="shared" ca="1" si="286"/>
        <v>1.4861969011627303</v>
      </c>
      <c r="DS131" s="353">
        <f t="shared" ca="1" si="287"/>
        <v>4053.1013825272785</v>
      </c>
      <c r="DT131" s="353">
        <f t="shared" ca="1" si="288"/>
        <v>-9693.4223928869087</v>
      </c>
      <c r="DU131" s="380">
        <f t="shared" ca="1" si="388"/>
        <v>9.5824777549623548</v>
      </c>
      <c r="DV131" s="303">
        <f t="shared" ca="1" si="289"/>
        <v>173.49922099270799</v>
      </c>
      <c r="DW131" s="303">
        <f t="shared" ca="1" si="290"/>
        <v>39.431641134706361</v>
      </c>
      <c r="DX131" s="303">
        <f t="shared" ca="1" si="291"/>
        <v>31.545312907765087</v>
      </c>
      <c r="DY131" s="303">
        <f t="shared" ca="1" si="292"/>
        <v>244.47617503517944</v>
      </c>
      <c r="DZ131" s="303">
        <f t="shared" ca="1" si="293"/>
        <v>122.23808751758972</v>
      </c>
      <c r="EA131" s="303">
        <f t="shared" ca="1" si="294"/>
        <v>366.71426255276913</v>
      </c>
      <c r="EB131" s="302">
        <f t="shared" ca="1" si="295"/>
        <v>32.250603946857154</v>
      </c>
      <c r="EC131" s="299">
        <f t="shared" ca="1" si="296"/>
        <v>25.21347227153009</v>
      </c>
      <c r="ED131" s="299">
        <f t="shared" ca="1" si="297"/>
        <v>25.501477390252631</v>
      </c>
      <c r="EE131" s="299">
        <f t="shared" ca="1" si="298"/>
        <v>30.244727669339301</v>
      </c>
      <c r="EF131" s="299">
        <f t="shared" ca="1" si="299"/>
        <v>20.524999008513976</v>
      </c>
      <c r="EG131" s="299">
        <f t="shared" ca="1" si="300"/>
        <v>27.004818115730863</v>
      </c>
      <c r="EH131" s="302">
        <f t="shared" ca="1" si="301"/>
        <v>30</v>
      </c>
      <c r="EI131" s="304">
        <f t="shared" ca="1" si="302"/>
        <v>7.9709964819380835E-2</v>
      </c>
      <c r="EJ131" s="305">
        <f t="shared" ca="1" si="303"/>
        <v>7.9709964819380835E-2</v>
      </c>
      <c r="EK131" s="305">
        <f t="shared" ca="1" si="304"/>
        <v>7.9709964819380835E-2</v>
      </c>
      <c r="EL131" s="305">
        <f t="shared" ca="1" si="305"/>
        <v>7.9709964819380905E-2</v>
      </c>
      <c r="EM131" s="305">
        <f t="shared" ca="1" si="306"/>
        <v>2.5012432863904491E-2</v>
      </c>
      <c r="EN131" s="305">
        <f t="shared" ca="1" si="307"/>
        <v>6.3197741755791362E-2</v>
      </c>
      <c r="EO131" s="305">
        <f t="shared" ca="1" si="308"/>
        <v>7.9709964819380835E-2</v>
      </c>
      <c r="EP131" s="305">
        <f t="shared" ca="1" si="309"/>
        <v>7.9709964819380835E-2</v>
      </c>
      <c r="EQ131" s="305">
        <f t="shared" ca="1" si="310"/>
        <v>7.9709964819380835E-2</v>
      </c>
      <c r="ER131" s="305">
        <f t="shared" ca="1" si="311"/>
        <v>2.5012432863904491E-2</v>
      </c>
      <c r="ES131" s="305">
        <f t="shared" ca="1" si="312"/>
        <v>6.3197741755791362E-2</v>
      </c>
      <c r="ET131" s="299">
        <f t="shared" ca="1" si="313"/>
        <v>4.0306835272478096</v>
      </c>
      <c r="EU131" s="302">
        <f t="shared" ca="1" si="314"/>
        <v>30</v>
      </c>
      <c r="EV131" s="304">
        <f t="shared" ca="1" si="315"/>
        <v>0.23912989445814251</v>
      </c>
      <c r="EW131" s="305">
        <f t="shared" ca="1" si="316"/>
        <v>0.23912989445814251</v>
      </c>
      <c r="EX131" s="305">
        <f t="shared" ca="1" si="317"/>
        <v>0.23912989445814251</v>
      </c>
      <c r="EY131" s="305">
        <f t="shared" ca="1" si="318"/>
        <v>0.23912989445814253</v>
      </c>
      <c r="EZ131" s="305">
        <f t="shared" ca="1" si="319"/>
        <v>7.5037298591713472E-2</v>
      </c>
      <c r="FA131" s="305">
        <f t="shared" ca="1" si="320"/>
        <v>0.19587326058062493</v>
      </c>
      <c r="FB131" s="305">
        <f t="shared" ca="1" si="321"/>
        <v>0.23912989445814251</v>
      </c>
      <c r="FC131" s="305">
        <f t="shared" ca="1" si="322"/>
        <v>0.23912989445814251</v>
      </c>
      <c r="FD131" s="305">
        <f t="shared" ca="1" si="323"/>
        <v>0.23912989445814251</v>
      </c>
      <c r="FE131" s="305">
        <f t="shared" ca="1" si="324"/>
        <v>7.5037298591713472E-2</v>
      </c>
      <c r="FF131" s="305">
        <f t="shared" ca="1" si="325"/>
        <v>0.19587326058062493</v>
      </c>
      <c r="FG131" s="299">
        <f t="shared" ca="1" si="326"/>
        <v>5.3914976279404048</v>
      </c>
      <c r="FH131" s="302">
        <f t="shared" ca="1" si="327"/>
        <v>-1.3608141006925951</v>
      </c>
      <c r="FI131" s="248">
        <f t="shared" ca="1" si="328"/>
        <v>-499.02993940689475</v>
      </c>
      <c r="FJ131" s="363">
        <f t="shared" ca="1" si="329"/>
        <v>0.49289551418382949</v>
      </c>
      <c r="FK131" s="378">
        <f t="shared" ca="1" si="330"/>
        <v>0.16979915122797962</v>
      </c>
      <c r="FL131" s="508">
        <f t="shared" ca="1" si="331"/>
        <v>-0.82781583509048351</v>
      </c>
      <c r="FM131" s="508">
        <f t="shared" ca="1" si="332"/>
        <v>-0.78178515994562758</v>
      </c>
      <c r="FN131" s="508">
        <f t="shared" ca="1" si="333"/>
        <v>-4.9407719811165052</v>
      </c>
      <c r="FO131" s="508">
        <f t="shared" ca="1" si="334"/>
        <v>-0.6354681680364852</v>
      </c>
      <c r="FP131" s="353">
        <f t="shared" ca="1" si="335"/>
        <v>270.42921686624697</v>
      </c>
      <c r="FQ131" s="356">
        <f t="shared" ca="1" si="336"/>
        <v>20.369856623113087</v>
      </c>
      <c r="FR131" s="380">
        <f t="shared" ca="1" si="337"/>
        <v>24.42</v>
      </c>
      <c r="FS131" s="299">
        <f t="shared" ca="1" si="338"/>
        <v>24.42</v>
      </c>
      <c r="FT131" s="299">
        <f t="shared" ca="1" si="339"/>
        <v>24.42</v>
      </c>
      <c r="FU131" s="299">
        <f t="shared" ca="1" si="340"/>
        <v>24.42</v>
      </c>
      <c r="FV131" s="299">
        <f t="shared" ca="1" si="341"/>
        <v>24.42</v>
      </c>
      <c r="FW131" s="850">
        <f t="shared" ca="1" si="342"/>
        <v>0.16500000000000001</v>
      </c>
      <c r="FX131" s="851">
        <f t="shared" ca="1" si="343"/>
        <v>0.5</v>
      </c>
      <c r="FY131" s="851">
        <f t="shared" ca="1" si="344"/>
        <v>0</v>
      </c>
      <c r="FZ131" s="201">
        <f t="shared" ca="1" si="345"/>
        <v>0</v>
      </c>
      <c r="GA131" s="201">
        <f t="shared" ca="1" si="346"/>
        <v>0</v>
      </c>
      <c r="GB131" s="201">
        <f t="shared" ca="1" si="347"/>
        <v>0</v>
      </c>
      <c r="GC131" s="201">
        <f t="shared" ca="1" si="348"/>
        <v>0</v>
      </c>
      <c r="GD131" s="850">
        <f t="shared" ca="1" si="349"/>
        <v>0.25412989445814249</v>
      </c>
      <c r="GE131" s="866">
        <f t="shared" ca="1" si="350"/>
        <v>0.23912989445814251</v>
      </c>
      <c r="GF131" s="866">
        <f t="shared" ca="1" si="351"/>
        <v>0.23912989445814251</v>
      </c>
      <c r="GG131" s="866">
        <f t="shared" ca="1" si="352"/>
        <v>8.5037298591713467E-2</v>
      </c>
      <c r="GH131" s="866">
        <f t="shared" ca="1" si="353"/>
        <v>0.20587326058062494</v>
      </c>
      <c r="GI131" s="302">
        <f t="shared" ca="1" si="354"/>
        <v>12.160466575008794</v>
      </c>
      <c r="GJ131" s="299">
        <f t="shared" ca="1" si="355"/>
        <v>6.7870839151189815</v>
      </c>
      <c r="GK131" s="299">
        <f t="shared" ca="1" si="356"/>
        <v>6.9743109384253605</v>
      </c>
      <c r="GL131" s="299">
        <f t="shared" ca="1" si="357"/>
        <v>2.2804912917494939</v>
      </c>
      <c r="GM131" s="299">
        <f t="shared" ca="1" si="358"/>
        <v>7.2876017904212409</v>
      </c>
      <c r="GN131" s="302">
        <f t="shared" ca="1" si="359"/>
        <v>0.77276494156205611</v>
      </c>
      <c r="GO131" s="299">
        <f t="shared" ca="1" si="360"/>
        <v>0.64686782814297572</v>
      </c>
      <c r="GP131" s="299">
        <f t="shared" ca="1" si="361"/>
        <v>0.65327722605831573</v>
      </c>
      <c r="GQ131" s="299">
        <f t="shared" ca="1" si="362"/>
        <v>0.43189393920827734</v>
      </c>
      <c r="GR131" s="299">
        <f t="shared" ca="1" si="363"/>
        <v>0.67880630960819555</v>
      </c>
      <c r="GS131" s="302">
        <f t="shared" ca="1" si="364"/>
        <v>-0.52259093886174468</v>
      </c>
      <c r="GT131" s="299">
        <f t="shared" ca="1" si="365"/>
        <v>-0.38995500909817171</v>
      </c>
      <c r="GU131" s="299">
        <f t="shared" ca="1" si="366"/>
        <v>-0.39661035647063009</v>
      </c>
      <c r="GV131" s="299">
        <f t="shared" ca="1" si="367"/>
        <v>-0.2696204109468669</v>
      </c>
      <c r="GW131" s="299">
        <f t="shared" ca="1" si="368"/>
        <v>-0.4522293061289141</v>
      </c>
      <c r="GX131" s="303">
        <f t="shared" ca="1" si="369"/>
        <v>2109.8314776718894</v>
      </c>
      <c r="GY131" s="303">
        <f t="shared" ca="1" si="370"/>
        <v>267.62585729210952</v>
      </c>
      <c r="GZ131" s="303">
        <f t="shared" ca="1" si="371"/>
        <v>220.00682086867675</v>
      </c>
      <c r="HA131" s="303">
        <f t="shared" ca="1" si="372"/>
        <v>278.7628941039759</v>
      </c>
      <c r="HB131" s="303">
        <f t="shared" ca="1" si="373"/>
        <v>2672.4675163525653</v>
      </c>
      <c r="HC131" s="303">
        <f t="shared" ca="1" si="374"/>
        <v>1358.6036846821405</v>
      </c>
      <c r="HD131" s="303">
        <f t="shared" ca="1" si="375"/>
        <v>31.287913861314735</v>
      </c>
      <c r="HE131" s="303">
        <f t="shared" ca="1" si="376"/>
        <v>34.115542678192384</v>
      </c>
      <c r="HF131" s="303">
        <f t="shared" ca="1" si="377"/>
        <v>0</v>
      </c>
      <c r="HG131" s="852">
        <f t="shared" ca="1" si="378"/>
        <v>947.88966914328114</v>
      </c>
    </row>
    <row r="132" spans="1:215" x14ac:dyDescent="0.25">
      <c r="A132" s="244">
        <f t="shared" ca="1" si="379"/>
        <v>40118</v>
      </c>
      <c r="B132" s="13">
        <f t="shared" ca="1" si="412"/>
        <v>2009</v>
      </c>
      <c r="C132" s="619">
        <f t="shared" ca="1" si="413"/>
        <v>11</v>
      </c>
      <c r="D132" s="195">
        <f t="shared" ca="1" si="209"/>
        <v>40143</v>
      </c>
      <c r="E132" s="469">
        <f t="shared" ca="1" si="210"/>
        <v>40118</v>
      </c>
      <c r="F132" s="465">
        <f t="shared" ca="1" si="211"/>
        <v>40147</v>
      </c>
      <c r="G132" s="522">
        <f t="shared" ca="1" si="380"/>
        <v>1</v>
      </c>
      <c r="H132" s="519">
        <f t="shared" ca="1" si="381"/>
        <v>1</v>
      </c>
      <c r="I132" s="724">
        <f t="shared" ca="1" si="414"/>
        <v>7.4144508742889997E-2</v>
      </c>
      <c r="J132" s="198">
        <f t="shared" ca="1" si="213"/>
        <v>0.48988674343446137</v>
      </c>
      <c r="K132" s="200">
        <f t="shared" ca="1" si="389"/>
        <v>29.925000000000001</v>
      </c>
      <c r="L132" s="201">
        <f t="shared" ca="1" si="390"/>
        <v>31.274999999999999</v>
      </c>
      <c r="M132" s="206">
        <f t="shared" ca="1" si="391"/>
        <v>32.625</v>
      </c>
      <c r="N132" s="851">
        <f t="shared" ca="1" si="395"/>
        <v>24.192251586914058</v>
      </c>
      <c r="O132" s="201">
        <f t="shared" ca="1" si="396"/>
        <v>25.204751586914057</v>
      </c>
      <c r="P132" s="206">
        <f t="shared" ca="1" si="397"/>
        <v>26.217251586914056</v>
      </c>
      <c r="Q132" s="201">
        <f t="shared" ca="1" si="398"/>
        <v>19.904499816894525</v>
      </c>
      <c r="R132" s="201">
        <f t="shared" ca="1" si="399"/>
        <v>23.204499816894526</v>
      </c>
      <c r="S132" s="201">
        <f t="shared" ca="1" si="400"/>
        <v>26.504499816894526</v>
      </c>
      <c r="T132" s="851">
        <f t="shared" ca="1" si="392"/>
        <v>19.099998092651365</v>
      </c>
      <c r="U132" s="201">
        <f t="shared" ca="1" si="393"/>
        <v>19.774998092651366</v>
      </c>
      <c r="V132" s="206">
        <f t="shared" ca="1" si="394"/>
        <v>20.449998092651366</v>
      </c>
      <c r="W132" s="230">
        <f t="shared" ca="1" si="382"/>
        <v>7.9709964819380835E-2</v>
      </c>
      <c r="X132" s="231">
        <f t="shared" ca="1" si="383"/>
        <v>0.15941992963876167</v>
      </c>
      <c r="Y132" s="232">
        <f t="shared" ca="1" si="384"/>
        <v>0.23912989445814251</v>
      </c>
      <c r="Z132" s="231">
        <f t="shared" ca="1" si="404"/>
        <v>7.9709964819380835E-2</v>
      </c>
      <c r="AA132" s="231">
        <f t="shared" ca="1" si="405"/>
        <v>0.15941992963876167</v>
      </c>
      <c r="AB132" s="232">
        <f t="shared" ca="1" si="406"/>
        <v>0.23912989445814251</v>
      </c>
      <c r="AC132" s="231">
        <f t="shared" ca="1" si="407"/>
        <v>7.9709964819380835E-2</v>
      </c>
      <c r="AD132" s="231">
        <f t="shared" ca="1" si="408"/>
        <v>0.15941992963876167</v>
      </c>
      <c r="AE132" s="232">
        <f t="shared" ca="1" si="214"/>
        <v>0.23912989445814251</v>
      </c>
      <c r="AF132" s="231">
        <f t="shared" ca="1" si="385"/>
        <v>2.5012432863904491E-2</v>
      </c>
      <c r="AG132" s="231">
        <f t="shared" ca="1" si="386"/>
        <v>5.0024865727808981E-2</v>
      </c>
      <c r="AH132" s="232">
        <f t="shared" ca="1" si="387"/>
        <v>7.5037298591713472E-2</v>
      </c>
      <c r="AI132" s="233">
        <f t="shared" ca="1" si="215"/>
        <v>1</v>
      </c>
      <c r="AJ132" s="233">
        <f t="shared" ca="1" si="216"/>
        <v>1.25</v>
      </c>
      <c r="AK132" s="234">
        <f t="shared" ca="1" si="217"/>
        <v>1.55</v>
      </c>
      <c r="AL132" s="919">
        <f t="shared" ca="1" si="218"/>
        <v>1</v>
      </c>
      <c r="AM132" s="233">
        <f t="shared" ca="1" si="219"/>
        <v>1.25</v>
      </c>
      <c r="AN132" s="234">
        <f t="shared" ca="1" si="220"/>
        <v>1.55</v>
      </c>
      <c r="AO132" s="233">
        <f t="shared" ca="1" si="221"/>
        <v>1</v>
      </c>
      <c r="AP132" s="233">
        <f t="shared" ca="1" si="222"/>
        <v>1.25</v>
      </c>
      <c r="AQ132" s="233">
        <f t="shared" ca="1" si="223"/>
        <v>1.55</v>
      </c>
      <c r="AR132" s="919">
        <f t="shared" ca="1" si="224"/>
        <v>0.15</v>
      </c>
      <c r="AS132" s="233">
        <f t="shared" ca="1" si="225"/>
        <v>0.3</v>
      </c>
      <c r="AT132" s="235">
        <f t="shared" ca="1" si="226"/>
        <v>0.5</v>
      </c>
      <c r="AU132" s="946">
        <f t="shared" si="227"/>
        <v>0.5</v>
      </c>
      <c r="AV132" s="13">
        <f t="shared" ca="1" si="228"/>
        <v>20</v>
      </c>
      <c r="AW132" s="210">
        <f t="shared" ca="1" si="229"/>
        <v>4</v>
      </c>
      <c r="AX132" s="210">
        <f t="shared" ca="1" si="230"/>
        <v>5</v>
      </c>
      <c r="AY132" s="210">
        <f t="shared" ca="1" si="231"/>
        <v>1</v>
      </c>
      <c r="AZ132" s="13">
        <f t="shared" ca="1" si="232"/>
        <v>30</v>
      </c>
      <c r="BA132" s="357">
        <f ca="1"/>
        <v>320</v>
      </c>
      <c r="BB132" s="925">
        <f ca="1"/>
        <v>64</v>
      </c>
      <c r="BC132" s="925">
        <f ca="1"/>
        <v>96</v>
      </c>
      <c r="BD132" s="928">
        <f ca="1"/>
        <v>240</v>
      </c>
      <c r="BE132" s="200">
        <f ca="1"/>
        <v>0.99996249377727509</v>
      </c>
      <c r="BF132" s="851">
        <f ca="1"/>
        <v>0.99996249377727509</v>
      </c>
      <c r="BG132" s="851">
        <f ca="1"/>
        <v>0.99996249377727509</v>
      </c>
      <c r="BH132" s="933">
        <f ca="1"/>
        <v>1.0000000074505806</v>
      </c>
      <c r="BI132" s="357">
        <f ca="1"/>
        <v>320</v>
      </c>
      <c r="BJ132" s="925">
        <f ca="1"/>
        <v>64</v>
      </c>
      <c r="BK132" s="925">
        <f ca="1"/>
        <v>96</v>
      </c>
      <c r="BL132" s="928">
        <f ca="1"/>
        <v>240</v>
      </c>
      <c r="BM132" s="200">
        <f ca="1"/>
        <v>0.99996249377727509</v>
      </c>
      <c r="BN132" s="851">
        <f ca="1"/>
        <v>0.99996249377727509</v>
      </c>
      <c r="BO132" s="851">
        <f ca="1"/>
        <v>0.99996249377727509</v>
      </c>
      <c r="BP132" s="933">
        <f ca="1"/>
        <v>1.0000000074505806</v>
      </c>
      <c r="BQ132" s="357">
        <f t="shared" ca="1" si="233"/>
        <v>720</v>
      </c>
      <c r="BR132" s="361">
        <f t="shared" ca="1" si="234"/>
        <v>720</v>
      </c>
      <c r="BS132" s="357">
        <f t="shared" ca="1" si="235"/>
        <v>352.71845527281221</v>
      </c>
      <c r="BT132" s="302">
        <f t="shared" ca="1" si="236"/>
        <v>24.47034272452353</v>
      </c>
      <c r="BU132" s="299">
        <f t="shared" ca="1" si="237"/>
        <v>25.825300344168237</v>
      </c>
      <c r="BV132" s="299">
        <f t="shared" ca="1" si="238"/>
        <v>27.180257963812938</v>
      </c>
      <c r="BW132" s="299">
        <f t="shared" ca="1" si="239"/>
        <v>32.659889647739881</v>
      </c>
      <c r="BX132" s="380">
        <f t="shared" ca="1" si="240"/>
        <v>9.6673511293634498</v>
      </c>
      <c r="BY132" s="363">
        <f t="shared" ca="1" si="241"/>
        <v>156.76375789902764</v>
      </c>
      <c r="BZ132" s="353">
        <f t="shared" ca="1" si="242"/>
        <v>31.352751579805528</v>
      </c>
      <c r="CA132" s="353">
        <f t="shared" ca="1" si="243"/>
        <v>47.029127369708291</v>
      </c>
      <c r="CB132" s="353">
        <f t="shared" ca="1" si="244"/>
        <v>235.14563684854147</v>
      </c>
      <c r="CC132" s="353">
        <f t="shared" ca="1" si="245"/>
        <v>117.57281842427074</v>
      </c>
      <c r="CD132" s="353">
        <f t="shared" ca="1" si="246"/>
        <v>352.71845527281221</v>
      </c>
      <c r="CE132" s="302">
        <f t="shared" ca="1" si="247"/>
        <v>32.6237763594836</v>
      </c>
      <c r="CF132" s="299">
        <f t="shared" ca="1" si="248"/>
        <v>26.216268276836804</v>
      </c>
      <c r="CG132" s="299">
        <f t="shared" ca="1" si="249"/>
        <v>26.503505733221182</v>
      </c>
      <c r="CH132" s="299">
        <f t="shared" ca="1" si="250"/>
        <v>30.545387823211541</v>
      </c>
      <c r="CI132" s="299">
        <f t="shared" ca="1" si="251"/>
        <v>20.449998245015724</v>
      </c>
      <c r="CJ132" s="299">
        <f t="shared" ca="1" si="252"/>
        <v>27.180257963812934</v>
      </c>
      <c r="CK132" s="299">
        <f t="shared" ca="1" si="253"/>
        <v>32.659889647739881</v>
      </c>
      <c r="CL132" s="377">
        <f t="shared" ca="1" si="254"/>
        <v>0.23912989445814251</v>
      </c>
      <c r="CM132" s="305">
        <f t="shared" ca="1" si="255"/>
        <v>0.23912989445814251</v>
      </c>
      <c r="CN132" s="305">
        <f t="shared" ca="1" si="256"/>
        <v>0.23912989445814251</v>
      </c>
      <c r="CO132" s="305">
        <f t="shared" ca="1" si="257"/>
        <v>0.23912989445814251</v>
      </c>
      <c r="CP132" s="305">
        <f t="shared" ca="1" si="258"/>
        <v>7.5037298591713472E-2</v>
      </c>
      <c r="CQ132" s="305">
        <f t="shared" ca="1" si="259"/>
        <v>0.19639077981090891</v>
      </c>
      <c r="CR132" s="775">
        <f t="shared" ca="1" si="260"/>
        <v>0.23912989445814251</v>
      </c>
      <c r="CS132" s="305">
        <f t="shared" ca="1" si="261"/>
        <v>0.2641298944581425</v>
      </c>
      <c r="CT132" s="305">
        <f t="shared" ca="1" si="262"/>
        <v>0.2641298944581425</v>
      </c>
      <c r="CU132" s="305">
        <f t="shared" ca="1" si="263"/>
        <v>0.13503729859171348</v>
      </c>
      <c r="CV132" s="770">
        <f t="shared" ca="1" si="264"/>
        <v>0.21389077981090893</v>
      </c>
      <c r="CW132" s="302">
        <f t="shared" ca="1" si="265"/>
        <v>9.4456406694010848</v>
      </c>
      <c r="CX132" s="299">
        <f t="shared" ca="1" si="266"/>
        <v>6.4725855608552099</v>
      </c>
      <c r="CY132" s="299">
        <f t="shared" ca="1" si="267"/>
        <v>6.6332898282675359</v>
      </c>
      <c r="CZ132" s="299">
        <f t="shared" ca="1" si="268"/>
        <v>0.71230322424112202</v>
      </c>
      <c r="DA132" s="774">
        <f t="shared" ca="1" si="269"/>
        <v>5.3380500594031837</v>
      </c>
      <c r="DB132" s="303">
        <f t="shared" ca="1" si="270"/>
        <v>1882.8287711216344</v>
      </c>
      <c r="DC132" s="248">
        <f t="shared" ca="1" si="271"/>
        <v>184.28546606384387</v>
      </c>
      <c r="DD132" s="778">
        <f t="shared" ca="1" si="272"/>
        <v>0</v>
      </c>
      <c r="DE132" s="363">
        <f t="shared" ca="1" si="273"/>
        <v>0.48988674343446137</v>
      </c>
      <c r="DF132" s="378">
        <f t="shared" ca="1" si="274"/>
        <v>-0.37324369556667047</v>
      </c>
      <c r="DG132" s="508">
        <f t="shared" ca="1" si="275"/>
        <v>-0.67822495260366811</v>
      </c>
      <c r="DH132" s="508">
        <f t="shared" ca="1" si="276"/>
        <v>-0.66495618703729986</v>
      </c>
      <c r="DI132" s="508">
        <f t="shared" ca="1" si="277"/>
        <v>-1.3249738214127285</v>
      </c>
      <c r="DJ132" s="508">
        <f t="shared" ca="1" si="278"/>
        <v>-0.60867878771880402</v>
      </c>
      <c r="DK132" s="353">
        <f t="shared" ca="1" si="279"/>
        <v>-95.716723675153673</v>
      </c>
      <c r="DL132" s="781">
        <f t="shared" ca="1" si="280"/>
        <v>5.3830331884695184</v>
      </c>
      <c r="DM132" s="303">
        <f t="shared" ca="1" si="281"/>
        <v>8326.5899948979095</v>
      </c>
      <c r="DN132" s="508">
        <f t="shared" ca="1" si="282"/>
        <v>1.5541068867973671</v>
      </c>
      <c r="DO132" s="508">
        <f t="shared" ca="1" si="283"/>
        <v>1.4837735146574131</v>
      </c>
      <c r="DP132" s="508">
        <f t="shared" ca="1" si="284"/>
        <v>1.4872785428088631</v>
      </c>
      <c r="DQ132" s="508">
        <f t="shared" ca="1" si="285"/>
        <v>1.4038753800412864</v>
      </c>
      <c r="DR132" s="508">
        <f t="shared" ca="1" si="286"/>
        <v>1.4953887029171227</v>
      </c>
      <c r="DS132" s="353">
        <f t="shared" ca="1" si="287"/>
        <v>3887.4412217225336</v>
      </c>
      <c r="DT132" s="353">
        <f t="shared" ca="1" si="288"/>
        <v>-9380.8077624341895</v>
      </c>
      <c r="DU132" s="380">
        <f t="shared" ca="1" si="388"/>
        <v>9.6673511293634498</v>
      </c>
      <c r="DV132" s="303">
        <f t="shared" ca="1" si="289"/>
        <v>156.76375789902764</v>
      </c>
      <c r="DW132" s="303">
        <f t="shared" ca="1" si="290"/>
        <v>31.352751579805528</v>
      </c>
      <c r="DX132" s="303">
        <f t="shared" ca="1" si="291"/>
        <v>47.029127369708291</v>
      </c>
      <c r="DY132" s="303">
        <f t="shared" ca="1" si="292"/>
        <v>235.14563684854147</v>
      </c>
      <c r="DZ132" s="303">
        <f t="shared" ca="1" si="293"/>
        <v>117.57281842427074</v>
      </c>
      <c r="EA132" s="303">
        <f t="shared" ca="1" si="294"/>
        <v>352.71845527281221</v>
      </c>
      <c r="EB132" s="302">
        <f t="shared" ca="1" si="295"/>
        <v>32.6237763594836</v>
      </c>
      <c r="EC132" s="299">
        <f t="shared" ca="1" si="296"/>
        <v>26.216268276836804</v>
      </c>
      <c r="ED132" s="299">
        <f t="shared" ca="1" si="297"/>
        <v>26.503505733221182</v>
      </c>
      <c r="EE132" s="299">
        <f t="shared" ca="1" si="298"/>
        <v>30.545387823211541</v>
      </c>
      <c r="EF132" s="299">
        <f t="shared" ca="1" si="299"/>
        <v>20.449998245015724</v>
      </c>
      <c r="EG132" s="299">
        <f t="shared" ca="1" si="300"/>
        <v>27.180257963812934</v>
      </c>
      <c r="EH132" s="302">
        <f t="shared" ca="1" si="301"/>
        <v>30</v>
      </c>
      <c r="EI132" s="304">
        <f t="shared" ca="1" si="302"/>
        <v>7.9709964819380835E-2</v>
      </c>
      <c r="EJ132" s="305">
        <f t="shared" ca="1" si="303"/>
        <v>7.9709964819380835E-2</v>
      </c>
      <c r="EK132" s="305">
        <f t="shared" ca="1" si="304"/>
        <v>7.9709964819380835E-2</v>
      </c>
      <c r="EL132" s="305">
        <f t="shared" ca="1" si="305"/>
        <v>7.9709964819380821E-2</v>
      </c>
      <c r="EM132" s="305">
        <f t="shared" ca="1" si="306"/>
        <v>2.5012432863904491E-2</v>
      </c>
      <c r="EN132" s="305">
        <f t="shared" ca="1" si="307"/>
        <v>6.3365091496508583E-2</v>
      </c>
      <c r="EO132" s="305">
        <f t="shared" ca="1" si="308"/>
        <v>7.9709964819380835E-2</v>
      </c>
      <c r="EP132" s="305">
        <f t="shared" ca="1" si="309"/>
        <v>7.9709964819380835E-2</v>
      </c>
      <c r="EQ132" s="305">
        <f t="shared" ca="1" si="310"/>
        <v>7.9709964819380835E-2</v>
      </c>
      <c r="ER132" s="305">
        <f t="shared" ca="1" si="311"/>
        <v>2.5012432863904491E-2</v>
      </c>
      <c r="ES132" s="305">
        <f t="shared" ca="1" si="312"/>
        <v>6.3365091496508583E-2</v>
      </c>
      <c r="ET132" s="299">
        <f t="shared" ca="1" si="313"/>
        <v>3.9280372915864099</v>
      </c>
      <c r="EU132" s="302">
        <f t="shared" ca="1" si="314"/>
        <v>30</v>
      </c>
      <c r="EV132" s="304">
        <f t="shared" ca="1" si="315"/>
        <v>0.23912989445814251</v>
      </c>
      <c r="EW132" s="305">
        <f t="shared" ca="1" si="316"/>
        <v>0.23912989445814251</v>
      </c>
      <c r="EX132" s="305">
        <f t="shared" ca="1" si="317"/>
        <v>0.23912989445814251</v>
      </c>
      <c r="EY132" s="305">
        <f t="shared" ca="1" si="318"/>
        <v>0.23912989445814251</v>
      </c>
      <c r="EZ132" s="305">
        <f t="shared" ca="1" si="319"/>
        <v>7.5037298591713472E-2</v>
      </c>
      <c r="FA132" s="305">
        <f t="shared" ca="1" si="320"/>
        <v>0.19639077981090891</v>
      </c>
      <c r="FB132" s="305">
        <f t="shared" ca="1" si="321"/>
        <v>0.23912989445814251</v>
      </c>
      <c r="FC132" s="305">
        <f t="shared" ca="1" si="322"/>
        <v>0.23912989445814251</v>
      </c>
      <c r="FD132" s="305">
        <f t="shared" ca="1" si="323"/>
        <v>0.23912989445814251</v>
      </c>
      <c r="FE132" s="305">
        <f t="shared" ca="1" si="324"/>
        <v>7.5037298591713472E-2</v>
      </c>
      <c r="FF132" s="305">
        <f t="shared" ca="1" si="325"/>
        <v>0.19639077981090891</v>
      </c>
      <c r="FG132" s="299">
        <f t="shared" ca="1" si="326"/>
        <v>5.5346736628857371</v>
      </c>
      <c r="FH132" s="302">
        <f t="shared" ca="1" si="327"/>
        <v>-1.6066363712993272</v>
      </c>
      <c r="FI132" s="248">
        <f t="shared" ca="1" si="328"/>
        <v>-566.69029906981507</v>
      </c>
      <c r="FJ132" s="363">
        <f t="shared" ca="1" si="329"/>
        <v>0.48988674343446137</v>
      </c>
      <c r="FK132" s="378">
        <f t="shared" ca="1" si="330"/>
        <v>0.21438417027341083</v>
      </c>
      <c r="FL132" s="508">
        <f t="shared" ca="1" si="331"/>
        <v>-0.66789371006558884</v>
      </c>
      <c r="FM132" s="508">
        <f t="shared" ca="1" si="332"/>
        <v>-0.62392583658106071</v>
      </c>
      <c r="FN132" s="508">
        <f t="shared" ca="1" si="333"/>
        <v>-4.9664496196987686</v>
      </c>
      <c r="FO132" s="508">
        <f t="shared" ca="1" si="334"/>
        <v>-0.5995132953444029</v>
      </c>
      <c r="FP132" s="353">
        <f t="shared" ca="1" si="335"/>
        <v>255.92712486870562</v>
      </c>
      <c r="FQ132" s="356">
        <f t="shared" ca="1" si="336"/>
        <v>19.891481549121082</v>
      </c>
      <c r="FR132" s="380">
        <f t="shared" ca="1" si="337"/>
        <v>25.5</v>
      </c>
      <c r="FS132" s="299">
        <f t="shared" ca="1" si="338"/>
        <v>25.5</v>
      </c>
      <c r="FT132" s="299">
        <f t="shared" ca="1" si="339"/>
        <v>25.5</v>
      </c>
      <c r="FU132" s="299">
        <f t="shared" ca="1" si="340"/>
        <v>25.5</v>
      </c>
      <c r="FV132" s="299">
        <f t="shared" ca="1" si="341"/>
        <v>25.499999999999996</v>
      </c>
      <c r="FW132" s="850">
        <f t="shared" ca="1" si="342"/>
        <v>0.16500000000000001</v>
      </c>
      <c r="FX132" s="851">
        <f t="shared" ca="1" si="343"/>
        <v>0.5</v>
      </c>
      <c r="FY132" s="851">
        <f t="shared" ca="1" si="344"/>
        <v>0</v>
      </c>
      <c r="FZ132" s="201">
        <f t="shared" ca="1" si="345"/>
        <v>0</v>
      </c>
      <c r="GA132" s="201">
        <f t="shared" ca="1" si="346"/>
        <v>0</v>
      </c>
      <c r="GB132" s="201">
        <f t="shared" ca="1" si="347"/>
        <v>0</v>
      </c>
      <c r="GC132" s="201">
        <f t="shared" ca="1" si="348"/>
        <v>0</v>
      </c>
      <c r="GD132" s="850">
        <f t="shared" ca="1" si="349"/>
        <v>0.25412989445814249</v>
      </c>
      <c r="GE132" s="866">
        <f t="shared" ca="1" si="350"/>
        <v>0.23912989445814251</v>
      </c>
      <c r="GF132" s="866">
        <f t="shared" ca="1" si="351"/>
        <v>0.23912989445814251</v>
      </c>
      <c r="GG132" s="866">
        <f t="shared" ca="1" si="352"/>
        <v>9.2537298591713474E-2</v>
      </c>
      <c r="GH132" s="866">
        <f t="shared" ca="1" si="353"/>
        <v>0.19889077981090891</v>
      </c>
      <c r="GI132" s="302">
        <f t="shared" ca="1" si="354"/>
        <v>11.922860769855991</v>
      </c>
      <c r="GJ132" s="299">
        <f t="shared" ca="1" si="355"/>
        <v>7.0430594937388076</v>
      </c>
      <c r="GK132" s="299">
        <f t="shared" ca="1" si="356"/>
        <v>7.2291871572164315</v>
      </c>
      <c r="GL132" s="299">
        <f t="shared" ca="1" si="357"/>
        <v>2.00050688105962</v>
      </c>
      <c r="GM132" s="299">
        <f t="shared" ca="1" si="358"/>
        <v>6.8159855373960374</v>
      </c>
      <c r="GN132" s="302">
        <f t="shared" ca="1" si="359"/>
        <v>0.7586560309528676</v>
      </c>
      <c r="GO132" s="299">
        <f t="shared" ca="1" si="360"/>
        <v>0.64491570881260951</v>
      </c>
      <c r="GP132" s="299">
        <f t="shared" ca="1" si="361"/>
        <v>0.65105110323873816</v>
      </c>
      <c r="GQ132" s="299">
        <f t="shared" ca="1" si="362"/>
        <v>0.39249524912449812</v>
      </c>
      <c r="GR132" s="299">
        <f t="shared" ca="1" si="363"/>
        <v>0.65463819509140908</v>
      </c>
      <c r="GS132" s="302">
        <f t="shared" ca="1" si="364"/>
        <v>-0.50303395415539831</v>
      </c>
      <c r="GT132" s="299">
        <f t="shared" ca="1" si="365"/>
        <v>-0.38683234820878032</v>
      </c>
      <c r="GU132" s="299">
        <f t="shared" ca="1" si="366"/>
        <v>-0.3931745443401598</v>
      </c>
      <c r="GV132" s="299">
        <f t="shared" ca="1" si="367"/>
        <v>-0.23631450381069774</v>
      </c>
      <c r="GW132" s="299">
        <f t="shared" ca="1" si="368"/>
        <v>-0.43048037615323498</v>
      </c>
      <c r="GX132" s="303">
        <f t="shared" ca="1" si="369"/>
        <v>1869.0724591895189</v>
      </c>
      <c r="GY132" s="303">
        <f t="shared" ca="1" si="370"/>
        <v>220.81929466898373</v>
      </c>
      <c r="GZ132" s="303">
        <f t="shared" ca="1" si="371"/>
        <v>339.98236359619096</v>
      </c>
      <c r="HA132" s="303">
        <f t="shared" ca="1" si="372"/>
        <v>235.20523228332689</v>
      </c>
      <c r="HB132" s="303">
        <f t="shared" ca="1" si="373"/>
        <v>2404.123889912159</v>
      </c>
      <c r="HC132" s="303">
        <f t="shared" ca="1" si="374"/>
        <v>1116.7499525449034</v>
      </c>
      <c r="HD132" s="303">
        <f t="shared" ca="1" si="375"/>
        <v>22.456981348159676</v>
      </c>
      <c r="HE132" s="303">
        <f t="shared" ca="1" si="376"/>
        <v>47.193998943891479</v>
      </c>
      <c r="HF132" s="303">
        <f t="shared" ca="1" si="377"/>
        <v>0</v>
      </c>
      <c r="HG132" s="852">
        <f t="shared" ca="1" si="378"/>
        <v>592.6579934559403</v>
      </c>
    </row>
    <row r="133" spans="1:215" x14ac:dyDescent="0.25">
      <c r="A133" s="244">
        <f t="shared" ca="1" si="379"/>
        <v>40148</v>
      </c>
      <c r="B133" s="13">
        <f t="shared" ca="1" si="412"/>
        <v>2009</v>
      </c>
      <c r="C133" s="619">
        <f t="shared" ca="1" si="413"/>
        <v>12</v>
      </c>
      <c r="D133" s="195">
        <f t="shared" ca="1" si="209"/>
        <v>40172</v>
      </c>
      <c r="E133" s="469">
        <f t="shared" ca="1" si="210"/>
        <v>40148</v>
      </c>
      <c r="F133" s="465">
        <f t="shared" ca="1" si="211"/>
        <v>40178</v>
      </c>
      <c r="G133" s="522">
        <f t="shared" ca="1" si="380"/>
        <v>1</v>
      </c>
      <c r="H133" s="519">
        <f t="shared" ca="1" si="381"/>
        <v>1</v>
      </c>
      <c r="I133" s="724">
        <f t="shared" ca="1" si="414"/>
        <v>7.4159301121268992E-2</v>
      </c>
      <c r="J133" s="198">
        <f t="shared" ca="1" si="213"/>
        <v>0.48680038887296539</v>
      </c>
      <c r="K133" s="200">
        <f t="shared" ca="1" si="389"/>
        <v>29.8</v>
      </c>
      <c r="L133" s="201">
        <f t="shared" ca="1" si="390"/>
        <v>31.15</v>
      </c>
      <c r="M133" s="206">
        <f t="shared" ca="1" si="391"/>
        <v>32.5</v>
      </c>
      <c r="N133" s="851">
        <f t="shared" ca="1" si="395"/>
        <v>25.642498397827143</v>
      </c>
      <c r="O133" s="201">
        <f t="shared" ca="1" si="396"/>
        <v>26.654998397827143</v>
      </c>
      <c r="P133" s="206">
        <f t="shared" ca="1" si="397"/>
        <v>27.667498397827142</v>
      </c>
      <c r="Q133" s="201">
        <f t="shared" ca="1" si="398"/>
        <v>19.84999923706054</v>
      </c>
      <c r="R133" s="201">
        <f t="shared" ca="1" si="399"/>
        <v>23.149999237060541</v>
      </c>
      <c r="S133" s="201">
        <f t="shared" ca="1" si="400"/>
        <v>26.449999237060542</v>
      </c>
      <c r="T133" s="851">
        <f t="shared" ca="1" si="392"/>
        <v>20.524999237060545</v>
      </c>
      <c r="U133" s="201">
        <f t="shared" ca="1" si="393"/>
        <v>21.199999237060545</v>
      </c>
      <c r="V133" s="206">
        <f t="shared" ca="1" si="394"/>
        <v>21.874999237060546</v>
      </c>
      <c r="W133" s="230">
        <f t="shared" ca="1" si="382"/>
        <v>8.2575941082549578E-2</v>
      </c>
      <c r="X133" s="231">
        <f t="shared" ca="1" si="383"/>
        <v>0.16515188216509916</v>
      </c>
      <c r="Y133" s="232">
        <f t="shared" ca="1" si="384"/>
        <v>0.24772782324764875</v>
      </c>
      <c r="Z133" s="231">
        <f t="shared" ca="1" si="404"/>
        <v>8.2575941082549578E-2</v>
      </c>
      <c r="AA133" s="231">
        <f t="shared" ca="1" si="405"/>
        <v>0.16515188216509916</v>
      </c>
      <c r="AB133" s="232">
        <f t="shared" ca="1" si="406"/>
        <v>0.24772782324764875</v>
      </c>
      <c r="AC133" s="231">
        <f t="shared" ca="1" si="407"/>
        <v>8.2575941082549578E-2</v>
      </c>
      <c r="AD133" s="231">
        <f t="shared" ca="1" si="408"/>
        <v>0.16515188216509916</v>
      </c>
      <c r="AE133" s="232">
        <f t="shared" ca="1" si="214"/>
        <v>0.24772782324764875</v>
      </c>
      <c r="AF133" s="231">
        <f t="shared" ca="1" si="385"/>
        <v>2.5012432863904491E-2</v>
      </c>
      <c r="AG133" s="231">
        <f t="shared" ca="1" si="386"/>
        <v>5.0024865727808981E-2</v>
      </c>
      <c r="AH133" s="232">
        <f t="shared" ca="1" si="387"/>
        <v>7.5037298591713472E-2</v>
      </c>
      <c r="AI133" s="233">
        <f t="shared" ca="1" si="215"/>
        <v>1</v>
      </c>
      <c r="AJ133" s="233">
        <f t="shared" ca="1" si="216"/>
        <v>1.25</v>
      </c>
      <c r="AK133" s="234">
        <f t="shared" ca="1" si="217"/>
        <v>1.6</v>
      </c>
      <c r="AL133" s="919">
        <f t="shared" ca="1" si="218"/>
        <v>1</v>
      </c>
      <c r="AM133" s="233">
        <f t="shared" ca="1" si="219"/>
        <v>1.25</v>
      </c>
      <c r="AN133" s="234">
        <f t="shared" ca="1" si="220"/>
        <v>1.6</v>
      </c>
      <c r="AO133" s="233">
        <f t="shared" ca="1" si="221"/>
        <v>1</v>
      </c>
      <c r="AP133" s="233">
        <f t="shared" ca="1" si="222"/>
        <v>1.25</v>
      </c>
      <c r="AQ133" s="233">
        <f t="shared" ca="1" si="223"/>
        <v>1.6</v>
      </c>
      <c r="AR133" s="919">
        <f t="shared" ca="1" si="224"/>
        <v>0.15</v>
      </c>
      <c r="AS133" s="233">
        <f t="shared" ca="1" si="225"/>
        <v>0.3</v>
      </c>
      <c r="AT133" s="235">
        <f t="shared" ca="1" si="226"/>
        <v>0.5</v>
      </c>
      <c r="AU133" s="946">
        <f t="shared" si="227"/>
        <v>0.5</v>
      </c>
      <c r="AV133" s="13">
        <f t="shared" ca="1" si="228"/>
        <v>22</v>
      </c>
      <c r="AW133" s="210">
        <f t="shared" ca="1" si="229"/>
        <v>4</v>
      </c>
      <c r="AX133" s="210">
        <f t="shared" ca="1" si="230"/>
        <v>4</v>
      </c>
      <c r="AY133" s="210">
        <f t="shared" ca="1" si="231"/>
        <v>1</v>
      </c>
      <c r="AZ133" s="13">
        <f t="shared" ca="1" si="232"/>
        <v>31</v>
      </c>
      <c r="BA133" s="357">
        <f ca="1"/>
        <v>352</v>
      </c>
      <c r="BB133" s="925">
        <f ca="1"/>
        <v>64</v>
      </c>
      <c r="BC133" s="925">
        <f ca="1"/>
        <v>80</v>
      </c>
      <c r="BD133" s="928">
        <f ca="1"/>
        <v>248</v>
      </c>
      <c r="BE133" s="200">
        <f ca="1"/>
        <v>0.9999692440032959</v>
      </c>
      <c r="BF133" s="851">
        <f ca="1"/>
        <v>0.9999692440032959</v>
      </c>
      <c r="BG133" s="851">
        <f ca="1"/>
        <v>0.9999692440032959</v>
      </c>
      <c r="BH133" s="933">
        <f ca="1"/>
        <v>1.0000000074505806</v>
      </c>
      <c r="BI133" s="357">
        <f ca="1"/>
        <v>352</v>
      </c>
      <c r="BJ133" s="925">
        <f ca="1"/>
        <v>64</v>
      </c>
      <c r="BK133" s="925">
        <f ca="1"/>
        <v>80</v>
      </c>
      <c r="BL133" s="928">
        <f ca="1"/>
        <v>248</v>
      </c>
      <c r="BM133" s="200">
        <f ca="1"/>
        <v>0.9999692440032959</v>
      </c>
      <c r="BN133" s="851">
        <f ca="1"/>
        <v>0.9999692440032959</v>
      </c>
      <c r="BO133" s="851">
        <f ca="1"/>
        <v>0.9999692440032959</v>
      </c>
      <c r="BP133" s="933">
        <f ca="1"/>
        <v>1.0000000074505806</v>
      </c>
      <c r="BQ133" s="357">
        <f t="shared" ca="1" si="233"/>
        <v>744</v>
      </c>
      <c r="BR133" s="361">
        <f t="shared" ca="1" si="234"/>
        <v>744</v>
      </c>
      <c r="BS133" s="357">
        <f t="shared" ca="1" si="235"/>
        <v>362.17948932148624</v>
      </c>
      <c r="BT133" s="302">
        <f t="shared" ca="1" si="236"/>
        <v>25.280238914300625</v>
      </c>
      <c r="BU133" s="299">
        <f t="shared" ca="1" si="237"/>
        <v>26.585850840948311</v>
      </c>
      <c r="BV133" s="299">
        <f t="shared" ca="1" si="238"/>
        <v>27.891462767595996</v>
      </c>
      <c r="BW133" s="299">
        <f t="shared" ca="1" si="239"/>
        <v>32.659889647739881</v>
      </c>
      <c r="BX133" s="380">
        <f t="shared" ca="1" si="240"/>
        <v>9.7494866529774136</v>
      </c>
      <c r="BY133" s="363">
        <f t="shared" ca="1" si="241"/>
        <v>171.35373688328383</v>
      </c>
      <c r="BZ133" s="353">
        <f t="shared" ca="1" si="242"/>
        <v>31.155224887869785</v>
      </c>
      <c r="CA133" s="353">
        <f t="shared" ca="1" si="243"/>
        <v>38.944031109837233</v>
      </c>
      <c r="CB133" s="353">
        <f t="shared" ca="1" si="244"/>
        <v>241.45299288099085</v>
      </c>
      <c r="CC133" s="353">
        <f t="shared" ca="1" si="245"/>
        <v>120.72649644049542</v>
      </c>
      <c r="CD133" s="353">
        <f t="shared" ca="1" si="246"/>
        <v>362.17948932148624</v>
      </c>
      <c r="CE133" s="302">
        <f t="shared" ca="1" si="247"/>
        <v>32.499000430107117</v>
      </c>
      <c r="CF133" s="299">
        <f t="shared" ca="1" si="248"/>
        <v>27.666647456337607</v>
      </c>
      <c r="CG133" s="299">
        <f t="shared" ca="1" si="249"/>
        <v>26.449185740971185</v>
      </c>
      <c r="CH133" s="299">
        <f t="shared" ca="1" si="250"/>
        <v>30.899694451372994</v>
      </c>
      <c r="CI133" s="299">
        <f t="shared" ca="1" si="251"/>
        <v>21.87499940004199</v>
      </c>
      <c r="CJ133" s="299">
        <f t="shared" ca="1" si="252"/>
        <v>27.891462767595996</v>
      </c>
      <c r="CK133" s="299">
        <f t="shared" ca="1" si="253"/>
        <v>32.659889647739881</v>
      </c>
      <c r="CL133" s="377">
        <f t="shared" ca="1" si="254"/>
        <v>0.24772782324764875</v>
      </c>
      <c r="CM133" s="305">
        <f t="shared" ca="1" si="255"/>
        <v>0.24772782324764875</v>
      </c>
      <c r="CN133" s="305">
        <f t="shared" ca="1" si="256"/>
        <v>0.24772782324764875</v>
      </c>
      <c r="CO133" s="305">
        <f t="shared" ca="1" si="257"/>
        <v>0.24772782324764872</v>
      </c>
      <c r="CP133" s="305">
        <f t="shared" ca="1" si="258"/>
        <v>7.5037298591713472E-2</v>
      </c>
      <c r="CQ133" s="305">
        <f t="shared" ca="1" si="259"/>
        <v>0.20177695469947229</v>
      </c>
      <c r="CR133" s="775">
        <f t="shared" ca="1" si="260"/>
        <v>0.24772782324764875</v>
      </c>
      <c r="CS133" s="305">
        <f t="shared" ca="1" si="261"/>
        <v>0.26272782324764876</v>
      </c>
      <c r="CT133" s="305">
        <f t="shared" ca="1" si="262"/>
        <v>0.27272782324764877</v>
      </c>
      <c r="CU133" s="305">
        <f t="shared" ca="1" si="263"/>
        <v>0.13503729859171348</v>
      </c>
      <c r="CV133" s="770">
        <f t="shared" ca="1" si="264"/>
        <v>0.21677695469947228</v>
      </c>
      <c r="CW133" s="302">
        <f t="shared" ca="1" si="265"/>
        <v>9.7281829265650099</v>
      </c>
      <c r="CX133" s="299">
        <f t="shared" ca="1" si="266"/>
        <v>7.2894395413542661</v>
      </c>
      <c r="CY133" s="299">
        <f t="shared" ca="1" si="267"/>
        <v>6.9184049631653597</v>
      </c>
      <c r="CZ133" s="299">
        <f t="shared" ca="1" si="268"/>
        <v>1.0165384002948876</v>
      </c>
      <c r="DA133" s="774">
        <f t="shared" ca="1" si="269"/>
        <v>5.8461381449758605</v>
      </c>
      <c r="DB133" s="303">
        <f t="shared" ca="1" si="270"/>
        <v>2117.3513278502182</v>
      </c>
      <c r="DC133" s="248">
        <f t="shared" ca="1" si="271"/>
        <v>196.270814606361</v>
      </c>
      <c r="DD133" s="778">
        <f t="shared" ca="1" si="272"/>
        <v>0</v>
      </c>
      <c r="DE133" s="363">
        <f t="shared" ca="1" si="273"/>
        <v>0.48680038887296539</v>
      </c>
      <c r="DF133" s="378">
        <f t="shared" ca="1" si="274"/>
        <v>-0.39313913450680754</v>
      </c>
      <c r="DG133" s="508">
        <f t="shared" ca="1" si="275"/>
        <v>-0.61242916479225573</v>
      </c>
      <c r="DH133" s="508">
        <f t="shared" ca="1" si="276"/>
        <v>-0.67347141964309376</v>
      </c>
      <c r="DI133" s="508">
        <f t="shared" ca="1" si="277"/>
        <v>-1.1613969966587208</v>
      </c>
      <c r="DJ133" s="508">
        <f t="shared" ca="1" si="278"/>
        <v>-0.57160658488091731</v>
      </c>
      <c r="DK133" s="353">
        <f t="shared" ca="1" si="279"/>
        <v>-102.78444751888298</v>
      </c>
      <c r="DL133" s="781">
        <f t="shared" ca="1" si="280"/>
        <v>5.5509331486945319</v>
      </c>
      <c r="DM133" s="303">
        <f t="shared" ca="1" si="281"/>
        <v>8807.3561257300262</v>
      </c>
      <c r="DN133" s="508">
        <f t="shared" ca="1" si="282"/>
        <v>1.5594705317365412</v>
      </c>
      <c r="DO133" s="508">
        <f t="shared" ca="1" si="283"/>
        <v>1.5079086108448543</v>
      </c>
      <c r="DP133" s="508">
        <f t="shared" ca="1" si="284"/>
        <v>1.49349453502056</v>
      </c>
      <c r="DQ133" s="508">
        <f t="shared" ca="1" si="285"/>
        <v>1.4326762745106019</v>
      </c>
      <c r="DR133" s="508">
        <f t="shared" ca="1" si="286"/>
        <v>1.5105007800328907</v>
      </c>
      <c r="DS133" s="353">
        <f t="shared" ca="1" si="287"/>
        <v>4021.151028063698</v>
      </c>
      <c r="DT133" s="353">
        <f t="shared" ca="1" si="288"/>
        <v>-9789.7825716945808</v>
      </c>
      <c r="DU133" s="380">
        <f t="shared" ca="1" si="388"/>
        <v>9.7494866529774136</v>
      </c>
      <c r="DV133" s="303">
        <f t="shared" ca="1" si="289"/>
        <v>171.35373688328383</v>
      </c>
      <c r="DW133" s="303">
        <f t="shared" ca="1" si="290"/>
        <v>31.155224887869785</v>
      </c>
      <c r="DX133" s="303">
        <f t="shared" ca="1" si="291"/>
        <v>38.944031109837233</v>
      </c>
      <c r="DY133" s="303">
        <f t="shared" ca="1" si="292"/>
        <v>241.45299288099085</v>
      </c>
      <c r="DZ133" s="303">
        <f t="shared" ca="1" si="293"/>
        <v>120.72649644049542</v>
      </c>
      <c r="EA133" s="303">
        <f t="shared" ca="1" si="294"/>
        <v>362.17948932148624</v>
      </c>
      <c r="EB133" s="302">
        <f t="shared" ca="1" si="295"/>
        <v>32.499000430107117</v>
      </c>
      <c r="EC133" s="299">
        <f t="shared" ca="1" si="296"/>
        <v>27.666647456337607</v>
      </c>
      <c r="ED133" s="299">
        <f t="shared" ca="1" si="297"/>
        <v>26.449185740971185</v>
      </c>
      <c r="EE133" s="299">
        <f t="shared" ca="1" si="298"/>
        <v>30.899694451372994</v>
      </c>
      <c r="EF133" s="299">
        <f t="shared" ca="1" si="299"/>
        <v>21.87499940004199</v>
      </c>
      <c r="EG133" s="299">
        <f t="shared" ca="1" si="300"/>
        <v>27.891462767595996</v>
      </c>
      <c r="EH133" s="302">
        <f t="shared" ca="1" si="301"/>
        <v>30</v>
      </c>
      <c r="EI133" s="304">
        <f t="shared" ca="1" si="302"/>
        <v>8.2575941082549578E-2</v>
      </c>
      <c r="EJ133" s="305">
        <f t="shared" ca="1" si="303"/>
        <v>8.2575941082549578E-2</v>
      </c>
      <c r="EK133" s="305">
        <f t="shared" ca="1" si="304"/>
        <v>8.2575941082549578E-2</v>
      </c>
      <c r="EL133" s="305">
        <f t="shared" ca="1" si="305"/>
        <v>8.257594108254962E-2</v>
      </c>
      <c r="EM133" s="305">
        <f t="shared" ca="1" si="306"/>
        <v>2.5012432863904491E-2</v>
      </c>
      <c r="EN133" s="305">
        <f t="shared" ca="1" si="307"/>
        <v>6.4825927083928869E-2</v>
      </c>
      <c r="EO133" s="305">
        <f t="shared" ca="1" si="308"/>
        <v>8.2575941082549578E-2</v>
      </c>
      <c r="EP133" s="305">
        <f t="shared" ca="1" si="309"/>
        <v>8.2575941082549578E-2</v>
      </c>
      <c r="EQ133" s="305">
        <f t="shared" ca="1" si="310"/>
        <v>8.2575941082549578E-2</v>
      </c>
      <c r="ER133" s="305">
        <f t="shared" ca="1" si="311"/>
        <v>2.5012432863904491E-2</v>
      </c>
      <c r="ES133" s="305">
        <f t="shared" ca="1" si="312"/>
        <v>6.4825927083928869E-2</v>
      </c>
      <c r="ET133" s="299">
        <f t="shared" ca="1" si="313"/>
        <v>3.5367254086821944</v>
      </c>
      <c r="EU133" s="302">
        <f t="shared" ca="1" si="314"/>
        <v>30</v>
      </c>
      <c r="EV133" s="304">
        <f t="shared" ca="1" si="315"/>
        <v>0.24772782324764875</v>
      </c>
      <c r="EW133" s="305">
        <f t="shared" ca="1" si="316"/>
        <v>0.24772782324764875</v>
      </c>
      <c r="EX133" s="305">
        <f t="shared" ca="1" si="317"/>
        <v>0.24772782324764875</v>
      </c>
      <c r="EY133" s="305">
        <f t="shared" ca="1" si="318"/>
        <v>0.24772782324764872</v>
      </c>
      <c r="EZ133" s="305">
        <f t="shared" ca="1" si="319"/>
        <v>7.5037298591713472E-2</v>
      </c>
      <c r="FA133" s="305">
        <f t="shared" ca="1" si="320"/>
        <v>0.20177695469947229</v>
      </c>
      <c r="FB133" s="305">
        <f t="shared" ca="1" si="321"/>
        <v>0.24772782324764875</v>
      </c>
      <c r="FC133" s="305">
        <f t="shared" ca="1" si="322"/>
        <v>0.24772782324764875</v>
      </c>
      <c r="FD133" s="305">
        <f t="shared" ca="1" si="323"/>
        <v>0.24772782324764875</v>
      </c>
      <c r="FE133" s="305">
        <f t="shared" ca="1" si="324"/>
        <v>7.5037298591713472E-2</v>
      </c>
      <c r="FF133" s="305">
        <f t="shared" ca="1" si="325"/>
        <v>0.20177695469947229</v>
      </c>
      <c r="FG133" s="299">
        <f t="shared" ca="1" si="326"/>
        <v>6.1488121196613257</v>
      </c>
      <c r="FH133" s="302">
        <f t="shared" ca="1" si="327"/>
        <v>-2.6120867109791313</v>
      </c>
      <c r="FI133" s="248">
        <f t="shared" ca="1" si="328"/>
        <v>-946.04423104586238</v>
      </c>
      <c r="FJ133" s="363">
        <f t="shared" ca="1" si="329"/>
        <v>0.48680038887296539</v>
      </c>
      <c r="FK133" s="378">
        <f t="shared" ca="1" si="330"/>
        <v>0.18140223918901238</v>
      </c>
      <c r="FL133" s="508">
        <f t="shared" ca="1" si="331"/>
        <v>-0.44295352380565212</v>
      </c>
      <c r="FM133" s="508">
        <f t="shared" ca="1" si="332"/>
        <v>-0.6174914609791885</v>
      </c>
      <c r="FN133" s="508">
        <f t="shared" ca="1" si="333"/>
        <v>-4.0833012008033709</v>
      </c>
      <c r="FO133" s="508">
        <f t="shared" ca="1" si="334"/>
        <v>-0.46124556753440316</v>
      </c>
      <c r="FP133" s="353">
        <f t="shared" ca="1" si="335"/>
        <v>245.44497218197222</v>
      </c>
      <c r="FQ133" s="356">
        <f t="shared" ca="1" si="336"/>
        <v>21.39319790259627</v>
      </c>
      <c r="FR133" s="380">
        <f t="shared" ca="1" si="337"/>
        <v>26.492000000000001</v>
      </c>
      <c r="FS133" s="299">
        <f t="shared" ca="1" si="338"/>
        <v>26.492000000000001</v>
      </c>
      <c r="FT133" s="299">
        <f t="shared" ca="1" si="339"/>
        <v>26.492000000000001</v>
      </c>
      <c r="FU133" s="299">
        <f t="shared" ca="1" si="340"/>
        <v>26.492000000000001</v>
      </c>
      <c r="FV133" s="299">
        <f t="shared" ca="1" si="341"/>
        <v>26.492000000000001</v>
      </c>
      <c r="FW133" s="850">
        <f t="shared" ca="1" si="342"/>
        <v>0.16250000000000001</v>
      </c>
      <c r="FX133" s="851">
        <f t="shared" ca="1" si="343"/>
        <v>0.5</v>
      </c>
      <c r="FY133" s="851">
        <f t="shared" ca="1" si="344"/>
        <v>0</v>
      </c>
      <c r="FZ133" s="201">
        <f t="shared" ca="1" si="345"/>
        <v>0</v>
      </c>
      <c r="GA133" s="201">
        <f t="shared" ca="1" si="346"/>
        <v>0</v>
      </c>
      <c r="GB133" s="201">
        <f t="shared" ca="1" si="347"/>
        <v>0</v>
      </c>
      <c r="GC133" s="201">
        <f t="shared" ca="1" si="348"/>
        <v>0</v>
      </c>
      <c r="GD133" s="850">
        <f t="shared" ca="1" si="349"/>
        <v>0.26272782324764876</v>
      </c>
      <c r="GE133" s="866">
        <f t="shared" ca="1" si="350"/>
        <v>0.24772782324764875</v>
      </c>
      <c r="GF133" s="866">
        <f t="shared" ca="1" si="351"/>
        <v>0.24772782324764875</v>
      </c>
      <c r="GG133" s="866">
        <f t="shared" ca="1" si="352"/>
        <v>9.0037298591713472E-2</v>
      </c>
      <c r="GH133" s="866">
        <f t="shared" ca="1" si="353"/>
        <v>0.20177695469947229</v>
      </c>
      <c r="GI133" s="302">
        <f t="shared" ca="1" si="354"/>
        <v>11.58164662264797</v>
      </c>
      <c r="GJ133" s="299">
        <f t="shared" ca="1" si="355"/>
        <v>7.8150768938366655</v>
      </c>
      <c r="GK133" s="299">
        <f t="shared" ca="1" si="356"/>
        <v>7.030115978806216</v>
      </c>
      <c r="GL133" s="299">
        <f t="shared" ca="1" si="357"/>
        <v>2.2897413710345558</v>
      </c>
      <c r="GM133" s="299">
        <f t="shared" ca="1" si="358"/>
        <v>6.9131082747755039</v>
      </c>
      <c r="GN133" s="302">
        <f t="shared" ca="1" si="359"/>
        <v>0.74006205761512234</v>
      </c>
      <c r="GO133" s="299">
        <f t="shared" ca="1" si="360"/>
        <v>0.65691846746003069</v>
      </c>
      <c r="GP133" s="299">
        <f t="shared" ca="1" si="361"/>
        <v>0.63230009373137841</v>
      </c>
      <c r="GQ133" s="299">
        <f t="shared" ca="1" si="362"/>
        <v>0.41495366795493932</v>
      </c>
      <c r="GR133" s="299">
        <f t="shared" ca="1" si="363"/>
        <v>0.64737783094384593</v>
      </c>
      <c r="GS133" s="302">
        <f t="shared" ca="1" si="364"/>
        <v>-0.47069430263646039</v>
      </c>
      <c r="GT133" s="299">
        <f t="shared" ca="1" si="365"/>
        <v>-0.39104850181738393</v>
      </c>
      <c r="GU133" s="299">
        <f t="shared" ca="1" si="366"/>
        <v>-0.365910735780486</v>
      </c>
      <c r="GV133" s="299">
        <f t="shared" ca="1" si="367"/>
        <v>-0.25620449631088743</v>
      </c>
      <c r="GW133" s="299">
        <f t="shared" ca="1" si="368"/>
        <v>-0.42062534745311464</v>
      </c>
      <c r="GX133" s="303">
        <f t="shared" ca="1" si="369"/>
        <v>1984.5584280523931</v>
      </c>
      <c r="GY133" s="303">
        <f t="shared" ca="1" si="370"/>
        <v>243.48047814347618</v>
      </c>
      <c r="GZ133" s="303">
        <f t="shared" ca="1" si="371"/>
        <v>273.78105538439308</v>
      </c>
      <c r="HA133" s="303">
        <f t="shared" ca="1" si="372"/>
        <v>276.4324534798584</v>
      </c>
      <c r="HB133" s="303">
        <f t="shared" ca="1" si="373"/>
        <v>2503.7860245823326</v>
      </c>
      <c r="HC133" s="303">
        <f t="shared" ca="1" si="374"/>
        <v>1029.3219711583474</v>
      </c>
      <c r="HD133" s="303">
        <f t="shared" ca="1" si="375"/>
        <v>36.596405666162326</v>
      </c>
      <c r="HE133" s="303">
        <f t="shared" ca="1" si="376"/>
        <v>0</v>
      </c>
      <c r="HF133" s="303">
        <f t="shared" ca="1" si="377"/>
        <v>0</v>
      </c>
      <c r="HG133" s="852">
        <f t="shared" ca="1" si="378"/>
        <v>506.8567104923514</v>
      </c>
    </row>
    <row r="134" spans="1:215" x14ac:dyDescent="0.25">
      <c r="A134" s="244">
        <f t="shared" ca="1" si="379"/>
        <v>40179</v>
      </c>
      <c r="B134" s="13">
        <f t="shared" ca="1" si="412"/>
        <v>2010</v>
      </c>
      <c r="C134" s="619">
        <f t="shared" ca="1" si="413"/>
        <v>1</v>
      </c>
      <c r="D134" s="195">
        <f t="shared" ca="1" si="209"/>
        <v>40179</v>
      </c>
      <c r="E134" s="469">
        <f t="shared" ca="1" si="210"/>
        <v>40179</v>
      </c>
      <c r="F134" s="465">
        <f t="shared" ca="1" si="211"/>
        <v>40209</v>
      </c>
      <c r="G134" s="522">
        <f t="shared" ca="1" si="380"/>
        <v>1</v>
      </c>
      <c r="H134" s="519">
        <f t="shared" ca="1" si="381"/>
        <v>1</v>
      </c>
      <c r="I134" s="724">
        <f t="shared" ca="1" si="414"/>
        <v>7.4174586579002E-2</v>
      </c>
      <c r="J134" s="198">
        <f t="shared" ca="1" si="213"/>
        <v>0.48373001478463451</v>
      </c>
      <c r="K134" s="200">
        <f t="shared" ca="1" si="389"/>
        <v>35.950000000000003</v>
      </c>
      <c r="L134" s="201">
        <f t="shared" ca="1" si="390"/>
        <v>37.450000000000003</v>
      </c>
      <c r="M134" s="206">
        <f t="shared" ca="1" si="391"/>
        <v>38.950000000000003</v>
      </c>
      <c r="N134" s="851">
        <f t="shared" ca="1" si="395"/>
        <v>28.923748779296869</v>
      </c>
      <c r="O134" s="201">
        <f t="shared" ca="1" si="396"/>
        <v>30.048748779296869</v>
      </c>
      <c r="P134" s="206">
        <f t="shared" ca="1" si="397"/>
        <v>31.173748779296869</v>
      </c>
      <c r="Q134" s="201">
        <f t="shared" ca="1" si="398"/>
        <v>24.25250053405761</v>
      </c>
      <c r="R134" s="201">
        <f t="shared" ca="1" si="399"/>
        <v>28.552500534057611</v>
      </c>
      <c r="S134" s="201">
        <f t="shared" ca="1" si="400"/>
        <v>32.852500534057612</v>
      </c>
      <c r="T134" s="851">
        <f t="shared" ca="1" si="392"/>
        <v>20.440000152587888</v>
      </c>
      <c r="U134" s="201">
        <f t="shared" ca="1" si="393"/>
        <v>21.190000152587888</v>
      </c>
      <c r="V134" s="206">
        <f t="shared" ca="1" si="394"/>
        <v>21.940000152587888</v>
      </c>
      <c r="W134" s="230">
        <f t="shared" ca="1" si="382"/>
        <v>8.9180291476032195E-2</v>
      </c>
      <c r="X134" s="231">
        <f t="shared" ca="1" si="383"/>
        <v>0.17836058295206439</v>
      </c>
      <c r="Y134" s="232">
        <f t="shared" ca="1" si="384"/>
        <v>0.2675408744280966</v>
      </c>
      <c r="Z134" s="231">
        <f t="shared" ca="1" si="404"/>
        <v>8.9180291476032195E-2</v>
      </c>
      <c r="AA134" s="231">
        <f t="shared" ca="1" si="405"/>
        <v>0.17836058295206439</v>
      </c>
      <c r="AB134" s="232">
        <f t="shared" ca="1" si="406"/>
        <v>0.2675408744280966</v>
      </c>
      <c r="AC134" s="231">
        <f t="shared" ca="1" si="407"/>
        <v>8.9180291476032195E-2</v>
      </c>
      <c r="AD134" s="231">
        <f t="shared" ca="1" si="408"/>
        <v>0.17836058295206439</v>
      </c>
      <c r="AE134" s="232">
        <f t="shared" ca="1" si="214"/>
        <v>0.2675408744280966</v>
      </c>
      <c r="AF134" s="231">
        <f t="shared" ca="1" si="385"/>
        <v>2.8597548241064145E-2</v>
      </c>
      <c r="AG134" s="231">
        <f t="shared" ca="1" si="386"/>
        <v>5.719509648212829E-2</v>
      </c>
      <c r="AH134" s="232">
        <f t="shared" ca="1" si="387"/>
        <v>8.5792644723192438E-2</v>
      </c>
      <c r="AI134" s="233">
        <f t="shared" ca="1" si="215"/>
        <v>1.25</v>
      </c>
      <c r="AJ134" s="233">
        <f t="shared" ca="1" si="216"/>
        <v>2</v>
      </c>
      <c r="AK134" s="234">
        <f t="shared" ca="1" si="217"/>
        <v>2.75</v>
      </c>
      <c r="AL134" s="919">
        <f t="shared" ca="1" si="218"/>
        <v>1.25</v>
      </c>
      <c r="AM134" s="233">
        <f t="shared" ca="1" si="219"/>
        <v>2</v>
      </c>
      <c r="AN134" s="234">
        <f t="shared" ca="1" si="220"/>
        <v>2.75</v>
      </c>
      <c r="AO134" s="233">
        <f t="shared" ca="1" si="221"/>
        <v>1.25</v>
      </c>
      <c r="AP134" s="233">
        <f t="shared" ca="1" si="222"/>
        <v>2</v>
      </c>
      <c r="AQ134" s="233">
        <f t="shared" ca="1" si="223"/>
        <v>2.75</v>
      </c>
      <c r="AR134" s="919">
        <f t="shared" ca="1" si="224"/>
        <v>0.35</v>
      </c>
      <c r="AS134" s="233">
        <f t="shared" ca="1" si="225"/>
        <v>0.5</v>
      </c>
      <c r="AT134" s="235">
        <f t="shared" ca="1" si="226"/>
        <v>0.7</v>
      </c>
      <c r="AU134" s="946">
        <f t="shared" si="227"/>
        <v>0.5</v>
      </c>
      <c r="AV134" s="13">
        <f t="shared" ca="1" si="228"/>
        <v>20</v>
      </c>
      <c r="AW134" s="210">
        <f t="shared" ca="1" si="229"/>
        <v>5</v>
      </c>
      <c r="AX134" s="210">
        <f t="shared" ca="1" si="230"/>
        <v>5</v>
      </c>
      <c r="AY134" s="210">
        <f t="shared" ca="1" si="231"/>
        <v>1</v>
      </c>
      <c r="AZ134" s="13">
        <f t="shared" ca="1" si="232"/>
        <v>31</v>
      </c>
      <c r="BA134" s="357">
        <f ca="1"/>
        <v>320</v>
      </c>
      <c r="BB134" s="925">
        <f ca="1"/>
        <v>80</v>
      </c>
      <c r="BC134" s="925">
        <f ca="1"/>
        <v>96</v>
      </c>
      <c r="BD134" s="928">
        <f ca="1"/>
        <v>248</v>
      </c>
      <c r="BE134" s="200">
        <f ca="1"/>
        <v>0.99998503923416138</v>
      </c>
      <c r="BF134" s="851">
        <f ca="1"/>
        <v>0.99998503923416138</v>
      </c>
      <c r="BG134" s="851">
        <f ca="1"/>
        <v>0.99998503923416138</v>
      </c>
      <c r="BH134" s="933">
        <f ca="1"/>
        <v>1.0000070855021477</v>
      </c>
      <c r="BI134" s="357">
        <f ca="1"/>
        <v>320</v>
      </c>
      <c r="BJ134" s="925">
        <f ca="1"/>
        <v>80</v>
      </c>
      <c r="BK134" s="925">
        <f ca="1"/>
        <v>96</v>
      </c>
      <c r="BL134" s="928">
        <f ca="1"/>
        <v>248</v>
      </c>
      <c r="BM134" s="200">
        <f ca="1"/>
        <v>0.99998503923416138</v>
      </c>
      <c r="BN134" s="851">
        <f ca="1"/>
        <v>0.99998503923416138</v>
      </c>
      <c r="BO134" s="851">
        <f ca="1"/>
        <v>0.99998503923416138</v>
      </c>
      <c r="BP134" s="933">
        <f ca="1"/>
        <v>1.0000070855021477</v>
      </c>
      <c r="BQ134" s="357">
        <f t="shared" ca="1" si="233"/>
        <v>744</v>
      </c>
      <c r="BR134" s="361">
        <f t="shared" ca="1" si="234"/>
        <v>744</v>
      </c>
      <c r="BS134" s="357">
        <f t="shared" ca="1" si="235"/>
        <v>359.89513099976807</v>
      </c>
      <c r="BT134" s="302">
        <f t="shared" ca="1" si="236"/>
        <v>28.514857997442132</v>
      </c>
      <c r="BU134" s="299">
        <f t="shared" ca="1" si="237"/>
        <v>30.085807748064088</v>
      </c>
      <c r="BV134" s="299">
        <f t="shared" ca="1" si="238"/>
        <v>31.656757498686041</v>
      </c>
      <c r="BW134" s="299">
        <f t="shared" ca="1" si="239"/>
        <v>32.659889647739881</v>
      </c>
      <c r="BX134" s="380">
        <f t="shared" ca="1" si="240"/>
        <v>9.8343600273785086</v>
      </c>
      <c r="BY134" s="363">
        <f t="shared" ca="1" si="241"/>
        <v>154.79360473108304</v>
      </c>
      <c r="BZ134" s="353">
        <f t="shared" ca="1" si="242"/>
        <v>38.698401182770759</v>
      </c>
      <c r="CA134" s="353">
        <f t="shared" ca="1" si="243"/>
        <v>46.438081419324917</v>
      </c>
      <c r="CB134" s="353">
        <f t="shared" ca="1" si="244"/>
        <v>239.93008733317873</v>
      </c>
      <c r="CC134" s="353">
        <f t="shared" ca="1" si="245"/>
        <v>119.96504366658935</v>
      </c>
      <c r="CD134" s="353">
        <f t="shared" ca="1" si="246"/>
        <v>359.89513099976807</v>
      </c>
      <c r="CE134" s="302">
        <f t="shared" ca="1" si="247"/>
        <v>38.949417278170586</v>
      </c>
      <c r="CF134" s="299">
        <f t="shared" ca="1" si="248"/>
        <v>31.173282396141069</v>
      </c>
      <c r="CG134" s="299">
        <f t="shared" ca="1" si="249"/>
        <v>32.852009035489907</v>
      </c>
      <c r="CH134" s="299">
        <f t="shared" ca="1" si="250"/>
        <v>36.515058443776013</v>
      </c>
      <c r="CI134" s="299">
        <f t="shared" ca="1" si="251"/>
        <v>21.940155608506089</v>
      </c>
      <c r="CJ134" s="299">
        <f t="shared" ca="1" si="252"/>
        <v>31.656757498686037</v>
      </c>
      <c r="CK134" s="299">
        <f t="shared" ca="1" si="253"/>
        <v>32.659889647739881</v>
      </c>
      <c r="CL134" s="377">
        <f t="shared" ca="1" si="254"/>
        <v>0.2675408744280966</v>
      </c>
      <c r="CM134" s="305">
        <f t="shared" ca="1" si="255"/>
        <v>0.2675408744280966</v>
      </c>
      <c r="CN134" s="305">
        <f t="shared" ca="1" si="256"/>
        <v>0.2675408744280966</v>
      </c>
      <c r="CO134" s="305">
        <f t="shared" ca="1" si="257"/>
        <v>0.2675408744280966</v>
      </c>
      <c r="CP134" s="305">
        <f t="shared" ca="1" si="258"/>
        <v>8.5792644723192438E-2</v>
      </c>
      <c r="CQ134" s="305">
        <f t="shared" ca="1" si="259"/>
        <v>0.22573888062975683</v>
      </c>
      <c r="CR134" s="775">
        <f t="shared" ca="1" si="260"/>
        <v>0.28254087442809661</v>
      </c>
      <c r="CS134" s="305">
        <f t="shared" ca="1" si="261"/>
        <v>0.2675408744280966</v>
      </c>
      <c r="CT134" s="305">
        <f t="shared" ca="1" si="262"/>
        <v>0.2675408744280966</v>
      </c>
      <c r="CU134" s="305">
        <f t="shared" ca="1" si="263"/>
        <v>0.14579264472319242</v>
      </c>
      <c r="CV134" s="770">
        <f t="shared" ca="1" si="264"/>
        <v>0.22573888062975683</v>
      </c>
      <c r="CW134" s="302">
        <f t="shared" ca="1" si="265"/>
        <v>15.624062773789676</v>
      </c>
      <c r="CX134" s="299">
        <f t="shared" ca="1" si="266"/>
        <v>9.6494500399145249</v>
      </c>
      <c r="CY134" s="299">
        <f t="shared" ca="1" si="267"/>
        <v>10.746903233667751</v>
      </c>
      <c r="CZ134" s="299">
        <f t="shared" ca="1" si="268"/>
        <v>1.2775019361144242</v>
      </c>
      <c r="DA134" s="774">
        <f t="shared" ca="1" si="269"/>
        <v>8.4026114044190212</v>
      </c>
      <c r="DB134" s="303">
        <f t="shared" ca="1" si="270"/>
        <v>3024.0589321335287</v>
      </c>
      <c r="DC134" s="248">
        <f t="shared" ca="1" si="271"/>
        <v>223.7385324836313</v>
      </c>
      <c r="DD134" s="778">
        <f t="shared" ca="1" si="272"/>
        <v>0</v>
      </c>
      <c r="DE134" s="363">
        <f t="shared" ca="1" si="273"/>
        <v>0.48373001478463451</v>
      </c>
      <c r="DF134" s="378">
        <f t="shared" ca="1" si="274"/>
        <v>-0.24425382394281073</v>
      </c>
      <c r="DG134" s="508">
        <f t="shared" ca="1" si="275"/>
        <v>-0.47502703365755355</v>
      </c>
      <c r="DH134" s="508">
        <f t="shared" ca="1" si="276"/>
        <v>-0.41251051697224178</v>
      </c>
      <c r="DI134" s="508">
        <f t="shared" ca="1" si="277"/>
        <v>-1.0987389122058127</v>
      </c>
      <c r="DJ134" s="508">
        <f t="shared" ca="1" si="278"/>
        <v>-0.39802383457878593</v>
      </c>
      <c r="DK134" s="353">
        <f t="shared" ca="1" si="279"/>
        <v>-124.27407557674468</v>
      </c>
      <c r="DL134" s="781">
        <f t="shared" ca="1" si="280"/>
        <v>5.7370809400094043</v>
      </c>
      <c r="DM134" s="303">
        <f t="shared" ca="1" si="281"/>
        <v>10040.131111209303</v>
      </c>
      <c r="DN134" s="508">
        <f t="shared" ca="1" si="282"/>
        <v>1.623997837708326</v>
      </c>
      <c r="DO134" s="508">
        <f t="shared" ca="1" si="283"/>
        <v>1.5529754432140079</v>
      </c>
      <c r="DP134" s="508">
        <f t="shared" ca="1" si="284"/>
        <v>1.5697028394938233</v>
      </c>
      <c r="DQ134" s="508">
        <f t="shared" ca="1" si="285"/>
        <v>1.440960008443728</v>
      </c>
      <c r="DR134" s="508">
        <f t="shared" ca="1" si="286"/>
        <v>1.5578835694753976</v>
      </c>
      <c r="DS134" s="353">
        <f t="shared" ca="1" si="287"/>
        <v>4235.5428877630347</v>
      </c>
      <c r="DT134" s="353">
        <f t="shared" ca="1" si="288"/>
        <v>-10412.002801632481</v>
      </c>
      <c r="DU134" s="380">
        <f t="shared" ca="1" si="388"/>
        <v>9.8343600273785086</v>
      </c>
      <c r="DV134" s="303">
        <f t="shared" ca="1" si="289"/>
        <v>154.79360473108304</v>
      </c>
      <c r="DW134" s="303">
        <f t="shared" ca="1" si="290"/>
        <v>38.698401182770759</v>
      </c>
      <c r="DX134" s="303">
        <f t="shared" ca="1" si="291"/>
        <v>46.438081419324917</v>
      </c>
      <c r="DY134" s="303">
        <f t="shared" ca="1" si="292"/>
        <v>239.93008733317873</v>
      </c>
      <c r="DZ134" s="303">
        <f t="shared" ca="1" si="293"/>
        <v>119.96504366658935</v>
      </c>
      <c r="EA134" s="303">
        <f t="shared" ca="1" si="294"/>
        <v>359.89513099976807</v>
      </c>
      <c r="EB134" s="302">
        <f t="shared" ca="1" si="295"/>
        <v>38.949417278170586</v>
      </c>
      <c r="EC134" s="299">
        <f t="shared" ca="1" si="296"/>
        <v>31.173282396141069</v>
      </c>
      <c r="ED134" s="299">
        <f t="shared" ca="1" si="297"/>
        <v>32.852009035489907</v>
      </c>
      <c r="EE134" s="299">
        <f t="shared" ca="1" si="298"/>
        <v>36.515058443776013</v>
      </c>
      <c r="EF134" s="299">
        <f t="shared" ca="1" si="299"/>
        <v>21.940155608506089</v>
      </c>
      <c r="EG134" s="299">
        <f t="shared" ca="1" si="300"/>
        <v>31.656757498686037</v>
      </c>
      <c r="EH134" s="302">
        <f t="shared" ca="1" si="301"/>
        <v>30</v>
      </c>
      <c r="EI134" s="304">
        <f t="shared" ca="1" si="302"/>
        <v>8.9180291476032195E-2</v>
      </c>
      <c r="EJ134" s="305">
        <f t="shared" ca="1" si="303"/>
        <v>8.9180291476032195E-2</v>
      </c>
      <c r="EK134" s="305">
        <f t="shared" ca="1" si="304"/>
        <v>8.9180291476032195E-2</v>
      </c>
      <c r="EL134" s="305">
        <f t="shared" ca="1" si="305"/>
        <v>8.9180291476032236E-2</v>
      </c>
      <c r="EM134" s="305">
        <f t="shared" ca="1" si="306"/>
        <v>2.8597548241064145E-2</v>
      </c>
      <c r="EN134" s="305">
        <f t="shared" ca="1" si="307"/>
        <v>7.2480249359472143E-2</v>
      </c>
      <c r="EO134" s="305">
        <f t="shared" ca="1" si="308"/>
        <v>8.9180291476032195E-2</v>
      </c>
      <c r="EP134" s="305">
        <f t="shared" ca="1" si="309"/>
        <v>8.9180291476032195E-2</v>
      </c>
      <c r="EQ134" s="305">
        <f t="shared" ca="1" si="310"/>
        <v>8.9180291476032195E-2</v>
      </c>
      <c r="ER134" s="305">
        <f t="shared" ca="1" si="311"/>
        <v>2.8597548241064145E-2</v>
      </c>
      <c r="ES134" s="305">
        <f t="shared" ca="1" si="312"/>
        <v>7.2480249359472143E-2</v>
      </c>
      <c r="ET134" s="299">
        <f t="shared" ca="1" si="313"/>
        <v>2.038361008344781</v>
      </c>
      <c r="EU134" s="302">
        <f t="shared" ca="1" si="314"/>
        <v>30</v>
      </c>
      <c r="EV134" s="304">
        <f t="shared" ca="1" si="315"/>
        <v>0.2675408744280966</v>
      </c>
      <c r="EW134" s="305">
        <f t="shared" ca="1" si="316"/>
        <v>0.2675408744280966</v>
      </c>
      <c r="EX134" s="305">
        <f t="shared" ca="1" si="317"/>
        <v>0.2675408744280966</v>
      </c>
      <c r="EY134" s="305">
        <f t="shared" ca="1" si="318"/>
        <v>0.2675408744280966</v>
      </c>
      <c r="EZ134" s="305">
        <f t="shared" ca="1" si="319"/>
        <v>8.5792644723192438E-2</v>
      </c>
      <c r="FA134" s="305">
        <f t="shared" ca="1" si="320"/>
        <v>0.22573888062975683</v>
      </c>
      <c r="FB134" s="305">
        <f t="shared" ca="1" si="321"/>
        <v>0.2675408744280966</v>
      </c>
      <c r="FC134" s="305">
        <f t="shared" ca="1" si="322"/>
        <v>0.2675408744280966</v>
      </c>
      <c r="FD134" s="305">
        <f t="shared" ca="1" si="323"/>
        <v>0.2675408744280966</v>
      </c>
      <c r="FE134" s="305">
        <f t="shared" ca="1" si="324"/>
        <v>8.5792644723192438E-2</v>
      </c>
      <c r="FF134" s="305">
        <f t="shared" ca="1" si="325"/>
        <v>0.22573888062975683</v>
      </c>
      <c r="FG134" s="299">
        <f t="shared" ca="1" si="326"/>
        <v>9.3799333611930908</v>
      </c>
      <c r="FH134" s="302">
        <f t="shared" ca="1" si="327"/>
        <v>-7.3415723528483099</v>
      </c>
      <c r="FI134" s="248">
        <f t="shared" ca="1" si="328"/>
        <v>-2642.1961436726178</v>
      </c>
      <c r="FJ134" s="363">
        <f t="shared" ca="1" si="329"/>
        <v>0.48373001478463451</v>
      </c>
      <c r="FK134" s="378">
        <f t="shared" ca="1" si="330"/>
        <v>0.79365502493329942</v>
      </c>
      <c r="FL134" s="508">
        <f t="shared" ca="1" si="331"/>
        <v>-2.6564815608726877E-3</v>
      </c>
      <c r="FM134" s="508">
        <f t="shared" ca="1" si="332"/>
        <v>0.1848930684950629</v>
      </c>
      <c r="FN134" s="508">
        <f t="shared" ca="1" si="333"/>
        <v>-3.5336266546883137</v>
      </c>
      <c r="FO134" s="508">
        <f t="shared" ca="1" si="334"/>
        <v>0.12284573241937462</v>
      </c>
      <c r="FP134" s="353">
        <f t="shared" ca="1" si="335"/>
        <v>162.35394359455898</v>
      </c>
      <c r="FQ134" s="356">
        <f t="shared" ca="1" si="336"/>
        <v>20.897544085198149</v>
      </c>
      <c r="FR134" s="380">
        <f t="shared" ca="1" si="337"/>
        <v>27.08</v>
      </c>
      <c r="FS134" s="299">
        <f t="shared" ca="1" si="338"/>
        <v>27.08</v>
      </c>
      <c r="FT134" s="299">
        <f t="shared" ca="1" si="339"/>
        <v>27.08</v>
      </c>
      <c r="FU134" s="299">
        <f t="shared" ca="1" si="340"/>
        <v>27.08</v>
      </c>
      <c r="FV134" s="299">
        <f t="shared" ca="1" si="341"/>
        <v>27.08</v>
      </c>
      <c r="FW134" s="850">
        <f t="shared" ca="1" si="342"/>
        <v>0.1575</v>
      </c>
      <c r="FX134" s="851">
        <f t="shared" ca="1" si="343"/>
        <v>0.5</v>
      </c>
      <c r="FY134" s="851">
        <f t="shared" ca="1" si="344"/>
        <v>0</v>
      </c>
      <c r="FZ134" s="201">
        <f t="shared" ca="1" si="345"/>
        <v>0</v>
      </c>
      <c r="GA134" s="201">
        <f t="shared" ca="1" si="346"/>
        <v>0</v>
      </c>
      <c r="GB134" s="201">
        <f t="shared" ca="1" si="347"/>
        <v>0</v>
      </c>
      <c r="GC134" s="201">
        <f t="shared" ca="1" si="348"/>
        <v>0</v>
      </c>
      <c r="GD134" s="850">
        <f t="shared" ca="1" si="349"/>
        <v>0.28254087442809661</v>
      </c>
      <c r="GE134" s="866">
        <f t="shared" ca="1" si="350"/>
        <v>0.28254087442809661</v>
      </c>
      <c r="GF134" s="866">
        <f t="shared" ca="1" si="351"/>
        <v>0.28254087442809661</v>
      </c>
      <c r="GG134" s="866">
        <f t="shared" ca="1" si="352"/>
        <v>0.10329264472319244</v>
      </c>
      <c r="GH134" s="866">
        <f t="shared" ca="1" si="353"/>
        <v>0.24073888062975685</v>
      </c>
      <c r="GI134" s="302">
        <f t="shared" ca="1" si="354"/>
        <v>16.836900953816436</v>
      </c>
      <c r="GJ134" s="299">
        <f t="shared" ca="1" si="355"/>
        <v>10.905517992525176</v>
      </c>
      <c r="GK134" s="299">
        <f t="shared" ca="1" si="356"/>
        <v>12.124879488129588</v>
      </c>
      <c r="GL134" s="299">
        <f t="shared" ca="1" si="357"/>
        <v>2.121797863419999</v>
      </c>
      <c r="GM134" s="299">
        <f t="shared" ca="1" si="358"/>
        <v>10.130589811889754</v>
      </c>
      <c r="GN134" s="302">
        <f t="shared" ca="1" si="359"/>
        <v>0.80431866137459995</v>
      </c>
      <c r="GO134" s="299">
        <f t="shared" ca="1" si="360"/>
        <v>0.71483191956018111</v>
      </c>
      <c r="GP134" s="299">
        <f t="shared" ca="1" si="361"/>
        <v>0.73753426509933928</v>
      </c>
      <c r="GQ134" s="299">
        <f t="shared" ca="1" si="362"/>
        <v>0.39474288223645249</v>
      </c>
      <c r="GR134" s="299">
        <f t="shared" ca="1" si="363"/>
        <v>0.71470718577054038</v>
      </c>
      <c r="GS134" s="302">
        <f t="shared" ca="1" si="364"/>
        <v>-0.53511238991319232</v>
      </c>
      <c r="GT134" s="299">
        <f t="shared" ca="1" si="365"/>
        <v>-0.42016782566480732</v>
      </c>
      <c r="GU134" s="299">
        <f t="shared" ca="1" si="366"/>
        <v>-0.44699436558457034</v>
      </c>
      <c r="GV134" s="299">
        <f t="shared" ca="1" si="367"/>
        <v>-0.24146683104147548</v>
      </c>
      <c r="GW134" s="299">
        <f t="shared" ca="1" si="368"/>
        <v>-0.46140051469482657</v>
      </c>
      <c r="GX134" s="303">
        <f t="shared" ca="1" si="369"/>
        <v>2606.2445911414561</v>
      </c>
      <c r="GY134" s="303">
        <f t="shared" ca="1" si="370"/>
        <v>422.02611038066408</v>
      </c>
      <c r="GZ134" s="303">
        <f t="shared" ca="1" si="371"/>
        <v>563.05614086926448</v>
      </c>
      <c r="HA134" s="303">
        <f t="shared" ca="1" si="372"/>
        <v>254.54157333685617</v>
      </c>
      <c r="HB134" s="303">
        <f t="shared" ca="1" si="373"/>
        <v>3645.9499474549789</v>
      </c>
      <c r="HC134" s="303">
        <f t="shared" ca="1" si="374"/>
        <v>1837.3098865454253</v>
      </c>
      <c r="HD134" s="303">
        <f t="shared" ca="1" si="375"/>
        <v>158.40348432024032</v>
      </c>
      <c r="HE134" s="303">
        <f t="shared" ca="1" si="376"/>
        <v>268.04102554315944</v>
      </c>
      <c r="HF134" s="303">
        <f t="shared" ca="1" si="377"/>
        <v>0</v>
      </c>
      <c r="HG134" s="852">
        <f t="shared" ca="1" si="378"/>
        <v>1647.1527395437829</v>
      </c>
    </row>
    <row r="135" spans="1:215" x14ac:dyDescent="0.25">
      <c r="A135" s="244">
        <f t="shared" ca="1" si="379"/>
        <v>40210</v>
      </c>
      <c r="B135" s="13">
        <f t="shared" ca="1" si="412"/>
        <v>2010</v>
      </c>
      <c r="C135" s="619">
        <f t="shared" ca="1" si="413"/>
        <v>2</v>
      </c>
      <c r="D135" s="195" t="str">
        <f t="shared" ca="1" si="209"/>
        <v/>
      </c>
      <c r="E135" s="469">
        <f t="shared" ca="1" si="210"/>
        <v>40210</v>
      </c>
      <c r="F135" s="465">
        <f t="shared" ca="1" si="211"/>
        <v>40237</v>
      </c>
      <c r="G135" s="522">
        <f t="shared" ca="1" si="380"/>
        <v>1</v>
      </c>
      <c r="H135" s="519">
        <f t="shared" ca="1" si="381"/>
        <v>1</v>
      </c>
      <c r="I135" s="724">
        <f t="shared" ca="1" si="414"/>
        <v>7.4189872036813001E-2</v>
      </c>
      <c r="J135" s="198">
        <f t="shared" ca="1" si="213"/>
        <v>0.48096549532935601</v>
      </c>
      <c r="K135" s="200">
        <f t="shared" ca="1" si="389"/>
        <v>35.950000000000003</v>
      </c>
      <c r="L135" s="201">
        <f t="shared" ca="1" si="390"/>
        <v>37.450000000000003</v>
      </c>
      <c r="M135" s="206">
        <f t="shared" ca="1" si="391"/>
        <v>38.950000000000003</v>
      </c>
      <c r="N135" s="851">
        <f t="shared" ca="1" si="395"/>
        <v>27.921250152587884</v>
      </c>
      <c r="O135" s="201">
        <f t="shared" ca="1" si="396"/>
        <v>29.046250152587884</v>
      </c>
      <c r="P135" s="206">
        <f t="shared" ca="1" si="397"/>
        <v>30.171250152587884</v>
      </c>
      <c r="Q135" s="201">
        <f t="shared" ca="1" si="398"/>
        <v>22.247499465942376</v>
      </c>
      <c r="R135" s="201">
        <f t="shared" ca="1" si="399"/>
        <v>26.547499465942376</v>
      </c>
      <c r="S135" s="201">
        <f t="shared" ca="1" si="400"/>
        <v>30.847499465942377</v>
      </c>
      <c r="T135" s="851">
        <f t="shared" ca="1" si="392"/>
        <v>20.249997711181638</v>
      </c>
      <c r="U135" s="201">
        <f t="shared" ca="1" si="393"/>
        <v>20.999997711181638</v>
      </c>
      <c r="V135" s="206">
        <f t="shared" ca="1" si="394"/>
        <v>21.749997711181638</v>
      </c>
      <c r="W135" s="230">
        <f t="shared" ca="1" si="382"/>
        <v>8.6029044427409163E-2</v>
      </c>
      <c r="X135" s="231">
        <f t="shared" ca="1" si="383"/>
        <v>0.17205808885481833</v>
      </c>
      <c r="Y135" s="232">
        <f t="shared" ca="1" si="384"/>
        <v>0.25808713328222749</v>
      </c>
      <c r="Z135" s="231">
        <f t="shared" ca="1" si="404"/>
        <v>8.6029044427409163E-2</v>
      </c>
      <c r="AA135" s="231">
        <f t="shared" ca="1" si="405"/>
        <v>0.17205808885481833</v>
      </c>
      <c r="AB135" s="232">
        <f t="shared" ca="1" si="406"/>
        <v>0.25808713328222749</v>
      </c>
      <c r="AC135" s="231">
        <f t="shared" ca="1" si="407"/>
        <v>8.6029044427409163E-2</v>
      </c>
      <c r="AD135" s="231">
        <f t="shared" ca="1" si="408"/>
        <v>0.17205808885481833</v>
      </c>
      <c r="AE135" s="232">
        <f t="shared" ca="1" si="214"/>
        <v>0.25808713328222749</v>
      </c>
      <c r="AF135" s="231">
        <f t="shared" ca="1" si="385"/>
        <v>2.8597548241064145E-2</v>
      </c>
      <c r="AG135" s="231">
        <f t="shared" ca="1" si="386"/>
        <v>5.719509648212829E-2</v>
      </c>
      <c r="AH135" s="232">
        <f t="shared" ca="1" si="387"/>
        <v>8.5792644723192438E-2</v>
      </c>
      <c r="AI135" s="233">
        <f t="shared" ca="1" si="215"/>
        <v>1.25</v>
      </c>
      <c r="AJ135" s="233">
        <f t="shared" ca="1" si="216"/>
        <v>2</v>
      </c>
      <c r="AK135" s="234">
        <f t="shared" ca="1" si="217"/>
        <v>2.75</v>
      </c>
      <c r="AL135" s="919">
        <f t="shared" ca="1" si="218"/>
        <v>1.25</v>
      </c>
      <c r="AM135" s="233">
        <f t="shared" ca="1" si="219"/>
        <v>2</v>
      </c>
      <c r="AN135" s="234">
        <f t="shared" ca="1" si="220"/>
        <v>2.75</v>
      </c>
      <c r="AO135" s="233">
        <f t="shared" ca="1" si="221"/>
        <v>1.25</v>
      </c>
      <c r="AP135" s="233">
        <f t="shared" ca="1" si="222"/>
        <v>2</v>
      </c>
      <c r="AQ135" s="233">
        <f t="shared" ca="1" si="223"/>
        <v>2.75</v>
      </c>
      <c r="AR135" s="919">
        <f t="shared" ca="1" si="224"/>
        <v>0.35</v>
      </c>
      <c r="AS135" s="233">
        <f t="shared" ca="1" si="225"/>
        <v>0.5</v>
      </c>
      <c r="AT135" s="235">
        <f t="shared" ca="1" si="226"/>
        <v>0.7</v>
      </c>
      <c r="AU135" s="946">
        <f t="shared" si="227"/>
        <v>0.5</v>
      </c>
      <c r="AV135" s="13">
        <f t="shared" ca="1" si="228"/>
        <v>20</v>
      </c>
      <c r="AW135" s="210">
        <f t="shared" ca="1" si="229"/>
        <v>4</v>
      </c>
      <c r="AX135" s="210">
        <f t="shared" ca="1" si="230"/>
        <v>4</v>
      </c>
      <c r="AY135" s="210">
        <f t="shared" ca="1" si="231"/>
        <v>0</v>
      </c>
      <c r="AZ135" s="13">
        <f t="shared" ca="1" si="232"/>
        <v>28</v>
      </c>
      <c r="BA135" s="357">
        <f ca="1"/>
        <v>320</v>
      </c>
      <c r="BB135" s="925">
        <f ca="1"/>
        <v>64</v>
      </c>
      <c r="BC135" s="925">
        <f ca="1"/>
        <v>64</v>
      </c>
      <c r="BD135" s="928">
        <f ca="1"/>
        <v>224</v>
      </c>
      <c r="BE135" s="200">
        <f ca="1"/>
        <v>0.99998503923416138</v>
      </c>
      <c r="BF135" s="851">
        <f ca="1"/>
        <v>0.99998503923416138</v>
      </c>
      <c r="BG135" s="851">
        <f ca="1"/>
        <v>0.99998503923416138</v>
      </c>
      <c r="BH135" s="933">
        <f ca="1"/>
        <v>1.0000070855021477</v>
      </c>
      <c r="BI135" s="357">
        <f ca="1"/>
        <v>320</v>
      </c>
      <c r="BJ135" s="925">
        <f ca="1"/>
        <v>64</v>
      </c>
      <c r="BK135" s="925">
        <f ca="1"/>
        <v>64</v>
      </c>
      <c r="BL135" s="928">
        <f ca="1"/>
        <v>224</v>
      </c>
      <c r="BM135" s="200">
        <f ca="1"/>
        <v>0.99998503923416138</v>
      </c>
      <c r="BN135" s="851">
        <f ca="1"/>
        <v>0.99998503923416138</v>
      </c>
      <c r="BO135" s="851">
        <f ca="1"/>
        <v>0.99998503923416138</v>
      </c>
      <c r="BP135" s="933">
        <f ca="1"/>
        <v>1.0000070855021477</v>
      </c>
      <c r="BQ135" s="357">
        <f t="shared" ca="1" si="233"/>
        <v>672</v>
      </c>
      <c r="BR135" s="361">
        <f t="shared" ca="1" si="234"/>
        <v>672</v>
      </c>
      <c r="BS135" s="357">
        <f t="shared" ca="1" si="235"/>
        <v>323.20881286132726</v>
      </c>
      <c r="BT135" s="302">
        <f t="shared" ca="1" si="236"/>
        <v>28.646743241142765</v>
      </c>
      <c r="BU135" s="299">
        <f t="shared" ca="1" si="237"/>
        <v>30.12767897748035</v>
      </c>
      <c r="BV135" s="299">
        <f t="shared" ca="1" si="238"/>
        <v>31.608614713817939</v>
      </c>
      <c r="BW135" s="299">
        <f t="shared" ca="1" si="239"/>
        <v>32.659889647739881</v>
      </c>
      <c r="BX135" s="380">
        <f t="shared" ca="1" si="240"/>
        <v>9.9192334017796036</v>
      </c>
      <c r="BY135" s="363">
        <f t="shared" ca="1" si="241"/>
        <v>153.90895850539391</v>
      </c>
      <c r="BZ135" s="353">
        <f t="shared" ca="1" si="242"/>
        <v>30.781791701078784</v>
      </c>
      <c r="CA135" s="353">
        <f t="shared" ca="1" si="243"/>
        <v>30.781791701078784</v>
      </c>
      <c r="CB135" s="353">
        <f t="shared" ca="1" si="244"/>
        <v>215.47254190755149</v>
      </c>
      <c r="CC135" s="353">
        <f t="shared" ca="1" si="245"/>
        <v>107.73627095377574</v>
      </c>
      <c r="CD135" s="353">
        <f t="shared" ca="1" si="246"/>
        <v>323.20881286132726</v>
      </c>
      <c r="CE135" s="302">
        <f t="shared" ca="1" si="247"/>
        <v>38.949417278170586</v>
      </c>
      <c r="CF135" s="299">
        <f t="shared" ca="1" si="248"/>
        <v>30.170798767579292</v>
      </c>
      <c r="CG135" s="299">
        <f t="shared" ca="1" si="249"/>
        <v>30.847037963726159</v>
      </c>
      <c r="CH135" s="299">
        <f t="shared" ca="1" si="250"/>
        <v>36.537846160308341</v>
      </c>
      <c r="CI135" s="299">
        <f t="shared" ca="1" si="251"/>
        <v>21.750151820837132</v>
      </c>
      <c r="CJ135" s="299">
        <f t="shared" ca="1" si="252"/>
        <v>31.608614713817936</v>
      </c>
      <c r="CK135" s="299">
        <f t="shared" ca="1" si="253"/>
        <v>32.659889647739881</v>
      </c>
      <c r="CL135" s="377">
        <f t="shared" ca="1" si="254"/>
        <v>0.25808713328222749</v>
      </c>
      <c r="CM135" s="305">
        <f t="shared" ca="1" si="255"/>
        <v>0.25808713328222749</v>
      </c>
      <c r="CN135" s="305">
        <f t="shared" ca="1" si="256"/>
        <v>0.25808713328222749</v>
      </c>
      <c r="CO135" s="305">
        <f t="shared" ca="1" si="257"/>
        <v>0.25808713328222749</v>
      </c>
      <c r="CP135" s="305">
        <f t="shared" ca="1" si="258"/>
        <v>8.5792644723192438E-2</v>
      </c>
      <c r="CQ135" s="305">
        <f t="shared" ca="1" si="259"/>
        <v>0.21781837801844939</v>
      </c>
      <c r="CR135" s="775">
        <f t="shared" ca="1" si="260"/>
        <v>0.2730871332822275</v>
      </c>
      <c r="CS135" s="305">
        <f t="shared" ca="1" si="261"/>
        <v>0.25808713328222749</v>
      </c>
      <c r="CT135" s="305">
        <f t="shared" ca="1" si="262"/>
        <v>0.25808713328222749</v>
      </c>
      <c r="CU135" s="305">
        <f t="shared" ca="1" si="263"/>
        <v>0.14579264472319242</v>
      </c>
      <c r="CV135" s="770">
        <f t="shared" ca="1" si="264"/>
        <v>0.21781837801844939</v>
      </c>
      <c r="CW135" s="302">
        <f t="shared" ca="1" si="265"/>
        <v>15.295030303373998</v>
      </c>
      <c r="CX135" s="299">
        <f t="shared" ca="1" si="266"/>
        <v>8.713616688209699</v>
      </c>
      <c r="CY135" s="299">
        <f t="shared" ca="1" si="267"/>
        <v>9.1372724423448979</v>
      </c>
      <c r="CZ135" s="299">
        <f t="shared" ca="1" si="268"/>
        <v>1.2423294029893901</v>
      </c>
      <c r="DA135" s="774">
        <f t="shared" ca="1" si="269"/>
        <v>8.1088498527757285</v>
      </c>
      <c r="DB135" s="303">
        <f t="shared" ca="1" si="270"/>
        <v>2620.8517345863916</v>
      </c>
      <c r="DC135" s="248">
        <f t="shared" ca="1" si="271"/>
        <v>199.13643058834489</v>
      </c>
      <c r="DD135" s="778">
        <f t="shared" ca="1" si="272"/>
        <v>0</v>
      </c>
      <c r="DE135" s="363">
        <f t="shared" ca="1" si="273"/>
        <v>0.48096549532935601</v>
      </c>
      <c r="DF135" s="378">
        <f t="shared" ca="1" si="274"/>
        <v>-0.22527499335771023</v>
      </c>
      <c r="DG135" s="508">
        <f t="shared" ca="1" si="275"/>
        <v>-0.50394642293614289</v>
      </c>
      <c r="DH135" s="508">
        <f t="shared" ca="1" si="276"/>
        <v>-0.47667637494993786</v>
      </c>
      <c r="DI135" s="508">
        <f t="shared" ca="1" si="277"/>
        <v>-1.1149350104816296</v>
      </c>
      <c r="DJ135" s="508">
        <f t="shared" ca="1" si="278"/>
        <v>-0.39070032059054177</v>
      </c>
      <c r="DK135" s="353">
        <f t="shared" ca="1" si="279"/>
        <v>-112.47971464373504</v>
      </c>
      <c r="DL135" s="781">
        <f t="shared" ca="1" si="280"/>
        <v>5.3321006333435728</v>
      </c>
      <c r="DM135" s="303">
        <f t="shared" ca="1" si="281"/>
        <v>9018.3249745095964</v>
      </c>
      <c r="DN135" s="508">
        <f t="shared" ca="1" si="282"/>
        <v>1.6305079224584826</v>
      </c>
      <c r="DO135" s="508">
        <f t="shared" ca="1" si="283"/>
        <v>1.5494105009860148</v>
      </c>
      <c r="DP135" s="508">
        <f t="shared" ca="1" si="284"/>
        <v>1.5564492533704817</v>
      </c>
      <c r="DQ135" s="508">
        <f t="shared" ca="1" si="285"/>
        <v>1.4454929118583131</v>
      </c>
      <c r="DR135" s="508">
        <f t="shared" ca="1" si="286"/>
        <v>1.5641938325642497</v>
      </c>
      <c r="DS135" s="353">
        <f t="shared" ca="1" si="287"/>
        <v>3776.9679273180805</v>
      </c>
      <c r="DT135" s="353">
        <f t="shared" ca="1" si="288"/>
        <v>-9364.8122631352162</v>
      </c>
      <c r="DU135" s="380">
        <f t="shared" ca="1" si="388"/>
        <v>9.9192334017796036</v>
      </c>
      <c r="DV135" s="303">
        <f t="shared" ca="1" si="289"/>
        <v>153.90895850539391</v>
      </c>
      <c r="DW135" s="303">
        <f t="shared" ca="1" si="290"/>
        <v>30.781791701078784</v>
      </c>
      <c r="DX135" s="303">
        <f t="shared" ca="1" si="291"/>
        <v>30.781791701078784</v>
      </c>
      <c r="DY135" s="303">
        <f t="shared" ca="1" si="292"/>
        <v>215.47254190755149</v>
      </c>
      <c r="DZ135" s="303">
        <f t="shared" ca="1" si="293"/>
        <v>107.73627095377574</v>
      </c>
      <c r="EA135" s="303">
        <f t="shared" ca="1" si="294"/>
        <v>323.20881286132726</v>
      </c>
      <c r="EB135" s="302">
        <f t="shared" ca="1" si="295"/>
        <v>38.949417278170586</v>
      </c>
      <c r="EC135" s="299">
        <f t="shared" ca="1" si="296"/>
        <v>30.170798767579292</v>
      </c>
      <c r="ED135" s="299">
        <f t="shared" ca="1" si="297"/>
        <v>30.847037963726159</v>
      </c>
      <c r="EE135" s="299">
        <f t="shared" ca="1" si="298"/>
        <v>36.537846160308341</v>
      </c>
      <c r="EF135" s="299">
        <f t="shared" ca="1" si="299"/>
        <v>21.750151820837132</v>
      </c>
      <c r="EG135" s="299">
        <f t="shared" ca="1" si="300"/>
        <v>31.608614713817936</v>
      </c>
      <c r="EH135" s="302">
        <f t="shared" ca="1" si="301"/>
        <v>30</v>
      </c>
      <c r="EI135" s="304">
        <f t="shared" ca="1" si="302"/>
        <v>8.6029044427409163E-2</v>
      </c>
      <c r="EJ135" s="305">
        <f t="shared" ca="1" si="303"/>
        <v>8.6029044427409163E-2</v>
      </c>
      <c r="EK135" s="305">
        <f t="shared" ca="1" si="304"/>
        <v>8.6029044427409163E-2</v>
      </c>
      <c r="EL135" s="305">
        <f t="shared" ca="1" si="305"/>
        <v>8.6029044427409149E-2</v>
      </c>
      <c r="EM135" s="305">
        <f t="shared" ca="1" si="306"/>
        <v>2.8597548241064145E-2</v>
      </c>
      <c r="EN135" s="305">
        <f t="shared" ca="1" si="307"/>
        <v>7.0137914886067507E-2</v>
      </c>
      <c r="EO135" s="305">
        <f t="shared" ca="1" si="308"/>
        <v>8.6029044427409163E-2</v>
      </c>
      <c r="EP135" s="305">
        <f t="shared" ca="1" si="309"/>
        <v>8.6029044427409163E-2</v>
      </c>
      <c r="EQ135" s="305">
        <f t="shared" ca="1" si="310"/>
        <v>8.6029044427409163E-2</v>
      </c>
      <c r="ER135" s="305">
        <f t="shared" ca="1" si="311"/>
        <v>2.8597548241064145E-2</v>
      </c>
      <c r="ES135" s="305">
        <f t="shared" ca="1" si="312"/>
        <v>7.0137914886067507E-2</v>
      </c>
      <c r="ET135" s="299">
        <f t="shared" ca="1" si="313"/>
        <v>1.9798846818105673</v>
      </c>
      <c r="EU135" s="302">
        <f t="shared" ca="1" si="314"/>
        <v>30</v>
      </c>
      <c r="EV135" s="304">
        <f t="shared" ca="1" si="315"/>
        <v>0.25808713328222749</v>
      </c>
      <c r="EW135" s="305">
        <f t="shared" ca="1" si="316"/>
        <v>0.25808713328222749</v>
      </c>
      <c r="EX135" s="305">
        <f t="shared" ca="1" si="317"/>
        <v>0.25808713328222749</v>
      </c>
      <c r="EY135" s="305">
        <f t="shared" ca="1" si="318"/>
        <v>0.25808713328222749</v>
      </c>
      <c r="EZ135" s="305">
        <f t="shared" ca="1" si="319"/>
        <v>8.5792644723192438E-2</v>
      </c>
      <c r="FA135" s="305">
        <f t="shared" ca="1" si="320"/>
        <v>0.21781837801844939</v>
      </c>
      <c r="FB135" s="305">
        <f t="shared" ca="1" si="321"/>
        <v>0.25808713328222749</v>
      </c>
      <c r="FC135" s="305">
        <f t="shared" ca="1" si="322"/>
        <v>0.25808713328222749</v>
      </c>
      <c r="FD135" s="305">
        <f t="shared" ca="1" si="323"/>
        <v>0.25808713328222749</v>
      </c>
      <c r="FE135" s="305">
        <f t="shared" ca="1" si="324"/>
        <v>8.5792644723192438E-2</v>
      </c>
      <c r="FF135" s="305">
        <f t="shared" ca="1" si="325"/>
        <v>0.21781837801844939</v>
      </c>
      <c r="FG135" s="299">
        <f t="shared" ca="1" si="326"/>
        <v>9.0954233657545824</v>
      </c>
      <c r="FH135" s="302">
        <f t="shared" ca="1" si="327"/>
        <v>-7.1155386839440151</v>
      </c>
      <c r="FI135" s="248">
        <f t="shared" ca="1" si="328"/>
        <v>-2299.8048109063961</v>
      </c>
      <c r="FJ135" s="363">
        <f t="shared" ca="1" si="329"/>
        <v>0.48096549532935601</v>
      </c>
      <c r="FK135" s="378">
        <f t="shared" ca="1" si="330"/>
        <v>0.82806018793581637</v>
      </c>
      <c r="FL135" s="508">
        <f t="shared" ca="1" si="331"/>
        <v>-0.11452045177759276</v>
      </c>
      <c r="FM135" s="508">
        <f t="shared" ca="1" si="332"/>
        <v>-3.2710307818977977E-2</v>
      </c>
      <c r="FN135" s="508">
        <f t="shared" ca="1" si="333"/>
        <v>-3.6154318213502661</v>
      </c>
      <c r="FO135" s="508">
        <f t="shared" ca="1" si="334"/>
        <v>0.12600537191187106</v>
      </c>
      <c r="FP135" s="353">
        <f t="shared" ca="1" si="335"/>
        <v>145.39994366037118</v>
      </c>
      <c r="FQ135" s="356">
        <f t="shared" ca="1" si="336"/>
        <v>19.303344418816454</v>
      </c>
      <c r="FR135" s="380">
        <f t="shared" ca="1" si="337"/>
        <v>26.136000000000003</v>
      </c>
      <c r="FS135" s="299">
        <f t="shared" ca="1" si="338"/>
        <v>26.136000000000003</v>
      </c>
      <c r="FT135" s="299">
        <f t="shared" ca="1" si="339"/>
        <v>26.136000000000003</v>
      </c>
      <c r="FU135" s="299">
        <f t="shared" ca="1" si="340"/>
        <v>26.136000000000003</v>
      </c>
      <c r="FV135" s="299">
        <f t="shared" ca="1" si="341"/>
        <v>26.135999999999996</v>
      </c>
      <c r="FW135" s="850">
        <f t="shared" ca="1" si="342"/>
        <v>0.1575</v>
      </c>
      <c r="FX135" s="851">
        <f t="shared" ca="1" si="343"/>
        <v>0.5</v>
      </c>
      <c r="FY135" s="851">
        <f t="shared" ca="1" si="344"/>
        <v>0</v>
      </c>
      <c r="FZ135" s="201">
        <f t="shared" ca="1" si="345"/>
        <v>0</v>
      </c>
      <c r="GA135" s="201">
        <f t="shared" ca="1" si="346"/>
        <v>0</v>
      </c>
      <c r="GB135" s="201">
        <f t="shared" ca="1" si="347"/>
        <v>0</v>
      </c>
      <c r="GC135" s="201">
        <f t="shared" ca="1" si="348"/>
        <v>0</v>
      </c>
      <c r="GD135" s="850">
        <f t="shared" ca="1" si="349"/>
        <v>0.2730871332822275</v>
      </c>
      <c r="GE135" s="866">
        <f t="shared" ca="1" si="350"/>
        <v>0.2730871332822275</v>
      </c>
      <c r="GF135" s="866">
        <f t="shared" ca="1" si="351"/>
        <v>0.2730871332822275</v>
      </c>
      <c r="GG135" s="866">
        <f t="shared" ca="1" si="352"/>
        <v>0.10079264472319244</v>
      </c>
      <c r="GH135" s="866">
        <f t="shared" ca="1" si="353"/>
        <v>0.2328183780184494</v>
      </c>
      <c r="GI135" s="302">
        <f t="shared" ca="1" si="354"/>
        <v>17.131463362879302</v>
      </c>
      <c r="GJ135" s="299">
        <f t="shared" ca="1" si="355"/>
        <v>10.368005424886258</v>
      </c>
      <c r="GK135" s="299">
        <f t="shared" ca="1" si="356"/>
        <v>10.85441643256874</v>
      </c>
      <c r="GL135" s="299">
        <f t="shared" ca="1" si="357"/>
        <v>2.286264419600887</v>
      </c>
      <c r="GM135" s="299">
        <f t="shared" ca="1" si="358"/>
        <v>10.37392598395372</v>
      </c>
      <c r="GN135" s="302">
        <f t="shared" ca="1" si="359"/>
        <v>0.81790362825454199</v>
      </c>
      <c r="GO135" s="299">
        <f t="shared" ca="1" si="360"/>
        <v>0.71425931802619014</v>
      </c>
      <c r="GP135" s="299">
        <f t="shared" ca="1" si="361"/>
        <v>0.72425009424029174</v>
      </c>
      <c r="GQ135" s="299">
        <f t="shared" ca="1" si="362"/>
        <v>0.41896265831460927</v>
      </c>
      <c r="GR135" s="299">
        <f t="shared" ca="1" si="363"/>
        <v>0.73151213590520225</v>
      </c>
      <c r="GS135" s="302">
        <f t="shared" ca="1" si="364"/>
        <v>-0.56341476783507338</v>
      </c>
      <c r="GT135" s="299">
        <f t="shared" ca="1" si="365"/>
        <v>-0.42783035460317098</v>
      </c>
      <c r="GU135" s="299">
        <f t="shared" ca="1" si="366"/>
        <v>-0.43949183771341715</v>
      </c>
      <c r="GV135" s="299">
        <f t="shared" ca="1" si="367"/>
        <v>-0.26118138001472258</v>
      </c>
      <c r="GW135" s="299">
        <f t="shared" ca="1" si="368"/>
        <v>-0.4877625539147753</v>
      </c>
      <c r="GX135" s="303">
        <f t="shared" ca="1" si="369"/>
        <v>2636.6856838540666</v>
      </c>
      <c r="GY135" s="303">
        <f t="shared" ca="1" si="370"/>
        <v>319.14578334450363</v>
      </c>
      <c r="GZ135" s="303">
        <f t="shared" ca="1" si="371"/>
        <v>334.11838566409762</v>
      </c>
      <c r="HA135" s="303">
        <f t="shared" ca="1" si="372"/>
        <v>246.31360298209799</v>
      </c>
      <c r="HB135" s="303">
        <f t="shared" ca="1" si="373"/>
        <v>3352.9443019849582</v>
      </c>
      <c r="HC135" s="303">
        <f t="shared" ca="1" si="374"/>
        <v>1972.0997081782536</v>
      </c>
      <c r="HD135" s="303">
        <f t="shared" ca="1" si="375"/>
        <v>124.19833521939508</v>
      </c>
      <c r="HE135" s="303">
        <f t="shared" ca="1" si="376"/>
        <v>145.01418929529288</v>
      </c>
      <c r="HF135" s="303">
        <f t="shared" ca="1" si="377"/>
        <v>0</v>
      </c>
      <c r="HG135" s="852">
        <f t="shared" ca="1" si="378"/>
        <v>1768.7973049005286</v>
      </c>
    </row>
    <row r="136" spans="1:215" x14ac:dyDescent="0.25">
      <c r="A136" s="244">
        <f t="shared" ca="1" si="379"/>
        <v>40238</v>
      </c>
      <c r="B136" s="13">
        <f t="shared" ca="1" si="412"/>
        <v>2010</v>
      </c>
      <c r="C136" s="619">
        <f t="shared" ca="1" si="413"/>
        <v>3</v>
      </c>
      <c r="D136" s="195" t="str">
        <f t="shared" ca="1" si="209"/>
        <v/>
      </c>
      <c r="E136" s="469">
        <f t="shared" ca="1" si="210"/>
        <v>40238</v>
      </c>
      <c r="F136" s="465">
        <f t="shared" ca="1" si="211"/>
        <v>40268</v>
      </c>
      <c r="G136" s="522">
        <f t="shared" ca="1" si="380"/>
        <v>1</v>
      </c>
      <c r="H136" s="519">
        <f t="shared" ca="1" si="381"/>
        <v>1</v>
      </c>
      <c r="I136" s="724">
        <f t="shared" ca="1" si="414"/>
        <v>7.4203678256838004E-2</v>
      </c>
      <c r="J136" s="198">
        <f t="shared" ca="1" si="213"/>
        <v>0.47793649822986561</v>
      </c>
      <c r="K136" s="200">
        <f t="shared" ca="1" si="389"/>
        <v>32.85</v>
      </c>
      <c r="L136" s="201">
        <f t="shared" ca="1" si="390"/>
        <v>33.700000000000003</v>
      </c>
      <c r="M136" s="206">
        <f t="shared" ca="1" si="391"/>
        <v>34.549999999999997</v>
      </c>
      <c r="N136" s="851">
        <f t="shared" ca="1" si="395"/>
        <v>21.597249603271479</v>
      </c>
      <c r="O136" s="201">
        <f t="shared" ca="1" si="396"/>
        <v>22.234749603271478</v>
      </c>
      <c r="P136" s="206">
        <f t="shared" ca="1" si="397"/>
        <v>22.872249603271477</v>
      </c>
      <c r="Q136" s="201">
        <f t="shared" ca="1" si="398"/>
        <v>17.56449890136718</v>
      </c>
      <c r="R136" s="201">
        <f t="shared" ca="1" si="399"/>
        <v>21.864498901367181</v>
      </c>
      <c r="S136" s="201">
        <f t="shared" ca="1" si="400"/>
        <v>26.164498901367182</v>
      </c>
      <c r="T136" s="851">
        <f t="shared" ca="1" si="392"/>
        <v>19.574999618530271</v>
      </c>
      <c r="U136" s="201">
        <f t="shared" ca="1" si="393"/>
        <v>19.999999618530271</v>
      </c>
      <c r="V136" s="206">
        <f t="shared" ca="1" si="394"/>
        <v>20.424999618530272</v>
      </c>
      <c r="W136" s="230">
        <f t="shared" ca="1" si="382"/>
        <v>8.3736512199535901E-2</v>
      </c>
      <c r="X136" s="231">
        <f t="shared" ca="1" si="383"/>
        <v>0.1674730243990718</v>
      </c>
      <c r="Y136" s="232">
        <f t="shared" ca="1" si="384"/>
        <v>0.25120953659860767</v>
      </c>
      <c r="Z136" s="231">
        <f t="shared" ca="1" si="404"/>
        <v>8.3736512199535901E-2</v>
      </c>
      <c r="AA136" s="231">
        <f t="shared" ca="1" si="405"/>
        <v>0.1674730243990718</v>
      </c>
      <c r="AB136" s="232">
        <f t="shared" ca="1" si="406"/>
        <v>0.25120953659860767</v>
      </c>
      <c r="AC136" s="231">
        <f t="shared" ca="1" si="407"/>
        <v>8.3736512199535901E-2</v>
      </c>
      <c r="AD136" s="231">
        <f t="shared" ca="1" si="408"/>
        <v>0.1674730243990718</v>
      </c>
      <c r="AE136" s="232">
        <f t="shared" ca="1" si="214"/>
        <v>0.25120953659860767</v>
      </c>
      <c r="AF136" s="231">
        <f t="shared" ca="1" si="385"/>
        <v>2.4512184206626399E-2</v>
      </c>
      <c r="AG136" s="231">
        <f t="shared" ca="1" si="386"/>
        <v>4.9024368413252799E-2</v>
      </c>
      <c r="AH136" s="232">
        <f t="shared" ca="1" si="387"/>
        <v>7.3536552619879195E-2</v>
      </c>
      <c r="AI136" s="233">
        <f t="shared" ca="1" si="215"/>
        <v>1.05</v>
      </c>
      <c r="AJ136" s="233">
        <f t="shared" ca="1" si="216"/>
        <v>1.3</v>
      </c>
      <c r="AK136" s="234">
        <f t="shared" ca="1" si="217"/>
        <v>1.6</v>
      </c>
      <c r="AL136" s="919">
        <f t="shared" ca="1" si="218"/>
        <v>1.05</v>
      </c>
      <c r="AM136" s="233">
        <f t="shared" ca="1" si="219"/>
        <v>1.3</v>
      </c>
      <c r="AN136" s="234">
        <f t="shared" ca="1" si="220"/>
        <v>1.6</v>
      </c>
      <c r="AO136" s="233">
        <f t="shared" ca="1" si="221"/>
        <v>1.05</v>
      </c>
      <c r="AP136" s="233">
        <f t="shared" ca="1" si="222"/>
        <v>1.3</v>
      </c>
      <c r="AQ136" s="233">
        <f t="shared" ca="1" si="223"/>
        <v>1.6</v>
      </c>
      <c r="AR136" s="919">
        <f t="shared" ca="1" si="224"/>
        <v>0.19999999999999998</v>
      </c>
      <c r="AS136" s="233">
        <f t="shared" ca="1" si="225"/>
        <v>0.35</v>
      </c>
      <c r="AT136" s="235">
        <f t="shared" ca="1" si="226"/>
        <v>0.55000000000000004</v>
      </c>
      <c r="AU136" s="946">
        <f t="shared" si="227"/>
        <v>0.5</v>
      </c>
      <c r="AV136" s="13">
        <f t="shared" ca="1" si="228"/>
        <v>23</v>
      </c>
      <c r="AW136" s="210">
        <f t="shared" ca="1" si="229"/>
        <v>4</v>
      </c>
      <c r="AX136" s="210">
        <f t="shared" ca="1" si="230"/>
        <v>4</v>
      </c>
      <c r="AY136" s="210">
        <f t="shared" ca="1" si="231"/>
        <v>0</v>
      </c>
      <c r="AZ136" s="13">
        <f t="shared" ca="1" si="232"/>
        <v>31</v>
      </c>
      <c r="BA136" s="357">
        <f ca="1"/>
        <v>368</v>
      </c>
      <c r="BB136" s="925">
        <f ca="1"/>
        <v>64</v>
      </c>
      <c r="BC136" s="925">
        <f ca="1"/>
        <v>64</v>
      </c>
      <c r="BD136" s="928">
        <f ca="1"/>
        <v>248</v>
      </c>
      <c r="BE136" s="200">
        <f ca="1"/>
        <v>0.99999375641345978</v>
      </c>
      <c r="BF136" s="851">
        <f ca="1"/>
        <v>0.99999375641345978</v>
      </c>
      <c r="BG136" s="851">
        <f ca="1"/>
        <v>0.99999375641345978</v>
      </c>
      <c r="BH136" s="933">
        <f ca="1"/>
        <v>0.99999988824129105</v>
      </c>
      <c r="BI136" s="357">
        <f ca="1"/>
        <v>368</v>
      </c>
      <c r="BJ136" s="925">
        <f ca="1"/>
        <v>64</v>
      </c>
      <c r="BK136" s="925">
        <f ca="1"/>
        <v>64</v>
      </c>
      <c r="BL136" s="928">
        <f ca="1"/>
        <v>248</v>
      </c>
      <c r="BM136" s="200">
        <f ca="1"/>
        <v>0.99999375641345978</v>
      </c>
      <c r="BN136" s="851">
        <f ca="1"/>
        <v>0.99999375641345978</v>
      </c>
      <c r="BO136" s="851">
        <f ca="1"/>
        <v>0.99999375641345978</v>
      </c>
      <c r="BP136" s="933">
        <f ca="1"/>
        <v>0.99999988824129105</v>
      </c>
      <c r="BQ136" s="357">
        <f t="shared" ca="1" si="233"/>
        <v>744</v>
      </c>
      <c r="BR136" s="361">
        <f t="shared" ca="1" si="234"/>
        <v>744</v>
      </c>
      <c r="BS136" s="357">
        <f t="shared" ca="1" si="235"/>
        <v>355.58475468302004</v>
      </c>
      <c r="BT136" s="302">
        <f t="shared" ca="1" si="236"/>
        <v>26.142016318621749</v>
      </c>
      <c r="BU136" s="299">
        <f t="shared" ca="1" si="237"/>
        <v>27.128838982940856</v>
      </c>
      <c r="BV136" s="299">
        <f t="shared" ca="1" si="238"/>
        <v>28.115661647259966</v>
      </c>
      <c r="BW136" s="299">
        <f t="shared" ca="1" si="239"/>
        <v>32.659889647739881</v>
      </c>
      <c r="BX136" s="380">
        <f t="shared" ca="1" si="240"/>
        <v>9.9958932238193015</v>
      </c>
      <c r="BY136" s="363">
        <f t="shared" ca="1" si="241"/>
        <v>175.88063134859055</v>
      </c>
      <c r="BZ136" s="353">
        <f t="shared" ca="1" si="242"/>
        <v>30.587935886711399</v>
      </c>
      <c r="CA136" s="353">
        <f t="shared" ca="1" si="243"/>
        <v>30.587935886711399</v>
      </c>
      <c r="CB136" s="353">
        <f t="shared" ca="1" si="244"/>
        <v>237.05650312201334</v>
      </c>
      <c r="CC136" s="353">
        <f t="shared" ca="1" si="245"/>
        <v>118.52825156100667</v>
      </c>
      <c r="CD136" s="353">
        <f t="shared" ca="1" si="246"/>
        <v>355.58475468302004</v>
      </c>
      <c r="CE136" s="302">
        <f t="shared" ca="1" si="247"/>
        <v>34.549784284085035</v>
      </c>
      <c r="CF136" s="299">
        <f t="shared" ca="1" si="248"/>
        <v>22.87210679840171</v>
      </c>
      <c r="CG136" s="299">
        <f t="shared" ca="1" si="249"/>
        <v>26.164335541054008</v>
      </c>
      <c r="CH136" s="299">
        <f t="shared" ca="1" si="250"/>
        <v>31.960993802960601</v>
      </c>
      <c r="CI136" s="299">
        <f t="shared" ca="1" si="251"/>
        <v>20.424997335858684</v>
      </c>
      <c r="CJ136" s="299">
        <f t="shared" ca="1" si="252"/>
        <v>28.115661647259959</v>
      </c>
      <c r="CK136" s="299">
        <f t="shared" ca="1" si="253"/>
        <v>32.659889647739881</v>
      </c>
      <c r="CL136" s="377">
        <f t="shared" ca="1" si="254"/>
        <v>0.25120953659860767</v>
      </c>
      <c r="CM136" s="305">
        <f t="shared" ca="1" si="255"/>
        <v>0.25120953659860767</v>
      </c>
      <c r="CN136" s="305">
        <f t="shared" ca="1" si="256"/>
        <v>0.25120953659860767</v>
      </c>
      <c r="CO136" s="305">
        <f t="shared" ca="1" si="257"/>
        <v>0.25120953659860767</v>
      </c>
      <c r="CP136" s="305">
        <f t="shared" ca="1" si="258"/>
        <v>7.3536552619879195E-2</v>
      </c>
      <c r="CQ136" s="305">
        <f t="shared" ca="1" si="259"/>
        <v>0.208407270726958</v>
      </c>
      <c r="CR136" s="775">
        <f t="shared" ca="1" si="260"/>
        <v>0.25370953659860768</v>
      </c>
      <c r="CS136" s="305">
        <f t="shared" ca="1" si="261"/>
        <v>0.30120953659860766</v>
      </c>
      <c r="CT136" s="305">
        <f t="shared" ca="1" si="262"/>
        <v>0.2762095365986077</v>
      </c>
      <c r="CU136" s="305">
        <f t="shared" ca="1" si="263"/>
        <v>0.13353655261987918</v>
      </c>
      <c r="CV136" s="770">
        <f t="shared" ca="1" si="264"/>
        <v>0.22340727072695798</v>
      </c>
      <c r="CW136" s="302">
        <f t="shared" ca="1" si="265"/>
        <v>11.441592232310702</v>
      </c>
      <c r="CX136" s="299">
        <f t="shared" ca="1" si="266"/>
        <v>5.9123603815398429</v>
      </c>
      <c r="CY136" s="299">
        <f t="shared" ca="1" si="267"/>
        <v>6.9796748389976484</v>
      </c>
      <c r="CZ136" s="299">
        <f t="shared" ca="1" si="268"/>
        <v>0.72035875321658027</v>
      </c>
      <c r="DA136" s="774">
        <f t="shared" ca="1" si="269"/>
        <v>6.2958786770373774</v>
      </c>
      <c r="DB136" s="303">
        <f t="shared" ca="1" si="270"/>
        <v>2238.7184748883924</v>
      </c>
      <c r="DC136" s="248">
        <f t="shared" ca="1" si="271"/>
        <v>197.73581645387424</v>
      </c>
      <c r="DD136" s="778">
        <f t="shared" ca="1" si="272"/>
        <v>0</v>
      </c>
      <c r="DE136" s="363">
        <f t="shared" ca="1" si="273"/>
        <v>0.47793649822986561</v>
      </c>
      <c r="DF136" s="378">
        <f t="shared" ca="1" si="274"/>
        <v>-0.33093780233948822</v>
      </c>
      <c r="DG136" s="508">
        <f t="shared" ca="1" si="275"/>
        <v>-0.85022420841322377</v>
      </c>
      <c r="DH136" s="508">
        <f t="shared" ca="1" si="276"/>
        <v>-0.69056655242385689</v>
      </c>
      <c r="DI136" s="508">
        <f t="shared" ca="1" si="277"/>
        <v>-1.3228824708123361</v>
      </c>
      <c r="DJ136" s="508">
        <f t="shared" ca="1" si="278"/>
        <v>-0.56527695611170015</v>
      </c>
      <c r="DK136" s="353">
        <f t="shared" ca="1" si="279"/>
        <v>-101.67685104340794</v>
      </c>
      <c r="DL136" s="781">
        <f t="shared" ca="1" si="280"/>
        <v>5.2413572085787896</v>
      </c>
      <c r="DM136" s="303">
        <f t="shared" ca="1" si="281"/>
        <v>8770.5263627370678</v>
      </c>
      <c r="DN136" s="508">
        <f t="shared" ca="1" si="282"/>
        <v>1.5984504290836692</v>
      </c>
      <c r="DO136" s="508">
        <f t="shared" ca="1" si="283"/>
        <v>1.4679719536418123</v>
      </c>
      <c r="DP136" s="508">
        <f t="shared" ca="1" si="284"/>
        <v>1.5105109742183438</v>
      </c>
      <c r="DQ136" s="508">
        <f t="shared" ca="1" si="285"/>
        <v>1.4321771283324864</v>
      </c>
      <c r="DR136" s="508">
        <f t="shared" ca="1" si="286"/>
        <v>1.5332640363713721</v>
      </c>
      <c r="DS136" s="353">
        <f t="shared" ca="1" si="287"/>
        <v>3892.4348167920466</v>
      </c>
      <c r="DT136" s="353">
        <f t="shared" ca="1" si="288"/>
        <v>-9717.3747002435266</v>
      </c>
      <c r="DU136" s="380">
        <f t="shared" ca="1" si="388"/>
        <v>9.9958932238193015</v>
      </c>
      <c r="DV136" s="303">
        <f t="shared" ca="1" si="289"/>
        <v>175.88063134859055</v>
      </c>
      <c r="DW136" s="303">
        <f t="shared" ca="1" si="290"/>
        <v>30.587935886711399</v>
      </c>
      <c r="DX136" s="303">
        <f t="shared" ca="1" si="291"/>
        <v>30.587935886711399</v>
      </c>
      <c r="DY136" s="303">
        <f t="shared" ca="1" si="292"/>
        <v>237.05650312201334</v>
      </c>
      <c r="DZ136" s="303">
        <f t="shared" ca="1" si="293"/>
        <v>118.52825156100667</v>
      </c>
      <c r="EA136" s="303">
        <f t="shared" ca="1" si="294"/>
        <v>355.58475468302004</v>
      </c>
      <c r="EB136" s="302">
        <f t="shared" ca="1" si="295"/>
        <v>34.549784284085035</v>
      </c>
      <c r="EC136" s="299">
        <f t="shared" ca="1" si="296"/>
        <v>22.87210679840171</v>
      </c>
      <c r="ED136" s="299">
        <f t="shared" ca="1" si="297"/>
        <v>26.164335541054008</v>
      </c>
      <c r="EE136" s="299">
        <f t="shared" ca="1" si="298"/>
        <v>31.960993802960601</v>
      </c>
      <c r="EF136" s="299">
        <f t="shared" ca="1" si="299"/>
        <v>20.424997335858684</v>
      </c>
      <c r="EG136" s="299">
        <f t="shared" ca="1" si="300"/>
        <v>28.115661647259959</v>
      </c>
      <c r="EH136" s="302">
        <f t="shared" ca="1" si="301"/>
        <v>30</v>
      </c>
      <c r="EI136" s="304">
        <f t="shared" ca="1" si="302"/>
        <v>8.3736512199535901E-2</v>
      </c>
      <c r="EJ136" s="305">
        <f t="shared" ca="1" si="303"/>
        <v>8.3736512199535901E-2</v>
      </c>
      <c r="EK136" s="305">
        <f t="shared" ca="1" si="304"/>
        <v>8.3736512199535901E-2</v>
      </c>
      <c r="EL136" s="305">
        <f t="shared" ca="1" si="305"/>
        <v>8.3736512199535887E-2</v>
      </c>
      <c r="EM136" s="305">
        <f t="shared" ca="1" si="306"/>
        <v>2.4512184206626399E-2</v>
      </c>
      <c r="EN136" s="305">
        <f t="shared" ca="1" si="307"/>
        <v>6.6959241767818506E-2</v>
      </c>
      <c r="EO136" s="305">
        <f t="shared" ca="1" si="308"/>
        <v>8.3736512199535901E-2</v>
      </c>
      <c r="EP136" s="305">
        <f t="shared" ca="1" si="309"/>
        <v>8.3736512199535901E-2</v>
      </c>
      <c r="EQ136" s="305">
        <f t="shared" ca="1" si="310"/>
        <v>8.3736512199535901E-2</v>
      </c>
      <c r="ER136" s="305">
        <f t="shared" ca="1" si="311"/>
        <v>2.4512184206626399E-2</v>
      </c>
      <c r="ES136" s="305">
        <f t="shared" ca="1" si="312"/>
        <v>6.6959241767818506E-2</v>
      </c>
      <c r="ET136" s="299">
        <f t="shared" ca="1" si="313"/>
        <v>3.5053423539957898</v>
      </c>
      <c r="EU136" s="302">
        <f t="shared" ca="1" si="314"/>
        <v>30</v>
      </c>
      <c r="EV136" s="304">
        <f t="shared" ca="1" si="315"/>
        <v>0.25120953659860767</v>
      </c>
      <c r="EW136" s="305">
        <f t="shared" ca="1" si="316"/>
        <v>0.25120953659860767</v>
      </c>
      <c r="EX136" s="305">
        <f t="shared" ca="1" si="317"/>
        <v>0.25120953659860767</v>
      </c>
      <c r="EY136" s="305">
        <f t="shared" ca="1" si="318"/>
        <v>0.25120953659860767</v>
      </c>
      <c r="EZ136" s="305">
        <f t="shared" ca="1" si="319"/>
        <v>7.3536552619879195E-2</v>
      </c>
      <c r="FA136" s="305">
        <f t="shared" ca="1" si="320"/>
        <v>0.208407270726958</v>
      </c>
      <c r="FB136" s="305">
        <f t="shared" ca="1" si="321"/>
        <v>0.25120953659860767</v>
      </c>
      <c r="FC136" s="305">
        <f t="shared" ca="1" si="322"/>
        <v>0.25120953659860767</v>
      </c>
      <c r="FD136" s="305">
        <f t="shared" ca="1" si="323"/>
        <v>0.25120953659860767</v>
      </c>
      <c r="FE136" s="305">
        <f t="shared" ca="1" si="324"/>
        <v>7.3536552619879195E-2</v>
      </c>
      <c r="FF136" s="305">
        <f t="shared" ca="1" si="325"/>
        <v>0.208407270726958</v>
      </c>
      <c r="FG136" s="299">
        <f t="shared" ca="1" si="326"/>
        <v>6.5951962683425194</v>
      </c>
      <c r="FH136" s="302">
        <f t="shared" ca="1" si="327"/>
        <v>-3.0898539143467296</v>
      </c>
      <c r="FI136" s="248">
        <f t="shared" ca="1" si="328"/>
        <v>-1098.704946139351</v>
      </c>
      <c r="FJ136" s="363">
        <f t="shared" ca="1" si="329"/>
        <v>0.47793649822986561</v>
      </c>
      <c r="FK136" s="378">
        <f t="shared" ca="1" si="330"/>
        <v>0.40098894257508333</v>
      </c>
      <c r="FL136" s="508">
        <f t="shared" ca="1" si="331"/>
        <v>-1.1570581287362489</v>
      </c>
      <c r="FM136" s="508">
        <f t="shared" ca="1" si="332"/>
        <v>-0.64909851163257271</v>
      </c>
      <c r="FN136" s="508">
        <f t="shared" ca="1" si="333"/>
        <v>-4.9993393740334691</v>
      </c>
      <c r="FO136" s="508">
        <f t="shared" ca="1" si="334"/>
        <v>-0.41227683190835696</v>
      </c>
      <c r="FP136" s="353">
        <f t="shared" ca="1" si="335"/>
        <v>234.66165036948527</v>
      </c>
      <c r="FQ136" s="356">
        <f t="shared" ca="1" si="336"/>
        <v>20.516430563778218</v>
      </c>
      <c r="FR136" s="380">
        <f t="shared" ca="1" si="337"/>
        <v>25.176000000000002</v>
      </c>
      <c r="FS136" s="299">
        <f t="shared" ca="1" si="338"/>
        <v>25.176000000000002</v>
      </c>
      <c r="FT136" s="299">
        <f t="shared" ca="1" si="339"/>
        <v>25.176000000000002</v>
      </c>
      <c r="FU136" s="299">
        <f t="shared" ca="1" si="340"/>
        <v>25.176000000000002</v>
      </c>
      <c r="FV136" s="299">
        <f t="shared" ca="1" si="341"/>
        <v>25.176000000000002</v>
      </c>
      <c r="FW136" s="850">
        <f t="shared" ca="1" si="342"/>
        <v>0.1575</v>
      </c>
      <c r="FX136" s="851">
        <f t="shared" ca="1" si="343"/>
        <v>0.5</v>
      </c>
      <c r="FY136" s="851">
        <f t="shared" ca="1" si="344"/>
        <v>0</v>
      </c>
      <c r="FZ136" s="201">
        <f t="shared" ca="1" si="345"/>
        <v>0</v>
      </c>
      <c r="GA136" s="201">
        <f t="shared" ca="1" si="346"/>
        <v>0</v>
      </c>
      <c r="GB136" s="201">
        <f t="shared" ca="1" si="347"/>
        <v>0</v>
      </c>
      <c r="GC136" s="201">
        <f t="shared" ca="1" si="348"/>
        <v>0</v>
      </c>
      <c r="GD136" s="850">
        <f t="shared" ca="1" si="349"/>
        <v>0.26620953659860769</v>
      </c>
      <c r="GE136" s="866">
        <f t="shared" ca="1" si="350"/>
        <v>0.25120953659860767</v>
      </c>
      <c r="GF136" s="866">
        <f t="shared" ca="1" si="351"/>
        <v>0.25120953659860767</v>
      </c>
      <c r="GG136" s="866">
        <f t="shared" ca="1" si="352"/>
        <v>8.8536552619879194E-2</v>
      </c>
      <c r="GH136" s="866">
        <f t="shared" ca="1" si="353"/>
        <v>0.21840727072695801</v>
      </c>
      <c r="GI136" s="302">
        <f t="shared" ca="1" si="354"/>
        <v>13.969454303425371</v>
      </c>
      <c r="GJ136" s="299">
        <f t="shared" ca="1" si="355"/>
        <v>5.438631668609446</v>
      </c>
      <c r="GK136" s="299">
        <f t="shared" ca="1" si="356"/>
        <v>7.482900341142404</v>
      </c>
      <c r="GL136" s="299">
        <f t="shared" ca="1" si="357"/>
        <v>1.9656776263008513</v>
      </c>
      <c r="GM136" s="299">
        <f t="shared" ca="1" si="358"/>
        <v>8.0278119669587422</v>
      </c>
      <c r="GN136" s="302">
        <f t="shared" ca="1" si="359"/>
        <v>0.7876531495858351</v>
      </c>
      <c r="GO136" s="299">
        <f t="shared" ca="1" si="360"/>
        <v>0.58298398973651422</v>
      </c>
      <c r="GP136" s="299">
        <f t="shared" ca="1" si="361"/>
        <v>0.65651818689316088</v>
      </c>
      <c r="GQ136" s="299">
        <f t="shared" ca="1" si="362"/>
        <v>0.39452997706286796</v>
      </c>
      <c r="GR136" s="299">
        <f t="shared" ca="1" si="363"/>
        <v>0.68705847869212411</v>
      </c>
      <c r="GS136" s="302">
        <f t="shared" ca="1" si="364"/>
        <v>-0.52604831867456292</v>
      </c>
      <c r="GT136" s="299">
        <f t="shared" ca="1" si="365"/>
        <v>-0.31360971021594575</v>
      </c>
      <c r="GU136" s="299">
        <f t="shared" ca="1" si="366"/>
        <v>-0.3850676943099991</v>
      </c>
      <c r="GV136" s="299">
        <f t="shared" ca="1" si="367"/>
        <v>-0.24200014661769731</v>
      </c>
      <c r="GW136" s="299">
        <f t="shared" ca="1" si="368"/>
        <v>-0.44841491046343029</v>
      </c>
      <c r="GX136" s="303">
        <f t="shared" ca="1" si="369"/>
        <v>2456.9564424817395</v>
      </c>
      <c r="GY136" s="303">
        <f t="shared" ca="1" si="370"/>
        <v>166.35651679086396</v>
      </c>
      <c r="GZ136" s="303">
        <f t="shared" ca="1" si="371"/>
        <v>228.88647588151471</v>
      </c>
      <c r="HA136" s="303">
        <f t="shared" ca="1" si="372"/>
        <v>232.98833217802976</v>
      </c>
      <c r="HB136" s="303">
        <f t="shared" ca="1" si="373"/>
        <v>2854.5675489124369</v>
      </c>
      <c r="HC136" s="303">
        <f t="shared" ca="1" si="374"/>
        <v>1648.6670980103715</v>
      </c>
      <c r="HD136" s="303">
        <f t="shared" ca="1" si="375"/>
        <v>0</v>
      </c>
      <c r="HE136" s="303">
        <f t="shared" ca="1" si="376"/>
        <v>30.231144164318163</v>
      </c>
      <c r="HF136" s="303">
        <f t="shared" ca="1" si="377"/>
        <v>0</v>
      </c>
      <c r="HG136" s="852">
        <f t="shared" ca="1" si="378"/>
        <v>1045.2988656920143</v>
      </c>
    </row>
    <row r="137" spans="1:215" x14ac:dyDescent="0.25">
      <c r="A137" s="244">
        <f t="shared" ca="1" si="379"/>
        <v>40269</v>
      </c>
      <c r="B137" s="13">
        <f t="shared" ca="1" si="412"/>
        <v>2010</v>
      </c>
      <c r="C137" s="619">
        <f t="shared" ca="1" si="413"/>
        <v>4</v>
      </c>
      <c r="D137" s="195" t="str">
        <f t="shared" ca="1" si="209"/>
        <v/>
      </c>
      <c r="E137" s="469">
        <f t="shared" ca="1" si="210"/>
        <v>40269</v>
      </c>
      <c r="F137" s="465">
        <f t="shared" ca="1" si="211"/>
        <v>40298</v>
      </c>
      <c r="G137" s="522">
        <f t="shared" ca="1" si="380"/>
        <v>1</v>
      </c>
      <c r="H137" s="519">
        <f t="shared" ca="1" si="381"/>
        <v>1</v>
      </c>
      <c r="I137" s="724">
        <f t="shared" ca="1" si="414"/>
        <v>7.4204388711588007E-2</v>
      </c>
      <c r="J137" s="198">
        <f t="shared" ca="1" si="213"/>
        <v>0.47508154432487182</v>
      </c>
      <c r="K137" s="200">
        <f t="shared" ca="1" si="389"/>
        <v>31.75</v>
      </c>
      <c r="L137" s="201">
        <f t="shared" ca="1" si="390"/>
        <v>32.450000000000003</v>
      </c>
      <c r="M137" s="206">
        <f t="shared" ca="1" si="391"/>
        <v>33.15</v>
      </c>
      <c r="N137" s="851">
        <f t="shared" ca="1" si="395"/>
        <v>22.392500305175776</v>
      </c>
      <c r="O137" s="201">
        <f t="shared" ca="1" si="396"/>
        <v>22.917500305175775</v>
      </c>
      <c r="P137" s="206">
        <f t="shared" ca="1" si="397"/>
        <v>23.442500305175773</v>
      </c>
      <c r="Q137" s="201">
        <f t="shared" ca="1" si="398"/>
        <v>17.334999084472649</v>
      </c>
      <c r="R137" s="201">
        <f t="shared" ca="1" si="399"/>
        <v>21.63499908447265</v>
      </c>
      <c r="S137" s="201">
        <f t="shared" ca="1" si="400"/>
        <v>25.934999084472651</v>
      </c>
      <c r="T137" s="851">
        <f t="shared" ca="1" si="392"/>
        <v>19.649997711181637</v>
      </c>
      <c r="U137" s="201">
        <f t="shared" ca="1" si="393"/>
        <v>19.999997711181638</v>
      </c>
      <c r="V137" s="206">
        <f t="shared" ca="1" si="394"/>
        <v>20.34999771118164</v>
      </c>
      <c r="W137" s="230">
        <f t="shared" ca="1" si="382"/>
        <v>7.4731823758095534E-2</v>
      </c>
      <c r="X137" s="231">
        <f t="shared" ca="1" si="383"/>
        <v>0.14946364751619107</v>
      </c>
      <c r="Y137" s="232">
        <f t="shared" ca="1" si="384"/>
        <v>0.2241954712742866</v>
      </c>
      <c r="Z137" s="231">
        <f t="shared" ca="1" si="404"/>
        <v>7.4731823758095534E-2</v>
      </c>
      <c r="AA137" s="231">
        <f t="shared" ca="1" si="405"/>
        <v>0.14946364751619107</v>
      </c>
      <c r="AB137" s="232">
        <f t="shared" ca="1" si="406"/>
        <v>0.2241954712742866</v>
      </c>
      <c r="AC137" s="231">
        <f t="shared" ca="1" si="407"/>
        <v>7.4731823758095534E-2</v>
      </c>
      <c r="AD137" s="231">
        <f t="shared" ca="1" si="408"/>
        <v>0.14946364751619107</v>
      </c>
      <c r="AE137" s="232">
        <f t="shared" ca="1" si="214"/>
        <v>0.2241954712742866</v>
      </c>
      <c r="AF137" s="231">
        <f t="shared" ca="1" si="385"/>
        <v>2.4512184206626399E-2</v>
      </c>
      <c r="AG137" s="231">
        <f t="shared" ca="1" si="386"/>
        <v>4.9024368413252799E-2</v>
      </c>
      <c r="AH137" s="232">
        <f t="shared" ca="1" si="387"/>
        <v>7.3536552619879195E-2</v>
      </c>
      <c r="AI137" s="233">
        <f t="shared" ca="1" si="215"/>
        <v>0.85000000000000009</v>
      </c>
      <c r="AJ137" s="233">
        <f t="shared" ca="1" si="216"/>
        <v>1.1000000000000001</v>
      </c>
      <c r="AK137" s="234">
        <f t="shared" ca="1" si="217"/>
        <v>1.4000000000000001</v>
      </c>
      <c r="AL137" s="919">
        <f t="shared" ca="1" si="218"/>
        <v>0.85000000000000009</v>
      </c>
      <c r="AM137" s="233">
        <f t="shared" ca="1" si="219"/>
        <v>1.1000000000000001</v>
      </c>
      <c r="AN137" s="234">
        <f t="shared" ca="1" si="220"/>
        <v>1.4000000000000001</v>
      </c>
      <c r="AO137" s="233">
        <f t="shared" ca="1" si="221"/>
        <v>0.85000000000000009</v>
      </c>
      <c r="AP137" s="233">
        <f t="shared" ca="1" si="222"/>
        <v>1.1000000000000001</v>
      </c>
      <c r="AQ137" s="233">
        <f t="shared" ca="1" si="223"/>
        <v>1.4000000000000001</v>
      </c>
      <c r="AR137" s="919">
        <f t="shared" ca="1" si="224"/>
        <v>0.19999999999999998</v>
      </c>
      <c r="AS137" s="233">
        <f t="shared" ca="1" si="225"/>
        <v>0.35</v>
      </c>
      <c r="AT137" s="235">
        <f t="shared" ca="1" si="226"/>
        <v>0.55000000000000004</v>
      </c>
      <c r="AU137" s="946">
        <f t="shared" si="227"/>
        <v>0.5</v>
      </c>
      <c r="AV137" s="13">
        <f t="shared" ca="1" si="228"/>
        <v>22</v>
      </c>
      <c r="AW137" s="210">
        <f t="shared" ca="1" si="229"/>
        <v>4</v>
      </c>
      <c r="AX137" s="210">
        <f t="shared" ca="1" si="230"/>
        <v>4</v>
      </c>
      <c r="AY137" s="210">
        <f t="shared" ca="1" si="231"/>
        <v>0</v>
      </c>
      <c r="AZ137" s="13">
        <f t="shared" ca="1" si="232"/>
        <v>30</v>
      </c>
      <c r="BA137" s="357">
        <f ca="1"/>
        <v>352</v>
      </c>
      <c r="BB137" s="925">
        <f ca="1"/>
        <v>64</v>
      </c>
      <c r="BC137" s="925">
        <f ca="1"/>
        <v>64</v>
      </c>
      <c r="BD137" s="928">
        <f ca="1"/>
        <v>240</v>
      </c>
      <c r="BE137" s="200">
        <f ca="1"/>
        <v>1.0000000074505806</v>
      </c>
      <c r="BF137" s="851">
        <f ca="1"/>
        <v>1.0000000074505806</v>
      </c>
      <c r="BG137" s="851">
        <f ca="1"/>
        <v>1.0000000074505806</v>
      </c>
      <c r="BH137" s="933">
        <f ca="1"/>
        <v>0.99995028972625732</v>
      </c>
      <c r="BI137" s="357">
        <f ca="1"/>
        <v>352</v>
      </c>
      <c r="BJ137" s="925">
        <f ca="1"/>
        <v>64</v>
      </c>
      <c r="BK137" s="925">
        <f ca="1"/>
        <v>64</v>
      </c>
      <c r="BL137" s="928">
        <f ca="1"/>
        <v>240</v>
      </c>
      <c r="BM137" s="200">
        <f ca="1"/>
        <v>1.0000000074505806</v>
      </c>
      <c r="BN137" s="851">
        <f ca="1"/>
        <v>1.0000000074505806</v>
      </c>
      <c r="BO137" s="851">
        <f ca="1"/>
        <v>1.0000000074505806</v>
      </c>
      <c r="BP137" s="933">
        <f ca="1"/>
        <v>0.99995028972625732</v>
      </c>
      <c r="BQ137" s="357">
        <f t="shared" ca="1" si="233"/>
        <v>720</v>
      </c>
      <c r="BR137" s="361">
        <f t="shared" ca="1" si="234"/>
        <v>720</v>
      </c>
      <c r="BS137" s="357">
        <f t="shared" ca="1" si="235"/>
        <v>342.0587119139077</v>
      </c>
      <c r="BT137" s="302">
        <f t="shared" ca="1" si="236"/>
        <v>25.603229278067591</v>
      </c>
      <c r="BU137" s="299">
        <f t="shared" ca="1" si="237"/>
        <v>26.491001262058656</v>
      </c>
      <c r="BV137" s="299">
        <f t="shared" ca="1" si="238"/>
        <v>27.378773246049722</v>
      </c>
      <c r="BW137" s="299">
        <f t="shared" ca="1" si="239"/>
        <v>32.659889647739881</v>
      </c>
      <c r="BX137" s="380">
        <f t="shared" ca="1" si="240"/>
        <v>10.080766598220396</v>
      </c>
      <c r="BY137" s="363">
        <f t="shared" ca="1" si="241"/>
        <v>167.22870360235487</v>
      </c>
      <c r="BZ137" s="353">
        <f t="shared" ca="1" si="242"/>
        <v>30.405218836791796</v>
      </c>
      <c r="CA137" s="353">
        <f t="shared" ca="1" si="243"/>
        <v>30.405218836791796</v>
      </c>
      <c r="CB137" s="353">
        <f t="shared" ca="1" si="244"/>
        <v>228.03914127593845</v>
      </c>
      <c r="CC137" s="353">
        <f t="shared" ca="1" si="245"/>
        <v>114.01957063796924</v>
      </c>
      <c r="CD137" s="353">
        <f t="shared" ca="1" si="246"/>
        <v>342.0587119139077</v>
      </c>
      <c r="CE137" s="302">
        <f t="shared" ca="1" si="247"/>
        <v>33.150000246986743</v>
      </c>
      <c r="CF137" s="299">
        <f t="shared" ca="1" si="248"/>
        <v>23.44250047983601</v>
      </c>
      <c r="CG137" s="299">
        <f t="shared" ca="1" si="249"/>
        <v>25.934999277703451</v>
      </c>
      <c r="CH137" s="299">
        <f t="shared" ca="1" si="250"/>
        <v>30.893666815462208</v>
      </c>
      <c r="CI137" s="299">
        <f t="shared" ca="1" si="251"/>
        <v>20.348986107224754</v>
      </c>
      <c r="CJ137" s="299">
        <f t="shared" ca="1" si="252"/>
        <v>27.378773246049718</v>
      </c>
      <c r="CK137" s="299">
        <f t="shared" ca="1" si="253"/>
        <v>32.659889647739881</v>
      </c>
      <c r="CL137" s="377">
        <f t="shared" ca="1" si="254"/>
        <v>0.2241954712742866</v>
      </c>
      <c r="CM137" s="305">
        <f t="shared" ca="1" si="255"/>
        <v>0.2241954712742866</v>
      </c>
      <c r="CN137" s="305">
        <f t="shared" ca="1" si="256"/>
        <v>0.2241954712742866</v>
      </c>
      <c r="CO137" s="305">
        <f t="shared" ca="1" si="257"/>
        <v>0.22419547127428657</v>
      </c>
      <c r="CP137" s="305">
        <f t="shared" ca="1" si="258"/>
        <v>7.3536552619879195E-2</v>
      </c>
      <c r="CQ137" s="305">
        <f t="shared" ca="1" si="259"/>
        <v>0.1844471727734103</v>
      </c>
      <c r="CR137" s="775">
        <f t="shared" ca="1" si="260"/>
        <v>0.2241954712742866</v>
      </c>
      <c r="CS137" s="305">
        <f t="shared" ca="1" si="261"/>
        <v>0.27419547127428662</v>
      </c>
      <c r="CT137" s="305">
        <f t="shared" ca="1" si="262"/>
        <v>0.2491954712742866</v>
      </c>
      <c r="CU137" s="305">
        <f t="shared" ca="1" si="263"/>
        <v>0.13353655261987918</v>
      </c>
      <c r="CV137" s="770">
        <f t="shared" ca="1" si="264"/>
        <v>0.20194717277341029</v>
      </c>
      <c r="CW137" s="302">
        <f t="shared" ca="1" si="265"/>
        <v>9.3976446473404458</v>
      </c>
      <c r="CX137" s="299">
        <f t="shared" ca="1" si="266"/>
        <v>5.4626490610741092</v>
      </c>
      <c r="CY137" s="299">
        <f t="shared" ca="1" si="267"/>
        <v>6.0079966723271543</v>
      </c>
      <c r="CZ137" s="299">
        <f t="shared" ca="1" si="268"/>
        <v>0.71609674219189534</v>
      </c>
      <c r="DA137" s="774">
        <f t="shared" ca="1" si="269"/>
        <v>5.1821159607447651</v>
      </c>
      <c r="DB137" s="303">
        <f t="shared" ca="1" si="270"/>
        <v>1772.5879105208567</v>
      </c>
      <c r="DC137" s="248">
        <f t="shared" ca="1" si="271"/>
        <v>177.23763555004751</v>
      </c>
      <c r="DD137" s="778">
        <f t="shared" ca="1" si="272"/>
        <v>0</v>
      </c>
      <c r="DE137" s="363">
        <f t="shared" ca="1" si="273"/>
        <v>0.47508154432487182</v>
      </c>
      <c r="DF137" s="378">
        <f t="shared" ca="1" si="274"/>
        <v>-0.33498772003136734</v>
      </c>
      <c r="DG137" s="508">
        <f t="shared" ca="1" si="275"/>
        <v>-0.8161819299333829</v>
      </c>
      <c r="DH137" s="508">
        <f t="shared" ca="1" si="276"/>
        <v>-0.68699844732164705</v>
      </c>
      <c r="DI137" s="508">
        <f t="shared" ca="1" si="277"/>
        <v>-1.3278804565838547</v>
      </c>
      <c r="DJ137" s="508">
        <f t="shared" ca="1" si="278"/>
        <v>-0.59567656382681167</v>
      </c>
      <c r="DK137" s="353">
        <f t="shared" ca="1" si="279"/>
        <v>-94.304084394422915</v>
      </c>
      <c r="DL137" s="781">
        <f t="shared" ca="1" si="280"/>
        <v>5.4570904973357139</v>
      </c>
      <c r="DM137" s="303">
        <f t="shared" ca="1" si="281"/>
        <v>8216.3195076163593</v>
      </c>
      <c r="DN137" s="508">
        <f t="shared" ca="1" si="282"/>
        <v>1.5920441779640462</v>
      </c>
      <c r="DO137" s="508">
        <f t="shared" ca="1" si="283"/>
        <v>1.482902663555961</v>
      </c>
      <c r="DP137" s="508">
        <f t="shared" ca="1" si="284"/>
        <v>1.5147301094590464</v>
      </c>
      <c r="DQ137" s="508">
        <f t="shared" ca="1" si="285"/>
        <v>1.4383254332496491</v>
      </c>
      <c r="DR137" s="508">
        <f t="shared" ca="1" si="286"/>
        <v>1.5317945729691249</v>
      </c>
      <c r="DS137" s="353">
        <f t="shared" ca="1" si="287"/>
        <v>3669.936529634605</v>
      </c>
      <c r="DT137" s="353">
        <f t="shared" ca="1" si="288"/>
        <v>-9236.6894789710077</v>
      </c>
      <c r="DU137" s="380">
        <f t="shared" ca="1" si="388"/>
        <v>10.080766598220396</v>
      </c>
      <c r="DV137" s="303">
        <f t="shared" ca="1" si="289"/>
        <v>167.22870360235487</v>
      </c>
      <c r="DW137" s="303">
        <f t="shared" ca="1" si="290"/>
        <v>30.405218836791796</v>
      </c>
      <c r="DX137" s="303">
        <f t="shared" ca="1" si="291"/>
        <v>30.405218836791796</v>
      </c>
      <c r="DY137" s="303">
        <f t="shared" ca="1" si="292"/>
        <v>228.03914127593845</v>
      </c>
      <c r="DZ137" s="303">
        <f t="shared" ca="1" si="293"/>
        <v>114.01957063796924</v>
      </c>
      <c r="EA137" s="303">
        <f t="shared" ca="1" si="294"/>
        <v>342.0587119139077</v>
      </c>
      <c r="EB137" s="302">
        <f t="shared" ca="1" si="295"/>
        <v>33.150000246986743</v>
      </c>
      <c r="EC137" s="299">
        <f t="shared" ca="1" si="296"/>
        <v>23.44250047983601</v>
      </c>
      <c r="ED137" s="299">
        <f t="shared" ca="1" si="297"/>
        <v>25.934999277703451</v>
      </c>
      <c r="EE137" s="299">
        <f t="shared" ca="1" si="298"/>
        <v>30.893666815462208</v>
      </c>
      <c r="EF137" s="299">
        <f t="shared" ca="1" si="299"/>
        <v>20.348986107224754</v>
      </c>
      <c r="EG137" s="299">
        <f t="shared" ca="1" si="300"/>
        <v>27.378773246049718</v>
      </c>
      <c r="EH137" s="302">
        <f t="shared" ca="1" si="301"/>
        <v>30</v>
      </c>
      <c r="EI137" s="304">
        <f t="shared" ca="1" si="302"/>
        <v>7.4731823758095534E-2</v>
      </c>
      <c r="EJ137" s="305">
        <f t="shared" ca="1" si="303"/>
        <v>7.4731823758095534E-2</v>
      </c>
      <c r="EK137" s="305">
        <f t="shared" ca="1" si="304"/>
        <v>7.4731823758095534E-2</v>
      </c>
      <c r="EL137" s="305">
        <f t="shared" ca="1" si="305"/>
        <v>7.4731823758095534E-2</v>
      </c>
      <c r="EM137" s="305">
        <f t="shared" ca="1" si="306"/>
        <v>2.4512184206626399E-2</v>
      </c>
      <c r="EN137" s="305">
        <f t="shared" ca="1" si="307"/>
        <v>5.9717106575803473E-2</v>
      </c>
      <c r="EO137" s="305">
        <f t="shared" ca="1" si="308"/>
        <v>7.4731823758095534E-2</v>
      </c>
      <c r="EP137" s="305">
        <f t="shared" ca="1" si="309"/>
        <v>7.4731823758095534E-2</v>
      </c>
      <c r="EQ137" s="305">
        <f t="shared" ca="1" si="310"/>
        <v>7.4731823758095534E-2</v>
      </c>
      <c r="ER137" s="305">
        <f t="shared" ca="1" si="311"/>
        <v>2.4512184206626399E-2</v>
      </c>
      <c r="ES137" s="305">
        <f t="shared" ca="1" si="312"/>
        <v>5.9717106575803473E-2</v>
      </c>
      <c r="ET137" s="299">
        <f t="shared" ca="1" si="313"/>
        <v>3.7236602591571177</v>
      </c>
      <c r="EU137" s="302">
        <f t="shared" ca="1" si="314"/>
        <v>30</v>
      </c>
      <c r="EV137" s="304">
        <f t="shared" ca="1" si="315"/>
        <v>0.2241954712742866</v>
      </c>
      <c r="EW137" s="305">
        <f t="shared" ca="1" si="316"/>
        <v>0.2241954712742866</v>
      </c>
      <c r="EX137" s="305">
        <f t="shared" ca="1" si="317"/>
        <v>0.2241954712742866</v>
      </c>
      <c r="EY137" s="305">
        <f t="shared" ca="1" si="318"/>
        <v>0.22419547127428657</v>
      </c>
      <c r="EZ137" s="305">
        <f t="shared" ca="1" si="319"/>
        <v>7.3536552619879195E-2</v>
      </c>
      <c r="FA137" s="305">
        <f t="shared" ca="1" si="320"/>
        <v>0.1844471727734103</v>
      </c>
      <c r="FB137" s="305">
        <f t="shared" ca="1" si="321"/>
        <v>0.2241954712742866</v>
      </c>
      <c r="FC137" s="305">
        <f t="shared" ca="1" si="322"/>
        <v>0.2241954712742866</v>
      </c>
      <c r="FD137" s="305">
        <f t="shared" ca="1" si="323"/>
        <v>0.2241954712742866</v>
      </c>
      <c r="FE137" s="305">
        <f t="shared" ca="1" si="324"/>
        <v>7.3536552619879195E-2</v>
      </c>
      <c r="FF137" s="305">
        <f t="shared" ca="1" si="325"/>
        <v>0.1844471727734103</v>
      </c>
      <c r="FG137" s="299">
        <f t="shared" ca="1" si="326"/>
        <v>5.3755633003792784</v>
      </c>
      <c r="FH137" s="302">
        <f t="shared" ca="1" si="327"/>
        <v>-1.6519030412221607</v>
      </c>
      <c r="FI137" s="248">
        <f t="shared" ca="1" si="328"/>
        <v>-565.0478264871191</v>
      </c>
      <c r="FJ137" s="363">
        <f t="shared" ca="1" si="329"/>
        <v>0.47508154432487182</v>
      </c>
      <c r="FK137" s="378">
        <f t="shared" ca="1" si="330"/>
        <v>0.30216212418747868</v>
      </c>
      <c r="FL137" s="508">
        <f t="shared" ca="1" si="331"/>
        <v>-1.1581341026234262</v>
      </c>
      <c r="FM137" s="508">
        <f t="shared" ca="1" si="332"/>
        <v>-0.73228790272993283</v>
      </c>
      <c r="FN137" s="508">
        <f t="shared" ca="1" si="333"/>
        <v>-5.026483658415775</v>
      </c>
      <c r="FO137" s="508">
        <f t="shared" ca="1" si="334"/>
        <v>-0.57701597643996705</v>
      </c>
      <c r="FP137" s="353">
        <f t="shared" ca="1" si="335"/>
        <v>245.61037088429202</v>
      </c>
      <c r="FQ137" s="356">
        <f t="shared" ca="1" si="336"/>
        <v>20.311663653543935</v>
      </c>
      <c r="FR137" s="380">
        <f t="shared" ca="1" si="337"/>
        <v>24.78</v>
      </c>
      <c r="FS137" s="299">
        <f t="shared" ca="1" si="338"/>
        <v>24.78</v>
      </c>
      <c r="FT137" s="299">
        <f t="shared" ca="1" si="339"/>
        <v>24.78</v>
      </c>
      <c r="FU137" s="299">
        <f t="shared" ca="1" si="340"/>
        <v>24.78</v>
      </c>
      <c r="FV137" s="299">
        <f t="shared" ca="1" si="341"/>
        <v>24.779999999999998</v>
      </c>
      <c r="FW137" s="850">
        <f t="shared" ca="1" si="342"/>
        <v>0.1575</v>
      </c>
      <c r="FX137" s="851">
        <f t="shared" ca="1" si="343"/>
        <v>0.5</v>
      </c>
      <c r="FY137" s="851">
        <f t="shared" ca="1" si="344"/>
        <v>0</v>
      </c>
      <c r="FZ137" s="201">
        <f t="shared" ca="1" si="345"/>
        <v>0</v>
      </c>
      <c r="GA137" s="201">
        <f t="shared" ca="1" si="346"/>
        <v>0</v>
      </c>
      <c r="GB137" s="201">
        <f t="shared" ca="1" si="347"/>
        <v>0</v>
      </c>
      <c r="GC137" s="201">
        <f t="shared" ca="1" si="348"/>
        <v>0</v>
      </c>
      <c r="GD137" s="850">
        <f t="shared" ca="1" si="349"/>
        <v>0.23919547127428659</v>
      </c>
      <c r="GE137" s="866">
        <f t="shared" ca="1" si="350"/>
        <v>0.2241954712742866</v>
      </c>
      <c r="GF137" s="866">
        <f t="shared" ca="1" si="351"/>
        <v>0.2241954712742866</v>
      </c>
      <c r="GG137" s="866">
        <f t="shared" ca="1" si="352"/>
        <v>8.8536552619879194E-2</v>
      </c>
      <c r="GH137" s="866">
        <f t="shared" ca="1" si="353"/>
        <v>0.19444717277341031</v>
      </c>
      <c r="GI137" s="302">
        <f t="shared" ca="1" si="354"/>
        <v>12.444976269924309</v>
      </c>
      <c r="GJ137" s="299">
        <f t="shared" ca="1" si="355"/>
        <v>5.3429706510806163</v>
      </c>
      <c r="GK137" s="299">
        <f t="shared" ca="1" si="356"/>
        <v>6.8923386089585934</v>
      </c>
      <c r="GL137" s="299">
        <f t="shared" ca="1" si="357"/>
        <v>2.0473046269365729</v>
      </c>
      <c r="GM137" s="299">
        <f t="shared" ca="1" si="358"/>
        <v>7.2164791491812563</v>
      </c>
      <c r="GN137" s="302">
        <f t="shared" ca="1" si="359"/>
        <v>0.77921466224478153</v>
      </c>
      <c r="GO137" s="299">
        <f t="shared" ca="1" si="360"/>
        <v>0.59052712121875439</v>
      </c>
      <c r="GP137" s="299">
        <f t="shared" ca="1" si="361"/>
        <v>0.65117840978188857</v>
      </c>
      <c r="GQ137" s="299">
        <f t="shared" ca="1" si="362"/>
        <v>0.40646526320528348</v>
      </c>
      <c r="GR137" s="299">
        <f t="shared" ca="1" si="363"/>
        <v>0.67708417311289337</v>
      </c>
      <c r="GS137" s="302">
        <f t="shared" ca="1" si="364"/>
        <v>-0.54019333852836893</v>
      </c>
      <c r="GT137" s="299">
        <f t="shared" ca="1" si="365"/>
        <v>-0.3430371630179524</v>
      </c>
      <c r="GU137" s="299">
        <f t="shared" ca="1" si="366"/>
        <v>-0.40338879501958896</v>
      </c>
      <c r="GV137" s="299">
        <f t="shared" ca="1" si="367"/>
        <v>-0.25116428808710373</v>
      </c>
      <c r="GW137" s="299">
        <f t="shared" ca="1" si="368"/>
        <v>-0.45687067467065717</v>
      </c>
      <c r="GX137" s="303">
        <f t="shared" ca="1" si="369"/>
        <v>2081.1572479815122</v>
      </c>
      <c r="GY137" s="303">
        <f t="shared" ca="1" si="370"/>
        <v>162.45419188466209</v>
      </c>
      <c r="GZ137" s="303">
        <f t="shared" ca="1" si="371"/>
        <v>209.5630637026552</v>
      </c>
      <c r="HA137" s="303">
        <f t="shared" ca="1" si="372"/>
        <v>233.43279452843583</v>
      </c>
      <c r="HB137" s="303">
        <f t="shared" ca="1" si="373"/>
        <v>2468.4595623225132</v>
      </c>
      <c r="HC137" s="303">
        <f t="shared" ca="1" si="374"/>
        <v>1399.7042904549828</v>
      </c>
      <c r="HD137" s="303">
        <f t="shared" ca="1" si="375"/>
        <v>0</v>
      </c>
      <c r="HE137" s="303">
        <f t="shared" ca="1" si="376"/>
        <v>35.118005794909848</v>
      </c>
      <c r="HF137" s="303">
        <f t="shared" ca="1" si="377"/>
        <v>0</v>
      </c>
      <c r="HG137" s="852">
        <f t="shared" ca="1" si="378"/>
        <v>888.9330291000922</v>
      </c>
    </row>
    <row r="138" spans="1:215" x14ac:dyDescent="0.25">
      <c r="A138" s="244">
        <f t="shared" ca="1" si="379"/>
        <v>40299</v>
      </c>
      <c r="B138" s="13">
        <f t="shared" ca="1" si="412"/>
        <v>2010</v>
      </c>
      <c r="C138" s="619">
        <f t="shared" ca="1" si="413"/>
        <v>5</v>
      </c>
      <c r="D138" s="195">
        <f t="shared" ca="1" si="209"/>
        <v>40329</v>
      </c>
      <c r="E138" s="469">
        <f t="shared" ca="1" si="210"/>
        <v>40299</v>
      </c>
      <c r="F138" s="465">
        <f t="shared" ca="1" si="211"/>
        <v>40329</v>
      </c>
      <c r="G138" s="522">
        <f t="shared" ca="1" si="380"/>
        <v>1</v>
      </c>
      <c r="H138" s="519">
        <f t="shared" ca="1" si="381"/>
        <v>1</v>
      </c>
      <c r="I138" s="724">
        <f t="shared" ca="1" si="414"/>
        <v>7.4204103500734989E-2</v>
      </c>
      <c r="J138" s="198">
        <f t="shared" ca="1" si="213"/>
        <v>0.47215406433957591</v>
      </c>
      <c r="K138" s="200">
        <f t="shared" ca="1" si="389"/>
        <v>32.17</v>
      </c>
      <c r="L138" s="201">
        <f t="shared" ca="1" si="390"/>
        <v>34.65</v>
      </c>
      <c r="M138" s="206">
        <f t="shared" ca="1" si="391"/>
        <v>37.130000000000003</v>
      </c>
      <c r="N138" s="851">
        <f t="shared" ca="1" si="395"/>
        <v>21.172500076293939</v>
      </c>
      <c r="O138" s="201">
        <f t="shared" ca="1" si="396"/>
        <v>23.032500076293939</v>
      </c>
      <c r="P138" s="206">
        <f t="shared" ca="1" si="397"/>
        <v>24.892500076293938</v>
      </c>
      <c r="Q138" s="201">
        <f t="shared" ca="1" si="398"/>
        <v>17.864999771118157</v>
      </c>
      <c r="R138" s="201">
        <f t="shared" ca="1" si="399"/>
        <v>22.164999771118158</v>
      </c>
      <c r="S138" s="201">
        <f t="shared" ca="1" si="400"/>
        <v>26.464999771118158</v>
      </c>
      <c r="T138" s="851">
        <f t="shared" ca="1" si="392"/>
        <v>18.75999771118164</v>
      </c>
      <c r="U138" s="201">
        <f t="shared" ca="1" si="393"/>
        <v>19.999997711181638</v>
      </c>
      <c r="V138" s="206">
        <f t="shared" ca="1" si="394"/>
        <v>21.239997711181637</v>
      </c>
      <c r="W138" s="230">
        <f t="shared" ca="1" si="382"/>
        <v>8.6076313133138502E-2</v>
      </c>
      <c r="X138" s="231">
        <f t="shared" ca="1" si="383"/>
        <v>0.172152626266277</v>
      </c>
      <c r="Y138" s="232">
        <f t="shared" ca="1" si="384"/>
        <v>0.25822893939941549</v>
      </c>
      <c r="Z138" s="231">
        <f t="shared" ca="1" si="404"/>
        <v>8.6076313133138502E-2</v>
      </c>
      <c r="AA138" s="231">
        <f t="shared" ca="1" si="405"/>
        <v>0.172152626266277</v>
      </c>
      <c r="AB138" s="232">
        <f t="shared" ca="1" si="406"/>
        <v>0.25822893939941549</v>
      </c>
      <c r="AC138" s="231">
        <f t="shared" ca="1" si="407"/>
        <v>8.6076313133138502E-2</v>
      </c>
      <c r="AD138" s="231">
        <f t="shared" ca="1" si="408"/>
        <v>0.172152626266277</v>
      </c>
      <c r="AE138" s="232">
        <f t="shared" ca="1" si="214"/>
        <v>0.25822893939941549</v>
      </c>
      <c r="AF138" s="231">
        <f t="shared" ca="1" si="385"/>
        <v>2.8597548241064145E-2</v>
      </c>
      <c r="AG138" s="231">
        <f t="shared" ca="1" si="386"/>
        <v>5.719509648212829E-2</v>
      </c>
      <c r="AH138" s="232">
        <f t="shared" ca="1" si="387"/>
        <v>8.5792644723192438E-2</v>
      </c>
      <c r="AI138" s="233">
        <f t="shared" ca="1" si="215"/>
        <v>0.85000000000000009</v>
      </c>
      <c r="AJ138" s="233">
        <f t="shared" ca="1" si="216"/>
        <v>1.1000000000000001</v>
      </c>
      <c r="AK138" s="234">
        <f t="shared" ca="1" si="217"/>
        <v>1.4000000000000001</v>
      </c>
      <c r="AL138" s="919">
        <f t="shared" ca="1" si="218"/>
        <v>0.85000000000000009</v>
      </c>
      <c r="AM138" s="233">
        <f t="shared" ca="1" si="219"/>
        <v>1.1000000000000001</v>
      </c>
      <c r="AN138" s="234">
        <f t="shared" ca="1" si="220"/>
        <v>1.4000000000000001</v>
      </c>
      <c r="AO138" s="233">
        <f t="shared" ca="1" si="221"/>
        <v>0.85000000000000009</v>
      </c>
      <c r="AP138" s="233">
        <f t="shared" ca="1" si="222"/>
        <v>1.1000000000000001</v>
      </c>
      <c r="AQ138" s="233">
        <f t="shared" ca="1" si="223"/>
        <v>1.4000000000000001</v>
      </c>
      <c r="AR138" s="919">
        <f t="shared" ca="1" si="224"/>
        <v>0.35</v>
      </c>
      <c r="AS138" s="233">
        <f t="shared" ca="1" si="225"/>
        <v>0.5</v>
      </c>
      <c r="AT138" s="235">
        <f t="shared" ca="1" si="226"/>
        <v>0.7</v>
      </c>
      <c r="AU138" s="946">
        <f t="shared" si="227"/>
        <v>0.5</v>
      </c>
      <c r="AV138" s="13">
        <f t="shared" ca="1" si="228"/>
        <v>20</v>
      </c>
      <c r="AW138" s="210">
        <f t="shared" ca="1" si="229"/>
        <v>5</v>
      </c>
      <c r="AX138" s="210">
        <f t="shared" ca="1" si="230"/>
        <v>5</v>
      </c>
      <c r="AY138" s="210">
        <f t="shared" ca="1" si="231"/>
        <v>1</v>
      </c>
      <c r="AZ138" s="13">
        <f t="shared" ca="1" si="232"/>
        <v>31</v>
      </c>
      <c r="BA138" s="357">
        <f ca="1"/>
        <v>320</v>
      </c>
      <c r="BB138" s="925">
        <f ca="1"/>
        <v>80</v>
      </c>
      <c r="BC138" s="925">
        <f ca="1"/>
        <v>96</v>
      </c>
      <c r="BD138" s="928">
        <f ca="1"/>
        <v>248</v>
      </c>
      <c r="BE138" s="200">
        <f ca="1"/>
        <v>0.9999999925494194</v>
      </c>
      <c r="BF138" s="851">
        <f ca="1"/>
        <v>0.9999999925494194</v>
      </c>
      <c r="BG138" s="851">
        <f ca="1"/>
        <v>0.9999999925494194</v>
      </c>
      <c r="BH138" s="933">
        <f ca="1"/>
        <v>1</v>
      </c>
      <c r="BI138" s="357">
        <f ca="1"/>
        <v>320</v>
      </c>
      <c r="BJ138" s="925">
        <f ca="1"/>
        <v>80</v>
      </c>
      <c r="BK138" s="925">
        <f ca="1"/>
        <v>96</v>
      </c>
      <c r="BL138" s="928">
        <f ca="1"/>
        <v>248</v>
      </c>
      <c r="BM138" s="200">
        <f ca="1"/>
        <v>0.9999999925494194</v>
      </c>
      <c r="BN138" s="851">
        <f ca="1"/>
        <v>0.9999999925494194</v>
      </c>
      <c r="BO138" s="851">
        <f ca="1"/>
        <v>0.9999999925494194</v>
      </c>
      <c r="BP138" s="933">
        <f ca="1"/>
        <v>1</v>
      </c>
      <c r="BQ138" s="357">
        <f t="shared" ca="1" si="233"/>
        <v>744</v>
      </c>
      <c r="BR138" s="361">
        <f t="shared" ca="1" si="234"/>
        <v>744</v>
      </c>
      <c r="BS138" s="357">
        <f t="shared" ca="1" si="235"/>
        <v>351.28262386864446</v>
      </c>
      <c r="BT138" s="302">
        <f t="shared" ca="1" si="236"/>
        <v>24.671665745170447</v>
      </c>
      <c r="BU138" s="299">
        <f t="shared" ca="1" si="237"/>
        <v>26.906504441276592</v>
      </c>
      <c r="BV138" s="299">
        <f t="shared" ca="1" si="238"/>
        <v>29.141343137382744</v>
      </c>
      <c r="BW138" s="299">
        <f t="shared" ca="1" si="239"/>
        <v>32.659889647739881</v>
      </c>
      <c r="BX138" s="380">
        <f t="shared" ca="1" si="240"/>
        <v>10.16290212183436</v>
      </c>
      <c r="BY138" s="363">
        <f t="shared" ca="1" si="241"/>
        <v>151.08930058866429</v>
      </c>
      <c r="BZ138" s="353">
        <f t="shared" ca="1" si="242"/>
        <v>37.772325147166072</v>
      </c>
      <c r="CA138" s="353">
        <f t="shared" ca="1" si="243"/>
        <v>45.326790176599289</v>
      </c>
      <c r="CB138" s="353">
        <f t="shared" ca="1" si="244"/>
        <v>234.18841591242966</v>
      </c>
      <c r="CC138" s="353">
        <f t="shared" ca="1" si="245"/>
        <v>117.09420795621483</v>
      </c>
      <c r="CD138" s="353">
        <f t="shared" ca="1" si="246"/>
        <v>351.28262386864446</v>
      </c>
      <c r="CE138" s="302">
        <f t="shared" ca="1" si="247"/>
        <v>37.129999723359944</v>
      </c>
      <c r="CF138" s="299">
        <f t="shared" ca="1" si="248"/>
        <v>24.892499890830361</v>
      </c>
      <c r="CG138" s="299">
        <f t="shared" ca="1" si="249"/>
        <v>26.464999573938545</v>
      </c>
      <c r="CH138" s="299">
        <f t="shared" ca="1" si="250"/>
        <v>33.092015850483286</v>
      </c>
      <c r="CI138" s="299">
        <f t="shared" ca="1" si="251"/>
        <v>21.239997711181637</v>
      </c>
      <c r="CJ138" s="299">
        <f t="shared" ca="1" si="252"/>
        <v>29.141343137382737</v>
      </c>
      <c r="CK138" s="299">
        <f t="shared" ca="1" si="253"/>
        <v>32.659889647739881</v>
      </c>
      <c r="CL138" s="377">
        <f t="shared" ca="1" si="254"/>
        <v>0.25822893939941549</v>
      </c>
      <c r="CM138" s="305">
        <f t="shared" ca="1" si="255"/>
        <v>0.25822893939941549</v>
      </c>
      <c r="CN138" s="305">
        <f t="shared" ca="1" si="256"/>
        <v>0.25822893939941549</v>
      </c>
      <c r="CO138" s="305">
        <f t="shared" ca="1" si="257"/>
        <v>0.25822893939941549</v>
      </c>
      <c r="CP138" s="305">
        <f t="shared" ca="1" si="258"/>
        <v>8.5792644723192438E-2</v>
      </c>
      <c r="CQ138" s="305">
        <f t="shared" ca="1" si="259"/>
        <v>0.21561425256216643</v>
      </c>
      <c r="CR138" s="775">
        <f t="shared" ca="1" si="260"/>
        <v>0.2732289393994155</v>
      </c>
      <c r="CS138" s="305">
        <f t="shared" ca="1" si="261"/>
        <v>0.29322893939941552</v>
      </c>
      <c r="CT138" s="305">
        <f t="shared" ca="1" si="262"/>
        <v>0.28322893939941551</v>
      </c>
      <c r="CU138" s="305">
        <f t="shared" ca="1" si="263"/>
        <v>0.14579264472319242</v>
      </c>
      <c r="CV138" s="770">
        <f t="shared" ca="1" si="264"/>
        <v>0.22561425256216644</v>
      </c>
      <c r="CW138" s="302">
        <f t="shared" ca="1" si="265"/>
        <v>14.107308643715179</v>
      </c>
      <c r="CX138" s="299">
        <f t="shared" ca="1" si="266"/>
        <v>6.8696478377153705</v>
      </c>
      <c r="CY138" s="299">
        <f t="shared" ca="1" si="267"/>
        <v>7.4588841046154108</v>
      </c>
      <c r="CZ138" s="299">
        <f t="shared" ca="1" si="268"/>
        <v>1.1530806003606315</v>
      </c>
      <c r="DA138" s="774">
        <f t="shared" ca="1" si="269"/>
        <v>7.0237946557758182</v>
      </c>
      <c r="DB138" s="303">
        <f t="shared" ca="1" si="270"/>
        <v>2467.3370161954917</v>
      </c>
      <c r="DC138" s="248">
        <f t="shared" ca="1" si="271"/>
        <v>203.63982256391208</v>
      </c>
      <c r="DD138" s="778">
        <f t="shared" ca="1" si="272"/>
        <v>0</v>
      </c>
      <c r="DE138" s="363">
        <f t="shared" ca="1" si="273"/>
        <v>0.47215406433957591</v>
      </c>
      <c r="DF138" s="378">
        <f t="shared" ca="1" si="274"/>
        <v>-0.28824718716072578</v>
      </c>
      <c r="DG138" s="508">
        <f t="shared" ca="1" si="275"/>
        <v>-0.75792205461271367</v>
      </c>
      <c r="DH138" s="508">
        <f t="shared" ca="1" si="276"/>
        <v>-0.68439686995209037</v>
      </c>
      <c r="DI138" s="508">
        <f t="shared" ca="1" si="277"/>
        <v>-1.1581264903551669</v>
      </c>
      <c r="DJ138" s="508">
        <f t="shared" ca="1" si="278"/>
        <v>-0.51810720820638789</v>
      </c>
      <c r="DK138" s="353">
        <f t="shared" ca="1" si="279"/>
        <v>-106.15470027985798</v>
      </c>
      <c r="DL138" s="781">
        <f t="shared" ca="1" si="280"/>
        <v>5.2165919209069225</v>
      </c>
      <c r="DM138" s="303">
        <f t="shared" ca="1" si="281"/>
        <v>9034.6566616723831</v>
      </c>
      <c r="DN138" s="508">
        <f t="shared" ca="1" si="282"/>
        <v>1.6340484765172287</v>
      </c>
      <c r="DO138" s="508">
        <f t="shared" ca="1" si="283"/>
        <v>1.5086070099794009</v>
      </c>
      <c r="DP138" s="508">
        <f t="shared" ca="1" si="284"/>
        <v>1.5278240734688826</v>
      </c>
      <c r="DQ138" s="508">
        <f t="shared" ca="1" si="285"/>
        <v>1.4588266524208635</v>
      </c>
      <c r="DR138" s="508">
        <f t="shared" ca="1" si="286"/>
        <v>1.558045695798391</v>
      </c>
      <c r="DS138" s="353">
        <f t="shared" ca="1" si="287"/>
        <v>3867.7557320692445</v>
      </c>
      <c r="DT138" s="353">
        <f t="shared" ca="1" si="288"/>
        <v>-9820.9764787146923</v>
      </c>
      <c r="DU138" s="380">
        <f t="shared" ca="1" si="388"/>
        <v>10.16290212183436</v>
      </c>
      <c r="DV138" s="303">
        <f t="shared" ca="1" si="289"/>
        <v>151.08930058866429</v>
      </c>
      <c r="DW138" s="303">
        <f t="shared" ca="1" si="290"/>
        <v>37.772325147166072</v>
      </c>
      <c r="DX138" s="303">
        <f t="shared" ca="1" si="291"/>
        <v>45.326790176599289</v>
      </c>
      <c r="DY138" s="303">
        <f t="shared" ca="1" si="292"/>
        <v>234.18841591242966</v>
      </c>
      <c r="DZ138" s="303">
        <f t="shared" ca="1" si="293"/>
        <v>117.09420795621483</v>
      </c>
      <c r="EA138" s="303">
        <f t="shared" ca="1" si="294"/>
        <v>351.28262386864446</v>
      </c>
      <c r="EB138" s="302">
        <f t="shared" ca="1" si="295"/>
        <v>37.129999723359944</v>
      </c>
      <c r="EC138" s="299">
        <f t="shared" ca="1" si="296"/>
        <v>24.892499890830361</v>
      </c>
      <c r="ED138" s="299">
        <f t="shared" ca="1" si="297"/>
        <v>26.464999573938545</v>
      </c>
      <c r="EE138" s="299">
        <f t="shared" ca="1" si="298"/>
        <v>33.092015850483286</v>
      </c>
      <c r="EF138" s="299">
        <f t="shared" ca="1" si="299"/>
        <v>21.239997711181637</v>
      </c>
      <c r="EG138" s="299">
        <f t="shared" ca="1" si="300"/>
        <v>29.141343137382737</v>
      </c>
      <c r="EH138" s="302">
        <f t="shared" ca="1" si="301"/>
        <v>30</v>
      </c>
      <c r="EI138" s="304">
        <f t="shared" ca="1" si="302"/>
        <v>8.6076313133138502E-2</v>
      </c>
      <c r="EJ138" s="305">
        <f t="shared" ca="1" si="303"/>
        <v>8.6076313133138502E-2</v>
      </c>
      <c r="EK138" s="305">
        <f t="shared" ca="1" si="304"/>
        <v>8.6076313133138502E-2</v>
      </c>
      <c r="EL138" s="305">
        <f t="shared" ca="1" si="305"/>
        <v>8.6076313133138557E-2</v>
      </c>
      <c r="EM138" s="305">
        <f t="shared" ca="1" si="306"/>
        <v>2.8597548241064145E-2</v>
      </c>
      <c r="EN138" s="305">
        <f t="shared" ca="1" si="307"/>
        <v>6.9249976619462347E-2</v>
      </c>
      <c r="EO138" s="305">
        <f t="shared" ca="1" si="308"/>
        <v>8.6076313133138502E-2</v>
      </c>
      <c r="EP138" s="305">
        <f t="shared" ca="1" si="309"/>
        <v>8.6076313133138502E-2</v>
      </c>
      <c r="EQ138" s="305">
        <f t="shared" ca="1" si="310"/>
        <v>8.6076313133138502E-2</v>
      </c>
      <c r="ER138" s="305">
        <f t="shared" ca="1" si="311"/>
        <v>2.8597548241064145E-2</v>
      </c>
      <c r="ES138" s="305">
        <f t="shared" ca="1" si="312"/>
        <v>6.9249976619462347E-2</v>
      </c>
      <c r="ET138" s="299">
        <f t="shared" ca="1" si="313"/>
        <v>3.0507593249592606</v>
      </c>
      <c r="EU138" s="302">
        <f t="shared" ca="1" si="314"/>
        <v>30</v>
      </c>
      <c r="EV138" s="304">
        <f t="shared" ca="1" si="315"/>
        <v>0.25822893939941549</v>
      </c>
      <c r="EW138" s="305">
        <f t="shared" ca="1" si="316"/>
        <v>0.25822893939941549</v>
      </c>
      <c r="EX138" s="305">
        <f t="shared" ca="1" si="317"/>
        <v>0.25822893939941549</v>
      </c>
      <c r="EY138" s="305">
        <f t="shared" ca="1" si="318"/>
        <v>0.25822893939941549</v>
      </c>
      <c r="EZ138" s="305">
        <f t="shared" ca="1" si="319"/>
        <v>8.5792644723192438E-2</v>
      </c>
      <c r="FA138" s="305">
        <f t="shared" ca="1" si="320"/>
        <v>0.21561425256216643</v>
      </c>
      <c r="FB138" s="305">
        <f t="shared" ca="1" si="321"/>
        <v>0.25822893939941549</v>
      </c>
      <c r="FC138" s="305">
        <f t="shared" ca="1" si="322"/>
        <v>0.25822893939941549</v>
      </c>
      <c r="FD138" s="305">
        <f t="shared" ca="1" si="323"/>
        <v>0.25822893939941549</v>
      </c>
      <c r="FE138" s="305">
        <f t="shared" ca="1" si="324"/>
        <v>8.5792644723192438E-2</v>
      </c>
      <c r="FF138" s="305">
        <f t="shared" ca="1" si="325"/>
        <v>0.21561425256216643</v>
      </c>
      <c r="FG138" s="299">
        <f t="shared" ca="1" si="326"/>
        <v>7.5294647254419971</v>
      </c>
      <c r="FH138" s="302">
        <f t="shared" ca="1" si="327"/>
        <v>-4.4787054004827365</v>
      </c>
      <c r="FI138" s="248">
        <f t="shared" ca="1" si="328"/>
        <v>-1573.2913846162437</v>
      </c>
      <c r="FJ138" s="363">
        <f t="shared" ca="1" si="329"/>
        <v>0.47215406433957591</v>
      </c>
      <c r="FK138" s="378">
        <f t="shared" ca="1" si="330"/>
        <v>0.63985180206533754</v>
      </c>
      <c r="FL138" s="508">
        <f t="shared" ca="1" si="331"/>
        <v>-0.81733099103555806</v>
      </c>
      <c r="FM138" s="508">
        <f t="shared" ca="1" si="332"/>
        <v>-0.59409719902344016</v>
      </c>
      <c r="FN138" s="508">
        <f t="shared" ca="1" si="333"/>
        <v>-3.8332620028469355</v>
      </c>
      <c r="FO138" s="508">
        <f t="shared" ca="1" si="334"/>
        <v>-0.24192286138005742</v>
      </c>
      <c r="FP138" s="353">
        <f t="shared" ca="1" si="335"/>
        <v>209.21689953748734</v>
      </c>
      <c r="FQ138" s="356">
        <f t="shared" ca="1" si="336"/>
        <v>20.549831011311667</v>
      </c>
      <c r="FR138" s="380">
        <f t="shared" ca="1" si="337"/>
        <v>24.572000000000003</v>
      </c>
      <c r="FS138" s="299">
        <f t="shared" ca="1" si="338"/>
        <v>24.572000000000003</v>
      </c>
      <c r="FT138" s="299">
        <f t="shared" ca="1" si="339"/>
        <v>24.572000000000003</v>
      </c>
      <c r="FU138" s="299">
        <f t="shared" ca="1" si="340"/>
        <v>24.572000000000003</v>
      </c>
      <c r="FV138" s="299">
        <f t="shared" ca="1" si="341"/>
        <v>24.572000000000003</v>
      </c>
      <c r="FW138" s="850">
        <f t="shared" ca="1" si="342"/>
        <v>0.1575</v>
      </c>
      <c r="FX138" s="851">
        <f t="shared" ca="1" si="343"/>
        <v>0.5</v>
      </c>
      <c r="FY138" s="851">
        <f t="shared" ca="1" si="344"/>
        <v>0</v>
      </c>
      <c r="FZ138" s="201">
        <f t="shared" ca="1" si="345"/>
        <v>0</v>
      </c>
      <c r="GA138" s="201">
        <f t="shared" ca="1" si="346"/>
        <v>0</v>
      </c>
      <c r="GB138" s="201">
        <f t="shared" ca="1" si="347"/>
        <v>0</v>
      </c>
      <c r="GC138" s="201">
        <f t="shared" ca="1" si="348"/>
        <v>0</v>
      </c>
      <c r="GD138" s="850">
        <f t="shared" ca="1" si="349"/>
        <v>0.2732289393994155</v>
      </c>
      <c r="GE138" s="866">
        <f t="shared" ca="1" si="350"/>
        <v>0.25822893939941549</v>
      </c>
      <c r="GF138" s="866">
        <f t="shared" ca="1" si="351"/>
        <v>0.26072893939941549</v>
      </c>
      <c r="GG138" s="866">
        <f t="shared" ca="1" si="352"/>
        <v>9.5792644723192433E-2</v>
      </c>
      <c r="GH138" s="866">
        <f t="shared" ca="1" si="353"/>
        <v>0.23061425256216644</v>
      </c>
      <c r="GI138" s="302">
        <f t="shared" ca="1" si="354"/>
        <v>16.617528251215912</v>
      </c>
      <c r="GJ138" s="299">
        <f t="shared" ca="1" si="355"/>
        <v>7.1023500597232889</v>
      </c>
      <c r="GK138" s="299">
        <f t="shared" ca="1" si="356"/>
        <v>8.205015514878621</v>
      </c>
      <c r="GL138" s="299">
        <f t="shared" ca="1" si="357"/>
        <v>2.5203551027111057</v>
      </c>
      <c r="GM138" s="299">
        <f t="shared" ca="1" si="358"/>
        <v>9.360918303062201</v>
      </c>
      <c r="GN138" s="302">
        <f t="shared" ca="1" si="359"/>
        <v>0.82219814823141135</v>
      </c>
      <c r="GO138" s="299">
        <f t="shared" ca="1" si="360"/>
        <v>0.64704532187204578</v>
      </c>
      <c r="GP138" s="299">
        <f t="shared" ca="1" si="361"/>
        <v>0.67898738972819972</v>
      </c>
      <c r="GQ138" s="299">
        <f t="shared" ca="1" si="362"/>
        <v>0.45484451396346398</v>
      </c>
      <c r="GR138" s="299">
        <f t="shared" ca="1" si="363"/>
        <v>0.72155159623892895</v>
      </c>
      <c r="GS138" s="302">
        <f t="shared" ca="1" si="364"/>
        <v>-0.56611959770504783</v>
      </c>
      <c r="GT138" s="299">
        <f t="shared" ca="1" si="365"/>
        <v>-0.36644257723630352</v>
      </c>
      <c r="GU138" s="299">
        <f t="shared" ca="1" si="366"/>
        <v>-0.3973787062802232</v>
      </c>
      <c r="GV138" s="299">
        <f t="shared" ca="1" si="367"/>
        <v>-0.29059663493024601</v>
      </c>
      <c r="GW138" s="299">
        <f t="shared" ca="1" si="368"/>
        <v>-0.47477075950256487</v>
      </c>
      <c r="GX138" s="303">
        <f t="shared" ca="1" si="369"/>
        <v>2510.7307209885817</v>
      </c>
      <c r="GY138" s="303">
        <f t="shared" ca="1" si="370"/>
        <v>268.27227576486246</v>
      </c>
      <c r="GZ138" s="303">
        <f t="shared" ca="1" si="371"/>
        <v>371.90701663864502</v>
      </c>
      <c r="HA138" s="303">
        <f t="shared" ca="1" si="372"/>
        <v>295.11898452036138</v>
      </c>
      <c r="HB138" s="303">
        <f t="shared" ca="1" si="373"/>
        <v>3288.3279433197085</v>
      </c>
      <c r="HC138" s="303">
        <f t="shared" ca="1" si="374"/>
        <v>1897.3793949950932</v>
      </c>
      <c r="HD138" s="303">
        <f t="shared" ca="1" si="375"/>
        <v>12.106026086075538</v>
      </c>
      <c r="HE138" s="303">
        <f t="shared" ca="1" si="376"/>
        <v>85.803594492304171</v>
      </c>
      <c r="HF138" s="303">
        <f t="shared" ca="1" si="377"/>
        <v>0</v>
      </c>
      <c r="HG138" s="852">
        <f t="shared" ca="1" si="378"/>
        <v>1605.130846655991</v>
      </c>
    </row>
    <row r="139" spans="1:215" x14ac:dyDescent="0.25">
      <c r="A139" s="244">
        <f t="shared" ca="1" si="379"/>
        <v>40330</v>
      </c>
      <c r="B139" s="13">
        <f t="shared" ca="1" si="412"/>
        <v>2010</v>
      </c>
      <c r="C139" s="619">
        <f t="shared" ca="1" si="413"/>
        <v>6</v>
      </c>
      <c r="D139" s="195" t="str">
        <f t="shared" ca="1" si="209"/>
        <v/>
      </c>
      <c r="E139" s="469">
        <f t="shared" ca="1" si="210"/>
        <v>40330</v>
      </c>
      <c r="F139" s="465">
        <f t="shared" ca="1" si="211"/>
        <v>40359</v>
      </c>
      <c r="G139" s="522">
        <f t="shared" ca="1" si="380"/>
        <v>1</v>
      </c>
      <c r="H139" s="519">
        <f t="shared" ca="1" si="381"/>
        <v>1</v>
      </c>
      <c r="I139" s="724">
        <f t="shared" ca="1" si="414"/>
        <v>7.4203808782852002E-2</v>
      </c>
      <c r="J139" s="198">
        <f t="shared" ca="1" si="213"/>
        <v>0.46933830490401512</v>
      </c>
      <c r="K139" s="200">
        <f t="shared" ca="1" si="389"/>
        <v>45.14</v>
      </c>
      <c r="L139" s="201">
        <f t="shared" ca="1" si="390"/>
        <v>52.25</v>
      </c>
      <c r="M139" s="206">
        <f t="shared" ca="1" si="391"/>
        <v>59.36</v>
      </c>
      <c r="N139" s="851">
        <f t="shared" ca="1" si="395"/>
        <v>22.126250152587886</v>
      </c>
      <c r="O139" s="201">
        <f t="shared" ca="1" si="396"/>
        <v>27.458750152587886</v>
      </c>
      <c r="P139" s="206">
        <f t="shared" ca="1" si="397"/>
        <v>32.791250152587885</v>
      </c>
      <c r="Q139" s="201">
        <f t="shared" ca="1" si="398"/>
        <v>16.642499542236322</v>
      </c>
      <c r="R139" s="201">
        <f t="shared" ca="1" si="399"/>
        <v>20.942499542236323</v>
      </c>
      <c r="S139" s="201">
        <f t="shared" ca="1" si="400"/>
        <v>25.242499542236324</v>
      </c>
      <c r="T139" s="851">
        <f t="shared" ca="1" si="392"/>
        <v>16.399998779296872</v>
      </c>
      <c r="U139" s="201">
        <f t="shared" ca="1" si="393"/>
        <v>19.954998779296872</v>
      </c>
      <c r="V139" s="206">
        <f t="shared" ca="1" si="394"/>
        <v>23.509998779296872</v>
      </c>
      <c r="W139" s="230">
        <f t="shared" ca="1" si="382"/>
        <v>0.10784355212150218</v>
      </c>
      <c r="X139" s="231">
        <f t="shared" ca="1" si="383"/>
        <v>0.21568710424300436</v>
      </c>
      <c r="Y139" s="232">
        <f t="shared" ca="1" si="384"/>
        <v>0.32353065636450651</v>
      </c>
      <c r="Z139" s="231">
        <f t="shared" ca="1" si="404"/>
        <v>0.10784355212150218</v>
      </c>
      <c r="AA139" s="231">
        <f t="shared" ca="1" si="405"/>
        <v>0.21568710424300436</v>
      </c>
      <c r="AB139" s="232">
        <f t="shared" ca="1" si="406"/>
        <v>0.32353065636450651</v>
      </c>
      <c r="AC139" s="231">
        <f t="shared" ca="1" si="407"/>
        <v>0.10784355212150218</v>
      </c>
      <c r="AD139" s="231">
        <f t="shared" ca="1" si="408"/>
        <v>0.21568710424300436</v>
      </c>
      <c r="AE139" s="232">
        <f t="shared" ca="1" si="214"/>
        <v>0.32353065636450651</v>
      </c>
      <c r="AF139" s="231">
        <f t="shared" ca="1" si="385"/>
        <v>3.6768276309939604E-2</v>
      </c>
      <c r="AG139" s="231">
        <f t="shared" ca="1" si="386"/>
        <v>7.3536552619879209E-2</v>
      </c>
      <c r="AH139" s="232">
        <f t="shared" ca="1" si="387"/>
        <v>0.11030482892981881</v>
      </c>
      <c r="AI139" s="233">
        <f t="shared" ca="1" si="215"/>
        <v>1.65</v>
      </c>
      <c r="AJ139" s="233">
        <f t="shared" ca="1" si="216"/>
        <v>2</v>
      </c>
      <c r="AK139" s="234">
        <f t="shared" ca="1" si="217"/>
        <v>2.2999999999999998</v>
      </c>
      <c r="AL139" s="919">
        <f t="shared" ca="1" si="218"/>
        <v>1.65</v>
      </c>
      <c r="AM139" s="233">
        <f t="shared" ca="1" si="219"/>
        <v>2</v>
      </c>
      <c r="AN139" s="234">
        <f t="shared" ca="1" si="220"/>
        <v>2.2999999999999998</v>
      </c>
      <c r="AO139" s="233">
        <f t="shared" ca="1" si="221"/>
        <v>1.65</v>
      </c>
      <c r="AP139" s="233">
        <f t="shared" ca="1" si="222"/>
        <v>2</v>
      </c>
      <c r="AQ139" s="233">
        <f t="shared" ca="1" si="223"/>
        <v>2.2999999999999998</v>
      </c>
      <c r="AR139" s="919">
        <f t="shared" ca="1" si="224"/>
        <v>0.5</v>
      </c>
      <c r="AS139" s="233">
        <f t="shared" ca="1" si="225"/>
        <v>0.65</v>
      </c>
      <c r="AT139" s="235">
        <f t="shared" ca="1" si="226"/>
        <v>0.85000000000000009</v>
      </c>
      <c r="AU139" s="946">
        <f t="shared" si="227"/>
        <v>0.5</v>
      </c>
      <c r="AV139" s="13">
        <f t="shared" ca="1" si="228"/>
        <v>22</v>
      </c>
      <c r="AW139" s="210">
        <f t="shared" ca="1" si="229"/>
        <v>4</v>
      </c>
      <c r="AX139" s="210">
        <f t="shared" ca="1" si="230"/>
        <v>4</v>
      </c>
      <c r="AY139" s="210">
        <f t="shared" ca="1" si="231"/>
        <v>0</v>
      </c>
      <c r="AZ139" s="13">
        <f t="shared" ca="1" si="232"/>
        <v>30</v>
      </c>
      <c r="BA139" s="357">
        <f ca="1"/>
        <v>352</v>
      </c>
      <c r="BB139" s="925">
        <f ca="1"/>
        <v>64</v>
      </c>
      <c r="BC139" s="925">
        <f ca="1"/>
        <v>64</v>
      </c>
      <c r="BD139" s="928">
        <f ca="1"/>
        <v>240</v>
      </c>
      <c r="BE139" s="200">
        <f ca="1"/>
        <v>1.0000000037252903</v>
      </c>
      <c r="BF139" s="851">
        <f ca="1"/>
        <v>1.0000000037252903</v>
      </c>
      <c r="BG139" s="851">
        <f ca="1"/>
        <v>1.0000000037252903</v>
      </c>
      <c r="BH139" s="933">
        <f ca="1"/>
        <v>1</v>
      </c>
      <c r="BI139" s="357">
        <f ca="1"/>
        <v>352</v>
      </c>
      <c r="BJ139" s="925">
        <f ca="1"/>
        <v>64</v>
      </c>
      <c r="BK139" s="925">
        <f ca="1"/>
        <v>64</v>
      </c>
      <c r="BL139" s="928">
        <f ca="1"/>
        <v>240</v>
      </c>
      <c r="BM139" s="200">
        <f ca="1"/>
        <v>1.0000000037252903</v>
      </c>
      <c r="BN139" s="851">
        <f ca="1"/>
        <v>1.0000000037252903</v>
      </c>
      <c r="BO139" s="851">
        <f ca="1"/>
        <v>1.0000000037252903</v>
      </c>
      <c r="BP139" s="933">
        <f ca="1"/>
        <v>1</v>
      </c>
      <c r="BQ139" s="357">
        <f t="shared" ca="1" si="233"/>
        <v>720</v>
      </c>
      <c r="BR139" s="361">
        <f t="shared" ca="1" si="234"/>
        <v>720</v>
      </c>
      <c r="BS139" s="357">
        <f t="shared" ca="1" si="235"/>
        <v>337.92357953089089</v>
      </c>
      <c r="BT139" s="302">
        <f t="shared" ca="1" si="236"/>
        <v>30.981221883243567</v>
      </c>
      <c r="BU139" s="299">
        <f t="shared" ca="1" si="237"/>
        <v>36.498444121604578</v>
      </c>
      <c r="BV139" s="299">
        <f t="shared" ca="1" si="238"/>
        <v>42.015666359965586</v>
      </c>
      <c r="BW139" s="299">
        <f t="shared" ca="1" si="239"/>
        <v>32.659889647739881</v>
      </c>
      <c r="BX139" s="380">
        <f t="shared" ca="1" si="240"/>
        <v>10.247775496235455</v>
      </c>
      <c r="BY139" s="363">
        <f t="shared" ca="1" si="241"/>
        <v>165.20708332621334</v>
      </c>
      <c r="BZ139" s="353">
        <f t="shared" ca="1" si="242"/>
        <v>30.037651513856968</v>
      </c>
      <c r="CA139" s="353">
        <f t="shared" ca="1" si="243"/>
        <v>30.037651513856968</v>
      </c>
      <c r="CB139" s="353">
        <f t="shared" ca="1" si="244"/>
        <v>225.28238635392725</v>
      </c>
      <c r="CC139" s="353">
        <f t="shared" ca="1" si="245"/>
        <v>112.64119317696363</v>
      </c>
      <c r="CD139" s="353">
        <f t="shared" ca="1" si="246"/>
        <v>337.92357953089089</v>
      </c>
      <c r="CE139" s="302">
        <f t="shared" ca="1" si="247"/>
        <v>59.360000221133234</v>
      </c>
      <c r="CF139" s="299">
        <f t="shared" ca="1" si="248"/>
        <v>32.791250274744812</v>
      </c>
      <c r="CG139" s="299">
        <f t="shared" ca="1" si="249"/>
        <v>25.242499636271962</v>
      </c>
      <c r="CH139" s="299">
        <f t="shared" ca="1" si="250"/>
        <v>51.268500150299943</v>
      </c>
      <c r="CI139" s="299">
        <f t="shared" ca="1" si="251"/>
        <v>23.509998779296872</v>
      </c>
      <c r="CJ139" s="299">
        <f t="shared" ca="1" si="252"/>
        <v>42.015666359965586</v>
      </c>
      <c r="CK139" s="299">
        <f t="shared" ca="1" si="253"/>
        <v>32.659889647739881</v>
      </c>
      <c r="CL139" s="377">
        <f t="shared" ca="1" si="254"/>
        <v>0.32353065636450651</v>
      </c>
      <c r="CM139" s="305">
        <f t="shared" ca="1" si="255"/>
        <v>0.32353065636450651</v>
      </c>
      <c r="CN139" s="305">
        <f t="shared" ca="1" si="256"/>
        <v>0.32353065636450651</v>
      </c>
      <c r="CO139" s="305">
        <f t="shared" ca="1" si="257"/>
        <v>0.32353065636450651</v>
      </c>
      <c r="CP139" s="305">
        <f t="shared" ca="1" si="258"/>
        <v>0.11030482892981881</v>
      </c>
      <c r="CQ139" s="305">
        <f t="shared" ca="1" si="259"/>
        <v>0.28789270443721787</v>
      </c>
      <c r="CR139" s="775">
        <f t="shared" ca="1" si="260"/>
        <v>0.33853065636450652</v>
      </c>
      <c r="CS139" s="305">
        <f t="shared" ca="1" si="261"/>
        <v>0.32353065636450651</v>
      </c>
      <c r="CT139" s="305">
        <f t="shared" ca="1" si="262"/>
        <v>0.35853065636450654</v>
      </c>
      <c r="CU139" s="305">
        <f t="shared" ca="1" si="263"/>
        <v>0.16030482892981882</v>
      </c>
      <c r="CV139" s="770">
        <f t="shared" ca="1" si="264"/>
        <v>0.30289270443721789</v>
      </c>
      <c r="CW139" s="302">
        <f t="shared" ca="1" si="265"/>
        <v>34.764994547147424</v>
      </c>
      <c r="CX139" s="299">
        <f t="shared" ca="1" si="266"/>
        <v>13.0065725886486</v>
      </c>
      <c r="CY139" s="299">
        <f t="shared" ca="1" si="267"/>
        <v>9.1345640167959843</v>
      </c>
      <c r="CZ139" s="299">
        <f t="shared" ca="1" si="268"/>
        <v>2.2039967850575</v>
      </c>
      <c r="DA139" s="774">
        <f t="shared" ca="1" si="269"/>
        <v>19.002744154474563</v>
      </c>
      <c r="DB139" s="303">
        <f t="shared" ca="1" si="270"/>
        <v>6421.4753255897567</v>
      </c>
      <c r="DC139" s="248">
        <f t="shared" ca="1" si="271"/>
        <v>260.79007793306727</v>
      </c>
      <c r="DD139" s="778">
        <f t="shared" ca="1" si="272"/>
        <v>3161.5375558870596</v>
      </c>
      <c r="DE139" s="363">
        <f t="shared" ca="1" si="273"/>
        <v>0.46933830490401512</v>
      </c>
      <c r="DF139" s="378">
        <f t="shared" ca="1" si="274"/>
        <v>9.4674457644913935E-3</v>
      </c>
      <c r="DG139" s="508">
        <f t="shared" ca="1" si="275"/>
        <v>-0.51396986123891208</v>
      </c>
      <c r="DH139" s="508">
        <f t="shared" ca="1" si="276"/>
        <v>-0.79832537009832716</v>
      </c>
      <c r="DI139" s="508">
        <f t="shared" ca="1" si="277"/>
        <v>-0.89715602230598779</v>
      </c>
      <c r="DJ139" s="508">
        <f t="shared" ca="1" si="278"/>
        <v>-0.22502633017202636</v>
      </c>
      <c r="DK139" s="353">
        <f t="shared" ca="1" si="279"/>
        <v>-138.87964163685226</v>
      </c>
      <c r="DL139" s="781">
        <f t="shared" ca="1" si="280"/>
        <v>4.1506371307831307</v>
      </c>
      <c r="DM139" s="303">
        <f t="shared" ca="1" si="281"/>
        <v>12830.259431182149</v>
      </c>
      <c r="DN139" s="508">
        <f t="shared" ca="1" si="282"/>
        <v>1.7871053831587047</v>
      </c>
      <c r="DO139" s="508">
        <f t="shared" ca="1" si="283"/>
        <v>1.6017013125610859</v>
      </c>
      <c r="DP139" s="508">
        <f t="shared" ca="1" si="284"/>
        <v>1.5199639586002835</v>
      </c>
      <c r="DQ139" s="508">
        <f t="shared" ca="1" si="285"/>
        <v>1.497750400696739</v>
      </c>
      <c r="DR139" s="508">
        <f t="shared" ca="1" si="286"/>
        <v>1.6791424253662157</v>
      </c>
      <c r="DS139" s="353">
        <f t="shared" ca="1" si="287"/>
        <v>4427.9628614744051</v>
      </c>
      <c r="DT139" s="353">
        <f t="shared" ca="1" si="288"/>
        <v>-11315.633123127487</v>
      </c>
      <c r="DU139" s="380">
        <f t="shared" ca="1" si="388"/>
        <v>10.247775496235455</v>
      </c>
      <c r="DV139" s="303">
        <f t="shared" ca="1" si="289"/>
        <v>165.20708332621334</v>
      </c>
      <c r="DW139" s="303">
        <f t="shared" ca="1" si="290"/>
        <v>30.037651513856968</v>
      </c>
      <c r="DX139" s="303">
        <f t="shared" ca="1" si="291"/>
        <v>30.037651513856968</v>
      </c>
      <c r="DY139" s="303">
        <f t="shared" ca="1" si="292"/>
        <v>225.28238635392725</v>
      </c>
      <c r="DZ139" s="303">
        <f t="shared" ca="1" si="293"/>
        <v>112.64119317696363</v>
      </c>
      <c r="EA139" s="303">
        <f t="shared" ca="1" si="294"/>
        <v>337.92357953089089</v>
      </c>
      <c r="EB139" s="302">
        <f t="shared" ca="1" si="295"/>
        <v>59.360000221133234</v>
      </c>
      <c r="EC139" s="299">
        <f t="shared" ca="1" si="296"/>
        <v>32.791250274744812</v>
      </c>
      <c r="ED139" s="299">
        <f t="shared" ca="1" si="297"/>
        <v>25.242499636271962</v>
      </c>
      <c r="EE139" s="299">
        <f t="shared" ca="1" si="298"/>
        <v>51.268500150299943</v>
      </c>
      <c r="EF139" s="299">
        <f t="shared" ca="1" si="299"/>
        <v>23.509998779296872</v>
      </c>
      <c r="EG139" s="299">
        <f t="shared" ca="1" si="300"/>
        <v>42.015666359965586</v>
      </c>
      <c r="EH139" s="302">
        <f t="shared" ca="1" si="301"/>
        <v>30</v>
      </c>
      <c r="EI139" s="304">
        <f t="shared" ca="1" si="302"/>
        <v>0.10784355212150218</v>
      </c>
      <c r="EJ139" s="305">
        <f t="shared" ca="1" si="303"/>
        <v>0.10784355212150218</v>
      </c>
      <c r="EK139" s="305">
        <f t="shared" ca="1" si="304"/>
        <v>0.10784355212150218</v>
      </c>
      <c r="EL139" s="305">
        <f t="shared" ca="1" si="305"/>
        <v>0.10784355212150216</v>
      </c>
      <c r="EM139" s="305">
        <f t="shared" ca="1" si="306"/>
        <v>3.6768276309939604E-2</v>
      </c>
      <c r="EN139" s="305">
        <f t="shared" ca="1" si="307"/>
        <v>9.1935166112938269E-2</v>
      </c>
      <c r="EO139" s="305">
        <f t="shared" ca="1" si="308"/>
        <v>0.10784355212150218</v>
      </c>
      <c r="EP139" s="305">
        <f t="shared" ca="1" si="309"/>
        <v>0.10784355212150218</v>
      </c>
      <c r="EQ139" s="305">
        <f t="shared" ca="1" si="310"/>
        <v>0.10784355212150218</v>
      </c>
      <c r="ER139" s="305">
        <f t="shared" ca="1" si="311"/>
        <v>3.6768276309939604E-2</v>
      </c>
      <c r="ES139" s="305">
        <f t="shared" ca="1" si="312"/>
        <v>9.1935166112938269E-2</v>
      </c>
      <c r="ET139" s="299">
        <f t="shared" ca="1" si="313"/>
        <v>0.65136260023152737</v>
      </c>
      <c r="EU139" s="302">
        <f t="shared" ca="1" si="314"/>
        <v>30</v>
      </c>
      <c r="EV139" s="304">
        <f t="shared" ca="1" si="315"/>
        <v>0.32353065636450651</v>
      </c>
      <c r="EW139" s="305">
        <f t="shared" ca="1" si="316"/>
        <v>0.32353065636450651</v>
      </c>
      <c r="EX139" s="305">
        <f t="shared" ca="1" si="317"/>
        <v>0.32353065636450651</v>
      </c>
      <c r="EY139" s="305">
        <f t="shared" ca="1" si="318"/>
        <v>0.32353065636450651</v>
      </c>
      <c r="EZ139" s="305">
        <f t="shared" ca="1" si="319"/>
        <v>0.11030482892981881</v>
      </c>
      <c r="FA139" s="305">
        <f t="shared" ca="1" si="320"/>
        <v>0.28789270443721787</v>
      </c>
      <c r="FB139" s="305">
        <f t="shared" ca="1" si="321"/>
        <v>0.32353065636450651</v>
      </c>
      <c r="FC139" s="305">
        <f t="shared" ca="1" si="322"/>
        <v>0.32353065636450651</v>
      </c>
      <c r="FD139" s="305">
        <f t="shared" ca="1" si="323"/>
        <v>0.32353065636450651</v>
      </c>
      <c r="FE139" s="305">
        <f t="shared" ca="1" si="324"/>
        <v>0.11030482892981881</v>
      </c>
      <c r="FF139" s="305">
        <f t="shared" ca="1" si="325"/>
        <v>0.28789270443721787</v>
      </c>
      <c r="FG139" s="299">
        <f t="shared" ca="1" si="326"/>
        <v>19.570084725096201</v>
      </c>
      <c r="FH139" s="302">
        <f t="shared" ca="1" si="327"/>
        <v>-18.918722124864672</v>
      </c>
      <c r="FI139" s="248">
        <f t="shared" ca="1" si="328"/>
        <v>-6393.0823005845323</v>
      </c>
      <c r="FJ139" s="363">
        <f t="shared" ca="1" si="329"/>
        <v>0.46933830490401512</v>
      </c>
      <c r="FK139" s="378">
        <f t="shared" ca="1" si="330"/>
        <v>1.8041032456759518</v>
      </c>
      <c r="FL139" s="508">
        <f t="shared" ca="1" si="331"/>
        <v>8.5080396895027624E-2</v>
      </c>
      <c r="FM139" s="508">
        <f t="shared" ca="1" si="332"/>
        <v>-0.67276908615358266</v>
      </c>
      <c r="FN139" s="508">
        <f t="shared" ca="1" si="333"/>
        <v>-2.1299225575944729</v>
      </c>
      <c r="FO139" s="508">
        <f t="shared" ca="1" si="334"/>
        <v>0.99739551438617291</v>
      </c>
      <c r="FP139" s="353">
        <f t="shared" ca="1" si="335"/>
        <v>53.826592846544756</v>
      </c>
      <c r="FQ139" s="356">
        <f t="shared" ca="1" si="336"/>
        <v>9.2852462261253699</v>
      </c>
      <c r="FR139" s="380">
        <f t="shared" ca="1" si="337"/>
        <v>24.62</v>
      </c>
      <c r="FS139" s="299">
        <f t="shared" ca="1" si="338"/>
        <v>24.62</v>
      </c>
      <c r="FT139" s="299">
        <f t="shared" ca="1" si="339"/>
        <v>24.62</v>
      </c>
      <c r="FU139" s="299">
        <f t="shared" ca="1" si="340"/>
        <v>24.62</v>
      </c>
      <c r="FV139" s="299">
        <f t="shared" ca="1" si="341"/>
        <v>24.62</v>
      </c>
      <c r="FW139" s="850">
        <f t="shared" ca="1" si="342"/>
        <v>0.1575</v>
      </c>
      <c r="FX139" s="851">
        <f t="shared" ca="1" si="343"/>
        <v>0.5</v>
      </c>
      <c r="FY139" s="851">
        <f t="shared" ca="1" si="344"/>
        <v>0</v>
      </c>
      <c r="FZ139" s="201">
        <f t="shared" ca="1" si="345"/>
        <v>0</v>
      </c>
      <c r="GA139" s="201">
        <f t="shared" ca="1" si="346"/>
        <v>0</v>
      </c>
      <c r="GB139" s="201">
        <f t="shared" ca="1" si="347"/>
        <v>0</v>
      </c>
      <c r="GC139" s="201">
        <f t="shared" ca="1" si="348"/>
        <v>0</v>
      </c>
      <c r="GD139" s="850">
        <f t="shared" ca="1" si="349"/>
        <v>0.33853065636450652</v>
      </c>
      <c r="GE139" s="866">
        <f t="shared" ca="1" si="350"/>
        <v>0.33853065636450652</v>
      </c>
      <c r="GF139" s="866">
        <f t="shared" ca="1" si="351"/>
        <v>0.32353065636450651</v>
      </c>
      <c r="GG139" s="866">
        <f t="shared" ca="1" si="352"/>
        <v>0.11030482892981881</v>
      </c>
      <c r="GH139" s="866">
        <f t="shared" ca="1" si="353"/>
        <v>0.30289270443721789</v>
      </c>
      <c r="GI139" s="302">
        <f t="shared" ca="1" si="354"/>
        <v>37.886368299673059</v>
      </c>
      <c r="GJ139" s="299">
        <f t="shared" ca="1" si="355"/>
        <v>14.90067825823049</v>
      </c>
      <c r="GK139" s="299">
        <f t="shared" ca="1" si="356"/>
        <v>8.9461119069795316</v>
      </c>
      <c r="GL139" s="299">
        <f t="shared" ca="1" si="357"/>
        <v>3.734185319421186</v>
      </c>
      <c r="GM139" s="299">
        <f t="shared" ca="1" si="358"/>
        <v>21.487350204427592</v>
      </c>
      <c r="GN139" s="302">
        <f t="shared" ca="1" si="359"/>
        <v>0.92022638399479884</v>
      </c>
      <c r="GO139" s="299">
        <f t="shared" ca="1" si="360"/>
        <v>0.78076213766493419</v>
      </c>
      <c r="GP139" s="299">
        <f t="shared" ca="1" si="361"/>
        <v>0.68308943924768328</v>
      </c>
      <c r="GQ139" s="299">
        <f t="shared" ca="1" si="362"/>
        <v>0.54821446756501646</v>
      </c>
      <c r="GR139" s="299">
        <f t="shared" ca="1" si="363"/>
        <v>0.85458549653218951</v>
      </c>
      <c r="GS139" s="302">
        <f t="shared" ca="1" si="364"/>
        <v>-0.67986508664038237</v>
      </c>
      <c r="GT139" s="299">
        <f t="shared" ca="1" si="365"/>
        <v>-0.43466655783202196</v>
      </c>
      <c r="GU139" s="299">
        <f t="shared" ca="1" si="366"/>
        <v>-0.33699329093856945</v>
      </c>
      <c r="GV139" s="299">
        <f t="shared" ca="1" si="367"/>
        <v>-0.37182515043518688</v>
      </c>
      <c r="GW139" s="299">
        <f t="shared" ca="1" si="368"/>
        <v>-0.58564715530694267</v>
      </c>
      <c r="GX139" s="303">
        <f t="shared" ca="1" si="369"/>
        <v>6259.0964046116942</v>
      </c>
      <c r="GY139" s="303">
        <f t="shared" ca="1" si="370"/>
        <v>447.58138084083271</v>
      </c>
      <c r="GZ139" s="303">
        <f t="shared" ca="1" si="371"/>
        <v>268.72019186581758</v>
      </c>
      <c r="HA139" s="303">
        <f t="shared" ca="1" si="372"/>
        <v>420.62308992350341</v>
      </c>
      <c r="HB139" s="303">
        <f t="shared" ca="1" si="373"/>
        <v>7261.0822957139917</v>
      </c>
      <c r="HC139" s="303">
        <f t="shared" ca="1" si="374"/>
        <v>5739.2941112854269</v>
      </c>
      <c r="HD139" s="303">
        <f t="shared" ca="1" si="375"/>
        <v>245.44516818529263</v>
      </c>
      <c r="HE139" s="303">
        <f t="shared" ca="1" si="376"/>
        <v>18.698427141839876</v>
      </c>
      <c r="HF139" s="303">
        <f t="shared" ca="1" si="377"/>
        <v>0</v>
      </c>
      <c r="HG139" s="852">
        <f t="shared" ca="1" si="378"/>
        <v>5878.4058446846739</v>
      </c>
    </row>
    <row r="140" spans="1:215" x14ac:dyDescent="0.25">
      <c r="A140" s="244">
        <f t="shared" ca="1" si="379"/>
        <v>40360</v>
      </c>
      <c r="B140" s="13">
        <f t="shared" ca="1" si="412"/>
        <v>2010</v>
      </c>
      <c r="C140" s="619">
        <f t="shared" ca="1" si="413"/>
        <v>7</v>
      </c>
      <c r="D140" s="195">
        <f t="shared" ca="1" si="209"/>
        <v>40364</v>
      </c>
      <c r="E140" s="469">
        <f t="shared" ca="1" si="210"/>
        <v>40360</v>
      </c>
      <c r="F140" s="465">
        <f t="shared" ca="1" si="211"/>
        <v>40390</v>
      </c>
      <c r="G140" s="522">
        <f t="shared" ca="1" si="380"/>
        <v>1</v>
      </c>
      <c r="H140" s="519">
        <f t="shared" ca="1" si="381"/>
        <v>1</v>
      </c>
      <c r="I140" s="724">
        <f t="shared" ca="1" si="414"/>
        <v>7.4203523571999996E-2</v>
      </c>
      <c r="J140" s="198">
        <f t="shared" ca="1" si="213"/>
        <v>0.46644625865360617</v>
      </c>
      <c r="K140" s="200">
        <f t="shared" ca="1" si="389"/>
        <v>71.5</v>
      </c>
      <c r="L140" s="201">
        <f t="shared" ca="1" si="390"/>
        <v>76.5</v>
      </c>
      <c r="M140" s="206">
        <f t="shared" ca="1" si="391"/>
        <v>81.5</v>
      </c>
      <c r="N140" s="851">
        <f t="shared" ca="1" si="395"/>
        <v>36.911249542236348</v>
      </c>
      <c r="O140" s="201">
        <f t="shared" ca="1" si="396"/>
        <v>40.661249542236348</v>
      </c>
      <c r="P140" s="206">
        <f t="shared" ca="1" si="397"/>
        <v>44.411249542236348</v>
      </c>
      <c r="Q140" s="201">
        <f t="shared" ca="1" si="398"/>
        <v>25.847499465942377</v>
      </c>
      <c r="R140" s="201">
        <f t="shared" ca="1" si="399"/>
        <v>30.147499465942378</v>
      </c>
      <c r="S140" s="201">
        <f t="shared" ca="1" si="400"/>
        <v>34.447499465942379</v>
      </c>
      <c r="T140" s="851">
        <f t="shared" ca="1" si="392"/>
        <v>21.949997711181638</v>
      </c>
      <c r="U140" s="201">
        <f t="shared" ca="1" si="393"/>
        <v>24.449997711181638</v>
      </c>
      <c r="V140" s="206">
        <f t="shared" ca="1" si="394"/>
        <v>26.949997711181638</v>
      </c>
      <c r="W140" s="230">
        <f t="shared" ca="1" si="382"/>
        <v>0.12769640852782735</v>
      </c>
      <c r="X140" s="231">
        <f t="shared" ca="1" si="383"/>
        <v>0.2553928170556547</v>
      </c>
      <c r="Y140" s="232">
        <f t="shared" ca="1" si="384"/>
        <v>0.38308922558348202</v>
      </c>
      <c r="Z140" s="231">
        <f t="shared" ca="1" si="404"/>
        <v>0.12769640852782735</v>
      </c>
      <c r="AA140" s="231">
        <f t="shared" ca="1" si="405"/>
        <v>0.2553928170556547</v>
      </c>
      <c r="AB140" s="232">
        <f t="shared" ca="1" si="406"/>
        <v>0.38308922558348202</v>
      </c>
      <c r="AC140" s="231">
        <f t="shared" ca="1" si="407"/>
        <v>0.12769640852782735</v>
      </c>
      <c r="AD140" s="231">
        <f t="shared" ca="1" si="408"/>
        <v>0.2553928170556547</v>
      </c>
      <c r="AE140" s="232">
        <f t="shared" ca="1" si="214"/>
        <v>0.38308922558348202</v>
      </c>
      <c r="AF140" s="231">
        <f t="shared" ca="1" si="385"/>
        <v>4.9024368413252799E-2</v>
      </c>
      <c r="AG140" s="231">
        <f t="shared" ca="1" si="386"/>
        <v>9.8048736826505598E-2</v>
      </c>
      <c r="AH140" s="232">
        <f t="shared" ca="1" si="387"/>
        <v>0.14707310523975839</v>
      </c>
      <c r="AI140" s="233">
        <f t="shared" ca="1" si="215"/>
        <v>2.65</v>
      </c>
      <c r="AJ140" s="233">
        <f t="shared" ca="1" si="216"/>
        <v>3</v>
      </c>
      <c r="AK140" s="234">
        <f t="shared" ca="1" si="217"/>
        <v>3.5</v>
      </c>
      <c r="AL140" s="919">
        <f t="shared" ca="1" si="218"/>
        <v>2.65</v>
      </c>
      <c r="AM140" s="233">
        <f t="shared" ca="1" si="219"/>
        <v>3</v>
      </c>
      <c r="AN140" s="234">
        <f t="shared" ca="1" si="220"/>
        <v>3.5</v>
      </c>
      <c r="AO140" s="233">
        <f t="shared" ca="1" si="221"/>
        <v>2.65</v>
      </c>
      <c r="AP140" s="233">
        <f t="shared" ca="1" si="222"/>
        <v>3</v>
      </c>
      <c r="AQ140" s="233">
        <f t="shared" ca="1" si="223"/>
        <v>3.5</v>
      </c>
      <c r="AR140" s="919">
        <f t="shared" ca="1" si="224"/>
        <v>0.6</v>
      </c>
      <c r="AS140" s="233">
        <f t="shared" ca="1" si="225"/>
        <v>0.75</v>
      </c>
      <c r="AT140" s="235">
        <f t="shared" ca="1" si="226"/>
        <v>0.95</v>
      </c>
      <c r="AU140" s="946">
        <f t="shared" si="227"/>
        <v>0.5</v>
      </c>
      <c r="AV140" s="13">
        <f t="shared" ca="1" si="228"/>
        <v>21</v>
      </c>
      <c r="AW140" s="210">
        <f t="shared" ca="1" si="229"/>
        <v>5</v>
      </c>
      <c r="AX140" s="210">
        <f t="shared" ca="1" si="230"/>
        <v>4</v>
      </c>
      <c r="AY140" s="210">
        <f t="shared" ca="1" si="231"/>
        <v>1</v>
      </c>
      <c r="AZ140" s="13">
        <f t="shared" ca="1" si="232"/>
        <v>31</v>
      </c>
      <c r="BA140" s="357">
        <f ca="1"/>
        <v>336</v>
      </c>
      <c r="BB140" s="925">
        <f ca="1"/>
        <v>80</v>
      </c>
      <c r="BC140" s="925">
        <f ca="1"/>
        <v>80</v>
      </c>
      <c r="BD140" s="928">
        <f ca="1"/>
        <v>248</v>
      </c>
      <c r="BE140" s="200">
        <f ca="1"/>
        <v>1.0000000111758709</v>
      </c>
      <c r="BF140" s="851">
        <f ca="1"/>
        <v>1.0000000111758709</v>
      </c>
      <c r="BG140" s="851">
        <f ca="1"/>
        <v>1.0000000111758709</v>
      </c>
      <c r="BH140" s="933">
        <f ca="1"/>
        <v>1.0000000149011612</v>
      </c>
      <c r="BI140" s="357">
        <f ca="1"/>
        <v>336</v>
      </c>
      <c r="BJ140" s="925">
        <f ca="1"/>
        <v>80</v>
      </c>
      <c r="BK140" s="925">
        <f ca="1"/>
        <v>80</v>
      </c>
      <c r="BL140" s="928">
        <f ca="1"/>
        <v>248</v>
      </c>
      <c r="BM140" s="200">
        <f ca="1"/>
        <v>1.0000000111758709</v>
      </c>
      <c r="BN140" s="851">
        <f ca="1"/>
        <v>1.0000000111758709</v>
      </c>
      <c r="BO140" s="851">
        <f ca="1"/>
        <v>1.0000000111758709</v>
      </c>
      <c r="BP140" s="933">
        <f ca="1"/>
        <v>1.0000000149011612</v>
      </c>
      <c r="BQ140" s="357">
        <f t="shared" ca="1" si="233"/>
        <v>744</v>
      </c>
      <c r="BR140" s="361">
        <f t="shared" ca="1" si="234"/>
        <v>744</v>
      </c>
      <c r="BS140" s="357">
        <f t="shared" ca="1" si="235"/>
        <v>347.03601643828301</v>
      </c>
      <c r="BT140" s="302">
        <f t="shared" ca="1" si="236"/>
        <v>46.355241611213863</v>
      </c>
      <c r="BU140" s="299">
        <f t="shared" ca="1" si="237"/>
        <v>50.312230905852907</v>
      </c>
      <c r="BV140" s="299">
        <f t="shared" ca="1" si="238"/>
        <v>54.269220200491944</v>
      </c>
      <c r="BW140" s="299">
        <f t="shared" ca="1" si="239"/>
        <v>32.659889647739881</v>
      </c>
      <c r="BX140" s="380">
        <f t="shared" ca="1" si="240"/>
        <v>10.329911019849419</v>
      </c>
      <c r="BY140" s="363">
        <f t="shared" ca="1" si="241"/>
        <v>156.72594290761168</v>
      </c>
      <c r="BZ140" s="353">
        <f t="shared" ca="1" si="242"/>
        <v>37.315700692288495</v>
      </c>
      <c r="CA140" s="353">
        <f t="shared" ca="1" si="243"/>
        <v>37.315700692288495</v>
      </c>
      <c r="CB140" s="353">
        <f t="shared" ca="1" si="244"/>
        <v>231.35734429218866</v>
      </c>
      <c r="CC140" s="353">
        <f t="shared" ca="1" si="245"/>
        <v>115.67867214609433</v>
      </c>
      <c r="CD140" s="353">
        <f t="shared" ca="1" si="246"/>
        <v>347.03601643828301</v>
      </c>
      <c r="CE140" s="302">
        <f t="shared" ca="1" si="247"/>
        <v>81.500000910833478</v>
      </c>
      <c r="CF140" s="299">
        <f t="shared" ca="1" si="248"/>
        <v>44.411250038570742</v>
      </c>
      <c r="CG140" s="299">
        <f t="shared" ca="1" si="249"/>
        <v>34.447499850923187</v>
      </c>
      <c r="CH140" s="299">
        <f t="shared" ca="1" si="250"/>
        <v>67.928831244353958</v>
      </c>
      <c r="CI140" s="299">
        <f t="shared" ca="1" si="251"/>
        <v>26.949998112767897</v>
      </c>
      <c r="CJ140" s="299">
        <f t="shared" ca="1" si="252"/>
        <v>54.26922020049193</v>
      </c>
      <c r="CK140" s="299">
        <f t="shared" ca="1" si="253"/>
        <v>32.659889647739881</v>
      </c>
      <c r="CL140" s="377">
        <f t="shared" ca="1" si="254"/>
        <v>0.38308922558348202</v>
      </c>
      <c r="CM140" s="305">
        <f t="shared" ca="1" si="255"/>
        <v>0.38308922558348202</v>
      </c>
      <c r="CN140" s="305">
        <f t="shared" ca="1" si="256"/>
        <v>0.38308922558348202</v>
      </c>
      <c r="CO140" s="305">
        <f t="shared" ca="1" si="257"/>
        <v>0.38308922558348202</v>
      </c>
      <c r="CP140" s="305">
        <f t="shared" ca="1" si="258"/>
        <v>0.14707310523975839</v>
      </c>
      <c r="CQ140" s="305">
        <f t="shared" ca="1" si="259"/>
        <v>0.3511767811408994</v>
      </c>
      <c r="CR140" s="775">
        <f t="shared" ca="1" si="260"/>
        <v>0.39808922558348203</v>
      </c>
      <c r="CS140" s="305">
        <f t="shared" ca="1" si="261"/>
        <v>0.39808922558348203</v>
      </c>
      <c r="CT140" s="305">
        <f t="shared" ca="1" si="262"/>
        <v>0.38558922558348202</v>
      </c>
      <c r="CU140" s="305">
        <f t="shared" ca="1" si="263"/>
        <v>0.16457310523975838</v>
      </c>
      <c r="CV140" s="770">
        <f t="shared" ca="1" si="264"/>
        <v>0.36617678114089941</v>
      </c>
      <c r="CW140" s="302">
        <f t="shared" ca="1" si="265"/>
        <v>57.038555850243526</v>
      </c>
      <c r="CX140" s="299">
        <f t="shared" ca="1" si="266"/>
        <v>24.738131233008225</v>
      </c>
      <c r="CY140" s="299">
        <f t="shared" ca="1" si="267"/>
        <v>16.492442066149124</v>
      </c>
      <c r="CZ140" s="299">
        <f t="shared" ca="1" si="268"/>
        <v>3.7567710403632653</v>
      </c>
      <c r="DA140" s="774">
        <f t="shared" ca="1" si="269"/>
        <v>31.625123647829035</v>
      </c>
      <c r="DB140" s="303">
        <f t="shared" ca="1" si="270"/>
        <v>10975.05693011073</v>
      </c>
      <c r="DC140" s="248">
        <f t="shared" ca="1" si="271"/>
        <v>293.6338512878574</v>
      </c>
      <c r="DD140" s="778">
        <f t="shared" ca="1" si="272"/>
        <v>7499.2159929251511</v>
      </c>
      <c r="DE140" s="363">
        <f t="shared" ca="1" si="273"/>
        <v>0.46644625865360617</v>
      </c>
      <c r="DF140" s="378">
        <f t="shared" ca="1" si="274"/>
        <v>7.4983503564952925E-2</v>
      </c>
      <c r="DG140" s="508">
        <f t="shared" ca="1" si="275"/>
        <v>-0.39951934763633506</v>
      </c>
      <c r="DH140" s="508">
        <f t="shared" ca="1" si="276"/>
        <v>-0.57664596951452685</v>
      </c>
      <c r="DI140" s="508">
        <f t="shared" ca="1" si="277"/>
        <v>-0.62777092627525888</v>
      </c>
      <c r="DJ140" s="508">
        <f t="shared" ca="1" si="278"/>
        <v>-0.15696830319696151</v>
      </c>
      <c r="DK140" s="353">
        <f t="shared" ca="1" si="279"/>
        <v>-151.87507281192714</v>
      </c>
      <c r="DL140" s="781">
        <f t="shared" ca="1" si="280"/>
        <v>3.55779312374642</v>
      </c>
      <c r="DM140" s="303">
        <f t="shared" ca="1" si="281"/>
        <v>17267.525991101138</v>
      </c>
      <c r="DN140" s="508">
        <f t="shared" ca="1" si="282"/>
        <v>1.8913976191666053</v>
      </c>
      <c r="DO140" s="508">
        <f t="shared" ca="1" si="283"/>
        <v>1.7024842552583395</v>
      </c>
      <c r="DP140" s="508">
        <f t="shared" ca="1" si="284"/>
        <v>1.6234299961875658</v>
      </c>
      <c r="DQ140" s="508">
        <f t="shared" ca="1" si="285"/>
        <v>1.5470527792156996</v>
      </c>
      <c r="DR140" s="508">
        <f t="shared" ca="1" si="286"/>
        <v>1.7648623930229703</v>
      </c>
      <c r="DS140" s="353">
        <f t="shared" ca="1" si="287"/>
        <v>5087.795329327193</v>
      </c>
      <c r="DT140" s="353">
        <f t="shared" ca="1" si="288"/>
        <v>-13010.757174625502</v>
      </c>
      <c r="DU140" s="380">
        <f t="shared" ca="1" si="388"/>
        <v>10.329911019849419</v>
      </c>
      <c r="DV140" s="303">
        <f t="shared" ca="1" si="289"/>
        <v>156.72594290761168</v>
      </c>
      <c r="DW140" s="303">
        <f t="shared" ca="1" si="290"/>
        <v>37.315700692288495</v>
      </c>
      <c r="DX140" s="303">
        <f t="shared" ca="1" si="291"/>
        <v>37.315700692288495</v>
      </c>
      <c r="DY140" s="303">
        <f t="shared" ca="1" si="292"/>
        <v>231.35734429218866</v>
      </c>
      <c r="DZ140" s="303">
        <f t="shared" ca="1" si="293"/>
        <v>115.67867214609433</v>
      </c>
      <c r="EA140" s="303">
        <f t="shared" ca="1" si="294"/>
        <v>347.03601643828301</v>
      </c>
      <c r="EB140" s="302">
        <f t="shared" ca="1" si="295"/>
        <v>81.500000910833478</v>
      </c>
      <c r="EC140" s="299">
        <f t="shared" ca="1" si="296"/>
        <v>44.411250038570742</v>
      </c>
      <c r="ED140" s="299">
        <f t="shared" ca="1" si="297"/>
        <v>34.447499850923187</v>
      </c>
      <c r="EE140" s="299">
        <f t="shared" ca="1" si="298"/>
        <v>67.928831244353958</v>
      </c>
      <c r="EF140" s="299">
        <f t="shared" ca="1" si="299"/>
        <v>26.949998112767897</v>
      </c>
      <c r="EG140" s="299">
        <f t="shared" ca="1" si="300"/>
        <v>54.26922020049193</v>
      </c>
      <c r="EH140" s="302">
        <f t="shared" ca="1" si="301"/>
        <v>30</v>
      </c>
      <c r="EI140" s="304">
        <f t="shared" ca="1" si="302"/>
        <v>0.12769640852782735</v>
      </c>
      <c r="EJ140" s="305">
        <f t="shared" ca="1" si="303"/>
        <v>0.12769640852782735</v>
      </c>
      <c r="EK140" s="305">
        <f t="shared" ca="1" si="304"/>
        <v>0.12769640852782735</v>
      </c>
      <c r="EL140" s="305">
        <f t="shared" ca="1" si="305"/>
        <v>0.12769640852782738</v>
      </c>
      <c r="EM140" s="305">
        <f t="shared" ca="1" si="306"/>
        <v>4.9024368413252799E-2</v>
      </c>
      <c r="EN140" s="305">
        <f t="shared" ca="1" si="307"/>
        <v>0.11168420011629271</v>
      </c>
      <c r="EO140" s="305">
        <f t="shared" ca="1" si="308"/>
        <v>0.12769640852782735</v>
      </c>
      <c r="EP140" s="305">
        <f t="shared" ca="1" si="309"/>
        <v>0.12769640852782735</v>
      </c>
      <c r="EQ140" s="305">
        <f t="shared" ca="1" si="310"/>
        <v>0.12769640852782735</v>
      </c>
      <c r="ER140" s="305">
        <f t="shared" ca="1" si="311"/>
        <v>4.9024368413252799E-2</v>
      </c>
      <c r="ES140" s="305">
        <f t="shared" ca="1" si="312"/>
        <v>0.11168420011629271</v>
      </c>
      <c r="ET140" s="299">
        <f t="shared" ca="1" si="313"/>
        <v>0.29438825110206879</v>
      </c>
      <c r="EU140" s="302">
        <f t="shared" ca="1" si="314"/>
        <v>30</v>
      </c>
      <c r="EV140" s="304">
        <f t="shared" ca="1" si="315"/>
        <v>0.38308922558348202</v>
      </c>
      <c r="EW140" s="305">
        <f t="shared" ca="1" si="316"/>
        <v>0.38308922558348202</v>
      </c>
      <c r="EX140" s="305">
        <f t="shared" ca="1" si="317"/>
        <v>0.38308922558348202</v>
      </c>
      <c r="EY140" s="305">
        <f t="shared" ca="1" si="318"/>
        <v>0.38308922558348202</v>
      </c>
      <c r="EZ140" s="305">
        <f t="shared" ca="1" si="319"/>
        <v>0.14707310523975839</v>
      </c>
      <c r="FA140" s="305">
        <f t="shared" ca="1" si="320"/>
        <v>0.3511767811408994</v>
      </c>
      <c r="FB140" s="305">
        <f t="shared" ca="1" si="321"/>
        <v>0.38308922558348202</v>
      </c>
      <c r="FC140" s="305">
        <f t="shared" ca="1" si="322"/>
        <v>0.38308922558348202</v>
      </c>
      <c r="FD140" s="305">
        <f t="shared" ca="1" si="323"/>
        <v>0.38308922558348202</v>
      </c>
      <c r="FE140" s="305">
        <f t="shared" ca="1" si="324"/>
        <v>0.14707310523975839</v>
      </c>
      <c r="FF140" s="305">
        <f t="shared" ca="1" si="325"/>
        <v>0.3511767811408994</v>
      </c>
      <c r="FG140" s="299">
        <f t="shared" ca="1" si="326"/>
        <v>32.250769400578079</v>
      </c>
      <c r="FH140" s="302">
        <f t="shared" ca="1" si="327"/>
        <v>-31.956381149476009</v>
      </c>
      <c r="FI140" s="248">
        <f t="shared" ca="1" si="328"/>
        <v>-11090.015213897594</v>
      </c>
      <c r="FJ140" s="363">
        <f t="shared" ca="1" si="329"/>
        <v>0.46644625865360617</v>
      </c>
      <c r="FK140" s="378">
        <f t="shared" ca="1" si="330"/>
        <v>2.2298796629259661</v>
      </c>
      <c r="FL140" s="508">
        <f t="shared" ca="1" si="331"/>
        <v>0.75063310658517879</v>
      </c>
      <c r="FM140" s="508">
        <f t="shared" ca="1" si="332"/>
        <v>0.13161527706148246</v>
      </c>
      <c r="FN140" s="508">
        <f t="shared" ca="1" si="333"/>
        <v>-0.75922571789440352</v>
      </c>
      <c r="FO140" s="508">
        <f t="shared" ca="1" si="334"/>
        <v>1.4718710122252321</v>
      </c>
      <c r="FP140" s="353">
        <f t="shared" ca="1" si="335"/>
        <v>24.475718561517919</v>
      </c>
      <c r="FQ140" s="356">
        <f t="shared" ca="1" si="336"/>
        <v>4.3520592983425779</v>
      </c>
      <c r="FR140" s="380">
        <f t="shared" ca="1" si="337"/>
        <v>24.7</v>
      </c>
      <c r="FS140" s="299">
        <f t="shared" ca="1" si="338"/>
        <v>24.7</v>
      </c>
      <c r="FT140" s="299">
        <f t="shared" ca="1" si="339"/>
        <v>24.7</v>
      </c>
      <c r="FU140" s="299">
        <f t="shared" ca="1" si="340"/>
        <v>24.7</v>
      </c>
      <c r="FV140" s="299">
        <f t="shared" ca="1" si="341"/>
        <v>24.7</v>
      </c>
      <c r="FW140" s="850">
        <f t="shared" ca="1" si="342"/>
        <v>0.1575</v>
      </c>
      <c r="FX140" s="851">
        <f t="shared" ca="1" si="343"/>
        <v>0.5</v>
      </c>
      <c r="FY140" s="851">
        <f t="shared" ca="1" si="344"/>
        <v>0</v>
      </c>
      <c r="FZ140" s="201">
        <f t="shared" ca="1" si="345"/>
        <v>0</v>
      </c>
      <c r="GA140" s="201">
        <f t="shared" ca="1" si="346"/>
        <v>0</v>
      </c>
      <c r="GB140" s="201">
        <f t="shared" ca="1" si="347"/>
        <v>0</v>
      </c>
      <c r="GC140" s="201">
        <f t="shared" ca="1" si="348"/>
        <v>0</v>
      </c>
      <c r="GD140" s="850">
        <f t="shared" ca="1" si="349"/>
        <v>0.39808922558348203</v>
      </c>
      <c r="GE140" s="866">
        <f t="shared" ca="1" si="350"/>
        <v>0.39808922558348203</v>
      </c>
      <c r="GF140" s="866">
        <f t="shared" ca="1" si="351"/>
        <v>0.39808922558348203</v>
      </c>
      <c r="GG140" s="866">
        <f t="shared" ca="1" si="352"/>
        <v>0.15207310523975839</v>
      </c>
      <c r="GH140" s="866">
        <f t="shared" ca="1" si="353"/>
        <v>0.36617678114089941</v>
      </c>
      <c r="GI140" s="302">
        <f t="shared" ca="1" si="354"/>
        <v>60.098780000907567</v>
      </c>
      <c r="GJ140" s="299">
        <f t="shared" ca="1" si="355"/>
        <v>26.195908957716881</v>
      </c>
      <c r="GK140" s="299">
        <f t="shared" ca="1" si="356"/>
        <v>17.879893007813124</v>
      </c>
      <c r="GL140" s="299">
        <f t="shared" ca="1" si="357"/>
        <v>6.2763814638552144</v>
      </c>
      <c r="GM140" s="299">
        <f t="shared" ca="1" si="358"/>
        <v>33.968255180463458</v>
      </c>
      <c r="GN140" s="302">
        <f t="shared" ca="1" si="359"/>
        <v>0.94820400838794017</v>
      </c>
      <c r="GO140" s="299">
        <f t="shared" ca="1" si="360"/>
        <v>0.86075321632828727</v>
      </c>
      <c r="GP140" s="299">
        <f t="shared" ca="1" si="361"/>
        <v>0.8040216311052375</v>
      </c>
      <c r="GQ140" s="299">
        <f t="shared" ca="1" si="362"/>
        <v>0.66422379401469944</v>
      </c>
      <c r="GR140" s="299">
        <f t="shared" ca="1" si="363"/>
        <v>0.8999160854535001</v>
      </c>
      <c r="GS140" s="302">
        <f t="shared" ca="1" si="364"/>
        <v>-0.69554090873905994</v>
      </c>
      <c r="GT140" s="299">
        <f t="shared" ca="1" si="365"/>
        <v>-0.48709423809867403</v>
      </c>
      <c r="GU140" s="299">
        <f t="shared" ca="1" si="366"/>
        <v>-0.39743513989515811</v>
      </c>
      <c r="GV140" s="299">
        <f t="shared" ca="1" si="367"/>
        <v>-0.4706254147842876</v>
      </c>
      <c r="GW140" s="299">
        <f t="shared" ca="1" si="368"/>
        <v>-0.60200388377141067</v>
      </c>
      <c r="GX140" s="303">
        <f t="shared" ca="1" si="369"/>
        <v>9419.0379632393542</v>
      </c>
      <c r="GY140" s="303">
        <f t="shared" ca="1" si="370"/>
        <v>977.51869802860222</v>
      </c>
      <c r="GZ140" s="303">
        <f t="shared" ca="1" si="371"/>
        <v>667.20073588969638</v>
      </c>
      <c r="HA140" s="303">
        <f t="shared" ca="1" si="372"/>
        <v>726.04347362113094</v>
      </c>
      <c r="HB140" s="303">
        <f t="shared" ca="1" si="373"/>
        <v>11788.207963187109</v>
      </c>
      <c r="HC140" s="303">
        <f t="shared" ca="1" si="374"/>
        <v>8902.033699903579</v>
      </c>
      <c r="HD140" s="303">
        <f t="shared" ca="1" si="375"/>
        <v>735.53910671016592</v>
      </c>
      <c r="HE140" s="303">
        <f t="shared" ca="1" si="376"/>
        <v>363.73478693517637</v>
      </c>
      <c r="HF140" s="303">
        <f t="shared" ca="1" si="377"/>
        <v>260.27679401620861</v>
      </c>
      <c r="HG140" s="852">
        <f t="shared" ca="1" si="378"/>
        <v>10261.584387565128</v>
      </c>
    </row>
    <row r="141" spans="1:215" x14ac:dyDescent="0.25">
      <c r="A141" s="244">
        <f t="shared" ca="1" si="379"/>
        <v>40391</v>
      </c>
      <c r="B141" s="13">
        <f t="shared" ca="1" si="412"/>
        <v>2010</v>
      </c>
      <c r="C141" s="619">
        <f t="shared" ca="1" si="413"/>
        <v>8</v>
      </c>
      <c r="D141" s="195" t="str">
        <f t="shared" ca="1" si="209"/>
        <v/>
      </c>
      <c r="E141" s="469">
        <f t="shared" ca="1" si="210"/>
        <v>40391</v>
      </c>
      <c r="F141" s="465">
        <f t="shared" ca="1" si="211"/>
        <v>40421</v>
      </c>
      <c r="G141" s="522">
        <f t="shared" ca="1" si="380"/>
        <v>1</v>
      </c>
      <c r="H141" s="519">
        <f t="shared" ca="1" si="381"/>
        <v>1</v>
      </c>
      <c r="I141" s="724">
        <f t="shared" ca="1" si="414"/>
        <v>7.4203228854115996E-2</v>
      </c>
      <c r="J141" s="198">
        <f t="shared" ca="1" si="213"/>
        <v>0.46357209957138773</v>
      </c>
      <c r="K141" s="200">
        <f t="shared" ca="1" si="389"/>
        <v>67</v>
      </c>
      <c r="L141" s="201">
        <f t="shared" ca="1" si="390"/>
        <v>72</v>
      </c>
      <c r="M141" s="206">
        <f t="shared" ca="1" si="391"/>
        <v>77</v>
      </c>
      <c r="N141" s="851">
        <f t="shared" ca="1" si="395"/>
        <v>39.172499084472676</v>
      </c>
      <c r="O141" s="201">
        <f t="shared" ca="1" si="396"/>
        <v>42.922499084472676</v>
      </c>
      <c r="P141" s="206">
        <f t="shared" ca="1" si="397"/>
        <v>46.672499084472676</v>
      </c>
      <c r="Q141" s="201">
        <f t="shared" ca="1" si="398"/>
        <v>27.345000839233393</v>
      </c>
      <c r="R141" s="201">
        <f t="shared" ca="1" si="399"/>
        <v>31.645000839233393</v>
      </c>
      <c r="S141" s="201">
        <f t="shared" ca="1" si="400"/>
        <v>35.945000839233394</v>
      </c>
      <c r="T141" s="851">
        <f t="shared" ca="1" si="392"/>
        <v>22.299998092651364</v>
      </c>
      <c r="U141" s="201">
        <f t="shared" ca="1" si="393"/>
        <v>24.799998092651364</v>
      </c>
      <c r="V141" s="206">
        <f t="shared" ca="1" si="394"/>
        <v>27.299998092651364</v>
      </c>
      <c r="W141" s="230">
        <f t="shared" ca="1" si="382"/>
        <v>0.12578202594578886</v>
      </c>
      <c r="X141" s="231">
        <f t="shared" ca="1" si="383"/>
        <v>0.25156405189157771</v>
      </c>
      <c r="Y141" s="232">
        <f t="shared" ca="1" si="384"/>
        <v>0.37734607783736657</v>
      </c>
      <c r="Z141" s="231">
        <f t="shared" ca="1" si="404"/>
        <v>0.12578202594578886</v>
      </c>
      <c r="AA141" s="231">
        <f t="shared" ca="1" si="405"/>
        <v>0.25156405189157771</v>
      </c>
      <c r="AB141" s="232">
        <f t="shared" ca="1" si="406"/>
        <v>0.37734607783736657</v>
      </c>
      <c r="AC141" s="231">
        <f t="shared" ca="1" si="407"/>
        <v>0.12578202594578886</v>
      </c>
      <c r="AD141" s="231">
        <f t="shared" ca="1" si="408"/>
        <v>0.25156405189157771</v>
      </c>
      <c r="AE141" s="232">
        <f t="shared" ca="1" si="214"/>
        <v>0.37734607783736657</v>
      </c>
      <c r="AF141" s="231">
        <f t="shared" ca="1" si="385"/>
        <v>4.9024368413252799E-2</v>
      </c>
      <c r="AG141" s="231">
        <f t="shared" ca="1" si="386"/>
        <v>9.8048736826505598E-2</v>
      </c>
      <c r="AH141" s="232">
        <f t="shared" ca="1" si="387"/>
        <v>0.14707310523975839</v>
      </c>
      <c r="AI141" s="233">
        <f t="shared" ca="1" si="215"/>
        <v>2.65</v>
      </c>
      <c r="AJ141" s="233">
        <f t="shared" ca="1" si="216"/>
        <v>3</v>
      </c>
      <c r="AK141" s="234">
        <f t="shared" ca="1" si="217"/>
        <v>3.5</v>
      </c>
      <c r="AL141" s="919">
        <f t="shared" ca="1" si="218"/>
        <v>2.65</v>
      </c>
      <c r="AM141" s="233">
        <f t="shared" ca="1" si="219"/>
        <v>3</v>
      </c>
      <c r="AN141" s="234">
        <f t="shared" ca="1" si="220"/>
        <v>3.5</v>
      </c>
      <c r="AO141" s="233">
        <f t="shared" ca="1" si="221"/>
        <v>2.65</v>
      </c>
      <c r="AP141" s="233">
        <f t="shared" ca="1" si="222"/>
        <v>3</v>
      </c>
      <c r="AQ141" s="233">
        <f t="shared" ca="1" si="223"/>
        <v>3.5</v>
      </c>
      <c r="AR141" s="919">
        <f t="shared" ca="1" si="224"/>
        <v>0.6</v>
      </c>
      <c r="AS141" s="233">
        <f t="shared" ca="1" si="225"/>
        <v>0.75</v>
      </c>
      <c r="AT141" s="235">
        <f t="shared" ca="1" si="226"/>
        <v>0.95</v>
      </c>
      <c r="AU141" s="946">
        <f t="shared" si="227"/>
        <v>0.5</v>
      </c>
      <c r="AV141" s="13">
        <f t="shared" ca="1" si="228"/>
        <v>22</v>
      </c>
      <c r="AW141" s="210">
        <f t="shared" ca="1" si="229"/>
        <v>4</v>
      </c>
      <c r="AX141" s="210">
        <f t="shared" ca="1" si="230"/>
        <v>5</v>
      </c>
      <c r="AY141" s="210">
        <f t="shared" ca="1" si="231"/>
        <v>0</v>
      </c>
      <c r="AZ141" s="13">
        <f t="shared" ca="1" si="232"/>
        <v>31</v>
      </c>
      <c r="BA141" s="357">
        <f ca="1"/>
        <v>352</v>
      </c>
      <c r="BB141" s="925">
        <f ca="1"/>
        <v>64</v>
      </c>
      <c r="BC141" s="925">
        <f ca="1"/>
        <v>80</v>
      </c>
      <c r="BD141" s="928">
        <f ca="1"/>
        <v>248</v>
      </c>
      <c r="BE141" s="200">
        <f ca="1"/>
        <v>1</v>
      </c>
      <c r="BF141" s="851">
        <f ca="1"/>
        <v>1</v>
      </c>
      <c r="BG141" s="851">
        <f ca="1"/>
        <v>1</v>
      </c>
      <c r="BH141" s="933">
        <f ca="1"/>
        <v>1.0000000074505806</v>
      </c>
      <c r="BI141" s="357">
        <f ca="1"/>
        <v>352</v>
      </c>
      <c r="BJ141" s="925">
        <f ca="1"/>
        <v>64</v>
      </c>
      <c r="BK141" s="925">
        <f ca="1"/>
        <v>80</v>
      </c>
      <c r="BL141" s="928">
        <f ca="1"/>
        <v>248</v>
      </c>
      <c r="BM141" s="200">
        <f ca="1"/>
        <v>1</v>
      </c>
      <c r="BN141" s="851">
        <f ca="1"/>
        <v>1</v>
      </c>
      <c r="BO141" s="851">
        <f ca="1"/>
        <v>1</v>
      </c>
      <c r="BP141" s="933">
        <f ca="1"/>
        <v>1.0000000074505806</v>
      </c>
      <c r="BQ141" s="357">
        <f t="shared" ca="1" si="233"/>
        <v>744</v>
      </c>
      <c r="BR141" s="361">
        <f t="shared" ca="1" si="234"/>
        <v>744</v>
      </c>
      <c r="BS141" s="357">
        <f t="shared" ca="1" si="235"/>
        <v>344.89764208111245</v>
      </c>
      <c r="BT141" s="302">
        <f t="shared" ca="1" si="236"/>
        <v>45.442257495601005</v>
      </c>
      <c r="BU141" s="299">
        <f t="shared" ca="1" si="237"/>
        <v>49.426128469551756</v>
      </c>
      <c r="BV141" s="299">
        <f t="shared" ca="1" si="238"/>
        <v>53.409999443502507</v>
      </c>
      <c r="BW141" s="299">
        <f t="shared" ca="1" si="239"/>
        <v>32.659889647739881</v>
      </c>
      <c r="BX141" s="380">
        <f t="shared" ca="1" si="240"/>
        <v>10.414784394250514</v>
      </c>
      <c r="BY141" s="363">
        <f t="shared" ca="1" si="241"/>
        <v>163.17737904912849</v>
      </c>
      <c r="BZ141" s="353">
        <f t="shared" ca="1" si="242"/>
        <v>29.668614372568815</v>
      </c>
      <c r="CA141" s="353">
        <f t="shared" ca="1" si="243"/>
        <v>37.085767965711021</v>
      </c>
      <c r="CB141" s="353">
        <f t="shared" ca="1" si="244"/>
        <v>229.93176138740833</v>
      </c>
      <c r="CC141" s="353">
        <f t="shared" ca="1" si="245"/>
        <v>114.96588069370415</v>
      </c>
      <c r="CD141" s="353">
        <f t="shared" ca="1" si="246"/>
        <v>344.89764208111251</v>
      </c>
      <c r="CE141" s="302">
        <f t="shared" ca="1" si="247"/>
        <v>77</v>
      </c>
      <c r="CF141" s="299">
        <f t="shared" ca="1" si="248"/>
        <v>46.672499084472676</v>
      </c>
      <c r="CG141" s="299">
        <f t="shared" ca="1" si="249"/>
        <v>35.945000839233394</v>
      </c>
      <c r="CH141" s="299">
        <f t="shared" ca="1" si="250"/>
        <v>66.465000017227666</v>
      </c>
      <c r="CI141" s="299">
        <f t="shared" ca="1" si="251"/>
        <v>27.299998296052202</v>
      </c>
      <c r="CJ141" s="299">
        <f t="shared" ca="1" si="252"/>
        <v>53.409999443502514</v>
      </c>
      <c r="CK141" s="299">
        <f t="shared" ca="1" si="253"/>
        <v>32.659889647739881</v>
      </c>
      <c r="CL141" s="377">
        <f t="shared" ca="1" si="254"/>
        <v>0.37734607783736657</v>
      </c>
      <c r="CM141" s="305">
        <f t="shared" ca="1" si="255"/>
        <v>0.37734607783736657</v>
      </c>
      <c r="CN141" s="305">
        <f t="shared" ca="1" si="256"/>
        <v>0.37734607783736657</v>
      </c>
      <c r="CO141" s="305">
        <f t="shared" ca="1" si="257"/>
        <v>0.37734607783736657</v>
      </c>
      <c r="CP141" s="305">
        <f t="shared" ca="1" si="258"/>
        <v>0.14707310523975839</v>
      </c>
      <c r="CQ141" s="305">
        <f t="shared" ca="1" si="259"/>
        <v>0.3446769348201843</v>
      </c>
      <c r="CR141" s="775">
        <f t="shared" ca="1" si="260"/>
        <v>0.39234607783736658</v>
      </c>
      <c r="CS141" s="305">
        <f t="shared" ca="1" si="261"/>
        <v>0.39234607783736658</v>
      </c>
      <c r="CT141" s="305">
        <f t="shared" ca="1" si="262"/>
        <v>0.38984607783736658</v>
      </c>
      <c r="CU141" s="305">
        <f t="shared" ca="1" si="263"/>
        <v>0.16457310523975838</v>
      </c>
      <c r="CV141" s="770">
        <f t="shared" ca="1" si="264"/>
        <v>0.35967693482018431</v>
      </c>
      <c r="CW141" s="302">
        <f t="shared" ca="1" si="265"/>
        <v>52.776706835428655</v>
      </c>
      <c r="CX141" s="299">
        <f t="shared" ca="1" si="266"/>
        <v>26.420330162692821</v>
      </c>
      <c r="CY141" s="299">
        <f t="shared" ca="1" si="267"/>
        <v>17.829193081488967</v>
      </c>
      <c r="CZ141" s="299">
        <f t="shared" ca="1" si="268"/>
        <v>3.9432475888839846</v>
      </c>
      <c r="DA141" s="774">
        <f t="shared" ca="1" si="269"/>
        <v>30.691863368629946</v>
      </c>
      <c r="DB141" s="303">
        <f t="shared" ca="1" si="270"/>
        <v>10585.551306916139</v>
      </c>
      <c r="DC141" s="248">
        <f t="shared" ca="1" si="271"/>
        <v>290.5200708613649</v>
      </c>
      <c r="DD141" s="778">
        <f t="shared" ca="1" si="272"/>
        <v>7156.6639414827268</v>
      </c>
      <c r="DE141" s="363">
        <f t="shared" ca="1" si="273"/>
        <v>0.46357209957138773</v>
      </c>
      <c r="DF141" s="378">
        <f t="shared" ca="1" si="274"/>
        <v>4.4271436208387062E-2</v>
      </c>
      <c r="DG141" s="508">
        <f t="shared" ca="1" si="275"/>
        <v>-0.35113163361468119</v>
      </c>
      <c r="DH141" s="508">
        <f t="shared" ca="1" si="276"/>
        <v>-0.55287491508154796</v>
      </c>
      <c r="DI141" s="508">
        <f t="shared" ca="1" si="277"/>
        <v>-0.60307662561163744</v>
      </c>
      <c r="DJ141" s="508">
        <f t="shared" ca="1" si="278"/>
        <v>-0.15663788435927053</v>
      </c>
      <c r="DK141" s="353">
        <f t="shared" ca="1" si="279"/>
        <v>-150.98415370274958</v>
      </c>
      <c r="DL141" s="781">
        <f t="shared" ca="1" si="280"/>
        <v>3.5852564927683463</v>
      </c>
      <c r="DM141" s="303">
        <f t="shared" ca="1" si="281"/>
        <v>16896.813484105718</v>
      </c>
      <c r="DN141" s="508">
        <f t="shared" ca="1" si="282"/>
        <v>1.8792220084156077</v>
      </c>
      <c r="DO141" s="508">
        <f t="shared" ca="1" si="283"/>
        <v>1.7240716497698079</v>
      </c>
      <c r="DP141" s="508">
        <f t="shared" ca="1" si="284"/>
        <v>1.6431372006125178</v>
      </c>
      <c r="DQ141" s="508">
        <f t="shared" ca="1" si="285"/>
        <v>1.5578833095341831</v>
      </c>
      <c r="DR141" s="508">
        <f t="shared" ca="1" si="286"/>
        <v>1.7658591412610778</v>
      </c>
      <c r="DS141" s="353">
        <f t="shared" ca="1" si="287"/>
        <v>4988.0058997088518</v>
      </c>
      <c r="DT141" s="353">
        <f t="shared" ca="1" si="288"/>
        <v>-12870.055612001282</v>
      </c>
      <c r="DU141" s="380">
        <f t="shared" ca="1" si="388"/>
        <v>10.414784394250514</v>
      </c>
      <c r="DV141" s="303">
        <f t="shared" ca="1" si="289"/>
        <v>163.17737904912849</v>
      </c>
      <c r="DW141" s="303">
        <f t="shared" ca="1" si="290"/>
        <v>29.668614372568815</v>
      </c>
      <c r="DX141" s="303">
        <f t="shared" ca="1" si="291"/>
        <v>37.085767965711021</v>
      </c>
      <c r="DY141" s="303">
        <f t="shared" ca="1" si="292"/>
        <v>229.93176138740833</v>
      </c>
      <c r="DZ141" s="303">
        <f t="shared" ca="1" si="293"/>
        <v>114.96588069370415</v>
      </c>
      <c r="EA141" s="303">
        <f t="shared" ca="1" si="294"/>
        <v>344.89764208111251</v>
      </c>
      <c r="EB141" s="302">
        <f t="shared" ca="1" si="295"/>
        <v>77</v>
      </c>
      <c r="EC141" s="299">
        <f t="shared" ca="1" si="296"/>
        <v>46.672499084472676</v>
      </c>
      <c r="ED141" s="299">
        <f t="shared" ca="1" si="297"/>
        <v>35.945000839233394</v>
      </c>
      <c r="EE141" s="299">
        <f t="shared" ca="1" si="298"/>
        <v>66.465000017227666</v>
      </c>
      <c r="EF141" s="299">
        <f t="shared" ca="1" si="299"/>
        <v>27.299998296052202</v>
      </c>
      <c r="EG141" s="299">
        <f t="shared" ca="1" si="300"/>
        <v>53.409999443502514</v>
      </c>
      <c r="EH141" s="302">
        <f t="shared" ca="1" si="301"/>
        <v>30</v>
      </c>
      <c r="EI141" s="304">
        <f t="shared" ca="1" si="302"/>
        <v>0.12578202594578886</v>
      </c>
      <c r="EJ141" s="305">
        <f t="shared" ca="1" si="303"/>
        <v>0.12578202594578886</v>
      </c>
      <c r="EK141" s="305">
        <f t="shared" ca="1" si="304"/>
        <v>0.12578202594578886</v>
      </c>
      <c r="EL141" s="305">
        <f t="shared" ca="1" si="305"/>
        <v>0.12578202594578886</v>
      </c>
      <c r="EM141" s="305">
        <f t="shared" ca="1" si="306"/>
        <v>4.9024368413252799E-2</v>
      </c>
      <c r="EN141" s="305">
        <f t="shared" ca="1" si="307"/>
        <v>0.1095928344243883</v>
      </c>
      <c r="EO141" s="305">
        <f t="shared" ca="1" si="308"/>
        <v>0.12578202594578886</v>
      </c>
      <c r="EP141" s="305">
        <f t="shared" ca="1" si="309"/>
        <v>0.12578202594578886</v>
      </c>
      <c r="EQ141" s="305">
        <f t="shared" ca="1" si="310"/>
        <v>0.12578202594578886</v>
      </c>
      <c r="ER141" s="305">
        <f t="shared" ca="1" si="311"/>
        <v>4.9024368413252799E-2</v>
      </c>
      <c r="ES141" s="305">
        <f t="shared" ca="1" si="312"/>
        <v>0.1095928344243883</v>
      </c>
      <c r="ET141" s="299">
        <f t="shared" ca="1" si="313"/>
        <v>0.30231088313229293</v>
      </c>
      <c r="EU141" s="302">
        <f t="shared" ca="1" si="314"/>
        <v>30</v>
      </c>
      <c r="EV141" s="304">
        <f t="shared" ca="1" si="315"/>
        <v>0.37734607783736657</v>
      </c>
      <c r="EW141" s="305">
        <f t="shared" ca="1" si="316"/>
        <v>0.37734607783736657</v>
      </c>
      <c r="EX141" s="305">
        <f t="shared" ca="1" si="317"/>
        <v>0.37734607783736657</v>
      </c>
      <c r="EY141" s="305">
        <f t="shared" ca="1" si="318"/>
        <v>0.37734607783736657</v>
      </c>
      <c r="EZ141" s="305">
        <f t="shared" ca="1" si="319"/>
        <v>0.14707310523975839</v>
      </c>
      <c r="FA141" s="305">
        <f t="shared" ca="1" si="320"/>
        <v>0.3446769348201843</v>
      </c>
      <c r="FB141" s="305">
        <f t="shared" ca="1" si="321"/>
        <v>0.37734607783736657</v>
      </c>
      <c r="FC141" s="305">
        <f t="shared" ca="1" si="322"/>
        <v>0.37734607783736657</v>
      </c>
      <c r="FD141" s="305">
        <f t="shared" ca="1" si="323"/>
        <v>0.37734607783736657</v>
      </c>
      <c r="FE141" s="305">
        <f t="shared" ca="1" si="324"/>
        <v>0.14707310523975839</v>
      </c>
      <c r="FF141" s="305">
        <f t="shared" ca="1" si="325"/>
        <v>0.3446769348201843</v>
      </c>
      <c r="FG141" s="299">
        <f t="shared" ca="1" si="326"/>
        <v>31.315969076284141</v>
      </c>
      <c r="FH141" s="302">
        <f t="shared" ca="1" si="327"/>
        <v>-31.013658193151848</v>
      </c>
      <c r="FI141" s="248">
        <f t="shared" ca="1" si="328"/>
        <v>-10696.537583127649</v>
      </c>
      <c r="FJ141" s="363">
        <f t="shared" ca="1" si="329"/>
        <v>0.46357209957138773</v>
      </c>
      <c r="FK141" s="378">
        <f t="shared" ca="1" si="330"/>
        <v>2.1191731909900327</v>
      </c>
      <c r="FL141" s="508">
        <f t="shared" ca="1" si="331"/>
        <v>0.88581061439425313</v>
      </c>
      <c r="FM141" s="508">
        <f t="shared" ca="1" si="332"/>
        <v>0.24242492312503328</v>
      </c>
      <c r="FN141" s="508">
        <f t="shared" ca="1" si="333"/>
        <v>-0.67521229849353825</v>
      </c>
      <c r="FO141" s="508">
        <f t="shared" ca="1" si="334"/>
        <v>1.454027773796432</v>
      </c>
      <c r="FP141" s="353">
        <f t="shared" ca="1" si="335"/>
        <v>25.166954319451555</v>
      </c>
      <c r="FQ141" s="356">
        <f t="shared" ca="1" si="336"/>
        <v>4.5058831374487225</v>
      </c>
      <c r="FR141" s="380">
        <f t="shared" ca="1" si="337"/>
        <v>24.756</v>
      </c>
      <c r="FS141" s="299">
        <f t="shared" ca="1" si="338"/>
        <v>24.756</v>
      </c>
      <c r="FT141" s="299">
        <f t="shared" ca="1" si="339"/>
        <v>24.756</v>
      </c>
      <c r="FU141" s="299">
        <f t="shared" ca="1" si="340"/>
        <v>24.756</v>
      </c>
      <c r="FV141" s="299">
        <f t="shared" ca="1" si="341"/>
        <v>24.755999999999997</v>
      </c>
      <c r="FW141" s="850">
        <f t="shared" ca="1" si="342"/>
        <v>0.1575</v>
      </c>
      <c r="FX141" s="851">
        <f t="shared" ca="1" si="343"/>
        <v>0.5</v>
      </c>
      <c r="FY141" s="851">
        <f t="shared" ca="1" si="344"/>
        <v>0</v>
      </c>
      <c r="FZ141" s="201">
        <f t="shared" ca="1" si="345"/>
        <v>0</v>
      </c>
      <c r="GA141" s="201">
        <f t="shared" ca="1" si="346"/>
        <v>0</v>
      </c>
      <c r="GB141" s="201">
        <f t="shared" ca="1" si="347"/>
        <v>0</v>
      </c>
      <c r="GC141" s="201">
        <f t="shared" ca="1" si="348"/>
        <v>0</v>
      </c>
      <c r="GD141" s="850">
        <f t="shared" ca="1" si="349"/>
        <v>0.39234607783736658</v>
      </c>
      <c r="GE141" s="866">
        <f t="shared" ca="1" si="350"/>
        <v>0.39234607783736658</v>
      </c>
      <c r="GF141" s="866">
        <f t="shared" ca="1" si="351"/>
        <v>0.39234607783736658</v>
      </c>
      <c r="GG141" s="866">
        <f t="shared" ca="1" si="352"/>
        <v>0.1570731052397584</v>
      </c>
      <c r="GH141" s="866">
        <f t="shared" ca="1" si="353"/>
        <v>0.35967693482018431</v>
      </c>
      <c r="GI141" s="302">
        <f t="shared" ca="1" si="354"/>
        <v>55.696122943438546</v>
      </c>
      <c r="GJ141" s="299">
        <f t="shared" ca="1" si="355"/>
        <v>28.002213294958466</v>
      </c>
      <c r="GK141" s="299">
        <f t="shared" ca="1" si="356"/>
        <v>18.948719620856913</v>
      </c>
      <c r="GL141" s="299">
        <f t="shared" ca="1" si="357"/>
        <v>6.5810460393957744</v>
      </c>
      <c r="GM141" s="299">
        <f t="shared" ca="1" si="358"/>
        <v>33.021967384687663</v>
      </c>
      <c r="GN141" s="302">
        <f t="shared" ca="1" si="359"/>
        <v>0.94294726471981827</v>
      </c>
      <c r="GO141" s="299">
        <f t="shared" ca="1" si="360"/>
        <v>0.86999389684014117</v>
      </c>
      <c r="GP141" s="299">
        <f t="shared" ca="1" si="361"/>
        <v>0.81319152486994084</v>
      </c>
      <c r="GQ141" s="299">
        <f t="shared" ca="1" si="362"/>
        <v>0.67238486910683992</v>
      </c>
      <c r="GR141" s="299">
        <f t="shared" ca="1" si="363"/>
        <v>0.89739987394600795</v>
      </c>
      <c r="GS141" s="302">
        <f t="shared" ca="1" si="364"/>
        <v>-0.68310018956106255</v>
      </c>
      <c r="GT141" s="299">
        <f t="shared" ca="1" si="365"/>
        <v>-0.50907200108965234</v>
      </c>
      <c r="GU141" s="299">
        <f t="shared" ca="1" si="366"/>
        <v>-0.41531169906009602</v>
      </c>
      <c r="GV141" s="299">
        <f t="shared" ca="1" si="367"/>
        <v>-0.47564465379372584</v>
      </c>
      <c r="GW141" s="299">
        <f t="shared" ca="1" si="368"/>
        <v>-0.60220415857424814</v>
      </c>
      <c r="GX141" s="303">
        <f t="shared" ca="1" si="369"/>
        <v>9088.3473651083332</v>
      </c>
      <c r="GY141" s="303">
        <f t="shared" ca="1" si="370"/>
        <v>830.78686782654233</v>
      </c>
      <c r="GZ141" s="303">
        <f t="shared" ca="1" si="371"/>
        <v>702.72781910641515</v>
      </c>
      <c r="HA141" s="303">
        <f t="shared" ca="1" si="372"/>
        <v>756.5957538049488</v>
      </c>
      <c r="HB141" s="303">
        <f t="shared" ca="1" si="373"/>
        <v>11389.198687858176</v>
      </c>
      <c r="HC141" s="303">
        <f t="shared" ca="1" si="374"/>
        <v>8525.0389910426693</v>
      </c>
      <c r="HD141" s="303">
        <f t="shared" ca="1" si="375"/>
        <v>650.23215973397726</v>
      </c>
      <c r="HE141" s="303">
        <f t="shared" ca="1" si="376"/>
        <v>414.95268889195552</v>
      </c>
      <c r="HF141" s="303">
        <f t="shared" ca="1" si="377"/>
        <v>292.47300458892408</v>
      </c>
      <c r="HG141" s="852">
        <f t="shared" ca="1" si="378"/>
        <v>9882.6968442575289</v>
      </c>
    </row>
    <row r="142" spans="1:215" x14ac:dyDescent="0.25">
      <c r="A142" s="244">
        <f t="shared" ca="1" si="379"/>
        <v>40422</v>
      </c>
      <c r="B142" s="13">
        <f t="shared" ca="1" si="412"/>
        <v>2010</v>
      </c>
      <c r="C142" s="619">
        <f t="shared" ca="1" si="413"/>
        <v>9</v>
      </c>
      <c r="D142" s="195">
        <f t="shared" ca="1" si="209"/>
        <v>40427</v>
      </c>
      <c r="E142" s="469">
        <f t="shared" ca="1" si="210"/>
        <v>40422</v>
      </c>
      <c r="F142" s="465">
        <f t="shared" ca="1" si="211"/>
        <v>40451</v>
      </c>
      <c r="G142" s="522">
        <f t="shared" ca="1" si="380"/>
        <v>1</v>
      </c>
      <c r="H142" s="519">
        <f t="shared" ca="1" si="381"/>
        <v>1</v>
      </c>
      <c r="I142" s="724">
        <f t="shared" ca="1" si="414"/>
        <v>7.4202934136233994E-2</v>
      </c>
      <c r="J142" s="198">
        <f t="shared" ca="1" si="213"/>
        <v>0.46080758483535578</v>
      </c>
      <c r="K142" s="200">
        <f t="shared" ca="1" si="389"/>
        <v>31.85</v>
      </c>
      <c r="L142" s="201">
        <f t="shared" ca="1" si="390"/>
        <v>33.450000000000003</v>
      </c>
      <c r="M142" s="206">
        <f t="shared" ca="1" si="391"/>
        <v>35.049999999999997</v>
      </c>
      <c r="N142" s="851">
        <f t="shared" ca="1" si="395"/>
        <v>23.104999160766596</v>
      </c>
      <c r="O142" s="201">
        <f t="shared" ca="1" si="396"/>
        <v>24.304999160766595</v>
      </c>
      <c r="P142" s="206">
        <f t="shared" ca="1" si="397"/>
        <v>25.504999160766594</v>
      </c>
      <c r="Q142" s="201">
        <f t="shared" ca="1" si="398"/>
        <v>20.5</v>
      </c>
      <c r="R142" s="201">
        <f t="shared" ca="1" si="399"/>
        <v>24.8</v>
      </c>
      <c r="S142" s="201">
        <f t="shared" ca="1" si="400"/>
        <v>29.1</v>
      </c>
      <c r="T142" s="851">
        <f t="shared" ca="1" si="392"/>
        <v>19.549998092651364</v>
      </c>
      <c r="U142" s="201">
        <f t="shared" ca="1" si="393"/>
        <v>20.349998092651365</v>
      </c>
      <c r="V142" s="206">
        <f t="shared" ca="1" si="394"/>
        <v>21.149998092651366</v>
      </c>
      <c r="W142" s="230">
        <f t="shared" ca="1" si="382"/>
        <v>8.3240190789377735E-2</v>
      </c>
      <c r="X142" s="231">
        <f t="shared" ca="1" si="383"/>
        <v>0.16648038157875547</v>
      </c>
      <c r="Y142" s="232">
        <f t="shared" ca="1" si="384"/>
        <v>0.24972057236813322</v>
      </c>
      <c r="Z142" s="231">
        <f t="shared" ca="1" si="404"/>
        <v>8.3240190789377735E-2</v>
      </c>
      <c r="AA142" s="231">
        <f t="shared" ca="1" si="405"/>
        <v>0.16648038157875547</v>
      </c>
      <c r="AB142" s="232">
        <f t="shared" ca="1" si="406"/>
        <v>0.24972057236813322</v>
      </c>
      <c r="AC142" s="231">
        <f t="shared" ca="1" si="407"/>
        <v>8.3240190789377735E-2</v>
      </c>
      <c r="AD142" s="231">
        <f t="shared" ca="1" si="408"/>
        <v>0.16648038157875547</v>
      </c>
      <c r="AE142" s="232">
        <f t="shared" ca="1" si="214"/>
        <v>0.24972057236813322</v>
      </c>
      <c r="AF142" s="231">
        <f t="shared" ca="1" si="385"/>
        <v>3.2682912275501866E-2</v>
      </c>
      <c r="AG142" s="231">
        <f t="shared" ca="1" si="386"/>
        <v>6.5365824551003732E-2</v>
      </c>
      <c r="AH142" s="232">
        <f t="shared" ca="1" si="387"/>
        <v>9.8048736826505598E-2</v>
      </c>
      <c r="AI142" s="233">
        <f t="shared" ca="1" si="215"/>
        <v>1.1499999999999999</v>
      </c>
      <c r="AJ142" s="233">
        <f t="shared" ca="1" si="216"/>
        <v>1.5</v>
      </c>
      <c r="AK142" s="234">
        <f t="shared" ca="1" si="217"/>
        <v>1.8</v>
      </c>
      <c r="AL142" s="919">
        <f t="shared" ca="1" si="218"/>
        <v>1.1499999999999999</v>
      </c>
      <c r="AM142" s="233">
        <f t="shared" ca="1" si="219"/>
        <v>1.5</v>
      </c>
      <c r="AN142" s="234">
        <f t="shared" ca="1" si="220"/>
        <v>1.8</v>
      </c>
      <c r="AO142" s="233">
        <f t="shared" ca="1" si="221"/>
        <v>1.1499999999999999</v>
      </c>
      <c r="AP142" s="233">
        <f t="shared" ca="1" si="222"/>
        <v>1.5</v>
      </c>
      <c r="AQ142" s="233">
        <f t="shared" ca="1" si="223"/>
        <v>1.8</v>
      </c>
      <c r="AR142" s="919">
        <f t="shared" ca="1" si="224"/>
        <v>0.25</v>
      </c>
      <c r="AS142" s="233">
        <f t="shared" ca="1" si="225"/>
        <v>0.4</v>
      </c>
      <c r="AT142" s="235">
        <f t="shared" ca="1" si="226"/>
        <v>0.60000000000000009</v>
      </c>
      <c r="AU142" s="946">
        <f t="shared" si="227"/>
        <v>0.5</v>
      </c>
      <c r="AV142" s="13">
        <f t="shared" ca="1" si="228"/>
        <v>21</v>
      </c>
      <c r="AW142" s="210">
        <f t="shared" ca="1" si="229"/>
        <v>4</v>
      </c>
      <c r="AX142" s="210">
        <f t="shared" ca="1" si="230"/>
        <v>4</v>
      </c>
      <c r="AY142" s="210">
        <f t="shared" ca="1" si="231"/>
        <v>1</v>
      </c>
      <c r="AZ142" s="13">
        <f t="shared" ca="1" si="232"/>
        <v>30</v>
      </c>
      <c r="BA142" s="357">
        <f ca="1"/>
        <v>336</v>
      </c>
      <c r="BB142" s="925">
        <f ca="1"/>
        <v>64</v>
      </c>
      <c r="BC142" s="925">
        <f ca="1"/>
        <v>80</v>
      </c>
      <c r="BD142" s="928">
        <f ca="1"/>
        <v>240</v>
      </c>
      <c r="BE142" s="200">
        <f ca="1"/>
        <v>1.0000000074505806</v>
      </c>
      <c r="BF142" s="851">
        <f ca="1"/>
        <v>1.0000000074505806</v>
      </c>
      <c r="BG142" s="851">
        <f ca="1"/>
        <v>1.0000000074505806</v>
      </c>
      <c r="BH142" s="933">
        <f ca="1"/>
        <v>1.0000000149011612</v>
      </c>
      <c r="BI142" s="357">
        <f ca="1"/>
        <v>336</v>
      </c>
      <c r="BJ142" s="925">
        <f ca="1"/>
        <v>64</v>
      </c>
      <c r="BK142" s="925">
        <f ca="1"/>
        <v>80</v>
      </c>
      <c r="BL142" s="928">
        <f ca="1"/>
        <v>240</v>
      </c>
      <c r="BM142" s="200">
        <f ca="1"/>
        <v>1.0000000074505806</v>
      </c>
      <c r="BN142" s="851">
        <f ca="1"/>
        <v>1.0000000074505806</v>
      </c>
      <c r="BO142" s="851">
        <f ca="1"/>
        <v>1.0000000074505806</v>
      </c>
      <c r="BP142" s="933">
        <f ca="1"/>
        <v>1.0000000149011612</v>
      </c>
      <c r="BQ142" s="357">
        <f t="shared" ca="1" si="233"/>
        <v>720</v>
      </c>
      <c r="BR142" s="361">
        <f t="shared" ca="1" si="234"/>
        <v>720</v>
      </c>
      <c r="BS142" s="357">
        <f t="shared" ca="1" si="235"/>
        <v>331.78146108145614</v>
      </c>
      <c r="BT142" s="302">
        <f t="shared" ca="1" si="236"/>
        <v>25.71155508529311</v>
      </c>
      <c r="BU142" s="299">
        <f t="shared" ca="1" si="237"/>
        <v>27.309332876962081</v>
      </c>
      <c r="BV142" s="299">
        <f t="shared" ca="1" si="238"/>
        <v>28.907110668631052</v>
      </c>
      <c r="BW142" s="299">
        <f t="shared" ca="1" si="239"/>
        <v>32.659889647739881</v>
      </c>
      <c r="BX142" s="380">
        <f t="shared" ca="1" si="240"/>
        <v>10.499657768651609</v>
      </c>
      <c r="BY142" s="363">
        <f t="shared" ca="1" si="241"/>
        <v>154.83134850467954</v>
      </c>
      <c r="BZ142" s="353">
        <f t="shared" ca="1" si="242"/>
        <v>29.49168542946277</v>
      </c>
      <c r="CA142" s="353">
        <f t="shared" ca="1" si="243"/>
        <v>36.86460678682846</v>
      </c>
      <c r="CB142" s="353">
        <f t="shared" ca="1" si="244"/>
        <v>221.18764072097076</v>
      </c>
      <c r="CC142" s="353">
        <f t="shared" ca="1" si="245"/>
        <v>110.59382036048538</v>
      </c>
      <c r="CD142" s="353">
        <f t="shared" ca="1" si="246"/>
        <v>331.78146108145614</v>
      </c>
      <c r="CE142" s="302">
        <f t="shared" ca="1" si="247"/>
        <v>35.050000261142849</v>
      </c>
      <c r="CF142" s="299">
        <f t="shared" ca="1" si="248"/>
        <v>25.504999350793646</v>
      </c>
      <c r="CG142" s="299">
        <f t="shared" ca="1" si="249"/>
        <v>29.100000216811896</v>
      </c>
      <c r="CH142" s="299">
        <f t="shared" ca="1" si="250"/>
        <v>32.785666799041131</v>
      </c>
      <c r="CI142" s="299">
        <f t="shared" ca="1" si="251"/>
        <v>21.149998407810898</v>
      </c>
      <c r="CJ142" s="299">
        <f t="shared" ca="1" si="252"/>
        <v>28.907110668631056</v>
      </c>
      <c r="CK142" s="299">
        <f t="shared" ca="1" si="253"/>
        <v>32.659889647739881</v>
      </c>
      <c r="CL142" s="377">
        <f t="shared" ca="1" si="254"/>
        <v>0.24972057236813322</v>
      </c>
      <c r="CM142" s="305">
        <f t="shared" ca="1" si="255"/>
        <v>0.24972057236813322</v>
      </c>
      <c r="CN142" s="305">
        <f t="shared" ca="1" si="256"/>
        <v>0.24972057236813322</v>
      </c>
      <c r="CO142" s="305">
        <f t="shared" ca="1" si="257"/>
        <v>0.24972057236813325</v>
      </c>
      <c r="CP142" s="305">
        <f t="shared" ca="1" si="258"/>
        <v>9.8048736826505598E-2</v>
      </c>
      <c r="CQ142" s="305">
        <f t="shared" ca="1" si="259"/>
        <v>0.20952365914742097</v>
      </c>
      <c r="CR142" s="775">
        <f t="shared" ca="1" si="260"/>
        <v>0.25472057236813322</v>
      </c>
      <c r="CS142" s="305">
        <f t="shared" ca="1" si="261"/>
        <v>0.2847205723681332</v>
      </c>
      <c r="CT142" s="305">
        <f t="shared" ca="1" si="262"/>
        <v>0.25972057236813323</v>
      </c>
      <c r="CU142" s="305">
        <f t="shared" ca="1" si="263"/>
        <v>0.15804873682650561</v>
      </c>
      <c r="CV142" s="770">
        <f t="shared" ca="1" si="264"/>
        <v>0.21952365914742097</v>
      </c>
      <c r="CW142" s="302">
        <f t="shared" ca="1" si="265"/>
        <v>12.071647554479483</v>
      </c>
      <c r="CX142" s="299">
        <f t="shared" ca="1" si="266"/>
        <v>7.1002192975212806</v>
      </c>
      <c r="CY142" s="299">
        <f t="shared" ca="1" si="267"/>
        <v>8.378676093777786</v>
      </c>
      <c r="CZ142" s="299">
        <f t="shared" ca="1" si="268"/>
        <v>1.4554332034476092</v>
      </c>
      <c r="DA142" s="774">
        <f t="shared" ca="1" si="269"/>
        <v>6.7988120527685396</v>
      </c>
      <c r="DB142" s="303">
        <f t="shared" ca="1" si="270"/>
        <v>2255.7197964857601</v>
      </c>
      <c r="DC142" s="248">
        <f t="shared" ca="1" si="271"/>
        <v>190.11740416387582</v>
      </c>
      <c r="DD142" s="778">
        <f t="shared" ca="1" si="272"/>
        <v>0</v>
      </c>
      <c r="DE142" s="363">
        <f t="shared" ca="1" si="273"/>
        <v>0.46080758483535578</v>
      </c>
      <c r="DF142" s="378">
        <f t="shared" ca="1" si="274"/>
        <v>-0.32711713045650109</v>
      </c>
      <c r="DG142" s="508">
        <f t="shared" ca="1" si="275"/>
        <v>-0.72931467179193643</v>
      </c>
      <c r="DH142" s="508">
        <f t="shared" ca="1" si="276"/>
        <v>-0.55792338244999384</v>
      </c>
      <c r="DI142" s="508">
        <f t="shared" ca="1" si="277"/>
        <v>-1.1044999820792507</v>
      </c>
      <c r="DJ142" s="508">
        <f t="shared" ca="1" si="278"/>
        <v>-0.52725825571739016</v>
      </c>
      <c r="DK142" s="353">
        <f t="shared" ca="1" si="279"/>
        <v>-99.205015454503553</v>
      </c>
      <c r="DL142" s="781">
        <f t="shared" ca="1" si="280"/>
        <v>4.958057261505461</v>
      </c>
      <c r="DM142" s="303">
        <f t="shared" ca="1" si="281"/>
        <v>8518.5754656086392</v>
      </c>
      <c r="DN142" s="508">
        <f t="shared" ca="1" si="282"/>
        <v>1.6417955367935053</v>
      </c>
      <c r="DO142" s="508">
        <f t="shared" ca="1" si="283"/>
        <v>1.5436777059797098</v>
      </c>
      <c r="DP142" s="508">
        <f t="shared" ca="1" si="284"/>
        <v>1.5843764590227292</v>
      </c>
      <c r="DQ142" s="508">
        <f t="shared" ca="1" si="285"/>
        <v>1.4858891162322456</v>
      </c>
      <c r="DR142" s="508">
        <f t="shared" ca="1" si="286"/>
        <v>1.5823238089613783</v>
      </c>
      <c r="DS142" s="353">
        <f t="shared" ca="1" si="287"/>
        <v>3545.4593721277765</v>
      </c>
      <c r="DT142" s="353">
        <f t="shared" ca="1" si="288"/>
        <v>-9300.5644577912717</v>
      </c>
      <c r="DU142" s="380">
        <f t="shared" ca="1" si="388"/>
        <v>10.499657768651609</v>
      </c>
      <c r="DV142" s="303">
        <f t="shared" ca="1" si="289"/>
        <v>154.83134850467954</v>
      </c>
      <c r="DW142" s="303">
        <f t="shared" ca="1" si="290"/>
        <v>29.49168542946277</v>
      </c>
      <c r="DX142" s="303">
        <f t="shared" ca="1" si="291"/>
        <v>36.86460678682846</v>
      </c>
      <c r="DY142" s="303">
        <f t="shared" ca="1" si="292"/>
        <v>221.18764072097076</v>
      </c>
      <c r="DZ142" s="303">
        <f t="shared" ca="1" si="293"/>
        <v>110.59382036048538</v>
      </c>
      <c r="EA142" s="303">
        <f t="shared" ca="1" si="294"/>
        <v>331.78146108145614</v>
      </c>
      <c r="EB142" s="302">
        <f t="shared" ca="1" si="295"/>
        <v>35.050000261142849</v>
      </c>
      <c r="EC142" s="299">
        <f t="shared" ca="1" si="296"/>
        <v>25.504999350793646</v>
      </c>
      <c r="ED142" s="299">
        <f t="shared" ca="1" si="297"/>
        <v>29.100000216811896</v>
      </c>
      <c r="EE142" s="299">
        <f t="shared" ca="1" si="298"/>
        <v>32.785666799041131</v>
      </c>
      <c r="EF142" s="299">
        <f t="shared" ca="1" si="299"/>
        <v>21.149998407810898</v>
      </c>
      <c r="EG142" s="299">
        <f t="shared" ca="1" si="300"/>
        <v>28.907110668631056</v>
      </c>
      <c r="EH142" s="302">
        <f t="shared" ca="1" si="301"/>
        <v>30</v>
      </c>
      <c r="EI142" s="304">
        <f t="shared" ca="1" si="302"/>
        <v>8.3240190789377735E-2</v>
      </c>
      <c r="EJ142" s="305">
        <f t="shared" ca="1" si="303"/>
        <v>8.3240190789377735E-2</v>
      </c>
      <c r="EK142" s="305">
        <f t="shared" ca="1" si="304"/>
        <v>8.3240190789377735E-2</v>
      </c>
      <c r="EL142" s="305">
        <f t="shared" ca="1" si="305"/>
        <v>8.3240190789377708E-2</v>
      </c>
      <c r="EM142" s="305">
        <f t="shared" ca="1" si="306"/>
        <v>3.2682912275501866E-2</v>
      </c>
      <c r="EN142" s="305">
        <f t="shared" ca="1" si="307"/>
        <v>6.7578868060280781E-2</v>
      </c>
      <c r="EO142" s="305">
        <f t="shared" ca="1" si="308"/>
        <v>8.3240190789377735E-2</v>
      </c>
      <c r="EP142" s="305">
        <f t="shared" ca="1" si="309"/>
        <v>8.3240190789377735E-2</v>
      </c>
      <c r="EQ142" s="305">
        <f t="shared" ca="1" si="310"/>
        <v>8.3240190789377735E-2</v>
      </c>
      <c r="ER142" s="305">
        <f t="shared" ca="1" si="311"/>
        <v>3.2682912275501866E-2</v>
      </c>
      <c r="ES142" s="305">
        <f t="shared" ca="1" si="312"/>
        <v>6.7578868060280781E-2</v>
      </c>
      <c r="ET142" s="299">
        <f t="shared" ca="1" si="313"/>
        <v>3.1509824720623154</v>
      </c>
      <c r="EU142" s="302">
        <f t="shared" ca="1" si="314"/>
        <v>30</v>
      </c>
      <c r="EV142" s="304">
        <f t="shared" ca="1" si="315"/>
        <v>0.24972057236813322</v>
      </c>
      <c r="EW142" s="305">
        <f t="shared" ca="1" si="316"/>
        <v>0.24972057236813322</v>
      </c>
      <c r="EX142" s="305">
        <f t="shared" ca="1" si="317"/>
        <v>0.24972057236813322</v>
      </c>
      <c r="EY142" s="305">
        <f t="shared" ca="1" si="318"/>
        <v>0.24972057236813325</v>
      </c>
      <c r="EZ142" s="305">
        <f t="shared" ca="1" si="319"/>
        <v>9.8048736826505598E-2</v>
      </c>
      <c r="FA142" s="305">
        <f t="shared" ca="1" si="320"/>
        <v>0.20952365914742097</v>
      </c>
      <c r="FB142" s="305">
        <f t="shared" ca="1" si="321"/>
        <v>0.24972057236813322</v>
      </c>
      <c r="FC142" s="305">
        <f t="shared" ca="1" si="322"/>
        <v>0.24972057236813322</v>
      </c>
      <c r="FD142" s="305">
        <f t="shared" ca="1" si="323"/>
        <v>0.24972057236813322</v>
      </c>
      <c r="FE142" s="305">
        <f t="shared" ca="1" si="324"/>
        <v>9.8048736826505598E-2</v>
      </c>
      <c r="FF142" s="305">
        <f t="shared" ca="1" si="325"/>
        <v>0.20952365914742097</v>
      </c>
      <c r="FG142" s="299">
        <f t="shared" ca="1" si="326"/>
        <v>7.29172554493611</v>
      </c>
      <c r="FH142" s="302">
        <f t="shared" ca="1" si="327"/>
        <v>-4.1407430728737946</v>
      </c>
      <c r="FI142" s="248">
        <f t="shared" ca="1" si="328"/>
        <v>-1373.821786680986</v>
      </c>
      <c r="FJ142" s="363">
        <f t="shared" ca="1" si="329"/>
        <v>0.46080758483535578</v>
      </c>
      <c r="FK142" s="378">
        <f t="shared" ca="1" si="330"/>
        <v>0.44194160824785894</v>
      </c>
      <c r="FL142" s="508">
        <f t="shared" ca="1" si="331"/>
        <v>-0.7366719689237331</v>
      </c>
      <c r="FM142" s="508">
        <f t="shared" ca="1" si="332"/>
        <v>-0.24778934165194999</v>
      </c>
      <c r="FN142" s="508">
        <f t="shared" ca="1" si="333"/>
        <v>-3.3536843040794437</v>
      </c>
      <c r="FO142" s="508">
        <f t="shared" ca="1" si="334"/>
        <v>-0.27895731825138337</v>
      </c>
      <c r="FP142" s="353">
        <f t="shared" ca="1" si="335"/>
        <v>202.34062291354914</v>
      </c>
      <c r="FQ142" s="356">
        <f t="shared" ca="1" si="336"/>
        <v>19.379601291549719</v>
      </c>
      <c r="FR142" s="380">
        <f t="shared" ca="1" si="337"/>
        <v>24.812000000000001</v>
      </c>
      <c r="FS142" s="299">
        <f t="shared" ca="1" si="338"/>
        <v>24.812000000000001</v>
      </c>
      <c r="FT142" s="299">
        <f t="shared" ca="1" si="339"/>
        <v>24.812000000000001</v>
      </c>
      <c r="FU142" s="299">
        <f t="shared" ca="1" si="340"/>
        <v>24.812000000000001</v>
      </c>
      <c r="FV142" s="299">
        <f t="shared" ca="1" si="341"/>
        <v>24.812000000000005</v>
      </c>
      <c r="FW142" s="850">
        <f t="shared" ca="1" si="342"/>
        <v>0.1575</v>
      </c>
      <c r="FX142" s="851">
        <f t="shared" ca="1" si="343"/>
        <v>0.5</v>
      </c>
      <c r="FY142" s="851">
        <f t="shared" ca="1" si="344"/>
        <v>0</v>
      </c>
      <c r="FZ142" s="201">
        <f t="shared" ca="1" si="345"/>
        <v>0</v>
      </c>
      <c r="GA142" s="201">
        <f t="shared" ca="1" si="346"/>
        <v>0</v>
      </c>
      <c r="GB142" s="201">
        <f t="shared" ca="1" si="347"/>
        <v>0</v>
      </c>
      <c r="GC142" s="201">
        <f t="shared" ca="1" si="348"/>
        <v>0</v>
      </c>
      <c r="GD142" s="850">
        <f t="shared" ca="1" si="349"/>
        <v>0.26472057236813323</v>
      </c>
      <c r="GE142" s="866">
        <f t="shared" ca="1" si="350"/>
        <v>0.24972057236813322</v>
      </c>
      <c r="GF142" s="866">
        <f t="shared" ca="1" si="351"/>
        <v>0.26472057236813323</v>
      </c>
      <c r="GG142" s="866">
        <f t="shared" ca="1" si="352"/>
        <v>0.10804873682650559</v>
      </c>
      <c r="GH142" s="866">
        <f t="shared" ca="1" si="353"/>
        <v>0.22452365914742095</v>
      </c>
      <c r="GI142" s="302">
        <f t="shared" ca="1" si="354"/>
        <v>14.701972450787309</v>
      </c>
      <c r="GJ142" s="299">
        <f t="shared" ca="1" si="355"/>
        <v>7.3185355811033839</v>
      </c>
      <c r="GK142" s="299">
        <f t="shared" ca="1" si="356"/>
        <v>10.166767393412028</v>
      </c>
      <c r="GL142" s="299">
        <f t="shared" ca="1" si="357"/>
        <v>2.5272939974526323</v>
      </c>
      <c r="GM142" s="299">
        <f t="shared" ca="1" si="358"/>
        <v>9.0423437323363167</v>
      </c>
      <c r="GN142" s="302">
        <f t="shared" ca="1" si="359"/>
        <v>0.79839748979752856</v>
      </c>
      <c r="GO142" s="299">
        <f t="shared" ca="1" si="360"/>
        <v>0.65292174864899899</v>
      </c>
      <c r="GP142" s="299">
        <f t="shared" ca="1" si="361"/>
        <v>0.72138753787725707</v>
      </c>
      <c r="GQ142" s="299">
        <f t="shared" ca="1" si="362"/>
        <v>0.44938419477256952</v>
      </c>
      <c r="GR142" s="299">
        <f t="shared" ca="1" si="363"/>
        <v>0.71212050424746676</v>
      </c>
      <c r="GS142" s="302">
        <f t="shared" ca="1" si="364"/>
        <v>-0.53529986475620051</v>
      </c>
      <c r="GT142" s="299">
        <f t="shared" ca="1" si="365"/>
        <v>-0.37619841564457723</v>
      </c>
      <c r="GU142" s="299">
        <f t="shared" ca="1" si="366"/>
        <v>-0.43630560536064844</v>
      </c>
      <c r="GV142" s="299">
        <f t="shared" ca="1" si="367"/>
        <v>-0.28120185955375437</v>
      </c>
      <c r="GW142" s="299">
        <f t="shared" ca="1" si="368"/>
        <v>-0.46521864270325874</v>
      </c>
      <c r="GX142" s="303">
        <f t="shared" ca="1" si="369"/>
        <v>2276.3262202340475</v>
      </c>
      <c r="GY142" s="303">
        <f t="shared" ca="1" si="370"/>
        <v>215.83594916223151</v>
      </c>
      <c r="GZ142" s="303">
        <f t="shared" ca="1" si="371"/>
        <v>374.79388225128338</v>
      </c>
      <c r="HA142" s="303">
        <f t="shared" ca="1" si="372"/>
        <v>279.50309835240944</v>
      </c>
      <c r="HB142" s="303">
        <f t="shared" ca="1" si="373"/>
        <v>3000.0820151152907</v>
      </c>
      <c r="HC142" s="303">
        <f t="shared" ca="1" si="374"/>
        <v>1585.1633864240084</v>
      </c>
      <c r="HD142" s="303">
        <f t="shared" ca="1" si="375"/>
        <v>20.437718856428102</v>
      </c>
      <c r="HE142" s="303">
        <f t="shared" ca="1" si="376"/>
        <v>158.07544189460569</v>
      </c>
      <c r="HF142" s="303">
        <f t="shared" ca="1" si="377"/>
        <v>0</v>
      </c>
      <c r="HG142" s="852">
        <f t="shared" ca="1" si="378"/>
        <v>1358.681800928669</v>
      </c>
    </row>
    <row r="143" spans="1:215" x14ac:dyDescent="0.25">
      <c r="A143" s="244">
        <f t="shared" ca="1" si="379"/>
        <v>40452</v>
      </c>
      <c r="B143" s="13">
        <f t="shared" ca="1" si="412"/>
        <v>2010</v>
      </c>
      <c r="C143" s="619">
        <f t="shared" ca="1" si="413"/>
        <v>10</v>
      </c>
      <c r="D143" s="195" t="str">
        <f t="shared" ca="1" si="209"/>
        <v/>
      </c>
      <c r="E143" s="469">
        <f t="shared" ca="1" si="210"/>
        <v>40452</v>
      </c>
      <c r="F143" s="465">
        <f t="shared" ca="1" si="211"/>
        <v>40482</v>
      </c>
      <c r="G143" s="522">
        <f t="shared" ca="1" si="380"/>
        <v>1</v>
      </c>
      <c r="H143" s="519">
        <f t="shared" ca="1" si="381"/>
        <v>1</v>
      </c>
      <c r="I143" s="724">
        <f t="shared" ca="1" si="414"/>
        <v>7.4202648925381004E-2</v>
      </c>
      <c r="J143" s="198">
        <f t="shared" ca="1" si="213"/>
        <v>0.45796816908869958</v>
      </c>
      <c r="K143" s="200">
        <f t="shared" ca="1" si="389"/>
        <v>29.75</v>
      </c>
      <c r="L143" s="201">
        <f t="shared" ca="1" si="390"/>
        <v>31.2</v>
      </c>
      <c r="M143" s="206">
        <f t="shared" ca="1" si="391"/>
        <v>32.65</v>
      </c>
      <c r="N143" s="851">
        <f t="shared" ca="1" si="395"/>
        <v>23.313000106811518</v>
      </c>
      <c r="O143" s="201">
        <f t="shared" ca="1" si="396"/>
        <v>24.400500106811517</v>
      </c>
      <c r="P143" s="206">
        <f t="shared" ca="1" si="397"/>
        <v>25.488000106811516</v>
      </c>
      <c r="Q143" s="201">
        <f t="shared" ca="1" si="398"/>
        <v>18.100999832153313</v>
      </c>
      <c r="R143" s="201">
        <f t="shared" ca="1" si="399"/>
        <v>22.400999832153314</v>
      </c>
      <c r="S143" s="201">
        <f t="shared" ca="1" si="400"/>
        <v>26.700999832153315</v>
      </c>
      <c r="T143" s="851">
        <f t="shared" ca="1" si="392"/>
        <v>19.324998855590817</v>
      </c>
      <c r="U143" s="201">
        <f t="shared" ca="1" si="393"/>
        <v>20.049998855590818</v>
      </c>
      <c r="V143" s="206">
        <f t="shared" ca="1" si="394"/>
        <v>20.77499885559082</v>
      </c>
      <c r="W143" s="230">
        <f t="shared" ca="1" si="382"/>
        <v>7.5724466578411795E-2</v>
      </c>
      <c r="X143" s="231">
        <f t="shared" ca="1" si="383"/>
        <v>0.15144893315682359</v>
      </c>
      <c r="Y143" s="232">
        <f t="shared" ca="1" si="384"/>
        <v>0.22717339973523537</v>
      </c>
      <c r="Z143" s="231">
        <f t="shared" ca="1" si="404"/>
        <v>7.5724466578411795E-2</v>
      </c>
      <c r="AA143" s="231">
        <f t="shared" ca="1" si="405"/>
        <v>0.15144893315682359</v>
      </c>
      <c r="AB143" s="232">
        <f t="shared" ca="1" si="406"/>
        <v>0.22717339973523537</v>
      </c>
      <c r="AC143" s="231">
        <f t="shared" ca="1" si="407"/>
        <v>7.5724466578411795E-2</v>
      </c>
      <c r="AD143" s="231">
        <f t="shared" ca="1" si="408"/>
        <v>0.15144893315682359</v>
      </c>
      <c r="AE143" s="232">
        <f t="shared" ca="1" si="214"/>
        <v>0.22717339973523537</v>
      </c>
      <c r="AF143" s="231">
        <f t="shared" ca="1" si="385"/>
        <v>2.4512184206626399E-2</v>
      </c>
      <c r="AG143" s="231">
        <f t="shared" ca="1" si="386"/>
        <v>4.9024368413252799E-2</v>
      </c>
      <c r="AH143" s="232">
        <f t="shared" ca="1" si="387"/>
        <v>7.3536552619879195E-2</v>
      </c>
      <c r="AI143" s="233">
        <f t="shared" ca="1" si="215"/>
        <v>0.85000000000000009</v>
      </c>
      <c r="AJ143" s="233">
        <f t="shared" ca="1" si="216"/>
        <v>1.1000000000000001</v>
      </c>
      <c r="AK143" s="234">
        <f t="shared" ca="1" si="217"/>
        <v>1.4000000000000001</v>
      </c>
      <c r="AL143" s="919">
        <f t="shared" ca="1" si="218"/>
        <v>0.85000000000000009</v>
      </c>
      <c r="AM143" s="233">
        <f t="shared" ca="1" si="219"/>
        <v>1.1000000000000001</v>
      </c>
      <c r="AN143" s="234">
        <f t="shared" ca="1" si="220"/>
        <v>1.4000000000000001</v>
      </c>
      <c r="AO143" s="233">
        <f t="shared" ca="1" si="221"/>
        <v>0.85000000000000009</v>
      </c>
      <c r="AP143" s="233">
        <f t="shared" ca="1" si="222"/>
        <v>1.1000000000000001</v>
      </c>
      <c r="AQ143" s="233">
        <f t="shared" ca="1" si="223"/>
        <v>1.4000000000000001</v>
      </c>
      <c r="AR143" s="919">
        <f t="shared" ca="1" si="224"/>
        <v>0.19999999999999998</v>
      </c>
      <c r="AS143" s="233">
        <f t="shared" ca="1" si="225"/>
        <v>0.35</v>
      </c>
      <c r="AT143" s="235">
        <f t="shared" ca="1" si="226"/>
        <v>0.55000000000000004</v>
      </c>
      <c r="AU143" s="946">
        <f t="shared" si="227"/>
        <v>0.5</v>
      </c>
      <c r="AV143" s="13">
        <f t="shared" ca="1" si="228"/>
        <v>21</v>
      </c>
      <c r="AW143" s="210">
        <f t="shared" ca="1" si="229"/>
        <v>5</v>
      </c>
      <c r="AX143" s="210">
        <f t="shared" ca="1" si="230"/>
        <v>5</v>
      </c>
      <c r="AY143" s="210">
        <f t="shared" ca="1" si="231"/>
        <v>0</v>
      </c>
      <c r="AZ143" s="13">
        <f t="shared" ca="1" si="232"/>
        <v>31</v>
      </c>
      <c r="BA143" s="357">
        <f ca="1"/>
        <v>336</v>
      </c>
      <c r="BB143" s="925">
        <f ca="1"/>
        <v>80</v>
      </c>
      <c r="BC143" s="925">
        <f ca="1"/>
        <v>80</v>
      </c>
      <c r="BD143" s="928">
        <f ca="1"/>
        <v>248</v>
      </c>
      <c r="BE143" s="200">
        <f ca="1"/>
        <v>1.0000187270343304</v>
      </c>
      <c r="BF143" s="851">
        <f ca="1"/>
        <v>1.0000187270343304</v>
      </c>
      <c r="BG143" s="851">
        <f ca="1"/>
        <v>1.0000187270343304</v>
      </c>
      <c r="BH143" s="933">
        <f ca="1"/>
        <v>1.0000000074505806</v>
      </c>
      <c r="BI143" s="357">
        <f ca="1"/>
        <v>336</v>
      </c>
      <c r="BJ143" s="925">
        <f ca="1"/>
        <v>80</v>
      </c>
      <c r="BK143" s="925">
        <f ca="1"/>
        <v>80</v>
      </c>
      <c r="BL143" s="928">
        <f ca="1"/>
        <v>248</v>
      </c>
      <c r="BM143" s="200">
        <f ca="1"/>
        <v>1.0000187270343304</v>
      </c>
      <c r="BN143" s="851">
        <f ca="1"/>
        <v>1.0000187270343304</v>
      </c>
      <c r="BO143" s="851">
        <f ca="1"/>
        <v>1.0000187270343304</v>
      </c>
      <c r="BP143" s="933">
        <f ca="1"/>
        <v>1.0000000074505806</v>
      </c>
      <c r="BQ143" s="357">
        <f t="shared" ca="1" si="233"/>
        <v>744</v>
      </c>
      <c r="BR143" s="361">
        <f t="shared" ca="1" si="234"/>
        <v>744</v>
      </c>
      <c r="BS143" s="357">
        <f t="shared" ca="1" si="235"/>
        <v>340.72831780199249</v>
      </c>
      <c r="BT143" s="302">
        <f t="shared" ca="1" si="236"/>
        <v>24.33060347763228</v>
      </c>
      <c r="BU143" s="299">
        <f t="shared" ca="1" si="237"/>
        <v>25.806433042823858</v>
      </c>
      <c r="BV143" s="299">
        <f t="shared" ca="1" si="238"/>
        <v>27.282262608015444</v>
      </c>
      <c r="BW143" s="299">
        <f t="shared" ca="1" si="239"/>
        <v>32.659889647739881</v>
      </c>
      <c r="BX143" s="380">
        <f t="shared" ca="1" si="240"/>
        <v>10.581793292265571</v>
      </c>
      <c r="BY143" s="363">
        <f t="shared" ca="1" si="241"/>
        <v>153.87730481380305</v>
      </c>
      <c r="BZ143" s="353">
        <f t="shared" ca="1" si="242"/>
        <v>36.637453527095964</v>
      </c>
      <c r="CA143" s="353">
        <f t="shared" ca="1" si="243"/>
        <v>36.637453527095964</v>
      </c>
      <c r="CB143" s="353">
        <f t="shared" ca="1" si="244"/>
        <v>227.15221186799499</v>
      </c>
      <c r="CC143" s="353">
        <f t="shared" ca="1" si="245"/>
        <v>113.5761059339975</v>
      </c>
      <c r="CD143" s="353">
        <f t="shared" ca="1" si="246"/>
        <v>340.72831780199249</v>
      </c>
      <c r="CE143" s="302">
        <f t="shared" ca="1" si="247"/>
        <v>32.650611437670882</v>
      </c>
      <c r="CF143" s="299">
        <f t="shared" ca="1" si="248"/>
        <v>25.488477421464527</v>
      </c>
      <c r="CG143" s="299">
        <f t="shared" ca="1" si="249"/>
        <v>26.701499862693826</v>
      </c>
      <c r="CH143" s="299">
        <f t="shared" ca="1" si="250"/>
        <v>30.535894406834846</v>
      </c>
      <c r="CI143" s="299">
        <f t="shared" ca="1" si="251"/>
        <v>20.774999010376622</v>
      </c>
      <c r="CJ143" s="299">
        <f t="shared" ca="1" si="252"/>
        <v>27.28226260801544</v>
      </c>
      <c r="CK143" s="299">
        <f t="shared" ca="1" si="253"/>
        <v>32.659889647739881</v>
      </c>
      <c r="CL143" s="377">
        <f t="shared" ca="1" si="254"/>
        <v>0.22717339973523537</v>
      </c>
      <c r="CM143" s="305">
        <f t="shared" ca="1" si="255"/>
        <v>0.22717339973523537</v>
      </c>
      <c r="CN143" s="305">
        <f t="shared" ca="1" si="256"/>
        <v>0.22717339973523537</v>
      </c>
      <c r="CO143" s="305">
        <f t="shared" ca="1" si="257"/>
        <v>0.2271733997352354</v>
      </c>
      <c r="CP143" s="305">
        <f t="shared" ca="1" si="258"/>
        <v>7.3536552619879195E-2</v>
      </c>
      <c r="CQ143" s="305">
        <f t="shared" ca="1" si="259"/>
        <v>0.18621457625045423</v>
      </c>
      <c r="CR143" s="775">
        <f t="shared" ca="1" si="260"/>
        <v>0.22717339973523537</v>
      </c>
      <c r="CS143" s="305">
        <f t="shared" ca="1" si="261"/>
        <v>0.26217339973523535</v>
      </c>
      <c r="CT143" s="305">
        <f t="shared" ca="1" si="262"/>
        <v>0.24467339973523539</v>
      </c>
      <c r="CU143" s="305">
        <f t="shared" ca="1" si="263"/>
        <v>0.13353655261987918</v>
      </c>
      <c r="CV143" s="770">
        <f t="shared" ca="1" si="264"/>
        <v>0.20371457625045425</v>
      </c>
      <c r="CW143" s="302">
        <f t="shared" ca="1" si="265"/>
        <v>9.4079169590897731</v>
      </c>
      <c r="CX143" s="299">
        <f t="shared" ca="1" si="266"/>
        <v>6.3911269833766493</v>
      </c>
      <c r="CY143" s="299">
        <f t="shared" ca="1" si="267"/>
        <v>6.4783668069619136</v>
      </c>
      <c r="CZ143" s="299">
        <f t="shared" ca="1" si="268"/>
        <v>0.85752069604770575</v>
      </c>
      <c r="DA143" s="774">
        <f t="shared" ca="1" si="269"/>
        <v>5.36581818729689</v>
      </c>
      <c r="DB143" s="303">
        <f t="shared" ca="1" si="270"/>
        <v>1828.286204589006</v>
      </c>
      <c r="DC143" s="248">
        <f t="shared" ca="1" si="271"/>
        <v>178.49440750773977</v>
      </c>
      <c r="DD143" s="778">
        <f t="shared" ca="1" si="272"/>
        <v>0</v>
      </c>
      <c r="DE143" s="363">
        <f t="shared" ca="1" si="273"/>
        <v>0.45796816908869958</v>
      </c>
      <c r="DF143" s="378">
        <f t="shared" ca="1" si="274"/>
        <v>-0.36987824894030197</v>
      </c>
      <c r="DG143" s="508">
        <f t="shared" ca="1" si="275"/>
        <v>-0.71712096544423509</v>
      </c>
      <c r="DH143" s="508">
        <f t="shared" ca="1" si="276"/>
        <v>-0.65103463964468855</v>
      </c>
      <c r="DI143" s="508">
        <f t="shared" ca="1" si="277"/>
        <v>-1.2586495306380328</v>
      </c>
      <c r="DJ143" s="508">
        <f t="shared" ca="1" si="278"/>
        <v>-0.60282962581115196</v>
      </c>
      <c r="DK143" s="353">
        <f t="shared" ca="1" si="279"/>
        <v>-93.124785074882169</v>
      </c>
      <c r="DL143" s="781">
        <f t="shared" ca="1" si="280"/>
        <v>5.2370888708305516</v>
      </c>
      <c r="DM143" s="303">
        <f t="shared" ca="1" si="281"/>
        <v>8240.3852025901288</v>
      </c>
      <c r="DN143" s="508">
        <f t="shared" ca="1" si="282"/>
        <v>1.6262334215454703</v>
      </c>
      <c r="DO143" s="508">
        <f t="shared" ca="1" si="283"/>
        <v>1.5500992718970217</v>
      </c>
      <c r="DP143" s="508">
        <f t="shared" ca="1" si="284"/>
        <v>1.5643932706541921</v>
      </c>
      <c r="DQ143" s="508">
        <f t="shared" ca="1" si="285"/>
        <v>1.4872346161712029</v>
      </c>
      <c r="DR143" s="508">
        <f t="shared" ca="1" si="286"/>
        <v>1.5710085188867635</v>
      </c>
      <c r="DS143" s="353">
        <f t="shared" ca="1" si="287"/>
        <v>3511.9182198754243</v>
      </c>
      <c r="DT143" s="353">
        <f t="shared" ca="1" si="288"/>
        <v>-9278.9235085250166</v>
      </c>
      <c r="DU143" s="380">
        <f t="shared" ca="1" si="388"/>
        <v>10.581793292265571</v>
      </c>
      <c r="DV143" s="303">
        <f t="shared" ca="1" si="289"/>
        <v>153.87730481380305</v>
      </c>
      <c r="DW143" s="303">
        <f t="shared" ca="1" si="290"/>
        <v>36.637453527095964</v>
      </c>
      <c r="DX143" s="303">
        <f t="shared" ca="1" si="291"/>
        <v>36.637453527095964</v>
      </c>
      <c r="DY143" s="303">
        <f t="shared" ca="1" si="292"/>
        <v>227.15221186799499</v>
      </c>
      <c r="DZ143" s="303">
        <f t="shared" ca="1" si="293"/>
        <v>113.5761059339975</v>
      </c>
      <c r="EA143" s="303">
        <f t="shared" ca="1" si="294"/>
        <v>340.72831780199249</v>
      </c>
      <c r="EB143" s="302">
        <f t="shared" ca="1" si="295"/>
        <v>32.650611437670882</v>
      </c>
      <c r="EC143" s="299">
        <f t="shared" ca="1" si="296"/>
        <v>25.488477421464527</v>
      </c>
      <c r="ED143" s="299">
        <f t="shared" ca="1" si="297"/>
        <v>26.701499862693826</v>
      </c>
      <c r="EE143" s="299">
        <f t="shared" ca="1" si="298"/>
        <v>30.535894406834846</v>
      </c>
      <c r="EF143" s="299">
        <f t="shared" ca="1" si="299"/>
        <v>20.774999010376622</v>
      </c>
      <c r="EG143" s="299">
        <f t="shared" ca="1" si="300"/>
        <v>27.28226260801544</v>
      </c>
      <c r="EH143" s="302">
        <f t="shared" ca="1" si="301"/>
        <v>30</v>
      </c>
      <c r="EI143" s="304">
        <f t="shared" ca="1" si="302"/>
        <v>7.5724466578411795E-2</v>
      </c>
      <c r="EJ143" s="305">
        <f t="shared" ca="1" si="303"/>
        <v>7.5724466578411795E-2</v>
      </c>
      <c r="EK143" s="305">
        <f t="shared" ca="1" si="304"/>
        <v>7.5724466578411795E-2</v>
      </c>
      <c r="EL143" s="305">
        <f t="shared" ca="1" si="305"/>
        <v>7.5724466578411836E-2</v>
      </c>
      <c r="EM143" s="305">
        <f t="shared" ca="1" si="306"/>
        <v>2.4512184206626399E-2</v>
      </c>
      <c r="EN143" s="305">
        <f t="shared" ca="1" si="307"/>
        <v>6.0113555720367091E-2</v>
      </c>
      <c r="EO143" s="305">
        <f t="shared" ca="1" si="308"/>
        <v>7.5724466578411795E-2</v>
      </c>
      <c r="EP143" s="305">
        <f t="shared" ca="1" si="309"/>
        <v>7.5724466578411795E-2</v>
      </c>
      <c r="EQ143" s="305">
        <f t="shared" ca="1" si="310"/>
        <v>7.5724466578411795E-2</v>
      </c>
      <c r="ER143" s="305">
        <f t="shared" ca="1" si="311"/>
        <v>2.4512184206626399E-2</v>
      </c>
      <c r="ES143" s="305">
        <f t="shared" ca="1" si="312"/>
        <v>6.0113555720367091E-2</v>
      </c>
      <c r="ET143" s="299">
        <f t="shared" ca="1" si="313"/>
        <v>3.8465955644467975</v>
      </c>
      <c r="EU143" s="302">
        <f t="shared" ca="1" si="314"/>
        <v>30</v>
      </c>
      <c r="EV143" s="304">
        <f t="shared" ca="1" si="315"/>
        <v>0.22717339973523537</v>
      </c>
      <c r="EW143" s="305">
        <f t="shared" ca="1" si="316"/>
        <v>0.22717339973523537</v>
      </c>
      <c r="EX143" s="305">
        <f t="shared" ca="1" si="317"/>
        <v>0.22717339973523537</v>
      </c>
      <c r="EY143" s="305">
        <f t="shared" ca="1" si="318"/>
        <v>0.2271733997352354</v>
      </c>
      <c r="EZ143" s="305">
        <f t="shared" ca="1" si="319"/>
        <v>7.3536552619879195E-2</v>
      </c>
      <c r="FA143" s="305">
        <f t="shared" ca="1" si="320"/>
        <v>0.18621457625045423</v>
      </c>
      <c r="FB143" s="305">
        <f t="shared" ca="1" si="321"/>
        <v>0.22717339973523537</v>
      </c>
      <c r="FC143" s="305">
        <f t="shared" ca="1" si="322"/>
        <v>0.22717339973523537</v>
      </c>
      <c r="FD143" s="305">
        <f t="shared" ca="1" si="323"/>
        <v>0.22717339973523537</v>
      </c>
      <c r="FE143" s="305">
        <f t="shared" ca="1" si="324"/>
        <v>7.3536552619879195E-2</v>
      </c>
      <c r="FF143" s="305">
        <f t="shared" ca="1" si="325"/>
        <v>0.18621457625045423</v>
      </c>
      <c r="FG143" s="299">
        <f t="shared" ca="1" si="326"/>
        <v>5.5391383704691393</v>
      </c>
      <c r="FH143" s="302">
        <f t="shared" ca="1" si="327"/>
        <v>-1.6925428060223418</v>
      </c>
      <c r="FI143" s="248">
        <f t="shared" ca="1" si="328"/>
        <v>-576.69726310385659</v>
      </c>
      <c r="FJ143" s="363">
        <f t="shared" ca="1" si="329"/>
        <v>0.45796816908869958</v>
      </c>
      <c r="FK143" s="378">
        <f t="shared" ca="1" si="330"/>
        <v>0.22054702929021194</v>
      </c>
      <c r="FL143" s="508">
        <f t="shared" ca="1" si="331"/>
        <v>-0.78476261068798048</v>
      </c>
      <c r="FM143" s="508">
        <f t="shared" ca="1" si="332"/>
        <v>-0.59601820609722533</v>
      </c>
      <c r="FN143" s="508">
        <f t="shared" ca="1" si="333"/>
        <v>-4.6480882123099176</v>
      </c>
      <c r="FO143" s="508">
        <f t="shared" ca="1" si="334"/>
        <v>-0.58338798342120168</v>
      </c>
      <c r="FP143" s="353">
        <f t="shared" ca="1" si="335"/>
        <v>245.38707390523263</v>
      </c>
      <c r="FQ143" s="356">
        <f t="shared" ca="1" si="336"/>
        <v>19.545237107522833</v>
      </c>
      <c r="FR143" s="380">
        <f t="shared" ca="1" si="337"/>
        <v>25.02</v>
      </c>
      <c r="FS143" s="299">
        <f t="shared" ca="1" si="338"/>
        <v>25.02</v>
      </c>
      <c r="FT143" s="299">
        <f t="shared" ca="1" si="339"/>
        <v>25.02</v>
      </c>
      <c r="FU143" s="299">
        <f t="shared" ca="1" si="340"/>
        <v>25.02</v>
      </c>
      <c r="FV143" s="299">
        <f t="shared" ca="1" si="341"/>
        <v>25.02</v>
      </c>
      <c r="FW143" s="850">
        <f t="shared" ca="1" si="342"/>
        <v>0.1575</v>
      </c>
      <c r="FX143" s="851">
        <f t="shared" ca="1" si="343"/>
        <v>0.5</v>
      </c>
      <c r="FY143" s="851">
        <f t="shared" ca="1" si="344"/>
        <v>0</v>
      </c>
      <c r="FZ143" s="201">
        <f t="shared" ca="1" si="345"/>
        <v>0</v>
      </c>
      <c r="GA143" s="201">
        <f t="shared" ca="1" si="346"/>
        <v>0</v>
      </c>
      <c r="GB143" s="201">
        <f t="shared" ca="1" si="347"/>
        <v>0</v>
      </c>
      <c r="GC143" s="201">
        <f t="shared" ca="1" si="348"/>
        <v>0</v>
      </c>
      <c r="GD143" s="850">
        <f t="shared" ca="1" si="349"/>
        <v>0.24217339973523538</v>
      </c>
      <c r="GE143" s="866">
        <f t="shared" ca="1" si="350"/>
        <v>0.22717339973523537</v>
      </c>
      <c r="GF143" s="866">
        <f t="shared" ca="1" si="351"/>
        <v>0.22967339973523537</v>
      </c>
      <c r="GG143" s="866">
        <f t="shared" ca="1" si="352"/>
        <v>8.8536552619879194E-2</v>
      </c>
      <c r="GH143" s="866">
        <f t="shared" ca="1" si="353"/>
        <v>0.19121457625045424</v>
      </c>
      <c r="GI143" s="302">
        <f t="shared" ca="1" si="354"/>
        <v>12.168217637007617</v>
      </c>
      <c r="GJ143" s="299">
        <f t="shared" ca="1" si="355"/>
        <v>6.7267426611065684</v>
      </c>
      <c r="GK143" s="299">
        <f t="shared" ca="1" si="356"/>
        <v>7.5765375411870766</v>
      </c>
      <c r="GL143" s="299">
        <f t="shared" ca="1" si="357"/>
        <v>2.2478555991608715</v>
      </c>
      <c r="GM143" s="299">
        <f t="shared" ca="1" si="358"/>
        <v>7.1141633218777507</v>
      </c>
      <c r="GN143" s="302">
        <f t="shared" ca="1" si="359"/>
        <v>0.76750063028571947</v>
      </c>
      <c r="GO143" s="299">
        <f t="shared" ca="1" si="360"/>
        <v>0.63913815193959589</v>
      </c>
      <c r="GP143" s="299">
        <f t="shared" ca="1" si="361"/>
        <v>0.66609786591576359</v>
      </c>
      <c r="GQ143" s="299">
        <f t="shared" ca="1" si="362"/>
        <v>0.4224864215821178</v>
      </c>
      <c r="GR143" s="299">
        <f t="shared" ca="1" si="363"/>
        <v>0.66932850163414825</v>
      </c>
      <c r="GS143" s="302">
        <f t="shared" ca="1" si="364"/>
        <v>-0.5152337613953345</v>
      </c>
      <c r="GT143" s="299">
        <f t="shared" ca="1" si="365"/>
        <v>-0.38225086113793977</v>
      </c>
      <c r="GU143" s="299">
        <f t="shared" ca="1" si="366"/>
        <v>-0.40804462536811575</v>
      </c>
      <c r="GV143" s="299">
        <f t="shared" ca="1" si="367"/>
        <v>-0.26096318834853643</v>
      </c>
      <c r="GW143" s="299">
        <f t="shared" ca="1" si="368"/>
        <v>-0.44550890764473394</v>
      </c>
      <c r="GX143" s="303">
        <f t="shared" ca="1" si="369"/>
        <v>1872.4125343705152</v>
      </c>
      <c r="GY143" s="303">
        <f t="shared" ca="1" si="370"/>
        <v>246.45072163502573</v>
      </c>
      <c r="GZ143" s="303">
        <f t="shared" ca="1" si="371"/>
        <v>277.58504206153947</v>
      </c>
      <c r="HA143" s="303">
        <f t="shared" ca="1" si="372"/>
        <v>255.30268565462455</v>
      </c>
      <c r="HB143" s="303">
        <f t="shared" ca="1" si="373"/>
        <v>2423.9969012320407</v>
      </c>
      <c r="HC143" s="303">
        <f t="shared" ca="1" si="374"/>
        <v>1174.1779221101742</v>
      </c>
      <c r="HD143" s="303">
        <f t="shared" ca="1" si="375"/>
        <v>17.163819757400368</v>
      </c>
      <c r="HE143" s="303">
        <f t="shared" ca="1" si="376"/>
        <v>61.605873075263304</v>
      </c>
      <c r="HF143" s="303">
        <f t="shared" ca="1" si="377"/>
        <v>0</v>
      </c>
      <c r="HG143" s="852">
        <f t="shared" ca="1" si="378"/>
        <v>770.81693285544929</v>
      </c>
    </row>
    <row r="144" spans="1:215" x14ac:dyDescent="0.25">
      <c r="A144" s="244">
        <f t="shared" ca="1" si="379"/>
        <v>40483</v>
      </c>
      <c r="B144" s="13">
        <f t="shared" ca="1" si="412"/>
        <v>2010</v>
      </c>
      <c r="C144" s="619">
        <f t="shared" ca="1" si="413"/>
        <v>11</v>
      </c>
      <c r="D144" s="195">
        <f t="shared" ca="1" si="209"/>
        <v>40507</v>
      </c>
      <c r="E144" s="469">
        <f t="shared" ca="1" si="210"/>
        <v>40483</v>
      </c>
      <c r="F144" s="465">
        <f t="shared" ca="1" si="211"/>
        <v>40512</v>
      </c>
      <c r="G144" s="522">
        <f t="shared" ca="1" si="380"/>
        <v>1</v>
      </c>
      <c r="H144" s="519">
        <f t="shared" ca="1" si="381"/>
        <v>1</v>
      </c>
      <c r="I144" s="724">
        <f t="shared" ca="1" si="414"/>
        <v>7.4202354207498003E-2</v>
      </c>
      <c r="J144" s="198">
        <f t="shared" ca="1" si="213"/>
        <v>0.45523711593682986</v>
      </c>
      <c r="K144" s="200">
        <f t="shared" ca="1" si="389"/>
        <v>30.125</v>
      </c>
      <c r="L144" s="201">
        <f t="shared" ca="1" si="390"/>
        <v>31.574999999999999</v>
      </c>
      <c r="M144" s="206">
        <f t="shared" ca="1" si="391"/>
        <v>33.024999999999999</v>
      </c>
      <c r="N144" s="851">
        <f t="shared" ca="1" si="395"/>
        <v>24.317251586914058</v>
      </c>
      <c r="O144" s="201">
        <f t="shared" ca="1" si="396"/>
        <v>25.404751586914056</v>
      </c>
      <c r="P144" s="206">
        <f t="shared" ca="1" si="397"/>
        <v>26.492251586914055</v>
      </c>
      <c r="Q144" s="201">
        <f t="shared" ca="1" si="398"/>
        <v>19.104499816894524</v>
      </c>
      <c r="R144" s="201">
        <f t="shared" ca="1" si="399"/>
        <v>23.404499816894525</v>
      </c>
      <c r="S144" s="201">
        <f t="shared" ca="1" si="400"/>
        <v>27.704499816894526</v>
      </c>
      <c r="T144" s="851">
        <f t="shared" ca="1" si="392"/>
        <v>19.249998092651364</v>
      </c>
      <c r="U144" s="201">
        <f t="shared" ca="1" si="393"/>
        <v>19.974998092651365</v>
      </c>
      <c r="V144" s="206">
        <f t="shared" ca="1" si="394"/>
        <v>20.699998092651366</v>
      </c>
      <c r="W144" s="230">
        <f t="shared" ca="1" si="382"/>
        <v>7.5724466578411795E-2</v>
      </c>
      <c r="X144" s="231">
        <f t="shared" ca="1" si="383"/>
        <v>0.15144893315682359</v>
      </c>
      <c r="Y144" s="232">
        <f t="shared" ca="1" si="384"/>
        <v>0.22717339973523537</v>
      </c>
      <c r="Z144" s="231">
        <f t="shared" ca="1" si="404"/>
        <v>7.5724466578411795E-2</v>
      </c>
      <c r="AA144" s="231">
        <f t="shared" ca="1" si="405"/>
        <v>0.15144893315682359</v>
      </c>
      <c r="AB144" s="232">
        <f t="shared" ca="1" si="406"/>
        <v>0.22717339973523537</v>
      </c>
      <c r="AC144" s="231">
        <f t="shared" ca="1" si="407"/>
        <v>7.5724466578411795E-2</v>
      </c>
      <c r="AD144" s="231">
        <f t="shared" ca="1" si="408"/>
        <v>0.15144893315682359</v>
      </c>
      <c r="AE144" s="232">
        <f t="shared" ca="1" si="214"/>
        <v>0.22717339973523537</v>
      </c>
      <c r="AF144" s="231">
        <f t="shared" ca="1" si="385"/>
        <v>2.4512184206626399E-2</v>
      </c>
      <c r="AG144" s="231">
        <f t="shared" ca="1" si="386"/>
        <v>4.9024368413252799E-2</v>
      </c>
      <c r="AH144" s="232">
        <f t="shared" ca="1" si="387"/>
        <v>7.3536552619879195E-2</v>
      </c>
      <c r="AI144" s="233">
        <f t="shared" ca="1" si="215"/>
        <v>1</v>
      </c>
      <c r="AJ144" s="233">
        <f t="shared" ca="1" si="216"/>
        <v>1.25</v>
      </c>
      <c r="AK144" s="234">
        <f t="shared" ca="1" si="217"/>
        <v>1.55</v>
      </c>
      <c r="AL144" s="919">
        <f t="shared" ca="1" si="218"/>
        <v>1</v>
      </c>
      <c r="AM144" s="233">
        <f t="shared" ca="1" si="219"/>
        <v>1.25</v>
      </c>
      <c r="AN144" s="234">
        <f t="shared" ca="1" si="220"/>
        <v>1.55</v>
      </c>
      <c r="AO144" s="233">
        <f t="shared" ca="1" si="221"/>
        <v>1</v>
      </c>
      <c r="AP144" s="233">
        <f t="shared" ca="1" si="222"/>
        <v>1.25</v>
      </c>
      <c r="AQ144" s="233">
        <f t="shared" ca="1" si="223"/>
        <v>1.55</v>
      </c>
      <c r="AR144" s="919">
        <f t="shared" ca="1" si="224"/>
        <v>0.15</v>
      </c>
      <c r="AS144" s="233">
        <f t="shared" ca="1" si="225"/>
        <v>0.3</v>
      </c>
      <c r="AT144" s="235">
        <f t="shared" ca="1" si="226"/>
        <v>0.5</v>
      </c>
      <c r="AU144" s="946">
        <f t="shared" si="227"/>
        <v>0.5</v>
      </c>
      <c r="AV144" s="13">
        <f t="shared" ca="1" si="228"/>
        <v>21</v>
      </c>
      <c r="AW144" s="210">
        <f t="shared" ca="1" si="229"/>
        <v>4</v>
      </c>
      <c r="AX144" s="210">
        <f t="shared" ca="1" si="230"/>
        <v>4</v>
      </c>
      <c r="AY144" s="210">
        <f t="shared" ca="1" si="231"/>
        <v>1</v>
      </c>
      <c r="AZ144" s="13">
        <f t="shared" ca="1" si="232"/>
        <v>30</v>
      </c>
      <c r="BA144" s="357">
        <f ca="1"/>
        <v>336</v>
      </c>
      <c r="BB144" s="925">
        <f ca="1"/>
        <v>64</v>
      </c>
      <c r="BC144" s="925">
        <f ca="1"/>
        <v>80</v>
      </c>
      <c r="BD144" s="928">
        <f ca="1"/>
        <v>240</v>
      </c>
      <c r="BE144" s="200">
        <f ca="1"/>
        <v>0.99996249377727509</v>
      </c>
      <c r="BF144" s="851">
        <f ca="1"/>
        <v>0.99996249377727509</v>
      </c>
      <c r="BG144" s="851">
        <f ca="1"/>
        <v>0.99996249377727509</v>
      </c>
      <c r="BH144" s="933">
        <f ca="1"/>
        <v>1.0000000074505806</v>
      </c>
      <c r="BI144" s="357">
        <f ca="1"/>
        <v>336</v>
      </c>
      <c r="BJ144" s="925">
        <f ca="1"/>
        <v>64</v>
      </c>
      <c r="BK144" s="925">
        <f ca="1"/>
        <v>80</v>
      </c>
      <c r="BL144" s="928">
        <f ca="1"/>
        <v>240</v>
      </c>
      <c r="BM144" s="200">
        <f ca="1"/>
        <v>0.99996249377727509</v>
      </c>
      <c r="BN144" s="851">
        <f ca="1"/>
        <v>0.99996249377727509</v>
      </c>
      <c r="BO144" s="851">
        <f ca="1"/>
        <v>0.99996249377727509</v>
      </c>
      <c r="BP144" s="933">
        <f ca="1"/>
        <v>1.0000000074505806</v>
      </c>
      <c r="BQ144" s="357">
        <f t="shared" ca="1" si="233"/>
        <v>720</v>
      </c>
      <c r="BR144" s="361">
        <f t="shared" ca="1" si="234"/>
        <v>720</v>
      </c>
      <c r="BS144" s="357">
        <f t="shared" ca="1" si="235"/>
        <v>327.77072347451752</v>
      </c>
      <c r="BT144" s="302">
        <f t="shared" ca="1" si="236"/>
        <v>24.758567127065792</v>
      </c>
      <c r="BU144" s="299">
        <f t="shared" ca="1" si="237"/>
        <v>26.251297982192135</v>
      </c>
      <c r="BV144" s="299">
        <f t="shared" ca="1" si="238"/>
        <v>27.744028837318485</v>
      </c>
      <c r="BW144" s="299">
        <f t="shared" ca="1" si="239"/>
        <v>32.659889647739881</v>
      </c>
      <c r="BX144" s="380">
        <f t="shared" ca="1" si="240"/>
        <v>10.666666666666666</v>
      </c>
      <c r="BY144" s="363">
        <f t="shared" ca="1" si="241"/>
        <v>152.95967095477482</v>
      </c>
      <c r="BZ144" s="353">
        <f t="shared" ca="1" si="242"/>
        <v>29.135175419957111</v>
      </c>
      <c r="CA144" s="353">
        <f t="shared" ca="1" si="243"/>
        <v>36.418969274946392</v>
      </c>
      <c r="CB144" s="353">
        <f t="shared" ca="1" si="244"/>
        <v>218.51381564967832</v>
      </c>
      <c r="CC144" s="353">
        <f t="shared" ca="1" si="245"/>
        <v>109.25690782483916</v>
      </c>
      <c r="CD144" s="353">
        <f t="shared" ca="1" si="246"/>
        <v>327.77072347451747</v>
      </c>
      <c r="CE144" s="302">
        <f t="shared" ca="1" si="247"/>
        <v>33.023761356994505</v>
      </c>
      <c r="CF144" s="299">
        <f t="shared" ca="1" si="248"/>
        <v>26.49125796262555</v>
      </c>
      <c r="CG144" s="299">
        <f t="shared" ca="1" si="249"/>
        <v>27.70346072575391</v>
      </c>
      <c r="CH144" s="299">
        <f t="shared" ca="1" si="250"/>
        <v>31.26604413253855</v>
      </c>
      <c r="CI144" s="299">
        <f t="shared" ca="1" si="251"/>
        <v>20.699998246878369</v>
      </c>
      <c r="CJ144" s="299">
        <f t="shared" ca="1" si="252"/>
        <v>27.744028837318488</v>
      </c>
      <c r="CK144" s="299">
        <f t="shared" ca="1" si="253"/>
        <v>32.659889647739881</v>
      </c>
      <c r="CL144" s="377">
        <f t="shared" ca="1" si="254"/>
        <v>0.22717339973523537</v>
      </c>
      <c r="CM144" s="305">
        <f t="shared" ca="1" si="255"/>
        <v>0.22717339973523537</v>
      </c>
      <c r="CN144" s="305">
        <f t="shared" ca="1" si="256"/>
        <v>0.22717339973523537</v>
      </c>
      <c r="CO144" s="305">
        <f t="shared" ca="1" si="257"/>
        <v>0.22717339973523534</v>
      </c>
      <c r="CP144" s="305">
        <f t="shared" ca="1" si="258"/>
        <v>7.3536552619879195E-2</v>
      </c>
      <c r="CQ144" s="305">
        <f t="shared" ca="1" si="259"/>
        <v>0.18713176970642995</v>
      </c>
      <c r="CR144" s="775">
        <f t="shared" ca="1" si="260"/>
        <v>0.22717339973523537</v>
      </c>
      <c r="CS144" s="305">
        <f t="shared" ca="1" si="261"/>
        <v>0.25217339973523539</v>
      </c>
      <c r="CT144" s="305">
        <f t="shared" ca="1" si="262"/>
        <v>0.24217339973523538</v>
      </c>
      <c r="CU144" s="305">
        <f t="shared" ca="1" si="263"/>
        <v>0.13353655261987918</v>
      </c>
      <c r="CV144" s="770">
        <f t="shared" ca="1" si="264"/>
        <v>0.20213176970642993</v>
      </c>
      <c r="CW144" s="302">
        <f t="shared" ca="1" si="265"/>
        <v>9.6854663235697931</v>
      </c>
      <c r="CX144" s="299">
        <f t="shared" ca="1" si="266"/>
        <v>6.6509664028535447</v>
      </c>
      <c r="CY144" s="299">
        <f t="shared" ca="1" si="267"/>
        <v>6.9921877056154713</v>
      </c>
      <c r="CZ144" s="299">
        <f t="shared" ca="1" si="268"/>
        <v>0.85241490321789204</v>
      </c>
      <c r="DA144" s="774">
        <f t="shared" ca="1" si="269"/>
        <v>5.5822898611142104</v>
      </c>
      <c r="DB144" s="303">
        <f t="shared" ca="1" si="270"/>
        <v>1829.7111864218684</v>
      </c>
      <c r="DC144" s="248">
        <f t="shared" ca="1" si="271"/>
        <v>174.72319502010021</v>
      </c>
      <c r="DD144" s="778">
        <f t="shared" ca="1" si="272"/>
        <v>0</v>
      </c>
      <c r="DE144" s="363">
        <f t="shared" ca="1" si="273"/>
        <v>0.45523711593682986</v>
      </c>
      <c r="DF144" s="378">
        <f t="shared" ca="1" si="274"/>
        <v>-0.35603938344737213</v>
      </c>
      <c r="DG144" s="508">
        <f t="shared" ca="1" si="275"/>
        <v>-0.66596720550786048</v>
      </c>
      <c r="DH144" s="508">
        <f t="shared" ca="1" si="276"/>
        <v>-0.60356344914186644</v>
      </c>
      <c r="DI144" s="508">
        <f t="shared" ca="1" si="277"/>
        <v>-1.2636598668356984</v>
      </c>
      <c r="DJ144" s="508">
        <f t="shared" ca="1" si="278"/>
        <v>-0.57718227087827179</v>
      </c>
      <c r="DK144" s="353">
        <f t="shared" ca="1" si="279"/>
        <v>-92.401229173291711</v>
      </c>
      <c r="DL144" s="781">
        <f t="shared" ca="1" si="280"/>
        <v>5.1342434760920401</v>
      </c>
      <c r="DM144" s="303">
        <f t="shared" ca="1" si="281"/>
        <v>8083.1828402394285</v>
      </c>
      <c r="DN144" s="508">
        <f t="shared" ca="1" si="282"/>
        <v>1.6362226332803691</v>
      </c>
      <c r="DO144" s="508">
        <f t="shared" ca="1" si="283"/>
        <v>1.5687285978714278</v>
      </c>
      <c r="DP144" s="508">
        <f t="shared" ca="1" si="284"/>
        <v>1.5824295204229597</v>
      </c>
      <c r="DQ144" s="508">
        <f t="shared" ca="1" si="285"/>
        <v>1.4931906681568132</v>
      </c>
      <c r="DR144" s="508">
        <f t="shared" ca="1" si="286"/>
        <v>1.5828776071162844</v>
      </c>
      <c r="DS144" s="353">
        <f t="shared" ca="1" si="287"/>
        <v>3385.3342563431102</v>
      </c>
      <c r="DT144" s="353">
        <f t="shared" ca="1" si="288"/>
        <v>-9018.2072360881011</v>
      </c>
      <c r="DU144" s="380">
        <f t="shared" ca="1" si="388"/>
        <v>10.666666666666666</v>
      </c>
      <c r="DV144" s="303">
        <f t="shared" ca="1" si="289"/>
        <v>152.95967095477482</v>
      </c>
      <c r="DW144" s="303">
        <f t="shared" ca="1" si="290"/>
        <v>29.135175419957111</v>
      </c>
      <c r="DX144" s="303">
        <f t="shared" ca="1" si="291"/>
        <v>36.418969274946392</v>
      </c>
      <c r="DY144" s="303">
        <f t="shared" ca="1" si="292"/>
        <v>218.51381564967832</v>
      </c>
      <c r="DZ144" s="303">
        <f t="shared" ca="1" si="293"/>
        <v>109.25690782483916</v>
      </c>
      <c r="EA144" s="303">
        <f t="shared" ca="1" si="294"/>
        <v>327.77072347451747</v>
      </c>
      <c r="EB144" s="302">
        <f t="shared" ca="1" si="295"/>
        <v>33.023761356994505</v>
      </c>
      <c r="EC144" s="299">
        <f t="shared" ca="1" si="296"/>
        <v>26.49125796262555</v>
      </c>
      <c r="ED144" s="299">
        <f t="shared" ca="1" si="297"/>
        <v>27.70346072575391</v>
      </c>
      <c r="EE144" s="299">
        <f t="shared" ca="1" si="298"/>
        <v>31.26604413253855</v>
      </c>
      <c r="EF144" s="299">
        <f t="shared" ca="1" si="299"/>
        <v>20.699998246878369</v>
      </c>
      <c r="EG144" s="299">
        <f t="shared" ca="1" si="300"/>
        <v>27.744028837318488</v>
      </c>
      <c r="EH144" s="302">
        <f t="shared" ca="1" si="301"/>
        <v>30</v>
      </c>
      <c r="EI144" s="304">
        <f t="shared" ca="1" si="302"/>
        <v>7.5724466578411795E-2</v>
      </c>
      <c r="EJ144" s="305">
        <f t="shared" ca="1" si="303"/>
        <v>7.5724466578411795E-2</v>
      </c>
      <c r="EK144" s="305">
        <f t="shared" ca="1" si="304"/>
        <v>7.5724466578411795E-2</v>
      </c>
      <c r="EL144" s="305">
        <f t="shared" ca="1" si="305"/>
        <v>7.5724466578411767E-2</v>
      </c>
      <c r="EM144" s="305">
        <f t="shared" ca="1" si="306"/>
        <v>2.4512184206626399E-2</v>
      </c>
      <c r="EN144" s="305">
        <f t="shared" ca="1" si="307"/>
        <v>6.0427466668767582E-2</v>
      </c>
      <c r="EO144" s="305">
        <f t="shared" ca="1" si="308"/>
        <v>7.5724466578411795E-2</v>
      </c>
      <c r="EP144" s="305">
        <f t="shared" ca="1" si="309"/>
        <v>7.5724466578411795E-2</v>
      </c>
      <c r="EQ144" s="305">
        <f t="shared" ca="1" si="310"/>
        <v>7.5724466578411795E-2</v>
      </c>
      <c r="ER144" s="305">
        <f t="shared" ca="1" si="311"/>
        <v>2.4512184206626399E-2</v>
      </c>
      <c r="ES144" s="305">
        <f t="shared" ca="1" si="312"/>
        <v>6.0427466668767582E-2</v>
      </c>
      <c r="ET144" s="299">
        <f t="shared" ca="1" si="313"/>
        <v>3.5725790331312943</v>
      </c>
      <c r="EU144" s="302">
        <f t="shared" ca="1" si="314"/>
        <v>30</v>
      </c>
      <c r="EV144" s="304">
        <f t="shared" ca="1" si="315"/>
        <v>0.22717339973523537</v>
      </c>
      <c r="EW144" s="305">
        <f t="shared" ca="1" si="316"/>
        <v>0.22717339973523537</v>
      </c>
      <c r="EX144" s="305">
        <f t="shared" ca="1" si="317"/>
        <v>0.22717339973523537</v>
      </c>
      <c r="EY144" s="305">
        <f t="shared" ca="1" si="318"/>
        <v>0.22717339973523534</v>
      </c>
      <c r="EZ144" s="305">
        <f t="shared" ca="1" si="319"/>
        <v>7.3536552619879195E-2</v>
      </c>
      <c r="FA144" s="305">
        <f t="shared" ca="1" si="320"/>
        <v>0.18713176970642995</v>
      </c>
      <c r="FB144" s="305">
        <f t="shared" ca="1" si="321"/>
        <v>0.22717339973523537</v>
      </c>
      <c r="FC144" s="305">
        <f t="shared" ca="1" si="322"/>
        <v>0.22717339973523537</v>
      </c>
      <c r="FD144" s="305">
        <f t="shared" ca="1" si="323"/>
        <v>0.22717339973523537</v>
      </c>
      <c r="FE144" s="305">
        <f t="shared" ca="1" si="324"/>
        <v>7.3536552619879195E-2</v>
      </c>
      <c r="FF144" s="305">
        <f t="shared" ca="1" si="325"/>
        <v>0.18713176970642995</v>
      </c>
      <c r="FG144" s="299">
        <f t="shared" ca="1" si="326"/>
        <v>5.8584388414756106</v>
      </c>
      <c r="FH144" s="302">
        <f t="shared" ca="1" si="327"/>
        <v>-2.2858598083443162</v>
      </c>
      <c r="FI144" s="248">
        <f t="shared" ca="1" si="328"/>
        <v>-749.23792314233833</v>
      </c>
      <c r="FJ144" s="363">
        <f t="shared" ca="1" si="329"/>
        <v>0.45523711593682986</v>
      </c>
      <c r="FK144" s="378">
        <f t="shared" ca="1" si="330"/>
        <v>0.26463243328202152</v>
      </c>
      <c r="FL144" s="508">
        <f t="shared" ca="1" si="331"/>
        <v>-0.6265892425487094</v>
      </c>
      <c r="FM144" s="508">
        <f t="shared" ca="1" si="332"/>
        <v>-0.4456760835885078</v>
      </c>
      <c r="FN144" s="508">
        <f t="shared" ca="1" si="333"/>
        <v>-4.6750542293040196</v>
      </c>
      <c r="FO144" s="508">
        <f t="shared" ca="1" si="334"/>
        <v>-0.49479950581199017</v>
      </c>
      <c r="FP144" s="353">
        <f t="shared" ca="1" si="335"/>
        <v>226.04025416130747</v>
      </c>
      <c r="FQ144" s="356">
        <f t="shared" ca="1" si="336"/>
        <v>19.541009456753613</v>
      </c>
      <c r="FR144" s="380">
        <f t="shared" ca="1" si="337"/>
        <v>26.1</v>
      </c>
      <c r="FS144" s="299">
        <f t="shared" ca="1" si="338"/>
        <v>26.1</v>
      </c>
      <c r="FT144" s="299">
        <f t="shared" ca="1" si="339"/>
        <v>26.1</v>
      </c>
      <c r="FU144" s="299">
        <f t="shared" ca="1" si="340"/>
        <v>26.1</v>
      </c>
      <c r="FV144" s="299">
        <f t="shared" ca="1" si="341"/>
        <v>26.1</v>
      </c>
      <c r="FW144" s="850">
        <f t="shared" ca="1" si="342"/>
        <v>0.1575</v>
      </c>
      <c r="FX144" s="851">
        <f t="shared" ca="1" si="343"/>
        <v>0.5</v>
      </c>
      <c r="FY144" s="851">
        <f t="shared" ca="1" si="344"/>
        <v>0</v>
      </c>
      <c r="FZ144" s="201">
        <f t="shared" ca="1" si="345"/>
        <v>0</v>
      </c>
      <c r="GA144" s="201">
        <f t="shared" ca="1" si="346"/>
        <v>0</v>
      </c>
      <c r="GB144" s="201">
        <f t="shared" ca="1" si="347"/>
        <v>0</v>
      </c>
      <c r="GC144" s="201">
        <f t="shared" ca="1" si="348"/>
        <v>0</v>
      </c>
      <c r="GD144" s="850">
        <f t="shared" ca="1" si="349"/>
        <v>0.24217339973523538</v>
      </c>
      <c r="GE144" s="866">
        <f t="shared" ca="1" si="350"/>
        <v>0.22717339973523537</v>
      </c>
      <c r="GF144" s="866">
        <f t="shared" ca="1" si="351"/>
        <v>0.22967339973523537</v>
      </c>
      <c r="GG144" s="866">
        <f t="shared" ca="1" si="352"/>
        <v>9.1036552619879196E-2</v>
      </c>
      <c r="GH144" s="866">
        <f t="shared" ca="1" si="353"/>
        <v>0.18963176970642995</v>
      </c>
      <c r="GI144" s="302">
        <f t="shared" ca="1" si="354"/>
        <v>11.934115322840643</v>
      </c>
      <c r="GJ144" s="299">
        <f t="shared" ca="1" si="355"/>
        <v>6.9810071843336505</v>
      </c>
      <c r="GK144" s="299">
        <f t="shared" ca="1" si="356"/>
        <v>7.8302620358616775</v>
      </c>
      <c r="GL144" s="299">
        <f t="shared" ca="1" si="357"/>
        <v>1.9729177144884438</v>
      </c>
      <c r="GM144" s="299">
        <f t="shared" ca="1" si="358"/>
        <v>6.9378782342043728</v>
      </c>
      <c r="GN144" s="302">
        <f t="shared" ca="1" si="359"/>
        <v>0.75366013420712541</v>
      </c>
      <c r="GO144" s="299">
        <f t="shared" ca="1" si="360"/>
        <v>0.63749789326307271</v>
      </c>
      <c r="GP144" s="299">
        <f t="shared" ca="1" si="361"/>
        <v>0.66346366159448411</v>
      </c>
      <c r="GQ144" s="299">
        <f t="shared" ca="1" si="362"/>
        <v>0.38414755349242813</v>
      </c>
      <c r="GR144" s="299">
        <f t="shared" ca="1" si="363"/>
        <v>0.65300756088939549</v>
      </c>
      <c r="GS144" s="302">
        <f t="shared" ca="1" si="364"/>
        <v>-0.49634403420754847</v>
      </c>
      <c r="GT144" s="299">
        <f t="shared" ca="1" si="365"/>
        <v>-0.37958294067956277</v>
      </c>
      <c r="GU144" s="299">
        <f t="shared" ca="1" si="366"/>
        <v>-0.40421377053671148</v>
      </c>
      <c r="GV144" s="299">
        <f t="shared" ca="1" si="367"/>
        <v>-0.22907798380734945</v>
      </c>
      <c r="GW144" s="299">
        <f t="shared" ca="1" si="368"/>
        <v>-0.42832116822670319</v>
      </c>
      <c r="GX144" s="303">
        <f t="shared" ca="1" si="369"/>
        <v>1825.4383529180411</v>
      </c>
      <c r="GY144" s="303">
        <f t="shared" ca="1" si="370"/>
        <v>203.39286892354178</v>
      </c>
      <c r="GZ144" s="303">
        <f t="shared" ca="1" si="371"/>
        <v>285.17007249882562</v>
      </c>
      <c r="HA144" s="303">
        <f t="shared" ca="1" si="372"/>
        <v>215.55488887785626</v>
      </c>
      <c r="HB144" s="303">
        <f t="shared" ca="1" si="373"/>
        <v>2274.0333682032751</v>
      </c>
      <c r="HC144" s="303">
        <f t="shared" ca="1" si="374"/>
        <v>1059.0562589352646</v>
      </c>
      <c r="HD144" s="303">
        <f t="shared" ca="1" si="375"/>
        <v>11.39936937555038</v>
      </c>
      <c r="HE144" s="303">
        <f t="shared" ca="1" si="376"/>
        <v>58.39638690481484</v>
      </c>
      <c r="HF144" s="303">
        <f t="shared" ca="1" si="377"/>
        <v>0</v>
      </c>
      <c r="HG144" s="852">
        <f t="shared" ca="1" si="378"/>
        <v>538.86452142085022</v>
      </c>
    </row>
    <row r="145" spans="1:215" x14ac:dyDescent="0.25">
      <c r="A145" s="244">
        <f t="shared" ca="1" si="379"/>
        <v>40513</v>
      </c>
      <c r="B145" s="13">
        <f t="shared" ref="B145:B160" ca="1" si="415">YEAR(A145)</f>
        <v>2010</v>
      </c>
      <c r="C145" s="619">
        <f t="shared" ref="C145:C160" ca="1" si="416">MONTH(A145)</f>
        <v>12</v>
      </c>
      <c r="D145" s="195">
        <f t="shared" ref="D145:D208" ca="1" si="417">Holiday(B145,C145)</f>
        <v>40537</v>
      </c>
      <c r="E145" s="469">
        <f t="shared" ref="E145:E208" ca="1" si="418">IF(OR(BegDate&gt;=A146,EndDate&lt;A145,AND(VolumeMonthlyOverFlag,INDEX(VolumeMonthlyOver,C145)=0),NOT(INDEX(MonthKnockOutTable,C145))),"",MAX(A145,BegDate))</f>
        <v>40513</v>
      </c>
      <c r="F145" s="465">
        <f t="shared" ref="F145:F208" ca="1" si="419">IF(E145="","",MIN(A146-1,EndDate))</f>
        <v>40543</v>
      </c>
      <c r="G145" s="522">
        <f t="shared" ca="1" si="380"/>
        <v>1</v>
      </c>
      <c r="H145" s="519">
        <f t="shared" ca="1" si="381"/>
        <v>1</v>
      </c>
      <c r="I145" s="724">
        <f t="shared" ref="I145:I160" ca="1" si="420">VLOOKUP(A145,IRTable,2)</f>
        <v>7.4202068996643999E-2</v>
      </c>
      <c r="J145" s="198">
        <f t="shared" ref="J145:J208" ca="1" si="421">(1+I145/2)^(-2*(DATE(B146,C146,20)-DateToday)/365.25)</f>
        <v>0.45243206669760117</v>
      </c>
      <c r="K145" s="200">
        <f t="shared" ca="1" si="389"/>
        <v>30</v>
      </c>
      <c r="L145" s="201">
        <f t="shared" ca="1" si="390"/>
        <v>31.45</v>
      </c>
      <c r="M145" s="206">
        <f t="shared" ca="1" si="391"/>
        <v>32.9</v>
      </c>
      <c r="N145" s="851">
        <f t="shared" ca="1" si="395"/>
        <v>25.767498397827143</v>
      </c>
      <c r="O145" s="201">
        <f t="shared" ca="1" si="396"/>
        <v>26.854998397827142</v>
      </c>
      <c r="P145" s="206">
        <f t="shared" ca="1" si="397"/>
        <v>27.942498397827141</v>
      </c>
      <c r="Q145" s="201">
        <f t="shared" ca="1" si="398"/>
        <v>19.04999923706054</v>
      </c>
      <c r="R145" s="201">
        <f t="shared" ca="1" si="399"/>
        <v>23.34999923706054</v>
      </c>
      <c r="S145" s="201">
        <f t="shared" ca="1" si="400"/>
        <v>27.649999237060541</v>
      </c>
      <c r="T145" s="851">
        <f t="shared" ca="1" si="392"/>
        <v>20.674999237060543</v>
      </c>
      <c r="U145" s="201">
        <f t="shared" ca="1" si="393"/>
        <v>21.399999237060545</v>
      </c>
      <c r="V145" s="206">
        <f t="shared" ca="1" si="394"/>
        <v>22.124999237060546</v>
      </c>
      <c r="W145" s="230">
        <f t="shared" ca="1" si="382"/>
        <v>7.8447144028422094E-2</v>
      </c>
      <c r="X145" s="231">
        <f t="shared" ca="1" si="383"/>
        <v>0.15689428805684419</v>
      </c>
      <c r="Y145" s="232">
        <f t="shared" ca="1" si="384"/>
        <v>0.23534143208526628</v>
      </c>
      <c r="Z145" s="231">
        <f t="shared" ca="1" si="404"/>
        <v>7.8447144028422094E-2</v>
      </c>
      <c r="AA145" s="231">
        <f t="shared" ca="1" si="405"/>
        <v>0.15689428805684419</v>
      </c>
      <c r="AB145" s="232">
        <f t="shared" ca="1" si="406"/>
        <v>0.23534143208526628</v>
      </c>
      <c r="AC145" s="231">
        <f t="shared" ca="1" si="407"/>
        <v>7.8447144028422094E-2</v>
      </c>
      <c r="AD145" s="231">
        <f t="shared" ca="1" si="408"/>
        <v>0.15689428805684419</v>
      </c>
      <c r="AE145" s="232">
        <f t="shared" ref="AE145:AE208" ca="1" si="422">VLOOKUP($A145,BigTable,16,0)</f>
        <v>0.23534143208526628</v>
      </c>
      <c r="AF145" s="231">
        <f t="shared" ca="1" si="385"/>
        <v>2.4512184206626399E-2</v>
      </c>
      <c r="AG145" s="231">
        <f t="shared" ca="1" si="386"/>
        <v>4.9024368413252799E-2</v>
      </c>
      <c r="AH145" s="232">
        <f t="shared" ca="1" si="387"/>
        <v>7.3536552619879195E-2</v>
      </c>
      <c r="AI145" s="233">
        <f t="shared" ref="AI145:AI208" ca="1" si="423">VLOOKUP($A145,BigTable,22,0)*INDEX(IntraMonthVolScalars,C145)+AJ145</f>
        <v>1</v>
      </c>
      <c r="AJ145" s="233">
        <f t="shared" ref="AJ145:AJ208" ca="1" si="424">VLOOKUP($A145,BigTable,23,0)*INDEX(IntraMonthVolScalars,C145)</f>
        <v>1.25</v>
      </c>
      <c r="AK145" s="234">
        <f t="shared" ref="AK145:AK208" ca="1" si="425">VLOOKUP($A145,BigTable,24,0)*INDEX(IntraMonthVolScalars,C145)+AJ145</f>
        <v>1.6</v>
      </c>
      <c r="AL145" s="919">
        <f t="shared" ref="AL145:AL208" ca="1" si="426">VLOOKUP($A145,BigTable,22,0)*INDEX(IntraMonthVolScalars,C145)+AM145</f>
        <v>1</v>
      </c>
      <c r="AM145" s="233">
        <f t="shared" ref="AM145:AM208" ca="1" si="427">VLOOKUP($A145,BigTable,23,0)*INDEX(IntraMonthVolScalars,C145)</f>
        <v>1.25</v>
      </c>
      <c r="AN145" s="234">
        <f t="shared" ref="AN145:AN208" ca="1" si="428">VLOOKUP($A145,BigTable,24,0)*INDEX(IntraMonthVolScalars,C145)+AM145</f>
        <v>1.6</v>
      </c>
      <c r="AO145" s="233">
        <f t="shared" ref="AO145:AO208" ca="1" si="429">VLOOKUP($A145,BigTable,22,0)*INDEX(IntraMonthVolScalars,C145)+AP145</f>
        <v>1</v>
      </c>
      <c r="AP145" s="233">
        <f t="shared" ref="AP145:AP208" ca="1" si="430">VLOOKUP($A145,BigTable,23,0)*INDEX(IntraMonthVolScalars,C145)</f>
        <v>1.25</v>
      </c>
      <c r="AQ145" s="233">
        <f t="shared" ref="AQ145:AQ208" ca="1" si="431">VLOOKUP($A145,BigTable,24,0)*INDEX(IntraMonthVolScalars,C145)+AP145</f>
        <v>1.6</v>
      </c>
      <c r="AR145" s="919">
        <f t="shared" ref="AR145:AR208" ca="1" si="432">VLOOKUP($A145,BigTable,26,0)*INDEX(IntraMonthVolScalars,C145)+AS145</f>
        <v>0.15</v>
      </c>
      <c r="AS145" s="233">
        <f t="shared" ref="AS145:AS208" ca="1" si="433">VLOOKUP($A145,BigTable,27,0)*INDEX(IntraMonthVolScalars,C145)</f>
        <v>0.3</v>
      </c>
      <c r="AT145" s="235">
        <f t="shared" ref="AT145:AT208" ca="1" si="434">VLOOKUP($A145,BigTable,28,0)*INDEX(IntraMonthVolScalars,C145)+AS145</f>
        <v>0.5</v>
      </c>
      <c r="AU145" s="946">
        <f t="shared" ref="AU145:AU208" si="435">IF(CorrPeakOffPeakOverFlag,INDEX(CorrPeakOffPeakOver,C145),CorrPeakOffPeak)</f>
        <v>0.5</v>
      </c>
      <c r="AV145" s="13">
        <f t="shared" ref="AV145:AV208" ca="1" si="436">AZ145-SUM(AW145:AY145)</f>
        <v>23</v>
      </c>
      <c r="AW145" s="210">
        <f t="shared" ref="AW145:AW208" ca="1" si="437">IF(E145="",0,INT((F145-MOD(F145,7)-E145)/7)+1-IF(AY145,IF(WEEKDAY(D145)=7,1,0),0))</f>
        <v>3</v>
      </c>
      <c r="AX145" s="210">
        <f t="shared" ref="AX145:AX208" ca="1" si="438">IF(E145="",0,INT((F145-MOD(F145-1,7)-E145)/7)+1-IF(AY145,IF(WEEKDAY(D145)=1,1,0),0))</f>
        <v>4</v>
      </c>
      <c r="AY145" s="210">
        <f t="shared" ref="AY145:AY208" ca="1" si="439">IF(OR(E145="",D145="",D145&lt;BegDate,D145&gt;EndDate),0,1)</f>
        <v>1</v>
      </c>
      <c r="AZ145" s="13">
        <f t="shared" ref="AZ145:AZ208" ca="1" si="440">IF(E145="",0,F145-E145+1)</f>
        <v>31</v>
      </c>
      <c r="BA145" s="357">
        <f ca="1"/>
        <v>368</v>
      </c>
      <c r="BB145" s="925">
        <f ca="1"/>
        <v>48</v>
      </c>
      <c r="BC145" s="925">
        <f ca="1"/>
        <v>80</v>
      </c>
      <c r="BD145" s="928">
        <f ca="1"/>
        <v>248</v>
      </c>
      <c r="BE145" s="200">
        <f ca="1"/>
        <v>0.9999692440032959</v>
      </c>
      <c r="BF145" s="851">
        <f ca="1"/>
        <v>0.9999692440032959</v>
      </c>
      <c r="BG145" s="851">
        <f ca="1"/>
        <v>0.9999692440032959</v>
      </c>
      <c r="BH145" s="933">
        <f ca="1"/>
        <v>1.0000000074505806</v>
      </c>
      <c r="BI145" s="357">
        <f ca="1"/>
        <v>368</v>
      </c>
      <c r="BJ145" s="925">
        <f ca="1"/>
        <v>48</v>
      </c>
      <c r="BK145" s="925">
        <f ca="1"/>
        <v>80</v>
      </c>
      <c r="BL145" s="928">
        <f ca="1"/>
        <v>248</v>
      </c>
      <c r="BM145" s="200">
        <f ca="1"/>
        <v>0.9999692440032959</v>
      </c>
      <c r="BN145" s="851">
        <f ca="1"/>
        <v>0.9999692440032959</v>
      </c>
      <c r="BO145" s="851">
        <f ca="1"/>
        <v>0.9999692440032959</v>
      </c>
      <c r="BP145" s="933">
        <f ca="1"/>
        <v>1.0000000074505806</v>
      </c>
      <c r="BQ145" s="357">
        <f t="shared" ref="BQ145:BQ208" ca="1" si="441">SUM(BA145:BD145)</f>
        <v>744</v>
      </c>
      <c r="BR145" s="361">
        <f t="shared" ref="BR145:BR208" ca="1" si="442">SUM(BI145:BL145)</f>
        <v>744</v>
      </c>
      <c r="BS145" s="357">
        <f t="shared" ref="BS145:BS208" ca="1" si="443">BQ145*J145</f>
        <v>336.60945762301526</v>
      </c>
      <c r="BT145" s="302">
        <f t="shared" ref="BT145:BT208" ca="1" si="444">IF(BS145,(IF(BA145,K145*BE145*BA145,0)+IF(BD145,T145*BH145*BD145,0)+IF(BB145,N145*BF145*BB145,0)+IF(BC145,Q145*BG145*BC145,0))/BQ145,0)</f>
        <v>25.44061189847897</v>
      </c>
      <c r="BU145" s="299">
        <f t="shared" ref="BU145:BU208" ca="1" si="445">IF(BS145,(IF(BA145,L145*BE145*BA145,0)+IF(BD145,U145*BH145*BD145,0)+IF(BB145,O145*BF145*BB145,0)+IF(BC145,R145*BG145*BC145,0))/BQ145,0)</f>
        <v>26.931971313013754</v>
      </c>
      <c r="BV145" s="299">
        <f t="shared" ref="BV145:BV208" ca="1" si="446">IF(BS145,(IF(BA145,M145*BE145*BA145,0)+IF(BD145,V145*BH145*BD145,0)+IF(BB145,P145*BF145*BB145,0)+IF(BC145,S145*BG145*BC145,0))/BQ145,0)</f>
        <v>28.423330727548542</v>
      </c>
      <c r="BW145" s="299">
        <f t="shared" ref="BW145:BW208" ca="1" si="447">IF(BS145,SPrice*G145,0)</f>
        <v>32.659889647739881</v>
      </c>
      <c r="BX145" s="380">
        <f t="shared" ref="BX145:BX208" ca="1" si="448">(IF(OVolType&lt;&gt;2,A145+14,IF(OptExpDateShift,ShiftBack(A145,OptExpDateShift,D144),A145))-DateToday)/365.25</f>
        <v>10.74880219028063</v>
      </c>
      <c r="BY145" s="363">
        <f t="shared" ref="BY145:BY208" ca="1" si="449">BI145*J145</f>
        <v>166.49500054471724</v>
      </c>
      <c r="BZ145" s="353">
        <f t="shared" ref="BZ145:BZ208" ca="1" si="450">BJ145*J145</f>
        <v>21.716739201484856</v>
      </c>
      <c r="CA145" s="353">
        <f t="shared" ref="CA145:CA208" ca="1" si="451">BK145*J145</f>
        <v>36.194565335808093</v>
      </c>
      <c r="CB145" s="353">
        <f t="shared" ref="CB145:CB208" ca="1" si="452">SUM(BY145:CA145)</f>
        <v>224.40630508201019</v>
      </c>
      <c r="CC145" s="353">
        <f t="shared" ref="CC145:CC208" ca="1" si="453">BL145*J145</f>
        <v>112.2031525410051</v>
      </c>
      <c r="CD145" s="353">
        <f t="shared" ref="CD145:CD208" ca="1" si="454">CB145+CC145</f>
        <v>336.60945762301526</v>
      </c>
      <c r="CE145" s="302">
        <f t="shared" ref="CE145:CE208" ca="1" si="455">IF(CD145,IF(OPriceCurve,IF(OBuySell=OCallPut,K145,M145),L145)*BM145,0)</f>
        <v>32.898988127708435</v>
      </c>
      <c r="CF145" s="299">
        <f t="shared" ref="CF145:CF208" ca="1" si="456">IF(CD145,IF(OPriceCurve,IF(OBuySell=OCallPut,N145,P145),O145)*BN145,0)</f>
        <v>27.941638998438513</v>
      </c>
      <c r="CG145" s="299">
        <f t="shared" ref="CG145:CG208" ca="1" si="457">IF(CD145,IF(OPriceCurve,IF(OBuySell=OCallPut,Q145,S145),R145)*BO145,0)</f>
        <v>27.649148833775136</v>
      </c>
      <c r="CH145" s="299">
        <f t="shared" ref="CH145:CH208" ca="1" si="458">IF(CB145,(CE145*BY145+CF145*BZ145+CG145*CA145)/CB145,0)</f>
        <v>31.572496390370492</v>
      </c>
      <c r="CI145" s="299">
        <f t="shared" ref="CI145:CI208" ca="1" si="459">IF(CD145,IF(OPriceCurve,IF(OBuySell=OCallPut,T145,V145),U145)*BP145,0)</f>
        <v>22.124999401904635</v>
      </c>
      <c r="CJ145" s="299">
        <f t="shared" ref="CJ145:CJ208" ca="1" si="460">IF(CD145,(CH145*CB145+CI145*CC145)/CD145,0)</f>
        <v>28.423330727548539</v>
      </c>
      <c r="CK145" s="299">
        <f t="shared" ref="CK145:CK208" ca="1" si="461">IF(CD145,OStrike*G145,0)</f>
        <v>32.659889647739881</v>
      </c>
      <c r="CL145" s="377">
        <f t="shared" ref="CL145:CL208" ca="1" si="462">IF(CD145,IF(OVolType&lt;&gt;2,SQRT(IF(OVolOverMonthlyPeak,OVolOverMonthlyPeak,IF(OVolCurve,IF(OBuySell,W145,Y145),X145))^2*(1-15/365.25/BX145)+IF(OVolOverDailyPeak,OVolOverDailyPeak,IF(OVolCurve,IF(OBuySell,AI145,AK145),AJ145))^2*15/365.25/BX145),IF(OVolOverMonthlyPeak,OVolOverMonthlyPeak,IF(OVolCurve,IF(OBuySell,W145,Y145),X145))),"")</f>
        <v>0.23534143208526628</v>
      </c>
      <c r="CM145" s="305">
        <f t="shared" ref="CM145:CM208" ca="1" si="463">IF(CD145,IF(OVolType&lt;&gt;2,SQRT(IF(OVolOverMonthlyPeak,OVolOverMonthlyPeak,IF(OVolCurve,IF(OBuySell,Z145,AB145),AA145))^2*(1-15/365.25/BX145)+IF(OVolOverDailyPeak,OVolOverDailyPeak,IF(OVolCurve,IF(OBuySell,AL145,AN145),AM145))^2*15/365.25/BX145),IF(OVolOverMonthlyPeak,OVolOverMonthlyPeak,IF(OVolCurve,IF(OBuySell,Z145,AB145),AA145))),"")</f>
        <v>0.23534143208526628</v>
      </c>
      <c r="CN145" s="305">
        <f t="shared" ref="CN145:CN208" ca="1" si="464">IF(CD145,IF(OVolType&lt;&gt;2,SQRT(IF(OVolOverMonthlyPeak,OVolOverMonthlyPeak,IF(OVolCurve,IF(OBuySell,AC145,AE145),AD145))^2*(1-15/365.25/BX145)+IF(OVolOverDailyPeak,OVolOverDailyPeak,IF(OVolCurve,IF(OBuySell,AO145,AQ145),AP145))^2*15/365.25/BX145),IF(OVolOverMonthlyPeak,OVolOverMonthlyPeak,IF(OVolCurve,IF(OBuySell,AC145,AE145),AD145))),"")</f>
        <v>0.23534143208526628</v>
      </c>
      <c r="CO145" s="305">
        <f t="shared" ref="CO145:CO208" ca="1" si="465">IF(CD145,IF(CB145,SQRT(LN(1+((CE145*BY145)^2*(EXP(CL145^2*BX145)-1)+(CF145*BZ145)^2*(EXP(CM145^2*BX145)-1)+(CG145*CA145)^2*(EXP(CN145^2*BX145)-1)+2*CE145*BY145*CF145*BZ145*(EXP(CL145*CM145*BX145)-1)+2*CF145*BZ145*CG145*CA145*(EXP(CM145*CN145*BX145)-1)+2*CG145*CA145*CE145*BY145*(EXP(CN145*CL145*BX145)-1))/(CH145*CB145)^2)/BX145),0),"")</f>
        <v>0.23534143208526626</v>
      </c>
      <c r="CP145" s="305">
        <f t="shared" ref="CP145:CP208" ca="1" si="466">IF(CD145,IF(OVolType&lt;&gt;2,SQRT(IF(OVolOverMonthlyOffPeak,OVolOverMonthlyOffPeak,IF(OVolCurve,IF(OBuySell,AF145,AH145),AG145))^2*(1-15/365.25/BX145)+IF(OVolOverDailyOffPeak,OVolOverDailyOffPeak,IF(OVolCurve,IF(OBuySell,AR145,AT145),AS145))^2*15/365.25/BX145),IF(OVolOverMonthlyOffPeak,OVolOverMonthlyOffPeak,IF(OVolCurve,IF(OBuySell,AF145,AH145),AG145))),"")</f>
        <v>7.3536552619879195E-2</v>
      </c>
      <c r="CQ145" s="305">
        <f t="shared" ref="CQ145:CQ208" ca="1" si="467">IF(CD145,SQRT(LN(1+((CH145*CB145)^2*(EXP(CO145^2*BX145)-1)+(CI145*CC145)^2*(EXP(CP145^2*BX145)-1)+2*CH145*CB145*CI145*CC145*(EXP(AU145*CO145*CP145*BX145)-1))/(CH145*CB145+CI145*CC145)^2)/BX145),"")</f>
        <v>0.19223387917258536</v>
      </c>
      <c r="CR145" s="775">
        <f t="shared" ref="CR145:CR208" ca="1" si="468">IF(CD145,CL145+IF(OVolSmile,VLOOKUP(MAX(-5,CK145-CE145),IF(OVolSmile=1,VolSmileBook,VolSmileModel),2),0),"")</f>
        <v>0.23534143208526628</v>
      </c>
      <c r="CS145" s="305">
        <f t="shared" ref="CS145:CS208" ca="1" si="469">IF(CD145,CM145+IF(OVolSmile,VLOOKUP(MAX(-5,CK145-CF145),IF(OVolSmile=1,VolSmileBook,VolSmileModel),2),0),"")</f>
        <v>0.25034143208526627</v>
      </c>
      <c r="CT145" s="305">
        <f t="shared" ref="CT145:CT208" ca="1" si="470">IF(CD145,CN145+IF(OVolSmile,VLOOKUP(MAX(-5,CK145-CG145),IF(OVolSmile=1,VolSmileBook,VolSmileModel),2),0),"")</f>
        <v>0.25284143208526627</v>
      </c>
      <c r="CU145" s="305">
        <f t="shared" ref="CU145:CU208" ca="1" si="471">IF(CD145,CP145+IF(OVolSmile,VLOOKUP(MAX(-5,CK145-CI145),IF(OVolSmile=1,VolSmileBook,VolSmileModel),2),0),"")</f>
        <v>0.13353655261987918</v>
      </c>
      <c r="CV145" s="770">
        <f t="shared" ref="CV145:CV208" ca="1" si="472">IF(CD145,CQ145+IF(OVolSmile,VLOOKUP(MAX(-5,CK145-CJ145),IF(OVolSmile=1,VolSmileBook,VolSmileModel),2),0),"")</f>
        <v>0.20723387917258534</v>
      </c>
      <c r="CW145" s="302">
        <f t="shared" ref="CW145:CW208" ca="1" si="473">IF(BY145,UndiscountedOption(CE145,CK145,CR145,BX145,OCallPut,0),0)</f>
        <v>9.965141192203415</v>
      </c>
      <c r="CX145" s="299">
        <f t="shared" ref="CX145:CX208" ca="1" si="474">IF(BZ145,UndiscountedOption(CF145,CK145,CS145,BX145,OCallPut,0),0)</f>
        <v>7.4546664197152328</v>
      </c>
      <c r="CY145" s="299">
        <f t="shared" ref="CY145:CY208" ca="1" si="475">IF(CA145,UndiscountedOption(CG145,CK145,CT145,BX145,OCallPut,0),0)</f>
        <v>7.3720821231502889</v>
      </c>
      <c r="CZ145" s="299">
        <f t="shared" ref="CZ145:CZ208" ca="1" si="476">IF(CC145,UndiscountedOption(CI145,CK145,CU145,BX145,OCallPut,0),0)</f>
        <v>1.1873141383544281</v>
      </c>
      <c r="DA145" s="774">
        <f t="shared" ref="DA145:DA208" ca="1" si="477">IF(CD145,UndiscountedOption(CJ145,CK145,CV145,BX145,OCallPut,0),0)</f>
        <v>6.1660366030333371</v>
      </c>
      <c r="DB145" s="303">
        <f t="shared" ref="DB145:DB208" ca="1" si="478">IF(CD145,IF(OVolType,DA145*CD145,CW145*BY145+CX145*BZ145+CY145*CA145+CZ145*CC145),0)</f>
        <v>2075.5462366307111</v>
      </c>
      <c r="DC145" s="248">
        <f t="shared" ref="DC145:DC208" ca="1" si="479">IF(CD145,IF(OVolType,UndiscountedOption(CJ145,CK145,CV145,BX145,OCallPut,1)*CD145,IF(BY145,UndiscountedOption(CE145,CK145,CR145,BX145,OCallPut,1),0)*BY145+IF(BZ145,UndiscountedOption(CF145,CK145,CS145,BX145,OCallPut,1),0)*BZ145+IF(CA145,UndiscountedOption(CG145,CK145,CT145,BX145,OCallPut,1),0)*CA145+IF(CC145,UndiscountedOption(CI145,CK145,CU145,BX145,OCallPut,1),0)*CC145),0)</f>
        <v>186.40780976624367</v>
      </c>
      <c r="DD145" s="778">
        <f t="shared" ref="DD145:DD208" ca="1" si="480">IF(CD145,IF(OVolType,IF(OCallPut,IF(CJ145&gt;CK145,CJ145-CK145,0),IF(CK145&gt;CJ145,CK145-CJ145,0))*CD145,IF(OCallPut,IF(CE145&gt;CK145,CE145-CK145,0)*BY145+IF(CF145&gt;CK145,CF145-CK145,0)*BZ145+IF(CG145&gt;CK145,CG145-CK145,0)*CA145+IF(CI145&gt;CK145,CI145-CK145,0)*CC145,IF(CK145&gt;CE145,CK145-CE145,0)*BY145+IF(CK145&gt;CF145,CK145-CF145,0)*BZ145+IF(CK145&gt;CG145,CK145-CG145,0)*CA145+IF(CK145&gt;CI145,CK145-CI145,0)*CC145)),0)</f>
        <v>0</v>
      </c>
      <c r="DE145" s="363">
        <f t="shared" ref="DE145:DE208" ca="1" si="481">IF(E145&lt;&gt;"",INDEX(MaxMWTable,C145,2)*H145*J145,0)</f>
        <v>0.45243206669760117</v>
      </c>
      <c r="DF145" s="378">
        <f t="shared" ref="DF145:DF208" ca="1" si="482">IF(BY145,(LN(CE145/CK145)-CR145^2*BX145/2)/CR145/SQRT(BX145),"")</f>
        <v>-0.37633411414258805</v>
      </c>
      <c r="DG145" s="508">
        <f t="shared" ref="DG145:DG208" ca="1" si="483">IF(BZ145,(LN(CF145/CK145)-CS145^2*BX145/2)/CS145/SQRT(BX145),"")</f>
        <v>-0.60048219010075199</v>
      </c>
      <c r="DH145" s="508">
        <f t="shared" ref="DH145:DH208" ca="1" si="484">IF(CA145,(LN(CG145/CK145)-CT145^2*BX145/2)/CT145/SQRT(BX145),"")</f>
        <v>-0.61539512876019531</v>
      </c>
      <c r="DI145" s="508">
        <f t="shared" ref="DI145:DI208" ca="1" si="485">IF(CC145,(LN(CI145/CK145)-CU145^2*BX145/2)/CU145/SQRT(BX145),"")</f>
        <v>-1.1084307087773082</v>
      </c>
      <c r="DJ145" s="508">
        <f t="shared" ref="DJ145:DJ208" ca="1" si="486">IF(CD145,(LN(CJ145/CK145)-CV145^2*BX145/2)/CV145/SQRT(BX145),"")</f>
        <v>-0.54420488935186306</v>
      </c>
      <c r="DK145" s="353">
        <f t="shared" ref="DK145:DK208" ca="1" si="487">IF(CD145,IF(OVolType,(-NORMSDIST(DJ145)+IF(OCallPut=1,0,1))*CD145,IF(BY145,(-NORMSDIST(DF145)+IF(OCallPut=1,0,1)),0)*BY145+IF(BZ145,(-NORMSDIST(DG145)+IF(OCallPut=1,0,1)),0)*BZ145+IF(CA145,(-NORMSDIST(DH145)+IF(OCallPut=1,0,1)),0)*CA145+IF(CC145,(-NORMSDIST(DI145)+IF(OCallPut=1,0,1)),0)*CC145),0)</f>
        <v>-98.67713482137016</v>
      </c>
      <c r="DL145" s="781">
        <f t="shared" ref="DL145:DL208" ca="1" si="488">IF(CD145,IF(OVolType,EXP(-0.5*DJ145^2)/CV145*CD145,IF(BY145,EXP(-0.5*DF145^2)/CR145,0)*BY145+IF(BZ145,EXP(-0.5*DG145^2)/CS145,0)*BZ145+IF(CA145,EXP(-0.5*DH145^2)/CT145,0)*CA145+IF(CC145,EXP(-0.5*DI145^2)/CU145,0)*CC145)/SQRT(2*3.14159*BX145)/CK145,0)</f>
        <v>5.2188036449131117</v>
      </c>
      <c r="DM145" s="303">
        <f t="shared" ref="DM145:DM208" ca="1" si="489">IF(CD145,IF(OVolType,UndiscountedOption(CJ145,CK145,OImpVol,BX145,OCallPut,0)*CD145,IF(BY145,UndiscountedOption(CE145,CK145,OImpVol,BX145,OCallPut,0),0)*BY145+IF(BZ145,UndiscountedOption(CF145,CK145,OImpVol,BX145,OCallPut,0),0)*BZ145+IF(CA145,UndiscountedOption(CG145,CK145,OImpVol,BX145,OCallPut,0),0)*CA145+IF(CC145,UndiscountedOption(CI145,CK145,OImpVol,BX145,OCallPut,0),0)*CC145),0)</f>
        <v>8530.3976007545662</v>
      </c>
      <c r="DN145" s="508">
        <f t="shared" ref="DN145:DN208" ca="1" si="490">IF(BY145,(LN(CE145/CK145)+OImpVol^2*BX145/2)/OImpVol/SQRT(BX145),"")</f>
        <v>1.6413294239074836</v>
      </c>
      <c r="DO145" s="508">
        <f t="shared" ref="DO145:DO208" ca="1" si="491">IF(BZ145,(LN(CF145/CK145)+OImpVol^2*BX145/2)/OImpVol/SQRT(BX145),"")</f>
        <v>1.5915083475732532</v>
      </c>
      <c r="DP145" s="508">
        <f t="shared" ref="DP145:DP208" ca="1" si="492">IF(CA145,(LN(CG145/CK145)+OImpVol^2*BX145/2)/OImpVol/SQRT(BX145),"")</f>
        <v>1.5882983416214644</v>
      </c>
      <c r="DQ145" s="508">
        <f t="shared" ref="DQ145:DQ208" ca="1" si="493">IF(CC145,(LN(CI145/CK145)+OImpVol^2*BX145/2)/OImpVol/SQRT(BX145),"")</f>
        <v>1.5203079243598097</v>
      </c>
      <c r="DR145" s="508">
        <f t="shared" ref="DR145:DR208" ca="1" si="494">IF(CD145,(LN(CJ145/CK145)+OImpVol^2*BX145/2)/OImpVol/SQRT(BX145),"")</f>
        <v>1.5967222617253332</v>
      </c>
      <c r="DS145" s="353">
        <f t="shared" ref="DS145:DS208" ca="1" si="495">IF(CD145,SQRT(BX145/2/3.14159)*IF(OVolType,CJ145*EXP(-0.5*DR145^2)*CD145,IF(BY145,CE145*EXP(-0.5*DN145^2),0)*BY145+IF(BZ145,CF145*EXP(-0.5*DO145^2),0)*BZ145+IF(CA145,CG145*EXP(-0.5*DP145^2),0)*CA145+IF(CC145,CI145*EXP(-0.5*DQ145^2),0)*CC145),0)</f>
        <v>3497.5980902653073</v>
      </c>
      <c r="DT145" s="353">
        <f t="shared" ref="DT145:DT208" ca="1" si="496">IF(CD145,IF(OVolType,CJ145*DR145*EXP(-0.5*DR145^2)*(LN(CJ145/CK145)/OImpVol^2-BX145/2)*CD145,IF(BY145,CE145*DN145*EXP(-0.5*DN145^2)*(LN(CE145/CK145)/OImpVol^2-BX145/2),0)*BY145+IF(BZ145,CF145*DO145*EXP(-0.5*DO145^2)*(LN(CF145/CK145)/OImpVol^2-BX145/2),0)*BZ145+IF(CA145,CG145*DP145*EXP(-0.5*DP145^2)*(LN(CG145/CK145)/OImpVol^2-BX145/2),0)*CA145+IF(CC145,CI145*DQ145*EXP(-0.5*DQ145^2)*(LN(CI145/CK145)/OImpVol^2-BX145/2),0)*CC145)/SQRT(2*3.14159),0)</f>
        <v>-9391.5244639604098</v>
      </c>
      <c r="DU145" s="380">
        <f t="shared" ca="1" si="388"/>
        <v>10.74880219028063</v>
      </c>
      <c r="DV145" s="303">
        <f t="shared" ref="DV145:DV208" ca="1" si="497">BA145*J145</f>
        <v>166.49500054471724</v>
      </c>
      <c r="DW145" s="303">
        <f t="shared" ref="DW145:DW208" ca="1" si="498">BB145*J145</f>
        <v>21.716739201484856</v>
      </c>
      <c r="DX145" s="303">
        <f t="shared" ref="DX145:DX208" ca="1" si="499">BC145*J145</f>
        <v>36.194565335808093</v>
      </c>
      <c r="DY145" s="303">
        <f t="shared" ref="DY145:DY208" ca="1" si="500">SUM(DV145:DX145)</f>
        <v>224.40630508201019</v>
      </c>
      <c r="DZ145" s="303">
        <f t="shared" ref="DZ145:DZ208" ca="1" si="501">BD145*J145</f>
        <v>112.2031525410051</v>
      </c>
      <c r="EA145" s="303">
        <f t="shared" ref="EA145:EA208" ca="1" si="502">DY145+DZ145</f>
        <v>336.60945762301526</v>
      </c>
      <c r="EB145" s="302">
        <f t="shared" ref="EB145:EB208" ca="1" si="503">IF(EA145,IF(CPriceCurve,IF(CBuySell,K145,M145),L145)*BE145,0)</f>
        <v>32.898988127708435</v>
      </c>
      <c r="EC145" s="299">
        <f t="shared" ref="EC145:EC208" ca="1" si="504">IF(EA145,IF(CPriceCurve,IF(CBuySell,N145,P145),O145)*BF145,0)</f>
        <v>27.941638998438513</v>
      </c>
      <c r="ED145" s="299">
        <f t="shared" ref="ED145:ED208" ca="1" si="505">IF(EA145,IF(CPriceCurve,IF(CBuySell,Q145,S145),R145)*BG145,0)</f>
        <v>27.649148833775136</v>
      </c>
      <c r="EE145" s="299">
        <f t="shared" ref="EE145:EE208" ca="1" si="506">IF(DY145,(EB145*DV145+EC145*DW145+ED145*DX145)/DY145,0)</f>
        <v>31.572496390370492</v>
      </c>
      <c r="EF145" s="299">
        <f t="shared" ref="EF145:EF208" ca="1" si="507">IF(EA145,IF(CPriceCurve,IF(CBuySell,T145,V145),U145)*BH145,0)</f>
        <v>22.124999401904635</v>
      </c>
      <c r="EG145" s="299">
        <f t="shared" ref="EG145:EG208" ca="1" si="508">IF(EA145,(EE145*DY145+EF145*DZ145)/EA145,0)</f>
        <v>28.423330727548539</v>
      </c>
      <c r="EH145" s="302">
        <f t="shared" ref="EH145:EH208" ca="1" si="509">IF(EA145,CFloor*G145,0)</f>
        <v>30</v>
      </c>
      <c r="EI145" s="304">
        <f t="shared" ref="EI145:EI208" ca="1" si="510">IF(EA145,IF(CVolType&lt;&gt;2,SQRT(IF(CBidOfferVolSpreadFlag,X145^2*(1-15/365.25/DU145)+AJ145^2*15/365.25/DU145,IF(CFloorVolOverMonthlyPeak,CFloorVolOverMonthlyPeak,IF(CFloorVolCurve,IF(CBuySell,Y145,W145),X145))^2*(1-15/365.25/DU145)+IF(CFloorVolOverDailyPeak,CFloorVolOverDailyPeak,IF(CFloorVolCurve,IF(CBuySell,AK145,AI145),AJ145))^2*15/365.25/DU145)),IF(CBidOfferVolSpreadFlag,X145,IF(CFloorVolOverMonthlyPeak,CFloorVolOverMonthlyPeak,IF(CFloorVolCurve,IF(CBuySell,Y145,W145),X145)))),"")</f>
        <v>7.8447144028422094E-2</v>
      </c>
      <c r="EJ145" s="305">
        <f t="shared" ref="EJ145:EJ208" ca="1" si="511">IF(EA145,IF(CVolType&lt;&gt;2,SQRT(IF(CBidOfferVolSpreadFlag,AA145^2*(1-15/365.25/DU145)+AM145^2*15/365.25/DU145,IF(CFloorVolOverMonthlyPeak,CFloorVolOverMonthlyPeak,IF(CFloorVolCurve,IF(CBuySell,AB145,Z145),AA145))^2*(1-15/365.25/DU145)+IF(CFloorVolOverDailyPeak,CFloorVolOverDailyPeak,IF(CFloorVolCurve,IF(CBuySell,AN145,AL145),AM145))^2*15/365.25/DU145)),IF(CBidOfferVolSpreadFlag,AA145,IF(CFloorVolOverMonthlyPeak,CFloorVolOverMonthlyPeak,IF(CFloorVolCurve,IF(CBuySell,AB145,Z145),AA145)))),"")</f>
        <v>7.8447144028422094E-2</v>
      </c>
      <c r="EK145" s="305">
        <f t="shared" ref="EK145:EK208" ca="1" si="512">IF(EA145,IF(CVolType&lt;&gt;2,SQRT(IF(CBidOfferVolSpreadFlag,AD145^2*(1-15/365.25/DU145)+AP145^2*15/365.25/DU145,IF(CFloorVolOverMonthlyPeak,CFloorVolOverMonthlyPeak,IF(CFloorVolCurve,IF(CBuySell,AE145,AC145),AD145))^2*(1-15/365.25/DU145)+IF(CFloorVolOverDailyPeak,CFloorVolOverDailyPeak,IF(CFloorVolCurve,IF(CBuySell,AQ145,AO145),AP145))^2*15/365.25/DU145)),IF(CBidOfferVolSpreadFlag,AD145,IF(CFloorVolOverMonthlyPeak,CFloorVolOverMonthlyPeak,IF(CFloorVolCurve,IF(CBuySell,AE145,AC145),AD145)))),"")</f>
        <v>7.8447144028422094E-2</v>
      </c>
      <c r="EL145" s="305">
        <f t="shared" ref="EL145:EL208" ca="1" si="513">IF(EA145,IF(DY145,SQRT(LN(1+((EB145*DV145)^2*(EXP(EI145^2*DU145)-1)+(EC145*DW145)^2*(EXP(EJ145^2*DU145)-1)+(ED145*DX145)^2*(EXP(EK145^2*DU145)-1)+2*EB145*DV145*EC145*DW145*(EXP(EI145*EJ145*DU145)-1)+2*EC145*DW145*ED145*DX145*(EXP(EJ145*EK145*DU145)-1)+2*ED145*DX145*EB145*DV145*(EXP(EK145*EI145*DU145)-1))/(EE145*DY145)^2)/DU145),0),"")</f>
        <v>7.844714402842215E-2</v>
      </c>
      <c r="EM145" s="305">
        <f t="shared" ref="EM145:EM208" ca="1" si="514">IF(EA145,IF(CVolType&lt;&gt;2,SQRT(IF(CBidOfferVolSpreadFlag,AG145^2*(1-15/365.25/DU145)+AS145^2*15/365.25/DU145,IF(CFloorVolOverMonthlyOffPeak,CFloorVolOverMonthlyOffPeak,IF(CFloorVolCurve,IF(CBuySell,AH145,AF145),AG145))^2*(1-15/365.25/DU145)+IF(CFloorVolOverDailyOffPeak,CFloorVolOverDailyOffPeak,IF(CFloorVolCurve,IF(CBuySell,AT145,AR145),AS145))^2*15/365.25/DU145)),IF(CBidOfferVolSpreadFlag,AG145,IF(CFloorVolOverMonthlyOffPeak,CFloorVolOverMonthlyOffPeak,IF(CFloorVolCurve,IF(CBuySell,AH145,AF145),AG145)))),"")</f>
        <v>2.4512184206626399E-2</v>
      </c>
      <c r="EN145" s="305">
        <f t="shared" ref="EN145:EN208" ca="1" si="515">IF(EA145,SQRT(LN(1+((EE145*DY145)^2*(EXP(EL145^2*DU145)-1)+(EF145*DZ145)^2*(EXP(EM145^2*DU145)-1)+2*EE145*DY145*EF145*DZ145*(EXP(AU145*EL145*EM145*DU145)-1))/(EE145*DY145+EF145*DZ145)^2)/DU145),"")</f>
        <v>6.181639203125612E-2</v>
      </c>
      <c r="EO145" s="305">
        <f t="shared" ref="EO145:EO208" ca="1" si="516">IF(EA145,EI145+IF(CBidOfferVolSpreadFlag,IF(CBuySell,1,-1)*CBidOfferVolSpread/2,IF(CVolSmile,VLOOKUP(MAX(-5,EH145-EB145),IF(CVolSmile=1,VolSmileBook,VolSmileModel),2),0)),"")</f>
        <v>7.8447144028422094E-2</v>
      </c>
      <c r="EP145" s="305">
        <f t="shared" ref="EP145:EP208" ca="1" si="517">IF(EA145,EJ145+IF(CBidOfferVolSpreadFlag,IF(CBuySell,1,-1)*CBidOfferVolSpread/2,IF(CVolSmile,VLOOKUP(MAX(-5,EH145-EC145),IF(CVolSmile=1,VolSmileBook,VolSmileModel),2),0)),"")</f>
        <v>7.8447144028422094E-2</v>
      </c>
      <c r="EQ145" s="305">
        <f t="shared" ref="EQ145:EQ208" ca="1" si="518">IF(EA145,EK145+IF(CBidOfferVolSpreadFlag,IF(CBuySell,1,-1)*CBidOfferVolSpread/2,IF(CVolSmile,VLOOKUP(MAX(-5,EH145-ED145),IF(CVolSmile=1,VolSmileBook,VolSmileModel),2),0)),"")</f>
        <v>7.8447144028422094E-2</v>
      </c>
      <c r="ER145" s="305">
        <f t="shared" ref="ER145:ER208" ca="1" si="519">IF(EA145,EM145+IF(CBidOfferVolSpreadFlag,IF(CBuySell,1,-1)*CBidOfferVolSpread/2,IF(CVolSmile,VLOOKUP(MAX(-5,EH145-EF145),IF(CVolSmile=1,VolSmileBook,VolSmileModel),2),0)),"")</f>
        <v>2.4512184206626399E-2</v>
      </c>
      <c r="ES145" s="305">
        <f t="shared" ref="ES145:ES208" ca="1" si="520">IF(EA145,EN145+IF(CBidOfferVolSpreadFlag,IF(CBuySell,1,-1)*CBidOfferVolSpread/2,IF(CVolSmile,VLOOKUP(MAX(-5,EH145-EG145),IF(CVolSmile=1,VolSmileBook,VolSmileModel),2),0)),"")</f>
        <v>6.181639203125612E-2</v>
      </c>
      <c r="ET145" s="299">
        <f t="shared" ref="ET145:ET208" ca="1" si="521">IF(EA145,IF(CVolType,UndiscountedOption(EG145,EH145,ES145,DU145,0,0),(IF(DV145,UndiscountedOption(EB145,EH145,EO145,DU145,0,0),0)*DV145+IF(DW145,UndiscountedOption(EC145,EH145,EP145,DU145,0,0),0)*DW145+IF(DX145,UndiscountedOption(ED145,EH145,EQ145,DU145,0,0),0)*DX145+IF(DZ145,UndiscountedOption(EF145,EH145,ER145,DU145,0,0),0)*DZ145)/EA145),0)</f>
        <v>3.2289887966101105</v>
      </c>
      <c r="EU145" s="302">
        <f t="shared" ref="EU145:EU208" ca="1" si="522">IF(EA145,CCap*G145,0)</f>
        <v>30</v>
      </c>
      <c r="EV145" s="304">
        <f t="shared" ref="EV145:EV208" ca="1" si="523">IF(EA145,IF(CVolType&lt;&gt;2,SQRT(IF(CBidOfferVolSpreadFlag,X145^2*(1-15/365.25/DU145)+AJ145^2*15/365.25/DU145,IF(CCapVolOverMonthlyPeak,CCapVolOverMonthlyPeak,IF(CCapVolCurve,IF(CBuySell,W145,Y145),X145))^2*(1-15/365.25/DU145)+IF(CCapVolOverDailyPeak,CCapVolOverDailyPeak,IF(CCapVolCurve,IF(CBuySell,AI145,AK145),AJ145))^2*15/365.25/DU145)),IF(CBidOfferVolSpreadFlag,X145,IF(CCapVolOverMonthlyPeak,CCapVolOverMonthlyPeak,IF(CCapVolCurve,IF(CBuySell,W145,Y145),X145)))),"")</f>
        <v>0.23534143208526628</v>
      </c>
      <c r="EW145" s="305">
        <f t="shared" ref="EW145:EW208" ca="1" si="524">IF(EA145,IF(CVolType&lt;&gt;2,SQRT(IF(CBidOfferVolSpreadFlag,AA145^2*(1-15/365.25/DU145)+AM145^2*15/365.25/DU145,IF(CCapVolOverMonthlyPeak,CCapVolOverMonthlyPeak,IF(CCapVolCurve,IF(CBuySell,Z145,AB145),AA145))^2*(1-15/365.25/DU145)+IF(CCapVolOverDailyPeak,CCapVolOverDailyPeak,IF(CCapVolCurve,IF(CBuySell,AL145,AN145),AM145))^2*15/365.25/DU145)),IF(CBidOfferVolSpreadFlag,AA145,IF(CCapVolOverMonthlyPeak,CCapVolOverMonthlyPeak,IF(CCapVolCurve,IF(CBuySell,Z145,AB145),AA145)))),"")</f>
        <v>0.23534143208526628</v>
      </c>
      <c r="EX145" s="305">
        <f t="shared" ref="EX145:EX208" ca="1" si="525">IF(EA145,IF(CVolType&lt;&gt;2,SQRT(IF(CBidOfferVolSpreadFlag,AD145^2*(1-15/365.25/DU145)+AP145^2*15/365.25/DU145,IF(CCapVolOverMonthlyPeak,CCapVolOverMonthlyPeak,IF(CCapVolCurve,IF(CBuySell,AC145,AE145),AD145))^2*(1-15/365.25/DU145)+IF(CCapVolOverDailyPeak,CCapVolOverDailyPeak,IF(CCapVolCurve,IF(CBuySell,AO145,AQ145),AP145))^2*15/365.25/DU145)),IF(CBidOfferVolSpreadFlag,AD145,IF(CCapVolOverMonthlyPeak,CCapVolOverMonthlyPeak,IF(CCapVolCurve,IF(CBuySell,AC145,AE145),AD145)))),"")</f>
        <v>0.23534143208526628</v>
      </c>
      <c r="EY145" s="305">
        <f t="shared" ref="EY145:EY208" ca="1" si="526">IF(EA145,IF(DY145,SQRT(LN(1+((EB145*DV145)^2*(EXP(EV145^2*DU145)-1)+(EC145*DW145)^2*(EXP(EW145^2*DU145)-1)+(ED145*DX145)^2*(EXP(EX145^2*DU145)-1)+2*EB145*DV145*EC145*DW145*(EXP(EV145*EW145*DU145)-1)+2*EC145*DW145*ED145*DX145*(EXP(EW145*EX145*DU145)-1)+2*ED145*DX145*EB145*DV145*(EXP(EX145*EV145*DU145)-1))/(EE145*DY145)^2)/DU145),0),"")</f>
        <v>0.23534143208526626</v>
      </c>
      <c r="EZ145" s="305">
        <f t="shared" ref="EZ145:EZ208" ca="1" si="527">IF(EA145,IF(CVolType&lt;&gt;2,SQRT(IF(CBidOfferVolSpreadFlag,AG145^2*(1-15/365.25/DU145)+AS145^2*15/365.25/DU145,IF(CCapVolOverMonthlyOffPeak,CCapVolOverMonthlyOffPeak,IF(CCapVolCurve,IF(CBuySell,AF145,AH145),AG145))^2*(1-15/365.25/DU145)+IF(CCapVolOverDailyOffPeak,CCapVolOverDailyOffPeak,IF(CCapVolCurve,IF(CBuySell,AR145,AT145),AS145))^2*15/365.25/DU145)),IF(CBidOfferVolSpreadFlag,AG145,IF(CCapVolOverMonthlyOffPeak,CCapVolOverMonthlyOffPeak,IF(CCapVolCurve,IF(CBuySell,AF145,AH145),AG145)))),"")</f>
        <v>7.3536552619879195E-2</v>
      </c>
      <c r="FA145" s="305">
        <f t="shared" ref="FA145:FA208" ca="1" si="528">IF(EA145,SQRT(LN(1+((EE145*DY145)^2*(EXP(EY145^2*DU145)-1)+(EF145*DZ145)^2*(EXP(EZ145^2*DU145)-1)+2*EE145*DY145*EF145*DZ145*(EXP(AU145*EY145*EZ145*DU145)-1))/(EE145*DY145+EF145*DZ145)^2)/DU145),"")</f>
        <v>0.19223387917258536</v>
      </c>
      <c r="FB145" s="305">
        <f t="shared" ref="FB145:FB208" ca="1" si="529">IF(EA145,EV145+IF(CBidOfferVolSpreadFlag,IF(CBuySell,-1,1)*CBidOfferVolSpread/2,IF(CVolSmile,VLOOKUP(MAX(-5,EU145-EB145),IF(CVolSmile=1,VolSmileBook,VolSmileModel),2),0)),"")</f>
        <v>0.23534143208526628</v>
      </c>
      <c r="FC145" s="305">
        <f t="shared" ref="FC145:FC208" ca="1" si="530">IF(EA145,EW145+IF(CBidOfferVolSpreadFlag,IF(CBuySell,-1,1)*CBidOfferVolSpread/2,IF(CVolSmile,VLOOKUP(MAX(-5,EU145-EC145),IF(CVolSmile=1,VolSmileBook,VolSmileModel),2),0)),"")</f>
        <v>0.23534143208526628</v>
      </c>
      <c r="FD145" s="305">
        <f t="shared" ref="FD145:FD208" ca="1" si="531">IF(EA145,EX145+IF(CBidOfferVolSpreadFlag,IF(CBuySell,-1,1)*CBidOfferVolSpread/2,IF(CVolSmile,VLOOKUP(MAX(-5,EU145-ED145),IF(CVolSmile=1,VolSmileBook,VolSmileModel),2),0)),"")</f>
        <v>0.23534143208526628</v>
      </c>
      <c r="FE145" s="305">
        <f t="shared" ref="FE145:FE208" ca="1" si="532">IF(EA145,EZ145+IF(CBidOfferVolSpreadFlag,IF(CBuySell,-1,1)*CBidOfferVolSpread/2,IF(CVolSmile,VLOOKUP(MAX(-5,EU145-EF145),IF(CVolSmile=1,VolSmileBook,VolSmileModel),2),0)),"")</f>
        <v>7.3536552619879195E-2</v>
      </c>
      <c r="FF145" s="305">
        <f t="shared" ref="FF145:FF208" ca="1" si="533">IF(EA145,FA145+IF(CBidOfferVolSpreadFlag,IF(CBuySell,-1,1)*CBidOfferVolSpread/2,IF(CVolSmile,VLOOKUP(MAX(-5,EU145-EG145),IF(CVolSmile=1,VolSmileBook,VolSmileModel),2),0)),"")</f>
        <v>0.19223387917258536</v>
      </c>
      <c r="FG145" s="299">
        <f t="shared" ref="FG145:FG208" ca="1" si="534">IF(EA145,IF(CVolType,UndiscountedOption(EG145,EU145,FF145,DU145,1,0),(IF(DV145,UndiscountedOption(EB145,EU145,FB145,DU145,1,0),0)*DV145+IF(DW145,UndiscountedOption(EC145,EU145,FC145,DU145,1,0),0)*DW145+IF(DX145,UndiscountedOption(ED145,EU145,FD145,DU145,1,0),0)*DX145+IF(DZ145,UndiscountedOption(EF145,EU145,FE145,DU145,1,0),0)*DZ145)/EA145),0)</f>
        <v>6.4622501191243682</v>
      </c>
      <c r="FH145" s="302">
        <f t="shared" ref="FH145:FH208" ca="1" si="535">ET145-FG145</f>
        <v>-3.2332613225142577</v>
      </c>
      <c r="FI145" s="248">
        <f t="shared" ref="FI145:FI208" ca="1" si="536">FH145*EA145</f>
        <v>-1088.3463401249974</v>
      </c>
      <c r="FJ145" s="363">
        <f t="shared" ref="FJ145:FJ208" ca="1" si="537">IF(E145&lt;&gt;"",INDEX(MaxMWTable,C145,1)*H145*J145,0)</f>
        <v>0.45243206669760117</v>
      </c>
      <c r="FK145" s="378">
        <f t="shared" ref="FK145:FK208" ca="1" si="538">IF(DV145,IF(CSpec,(LN(EB145/EH145)-EO145^2*DU145/2)/EO145/SQRT(DU145),(LN(EB145/EU145)-FB145^2*DU145/2)/FB145/SQRT(DU145)),"")</f>
        <v>0.23006446126520741</v>
      </c>
      <c r="FL145" s="508">
        <f t="shared" ref="FL145:FL208" ca="1" si="539">IF(DW145,IF(CSpec,(LN(EC145/EH145)-EP145^2*DU145/2)/EP145/SQRT(DU145),(LN(EC145/EU145)-FC145^2*DU145/2)/FC145/SQRT(DU145)),"")</f>
        <v>-0.40496304475270445</v>
      </c>
      <c r="FM145" s="508">
        <f t="shared" ref="FM145:FM208" ca="1" si="540">IF(DX145,IF(CSpec,(LN(ED145/EH145)-EQ145^2*DU145/2)/EQ145/SQRT(DU145),(LN(ED145/EU145)-FD145^2*DU145/2)/FD145/SQRT(DU145)),"")</f>
        <v>-0.44587830038050297</v>
      </c>
      <c r="FN145" s="508">
        <f t="shared" ref="FN145:FN208" ca="1" si="541">IF(DZ145,IF(CSpec,(LN(EF145/EH145)-ER145^2*DU145/2)/ER145/SQRT(DU145),(LN(EF145/EU145)-FE145^2*DU145/2)/FE145/SQRT(DU145)),"")</f>
        <v>-3.8290535044340217</v>
      </c>
      <c r="FO145" s="508">
        <f t="shared" ref="FO145:FO208" ca="1" si="542">IF(EA145,IF(CSpec,(LN(EG145/EH145)-ES145^2*DU145/2)/ES145/SQRT(DU145),(LN(EG145/EU145)-FF145^2*DU145/2)/FF145/SQRT(DU145)),"")</f>
        <v>-0.36771638025715231</v>
      </c>
      <c r="FP145" s="353">
        <f t="shared" ref="FP145:FP208" ca="1" si="543">IF(EA145,IF(CVolType,(-NORMSDIST(FO145)+IF(CSpec,1,0))*EA145,IF(DV145,(-NORMSDIST(FK145)+IF(CSpec,1,0)),0)*DV145+IF(DW145,(-NORMSDIST(FL145)+IF(CSpec,1,0)),0)*DW145+IF(DX145,(-NORMSDIST(FM145)+IF(CSpec,1,0)),0)*DX145+IF(DZ145,(-NORMSDIST(FN145)+IF(CSpec,1,0)),0)*DZ145),0)</f>
        <v>216.59390721426001</v>
      </c>
      <c r="FQ145" s="356">
        <f t="shared" ref="FQ145:FQ208" ca="1" si="544">IF(EA145,IF(CVolType,EXP(-0.5*FO145^2)/IF(CSpec,ES145,FF145)*EA145,IF(DV145,EXP(-0.5*FK145^2)/IF(CSpec,EO145,FB145),0)*DV145+IF(DW145,EXP(-0.5*FL145^2)/IF(CSpec,EP145,FC145),0)*DW145+IF(DX145,EXP(-0.5*FM145^2)/IF(CSpec,EQ145,FD145),0)*DX145+IF(DZ145,EXP(-0.5*FN145^2)/IF(CSpec,ER145,FE145),0)*DZ145)/SQRT(2*3.14159*DU145)/IF(CSpec,EH145,EU145),0)</f>
        <v>20.642865483626714</v>
      </c>
      <c r="FR145" s="380">
        <f t="shared" ref="FR145:FR208" ca="1" si="545">IF(CD145,VLOOKUP(A145,GasTable,13)*HeatRatePeak/1000,0)</f>
        <v>27.092000000000002</v>
      </c>
      <c r="FS145" s="299">
        <f t="shared" ref="FS145:FS208" ca="1" si="546">IF(CD145,VLOOKUP(A145,GasTable,13)*HeatRatePeak/1000,0)</f>
        <v>27.092000000000002</v>
      </c>
      <c r="FT145" s="299">
        <f t="shared" ref="FT145:FT208" ca="1" si="547">IF(CD145,VLOOKUP(A145,GasTable,13)*HeatRateOffPeak/1000,0)</f>
        <v>27.092000000000002</v>
      </c>
      <c r="FU145" s="299">
        <f t="shared" ref="FU145:FU208" ca="1" si="548">IF(CD145,VLOOKUP(A145,GasTable,13)*HeatRateOffPeak/1000,0)</f>
        <v>27.092000000000002</v>
      </c>
      <c r="FV145" s="299">
        <f t="shared" ref="FV145:FV208" ca="1" si="549">IF(CD145,(FR145*CB145+FU145*CC145)/CD145,0)</f>
        <v>27.092000000000002</v>
      </c>
      <c r="FW145" s="850">
        <f t="shared" ref="FW145:FW208" ca="1" si="550">IF(CD145,VLOOKUP(A145,GasTable,14),"")</f>
        <v>0.1575</v>
      </c>
      <c r="FX145" s="851">
        <f t="shared" ref="FX145:FX208" ca="1" si="551">IF(CD145,IF(CorrPowerGasOverFlag,INDEX(CorrPowerGasOver,C145),CorrPowerGas),"")</f>
        <v>0.5</v>
      </c>
      <c r="FY145" s="851">
        <f t="shared" ref="FY145:FY208" ca="1" si="552">IF(CD145,SpreadOptGasMargin*HeatRatePeak/1000+SpreadOptPowerMargin+SpreadOptStrike,"")</f>
        <v>0</v>
      </c>
      <c r="FZ145" s="201">
        <f t="shared" ref="FZ145:FZ208" ca="1" si="553">IF(CD145,SpreadOptGasMargin*HeatRatePeak/1000+SpreadOptPowerMargin+SpreadOptStrike,"")</f>
        <v>0</v>
      </c>
      <c r="GA145" s="201">
        <f t="shared" ref="GA145:GA208" ca="1" si="554">IF(CD145,SpreadOptGasMargin*HeatRateOffPeak/1000+SpreadOptPowerMargin+SpreadOptStrike,"")</f>
        <v>0</v>
      </c>
      <c r="GB145" s="201">
        <f t="shared" ref="GB145:GB208" ca="1" si="555">IF(CD145,SpreadOptGasMargin*HeatRateOffPeak/1000+SpreadOptPowerMargin+SpreadOptStrike,"")</f>
        <v>0</v>
      </c>
      <c r="GC145" s="201">
        <f t="shared" ref="GC145:GC208" ca="1" si="556">IF(CD145,(FY145*CB145+GB145*CC145)/CD145,"")</f>
        <v>0</v>
      </c>
      <c r="GD145" s="850">
        <f t="shared" ref="GD145:GD208" ca="1" si="557">IF(CD145,CL145+IF(OVolSmile,VLOOKUP(MAX(-5,FR145+FY145-CE145),IF(OVolSmile=1,VolSmileBook,VolSmileModel),2),0),"")</f>
        <v>0.25034143208526627</v>
      </c>
      <c r="GE145" s="866">
        <f t="shared" ref="GE145:GE208" ca="1" si="558">IF(CD145,CM145+IF(OVolSmile,VLOOKUP(MAX(-5,FS145+FY145-CF145),IF(OVolSmile=1,VolSmileBook,VolSmileModel),2),0),"")</f>
        <v>0.23534143208526628</v>
      </c>
      <c r="GF145" s="866">
        <f t="shared" ref="GF145:GF208" ca="1" si="559">IF(CD145,CN145+IF(OVolSmile,VLOOKUP(MAX(-5,FT145+FY145-CG145),IF(OVolSmile=1,VolSmileBook,VolSmileModel),2),0),"")</f>
        <v>0.23534143208526628</v>
      </c>
      <c r="GG145" s="866">
        <f t="shared" ref="GG145:GG208" ca="1" si="560">IF(CD145,CP145+IF(OVolSmile,VLOOKUP(MAX(-5,FU145+GB145-CI145),IF(OVolSmile=1,VolSmileBook,VolSmileModel),2),0),"")</f>
        <v>8.8536552619879194E-2</v>
      </c>
      <c r="GH145" s="866">
        <f t="shared" ref="GH145:GH208" ca="1" si="561">IF(CD145,CQ145+IF(OVolSmile,VLOOKUP(MAX(-5,FV145+GC145-CJ145),IF(OVolSmile=1,VolSmileBook,VolSmileModel),2),0),"")</f>
        <v>0.19223387917258536</v>
      </c>
      <c r="GI145" s="302">
        <f t="shared" ref="GI145:GI208" ca="1" si="562">IF(AND(CE145&gt;0,FR145&gt;0,GD145&gt;0,FW145&gt;0),newSPRDOPT(CE145,FR145,FY145,0,GD145,FW145,FX145,BX145*365.25,OCallPut,0),0)</f>
        <v>11.613151047531128</v>
      </c>
      <c r="GJ145" s="299">
        <f t="shared" ref="GJ145:GJ208" ca="1" si="563">IF(AND(CF145&gt;0,FS145&gt;0,GE145&gt;0,FW145&gt;0),newSPRDOPT(CF145,FS145,FZ145,0,GE145,FW145,FX145,BX145*365.25,OCallPut,0),0)</f>
        <v>7.7642355596395722</v>
      </c>
      <c r="GK145" s="299">
        <f t="shared" ref="GK145:GK208" ca="1" si="564">IF(AND(CG145&gt;0,FT145&gt;0,GF145&gt;0,FW145&gt;0),newSPRDOPT(CG145,FT145,GA145,0,GF145,FW145,FX145,BX145*365.25,OCallPut,0),0)</f>
        <v>7.5749047389573105</v>
      </c>
      <c r="GL145" s="299">
        <f t="shared" ref="GL145:GL208" ca="1" si="565">IF(AND(CI145&gt;0,FU145&gt;0,GG145&gt;0,FW145&gt;0),newSPRDOPT(CI145,FU145,GB145,0,GG145,FW145,FX145,BX145*365.25,OCallPut,0),0)</f>
        <v>2.3102450416515343</v>
      </c>
      <c r="GM145" s="299">
        <f t="shared" ref="GM145:GM208" ca="1" si="566">IF(OVolType,IF(AND(CJ145&gt;0,FV145&gt;0,GH145&gt;0,FW145&gt;0),newSPRDOPT(CJ145,FV145,GC145,0,GH145,FW145,FX145,BX145*365.25,OCallPut,0),0),IF(CD145,(GI145*BY145+GJ145*BZ145+GK145*CA145+GL145*CC145)/CD145,0))</f>
        <v>7.0388402088629434</v>
      </c>
      <c r="GN145" s="302">
        <f t="shared" ref="GN145:GN208" ca="1" si="567">IF(AND(CE145&gt;0,FR145&gt;0,GD145&gt;0,FW145&gt;0),newSPRDOPT(CE145,FR145,FY145,0,GD145,FW145,FX145,BX145*365.25,OCallPut,1),0)</f>
        <v>0.73550854973435986</v>
      </c>
      <c r="GO145" s="299">
        <f t="shared" ref="GO145:GO208" ca="1" si="568">IF(AND(CF145&gt;0,FS145&gt;0,GE145&gt;0,FW145&gt;0),newSPRDOPT(CF145,FS145,FZ145,0,GE145,FW145,FX145,BX145*365.25,OCallPut,1),0)</f>
        <v>0.65016903315267471</v>
      </c>
      <c r="GP145" s="299">
        <f t="shared" ref="GP145:GP208" ca="1" si="569">IF(AND(CG145&gt;0,FT145&gt;0,GF145&gt;0,FW145&gt;0),newSPRDOPT(CG145,FT145,GA145,0,GF145,FW145,FX145,BX145*365.25,OCallPut,1),0)</f>
        <v>0.64442830895482683</v>
      </c>
      <c r="GQ145" s="299">
        <f t="shared" ref="GQ145:GQ208" ca="1" si="570">IF(AND(CI145&gt;0,FU145&gt;0,GG145&gt;0,FW145&gt;0),newSPRDOPT(CI145,FU145,GB145,0,GG145,FW145,FX145,BX145*365.25,OCallPut,1),0)</f>
        <v>0.40999199180235424</v>
      </c>
      <c r="GR145" s="299">
        <f t="shared" ref="GR145:GR208" ca="1" si="571">IF(OVolType,IF(AND(CJ145&gt;0,FV145&gt;0,GH145&gt;0,FW145&gt;0),newSPRDOPT(CJ145,FV145,GC145,0,GH145,FW145,FX145,BX145*365.25,OCallPut,1),0),IF(CD145,(GN145*BY145+GO145*BZ145+GP145*CA145+GQ145*CC145)/CD145,0))</f>
        <v>0.64554806707611401</v>
      </c>
      <c r="GS145" s="302">
        <f t="shared" ref="GS145:GS208" ca="1" si="572">IF(AND(CE145&gt;0,FR145&gt;0,GD145&gt;0,FW145&gt;0),newSPRDOPT(CE145,FR145,FY145,0,GD145,FW145,FX145,BX145*365.25,OCallPut,2),0)</f>
        <v>-0.46450388848189411</v>
      </c>
      <c r="GT145" s="299">
        <f t="shared" ref="GT145:GT208" ca="1" si="573">IF(AND(CF145&gt;0,FS145&gt;0,GE145&gt;0,FW145&gt;0),newSPRDOPT(CF145,FS145,FZ145,0,GE145,FW145,FX145,BX145*365.25,OCallPut,2),0)</f>
        <v>-0.38397144603654026</v>
      </c>
      <c r="GU145" s="299">
        <f t="shared" ref="GU145:GU208" ca="1" si="574">IF(AND(CG145&gt;0,FT145&gt;0,GF145&gt;0,FW145&gt;0),newSPRDOPT(CG145,FT145,GA145,0,GF145,FW145,FX145,BX145*365.25,OCallPut,2),0)</f>
        <v>-0.37808174822626278</v>
      </c>
      <c r="GV145" s="299">
        <f t="shared" ref="GV145:GV208" ca="1" si="575">IF(AND(CI145&gt;0,FU145&gt;0,GG145&gt;0,FW145&gt;0),newSPRDOPT(CI145,FU145,GB145,0,GG145,FW145,FX145,BX145*365.25,OCallPut,2),0)</f>
        <v>-0.24955068680652476</v>
      </c>
      <c r="GW145" s="299">
        <f t="shared" ref="GW145:GW208" ca="1" si="576">IF(OVolType,IF(AND(CJ145&gt;0,FV145&gt;0,GH145&gt;0,FW145&gt;0),newSPRDOPT(CJ145,FV145,GC145,0,GH145,FW145,FX145,BX145*365.25,OCallPut,2),0),IF(CD145,(GS145*BY145+GT145*BZ145+GU145*CA145+GV145*CC145)/CD145,0))</f>
        <v>-0.4174585196823295</v>
      </c>
      <c r="GX145" s="303">
        <f t="shared" ref="GX145:GX208" ca="1" si="577">GI145*BY145</f>
        <v>1933.5315899845787</v>
      </c>
      <c r="GY145" s="303">
        <f t="shared" ref="GY145:GY208" ca="1" si="578">GJ145*BZ145</f>
        <v>168.61387874758742</v>
      </c>
      <c r="GZ145" s="303">
        <f t="shared" ref="GZ145:GZ208" ca="1" si="579">GK145*CA145</f>
        <v>274.17038448671275</v>
      </c>
      <c r="HA145" s="303">
        <f t="shared" ref="HA145:HA208" ca="1" si="580">GL145*CC145</f>
        <v>259.21677681552779</v>
      </c>
      <c r="HB145" s="303">
        <f t="shared" ref="HB145:HB208" ca="1" si="581">GM145*CD145</f>
        <v>2369.340185000427</v>
      </c>
      <c r="HC145" s="303">
        <f t="shared" ref="HC145:HC208" ca="1" si="582">IF(CD145,IF(OCallPut,IF(CE145&gt;(FR145+FY145),CE145-(FR145+FY145),0),IF((FR145+FY145)&gt;CE145,(FR145+FY145)-CE145,0))*BY145,0)</f>
        <v>966.83449148598208</v>
      </c>
      <c r="HD145" s="303">
        <f t="shared" ref="HD145:HD208" ca="1" si="583">IF(CD145,IF(OCallPut,IF(CF145&gt;(FS145+FY145),CF145-(FS145+FY145),0),IF((FS145+FY145)&gt;CF145,(FS145+FY145)-CF145,0))*BZ145,0)</f>
        <v>18.451388544499945</v>
      </c>
      <c r="HE145" s="303">
        <f t="shared" ref="HE145:HE208" ca="1" si="584">IF(CD145,IF(OCallPut,IF(CG145&gt;(FT145+FY145),CG145-(FT145+FY145),0),IF((FT145+FY145)&gt;CG145,(FT145+FY145)-CG145,0))*CA145,0)</f>
        <v>20.16575986584337</v>
      </c>
      <c r="HF145" s="303">
        <f t="shared" ref="HF145:HF208" ca="1" si="585">IF(CD145,IF(OCallPut,IF(CI145&gt;(FU145+GB145),CI145-(FU145+GB145),0),IF((FU145+GB145)&gt;CI145,(FU145+GB145)-CI145,0))*CC145,0)</f>
        <v>0</v>
      </c>
      <c r="HG145" s="852">
        <f t="shared" ref="HG145:HG208" ca="1" si="586">IF(CD145,IF(OVolType,IF(OCallPut,IF(CJ145&gt;(FV145+GC145),CJ145-(FV145+GC145),0),IF((FV145+GC145)&gt;CJ145,(FV145+GC145)-CJ145,0))*CD145,SUM(HC145:HF145)),0)</f>
        <v>448.13851411696714</v>
      </c>
    </row>
    <row r="146" spans="1:215" x14ac:dyDescent="0.25">
      <c r="A146" s="244">
        <f t="shared" ref="A146:A209" ca="1" si="587">EOMONTH(A145,0)+1</f>
        <v>40544</v>
      </c>
      <c r="B146" s="13">
        <f t="shared" ca="1" si="415"/>
        <v>2011</v>
      </c>
      <c r="C146" s="619">
        <f t="shared" ca="1" si="416"/>
        <v>1</v>
      </c>
      <c r="D146" s="195">
        <f t="shared" ca="1" si="417"/>
        <v>40544</v>
      </c>
      <c r="E146" s="469" t="str">
        <f t="shared" ca="1" si="418"/>
        <v/>
      </c>
      <c r="F146" s="465" t="str">
        <f t="shared" ca="1" si="419"/>
        <v/>
      </c>
      <c r="G146" s="522">
        <f t="shared" ref="G146:G209" ca="1" si="588">G145*(1+((PriceEscType=1)*(C146=1)+(PriceEscType=2)*(C146=BegMonth))*(B146&gt;BegYear)*PriceEsc)</f>
        <v>1</v>
      </c>
      <c r="H146" s="519">
        <f t="shared" ref="H146:H209" ca="1" si="589">H145*(1+((VolumeEscType=1)*(C146=1)+(VolumeEscType=2)*(C146=BegMonth))*(B146&gt;BegYear)*VolumeEsc)</f>
        <v>1</v>
      </c>
      <c r="I146" s="724">
        <f t="shared" ca="1" si="420"/>
        <v>7.4201774278761998E-2</v>
      </c>
      <c r="J146" s="198">
        <f t="shared" ca="1" si="421"/>
        <v>0.44964436763030596</v>
      </c>
      <c r="K146" s="200">
        <f t="shared" ca="1" si="389"/>
        <v>36.15</v>
      </c>
      <c r="L146" s="201">
        <f t="shared" ca="1" si="390"/>
        <v>37.75</v>
      </c>
      <c r="M146" s="206">
        <f t="shared" ca="1" si="391"/>
        <v>39.35</v>
      </c>
      <c r="N146" s="851">
        <f t="shared" ca="1" si="395"/>
        <v>29.048748779296869</v>
      </c>
      <c r="O146" s="201">
        <f t="shared" ca="1" si="396"/>
        <v>30.248748779296868</v>
      </c>
      <c r="P146" s="206">
        <f t="shared" ca="1" si="397"/>
        <v>31.448748779296867</v>
      </c>
      <c r="Q146" s="201">
        <f t="shared" ca="1" si="398"/>
        <v>24.452500534057609</v>
      </c>
      <c r="R146" s="201">
        <f t="shared" ca="1" si="399"/>
        <v>28.75250053405761</v>
      </c>
      <c r="S146" s="201">
        <f t="shared" ca="1" si="400"/>
        <v>33.052500534057607</v>
      </c>
      <c r="T146" s="851">
        <f t="shared" ca="1" si="392"/>
        <v>20.590000152587887</v>
      </c>
      <c r="U146" s="201">
        <f t="shared" ca="1" si="393"/>
        <v>21.390000152587888</v>
      </c>
      <c r="V146" s="206">
        <f t="shared" ca="1" si="394"/>
        <v>22.190000152587888</v>
      </c>
      <c r="W146" s="230">
        <f t="shared" ref="W146:W209" ca="1" si="590">VLOOKUP($A146,BigTable,14,0)</f>
        <v>8.472127690223058E-2</v>
      </c>
      <c r="X146" s="231">
        <f t="shared" ref="X146:X209" ca="1" si="591">VLOOKUP($A146,BigTable,15,0)</f>
        <v>0.16944255380446116</v>
      </c>
      <c r="Y146" s="232">
        <f t="shared" ref="Y146:Y209" ca="1" si="592">VLOOKUP($A146,BigTable,16,0)</f>
        <v>0.25416383070669174</v>
      </c>
      <c r="Z146" s="231">
        <f t="shared" ca="1" si="404"/>
        <v>8.472127690223058E-2</v>
      </c>
      <c r="AA146" s="231">
        <f t="shared" ca="1" si="405"/>
        <v>0.16944255380446116</v>
      </c>
      <c r="AB146" s="232">
        <f t="shared" ca="1" si="406"/>
        <v>0.25416383070669174</v>
      </c>
      <c r="AC146" s="231">
        <f t="shared" ca="1" si="407"/>
        <v>8.472127690223058E-2</v>
      </c>
      <c r="AD146" s="231">
        <f t="shared" ca="1" si="408"/>
        <v>0.16944255380446116</v>
      </c>
      <c r="AE146" s="232">
        <f t="shared" ca="1" si="422"/>
        <v>0.25416383070669174</v>
      </c>
      <c r="AF146" s="231">
        <f t="shared" ref="AF146:AF209" ca="1" si="593">VLOOKUP($A146,BigTable,18,0)</f>
        <v>2.8025597276242861E-2</v>
      </c>
      <c r="AG146" s="231">
        <f t="shared" ref="AG146:AG209" ca="1" si="594">VLOOKUP($A146,BigTable,19,0)</f>
        <v>5.6051194552485722E-2</v>
      </c>
      <c r="AH146" s="232">
        <f t="shared" ref="AH146:AH209" ca="1" si="595">VLOOKUP($A146,BigTable,20,0)</f>
        <v>8.4076791828728584E-2</v>
      </c>
      <c r="AI146" s="233">
        <f t="shared" ca="1" si="423"/>
        <v>1.25</v>
      </c>
      <c r="AJ146" s="233">
        <f t="shared" ca="1" si="424"/>
        <v>2</v>
      </c>
      <c r="AK146" s="234">
        <f t="shared" ca="1" si="425"/>
        <v>2.75</v>
      </c>
      <c r="AL146" s="919">
        <f t="shared" ca="1" si="426"/>
        <v>1.25</v>
      </c>
      <c r="AM146" s="233">
        <f t="shared" ca="1" si="427"/>
        <v>2</v>
      </c>
      <c r="AN146" s="234">
        <f t="shared" ca="1" si="428"/>
        <v>2.75</v>
      </c>
      <c r="AO146" s="233">
        <f t="shared" ca="1" si="429"/>
        <v>1.25</v>
      </c>
      <c r="AP146" s="233">
        <f t="shared" ca="1" si="430"/>
        <v>2</v>
      </c>
      <c r="AQ146" s="233">
        <f t="shared" ca="1" si="431"/>
        <v>2.75</v>
      </c>
      <c r="AR146" s="919">
        <f t="shared" ca="1" si="432"/>
        <v>0.35</v>
      </c>
      <c r="AS146" s="233">
        <f t="shared" ca="1" si="433"/>
        <v>0.5</v>
      </c>
      <c r="AT146" s="235">
        <f t="shared" ca="1" si="434"/>
        <v>0.7</v>
      </c>
      <c r="AU146" s="946">
        <f t="shared" si="435"/>
        <v>0.5</v>
      </c>
      <c r="AV146" s="13">
        <f t="shared" ca="1" si="436"/>
        <v>0</v>
      </c>
      <c r="AW146" s="210">
        <f t="shared" ca="1" si="437"/>
        <v>0</v>
      </c>
      <c r="AX146" s="210">
        <f t="shared" ca="1" si="438"/>
        <v>0</v>
      </c>
      <c r="AY146" s="210">
        <f t="shared" ca="1" si="439"/>
        <v>0</v>
      </c>
      <c r="AZ146" s="13">
        <f t="shared" ca="1" si="440"/>
        <v>0</v>
      </c>
      <c r="BA146" s="357">
        <f ca="1"/>
        <v>0</v>
      </c>
      <c r="BB146" s="925">
        <f ca="1"/>
        <v>0</v>
      </c>
      <c r="BC146" s="925">
        <f ca="1"/>
        <v>0</v>
      </c>
      <c r="BD146" s="928">
        <f ca="1"/>
        <v>0</v>
      </c>
      <c r="BE146" s="200">
        <f ca="1"/>
        <v>0</v>
      </c>
      <c r="BF146" s="851">
        <f ca="1"/>
        <v>0</v>
      </c>
      <c r="BG146" s="851">
        <f ca="1"/>
        <v>0</v>
      </c>
      <c r="BH146" s="933">
        <f ca="1"/>
        <v>0</v>
      </c>
      <c r="BI146" s="357">
        <f ca="1"/>
        <v>0</v>
      </c>
      <c r="BJ146" s="925">
        <f ca="1"/>
        <v>0</v>
      </c>
      <c r="BK146" s="925">
        <f ca="1"/>
        <v>0</v>
      </c>
      <c r="BL146" s="928">
        <f ca="1"/>
        <v>0</v>
      </c>
      <c r="BM146" s="200">
        <f ca="1"/>
        <v>0</v>
      </c>
      <c r="BN146" s="851">
        <f ca="1"/>
        <v>0</v>
      </c>
      <c r="BO146" s="851">
        <f ca="1"/>
        <v>0</v>
      </c>
      <c r="BP146" s="933">
        <f ca="1"/>
        <v>0</v>
      </c>
      <c r="BQ146" s="357">
        <f t="shared" ca="1" si="441"/>
        <v>0</v>
      </c>
      <c r="BR146" s="361">
        <f t="shared" ca="1" si="442"/>
        <v>0</v>
      </c>
      <c r="BS146" s="357">
        <f t="shared" ca="1" si="443"/>
        <v>0</v>
      </c>
      <c r="BT146" s="302">
        <f t="shared" ca="1" si="444"/>
        <v>0</v>
      </c>
      <c r="BU146" s="299">
        <f t="shared" ca="1" si="445"/>
        <v>0</v>
      </c>
      <c r="BV146" s="299">
        <f t="shared" ca="1" si="446"/>
        <v>0</v>
      </c>
      <c r="BW146" s="299">
        <f t="shared" ca="1" si="447"/>
        <v>0</v>
      </c>
      <c r="BX146" s="380">
        <f t="shared" ca="1" si="448"/>
        <v>10.833675564681725</v>
      </c>
      <c r="BY146" s="363">
        <f t="shared" ca="1" si="449"/>
        <v>0</v>
      </c>
      <c r="BZ146" s="353">
        <f t="shared" ca="1" si="450"/>
        <v>0</v>
      </c>
      <c r="CA146" s="353">
        <f t="shared" ca="1" si="451"/>
        <v>0</v>
      </c>
      <c r="CB146" s="353">
        <f t="shared" ca="1" si="452"/>
        <v>0</v>
      </c>
      <c r="CC146" s="353">
        <f t="shared" ca="1" si="453"/>
        <v>0</v>
      </c>
      <c r="CD146" s="353">
        <f t="shared" ca="1" si="454"/>
        <v>0</v>
      </c>
      <c r="CE146" s="302">
        <f t="shared" ca="1" si="455"/>
        <v>0</v>
      </c>
      <c r="CF146" s="299">
        <f t="shared" ca="1" si="456"/>
        <v>0</v>
      </c>
      <c r="CG146" s="299">
        <f t="shared" ca="1" si="457"/>
        <v>0</v>
      </c>
      <c r="CH146" s="299">
        <f t="shared" ca="1" si="458"/>
        <v>0</v>
      </c>
      <c r="CI146" s="299">
        <f t="shared" ca="1" si="459"/>
        <v>0</v>
      </c>
      <c r="CJ146" s="299">
        <f t="shared" ca="1" si="460"/>
        <v>0</v>
      </c>
      <c r="CK146" s="299">
        <f t="shared" ca="1" si="461"/>
        <v>0</v>
      </c>
      <c r="CL146" s="377" t="str">
        <f t="shared" ca="1" si="462"/>
        <v/>
      </c>
      <c r="CM146" s="305" t="str">
        <f t="shared" ca="1" si="463"/>
        <v/>
      </c>
      <c r="CN146" s="305" t="str">
        <f t="shared" ca="1" si="464"/>
        <v/>
      </c>
      <c r="CO146" s="305" t="str">
        <f t="shared" ca="1" si="465"/>
        <v/>
      </c>
      <c r="CP146" s="305" t="str">
        <f t="shared" ca="1" si="466"/>
        <v/>
      </c>
      <c r="CQ146" s="305" t="str">
        <f t="shared" ca="1" si="467"/>
        <v/>
      </c>
      <c r="CR146" s="775" t="str">
        <f t="shared" ca="1" si="468"/>
        <v/>
      </c>
      <c r="CS146" s="305" t="str">
        <f t="shared" ca="1" si="469"/>
        <v/>
      </c>
      <c r="CT146" s="305" t="str">
        <f t="shared" ca="1" si="470"/>
        <v/>
      </c>
      <c r="CU146" s="305" t="str">
        <f t="shared" ca="1" si="471"/>
        <v/>
      </c>
      <c r="CV146" s="770" t="str">
        <f t="shared" ca="1" si="472"/>
        <v/>
      </c>
      <c r="CW146" s="302">
        <f t="shared" ca="1" si="473"/>
        <v>0</v>
      </c>
      <c r="CX146" s="299">
        <f t="shared" ca="1" si="474"/>
        <v>0</v>
      </c>
      <c r="CY146" s="299">
        <f t="shared" ca="1" si="475"/>
        <v>0</v>
      </c>
      <c r="CZ146" s="299">
        <f t="shared" ca="1" si="476"/>
        <v>0</v>
      </c>
      <c r="DA146" s="774">
        <f t="shared" ca="1" si="477"/>
        <v>0</v>
      </c>
      <c r="DB146" s="303">
        <f t="shared" ca="1" si="478"/>
        <v>0</v>
      </c>
      <c r="DC146" s="248">
        <f t="shared" ca="1" si="479"/>
        <v>0</v>
      </c>
      <c r="DD146" s="778">
        <f t="shared" ca="1" si="480"/>
        <v>0</v>
      </c>
      <c r="DE146" s="363">
        <f t="shared" ca="1" si="481"/>
        <v>0</v>
      </c>
      <c r="DF146" s="378" t="str">
        <f t="shared" ca="1" si="482"/>
        <v/>
      </c>
      <c r="DG146" s="508" t="str">
        <f t="shared" ca="1" si="483"/>
        <v/>
      </c>
      <c r="DH146" s="508" t="str">
        <f t="shared" ca="1" si="484"/>
        <v/>
      </c>
      <c r="DI146" s="508" t="str">
        <f t="shared" ca="1" si="485"/>
        <v/>
      </c>
      <c r="DJ146" s="508" t="str">
        <f t="shared" ca="1" si="486"/>
        <v/>
      </c>
      <c r="DK146" s="353">
        <f t="shared" ca="1" si="487"/>
        <v>0</v>
      </c>
      <c r="DL146" s="781">
        <f t="shared" ca="1" si="488"/>
        <v>0</v>
      </c>
      <c r="DM146" s="303">
        <f t="shared" ca="1" si="489"/>
        <v>0</v>
      </c>
      <c r="DN146" s="508" t="str">
        <f t="shared" ca="1" si="490"/>
        <v/>
      </c>
      <c r="DO146" s="508" t="str">
        <f t="shared" ca="1" si="491"/>
        <v/>
      </c>
      <c r="DP146" s="508" t="str">
        <f t="shared" ca="1" si="492"/>
        <v/>
      </c>
      <c r="DQ146" s="508" t="str">
        <f t="shared" ca="1" si="493"/>
        <v/>
      </c>
      <c r="DR146" s="508" t="str">
        <f t="shared" ca="1" si="494"/>
        <v/>
      </c>
      <c r="DS146" s="353">
        <f t="shared" ca="1" si="495"/>
        <v>0</v>
      </c>
      <c r="DT146" s="353">
        <f t="shared" ca="1" si="496"/>
        <v>0</v>
      </c>
      <c r="DU146" s="380">
        <f t="shared" ref="DU146:DU209" ca="1" si="596">(A146+IF(CVolType=2,0,14)-DateToday)/365.25</f>
        <v>10.833675564681725</v>
      </c>
      <c r="DV146" s="303">
        <f t="shared" ca="1" si="497"/>
        <v>0</v>
      </c>
      <c r="DW146" s="303">
        <f t="shared" ca="1" si="498"/>
        <v>0</v>
      </c>
      <c r="DX146" s="303">
        <f t="shared" ca="1" si="499"/>
        <v>0</v>
      </c>
      <c r="DY146" s="303">
        <f t="shared" ca="1" si="500"/>
        <v>0</v>
      </c>
      <c r="DZ146" s="303">
        <f t="shared" ca="1" si="501"/>
        <v>0</v>
      </c>
      <c r="EA146" s="303">
        <f t="shared" ca="1" si="502"/>
        <v>0</v>
      </c>
      <c r="EB146" s="302">
        <f t="shared" ca="1" si="503"/>
        <v>0</v>
      </c>
      <c r="EC146" s="299">
        <f t="shared" ca="1" si="504"/>
        <v>0</v>
      </c>
      <c r="ED146" s="299">
        <f t="shared" ca="1" si="505"/>
        <v>0</v>
      </c>
      <c r="EE146" s="299">
        <f t="shared" ca="1" si="506"/>
        <v>0</v>
      </c>
      <c r="EF146" s="299">
        <f t="shared" ca="1" si="507"/>
        <v>0</v>
      </c>
      <c r="EG146" s="299">
        <f t="shared" ca="1" si="508"/>
        <v>0</v>
      </c>
      <c r="EH146" s="302">
        <f t="shared" ca="1" si="509"/>
        <v>0</v>
      </c>
      <c r="EI146" s="304" t="str">
        <f t="shared" ca="1" si="510"/>
        <v/>
      </c>
      <c r="EJ146" s="305" t="str">
        <f t="shared" ca="1" si="511"/>
        <v/>
      </c>
      <c r="EK146" s="305" t="str">
        <f t="shared" ca="1" si="512"/>
        <v/>
      </c>
      <c r="EL146" s="305" t="str">
        <f t="shared" ca="1" si="513"/>
        <v/>
      </c>
      <c r="EM146" s="305" t="str">
        <f t="shared" ca="1" si="514"/>
        <v/>
      </c>
      <c r="EN146" s="305" t="str">
        <f t="shared" ca="1" si="515"/>
        <v/>
      </c>
      <c r="EO146" s="305" t="str">
        <f t="shared" ca="1" si="516"/>
        <v/>
      </c>
      <c r="EP146" s="305" t="str">
        <f t="shared" ca="1" si="517"/>
        <v/>
      </c>
      <c r="EQ146" s="305" t="str">
        <f t="shared" ca="1" si="518"/>
        <v/>
      </c>
      <c r="ER146" s="305" t="str">
        <f t="shared" ca="1" si="519"/>
        <v/>
      </c>
      <c r="ES146" s="305" t="str">
        <f t="shared" ca="1" si="520"/>
        <v/>
      </c>
      <c r="ET146" s="299">
        <f t="shared" ca="1" si="521"/>
        <v>0</v>
      </c>
      <c r="EU146" s="302">
        <f t="shared" ca="1" si="522"/>
        <v>0</v>
      </c>
      <c r="EV146" s="304" t="str">
        <f t="shared" ca="1" si="523"/>
        <v/>
      </c>
      <c r="EW146" s="305" t="str">
        <f t="shared" ca="1" si="524"/>
        <v/>
      </c>
      <c r="EX146" s="305" t="str">
        <f t="shared" ca="1" si="525"/>
        <v/>
      </c>
      <c r="EY146" s="305" t="str">
        <f t="shared" ca="1" si="526"/>
        <v/>
      </c>
      <c r="EZ146" s="305" t="str">
        <f t="shared" ca="1" si="527"/>
        <v/>
      </c>
      <c r="FA146" s="305" t="str">
        <f t="shared" ca="1" si="528"/>
        <v/>
      </c>
      <c r="FB146" s="305" t="str">
        <f t="shared" ca="1" si="529"/>
        <v/>
      </c>
      <c r="FC146" s="305" t="str">
        <f t="shared" ca="1" si="530"/>
        <v/>
      </c>
      <c r="FD146" s="305" t="str">
        <f t="shared" ca="1" si="531"/>
        <v/>
      </c>
      <c r="FE146" s="305" t="str">
        <f t="shared" ca="1" si="532"/>
        <v/>
      </c>
      <c r="FF146" s="305" t="str">
        <f t="shared" ca="1" si="533"/>
        <v/>
      </c>
      <c r="FG146" s="299">
        <f t="shared" ca="1" si="534"/>
        <v>0</v>
      </c>
      <c r="FH146" s="302">
        <f t="shared" ca="1" si="535"/>
        <v>0</v>
      </c>
      <c r="FI146" s="248">
        <f t="shared" ca="1" si="536"/>
        <v>0</v>
      </c>
      <c r="FJ146" s="363">
        <f t="shared" ca="1" si="537"/>
        <v>0</v>
      </c>
      <c r="FK146" s="378" t="str">
        <f t="shared" ca="1" si="538"/>
        <v/>
      </c>
      <c r="FL146" s="508" t="str">
        <f t="shared" ca="1" si="539"/>
        <v/>
      </c>
      <c r="FM146" s="508" t="str">
        <f t="shared" ca="1" si="540"/>
        <v/>
      </c>
      <c r="FN146" s="508" t="str">
        <f t="shared" ca="1" si="541"/>
        <v/>
      </c>
      <c r="FO146" s="508" t="str">
        <f t="shared" ca="1" si="542"/>
        <v/>
      </c>
      <c r="FP146" s="353">
        <f t="shared" ca="1" si="543"/>
        <v>0</v>
      </c>
      <c r="FQ146" s="356">
        <f t="shared" ca="1" si="544"/>
        <v>0</v>
      </c>
      <c r="FR146" s="380">
        <f t="shared" ca="1" si="545"/>
        <v>0</v>
      </c>
      <c r="FS146" s="299">
        <f t="shared" ca="1" si="546"/>
        <v>0</v>
      </c>
      <c r="FT146" s="299">
        <f t="shared" ca="1" si="547"/>
        <v>0</v>
      </c>
      <c r="FU146" s="299">
        <f t="shared" ca="1" si="548"/>
        <v>0</v>
      </c>
      <c r="FV146" s="299">
        <f t="shared" ca="1" si="549"/>
        <v>0</v>
      </c>
      <c r="FW146" s="850" t="str">
        <f t="shared" ca="1" si="550"/>
        <v/>
      </c>
      <c r="FX146" s="851" t="str">
        <f t="shared" ca="1" si="551"/>
        <v/>
      </c>
      <c r="FY146" s="851" t="str">
        <f t="shared" ca="1" si="552"/>
        <v/>
      </c>
      <c r="FZ146" s="201" t="str">
        <f t="shared" ca="1" si="553"/>
        <v/>
      </c>
      <c r="GA146" s="201" t="str">
        <f t="shared" ca="1" si="554"/>
        <v/>
      </c>
      <c r="GB146" s="201" t="str">
        <f t="shared" ca="1" si="555"/>
        <v/>
      </c>
      <c r="GC146" s="201" t="str">
        <f t="shared" ca="1" si="556"/>
        <v/>
      </c>
      <c r="GD146" s="850" t="str">
        <f t="shared" ca="1" si="557"/>
        <v/>
      </c>
      <c r="GE146" s="866" t="str">
        <f t="shared" ca="1" si="558"/>
        <v/>
      </c>
      <c r="GF146" s="866" t="str">
        <f t="shared" ca="1" si="559"/>
        <v/>
      </c>
      <c r="GG146" s="866" t="str">
        <f t="shared" ca="1" si="560"/>
        <v/>
      </c>
      <c r="GH146" s="866" t="str">
        <f t="shared" ca="1" si="561"/>
        <v/>
      </c>
      <c r="GI146" s="302">
        <f t="shared" ca="1" si="562"/>
        <v>0</v>
      </c>
      <c r="GJ146" s="299">
        <f t="shared" ca="1" si="563"/>
        <v>0</v>
      </c>
      <c r="GK146" s="299">
        <f t="shared" ca="1" si="564"/>
        <v>0</v>
      </c>
      <c r="GL146" s="299">
        <f t="shared" ca="1" si="565"/>
        <v>0</v>
      </c>
      <c r="GM146" s="299">
        <f t="shared" ca="1" si="566"/>
        <v>0</v>
      </c>
      <c r="GN146" s="302">
        <f t="shared" ca="1" si="567"/>
        <v>0</v>
      </c>
      <c r="GO146" s="299">
        <f t="shared" ca="1" si="568"/>
        <v>0</v>
      </c>
      <c r="GP146" s="299">
        <f t="shared" ca="1" si="569"/>
        <v>0</v>
      </c>
      <c r="GQ146" s="299">
        <f t="shared" ca="1" si="570"/>
        <v>0</v>
      </c>
      <c r="GR146" s="299">
        <f t="shared" ca="1" si="571"/>
        <v>0</v>
      </c>
      <c r="GS146" s="302">
        <f t="shared" ca="1" si="572"/>
        <v>0</v>
      </c>
      <c r="GT146" s="299">
        <f t="shared" ca="1" si="573"/>
        <v>0</v>
      </c>
      <c r="GU146" s="299">
        <f t="shared" ca="1" si="574"/>
        <v>0</v>
      </c>
      <c r="GV146" s="299">
        <f t="shared" ca="1" si="575"/>
        <v>0</v>
      </c>
      <c r="GW146" s="299">
        <f t="shared" ca="1" si="576"/>
        <v>0</v>
      </c>
      <c r="GX146" s="303">
        <f t="shared" ca="1" si="577"/>
        <v>0</v>
      </c>
      <c r="GY146" s="303">
        <f t="shared" ca="1" si="578"/>
        <v>0</v>
      </c>
      <c r="GZ146" s="303">
        <f t="shared" ca="1" si="579"/>
        <v>0</v>
      </c>
      <c r="HA146" s="303">
        <f t="shared" ca="1" si="580"/>
        <v>0</v>
      </c>
      <c r="HB146" s="303">
        <f t="shared" ca="1" si="581"/>
        <v>0</v>
      </c>
      <c r="HC146" s="303">
        <f t="shared" ca="1" si="582"/>
        <v>0</v>
      </c>
      <c r="HD146" s="303">
        <f t="shared" ca="1" si="583"/>
        <v>0</v>
      </c>
      <c r="HE146" s="303">
        <f t="shared" ca="1" si="584"/>
        <v>0</v>
      </c>
      <c r="HF146" s="303">
        <f t="shared" ca="1" si="585"/>
        <v>0</v>
      </c>
      <c r="HG146" s="852">
        <f t="shared" ca="1" si="586"/>
        <v>0</v>
      </c>
    </row>
    <row r="147" spans="1:215" x14ac:dyDescent="0.25">
      <c r="A147" s="244">
        <f t="shared" ca="1" si="587"/>
        <v>40575</v>
      </c>
      <c r="B147" s="13">
        <f t="shared" ca="1" si="415"/>
        <v>2011</v>
      </c>
      <c r="C147" s="619">
        <f t="shared" ca="1" si="416"/>
        <v>2</v>
      </c>
      <c r="D147" s="195" t="str">
        <f t="shared" ca="1" si="417"/>
        <v/>
      </c>
      <c r="E147" s="469" t="str">
        <f t="shared" ca="1" si="418"/>
        <v/>
      </c>
      <c r="F147" s="465" t="str">
        <f t="shared" ca="1" si="419"/>
        <v/>
      </c>
      <c r="G147" s="522">
        <f t="shared" ca="1" si="588"/>
        <v>1</v>
      </c>
      <c r="H147" s="519">
        <f t="shared" ca="1" si="589"/>
        <v>1</v>
      </c>
      <c r="I147" s="724">
        <f t="shared" ca="1" si="420"/>
        <v>7.4201479560881009E-2</v>
      </c>
      <c r="J147" s="198">
        <f t="shared" ca="1" si="421"/>
        <v>0.44714136691049133</v>
      </c>
      <c r="K147" s="200">
        <f t="shared" ref="K147:K210" ca="1" si="597">VLOOKUP(A147,PriceTable,2,0)+IF(BasisNumber&lt;&gt;1,VLOOKUP(A147,BasisTable,2,0),0)</f>
        <v>36.15</v>
      </c>
      <c r="L147" s="201">
        <f t="shared" ref="L147:L210" ca="1" si="598">VLOOKUP(A147,PriceTable,3,0)+IF(BasisNumber&lt;&gt;1,VLOOKUP(A147,BasisTable,2,0),0)</f>
        <v>37.75</v>
      </c>
      <c r="M147" s="206">
        <f t="shared" ref="M147:M210" ca="1" si="599">VLOOKUP(A147,PriceTable,4,0)+IF(BasisNumber&lt;&gt;1,VLOOKUP(A147,BasisTable,2,0),0)</f>
        <v>39.35</v>
      </c>
      <c r="N147" s="851">
        <f t="shared" ca="1" si="395"/>
        <v>28.046250152587884</v>
      </c>
      <c r="O147" s="201">
        <f t="shared" ca="1" si="396"/>
        <v>29.246250152587884</v>
      </c>
      <c r="P147" s="206">
        <f t="shared" ca="1" si="397"/>
        <v>30.446250152587883</v>
      </c>
      <c r="Q147" s="201">
        <f t="shared" ca="1" si="398"/>
        <v>22.447499465942375</v>
      </c>
      <c r="R147" s="201">
        <f t="shared" ca="1" si="399"/>
        <v>26.747499465942376</v>
      </c>
      <c r="S147" s="201">
        <f t="shared" ca="1" si="400"/>
        <v>31.047499465942376</v>
      </c>
      <c r="T147" s="851">
        <f t="shared" ref="T147:T210" ca="1" si="600">VLOOKUP(A147,PriceTable,6,0)+IF(BasisNumber&lt;&gt;1,VLOOKUP(A147,BasisTable,3,0),0)</f>
        <v>20.399997711181637</v>
      </c>
      <c r="U147" s="201">
        <f t="shared" ref="U147:U210" ca="1" si="601">VLOOKUP(A147,PriceTable,7,0)+IF(BasisNumber&lt;&gt;1,VLOOKUP(A147,BasisTable,3,0),0)</f>
        <v>21.199997711181638</v>
      </c>
      <c r="V147" s="206">
        <f t="shared" ref="V147:V210" ca="1" si="602">VLOOKUP(A147,PriceTable,8,0)+IF(BasisNumber&lt;&gt;1,VLOOKUP(A147,BasisTable,3,0),0)</f>
        <v>21.999997711181638</v>
      </c>
      <c r="W147" s="230">
        <f t="shared" ca="1" si="590"/>
        <v>8.1727592206038702E-2</v>
      </c>
      <c r="X147" s="231">
        <f t="shared" ca="1" si="591"/>
        <v>0.1634551844120774</v>
      </c>
      <c r="Y147" s="232">
        <f t="shared" ca="1" si="592"/>
        <v>0.24518277661811611</v>
      </c>
      <c r="Z147" s="231">
        <f t="shared" ca="1" si="404"/>
        <v>8.1727592206038702E-2</v>
      </c>
      <c r="AA147" s="231">
        <f t="shared" ca="1" si="405"/>
        <v>0.1634551844120774</v>
      </c>
      <c r="AB147" s="232">
        <f t="shared" ca="1" si="406"/>
        <v>0.24518277661811611</v>
      </c>
      <c r="AC147" s="231">
        <f t="shared" ca="1" si="407"/>
        <v>8.1727592206038702E-2</v>
      </c>
      <c r="AD147" s="231">
        <f t="shared" ca="1" si="408"/>
        <v>0.1634551844120774</v>
      </c>
      <c r="AE147" s="232">
        <f t="shared" ca="1" si="422"/>
        <v>0.24518277661811611</v>
      </c>
      <c r="AF147" s="231">
        <f t="shared" ca="1" si="593"/>
        <v>2.8025597276242861E-2</v>
      </c>
      <c r="AG147" s="231">
        <f t="shared" ca="1" si="594"/>
        <v>5.6051194552485722E-2</v>
      </c>
      <c r="AH147" s="232">
        <f t="shared" ca="1" si="595"/>
        <v>8.4076791828728584E-2</v>
      </c>
      <c r="AI147" s="233">
        <f t="shared" ca="1" si="423"/>
        <v>1.25</v>
      </c>
      <c r="AJ147" s="233">
        <f t="shared" ca="1" si="424"/>
        <v>2</v>
      </c>
      <c r="AK147" s="234">
        <f t="shared" ca="1" si="425"/>
        <v>2.75</v>
      </c>
      <c r="AL147" s="919">
        <f t="shared" ca="1" si="426"/>
        <v>1.25</v>
      </c>
      <c r="AM147" s="233">
        <f t="shared" ca="1" si="427"/>
        <v>2</v>
      </c>
      <c r="AN147" s="234">
        <f t="shared" ca="1" si="428"/>
        <v>2.75</v>
      </c>
      <c r="AO147" s="233">
        <f t="shared" ca="1" si="429"/>
        <v>1.25</v>
      </c>
      <c r="AP147" s="233">
        <f t="shared" ca="1" si="430"/>
        <v>2</v>
      </c>
      <c r="AQ147" s="233">
        <f t="shared" ca="1" si="431"/>
        <v>2.75</v>
      </c>
      <c r="AR147" s="919">
        <f t="shared" ca="1" si="432"/>
        <v>0.35</v>
      </c>
      <c r="AS147" s="233">
        <f t="shared" ca="1" si="433"/>
        <v>0.5</v>
      </c>
      <c r="AT147" s="235">
        <f t="shared" ca="1" si="434"/>
        <v>0.7</v>
      </c>
      <c r="AU147" s="946">
        <f t="shared" si="435"/>
        <v>0.5</v>
      </c>
      <c r="AV147" s="13">
        <f t="shared" ca="1" si="436"/>
        <v>0</v>
      </c>
      <c r="AW147" s="210">
        <f t="shared" ca="1" si="437"/>
        <v>0</v>
      </c>
      <c r="AX147" s="210">
        <f t="shared" ca="1" si="438"/>
        <v>0</v>
      </c>
      <c r="AY147" s="210">
        <f t="shared" ca="1" si="439"/>
        <v>0</v>
      </c>
      <c r="AZ147" s="13">
        <f t="shared" ca="1" si="440"/>
        <v>0</v>
      </c>
      <c r="BA147" s="357">
        <f ca="1"/>
        <v>0</v>
      </c>
      <c r="BB147" s="925">
        <f ca="1"/>
        <v>0</v>
      </c>
      <c r="BC147" s="925">
        <f ca="1"/>
        <v>0</v>
      </c>
      <c r="BD147" s="928">
        <f ca="1"/>
        <v>0</v>
      </c>
      <c r="BE147" s="200">
        <f ca="1"/>
        <v>0</v>
      </c>
      <c r="BF147" s="851">
        <f ca="1"/>
        <v>0</v>
      </c>
      <c r="BG147" s="851">
        <f ca="1"/>
        <v>0</v>
      </c>
      <c r="BH147" s="933">
        <f ca="1"/>
        <v>0</v>
      </c>
      <c r="BI147" s="357">
        <f ca="1"/>
        <v>0</v>
      </c>
      <c r="BJ147" s="925">
        <f ca="1"/>
        <v>0</v>
      </c>
      <c r="BK147" s="925">
        <f ca="1"/>
        <v>0</v>
      </c>
      <c r="BL147" s="928">
        <f ca="1"/>
        <v>0</v>
      </c>
      <c r="BM147" s="200">
        <f ca="1"/>
        <v>0</v>
      </c>
      <c r="BN147" s="851">
        <f ca="1"/>
        <v>0</v>
      </c>
      <c r="BO147" s="851">
        <f ca="1"/>
        <v>0</v>
      </c>
      <c r="BP147" s="933">
        <f ca="1"/>
        <v>0</v>
      </c>
      <c r="BQ147" s="357">
        <f t="shared" ca="1" si="441"/>
        <v>0</v>
      </c>
      <c r="BR147" s="361">
        <f t="shared" ca="1" si="442"/>
        <v>0</v>
      </c>
      <c r="BS147" s="357">
        <f t="shared" ca="1" si="443"/>
        <v>0</v>
      </c>
      <c r="BT147" s="302">
        <f t="shared" ca="1" si="444"/>
        <v>0</v>
      </c>
      <c r="BU147" s="299">
        <f t="shared" ca="1" si="445"/>
        <v>0</v>
      </c>
      <c r="BV147" s="299">
        <f t="shared" ca="1" si="446"/>
        <v>0</v>
      </c>
      <c r="BW147" s="299">
        <f t="shared" ca="1" si="447"/>
        <v>0</v>
      </c>
      <c r="BX147" s="380">
        <f t="shared" ca="1" si="448"/>
        <v>10.91854893908282</v>
      </c>
      <c r="BY147" s="363">
        <f t="shared" ca="1" si="449"/>
        <v>0</v>
      </c>
      <c r="BZ147" s="353">
        <f t="shared" ca="1" si="450"/>
        <v>0</v>
      </c>
      <c r="CA147" s="353">
        <f t="shared" ca="1" si="451"/>
        <v>0</v>
      </c>
      <c r="CB147" s="353">
        <f t="shared" ca="1" si="452"/>
        <v>0</v>
      </c>
      <c r="CC147" s="353">
        <f t="shared" ca="1" si="453"/>
        <v>0</v>
      </c>
      <c r="CD147" s="353">
        <f t="shared" ca="1" si="454"/>
        <v>0</v>
      </c>
      <c r="CE147" s="302">
        <f t="shared" ca="1" si="455"/>
        <v>0</v>
      </c>
      <c r="CF147" s="299">
        <f t="shared" ca="1" si="456"/>
        <v>0</v>
      </c>
      <c r="CG147" s="299">
        <f t="shared" ca="1" si="457"/>
        <v>0</v>
      </c>
      <c r="CH147" s="299">
        <f t="shared" ca="1" si="458"/>
        <v>0</v>
      </c>
      <c r="CI147" s="299">
        <f t="shared" ca="1" si="459"/>
        <v>0</v>
      </c>
      <c r="CJ147" s="299">
        <f t="shared" ca="1" si="460"/>
        <v>0</v>
      </c>
      <c r="CK147" s="299">
        <f t="shared" ca="1" si="461"/>
        <v>0</v>
      </c>
      <c r="CL147" s="377" t="str">
        <f t="shared" ca="1" si="462"/>
        <v/>
      </c>
      <c r="CM147" s="305" t="str">
        <f t="shared" ca="1" si="463"/>
        <v/>
      </c>
      <c r="CN147" s="305" t="str">
        <f t="shared" ca="1" si="464"/>
        <v/>
      </c>
      <c r="CO147" s="305" t="str">
        <f t="shared" ca="1" si="465"/>
        <v/>
      </c>
      <c r="CP147" s="305" t="str">
        <f t="shared" ca="1" si="466"/>
        <v/>
      </c>
      <c r="CQ147" s="305" t="str">
        <f t="shared" ca="1" si="467"/>
        <v/>
      </c>
      <c r="CR147" s="775" t="str">
        <f t="shared" ca="1" si="468"/>
        <v/>
      </c>
      <c r="CS147" s="305" t="str">
        <f t="shared" ca="1" si="469"/>
        <v/>
      </c>
      <c r="CT147" s="305" t="str">
        <f t="shared" ca="1" si="470"/>
        <v/>
      </c>
      <c r="CU147" s="305" t="str">
        <f t="shared" ca="1" si="471"/>
        <v/>
      </c>
      <c r="CV147" s="770" t="str">
        <f t="shared" ca="1" si="472"/>
        <v/>
      </c>
      <c r="CW147" s="302">
        <f t="shared" ca="1" si="473"/>
        <v>0</v>
      </c>
      <c r="CX147" s="299">
        <f t="shared" ca="1" si="474"/>
        <v>0</v>
      </c>
      <c r="CY147" s="299">
        <f t="shared" ca="1" si="475"/>
        <v>0</v>
      </c>
      <c r="CZ147" s="299">
        <f t="shared" ca="1" si="476"/>
        <v>0</v>
      </c>
      <c r="DA147" s="774">
        <f t="shared" ca="1" si="477"/>
        <v>0</v>
      </c>
      <c r="DB147" s="303">
        <f t="shared" ca="1" si="478"/>
        <v>0</v>
      </c>
      <c r="DC147" s="248">
        <f t="shared" ca="1" si="479"/>
        <v>0</v>
      </c>
      <c r="DD147" s="778">
        <f t="shared" ca="1" si="480"/>
        <v>0</v>
      </c>
      <c r="DE147" s="363">
        <f t="shared" ca="1" si="481"/>
        <v>0</v>
      </c>
      <c r="DF147" s="378" t="str">
        <f t="shared" ca="1" si="482"/>
        <v/>
      </c>
      <c r="DG147" s="508" t="str">
        <f t="shared" ca="1" si="483"/>
        <v/>
      </c>
      <c r="DH147" s="508" t="str">
        <f t="shared" ca="1" si="484"/>
        <v/>
      </c>
      <c r="DI147" s="508" t="str">
        <f t="shared" ca="1" si="485"/>
        <v/>
      </c>
      <c r="DJ147" s="508" t="str">
        <f t="shared" ca="1" si="486"/>
        <v/>
      </c>
      <c r="DK147" s="353">
        <f t="shared" ca="1" si="487"/>
        <v>0</v>
      </c>
      <c r="DL147" s="781">
        <f t="shared" ca="1" si="488"/>
        <v>0</v>
      </c>
      <c r="DM147" s="303">
        <f t="shared" ca="1" si="489"/>
        <v>0</v>
      </c>
      <c r="DN147" s="508" t="str">
        <f t="shared" ca="1" si="490"/>
        <v/>
      </c>
      <c r="DO147" s="508" t="str">
        <f t="shared" ca="1" si="491"/>
        <v/>
      </c>
      <c r="DP147" s="508" t="str">
        <f t="shared" ca="1" si="492"/>
        <v/>
      </c>
      <c r="DQ147" s="508" t="str">
        <f t="shared" ca="1" si="493"/>
        <v/>
      </c>
      <c r="DR147" s="508" t="str">
        <f t="shared" ca="1" si="494"/>
        <v/>
      </c>
      <c r="DS147" s="353">
        <f t="shared" ca="1" si="495"/>
        <v>0</v>
      </c>
      <c r="DT147" s="353">
        <f t="shared" ca="1" si="496"/>
        <v>0</v>
      </c>
      <c r="DU147" s="380">
        <f t="shared" ca="1" si="596"/>
        <v>10.91854893908282</v>
      </c>
      <c r="DV147" s="303">
        <f t="shared" ca="1" si="497"/>
        <v>0</v>
      </c>
      <c r="DW147" s="303">
        <f t="shared" ca="1" si="498"/>
        <v>0</v>
      </c>
      <c r="DX147" s="303">
        <f t="shared" ca="1" si="499"/>
        <v>0</v>
      </c>
      <c r="DY147" s="303">
        <f t="shared" ca="1" si="500"/>
        <v>0</v>
      </c>
      <c r="DZ147" s="303">
        <f t="shared" ca="1" si="501"/>
        <v>0</v>
      </c>
      <c r="EA147" s="303">
        <f t="shared" ca="1" si="502"/>
        <v>0</v>
      </c>
      <c r="EB147" s="302">
        <f t="shared" ca="1" si="503"/>
        <v>0</v>
      </c>
      <c r="EC147" s="299">
        <f t="shared" ca="1" si="504"/>
        <v>0</v>
      </c>
      <c r="ED147" s="299">
        <f t="shared" ca="1" si="505"/>
        <v>0</v>
      </c>
      <c r="EE147" s="299">
        <f t="shared" ca="1" si="506"/>
        <v>0</v>
      </c>
      <c r="EF147" s="299">
        <f t="shared" ca="1" si="507"/>
        <v>0</v>
      </c>
      <c r="EG147" s="299">
        <f t="shared" ca="1" si="508"/>
        <v>0</v>
      </c>
      <c r="EH147" s="302">
        <f t="shared" ca="1" si="509"/>
        <v>0</v>
      </c>
      <c r="EI147" s="304" t="str">
        <f t="shared" ca="1" si="510"/>
        <v/>
      </c>
      <c r="EJ147" s="305" t="str">
        <f t="shared" ca="1" si="511"/>
        <v/>
      </c>
      <c r="EK147" s="305" t="str">
        <f t="shared" ca="1" si="512"/>
        <v/>
      </c>
      <c r="EL147" s="305" t="str">
        <f t="shared" ca="1" si="513"/>
        <v/>
      </c>
      <c r="EM147" s="305" t="str">
        <f t="shared" ca="1" si="514"/>
        <v/>
      </c>
      <c r="EN147" s="305" t="str">
        <f t="shared" ca="1" si="515"/>
        <v/>
      </c>
      <c r="EO147" s="305" t="str">
        <f t="shared" ca="1" si="516"/>
        <v/>
      </c>
      <c r="EP147" s="305" t="str">
        <f t="shared" ca="1" si="517"/>
        <v/>
      </c>
      <c r="EQ147" s="305" t="str">
        <f t="shared" ca="1" si="518"/>
        <v/>
      </c>
      <c r="ER147" s="305" t="str">
        <f t="shared" ca="1" si="519"/>
        <v/>
      </c>
      <c r="ES147" s="305" t="str">
        <f t="shared" ca="1" si="520"/>
        <v/>
      </c>
      <c r="ET147" s="299">
        <f t="shared" ca="1" si="521"/>
        <v>0</v>
      </c>
      <c r="EU147" s="302">
        <f t="shared" ca="1" si="522"/>
        <v>0</v>
      </c>
      <c r="EV147" s="304" t="str">
        <f t="shared" ca="1" si="523"/>
        <v/>
      </c>
      <c r="EW147" s="305" t="str">
        <f t="shared" ca="1" si="524"/>
        <v/>
      </c>
      <c r="EX147" s="305" t="str">
        <f t="shared" ca="1" si="525"/>
        <v/>
      </c>
      <c r="EY147" s="305" t="str">
        <f t="shared" ca="1" si="526"/>
        <v/>
      </c>
      <c r="EZ147" s="305" t="str">
        <f t="shared" ca="1" si="527"/>
        <v/>
      </c>
      <c r="FA147" s="305" t="str">
        <f t="shared" ca="1" si="528"/>
        <v/>
      </c>
      <c r="FB147" s="305" t="str">
        <f t="shared" ca="1" si="529"/>
        <v/>
      </c>
      <c r="FC147" s="305" t="str">
        <f t="shared" ca="1" si="530"/>
        <v/>
      </c>
      <c r="FD147" s="305" t="str">
        <f t="shared" ca="1" si="531"/>
        <v/>
      </c>
      <c r="FE147" s="305" t="str">
        <f t="shared" ca="1" si="532"/>
        <v/>
      </c>
      <c r="FF147" s="305" t="str">
        <f t="shared" ca="1" si="533"/>
        <v/>
      </c>
      <c r="FG147" s="299">
        <f t="shared" ca="1" si="534"/>
        <v>0</v>
      </c>
      <c r="FH147" s="302">
        <f t="shared" ca="1" si="535"/>
        <v>0</v>
      </c>
      <c r="FI147" s="248">
        <f t="shared" ca="1" si="536"/>
        <v>0</v>
      </c>
      <c r="FJ147" s="363">
        <f t="shared" ca="1" si="537"/>
        <v>0</v>
      </c>
      <c r="FK147" s="378" t="str">
        <f t="shared" ca="1" si="538"/>
        <v/>
      </c>
      <c r="FL147" s="508" t="str">
        <f t="shared" ca="1" si="539"/>
        <v/>
      </c>
      <c r="FM147" s="508" t="str">
        <f t="shared" ca="1" si="540"/>
        <v/>
      </c>
      <c r="FN147" s="508" t="str">
        <f t="shared" ca="1" si="541"/>
        <v/>
      </c>
      <c r="FO147" s="508" t="str">
        <f t="shared" ca="1" si="542"/>
        <v/>
      </c>
      <c r="FP147" s="353">
        <f t="shared" ca="1" si="543"/>
        <v>0</v>
      </c>
      <c r="FQ147" s="356">
        <f t="shared" ca="1" si="544"/>
        <v>0</v>
      </c>
      <c r="FR147" s="380">
        <f t="shared" ca="1" si="545"/>
        <v>0</v>
      </c>
      <c r="FS147" s="299">
        <f t="shared" ca="1" si="546"/>
        <v>0</v>
      </c>
      <c r="FT147" s="299">
        <f t="shared" ca="1" si="547"/>
        <v>0</v>
      </c>
      <c r="FU147" s="299">
        <f t="shared" ca="1" si="548"/>
        <v>0</v>
      </c>
      <c r="FV147" s="299">
        <f t="shared" ca="1" si="549"/>
        <v>0</v>
      </c>
      <c r="FW147" s="850" t="str">
        <f t="shared" ca="1" si="550"/>
        <v/>
      </c>
      <c r="FX147" s="851" t="str">
        <f t="shared" ca="1" si="551"/>
        <v/>
      </c>
      <c r="FY147" s="851" t="str">
        <f t="shared" ca="1" si="552"/>
        <v/>
      </c>
      <c r="FZ147" s="201" t="str">
        <f t="shared" ca="1" si="553"/>
        <v/>
      </c>
      <c r="GA147" s="201" t="str">
        <f t="shared" ca="1" si="554"/>
        <v/>
      </c>
      <c r="GB147" s="201" t="str">
        <f t="shared" ca="1" si="555"/>
        <v/>
      </c>
      <c r="GC147" s="201" t="str">
        <f t="shared" ca="1" si="556"/>
        <v/>
      </c>
      <c r="GD147" s="850" t="str">
        <f t="shared" ca="1" si="557"/>
        <v/>
      </c>
      <c r="GE147" s="866" t="str">
        <f t="shared" ca="1" si="558"/>
        <v/>
      </c>
      <c r="GF147" s="866" t="str">
        <f t="shared" ca="1" si="559"/>
        <v/>
      </c>
      <c r="GG147" s="866" t="str">
        <f t="shared" ca="1" si="560"/>
        <v/>
      </c>
      <c r="GH147" s="866" t="str">
        <f t="shared" ca="1" si="561"/>
        <v/>
      </c>
      <c r="GI147" s="302">
        <f t="shared" ca="1" si="562"/>
        <v>0</v>
      </c>
      <c r="GJ147" s="299">
        <f t="shared" ca="1" si="563"/>
        <v>0</v>
      </c>
      <c r="GK147" s="299">
        <f t="shared" ca="1" si="564"/>
        <v>0</v>
      </c>
      <c r="GL147" s="299">
        <f t="shared" ca="1" si="565"/>
        <v>0</v>
      </c>
      <c r="GM147" s="299">
        <f t="shared" ca="1" si="566"/>
        <v>0</v>
      </c>
      <c r="GN147" s="302">
        <f t="shared" ca="1" si="567"/>
        <v>0</v>
      </c>
      <c r="GO147" s="299">
        <f t="shared" ca="1" si="568"/>
        <v>0</v>
      </c>
      <c r="GP147" s="299">
        <f t="shared" ca="1" si="569"/>
        <v>0</v>
      </c>
      <c r="GQ147" s="299">
        <f t="shared" ca="1" si="570"/>
        <v>0</v>
      </c>
      <c r="GR147" s="299">
        <f t="shared" ca="1" si="571"/>
        <v>0</v>
      </c>
      <c r="GS147" s="302">
        <f t="shared" ca="1" si="572"/>
        <v>0</v>
      </c>
      <c r="GT147" s="299">
        <f t="shared" ca="1" si="573"/>
        <v>0</v>
      </c>
      <c r="GU147" s="299">
        <f t="shared" ca="1" si="574"/>
        <v>0</v>
      </c>
      <c r="GV147" s="299">
        <f t="shared" ca="1" si="575"/>
        <v>0</v>
      </c>
      <c r="GW147" s="299">
        <f t="shared" ca="1" si="576"/>
        <v>0</v>
      </c>
      <c r="GX147" s="303">
        <f t="shared" ca="1" si="577"/>
        <v>0</v>
      </c>
      <c r="GY147" s="303">
        <f t="shared" ca="1" si="578"/>
        <v>0</v>
      </c>
      <c r="GZ147" s="303">
        <f t="shared" ca="1" si="579"/>
        <v>0</v>
      </c>
      <c r="HA147" s="303">
        <f t="shared" ca="1" si="580"/>
        <v>0</v>
      </c>
      <c r="HB147" s="303">
        <f t="shared" ca="1" si="581"/>
        <v>0</v>
      </c>
      <c r="HC147" s="303">
        <f t="shared" ca="1" si="582"/>
        <v>0</v>
      </c>
      <c r="HD147" s="303">
        <f t="shared" ca="1" si="583"/>
        <v>0</v>
      </c>
      <c r="HE147" s="303">
        <f t="shared" ca="1" si="584"/>
        <v>0</v>
      </c>
      <c r="HF147" s="303">
        <f t="shared" ca="1" si="585"/>
        <v>0</v>
      </c>
      <c r="HG147" s="852">
        <f t="shared" ca="1" si="586"/>
        <v>0</v>
      </c>
    </row>
    <row r="148" spans="1:215" x14ac:dyDescent="0.25">
      <c r="A148" s="244">
        <f t="shared" ca="1" si="587"/>
        <v>40603</v>
      </c>
      <c r="B148" s="13">
        <f t="shared" ca="1" si="415"/>
        <v>2011</v>
      </c>
      <c r="C148" s="619">
        <f t="shared" ca="1" si="416"/>
        <v>3</v>
      </c>
      <c r="D148" s="195" t="str">
        <f t="shared" ca="1" si="417"/>
        <v/>
      </c>
      <c r="E148" s="469" t="str">
        <f t="shared" ca="1" si="418"/>
        <v/>
      </c>
      <c r="F148" s="465" t="str">
        <f t="shared" ca="1" si="419"/>
        <v/>
      </c>
      <c r="G148" s="522">
        <f t="shared" ca="1" si="588"/>
        <v>1</v>
      </c>
      <c r="H148" s="519">
        <f t="shared" ca="1" si="589"/>
        <v>1</v>
      </c>
      <c r="I148" s="724">
        <f t="shared" ca="1" si="420"/>
        <v>7.4201213364084001E-2</v>
      </c>
      <c r="J148" s="198">
        <f t="shared" ca="1" si="421"/>
        <v>0.4443861727351317</v>
      </c>
      <c r="K148" s="200">
        <f t="shared" ca="1" si="597"/>
        <v>33.1</v>
      </c>
      <c r="L148" s="201">
        <f t="shared" ca="1" si="598"/>
        <v>34</v>
      </c>
      <c r="M148" s="206">
        <f t="shared" ca="1" si="599"/>
        <v>34.9</v>
      </c>
      <c r="N148" s="851">
        <f t="shared" ref="N148:N211" ca="1" si="603">VLOOKUP(A148,BigTable,2,0)+IF(BasisNumber&lt;&gt;1,VLOOKUP(A148,BasisTable,2,0),0)</f>
        <v>21.759749603271477</v>
      </c>
      <c r="O148" s="201">
        <f t="shared" ref="O148:O211" ca="1" si="604">VLOOKUP(A148,BigTable,3,0)+IF(BasisNumber&lt;&gt;1,VLOOKUP(A148,BasisTable,2,0),0)</f>
        <v>22.434749603271477</v>
      </c>
      <c r="P148" s="206">
        <f t="shared" ref="P148:P211" ca="1" si="605">VLOOKUP(A148,BigTable,4,0)+IF(BasisNumber&lt;&gt;1,VLOOKUP(A148,BasisTable,2,0),0)</f>
        <v>23.109749603271478</v>
      </c>
      <c r="Q148" s="201">
        <f t="shared" ref="Q148:Q211" ca="1" si="606">VLOOKUP(A148,BigTable,6,0)+IF(BasisNumber&lt;&gt;1,VLOOKUP(A148,BasisTable,3,0),0)</f>
        <v>17.76449890136718</v>
      </c>
      <c r="R148" s="201">
        <f t="shared" ref="R148:R211" ca="1" si="607">VLOOKUP(A148,BigTable,7,0)+IF(BasisNumber&lt;&gt;1,VLOOKUP(A148,BasisTable,3,0),0)</f>
        <v>22.06449890136718</v>
      </c>
      <c r="S148" s="201">
        <f t="shared" ref="S148:S211" ca="1" si="608">VLOOKUP(A148,BigTable,8,0)+IF(BasisNumber&lt;&gt;1,VLOOKUP(A148,BasisTable,3,0),0)</f>
        <v>26.364498901367181</v>
      </c>
      <c r="T148" s="851">
        <f t="shared" ca="1" si="600"/>
        <v>19.749999618530271</v>
      </c>
      <c r="U148" s="201">
        <f t="shared" ca="1" si="601"/>
        <v>20.199999618530271</v>
      </c>
      <c r="V148" s="206">
        <f t="shared" ca="1" si="602"/>
        <v>20.64999961853027</v>
      </c>
      <c r="W148" s="230">
        <f t="shared" ca="1" si="590"/>
        <v>7.9549686589559104E-2</v>
      </c>
      <c r="X148" s="231">
        <f t="shared" ca="1" si="591"/>
        <v>0.15909937317911821</v>
      </c>
      <c r="Y148" s="232">
        <f t="shared" ca="1" si="592"/>
        <v>0.23864905976867731</v>
      </c>
      <c r="Z148" s="231">
        <f t="shared" ca="1" si="404"/>
        <v>7.9549686589559104E-2</v>
      </c>
      <c r="AA148" s="231">
        <f t="shared" ca="1" si="405"/>
        <v>0.15909937317911821</v>
      </c>
      <c r="AB148" s="232">
        <f t="shared" ca="1" si="406"/>
        <v>0.23864905976867731</v>
      </c>
      <c r="AC148" s="231">
        <f t="shared" ca="1" si="407"/>
        <v>7.9549686589559104E-2</v>
      </c>
      <c r="AD148" s="231">
        <f t="shared" ca="1" si="408"/>
        <v>0.15909937317911821</v>
      </c>
      <c r="AE148" s="232">
        <f t="shared" ca="1" si="422"/>
        <v>0.23864905976867731</v>
      </c>
      <c r="AF148" s="231">
        <f t="shared" ca="1" si="593"/>
        <v>2.402194052249387E-2</v>
      </c>
      <c r="AG148" s="231">
        <f t="shared" ca="1" si="594"/>
        <v>4.8043881044987739E-2</v>
      </c>
      <c r="AH148" s="232">
        <f t="shared" ca="1" si="595"/>
        <v>7.2065821567481606E-2</v>
      </c>
      <c r="AI148" s="233">
        <f t="shared" ca="1" si="423"/>
        <v>1.05</v>
      </c>
      <c r="AJ148" s="233">
        <f t="shared" ca="1" si="424"/>
        <v>1.3</v>
      </c>
      <c r="AK148" s="234">
        <f t="shared" ca="1" si="425"/>
        <v>1.6</v>
      </c>
      <c r="AL148" s="919">
        <f t="shared" ca="1" si="426"/>
        <v>1.05</v>
      </c>
      <c r="AM148" s="233">
        <f t="shared" ca="1" si="427"/>
        <v>1.3</v>
      </c>
      <c r="AN148" s="234">
        <f t="shared" ca="1" si="428"/>
        <v>1.6</v>
      </c>
      <c r="AO148" s="233">
        <f t="shared" ca="1" si="429"/>
        <v>1.05</v>
      </c>
      <c r="AP148" s="233">
        <f t="shared" ca="1" si="430"/>
        <v>1.3</v>
      </c>
      <c r="AQ148" s="233">
        <f t="shared" ca="1" si="431"/>
        <v>1.6</v>
      </c>
      <c r="AR148" s="919">
        <f t="shared" ca="1" si="432"/>
        <v>0.19999999999999998</v>
      </c>
      <c r="AS148" s="233">
        <f t="shared" ca="1" si="433"/>
        <v>0.35</v>
      </c>
      <c r="AT148" s="235">
        <f t="shared" ca="1" si="434"/>
        <v>0.55000000000000004</v>
      </c>
      <c r="AU148" s="946">
        <f t="shared" si="435"/>
        <v>0.5</v>
      </c>
      <c r="AV148" s="13">
        <f t="shared" ca="1" si="436"/>
        <v>0</v>
      </c>
      <c r="AW148" s="210">
        <f t="shared" ca="1" si="437"/>
        <v>0</v>
      </c>
      <c r="AX148" s="210">
        <f t="shared" ca="1" si="438"/>
        <v>0</v>
      </c>
      <c r="AY148" s="210">
        <f t="shared" ca="1" si="439"/>
        <v>0</v>
      </c>
      <c r="AZ148" s="13">
        <f t="shared" ca="1" si="440"/>
        <v>0</v>
      </c>
      <c r="BA148" s="357">
        <f ca="1"/>
        <v>0</v>
      </c>
      <c r="BB148" s="925">
        <f ca="1"/>
        <v>0</v>
      </c>
      <c r="BC148" s="925">
        <f ca="1"/>
        <v>0</v>
      </c>
      <c r="BD148" s="928">
        <f ca="1"/>
        <v>0</v>
      </c>
      <c r="BE148" s="200">
        <f ca="1"/>
        <v>0</v>
      </c>
      <c r="BF148" s="851">
        <f ca="1"/>
        <v>0</v>
      </c>
      <c r="BG148" s="851">
        <f ca="1"/>
        <v>0</v>
      </c>
      <c r="BH148" s="933">
        <f ca="1"/>
        <v>0</v>
      </c>
      <c r="BI148" s="357">
        <f ca="1"/>
        <v>0</v>
      </c>
      <c r="BJ148" s="925">
        <f ca="1"/>
        <v>0</v>
      </c>
      <c r="BK148" s="925">
        <f ca="1"/>
        <v>0</v>
      </c>
      <c r="BL148" s="928">
        <f ca="1"/>
        <v>0</v>
      </c>
      <c r="BM148" s="200">
        <f ca="1"/>
        <v>0</v>
      </c>
      <c r="BN148" s="851">
        <f ca="1"/>
        <v>0</v>
      </c>
      <c r="BO148" s="851">
        <f ca="1"/>
        <v>0</v>
      </c>
      <c r="BP148" s="933">
        <f ca="1"/>
        <v>0</v>
      </c>
      <c r="BQ148" s="357">
        <f t="shared" ca="1" si="441"/>
        <v>0</v>
      </c>
      <c r="BR148" s="361">
        <f t="shared" ca="1" si="442"/>
        <v>0</v>
      </c>
      <c r="BS148" s="357">
        <f t="shared" ca="1" si="443"/>
        <v>0</v>
      </c>
      <c r="BT148" s="302">
        <f t="shared" ca="1" si="444"/>
        <v>0</v>
      </c>
      <c r="BU148" s="299">
        <f t="shared" ca="1" si="445"/>
        <v>0</v>
      </c>
      <c r="BV148" s="299">
        <f t="shared" ca="1" si="446"/>
        <v>0</v>
      </c>
      <c r="BW148" s="299">
        <f t="shared" ca="1" si="447"/>
        <v>0</v>
      </c>
      <c r="BX148" s="380">
        <f t="shared" ca="1" si="448"/>
        <v>10.99520876112252</v>
      </c>
      <c r="BY148" s="363">
        <f t="shared" ca="1" si="449"/>
        <v>0</v>
      </c>
      <c r="BZ148" s="353">
        <f t="shared" ca="1" si="450"/>
        <v>0</v>
      </c>
      <c r="CA148" s="353">
        <f t="shared" ca="1" si="451"/>
        <v>0</v>
      </c>
      <c r="CB148" s="353">
        <f t="shared" ca="1" si="452"/>
        <v>0</v>
      </c>
      <c r="CC148" s="353">
        <f t="shared" ca="1" si="453"/>
        <v>0</v>
      </c>
      <c r="CD148" s="353">
        <f t="shared" ca="1" si="454"/>
        <v>0</v>
      </c>
      <c r="CE148" s="302">
        <f t="shared" ca="1" si="455"/>
        <v>0</v>
      </c>
      <c r="CF148" s="299">
        <f t="shared" ca="1" si="456"/>
        <v>0</v>
      </c>
      <c r="CG148" s="299">
        <f t="shared" ca="1" si="457"/>
        <v>0</v>
      </c>
      <c r="CH148" s="299">
        <f t="shared" ca="1" si="458"/>
        <v>0</v>
      </c>
      <c r="CI148" s="299">
        <f t="shared" ca="1" si="459"/>
        <v>0</v>
      </c>
      <c r="CJ148" s="299">
        <f t="shared" ca="1" si="460"/>
        <v>0</v>
      </c>
      <c r="CK148" s="299">
        <f t="shared" ca="1" si="461"/>
        <v>0</v>
      </c>
      <c r="CL148" s="377" t="str">
        <f t="shared" ca="1" si="462"/>
        <v/>
      </c>
      <c r="CM148" s="305" t="str">
        <f t="shared" ca="1" si="463"/>
        <v/>
      </c>
      <c r="CN148" s="305" t="str">
        <f t="shared" ca="1" si="464"/>
        <v/>
      </c>
      <c r="CO148" s="305" t="str">
        <f t="shared" ca="1" si="465"/>
        <v/>
      </c>
      <c r="CP148" s="305" t="str">
        <f t="shared" ca="1" si="466"/>
        <v/>
      </c>
      <c r="CQ148" s="305" t="str">
        <f t="shared" ca="1" si="467"/>
        <v/>
      </c>
      <c r="CR148" s="775" t="str">
        <f t="shared" ca="1" si="468"/>
        <v/>
      </c>
      <c r="CS148" s="305" t="str">
        <f t="shared" ca="1" si="469"/>
        <v/>
      </c>
      <c r="CT148" s="305" t="str">
        <f t="shared" ca="1" si="470"/>
        <v/>
      </c>
      <c r="CU148" s="305" t="str">
        <f t="shared" ca="1" si="471"/>
        <v/>
      </c>
      <c r="CV148" s="770" t="str">
        <f t="shared" ca="1" si="472"/>
        <v/>
      </c>
      <c r="CW148" s="302">
        <f t="shared" ca="1" si="473"/>
        <v>0</v>
      </c>
      <c r="CX148" s="299">
        <f t="shared" ca="1" si="474"/>
        <v>0</v>
      </c>
      <c r="CY148" s="299">
        <f t="shared" ca="1" si="475"/>
        <v>0</v>
      </c>
      <c r="CZ148" s="299">
        <f t="shared" ca="1" si="476"/>
        <v>0</v>
      </c>
      <c r="DA148" s="774">
        <f t="shared" ca="1" si="477"/>
        <v>0</v>
      </c>
      <c r="DB148" s="303">
        <f t="shared" ca="1" si="478"/>
        <v>0</v>
      </c>
      <c r="DC148" s="248">
        <f t="shared" ca="1" si="479"/>
        <v>0</v>
      </c>
      <c r="DD148" s="778">
        <f t="shared" ca="1" si="480"/>
        <v>0</v>
      </c>
      <c r="DE148" s="363">
        <f t="shared" ca="1" si="481"/>
        <v>0</v>
      </c>
      <c r="DF148" s="378" t="str">
        <f t="shared" ca="1" si="482"/>
        <v/>
      </c>
      <c r="DG148" s="508" t="str">
        <f t="shared" ca="1" si="483"/>
        <v/>
      </c>
      <c r="DH148" s="508" t="str">
        <f t="shared" ca="1" si="484"/>
        <v/>
      </c>
      <c r="DI148" s="508" t="str">
        <f t="shared" ca="1" si="485"/>
        <v/>
      </c>
      <c r="DJ148" s="508" t="str">
        <f t="shared" ca="1" si="486"/>
        <v/>
      </c>
      <c r="DK148" s="353">
        <f t="shared" ca="1" si="487"/>
        <v>0</v>
      </c>
      <c r="DL148" s="781">
        <f t="shared" ca="1" si="488"/>
        <v>0</v>
      </c>
      <c r="DM148" s="303">
        <f t="shared" ca="1" si="489"/>
        <v>0</v>
      </c>
      <c r="DN148" s="508" t="str">
        <f t="shared" ca="1" si="490"/>
        <v/>
      </c>
      <c r="DO148" s="508" t="str">
        <f t="shared" ca="1" si="491"/>
        <v/>
      </c>
      <c r="DP148" s="508" t="str">
        <f t="shared" ca="1" si="492"/>
        <v/>
      </c>
      <c r="DQ148" s="508" t="str">
        <f t="shared" ca="1" si="493"/>
        <v/>
      </c>
      <c r="DR148" s="508" t="str">
        <f t="shared" ca="1" si="494"/>
        <v/>
      </c>
      <c r="DS148" s="353">
        <f t="shared" ca="1" si="495"/>
        <v>0</v>
      </c>
      <c r="DT148" s="353">
        <f t="shared" ca="1" si="496"/>
        <v>0</v>
      </c>
      <c r="DU148" s="380">
        <f t="shared" ca="1" si="596"/>
        <v>10.99520876112252</v>
      </c>
      <c r="DV148" s="303">
        <f t="shared" ca="1" si="497"/>
        <v>0</v>
      </c>
      <c r="DW148" s="303">
        <f t="shared" ca="1" si="498"/>
        <v>0</v>
      </c>
      <c r="DX148" s="303">
        <f t="shared" ca="1" si="499"/>
        <v>0</v>
      </c>
      <c r="DY148" s="303">
        <f t="shared" ca="1" si="500"/>
        <v>0</v>
      </c>
      <c r="DZ148" s="303">
        <f t="shared" ca="1" si="501"/>
        <v>0</v>
      </c>
      <c r="EA148" s="303">
        <f t="shared" ca="1" si="502"/>
        <v>0</v>
      </c>
      <c r="EB148" s="302">
        <f t="shared" ca="1" si="503"/>
        <v>0</v>
      </c>
      <c r="EC148" s="299">
        <f t="shared" ca="1" si="504"/>
        <v>0</v>
      </c>
      <c r="ED148" s="299">
        <f t="shared" ca="1" si="505"/>
        <v>0</v>
      </c>
      <c r="EE148" s="299">
        <f t="shared" ca="1" si="506"/>
        <v>0</v>
      </c>
      <c r="EF148" s="299">
        <f t="shared" ca="1" si="507"/>
        <v>0</v>
      </c>
      <c r="EG148" s="299">
        <f t="shared" ca="1" si="508"/>
        <v>0</v>
      </c>
      <c r="EH148" s="302">
        <f t="shared" ca="1" si="509"/>
        <v>0</v>
      </c>
      <c r="EI148" s="304" t="str">
        <f t="shared" ca="1" si="510"/>
        <v/>
      </c>
      <c r="EJ148" s="305" t="str">
        <f t="shared" ca="1" si="511"/>
        <v/>
      </c>
      <c r="EK148" s="305" t="str">
        <f t="shared" ca="1" si="512"/>
        <v/>
      </c>
      <c r="EL148" s="305" t="str">
        <f t="shared" ca="1" si="513"/>
        <v/>
      </c>
      <c r="EM148" s="305" t="str">
        <f t="shared" ca="1" si="514"/>
        <v/>
      </c>
      <c r="EN148" s="305" t="str">
        <f t="shared" ca="1" si="515"/>
        <v/>
      </c>
      <c r="EO148" s="305" t="str">
        <f t="shared" ca="1" si="516"/>
        <v/>
      </c>
      <c r="EP148" s="305" t="str">
        <f t="shared" ca="1" si="517"/>
        <v/>
      </c>
      <c r="EQ148" s="305" t="str">
        <f t="shared" ca="1" si="518"/>
        <v/>
      </c>
      <c r="ER148" s="305" t="str">
        <f t="shared" ca="1" si="519"/>
        <v/>
      </c>
      <c r="ES148" s="305" t="str">
        <f t="shared" ca="1" si="520"/>
        <v/>
      </c>
      <c r="ET148" s="299">
        <f t="shared" ca="1" si="521"/>
        <v>0</v>
      </c>
      <c r="EU148" s="302">
        <f t="shared" ca="1" si="522"/>
        <v>0</v>
      </c>
      <c r="EV148" s="304" t="str">
        <f t="shared" ca="1" si="523"/>
        <v/>
      </c>
      <c r="EW148" s="305" t="str">
        <f t="shared" ca="1" si="524"/>
        <v/>
      </c>
      <c r="EX148" s="305" t="str">
        <f t="shared" ca="1" si="525"/>
        <v/>
      </c>
      <c r="EY148" s="305" t="str">
        <f t="shared" ca="1" si="526"/>
        <v/>
      </c>
      <c r="EZ148" s="305" t="str">
        <f t="shared" ca="1" si="527"/>
        <v/>
      </c>
      <c r="FA148" s="305" t="str">
        <f t="shared" ca="1" si="528"/>
        <v/>
      </c>
      <c r="FB148" s="305" t="str">
        <f t="shared" ca="1" si="529"/>
        <v/>
      </c>
      <c r="FC148" s="305" t="str">
        <f t="shared" ca="1" si="530"/>
        <v/>
      </c>
      <c r="FD148" s="305" t="str">
        <f t="shared" ca="1" si="531"/>
        <v/>
      </c>
      <c r="FE148" s="305" t="str">
        <f t="shared" ca="1" si="532"/>
        <v/>
      </c>
      <c r="FF148" s="305" t="str">
        <f t="shared" ca="1" si="533"/>
        <v/>
      </c>
      <c r="FG148" s="299">
        <f t="shared" ca="1" si="534"/>
        <v>0</v>
      </c>
      <c r="FH148" s="302">
        <f t="shared" ca="1" si="535"/>
        <v>0</v>
      </c>
      <c r="FI148" s="248">
        <f t="shared" ca="1" si="536"/>
        <v>0</v>
      </c>
      <c r="FJ148" s="363">
        <f t="shared" ca="1" si="537"/>
        <v>0</v>
      </c>
      <c r="FK148" s="378" t="str">
        <f t="shared" ca="1" si="538"/>
        <v/>
      </c>
      <c r="FL148" s="508" t="str">
        <f t="shared" ca="1" si="539"/>
        <v/>
      </c>
      <c r="FM148" s="508" t="str">
        <f t="shared" ca="1" si="540"/>
        <v/>
      </c>
      <c r="FN148" s="508" t="str">
        <f t="shared" ca="1" si="541"/>
        <v/>
      </c>
      <c r="FO148" s="508" t="str">
        <f t="shared" ca="1" si="542"/>
        <v/>
      </c>
      <c r="FP148" s="353">
        <f t="shared" ca="1" si="543"/>
        <v>0</v>
      </c>
      <c r="FQ148" s="356">
        <f t="shared" ca="1" si="544"/>
        <v>0</v>
      </c>
      <c r="FR148" s="380">
        <f t="shared" ca="1" si="545"/>
        <v>0</v>
      </c>
      <c r="FS148" s="299">
        <f t="shared" ca="1" si="546"/>
        <v>0</v>
      </c>
      <c r="FT148" s="299">
        <f t="shared" ca="1" si="547"/>
        <v>0</v>
      </c>
      <c r="FU148" s="299">
        <f t="shared" ca="1" si="548"/>
        <v>0</v>
      </c>
      <c r="FV148" s="299">
        <f t="shared" ca="1" si="549"/>
        <v>0</v>
      </c>
      <c r="FW148" s="850" t="str">
        <f t="shared" ca="1" si="550"/>
        <v/>
      </c>
      <c r="FX148" s="851" t="str">
        <f t="shared" ca="1" si="551"/>
        <v/>
      </c>
      <c r="FY148" s="851" t="str">
        <f t="shared" ca="1" si="552"/>
        <v/>
      </c>
      <c r="FZ148" s="201" t="str">
        <f t="shared" ca="1" si="553"/>
        <v/>
      </c>
      <c r="GA148" s="201" t="str">
        <f t="shared" ca="1" si="554"/>
        <v/>
      </c>
      <c r="GB148" s="201" t="str">
        <f t="shared" ca="1" si="555"/>
        <v/>
      </c>
      <c r="GC148" s="201" t="str">
        <f t="shared" ca="1" si="556"/>
        <v/>
      </c>
      <c r="GD148" s="850" t="str">
        <f t="shared" ca="1" si="557"/>
        <v/>
      </c>
      <c r="GE148" s="866" t="str">
        <f t="shared" ca="1" si="558"/>
        <v/>
      </c>
      <c r="GF148" s="866" t="str">
        <f t="shared" ca="1" si="559"/>
        <v/>
      </c>
      <c r="GG148" s="866" t="str">
        <f t="shared" ca="1" si="560"/>
        <v/>
      </c>
      <c r="GH148" s="866" t="str">
        <f t="shared" ca="1" si="561"/>
        <v/>
      </c>
      <c r="GI148" s="302">
        <f t="shared" ca="1" si="562"/>
        <v>0</v>
      </c>
      <c r="GJ148" s="299">
        <f t="shared" ca="1" si="563"/>
        <v>0</v>
      </c>
      <c r="GK148" s="299">
        <f t="shared" ca="1" si="564"/>
        <v>0</v>
      </c>
      <c r="GL148" s="299">
        <f t="shared" ca="1" si="565"/>
        <v>0</v>
      </c>
      <c r="GM148" s="299">
        <f t="shared" ca="1" si="566"/>
        <v>0</v>
      </c>
      <c r="GN148" s="302">
        <f t="shared" ca="1" si="567"/>
        <v>0</v>
      </c>
      <c r="GO148" s="299">
        <f t="shared" ca="1" si="568"/>
        <v>0</v>
      </c>
      <c r="GP148" s="299">
        <f t="shared" ca="1" si="569"/>
        <v>0</v>
      </c>
      <c r="GQ148" s="299">
        <f t="shared" ca="1" si="570"/>
        <v>0</v>
      </c>
      <c r="GR148" s="299">
        <f t="shared" ca="1" si="571"/>
        <v>0</v>
      </c>
      <c r="GS148" s="302">
        <f t="shared" ca="1" si="572"/>
        <v>0</v>
      </c>
      <c r="GT148" s="299">
        <f t="shared" ca="1" si="573"/>
        <v>0</v>
      </c>
      <c r="GU148" s="299">
        <f t="shared" ca="1" si="574"/>
        <v>0</v>
      </c>
      <c r="GV148" s="299">
        <f t="shared" ca="1" si="575"/>
        <v>0</v>
      </c>
      <c r="GW148" s="299">
        <f t="shared" ca="1" si="576"/>
        <v>0</v>
      </c>
      <c r="GX148" s="303">
        <f t="shared" ca="1" si="577"/>
        <v>0</v>
      </c>
      <c r="GY148" s="303">
        <f t="shared" ca="1" si="578"/>
        <v>0</v>
      </c>
      <c r="GZ148" s="303">
        <f t="shared" ca="1" si="579"/>
        <v>0</v>
      </c>
      <c r="HA148" s="303">
        <f t="shared" ca="1" si="580"/>
        <v>0</v>
      </c>
      <c r="HB148" s="303">
        <f t="shared" ca="1" si="581"/>
        <v>0</v>
      </c>
      <c r="HC148" s="303">
        <f t="shared" ca="1" si="582"/>
        <v>0</v>
      </c>
      <c r="HD148" s="303">
        <f t="shared" ca="1" si="583"/>
        <v>0</v>
      </c>
      <c r="HE148" s="303">
        <f t="shared" ca="1" si="584"/>
        <v>0</v>
      </c>
      <c r="HF148" s="303">
        <f t="shared" ca="1" si="585"/>
        <v>0</v>
      </c>
      <c r="HG148" s="852">
        <f t="shared" ca="1" si="586"/>
        <v>0</v>
      </c>
    </row>
    <row r="149" spans="1:215" x14ac:dyDescent="0.25">
      <c r="A149" s="244">
        <f t="shared" ca="1" si="587"/>
        <v>40634</v>
      </c>
      <c r="B149" s="13">
        <f t="shared" ca="1" si="415"/>
        <v>2011</v>
      </c>
      <c r="C149" s="619">
        <f t="shared" ca="1" si="416"/>
        <v>4</v>
      </c>
      <c r="D149" s="195" t="str">
        <f t="shared" ca="1" si="417"/>
        <v/>
      </c>
      <c r="E149" s="469" t="str">
        <f t="shared" ca="1" si="418"/>
        <v/>
      </c>
      <c r="F149" s="465" t="str">
        <f t="shared" ca="1" si="419"/>
        <v/>
      </c>
      <c r="G149" s="522">
        <f t="shared" ca="1" si="588"/>
        <v>1</v>
      </c>
      <c r="H149" s="519">
        <f t="shared" ca="1" si="589"/>
        <v>1</v>
      </c>
      <c r="I149" s="724">
        <f t="shared" ca="1" si="420"/>
        <v>7.4200918646201999E-2</v>
      </c>
      <c r="J149" s="198">
        <f t="shared" ca="1" si="421"/>
        <v>0.44173621675069114</v>
      </c>
      <c r="K149" s="200">
        <f t="shared" ca="1" si="597"/>
        <v>32</v>
      </c>
      <c r="L149" s="201">
        <f t="shared" ca="1" si="598"/>
        <v>32.75</v>
      </c>
      <c r="M149" s="206">
        <f t="shared" ca="1" si="599"/>
        <v>33.5</v>
      </c>
      <c r="N149" s="851">
        <f t="shared" ca="1" si="603"/>
        <v>22.555000305175774</v>
      </c>
      <c r="O149" s="201">
        <f t="shared" ca="1" si="604"/>
        <v>23.117500305175774</v>
      </c>
      <c r="P149" s="206">
        <f t="shared" ca="1" si="605"/>
        <v>23.680000305175774</v>
      </c>
      <c r="Q149" s="201">
        <f t="shared" ca="1" si="606"/>
        <v>17.534999084472648</v>
      </c>
      <c r="R149" s="201">
        <f t="shared" ca="1" si="607"/>
        <v>21.834999084472649</v>
      </c>
      <c r="S149" s="201">
        <f t="shared" ca="1" si="608"/>
        <v>26.13499908447265</v>
      </c>
      <c r="T149" s="851">
        <f t="shared" ca="1" si="600"/>
        <v>19.824997711181638</v>
      </c>
      <c r="U149" s="201">
        <f t="shared" ca="1" si="601"/>
        <v>20.199997711181638</v>
      </c>
      <c r="V149" s="206">
        <f t="shared" ca="1" si="602"/>
        <v>20.574997711181638</v>
      </c>
      <c r="W149" s="230">
        <f t="shared" ca="1" si="590"/>
        <v>7.0995232570190747E-2</v>
      </c>
      <c r="X149" s="231">
        <f t="shared" ca="1" si="591"/>
        <v>0.14199046514038149</v>
      </c>
      <c r="Y149" s="232">
        <f t="shared" ca="1" si="592"/>
        <v>0.21298569771057224</v>
      </c>
      <c r="Z149" s="231">
        <f t="shared" ca="1" si="404"/>
        <v>7.0995232570190747E-2</v>
      </c>
      <c r="AA149" s="231">
        <f t="shared" ca="1" si="405"/>
        <v>0.14199046514038149</v>
      </c>
      <c r="AB149" s="232">
        <f t="shared" ca="1" si="406"/>
        <v>0.21298569771057224</v>
      </c>
      <c r="AC149" s="231">
        <f t="shared" ca="1" si="407"/>
        <v>7.0995232570190747E-2</v>
      </c>
      <c r="AD149" s="231">
        <f t="shared" ca="1" si="408"/>
        <v>0.14199046514038149</v>
      </c>
      <c r="AE149" s="232">
        <f t="shared" ca="1" si="422"/>
        <v>0.21298569771057224</v>
      </c>
      <c r="AF149" s="231">
        <f t="shared" ca="1" si="593"/>
        <v>2.402194052249387E-2</v>
      </c>
      <c r="AG149" s="231">
        <f t="shared" ca="1" si="594"/>
        <v>4.8043881044987739E-2</v>
      </c>
      <c r="AH149" s="232">
        <f t="shared" ca="1" si="595"/>
        <v>7.2065821567481606E-2</v>
      </c>
      <c r="AI149" s="233">
        <f t="shared" ca="1" si="423"/>
        <v>0.85000000000000009</v>
      </c>
      <c r="AJ149" s="233">
        <f t="shared" ca="1" si="424"/>
        <v>1.1000000000000001</v>
      </c>
      <c r="AK149" s="234">
        <f t="shared" ca="1" si="425"/>
        <v>1.4000000000000001</v>
      </c>
      <c r="AL149" s="919">
        <f t="shared" ca="1" si="426"/>
        <v>0.85000000000000009</v>
      </c>
      <c r="AM149" s="233">
        <f t="shared" ca="1" si="427"/>
        <v>1.1000000000000001</v>
      </c>
      <c r="AN149" s="234">
        <f t="shared" ca="1" si="428"/>
        <v>1.4000000000000001</v>
      </c>
      <c r="AO149" s="233">
        <f t="shared" ca="1" si="429"/>
        <v>0.85000000000000009</v>
      </c>
      <c r="AP149" s="233">
        <f t="shared" ca="1" si="430"/>
        <v>1.1000000000000001</v>
      </c>
      <c r="AQ149" s="233">
        <f t="shared" ca="1" si="431"/>
        <v>1.4000000000000001</v>
      </c>
      <c r="AR149" s="919">
        <f t="shared" ca="1" si="432"/>
        <v>0.19999999999999998</v>
      </c>
      <c r="AS149" s="233">
        <f t="shared" ca="1" si="433"/>
        <v>0.35</v>
      </c>
      <c r="AT149" s="235">
        <f t="shared" ca="1" si="434"/>
        <v>0.55000000000000004</v>
      </c>
      <c r="AU149" s="946">
        <f t="shared" si="435"/>
        <v>0.5</v>
      </c>
      <c r="AV149" s="13">
        <f t="shared" ca="1" si="436"/>
        <v>0</v>
      </c>
      <c r="AW149" s="210">
        <f t="shared" ca="1" si="437"/>
        <v>0</v>
      </c>
      <c r="AX149" s="210">
        <f t="shared" ca="1" si="438"/>
        <v>0</v>
      </c>
      <c r="AY149" s="210">
        <f t="shared" ca="1" si="439"/>
        <v>0</v>
      </c>
      <c r="AZ149" s="13">
        <f t="shared" ca="1" si="440"/>
        <v>0</v>
      </c>
      <c r="BA149" s="357">
        <f ca="1"/>
        <v>0</v>
      </c>
      <c r="BB149" s="925">
        <f ca="1"/>
        <v>0</v>
      </c>
      <c r="BC149" s="925">
        <f ca="1"/>
        <v>0</v>
      </c>
      <c r="BD149" s="928">
        <f ca="1"/>
        <v>0</v>
      </c>
      <c r="BE149" s="200">
        <f ca="1"/>
        <v>0</v>
      </c>
      <c r="BF149" s="851">
        <f ca="1"/>
        <v>0</v>
      </c>
      <c r="BG149" s="851">
        <f ca="1"/>
        <v>0</v>
      </c>
      <c r="BH149" s="933">
        <f ca="1"/>
        <v>0</v>
      </c>
      <c r="BI149" s="357">
        <f ca="1"/>
        <v>0</v>
      </c>
      <c r="BJ149" s="925">
        <f ca="1"/>
        <v>0</v>
      </c>
      <c r="BK149" s="925">
        <f ca="1"/>
        <v>0</v>
      </c>
      <c r="BL149" s="928">
        <f ca="1"/>
        <v>0</v>
      </c>
      <c r="BM149" s="200">
        <f ca="1"/>
        <v>0</v>
      </c>
      <c r="BN149" s="851">
        <f ca="1"/>
        <v>0</v>
      </c>
      <c r="BO149" s="851">
        <f ca="1"/>
        <v>0</v>
      </c>
      <c r="BP149" s="933">
        <f ca="1"/>
        <v>0</v>
      </c>
      <c r="BQ149" s="357">
        <f t="shared" ca="1" si="441"/>
        <v>0</v>
      </c>
      <c r="BR149" s="361">
        <f t="shared" ca="1" si="442"/>
        <v>0</v>
      </c>
      <c r="BS149" s="357">
        <f t="shared" ca="1" si="443"/>
        <v>0</v>
      </c>
      <c r="BT149" s="302">
        <f t="shared" ca="1" si="444"/>
        <v>0</v>
      </c>
      <c r="BU149" s="299">
        <f t="shared" ca="1" si="445"/>
        <v>0</v>
      </c>
      <c r="BV149" s="299">
        <f t="shared" ca="1" si="446"/>
        <v>0</v>
      </c>
      <c r="BW149" s="299">
        <f t="shared" ca="1" si="447"/>
        <v>0</v>
      </c>
      <c r="BX149" s="380">
        <f t="shared" ca="1" si="448"/>
        <v>11.080082135523615</v>
      </c>
      <c r="BY149" s="363">
        <f t="shared" ca="1" si="449"/>
        <v>0</v>
      </c>
      <c r="BZ149" s="353">
        <f t="shared" ca="1" si="450"/>
        <v>0</v>
      </c>
      <c r="CA149" s="353">
        <f t="shared" ca="1" si="451"/>
        <v>0</v>
      </c>
      <c r="CB149" s="353">
        <f t="shared" ca="1" si="452"/>
        <v>0</v>
      </c>
      <c r="CC149" s="353">
        <f t="shared" ca="1" si="453"/>
        <v>0</v>
      </c>
      <c r="CD149" s="353">
        <f t="shared" ca="1" si="454"/>
        <v>0</v>
      </c>
      <c r="CE149" s="302">
        <f t="shared" ca="1" si="455"/>
        <v>0</v>
      </c>
      <c r="CF149" s="299">
        <f t="shared" ca="1" si="456"/>
        <v>0</v>
      </c>
      <c r="CG149" s="299">
        <f t="shared" ca="1" si="457"/>
        <v>0</v>
      </c>
      <c r="CH149" s="299">
        <f t="shared" ca="1" si="458"/>
        <v>0</v>
      </c>
      <c r="CI149" s="299">
        <f t="shared" ca="1" si="459"/>
        <v>0</v>
      </c>
      <c r="CJ149" s="299">
        <f t="shared" ca="1" si="460"/>
        <v>0</v>
      </c>
      <c r="CK149" s="299">
        <f t="shared" ca="1" si="461"/>
        <v>0</v>
      </c>
      <c r="CL149" s="377" t="str">
        <f t="shared" ca="1" si="462"/>
        <v/>
      </c>
      <c r="CM149" s="305" t="str">
        <f t="shared" ca="1" si="463"/>
        <v/>
      </c>
      <c r="CN149" s="305" t="str">
        <f t="shared" ca="1" si="464"/>
        <v/>
      </c>
      <c r="CO149" s="305" t="str">
        <f t="shared" ca="1" si="465"/>
        <v/>
      </c>
      <c r="CP149" s="305" t="str">
        <f t="shared" ca="1" si="466"/>
        <v/>
      </c>
      <c r="CQ149" s="305" t="str">
        <f t="shared" ca="1" si="467"/>
        <v/>
      </c>
      <c r="CR149" s="775" t="str">
        <f t="shared" ca="1" si="468"/>
        <v/>
      </c>
      <c r="CS149" s="305" t="str">
        <f t="shared" ca="1" si="469"/>
        <v/>
      </c>
      <c r="CT149" s="305" t="str">
        <f t="shared" ca="1" si="470"/>
        <v/>
      </c>
      <c r="CU149" s="305" t="str">
        <f t="shared" ca="1" si="471"/>
        <v/>
      </c>
      <c r="CV149" s="770" t="str">
        <f t="shared" ca="1" si="472"/>
        <v/>
      </c>
      <c r="CW149" s="302">
        <f t="shared" ca="1" si="473"/>
        <v>0</v>
      </c>
      <c r="CX149" s="299">
        <f t="shared" ca="1" si="474"/>
        <v>0</v>
      </c>
      <c r="CY149" s="299">
        <f t="shared" ca="1" si="475"/>
        <v>0</v>
      </c>
      <c r="CZ149" s="299">
        <f t="shared" ca="1" si="476"/>
        <v>0</v>
      </c>
      <c r="DA149" s="774">
        <f t="shared" ca="1" si="477"/>
        <v>0</v>
      </c>
      <c r="DB149" s="303">
        <f t="shared" ca="1" si="478"/>
        <v>0</v>
      </c>
      <c r="DC149" s="248">
        <f t="shared" ca="1" si="479"/>
        <v>0</v>
      </c>
      <c r="DD149" s="778">
        <f t="shared" ca="1" si="480"/>
        <v>0</v>
      </c>
      <c r="DE149" s="363">
        <f t="shared" ca="1" si="481"/>
        <v>0</v>
      </c>
      <c r="DF149" s="378" t="str">
        <f t="shared" ca="1" si="482"/>
        <v/>
      </c>
      <c r="DG149" s="508" t="str">
        <f t="shared" ca="1" si="483"/>
        <v/>
      </c>
      <c r="DH149" s="508" t="str">
        <f t="shared" ca="1" si="484"/>
        <v/>
      </c>
      <c r="DI149" s="508" t="str">
        <f t="shared" ca="1" si="485"/>
        <v/>
      </c>
      <c r="DJ149" s="508" t="str">
        <f t="shared" ca="1" si="486"/>
        <v/>
      </c>
      <c r="DK149" s="353">
        <f t="shared" ca="1" si="487"/>
        <v>0</v>
      </c>
      <c r="DL149" s="781">
        <f t="shared" ca="1" si="488"/>
        <v>0</v>
      </c>
      <c r="DM149" s="303">
        <f t="shared" ca="1" si="489"/>
        <v>0</v>
      </c>
      <c r="DN149" s="508" t="str">
        <f t="shared" ca="1" si="490"/>
        <v/>
      </c>
      <c r="DO149" s="508" t="str">
        <f t="shared" ca="1" si="491"/>
        <v/>
      </c>
      <c r="DP149" s="508" t="str">
        <f t="shared" ca="1" si="492"/>
        <v/>
      </c>
      <c r="DQ149" s="508" t="str">
        <f t="shared" ca="1" si="493"/>
        <v/>
      </c>
      <c r="DR149" s="508" t="str">
        <f t="shared" ca="1" si="494"/>
        <v/>
      </c>
      <c r="DS149" s="353">
        <f t="shared" ca="1" si="495"/>
        <v>0</v>
      </c>
      <c r="DT149" s="353">
        <f t="shared" ca="1" si="496"/>
        <v>0</v>
      </c>
      <c r="DU149" s="380">
        <f t="shared" ca="1" si="596"/>
        <v>11.080082135523615</v>
      </c>
      <c r="DV149" s="303">
        <f t="shared" ca="1" si="497"/>
        <v>0</v>
      </c>
      <c r="DW149" s="303">
        <f t="shared" ca="1" si="498"/>
        <v>0</v>
      </c>
      <c r="DX149" s="303">
        <f t="shared" ca="1" si="499"/>
        <v>0</v>
      </c>
      <c r="DY149" s="303">
        <f t="shared" ca="1" si="500"/>
        <v>0</v>
      </c>
      <c r="DZ149" s="303">
        <f t="shared" ca="1" si="501"/>
        <v>0</v>
      </c>
      <c r="EA149" s="303">
        <f t="shared" ca="1" si="502"/>
        <v>0</v>
      </c>
      <c r="EB149" s="302">
        <f t="shared" ca="1" si="503"/>
        <v>0</v>
      </c>
      <c r="EC149" s="299">
        <f t="shared" ca="1" si="504"/>
        <v>0</v>
      </c>
      <c r="ED149" s="299">
        <f t="shared" ca="1" si="505"/>
        <v>0</v>
      </c>
      <c r="EE149" s="299">
        <f t="shared" ca="1" si="506"/>
        <v>0</v>
      </c>
      <c r="EF149" s="299">
        <f t="shared" ca="1" si="507"/>
        <v>0</v>
      </c>
      <c r="EG149" s="299">
        <f t="shared" ca="1" si="508"/>
        <v>0</v>
      </c>
      <c r="EH149" s="302">
        <f t="shared" ca="1" si="509"/>
        <v>0</v>
      </c>
      <c r="EI149" s="304" t="str">
        <f t="shared" ca="1" si="510"/>
        <v/>
      </c>
      <c r="EJ149" s="305" t="str">
        <f t="shared" ca="1" si="511"/>
        <v/>
      </c>
      <c r="EK149" s="305" t="str">
        <f t="shared" ca="1" si="512"/>
        <v/>
      </c>
      <c r="EL149" s="305" t="str">
        <f t="shared" ca="1" si="513"/>
        <v/>
      </c>
      <c r="EM149" s="305" t="str">
        <f t="shared" ca="1" si="514"/>
        <v/>
      </c>
      <c r="EN149" s="305" t="str">
        <f t="shared" ca="1" si="515"/>
        <v/>
      </c>
      <c r="EO149" s="305" t="str">
        <f t="shared" ca="1" si="516"/>
        <v/>
      </c>
      <c r="EP149" s="305" t="str">
        <f t="shared" ca="1" si="517"/>
        <v/>
      </c>
      <c r="EQ149" s="305" t="str">
        <f t="shared" ca="1" si="518"/>
        <v/>
      </c>
      <c r="ER149" s="305" t="str">
        <f t="shared" ca="1" si="519"/>
        <v/>
      </c>
      <c r="ES149" s="305" t="str">
        <f t="shared" ca="1" si="520"/>
        <v/>
      </c>
      <c r="ET149" s="299">
        <f t="shared" ca="1" si="521"/>
        <v>0</v>
      </c>
      <c r="EU149" s="302">
        <f t="shared" ca="1" si="522"/>
        <v>0</v>
      </c>
      <c r="EV149" s="304" t="str">
        <f t="shared" ca="1" si="523"/>
        <v/>
      </c>
      <c r="EW149" s="305" t="str">
        <f t="shared" ca="1" si="524"/>
        <v/>
      </c>
      <c r="EX149" s="305" t="str">
        <f t="shared" ca="1" si="525"/>
        <v/>
      </c>
      <c r="EY149" s="305" t="str">
        <f t="shared" ca="1" si="526"/>
        <v/>
      </c>
      <c r="EZ149" s="305" t="str">
        <f t="shared" ca="1" si="527"/>
        <v/>
      </c>
      <c r="FA149" s="305" t="str">
        <f t="shared" ca="1" si="528"/>
        <v/>
      </c>
      <c r="FB149" s="305" t="str">
        <f t="shared" ca="1" si="529"/>
        <v/>
      </c>
      <c r="FC149" s="305" t="str">
        <f t="shared" ca="1" si="530"/>
        <v/>
      </c>
      <c r="FD149" s="305" t="str">
        <f t="shared" ca="1" si="531"/>
        <v/>
      </c>
      <c r="FE149" s="305" t="str">
        <f t="shared" ca="1" si="532"/>
        <v/>
      </c>
      <c r="FF149" s="305" t="str">
        <f t="shared" ca="1" si="533"/>
        <v/>
      </c>
      <c r="FG149" s="299">
        <f t="shared" ca="1" si="534"/>
        <v>0</v>
      </c>
      <c r="FH149" s="302">
        <f t="shared" ca="1" si="535"/>
        <v>0</v>
      </c>
      <c r="FI149" s="248">
        <f t="shared" ca="1" si="536"/>
        <v>0</v>
      </c>
      <c r="FJ149" s="363">
        <f t="shared" ca="1" si="537"/>
        <v>0</v>
      </c>
      <c r="FK149" s="378" t="str">
        <f t="shared" ca="1" si="538"/>
        <v/>
      </c>
      <c r="FL149" s="508" t="str">
        <f t="shared" ca="1" si="539"/>
        <v/>
      </c>
      <c r="FM149" s="508" t="str">
        <f t="shared" ca="1" si="540"/>
        <v/>
      </c>
      <c r="FN149" s="508" t="str">
        <f t="shared" ca="1" si="541"/>
        <v/>
      </c>
      <c r="FO149" s="508" t="str">
        <f t="shared" ca="1" si="542"/>
        <v/>
      </c>
      <c r="FP149" s="353">
        <f t="shared" ca="1" si="543"/>
        <v>0</v>
      </c>
      <c r="FQ149" s="356">
        <f t="shared" ca="1" si="544"/>
        <v>0</v>
      </c>
      <c r="FR149" s="380">
        <f t="shared" ca="1" si="545"/>
        <v>0</v>
      </c>
      <c r="FS149" s="299">
        <f t="shared" ca="1" si="546"/>
        <v>0</v>
      </c>
      <c r="FT149" s="299">
        <f t="shared" ca="1" si="547"/>
        <v>0</v>
      </c>
      <c r="FU149" s="299">
        <f t="shared" ca="1" si="548"/>
        <v>0</v>
      </c>
      <c r="FV149" s="299">
        <f t="shared" ca="1" si="549"/>
        <v>0</v>
      </c>
      <c r="FW149" s="850" t="str">
        <f t="shared" ca="1" si="550"/>
        <v/>
      </c>
      <c r="FX149" s="851" t="str">
        <f t="shared" ca="1" si="551"/>
        <v/>
      </c>
      <c r="FY149" s="851" t="str">
        <f t="shared" ca="1" si="552"/>
        <v/>
      </c>
      <c r="FZ149" s="201" t="str">
        <f t="shared" ca="1" si="553"/>
        <v/>
      </c>
      <c r="GA149" s="201" t="str">
        <f t="shared" ca="1" si="554"/>
        <v/>
      </c>
      <c r="GB149" s="201" t="str">
        <f t="shared" ca="1" si="555"/>
        <v/>
      </c>
      <c r="GC149" s="201" t="str">
        <f t="shared" ca="1" si="556"/>
        <v/>
      </c>
      <c r="GD149" s="850" t="str">
        <f t="shared" ca="1" si="557"/>
        <v/>
      </c>
      <c r="GE149" s="866" t="str">
        <f t="shared" ca="1" si="558"/>
        <v/>
      </c>
      <c r="GF149" s="866" t="str">
        <f t="shared" ca="1" si="559"/>
        <v/>
      </c>
      <c r="GG149" s="866" t="str">
        <f t="shared" ca="1" si="560"/>
        <v/>
      </c>
      <c r="GH149" s="866" t="str">
        <f t="shared" ca="1" si="561"/>
        <v/>
      </c>
      <c r="GI149" s="302">
        <f t="shared" ca="1" si="562"/>
        <v>0</v>
      </c>
      <c r="GJ149" s="299">
        <f t="shared" ca="1" si="563"/>
        <v>0</v>
      </c>
      <c r="GK149" s="299">
        <f t="shared" ca="1" si="564"/>
        <v>0</v>
      </c>
      <c r="GL149" s="299">
        <f t="shared" ca="1" si="565"/>
        <v>0</v>
      </c>
      <c r="GM149" s="299">
        <f t="shared" ca="1" si="566"/>
        <v>0</v>
      </c>
      <c r="GN149" s="302">
        <f t="shared" ca="1" si="567"/>
        <v>0</v>
      </c>
      <c r="GO149" s="299">
        <f t="shared" ca="1" si="568"/>
        <v>0</v>
      </c>
      <c r="GP149" s="299">
        <f t="shared" ca="1" si="569"/>
        <v>0</v>
      </c>
      <c r="GQ149" s="299">
        <f t="shared" ca="1" si="570"/>
        <v>0</v>
      </c>
      <c r="GR149" s="299">
        <f t="shared" ca="1" si="571"/>
        <v>0</v>
      </c>
      <c r="GS149" s="302">
        <f t="shared" ca="1" si="572"/>
        <v>0</v>
      </c>
      <c r="GT149" s="299">
        <f t="shared" ca="1" si="573"/>
        <v>0</v>
      </c>
      <c r="GU149" s="299">
        <f t="shared" ca="1" si="574"/>
        <v>0</v>
      </c>
      <c r="GV149" s="299">
        <f t="shared" ca="1" si="575"/>
        <v>0</v>
      </c>
      <c r="GW149" s="299">
        <f t="shared" ca="1" si="576"/>
        <v>0</v>
      </c>
      <c r="GX149" s="303">
        <f t="shared" ca="1" si="577"/>
        <v>0</v>
      </c>
      <c r="GY149" s="303">
        <f t="shared" ca="1" si="578"/>
        <v>0</v>
      </c>
      <c r="GZ149" s="303">
        <f t="shared" ca="1" si="579"/>
        <v>0</v>
      </c>
      <c r="HA149" s="303">
        <f t="shared" ca="1" si="580"/>
        <v>0</v>
      </c>
      <c r="HB149" s="303">
        <f t="shared" ca="1" si="581"/>
        <v>0</v>
      </c>
      <c r="HC149" s="303">
        <f t="shared" ca="1" si="582"/>
        <v>0</v>
      </c>
      <c r="HD149" s="303">
        <f t="shared" ca="1" si="583"/>
        <v>0</v>
      </c>
      <c r="HE149" s="303">
        <f t="shared" ca="1" si="584"/>
        <v>0</v>
      </c>
      <c r="HF149" s="303">
        <f t="shared" ca="1" si="585"/>
        <v>0</v>
      </c>
      <c r="HG149" s="852">
        <f t="shared" ca="1" si="586"/>
        <v>0</v>
      </c>
    </row>
    <row r="150" spans="1:215" x14ac:dyDescent="0.25">
      <c r="A150" s="244">
        <f t="shared" ca="1" si="587"/>
        <v>40664</v>
      </c>
      <c r="B150" s="13">
        <f t="shared" ca="1" si="415"/>
        <v>2011</v>
      </c>
      <c r="C150" s="619">
        <f t="shared" ca="1" si="416"/>
        <v>5</v>
      </c>
      <c r="D150" s="195">
        <f t="shared" ca="1" si="417"/>
        <v>40693</v>
      </c>
      <c r="E150" s="469" t="str">
        <f t="shared" ca="1" si="418"/>
        <v/>
      </c>
      <c r="F150" s="465" t="str">
        <f t="shared" ca="1" si="419"/>
        <v/>
      </c>
      <c r="G150" s="522">
        <f t="shared" ca="1" si="588"/>
        <v>1</v>
      </c>
      <c r="H150" s="519">
        <f t="shared" ca="1" si="589"/>
        <v>1</v>
      </c>
      <c r="I150" s="724">
        <f t="shared" ca="1" si="420"/>
        <v>7.420063343534801E-2</v>
      </c>
      <c r="J150" s="198">
        <f t="shared" ca="1" si="421"/>
        <v>0.43901445792796251</v>
      </c>
      <c r="K150" s="200">
        <f t="shared" ca="1" si="597"/>
        <v>32.67</v>
      </c>
      <c r="L150" s="201">
        <f t="shared" ca="1" si="598"/>
        <v>35.15</v>
      </c>
      <c r="M150" s="206">
        <f t="shared" ca="1" si="599"/>
        <v>37.630000000000003</v>
      </c>
      <c r="N150" s="851">
        <f t="shared" ca="1" si="603"/>
        <v>21.372500076293939</v>
      </c>
      <c r="O150" s="201">
        <f t="shared" ca="1" si="604"/>
        <v>23.232500076293938</v>
      </c>
      <c r="P150" s="206">
        <f t="shared" ca="1" si="605"/>
        <v>25.092500076293938</v>
      </c>
      <c r="Q150" s="201">
        <f t="shared" ca="1" si="606"/>
        <v>18.064999771118156</v>
      </c>
      <c r="R150" s="201">
        <f t="shared" ca="1" si="607"/>
        <v>22.364999771118157</v>
      </c>
      <c r="S150" s="201">
        <f t="shared" ca="1" si="608"/>
        <v>26.664999771118158</v>
      </c>
      <c r="T150" s="851">
        <f t="shared" ca="1" si="600"/>
        <v>18.959997711181639</v>
      </c>
      <c r="U150" s="201">
        <f t="shared" ca="1" si="601"/>
        <v>20.199997711181638</v>
      </c>
      <c r="V150" s="206">
        <f t="shared" ca="1" si="602"/>
        <v>21.439997711181636</v>
      </c>
      <c r="W150" s="230">
        <f t="shared" ca="1" si="590"/>
        <v>8.1772497476481576E-2</v>
      </c>
      <c r="X150" s="231">
        <f t="shared" ca="1" si="591"/>
        <v>0.16354499495296315</v>
      </c>
      <c r="Y150" s="232">
        <f t="shared" ca="1" si="592"/>
        <v>0.24531749242944473</v>
      </c>
      <c r="Z150" s="231">
        <f t="shared" ca="1" si="404"/>
        <v>8.1772497476481576E-2</v>
      </c>
      <c r="AA150" s="231">
        <f t="shared" ca="1" si="405"/>
        <v>0.16354499495296315</v>
      </c>
      <c r="AB150" s="232">
        <f t="shared" ca="1" si="406"/>
        <v>0.24531749242944473</v>
      </c>
      <c r="AC150" s="231">
        <f t="shared" ca="1" si="407"/>
        <v>8.1772497476481576E-2</v>
      </c>
      <c r="AD150" s="231">
        <f t="shared" ca="1" si="408"/>
        <v>0.16354499495296315</v>
      </c>
      <c r="AE150" s="232">
        <f t="shared" ca="1" si="422"/>
        <v>0.24531749242944473</v>
      </c>
      <c r="AF150" s="231">
        <f t="shared" ca="1" si="593"/>
        <v>2.8025597276242861E-2</v>
      </c>
      <c r="AG150" s="231">
        <f t="shared" ca="1" si="594"/>
        <v>5.6051194552485722E-2</v>
      </c>
      <c r="AH150" s="232">
        <f t="shared" ca="1" si="595"/>
        <v>8.4076791828728584E-2</v>
      </c>
      <c r="AI150" s="233">
        <f t="shared" ca="1" si="423"/>
        <v>0.85000000000000009</v>
      </c>
      <c r="AJ150" s="233">
        <f t="shared" ca="1" si="424"/>
        <v>1.1000000000000001</v>
      </c>
      <c r="AK150" s="234">
        <f t="shared" ca="1" si="425"/>
        <v>1.4000000000000001</v>
      </c>
      <c r="AL150" s="919">
        <f t="shared" ca="1" si="426"/>
        <v>0.85000000000000009</v>
      </c>
      <c r="AM150" s="233">
        <f t="shared" ca="1" si="427"/>
        <v>1.1000000000000001</v>
      </c>
      <c r="AN150" s="234">
        <f t="shared" ca="1" si="428"/>
        <v>1.4000000000000001</v>
      </c>
      <c r="AO150" s="233">
        <f t="shared" ca="1" si="429"/>
        <v>0.85000000000000009</v>
      </c>
      <c r="AP150" s="233">
        <f t="shared" ca="1" si="430"/>
        <v>1.1000000000000001</v>
      </c>
      <c r="AQ150" s="233">
        <f t="shared" ca="1" si="431"/>
        <v>1.4000000000000001</v>
      </c>
      <c r="AR150" s="919">
        <f t="shared" ca="1" si="432"/>
        <v>0.35</v>
      </c>
      <c r="AS150" s="233">
        <f t="shared" ca="1" si="433"/>
        <v>0.5</v>
      </c>
      <c r="AT150" s="235">
        <f t="shared" ca="1" si="434"/>
        <v>0.7</v>
      </c>
      <c r="AU150" s="946">
        <f t="shared" si="435"/>
        <v>0.5</v>
      </c>
      <c r="AV150" s="13">
        <f t="shared" ca="1" si="436"/>
        <v>0</v>
      </c>
      <c r="AW150" s="210">
        <f t="shared" ca="1" si="437"/>
        <v>0</v>
      </c>
      <c r="AX150" s="210">
        <f t="shared" ca="1" si="438"/>
        <v>0</v>
      </c>
      <c r="AY150" s="210">
        <f t="shared" ca="1" si="439"/>
        <v>0</v>
      </c>
      <c r="AZ150" s="13">
        <f t="shared" ca="1" si="440"/>
        <v>0</v>
      </c>
      <c r="BA150" s="357">
        <f ca="1"/>
        <v>0</v>
      </c>
      <c r="BB150" s="925">
        <f ca="1"/>
        <v>0</v>
      </c>
      <c r="BC150" s="925">
        <f ca="1"/>
        <v>0</v>
      </c>
      <c r="BD150" s="928">
        <f ca="1"/>
        <v>0</v>
      </c>
      <c r="BE150" s="200">
        <f ca="1"/>
        <v>0</v>
      </c>
      <c r="BF150" s="851">
        <f ca="1"/>
        <v>0</v>
      </c>
      <c r="BG150" s="851">
        <f ca="1"/>
        <v>0</v>
      </c>
      <c r="BH150" s="933">
        <f ca="1"/>
        <v>0</v>
      </c>
      <c r="BI150" s="357">
        <f ca="1"/>
        <v>0</v>
      </c>
      <c r="BJ150" s="925">
        <f ca="1"/>
        <v>0</v>
      </c>
      <c r="BK150" s="925">
        <f ca="1"/>
        <v>0</v>
      </c>
      <c r="BL150" s="928">
        <f ca="1"/>
        <v>0</v>
      </c>
      <c r="BM150" s="200">
        <f ca="1"/>
        <v>0</v>
      </c>
      <c r="BN150" s="851">
        <f ca="1"/>
        <v>0</v>
      </c>
      <c r="BO150" s="851">
        <f ca="1"/>
        <v>0</v>
      </c>
      <c r="BP150" s="933">
        <f ca="1"/>
        <v>0</v>
      </c>
      <c r="BQ150" s="357">
        <f t="shared" ca="1" si="441"/>
        <v>0</v>
      </c>
      <c r="BR150" s="361">
        <f t="shared" ca="1" si="442"/>
        <v>0</v>
      </c>
      <c r="BS150" s="357">
        <f t="shared" ca="1" si="443"/>
        <v>0</v>
      </c>
      <c r="BT150" s="302">
        <f t="shared" ca="1" si="444"/>
        <v>0</v>
      </c>
      <c r="BU150" s="299">
        <f t="shared" ca="1" si="445"/>
        <v>0</v>
      </c>
      <c r="BV150" s="299">
        <f t="shared" ca="1" si="446"/>
        <v>0</v>
      </c>
      <c r="BW150" s="299">
        <f t="shared" ca="1" si="447"/>
        <v>0</v>
      </c>
      <c r="BX150" s="380">
        <f t="shared" ca="1" si="448"/>
        <v>11.162217659137577</v>
      </c>
      <c r="BY150" s="363">
        <f t="shared" ca="1" si="449"/>
        <v>0</v>
      </c>
      <c r="BZ150" s="353">
        <f t="shared" ca="1" si="450"/>
        <v>0</v>
      </c>
      <c r="CA150" s="353">
        <f t="shared" ca="1" si="451"/>
        <v>0</v>
      </c>
      <c r="CB150" s="353">
        <f t="shared" ca="1" si="452"/>
        <v>0</v>
      </c>
      <c r="CC150" s="353">
        <f t="shared" ca="1" si="453"/>
        <v>0</v>
      </c>
      <c r="CD150" s="353">
        <f t="shared" ca="1" si="454"/>
        <v>0</v>
      </c>
      <c r="CE150" s="302">
        <f t="shared" ca="1" si="455"/>
        <v>0</v>
      </c>
      <c r="CF150" s="299">
        <f t="shared" ca="1" si="456"/>
        <v>0</v>
      </c>
      <c r="CG150" s="299">
        <f t="shared" ca="1" si="457"/>
        <v>0</v>
      </c>
      <c r="CH150" s="299">
        <f t="shared" ca="1" si="458"/>
        <v>0</v>
      </c>
      <c r="CI150" s="299">
        <f t="shared" ca="1" si="459"/>
        <v>0</v>
      </c>
      <c r="CJ150" s="299">
        <f t="shared" ca="1" si="460"/>
        <v>0</v>
      </c>
      <c r="CK150" s="299">
        <f t="shared" ca="1" si="461"/>
        <v>0</v>
      </c>
      <c r="CL150" s="377" t="str">
        <f t="shared" ca="1" si="462"/>
        <v/>
      </c>
      <c r="CM150" s="305" t="str">
        <f t="shared" ca="1" si="463"/>
        <v/>
      </c>
      <c r="CN150" s="305" t="str">
        <f t="shared" ca="1" si="464"/>
        <v/>
      </c>
      <c r="CO150" s="305" t="str">
        <f t="shared" ca="1" si="465"/>
        <v/>
      </c>
      <c r="CP150" s="305" t="str">
        <f t="shared" ca="1" si="466"/>
        <v/>
      </c>
      <c r="CQ150" s="305" t="str">
        <f t="shared" ca="1" si="467"/>
        <v/>
      </c>
      <c r="CR150" s="775" t="str">
        <f t="shared" ca="1" si="468"/>
        <v/>
      </c>
      <c r="CS150" s="305" t="str">
        <f t="shared" ca="1" si="469"/>
        <v/>
      </c>
      <c r="CT150" s="305" t="str">
        <f t="shared" ca="1" si="470"/>
        <v/>
      </c>
      <c r="CU150" s="305" t="str">
        <f t="shared" ca="1" si="471"/>
        <v/>
      </c>
      <c r="CV150" s="770" t="str">
        <f t="shared" ca="1" si="472"/>
        <v/>
      </c>
      <c r="CW150" s="302">
        <f t="shared" ca="1" si="473"/>
        <v>0</v>
      </c>
      <c r="CX150" s="299">
        <f t="shared" ca="1" si="474"/>
        <v>0</v>
      </c>
      <c r="CY150" s="299">
        <f t="shared" ca="1" si="475"/>
        <v>0</v>
      </c>
      <c r="CZ150" s="299">
        <f t="shared" ca="1" si="476"/>
        <v>0</v>
      </c>
      <c r="DA150" s="774">
        <f t="shared" ca="1" si="477"/>
        <v>0</v>
      </c>
      <c r="DB150" s="303">
        <f t="shared" ca="1" si="478"/>
        <v>0</v>
      </c>
      <c r="DC150" s="248">
        <f t="shared" ca="1" si="479"/>
        <v>0</v>
      </c>
      <c r="DD150" s="778">
        <f t="shared" ca="1" si="480"/>
        <v>0</v>
      </c>
      <c r="DE150" s="363">
        <f t="shared" ca="1" si="481"/>
        <v>0</v>
      </c>
      <c r="DF150" s="378" t="str">
        <f t="shared" ca="1" si="482"/>
        <v/>
      </c>
      <c r="DG150" s="508" t="str">
        <f t="shared" ca="1" si="483"/>
        <v/>
      </c>
      <c r="DH150" s="508" t="str">
        <f t="shared" ca="1" si="484"/>
        <v/>
      </c>
      <c r="DI150" s="508" t="str">
        <f t="shared" ca="1" si="485"/>
        <v/>
      </c>
      <c r="DJ150" s="508" t="str">
        <f t="shared" ca="1" si="486"/>
        <v/>
      </c>
      <c r="DK150" s="353">
        <f t="shared" ca="1" si="487"/>
        <v>0</v>
      </c>
      <c r="DL150" s="781">
        <f t="shared" ca="1" si="488"/>
        <v>0</v>
      </c>
      <c r="DM150" s="303">
        <f t="shared" ca="1" si="489"/>
        <v>0</v>
      </c>
      <c r="DN150" s="508" t="str">
        <f t="shared" ca="1" si="490"/>
        <v/>
      </c>
      <c r="DO150" s="508" t="str">
        <f t="shared" ca="1" si="491"/>
        <v/>
      </c>
      <c r="DP150" s="508" t="str">
        <f t="shared" ca="1" si="492"/>
        <v/>
      </c>
      <c r="DQ150" s="508" t="str">
        <f t="shared" ca="1" si="493"/>
        <v/>
      </c>
      <c r="DR150" s="508" t="str">
        <f t="shared" ca="1" si="494"/>
        <v/>
      </c>
      <c r="DS150" s="353">
        <f t="shared" ca="1" si="495"/>
        <v>0</v>
      </c>
      <c r="DT150" s="353">
        <f t="shared" ca="1" si="496"/>
        <v>0</v>
      </c>
      <c r="DU150" s="380">
        <f t="shared" ca="1" si="596"/>
        <v>11.162217659137577</v>
      </c>
      <c r="DV150" s="303">
        <f t="shared" ca="1" si="497"/>
        <v>0</v>
      </c>
      <c r="DW150" s="303">
        <f t="shared" ca="1" si="498"/>
        <v>0</v>
      </c>
      <c r="DX150" s="303">
        <f t="shared" ca="1" si="499"/>
        <v>0</v>
      </c>
      <c r="DY150" s="303">
        <f t="shared" ca="1" si="500"/>
        <v>0</v>
      </c>
      <c r="DZ150" s="303">
        <f t="shared" ca="1" si="501"/>
        <v>0</v>
      </c>
      <c r="EA150" s="303">
        <f t="shared" ca="1" si="502"/>
        <v>0</v>
      </c>
      <c r="EB150" s="302">
        <f t="shared" ca="1" si="503"/>
        <v>0</v>
      </c>
      <c r="EC150" s="299">
        <f t="shared" ca="1" si="504"/>
        <v>0</v>
      </c>
      <c r="ED150" s="299">
        <f t="shared" ca="1" si="505"/>
        <v>0</v>
      </c>
      <c r="EE150" s="299">
        <f t="shared" ca="1" si="506"/>
        <v>0</v>
      </c>
      <c r="EF150" s="299">
        <f t="shared" ca="1" si="507"/>
        <v>0</v>
      </c>
      <c r="EG150" s="299">
        <f t="shared" ca="1" si="508"/>
        <v>0</v>
      </c>
      <c r="EH150" s="302">
        <f t="shared" ca="1" si="509"/>
        <v>0</v>
      </c>
      <c r="EI150" s="304" t="str">
        <f t="shared" ca="1" si="510"/>
        <v/>
      </c>
      <c r="EJ150" s="305" t="str">
        <f t="shared" ca="1" si="511"/>
        <v/>
      </c>
      <c r="EK150" s="305" t="str">
        <f t="shared" ca="1" si="512"/>
        <v/>
      </c>
      <c r="EL150" s="305" t="str">
        <f t="shared" ca="1" si="513"/>
        <v/>
      </c>
      <c r="EM150" s="305" t="str">
        <f t="shared" ca="1" si="514"/>
        <v/>
      </c>
      <c r="EN150" s="305" t="str">
        <f t="shared" ca="1" si="515"/>
        <v/>
      </c>
      <c r="EO150" s="305" t="str">
        <f t="shared" ca="1" si="516"/>
        <v/>
      </c>
      <c r="EP150" s="305" t="str">
        <f t="shared" ca="1" si="517"/>
        <v/>
      </c>
      <c r="EQ150" s="305" t="str">
        <f t="shared" ca="1" si="518"/>
        <v/>
      </c>
      <c r="ER150" s="305" t="str">
        <f t="shared" ca="1" si="519"/>
        <v/>
      </c>
      <c r="ES150" s="305" t="str">
        <f t="shared" ca="1" si="520"/>
        <v/>
      </c>
      <c r="ET150" s="299">
        <f t="shared" ca="1" si="521"/>
        <v>0</v>
      </c>
      <c r="EU150" s="302">
        <f t="shared" ca="1" si="522"/>
        <v>0</v>
      </c>
      <c r="EV150" s="304" t="str">
        <f t="shared" ca="1" si="523"/>
        <v/>
      </c>
      <c r="EW150" s="305" t="str">
        <f t="shared" ca="1" si="524"/>
        <v/>
      </c>
      <c r="EX150" s="305" t="str">
        <f t="shared" ca="1" si="525"/>
        <v/>
      </c>
      <c r="EY150" s="305" t="str">
        <f t="shared" ca="1" si="526"/>
        <v/>
      </c>
      <c r="EZ150" s="305" t="str">
        <f t="shared" ca="1" si="527"/>
        <v/>
      </c>
      <c r="FA150" s="305" t="str">
        <f t="shared" ca="1" si="528"/>
        <v/>
      </c>
      <c r="FB150" s="305" t="str">
        <f t="shared" ca="1" si="529"/>
        <v/>
      </c>
      <c r="FC150" s="305" t="str">
        <f t="shared" ca="1" si="530"/>
        <v/>
      </c>
      <c r="FD150" s="305" t="str">
        <f t="shared" ca="1" si="531"/>
        <v/>
      </c>
      <c r="FE150" s="305" t="str">
        <f t="shared" ca="1" si="532"/>
        <v/>
      </c>
      <c r="FF150" s="305" t="str">
        <f t="shared" ca="1" si="533"/>
        <v/>
      </c>
      <c r="FG150" s="299">
        <f t="shared" ca="1" si="534"/>
        <v>0</v>
      </c>
      <c r="FH150" s="302">
        <f t="shared" ca="1" si="535"/>
        <v>0</v>
      </c>
      <c r="FI150" s="248">
        <f t="shared" ca="1" si="536"/>
        <v>0</v>
      </c>
      <c r="FJ150" s="363">
        <f t="shared" ca="1" si="537"/>
        <v>0</v>
      </c>
      <c r="FK150" s="378" t="str">
        <f t="shared" ca="1" si="538"/>
        <v/>
      </c>
      <c r="FL150" s="508" t="str">
        <f t="shared" ca="1" si="539"/>
        <v/>
      </c>
      <c r="FM150" s="508" t="str">
        <f t="shared" ca="1" si="540"/>
        <v/>
      </c>
      <c r="FN150" s="508" t="str">
        <f t="shared" ca="1" si="541"/>
        <v/>
      </c>
      <c r="FO150" s="508" t="str">
        <f t="shared" ca="1" si="542"/>
        <v/>
      </c>
      <c r="FP150" s="353">
        <f t="shared" ca="1" si="543"/>
        <v>0</v>
      </c>
      <c r="FQ150" s="356">
        <f t="shared" ca="1" si="544"/>
        <v>0</v>
      </c>
      <c r="FR150" s="380">
        <f t="shared" ca="1" si="545"/>
        <v>0</v>
      </c>
      <c r="FS150" s="299">
        <f t="shared" ca="1" si="546"/>
        <v>0</v>
      </c>
      <c r="FT150" s="299">
        <f t="shared" ca="1" si="547"/>
        <v>0</v>
      </c>
      <c r="FU150" s="299">
        <f t="shared" ca="1" si="548"/>
        <v>0</v>
      </c>
      <c r="FV150" s="299">
        <f t="shared" ca="1" si="549"/>
        <v>0</v>
      </c>
      <c r="FW150" s="850" t="str">
        <f t="shared" ca="1" si="550"/>
        <v/>
      </c>
      <c r="FX150" s="851" t="str">
        <f t="shared" ca="1" si="551"/>
        <v/>
      </c>
      <c r="FY150" s="851" t="str">
        <f t="shared" ca="1" si="552"/>
        <v/>
      </c>
      <c r="FZ150" s="201" t="str">
        <f t="shared" ca="1" si="553"/>
        <v/>
      </c>
      <c r="GA150" s="201" t="str">
        <f t="shared" ca="1" si="554"/>
        <v/>
      </c>
      <c r="GB150" s="201" t="str">
        <f t="shared" ca="1" si="555"/>
        <v/>
      </c>
      <c r="GC150" s="201" t="str">
        <f t="shared" ca="1" si="556"/>
        <v/>
      </c>
      <c r="GD150" s="850" t="str">
        <f t="shared" ca="1" si="557"/>
        <v/>
      </c>
      <c r="GE150" s="866" t="str">
        <f t="shared" ca="1" si="558"/>
        <v/>
      </c>
      <c r="GF150" s="866" t="str">
        <f t="shared" ca="1" si="559"/>
        <v/>
      </c>
      <c r="GG150" s="866" t="str">
        <f t="shared" ca="1" si="560"/>
        <v/>
      </c>
      <c r="GH150" s="866" t="str">
        <f t="shared" ca="1" si="561"/>
        <v/>
      </c>
      <c r="GI150" s="302">
        <f t="shared" ca="1" si="562"/>
        <v>0</v>
      </c>
      <c r="GJ150" s="299">
        <f t="shared" ca="1" si="563"/>
        <v>0</v>
      </c>
      <c r="GK150" s="299">
        <f t="shared" ca="1" si="564"/>
        <v>0</v>
      </c>
      <c r="GL150" s="299">
        <f t="shared" ca="1" si="565"/>
        <v>0</v>
      </c>
      <c r="GM150" s="299">
        <f t="shared" ca="1" si="566"/>
        <v>0</v>
      </c>
      <c r="GN150" s="302">
        <f t="shared" ca="1" si="567"/>
        <v>0</v>
      </c>
      <c r="GO150" s="299">
        <f t="shared" ca="1" si="568"/>
        <v>0</v>
      </c>
      <c r="GP150" s="299">
        <f t="shared" ca="1" si="569"/>
        <v>0</v>
      </c>
      <c r="GQ150" s="299">
        <f t="shared" ca="1" si="570"/>
        <v>0</v>
      </c>
      <c r="GR150" s="299">
        <f t="shared" ca="1" si="571"/>
        <v>0</v>
      </c>
      <c r="GS150" s="302">
        <f t="shared" ca="1" si="572"/>
        <v>0</v>
      </c>
      <c r="GT150" s="299">
        <f t="shared" ca="1" si="573"/>
        <v>0</v>
      </c>
      <c r="GU150" s="299">
        <f t="shared" ca="1" si="574"/>
        <v>0</v>
      </c>
      <c r="GV150" s="299">
        <f t="shared" ca="1" si="575"/>
        <v>0</v>
      </c>
      <c r="GW150" s="299">
        <f t="shared" ca="1" si="576"/>
        <v>0</v>
      </c>
      <c r="GX150" s="303">
        <f t="shared" ca="1" si="577"/>
        <v>0</v>
      </c>
      <c r="GY150" s="303">
        <f t="shared" ca="1" si="578"/>
        <v>0</v>
      </c>
      <c r="GZ150" s="303">
        <f t="shared" ca="1" si="579"/>
        <v>0</v>
      </c>
      <c r="HA150" s="303">
        <f t="shared" ca="1" si="580"/>
        <v>0</v>
      </c>
      <c r="HB150" s="303">
        <f t="shared" ca="1" si="581"/>
        <v>0</v>
      </c>
      <c r="HC150" s="303">
        <f t="shared" ca="1" si="582"/>
        <v>0</v>
      </c>
      <c r="HD150" s="303">
        <f t="shared" ca="1" si="583"/>
        <v>0</v>
      </c>
      <c r="HE150" s="303">
        <f t="shared" ca="1" si="584"/>
        <v>0</v>
      </c>
      <c r="HF150" s="303">
        <f t="shared" ca="1" si="585"/>
        <v>0</v>
      </c>
      <c r="HG150" s="852">
        <f t="shared" ca="1" si="586"/>
        <v>0</v>
      </c>
    </row>
    <row r="151" spans="1:215" x14ac:dyDescent="0.25">
      <c r="A151" s="244">
        <f t="shared" ca="1" si="587"/>
        <v>40695</v>
      </c>
      <c r="B151" s="13">
        <f t="shared" ca="1" si="415"/>
        <v>2011</v>
      </c>
      <c r="C151" s="619">
        <f t="shared" ca="1" si="416"/>
        <v>6</v>
      </c>
      <c r="D151" s="195" t="str">
        <f t="shared" ca="1" si="417"/>
        <v/>
      </c>
      <c r="E151" s="469" t="str">
        <f t="shared" ca="1" si="418"/>
        <v/>
      </c>
      <c r="F151" s="465" t="str">
        <f t="shared" ca="1" si="419"/>
        <v/>
      </c>
      <c r="G151" s="522">
        <f t="shared" ca="1" si="588"/>
        <v>1</v>
      </c>
      <c r="H151" s="519">
        <f t="shared" ca="1" si="589"/>
        <v>1</v>
      </c>
      <c r="I151" s="724">
        <f t="shared" ca="1" si="420"/>
        <v>7.4200338717465994E-2</v>
      </c>
      <c r="J151" s="198">
        <f t="shared" ca="1" si="421"/>
        <v>0.43639657521571212</v>
      </c>
      <c r="K151" s="200">
        <f t="shared" ca="1" si="597"/>
        <v>46.14</v>
      </c>
      <c r="L151" s="201">
        <f t="shared" ca="1" si="598"/>
        <v>53.25</v>
      </c>
      <c r="M151" s="206">
        <f t="shared" ca="1" si="599"/>
        <v>60.36</v>
      </c>
      <c r="N151" s="851">
        <f t="shared" ca="1" si="603"/>
        <v>22.326250152587885</v>
      </c>
      <c r="O151" s="201">
        <f t="shared" ca="1" si="604"/>
        <v>27.658750152587885</v>
      </c>
      <c r="P151" s="206">
        <f t="shared" ca="1" si="605"/>
        <v>32.991250152587881</v>
      </c>
      <c r="Q151" s="201">
        <f t="shared" ca="1" si="606"/>
        <v>16.842499542236322</v>
      </c>
      <c r="R151" s="201">
        <f t="shared" ca="1" si="607"/>
        <v>21.142499542236322</v>
      </c>
      <c r="S151" s="201">
        <f t="shared" ca="1" si="608"/>
        <v>25.442499542236323</v>
      </c>
      <c r="T151" s="851">
        <f t="shared" ca="1" si="600"/>
        <v>16.599998779296872</v>
      </c>
      <c r="U151" s="201">
        <f t="shared" ca="1" si="601"/>
        <v>20.154998779296871</v>
      </c>
      <c r="V151" s="206">
        <f t="shared" ca="1" si="602"/>
        <v>23.709998779296871</v>
      </c>
      <c r="W151" s="230">
        <f t="shared" ca="1" si="590"/>
        <v>0.10245137451542706</v>
      </c>
      <c r="X151" s="231">
        <f t="shared" ca="1" si="591"/>
        <v>0.20490274903085412</v>
      </c>
      <c r="Y151" s="232">
        <f t="shared" ca="1" si="592"/>
        <v>0.30735412354628117</v>
      </c>
      <c r="Z151" s="231">
        <f t="shared" ca="1" si="404"/>
        <v>0.10245137451542706</v>
      </c>
      <c r="AA151" s="231">
        <f t="shared" ca="1" si="405"/>
        <v>0.20490274903085412</v>
      </c>
      <c r="AB151" s="232">
        <f t="shared" ca="1" si="406"/>
        <v>0.30735412354628117</v>
      </c>
      <c r="AC151" s="231">
        <f t="shared" ca="1" si="407"/>
        <v>0.10245137451542706</v>
      </c>
      <c r="AD151" s="231">
        <f t="shared" ca="1" si="408"/>
        <v>0.20490274903085412</v>
      </c>
      <c r="AE151" s="232">
        <f t="shared" ca="1" si="422"/>
        <v>0.30735412354628117</v>
      </c>
      <c r="AF151" s="231">
        <f t="shared" ca="1" si="593"/>
        <v>3.603291078374081E-2</v>
      </c>
      <c r="AG151" s="231">
        <f t="shared" ca="1" si="594"/>
        <v>7.2065821567481619E-2</v>
      </c>
      <c r="AH151" s="232">
        <f t="shared" ca="1" si="595"/>
        <v>0.10809873235122243</v>
      </c>
      <c r="AI151" s="233">
        <f t="shared" ca="1" si="423"/>
        <v>1.65</v>
      </c>
      <c r="AJ151" s="233">
        <f t="shared" ca="1" si="424"/>
        <v>2</v>
      </c>
      <c r="AK151" s="234">
        <f t="shared" ca="1" si="425"/>
        <v>2.2999999999999998</v>
      </c>
      <c r="AL151" s="919">
        <f t="shared" ca="1" si="426"/>
        <v>1.65</v>
      </c>
      <c r="AM151" s="233">
        <f t="shared" ca="1" si="427"/>
        <v>2</v>
      </c>
      <c r="AN151" s="234">
        <f t="shared" ca="1" si="428"/>
        <v>2.2999999999999998</v>
      </c>
      <c r="AO151" s="233">
        <f t="shared" ca="1" si="429"/>
        <v>1.65</v>
      </c>
      <c r="AP151" s="233">
        <f t="shared" ca="1" si="430"/>
        <v>2</v>
      </c>
      <c r="AQ151" s="233">
        <f t="shared" ca="1" si="431"/>
        <v>2.2999999999999998</v>
      </c>
      <c r="AR151" s="919">
        <f t="shared" ca="1" si="432"/>
        <v>0.5</v>
      </c>
      <c r="AS151" s="233">
        <f t="shared" ca="1" si="433"/>
        <v>0.65</v>
      </c>
      <c r="AT151" s="235">
        <f t="shared" ca="1" si="434"/>
        <v>0.85000000000000009</v>
      </c>
      <c r="AU151" s="946">
        <f t="shared" si="435"/>
        <v>0.5</v>
      </c>
      <c r="AV151" s="13">
        <f t="shared" ca="1" si="436"/>
        <v>0</v>
      </c>
      <c r="AW151" s="210">
        <f t="shared" ca="1" si="437"/>
        <v>0</v>
      </c>
      <c r="AX151" s="210">
        <f t="shared" ca="1" si="438"/>
        <v>0</v>
      </c>
      <c r="AY151" s="210">
        <f t="shared" ca="1" si="439"/>
        <v>0</v>
      </c>
      <c r="AZ151" s="13">
        <f t="shared" ca="1" si="440"/>
        <v>0</v>
      </c>
      <c r="BA151" s="357">
        <f ca="1"/>
        <v>0</v>
      </c>
      <c r="BB151" s="925">
        <f ca="1"/>
        <v>0</v>
      </c>
      <c r="BC151" s="925">
        <f ca="1"/>
        <v>0</v>
      </c>
      <c r="BD151" s="928">
        <f ca="1"/>
        <v>0</v>
      </c>
      <c r="BE151" s="200">
        <f ca="1"/>
        <v>0</v>
      </c>
      <c r="BF151" s="851">
        <f ca="1"/>
        <v>0</v>
      </c>
      <c r="BG151" s="851">
        <f ca="1"/>
        <v>0</v>
      </c>
      <c r="BH151" s="933">
        <f ca="1"/>
        <v>0</v>
      </c>
      <c r="BI151" s="357">
        <f ca="1"/>
        <v>0</v>
      </c>
      <c r="BJ151" s="925">
        <f ca="1"/>
        <v>0</v>
      </c>
      <c r="BK151" s="925">
        <f ca="1"/>
        <v>0</v>
      </c>
      <c r="BL151" s="928">
        <f ca="1"/>
        <v>0</v>
      </c>
      <c r="BM151" s="200">
        <f ca="1"/>
        <v>0</v>
      </c>
      <c r="BN151" s="851">
        <f ca="1"/>
        <v>0</v>
      </c>
      <c r="BO151" s="851">
        <f ca="1"/>
        <v>0</v>
      </c>
      <c r="BP151" s="933">
        <f ca="1"/>
        <v>0</v>
      </c>
      <c r="BQ151" s="357">
        <f t="shared" ca="1" si="441"/>
        <v>0</v>
      </c>
      <c r="BR151" s="361">
        <f t="shared" ca="1" si="442"/>
        <v>0</v>
      </c>
      <c r="BS151" s="357">
        <f t="shared" ca="1" si="443"/>
        <v>0</v>
      </c>
      <c r="BT151" s="302">
        <f t="shared" ca="1" si="444"/>
        <v>0</v>
      </c>
      <c r="BU151" s="299">
        <f t="shared" ca="1" si="445"/>
        <v>0</v>
      </c>
      <c r="BV151" s="299">
        <f t="shared" ca="1" si="446"/>
        <v>0</v>
      </c>
      <c r="BW151" s="299">
        <f t="shared" ca="1" si="447"/>
        <v>0</v>
      </c>
      <c r="BX151" s="380">
        <f t="shared" ca="1" si="448"/>
        <v>11.247091033538672</v>
      </c>
      <c r="BY151" s="363">
        <f t="shared" ca="1" si="449"/>
        <v>0</v>
      </c>
      <c r="BZ151" s="353">
        <f t="shared" ca="1" si="450"/>
        <v>0</v>
      </c>
      <c r="CA151" s="353">
        <f t="shared" ca="1" si="451"/>
        <v>0</v>
      </c>
      <c r="CB151" s="353">
        <f t="shared" ca="1" si="452"/>
        <v>0</v>
      </c>
      <c r="CC151" s="353">
        <f t="shared" ca="1" si="453"/>
        <v>0</v>
      </c>
      <c r="CD151" s="353">
        <f t="shared" ca="1" si="454"/>
        <v>0</v>
      </c>
      <c r="CE151" s="302">
        <f t="shared" ca="1" si="455"/>
        <v>0</v>
      </c>
      <c r="CF151" s="299">
        <f t="shared" ca="1" si="456"/>
        <v>0</v>
      </c>
      <c r="CG151" s="299">
        <f t="shared" ca="1" si="457"/>
        <v>0</v>
      </c>
      <c r="CH151" s="299">
        <f t="shared" ca="1" si="458"/>
        <v>0</v>
      </c>
      <c r="CI151" s="299">
        <f t="shared" ca="1" si="459"/>
        <v>0</v>
      </c>
      <c r="CJ151" s="299">
        <f t="shared" ca="1" si="460"/>
        <v>0</v>
      </c>
      <c r="CK151" s="299">
        <f t="shared" ca="1" si="461"/>
        <v>0</v>
      </c>
      <c r="CL151" s="377" t="str">
        <f t="shared" ca="1" si="462"/>
        <v/>
      </c>
      <c r="CM151" s="305" t="str">
        <f t="shared" ca="1" si="463"/>
        <v/>
      </c>
      <c r="CN151" s="305" t="str">
        <f t="shared" ca="1" si="464"/>
        <v/>
      </c>
      <c r="CO151" s="305" t="str">
        <f t="shared" ca="1" si="465"/>
        <v/>
      </c>
      <c r="CP151" s="305" t="str">
        <f t="shared" ca="1" si="466"/>
        <v/>
      </c>
      <c r="CQ151" s="305" t="str">
        <f t="shared" ca="1" si="467"/>
        <v/>
      </c>
      <c r="CR151" s="775" t="str">
        <f t="shared" ca="1" si="468"/>
        <v/>
      </c>
      <c r="CS151" s="305" t="str">
        <f t="shared" ca="1" si="469"/>
        <v/>
      </c>
      <c r="CT151" s="305" t="str">
        <f t="shared" ca="1" si="470"/>
        <v/>
      </c>
      <c r="CU151" s="305" t="str">
        <f t="shared" ca="1" si="471"/>
        <v/>
      </c>
      <c r="CV151" s="770" t="str">
        <f t="shared" ca="1" si="472"/>
        <v/>
      </c>
      <c r="CW151" s="302">
        <f t="shared" ca="1" si="473"/>
        <v>0</v>
      </c>
      <c r="CX151" s="299">
        <f t="shared" ca="1" si="474"/>
        <v>0</v>
      </c>
      <c r="CY151" s="299">
        <f t="shared" ca="1" si="475"/>
        <v>0</v>
      </c>
      <c r="CZ151" s="299">
        <f t="shared" ca="1" si="476"/>
        <v>0</v>
      </c>
      <c r="DA151" s="774">
        <f t="shared" ca="1" si="477"/>
        <v>0</v>
      </c>
      <c r="DB151" s="303">
        <f t="shared" ca="1" si="478"/>
        <v>0</v>
      </c>
      <c r="DC151" s="248">
        <f t="shared" ca="1" si="479"/>
        <v>0</v>
      </c>
      <c r="DD151" s="778">
        <f t="shared" ca="1" si="480"/>
        <v>0</v>
      </c>
      <c r="DE151" s="363">
        <f t="shared" ca="1" si="481"/>
        <v>0</v>
      </c>
      <c r="DF151" s="378" t="str">
        <f t="shared" ca="1" si="482"/>
        <v/>
      </c>
      <c r="DG151" s="508" t="str">
        <f t="shared" ca="1" si="483"/>
        <v/>
      </c>
      <c r="DH151" s="508" t="str">
        <f t="shared" ca="1" si="484"/>
        <v/>
      </c>
      <c r="DI151" s="508" t="str">
        <f t="shared" ca="1" si="485"/>
        <v/>
      </c>
      <c r="DJ151" s="508" t="str">
        <f t="shared" ca="1" si="486"/>
        <v/>
      </c>
      <c r="DK151" s="353">
        <f t="shared" ca="1" si="487"/>
        <v>0</v>
      </c>
      <c r="DL151" s="781">
        <f t="shared" ca="1" si="488"/>
        <v>0</v>
      </c>
      <c r="DM151" s="303">
        <f t="shared" ca="1" si="489"/>
        <v>0</v>
      </c>
      <c r="DN151" s="508" t="str">
        <f t="shared" ca="1" si="490"/>
        <v/>
      </c>
      <c r="DO151" s="508" t="str">
        <f t="shared" ca="1" si="491"/>
        <v/>
      </c>
      <c r="DP151" s="508" t="str">
        <f t="shared" ca="1" si="492"/>
        <v/>
      </c>
      <c r="DQ151" s="508" t="str">
        <f t="shared" ca="1" si="493"/>
        <v/>
      </c>
      <c r="DR151" s="508" t="str">
        <f t="shared" ca="1" si="494"/>
        <v/>
      </c>
      <c r="DS151" s="353">
        <f t="shared" ca="1" si="495"/>
        <v>0</v>
      </c>
      <c r="DT151" s="353">
        <f t="shared" ca="1" si="496"/>
        <v>0</v>
      </c>
      <c r="DU151" s="380">
        <f t="shared" ca="1" si="596"/>
        <v>11.247091033538672</v>
      </c>
      <c r="DV151" s="303">
        <f t="shared" ca="1" si="497"/>
        <v>0</v>
      </c>
      <c r="DW151" s="303">
        <f t="shared" ca="1" si="498"/>
        <v>0</v>
      </c>
      <c r="DX151" s="303">
        <f t="shared" ca="1" si="499"/>
        <v>0</v>
      </c>
      <c r="DY151" s="303">
        <f t="shared" ca="1" si="500"/>
        <v>0</v>
      </c>
      <c r="DZ151" s="303">
        <f t="shared" ca="1" si="501"/>
        <v>0</v>
      </c>
      <c r="EA151" s="303">
        <f t="shared" ca="1" si="502"/>
        <v>0</v>
      </c>
      <c r="EB151" s="302">
        <f t="shared" ca="1" si="503"/>
        <v>0</v>
      </c>
      <c r="EC151" s="299">
        <f t="shared" ca="1" si="504"/>
        <v>0</v>
      </c>
      <c r="ED151" s="299">
        <f t="shared" ca="1" si="505"/>
        <v>0</v>
      </c>
      <c r="EE151" s="299">
        <f t="shared" ca="1" si="506"/>
        <v>0</v>
      </c>
      <c r="EF151" s="299">
        <f t="shared" ca="1" si="507"/>
        <v>0</v>
      </c>
      <c r="EG151" s="299">
        <f t="shared" ca="1" si="508"/>
        <v>0</v>
      </c>
      <c r="EH151" s="302">
        <f t="shared" ca="1" si="509"/>
        <v>0</v>
      </c>
      <c r="EI151" s="304" t="str">
        <f t="shared" ca="1" si="510"/>
        <v/>
      </c>
      <c r="EJ151" s="305" t="str">
        <f t="shared" ca="1" si="511"/>
        <v/>
      </c>
      <c r="EK151" s="305" t="str">
        <f t="shared" ca="1" si="512"/>
        <v/>
      </c>
      <c r="EL151" s="305" t="str">
        <f t="shared" ca="1" si="513"/>
        <v/>
      </c>
      <c r="EM151" s="305" t="str">
        <f t="shared" ca="1" si="514"/>
        <v/>
      </c>
      <c r="EN151" s="305" t="str">
        <f t="shared" ca="1" si="515"/>
        <v/>
      </c>
      <c r="EO151" s="305" t="str">
        <f t="shared" ca="1" si="516"/>
        <v/>
      </c>
      <c r="EP151" s="305" t="str">
        <f t="shared" ca="1" si="517"/>
        <v/>
      </c>
      <c r="EQ151" s="305" t="str">
        <f t="shared" ca="1" si="518"/>
        <v/>
      </c>
      <c r="ER151" s="305" t="str">
        <f t="shared" ca="1" si="519"/>
        <v/>
      </c>
      <c r="ES151" s="305" t="str">
        <f t="shared" ca="1" si="520"/>
        <v/>
      </c>
      <c r="ET151" s="299">
        <f t="shared" ca="1" si="521"/>
        <v>0</v>
      </c>
      <c r="EU151" s="302">
        <f t="shared" ca="1" si="522"/>
        <v>0</v>
      </c>
      <c r="EV151" s="304" t="str">
        <f t="shared" ca="1" si="523"/>
        <v/>
      </c>
      <c r="EW151" s="305" t="str">
        <f t="shared" ca="1" si="524"/>
        <v/>
      </c>
      <c r="EX151" s="305" t="str">
        <f t="shared" ca="1" si="525"/>
        <v/>
      </c>
      <c r="EY151" s="305" t="str">
        <f t="shared" ca="1" si="526"/>
        <v/>
      </c>
      <c r="EZ151" s="305" t="str">
        <f t="shared" ca="1" si="527"/>
        <v/>
      </c>
      <c r="FA151" s="305" t="str">
        <f t="shared" ca="1" si="528"/>
        <v/>
      </c>
      <c r="FB151" s="305" t="str">
        <f t="shared" ca="1" si="529"/>
        <v/>
      </c>
      <c r="FC151" s="305" t="str">
        <f t="shared" ca="1" si="530"/>
        <v/>
      </c>
      <c r="FD151" s="305" t="str">
        <f t="shared" ca="1" si="531"/>
        <v/>
      </c>
      <c r="FE151" s="305" t="str">
        <f t="shared" ca="1" si="532"/>
        <v/>
      </c>
      <c r="FF151" s="305" t="str">
        <f t="shared" ca="1" si="533"/>
        <v/>
      </c>
      <c r="FG151" s="299">
        <f t="shared" ca="1" si="534"/>
        <v>0</v>
      </c>
      <c r="FH151" s="302">
        <f t="shared" ca="1" si="535"/>
        <v>0</v>
      </c>
      <c r="FI151" s="248">
        <f t="shared" ca="1" si="536"/>
        <v>0</v>
      </c>
      <c r="FJ151" s="363">
        <f t="shared" ca="1" si="537"/>
        <v>0</v>
      </c>
      <c r="FK151" s="378" t="str">
        <f t="shared" ca="1" si="538"/>
        <v/>
      </c>
      <c r="FL151" s="508" t="str">
        <f t="shared" ca="1" si="539"/>
        <v/>
      </c>
      <c r="FM151" s="508" t="str">
        <f t="shared" ca="1" si="540"/>
        <v/>
      </c>
      <c r="FN151" s="508" t="str">
        <f t="shared" ca="1" si="541"/>
        <v/>
      </c>
      <c r="FO151" s="508" t="str">
        <f t="shared" ca="1" si="542"/>
        <v/>
      </c>
      <c r="FP151" s="353">
        <f t="shared" ca="1" si="543"/>
        <v>0</v>
      </c>
      <c r="FQ151" s="356">
        <f t="shared" ca="1" si="544"/>
        <v>0</v>
      </c>
      <c r="FR151" s="380">
        <f t="shared" ca="1" si="545"/>
        <v>0</v>
      </c>
      <c r="FS151" s="299">
        <f t="shared" ca="1" si="546"/>
        <v>0</v>
      </c>
      <c r="FT151" s="299">
        <f t="shared" ca="1" si="547"/>
        <v>0</v>
      </c>
      <c r="FU151" s="299">
        <f t="shared" ca="1" si="548"/>
        <v>0</v>
      </c>
      <c r="FV151" s="299">
        <f t="shared" ca="1" si="549"/>
        <v>0</v>
      </c>
      <c r="FW151" s="850" t="str">
        <f t="shared" ca="1" si="550"/>
        <v/>
      </c>
      <c r="FX151" s="851" t="str">
        <f t="shared" ca="1" si="551"/>
        <v/>
      </c>
      <c r="FY151" s="851" t="str">
        <f t="shared" ca="1" si="552"/>
        <v/>
      </c>
      <c r="FZ151" s="201" t="str">
        <f t="shared" ca="1" si="553"/>
        <v/>
      </c>
      <c r="GA151" s="201" t="str">
        <f t="shared" ca="1" si="554"/>
        <v/>
      </c>
      <c r="GB151" s="201" t="str">
        <f t="shared" ca="1" si="555"/>
        <v/>
      </c>
      <c r="GC151" s="201" t="str">
        <f t="shared" ca="1" si="556"/>
        <v/>
      </c>
      <c r="GD151" s="850" t="str">
        <f t="shared" ca="1" si="557"/>
        <v/>
      </c>
      <c r="GE151" s="866" t="str">
        <f t="shared" ca="1" si="558"/>
        <v/>
      </c>
      <c r="GF151" s="866" t="str">
        <f t="shared" ca="1" si="559"/>
        <v/>
      </c>
      <c r="GG151" s="866" t="str">
        <f t="shared" ca="1" si="560"/>
        <v/>
      </c>
      <c r="GH151" s="866" t="str">
        <f t="shared" ca="1" si="561"/>
        <v/>
      </c>
      <c r="GI151" s="302">
        <f t="shared" ca="1" si="562"/>
        <v>0</v>
      </c>
      <c r="GJ151" s="299">
        <f t="shared" ca="1" si="563"/>
        <v>0</v>
      </c>
      <c r="GK151" s="299">
        <f t="shared" ca="1" si="564"/>
        <v>0</v>
      </c>
      <c r="GL151" s="299">
        <f t="shared" ca="1" si="565"/>
        <v>0</v>
      </c>
      <c r="GM151" s="299">
        <f t="shared" ca="1" si="566"/>
        <v>0</v>
      </c>
      <c r="GN151" s="302">
        <f t="shared" ca="1" si="567"/>
        <v>0</v>
      </c>
      <c r="GO151" s="299">
        <f t="shared" ca="1" si="568"/>
        <v>0</v>
      </c>
      <c r="GP151" s="299">
        <f t="shared" ca="1" si="569"/>
        <v>0</v>
      </c>
      <c r="GQ151" s="299">
        <f t="shared" ca="1" si="570"/>
        <v>0</v>
      </c>
      <c r="GR151" s="299">
        <f t="shared" ca="1" si="571"/>
        <v>0</v>
      </c>
      <c r="GS151" s="302">
        <f t="shared" ca="1" si="572"/>
        <v>0</v>
      </c>
      <c r="GT151" s="299">
        <f t="shared" ca="1" si="573"/>
        <v>0</v>
      </c>
      <c r="GU151" s="299">
        <f t="shared" ca="1" si="574"/>
        <v>0</v>
      </c>
      <c r="GV151" s="299">
        <f t="shared" ca="1" si="575"/>
        <v>0</v>
      </c>
      <c r="GW151" s="299">
        <f t="shared" ca="1" si="576"/>
        <v>0</v>
      </c>
      <c r="GX151" s="303">
        <f t="shared" ca="1" si="577"/>
        <v>0</v>
      </c>
      <c r="GY151" s="303">
        <f t="shared" ca="1" si="578"/>
        <v>0</v>
      </c>
      <c r="GZ151" s="303">
        <f t="shared" ca="1" si="579"/>
        <v>0</v>
      </c>
      <c r="HA151" s="303">
        <f t="shared" ca="1" si="580"/>
        <v>0</v>
      </c>
      <c r="HB151" s="303">
        <f t="shared" ca="1" si="581"/>
        <v>0</v>
      </c>
      <c r="HC151" s="303">
        <f t="shared" ca="1" si="582"/>
        <v>0</v>
      </c>
      <c r="HD151" s="303">
        <f t="shared" ca="1" si="583"/>
        <v>0</v>
      </c>
      <c r="HE151" s="303">
        <f t="shared" ca="1" si="584"/>
        <v>0</v>
      </c>
      <c r="HF151" s="303">
        <f t="shared" ca="1" si="585"/>
        <v>0</v>
      </c>
      <c r="HG151" s="852">
        <f t="shared" ca="1" si="586"/>
        <v>0</v>
      </c>
    </row>
    <row r="152" spans="1:215" x14ac:dyDescent="0.25">
      <c r="A152" s="244">
        <f t="shared" ca="1" si="587"/>
        <v>40725</v>
      </c>
      <c r="B152" s="13">
        <f t="shared" ca="1" si="415"/>
        <v>2011</v>
      </c>
      <c r="C152" s="619">
        <f t="shared" ca="1" si="416"/>
        <v>7</v>
      </c>
      <c r="D152" s="195">
        <f t="shared" ca="1" si="417"/>
        <v>40728</v>
      </c>
      <c r="E152" s="469" t="str">
        <f t="shared" ca="1" si="418"/>
        <v/>
      </c>
      <c r="F152" s="465" t="str">
        <f t="shared" ca="1" si="419"/>
        <v/>
      </c>
      <c r="G152" s="522">
        <f t="shared" ca="1" si="588"/>
        <v>1</v>
      </c>
      <c r="H152" s="519">
        <f t="shared" ca="1" si="589"/>
        <v>1</v>
      </c>
      <c r="I152" s="724">
        <f t="shared" ca="1" si="420"/>
        <v>7.4200053506613003E-2</v>
      </c>
      <c r="J152" s="198">
        <f t="shared" ca="1" si="421"/>
        <v>0.43370775711157505</v>
      </c>
      <c r="K152" s="200">
        <f t="shared" ca="1" si="597"/>
        <v>73.5</v>
      </c>
      <c r="L152" s="201">
        <f t="shared" ca="1" si="598"/>
        <v>78.5</v>
      </c>
      <c r="M152" s="206">
        <f t="shared" ca="1" si="599"/>
        <v>83.5</v>
      </c>
      <c r="N152" s="851">
        <f t="shared" ca="1" si="603"/>
        <v>37.111249542236351</v>
      </c>
      <c r="O152" s="201">
        <f t="shared" ca="1" si="604"/>
        <v>40.861249542236351</v>
      </c>
      <c r="P152" s="206">
        <f t="shared" ca="1" si="605"/>
        <v>44.611249542236351</v>
      </c>
      <c r="Q152" s="201">
        <f t="shared" ca="1" si="606"/>
        <v>26.047499465942376</v>
      </c>
      <c r="R152" s="201">
        <f t="shared" ca="1" si="607"/>
        <v>30.347499465942377</v>
      </c>
      <c r="S152" s="201">
        <f t="shared" ca="1" si="608"/>
        <v>34.647499465942374</v>
      </c>
      <c r="T152" s="851">
        <f t="shared" ca="1" si="600"/>
        <v>22.149997711181637</v>
      </c>
      <c r="U152" s="201">
        <f t="shared" ca="1" si="601"/>
        <v>24.649997711181637</v>
      </c>
      <c r="V152" s="206">
        <f t="shared" ca="1" si="602"/>
        <v>27.149997711181637</v>
      </c>
      <c r="W152" s="230">
        <f t="shared" ca="1" si="590"/>
        <v>0.12131158810143597</v>
      </c>
      <c r="X152" s="231">
        <f t="shared" ca="1" si="591"/>
        <v>0.24262317620287194</v>
      </c>
      <c r="Y152" s="232">
        <f t="shared" ca="1" si="592"/>
        <v>0.36393476430430793</v>
      </c>
      <c r="Z152" s="231">
        <f t="shared" ca="1" si="404"/>
        <v>0.12131158810143597</v>
      </c>
      <c r="AA152" s="231">
        <f t="shared" ca="1" si="405"/>
        <v>0.24262317620287194</v>
      </c>
      <c r="AB152" s="232">
        <f t="shared" ca="1" si="406"/>
        <v>0.36393476430430793</v>
      </c>
      <c r="AC152" s="231">
        <f t="shared" ca="1" si="407"/>
        <v>0.12131158810143597</v>
      </c>
      <c r="AD152" s="231">
        <f t="shared" ca="1" si="408"/>
        <v>0.24262317620287194</v>
      </c>
      <c r="AE152" s="232">
        <f t="shared" ca="1" si="422"/>
        <v>0.36393476430430793</v>
      </c>
      <c r="AF152" s="231">
        <f t="shared" ca="1" si="593"/>
        <v>4.8043881044987739E-2</v>
      </c>
      <c r="AG152" s="231">
        <f t="shared" ca="1" si="594"/>
        <v>9.6087762089975479E-2</v>
      </c>
      <c r="AH152" s="232">
        <f t="shared" ca="1" si="595"/>
        <v>0.14413164313496321</v>
      </c>
      <c r="AI152" s="233">
        <f t="shared" ca="1" si="423"/>
        <v>2.65</v>
      </c>
      <c r="AJ152" s="233">
        <f t="shared" ca="1" si="424"/>
        <v>3</v>
      </c>
      <c r="AK152" s="234">
        <f t="shared" ca="1" si="425"/>
        <v>3.5</v>
      </c>
      <c r="AL152" s="919">
        <f t="shared" ca="1" si="426"/>
        <v>2.65</v>
      </c>
      <c r="AM152" s="233">
        <f t="shared" ca="1" si="427"/>
        <v>3</v>
      </c>
      <c r="AN152" s="234">
        <f t="shared" ca="1" si="428"/>
        <v>3.5</v>
      </c>
      <c r="AO152" s="233">
        <f t="shared" ca="1" si="429"/>
        <v>2.65</v>
      </c>
      <c r="AP152" s="233">
        <f t="shared" ca="1" si="430"/>
        <v>3</v>
      </c>
      <c r="AQ152" s="233">
        <f t="shared" ca="1" si="431"/>
        <v>3.5</v>
      </c>
      <c r="AR152" s="919">
        <f t="shared" ca="1" si="432"/>
        <v>0.6</v>
      </c>
      <c r="AS152" s="233">
        <f t="shared" ca="1" si="433"/>
        <v>0.75</v>
      </c>
      <c r="AT152" s="235">
        <f t="shared" ca="1" si="434"/>
        <v>0.95</v>
      </c>
      <c r="AU152" s="946">
        <f t="shared" si="435"/>
        <v>0.5</v>
      </c>
      <c r="AV152" s="13">
        <f t="shared" ca="1" si="436"/>
        <v>0</v>
      </c>
      <c r="AW152" s="210">
        <f t="shared" ca="1" si="437"/>
        <v>0</v>
      </c>
      <c r="AX152" s="210">
        <f t="shared" ca="1" si="438"/>
        <v>0</v>
      </c>
      <c r="AY152" s="210">
        <f t="shared" ca="1" si="439"/>
        <v>0</v>
      </c>
      <c r="AZ152" s="13">
        <f t="shared" ca="1" si="440"/>
        <v>0</v>
      </c>
      <c r="BA152" s="357">
        <f ca="1"/>
        <v>0</v>
      </c>
      <c r="BB152" s="925">
        <f ca="1"/>
        <v>0</v>
      </c>
      <c r="BC152" s="925">
        <f ca="1"/>
        <v>0</v>
      </c>
      <c r="BD152" s="928">
        <f ca="1"/>
        <v>0</v>
      </c>
      <c r="BE152" s="200">
        <f ca="1"/>
        <v>0</v>
      </c>
      <c r="BF152" s="851">
        <f ca="1"/>
        <v>0</v>
      </c>
      <c r="BG152" s="851">
        <f ca="1"/>
        <v>0</v>
      </c>
      <c r="BH152" s="933">
        <f ca="1"/>
        <v>0</v>
      </c>
      <c r="BI152" s="357">
        <f ca="1"/>
        <v>0</v>
      </c>
      <c r="BJ152" s="925">
        <f ca="1"/>
        <v>0</v>
      </c>
      <c r="BK152" s="925">
        <f ca="1"/>
        <v>0</v>
      </c>
      <c r="BL152" s="928">
        <f ca="1"/>
        <v>0</v>
      </c>
      <c r="BM152" s="200">
        <f ca="1"/>
        <v>0</v>
      </c>
      <c r="BN152" s="851">
        <f ca="1"/>
        <v>0</v>
      </c>
      <c r="BO152" s="851">
        <f ca="1"/>
        <v>0</v>
      </c>
      <c r="BP152" s="933">
        <f ca="1"/>
        <v>0</v>
      </c>
      <c r="BQ152" s="357">
        <f t="shared" ca="1" si="441"/>
        <v>0</v>
      </c>
      <c r="BR152" s="361">
        <f t="shared" ca="1" si="442"/>
        <v>0</v>
      </c>
      <c r="BS152" s="357">
        <f t="shared" ca="1" si="443"/>
        <v>0</v>
      </c>
      <c r="BT152" s="302">
        <f t="shared" ca="1" si="444"/>
        <v>0</v>
      </c>
      <c r="BU152" s="299">
        <f t="shared" ca="1" si="445"/>
        <v>0</v>
      </c>
      <c r="BV152" s="299">
        <f t="shared" ca="1" si="446"/>
        <v>0</v>
      </c>
      <c r="BW152" s="299">
        <f t="shared" ca="1" si="447"/>
        <v>0</v>
      </c>
      <c r="BX152" s="380">
        <f t="shared" ca="1" si="448"/>
        <v>11.329226557152635</v>
      </c>
      <c r="BY152" s="363">
        <f t="shared" ca="1" si="449"/>
        <v>0</v>
      </c>
      <c r="BZ152" s="353">
        <f t="shared" ca="1" si="450"/>
        <v>0</v>
      </c>
      <c r="CA152" s="353">
        <f t="shared" ca="1" si="451"/>
        <v>0</v>
      </c>
      <c r="CB152" s="353">
        <f t="shared" ca="1" si="452"/>
        <v>0</v>
      </c>
      <c r="CC152" s="353">
        <f t="shared" ca="1" si="453"/>
        <v>0</v>
      </c>
      <c r="CD152" s="353">
        <f t="shared" ca="1" si="454"/>
        <v>0</v>
      </c>
      <c r="CE152" s="302">
        <f t="shared" ca="1" si="455"/>
        <v>0</v>
      </c>
      <c r="CF152" s="299">
        <f t="shared" ca="1" si="456"/>
        <v>0</v>
      </c>
      <c r="CG152" s="299">
        <f t="shared" ca="1" si="457"/>
        <v>0</v>
      </c>
      <c r="CH152" s="299">
        <f t="shared" ca="1" si="458"/>
        <v>0</v>
      </c>
      <c r="CI152" s="299">
        <f t="shared" ca="1" si="459"/>
        <v>0</v>
      </c>
      <c r="CJ152" s="299">
        <f t="shared" ca="1" si="460"/>
        <v>0</v>
      </c>
      <c r="CK152" s="299">
        <f t="shared" ca="1" si="461"/>
        <v>0</v>
      </c>
      <c r="CL152" s="377" t="str">
        <f t="shared" ca="1" si="462"/>
        <v/>
      </c>
      <c r="CM152" s="305" t="str">
        <f t="shared" ca="1" si="463"/>
        <v/>
      </c>
      <c r="CN152" s="305" t="str">
        <f t="shared" ca="1" si="464"/>
        <v/>
      </c>
      <c r="CO152" s="305" t="str">
        <f t="shared" ca="1" si="465"/>
        <v/>
      </c>
      <c r="CP152" s="305" t="str">
        <f t="shared" ca="1" si="466"/>
        <v/>
      </c>
      <c r="CQ152" s="305" t="str">
        <f t="shared" ca="1" si="467"/>
        <v/>
      </c>
      <c r="CR152" s="775" t="str">
        <f t="shared" ca="1" si="468"/>
        <v/>
      </c>
      <c r="CS152" s="305" t="str">
        <f t="shared" ca="1" si="469"/>
        <v/>
      </c>
      <c r="CT152" s="305" t="str">
        <f t="shared" ca="1" si="470"/>
        <v/>
      </c>
      <c r="CU152" s="305" t="str">
        <f t="shared" ca="1" si="471"/>
        <v/>
      </c>
      <c r="CV152" s="770" t="str">
        <f t="shared" ca="1" si="472"/>
        <v/>
      </c>
      <c r="CW152" s="302">
        <f t="shared" ca="1" si="473"/>
        <v>0</v>
      </c>
      <c r="CX152" s="299">
        <f t="shared" ca="1" si="474"/>
        <v>0</v>
      </c>
      <c r="CY152" s="299">
        <f t="shared" ca="1" si="475"/>
        <v>0</v>
      </c>
      <c r="CZ152" s="299">
        <f t="shared" ca="1" si="476"/>
        <v>0</v>
      </c>
      <c r="DA152" s="774">
        <f t="shared" ca="1" si="477"/>
        <v>0</v>
      </c>
      <c r="DB152" s="303">
        <f t="shared" ca="1" si="478"/>
        <v>0</v>
      </c>
      <c r="DC152" s="248">
        <f t="shared" ca="1" si="479"/>
        <v>0</v>
      </c>
      <c r="DD152" s="778">
        <f t="shared" ca="1" si="480"/>
        <v>0</v>
      </c>
      <c r="DE152" s="363">
        <f t="shared" ca="1" si="481"/>
        <v>0</v>
      </c>
      <c r="DF152" s="378" t="str">
        <f t="shared" ca="1" si="482"/>
        <v/>
      </c>
      <c r="DG152" s="508" t="str">
        <f t="shared" ca="1" si="483"/>
        <v/>
      </c>
      <c r="DH152" s="508" t="str">
        <f t="shared" ca="1" si="484"/>
        <v/>
      </c>
      <c r="DI152" s="508" t="str">
        <f t="shared" ca="1" si="485"/>
        <v/>
      </c>
      <c r="DJ152" s="508" t="str">
        <f t="shared" ca="1" si="486"/>
        <v/>
      </c>
      <c r="DK152" s="353">
        <f t="shared" ca="1" si="487"/>
        <v>0</v>
      </c>
      <c r="DL152" s="781">
        <f t="shared" ca="1" si="488"/>
        <v>0</v>
      </c>
      <c r="DM152" s="303">
        <f t="shared" ca="1" si="489"/>
        <v>0</v>
      </c>
      <c r="DN152" s="508" t="str">
        <f t="shared" ca="1" si="490"/>
        <v/>
      </c>
      <c r="DO152" s="508" t="str">
        <f t="shared" ca="1" si="491"/>
        <v/>
      </c>
      <c r="DP152" s="508" t="str">
        <f t="shared" ca="1" si="492"/>
        <v/>
      </c>
      <c r="DQ152" s="508" t="str">
        <f t="shared" ca="1" si="493"/>
        <v/>
      </c>
      <c r="DR152" s="508" t="str">
        <f t="shared" ca="1" si="494"/>
        <v/>
      </c>
      <c r="DS152" s="353">
        <f t="shared" ca="1" si="495"/>
        <v>0</v>
      </c>
      <c r="DT152" s="353">
        <f t="shared" ca="1" si="496"/>
        <v>0</v>
      </c>
      <c r="DU152" s="380">
        <f t="shared" ca="1" si="596"/>
        <v>11.329226557152635</v>
      </c>
      <c r="DV152" s="303">
        <f t="shared" ca="1" si="497"/>
        <v>0</v>
      </c>
      <c r="DW152" s="303">
        <f t="shared" ca="1" si="498"/>
        <v>0</v>
      </c>
      <c r="DX152" s="303">
        <f t="shared" ca="1" si="499"/>
        <v>0</v>
      </c>
      <c r="DY152" s="303">
        <f t="shared" ca="1" si="500"/>
        <v>0</v>
      </c>
      <c r="DZ152" s="303">
        <f t="shared" ca="1" si="501"/>
        <v>0</v>
      </c>
      <c r="EA152" s="303">
        <f t="shared" ca="1" si="502"/>
        <v>0</v>
      </c>
      <c r="EB152" s="302">
        <f t="shared" ca="1" si="503"/>
        <v>0</v>
      </c>
      <c r="EC152" s="299">
        <f t="shared" ca="1" si="504"/>
        <v>0</v>
      </c>
      <c r="ED152" s="299">
        <f t="shared" ca="1" si="505"/>
        <v>0</v>
      </c>
      <c r="EE152" s="299">
        <f t="shared" ca="1" si="506"/>
        <v>0</v>
      </c>
      <c r="EF152" s="299">
        <f t="shared" ca="1" si="507"/>
        <v>0</v>
      </c>
      <c r="EG152" s="299">
        <f t="shared" ca="1" si="508"/>
        <v>0</v>
      </c>
      <c r="EH152" s="302">
        <f t="shared" ca="1" si="509"/>
        <v>0</v>
      </c>
      <c r="EI152" s="304" t="str">
        <f t="shared" ca="1" si="510"/>
        <v/>
      </c>
      <c r="EJ152" s="305" t="str">
        <f t="shared" ca="1" si="511"/>
        <v/>
      </c>
      <c r="EK152" s="305" t="str">
        <f t="shared" ca="1" si="512"/>
        <v/>
      </c>
      <c r="EL152" s="305" t="str">
        <f t="shared" ca="1" si="513"/>
        <v/>
      </c>
      <c r="EM152" s="305" t="str">
        <f t="shared" ca="1" si="514"/>
        <v/>
      </c>
      <c r="EN152" s="305" t="str">
        <f t="shared" ca="1" si="515"/>
        <v/>
      </c>
      <c r="EO152" s="305" t="str">
        <f t="shared" ca="1" si="516"/>
        <v/>
      </c>
      <c r="EP152" s="305" t="str">
        <f t="shared" ca="1" si="517"/>
        <v/>
      </c>
      <c r="EQ152" s="305" t="str">
        <f t="shared" ca="1" si="518"/>
        <v/>
      </c>
      <c r="ER152" s="305" t="str">
        <f t="shared" ca="1" si="519"/>
        <v/>
      </c>
      <c r="ES152" s="305" t="str">
        <f t="shared" ca="1" si="520"/>
        <v/>
      </c>
      <c r="ET152" s="299">
        <f t="shared" ca="1" si="521"/>
        <v>0</v>
      </c>
      <c r="EU152" s="302">
        <f t="shared" ca="1" si="522"/>
        <v>0</v>
      </c>
      <c r="EV152" s="304" t="str">
        <f t="shared" ca="1" si="523"/>
        <v/>
      </c>
      <c r="EW152" s="305" t="str">
        <f t="shared" ca="1" si="524"/>
        <v/>
      </c>
      <c r="EX152" s="305" t="str">
        <f t="shared" ca="1" si="525"/>
        <v/>
      </c>
      <c r="EY152" s="305" t="str">
        <f t="shared" ca="1" si="526"/>
        <v/>
      </c>
      <c r="EZ152" s="305" t="str">
        <f t="shared" ca="1" si="527"/>
        <v/>
      </c>
      <c r="FA152" s="305" t="str">
        <f t="shared" ca="1" si="528"/>
        <v/>
      </c>
      <c r="FB152" s="305" t="str">
        <f t="shared" ca="1" si="529"/>
        <v/>
      </c>
      <c r="FC152" s="305" t="str">
        <f t="shared" ca="1" si="530"/>
        <v/>
      </c>
      <c r="FD152" s="305" t="str">
        <f t="shared" ca="1" si="531"/>
        <v/>
      </c>
      <c r="FE152" s="305" t="str">
        <f t="shared" ca="1" si="532"/>
        <v/>
      </c>
      <c r="FF152" s="305" t="str">
        <f t="shared" ca="1" si="533"/>
        <v/>
      </c>
      <c r="FG152" s="299">
        <f t="shared" ca="1" si="534"/>
        <v>0</v>
      </c>
      <c r="FH152" s="302">
        <f t="shared" ca="1" si="535"/>
        <v>0</v>
      </c>
      <c r="FI152" s="248">
        <f t="shared" ca="1" si="536"/>
        <v>0</v>
      </c>
      <c r="FJ152" s="363">
        <f t="shared" ca="1" si="537"/>
        <v>0</v>
      </c>
      <c r="FK152" s="378" t="str">
        <f t="shared" ca="1" si="538"/>
        <v/>
      </c>
      <c r="FL152" s="508" t="str">
        <f t="shared" ca="1" si="539"/>
        <v/>
      </c>
      <c r="FM152" s="508" t="str">
        <f t="shared" ca="1" si="540"/>
        <v/>
      </c>
      <c r="FN152" s="508" t="str">
        <f t="shared" ca="1" si="541"/>
        <v/>
      </c>
      <c r="FO152" s="508" t="str">
        <f t="shared" ca="1" si="542"/>
        <v/>
      </c>
      <c r="FP152" s="353">
        <f t="shared" ca="1" si="543"/>
        <v>0</v>
      </c>
      <c r="FQ152" s="356">
        <f t="shared" ca="1" si="544"/>
        <v>0</v>
      </c>
      <c r="FR152" s="380">
        <f t="shared" ca="1" si="545"/>
        <v>0</v>
      </c>
      <c r="FS152" s="299">
        <f t="shared" ca="1" si="546"/>
        <v>0</v>
      </c>
      <c r="FT152" s="299">
        <f t="shared" ca="1" si="547"/>
        <v>0</v>
      </c>
      <c r="FU152" s="299">
        <f t="shared" ca="1" si="548"/>
        <v>0</v>
      </c>
      <c r="FV152" s="299">
        <f t="shared" ca="1" si="549"/>
        <v>0</v>
      </c>
      <c r="FW152" s="850" t="str">
        <f t="shared" ca="1" si="550"/>
        <v/>
      </c>
      <c r="FX152" s="851" t="str">
        <f t="shared" ca="1" si="551"/>
        <v/>
      </c>
      <c r="FY152" s="851" t="str">
        <f t="shared" ca="1" si="552"/>
        <v/>
      </c>
      <c r="FZ152" s="201" t="str">
        <f t="shared" ca="1" si="553"/>
        <v/>
      </c>
      <c r="GA152" s="201" t="str">
        <f t="shared" ca="1" si="554"/>
        <v/>
      </c>
      <c r="GB152" s="201" t="str">
        <f t="shared" ca="1" si="555"/>
        <v/>
      </c>
      <c r="GC152" s="201" t="str">
        <f t="shared" ca="1" si="556"/>
        <v/>
      </c>
      <c r="GD152" s="850" t="str">
        <f t="shared" ca="1" si="557"/>
        <v/>
      </c>
      <c r="GE152" s="866" t="str">
        <f t="shared" ca="1" si="558"/>
        <v/>
      </c>
      <c r="GF152" s="866" t="str">
        <f t="shared" ca="1" si="559"/>
        <v/>
      </c>
      <c r="GG152" s="866" t="str">
        <f t="shared" ca="1" si="560"/>
        <v/>
      </c>
      <c r="GH152" s="866" t="str">
        <f t="shared" ca="1" si="561"/>
        <v/>
      </c>
      <c r="GI152" s="302">
        <f t="shared" ca="1" si="562"/>
        <v>0</v>
      </c>
      <c r="GJ152" s="299">
        <f t="shared" ca="1" si="563"/>
        <v>0</v>
      </c>
      <c r="GK152" s="299">
        <f t="shared" ca="1" si="564"/>
        <v>0</v>
      </c>
      <c r="GL152" s="299">
        <f t="shared" ca="1" si="565"/>
        <v>0</v>
      </c>
      <c r="GM152" s="299">
        <f t="shared" ca="1" si="566"/>
        <v>0</v>
      </c>
      <c r="GN152" s="302">
        <f t="shared" ca="1" si="567"/>
        <v>0</v>
      </c>
      <c r="GO152" s="299">
        <f t="shared" ca="1" si="568"/>
        <v>0</v>
      </c>
      <c r="GP152" s="299">
        <f t="shared" ca="1" si="569"/>
        <v>0</v>
      </c>
      <c r="GQ152" s="299">
        <f t="shared" ca="1" si="570"/>
        <v>0</v>
      </c>
      <c r="GR152" s="299">
        <f t="shared" ca="1" si="571"/>
        <v>0</v>
      </c>
      <c r="GS152" s="302">
        <f t="shared" ca="1" si="572"/>
        <v>0</v>
      </c>
      <c r="GT152" s="299">
        <f t="shared" ca="1" si="573"/>
        <v>0</v>
      </c>
      <c r="GU152" s="299">
        <f t="shared" ca="1" si="574"/>
        <v>0</v>
      </c>
      <c r="GV152" s="299">
        <f t="shared" ca="1" si="575"/>
        <v>0</v>
      </c>
      <c r="GW152" s="299">
        <f t="shared" ca="1" si="576"/>
        <v>0</v>
      </c>
      <c r="GX152" s="303">
        <f t="shared" ca="1" si="577"/>
        <v>0</v>
      </c>
      <c r="GY152" s="303">
        <f t="shared" ca="1" si="578"/>
        <v>0</v>
      </c>
      <c r="GZ152" s="303">
        <f t="shared" ca="1" si="579"/>
        <v>0</v>
      </c>
      <c r="HA152" s="303">
        <f t="shared" ca="1" si="580"/>
        <v>0</v>
      </c>
      <c r="HB152" s="303">
        <f t="shared" ca="1" si="581"/>
        <v>0</v>
      </c>
      <c r="HC152" s="303">
        <f t="shared" ca="1" si="582"/>
        <v>0</v>
      </c>
      <c r="HD152" s="303">
        <f t="shared" ca="1" si="583"/>
        <v>0</v>
      </c>
      <c r="HE152" s="303">
        <f t="shared" ca="1" si="584"/>
        <v>0</v>
      </c>
      <c r="HF152" s="303">
        <f t="shared" ca="1" si="585"/>
        <v>0</v>
      </c>
      <c r="HG152" s="852">
        <f t="shared" ca="1" si="586"/>
        <v>0</v>
      </c>
    </row>
    <row r="153" spans="1:215" x14ac:dyDescent="0.25">
      <c r="A153" s="244">
        <f t="shared" ca="1" si="587"/>
        <v>40756</v>
      </c>
      <c r="B153" s="13">
        <f t="shared" ca="1" si="415"/>
        <v>2011</v>
      </c>
      <c r="C153" s="619">
        <f t="shared" ca="1" si="416"/>
        <v>8</v>
      </c>
      <c r="D153" s="195" t="str">
        <f t="shared" ca="1" si="417"/>
        <v/>
      </c>
      <c r="E153" s="469" t="str">
        <f t="shared" ca="1" si="418"/>
        <v/>
      </c>
      <c r="F153" s="465" t="str">
        <f t="shared" ca="1" si="419"/>
        <v/>
      </c>
      <c r="G153" s="522">
        <f t="shared" ca="1" si="588"/>
        <v>1</v>
      </c>
      <c r="H153" s="519">
        <f t="shared" ca="1" si="589"/>
        <v>1</v>
      </c>
      <c r="I153" s="724">
        <f t="shared" ca="1" si="420"/>
        <v>7.4199758788731002E-2</v>
      </c>
      <c r="J153" s="198">
        <f t="shared" ca="1" si="421"/>
        <v>0.43103557168028722</v>
      </c>
      <c r="K153" s="200">
        <f t="shared" ca="1" si="597"/>
        <v>69</v>
      </c>
      <c r="L153" s="201">
        <f t="shared" ca="1" si="598"/>
        <v>74</v>
      </c>
      <c r="M153" s="206">
        <f t="shared" ca="1" si="599"/>
        <v>79</v>
      </c>
      <c r="N153" s="851">
        <f t="shared" ca="1" si="603"/>
        <v>39.372499084472679</v>
      </c>
      <c r="O153" s="201">
        <f t="shared" ca="1" si="604"/>
        <v>43.122499084472679</v>
      </c>
      <c r="P153" s="206">
        <f t="shared" ca="1" si="605"/>
        <v>46.872499084472679</v>
      </c>
      <c r="Q153" s="201">
        <f t="shared" ca="1" si="606"/>
        <v>27.545000839233392</v>
      </c>
      <c r="R153" s="201">
        <f t="shared" ca="1" si="607"/>
        <v>31.845000839233393</v>
      </c>
      <c r="S153" s="201">
        <f t="shared" ca="1" si="608"/>
        <v>36.14500083923339</v>
      </c>
      <c r="T153" s="851">
        <f t="shared" ca="1" si="600"/>
        <v>22.499998092651364</v>
      </c>
      <c r="U153" s="201">
        <f t="shared" ca="1" si="601"/>
        <v>24.999998092651364</v>
      </c>
      <c r="V153" s="206">
        <f t="shared" ca="1" si="602"/>
        <v>27.499998092651364</v>
      </c>
      <c r="W153" s="230">
        <f t="shared" ca="1" si="590"/>
        <v>0.11949292464849941</v>
      </c>
      <c r="X153" s="231">
        <f t="shared" ca="1" si="591"/>
        <v>0.23898584929699881</v>
      </c>
      <c r="Y153" s="232">
        <f t="shared" ca="1" si="592"/>
        <v>0.35847877394549821</v>
      </c>
      <c r="Z153" s="231">
        <f t="shared" ca="1" si="404"/>
        <v>0.11949292464849941</v>
      </c>
      <c r="AA153" s="231">
        <f t="shared" ca="1" si="405"/>
        <v>0.23898584929699881</v>
      </c>
      <c r="AB153" s="232">
        <f t="shared" ca="1" si="406"/>
        <v>0.35847877394549821</v>
      </c>
      <c r="AC153" s="231">
        <f t="shared" ca="1" si="407"/>
        <v>0.11949292464849941</v>
      </c>
      <c r="AD153" s="231">
        <f t="shared" ca="1" si="408"/>
        <v>0.23898584929699881</v>
      </c>
      <c r="AE153" s="232">
        <f t="shared" ca="1" si="422"/>
        <v>0.35847877394549821</v>
      </c>
      <c r="AF153" s="231">
        <f t="shared" ca="1" si="593"/>
        <v>4.8043881044987739E-2</v>
      </c>
      <c r="AG153" s="231">
        <f t="shared" ca="1" si="594"/>
        <v>9.6087762089975479E-2</v>
      </c>
      <c r="AH153" s="232">
        <f t="shared" ca="1" si="595"/>
        <v>0.14413164313496321</v>
      </c>
      <c r="AI153" s="233">
        <f t="shared" ca="1" si="423"/>
        <v>2.65</v>
      </c>
      <c r="AJ153" s="233">
        <f t="shared" ca="1" si="424"/>
        <v>3</v>
      </c>
      <c r="AK153" s="234">
        <f t="shared" ca="1" si="425"/>
        <v>3.5</v>
      </c>
      <c r="AL153" s="919">
        <f t="shared" ca="1" si="426"/>
        <v>2.65</v>
      </c>
      <c r="AM153" s="233">
        <f t="shared" ca="1" si="427"/>
        <v>3</v>
      </c>
      <c r="AN153" s="234">
        <f t="shared" ca="1" si="428"/>
        <v>3.5</v>
      </c>
      <c r="AO153" s="233">
        <f t="shared" ca="1" si="429"/>
        <v>2.65</v>
      </c>
      <c r="AP153" s="233">
        <f t="shared" ca="1" si="430"/>
        <v>3</v>
      </c>
      <c r="AQ153" s="233">
        <f t="shared" ca="1" si="431"/>
        <v>3.5</v>
      </c>
      <c r="AR153" s="919">
        <f t="shared" ca="1" si="432"/>
        <v>0.6</v>
      </c>
      <c r="AS153" s="233">
        <f t="shared" ca="1" si="433"/>
        <v>0.75</v>
      </c>
      <c r="AT153" s="235">
        <f t="shared" ca="1" si="434"/>
        <v>0.95</v>
      </c>
      <c r="AU153" s="946">
        <f t="shared" si="435"/>
        <v>0.5</v>
      </c>
      <c r="AV153" s="13">
        <f t="shared" ca="1" si="436"/>
        <v>0</v>
      </c>
      <c r="AW153" s="210">
        <f t="shared" ca="1" si="437"/>
        <v>0</v>
      </c>
      <c r="AX153" s="210">
        <f t="shared" ca="1" si="438"/>
        <v>0</v>
      </c>
      <c r="AY153" s="210">
        <f t="shared" ca="1" si="439"/>
        <v>0</v>
      </c>
      <c r="AZ153" s="13">
        <f t="shared" ca="1" si="440"/>
        <v>0</v>
      </c>
      <c r="BA153" s="357">
        <f ca="1"/>
        <v>0</v>
      </c>
      <c r="BB153" s="925">
        <f ca="1"/>
        <v>0</v>
      </c>
      <c r="BC153" s="925">
        <f ca="1"/>
        <v>0</v>
      </c>
      <c r="BD153" s="928">
        <f ca="1"/>
        <v>0</v>
      </c>
      <c r="BE153" s="200">
        <f ca="1"/>
        <v>0</v>
      </c>
      <c r="BF153" s="851">
        <f ca="1"/>
        <v>0</v>
      </c>
      <c r="BG153" s="851">
        <f ca="1"/>
        <v>0</v>
      </c>
      <c r="BH153" s="933">
        <f ca="1"/>
        <v>0</v>
      </c>
      <c r="BI153" s="357">
        <f ca="1"/>
        <v>0</v>
      </c>
      <c r="BJ153" s="925">
        <f ca="1"/>
        <v>0</v>
      </c>
      <c r="BK153" s="925">
        <f ca="1"/>
        <v>0</v>
      </c>
      <c r="BL153" s="928">
        <f ca="1"/>
        <v>0</v>
      </c>
      <c r="BM153" s="200">
        <f ca="1"/>
        <v>0</v>
      </c>
      <c r="BN153" s="851">
        <f ca="1"/>
        <v>0</v>
      </c>
      <c r="BO153" s="851">
        <f ca="1"/>
        <v>0</v>
      </c>
      <c r="BP153" s="933">
        <f ca="1"/>
        <v>0</v>
      </c>
      <c r="BQ153" s="357">
        <f t="shared" ca="1" si="441"/>
        <v>0</v>
      </c>
      <c r="BR153" s="361">
        <f t="shared" ca="1" si="442"/>
        <v>0</v>
      </c>
      <c r="BS153" s="357">
        <f t="shared" ca="1" si="443"/>
        <v>0</v>
      </c>
      <c r="BT153" s="302">
        <f t="shared" ca="1" si="444"/>
        <v>0</v>
      </c>
      <c r="BU153" s="299">
        <f t="shared" ca="1" si="445"/>
        <v>0</v>
      </c>
      <c r="BV153" s="299">
        <f t="shared" ca="1" si="446"/>
        <v>0</v>
      </c>
      <c r="BW153" s="299">
        <f t="shared" ca="1" si="447"/>
        <v>0</v>
      </c>
      <c r="BX153" s="380">
        <f t="shared" ca="1" si="448"/>
        <v>11.41409993155373</v>
      </c>
      <c r="BY153" s="363">
        <f t="shared" ca="1" si="449"/>
        <v>0</v>
      </c>
      <c r="BZ153" s="353">
        <f t="shared" ca="1" si="450"/>
        <v>0</v>
      </c>
      <c r="CA153" s="353">
        <f t="shared" ca="1" si="451"/>
        <v>0</v>
      </c>
      <c r="CB153" s="353">
        <f t="shared" ca="1" si="452"/>
        <v>0</v>
      </c>
      <c r="CC153" s="353">
        <f t="shared" ca="1" si="453"/>
        <v>0</v>
      </c>
      <c r="CD153" s="353">
        <f t="shared" ca="1" si="454"/>
        <v>0</v>
      </c>
      <c r="CE153" s="302">
        <f t="shared" ca="1" si="455"/>
        <v>0</v>
      </c>
      <c r="CF153" s="299">
        <f t="shared" ca="1" si="456"/>
        <v>0</v>
      </c>
      <c r="CG153" s="299">
        <f t="shared" ca="1" si="457"/>
        <v>0</v>
      </c>
      <c r="CH153" s="299">
        <f t="shared" ca="1" si="458"/>
        <v>0</v>
      </c>
      <c r="CI153" s="299">
        <f t="shared" ca="1" si="459"/>
        <v>0</v>
      </c>
      <c r="CJ153" s="299">
        <f t="shared" ca="1" si="460"/>
        <v>0</v>
      </c>
      <c r="CK153" s="299">
        <f t="shared" ca="1" si="461"/>
        <v>0</v>
      </c>
      <c r="CL153" s="377" t="str">
        <f t="shared" ca="1" si="462"/>
        <v/>
      </c>
      <c r="CM153" s="305" t="str">
        <f t="shared" ca="1" si="463"/>
        <v/>
      </c>
      <c r="CN153" s="305" t="str">
        <f t="shared" ca="1" si="464"/>
        <v/>
      </c>
      <c r="CO153" s="305" t="str">
        <f t="shared" ca="1" si="465"/>
        <v/>
      </c>
      <c r="CP153" s="305" t="str">
        <f t="shared" ca="1" si="466"/>
        <v/>
      </c>
      <c r="CQ153" s="305" t="str">
        <f t="shared" ca="1" si="467"/>
        <v/>
      </c>
      <c r="CR153" s="775" t="str">
        <f t="shared" ca="1" si="468"/>
        <v/>
      </c>
      <c r="CS153" s="305" t="str">
        <f t="shared" ca="1" si="469"/>
        <v/>
      </c>
      <c r="CT153" s="305" t="str">
        <f t="shared" ca="1" si="470"/>
        <v/>
      </c>
      <c r="CU153" s="305" t="str">
        <f t="shared" ca="1" si="471"/>
        <v/>
      </c>
      <c r="CV153" s="770" t="str">
        <f t="shared" ca="1" si="472"/>
        <v/>
      </c>
      <c r="CW153" s="302">
        <f t="shared" ca="1" si="473"/>
        <v>0</v>
      </c>
      <c r="CX153" s="299">
        <f t="shared" ca="1" si="474"/>
        <v>0</v>
      </c>
      <c r="CY153" s="299">
        <f t="shared" ca="1" si="475"/>
        <v>0</v>
      </c>
      <c r="CZ153" s="299">
        <f t="shared" ca="1" si="476"/>
        <v>0</v>
      </c>
      <c r="DA153" s="774">
        <f t="shared" ca="1" si="477"/>
        <v>0</v>
      </c>
      <c r="DB153" s="303">
        <f t="shared" ca="1" si="478"/>
        <v>0</v>
      </c>
      <c r="DC153" s="248">
        <f t="shared" ca="1" si="479"/>
        <v>0</v>
      </c>
      <c r="DD153" s="778">
        <f t="shared" ca="1" si="480"/>
        <v>0</v>
      </c>
      <c r="DE153" s="363">
        <f t="shared" ca="1" si="481"/>
        <v>0</v>
      </c>
      <c r="DF153" s="378" t="str">
        <f t="shared" ca="1" si="482"/>
        <v/>
      </c>
      <c r="DG153" s="508" t="str">
        <f t="shared" ca="1" si="483"/>
        <v/>
      </c>
      <c r="DH153" s="508" t="str">
        <f t="shared" ca="1" si="484"/>
        <v/>
      </c>
      <c r="DI153" s="508" t="str">
        <f t="shared" ca="1" si="485"/>
        <v/>
      </c>
      <c r="DJ153" s="508" t="str">
        <f t="shared" ca="1" si="486"/>
        <v/>
      </c>
      <c r="DK153" s="353">
        <f t="shared" ca="1" si="487"/>
        <v>0</v>
      </c>
      <c r="DL153" s="781">
        <f t="shared" ca="1" si="488"/>
        <v>0</v>
      </c>
      <c r="DM153" s="303">
        <f t="shared" ca="1" si="489"/>
        <v>0</v>
      </c>
      <c r="DN153" s="508" t="str">
        <f t="shared" ca="1" si="490"/>
        <v/>
      </c>
      <c r="DO153" s="508" t="str">
        <f t="shared" ca="1" si="491"/>
        <v/>
      </c>
      <c r="DP153" s="508" t="str">
        <f t="shared" ca="1" si="492"/>
        <v/>
      </c>
      <c r="DQ153" s="508" t="str">
        <f t="shared" ca="1" si="493"/>
        <v/>
      </c>
      <c r="DR153" s="508" t="str">
        <f t="shared" ca="1" si="494"/>
        <v/>
      </c>
      <c r="DS153" s="353">
        <f t="shared" ca="1" si="495"/>
        <v>0</v>
      </c>
      <c r="DT153" s="353">
        <f t="shared" ca="1" si="496"/>
        <v>0</v>
      </c>
      <c r="DU153" s="380">
        <f t="shared" ca="1" si="596"/>
        <v>11.41409993155373</v>
      </c>
      <c r="DV153" s="303">
        <f t="shared" ca="1" si="497"/>
        <v>0</v>
      </c>
      <c r="DW153" s="303">
        <f t="shared" ca="1" si="498"/>
        <v>0</v>
      </c>
      <c r="DX153" s="303">
        <f t="shared" ca="1" si="499"/>
        <v>0</v>
      </c>
      <c r="DY153" s="303">
        <f t="shared" ca="1" si="500"/>
        <v>0</v>
      </c>
      <c r="DZ153" s="303">
        <f t="shared" ca="1" si="501"/>
        <v>0</v>
      </c>
      <c r="EA153" s="303">
        <f t="shared" ca="1" si="502"/>
        <v>0</v>
      </c>
      <c r="EB153" s="302">
        <f t="shared" ca="1" si="503"/>
        <v>0</v>
      </c>
      <c r="EC153" s="299">
        <f t="shared" ca="1" si="504"/>
        <v>0</v>
      </c>
      <c r="ED153" s="299">
        <f t="shared" ca="1" si="505"/>
        <v>0</v>
      </c>
      <c r="EE153" s="299">
        <f t="shared" ca="1" si="506"/>
        <v>0</v>
      </c>
      <c r="EF153" s="299">
        <f t="shared" ca="1" si="507"/>
        <v>0</v>
      </c>
      <c r="EG153" s="299">
        <f t="shared" ca="1" si="508"/>
        <v>0</v>
      </c>
      <c r="EH153" s="302">
        <f t="shared" ca="1" si="509"/>
        <v>0</v>
      </c>
      <c r="EI153" s="304" t="str">
        <f t="shared" ca="1" si="510"/>
        <v/>
      </c>
      <c r="EJ153" s="305" t="str">
        <f t="shared" ca="1" si="511"/>
        <v/>
      </c>
      <c r="EK153" s="305" t="str">
        <f t="shared" ca="1" si="512"/>
        <v/>
      </c>
      <c r="EL153" s="305" t="str">
        <f t="shared" ca="1" si="513"/>
        <v/>
      </c>
      <c r="EM153" s="305" t="str">
        <f t="shared" ca="1" si="514"/>
        <v/>
      </c>
      <c r="EN153" s="305" t="str">
        <f t="shared" ca="1" si="515"/>
        <v/>
      </c>
      <c r="EO153" s="305" t="str">
        <f t="shared" ca="1" si="516"/>
        <v/>
      </c>
      <c r="EP153" s="305" t="str">
        <f t="shared" ca="1" si="517"/>
        <v/>
      </c>
      <c r="EQ153" s="305" t="str">
        <f t="shared" ca="1" si="518"/>
        <v/>
      </c>
      <c r="ER153" s="305" t="str">
        <f t="shared" ca="1" si="519"/>
        <v/>
      </c>
      <c r="ES153" s="305" t="str">
        <f t="shared" ca="1" si="520"/>
        <v/>
      </c>
      <c r="ET153" s="299">
        <f t="shared" ca="1" si="521"/>
        <v>0</v>
      </c>
      <c r="EU153" s="302">
        <f t="shared" ca="1" si="522"/>
        <v>0</v>
      </c>
      <c r="EV153" s="304" t="str">
        <f t="shared" ca="1" si="523"/>
        <v/>
      </c>
      <c r="EW153" s="305" t="str">
        <f t="shared" ca="1" si="524"/>
        <v/>
      </c>
      <c r="EX153" s="305" t="str">
        <f t="shared" ca="1" si="525"/>
        <v/>
      </c>
      <c r="EY153" s="305" t="str">
        <f t="shared" ca="1" si="526"/>
        <v/>
      </c>
      <c r="EZ153" s="305" t="str">
        <f t="shared" ca="1" si="527"/>
        <v/>
      </c>
      <c r="FA153" s="305" t="str">
        <f t="shared" ca="1" si="528"/>
        <v/>
      </c>
      <c r="FB153" s="305" t="str">
        <f t="shared" ca="1" si="529"/>
        <v/>
      </c>
      <c r="FC153" s="305" t="str">
        <f t="shared" ca="1" si="530"/>
        <v/>
      </c>
      <c r="FD153" s="305" t="str">
        <f t="shared" ca="1" si="531"/>
        <v/>
      </c>
      <c r="FE153" s="305" t="str">
        <f t="shared" ca="1" si="532"/>
        <v/>
      </c>
      <c r="FF153" s="305" t="str">
        <f t="shared" ca="1" si="533"/>
        <v/>
      </c>
      <c r="FG153" s="299">
        <f t="shared" ca="1" si="534"/>
        <v>0</v>
      </c>
      <c r="FH153" s="302">
        <f t="shared" ca="1" si="535"/>
        <v>0</v>
      </c>
      <c r="FI153" s="248">
        <f t="shared" ca="1" si="536"/>
        <v>0</v>
      </c>
      <c r="FJ153" s="363">
        <f t="shared" ca="1" si="537"/>
        <v>0</v>
      </c>
      <c r="FK153" s="378" t="str">
        <f t="shared" ca="1" si="538"/>
        <v/>
      </c>
      <c r="FL153" s="508" t="str">
        <f t="shared" ca="1" si="539"/>
        <v/>
      </c>
      <c r="FM153" s="508" t="str">
        <f t="shared" ca="1" si="540"/>
        <v/>
      </c>
      <c r="FN153" s="508" t="str">
        <f t="shared" ca="1" si="541"/>
        <v/>
      </c>
      <c r="FO153" s="508" t="str">
        <f t="shared" ca="1" si="542"/>
        <v/>
      </c>
      <c r="FP153" s="353">
        <f t="shared" ca="1" si="543"/>
        <v>0</v>
      </c>
      <c r="FQ153" s="356">
        <f t="shared" ca="1" si="544"/>
        <v>0</v>
      </c>
      <c r="FR153" s="380">
        <f t="shared" ca="1" si="545"/>
        <v>0</v>
      </c>
      <c r="FS153" s="299">
        <f t="shared" ca="1" si="546"/>
        <v>0</v>
      </c>
      <c r="FT153" s="299">
        <f t="shared" ca="1" si="547"/>
        <v>0</v>
      </c>
      <c r="FU153" s="299">
        <f t="shared" ca="1" si="548"/>
        <v>0</v>
      </c>
      <c r="FV153" s="299">
        <f t="shared" ca="1" si="549"/>
        <v>0</v>
      </c>
      <c r="FW153" s="850" t="str">
        <f t="shared" ca="1" si="550"/>
        <v/>
      </c>
      <c r="FX153" s="851" t="str">
        <f t="shared" ca="1" si="551"/>
        <v/>
      </c>
      <c r="FY153" s="851" t="str">
        <f t="shared" ca="1" si="552"/>
        <v/>
      </c>
      <c r="FZ153" s="201" t="str">
        <f t="shared" ca="1" si="553"/>
        <v/>
      </c>
      <c r="GA153" s="201" t="str">
        <f t="shared" ca="1" si="554"/>
        <v/>
      </c>
      <c r="GB153" s="201" t="str">
        <f t="shared" ca="1" si="555"/>
        <v/>
      </c>
      <c r="GC153" s="201" t="str">
        <f t="shared" ca="1" si="556"/>
        <v/>
      </c>
      <c r="GD153" s="850" t="str">
        <f t="shared" ca="1" si="557"/>
        <v/>
      </c>
      <c r="GE153" s="866" t="str">
        <f t="shared" ca="1" si="558"/>
        <v/>
      </c>
      <c r="GF153" s="866" t="str">
        <f t="shared" ca="1" si="559"/>
        <v/>
      </c>
      <c r="GG153" s="866" t="str">
        <f t="shared" ca="1" si="560"/>
        <v/>
      </c>
      <c r="GH153" s="866" t="str">
        <f t="shared" ca="1" si="561"/>
        <v/>
      </c>
      <c r="GI153" s="302">
        <f t="shared" ca="1" si="562"/>
        <v>0</v>
      </c>
      <c r="GJ153" s="299">
        <f t="shared" ca="1" si="563"/>
        <v>0</v>
      </c>
      <c r="GK153" s="299">
        <f t="shared" ca="1" si="564"/>
        <v>0</v>
      </c>
      <c r="GL153" s="299">
        <f t="shared" ca="1" si="565"/>
        <v>0</v>
      </c>
      <c r="GM153" s="299">
        <f t="shared" ca="1" si="566"/>
        <v>0</v>
      </c>
      <c r="GN153" s="302">
        <f t="shared" ca="1" si="567"/>
        <v>0</v>
      </c>
      <c r="GO153" s="299">
        <f t="shared" ca="1" si="568"/>
        <v>0</v>
      </c>
      <c r="GP153" s="299">
        <f t="shared" ca="1" si="569"/>
        <v>0</v>
      </c>
      <c r="GQ153" s="299">
        <f t="shared" ca="1" si="570"/>
        <v>0</v>
      </c>
      <c r="GR153" s="299">
        <f t="shared" ca="1" si="571"/>
        <v>0</v>
      </c>
      <c r="GS153" s="302">
        <f t="shared" ca="1" si="572"/>
        <v>0</v>
      </c>
      <c r="GT153" s="299">
        <f t="shared" ca="1" si="573"/>
        <v>0</v>
      </c>
      <c r="GU153" s="299">
        <f t="shared" ca="1" si="574"/>
        <v>0</v>
      </c>
      <c r="GV153" s="299">
        <f t="shared" ca="1" si="575"/>
        <v>0</v>
      </c>
      <c r="GW153" s="299">
        <f t="shared" ca="1" si="576"/>
        <v>0</v>
      </c>
      <c r="GX153" s="303">
        <f t="shared" ca="1" si="577"/>
        <v>0</v>
      </c>
      <c r="GY153" s="303">
        <f t="shared" ca="1" si="578"/>
        <v>0</v>
      </c>
      <c r="GZ153" s="303">
        <f t="shared" ca="1" si="579"/>
        <v>0</v>
      </c>
      <c r="HA153" s="303">
        <f t="shared" ca="1" si="580"/>
        <v>0</v>
      </c>
      <c r="HB153" s="303">
        <f t="shared" ca="1" si="581"/>
        <v>0</v>
      </c>
      <c r="HC153" s="303">
        <f t="shared" ca="1" si="582"/>
        <v>0</v>
      </c>
      <c r="HD153" s="303">
        <f t="shared" ca="1" si="583"/>
        <v>0</v>
      </c>
      <c r="HE153" s="303">
        <f t="shared" ca="1" si="584"/>
        <v>0</v>
      </c>
      <c r="HF153" s="303">
        <f t="shared" ca="1" si="585"/>
        <v>0</v>
      </c>
      <c r="HG153" s="852">
        <f t="shared" ca="1" si="586"/>
        <v>0</v>
      </c>
    </row>
    <row r="154" spans="1:215" x14ac:dyDescent="0.25">
      <c r="A154" s="244">
        <f t="shared" ca="1" si="587"/>
        <v>40787</v>
      </c>
      <c r="B154" s="13">
        <f t="shared" ca="1" si="415"/>
        <v>2011</v>
      </c>
      <c r="C154" s="619">
        <f t="shared" ca="1" si="416"/>
        <v>9</v>
      </c>
      <c r="D154" s="195">
        <f t="shared" ca="1" si="417"/>
        <v>40791</v>
      </c>
      <c r="E154" s="469" t="str">
        <f t="shared" ca="1" si="418"/>
        <v/>
      </c>
      <c r="F154" s="465" t="str">
        <f t="shared" ca="1" si="419"/>
        <v/>
      </c>
      <c r="G154" s="522">
        <f t="shared" ca="1" si="588"/>
        <v>1</v>
      </c>
      <c r="H154" s="519">
        <f t="shared" ca="1" si="589"/>
        <v>1</v>
      </c>
      <c r="I154" s="724">
        <f t="shared" ca="1" si="420"/>
        <v>7.4199464070849E-2</v>
      </c>
      <c r="J154" s="198">
        <f t="shared" ca="1" si="421"/>
        <v>0.42846532813381383</v>
      </c>
      <c r="K154" s="200">
        <f t="shared" ca="1" si="597"/>
        <v>32.049999999999997</v>
      </c>
      <c r="L154" s="201">
        <f t="shared" ca="1" si="598"/>
        <v>33.75</v>
      </c>
      <c r="M154" s="206">
        <f t="shared" ca="1" si="599"/>
        <v>35.450000000000003</v>
      </c>
      <c r="N154" s="851">
        <f t="shared" ca="1" si="603"/>
        <v>23.229999160766596</v>
      </c>
      <c r="O154" s="201">
        <f t="shared" ca="1" si="604"/>
        <v>24.504999160766594</v>
      </c>
      <c r="P154" s="206">
        <f t="shared" ca="1" si="605"/>
        <v>25.779999160766593</v>
      </c>
      <c r="Q154" s="201">
        <f t="shared" ca="1" si="606"/>
        <v>20.7</v>
      </c>
      <c r="R154" s="201">
        <f t="shared" ca="1" si="607"/>
        <v>25</v>
      </c>
      <c r="S154" s="201">
        <f t="shared" ca="1" si="608"/>
        <v>29.3</v>
      </c>
      <c r="T154" s="851">
        <f t="shared" ca="1" si="600"/>
        <v>19.699998092651363</v>
      </c>
      <c r="U154" s="201">
        <f t="shared" ca="1" si="601"/>
        <v>20.549998092651364</v>
      </c>
      <c r="V154" s="206">
        <f t="shared" ca="1" si="602"/>
        <v>21.399998092651366</v>
      </c>
      <c r="W154" s="230">
        <f t="shared" ca="1" si="590"/>
        <v>7.9078181249908841E-2</v>
      </c>
      <c r="X154" s="231">
        <f t="shared" ca="1" si="591"/>
        <v>0.15815636249981768</v>
      </c>
      <c r="Y154" s="232">
        <f t="shared" ca="1" si="592"/>
        <v>0.23723454374972652</v>
      </c>
      <c r="Z154" s="231">
        <f t="shared" ca="1" si="404"/>
        <v>7.9078181249908841E-2</v>
      </c>
      <c r="AA154" s="231">
        <f t="shared" ca="1" si="405"/>
        <v>0.15815636249981768</v>
      </c>
      <c r="AB154" s="232">
        <f t="shared" ca="1" si="406"/>
        <v>0.23723454374972652</v>
      </c>
      <c r="AC154" s="231">
        <f t="shared" ca="1" si="407"/>
        <v>7.9078181249908841E-2</v>
      </c>
      <c r="AD154" s="231">
        <f t="shared" ca="1" si="408"/>
        <v>0.15815636249981768</v>
      </c>
      <c r="AE154" s="232">
        <f t="shared" ca="1" si="422"/>
        <v>0.23723454374972652</v>
      </c>
      <c r="AF154" s="231">
        <f t="shared" ca="1" si="593"/>
        <v>3.2029254029991829E-2</v>
      </c>
      <c r="AG154" s="231">
        <f t="shared" ca="1" si="594"/>
        <v>6.4058508059983657E-2</v>
      </c>
      <c r="AH154" s="232">
        <f t="shared" ca="1" si="595"/>
        <v>9.6087762089975493E-2</v>
      </c>
      <c r="AI154" s="233">
        <f t="shared" ca="1" si="423"/>
        <v>1.1499999999999999</v>
      </c>
      <c r="AJ154" s="233">
        <f t="shared" ca="1" si="424"/>
        <v>1.5</v>
      </c>
      <c r="AK154" s="234">
        <f t="shared" ca="1" si="425"/>
        <v>1.8</v>
      </c>
      <c r="AL154" s="919">
        <f t="shared" ca="1" si="426"/>
        <v>1.1499999999999999</v>
      </c>
      <c r="AM154" s="233">
        <f t="shared" ca="1" si="427"/>
        <v>1.5</v>
      </c>
      <c r="AN154" s="234">
        <f t="shared" ca="1" si="428"/>
        <v>1.8</v>
      </c>
      <c r="AO154" s="233">
        <f t="shared" ca="1" si="429"/>
        <v>1.1499999999999999</v>
      </c>
      <c r="AP154" s="233">
        <f t="shared" ca="1" si="430"/>
        <v>1.5</v>
      </c>
      <c r="AQ154" s="233">
        <f t="shared" ca="1" si="431"/>
        <v>1.8</v>
      </c>
      <c r="AR154" s="919">
        <f t="shared" ca="1" si="432"/>
        <v>0.25</v>
      </c>
      <c r="AS154" s="233">
        <f t="shared" ca="1" si="433"/>
        <v>0.4</v>
      </c>
      <c r="AT154" s="235">
        <f t="shared" ca="1" si="434"/>
        <v>0.60000000000000009</v>
      </c>
      <c r="AU154" s="946">
        <f t="shared" si="435"/>
        <v>0.5</v>
      </c>
      <c r="AV154" s="13">
        <f t="shared" ca="1" si="436"/>
        <v>0</v>
      </c>
      <c r="AW154" s="210">
        <f t="shared" ca="1" si="437"/>
        <v>0</v>
      </c>
      <c r="AX154" s="210">
        <f t="shared" ca="1" si="438"/>
        <v>0</v>
      </c>
      <c r="AY154" s="210">
        <f t="shared" ca="1" si="439"/>
        <v>0</v>
      </c>
      <c r="AZ154" s="13">
        <f t="shared" ca="1" si="440"/>
        <v>0</v>
      </c>
      <c r="BA154" s="357">
        <f ca="1"/>
        <v>0</v>
      </c>
      <c r="BB154" s="925">
        <f ca="1"/>
        <v>0</v>
      </c>
      <c r="BC154" s="925">
        <f ca="1"/>
        <v>0</v>
      </c>
      <c r="BD154" s="928">
        <f ca="1"/>
        <v>0</v>
      </c>
      <c r="BE154" s="200">
        <f ca="1"/>
        <v>0</v>
      </c>
      <c r="BF154" s="851">
        <f ca="1"/>
        <v>0</v>
      </c>
      <c r="BG154" s="851">
        <f ca="1"/>
        <v>0</v>
      </c>
      <c r="BH154" s="933">
        <f ca="1"/>
        <v>0</v>
      </c>
      <c r="BI154" s="357">
        <f ca="1"/>
        <v>0</v>
      </c>
      <c r="BJ154" s="925">
        <f ca="1"/>
        <v>0</v>
      </c>
      <c r="BK154" s="925">
        <f ca="1"/>
        <v>0</v>
      </c>
      <c r="BL154" s="928">
        <f ca="1"/>
        <v>0</v>
      </c>
      <c r="BM154" s="200">
        <f ca="1"/>
        <v>0</v>
      </c>
      <c r="BN154" s="851">
        <f ca="1"/>
        <v>0</v>
      </c>
      <c r="BO154" s="851">
        <f ca="1"/>
        <v>0</v>
      </c>
      <c r="BP154" s="933">
        <f ca="1"/>
        <v>0</v>
      </c>
      <c r="BQ154" s="357">
        <f t="shared" ca="1" si="441"/>
        <v>0</v>
      </c>
      <c r="BR154" s="361">
        <f t="shared" ca="1" si="442"/>
        <v>0</v>
      </c>
      <c r="BS154" s="357">
        <f t="shared" ca="1" si="443"/>
        <v>0</v>
      </c>
      <c r="BT154" s="302">
        <f t="shared" ca="1" si="444"/>
        <v>0</v>
      </c>
      <c r="BU154" s="299">
        <f t="shared" ca="1" si="445"/>
        <v>0</v>
      </c>
      <c r="BV154" s="299">
        <f t="shared" ca="1" si="446"/>
        <v>0</v>
      </c>
      <c r="BW154" s="299">
        <f t="shared" ca="1" si="447"/>
        <v>0</v>
      </c>
      <c r="BX154" s="380">
        <f t="shared" ca="1" si="448"/>
        <v>11.498973305954825</v>
      </c>
      <c r="BY154" s="363">
        <f t="shared" ca="1" si="449"/>
        <v>0</v>
      </c>
      <c r="BZ154" s="353">
        <f t="shared" ca="1" si="450"/>
        <v>0</v>
      </c>
      <c r="CA154" s="353">
        <f t="shared" ca="1" si="451"/>
        <v>0</v>
      </c>
      <c r="CB154" s="353">
        <f t="shared" ca="1" si="452"/>
        <v>0</v>
      </c>
      <c r="CC154" s="353">
        <f t="shared" ca="1" si="453"/>
        <v>0</v>
      </c>
      <c r="CD154" s="353">
        <f t="shared" ca="1" si="454"/>
        <v>0</v>
      </c>
      <c r="CE154" s="302">
        <f t="shared" ca="1" si="455"/>
        <v>0</v>
      </c>
      <c r="CF154" s="299">
        <f t="shared" ca="1" si="456"/>
        <v>0</v>
      </c>
      <c r="CG154" s="299">
        <f t="shared" ca="1" si="457"/>
        <v>0</v>
      </c>
      <c r="CH154" s="299">
        <f t="shared" ca="1" si="458"/>
        <v>0</v>
      </c>
      <c r="CI154" s="299">
        <f t="shared" ca="1" si="459"/>
        <v>0</v>
      </c>
      <c r="CJ154" s="299">
        <f t="shared" ca="1" si="460"/>
        <v>0</v>
      </c>
      <c r="CK154" s="299">
        <f t="shared" ca="1" si="461"/>
        <v>0</v>
      </c>
      <c r="CL154" s="377" t="str">
        <f t="shared" ca="1" si="462"/>
        <v/>
      </c>
      <c r="CM154" s="305" t="str">
        <f t="shared" ca="1" si="463"/>
        <v/>
      </c>
      <c r="CN154" s="305" t="str">
        <f t="shared" ca="1" si="464"/>
        <v/>
      </c>
      <c r="CO154" s="305" t="str">
        <f t="shared" ca="1" si="465"/>
        <v/>
      </c>
      <c r="CP154" s="305" t="str">
        <f t="shared" ca="1" si="466"/>
        <v/>
      </c>
      <c r="CQ154" s="305" t="str">
        <f t="shared" ca="1" si="467"/>
        <v/>
      </c>
      <c r="CR154" s="775" t="str">
        <f t="shared" ca="1" si="468"/>
        <v/>
      </c>
      <c r="CS154" s="305" t="str">
        <f t="shared" ca="1" si="469"/>
        <v/>
      </c>
      <c r="CT154" s="305" t="str">
        <f t="shared" ca="1" si="470"/>
        <v/>
      </c>
      <c r="CU154" s="305" t="str">
        <f t="shared" ca="1" si="471"/>
        <v/>
      </c>
      <c r="CV154" s="770" t="str">
        <f t="shared" ca="1" si="472"/>
        <v/>
      </c>
      <c r="CW154" s="302">
        <f t="shared" ca="1" si="473"/>
        <v>0</v>
      </c>
      <c r="CX154" s="299">
        <f t="shared" ca="1" si="474"/>
        <v>0</v>
      </c>
      <c r="CY154" s="299">
        <f t="shared" ca="1" si="475"/>
        <v>0</v>
      </c>
      <c r="CZ154" s="299">
        <f t="shared" ca="1" si="476"/>
        <v>0</v>
      </c>
      <c r="DA154" s="774">
        <f t="shared" ca="1" si="477"/>
        <v>0</v>
      </c>
      <c r="DB154" s="303">
        <f t="shared" ca="1" si="478"/>
        <v>0</v>
      </c>
      <c r="DC154" s="248">
        <f t="shared" ca="1" si="479"/>
        <v>0</v>
      </c>
      <c r="DD154" s="778">
        <f t="shared" ca="1" si="480"/>
        <v>0</v>
      </c>
      <c r="DE154" s="363">
        <f t="shared" ca="1" si="481"/>
        <v>0</v>
      </c>
      <c r="DF154" s="378" t="str">
        <f t="shared" ca="1" si="482"/>
        <v/>
      </c>
      <c r="DG154" s="508" t="str">
        <f t="shared" ca="1" si="483"/>
        <v/>
      </c>
      <c r="DH154" s="508" t="str">
        <f t="shared" ca="1" si="484"/>
        <v/>
      </c>
      <c r="DI154" s="508" t="str">
        <f t="shared" ca="1" si="485"/>
        <v/>
      </c>
      <c r="DJ154" s="508" t="str">
        <f t="shared" ca="1" si="486"/>
        <v/>
      </c>
      <c r="DK154" s="353">
        <f t="shared" ca="1" si="487"/>
        <v>0</v>
      </c>
      <c r="DL154" s="781">
        <f t="shared" ca="1" si="488"/>
        <v>0</v>
      </c>
      <c r="DM154" s="303">
        <f t="shared" ca="1" si="489"/>
        <v>0</v>
      </c>
      <c r="DN154" s="508" t="str">
        <f t="shared" ca="1" si="490"/>
        <v/>
      </c>
      <c r="DO154" s="508" t="str">
        <f t="shared" ca="1" si="491"/>
        <v/>
      </c>
      <c r="DP154" s="508" t="str">
        <f t="shared" ca="1" si="492"/>
        <v/>
      </c>
      <c r="DQ154" s="508" t="str">
        <f t="shared" ca="1" si="493"/>
        <v/>
      </c>
      <c r="DR154" s="508" t="str">
        <f t="shared" ca="1" si="494"/>
        <v/>
      </c>
      <c r="DS154" s="353">
        <f t="shared" ca="1" si="495"/>
        <v>0</v>
      </c>
      <c r="DT154" s="353">
        <f t="shared" ca="1" si="496"/>
        <v>0</v>
      </c>
      <c r="DU154" s="380">
        <f t="shared" ca="1" si="596"/>
        <v>11.498973305954825</v>
      </c>
      <c r="DV154" s="303">
        <f t="shared" ca="1" si="497"/>
        <v>0</v>
      </c>
      <c r="DW154" s="303">
        <f t="shared" ca="1" si="498"/>
        <v>0</v>
      </c>
      <c r="DX154" s="303">
        <f t="shared" ca="1" si="499"/>
        <v>0</v>
      </c>
      <c r="DY154" s="303">
        <f t="shared" ca="1" si="500"/>
        <v>0</v>
      </c>
      <c r="DZ154" s="303">
        <f t="shared" ca="1" si="501"/>
        <v>0</v>
      </c>
      <c r="EA154" s="303">
        <f t="shared" ca="1" si="502"/>
        <v>0</v>
      </c>
      <c r="EB154" s="302">
        <f t="shared" ca="1" si="503"/>
        <v>0</v>
      </c>
      <c r="EC154" s="299">
        <f t="shared" ca="1" si="504"/>
        <v>0</v>
      </c>
      <c r="ED154" s="299">
        <f t="shared" ca="1" si="505"/>
        <v>0</v>
      </c>
      <c r="EE154" s="299">
        <f t="shared" ca="1" si="506"/>
        <v>0</v>
      </c>
      <c r="EF154" s="299">
        <f t="shared" ca="1" si="507"/>
        <v>0</v>
      </c>
      <c r="EG154" s="299">
        <f t="shared" ca="1" si="508"/>
        <v>0</v>
      </c>
      <c r="EH154" s="302">
        <f t="shared" ca="1" si="509"/>
        <v>0</v>
      </c>
      <c r="EI154" s="304" t="str">
        <f t="shared" ca="1" si="510"/>
        <v/>
      </c>
      <c r="EJ154" s="305" t="str">
        <f t="shared" ca="1" si="511"/>
        <v/>
      </c>
      <c r="EK154" s="305" t="str">
        <f t="shared" ca="1" si="512"/>
        <v/>
      </c>
      <c r="EL154" s="305" t="str">
        <f t="shared" ca="1" si="513"/>
        <v/>
      </c>
      <c r="EM154" s="305" t="str">
        <f t="shared" ca="1" si="514"/>
        <v/>
      </c>
      <c r="EN154" s="305" t="str">
        <f t="shared" ca="1" si="515"/>
        <v/>
      </c>
      <c r="EO154" s="305" t="str">
        <f t="shared" ca="1" si="516"/>
        <v/>
      </c>
      <c r="EP154" s="305" t="str">
        <f t="shared" ca="1" si="517"/>
        <v/>
      </c>
      <c r="EQ154" s="305" t="str">
        <f t="shared" ca="1" si="518"/>
        <v/>
      </c>
      <c r="ER154" s="305" t="str">
        <f t="shared" ca="1" si="519"/>
        <v/>
      </c>
      <c r="ES154" s="305" t="str">
        <f t="shared" ca="1" si="520"/>
        <v/>
      </c>
      <c r="ET154" s="299">
        <f t="shared" ca="1" si="521"/>
        <v>0</v>
      </c>
      <c r="EU154" s="302">
        <f t="shared" ca="1" si="522"/>
        <v>0</v>
      </c>
      <c r="EV154" s="304" t="str">
        <f t="shared" ca="1" si="523"/>
        <v/>
      </c>
      <c r="EW154" s="305" t="str">
        <f t="shared" ca="1" si="524"/>
        <v/>
      </c>
      <c r="EX154" s="305" t="str">
        <f t="shared" ca="1" si="525"/>
        <v/>
      </c>
      <c r="EY154" s="305" t="str">
        <f t="shared" ca="1" si="526"/>
        <v/>
      </c>
      <c r="EZ154" s="305" t="str">
        <f t="shared" ca="1" si="527"/>
        <v/>
      </c>
      <c r="FA154" s="305" t="str">
        <f t="shared" ca="1" si="528"/>
        <v/>
      </c>
      <c r="FB154" s="305" t="str">
        <f t="shared" ca="1" si="529"/>
        <v/>
      </c>
      <c r="FC154" s="305" t="str">
        <f t="shared" ca="1" si="530"/>
        <v/>
      </c>
      <c r="FD154" s="305" t="str">
        <f t="shared" ca="1" si="531"/>
        <v/>
      </c>
      <c r="FE154" s="305" t="str">
        <f t="shared" ca="1" si="532"/>
        <v/>
      </c>
      <c r="FF154" s="305" t="str">
        <f t="shared" ca="1" si="533"/>
        <v/>
      </c>
      <c r="FG154" s="299">
        <f t="shared" ca="1" si="534"/>
        <v>0</v>
      </c>
      <c r="FH154" s="302">
        <f t="shared" ca="1" si="535"/>
        <v>0</v>
      </c>
      <c r="FI154" s="248">
        <f t="shared" ca="1" si="536"/>
        <v>0</v>
      </c>
      <c r="FJ154" s="363">
        <f t="shared" ca="1" si="537"/>
        <v>0</v>
      </c>
      <c r="FK154" s="378" t="str">
        <f t="shared" ca="1" si="538"/>
        <v/>
      </c>
      <c r="FL154" s="508" t="str">
        <f t="shared" ca="1" si="539"/>
        <v/>
      </c>
      <c r="FM154" s="508" t="str">
        <f t="shared" ca="1" si="540"/>
        <v/>
      </c>
      <c r="FN154" s="508" t="str">
        <f t="shared" ca="1" si="541"/>
        <v/>
      </c>
      <c r="FO154" s="508" t="str">
        <f t="shared" ca="1" si="542"/>
        <v/>
      </c>
      <c r="FP154" s="353">
        <f t="shared" ca="1" si="543"/>
        <v>0</v>
      </c>
      <c r="FQ154" s="356">
        <f t="shared" ca="1" si="544"/>
        <v>0</v>
      </c>
      <c r="FR154" s="380">
        <f t="shared" ca="1" si="545"/>
        <v>0</v>
      </c>
      <c r="FS154" s="299">
        <f t="shared" ca="1" si="546"/>
        <v>0</v>
      </c>
      <c r="FT154" s="299">
        <f t="shared" ca="1" si="547"/>
        <v>0</v>
      </c>
      <c r="FU154" s="299">
        <f t="shared" ca="1" si="548"/>
        <v>0</v>
      </c>
      <c r="FV154" s="299">
        <f t="shared" ca="1" si="549"/>
        <v>0</v>
      </c>
      <c r="FW154" s="850" t="str">
        <f t="shared" ca="1" si="550"/>
        <v/>
      </c>
      <c r="FX154" s="851" t="str">
        <f t="shared" ca="1" si="551"/>
        <v/>
      </c>
      <c r="FY154" s="851" t="str">
        <f t="shared" ca="1" si="552"/>
        <v/>
      </c>
      <c r="FZ154" s="201" t="str">
        <f t="shared" ca="1" si="553"/>
        <v/>
      </c>
      <c r="GA154" s="201" t="str">
        <f t="shared" ca="1" si="554"/>
        <v/>
      </c>
      <c r="GB154" s="201" t="str">
        <f t="shared" ca="1" si="555"/>
        <v/>
      </c>
      <c r="GC154" s="201" t="str">
        <f t="shared" ca="1" si="556"/>
        <v/>
      </c>
      <c r="GD154" s="850" t="str">
        <f t="shared" ca="1" si="557"/>
        <v/>
      </c>
      <c r="GE154" s="866" t="str">
        <f t="shared" ca="1" si="558"/>
        <v/>
      </c>
      <c r="GF154" s="866" t="str">
        <f t="shared" ca="1" si="559"/>
        <v/>
      </c>
      <c r="GG154" s="866" t="str">
        <f t="shared" ca="1" si="560"/>
        <v/>
      </c>
      <c r="GH154" s="866" t="str">
        <f t="shared" ca="1" si="561"/>
        <v/>
      </c>
      <c r="GI154" s="302">
        <f t="shared" ca="1" si="562"/>
        <v>0</v>
      </c>
      <c r="GJ154" s="299">
        <f t="shared" ca="1" si="563"/>
        <v>0</v>
      </c>
      <c r="GK154" s="299">
        <f t="shared" ca="1" si="564"/>
        <v>0</v>
      </c>
      <c r="GL154" s="299">
        <f t="shared" ca="1" si="565"/>
        <v>0</v>
      </c>
      <c r="GM154" s="299">
        <f t="shared" ca="1" si="566"/>
        <v>0</v>
      </c>
      <c r="GN154" s="302">
        <f t="shared" ca="1" si="567"/>
        <v>0</v>
      </c>
      <c r="GO154" s="299">
        <f t="shared" ca="1" si="568"/>
        <v>0</v>
      </c>
      <c r="GP154" s="299">
        <f t="shared" ca="1" si="569"/>
        <v>0</v>
      </c>
      <c r="GQ154" s="299">
        <f t="shared" ca="1" si="570"/>
        <v>0</v>
      </c>
      <c r="GR154" s="299">
        <f t="shared" ca="1" si="571"/>
        <v>0</v>
      </c>
      <c r="GS154" s="302">
        <f t="shared" ca="1" si="572"/>
        <v>0</v>
      </c>
      <c r="GT154" s="299">
        <f t="shared" ca="1" si="573"/>
        <v>0</v>
      </c>
      <c r="GU154" s="299">
        <f t="shared" ca="1" si="574"/>
        <v>0</v>
      </c>
      <c r="GV154" s="299">
        <f t="shared" ca="1" si="575"/>
        <v>0</v>
      </c>
      <c r="GW154" s="299">
        <f t="shared" ca="1" si="576"/>
        <v>0</v>
      </c>
      <c r="GX154" s="303">
        <f t="shared" ca="1" si="577"/>
        <v>0</v>
      </c>
      <c r="GY154" s="303">
        <f t="shared" ca="1" si="578"/>
        <v>0</v>
      </c>
      <c r="GZ154" s="303">
        <f t="shared" ca="1" si="579"/>
        <v>0</v>
      </c>
      <c r="HA154" s="303">
        <f t="shared" ca="1" si="580"/>
        <v>0</v>
      </c>
      <c r="HB154" s="303">
        <f t="shared" ca="1" si="581"/>
        <v>0</v>
      </c>
      <c r="HC154" s="303">
        <f t="shared" ca="1" si="582"/>
        <v>0</v>
      </c>
      <c r="HD154" s="303">
        <f t="shared" ca="1" si="583"/>
        <v>0</v>
      </c>
      <c r="HE154" s="303">
        <f t="shared" ca="1" si="584"/>
        <v>0</v>
      </c>
      <c r="HF154" s="303">
        <f t="shared" ca="1" si="585"/>
        <v>0</v>
      </c>
      <c r="HG154" s="852">
        <f t="shared" ca="1" si="586"/>
        <v>0</v>
      </c>
    </row>
    <row r="155" spans="1:215" x14ac:dyDescent="0.25">
      <c r="A155" s="244">
        <f t="shared" ca="1" si="587"/>
        <v>40817</v>
      </c>
      <c r="B155" s="13">
        <f t="shared" ca="1" si="415"/>
        <v>2011</v>
      </c>
      <c r="C155" s="619">
        <f t="shared" ca="1" si="416"/>
        <v>10</v>
      </c>
      <c r="D155" s="195" t="str">
        <f t="shared" ca="1" si="417"/>
        <v/>
      </c>
      <c r="E155" s="469" t="str">
        <f t="shared" ca="1" si="418"/>
        <v/>
      </c>
      <c r="F155" s="465" t="str">
        <f t="shared" ca="1" si="419"/>
        <v/>
      </c>
      <c r="G155" s="522">
        <f t="shared" ca="1" si="588"/>
        <v>1</v>
      </c>
      <c r="H155" s="519">
        <f t="shared" ca="1" si="589"/>
        <v>1</v>
      </c>
      <c r="I155" s="724">
        <f t="shared" ca="1" si="420"/>
        <v>7.4199178859999992E-2</v>
      </c>
      <c r="J155" s="198">
        <f t="shared" ca="1" si="421"/>
        <v>0.42582543766995151</v>
      </c>
      <c r="K155" s="200">
        <f t="shared" ca="1" si="597"/>
        <v>29.95</v>
      </c>
      <c r="L155" s="201">
        <f t="shared" ca="1" si="598"/>
        <v>31.5</v>
      </c>
      <c r="M155" s="206">
        <f t="shared" ca="1" si="599"/>
        <v>33.049999999999997</v>
      </c>
      <c r="N155" s="851">
        <f t="shared" ca="1" si="603"/>
        <v>23.438000106811515</v>
      </c>
      <c r="O155" s="201">
        <f t="shared" ca="1" si="604"/>
        <v>24.600500106811516</v>
      </c>
      <c r="P155" s="206">
        <f t="shared" ca="1" si="605"/>
        <v>25.763000106811518</v>
      </c>
      <c r="Q155" s="201">
        <f t="shared" ca="1" si="606"/>
        <v>18.300999832153312</v>
      </c>
      <c r="R155" s="201">
        <f t="shared" ca="1" si="607"/>
        <v>22.600999832153313</v>
      </c>
      <c r="S155" s="201">
        <f t="shared" ca="1" si="608"/>
        <v>26.900999832153314</v>
      </c>
      <c r="T155" s="851">
        <f t="shared" ca="1" si="600"/>
        <v>19.474998855590819</v>
      </c>
      <c r="U155" s="201">
        <f t="shared" ca="1" si="601"/>
        <v>20.249998855590817</v>
      </c>
      <c r="V155" s="206">
        <f t="shared" ca="1" si="602"/>
        <v>21.024998855590816</v>
      </c>
      <c r="W155" s="230">
        <f t="shared" ca="1" si="590"/>
        <v>7.1938243249491204E-2</v>
      </c>
      <c r="X155" s="231">
        <f t="shared" ca="1" si="591"/>
        <v>0.14387648649898241</v>
      </c>
      <c r="Y155" s="232">
        <f t="shared" ca="1" si="592"/>
        <v>0.2158147297484736</v>
      </c>
      <c r="Z155" s="231">
        <f t="shared" ca="1" si="404"/>
        <v>7.1938243249491204E-2</v>
      </c>
      <c r="AA155" s="231">
        <f t="shared" ca="1" si="405"/>
        <v>0.14387648649898241</v>
      </c>
      <c r="AB155" s="232">
        <f t="shared" ca="1" si="406"/>
        <v>0.2158147297484736</v>
      </c>
      <c r="AC155" s="231">
        <f t="shared" ca="1" si="407"/>
        <v>7.1938243249491204E-2</v>
      </c>
      <c r="AD155" s="231">
        <f t="shared" ca="1" si="408"/>
        <v>0.14387648649898241</v>
      </c>
      <c r="AE155" s="232">
        <f t="shared" ca="1" si="422"/>
        <v>0.2158147297484736</v>
      </c>
      <c r="AF155" s="231">
        <f t="shared" ca="1" si="593"/>
        <v>2.402194052249387E-2</v>
      </c>
      <c r="AG155" s="231">
        <f t="shared" ca="1" si="594"/>
        <v>4.8043881044987739E-2</v>
      </c>
      <c r="AH155" s="232">
        <f t="shared" ca="1" si="595"/>
        <v>7.2065821567481606E-2</v>
      </c>
      <c r="AI155" s="233">
        <f t="shared" ca="1" si="423"/>
        <v>0.85000000000000009</v>
      </c>
      <c r="AJ155" s="233">
        <f t="shared" ca="1" si="424"/>
        <v>1.1000000000000001</v>
      </c>
      <c r="AK155" s="234">
        <f t="shared" ca="1" si="425"/>
        <v>1.4000000000000001</v>
      </c>
      <c r="AL155" s="919">
        <f t="shared" ca="1" si="426"/>
        <v>0.85000000000000009</v>
      </c>
      <c r="AM155" s="233">
        <f t="shared" ca="1" si="427"/>
        <v>1.1000000000000001</v>
      </c>
      <c r="AN155" s="234">
        <f t="shared" ca="1" si="428"/>
        <v>1.4000000000000001</v>
      </c>
      <c r="AO155" s="233">
        <f t="shared" ca="1" si="429"/>
        <v>0.85000000000000009</v>
      </c>
      <c r="AP155" s="233">
        <f t="shared" ca="1" si="430"/>
        <v>1.1000000000000001</v>
      </c>
      <c r="AQ155" s="233">
        <f t="shared" ca="1" si="431"/>
        <v>1.4000000000000001</v>
      </c>
      <c r="AR155" s="919">
        <f t="shared" ca="1" si="432"/>
        <v>0.19999999999999998</v>
      </c>
      <c r="AS155" s="233">
        <f t="shared" ca="1" si="433"/>
        <v>0.35</v>
      </c>
      <c r="AT155" s="235">
        <f t="shared" ca="1" si="434"/>
        <v>0.55000000000000004</v>
      </c>
      <c r="AU155" s="946">
        <f t="shared" si="435"/>
        <v>0.5</v>
      </c>
      <c r="AV155" s="13">
        <f t="shared" ca="1" si="436"/>
        <v>0</v>
      </c>
      <c r="AW155" s="210">
        <f t="shared" ca="1" si="437"/>
        <v>0</v>
      </c>
      <c r="AX155" s="210">
        <f t="shared" ca="1" si="438"/>
        <v>0</v>
      </c>
      <c r="AY155" s="210">
        <f t="shared" ca="1" si="439"/>
        <v>0</v>
      </c>
      <c r="AZ155" s="13">
        <f t="shared" ca="1" si="440"/>
        <v>0</v>
      </c>
      <c r="BA155" s="357">
        <f ca="1"/>
        <v>0</v>
      </c>
      <c r="BB155" s="925">
        <f ca="1"/>
        <v>0</v>
      </c>
      <c r="BC155" s="925">
        <f ca="1"/>
        <v>0</v>
      </c>
      <c r="BD155" s="928">
        <f ca="1"/>
        <v>0</v>
      </c>
      <c r="BE155" s="200">
        <f ca="1"/>
        <v>0</v>
      </c>
      <c r="BF155" s="851">
        <f ca="1"/>
        <v>0</v>
      </c>
      <c r="BG155" s="851">
        <f ca="1"/>
        <v>0</v>
      </c>
      <c r="BH155" s="933">
        <f ca="1"/>
        <v>0</v>
      </c>
      <c r="BI155" s="357">
        <f ca="1"/>
        <v>0</v>
      </c>
      <c r="BJ155" s="925">
        <f ca="1"/>
        <v>0</v>
      </c>
      <c r="BK155" s="925">
        <f ca="1"/>
        <v>0</v>
      </c>
      <c r="BL155" s="928">
        <f ca="1"/>
        <v>0</v>
      </c>
      <c r="BM155" s="200">
        <f ca="1"/>
        <v>0</v>
      </c>
      <c r="BN155" s="851">
        <f ca="1"/>
        <v>0</v>
      </c>
      <c r="BO155" s="851">
        <f ca="1"/>
        <v>0</v>
      </c>
      <c r="BP155" s="933">
        <f ca="1"/>
        <v>0</v>
      </c>
      <c r="BQ155" s="357">
        <f t="shared" ca="1" si="441"/>
        <v>0</v>
      </c>
      <c r="BR155" s="361">
        <f t="shared" ca="1" si="442"/>
        <v>0</v>
      </c>
      <c r="BS155" s="357">
        <f t="shared" ca="1" si="443"/>
        <v>0</v>
      </c>
      <c r="BT155" s="302">
        <f t="shared" ca="1" si="444"/>
        <v>0</v>
      </c>
      <c r="BU155" s="299">
        <f t="shared" ca="1" si="445"/>
        <v>0</v>
      </c>
      <c r="BV155" s="299">
        <f t="shared" ca="1" si="446"/>
        <v>0</v>
      </c>
      <c r="BW155" s="299">
        <f t="shared" ca="1" si="447"/>
        <v>0</v>
      </c>
      <c r="BX155" s="380">
        <f t="shared" ca="1" si="448"/>
        <v>11.581108829568789</v>
      </c>
      <c r="BY155" s="363">
        <f t="shared" ca="1" si="449"/>
        <v>0</v>
      </c>
      <c r="BZ155" s="353">
        <f t="shared" ca="1" si="450"/>
        <v>0</v>
      </c>
      <c r="CA155" s="353">
        <f t="shared" ca="1" si="451"/>
        <v>0</v>
      </c>
      <c r="CB155" s="353">
        <f t="shared" ca="1" si="452"/>
        <v>0</v>
      </c>
      <c r="CC155" s="353">
        <f t="shared" ca="1" si="453"/>
        <v>0</v>
      </c>
      <c r="CD155" s="353">
        <f t="shared" ca="1" si="454"/>
        <v>0</v>
      </c>
      <c r="CE155" s="302">
        <f t="shared" ca="1" si="455"/>
        <v>0</v>
      </c>
      <c r="CF155" s="299">
        <f t="shared" ca="1" si="456"/>
        <v>0</v>
      </c>
      <c r="CG155" s="299">
        <f t="shared" ca="1" si="457"/>
        <v>0</v>
      </c>
      <c r="CH155" s="299">
        <f t="shared" ca="1" si="458"/>
        <v>0</v>
      </c>
      <c r="CI155" s="299">
        <f t="shared" ca="1" si="459"/>
        <v>0</v>
      </c>
      <c r="CJ155" s="299">
        <f t="shared" ca="1" si="460"/>
        <v>0</v>
      </c>
      <c r="CK155" s="299">
        <f t="shared" ca="1" si="461"/>
        <v>0</v>
      </c>
      <c r="CL155" s="377" t="str">
        <f t="shared" ca="1" si="462"/>
        <v/>
      </c>
      <c r="CM155" s="305" t="str">
        <f t="shared" ca="1" si="463"/>
        <v/>
      </c>
      <c r="CN155" s="305" t="str">
        <f t="shared" ca="1" si="464"/>
        <v/>
      </c>
      <c r="CO155" s="305" t="str">
        <f t="shared" ca="1" si="465"/>
        <v/>
      </c>
      <c r="CP155" s="305" t="str">
        <f t="shared" ca="1" si="466"/>
        <v/>
      </c>
      <c r="CQ155" s="305" t="str">
        <f t="shared" ca="1" si="467"/>
        <v/>
      </c>
      <c r="CR155" s="775" t="str">
        <f t="shared" ca="1" si="468"/>
        <v/>
      </c>
      <c r="CS155" s="305" t="str">
        <f t="shared" ca="1" si="469"/>
        <v/>
      </c>
      <c r="CT155" s="305" t="str">
        <f t="shared" ca="1" si="470"/>
        <v/>
      </c>
      <c r="CU155" s="305" t="str">
        <f t="shared" ca="1" si="471"/>
        <v/>
      </c>
      <c r="CV155" s="770" t="str">
        <f t="shared" ca="1" si="472"/>
        <v/>
      </c>
      <c r="CW155" s="302">
        <f t="shared" ca="1" si="473"/>
        <v>0</v>
      </c>
      <c r="CX155" s="299">
        <f t="shared" ca="1" si="474"/>
        <v>0</v>
      </c>
      <c r="CY155" s="299">
        <f t="shared" ca="1" si="475"/>
        <v>0</v>
      </c>
      <c r="CZ155" s="299">
        <f t="shared" ca="1" si="476"/>
        <v>0</v>
      </c>
      <c r="DA155" s="774">
        <f t="shared" ca="1" si="477"/>
        <v>0</v>
      </c>
      <c r="DB155" s="303">
        <f t="shared" ca="1" si="478"/>
        <v>0</v>
      </c>
      <c r="DC155" s="248">
        <f t="shared" ca="1" si="479"/>
        <v>0</v>
      </c>
      <c r="DD155" s="778">
        <f t="shared" ca="1" si="480"/>
        <v>0</v>
      </c>
      <c r="DE155" s="363">
        <f t="shared" ca="1" si="481"/>
        <v>0</v>
      </c>
      <c r="DF155" s="378" t="str">
        <f t="shared" ca="1" si="482"/>
        <v/>
      </c>
      <c r="DG155" s="508" t="str">
        <f t="shared" ca="1" si="483"/>
        <v/>
      </c>
      <c r="DH155" s="508" t="str">
        <f t="shared" ca="1" si="484"/>
        <v/>
      </c>
      <c r="DI155" s="508" t="str">
        <f t="shared" ca="1" si="485"/>
        <v/>
      </c>
      <c r="DJ155" s="508" t="str">
        <f t="shared" ca="1" si="486"/>
        <v/>
      </c>
      <c r="DK155" s="353">
        <f t="shared" ca="1" si="487"/>
        <v>0</v>
      </c>
      <c r="DL155" s="781">
        <f t="shared" ca="1" si="488"/>
        <v>0</v>
      </c>
      <c r="DM155" s="303">
        <f t="shared" ca="1" si="489"/>
        <v>0</v>
      </c>
      <c r="DN155" s="508" t="str">
        <f t="shared" ca="1" si="490"/>
        <v/>
      </c>
      <c r="DO155" s="508" t="str">
        <f t="shared" ca="1" si="491"/>
        <v/>
      </c>
      <c r="DP155" s="508" t="str">
        <f t="shared" ca="1" si="492"/>
        <v/>
      </c>
      <c r="DQ155" s="508" t="str">
        <f t="shared" ca="1" si="493"/>
        <v/>
      </c>
      <c r="DR155" s="508" t="str">
        <f t="shared" ca="1" si="494"/>
        <v/>
      </c>
      <c r="DS155" s="353">
        <f t="shared" ca="1" si="495"/>
        <v>0</v>
      </c>
      <c r="DT155" s="353">
        <f t="shared" ca="1" si="496"/>
        <v>0</v>
      </c>
      <c r="DU155" s="380">
        <f t="shared" ca="1" si="596"/>
        <v>11.581108829568789</v>
      </c>
      <c r="DV155" s="303">
        <f t="shared" ca="1" si="497"/>
        <v>0</v>
      </c>
      <c r="DW155" s="303">
        <f t="shared" ca="1" si="498"/>
        <v>0</v>
      </c>
      <c r="DX155" s="303">
        <f t="shared" ca="1" si="499"/>
        <v>0</v>
      </c>
      <c r="DY155" s="303">
        <f t="shared" ca="1" si="500"/>
        <v>0</v>
      </c>
      <c r="DZ155" s="303">
        <f t="shared" ca="1" si="501"/>
        <v>0</v>
      </c>
      <c r="EA155" s="303">
        <f t="shared" ca="1" si="502"/>
        <v>0</v>
      </c>
      <c r="EB155" s="302">
        <f t="shared" ca="1" si="503"/>
        <v>0</v>
      </c>
      <c r="EC155" s="299">
        <f t="shared" ca="1" si="504"/>
        <v>0</v>
      </c>
      <c r="ED155" s="299">
        <f t="shared" ca="1" si="505"/>
        <v>0</v>
      </c>
      <c r="EE155" s="299">
        <f t="shared" ca="1" si="506"/>
        <v>0</v>
      </c>
      <c r="EF155" s="299">
        <f t="shared" ca="1" si="507"/>
        <v>0</v>
      </c>
      <c r="EG155" s="299">
        <f t="shared" ca="1" si="508"/>
        <v>0</v>
      </c>
      <c r="EH155" s="302">
        <f t="shared" ca="1" si="509"/>
        <v>0</v>
      </c>
      <c r="EI155" s="304" t="str">
        <f t="shared" ca="1" si="510"/>
        <v/>
      </c>
      <c r="EJ155" s="305" t="str">
        <f t="shared" ca="1" si="511"/>
        <v/>
      </c>
      <c r="EK155" s="305" t="str">
        <f t="shared" ca="1" si="512"/>
        <v/>
      </c>
      <c r="EL155" s="305" t="str">
        <f t="shared" ca="1" si="513"/>
        <v/>
      </c>
      <c r="EM155" s="305" t="str">
        <f t="shared" ca="1" si="514"/>
        <v/>
      </c>
      <c r="EN155" s="305" t="str">
        <f t="shared" ca="1" si="515"/>
        <v/>
      </c>
      <c r="EO155" s="305" t="str">
        <f t="shared" ca="1" si="516"/>
        <v/>
      </c>
      <c r="EP155" s="305" t="str">
        <f t="shared" ca="1" si="517"/>
        <v/>
      </c>
      <c r="EQ155" s="305" t="str">
        <f t="shared" ca="1" si="518"/>
        <v/>
      </c>
      <c r="ER155" s="305" t="str">
        <f t="shared" ca="1" si="519"/>
        <v/>
      </c>
      <c r="ES155" s="305" t="str">
        <f t="shared" ca="1" si="520"/>
        <v/>
      </c>
      <c r="ET155" s="299">
        <f t="shared" ca="1" si="521"/>
        <v>0</v>
      </c>
      <c r="EU155" s="302">
        <f t="shared" ca="1" si="522"/>
        <v>0</v>
      </c>
      <c r="EV155" s="304" t="str">
        <f t="shared" ca="1" si="523"/>
        <v/>
      </c>
      <c r="EW155" s="305" t="str">
        <f t="shared" ca="1" si="524"/>
        <v/>
      </c>
      <c r="EX155" s="305" t="str">
        <f t="shared" ca="1" si="525"/>
        <v/>
      </c>
      <c r="EY155" s="305" t="str">
        <f t="shared" ca="1" si="526"/>
        <v/>
      </c>
      <c r="EZ155" s="305" t="str">
        <f t="shared" ca="1" si="527"/>
        <v/>
      </c>
      <c r="FA155" s="305" t="str">
        <f t="shared" ca="1" si="528"/>
        <v/>
      </c>
      <c r="FB155" s="305" t="str">
        <f t="shared" ca="1" si="529"/>
        <v/>
      </c>
      <c r="FC155" s="305" t="str">
        <f t="shared" ca="1" si="530"/>
        <v/>
      </c>
      <c r="FD155" s="305" t="str">
        <f t="shared" ca="1" si="531"/>
        <v/>
      </c>
      <c r="FE155" s="305" t="str">
        <f t="shared" ca="1" si="532"/>
        <v/>
      </c>
      <c r="FF155" s="305" t="str">
        <f t="shared" ca="1" si="533"/>
        <v/>
      </c>
      <c r="FG155" s="299">
        <f t="shared" ca="1" si="534"/>
        <v>0</v>
      </c>
      <c r="FH155" s="302">
        <f t="shared" ca="1" si="535"/>
        <v>0</v>
      </c>
      <c r="FI155" s="248">
        <f t="shared" ca="1" si="536"/>
        <v>0</v>
      </c>
      <c r="FJ155" s="363">
        <f t="shared" ca="1" si="537"/>
        <v>0</v>
      </c>
      <c r="FK155" s="378" t="str">
        <f t="shared" ca="1" si="538"/>
        <v/>
      </c>
      <c r="FL155" s="508" t="str">
        <f t="shared" ca="1" si="539"/>
        <v/>
      </c>
      <c r="FM155" s="508" t="str">
        <f t="shared" ca="1" si="540"/>
        <v/>
      </c>
      <c r="FN155" s="508" t="str">
        <f t="shared" ca="1" si="541"/>
        <v/>
      </c>
      <c r="FO155" s="508" t="str">
        <f t="shared" ca="1" si="542"/>
        <v/>
      </c>
      <c r="FP155" s="353">
        <f t="shared" ca="1" si="543"/>
        <v>0</v>
      </c>
      <c r="FQ155" s="356">
        <f t="shared" ca="1" si="544"/>
        <v>0</v>
      </c>
      <c r="FR155" s="380">
        <f t="shared" ca="1" si="545"/>
        <v>0</v>
      </c>
      <c r="FS155" s="299">
        <f t="shared" ca="1" si="546"/>
        <v>0</v>
      </c>
      <c r="FT155" s="299">
        <f t="shared" ca="1" si="547"/>
        <v>0</v>
      </c>
      <c r="FU155" s="299">
        <f t="shared" ca="1" si="548"/>
        <v>0</v>
      </c>
      <c r="FV155" s="299">
        <f t="shared" ca="1" si="549"/>
        <v>0</v>
      </c>
      <c r="FW155" s="850" t="str">
        <f t="shared" ca="1" si="550"/>
        <v/>
      </c>
      <c r="FX155" s="851" t="str">
        <f t="shared" ca="1" si="551"/>
        <v/>
      </c>
      <c r="FY155" s="851" t="str">
        <f t="shared" ca="1" si="552"/>
        <v/>
      </c>
      <c r="FZ155" s="201" t="str">
        <f t="shared" ca="1" si="553"/>
        <v/>
      </c>
      <c r="GA155" s="201" t="str">
        <f t="shared" ca="1" si="554"/>
        <v/>
      </c>
      <c r="GB155" s="201" t="str">
        <f t="shared" ca="1" si="555"/>
        <v/>
      </c>
      <c r="GC155" s="201" t="str">
        <f t="shared" ca="1" si="556"/>
        <v/>
      </c>
      <c r="GD155" s="850" t="str">
        <f t="shared" ca="1" si="557"/>
        <v/>
      </c>
      <c r="GE155" s="866" t="str">
        <f t="shared" ca="1" si="558"/>
        <v/>
      </c>
      <c r="GF155" s="866" t="str">
        <f t="shared" ca="1" si="559"/>
        <v/>
      </c>
      <c r="GG155" s="866" t="str">
        <f t="shared" ca="1" si="560"/>
        <v/>
      </c>
      <c r="GH155" s="866" t="str">
        <f t="shared" ca="1" si="561"/>
        <v/>
      </c>
      <c r="GI155" s="302">
        <f t="shared" ca="1" si="562"/>
        <v>0</v>
      </c>
      <c r="GJ155" s="299">
        <f t="shared" ca="1" si="563"/>
        <v>0</v>
      </c>
      <c r="GK155" s="299">
        <f t="shared" ca="1" si="564"/>
        <v>0</v>
      </c>
      <c r="GL155" s="299">
        <f t="shared" ca="1" si="565"/>
        <v>0</v>
      </c>
      <c r="GM155" s="299">
        <f t="shared" ca="1" si="566"/>
        <v>0</v>
      </c>
      <c r="GN155" s="302">
        <f t="shared" ca="1" si="567"/>
        <v>0</v>
      </c>
      <c r="GO155" s="299">
        <f t="shared" ca="1" si="568"/>
        <v>0</v>
      </c>
      <c r="GP155" s="299">
        <f t="shared" ca="1" si="569"/>
        <v>0</v>
      </c>
      <c r="GQ155" s="299">
        <f t="shared" ca="1" si="570"/>
        <v>0</v>
      </c>
      <c r="GR155" s="299">
        <f t="shared" ca="1" si="571"/>
        <v>0</v>
      </c>
      <c r="GS155" s="302">
        <f t="shared" ca="1" si="572"/>
        <v>0</v>
      </c>
      <c r="GT155" s="299">
        <f t="shared" ca="1" si="573"/>
        <v>0</v>
      </c>
      <c r="GU155" s="299">
        <f t="shared" ca="1" si="574"/>
        <v>0</v>
      </c>
      <c r="GV155" s="299">
        <f t="shared" ca="1" si="575"/>
        <v>0</v>
      </c>
      <c r="GW155" s="299">
        <f t="shared" ca="1" si="576"/>
        <v>0</v>
      </c>
      <c r="GX155" s="303">
        <f t="shared" ca="1" si="577"/>
        <v>0</v>
      </c>
      <c r="GY155" s="303">
        <f t="shared" ca="1" si="578"/>
        <v>0</v>
      </c>
      <c r="GZ155" s="303">
        <f t="shared" ca="1" si="579"/>
        <v>0</v>
      </c>
      <c r="HA155" s="303">
        <f t="shared" ca="1" si="580"/>
        <v>0</v>
      </c>
      <c r="HB155" s="303">
        <f t="shared" ca="1" si="581"/>
        <v>0</v>
      </c>
      <c r="HC155" s="303">
        <f t="shared" ca="1" si="582"/>
        <v>0</v>
      </c>
      <c r="HD155" s="303">
        <f t="shared" ca="1" si="583"/>
        <v>0</v>
      </c>
      <c r="HE155" s="303">
        <f t="shared" ca="1" si="584"/>
        <v>0</v>
      </c>
      <c r="HF155" s="303">
        <f t="shared" ca="1" si="585"/>
        <v>0</v>
      </c>
      <c r="HG155" s="852">
        <f t="shared" ca="1" si="586"/>
        <v>0</v>
      </c>
    </row>
    <row r="156" spans="1:215" x14ac:dyDescent="0.25">
      <c r="A156" s="244">
        <f t="shared" ca="1" si="587"/>
        <v>40848</v>
      </c>
      <c r="B156" s="13">
        <f t="shared" ca="1" si="415"/>
        <v>2011</v>
      </c>
      <c r="C156" s="619">
        <f t="shared" ca="1" si="416"/>
        <v>11</v>
      </c>
      <c r="D156" s="195">
        <f t="shared" ca="1" si="417"/>
        <v>40871</v>
      </c>
      <c r="E156" s="469" t="str">
        <f t="shared" ca="1" si="418"/>
        <v/>
      </c>
      <c r="F156" s="465" t="str">
        <f t="shared" ca="1" si="419"/>
        <v/>
      </c>
      <c r="G156" s="522">
        <f t="shared" ca="1" si="588"/>
        <v>1</v>
      </c>
      <c r="H156" s="519">
        <f t="shared" ca="1" si="589"/>
        <v>1</v>
      </c>
      <c r="I156" s="724">
        <f t="shared" ca="1" si="420"/>
        <v>7.4198884142114993E-2</v>
      </c>
      <c r="J156" s="198">
        <f t="shared" ca="1" si="421"/>
        <v>0.42328630142239343</v>
      </c>
      <c r="K156" s="200">
        <f t="shared" ca="1" si="597"/>
        <v>30.324999999999999</v>
      </c>
      <c r="L156" s="201">
        <f t="shared" ca="1" si="598"/>
        <v>31.875</v>
      </c>
      <c r="M156" s="206">
        <f t="shared" ca="1" si="599"/>
        <v>33.424999999999997</v>
      </c>
      <c r="N156" s="851">
        <f t="shared" ca="1" si="603"/>
        <v>24.442251586914054</v>
      </c>
      <c r="O156" s="201">
        <f t="shared" ca="1" si="604"/>
        <v>25.604751586914055</v>
      </c>
      <c r="P156" s="206">
        <f t="shared" ca="1" si="605"/>
        <v>26.767251586914057</v>
      </c>
      <c r="Q156" s="201">
        <f t="shared" ca="1" si="606"/>
        <v>19.304499816894523</v>
      </c>
      <c r="R156" s="201">
        <f t="shared" ca="1" si="607"/>
        <v>23.604499816894524</v>
      </c>
      <c r="S156" s="201">
        <f t="shared" ca="1" si="608"/>
        <v>27.904499816894525</v>
      </c>
      <c r="T156" s="851">
        <f t="shared" ca="1" si="600"/>
        <v>19.399998092651366</v>
      </c>
      <c r="U156" s="201">
        <f t="shared" ca="1" si="601"/>
        <v>20.174998092651364</v>
      </c>
      <c r="V156" s="206">
        <f t="shared" ca="1" si="602"/>
        <v>20.949998092651363</v>
      </c>
      <c r="W156" s="230">
        <f t="shared" ca="1" si="590"/>
        <v>7.1938243249491204E-2</v>
      </c>
      <c r="X156" s="231">
        <f t="shared" ca="1" si="591"/>
        <v>0.14387648649898241</v>
      </c>
      <c r="Y156" s="232">
        <f t="shared" ca="1" si="592"/>
        <v>0.2158147297484736</v>
      </c>
      <c r="Z156" s="231">
        <f t="shared" ca="1" si="404"/>
        <v>7.1938243249491204E-2</v>
      </c>
      <c r="AA156" s="231">
        <f t="shared" ca="1" si="405"/>
        <v>0.14387648649898241</v>
      </c>
      <c r="AB156" s="232">
        <f t="shared" ca="1" si="406"/>
        <v>0.2158147297484736</v>
      </c>
      <c r="AC156" s="231">
        <f t="shared" ca="1" si="407"/>
        <v>7.1938243249491204E-2</v>
      </c>
      <c r="AD156" s="231">
        <f t="shared" ca="1" si="408"/>
        <v>0.14387648649898241</v>
      </c>
      <c r="AE156" s="232">
        <f t="shared" ca="1" si="422"/>
        <v>0.2158147297484736</v>
      </c>
      <c r="AF156" s="231">
        <f t="shared" ca="1" si="593"/>
        <v>2.402194052249387E-2</v>
      </c>
      <c r="AG156" s="231">
        <f t="shared" ca="1" si="594"/>
        <v>4.8043881044987739E-2</v>
      </c>
      <c r="AH156" s="232">
        <f t="shared" ca="1" si="595"/>
        <v>7.2065821567481606E-2</v>
      </c>
      <c r="AI156" s="233">
        <f t="shared" ca="1" si="423"/>
        <v>1</v>
      </c>
      <c r="AJ156" s="233">
        <f t="shared" ca="1" si="424"/>
        <v>1.25</v>
      </c>
      <c r="AK156" s="234">
        <f t="shared" ca="1" si="425"/>
        <v>1.55</v>
      </c>
      <c r="AL156" s="919">
        <f t="shared" ca="1" si="426"/>
        <v>1</v>
      </c>
      <c r="AM156" s="233">
        <f t="shared" ca="1" si="427"/>
        <v>1.25</v>
      </c>
      <c r="AN156" s="234">
        <f t="shared" ca="1" si="428"/>
        <v>1.55</v>
      </c>
      <c r="AO156" s="233">
        <f t="shared" ca="1" si="429"/>
        <v>1</v>
      </c>
      <c r="AP156" s="233">
        <f t="shared" ca="1" si="430"/>
        <v>1.25</v>
      </c>
      <c r="AQ156" s="233">
        <f t="shared" ca="1" si="431"/>
        <v>1.55</v>
      </c>
      <c r="AR156" s="919">
        <f t="shared" ca="1" si="432"/>
        <v>0.15</v>
      </c>
      <c r="AS156" s="233">
        <f t="shared" ca="1" si="433"/>
        <v>0.3</v>
      </c>
      <c r="AT156" s="235">
        <f t="shared" ca="1" si="434"/>
        <v>0.5</v>
      </c>
      <c r="AU156" s="946">
        <f t="shared" si="435"/>
        <v>0.5</v>
      </c>
      <c r="AV156" s="13">
        <f t="shared" ca="1" si="436"/>
        <v>0</v>
      </c>
      <c r="AW156" s="210">
        <f t="shared" ca="1" si="437"/>
        <v>0</v>
      </c>
      <c r="AX156" s="210">
        <f t="shared" ca="1" si="438"/>
        <v>0</v>
      </c>
      <c r="AY156" s="210">
        <f t="shared" ca="1" si="439"/>
        <v>0</v>
      </c>
      <c r="AZ156" s="13">
        <f t="shared" ca="1" si="440"/>
        <v>0</v>
      </c>
      <c r="BA156" s="357">
        <f ca="1"/>
        <v>0</v>
      </c>
      <c r="BB156" s="925">
        <f ca="1"/>
        <v>0</v>
      </c>
      <c r="BC156" s="925">
        <f ca="1"/>
        <v>0</v>
      </c>
      <c r="BD156" s="928">
        <f ca="1"/>
        <v>0</v>
      </c>
      <c r="BE156" s="200">
        <f ca="1"/>
        <v>0</v>
      </c>
      <c r="BF156" s="851">
        <f ca="1"/>
        <v>0</v>
      </c>
      <c r="BG156" s="851">
        <f ca="1"/>
        <v>0</v>
      </c>
      <c r="BH156" s="933">
        <f ca="1"/>
        <v>0</v>
      </c>
      <c r="BI156" s="357">
        <f ca="1"/>
        <v>0</v>
      </c>
      <c r="BJ156" s="925">
        <f ca="1"/>
        <v>0</v>
      </c>
      <c r="BK156" s="925">
        <f ca="1"/>
        <v>0</v>
      </c>
      <c r="BL156" s="928">
        <f ca="1"/>
        <v>0</v>
      </c>
      <c r="BM156" s="200">
        <f ca="1"/>
        <v>0</v>
      </c>
      <c r="BN156" s="851">
        <f ca="1"/>
        <v>0</v>
      </c>
      <c r="BO156" s="851">
        <f ca="1"/>
        <v>0</v>
      </c>
      <c r="BP156" s="933">
        <f ca="1"/>
        <v>0</v>
      </c>
      <c r="BQ156" s="357">
        <f t="shared" ca="1" si="441"/>
        <v>0</v>
      </c>
      <c r="BR156" s="361">
        <f t="shared" ca="1" si="442"/>
        <v>0</v>
      </c>
      <c r="BS156" s="357">
        <f t="shared" ca="1" si="443"/>
        <v>0</v>
      </c>
      <c r="BT156" s="302">
        <f t="shared" ca="1" si="444"/>
        <v>0</v>
      </c>
      <c r="BU156" s="299">
        <f t="shared" ca="1" si="445"/>
        <v>0</v>
      </c>
      <c r="BV156" s="299">
        <f t="shared" ca="1" si="446"/>
        <v>0</v>
      </c>
      <c r="BW156" s="299">
        <f t="shared" ca="1" si="447"/>
        <v>0</v>
      </c>
      <c r="BX156" s="380">
        <f t="shared" ca="1" si="448"/>
        <v>11.665982203969884</v>
      </c>
      <c r="BY156" s="363">
        <f t="shared" ca="1" si="449"/>
        <v>0</v>
      </c>
      <c r="BZ156" s="353">
        <f t="shared" ca="1" si="450"/>
        <v>0</v>
      </c>
      <c r="CA156" s="353">
        <f t="shared" ca="1" si="451"/>
        <v>0</v>
      </c>
      <c r="CB156" s="353">
        <f t="shared" ca="1" si="452"/>
        <v>0</v>
      </c>
      <c r="CC156" s="353">
        <f t="shared" ca="1" si="453"/>
        <v>0</v>
      </c>
      <c r="CD156" s="353">
        <f t="shared" ca="1" si="454"/>
        <v>0</v>
      </c>
      <c r="CE156" s="302">
        <f t="shared" ca="1" si="455"/>
        <v>0</v>
      </c>
      <c r="CF156" s="299">
        <f t="shared" ca="1" si="456"/>
        <v>0</v>
      </c>
      <c r="CG156" s="299">
        <f t="shared" ca="1" si="457"/>
        <v>0</v>
      </c>
      <c r="CH156" s="299">
        <f t="shared" ca="1" si="458"/>
        <v>0</v>
      </c>
      <c r="CI156" s="299">
        <f t="shared" ca="1" si="459"/>
        <v>0</v>
      </c>
      <c r="CJ156" s="299">
        <f t="shared" ca="1" si="460"/>
        <v>0</v>
      </c>
      <c r="CK156" s="299">
        <f t="shared" ca="1" si="461"/>
        <v>0</v>
      </c>
      <c r="CL156" s="377" t="str">
        <f t="shared" ca="1" si="462"/>
        <v/>
      </c>
      <c r="CM156" s="305" t="str">
        <f t="shared" ca="1" si="463"/>
        <v/>
      </c>
      <c r="CN156" s="305" t="str">
        <f t="shared" ca="1" si="464"/>
        <v/>
      </c>
      <c r="CO156" s="305" t="str">
        <f t="shared" ca="1" si="465"/>
        <v/>
      </c>
      <c r="CP156" s="305" t="str">
        <f t="shared" ca="1" si="466"/>
        <v/>
      </c>
      <c r="CQ156" s="305" t="str">
        <f t="shared" ca="1" si="467"/>
        <v/>
      </c>
      <c r="CR156" s="775" t="str">
        <f t="shared" ca="1" si="468"/>
        <v/>
      </c>
      <c r="CS156" s="305" t="str">
        <f t="shared" ca="1" si="469"/>
        <v/>
      </c>
      <c r="CT156" s="305" t="str">
        <f t="shared" ca="1" si="470"/>
        <v/>
      </c>
      <c r="CU156" s="305" t="str">
        <f t="shared" ca="1" si="471"/>
        <v/>
      </c>
      <c r="CV156" s="770" t="str">
        <f t="shared" ca="1" si="472"/>
        <v/>
      </c>
      <c r="CW156" s="302">
        <f t="shared" ca="1" si="473"/>
        <v>0</v>
      </c>
      <c r="CX156" s="299">
        <f t="shared" ca="1" si="474"/>
        <v>0</v>
      </c>
      <c r="CY156" s="299">
        <f t="shared" ca="1" si="475"/>
        <v>0</v>
      </c>
      <c r="CZ156" s="299">
        <f t="shared" ca="1" si="476"/>
        <v>0</v>
      </c>
      <c r="DA156" s="774">
        <f t="shared" ca="1" si="477"/>
        <v>0</v>
      </c>
      <c r="DB156" s="303">
        <f t="shared" ca="1" si="478"/>
        <v>0</v>
      </c>
      <c r="DC156" s="248">
        <f t="shared" ca="1" si="479"/>
        <v>0</v>
      </c>
      <c r="DD156" s="778">
        <f t="shared" ca="1" si="480"/>
        <v>0</v>
      </c>
      <c r="DE156" s="363">
        <f t="shared" ca="1" si="481"/>
        <v>0</v>
      </c>
      <c r="DF156" s="378" t="str">
        <f t="shared" ca="1" si="482"/>
        <v/>
      </c>
      <c r="DG156" s="508" t="str">
        <f t="shared" ca="1" si="483"/>
        <v/>
      </c>
      <c r="DH156" s="508" t="str">
        <f t="shared" ca="1" si="484"/>
        <v/>
      </c>
      <c r="DI156" s="508" t="str">
        <f t="shared" ca="1" si="485"/>
        <v/>
      </c>
      <c r="DJ156" s="508" t="str">
        <f t="shared" ca="1" si="486"/>
        <v/>
      </c>
      <c r="DK156" s="353">
        <f t="shared" ca="1" si="487"/>
        <v>0</v>
      </c>
      <c r="DL156" s="781">
        <f t="shared" ca="1" si="488"/>
        <v>0</v>
      </c>
      <c r="DM156" s="303">
        <f t="shared" ca="1" si="489"/>
        <v>0</v>
      </c>
      <c r="DN156" s="508" t="str">
        <f t="shared" ca="1" si="490"/>
        <v/>
      </c>
      <c r="DO156" s="508" t="str">
        <f t="shared" ca="1" si="491"/>
        <v/>
      </c>
      <c r="DP156" s="508" t="str">
        <f t="shared" ca="1" si="492"/>
        <v/>
      </c>
      <c r="DQ156" s="508" t="str">
        <f t="shared" ca="1" si="493"/>
        <v/>
      </c>
      <c r="DR156" s="508" t="str">
        <f t="shared" ca="1" si="494"/>
        <v/>
      </c>
      <c r="DS156" s="353">
        <f t="shared" ca="1" si="495"/>
        <v>0</v>
      </c>
      <c r="DT156" s="353">
        <f t="shared" ca="1" si="496"/>
        <v>0</v>
      </c>
      <c r="DU156" s="380">
        <f t="shared" ca="1" si="596"/>
        <v>11.665982203969884</v>
      </c>
      <c r="DV156" s="303">
        <f t="shared" ca="1" si="497"/>
        <v>0</v>
      </c>
      <c r="DW156" s="303">
        <f t="shared" ca="1" si="498"/>
        <v>0</v>
      </c>
      <c r="DX156" s="303">
        <f t="shared" ca="1" si="499"/>
        <v>0</v>
      </c>
      <c r="DY156" s="303">
        <f t="shared" ca="1" si="500"/>
        <v>0</v>
      </c>
      <c r="DZ156" s="303">
        <f t="shared" ca="1" si="501"/>
        <v>0</v>
      </c>
      <c r="EA156" s="303">
        <f t="shared" ca="1" si="502"/>
        <v>0</v>
      </c>
      <c r="EB156" s="302">
        <f t="shared" ca="1" si="503"/>
        <v>0</v>
      </c>
      <c r="EC156" s="299">
        <f t="shared" ca="1" si="504"/>
        <v>0</v>
      </c>
      <c r="ED156" s="299">
        <f t="shared" ca="1" si="505"/>
        <v>0</v>
      </c>
      <c r="EE156" s="299">
        <f t="shared" ca="1" si="506"/>
        <v>0</v>
      </c>
      <c r="EF156" s="299">
        <f t="shared" ca="1" si="507"/>
        <v>0</v>
      </c>
      <c r="EG156" s="299">
        <f t="shared" ca="1" si="508"/>
        <v>0</v>
      </c>
      <c r="EH156" s="302">
        <f t="shared" ca="1" si="509"/>
        <v>0</v>
      </c>
      <c r="EI156" s="304" t="str">
        <f t="shared" ca="1" si="510"/>
        <v/>
      </c>
      <c r="EJ156" s="305" t="str">
        <f t="shared" ca="1" si="511"/>
        <v/>
      </c>
      <c r="EK156" s="305" t="str">
        <f t="shared" ca="1" si="512"/>
        <v/>
      </c>
      <c r="EL156" s="305" t="str">
        <f t="shared" ca="1" si="513"/>
        <v/>
      </c>
      <c r="EM156" s="305" t="str">
        <f t="shared" ca="1" si="514"/>
        <v/>
      </c>
      <c r="EN156" s="305" t="str">
        <f t="shared" ca="1" si="515"/>
        <v/>
      </c>
      <c r="EO156" s="305" t="str">
        <f t="shared" ca="1" si="516"/>
        <v/>
      </c>
      <c r="EP156" s="305" t="str">
        <f t="shared" ca="1" si="517"/>
        <v/>
      </c>
      <c r="EQ156" s="305" t="str">
        <f t="shared" ca="1" si="518"/>
        <v/>
      </c>
      <c r="ER156" s="305" t="str">
        <f t="shared" ca="1" si="519"/>
        <v/>
      </c>
      <c r="ES156" s="305" t="str">
        <f t="shared" ca="1" si="520"/>
        <v/>
      </c>
      <c r="ET156" s="299">
        <f t="shared" ca="1" si="521"/>
        <v>0</v>
      </c>
      <c r="EU156" s="302">
        <f t="shared" ca="1" si="522"/>
        <v>0</v>
      </c>
      <c r="EV156" s="304" t="str">
        <f t="shared" ca="1" si="523"/>
        <v/>
      </c>
      <c r="EW156" s="305" t="str">
        <f t="shared" ca="1" si="524"/>
        <v/>
      </c>
      <c r="EX156" s="305" t="str">
        <f t="shared" ca="1" si="525"/>
        <v/>
      </c>
      <c r="EY156" s="305" t="str">
        <f t="shared" ca="1" si="526"/>
        <v/>
      </c>
      <c r="EZ156" s="305" t="str">
        <f t="shared" ca="1" si="527"/>
        <v/>
      </c>
      <c r="FA156" s="305" t="str">
        <f t="shared" ca="1" si="528"/>
        <v/>
      </c>
      <c r="FB156" s="305" t="str">
        <f t="shared" ca="1" si="529"/>
        <v/>
      </c>
      <c r="FC156" s="305" t="str">
        <f t="shared" ca="1" si="530"/>
        <v/>
      </c>
      <c r="FD156" s="305" t="str">
        <f t="shared" ca="1" si="531"/>
        <v/>
      </c>
      <c r="FE156" s="305" t="str">
        <f t="shared" ca="1" si="532"/>
        <v/>
      </c>
      <c r="FF156" s="305" t="str">
        <f t="shared" ca="1" si="533"/>
        <v/>
      </c>
      <c r="FG156" s="299">
        <f t="shared" ca="1" si="534"/>
        <v>0</v>
      </c>
      <c r="FH156" s="302">
        <f t="shared" ca="1" si="535"/>
        <v>0</v>
      </c>
      <c r="FI156" s="248">
        <f t="shared" ca="1" si="536"/>
        <v>0</v>
      </c>
      <c r="FJ156" s="363">
        <f t="shared" ca="1" si="537"/>
        <v>0</v>
      </c>
      <c r="FK156" s="378" t="str">
        <f t="shared" ca="1" si="538"/>
        <v/>
      </c>
      <c r="FL156" s="508" t="str">
        <f t="shared" ca="1" si="539"/>
        <v/>
      </c>
      <c r="FM156" s="508" t="str">
        <f t="shared" ca="1" si="540"/>
        <v/>
      </c>
      <c r="FN156" s="508" t="str">
        <f t="shared" ca="1" si="541"/>
        <v/>
      </c>
      <c r="FO156" s="508" t="str">
        <f t="shared" ca="1" si="542"/>
        <v/>
      </c>
      <c r="FP156" s="353">
        <f t="shared" ca="1" si="543"/>
        <v>0</v>
      </c>
      <c r="FQ156" s="356">
        <f t="shared" ca="1" si="544"/>
        <v>0</v>
      </c>
      <c r="FR156" s="380">
        <f t="shared" ca="1" si="545"/>
        <v>0</v>
      </c>
      <c r="FS156" s="299">
        <f t="shared" ca="1" si="546"/>
        <v>0</v>
      </c>
      <c r="FT156" s="299">
        <f t="shared" ca="1" si="547"/>
        <v>0</v>
      </c>
      <c r="FU156" s="299">
        <f t="shared" ca="1" si="548"/>
        <v>0</v>
      </c>
      <c r="FV156" s="299">
        <f t="shared" ca="1" si="549"/>
        <v>0</v>
      </c>
      <c r="FW156" s="850" t="str">
        <f t="shared" ca="1" si="550"/>
        <v/>
      </c>
      <c r="FX156" s="851" t="str">
        <f t="shared" ca="1" si="551"/>
        <v/>
      </c>
      <c r="FY156" s="851" t="str">
        <f t="shared" ca="1" si="552"/>
        <v/>
      </c>
      <c r="FZ156" s="201" t="str">
        <f t="shared" ca="1" si="553"/>
        <v/>
      </c>
      <c r="GA156" s="201" t="str">
        <f t="shared" ca="1" si="554"/>
        <v/>
      </c>
      <c r="GB156" s="201" t="str">
        <f t="shared" ca="1" si="555"/>
        <v/>
      </c>
      <c r="GC156" s="201" t="str">
        <f t="shared" ca="1" si="556"/>
        <v/>
      </c>
      <c r="GD156" s="850" t="str">
        <f t="shared" ca="1" si="557"/>
        <v/>
      </c>
      <c r="GE156" s="866" t="str">
        <f t="shared" ca="1" si="558"/>
        <v/>
      </c>
      <c r="GF156" s="866" t="str">
        <f t="shared" ca="1" si="559"/>
        <v/>
      </c>
      <c r="GG156" s="866" t="str">
        <f t="shared" ca="1" si="560"/>
        <v/>
      </c>
      <c r="GH156" s="866" t="str">
        <f t="shared" ca="1" si="561"/>
        <v/>
      </c>
      <c r="GI156" s="302">
        <f t="shared" ca="1" si="562"/>
        <v>0</v>
      </c>
      <c r="GJ156" s="299">
        <f t="shared" ca="1" si="563"/>
        <v>0</v>
      </c>
      <c r="GK156" s="299">
        <f t="shared" ca="1" si="564"/>
        <v>0</v>
      </c>
      <c r="GL156" s="299">
        <f t="shared" ca="1" si="565"/>
        <v>0</v>
      </c>
      <c r="GM156" s="299">
        <f t="shared" ca="1" si="566"/>
        <v>0</v>
      </c>
      <c r="GN156" s="302">
        <f t="shared" ca="1" si="567"/>
        <v>0</v>
      </c>
      <c r="GO156" s="299">
        <f t="shared" ca="1" si="568"/>
        <v>0</v>
      </c>
      <c r="GP156" s="299">
        <f t="shared" ca="1" si="569"/>
        <v>0</v>
      </c>
      <c r="GQ156" s="299">
        <f t="shared" ca="1" si="570"/>
        <v>0</v>
      </c>
      <c r="GR156" s="299">
        <f t="shared" ca="1" si="571"/>
        <v>0</v>
      </c>
      <c r="GS156" s="302">
        <f t="shared" ca="1" si="572"/>
        <v>0</v>
      </c>
      <c r="GT156" s="299">
        <f t="shared" ca="1" si="573"/>
        <v>0</v>
      </c>
      <c r="GU156" s="299">
        <f t="shared" ca="1" si="574"/>
        <v>0</v>
      </c>
      <c r="GV156" s="299">
        <f t="shared" ca="1" si="575"/>
        <v>0</v>
      </c>
      <c r="GW156" s="299">
        <f t="shared" ca="1" si="576"/>
        <v>0</v>
      </c>
      <c r="GX156" s="303">
        <f t="shared" ca="1" si="577"/>
        <v>0</v>
      </c>
      <c r="GY156" s="303">
        <f t="shared" ca="1" si="578"/>
        <v>0</v>
      </c>
      <c r="GZ156" s="303">
        <f t="shared" ca="1" si="579"/>
        <v>0</v>
      </c>
      <c r="HA156" s="303">
        <f t="shared" ca="1" si="580"/>
        <v>0</v>
      </c>
      <c r="HB156" s="303">
        <f t="shared" ca="1" si="581"/>
        <v>0</v>
      </c>
      <c r="HC156" s="303">
        <f t="shared" ca="1" si="582"/>
        <v>0</v>
      </c>
      <c r="HD156" s="303">
        <f t="shared" ca="1" si="583"/>
        <v>0</v>
      </c>
      <c r="HE156" s="303">
        <f t="shared" ca="1" si="584"/>
        <v>0</v>
      </c>
      <c r="HF156" s="303">
        <f t="shared" ca="1" si="585"/>
        <v>0</v>
      </c>
      <c r="HG156" s="852">
        <f t="shared" ca="1" si="586"/>
        <v>0</v>
      </c>
    </row>
    <row r="157" spans="1:215" x14ac:dyDescent="0.25">
      <c r="A157" s="244">
        <f t="shared" ca="1" si="587"/>
        <v>40878</v>
      </c>
      <c r="B157" s="13">
        <f t="shared" ca="1" si="415"/>
        <v>2011</v>
      </c>
      <c r="C157" s="619">
        <f t="shared" ca="1" si="416"/>
        <v>12</v>
      </c>
      <c r="D157" s="195">
        <f t="shared" ca="1" si="417"/>
        <v>40903</v>
      </c>
      <c r="E157" s="469" t="str">
        <f t="shared" ca="1" si="418"/>
        <v/>
      </c>
      <c r="F157" s="465" t="str">
        <f t="shared" ca="1" si="419"/>
        <v/>
      </c>
      <c r="G157" s="522">
        <f t="shared" ca="1" si="588"/>
        <v>1</v>
      </c>
      <c r="H157" s="519">
        <f t="shared" ca="1" si="589"/>
        <v>1</v>
      </c>
      <c r="I157" s="724">
        <f t="shared" ca="1" si="420"/>
        <v>7.4198598931260989E-2</v>
      </c>
      <c r="J157" s="198">
        <f t="shared" ca="1" si="421"/>
        <v>0.42067835962608668</v>
      </c>
      <c r="K157" s="200">
        <f t="shared" ca="1" si="597"/>
        <v>30.2</v>
      </c>
      <c r="L157" s="201">
        <f t="shared" ca="1" si="598"/>
        <v>31.75</v>
      </c>
      <c r="M157" s="206">
        <f t="shared" ca="1" si="599"/>
        <v>33.299999999999997</v>
      </c>
      <c r="N157" s="851">
        <f t="shared" ca="1" si="603"/>
        <v>25.89249839782714</v>
      </c>
      <c r="O157" s="201">
        <f t="shared" ca="1" si="604"/>
        <v>27.054998397827141</v>
      </c>
      <c r="P157" s="206">
        <f t="shared" ca="1" si="605"/>
        <v>28.217498397827143</v>
      </c>
      <c r="Q157" s="201">
        <f t="shared" ca="1" si="606"/>
        <v>19.249999237060539</v>
      </c>
      <c r="R157" s="201">
        <f t="shared" ca="1" si="607"/>
        <v>23.54999923706054</v>
      </c>
      <c r="S157" s="201">
        <f t="shared" ca="1" si="608"/>
        <v>27.84999923706054</v>
      </c>
      <c r="T157" s="851">
        <f t="shared" ca="1" si="600"/>
        <v>20.824999237060545</v>
      </c>
      <c r="U157" s="201">
        <f t="shared" ca="1" si="601"/>
        <v>21.599999237060544</v>
      </c>
      <c r="V157" s="206">
        <f t="shared" ca="1" si="602"/>
        <v>22.374999237060543</v>
      </c>
      <c r="W157" s="230">
        <f t="shared" ca="1" si="590"/>
        <v>7.4524786827000991E-2</v>
      </c>
      <c r="X157" s="231">
        <f t="shared" ca="1" si="591"/>
        <v>0.14904957365400198</v>
      </c>
      <c r="Y157" s="232">
        <f t="shared" ca="1" si="592"/>
        <v>0.22357436048100299</v>
      </c>
      <c r="Z157" s="231">
        <f t="shared" ca="1" si="404"/>
        <v>7.4524786827000991E-2</v>
      </c>
      <c r="AA157" s="231">
        <f t="shared" ca="1" si="405"/>
        <v>0.14904957365400198</v>
      </c>
      <c r="AB157" s="232">
        <f t="shared" ca="1" si="406"/>
        <v>0.22357436048100299</v>
      </c>
      <c r="AC157" s="231">
        <f t="shared" ca="1" si="407"/>
        <v>7.4524786827000991E-2</v>
      </c>
      <c r="AD157" s="231">
        <f t="shared" ca="1" si="408"/>
        <v>0.14904957365400198</v>
      </c>
      <c r="AE157" s="232">
        <f t="shared" ca="1" si="422"/>
        <v>0.22357436048100299</v>
      </c>
      <c r="AF157" s="231">
        <f t="shared" ca="1" si="593"/>
        <v>2.402194052249387E-2</v>
      </c>
      <c r="AG157" s="231">
        <f t="shared" ca="1" si="594"/>
        <v>4.8043881044987739E-2</v>
      </c>
      <c r="AH157" s="232">
        <f t="shared" ca="1" si="595"/>
        <v>7.2065821567481606E-2</v>
      </c>
      <c r="AI157" s="233">
        <f t="shared" ca="1" si="423"/>
        <v>1</v>
      </c>
      <c r="AJ157" s="233">
        <f t="shared" ca="1" si="424"/>
        <v>1.25</v>
      </c>
      <c r="AK157" s="234">
        <f t="shared" ca="1" si="425"/>
        <v>1.6</v>
      </c>
      <c r="AL157" s="919">
        <f t="shared" ca="1" si="426"/>
        <v>1</v>
      </c>
      <c r="AM157" s="233">
        <f t="shared" ca="1" si="427"/>
        <v>1.25</v>
      </c>
      <c r="AN157" s="234">
        <f t="shared" ca="1" si="428"/>
        <v>1.6</v>
      </c>
      <c r="AO157" s="233">
        <f t="shared" ca="1" si="429"/>
        <v>1</v>
      </c>
      <c r="AP157" s="233">
        <f t="shared" ca="1" si="430"/>
        <v>1.25</v>
      </c>
      <c r="AQ157" s="233">
        <f t="shared" ca="1" si="431"/>
        <v>1.6</v>
      </c>
      <c r="AR157" s="919">
        <f t="shared" ca="1" si="432"/>
        <v>0.15</v>
      </c>
      <c r="AS157" s="233">
        <f t="shared" ca="1" si="433"/>
        <v>0.3</v>
      </c>
      <c r="AT157" s="235">
        <f t="shared" ca="1" si="434"/>
        <v>0.5</v>
      </c>
      <c r="AU157" s="946">
        <f t="shared" si="435"/>
        <v>0.5</v>
      </c>
      <c r="AV157" s="13">
        <f t="shared" ca="1" si="436"/>
        <v>0</v>
      </c>
      <c r="AW157" s="210">
        <f t="shared" ca="1" si="437"/>
        <v>0</v>
      </c>
      <c r="AX157" s="210">
        <f t="shared" ca="1" si="438"/>
        <v>0</v>
      </c>
      <c r="AY157" s="210">
        <f t="shared" ca="1" si="439"/>
        <v>0</v>
      </c>
      <c r="AZ157" s="13">
        <f t="shared" ca="1" si="440"/>
        <v>0</v>
      </c>
      <c r="BA157" s="357">
        <f ca="1"/>
        <v>0</v>
      </c>
      <c r="BB157" s="925">
        <f ca="1"/>
        <v>0</v>
      </c>
      <c r="BC157" s="925">
        <f ca="1"/>
        <v>0</v>
      </c>
      <c r="BD157" s="928">
        <f ca="1"/>
        <v>0</v>
      </c>
      <c r="BE157" s="200">
        <f ca="1"/>
        <v>0</v>
      </c>
      <c r="BF157" s="851">
        <f ca="1"/>
        <v>0</v>
      </c>
      <c r="BG157" s="851">
        <f ca="1"/>
        <v>0</v>
      </c>
      <c r="BH157" s="933">
        <f ca="1"/>
        <v>0</v>
      </c>
      <c r="BI157" s="357">
        <f ca="1"/>
        <v>0</v>
      </c>
      <c r="BJ157" s="925">
        <f ca="1"/>
        <v>0</v>
      </c>
      <c r="BK157" s="925">
        <f ca="1"/>
        <v>0</v>
      </c>
      <c r="BL157" s="928">
        <f ca="1"/>
        <v>0</v>
      </c>
      <c r="BM157" s="200">
        <f ca="1"/>
        <v>0</v>
      </c>
      <c r="BN157" s="851">
        <f ca="1"/>
        <v>0</v>
      </c>
      <c r="BO157" s="851">
        <f ca="1"/>
        <v>0</v>
      </c>
      <c r="BP157" s="933">
        <f ca="1"/>
        <v>0</v>
      </c>
      <c r="BQ157" s="357">
        <f t="shared" ca="1" si="441"/>
        <v>0</v>
      </c>
      <c r="BR157" s="361">
        <f t="shared" ca="1" si="442"/>
        <v>0</v>
      </c>
      <c r="BS157" s="357">
        <f t="shared" ca="1" si="443"/>
        <v>0</v>
      </c>
      <c r="BT157" s="302">
        <f t="shared" ca="1" si="444"/>
        <v>0</v>
      </c>
      <c r="BU157" s="299">
        <f t="shared" ca="1" si="445"/>
        <v>0</v>
      </c>
      <c r="BV157" s="299">
        <f t="shared" ca="1" si="446"/>
        <v>0</v>
      </c>
      <c r="BW157" s="299">
        <f t="shared" ca="1" si="447"/>
        <v>0</v>
      </c>
      <c r="BX157" s="380">
        <f t="shared" ca="1" si="448"/>
        <v>11.748117727583846</v>
      </c>
      <c r="BY157" s="363">
        <f t="shared" ca="1" si="449"/>
        <v>0</v>
      </c>
      <c r="BZ157" s="353">
        <f t="shared" ca="1" si="450"/>
        <v>0</v>
      </c>
      <c r="CA157" s="353">
        <f t="shared" ca="1" si="451"/>
        <v>0</v>
      </c>
      <c r="CB157" s="353">
        <f t="shared" ca="1" si="452"/>
        <v>0</v>
      </c>
      <c r="CC157" s="353">
        <f t="shared" ca="1" si="453"/>
        <v>0</v>
      </c>
      <c r="CD157" s="353">
        <f t="shared" ca="1" si="454"/>
        <v>0</v>
      </c>
      <c r="CE157" s="302">
        <f t="shared" ca="1" si="455"/>
        <v>0</v>
      </c>
      <c r="CF157" s="299">
        <f t="shared" ca="1" si="456"/>
        <v>0</v>
      </c>
      <c r="CG157" s="299">
        <f t="shared" ca="1" si="457"/>
        <v>0</v>
      </c>
      <c r="CH157" s="299">
        <f t="shared" ca="1" si="458"/>
        <v>0</v>
      </c>
      <c r="CI157" s="299">
        <f t="shared" ca="1" si="459"/>
        <v>0</v>
      </c>
      <c r="CJ157" s="299">
        <f t="shared" ca="1" si="460"/>
        <v>0</v>
      </c>
      <c r="CK157" s="299">
        <f t="shared" ca="1" si="461"/>
        <v>0</v>
      </c>
      <c r="CL157" s="377" t="str">
        <f t="shared" ca="1" si="462"/>
        <v/>
      </c>
      <c r="CM157" s="305" t="str">
        <f t="shared" ca="1" si="463"/>
        <v/>
      </c>
      <c r="CN157" s="305" t="str">
        <f t="shared" ca="1" si="464"/>
        <v/>
      </c>
      <c r="CO157" s="305" t="str">
        <f t="shared" ca="1" si="465"/>
        <v/>
      </c>
      <c r="CP157" s="305" t="str">
        <f t="shared" ca="1" si="466"/>
        <v/>
      </c>
      <c r="CQ157" s="305" t="str">
        <f t="shared" ca="1" si="467"/>
        <v/>
      </c>
      <c r="CR157" s="775" t="str">
        <f t="shared" ca="1" si="468"/>
        <v/>
      </c>
      <c r="CS157" s="305" t="str">
        <f t="shared" ca="1" si="469"/>
        <v/>
      </c>
      <c r="CT157" s="305" t="str">
        <f t="shared" ca="1" si="470"/>
        <v/>
      </c>
      <c r="CU157" s="305" t="str">
        <f t="shared" ca="1" si="471"/>
        <v/>
      </c>
      <c r="CV157" s="770" t="str">
        <f t="shared" ca="1" si="472"/>
        <v/>
      </c>
      <c r="CW157" s="302">
        <f t="shared" ca="1" si="473"/>
        <v>0</v>
      </c>
      <c r="CX157" s="299">
        <f t="shared" ca="1" si="474"/>
        <v>0</v>
      </c>
      <c r="CY157" s="299">
        <f t="shared" ca="1" si="475"/>
        <v>0</v>
      </c>
      <c r="CZ157" s="299">
        <f t="shared" ca="1" si="476"/>
        <v>0</v>
      </c>
      <c r="DA157" s="774">
        <f t="shared" ca="1" si="477"/>
        <v>0</v>
      </c>
      <c r="DB157" s="303">
        <f t="shared" ca="1" si="478"/>
        <v>0</v>
      </c>
      <c r="DC157" s="248">
        <f t="shared" ca="1" si="479"/>
        <v>0</v>
      </c>
      <c r="DD157" s="778">
        <f t="shared" ca="1" si="480"/>
        <v>0</v>
      </c>
      <c r="DE157" s="363">
        <f t="shared" ca="1" si="481"/>
        <v>0</v>
      </c>
      <c r="DF157" s="378" t="str">
        <f t="shared" ca="1" si="482"/>
        <v/>
      </c>
      <c r="DG157" s="508" t="str">
        <f t="shared" ca="1" si="483"/>
        <v/>
      </c>
      <c r="DH157" s="508" t="str">
        <f t="shared" ca="1" si="484"/>
        <v/>
      </c>
      <c r="DI157" s="508" t="str">
        <f t="shared" ca="1" si="485"/>
        <v/>
      </c>
      <c r="DJ157" s="508" t="str">
        <f t="shared" ca="1" si="486"/>
        <v/>
      </c>
      <c r="DK157" s="353">
        <f t="shared" ca="1" si="487"/>
        <v>0</v>
      </c>
      <c r="DL157" s="781">
        <f t="shared" ca="1" si="488"/>
        <v>0</v>
      </c>
      <c r="DM157" s="303">
        <f t="shared" ca="1" si="489"/>
        <v>0</v>
      </c>
      <c r="DN157" s="508" t="str">
        <f t="shared" ca="1" si="490"/>
        <v/>
      </c>
      <c r="DO157" s="508" t="str">
        <f t="shared" ca="1" si="491"/>
        <v/>
      </c>
      <c r="DP157" s="508" t="str">
        <f t="shared" ca="1" si="492"/>
        <v/>
      </c>
      <c r="DQ157" s="508" t="str">
        <f t="shared" ca="1" si="493"/>
        <v/>
      </c>
      <c r="DR157" s="508" t="str">
        <f t="shared" ca="1" si="494"/>
        <v/>
      </c>
      <c r="DS157" s="353">
        <f t="shared" ca="1" si="495"/>
        <v>0</v>
      </c>
      <c r="DT157" s="353">
        <f t="shared" ca="1" si="496"/>
        <v>0</v>
      </c>
      <c r="DU157" s="380">
        <f t="shared" ca="1" si="596"/>
        <v>11.748117727583846</v>
      </c>
      <c r="DV157" s="303">
        <f t="shared" ca="1" si="497"/>
        <v>0</v>
      </c>
      <c r="DW157" s="303">
        <f t="shared" ca="1" si="498"/>
        <v>0</v>
      </c>
      <c r="DX157" s="303">
        <f t="shared" ca="1" si="499"/>
        <v>0</v>
      </c>
      <c r="DY157" s="303">
        <f t="shared" ca="1" si="500"/>
        <v>0</v>
      </c>
      <c r="DZ157" s="303">
        <f t="shared" ca="1" si="501"/>
        <v>0</v>
      </c>
      <c r="EA157" s="303">
        <f t="shared" ca="1" si="502"/>
        <v>0</v>
      </c>
      <c r="EB157" s="302">
        <f t="shared" ca="1" si="503"/>
        <v>0</v>
      </c>
      <c r="EC157" s="299">
        <f t="shared" ca="1" si="504"/>
        <v>0</v>
      </c>
      <c r="ED157" s="299">
        <f t="shared" ca="1" si="505"/>
        <v>0</v>
      </c>
      <c r="EE157" s="299">
        <f t="shared" ca="1" si="506"/>
        <v>0</v>
      </c>
      <c r="EF157" s="299">
        <f t="shared" ca="1" si="507"/>
        <v>0</v>
      </c>
      <c r="EG157" s="299">
        <f t="shared" ca="1" si="508"/>
        <v>0</v>
      </c>
      <c r="EH157" s="302">
        <f t="shared" ca="1" si="509"/>
        <v>0</v>
      </c>
      <c r="EI157" s="304" t="str">
        <f t="shared" ca="1" si="510"/>
        <v/>
      </c>
      <c r="EJ157" s="305" t="str">
        <f t="shared" ca="1" si="511"/>
        <v/>
      </c>
      <c r="EK157" s="305" t="str">
        <f t="shared" ca="1" si="512"/>
        <v/>
      </c>
      <c r="EL157" s="305" t="str">
        <f t="shared" ca="1" si="513"/>
        <v/>
      </c>
      <c r="EM157" s="305" t="str">
        <f t="shared" ca="1" si="514"/>
        <v/>
      </c>
      <c r="EN157" s="305" t="str">
        <f t="shared" ca="1" si="515"/>
        <v/>
      </c>
      <c r="EO157" s="305" t="str">
        <f t="shared" ca="1" si="516"/>
        <v/>
      </c>
      <c r="EP157" s="305" t="str">
        <f t="shared" ca="1" si="517"/>
        <v/>
      </c>
      <c r="EQ157" s="305" t="str">
        <f t="shared" ca="1" si="518"/>
        <v/>
      </c>
      <c r="ER157" s="305" t="str">
        <f t="shared" ca="1" si="519"/>
        <v/>
      </c>
      <c r="ES157" s="305" t="str">
        <f t="shared" ca="1" si="520"/>
        <v/>
      </c>
      <c r="ET157" s="299">
        <f t="shared" ca="1" si="521"/>
        <v>0</v>
      </c>
      <c r="EU157" s="302">
        <f t="shared" ca="1" si="522"/>
        <v>0</v>
      </c>
      <c r="EV157" s="304" t="str">
        <f t="shared" ca="1" si="523"/>
        <v/>
      </c>
      <c r="EW157" s="305" t="str">
        <f t="shared" ca="1" si="524"/>
        <v/>
      </c>
      <c r="EX157" s="305" t="str">
        <f t="shared" ca="1" si="525"/>
        <v/>
      </c>
      <c r="EY157" s="305" t="str">
        <f t="shared" ca="1" si="526"/>
        <v/>
      </c>
      <c r="EZ157" s="305" t="str">
        <f t="shared" ca="1" si="527"/>
        <v/>
      </c>
      <c r="FA157" s="305" t="str">
        <f t="shared" ca="1" si="528"/>
        <v/>
      </c>
      <c r="FB157" s="305" t="str">
        <f t="shared" ca="1" si="529"/>
        <v/>
      </c>
      <c r="FC157" s="305" t="str">
        <f t="shared" ca="1" si="530"/>
        <v/>
      </c>
      <c r="FD157" s="305" t="str">
        <f t="shared" ca="1" si="531"/>
        <v/>
      </c>
      <c r="FE157" s="305" t="str">
        <f t="shared" ca="1" si="532"/>
        <v/>
      </c>
      <c r="FF157" s="305" t="str">
        <f t="shared" ca="1" si="533"/>
        <v/>
      </c>
      <c r="FG157" s="299">
        <f t="shared" ca="1" si="534"/>
        <v>0</v>
      </c>
      <c r="FH157" s="302">
        <f t="shared" ca="1" si="535"/>
        <v>0</v>
      </c>
      <c r="FI157" s="248">
        <f t="shared" ca="1" si="536"/>
        <v>0</v>
      </c>
      <c r="FJ157" s="363">
        <f t="shared" ca="1" si="537"/>
        <v>0</v>
      </c>
      <c r="FK157" s="378" t="str">
        <f t="shared" ca="1" si="538"/>
        <v/>
      </c>
      <c r="FL157" s="508" t="str">
        <f t="shared" ca="1" si="539"/>
        <v/>
      </c>
      <c r="FM157" s="508" t="str">
        <f t="shared" ca="1" si="540"/>
        <v/>
      </c>
      <c r="FN157" s="508" t="str">
        <f t="shared" ca="1" si="541"/>
        <v/>
      </c>
      <c r="FO157" s="508" t="str">
        <f t="shared" ca="1" si="542"/>
        <v/>
      </c>
      <c r="FP157" s="353">
        <f t="shared" ca="1" si="543"/>
        <v>0</v>
      </c>
      <c r="FQ157" s="356">
        <f t="shared" ca="1" si="544"/>
        <v>0</v>
      </c>
      <c r="FR157" s="380">
        <f t="shared" ca="1" si="545"/>
        <v>0</v>
      </c>
      <c r="FS157" s="299">
        <f t="shared" ca="1" si="546"/>
        <v>0</v>
      </c>
      <c r="FT157" s="299">
        <f t="shared" ca="1" si="547"/>
        <v>0</v>
      </c>
      <c r="FU157" s="299">
        <f t="shared" ca="1" si="548"/>
        <v>0</v>
      </c>
      <c r="FV157" s="299">
        <f t="shared" ca="1" si="549"/>
        <v>0</v>
      </c>
      <c r="FW157" s="850" t="str">
        <f t="shared" ca="1" si="550"/>
        <v/>
      </c>
      <c r="FX157" s="851" t="str">
        <f t="shared" ca="1" si="551"/>
        <v/>
      </c>
      <c r="FY157" s="851" t="str">
        <f t="shared" ca="1" si="552"/>
        <v/>
      </c>
      <c r="FZ157" s="201" t="str">
        <f t="shared" ca="1" si="553"/>
        <v/>
      </c>
      <c r="GA157" s="201" t="str">
        <f t="shared" ca="1" si="554"/>
        <v/>
      </c>
      <c r="GB157" s="201" t="str">
        <f t="shared" ca="1" si="555"/>
        <v/>
      </c>
      <c r="GC157" s="201" t="str">
        <f t="shared" ca="1" si="556"/>
        <v/>
      </c>
      <c r="GD157" s="850" t="str">
        <f t="shared" ca="1" si="557"/>
        <v/>
      </c>
      <c r="GE157" s="866" t="str">
        <f t="shared" ca="1" si="558"/>
        <v/>
      </c>
      <c r="GF157" s="866" t="str">
        <f t="shared" ca="1" si="559"/>
        <v/>
      </c>
      <c r="GG157" s="866" t="str">
        <f t="shared" ca="1" si="560"/>
        <v/>
      </c>
      <c r="GH157" s="866" t="str">
        <f t="shared" ca="1" si="561"/>
        <v/>
      </c>
      <c r="GI157" s="302">
        <f t="shared" ca="1" si="562"/>
        <v>0</v>
      </c>
      <c r="GJ157" s="299">
        <f t="shared" ca="1" si="563"/>
        <v>0</v>
      </c>
      <c r="GK157" s="299">
        <f t="shared" ca="1" si="564"/>
        <v>0</v>
      </c>
      <c r="GL157" s="299">
        <f t="shared" ca="1" si="565"/>
        <v>0</v>
      </c>
      <c r="GM157" s="299">
        <f t="shared" ca="1" si="566"/>
        <v>0</v>
      </c>
      <c r="GN157" s="302">
        <f t="shared" ca="1" si="567"/>
        <v>0</v>
      </c>
      <c r="GO157" s="299">
        <f t="shared" ca="1" si="568"/>
        <v>0</v>
      </c>
      <c r="GP157" s="299">
        <f t="shared" ca="1" si="569"/>
        <v>0</v>
      </c>
      <c r="GQ157" s="299">
        <f t="shared" ca="1" si="570"/>
        <v>0</v>
      </c>
      <c r="GR157" s="299">
        <f t="shared" ca="1" si="571"/>
        <v>0</v>
      </c>
      <c r="GS157" s="302">
        <f t="shared" ca="1" si="572"/>
        <v>0</v>
      </c>
      <c r="GT157" s="299">
        <f t="shared" ca="1" si="573"/>
        <v>0</v>
      </c>
      <c r="GU157" s="299">
        <f t="shared" ca="1" si="574"/>
        <v>0</v>
      </c>
      <c r="GV157" s="299">
        <f t="shared" ca="1" si="575"/>
        <v>0</v>
      </c>
      <c r="GW157" s="299">
        <f t="shared" ca="1" si="576"/>
        <v>0</v>
      </c>
      <c r="GX157" s="303">
        <f t="shared" ca="1" si="577"/>
        <v>0</v>
      </c>
      <c r="GY157" s="303">
        <f t="shared" ca="1" si="578"/>
        <v>0</v>
      </c>
      <c r="GZ157" s="303">
        <f t="shared" ca="1" si="579"/>
        <v>0</v>
      </c>
      <c r="HA157" s="303">
        <f t="shared" ca="1" si="580"/>
        <v>0</v>
      </c>
      <c r="HB157" s="303">
        <f t="shared" ca="1" si="581"/>
        <v>0</v>
      </c>
      <c r="HC157" s="303">
        <f t="shared" ca="1" si="582"/>
        <v>0</v>
      </c>
      <c r="HD157" s="303">
        <f t="shared" ca="1" si="583"/>
        <v>0</v>
      </c>
      <c r="HE157" s="303">
        <f t="shared" ca="1" si="584"/>
        <v>0</v>
      </c>
      <c r="HF157" s="303">
        <f t="shared" ca="1" si="585"/>
        <v>0</v>
      </c>
      <c r="HG157" s="852">
        <f t="shared" ca="1" si="586"/>
        <v>0</v>
      </c>
    </row>
    <row r="158" spans="1:215" x14ac:dyDescent="0.25">
      <c r="A158" s="244">
        <f t="shared" ca="1" si="587"/>
        <v>40909</v>
      </c>
      <c r="B158" s="13">
        <f t="shared" ca="1" si="415"/>
        <v>2012</v>
      </c>
      <c r="C158" s="619">
        <f t="shared" ca="1" si="416"/>
        <v>1</v>
      </c>
      <c r="D158" s="195">
        <f t="shared" ca="1" si="417"/>
        <v>40910</v>
      </c>
      <c r="E158" s="469" t="str">
        <f t="shared" ca="1" si="418"/>
        <v/>
      </c>
      <c r="F158" s="465" t="str">
        <f t="shared" ca="1" si="419"/>
        <v/>
      </c>
      <c r="G158" s="522">
        <f t="shared" ca="1" si="588"/>
        <v>1</v>
      </c>
      <c r="H158" s="519">
        <f t="shared" ca="1" si="589"/>
        <v>1</v>
      </c>
      <c r="I158" s="724">
        <f t="shared" ca="1" si="420"/>
        <v>7.4198304213379002E-2</v>
      </c>
      <c r="J158" s="198">
        <f t="shared" ca="1" si="421"/>
        <v>0.41808655121329413</v>
      </c>
      <c r="K158" s="200">
        <f t="shared" ca="1" si="597"/>
        <v>36.35</v>
      </c>
      <c r="L158" s="201">
        <f t="shared" ca="1" si="598"/>
        <v>38.049999999999997</v>
      </c>
      <c r="M158" s="206">
        <f t="shared" ca="1" si="599"/>
        <v>39.75</v>
      </c>
      <c r="N158" s="851">
        <f t="shared" ca="1" si="603"/>
        <v>29.173748779296865</v>
      </c>
      <c r="O158" s="201">
        <f t="shared" ca="1" si="604"/>
        <v>30.448748779296867</v>
      </c>
      <c r="P158" s="206">
        <f t="shared" ca="1" si="605"/>
        <v>31.723748779296869</v>
      </c>
      <c r="Q158" s="201">
        <f t="shared" ca="1" si="606"/>
        <v>24.652500534057609</v>
      </c>
      <c r="R158" s="201">
        <f t="shared" ca="1" si="607"/>
        <v>28.952500534057609</v>
      </c>
      <c r="S158" s="201">
        <f t="shared" ca="1" si="608"/>
        <v>33.25250053405761</v>
      </c>
      <c r="T158" s="851">
        <f t="shared" ca="1" si="600"/>
        <v>20.740000152587886</v>
      </c>
      <c r="U158" s="201">
        <f t="shared" ca="1" si="601"/>
        <v>21.590000152587887</v>
      </c>
      <c r="V158" s="206">
        <f t="shared" ca="1" si="602"/>
        <v>22.440000152587888</v>
      </c>
      <c r="W158" s="230">
        <f t="shared" ca="1" si="590"/>
        <v>8.0485213057119045E-2</v>
      </c>
      <c r="X158" s="231">
        <f t="shared" ca="1" si="591"/>
        <v>0.16097042611423809</v>
      </c>
      <c r="Y158" s="232">
        <f t="shared" ca="1" si="592"/>
        <v>0.24145563917135715</v>
      </c>
      <c r="Z158" s="231">
        <f t="shared" ca="1" si="404"/>
        <v>8.0485213057119045E-2</v>
      </c>
      <c r="AA158" s="231">
        <f t="shared" ca="1" si="405"/>
        <v>0.16097042611423809</v>
      </c>
      <c r="AB158" s="232">
        <f t="shared" ca="1" si="406"/>
        <v>0.24145563917135715</v>
      </c>
      <c r="AC158" s="231">
        <f t="shared" ca="1" si="407"/>
        <v>8.0485213057119045E-2</v>
      </c>
      <c r="AD158" s="231">
        <f t="shared" ca="1" si="408"/>
        <v>0.16097042611423809</v>
      </c>
      <c r="AE158" s="232">
        <f t="shared" ca="1" si="422"/>
        <v>0.24145563917135715</v>
      </c>
      <c r="AF158" s="231">
        <f t="shared" ca="1" si="593"/>
        <v>2.7465085330718002E-2</v>
      </c>
      <c r="AG158" s="231">
        <f t="shared" ca="1" si="594"/>
        <v>5.4930170661436004E-2</v>
      </c>
      <c r="AH158" s="232">
        <f t="shared" ca="1" si="595"/>
        <v>8.2395255992153998E-2</v>
      </c>
      <c r="AI158" s="233">
        <f t="shared" ca="1" si="423"/>
        <v>1.25</v>
      </c>
      <c r="AJ158" s="233">
        <f t="shared" ca="1" si="424"/>
        <v>2</v>
      </c>
      <c r="AK158" s="234">
        <f t="shared" ca="1" si="425"/>
        <v>2.75</v>
      </c>
      <c r="AL158" s="919">
        <f t="shared" ca="1" si="426"/>
        <v>1.25</v>
      </c>
      <c r="AM158" s="233">
        <f t="shared" ca="1" si="427"/>
        <v>2</v>
      </c>
      <c r="AN158" s="234">
        <f t="shared" ca="1" si="428"/>
        <v>2.75</v>
      </c>
      <c r="AO158" s="233">
        <f t="shared" ca="1" si="429"/>
        <v>1.25</v>
      </c>
      <c r="AP158" s="233">
        <f t="shared" ca="1" si="430"/>
        <v>2</v>
      </c>
      <c r="AQ158" s="233">
        <f t="shared" ca="1" si="431"/>
        <v>2.75</v>
      </c>
      <c r="AR158" s="919">
        <f t="shared" ca="1" si="432"/>
        <v>0.35</v>
      </c>
      <c r="AS158" s="233">
        <f t="shared" ca="1" si="433"/>
        <v>0.5</v>
      </c>
      <c r="AT158" s="235">
        <f t="shared" ca="1" si="434"/>
        <v>0.7</v>
      </c>
      <c r="AU158" s="946">
        <f t="shared" si="435"/>
        <v>0.5</v>
      </c>
      <c r="AV158" s="13">
        <f t="shared" ca="1" si="436"/>
        <v>0</v>
      </c>
      <c r="AW158" s="210">
        <f t="shared" ca="1" si="437"/>
        <v>0</v>
      </c>
      <c r="AX158" s="210">
        <f t="shared" ca="1" si="438"/>
        <v>0</v>
      </c>
      <c r="AY158" s="210">
        <f t="shared" ca="1" si="439"/>
        <v>0</v>
      </c>
      <c r="AZ158" s="13">
        <f t="shared" ca="1" si="440"/>
        <v>0</v>
      </c>
      <c r="BA158" s="357">
        <f ca="1"/>
        <v>0</v>
      </c>
      <c r="BB158" s="925">
        <f ca="1"/>
        <v>0</v>
      </c>
      <c r="BC158" s="925">
        <f ca="1"/>
        <v>0</v>
      </c>
      <c r="BD158" s="928">
        <f ca="1"/>
        <v>0</v>
      </c>
      <c r="BE158" s="200">
        <f ca="1"/>
        <v>0</v>
      </c>
      <c r="BF158" s="851">
        <f ca="1"/>
        <v>0</v>
      </c>
      <c r="BG158" s="851">
        <f ca="1"/>
        <v>0</v>
      </c>
      <c r="BH158" s="933">
        <f ca="1"/>
        <v>0</v>
      </c>
      <c r="BI158" s="357">
        <f ca="1"/>
        <v>0</v>
      </c>
      <c r="BJ158" s="925">
        <f ca="1"/>
        <v>0</v>
      </c>
      <c r="BK158" s="925">
        <f ca="1"/>
        <v>0</v>
      </c>
      <c r="BL158" s="928">
        <f ca="1"/>
        <v>0</v>
      </c>
      <c r="BM158" s="200">
        <f ca="1"/>
        <v>0</v>
      </c>
      <c r="BN158" s="851">
        <f ca="1"/>
        <v>0</v>
      </c>
      <c r="BO158" s="851">
        <f ca="1"/>
        <v>0</v>
      </c>
      <c r="BP158" s="933">
        <f ca="1"/>
        <v>0</v>
      </c>
      <c r="BQ158" s="357">
        <f t="shared" ca="1" si="441"/>
        <v>0</v>
      </c>
      <c r="BR158" s="361">
        <f t="shared" ca="1" si="442"/>
        <v>0</v>
      </c>
      <c r="BS158" s="357">
        <f t="shared" ca="1" si="443"/>
        <v>0</v>
      </c>
      <c r="BT158" s="302">
        <f t="shared" ca="1" si="444"/>
        <v>0</v>
      </c>
      <c r="BU158" s="299">
        <f t="shared" ca="1" si="445"/>
        <v>0</v>
      </c>
      <c r="BV158" s="299">
        <f t="shared" ca="1" si="446"/>
        <v>0</v>
      </c>
      <c r="BW158" s="299">
        <f t="shared" ca="1" si="447"/>
        <v>0</v>
      </c>
      <c r="BX158" s="380">
        <f t="shared" ca="1" si="448"/>
        <v>11.832991101984941</v>
      </c>
      <c r="BY158" s="363">
        <f t="shared" ca="1" si="449"/>
        <v>0</v>
      </c>
      <c r="BZ158" s="353">
        <f t="shared" ca="1" si="450"/>
        <v>0</v>
      </c>
      <c r="CA158" s="353">
        <f t="shared" ca="1" si="451"/>
        <v>0</v>
      </c>
      <c r="CB158" s="353">
        <f t="shared" ca="1" si="452"/>
        <v>0</v>
      </c>
      <c r="CC158" s="353">
        <f t="shared" ca="1" si="453"/>
        <v>0</v>
      </c>
      <c r="CD158" s="353">
        <f t="shared" ca="1" si="454"/>
        <v>0</v>
      </c>
      <c r="CE158" s="302">
        <f t="shared" ca="1" si="455"/>
        <v>0</v>
      </c>
      <c r="CF158" s="299">
        <f t="shared" ca="1" si="456"/>
        <v>0</v>
      </c>
      <c r="CG158" s="299">
        <f t="shared" ca="1" si="457"/>
        <v>0</v>
      </c>
      <c r="CH158" s="299">
        <f t="shared" ca="1" si="458"/>
        <v>0</v>
      </c>
      <c r="CI158" s="299">
        <f t="shared" ca="1" si="459"/>
        <v>0</v>
      </c>
      <c r="CJ158" s="299">
        <f t="shared" ca="1" si="460"/>
        <v>0</v>
      </c>
      <c r="CK158" s="299">
        <f t="shared" ca="1" si="461"/>
        <v>0</v>
      </c>
      <c r="CL158" s="377" t="str">
        <f t="shared" ca="1" si="462"/>
        <v/>
      </c>
      <c r="CM158" s="305" t="str">
        <f t="shared" ca="1" si="463"/>
        <v/>
      </c>
      <c r="CN158" s="305" t="str">
        <f t="shared" ca="1" si="464"/>
        <v/>
      </c>
      <c r="CO158" s="305" t="str">
        <f t="shared" ca="1" si="465"/>
        <v/>
      </c>
      <c r="CP158" s="305" t="str">
        <f t="shared" ca="1" si="466"/>
        <v/>
      </c>
      <c r="CQ158" s="305" t="str">
        <f t="shared" ca="1" si="467"/>
        <v/>
      </c>
      <c r="CR158" s="775" t="str">
        <f t="shared" ca="1" si="468"/>
        <v/>
      </c>
      <c r="CS158" s="305" t="str">
        <f t="shared" ca="1" si="469"/>
        <v/>
      </c>
      <c r="CT158" s="305" t="str">
        <f t="shared" ca="1" si="470"/>
        <v/>
      </c>
      <c r="CU158" s="305" t="str">
        <f t="shared" ca="1" si="471"/>
        <v/>
      </c>
      <c r="CV158" s="770" t="str">
        <f t="shared" ca="1" si="472"/>
        <v/>
      </c>
      <c r="CW158" s="302">
        <f t="shared" ca="1" si="473"/>
        <v>0</v>
      </c>
      <c r="CX158" s="299">
        <f t="shared" ca="1" si="474"/>
        <v>0</v>
      </c>
      <c r="CY158" s="299">
        <f t="shared" ca="1" si="475"/>
        <v>0</v>
      </c>
      <c r="CZ158" s="299">
        <f t="shared" ca="1" si="476"/>
        <v>0</v>
      </c>
      <c r="DA158" s="774">
        <f t="shared" ca="1" si="477"/>
        <v>0</v>
      </c>
      <c r="DB158" s="303">
        <f t="shared" ca="1" si="478"/>
        <v>0</v>
      </c>
      <c r="DC158" s="248">
        <f t="shared" ca="1" si="479"/>
        <v>0</v>
      </c>
      <c r="DD158" s="778">
        <f t="shared" ca="1" si="480"/>
        <v>0</v>
      </c>
      <c r="DE158" s="363">
        <f t="shared" ca="1" si="481"/>
        <v>0</v>
      </c>
      <c r="DF158" s="378" t="str">
        <f t="shared" ca="1" si="482"/>
        <v/>
      </c>
      <c r="DG158" s="508" t="str">
        <f t="shared" ca="1" si="483"/>
        <v/>
      </c>
      <c r="DH158" s="508" t="str">
        <f t="shared" ca="1" si="484"/>
        <v/>
      </c>
      <c r="DI158" s="508" t="str">
        <f t="shared" ca="1" si="485"/>
        <v/>
      </c>
      <c r="DJ158" s="508" t="str">
        <f t="shared" ca="1" si="486"/>
        <v/>
      </c>
      <c r="DK158" s="353">
        <f t="shared" ca="1" si="487"/>
        <v>0</v>
      </c>
      <c r="DL158" s="781">
        <f t="shared" ca="1" si="488"/>
        <v>0</v>
      </c>
      <c r="DM158" s="303">
        <f t="shared" ca="1" si="489"/>
        <v>0</v>
      </c>
      <c r="DN158" s="508" t="str">
        <f t="shared" ca="1" si="490"/>
        <v/>
      </c>
      <c r="DO158" s="508" t="str">
        <f t="shared" ca="1" si="491"/>
        <v/>
      </c>
      <c r="DP158" s="508" t="str">
        <f t="shared" ca="1" si="492"/>
        <v/>
      </c>
      <c r="DQ158" s="508" t="str">
        <f t="shared" ca="1" si="493"/>
        <v/>
      </c>
      <c r="DR158" s="508" t="str">
        <f t="shared" ca="1" si="494"/>
        <v/>
      </c>
      <c r="DS158" s="353">
        <f t="shared" ca="1" si="495"/>
        <v>0</v>
      </c>
      <c r="DT158" s="353">
        <f t="shared" ca="1" si="496"/>
        <v>0</v>
      </c>
      <c r="DU158" s="380">
        <f t="shared" ca="1" si="596"/>
        <v>11.832991101984941</v>
      </c>
      <c r="DV158" s="303">
        <f t="shared" ca="1" si="497"/>
        <v>0</v>
      </c>
      <c r="DW158" s="303">
        <f t="shared" ca="1" si="498"/>
        <v>0</v>
      </c>
      <c r="DX158" s="303">
        <f t="shared" ca="1" si="499"/>
        <v>0</v>
      </c>
      <c r="DY158" s="303">
        <f t="shared" ca="1" si="500"/>
        <v>0</v>
      </c>
      <c r="DZ158" s="303">
        <f t="shared" ca="1" si="501"/>
        <v>0</v>
      </c>
      <c r="EA158" s="303">
        <f t="shared" ca="1" si="502"/>
        <v>0</v>
      </c>
      <c r="EB158" s="302">
        <f t="shared" ca="1" si="503"/>
        <v>0</v>
      </c>
      <c r="EC158" s="299">
        <f t="shared" ca="1" si="504"/>
        <v>0</v>
      </c>
      <c r="ED158" s="299">
        <f t="shared" ca="1" si="505"/>
        <v>0</v>
      </c>
      <c r="EE158" s="299">
        <f t="shared" ca="1" si="506"/>
        <v>0</v>
      </c>
      <c r="EF158" s="299">
        <f t="shared" ca="1" si="507"/>
        <v>0</v>
      </c>
      <c r="EG158" s="299">
        <f t="shared" ca="1" si="508"/>
        <v>0</v>
      </c>
      <c r="EH158" s="302">
        <f t="shared" ca="1" si="509"/>
        <v>0</v>
      </c>
      <c r="EI158" s="304" t="str">
        <f t="shared" ca="1" si="510"/>
        <v/>
      </c>
      <c r="EJ158" s="305" t="str">
        <f t="shared" ca="1" si="511"/>
        <v/>
      </c>
      <c r="EK158" s="305" t="str">
        <f t="shared" ca="1" si="512"/>
        <v/>
      </c>
      <c r="EL158" s="305" t="str">
        <f t="shared" ca="1" si="513"/>
        <v/>
      </c>
      <c r="EM158" s="305" t="str">
        <f t="shared" ca="1" si="514"/>
        <v/>
      </c>
      <c r="EN158" s="305" t="str">
        <f t="shared" ca="1" si="515"/>
        <v/>
      </c>
      <c r="EO158" s="305" t="str">
        <f t="shared" ca="1" si="516"/>
        <v/>
      </c>
      <c r="EP158" s="305" t="str">
        <f t="shared" ca="1" si="517"/>
        <v/>
      </c>
      <c r="EQ158" s="305" t="str">
        <f t="shared" ca="1" si="518"/>
        <v/>
      </c>
      <c r="ER158" s="305" t="str">
        <f t="shared" ca="1" si="519"/>
        <v/>
      </c>
      <c r="ES158" s="305" t="str">
        <f t="shared" ca="1" si="520"/>
        <v/>
      </c>
      <c r="ET158" s="299">
        <f t="shared" ca="1" si="521"/>
        <v>0</v>
      </c>
      <c r="EU158" s="302">
        <f t="shared" ca="1" si="522"/>
        <v>0</v>
      </c>
      <c r="EV158" s="304" t="str">
        <f t="shared" ca="1" si="523"/>
        <v/>
      </c>
      <c r="EW158" s="305" t="str">
        <f t="shared" ca="1" si="524"/>
        <v/>
      </c>
      <c r="EX158" s="305" t="str">
        <f t="shared" ca="1" si="525"/>
        <v/>
      </c>
      <c r="EY158" s="305" t="str">
        <f t="shared" ca="1" si="526"/>
        <v/>
      </c>
      <c r="EZ158" s="305" t="str">
        <f t="shared" ca="1" si="527"/>
        <v/>
      </c>
      <c r="FA158" s="305" t="str">
        <f t="shared" ca="1" si="528"/>
        <v/>
      </c>
      <c r="FB158" s="305" t="str">
        <f t="shared" ca="1" si="529"/>
        <v/>
      </c>
      <c r="FC158" s="305" t="str">
        <f t="shared" ca="1" si="530"/>
        <v/>
      </c>
      <c r="FD158" s="305" t="str">
        <f t="shared" ca="1" si="531"/>
        <v/>
      </c>
      <c r="FE158" s="305" t="str">
        <f t="shared" ca="1" si="532"/>
        <v/>
      </c>
      <c r="FF158" s="305" t="str">
        <f t="shared" ca="1" si="533"/>
        <v/>
      </c>
      <c r="FG158" s="299">
        <f t="shared" ca="1" si="534"/>
        <v>0</v>
      </c>
      <c r="FH158" s="302">
        <f t="shared" ca="1" si="535"/>
        <v>0</v>
      </c>
      <c r="FI158" s="248">
        <f t="shared" ca="1" si="536"/>
        <v>0</v>
      </c>
      <c r="FJ158" s="363">
        <f t="shared" ca="1" si="537"/>
        <v>0</v>
      </c>
      <c r="FK158" s="378" t="str">
        <f t="shared" ca="1" si="538"/>
        <v/>
      </c>
      <c r="FL158" s="508" t="str">
        <f t="shared" ca="1" si="539"/>
        <v/>
      </c>
      <c r="FM158" s="508" t="str">
        <f t="shared" ca="1" si="540"/>
        <v/>
      </c>
      <c r="FN158" s="508" t="str">
        <f t="shared" ca="1" si="541"/>
        <v/>
      </c>
      <c r="FO158" s="508" t="str">
        <f t="shared" ca="1" si="542"/>
        <v/>
      </c>
      <c r="FP158" s="353">
        <f t="shared" ca="1" si="543"/>
        <v>0</v>
      </c>
      <c r="FQ158" s="356">
        <f t="shared" ca="1" si="544"/>
        <v>0</v>
      </c>
      <c r="FR158" s="380">
        <f t="shared" ca="1" si="545"/>
        <v>0</v>
      </c>
      <c r="FS158" s="299">
        <f t="shared" ca="1" si="546"/>
        <v>0</v>
      </c>
      <c r="FT158" s="299">
        <f t="shared" ca="1" si="547"/>
        <v>0</v>
      </c>
      <c r="FU158" s="299">
        <f t="shared" ca="1" si="548"/>
        <v>0</v>
      </c>
      <c r="FV158" s="299">
        <f t="shared" ca="1" si="549"/>
        <v>0</v>
      </c>
      <c r="FW158" s="850" t="str">
        <f t="shared" ca="1" si="550"/>
        <v/>
      </c>
      <c r="FX158" s="851" t="str">
        <f t="shared" ca="1" si="551"/>
        <v/>
      </c>
      <c r="FY158" s="851" t="str">
        <f t="shared" ca="1" si="552"/>
        <v/>
      </c>
      <c r="FZ158" s="201" t="str">
        <f t="shared" ca="1" si="553"/>
        <v/>
      </c>
      <c r="GA158" s="201" t="str">
        <f t="shared" ca="1" si="554"/>
        <v/>
      </c>
      <c r="GB158" s="201" t="str">
        <f t="shared" ca="1" si="555"/>
        <v/>
      </c>
      <c r="GC158" s="201" t="str">
        <f t="shared" ca="1" si="556"/>
        <v/>
      </c>
      <c r="GD158" s="850" t="str">
        <f t="shared" ca="1" si="557"/>
        <v/>
      </c>
      <c r="GE158" s="866" t="str">
        <f t="shared" ca="1" si="558"/>
        <v/>
      </c>
      <c r="GF158" s="866" t="str">
        <f t="shared" ca="1" si="559"/>
        <v/>
      </c>
      <c r="GG158" s="866" t="str">
        <f t="shared" ca="1" si="560"/>
        <v/>
      </c>
      <c r="GH158" s="866" t="str">
        <f t="shared" ca="1" si="561"/>
        <v/>
      </c>
      <c r="GI158" s="302">
        <f t="shared" ca="1" si="562"/>
        <v>0</v>
      </c>
      <c r="GJ158" s="299">
        <f t="shared" ca="1" si="563"/>
        <v>0</v>
      </c>
      <c r="GK158" s="299">
        <f t="shared" ca="1" si="564"/>
        <v>0</v>
      </c>
      <c r="GL158" s="299">
        <f t="shared" ca="1" si="565"/>
        <v>0</v>
      </c>
      <c r="GM158" s="299">
        <f t="shared" ca="1" si="566"/>
        <v>0</v>
      </c>
      <c r="GN158" s="302">
        <f t="shared" ca="1" si="567"/>
        <v>0</v>
      </c>
      <c r="GO158" s="299">
        <f t="shared" ca="1" si="568"/>
        <v>0</v>
      </c>
      <c r="GP158" s="299">
        <f t="shared" ca="1" si="569"/>
        <v>0</v>
      </c>
      <c r="GQ158" s="299">
        <f t="shared" ca="1" si="570"/>
        <v>0</v>
      </c>
      <c r="GR158" s="299">
        <f t="shared" ca="1" si="571"/>
        <v>0</v>
      </c>
      <c r="GS158" s="302">
        <f t="shared" ca="1" si="572"/>
        <v>0</v>
      </c>
      <c r="GT158" s="299">
        <f t="shared" ca="1" si="573"/>
        <v>0</v>
      </c>
      <c r="GU158" s="299">
        <f t="shared" ca="1" si="574"/>
        <v>0</v>
      </c>
      <c r="GV158" s="299">
        <f t="shared" ca="1" si="575"/>
        <v>0</v>
      </c>
      <c r="GW158" s="299">
        <f t="shared" ca="1" si="576"/>
        <v>0</v>
      </c>
      <c r="GX158" s="303">
        <f t="shared" ca="1" si="577"/>
        <v>0</v>
      </c>
      <c r="GY158" s="303">
        <f t="shared" ca="1" si="578"/>
        <v>0</v>
      </c>
      <c r="GZ158" s="303">
        <f t="shared" ca="1" si="579"/>
        <v>0</v>
      </c>
      <c r="HA158" s="303">
        <f t="shared" ca="1" si="580"/>
        <v>0</v>
      </c>
      <c r="HB158" s="303">
        <f t="shared" ca="1" si="581"/>
        <v>0</v>
      </c>
      <c r="HC158" s="303">
        <f t="shared" ca="1" si="582"/>
        <v>0</v>
      </c>
      <c r="HD158" s="303">
        <f t="shared" ca="1" si="583"/>
        <v>0</v>
      </c>
      <c r="HE158" s="303">
        <f t="shared" ca="1" si="584"/>
        <v>0</v>
      </c>
      <c r="HF158" s="303">
        <f t="shared" ca="1" si="585"/>
        <v>0</v>
      </c>
      <c r="HG158" s="852">
        <f t="shared" ca="1" si="586"/>
        <v>0</v>
      </c>
    </row>
    <row r="159" spans="1:215" x14ac:dyDescent="0.25">
      <c r="A159" s="244">
        <f t="shared" ca="1" si="587"/>
        <v>40940</v>
      </c>
      <c r="B159" s="13">
        <f t="shared" ca="1" si="415"/>
        <v>2012</v>
      </c>
      <c r="C159" s="619">
        <f t="shared" ca="1" si="416"/>
        <v>2</v>
      </c>
      <c r="D159" s="195" t="str">
        <f t="shared" ca="1" si="417"/>
        <v/>
      </c>
      <c r="E159" s="469" t="str">
        <f t="shared" ca="1" si="418"/>
        <v/>
      </c>
      <c r="F159" s="465" t="str">
        <f t="shared" ca="1" si="419"/>
        <v/>
      </c>
      <c r="G159" s="522">
        <f t="shared" ca="1" si="588"/>
        <v>1</v>
      </c>
      <c r="H159" s="519">
        <f t="shared" ca="1" si="589"/>
        <v>1</v>
      </c>
      <c r="I159" s="724">
        <f t="shared" ca="1" si="420"/>
        <v>7.4198009495497999E-2</v>
      </c>
      <c r="J159" s="198">
        <f t="shared" ca="1" si="421"/>
        <v>0.41567652425625279</v>
      </c>
      <c r="K159" s="200">
        <f t="shared" ca="1" si="597"/>
        <v>36.35</v>
      </c>
      <c r="L159" s="201">
        <f t="shared" ca="1" si="598"/>
        <v>38.049999999999997</v>
      </c>
      <c r="M159" s="206">
        <f t="shared" ca="1" si="599"/>
        <v>39.75</v>
      </c>
      <c r="N159" s="851">
        <f t="shared" ca="1" si="603"/>
        <v>28.171250152587881</v>
      </c>
      <c r="O159" s="201">
        <f t="shared" ca="1" si="604"/>
        <v>29.446250152587883</v>
      </c>
      <c r="P159" s="206">
        <f t="shared" ca="1" si="605"/>
        <v>30.721250152587885</v>
      </c>
      <c r="Q159" s="201">
        <f t="shared" ca="1" si="606"/>
        <v>22.647499465942374</v>
      </c>
      <c r="R159" s="201">
        <f t="shared" ca="1" si="607"/>
        <v>26.947499465942375</v>
      </c>
      <c r="S159" s="201">
        <f t="shared" ca="1" si="608"/>
        <v>31.247499465942376</v>
      </c>
      <c r="T159" s="851">
        <f t="shared" ca="1" si="600"/>
        <v>20.549997711181636</v>
      </c>
      <c r="U159" s="201">
        <f t="shared" ca="1" si="601"/>
        <v>21.399997711181637</v>
      </c>
      <c r="V159" s="206">
        <f t="shared" ca="1" si="602"/>
        <v>22.249997711181638</v>
      </c>
      <c r="W159" s="230">
        <f t="shared" ca="1" si="590"/>
        <v>7.7641212595736767E-2</v>
      </c>
      <c r="X159" s="231">
        <f t="shared" ca="1" si="591"/>
        <v>0.15528242519147353</v>
      </c>
      <c r="Y159" s="232">
        <f t="shared" ca="1" si="592"/>
        <v>0.23292363778721031</v>
      </c>
      <c r="Z159" s="231">
        <f t="shared" ca="1" si="404"/>
        <v>7.7641212595736767E-2</v>
      </c>
      <c r="AA159" s="231">
        <f t="shared" ca="1" si="405"/>
        <v>0.15528242519147353</v>
      </c>
      <c r="AB159" s="232">
        <f t="shared" ca="1" si="406"/>
        <v>0.23292363778721031</v>
      </c>
      <c r="AC159" s="231">
        <f t="shared" ca="1" si="407"/>
        <v>7.7641212595736767E-2</v>
      </c>
      <c r="AD159" s="231">
        <f t="shared" ca="1" si="408"/>
        <v>0.15528242519147353</v>
      </c>
      <c r="AE159" s="232">
        <f t="shared" ca="1" si="422"/>
        <v>0.23292363778721031</v>
      </c>
      <c r="AF159" s="231">
        <f t="shared" ca="1" si="593"/>
        <v>2.7465085330718002E-2</v>
      </c>
      <c r="AG159" s="231">
        <f t="shared" ca="1" si="594"/>
        <v>5.4930170661436004E-2</v>
      </c>
      <c r="AH159" s="232">
        <f t="shared" ca="1" si="595"/>
        <v>8.2395255992153998E-2</v>
      </c>
      <c r="AI159" s="233">
        <f t="shared" ca="1" si="423"/>
        <v>1.25</v>
      </c>
      <c r="AJ159" s="233">
        <f t="shared" ca="1" si="424"/>
        <v>2</v>
      </c>
      <c r="AK159" s="234">
        <f t="shared" ca="1" si="425"/>
        <v>2.75</v>
      </c>
      <c r="AL159" s="919">
        <f t="shared" ca="1" si="426"/>
        <v>1.25</v>
      </c>
      <c r="AM159" s="233">
        <f t="shared" ca="1" si="427"/>
        <v>2</v>
      </c>
      <c r="AN159" s="234">
        <f t="shared" ca="1" si="428"/>
        <v>2.75</v>
      </c>
      <c r="AO159" s="233">
        <f t="shared" ca="1" si="429"/>
        <v>1.25</v>
      </c>
      <c r="AP159" s="233">
        <f t="shared" ca="1" si="430"/>
        <v>2</v>
      </c>
      <c r="AQ159" s="233">
        <f t="shared" ca="1" si="431"/>
        <v>2.75</v>
      </c>
      <c r="AR159" s="919">
        <f t="shared" ca="1" si="432"/>
        <v>0.35</v>
      </c>
      <c r="AS159" s="233">
        <f t="shared" ca="1" si="433"/>
        <v>0.5</v>
      </c>
      <c r="AT159" s="235">
        <f t="shared" ca="1" si="434"/>
        <v>0.7</v>
      </c>
      <c r="AU159" s="946">
        <f t="shared" si="435"/>
        <v>0.5</v>
      </c>
      <c r="AV159" s="13">
        <f t="shared" ca="1" si="436"/>
        <v>0</v>
      </c>
      <c r="AW159" s="210">
        <f t="shared" ca="1" si="437"/>
        <v>0</v>
      </c>
      <c r="AX159" s="210">
        <f t="shared" ca="1" si="438"/>
        <v>0</v>
      </c>
      <c r="AY159" s="210">
        <f t="shared" ca="1" si="439"/>
        <v>0</v>
      </c>
      <c r="AZ159" s="13">
        <f t="shared" ca="1" si="440"/>
        <v>0</v>
      </c>
      <c r="BA159" s="357">
        <f ca="1"/>
        <v>0</v>
      </c>
      <c r="BB159" s="925">
        <f ca="1"/>
        <v>0</v>
      </c>
      <c r="BC159" s="925">
        <f ca="1"/>
        <v>0</v>
      </c>
      <c r="BD159" s="928">
        <f ca="1"/>
        <v>0</v>
      </c>
      <c r="BE159" s="200">
        <f ca="1"/>
        <v>0</v>
      </c>
      <c r="BF159" s="851">
        <f ca="1"/>
        <v>0</v>
      </c>
      <c r="BG159" s="851">
        <f ca="1"/>
        <v>0</v>
      </c>
      <c r="BH159" s="933">
        <f ca="1"/>
        <v>0</v>
      </c>
      <c r="BI159" s="357">
        <f ca="1"/>
        <v>0</v>
      </c>
      <c r="BJ159" s="925">
        <f ca="1"/>
        <v>0</v>
      </c>
      <c r="BK159" s="925">
        <f ca="1"/>
        <v>0</v>
      </c>
      <c r="BL159" s="928">
        <f ca="1"/>
        <v>0</v>
      </c>
      <c r="BM159" s="200">
        <f ca="1"/>
        <v>0</v>
      </c>
      <c r="BN159" s="851">
        <f ca="1"/>
        <v>0</v>
      </c>
      <c r="BO159" s="851">
        <f ca="1"/>
        <v>0</v>
      </c>
      <c r="BP159" s="933">
        <f ca="1"/>
        <v>0</v>
      </c>
      <c r="BQ159" s="357">
        <f t="shared" ca="1" si="441"/>
        <v>0</v>
      </c>
      <c r="BR159" s="361">
        <f t="shared" ca="1" si="442"/>
        <v>0</v>
      </c>
      <c r="BS159" s="357">
        <f t="shared" ca="1" si="443"/>
        <v>0</v>
      </c>
      <c r="BT159" s="302">
        <f t="shared" ca="1" si="444"/>
        <v>0</v>
      </c>
      <c r="BU159" s="299">
        <f t="shared" ca="1" si="445"/>
        <v>0</v>
      </c>
      <c r="BV159" s="299">
        <f t="shared" ca="1" si="446"/>
        <v>0</v>
      </c>
      <c r="BW159" s="299">
        <f t="shared" ca="1" si="447"/>
        <v>0</v>
      </c>
      <c r="BX159" s="380">
        <f t="shared" ca="1" si="448"/>
        <v>11.917864476386036</v>
      </c>
      <c r="BY159" s="363">
        <f t="shared" ca="1" si="449"/>
        <v>0</v>
      </c>
      <c r="BZ159" s="353">
        <f t="shared" ca="1" si="450"/>
        <v>0</v>
      </c>
      <c r="CA159" s="353">
        <f t="shared" ca="1" si="451"/>
        <v>0</v>
      </c>
      <c r="CB159" s="353">
        <f t="shared" ca="1" si="452"/>
        <v>0</v>
      </c>
      <c r="CC159" s="353">
        <f t="shared" ca="1" si="453"/>
        <v>0</v>
      </c>
      <c r="CD159" s="353">
        <f t="shared" ca="1" si="454"/>
        <v>0</v>
      </c>
      <c r="CE159" s="302">
        <f t="shared" ca="1" si="455"/>
        <v>0</v>
      </c>
      <c r="CF159" s="299">
        <f t="shared" ca="1" si="456"/>
        <v>0</v>
      </c>
      <c r="CG159" s="299">
        <f t="shared" ca="1" si="457"/>
        <v>0</v>
      </c>
      <c r="CH159" s="299">
        <f t="shared" ca="1" si="458"/>
        <v>0</v>
      </c>
      <c r="CI159" s="299">
        <f t="shared" ca="1" si="459"/>
        <v>0</v>
      </c>
      <c r="CJ159" s="299">
        <f t="shared" ca="1" si="460"/>
        <v>0</v>
      </c>
      <c r="CK159" s="299">
        <f t="shared" ca="1" si="461"/>
        <v>0</v>
      </c>
      <c r="CL159" s="377" t="str">
        <f t="shared" ca="1" si="462"/>
        <v/>
      </c>
      <c r="CM159" s="305" t="str">
        <f t="shared" ca="1" si="463"/>
        <v/>
      </c>
      <c r="CN159" s="305" t="str">
        <f t="shared" ca="1" si="464"/>
        <v/>
      </c>
      <c r="CO159" s="305" t="str">
        <f t="shared" ca="1" si="465"/>
        <v/>
      </c>
      <c r="CP159" s="305" t="str">
        <f t="shared" ca="1" si="466"/>
        <v/>
      </c>
      <c r="CQ159" s="305" t="str">
        <f t="shared" ca="1" si="467"/>
        <v/>
      </c>
      <c r="CR159" s="775" t="str">
        <f t="shared" ca="1" si="468"/>
        <v/>
      </c>
      <c r="CS159" s="305" t="str">
        <f t="shared" ca="1" si="469"/>
        <v/>
      </c>
      <c r="CT159" s="305" t="str">
        <f t="shared" ca="1" si="470"/>
        <v/>
      </c>
      <c r="CU159" s="305" t="str">
        <f t="shared" ca="1" si="471"/>
        <v/>
      </c>
      <c r="CV159" s="770" t="str">
        <f t="shared" ca="1" si="472"/>
        <v/>
      </c>
      <c r="CW159" s="302">
        <f t="shared" ca="1" si="473"/>
        <v>0</v>
      </c>
      <c r="CX159" s="299">
        <f t="shared" ca="1" si="474"/>
        <v>0</v>
      </c>
      <c r="CY159" s="299">
        <f t="shared" ca="1" si="475"/>
        <v>0</v>
      </c>
      <c r="CZ159" s="299">
        <f t="shared" ca="1" si="476"/>
        <v>0</v>
      </c>
      <c r="DA159" s="774">
        <f t="shared" ca="1" si="477"/>
        <v>0</v>
      </c>
      <c r="DB159" s="303">
        <f t="shared" ca="1" si="478"/>
        <v>0</v>
      </c>
      <c r="DC159" s="248">
        <f t="shared" ca="1" si="479"/>
        <v>0</v>
      </c>
      <c r="DD159" s="778">
        <f t="shared" ca="1" si="480"/>
        <v>0</v>
      </c>
      <c r="DE159" s="363">
        <f t="shared" ca="1" si="481"/>
        <v>0</v>
      </c>
      <c r="DF159" s="378" t="str">
        <f t="shared" ca="1" si="482"/>
        <v/>
      </c>
      <c r="DG159" s="508" t="str">
        <f t="shared" ca="1" si="483"/>
        <v/>
      </c>
      <c r="DH159" s="508" t="str">
        <f t="shared" ca="1" si="484"/>
        <v/>
      </c>
      <c r="DI159" s="508" t="str">
        <f t="shared" ca="1" si="485"/>
        <v/>
      </c>
      <c r="DJ159" s="508" t="str">
        <f t="shared" ca="1" si="486"/>
        <v/>
      </c>
      <c r="DK159" s="353">
        <f t="shared" ca="1" si="487"/>
        <v>0</v>
      </c>
      <c r="DL159" s="781">
        <f t="shared" ca="1" si="488"/>
        <v>0</v>
      </c>
      <c r="DM159" s="303">
        <f t="shared" ca="1" si="489"/>
        <v>0</v>
      </c>
      <c r="DN159" s="508" t="str">
        <f t="shared" ca="1" si="490"/>
        <v/>
      </c>
      <c r="DO159" s="508" t="str">
        <f t="shared" ca="1" si="491"/>
        <v/>
      </c>
      <c r="DP159" s="508" t="str">
        <f t="shared" ca="1" si="492"/>
        <v/>
      </c>
      <c r="DQ159" s="508" t="str">
        <f t="shared" ca="1" si="493"/>
        <v/>
      </c>
      <c r="DR159" s="508" t="str">
        <f t="shared" ca="1" si="494"/>
        <v/>
      </c>
      <c r="DS159" s="353">
        <f t="shared" ca="1" si="495"/>
        <v>0</v>
      </c>
      <c r="DT159" s="353">
        <f t="shared" ca="1" si="496"/>
        <v>0</v>
      </c>
      <c r="DU159" s="380">
        <f t="shared" ca="1" si="596"/>
        <v>11.917864476386036</v>
      </c>
      <c r="DV159" s="303">
        <f t="shared" ca="1" si="497"/>
        <v>0</v>
      </c>
      <c r="DW159" s="303">
        <f t="shared" ca="1" si="498"/>
        <v>0</v>
      </c>
      <c r="DX159" s="303">
        <f t="shared" ca="1" si="499"/>
        <v>0</v>
      </c>
      <c r="DY159" s="303">
        <f t="shared" ca="1" si="500"/>
        <v>0</v>
      </c>
      <c r="DZ159" s="303">
        <f t="shared" ca="1" si="501"/>
        <v>0</v>
      </c>
      <c r="EA159" s="303">
        <f t="shared" ca="1" si="502"/>
        <v>0</v>
      </c>
      <c r="EB159" s="302">
        <f t="shared" ca="1" si="503"/>
        <v>0</v>
      </c>
      <c r="EC159" s="299">
        <f t="shared" ca="1" si="504"/>
        <v>0</v>
      </c>
      <c r="ED159" s="299">
        <f t="shared" ca="1" si="505"/>
        <v>0</v>
      </c>
      <c r="EE159" s="299">
        <f t="shared" ca="1" si="506"/>
        <v>0</v>
      </c>
      <c r="EF159" s="299">
        <f t="shared" ca="1" si="507"/>
        <v>0</v>
      </c>
      <c r="EG159" s="299">
        <f t="shared" ca="1" si="508"/>
        <v>0</v>
      </c>
      <c r="EH159" s="302">
        <f t="shared" ca="1" si="509"/>
        <v>0</v>
      </c>
      <c r="EI159" s="304" t="str">
        <f t="shared" ca="1" si="510"/>
        <v/>
      </c>
      <c r="EJ159" s="305" t="str">
        <f t="shared" ca="1" si="511"/>
        <v/>
      </c>
      <c r="EK159" s="305" t="str">
        <f t="shared" ca="1" si="512"/>
        <v/>
      </c>
      <c r="EL159" s="305" t="str">
        <f t="shared" ca="1" si="513"/>
        <v/>
      </c>
      <c r="EM159" s="305" t="str">
        <f t="shared" ca="1" si="514"/>
        <v/>
      </c>
      <c r="EN159" s="305" t="str">
        <f t="shared" ca="1" si="515"/>
        <v/>
      </c>
      <c r="EO159" s="305" t="str">
        <f t="shared" ca="1" si="516"/>
        <v/>
      </c>
      <c r="EP159" s="305" t="str">
        <f t="shared" ca="1" si="517"/>
        <v/>
      </c>
      <c r="EQ159" s="305" t="str">
        <f t="shared" ca="1" si="518"/>
        <v/>
      </c>
      <c r="ER159" s="305" t="str">
        <f t="shared" ca="1" si="519"/>
        <v/>
      </c>
      <c r="ES159" s="305" t="str">
        <f t="shared" ca="1" si="520"/>
        <v/>
      </c>
      <c r="ET159" s="299">
        <f t="shared" ca="1" si="521"/>
        <v>0</v>
      </c>
      <c r="EU159" s="302">
        <f t="shared" ca="1" si="522"/>
        <v>0</v>
      </c>
      <c r="EV159" s="304" t="str">
        <f t="shared" ca="1" si="523"/>
        <v/>
      </c>
      <c r="EW159" s="305" t="str">
        <f t="shared" ca="1" si="524"/>
        <v/>
      </c>
      <c r="EX159" s="305" t="str">
        <f t="shared" ca="1" si="525"/>
        <v/>
      </c>
      <c r="EY159" s="305" t="str">
        <f t="shared" ca="1" si="526"/>
        <v/>
      </c>
      <c r="EZ159" s="305" t="str">
        <f t="shared" ca="1" si="527"/>
        <v/>
      </c>
      <c r="FA159" s="305" t="str">
        <f t="shared" ca="1" si="528"/>
        <v/>
      </c>
      <c r="FB159" s="305" t="str">
        <f t="shared" ca="1" si="529"/>
        <v/>
      </c>
      <c r="FC159" s="305" t="str">
        <f t="shared" ca="1" si="530"/>
        <v/>
      </c>
      <c r="FD159" s="305" t="str">
        <f t="shared" ca="1" si="531"/>
        <v/>
      </c>
      <c r="FE159" s="305" t="str">
        <f t="shared" ca="1" si="532"/>
        <v/>
      </c>
      <c r="FF159" s="305" t="str">
        <f t="shared" ca="1" si="533"/>
        <v/>
      </c>
      <c r="FG159" s="299">
        <f t="shared" ca="1" si="534"/>
        <v>0</v>
      </c>
      <c r="FH159" s="302">
        <f t="shared" ca="1" si="535"/>
        <v>0</v>
      </c>
      <c r="FI159" s="248">
        <f t="shared" ca="1" si="536"/>
        <v>0</v>
      </c>
      <c r="FJ159" s="363">
        <f t="shared" ca="1" si="537"/>
        <v>0</v>
      </c>
      <c r="FK159" s="378" t="str">
        <f t="shared" ca="1" si="538"/>
        <v/>
      </c>
      <c r="FL159" s="508" t="str">
        <f t="shared" ca="1" si="539"/>
        <v/>
      </c>
      <c r="FM159" s="508" t="str">
        <f t="shared" ca="1" si="540"/>
        <v/>
      </c>
      <c r="FN159" s="508" t="str">
        <f t="shared" ca="1" si="541"/>
        <v/>
      </c>
      <c r="FO159" s="508" t="str">
        <f t="shared" ca="1" si="542"/>
        <v/>
      </c>
      <c r="FP159" s="353">
        <f t="shared" ca="1" si="543"/>
        <v>0</v>
      </c>
      <c r="FQ159" s="356">
        <f t="shared" ca="1" si="544"/>
        <v>0</v>
      </c>
      <c r="FR159" s="380">
        <f t="shared" ca="1" si="545"/>
        <v>0</v>
      </c>
      <c r="FS159" s="299">
        <f t="shared" ca="1" si="546"/>
        <v>0</v>
      </c>
      <c r="FT159" s="299">
        <f t="shared" ca="1" si="547"/>
        <v>0</v>
      </c>
      <c r="FU159" s="299">
        <f t="shared" ca="1" si="548"/>
        <v>0</v>
      </c>
      <c r="FV159" s="299">
        <f t="shared" ca="1" si="549"/>
        <v>0</v>
      </c>
      <c r="FW159" s="850" t="str">
        <f t="shared" ca="1" si="550"/>
        <v/>
      </c>
      <c r="FX159" s="851" t="str">
        <f t="shared" ca="1" si="551"/>
        <v/>
      </c>
      <c r="FY159" s="851" t="str">
        <f t="shared" ca="1" si="552"/>
        <v/>
      </c>
      <c r="FZ159" s="201" t="str">
        <f t="shared" ca="1" si="553"/>
        <v/>
      </c>
      <c r="GA159" s="201" t="str">
        <f t="shared" ca="1" si="554"/>
        <v/>
      </c>
      <c r="GB159" s="201" t="str">
        <f t="shared" ca="1" si="555"/>
        <v/>
      </c>
      <c r="GC159" s="201" t="str">
        <f t="shared" ca="1" si="556"/>
        <v/>
      </c>
      <c r="GD159" s="850" t="str">
        <f t="shared" ca="1" si="557"/>
        <v/>
      </c>
      <c r="GE159" s="866" t="str">
        <f t="shared" ca="1" si="558"/>
        <v/>
      </c>
      <c r="GF159" s="866" t="str">
        <f t="shared" ca="1" si="559"/>
        <v/>
      </c>
      <c r="GG159" s="866" t="str">
        <f t="shared" ca="1" si="560"/>
        <v/>
      </c>
      <c r="GH159" s="866" t="str">
        <f t="shared" ca="1" si="561"/>
        <v/>
      </c>
      <c r="GI159" s="302">
        <f t="shared" ca="1" si="562"/>
        <v>0</v>
      </c>
      <c r="GJ159" s="299">
        <f t="shared" ca="1" si="563"/>
        <v>0</v>
      </c>
      <c r="GK159" s="299">
        <f t="shared" ca="1" si="564"/>
        <v>0</v>
      </c>
      <c r="GL159" s="299">
        <f t="shared" ca="1" si="565"/>
        <v>0</v>
      </c>
      <c r="GM159" s="299">
        <f t="shared" ca="1" si="566"/>
        <v>0</v>
      </c>
      <c r="GN159" s="302">
        <f t="shared" ca="1" si="567"/>
        <v>0</v>
      </c>
      <c r="GO159" s="299">
        <f t="shared" ca="1" si="568"/>
        <v>0</v>
      </c>
      <c r="GP159" s="299">
        <f t="shared" ca="1" si="569"/>
        <v>0</v>
      </c>
      <c r="GQ159" s="299">
        <f t="shared" ca="1" si="570"/>
        <v>0</v>
      </c>
      <c r="GR159" s="299">
        <f t="shared" ca="1" si="571"/>
        <v>0</v>
      </c>
      <c r="GS159" s="302">
        <f t="shared" ca="1" si="572"/>
        <v>0</v>
      </c>
      <c r="GT159" s="299">
        <f t="shared" ca="1" si="573"/>
        <v>0</v>
      </c>
      <c r="GU159" s="299">
        <f t="shared" ca="1" si="574"/>
        <v>0</v>
      </c>
      <c r="GV159" s="299">
        <f t="shared" ca="1" si="575"/>
        <v>0</v>
      </c>
      <c r="GW159" s="299">
        <f t="shared" ca="1" si="576"/>
        <v>0</v>
      </c>
      <c r="GX159" s="303">
        <f t="shared" ca="1" si="577"/>
        <v>0</v>
      </c>
      <c r="GY159" s="303">
        <f t="shared" ca="1" si="578"/>
        <v>0</v>
      </c>
      <c r="GZ159" s="303">
        <f t="shared" ca="1" si="579"/>
        <v>0</v>
      </c>
      <c r="HA159" s="303">
        <f t="shared" ca="1" si="580"/>
        <v>0</v>
      </c>
      <c r="HB159" s="303">
        <f t="shared" ca="1" si="581"/>
        <v>0</v>
      </c>
      <c r="HC159" s="303">
        <f t="shared" ca="1" si="582"/>
        <v>0</v>
      </c>
      <c r="HD159" s="303">
        <f t="shared" ca="1" si="583"/>
        <v>0</v>
      </c>
      <c r="HE159" s="303">
        <f t="shared" ca="1" si="584"/>
        <v>0</v>
      </c>
      <c r="HF159" s="303">
        <f t="shared" ca="1" si="585"/>
        <v>0</v>
      </c>
      <c r="HG159" s="852">
        <f t="shared" ca="1" si="586"/>
        <v>0</v>
      </c>
    </row>
    <row r="160" spans="1:215" x14ac:dyDescent="0.25">
      <c r="A160" s="244">
        <f t="shared" ca="1" si="587"/>
        <v>40969</v>
      </c>
      <c r="B160" s="13">
        <f t="shared" ca="1" si="415"/>
        <v>2012</v>
      </c>
      <c r="C160" s="619">
        <f t="shared" ca="1" si="416"/>
        <v>3</v>
      </c>
      <c r="D160" s="195" t="str">
        <f t="shared" ca="1" si="417"/>
        <v/>
      </c>
      <c r="E160" s="469" t="str">
        <f t="shared" ca="1" si="418"/>
        <v/>
      </c>
      <c r="F160" s="465" t="str">
        <f t="shared" ca="1" si="419"/>
        <v/>
      </c>
      <c r="G160" s="522">
        <f t="shared" ca="1" si="588"/>
        <v>1</v>
      </c>
      <c r="H160" s="519">
        <f t="shared" ca="1" si="589"/>
        <v>1</v>
      </c>
      <c r="I160" s="724">
        <f t="shared" ca="1" si="420"/>
        <v>7.4197733791673007E-2</v>
      </c>
      <c r="J160" s="198">
        <f t="shared" ca="1" si="421"/>
        <v>0.41311547956753969</v>
      </c>
      <c r="K160" s="200">
        <f t="shared" ca="1" si="597"/>
        <v>33.35</v>
      </c>
      <c r="L160" s="201">
        <f t="shared" ca="1" si="598"/>
        <v>34.299999999999997</v>
      </c>
      <c r="M160" s="206">
        <f t="shared" ca="1" si="599"/>
        <v>35.25</v>
      </c>
      <c r="N160" s="851">
        <f t="shared" ca="1" si="603"/>
        <v>21.922249603271478</v>
      </c>
      <c r="O160" s="201">
        <f t="shared" ca="1" si="604"/>
        <v>22.634749603271477</v>
      </c>
      <c r="P160" s="206">
        <f t="shared" ca="1" si="605"/>
        <v>23.347249603271475</v>
      </c>
      <c r="Q160" s="201">
        <f t="shared" ca="1" si="606"/>
        <v>17.964498901367179</v>
      </c>
      <c r="R160" s="201">
        <f t="shared" ca="1" si="607"/>
        <v>22.26449890136718</v>
      </c>
      <c r="S160" s="201">
        <f t="shared" ca="1" si="608"/>
        <v>26.56449890136718</v>
      </c>
      <c r="T160" s="851">
        <f t="shared" ca="1" si="600"/>
        <v>19.924999618530268</v>
      </c>
      <c r="U160" s="201">
        <f t="shared" ca="1" si="601"/>
        <v>20.39999961853027</v>
      </c>
      <c r="V160" s="206">
        <f t="shared" ca="1" si="602"/>
        <v>20.874999618530271</v>
      </c>
      <c r="W160" s="230">
        <f t="shared" ca="1" si="590"/>
        <v>7.5572202260081142E-2</v>
      </c>
      <c r="X160" s="231">
        <f t="shared" ca="1" si="591"/>
        <v>0.15114440452016228</v>
      </c>
      <c r="Y160" s="232">
        <f t="shared" ca="1" si="592"/>
        <v>0.22671660678024341</v>
      </c>
      <c r="Z160" s="231">
        <f t="shared" ca="1" si="404"/>
        <v>7.5572202260081142E-2</v>
      </c>
      <c r="AA160" s="231">
        <f t="shared" ca="1" si="405"/>
        <v>0.15114440452016228</v>
      </c>
      <c r="AB160" s="232">
        <f t="shared" ca="1" si="406"/>
        <v>0.22671660678024341</v>
      </c>
      <c r="AC160" s="231">
        <f t="shared" ca="1" si="407"/>
        <v>7.5572202260081142E-2</v>
      </c>
      <c r="AD160" s="231">
        <f t="shared" ca="1" si="408"/>
        <v>0.15114440452016228</v>
      </c>
      <c r="AE160" s="232">
        <f t="shared" ca="1" si="422"/>
        <v>0.22671660678024341</v>
      </c>
      <c r="AF160" s="231">
        <f t="shared" ca="1" si="593"/>
        <v>2.3541501712043993E-2</v>
      </c>
      <c r="AG160" s="231">
        <f t="shared" ca="1" si="594"/>
        <v>4.7083003424087985E-2</v>
      </c>
      <c r="AH160" s="232">
        <f t="shared" ca="1" si="595"/>
        <v>7.0624505136131971E-2</v>
      </c>
      <c r="AI160" s="233">
        <f t="shared" ca="1" si="423"/>
        <v>1.05</v>
      </c>
      <c r="AJ160" s="233">
        <f t="shared" ca="1" si="424"/>
        <v>1.3</v>
      </c>
      <c r="AK160" s="234">
        <f t="shared" ca="1" si="425"/>
        <v>1.6</v>
      </c>
      <c r="AL160" s="919">
        <f t="shared" ca="1" si="426"/>
        <v>1.05</v>
      </c>
      <c r="AM160" s="233">
        <f t="shared" ca="1" si="427"/>
        <v>1.3</v>
      </c>
      <c r="AN160" s="234">
        <f t="shared" ca="1" si="428"/>
        <v>1.6</v>
      </c>
      <c r="AO160" s="233">
        <f t="shared" ca="1" si="429"/>
        <v>1.05</v>
      </c>
      <c r="AP160" s="233">
        <f t="shared" ca="1" si="430"/>
        <v>1.3</v>
      </c>
      <c r="AQ160" s="233">
        <f t="shared" ca="1" si="431"/>
        <v>1.6</v>
      </c>
      <c r="AR160" s="919">
        <f t="shared" ca="1" si="432"/>
        <v>0.19999999999999998</v>
      </c>
      <c r="AS160" s="233">
        <f t="shared" ca="1" si="433"/>
        <v>0.35</v>
      </c>
      <c r="AT160" s="235">
        <f t="shared" ca="1" si="434"/>
        <v>0.55000000000000004</v>
      </c>
      <c r="AU160" s="946">
        <f t="shared" si="435"/>
        <v>0.5</v>
      </c>
      <c r="AV160" s="13">
        <f t="shared" ca="1" si="436"/>
        <v>0</v>
      </c>
      <c r="AW160" s="210">
        <f t="shared" ca="1" si="437"/>
        <v>0</v>
      </c>
      <c r="AX160" s="210">
        <f t="shared" ca="1" si="438"/>
        <v>0</v>
      </c>
      <c r="AY160" s="210">
        <f t="shared" ca="1" si="439"/>
        <v>0</v>
      </c>
      <c r="AZ160" s="13">
        <f t="shared" ca="1" si="440"/>
        <v>0</v>
      </c>
      <c r="BA160" s="357">
        <f ca="1"/>
        <v>0</v>
      </c>
      <c r="BB160" s="925">
        <f ca="1"/>
        <v>0</v>
      </c>
      <c r="BC160" s="925">
        <f ca="1"/>
        <v>0</v>
      </c>
      <c r="BD160" s="928">
        <f ca="1"/>
        <v>0</v>
      </c>
      <c r="BE160" s="200">
        <f ca="1"/>
        <v>0</v>
      </c>
      <c r="BF160" s="851">
        <f ca="1"/>
        <v>0</v>
      </c>
      <c r="BG160" s="851">
        <f ca="1"/>
        <v>0</v>
      </c>
      <c r="BH160" s="933">
        <f ca="1"/>
        <v>0</v>
      </c>
      <c r="BI160" s="357">
        <f ca="1"/>
        <v>0</v>
      </c>
      <c r="BJ160" s="925">
        <f ca="1"/>
        <v>0</v>
      </c>
      <c r="BK160" s="925">
        <f ca="1"/>
        <v>0</v>
      </c>
      <c r="BL160" s="928">
        <f ca="1"/>
        <v>0</v>
      </c>
      <c r="BM160" s="200">
        <f ca="1"/>
        <v>0</v>
      </c>
      <c r="BN160" s="851">
        <f ca="1"/>
        <v>0</v>
      </c>
      <c r="BO160" s="851">
        <f ca="1"/>
        <v>0</v>
      </c>
      <c r="BP160" s="933">
        <f ca="1"/>
        <v>0</v>
      </c>
      <c r="BQ160" s="357">
        <f t="shared" ca="1" si="441"/>
        <v>0</v>
      </c>
      <c r="BR160" s="361">
        <f t="shared" ca="1" si="442"/>
        <v>0</v>
      </c>
      <c r="BS160" s="357">
        <f t="shared" ca="1" si="443"/>
        <v>0</v>
      </c>
      <c r="BT160" s="302">
        <f t="shared" ca="1" si="444"/>
        <v>0</v>
      </c>
      <c r="BU160" s="299">
        <f t="shared" ca="1" si="445"/>
        <v>0</v>
      </c>
      <c r="BV160" s="299">
        <f t="shared" ca="1" si="446"/>
        <v>0</v>
      </c>
      <c r="BW160" s="299">
        <f t="shared" ca="1" si="447"/>
        <v>0</v>
      </c>
      <c r="BX160" s="380">
        <f t="shared" ca="1" si="448"/>
        <v>11.997262149212867</v>
      </c>
      <c r="BY160" s="363">
        <f t="shared" ca="1" si="449"/>
        <v>0</v>
      </c>
      <c r="BZ160" s="353">
        <f t="shared" ca="1" si="450"/>
        <v>0</v>
      </c>
      <c r="CA160" s="353">
        <f t="shared" ca="1" si="451"/>
        <v>0</v>
      </c>
      <c r="CB160" s="353">
        <f t="shared" ca="1" si="452"/>
        <v>0</v>
      </c>
      <c r="CC160" s="353">
        <f t="shared" ca="1" si="453"/>
        <v>0</v>
      </c>
      <c r="CD160" s="353">
        <f t="shared" ca="1" si="454"/>
        <v>0</v>
      </c>
      <c r="CE160" s="302">
        <f t="shared" ca="1" si="455"/>
        <v>0</v>
      </c>
      <c r="CF160" s="299">
        <f t="shared" ca="1" si="456"/>
        <v>0</v>
      </c>
      <c r="CG160" s="299">
        <f t="shared" ca="1" si="457"/>
        <v>0</v>
      </c>
      <c r="CH160" s="299">
        <f t="shared" ca="1" si="458"/>
        <v>0</v>
      </c>
      <c r="CI160" s="299">
        <f t="shared" ca="1" si="459"/>
        <v>0</v>
      </c>
      <c r="CJ160" s="299">
        <f t="shared" ca="1" si="460"/>
        <v>0</v>
      </c>
      <c r="CK160" s="299">
        <f t="shared" ca="1" si="461"/>
        <v>0</v>
      </c>
      <c r="CL160" s="377" t="str">
        <f t="shared" ca="1" si="462"/>
        <v/>
      </c>
      <c r="CM160" s="305" t="str">
        <f t="shared" ca="1" si="463"/>
        <v/>
      </c>
      <c r="CN160" s="305" t="str">
        <f t="shared" ca="1" si="464"/>
        <v/>
      </c>
      <c r="CO160" s="305" t="str">
        <f t="shared" ca="1" si="465"/>
        <v/>
      </c>
      <c r="CP160" s="305" t="str">
        <f t="shared" ca="1" si="466"/>
        <v/>
      </c>
      <c r="CQ160" s="305" t="str">
        <f t="shared" ca="1" si="467"/>
        <v/>
      </c>
      <c r="CR160" s="775" t="str">
        <f t="shared" ca="1" si="468"/>
        <v/>
      </c>
      <c r="CS160" s="305" t="str">
        <f t="shared" ca="1" si="469"/>
        <v/>
      </c>
      <c r="CT160" s="305" t="str">
        <f t="shared" ca="1" si="470"/>
        <v/>
      </c>
      <c r="CU160" s="305" t="str">
        <f t="shared" ca="1" si="471"/>
        <v/>
      </c>
      <c r="CV160" s="770" t="str">
        <f t="shared" ca="1" si="472"/>
        <v/>
      </c>
      <c r="CW160" s="302">
        <f t="shared" ca="1" si="473"/>
        <v>0</v>
      </c>
      <c r="CX160" s="299">
        <f t="shared" ca="1" si="474"/>
        <v>0</v>
      </c>
      <c r="CY160" s="299">
        <f t="shared" ca="1" si="475"/>
        <v>0</v>
      </c>
      <c r="CZ160" s="299">
        <f t="shared" ca="1" si="476"/>
        <v>0</v>
      </c>
      <c r="DA160" s="774">
        <f t="shared" ca="1" si="477"/>
        <v>0</v>
      </c>
      <c r="DB160" s="303">
        <f t="shared" ca="1" si="478"/>
        <v>0</v>
      </c>
      <c r="DC160" s="248">
        <f t="shared" ca="1" si="479"/>
        <v>0</v>
      </c>
      <c r="DD160" s="778">
        <f t="shared" ca="1" si="480"/>
        <v>0</v>
      </c>
      <c r="DE160" s="363">
        <f t="shared" ca="1" si="481"/>
        <v>0</v>
      </c>
      <c r="DF160" s="378" t="str">
        <f t="shared" ca="1" si="482"/>
        <v/>
      </c>
      <c r="DG160" s="508" t="str">
        <f t="shared" ca="1" si="483"/>
        <v/>
      </c>
      <c r="DH160" s="508" t="str">
        <f t="shared" ca="1" si="484"/>
        <v/>
      </c>
      <c r="DI160" s="508" t="str">
        <f t="shared" ca="1" si="485"/>
        <v/>
      </c>
      <c r="DJ160" s="508" t="str">
        <f t="shared" ca="1" si="486"/>
        <v/>
      </c>
      <c r="DK160" s="353">
        <f t="shared" ca="1" si="487"/>
        <v>0</v>
      </c>
      <c r="DL160" s="781">
        <f t="shared" ca="1" si="488"/>
        <v>0</v>
      </c>
      <c r="DM160" s="303">
        <f t="shared" ca="1" si="489"/>
        <v>0</v>
      </c>
      <c r="DN160" s="508" t="str">
        <f t="shared" ca="1" si="490"/>
        <v/>
      </c>
      <c r="DO160" s="508" t="str">
        <f t="shared" ca="1" si="491"/>
        <v/>
      </c>
      <c r="DP160" s="508" t="str">
        <f t="shared" ca="1" si="492"/>
        <v/>
      </c>
      <c r="DQ160" s="508" t="str">
        <f t="shared" ca="1" si="493"/>
        <v/>
      </c>
      <c r="DR160" s="508" t="str">
        <f t="shared" ca="1" si="494"/>
        <v/>
      </c>
      <c r="DS160" s="353">
        <f t="shared" ca="1" si="495"/>
        <v>0</v>
      </c>
      <c r="DT160" s="353">
        <f t="shared" ca="1" si="496"/>
        <v>0</v>
      </c>
      <c r="DU160" s="380">
        <f t="shared" ca="1" si="596"/>
        <v>11.997262149212867</v>
      </c>
      <c r="DV160" s="303">
        <f t="shared" ca="1" si="497"/>
        <v>0</v>
      </c>
      <c r="DW160" s="303">
        <f t="shared" ca="1" si="498"/>
        <v>0</v>
      </c>
      <c r="DX160" s="303">
        <f t="shared" ca="1" si="499"/>
        <v>0</v>
      </c>
      <c r="DY160" s="303">
        <f t="shared" ca="1" si="500"/>
        <v>0</v>
      </c>
      <c r="DZ160" s="303">
        <f t="shared" ca="1" si="501"/>
        <v>0</v>
      </c>
      <c r="EA160" s="303">
        <f t="shared" ca="1" si="502"/>
        <v>0</v>
      </c>
      <c r="EB160" s="302">
        <f t="shared" ca="1" si="503"/>
        <v>0</v>
      </c>
      <c r="EC160" s="299">
        <f t="shared" ca="1" si="504"/>
        <v>0</v>
      </c>
      <c r="ED160" s="299">
        <f t="shared" ca="1" si="505"/>
        <v>0</v>
      </c>
      <c r="EE160" s="299">
        <f t="shared" ca="1" si="506"/>
        <v>0</v>
      </c>
      <c r="EF160" s="299">
        <f t="shared" ca="1" si="507"/>
        <v>0</v>
      </c>
      <c r="EG160" s="299">
        <f t="shared" ca="1" si="508"/>
        <v>0</v>
      </c>
      <c r="EH160" s="302">
        <f t="shared" ca="1" si="509"/>
        <v>0</v>
      </c>
      <c r="EI160" s="304" t="str">
        <f t="shared" ca="1" si="510"/>
        <v/>
      </c>
      <c r="EJ160" s="305" t="str">
        <f t="shared" ca="1" si="511"/>
        <v/>
      </c>
      <c r="EK160" s="305" t="str">
        <f t="shared" ca="1" si="512"/>
        <v/>
      </c>
      <c r="EL160" s="305" t="str">
        <f t="shared" ca="1" si="513"/>
        <v/>
      </c>
      <c r="EM160" s="305" t="str">
        <f t="shared" ca="1" si="514"/>
        <v/>
      </c>
      <c r="EN160" s="305" t="str">
        <f t="shared" ca="1" si="515"/>
        <v/>
      </c>
      <c r="EO160" s="305" t="str">
        <f t="shared" ca="1" si="516"/>
        <v/>
      </c>
      <c r="EP160" s="305" t="str">
        <f t="shared" ca="1" si="517"/>
        <v/>
      </c>
      <c r="EQ160" s="305" t="str">
        <f t="shared" ca="1" si="518"/>
        <v/>
      </c>
      <c r="ER160" s="305" t="str">
        <f t="shared" ca="1" si="519"/>
        <v/>
      </c>
      <c r="ES160" s="305" t="str">
        <f t="shared" ca="1" si="520"/>
        <v/>
      </c>
      <c r="ET160" s="299">
        <f t="shared" ca="1" si="521"/>
        <v>0</v>
      </c>
      <c r="EU160" s="302">
        <f t="shared" ca="1" si="522"/>
        <v>0</v>
      </c>
      <c r="EV160" s="304" t="str">
        <f t="shared" ca="1" si="523"/>
        <v/>
      </c>
      <c r="EW160" s="305" t="str">
        <f t="shared" ca="1" si="524"/>
        <v/>
      </c>
      <c r="EX160" s="305" t="str">
        <f t="shared" ca="1" si="525"/>
        <v/>
      </c>
      <c r="EY160" s="305" t="str">
        <f t="shared" ca="1" si="526"/>
        <v/>
      </c>
      <c r="EZ160" s="305" t="str">
        <f t="shared" ca="1" si="527"/>
        <v/>
      </c>
      <c r="FA160" s="305" t="str">
        <f t="shared" ca="1" si="528"/>
        <v/>
      </c>
      <c r="FB160" s="305" t="str">
        <f t="shared" ca="1" si="529"/>
        <v/>
      </c>
      <c r="FC160" s="305" t="str">
        <f t="shared" ca="1" si="530"/>
        <v/>
      </c>
      <c r="FD160" s="305" t="str">
        <f t="shared" ca="1" si="531"/>
        <v/>
      </c>
      <c r="FE160" s="305" t="str">
        <f t="shared" ca="1" si="532"/>
        <v/>
      </c>
      <c r="FF160" s="305" t="str">
        <f t="shared" ca="1" si="533"/>
        <v/>
      </c>
      <c r="FG160" s="299">
        <f t="shared" ca="1" si="534"/>
        <v>0</v>
      </c>
      <c r="FH160" s="302">
        <f t="shared" ca="1" si="535"/>
        <v>0</v>
      </c>
      <c r="FI160" s="248">
        <f t="shared" ca="1" si="536"/>
        <v>0</v>
      </c>
      <c r="FJ160" s="363">
        <f t="shared" ca="1" si="537"/>
        <v>0</v>
      </c>
      <c r="FK160" s="378" t="str">
        <f t="shared" ca="1" si="538"/>
        <v/>
      </c>
      <c r="FL160" s="508" t="str">
        <f t="shared" ca="1" si="539"/>
        <v/>
      </c>
      <c r="FM160" s="508" t="str">
        <f t="shared" ca="1" si="540"/>
        <v/>
      </c>
      <c r="FN160" s="508" t="str">
        <f t="shared" ca="1" si="541"/>
        <v/>
      </c>
      <c r="FO160" s="508" t="str">
        <f t="shared" ca="1" si="542"/>
        <v/>
      </c>
      <c r="FP160" s="353">
        <f t="shared" ca="1" si="543"/>
        <v>0</v>
      </c>
      <c r="FQ160" s="356">
        <f t="shared" ca="1" si="544"/>
        <v>0</v>
      </c>
      <c r="FR160" s="380">
        <f t="shared" ca="1" si="545"/>
        <v>0</v>
      </c>
      <c r="FS160" s="299">
        <f t="shared" ca="1" si="546"/>
        <v>0</v>
      </c>
      <c r="FT160" s="299">
        <f t="shared" ca="1" si="547"/>
        <v>0</v>
      </c>
      <c r="FU160" s="299">
        <f t="shared" ca="1" si="548"/>
        <v>0</v>
      </c>
      <c r="FV160" s="299">
        <f t="shared" ca="1" si="549"/>
        <v>0</v>
      </c>
      <c r="FW160" s="850" t="str">
        <f t="shared" ca="1" si="550"/>
        <v/>
      </c>
      <c r="FX160" s="851" t="str">
        <f t="shared" ca="1" si="551"/>
        <v/>
      </c>
      <c r="FY160" s="851" t="str">
        <f t="shared" ca="1" si="552"/>
        <v/>
      </c>
      <c r="FZ160" s="201" t="str">
        <f t="shared" ca="1" si="553"/>
        <v/>
      </c>
      <c r="GA160" s="201" t="str">
        <f t="shared" ca="1" si="554"/>
        <v/>
      </c>
      <c r="GB160" s="201" t="str">
        <f t="shared" ca="1" si="555"/>
        <v/>
      </c>
      <c r="GC160" s="201" t="str">
        <f t="shared" ca="1" si="556"/>
        <v/>
      </c>
      <c r="GD160" s="850" t="str">
        <f t="shared" ca="1" si="557"/>
        <v/>
      </c>
      <c r="GE160" s="866" t="str">
        <f t="shared" ca="1" si="558"/>
        <v/>
      </c>
      <c r="GF160" s="866" t="str">
        <f t="shared" ca="1" si="559"/>
        <v/>
      </c>
      <c r="GG160" s="866" t="str">
        <f t="shared" ca="1" si="560"/>
        <v/>
      </c>
      <c r="GH160" s="866" t="str">
        <f t="shared" ca="1" si="561"/>
        <v/>
      </c>
      <c r="GI160" s="302">
        <f t="shared" ca="1" si="562"/>
        <v>0</v>
      </c>
      <c r="GJ160" s="299">
        <f t="shared" ca="1" si="563"/>
        <v>0</v>
      </c>
      <c r="GK160" s="299">
        <f t="shared" ca="1" si="564"/>
        <v>0</v>
      </c>
      <c r="GL160" s="299">
        <f t="shared" ca="1" si="565"/>
        <v>0</v>
      </c>
      <c r="GM160" s="299">
        <f t="shared" ca="1" si="566"/>
        <v>0</v>
      </c>
      <c r="GN160" s="302">
        <f t="shared" ca="1" si="567"/>
        <v>0</v>
      </c>
      <c r="GO160" s="299">
        <f t="shared" ca="1" si="568"/>
        <v>0</v>
      </c>
      <c r="GP160" s="299">
        <f t="shared" ca="1" si="569"/>
        <v>0</v>
      </c>
      <c r="GQ160" s="299">
        <f t="shared" ca="1" si="570"/>
        <v>0</v>
      </c>
      <c r="GR160" s="299">
        <f t="shared" ca="1" si="571"/>
        <v>0</v>
      </c>
      <c r="GS160" s="302">
        <f t="shared" ca="1" si="572"/>
        <v>0</v>
      </c>
      <c r="GT160" s="299">
        <f t="shared" ca="1" si="573"/>
        <v>0</v>
      </c>
      <c r="GU160" s="299">
        <f t="shared" ca="1" si="574"/>
        <v>0</v>
      </c>
      <c r="GV160" s="299">
        <f t="shared" ca="1" si="575"/>
        <v>0</v>
      </c>
      <c r="GW160" s="299">
        <f t="shared" ca="1" si="576"/>
        <v>0</v>
      </c>
      <c r="GX160" s="303">
        <f t="shared" ca="1" si="577"/>
        <v>0</v>
      </c>
      <c r="GY160" s="303">
        <f t="shared" ca="1" si="578"/>
        <v>0</v>
      </c>
      <c r="GZ160" s="303">
        <f t="shared" ca="1" si="579"/>
        <v>0</v>
      </c>
      <c r="HA160" s="303">
        <f t="shared" ca="1" si="580"/>
        <v>0</v>
      </c>
      <c r="HB160" s="303">
        <f t="shared" ca="1" si="581"/>
        <v>0</v>
      </c>
      <c r="HC160" s="303">
        <f t="shared" ca="1" si="582"/>
        <v>0</v>
      </c>
      <c r="HD160" s="303">
        <f t="shared" ca="1" si="583"/>
        <v>0</v>
      </c>
      <c r="HE160" s="303">
        <f t="shared" ca="1" si="584"/>
        <v>0</v>
      </c>
      <c r="HF160" s="303">
        <f t="shared" ca="1" si="585"/>
        <v>0</v>
      </c>
      <c r="HG160" s="852">
        <f t="shared" ca="1" si="586"/>
        <v>0</v>
      </c>
    </row>
    <row r="161" spans="1:215" x14ac:dyDescent="0.25">
      <c r="A161" s="244">
        <f t="shared" ca="1" si="587"/>
        <v>41000</v>
      </c>
      <c r="B161" s="13">
        <f t="shared" ref="B161:B176" ca="1" si="609">YEAR(A161)</f>
        <v>2012</v>
      </c>
      <c r="C161" s="619">
        <f t="shared" ref="C161:C176" ca="1" si="610">MONTH(A161)</f>
        <v>4</v>
      </c>
      <c r="D161" s="195" t="str">
        <f t="shared" ca="1" si="417"/>
        <v/>
      </c>
      <c r="E161" s="469" t="str">
        <f t="shared" ca="1" si="418"/>
        <v/>
      </c>
      <c r="F161" s="465" t="str">
        <f t="shared" ca="1" si="419"/>
        <v/>
      </c>
      <c r="G161" s="522">
        <f t="shared" ca="1" si="588"/>
        <v>1</v>
      </c>
      <c r="H161" s="519">
        <f t="shared" ca="1" si="589"/>
        <v>1</v>
      </c>
      <c r="I161" s="724">
        <f t="shared" ref="I161:I176" ca="1" si="611">VLOOKUP(A161,IRTable,2)</f>
        <v>7.4197439073790991E-2</v>
      </c>
      <c r="J161" s="198">
        <f t="shared" ca="1" si="421"/>
        <v>0.41065222654650219</v>
      </c>
      <c r="K161" s="200">
        <f t="shared" ca="1" si="597"/>
        <v>32.25</v>
      </c>
      <c r="L161" s="201">
        <f t="shared" ca="1" si="598"/>
        <v>33.049999999999997</v>
      </c>
      <c r="M161" s="206">
        <f t="shared" ca="1" si="599"/>
        <v>33.85</v>
      </c>
      <c r="N161" s="851">
        <f t="shared" ca="1" si="603"/>
        <v>22.717500305175772</v>
      </c>
      <c r="O161" s="201">
        <f t="shared" ca="1" si="604"/>
        <v>23.317500305175773</v>
      </c>
      <c r="P161" s="206">
        <f t="shared" ca="1" si="605"/>
        <v>23.917500305175775</v>
      </c>
      <c r="Q161" s="201">
        <f t="shared" ca="1" si="606"/>
        <v>17.734999084472648</v>
      </c>
      <c r="R161" s="201">
        <f t="shared" ca="1" si="607"/>
        <v>22.034999084472648</v>
      </c>
      <c r="S161" s="201">
        <f t="shared" ca="1" si="608"/>
        <v>26.334999084472649</v>
      </c>
      <c r="T161" s="851">
        <f t="shared" ca="1" si="600"/>
        <v>19.999997711181638</v>
      </c>
      <c r="U161" s="201">
        <f t="shared" ca="1" si="601"/>
        <v>20.399997711181637</v>
      </c>
      <c r="V161" s="206">
        <f t="shared" ca="1" si="602"/>
        <v>20.799997711181636</v>
      </c>
      <c r="W161" s="230">
        <f t="shared" ca="1" si="590"/>
        <v>6.7445470941681213E-2</v>
      </c>
      <c r="X161" s="231">
        <f t="shared" ca="1" si="591"/>
        <v>0.13489094188336243</v>
      </c>
      <c r="Y161" s="232">
        <f t="shared" ca="1" si="592"/>
        <v>0.20233641282504364</v>
      </c>
      <c r="Z161" s="231">
        <f t="shared" ref="Z161:Z224" ca="1" si="612">VLOOKUP($A161,BigTable,14,0)</f>
        <v>6.7445470941681213E-2</v>
      </c>
      <c r="AA161" s="231">
        <f t="shared" ref="AA161:AA224" ca="1" si="613">VLOOKUP($A161,BigTable,15,0)</f>
        <v>0.13489094188336243</v>
      </c>
      <c r="AB161" s="232">
        <f t="shared" ref="AB161:AB224" ca="1" si="614">VLOOKUP($A161,BigTable,16,0)</f>
        <v>0.20233641282504364</v>
      </c>
      <c r="AC161" s="231">
        <f t="shared" ref="AC161:AC224" ca="1" si="615">VLOOKUP($A161,BigTable,14,0)</f>
        <v>6.7445470941681213E-2</v>
      </c>
      <c r="AD161" s="231">
        <f t="shared" ref="AD161:AD224" ca="1" si="616">VLOOKUP($A161,BigTable,15,0)</f>
        <v>0.13489094188336243</v>
      </c>
      <c r="AE161" s="232">
        <f t="shared" ca="1" si="422"/>
        <v>0.20233641282504364</v>
      </c>
      <c r="AF161" s="231">
        <f t="shared" ca="1" si="593"/>
        <v>2.3541501712043993E-2</v>
      </c>
      <c r="AG161" s="231">
        <f t="shared" ca="1" si="594"/>
        <v>4.7083003424087985E-2</v>
      </c>
      <c r="AH161" s="232">
        <f t="shared" ca="1" si="595"/>
        <v>7.0624505136131971E-2</v>
      </c>
      <c r="AI161" s="233">
        <f t="shared" ca="1" si="423"/>
        <v>0.85000000000000009</v>
      </c>
      <c r="AJ161" s="233">
        <f t="shared" ca="1" si="424"/>
        <v>1.1000000000000001</v>
      </c>
      <c r="AK161" s="234">
        <f t="shared" ca="1" si="425"/>
        <v>1.4000000000000001</v>
      </c>
      <c r="AL161" s="919">
        <f t="shared" ca="1" si="426"/>
        <v>0.85000000000000009</v>
      </c>
      <c r="AM161" s="233">
        <f t="shared" ca="1" si="427"/>
        <v>1.1000000000000001</v>
      </c>
      <c r="AN161" s="234">
        <f t="shared" ca="1" si="428"/>
        <v>1.4000000000000001</v>
      </c>
      <c r="AO161" s="233">
        <f t="shared" ca="1" si="429"/>
        <v>0.85000000000000009</v>
      </c>
      <c r="AP161" s="233">
        <f t="shared" ca="1" si="430"/>
        <v>1.1000000000000001</v>
      </c>
      <c r="AQ161" s="233">
        <f t="shared" ca="1" si="431"/>
        <v>1.4000000000000001</v>
      </c>
      <c r="AR161" s="919">
        <f t="shared" ca="1" si="432"/>
        <v>0.19999999999999998</v>
      </c>
      <c r="AS161" s="233">
        <f t="shared" ca="1" si="433"/>
        <v>0.35</v>
      </c>
      <c r="AT161" s="235">
        <f t="shared" ca="1" si="434"/>
        <v>0.55000000000000004</v>
      </c>
      <c r="AU161" s="946">
        <f t="shared" si="435"/>
        <v>0.5</v>
      </c>
      <c r="AV161" s="13">
        <f t="shared" ca="1" si="436"/>
        <v>0</v>
      </c>
      <c r="AW161" s="210">
        <f t="shared" ca="1" si="437"/>
        <v>0</v>
      </c>
      <c r="AX161" s="210">
        <f t="shared" ca="1" si="438"/>
        <v>0</v>
      </c>
      <c r="AY161" s="210">
        <f t="shared" ca="1" si="439"/>
        <v>0</v>
      </c>
      <c r="AZ161" s="13">
        <f t="shared" ca="1" si="440"/>
        <v>0</v>
      </c>
      <c r="BA161" s="357">
        <f ca="1"/>
        <v>0</v>
      </c>
      <c r="BB161" s="925">
        <f ca="1"/>
        <v>0</v>
      </c>
      <c r="BC161" s="925">
        <f ca="1"/>
        <v>0</v>
      </c>
      <c r="BD161" s="928">
        <f ca="1"/>
        <v>0</v>
      </c>
      <c r="BE161" s="200">
        <f ca="1"/>
        <v>0</v>
      </c>
      <c r="BF161" s="851">
        <f ca="1"/>
        <v>0</v>
      </c>
      <c r="BG161" s="851">
        <f ca="1"/>
        <v>0</v>
      </c>
      <c r="BH161" s="933">
        <f ca="1"/>
        <v>0</v>
      </c>
      <c r="BI161" s="357">
        <f ca="1"/>
        <v>0</v>
      </c>
      <c r="BJ161" s="925">
        <f ca="1"/>
        <v>0</v>
      </c>
      <c r="BK161" s="925">
        <f ca="1"/>
        <v>0</v>
      </c>
      <c r="BL161" s="928">
        <f ca="1"/>
        <v>0</v>
      </c>
      <c r="BM161" s="200">
        <f ca="1"/>
        <v>0</v>
      </c>
      <c r="BN161" s="851">
        <f ca="1"/>
        <v>0</v>
      </c>
      <c r="BO161" s="851">
        <f ca="1"/>
        <v>0</v>
      </c>
      <c r="BP161" s="933">
        <f ca="1"/>
        <v>0</v>
      </c>
      <c r="BQ161" s="357">
        <f t="shared" ca="1" si="441"/>
        <v>0</v>
      </c>
      <c r="BR161" s="361">
        <f t="shared" ca="1" si="442"/>
        <v>0</v>
      </c>
      <c r="BS161" s="357">
        <f t="shared" ca="1" si="443"/>
        <v>0</v>
      </c>
      <c r="BT161" s="302">
        <f t="shared" ca="1" si="444"/>
        <v>0</v>
      </c>
      <c r="BU161" s="299">
        <f t="shared" ca="1" si="445"/>
        <v>0</v>
      </c>
      <c r="BV161" s="299">
        <f t="shared" ca="1" si="446"/>
        <v>0</v>
      </c>
      <c r="BW161" s="299">
        <f t="shared" ca="1" si="447"/>
        <v>0</v>
      </c>
      <c r="BX161" s="380">
        <f t="shared" ca="1" si="448"/>
        <v>12.082135523613964</v>
      </c>
      <c r="BY161" s="363">
        <f t="shared" ca="1" si="449"/>
        <v>0</v>
      </c>
      <c r="BZ161" s="353">
        <f t="shared" ca="1" si="450"/>
        <v>0</v>
      </c>
      <c r="CA161" s="353">
        <f t="shared" ca="1" si="451"/>
        <v>0</v>
      </c>
      <c r="CB161" s="353">
        <f t="shared" ca="1" si="452"/>
        <v>0</v>
      </c>
      <c r="CC161" s="353">
        <f t="shared" ca="1" si="453"/>
        <v>0</v>
      </c>
      <c r="CD161" s="353">
        <f t="shared" ca="1" si="454"/>
        <v>0</v>
      </c>
      <c r="CE161" s="302">
        <f t="shared" ca="1" si="455"/>
        <v>0</v>
      </c>
      <c r="CF161" s="299">
        <f t="shared" ca="1" si="456"/>
        <v>0</v>
      </c>
      <c r="CG161" s="299">
        <f t="shared" ca="1" si="457"/>
        <v>0</v>
      </c>
      <c r="CH161" s="299">
        <f t="shared" ca="1" si="458"/>
        <v>0</v>
      </c>
      <c r="CI161" s="299">
        <f t="shared" ca="1" si="459"/>
        <v>0</v>
      </c>
      <c r="CJ161" s="299">
        <f t="shared" ca="1" si="460"/>
        <v>0</v>
      </c>
      <c r="CK161" s="299">
        <f t="shared" ca="1" si="461"/>
        <v>0</v>
      </c>
      <c r="CL161" s="377" t="str">
        <f t="shared" ca="1" si="462"/>
        <v/>
      </c>
      <c r="CM161" s="305" t="str">
        <f t="shared" ca="1" si="463"/>
        <v/>
      </c>
      <c r="CN161" s="305" t="str">
        <f t="shared" ca="1" si="464"/>
        <v/>
      </c>
      <c r="CO161" s="305" t="str">
        <f t="shared" ca="1" si="465"/>
        <v/>
      </c>
      <c r="CP161" s="305" t="str">
        <f t="shared" ca="1" si="466"/>
        <v/>
      </c>
      <c r="CQ161" s="305" t="str">
        <f t="shared" ca="1" si="467"/>
        <v/>
      </c>
      <c r="CR161" s="775" t="str">
        <f t="shared" ca="1" si="468"/>
        <v/>
      </c>
      <c r="CS161" s="305" t="str">
        <f t="shared" ca="1" si="469"/>
        <v/>
      </c>
      <c r="CT161" s="305" t="str">
        <f t="shared" ca="1" si="470"/>
        <v/>
      </c>
      <c r="CU161" s="305" t="str">
        <f t="shared" ca="1" si="471"/>
        <v/>
      </c>
      <c r="CV161" s="770" t="str">
        <f t="shared" ca="1" si="472"/>
        <v/>
      </c>
      <c r="CW161" s="302">
        <f t="shared" ca="1" si="473"/>
        <v>0</v>
      </c>
      <c r="CX161" s="299">
        <f t="shared" ca="1" si="474"/>
        <v>0</v>
      </c>
      <c r="CY161" s="299">
        <f t="shared" ca="1" si="475"/>
        <v>0</v>
      </c>
      <c r="CZ161" s="299">
        <f t="shared" ca="1" si="476"/>
        <v>0</v>
      </c>
      <c r="DA161" s="774">
        <f t="shared" ca="1" si="477"/>
        <v>0</v>
      </c>
      <c r="DB161" s="303">
        <f t="shared" ca="1" si="478"/>
        <v>0</v>
      </c>
      <c r="DC161" s="248">
        <f t="shared" ca="1" si="479"/>
        <v>0</v>
      </c>
      <c r="DD161" s="778">
        <f t="shared" ca="1" si="480"/>
        <v>0</v>
      </c>
      <c r="DE161" s="363">
        <f t="shared" ca="1" si="481"/>
        <v>0</v>
      </c>
      <c r="DF161" s="378" t="str">
        <f t="shared" ca="1" si="482"/>
        <v/>
      </c>
      <c r="DG161" s="508" t="str">
        <f t="shared" ca="1" si="483"/>
        <v/>
      </c>
      <c r="DH161" s="508" t="str">
        <f t="shared" ca="1" si="484"/>
        <v/>
      </c>
      <c r="DI161" s="508" t="str">
        <f t="shared" ca="1" si="485"/>
        <v/>
      </c>
      <c r="DJ161" s="508" t="str">
        <f t="shared" ca="1" si="486"/>
        <v/>
      </c>
      <c r="DK161" s="353">
        <f t="shared" ca="1" si="487"/>
        <v>0</v>
      </c>
      <c r="DL161" s="781">
        <f t="shared" ca="1" si="488"/>
        <v>0</v>
      </c>
      <c r="DM161" s="303">
        <f t="shared" ca="1" si="489"/>
        <v>0</v>
      </c>
      <c r="DN161" s="508" t="str">
        <f t="shared" ca="1" si="490"/>
        <v/>
      </c>
      <c r="DO161" s="508" t="str">
        <f t="shared" ca="1" si="491"/>
        <v/>
      </c>
      <c r="DP161" s="508" t="str">
        <f t="shared" ca="1" si="492"/>
        <v/>
      </c>
      <c r="DQ161" s="508" t="str">
        <f t="shared" ca="1" si="493"/>
        <v/>
      </c>
      <c r="DR161" s="508" t="str">
        <f t="shared" ca="1" si="494"/>
        <v/>
      </c>
      <c r="DS161" s="353">
        <f t="shared" ca="1" si="495"/>
        <v>0</v>
      </c>
      <c r="DT161" s="353">
        <f t="shared" ca="1" si="496"/>
        <v>0</v>
      </c>
      <c r="DU161" s="380">
        <f t="shared" ca="1" si="596"/>
        <v>12.082135523613964</v>
      </c>
      <c r="DV161" s="303">
        <f t="shared" ca="1" si="497"/>
        <v>0</v>
      </c>
      <c r="DW161" s="303">
        <f t="shared" ca="1" si="498"/>
        <v>0</v>
      </c>
      <c r="DX161" s="303">
        <f t="shared" ca="1" si="499"/>
        <v>0</v>
      </c>
      <c r="DY161" s="303">
        <f t="shared" ca="1" si="500"/>
        <v>0</v>
      </c>
      <c r="DZ161" s="303">
        <f t="shared" ca="1" si="501"/>
        <v>0</v>
      </c>
      <c r="EA161" s="303">
        <f t="shared" ca="1" si="502"/>
        <v>0</v>
      </c>
      <c r="EB161" s="302">
        <f t="shared" ca="1" si="503"/>
        <v>0</v>
      </c>
      <c r="EC161" s="299">
        <f t="shared" ca="1" si="504"/>
        <v>0</v>
      </c>
      <c r="ED161" s="299">
        <f t="shared" ca="1" si="505"/>
        <v>0</v>
      </c>
      <c r="EE161" s="299">
        <f t="shared" ca="1" si="506"/>
        <v>0</v>
      </c>
      <c r="EF161" s="299">
        <f t="shared" ca="1" si="507"/>
        <v>0</v>
      </c>
      <c r="EG161" s="299">
        <f t="shared" ca="1" si="508"/>
        <v>0</v>
      </c>
      <c r="EH161" s="302">
        <f t="shared" ca="1" si="509"/>
        <v>0</v>
      </c>
      <c r="EI161" s="304" t="str">
        <f t="shared" ca="1" si="510"/>
        <v/>
      </c>
      <c r="EJ161" s="305" t="str">
        <f t="shared" ca="1" si="511"/>
        <v/>
      </c>
      <c r="EK161" s="305" t="str">
        <f t="shared" ca="1" si="512"/>
        <v/>
      </c>
      <c r="EL161" s="305" t="str">
        <f t="shared" ca="1" si="513"/>
        <v/>
      </c>
      <c r="EM161" s="305" t="str">
        <f t="shared" ca="1" si="514"/>
        <v/>
      </c>
      <c r="EN161" s="305" t="str">
        <f t="shared" ca="1" si="515"/>
        <v/>
      </c>
      <c r="EO161" s="305" t="str">
        <f t="shared" ca="1" si="516"/>
        <v/>
      </c>
      <c r="EP161" s="305" t="str">
        <f t="shared" ca="1" si="517"/>
        <v/>
      </c>
      <c r="EQ161" s="305" t="str">
        <f t="shared" ca="1" si="518"/>
        <v/>
      </c>
      <c r="ER161" s="305" t="str">
        <f t="shared" ca="1" si="519"/>
        <v/>
      </c>
      <c r="ES161" s="305" t="str">
        <f t="shared" ca="1" si="520"/>
        <v/>
      </c>
      <c r="ET161" s="299">
        <f t="shared" ca="1" si="521"/>
        <v>0</v>
      </c>
      <c r="EU161" s="302">
        <f t="shared" ca="1" si="522"/>
        <v>0</v>
      </c>
      <c r="EV161" s="304" t="str">
        <f t="shared" ca="1" si="523"/>
        <v/>
      </c>
      <c r="EW161" s="305" t="str">
        <f t="shared" ca="1" si="524"/>
        <v/>
      </c>
      <c r="EX161" s="305" t="str">
        <f t="shared" ca="1" si="525"/>
        <v/>
      </c>
      <c r="EY161" s="305" t="str">
        <f t="shared" ca="1" si="526"/>
        <v/>
      </c>
      <c r="EZ161" s="305" t="str">
        <f t="shared" ca="1" si="527"/>
        <v/>
      </c>
      <c r="FA161" s="305" t="str">
        <f t="shared" ca="1" si="528"/>
        <v/>
      </c>
      <c r="FB161" s="305" t="str">
        <f t="shared" ca="1" si="529"/>
        <v/>
      </c>
      <c r="FC161" s="305" t="str">
        <f t="shared" ca="1" si="530"/>
        <v/>
      </c>
      <c r="FD161" s="305" t="str">
        <f t="shared" ca="1" si="531"/>
        <v/>
      </c>
      <c r="FE161" s="305" t="str">
        <f t="shared" ca="1" si="532"/>
        <v/>
      </c>
      <c r="FF161" s="305" t="str">
        <f t="shared" ca="1" si="533"/>
        <v/>
      </c>
      <c r="FG161" s="299">
        <f t="shared" ca="1" si="534"/>
        <v>0</v>
      </c>
      <c r="FH161" s="302">
        <f t="shared" ca="1" si="535"/>
        <v>0</v>
      </c>
      <c r="FI161" s="248">
        <f t="shared" ca="1" si="536"/>
        <v>0</v>
      </c>
      <c r="FJ161" s="363">
        <f t="shared" ca="1" si="537"/>
        <v>0</v>
      </c>
      <c r="FK161" s="378" t="str">
        <f t="shared" ca="1" si="538"/>
        <v/>
      </c>
      <c r="FL161" s="508" t="str">
        <f t="shared" ca="1" si="539"/>
        <v/>
      </c>
      <c r="FM161" s="508" t="str">
        <f t="shared" ca="1" si="540"/>
        <v/>
      </c>
      <c r="FN161" s="508" t="str">
        <f t="shared" ca="1" si="541"/>
        <v/>
      </c>
      <c r="FO161" s="508" t="str">
        <f t="shared" ca="1" si="542"/>
        <v/>
      </c>
      <c r="FP161" s="353">
        <f t="shared" ca="1" si="543"/>
        <v>0</v>
      </c>
      <c r="FQ161" s="356">
        <f t="shared" ca="1" si="544"/>
        <v>0</v>
      </c>
      <c r="FR161" s="380">
        <f t="shared" ca="1" si="545"/>
        <v>0</v>
      </c>
      <c r="FS161" s="299">
        <f t="shared" ca="1" si="546"/>
        <v>0</v>
      </c>
      <c r="FT161" s="299">
        <f t="shared" ca="1" si="547"/>
        <v>0</v>
      </c>
      <c r="FU161" s="299">
        <f t="shared" ca="1" si="548"/>
        <v>0</v>
      </c>
      <c r="FV161" s="299">
        <f t="shared" ca="1" si="549"/>
        <v>0</v>
      </c>
      <c r="FW161" s="850" t="str">
        <f t="shared" ca="1" si="550"/>
        <v/>
      </c>
      <c r="FX161" s="851" t="str">
        <f t="shared" ca="1" si="551"/>
        <v/>
      </c>
      <c r="FY161" s="851" t="str">
        <f t="shared" ca="1" si="552"/>
        <v/>
      </c>
      <c r="FZ161" s="201" t="str">
        <f t="shared" ca="1" si="553"/>
        <v/>
      </c>
      <c r="GA161" s="201" t="str">
        <f t="shared" ca="1" si="554"/>
        <v/>
      </c>
      <c r="GB161" s="201" t="str">
        <f t="shared" ca="1" si="555"/>
        <v/>
      </c>
      <c r="GC161" s="201" t="str">
        <f t="shared" ca="1" si="556"/>
        <v/>
      </c>
      <c r="GD161" s="850" t="str">
        <f t="shared" ca="1" si="557"/>
        <v/>
      </c>
      <c r="GE161" s="866" t="str">
        <f t="shared" ca="1" si="558"/>
        <v/>
      </c>
      <c r="GF161" s="866" t="str">
        <f t="shared" ca="1" si="559"/>
        <v/>
      </c>
      <c r="GG161" s="866" t="str">
        <f t="shared" ca="1" si="560"/>
        <v/>
      </c>
      <c r="GH161" s="866" t="str">
        <f t="shared" ca="1" si="561"/>
        <v/>
      </c>
      <c r="GI161" s="302">
        <f t="shared" ca="1" si="562"/>
        <v>0</v>
      </c>
      <c r="GJ161" s="299">
        <f t="shared" ca="1" si="563"/>
        <v>0</v>
      </c>
      <c r="GK161" s="299">
        <f t="shared" ca="1" si="564"/>
        <v>0</v>
      </c>
      <c r="GL161" s="299">
        <f t="shared" ca="1" si="565"/>
        <v>0</v>
      </c>
      <c r="GM161" s="299">
        <f t="shared" ca="1" si="566"/>
        <v>0</v>
      </c>
      <c r="GN161" s="302">
        <f t="shared" ca="1" si="567"/>
        <v>0</v>
      </c>
      <c r="GO161" s="299">
        <f t="shared" ca="1" si="568"/>
        <v>0</v>
      </c>
      <c r="GP161" s="299">
        <f t="shared" ca="1" si="569"/>
        <v>0</v>
      </c>
      <c r="GQ161" s="299">
        <f t="shared" ca="1" si="570"/>
        <v>0</v>
      </c>
      <c r="GR161" s="299">
        <f t="shared" ca="1" si="571"/>
        <v>0</v>
      </c>
      <c r="GS161" s="302">
        <f t="shared" ca="1" si="572"/>
        <v>0</v>
      </c>
      <c r="GT161" s="299">
        <f t="shared" ca="1" si="573"/>
        <v>0</v>
      </c>
      <c r="GU161" s="299">
        <f t="shared" ca="1" si="574"/>
        <v>0</v>
      </c>
      <c r="GV161" s="299">
        <f t="shared" ca="1" si="575"/>
        <v>0</v>
      </c>
      <c r="GW161" s="299">
        <f t="shared" ca="1" si="576"/>
        <v>0</v>
      </c>
      <c r="GX161" s="303">
        <f t="shared" ca="1" si="577"/>
        <v>0</v>
      </c>
      <c r="GY161" s="303">
        <f t="shared" ca="1" si="578"/>
        <v>0</v>
      </c>
      <c r="GZ161" s="303">
        <f t="shared" ca="1" si="579"/>
        <v>0</v>
      </c>
      <c r="HA161" s="303">
        <f t="shared" ca="1" si="580"/>
        <v>0</v>
      </c>
      <c r="HB161" s="303">
        <f t="shared" ca="1" si="581"/>
        <v>0</v>
      </c>
      <c r="HC161" s="303">
        <f t="shared" ca="1" si="582"/>
        <v>0</v>
      </c>
      <c r="HD161" s="303">
        <f t="shared" ca="1" si="583"/>
        <v>0</v>
      </c>
      <c r="HE161" s="303">
        <f t="shared" ca="1" si="584"/>
        <v>0</v>
      </c>
      <c r="HF161" s="303">
        <f t="shared" ca="1" si="585"/>
        <v>0</v>
      </c>
      <c r="HG161" s="852">
        <f t="shared" ca="1" si="586"/>
        <v>0</v>
      </c>
    </row>
    <row r="162" spans="1:215" x14ac:dyDescent="0.25">
      <c r="A162" s="244">
        <f t="shared" ca="1" si="587"/>
        <v>41030</v>
      </c>
      <c r="B162" s="13">
        <f t="shared" ca="1" si="609"/>
        <v>2012</v>
      </c>
      <c r="C162" s="619">
        <f t="shared" ca="1" si="610"/>
        <v>5</v>
      </c>
      <c r="D162" s="195">
        <f t="shared" ca="1" si="417"/>
        <v>41057</v>
      </c>
      <c r="E162" s="469" t="str">
        <f t="shared" ca="1" si="418"/>
        <v/>
      </c>
      <c r="F162" s="465" t="str">
        <f t="shared" ca="1" si="419"/>
        <v/>
      </c>
      <c r="G162" s="522">
        <f t="shared" ca="1" si="588"/>
        <v>1</v>
      </c>
      <c r="H162" s="519">
        <f t="shared" ca="1" si="589"/>
        <v>1</v>
      </c>
      <c r="I162" s="724">
        <f t="shared" ca="1" si="611"/>
        <v>7.4197153862938001E-2</v>
      </c>
      <c r="J162" s="198">
        <f t="shared" ca="1" si="421"/>
        <v>0.40812222049434665</v>
      </c>
      <c r="K162" s="200">
        <f t="shared" ca="1" si="597"/>
        <v>33.17</v>
      </c>
      <c r="L162" s="201">
        <f t="shared" ca="1" si="598"/>
        <v>35.65</v>
      </c>
      <c r="M162" s="206">
        <f t="shared" ca="1" si="599"/>
        <v>38.130000000000003</v>
      </c>
      <c r="N162" s="851">
        <f t="shared" ca="1" si="603"/>
        <v>21.572500076293938</v>
      </c>
      <c r="O162" s="201">
        <f t="shared" ca="1" si="604"/>
        <v>23.432500076293937</v>
      </c>
      <c r="P162" s="206">
        <f t="shared" ca="1" si="605"/>
        <v>25.292500076293937</v>
      </c>
      <c r="Q162" s="201">
        <f t="shared" ca="1" si="606"/>
        <v>18.264999771118156</v>
      </c>
      <c r="R162" s="201">
        <f t="shared" ca="1" si="607"/>
        <v>22.564999771118156</v>
      </c>
      <c r="S162" s="201">
        <f t="shared" ca="1" si="608"/>
        <v>26.864999771118157</v>
      </c>
      <c r="T162" s="851">
        <f t="shared" ca="1" si="600"/>
        <v>19.159997711181639</v>
      </c>
      <c r="U162" s="201">
        <f t="shared" ca="1" si="601"/>
        <v>20.399997711181637</v>
      </c>
      <c r="V162" s="206">
        <f t="shared" ca="1" si="602"/>
        <v>21.639997711181636</v>
      </c>
      <c r="W162" s="230">
        <f t="shared" ca="1" si="590"/>
        <v>7.7683872602657494E-2</v>
      </c>
      <c r="X162" s="231">
        <f t="shared" ca="1" si="591"/>
        <v>0.15536774520531499</v>
      </c>
      <c r="Y162" s="232">
        <f t="shared" ca="1" si="592"/>
        <v>0.23305161780797248</v>
      </c>
      <c r="Z162" s="231">
        <f t="shared" ca="1" si="612"/>
        <v>7.7683872602657494E-2</v>
      </c>
      <c r="AA162" s="231">
        <f t="shared" ca="1" si="613"/>
        <v>0.15536774520531499</v>
      </c>
      <c r="AB162" s="232">
        <f t="shared" ca="1" si="614"/>
        <v>0.23305161780797248</v>
      </c>
      <c r="AC162" s="231">
        <f t="shared" ca="1" si="615"/>
        <v>7.7683872602657494E-2</v>
      </c>
      <c r="AD162" s="231">
        <f t="shared" ca="1" si="616"/>
        <v>0.15536774520531499</v>
      </c>
      <c r="AE162" s="232">
        <f t="shared" ca="1" si="422"/>
        <v>0.23305161780797248</v>
      </c>
      <c r="AF162" s="231">
        <f t="shared" ca="1" si="593"/>
        <v>2.7465085330718002E-2</v>
      </c>
      <c r="AG162" s="231">
        <f t="shared" ca="1" si="594"/>
        <v>5.4930170661436004E-2</v>
      </c>
      <c r="AH162" s="232">
        <f t="shared" ca="1" si="595"/>
        <v>8.2395255992153998E-2</v>
      </c>
      <c r="AI162" s="233">
        <f t="shared" ca="1" si="423"/>
        <v>0.85000000000000009</v>
      </c>
      <c r="AJ162" s="233">
        <f t="shared" ca="1" si="424"/>
        <v>1.1000000000000001</v>
      </c>
      <c r="AK162" s="234">
        <f t="shared" ca="1" si="425"/>
        <v>1.4000000000000001</v>
      </c>
      <c r="AL162" s="919">
        <f t="shared" ca="1" si="426"/>
        <v>0.85000000000000009</v>
      </c>
      <c r="AM162" s="233">
        <f t="shared" ca="1" si="427"/>
        <v>1.1000000000000001</v>
      </c>
      <c r="AN162" s="234">
        <f t="shared" ca="1" si="428"/>
        <v>1.4000000000000001</v>
      </c>
      <c r="AO162" s="233">
        <f t="shared" ca="1" si="429"/>
        <v>0.85000000000000009</v>
      </c>
      <c r="AP162" s="233">
        <f t="shared" ca="1" si="430"/>
        <v>1.1000000000000001</v>
      </c>
      <c r="AQ162" s="233">
        <f t="shared" ca="1" si="431"/>
        <v>1.4000000000000001</v>
      </c>
      <c r="AR162" s="919">
        <f t="shared" ca="1" si="432"/>
        <v>0.35</v>
      </c>
      <c r="AS162" s="233">
        <f t="shared" ca="1" si="433"/>
        <v>0.5</v>
      </c>
      <c r="AT162" s="235">
        <f t="shared" ca="1" si="434"/>
        <v>0.7</v>
      </c>
      <c r="AU162" s="946">
        <f t="shared" si="435"/>
        <v>0.5</v>
      </c>
      <c r="AV162" s="13">
        <f t="shared" ca="1" si="436"/>
        <v>0</v>
      </c>
      <c r="AW162" s="210">
        <f t="shared" ca="1" si="437"/>
        <v>0</v>
      </c>
      <c r="AX162" s="210">
        <f t="shared" ca="1" si="438"/>
        <v>0</v>
      </c>
      <c r="AY162" s="210">
        <f t="shared" ca="1" si="439"/>
        <v>0</v>
      </c>
      <c r="AZ162" s="13">
        <f t="shared" ca="1" si="440"/>
        <v>0</v>
      </c>
      <c r="BA162" s="357">
        <f ca="1"/>
        <v>0</v>
      </c>
      <c r="BB162" s="925">
        <f ca="1"/>
        <v>0</v>
      </c>
      <c r="BC162" s="925">
        <f ca="1"/>
        <v>0</v>
      </c>
      <c r="BD162" s="928">
        <f ca="1"/>
        <v>0</v>
      </c>
      <c r="BE162" s="200">
        <f ca="1"/>
        <v>0</v>
      </c>
      <c r="BF162" s="851">
        <f ca="1"/>
        <v>0</v>
      </c>
      <c r="BG162" s="851">
        <f ca="1"/>
        <v>0</v>
      </c>
      <c r="BH162" s="933">
        <f ca="1"/>
        <v>0</v>
      </c>
      <c r="BI162" s="357">
        <f ca="1"/>
        <v>0</v>
      </c>
      <c r="BJ162" s="925">
        <f ca="1"/>
        <v>0</v>
      </c>
      <c r="BK162" s="925">
        <f ca="1"/>
        <v>0</v>
      </c>
      <c r="BL162" s="928">
        <f ca="1"/>
        <v>0</v>
      </c>
      <c r="BM162" s="200">
        <f ca="1"/>
        <v>0</v>
      </c>
      <c r="BN162" s="851">
        <f ca="1"/>
        <v>0</v>
      </c>
      <c r="BO162" s="851">
        <f ca="1"/>
        <v>0</v>
      </c>
      <c r="BP162" s="933">
        <f ca="1"/>
        <v>0</v>
      </c>
      <c r="BQ162" s="357">
        <f t="shared" ca="1" si="441"/>
        <v>0</v>
      </c>
      <c r="BR162" s="361">
        <f t="shared" ca="1" si="442"/>
        <v>0</v>
      </c>
      <c r="BS162" s="357">
        <f t="shared" ca="1" si="443"/>
        <v>0</v>
      </c>
      <c r="BT162" s="302">
        <f t="shared" ca="1" si="444"/>
        <v>0</v>
      </c>
      <c r="BU162" s="299">
        <f t="shared" ca="1" si="445"/>
        <v>0</v>
      </c>
      <c r="BV162" s="299">
        <f t="shared" ca="1" si="446"/>
        <v>0</v>
      </c>
      <c r="BW162" s="299">
        <f t="shared" ca="1" si="447"/>
        <v>0</v>
      </c>
      <c r="BX162" s="380">
        <f t="shared" ca="1" si="448"/>
        <v>12.164271047227926</v>
      </c>
      <c r="BY162" s="363">
        <f t="shared" ca="1" si="449"/>
        <v>0</v>
      </c>
      <c r="BZ162" s="353">
        <f t="shared" ca="1" si="450"/>
        <v>0</v>
      </c>
      <c r="CA162" s="353">
        <f t="shared" ca="1" si="451"/>
        <v>0</v>
      </c>
      <c r="CB162" s="353">
        <f t="shared" ca="1" si="452"/>
        <v>0</v>
      </c>
      <c r="CC162" s="353">
        <f t="shared" ca="1" si="453"/>
        <v>0</v>
      </c>
      <c r="CD162" s="353">
        <f t="shared" ca="1" si="454"/>
        <v>0</v>
      </c>
      <c r="CE162" s="302">
        <f t="shared" ca="1" si="455"/>
        <v>0</v>
      </c>
      <c r="CF162" s="299">
        <f t="shared" ca="1" si="456"/>
        <v>0</v>
      </c>
      <c r="CG162" s="299">
        <f t="shared" ca="1" si="457"/>
        <v>0</v>
      </c>
      <c r="CH162" s="299">
        <f t="shared" ca="1" si="458"/>
        <v>0</v>
      </c>
      <c r="CI162" s="299">
        <f t="shared" ca="1" si="459"/>
        <v>0</v>
      </c>
      <c r="CJ162" s="299">
        <f t="shared" ca="1" si="460"/>
        <v>0</v>
      </c>
      <c r="CK162" s="299">
        <f t="shared" ca="1" si="461"/>
        <v>0</v>
      </c>
      <c r="CL162" s="377" t="str">
        <f t="shared" ca="1" si="462"/>
        <v/>
      </c>
      <c r="CM162" s="305" t="str">
        <f t="shared" ca="1" si="463"/>
        <v/>
      </c>
      <c r="CN162" s="305" t="str">
        <f t="shared" ca="1" si="464"/>
        <v/>
      </c>
      <c r="CO162" s="305" t="str">
        <f t="shared" ca="1" si="465"/>
        <v/>
      </c>
      <c r="CP162" s="305" t="str">
        <f t="shared" ca="1" si="466"/>
        <v/>
      </c>
      <c r="CQ162" s="305" t="str">
        <f t="shared" ca="1" si="467"/>
        <v/>
      </c>
      <c r="CR162" s="775" t="str">
        <f t="shared" ca="1" si="468"/>
        <v/>
      </c>
      <c r="CS162" s="305" t="str">
        <f t="shared" ca="1" si="469"/>
        <v/>
      </c>
      <c r="CT162" s="305" t="str">
        <f t="shared" ca="1" si="470"/>
        <v/>
      </c>
      <c r="CU162" s="305" t="str">
        <f t="shared" ca="1" si="471"/>
        <v/>
      </c>
      <c r="CV162" s="770" t="str">
        <f t="shared" ca="1" si="472"/>
        <v/>
      </c>
      <c r="CW162" s="302">
        <f t="shared" ca="1" si="473"/>
        <v>0</v>
      </c>
      <c r="CX162" s="299">
        <f t="shared" ca="1" si="474"/>
        <v>0</v>
      </c>
      <c r="CY162" s="299">
        <f t="shared" ca="1" si="475"/>
        <v>0</v>
      </c>
      <c r="CZ162" s="299">
        <f t="shared" ca="1" si="476"/>
        <v>0</v>
      </c>
      <c r="DA162" s="774">
        <f t="shared" ca="1" si="477"/>
        <v>0</v>
      </c>
      <c r="DB162" s="303">
        <f t="shared" ca="1" si="478"/>
        <v>0</v>
      </c>
      <c r="DC162" s="248">
        <f t="shared" ca="1" si="479"/>
        <v>0</v>
      </c>
      <c r="DD162" s="778">
        <f t="shared" ca="1" si="480"/>
        <v>0</v>
      </c>
      <c r="DE162" s="363">
        <f t="shared" ca="1" si="481"/>
        <v>0</v>
      </c>
      <c r="DF162" s="378" t="str">
        <f t="shared" ca="1" si="482"/>
        <v/>
      </c>
      <c r="DG162" s="508" t="str">
        <f t="shared" ca="1" si="483"/>
        <v/>
      </c>
      <c r="DH162" s="508" t="str">
        <f t="shared" ca="1" si="484"/>
        <v/>
      </c>
      <c r="DI162" s="508" t="str">
        <f t="shared" ca="1" si="485"/>
        <v/>
      </c>
      <c r="DJ162" s="508" t="str">
        <f t="shared" ca="1" si="486"/>
        <v/>
      </c>
      <c r="DK162" s="353">
        <f t="shared" ca="1" si="487"/>
        <v>0</v>
      </c>
      <c r="DL162" s="781">
        <f t="shared" ca="1" si="488"/>
        <v>0</v>
      </c>
      <c r="DM162" s="303">
        <f t="shared" ca="1" si="489"/>
        <v>0</v>
      </c>
      <c r="DN162" s="508" t="str">
        <f t="shared" ca="1" si="490"/>
        <v/>
      </c>
      <c r="DO162" s="508" t="str">
        <f t="shared" ca="1" si="491"/>
        <v/>
      </c>
      <c r="DP162" s="508" t="str">
        <f t="shared" ca="1" si="492"/>
        <v/>
      </c>
      <c r="DQ162" s="508" t="str">
        <f t="shared" ca="1" si="493"/>
        <v/>
      </c>
      <c r="DR162" s="508" t="str">
        <f t="shared" ca="1" si="494"/>
        <v/>
      </c>
      <c r="DS162" s="353">
        <f t="shared" ca="1" si="495"/>
        <v>0</v>
      </c>
      <c r="DT162" s="353">
        <f t="shared" ca="1" si="496"/>
        <v>0</v>
      </c>
      <c r="DU162" s="380">
        <f t="shared" ca="1" si="596"/>
        <v>12.164271047227926</v>
      </c>
      <c r="DV162" s="303">
        <f t="shared" ca="1" si="497"/>
        <v>0</v>
      </c>
      <c r="DW162" s="303">
        <f t="shared" ca="1" si="498"/>
        <v>0</v>
      </c>
      <c r="DX162" s="303">
        <f t="shared" ca="1" si="499"/>
        <v>0</v>
      </c>
      <c r="DY162" s="303">
        <f t="shared" ca="1" si="500"/>
        <v>0</v>
      </c>
      <c r="DZ162" s="303">
        <f t="shared" ca="1" si="501"/>
        <v>0</v>
      </c>
      <c r="EA162" s="303">
        <f t="shared" ca="1" si="502"/>
        <v>0</v>
      </c>
      <c r="EB162" s="302">
        <f t="shared" ca="1" si="503"/>
        <v>0</v>
      </c>
      <c r="EC162" s="299">
        <f t="shared" ca="1" si="504"/>
        <v>0</v>
      </c>
      <c r="ED162" s="299">
        <f t="shared" ca="1" si="505"/>
        <v>0</v>
      </c>
      <c r="EE162" s="299">
        <f t="shared" ca="1" si="506"/>
        <v>0</v>
      </c>
      <c r="EF162" s="299">
        <f t="shared" ca="1" si="507"/>
        <v>0</v>
      </c>
      <c r="EG162" s="299">
        <f t="shared" ca="1" si="508"/>
        <v>0</v>
      </c>
      <c r="EH162" s="302">
        <f t="shared" ca="1" si="509"/>
        <v>0</v>
      </c>
      <c r="EI162" s="304" t="str">
        <f t="shared" ca="1" si="510"/>
        <v/>
      </c>
      <c r="EJ162" s="305" t="str">
        <f t="shared" ca="1" si="511"/>
        <v/>
      </c>
      <c r="EK162" s="305" t="str">
        <f t="shared" ca="1" si="512"/>
        <v/>
      </c>
      <c r="EL162" s="305" t="str">
        <f t="shared" ca="1" si="513"/>
        <v/>
      </c>
      <c r="EM162" s="305" t="str">
        <f t="shared" ca="1" si="514"/>
        <v/>
      </c>
      <c r="EN162" s="305" t="str">
        <f t="shared" ca="1" si="515"/>
        <v/>
      </c>
      <c r="EO162" s="305" t="str">
        <f t="shared" ca="1" si="516"/>
        <v/>
      </c>
      <c r="EP162" s="305" t="str">
        <f t="shared" ca="1" si="517"/>
        <v/>
      </c>
      <c r="EQ162" s="305" t="str">
        <f t="shared" ca="1" si="518"/>
        <v/>
      </c>
      <c r="ER162" s="305" t="str">
        <f t="shared" ca="1" si="519"/>
        <v/>
      </c>
      <c r="ES162" s="305" t="str">
        <f t="shared" ca="1" si="520"/>
        <v/>
      </c>
      <c r="ET162" s="299">
        <f t="shared" ca="1" si="521"/>
        <v>0</v>
      </c>
      <c r="EU162" s="302">
        <f t="shared" ca="1" si="522"/>
        <v>0</v>
      </c>
      <c r="EV162" s="304" t="str">
        <f t="shared" ca="1" si="523"/>
        <v/>
      </c>
      <c r="EW162" s="305" t="str">
        <f t="shared" ca="1" si="524"/>
        <v/>
      </c>
      <c r="EX162" s="305" t="str">
        <f t="shared" ca="1" si="525"/>
        <v/>
      </c>
      <c r="EY162" s="305" t="str">
        <f t="shared" ca="1" si="526"/>
        <v/>
      </c>
      <c r="EZ162" s="305" t="str">
        <f t="shared" ca="1" si="527"/>
        <v/>
      </c>
      <c r="FA162" s="305" t="str">
        <f t="shared" ca="1" si="528"/>
        <v/>
      </c>
      <c r="FB162" s="305" t="str">
        <f t="shared" ca="1" si="529"/>
        <v/>
      </c>
      <c r="FC162" s="305" t="str">
        <f t="shared" ca="1" si="530"/>
        <v/>
      </c>
      <c r="FD162" s="305" t="str">
        <f t="shared" ca="1" si="531"/>
        <v/>
      </c>
      <c r="FE162" s="305" t="str">
        <f t="shared" ca="1" si="532"/>
        <v/>
      </c>
      <c r="FF162" s="305" t="str">
        <f t="shared" ca="1" si="533"/>
        <v/>
      </c>
      <c r="FG162" s="299">
        <f t="shared" ca="1" si="534"/>
        <v>0</v>
      </c>
      <c r="FH162" s="302">
        <f t="shared" ca="1" si="535"/>
        <v>0</v>
      </c>
      <c r="FI162" s="248">
        <f t="shared" ca="1" si="536"/>
        <v>0</v>
      </c>
      <c r="FJ162" s="363">
        <f t="shared" ca="1" si="537"/>
        <v>0</v>
      </c>
      <c r="FK162" s="378" t="str">
        <f t="shared" ca="1" si="538"/>
        <v/>
      </c>
      <c r="FL162" s="508" t="str">
        <f t="shared" ca="1" si="539"/>
        <v/>
      </c>
      <c r="FM162" s="508" t="str">
        <f t="shared" ca="1" si="540"/>
        <v/>
      </c>
      <c r="FN162" s="508" t="str">
        <f t="shared" ca="1" si="541"/>
        <v/>
      </c>
      <c r="FO162" s="508" t="str">
        <f t="shared" ca="1" si="542"/>
        <v/>
      </c>
      <c r="FP162" s="353">
        <f t="shared" ca="1" si="543"/>
        <v>0</v>
      </c>
      <c r="FQ162" s="356">
        <f t="shared" ca="1" si="544"/>
        <v>0</v>
      </c>
      <c r="FR162" s="380">
        <f t="shared" ca="1" si="545"/>
        <v>0</v>
      </c>
      <c r="FS162" s="299">
        <f t="shared" ca="1" si="546"/>
        <v>0</v>
      </c>
      <c r="FT162" s="299">
        <f t="shared" ca="1" si="547"/>
        <v>0</v>
      </c>
      <c r="FU162" s="299">
        <f t="shared" ca="1" si="548"/>
        <v>0</v>
      </c>
      <c r="FV162" s="299">
        <f t="shared" ca="1" si="549"/>
        <v>0</v>
      </c>
      <c r="FW162" s="850" t="str">
        <f t="shared" ca="1" si="550"/>
        <v/>
      </c>
      <c r="FX162" s="851" t="str">
        <f t="shared" ca="1" si="551"/>
        <v/>
      </c>
      <c r="FY162" s="851" t="str">
        <f t="shared" ca="1" si="552"/>
        <v/>
      </c>
      <c r="FZ162" s="201" t="str">
        <f t="shared" ca="1" si="553"/>
        <v/>
      </c>
      <c r="GA162" s="201" t="str">
        <f t="shared" ca="1" si="554"/>
        <v/>
      </c>
      <c r="GB162" s="201" t="str">
        <f t="shared" ca="1" si="555"/>
        <v/>
      </c>
      <c r="GC162" s="201" t="str">
        <f t="shared" ca="1" si="556"/>
        <v/>
      </c>
      <c r="GD162" s="850" t="str">
        <f t="shared" ca="1" si="557"/>
        <v/>
      </c>
      <c r="GE162" s="866" t="str">
        <f t="shared" ca="1" si="558"/>
        <v/>
      </c>
      <c r="GF162" s="866" t="str">
        <f t="shared" ca="1" si="559"/>
        <v/>
      </c>
      <c r="GG162" s="866" t="str">
        <f t="shared" ca="1" si="560"/>
        <v/>
      </c>
      <c r="GH162" s="866" t="str">
        <f t="shared" ca="1" si="561"/>
        <v/>
      </c>
      <c r="GI162" s="302">
        <f t="shared" ca="1" si="562"/>
        <v>0</v>
      </c>
      <c r="GJ162" s="299">
        <f t="shared" ca="1" si="563"/>
        <v>0</v>
      </c>
      <c r="GK162" s="299">
        <f t="shared" ca="1" si="564"/>
        <v>0</v>
      </c>
      <c r="GL162" s="299">
        <f t="shared" ca="1" si="565"/>
        <v>0</v>
      </c>
      <c r="GM162" s="299">
        <f t="shared" ca="1" si="566"/>
        <v>0</v>
      </c>
      <c r="GN162" s="302">
        <f t="shared" ca="1" si="567"/>
        <v>0</v>
      </c>
      <c r="GO162" s="299">
        <f t="shared" ca="1" si="568"/>
        <v>0</v>
      </c>
      <c r="GP162" s="299">
        <f t="shared" ca="1" si="569"/>
        <v>0</v>
      </c>
      <c r="GQ162" s="299">
        <f t="shared" ca="1" si="570"/>
        <v>0</v>
      </c>
      <c r="GR162" s="299">
        <f t="shared" ca="1" si="571"/>
        <v>0</v>
      </c>
      <c r="GS162" s="302">
        <f t="shared" ca="1" si="572"/>
        <v>0</v>
      </c>
      <c r="GT162" s="299">
        <f t="shared" ca="1" si="573"/>
        <v>0</v>
      </c>
      <c r="GU162" s="299">
        <f t="shared" ca="1" si="574"/>
        <v>0</v>
      </c>
      <c r="GV162" s="299">
        <f t="shared" ca="1" si="575"/>
        <v>0</v>
      </c>
      <c r="GW162" s="299">
        <f t="shared" ca="1" si="576"/>
        <v>0</v>
      </c>
      <c r="GX162" s="303">
        <f t="shared" ca="1" si="577"/>
        <v>0</v>
      </c>
      <c r="GY162" s="303">
        <f t="shared" ca="1" si="578"/>
        <v>0</v>
      </c>
      <c r="GZ162" s="303">
        <f t="shared" ca="1" si="579"/>
        <v>0</v>
      </c>
      <c r="HA162" s="303">
        <f t="shared" ca="1" si="580"/>
        <v>0</v>
      </c>
      <c r="HB162" s="303">
        <f t="shared" ca="1" si="581"/>
        <v>0</v>
      </c>
      <c r="HC162" s="303">
        <f t="shared" ca="1" si="582"/>
        <v>0</v>
      </c>
      <c r="HD162" s="303">
        <f t="shared" ca="1" si="583"/>
        <v>0</v>
      </c>
      <c r="HE162" s="303">
        <f t="shared" ca="1" si="584"/>
        <v>0</v>
      </c>
      <c r="HF162" s="303">
        <f t="shared" ca="1" si="585"/>
        <v>0</v>
      </c>
      <c r="HG162" s="852">
        <f t="shared" ca="1" si="586"/>
        <v>0</v>
      </c>
    </row>
    <row r="163" spans="1:215" x14ac:dyDescent="0.25">
      <c r="A163" s="244">
        <f t="shared" ca="1" si="587"/>
        <v>41061</v>
      </c>
      <c r="B163" s="13">
        <f t="shared" ca="1" si="609"/>
        <v>2012</v>
      </c>
      <c r="C163" s="619">
        <f t="shared" ca="1" si="610"/>
        <v>6</v>
      </c>
      <c r="D163" s="195" t="str">
        <f t="shared" ca="1" si="417"/>
        <v/>
      </c>
      <c r="E163" s="469" t="str">
        <f t="shared" ca="1" si="418"/>
        <v/>
      </c>
      <c r="F163" s="465" t="str">
        <f t="shared" ca="1" si="419"/>
        <v/>
      </c>
      <c r="G163" s="522">
        <f t="shared" ca="1" si="588"/>
        <v>1</v>
      </c>
      <c r="H163" s="519">
        <f t="shared" ca="1" si="589"/>
        <v>1</v>
      </c>
      <c r="I163" s="724">
        <f t="shared" ca="1" si="611"/>
        <v>7.4196859145055999E-2</v>
      </c>
      <c r="J163" s="198">
        <f t="shared" ca="1" si="421"/>
        <v>0.40568877829586053</v>
      </c>
      <c r="K163" s="200">
        <f t="shared" ca="1" si="597"/>
        <v>47.14</v>
      </c>
      <c r="L163" s="201">
        <f t="shared" ca="1" si="598"/>
        <v>54.25</v>
      </c>
      <c r="M163" s="206">
        <f t="shared" ca="1" si="599"/>
        <v>61.36</v>
      </c>
      <c r="N163" s="851">
        <f t="shared" ca="1" si="603"/>
        <v>22.526250152587885</v>
      </c>
      <c r="O163" s="201">
        <f t="shared" ca="1" si="604"/>
        <v>27.858750152587884</v>
      </c>
      <c r="P163" s="206">
        <f t="shared" ca="1" si="605"/>
        <v>33.191250152587884</v>
      </c>
      <c r="Q163" s="201">
        <f t="shared" ca="1" si="606"/>
        <v>17.042499542236321</v>
      </c>
      <c r="R163" s="201">
        <f t="shared" ca="1" si="607"/>
        <v>21.342499542236322</v>
      </c>
      <c r="S163" s="201">
        <f t="shared" ca="1" si="608"/>
        <v>25.642499542236322</v>
      </c>
      <c r="T163" s="851">
        <f t="shared" ca="1" si="600"/>
        <v>16.799998779296871</v>
      </c>
      <c r="U163" s="201">
        <f t="shared" ca="1" si="601"/>
        <v>20.354998779296871</v>
      </c>
      <c r="V163" s="206">
        <f t="shared" ca="1" si="602"/>
        <v>23.90999877929687</v>
      </c>
      <c r="W163" s="230">
        <f t="shared" ca="1" si="590"/>
        <v>9.7328805789655706E-2</v>
      </c>
      <c r="X163" s="231">
        <f t="shared" ca="1" si="591"/>
        <v>0.19465761157931141</v>
      </c>
      <c r="Y163" s="232">
        <f t="shared" ca="1" si="592"/>
        <v>0.29198641736896713</v>
      </c>
      <c r="Z163" s="231">
        <f t="shared" ca="1" si="612"/>
        <v>9.7328805789655706E-2</v>
      </c>
      <c r="AA163" s="231">
        <f t="shared" ca="1" si="613"/>
        <v>0.19465761157931141</v>
      </c>
      <c r="AB163" s="232">
        <f t="shared" ca="1" si="614"/>
        <v>0.29198641736896713</v>
      </c>
      <c r="AC163" s="231">
        <f t="shared" ca="1" si="615"/>
        <v>9.7328805789655706E-2</v>
      </c>
      <c r="AD163" s="231">
        <f t="shared" ca="1" si="616"/>
        <v>0.19465761157931141</v>
      </c>
      <c r="AE163" s="232">
        <f t="shared" ca="1" si="422"/>
        <v>0.29198641736896713</v>
      </c>
      <c r="AF163" s="231">
        <f t="shared" ca="1" si="593"/>
        <v>3.5312252568065992E-2</v>
      </c>
      <c r="AG163" s="231">
        <f t="shared" ca="1" si="594"/>
        <v>7.0624505136131985E-2</v>
      </c>
      <c r="AH163" s="232">
        <f t="shared" ca="1" si="595"/>
        <v>0.10593675770419797</v>
      </c>
      <c r="AI163" s="233">
        <f t="shared" ca="1" si="423"/>
        <v>1.65</v>
      </c>
      <c r="AJ163" s="233">
        <f t="shared" ca="1" si="424"/>
        <v>2</v>
      </c>
      <c r="AK163" s="234">
        <f t="shared" ca="1" si="425"/>
        <v>2.2999999999999998</v>
      </c>
      <c r="AL163" s="919">
        <f t="shared" ca="1" si="426"/>
        <v>1.65</v>
      </c>
      <c r="AM163" s="233">
        <f t="shared" ca="1" si="427"/>
        <v>2</v>
      </c>
      <c r="AN163" s="234">
        <f t="shared" ca="1" si="428"/>
        <v>2.2999999999999998</v>
      </c>
      <c r="AO163" s="233">
        <f t="shared" ca="1" si="429"/>
        <v>1.65</v>
      </c>
      <c r="AP163" s="233">
        <f t="shared" ca="1" si="430"/>
        <v>2</v>
      </c>
      <c r="AQ163" s="233">
        <f t="shared" ca="1" si="431"/>
        <v>2.2999999999999998</v>
      </c>
      <c r="AR163" s="919">
        <f t="shared" ca="1" si="432"/>
        <v>0.5</v>
      </c>
      <c r="AS163" s="233">
        <f t="shared" ca="1" si="433"/>
        <v>0.65</v>
      </c>
      <c r="AT163" s="235">
        <f t="shared" ca="1" si="434"/>
        <v>0.85000000000000009</v>
      </c>
      <c r="AU163" s="946">
        <f t="shared" si="435"/>
        <v>0.5</v>
      </c>
      <c r="AV163" s="13">
        <f t="shared" ca="1" si="436"/>
        <v>0</v>
      </c>
      <c r="AW163" s="210">
        <f t="shared" ca="1" si="437"/>
        <v>0</v>
      </c>
      <c r="AX163" s="210">
        <f t="shared" ca="1" si="438"/>
        <v>0</v>
      </c>
      <c r="AY163" s="210">
        <f t="shared" ca="1" si="439"/>
        <v>0</v>
      </c>
      <c r="AZ163" s="13">
        <f t="shared" ca="1" si="440"/>
        <v>0</v>
      </c>
      <c r="BA163" s="357">
        <f ca="1"/>
        <v>0</v>
      </c>
      <c r="BB163" s="925">
        <f ca="1"/>
        <v>0</v>
      </c>
      <c r="BC163" s="925">
        <f ca="1"/>
        <v>0</v>
      </c>
      <c r="BD163" s="928">
        <f ca="1"/>
        <v>0</v>
      </c>
      <c r="BE163" s="200">
        <f ca="1"/>
        <v>0</v>
      </c>
      <c r="BF163" s="851">
        <f ca="1"/>
        <v>0</v>
      </c>
      <c r="BG163" s="851">
        <f ca="1"/>
        <v>0</v>
      </c>
      <c r="BH163" s="933">
        <f ca="1"/>
        <v>0</v>
      </c>
      <c r="BI163" s="357">
        <f ca="1"/>
        <v>0</v>
      </c>
      <c r="BJ163" s="925">
        <f ca="1"/>
        <v>0</v>
      </c>
      <c r="BK163" s="925">
        <f ca="1"/>
        <v>0</v>
      </c>
      <c r="BL163" s="928">
        <f ca="1"/>
        <v>0</v>
      </c>
      <c r="BM163" s="200">
        <f ca="1"/>
        <v>0</v>
      </c>
      <c r="BN163" s="851">
        <f ca="1"/>
        <v>0</v>
      </c>
      <c r="BO163" s="851">
        <f ca="1"/>
        <v>0</v>
      </c>
      <c r="BP163" s="933">
        <f ca="1"/>
        <v>0</v>
      </c>
      <c r="BQ163" s="357">
        <f t="shared" ca="1" si="441"/>
        <v>0</v>
      </c>
      <c r="BR163" s="361">
        <f t="shared" ca="1" si="442"/>
        <v>0</v>
      </c>
      <c r="BS163" s="357">
        <f t="shared" ca="1" si="443"/>
        <v>0</v>
      </c>
      <c r="BT163" s="302">
        <f t="shared" ca="1" si="444"/>
        <v>0</v>
      </c>
      <c r="BU163" s="299">
        <f t="shared" ca="1" si="445"/>
        <v>0</v>
      </c>
      <c r="BV163" s="299">
        <f t="shared" ca="1" si="446"/>
        <v>0</v>
      </c>
      <c r="BW163" s="299">
        <f t="shared" ca="1" si="447"/>
        <v>0</v>
      </c>
      <c r="BX163" s="380">
        <f t="shared" ca="1" si="448"/>
        <v>12.249144421629021</v>
      </c>
      <c r="BY163" s="363">
        <f t="shared" ca="1" si="449"/>
        <v>0</v>
      </c>
      <c r="BZ163" s="353">
        <f t="shared" ca="1" si="450"/>
        <v>0</v>
      </c>
      <c r="CA163" s="353">
        <f t="shared" ca="1" si="451"/>
        <v>0</v>
      </c>
      <c r="CB163" s="353">
        <f t="shared" ca="1" si="452"/>
        <v>0</v>
      </c>
      <c r="CC163" s="353">
        <f t="shared" ca="1" si="453"/>
        <v>0</v>
      </c>
      <c r="CD163" s="353">
        <f t="shared" ca="1" si="454"/>
        <v>0</v>
      </c>
      <c r="CE163" s="302">
        <f t="shared" ca="1" si="455"/>
        <v>0</v>
      </c>
      <c r="CF163" s="299">
        <f t="shared" ca="1" si="456"/>
        <v>0</v>
      </c>
      <c r="CG163" s="299">
        <f t="shared" ca="1" si="457"/>
        <v>0</v>
      </c>
      <c r="CH163" s="299">
        <f t="shared" ca="1" si="458"/>
        <v>0</v>
      </c>
      <c r="CI163" s="299">
        <f t="shared" ca="1" si="459"/>
        <v>0</v>
      </c>
      <c r="CJ163" s="299">
        <f t="shared" ca="1" si="460"/>
        <v>0</v>
      </c>
      <c r="CK163" s="299">
        <f t="shared" ca="1" si="461"/>
        <v>0</v>
      </c>
      <c r="CL163" s="377" t="str">
        <f t="shared" ca="1" si="462"/>
        <v/>
      </c>
      <c r="CM163" s="305" t="str">
        <f t="shared" ca="1" si="463"/>
        <v/>
      </c>
      <c r="CN163" s="305" t="str">
        <f t="shared" ca="1" si="464"/>
        <v/>
      </c>
      <c r="CO163" s="305" t="str">
        <f t="shared" ca="1" si="465"/>
        <v/>
      </c>
      <c r="CP163" s="305" t="str">
        <f t="shared" ca="1" si="466"/>
        <v/>
      </c>
      <c r="CQ163" s="305" t="str">
        <f t="shared" ca="1" si="467"/>
        <v/>
      </c>
      <c r="CR163" s="775" t="str">
        <f t="shared" ca="1" si="468"/>
        <v/>
      </c>
      <c r="CS163" s="305" t="str">
        <f t="shared" ca="1" si="469"/>
        <v/>
      </c>
      <c r="CT163" s="305" t="str">
        <f t="shared" ca="1" si="470"/>
        <v/>
      </c>
      <c r="CU163" s="305" t="str">
        <f t="shared" ca="1" si="471"/>
        <v/>
      </c>
      <c r="CV163" s="770" t="str">
        <f t="shared" ca="1" si="472"/>
        <v/>
      </c>
      <c r="CW163" s="302">
        <f t="shared" ca="1" si="473"/>
        <v>0</v>
      </c>
      <c r="CX163" s="299">
        <f t="shared" ca="1" si="474"/>
        <v>0</v>
      </c>
      <c r="CY163" s="299">
        <f t="shared" ca="1" si="475"/>
        <v>0</v>
      </c>
      <c r="CZ163" s="299">
        <f t="shared" ca="1" si="476"/>
        <v>0</v>
      </c>
      <c r="DA163" s="774">
        <f t="shared" ca="1" si="477"/>
        <v>0</v>
      </c>
      <c r="DB163" s="303">
        <f t="shared" ca="1" si="478"/>
        <v>0</v>
      </c>
      <c r="DC163" s="248">
        <f t="shared" ca="1" si="479"/>
        <v>0</v>
      </c>
      <c r="DD163" s="778">
        <f t="shared" ca="1" si="480"/>
        <v>0</v>
      </c>
      <c r="DE163" s="363">
        <f t="shared" ca="1" si="481"/>
        <v>0</v>
      </c>
      <c r="DF163" s="378" t="str">
        <f t="shared" ca="1" si="482"/>
        <v/>
      </c>
      <c r="DG163" s="508" t="str">
        <f t="shared" ca="1" si="483"/>
        <v/>
      </c>
      <c r="DH163" s="508" t="str">
        <f t="shared" ca="1" si="484"/>
        <v/>
      </c>
      <c r="DI163" s="508" t="str">
        <f t="shared" ca="1" si="485"/>
        <v/>
      </c>
      <c r="DJ163" s="508" t="str">
        <f t="shared" ca="1" si="486"/>
        <v/>
      </c>
      <c r="DK163" s="353">
        <f t="shared" ca="1" si="487"/>
        <v>0</v>
      </c>
      <c r="DL163" s="781">
        <f t="shared" ca="1" si="488"/>
        <v>0</v>
      </c>
      <c r="DM163" s="303">
        <f t="shared" ca="1" si="489"/>
        <v>0</v>
      </c>
      <c r="DN163" s="508" t="str">
        <f t="shared" ca="1" si="490"/>
        <v/>
      </c>
      <c r="DO163" s="508" t="str">
        <f t="shared" ca="1" si="491"/>
        <v/>
      </c>
      <c r="DP163" s="508" t="str">
        <f t="shared" ca="1" si="492"/>
        <v/>
      </c>
      <c r="DQ163" s="508" t="str">
        <f t="shared" ca="1" si="493"/>
        <v/>
      </c>
      <c r="DR163" s="508" t="str">
        <f t="shared" ca="1" si="494"/>
        <v/>
      </c>
      <c r="DS163" s="353">
        <f t="shared" ca="1" si="495"/>
        <v>0</v>
      </c>
      <c r="DT163" s="353">
        <f t="shared" ca="1" si="496"/>
        <v>0</v>
      </c>
      <c r="DU163" s="380">
        <f t="shared" ca="1" si="596"/>
        <v>12.249144421629021</v>
      </c>
      <c r="DV163" s="303">
        <f t="shared" ca="1" si="497"/>
        <v>0</v>
      </c>
      <c r="DW163" s="303">
        <f t="shared" ca="1" si="498"/>
        <v>0</v>
      </c>
      <c r="DX163" s="303">
        <f t="shared" ca="1" si="499"/>
        <v>0</v>
      </c>
      <c r="DY163" s="303">
        <f t="shared" ca="1" si="500"/>
        <v>0</v>
      </c>
      <c r="DZ163" s="303">
        <f t="shared" ca="1" si="501"/>
        <v>0</v>
      </c>
      <c r="EA163" s="303">
        <f t="shared" ca="1" si="502"/>
        <v>0</v>
      </c>
      <c r="EB163" s="302">
        <f t="shared" ca="1" si="503"/>
        <v>0</v>
      </c>
      <c r="EC163" s="299">
        <f t="shared" ca="1" si="504"/>
        <v>0</v>
      </c>
      <c r="ED163" s="299">
        <f t="shared" ca="1" si="505"/>
        <v>0</v>
      </c>
      <c r="EE163" s="299">
        <f t="shared" ca="1" si="506"/>
        <v>0</v>
      </c>
      <c r="EF163" s="299">
        <f t="shared" ca="1" si="507"/>
        <v>0</v>
      </c>
      <c r="EG163" s="299">
        <f t="shared" ca="1" si="508"/>
        <v>0</v>
      </c>
      <c r="EH163" s="302">
        <f t="shared" ca="1" si="509"/>
        <v>0</v>
      </c>
      <c r="EI163" s="304" t="str">
        <f t="shared" ca="1" si="510"/>
        <v/>
      </c>
      <c r="EJ163" s="305" t="str">
        <f t="shared" ca="1" si="511"/>
        <v/>
      </c>
      <c r="EK163" s="305" t="str">
        <f t="shared" ca="1" si="512"/>
        <v/>
      </c>
      <c r="EL163" s="305" t="str">
        <f t="shared" ca="1" si="513"/>
        <v/>
      </c>
      <c r="EM163" s="305" t="str">
        <f t="shared" ca="1" si="514"/>
        <v/>
      </c>
      <c r="EN163" s="305" t="str">
        <f t="shared" ca="1" si="515"/>
        <v/>
      </c>
      <c r="EO163" s="305" t="str">
        <f t="shared" ca="1" si="516"/>
        <v/>
      </c>
      <c r="EP163" s="305" t="str">
        <f t="shared" ca="1" si="517"/>
        <v/>
      </c>
      <c r="EQ163" s="305" t="str">
        <f t="shared" ca="1" si="518"/>
        <v/>
      </c>
      <c r="ER163" s="305" t="str">
        <f t="shared" ca="1" si="519"/>
        <v/>
      </c>
      <c r="ES163" s="305" t="str">
        <f t="shared" ca="1" si="520"/>
        <v/>
      </c>
      <c r="ET163" s="299">
        <f t="shared" ca="1" si="521"/>
        <v>0</v>
      </c>
      <c r="EU163" s="302">
        <f t="shared" ca="1" si="522"/>
        <v>0</v>
      </c>
      <c r="EV163" s="304" t="str">
        <f t="shared" ca="1" si="523"/>
        <v/>
      </c>
      <c r="EW163" s="305" t="str">
        <f t="shared" ca="1" si="524"/>
        <v/>
      </c>
      <c r="EX163" s="305" t="str">
        <f t="shared" ca="1" si="525"/>
        <v/>
      </c>
      <c r="EY163" s="305" t="str">
        <f t="shared" ca="1" si="526"/>
        <v/>
      </c>
      <c r="EZ163" s="305" t="str">
        <f t="shared" ca="1" si="527"/>
        <v/>
      </c>
      <c r="FA163" s="305" t="str">
        <f t="shared" ca="1" si="528"/>
        <v/>
      </c>
      <c r="FB163" s="305" t="str">
        <f t="shared" ca="1" si="529"/>
        <v/>
      </c>
      <c r="FC163" s="305" t="str">
        <f t="shared" ca="1" si="530"/>
        <v/>
      </c>
      <c r="FD163" s="305" t="str">
        <f t="shared" ca="1" si="531"/>
        <v/>
      </c>
      <c r="FE163" s="305" t="str">
        <f t="shared" ca="1" si="532"/>
        <v/>
      </c>
      <c r="FF163" s="305" t="str">
        <f t="shared" ca="1" si="533"/>
        <v/>
      </c>
      <c r="FG163" s="299">
        <f t="shared" ca="1" si="534"/>
        <v>0</v>
      </c>
      <c r="FH163" s="302">
        <f t="shared" ca="1" si="535"/>
        <v>0</v>
      </c>
      <c r="FI163" s="248">
        <f t="shared" ca="1" si="536"/>
        <v>0</v>
      </c>
      <c r="FJ163" s="363">
        <f t="shared" ca="1" si="537"/>
        <v>0</v>
      </c>
      <c r="FK163" s="378" t="str">
        <f t="shared" ca="1" si="538"/>
        <v/>
      </c>
      <c r="FL163" s="508" t="str">
        <f t="shared" ca="1" si="539"/>
        <v/>
      </c>
      <c r="FM163" s="508" t="str">
        <f t="shared" ca="1" si="540"/>
        <v/>
      </c>
      <c r="FN163" s="508" t="str">
        <f t="shared" ca="1" si="541"/>
        <v/>
      </c>
      <c r="FO163" s="508" t="str">
        <f t="shared" ca="1" si="542"/>
        <v/>
      </c>
      <c r="FP163" s="353">
        <f t="shared" ca="1" si="543"/>
        <v>0</v>
      </c>
      <c r="FQ163" s="356">
        <f t="shared" ca="1" si="544"/>
        <v>0</v>
      </c>
      <c r="FR163" s="380">
        <f t="shared" ca="1" si="545"/>
        <v>0</v>
      </c>
      <c r="FS163" s="299">
        <f t="shared" ca="1" si="546"/>
        <v>0</v>
      </c>
      <c r="FT163" s="299">
        <f t="shared" ca="1" si="547"/>
        <v>0</v>
      </c>
      <c r="FU163" s="299">
        <f t="shared" ca="1" si="548"/>
        <v>0</v>
      </c>
      <c r="FV163" s="299">
        <f t="shared" ca="1" si="549"/>
        <v>0</v>
      </c>
      <c r="FW163" s="850" t="str">
        <f t="shared" ca="1" si="550"/>
        <v/>
      </c>
      <c r="FX163" s="851" t="str">
        <f t="shared" ca="1" si="551"/>
        <v/>
      </c>
      <c r="FY163" s="851" t="str">
        <f t="shared" ca="1" si="552"/>
        <v/>
      </c>
      <c r="FZ163" s="201" t="str">
        <f t="shared" ca="1" si="553"/>
        <v/>
      </c>
      <c r="GA163" s="201" t="str">
        <f t="shared" ca="1" si="554"/>
        <v/>
      </c>
      <c r="GB163" s="201" t="str">
        <f t="shared" ca="1" si="555"/>
        <v/>
      </c>
      <c r="GC163" s="201" t="str">
        <f t="shared" ca="1" si="556"/>
        <v/>
      </c>
      <c r="GD163" s="850" t="str">
        <f t="shared" ca="1" si="557"/>
        <v/>
      </c>
      <c r="GE163" s="866" t="str">
        <f t="shared" ca="1" si="558"/>
        <v/>
      </c>
      <c r="GF163" s="866" t="str">
        <f t="shared" ca="1" si="559"/>
        <v/>
      </c>
      <c r="GG163" s="866" t="str">
        <f t="shared" ca="1" si="560"/>
        <v/>
      </c>
      <c r="GH163" s="866" t="str">
        <f t="shared" ca="1" si="561"/>
        <v/>
      </c>
      <c r="GI163" s="302">
        <f t="shared" ca="1" si="562"/>
        <v>0</v>
      </c>
      <c r="GJ163" s="299">
        <f t="shared" ca="1" si="563"/>
        <v>0</v>
      </c>
      <c r="GK163" s="299">
        <f t="shared" ca="1" si="564"/>
        <v>0</v>
      </c>
      <c r="GL163" s="299">
        <f t="shared" ca="1" si="565"/>
        <v>0</v>
      </c>
      <c r="GM163" s="299">
        <f t="shared" ca="1" si="566"/>
        <v>0</v>
      </c>
      <c r="GN163" s="302">
        <f t="shared" ca="1" si="567"/>
        <v>0</v>
      </c>
      <c r="GO163" s="299">
        <f t="shared" ca="1" si="568"/>
        <v>0</v>
      </c>
      <c r="GP163" s="299">
        <f t="shared" ca="1" si="569"/>
        <v>0</v>
      </c>
      <c r="GQ163" s="299">
        <f t="shared" ca="1" si="570"/>
        <v>0</v>
      </c>
      <c r="GR163" s="299">
        <f t="shared" ca="1" si="571"/>
        <v>0</v>
      </c>
      <c r="GS163" s="302">
        <f t="shared" ca="1" si="572"/>
        <v>0</v>
      </c>
      <c r="GT163" s="299">
        <f t="shared" ca="1" si="573"/>
        <v>0</v>
      </c>
      <c r="GU163" s="299">
        <f t="shared" ca="1" si="574"/>
        <v>0</v>
      </c>
      <c r="GV163" s="299">
        <f t="shared" ca="1" si="575"/>
        <v>0</v>
      </c>
      <c r="GW163" s="299">
        <f t="shared" ca="1" si="576"/>
        <v>0</v>
      </c>
      <c r="GX163" s="303">
        <f t="shared" ca="1" si="577"/>
        <v>0</v>
      </c>
      <c r="GY163" s="303">
        <f t="shared" ca="1" si="578"/>
        <v>0</v>
      </c>
      <c r="GZ163" s="303">
        <f t="shared" ca="1" si="579"/>
        <v>0</v>
      </c>
      <c r="HA163" s="303">
        <f t="shared" ca="1" si="580"/>
        <v>0</v>
      </c>
      <c r="HB163" s="303">
        <f t="shared" ca="1" si="581"/>
        <v>0</v>
      </c>
      <c r="HC163" s="303">
        <f t="shared" ca="1" si="582"/>
        <v>0</v>
      </c>
      <c r="HD163" s="303">
        <f t="shared" ca="1" si="583"/>
        <v>0</v>
      </c>
      <c r="HE163" s="303">
        <f t="shared" ca="1" si="584"/>
        <v>0</v>
      </c>
      <c r="HF163" s="303">
        <f t="shared" ca="1" si="585"/>
        <v>0</v>
      </c>
      <c r="HG163" s="852">
        <f t="shared" ca="1" si="586"/>
        <v>0</v>
      </c>
    </row>
    <row r="164" spans="1:215" x14ac:dyDescent="0.25">
      <c r="A164" s="244">
        <f t="shared" ca="1" si="587"/>
        <v>41091</v>
      </c>
      <c r="B164" s="13">
        <f t="shared" ca="1" si="609"/>
        <v>2012</v>
      </c>
      <c r="C164" s="619">
        <f t="shared" ca="1" si="610"/>
        <v>7</v>
      </c>
      <c r="D164" s="195">
        <f t="shared" ca="1" si="417"/>
        <v>41094</v>
      </c>
      <c r="E164" s="469" t="str">
        <f t="shared" ca="1" si="418"/>
        <v/>
      </c>
      <c r="F164" s="465" t="str">
        <f t="shared" ca="1" si="419"/>
        <v/>
      </c>
      <c r="G164" s="522">
        <f t="shared" ca="1" si="588"/>
        <v>1</v>
      </c>
      <c r="H164" s="519">
        <f t="shared" ca="1" si="589"/>
        <v>1</v>
      </c>
      <c r="I164" s="724">
        <f t="shared" ca="1" si="611"/>
        <v>7.4196573934203008E-2</v>
      </c>
      <c r="J164" s="198">
        <f t="shared" ca="1" si="421"/>
        <v>0.40318938943235955</v>
      </c>
      <c r="K164" s="200">
        <f t="shared" ca="1" si="597"/>
        <v>75.5</v>
      </c>
      <c r="L164" s="201">
        <f t="shared" ca="1" si="598"/>
        <v>80.5</v>
      </c>
      <c r="M164" s="206">
        <f t="shared" ca="1" si="599"/>
        <v>85.5</v>
      </c>
      <c r="N164" s="851">
        <f t="shared" ca="1" si="603"/>
        <v>37.311249542236354</v>
      </c>
      <c r="O164" s="201">
        <f t="shared" ca="1" si="604"/>
        <v>41.061249542236354</v>
      </c>
      <c r="P164" s="206">
        <f t="shared" ca="1" si="605"/>
        <v>44.811249542236354</v>
      </c>
      <c r="Q164" s="201">
        <f t="shared" ca="1" si="606"/>
        <v>26.247499465942376</v>
      </c>
      <c r="R164" s="201">
        <f t="shared" ca="1" si="607"/>
        <v>30.547499465942376</v>
      </c>
      <c r="S164" s="201">
        <f t="shared" ca="1" si="608"/>
        <v>34.847499465942377</v>
      </c>
      <c r="T164" s="851">
        <f t="shared" ca="1" si="600"/>
        <v>22.349997711181636</v>
      </c>
      <c r="U164" s="201">
        <f t="shared" ca="1" si="601"/>
        <v>24.849997711181636</v>
      </c>
      <c r="V164" s="206">
        <f t="shared" ca="1" si="602"/>
        <v>27.349997711181636</v>
      </c>
      <c r="W164" s="230">
        <f t="shared" ca="1" si="590"/>
        <v>0.11524600869636417</v>
      </c>
      <c r="X164" s="231">
        <f t="shared" ca="1" si="591"/>
        <v>0.23049201739272834</v>
      </c>
      <c r="Y164" s="232">
        <f t="shared" ca="1" si="592"/>
        <v>0.34573802608909254</v>
      </c>
      <c r="Z164" s="231">
        <f t="shared" ca="1" si="612"/>
        <v>0.11524600869636417</v>
      </c>
      <c r="AA164" s="231">
        <f t="shared" ca="1" si="613"/>
        <v>0.23049201739272834</v>
      </c>
      <c r="AB164" s="232">
        <f t="shared" ca="1" si="614"/>
        <v>0.34573802608909254</v>
      </c>
      <c r="AC164" s="231">
        <f t="shared" ca="1" si="615"/>
        <v>0.11524600869636417</v>
      </c>
      <c r="AD164" s="231">
        <f t="shared" ca="1" si="616"/>
        <v>0.23049201739272834</v>
      </c>
      <c r="AE164" s="232">
        <f t="shared" ca="1" si="422"/>
        <v>0.34573802608909254</v>
      </c>
      <c r="AF164" s="231">
        <f t="shared" ca="1" si="593"/>
        <v>4.7083003424087985E-2</v>
      </c>
      <c r="AG164" s="231">
        <f t="shared" ca="1" si="594"/>
        <v>9.416600684817597E-2</v>
      </c>
      <c r="AH164" s="232">
        <f t="shared" ca="1" si="595"/>
        <v>0.14124901027226394</v>
      </c>
      <c r="AI164" s="233">
        <f t="shared" ca="1" si="423"/>
        <v>2.65</v>
      </c>
      <c r="AJ164" s="233">
        <f t="shared" ca="1" si="424"/>
        <v>3</v>
      </c>
      <c r="AK164" s="234">
        <f t="shared" ca="1" si="425"/>
        <v>3.5</v>
      </c>
      <c r="AL164" s="919">
        <f t="shared" ca="1" si="426"/>
        <v>2.65</v>
      </c>
      <c r="AM164" s="233">
        <f t="shared" ca="1" si="427"/>
        <v>3</v>
      </c>
      <c r="AN164" s="234">
        <f t="shared" ca="1" si="428"/>
        <v>3.5</v>
      </c>
      <c r="AO164" s="233">
        <f t="shared" ca="1" si="429"/>
        <v>2.65</v>
      </c>
      <c r="AP164" s="233">
        <f t="shared" ca="1" si="430"/>
        <v>3</v>
      </c>
      <c r="AQ164" s="233">
        <f t="shared" ca="1" si="431"/>
        <v>3.5</v>
      </c>
      <c r="AR164" s="919">
        <f t="shared" ca="1" si="432"/>
        <v>0.6</v>
      </c>
      <c r="AS164" s="233">
        <f t="shared" ca="1" si="433"/>
        <v>0.75</v>
      </c>
      <c r="AT164" s="235">
        <f t="shared" ca="1" si="434"/>
        <v>0.95</v>
      </c>
      <c r="AU164" s="946">
        <f t="shared" si="435"/>
        <v>0.5</v>
      </c>
      <c r="AV164" s="13">
        <f t="shared" ca="1" si="436"/>
        <v>0</v>
      </c>
      <c r="AW164" s="210">
        <f t="shared" ca="1" si="437"/>
        <v>0</v>
      </c>
      <c r="AX164" s="210">
        <f t="shared" ca="1" si="438"/>
        <v>0</v>
      </c>
      <c r="AY164" s="210">
        <f t="shared" ca="1" si="439"/>
        <v>0</v>
      </c>
      <c r="AZ164" s="13">
        <f t="shared" ca="1" si="440"/>
        <v>0</v>
      </c>
      <c r="BA164" s="357">
        <f ca="1"/>
        <v>0</v>
      </c>
      <c r="BB164" s="925">
        <f ca="1"/>
        <v>0</v>
      </c>
      <c r="BC164" s="925">
        <f ca="1"/>
        <v>0</v>
      </c>
      <c r="BD164" s="928">
        <f ca="1"/>
        <v>0</v>
      </c>
      <c r="BE164" s="200">
        <f ca="1"/>
        <v>0</v>
      </c>
      <c r="BF164" s="851">
        <f ca="1"/>
        <v>0</v>
      </c>
      <c r="BG164" s="851">
        <f ca="1"/>
        <v>0</v>
      </c>
      <c r="BH164" s="933">
        <f ca="1"/>
        <v>0</v>
      </c>
      <c r="BI164" s="357">
        <f ca="1"/>
        <v>0</v>
      </c>
      <c r="BJ164" s="925">
        <f ca="1"/>
        <v>0</v>
      </c>
      <c r="BK164" s="925">
        <f ca="1"/>
        <v>0</v>
      </c>
      <c r="BL164" s="928">
        <f ca="1"/>
        <v>0</v>
      </c>
      <c r="BM164" s="200">
        <f ca="1"/>
        <v>0</v>
      </c>
      <c r="BN164" s="851">
        <f ca="1"/>
        <v>0</v>
      </c>
      <c r="BO164" s="851">
        <f ca="1"/>
        <v>0</v>
      </c>
      <c r="BP164" s="933">
        <f ca="1"/>
        <v>0</v>
      </c>
      <c r="BQ164" s="357">
        <f t="shared" ca="1" si="441"/>
        <v>0</v>
      </c>
      <c r="BR164" s="361">
        <f t="shared" ca="1" si="442"/>
        <v>0</v>
      </c>
      <c r="BS164" s="357">
        <f t="shared" ca="1" si="443"/>
        <v>0</v>
      </c>
      <c r="BT164" s="302">
        <f t="shared" ca="1" si="444"/>
        <v>0</v>
      </c>
      <c r="BU164" s="299">
        <f t="shared" ca="1" si="445"/>
        <v>0</v>
      </c>
      <c r="BV164" s="299">
        <f t="shared" ca="1" si="446"/>
        <v>0</v>
      </c>
      <c r="BW164" s="299">
        <f t="shared" ca="1" si="447"/>
        <v>0</v>
      </c>
      <c r="BX164" s="380">
        <f t="shared" ca="1" si="448"/>
        <v>12.331279945242985</v>
      </c>
      <c r="BY164" s="363">
        <f t="shared" ca="1" si="449"/>
        <v>0</v>
      </c>
      <c r="BZ164" s="353">
        <f t="shared" ca="1" si="450"/>
        <v>0</v>
      </c>
      <c r="CA164" s="353">
        <f t="shared" ca="1" si="451"/>
        <v>0</v>
      </c>
      <c r="CB164" s="353">
        <f t="shared" ca="1" si="452"/>
        <v>0</v>
      </c>
      <c r="CC164" s="353">
        <f t="shared" ca="1" si="453"/>
        <v>0</v>
      </c>
      <c r="CD164" s="353">
        <f t="shared" ca="1" si="454"/>
        <v>0</v>
      </c>
      <c r="CE164" s="302">
        <f t="shared" ca="1" si="455"/>
        <v>0</v>
      </c>
      <c r="CF164" s="299">
        <f t="shared" ca="1" si="456"/>
        <v>0</v>
      </c>
      <c r="CG164" s="299">
        <f t="shared" ca="1" si="457"/>
        <v>0</v>
      </c>
      <c r="CH164" s="299">
        <f t="shared" ca="1" si="458"/>
        <v>0</v>
      </c>
      <c r="CI164" s="299">
        <f t="shared" ca="1" si="459"/>
        <v>0</v>
      </c>
      <c r="CJ164" s="299">
        <f t="shared" ca="1" si="460"/>
        <v>0</v>
      </c>
      <c r="CK164" s="299">
        <f t="shared" ca="1" si="461"/>
        <v>0</v>
      </c>
      <c r="CL164" s="377" t="str">
        <f t="shared" ca="1" si="462"/>
        <v/>
      </c>
      <c r="CM164" s="305" t="str">
        <f t="shared" ca="1" si="463"/>
        <v/>
      </c>
      <c r="CN164" s="305" t="str">
        <f t="shared" ca="1" si="464"/>
        <v/>
      </c>
      <c r="CO164" s="305" t="str">
        <f t="shared" ca="1" si="465"/>
        <v/>
      </c>
      <c r="CP164" s="305" t="str">
        <f t="shared" ca="1" si="466"/>
        <v/>
      </c>
      <c r="CQ164" s="305" t="str">
        <f t="shared" ca="1" si="467"/>
        <v/>
      </c>
      <c r="CR164" s="775" t="str">
        <f t="shared" ca="1" si="468"/>
        <v/>
      </c>
      <c r="CS164" s="305" t="str">
        <f t="shared" ca="1" si="469"/>
        <v/>
      </c>
      <c r="CT164" s="305" t="str">
        <f t="shared" ca="1" si="470"/>
        <v/>
      </c>
      <c r="CU164" s="305" t="str">
        <f t="shared" ca="1" si="471"/>
        <v/>
      </c>
      <c r="CV164" s="770" t="str">
        <f t="shared" ca="1" si="472"/>
        <v/>
      </c>
      <c r="CW164" s="302">
        <f t="shared" ca="1" si="473"/>
        <v>0</v>
      </c>
      <c r="CX164" s="299">
        <f t="shared" ca="1" si="474"/>
        <v>0</v>
      </c>
      <c r="CY164" s="299">
        <f t="shared" ca="1" si="475"/>
        <v>0</v>
      </c>
      <c r="CZ164" s="299">
        <f t="shared" ca="1" si="476"/>
        <v>0</v>
      </c>
      <c r="DA164" s="774">
        <f t="shared" ca="1" si="477"/>
        <v>0</v>
      </c>
      <c r="DB164" s="303">
        <f t="shared" ca="1" si="478"/>
        <v>0</v>
      </c>
      <c r="DC164" s="248">
        <f t="shared" ca="1" si="479"/>
        <v>0</v>
      </c>
      <c r="DD164" s="778">
        <f t="shared" ca="1" si="480"/>
        <v>0</v>
      </c>
      <c r="DE164" s="363">
        <f t="shared" ca="1" si="481"/>
        <v>0</v>
      </c>
      <c r="DF164" s="378" t="str">
        <f t="shared" ca="1" si="482"/>
        <v/>
      </c>
      <c r="DG164" s="508" t="str">
        <f t="shared" ca="1" si="483"/>
        <v/>
      </c>
      <c r="DH164" s="508" t="str">
        <f t="shared" ca="1" si="484"/>
        <v/>
      </c>
      <c r="DI164" s="508" t="str">
        <f t="shared" ca="1" si="485"/>
        <v/>
      </c>
      <c r="DJ164" s="508" t="str">
        <f t="shared" ca="1" si="486"/>
        <v/>
      </c>
      <c r="DK164" s="353">
        <f t="shared" ca="1" si="487"/>
        <v>0</v>
      </c>
      <c r="DL164" s="781">
        <f t="shared" ca="1" si="488"/>
        <v>0</v>
      </c>
      <c r="DM164" s="303">
        <f t="shared" ca="1" si="489"/>
        <v>0</v>
      </c>
      <c r="DN164" s="508" t="str">
        <f t="shared" ca="1" si="490"/>
        <v/>
      </c>
      <c r="DO164" s="508" t="str">
        <f t="shared" ca="1" si="491"/>
        <v/>
      </c>
      <c r="DP164" s="508" t="str">
        <f t="shared" ca="1" si="492"/>
        <v/>
      </c>
      <c r="DQ164" s="508" t="str">
        <f t="shared" ca="1" si="493"/>
        <v/>
      </c>
      <c r="DR164" s="508" t="str">
        <f t="shared" ca="1" si="494"/>
        <v/>
      </c>
      <c r="DS164" s="353">
        <f t="shared" ca="1" si="495"/>
        <v>0</v>
      </c>
      <c r="DT164" s="353">
        <f t="shared" ca="1" si="496"/>
        <v>0</v>
      </c>
      <c r="DU164" s="380">
        <f t="shared" ca="1" si="596"/>
        <v>12.331279945242985</v>
      </c>
      <c r="DV164" s="303">
        <f t="shared" ca="1" si="497"/>
        <v>0</v>
      </c>
      <c r="DW164" s="303">
        <f t="shared" ca="1" si="498"/>
        <v>0</v>
      </c>
      <c r="DX164" s="303">
        <f t="shared" ca="1" si="499"/>
        <v>0</v>
      </c>
      <c r="DY164" s="303">
        <f t="shared" ca="1" si="500"/>
        <v>0</v>
      </c>
      <c r="DZ164" s="303">
        <f t="shared" ca="1" si="501"/>
        <v>0</v>
      </c>
      <c r="EA164" s="303">
        <f t="shared" ca="1" si="502"/>
        <v>0</v>
      </c>
      <c r="EB164" s="302">
        <f t="shared" ca="1" si="503"/>
        <v>0</v>
      </c>
      <c r="EC164" s="299">
        <f t="shared" ca="1" si="504"/>
        <v>0</v>
      </c>
      <c r="ED164" s="299">
        <f t="shared" ca="1" si="505"/>
        <v>0</v>
      </c>
      <c r="EE164" s="299">
        <f t="shared" ca="1" si="506"/>
        <v>0</v>
      </c>
      <c r="EF164" s="299">
        <f t="shared" ca="1" si="507"/>
        <v>0</v>
      </c>
      <c r="EG164" s="299">
        <f t="shared" ca="1" si="508"/>
        <v>0</v>
      </c>
      <c r="EH164" s="302">
        <f t="shared" ca="1" si="509"/>
        <v>0</v>
      </c>
      <c r="EI164" s="304" t="str">
        <f t="shared" ca="1" si="510"/>
        <v/>
      </c>
      <c r="EJ164" s="305" t="str">
        <f t="shared" ca="1" si="511"/>
        <v/>
      </c>
      <c r="EK164" s="305" t="str">
        <f t="shared" ca="1" si="512"/>
        <v/>
      </c>
      <c r="EL164" s="305" t="str">
        <f t="shared" ca="1" si="513"/>
        <v/>
      </c>
      <c r="EM164" s="305" t="str">
        <f t="shared" ca="1" si="514"/>
        <v/>
      </c>
      <c r="EN164" s="305" t="str">
        <f t="shared" ca="1" si="515"/>
        <v/>
      </c>
      <c r="EO164" s="305" t="str">
        <f t="shared" ca="1" si="516"/>
        <v/>
      </c>
      <c r="EP164" s="305" t="str">
        <f t="shared" ca="1" si="517"/>
        <v/>
      </c>
      <c r="EQ164" s="305" t="str">
        <f t="shared" ca="1" si="518"/>
        <v/>
      </c>
      <c r="ER164" s="305" t="str">
        <f t="shared" ca="1" si="519"/>
        <v/>
      </c>
      <c r="ES164" s="305" t="str">
        <f t="shared" ca="1" si="520"/>
        <v/>
      </c>
      <c r="ET164" s="299">
        <f t="shared" ca="1" si="521"/>
        <v>0</v>
      </c>
      <c r="EU164" s="302">
        <f t="shared" ca="1" si="522"/>
        <v>0</v>
      </c>
      <c r="EV164" s="304" t="str">
        <f t="shared" ca="1" si="523"/>
        <v/>
      </c>
      <c r="EW164" s="305" t="str">
        <f t="shared" ca="1" si="524"/>
        <v/>
      </c>
      <c r="EX164" s="305" t="str">
        <f t="shared" ca="1" si="525"/>
        <v/>
      </c>
      <c r="EY164" s="305" t="str">
        <f t="shared" ca="1" si="526"/>
        <v/>
      </c>
      <c r="EZ164" s="305" t="str">
        <f t="shared" ca="1" si="527"/>
        <v/>
      </c>
      <c r="FA164" s="305" t="str">
        <f t="shared" ca="1" si="528"/>
        <v/>
      </c>
      <c r="FB164" s="305" t="str">
        <f t="shared" ca="1" si="529"/>
        <v/>
      </c>
      <c r="FC164" s="305" t="str">
        <f t="shared" ca="1" si="530"/>
        <v/>
      </c>
      <c r="FD164" s="305" t="str">
        <f t="shared" ca="1" si="531"/>
        <v/>
      </c>
      <c r="FE164" s="305" t="str">
        <f t="shared" ca="1" si="532"/>
        <v/>
      </c>
      <c r="FF164" s="305" t="str">
        <f t="shared" ca="1" si="533"/>
        <v/>
      </c>
      <c r="FG164" s="299">
        <f t="shared" ca="1" si="534"/>
        <v>0</v>
      </c>
      <c r="FH164" s="302">
        <f t="shared" ca="1" si="535"/>
        <v>0</v>
      </c>
      <c r="FI164" s="248">
        <f t="shared" ca="1" si="536"/>
        <v>0</v>
      </c>
      <c r="FJ164" s="363">
        <f t="shared" ca="1" si="537"/>
        <v>0</v>
      </c>
      <c r="FK164" s="378" t="str">
        <f t="shared" ca="1" si="538"/>
        <v/>
      </c>
      <c r="FL164" s="508" t="str">
        <f t="shared" ca="1" si="539"/>
        <v/>
      </c>
      <c r="FM164" s="508" t="str">
        <f t="shared" ca="1" si="540"/>
        <v/>
      </c>
      <c r="FN164" s="508" t="str">
        <f t="shared" ca="1" si="541"/>
        <v/>
      </c>
      <c r="FO164" s="508" t="str">
        <f t="shared" ca="1" si="542"/>
        <v/>
      </c>
      <c r="FP164" s="353">
        <f t="shared" ca="1" si="543"/>
        <v>0</v>
      </c>
      <c r="FQ164" s="356">
        <f t="shared" ca="1" si="544"/>
        <v>0</v>
      </c>
      <c r="FR164" s="380">
        <f t="shared" ca="1" si="545"/>
        <v>0</v>
      </c>
      <c r="FS164" s="299">
        <f t="shared" ca="1" si="546"/>
        <v>0</v>
      </c>
      <c r="FT164" s="299">
        <f t="shared" ca="1" si="547"/>
        <v>0</v>
      </c>
      <c r="FU164" s="299">
        <f t="shared" ca="1" si="548"/>
        <v>0</v>
      </c>
      <c r="FV164" s="299">
        <f t="shared" ca="1" si="549"/>
        <v>0</v>
      </c>
      <c r="FW164" s="850" t="str">
        <f t="shared" ca="1" si="550"/>
        <v/>
      </c>
      <c r="FX164" s="851" t="str">
        <f t="shared" ca="1" si="551"/>
        <v/>
      </c>
      <c r="FY164" s="851" t="str">
        <f t="shared" ca="1" si="552"/>
        <v/>
      </c>
      <c r="FZ164" s="201" t="str">
        <f t="shared" ca="1" si="553"/>
        <v/>
      </c>
      <c r="GA164" s="201" t="str">
        <f t="shared" ca="1" si="554"/>
        <v/>
      </c>
      <c r="GB164" s="201" t="str">
        <f t="shared" ca="1" si="555"/>
        <v/>
      </c>
      <c r="GC164" s="201" t="str">
        <f t="shared" ca="1" si="556"/>
        <v/>
      </c>
      <c r="GD164" s="850" t="str">
        <f t="shared" ca="1" si="557"/>
        <v/>
      </c>
      <c r="GE164" s="866" t="str">
        <f t="shared" ca="1" si="558"/>
        <v/>
      </c>
      <c r="GF164" s="866" t="str">
        <f t="shared" ca="1" si="559"/>
        <v/>
      </c>
      <c r="GG164" s="866" t="str">
        <f t="shared" ca="1" si="560"/>
        <v/>
      </c>
      <c r="GH164" s="866" t="str">
        <f t="shared" ca="1" si="561"/>
        <v/>
      </c>
      <c r="GI164" s="302">
        <f t="shared" ca="1" si="562"/>
        <v>0</v>
      </c>
      <c r="GJ164" s="299">
        <f t="shared" ca="1" si="563"/>
        <v>0</v>
      </c>
      <c r="GK164" s="299">
        <f t="shared" ca="1" si="564"/>
        <v>0</v>
      </c>
      <c r="GL164" s="299">
        <f t="shared" ca="1" si="565"/>
        <v>0</v>
      </c>
      <c r="GM164" s="299">
        <f t="shared" ca="1" si="566"/>
        <v>0</v>
      </c>
      <c r="GN164" s="302">
        <f t="shared" ca="1" si="567"/>
        <v>0</v>
      </c>
      <c r="GO164" s="299">
        <f t="shared" ca="1" si="568"/>
        <v>0</v>
      </c>
      <c r="GP164" s="299">
        <f t="shared" ca="1" si="569"/>
        <v>0</v>
      </c>
      <c r="GQ164" s="299">
        <f t="shared" ca="1" si="570"/>
        <v>0</v>
      </c>
      <c r="GR164" s="299">
        <f t="shared" ca="1" si="571"/>
        <v>0</v>
      </c>
      <c r="GS164" s="302">
        <f t="shared" ca="1" si="572"/>
        <v>0</v>
      </c>
      <c r="GT164" s="299">
        <f t="shared" ca="1" si="573"/>
        <v>0</v>
      </c>
      <c r="GU164" s="299">
        <f t="shared" ca="1" si="574"/>
        <v>0</v>
      </c>
      <c r="GV164" s="299">
        <f t="shared" ca="1" si="575"/>
        <v>0</v>
      </c>
      <c r="GW164" s="299">
        <f t="shared" ca="1" si="576"/>
        <v>0</v>
      </c>
      <c r="GX164" s="303">
        <f t="shared" ca="1" si="577"/>
        <v>0</v>
      </c>
      <c r="GY164" s="303">
        <f t="shared" ca="1" si="578"/>
        <v>0</v>
      </c>
      <c r="GZ164" s="303">
        <f t="shared" ca="1" si="579"/>
        <v>0</v>
      </c>
      <c r="HA164" s="303">
        <f t="shared" ca="1" si="580"/>
        <v>0</v>
      </c>
      <c r="HB164" s="303">
        <f t="shared" ca="1" si="581"/>
        <v>0</v>
      </c>
      <c r="HC164" s="303">
        <f t="shared" ca="1" si="582"/>
        <v>0</v>
      </c>
      <c r="HD164" s="303">
        <f t="shared" ca="1" si="583"/>
        <v>0</v>
      </c>
      <c r="HE164" s="303">
        <f t="shared" ca="1" si="584"/>
        <v>0</v>
      </c>
      <c r="HF164" s="303">
        <f t="shared" ca="1" si="585"/>
        <v>0</v>
      </c>
      <c r="HG164" s="852">
        <f t="shared" ca="1" si="586"/>
        <v>0</v>
      </c>
    </row>
    <row r="165" spans="1:215" x14ac:dyDescent="0.25">
      <c r="A165" s="244">
        <f t="shared" ca="1" si="587"/>
        <v>41122</v>
      </c>
      <c r="B165" s="13">
        <f t="shared" ca="1" si="609"/>
        <v>2012</v>
      </c>
      <c r="C165" s="619">
        <f t="shared" ca="1" si="610"/>
        <v>8</v>
      </c>
      <c r="D165" s="195" t="str">
        <f t="shared" ca="1" si="417"/>
        <v/>
      </c>
      <c r="E165" s="469" t="str">
        <f t="shared" ca="1" si="418"/>
        <v/>
      </c>
      <c r="F165" s="465" t="str">
        <f t="shared" ca="1" si="419"/>
        <v/>
      </c>
      <c r="G165" s="522">
        <f t="shared" ca="1" si="588"/>
        <v>1</v>
      </c>
      <c r="H165" s="519">
        <f t="shared" ca="1" si="589"/>
        <v>1</v>
      </c>
      <c r="I165" s="724">
        <f t="shared" ca="1" si="611"/>
        <v>7.4196279216321992E-2</v>
      </c>
      <c r="J165" s="198">
        <f t="shared" ca="1" si="421"/>
        <v>0.40070546375212585</v>
      </c>
      <c r="K165" s="200">
        <f t="shared" ca="1" si="597"/>
        <v>71</v>
      </c>
      <c r="L165" s="201">
        <f t="shared" ca="1" si="598"/>
        <v>76</v>
      </c>
      <c r="M165" s="206">
        <f t="shared" ca="1" si="599"/>
        <v>81</v>
      </c>
      <c r="N165" s="851">
        <f t="shared" ca="1" si="603"/>
        <v>39.572499084472682</v>
      </c>
      <c r="O165" s="201">
        <f t="shared" ca="1" si="604"/>
        <v>43.322499084472682</v>
      </c>
      <c r="P165" s="206">
        <f t="shared" ca="1" si="605"/>
        <v>47.072499084472682</v>
      </c>
      <c r="Q165" s="201">
        <f t="shared" ca="1" si="606"/>
        <v>27.745000839233395</v>
      </c>
      <c r="R165" s="201">
        <f t="shared" ca="1" si="607"/>
        <v>32.045000839233396</v>
      </c>
      <c r="S165" s="201">
        <f t="shared" ca="1" si="608"/>
        <v>36.345000839233393</v>
      </c>
      <c r="T165" s="851">
        <f t="shared" ca="1" si="600"/>
        <v>22.699998092651363</v>
      </c>
      <c r="U165" s="201">
        <f t="shared" ca="1" si="601"/>
        <v>25.199998092651363</v>
      </c>
      <c r="V165" s="206">
        <f t="shared" ca="1" si="602"/>
        <v>27.699998092651363</v>
      </c>
      <c r="W165" s="230">
        <f t="shared" ca="1" si="590"/>
        <v>0.11351827841607443</v>
      </c>
      <c r="X165" s="231">
        <f t="shared" ca="1" si="591"/>
        <v>0.22703655683214885</v>
      </c>
      <c r="Y165" s="232">
        <f t="shared" ca="1" si="592"/>
        <v>0.34055483524822328</v>
      </c>
      <c r="Z165" s="231">
        <f t="shared" ca="1" si="612"/>
        <v>0.11351827841607443</v>
      </c>
      <c r="AA165" s="231">
        <f t="shared" ca="1" si="613"/>
        <v>0.22703655683214885</v>
      </c>
      <c r="AB165" s="232">
        <f t="shared" ca="1" si="614"/>
        <v>0.34055483524822328</v>
      </c>
      <c r="AC165" s="231">
        <f t="shared" ca="1" si="615"/>
        <v>0.11351827841607443</v>
      </c>
      <c r="AD165" s="231">
        <f t="shared" ca="1" si="616"/>
        <v>0.22703655683214885</v>
      </c>
      <c r="AE165" s="232">
        <f t="shared" ca="1" si="422"/>
        <v>0.34055483524822328</v>
      </c>
      <c r="AF165" s="231">
        <f t="shared" ca="1" si="593"/>
        <v>4.7083003424087985E-2</v>
      </c>
      <c r="AG165" s="231">
        <f t="shared" ca="1" si="594"/>
        <v>9.416600684817597E-2</v>
      </c>
      <c r="AH165" s="232">
        <f t="shared" ca="1" si="595"/>
        <v>0.14124901027226394</v>
      </c>
      <c r="AI165" s="233">
        <f t="shared" ca="1" si="423"/>
        <v>2.65</v>
      </c>
      <c r="AJ165" s="233">
        <f t="shared" ca="1" si="424"/>
        <v>3</v>
      </c>
      <c r="AK165" s="234">
        <f t="shared" ca="1" si="425"/>
        <v>3.5</v>
      </c>
      <c r="AL165" s="919">
        <f t="shared" ca="1" si="426"/>
        <v>2.65</v>
      </c>
      <c r="AM165" s="233">
        <f t="shared" ca="1" si="427"/>
        <v>3</v>
      </c>
      <c r="AN165" s="234">
        <f t="shared" ca="1" si="428"/>
        <v>3.5</v>
      </c>
      <c r="AO165" s="233">
        <f t="shared" ca="1" si="429"/>
        <v>2.65</v>
      </c>
      <c r="AP165" s="233">
        <f t="shared" ca="1" si="430"/>
        <v>3</v>
      </c>
      <c r="AQ165" s="233">
        <f t="shared" ca="1" si="431"/>
        <v>3.5</v>
      </c>
      <c r="AR165" s="919">
        <f t="shared" ca="1" si="432"/>
        <v>0.6</v>
      </c>
      <c r="AS165" s="233">
        <f t="shared" ca="1" si="433"/>
        <v>0.75</v>
      </c>
      <c r="AT165" s="235">
        <f t="shared" ca="1" si="434"/>
        <v>0.95</v>
      </c>
      <c r="AU165" s="946">
        <f t="shared" si="435"/>
        <v>0.5</v>
      </c>
      <c r="AV165" s="13">
        <f t="shared" ca="1" si="436"/>
        <v>0</v>
      </c>
      <c r="AW165" s="210">
        <f t="shared" ca="1" si="437"/>
        <v>0</v>
      </c>
      <c r="AX165" s="210">
        <f t="shared" ca="1" si="438"/>
        <v>0</v>
      </c>
      <c r="AY165" s="210">
        <f t="shared" ca="1" si="439"/>
        <v>0</v>
      </c>
      <c r="AZ165" s="13">
        <f t="shared" ca="1" si="440"/>
        <v>0</v>
      </c>
      <c r="BA165" s="357">
        <f ca="1"/>
        <v>0</v>
      </c>
      <c r="BB165" s="925">
        <f ca="1"/>
        <v>0</v>
      </c>
      <c r="BC165" s="925">
        <f ca="1"/>
        <v>0</v>
      </c>
      <c r="BD165" s="928">
        <f ca="1"/>
        <v>0</v>
      </c>
      <c r="BE165" s="200">
        <f ca="1"/>
        <v>0</v>
      </c>
      <c r="BF165" s="851">
        <f ca="1"/>
        <v>0</v>
      </c>
      <c r="BG165" s="851">
        <f ca="1"/>
        <v>0</v>
      </c>
      <c r="BH165" s="933">
        <f ca="1"/>
        <v>0</v>
      </c>
      <c r="BI165" s="357">
        <f ca="1"/>
        <v>0</v>
      </c>
      <c r="BJ165" s="925">
        <f ca="1"/>
        <v>0</v>
      </c>
      <c r="BK165" s="925">
        <f ca="1"/>
        <v>0</v>
      </c>
      <c r="BL165" s="928">
        <f ca="1"/>
        <v>0</v>
      </c>
      <c r="BM165" s="200">
        <f ca="1"/>
        <v>0</v>
      </c>
      <c r="BN165" s="851">
        <f ca="1"/>
        <v>0</v>
      </c>
      <c r="BO165" s="851">
        <f ca="1"/>
        <v>0</v>
      </c>
      <c r="BP165" s="933">
        <f ca="1"/>
        <v>0</v>
      </c>
      <c r="BQ165" s="357">
        <f t="shared" ca="1" si="441"/>
        <v>0</v>
      </c>
      <c r="BR165" s="361">
        <f t="shared" ca="1" si="442"/>
        <v>0</v>
      </c>
      <c r="BS165" s="357">
        <f t="shared" ca="1" si="443"/>
        <v>0</v>
      </c>
      <c r="BT165" s="302">
        <f t="shared" ca="1" si="444"/>
        <v>0</v>
      </c>
      <c r="BU165" s="299">
        <f t="shared" ca="1" si="445"/>
        <v>0</v>
      </c>
      <c r="BV165" s="299">
        <f t="shared" ca="1" si="446"/>
        <v>0</v>
      </c>
      <c r="BW165" s="299">
        <f t="shared" ca="1" si="447"/>
        <v>0</v>
      </c>
      <c r="BX165" s="380">
        <f t="shared" ca="1" si="448"/>
        <v>12.41615331964408</v>
      </c>
      <c r="BY165" s="363">
        <f t="shared" ca="1" si="449"/>
        <v>0</v>
      </c>
      <c r="BZ165" s="353">
        <f t="shared" ca="1" si="450"/>
        <v>0</v>
      </c>
      <c r="CA165" s="353">
        <f t="shared" ca="1" si="451"/>
        <v>0</v>
      </c>
      <c r="CB165" s="353">
        <f t="shared" ca="1" si="452"/>
        <v>0</v>
      </c>
      <c r="CC165" s="353">
        <f t="shared" ca="1" si="453"/>
        <v>0</v>
      </c>
      <c r="CD165" s="353">
        <f t="shared" ca="1" si="454"/>
        <v>0</v>
      </c>
      <c r="CE165" s="302">
        <f t="shared" ca="1" si="455"/>
        <v>0</v>
      </c>
      <c r="CF165" s="299">
        <f t="shared" ca="1" si="456"/>
        <v>0</v>
      </c>
      <c r="CG165" s="299">
        <f t="shared" ca="1" si="457"/>
        <v>0</v>
      </c>
      <c r="CH165" s="299">
        <f t="shared" ca="1" si="458"/>
        <v>0</v>
      </c>
      <c r="CI165" s="299">
        <f t="shared" ca="1" si="459"/>
        <v>0</v>
      </c>
      <c r="CJ165" s="299">
        <f t="shared" ca="1" si="460"/>
        <v>0</v>
      </c>
      <c r="CK165" s="299">
        <f t="shared" ca="1" si="461"/>
        <v>0</v>
      </c>
      <c r="CL165" s="377" t="str">
        <f t="shared" ca="1" si="462"/>
        <v/>
      </c>
      <c r="CM165" s="305" t="str">
        <f t="shared" ca="1" si="463"/>
        <v/>
      </c>
      <c r="CN165" s="305" t="str">
        <f t="shared" ca="1" si="464"/>
        <v/>
      </c>
      <c r="CO165" s="305" t="str">
        <f t="shared" ca="1" si="465"/>
        <v/>
      </c>
      <c r="CP165" s="305" t="str">
        <f t="shared" ca="1" si="466"/>
        <v/>
      </c>
      <c r="CQ165" s="305" t="str">
        <f t="shared" ca="1" si="467"/>
        <v/>
      </c>
      <c r="CR165" s="775" t="str">
        <f t="shared" ca="1" si="468"/>
        <v/>
      </c>
      <c r="CS165" s="305" t="str">
        <f t="shared" ca="1" si="469"/>
        <v/>
      </c>
      <c r="CT165" s="305" t="str">
        <f t="shared" ca="1" si="470"/>
        <v/>
      </c>
      <c r="CU165" s="305" t="str">
        <f t="shared" ca="1" si="471"/>
        <v/>
      </c>
      <c r="CV165" s="770" t="str">
        <f t="shared" ca="1" si="472"/>
        <v/>
      </c>
      <c r="CW165" s="302">
        <f t="shared" ca="1" si="473"/>
        <v>0</v>
      </c>
      <c r="CX165" s="299">
        <f t="shared" ca="1" si="474"/>
        <v>0</v>
      </c>
      <c r="CY165" s="299">
        <f t="shared" ca="1" si="475"/>
        <v>0</v>
      </c>
      <c r="CZ165" s="299">
        <f t="shared" ca="1" si="476"/>
        <v>0</v>
      </c>
      <c r="DA165" s="774">
        <f t="shared" ca="1" si="477"/>
        <v>0</v>
      </c>
      <c r="DB165" s="303">
        <f t="shared" ca="1" si="478"/>
        <v>0</v>
      </c>
      <c r="DC165" s="248">
        <f t="shared" ca="1" si="479"/>
        <v>0</v>
      </c>
      <c r="DD165" s="778">
        <f t="shared" ca="1" si="480"/>
        <v>0</v>
      </c>
      <c r="DE165" s="363">
        <f t="shared" ca="1" si="481"/>
        <v>0</v>
      </c>
      <c r="DF165" s="378" t="str">
        <f t="shared" ca="1" si="482"/>
        <v/>
      </c>
      <c r="DG165" s="508" t="str">
        <f t="shared" ca="1" si="483"/>
        <v/>
      </c>
      <c r="DH165" s="508" t="str">
        <f t="shared" ca="1" si="484"/>
        <v/>
      </c>
      <c r="DI165" s="508" t="str">
        <f t="shared" ca="1" si="485"/>
        <v/>
      </c>
      <c r="DJ165" s="508" t="str">
        <f t="shared" ca="1" si="486"/>
        <v/>
      </c>
      <c r="DK165" s="353">
        <f t="shared" ca="1" si="487"/>
        <v>0</v>
      </c>
      <c r="DL165" s="781">
        <f t="shared" ca="1" si="488"/>
        <v>0</v>
      </c>
      <c r="DM165" s="303">
        <f t="shared" ca="1" si="489"/>
        <v>0</v>
      </c>
      <c r="DN165" s="508" t="str">
        <f t="shared" ca="1" si="490"/>
        <v/>
      </c>
      <c r="DO165" s="508" t="str">
        <f t="shared" ca="1" si="491"/>
        <v/>
      </c>
      <c r="DP165" s="508" t="str">
        <f t="shared" ca="1" si="492"/>
        <v/>
      </c>
      <c r="DQ165" s="508" t="str">
        <f t="shared" ca="1" si="493"/>
        <v/>
      </c>
      <c r="DR165" s="508" t="str">
        <f t="shared" ca="1" si="494"/>
        <v/>
      </c>
      <c r="DS165" s="353">
        <f t="shared" ca="1" si="495"/>
        <v>0</v>
      </c>
      <c r="DT165" s="353">
        <f t="shared" ca="1" si="496"/>
        <v>0</v>
      </c>
      <c r="DU165" s="380">
        <f t="shared" ca="1" si="596"/>
        <v>12.41615331964408</v>
      </c>
      <c r="DV165" s="303">
        <f t="shared" ca="1" si="497"/>
        <v>0</v>
      </c>
      <c r="DW165" s="303">
        <f t="shared" ca="1" si="498"/>
        <v>0</v>
      </c>
      <c r="DX165" s="303">
        <f t="shared" ca="1" si="499"/>
        <v>0</v>
      </c>
      <c r="DY165" s="303">
        <f t="shared" ca="1" si="500"/>
        <v>0</v>
      </c>
      <c r="DZ165" s="303">
        <f t="shared" ca="1" si="501"/>
        <v>0</v>
      </c>
      <c r="EA165" s="303">
        <f t="shared" ca="1" si="502"/>
        <v>0</v>
      </c>
      <c r="EB165" s="302">
        <f t="shared" ca="1" si="503"/>
        <v>0</v>
      </c>
      <c r="EC165" s="299">
        <f t="shared" ca="1" si="504"/>
        <v>0</v>
      </c>
      <c r="ED165" s="299">
        <f t="shared" ca="1" si="505"/>
        <v>0</v>
      </c>
      <c r="EE165" s="299">
        <f t="shared" ca="1" si="506"/>
        <v>0</v>
      </c>
      <c r="EF165" s="299">
        <f t="shared" ca="1" si="507"/>
        <v>0</v>
      </c>
      <c r="EG165" s="299">
        <f t="shared" ca="1" si="508"/>
        <v>0</v>
      </c>
      <c r="EH165" s="302">
        <f t="shared" ca="1" si="509"/>
        <v>0</v>
      </c>
      <c r="EI165" s="304" t="str">
        <f t="shared" ca="1" si="510"/>
        <v/>
      </c>
      <c r="EJ165" s="305" t="str">
        <f t="shared" ca="1" si="511"/>
        <v/>
      </c>
      <c r="EK165" s="305" t="str">
        <f t="shared" ca="1" si="512"/>
        <v/>
      </c>
      <c r="EL165" s="305" t="str">
        <f t="shared" ca="1" si="513"/>
        <v/>
      </c>
      <c r="EM165" s="305" t="str">
        <f t="shared" ca="1" si="514"/>
        <v/>
      </c>
      <c r="EN165" s="305" t="str">
        <f t="shared" ca="1" si="515"/>
        <v/>
      </c>
      <c r="EO165" s="305" t="str">
        <f t="shared" ca="1" si="516"/>
        <v/>
      </c>
      <c r="EP165" s="305" t="str">
        <f t="shared" ca="1" si="517"/>
        <v/>
      </c>
      <c r="EQ165" s="305" t="str">
        <f t="shared" ca="1" si="518"/>
        <v/>
      </c>
      <c r="ER165" s="305" t="str">
        <f t="shared" ca="1" si="519"/>
        <v/>
      </c>
      <c r="ES165" s="305" t="str">
        <f t="shared" ca="1" si="520"/>
        <v/>
      </c>
      <c r="ET165" s="299">
        <f t="shared" ca="1" si="521"/>
        <v>0</v>
      </c>
      <c r="EU165" s="302">
        <f t="shared" ca="1" si="522"/>
        <v>0</v>
      </c>
      <c r="EV165" s="304" t="str">
        <f t="shared" ca="1" si="523"/>
        <v/>
      </c>
      <c r="EW165" s="305" t="str">
        <f t="shared" ca="1" si="524"/>
        <v/>
      </c>
      <c r="EX165" s="305" t="str">
        <f t="shared" ca="1" si="525"/>
        <v/>
      </c>
      <c r="EY165" s="305" t="str">
        <f t="shared" ca="1" si="526"/>
        <v/>
      </c>
      <c r="EZ165" s="305" t="str">
        <f t="shared" ca="1" si="527"/>
        <v/>
      </c>
      <c r="FA165" s="305" t="str">
        <f t="shared" ca="1" si="528"/>
        <v/>
      </c>
      <c r="FB165" s="305" t="str">
        <f t="shared" ca="1" si="529"/>
        <v/>
      </c>
      <c r="FC165" s="305" t="str">
        <f t="shared" ca="1" si="530"/>
        <v/>
      </c>
      <c r="FD165" s="305" t="str">
        <f t="shared" ca="1" si="531"/>
        <v/>
      </c>
      <c r="FE165" s="305" t="str">
        <f t="shared" ca="1" si="532"/>
        <v/>
      </c>
      <c r="FF165" s="305" t="str">
        <f t="shared" ca="1" si="533"/>
        <v/>
      </c>
      <c r="FG165" s="299">
        <f t="shared" ca="1" si="534"/>
        <v>0</v>
      </c>
      <c r="FH165" s="302">
        <f t="shared" ca="1" si="535"/>
        <v>0</v>
      </c>
      <c r="FI165" s="248">
        <f t="shared" ca="1" si="536"/>
        <v>0</v>
      </c>
      <c r="FJ165" s="363">
        <f t="shared" ca="1" si="537"/>
        <v>0</v>
      </c>
      <c r="FK165" s="378" t="str">
        <f t="shared" ca="1" si="538"/>
        <v/>
      </c>
      <c r="FL165" s="508" t="str">
        <f t="shared" ca="1" si="539"/>
        <v/>
      </c>
      <c r="FM165" s="508" t="str">
        <f t="shared" ca="1" si="540"/>
        <v/>
      </c>
      <c r="FN165" s="508" t="str">
        <f t="shared" ca="1" si="541"/>
        <v/>
      </c>
      <c r="FO165" s="508" t="str">
        <f t="shared" ca="1" si="542"/>
        <v/>
      </c>
      <c r="FP165" s="353">
        <f t="shared" ca="1" si="543"/>
        <v>0</v>
      </c>
      <c r="FQ165" s="356">
        <f t="shared" ca="1" si="544"/>
        <v>0</v>
      </c>
      <c r="FR165" s="380">
        <f t="shared" ca="1" si="545"/>
        <v>0</v>
      </c>
      <c r="FS165" s="299">
        <f t="shared" ca="1" si="546"/>
        <v>0</v>
      </c>
      <c r="FT165" s="299">
        <f t="shared" ca="1" si="547"/>
        <v>0</v>
      </c>
      <c r="FU165" s="299">
        <f t="shared" ca="1" si="548"/>
        <v>0</v>
      </c>
      <c r="FV165" s="299">
        <f t="shared" ca="1" si="549"/>
        <v>0</v>
      </c>
      <c r="FW165" s="850" t="str">
        <f t="shared" ca="1" si="550"/>
        <v/>
      </c>
      <c r="FX165" s="851" t="str">
        <f t="shared" ca="1" si="551"/>
        <v/>
      </c>
      <c r="FY165" s="851" t="str">
        <f t="shared" ca="1" si="552"/>
        <v/>
      </c>
      <c r="FZ165" s="201" t="str">
        <f t="shared" ca="1" si="553"/>
        <v/>
      </c>
      <c r="GA165" s="201" t="str">
        <f t="shared" ca="1" si="554"/>
        <v/>
      </c>
      <c r="GB165" s="201" t="str">
        <f t="shared" ca="1" si="555"/>
        <v/>
      </c>
      <c r="GC165" s="201" t="str">
        <f t="shared" ca="1" si="556"/>
        <v/>
      </c>
      <c r="GD165" s="850" t="str">
        <f t="shared" ca="1" si="557"/>
        <v/>
      </c>
      <c r="GE165" s="866" t="str">
        <f t="shared" ca="1" si="558"/>
        <v/>
      </c>
      <c r="GF165" s="866" t="str">
        <f t="shared" ca="1" si="559"/>
        <v/>
      </c>
      <c r="GG165" s="866" t="str">
        <f t="shared" ca="1" si="560"/>
        <v/>
      </c>
      <c r="GH165" s="866" t="str">
        <f t="shared" ca="1" si="561"/>
        <v/>
      </c>
      <c r="GI165" s="302">
        <f t="shared" ca="1" si="562"/>
        <v>0</v>
      </c>
      <c r="GJ165" s="299">
        <f t="shared" ca="1" si="563"/>
        <v>0</v>
      </c>
      <c r="GK165" s="299">
        <f t="shared" ca="1" si="564"/>
        <v>0</v>
      </c>
      <c r="GL165" s="299">
        <f t="shared" ca="1" si="565"/>
        <v>0</v>
      </c>
      <c r="GM165" s="299">
        <f t="shared" ca="1" si="566"/>
        <v>0</v>
      </c>
      <c r="GN165" s="302">
        <f t="shared" ca="1" si="567"/>
        <v>0</v>
      </c>
      <c r="GO165" s="299">
        <f t="shared" ca="1" si="568"/>
        <v>0</v>
      </c>
      <c r="GP165" s="299">
        <f t="shared" ca="1" si="569"/>
        <v>0</v>
      </c>
      <c r="GQ165" s="299">
        <f t="shared" ca="1" si="570"/>
        <v>0</v>
      </c>
      <c r="GR165" s="299">
        <f t="shared" ca="1" si="571"/>
        <v>0</v>
      </c>
      <c r="GS165" s="302">
        <f t="shared" ca="1" si="572"/>
        <v>0</v>
      </c>
      <c r="GT165" s="299">
        <f t="shared" ca="1" si="573"/>
        <v>0</v>
      </c>
      <c r="GU165" s="299">
        <f t="shared" ca="1" si="574"/>
        <v>0</v>
      </c>
      <c r="GV165" s="299">
        <f t="shared" ca="1" si="575"/>
        <v>0</v>
      </c>
      <c r="GW165" s="299">
        <f t="shared" ca="1" si="576"/>
        <v>0</v>
      </c>
      <c r="GX165" s="303">
        <f t="shared" ca="1" si="577"/>
        <v>0</v>
      </c>
      <c r="GY165" s="303">
        <f t="shared" ca="1" si="578"/>
        <v>0</v>
      </c>
      <c r="GZ165" s="303">
        <f t="shared" ca="1" si="579"/>
        <v>0</v>
      </c>
      <c r="HA165" s="303">
        <f t="shared" ca="1" si="580"/>
        <v>0</v>
      </c>
      <c r="HB165" s="303">
        <f t="shared" ca="1" si="581"/>
        <v>0</v>
      </c>
      <c r="HC165" s="303">
        <f t="shared" ca="1" si="582"/>
        <v>0</v>
      </c>
      <c r="HD165" s="303">
        <f t="shared" ca="1" si="583"/>
        <v>0</v>
      </c>
      <c r="HE165" s="303">
        <f t="shared" ca="1" si="584"/>
        <v>0</v>
      </c>
      <c r="HF165" s="303">
        <f t="shared" ca="1" si="585"/>
        <v>0</v>
      </c>
      <c r="HG165" s="852">
        <f t="shared" ca="1" si="586"/>
        <v>0</v>
      </c>
    </row>
    <row r="166" spans="1:215" x14ac:dyDescent="0.25">
      <c r="A166" s="244">
        <f t="shared" ca="1" si="587"/>
        <v>41153</v>
      </c>
      <c r="B166" s="13">
        <f t="shared" ca="1" si="609"/>
        <v>2012</v>
      </c>
      <c r="C166" s="619">
        <f t="shared" ca="1" si="610"/>
        <v>9</v>
      </c>
      <c r="D166" s="195">
        <f t="shared" ca="1" si="417"/>
        <v>41155</v>
      </c>
      <c r="E166" s="469" t="str">
        <f t="shared" ca="1" si="418"/>
        <v/>
      </c>
      <c r="F166" s="465" t="str">
        <f t="shared" ca="1" si="419"/>
        <v/>
      </c>
      <c r="G166" s="522">
        <f t="shared" ca="1" si="588"/>
        <v>1</v>
      </c>
      <c r="H166" s="519">
        <f t="shared" ca="1" si="589"/>
        <v>1</v>
      </c>
      <c r="I166" s="724">
        <f t="shared" ca="1" si="611"/>
        <v>7.4195984498440989E-2</v>
      </c>
      <c r="J166" s="198">
        <f t="shared" ca="1" si="421"/>
        <v>0.39831630031315196</v>
      </c>
      <c r="K166" s="200">
        <f t="shared" ca="1" si="597"/>
        <v>32.25</v>
      </c>
      <c r="L166" s="201">
        <f t="shared" ca="1" si="598"/>
        <v>34.049999999999997</v>
      </c>
      <c r="M166" s="206">
        <f t="shared" ca="1" si="599"/>
        <v>35.85</v>
      </c>
      <c r="N166" s="851">
        <f t="shared" ca="1" si="603"/>
        <v>23.354999160766592</v>
      </c>
      <c r="O166" s="201">
        <f t="shared" ca="1" si="604"/>
        <v>24.704999160766594</v>
      </c>
      <c r="P166" s="206">
        <f t="shared" ca="1" si="605"/>
        <v>26.054999160766595</v>
      </c>
      <c r="Q166" s="201">
        <f t="shared" ca="1" si="606"/>
        <v>20.9</v>
      </c>
      <c r="R166" s="201">
        <f t="shared" ca="1" si="607"/>
        <v>25.2</v>
      </c>
      <c r="S166" s="201">
        <f t="shared" ca="1" si="608"/>
        <v>29.5</v>
      </c>
      <c r="T166" s="851">
        <f t="shared" ca="1" si="600"/>
        <v>19.849998092651365</v>
      </c>
      <c r="U166" s="201">
        <f t="shared" ca="1" si="601"/>
        <v>20.749998092651364</v>
      </c>
      <c r="V166" s="206">
        <f t="shared" ca="1" si="602"/>
        <v>21.649998092651362</v>
      </c>
      <c r="W166" s="230">
        <f t="shared" ca="1" si="590"/>
        <v>7.5124272187413396E-2</v>
      </c>
      <c r="X166" s="231">
        <f t="shared" ca="1" si="591"/>
        <v>0.15024854437482679</v>
      </c>
      <c r="Y166" s="232">
        <f t="shared" ca="1" si="592"/>
        <v>0.22537281656224017</v>
      </c>
      <c r="Z166" s="231">
        <f t="shared" ca="1" si="612"/>
        <v>7.5124272187413396E-2</v>
      </c>
      <c r="AA166" s="231">
        <f t="shared" ca="1" si="613"/>
        <v>0.15024854437482679</v>
      </c>
      <c r="AB166" s="232">
        <f t="shared" ca="1" si="614"/>
        <v>0.22537281656224017</v>
      </c>
      <c r="AC166" s="231">
        <f t="shared" ca="1" si="615"/>
        <v>7.5124272187413396E-2</v>
      </c>
      <c r="AD166" s="231">
        <f t="shared" ca="1" si="616"/>
        <v>0.15024854437482679</v>
      </c>
      <c r="AE166" s="232">
        <f t="shared" ca="1" si="422"/>
        <v>0.22537281656224017</v>
      </c>
      <c r="AF166" s="231">
        <f t="shared" ca="1" si="593"/>
        <v>3.138866894939199E-2</v>
      </c>
      <c r="AG166" s="231">
        <f t="shared" ca="1" si="594"/>
        <v>6.277733789878398E-2</v>
      </c>
      <c r="AH166" s="232">
        <f t="shared" ca="1" si="595"/>
        <v>9.416600684817597E-2</v>
      </c>
      <c r="AI166" s="233">
        <f t="shared" ca="1" si="423"/>
        <v>1.1499999999999999</v>
      </c>
      <c r="AJ166" s="233">
        <f t="shared" ca="1" si="424"/>
        <v>1.5</v>
      </c>
      <c r="AK166" s="234">
        <f t="shared" ca="1" si="425"/>
        <v>1.8</v>
      </c>
      <c r="AL166" s="919">
        <f t="shared" ca="1" si="426"/>
        <v>1.1499999999999999</v>
      </c>
      <c r="AM166" s="233">
        <f t="shared" ca="1" si="427"/>
        <v>1.5</v>
      </c>
      <c r="AN166" s="234">
        <f t="shared" ca="1" si="428"/>
        <v>1.8</v>
      </c>
      <c r="AO166" s="233">
        <f t="shared" ca="1" si="429"/>
        <v>1.1499999999999999</v>
      </c>
      <c r="AP166" s="233">
        <f t="shared" ca="1" si="430"/>
        <v>1.5</v>
      </c>
      <c r="AQ166" s="233">
        <f t="shared" ca="1" si="431"/>
        <v>1.8</v>
      </c>
      <c r="AR166" s="919">
        <f t="shared" ca="1" si="432"/>
        <v>0.25</v>
      </c>
      <c r="AS166" s="233">
        <f t="shared" ca="1" si="433"/>
        <v>0.4</v>
      </c>
      <c r="AT166" s="235">
        <f t="shared" ca="1" si="434"/>
        <v>0.60000000000000009</v>
      </c>
      <c r="AU166" s="946">
        <f t="shared" si="435"/>
        <v>0.5</v>
      </c>
      <c r="AV166" s="13">
        <f t="shared" ca="1" si="436"/>
        <v>0</v>
      </c>
      <c r="AW166" s="210">
        <f t="shared" ca="1" si="437"/>
        <v>0</v>
      </c>
      <c r="AX166" s="210">
        <f t="shared" ca="1" si="438"/>
        <v>0</v>
      </c>
      <c r="AY166" s="210">
        <f t="shared" ca="1" si="439"/>
        <v>0</v>
      </c>
      <c r="AZ166" s="13">
        <f t="shared" ca="1" si="440"/>
        <v>0</v>
      </c>
      <c r="BA166" s="357">
        <f ca="1"/>
        <v>0</v>
      </c>
      <c r="BB166" s="925">
        <f ca="1"/>
        <v>0</v>
      </c>
      <c r="BC166" s="925">
        <f ca="1"/>
        <v>0</v>
      </c>
      <c r="BD166" s="928">
        <f ca="1"/>
        <v>0</v>
      </c>
      <c r="BE166" s="200">
        <f ca="1"/>
        <v>0</v>
      </c>
      <c r="BF166" s="851">
        <f ca="1"/>
        <v>0</v>
      </c>
      <c r="BG166" s="851">
        <f ca="1"/>
        <v>0</v>
      </c>
      <c r="BH166" s="933">
        <f ca="1"/>
        <v>0</v>
      </c>
      <c r="BI166" s="357">
        <f ca="1"/>
        <v>0</v>
      </c>
      <c r="BJ166" s="925">
        <f ca="1"/>
        <v>0</v>
      </c>
      <c r="BK166" s="925">
        <f ca="1"/>
        <v>0</v>
      </c>
      <c r="BL166" s="928">
        <f ca="1"/>
        <v>0</v>
      </c>
      <c r="BM166" s="200">
        <f ca="1"/>
        <v>0</v>
      </c>
      <c r="BN166" s="851">
        <f ca="1"/>
        <v>0</v>
      </c>
      <c r="BO166" s="851">
        <f ca="1"/>
        <v>0</v>
      </c>
      <c r="BP166" s="933">
        <f ca="1"/>
        <v>0</v>
      </c>
      <c r="BQ166" s="357">
        <f t="shared" ca="1" si="441"/>
        <v>0</v>
      </c>
      <c r="BR166" s="361">
        <f t="shared" ca="1" si="442"/>
        <v>0</v>
      </c>
      <c r="BS166" s="357">
        <f t="shared" ca="1" si="443"/>
        <v>0</v>
      </c>
      <c r="BT166" s="302">
        <f t="shared" ca="1" si="444"/>
        <v>0</v>
      </c>
      <c r="BU166" s="299">
        <f t="shared" ca="1" si="445"/>
        <v>0</v>
      </c>
      <c r="BV166" s="299">
        <f t="shared" ca="1" si="446"/>
        <v>0</v>
      </c>
      <c r="BW166" s="299">
        <f t="shared" ca="1" si="447"/>
        <v>0</v>
      </c>
      <c r="BX166" s="380">
        <f t="shared" ca="1" si="448"/>
        <v>12.501026694045175</v>
      </c>
      <c r="BY166" s="363">
        <f t="shared" ca="1" si="449"/>
        <v>0</v>
      </c>
      <c r="BZ166" s="353">
        <f t="shared" ca="1" si="450"/>
        <v>0</v>
      </c>
      <c r="CA166" s="353">
        <f t="shared" ca="1" si="451"/>
        <v>0</v>
      </c>
      <c r="CB166" s="353">
        <f t="shared" ca="1" si="452"/>
        <v>0</v>
      </c>
      <c r="CC166" s="353">
        <f t="shared" ca="1" si="453"/>
        <v>0</v>
      </c>
      <c r="CD166" s="353">
        <f t="shared" ca="1" si="454"/>
        <v>0</v>
      </c>
      <c r="CE166" s="302">
        <f t="shared" ca="1" si="455"/>
        <v>0</v>
      </c>
      <c r="CF166" s="299">
        <f t="shared" ca="1" si="456"/>
        <v>0</v>
      </c>
      <c r="CG166" s="299">
        <f t="shared" ca="1" si="457"/>
        <v>0</v>
      </c>
      <c r="CH166" s="299">
        <f t="shared" ca="1" si="458"/>
        <v>0</v>
      </c>
      <c r="CI166" s="299">
        <f t="shared" ca="1" si="459"/>
        <v>0</v>
      </c>
      <c r="CJ166" s="299">
        <f t="shared" ca="1" si="460"/>
        <v>0</v>
      </c>
      <c r="CK166" s="299">
        <f t="shared" ca="1" si="461"/>
        <v>0</v>
      </c>
      <c r="CL166" s="377" t="str">
        <f t="shared" ca="1" si="462"/>
        <v/>
      </c>
      <c r="CM166" s="305" t="str">
        <f t="shared" ca="1" si="463"/>
        <v/>
      </c>
      <c r="CN166" s="305" t="str">
        <f t="shared" ca="1" si="464"/>
        <v/>
      </c>
      <c r="CO166" s="305" t="str">
        <f t="shared" ca="1" si="465"/>
        <v/>
      </c>
      <c r="CP166" s="305" t="str">
        <f t="shared" ca="1" si="466"/>
        <v/>
      </c>
      <c r="CQ166" s="305" t="str">
        <f t="shared" ca="1" si="467"/>
        <v/>
      </c>
      <c r="CR166" s="775" t="str">
        <f t="shared" ca="1" si="468"/>
        <v/>
      </c>
      <c r="CS166" s="305" t="str">
        <f t="shared" ca="1" si="469"/>
        <v/>
      </c>
      <c r="CT166" s="305" t="str">
        <f t="shared" ca="1" si="470"/>
        <v/>
      </c>
      <c r="CU166" s="305" t="str">
        <f t="shared" ca="1" si="471"/>
        <v/>
      </c>
      <c r="CV166" s="770" t="str">
        <f t="shared" ca="1" si="472"/>
        <v/>
      </c>
      <c r="CW166" s="302">
        <f t="shared" ca="1" si="473"/>
        <v>0</v>
      </c>
      <c r="CX166" s="299">
        <f t="shared" ca="1" si="474"/>
        <v>0</v>
      </c>
      <c r="CY166" s="299">
        <f t="shared" ca="1" si="475"/>
        <v>0</v>
      </c>
      <c r="CZ166" s="299">
        <f t="shared" ca="1" si="476"/>
        <v>0</v>
      </c>
      <c r="DA166" s="774">
        <f t="shared" ca="1" si="477"/>
        <v>0</v>
      </c>
      <c r="DB166" s="303">
        <f t="shared" ca="1" si="478"/>
        <v>0</v>
      </c>
      <c r="DC166" s="248">
        <f t="shared" ca="1" si="479"/>
        <v>0</v>
      </c>
      <c r="DD166" s="778">
        <f t="shared" ca="1" si="480"/>
        <v>0</v>
      </c>
      <c r="DE166" s="363">
        <f t="shared" ca="1" si="481"/>
        <v>0</v>
      </c>
      <c r="DF166" s="378" t="str">
        <f t="shared" ca="1" si="482"/>
        <v/>
      </c>
      <c r="DG166" s="508" t="str">
        <f t="shared" ca="1" si="483"/>
        <v/>
      </c>
      <c r="DH166" s="508" t="str">
        <f t="shared" ca="1" si="484"/>
        <v/>
      </c>
      <c r="DI166" s="508" t="str">
        <f t="shared" ca="1" si="485"/>
        <v/>
      </c>
      <c r="DJ166" s="508" t="str">
        <f t="shared" ca="1" si="486"/>
        <v/>
      </c>
      <c r="DK166" s="353">
        <f t="shared" ca="1" si="487"/>
        <v>0</v>
      </c>
      <c r="DL166" s="781">
        <f t="shared" ca="1" si="488"/>
        <v>0</v>
      </c>
      <c r="DM166" s="303">
        <f t="shared" ca="1" si="489"/>
        <v>0</v>
      </c>
      <c r="DN166" s="508" t="str">
        <f t="shared" ca="1" si="490"/>
        <v/>
      </c>
      <c r="DO166" s="508" t="str">
        <f t="shared" ca="1" si="491"/>
        <v/>
      </c>
      <c r="DP166" s="508" t="str">
        <f t="shared" ca="1" si="492"/>
        <v/>
      </c>
      <c r="DQ166" s="508" t="str">
        <f t="shared" ca="1" si="493"/>
        <v/>
      </c>
      <c r="DR166" s="508" t="str">
        <f t="shared" ca="1" si="494"/>
        <v/>
      </c>
      <c r="DS166" s="353">
        <f t="shared" ca="1" si="495"/>
        <v>0</v>
      </c>
      <c r="DT166" s="353">
        <f t="shared" ca="1" si="496"/>
        <v>0</v>
      </c>
      <c r="DU166" s="380">
        <f t="shared" ca="1" si="596"/>
        <v>12.501026694045175</v>
      </c>
      <c r="DV166" s="303">
        <f t="shared" ca="1" si="497"/>
        <v>0</v>
      </c>
      <c r="DW166" s="303">
        <f t="shared" ca="1" si="498"/>
        <v>0</v>
      </c>
      <c r="DX166" s="303">
        <f t="shared" ca="1" si="499"/>
        <v>0</v>
      </c>
      <c r="DY166" s="303">
        <f t="shared" ca="1" si="500"/>
        <v>0</v>
      </c>
      <c r="DZ166" s="303">
        <f t="shared" ca="1" si="501"/>
        <v>0</v>
      </c>
      <c r="EA166" s="303">
        <f t="shared" ca="1" si="502"/>
        <v>0</v>
      </c>
      <c r="EB166" s="302">
        <f t="shared" ca="1" si="503"/>
        <v>0</v>
      </c>
      <c r="EC166" s="299">
        <f t="shared" ca="1" si="504"/>
        <v>0</v>
      </c>
      <c r="ED166" s="299">
        <f t="shared" ca="1" si="505"/>
        <v>0</v>
      </c>
      <c r="EE166" s="299">
        <f t="shared" ca="1" si="506"/>
        <v>0</v>
      </c>
      <c r="EF166" s="299">
        <f t="shared" ca="1" si="507"/>
        <v>0</v>
      </c>
      <c r="EG166" s="299">
        <f t="shared" ca="1" si="508"/>
        <v>0</v>
      </c>
      <c r="EH166" s="302">
        <f t="shared" ca="1" si="509"/>
        <v>0</v>
      </c>
      <c r="EI166" s="304" t="str">
        <f t="shared" ca="1" si="510"/>
        <v/>
      </c>
      <c r="EJ166" s="305" t="str">
        <f t="shared" ca="1" si="511"/>
        <v/>
      </c>
      <c r="EK166" s="305" t="str">
        <f t="shared" ca="1" si="512"/>
        <v/>
      </c>
      <c r="EL166" s="305" t="str">
        <f t="shared" ca="1" si="513"/>
        <v/>
      </c>
      <c r="EM166" s="305" t="str">
        <f t="shared" ca="1" si="514"/>
        <v/>
      </c>
      <c r="EN166" s="305" t="str">
        <f t="shared" ca="1" si="515"/>
        <v/>
      </c>
      <c r="EO166" s="305" t="str">
        <f t="shared" ca="1" si="516"/>
        <v/>
      </c>
      <c r="EP166" s="305" t="str">
        <f t="shared" ca="1" si="517"/>
        <v/>
      </c>
      <c r="EQ166" s="305" t="str">
        <f t="shared" ca="1" si="518"/>
        <v/>
      </c>
      <c r="ER166" s="305" t="str">
        <f t="shared" ca="1" si="519"/>
        <v/>
      </c>
      <c r="ES166" s="305" t="str">
        <f t="shared" ca="1" si="520"/>
        <v/>
      </c>
      <c r="ET166" s="299">
        <f t="shared" ca="1" si="521"/>
        <v>0</v>
      </c>
      <c r="EU166" s="302">
        <f t="shared" ca="1" si="522"/>
        <v>0</v>
      </c>
      <c r="EV166" s="304" t="str">
        <f t="shared" ca="1" si="523"/>
        <v/>
      </c>
      <c r="EW166" s="305" t="str">
        <f t="shared" ca="1" si="524"/>
        <v/>
      </c>
      <c r="EX166" s="305" t="str">
        <f t="shared" ca="1" si="525"/>
        <v/>
      </c>
      <c r="EY166" s="305" t="str">
        <f t="shared" ca="1" si="526"/>
        <v/>
      </c>
      <c r="EZ166" s="305" t="str">
        <f t="shared" ca="1" si="527"/>
        <v/>
      </c>
      <c r="FA166" s="305" t="str">
        <f t="shared" ca="1" si="528"/>
        <v/>
      </c>
      <c r="FB166" s="305" t="str">
        <f t="shared" ca="1" si="529"/>
        <v/>
      </c>
      <c r="FC166" s="305" t="str">
        <f t="shared" ca="1" si="530"/>
        <v/>
      </c>
      <c r="FD166" s="305" t="str">
        <f t="shared" ca="1" si="531"/>
        <v/>
      </c>
      <c r="FE166" s="305" t="str">
        <f t="shared" ca="1" si="532"/>
        <v/>
      </c>
      <c r="FF166" s="305" t="str">
        <f t="shared" ca="1" si="533"/>
        <v/>
      </c>
      <c r="FG166" s="299">
        <f t="shared" ca="1" si="534"/>
        <v>0</v>
      </c>
      <c r="FH166" s="302">
        <f t="shared" ca="1" si="535"/>
        <v>0</v>
      </c>
      <c r="FI166" s="248">
        <f t="shared" ca="1" si="536"/>
        <v>0</v>
      </c>
      <c r="FJ166" s="363">
        <f t="shared" ca="1" si="537"/>
        <v>0</v>
      </c>
      <c r="FK166" s="378" t="str">
        <f t="shared" ca="1" si="538"/>
        <v/>
      </c>
      <c r="FL166" s="508" t="str">
        <f t="shared" ca="1" si="539"/>
        <v/>
      </c>
      <c r="FM166" s="508" t="str">
        <f t="shared" ca="1" si="540"/>
        <v/>
      </c>
      <c r="FN166" s="508" t="str">
        <f t="shared" ca="1" si="541"/>
        <v/>
      </c>
      <c r="FO166" s="508" t="str">
        <f t="shared" ca="1" si="542"/>
        <v/>
      </c>
      <c r="FP166" s="353">
        <f t="shared" ca="1" si="543"/>
        <v>0</v>
      </c>
      <c r="FQ166" s="356">
        <f t="shared" ca="1" si="544"/>
        <v>0</v>
      </c>
      <c r="FR166" s="380">
        <f t="shared" ca="1" si="545"/>
        <v>0</v>
      </c>
      <c r="FS166" s="299">
        <f t="shared" ca="1" si="546"/>
        <v>0</v>
      </c>
      <c r="FT166" s="299">
        <f t="shared" ca="1" si="547"/>
        <v>0</v>
      </c>
      <c r="FU166" s="299">
        <f t="shared" ca="1" si="548"/>
        <v>0</v>
      </c>
      <c r="FV166" s="299">
        <f t="shared" ca="1" si="549"/>
        <v>0</v>
      </c>
      <c r="FW166" s="850" t="str">
        <f t="shared" ca="1" si="550"/>
        <v/>
      </c>
      <c r="FX166" s="851" t="str">
        <f t="shared" ca="1" si="551"/>
        <v/>
      </c>
      <c r="FY166" s="851" t="str">
        <f t="shared" ca="1" si="552"/>
        <v/>
      </c>
      <c r="FZ166" s="201" t="str">
        <f t="shared" ca="1" si="553"/>
        <v/>
      </c>
      <c r="GA166" s="201" t="str">
        <f t="shared" ca="1" si="554"/>
        <v/>
      </c>
      <c r="GB166" s="201" t="str">
        <f t="shared" ca="1" si="555"/>
        <v/>
      </c>
      <c r="GC166" s="201" t="str">
        <f t="shared" ca="1" si="556"/>
        <v/>
      </c>
      <c r="GD166" s="850" t="str">
        <f t="shared" ca="1" si="557"/>
        <v/>
      </c>
      <c r="GE166" s="866" t="str">
        <f t="shared" ca="1" si="558"/>
        <v/>
      </c>
      <c r="GF166" s="866" t="str">
        <f t="shared" ca="1" si="559"/>
        <v/>
      </c>
      <c r="GG166" s="866" t="str">
        <f t="shared" ca="1" si="560"/>
        <v/>
      </c>
      <c r="GH166" s="866" t="str">
        <f t="shared" ca="1" si="561"/>
        <v/>
      </c>
      <c r="GI166" s="302">
        <f t="shared" ca="1" si="562"/>
        <v>0</v>
      </c>
      <c r="GJ166" s="299">
        <f t="shared" ca="1" si="563"/>
        <v>0</v>
      </c>
      <c r="GK166" s="299">
        <f t="shared" ca="1" si="564"/>
        <v>0</v>
      </c>
      <c r="GL166" s="299">
        <f t="shared" ca="1" si="565"/>
        <v>0</v>
      </c>
      <c r="GM166" s="299">
        <f t="shared" ca="1" si="566"/>
        <v>0</v>
      </c>
      <c r="GN166" s="302">
        <f t="shared" ca="1" si="567"/>
        <v>0</v>
      </c>
      <c r="GO166" s="299">
        <f t="shared" ca="1" si="568"/>
        <v>0</v>
      </c>
      <c r="GP166" s="299">
        <f t="shared" ca="1" si="569"/>
        <v>0</v>
      </c>
      <c r="GQ166" s="299">
        <f t="shared" ca="1" si="570"/>
        <v>0</v>
      </c>
      <c r="GR166" s="299">
        <f t="shared" ca="1" si="571"/>
        <v>0</v>
      </c>
      <c r="GS166" s="302">
        <f t="shared" ca="1" si="572"/>
        <v>0</v>
      </c>
      <c r="GT166" s="299">
        <f t="shared" ca="1" si="573"/>
        <v>0</v>
      </c>
      <c r="GU166" s="299">
        <f t="shared" ca="1" si="574"/>
        <v>0</v>
      </c>
      <c r="GV166" s="299">
        <f t="shared" ca="1" si="575"/>
        <v>0</v>
      </c>
      <c r="GW166" s="299">
        <f t="shared" ca="1" si="576"/>
        <v>0</v>
      </c>
      <c r="GX166" s="303">
        <f t="shared" ca="1" si="577"/>
        <v>0</v>
      </c>
      <c r="GY166" s="303">
        <f t="shared" ca="1" si="578"/>
        <v>0</v>
      </c>
      <c r="GZ166" s="303">
        <f t="shared" ca="1" si="579"/>
        <v>0</v>
      </c>
      <c r="HA166" s="303">
        <f t="shared" ca="1" si="580"/>
        <v>0</v>
      </c>
      <c r="HB166" s="303">
        <f t="shared" ca="1" si="581"/>
        <v>0</v>
      </c>
      <c r="HC166" s="303">
        <f t="shared" ca="1" si="582"/>
        <v>0</v>
      </c>
      <c r="HD166" s="303">
        <f t="shared" ca="1" si="583"/>
        <v>0</v>
      </c>
      <c r="HE166" s="303">
        <f t="shared" ca="1" si="584"/>
        <v>0</v>
      </c>
      <c r="HF166" s="303">
        <f t="shared" ca="1" si="585"/>
        <v>0</v>
      </c>
      <c r="HG166" s="852">
        <f t="shared" ca="1" si="586"/>
        <v>0</v>
      </c>
    </row>
    <row r="167" spans="1:215" x14ac:dyDescent="0.25">
      <c r="A167" s="244">
        <f t="shared" ca="1" si="587"/>
        <v>41183</v>
      </c>
      <c r="B167" s="13">
        <f t="shared" ca="1" si="609"/>
        <v>2012</v>
      </c>
      <c r="C167" s="619">
        <f t="shared" ca="1" si="610"/>
        <v>10</v>
      </c>
      <c r="D167" s="195" t="str">
        <f t="shared" ca="1" si="417"/>
        <v/>
      </c>
      <c r="E167" s="469" t="str">
        <f t="shared" ca="1" si="418"/>
        <v/>
      </c>
      <c r="F167" s="465" t="str">
        <f t="shared" ca="1" si="419"/>
        <v/>
      </c>
      <c r="G167" s="522">
        <f t="shared" ca="1" si="588"/>
        <v>1</v>
      </c>
      <c r="H167" s="519">
        <f t="shared" ca="1" si="589"/>
        <v>1</v>
      </c>
      <c r="I167" s="724">
        <f t="shared" ca="1" si="611"/>
        <v>7.4195699287587E-2</v>
      </c>
      <c r="J167" s="198">
        <f t="shared" ca="1" si="421"/>
        <v>0.39586238795881662</v>
      </c>
      <c r="K167" s="200">
        <f t="shared" ca="1" si="597"/>
        <v>30.15</v>
      </c>
      <c r="L167" s="201">
        <f t="shared" ca="1" si="598"/>
        <v>31.8</v>
      </c>
      <c r="M167" s="206">
        <f t="shared" ca="1" si="599"/>
        <v>33.450000000000003</v>
      </c>
      <c r="N167" s="851">
        <f t="shared" ca="1" si="603"/>
        <v>23.563000106811515</v>
      </c>
      <c r="O167" s="201">
        <f t="shared" ca="1" si="604"/>
        <v>24.800500106811516</v>
      </c>
      <c r="P167" s="206">
        <f t="shared" ca="1" si="605"/>
        <v>26.038000106811516</v>
      </c>
      <c r="Q167" s="201">
        <f t="shared" ca="1" si="606"/>
        <v>18.500999832153312</v>
      </c>
      <c r="R167" s="201">
        <f t="shared" ca="1" si="607"/>
        <v>22.800999832153312</v>
      </c>
      <c r="S167" s="201">
        <f t="shared" ca="1" si="608"/>
        <v>27.100999832153313</v>
      </c>
      <c r="T167" s="851">
        <f t="shared" ca="1" si="600"/>
        <v>19.624998855590817</v>
      </c>
      <c r="U167" s="201">
        <f t="shared" ca="1" si="601"/>
        <v>20.449998855590817</v>
      </c>
      <c r="V167" s="206">
        <f t="shared" ca="1" si="602"/>
        <v>21.274998855590816</v>
      </c>
      <c r="W167" s="230">
        <f t="shared" ca="1" si="590"/>
        <v>6.8341331087016635E-2</v>
      </c>
      <c r="X167" s="231">
        <f t="shared" ca="1" si="591"/>
        <v>0.13668266217403327</v>
      </c>
      <c r="Y167" s="232">
        <f t="shared" ca="1" si="592"/>
        <v>0.20502399326104992</v>
      </c>
      <c r="Z167" s="231">
        <f t="shared" ca="1" si="612"/>
        <v>6.8341331087016635E-2</v>
      </c>
      <c r="AA167" s="231">
        <f t="shared" ca="1" si="613"/>
        <v>0.13668266217403327</v>
      </c>
      <c r="AB167" s="232">
        <f t="shared" ca="1" si="614"/>
        <v>0.20502399326104992</v>
      </c>
      <c r="AC167" s="231">
        <f t="shared" ca="1" si="615"/>
        <v>6.8341331087016635E-2</v>
      </c>
      <c r="AD167" s="231">
        <f t="shared" ca="1" si="616"/>
        <v>0.13668266217403327</v>
      </c>
      <c r="AE167" s="232">
        <f t="shared" ca="1" si="422"/>
        <v>0.20502399326104992</v>
      </c>
      <c r="AF167" s="231">
        <f t="shared" ca="1" si="593"/>
        <v>2.3541501712043993E-2</v>
      </c>
      <c r="AG167" s="231">
        <f t="shared" ca="1" si="594"/>
        <v>4.7083003424087985E-2</v>
      </c>
      <c r="AH167" s="232">
        <f t="shared" ca="1" si="595"/>
        <v>7.0624505136131971E-2</v>
      </c>
      <c r="AI167" s="233">
        <f t="shared" ca="1" si="423"/>
        <v>0.85000000000000009</v>
      </c>
      <c r="AJ167" s="233">
        <f t="shared" ca="1" si="424"/>
        <v>1.1000000000000001</v>
      </c>
      <c r="AK167" s="234">
        <f t="shared" ca="1" si="425"/>
        <v>1.4000000000000001</v>
      </c>
      <c r="AL167" s="919">
        <f t="shared" ca="1" si="426"/>
        <v>0.85000000000000009</v>
      </c>
      <c r="AM167" s="233">
        <f t="shared" ca="1" si="427"/>
        <v>1.1000000000000001</v>
      </c>
      <c r="AN167" s="234">
        <f t="shared" ca="1" si="428"/>
        <v>1.4000000000000001</v>
      </c>
      <c r="AO167" s="233">
        <f t="shared" ca="1" si="429"/>
        <v>0.85000000000000009</v>
      </c>
      <c r="AP167" s="233">
        <f t="shared" ca="1" si="430"/>
        <v>1.1000000000000001</v>
      </c>
      <c r="AQ167" s="233">
        <f t="shared" ca="1" si="431"/>
        <v>1.4000000000000001</v>
      </c>
      <c r="AR167" s="919">
        <f t="shared" ca="1" si="432"/>
        <v>0.19999999999999998</v>
      </c>
      <c r="AS167" s="233">
        <f t="shared" ca="1" si="433"/>
        <v>0.35</v>
      </c>
      <c r="AT167" s="235">
        <f t="shared" ca="1" si="434"/>
        <v>0.55000000000000004</v>
      </c>
      <c r="AU167" s="946">
        <f t="shared" si="435"/>
        <v>0.5</v>
      </c>
      <c r="AV167" s="13">
        <f t="shared" ca="1" si="436"/>
        <v>0</v>
      </c>
      <c r="AW167" s="210">
        <f t="shared" ca="1" si="437"/>
        <v>0</v>
      </c>
      <c r="AX167" s="210">
        <f t="shared" ca="1" si="438"/>
        <v>0</v>
      </c>
      <c r="AY167" s="210">
        <f t="shared" ca="1" si="439"/>
        <v>0</v>
      </c>
      <c r="AZ167" s="13">
        <f t="shared" ca="1" si="440"/>
        <v>0</v>
      </c>
      <c r="BA167" s="357">
        <f ca="1"/>
        <v>0</v>
      </c>
      <c r="BB167" s="925">
        <f ca="1"/>
        <v>0</v>
      </c>
      <c r="BC167" s="925">
        <f ca="1"/>
        <v>0</v>
      </c>
      <c r="BD167" s="928">
        <f ca="1"/>
        <v>0</v>
      </c>
      <c r="BE167" s="200">
        <f ca="1"/>
        <v>0</v>
      </c>
      <c r="BF167" s="851">
        <f ca="1"/>
        <v>0</v>
      </c>
      <c r="BG167" s="851">
        <f ca="1"/>
        <v>0</v>
      </c>
      <c r="BH167" s="933">
        <f ca="1"/>
        <v>0</v>
      </c>
      <c r="BI167" s="357">
        <f ca="1"/>
        <v>0</v>
      </c>
      <c r="BJ167" s="925">
        <f ca="1"/>
        <v>0</v>
      </c>
      <c r="BK167" s="925">
        <f ca="1"/>
        <v>0</v>
      </c>
      <c r="BL167" s="928">
        <f ca="1"/>
        <v>0</v>
      </c>
      <c r="BM167" s="200">
        <f ca="1"/>
        <v>0</v>
      </c>
      <c r="BN167" s="851">
        <f ca="1"/>
        <v>0</v>
      </c>
      <c r="BO167" s="851">
        <f ca="1"/>
        <v>0</v>
      </c>
      <c r="BP167" s="933">
        <f ca="1"/>
        <v>0</v>
      </c>
      <c r="BQ167" s="357">
        <f t="shared" ca="1" si="441"/>
        <v>0</v>
      </c>
      <c r="BR167" s="361">
        <f t="shared" ca="1" si="442"/>
        <v>0</v>
      </c>
      <c r="BS167" s="357">
        <f t="shared" ca="1" si="443"/>
        <v>0</v>
      </c>
      <c r="BT167" s="302">
        <f t="shared" ca="1" si="444"/>
        <v>0</v>
      </c>
      <c r="BU167" s="299">
        <f t="shared" ca="1" si="445"/>
        <v>0</v>
      </c>
      <c r="BV167" s="299">
        <f t="shared" ca="1" si="446"/>
        <v>0</v>
      </c>
      <c r="BW167" s="299">
        <f t="shared" ca="1" si="447"/>
        <v>0</v>
      </c>
      <c r="BX167" s="380">
        <f t="shared" ca="1" si="448"/>
        <v>12.583162217659138</v>
      </c>
      <c r="BY167" s="363">
        <f t="shared" ca="1" si="449"/>
        <v>0</v>
      </c>
      <c r="BZ167" s="353">
        <f t="shared" ca="1" si="450"/>
        <v>0</v>
      </c>
      <c r="CA167" s="353">
        <f t="shared" ca="1" si="451"/>
        <v>0</v>
      </c>
      <c r="CB167" s="353">
        <f t="shared" ca="1" si="452"/>
        <v>0</v>
      </c>
      <c r="CC167" s="353">
        <f t="shared" ca="1" si="453"/>
        <v>0</v>
      </c>
      <c r="CD167" s="353">
        <f t="shared" ca="1" si="454"/>
        <v>0</v>
      </c>
      <c r="CE167" s="302">
        <f t="shared" ca="1" si="455"/>
        <v>0</v>
      </c>
      <c r="CF167" s="299">
        <f t="shared" ca="1" si="456"/>
        <v>0</v>
      </c>
      <c r="CG167" s="299">
        <f t="shared" ca="1" si="457"/>
        <v>0</v>
      </c>
      <c r="CH167" s="299">
        <f t="shared" ca="1" si="458"/>
        <v>0</v>
      </c>
      <c r="CI167" s="299">
        <f t="shared" ca="1" si="459"/>
        <v>0</v>
      </c>
      <c r="CJ167" s="299">
        <f t="shared" ca="1" si="460"/>
        <v>0</v>
      </c>
      <c r="CK167" s="299">
        <f t="shared" ca="1" si="461"/>
        <v>0</v>
      </c>
      <c r="CL167" s="377" t="str">
        <f t="shared" ca="1" si="462"/>
        <v/>
      </c>
      <c r="CM167" s="305" t="str">
        <f t="shared" ca="1" si="463"/>
        <v/>
      </c>
      <c r="CN167" s="305" t="str">
        <f t="shared" ca="1" si="464"/>
        <v/>
      </c>
      <c r="CO167" s="305" t="str">
        <f t="shared" ca="1" si="465"/>
        <v/>
      </c>
      <c r="CP167" s="305" t="str">
        <f t="shared" ca="1" si="466"/>
        <v/>
      </c>
      <c r="CQ167" s="305" t="str">
        <f t="shared" ca="1" si="467"/>
        <v/>
      </c>
      <c r="CR167" s="775" t="str">
        <f t="shared" ca="1" si="468"/>
        <v/>
      </c>
      <c r="CS167" s="305" t="str">
        <f t="shared" ca="1" si="469"/>
        <v/>
      </c>
      <c r="CT167" s="305" t="str">
        <f t="shared" ca="1" si="470"/>
        <v/>
      </c>
      <c r="CU167" s="305" t="str">
        <f t="shared" ca="1" si="471"/>
        <v/>
      </c>
      <c r="CV167" s="770" t="str">
        <f t="shared" ca="1" si="472"/>
        <v/>
      </c>
      <c r="CW167" s="302">
        <f t="shared" ca="1" si="473"/>
        <v>0</v>
      </c>
      <c r="CX167" s="299">
        <f t="shared" ca="1" si="474"/>
        <v>0</v>
      </c>
      <c r="CY167" s="299">
        <f t="shared" ca="1" si="475"/>
        <v>0</v>
      </c>
      <c r="CZ167" s="299">
        <f t="shared" ca="1" si="476"/>
        <v>0</v>
      </c>
      <c r="DA167" s="774">
        <f t="shared" ca="1" si="477"/>
        <v>0</v>
      </c>
      <c r="DB167" s="303">
        <f t="shared" ca="1" si="478"/>
        <v>0</v>
      </c>
      <c r="DC167" s="248">
        <f t="shared" ca="1" si="479"/>
        <v>0</v>
      </c>
      <c r="DD167" s="778">
        <f t="shared" ca="1" si="480"/>
        <v>0</v>
      </c>
      <c r="DE167" s="363">
        <f t="shared" ca="1" si="481"/>
        <v>0</v>
      </c>
      <c r="DF167" s="378" t="str">
        <f t="shared" ca="1" si="482"/>
        <v/>
      </c>
      <c r="DG167" s="508" t="str">
        <f t="shared" ca="1" si="483"/>
        <v/>
      </c>
      <c r="DH167" s="508" t="str">
        <f t="shared" ca="1" si="484"/>
        <v/>
      </c>
      <c r="DI167" s="508" t="str">
        <f t="shared" ca="1" si="485"/>
        <v/>
      </c>
      <c r="DJ167" s="508" t="str">
        <f t="shared" ca="1" si="486"/>
        <v/>
      </c>
      <c r="DK167" s="353">
        <f t="shared" ca="1" si="487"/>
        <v>0</v>
      </c>
      <c r="DL167" s="781">
        <f t="shared" ca="1" si="488"/>
        <v>0</v>
      </c>
      <c r="DM167" s="303">
        <f t="shared" ca="1" si="489"/>
        <v>0</v>
      </c>
      <c r="DN167" s="508" t="str">
        <f t="shared" ca="1" si="490"/>
        <v/>
      </c>
      <c r="DO167" s="508" t="str">
        <f t="shared" ca="1" si="491"/>
        <v/>
      </c>
      <c r="DP167" s="508" t="str">
        <f t="shared" ca="1" si="492"/>
        <v/>
      </c>
      <c r="DQ167" s="508" t="str">
        <f t="shared" ca="1" si="493"/>
        <v/>
      </c>
      <c r="DR167" s="508" t="str">
        <f t="shared" ca="1" si="494"/>
        <v/>
      </c>
      <c r="DS167" s="353">
        <f t="shared" ca="1" si="495"/>
        <v>0</v>
      </c>
      <c r="DT167" s="353">
        <f t="shared" ca="1" si="496"/>
        <v>0</v>
      </c>
      <c r="DU167" s="380">
        <f t="shared" ca="1" si="596"/>
        <v>12.583162217659138</v>
      </c>
      <c r="DV167" s="303">
        <f t="shared" ca="1" si="497"/>
        <v>0</v>
      </c>
      <c r="DW167" s="303">
        <f t="shared" ca="1" si="498"/>
        <v>0</v>
      </c>
      <c r="DX167" s="303">
        <f t="shared" ca="1" si="499"/>
        <v>0</v>
      </c>
      <c r="DY167" s="303">
        <f t="shared" ca="1" si="500"/>
        <v>0</v>
      </c>
      <c r="DZ167" s="303">
        <f t="shared" ca="1" si="501"/>
        <v>0</v>
      </c>
      <c r="EA167" s="303">
        <f t="shared" ca="1" si="502"/>
        <v>0</v>
      </c>
      <c r="EB167" s="302">
        <f t="shared" ca="1" si="503"/>
        <v>0</v>
      </c>
      <c r="EC167" s="299">
        <f t="shared" ca="1" si="504"/>
        <v>0</v>
      </c>
      <c r="ED167" s="299">
        <f t="shared" ca="1" si="505"/>
        <v>0</v>
      </c>
      <c r="EE167" s="299">
        <f t="shared" ca="1" si="506"/>
        <v>0</v>
      </c>
      <c r="EF167" s="299">
        <f t="shared" ca="1" si="507"/>
        <v>0</v>
      </c>
      <c r="EG167" s="299">
        <f t="shared" ca="1" si="508"/>
        <v>0</v>
      </c>
      <c r="EH167" s="302">
        <f t="shared" ca="1" si="509"/>
        <v>0</v>
      </c>
      <c r="EI167" s="304" t="str">
        <f t="shared" ca="1" si="510"/>
        <v/>
      </c>
      <c r="EJ167" s="305" t="str">
        <f t="shared" ca="1" si="511"/>
        <v/>
      </c>
      <c r="EK167" s="305" t="str">
        <f t="shared" ca="1" si="512"/>
        <v/>
      </c>
      <c r="EL167" s="305" t="str">
        <f t="shared" ca="1" si="513"/>
        <v/>
      </c>
      <c r="EM167" s="305" t="str">
        <f t="shared" ca="1" si="514"/>
        <v/>
      </c>
      <c r="EN167" s="305" t="str">
        <f t="shared" ca="1" si="515"/>
        <v/>
      </c>
      <c r="EO167" s="305" t="str">
        <f t="shared" ca="1" si="516"/>
        <v/>
      </c>
      <c r="EP167" s="305" t="str">
        <f t="shared" ca="1" si="517"/>
        <v/>
      </c>
      <c r="EQ167" s="305" t="str">
        <f t="shared" ca="1" si="518"/>
        <v/>
      </c>
      <c r="ER167" s="305" t="str">
        <f t="shared" ca="1" si="519"/>
        <v/>
      </c>
      <c r="ES167" s="305" t="str">
        <f t="shared" ca="1" si="520"/>
        <v/>
      </c>
      <c r="ET167" s="299">
        <f t="shared" ca="1" si="521"/>
        <v>0</v>
      </c>
      <c r="EU167" s="302">
        <f t="shared" ca="1" si="522"/>
        <v>0</v>
      </c>
      <c r="EV167" s="304" t="str">
        <f t="shared" ca="1" si="523"/>
        <v/>
      </c>
      <c r="EW167" s="305" t="str">
        <f t="shared" ca="1" si="524"/>
        <v/>
      </c>
      <c r="EX167" s="305" t="str">
        <f t="shared" ca="1" si="525"/>
        <v/>
      </c>
      <c r="EY167" s="305" t="str">
        <f t="shared" ca="1" si="526"/>
        <v/>
      </c>
      <c r="EZ167" s="305" t="str">
        <f t="shared" ca="1" si="527"/>
        <v/>
      </c>
      <c r="FA167" s="305" t="str">
        <f t="shared" ca="1" si="528"/>
        <v/>
      </c>
      <c r="FB167" s="305" t="str">
        <f t="shared" ca="1" si="529"/>
        <v/>
      </c>
      <c r="FC167" s="305" t="str">
        <f t="shared" ca="1" si="530"/>
        <v/>
      </c>
      <c r="FD167" s="305" t="str">
        <f t="shared" ca="1" si="531"/>
        <v/>
      </c>
      <c r="FE167" s="305" t="str">
        <f t="shared" ca="1" si="532"/>
        <v/>
      </c>
      <c r="FF167" s="305" t="str">
        <f t="shared" ca="1" si="533"/>
        <v/>
      </c>
      <c r="FG167" s="299">
        <f t="shared" ca="1" si="534"/>
        <v>0</v>
      </c>
      <c r="FH167" s="302">
        <f t="shared" ca="1" si="535"/>
        <v>0</v>
      </c>
      <c r="FI167" s="248">
        <f t="shared" ca="1" si="536"/>
        <v>0</v>
      </c>
      <c r="FJ167" s="363">
        <f t="shared" ca="1" si="537"/>
        <v>0</v>
      </c>
      <c r="FK167" s="378" t="str">
        <f t="shared" ca="1" si="538"/>
        <v/>
      </c>
      <c r="FL167" s="508" t="str">
        <f t="shared" ca="1" si="539"/>
        <v/>
      </c>
      <c r="FM167" s="508" t="str">
        <f t="shared" ca="1" si="540"/>
        <v/>
      </c>
      <c r="FN167" s="508" t="str">
        <f t="shared" ca="1" si="541"/>
        <v/>
      </c>
      <c r="FO167" s="508" t="str">
        <f t="shared" ca="1" si="542"/>
        <v/>
      </c>
      <c r="FP167" s="353">
        <f t="shared" ca="1" si="543"/>
        <v>0</v>
      </c>
      <c r="FQ167" s="356">
        <f t="shared" ca="1" si="544"/>
        <v>0</v>
      </c>
      <c r="FR167" s="380">
        <f t="shared" ca="1" si="545"/>
        <v>0</v>
      </c>
      <c r="FS167" s="299">
        <f t="shared" ca="1" si="546"/>
        <v>0</v>
      </c>
      <c r="FT167" s="299">
        <f t="shared" ca="1" si="547"/>
        <v>0</v>
      </c>
      <c r="FU167" s="299">
        <f t="shared" ca="1" si="548"/>
        <v>0</v>
      </c>
      <c r="FV167" s="299">
        <f t="shared" ca="1" si="549"/>
        <v>0</v>
      </c>
      <c r="FW167" s="850" t="str">
        <f t="shared" ca="1" si="550"/>
        <v/>
      </c>
      <c r="FX167" s="851" t="str">
        <f t="shared" ca="1" si="551"/>
        <v/>
      </c>
      <c r="FY167" s="851" t="str">
        <f t="shared" ca="1" si="552"/>
        <v/>
      </c>
      <c r="FZ167" s="201" t="str">
        <f t="shared" ca="1" si="553"/>
        <v/>
      </c>
      <c r="GA167" s="201" t="str">
        <f t="shared" ca="1" si="554"/>
        <v/>
      </c>
      <c r="GB167" s="201" t="str">
        <f t="shared" ca="1" si="555"/>
        <v/>
      </c>
      <c r="GC167" s="201" t="str">
        <f t="shared" ca="1" si="556"/>
        <v/>
      </c>
      <c r="GD167" s="850" t="str">
        <f t="shared" ca="1" si="557"/>
        <v/>
      </c>
      <c r="GE167" s="866" t="str">
        <f t="shared" ca="1" si="558"/>
        <v/>
      </c>
      <c r="GF167" s="866" t="str">
        <f t="shared" ca="1" si="559"/>
        <v/>
      </c>
      <c r="GG167" s="866" t="str">
        <f t="shared" ca="1" si="560"/>
        <v/>
      </c>
      <c r="GH167" s="866" t="str">
        <f t="shared" ca="1" si="561"/>
        <v/>
      </c>
      <c r="GI167" s="302">
        <f t="shared" ca="1" si="562"/>
        <v>0</v>
      </c>
      <c r="GJ167" s="299">
        <f t="shared" ca="1" si="563"/>
        <v>0</v>
      </c>
      <c r="GK167" s="299">
        <f t="shared" ca="1" si="564"/>
        <v>0</v>
      </c>
      <c r="GL167" s="299">
        <f t="shared" ca="1" si="565"/>
        <v>0</v>
      </c>
      <c r="GM167" s="299">
        <f t="shared" ca="1" si="566"/>
        <v>0</v>
      </c>
      <c r="GN167" s="302">
        <f t="shared" ca="1" si="567"/>
        <v>0</v>
      </c>
      <c r="GO167" s="299">
        <f t="shared" ca="1" si="568"/>
        <v>0</v>
      </c>
      <c r="GP167" s="299">
        <f t="shared" ca="1" si="569"/>
        <v>0</v>
      </c>
      <c r="GQ167" s="299">
        <f t="shared" ca="1" si="570"/>
        <v>0</v>
      </c>
      <c r="GR167" s="299">
        <f t="shared" ca="1" si="571"/>
        <v>0</v>
      </c>
      <c r="GS167" s="302">
        <f t="shared" ca="1" si="572"/>
        <v>0</v>
      </c>
      <c r="GT167" s="299">
        <f t="shared" ca="1" si="573"/>
        <v>0</v>
      </c>
      <c r="GU167" s="299">
        <f t="shared" ca="1" si="574"/>
        <v>0</v>
      </c>
      <c r="GV167" s="299">
        <f t="shared" ca="1" si="575"/>
        <v>0</v>
      </c>
      <c r="GW167" s="299">
        <f t="shared" ca="1" si="576"/>
        <v>0</v>
      </c>
      <c r="GX167" s="303">
        <f t="shared" ca="1" si="577"/>
        <v>0</v>
      </c>
      <c r="GY167" s="303">
        <f t="shared" ca="1" si="578"/>
        <v>0</v>
      </c>
      <c r="GZ167" s="303">
        <f t="shared" ca="1" si="579"/>
        <v>0</v>
      </c>
      <c r="HA167" s="303">
        <f t="shared" ca="1" si="580"/>
        <v>0</v>
      </c>
      <c r="HB167" s="303">
        <f t="shared" ca="1" si="581"/>
        <v>0</v>
      </c>
      <c r="HC167" s="303">
        <f t="shared" ca="1" si="582"/>
        <v>0</v>
      </c>
      <c r="HD167" s="303">
        <f t="shared" ca="1" si="583"/>
        <v>0</v>
      </c>
      <c r="HE167" s="303">
        <f t="shared" ca="1" si="584"/>
        <v>0</v>
      </c>
      <c r="HF167" s="303">
        <f t="shared" ca="1" si="585"/>
        <v>0</v>
      </c>
      <c r="HG167" s="852">
        <f t="shared" ca="1" si="586"/>
        <v>0</v>
      </c>
    </row>
    <row r="168" spans="1:215" x14ac:dyDescent="0.25">
      <c r="A168" s="244">
        <f t="shared" ca="1" si="587"/>
        <v>41214</v>
      </c>
      <c r="B168" s="13">
        <f t="shared" ca="1" si="609"/>
        <v>2012</v>
      </c>
      <c r="C168" s="619">
        <f t="shared" ca="1" si="610"/>
        <v>11</v>
      </c>
      <c r="D168" s="195">
        <f t="shared" ca="1" si="417"/>
        <v>41235</v>
      </c>
      <c r="E168" s="469" t="str">
        <f t="shared" ca="1" si="418"/>
        <v/>
      </c>
      <c r="F168" s="465" t="str">
        <f t="shared" ca="1" si="419"/>
        <v/>
      </c>
      <c r="G168" s="522">
        <f t="shared" ca="1" si="588"/>
        <v>1</v>
      </c>
      <c r="H168" s="519">
        <f t="shared" ca="1" si="589"/>
        <v>1</v>
      </c>
      <c r="I168" s="724">
        <f t="shared" ca="1" si="611"/>
        <v>7.4195404569705997E-2</v>
      </c>
      <c r="J168" s="198">
        <f t="shared" ca="1" si="421"/>
        <v>0.39350213758995201</v>
      </c>
      <c r="K168" s="200">
        <f t="shared" ca="1" si="597"/>
        <v>30.524999999999999</v>
      </c>
      <c r="L168" s="201">
        <f t="shared" ca="1" si="598"/>
        <v>32.174999999999997</v>
      </c>
      <c r="M168" s="206">
        <f t="shared" ca="1" si="599"/>
        <v>33.825000000000003</v>
      </c>
      <c r="N168" s="851">
        <f t="shared" ca="1" si="603"/>
        <v>24.567251586914054</v>
      </c>
      <c r="O168" s="201">
        <f t="shared" ca="1" si="604"/>
        <v>25.804751586914055</v>
      </c>
      <c r="P168" s="206">
        <f t="shared" ca="1" si="605"/>
        <v>27.042251586914055</v>
      </c>
      <c r="Q168" s="201">
        <f t="shared" ca="1" si="606"/>
        <v>19.504499816894523</v>
      </c>
      <c r="R168" s="201">
        <f t="shared" ca="1" si="607"/>
        <v>23.804499816894523</v>
      </c>
      <c r="S168" s="201">
        <f t="shared" ca="1" si="608"/>
        <v>28.104499816894524</v>
      </c>
      <c r="T168" s="851">
        <f t="shared" ca="1" si="600"/>
        <v>19.549998092651364</v>
      </c>
      <c r="U168" s="201">
        <f t="shared" ca="1" si="601"/>
        <v>20.374998092651364</v>
      </c>
      <c r="V168" s="206">
        <f t="shared" ca="1" si="602"/>
        <v>21.199998092651363</v>
      </c>
      <c r="W168" s="230">
        <f t="shared" ca="1" si="590"/>
        <v>6.8341331087016635E-2</v>
      </c>
      <c r="X168" s="231">
        <f t="shared" ca="1" si="591"/>
        <v>0.13668266217403327</v>
      </c>
      <c r="Y168" s="232">
        <f t="shared" ca="1" si="592"/>
        <v>0.20502399326104992</v>
      </c>
      <c r="Z168" s="231">
        <f t="shared" ca="1" si="612"/>
        <v>6.8341331087016635E-2</v>
      </c>
      <c r="AA168" s="231">
        <f t="shared" ca="1" si="613"/>
        <v>0.13668266217403327</v>
      </c>
      <c r="AB168" s="232">
        <f t="shared" ca="1" si="614"/>
        <v>0.20502399326104992</v>
      </c>
      <c r="AC168" s="231">
        <f t="shared" ca="1" si="615"/>
        <v>6.8341331087016635E-2</v>
      </c>
      <c r="AD168" s="231">
        <f t="shared" ca="1" si="616"/>
        <v>0.13668266217403327</v>
      </c>
      <c r="AE168" s="232">
        <f t="shared" ca="1" si="422"/>
        <v>0.20502399326104992</v>
      </c>
      <c r="AF168" s="231">
        <f t="shared" ca="1" si="593"/>
        <v>2.3541501712043993E-2</v>
      </c>
      <c r="AG168" s="231">
        <f t="shared" ca="1" si="594"/>
        <v>4.7083003424087985E-2</v>
      </c>
      <c r="AH168" s="232">
        <f t="shared" ca="1" si="595"/>
        <v>7.0624505136131971E-2</v>
      </c>
      <c r="AI168" s="233">
        <f t="shared" ca="1" si="423"/>
        <v>1</v>
      </c>
      <c r="AJ168" s="233">
        <f t="shared" ca="1" si="424"/>
        <v>1.25</v>
      </c>
      <c r="AK168" s="234">
        <f t="shared" ca="1" si="425"/>
        <v>1.55</v>
      </c>
      <c r="AL168" s="919">
        <f t="shared" ca="1" si="426"/>
        <v>1</v>
      </c>
      <c r="AM168" s="233">
        <f t="shared" ca="1" si="427"/>
        <v>1.25</v>
      </c>
      <c r="AN168" s="234">
        <f t="shared" ca="1" si="428"/>
        <v>1.55</v>
      </c>
      <c r="AO168" s="233">
        <f t="shared" ca="1" si="429"/>
        <v>1</v>
      </c>
      <c r="AP168" s="233">
        <f t="shared" ca="1" si="430"/>
        <v>1.25</v>
      </c>
      <c r="AQ168" s="233">
        <f t="shared" ca="1" si="431"/>
        <v>1.55</v>
      </c>
      <c r="AR168" s="919">
        <f t="shared" ca="1" si="432"/>
        <v>0.15</v>
      </c>
      <c r="AS168" s="233">
        <f t="shared" ca="1" si="433"/>
        <v>0.3</v>
      </c>
      <c r="AT168" s="235">
        <f t="shared" ca="1" si="434"/>
        <v>0.5</v>
      </c>
      <c r="AU168" s="946">
        <f t="shared" si="435"/>
        <v>0.5</v>
      </c>
      <c r="AV168" s="13">
        <f t="shared" ca="1" si="436"/>
        <v>0</v>
      </c>
      <c r="AW168" s="210">
        <f t="shared" ca="1" si="437"/>
        <v>0</v>
      </c>
      <c r="AX168" s="210">
        <f t="shared" ca="1" si="438"/>
        <v>0</v>
      </c>
      <c r="AY168" s="210">
        <f t="shared" ca="1" si="439"/>
        <v>0</v>
      </c>
      <c r="AZ168" s="13">
        <f t="shared" ca="1" si="440"/>
        <v>0</v>
      </c>
      <c r="BA168" s="357">
        <f ca="1"/>
        <v>0</v>
      </c>
      <c r="BB168" s="925">
        <f ca="1"/>
        <v>0</v>
      </c>
      <c r="BC168" s="925">
        <f ca="1"/>
        <v>0</v>
      </c>
      <c r="BD168" s="928">
        <f ca="1"/>
        <v>0</v>
      </c>
      <c r="BE168" s="200">
        <f ca="1"/>
        <v>0</v>
      </c>
      <c r="BF168" s="851">
        <f ca="1"/>
        <v>0</v>
      </c>
      <c r="BG168" s="851">
        <f ca="1"/>
        <v>0</v>
      </c>
      <c r="BH168" s="933">
        <f ca="1"/>
        <v>0</v>
      </c>
      <c r="BI168" s="357">
        <f ca="1"/>
        <v>0</v>
      </c>
      <c r="BJ168" s="925">
        <f ca="1"/>
        <v>0</v>
      </c>
      <c r="BK168" s="925">
        <f ca="1"/>
        <v>0</v>
      </c>
      <c r="BL168" s="928">
        <f ca="1"/>
        <v>0</v>
      </c>
      <c r="BM168" s="200">
        <f ca="1"/>
        <v>0</v>
      </c>
      <c r="BN168" s="851">
        <f ca="1"/>
        <v>0</v>
      </c>
      <c r="BO168" s="851">
        <f ca="1"/>
        <v>0</v>
      </c>
      <c r="BP168" s="933">
        <f ca="1"/>
        <v>0</v>
      </c>
      <c r="BQ168" s="357">
        <f t="shared" ca="1" si="441"/>
        <v>0</v>
      </c>
      <c r="BR168" s="361">
        <f t="shared" ca="1" si="442"/>
        <v>0</v>
      </c>
      <c r="BS168" s="357">
        <f t="shared" ca="1" si="443"/>
        <v>0</v>
      </c>
      <c r="BT168" s="302">
        <f t="shared" ca="1" si="444"/>
        <v>0</v>
      </c>
      <c r="BU168" s="299">
        <f t="shared" ca="1" si="445"/>
        <v>0</v>
      </c>
      <c r="BV168" s="299">
        <f t="shared" ca="1" si="446"/>
        <v>0</v>
      </c>
      <c r="BW168" s="299">
        <f t="shared" ca="1" si="447"/>
        <v>0</v>
      </c>
      <c r="BX168" s="380">
        <f t="shared" ca="1" si="448"/>
        <v>12.668035592060233</v>
      </c>
      <c r="BY168" s="363">
        <f t="shared" ca="1" si="449"/>
        <v>0</v>
      </c>
      <c r="BZ168" s="353">
        <f t="shared" ca="1" si="450"/>
        <v>0</v>
      </c>
      <c r="CA168" s="353">
        <f t="shared" ca="1" si="451"/>
        <v>0</v>
      </c>
      <c r="CB168" s="353">
        <f t="shared" ca="1" si="452"/>
        <v>0</v>
      </c>
      <c r="CC168" s="353">
        <f t="shared" ca="1" si="453"/>
        <v>0</v>
      </c>
      <c r="CD168" s="353">
        <f t="shared" ca="1" si="454"/>
        <v>0</v>
      </c>
      <c r="CE168" s="302">
        <f t="shared" ca="1" si="455"/>
        <v>0</v>
      </c>
      <c r="CF168" s="299">
        <f t="shared" ca="1" si="456"/>
        <v>0</v>
      </c>
      <c r="CG168" s="299">
        <f t="shared" ca="1" si="457"/>
        <v>0</v>
      </c>
      <c r="CH168" s="299">
        <f t="shared" ca="1" si="458"/>
        <v>0</v>
      </c>
      <c r="CI168" s="299">
        <f t="shared" ca="1" si="459"/>
        <v>0</v>
      </c>
      <c r="CJ168" s="299">
        <f t="shared" ca="1" si="460"/>
        <v>0</v>
      </c>
      <c r="CK168" s="299">
        <f t="shared" ca="1" si="461"/>
        <v>0</v>
      </c>
      <c r="CL168" s="377" t="str">
        <f t="shared" ca="1" si="462"/>
        <v/>
      </c>
      <c r="CM168" s="305" t="str">
        <f t="shared" ca="1" si="463"/>
        <v/>
      </c>
      <c r="CN168" s="305" t="str">
        <f t="shared" ca="1" si="464"/>
        <v/>
      </c>
      <c r="CO168" s="305" t="str">
        <f t="shared" ca="1" si="465"/>
        <v/>
      </c>
      <c r="CP168" s="305" t="str">
        <f t="shared" ca="1" si="466"/>
        <v/>
      </c>
      <c r="CQ168" s="305" t="str">
        <f t="shared" ca="1" si="467"/>
        <v/>
      </c>
      <c r="CR168" s="775" t="str">
        <f t="shared" ca="1" si="468"/>
        <v/>
      </c>
      <c r="CS168" s="305" t="str">
        <f t="shared" ca="1" si="469"/>
        <v/>
      </c>
      <c r="CT168" s="305" t="str">
        <f t="shared" ca="1" si="470"/>
        <v/>
      </c>
      <c r="CU168" s="305" t="str">
        <f t="shared" ca="1" si="471"/>
        <v/>
      </c>
      <c r="CV168" s="770" t="str">
        <f t="shared" ca="1" si="472"/>
        <v/>
      </c>
      <c r="CW168" s="302">
        <f t="shared" ca="1" si="473"/>
        <v>0</v>
      </c>
      <c r="CX168" s="299">
        <f t="shared" ca="1" si="474"/>
        <v>0</v>
      </c>
      <c r="CY168" s="299">
        <f t="shared" ca="1" si="475"/>
        <v>0</v>
      </c>
      <c r="CZ168" s="299">
        <f t="shared" ca="1" si="476"/>
        <v>0</v>
      </c>
      <c r="DA168" s="774">
        <f t="shared" ca="1" si="477"/>
        <v>0</v>
      </c>
      <c r="DB168" s="303">
        <f t="shared" ca="1" si="478"/>
        <v>0</v>
      </c>
      <c r="DC168" s="248">
        <f t="shared" ca="1" si="479"/>
        <v>0</v>
      </c>
      <c r="DD168" s="778">
        <f t="shared" ca="1" si="480"/>
        <v>0</v>
      </c>
      <c r="DE168" s="363">
        <f t="shared" ca="1" si="481"/>
        <v>0</v>
      </c>
      <c r="DF168" s="378" t="str">
        <f t="shared" ca="1" si="482"/>
        <v/>
      </c>
      <c r="DG168" s="508" t="str">
        <f t="shared" ca="1" si="483"/>
        <v/>
      </c>
      <c r="DH168" s="508" t="str">
        <f t="shared" ca="1" si="484"/>
        <v/>
      </c>
      <c r="DI168" s="508" t="str">
        <f t="shared" ca="1" si="485"/>
        <v/>
      </c>
      <c r="DJ168" s="508" t="str">
        <f t="shared" ca="1" si="486"/>
        <v/>
      </c>
      <c r="DK168" s="353">
        <f t="shared" ca="1" si="487"/>
        <v>0</v>
      </c>
      <c r="DL168" s="781">
        <f t="shared" ca="1" si="488"/>
        <v>0</v>
      </c>
      <c r="DM168" s="303">
        <f t="shared" ca="1" si="489"/>
        <v>0</v>
      </c>
      <c r="DN168" s="508" t="str">
        <f t="shared" ca="1" si="490"/>
        <v/>
      </c>
      <c r="DO168" s="508" t="str">
        <f t="shared" ca="1" si="491"/>
        <v/>
      </c>
      <c r="DP168" s="508" t="str">
        <f t="shared" ca="1" si="492"/>
        <v/>
      </c>
      <c r="DQ168" s="508" t="str">
        <f t="shared" ca="1" si="493"/>
        <v/>
      </c>
      <c r="DR168" s="508" t="str">
        <f t="shared" ca="1" si="494"/>
        <v/>
      </c>
      <c r="DS168" s="353">
        <f t="shared" ca="1" si="495"/>
        <v>0</v>
      </c>
      <c r="DT168" s="353">
        <f t="shared" ca="1" si="496"/>
        <v>0</v>
      </c>
      <c r="DU168" s="380">
        <f t="shared" ca="1" si="596"/>
        <v>12.668035592060233</v>
      </c>
      <c r="DV168" s="303">
        <f t="shared" ca="1" si="497"/>
        <v>0</v>
      </c>
      <c r="DW168" s="303">
        <f t="shared" ca="1" si="498"/>
        <v>0</v>
      </c>
      <c r="DX168" s="303">
        <f t="shared" ca="1" si="499"/>
        <v>0</v>
      </c>
      <c r="DY168" s="303">
        <f t="shared" ca="1" si="500"/>
        <v>0</v>
      </c>
      <c r="DZ168" s="303">
        <f t="shared" ca="1" si="501"/>
        <v>0</v>
      </c>
      <c r="EA168" s="303">
        <f t="shared" ca="1" si="502"/>
        <v>0</v>
      </c>
      <c r="EB168" s="302">
        <f t="shared" ca="1" si="503"/>
        <v>0</v>
      </c>
      <c r="EC168" s="299">
        <f t="shared" ca="1" si="504"/>
        <v>0</v>
      </c>
      <c r="ED168" s="299">
        <f t="shared" ca="1" si="505"/>
        <v>0</v>
      </c>
      <c r="EE168" s="299">
        <f t="shared" ca="1" si="506"/>
        <v>0</v>
      </c>
      <c r="EF168" s="299">
        <f t="shared" ca="1" si="507"/>
        <v>0</v>
      </c>
      <c r="EG168" s="299">
        <f t="shared" ca="1" si="508"/>
        <v>0</v>
      </c>
      <c r="EH168" s="302">
        <f t="shared" ca="1" si="509"/>
        <v>0</v>
      </c>
      <c r="EI168" s="304" t="str">
        <f t="shared" ca="1" si="510"/>
        <v/>
      </c>
      <c r="EJ168" s="305" t="str">
        <f t="shared" ca="1" si="511"/>
        <v/>
      </c>
      <c r="EK168" s="305" t="str">
        <f t="shared" ca="1" si="512"/>
        <v/>
      </c>
      <c r="EL168" s="305" t="str">
        <f t="shared" ca="1" si="513"/>
        <v/>
      </c>
      <c r="EM168" s="305" t="str">
        <f t="shared" ca="1" si="514"/>
        <v/>
      </c>
      <c r="EN168" s="305" t="str">
        <f t="shared" ca="1" si="515"/>
        <v/>
      </c>
      <c r="EO168" s="305" t="str">
        <f t="shared" ca="1" si="516"/>
        <v/>
      </c>
      <c r="EP168" s="305" t="str">
        <f t="shared" ca="1" si="517"/>
        <v/>
      </c>
      <c r="EQ168" s="305" t="str">
        <f t="shared" ca="1" si="518"/>
        <v/>
      </c>
      <c r="ER168" s="305" t="str">
        <f t="shared" ca="1" si="519"/>
        <v/>
      </c>
      <c r="ES168" s="305" t="str">
        <f t="shared" ca="1" si="520"/>
        <v/>
      </c>
      <c r="ET168" s="299">
        <f t="shared" ca="1" si="521"/>
        <v>0</v>
      </c>
      <c r="EU168" s="302">
        <f t="shared" ca="1" si="522"/>
        <v>0</v>
      </c>
      <c r="EV168" s="304" t="str">
        <f t="shared" ca="1" si="523"/>
        <v/>
      </c>
      <c r="EW168" s="305" t="str">
        <f t="shared" ca="1" si="524"/>
        <v/>
      </c>
      <c r="EX168" s="305" t="str">
        <f t="shared" ca="1" si="525"/>
        <v/>
      </c>
      <c r="EY168" s="305" t="str">
        <f t="shared" ca="1" si="526"/>
        <v/>
      </c>
      <c r="EZ168" s="305" t="str">
        <f t="shared" ca="1" si="527"/>
        <v/>
      </c>
      <c r="FA168" s="305" t="str">
        <f t="shared" ca="1" si="528"/>
        <v/>
      </c>
      <c r="FB168" s="305" t="str">
        <f t="shared" ca="1" si="529"/>
        <v/>
      </c>
      <c r="FC168" s="305" t="str">
        <f t="shared" ca="1" si="530"/>
        <v/>
      </c>
      <c r="FD168" s="305" t="str">
        <f t="shared" ca="1" si="531"/>
        <v/>
      </c>
      <c r="FE168" s="305" t="str">
        <f t="shared" ca="1" si="532"/>
        <v/>
      </c>
      <c r="FF168" s="305" t="str">
        <f t="shared" ca="1" si="533"/>
        <v/>
      </c>
      <c r="FG168" s="299">
        <f t="shared" ca="1" si="534"/>
        <v>0</v>
      </c>
      <c r="FH168" s="302">
        <f t="shared" ca="1" si="535"/>
        <v>0</v>
      </c>
      <c r="FI168" s="248">
        <f t="shared" ca="1" si="536"/>
        <v>0</v>
      </c>
      <c r="FJ168" s="363">
        <f t="shared" ca="1" si="537"/>
        <v>0</v>
      </c>
      <c r="FK168" s="378" t="str">
        <f t="shared" ca="1" si="538"/>
        <v/>
      </c>
      <c r="FL168" s="508" t="str">
        <f t="shared" ca="1" si="539"/>
        <v/>
      </c>
      <c r="FM168" s="508" t="str">
        <f t="shared" ca="1" si="540"/>
        <v/>
      </c>
      <c r="FN168" s="508" t="str">
        <f t="shared" ca="1" si="541"/>
        <v/>
      </c>
      <c r="FO168" s="508" t="str">
        <f t="shared" ca="1" si="542"/>
        <v/>
      </c>
      <c r="FP168" s="353">
        <f t="shared" ca="1" si="543"/>
        <v>0</v>
      </c>
      <c r="FQ168" s="356">
        <f t="shared" ca="1" si="544"/>
        <v>0</v>
      </c>
      <c r="FR168" s="380">
        <f t="shared" ca="1" si="545"/>
        <v>0</v>
      </c>
      <c r="FS168" s="299">
        <f t="shared" ca="1" si="546"/>
        <v>0</v>
      </c>
      <c r="FT168" s="299">
        <f t="shared" ca="1" si="547"/>
        <v>0</v>
      </c>
      <c r="FU168" s="299">
        <f t="shared" ca="1" si="548"/>
        <v>0</v>
      </c>
      <c r="FV168" s="299">
        <f t="shared" ca="1" si="549"/>
        <v>0</v>
      </c>
      <c r="FW168" s="850" t="str">
        <f t="shared" ca="1" si="550"/>
        <v/>
      </c>
      <c r="FX168" s="851" t="str">
        <f t="shared" ca="1" si="551"/>
        <v/>
      </c>
      <c r="FY168" s="851" t="str">
        <f t="shared" ca="1" si="552"/>
        <v/>
      </c>
      <c r="FZ168" s="201" t="str">
        <f t="shared" ca="1" si="553"/>
        <v/>
      </c>
      <c r="GA168" s="201" t="str">
        <f t="shared" ca="1" si="554"/>
        <v/>
      </c>
      <c r="GB168" s="201" t="str">
        <f t="shared" ca="1" si="555"/>
        <v/>
      </c>
      <c r="GC168" s="201" t="str">
        <f t="shared" ca="1" si="556"/>
        <v/>
      </c>
      <c r="GD168" s="850" t="str">
        <f t="shared" ca="1" si="557"/>
        <v/>
      </c>
      <c r="GE168" s="866" t="str">
        <f t="shared" ca="1" si="558"/>
        <v/>
      </c>
      <c r="GF168" s="866" t="str">
        <f t="shared" ca="1" si="559"/>
        <v/>
      </c>
      <c r="GG168" s="866" t="str">
        <f t="shared" ca="1" si="560"/>
        <v/>
      </c>
      <c r="GH168" s="866" t="str">
        <f t="shared" ca="1" si="561"/>
        <v/>
      </c>
      <c r="GI168" s="302">
        <f t="shared" ca="1" si="562"/>
        <v>0</v>
      </c>
      <c r="GJ168" s="299">
        <f t="shared" ca="1" si="563"/>
        <v>0</v>
      </c>
      <c r="GK168" s="299">
        <f t="shared" ca="1" si="564"/>
        <v>0</v>
      </c>
      <c r="GL168" s="299">
        <f t="shared" ca="1" si="565"/>
        <v>0</v>
      </c>
      <c r="GM168" s="299">
        <f t="shared" ca="1" si="566"/>
        <v>0</v>
      </c>
      <c r="GN168" s="302">
        <f t="shared" ca="1" si="567"/>
        <v>0</v>
      </c>
      <c r="GO168" s="299">
        <f t="shared" ca="1" si="568"/>
        <v>0</v>
      </c>
      <c r="GP168" s="299">
        <f t="shared" ca="1" si="569"/>
        <v>0</v>
      </c>
      <c r="GQ168" s="299">
        <f t="shared" ca="1" si="570"/>
        <v>0</v>
      </c>
      <c r="GR168" s="299">
        <f t="shared" ca="1" si="571"/>
        <v>0</v>
      </c>
      <c r="GS168" s="302">
        <f t="shared" ca="1" si="572"/>
        <v>0</v>
      </c>
      <c r="GT168" s="299">
        <f t="shared" ca="1" si="573"/>
        <v>0</v>
      </c>
      <c r="GU168" s="299">
        <f t="shared" ca="1" si="574"/>
        <v>0</v>
      </c>
      <c r="GV168" s="299">
        <f t="shared" ca="1" si="575"/>
        <v>0</v>
      </c>
      <c r="GW168" s="299">
        <f t="shared" ca="1" si="576"/>
        <v>0</v>
      </c>
      <c r="GX168" s="303">
        <f t="shared" ca="1" si="577"/>
        <v>0</v>
      </c>
      <c r="GY168" s="303">
        <f t="shared" ca="1" si="578"/>
        <v>0</v>
      </c>
      <c r="GZ168" s="303">
        <f t="shared" ca="1" si="579"/>
        <v>0</v>
      </c>
      <c r="HA168" s="303">
        <f t="shared" ca="1" si="580"/>
        <v>0</v>
      </c>
      <c r="HB168" s="303">
        <f t="shared" ca="1" si="581"/>
        <v>0</v>
      </c>
      <c r="HC168" s="303">
        <f t="shared" ca="1" si="582"/>
        <v>0</v>
      </c>
      <c r="HD168" s="303">
        <f t="shared" ca="1" si="583"/>
        <v>0</v>
      </c>
      <c r="HE168" s="303">
        <f t="shared" ca="1" si="584"/>
        <v>0</v>
      </c>
      <c r="HF168" s="303">
        <f t="shared" ca="1" si="585"/>
        <v>0</v>
      </c>
      <c r="HG168" s="852">
        <f t="shared" ca="1" si="586"/>
        <v>0</v>
      </c>
    </row>
    <row r="169" spans="1:215" x14ac:dyDescent="0.25">
      <c r="A169" s="244">
        <f t="shared" ca="1" si="587"/>
        <v>41244</v>
      </c>
      <c r="B169" s="13">
        <f t="shared" ca="1" si="609"/>
        <v>2012</v>
      </c>
      <c r="C169" s="619">
        <f t="shared" ca="1" si="610"/>
        <v>12</v>
      </c>
      <c r="D169" s="195">
        <f t="shared" ca="1" si="417"/>
        <v>41268</v>
      </c>
      <c r="E169" s="469" t="str">
        <f t="shared" ca="1" si="418"/>
        <v/>
      </c>
      <c r="F169" s="465" t="str">
        <f t="shared" ca="1" si="419"/>
        <v/>
      </c>
      <c r="G169" s="522">
        <f t="shared" ca="1" si="588"/>
        <v>1</v>
      </c>
      <c r="H169" s="519">
        <f t="shared" ca="1" si="589"/>
        <v>1</v>
      </c>
      <c r="I169" s="724">
        <f t="shared" ca="1" si="611"/>
        <v>7.4195119358852993E-2</v>
      </c>
      <c r="J169" s="198">
        <f t="shared" ca="1" si="421"/>
        <v>0.39107792043247708</v>
      </c>
      <c r="K169" s="200">
        <f t="shared" ca="1" si="597"/>
        <v>30.4</v>
      </c>
      <c r="L169" s="201">
        <f t="shared" ca="1" si="598"/>
        <v>32.049999999999997</v>
      </c>
      <c r="M169" s="206">
        <f t="shared" ca="1" si="599"/>
        <v>33.700000000000003</v>
      </c>
      <c r="N169" s="851">
        <f t="shared" ca="1" si="603"/>
        <v>26.01749839782714</v>
      </c>
      <c r="O169" s="201">
        <f t="shared" ca="1" si="604"/>
        <v>27.254998397827141</v>
      </c>
      <c r="P169" s="206">
        <f t="shared" ca="1" si="605"/>
        <v>28.492498397827141</v>
      </c>
      <c r="Q169" s="201">
        <f t="shared" ca="1" si="606"/>
        <v>19.449999237060538</v>
      </c>
      <c r="R169" s="201">
        <f t="shared" ca="1" si="607"/>
        <v>23.749999237060539</v>
      </c>
      <c r="S169" s="201">
        <f t="shared" ca="1" si="608"/>
        <v>28.04999923706054</v>
      </c>
      <c r="T169" s="851">
        <f t="shared" ca="1" si="600"/>
        <v>20.974999237060544</v>
      </c>
      <c r="U169" s="201">
        <f t="shared" ca="1" si="601"/>
        <v>21.799999237060543</v>
      </c>
      <c r="V169" s="206">
        <f t="shared" ca="1" si="602"/>
        <v>22.624999237060543</v>
      </c>
      <c r="W169" s="230">
        <f t="shared" ca="1" si="590"/>
        <v>7.0798547485650939E-2</v>
      </c>
      <c r="X169" s="231">
        <f t="shared" ca="1" si="591"/>
        <v>0.14159709497130188</v>
      </c>
      <c r="Y169" s="232">
        <f t="shared" ca="1" si="592"/>
        <v>0.2123956424569528</v>
      </c>
      <c r="Z169" s="231">
        <f t="shared" ca="1" si="612"/>
        <v>7.0798547485650939E-2</v>
      </c>
      <c r="AA169" s="231">
        <f t="shared" ca="1" si="613"/>
        <v>0.14159709497130188</v>
      </c>
      <c r="AB169" s="232">
        <f t="shared" ca="1" si="614"/>
        <v>0.2123956424569528</v>
      </c>
      <c r="AC169" s="231">
        <f t="shared" ca="1" si="615"/>
        <v>7.0798547485650939E-2</v>
      </c>
      <c r="AD169" s="231">
        <f t="shared" ca="1" si="616"/>
        <v>0.14159709497130188</v>
      </c>
      <c r="AE169" s="232">
        <f t="shared" ca="1" si="422"/>
        <v>0.2123956424569528</v>
      </c>
      <c r="AF169" s="231">
        <f t="shared" ca="1" si="593"/>
        <v>2.3541501712043993E-2</v>
      </c>
      <c r="AG169" s="231">
        <f t="shared" ca="1" si="594"/>
        <v>4.7083003424087985E-2</v>
      </c>
      <c r="AH169" s="232">
        <f t="shared" ca="1" si="595"/>
        <v>7.0624505136131971E-2</v>
      </c>
      <c r="AI169" s="233">
        <f t="shared" ca="1" si="423"/>
        <v>1</v>
      </c>
      <c r="AJ169" s="233">
        <f t="shared" ca="1" si="424"/>
        <v>1.25</v>
      </c>
      <c r="AK169" s="234">
        <f t="shared" ca="1" si="425"/>
        <v>1.6</v>
      </c>
      <c r="AL169" s="919">
        <f t="shared" ca="1" si="426"/>
        <v>1</v>
      </c>
      <c r="AM169" s="233">
        <f t="shared" ca="1" si="427"/>
        <v>1.25</v>
      </c>
      <c r="AN169" s="234">
        <f t="shared" ca="1" si="428"/>
        <v>1.6</v>
      </c>
      <c r="AO169" s="233">
        <f t="shared" ca="1" si="429"/>
        <v>1</v>
      </c>
      <c r="AP169" s="233">
        <f t="shared" ca="1" si="430"/>
        <v>1.25</v>
      </c>
      <c r="AQ169" s="233">
        <f t="shared" ca="1" si="431"/>
        <v>1.6</v>
      </c>
      <c r="AR169" s="919">
        <f t="shared" ca="1" si="432"/>
        <v>0.15</v>
      </c>
      <c r="AS169" s="233">
        <f t="shared" ca="1" si="433"/>
        <v>0.3</v>
      </c>
      <c r="AT169" s="235">
        <f t="shared" ca="1" si="434"/>
        <v>0.5</v>
      </c>
      <c r="AU169" s="946">
        <f t="shared" si="435"/>
        <v>0.5</v>
      </c>
      <c r="AV169" s="13">
        <f t="shared" ca="1" si="436"/>
        <v>0</v>
      </c>
      <c r="AW169" s="210">
        <f t="shared" ca="1" si="437"/>
        <v>0</v>
      </c>
      <c r="AX169" s="210">
        <f t="shared" ca="1" si="438"/>
        <v>0</v>
      </c>
      <c r="AY169" s="210">
        <f t="shared" ca="1" si="439"/>
        <v>0</v>
      </c>
      <c r="AZ169" s="13">
        <f t="shared" ca="1" si="440"/>
        <v>0</v>
      </c>
      <c r="BA169" s="357">
        <f ca="1"/>
        <v>0</v>
      </c>
      <c r="BB169" s="925">
        <f ca="1"/>
        <v>0</v>
      </c>
      <c r="BC169" s="925">
        <f ca="1"/>
        <v>0</v>
      </c>
      <c r="BD169" s="928">
        <f ca="1"/>
        <v>0</v>
      </c>
      <c r="BE169" s="200">
        <f ca="1"/>
        <v>0</v>
      </c>
      <c r="BF169" s="851">
        <f ca="1"/>
        <v>0</v>
      </c>
      <c r="BG169" s="851">
        <f ca="1"/>
        <v>0</v>
      </c>
      <c r="BH169" s="933">
        <f ca="1"/>
        <v>0</v>
      </c>
      <c r="BI169" s="357">
        <f ca="1"/>
        <v>0</v>
      </c>
      <c r="BJ169" s="925">
        <f ca="1"/>
        <v>0</v>
      </c>
      <c r="BK169" s="925">
        <f ca="1"/>
        <v>0</v>
      </c>
      <c r="BL169" s="928">
        <f ca="1"/>
        <v>0</v>
      </c>
      <c r="BM169" s="200">
        <f ca="1"/>
        <v>0</v>
      </c>
      <c r="BN169" s="851">
        <f ca="1"/>
        <v>0</v>
      </c>
      <c r="BO169" s="851">
        <f ca="1"/>
        <v>0</v>
      </c>
      <c r="BP169" s="933">
        <f ca="1"/>
        <v>0</v>
      </c>
      <c r="BQ169" s="357">
        <f t="shared" ca="1" si="441"/>
        <v>0</v>
      </c>
      <c r="BR169" s="361">
        <f t="shared" ca="1" si="442"/>
        <v>0</v>
      </c>
      <c r="BS169" s="357">
        <f t="shared" ca="1" si="443"/>
        <v>0</v>
      </c>
      <c r="BT169" s="302">
        <f t="shared" ca="1" si="444"/>
        <v>0</v>
      </c>
      <c r="BU169" s="299">
        <f t="shared" ca="1" si="445"/>
        <v>0</v>
      </c>
      <c r="BV169" s="299">
        <f t="shared" ca="1" si="446"/>
        <v>0</v>
      </c>
      <c r="BW169" s="299">
        <f t="shared" ca="1" si="447"/>
        <v>0</v>
      </c>
      <c r="BX169" s="380">
        <f t="shared" ca="1" si="448"/>
        <v>12.750171115674195</v>
      </c>
      <c r="BY169" s="363">
        <f t="shared" ca="1" si="449"/>
        <v>0</v>
      </c>
      <c r="BZ169" s="353">
        <f t="shared" ca="1" si="450"/>
        <v>0</v>
      </c>
      <c r="CA169" s="353">
        <f t="shared" ca="1" si="451"/>
        <v>0</v>
      </c>
      <c r="CB169" s="353">
        <f t="shared" ca="1" si="452"/>
        <v>0</v>
      </c>
      <c r="CC169" s="353">
        <f t="shared" ca="1" si="453"/>
        <v>0</v>
      </c>
      <c r="CD169" s="353">
        <f t="shared" ca="1" si="454"/>
        <v>0</v>
      </c>
      <c r="CE169" s="302">
        <f t="shared" ca="1" si="455"/>
        <v>0</v>
      </c>
      <c r="CF169" s="299">
        <f t="shared" ca="1" si="456"/>
        <v>0</v>
      </c>
      <c r="CG169" s="299">
        <f t="shared" ca="1" si="457"/>
        <v>0</v>
      </c>
      <c r="CH169" s="299">
        <f t="shared" ca="1" si="458"/>
        <v>0</v>
      </c>
      <c r="CI169" s="299">
        <f t="shared" ca="1" si="459"/>
        <v>0</v>
      </c>
      <c r="CJ169" s="299">
        <f t="shared" ca="1" si="460"/>
        <v>0</v>
      </c>
      <c r="CK169" s="299">
        <f t="shared" ca="1" si="461"/>
        <v>0</v>
      </c>
      <c r="CL169" s="377" t="str">
        <f t="shared" ca="1" si="462"/>
        <v/>
      </c>
      <c r="CM169" s="305" t="str">
        <f t="shared" ca="1" si="463"/>
        <v/>
      </c>
      <c r="CN169" s="305" t="str">
        <f t="shared" ca="1" si="464"/>
        <v/>
      </c>
      <c r="CO169" s="305" t="str">
        <f t="shared" ca="1" si="465"/>
        <v/>
      </c>
      <c r="CP169" s="305" t="str">
        <f t="shared" ca="1" si="466"/>
        <v/>
      </c>
      <c r="CQ169" s="305" t="str">
        <f t="shared" ca="1" si="467"/>
        <v/>
      </c>
      <c r="CR169" s="775" t="str">
        <f t="shared" ca="1" si="468"/>
        <v/>
      </c>
      <c r="CS169" s="305" t="str">
        <f t="shared" ca="1" si="469"/>
        <v/>
      </c>
      <c r="CT169" s="305" t="str">
        <f t="shared" ca="1" si="470"/>
        <v/>
      </c>
      <c r="CU169" s="305" t="str">
        <f t="shared" ca="1" si="471"/>
        <v/>
      </c>
      <c r="CV169" s="770" t="str">
        <f t="shared" ca="1" si="472"/>
        <v/>
      </c>
      <c r="CW169" s="302">
        <f t="shared" ca="1" si="473"/>
        <v>0</v>
      </c>
      <c r="CX169" s="299">
        <f t="shared" ca="1" si="474"/>
        <v>0</v>
      </c>
      <c r="CY169" s="299">
        <f t="shared" ca="1" si="475"/>
        <v>0</v>
      </c>
      <c r="CZ169" s="299">
        <f t="shared" ca="1" si="476"/>
        <v>0</v>
      </c>
      <c r="DA169" s="774">
        <f t="shared" ca="1" si="477"/>
        <v>0</v>
      </c>
      <c r="DB169" s="303">
        <f t="shared" ca="1" si="478"/>
        <v>0</v>
      </c>
      <c r="DC169" s="248">
        <f t="shared" ca="1" si="479"/>
        <v>0</v>
      </c>
      <c r="DD169" s="778">
        <f t="shared" ca="1" si="480"/>
        <v>0</v>
      </c>
      <c r="DE169" s="363">
        <f t="shared" ca="1" si="481"/>
        <v>0</v>
      </c>
      <c r="DF169" s="378" t="str">
        <f t="shared" ca="1" si="482"/>
        <v/>
      </c>
      <c r="DG169" s="508" t="str">
        <f t="shared" ca="1" si="483"/>
        <v/>
      </c>
      <c r="DH169" s="508" t="str">
        <f t="shared" ca="1" si="484"/>
        <v/>
      </c>
      <c r="DI169" s="508" t="str">
        <f t="shared" ca="1" si="485"/>
        <v/>
      </c>
      <c r="DJ169" s="508" t="str">
        <f t="shared" ca="1" si="486"/>
        <v/>
      </c>
      <c r="DK169" s="353">
        <f t="shared" ca="1" si="487"/>
        <v>0</v>
      </c>
      <c r="DL169" s="781">
        <f t="shared" ca="1" si="488"/>
        <v>0</v>
      </c>
      <c r="DM169" s="303">
        <f t="shared" ca="1" si="489"/>
        <v>0</v>
      </c>
      <c r="DN169" s="508" t="str">
        <f t="shared" ca="1" si="490"/>
        <v/>
      </c>
      <c r="DO169" s="508" t="str">
        <f t="shared" ca="1" si="491"/>
        <v/>
      </c>
      <c r="DP169" s="508" t="str">
        <f t="shared" ca="1" si="492"/>
        <v/>
      </c>
      <c r="DQ169" s="508" t="str">
        <f t="shared" ca="1" si="493"/>
        <v/>
      </c>
      <c r="DR169" s="508" t="str">
        <f t="shared" ca="1" si="494"/>
        <v/>
      </c>
      <c r="DS169" s="353">
        <f t="shared" ca="1" si="495"/>
        <v>0</v>
      </c>
      <c r="DT169" s="353">
        <f t="shared" ca="1" si="496"/>
        <v>0</v>
      </c>
      <c r="DU169" s="380">
        <f t="shared" ca="1" si="596"/>
        <v>12.750171115674195</v>
      </c>
      <c r="DV169" s="303">
        <f t="shared" ca="1" si="497"/>
        <v>0</v>
      </c>
      <c r="DW169" s="303">
        <f t="shared" ca="1" si="498"/>
        <v>0</v>
      </c>
      <c r="DX169" s="303">
        <f t="shared" ca="1" si="499"/>
        <v>0</v>
      </c>
      <c r="DY169" s="303">
        <f t="shared" ca="1" si="500"/>
        <v>0</v>
      </c>
      <c r="DZ169" s="303">
        <f t="shared" ca="1" si="501"/>
        <v>0</v>
      </c>
      <c r="EA169" s="303">
        <f t="shared" ca="1" si="502"/>
        <v>0</v>
      </c>
      <c r="EB169" s="302">
        <f t="shared" ca="1" si="503"/>
        <v>0</v>
      </c>
      <c r="EC169" s="299">
        <f t="shared" ca="1" si="504"/>
        <v>0</v>
      </c>
      <c r="ED169" s="299">
        <f t="shared" ca="1" si="505"/>
        <v>0</v>
      </c>
      <c r="EE169" s="299">
        <f t="shared" ca="1" si="506"/>
        <v>0</v>
      </c>
      <c r="EF169" s="299">
        <f t="shared" ca="1" si="507"/>
        <v>0</v>
      </c>
      <c r="EG169" s="299">
        <f t="shared" ca="1" si="508"/>
        <v>0</v>
      </c>
      <c r="EH169" s="302">
        <f t="shared" ca="1" si="509"/>
        <v>0</v>
      </c>
      <c r="EI169" s="304" t="str">
        <f t="shared" ca="1" si="510"/>
        <v/>
      </c>
      <c r="EJ169" s="305" t="str">
        <f t="shared" ca="1" si="511"/>
        <v/>
      </c>
      <c r="EK169" s="305" t="str">
        <f t="shared" ca="1" si="512"/>
        <v/>
      </c>
      <c r="EL169" s="305" t="str">
        <f t="shared" ca="1" si="513"/>
        <v/>
      </c>
      <c r="EM169" s="305" t="str">
        <f t="shared" ca="1" si="514"/>
        <v/>
      </c>
      <c r="EN169" s="305" t="str">
        <f t="shared" ca="1" si="515"/>
        <v/>
      </c>
      <c r="EO169" s="305" t="str">
        <f t="shared" ca="1" si="516"/>
        <v/>
      </c>
      <c r="EP169" s="305" t="str">
        <f t="shared" ca="1" si="517"/>
        <v/>
      </c>
      <c r="EQ169" s="305" t="str">
        <f t="shared" ca="1" si="518"/>
        <v/>
      </c>
      <c r="ER169" s="305" t="str">
        <f t="shared" ca="1" si="519"/>
        <v/>
      </c>
      <c r="ES169" s="305" t="str">
        <f t="shared" ca="1" si="520"/>
        <v/>
      </c>
      <c r="ET169" s="299">
        <f t="shared" ca="1" si="521"/>
        <v>0</v>
      </c>
      <c r="EU169" s="302">
        <f t="shared" ca="1" si="522"/>
        <v>0</v>
      </c>
      <c r="EV169" s="304" t="str">
        <f t="shared" ca="1" si="523"/>
        <v/>
      </c>
      <c r="EW169" s="305" t="str">
        <f t="shared" ca="1" si="524"/>
        <v/>
      </c>
      <c r="EX169" s="305" t="str">
        <f t="shared" ca="1" si="525"/>
        <v/>
      </c>
      <c r="EY169" s="305" t="str">
        <f t="shared" ca="1" si="526"/>
        <v/>
      </c>
      <c r="EZ169" s="305" t="str">
        <f t="shared" ca="1" si="527"/>
        <v/>
      </c>
      <c r="FA169" s="305" t="str">
        <f t="shared" ca="1" si="528"/>
        <v/>
      </c>
      <c r="FB169" s="305" t="str">
        <f t="shared" ca="1" si="529"/>
        <v/>
      </c>
      <c r="FC169" s="305" t="str">
        <f t="shared" ca="1" si="530"/>
        <v/>
      </c>
      <c r="FD169" s="305" t="str">
        <f t="shared" ca="1" si="531"/>
        <v/>
      </c>
      <c r="FE169" s="305" t="str">
        <f t="shared" ca="1" si="532"/>
        <v/>
      </c>
      <c r="FF169" s="305" t="str">
        <f t="shared" ca="1" si="533"/>
        <v/>
      </c>
      <c r="FG169" s="299">
        <f t="shared" ca="1" si="534"/>
        <v>0</v>
      </c>
      <c r="FH169" s="302">
        <f t="shared" ca="1" si="535"/>
        <v>0</v>
      </c>
      <c r="FI169" s="248">
        <f t="shared" ca="1" si="536"/>
        <v>0</v>
      </c>
      <c r="FJ169" s="363">
        <f t="shared" ca="1" si="537"/>
        <v>0</v>
      </c>
      <c r="FK169" s="378" t="str">
        <f t="shared" ca="1" si="538"/>
        <v/>
      </c>
      <c r="FL169" s="508" t="str">
        <f t="shared" ca="1" si="539"/>
        <v/>
      </c>
      <c r="FM169" s="508" t="str">
        <f t="shared" ca="1" si="540"/>
        <v/>
      </c>
      <c r="FN169" s="508" t="str">
        <f t="shared" ca="1" si="541"/>
        <v/>
      </c>
      <c r="FO169" s="508" t="str">
        <f t="shared" ca="1" si="542"/>
        <v/>
      </c>
      <c r="FP169" s="353">
        <f t="shared" ca="1" si="543"/>
        <v>0</v>
      </c>
      <c r="FQ169" s="356">
        <f t="shared" ca="1" si="544"/>
        <v>0</v>
      </c>
      <c r="FR169" s="380">
        <f t="shared" ca="1" si="545"/>
        <v>0</v>
      </c>
      <c r="FS169" s="299">
        <f t="shared" ca="1" si="546"/>
        <v>0</v>
      </c>
      <c r="FT169" s="299">
        <f t="shared" ca="1" si="547"/>
        <v>0</v>
      </c>
      <c r="FU169" s="299">
        <f t="shared" ca="1" si="548"/>
        <v>0</v>
      </c>
      <c r="FV169" s="299">
        <f t="shared" ca="1" si="549"/>
        <v>0</v>
      </c>
      <c r="FW169" s="850" t="str">
        <f t="shared" ca="1" si="550"/>
        <v/>
      </c>
      <c r="FX169" s="851" t="str">
        <f t="shared" ca="1" si="551"/>
        <v/>
      </c>
      <c r="FY169" s="851" t="str">
        <f t="shared" ca="1" si="552"/>
        <v/>
      </c>
      <c r="FZ169" s="201" t="str">
        <f t="shared" ca="1" si="553"/>
        <v/>
      </c>
      <c r="GA169" s="201" t="str">
        <f t="shared" ca="1" si="554"/>
        <v/>
      </c>
      <c r="GB169" s="201" t="str">
        <f t="shared" ca="1" si="555"/>
        <v/>
      </c>
      <c r="GC169" s="201" t="str">
        <f t="shared" ca="1" si="556"/>
        <v/>
      </c>
      <c r="GD169" s="850" t="str">
        <f t="shared" ca="1" si="557"/>
        <v/>
      </c>
      <c r="GE169" s="866" t="str">
        <f t="shared" ca="1" si="558"/>
        <v/>
      </c>
      <c r="GF169" s="866" t="str">
        <f t="shared" ca="1" si="559"/>
        <v/>
      </c>
      <c r="GG169" s="866" t="str">
        <f t="shared" ca="1" si="560"/>
        <v/>
      </c>
      <c r="GH169" s="866" t="str">
        <f t="shared" ca="1" si="561"/>
        <v/>
      </c>
      <c r="GI169" s="302">
        <f t="shared" ca="1" si="562"/>
        <v>0</v>
      </c>
      <c r="GJ169" s="299">
        <f t="shared" ca="1" si="563"/>
        <v>0</v>
      </c>
      <c r="GK169" s="299">
        <f t="shared" ca="1" si="564"/>
        <v>0</v>
      </c>
      <c r="GL169" s="299">
        <f t="shared" ca="1" si="565"/>
        <v>0</v>
      </c>
      <c r="GM169" s="299">
        <f t="shared" ca="1" si="566"/>
        <v>0</v>
      </c>
      <c r="GN169" s="302">
        <f t="shared" ca="1" si="567"/>
        <v>0</v>
      </c>
      <c r="GO169" s="299">
        <f t="shared" ca="1" si="568"/>
        <v>0</v>
      </c>
      <c r="GP169" s="299">
        <f t="shared" ca="1" si="569"/>
        <v>0</v>
      </c>
      <c r="GQ169" s="299">
        <f t="shared" ca="1" si="570"/>
        <v>0</v>
      </c>
      <c r="GR169" s="299">
        <f t="shared" ca="1" si="571"/>
        <v>0</v>
      </c>
      <c r="GS169" s="302">
        <f t="shared" ca="1" si="572"/>
        <v>0</v>
      </c>
      <c r="GT169" s="299">
        <f t="shared" ca="1" si="573"/>
        <v>0</v>
      </c>
      <c r="GU169" s="299">
        <f t="shared" ca="1" si="574"/>
        <v>0</v>
      </c>
      <c r="GV169" s="299">
        <f t="shared" ca="1" si="575"/>
        <v>0</v>
      </c>
      <c r="GW169" s="299">
        <f t="shared" ca="1" si="576"/>
        <v>0</v>
      </c>
      <c r="GX169" s="303">
        <f t="shared" ca="1" si="577"/>
        <v>0</v>
      </c>
      <c r="GY169" s="303">
        <f t="shared" ca="1" si="578"/>
        <v>0</v>
      </c>
      <c r="GZ169" s="303">
        <f t="shared" ca="1" si="579"/>
        <v>0</v>
      </c>
      <c r="HA169" s="303">
        <f t="shared" ca="1" si="580"/>
        <v>0</v>
      </c>
      <c r="HB169" s="303">
        <f t="shared" ca="1" si="581"/>
        <v>0</v>
      </c>
      <c r="HC169" s="303">
        <f t="shared" ca="1" si="582"/>
        <v>0</v>
      </c>
      <c r="HD169" s="303">
        <f t="shared" ca="1" si="583"/>
        <v>0</v>
      </c>
      <c r="HE169" s="303">
        <f t="shared" ca="1" si="584"/>
        <v>0</v>
      </c>
      <c r="HF169" s="303">
        <f t="shared" ca="1" si="585"/>
        <v>0</v>
      </c>
      <c r="HG169" s="852">
        <f t="shared" ca="1" si="586"/>
        <v>0</v>
      </c>
    </row>
    <row r="170" spans="1:215" x14ac:dyDescent="0.25">
      <c r="A170" s="244">
        <f t="shared" ca="1" si="587"/>
        <v>41275</v>
      </c>
      <c r="B170" s="13">
        <f t="shared" ca="1" si="609"/>
        <v>2013</v>
      </c>
      <c r="C170" s="619">
        <f t="shared" ca="1" si="610"/>
        <v>1</v>
      </c>
      <c r="D170" s="195">
        <f t="shared" ca="1" si="417"/>
        <v>41275</v>
      </c>
      <c r="E170" s="469" t="str">
        <f t="shared" ca="1" si="418"/>
        <v/>
      </c>
      <c r="F170" s="465" t="str">
        <f t="shared" ca="1" si="419"/>
        <v/>
      </c>
      <c r="G170" s="522">
        <f t="shared" ca="1" si="588"/>
        <v>1</v>
      </c>
      <c r="H170" s="519">
        <f t="shared" ca="1" si="589"/>
        <v>1</v>
      </c>
      <c r="I170" s="724">
        <f t="shared" ca="1" si="611"/>
        <v>7.4194824640970991E-2</v>
      </c>
      <c r="J170" s="198">
        <f t="shared" ca="1" si="421"/>
        <v>0.38866870231761513</v>
      </c>
      <c r="K170" s="200">
        <f t="shared" ca="1" si="597"/>
        <v>36.549999999999997</v>
      </c>
      <c r="L170" s="201">
        <f t="shared" ca="1" si="598"/>
        <v>38.35</v>
      </c>
      <c r="M170" s="206">
        <f t="shared" ca="1" si="599"/>
        <v>40.15</v>
      </c>
      <c r="N170" s="851">
        <f t="shared" ca="1" si="603"/>
        <v>29.298748779296865</v>
      </c>
      <c r="O170" s="201">
        <f t="shared" ca="1" si="604"/>
        <v>30.648748779296866</v>
      </c>
      <c r="P170" s="206">
        <f t="shared" ca="1" si="605"/>
        <v>31.998748779296868</v>
      </c>
      <c r="Q170" s="201">
        <f t="shared" ca="1" si="606"/>
        <v>24.852500534057608</v>
      </c>
      <c r="R170" s="201">
        <f t="shared" ca="1" si="607"/>
        <v>29.152500534057609</v>
      </c>
      <c r="S170" s="201">
        <f t="shared" ca="1" si="608"/>
        <v>33.452500534057606</v>
      </c>
      <c r="T170" s="851">
        <f t="shared" ca="1" si="600"/>
        <v>20.890000152587888</v>
      </c>
      <c r="U170" s="201">
        <f t="shared" ca="1" si="601"/>
        <v>21.790000152587886</v>
      </c>
      <c r="V170" s="206">
        <f t="shared" ca="1" si="602"/>
        <v>22.690000152587885</v>
      </c>
      <c r="W170" s="230">
        <f t="shared" ca="1" si="590"/>
        <v>7.6460952404263094E-2</v>
      </c>
      <c r="X170" s="231">
        <f t="shared" ca="1" si="591"/>
        <v>0.15292190480852619</v>
      </c>
      <c r="Y170" s="232">
        <f t="shared" ca="1" si="592"/>
        <v>0.22938285721278928</v>
      </c>
      <c r="Z170" s="231">
        <f t="shared" ca="1" si="612"/>
        <v>7.6460952404263094E-2</v>
      </c>
      <c r="AA170" s="231">
        <f t="shared" ca="1" si="613"/>
        <v>0.15292190480852619</v>
      </c>
      <c r="AB170" s="232">
        <f t="shared" ca="1" si="614"/>
        <v>0.22938285721278928</v>
      </c>
      <c r="AC170" s="231">
        <f t="shared" ca="1" si="615"/>
        <v>7.6460952404263094E-2</v>
      </c>
      <c r="AD170" s="231">
        <f t="shared" ca="1" si="616"/>
        <v>0.15292190480852619</v>
      </c>
      <c r="AE170" s="232">
        <f t="shared" ca="1" si="422"/>
        <v>0.22938285721278928</v>
      </c>
      <c r="AF170" s="231">
        <f t="shared" ca="1" si="593"/>
        <v>2.6915783624103642E-2</v>
      </c>
      <c r="AG170" s="231">
        <f t="shared" ca="1" si="594"/>
        <v>5.3831567248207285E-2</v>
      </c>
      <c r="AH170" s="232">
        <f t="shared" ca="1" si="595"/>
        <v>8.0747350872310927E-2</v>
      </c>
      <c r="AI170" s="233">
        <f t="shared" ca="1" si="423"/>
        <v>1.25</v>
      </c>
      <c r="AJ170" s="233">
        <f t="shared" ca="1" si="424"/>
        <v>2</v>
      </c>
      <c r="AK170" s="234">
        <f t="shared" ca="1" si="425"/>
        <v>2.75</v>
      </c>
      <c r="AL170" s="919">
        <f t="shared" ca="1" si="426"/>
        <v>1.25</v>
      </c>
      <c r="AM170" s="233">
        <f t="shared" ca="1" si="427"/>
        <v>2</v>
      </c>
      <c r="AN170" s="234">
        <f t="shared" ca="1" si="428"/>
        <v>2.75</v>
      </c>
      <c r="AO170" s="233">
        <f t="shared" ca="1" si="429"/>
        <v>1.25</v>
      </c>
      <c r="AP170" s="233">
        <f t="shared" ca="1" si="430"/>
        <v>2</v>
      </c>
      <c r="AQ170" s="233">
        <f t="shared" ca="1" si="431"/>
        <v>2.75</v>
      </c>
      <c r="AR170" s="919">
        <f t="shared" ca="1" si="432"/>
        <v>0.35</v>
      </c>
      <c r="AS170" s="233">
        <f t="shared" ca="1" si="433"/>
        <v>0.5</v>
      </c>
      <c r="AT170" s="235">
        <f t="shared" ca="1" si="434"/>
        <v>0.7</v>
      </c>
      <c r="AU170" s="946">
        <f t="shared" si="435"/>
        <v>0.5</v>
      </c>
      <c r="AV170" s="13">
        <f t="shared" ca="1" si="436"/>
        <v>0</v>
      </c>
      <c r="AW170" s="210">
        <f t="shared" ca="1" si="437"/>
        <v>0</v>
      </c>
      <c r="AX170" s="210">
        <f t="shared" ca="1" si="438"/>
        <v>0</v>
      </c>
      <c r="AY170" s="210">
        <f t="shared" ca="1" si="439"/>
        <v>0</v>
      </c>
      <c r="AZ170" s="13">
        <f t="shared" ca="1" si="440"/>
        <v>0</v>
      </c>
      <c r="BA170" s="357">
        <f ca="1"/>
        <v>0</v>
      </c>
      <c r="BB170" s="925">
        <f ca="1"/>
        <v>0</v>
      </c>
      <c r="BC170" s="925">
        <f ca="1"/>
        <v>0</v>
      </c>
      <c r="BD170" s="928">
        <f ca="1"/>
        <v>0</v>
      </c>
      <c r="BE170" s="200">
        <f ca="1"/>
        <v>0</v>
      </c>
      <c r="BF170" s="851">
        <f ca="1"/>
        <v>0</v>
      </c>
      <c r="BG170" s="851">
        <f ca="1"/>
        <v>0</v>
      </c>
      <c r="BH170" s="933">
        <f ca="1"/>
        <v>0</v>
      </c>
      <c r="BI170" s="357">
        <f ca="1"/>
        <v>0</v>
      </c>
      <c r="BJ170" s="925">
        <f ca="1"/>
        <v>0</v>
      </c>
      <c r="BK170" s="925">
        <f ca="1"/>
        <v>0</v>
      </c>
      <c r="BL170" s="928">
        <f ca="1"/>
        <v>0</v>
      </c>
      <c r="BM170" s="200">
        <f ca="1"/>
        <v>0</v>
      </c>
      <c r="BN170" s="851">
        <f ca="1"/>
        <v>0</v>
      </c>
      <c r="BO170" s="851">
        <f ca="1"/>
        <v>0</v>
      </c>
      <c r="BP170" s="933">
        <f ca="1"/>
        <v>0</v>
      </c>
      <c r="BQ170" s="357">
        <f t="shared" ca="1" si="441"/>
        <v>0</v>
      </c>
      <c r="BR170" s="361">
        <f t="shared" ca="1" si="442"/>
        <v>0</v>
      </c>
      <c r="BS170" s="357">
        <f t="shared" ca="1" si="443"/>
        <v>0</v>
      </c>
      <c r="BT170" s="302">
        <f t="shared" ca="1" si="444"/>
        <v>0</v>
      </c>
      <c r="BU170" s="299">
        <f t="shared" ca="1" si="445"/>
        <v>0</v>
      </c>
      <c r="BV170" s="299">
        <f t="shared" ca="1" si="446"/>
        <v>0</v>
      </c>
      <c r="BW170" s="299">
        <f t="shared" ca="1" si="447"/>
        <v>0</v>
      </c>
      <c r="BX170" s="380">
        <f t="shared" ca="1" si="448"/>
        <v>12.83504449007529</v>
      </c>
      <c r="BY170" s="363">
        <f t="shared" ca="1" si="449"/>
        <v>0</v>
      </c>
      <c r="BZ170" s="353">
        <f t="shared" ca="1" si="450"/>
        <v>0</v>
      </c>
      <c r="CA170" s="353">
        <f t="shared" ca="1" si="451"/>
        <v>0</v>
      </c>
      <c r="CB170" s="353">
        <f t="shared" ca="1" si="452"/>
        <v>0</v>
      </c>
      <c r="CC170" s="353">
        <f t="shared" ca="1" si="453"/>
        <v>0</v>
      </c>
      <c r="CD170" s="353">
        <f t="shared" ca="1" si="454"/>
        <v>0</v>
      </c>
      <c r="CE170" s="302">
        <f t="shared" ca="1" si="455"/>
        <v>0</v>
      </c>
      <c r="CF170" s="299">
        <f t="shared" ca="1" si="456"/>
        <v>0</v>
      </c>
      <c r="CG170" s="299">
        <f t="shared" ca="1" si="457"/>
        <v>0</v>
      </c>
      <c r="CH170" s="299">
        <f t="shared" ca="1" si="458"/>
        <v>0</v>
      </c>
      <c r="CI170" s="299">
        <f t="shared" ca="1" si="459"/>
        <v>0</v>
      </c>
      <c r="CJ170" s="299">
        <f t="shared" ca="1" si="460"/>
        <v>0</v>
      </c>
      <c r="CK170" s="299">
        <f t="shared" ca="1" si="461"/>
        <v>0</v>
      </c>
      <c r="CL170" s="377" t="str">
        <f t="shared" ca="1" si="462"/>
        <v/>
      </c>
      <c r="CM170" s="305" t="str">
        <f t="shared" ca="1" si="463"/>
        <v/>
      </c>
      <c r="CN170" s="305" t="str">
        <f t="shared" ca="1" si="464"/>
        <v/>
      </c>
      <c r="CO170" s="305" t="str">
        <f t="shared" ca="1" si="465"/>
        <v/>
      </c>
      <c r="CP170" s="305" t="str">
        <f t="shared" ca="1" si="466"/>
        <v/>
      </c>
      <c r="CQ170" s="305" t="str">
        <f t="shared" ca="1" si="467"/>
        <v/>
      </c>
      <c r="CR170" s="775" t="str">
        <f t="shared" ca="1" si="468"/>
        <v/>
      </c>
      <c r="CS170" s="305" t="str">
        <f t="shared" ca="1" si="469"/>
        <v/>
      </c>
      <c r="CT170" s="305" t="str">
        <f t="shared" ca="1" si="470"/>
        <v/>
      </c>
      <c r="CU170" s="305" t="str">
        <f t="shared" ca="1" si="471"/>
        <v/>
      </c>
      <c r="CV170" s="770" t="str">
        <f t="shared" ca="1" si="472"/>
        <v/>
      </c>
      <c r="CW170" s="302">
        <f t="shared" ca="1" si="473"/>
        <v>0</v>
      </c>
      <c r="CX170" s="299">
        <f t="shared" ca="1" si="474"/>
        <v>0</v>
      </c>
      <c r="CY170" s="299">
        <f t="shared" ca="1" si="475"/>
        <v>0</v>
      </c>
      <c r="CZ170" s="299">
        <f t="shared" ca="1" si="476"/>
        <v>0</v>
      </c>
      <c r="DA170" s="774">
        <f t="shared" ca="1" si="477"/>
        <v>0</v>
      </c>
      <c r="DB170" s="303">
        <f t="shared" ca="1" si="478"/>
        <v>0</v>
      </c>
      <c r="DC170" s="248">
        <f t="shared" ca="1" si="479"/>
        <v>0</v>
      </c>
      <c r="DD170" s="778">
        <f t="shared" ca="1" si="480"/>
        <v>0</v>
      </c>
      <c r="DE170" s="363">
        <f t="shared" ca="1" si="481"/>
        <v>0</v>
      </c>
      <c r="DF170" s="378" t="str">
        <f t="shared" ca="1" si="482"/>
        <v/>
      </c>
      <c r="DG170" s="508" t="str">
        <f t="shared" ca="1" si="483"/>
        <v/>
      </c>
      <c r="DH170" s="508" t="str">
        <f t="shared" ca="1" si="484"/>
        <v/>
      </c>
      <c r="DI170" s="508" t="str">
        <f t="shared" ca="1" si="485"/>
        <v/>
      </c>
      <c r="DJ170" s="508" t="str">
        <f t="shared" ca="1" si="486"/>
        <v/>
      </c>
      <c r="DK170" s="353">
        <f t="shared" ca="1" si="487"/>
        <v>0</v>
      </c>
      <c r="DL170" s="781">
        <f t="shared" ca="1" si="488"/>
        <v>0</v>
      </c>
      <c r="DM170" s="303">
        <f t="shared" ca="1" si="489"/>
        <v>0</v>
      </c>
      <c r="DN170" s="508" t="str">
        <f t="shared" ca="1" si="490"/>
        <v/>
      </c>
      <c r="DO170" s="508" t="str">
        <f t="shared" ca="1" si="491"/>
        <v/>
      </c>
      <c r="DP170" s="508" t="str">
        <f t="shared" ca="1" si="492"/>
        <v/>
      </c>
      <c r="DQ170" s="508" t="str">
        <f t="shared" ca="1" si="493"/>
        <v/>
      </c>
      <c r="DR170" s="508" t="str">
        <f t="shared" ca="1" si="494"/>
        <v/>
      </c>
      <c r="DS170" s="353">
        <f t="shared" ca="1" si="495"/>
        <v>0</v>
      </c>
      <c r="DT170" s="353">
        <f t="shared" ca="1" si="496"/>
        <v>0</v>
      </c>
      <c r="DU170" s="380">
        <f t="shared" ca="1" si="596"/>
        <v>12.83504449007529</v>
      </c>
      <c r="DV170" s="303">
        <f t="shared" ca="1" si="497"/>
        <v>0</v>
      </c>
      <c r="DW170" s="303">
        <f t="shared" ca="1" si="498"/>
        <v>0</v>
      </c>
      <c r="DX170" s="303">
        <f t="shared" ca="1" si="499"/>
        <v>0</v>
      </c>
      <c r="DY170" s="303">
        <f t="shared" ca="1" si="500"/>
        <v>0</v>
      </c>
      <c r="DZ170" s="303">
        <f t="shared" ca="1" si="501"/>
        <v>0</v>
      </c>
      <c r="EA170" s="303">
        <f t="shared" ca="1" si="502"/>
        <v>0</v>
      </c>
      <c r="EB170" s="302">
        <f t="shared" ca="1" si="503"/>
        <v>0</v>
      </c>
      <c r="EC170" s="299">
        <f t="shared" ca="1" si="504"/>
        <v>0</v>
      </c>
      <c r="ED170" s="299">
        <f t="shared" ca="1" si="505"/>
        <v>0</v>
      </c>
      <c r="EE170" s="299">
        <f t="shared" ca="1" si="506"/>
        <v>0</v>
      </c>
      <c r="EF170" s="299">
        <f t="shared" ca="1" si="507"/>
        <v>0</v>
      </c>
      <c r="EG170" s="299">
        <f t="shared" ca="1" si="508"/>
        <v>0</v>
      </c>
      <c r="EH170" s="302">
        <f t="shared" ca="1" si="509"/>
        <v>0</v>
      </c>
      <c r="EI170" s="304" t="str">
        <f t="shared" ca="1" si="510"/>
        <v/>
      </c>
      <c r="EJ170" s="305" t="str">
        <f t="shared" ca="1" si="511"/>
        <v/>
      </c>
      <c r="EK170" s="305" t="str">
        <f t="shared" ca="1" si="512"/>
        <v/>
      </c>
      <c r="EL170" s="305" t="str">
        <f t="shared" ca="1" si="513"/>
        <v/>
      </c>
      <c r="EM170" s="305" t="str">
        <f t="shared" ca="1" si="514"/>
        <v/>
      </c>
      <c r="EN170" s="305" t="str">
        <f t="shared" ca="1" si="515"/>
        <v/>
      </c>
      <c r="EO170" s="305" t="str">
        <f t="shared" ca="1" si="516"/>
        <v/>
      </c>
      <c r="EP170" s="305" t="str">
        <f t="shared" ca="1" si="517"/>
        <v/>
      </c>
      <c r="EQ170" s="305" t="str">
        <f t="shared" ca="1" si="518"/>
        <v/>
      </c>
      <c r="ER170" s="305" t="str">
        <f t="shared" ca="1" si="519"/>
        <v/>
      </c>
      <c r="ES170" s="305" t="str">
        <f t="shared" ca="1" si="520"/>
        <v/>
      </c>
      <c r="ET170" s="299">
        <f t="shared" ca="1" si="521"/>
        <v>0</v>
      </c>
      <c r="EU170" s="302">
        <f t="shared" ca="1" si="522"/>
        <v>0</v>
      </c>
      <c r="EV170" s="304" t="str">
        <f t="shared" ca="1" si="523"/>
        <v/>
      </c>
      <c r="EW170" s="305" t="str">
        <f t="shared" ca="1" si="524"/>
        <v/>
      </c>
      <c r="EX170" s="305" t="str">
        <f t="shared" ca="1" si="525"/>
        <v/>
      </c>
      <c r="EY170" s="305" t="str">
        <f t="shared" ca="1" si="526"/>
        <v/>
      </c>
      <c r="EZ170" s="305" t="str">
        <f t="shared" ca="1" si="527"/>
        <v/>
      </c>
      <c r="FA170" s="305" t="str">
        <f t="shared" ca="1" si="528"/>
        <v/>
      </c>
      <c r="FB170" s="305" t="str">
        <f t="shared" ca="1" si="529"/>
        <v/>
      </c>
      <c r="FC170" s="305" t="str">
        <f t="shared" ca="1" si="530"/>
        <v/>
      </c>
      <c r="FD170" s="305" t="str">
        <f t="shared" ca="1" si="531"/>
        <v/>
      </c>
      <c r="FE170" s="305" t="str">
        <f t="shared" ca="1" si="532"/>
        <v/>
      </c>
      <c r="FF170" s="305" t="str">
        <f t="shared" ca="1" si="533"/>
        <v/>
      </c>
      <c r="FG170" s="299">
        <f t="shared" ca="1" si="534"/>
        <v>0</v>
      </c>
      <c r="FH170" s="302">
        <f t="shared" ca="1" si="535"/>
        <v>0</v>
      </c>
      <c r="FI170" s="248">
        <f t="shared" ca="1" si="536"/>
        <v>0</v>
      </c>
      <c r="FJ170" s="363">
        <f t="shared" ca="1" si="537"/>
        <v>0</v>
      </c>
      <c r="FK170" s="378" t="str">
        <f t="shared" ca="1" si="538"/>
        <v/>
      </c>
      <c r="FL170" s="508" t="str">
        <f t="shared" ca="1" si="539"/>
        <v/>
      </c>
      <c r="FM170" s="508" t="str">
        <f t="shared" ca="1" si="540"/>
        <v/>
      </c>
      <c r="FN170" s="508" t="str">
        <f t="shared" ca="1" si="541"/>
        <v/>
      </c>
      <c r="FO170" s="508" t="str">
        <f t="shared" ca="1" si="542"/>
        <v/>
      </c>
      <c r="FP170" s="353">
        <f t="shared" ca="1" si="543"/>
        <v>0</v>
      </c>
      <c r="FQ170" s="356">
        <f t="shared" ca="1" si="544"/>
        <v>0</v>
      </c>
      <c r="FR170" s="380">
        <f t="shared" ca="1" si="545"/>
        <v>0</v>
      </c>
      <c r="FS170" s="299">
        <f t="shared" ca="1" si="546"/>
        <v>0</v>
      </c>
      <c r="FT170" s="299">
        <f t="shared" ca="1" si="547"/>
        <v>0</v>
      </c>
      <c r="FU170" s="299">
        <f t="shared" ca="1" si="548"/>
        <v>0</v>
      </c>
      <c r="FV170" s="299">
        <f t="shared" ca="1" si="549"/>
        <v>0</v>
      </c>
      <c r="FW170" s="850" t="str">
        <f t="shared" ca="1" si="550"/>
        <v/>
      </c>
      <c r="FX170" s="851" t="str">
        <f t="shared" ca="1" si="551"/>
        <v/>
      </c>
      <c r="FY170" s="851" t="str">
        <f t="shared" ca="1" si="552"/>
        <v/>
      </c>
      <c r="FZ170" s="201" t="str">
        <f t="shared" ca="1" si="553"/>
        <v/>
      </c>
      <c r="GA170" s="201" t="str">
        <f t="shared" ca="1" si="554"/>
        <v/>
      </c>
      <c r="GB170" s="201" t="str">
        <f t="shared" ca="1" si="555"/>
        <v/>
      </c>
      <c r="GC170" s="201" t="str">
        <f t="shared" ca="1" si="556"/>
        <v/>
      </c>
      <c r="GD170" s="850" t="str">
        <f t="shared" ca="1" si="557"/>
        <v/>
      </c>
      <c r="GE170" s="866" t="str">
        <f t="shared" ca="1" si="558"/>
        <v/>
      </c>
      <c r="GF170" s="866" t="str">
        <f t="shared" ca="1" si="559"/>
        <v/>
      </c>
      <c r="GG170" s="866" t="str">
        <f t="shared" ca="1" si="560"/>
        <v/>
      </c>
      <c r="GH170" s="866" t="str">
        <f t="shared" ca="1" si="561"/>
        <v/>
      </c>
      <c r="GI170" s="302">
        <f t="shared" ca="1" si="562"/>
        <v>0</v>
      </c>
      <c r="GJ170" s="299">
        <f t="shared" ca="1" si="563"/>
        <v>0</v>
      </c>
      <c r="GK170" s="299">
        <f t="shared" ca="1" si="564"/>
        <v>0</v>
      </c>
      <c r="GL170" s="299">
        <f t="shared" ca="1" si="565"/>
        <v>0</v>
      </c>
      <c r="GM170" s="299">
        <f t="shared" ca="1" si="566"/>
        <v>0</v>
      </c>
      <c r="GN170" s="302">
        <f t="shared" ca="1" si="567"/>
        <v>0</v>
      </c>
      <c r="GO170" s="299">
        <f t="shared" ca="1" si="568"/>
        <v>0</v>
      </c>
      <c r="GP170" s="299">
        <f t="shared" ca="1" si="569"/>
        <v>0</v>
      </c>
      <c r="GQ170" s="299">
        <f t="shared" ca="1" si="570"/>
        <v>0</v>
      </c>
      <c r="GR170" s="299">
        <f t="shared" ca="1" si="571"/>
        <v>0</v>
      </c>
      <c r="GS170" s="302">
        <f t="shared" ca="1" si="572"/>
        <v>0</v>
      </c>
      <c r="GT170" s="299">
        <f t="shared" ca="1" si="573"/>
        <v>0</v>
      </c>
      <c r="GU170" s="299">
        <f t="shared" ca="1" si="574"/>
        <v>0</v>
      </c>
      <c r="GV170" s="299">
        <f t="shared" ca="1" si="575"/>
        <v>0</v>
      </c>
      <c r="GW170" s="299">
        <f t="shared" ca="1" si="576"/>
        <v>0</v>
      </c>
      <c r="GX170" s="303">
        <f t="shared" ca="1" si="577"/>
        <v>0</v>
      </c>
      <c r="GY170" s="303">
        <f t="shared" ca="1" si="578"/>
        <v>0</v>
      </c>
      <c r="GZ170" s="303">
        <f t="shared" ca="1" si="579"/>
        <v>0</v>
      </c>
      <c r="HA170" s="303">
        <f t="shared" ca="1" si="580"/>
        <v>0</v>
      </c>
      <c r="HB170" s="303">
        <f t="shared" ca="1" si="581"/>
        <v>0</v>
      </c>
      <c r="HC170" s="303">
        <f t="shared" ca="1" si="582"/>
        <v>0</v>
      </c>
      <c r="HD170" s="303">
        <f t="shared" ca="1" si="583"/>
        <v>0</v>
      </c>
      <c r="HE170" s="303">
        <f t="shared" ca="1" si="584"/>
        <v>0</v>
      </c>
      <c r="HF170" s="303">
        <f t="shared" ca="1" si="585"/>
        <v>0</v>
      </c>
      <c r="HG170" s="852">
        <f t="shared" ca="1" si="586"/>
        <v>0</v>
      </c>
    </row>
    <row r="171" spans="1:215" x14ac:dyDescent="0.25">
      <c r="A171" s="244">
        <f t="shared" ca="1" si="587"/>
        <v>41306</v>
      </c>
      <c r="B171" s="13">
        <f t="shared" ca="1" si="609"/>
        <v>2013</v>
      </c>
      <c r="C171" s="619">
        <f t="shared" ca="1" si="610"/>
        <v>2</v>
      </c>
      <c r="D171" s="195" t="str">
        <f t="shared" ca="1" si="417"/>
        <v/>
      </c>
      <c r="E171" s="469" t="str">
        <f t="shared" ca="1" si="418"/>
        <v/>
      </c>
      <c r="F171" s="465" t="str">
        <f t="shared" ca="1" si="419"/>
        <v/>
      </c>
      <c r="G171" s="522">
        <f t="shared" ca="1" si="588"/>
        <v>1</v>
      </c>
      <c r="H171" s="519">
        <f t="shared" ca="1" si="589"/>
        <v>1</v>
      </c>
      <c r="I171" s="724">
        <f t="shared" ca="1" si="611"/>
        <v>7.4194529923090002E-2</v>
      </c>
      <c r="J171" s="198">
        <f t="shared" ca="1" si="421"/>
        <v>0.38650554851748986</v>
      </c>
      <c r="K171" s="200">
        <f t="shared" ca="1" si="597"/>
        <v>36.549999999999997</v>
      </c>
      <c r="L171" s="201">
        <f t="shared" ca="1" si="598"/>
        <v>38.35</v>
      </c>
      <c r="M171" s="206">
        <f t="shared" ca="1" si="599"/>
        <v>40.15</v>
      </c>
      <c r="N171" s="851">
        <f t="shared" ca="1" si="603"/>
        <v>28.296250152587881</v>
      </c>
      <c r="O171" s="201">
        <f t="shared" ca="1" si="604"/>
        <v>29.646250152587882</v>
      </c>
      <c r="P171" s="206">
        <f t="shared" ca="1" si="605"/>
        <v>30.996250152587884</v>
      </c>
      <c r="Q171" s="201">
        <f t="shared" ca="1" si="606"/>
        <v>22.847499465942374</v>
      </c>
      <c r="R171" s="201">
        <f t="shared" ca="1" si="607"/>
        <v>27.147499465942374</v>
      </c>
      <c r="S171" s="201">
        <f t="shared" ca="1" si="608"/>
        <v>31.447499465942375</v>
      </c>
      <c r="T171" s="851">
        <f t="shared" ca="1" si="600"/>
        <v>20.699997711181638</v>
      </c>
      <c r="U171" s="201">
        <f t="shared" ca="1" si="601"/>
        <v>21.599997711181636</v>
      </c>
      <c r="V171" s="206">
        <f t="shared" ca="1" si="602"/>
        <v>22.499997711181635</v>
      </c>
      <c r="W171" s="230">
        <f t="shared" ca="1" si="590"/>
        <v>7.3759151965949926E-2</v>
      </c>
      <c r="X171" s="231">
        <f t="shared" ca="1" si="591"/>
        <v>0.14751830393189985</v>
      </c>
      <c r="Y171" s="232">
        <f t="shared" ca="1" si="592"/>
        <v>0.22127745589784978</v>
      </c>
      <c r="Z171" s="231">
        <f t="shared" ca="1" si="612"/>
        <v>7.3759151965949926E-2</v>
      </c>
      <c r="AA171" s="231">
        <f t="shared" ca="1" si="613"/>
        <v>0.14751830393189985</v>
      </c>
      <c r="AB171" s="232">
        <f t="shared" ca="1" si="614"/>
        <v>0.22127745589784978</v>
      </c>
      <c r="AC171" s="231">
        <f t="shared" ca="1" si="615"/>
        <v>7.3759151965949926E-2</v>
      </c>
      <c r="AD171" s="231">
        <f t="shared" ca="1" si="616"/>
        <v>0.14751830393189985</v>
      </c>
      <c r="AE171" s="232">
        <f t="shared" ca="1" si="422"/>
        <v>0.22127745589784978</v>
      </c>
      <c r="AF171" s="231">
        <f t="shared" ca="1" si="593"/>
        <v>2.6915783624103642E-2</v>
      </c>
      <c r="AG171" s="231">
        <f t="shared" ca="1" si="594"/>
        <v>5.3831567248207285E-2</v>
      </c>
      <c r="AH171" s="232">
        <f t="shared" ca="1" si="595"/>
        <v>8.0747350872310927E-2</v>
      </c>
      <c r="AI171" s="233">
        <f t="shared" ca="1" si="423"/>
        <v>1.25</v>
      </c>
      <c r="AJ171" s="233">
        <f t="shared" ca="1" si="424"/>
        <v>2</v>
      </c>
      <c r="AK171" s="234">
        <f t="shared" ca="1" si="425"/>
        <v>2.75</v>
      </c>
      <c r="AL171" s="919">
        <f t="shared" ca="1" si="426"/>
        <v>1.25</v>
      </c>
      <c r="AM171" s="233">
        <f t="shared" ca="1" si="427"/>
        <v>2</v>
      </c>
      <c r="AN171" s="234">
        <f t="shared" ca="1" si="428"/>
        <v>2.75</v>
      </c>
      <c r="AO171" s="233">
        <f t="shared" ca="1" si="429"/>
        <v>1.25</v>
      </c>
      <c r="AP171" s="233">
        <f t="shared" ca="1" si="430"/>
        <v>2</v>
      </c>
      <c r="AQ171" s="233">
        <f t="shared" ca="1" si="431"/>
        <v>2.75</v>
      </c>
      <c r="AR171" s="919">
        <f t="shared" ca="1" si="432"/>
        <v>0.35</v>
      </c>
      <c r="AS171" s="233">
        <f t="shared" ca="1" si="433"/>
        <v>0.5</v>
      </c>
      <c r="AT171" s="235">
        <f t="shared" ca="1" si="434"/>
        <v>0.7</v>
      </c>
      <c r="AU171" s="946">
        <f t="shared" si="435"/>
        <v>0.5</v>
      </c>
      <c r="AV171" s="13">
        <f t="shared" ca="1" si="436"/>
        <v>0</v>
      </c>
      <c r="AW171" s="210">
        <f t="shared" ca="1" si="437"/>
        <v>0</v>
      </c>
      <c r="AX171" s="210">
        <f t="shared" ca="1" si="438"/>
        <v>0</v>
      </c>
      <c r="AY171" s="210">
        <f t="shared" ca="1" si="439"/>
        <v>0</v>
      </c>
      <c r="AZ171" s="13">
        <f t="shared" ca="1" si="440"/>
        <v>0</v>
      </c>
      <c r="BA171" s="357">
        <f ca="1"/>
        <v>0</v>
      </c>
      <c r="BB171" s="925">
        <f ca="1"/>
        <v>0</v>
      </c>
      <c r="BC171" s="925">
        <f ca="1"/>
        <v>0</v>
      </c>
      <c r="BD171" s="928">
        <f ca="1"/>
        <v>0</v>
      </c>
      <c r="BE171" s="200">
        <f ca="1"/>
        <v>0</v>
      </c>
      <c r="BF171" s="851">
        <f ca="1"/>
        <v>0</v>
      </c>
      <c r="BG171" s="851">
        <f ca="1"/>
        <v>0</v>
      </c>
      <c r="BH171" s="933">
        <f ca="1"/>
        <v>0</v>
      </c>
      <c r="BI171" s="357">
        <f ca="1"/>
        <v>0</v>
      </c>
      <c r="BJ171" s="925">
        <f ca="1"/>
        <v>0</v>
      </c>
      <c r="BK171" s="925">
        <f ca="1"/>
        <v>0</v>
      </c>
      <c r="BL171" s="928">
        <f ca="1"/>
        <v>0</v>
      </c>
      <c r="BM171" s="200">
        <f ca="1"/>
        <v>0</v>
      </c>
      <c r="BN171" s="851">
        <f ca="1"/>
        <v>0</v>
      </c>
      <c r="BO171" s="851">
        <f ca="1"/>
        <v>0</v>
      </c>
      <c r="BP171" s="933">
        <f ca="1"/>
        <v>0</v>
      </c>
      <c r="BQ171" s="357">
        <f t="shared" ca="1" si="441"/>
        <v>0</v>
      </c>
      <c r="BR171" s="361">
        <f t="shared" ca="1" si="442"/>
        <v>0</v>
      </c>
      <c r="BS171" s="357">
        <f t="shared" ca="1" si="443"/>
        <v>0</v>
      </c>
      <c r="BT171" s="302">
        <f t="shared" ca="1" si="444"/>
        <v>0</v>
      </c>
      <c r="BU171" s="299">
        <f t="shared" ca="1" si="445"/>
        <v>0</v>
      </c>
      <c r="BV171" s="299">
        <f t="shared" ca="1" si="446"/>
        <v>0</v>
      </c>
      <c r="BW171" s="299">
        <f t="shared" ca="1" si="447"/>
        <v>0</v>
      </c>
      <c r="BX171" s="380">
        <f t="shared" ca="1" si="448"/>
        <v>12.919917864476385</v>
      </c>
      <c r="BY171" s="363">
        <f t="shared" ca="1" si="449"/>
        <v>0</v>
      </c>
      <c r="BZ171" s="353">
        <f t="shared" ca="1" si="450"/>
        <v>0</v>
      </c>
      <c r="CA171" s="353">
        <f t="shared" ca="1" si="451"/>
        <v>0</v>
      </c>
      <c r="CB171" s="353">
        <f t="shared" ca="1" si="452"/>
        <v>0</v>
      </c>
      <c r="CC171" s="353">
        <f t="shared" ca="1" si="453"/>
        <v>0</v>
      </c>
      <c r="CD171" s="353">
        <f t="shared" ca="1" si="454"/>
        <v>0</v>
      </c>
      <c r="CE171" s="302">
        <f t="shared" ca="1" si="455"/>
        <v>0</v>
      </c>
      <c r="CF171" s="299">
        <f t="shared" ca="1" si="456"/>
        <v>0</v>
      </c>
      <c r="CG171" s="299">
        <f t="shared" ca="1" si="457"/>
        <v>0</v>
      </c>
      <c r="CH171" s="299">
        <f t="shared" ca="1" si="458"/>
        <v>0</v>
      </c>
      <c r="CI171" s="299">
        <f t="shared" ca="1" si="459"/>
        <v>0</v>
      </c>
      <c r="CJ171" s="299">
        <f t="shared" ca="1" si="460"/>
        <v>0</v>
      </c>
      <c r="CK171" s="299">
        <f t="shared" ca="1" si="461"/>
        <v>0</v>
      </c>
      <c r="CL171" s="377" t="str">
        <f t="shared" ca="1" si="462"/>
        <v/>
      </c>
      <c r="CM171" s="305" t="str">
        <f t="shared" ca="1" si="463"/>
        <v/>
      </c>
      <c r="CN171" s="305" t="str">
        <f t="shared" ca="1" si="464"/>
        <v/>
      </c>
      <c r="CO171" s="305" t="str">
        <f t="shared" ca="1" si="465"/>
        <v/>
      </c>
      <c r="CP171" s="305" t="str">
        <f t="shared" ca="1" si="466"/>
        <v/>
      </c>
      <c r="CQ171" s="305" t="str">
        <f t="shared" ca="1" si="467"/>
        <v/>
      </c>
      <c r="CR171" s="775" t="str">
        <f t="shared" ca="1" si="468"/>
        <v/>
      </c>
      <c r="CS171" s="305" t="str">
        <f t="shared" ca="1" si="469"/>
        <v/>
      </c>
      <c r="CT171" s="305" t="str">
        <f t="shared" ca="1" si="470"/>
        <v/>
      </c>
      <c r="CU171" s="305" t="str">
        <f t="shared" ca="1" si="471"/>
        <v/>
      </c>
      <c r="CV171" s="770" t="str">
        <f t="shared" ca="1" si="472"/>
        <v/>
      </c>
      <c r="CW171" s="302">
        <f t="shared" ca="1" si="473"/>
        <v>0</v>
      </c>
      <c r="CX171" s="299">
        <f t="shared" ca="1" si="474"/>
        <v>0</v>
      </c>
      <c r="CY171" s="299">
        <f t="shared" ca="1" si="475"/>
        <v>0</v>
      </c>
      <c r="CZ171" s="299">
        <f t="shared" ca="1" si="476"/>
        <v>0</v>
      </c>
      <c r="DA171" s="774">
        <f t="shared" ca="1" si="477"/>
        <v>0</v>
      </c>
      <c r="DB171" s="303">
        <f t="shared" ca="1" si="478"/>
        <v>0</v>
      </c>
      <c r="DC171" s="248">
        <f t="shared" ca="1" si="479"/>
        <v>0</v>
      </c>
      <c r="DD171" s="778">
        <f t="shared" ca="1" si="480"/>
        <v>0</v>
      </c>
      <c r="DE171" s="363">
        <f t="shared" ca="1" si="481"/>
        <v>0</v>
      </c>
      <c r="DF171" s="378" t="str">
        <f t="shared" ca="1" si="482"/>
        <v/>
      </c>
      <c r="DG171" s="508" t="str">
        <f t="shared" ca="1" si="483"/>
        <v/>
      </c>
      <c r="DH171" s="508" t="str">
        <f t="shared" ca="1" si="484"/>
        <v/>
      </c>
      <c r="DI171" s="508" t="str">
        <f t="shared" ca="1" si="485"/>
        <v/>
      </c>
      <c r="DJ171" s="508" t="str">
        <f t="shared" ca="1" si="486"/>
        <v/>
      </c>
      <c r="DK171" s="353">
        <f t="shared" ca="1" si="487"/>
        <v>0</v>
      </c>
      <c r="DL171" s="781">
        <f t="shared" ca="1" si="488"/>
        <v>0</v>
      </c>
      <c r="DM171" s="303">
        <f t="shared" ca="1" si="489"/>
        <v>0</v>
      </c>
      <c r="DN171" s="508" t="str">
        <f t="shared" ca="1" si="490"/>
        <v/>
      </c>
      <c r="DO171" s="508" t="str">
        <f t="shared" ca="1" si="491"/>
        <v/>
      </c>
      <c r="DP171" s="508" t="str">
        <f t="shared" ca="1" si="492"/>
        <v/>
      </c>
      <c r="DQ171" s="508" t="str">
        <f t="shared" ca="1" si="493"/>
        <v/>
      </c>
      <c r="DR171" s="508" t="str">
        <f t="shared" ca="1" si="494"/>
        <v/>
      </c>
      <c r="DS171" s="353">
        <f t="shared" ca="1" si="495"/>
        <v>0</v>
      </c>
      <c r="DT171" s="353">
        <f t="shared" ca="1" si="496"/>
        <v>0</v>
      </c>
      <c r="DU171" s="380">
        <f t="shared" ca="1" si="596"/>
        <v>12.919917864476385</v>
      </c>
      <c r="DV171" s="303">
        <f t="shared" ca="1" si="497"/>
        <v>0</v>
      </c>
      <c r="DW171" s="303">
        <f t="shared" ca="1" si="498"/>
        <v>0</v>
      </c>
      <c r="DX171" s="303">
        <f t="shared" ca="1" si="499"/>
        <v>0</v>
      </c>
      <c r="DY171" s="303">
        <f t="shared" ca="1" si="500"/>
        <v>0</v>
      </c>
      <c r="DZ171" s="303">
        <f t="shared" ca="1" si="501"/>
        <v>0</v>
      </c>
      <c r="EA171" s="303">
        <f t="shared" ca="1" si="502"/>
        <v>0</v>
      </c>
      <c r="EB171" s="302">
        <f t="shared" ca="1" si="503"/>
        <v>0</v>
      </c>
      <c r="EC171" s="299">
        <f t="shared" ca="1" si="504"/>
        <v>0</v>
      </c>
      <c r="ED171" s="299">
        <f t="shared" ca="1" si="505"/>
        <v>0</v>
      </c>
      <c r="EE171" s="299">
        <f t="shared" ca="1" si="506"/>
        <v>0</v>
      </c>
      <c r="EF171" s="299">
        <f t="shared" ca="1" si="507"/>
        <v>0</v>
      </c>
      <c r="EG171" s="299">
        <f t="shared" ca="1" si="508"/>
        <v>0</v>
      </c>
      <c r="EH171" s="302">
        <f t="shared" ca="1" si="509"/>
        <v>0</v>
      </c>
      <c r="EI171" s="304" t="str">
        <f t="shared" ca="1" si="510"/>
        <v/>
      </c>
      <c r="EJ171" s="305" t="str">
        <f t="shared" ca="1" si="511"/>
        <v/>
      </c>
      <c r="EK171" s="305" t="str">
        <f t="shared" ca="1" si="512"/>
        <v/>
      </c>
      <c r="EL171" s="305" t="str">
        <f t="shared" ca="1" si="513"/>
        <v/>
      </c>
      <c r="EM171" s="305" t="str">
        <f t="shared" ca="1" si="514"/>
        <v/>
      </c>
      <c r="EN171" s="305" t="str">
        <f t="shared" ca="1" si="515"/>
        <v/>
      </c>
      <c r="EO171" s="305" t="str">
        <f t="shared" ca="1" si="516"/>
        <v/>
      </c>
      <c r="EP171" s="305" t="str">
        <f t="shared" ca="1" si="517"/>
        <v/>
      </c>
      <c r="EQ171" s="305" t="str">
        <f t="shared" ca="1" si="518"/>
        <v/>
      </c>
      <c r="ER171" s="305" t="str">
        <f t="shared" ca="1" si="519"/>
        <v/>
      </c>
      <c r="ES171" s="305" t="str">
        <f t="shared" ca="1" si="520"/>
        <v/>
      </c>
      <c r="ET171" s="299">
        <f t="shared" ca="1" si="521"/>
        <v>0</v>
      </c>
      <c r="EU171" s="302">
        <f t="shared" ca="1" si="522"/>
        <v>0</v>
      </c>
      <c r="EV171" s="304" t="str">
        <f t="shared" ca="1" si="523"/>
        <v/>
      </c>
      <c r="EW171" s="305" t="str">
        <f t="shared" ca="1" si="524"/>
        <v/>
      </c>
      <c r="EX171" s="305" t="str">
        <f t="shared" ca="1" si="525"/>
        <v/>
      </c>
      <c r="EY171" s="305" t="str">
        <f t="shared" ca="1" si="526"/>
        <v/>
      </c>
      <c r="EZ171" s="305" t="str">
        <f t="shared" ca="1" si="527"/>
        <v/>
      </c>
      <c r="FA171" s="305" t="str">
        <f t="shared" ca="1" si="528"/>
        <v/>
      </c>
      <c r="FB171" s="305" t="str">
        <f t="shared" ca="1" si="529"/>
        <v/>
      </c>
      <c r="FC171" s="305" t="str">
        <f t="shared" ca="1" si="530"/>
        <v/>
      </c>
      <c r="FD171" s="305" t="str">
        <f t="shared" ca="1" si="531"/>
        <v/>
      </c>
      <c r="FE171" s="305" t="str">
        <f t="shared" ca="1" si="532"/>
        <v/>
      </c>
      <c r="FF171" s="305" t="str">
        <f t="shared" ca="1" si="533"/>
        <v/>
      </c>
      <c r="FG171" s="299">
        <f t="shared" ca="1" si="534"/>
        <v>0</v>
      </c>
      <c r="FH171" s="302">
        <f t="shared" ca="1" si="535"/>
        <v>0</v>
      </c>
      <c r="FI171" s="248">
        <f t="shared" ca="1" si="536"/>
        <v>0</v>
      </c>
      <c r="FJ171" s="363">
        <f t="shared" ca="1" si="537"/>
        <v>0</v>
      </c>
      <c r="FK171" s="378" t="str">
        <f t="shared" ca="1" si="538"/>
        <v/>
      </c>
      <c r="FL171" s="508" t="str">
        <f t="shared" ca="1" si="539"/>
        <v/>
      </c>
      <c r="FM171" s="508" t="str">
        <f t="shared" ca="1" si="540"/>
        <v/>
      </c>
      <c r="FN171" s="508" t="str">
        <f t="shared" ca="1" si="541"/>
        <v/>
      </c>
      <c r="FO171" s="508" t="str">
        <f t="shared" ca="1" si="542"/>
        <v/>
      </c>
      <c r="FP171" s="353">
        <f t="shared" ca="1" si="543"/>
        <v>0</v>
      </c>
      <c r="FQ171" s="356">
        <f t="shared" ca="1" si="544"/>
        <v>0</v>
      </c>
      <c r="FR171" s="380">
        <f t="shared" ca="1" si="545"/>
        <v>0</v>
      </c>
      <c r="FS171" s="299">
        <f t="shared" ca="1" si="546"/>
        <v>0</v>
      </c>
      <c r="FT171" s="299">
        <f t="shared" ca="1" si="547"/>
        <v>0</v>
      </c>
      <c r="FU171" s="299">
        <f t="shared" ca="1" si="548"/>
        <v>0</v>
      </c>
      <c r="FV171" s="299">
        <f t="shared" ca="1" si="549"/>
        <v>0</v>
      </c>
      <c r="FW171" s="850" t="str">
        <f t="shared" ca="1" si="550"/>
        <v/>
      </c>
      <c r="FX171" s="851" t="str">
        <f t="shared" ca="1" si="551"/>
        <v/>
      </c>
      <c r="FY171" s="851" t="str">
        <f t="shared" ca="1" si="552"/>
        <v/>
      </c>
      <c r="FZ171" s="201" t="str">
        <f t="shared" ca="1" si="553"/>
        <v/>
      </c>
      <c r="GA171" s="201" t="str">
        <f t="shared" ca="1" si="554"/>
        <v/>
      </c>
      <c r="GB171" s="201" t="str">
        <f t="shared" ca="1" si="555"/>
        <v/>
      </c>
      <c r="GC171" s="201" t="str">
        <f t="shared" ca="1" si="556"/>
        <v/>
      </c>
      <c r="GD171" s="850" t="str">
        <f t="shared" ca="1" si="557"/>
        <v/>
      </c>
      <c r="GE171" s="866" t="str">
        <f t="shared" ca="1" si="558"/>
        <v/>
      </c>
      <c r="GF171" s="866" t="str">
        <f t="shared" ca="1" si="559"/>
        <v/>
      </c>
      <c r="GG171" s="866" t="str">
        <f t="shared" ca="1" si="560"/>
        <v/>
      </c>
      <c r="GH171" s="866" t="str">
        <f t="shared" ca="1" si="561"/>
        <v/>
      </c>
      <c r="GI171" s="302">
        <f t="shared" ca="1" si="562"/>
        <v>0</v>
      </c>
      <c r="GJ171" s="299">
        <f t="shared" ca="1" si="563"/>
        <v>0</v>
      </c>
      <c r="GK171" s="299">
        <f t="shared" ca="1" si="564"/>
        <v>0</v>
      </c>
      <c r="GL171" s="299">
        <f t="shared" ca="1" si="565"/>
        <v>0</v>
      </c>
      <c r="GM171" s="299">
        <f t="shared" ca="1" si="566"/>
        <v>0</v>
      </c>
      <c r="GN171" s="302">
        <f t="shared" ca="1" si="567"/>
        <v>0</v>
      </c>
      <c r="GO171" s="299">
        <f t="shared" ca="1" si="568"/>
        <v>0</v>
      </c>
      <c r="GP171" s="299">
        <f t="shared" ca="1" si="569"/>
        <v>0</v>
      </c>
      <c r="GQ171" s="299">
        <f t="shared" ca="1" si="570"/>
        <v>0</v>
      </c>
      <c r="GR171" s="299">
        <f t="shared" ca="1" si="571"/>
        <v>0</v>
      </c>
      <c r="GS171" s="302">
        <f t="shared" ca="1" si="572"/>
        <v>0</v>
      </c>
      <c r="GT171" s="299">
        <f t="shared" ca="1" si="573"/>
        <v>0</v>
      </c>
      <c r="GU171" s="299">
        <f t="shared" ca="1" si="574"/>
        <v>0</v>
      </c>
      <c r="GV171" s="299">
        <f t="shared" ca="1" si="575"/>
        <v>0</v>
      </c>
      <c r="GW171" s="299">
        <f t="shared" ca="1" si="576"/>
        <v>0</v>
      </c>
      <c r="GX171" s="303">
        <f t="shared" ca="1" si="577"/>
        <v>0</v>
      </c>
      <c r="GY171" s="303">
        <f t="shared" ca="1" si="578"/>
        <v>0</v>
      </c>
      <c r="GZ171" s="303">
        <f t="shared" ca="1" si="579"/>
        <v>0</v>
      </c>
      <c r="HA171" s="303">
        <f t="shared" ca="1" si="580"/>
        <v>0</v>
      </c>
      <c r="HB171" s="303">
        <f t="shared" ca="1" si="581"/>
        <v>0</v>
      </c>
      <c r="HC171" s="303">
        <f t="shared" ca="1" si="582"/>
        <v>0</v>
      </c>
      <c r="HD171" s="303">
        <f t="shared" ca="1" si="583"/>
        <v>0</v>
      </c>
      <c r="HE171" s="303">
        <f t="shared" ca="1" si="584"/>
        <v>0</v>
      </c>
      <c r="HF171" s="303">
        <f t="shared" ca="1" si="585"/>
        <v>0</v>
      </c>
      <c r="HG171" s="852">
        <f t="shared" ca="1" si="586"/>
        <v>0</v>
      </c>
    </row>
    <row r="172" spans="1:215" x14ac:dyDescent="0.25">
      <c r="A172" s="244">
        <f t="shared" ca="1" si="587"/>
        <v>41334</v>
      </c>
      <c r="B172" s="13">
        <f t="shared" ca="1" si="609"/>
        <v>2013</v>
      </c>
      <c r="C172" s="619">
        <f t="shared" ca="1" si="610"/>
        <v>3</v>
      </c>
      <c r="D172" s="195" t="str">
        <f t="shared" ca="1" si="417"/>
        <v/>
      </c>
      <c r="E172" s="469" t="str">
        <f t="shared" ca="1" si="418"/>
        <v/>
      </c>
      <c r="F172" s="465" t="str">
        <f t="shared" ca="1" si="419"/>
        <v/>
      </c>
      <c r="G172" s="522">
        <f t="shared" ca="1" si="588"/>
        <v>1</v>
      </c>
      <c r="H172" s="519">
        <f t="shared" ca="1" si="589"/>
        <v>1</v>
      </c>
      <c r="I172" s="724">
        <f t="shared" ca="1" si="611"/>
        <v>7.4194263726293994E-2</v>
      </c>
      <c r="J172" s="198">
        <f t="shared" ca="1" si="421"/>
        <v>0.38412439571990648</v>
      </c>
      <c r="K172" s="200">
        <f t="shared" ca="1" si="597"/>
        <v>33.6</v>
      </c>
      <c r="L172" s="201">
        <f t="shared" ca="1" si="598"/>
        <v>34.6</v>
      </c>
      <c r="M172" s="206">
        <f t="shared" ca="1" si="599"/>
        <v>35.6</v>
      </c>
      <c r="N172" s="851">
        <f t="shared" ca="1" si="603"/>
        <v>22.084749603271476</v>
      </c>
      <c r="O172" s="201">
        <f t="shared" ca="1" si="604"/>
        <v>22.834749603271476</v>
      </c>
      <c r="P172" s="206">
        <f t="shared" ca="1" si="605"/>
        <v>23.584749603271476</v>
      </c>
      <c r="Q172" s="201">
        <f t="shared" ca="1" si="606"/>
        <v>18.164498901367178</v>
      </c>
      <c r="R172" s="201">
        <f t="shared" ca="1" si="607"/>
        <v>22.464498901367179</v>
      </c>
      <c r="S172" s="201">
        <f t="shared" ca="1" si="608"/>
        <v>26.76449890136718</v>
      </c>
      <c r="T172" s="851">
        <f t="shared" ca="1" si="600"/>
        <v>20.099999618530269</v>
      </c>
      <c r="U172" s="201">
        <f t="shared" ca="1" si="601"/>
        <v>20.599999618530269</v>
      </c>
      <c r="V172" s="206">
        <f t="shared" ca="1" si="602"/>
        <v>21.099999618530269</v>
      </c>
      <c r="W172" s="230">
        <f t="shared" ca="1" si="590"/>
        <v>7.1793592147077076E-2</v>
      </c>
      <c r="X172" s="231">
        <f t="shared" ca="1" si="591"/>
        <v>0.14358718429415415</v>
      </c>
      <c r="Y172" s="232">
        <f t="shared" ca="1" si="592"/>
        <v>0.21538077644123121</v>
      </c>
      <c r="Z172" s="231">
        <f t="shared" ca="1" si="612"/>
        <v>7.1793592147077076E-2</v>
      </c>
      <c r="AA172" s="231">
        <f t="shared" ca="1" si="613"/>
        <v>0.14358718429415415</v>
      </c>
      <c r="AB172" s="232">
        <f t="shared" ca="1" si="614"/>
        <v>0.21538077644123121</v>
      </c>
      <c r="AC172" s="231">
        <f t="shared" ca="1" si="615"/>
        <v>7.1793592147077076E-2</v>
      </c>
      <c r="AD172" s="231">
        <f t="shared" ca="1" si="616"/>
        <v>0.14358718429415415</v>
      </c>
      <c r="AE172" s="232">
        <f t="shared" ca="1" si="422"/>
        <v>0.21538077644123121</v>
      </c>
      <c r="AF172" s="231">
        <f t="shared" ca="1" si="593"/>
        <v>2.3070671677803113E-2</v>
      </c>
      <c r="AG172" s="231">
        <f t="shared" ca="1" si="594"/>
        <v>4.6141343355606226E-2</v>
      </c>
      <c r="AH172" s="232">
        <f t="shared" ca="1" si="595"/>
        <v>6.9212015033409346E-2</v>
      </c>
      <c r="AI172" s="233">
        <f t="shared" ca="1" si="423"/>
        <v>1.05</v>
      </c>
      <c r="AJ172" s="233">
        <f t="shared" ca="1" si="424"/>
        <v>1.3</v>
      </c>
      <c r="AK172" s="234">
        <f t="shared" ca="1" si="425"/>
        <v>1.6</v>
      </c>
      <c r="AL172" s="919">
        <f t="shared" ca="1" si="426"/>
        <v>1.05</v>
      </c>
      <c r="AM172" s="233">
        <f t="shared" ca="1" si="427"/>
        <v>1.3</v>
      </c>
      <c r="AN172" s="234">
        <f t="shared" ca="1" si="428"/>
        <v>1.6</v>
      </c>
      <c r="AO172" s="233">
        <f t="shared" ca="1" si="429"/>
        <v>1.05</v>
      </c>
      <c r="AP172" s="233">
        <f t="shared" ca="1" si="430"/>
        <v>1.3</v>
      </c>
      <c r="AQ172" s="233">
        <f t="shared" ca="1" si="431"/>
        <v>1.6</v>
      </c>
      <c r="AR172" s="919">
        <f t="shared" ca="1" si="432"/>
        <v>0.19999999999999998</v>
      </c>
      <c r="AS172" s="233">
        <f t="shared" ca="1" si="433"/>
        <v>0.35</v>
      </c>
      <c r="AT172" s="235">
        <f t="shared" ca="1" si="434"/>
        <v>0.55000000000000004</v>
      </c>
      <c r="AU172" s="946">
        <f t="shared" si="435"/>
        <v>0.5</v>
      </c>
      <c r="AV172" s="13">
        <f t="shared" ca="1" si="436"/>
        <v>0</v>
      </c>
      <c r="AW172" s="210">
        <f t="shared" ca="1" si="437"/>
        <v>0</v>
      </c>
      <c r="AX172" s="210">
        <f t="shared" ca="1" si="438"/>
        <v>0</v>
      </c>
      <c r="AY172" s="210">
        <f t="shared" ca="1" si="439"/>
        <v>0</v>
      </c>
      <c r="AZ172" s="13">
        <f t="shared" ca="1" si="440"/>
        <v>0</v>
      </c>
      <c r="BA172" s="357">
        <f ca="1"/>
        <v>0</v>
      </c>
      <c r="BB172" s="925">
        <f ca="1"/>
        <v>0</v>
      </c>
      <c r="BC172" s="925">
        <f ca="1"/>
        <v>0</v>
      </c>
      <c r="BD172" s="928">
        <f ca="1"/>
        <v>0</v>
      </c>
      <c r="BE172" s="200">
        <f ca="1"/>
        <v>0</v>
      </c>
      <c r="BF172" s="851">
        <f ca="1"/>
        <v>0</v>
      </c>
      <c r="BG172" s="851">
        <f ca="1"/>
        <v>0</v>
      </c>
      <c r="BH172" s="933">
        <f ca="1"/>
        <v>0</v>
      </c>
      <c r="BI172" s="357">
        <f ca="1"/>
        <v>0</v>
      </c>
      <c r="BJ172" s="925">
        <f ca="1"/>
        <v>0</v>
      </c>
      <c r="BK172" s="925">
        <f ca="1"/>
        <v>0</v>
      </c>
      <c r="BL172" s="928">
        <f ca="1"/>
        <v>0</v>
      </c>
      <c r="BM172" s="200">
        <f ca="1"/>
        <v>0</v>
      </c>
      <c r="BN172" s="851">
        <f ca="1"/>
        <v>0</v>
      </c>
      <c r="BO172" s="851">
        <f ca="1"/>
        <v>0</v>
      </c>
      <c r="BP172" s="933">
        <f ca="1"/>
        <v>0</v>
      </c>
      <c r="BQ172" s="357">
        <f t="shared" ca="1" si="441"/>
        <v>0</v>
      </c>
      <c r="BR172" s="361">
        <f t="shared" ca="1" si="442"/>
        <v>0</v>
      </c>
      <c r="BS172" s="357">
        <f t="shared" ca="1" si="443"/>
        <v>0</v>
      </c>
      <c r="BT172" s="302">
        <f t="shared" ca="1" si="444"/>
        <v>0</v>
      </c>
      <c r="BU172" s="299">
        <f t="shared" ca="1" si="445"/>
        <v>0</v>
      </c>
      <c r="BV172" s="299">
        <f t="shared" ca="1" si="446"/>
        <v>0</v>
      </c>
      <c r="BW172" s="299">
        <f t="shared" ca="1" si="447"/>
        <v>0</v>
      </c>
      <c r="BX172" s="380">
        <f t="shared" ca="1" si="448"/>
        <v>12.996577686516085</v>
      </c>
      <c r="BY172" s="363">
        <f t="shared" ca="1" si="449"/>
        <v>0</v>
      </c>
      <c r="BZ172" s="353">
        <f t="shared" ca="1" si="450"/>
        <v>0</v>
      </c>
      <c r="CA172" s="353">
        <f t="shared" ca="1" si="451"/>
        <v>0</v>
      </c>
      <c r="CB172" s="353">
        <f t="shared" ca="1" si="452"/>
        <v>0</v>
      </c>
      <c r="CC172" s="353">
        <f t="shared" ca="1" si="453"/>
        <v>0</v>
      </c>
      <c r="CD172" s="353">
        <f t="shared" ca="1" si="454"/>
        <v>0</v>
      </c>
      <c r="CE172" s="302">
        <f t="shared" ca="1" si="455"/>
        <v>0</v>
      </c>
      <c r="CF172" s="299">
        <f t="shared" ca="1" si="456"/>
        <v>0</v>
      </c>
      <c r="CG172" s="299">
        <f t="shared" ca="1" si="457"/>
        <v>0</v>
      </c>
      <c r="CH172" s="299">
        <f t="shared" ca="1" si="458"/>
        <v>0</v>
      </c>
      <c r="CI172" s="299">
        <f t="shared" ca="1" si="459"/>
        <v>0</v>
      </c>
      <c r="CJ172" s="299">
        <f t="shared" ca="1" si="460"/>
        <v>0</v>
      </c>
      <c r="CK172" s="299">
        <f t="shared" ca="1" si="461"/>
        <v>0</v>
      </c>
      <c r="CL172" s="377" t="str">
        <f t="shared" ca="1" si="462"/>
        <v/>
      </c>
      <c r="CM172" s="305" t="str">
        <f t="shared" ca="1" si="463"/>
        <v/>
      </c>
      <c r="CN172" s="305" t="str">
        <f t="shared" ca="1" si="464"/>
        <v/>
      </c>
      <c r="CO172" s="305" t="str">
        <f t="shared" ca="1" si="465"/>
        <v/>
      </c>
      <c r="CP172" s="305" t="str">
        <f t="shared" ca="1" si="466"/>
        <v/>
      </c>
      <c r="CQ172" s="305" t="str">
        <f t="shared" ca="1" si="467"/>
        <v/>
      </c>
      <c r="CR172" s="775" t="str">
        <f t="shared" ca="1" si="468"/>
        <v/>
      </c>
      <c r="CS172" s="305" t="str">
        <f t="shared" ca="1" si="469"/>
        <v/>
      </c>
      <c r="CT172" s="305" t="str">
        <f t="shared" ca="1" si="470"/>
        <v/>
      </c>
      <c r="CU172" s="305" t="str">
        <f t="shared" ca="1" si="471"/>
        <v/>
      </c>
      <c r="CV172" s="770" t="str">
        <f t="shared" ca="1" si="472"/>
        <v/>
      </c>
      <c r="CW172" s="302">
        <f t="shared" ca="1" si="473"/>
        <v>0</v>
      </c>
      <c r="CX172" s="299">
        <f t="shared" ca="1" si="474"/>
        <v>0</v>
      </c>
      <c r="CY172" s="299">
        <f t="shared" ca="1" si="475"/>
        <v>0</v>
      </c>
      <c r="CZ172" s="299">
        <f t="shared" ca="1" si="476"/>
        <v>0</v>
      </c>
      <c r="DA172" s="774">
        <f t="shared" ca="1" si="477"/>
        <v>0</v>
      </c>
      <c r="DB172" s="303">
        <f t="shared" ca="1" si="478"/>
        <v>0</v>
      </c>
      <c r="DC172" s="248">
        <f t="shared" ca="1" si="479"/>
        <v>0</v>
      </c>
      <c r="DD172" s="778">
        <f t="shared" ca="1" si="480"/>
        <v>0</v>
      </c>
      <c r="DE172" s="363">
        <f t="shared" ca="1" si="481"/>
        <v>0</v>
      </c>
      <c r="DF172" s="378" t="str">
        <f t="shared" ca="1" si="482"/>
        <v/>
      </c>
      <c r="DG172" s="508" t="str">
        <f t="shared" ca="1" si="483"/>
        <v/>
      </c>
      <c r="DH172" s="508" t="str">
        <f t="shared" ca="1" si="484"/>
        <v/>
      </c>
      <c r="DI172" s="508" t="str">
        <f t="shared" ca="1" si="485"/>
        <v/>
      </c>
      <c r="DJ172" s="508" t="str">
        <f t="shared" ca="1" si="486"/>
        <v/>
      </c>
      <c r="DK172" s="353">
        <f t="shared" ca="1" si="487"/>
        <v>0</v>
      </c>
      <c r="DL172" s="781">
        <f t="shared" ca="1" si="488"/>
        <v>0</v>
      </c>
      <c r="DM172" s="303">
        <f t="shared" ca="1" si="489"/>
        <v>0</v>
      </c>
      <c r="DN172" s="508" t="str">
        <f t="shared" ca="1" si="490"/>
        <v/>
      </c>
      <c r="DO172" s="508" t="str">
        <f t="shared" ca="1" si="491"/>
        <v/>
      </c>
      <c r="DP172" s="508" t="str">
        <f t="shared" ca="1" si="492"/>
        <v/>
      </c>
      <c r="DQ172" s="508" t="str">
        <f t="shared" ca="1" si="493"/>
        <v/>
      </c>
      <c r="DR172" s="508" t="str">
        <f t="shared" ca="1" si="494"/>
        <v/>
      </c>
      <c r="DS172" s="353">
        <f t="shared" ca="1" si="495"/>
        <v>0</v>
      </c>
      <c r="DT172" s="353">
        <f t="shared" ca="1" si="496"/>
        <v>0</v>
      </c>
      <c r="DU172" s="380">
        <f t="shared" ca="1" si="596"/>
        <v>12.996577686516085</v>
      </c>
      <c r="DV172" s="303">
        <f t="shared" ca="1" si="497"/>
        <v>0</v>
      </c>
      <c r="DW172" s="303">
        <f t="shared" ca="1" si="498"/>
        <v>0</v>
      </c>
      <c r="DX172" s="303">
        <f t="shared" ca="1" si="499"/>
        <v>0</v>
      </c>
      <c r="DY172" s="303">
        <f t="shared" ca="1" si="500"/>
        <v>0</v>
      </c>
      <c r="DZ172" s="303">
        <f t="shared" ca="1" si="501"/>
        <v>0</v>
      </c>
      <c r="EA172" s="303">
        <f t="shared" ca="1" si="502"/>
        <v>0</v>
      </c>
      <c r="EB172" s="302">
        <f t="shared" ca="1" si="503"/>
        <v>0</v>
      </c>
      <c r="EC172" s="299">
        <f t="shared" ca="1" si="504"/>
        <v>0</v>
      </c>
      <c r="ED172" s="299">
        <f t="shared" ca="1" si="505"/>
        <v>0</v>
      </c>
      <c r="EE172" s="299">
        <f t="shared" ca="1" si="506"/>
        <v>0</v>
      </c>
      <c r="EF172" s="299">
        <f t="shared" ca="1" si="507"/>
        <v>0</v>
      </c>
      <c r="EG172" s="299">
        <f t="shared" ca="1" si="508"/>
        <v>0</v>
      </c>
      <c r="EH172" s="302">
        <f t="shared" ca="1" si="509"/>
        <v>0</v>
      </c>
      <c r="EI172" s="304" t="str">
        <f t="shared" ca="1" si="510"/>
        <v/>
      </c>
      <c r="EJ172" s="305" t="str">
        <f t="shared" ca="1" si="511"/>
        <v/>
      </c>
      <c r="EK172" s="305" t="str">
        <f t="shared" ca="1" si="512"/>
        <v/>
      </c>
      <c r="EL172" s="305" t="str">
        <f t="shared" ca="1" si="513"/>
        <v/>
      </c>
      <c r="EM172" s="305" t="str">
        <f t="shared" ca="1" si="514"/>
        <v/>
      </c>
      <c r="EN172" s="305" t="str">
        <f t="shared" ca="1" si="515"/>
        <v/>
      </c>
      <c r="EO172" s="305" t="str">
        <f t="shared" ca="1" si="516"/>
        <v/>
      </c>
      <c r="EP172" s="305" t="str">
        <f t="shared" ca="1" si="517"/>
        <v/>
      </c>
      <c r="EQ172" s="305" t="str">
        <f t="shared" ca="1" si="518"/>
        <v/>
      </c>
      <c r="ER172" s="305" t="str">
        <f t="shared" ca="1" si="519"/>
        <v/>
      </c>
      <c r="ES172" s="305" t="str">
        <f t="shared" ca="1" si="520"/>
        <v/>
      </c>
      <c r="ET172" s="299">
        <f t="shared" ca="1" si="521"/>
        <v>0</v>
      </c>
      <c r="EU172" s="302">
        <f t="shared" ca="1" si="522"/>
        <v>0</v>
      </c>
      <c r="EV172" s="304" t="str">
        <f t="shared" ca="1" si="523"/>
        <v/>
      </c>
      <c r="EW172" s="305" t="str">
        <f t="shared" ca="1" si="524"/>
        <v/>
      </c>
      <c r="EX172" s="305" t="str">
        <f t="shared" ca="1" si="525"/>
        <v/>
      </c>
      <c r="EY172" s="305" t="str">
        <f t="shared" ca="1" si="526"/>
        <v/>
      </c>
      <c r="EZ172" s="305" t="str">
        <f t="shared" ca="1" si="527"/>
        <v/>
      </c>
      <c r="FA172" s="305" t="str">
        <f t="shared" ca="1" si="528"/>
        <v/>
      </c>
      <c r="FB172" s="305" t="str">
        <f t="shared" ca="1" si="529"/>
        <v/>
      </c>
      <c r="FC172" s="305" t="str">
        <f t="shared" ca="1" si="530"/>
        <v/>
      </c>
      <c r="FD172" s="305" t="str">
        <f t="shared" ca="1" si="531"/>
        <v/>
      </c>
      <c r="FE172" s="305" t="str">
        <f t="shared" ca="1" si="532"/>
        <v/>
      </c>
      <c r="FF172" s="305" t="str">
        <f t="shared" ca="1" si="533"/>
        <v/>
      </c>
      <c r="FG172" s="299">
        <f t="shared" ca="1" si="534"/>
        <v>0</v>
      </c>
      <c r="FH172" s="302">
        <f t="shared" ca="1" si="535"/>
        <v>0</v>
      </c>
      <c r="FI172" s="248">
        <f t="shared" ca="1" si="536"/>
        <v>0</v>
      </c>
      <c r="FJ172" s="363">
        <f t="shared" ca="1" si="537"/>
        <v>0</v>
      </c>
      <c r="FK172" s="378" t="str">
        <f t="shared" ca="1" si="538"/>
        <v/>
      </c>
      <c r="FL172" s="508" t="str">
        <f t="shared" ca="1" si="539"/>
        <v/>
      </c>
      <c r="FM172" s="508" t="str">
        <f t="shared" ca="1" si="540"/>
        <v/>
      </c>
      <c r="FN172" s="508" t="str">
        <f t="shared" ca="1" si="541"/>
        <v/>
      </c>
      <c r="FO172" s="508" t="str">
        <f t="shared" ca="1" si="542"/>
        <v/>
      </c>
      <c r="FP172" s="353">
        <f t="shared" ca="1" si="543"/>
        <v>0</v>
      </c>
      <c r="FQ172" s="356">
        <f t="shared" ca="1" si="544"/>
        <v>0</v>
      </c>
      <c r="FR172" s="380">
        <f t="shared" ca="1" si="545"/>
        <v>0</v>
      </c>
      <c r="FS172" s="299">
        <f t="shared" ca="1" si="546"/>
        <v>0</v>
      </c>
      <c r="FT172" s="299">
        <f t="shared" ca="1" si="547"/>
        <v>0</v>
      </c>
      <c r="FU172" s="299">
        <f t="shared" ca="1" si="548"/>
        <v>0</v>
      </c>
      <c r="FV172" s="299">
        <f t="shared" ca="1" si="549"/>
        <v>0</v>
      </c>
      <c r="FW172" s="850" t="str">
        <f t="shared" ca="1" si="550"/>
        <v/>
      </c>
      <c r="FX172" s="851" t="str">
        <f t="shared" ca="1" si="551"/>
        <v/>
      </c>
      <c r="FY172" s="851" t="str">
        <f t="shared" ca="1" si="552"/>
        <v/>
      </c>
      <c r="FZ172" s="201" t="str">
        <f t="shared" ca="1" si="553"/>
        <v/>
      </c>
      <c r="GA172" s="201" t="str">
        <f t="shared" ca="1" si="554"/>
        <v/>
      </c>
      <c r="GB172" s="201" t="str">
        <f t="shared" ca="1" si="555"/>
        <v/>
      </c>
      <c r="GC172" s="201" t="str">
        <f t="shared" ca="1" si="556"/>
        <v/>
      </c>
      <c r="GD172" s="850" t="str">
        <f t="shared" ca="1" si="557"/>
        <v/>
      </c>
      <c r="GE172" s="866" t="str">
        <f t="shared" ca="1" si="558"/>
        <v/>
      </c>
      <c r="GF172" s="866" t="str">
        <f t="shared" ca="1" si="559"/>
        <v/>
      </c>
      <c r="GG172" s="866" t="str">
        <f t="shared" ca="1" si="560"/>
        <v/>
      </c>
      <c r="GH172" s="866" t="str">
        <f t="shared" ca="1" si="561"/>
        <v/>
      </c>
      <c r="GI172" s="302">
        <f t="shared" ca="1" si="562"/>
        <v>0</v>
      </c>
      <c r="GJ172" s="299">
        <f t="shared" ca="1" si="563"/>
        <v>0</v>
      </c>
      <c r="GK172" s="299">
        <f t="shared" ca="1" si="564"/>
        <v>0</v>
      </c>
      <c r="GL172" s="299">
        <f t="shared" ca="1" si="565"/>
        <v>0</v>
      </c>
      <c r="GM172" s="299">
        <f t="shared" ca="1" si="566"/>
        <v>0</v>
      </c>
      <c r="GN172" s="302">
        <f t="shared" ca="1" si="567"/>
        <v>0</v>
      </c>
      <c r="GO172" s="299">
        <f t="shared" ca="1" si="568"/>
        <v>0</v>
      </c>
      <c r="GP172" s="299">
        <f t="shared" ca="1" si="569"/>
        <v>0</v>
      </c>
      <c r="GQ172" s="299">
        <f t="shared" ca="1" si="570"/>
        <v>0</v>
      </c>
      <c r="GR172" s="299">
        <f t="shared" ca="1" si="571"/>
        <v>0</v>
      </c>
      <c r="GS172" s="302">
        <f t="shared" ca="1" si="572"/>
        <v>0</v>
      </c>
      <c r="GT172" s="299">
        <f t="shared" ca="1" si="573"/>
        <v>0</v>
      </c>
      <c r="GU172" s="299">
        <f t="shared" ca="1" si="574"/>
        <v>0</v>
      </c>
      <c r="GV172" s="299">
        <f t="shared" ca="1" si="575"/>
        <v>0</v>
      </c>
      <c r="GW172" s="299">
        <f t="shared" ca="1" si="576"/>
        <v>0</v>
      </c>
      <c r="GX172" s="303">
        <f t="shared" ca="1" si="577"/>
        <v>0</v>
      </c>
      <c r="GY172" s="303">
        <f t="shared" ca="1" si="578"/>
        <v>0</v>
      </c>
      <c r="GZ172" s="303">
        <f t="shared" ca="1" si="579"/>
        <v>0</v>
      </c>
      <c r="HA172" s="303">
        <f t="shared" ca="1" si="580"/>
        <v>0</v>
      </c>
      <c r="HB172" s="303">
        <f t="shared" ca="1" si="581"/>
        <v>0</v>
      </c>
      <c r="HC172" s="303">
        <f t="shared" ca="1" si="582"/>
        <v>0</v>
      </c>
      <c r="HD172" s="303">
        <f t="shared" ca="1" si="583"/>
        <v>0</v>
      </c>
      <c r="HE172" s="303">
        <f t="shared" ca="1" si="584"/>
        <v>0</v>
      </c>
      <c r="HF172" s="303">
        <f t="shared" ca="1" si="585"/>
        <v>0</v>
      </c>
      <c r="HG172" s="852">
        <f t="shared" ca="1" si="586"/>
        <v>0</v>
      </c>
    </row>
    <row r="173" spans="1:215" x14ac:dyDescent="0.25">
      <c r="A173" s="244">
        <f t="shared" ca="1" si="587"/>
        <v>41365</v>
      </c>
      <c r="B173" s="13">
        <f t="shared" ca="1" si="609"/>
        <v>2013</v>
      </c>
      <c r="C173" s="619">
        <f t="shared" ca="1" si="610"/>
        <v>4</v>
      </c>
      <c r="D173" s="195" t="str">
        <f t="shared" ca="1" si="417"/>
        <v/>
      </c>
      <c r="E173" s="469" t="str">
        <f t="shared" ca="1" si="418"/>
        <v/>
      </c>
      <c r="F173" s="465" t="str">
        <f t="shared" ca="1" si="419"/>
        <v/>
      </c>
      <c r="G173" s="522">
        <f t="shared" ca="1" si="588"/>
        <v>1</v>
      </c>
      <c r="H173" s="519">
        <f t="shared" ca="1" si="589"/>
        <v>1</v>
      </c>
      <c r="I173" s="724">
        <f t="shared" ca="1" si="611"/>
        <v>7.4193969008413005E-2</v>
      </c>
      <c r="J173" s="198">
        <f t="shared" ca="1" si="421"/>
        <v>0.3818342190554242</v>
      </c>
      <c r="K173" s="200">
        <f t="shared" ca="1" si="597"/>
        <v>32.5</v>
      </c>
      <c r="L173" s="201">
        <f t="shared" ca="1" si="598"/>
        <v>33.35</v>
      </c>
      <c r="M173" s="206">
        <f t="shared" ca="1" si="599"/>
        <v>34.200000000000003</v>
      </c>
      <c r="N173" s="851">
        <f t="shared" ca="1" si="603"/>
        <v>22.880000305175773</v>
      </c>
      <c r="O173" s="201">
        <f t="shared" ca="1" si="604"/>
        <v>23.517500305175773</v>
      </c>
      <c r="P173" s="206">
        <f t="shared" ca="1" si="605"/>
        <v>24.155000305175772</v>
      </c>
      <c r="Q173" s="201">
        <f t="shared" ca="1" si="606"/>
        <v>17.934999084472647</v>
      </c>
      <c r="R173" s="201">
        <f t="shared" ca="1" si="607"/>
        <v>22.234999084472648</v>
      </c>
      <c r="S173" s="201">
        <f t="shared" ca="1" si="608"/>
        <v>26.534999084472648</v>
      </c>
      <c r="T173" s="851">
        <f t="shared" ca="1" si="600"/>
        <v>20.174997711181636</v>
      </c>
      <c r="U173" s="201">
        <f t="shared" ca="1" si="601"/>
        <v>20.599997711181636</v>
      </c>
      <c r="V173" s="206">
        <f t="shared" ca="1" si="602"/>
        <v>21.024997711181637</v>
      </c>
      <c r="W173" s="230">
        <f t="shared" ca="1" si="590"/>
        <v>6.4073197394597145E-2</v>
      </c>
      <c r="X173" s="231">
        <f t="shared" ca="1" si="591"/>
        <v>0.12814639478919429</v>
      </c>
      <c r="Y173" s="232">
        <f t="shared" ca="1" si="592"/>
        <v>0.19221959218379142</v>
      </c>
      <c r="Z173" s="231">
        <f t="shared" ca="1" si="612"/>
        <v>6.4073197394597145E-2</v>
      </c>
      <c r="AA173" s="231">
        <f t="shared" ca="1" si="613"/>
        <v>0.12814639478919429</v>
      </c>
      <c r="AB173" s="232">
        <f t="shared" ca="1" si="614"/>
        <v>0.19221959218379142</v>
      </c>
      <c r="AC173" s="231">
        <f t="shared" ca="1" si="615"/>
        <v>6.4073197394597145E-2</v>
      </c>
      <c r="AD173" s="231">
        <f t="shared" ca="1" si="616"/>
        <v>0.12814639478919429</v>
      </c>
      <c r="AE173" s="232">
        <f t="shared" ca="1" si="422"/>
        <v>0.19221959218379142</v>
      </c>
      <c r="AF173" s="231">
        <f t="shared" ca="1" si="593"/>
        <v>2.3070671677803113E-2</v>
      </c>
      <c r="AG173" s="231">
        <f t="shared" ca="1" si="594"/>
        <v>4.6141343355606226E-2</v>
      </c>
      <c r="AH173" s="232">
        <f t="shared" ca="1" si="595"/>
        <v>6.9212015033409346E-2</v>
      </c>
      <c r="AI173" s="233">
        <f t="shared" ca="1" si="423"/>
        <v>0.85000000000000009</v>
      </c>
      <c r="AJ173" s="233">
        <f t="shared" ca="1" si="424"/>
        <v>1.1000000000000001</v>
      </c>
      <c r="AK173" s="234">
        <f t="shared" ca="1" si="425"/>
        <v>1.4000000000000001</v>
      </c>
      <c r="AL173" s="919">
        <f t="shared" ca="1" si="426"/>
        <v>0.85000000000000009</v>
      </c>
      <c r="AM173" s="233">
        <f t="shared" ca="1" si="427"/>
        <v>1.1000000000000001</v>
      </c>
      <c r="AN173" s="234">
        <f t="shared" ca="1" si="428"/>
        <v>1.4000000000000001</v>
      </c>
      <c r="AO173" s="233">
        <f t="shared" ca="1" si="429"/>
        <v>0.85000000000000009</v>
      </c>
      <c r="AP173" s="233">
        <f t="shared" ca="1" si="430"/>
        <v>1.1000000000000001</v>
      </c>
      <c r="AQ173" s="233">
        <f t="shared" ca="1" si="431"/>
        <v>1.4000000000000001</v>
      </c>
      <c r="AR173" s="919">
        <f t="shared" ca="1" si="432"/>
        <v>0.19999999999999998</v>
      </c>
      <c r="AS173" s="233">
        <f t="shared" ca="1" si="433"/>
        <v>0.35</v>
      </c>
      <c r="AT173" s="235">
        <f t="shared" ca="1" si="434"/>
        <v>0.55000000000000004</v>
      </c>
      <c r="AU173" s="946">
        <f t="shared" si="435"/>
        <v>0.5</v>
      </c>
      <c r="AV173" s="13">
        <f t="shared" ca="1" si="436"/>
        <v>0</v>
      </c>
      <c r="AW173" s="210">
        <f t="shared" ca="1" si="437"/>
        <v>0</v>
      </c>
      <c r="AX173" s="210">
        <f t="shared" ca="1" si="438"/>
        <v>0</v>
      </c>
      <c r="AY173" s="210">
        <f t="shared" ca="1" si="439"/>
        <v>0</v>
      </c>
      <c r="AZ173" s="13">
        <f t="shared" ca="1" si="440"/>
        <v>0</v>
      </c>
      <c r="BA173" s="357">
        <f ca="1"/>
        <v>0</v>
      </c>
      <c r="BB173" s="925">
        <f ca="1"/>
        <v>0</v>
      </c>
      <c r="BC173" s="925">
        <f ca="1"/>
        <v>0</v>
      </c>
      <c r="BD173" s="928">
        <f ca="1"/>
        <v>0</v>
      </c>
      <c r="BE173" s="200">
        <f ca="1"/>
        <v>0</v>
      </c>
      <c r="BF173" s="851">
        <f ca="1"/>
        <v>0</v>
      </c>
      <c r="BG173" s="851">
        <f ca="1"/>
        <v>0</v>
      </c>
      <c r="BH173" s="933">
        <f ca="1"/>
        <v>0</v>
      </c>
      <c r="BI173" s="357">
        <f ca="1"/>
        <v>0</v>
      </c>
      <c r="BJ173" s="925">
        <f ca="1"/>
        <v>0</v>
      </c>
      <c r="BK173" s="925">
        <f ca="1"/>
        <v>0</v>
      </c>
      <c r="BL173" s="928">
        <f ca="1"/>
        <v>0</v>
      </c>
      <c r="BM173" s="200">
        <f ca="1"/>
        <v>0</v>
      </c>
      <c r="BN173" s="851">
        <f ca="1"/>
        <v>0</v>
      </c>
      <c r="BO173" s="851">
        <f ca="1"/>
        <v>0</v>
      </c>
      <c r="BP173" s="933">
        <f ca="1"/>
        <v>0</v>
      </c>
      <c r="BQ173" s="357">
        <f t="shared" ca="1" si="441"/>
        <v>0</v>
      </c>
      <c r="BR173" s="361">
        <f t="shared" ca="1" si="442"/>
        <v>0</v>
      </c>
      <c r="BS173" s="357">
        <f t="shared" ca="1" si="443"/>
        <v>0</v>
      </c>
      <c r="BT173" s="302">
        <f t="shared" ca="1" si="444"/>
        <v>0</v>
      </c>
      <c r="BU173" s="299">
        <f t="shared" ca="1" si="445"/>
        <v>0</v>
      </c>
      <c r="BV173" s="299">
        <f t="shared" ca="1" si="446"/>
        <v>0</v>
      </c>
      <c r="BW173" s="299">
        <f t="shared" ca="1" si="447"/>
        <v>0</v>
      </c>
      <c r="BX173" s="380">
        <f t="shared" ca="1" si="448"/>
        <v>13.08145106091718</v>
      </c>
      <c r="BY173" s="363">
        <f t="shared" ca="1" si="449"/>
        <v>0</v>
      </c>
      <c r="BZ173" s="353">
        <f t="shared" ca="1" si="450"/>
        <v>0</v>
      </c>
      <c r="CA173" s="353">
        <f t="shared" ca="1" si="451"/>
        <v>0</v>
      </c>
      <c r="CB173" s="353">
        <f t="shared" ca="1" si="452"/>
        <v>0</v>
      </c>
      <c r="CC173" s="353">
        <f t="shared" ca="1" si="453"/>
        <v>0</v>
      </c>
      <c r="CD173" s="353">
        <f t="shared" ca="1" si="454"/>
        <v>0</v>
      </c>
      <c r="CE173" s="302">
        <f t="shared" ca="1" si="455"/>
        <v>0</v>
      </c>
      <c r="CF173" s="299">
        <f t="shared" ca="1" si="456"/>
        <v>0</v>
      </c>
      <c r="CG173" s="299">
        <f t="shared" ca="1" si="457"/>
        <v>0</v>
      </c>
      <c r="CH173" s="299">
        <f t="shared" ca="1" si="458"/>
        <v>0</v>
      </c>
      <c r="CI173" s="299">
        <f t="shared" ca="1" si="459"/>
        <v>0</v>
      </c>
      <c r="CJ173" s="299">
        <f t="shared" ca="1" si="460"/>
        <v>0</v>
      </c>
      <c r="CK173" s="299">
        <f t="shared" ca="1" si="461"/>
        <v>0</v>
      </c>
      <c r="CL173" s="377" t="str">
        <f t="shared" ca="1" si="462"/>
        <v/>
      </c>
      <c r="CM173" s="305" t="str">
        <f t="shared" ca="1" si="463"/>
        <v/>
      </c>
      <c r="CN173" s="305" t="str">
        <f t="shared" ca="1" si="464"/>
        <v/>
      </c>
      <c r="CO173" s="305" t="str">
        <f t="shared" ca="1" si="465"/>
        <v/>
      </c>
      <c r="CP173" s="305" t="str">
        <f t="shared" ca="1" si="466"/>
        <v/>
      </c>
      <c r="CQ173" s="305" t="str">
        <f t="shared" ca="1" si="467"/>
        <v/>
      </c>
      <c r="CR173" s="775" t="str">
        <f t="shared" ca="1" si="468"/>
        <v/>
      </c>
      <c r="CS173" s="305" t="str">
        <f t="shared" ca="1" si="469"/>
        <v/>
      </c>
      <c r="CT173" s="305" t="str">
        <f t="shared" ca="1" si="470"/>
        <v/>
      </c>
      <c r="CU173" s="305" t="str">
        <f t="shared" ca="1" si="471"/>
        <v/>
      </c>
      <c r="CV173" s="770" t="str">
        <f t="shared" ca="1" si="472"/>
        <v/>
      </c>
      <c r="CW173" s="302">
        <f t="shared" ca="1" si="473"/>
        <v>0</v>
      </c>
      <c r="CX173" s="299">
        <f t="shared" ca="1" si="474"/>
        <v>0</v>
      </c>
      <c r="CY173" s="299">
        <f t="shared" ca="1" si="475"/>
        <v>0</v>
      </c>
      <c r="CZ173" s="299">
        <f t="shared" ca="1" si="476"/>
        <v>0</v>
      </c>
      <c r="DA173" s="774">
        <f t="shared" ca="1" si="477"/>
        <v>0</v>
      </c>
      <c r="DB173" s="303">
        <f t="shared" ca="1" si="478"/>
        <v>0</v>
      </c>
      <c r="DC173" s="248">
        <f t="shared" ca="1" si="479"/>
        <v>0</v>
      </c>
      <c r="DD173" s="778">
        <f t="shared" ca="1" si="480"/>
        <v>0</v>
      </c>
      <c r="DE173" s="363">
        <f t="shared" ca="1" si="481"/>
        <v>0</v>
      </c>
      <c r="DF173" s="378" t="str">
        <f t="shared" ca="1" si="482"/>
        <v/>
      </c>
      <c r="DG173" s="508" t="str">
        <f t="shared" ca="1" si="483"/>
        <v/>
      </c>
      <c r="DH173" s="508" t="str">
        <f t="shared" ca="1" si="484"/>
        <v/>
      </c>
      <c r="DI173" s="508" t="str">
        <f t="shared" ca="1" si="485"/>
        <v/>
      </c>
      <c r="DJ173" s="508" t="str">
        <f t="shared" ca="1" si="486"/>
        <v/>
      </c>
      <c r="DK173" s="353">
        <f t="shared" ca="1" si="487"/>
        <v>0</v>
      </c>
      <c r="DL173" s="781">
        <f t="shared" ca="1" si="488"/>
        <v>0</v>
      </c>
      <c r="DM173" s="303">
        <f t="shared" ca="1" si="489"/>
        <v>0</v>
      </c>
      <c r="DN173" s="508" t="str">
        <f t="shared" ca="1" si="490"/>
        <v/>
      </c>
      <c r="DO173" s="508" t="str">
        <f t="shared" ca="1" si="491"/>
        <v/>
      </c>
      <c r="DP173" s="508" t="str">
        <f t="shared" ca="1" si="492"/>
        <v/>
      </c>
      <c r="DQ173" s="508" t="str">
        <f t="shared" ca="1" si="493"/>
        <v/>
      </c>
      <c r="DR173" s="508" t="str">
        <f t="shared" ca="1" si="494"/>
        <v/>
      </c>
      <c r="DS173" s="353">
        <f t="shared" ca="1" si="495"/>
        <v>0</v>
      </c>
      <c r="DT173" s="353">
        <f t="shared" ca="1" si="496"/>
        <v>0</v>
      </c>
      <c r="DU173" s="380">
        <f t="shared" ca="1" si="596"/>
        <v>13.08145106091718</v>
      </c>
      <c r="DV173" s="303">
        <f t="shared" ca="1" si="497"/>
        <v>0</v>
      </c>
      <c r="DW173" s="303">
        <f t="shared" ca="1" si="498"/>
        <v>0</v>
      </c>
      <c r="DX173" s="303">
        <f t="shared" ca="1" si="499"/>
        <v>0</v>
      </c>
      <c r="DY173" s="303">
        <f t="shared" ca="1" si="500"/>
        <v>0</v>
      </c>
      <c r="DZ173" s="303">
        <f t="shared" ca="1" si="501"/>
        <v>0</v>
      </c>
      <c r="EA173" s="303">
        <f t="shared" ca="1" si="502"/>
        <v>0</v>
      </c>
      <c r="EB173" s="302">
        <f t="shared" ca="1" si="503"/>
        <v>0</v>
      </c>
      <c r="EC173" s="299">
        <f t="shared" ca="1" si="504"/>
        <v>0</v>
      </c>
      <c r="ED173" s="299">
        <f t="shared" ca="1" si="505"/>
        <v>0</v>
      </c>
      <c r="EE173" s="299">
        <f t="shared" ca="1" si="506"/>
        <v>0</v>
      </c>
      <c r="EF173" s="299">
        <f t="shared" ca="1" si="507"/>
        <v>0</v>
      </c>
      <c r="EG173" s="299">
        <f t="shared" ca="1" si="508"/>
        <v>0</v>
      </c>
      <c r="EH173" s="302">
        <f t="shared" ca="1" si="509"/>
        <v>0</v>
      </c>
      <c r="EI173" s="304" t="str">
        <f t="shared" ca="1" si="510"/>
        <v/>
      </c>
      <c r="EJ173" s="305" t="str">
        <f t="shared" ca="1" si="511"/>
        <v/>
      </c>
      <c r="EK173" s="305" t="str">
        <f t="shared" ca="1" si="512"/>
        <v/>
      </c>
      <c r="EL173" s="305" t="str">
        <f t="shared" ca="1" si="513"/>
        <v/>
      </c>
      <c r="EM173" s="305" t="str">
        <f t="shared" ca="1" si="514"/>
        <v/>
      </c>
      <c r="EN173" s="305" t="str">
        <f t="shared" ca="1" si="515"/>
        <v/>
      </c>
      <c r="EO173" s="305" t="str">
        <f t="shared" ca="1" si="516"/>
        <v/>
      </c>
      <c r="EP173" s="305" t="str">
        <f t="shared" ca="1" si="517"/>
        <v/>
      </c>
      <c r="EQ173" s="305" t="str">
        <f t="shared" ca="1" si="518"/>
        <v/>
      </c>
      <c r="ER173" s="305" t="str">
        <f t="shared" ca="1" si="519"/>
        <v/>
      </c>
      <c r="ES173" s="305" t="str">
        <f t="shared" ca="1" si="520"/>
        <v/>
      </c>
      <c r="ET173" s="299">
        <f t="shared" ca="1" si="521"/>
        <v>0</v>
      </c>
      <c r="EU173" s="302">
        <f t="shared" ca="1" si="522"/>
        <v>0</v>
      </c>
      <c r="EV173" s="304" t="str">
        <f t="shared" ca="1" si="523"/>
        <v/>
      </c>
      <c r="EW173" s="305" t="str">
        <f t="shared" ca="1" si="524"/>
        <v/>
      </c>
      <c r="EX173" s="305" t="str">
        <f t="shared" ca="1" si="525"/>
        <v/>
      </c>
      <c r="EY173" s="305" t="str">
        <f t="shared" ca="1" si="526"/>
        <v/>
      </c>
      <c r="EZ173" s="305" t="str">
        <f t="shared" ca="1" si="527"/>
        <v/>
      </c>
      <c r="FA173" s="305" t="str">
        <f t="shared" ca="1" si="528"/>
        <v/>
      </c>
      <c r="FB173" s="305" t="str">
        <f t="shared" ca="1" si="529"/>
        <v/>
      </c>
      <c r="FC173" s="305" t="str">
        <f t="shared" ca="1" si="530"/>
        <v/>
      </c>
      <c r="FD173" s="305" t="str">
        <f t="shared" ca="1" si="531"/>
        <v/>
      </c>
      <c r="FE173" s="305" t="str">
        <f t="shared" ca="1" si="532"/>
        <v/>
      </c>
      <c r="FF173" s="305" t="str">
        <f t="shared" ca="1" si="533"/>
        <v/>
      </c>
      <c r="FG173" s="299">
        <f t="shared" ca="1" si="534"/>
        <v>0</v>
      </c>
      <c r="FH173" s="302">
        <f t="shared" ca="1" si="535"/>
        <v>0</v>
      </c>
      <c r="FI173" s="248">
        <f t="shared" ca="1" si="536"/>
        <v>0</v>
      </c>
      <c r="FJ173" s="363">
        <f t="shared" ca="1" si="537"/>
        <v>0</v>
      </c>
      <c r="FK173" s="378" t="str">
        <f t="shared" ca="1" si="538"/>
        <v/>
      </c>
      <c r="FL173" s="508" t="str">
        <f t="shared" ca="1" si="539"/>
        <v/>
      </c>
      <c r="FM173" s="508" t="str">
        <f t="shared" ca="1" si="540"/>
        <v/>
      </c>
      <c r="FN173" s="508" t="str">
        <f t="shared" ca="1" si="541"/>
        <v/>
      </c>
      <c r="FO173" s="508" t="str">
        <f t="shared" ca="1" si="542"/>
        <v/>
      </c>
      <c r="FP173" s="353">
        <f t="shared" ca="1" si="543"/>
        <v>0</v>
      </c>
      <c r="FQ173" s="356">
        <f t="shared" ca="1" si="544"/>
        <v>0</v>
      </c>
      <c r="FR173" s="380">
        <f t="shared" ca="1" si="545"/>
        <v>0</v>
      </c>
      <c r="FS173" s="299">
        <f t="shared" ca="1" si="546"/>
        <v>0</v>
      </c>
      <c r="FT173" s="299">
        <f t="shared" ca="1" si="547"/>
        <v>0</v>
      </c>
      <c r="FU173" s="299">
        <f t="shared" ca="1" si="548"/>
        <v>0</v>
      </c>
      <c r="FV173" s="299">
        <f t="shared" ca="1" si="549"/>
        <v>0</v>
      </c>
      <c r="FW173" s="850" t="str">
        <f t="shared" ca="1" si="550"/>
        <v/>
      </c>
      <c r="FX173" s="851" t="str">
        <f t="shared" ca="1" si="551"/>
        <v/>
      </c>
      <c r="FY173" s="851" t="str">
        <f t="shared" ca="1" si="552"/>
        <v/>
      </c>
      <c r="FZ173" s="201" t="str">
        <f t="shared" ca="1" si="553"/>
        <v/>
      </c>
      <c r="GA173" s="201" t="str">
        <f t="shared" ca="1" si="554"/>
        <v/>
      </c>
      <c r="GB173" s="201" t="str">
        <f t="shared" ca="1" si="555"/>
        <v/>
      </c>
      <c r="GC173" s="201" t="str">
        <f t="shared" ca="1" si="556"/>
        <v/>
      </c>
      <c r="GD173" s="850" t="str">
        <f t="shared" ca="1" si="557"/>
        <v/>
      </c>
      <c r="GE173" s="866" t="str">
        <f t="shared" ca="1" si="558"/>
        <v/>
      </c>
      <c r="GF173" s="866" t="str">
        <f t="shared" ca="1" si="559"/>
        <v/>
      </c>
      <c r="GG173" s="866" t="str">
        <f t="shared" ca="1" si="560"/>
        <v/>
      </c>
      <c r="GH173" s="866" t="str">
        <f t="shared" ca="1" si="561"/>
        <v/>
      </c>
      <c r="GI173" s="302">
        <f t="shared" ca="1" si="562"/>
        <v>0</v>
      </c>
      <c r="GJ173" s="299">
        <f t="shared" ca="1" si="563"/>
        <v>0</v>
      </c>
      <c r="GK173" s="299">
        <f t="shared" ca="1" si="564"/>
        <v>0</v>
      </c>
      <c r="GL173" s="299">
        <f t="shared" ca="1" si="565"/>
        <v>0</v>
      </c>
      <c r="GM173" s="299">
        <f t="shared" ca="1" si="566"/>
        <v>0</v>
      </c>
      <c r="GN173" s="302">
        <f t="shared" ca="1" si="567"/>
        <v>0</v>
      </c>
      <c r="GO173" s="299">
        <f t="shared" ca="1" si="568"/>
        <v>0</v>
      </c>
      <c r="GP173" s="299">
        <f t="shared" ca="1" si="569"/>
        <v>0</v>
      </c>
      <c r="GQ173" s="299">
        <f t="shared" ca="1" si="570"/>
        <v>0</v>
      </c>
      <c r="GR173" s="299">
        <f t="shared" ca="1" si="571"/>
        <v>0</v>
      </c>
      <c r="GS173" s="302">
        <f t="shared" ca="1" si="572"/>
        <v>0</v>
      </c>
      <c r="GT173" s="299">
        <f t="shared" ca="1" si="573"/>
        <v>0</v>
      </c>
      <c r="GU173" s="299">
        <f t="shared" ca="1" si="574"/>
        <v>0</v>
      </c>
      <c r="GV173" s="299">
        <f t="shared" ca="1" si="575"/>
        <v>0</v>
      </c>
      <c r="GW173" s="299">
        <f t="shared" ca="1" si="576"/>
        <v>0</v>
      </c>
      <c r="GX173" s="303">
        <f t="shared" ca="1" si="577"/>
        <v>0</v>
      </c>
      <c r="GY173" s="303">
        <f t="shared" ca="1" si="578"/>
        <v>0</v>
      </c>
      <c r="GZ173" s="303">
        <f t="shared" ca="1" si="579"/>
        <v>0</v>
      </c>
      <c r="HA173" s="303">
        <f t="shared" ca="1" si="580"/>
        <v>0</v>
      </c>
      <c r="HB173" s="303">
        <f t="shared" ca="1" si="581"/>
        <v>0</v>
      </c>
      <c r="HC173" s="303">
        <f t="shared" ca="1" si="582"/>
        <v>0</v>
      </c>
      <c r="HD173" s="303">
        <f t="shared" ca="1" si="583"/>
        <v>0</v>
      </c>
      <c r="HE173" s="303">
        <f t="shared" ca="1" si="584"/>
        <v>0</v>
      </c>
      <c r="HF173" s="303">
        <f t="shared" ca="1" si="585"/>
        <v>0</v>
      </c>
      <c r="HG173" s="852">
        <f t="shared" ca="1" si="586"/>
        <v>0</v>
      </c>
    </row>
    <row r="174" spans="1:215" x14ac:dyDescent="0.25">
      <c r="A174" s="244">
        <f t="shared" ca="1" si="587"/>
        <v>41395</v>
      </c>
      <c r="B174" s="13">
        <f t="shared" ca="1" si="609"/>
        <v>2013</v>
      </c>
      <c r="C174" s="619">
        <f t="shared" ca="1" si="610"/>
        <v>5</v>
      </c>
      <c r="D174" s="195">
        <f t="shared" ca="1" si="417"/>
        <v>41421</v>
      </c>
      <c r="E174" s="469" t="str">
        <f t="shared" ca="1" si="418"/>
        <v/>
      </c>
      <c r="F174" s="465" t="str">
        <f t="shared" ca="1" si="419"/>
        <v/>
      </c>
      <c r="G174" s="522">
        <f t="shared" ca="1" si="588"/>
        <v>1</v>
      </c>
      <c r="H174" s="519">
        <f t="shared" ca="1" si="589"/>
        <v>1</v>
      </c>
      <c r="I174" s="724">
        <f t="shared" ca="1" si="611"/>
        <v>7.4193683797560001E-2</v>
      </c>
      <c r="J174" s="198">
        <f t="shared" ca="1" si="421"/>
        <v>0.37948197123865834</v>
      </c>
      <c r="K174" s="200">
        <f t="shared" ca="1" si="597"/>
        <v>33.67</v>
      </c>
      <c r="L174" s="201">
        <f t="shared" ca="1" si="598"/>
        <v>36.15</v>
      </c>
      <c r="M174" s="206">
        <f t="shared" ca="1" si="599"/>
        <v>38.630000000000003</v>
      </c>
      <c r="N174" s="851">
        <f t="shared" ca="1" si="603"/>
        <v>21.772500076293937</v>
      </c>
      <c r="O174" s="201">
        <f t="shared" ca="1" si="604"/>
        <v>23.632500076293937</v>
      </c>
      <c r="P174" s="206">
        <f t="shared" ca="1" si="605"/>
        <v>25.492500076293936</v>
      </c>
      <c r="Q174" s="201">
        <f t="shared" ca="1" si="606"/>
        <v>18.464999771118155</v>
      </c>
      <c r="R174" s="201">
        <f t="shared" ca="1" si="607"/>
        <v>22.764999771118156</v>
      </c>
      <c r="S174" s="201">
        <f t="shared" ca="1" si="608"/>
        <v>27.064999771118156</v>
      </c>
      <c r="T174" s="851">
        <f t="shared" ca="1" si="600"/>
        <v>19.359997711181638</v>
      </c>
      <c r="U174" s="201">
        <f t="shared" ca="1" si="601"/>
        <v>20.599997711181636</v>
      </c>
      <c r="V174" s="206">
        <f t="shared" ca="1" si="602"/>
        <v>21.839997711181635</v>
      </c>
      <c r="W174" s="230">
        <f t="shared" ca="1" si="590"/>
        <v>7.379967897252461E-2</v>
      </c>
      <c r="X174" s="231">
        <f t="shared" ca="1" si="591"/>
        <v>0.14759935794504922</v>
      </c>
      <c r="Y174" s="232">
        <f t="shared" ca="1" si="592"/>
        <v>0.22139903691757384</v>
      </c>
      <c r="Z174" s="231">
        <f t="shared" ca="1" si="612"/>
        <v>7.379967897252461E-2</v>
      </c>
      <c r="AA174" s="231">
        <f t="shared" ca="1" si="613"/>
        <v>0.14759935794504922</v>
      </c>
      <c r="AB174" s="232">
        <f t="shared" ca="1" si="614"/>
        <v>0.22139903691757384</v>
      </c>
      <c r="AC174" s="231">
        <f t="shared" ca="1" si="615"/>
        <v>7.379967897252461E-2</v>
      </c>
      <c r="AD174" s="231">
        <f t="shared" ca="1" si="616"/>
        <v>0.14759935794504922</v>
      </c>
      <c r="AE174" s="232">
        <f t="shared" ca="1" si="422"/>
        <v>0.22139903691757384</v>
      </c>
      <c r="AF174" s="231">
        <f t="shared" ca="1" si="593"/>
        <v>2.6915783624103642E-2</v>
      </c>
      <c r="AG174" s="231">
        <f t="shared" ca="1" si="594"/>
        <v>5.3831567248207285E-2</v>
      </c>
      <c r="AH174" s="232">
        <f t="shared" ca="1" si="595"/>
        <v>8.0747350872310927E-2</v>
      </c>
      <c r="AI174" s="233">
        <f t="shared" ca="1" si="423"/>
        <v>0.85000000000000009</v>
      </c>
      <c r="AJ174" s="233">
        <f t="shared" ca="1" si="424"/>
        <v>1.1000000000000001</v>
      </c>
      <c r="AK174" s="234">
        <f t="shared" ca="1" si="425"/>
        <v>1.4000000000000001</v>
      </c>
      <c r="AL174" s="919">
        <f t="shared" ca="1" si="426"/>
        <v>0.85000000000000009</v>
      </c>
      <c r="AM174" s="233">
        <f t="shared" ca="1" si="427"/>
        <v>1.1000000000000001</v>
      </c>
      <c r="AN174" s="234">
        <f t="shared" ca="1" si="428"/>
        <v>1.4000000000000001</v>
      </c>
      <c r="AO174" s="233">
        <f t="shared" ca="1" si="429"/>
        <v>0.85000000000000009</v>
      </c>
      <c r="AP174" s="233">
        <f t="shared" ca="1" si="430"/>
        <v>1.1000000000000001</v>
      </c>
      <c r="AQ174" s="233">
        <f t="shared" ca="1" si="431"/>
        <v>1.4000000000000001</v>
      </c>
      <c r="AR174" s="919">
        <f t="shared" ca="1" si="432"/>
        <v>0.35</v>
      </c>
      <c r="AS174" s="233">
        <f t="shared" ca="1" si="433"/>
        <v>0.5</v>
      </c>
      <c r="AT174" s="235">
        <f t="shared" ca="1" si="434"/>
        <v>0.7</v>
      </c>
      <c r="AU174" s="946">
        <f t="shared" si="435"/>
        <v>0.5</v>
      </c>
      <c r="AV174" s="13">
        <f t="shared" ca="1" si="436"/>
        <v>0</v>
      </c>
      <c r="AW174" s="210">
        <f t="shared" ca="1" si="437"/>
        <v>0</v>
      </c>
      <c r="AX174" s="210">
        <f t="shared" ca="1" si="438"/>
        <v>0</v>
      </c>
      <c r="AY174" s="210">
        <f t="shared" ca="1" si="439"/>
        <v>0</v>
      </c>
      <c r="AZ174" s="13">
        <f t="shared" ca="1" si="440"/>
        <v>0</v>
      </c>
      <c r="BA174" s="357">
        <f ca="1"/>
        <v>0</v>
      </c>
      <c r="BB174" s="925">
        <f ca="1"/>
        <v>0</v>
      </c>
      <c r="BC174" s="925">
        <f ca="1"/>
        <v>0</v>
      </c>
      <c r="BD174" s="928">
        <f ca="1"/>
        <v>0</v>
      </c>
      <c r="BE174" s="200">
        <f ca="1"/>
        <v>0</v>
      </c>
      <c r="BF174" s="851">
        <f ca="1"/>
        <v>0</v>
      </c>
      <c r="BG174" s="851">
        <f ca="1"/>
        <v>0</v>
      </c>
      <c r="BH174" s="933">
        <f ca="1"/>
        <v>0</v>
      </c>
      <c r="BI174" s="357">
        <f ca="1"/>
        <v>0</v>
      </c>
      <c r="BJ174" s="925">
        <f ca="1"/>
        <v>0</v>
      </c>
      <c r="BK174" s="925">
        <f ca="1"/>
        <v>0</v>
      </c>
      <c r="BL174" s="928">
        <f ca="1"/>
        <v>0</v>
      </c>
      <c r="BM174" s="200">
        <f ca="1"/>
        <v>0</v>
      </c>
      <c r="BN174" s="851">
        <f ca="1"/>
        <v>0</v>
      </c>
      <c r="BO174" s="851">
        <f ca="1"/>
        <v>0</v>
      </c>
      <c r="BP174" s="933">
        <f ca="1"/>
        <v>0</v>
      </c>
      <c r="BQ174" s="357">
        <f t="shared" ca="1" si="441"/>
        <v>0</v>
      </c>
      <c r="BR174" s="361">
        <f t="shared" ca="1" si="442"/>
        <v>0</v>
      </c>
      <c r="BS174" s="357">
        <f t="shared" ca="1" si="443"/>
        <v>0</v>
      </c>
      <c r="BT174" s="302">
        <f t="shared" ca="1" si="444"/>
        <v>0</v>
      </c>
      <c r="BU174" s="299">
        <f t="shared" ca="1" si="445"/>
        <v>0</v>
      </c>
      <c r="BV174" s="299">
        <f t="shared" ca="1" si="446"/>
        <v>0</v>
      </c>
      <c r="BW174" s="299">
        <f t="shared" ca="1" si="447"/>
        <v>0</v>
      </c>
      <c r="BX174" s="380">
        <f t="shared" ca="1" si="448"/>
        <v>13.163586584531142</v>
      </c>
      <c r="BY174" s="363">
        <f t="shared" ca="1" si="449"/>
        <v>0</v>
      </c>
      <c r="BZ174" s="353">
        <f t="shared" ca="1" si="450"/>
        <v>0</v>
      </c>
      <c r="CA174" s="353">
        <f t="shared" ca="1" si="451"/>
        <v>0</v>
      </c>
      <c r="CB174" s="353">
        <f t="shared" ca="1" si="452"/>
        <v>0</v>
      </c>
      <c r="CC174" s="353">
        <f t="shared" ca="1" si="453"/>
        <v>0</v>
      </c>
      <c r="CD174" s="353">
        <f t="shared" ca="1" si="454"/>
        <v>0</v>
      </c>
      <c r="CE174" s="302">
        <f t="shared" ca="1" si="455"/>
        <v>0</v>
      </c>
      <c r="CF174" s="299">
        <f t="shared" ca="1" si="456"/>
        <v>0</v>
      </c>
      <c r="CG174" s="299">
        <f t="shared" ca="1" si="457"/>
        <v>0</v>
      </c>
      <c r="CH174" s="299">
        <f t="shared" ca="1" si="458"/>
        <v>0</v>
      </c>
      <c r="CI174" s="299">
        <f t="shared" ca="1" si="459"/>
        <v>0</v>
      </c>
      <c r="CJ174" s="299">
        <f t="shared" ca="1" si="460"/>
        <v>0</v>
      </c>
      <c r="CK174" s="299">
        <f t="shared" ca="1" si="461"/>
        <v>0</v>
      </c>
      <c r="CL174" s="377" t="str">
        <f t="shared" ca="1" si="462"/>
        <v/>
      </c>
      <c r="CM174" s="305" t="str">
        <f t="shared" ca="1" si="463"/>
        <v/>
      </c>
      <c r="CN174" s="305" t="str">
        <f t="shared" ca="1" si="464"/>
        <v/>
      </c>
      <c r="CO174" s="305" t="str">
        <f t="shared" ca="1" si="465"/>
        <v/>
      </c>
      <c r="CP174" s="305" t="str">
        <f t="shared" ca="1" si="466"/>
        <v/>
      </c>
      <c r="CQ174" s="305" t="str">
        <f t="shared" ca="1" si="467"/>
        <v/>
      </c>
      <c r="CR174" s="775" t="str">
        <f t="shared" ca="1" si="468"/>
        <v/>
      </c>
      <c r="CS174" s="305" t="str">
        <f t="shared" ca="1" si="469"/>
        <v/>
      </c>
      <c r="CT174" s="305" t="str">
        <f t="shared" ca="1" si="470"/>
        <v/>
      </c>
      <c r="CU174" s="305" t="str">
        <f t="shared" ca="1" si="471"/>
        <v/>
      </c>
      <c r="CV174" s="770" t="str">
        <f t="shared" ca="1" si="472"/>
        <v/>
      </c>
      <c r="CW174" s="302">
        <f t="shared" ca="1" si="473"/>
        <v>0</v>
      </c>
      <c r="CX174" s="299">
        <f t="shared" ca="1" si="474"/>
        <v>0</v>
      </c>
      <c r="CY174" s="299">
        <f t="shared" ca="1" si="475"/>
        <v>0</v>
      </c>
      <c r="CZ174" s="299">
        <f t="shared" ca="1" si="476"/>
        <v>0</v>
      </c>
      <c r="DA174" s="774">
        <f t="shared" ca="1" si="477"/>
        <v>0</v>
      </c>
      <c r="DB174" s="303">
        <f t="shared" ca="1" si="478"/>
        <v>0</v>
      </c>
      <c r="DC174" s="248">
        <f t="shared" ca="1" si="479"/>
        <v>0</v>
      </c>
      <c r="DD174" s="778">
        <f t="shared" ca="1" si="480"/>
        <v>0</v>
      </c>
      <c r="DE174" s="363">
        <f t="shared" ca="1" si="481"/>
        <v>0</v>
      </c>
      <c r="DF174" s="378" t="str">
        <f t="shared" ca="1" si="482"/>
        <v/>
      </c>
      <c r="DG174" s="508" t="str">
        <f t="shared" ca="1" si="483"/>
        <v/>
      </c>
      <c r="DH174" s="508" t="str">
        <f t="shared" ca="1" si="484"/>
        <v/>
      </c>
      <c r="DI174" s="508" t="str">
        <f t="shared" ca="1" si="485"/>
        <v/>
      </c>
      <c r="DJ174" s="508" t="str">
        <f t="shared" ca="1" si="486"/>
        <v/>
      </c>
      <c r="DK174" s="353">
        <f t="shared" ca="1" si="487"/>
        <v>0</v>
      </c>
      <c r="DL174" s="781">
        <f t="shared" ca="1" si="488"/>
        <v>0</v>
      </c>
      <c r="DM174" s="303">
        <f t="shared" ca="1" si="489"/>
        <v>0</v>
      </c>
      <c r="DN174" s="508" t="str">
        <f t="shared" ca="1" si="490"/>
        <v/>
      </c>
      <c r="DO174" s="508" t="str">
        <f t="shared" ca="1" si="491"/>
        <v/>
      </c>
      <c r="DP174" s="508" t="str">
        <f t="shared" ca="1" si="492"/>
        <v/>
      </c>
      <c r="DQ174" s="508" t="str">
        <f t="shared" ca="1" si="493"/>
        <v/>
      </c>
      <c r="DR174" s="508" t="str">
        <f t="shared" ca="1" si="494"/>
        <v/>
      </c>
      <c r="DS174" s="353">
        <f t="shared" ca="1" si="495"/>
        <v>0</v>
      </c>
      <c r="DT174" s="353">
        <f t="shared" ca="1" si="496"/>
        <v>0</v>
      </c>
      <c r="DU174" s="380">
        <f t="shared" ca="1" si="596"/>
        <v>13.163586584531142</v>
      </c>
      <c r="DV174" s="303">
        <f t="shared" ca="1" si="497"/>
        <v>0</v>
      </c>
      <c r="DW174" s="303">
        <f t="shared" ca="1" si="498"/>
        <v>0</v>
      </c>
      <c r="DX174" s="303">
        <f t="shared" ca="1" si="499"/>
        <v>0</v>
      </c>
      <c r="DY174" s="303">
        <f t="shared" ca="1" si="500"/>
        <v>0</v>
      </c>
      <c r="DZ174" s="303">
        <f t="shared" ca="1" si="501"/>
        <v>0</v>
      </c>
      <c r="EA174" s="303">
        <f t="shared" ca="1" si="502"/>
        <v>0</v>
      </c>
      <c r="EB174" s="302">
        <f t="shared" ca="1" si="503"/>
        <v>0</v>
      </c>
      <c r="EC174" s="299">
        <f t="shared" ca="1" si="504"/>
        <v>0</v>
      </c>
      <c r="ED174" s="299">
        <f t="shared" ca="1" si="505"/>
        <v>0</v>
      </c>
      <c r="EE174" s="299">
        <f t="shared" ca="1" si="506"/>
        <v>0</v>
      </c>
      <c r="EF174" s="299">
        <f t="shared" ca="1" si="507"/>
        <v>0</v>
      </c>
      <c r="EG174" s="299">
        <f t="shared" ca="1" si="508"/>
        <v>0</v>
      </c>
      <c r="EH174" s="302">
        <f t="shared" ca="1" si="509"/>
        <v>0</v>
      </c>
      <c r="EI174" s="304" t="str">
        <f t="shared" ca="1" si="510"/>
        <v/>
      </c>
      <c r="EJ174" s="305" t="str">
        <f t="shared" ca="1" si="511"/>
        <v/>
      </c>
      <c r="EK174" s="305" t="str">
        <f t="shared" ca="1" si="512"/>
        <v/>
      </c>
      <c r="EL174" s="305" t="str">
        <f t="shared" ca="1" si="513"/>
        <v/>
      </c>
      <c r="EM174" s="305" t="str">
        <f t="shared" ca="1" si="514"/>
        <v/>
      </c>
      <c r="EN174" s="305" t="str">
        <f t="shared" ca="1" si="515"/>
        <v/>
      </c>
      <c r="EO174" s="305" t="str">
        <f t="shared" ca="1" si="516"/>
        <v/>
      </c>
      <c r="EP174" s="305" t="str">
        <f t="shared" ca="1" si="517"/>
        <v/>
      </c>
      <c r="EQ174" s="305" t="str">
        <f t="shared" ca="1" si="518"/>
        <v/>
      </c>
      <c r="ER174" s="305" t="str">
        <f t="shared" ca="1" si="519"/>
        <v/>
      </c>
      <c r="ES174" s="305" t="str">
        <f t="shared" ca="1" si="520"/>
        <v/>
      </c>
      <c r="ET174" s="299">
        <f t="shared" ca="1" si="521"/>
        <v>0</v>
      </c>
      <c r="EU174" s="302">
        <f t="shared" ca="1" si="522"/>
        <v>0</v>
      </c>
      <c r="EV174" s="304" t="str">
        <f t="shared" ca="1" si="523"/>
        <v/>
      </c>
      <c r="EW174" s="305" t="str">
        <f t="shared" ca="1" si="524"/>
        <v/>
      </c>
      <c r="EX174" s="305" t="str">
        <f t="shared" ca="1" si="525"/>
        <v/>
      </c>
      <c r="EY174" s="305" t="str">
        <f t="shared" ca="1" si="526"/>
        <v/>
      </c>
      <c r="EZ174" s="305" t="str">
        <f t="shared" ca="1" si="527"/>
        <v/>
      </c>
      <c r="FA174" s="305" t="str">
        <f t="shared" ca="1" si="528"/>
        <v/>
      </c>
      <c r="FB174" s="305" t="str">
        <f t="shared" ca="1" si="529"/>
        <v/>
      </c>
      <c r="FC174" s="305" t="str">
        <f t="shared" ca="1" si="530"/>
        <v/>
      </c>
      <c r="FD174" s="305" t="str">
        <f t="shared" ca="1" si="531"/>
        <v/>
      </c>
      <c r="FE174" s="305" t="str">
        <f t="shared" ca="1" si="532"/>
        <v/>
      </c>
      <c r="FF174" s="305" t="str">
        <f t="shared" ca="1" si="533"/>
        <v/>
      </c>
      <c r="FG174" s="299">
        <f t="shared" ca="1" si="534"/>
        <v>0</v>
      </c>
      <c r="FH174" s="302">
        <f t="shared" ca="1" si="535"/>
        <v>0</v>
      </c>
      <c r="FI174" s="248">
        <f t="shared" ca="1" si="536"/>
        <v>0</v>
      </c>
      <c r="FJ174" s="363">
        <f t="shared" ca="1" si="537"/>
        <v>0</v>
      </c>
      <c r="FK174" s="378" t="str">
        <f t="shared" ca="1" si="538"/>
        <v/>
      </c>
      <c r="FL174" s="508" t="str">
        <f t="shared" ca="1" si="539"/>
        <v/>
      </c>
      <c r="FM174" s="508" t="str">
        <f t="shared" ca="1" si="540"/>
        <v/>
      </c>
      <c r="FN174" s="508" t="str">
        <f t="shared" ca="1" si="541"/>
        <v/>
      </c>
      <c r="FO174" s="508" t="str">
        <f t="shared" ca="1" si="542"/>
        <v/>
      </c>
      <c r="FP174" s="353">
        <f t="shared" ca="1" si="543"/>
        <v>0</v>
      </c>
      <c r="FQ174" s="356">
        <f t="shared" ca="1" si="544"/>
        <v>0</v>
      </c>
      <c r="FR174" s="380">
        <f t="shared" ca="1" si="545"/>
        <v>0</v>
      </c>
      <c r="FS174" s="299">
        <f t="shared" ca="1" si="546"/>
        <v>0</v>
      </c>
      <c r="FT174" s="299">
        <f t="shared" ca="1" si="547"/>
        <v>0</v>
      </c>
      <c r="FU174" s="299">
        <f t="shared" ca="1" si="548"/>
        <v>0</v>
      </c>
      <c r="FV174" s="299">
        <f t="shared" ca="1" si="549"/>
        <v>0</v>
      </c>
      <c r="FW174" s="850" t="str">
        <f t="shared" ca="1" si="550"/>
        <v/>
      </c>
      <c r="FX174" s="851" t="str">
        <f t="shared" ca="1" si="551"/>
        <v/>
      </c>
      <c r="FY174" s="851" t="str">
        <f t="shared" ca="1" si="552"/>
        <v/>
      </c>
      <c r="FZ174" s="201" t="str">
        <f t="shared" ca="1" si="553"/>
        <v/>
      </c>
      <c r="GA174" s="201" t="str">
        <f t="shared" ca="1" si="554"/>
        <v/>
      </c>
      <c r="GB174" s="201" t="str">
        <f t="shared" ca="1" si="555"/>
        <v/>
      </c>
      <c r="GC174" s="201" t="str">
        <f t="shared" ca="1" si="556"/>
        <v/>
      </c>
      <c r="GD174" s="850" t="str">
        <f t="shared" ca="1" si="557"/>
        <v/>
      </c>
      <c r="GE174" s="866" t="str">
        <f t="shared" ca="1" si="558"/>
        <v/>
      </c>
      <c r="GF174" s="866" t="str">
        <f t="shared" ca="1" si="559"/>
        <v/>
      </c>
      <c r="GG174" s="866" t="str">
        <f t="shared" ca="1" si="560"/>
        <v/>
      </c>
      <c r="GH174" s="866" t="str">
        <f t="shared" ca="1" si="561"/>
        <v/>
      </c>
      <c r="GI174" s="302">
        <f t="shared" ca="1" si="562"/>
        <v>0</v>
      </c>
      <c r="GJ174" s="299">
        <f t="shared" ca="1" si="563"/>
        <v>0</v>
      </c>
      <c r="GK174" s="299">
        <f t="shared" ca="1" si="564"/>
        <v>0</v>
      </c>
      <c r="GL174" s="299">
        <f t="shared" ca="1" si="565"/>
        <v>0</v>
      </c>
      <c r="GM174" s="299">
        <f t="shared" ca="1" si="566"/>
        <v>0</v>
      </c>
      <c r="GN174" s="302">
        <f t="shared" ca="1" si="567"/>
        <v>0</v>
      </c>
      <c r="GO174" s="299">
        <f t="shared" ca="1" si="568"/>
        <v>0</v>
      </c>
      <c r="GP174" s="299">
        <f t="shared" ca="1" si="569"/>
        <v>0</v>
      </c>
      <c r="GQ174" s="299">
        <f t="shared" ca="1" si="570"/>
        <v>0</v>
      </c>
      <c r="GR174" s="299">
        <f t="shared" ca="1" si="571"/>
        <v>0</v>
      </c>
      <c r="GS174" s="302">
        <f t="shared" ca="1" si="572"/>
        <v>0</v>
      </c>
      <c r="GT174" s="299">
        <f t="shared" ca="1" si="573"/>
        <v>0</v>
      </c>
      <c r="GU174" s="299">
        <f t="shared" ca="1" si="574"/>
        <v>0</v>
      </c>
      <c r="GV174" s="299">
        <f t="shared" ca="1" si="575"/>
        <v>0</v>
      </c>
      <c r="GW174" s="299">
        <f t="shared" ca="1" si="576"/>
        <v>0</v>
      </c>
      <c r="GX174" s="303">
        <f t="shared" ca="1" si="577"/>
        <v>0</v>
      </c>
      <c r="GY174" s="303">
        <f t="shared" ca="1" si="578"/>
        <v>0</v>
      </c>
      <c r="GZ174" s="303">
        <f t="shared" ca="1" si="579"/>
        <v>0</v>
      </c>
      <c r="HA174" s="303">
        <f t="shared" ca="1" si="580"/>
        <v>0</v>
      </c>
      <c r="HB174" s="303">
        <f t="shared" ca="1" si="581"/>
        <v>0</v>
      </c>
      <c r="HC174" s="303">
        <f t="shared" ca="1" si="582"/>
        <v>0</v>
      </c>
      <c r="HD174" s="303">
        <f t="shared" ca="1" si="583"/>
        <v>0</v>
      </c>
      <c r="HE174" s="303">
        <f t="shared" ca="1" si="584"/>
        <v>0</v>
      </c>
      <c r="HF174" s="303">
        <f t="shared" ca="1" si="585"/>
        <v>0</v>
      </c>
      <c r="HG174" s="852">
        <f t="shared" ca="1" si="586"/>
        <v>0</v>
      </c>
    </row>
    <row r="175" spans="1:215" x14ac:dyDescent="0.25">
      <c r="A175" s="244">
        <f t="shared" ca="1" si="587"/>
        <v>41426</v>
      </c>
      <c r="B175" s="13">
        <f t="shared" ca="1" si="609"/>
        <v>2013</v>
      </c>
      <c r="C175" s="619">
        <f t="shared" ca="1" si="610"/>
        <v>6</v>
      </c>
      <c r="D175" s="195" t="str">
        <f t="shared" ca="1" si="417"/>
        <v/>
      </c>
      <c r="E175" s="469" t="str">
        <f t="shared" ca="1" si="418"/>
        <v/>
      </c>
      <c r="F175" s="465" t="str">
        <f t="shared" ca="1" si="419"/>
        <v/>
      </c>
      <c r="G175" s="522">
        <f t="shared" ca="1" si="588"/>
        <v>1</v>
      </c>
      <c r="H175" s="519">
        <f t="shared" ca="1" si="589"/>
        <v>1</v>
      </c>
      <c r="I175" s="724">
        <f t="shared" ca="1" si="611"/>
        <v>7.4193389079678998E-2</v>
      </c>
      <c r="J175" s="198">
        <f t="shared" ca="1" si="421"/>
        <v>0.37721950826393708</v>
      </c>
      <c r="K175" s="200">
        <f t="shared" ca="1" si="597"/>
        <v>48.14</v>
      </c>
      <c r="L175" s="201">
        <f t="shared" ca="1" si="598"/>
        <v>55.25</v>
      </c>
      <c r="M175" s="206">
        <f t="shared" ca="1" si="599"/>
        <v>62.36</v>
      </c>
      <c r="N175" s="851">
        <f t="shared" ca="1" si="603"/>
        <v>22.726250152587884</v>
      </c>
      <c r="O175" s="201">
        <f t="shared" ca="1" si="604"/>
        <v>28.058750152587884</v>
      </c>
      <c r="P175" s="206">
        <f t="shared" ca="1" si="605"/>
        <v>33.391250152587887</v>
      </c>
      <c r="Q175" s="201">
        <f t="shared" ca="1" si="606"/>
        <v>17.24249954223632</v>
      </c>
      <c r="R175" s="201">
        <f t="shared" ca="1" si="607"/>
        <v>21.542499542236321</v>
      </c>
      <c r="S175" s="201">
        <f t="shared" ca="1" si="608"/>
        <v>25.842499542236322</v>
      </c>
      <c r="T175" s="851">
        <f t="shared" ca="1" si="600"/>
        <v>16.99999877929687</v>
      </c>
      <c r="U175" s="201">
        <f t="shared" ca="1" si="601"/>
        <v>20.55499877929687</v>
      </c>
      <c r="V175" s="206">
        <f t="shared" ca="1" si="602"/>
        <v>24.10999877929687</v>
      </c>
      <c r="W175" s="230">
        <f t="shared" ca="1" si="590"/>
        <v>9.2462365500172922E-2</v>
      </c>
      <c r="X175" s="231">
        <f t="shared" ca="1" si="591"/>
        <v>0.18492473100034584</v>
      </c>
      <c r="Y175" s="232">
        <f t="shared" ca="1" si="592"/>
        <v>0.27738709650051874</v>
      </c>
      <c r="Z175" s="231">
        <f t="shared" ca="1" si="612"/>
        <v>9.2462365500172922E-2</v>
      </c>
      <c r="AA175" s="231">
        <f t="shared" ca="1" si="613"/>
        <v>0.18492473100034584</v>
      </c>
      <c r="AB175" s="232">
        <f t="shared" ca="1" si="614"/>
        <v>0.27738709650051874</v>
      </c>
      <c r="AC175" s="231">
        <f t="shared" ca="1" si="615"/>
        <v>9.2462365500172922E-2</v>
      </c>
      <c r="AD175" s="231">
        <f t="shared" ca="1" si="616"/>
        <v>0.18492473100034584</v>
      </c>
      <c r="AE175" s="232">
        <f t="shared" ca="1" si="422"/>
        <v>0.27738709650051874</v>
      </c>
      <c r="AF175" s="231">
        <f t="shared" ca="1" si="593"/>
        <v>3.4606007516704673E-2</v>
      </c>
      <c r="AG175" s="231">
        <f t="shared" ca="1" si="594"/>
        <v>6.9212015033409346E-2</v>
      </c>
      <c r="AH175" s="232">
        <f t="shared" ca="1" si="595"/>
        <v>0.10381802255011402</v>
      </c>
      <c r="AI175" s="233">
        <f t="shared" ca="1" si="423"/>
        <v>1.65</v>
      </c>
      <c r="AJ175" s="233">
        <f t="shared" ca="1" si="424"/>
        <v>2</v>
      </c>
      <c r="AK175" s="234">
        <f t="shared" ca="1" si="425"/>
        <v>2.2999999999999998</v>
      </c>
      <c r="AL175" s="919">
        <f t="shared" ca="1" si="426"/>
        <v>1.65</v>
      </c>
      <c r="AM175" s="233">
        <f t="shared" ca="1" si="427"/>
        <v>2</v>
      </c>
      <c r="AN175" s="234">
        <f t="shared" ca="1" si="428"/>
        <v>2.2999999999999998</v>
      </c>
      <c r="AO175" s="233">
        <f t="shared" ca="1" si="429"/>
        <v>1.65</v>
      </c>
      <c r="AP175" s="233">
        <f t="shared" ca="1" si="430"/>
        <v>2</v>
      </c>
      <c r="AQ175" s="233">
        <f t="shared" ca="1" si="431"/>
        <v>2.2999999999999998</v>
      </c>
      <c r="AR175" s="919">
        <f t="shared" ca="1" si="432"/>
        <v>0.5</v>
      </c>
      <c r="AS175" s="233">
        <f t="shared" ca="1" si="433"/>
        <v>0.65</v>
      </c>
      <c r="AT175" s="235">
        <f t="shared" ca="1" si="434"/>
        <v>0.85000000000000009</v>
      </c>
      <c r="AU175" s="946">
        <f t="shared" si="435"/>
        <v>0.5</v>
      </c>
      <c r="AV175" s="13">
        <f t="shared" ca="1" si="436"/>
        <v>0</v>
      </c>
      <c r="AW175" s="210">
        <f t="shared" ca="1" si="437"/>
        <v>0</v>
      </c>
      <c r="AX175" s="210">
        <f t="shared" ca="1" si="438"/>
        <v>0</v>
      </c>
      <c r="AY175" s="210">
        <f t="shared" ca="1" si="439"/>
        <v>0</v>
      </c>
      <c r="AZ175" s="13">
        <f t="shared" ca="1" si="440"/>
        <v>0</v>
      </c>
      <c r="BA175" s="357">
        <f ca="1"/>
        <v>0</v>
      </c>
      <c r="BB175" s="925">
        <f ca="1"/>
        <v>0</v>
      </c>
      <c r="BC175" s="925">
        <f ca="1"/>
        <v>0</v>
      </c>
      <c r="BD175" s="928">
        <f ca="1"/>
        <v>0</v>
      </c>
      <c r="BE175" s="200">
        <f ca="1"/>
        <v>0</v>
      </c>
      <c r="BF175" s="851">
        <f ca="1"/>
        <v>0</v>
      </c>
      <c r="BG175" s="851">
        <f ca="1"/>
        <v>0</v>
      </c>
      <c r="BH175" s="933">
        <f ca="1"/>
        <v>0</v>
      </c>
      <c r="BI175" s="357">
        <f ca="1"/>
        <v>0</v>
      </c>
      <c r="BJ175" s="925">
        <f ca="1"/>
        <v>0</v>
      </c>
      <c r="BK175" s="925">
        <f ca="1"/>
        <v>0</v>
      </c>
      <c r="BL175" s="928">
        <f ca="1"/>
        <v>0</v>
      </c>
      <c r="BM175" s="200">
        <f ca="1"/>
        <v>0</v>
      </c>
      <c r="BN175" s="851">
        <f ca="1"/>
        <v>0</v>
      </c>
      <c r="BO175" s="851">
        <f ca="1"/>
        <v>0</v>
      </c>
      <c r="BP175" s="933">
        <f ca="1"/>
        <v>0</v>
      </c>
      <c r="BQ175" s="357">
        <f t="shared" ca="1" si="441"/>
        <v>0</v>
      </c>
      <c r="BR175" s="361">
        <f t="shared" ca="1" si="442"/>
        <v>0</v>
      </c>
      <c r="BS175" s="357">
        <f t="shared" ca="1" si="443"/>
        <v>0</v>
      </c>
      <c r="BT175" s="302">
        <f t="shared" ca="1" si="444"/>
        <v>0</v>
      </c>
      <c r="BU175" s="299">
        <f t="shared" ca="1" si="445"/>
        <v>0</v>
      </c>
      <c r="BV175" s="299">
        <f t="shared" ca="1" si="446"/>
        <v>0</v>
      </c>
      <c r="BW175" s="299">
        <f t="shared" ca="1" si="447"/>
        <v>0</v>
      </c>
      <c r="BX175" s="380">
        <f t="shared" ca="1" si="448"/>
        <v>13.248459958932239</v>
      </c>
      <c r="BY175" s="363">
        <f t="shared" ca="1" si="449"/>
        <v>0</v>
      </c>
      <c r="BZ175" s="353">
        <f t="shared" ca="1" si="450"/>
        <v>0</v>
      </c>
      <c r="CA175" s="353">
        <f t="shared" ca="1" si="451"/>
        <v>0</v>
      </c>
      <c r="CB175" s="353">
        <f t="shared" ca="1" si="452"/>
        <v>0</v>
      </c>
      <c r="CC175" s="353">
        <f t="shared" ca="1" si="453"/>
        <v>0</v>
      </c>
      <c r="CD175" s="353">
        <f t="shared" ca="1" si="454"/>
        <v>0</v>
      </c>
      <c r="CE175" s="302">
        <f t="shared" ca="1" si="455"/>
        <v>0</v>
      </c>
      <c r="CF175" s="299">
        <f t="shared" ca="1" si="456"/>
        <v>0</v>
      </c>
      <c r="CG175" s="299">
        <f t="shared" ca="1" si="457"/>
        <v>0</v>
      </c>
      <c r="CH175" s="299">
        <f t="shared" ca="1" si="458"/>
        <v>0</v>
      </c>
      <c r="CI175" s="299">
        <f t="shared" ca="1" si="459"/>
        <v>0</v>
      </c>
      <c r="CJ175" s="299">
        <f t="shared" ca="1" si="460"/>
        <v>0</v>
      </c>
      <c r="CK175" s="299">
        <f t="shared" ca="1" si="461"/>
        <v>0</v>
      </c>
      <c r="CL175" s="377" t="str">
        <f t="shared" ca="1" si="462"/>
        <v/>
      </c>
      <c r="CM175" s="305" t="str">
        <f t="shared" ca="1" si="463"/>
        <v/>
      </c>
      <c r="CN175" s="305" t="str">
        <f t="shared" ca="1" si="464"/>
        <v/>
      </c>
      <c r="CO175" s="305" t="str">
        <f t="shared" ca="1" si="465"/>
        <v/>
      </c>
      <c r="CP175" s="305" t="str">
        <f t="shared" ca="1" si="466"/>
        <v/>
      </c>
      <c r="CQ175" s="305" t="str">
        <f t="shared" ca="1" si="467"/>
        <v/>
      </c>
      <c r="CR175" s="775" t="str">
        <f t="shared" ca="1" si="468"/>
        <v/>
      </c>
      <c r="CS175" s="305" t="str">
        <f t="shared" ca="1" si="469"/>
        <v/>
      </c>
      <c r="CT175" s="305" t="str">
        <f t="shared" ca="1" si="470"/>
        <v/>
      </c>
      <c r="CU175" s="305" t="str">
        <f t="shared" ca="1" si="471"/>
        <v/>
      </c>
      <c r="CV175" s="770" t="str">
        <f t="shared" ca="1" si="472"/>
        <v/>
      </c>
      <c r="CW175" s="302">
        <f t="shared" ca="1" si="473"/>
        <v>0</v>
      </c>
      <c r="CX175" s="299">
        <f t="shared" ca="1" si="474"/>
        <v>0</v>
      </c>
      <c r="CY175" s="299">
        <f t="shared" ca="1" si="475"/>
        <v>0</v>
      </c>
      <c r="CZ175" s="299">
        <f t="shared" ca="1" si="476"/>
        <v>0</v>
      </c>
      <c r="DA175" s="774">
        <f t="shared" ca="1" si="477"/>
        <v>0</v>
      </c>
      <c r="DB175" s="303">
        <f t="shared" ca="1" si="478"/>
        <v>0</v>
      </c>
      <c r="DC175" s="248">
        <f t="shared" ca="1" si="479"/>
        <v>0</v>
      </c>
      <c r="DD175" s="778">
        <f t="shared" ca="1" si="480"/>
        <v>0</v>
      </c>
      <c r="DE175" s="363">
        <f t="shared" ca="1" si="481"/>
        <v>0</v>
      </c>
      <c r="DF175" s="378" t="str">
        <f t="shared" ca="1" si="482"/>
        <v/>
      </c>
      <c r="DG175" s="508" t="str">
        <f t="shared" ca="1" si="483"/>
        <v/>
      </c>
      <c r="DH175" s="508" t="str">
        <f t="shared" ca="1" si="484"/>
        <v/>
      </c>
      <c r="DI175" s="508" t="str">
        <f t="shared" ca="1" si="485"/>
        <v/>
      </c>
      <c r="DJ175" s="508" t="str">
        <f t="shared" ca="1" si="486"/>
        <v/>
      </c>
      <c r="DK175" s="353">
        <f t="shared" ca="1" si="487"/>
        <v>0</v>
      </c>
      <c r="DL175" s="781">
        <f t="shared" ca="1" si="488"/>
        <v>0</v>
      </c>
      <c r="DM175" s="303">
        <f t="shared" ca="1" si="489"/>
        <v>0</v>
      </c>
      <c r="DN175" s="508" t="str">
        <f t="shared" ca="1" si="490"/>
        <v/>
      </c>
      <c r="DO175" s="508" t="str">
        <f t="shared" ca="1" si="491"/>
        <v/>
      </c>
      <c r="DP175" s="508" t="str">
        <f t="shared" ca="1" si="492"/>
        <v/>
      </c>
      <c r="DQ175" s="508" t="str">
        <f t="shared" ca="1" si="493"/>
        <v/>
      </c>
      <c r="DR175" s="508" t="str">
        <f t="shared" ca="1" si="494"/>
        <v/>
      </c>
      <c r="DS175" s="353">
        <f t="shared" ca="1" si="495"/>
        <v>0</v>
      </c>
      <c r="DT175" s="353">
        <f t="shared" ca="1" si="496"/>
        <v>0</v>
      </c>
      <c r="DU175" s="380">
        <f t="shared" ca="1" si="596"/>
        <v>13.248459958932239</v>
      </c>
      <c r="DV175" s="303">
        <f t="shared" ca="1" si="497"/>
        <v>0</v>
      </c>
      <c r="DW175" s="303">
        <f t="shared" ca="1" si="498"/>
        <v>0</v>
      </c>
      <c r="DX175" s="303">
        <f t="shared" ca="1" si="499"/>
        <v>0</v>
      </c>
      <c r="DY175" s="303">
        <f t="shared" ca="1" si="500"/>
        <v>0</v>
      </c>
      <c r="DZ175" s="303">
        <f t="shared" ca="1" si="501"/>
        <v>0</v>
      </c>
      <c r="EA175" s="303">
        <f t="shared" ca="1" si="502"/>
        <v>0</v>
      </c>
      <c r="EB175" s="302">
        <f t="shared" ca="1" si="503"/>
        <v>0</v>
      </c>
      <c r="EC175" s="299">
        <f t="shared" ca="1" si="504"/>
        <v>0</v>
      </c>
      <c r="ED175" s="299">
        <f t="shared" ca="1" si="505"/>
        <v>0</v>
      </c>
      <c r="EE175" s="299">
        <f t="shared" ca="1" si="506"/>
        <v>0</v>
      </c>
      <c r="EF175" s="299">
        <f t="shared" ca="1" si="507"/>
        <v>0</v>
      </c>
      <c r="EG175" s="299">
        <f t="shared" ca="1" si="508"/>
        <v>0</v>
      </c>
      <c r="EH175" s="302">
        <f t="shared" ca="1" si="509"/>
        <v>0</v>
      </c>
      <c r="EI175" s="304" t="str">
        <f t="shared" ca="1" si="510"/>
        <v/>
      </c>
      <c r="EJ175" s="305" t="str">
        <f t="shared" ca="1" si="511"/>
        <v/>
      </c>
      <c r="EK175" s="305" t="str">
        <f t="shared" ca="1" si="512"/>
        <v/>
      </c>
      <c r="EL175" s="305" t="str">
        <f t="shared" ca="1" si="513"/>
        <v/>
      </c>
      <c r="EM175" s="305" t="str">
        <f t="shared" ca="1" si="514"/>
        <v/>
      </c>
      <c r="EN175" s="305" t="str">
        <f t="shared" ca="1" si="515"/>
        <v/>
      </c>
      <c r="EO175" s="305" t="str">
        <f t="shared" ca="1" si="516"/>
        <v/>
      </c>
      <c r="EP175" s="305" t="str">
        <f t="shared" ca="1" si="517"/>
        <v/>
      </c>
      <c r="EQ175" s="305" t="str">
        <f t="shared" ca="1" si="518"/>
        <v/>
      </c>
      <c r="ER175" s="305" t="str">
        <f t="shared" ca="1" si="519"/>
        <v/>
      </c>
      <c r="ES175" s="305" t="str">
        <f t="shared" ca="1" si="520"/>
        <v/>
      </c>
      <c r="ET175" s="299">
        <f t="shared" ca="1" si="521"/>
        <v>0</v>
      </c>
      <c r="EU175" s="302">
        <f t="shared" ca="1" si="522"/>
        <v>0</v>
      </c>
      <c r="EV175" s="304" t="str">
        <f t="shared" ca="1" si="523"/>
        <v/>
      </c>
      <c r="EW175" s="305" t="str">
        <f t="shared" ca="1" si="524"/>
        <v/>
      </c>
      <c r="EX175" s="305" t="str">
        <f t="shared" ca="1" si="525"/>
        <v/>
      </c>
      <c r="EY175" s="305" t="str">
        <f t="shared" ca="1" si="526"/>
        <v/>
      </c>
      <c r="EZ175" s="305" t="str">
        <f t="shared" ca="1" si="527"/>
        <v/>
      </c>
      <c r="FA175" s="305" t="str">
        <f t="shared" ca="1" si="528"/>
        <v/>
      </c>
      <c r="FB175" s="305" t="str">
        <f t="shared" ca="1" si="529"/>
        <v/>
      </c>
      <c r="FC175" s="305" t="str">
        <f t="shared" ca="1" si="530"/>
        <v/>
      </c>
      <c r="FD175" s="305" t="str">
        <f t="shared" ca="1" si="531"/>
        <v/>
      </c>
      <c r="FE175" s="305" t="str">
        <f t="shared" ca="1" si="532"/>
        <v/>
      </c>
      <c r="FF175" s="305" t="str">
        <f t="shared" ca="1" si="533"/>
        <v/>
      </c>
      <c r="FG175" s="299">
        <f t="shared" ca="1" si="534"/>
        <v>0</v>
      </c>
      <c r="FH175" s="302">
        <f t="shared" ca="1" si="535"/>
        <v>0</v>
      </c>
      <c r="FI175" s="248">
        <f t="shared" ca="1" si="536"/>
        <v>0</v>
      </c>
      <c r="FJ175" s="363">
        <f t="shared" ca="1" si="537"/>
        <v>0</v>
      </c>
      <c r="FK175" s="378" t="str">
        <f t="shared" ca="1" si="538"/>
        <v/>
      </c>
      <c r="FL175" s="508" t="str">
        <f t="shared" ca="1" si="539"/>
        <v/>
      </c>
      <c r="FM175" s="508" t="str">
        <f t="shared" ca="1" si="540"/>
        <v/>
      </c>
      <c r="FN175" s="508" t="str">
        <f t="shared" ca="1" si="541"/>
        <v/>
      </c>
      <c r="FO175" s="508" t="str">
        <f t="shared" ca="1" si="542"/>
        <v/>
      </c>
      <c r="FP175" s="353">
        <f t="shared" ca="1" si="543"/>
        <v>0</v>
      </c>
      <c r="FQ175" s="356">
        <f t="shared" ca="1" si="544"/>
        <v>0</v>
      </c>
      <c r="FR175" s="380">
        <f t="shared" ca="1" si="545"/>
        <v>0</v>
      </c>
      <c r="FS175" s="299">
        <f t="shared" ca="1" si="546"/>
        <v>0</v>
      </c>
      <c r="FT175" s="299">
        <f t="shared" ca="1" si="547"/>
        <v>0</v>
      </c>
      <c r="FU175" s="299">
        <f t="shared" ca="1" si="548"/>
        <v>0</v>
      </c>
      <c r="FV175" s="299">
        <f t="shared" ca="1" si="549"/>
        <v>0</v>
      </c>
      <c r="FW175" s="850" t="str">
        <f t="shared" ca="1" si="550"/>
        <v/>
      </c>
      <c r="FX175" s="851" t="str">
        <f t="shared" ca="1" si="551"/>
        <v/>
      </c>
      <c r="FY175" s="851" t="str">
        <f t="shared" ca="1" si="552"/>
        <v/>
      </c>
      <c r="FZ175" s="201" t="str">
        <f t="shared" ca="1" si="553"/>
        <v/>
      </c>
      <c r="GA175" s="201" t="str">
        <f t="shared" ca="1" si="554"/>
        <v/>
      </c>
      <c r="GB175" s="201" t="str">
        <f t="shared" ca="1" si="555"/>
        <v/>
      </c>
      <c r="GC175" s="201" t="str">
        <f t="shared" ca="1" si="556"/>
        <v/>
      </c>
      <c r="GD175" s="850" t="str">
        <f t="shared" ca="1" si="557"/>
        <v/>
      </c>
      <c r="GE175" s="866" t="str">
        <f t="shared" ca="1" si="558"/>
        <v/>
      </c>
      <c r="GF175" s="866" t="str">
        <f t="shared" ca="1" si="559"/>
        <v/>
      </c>
      <c r="GG175" s="866" t="str">
        <f t="shared" ca="1" si="560"/>
        <v/>
      </c>
      <c r="GH175" s="866" t="str">
        <f t="shared" ca="1" si="561"/>
        <v/>
      </c>
      <c r="GI175" s="302">
        <f t="shared" ca="1" si="562"/>
        <v>0</v>
      </c>
      <c r="GJ175" s="299">
        <f t="shared" ca="1" si="563"/>
        <v>0</v>
      </c>
      <c r="GK175" s="299">
        <f t="shared" ca="1" si="564"/>
        <v>0</v>
      </c>
      <c r="GL175" s="299">
        <f t="shared" ca="1" si="565"/>
        <v>0</v>
      </c>
      <c r="GM175" s="299">
        <f t="shared" ca="1" si="566"/>
        <v>0</v>
      </c>
      <c r="GN175" s="302">
        <f t="shared" ca="1" si="567"/>
        <v>0</v>
      </c>
      <c r="GO175" s="299">
        <f t="shared" ca="1" si="568"/>
        <v>0</v>
      </c>
      <c r="GP175" s="299">
        <f t="shared" ca="1" si="569"/>
        <v>0</v>
      </c>
      <c r="GQ175" s="299">
        <f t="shared" ca="1" si="570"/>
        <v>0</v>
      </c>
      <c r="GR175" s="299">
        <f t="shared" ca="1" si="571"/>
        <v>0</v>
      </c>
      <c r="GS175" s="302">
        <f t="shared" ca="1" si="572"/>
        <v>0</v>
      </c>
      <c r="GT175" s="299">
        <f t="shared" ca="1" si="573"/>
        <v>0</v>
      </c>
      <c r="GU175" s="299">
        <f t="shared" ca="1" si="574"/>
        <v>0</v>
      </c>
      <c r="GV175" s="299">
        <f t="shared" ca="1" si="575"/>
        <v>0</v>
      </c>
      <c r="GW175" s="299">
        <f t="shared" ca="1" si="576"/>
        <v>0</v>
      </c>
      <c r="GX175" s="303">
        <f t="shared" ca="1" si="577"/>
        <v>0</v>
      </c>
      <c r="GY175" s="303">
        <f t="shared" ca="1" si="578"/>
        <v>0</v>
      </c>
      <c r="GZ175" s="303">
        <f t="shared" ca="1" si="579"/>
        <v>0</v>
      </c>
      <c r="HA175" s="303">
        <f t="shared" ca="1" si="580"/>
        <v>0</v>
      </c>
      <c r="HB175" s="303">
        <f t="shared" ca="1" si="581"/>
        <v>0</v>
      </c>
      <c r="HC175" s="303">
        <f t="shared" ca="1" si="582"/>
        <v>0</v>
      </c>
      <c r="HD175" s="303">
        <f t="shared" ca="1" si="583"/>
        <v>0</v>
      </c>
      <c r="HE175" s="303">
        <f t="shared" ca="1" si="584"/>
        <v>0</v>
      </c>
      <c r="HF175" s="303">
        <f t="shared" ca="1" si="585"/>
        <v>0</v>
      </c>
      <c r="HG175" s="852">
        <f t="shared" ca="1" si="586"/>
        <v>0</v>
      </c>
    </row>
    <row r="176" spans="1:215" x14ac:dyDescent="0.25">
      <c r="A176" s="244">
        <f t="shared" ca="1" si="587"/>
        <v>41456</v>
      </c>
      <c r="B176" s="13">
        <f t="shared" ca="1" si="609"/>
        <v>2013</v>
      </c>
      <c r="C176" s="619">
        <f t="shared" ca="1" si="610"/>
        <v>7</v>
      </c>
      <c r="D176" s="195">
        <f t="shared" ca="1" si="417"/>
        <v>41459</v>
      </c>
      <c r="E176" s="469" t="str">
        <f t="shared" ca="1" si="418"/>
        <v/>
      </c>
      <c r="F176" s="465" t="str">
        <f t="shared" ca="1" si="419"/>
        <v/>
      </c>
      <c r="G176" s="522">
        <f t="shared" ca="1" si="588"/>
        <v>1</v>
      </c>
      <c r="H176" s="519">
        <f t="shared" ca="1" si="589"/>
        <v>1</v>
      </c>
      <c r="I176" s="724">
        <f t="shared" ca="1" si="611"/>
        <v>7.4193103868825994E-2</v>
      </c>
      <c r="J176" s="198">
        <f t="shared" ca="1" si="421"/>
        <v>0.37489572387819581</v>
      </c>
      <c r="K176" s="200">
        <f t="shared" ca="1" si="597"/>
        <v>77.5</v>
      </c>
      <c r="L176" s="201">
        <f t="shared" ca="1" si="598"/>
        <v>82.5</v>
      </c>
      <c r="M176" s="206">
        <f t="shared" ca="1" si="599"/>
        <v>87.5</v>
      </c>
      <c r="N176" s="851">
        <f t="shared" ca="1" si="603"/>
        <v>37.511249542236357</v>
      </c>
      <c r="O176" s="201">
        <f t="shared" ca="1" si="604"/>
        <v>41.261249542236357</v>
      </c>
      <c r="P176" s="206">
        <f t="shared" ca="1" si="605"/>
        <v>45.011249542236357</v>
      </c>
      <c r="Q176" s="201">
        <f t="shared" ca="1" si="606"/>
        <v>26.447499465942375</v>
      </c>
      <c r="R176" s="201">
        <f t="shared" ca="1" si="607"/>
        <v>30.747499465942376</v>
      </c>
      <c r="S176" s="201">
        <f t="shared" ca="1" si="608"/>
        <v>35.047499465942373</v>
      </c>
      <c r="T176" s="851">
        <f t="shared" ca="1" si="600"/>
        <v>22.549997711181636</v>
      </c>
      <c r="U176" s="201">
        <f t="shared" ca="1" si="601"/>
        <v>25.049997711181636</v>
      </c>
      <c r="V176" s="206">
        <f t="shared" ca="1" si="602"/>
        <v>27.549997711181636</v>
      </c>
      <c r="W176" s="230">
        <f t="shared" ca="1" si="590"/>
        <v>0.10948370826154596</v>
      </c>
      <c r="X176" s="231">
        <f t="shared" ca="1" si="591"/>
        <v>0.21896741652309193</v>
      </c>
      <c r="Y176" s="232">
        <f t="shared" ca="1" si="592"/>
        <v>0.32845112478463789</v>
      </c>
      <c r="Z176" s="231">
        <f t="shared" ca="1" si="612"/>
        <v>0.10948370826154596</v>
      </c>
      <c r="AA176" s="231">
        <f t="shared" ca="1" si="613"/>
        <v>0.21896741652309193</v>
      </c>
      <c r="AB176" s="232">
        <f t="shared" ca="1" si="614"/>
        <v>0.32845112478463789</v>
      </c>
      <c r="AC176" s="231">
        <f t="shared" ca="1" si="615"/>
        <v>0.10948370826154596</v>
      </c>
      <c r="AD176" s="231">
        <f t="shared" ca="1" si="616"/>
        <v>0.21896741652309193</v>
      </c>
      <c r="AE176" s="232">
        <f t="shared" ca="1" si="422"/>
        <v>0.32845112478463789</v>
      </c>
      <c r="AF176" s="231">
        <f t="shared" ca="1" si="593"/>
        <v>4.6141343355606226E-2</v>
      </c>
      <c r="AG176" s="231">
        <f t="shared" ca="1" si="594"/>
        <v>9.2282686711212453E-2</v>
      </c>
      <c r="AH176" s="232">
        <f t="shared" ca="1" si="595"/>
        <v>0.13842403006681869</v>
      </c>
      <c r="AI176" s="233">
        <f t="shared" ca="1" si="423"/>
        <v>2.65</v>
      </c>
      <c r="AJ176" s="233">
        <f t="shared" ca="1" si="424"/>
        <v>3</v>
      </c>
      <c r="AK176" s="234">
        <f t="shared" ca="1" si="425"/>
        <v>3.5</v>
      </c>
      <c r="AL176" s="919">
        <f t="shared" ca="1" si="426"/>
        <v>2.65</v>
      </c>
      <c r="AM176" s="233">
        <f t="shared" ca="1" si="427"/>
        <v>3</v>
      </c>
      <c r="AN176" s="234">
        <f t="shared" ca="1" si="428"/>
        <v>3.5</v>
      </c>
      <c r="AO176" s="233">
        <f t="shared" ca="1" si="429"/>
        <v>2.65</v>
      </c>
      <c r="AP176" s="233">
        <f t="shared" ca="1" si="430"/>
        <v>3</v>
      </c>
      <c r="AQ176" s="233">
        <f t="shared" ca="1" si="431"/>
        <v>3.5</v>
      </c>
      <c r="AR176" s="919">
        <f t="shared" ca="1" si="432"/>
        <v>0.6</v>
      </c>
      <c r="AS176" s="233">
        <f t="shared" ca="1" si="433"/>
        <v>0.75</v>
      </c>
      <c r="AT176" s="235">
        <f t="shared" ca="1" si="434"/>
        <v>0.95</v>
      </c>
      <c r="AU176" s="946">
        <f t="shared" si="435"/>
        <v>0.5</v>
      </c>
      <c r="AV176" s="13">
        <f t="shared" ca="1" si="436"/>
        <v>0</v>
      </c>
      <c r="AW176" s="210">
        <f t="shared" ca="1" si="437"/>
        <v>0</v>
      </c>
      <c r="AX176" s="210">
        <f t="shared" ca="1" si="438"/>
        <v>0</v>
      </c>
      <c r="AY176" s="210">
        <f t="shared" ca="1" si="439"/>
        <v>0</v>
      </c>
      <c r="AZ176" s="13">
        <f t="shared" ca="1" si="440"/>
        <v>0</v>
      </c>
      <c r="BA176" s="357">
        <f ca="1"/>
        <v>0</v>
      </c>
      <c r="BB176" s="925">
        <f ca="1"/>
        <v>0</v>
      </c>
      <c r="BC176" s="925">
        <f ca="1"/>
        <v>0</v>
      </c>
      <c r="BD176" s="928">
        <f ca="1"/>
        <v>0</v>
      </c>
      <c r="BE176" s="200">
        <f ca="1"/>
        <v>0</v>
      </c>
      <c r="BF176" s="851">
        <f ca="1"/>
        <v>0</v>
      </c>
      <c r="BG176" s="851">
        <f ca="1"/>
        <v>0</v>
      </c>
      <c r="BH176" s="933">
        <f ca="1"/>
        <v>0</v>
      </c>
      <c r="BI176" s="357">
        <f ca="1"/>
        <v>0</v>
      </c>
      <c r="BJ176" s="925">
        <f ca="1"/>
        <v>0</v>
      </c>
      <c r="BK176" s="925">
        <f ca="1"/>
        <v>0</v>
      </c>
      <c r="BL176" s="928">
        <f ca="1"/>
        <v>0</v>
      </c>
      <c r="BM176" s="200">
        <f ca="1"/>
        <v>0</v>
      </c>
      <c r="BN176" s="851">
        <f ca="1"/>
        <v>0</v>
      </c>
      <c r="BO176" s="851">
        <f ca="1"/>
        <v>0</v>
      </c>
      <c r="BP176" s="933">
        <f ca="1"/>
        <v>0</v>
      </c>
      <c r="BQ176" s="357">
        <f t="shared" ca="1" si="441"/>
        <v>0</v>
      </c>
      <c r="BR176" s="361">
        <f t="shared" ca="1" si="442"/>
        <v>0</v>
      </c>
      <c r="BS176" s="357">
        <f t="shared" ca="1" si="443"/>
        <v>0</v>
      </c>
      <c r="BT176" s="302">
        <f t="shared" ca="1" si="444"/>
        <v>0</v>
      </c>
      <c r="BU176" s="299">
        <f t="shared" ca="1" si="445"/>
        <v>0</v>
      </c>
      <c r="BV176" s="299">
        <f t="shared" ca="1" si="446"/>
        <v>0</v>
      </c>
      <c r="BW176" s="299">
        <f t="shared" ca="1" si="447"/>
        <v>0</v>
      </c>
      <c r="BX176" s="380">
        <f t="shared" ca="1" si="448"/>
        <v>13.330595482546201</v>
      </c>
      <c r="BY176" s="363">
        <f t="shared" ca="1" si="449"/>
        <v>0</v>
      </c>
      <c r="BZ176" s="353">
        <f t="shared" ca="1" si="450"/>
        <v>0</v>
      </c>
      <c r="CA176" s="353">
        <f t="shared" ca="1" si="451"/>
        <v>0</v>
      </c>
      <c r="CB176" s="353">
        <f t="shared" ca="1" si="452"/>
        <v>0</v>
      </c>
      <c r="CC176" s="353">
        <f t="shared" ca="1" si="453"/>
        <v>0</v>
      </c>
      <c r="CD176" s="353">
        <f t="shared" ca="1" si="454"/>
        <v>0</v>
      </c>
      <c r="CE176" s="302">
        <f t="shared" ca="1" si="455"/>
        <v>0</v>
      </c>
      <c r="CF176" s="299">
        <f t="shared" ca="1" si="456"/>
        <v>0</v>
      </c>
      <c r="CG176" s="299">
        <f t="shared" ca="1" si="457"/>
        <v>0</v>
      </c>
      <c r="CH176" s="299">
        <f t="shared" ca="1" si="458"/>
        <v>0</v>
      </c>
      <c r="CI176" s="299">
        <f t="shared" ca="1" si="459"/>
        <v>0</v>
      </c>
      <c r="CJ176" s="299">
        <f t="shared" ca="1" si="460"/>
        <v>0</v>
      </c>
      <c r="CK176" s="299">
        <f t="shared" ca="1" si="461"/>
        <v>0</v>
      </c>
      <c r="CL176" s="377" t="str">
        <f t="shared" ca="1" si="462"/>
        <v/>
      </c>
      <c r="CM176" s="305" t="str">
        <f t="shared" ca="1" si="463"/>
        <v/>
      </c>
      <c r="CN176" s="305" t="str">
        <f t="shared" ca="1" si="464"/>
        <v/>
      </c>
      <c r="CO176" s="305" t="str">
        <f t="shared" ca="1" si="465"/>
        <v/>
      </c>
      <c r="CP176" s="305" t="str">
        <f t="shared" ca="1" si="466"/>
        <v/>
      </c>
      <c r="CQ176" s="305" t="str">
        <f t="shared" ca="1" si="467"/>
        <v/>
      </c>
      <c r="CR176" s="775" t="str">
        <f t="shared" ca="1" si="468"/>
        <v/>
      </c>
      <c r="CS176" s="305" t="str">
        <f t="shared" ca="1" si="469"/>
        <v/>
      </c>
      <c r="CT176" s="305" t="str">
        <f t="shared" ca="1" si="470"/>
        <v/>
      </c>
      <c r="CU176" s="305" t="str">
        <f t="shared" ca="1" si="471"/>
        <v/>
      </c>
      <c r="CV176" s="770" t="str">
        <f t="shared" ca="1" si="472"/>
        <v/>
      </c>
      <c r="CW176" s="302">
        <f t="shared" ca="1" si="473"/>
        <v>0</v>
      </c>
      <c r="CX176" s="299">
        <f t="shared" ca="1" si="474"/>
        <v>0</v>
      </c>
      <c r="CY176" s="299">
        <f t="shared" ca="1" si="475"/>
        <v>0</v>
      </c>
      <c r="CZ176" s="299">
        <f t="shared" ca="1" si="476"/>
        <v>0</v>
      </c>
      <c r="DA176" s="774">
        <f t="shared" ca="1" si="477"/>
        <v>0</v>
      </c>
      <c r="DB176" s="303">
        <f t="shared" ca="1" si="478"/>
        <v>0</v>
      </c>
      <c r="DC176" s="248">
        <f t="shared" ca="1" si="479"/>
        <v>0</v>
      </c>
      <c r="DD176" s="778">
        <f t="shared" ca="1" si="480"/>
        <v>0</v>
      </c>
      <c r="DE176" s="363">
        <f t="shared" ca="1" si="481"/>
        <v>0</v>
      </c>
      <c r="DF176" s="378" t="str">
        <f t="shared" ca="1" si="482"/>
        <v/>
      </c>
      <c r="DG176" s="508" t="str">
        <f t="shared" ca="1" si="483"/>
        <v/>
      </c>
      <c r="DH176" s="508" t="str">
        <f t="shared" ca="1" si="484"/>
        <v/>
      </c>
      <c r="DI176" s="508" t="str">
        <f t="shared" ca="1" si="485"/>
        <v/>
      </c>
      <c r="DJ176" s="508" t="str">
        <f t="shared" ca="1" si="486"/>
        <v/>
      </c>
      <c r="DK176" s="353">
        <f t="shared" ca="1" si="487"/>
        <v>0</v>
      </c>
      <c r="DL176" s="781">
        <f t="shared" ca="1" si="488"/>
        <v>0</v>
      </c>
      <c r="DM176" s="303">
        <f t="shared" ca="1" si="489"/>
        <v>0</v>
      </c>
      <c r="DN176" s="508" t="str">
        <f t="shared" ca="1" si="490"/>
        <v/>
      </c>
      <c r="DO176" s="508" t="str">
        <f t="shared" ca="1" si="491"/>
        <v/>
      </c>
      <c r="DP176" s="508" t="str">
        <f t="shared" ca="1" si="492"/>
        <v/>
      </c>
      <c r="DQ176" s="508" t="str">
        <f t="shared" ca="1" si="493"/>
        <v/>
      </c>
      <c r="DR176" s="508" t="str">
        <f t="shared" ca="1" si="494"/>
        <v/>
      </c>
      <c r="DS176" s="353">
        <f t="shared" ca="1" si="495"/>
        <v>0</v>
      </c>
      <c r="DT176" s="353">
        <f t="shared" ca="1" si="496"/>
        <v>0</v>
      </c>
      <c r="DU176" s="380">
        <f t="shared" ca="1" si="596"/>
        <v>13.330595482546201</v>
      </c>
      <c r="DV176" s="303">
        <f t="shared" ca="1" si="497"/>
        <v>0</v>
      </c>
      <c r="DW176" s="303">
        <f t="shared" ca="1" si="498"/>
        <v>0</v>
      </c>
      <c r="DX176" s="303">
        <f t="shared" ca="1" si="499"/>
        <v>0</v>
      </c>
      <c r="DY176" s="303">
        <f t="shared" ca="1" si="500"/>
        <v>0</v>
      </c>
      <c r="DZ176" s="303">
        <f t="shared" ca="1" si="501"/>
        <v>0</v>
      </c>
      <c r="EA176" s="303">
        <f t="shared" ca="1" si="502"/>
        <v>0</v>
      </c>
      <c r="EB176" s="302">
        <f t="shared" ca="1" si="503"/>
        <v>0</v>
      </c>
      <c r="EC176" s="299">
        <f t="shared" ca="1" si="504"/>
        <v>0</v>
      </c>
      <c r="ED176" s="299">
        <f t="shared" ca="1" si="505"/>
        <v>0</v>
      </c>
      <c r="EE176" s="299">
        <f t="shared" ca="1" si="506"/>
        <v>0</v>
      </c>
      <c r="EF176" s="299">
        <f t="shared" ca="1" si="507"/>
        <v>0</v>
      </c>
      <c r="EG176" s="299">
        <f t="shared" ca="1" si="508"/>
        <v>0</v>
      </c>
      <c r="EH176" s="302">
        <f t="shared" ca="1" si="509"/>
        <v>0</v>
      </c>
      <c r="EI176" s="304" t="str">
        <f t="shared" ca="1" si="510"/>
        <v/>
      </c>
      <c r="EJ176" s="305" t="str">
        <f t="shared" ca="1" si="511"/>
        <v/>
      </c>
      <c r="EK176" s="305" t="str">
        <f t="shared" ca="1" si="512"/>
        <v/>
      </c>
      <c r="EL176" s="305" t="str">
        <f t="shared" ca="1" si="513"/>
        <v/>
      </c>
      <c r="EM176" s="305" t="str">
        <f t="shared" ca="1" si="514"/>
        <v/>
      </c>
      <c r="EN176" s="305" t="str">
        <f t="shared" ca="1" si="515"/>
        <v/>
      </c>
      <c r="EO176" s="305" t="str">
        <f t="shared" ca="1" si="516"/>
        <v/>
      </c>
      <c r="EP176" s="305" t="str">
        <f t="shared" ca="1" si="517"/>
        <v/>
      </c>
      <c r="EQ176" s="305" t="str">
        <f t="shared" ca="1" si="518"/>
        <v/>
      </c>
      <c r="ER176" s="305" t="str">
        <f t="shared" ca="1" si="519"/>
        <v/>
      </c>
      <c r="ES176" s="305" t="str">
        <f t="shared" ca="1" si="520"/>
        <v/>
      </c>
      <c r="ET176" s="299">
        <f t="shared" ca="1" si="521"/>
        <v>0</v>
      </c>
      <c r="EU176" s="302">
        <f t="shared" ca="1" si="522"/>
        <v>0</v>
      </c>
      <c r="EV176" s="304" t="str">
        <f t="shared" ca="1" si="523"/>
        <v/>
      </c>
      <c r="EW176" s="305" t="str">
        <f t="shared" ca="1" si="524"/>
        <v/>
      </c>
      <c r="EX176" s="305" t="str">
        <f t="shared" ca="1" si="525"/>
        <v/>
      </c>
      <c r="EY176" s="305" t="str">
        <f t="shared" ca="1" si="526"/>
        <v/>
      </c>
      <c r="EZ176" s="305" t="str">
        <f t="shared" ca="1" si="527"/>
        <v/>
      </c>
      <c r="FA176" s="305" t="str">
        <f t="shared" ca="1" si="528"/>
        <v/>
      </c>
      <c r="FB176" s="305" t="str">
        <f t="shared" ca="1" si="529"/>
        <v/>
      </c>
      <c r="FC176" s="305" t="str">
        <f t="shared" ca="1" si="530"/>
        <v/>
      </c>
      <c r="FD176" s="305" t="str">
        <f t="shared" ca="1" si="531"/>
        <v/>
      </c>
      <c r="FE176" s="305" t="str">
        <f t="shared" ca="1" si="532"/>
        <v/>
      </c>
      <c r="FF176" s="305" t="str">
        <f t="shared" ca="1" si="533"/>
        <v/>
      </c>
      <c r="FG176" s="299">
        <f t="shared" ca="1" si="534"/>
        <v>0</v>
      </c>
      <c r="FH176" s="302">
        <f t="shared" ca="1" si="535"/>
        <v>0</v>
      </c>
      <c r="FI176" s="248">
        <f t="shared" ca="1" si="536"/>
        <v>0</v>
      </c>
      <c r="FJ176" s="363">
        <f t="shared" ca="1" si="537"/>
        <v>0</v>
      </c>
      <c r="FK176" s="378" t="str">
        <f t="shared" ca="1" si="538"/>
        <v/>
      </c>
      <c r="FL176" s="508" t="str">
        <f t="shared" ca="1" si="539"/>
        <v/>
      </c>
      <c r="FM176" s="508" t="str">
        <f t="shared" ca="1" si="540"/>
        <v/>
      </c>
      <c r="FN176" s="508" t="str">
        <f t="shared" ca="1" si="541"/>
        <v/>
      </c>
      <c r="FO176" s="508" t="str">
        <f t="shared" ca="1" si="542"/>
        <v/>
      </c>
      <c r="FP176" s="353">
        <f t="shared" ca="1" si="543"/>
        <v>0</v>
      </c>
      <c r="FQ176" s="356">
        <f t="shared" ca="1" si="544"/>
        <v>0</v>
      </c>
      <c r="FR176" s="380">
        <f t="shared" ca="1" si="545"/>
        <v>0</v>
      </c>
      <c r="FS176" s="299">
        <f t="shared" ca="1" si="546"/>
        <v>0</v>
      </c>
      <c r="FT176" s="299">
        <f t="shared" ca="1" si="547"/>
        <v>0</v>
      </c>
      <c r="FU176" s="299">
        <f t="shared" ca="1" si="548"/>
        <v>0</v>
      </c>
      <c r="FV176" s="299">
        <f t="shared" ca="1" si="549"/>
        <v>0</v>
      </c>
      <c r="FW176" s="850" t="str">
        <f t="shared" ca="1" si="550"/>
        <v/>
      </c>
      <c r="FX176" s="851" t="str">
        <f t="shared" ca="1" si="551"/>
        <v/>
      </c>
      <c r="FY176" s="851" t="str">
        <f t="shared" ca="1" si="552"/>
        <v/>
      </c>
      <c r="FZ176" s="201" t="str">
        <f t="shared" ca="1" si="553"/>
        <v/>
      </c>
      <c r="GA176" s="201" t="str">
        <f t="shared" ca="1" si="554"/>
        <v/>
      </c>
      <c r="GB176" s="201" t="str">
        <f t="shared" ca="1" si="555"/>
        <v/>
      </c>
      <c r="GC176" s="201" t="str">
        <f t="shared" ca="1" si="556"/>
        <v/>
      </c>
      <c r="GD176" s="850" t="str">
        <f t="shared" ca="1" si="557"/>
        <v/>
      </c>
      <c r="GE176" s="866" t="str">
        <f t="shared" ca="1" si="558"/>
        <v/>
      </c>
      <c r="GF176" s="866" t="str">
        <f t="shared" ca="1" si="559"/>
        <v/>
      </c>
      <c r="GG176" s="866" t="str">
        <f t="shared" ca="1" si="560"/>
        <v/>
      </c>
      <c r="GH176" s="866" t="str">
        <f t="shared" ca="1" si="561"/>
        <v/>
      </c>
      <c r="GI176" s="302">
        <f t="shared" ca="1" si="562"/>
        <v>0</v>
      </c>
      <c r="GJ176" s="299">
        <f t="shared" ca="1" si="563"/>
        <v>0</v>
      </c>
      <c r="GK176" s="299">
        <f t="shared" ca="1" si="564"/>
        <v>0</v>
      </c>
      <c r="GL176" s="299">
        <f t="shared" ca="1" si="565"/>
        <v>0</v>
      </c>
      <c r="GM176" s="299">
        <f t="shared" ca="1" si="566"/>
        <v>0</v>
      </c>
      <c r="GN176" s="302">
        <f t="shared" ca="1" si="567"/>
        <v>0</v>
      </c>
      <c r="GO176" s="299">
        <f t="shared" ca="1" si="568"/>
        <v>0</v>
      </c>
      <c r="GP176" s="299">
        <f t="shared" ca="1" si="569"/>
        <v>0</v>
      </c>
      <c r="GQ176" s="299">
        <f t="shared" ca="1" si="570"/>
        <v>0</v>
      </c>
      <c r="GR176" s="299">
        <f t="shared" ca="1" si="571"/>
        <v>0</v>
      </c>
      <c r="GS176" s="302">
        <f t="shared" ca="1" si="572"/>
        <v>0</v>
      </c>
      <c r="GT176" s="299">
        <f t="shared" ca="1" si="573"/>
        <v>0</v>
      </c>
      <c r="GU176" s="299">
        <f t="shared" ca="1" si="574"/>
        <v>0</v>
      </c>
      <c r="GV176" s="299">
        <f t="shared" ca="1" si="575"/>
        <v>0</v>
      </c>
      <c r="GW176" s="299">
        <f t="shared" ca="1" si="576"/>
        <v>0</v>
      </c>
      <c r="GX176" s="303">
        <f t="shared" ca="1" si="577"/>
        <v>0</v>
      </c>
      <c r="GY176" s="303">
        <f t="shared" ca="1" si="578"/>
        <v>0</v>
      </c>
      <c r="GZ176" s="303">
        <f t="shared" ca="1" si="579"/>
        <v>0</v>
      </c>
      <c r="HA176" s="303">
        <f t="shared" ca="1" si="580"/>
        <v>0</v>
      </c>
      <c r="HB176" s="303">
        <f t="shared" ca="1" si="581"/>
        <v>0</v>
      </c>
      <c r="HC176" s="303">
        <f t="shared" ca="1" si="582"/>
        <v>0</v>
      </c>
      <c r="HD176" s="303">
        <f t="shared" ca="1" si="583"/>
        <v>0</v>
      </c>
      <c r="HE176" s="303">
        <f t="shared" ca="1" si="584"/>
        <v>0</v>
      </c>
      <c r="HF176" s="303">
        <f t="shared" ca="1" si="585"/>
        <v>0</v>
      </c>
      <c r="HG176" s="852">
        <f t="shared" ca="1" si="586"/>
        <v>0</v>
      </c>
    </row>
    <row r="177" spans="1:215" x14ac:dyDescent="0.25">
      <c r="A177" s="244">
        <f t="shared" ca="1" si="587"/>
        <v>41487</v>
      </c>
      <c r="B177" s="13">
        <f t="shared" ref="B177:B192" ca="1" si="617">YEAR(A177)</f>
        <v>2013</v>
      </c>
      <c r="C177" s="619">
        <f t="shared" ref="C177:C192" ca="1" si="618">MONTH(A177)</f>
        <v>8</v>
      </c>
      <c r="D177" s="195" t="str">
        <f t="shared" ca="1" si="417"/>
        <v/>
      </c>
      <c r="E177" s="469" t="str">
        <f t="shared" ca="1" si="418"/>
        <v/>
      </c>
      <c r="F177" s="465" t="str">
        <f t="shared" ca="1" si="419"/>
        <v/>
      </c>
      <c r="G177" s="522">
        <f t="shared" ca="1" si="588"/>
        <v>1</v>
      </c>
      <c r="H177" s="519">
        <f t="shared" ca="1" si="589"/>
        <v>1</v>
      </c>
      <c r="I177" s="724">
        <f t="shared" ref="I177:I192" ca="1" si="619">VLOOKUP(A177,IRTable,2)</f>
        <v>7.4192809150945005E-2</v>
      </c>
      <c r="J177" s="198">
        <f t="shared" ca="1" si="421"/>
        <v>0.372586318376668</v>
      </c>
      <c r="K177" s="200">
        <f t="shared" ca="1" si="597"/>
        <v>73</v>
      </c>
      <c r="L177" s="201">
        <f t="shared" ca="1" si="598"/>
        <v>78</v>
      </c>
      <c r="M177" s="206">
        <f t="shared" ca="1" si="599"/>
        <v>83</v>
      </c>
      <c r="N177" s="851">
        <f t="shared" ca="1" si="603"/>
        <v>39.772499084472685</v>
      </c>
      <c r="O177" s="201">
        <f t="shared" ca="1" si="604"/>
        <v>43.522499084472685</v>
      </c>
      <c r="P177" s="206">
        <f t="shared" ca="1" si="605"/>
        <v>47.272499084472685</v>
      </c>
      <c r="Q177" s="201">
        <f t="shared" ca="1" si="606"/>
        <v>27.945000839233398</v>
      </c>
      <c r="R177" s="201">
        <f t="shared" ca="1" si="607"/>
        <v>32.245000839233398</v>
      </c>
      <c r="S177" s="201">
        <f t="shared" ca="1" si="608"/>
        <v>36.545000839233396</v>
      </c>
      <c r="T177" s="851">
        <f t="shared" ca="1" si="600"/>
        <v>22.899998092651362</v>
      </c>
      <c r="U177" s="201">
        <f t="shared" ca="1" si="601"/>
        <v>25.399998092651362</v>
      </c>
      <c r="V177" s="206">
        <f t="shared" ca="1" si="602"/>
        <v>27.899998092651362</v>
      </c>
      <c r="W177" s="230">
        <f t="shared" ca="1" si="590"/>
        <v>0.1078423644952707</v>
      </c>
      <c r="X177" s="231">
        <f t="shared" ca="1" si="591"/>
        <v>0.21568472899054139</v>
      </c>
      <c r="Y177" s="232">
        <f t="shared" ca="1" si="592"/>
        <v>0.3235270934858121</v>
      </c>
      <c r="Z177" s="231">
        <f t="shared" ca="1" si="612"/>
        <v>0.1078423644952707</v>
      </c>
      <c r="AA177" s="231">
        <f t="shared" ca="1" si="613"/>
        <v>0.21568472899054139</v>
      </c>
      <c r="AB177" s="232">
        <f t="shared" ca="1" si="614"/>
        <v>0.3235270934858121</v>
      </c>
      <c r="AC177" s="231">
        <f t="shared" ca="1" si="615"/>
        <v>0.1078423644952707</v>
      </c>
      <c r="AD177" s="231">
        <f t="shared" ca="1" si="616"/>
        <v>0.21568472899054139</v>
      </c>
      <c r="AE177" s="232">
        <f t="shared" ca="1" si="422"/>
        <v>0.3235270934858121</v>
      </c>
      <c r="AF177" s="231">
        <f t="shared" ca="1" si="593"/>
        <v>4.6141343355606226E-2</v>
      </c>
      <c r="AG177" s="231">
        <f t="shared" ca="1" si="594"/>
        <v>9.2282686711212453E-2</v>
      </c>
      <c r="AH177" s="232">
        <f t="shared" ca="1" si="595"/>
        <v>0.13842403006681869</v>
      </c>
      <c r="AI177" s="233">
        <f t="shared" ca="1" si="423"/>
        <v>2.65</v>
      </c>
      <c r="AJ177" s="233">
        <f t="shared" ca="1" si="424"/>
        <v>3</v>
      </c>
      <c r="AK177" s="234">
        <f t="shared" ca="1" si="425"/>
        <v>3.5</v>
      </c>
      <c r="AL177" s="919">
        <f t="shared" ca="1" si="426"/>
        <v>2.65</v>
      </c>
      <c r="AM177" s="233">
        <f t="shared" ca="1" si="427"/>
        <v>3</v>
      </c>
      <c r="AN177" s="234">
        <f t="shared" ca="1" si="428"/>
        <v>3.5</v>
      </c>
      <c r="AO177" s="233">
        <f t="shared" ca="1" si="429"/>
        <v>2.65</v>
      </c>
      <c r="AP177" s="233">
        <f t="shared" ca="1" si="430"/>
        <v>3</v>
      </c>
      <c r="AQ177" s="233">
        <f t="shared" ca="1" si="431"/>
        <v>3.5</v>
      </c>
      <c r="AR177" s="919">
        <f t="shared" ca="1" si="432"/>
        <v>0.6</v>
      </c>
      <c r="AS177" s="233">
        <f t="shared" ca="1" si="433"/>
        <v>0.75</v>
      </c>
      <c r="AT177" s="235">
        <f t="shared" ca="1" si="434"/>
        <v>0.95</v>
      </c>
      <c r="AU177" s="946">
        <f t="shared" si="435"/>
        <v>0.5</v>
      </c>
      <c r="AV177" s="13">
        <f t="shared" ca="1" si="436"/>
        <v>0</v>
      </c>
      <c r="AW177" s="210">
        <f t="shared" ca="1" si="437"/>
        <v>0</v>
      </c>
      <c r="AX177" s="210">
        <f t="shared" ca="1" si="438"/>
        <v>0</v>
      </c>
      <c r="AY177" s="210">
        <f t="shared" ca="1" si="439"/>
        <v>0</v>
      </c>
      <c r="AZ177" s="13">
        <f t="shared" ca="1" si="440"/>
        <v>0</v>
      </c>
      <c r="BA177" s="357">
        <f ca="1"/>
        <v>0</v>
      </c>
      <c r="BB177" s="925">
        <f ca="1"/>
        <v>0</v>
      </c>
      <c r="BC177" s="925">
        <f ca="1"/>
        <v>0</v>
      </c>
      <c r="BD177" s="928">
        <f ca="1"/>
        <v>0</v>
      </c>
      <c r="BE177" s="200">
        <f ca="1"/>
        <v>0</v>
      </c>
      <c r="BF177" s="851">
        <f ca="1"/>
        <v>0</v>
      </c>
      <c r="BG177" s="851">
        <f ca="1"/>
        <v>0</v>
      </c>
      <c r="BH177" s="933">
        <f ca="1"/>
        <v>0</v>
      </c>
      <c r="BI177" s="357">
        <f ca="1"/>
        <v>0</v>
      </c>
      <c r="BJ177" s="925">
        <f ca="1"/>
        <v>0</v>
      </c>
      <c r="BK177" s="925">
        <f ca="1"/>
        <v>0</v>
      </c>
      <c r="BL177" s="928">
        <f ca="1"/>
        <v>0</v>
      </c>
      <c r="BM177" s="200">
        <f ca="1"/>
        <v>0</v>
      </c>
      <c r="BN177" s="851">
        <f ca="1"/>
        <v>0</v>
      </c>
      <c r="BO177" s="851">
        <f ca="1"/>
        <v>0</v>
      </c>
      <c r="BP177" s="933">
        <f ca="1"/>
        <v>0</v>
      </c>
      <c r="BQ177" s="357">
        <f t="shared" ca="1" si="441"/>
        <v>0</v>
      </c>
      <c r="BR177" s="361">
        <f t="shared" ca="1" si="442"/>
        <v>0</v>
      </c>
      <c r="BS177" s="357">
        <f t="shared" ca="1" si="443"/>
        <v>0</v>
      </c>
      <c r="BT177" s="302">
        <f t="shared" ca="1" si="444"/>
        <v>0</v>
      </c>
      <c r="BU177" s="299">
        <f t="shared" ca="1" si="445"/>
        <v>0</v>
      </c>
      <c r="BV177" s="299">
        <f t="shared" ca="1" si="446"/>
        <v>0</v>
      </c>
      <c r="BW177" s="299">
        <f t="shared" ca="1" si="447"/>
        <v>0</v>
      </c>
      <c r="BX177" s="380">
        <f t="shared" ca="1" si="448"/>
        <v>13.415468856947296</v>
      </c>
      <c r="BY177" s="363">
        <f t="shared" ca="1" si="449"/>
        <v>0</v>
      </c>
      <c r="BZ177" s="353">
        <f t="shared" ca="1" si="450"/>
        <v>0</v>
      </c>
      <c r="CA177" s="353">
        <f t="shared" ca="1" si="451"/>
        <v>0</v>
      </c>
      <c r="CB177" s="353">
        <f t="shared" ca="1" si="452"/>
        <v>0</v>
      </c>
      <c r="CC177" s="353">
        <f t="shared" ca="1" si="453"/>
        <v>0</v>
      </c>
      <c r="CD177" s="353">
        <f t="shared" ca="1" si="454"/>
        <v>0</v>
      </c>
      <c r="CE177" s="302">
        <f t="shared" ca="1" si="455"/>
        <v>0</v>
      </c>
      <c r="CF177" s="299">
        <f t="shared" ca="1" si="456"/>
        <v>0</v>
      </c>
      <c r="CG177" s="299">
        <f t="shared" ca="1" si="457"/>
        <v>0</v>
      </c>
      <c r="CH177" s="299">
        <f t="shared" ca="1" si="458"/>
        <v>0</v>
      </c>
      <c r="CI177" s="299">
        <f t="shared" ca="1" si="459"/>
        <v>0</v>
      </c>
      <c r="CJ177" s="299">
        <f t="shared" ca="1" si="460"/>
        <v>0</v>
      </c>
      <c r="CK177" s="299">
        <f t="shared" ca="1" si="461"/>
        <v>0</v>
      </c>
      <c r="CL177" s="377" t="str">
        <f t="shared" ca="1" si="462"/>
        <v/>
      </c>
      <c r="CM177" s="305" t="str">
        <f t="shared" ca="1" si="463"/>
        <v/>
      </c>
      <c r="CN177" s="305" t="str">
        <f t="shared" ca="1" si="464"/>
        <v/>
      </c>
      <c r="CO177" s="305" t="str">
        <f t="shared" ca="1" si="465"/>
        <v/>
      </c>
      <c r="CP177" s="305" t="str">
        <f t="shared" ca="1" si="466"/>
        <v/>
      </c>
      <c r="CQ177" s="305" t="str">
        <f t="shared" ca="1" si="467"/>
        <v/>
      </c>
      <c r="CR177" s="775" t="str">
        <f t="shared" ca="1" si="468"/>
        <v/>
      </c>
      <c r="CS177" s="305" t="str">
        <f t="shared" ca="1" si="469"/>
        <v/>
      </c>
      <c r="CT177" s="305" t="str">
        <f t="shared" ca="1" si="470"/>
        <v/>
      </c>
      <c r="CU177" s="305" t="str">
        <f t="shared" ca="1" si="471"/>
        <v/>
      </c>
      <c r="CV177" s="770" t="str">
        <f t="shared" ca="1" si="472"/>
        <v/>
      </c>
      <c r="CW177" s="302">
        <f t="shared" ca="1" si="473"/>
        <v>0</v>
      </c>
      <c r="CX177" s="299">
        <f t="shared" ca="1" si="474"/>
        <v>0</v>
      </c>
      <c r="CY177" s="299">
        <f t="shared" ca="1" si="475"/>
        <v>0</v>
      </c>
      <c r="CZ177" s="299">
        <f t="shared" ca="1" si="476"/>
        <v>0</v>
      </c>
      <c r="DA177" s="774">
        <f t="shared" ca="1" si="477"/>
        <v>0</v>
      </c>
      <c r="DB177" s="303">
        <f t="shared" ca="1" si="478"/>
        <v>0</v>
      </c>
      <c r="DC177" s="248">
        <f t="shared" ca="1" si="479"/>
        <v>0</v>
      </c>
      <c r="DD177" s="778">
        <f t="shared" ca="1" si="480"/>
        <v>0</v>
      </c>
      <c r="DE177" s="363">
        <f t="shared" ca="1" si="481"/>
        <v>0</v>
      </c>
      <c r="DF177" s="378" t="str">
        <f t="shared" ca="1" si="482"/>
        <v/>
      </c>
      <c r="DG177" s="508" t="str">
        <f t="shared" ca="1" si="483"/>
        <v/>
      </c>
      <c r="DH177" s="508" t="str">
        <f t="shared" ca="1" si="484"/>
        <v/>
      </c>
      <c r="DI177" s="508" t="str">
        <f t="shared" ca="1" si="485"/>
        <v/>
      </c>
      <c r="DJ177" s="508" t="str">
        <f t="shared" ca="1" si="486"/>
        <v/>
      </c>
      <c r="DK177" s="353">
        <f t="shared" ca="1" si="487"/>
        <v>0</v>
      </c>
      <c r="DL177" s="781">
        <f t="shared" ca="1" si="488"/>
        <v>0</v>
      </c>
      <c r="DM177" s="303">
        <f t="shared" ca="1" si="489"/>
        <v>0</v>
      </c>
      <c r="DN177" s="508" t="str">
        <f t="shared" ca="1" si="490"/>
        <v/>
      </c>
      <c r="DO177" s="508" t="str">
        <f t="shared" ca="1" si="491"/>
        <v/>
      </c>
      <c r="DP177" s="508" t="str">
        <f t="shared" ca="1" si="492"/>
        <v/>
      </c>
      <c r="DQ177" s="508" t="str">
        <f t="shared" ca="1" si="493"/>
        <v/>
      </c>
      <c r="DR177" s="508" t="str">
        <f t="shared" ca="1" si="494"/>
        <v/>
      </c>
      <c r="DS177" s="353">
        <f t="shared" ca="1" si="495"/>
        <v>0</v>
      </c>
      <c r="DT177" s="353">
        <f t="shared" ca="1" si="496"/>
        <v>0</v>
      </c>
      <c r="DU177" s="380">
        <f t="shared" ca="1" si="596"/>
        <v>13.415468856947296</v>
      </c>
      <c r="DV177" s="303">
        <f t="shared" ca="1" si="497"/>
        <v>0</v>
      </c>
      <c r="DW177" s="303">
        <f t="shared" ca="1" si="498"/>
        <v>0</v>
      </c>
      <c r="DX177" s="303">
        <f t="shared" ca="1" si="499"/>
        <v>0</v>
      </c>
      <c r="DY177" s="303">
        <f t="shared" ca="1" si="500"/>
        <v>0</v>
      </c>
      <c r="DZ177" s="303">
        <f t="shared" ca="1" si="501"/>
        <v>0</v>
      </c>
      <c r="EA177" s="303">
        <f t="shared" ca="1" si="502"/>
        <v>0</v>
      </c>
      <c r="EB177" s="302">
        <f t="shared" ca="1" si="503"/>
        <v>0</v>
      </c>
      <c r="EC177" s="299">
        <f t="shared" ca="1" si="504"/>
        <v>0</v>
      </c>
      <c r="ED177" s="299">
        <f t="shared" ca="1" si="505"/>
        <v>0</v>
      </c>
      <c r="EE177" s="299">
        <f t="shared" ca="1" si="506"/>
        <v>0</v>
      </c>
      <c r="EF177" s="299">
        <f t="shared" ca="1" si="507"/>
        <v>0</v>
      </c>
      <c r="EG177" s="299">
        <f t="shared" ca="1" si="508"/>
        <v>0</v>
      </c>
      <c r="EH177" s="302">
        <f t="shared" ca="1" si="509"/>
        <v>0</v>
      </c>
      <c r="EI177" s="304" t="str">
        <f t="shared" ca="1" si="510"/>
        <v/>
      </c>
      <c r="EJ177" s="305" t="str">
        <f t="shared" ca="1" si="511"/>
        <v/>
      </c>
      <c r="EK177" s="305" t="str">
        <f t="shared" ca="1" si="512"/>
        <v/>
      </c>
      <c r="EL177" s="305" t="str">
        <f t="shared" ca="1" si="513"/>
        <v/>
      </c>
      <c r="EM177" s="305" t="str">
        <f t="shared" ca="1" si="514"/>
        <v/>
      </c>
      <c r="EN177" s="305" t="str">
        <f t="shared" ca="1" si="515"/>
        <v/>
      </c>
      <c r="EO177" s="305" t="str">
        <f t="shared" ca="1" si="516"/>
        <v/>
      </c>
      <c r="EP177" s="305" t="str">
        <f t="shared" ca="1" si="517"/>
        <v/>
      </c>
      <c r="EQ177" s="305" t="str">
        <f t="shared" ca="1" si="518"/>
        <v/>
      </c>
      <c r="ER177" s="305" t="str">
        <f t="shared" ca="1" si="519"/>
        <v/>
      </c>
      <c r="ES177" s="305" t="str">
        <f t="shared" ca="1" si="520"/>
        <v/>
      </c>
      <c r="ET177" s="299">
        <f t="shared" ca="1" si="521"/>
        <v>0</v>
      </c>
      <c r="EU177" s="302">
        <f t="shared" ca="1" si="522"/>
        <v>0</v>
      </c>
      <c r="EV177" s="304" t="str">
        <f t="shared" ca="1" si="523"/>
        <v/>
      </c>
      <c r="EW177" s="305" t="str">
        <f t="shared" ca="1" si="524"/>
        <v/>
      </c>
      <c r="EX177" s="305" t="str">
        <f t="shared" ca="1" si="525"/>
        <v/>
      </c>
      <c r="EY177" s="305" t="str">
        <f t="shared" ca="1" si="526"/>
        <v/>
      </c>
      <c r="EZ177" s="305" t="str">
        <f t="shared" ca="1" si="527"/>
        <v/>
      </c>
      <c r="FA177" s="305" t="str">
        <f t="shared" ca="1" si="528"/>
        <v/>
      </c>
      <c r="FB177" s="305" t="str">
        <f t="shared" ca="1" si="529"/>
        <v/>
      </c>
      <c r="FC177" s="305" t="str">
        <f t="shared" ca="1" si="530"/>
        <v/>
      </c>
      <c r="FD177" s="305" t="str">
        <f t="shared" ca="1" si="531"/>
        <v/>
      </c>
      <c r="FE177" s="305" t="str">
        <f t="shared" ca="1" si="532"/>
        <v/>
      </c>
      <c r="FF177" s="305" t="str">
        <f t="shared" ca="1" si="533"/>
        <v/>
      </c>
      <c r="FG177" s="299">
        <f t="shared" ca="1" si="534"/>
        <v>0</v>
      </c>
      <c r="FH177" s="302">
        <f t="shared" ca="1" si="535"/>
        <v>0</v>
      </c>
      <c r="FI177" s="248">
        <f t="shared" ca="1" si="536"/>
        <v>0</v>
      </c>
      <c r="FJ177" s="363">
        <f t="shared" ca="1" si="537"/>
        <v>0</v>
      </c>
      <c r="FK177" s="378" t="str">
        <f t="shared" ca="1" si="538"/>
        <v/>
      </c>
      <c r="FL177" s="508" t="str">
        <f t="shared" ca="1" si="539"/>
        <v/>
      </c>
      <c r="FM177" s="508" t="str">
        <f t="shared" ca="1" si="540"/>
        <v/>
      </c>
      <c r="FN177" s="508" t="str">
        <f t="shared" ca="1" si="541"/>
        <v/>
      </c>
      <c r="FO177" s="508" t="str">
        <f t="shared" ca="1" si="542"/>
        <v/>
      </c>
      <c r="FP177" s="353">
        <f t="shared" ca="1" si="543"/>
        <v>0</v>
      </c>
      <c r="FQ177" s="356">
        <f t="shared" ca="1" si="544"/>
        <v>0</v>
      </c>
      <c r="FR177" s="380">
        <f t="shared" ca="1" si="545"/>
        <v>0</v>
      </c>
      <c r="FS177" s="299">
        <f t="shared" ca="1" si="546"/>
        <v>0</v>
      </c>
      <c r="FT177" s="299">
        <f t="shared" ca="1" si="547"/>
        <v>0</v>
      </c>
      <c r="FU177" s="299">
        <f t="shared" ca="1" si="548"/>
        <v>0</v>
      </c>
      <c r="FV177" s="299">
        <f t="shared" ca="1" si="549"/>
        <v>0</v>
      </c>
      <c r="FW177" s="850" t="str">
        <f t="shared" ca="1" si="550"/>
        <v/>
      </c>
      <c r="FX177" s="851" t="str">
        <f t="shared" ca="1" si="551"/>
        <v/>
      </c>
      <c r="FY177" s="851" t="str">
        <f t="shared" ca="1" si="552"/>
        <v/>
      </c>
      <c r="FZ177" s="201" t="str">
        <f t="shared" ca="1" si="553"/>
        <v/>
      </c>
      <c r="GA177" s="201" t="str">
        <f t="shared" ca="1" si="554"/>
        <v/>
      </c>
      <c r="GB177" s="201" t="str">
        <f t="shared" ca="1" si="555"/>
        <v/>
      </c>
      <c r="GC177" s="201" t="str">
        <f t="shared" ca="1" si="556"/>
        <v/>
      </c>
      <c r="GD177" s="850" t="str">
        <f t="shared" ca="1" si="557"/>
        <v/>
      </c>
      <c r="GE177" s="866" t="str">
        <f t="shared" ca="1" si="558"/>
        <v/>
      </c>
      <c r="GF177" s="866" t="str">
        <f t="shared" ca="1" si="559"/>
        <v/>
      </c>
      <c r="GG177" s="866" t="str">
        <f t="shared" ca="1" si="560"/>
        <v/>
      </c>
      <c r="GH177" s="866" t="str">
        <f t="shared" ca="1" si="561"/>
        <v/>
      </c>
      <c r="GI177" s="302">
        <f t="shared" ca="1" si="562"/>
        <v>0</v>
      </c>
      <c r="GJ177" s="299">
        <f t="shared" ca="1" si="563"/>
        <v>0</v>
      </c>
      <c r="GK177" s="299">
        <f t="shared" ca="1" si="564"/>
        <v>0</v>
      </c>
      <c r="GL177" s="299">
        <f t="shared" ca="1" si="565"/>
        <v>0</v>
      </c>
      <c r="GM177" s="299">
        <f t="shared" ca="1" si="566"/>
        <v>0</v>
      </c>
      <c r="GN177" s="302">
        <f t="shared" ca="1" si="567"/>
        <v>0</v>
      </c>
      <c r="GO177" s="299">
        <f t="shared" ca="1" si="568"/>
        <v>0</v>
      </c>
      <c r="GP177" s="299">
        <f t="shared" ca="1" si="569"/>
        <v>0</v>
      </c>
      <c r="GQ177" s="299">
        <f t="shared" ca="1" si="570"/>
        <v>0</v>
      </c>
      <c r="GR177" s="299">
        <f t="shared" ca="1" si="571"/>
        <v>0</v>
      </c>
      <c r="GS177" s="302">
        <f t="shared" ca="1" si="572"/>
        <v>0</v>
      </c>
      <c r="GT177" s="299">
        <f t="shared" ca="1" si="573"/>
        <v>0</v>
      </c>
      <c r="GU177" s="299">
        <f t="shared" ca="1" si="574"/>
        <v>0</v>
      </c>
      <c r="GV177" s="299">
        <f t="shared" ca="1" si="575"/>
        <v>0</v>
      </c>
      <c r="GW177" s="299">
        <f t="shared" ca="1" si="576"/>
        <v>0</v>
      </c>
      <c r="GX177" s="303">
        <f t="shared" ca="1" si="577"/>
        <v>0</v>
      </c>
      <c r="GY177" s="303">
        <f t="shared" ca="1" si="578"/>
        <v>0</v>
      </c>
      <c r="GZ177" s="303">
        <f t="shared" ca="1" si="579"/>
        <v>0</v>
      </c>
      <c r="HA177" s="303">
        <f t="shared" ca="1" si="580"/>
        <v>0</v>
      </c>
      <c r="HB177" s="303">
        <f t="shared" ca="1" si="581"/>
        <v>0</v>
      </c>
      <c r="HC177" s="303">
        <f t="shared" ca="1" si="582"/>
        <v>0</v>
      </c>
      <c r="HD177" s="303">
        <f t="shared" ca="1" si="583"/>
        <v>0</v>
      </c>
      <c r="HE177" s="303">
        <f t="shared" ca="1" si="584"/>
        <v>0</v>
      </c>
      <c r="HF177" s="303">
        <f t="shared" ca="1" si="585"/>
        <v>0</v>
      </c>
      <c r="HG177" s="852">
        <f t="shared" ca="1" si="586"/>
        <v>0</v>
      </c>
    </row>
    <row r="178" spans="1:215" x14ac:dyDescent="0.25">
      <c r="A178" s="244">
        <f t="shared" ca="1" si="587"/>
        <v>41518</v>
      </c>
      <c r="B178" s="13">
        <f t="shared" ca="1" si="617"/>
        <v>2013</v>
      </c>
      <c r="C178" s="619">
        <f t="shared" ca="1" si="618"/>
        <v>9</v>
      </c>
      <c r="D178" s="195">
        <f t="shared" ca="1" si="417"/>
        <v>41519</v>
      </c>
      <c r="E178" s="469" t="str">
        <f t="shared" ca="1" si="418"/>
        <v/>
      </c>
      <c r="F178" s="465" t="str">
        <f t="shared" ca="1" si="419"/>
        <v/>
      </c>
      <c r="G178" s="522">
        <f t="shared" ca="1" si="588"/>
        <v>1</v>
      </c>
      <c r="H178" s="519">
        <f t="shared" ca="1" si="589"/>
        <v>1</v>
      </c>
      <c r="I178" s="724">
        <f t="shared" ca="1" si="619"/>
        <v>7.4192514433064002E-2</v>
      </c>
      <c r="J178" s="198">
        <f t="shared" ca="1" si="421"/>
        <v>0.37036501929521459</v>
      </c>
      <c r="K178" s="200">
        <f t="shared" ca="1" si="597"/>
        <v>32.450000000000003</v>
      </c>
      <c r="L178" s="201">
        <f t="shared" ca="1" si="598"/>
        <v>34.35</v>
      </c>
      <c r="M178" s="206">
        <f t="shared" ca="1" si="599"/>
        <v>36.25</v>
      </c>
      <c r="N178" s="851">
        <f t="shared" ca="1" si="603"/>
        <v>23.479999160766592</v>
      </c>
      <c r="O178" s="201">
        <f t="shared" ca="1" si="604"/>
        <v>24.904999160766593</v>
      </c>
      <c r="P178" s="206">
        <f t="shared" ca="1" si="605"/>
        <v>26.329999160766594</v>
      </c>
      <c r="Q178" s="201">
        <f t="shared" ca="1" si="606"/>
        <v>21.1</v>
      </c>
      <c r="R178" s="201">
        <f t="shared" ca="1" si="607"/>
        <v>25.4</v>
      </c>
      <c r="S178" s="201">
        <f t="shared" ca="1" si="608"/>
        <v>29.7</v>
      </c>
      <c r="T178" s="851">
        <f t="shared" ca="1" si="600"/>
        <v>19.999998092651364</v>
      </c>
      <c r="U178" s="201">
        <f t="shared" ca="1" si="601"/>
        <v>20.949998092651363</v>
      </c>
      <c r="V178" s="206">
        <f t="shared" ca="1" si="602"/>
        <v>21.899998092651362</v>
      </c>
      <c r="W178" s="230">
        <f t="shared" ca="1" si="590"/>
        <v>7.1368058578042723E-2</v>
      </c>
      <c r="X178" s="231">
        <f t="shared" ca="1" si="591"/>
        <v>0.14273611715608545</v>
      </c>
      <c r="Y178" s="232">
        <f t="shared" ca="1" si="592"/>
        <v>0.21410417573412815</v>
      </c>
      <c r="Z178" s="231">
        <f t="shared" ca="1" si="612"/>
        <v>7.1368058578042723E-2</v>
      </c>
      <c r="AA178" s="231">
        <f t="shared" ca="1" si="613"/>
        <v>0.14273611715608545</v>
      </c>
      <c r="AB178" s="232">
        <f t="shared" ca="1" si="614"/>
        <v>0.21410417573412815</v>
      </c>
      <c r="AC178" s="231">
        <f t="shared" ca="1" si="615"/>
        <v>7.1368058578042723E-2</v>
      </c>
      <c r="AD178" s="231">
        <f t="shared" ca="1" si="616"/>
        <v>0.14273611715608545</v>
      </c>
      <c r="AE178" s="232">
        <f t="shared" ca="1" si="422"/>
        <v>0.21410417573412815</v>
      </c>
      <c r="AF178" s="231">
        <f t="shared" ca="1" si="593"/>
        <v>3.0760895570404151E-2</v>
      </c>
      <c r="AG178" s="231">
        <f t="shared" ca="1" si="594"/>
        <v>6.1521791140808302E-2</v>
      </c>
      <c r="AH178" s="232">
        <f t="shared" ca="1" si="595"/>
        <v>9.2282686711212453E-2</v>
      </c>
      <c r="AI178" s="233">
        <f t="shared" ca="1" si="423"/>
        <v>1.1499999999999999</v>
      </c>
      <c r="AJ178" s="233">
        <f t="shared" ca="1" si="424"/>
        <v>1.5</v>
      </c>
      <c r="AK178" s="234">
        <f t="shared" ca="1" si="425"/>
        <v>1.8</v>
      </c>
      <c r="AL178" s="919">
        <f t="shared" ca="1" si="426"/>
        <v>1.1499999999999999</v>
      </c>
      <c r="AM178" s="233">
        <f t="shared" ca="1" si="427"/>
        <v>1.5</v>
      </c>
      <c r="AN178" s="234">
        <f t="shared" ca="1" si="428"/>
        <v>1.8</v>
      </c>
      <c r="AO178" s="233">
        <f t="shared" ca="1" si="429"/>
        <v>1.1499999999999999</v>
      </c>
      <c r="AP178" s="233">
        <f t="shared" ca="1" si="430"/>
        <v>1.5</v>
      </c>
      <c r="AQ178" s="233">
        <f t="shared" ca="1" si="431"/>
        <v>1.8</v>
      </c>
      <c r="AR178" s="919">
        <f t="shared" ca="1" si="432"/>
        <v>0.25</v>
      </c>
      <c r="AS178" s="233">
        <f t="shared" ca="1" si="433"/>
        <v>0.4</v>
      </c>
      <c r="AT178" s="235">
        <f t="shared" ca="1" si="434"/>
        <v>0.60000000000000009</v>
      </c>
      <c r="AU178" s="946">
        <f t="shared" si="435"/>
        <v>0.5</v>
      </c>
      <c r="AV178" s="13">
        <f t="shared" ca="1" si="436"/>
        <v>0</v>
      </c>
      <c r="AW178" s="210">
        <f t="shared" ca="1" si="437"/>
        <v>0</v>
      </c>
      <c r="AX178" s="210">
        <f t="shared" ca="1" si="438"/>
        <v>0</v>
      </c>
      <c r="AY178" s="210">
        <f t="shared" ca="1" si="439"/>
        <v>0</v>
      </c>
      <c r="AZ178" s="13">
        <f t="shared" ca="1" si="440"/>
        <v>0</v>
      </c>
      <c r="BA178" s="357">
        <f ca="1"/>
        <v>0</v>
      </c>
      <c r="BB178" s="925">
        <f ca="1"/>
        <v>0</v>
      </c>
      <c r="BC178" s="925">
        <f ca="1"/>
        <v>0</v>
      </c>
      <c r="BD178" s="928">
        <f ca="1"/>
        <v>0</v>
      </c>
      <c r="BE178" s="200">
        <f ca="1"/>
        <v>0</v>
      </c>
      <c r="BF178" s="851">
        <f ca="1"/>
        <v>0</v>
      </c>
      <c r="BG178" s="851">
        <f ca="1"/>
        <v>0</v>
      </c>
      <c r="BH178" s="933">
        <f ca="1"/>
        <v>0</v>
      </c>
      <c r="BI178" s="357">
        <f ca="1"/>
        <v>0</v>
      </c>
      <c r="BJ178" s="925">
        <f ca="1"/>
        <v>0</v>
      </c>
      <c r="BK178" s="925">
        <f ca="1"/>
        <v>0</v>
      </c>
      <c r="BL178" s="928">
        <f ca="1"/>
        <v>0</v>
      </c>
      <c r="BM178" s="200">
        <f ca="1"/>
        <v>0</v>
      </c>
      <c r="BN178" s="851">
        <f ca="1"/>
        <v>0</v>
      </c>
      <c r="BO178" s="851">
        <f ca="1"/>
        <v>0</v>
      </c>
      <c r="BP178" s="933">
        <f ca="1"/>
        <v>0</v>
      </c>
      <c r="BQ178" s="357">
        <f t="shared" ca="1" si="441"/>
        <v>0</v>
      </c>
      <c r="BR178" s="361">
        <f t="shared" ca="1" si="442"/>
        <v>0</v>
      </c>
      <c r="BS178" s="357">
        <f t="shared" ca="1" si="443"/>
        <v>0</v>
      </c>
      <c r="BT178" s="302">
        <f t="shared" ca="1" si="444"/>
        <v>0</v>
      </c>
      <c r="BU178" s="299">
        <f t="shared" ca="1" si="445"/>
        <v>0</v>
      </c>
      <c r="BV178" s="299">
        <f t="shared" ca="1" si="446"/>
        <v>0</v>
      </c>
      <c r="BW178" s="299">
        <f t="shared" ca="1" si="447"/>
        <v>0</v>
      </c>
      <c r="BX178" s="380">
        <f t="shared" ca="1" si="448"/>
        <v>13.500342231348391</v>
      </c>
      <c r="BY178" s="363">
        <f t="shared" ca="1" si="449"/>
        <v>0</v>
      </c>
      <c r="BZ178" s="353">
        <f t="shared" ca="1" si="450"/>
        <v>0</v>
      </c>
      <c r="CA178" s="353">
        <f t="shared" ca="1" si="451"/>
        <v>0</v>
      </c>
      <c r="CB178" s="353">
        <f t="shared" ca="1" si="452"/>
        <v>0</v>
      </c>
      <c r="CC178" s="353">
        <f t="shared" ca="1" si="453"/>
        <v>0</v>
      </c>
      <c r="CD178" s="353">
        <f t="shared" ca="1" si="454"/>
        <v>0</v>
      </c>
      <c r="CE178" s="302">
        <f t="shared" ca="1" si="455"/>
        <v>0</v>
      </c>
      <c r="CF178" s="299">
        <f t="shared" ca="1" si="456"/>
        <v>0</v>
      </c>
      <c r="CG178" s="299">
        <f t="shared" ca="1" si="457"/>
        <v>0</v>
      </c>
      <c r="CH178" s="299">
        <f t="shared" ca="1" si="458"/>
        <v>0</v>
      </c>
      <c r="CI178" s="299">
        <f t="shared" ca="1" si="459"/>
        <v>0</v>
      </c>
      <c r="CJ178" s="299">
        <f t="shared" ca="1" si="460"/>
        <v>0</v>
      </c>
      <c r="CK178" s="299">
        <f t="shared" ca="1" si="461"/>
        <v>0</v>
      </c>
      <c r="CL178" s="377" t="str">
        <f t="shared" ca="1" si="462"/>
        <v/>
      </c>
      <c r="CM178" s="305" t="str">
        <f t="shared" ca="1" si="463"/>
        <v/>
      </c>
      <c r="CN178" s="305" t="str">
        <f t="shared" ca="1" si="464"/>
        <v/>
      </c>
      <c r="CO178" s="305" t="str">
        <f t="shared" ca="1" si="465"/>
        <v/>
      </c>
      <c r="CP178" s="305" t="str">
        <f t="shared" ca="1" si="466"/>
        <v/>
      </c>
      <c r="CQ178" s="305" t="str">
        <f t="shared" ca="1" si="467"/>
        <v/>
      </c>
      <c r="CR178" s="775" t="str">
        <f t="shared" ca="1" si="468"/>
        <v/>
      </c>
      <c r="CS178" s="305" t="str">
        <f t="shared" ca="1" si="469"/>
        <v/>
      </c>
      <c r="CT178" s="305" t="str">
        <f t="shared" ca="1" si="470"/>
        <v/>
      </c>
      <c r="CU178" s="305" t="str">
        <f t="shared" ca="1" si="471"/>
        <v/>
      </c>
      <c r="CV178" s="770" t="str">
        <f t="shared" ca="1" si="472"/>
        <v/>
      </c>
      <c r="CW178" s="302">
        <f t="shared" ca="1" si="473"/>
        <v>0</v>
      </c>
      <c r="CX178" s="299">
        <f t="shared" ca="1" si="474"/>
        <v>0</v>
      </c>
      <c r="CY178" s="299">
        <f t="shared" ca="1" si="475"/>
        <v>0</v>
      </c>
      <c r="CZ178" s="299">
        <f t="shared" ca="1" si="476"/>
        <v>0</v>
      </c>
      <c r="DA178" s="774">
        <f t="shared" ca="1" si="477"/>
        <v>0</v>
      </c>
      <c r="DB178" s="303">
        <f t="shared" ca="1" si="478"/>
        <v>0</v>
      </c>
      <c r="DC178" s="248">
        <f t="shared" ca="1" si="479"/>
        <v>0</v>
      </c>
      <c r="DD178" s="778">
        <f t="shared" ca="1" si="480"/>
        <v>0</v>
      </c>
      <c r="DE178" s="363">
        <f t="shared" ca="1" si="481"/>
        <v>0</v>
      </c>
      <c r="DF178" s="378" t="str">
        <f t="shared" ca="1" si="482"/>
        <v/>
      </c>
      <c r="DG178" s="508" t="str">
        <f t="shared" ca="1" si="483"/>
        <v/>
      </c>
      <c r="DH178" s="508" t="str">
        <f t="shared" ca="1" si="484"/>
        <v/>
      </c>
      <c r="DI178" s="508" t="str">
        <f t="shared" ca="1" si="485"/>
        <v/>
      </c>
      <c r="DJ178" s="508" t="str">
        <f t="shared" ca="1" si="486"/>
        <v/>
      </c>
      <c r="DK178" s="353">
        <f t="shared" ca="1" si="487"/>
        <v>0</v>
      </c>
      <c r="DL178" s="781">
        <f t="shared" ca="1" si="488"/>
        <v>0</v>
      </c>
      <c r="DM178" s="303">
        <f t="shared" ca="1" si="489"/>
        <v>0</v>
      </c>
      <c r="DN178" s="508" t="str">
        <f t="shared" ca="1" si="490"/>
        <v/>
      </c>
      <c r="DO178" s="508" t="str">
        <f t="shared" ca="1" si="491"/>
        <v/>
      </c>
      <c r="DP178" s="508" t="str">
        <f t="shared" ca="1" si="492"/>
        <v/>
      </c>
      <c r="DQ178" s="508" t="str">
        <f t="shared" ca="1" si="493"/>
        <v/>
      </c>
      <c r="DR178" s="508" t="str">
        <f t="shared" ca="1" si="494"/>
        <v/>
      </c>
      <c r="DS178" s="353">
        <f t="shared" ca="1" si="495"/>
        <v>0</v>
      </c>
      <c r="DT178" s="353">
        <f t="shared" ca="1" si="496"/>
        <v>0</v>
      </c>
      <c r="DU178" s="380">
        <f t="shared" ca="1" si="596"/>
        <v>13.500342231348391</v>
      </c>
      <c r="DV178" s="303">
        <f t="shared" ca="1" si="497"/>
        <v>0</v>
      </c>
      <c r="DW178" s="303">
        <f t="shared" ca="1" si="498"/>
        <v>0</v>
      </c>
      <c r="DX178" s="303">
        <f t="shared" ca="1" si="499"/>
        <v>0</v>
      </c>
      <c r="DY178" s="303">
        <f t="shared" ca="1" si="500"/>
        <v>0</v>
      </c>
      <c r="DZ178" s="303">
        <f t="shared" ca="1" si="501"/>
        <v>0</v>
      </c>
      <c r="EA178" s="303">
        <f t="shared" ca="1" si="502"/>
        <v>0</v>
      </c>
      <c r="EB178" s="302">
        <f t="shared" ca="1" si="503"/>
        <v>0</v>
      </c>
      <c r="EC178" s="299">
        <f t="shared" ca="1" si="504"/>
        <v>0</v>
      </c>
      <c r="ED178" s="299">
        <f t="shared" ca="1" si="505"/>
        <v>0</v>
      </c>
      <c r="EE178" s="299">
        <f t="shared" ca="1" si="506"/>
        <v>0</v>
      </c>
      <c r="EF178" s="299">
        <f t="shared" ca="1" si="507"/>
        <v>0</v>
      </c>
      <c r="EG178" s="299">
        <f t="shared" ca="1" si="508"/>
        <v>0</v>
      </c>
      <c r="EH178" s="302">
        <f t="shared" ca="1" si="509"/>
        <v>0</v>
      </c>
      <c r="EI178" s="304" t="str">
        <f t="shared" ca="1" si="510"/>
        <v/>
      </c>
      <c r="EJ178" s="305" t="str">
        <f t="shared" ca="1" si="511"/>
        <v/>
      </c>
      <c r="EK178" s="305" t="str">
        <f t="shared" ca="1" si="512"/>
        <v/>
      </c>
      <c r="EL178" s="305" t="str">
        <f t="shared" ca="1" si="513"/>
        <v/>
      </c>
      <c r="EM178" s="305" t="str">
        <f t="shared" ca="1" si="514"/>
        <v/>
      </c>
      <c r="EN178" s="305" t="str">
        <f t="shared" ca="1" si="515"/>
        <v/>
      </c>
      <c r="EO178" s="305" t="str">
        <f t="shared" ca="1" si="516"/>
        <v/>
      </c>
      <c r="EP178" s="305" t="str">
        <f t="shared" ca="1" si="517"/>
        <v/>
      </c>
      <c r="EQ178" s="305" t="str">
        <f t="shared" ca="1" si="518"/>
        <v/>
      </c>
      <c r="ER178" s="305" t="str">
        <f t="shared" ca="1" si="519"/>
        <v/>
      </c>
      <c r="ES178" s="305" t="str">
        <f t="shared" ca="1" si="520"/>
        <v/>
      </c>
      <c r="ET178" s="299">
        <f t="shared" ca="1" si="521"/>
        <v>0</v>
      </c>
      <c r="EU178" s="302">
        <f t="shared" ca="1" si="522"/>
        <v>0</v>
      </c>
      <c r="EV178" s="304" t="str">
        <f t="shared" ca="1" si="523"/>
        <v/>
      </c>
      <c r="EW178" s="305" t="str">
        <f t="shared" ca="1" si="524"/>
        <v/>
      </c>
      <c r="EX178" s="305" t="str">
        <f t="shared" ca="1" si="525"/>
        <v/>
      </c>
      <c r="EY178" s="305" t="str">
        <f t="shared" ca="1" si="526"/>
        <v/>
      </c>
      <c r="EZ178" s="305" t="str">
        <f t="shared" ca="1" si="527"/>
        <v/>
      </c>
      <c r="FA178" s="305" t="str">
        <f t="shared" ca="1" si="528"/>
        <v/>
      </c>
      <c r="FB178" s="305" t="str">
        <f t="shared" ca="1" si="529"/>
        <v/>
      </c>
      <c r="FC178" s="305" t="str">
        <f t="shared" ca="1" si="530"/>
        <v/>
      </c>
      <c r="FD178" s="305" t="str">
        <f t="shared" ca="1" si="531"/>
        <v/>
      </c>
      <c r="FE178" s="305" t="str">
        <f t="shared" ca="1" si="532"/>
        <v/>
      </c>
      <c r="FF178" s="305" t="str">
        <f t="shared" ca="1" si="533"/>
        <v/>
      </c>
      <c r="FG178" s="299">
        <f t="shared" ca="1" si="534"/>
        <v>0</v>
      </c>
      <c r="FH178" s="302">
        <f t="shared" ca="1" si="535"/>
        <v>0</v>
      </c>
      <c r="FI178" s="248">
        <f t="shared" ca="1" si="536"/>
        <v>0</v>
      </c>
      <c r="FJ178" s="363">
        <f t="shared" ca="1" si="537"/>
        <v>0</v>
      </c>
      <c r="FK178" s="378" t="str">
        <f t="shared" ca="1" si="538"/>
        <v/>
      </c>
      <c r="FL178" s="508" t="str">
        <f t="shared" ca="1" si="539"/>
        <v/>
      </c>
      <c r="FM178" s="508" t="str">
        <f t="shared" ca="1" si="540"/>
        <v/>
      </c>
      <c r="FN178" s="508" t="str">
        <f t="shared" ca="1" si="541"/>
        <v/>
      </c>
      <c r="FO178" s="508" t="str">
        <f t="shared" ca="1" si="542"/>
        <v/>
      </c>
      <c r="FP178" s="353">
        <f t="shared" ca="1" si="543"/>
        <v>0</v>
      </c>
      <c r="FQ178" s="356">
        <f t="shared" ca="1" si="544"/>
        <v>0</v>
      </c>
      <c r="FR178" s="380">
        <f t="shared" ca="1" si="545"/>
        <v>0</v>
      </c>
      <c r="FS178" s="299">
        <f t="shared" ca="1" si="546"/>
        <v>0</v>
      </c>
      <c r="FT178" s="299">
        <f t="shared" ca="1" si="547"/>
        <v>0</v>
      </c>
      <c r="FU178" s="299">
        <f t="shared" ca="1" si="548"/>
        <v>0</v>
      </c>
      <c r="FV178" s="299">
        <f t="shared" ca="1" si="549"/>
        <v>0</v>
      </c>
      <c r="FW178" s="850" t="str">
        <f t="shared" ca="1" si="550"/>
        <v/>
      </c>
      <c r="FX178" s="851" t="str">
        <f t="shared" ca="1" si="551"/>
        <v/>
      </c>
      <c r="FY178" s="851" t="str">
        <f t="shared" ca="1" si="552"/>
        <v/>
      </c>
      <c r="FZ178" s="201" t="str">
        <f t="shared" ca="1" si="553"/>
        <v/>
      </c>
      <c r="GA178" s="201" t="str">
        <f t="shared" ca="1" si="554"/>
        <v/>
      </c>
      <c r="GB178" s="201" t="str">
        <f t="shared" ca="1" si="555"/>
        <v/>
      </c>
      <c r="GC178" s="201" t="str">
        <f t="shared" ca="1" si="556"/>
        <v/>
      </c>
      <c r="GD178" s="850" t="str">
        <f t="shared" ca="1" si="557"/>
        <v/>
      </c>
      <c r="GE178" s="866" t="str">
        <f t="shared" ca="1" si="558"/>
        <v/>
      </c>
      <c r="GF178" s="866" t="str">
        <f t="shared" ca="1" si="559"/>
        <v/>
      </c>
      <c r="GG178" s="866" t="str">
        <f t="shared" ca="1" si="560"/>
        <v/>
      </c>
      <c r="GH178" s="866" t="str">
        <f t="shared" ca="1" si="561"/>
        <v/>
      </c>
      <c r="GI178" s="302">
        <f t="shared" ca="1" si="562"/>
        <v>0</v>
      </c>
      <c r="GJ178" s="299">
        <f t="shared" ca="1" si="563"/>
        <v>0</v>
      </c>
      <c r="GK178" s="299">
        <f t="shared" ca="1" si="564"/>
        <v>0</v>
      </c>
      <c r="GL178" s="299">
        <f t="shared" ca="1" si="565"/>
        <v>0</v>
      </c>
      <c r="GM178" s="299">
        <f t="shared" ca="1" si="566"/>
        <v>0</v>
      </c>
      <c r="GN178" s="302">
        <f t="shared" ca="1" si="567"/>
        <v>0</v>
      </c>
      <c r="GO178" s="299">
        <f t="shared" ca="1" si="568"/>
        <v>0</v>
      </c>
      <c r="GP178" s="299">
        <f t="shared" ca="1" si="569"/>
        <v>0</v>
      </c>
      <c r="GQ178" s="299">
        <f t="shared" ca="1" si="570"/>
        <v>0</v>
      </c>
      <c r="GR178" s="299">
        <f t="shared" ca="1" si="571"/>
        <v>0</v>
      </c>
      <c r="GS178" s="302">
        <f t="shared" ca="1" si="572"/>
        <v>0</v>
      </c>
      <c r="GT178" s="299">
        <f t="shared" ca="1" si="573"/>
        <v>0</v>
      </c>
      <c r="GU178" s="299">
        <f t="shared" ca="1" si="574"/>
        <v>0</v>
      </c>
      <c r="GV178" s="299">
        <f t="shared" ca="1" si="575"/>
        <v>0</v>
      </c>
      <c r="GW178" s="299">
        <f t="shared" ca="1" si="576"/>
        <v>0</v>
      </c>
      <c r="GX178" s="303">
        <f t="shared" ca="1" si="577"/>
        <v>0</v>
      </c>
      <c r="GY178" s="303">
        <f t="shared" ca="1" si="578"/>
        <v>0</v>
      </c>
      <c r="GZ178" s="303">
        <f t="shared" ca="1" si="579"/>
        <v>0</v>
      </c>
      <c r="HA178" s="303">
        <f t="shared" ca="1" si="580"/>
        <v>0</v>
      </c>
      <c r="HB178" s="303">
        <f t="shared" ca="1" si="581"/>
        <v>0</v>
      </c>
      <c r="HC178" s="303">
        <f t="shared" ca="1" si="582"/>
        <v>0</v>
      </c>
      <c r="HD178" s="303">
        <f t="shared" ca="1" si="583"/>
        <v>0</v>
      </c>
      <c r="HE178" s="303">
        <f t="shared" ca="1" si="584"/>
        <v>0</v>
      </c>
      <c r="HF178" s="303">
        <f t="shared" ca="1" si="585"/>
        <v>0</v>
      </c>
      <c r="HG178" s="852">
        <f t="shared" ca="1" si="586"/>
        <v>0</v>
      </c>
    </row>
    <row r="179" spans="1:215" x14ac:dyDescent="0.25">
      <c r="A179" s="244">
        <f t="shared" ca="1" si="587"/>
        <v>41548</v>
      </c>
      <c r="B179" s="13">
        <f t="shared" ca="1" si="617"/>
        <v>2013</v>
      </c>
      <c r="C179" s="619">
        <f t="shared" ca="1" si="618"/>
        <v>10</v>
      </c>
      <c r="D179" s="195" t="str">
        <f t="shared" ca="1" si="417"/>
        <v/>
      </c>
      <c r="E179" s="469" t="str">
        <f t="shared" ca="1" si="418"/>
        <v/>
      </c>
      <c r="F179" s="465" t="str">
        <f t="shared" ca="1" si="419"/>
        <v/>
      </c>
      <c r="G179" s="522">
        <f t="shared" ca="1" si="588"/>
        <v>1</v>
      </c>
      <c r="H179" s="519">
        <f t="shared" ca="1" si="589"/>
        <v>1</v>
      </c>
      <c r="I179" s="724">
        <f t="shared" ca="1" si="619"/>
        <v>7.4192229222210998E-2</v>
      </c>
      <c r="J179" s="198">
        <f t="shared" ca="1" si="421"/>
        <v>0.36808351244527843</v>
      </c>
      <c r="K179" s="200">
        <f t="shared" ca="1" si="597"/>
        <v>30.35</v>
      </c>
      <c r="L179" s="201">
        <f t="shared" ca="1" si="598"/>
        <v>32.1</v>
      </c>
      <c r="M179" s="206">
        <f t="shared" ca="1" si="599"/>
        <v>33.85</v>
      </c>
      <c r="N179" s="851">
        <f t="shared" ca="1" si="603"/>
        <v>23.688000106811515</v>
      </c>
      <c r="O179" s="201">
        <f t="shared" ca="1" si="604"/>
        <v>25.000500106811515</v>
      </c>
      <c r="P179" s="206">
        <f t="shared" ca="1" si="605"/>
        <v>26.313000106811515</v>
      </c>
      <c r="Q179" s="201">
        <f t="shared" ca="1" si="606"/>
        <v>18.700999832153311</v>
      </c>
      <c r="R179" s="201">
        <f t="shared" ca="1" si="607"/>
        <v>23.000999832153312</v>
      </c>
      <c r="S179" s="201">
        <f t="shared" ca="1" si="608"/>
        <v>27.300999832153312</v>
      </c>
      <c r="T179" s="851">
        <f t="shared" ca="1" si="600"/>
        <v>19.774998855590816</v>
      </c>
      <c r="U179" s="201">
        <f t="shared" ca="1" si="601"/>
        <v>20.649998855590816</v>
      </c>
      <c r="V179" s="206">
        <f t="shared" ca="1" si="602"/>
        <v>21.524998855590816</v>
      </c>
      <c r="W179" s="230">
        <f t="shared" ca="1" si="590"/>
        <v>6.4924264532665796E-2</v>
      </c>
      <c r="X179" s="231">
        <f t="shared" ca="1" si="591"/>
        <v>0.12984852906533159</v>
      </c>
      <c r="Y179" s="232">
        <f t="shared" ca="1" si="592"/>
        <v>0.19477279359799737</v>
      </c>
      <c r="Z179" s="231">
        <f t="shared" ca="1" si="612"/>
        <v>6.4924264532665796E-2</v>
      </c>
      <c r="AA179" s="231">
        <f t="shared" ca="1" si="613"/>
        <v>0.12984852906533159</v>
      </c>
      <c r="AB179" s="232">
        <f t="shared" ca="1" si="614"/>
        <v>0.19477279359799737</v>
      </c>
      <c r="AC179" s="231">
        <f t="shared" ca="1" si="615"/>
        <v>6.4924264532665796E-2</v>
      </c>
      <c r="AD179" s="231">
        <f t="shared" ca="1" si="616"/>
        <v>0.12984852906533159</v>
      </c>
      <c r="AE179" s="232">
        <f t="shared" ca="1" si="422"/>
        <v>0.19477279359799737</v>
      </c>
      <c r="AF179" s="231">
        <f t="shared" ca="1" si="593"/>
        <v>2.3070671677803113E-2</v>
      </c>
      <c r="AG179" s="231">
        <f t="shared" ca="1" si="594"/>
        <v>4.6141343355606226E-2</v>
      </c>
      <c r="AH179" s="232">
        <f t="shared" ca="1" si="595"/>
        <v>6.9212015033409346E-2</v>
      </c>
      <c r="AI179" s="233">
        <f t="shared" ca="1" si="423"/>
        <v>0.85000000000000009</v>
      </c>
      <c r="AJ179" s="233">
        <f t="shared" ca="1" si="424"/>
        <v>1.1000000000000001</v>
      </c>
      <c r="AK179" s="234">
        <f t="shared" ca="1" si="425"/>
        <v>1.4000000000000001</v>
      </c>
      <c r="AL179" s="919">
        <f t="shared" ca="1" si="426"/>
        <v>0.85000000000000009</v>
      </c>
      <c r="AM179" s="233">
        <f t="shared" ca="1" si="427"/>
        <v>1.1000000000000001</v>
      </c>
      <c r="AN179" s="234">
        <f t="shared" ca="1" si="428"/>
        <v>1.4000000000000001</v>
      </c>
      <c r="AO179" s="233">
        <f t="shared" ca="1" si="429"/>
        <v>0.85000000000000009</v>
      </c>
      <c r="AP179" s="233">
        <f t="shared" ca="1" si="430"/>
        <v>1.1000000000000001</v>
      </c>
      <c r="AQ179" s="233">
        <f t="shared" ca="1" si="431"/>
        <v>1.4000000000000001</v>
      </c>
      <c r="AR179" s="919">
        <f t="shared" ca="1" si="432"/>
        <v>0.19999999999999998</v>
      </c>
      <c r="AS179" s="233">
        <f t="shared" ca="1" si="433"/>
        <v>0.35</v>
      </c>
      <c r="AT179" s="235">
        <f t="shared" ca="1" si="434"/>
        <v>0.55000000000000004</v>
      </c>
      <c r="AU179" s="946">
        <f t="shared" si="435"/>
        <v>0.5</v>
      </c>
      <c r="AV179" s="13">
        <f t="shared" ca="1" si="436"/>
        <v>0</v>
      </c>
      <c r="AW179" s="210">
        <f t="shared" ca="1" si="437"/>
        <v>0</v>
      </c>
      <c r="AX179" s="210">
        <f t="shared" ca="1" si="438"/>
        <v>0</v>
      </c>
      <c r="AY179" s="210">
        <f t="shared" ca="1" si="439"/>
        <v>0</v>
      </c>
      <c r="AZ179" s="13">
        <f t="shared" ca="1" si="440"/>
        <v>0</v>
      </c>
      <c r="BA179" s="357">
        <f ca="1"/>
        <v>0</v>
      </c>
      <c r="BB179" s="925">
        <f ca="1"/>
        <v>0</v>
      </c>
      <c r="BC179" s="925">
        <f ca="1"/>
        <v>0</v>
      </c>
      <c r="BD179" s="928">
        <f ca="1"/>
        <v>0</v>
      </c>
      <c r="BE179" s="200">
        <f ca="1"/>
        <v>0</v>
      </c>
      <c r="BF179" s="851">
        <f ca="1"/>
        <v>0</v>
      </c>
      <c r="BG179" s="851">
        <f ca="1"/>
        <v>0</v>
      </c>
      <c r="BH179" s="933">
        <f ca="1"/>
        <v>0</v>
      </c>
      <c r="BI179" s="357">
        <f ca="1"/>
        <v>0</v>
      </c>
      <c r="BJ179" s="925">
        <f ca="1"/>
        <v>0</v>
      </c>
      <c r="BK179" s="925">
        <f ca="1"/>
        <v>0</v>
      </c>
      <c r="BL179" s="928">
        <f ca="1"/>
        <v>0</v>
      </c>
      <c r="BM179" s="200">
        <f ca="1"/>
        <v>0</v>
      </c>
      <c r="BN179" s="851">
        <f ca="1"/>
        <v>0</v>
      </c>
      <c r="BO179" s="851">
        <f ca="1"/>
        <v>0</v>
      </c>
      <c r="BP179" s="933">
        <f ca="1"/>
        <v>0</v>
      </c>
      <c r="BQ179" s="357">
        <f t="shared" ca="1" si="441"/>
        <v>0</v>
      </c>
      <c r="BR179" s="361">
        <f t="shared" ca="1" si="442"/>
        <v>0</v>
      </c>
      <c r="BS179" s="357">
        <f t="shared" ca="1" si="443"/>
        <v>0</v>
      </c>
      <c r="BT179" s="302">
        <f t="shared" ca="1" si="444"/>
        <v>0</v>
      </c>
      <c r="BU179" s="299">
        <f t="shared" ca="1" si="445"/>
        <v>0</v>
      </c>
      <c r="BV179" s="299">
        <f t="shared" ca="1" si="446"/>
        <v>0</v>
      </c>
      <c r="BW179" s="299">
        <f t="shared" ca="1" si="447"/>
        <v>0</v>
      </c>
      <c r="BX179" s="380">
        <f t="shared" ca="1" si="448"/>
        <v>13.582477754962355</v>
      </c>
      <c r="BY179" s="363">
        <f t="shared" ca="1" si="449"/>
        <v>0</v>
      </c>
      <c r="BZ179" s="353">
        <f t="shared" ca="1" si="450"/>
        <v>0</v>
      </c>
      <c r="CA179" s="353">
        <f t="shared" ca="1" si="451"/>
        <v>0</v>
      </c>
      <c r="CB179" s="353">
        <f t="shared" ca="1" si="452"/>
        <v>0</v>
      </c>
      <c r="CC179" s="353">
        <f t="shared" ca="1" si="453"/>
        <v>0</v>
      </c>
      <c r="CD179" s="353">
        <f t="shared" ca="1" si="454"/>
        <v>0</v>
      </c>
      <c r="CE179" s="302">
        <f t="shared" ca="1" si="455"/>
        <v>0</v>
      </c>
      <c r="CF179" s="299">
        <f t="shared" ca="1" si="456"/>
        <v>0</v>
      </c>
      <c r="CG179" s="299">
        <f t="shared" ca="1" si="457"/>
        <v>0</v>
      </c>
      <c r="CH179" s="299">
        <f t="shared" ca="1" si="458"/>
        <v>0</v>
      </c>
      <c r="CI179" s="299">
        <f t="shared" ca="1" si="459"/>
        <v>0</v>
      </c>
      <c r="CJ179" s="299">
        <f t="shared" ca="1" si="460"/>
        <v>0</v>
      </c>
      <c r="CK179" s="299">
        <f t="shared" ca="1" si="461"/>
        <v>0</v>
      </c>
      <c r="CL179" s="377" t="str">
        <f t="shared" ca="1" si="462"/>
        <v/>
      </c>
      <c r="CM179" s="305" t="str">
        <f t="shared" ca="1" si="463"/>
        <v/>
      </c>
      <c r="CN179" s="305" t="str">
        <f t="shared" ca="1" si="464"/>
        <v/>
      </c>
      <c r="CO179" s="305" t="str">
        <f t="shared" ca="1" si="465"/>
        <v/>
      </c>
      <c r="CP179" s="305" t="str">
        <f t="shared" ca="1" si="466"/>
        <v/>
      </c>
      <c r="CQ179" s="305" t="str">
        <f t="shared" ca="1" si="467"/>
        <v/>
      </c>
      <c r="CR179" s="775" t="str">
        <f t="shared" ca="1" si="468"/>
        <v/>
      </c>
      <c r="CS179" s="305" t="str">
        <f t="shared" ca="1" si="469"/>
        <v/>
      </c>
      <c r="CT179" s="305" t="str">
        <f t="shared" ca="1" si="470"/>
        <v/>
      </c>
      <c r="CU179" s="305" t="str">
        <f t="shared" ca="1" si="471"/>
        <v/>
      </c>
      <c r="CV179" s="770" t="str">
        <f t="shared" ca="1" si="472"/>
        <v/>
      </c>
      <c r="CW179" s="302">
        <f t="shared" ca="1" si="473"/>
        <v>0</v>
      </c>
      <c r="CX179" s="299">
        <f t="shared" ca="1" si="474"/>
        <v>0</v>
      </c>
      <c r="CY179" s="299">
        <f t="shared" ca="1" si="475"/>
        <v>0</v>
      </c>
      <c r="CZ179" s="299">
        <f t="shared" ca="1" si="476"/>
        <v>0</v>
      </c>
      <c r="DA179" s="774">
        <f t="shared" ca="1" si="477"/>
        <v>0</v>
      </c>
      <c r="DB179" s="303">
        <f t="shared" ca="1" si="478"/>
        <v>0</v>
      </c>
      <c r="DC179" s="248">
        <f t="shared" ca="1" si="479"/>
        <v>0</v>
      </c>
      <c r="DD179" s="778">
        <f t="shared" ca="1" si="480"/>
        <v>0</v>
      </c>
      <c r="DE179" s="363">
        <f t="shared" ca="1" si="481"/>
        <v>0</v>
      </c>
      <c r="DF179" s="378" t="str">
        <f t="shared" ca="1" si="482"/>
        <v/>
      </c>
      <c r="DG179" s="508" t="str">
        <f t="shared" ca="1" si="483"/>
        <v/>
      </c>
      <c r="DH179" s="508" t="str">
        <f t="shared" ca="1" si="484"/>
        <v/>
      </c>
      <c r="DI179" s="508" t="str">
        <f t="shared" ca="1" si="485"/>
        <v/>
      </c>
      <c r="DJ179" s="508" t="str">
        <f t="shared" ca="1" si="486"/>
        <v/>
      </c>
      <c r="DK179" s="353">
        <f t="shared" ca="1" si="487"/>
        <v>0</v>
      </c>
      <c r="DL179" s="781">
        <f t="shared" ca="1" si="488"/>
        <v>0</v>
      </c>
      <c r="DM179" s="303">
        <f t="shared" ca="1" si="489"/>
        <v>0</v>
      </c>
      <c r="DN179" s="508" t="str">
        <f t="shared" ca="1" si="490"/>
        <v/>
      </c>
      <c r="DO179" s="508" t="str">
        <f t="shared" ca="1" si="491"/>
        <v/>
      </c>
      <c r="DP179" s="508" t="str">
        <f t="shared" ca="1" si="492"/>
        <v/>
      </c>
      <c r="DQ179" s="508" t="str">
        <f t="shared" ca="1" si="493"/>
        <v/>
      </c>
      <c r="DR179" s="508" t="str">
        <f t="shared" ca="1" si="494"/>
        <v/>
      </c>
      <c r="DS179" s="353">
        <f t="shared" ca="1" si="495"/>
        <v>0</v>
      </c>
      <c r="DT179" s="353">
        <f t="shared" ca="1" si="496"/>
        <v>0</v>
      </c>
      <c r="DU179" s="380">
        <f t="shared" ca="1" si="596"/>
        <v>13.582477754962355</v>
      </c>
      <c r="DV179" s="303">
        <f t="shared" ca="1" si="497"/>
        <v>0</v>
      </c>
      <c r="DW179" s="303">
        <f t="shared" ca="1" si="498"/>
        <v>0</v>
      </c>
      <c r="DX179" s="303">
        <f t="shared" ca="1" si="499"/>
        <v>0</v>
      </c>
      <c r="DY179" s="303">
        <f t="shared" ca="1" si="500"/>
        <v>0</v>
      </c>
      <c r="DZ179" s="303">
        <f t="shared" ca="1" si="501"/>
        <v>0</v>
      </c>
      <c r="EA179" s="303">
        <f t="shared" ca="1" si="502"/>
        <v>0</v>
      </c>
      <c r="EB179" s="302">
        <f t="shared" ca="1" si="503"/>
        <v>0</v>
      </c>
      <c r="EC179" s="299">
        <f t="shared" ca="1" si="504"/>
        <v>0</v>
      </c>
      <c r="ED179" s="299">
        <f t="shared" ca="1" si="505"/>
        <v>0</v>
      </c>
      <c r="EE179" s="299">
        <f t="shared" ca="1" si="506"/>
        <v>0</v>
      </c>
      <c r="EF179" s="299">
        <f t="shared" ca="1" si="507"/>
        <v>0</v>
      </c>
      <c r="EG179" s="299">
        <f t="shared" ca="1" si="508"/>
        <v>0</v>
      </c>
      <c r="EH179" s="302">
        <f t="shared" ca="1" si="509"/>
        <v>0</v>
      </c>
      <c r="EI179" s="304" t="str">
        <f t="shared" ca="1" si="510"/>
        <v/>
      </c>
      <c r="EJ179" s="305" t="str">
        <f t="shared" ca="1" si="511"/>
        <v/>
      </c>
      <c r="EK179" s="305" t="str">
        <f t="shared" ca="1" si="512"/>
        <v/>
      </c>
      <c r="EL179" s="305" t="str">
        <f t="shared" ca="1" si="513"/>
        <v/>
      </c>
      <c r="EM179" s="305" t="str">
        <f t="shared" ca="1" si="514"/>
        <v/>
      </c>
      <c r="EN179" s="305" t="str">
        <f t="shared" ca="1" si="515"/>
        <v/>
      </c>
      <c r="EO179" s="305" t="str">
        <f t="shared" ca="1" si="516"/>
        <v/>
      </c>
      <c r="EP179" s="305" t="str">
        <f t="shared" ca="1" si="517"/>
        <v/>
      </c>
      <c r="EQ179" s="305" t="str">
        <f t="shared" ca="1" si="518"/>
        <v/>
      </c>
      <c r="ER179" s="305" t="str">
        <f t="shared" ca="1" si="519"/>
        <v/>
      </c>
      <c r="ES179" s="305" t="str">
        <f t="shared" ca="1" si="520"/>
        <v/>
      </c>
      <c r="ET179" s="299">
        <f t="shared" ca="1" si="521"/>
        <v>0</v>
      </c>
      <c r="EU179" s="302">
        <f t="shared" ca="1" si="522"/>
        <v>0</v>
      </c>
      <c r="EV179" s="304" t="str">
        <f t="shared" ca="1" si="523"/>
        <v/>
      </c>
      <c r="EW179" s="305" t="str">
        <f t="shared" ca="1" si="524"/>
        <v/>
      </c>
      <c r="EX179" s="305" t="str">
        <f t="shared" ca="1" si="525"/>
        <v/>
      </c>
      <c r="EY179" s="305" t="str">
        <f t="shared" ca="1" si="526"/>
        <v/>
      </c>
      <c r="EZ179" s="305" t="str">
        <f t="shared" ca="1" si="527"/>
        <v/>
      </c>
      <c r="FA179" s="305" t="str">
        <f t="shared" ca="1" si="528"/>
        <v/>
      </c>
      <c r="FB179" s="305" t="str">
        <f t="shared" ca="1" si="529"/>
        <v/>
      </c>
      <c r="FC179" s="305" t="str">
        <f t="shared" ca="1" si="530"/>
        <v/>
      </c>
      <c r="FD179" s="305" t="str">
        <f t="shared" ca="1" si="531"/>
        <v/>
      </c>
      <c r="FE179" s="305" t="str">
        <f t="shared" ca="1" si="532"/>
        <v/>
      </c>
      <c r="FF179" s="305" t="str">
        <f t="shared" ca="1" si="533"/>
        <v/>
      </c>
      <c r="FG179" s="299">
        <f t="shared" ca="1" si="534"/>
        <v>0</v>
      </c>
      <c r="FH179" s="302">
        <f t="shared" ca="1" si="535"/>
        <v>0</v>
      </c>
      <c r="FI179" s="248">
        <f t="shared" ca="1" si="536"/>
        <v>0</v>
      </c>
      <c r="FJ179" s="363">
        <f t="shared" ca="1" si="537"/>
        <v>0</v>
      </c>
      <c r="FK179" s="378" t="str">
        <f t="shared" ca="1" si="538"/>
        <v/>
      </c>
      <c r="FL179" s="508" t="str">
        <f t="shared" ca="1" si="539"/>
        <v/>
      </c>
      <c r="FM179" s="508" t="str">
        <f t="shared" ca="1" si="540"/>
        <v/>
      </c>
      <c r="FN179" s="508" t="str">
        <f t="shared" ca="1" si="541"/>
        <v/>
      </c>
      <c r="FO179" s="508" t="str">
        <f t="shared" ca="1" si="542"/>
        <v/>
      </c>
      <c r="FP179" s="353">
        <f t="shared" ca="1" si="543"/>
        <v>0</v>
      </c>
      <c r="FQ179" s="356">
        <f t="shared" ca="1" si="544"/>
        <v>0</v>
      </c>
      <c r="FR179" s="380">
        <f t="shared" ca="1" si="545"/>
        <v>0</v>
      </c>
      <c r="FS179" s="299">
        <f t="shared" ca="1" si="546"/>
        <v>0</v>
      </c>
      <c r="FT179" s="299">
        <f t="shared" ca="1" si="547"/>
        <v>0</v>
      </c>
      <c r="FU179" s="299">
        <f t="shared" ca="1" si="548"/>
        <v>0</v>
      </c>
      <c r="FV179" s="299">
        <f t="shared" ca="1" si="549"/>
        <v>0</v>
      </c>
      <c r="FW179" s="850" t="str">
        <f t="shared" ca="1" si="550"/>
        <v/>
      </c>
      <c r="FX179" s="851" t="str">
        <f t="shared" ca="1" si="551"/>
        <v/>
      </c>
      <c r="FY179" s="851" t="str">
        <f t="shared" ca="1" si="552"/>
        <v/>
      </c>
      <c r="FZ179" s="201" t="str">
        <f t="shared" ca="1" si="553"/>
        <v/>
      </c>
      <c r="GA179" s="201" t="str">
        <f t="shared" ca="1" si="554"/>
        <v/>
      </c>
      <c r="GB179" s="201" t="str">
        <f t="shared" ca="1" si="555"/>
        <v/>
      </c>
      <c r="GC179" s="201" t="str">
        <f t="shared" ca="1" si="556"/>
        <v/>
      </c>
      <c r="GD179" s="850" t="str">
        <f t="shared" ca="1" si="557"/>
        <v/>
      </c>
      <c r="GE179" s="866" t="str">
        <f t="shared" ca="1" si="558"/>
        <v/>
      </c>
      <c r="GF179" s="866" t="str">
        <f t="shared" ca="1" si="559"/>
        <v/>
      </c>
      <c r="GG179" s="866" t="str">
        <f t="shared" ca="1" si="560"/>
        <v/>
      </c>
      <c r="GH179" s="866" t="str">
        <f t="shared" ca="1" si="561"/>
        <v/>
      </c>
      <c r="GI179" s="302">
        <f t="shared" ca="1" si="562"/>
        <v>0</v>
      </c>
      <c r="GJ179" s="299">
        <f t="shared" ca="1" si="563"/>
        <v>0</v>
      </c>
      <c r="GK179" s="299">
        <f t="shared" ca="1" si="564"/>
        <v>0</v>
      </c>
      <c r="GL179" s="299">
        <f t="shared" ca="1" si="565"/>
        <v>0</v>
      </c>
      <c r="GM179" s="299">
        <f t="shared" ca="1" si="566"/>
        <v>0</v>
      </c>
      <c r="GN179" s="302">
        <f t="shared" ca="1" si="567"/>
        <v>0</v>
      </c>
      <c r="GO179" s="299">
        <f t="shared" ca="1" si="568"/>
        <v>0</v>
      </c>
      <c r="GP179" s="299">
        <f t="shared" ca="1" si="569"/>
        <v>0</v>
      </c>
      <c r="GQ179" s="299">
        <f t="shared" ca="1" si="570"/>
        <v>0</v>
      </c>
      <c r="GR179" s="299">
        <f t="shared" ca="1" si="571"/>
        <v>0</v>
      </c>
      <c r="GS179" s="302">
        <f t="shared" ca="1" si="572"/>
        <v>0</v>
      </c>
      <c r="GT179" s="299">
        <f t="shared" ca="1" si="573"/>
        <v>0</v>
      </c>
      <c r="GU179" s="299">
        <f t="shared" ca="1" si="574"/>
        <v>0</v>
      </c>
      <c r="GV179" s="299">
        <f t="shared" ca="1" si="575"/>
        <v>0</v>
      </c>
      <c r="GW179" s="299">
        <f t="shared" ca="1" si="576"/>
        <v>0</v>
      </c>
      <c r="GX179" s="303">
        <f t="shared" ca="1" si="577"/>
        <v>0</v>
      </c>
      <c r="GY179" s="303">
        <f t="shared" ca="1" si="578"/>
        <v>0</v>
      </c>
      <c r="GZ179" s="303">
        <f t="shared" ca="1" si="579"/>
        <v>0</v>
      </c>
      <c r="HA179" s="303">
        <f t="shared" ca="1" si="580"/>
        <v>0</v>
      </c>
      <c r="HB179" s="303">
        <f t="shared" ca="1" si="581"/>
        <v>0</v>
      </c>
      <c r="HC179" s="303">
        <f t="shared" ca="1" si="582"/>
        <v>0</v>
      </c>
      <c r="HD179" s="303">
        <f t="shared" ca="1" si="583"/>
        <v>0</v>
      </c>
      <c r="HE179" s="303">
        <f t="shared" ca="1" si="584"/>
        <v>0</v>
      </c>
      <c r="HF179" s="303">
        <f t="shared" ca="1" si="585"/>
        <v>0</v>
      </c>
      <c r="HG179" s="852">
        <f t="shared" ca="1" si="586"/>
        <v>0</v>
      </c>
    </row>
    <row r="180" spans="1:215" x14ac:dyDescent="0.25">
      <c r="A180" s="244">
        <f t="shared" ca="1" si="587"/>
        <v>41579</v>
      </c>
      <c r="B180" s="13">
        <f t="shared" ca="1" si="617"/>
        <v>2013</v>
      </c>
      <c r="C180" s="619">
        <f t="shared" ca="1" si="618"/>
        <v>11</v>
      </c>
      <c r="D180" s="195">
        <f t="shared" ca="1" si="417"/>
        <v>41606</v>
      </c>
      <c r="E180" s="469" t="str">
        <f t="shared" ca="1" si="418"/>
        <v/>
      </c>
      <c r="F180" s="465" t="str">
        <f t="shared" ca="1" si="419"/>
        <v/>
      </c>
      <c r="G180" s="522">
        <f t="shared" ca="1" si="588"/>
        <v>1</v>
      </c>
      <c r="H180" s="519">
        <f t="shared" ca="1" si="589"/>
        <v>1</v>
      </c>
      <c r="I180" s="724">
        <f t="shared" ca="1" si="619"/>
        <v>7.4191934504329995E-2</v>
      </c>
      <c r="J180" s="198">
        <f t="shared" ca="1" si="421"/>
        <v>0.36588909253141394</v>
      </c>
      <c r="K180" s="200">
        <f t="shared" ca="1" si="597"/>
        <v>30.725000000000001</v>
      </c>
      <c r="L180" s="201">
        <f t="shared" ca="1" si="598"/>
        <v>32.475000000000001</v>
      </c>
      <c r="M180" s="206">
        <f t="shared" ca="1" si="599"/>
        <v>34.225000000000001</v>
      </c>
      <c r="N180" s="851">
        <f t="shared" ca="1" si="603"/>
        <v>24.692251586914054</v>
      </c>
      <c r="O180" s="201">
        <f t="shared" ca="1" si="604"/>
        <v>26.004751586914054</v>
      </c>
      <c r="P180" s="206">
        <f t="shared" ca="1" si="605"/>
        <v>27.317251586914054</v>
      </c>
      <c r="Q180" s="201">
        <f t="shared" ca="1" si="606"/>
        <v>19.704499816894522</v>
      </c>
      <c r="R180" s="201">
        <f t="shared" ca="1" si="607"/>
        <v>24.004499816894523</v>
      </c>
      <c r="S180" s="201">
        <f t="shared" ca="1" si="608"/>
        <v>28.304499816894523</v>
      </c>
      <c r="T180" s="851">
        <f t="shared" ca="1" si="600"/>
        <v>19.699998092651363</v>
      </c>
      <c r="U180" s="201">
        <f t="shared" ca="1" si="601"/>
        <v>20.574998092651363</v>
      </c>
      <c r="V180" s="206">
        <f t="shared" ca="1" si="602"/>
        <v>21.449998092651363</v>
      </c>
      <c r="W180" s="230">
        <f t="shared" ca="1" si="590"/>
        <v>6.4924264532665796E-2</v>
      </c>
      <c r="X180" s="231">
        <f t="shared" ca="1" si="591"/>
        <v>0.12984852906533159</v>
      </c>
      <c r="Y180" s="232">
        <f t="shared" ca="1" si="592"/>
        <v>0.19477279359799737</v>
      </c>
      <c r="Z180" s="231">
        <f t="shared" ca="1" si="612"/>
        <v>6.4924264532665796E-2</v>
      </c>
      <c r="AA180" s="231">
        <f t="shared" ca="1" si="613"/>
        <v>0.12984852906533159</v>
      </c>
      <c r="AB180" s="232">
        <f t="shared" ca="1" si="614"/>
        <v>0.19477279359799737</v>
      </c>
      <c r="AC180" s="231">
        <f t="shared" ca="1" si="615"/>
        <v>6.4924264532665796E-2</v>
      </c>
      <c r="AD180" s="231">
        <f t="shared" ca="1" si="616"/>
        <v>0.12984852906533159</v>
      </c>
      <c r="AE180" s="232">
        <f t="shared" ca="1" si="422"/>
        <v>0.19477279359799737</v>
      </c>
      <c r="AF180" s="231">
        <f t="shared" ca="1" si="593"/>
        <v>2.3070671677803113E-2</v>
      </c>
      <c r="AG180" s="231">
        <f t="shared" ca="1" si="594"/>
        <v>4.6141343355606226E-2</v>
      </c>
      <c r="AH180" s="232">
        <f t="shared" ca="1" si="595"/>
        <v>6.9212015033409346E-2</v>
      </c>
      <c r="AI180" s="233">
        <f t="shared" ca="1" si="423"/>
        <v>1</v>
      </c>
      <c r="AJ180" s="233">
        <f t="shared" ca="1" si="424"/>
        <v>1.25</v>
      </c>
      <c r="AK180" s="234">
        <f t="shared" ca="1" si="425"/>
        <v>1.55</v>
      </c>
      <c r="AL180" s="919">
        <f t="shared" ca="1" si="426"/>
        <v>1</v>
      </c>
      <c r="AM180" s="233">
        <f t="shared" ca="1" si="427"/>
        <v>1.25</v>
      </c>
      <c r="AN180" s="234">
        <f t="shared" ca="1" si="428"/>
        <v>1.55</v>
      </c>
      <c r="AO180" s="233">
        <f t="shared" ca="1" si="429"/>
        <v>1</v>
      </c>
      <c r="AP180" s="233">
        <f t="shared" ca="1" si="430"/>
        <v>1.25</v>
      </c>
      <c r="AQ180" s="233">
        <f t="shared" ca="1" si="431"/>
        <v>1.55</v>
      </c>
      <c r="AR180" s="919">
        <f t="shared" ca="1" si="432"/>
        <v>0.15</v>
      </c>
      <c r="AS180" s="233">
        <f t="shared" ca="1" si="433"/>
        <v>0.3</v>
      </c>
      <c r="AT180" s="235">
        <f t="shared" ca="1" si="434"/>
        <v>0.5</v>
      </c>
      <c r="AU180" s="946">
        <f t="shared" si="435"/>
        <v>0.5</v>
      </c>
      <c r="AV180" s="13">
        <f t="shared" ca="1" si="436"/>
        <v>0</v>
      </c>
      <c r="AW180" s="210">
        <f t="shared" ca="1" si="437"/>
        <v>0</v>
      </c>
      <c r="AX180" s="210">
        <f t="shared" ca="1" si="438"/>
        <v>0</v>
      </c>
      <c r="AY180" s="210">
        <f t="shared" ca="1" si="439"/>
        <v>0</v>
      </c>
      <c r="AZ180" s="13">
        <f t="shared" ca="1" si="440"/>
        <v>0</v>
      </c>
      <c r="BA180" s="357">
        <f ca="1"/>
        <v>0</v>
      </c>
      <c r="BB180" s="925">
        <f ca="1"/>
        <v>0</v>
      </c>
      <c r="BC180" s="925">
        <f ca="1"/>
        <v>0</v>
      </c>
      <c r="BD180" s="928">
        <f ca="1"/>
        <v>0</v>
      </c>
      <c r="BE180" s="200">
        <f ca="1"/>
        <v>0</v>
      </c>
      <c r="BF180" s="851">
        <f ca="1"/>
        <v>0</v>
      </c>
      <c r="BG180" s="851">
        <f ca="1"/>
        <v>0</v>
      </c>
      <c r="BH180" s="933">
        <f ca="1"/>
        <v>0</v>
      </c>
      <c r="BI180" s="357">
        <f ca="1"/>
        <v>0</v>
      </c>
      <c r="BJ180" s="925">
        <f ca="1"/>
        <v>0</v>
      </c>
      <c r="BK180" s="925">
        <f ca="1"/>
        <v>0</v>
      </c>
      <c r="BL180" s="928">
        <f ca="1"/>
        <v>0</v>
      </c>
      <c r="BM180" s="200">
        <f ca="1"/>
        <v>0</v>
      </c>
      <c r="BN180" s="851">
        <f ca="1"/>
        <v>0</v>
      </c>
      <c r="BO180" s="851">
        <f ca="1"/>
        <v>0</v>
      </c>
      <c r="BP180" s="933">
        <f ca="1"/>
        <v>0</v>
      </c>
      <c r="BQ180" s="357">
        <f t="shared" ca="1" si="441"/>
        <v>0</v>
      </c>
      <c r="BR180" s="361">
        <f t="shared" ca="1" si="442"/>
        <v>0</v>
      </c>
      <c r="BS180" s="357">
        <f t="shared" ca="1" si="443"/>
        <v>0</v>
      </c>
      <c r="BT180" s="302">
        <f t="shared" ca="1" si="444"/>
        <v>0</v>
      </c>
      <c r="BU180" s="299">
        <f t="shared" ca="1" si="445"/>
        <v>0</v>
      </c>
      <c r="BV180" s="299">
        <f t="shared" ca="1" si="446"/>
        <v>0</v>
      </c>
      <c r="BW180" s="299">
        <f t="shared" ca="1" si="447"/>
        <v>0</v>
      </c>
      <c r="BX180" s="380">
        <f t="shared" ca="1" si="448"/>
        <v>13.66735112936345</v>
      </c>
      <c r="BY180" s="363">
        <f t="shared" ca="1" si="449"/>
        <v>0</v>
      </c>
      <c r="BZ180" s="353">
        <f t="shared" ca="1" si="450"/>
        <v>0</v>
      </c>
      <c r="CA180" s="353">
        <f t="shared" ca="1" si="451"/>
        <v>0</v>
      </c>
      <c r="CB180" s="353">
        <f t="shared" ca="1" si="452"/>
        <v>0</v>
      </c>
      <c r="CC180" s="353">
        <f t="shared" ca="1" si="453"/>
        <v>0</v>
      </c>
      <c r="CD180" s="353">
        <f t="shared" ca="1" si="454"/>
        <v>0</v>
      </c>
      <c r="CE180" s="302">
        <f t="shared" ca="1" si="455"/>
        <v>0</v>
      </c>
      <c r="CF180" s="299">
        <f t="shared" ca="1" si="456"/>
        <v>0</v>
      </c>
      <c r="CG180" s="299">
        <f t="shared" ca="1" si="457"/>
        <v>0</v>
      </c>
      <c r="CH180" s="299">
        <f t="shared" ca="1" si="458"/>
        <v>0</v>
      </c>
      <c r="CI180" s="299">
        <f t="shared" ca="1" si="459"/>
        <v>0</v>
      </c>
      <c r="CJ180" s="299">
        <f t="shared" ca="1" si="460"/>
        <v>0</v>
      </c>
      <c r="CK180" s="299">
        <f t="shared" ca="1" si="461"/>
        <v>0</v>
      </c>
      <c r="CL180" s="377" t="str">
        <f t="shared" ca="1" si="462"/>
        <v/>
      </c>
      <c r="CM180" s="305" t="str">
        <f t="shared" ca="1" si="463"/>
        <v/>
      </c>
      <c r="CN180" s="305" t="str">
        <f t="shared" ca="1" si="464"/>
        <v/>
      </c>
      <c r="CO180" s="305" t="str">
        <f t="shared" ca="1" si="465"/>
        <v/>
      </c>
      <c r="CP180" s="305" t="str">
        <f t="shared" ca="1" si="466"/>
        <v/>
      </c>
      <c r="CQ180" s="305" t="str">
        <f t="shared" ca="1" si="467"/>
        <v/>
      </c>
      <c r="CR180" s="775" t="str">
        <f t="shared" ca="1" si="468"/>
        <v/>
      </c>
      <c r="CS180" s="305" t="str">
        <f t="shared" ca="1" si="469"/>
        <v/>
      </c>
      <c r="CT180" s="305" t="str">
        <f t="shared" ca="1" si="470"/>
        <v/>
      </c>
      <c r="CU180" s="305" t="str">
        <f t="shared" ca="1" si="471"/>
        <v/>
      </c>
      <c r="CV180" s="770" t="str">
        <f t="shared" ca="1" si="472"/>
        <v/>
      </c>
      <c r="CW180" s="302">
        <f t="shared" ca="1" si="473"/>
        <v>0</v>
      </c>
      <c r="CX180" s="299">
        <f t="shared" ca="1" si="474"/>
        <v>0</v>
      </c>
      <c r="CY180" s="299">
        <f t="shared" ca="1" si="475"/>
        <v>0</v>
      </c>
      <c r="CZ180" s="299">
        <f t="shared" ca="1" si="476"/>
        <v>0</v>
      </c>
      <c r="DA180" s="774">
        <f t="shared" ca="1" si="477"/>
        <v>0</v>
      </c>
      <c r="DB180" s="303">
        <f t="shared" ca="1" si="478"/>
        <v>0</v>
      </c>
      <c r="DC180" s="248">
        <f t="shared" ca="1" si="479"/>
        <v>0</v>
      </c>
      <c r="DD180" s="778">
        <f t="shared" ca="1" si="480"/>
        <v>0</v>
      </c>
      <c r="DE180" s="363">
        <f t="shared" ca="1" si="481"/>
        <v>0</v>
      </c>
      <c r="DF180" s="378" t="str">
        <f t="shared" ca="1" si="482"/>
        <v/>
      </c>
      <c r="DG180" s="508" t="str">
        <f t="shared" ca="1" si="483"/>
        <v/>
      </c>
      <c r="DH180" s="508" t="str">
        <f t="shared" ca="1" si="484"/>
        <v/>
      </c>
      <c r="DI180" s="508" t="str">
        <f t="shared" ca="1" si="485"/>
        <v/>
      </c>
      <c r="DJ180" s="508" t="str">
        <f t="shared" ca="1" si="486"/>
        <v/>
      </c>
      <c r="DK180" s="353">
        <f t="shared" ca="1" si="487"/>
        <v>0</v>
      </c>
      <c r="DL180" s="781">
        <f t="shared" ca="1" si="488"/>
        <v>0</v>
      </c>
      <c r="DM180" s="303">
        <f t="shared" ca="1" si="489"/>
        <v>0</v>
      </c>
      <c r="DN180" s="508" t="str">
        <f t="shared" ca="1" si="490"/>
        <v/>
      </c>
      <c r="DO180" s="508" t="str">
        <f t="shared" ca="1" si="491"/>
        <v/>
      </c>
      <c r="DP180" s="508" t="str">
        <f t="shared" ca="1" si="492"/>
        <v/>
      </c>
      <c r="DQ180" s="508" t="str">
        <f t="shared" ca="1" si="493"/>
        <v/>
      </c>
      <c r="DR180" s="508" t="str">
        <f t="shared" ca="1" si="494"/>
        <v/>
      </c>
      <c r="DS180" s="353">
        <f t="shared" ca="1" si="495"/>
        <v>0</v>
      </c>
      <c r="DT180" s="353">
        <f t="shared" ca="1" si="496"/>
        <v>0</v>
      </c>
      <c r="DU180" s="380">
        <f t="shared" ca="1" si="596"/>
        <v>13.66735112936345</v>
      </c>
      <c r="DV180" s="303">
        <f t="shared" ca="1" si="497"/>
        <v>0</v>
      </c>
      <c r="DW180" s="303">
        <f t="shared" ca="1" si="498"/>
        <v>0</v>
      </c>
      <c r="DX180" s="303">
        <f t="shared" ca="1" si="499"/>
        <v>0</v>
      </c>
      <c r="DY180" s="303">
        <f t="shared" ca="1" si="500"/>
        <v>0</v>
      </c>
      <c r="DZ180" s="303">
        <f t="shared" ca="1" si="501"/>
        <v>0</v>
      </c>
      <c r="EA180" s="303">
        <f t="shared" ca="1" si="502"/>
        <v>0</v>
      </c>
      <c r="EB180" s="302">
        <f t="shared" ca="1" si="503"/>
        <v>0</v>
      </c>
      <c r="EC180" s="299">
        <f t="shared" ca="1" si="504"/>
        <v>0</v>
      </c>
      <c r="ED180" s="299">
        <f t="shared" ca="1" si="505"/>
        <v>0</v>
      </c>
      <c r="EE180" s="299">
        <f t="shared" ca="1" si="506"/>
        <v>0</v>
      </c>
      <c r="EF180" s="299">
        <f t="shared" ca="1" si="507"/>
        <v>0</v>
      </c>
      <c r="EG180" s="299">
        <f t="shared" ca="1" si="508"/>
        <v>0</v>
      </c>
      <c r="EH180" s="302">
        <f t="shared" ca="1" si="509"/>
        <v>0</v>
      </c>
      <c r="EI180" s="304" t="str">
        <f t="shared" ca="1" si="510"/>
        <v/>
      </c>
      <c r="EJ180" s="305" t="str">
        <f t="shared" ca="1" si="511"/>
        <v/>
      </c>
      <c r="EK180" s="305" t="str">
        <f t="shared" ca="1" si="512"/>
        <v/>
      </c>
      <c r="EL180" s="305" t="str">
        <f t="shared" ca="1" si="513"/>
        <v/>
      </c>
      <c r="EM180" s="305" t="str">
        <f t="shared" ca="1" si="514"/>
        <v/>
      </c>
      <c r="EN180" s="305" t="str">
        <f t="shared" ca="1" si="515"/>
        <v/>
      </c>
      <c r="EO180" s="305" t="str">
        <f t="shared" ca="1" si="516"/>
        <v/>
      </c>
      <c r="EP180" s="305" t="str">
        <f t="shared" ca="1" si="517"/>
        <v/>
      </c>
      <c r="EQ180" s="305" t="str">
        <f t="shared" ca="1" si="518"/>
        <v/>
      </c>
      <c r="ER180" s="305" t="str">
        <f t="shared" ca="1" si="519"/>
        <v/>
      </c>
      <c r="ES180" s="305" t="str">
        <f t="shared" ca="1" si="520"/>
        <v/>
      </c>
      <c r="ET180" s="299">
        <f t="shared" ca="1" si="521"/>
        <v>0</v>
      </c>
      <c r="EU180" s="302">
        <f t="shared" ca="1" si="522"/>
        <v>0</v>
      </c>
      <c r="EV180" s="304" t="str">
        <f t="shared" ca="1" si="523"/>
        <v/>
      </c>
      <c r="EW180" s="305" t="str">
        <f t="shared" ca="1" si="524"/>
        <v/>
      </c>
      <c r="EX180" s="305" t="str">
        <f t="shared" ca="1" si="525"/>
        <v/>
      </c>
      <c r="EY180" s="305" t="str">
        <f t="shared" ca="1" si="526"/>
        <v/>
      </c>
      <c r="EZ180" s="305" t="str">
        <f t="shared" ca="1" si="527"/>
        <v/>
      </c>
      <c r="FA180" s="305" t="str">
        <f t="shared" ca="1" si="528"/>
        <v/>
      </c>
      <c r="FB180" s="305" t="str">
        <f t="shared" ca="1" si="529"/>
        <v/>
      </c>
      <c r="FC180" s="305" t="str">
        <f t="shared" ca="1" si="530"/>
        <v/>
      </c>
      <c r="FD180" s="305" t="str">
        <f t="shared" ca="1" si="531"/>
        <v/>
      </c>
      <c r="FE180" s="305" t="str">
        <f t="shared" ca="1" si="532"/>
        <v/>
      </c>
      <c r="FF180" s="305" t="str">
        <f t="shared" ca="1" si="533"/>
        <v/>
      </c>
      <c r="FG180" s="299">
        <f t="shared" ca="1" si="534"/>
        <v>0</v>
      </c>
      <c r="FH180" s="302">
        <f t="shared" ca="1" si="535"/>
        <v>0</v>
      </c>
      <c r="FI180" s="248">
        <f t="shared" ca="1" si="536"/>
        <v>0</v>
      </c>
      <c r="FJ180" s="363">
        <f t="shared" ca="1" si="537"/>
        <v>0</v>
      </c>
      <c r="FK180" s="378" t="str">
        <f t="shared" ca="1" si="538"/>
        <v/>
      </c>
      <c r="FL180" s="508" t="str">
        <f t="shared" ca="1" si="539"/>
        <v/>
      </c>
      <c r="FM180" s="508" t="str">
        <f t="shared" ca="1" si="540"/>
        <v/>
      </c>
      <c r="FN180" s="508" t="str">
        <f t="shared" ca="1" si="541"/>
        <v/>
      </c>
      <c r="FO180" s="508" t="str">
        <f t="shared" ca="1" si="542"/>
        <v/>
      </c>
      <c r="FP180" s="353">
        <f t="shared" ca="1" si="543"/>
        <v>0</v>
      </c>
      <c r="FQ180" s="356">
        <f t="shared" ca="1" si="544"/>
        <v>0</v>
      </c>
      <c r="FR180" s="380">
        <f t="shared" ca="1" si="545"/>
        <v>0</v>
      </c>
      <c r="FS180" s="299">
        <f t="shared" ca="1" si="546"/>
        <v>0</v>
      </c>
      <c r="FT180" s="299">
        <f t="shared" ca="1" si="547"/>
        <v>0</v>
      </c>
      <c r="FU180" s="299">
        <f t="shared" ca="1" si="548"/>
        <v>0</v>
      </c>
      <c r="FV180" s="299">
        <f t="shared" ca="1" si="549"/>
        <v>0</v>
      </c>
      <c r="FW180" s="850" t="str">
        <f t="shared" ca="1" si="550"/>
        <v/>
      </c>
      <c r="FX180" s="851" t="str">
        <f t="shared" ca="1" si="551"/>
        <v/>
      </c>
      <c r="FY180" s="851" t="str">
        <f t="shared" ca="1" si="552"/>
        <v/>
      </c>
      <c r="FZ180" s="201" t="str">
        <f t="shared" ca="1" si="553"/>
        <v/>
      </c>
      <c r="GA180" s="201" t="str">
        <f t="shared" ca="1" si="554"/>
        <v/>
      </c>
      <c r="GB180" s="201" t="str">
        <f t="shared" ca="1" si="555"/>
        <v/>
      </c>
      <c r="GC180" s="201" t="str">
        <f t="shared" ca="1" si="556"/>
        <v/>
      </c>
      <c r="GD180" s="850" t="str">
        <f t="shared" ca="1" si="557"/>
        <v/>
      </c>
      <c r="GE180" s="866" t="str">
        <f t="shared" ca="1" si="558"/>
        <v/>
      </c>
      <c r="GF180" s="866" t="str">
        <f t="shared" ca="1" si="559"/>
        <v/>
      </c>
      <c r="GG180" s="866" t="str">
        <f t="shared" ca="1" si="560"/>
        <v/>
      </c>
      <c r="GH180" s="866" t="str">
        <f t="shared" ca="1" si="561"/>
        <v/>
      </c>
      <c r="GI180" s="302">
        <f t="shared" ca="1" si="562"/>
        <v>0</v>
      </c>
      <c r="GJ180" s="299">
        <f t="shared" ca="1" si="563"/>
        <v>0</v>
      </c>
      <c r="GK180" s="299">
        <f t="shared" ca="1" si="564"/>
        <v>0</v>
      </c>
      <c r="GL180" s="299">
        <f t="shared" ca="1" si="565"/>
        <v>0</v>
      </c>
      <c r="GM180" s="299">
        <f t="shared" ca="1" si="566"/>
        <v>0</v>
      </c>
      <c r="GN180" s="302">
        <f t="shared" ca="1" si="567"/>
        <v>0</v>
      </c>
      <c r="GO180" s="299">
        <f t="shared" ca="1" si="568"/>
        <v>0</v>
      </c>
      <c r="GP180" s="299">
        <f t="shared" ca="1" si="569"/>
        <v>0</v>
      </c>
      <c r="GQ180" s="299">
        <f t="shared" ca="1" si="570"/>
        <v>0</v>
      </c>
      <c r="GR180" s="299">
        <f t="shared" ca="1" si="571"/>
        <v>0</v>
      </c>
      <c r="GS180" s="302">
        <f t="shared" ca="1" si="572"/>
        <v>0</v>
      </c>
      <c r="GT180" s="299">
        <f t="shared" ca="1" si="573"/>
        <v>0</v>
      </c>
      <c r="GU180" s="299">
        <f t="shared" ca="1" si="574"/>
        <v>0</v>
      </c>
      <c r="GV180" s="299">
        <f t="shared" ca="1" si="575"/>
        <v>0</v>
      </c>
      <c r="GW180" s="299">
        <f t="shared" ca="1" si="576"/>
        <v>0</v>
      </c>
      <c r="GX180" s="303">
        <f t="shared" ca="1" si="577"/>
        <v>0</v>
      </c>
      <c r="GY180" s="303">
        <f t="shared" ca="1" si="578"/>
        <v>0</v>
      </c>
      <c r="GZ180" s="303">
        <f t="shared" ca="1" si="579"/>
        <v>0</v>
      </c>
      <c r="HA180" s="303">
        <f t="shared" ca="1" si="580"/>
        <v>0</v>
      </c>
      <c r="HB180" s="303">
        <f t="shared" ca="1" si="581"/>
        <v>0</v>
      </c>
      <c r="HC180" s="303">
        <f t="shared" ca="1" si="582"/>
        <v>0</v>
      </c>
      <c r="HD180" s="303">
        <f t="shared" ca="1" si="583"/>
        <v>0</v>
      </c>
      <c r="HE180" s="303">
        <f t="shared" ca="1" si="584"/>
        <v>0</v>
      </c>
      <c r="HF180" s="303">
        <f t="shared" ca="1" si="585"/>
        <v>0</v>
      </c>
      <c r="HG180" s="852">
        <f t="shared" ca="1" si="586"/>
        <v>0</v>
      </c>
    </row>
    <row r="181" spans="1:215" x14ac:dyDescent="0.25">
      <c r="A181" s="244">
        <f t="shared" ca="1" si="587"/>
        <v>41609</v>
      </c>
      <c r="B181" s="13">
        <f t="shared" ca="1" si="617"/>
        <v>2013</v>
      </c>
      <c r="C181" s="619">
        <f t="shared" ca="1" si="618"/>
        <v>12</v>
      </c>
      <c r="D181" s="195">
        <f t="shared" ca="1" si="417"/>
        <v>41633</v>
      </c>
      <c r="E181" s="469" t="str">
        <f t="shared" ca="1" si="418"/>
        <v/>
      </c>
      <c r="F181" s="465" t="str">
        <f t="shared" ca="1" si="419"/>
        <v/>
      </c>
      <c r="G181" s="522">
        <f t="shared" ca="1" si="588"/>
        <v>1</v>
      </c>
      <c r="H181" s="519">
        <f t="shared" ca="1" si="589"/>
        <v>1</v>
      </c>
      <c r="I181" s="724">
        <f t="shared" ca="1" si="619"/>
        <v>7.4191649293478004E-2</v>
      </c>
      <c r="J181" s="198">
        <f t="shared" ca="1" si="421"/>
        <v>0.3636351920551516</v>
      </c>
      <c r="K181" s="200">
        <f t="shared" ca="1" si="597"/>
        <v>30.6</v>
      </c>
      <c r="L181" s="201">
        <f t="shared" ca="1" si="598"/>
        <v>32.35</v>
      </c>
      <c r="M181" s="206">
        <f t="shared" ca="1" si="599"/>
        <v>34.1</v>
      </c>
      <c r="N181" s="851">
        <f t="shared" ca="1" si="603"/>
        <v>26.14249839782714</v>
      </c>
      <c r="O181" s="201">
        <f t="shared" ca="1" si="604"/>
        <v>27.45499839782714</v>
      </c>
      <c r="P181" s="206">
        <f t="shared" ca="1" si="605"/>
        <v>28.76749839782714</v>
      </c>
      <c r="Q181" s="201">
        <f t="shared" ca="1" si="606"/>
        <v>19.649999237060538</v>
      </c>
      <c r="R181" s="201">
        <f t="shared" ca="1" si="607"/>
        <v>23.949999237060538</v>
      </c>
      <c r="S181" s="201">
        <f t="shared" ca="1" si="608"/>
        <v>28.249999237060539</v>
      </c>
      <c r="T181" s="851">
        <f t="shared" ca="1" si="600"/>
        <v>21.124999237060543</v>
      </c>
      <c r="U181" s="201">
        <f t="shared" ca="1" si="601"/>
        <v>21.999999237060543</v>
      </c>
      <c r="V181" s="206">
        <f t="shared" ca="1" si="602"/>
        <v>22.874999237060543</v>
      </c>
      <c r="W181" s="230">
        <f t="shared" ca="1" si="590"/>
        <v>6.7258620111368392E-2</v>
      </c>
      <c r="X181" s="231">
        <f t="shared" ca="1" si="591"/>
        <v>0.13451724022273678</v>
      </c>
      <c r="Y181" s="232">
        <f t="shared" ca="1" si="592"/>
        <v>0.20177586033410516</v>
      </c>
      <c r="Z181" s="231">
        <f t="shared" ca="1" si="612"/>
        <v>6.7258620111368392E-2</v>
      </c>
      <c r="AA181" s="231">
        <f t="shared" ca="1" si="613"/>
        <v>0.13451724022273678</v>
      </c>
      <c r="AB181" s="232">
        <f t="shared" ca="1" si="614"/>
        <v>0.20177586033410516</v>
      </c>
      <c r="AC181" s="231">
        <f t="shared" ca="1" si="615"/>
        <v>6.7258620111368392E-2</v>
      </c>
      <c r="AD181" s="231">
        <f t="shared" ca="1" si="616"/>
        <v>0.13451724022273678</v>
      </c>
      <c r="AE181" s="232">
        <f t="shared" ca="1" si="422"/>
        <v>0.20177586033410516</v>
      </c>
      <c r="AF181" s="231">
        <f t="shared" ca="1" si="593"/>
        <v>2.3070671677803113E-2</v>
      </c>
      <c r="AG181" s="231">
        <f t="shared" ca="1" si="594"/>
        <v>4.6141343355606226E-2</v>
      </c>
      <c r="AH181" s="232">
        <f t="shared" ca="1" si="595"/>
        <v>6.9212015033409346E-2</v>
      </c>
      <c r="AI181" s="233">
        <f t="shared" ca="1" si="423"/>
        <v>1</v>
      </c>
      <c r="AJ181" s="233">
        <f t="shared" ca="1" si="424"/>
        <v>1.25</v>
      </c>
      <c r="AK181" s="234">
        <f t="shared" ca="1" si="425"/>
        <v>1.6</v>
      </c>
      <c r="AL181" s="919">
        <f t="shared" ca="1" si="426"/>
        <v>1</v>
      </c>
      <c r="AM181" s="233">
        <f t="shared" ca="1" si="427"/>
        <v>1.25</v>
      </c>
      <c r="AN181" s="234">
        <f t="shared" ca="1" si="428"/>
        <v>1.6</v>
      </c>
      <c r="AO181" s="233">
        <f t="shared" ca="1" si="429"/>
        <v>1</v>
      </c>
      <c r="AP181" s="233">
        <f t="shared" ca="1" si="430"/>
        <v>1.25</v>
      </c>
      <c r="AQ181" s="233">
        <f t="shared" ca="1" si="431"/>
        <v>1.6</v>
      </c>
      <c r="AR181" s="919">
        <f t="shared" ca="1" si="432"/>
        <v>0.15</v>
      </c>
      <c r="AS181" s="233">
        <f t="shared" ca="1" si="433"/>
        <v>0.3</v>
      </c>
      <c r="AT181" s="235">
        <f t="shared" ca="1" si="434"/>
        <v>0.5</v>
      </c>
      <c r="AU181" s="946">
        <f t="shared" si="435"/>
        <v>0.5</v>
      </c>
      <c r="AV181" s="13">
        <f t="shared" ca="1" si="436"/>
        <v>0</v>
      </c>
      <c r="AW181" s="210">
        <f t="shared" ca="1" si="437"/>
        <v>0</v>
      </c>
      <c r="AX181" s="210">
        <f t="shared" ca="1" si="438"/>
        <v>0</v>
      </c>
      <c r="AY181" s="210">
        <f t="shared" ca="1" si="439"/>
        <v>0</v>
      </c>
      <c r="AZ181" s="13">
        <f t="shared" ca="1" si="440"/>
        <v>0</v>
      </c>
      <c r="BA181" s="357">
        <f ca="1"/>
        <v>0</v>
      </c>
      <c r="BB181" s="925">
        <f ca="1"/>
        <v>0</v>
      </c>
      <c r="BC181" s="925">
        <f ca="1"/>
        <v>0</v>
      </c>
      <c r="BD181" s="928">
        <f ca="1"/>
        <v>0</v>
      </c>
      <c r="BE181" s="200">
        <f ca="1"/>
        <v>0</v>
      </c>
      <c r="BF181" s="851">
        <f ca="1"/>
        <v>0</v>
      </c>
      <c r="BG181" s="851">
        <f ca="1"/>
        <v>0</v>
      </c>
      <c r="BH181" s="933">
        <f ca="1"/>
        <v>0</v>
      </c>
      <c r="BI181" s="357">
        <f ca="1"/>
        <v>0</v>
      </c>
      <c r="BJ181" s="925">
        <f ca="1"/>
        <v>0</v>
      </c>
      <c r="BK181" s="925">
        <f ca="1"/>
        <v>0</v>
      </c>
      <c r="BL181" s="928">
        <f ca="1"/>
        <v>0</v>
      </c>
      <c r="BM181" s="200">
        <f ca="1"/>
        <v>0</v>
      </c>
      <c r="BN181" s="851">
        <f ca="1"/>
        <v>0</v>
      </c>
      <c r="BO181" s="851">
        <f ca="1"/>
        <v>0</v>
      </c>
      <c r="BP181" s="933">
        <f ca="1"/>
        <v>0</v>
      </c>
      <c r="BQ181" s="357">
        <f t="shared" ca="1" si="441"/>
        <v>0</v>
      </c>
      <c r="BR181" s="361">
        <f t="shared" ca="1" si="442"/>
        <v>0</v>
      </c>
      <c r="BS181" s="357">
        <f t="shared" ca="1" si="443"/>
        <v>0</v>
      </c>
      <c r="BT181" s="302">
        <f t="shared" ca="1" si="444"/>
        <v>0</v>
      </c>
      <c r="BU181" s="299">
        <f t="shared" ca="1" si="445"/>
        <v>0</v>
      </c>
      <c r="BV181" s="299">
        <f t="shared" ca="1" si="446"/>
        <v>0</v>
      </c>
      <c r="BW181" s="299">
        <f t="shared" ca="1" si="447"/>
        <v>0</v>
      </c>
      <c r="BX181" s="380">
        <f t="shared" ca="1" si="448"/>
        <v>13.749486652977414</v>
      </c>
      <c r="BY181" s="363">
        <f t="shared" ca="1" si="449"/>
        <v>0</v>
      </c>
      <c r="BZ181" s="353">
        <f t="shared" ca="1" si="450"/>
        <v>0</v>
      </c>
      <c r="CA181" s="353">
        <f t="shared" ca="1" si="451"/>
        <v>0</v>
      </c>
      <c r="CB181" s="353">
        <f t="shared" ca="1" si="452"/>
        <v>0</v>
      </c>
      <c r="CC181" s="353">
        <f t="shared" ca="1" si="453"/>
        <v>0</v>
      </c>
      <c r="CD181" s="353">
        <f t="shared" ca="1" si="454"/>
        <v>0</v>
      </c>
      <c r="CE181" s="302">
        <f t="shared" ca="1" si="455"/>
        <v>0</v>
      </c>
      <c r="CF181" s="299">
        <f t="shared" ca="1" si="456"/>
        <v>0</v>
      </c>
      <c r="CG181" s="299">
        <f t="shared" ca="1" si="457"/>
        <v>0</v>
      </c>
      <c r="CH181" s="299">
        <f t="shared" ca="1" si="458"/>
        <v>0</v>
      </c>
      <c r="CI181" s="299">
        <f t="shared" ca="1" si="459"/>
        <v>0</v>
      </c>
      <c r="CJ181" s="299">
        <f t="shared" ca="1" si="460"/>
        <v>0</v>
      </c>
      <c r="CK181" s="299">
        <f t="shared" ca="1" si="461"/>
        <v>0</v>
      </c>
      <c r="CL181" s="377" t="str">
        <f t="shared" ca="1" si="462"/>
        <v/>
      </c>
      <c r="CM181" s="305" t="str">
        <f t="shared" ca="1" si="463"/>
        <v/>
      </c>
      <c r="CN181" s="305" t="str">
        <f t="shared" ca="1" si="464"/>
        <v/>
      </c>
      <c r="CO181" s="305" t="str">
        <f t="shared" ca="1" si="465"/>
        <v/>
      </c>
      <c r="CP181" s="305" t="str">
        <f t="shared" ca="1" si="466"/>
        <v/>
      </c>
      <c r="CQ181" s="305" t="str">
        <f t="shared" ca="1" si="467"/>
        <v/>
      </c>
      <c r="CR181" s="775" t="str">
        <f t="shared" ca="1" si="468"/>
        <v/>
      </c>
      <c r="CS181" s="305" t="str">
        <f t="shared" ca="1" si="469"/>
        <v/>
      </c>
      <c r="CT181" s="305" t="str">
        <f t="shared" ca="1" si="470"/>
        <v/>
      </c>
      <c r="CU181" s="305" t="str">
        <f t="shared" ca="1" si="471"/>
        <v/>
      </c>
      <c r="CV181" s="770" t="str">
        <f t="shared" ca="1" si="472"/>
        <v/>
      </c>
      <c r="CW181" s="302">
        <f t="shared" ca="1" si="473"/>
        <v>0</v>
      </c>
      <c r="CX181" s="299">
        <f t="shared" ca="1" si="474"/>
        <v>0</v>
      </c>
      <c r="CY181" s="299">
        <f t="shared" ca="1" si="475"/>
        <v>0</v>
      </c>
      <c r="CZ181" s="299">
        <f t="shared" ca="1" si="476"/>
        <v>0</v>
      </c>
      <c r="DA181" s="774">
        <f t="shared" ca="1" si="477"/>
        <v>0</v>
      </c>
      <c r="DB181" s="303">
        <f t="shared" ca="1" si="478"/>
        <v>0</v>
      </c>
      <c r="DC181" s="248">
        <f t="shared" ca="1" si="479"/>
        <v>0</v>
      </c>
      <c r="DD181" s="778">
        <f t="shared" ca="1" si="480"/>
        <v>0</v>
      </c>
      <c r="DE181" s="363">
        <f t="shared" ca="1" si="481"/>
        <v>0</v>
      </c>
      <c r="DF181" s="378" t="str">
        <f t="shared" ca="1" si="482"/>
        <v/>
      </c>
      <c r="DG181" s="508" t="str">
        <f t="shared" ca="1" si="483"/>
        <v/>
      </c>
      <c r="DH181" s="508" t="str">
        <f t="shared" ca="1" si="484"/>
        <v/>
      </c>
      <c r="DI181" s="508" t="str">
        <f t="shared" ca="1" si="485"/>
        <v/>
      </c>
      <c r="DJ181" s="508" t="str">
        <f t="shared" ca="1" si="486"/>
        <v/>
      </c>
      <c r="DK181" s="353">
        <f t="shared" ca="1" si="487"/>
        <v>0</v>
      </c>
      <c r="DL181" s="781">
        <f t="shared" ca="1" si="488"/>
        <v>0</v>
      </c>
      <c r="DM181" s="303">
        <f t="shared" ca="1" si="489"/>
        <v>0</v>
      </c>
      <c r="DN181" s="508" t="str">
        <f t="shared" ca="1" si="490"/>
        <v/>
      </c>
      <c r="DO181" s="508" t="str">
        <f t="shared" ca="1" si="491"/>
        <v/>
      </c>
      <c r="DP181" s="508" t="str">
        <f t="shared" ca="1" si="492"/>
        <v/>
      </c>
      <c r="DQ181" s="508" t="str">
        <f t="shared" ca="1" si="493"/>
        <v/>
      </c>
      <c r="DR181" s="508" t="str">
        <f t="shared" ca="1" si="494"/>
        <v/>
      </c>
      <c r="DS181" s="353">
        <f t="shared" ca="1" si="495"/>
        <v>0</v>
      </c>
      <c r="DT181" s="353">
        <f t="shared" ca="1" si="496"/>
        <v>0</v>
      </c>
      <c r="DU181" s="380">
        <f t="shared" ca="1" si="596"/>
        <v>13.749486652977414</v>
      </c>
      <c r="DV181" s="303">
        <f t="shared" ca="1" si="497"/>
        <v>0</v>
      </c>
      <c r="DW181" s="303">
        <f t="shared" ca="1" si="498"/>
        <v>0</v>
      </c>
      <c r="DX181" s="303">
        <f t="shared" ca="1" si="499"/>
        <v>0</v>
      </c>
      <c r="DY181" s="303">
        <f t="shared" ca="1" si="500"/>
        <v>0</v>
      </c>
      <c r="DZ181" s="303">
        <f t="shared" ca="1" si="501"/>
        <v>0</v>
      </c>
      <c r="EA181" s="303">
        <f t="shared" ca="1" si="502"/>
        <v>0</v>
      </c>
      <c r="EB181" s="302">
        <f t="shared" ca="1" si="503"/>
        <v>0</v>
      </c>
      <c r="EC181" s="299">
        <f t="shared" ca="1" si="504"/>
        <v>0</v>
      </c>
      <c r="ED181" s="299">
        <f t="shared" ca="1" si="505"/>
        <v>0</v>
      </c>
      <c r="EE181" s="299">
        <f t="shared" ca="1" si="506"/>
        <v>0</v>
      </c>
      <c r="EF181" s="299">
        <f t="shared" ca="1" si="507"/>
        <v>0</v>
      </c>
      <c r="EG181" s="299">
        <f t="shared" ca="1" si="508"/>
        <v>0</v>
      </c>
      <c r="EH181" s="302">
        <f t="shared" ca="1" si="509"/>
        <v>0</v>
      </c>
      <c r="EI181" s="304" t="str">
        <f t="shared" ca="1" si="510"/>
        <v/>
      </c>
      <c r="EJ181" s="305" t="str">
        <f t="shared" ca="1" si="511"/>
        <v/>
      </c>
      <c r="EK181" s="305" t="str">
        <f t="shared" ca="1" si="512"/>
        <v/>
      </c>
      <c r="EL181" s="305" t="str">
        <f t="shared" ca="1" si="513"/>
        <v/>
      </c>
      <c r="EM181" s="305" t="str">
        <f t="shared" ca="1" si="514"/>
        <v/>
      </c>
      <c r="EN181" s="305" t="str">
        <f t="shared" ca="1" si="515"/>
        <v/>
      </c>
      <c r="EO181" s="305" t="str">
        <f t="shared" ca="1" si="516"/>
        <v/>
      </c>
      <c r="EP181" s="305" t="str">
        <f t="shared" ca="1" si="517"/>
        <v/>
      </c>
      <c r="EQ181" s="305" t="str">
        <f t="shared" ca="1" si="518"/>
        <v/>
      </c>
      <c r="ER181" s="305" t="str">
        <f t="shared" ca="1" si="519"/>
        <v/>
      </c>
      <c r="ES181" s="305" t="str">
        <f t="shared" ca="1" si="520"/>
        <v/>
      </c>
      <c r="ET181" s="299">
        <f t="shared" ca="1" si="521"/>
        <v>0</v>
      </c>
      <c r="EU181" s="302">
        <f t="shared" ca="1" si="522"/>
        <v>0</v>
      </c>
      <c r="EV181" s="304" t="str">
        <f t="shared" ca="1" si="523"/>
        <v/>
      </c>
      <c r="EW181" s="305" t="str">
        <f t="shared" ca="1" si="524"/>
        <v/>
      </c>
      <c r="EX181" s="305" t="str">
        <f t="shared" ca="1" si="525"/>
        <v/>
      </c>
      <c r="EY181" s="305" t="str">
        <f t="shared" ca="1" si="526"/>
        <v/>
      </c>
      <c r="EZ181" s="305" t="str">
        <f t="shared" ca="1" si="527"/>
        <v/>
      </c>
      <c r="FA181" s="305" t="str">
        <f t="shared" ca="1" si="528"/>
        <v/>
      </c>
      <c r="FB181" s="305" t="str">
        <f t="shared" ca="1" si="529"/>
        <v/>
      </c>
      <c r="FC181" s="305" t="str">
        <f t="shared" ca="1" si="530"/>
        <v/>
      </c>
      <c r="FD181" s="305" t="str">
        <f t="shared" ca="1" si="531"/>
        <v/>
      </c>
      <c r="FE181" s="305" t="str">
        <f t="shared" ca="1" si="532"/>
        <v/>
      </c>
      <c r="FF181" s="305" t="str">
        <f t="shared" ca="1" si="533"/>
        <v/>
      </c>
      <c r="FG181" s="299">
        <f t="shared" ca="1" si="534"/>
        <v>0</v>
      </c>
      <c r="FH181" s="302">
        <f t="shared" ca="1" si="535"/>
        <v>0</v>
      </c>
      <c r="FI181" s="248">
        <f t="shared" ca="1" si="536"/>
        <v>0</v>
      </c>
      <c r="FJ181" s="363">
        <f t="shared" ca="1" si="537"/>
        <v>0</v>
      </c>
      <c r="FK181" s="378" t="str">
        <f t="shared" ca="1" si="538"/>
        <v/>
      </c>
      <c r="FL181" s="508" t="str">
        <f t="shared" ca="1" si="539"/>
        <v/>
      </c>
      <c r="FM181" s="508" t="str">
        <f t="shared" ca="1" si="540"/>
        <v/>
      </c>
      <c r="FN181" s="508" t="str">
        <f t="shared" ca="1" si="541"/>
        <v/>
      </c>
      <c r="FO181" s="508" t="str">
        <f t="shared" ca="1" si="542"/>
        <v/>
      </c>
      <c r="FP181" s="353">
        <f t="shared" ca="1" si="543"/>
        <v>0</v>
      </c>
      <c r="FQ181" s="356">
        <f t="shared" ca="1" si="544"/>
        <v>0</v>
      </c>
      <c r="FR181" s="380">
        <f t="shared" ca="1" si="545"/>
        <v>0</v>
      </c>
      <c r="FS181" s="299">
        <f t="shared" ca="1" si="546"/>
        <v>0</v>
      </c>
      <c r="FT181" s="299">
        <f t="shared" ca="1" si="547"/>
        <v>0</v>
      </c>
      <c r="FU181" s="299">
        <f t="shared" ca="1" si="548"/>
        <v>0</v>
      </c>
      <c r="FV181" s="299">
        <f t="shared" ca="1" si="549"/>
        <v>0</v>
      </c>
      <c r="FW181" s="850" t="str">
        <f t="shared" ca="1" si="550"/>
        <v/>
      </c>
      <c r="FX181" s="851" t="str">
        <f t="shared" ca="1" si="551"/>
        <v/>
      </c>
      <c r="FY181" s="851" t="str">
        <f t="shared" ca="1" si="552"/>
        <v/>
      </c>
      <c r="FZ181" s="201" t="str">
        <f t="shared" ca="1" si="553"/>
        <v/>
      </c>
      <c r="GA181" s="201" t="str">
        <f t="shared" ca="1" si="554"/>
        <v/>
      </c>
      <c r="GB181" s="201" t="str">
        <f t="shared" ca="1" si="555"/>
        <v/>
      </c>
      <c r="GC181" s="201" t="str">
        <f t="shared" ca="1" si="556"/>
        <v/>
      </c>
      <c r="GD181" s="850" t="str">
        <f t="shared" ca="1" si="557"/>
        <v/>
      </c>
      <c r="GE181" s="866" t="str">
        <f t="shared" ca="1" si="558"/>
        <v/>
      </c>
      <c r="GF181" s="866" t="str">
        <f t="shared" ca="1" si="559"/>
        <v/>
      </c>
      <c r="GG181" s="866" t="str">
        <f t="shared" ca="1" si="560"/>
        <v/>
      </c>
      <c r="GH181" s="866" t="str">
        <f t="shared" ca="1" si="561"/>
        <v/>
      </c>
      <c r="GI181" s="302">
        <f t="shared" ca="1" si="562"/>
        <v>0</v>
      </c>
      <c r="GJ181" s="299">
        <f t="shared" ca="1" si="563"/>
        <v>0</v>
      </c>
      <c r="GK181" s="299">
        <f t="shared" ca="1" si="564"/>
        <v>0</v>
      </c>
      <c r="GL181" s="299">
        <f t="shared" ca="1" si="565"/>
        <v>0</v>
      </c>
      <c r="GM181" s="299">
        <f t="shared" ca="1" si="566"/>
        <v>0</v>
      </c>
      <c r="GN181" s="302">
        <f t="shared" ca="1" si="567"/>
        <v>0</v>
      </c>
      <c r="GO181" s="299">
        <f t="shared" ca="1" si="568"/>
        <v>0</v>
      </c>
      <c r="GP181" s="299">
        <f t="shared" ca="1" si="569"/>
        <v>0</v>
      </c>
      <c r="GQ181" s="299">
        <f t="shared" ca="1" si="570"/>
        <v>0</v>
      </c>
      <c r="GR181" s="299">
        <f t="shared" ca="1" si="571"/>
        <v>0</v>
      </c>
      <c r="GS181" s="302">
        <f t="shared" ca="1" si="572"/>
        <v>0</v>
      </c>
      <c r="GT181" s="299">
        <f t="shared" ca="1" si="573"/>
        <v>0</v>
      </c>
      <c r="GU181" s="299">
        <f t="shared" ca="1" si="574"/>
        <v>0</v>
      </c>
      <c r="GV181" s="299">
        <f t="shared" ca="1" si="575"/>
        <v>0</v>
      </c>
      <c r="GW181" s="299">
        <f t="shared" ca="1" si="576"/>
        <v>0</v>
      </c>
      <c r="GX181" s="303">
        <f t="shared" ca="1" si="577"/>
        <v>0</v>
      </c>
      <c r="GY181" s="303">
        <f t="shared" ca="1" si="578"/>
        <v>0</v>
      </c>
      <c r="GZ181" s="303">
        <f t="shared" ca="1" si="579"/>
        <v>0</v>
      </c>
      <c r="HA181" s="303">
        <f t="shared" ca="1" si="580"/>
        <v>0</v>
      </c>
      <c r="HB181" s="303">
        <f t="shared" ca="1" si="581"/>
        <v>0</v>
      </c>
      <c r="HC181" s="303">
        <f t="shared" ca="1" si="582"/>
        <v>0</v>
      </c>
      <c r="HD181" s="303">
        <f t="shared" ca="1" si="583"/>
        <v>0</v>
      </c>
      <c r="HE181" s="303">
        <f t="shared" ca="1" si="584"/>
        <v>0</v>
      </c>
      <c r="HF181" s="303">
        <f t="shared" ca="1" si="585"/>
        <v>0</v>
      </c>
      <c r="HG181" s="852">
        <f t="shared" ca="1" si="586"/>
        <v>0</v>
      </c>
    </row>
    <row r="182" spans="1:215" x14ac:dyDescent="0.25">
      <c r="A182" s="244">
        <f t="shared" ca="1" si="587"/>
        <v>41640</v>
      </c>
      <c r="B182" s="13">
        <f t="shared" ca="1" si="617"/>
        <v>2014</v>
      </c>
      <c r="C182" s="619">
        <f t="shared" ca="1" si="618"/>
        <v>1</v>
      </c>
      <c r="D182" s="195">
        <f t="shared" ca="1" si="417"/>
        <v>41640</v>
      </c>
      <c r="E182" s="469" t="str">
        <f t="shared" ca="1" si="418"/>
        <v/>
      </c>
      <c r="F182" s="465" t="str">
        <f t="shared" ca="1" si="419"/>
        <v/>
      </c>
      <c r="G182" s="522">
        <f t="shared" ca="1" si="588"/>
        <v>1</v>
      </c>
      <c r="H182" s="519">
        <f t="shared" ca="1" si="589"/>
        <v>1</v>
      </c>
      <c r="I182" s="724">
        <f t="shared" ca="1" si="619"/>
        <v>7.4191354575597002E-2</v>
      </c>
      <c r="J182" s="198">
        <f t="shared" ca="1" si="421"/>
        <v>0.36139523890778552</v>
      </c>
      <c r="K182" s="200">
        <f t="shared" ca="1" si="597"/>
        <v>36.75</v>
      </c>
      <c r="L182" s="201">
        <f t="shared" ca="1" si="598"/>
        <v>38.65</v>
      </c>
      <c r="M182" s="206">
        <f t="shared" ca="1" si="599"/>
        <v>40.549999999999997</v>
      </c>
      <c r="N182" s="851">
        <f t="shared" ca="1" si="603"/>
        <v>29.423748779296865</v>
      </c>
      <c r="O182" s="201">
        <f t="shared" ca="1" si="604"/>
        <v>30.848748779296866</v>
      </c>
      <c r="P182" s="206">
        <f t="shared" ca="1" si="605"/>
        <v>32.273748779296866</v>
      </c>
      <c r="Q182" s="201">
        <f t="shared" ca="1" si="606"/>
        <v>25.052500534057607</v>
      </c>
      <c r="R182" s="201">
        <f t="shared" ca="1" si="607"/>
        <v>29.352500534057608</v>
      </c>
      <c r="S182" s="201">
        <f t="shared" ca="1" si="608"/>
        <v>33.652500534057609</v>
      </c>
      <c r="T182" s="851">
        <f t="shared" ca="1" si="600"/>
        <v>21.040000152587886</v>
      </c>
      <c r="U182" s="201">
        <f t="shared" ca="1" si="601"/>
        <v>21.990000152587886</v>
      </c>
      <c r="V182" s="206">
        <f t="shared" ca="1" si="602"/>
        <v>22.940000152587885</v>
      </c>
      <c r="W182" s="230">
        <f t="shared" ca="1" si="590"/>
        <v>7.2637904784049939E-2</v>
      </c>
      <c r="X182" s="231">
        <f t="shared" ca="1" si="591"/>
        <v>0.14527580956809988</v>
      </c>
      <c r="Y182" s="232">
        <f t="shared" ca="1" si="592"/>
        <v>0.21791371435214982</v>
      </c>
      <c r="Z182" s="231">
        <f t="shared" ca="1" si="612"/>
        <v>7.2637904784049939E-2</v>
      </c>
      <c r="AA182" s="231">
        <f t="shared" ca="1" si="613"/>
        <v>0.14527580956809988</v>
      </c>
      <c r="AB182" s="232">
        <f t="shared" ca="1" si="614"/>
        <v>0.21791371435214982</v>
      </c>
      <c r="AC182" s="231">
        <f t="shared" ca="1" si="615"/>
        <v>7.2637904784049939E-2</v>
      </c>
      <c r="AD182" s="231">
        <f t="shared" ca="1" si="616"/>
        <v>0.14527580956809988</v>
      </c>
      <c r="AE182" s="232">
        <f t="shared" ca="1" si="422"/>
        <v>0.21791371435214982</v>
      </c>
      <c r="AF182" s="231">
        <f t="shared" ca="1" si="593"/>
        <v>2.6377467951621568E-2</v>
      </c>
      <c r="AG182" s="231">
        <f t="shared" ca="1" si="594"/>
        <v>5.2754935903243136E-2</v>
      </c>
      <c r="AH182" s="232">
        <f t="shared" ca="1" si="595"/>
        <v>7.9132403854864697E-2</v>
      </c>
      <c r="AI182" s="233">
        <f t="shared" ca="1" si="423"/>
        <v>1.25</v>
      </c>
      <c r="AJ182" s="233">
        <f t="shared" ca="1" si="424"/>
        <v>2</v>
      </c>
      <c r="AK182" s="234">
        <f t="shared" ca="1" si="425"/>
        <v>2.75</v>
      </c>
      <c r="AL182" s="919">
        <f t="shared" ca="1" si="426"/>
        <v>1.25</v>
      </c>
      <c r="AM182" s="233">
        <f t="shared" ca="1" si="427"/>
        <v>2</v>
      </c>
      <c r="AN182" s="234">
        <f t="shared" ca="1" si="428"/>
        <v>2.75</v>
      </c>
      <c r="AO182" s="233">
        <f t="shared" ca="1" si="429"/>
        <v>1.25</v>
      </c>
      <c r="AP182" s="233">
        <f t="shared" ca="1" si="430"/>
        <v>2</v>
      </c>
      <c r="AQ182" s="233">
        <f t="shared" ca="1" si="431"/>
        <v>2.75</v>
      </c>
      <c r="AR182" s="919">
        <f t="shared" ca="1" si="432"/>
        <v>0.35</v>
      </c>
      <c r="AS182" s="233">
        <f t="shared" ca="1" si="433"/>
        <v>0.5</v>
      </c>
      <c r="AT182" s="235">
        <f t="shared" ca="1" si="434"/>
        <v>0.7</v>
      </c>
      <c r="AU182" s="946">
        <f t="shared" si="435"/>
        <v>0.5</v>
      </c>
      <c r="AV182" s="13">
        <f t="shared" ca="1" si="436"/>
        <v>0</v>
      </c>
      <c r="AW182" s="210">
        <f t="shared" ca="1" si="437"/>
        <v>0</v>
      </c>
      <c r="AX182" s="210">
        <f t="shared" ca="1" si="438"/>
        <v>0</v>
      </c>
      <c r="AY182" s="210">
        <f t="shared" ca="1" si="439"/>
        <v>0</v>
      </c>
      <c r="AZ182" s="13">
        <f t="shared" ca="1" si="440"/>
        <v>0</v>
      </c>
      <c r="BA182" s="357">
        <f ca="1"/>
        <v>0</v>
      </c>
      <c r="BB182" s="925">
        <f ca="1"/>
        <v>0</v>
      </c>
      <c r="BC182" s="925">
        <f ca="1"/>
        <v>0</v>
      </c>
      <c r="BD182" s="928">
        <f ca="1"/>
        <v>0</v>
      </c>
      <c r="BE182" s="200">
        <f ca="1"/>
        <v>0</v>
      </c>
      <c r="BF182" s="851">
        <f ca="1"/>
        <v>0</v>
      </c>
      <c r="BG182" s="851">
        <f ca="1"/>
        <v>0</v>
      </c>
      <c r="BH182" s="933">
        <f ca="1"/>
        <v>0</v>
      </c>
      <c r="BI182" s="357">
        <f ca="1"/>
        <v>0</v>
      </c>
      <c r="BJ182" s="925">
        <f ca="1"/>
        <v>0</v>
      </c>
      <c r="BK182" s="925">
        <f ca="1"/>
        <v>0</v>
      </c>
      <c r="BL182" s="928">
        <f ca="1"/>
        <v>0</v>
      </c>
      <c r="BM182" s="200">
        <f ca="1"/>
        <v>0</v>
      </c>
      <c r="BN182" s="851">
        <f ca="1"/>
        <v>0</v>
      </c>
      <c r="BO182" s="851">
        <f ca="1"/>
        <v>0</v>
      </c>
      <c r="BP182" s="933">
        <f ca="1"/>
        <v>0</v>
      </c>
      <c r="BQ182" s="357">
        <f t="shared" ca="1" si="441"/>
        <v>0</v>
      </c>
      <c r="BR182" s="361">
        <f t="shared" ca="1" si="442"/>
        <v>0</v>
      </c>
      <c r="BS182" s="357">
        <f t="shared" ca="1" si="443"/>
        <v>0</v>
      </c>
      <c r="BT182" s="302">
        <f t="shared" ca="1" si="444"/>
        <v>0</v>
      </c>
      <c r="BU182" s="299">
        <f t="shared" ca="1" si="445"/>
        <v>0</v>
      </c>
      <c r="BV182" s="299">
        <f t="shared" ca="1" si="446"/>
        <v>0</v>
      </c>
      <c r="BW182" s="299">
        <f t="shared" ca="1" si="447"/>
        <v>0</v>
      </c>
      <c r="BX182" s="380">
        <f t="shared" ca="1" si="448"/>
        <v>13.834360027378509</v>
      </c>
      <c r="BY182" s="363">
        <f t="shared" ca="1" si="449"/>
        <v>0</v>
      </c>
      <c r="BZ182" s="353">
        <f t="shared" ca="1" si="450"/>
        <v>0</v>
      </c>
      <c r="CA182" s="353">
        <f t="shared" ca="1" si="451"/>
        <v>0</v>
      </c>
      <c r="CB182" s="353">
        <f t="shared" ca="1" si="452"/>
        <v>0</v>
      </c>
      <c r="CC182" s="353">
        <f t="shared" ca="1" si="453"/>
        <v>0</v>
      </c>
      <c r="CD182" s="353">
        <f t="shared" ca="1" si="454"/>
        <v>0</v>
      </c>
      <c r="CE182" s="302">
        <f t="shared" ca="1" si="455"/>
        <v>0</v>
      </c>
      <c r="CF182" s="299">
        <f t="shared" ca="1" si="456"/>
        <v>0</v>
      </c>
      <c r="CG182" s="299">
        <f t="shared" ca="1" si="457"/>
        <v>0</v>
      </c>
      <c r="CH182" s="299">
        <f t="shared" ca="1" si="458"/>
        <v>0</v>
      </c>
      <c r="CI182" s="299">
        <f t="shared" ca="1" si="459"/>
        <v>0</v>
      </c>
      <c r="CJ182" s="299">
        <f t="shared" ca="1" si="460"/>
        <v>0</v>
      </c>
      <c r="CK182" s="299">
        <f t="shared" ca="1" si="461"/>
        <v>0</v>
      </c>
      <c r="CL182" s="377" t="str">
        <f t="shared" ca="1" si="462"/>
        <v/>
      </c>
      <c r="CM182" s="305" t="str">
        <f t="shared" ca="1" si="463"/>
        <v/>
      </c>
      <c r="CN182" s="305" t="str">
        <f t="shared" ca="1" si="464"/>
        <v/>
      </c>
      <c r="CO182" s="305" t="str">
        <f t="shared" ca="1" si="465"/>
        <v/>
      </c>
      <c r="CP182" s="305" t="str">
        <f t="shared" ca="1" si="466"/>
        <v/>
      </c>
      <c r="CQ182" s="305" t="str">
        <f t="shared" ca="1" si="467"/>
        <v/>
      </c>
      <c r="CR182" s="775" t="str">
        <f t="shared" ca="1" si="468"/>
        <v/>
      </c>
      <c r="CS182" s="305" t="str">
        <f t="shared" ca="1" si="469"/>
        <v/>
      </c>
      <c r="CT182" s="305" t="str">
        <f t="shared" ca="1" si="470"/>
        <v/>
      </c>
      <c r="CU182" s="305" t="str">
        <f t="shared" ca="1" si="471"/>
        <v/>
      </c>
      <c r="CV182" s="770" t="str">
        <f t="shared" ca="1" si="472"/>
        <v/>
      </c>
      <c r="CW182" s="302">
        <f t="shared" ca="1" si="473"/>
        <v>0</v>
      </c>
      <c r="CX182" s="299">
        <f t="shared" ca="1" si="474"/>
        <v>0</v>
      </c>
      <c r="CY182" s="299">
        <f t="shared" ca="1" si="475"/>
        <v>0</v>
      </c>
      <c r="CZ182" s="299">
        <f t="shared" ca="1" si="476"/>
        <v>0</v>
      </c>
      <c r="DA182" s="774">
        <f t="shared" ca="1" si="477"/>
        <v>0</v>
      </c>
      <c r="DB182" s="303">
        <f t="shared" ca="1" si="478"/>
        <v>0</v>
      </c>
      <c r="DC182" s="248">
        <f t="shared" ca="1" si="479"/>
        <v>0</v>
      </c>
      <c r="DD182" s="778">
        <f t="shared" ca="1" si="480"/>
        <v>0</v>
      </c>
      <c r="DE182" s="363">
        <f t="shared" ca="1" si="481"/>
        <v>0</v>
      </c>
      <c r="DF182" s="378" t="str">
        <f t="shared" ca="1" si="482"/>
        <v/>
      </c>
      <c r="DG182" s="508" t="str">
        <f t="shared" ca="1" si="483"/>
        <v/>
      </c>
      <c r="DH182" s="508" t="str">
        <f t="shared" ca="1" si="484"/>
        <v/>
      </c>
      <c r="DI182" s="508" t="str">
        <f t="shared" ca="1" si="485"/>
        <v/>
      </c>
      <c r="DJ182" s="508" t="str">
        <f t="shared" ca="1" si="486"/>
        <v/>
      </c>
      <c r="DK182" s="353">
        <f t="shared" ca="1" si="487"/>
        <v>0</v>
      </c>
      <c r="DL182" s="781">
        <f t="shared" ca="1" si="488"/>
        <v>0</v>
      </c>
      <c r="DM182" s="303">
        <f t="shared" ca="1" si="489"/>
        <v>0</v>
      </c>
      <c r="DN182" s="508" t="str">
        <f t="shared" ca="1" si="490"/>
        <v/>
      </c>
      <c r="DO182" s="508" t="str">
        <f t="shared" ca="1" si="491"/>
        <v/>
      </c>
      <c r="DP182" s="508" t="str">
        <f t="shared" ca="1" si="492"/>
        <v/>
      </c>
      <c r="DQ182" s="508" t="str">
        <f t="shared" ca="1" si="493"/>
        <v/>
      </c>
      <c r="DR182" s="508" t="str">
        <f t="shared" ca="1" si="494"/>
        <v/>
      </c>
      <c r="DS182" s="353">
        <f t="shared" ca="1" si="495"/>
        <v>0</v>
      </c>
      <c r="DT182" s="353">
        <f t="shared" ca="1" si="496"/>
        <v>0</v>
      </c>
      <c r="DU182" s="380">
        <f t="shared" ca="1" si="596"/>
        <v>13.834360027378509</v>
      </c>
      <c r="DV182" s="303">
        <f t="shared" ca="1" si="497"/>
        <v>0</v>
      </c>
      <c r="DW182" s="303">
        <f t="shared" ca="1" si="498"/>
        <v>0</v>
      </c>
      <c r="DX182" s="303">
        <f t="shared" ca="1" si="499"/>
        <v>0</v>
      </c>
      <c r="DY182" s="303">
        <f t="shared" ca="1" si="500"/>
        <v>0</v>
      </c>
      <c r="DZ182" s="303">
        <f t="shared" ca="1" si="501"/>
        <v>0</v>
      </c>
      <c r="EA182" s="303">
        <f t="shared" ca="1" si="502"/>
        <v>0</v>
      </c>
      <c r="EB182" s="302">
        <f t="shared" ca="1" si="503"/>
        <v>0</v>
      </c>
      <c r="EC182" s="299">
        <f t="shared" ca="1" si="504"/>
        <v>0</v>
      </c>
      <c r="ED182" s="299">
        <f t="shared" ca="1" si="505"/>
        <v>0</v>
      </c>
      <c r="EE182" s="299">
        <f t="shared" ca="1" si="506"/>
        <v>0</v>
      </c>
      <c r="EF182" s="299">
        <f t="shared" ca="1" si="507"/>
        <v>0</v>
      </c>
      <c r="EG182" s="299">
        <f t="shared" ca="1" si="508"/>
        <v>0</v>
      </c>
      <c r="EH182" s="302">
        <f t="shared" ca="1" si="509"/>
        <v>0</v>
      </c>
      <c r="EI182" s="304" t="str">
        <f t="shared" ca="1" si="510"/>
        <v/>
      </c>
      <c r="EJ182" s="305" t="str">
        <f t="shared" ca="1" si="511"/>
        <v/>
      </c>
      <c r="EK182" s="305" t="str">
        <f t="shared" ca="1" si="512"/>
        <v/>
      </c>
      <c r="EL182" s="305" t="str">
        <f t="shared" ca="1" si="513"/>
        <v/>
      </c>
      <c r="EM182" s="305" t="str">
        <f t="shared" ca="1" si="514"/>
        <v/>
      </c>
      <c r="EN182" s="305" t="str">
        <f t="shared" ca="1" si="515"/>
        <v/>
      </c>
      <c r="EO182" s="305" t="str">
        <f t="shared" ca="1" si="516"/>
        <v/>
      </c>
      <c r="EP182" s="305" t="str">
        <f t="shared" ca="1" si="517"/>
        <v/>
      </c>
      <c r="EQ182" s="305" t="str">
        <f t="shared" ca="1" si="518"/>
        <v/>
      </c>
      <c r="ER182" s="305" t="str">
        <f t="shared" ca="1" si="519"/>
        <v/>
      </c>
      <c r="ES182" s="305" t="str">
        <f t="shared" ca="1" si="520"/>
        <v/>
      </c>
      <c r="ET182" s="299">
        <f t="shared" ca="1" si="521"/>
        <v>0</v>
      </c>
      <c r="EU182" s="302">
        <f t="shared" ca="1" si="522"/>
        <v>0</v>
      </c>
      <c r="EV182" s="304" t="str">
        <f t="shared" ca="1" si="523"/>
        <v/>
      </c>
      <c r="EW182" s="305" t="str">
        <f t="shared" ca="1" si="524"/>
        <v/>
      </c>
      <c r="EX182" s="305" t="str">
        <f t="shared" ca="1" si="525"/>
        <v/>
      </c>
      <c r="EY182" s="305" t="str">
        <f t="shared" ca="1" si="526"/>
        <v/>
      </c>
      <c r="EZ182" s="305" t="str">
        <f t="shared" ca="1" si="527"/>
        <v/>
      </c>
      <c r="FA182" s="305" t="str">
        <f t="shared" ca="1" si="528"/>
        <v/>
      </c>
      <c r="FB182" s="305" t="str">
        <f t="shared" ca="1" si="529"/>
        <v/>
      </c>
      <c r="FC182" s="305" t="str">
        <f t="shared" ca="1" si="530"/>
        <v/>
      </c>
      <c r="FD182" s="305" t="str">
        <f t="shared" ca="1" si="531"/>
        <v/>
      </c>
      <c r="FE182" s="305" t="str">
        <f t="shared" ca="1" si="532"/>
        <v/>
      </c>
      <c r="FF182" s="305" t="str">
        <f t="shared" ca="1" si="533"/>
        <v/>
      </c>
      <c r="FG182" s="299">
        <f t="shared" ca="1" si="534"/>
        <v>0</v>
      </c>
      <c r="FH182" s="302">
        <f t="shared" ca="1" si="535"/>
        <v>0</v>
      </c>
      <c r="FI182" s="248">
        <f t="shared" ca="1" si="536"/>
        <v>0</v>
      </c>
      <c r="FJ182" s="363">
        <f t="shared" ca="1" si="537"/>
        <v>0</v>
      </c>
      <c r="FK182" s="378" t="str">
        <f t="shared" ca="1" si="538"/>
        <v/>
      </c>
      <c r="FL182" s="508" t="str">
        <f t="shared" ca="1" si="539"/>
        <v/>
      </c>
      <c r="FM182" s="508" t="str">
        <f t="shared" ca="1" si="540"/>
        <v/>
      </c>
      <c r="FN182" s="508" t="str">
        <f t="shared" ca="1" si="541"/>
        <v/>
      </c>
      <c r="FO182" s="508" t="str">
        <f t="shared" ca="1" si="542"/>
        <v/>
      </c>
      <c r="FP182" s="353">
        <f t="shared" ca="1" si="543"/>
        <v>0</v>
      </c>
      <c r="FQ182" s="356">
        <f t="shared" ca="1" si="544"/>
        <v>0</v>
      </c>
      <c r="FR182" s="380">
        <f t="shared" ca="1" si="545"/>
        <v>0</v>
      </c>
      <c r="FS182" s="299">
        <f t="shared" ca="1" si="546"/>
        <v>0</v>
      </c>
      <c r="FT182" s="299">
        <f t="shared" ca="1" si="547"/>
        <v>0</v>
      </c>
      <c r="FU182" s="299">
        <f t="shared" ca="1" si="548"/>
        <v>0</v>
      </c>
      <c r="FV182" s="299">
        <f t="shared" ca="1" si="549"/>
        <v>0</v>
      </c>
      <c r="FW182" s="850" t="str">
        <f t="shared" ca="1" si="550"/>
        <v/>
      </c>
      <c r="FX182" s="851" t="str">
        <f t="shared" ca="1" si="551"/>
        <v/>
      </c>
      <c r="FY182" s="851" t="str">
        <f t="shared" ca="1" si="552"/>
        <v/>
      </c>
      <c r="FZ182" s="201" t="str">
        <f t="shared" ca="1" si="553"/>
        <v/>
      </c>
      <c r="GA182" s="201" t="str">
        <f t="shared" ca="1" si="554"/>
        <v/>
      </c>
      <c r="GB182" s="201" t="str">
        <f t="shared" ca="1" si="555"/>
        <v/>
      </c>
      <c r="GC182" s="201" t="str">
        <f t="shared" ca="1" si="556"/>
        <v/>
      </c>
      <c r="GD182" s="850" t="str">
        <f t="shared" ca="1" si="557"/>
        <v/>
      </c>
      <c r="GE182" s="866" t="str">
        <f t="shared" ca="1" si="558"/>
        <v/>
      </c>
      <c r="GF182" s="866" t="str">
        <f t="shared" ca="1" si="559"/>
        <v/>
      </c>
      <c r="GG182" s="866" t="str">
        <f t="shared" ca="1" si="560"/>
        <v/>
      </c>
      <c r="GH182" s="866" t="str">
        <f t="shared" ca="1" si="561"/>
        <v/>
      </c>
      <c r="GI182" s="302">
        <f t="shared" ca="1" si="562"/>
        <v>0</v>
      </c>
      <c r="GJ182" s="299">
        <f t="shared" ca="1" si="563"/>
        <v>0</v>
      </c>
      <c r="GK182" s="299">
        <f t="shared" ca="1" si="564"/>
        <v>0</v>
      </c>
      <c r="GL182" s="299">
        <f t="shared" ca="1" si="565"/>
        <v>0</v>
      </c>
      <c r="GM182" s="299">
        <f t="shared" ca="1" si="566"/>
        <v>0</v>
      </c>
      <c r="GN182" s="302">
        <f t="shared" ca="1" si="567"/>
        <v>0</v>
      </c>
      <c r="GO182" s="299">
        <f t="shared" ca="1" si="568"/>
        <v>0</v>
      </c>
      <c r="GP182" s="299">
        <f t="shared" ca="1" si="569"/>
        <v>0</v>
      </c>
      <c r="GQ182" s="299">
        <f t="shared" ca="1" si="570"/>
        <v>0</v>
      </c>
      <c r="GR182" s="299">
        <f t="shared" ca="1" si="571"/>
        <v>0</v>
      </c>
      <c r="GS182" s="302">
        <f t="shared" ca="1" si="572"/>
        <v>0</v>
      </c>
      <c r="GT182" s="299">
        <f t="shared" ca="1" si="573"/>
        <v>0</v>
      </c>
      <c r="GU182" s="299">
        <f t="shared" ca="1" si="574"/>
        <v>0</v>
      </c>
      <c r="GV182" s="299">
        <f t="shared" ca="1" si="575"/>
        <v>0</v>
      </c>
      <c r="GW182" s="299">
        <f t="shared" ca="1" si="576"/>
        <v>0</v>
      </c>
      <c r="GX182" s="303">
        <f t="shared" ca="1" si="577"/>
        <v>0</v>
      </c>
      <c r="GY182" s="303">
        <f t="shared" ca="1" si="578"/>
        <v>0</v>
      </c>
      <c r="GZ182" s="303">
        <f t="shared" ca="1" si="579"/>
        <v>0</v>
      </c>
      <c r="HA182" s="303">
        <f t="shared" ca="1" si="580"/>
        <v>0</v>
      </c>
      <c r="HB182" s="303">
        <f t="shared" ca="1" si="581"/>
        <v>0</v>
      </c>
      <c r="HC182" s="303">
        <f t="shared" ca="1" si="582"/>
        <v>0</v>
      </c>
      <c r="HD182" s="303">
        <f t="shared" ca="1" si="583"/>
        <v>0</v>
      </c>
      <c r="HE182" s="303">
        <f t="shared" ca="1" si="584"/>
        <v>0</v>
      </c>
      <c r="HF182" s="303">
        <f t="shared" ca="1" si="585"/>
        <v>0</v>
      </c>
      <c r="HG182" s="852">
        <f t="shared" ca="1" si="586"/>
        <v>0</v>
      </c>
    </row>
    <row r="183" spans="1:215" x14ac:dyDescent="0.25">
      <c r="A183" s="244">
        <f t="shared" ca="1" si="587"/>
        <v>41671</v>
      </c>
      <c r="B183" s="13">
        <f t="shared" ca="1" si="617"/>
        <v>2014</v>
      </c>
      <c r="C183" s="619">
        <f t="shared" ca="1" si="618"/>
        <v>2</v>
      </c>
      <c r="D183" s="195" t="str">
        <f t="shared" ca="1" si="417"/>
        <v/>
      </c>
      <c r="E183" s="469" t="str">
        <f t="shared" ca="1" si="418"/>
        <v/>
      </c>
      <c r="F183" s="465" t="str">
        <f t="shared" ca="1" si="419"/>
        <v/>
      </c>
      <c r="G183" s="522">
        <f t="shared" ca="1" si="588"/>
        <v>1</v>
      </c>
      <c r="H183" s="519">
        <f t="shared" ca="1" si="589"/>
        <v>1</v>
      </c>
      <c r="I183" s="724">
        <f t="shared" ca="1" si="619"/>
        <v>7.4191059857715014E-2</v>
      </c>
      <c r="J183" s="198">
        <f t="shared" ca="1" si="421"/>
        <v>0.35938407108345433</v>
      </c>
      <c r="K183" s="200">
        <f t="shared" ca="1" si="597"/>
        <v>36.75</v>
      </c>
      <c r="L183" s="201">
        <f t="shared" ca="1" si="598"/>
        <v>38.65</v>
      </c>
      <c r="M183" s="206">
        <f t="shared" ca="1" si="599"/>
        <v>40.549999999999997</v>
      </c>
      <c r="N183" s="851">
        <f t="shared" ca="1" si="603"/>
        <v>28.421250152587881</v>
      </c>
      <c r="O183" s="201">
        <f t="shared" ca="1" si="604"/>
        <v>29.846250152587881</v>
      </c>
      <c r="P183" s="206">
        <f t="shared" ca="1" si="605"/>
        <v>31.271250152587882</v>
      </c>
      <c r="Q183" s="201">
        <f t="shared" ca="1" si="606"/>
        <v>23.047499465942373</v>
      </c>
      <c r="R183" s="201">
        <f t="shared" ca="1" si="607"/>
        <v>27.347499465942374</v>
      </c>
      <c r="S183" s="201">
        <f t="shared" ca="1" si="608"/>
        <v>31.647499465942374</v>
      </c>
      <c r="T183" s="851">
        <f t="shared" ca="1" si="600"/>
        <v>20.849997711181636</v>
      </c>
      <c r="U183" s="201">
        <f t="shared" ca="1" si="601"/>
        <v>21.799997711181636</v>
      </c>
      <c r="V183" s="206">
        <f t="shared" ca="1" si="602"/>
        <v>22.749997711181635</v>
      </c>
      <c r="W183" s="230">
        <f t="shared" ca="1" si="590"/>
        <v>7.0071194367652426E-2</v>
      </c>
      <c r="X183" s="231">
        <f t="shared" ca="1" si="591"/>
        <v>0.14014238873530485</v>
      </c>
      <c r="Y183" s="232">
        <f t="shared" ca="1" si="592"/>
        <v>0.21021358310295729</v>
      </c>
      <c r="Z183" s="231">
        <f t="shared" ca="1" si="612"/>
        <v>7.0071194367652426E-2</v>
      </c>
      <c r="AA183" s="231">
        <f t="shared" ca="1" si="613"/>
        <v>0.14014238873530485</v>
      </c>
      <c r="AB183" s="232">
        <f t="shared" ca="1" si="614"/>
        <v>0.21021358310295729</v>
      </c>
      <c r="AC183" s="231">
        <f t="shared" ca="1" si="615"/>
        <v>7.0071194367652426E-2</v>
      </c>
      <c r="AD183" s="231">
        <f t="shared" ca="1" si="616"/>
        <v>0.14014238873530485</v>
      </c>
      <c r="AE183" s="232">
        <f t="shared" ca="1" si="422"/>
        <v>0.21021358310295729</v>
      </c>
      <c r="AF183" s="231">
        <f t="shared" ca="1" si="593"/>
        <v>2.6377467951621568E-2</v>
      </c>
      <c r="AG183" s="231">
        <f t="shared" ca="1" si="594"/>
        <v>5.2754935903243136E-2</v>
      </c>
      <c r="AH183" s="232">
        <f t="shared" ca="1" si="595"/>
        <v>7.9132403854864697E-2</v>
      </c>
      <c r="AI183" s="233">
        <f t="shared" ca="1" si="423"/>
        <v>1.25</v>
      </c>
      <c r="AJ183" s="233">
        <f t="shared" ca="1" si="424"/>
        <v>2</v>
      </c>
      <c r="AK183" s="234">
        <f t="shared" ca="1" si="425"/>
        <v>2.75</v>
      </c>
      <c r="AL183" s="919">
        <f t="shared" ca="1" si="426"/>
        <v>1.25</v>
      </c>
      <c r="AM183" s="233">
        <f t="shared" ca="1" si="427"/>
        <v>2</v>
      </c>
      <c r="AN183" s="234">
        <f t="shared" ca="1" si="428"/>
        <v>2.75</v>
      </c>
      <c r="AO183" s="233">
        <f t="shared" ca="1" si="429"/>
        <v>1.25</v>
      </c>
      <c r="AP183" s="233">
        <f t="shared" ca="1" si="430"/>
        <v>2</v>
      </c>
      <c r="AQ183" s="233">
        <f t="shared" ca="1" si="431"/>
        <v>2.75</v>
      </c>
      <c r="AR183" s="919">
        <f t="shared" ca="1" si="432"/>
        <v>0.35</v>
      </c>
      <c r="AS183" s="233">
        <f t="shared" ca="1" si="433"/>
        <v>0.5</v>
      </c>
      <c r="AT183" s="235">
        <f t="shared" ca="1" si="434"/>
        <v>0.7</v>
      </c>
      <c r="AU183" s="946">
        <f t="shared" si="435"/>
        <v>0.5</v>
      </c>
      <c r="AV183" s="13">
        <f t="shared" ca="1" si="436"/>
        <v>0</v>
      </c>
      <c r="AW183" s="210">
        <f t="shared" ca="1" si="437"/>
        <v>0</v>
      </c>
      <c r="AX183" s="210">
        <f t="shared" ca="1" si="438"/>
        <v>0</v>
      </c>
      <c r="AY183" s="210">
        <f t="shared" ca="1" si="439"/>
        <v>0</v>
      </c>
      <c r="AZ183" s="13">
        <f t="shared" ca="1" si="440"/>
        <v>0</v>
      </c>
      <c r="BA183" s="357">
        <f ca="1"/>
        <v>0</v>
      </c>
      <c r="BB183" s="925">
        <f ca="1"/>
        <v>0</v>
      </c>
      <c r="BC183" s="925">
        <f ca="1"/>
        <v>0</v>
      </c>
      <c r="BD183" s="928">
        <f ca="1"/>
        <v>0</v>
      </c>
      <c r="BE183" s="200">
        <f ca="1"/>
        <v>0</v>
      </c>
      <c r="BF183" s="851">
        <f ca="1"/>
        <v>0</v>
      </c>
      <c r="BG183" s="851">
        <f ca="1"/>
        <v>0</v>
      </c>
      <c r="BH183" s="933">
        <f ca="1"/>
        <v>0</v>
      </c>
      <c r="BI183" s="357">
        <f ca="1"/>
        <v>0</v>
      </c>
      <c r="BJ183" s="925">
        <f ca="1"/>
        <v>0</v>
      </c>
      <c r="BK183" s="925">
        <f ca="1"/>
        <v>0</v>
      </c>
      <c r="BL183" s="928">
        <f ca="1"/>
        <v>0</v>
      </c>
      <c r="BM183" s="200">
        <f ca="1"/>
        <v>0</v>
      </c>
      <c r="BN183" s="851">
        <f ca="1"/>
        <v>0</v>
      </c>
      <c r="BO183" s="851">
        <f ca="1"/>
        <v>0</v>
      </c>
      <c r="BP183" s="933">
        <f ca="1"/>
        <v>0</v>
      </c>
      <c r="BQ183" s="357">
        <f t="shared" ca="1" si="441"/>
        <v>0</v>
      </c>
      <c r="BR183" s="361">
        <f t="shared" ca="1" si="442"/>
        <v>0</v>
      </c>
      <c r="BS183" s="357">
        <f t="shared" ca="1" si="443"/>
        <v>0</v>
      </c>
      <c r="BT183" s="302">
        <f t="shared" ca="1" si="444"/>
        <v>0</v>
      </c>
      <c r="BU183" s="299">
        <f t="shared" ca="1" si="445"/>
        <v>0</v>
      </c>
      <c r="BV183" s="299">
        <f t="shared" ca="1" si="446"/>
        <v>0</v>
      </c>
      <c r="BW183" s="299">
        <f t="shared" ca="1" si="447"/>
        <v>0</v>
      </c>
      <c r="BX183" s="380">
        <f t="shared" ca="1" si="448"/>
        <v>13.919233401779604</v>
      </c>
      <c r="BY183" s="363">
        <f t="shared" ca="1" si="449"/>
        <v>0</v>
      </c>
      <c r="BZ183" s="353">
        <f t="shared" ca="1" si="450"/>
        <v>0</v>
      </c>
      <c r="CA183" s="353">
        <f t="shared" ca="1" si="451"/>
        <v>0</v>
      </c>
      <c r="CB183" s="353">
        <f t="shared" ca="1" si="452"/>
        <v>0</v>
      </c>
      <c r="CC183" s="353">
        <f t="shared" ca="1" si="453"/>
        <v>0</v>
      </c>
      <c r="CD183" s="353">
        <f t="shared" ca="1" si="454"/>
        <v>0</v>
      </c>
      <c r="CE183" s="302">
        <f t="shared" ca="1" si="455"/>
        <v>0</v>
      </c>
      <c r="CF183" s="299">
        <f t="shared" ca="1" si="456"/>
        <v>0</v>
      </c>
      <c r="CG183" s="299">
        <f t="shared" ca="1" si="457"/>
        <v>0</v>
      </c>
      <c r="CH183" s="299">
        <f t="shared" ca="1" si="458"/>
        <v>0</v>
      </c>
      <c r="CI183" s="299">
        <f t="shared" ca="1" si="459"/>
        <v>0</v>
      </c>
      <c r="CJ183" s="299">
        <f t="shared" ca="1" si="460"/>
        <v>0</v>
      </c>
      <c r="CK183" s="299">
        <f t="shared" ca="1" si="461"/>
        <v>0</v>
      </c>
      <c r="CL183" s="377" t="str">
        <f t="shared" ca="1" si="462"/>
        <v/>
      </c>
      <c r="CM183" s="305" t="str">
        <f t="shared" ca="1" si="463"/>
        <v/>
      </c>
      <c r="CN183" s="305" t="str">
        <f t="shared" ca="1" si="464"/>
        <v/>
      </c>
      <c r="CO183" s="305" t="str">
        <f t="shared" ca="1" si="465"/>
        <v/>
      </c>
      <c r="CP183" s="305" t="str">
        <f t="shared" ca="1" si="466"/>
        <v/>
      </c>
      <c r="CQ183" s="305" t="str">
        <f t="shared" ca="1" si="467"/>
        <v/>
      </c>
      <c r="CR183" s="775" t="str">
        <f t="shared" ca="1" si="468"/>
        <v/>
      </c>
      <c r="CS183" s="305" t="str">
        <f t="shared" ca="1" si="469"/>
        <v/>
      </c>
      <c r="CT183" s="305" t="str">
        <f t="shared" ca="1" si="470"/>
        <v/>
      </c>
      <c r="CU183" s="305" t="str">
        <f t="shared" ca="1" si="471"/>
        <v/>
      </c>
      <c r="CV183" s="770" t="str">
        <f t="shared" ca="1" si="472"/>
        <v/>
      </c>
      <c r="CW183" s="302">
        <f t="shared" ca="1" si="473"/>
        <v>0</v>
      </c>
      <c r="CX183" s="299">
        <f t="shared" ca="1" si="474"/>
        <v>0</v>
      </c>
      <c r="CY183" s="299">
        <f t="shared" ca="1" si="475"/>
        <v>0</v>
      </c>
      <c r="CZ183" s="299">
        <f t="shared" ca="1" si="476"/>
        <v>0</v>
      </c>
      <c r="DA183" s="774">
        <f t="shared" ca="1" si="477"/>
        <v>0</v>
      </c>
      <c r="DB183" s="303">
        <f t="shared" ca="1" si="478"/>
        <v>0</v>
      </c>
      <c r="DC183" s="248">
        <f t="shared" ca="1" si="479"/>
        <v>0</v>
      </c>
      <c r="DD183" s="778">
        <f t="shared" ca="1" si="480"/>
        <v>0</v>
      </c>
      <c r="DE183" s="363">
        <f t="shared" ca="1" si="481"/>
        <v>0</v>
      </c>
      <c r="DF183" s="378" t="str">
        <f t="shared" ca="1" si="482"/>
        <v/>
      </c>
      <c r="DG183" s="508" t="str">
        <f t="shared" ca="1" si="483"/>
        <v/>
      </c>
      <c r="DH183" s="508" t="str">
        <f t="shared" ca="1" si="484"/>
        <v/>
      </c>
      <c r="DI183" s="508" t="str">
        <f t="shared" ca="1" si="485"/>
        <v/>
      </c>
      <c r="DJ183" s="508" t="str">
        <f t="shared" ca="1" si="486"/>
        <v/>
      </c>
      <c r="DK183" s="353">
        <f t="shared" ca="1" si="487"/>
        <v>0</v>
      </c>
      <c r="DL183" s="781">
        <f t="shared" ca="1" si="488"/>
        <v>0</v>
      </c>
      <c r="DM183" s="303">
        <f t="shared" ca="1" si="489"/>
        <v>0</v>
      </c>
      <c r="DN183" s="508" t="str">
        <f t="shared" ca="1" si="490"/>
        <v/>
      </c>
      <c r="DO183" s="508" t="str">
        <f t="shared" ca="1" si="491"/>
        <v/>
      </c>
      <c r="DP183" s="508" t="str">
        <f t="shared" ca="1" si="492"/>
        <v/>
      </c>
      <c r="DQ183" s="508" t="str">
        <f t="shared" ca="1" si="493"/>
        <v/>
      </c>
      <c r="DR183" s="508" t="str">
        <f t="shared" ca="1" si="494"/>
        <v/>
      </c>
      <c r="DS183" s="353">
        <f t="shared" ca="1" si="495"/>
        <v>0</v>
      </c>
      <c r="DT183" s="353">
        <f t="shared" ca="1" si="496"/>
        <v>0</v>
      </c>
      <c r="DU183" s="380">
        <f t="shared" ca="1" si="596"/>
        <v>13.919233401779604</v>
      </c>
      <c r="DV183" s="303">
        <f t="shared" ca="1" si="497"/>
        <v>0</v>
      </c>
      <c r="DW183" s="303">
        <f t="shared" ca="1" si="498"/>
        <v>0</v>
      </c>
      <c r="DX183" s="303">
        <f t="shared" ca="1" si="499"/>
        <v>0</v>
      </c>
      <c r="DY183" s="303">
        <f t="shared" ca="1" si="500"/>
        <v>0</v>
      </c>
      <c r="DZ183" s="303">
        <f t="shared" ca="1" si="501"/>
        <v>0</v>
      </c>
      <c r="EA183" s="303">
        <f t="shared" ca="1" si="502"/>
        <v>0</v>
      </c>
      <c r="EB183" s="302">
        <f t="shared" ca="1" si="503"/>
        <v>0</v>
      </c>
      <c r="EC183" s="299">
        <f t="shared" ca="1" si="504"/>
        <v>0</v>
      </c>
      <c r="ED183" s="299">
        <f t="shared" ca="1" si="505"/>
        <v>0</v>
      </c>
      <c r="EE183" s="299">
        <f t="shared" ca="1" si="506"/>
        <v>0</v>
      </c>
      <c r="EF183" s="299">
        <f t="shared" ca="1" si="507"/>
        <v>0</v>
      </c>
      <c r="EG183" s="299">
        <f t="shared" ca="1" si="508"/>
        <v>0</v>
      </c>
      <c r="EH183" s="302">
        <f t="shared" ca="1" si="509"/>
        <v>0</v>
      </c>
      <c r="EI183" s="304" t="str">
        <f t="shared" ca="1" si="510"/>
        <v/>
      </c>
      <c r="EJ183" s="305" t="str">
        <f t="shared" ca="1" si="511"/>
        <v/>
      </c>
      <c r="EK183" s="305" t="str">
        <f t="shared" ca="1" si="512"/>
        <v/>
      </c>
      <c r="EL183" s="305" t="str">
        <f t="shared" ca="1" si="513"/>
        <v/>
      </c>
      <c r="EM183" s="305" t="str">
        <f t="shared" ca="1" si="514"/>
        <v/>
      </c>
      <c r="EN183" s="305" t="str">
        <f t="shared" ca="1" si="515"/>
        <v/>
      </c>
      <c r="EO183" s="305" t="str">
        <f t="shared" ca="1" si="516"/>
        <v/>
      </c>
      <c r="EP183" s="305" t="str">
        <f t="shared" ca="1" si="517"/>
        <v/>
      </c>
      <c r="EQ183" s="305" t="str">
        <f t="shared" ca="1" si="518"/>
        <v/>
      </c>
      <c r="ER183" s="305" t="str">
        <f t="shared" ca="1" si="519"/>
        <v/>
      </c>
      <c r="ES183" s="305" t="str">
        <f t="shared" ca="1" si="520"/>
        <v/>
      </c>
      <c r="ET183" s="299">
        <f t="shared" ca="1" si="521"/>
        <v>0</v>
      </c>
      <c r="EU183" s="302">
        <f t="shared" ca="1" si="522"/>
        <v>0</v>
      </c>
      <c r="EV183" s="304" t="str">
        <f t="shared" ca="1" si="523"/>
        <v/>
      </c>
      <c r="EW183" s="305" t="str">
        <f t="shared" ca="1" si="524"/>
        <v/>
      </c>
      <c r="EX183" s="305" t="str">
        <f t="shared" ca="1" si="525"/>
        <v/>
      </c>
      <c r="EY183" s="305" t="str">
        <f t="shared" ca="1" si="526"/>
        <v/>
      </c>
      <c r="EZ183" s="305" t="str">
        <f t="shared" ca="1" si="527"/>
        <v/>
      </c>
      <c r="FA183" s="305" t="str">
        <f t="shared" ca="1" si="528"/>
        <v/>
      </c>
      <c r="FB183" s="305" t="str">
        <f t="shared" ca="1" si="529"/>
        <v/>
      </c>
      <c r="FC183" s="305" t="str">
        <f t="shared" ca="1" si="530"/>
        <v/>
      </c>
      <c r="FD183" s="305" t="str">
        <f t="shared" ca="1" si="531"/>
        <v/>
      </c>
      <c r="FE183" s="305" t="str">
        <f t="shared" ca="1" si="532"/>
        <v/>
      </c>
      <c r="FF183" s="305" t="str">
        <f t="shared" ca="1" si="533"/>
        <v/>
      </c>
      <c r="FG183" s="299">
        <f t="shared" ca="1" si="534"/>
        <v>0</v>
      </c>
      <c r="FH183" s="302">
        <f t="shared" ca="1" si="535"/>
        <v>0</v>
      </c>
      <c r="FI183" s="248">
        <f t="shared" ca="1" si="536"/>
        <v>0</v>
      </c>
      <c r="FJ183" s="363">
        <f t="shared" ca="1" si="537"/>
        <v>0</v>
      </c>
      <c r="FK183" s="378" t="str">
        <f t="shared" ca="1" si="538"/>
        <v/>
      </c>
      <c r="FL183" s="508" t="str">
        <f t="shared" ca="1" si="539"/>
        <v/>
      </c>
      <c r="FM183" s="508" t="str">
        <f t="shared" ca="1" si="540"/>
        <v/>
      </c>
      <c r="FN183" s="508" t="str">
        <f t="shared" ca="1" si="541"/>
        <v/>
      </c>
      <c r="FO183" s="508" t="str">
        <f t="shared" ca="1" si="542"/>
        <v/>
      </c>
      <c r="FP183" s="353">
        <f t="shared" ca="1" si="543"/>
        <v>0</v>
      </c>
      <c r="FQ183" s="356">
        <f t="shared" ca="1" si="544"/>
        <v>0</v>
      </c>
      <c r="FR183" s="380">
        <f t="shared" ca="1" si="545"/>
        <v>0</v>
      </c>
      <c r="FS183" s="299">
        <f t="shared" ca="1" si="546"/>
        <v>0</v>
      </c>
      <c r="FT183" s="299">
        <f t="shared" ca="1" si="547"/>
        <v>0</v>
      </c>
      <c r="FU183" s="299">
        <f t="shared" ca="1" si="548"/>
        <v>0</v>
      </c>
      <c r="FV183" s="299">
        <f t="shared" ca="1" si="549"/>
        <v>0</v>
      </c>
      <c r="FW183" s="850" t="str">
        <f t="shared" ca="1" si="550"/>
        <v/>
      </c>
      <c r="FX183" s="851" t="str">
        <f t="shared" ca="1" si="551"/>
        <v/>
      </c>
      <c r="FY183" s="851" t="str">
        <f t="shared" ca="1" si="552"/>
        <v/>
      </c>
      <c r="FZ183" s="201" t="str">
        <f t="shared" ca="1" si="553"/>
        <v/>
      </c>
      <c r="GA183" s="201" t="str">
        <f t="shared" ca="1" si="554"/>
        <v/>
      </c>
      <c r="GB183" s="201" t="str">
        <f t="shared" ca="1" si="555"/>
        <v/>
      </c>
      <c r="GC183" s="201" t="str">
        <f t="shared" ca="1" si="556"/>
        <v/>
      </c>
      <c r="GD183" s="850" t="str">
        <f t="shared" ca="1" si="557"/>
        <v/>
      </c>
      <c r="GE183" s="866" t="str">
        <f t="shared" ca="1" si="558"/>
        <v/>
      </c>
      <c r="GF183" s="866" t="str">
        <f t="shared" ca="1" si="559"/>
        <v/>
      </c>
      <c r="GG183" s="866" t="str">
        <f t="shared" ca="1" si="560"/>
        <v/>
      </c>
      <c r="GH183" s="866" t="str">
        <f t="shared" ca="1" si="561"/>
        <v/>
      </c>
      <c r="GI183" s="302">
        <f t="shared" ca="1" si="562"/>
        <v>0</v>
      </c>
      <c r="GJ183" s="299">
        <f t="shared" ca="1" si="563"/>
        <v>0</v>
      </c>
      <c r="GK183" s="299">
        <f t="shared" ca="1" si="564"/>
        <v>0</v>
      </c>
      <c r="GL183" s="299">
        <f t="shared" ca="1" si="565"/>
        <v>0</v>
      </c>
      <c r="GM183" s="299">
        <f t="shared" ca="1" si="566"/>
        <v>0</v>
      </c>
      <c r="GN183" s="302">
        <f t="shared" ca="1" si="567"/>
        <v>0</v>
      </c>
      <c r="GO183" s="299">
        <f t="shared" ca="1" si="568"/>
        <v>0</v>
      </c>
      <c r="GP183" s="299">
        <f t="shared" ca="1" si="569"/>
        <v>0</v>
      </c>
      <c r="GQ183" s="299">
        <f t="shared" ca="1" si="570"/>
        <v>0</v>
      </c>
      <c r="GR183" s="299">
        <f t="shared" ca="1" si="571"/>
        <v>0</v>
      </c>
      <c r="GS183" s="302">
        <f t="shared" ca="1" si="572"/>
        <v>0</v>
      </c>
      <c r="GT183" s="299">
        <f t="shared" ca="1" si="573"/>
        <v>0</v>
      </c>
      <c r="GU183" s="299">
        <f t="shared" ca="1" si="574"/>
        <v>0</v>
      </c>
      <c r="GV183" s="299">
        <f t="shared" ca="1" si="575"/>
        <v>0</v>
      </c>
      <c r="GW183" s="299">
        <f t="shared" ca="1" si="576"/>
        <v>0</v>
      </c>
      <c r="GX183" s="303">
        <f t="shared" ca="1" si="577"/>
        <v>0</v>
      </c>
      <c r="GY183" s="303">
        <f t="shared" ca="1" si="578"/>
        <v>0</v>
      </c>
      <c r="GZ183" s="303">
        <f t="shared" ca="1" si="579"/>
        <v>0</v>
      </c>
      <c r="HA183" s="303">
        <f t="shared" ca="1" si="580"/>
        <v>0</v>
      </c>
      <c r="HB183" s="303">
        <f t="shared" ca="1" si="581"/>
        <v>0</v>
      </c>
      <c r="HC183" s="303">
        <f t="shared" ca="1" si="582"/>
        <v>0</v>
      </c>
      <c r="HD183" s="303">
        <f t="shared" ca="1" si="583"/>
        <v>0</v>
      </c>
      <c r="HE183" s="303">
        <f t="shared" ca="1" si="584"/>
        <v>0</v>
      </c>
      <c r="HF183" s="303">
        <f t="shared" ca="1" si="585"/>
        <v>0</v>
      </c>
      <c r="HG183" s="852">
        <f t="shared" ca="1" si="586"/>
        <v>0</v>
      </c>
    </row>
    <row r="184" spans="1:215" x14ac:dyDescent="0.25">
      <c r="A184" s="244">
        <f t="shared" ca="1" si="587"/>
        <v>41699</v>
      </c>
      <c r="B184" s="13">
        <f t="shared" ca="1" si="617"/>
        <v>2014</v>
      </c>
      <c r="C184" s="619">
        <f t="shared" ca="1" si="618"/>
        <v>3</v>
      </c>
      <c r="D184" s="195" t="str">
        <f t="shared" ca="1" si="417"/>
        <v/>
      </c>
      <c r="E184" s="469" t="str">
        <f t="shared" ca="1" si="418"/>
        <v/>
      </c>
      <c r="F184" s="465" t="str">
        <f t="shared" ca="1" si="419"/>
        <v/>
      </c>
      <c r="G184" s="522">
        <f t="shared" ca="1" si="588"/>
        <v>1</v>
      </c>
      <c r="H184" s="519">
        <f t="shared" ca="1" si="589"/>
        <v>1</v>
      </c>
      <c r="I184" s="724">
        <f t="shared" ca="1" si="619"/>
        <v>7.419079366091999E-2</v>
      </c>
      <c r="J184" s="198">
        <f t="shared" ca="1" si="421"/>
        <v>0.3571701991835125</v>
      </c>
      <c r="K184" s="200">
        <f t="shared" ca="1" si="597"/>
        <v>33.85</v>
      </c>
      <c r="L184" s="201">
        <f t="shared" ca="1" si="598"/>
        <v>34.9</v>
      </c>
      <c r="M184" s="206">
        <f t="shared" ca="1" si="599"/>
        <v>35.950000000000003</v>
      </c>
      <c r="N184" s="851">
        <f t="shared" ca="1" si="603"/>
        <v>22.247249603271474</v>
      </c>
      <c r="O184" s="201">
        <f t="shared" ca="1" si="604"/>
        <v>23.034749603271475</v>
      </c>
      <c r="P184" s="206">
        <f t="shared" ca="1" si="605"/>
        <v>23.822249603271477</v>
      </c>
      <c r="Q184" s="201">
        <f t="shared" ca="1" si="606"/>
        <v>18.364498901367178</v>
      </c>
      <c r="R184" s="201">
        <f t="shared" ca="1" si="607"/>
        <v>22.664498901367178</v>
      </c>
      <c r="S184" s="201">
        <f t="shared" ca="1" si="608"/>
        <v>26.964498901367179</v>
      </c>
      <c r="T184" s="851">
        <f t="shared" ca="1" si="600"/>
        <v>20.27499961853027</v>
      </c>
      <c r="U184" s="201">
        <f t="shared" ca="1" si="601"/>
        <v>20.799999618530268</v>
      </c>
      <c r="V184" s="206">
        <f t="shared" ca="1" si="602"/>
        <v>21.324999618530267</v>
      </c>
      <c r="W184" s="230">
        <f t="shared" ca="1" si="590"/>
        <v>6.8203912539723216E-2</v>
      </c>
      <c r="X184" s="231">
        <f t="shared" ca="1" si="591"/>
        <v>0.13640782507944643</v>
      </c>
      <c r="Y184" s="232">
        <f t="shared" ca="1" si="592"/>
        <v>0.20461173761916965</v>
      </c>
      <c r="Z184" s="231">
        <f t="shared" ca="1" si="612"/>
        <v>6.8203912539723216E-2</v>
      </c>
      <c r="AA184" s="231">
        <f t="shared" ca="1" si="613"/>
        <v>0.13640782507944643</v>
      </c>
      <c r="AB184" s="232">
        <f t="shared" ca="1" si="614"/>
        <v>0.20461173761916965</v>
      </c>
      <c r="AC184" s="231">
        <f t="shared" ca="1" si="615"/>
        <v>6.8203912539723216E-2</v>
      </c>
      <c r="AD184" s="231">
        <f t="shared" ca="1" si="616"/>
        <v>0.13640782507944643</v>
      </c>
      <c r="AE184" s="232">
        <f t="shared" ca="1" si="422"/>
        <v>0.20461173761916965</v>
      </c>
      <c r="AF184" s="231">
        <f t="shared" ca="1" si="593"/>
        <v>2.260925824424705E-2</v>
      </c>
      <c r="AG184" s="231">
        <f t="shared" ca="1" si="594"/>
        <v>4.52185164884941E-2</v>
      </c>
      <c r="AH184" s="232">
        <f t="shared" ca="1" si="595"/>
        <v>6.7827774732741153E-2</v>
      </c>
      <c r="AI184" s="233">
        <f t="shared" ca="1" si="423"/>
        <v>1.05</v>
      </c>
      <c r="AJ184" s="233">
        <f t="shared" ca="1" si="424"/>
        <v>1.3</v>
      </c>
      <c r="AK184" s="234">
        <f t="shared" ca="1" si="425"/>
        <v>1.6</v>
      </c>
      <c r="AL184" s="919">
        <f t="shared" ca="1" si="426"/>
        <v>1.05</v>
      </c>
      <c r="AM184" s="233">
        <f t="shared" ca="1" si="427"/>
        <v>1.3</v>
      </c>
      <c r="AN184" s="234">
        <f t="shared" ca="1" si="428"/>
        <v>1.6</v>
      </c>
      <c r="AO184" s="233">
        <f t="shared" ca="1" si="429"/>
        <v>1.05</v>
      </c>
      <c r="AP184" s="233">
        <f t="shared" ca="1" si="430"/>
        <v>1.3</v>
      </c>
      <c r="AQ184" s="233">
        <f t="shared" ca="1" si="431"/>
        <v>1.6</v>
      </c>
      <c r="AR184" s="919">
        <f t="shared" ca="1" si="432"/>
        <v>0.19999999999999998</v>
      </c>
      <c r="AS184" s="233">
        <f t="shared" ca="1" si="433"/>
        <v>0.35</v>
      </c>
      <c r="AT184" s="235">
        <f t="shared" ca="1" si="434"/>
        <v>0.55000000000000004</v>
      </c>
      <c r="AU184" s="946">
        <f t="shared" si="435"/>
        <v>0.5</v>
      </c>
      <c r="AV184" s="13">
        <f t="shared" ca="1" si="436"/>
        <v>0</v>
      </c>
      <c r="AW184" s="210">
        <f t="shared" ca="1" si="437"/>
        <v>0</v>
      </c>
      <c r="AX184" s="210">
        <f t="shared" ca="1" si="438"/>
        <v>0</v>
      </c>
      <c r="AY184" s="210">
        <f t="shared" ca="1" si="439"/>
        <v>0</v>
      </c>
      <c r="AZ184" s="13">
        <f t="shared" ca="1" si="440"/>
        <v>0</v>
      </c>
      <c r="BA184" s="357">
        <f ca="1"/>
        <v>0</v>
      </c>
      <c r="BB184" s="925">
        <f ca="1"/>
        <v>0</v>
      </c>
      <c r="BC184" s="925">
        <f ca="1"/>
        <v>0</v>
      </c>
      <c r="BD184" s="928">
        <f ca="1"/>
        <v>0</v>
      </c>
      <c r="BE184" s="200">
        <f ca="1"/>
        <v>0</v>
      </c>
      <c r="BF184" s="851">
        <f ca="1"/>
        <v>0</v>
      </c>
      <c r="BG184" s="851">
        <f ca="1"/>
        <v>0</v>
      </c>
      <c r="BH184" s="933">
        <f ca="1"/>
        <v>0</v>
      </c>
      <c r="BI184" s="357">
        <f ca="1"/>
        <v>0</v>
      </c>
      <c r="BJ184" s="925">
        <f ca="1"/>
        <v>0</v>
      </c>
      <c r="BK184" s="925">
        <f ca="1"/>
        <v>0</v>
      </c>
      <c r="BL184" s="928">
        <f ca="1"/>
        <v>0</v>
      </c>
      <c r="BM184" s="200">
        <f ca="1"/>
        <v>0</v>
      </c>
      <c r="BN184" s="851">
        <f ca="1"/>
        <v>0</v>
      </c>
      <c r="BO184" s="851">
        <f ca="1"/>
        <v>0</v>
      </c>
      <c r="BP184" s="933">
        <f ca="1"/>
        <v>0</v>
      </c>
      <c r="BQ184" s="357">
        <f t="shared" ca="1" si="441"/>
        <v>0</v>
      </c>
      <c r="BR184" s="361">
        <f t="shared" ca="1" si="442"/>
        <v>0</v>
      </c>
      <c r="BS184" s="357">
        <f t="shared" ca="1" si="443"/>
        <v>0</v>
      </c>
      <c r="BT184" s="302">
        <f t="shared" ca="1" si="444"/>
        <v>0</v>
      </c>
      <c r="BU184" s="299">
        <f t="shared" ca="1" si="445"/>
        <v>0</v>
      </c>
      <c r="BV184" s="299">
        <f t="shared" ca="1" si="446"/>
        <v>0</v>
      </c>
      <c r="BW184" s="299">
        <f t="shared" ca="1" si="447"/>
        <v>0</v>
      </c>
      <c r="BX184" s="380">
        <f t="shared" ca="1" si="448"/>
        <v>13.995893223819301</v>
      </c>
      <c r="BY184" s="363">
        <f t="shared" ca="1" si="449"/>
        <v>0</v>
      </c>
      <c r="BZ184" s="353">
        <f t="shared" ca="1" si="450"/>
        <v>0</v>
      </c>
      <c r="CA184" s="353">
        <f t="shared" ca="1" si="451"/>
        <v>0</v>
      </c>
      <c r="CB184" s="353">
        <f t="shared" ca="1" si="452"/>
        <v>0</v>
      </c>
      <c r="CC184" s="353">
        <f t="shared" ca="1" si="453"/>
        <v>0</v>
      </c>
      <c r="CD184" s="353">
        <f t="shared" ca="1" si="454"/>
        <v>0</v>
      </c>
      <c r="CE184" s="302">
        <f t="shared" ca="1" si="455"/>
        <v>0</v>
      </c>
      <c r="CF184" s="299">
        <f t="shared" ca="1" si="456"/>
        <v>0</v>
      </c>
      <c r="CG184" s="299">
        <f t="shared" ca="1" si="457"/>
        <v>0</v>
      </c>
      <c r="CH184" s="299">
        <f t="shared" ca="1" si="458"/>
        <v>0</v>
      </c>
      <c r="CI184" s="299">
        <f t="shared" ca="1" si="459"/>
        <v>0</v>
      </c>
      <c r="CJ184" s="299">
        <f t="shared" ca="1" si="460"/>
        <v>0</v>
      </c>
      <c r="CK184" s="299">
        <f t="shared" ca="1" si="461"/>
        <v>0</v>
      </c>
      <c r="CL184" s="377" t="str">
        <f t="shared" ca="1" si="462"/>
        <v/>
      </c>
      <c r="CM184" s="305" t="str">
        <f t="shared" ca="1" si="463"/>
        <v/>
      </c>
      <c r="CN184" s="305" t="str">
        <f t="shared" ca="1" si="464"/>
        <v/>
      </c>
      <c r="CO184" s="305" t="str">
        <f t="shared" ca="1" si="465"/>
        <v/>
      </c>
      <c r="CP184" s="305" t="str">
        <f t="shared" ca="1" si="466"/>
        <v/>
      </c>
      <c r="CQ184" s="305" t="str">
        <f t="shared" ca="1" si="467"/>
        <v/>
      </c>
      <c r="CR184" s="775" t="str">
        <f t="shared" ca="1" si="468"/>
        <v/>
      </c>
      <c r="CS184" s="305" t="str">
        <f t="shared" ca="1" si="469"/>
        <v/>
      </c>
      <c r="CT184" s="305" t="str">
        <f t="shared" ca="1" si="470"/>
        <v/>
      </c>
      <c r="CU184" s="305" t="str">
        <f t="shared" ca="1" si="471"/>
        <v/>
      </c>
      <c r="CV184" s="770" t="str">
        <f t="shared" ca="1" si="472"/>
        <v/>
      </c>
      <c r="CW184" s="302">
        <f t="shared" ca="1" si="473"/>
        <v>0</v>
      </c>
      <c r="CX184" s="299">
        <f t="shared" ca="1" si="474"/>
        <v>0</v>
      </c>
      <c r="CY184" s="299">
        <f t="shared" ca="1" si="475"/>
        <v>0</v>
      </c>
      <c r="CZ184" s="299">
        <f t="shared" ca="1" si="476"/>
        <v>0</v>
      </c>
      <c r="DA184" s="774">
        <f t="shared" ca="1" si="477"/>
        <v>0</v>
      </c>
      <c r="DB184" s="303">
        <f t="shared" ca="1" si="478"/>
        <v>0</v>
      </c>
      <c r="DC184" s="248">
        <f t="shared" ca="1" si="479"/>
        <v>0</v>
      </c>
      <c r="DD184" s="778">
        <f t="shared" ca="1" si="480"/>
        <v>0</v>
      </c>
      <c r="DE184" s="363">
        <f t="shared" ca="1" si="481"/>
        <v>0</v>
      </c>
      <c r="DF184" s="378" t="str">
        <f t="shared" ca="1" si="482"/>
        <v/>
      </c>
      <c r="DG184" s="508" t="str">
        <f t="shared" ca="1" si="483"/>
        <v/>
      </c>
      <c r="DH184" s="508" t="str">
        <f t="shared" ca="1" si="484"/>
        <v/>
      </c>
      <c r="DI184" s="508" t="str">
        <f t="shared" ca="1" si="485"/>
        <v/>
      </c>
      <c r="DJ184" s="508" t="str">
        <f t="shared" ca="1" si="486"/>
        <v/>
      </c>
      <c r="DK184" s="353">
        <f t="shared" ca="1" si="487"/>
        <v>0</v>
      </c>
      <c r="DL184" s="781">
        <f t="shared" ca="1" si="488"/>
        <v>0</v>
      </c>
      <c r="DM184" s="303">
        <f t="shared" ca="1" si="489"/>
        <v>0</v>
      </c>
      <c r="DN184" s="508" t="str">
        <f t="shared" ca="1" si="490"/>
        <v/>
      </c>
      <c r="DO184" s="508" t="str">
        <f t="shared" ca="1" si="491"/>
        <v/>
      </c>
      <c r="DP184" s="508" t="str">
        <f t="shared" ca="1" si="492"/>
        <v/>
      </c>
      <c r="DQ184" s="508" t="str">
        <f t="shared" ca="1" si="493"/>
        <v/>
      </c>
      <c r="DR184" s="508" t="str">
        <f t="shared" ca="1" si="494"/>
        <v/>
      </c>
      <c r="DS184" s="353">
        <f t="shared" ca="1" si="495"/>
        <v>0</v>
      </c>
      <c r="DT184" s="353">
        <f t="shared" ca="1" si="496"/>
        <v>0</v>
      </c>
      <c r="DU184" s="380">
        <f t="shared" ca="1" si="596"/>
        <v>13.995893223819301</v>
      </c>
      <c r="DV184" s="303">
        <f t="shared" ca="1" si="497"/>
        <v>0</v>
      </c>
      <c r="DW184" s="303">
        <f t="shared" ca="1" si="498"/>
        <v>0</v>
      </c>
      <c r="DX184" s="303">
        <f t="shared" ca="1" si="499"/>
        <v>0</v>
      </c>
      <c r="DY184" s="303">
        <f t="shared" ca="1" si="500"/>
        <v>0</v>
      </c>
      <c r="DZ184" s="303">
        <f t="shared" ca="1" si="501"/>
        <v>0</v>
      </c>
      <c r="EA184" s="303">
        <f t="shared" ca="1" si="502"/>
        <v>0</v>
      </c>
      <c r="EB184" s="302">
        <f t="shared" ca="1" si="503"/>
        <v>0</v>
      </c>
      <c r="EC184" s="299">
        <f t="shared" ca="1" si="504"/>
        <v>0</v>
      </c>
      <c r="ED184" s="299">
        <f t="shared" ca="1" si="505"/>
        <v>0</v>
      </c>
      <c r="EE184" s="299">
        <f t="shared" ca="1" si="506"/>
        <v>0</v>
      </c>
      <c r="EF184" s="299">
        <f t="shared" ca="1" si="507"/>
        <v>0</v>
      </c>
      <c r="EG184" s="299">
        <f t="shared" ca="1" si="508"/>
        <v>0</v>
      </c>
      <c r="EH184" s="302">
        <f t="shared" ca="1" si="509"/>
        <v>0</v>
      </c>
      <c r="EI184" s="304" t="str">
        <f t="shared" ca="1" si="510"/>
        <v/>
      </c>
      <c r="EJ184" s="305" t="str">
        <f t="shared" ca="1" si="511"/>
        <v/>
      </c>
      <c r="EK184" s="305" t="str">
        <f t="shared" ca="1" si="512"/>
        <v/>
      </c>
      <c r="EL184" s="305" t="str">
        <f t="shared" ca="1" si="513"/>
        <v/>
      </c>
      <c r="EM184" s="305" t="str">
        <f t="shared" ca="1" si="514"/>
        <v/>
      </c>
      <c r="EN184" s="305" t="str">
        <f t="shared" ca="1" si="515"/>
        <v/>
      </c>
      <c r="EO184" s="305" t="str">
        <f t="shared" ca="1" si="516"/>
        <v/>
      </c>
      <c r="EP184" s="305" t="str">
        <f t="shared" ca="1" si="517"/>
        <v/>
      </c>
      <c r="EQ184" s="305" t="str">
        <f t="shared" ca="1" si="518"/>
        <v/>
      </c>
      <c r="ER184" s="305" t="str">
        <f t="shared" ca="1" si="519"/>
        <v/>
      </c>
      <c r="ES184" s="305" t="str">
        <f t="shared" ca="1" si="520"/>
        <v/>
      </c>
      <c r="ET184" s="299">
        <f t="shared" ca="1" si="521"/>
        <v>0</v>
      </c>
      <c r="EU184" s="302">
        <f t="shared" ca="1" si="522"/>
        <v>0</v>
      </c>
      <c r="EV184" s="304" t="str">
        <f t="shared" ca="1" si="523"/>
        <v/>
      </c>
      <c r="EW184" s="305" t="str">
        <f t="shared" ca="1" si="524"/>
        <v/>
      </c>
      <c r="EX184" s="305" t="str">
        <f t="shared" ca="1" si="525"/>
        <v/>
      </c>
      <c r="EY184" s="305" t="str">
        <f t="shared" ca="1" si="526"/>
        <v/>
      </c>
      <c r="EZ184" s="305" t="str">
        <f t="shared" ca="1" si="527"/>
        <v/>
      </c>
      <c r="FA184" s="305" t="str">
        <f t="shared" ca="1" si="528"/>
        <v/>
      </c>
      <c r="FB184" s="305" t="str">
        <f t="shared" ca="1" si="529"/>
        <v/>
      </c>
      <c r="FC184" s="305" t="str">
        <f t="shared" ca="1" si="530"/>
        <v/>
      </c>
      <c r="FD184" s="305" t="str">
        <f t="shared" ca="1" si="531"/>
        <v/>
      </c>
      <c r="FE184" s="305" t="str">
        <f t="shared" ca="1" si="532"/>
        <v/>
      </c>
      <c r="FF184" s="305" t="str">
        <f t="shared" ca="1" si="533"/>
        <v/>
      </c>
      <c r="FG184" s="299">
        <f t="shared" ca="1" si="534"/>
        <v>0</v>
      </c>
      <c r="FH184" s="302">
        <f t="shared" ca="1" si="535"/>
        <v>0</v>
      </c>
      <c r="FI184" s="248">
        <f t="shared" ca="1" si="536"/>
        <v>0</v>
      </c>
      <c r="FJ184" s="363">
        <f t="shared" ca="1" si="537"/>
        <v>0</v>
      </c>
      <c r="FK184" s="378" t="str">
        <f t="shared" ca="1" si="538"/>
        <v/>
      </c>
      <c r="FL184" s="508" t="str">
        <f t="shared" ca="1" si="539"/>
        <v/>
      </c>
      <c r="FM184" s="508" t="str">
        <f t="shared" ca="1" si="540"/>
        <v/>
      </c>
      <c r="FN184" s="508" t="str">
        <f t="shared" ca="1" si="541"/>
        <v/>
      </c>
      <c r="FO184" s="508" t="str">
        <f t="shared" ca="1" si="542"/>
        <v/>
      </c>
      <c r="FP184" s="353">
        <f t="shared" ca="1" si="543"/>
        <v>0</v>
      </c>
      <c r="FQ184" s="356">
        <f t="shared" ca="1" si="544"/>
        <v>0</v>
      </c>
      <c r="FR184" s="380">
        <f t="shared" ca="1" si="545"/>
        <v>0</v>
      </c>
      <c r="FS184" s="299">
        <f t="shared" ca="1" si="546"/>
        <v>0</v>
      </c>
      <c r="FT184" s="299">
        <f t="shared" ca="1" si="547"/>
        <v>0</v>
      </c>
      <c r="FU184" s="299">
        <f t="shared" ca="1" si="548"/>
        <v>0</v>
      </c>
      <c r="FV184" s="299">
        <f t="shared" ca="1" si="549"/>
        <v>0</v>
      </c>
      <c r="FW184" s="850" t="str">
        <f t="shared" ca="1" si="550"/>
        <v/>
      </c>
      <c r="FX184" s="851" t="str">
        <f t="shared" ca="1" si="551"/>
        <v/>
      </c>
      <c r="FY184" s="851" t="str">
        <f t="shared" ca="1" si="552"/>
        <v/>
      </c>
      <c r="FZ184" s="201" t="str">
        <f t="shared" ca="1" si="553"/>
        <v/>
      </c>
      <c r="GA184" s="201" t="str">
        <f t="shared" ca="1" si="554"/>
        <v/>
      </c>
      <c r="GB184" s="201" t="str">
        <f t="shared" ca="1" si="555"/>
        <v/>
      </c>
      <c r="GC184" s="201" t="str">
        <f t="shared" ca="1" si="556"/>
        <v/>
      </c>
      <c r="GD184" s="850" t="str">
        <f t="shared" ca="1" si="557"/>
        <v/>
      </c>
      <c r="GE184" s="866" t="str">
        <f t="shared" ca="1" si="558"/>
        <v/>
      </c>
      <c r="GF184" s="866" t="str">
        <f t="shared" ca="1" si="559"/>
        <v/>
      </c>
      <c r="GG184" s="866" t="str">
        <f t="shared" ca="1" si="560"/>
        <v/>
      </c>
      <c r="GH184" s="866" t="str">
        <f t="shared" ca="1" si="561"/>
        <v/>
      </c>
      <c r="GI184" s="302">
        <f t="shared" ca="1" si="562"/>
        <v>0</v>
      </c>
      <c r="GJ184" s="299">
        <f t="shared" ca="1" si="563"/>
        <v>0</v>
      </c>
      <c r="GK184" s="299">
        <f t="shared" ca="1" si="564"/>
        <v>0</v>
      </c>
      <c r="GL184" s="299">
        <f t="shared" ca="1" si="565"/>
        <v>0</v>
      </c>
      <c r="GM184" s="299">
        <f t="shared" ca="1" si="566"/>
        <v>0</v>
      </c>
      <c r="GN184" s="302">
        <f t="shared" ca="1" si="567"/>
        <v>0</v>
      </c>
      <c r="GO184" s="299">
        <f t="shared" ca="1" si="568"/>
        <v>0</v>
      </c>
      <c r="GP184" s="299">
        <f t="shared" ca="1" si="569"/>
        <v>0</v>
      </c>
      <c r="GQ184" s="299">
        <f t="shared" ca="1" si="570"/>
        <v>0</v>
      </c>
      <c r="GR184" s="299">
        <f t="shared" ca="1" si="571"/>
        <v>0</v>
      </c>
      <c r="GS184" s="302">
        <f t="shared" ca="1" si="572"/>
        <v>0</v>
      </c>
      <c r="GT184" s="299">
        <f t="shared" ca="1" si="573"/>
        <v>0</v>
      </c>
      <c r="GU184" s="299">
        <f t="shared" ca="1" si="574"/>
        <v>0</v>
      </c>
      <c r="GV184" s="299">
        <f t="shared" ca="1" si="575"/>
        <v>0</v>
      </c>
      <c r="GW184" s="299">
        <f t="shared" ca="1" si="576"/>
        <v>0</v>
      </c>
      <c r="GX184" s="303">
        <f t="shared" ca="1" si="577"/>
        <v>0</v>
      </c>
      <c r="GY184" s="303">
        <f t="shared" ca="1" si="578"/>
        <v>0</v>
      </c>
      <c r="GZ184" s="303">
        <f t="shared" ca="1" si="579"/>
        <v>0</v>
      </c>
      <c r="HA184" s="303">
        <f t="shared" ca="1" si="580"/>
        <v>0</v>
      </c>
      <c r="HB184" s="303">
        <f t="shared" ca="1" si="581"/>
        <v>0</v>
      </c>
      <c r="HC184" s="303">
        <f t="shared" ca="1" si="582"/>
        <v>0</v>
      </c>
      <c r="HD184" s="303">
        <f t="shared" ca="1" si="583"/>
        <v>0</v>
      </c>
      <c r="HE184" s="303">
        <f t="shared" ca="1" si="584"/>
        <v>0</v>
      </c>
      <c r="HF184" s="303">
        <f t="shared" ca="1" si="585"/>
        <v>0</v>
      </c>
      <c r="HG184" s="852">
        <f t="shared" ca="1" si="586"/>
        <v>0</v>
      </c>
    </row>
    <row r="185" spans="1:215" x14ac:dyDescent="0.25">
      <c r="A185" s="244">
        <f t="shared" ca="1" si="587"/>
        <v>41730</v>
      </c>
      <c r="B185" s="13">
        <f t="shared" ca="1" si="617"/>
        <v>2014</v>
      </c>
      <c r="C185" s="619">
        <f t="shared" ca="1" si="618"/>
        <v>4</v>
      </c>
      <c r="D185" s="195" t="str">
        <f t="shared" ca="1" si="417"/>
        <v/>
      </c>
      <c r="E185" s="469" t="str">
        <f t="shared" ca="1" si="418"/>
        <v/>
      </c>
      <c r="F185" s="465" t="str">
        <f t="shared" ca="1" si="419"/>
        <v/>
      </c>
      <c r="G185" s="522">
        <f t="shared" ca="1" si="588"/>
        <v>1</v>
      </c>
      <c r="H185" s="519">
        <f t="shared" ca="1" si="589"/>
        <v>1</v>
      </c>
      <c r="I185" s="724">
        <f t="shared" ca="1" si="619"/>
        <v>7.4190498943039002E-2</v>
      </c>
      <c r="J185" s="198">
        <f t="shared" ca="1" si="421"/>
        <v>0.35504092373454543</v>
      </c>
      <c r="K185" s="200">
        <f t="shared" ca="1" si="597"/>
        <v>32.75</v>
      </c>
      <c r="L185" s="201">
        <f t="shared" ca="1" si="598"/>
        <v>33.65</v>
      </c>
      <c r="M185" s="206">
        <f t="shared" ca="1" si="599"/>
        <v>34.549999999999997</v>
      </c>
      <c r="N185" s="851">
        <f t="shared" ca="1" si="603"/>
        <v>23.042500305175771</v>
      </c>
      <c r="O185" s="201">
        <f t="shared" ca="1" si="604"/>
        <v>23.717500305175772</v>
      </c>
      <c r="P185" s="206">
        <f t="shared" ca="1" si="605"/>
        <v>24.392500305175773</v>
      </c>
      <c r="Q185" s="201">
        <f t="shared" ca="1" si="606"/>
        <v>18.134999084472646</v>
      </c>
      <c r="R185" s="201">
        <f t="shared" ca="1" si="607"/>
        <v>22.434999084472647</v>
      </c>
      <c r="S185" s="201">
        <f t="shared" ca="1" si="608"/>
        <v>26.734999084472648</v>
      </c>
      <c r="T185" s="851">
        <f t="shared" ca="1" si="600"/>
        <v>20.349997711181636</v>
      </c>
      <c r="U185" s="201">
        <f t="shared" ca="1" si="601"/>
        <v>20.799997711181636</v>
      </c>
      <c r="V185" s="206">
        <f t="shared" ca="1" si="602"/>
        <v>21.249997711181635</v>
      </c>
      <c r="W185" s="230">
        <f t="shared" ca="1" si="590"/>
        <v>6.0869537524867283E-2</v>
      </c>
      <c r="X185" s="231">
        <f t="shared" ca="1" si="591"/>
        <v>0.12173907504973457</v>
      </c>
      <c r="Y185" s="232">
        <f t="shared" ca="1" si="592"/>
        <v>0.18260861257460184</v>
      </c>
      <c r="Z185" s="231">
        <f t="shared" ca="1" si="612"/>
        <v>6.0869537524867283E-2</v>
      </c>
      <c r="AA185" s="231">
        <f t="shared" ca="1" si="613"/>
        <v>0.12173907504973457</v>
      </c>
      <c r="AB185" s="232">
        <f t="shared" ca="1" si="614"/>
        <v>0.18260861257460184</v>
      </c>
      <c r="AC185" s="231">
        <f t="shared" ca="1" si="615"/>
        <v>6.0869537524867283E-2</v>
      </c>
      <c r="AD185" s="231">
        <f t="shared" ca="1" si="616"/>
        <v>0.12173907504973457</v>
      </c>
      <c r="AE185" s="232">
        <f t="shared" ca="1" si="422"/>
        <v>0.18260861257460184</v>
      </c>
      <c r="AF185" s="231">
        <f t="shared" ca="1" si="593"/>
        <v>2.260925824424705E-2</v>
      </c>
      <c r="AG185" s="231">
        <f t="shared" ca="1" si="594"/>
        <v>4.52185164884941E-2</v>
      </c>
      <c r="AH185" s="232">
        <f t="shared" ca="1" si="595"/>
        <v>6.7827774732741153E-2</v>
      </c>
      <c r="AI185" s="233">
        <f t="shared" ca="1" si="423"/>
        <v>0.85000000000000009</v>
      </c>
      <c r="AJ185" s="233">
        <f t="shared" ca="1" si="424"/>
        <v>1.1000000000000001</v>
      </c>
      <c r="AK185" s="234">
        <f t="shared" ca="1" si="425"/>
        <v>1.4000000000000001</v>
      </c>
      <c r="AL185" s="919">
        <f t="shared" ca="1" si="426"/>
        <v>0.85000000000000009</v>
      </c>
      <c r="AM185" s="233">
        <f t="shared" ca="1" si="427"/>
        <v>1.1000000000000001</v>
      </c>
      <c r="AN185" s="234">
        <f t="shared" ca="1" si="428"/>
        <v>1.4000000000000001</v>
      </c>
      <c r="AO185" s="233">
        <f t="shared" ca="1" si="429"/>
        <v>0.85000000000000009</v>
      </c>
      <c r="AP185" s="233">
        <f t="shared" ca="1" si="430"/>
        <v>1.1000000000000001</v>
      </c>
      <c r="AQ185" s="233">
        <f t="shared" ca="1" si="431"/>
        <v>1.4000000000000001</v>
      </c>
      <c r="AR185" s="919">
        <f t="shared" ca="1" si="432"/>
        <v>0.19999999999999998</v>
      </c>
      <c r="AS185" s="233">
        <f t="shared" ca="1" si="433"/>
        <v>0.35</v>
      </c>
      <c r="AT185" s="235">
        <f t="shared" ca="1" si="434"/>
        <v>0.55000000000000004</v>
      </c>
      <c r="AU185" s="946">
        <f t="shared" si="435"/>
        <v>0.5</v>
      </c>
      <c r="AV185" s="13">
        <f t="shared" ca="1" si="436"/>
        <v>0</v>
      </c>
      <c r="AW185" s="210">
        <f t="shared" ca="1" si="437"/>
        <v>0</v>
      </c>
      <c r="AX185" s="210">
        <f t="shared" ca="1" si="438"/>
        <v>0</v>
      </c>
      <c r="AY185" s="210">
        <f t="shared" ca="1" si="439"/>
        <v>0</v>
      </c>
      <c r="AZ185" s="13">
        <f t="shared" ca="1" si="440"/>
        <v>0</v>
      </c>
      <c r="BA185" s="357">
        <f ca="1"/>
        <v>0</v>
      </c>
      <c r="BB185" s="925">
        <f ca="1"/>
        <v>0</v>
      </c>
      <c r="BC185" s="925">
        <f ca="1"/>
        <v>0</v>
      </c>
      <c r="BD185" s="928">
        <f ca="1"/>
        <v>0</v>
      </c>
      <c r="BE185" s="200">
        <f ca="1"/>
        <v>0</v>
      </c>
      <c r="BF185" s="851">
        <f ca="1"/>
        <v>0</v>
      </c>
      <c r="BG185" s="851">
        <f ca="1"/>
        <v>0</v>
      </c>
      <c r="BH185" s="933">
        <f ca="1"/>
        <v>0</v>
      </c>
      <c r="BI185" s="357">
        <f ca="1"/>
        <v>0</v>
      </c>
      <c r="BJ185" s="925">
        <f ca="1"/>
        <v>0</v>
      </c>
      <c r="BK185" s="925">
        <f ca="1"/>
        <v>0</v>
      </c>
      <c r="BL185" s="928">
        <f ca="1"/>
        <v>0</v>
      </c>
      <c r="BM185" s="200">
        <f ca="1"/>
        <v>0</v>
      </c>
      <c r="BN185" s="851">
        <f ca="1"/>
        <v>0</v>
      </c>
      <c r="BO185" s="851">
        <f ca="1"/>
        <v>0</v>
      </c>
      <c r="BP185" s="933">
        <f ca="1"/>
        <v>0</v>
      </c>
      <c r="BQ185" s="357">
        <f t="shared" ca="1" si="441"/>
        <v>0</v>
      </c>
      <c r="BR185" s="361">
        <f t="shared" ca="1" si="442"/>
        <v>0</v>
      </c>
      <c r="BS185" s="357">
        <f t="shared" ca="1" si="443"/>
        <v>0</v>
      </c>
      <c r="BT185" s="302">
        <f t="shared" ca="1" si="444"/>
        <v>0</v>
      </c>
      <c r="BU185" s="299">
        <f t="shared" ca="1" si="445"/>
        <v>0</v>
      </c>
      <c r="BV185" s="299">
        <f t="shared" ca="1" si="446"/>
        <v>0</v>
      </c>
      <c r="BW185" s="299">
        <f t="shared" ca="1" si="447"/>
        <v>0</v>
      </c>
      <c r="BX185" s="380">
        <f t="shared" ca="1" si="448"/>
        <v>14.080766598220396</v>
      </c>
      <c r="BY185" s="363">
        <f t="shared" ca="1" si="449"/>
        <v>0</v>
      </c>
      <c r="BZ185" s="353">
        <f t="shared" ca="1" si="450"/>
        <v>0</v>
      </c>
      <c r="CA185" s="353">
        <f t="shared" ca="1" si="451"/>
        <v>0</v>
      </c>
      <c r="CB185" s="353">
        <f t="shared" ca="1" si="452"/>
        <v>0</v>
      </c>
      <c r="CC185" s="353">
        <f t="shared" ca="1" si="453"/>
        <v>0</v>
      </c>
      <c r="CD185" s="353">
        <f t="shared" ca="1" si="454"/>
        <v>0</v>
      </c>
      <c r="CE185" s="302">
        <f t="shared" ca="1" si="455"/>
        <v>0</v>
      </c>
      <c r="CF185" s="299">
        <f t="shared" ca="1" si="456"/>
        <v>0</v>
      </c>
      <c r="CG185" s="299">
        <f t="shared" ca="1" si="457"/>
        <v>0</v>
      </c>
      <c r="CH185" s="299">
        <f t="shared" ca="1" si="458"/>
        <v>0</v>
      </c>
      <c r="CI185" s="299">
        <f t="shared" ca="1" si="459"/>
        <v>0</v>
      </c>
      <c r="CJ185" s="299">
        <f t="shared" ca="1" si="460"/>
        <v>0</v>
      </c>
      <c r="CK185" s="299">
        <f t="shared" ca="1" si="461"/>
        <v>0</v>
      </c>
      <c r="CL185" s="377" t="str">
        <f t="shared" ca="1" si="462"/>
        <v/>
      </c>
      <c r="CM185" s="305" t="str">
        <f t="shared" ca="1" si="463"/>
        <v/>
      </c>
      <c r="CN185" s="305" t="str">
        <f t="shared" ca="1" si="464"/>
        <v/>
      </c>
      <c r="CO185" s="305" t="str">
        <f t="shared" ca="1" si="465"/>
        <v/>
      </c>
      <c r="CP185" s="305" t="str">
        <f t="shared" ca="1" si="466"/>
        <v/>
      </c>
      <c r="CQ185" s="305" t="str">
        <f t="shared" ca="1" si="467"/>
        <v/>
      </c>
      <c r="CR185" s="775" t="str">
        <f t="shared" ca="1" si="468"/>
        <v/>
      </c>
      <c r="CS185" s="305" t="str">
        <f t="shared" ca="1" si="469"/>
        <v/>
      </c>
      <c r="CT185" s="305" t="str">
        <f t="shared" ca="1" si="470"/>
        <v/>
      </c>
      <c r="CU185" s="305" t="str">
        <f t="shared" ca="1" si="471"/>
        <v/>
      </c>
      <c r="CV185" s="770" t="str">
        <f t="shared" ca="1" si="472"/>
        <v/>
      </c>
      <c r="CW185" s="302">
        <f t="shared" ca="1" si="473"/>
        <v>0</v>
      </c>
      <c r="CX185" s="299">
        <f t="shared" ca="1" si="474"/>
        <v>0</v>
      </c>
      <c r="CY185" s="299">
        <f t="shared" ca="1" si="475"/>
        <v>0</v>
      </c>
      <c r="CZ185" s="299">
        <f t="shared" ca="1" si="476"/>
        <v>0</v>
      </c>
      <c r="DA185" s="774">
        <f t="shared" ca="1" si="477"/>
        <v>0</v>
      </c>
      <c r="DB185" s="303">
        <f t="shared" ca="1" si="478"/>
        <v>0</v>
      </c>
      <c r="DC185" s="248">
        <f t="shared" ca="1" si="479"/>
        <v>0</v>
      </c>
      <c r="DD185" s="778">
        <f t="shared" ca="1" si="480"/>
        <v>0</v>
      </c>
      <c r="DE185" s="363">
        <f t="shared" ca="1" si="481"/>
        <v>0</v>
      </c>
      <c r="DF185" s="378" t="str">
        <f t="shared" ca="1" si="482"/>
        <v/>
      </c>
      <c r="DG185" s="508" t="str">
        <f t="shared" ca="1" si="483"/>
        <v/>
      </c>
      <c r="DH185" s="508" t="str">
        <f t="shared" ca="1" si="484"/>
        <v/>
      </c>
      <c r="DI185" s="508" t="str">
        <f t="shared" ca="1" si="485"/>
        <v/>
      </c>
      <c r="DJ185" s="508" t="str">
        <f t="shared" ca="1" si="486"/>
        <v/>
      </c>
      <c r="DK185" s="353">
        <f t="shared" ca="1" si="487"/>
        <v>0</v>
      </c>
      <c r="DL185" s="781">
        <f t="shared" ca="1" si="488"/>
        <v>0</v>
      </c>
      <c r="DM185" s="303">
        <f t="shared" ca="1" si="489"/>
        <v>0</v>
      </c>
      <c r="DN185" s="508" t="str">
        <f t="shared" ca="1" si="490"/>
        <v/>
      </c>
      <c r="DO185" s="508" t="str">
        <f t="shared" ca="1" si="491"/>
        <v/>
      </c>
      <c r="DP185" s="508" t="str">
        <f t="shared" ca="1" si="492"/>
        <v/>
      </c>
      <c r="DQ185" s="508" t="str">
        <f t="shared" ca="1" si="493"/>
        <v/>
      </c>
      <c r="DR185" s="508" t="str">
        <f t="shared" ca="1" si="494"/>
        <v/>
      </c>
      <c r="DS185" s="353">
        <f t="shared" ca="1" si="495"/>
        <v>0</v>
      </c>
      <c r="DT185" s="353">
        <f t="shared" ca="1" si="496"/>
        <v>0</v>
      </c>
      <c r="DU185" s="380">
        <f t="shared" ca="1" si="596"/>
        <v>14.080766598220396</v>
      </c>
      <c r="DV185" s="303">
        <f t="shared" ca="1" si="497"/>
        <v>0</v>
      </c>
      <c r="DW185" s="303">
        <f t="shared" ca="1" si="498"/>
        <v>0</v>
      </c>
      <c r="DX185" s="303">
        <f t="shared" ca="1" si="499"/>
        <v>0</v>
      </c>
      <c r="DY185" s="303">
        <f t="shared" ca="1" si="500"/>
        <v>0</v>
      </c>
      <c r="DZ185" s="303">
        <f t="shared" ca="1" si="501"/>
        <v>0</v>
      </c>
      <c r="EA185" s="303">
        <f t="shared" ca="1" si="502"/>
        <v>0</v>
      </c>
      <c r="EB185" s="302">
        <f t="shared" ca="1" si="503"/>
        <v>0</v>
      </c>
      <c r="EC185" s="299">
        <f t="shared" ca="1" si="504"/>
        <v>0</v>
      </c>
      <c r="ED185" s="299">
        <f t="shared" ca="1" si="505"/>
        <v>0</v>
      </c>
      <c r="EE185" s="299">
        <f t="shared" ca="1" si="506"/>
        <v>0</v>
      </c>
      <c r="EF185" s="299">
        <f t="shared" ca="1" si="507"/>
        <v>0</v>
      </c>
      <c r="EG185" s="299">
        <f t="shared" ca="1" si="508"/>
        <v>0</v>
      </c>
      <c r="EH185" s="302">
        <f t="shared" ca="1" si="509"/>
        <v>0</v>
      </c>
      <c r="EI185" s="304" t="str">
        <f t="shared" ca="1" si="510"/>
        <v/>
      </c>
      <c r="EJ185" s="305" t="str">
        <f t="shared" ca="1" si="511"/>
        <v/>
      </c>
      <c r="EK185" s="305" t="str">
        <f t="shared" ca="1" si="512"/>
        <v/>
      </c>
      <c r="EL185" s="305" t="str">
        <f t="shared" ca="1" si="513"/>
        <v/>
      </c>
      <c r="EM185" s="305" t="str">
        <f t="shared" ca="1" si="514"/>
        <v/>
      </c>
      <c r="EN185" s="305" t="str">
        <f t="shared" ca="1" si="515"/>
        <v/>
      </c>
      <c r="EO185" s="305" t="str">
        <f t="shared" ca="1" si="516"/>
        <v/>
      </c>
      <c r="EP185" s="305" t="str">
        <f t="shared" ca="1" si="517"/>
        <v/>
      </c>
      <c r="EQ185" s="305" t="str">
        <f t="shared" ca="1" si="518"/>
        <v/>
      </c>
      <c r="ER185" s="305" t="str">
        <f t="shared" ca="1" si="519"/>
        <v/>
      </c>
      <c r="ES185" s="305" t="str">
        <f t="shared" ca="1" si="520"/>
        <v/>
      </c>
      <c r="ET185" s="299">
        <f t="shared" ca="1" si="521"/>
        <v>0</v>
      </c>
      <c r="EU185" s="302">
        <f t="shared" ca="1" si="522"/>
        <v>0</v>
      </c>
      <c r="EV185" s="304" t="str">
        <f t="shared" ca="1" si="523"/>
        <v/>
      </c>
      <c r="EW185" s="305" t="str">
        <f t="shared" ca="1" si="524"/>
        <v/>
      </c>
      <c r="EX185" s="305" t="str">
        <f t="shared" ca="1" si="525"/>
        <v/>
      </c>
      <c r="EY185" s="305" t="str">
        <f t="shared" ca="1" si="526"/>
        <v/>
      </c>
      <c r="EZ185" s="305" t="str">
        <f t="shared" ca="1" si="527"/>
        <v/>
      </c>
      <c r="FA185" s="305" t="str">
        <f t="shared" ca="1" si="528"/>
        <v/>
      </c>
      <c r="FB185" s="305" t="str">
        <f t="shared" ca="1" si="529"/>
        <v/>
      </c>
      <c r="FC185" s="305" t="str">
        <f t="shared" ca="1" si="530"/>
        <v/>
      </c>
      <c r="FD185" s="305" t="str">
        <f t="shared" ca="1" si="531"/>
        <v/>
      </c>
      <c r="FE185" s="305" t="str">
        <f t="shared" ca="1" si="532"/>
        <v/>
      </c>
      <c r="FF185" s="305" t="str">
        <f t="shared" ca="1" si="533"/>
        <v/>
      </c>
      <c r="FG185" s="299">
        <f t="shared" ca="1" si="534"/>
        <v>0</v>
      </c>
      <c r="FH185" s="302">
        <f t="shared" ca="1" si="535"/>
        <v>0</v>
      </c>
      <c r="FI185" s="248">
        <f t="shared" ca="1" si="536"/>
        <v>0</v>
      </c>
      <c r="FJ185" s="363">
        <f t="shared" ca="1" si="537"/>
        <v>0</v>
      </c>
      <c r="FK185" s="378" t="str">
        <f t="shared" ca="1" si="538"/>
        <v/>
      </c>
      <c r="FL185" s="508" t="str">
        <f t="shared" ca="1" si="539"/>
        <v/>
      </c>
      <c r="FM185" s="508" t="str">
        <f t="shared" ca="1" si="540"/>
        <v/>
      </c>
      <c r="FN185" s="508" t="str">
        <f t="shared" ca="1" si="541"/>
        <v/>
      </c>
      <c r="FO185" s="508" t="str">
        <f t="shared" ca="1" si="542"/>
        <v/>
      </c>
      <c r="FP185" s="353">
        <f t="shared" ca="1" si="543"/>
        <v>0</v>
      </c>
      <c r="FQ185" s="356">
        <f t="shared" ca="1" si="544"/>
        <v>0</v>
      </c>
      <c r="FR185" s="380">
        <f t="shared" ca="1" si="545"/>
        <v>0</v>
      </c>
      <c r="FS185" s="299">
        <f t="shared" ca="1" si="546"/>
        <v>0</v>
      </c>
      <c r="FT185" s="299">
        <f t="shared" ca="1" si="547"/>
        <v>0</v>
      </c>
      <c r="FU185" s="299">
        <f t="shared" ca="1" si="548"/>
        <v>0</v>
      </c>
      <c r="FV185" s="299">
        <f t="shared" ca="1" si="549"/>
        <v>0</v>
      </c>
      <c r="FW185" s="850" t="str">
        <f t="shared" ca="1" si="550"/>
        <v/>
      </c>
      <c r="FX185" s="851" t="str">
        <f t="shared" ca="1" si="551"/>
        <v/>
      </c>
      <c r="FY185" s="851" t="str">
        <f t="shared" ca="1" si="552"/>
        <v/>
      </c>
      <c r="FZ185" s="201" t="str">
        <f t="shared" ca="1" si="553"/>
        <v/>
      </c>
      <c r="GA185" s="201" t="str">
        <f t="shared" ca="1" si="554"/>
        <v/>
      </c>
      <c r="GB185" s="201" t="str">
        <f t="shared" ca="1" si="555"/>
        <v/>
      </c>
      <c r="GC185" s="201" t="str">
        <f t="shared" ca="1" si="556"/>
        <v/>
      </c>
      <c r="GD185" s="850" t="str">
        <f t="shared" ca="1" si="557"/>
        <v/>
      </c>
      <c r="GE185" s="866" t="str">
        <f t="shared" ca="1" si="558"/>
        <v/>
      </c>
      <c r="GF185" s="866" t="str">
        <f t="shared" ca="1" si="559"/>
        <v/>
      </c>
      <c r="GG185" s="866" t="str">
        <f t="shared" ca="1" si="560"/>
        <v/>
      </c>
      <c r="GH185" s="866" t="str">
        <f t="shared" ca="1" si="561"/>
        <v/>
      </c>
      <c r="GI185" s="302">
        <f t="shared" ca="1" si="562"/>
        <v>0</v>
      </c>
      <c r="GJ185" s="299">
        <f t="shared" ca="1" si="563"/>
        <v>0</v>
      </c>
      <c r="GK185" s="299">
        <f t="shared" ca="1" si="564"/>
        <v>0</v>
      </c>
      <c r="GL185" s="299">
        <f t="shared" ca="1" si="565"/>
        <v>0</v>
      </c>
      <c r="GM185" s="299">
        <f t="shared" ca="1" si="566"/>
        <v>0</v>
      </c>
      <c r="GN185" s="302">
        <f t="shared" ca="1" si="567"/>
        <v>0</v>
      </c>
      <c r="GO185" s="299">
        <f t="shared" ca="1" si="568"/>
        <v>0</v>
      </c>
      <c r="GP185" s="299">
        <f t="shared" ca="1" si="569"/>
        <v>0</v>
      </c>
      <c r="GQ185" s="299">
        <f t="shared" ca="1" si="570"/>
        <v>0</v>
      </c>
      <c r="GR185" s="299">
        <f t="shared" ca="1" si="571"/>
        <v>0</v>
      </c>
      <c r="GS185" s="302">
        <f t="shared" ca="1" si="572"/>
        <v>0</v>
      </c>
      <c r="GT185" s="299">
        <f t="shared" ca="1" si="573"/>
        <v>0</v>
      </c>
      <c r="GU185" s="299">
        <f t="shared" ca="1" si="574"/>
        <v>0</v>
      </c>
      <c r="GV185" s="299">
        <f t="shared" ca="1" si="575"/>
        <v>0</v>
      </c>
      <c r="GW185" s="299">
        <f t="shared" ca="1" si="576"/>
        <v>0</v>
      </c>
      <c r="GX185" s="303">
        <f t="shared" ca="1" si="577"/>
        <v>0</v>
      </c>
      <c r="GY185" s="303">
        <f t="shared" ca="1" si="578"/>
        <v>0</v>
      </c>
      <c r="GZ185" s="303">
        <f t="shared" ca="1" si="579"/>
        <v>0</v>
      </c>
      <c r="HA185" s="303">
        <f t="shared" ca="1" si="580"/>
        <v>0</v>
      </c>
      <c r="HB185" s="303">
        <f t="shared" ca="1" si="581"/>
        <v>0</v>
      </c>
      <c r="HC185" s="303">
        <f t="shared" ca="1" si="582"/>
        <v>0</v>
      </c>
      <c r="HD185" s="303">
        <f t="shared" ca="1" si="583"/>
        <v>0</v>
      </c>
      <c r="HE185" s="303">
        <f t="shared" ca="1" si="584"/>
        <v>0</v>
      </c>
      <c r="HF185" s="303">
        <f t="shared" ca="1" si="585"/>
        <v>0</v>
      </c>
      <c r="HG185" s="852">
        <f t="shared" ca="1" si="586"/>
        <v>0</v>
      </c>
    </row>
    <row r="186" spans="1:215" x14ac:dyDescent="0.25">
      <c r="A186" s="244">
        <f t="shared" ca="1" si="587"/>
        <v>41760</v>
      </c>
      <c r="B186" s="13">
        <f t="shared" ca="1" si="617"/>
        <v>2014</v>
      </c>
      <c r="C186" s="619">
        <f t="shared" ca="1" si="618"/>
        <v>5</v>
      </c>
      <c r="D186" s="195">
        <f t="shared" ca="1" si="417"/>
        <v>41785</v>
      </c>
      <c r="E186" s="469" t="str">
        <f t="shared" ca="1" si="418"/>
        <v/>
      </c>
      <c r="F186" s="465" t="str">
        <f t="shared" ca="1" si="419"/>
        <v/>
      </c>
      <c r="G186" s="522">
        <f t="shared" ca="1" si="588"/>
        <v>1</v>
      </c>
      <c r="H186" s="519">
        <f t="shared" ca="1" si="589"/>
        <v>1</v>
      </c>
      <c r="I186" s="724">
        <f t="shared" ca="1" si="619"/>
        <v>7.4190213732186011E-2</v>
      </c>
      <c r="J186" s="198">
        <f t="shared" ca="1" si="421"/>
        <v>0.3528539302520185</v>
      </c>
      <c r="K186" s="200">
        <f t="shared" ca="1" si="597"/>
        <v>34.17</v>
      </c>
      <c r="L186" s="201">
        <f t="shared" ca="1" si="598"/>
        <v>36.65</v>
      </c>
      <c r="M186" s="206">
        <f t="shared" ca="1" si="599"/>
        <v>39.130000000000003</v>
      </c>
      <c r="N186" s="851">
        <f t="shared" ca="1" si="603"/>
        <v>21.972500076293937</v>
      </c>
      <c r="O186" s="201">
        <f t="shared" ca="1" si="604"/>
        <v>23.832500076293936</v>
      </c>
      <c r="P186" s="206">
        <f t="shared" ca="1" si="605"/>
        <v>25.692500076293936</v>
      </c>
      <c r="Q186" s="201">
        <f t="shared" ca="1" si="606"/>
        <v>18.664999771118154</v>
      </c>
      <c r="R186" s="201">
        <f t="shared" ca="1" si="607"/>
        <v>22.964999771118155</v>
      </c>
      <c r="S186" s="201">
        <f t="shared" ca="1" si="608"/>
        <v>27.264999771118156</v>
      </c>
      <c r="T186" s="851">
        <f t="shared" ca="1" si="600"/>
        <v>19.559997711181637</v>
      </c>
      <c r="U186" s="201">
        <f t="shared" ca="1" si="601"/>
        <v>20.799997711181636</v>
      </c>
      <c r="V186" s="206">
        <f t="shared" ca="1" si="602"/>
        <v>22.039997711181634</v>
      </c>
      <c r="W186" s="230">
        <f t="shared" ca="1" si="590"/>
        <v>7.0109695023898383E-2</v>
      </c>
      <c r="X186" s="231">
        <f t="shared" ca="1" si="591"/>
        <v>0.14021939004779677</v>
      </c>
      <c r="Y186" s="232">
        <f t="shared" ca="1" si="592"/>
        <v>0.21032908507169515</v>
      </c>
      <c r="Z186" s="231">
        <f t="shared" ca="1" si="612"/>
        <v>7.0109695023898383E-2</v>
      </c>
      <c r="AA186" s="231">
        <f t="shared" ca="1" si="613"/>
        <v>0.14021939004779677</v>
      </c>
      <c r="AB186" s="232">
        <f t="shared" ca="1" si="614"/>
        <v>0.21032908507169515</v>
      </c>
      <c r="AC186" s="231">
        <f t="shared" ca="1" si="615"/>
        <v>7.0109695023898383E-2</v>
      </c>
      <c r="AD186" s="231">
        <f t="shared" ca="1" si="616"/>
        <v>0.14021939004779677</v>
      </c>
      <c r="AE186" s="232">
        <f t="shared" ca="1" si="422"/>
        <v>0.21032908507169515</v>
      </c>
      <c r="AF186" s="231">
        <f t="shared" ca="1" si="593"/>
        <v>2.6377467951621568E-2</v>
      </c>
      <c r="AG186" s="231">
        <f t="shared" ca="1" si="594"/>
        <v>5.2754935903243136E-2</v>
      </c>
      <c r="AH186" s="232">
        <f t="shared" ca="1" si="595"/>
        <v>7.9132403854864697E-2</v>
      </c>
      <c r="AI186" s="233">
        <f t="shared" ca="1" si="423"/>
        <v>0.85000000000000009</v>
      </c>
      <c r="AJ186" s="233">
        <f t="shared" ca="1" si="424"/>
        <v>1.1000000000000001</v>
      </c>
      <c r="AK186" s="234">
        <f t="shared" ca="1" si="425"/>
        <v>1.4000000000000001</v>
      </c>
      <c r="AL186" s="919">
        <f t="shared" ca="1" si="426"/>
        <v>0.85000000000000009</v>
      </c>
      <c r="AM186" s="233">
        <f t="shared" ca="1" si="427"/>
        <v>1.1000000000000001</v>
      </c>
      <c r="AN186" s="234">
        <f t="shared" ca="1" si="428"/>
        <v>1.4000000000000001</v>
      </c>
      <c r="AO186" s="233">
        <f t="shared" ca="1" si="429"/>
        <v>0.85000000000000009</v>
      </c>
      <c r="AP186" s="233">
        <f t="shared" ca="1" si="430"/>
        <v>1.1000000000000001</v>
      </c>
      <c r="AQ186" s="233">
        <f t="shared" ca="1" si="431"/>
        <v>1.4000000000000001</v>
      </c>
      <c r="AR186" s="919">
        <f t="shared" ca="1" si="432"/>
        <v>0.35</v>
      </c>
      <c r="AS186" s="233">
        <f t="shared" ca="1" si="433"/>
        <v>0.5</v>
      </c>
      <c r="AT186" s="235">
        <f t="shared" ca="1" si="434"/>
        <v>0.7</v>
      </c>
      <c r="AU186" s="946">
        <f t="shared" si="435"/>
        <v>0.5</v>
      </c>
      <c r="AV186" s="13">
        <f t="shared" ca="1" si="436"/>
        <v>0</v>
      </c>
      <c r="AW186" s="210">
        <f t="shared" ca="1" si="437"/>
        <v>0</v>
      </c>
      <c r="AX186" s="210">
        <f t="shared" ca="1" si="438"/>
        <v>0</v>
      </c>
      <c r="AY186" s="210">
        <f t="shared" ca="1" si="439"/>
        <v>0</v>
      </c>
      <c r="AZ186" s="13">
        <f t="shared" ca="1" si="440"/>
        <v>0</v>
      </c>
      <c r="BA186" s="357">
        <f ca="1"/>
        <v>0</v>
      </c>
      <c r="BB186" s="925">
        <f ca="1"/>
        <v>0</v>
      </c>
      <c r="BC186" s="925">
        <f ca="1"/>
        <v>0</v>
      </c>
      <c r="BD186" s="928">
        <f ca="1"/>
        <v>0</v>
      </c>
      <c r="BE186" s="200">
        <f ca="1"/>
        <v>0</v>
      </c>
      <c r="BF186" s="851">
        <f ca="1"/>
        <v>0</v>
      </c>
      <c r="BG186" s="851">
        <f ca="1"/>
        <v>0</v>
      </c>
      <c r="BH186" s="933">
        <f ca="1"/>
        <v>0</v>
      </c>
      <c r="BI186" s="357">
        <f ca="1"/>
        <v>0</v>
      </c>
      <c r="BJ186" s="925">
        <f ca="1"/>
        <v>0</v>
      </c>
      <c r="BK186" s="925">
        <f ca="1"/>
        <v>0</v>
      </c>
      <c r="BL186" s="928">
        <f ca="1"/>
        <v>0</v>
      </c>
      <c r="BM186" s="200">
        <f ca="1"/>
        <v>0</v>
      </c>
      <c r="BN186" s="851">
        <f ca="1"/>
        <v>0</v>
      </c>
      <c r="BO186" s="851">
        <f ca="1"/>
        <v>0</v>
      </c>
      <c r="BP186" s="933">
        <f ca="1"/>
        <v>0</v>
      </c>
      <c r="BQ186" s="357">
        <f t="shared" ca="1" si="441"/>
        <v>0</v>
      </c>
      <c r="BR186" s="361">
        <f t="shared" ca="1" si="442"/>
        <v>0</v>
      </c>
      <c r="BS186" s="357">
        <f t="shared" ca="1" si="443"/>
        <v>0</v>
      </c>
      <c r="BT186" s="302">
        <f t="shared" ca="1" si="444"/>
        <v>0</v>
      </c>
      <c r="BU186" s="299">
        <f t="shared" ca="1" si="445"/>
        <v>0</v>
      </c>
      <c r="BV186" s="299">
        <f t="shared" ca="1" si="446"/>
        <v>0</v>
      </c>
      <c r="BW186" s="299">
        <f t="shared" ca="1" si="447"/>
        <v>0</v>
      </c>
      <c r="BX186" s="380">
        <f t="shared" ca="1" si="448"/>
        <v>14.16290212183436</v>
      </c>
      <c r="BY186" s="363">
        <f t="shared" ca="1" si="449"/>
        <v>0</v>
      </c>
      <c r="BZ186" s="353">
        <f t="shared" ca="1" si="450"/>
        <v>0</v>
      </c>
      <c r="CA186" s="353">
        <f t="shared" ca="1" si="451"/>
        <v>0</v>
      </c>
      <c r="CB186" s="353">
        <f t="shared" ca="1" si="452"/>
        <v>0</v>
      </c>
      <c r="CC186" s="353">
        <f t="shared" ca="1" si="453"/>
        <v>0</v>
      </c>
      <c r="CD186" s="353">
        <f t="shared" ca="1" si="454"/>
        <v>0</v>
      </c>
      <c r="CE186" s="302">
        <f t="shared" ca="1" si="455"/>
        <v>0</v>
      </c>
      <c r="CF186" s="299">
        <f t="shared" ca="1" si="456"/>
        <v>0</v>
      </c>
      <c r="CG186" s="299">
        <f t="shared" ca="1" si="457"/>
        <v>0</v>
      </c>
      <c r="CH186" s="299">
        <f t="shared" ca="1" si="458"/>
        <v>0</v>
      </c>
      <c r="CI186" s="299">
        <f t="shared" ca="1" si="459"/>
        <v>0</v>
      </c>
      <c r="CJ186" s="299">
        <f t="shared" ca="1" si="460"/>
        <v>0</v>
      </c>
      <c r="CK186" s="299">
        <f t="shared" ca="1" si="461"/>
        <v>0</v>
      </c>
      <c r="CL186" s="377" t="str">
        <f t="shared" ca="1" si="462"/>
        <v/>
      </c>
      <c r="CM186" s="305" t="str">
        <f t="shared" ca="1" si="463"/>
        <v/>
      </c>
      <c r="CN186" s="305" t="str">
        <f t="shared" ca="1" si="464"/>
        <v/>
      </c>
      <c r="CO186" s="305" t="str">
        <f t="shared" ca="1" si="465"/>
        <v/>
      </c>
      <c r="CP186" s="305" t="str">
        <f t="shared" ca="1" si="466"/>
        <v/>
      </c>
      <c r="CQ186" s="305" t="str">
        <f t="shared" ca="1" si="467"/>
        <v/>
      </c>
      <c r="CR186" s="775" t="str">
        <f t="shared" ca="1" si="468"/>
        <v/>
      </c>
      <c r="CS186" s="305" t="str">
        <f t="shared" ca="1" si="469"/>
        <v/>
      </c>
      <c r="CT186" s="305" t="str">
        <f t="shared" ca="1" si="470"/>
        <v/>
      </c>
      <c r="CU186" s="305" t="str">
        <f t="shared" ca="1" si="471"/>
        <v/>
      </c>
      <c r="CV186" s="770" t="str">
        <f t="shared" ca="1" si="472"/>
        <v/>
      </c>
      <c r="CW186" s="302">
        <f t="shared" ca="1" si="473"/>
        <v>0</v>
      </c>
      <c r="CX186" s="299">
        <f t="shared" ca="1" si="474"/>
        <v>0</v>
      </c>
      <c r="CY186" s="299">
        <f t="shared" ca="1" si="475"/>
        <v>0</v>
      </c>
      <c r="CZ186" s="299">
        <f t="shared" ca="1" si="476"/>
        <v>0</v>
      </c>
      <c r="DA186" s="774">
        <f t="shared" ca="1" si="477"/>
        <v>0</v>
      </c>
      <c r="DB186" s="303">
        <f t="shared" ca="1" si="478"/>
        <v>0</v>
      </c>
      <c r="DC186" s="248">
        <f t="shared" ca="1" si="479"/>
        <v>0</v>
      </c>
      <c r="DD186" s="778">
        <f t="shared" ca="1" si="480"/>
        <v>0</v>
      </c>
      <c r="DE186" s="363">
        <f t="shared" ca="1" si="481"/>
        <v>0</v>
      </c>
      <c r="DF186" s="378" t="str">
        <f t="shared" ca="1" si="482"/>
        <v/>
      </c>
      <c r="DG186" s="508" t="str">
        <f t="shared" ca="1" si="483"/>
        <v/>
      </c>
      <c r="DH186" s="508" t="str">
        <f t="shared" ca="1" si="484"/>
        <v/>
      </c>
      <c r="DI186" s="508" t="str">
        <f t="shared" ca="1" si="485"/>
        <v/>
      </c>
      <c r="DJ186" s="508" t="str">
        <f t="shared" ca="1" si="486"/>
        <v/>
      </c>
      <c r="DK186" s="353">
        <f t="shared" ca="1" si="487"/>
        <v>0</v>
      </c>
      <c r="DL186" s="781">
        <f t="shared" ca="1" si="488"/>
        <v>0</v>
      </c>
      <c r="DM186" s="303">
        <f t="shared" ca="1" si="489"/>
        <v>0</v>
      </c>
      <c r="DN186" s="508" t="str">
        <f t="shared" ca="1" si="490"/>
        <v/>
      </c>
      <c r="DO186" s="508" t="str">
        <f t="shared" ca="1" si="491"/>
        <v/>
      </c>
      <c r="DP186" s="508" t="str">
        <f t="shared" ca="1" si="492"/>
        <v/>
      </c>
      <c r="DQ186" s="508" t="str">
        <f t="shared" ca="1" si="493"/>
        <v/>
      </c>
      <c r="DR186" s="508" t="str">
        <f t="shared" ca="1" si="494"/>
        <v/>
      </c>
      <c r="DS186" s="353">
        <f t="shared" ca="1" si="495"/>
        <v>0</v>
      </c>
      <c r="DT186" s="353">
        <f t="shared" ca="1" si="496"/>
        <v>0</v>
      </c>
      <c r="DU186" s="380">
        <f t="shared" ca="1" si="596"/>
        <v>14.16290212183436</v>
      </c>
      <c r="DV186" s="303">
        <f t="shared" ca="1" si="497"/>
        <v>0</v>
      </c>
      <c r="DW186" s="303">
        <f t="shared" ca="1" si="498"/>
        <v>0</v>
      </c>
      <c r="DX186" s="303">
        <f t="shared" ca="1" si="499"/>
        <v>0</v>
      </c>
      <c r="DY186" s="303">
        <f t="shared" ca="1" si="500"/>
        <v>0</v>
      </c>
      <c r="DZ186" s="303">
        <f t="shared" ca="1" si="501"/>
        <v>0</v>
      </c>
      <c r="EA186" s="303">
        <f t="shared" ca="1" si="502"/>
        <v>0</v>
      </c>
      <c r="EB186" s="302">
        <f t="shared" ca="1" si="503"/>
        <v>0</v>
      </c>
      <c r="EC186" s="299">
        <f t="shared" ca="1" si="504"/>
        <v>0</v>
      </c>
      <c r="ED186" s="299">
        <f t="shared" ca="1" si="505"/>
        <v>0</v>
      </c>
      <c r="EE186" s="299">
        <f t="shared" ca="1" si="506"/>
        <v>0</v>
      </c>
      <c r="EF186" s="299">
        <f t="shared" ca="1" si="507"/>
        <v>0</v>
      </c>
      <c r="EG186" s="299">
        <f t="shared" ca="1" si="508"/>
        <v>0</v>
      </c>
      <c r="EH186" s="302">
        <f t="shared" ca="1" si="509"/>
        <v>0</v>
      </c>
      <c r="EI186" s="304" t="str">
        <f t="shared" ca="1" si="510"/>
        <v/>
      </c>
      <c r="EJ186" s="305" t="str">
        <f t="shared" ca="1" si="511"/>
        <v/>
      </c>
      <c r="EK186" s="305" t="str">
        <f t="shared" ca="1" si="512"/>
        <v/>
      </c>
      <c r="EL186" s="305" t="str">
        <f t="shared" ca="1" si="513"/>
        <v/>
      </c>
      <c r="EM186" s="305" t="str">
        <f t="shared" ca="1" si="514"/>
        <v/>
      </c>
      <c r="EN186" s="305" t="str">
        <f t="shared" ca="1" si="515"/>
        <v/>
      </c>
      <c r="EO186" s="305" t="str">
        <f t="shared" ca="1" si="516"/>
        <v/>
      </c>
      <c r="EP186" s="305" t="str">
        <f t="shared" ca="1" si="517"/>
        <v/>
      </c>
      <c r="EQ186" s="305" t="str">
        <f t="shared" ca="1" si="518"/>
        <v/>
      </c>
      <c r="ER186" s="305" t="str">
        <f t="shared" ca="1" si="519"/>
        <v/>
      </c>
      <c r="ES186" s="305" t="str">
        <f t="shared" ca="1" si="520"/>
        <v/>
      </c>
      <c r="ET186" s="299">
        <f t="shared" ca="1" si="521"/>
        <v>0</v>
      </c>
      <c r="EU186" s="302">
        <f t="shared" ca="1" si="522"/>
        <v>0</v>
      </c>
      <c r="EV186" s="304" t="str">
        <f t="shared" ca="1" si="523"/>
        <v/>
      </c>
      <c r="EW186" s="305" t="str">
        <f t="shared" ca="1" si="524"/>
        <v/>
      </c>
      <c r="EX186" s="305" t="str">
        <f t="shared" ca="1" si="525"/>
        <v/>
      </c>
      <c r="EY186" s="305" t="str">
        <f t="shared" ca="1" si="526"/>
        <v/>
      </c>
      <c r="EZ186" s="305" t="str">
        <f t="shared" ca="1" si="527"/>
        <v/>
      </c>
      <c r="FA186" s="305" t="str">
        <f t="shared" ca="1" si="528"/>
        <v/>
      </c>
      <c r="FB186" s="305" t="str">
        <f t="shared" ca="1" si="529"/>
        <v/>
      </c>
      <c r="FC186" s="305" t="str">
        <f t="shared" ca="1" si="530"/>
        <v/>
      </c>
      <c r="FD186" s="305" t="str">
        <f t="shared" ca="1" si="531"/>
        <v/>
      </c>
      <c r="FE186" s="305" t="str">
        <f t="shared" ca="1" si="532"/>
        <v/>
      </c>
      <c r="FF186" s="305" t="str">
        <f t="shared" ca="1" si="533"/>
        <v/>
      </c>
      <c r="FG186" s="299">
        <f t="shared" ca="1" si="534"/>
        <v>0</v>
      </c>
      <c r="FH186" s="302">
        <f t="shared" ca="1" si="535"/>
        <v>0</v>
      </c>
      <c r="FI186" s="248">
        <f t="shared" ca="1" si="536"/>
        <v>0</v>
      </c>
      <c r="FJ186" s="363">
        <f t="shared" ca="1" si="537"/>
        <v>0</v>
      </c>
      <c r="FK186" s="378" t="str">
        <f t="shared" ca="1" si="538"/>
        <v/>
      </c>
      <c r="FL186" s="508" t="str">
        <f t="shared" ca="1" si="539"/>
        <v/>
      </c>
      <c r="FM186" s="508" t="str">
        <f t="shared" ca="1" si="540"/>
        <v/>
      </c>
      <c r="FN186" s="508" t="str">
        <f t="shared" ca="1" si="541"/>
        <v/>
      </c>
      <c r="FO186" s="508" t="str">
        <f t="shared" ca="1" si="542"/>
        <v/>
      </c>
      <c r="FP186" s="353">
        <f t="shared" ca="1" si="543"/>
        <v>0</v>
      </c>
      <c r="FQ186" s="356">
        <f t="shared" ca="1" si="544"/>
        <v>0</v>
      </c>
      <c r="FR186" s="380">
        <f t="shared" ca="1" si="545"/>
        <v>0</v>
      </c>
      <c r="FS186" s="299">
        <f t="shared" ca="1" si="546"/>
        <v>0</v>
      </c>
      <c r="FT186" s="299">
        <f t="shared" ca="1" si="547"/>
        <v>0</v>
      </c>
      <c r="FU186" s="299">
        <f t="shared" ca="1" si="548"/>
        <v>0</v>
      </c>
      <c r="FV186" s="299">
        <f t="shared" ca="1" si="549"/>
        <v>0</v>
      </c>
      <c r="FW186" s="850" t="str">
        <f t="shared" ca="1" si="550"/>
        <v/>
      </c>
      <c r="FX186" s="851" t="str">
        <f t="shared" ca="1" si="551"/>
        <v/>
      </c>
      <c r="FY186" s="851" t="str">
        <f t="shared" ca="1" si="552"/>
        <v/>
      </c>
      <c r="FZ186" s="201" t="str">
        <f t="shared" ca="1" si="553"/>
        <v/>
      </c>
      <c r="GA186" s="201" t="str">
        <f t="shared" ca="1" si="554"/>
        <v/>
      </c>
      <c r="GB186" s="201" t="str">
        <f t="shared" ca="1" si="555"/>
        <v/>
      </c>
      <c r="GC186" s="201" t="str">
        <f t="shared" ca="1" si="556"/>
        <v/>
      </c>
      <c r="GD186" s="850" t="str">
        <f t="shared" ca="1" si="557"/>
        <v/>
      </c>
      <c r="GE186" s="866" t="str">
        <f t="shared" ca="1" si="558"/>
        <v/>
      </c>
      <c r="GF186" s="866" t="str">
        <f t="shared" ca="1" si="559"/>
        <v/>
      </c>
      <c r="GG186" s="866" t="str">
        <f t="shared" ca="1" si="560"/>
        <v/>
      </c>
      <c r="GH186" s="866" t="str">
        <f t="shared" ca="1" si="561"/>
        <v/>
      </c>
      <c r="GI186" s="302">
        <f t="shared" ca="1" si="562"/>
        <v>0</v>
      </c>
      <c r="GJ186" s="299">
        <f t="shared" ca="1" si="563"/>
        <v>0</v>
      </c>
      <c r="GK186" s="299">
        <f t="shared" ca="1" si="564"/>
        <v>0</v>
      </c>
      <c r="GL186" s="299">
        <f t="shared" ca="1" si="565"/>
        <v>0</v>
      </c>
      <c r="GM186" s="299">
        <f t="shared" ca="1" si="566"/>
        <v>0</v>
      </c>
      <c r="GN186" s="302">
        <f t="shared" ca="1" si="567"/>
        <v>0</v>
      </c>
      <c r="GO186" s="299">
        <f t="shared" ca="1" si="568"/>
        <v>0</v>
      </c>
      <c r="GP186" s="299">
        <f t="shared" ca="1" si="569"/>
        <v>0</v>
      </c>
      <c r="GQ186" s="299">
        <f t="shared" ca="1" si="570"/>
        <v>0</v>
      </c>
      <c r="GR186" s="299">
        <f t="shared" ca="1" si="571"/>
        <v>0</v>
      </c>
      <c r="GS186" s="302">
        <f t="shared" ca="1" si="572"/>
        <v>0</v>
      </c>
      <c r="GT186" s="299">
        <f t="shared" ca="1" si="573"/>
        <v>0</v>
      </c>
      <c r="GU186" s="299">
        <f t="shared" ca="1" si="574"/>
        <v>0</v>
      </c>
      <c r="GV186" s="299">
        <f t="shared" ca="1" si="575"/>
        <v>0</v>
      </c>
      <c r="GW186" s="299">
        <f t="shared" ca="1" si="576"/>
        <v>0</v>
      </c>
      <c r="GX186" s="303">
        <f t="shared" ca="1" si="577"/>
        <v>0</v>
      </c>
      <c r="GY186" s="303">
        <f t="shared" ca="1" si="578"/>
        <v>0</v>
      </c>
      <c r="GZ186" s="303">
        <f t="shared" ca="1" si="579"/>
        <v>0</v>
      </c>
      <c r="HA186" s="303">
        <f t="shared" ca="1" si="580"/>
        <v>0</v>
      </c>
      <c r="HB186" s="303">
        <f t="shared" ca="1" si="581"/>
        <v>0</v>
      </c>
      <c r="HC186" s="303">
        <f t="shared" ca="1" si="582"/>
        <v>0</v>
      </c>
      <c r="HD186" s="303">
        <f t="shared" ca="1" si="583"/>
        <v>0</v>
      </c>
      <c r="HE186" s="303">
        <f t="shared" ca="1" si="584"/>
        <v>0</v>
      </c>
      <c r="HF186" s="303">
        <f t="shared" ca="1" si="585"/>
        <v>0</v>
      </c>
      <c r="HG186" s="852">
        <f t="shared" ca="1" si="586"/>
        <v>0</v>
      </c>
    </row>
    <row r="187" spans="1:215" x14ac:dyDescent="0.25">
      <c r="A187" s="244">
        <f t="shared" ca="1" si="587"/>
        <v>41791</v>
      </c>
      <c r="B187" s="13">
        <f t="shared" ca="1" si="617"/>
        <v>2014</v>
      </c>
      <c r="C187" s="619">
        <f t="shared" ca="1" si="618"/>
        <v>6</v>
      </c>
      <c r="D187" s="195" t="str">
        <f t="shared" ca="1" si="417"/>
        <v/>
      </c>
      <c r="E187" s="469" t="str">
        <f t="shared" ca="1" si="418"/>
        <v/>
      </c>
      <c r="F187" s="465" t="str">
        <f t="shared" ca="1" si="419"/>
        <v/>
      </c>
      <c r="G187" s="522">
        <f t="shared" ca="1" si="588"/>
        <v>1</v>
      </c>
      <c r="H187" s="519">
        <f t="shared" ca="1" si="589"/>
        <v>1</v>
      </c>
      <c r="I187" s="724">
        <f t="shared" ca="1" si="619"/>
        <v>7.4189919014305994E-2</v>
      </c>
      <c r="J187" s="198">
        <f t="shared" ca="1" si="421"/>
        <v>0.35075041906102872</v>
      </c>
      <c r="K187" s="200">
        <f t="shared" ca="1" si="597"/>
        <v>49.14</v>
      </c>
      <c r="L187" s="201">
        <f t="shared" ca="1" si="598"/>
        <v>56.25</v>
      </c>
      <c r="M187" s="206">
        <f t="shared" ca="1" si="599"/>
        <v>63.36</v>
      </c>
      <c r="N187" s="851">
        <f t="shared" ca="1" si="603"/>
        <v>22.926250152587883</v>
      </c>
      <c r="O187" s="201">
        <f t="shared" ca="1" si="604"/>
        <v>28.258750152587883</v>
      </c>
      <c r="P187" s="206">
        <f t="shared" ca="1" si="605"/>
        <v>33.591250152587882</v>
      </c>
      <c r="Q187" s="201">
        <f t="shared" ca="1" si="606"/>
        <v>17.44249954223632</v>
      </c>
      <c r="R187" s="201">
        <f t="shared" ca="1" si="607"/>
        <v>21.74249954223632</v>
      </c>
      <c r="S187" s="201">
        <f t="shared" ca="1" si="608"/>
        <v>26.042499542236321</v>
      </c>
      <c r="T187" s="851">
        <f t="shared" ca="1" si="600"/>
        <v>17.19999877929687</v>
      </c>
      <c r="U187" s="201">
        <f t="shared" ca="1" si="601"/>
        <v>20.754998779296869</v>
      </c>
      <c r="V187" s="206">
        <f t="shared" ca="1" si="602"/>
        <v>24.309998779296869</v>
      </c>
      <c r="W187" s="230">
        <f t="shared" ca="1" si="590"/>
        <v>8.7839247225164271E-2</v>
      </c>
      <c r="X187" s="231">
        <f t="shared" ca="1" si="591"/>
        <v>0.17567849445032854</v>
      </c>
      <c r="Y187" s="232">
        <f t="shared" ca="1" si="592"/>
        <v>0.2635177416754928</v>
      </c>
      <c r="Z187" s="231">
        <f t="shared" ca="1" si="612"/>
        <v>8.7839247225164271E-2</v>
      </c>
      <c r="AA187" s="231">
        <f t="shared" ca="1" si="613"/>
        <v>0.17567849445032854</v>
      </c>
      <c r="AB187" s="232">
        <f t="shared" ca="1" si="614"/>
        <v>0.2635177416754928</v>
      </c>
      <c r="AC187" s="231">
        <f t="shared" ca="1" si="615"/>
        <v>8.7839247225164271E-2</v>
      </c>
      <c r="AD187" s="231">
        <f t="shared" ca="1" si="616"/>
        <v>0.17567849445032854</v>
      </c>
      <c r="AE187" s="232">
        <f t="shared" ca="1" si="422"/>
        <v>0.2635177416754928</v>
      </c>
      <c r="AF187" s="231">
        <f t="shared" ca="1" si="593"/>
        <v>3.3913887366370576E-2</v>
      </c>
      <c r="AG187" s="231">
        <f t="shared" ca="1" si="594"/>
        <v>6.7827774732741153E-2</v>
      </c>
      <c r="AH187" s="232">
        <f t="shared" ca="1" si="595"/>
        <v>0.10174166209911173</v>
      </c>
      <c r="AI187" s="233">
        <f t="shared" ca="1" si="423"/>
        <v>1.65</v>
      </c>
      <c r="AJ187" s="233">
        <f t="shared" ca="1" si="424"/>
        <v>2</v>
      </c>
      <c r="AK187" s="234">
        <f t="shared" ca="1" si="425"/>
        <v>2.2999999999999998</v>
      </c>
      <c r="AL187" s="919">
        <f t="shared" ca="1" si="426"/>
        <v>1.65</v>
      </c>
      <c r="AM187" s="233">
        <f t="shared" ca="1" si="427"/>
        <v>2</v>
      </c>
      <c r="AN187" s="234">
        <f t="shared" ca="1" si="428"/>
        <v>2.2999999999999998</v>
      </c>
      <c r="AO187" s="233">
        <f t="shared" ca="1" si="429"/>
        <v>1.65</v>
      </c>
      <c r="AP187" s="233">
        <f t="shared" ca="1" si="430"/>
        <v>2</v>
      </c>
      <c r="AQ187" s="233">
        <f t="shared" ca="1" si="431"/>
        <v>2.2999999999999998</v>
      </c>
      <c r="AR187" s="919">
        <f t="shared" ca="1" si="432"/>
        <v>0.5</v>
      </c>
      <c r="AS187" s="233">
        <f t="shared" ca="1" si="433"/>
        <v>0.65</v>
      </c>
      <c r="AT187" s="235">
        <f t="shared" ca="1" si="434"/>
        <v>0.85000000000000009</v>
      </c>
      <c r="AU187" s="946">
        <f t="shared" si="435"/>
        <v>0.5</v>
      </c>
      <c r="AV187" s="13">
        <f t="shared" ca="1" si="436"/>
        <v>0</v>
      </c>
      <c r="AW187" s="210">
        <f t="shared" ca="1" si="437"/>
        <v>0</v>
      </c>
      <c r="AX187" s="210">
        <f t="shared" ca="1" si="438"/>
        <v>0</v>
      </c>
      <c r="AY187" s="210">
        <f t="shared" ca="1" si="439"/>
        <v>0</v>
      </c>
      <c r="AZ187" s="13">
        <f t="shared" ca="1" si="440"/>
        <v>0</v>
      </c>
      <c r="BA187" s="357">
        <f ca="1"/>
        <v>0</v>
      </c>
      <c r="BB187" s="925">
        <f ca="1"/>
        <v>0</v>
      </c>
      <c r="BC187" s="925">
        <f ca="1"/>
        <v>0</v>
      </c>
      <c r="BD187" s="928">
        <f ca="1"/>
        <v>0</v>
      </c>
      <c r="BE187" s="200">
        <f ca="1"/>
        <v>0</v>
      </c>
      <c r="BF187" s="851">
        <f ca="1"/>
        <v>0</v>
      </c>
      <c r="BG187" s="851">
        <f ca="1"/>
        <v>0</v>
      </c>
      <c r="BH187" s="933">
        <f ca="1"/>
        <v>0</v>
      </c>
      <c r="BI187" s="357">
        <f ca="1"/>
        <v>0</v>
      </c>
      <c r="BJ187" s="925">
        <f ca="1"/>
        <v>0</v>
      </c>
      <c r="BK187" s="925">
        <f ca="1"/>
        <v>0</v>
      </c>
      <c r="BL187" s="928">
        <f ca="1"/>
        <v>0</v>
      </c>
      <c r="BM187" s="200">
        <f ca="1"/>
        <v>0</v>
      </c>
      <c r="BN187" s="851">
        <f ca="1"/>
        <v>0</v>
      </c>
      <c r="BO187" s="851">
        <f ca="1"/>
        <v>0</v>
      </c>
      <c r="BP187" s="933">
        <f ca="1"/>
        <v>0</v>
      </c>
      <c r="BQ187" s="357">
        <f t="shared" ca="1" si="441"/>
        <v>0</v>
      </c>
      <c r="BR187" s="361">
        <f t="shared" ca="1" si="442"/>
        <v>0</v>
      </c>
      <c r="BS187" s="357">
        <f t="shared" ca="1" si="443"/>
        <v>0</v>
      </c>
      <c r="BT187" s="302">
        <f t="shared" ca="1" si="444"/>
        <v>0</v>
      </c>
      <c r="BU187" s="299">
        <f t="shared" ca="1" si="445"/>
        <v>0</v>
      </c>
      <c r="BV187" s="299">
        <f t="shared" ca="1" si="446"/>
        <v>0</v>
      </c>
      <c r="BW187" s="299">
        <f t="shared" ca="1" si="447"/>
        <v>0</v>
      </c>
      <c r="BX187" s="380">
        <f t="shared" ca="1" si="448"/>
        <v>14.247775496235455</v>
      </c>
      <c r="BY187" s="363">
        <f t="shared" ca="1" si="449"/>
        <v>0</v>
      </c>
      <c r="BZ187" s="353">
        <f t="shared" ca="1" si="450"/>
        <v>0</v>
      </c>
      <c r="CA187" s="353">
        <f t="shared" ca="1" si="451"/>
        <v>0</v>
      </c>
      <c r="CB187" s="353">
        <f t="shared" ca="1" si="452"/>
        <v>0</v>
      </c>
      <c r="CC187" s="353">
        <f t="shared" ca="1" si="453"/>
        <v>0</v>
      </c>
      <c r="CD187" s="353">
        <f t="shared" ca="1" si="454"/>
        <v>0</v>
      </c>
      <c r="CE187" s="302">
        <f t="shared" ca="1" si="455"/>
        <v>0</v>
      </c>
      <c r="CF187" s="299">
        <f t="shared" ca="1" si="456"/>
        <v>0</v>
      </c>
      <c r="CG187" s="299">
        <f t="shared" ca="1" si="457"/>
        <v>0</v>
      </c>
      <c r="CH187" s="299">
        <f t="shared" ca="1" si="458"/>
        <v>0</v>
      </c>
      <c r="CI187" s="299">
        <f t="shared" ca="1" si="459"/>
        <v>0</v>
      </c>
      <c r="CJ187" s="299">
        <f t="shared" ca="1" si="460"/>
        <v>0</v>
      </c>
      <c r="CK187" s="299">
        <f t="shared" ca="1" si="461"/>
        <v>0</v>
      </c>
      <c r="CL187" s="377" t="str">
        <f t="shared" ca="1" si="462"/>
        <v/>
      </c>
      <c r="CM187" s="305" t="str">
        <f t="shared" ca="1" si="463"/>
        <v/>
      </c>
      <c r="CN187" s="305" t="str">
        <f t="shared" ca="1" si="464"/>
        <v/>
      </c>
      <c r="CO187" s="305" t="str">
        <f t="shared" ca="1" si="465"/>
        <v/>
      </c>
      <c r="CP187" s="305" t="str">
        <f t="shared" ca="1" si="466"/>
        <v/>
      </c>
      <c r="CQ187" s="305" t="str">
        <f t="shared" ca="1" si="467"/>
        <v/>
      </c>
      <c r="CR187" s="775" t="str">
        <f t="shared" ca="1" si="468"/>
        <v/>
      </c>
      <c r="CS187" s="305" t="str">
        <f t="shared" ca="1" si="469"/>
        <v/>
      </c>
      <c r="CT187" s="305" t="str">
        <f t="shared" ca="1" si="470"/>
        <v/>
      </c>
      <c r="CU187" s="305" t="str">
        <f t="shared" ca="1" si="471"/>
        <v/>
      </c>
      <c r="CV187" s="770" t="str">
        <f t="shared" ca="1" si="472"/>
        <v/>
      </c>
      <c r="CW187" s="302">
        <f t="shared" ca="1" si="473"/>
        <v>0</v>
      </c>
      <c r="CX187" s="299">
        <f t="shared" ca="1" si="474"/>
        <v>0</v>
      </c>
      <c r="CY187" s="299">
        <f t="shared" ca="1" si="475"/>
        <v>0</v>
      </c>
      <c r="CZ187" s="299">
        <f t="shared" ca="1" si="476"/>
        <v>0</v>
      </c>
      <c r="DA187" s="774">
        <f t="shared" ca="1" si="477"/>
        <v>0</v>
      </c>
      <c r="DB187" s="303">
        <f t="shared" ca="1" si="478"/>
        <v>0</v>
      </c>
      <c r="DC187" s="248">
        <f t="shared" ca="1" si="479"/>
        <v>0</v>
      </c>
      <c r="DD187" s="778">
        <f t="shared" ca="1" si="480"/>
        <v>0</v>
      </c>
      <c r="DE187" s="363">
        <f t="shared" ca="1" si="481"/>
        <v>0</v>
      </c>
      <c r="DF187" s="378" t="str">
        <f t="shared" ca="1" si="482"/>
        <v/>
      </c>
      <c r="DG187" s="508" t="str">
        <f t="shared" ca="1" si="483"/>
        <v/>
      </c>
      <c r="DH187" s="508" t="str">
        <f t="shared" ca="1" si="484"/>
        <v/>
      </c>
      <c r="DI187" s="508" t="str">
        <f t="shared" ca="1" si="485"/>
        <v/>
      </c>
      <c r="DJ187" s="508" t="str">
        <f t="shared" ca="1" si="486"/>
        <v/>
      </c>
      <c r="DK187" s="353">
        <f t="shared" ca="1" si="487"/>
        <v>0</v>
      </c>
      <c r="DL187" s="781">
        <f t="shared" ca="1" si="488"/>
        <v>0</v>
      </c>
      <c r="DM187" s="303">
        <f t="shared" ca="1" si="489"/>
        <v>0</v>
      </c>
      <c r="DN187" s="508" t="str">
        <f t="shared" ca="1" si="490"/>
        <v/>
      </c>
      <c r="DO187" s="508" t="str">
        <f t="shared" ca="1" si="491"/>
        <v/>
      </c>
      <c r="DP187" s="508" t="str">
        <f t="shared" ca="1" si="492"/>
        <v/>
      </c>
      <c r="DQ187" s="508" t="str">
        <f t="shared" ca="1" si="493"/>
        <v/>
      </c>
      <c r="DR187" s="508" t="str">
        <f t="shared" ca="1" si="494"/>
        <v/>
      </c>
      <c r="DS187" s="353">
        <f t="shared" ca="1" si="495"/>
        <v>0</v>
      </c>
      <c r="DT187" s="353">
        <f t="shared" ca="1" si="496"/>
        <v>0</v>
      </c>
      <c r="DU187" s="380">
        <f t="shared" ca="1" si="596"/>
        <v>14.247775496235455</v>
      </c>
      <c r="DV187" s="303">
        <f t="shared" ca="1" si="497"/>
        <v>0</v>
      </c>
      <c r="DW187" s="303">
        <f t="shared" ca="1" si="498"/>
        <v>0</v>
      </c>
      <c r="DX187" s="303">
        <f t="shared" ca="1" si="499"/>
        <v>0</v>
      </c>
      <c r="DY187" s="303">
        <f t="shared" ca="1" si="500"/>
        <v>0</v>
      </c>
      <c r="DZ187" s="303">
        <f t="shared" ca="1" si="501"/>
        <v>0</v>
      </c>
      <c r="EA187" s="303">
        <f t="shared" ca="1" si="502"/>
        <v>0</v>
      </c>
      <c r="EB187" s="302">
        <f t="shared" ca="1" si="503"/>
        <v>0</v>
      </c>
      <c r="EC187" s="299">
        <f t="shared" ca="1" si="504"/>
        <v>0</v>
      </c>
      <c r="ED187" s="299">
        <f t="shared" ca="1" si="505"/>
        <v>0</v>
      </c>
      <c r="EE187" s="299">
        <f t="shared" ca="1" si="506"/>
        <v>0</v>
      </c>
      <c r="EF187" s="299">
        <f t="shared" ca="1" si="507"/>
        <v>0</v>
      </c>
      <c r="EG187" s="299">
        <f t="shared" ca="1" si="508"/>
        <v>0</v>
      </c>
      <c r="EH187" s="302">
        <f t="shared" ca="1" si="509"/>
        <v>0</v>
      </c>
      <c r="EI187" s="304" t="str">
        <f t="shared" ca="1" si="510"/>
        <v/>
      </c>
      <c r="EJ187" s="305" t="str">
        <f t="shared" ca="1" si="511"/>
        <v/>
      </c>
      <c r="EK187" s="305" t="str">
        <f t="shared" ca="1" si="512"/>
        <v/>
      </c>
      <c r="EL187" s="305" t="str">
        <f t="shared" ca="1" si="513"/>
        <v/>
      </c>
      <c r="EM187" s="305" t="str">
        <f t="shared" ca="1" si="514"/>
        <v/>
      </c>
      <c r="EN187" s="305" t="str">
        <f t="shared" ca="1" si="515"/>
        <v/>
      </c>
      <c r="EO187" s="305" t="str">
        <f t="shared" ca="1" si="516"/>
        <v/>
      </c>
      <c r="EP187" s="305" t="str">
        <f t="shared" ca="1" si="517"/>
        <v/>
      </c>
      <c r="EQ187" s="305" t="str">
        <f t="shared" ca="1" si="518"/>
        <v/>
      </c>
      <c r="ER187" s="305" t="str">
        <f t="shared" ca="1" si="519"/>
        <v/>
      </c>
      <c r="ES187" s="305" t="str">
        <f t="shared" ca="1" si="520"/>
        <v/>
      </c>
      <c r="ET187" s="299">
        <f t="shared" ca="1" si="521"/>
        <v>0</v>
      </c>
      <c r="EU187" s="302">
        <f t="shared" ca="1" si="522"/>
        <v>0</v>
      </c>
      <c r="EV187" s="304" t="str">
        <f t="shared" ca="1" si="523"/>
        <v/>
      </c>
      <c r="EW187" s="305" t="str">
        <f t="shared" ca="1" si="524"/>
        <v/>
      </c>
      <c r="EX187" s="305" t="str">
        <f t="shared" ca="1" si="525"/>
        <v/>
      </c>
      <c r="EY187" s="305" t="str">
        <f t="shared" ca="1" si="526"/>
        <v/>
      </c>
      <c r="EZ187" s="305" t="str">
        <f t="shared" ca="1" si="527"/>
        <v/>
      </c>
      <c r="FA187" s="305" t="str">
        <f t="shared" ca="1" si="528"/>
        <v/>
      </c>
      <c r="FB187" s="305" t="str">
        <f t="shared" ca="1" si="529"/>
        <v/>
      </c>
      <c r="FC187" s="305" t="str">
        <f t="shared" ca="1" si="530"/>
        <v/>
      </c>
      <c r="FD187" s="305" t="str">
        <f t="shared" ca="1" si="531"/>
        <v/>
      </c>
      <c r="FE187" s="305" t="str">
        <f t="shared" ca="1" si="532"/>
        <v/>
      </c>
      <c r="FF187" s="305" t="str">
        <f t="shared" ca="1" si="533"/>
        <v/>
      </c>
      <c r="FG187" s="299">
        <f t="shared" ca="1" si="534"/>
        <v>0</v>
      </c>
      <c r="FH187" s="302">
        <f t="shared" ca="1" si="535"/>
        <v>0</v>
      </c>
      <c r="FI187" s="248">
        <f t="shared" ca="1" si="536"/>
        <v>0</v>
      </c>
      <c r="FJ187" s="363">
        <f t="shared" ca="1" si="537"/>
        <v>0</v>
      </c>
      <c r="FK187" s="378" t="str">
        <f t="shared" ca="1" si="538"/>
        <v/>
      </c>
      <c r="FL187" s="508" t="str">
        <f t="shared" ca="1" si="539"/>
        <v/>
      </c>
      <c r="FM187" s="508" t="str">
        <f t="shared" ca="1" si="540"/>
        <v/>
      </c>
      <c r="FN187" s="508" t="str">
        <f t="shared" ca="1" si="541"/>
        <v/>
      </c>
      <c r="FO187" s="508" t="str">
        <f t="shared" ca="1" si="542"/>
        <v/>
      </c>
      <c r="FP187" s="353">
        <f t="shared" ca="1" si="543"/>
        <v>0</v>
      </c>
      <c r="FQ187" s="356">
        <f t="shared" ca="1" si="544"/>
        <v>0</v>
      </c>
      <c r="FR187" s="380">
        <f t="shared" ca="1" si="545"/>
        <v>0</v>
      </c>
      <c r="FS187" s="299">
        <f t="shared" ca="1" si="546"/>
        <v>0</v>
      </c>
      <c r="FT187" s="299">
        <f t="shared" ca="1" si="547"/>
        <v>0</v>
      </c>
      <c r="FU187" s="299">
        <f t="shared" ca="1" si="548"/>
        <v>0</v>
      </c>
      <c r="FV187" s="299">
        <f t="shared" ca="1" si="549"/>
        <v>0</v>
      </c>
      <c r="FW187" s="850" t="str">
        <f t="shared" ca="1" si="550"/>
        <v/>
      </c>
      <c r="FX187" s="851" t="str">
        <f t="shared" ca="1" si="551"/>
        <v/>
      </c>
      <c r="FY187" s="851" t="str">
        <f t="shared" ca="1" si="552"/>
        <v/>
      </c>
      <c r="FZ187" s="201" t="str">
        <f t="shared" ca="1" si="553"/>
        <v/>
      </c>
      <c r="GA187" s="201" t="str">
        <f t="shared" ca="1" si="554"/>
        <v/>
      </c>
      <c r="GB187" s="201" t="str">
        <f t="shared" ca="1" si="555"/>
        <v/>
      </c>
      <c r="GC187" s="201" t="str">
        <f t="shared" ca="1" si="556"/>
        <v/>
      </c>
      <c r="GD187" s="850" t="str">
        <f t="shared" ca="1" si="557"/>
        <v/>
      </c>
      <c r="GE187" s="866" t="str">
        <f t="shared" ca="1" si="558"/>
        <v/>
      </c>
      <c r="GF187" s="866" t="str">
        <f t="shared" ca="1" si="559"/>
        <v/>
      </c>
      <c r="GG187" s="866" t="str">
        <f t="shared" ca="1" si="560"/>
        <v/>
      </c>
      <c r="GH187" s="866" t="str">
        <f t="shared" ca="1" si="561"/>
        <v/>
      </c>
      <c r="GI187" s="302">
        <f t="shared" ca="1" si="562"/>
        <v>0</v>
      </c>
      <c r="GJ187" s="299">
        <f t="shared" ca="1" si="563"/>
        <v>0</v>
      </c>
      <c r="GK187" s="299">
        <f t="shared" ca="1" si="564"/>
        <v>0</v>
      </c>
      <c r="GL187" s="299">
        <f t="shared" ca="1" si="565"/>
        <v>0</v>
      </c>
      <c r="GM187" s="299">
        <f t="shared" ca="1" si="566"/>
        <v>0</v>
      </c>
      <c r="GN187" s="302">
        <f t="shared" ca="1" si="567"/>
        <v>0</v>
      </c>
      <c r="GO187" s="299">
        <f t="shared" ca="1" si="568"/>
        <v>0</v>
      </c>
      <c r="GP187" s="299">
        <f t="shared" ca="1" si="569"/>
        <v>0</v>
      </c>
      <c r="GQ187" s="299">
        <f t="shared" ca="1" si="570"/>
        <v>0</v>
      </c>
      <c r="GR187" s="299">
        <f t="shared" ca="1" si="571"/>
        <v>0</v>
      </c>
      <c r="GS187" s="302">
        <f t="shared" ca="1" si="572"/>
        <v>0</v>
      </c>
      <c r="GT187" s="299">
        <f t="shared" ca="1" si="573"/>
        <v>0</v>
      </c>
      <c r="GU187" s="299">
        <f t="shared" ca="1" si="574"/>
        <v>0</v>
      </c>
      <c r="GV187" s="299">
        <f t="shared" ca="1" si="575"/>
        <v>0</v>
      </c>
      <c r="GW187" s="299">
        <f t="shared" ca="1" si="576"/>
        <v>0</v>
      </c>
      <c r="GX187" s="303">
        <f t="shared" ca="1" si="577"/>
        <v>0</v>
      </c>
      <c r="GY187" s="303">
        <f t="shared" ca="1" si="578"/>
        <v>0</v>
      </c>
      <c r="GZ187" s="303">
        <f t="shared" ca="1" si="579"/>
        <v>0</v>
      </c>
      <c r="HA187" s="303">
        <f t="shared" ca="1" si="580"/>
        <v>0</v>
      </c>
      <c r="HB187" s="303">
        <f t="shared" ca="1" si="581"/>
        <v>0</v>
      </c>
      <c r="HC187" s="303">
        <f t="shared" ca="1" si="582"/>
        <v>0</v>
      </c>
      <c r="HD187" s="303">
        <f t="shared" ca="1" si="583"/>
        <v>0</v>
      </c>
      <c r="HE187" s="303">
        <f t="shared" ca="1" si="584"/>
        <v>0</v>
      </c>
      <c r="HF187" s="303">
        <f t="shared" ca="1" si="585"/>
        <v>0</v>
      </c>
      <c r="HG187" s="852">
        <f t="shared" ca="1" si="586"/>
        <v>0</v>
      </c>
    </row>
    <row r="188" spans="1:215" x14ac:dyDescent="0.25">
      <c r="A188" s="244">
        <f t="shared" ca="1" si="587"/>
        <v>41821</v>
      </c>
      <c r="B188" s="13">
        <f t="shared" ca="1" si="617"/>
        <v>2014</v>
      </c>
      <c r="C188" s="619">
        <f t="shared" ca="1" si="618"/>
        <v>7</v>
      </c>
      <c r="D188" s="195">
        <f t="shared" ca="1" si="417"/>
        <v>41824</v>
      </c>
      <c r="E188" s="469" t="str">
        <f t="shared" ca="1" si="418"/>
        <v/>
      </c>
      <c r="F188" s="465" t="str">
        <f t="shared" ca="1" si="419"/>
        <v/>
      </c>
      <c r="G188" s="522">
        <f t="shared" ca="1" si="588"/>
        <v>1</v>
      </c>
      <c r="H188" s="519">
        <f t="shared" ca="1" si="589"/>
        <v>1</v>
      </c>
      <c r="I188" s="724">
        <f t="shared" ca="1" si="619"/>
        <v>7.4189633803453003E-2</v>
      </c>
      <c r="J188" s="198">
        <f t="shared" ca="1" si="421"/>
        <v>0.34858988693388482</v>
      </c>
      <c r="K188" s="200">
        <f t="shared" ca="1" si="597"/>
        <v>79.5</v>
      </c>
      <c r="L188" s="201">
        <f t="shared" ca="1" si="598"/>
        <v>84.5</v>
      </c>
      <c r="M188" s="206">
        <f t="shared" ca="1" si="599"/>
        <v>89.5</v>
      </c>
      <c r="N188" s="851">
        <f t="shared" ca="1" si="603"/>
        <v>37.711249542236359</v>
      </c>
      <c r="O188" s="201">
        <f t="shared" ca="1" si="604"/>
        <v>41.461249542236359</v>
      </c>
      <c r="P188" s="206">
        <f t="shared" ca="1" si="605"/>
        <v>45.211249542236359</v>
      </c>
      <c r="Q188" s="201">
        <f t="shared" ca="1" si="606"/>
        <v>26.647499465942374</v>
      </c>
      <c r="R188" s="201">
        <f t="shared" ca="1" si="607"/>
        <v>30.947499465942375</v>
      </c>
      <c r="S188" s="201">
        <f t="shared" ca="1" si="608"/>
        <v>35.247499465942376</v>
      </c>
      <c r="T188" s="851">
        <f t="shared" ca="1" si="600"/>
        <v>22.749997711181635</v>
      </c>
      <c r="U188" s="201">
        <f t="shared" ca="1" si="601"/>
        <v>25.249997711181635</v>
      </c>
      <c r="V188" s="206">
        <f t="shared" ca="1" si="602"/>
        <v>27.749997711181635</v>
      </c>
      <c r="W188" s="230">
        <f t="shared" ca="1" si="590"/>
        <v>0.10400952284846866</v>
      </c>
      <c r="X188" s="231">
        <f t="shared" ca="1" si="591"/>
        <v>0.20801904569693733</v>
      </c>
      <c r="Y188" s="232">
        <f t="shared" ca="1" si="592"/>
        <v>0.312028568545406</v>
      </c>
      <c r="Z188" s="231">
        <f t="shared" ca="1" si="612"/>
        <v>0.10400952284846866</v>
      </c>
      <c r="AA188" s="231">
        <f t="shared" ca="1" si="613"/>
        <v>0.20801904569693733</v>
      </c>
      <c r="AB188" s="232">
        <f t="shared" ca="1" si="614"/>
        <v>0.312028568545406</v>
      </c>
      <c r="AC188" s="231">
        <f t="shared" ca="1" si="615"/>
        <v>0.10400952284846866</v>
      </c>
      <c r="AD188" s="231">
        <f t="shared" ca="1" si="616"/>
        <v>0.20801904569693733</v>
      </c>
      <c r="AE188" s="232">
        <f t="shared" ca="1" si="422"/>
        <v>0.312028568545406</v>
      </c>
      <c r="AF188" s="231">
        <f t="shared" ca="1" si="593"/>
        <v>4.52185164884941E-2</v>
      </c>
      <c r="AG188" s="231">
        <f t="shared" ca="1" si="594"/>
        <v>9.0437032976988199E-2</v>
      </c>
      <c r="AH188" s="232">
        <f t="shared" ca="1" si="595"/>
        <v>0.13565554946548231</v>
      </c>
      <c r="AI188" s="233">
        <f t="shared" ca="1" si="423"/>
        <v>2.65</v>
      </c>
      <c r="AJ188" s="233">
        <f t="shared" ca="1" si="424"/>
        <v>3</v>
      </c>
      <c r="AK188" s="234">
        <f t="shared" ca="1" si="425"/>
        <v>3.5</v>
      </c>
      <c r="AL188" s="919">
        <f t="shared" ca="1" si="426"/>
        <v>2.65</v>
      </c>
      <c r="AM188" s="233">
        <f t="shared" ca="1" si="427"/>
        <v>3</v>
      </c>
      <c r="AN188" s="234">
        <f t="shared" ca="1" si="428"/>
        <v>3.5</v>
      </c>
      <c r="AO188" s="233">
        <f t="shared" ca="1" si="429"/>
        <v>2.65</v>
      </c>
      <c r="AP188" s="233">
        <f t="shared" ca="1" si="430"/>
        <v>3</v>
      </c>
      <c r="AQ188" s="233">
        <f t="shared" ca="1" si="431"/>
        <v>3.5</v>
      </c>
      <c r="AR188" s="919">
        <f t="shared" ca="1" si="432"/>
        <v>0.6</v>
      </c>
      <c r="AS188" s="233">
        <f t="shared" ca="1" si="433"/>
        <v>0.75</v>
      </c>
      <c r="AT188" s="235">
        <f t="shared" ca="1" si="434"/>
        <v>0.95</v>
      </c>
      <c r="AU188" s="946">
        <f t="shared" si="435"/>
        <v>0.5</v>
      </c>
      <c r="AV188" s="13">
        <f t="shared" ca="1" si="436"/>
        <v>0</v>
      </c>
      <c r="AW188" s="210">
        <f t="shared" ca="1" si="437"/>
        <v>0</v>
      </c>
      <c r="AX188" s="210">
        <f t="shared" ca="1" si="438"/>
        <v>0</v>
      </c>
      <c r="AY188" s="210">
        <f t="shared" ca="1" si="439"/>
        <v>0</v>
      </c>
      <c r="AZ188" s="13">
        <f t="shared" ca="1" si="440"/>
        <v>0</v>
      </c>
      <c r="BA188" s="357">
        <f ca="1"/>
        <v>0</v>
      </c>
      <c r="BB188" s="925">
        <f ca="1"/>
        <v>0</v>
      </c>
      <c r="BC188" s="925">
        <f ca="1"/>
        <v>0</v>
      </c>
      <c r="BD188" s="928">
        <f ca="1"/>
        <v>0</v>
      </c>
      <c r="BE188" s="200">
        <f ca="1"/>
        <v>0</v>
      </c>
      <c r="BF188" s="851">
        <f ca="1"/>
        <v>0</v>
      </c>
      <c r="BG188" s="851">
        <f ca="1"/>
        <v>0</v>
      </c>
      <c r="BH188" s="933">
        <f ca="1"/>
        <v>0</v>
      </c>
      <c r="BI188" s="357">
        <f ca="1"/>
        <v>0</v>
      </c>
      <c r="BJ188" s="925">
        <f ca="1"/>
        <v>0</v>
      </c>
      <c r="BK188" s="925">
        <f ca="1"/>
        <v>0</v>
      </c>
      <c r="BL188" s="928">
        <f ca="1"/>
        <v>0</v>
      </c>
      <c r="BM188" s="200">
        <f ca="1"/>
        <v>0</v>
      </c>
      <c r="BN188" s="851">
        <f ca="1"/>
        <v>0</v>
      </c>
      <c r="BO188" s="851">
        <f ca="1"/>
        <v>0</v>
      </c>
      <c r="BP188" s="933">
        <f ca="1"/>
        <v>0</v>
      </c>
      <c r="BQ188" s="357">
        <f t="shared" ca="1" si="441"/>
        <v>0</v>
      </c>
      <c r="BR188" s="361">
        <f t="shared" ca="1" si="442"/>
        <v>0</v>
      </c>
      <c r="BS188" s="357">
        <f t="shared" ca="1" si="443"/>
        <v>0</v>
      </c>
      <c r="BT188" s="302">
        <f t="shared" ca="1" si="444"/>
        <v>0</v>
      </c>
      <c r="BU188" s="299">
        <f t="shared" ca="1" si="445"/>
        <v>0</v>
      </c>
      <c r="BV188" s="299">
        <f t="shared" ca="1" si="446"/>
        <v>0</v>
      </c>
      <c r="BW188" s="299">
        <f t="shared" ca="1" si="447"/>
        <v>0</v>
      </c>
      <c r="BX188" s="380">
        <f t="shared" ca="1" si="448"/>
        <v>14.329911019849419</v>
      </c>
      <c r="BY188" s="363">
        <f t="shared" ca="1" si="449"/>
        <v>0</v>
      </c>
      <c r="BZ188" s="353">
        <f t="shared" ca="1" si="450"/>
        <v>0</v>
      </c>
      <c r="CA188" s="353">
        <f t="shared" ca="1" si="451"/>
        <v>0</v>
      </c>
      <c r="CB188" s="353">
        <f t="shared" ca="1" si="452"/>
        <v>0</v>
      </c>
      <c r="CC188" s="353">
        <f t="shared" ca="1" si="453"/>
        <v>0</v>
      </c>
      <c r="CD188" s="353">
        <f t="shared" ca="1" si="454"/>
        <v>0</v>
      </c>
      <c r="CE188" s="302">
        <f t="shared" ca="1" si="455"/>
        <v>0</v>
      </c>
      <c r="CF188" s="299">
        <f t="shared" ca="1" si="456"/>
        <v>0</v>
      </c>
      <c r="CG188" s="299">
        <f t="shared" ca="1" si="457"/>
        <v>0</v>
      </c>
      <c r="CH188" s="299">
        <f t="shared" ca="1" si="458"/>
        <v>0</v>
      </c>
      <c r="CI188" s="299">
        <f t="shared" ca="1" si="459"/>
        <v>0</v>
      </c>
      <c r="CJ188" s="299">
        <f t="shared" ca="1" si="460"/>
        <v>0</v>
      </c>
      <c r="CK188" s="299">
        <f t="shared" ca="1" si="461"/>
        <v>0</v>
      </c>
      <c r="CL188" s="377" t="str">
        <f t="shared" ca="1" si="462"/>
        <v/>
      </c>
      <c r="CM188" s="305" t="str">
        <f t="shared" ca="1" si="463"/>
        <v/>
      </c>
      <c r="CN188" s="305" t="str">
        <f t="shared" ca="1" si="464"/>
        <v/>
      </c>
      <c r="CO188" s="305" t="str">
        <f t="shared" ca="1" si="465"/>
        <v/>
      </c>
      <c r="CP188" s="305" t="str">
        <f t="shared" ca="1" si="466"/>
        <v/>
      </c>
      <c r="CQ188" s="305" t="str">
        <f t="shared" ca="1" si="467"/>
        <v/>
      </c>
      <c r="CR188" s="775" t="str">
        <f t="shared" ca="1" si="468"/>
        <v/>
      </c>
      <c r="CS188" s="305" t="str">
        <f t="shared" ca="1" si="469"/>
        <v/>
      </c>
      <c r="CT188" s="305" t="str">
        <f t="shared" ca="1" si="470"/>
        <v/>
      </c>
      <c r="CU188" s="305" t="str">
        <f t="shared" ca="1" si="471"/>
        <v/>
      </c>
      <c r="CV188" s="770" t="str">
        <f t="shared" ca="1" si="472"/>
        <v/>
      </c>
      <c r="CW188" s="302">
        <f t="shared" ca="1" si="473"/>
        <v>0</v>
      </c>
      <c r="CX188" s="299">
        <f t="shared" ca="1" si="474"/>
        <v>0</v>
      </c>
      <c r="CY188" s="299">
        <f t="shared" ca="1" si="475"/>
        <v>0</v>
      </c>
      <c r="CZ188" s="299">
        <f t="shared" ca="1" si="476"/>
        <v>0</v>
      </c>
      <c r="DA188" s="774">
        <f t="shared" ca="1" si="477"/>
        <v>0</v>
      </c>
      <c r="DB188" s="303">
        <f t="shared" ca="1" si="478"/>
        <v>0</v>
      </c>
      <c r="DC188" s="248">
        <f t="shared" ca="1" si="479"/>
        <v>0</v>
      </c>
      <c r="DD188" s="778">
        <f t="shared" ca="1" si="480"/>
        <v>0</v>
      </c>
      <c r="DE188" s="363">
        <f t="shared" ca="1" si="481"/>
        <v>0</v>
      </c>
      <c r="DF188" s="378" t="str">
        <f t="shared" ca="1" si="482"/>
        <v/>
      </c>
      <c r="DG188" s="508" t="str">
        <f t="shared" ca="1" si="483"/>
        <v/>
      </c>
      <c r="DH188" s="508" t="str">
        <f t="shared" ca="1" si="484"/>
        <v/>
      </c>
      <c r="DI188" s="508" t="str">
        <f t="shared" ca="1" si="485"/>
        <v/>
      </c>
      <c r="DJ188" s="508" t="str">
        <f t="shared" ca="1" si="486"/>
        <v/>
      </c>
      <c r="DK188" s="353">
        <f t="shared" ca="1" si="487"/>
        <v>0</v>
      </c>
      <c r="DL188" s="781">
        <f t="shared" ca="1" si="488"/>
        <v>0</v>
      </c>
      <c r="DM188" s="303">
        <f t="shared" ca="1" si="489"/>
        <v>0</v>
      </c>
      <c r="DN188" s="508" t="str">
        <f t="shared" ca="1" si="490"/>
        <v/>
      </c>
      <c r="DO188" s="508" t="str">
        <f t="shared" ca="1" si="491"/>
        <v/>
      </c>
      <c r="DP188" s="508" t="str">
        <f t="shared" ca="1" si="492"/>
        <v/>
      </c>
      <c r="DQ188" s="508" t="str">
        <f t="shared" ca="1" si="493"/>
        <v/>
      </c>
      <c r="DR188" s="508" t="str">
        <f t="shared" ca="1" si="494"/>
        <v/>
      </c>
      <c r="DS188" s="353">
        <f t="shared" ca="1" si="495"/>
        <v>0</v>
      </c>
      <c r="DT188" s="353">
        <f t="shared" ca="1" si="496"/>
        <v>0</v>
      </c>
      <c r="DU188" s="380">
        <f t="shared" ca="1" si="596"/>
        <v>14.329911019849419</v>
      </c>
      <c r="DV188" s="303">
        <f t="shared" ca="1" si="497"/>
        <v>0</v>
      </c>
      <c r="DW188" s="303">
        <f t="shared" ca="1" si="498"/>
        <v>0</v>
      </c>
      <c r="DX188" s="303">
        <f t="shared" ca="1" si="499"/>
        <v>0</v>
      </c>
      <c r="DY188" s="303">
        <f t="shared" ca="1" si="500"/>
        <v>0</v>
      </c>
      <c r="DZ188" s="303">
        <f t="shared" ca="1" si="501"/>
        <v>0</v>
      </c>
      <c r="EA188" s="303">
        <f t="shared" ca="1" si="502"/>
        <v>0</v>
      </c>
      <c r="EB188" s="302">
        <f t="shared" ca="1" si="503"/>
        <v>0</v>
      </c>
      <c r="EC188" s="299">
        <f t="shared" ca="1" si="504"/>
        <v>0</v>
      </c>
      <c r="ED188" s="299">
        <f t="shared" ca="1" si="505"/>
        <v>0</v>
      </c>
      <c r="EE188" s="299">
        <f t="shared" ca="1" si="506"/>
        <v>0</v>
      </c>
      <c r="EF188" s="299">
        <f t="shared" ca="1" si="507"/>
        <v>0</v>
      </c>
      <c r="EG188" s="299">
        <f t="shared" ca="1" si="508"/>
        <v>0</v>
      </c>
      <c r="EH188" s="302">
        <f t="shared" ca="1" si="509"/>
        <v>0</v>
      </c>
      <c r="EI188" s="304" t="str">
        <f t="shared" ca="1" si="510"/>
        <v/>
      </c>
      <c r="EJ188" s="305" t="str">
        <f t="shared" ca="1" si="511"/>
        <v/>
      </c>
      <c r="EK188" s="305" t="str">
        <f t="shared" ca="1" si="512"/>
        <v/>
      </c>
      <c r="EL188" s="305" t="str">
        <f t="shared" ca="1" si="513"/>
        <v/>
      </c>
      <c r="EM188" s="305" t="str">
        <f t="shared" ca="1" si="514"/>
        <v/>
      </c>
      <c r="EN188" s="305" t="str">
        <f t="shared" ca="1" si="515"/>
        <v/>
      </c>
      <c r="EO188" s="305" t="str">
        <f t="shared" ca="1" si="516"/>
        <v/>
      </c>
      <c r="EP188" s="305" t="str">
        <f t="shared" ca="1" si="517"/>
        <v/>
      </c>
      <c r="EQ188" s="305" t="str">
        <f t="shared" ca="1" si="518"/>
        <v/>
      </c>
      <c r="ER188" s="305" t="str">
        <f t="shared" ca="1" si="519"/>
        <v/>
      </c>
      <c r="ES188" s="305" t="str">
        <f t="shared" ca="1" si="520"/>
        <v/>
      </c>
      <c r="ET188" s="299">
        <f t="shared" ca="1" si="521"/>
        <v>0</v>
      </c>
      <c r="EU188" s="302">
        <f t="shared" ca="1" si="522"/>
        <v>0</v>
      </c>
      <c r="EV188" s="304" t="str">
        <f t="shared" ca="1" si="523"/>
        <v/>
      </c>
      <c r="EW188" s="305" t="str">
        <f t="shared" ca="1" si="524"/>
        <v/>
      </c>
      <c r="EX188" s="305" t="str">
        <f t="shared" ca="1" si="525"/>
        <v/>
      </c>
      <c r="EY188" s="305" t="str">
        <f t="shared" ca="1" si="526"/>
        <v/>
      </c>
      <c r="EZ188" s="305" t="str">
        <f t="shared" ca="1" si="527"/>
        <v/>
      </c>
      <c r="FA188" s="305" t="str">
        <f t="shared" ca="1" si="528"/>
        <v/>
      </c>
      <c r="FB188" s="305" t="str">
        <f t="shared" ca="1" si="529"/>
        <v/>
      </c>
      <c r="FC188" s="305" t="str">
        <f t="shared" ca="1" si="530"/>
        <v/>
      </c>
      <c r="FD188" s="305" t="str">
        <f t="shared" ca="1" si="531"/>
        <v/>
      </c>
      <c r="FE188" s="305" t="str">
        <f t="shared" ca="1" si="532"/>
        <v/>
      </c>
      <c r="FF188" s="305" t="str">
        <f t="shared" ca="1" si="533"/>
        <v/>
      </c>
      <c r="FG188" s="299">
        <f t="shared" ca="1" si="534"/>
        <v>0</v>
      </c>
      <c r="FH188" s="302">
        <f t="shared" ca="1" si="535"/>
        <v>0</v>
      </c>
      <c r="FI188" s="248">
        <f t="shared" ca="1" si="536"/>
        <v>0</v>
      </c>
      <c r="FJ188" s="363">
        <f t="shared" ca="1" si="537"/>
        <v>0</v>
      </c>
      <c r="FK188" s="378" t="str">
        <f t="shared" ca="1" si="538"/>
        <v/>
      </c>
      <c r="FL188" s="508" t="str">
        <f t="shared" ca="1" si="539"/>
        <v/>
      </c>
      <c r="FM188" s="508" t="str">
        <f t="shared" ca="1" si="540"/>
        <v/>
      </c>
      <c r="FN188" s="508" t="str">
        <f t="shared" ca="1" si="541"/>
        <v/>
      </c>
      <c r="FO188" s="508" t="str">
        <f t="shared" ca="1" si="542"/>
        <v/>
      </c>
      <c r="FP188" s="353">
        <f t="shared" ca="1" si="543"/>
        <v>0</v>
      </c>
      <c r="FQ188" s="356">
        <f t="shared" ca="1" si="544"/>
        <v>0</v>
      </c>
      <c r="FR188" s="380">
        <f t="shared" ca="1" si="545"/>
        <v>0</v>
      </c>
      <c r="FS188" s="299">
        <f t="shared" ca="1" si="546"/>
        <v>0</v>
      </c>
      <c r="FT188" s="299">
        <f t="shared" ca="1" si="547"/>
        <v>0</v>
      </c>
      <c r="FU188" s="299">
        <f t="shared" ca="1" si="548"/>
        <v>0</v>
      </c>
      <c r="FV188" s="299">
        <f t="shared" ca="1" si="549"/>
        <v>0</v>
      </c>
      <c r="FW188" s="850" t="str">
        <f t="shared" ca="1" si="550"/>
        <v/>
      </c>
      <c r="FX188" s="851" t="str">
        <f t="shared" ca="1" si="551"/>
        <v/>
      </c>
      <c r="FY188" s="851" t="str">
        <f t="shared" ca="1" si="552"/>
        <v/>
      </c>
      <c r="FZ188" s="201" t="str">
        <f t="shared" ca="1" si="553"/>
        <v/>
      </c>
      <c r="GA188" s="201" t="str">
        <f t="shared" ca="1" si="554"/>
        <v/>
      </c>
      <c r="GB188" s="201" t="str">
        <f t="shared" ca="1" si="555"/>
        <v/>
      </c>
      <c r="GC188" s="201" t="str">
        <f t="shared" ca="1" si="556"/>
        <v/>
      </c>
      <c r="GD188" s="850" t="str">
        <f t="shared" ca="1" si="557"/>
        <v/>
      </c>
      <c r="GE188" s="866" t="str">
        <f t="shared" ca="1" si="558"/>
        <v/>
      </c>
      <c r="GF188" s="866" t="str">
        <f t="shared" ca="1" si="559"/>
        <v/>
      </c>
      <c r="GG188" s="866" t="str">
        <f t="shared" ca="1" si="560"/>
        <v/>
      </c>
      <c r="GH188" s="866" t="str">
        <f t="shared" ca="1" si="561"/>
        <v/>
      </c>
      <c r="GI188" s="302">
        <f t="shared" ca="1" si="562"/>
        <v>0</v>
      </c>
      <c r="GJ188" s="299">
        <f t="shared" ca="1" si="563"/>
        <v>0</v>
      </c>
      <c r="GK188" s="299">
        <f t="shared" ca="1" si="564"/>
        <v>0</v>
      </c>
      <c r="GL188" s="299">
        <f t="shared" ca="1" si="565"/>
        <v>0</v>
      </c>
      <c r="GM188" s="299">
        <f t="shared" ca="1" si="566"/>
        <v>0</v>
      </c>
      <c r="GN188" s="302">
        <f t="shared" ca="1" si="567"/>
        <v>0</v>
      </c>
      <c r="GO188" s="299">
        <f t="shared" ca="1" si="568"/>
        <v>0</v>
      </c>
      <c r="GP188" s="299">
        <f t="shared" ca="1" si="569"/>
        <v>0</v>
      </c>
      <c r="GQ188" s="299">
        <f t="shared" ca="1" si="570"/>
        <v>0</v>
      </c>
      <c r="GR188" s="299">
        <f t="shared" ca="1" si="571"/>
        <v>0</v>
      </c>
      <c r="GS188" s="302">
        <f t="shared" ca="1" si="572"/>
        <v>0</v>
      </c>
      <c r="GT188" s="299">
        <f t="shared" ca="1" si="573"/>
        <v>0</v>
      </c>
      <c r="GU188" s="299">
        <f t="shared" ca="1" si="574"/>
        <v>0</v>
      </c>
      <c r="GV188" s="299">
        <f t="shared" ca="1" si="575"/>
        <v>0</v>
      </c>
      <c r="GW188" s="299">
        <f t="shared" ca="1" si="576"/>
        <v>0</v>
      </c>
      <c r="GX188" s="303">
        <f t="shared" ca="1" si="577"/>
        <v>0</v>
      </c>
      <c r="GY188" s="303">
        <f t="shared" ca="1" si="578"/>
        <v>0</v>
      </c>
      <c r="GZ188" s="303">
        <f t="shared" ca="1" si="579"/>
        <v>0</v>
      </c>
      <c r="HA188" s="303">
        <f t="shared" ca="1" si="580"/>
        <v>0</v>
      </c>
      <c r="HB188" s="303">
        <f t="shared" ca="1" si="581"/>
        <v>0</v>
      </c>
      <c r="HC188" s="303">
        <f t="shared" ca="1" si="582"/>
        <v>0</v>
      </c>
      <c r="HD188" s="303">
        <f t="shared" ca="1" si="583"/>
        <v>0</v>
      </c>
      <c r="HE188" s="303">
        <f t="shared" ca="1" si="584"/>
        <v>0</v>
      </c>
      <c r="HF188" s="303">
        <f t="shared" ca="1" si="585"/>
        <v>0</v>
      </c>
      <c r="HG188" s="852">
        <f t="shared" ca="1" si="586"/>
        <v>0</v>
      </c>
    </row>
    <row r="189" spans="1:215" x14ac:dyDescent="0.25">
      <c r="A189" s="244">
        <f t="shared" ca="1" si="587"/>
        <v>41852</v>
      </c>
      <c r="B189" s="13">
        <f t="shared" ca="1" si="617"/>
        <v>2014</v>
      </c>
      <c r="C189" s="619">
        <f t="shared" ca="1" si="618"/>
        <v>8</v>
      </c>
      <c r="D189" s="195" t="str">
        <f t="shared" ca="1" si="417"/>
        <v/>
      </c>
      <c r="E189" s="469" t="str">
        <f t="shared" ca="1" si="418"/>
        <v/>
      </c>
      <c r="F189" s="465" t="str">
        <f t="shared" ca="1" si="419"/>
        <v/>
      </c>
      <c r="G189" s="522">
        <f t="shared" ca="1" si="588"/>
        <v>1</v>
      </c>
      <c r="H189" s="519">
        <f t="shared" ca="1" si="589"/>
        <v>1</v>
      </c>
      <c r="I189" s="724">
        <f t="shared" ca="1" si="619"/>
        <v>7.4189339085572001E-2</v>
      </c>
      <c r="J189" s="198">
        <f t="shared" ca="1" si="421"/>
        <v>0.34644272551398814</v>
      </c>
      <c r="K189" s="200">
        <f t="shared" ca="1" si="597"/>
        <v>75</v>
      </c>
      <c r="L189" s="201">
        <f t="shared" ca="1" si="598"/>
        <v>80</v>
      </c>
      <c r="M189" s="206">
        <f t="shared" ca="1" si="599"/>
        <v>85</v>
      </c>
      <c r="N189" s="851">
        <f t="shared" ca="1" si="603"/>
        <v>39.972499084472688</v>
      </c>
      <c r="O189" s="201">
        <f t="shared" ca="1" si="604"/>
        <v>43.722499084472688</v>
      </c>
      <c r="P189" s="206">
        <f t="shared" ca="1" si="605"/>
        <v>47.472499084472688</v>
      </c>
      <c r="Q189" s="201">
        <f t="shared" ca="1" si="606"/>
        <v>28.145000839233401</v>
      </c>
      <c r="R189" s="201">
        <f t="shared" ca="1" si="607"/>
        <v>32.445000839233401</v>
      </c>
      <c r="S189" s="201">
        <f t="shared" ca="1" si="608"/>
        <v>36.745000839233398</v>
      </c>
      <c r="T189" s="851">
        <f t="shared" ca="1" si="600"/>
        <v>23.099998092651362</v>
      </c>
      <c r="U189" s="201">
        <f t="shared" ca="1" si="601"/>
        <v>25.599998092651362</v>
      </c>
      <c r="V189" s="206">
        <f t="shared" ca="1" si="602"/>
        <v>28.099998092651362</v>
      </c>
      <c r="W189" s="230">
        <f t="shared" ca="1" si="590"/>
        <v>0.10245024627050715</v>
      </c>
      <c r="X189" s="231">
        <f t="shared" ca="1" si="591"/>
        <v>0.20490049254101431</v>
      </c>
      <c r="Y189" s="232">
        <f t="shared" ca="1" si="592"/>
        <v>0.30735073881152147</v>
      </c>
      <c r="Z189" s="231">
        <f t="shared" ca="1" si="612"/>
        <v>0.10245024627050715</v>
      </c>
      <c r="AA189" s="231">
        <f t="shared" ca="1" si="613"/>
        <v>0.20490049254101431</v>
      </c>
      <c r="AB189" s="232">
        <f t="shared" ca="1" si="614"/>
        <v>0.30735073881152147</v>
      </c>
      <c r="AC189" s="231">
        <f t="shared" ca="1" si="615"/>
        <v>0.10245024627050715</v>
      </c>
      <c r="AD189" s="231">
        <f t="shared" ca="1" si="616"/>
        <v>0.20490049254101431</v>
      </c>
      <c r="AE189" s="232">
        <f t="shared" ca="1" si="422"/>
        <v>0.30735073881152147</v>
      </c>
      <c r="AF189" s="231">
        <f t="shared" ca="1" si="593"/>
        <v>4.52185164884941E-2</v>
      </c>
      <c r="AG189" s="231">
        <f t="shared" ca="1" si="594"/>
        <v>9.0437032976988199E-2</v>
      </c>
      <c r="AH189" s="232">
        <f t="shared" ca="1" si="595"/>
        <v>0.13565554946548231</v>
      </c>
      <c r="AI189" s="233">
        <f t="shared" ca="1" si="423"/>
        <v>2.65</v>
      </c>
      <c r="AJ189" s="233">
        <f t="shared" ca="1" si="424"/>
        <v>3</v>
      </c>
      <c r="AK189" s="234">
        <f t="shared" ca="1" si="425"/>
        <v>3.5</v>
      </c>
      <c r="AL189" s="919">
        <f t="shared" ca="1" si="426"/>
        <v>2.65</v>
      </c>
      <c r="AM189" s="233">
        <f t="shared" ca="1" si="427"/>
        <v>3</v>
      </c>
      <c r="AN189" s="234">
        <f t="shared" ca="1" si="428"/>
        <v>3.5</v>
      </c>
      <c r="AO189" s="233">
        <f t="shared" ca="1" si="429"/>
        <v>2.65</v>
      </c>
      <c r="AP189" s="233">
        <f t="shared" ca="1" si="430"/>
        <v>3</v>
      </c>
      <c r="AQ189" s="233">
        <f t="shared" ca="1" si="431"/>
        <v>3.5</v>
      </c>
      <c r="AR189" s="919">
        <f t="shared" ca="1" si="432"/>
        <v>0.6</v>
      </c>
      <c r="AS189" s="233">
        <f t="shared" ca="1" si="433"/>
        <v>0.75</v>
      </c>
      <c r="AT189" s="235">
        <f t="shared" ca="1" si="434"/>
        <v>0.95</v>
      </c>
      <c r="AU189" s="946">
        <f t="shared" si="435"/>
        <v>0.5</v>
      </c>
      <c r="AV189" s="13">
        <f t="shared" ca="1" si="436"/>
        <v>0</v>
      </c>
      <c r="AW189" s="210">
        <f t="shared" ca="1" si="437"/>
        <v>0</v>
      </c>
      <c r="AX189" s="210">
        <f t="shared" ca="1" si="438"/>
        <v>0</v>
      </c>
      <c r="AY189" s="210">
        <f t="shared" ca="1" si="439"/>
        <v>0</v>
      </c>
      <c r="AZ189" s="13">
        <f t="shared" ca="1" si="440"/>
        <v>0</v>
      </c>
      <c r="BA189" s="357">
        <f ca="1"/>
        <v>0</v>
      </c>
      <c r="BB189" s="925">
        <f ca="1"/>
        <v>0</v>
      </c>
      <c r="BC189" s="925">
        <f ca="1"/>
        <v>0</v>
      </c>
      <c r="BD189" s="928">
        <f ca="1"/>
        <v>0</v>
      </c>
      <c r="BE189" s="200">
        <f ca="1"/>
        <v>0</v>
      </c>
      <c r="BF189" s="851">
        <f ca="1"/>
        <v>0</v>
      </c>
      <c r="BG189" s="851">
        <f ca="1"/>
        <v>0</v>
      </c>
      <c r="BH189" s="933">
        <f ca="1"/>
        <v>0</v>
      </c>
      <c r="BI189" s="357">
        <f ca="1"/>
        <v>0</v>
      </c>
      <c r="BJ189" s="925">
        <f ca="1"/>
        <v>0</v>
      </c>
      <c r="BK189" s="925">
        <f ca="1"/>
        <v>0</v>
      </c>
      <c r="BL189" s="928">
        <f ca="1"/>
        <v>0</v>
      </c>
      <c r="BM189" s="200">
        <f ca="1"/>
        <v>0</v>
      </c>
      <c r="BN189" s="851">
        <f ca="1"/>
        <v>0</v>
      </c>
      <c r="BO189" s="851">
        <f ca="1"/>
        <v>0</v>
      </c>
      <c r="BP189" s="933">
        <f ca="1"/>
        <v>0</v>
      </c>
      <c r="BQ189" s="357">
        <f t="shared" ca="1" si="441"/>
        <v>0</v>
      </c>
      <c r="BR189" s="361">
        <f t="shared" ca="1" si="442"/>
        <v>0</v>
      </c>
      <c r="BS189" s="357">
        <f t="shared" ca="1" si="443"/>
        <v>0</v>
      </c>
      <c r="BT189" s="302">
        <f t="shared" ca="1" si="444"/>
        <v>0</v>
      </c>
      <c r="BU189" s="299">
        <f t="shared" ca="1" si="445"/>
        <v>0</v>
      </c>
      <c r="BV189" s="299">
        <f t="shared" ca="1" si="446"/>
        <v>0</v>
      </c>
      <c r="BW189" s="299">
        <f t="shared" ca="1" si="447"/>
        <v>0</v>
      </c>
      <c r="BX189" s="380">
        <f t="shared" ca="1" si="448"/>
        <v>14.414784394250514</v>
      </c>
      <c r="BY189" s="363">
        <f t="shared" ca="1" si="449"/>
        <v>0</v>
      </c>
      <c r="BZ189" s="353">
        <f t="shared" ca="1" si="450"/>
        <v>0</v>
      </c>
      <c r="CA189" s="353">
        <f t="shared" ca="1" si="451"/>
        <v>0</v>
      </c>
      <c r="CB189" s="353">
        <f t="shared" ca="1" si="452"/>
        <v>0</v>
      </c>
      <c r="CC189" s="353">
        <f t="shared" ca="1" si="453"/>
        <v>0</v>
      </c>
      <c r="CD189" s="353">
        <f t="shared" ca="1" si="454"/>
        <v>0</v>
      </c>
      <c r="CE189" s="302">
        <f t="shared" ca="1" si="455"/>
        <v>0</v>
      </c>
      <c r="CF189" s="299">
        <f t="shared" ca="1" si="456"/>
        <v>0</v>
      </c>
      <c r="CG189" s="299">
        <f t="shared" ca="1" si="457"/>
        <v>0</v>
      </c>
      <c r="CH189" s="299">
        <f t="shared" ca="1" si="458"/>
        <v>0</v>
      </c>
      <c r="CI189" s="299">
        <f t="shared" ca="1" si="459"/>
        <v>0</v>
      </c>
      <c r="CJ189" s="299">
        <f t="shared" ca="1" si="460"/>
        <v>0</v>
      </c>
      <c r="CK189" s="299">
        <f t="shared" ca="1" si="461"/>
        <v>0</v>
      </c>
      <c r="CL189" s="377" t="str">
        <f t="shared" ca="1" si="462"/>
        <v/>
      </c>
      <c r="CM189" s="305" t="str">
        <f t="shared" ca="1" si="463"/>
        <v/>
      </c>
      <c r="CN189" s="305" t="str">
        <f t="shared" ca="1" si="464"/>
        <v/>
      </c>
      <c r="CO189" s="305" t="str">
        <f t="shared" ca="1" si="465"/>
        <v/>
      </c>
      <c r="CP189" s="305" t="str">
        <f t="shared" ca="1" si="466"/>
        <v/>
      </c>
      <c r="CQ189" s="305" t="str">
        <f t="shared" ca="1" si="467"/>
        <v/>
      </c>
      <c r="CR189" s="775" t="str">
        <f t="shared" ca="1" si="468"/>
        <v/>
      </c>
      <c r="CS189" s="305" t="str">
        <f t="shared" ca="1" si="469"/>
        <v/>
      </c>
      <c r="CT189" s="305" t="str">
        <f t="shared" ca="1" si="470"/>
        <v/>
      </c>
      <c r="CU189" s="305" t="str">
        <f t="shared" ca="1" si="471"/>
        <v/>
      </c>
      <c r="CV189" s="770" t="str">
        <f t="shared" ca="1" si="472"/>
        <v/>
      </c>
      <c r="CW189" s="302">
        <f t="shared" ca="1" si="473"/>
        <v>0</v>
      </c>
      <c r="CX189" s="299">
        <f t="shared" ca="1" si="474"/>
        <v>0</v>
      </c>
      <c r="CY189" s="299">
        <f t="shared" ca="1" si="475"/>
        <v>0</v>
      </c>
      <c r="CZ189" s="299">
        <f t="shared" ca="1" si="476"/>
        <v>0</v>
      </c>
      <c r="DA189" s="774">
        <f t="shared" ca="1" si="477"/>
        <v>0</v>
      </c>
      <c r="DB189" s="303">
        <f t="shared" ca="1" si="478"/>
        <v>0</v>
      </c>
      <c r="DC189" s="248">
        <f t="shared" ca="1" si="479"/>
        <v>0</v>
      </c>
      <c r="DD189" s="778">
        <f t="shared" ca="1" si="480"/>
        <v>0</v>
      </c>
      <c r="DE189" s="363">
        <f t="shared" ca="1" si="481"/>
        <v>0</v>
      </c>
      <c r="DF189" s="378" t="str">
        <f t="shared" ca="1" si="482"/>
        <v/>
      </c>
      <c r="DG189" s="508" t="str">
        <f t="shared" ca="1" si="483"/>
        <v/>
      </c>
      <c r="DH189" s="508" t="str">
        <f t="shared" ca="1" si="484"/>
        <v/>
      </c>
      <c r="DI189" s="508" t="str">
        <f t="shared" ca="1" si="485"/>
        <v/>
      </c>
      <c r="DJ189" s="508" t="str">
        <f t="shared" ca="1" si="486"/>
        <v/>
      </c>
      <c r="DK189" s="353">
        <f t="shared" ca="1" si="487"/>
        <v>0</v>
      </c>
      <c r="DL189" s="781">
        <f t="shared" ca="1" si="488"/>
        <v>0</v>
      </c>
      <c r="DM189" s="303">
        <f t="shared" ca="1" si="489"/>
        <v>0</v>
      </c>
      <c r="DN189" s="508" t="str">
        <f t="shared" ca="1" si="490"/>
        <v/>
      </c>
      <c r="DO189" s="508" t="str">
        <f t="shared" ca="1" si="491"/>
        <v/>
      </c>
      <c r="DP189" s="508" t="str">
        <f t="shared" ca="1" si="492"/>
        <v/>
      </c>
      <c r="DQ189" s="508" t="str">
        <f t="shared" ca="1" si="493"/>
        <v/>
      </c>
      <c r="DR189" s="508" t="str">
        <f t="shared" ca="1" si="494"/>
        <v/>
      </c>
      <c r="DS189" s="353">
        <f t="shared" ca="1" si="495"/>
        <v>0</v>
      </c>
      <c r="DT189" s="353">
        <f t="shared" ca="1" si="496"/>
        <v>0</v>
      </c>
      <c r="DU189" s="380">
        <f t="shared" ca="1" si="596"/>
        <v>14.414784394250514</v>
      </c>
      <c r="DV189" s="303">
        <f t="shared" ca="1" si="497"/>
        <v>0</v>
      </c>
      <c r="DW189" s="303">
        <f t="shared" ca="1" si="498"/>
        <v>0</v>
      </c>
      <c r="DX189" s="303">
        <f t="shared" ca="1" si="499"/>
        <v>0</v>
      </c>
      <c r="DY189" s="303">
        <f t="shared" ca="1" si="500"/>
        <v>0</v>
      </c>
      <c r="DZ189" s="303">
        <f t="shared" ca="1" si="501"/>
        <v>0</v>
      </c>
      <c r="EA189" s="303">
        <f t="shared" ca="1" si="502"/>
        <v>0</v>
      </c>
      <c r="EB189" s="302">
        <f t="shared" ca="1" si="503"/>
        <v>0</v>
      </c>
      <c r="EC189" s="299">
        <f t="shared" ca="1" si="504"/>
        <v>0</v>
      </c>
      <c r="ED189" s="299">
        <f t="shared" ca="1" si="505"/>
        <v>0</v>
      </c>
      <c r="EE189" s="299">
        <f t="shared" ca="1" si="506"/>
        <v>0</v>
      </c>
      <c r="EF189" s="299">
        <f t="shared" ca="1" si="507"/>
        <v>0</v>
      </c>
      <c r="EG189" s="299">
        <f t="shared" ca="1" si="508"/>
        <v>0</v>
      </c>
      <c r="EH189" s="302">
        <f t="shared" ca="1" si="509"/>
        <v>0</v>
      </c>
      <c r="EI189" s="304" t="str">
        <f t="shared" ca="1" si="510"/>
        <v/>
      </c>
      <c r="EJ189" s="305" t="str">
        <f t="shared" ca="1" si="511"/>
        <v/>
      </c>
      <c r="EK189" s="305" t="str">
        <f t="shared" ca="1" si="512"/>
        <v/>
      </c>
      <c r="EL189" s="305" t="str">
        <f t="shared" ca="1" si="513"/>
        <v/>
      </c>
      <c r="EM189" s="305" t="str">
        <f t="shared" ca="1" si="514"/>
        <v/>
      </c>
      <c r="EN189" s="305" t="str">
        <f t="shared" ca="1" si="515"/>
        <v/>
      </c>
      <c r="EO189" s="305" t="str">
        <f t="shared" ca="1" si="516"/>
        <v/>
      </c>
      <c r="EP189" s="305" t="str">
        <f t="shared" ca="1" si="517"/>
        <v/>
      </c>
      <c r="EQ189" s="305" t="str">
        <f t="shared" ca="1" si="518"/>
        <v/>
      </c>
      <c r="ER189" s="305" t="str">
        <f t="shared" ca="1" si="519"/>
        <v/>
      </c>
      <c r="ES189" s="305" t="str">
        <f t="shared" ca="1" si="520"/>
        <v/>
      </c>
      <c r="ET189" s="299">
        <f t="shared" ca="1" si="521"/>
        <v>0</v>
      </c>
      <c r="EU189" s="302">
        <f t="shared" ca="1" si="522"/>
        <v>0</v>
      </c>
      <c r="EV189" s="304" t="str">
        <f t="shared" ca="1" si="523"/>
        <v/>
      </c>
      <c r="EW189" s="305" t="str">
        <f t="shared" ca="1" si="524"/>
        <v/>
      </c>
      <c r="EX189" s="305" t="str">
        <f t="shared" ca="1" si="525"/>
        <v/>
      </c>
      <c r="EY189" s="305" t="str">
        <f t="shared" ca="1" si="526"/>
        <v/>
      </c>
      <c r="EZ189" s="305" t="str">
        <f t="shared" ca="1" si="527"/>
        <v/>
      </c>
      <c r="FA189" s="305" t="str">
        <f t="shared" ca="1" si="528"/>
        <v/>
      </c>
      <c r="FB189" s="305" t="str">
        <f t="shared" ca="1" si="529"/>
        <v/>
      </c>
      <c r="FC189" s="305" t="str">
        <f t="shared" ca="1" si="530"/>
        <v/>
      </c>
      <c r="FD189" s="305" t="str">
        <f t="shared" ca="1" si="531"/>
        <v/>
      </c>
      <c r="FE189" s="305" t="str">
        <f t="shared" ca="1" si="532"/>
        <v/>
      </c>
      <c r="FF189" s="305" t="str">
        <f t="shared" ca="1" si="533"/>
        <v/>
      </c>
      <c r="FG189" s="299">
        <f t="shared" ca="1" si="534"/>
        <v>0</v>
      </c>
      <c r="FH189" s="302">
        <f t="shared" ca="1" si="535"/>
        <v>0</v>
      </c>
      <c r="FI189" s="248">
        <f t="shared" ca="1" si="536"/>
        <v>0</v>
      </c>
      <c r="FJ189" s="363">
        <f t="shared" ca="1" si="537"/>
        <v>0</v>
      </c>
      <c r="FK189" s="378" t="str">
        <f t="shared" ca="1" si="538"/>
        <v/>
      </c>
      <c r="FL189" s="508" t="str">
        <f t="shared" ca="1" si="539"/>
        <v/>
      </c>
      <c r="FM189" s="508" t="str">
        <f t="shared" ca="1" si="540"/>
        <v/>
      </c>
      <c r="FN189" s="508" t="str">
        <f t="shared" ca="1" si="541"/>
        <v/>
      </c>
      <c r="FO189" s="508" t="str">
        <f t="shared" ca="1" si="542"/>
        <v/>
      </c>
      <c r="FP189" s="353">
        <f t="shared" ca="1" si="543"/>
        <v>0</v>
      </c>
      <c r="FQ189" s="356">
        <f t="shared" ca="1" si="544"/>
        <v>0</v>
      </c>
      <c r="FR189" s="380">
        <f t="shared" ca="1" si="545"/>
        <v>0</v>
      </c>
      <c r="FS189" s="299">
        <f t="shared" ca="1" si="546"/>
        <v>0</v>
      </c>
      <c r="FT189" s="299">
        <f t="shared" ca="1" si="547"/>
        <v>0</v>
      </c>
      <c r="FU189" s="299">
        <f t="shared" ca="1" si="548"/>
        <v>0</v>
      </c>
      <c r="FV189" s="299">
        <f t="shared" ca="1" si="549"/>
        <v>0</v>
      </c>
      <c r="FW189" s="850" t="str">
        <f t="shared" ca="1" si="550"/>
        <v/>
      </c>
      <c r="FX189" s="851" t="str">
        <f t="shared" ca="1" si="551"/>
        <v/>
      </c>
      <c r="FY189" s="851" t="str">
        <f t="shared" ca="1" si="552"/>
        <v/>
      </c>
      <c r="FZ189" s="201" t="str">
        <f t="shared" ca="1" si="553"/>
        <v/>
      </c>
      <c r="GA189" s="201" t="str">
        <f t="shared" ca="1" si="554"/>
        <v/>
      </c>
      <c r="GB189" s="201" t="str">
        <f t="shared" ca="1" si="555"/>
        <v/>
      </c>
      <c r="GC189" s="201" t="str">
        <f t="shared" ca="1" si="556"/>
        <v/>
      </c>
      <c r="GD189" s="850" t="str">
        <f t="shared" ca="1" si="557"/>
        <v/>
      </c>
      <c r="GE189" s="866" t="str">
        <f t="shared" ca="1" si="558"/>
        <v/>
      </c>
      <c r="GF189" s="866" t="str">
        <f t="shared" ca="1" si="559"/>
        <v/>
      </c>
      <c r="GG189" s="866" t="str">
        <f t="shared" ca="1" si="560"/>
        <v/>
      </c>
      <c r="GH189" s="866" t="str">
        <f t="shared" ca="1" si="561"/>
        <v/>
      </c>
      <c r="GI189" s="302">
        <f t="shared" ca="1" si="562"/>
        <v>0</v>
      </c>
      <c r="GJ189" s="299">
        <f t="shared" ca="1" si="563"/>
        <v>0</v>
      </c>
      <c r="GK189" s="299">
        <f t="shared" ca="1" si="564"/>
        <v>0</v>
      </c>
      <c r="GL189" s="299">
        <f t="shared" ca="1" si="565"/>
        <v>0</v>
      </c>
      <c r="GM189" s="299">
        <f t="shared" ca="1" si="566"/>
        <v>0</v>
      </c>
      <c r="GN189" s="302">
        <f t="shared" ca="1" si="567"/>
        <v>0</v>
      </c>
      <c r="GO189" s="299">
        <f t="shared" ca="1" si="568"/>
        <v>0</v>
      </c>
      <c r="GP189" s="299">
        <f t="shared" ca="1" si="569"/>
        <v>0</v>
      </c>
      <c r="GQ189" s="299">
        <f t="shared" ca="1" si="570"/>
        <v>0</v>
      </c>
      <c r="GR189" s="299">
        <f t="shared" ca="1" si="571"/>
        <v>0</v>
      </c>
      <c r="GS189" s="302">
        <f t="shared" ca="1" si="572"/>
        <v>0</v>
      </c>
      <c r="GT189" s="299">
        <f t="shared" ca="1" si="573"/>
        <v>0</v>
      </c>
      <c r="GU189" s="299">
        <f t="shared" ca="1" si="574"/>
        <v>0</v>
      </c>
      <c r="GV189" s="299">
        <f t="shared" ca="1" si="575"/>
        <v>0</v>
      </c>
      <c r="GW189" s="299">
        <f t="shared" ca="1" si="576"/>
        <v>0</v>
      </c>
      <c r="GX189" s="303">
        <f t="shared" ca="1" si="577"/>
        <v>0</v>
      </c>
      <c r="GY189" s="303">
        <f t="shared" ca="1" si="578"/>
        <v>0</v>
      </c>
      <c r="GZ189" s="303">
        <f t="shared" ca="1" si="579"/>
        <v>0</v>
      </c>
      <c r="HA189" s="303">
        <f t="shared" ca="1" si="580"/>
        <v>0</v>
      </c>
      <c r="HB189" s="303">
        <f t="shared" ca="1" si="581"/>
        <v>0</v>
      </c>
      <c r="HC189" s="303">
        <f t="shared" ca="1" si="582"/>
        <v>0</v>
      </c>
      <c r="HD189" s="303">
        <f t="shared" ca="1" si="583"/>
        <v>0</v>
      </c>
      <c r="HE189" s="303">
        <f t="shared" ca="1" si="584"/>
        <v>0</v>
      </c>
      <c r="HF189" s="303">
        <f t="shared" ca="1" si="585"/>
        <v>0</v>
      </c>
      <c r="HG189" s="852">
        <f t="shared" ca="1" si="586"/>
        <v>0</v>
      </c>
    </row>
    <row r="190" spans="1:215" x14ac:dyDescent="0.25">
      <c r="A190" s="244">
        <f t="shared" ca="1" si="587"/>
        <v>41883</v>
      </c>
      <c r="B190" s="13">
        <f t="shared" ca="1" si="617"/>
        <v>2014</v>
      </c>
      <c r="C190" s="619">
        <f t="shared" ca="1" si="618"/>
        <v>9</v>
      </c>
      <c r="D190" s="195">
        <f t="shared" ca="1" si="417"/>
        <v>41883</v>
      </c>
      <c r="E190" s="469" t="str">
        <f t="shared" ca="1" si="418"/>
        <v/>
      </c>
      <c r="F190" s="465" t="str">
        <f t="shared" ca="1" si="419"/>
        <v/>
      </c>
      <c r="G190" s="522">
        <f t="shared" ca="1" si="588"/>
        <v>1</v>
      </c>
      <c r="H190" s="519">
        <f t="shared" ca="1" si="589"/>
        <v>1</v>
      </c>
      <c r="I190" s="724">
        <f t="shared" ca="1" si="619"/>
        <v>7.4189044367690998E-2</v>
      </c>
      <c r="J190" s="198">
        <f t="shared" ca="1" si="421"/>
        <v>0.34437748272594648</v>
      </c>
      <c r="K190" s="200">
        <f t="shared" ca="1" si="597"/>
        <v>32.65</v>
      </c>
      <c r="L190" s="201">
        <f t="shared" ca="1" si="598"/>
        <v>34.65</v>
      </c>
      <c r="M190" s="206">
        <f t="shared" ca="1" si="599"/>
        <v>36.65</v>
      </c>
      <c r="N190" s="851">
        <f t="shared" ca="1" si="603"/>
        <v>23.604999160766592</v>
      </c>
      <c r="O190" s="201">
        <f t="shared" ca="1" si="604"/>
        <v>25.104999160766592</v>
      </c>
      <c r="P190" s="206">
        <f t="shared" ca="1" si="605"/>
        <v>26.604999160766592</v>
      </c>
      <c r="Q190" s="201">
        <f t="shared" ca="1" si="606"/>
        <v>21.3</v>
      </c>
      <c r="R190" s="201">
        <f t="shared" ca="1" si="607"/>
        <v>25.6</v>
      </c>
      <c r="S190" s="201">
        <f t="shared" ca="1" si="608"/>
        <v>29.9</v>
      </c>
      <c r="T190" s="851">
        <f t="shared" ca="1" si="600"/>
        <v>20.149998092651362</v>
      </c>
      <c r="U190" s="201">
        <f t="shared" ca="1" si="601"/>
        <v>21.149998092651362</v>
      </c>
      <c r="V190" s="206">
        <f t="shared" ca="1" si="602"/>
        <v>22.149998092651362</v>
      </c>
      <c r="W190" s="230">
        <f t="shared" ca="1" si="590"/>
        <v>6.7799655649140589E-2</v>
      </c>
      <c r="X190" s="231">
        <f t="shared" ca="1" si="591"/>
        <v>0.13559931129828118</v>
      </c>
      <c r="Y190" s="232">
        <f t="shared" ca="1" si="592"/>
        <v>0.20339896694742177</v>
      </c>
      <c r="Z190" s="231">
        <f t="shared" ca="1" si="612"/>
        <v>6.7799655649140589E-2</v>
      </c>
      <c r="AA190" s="231">
        <f t="shared" ca="1" si="613"/>
        <v>0.13559931129828118</v>
      </c>
      <c r="AB190" s="232">
        <f t="shared" ca="1" si="614"/>
        <v>0.20339896694742177</v>
      </c>
      <c r="AC190" s="231">
        <f t="shared" ca="1" si="615"/>
        <v>6.7799655649140589E-2</v>
      </c>
      <c r="AD190" s="231">
        <f t="shared" ca="1" si="616"/>
        <v>0.13559931129828118</v>
      </c>
      <c r="AE190" s="232">
        <f t="shared" ca="1" si="422"/>
        <v>0.20339896694742177</v>
      </c>
      <c r="AF190" s="231">
        <f t="shared" ca="1" si="593"/>
        <v>3.0145677658996069E-2</v>
      </c>
      <c r="AG190" s="231">
        <f t="shared" ca="1" si="594"/>
        <v>6.0291355317992137E-2</v>
      </c>
      <c r="AH190" s="232">
        <f t="shared" ca="1" si="595"/>
        <v>9.0437032976988213E-2</v>
      </c>
      <c r="AI190" s="233">
        <f t="shared" ca="1" si="423"/>
        <v>1.1499999999999999</v>
      </c>
      <c r="AJ190" s="233">
        <f t="shared" ca="1" si="424"/>
        <v>1.5</v>
      </c>
      <c r="AK190" s="234">
        <f t="shared" ca="1" si="425"/>
        <v>1.8</v>
      </c>
      <c r="AL190" s="919">
        <f t="shared" ca="1" si="426"/>
        <v>1.1499999999999999</v>
      </c>
      <c r="AM190" s="233">
        <f t="shared" ca="1" si="427"/>
        <v>1.5</v>
      </c>
      <c r="AN190" s="234">
        <f t="shared" ca="1" si="428"/>
        <v>1.8</v>
      </c>
      <c r="AO190" s="233">
        <f t="shared" ca="1" si="429"/>
        <v>1.1499999999999999</v>
      </c>
      <c r="AP190" s="233">
        <f t="shared" ca="1" si="430"/>
        <v>1.5</v>
      </c>
      <c r="AQ190" s="233">
        <f t="shared" ca="1" si="431"/>
        <v>1.8</v>
      </c>
      <c r="AR190" s="919">
        <f t="shared" ca="1" si="432"/>
        <v>0.25</v>
      </c>
      <c r="AS190" s="233">
        <f t="shared" ca="1" si="433"/>
        <v>0.4</v>
      </c>
      <c r="AT190" s="235">
        <f t="shared" ca="1" si="434"/>
        <v>0.60000000000000009</v>
      </c>
      <c r="AU190" s="946">
        <f t="shared" si="435"/>
        <v>0.5</v>
      </c>
      <c r="AV190" s="13">
        <f t="shared" ca="1" si="436"/>
        <v>0</v>
      </c>
      <c r="AW190" s="210">
        <f t="shared" ca="1" si="437"/>
        <v>0</v>
      </c>
      <c r="AX190" s="210">
        <f t="shared" ca="1" si="438"/>
        <v>0</v>
      </c>
      <c r="AY190" s="210">
        <f t="shared" ca="1" si="439"/>
        <v>0</v>
      </c>
      <c r="AZ190" s="13">
        <f t="shared" ca="1" si="440"/>
        <v>0</v>
      </c>
      <c r="BA190" s="357">
        <f ca="1"/>
        <v>0</v>
      </c>
      <c r="BB190" s="925">
        <f ca="1"/>
        <v>0</v>
      </c>
      <c r="BC190" s="925">
        <f ca="1"/>
        <v>0</v>
      </c>
      <c r="BD190" s="928">
        <f ca="1"/>
        <v>0</v>
      </c>
      <c r="BE190" s="200">
        <f ca="1"/>
        <v>0</v>
      </c>
      <c r="BF190" s="851">
        <f ca="1"/>
        <v>0</v>
      </c>
      <c r="BG190" s="851">
        <f ca="1"/>
        <v>0</v>
      </c>
      <c r="BH190" s="933">
        <f ca="1"/>
        <v>0</v>
      </c>
      <c r="BI190" s="357">
        <f ca="1"/>
        <v>0</v>
      </c>
      <c r="BJ190" s="925">
        <f ca="1"/>
        <v>0</v>
      </c>
      <c r="BK190" s="925">
        <f ca="1"/>
        <v>0</v>
      </c>
      <c r="BL190" s="928">
        <f ca="1"/>
        <v>0</v>
      </c>
      <c r="BM190" s="200">
        <f ca="1"/>
        <v>0</v>
      </c>
      <c r="BN190" s="851">
        <f ca="1"/>
        <v>0</v>
      </c>
      <c r="BO190" s="851">
        <f ca="1"/>
        <v>0</v>
      </c>
      <c r="BP190" s="933">
        <f ca="1"/>
        <v>0</v>
      </c>
      <c r="BQ190" s="357">
        <f t="shared" ca="1" si="441"/>
        <v>0</v>
      </c>
      <c r="BR190" s="361">
        <f t="shared" ca="1" si="442"/>
        <v>0</v>
      </c>
      <c r="BS190" s="357">
        <f t="shared" ca="1" si="443"/>
        <v>0</v>
      </c>
      <c r="BT190" s="302">
        <f t="shared" ca="1" si="444"/>
        <v>0</v>
      </c>
      <c r="BU190" s="299">
        <f t="shared" ca="1" si="445"/>
        <v>0</v>
      </c>
      <c r="BV190" s="299">
        <f t="shared" ca="1" si="446"/>
        <v>0</v>
      </c>
      <c r="BW190" s="299">
        <f t="shared" ca="1" si="447"/>
        <v>0</v>
      </c>
      <c r="BX190" s="380">
        <f t="shared" ca="1" si="448"/>
        <v>14.499657768651609</v>
      </c>
      <c r="BY190" s="363">
        <f t="shared" ca="1" si="449"/>
        <v>0</v>
      </c>
      <c r="BZ190" s="353">
        <f t="shared" ca="1" si="450"/>
        <v>0</v>
      </c>
      <c r="CA190" s="353">
        <f t="shared" ca="1" si="451"/>
        <v>0</v>
      </c>
      <c r="CB190" s="353">
        <f t="shared" ca="1" si="452"/>
        <v>0</v>
      </c>
      <c r="CC190" s="353">
        <f t="shared" ca="1" si="453"/>
        <v>0</v>
      </c>
      <c r="CD190" s="353">
        <f t="shared" ca="1" si="454"/>
        <v>0</v>
      </c>
      <c r="CE190" s="302">
        <f t="shared" ca="1" si="455"/>
        <v>0</v>
      </c>
      <c r="CF190" s="299">
        <f t="shared" ca="1" si="456"/>
        <v>0</v>
      </c>
      <c r="CG190" s="299">
        <f t="shared" ca="1" si="457"/>
        <v>0</v>
      </c>
      <c r="CH190" s="299">
        <f t="shared" ca="1" si="458"/>
        <v>0</v>
      </c>
      <c r="CI190" s="299">
        <f t="shared" ca="1" si="459"/>
        <v>0</v>
      </c>
      <c r="CJ190" s="299">
        <f t="shared" ca="1" si="460"/>
        <v>0</v>
      </c>
      <c r="CK190" s="299">
        <f t="shared" ca="1" si="461"/>
        <v>0</v>
      </c>
      <c r="CL190" s="377" t="str">
        <f t="shared" ca="1" si="462"/>
        <v/>
      </c>
      <c r="CM190" s="305" t="str">
        <f t="shared" ca="1" si="463"/>
        <v/>
      </c>
      <c r="CN190" s="305" t="str">
        <f t="shared" ca="1" si="464"/>
        <v/>
      </c>
      <c r="CO190" s="305" t="str">
        <f t="shared" ca="1" si="465"/>
        <v/>
      </c>
      <c r="CP190" s="305" t="str">
        <f t="shared" ca="1" si="466"/>
        <v/>
      </c>
      <c r="CQ190" s="305" t="str">
        <f t="shared" ca="1" si="467"/>
        <v/>
      </c>
      <c r="CR190" s="775" t="str">
        <f t="shared" ca="1" si="468"/>
        <v/>
      </c>
      <c r="CS190" s="305" t="str">
        <f t="shared" ca="1" si="469"/>
        <v/>
      </c>
      <c r="CT190" s="305" t="str">
        <f t="shared" ca="1" si="470"/>
        <v/>
      </c>
      <c r="CU190" s="305" t="str">
        <f t="shared" ca="1" si="471"/>
        <v/>
      </c>
      <c r="CV190" s="770" t="str">
        <f t="shared" ca="1" si="472"/>
        <v/>
      </c>
      <c r="CW190" s="302">
        <f t="shared" ca="1" si="473"/>
        <v>0</v>
      </c>
      <c r="CX190" s="299">
        <f t="shared" ca="1" si="474"/>
        <v>0</v>
      </c>
      <c r="CY190" s="299">
        <f t="shared" ca="1" si="475"/>
        <v>0</v>
      </c>
      <c r="CZ190" s="299">
        <f t="shared" ca="1" si="476"/>
        <v>0</v>
      </c>
      <c r="DA190" s="774">
        <f t="shared" ca="1" si="477"/>
        <v>0</v>
      </c>
      <c r="DB190" s="303">
        <f t="shared" ca="1" si="478"/>
        <v>0</v>
      </c>
      <c r="DC190" s="248">
        <f t="shared" ca="1" si="479"/>
        <v>0</v>
      </c>
      <c r="DD190" s="778">
        <f t="shared" ca="1" si="480"/>
        <v>0</v>
      </c>
      <c r="DE190" s="363">
        <f t="shared" ca="1" si="481"/>
        <v>0</v>
      </c>
      <c r="DF190" s="378" t="str">
        <f t="shared" ca="1" si="482"/>
        <v/>
      </c>
      <c r="DG190" s="508" t="str">
        <f t="shared" ca="1" si="483"/>
        <v/>
      </c>
      <c r="DH190" s="508" t="str">
        <f t="shared" ca="1" si="484"/>
        <v/>
      </c>
      <c r="DI190" s="508" t="str">
        <f t="shared" ca="1" si="485"/>
        <v/>
      </c>
      <c r="DJ190" s="508" t="str">
        <f t="shared" ca="1" si="486"/>
        <v/>
      </c>
      <c r="DK190" s="353">
        <f t="shared" ca="1" si="487"/>
        <v>0</v>
      </c>
      <c r="DL190" s="781">
        <f t="shared" ca="1" si="488"/>
        <v>0</v>
      </c>
      <c r="DM190" s="303">
        <f t="shared" ca="1" si="489"/>
        <v>0</v>
      </c>
      <c r="DN190" s="508" t="str">
        <f t="shared" ca="1" si="490"/>
        <v/>
      </c>
      <c r="DO190" s="508" t="str">
        <f t="shared" ca="1" si="491"/>
        <v/>
      </c>
      <c r="DP190" s="508" t="str">
        <f t="shared" ca="1" si="492"/>
        <v/>
      </c>
      <c r="DQ190" s="508" t="str">
        <f t="shared" ca="1" si="493"/>
        <v/>
      </c>
      <c r="DR190" s="508" t="str">
        <f t="shared" ca="1" si="494"/>
        <v/>
      </c>
      <c r="DS190" s="353">
        <f t="shared" ca="1" si="495"/>
        <v>0</v>
      </c>
      <c r="DT190" s="353">
        <f t="shared" ca="1" si="496"/>
        <v>0</v>
      </c>
      <c r="DU190" s="380">
        <f t="shared" ca="1" si="596"/>
        <v>14.499657768651609</v>
      </c>
      <c r="DV190" s="303">
        <f t="shared" ca="1" si="497"/>
        <v>0</v>
      </c>
      <c r="DW190" s="303">
        <f t="shared" ca="1" si="498"/>
        <v>0</v>
      </c>
      <c r="DX190" s="303">
        <f t="shared" ca="1" si="499"/>
        <v>0</v>
      </c>
      <c r="DY190" s="303">
        <f t="shared" ca="1" si="500"/>
        <v>0</v>
      </c>
      <c r="DZ190" s="303">
        <f t="shared" ca="1" si="501"/>
        <v>0</v>
      </c>
      <c r="EA190" s="303">
        <f t="shared" ca="1" si="502"/>
        <v>0</v>
      </c>
      <c r="EB190" s="302">
        <f t="shared" ca="1" si="503"/>
        <v>0</v>
      </c>
      <c r="EC190" s="299">
        <f t="shared" ca="1" si="504"/>
        <v>0</v>
      </c>
      <c r="ED190" s="299">
        <f t="shared" ca="1" si="505"/>
        <v>0</v>
      </c>
      <c r="EE190" s="299">
        <f t="shared" ca="1" si="506"/>
        <v>0</v>
      </c>
      <c r="EF190" s="299">
        <f t="shared" ca="1" si="507"/>
        <v>0</v>
      </c>
      <c r="EG190" s="299">
        <f t="shared" ca="1" si="508"/>
        <v>0</v>
      </c>
      <c r="EH190" s="302">
        <f t="shared" ca="1" si="509"/>
        <v>0</v>
      </c>
      <c r="EI190" s="304" t="str">
        <f t="shared" ca="1" si="510"/>
        <v/>
      </c>
      <c r="EJ190" s="305" t="str">
        <f t="shared" ca="1" si="511"/>
        <v/>
      </c>
      <c r="EK190" s="305" t="str">
        <f t="shared" ca="1" si="512"/>
        <v/>
      </c>
      <c r="EL190" s="305" t="str">
        <f t="shared" ca="1" si="513"/>
        <v/>
      </c>
      <c r="EM190" s="305" t="str">
        <f t="shared" ca="1" si="514"/>
        <v/>
      </c>
      <c r="EN190" s="305" t="str">
        <f t="shared" ca="1" si="515"/>
        <v/>
      </c>
      <c r="EO190" s="305" t="str">
        <f t="shared" ca="1" si="516"/>
        <v/>
      </c>
      <c r="EP190" s="305" t="str">
        <f t="shared" ca="1" si="517"/>
        <v/>
      </c>
      <c r="EQ190" s="305" t="str">
        <f t="shared" ca="1" si="518"/>
        <v/>
      </c>
      <c r="ER190" s="305" t="str">
        <f t="shared" ca="1" si="519"/>
        <v/>
      </c>
      <c r="ES190" s="305" t="str">
        <f t="shared" ca="1" si="520"/>
        <v/>
      </c>
      <c r="ET190" s="299">
        <f t="shared" ca="1" si="521"/>
        <v>0</v>
      </c>
      <c r="EU190" s="302">
        <f t="shared" ca="1" si="522"/>
        <v>0</v>
      </c>
      <c r="EV190" s="304" t="str">
        <f t="shared" ca="1" si="523"/>
        <v/>
      </c>
      <c r="EW190" s="305" t="str">
        <f t="shared" ca="1" si="524"/>
        <v/>
      </c>
      <c r="EX190" s="305" t="str">
        <f t="shared" ca="1" si="525"/>
        <v/>
      </c>
      <c r="EY190" s="305" t="str">
        <f t="shared" ca="1" si="526"/>
        <v/>
      </c>
      <c r="EZ190" s="305" t="str">
        <f t="shared" ca="1" si="527"/>
        <v/>
      </c>
      <c r="FA190" s="305" t="str">
        <f t="shared" ca="1" si="528"/>
        <v/>
      </c>
      <c r="FB190" s="305" t="str">
        <f t="shared" ca="1" si="529"/>
        <v/>
      </c>
      <c r="FC190" s="305" t="str">
        <f t="shared" ca="1" si="530"/>
        <v/>
      </c>
      <c r="FD190" s="305" t="str">
        <f t="shared" ca="1" si="531"/>
        <v/>
      </c>
      <c r="FE190" s="305" t="str">
        <f t="shared" ca="1" si="532"/>
        <v/>
      </c>
      <c r="FF190" s="305" t="str">
        <f t="shared" ca="1" si="533"/>
        <v/>
      </c>
      <c r="FG190" s="299">
        <f t="shared" ca="1" si="534"/>
        <v>0</v>
      </c>
      <c r="FH190" s="302">
        <f t="shared" ca="1" si="535"/>
        <v>0</v>
      </c>
      <c r="FI190" s="248">
        <f t="shared" ca="1" si="536"/>
        <v>0</v>
      </c>
      <c r="FJ190" s="363">
        <f t="shared" ca="1" si="537"/>
        <v>0</v>
      </c>
      <c r="FK190" s="378" t="str">
        <f t="shared" ca="1" si="538"/>
        <v/>
      </c>
      <c r="FL190" s="508" t="str">
        <f t="shared" ca="1" si="539"/>
        <v/>
      </c>
      <c r="FM190" s="508" t="str">
        <f t="shared" ca="1" si="540"/>
        <v/>
      </c>
      <c r="FN190" s="508" t="str">
        <f t="shared" ca="1" si="541"/>
        <v/>
      </c>
      <c r="FO190" s="508" t="str">
        <f t="shared" ca="1" si="542"/>
        <v/>
      </c>
      <c r="FP190" s="353">
        <f t="shared" ca="1" si="543"/>
        <v>0</v>
      </c>
      <c r="FQ190" s="356">
        <f t="shared" ca="1" si="544"/>
        <v>0</v>
      </c>
      <c r="FR190" s="380">
        <f t="shared" ca="1" si="545"/>
        <v>0</v>
      </c>
      <c r="FS190" s="299">
        <f t="shared" ca="1" si="546"/>
        <v>0</v>
      </c>
      <c r="FT190" s="299">
        <f t="shared" ca="1" si="547"/>
        <v>0</v>
      </c>
      <c r="FU190" s="299">
        <f t="shared" ca="1" si="548"/>
        <v>0</v>
      </c>
      <c r="FV190" s="299">
        <f t="shared" ca="1" si="549"/>
        <v>0</v>
      </c>
      <c r="FW190" s="850" t="str">
        <f t="shared" ca="1" si="550"/>
        <v/>
      </c>
      <c r="FX190" s="851" t="str">
        <f t="shared" ca="1" si="551"/>
        <v/>
      </c>
      <c r="FY190" s="851" t="str">
        <f t="shared" ca="1" si="552"/>
        <v/>
      </c>
      <c r="FZ190" s="201" t="str">
        <f t="shared" ca="1" si="553"/>
        <v/>
      </c>
      <c r="GA190" s="201" t="str">
        <f t="shared" ca="1" si="554"/>
        <v/>
      </c>
      <c r="GB190" s="201" t="str">
        <f t="shared" ca="1" si="555"/>
        <v/>
      </c>
      <c r="GC190" s="201" t="str">
        <f t="shared" ca="1" si="556"/>
        <v/>
      </c>
      <c r="GD190" s="850" t="str">
        <f t="shared" ca="1" si="557"/>
        <v/>
      </c>
      <c r="GE190" s="866" t="str">
        <f t="shared" ca="1" si="558"/>
        <v/>
      </c>
      <c r="GF190" s="866" t="str">
        <f t="shared" ca="1" si="559"/>
        <v/>
      </c>
      <c r="GG190" s="866" t="str">
        <f t="shared" ca="1" si="560"/>
        <v/>
      </c>
      <c r="GH190" s="866" t="str">
        <f t="shared" ca="1" si="561"/>
        <v/>
      </c>
      <c r="GI190" s="302">
        <f t="shared" ca="1" si="562"/>
        <v>0</v>
      </c>
      <c r="GJ190" s="299">
        <f t="shared" ca="1" si="563"/>
        <v>0</v>
      </c>
      <c r="GK190" s="299">
        <f t="shared" ca="1" si="564"/>
        <v>0</v>
      </c>
      <c r="GL190" s="299">
        <f t="shared" ca="1" si="565"/>
        <v>0</v>
      </c>
      <c r="GM190" s="299">
        <f t="shared" ca="1" si="566"/>
        <v>0</v>
      </c>
      <c r="GN190" s="302">
        <f t="shared" ca="1" si="567"/>
        <v>0</v>
      </c>
      <c r="GO190" s="299">
        <f t="shared" ca="1" si="568"/>
        <v>0</v>
      </c>
      <c r="GP190" s="299">
        <f t="shared" ca="1" si="569"/>
        <v>0</v>
      </c>
      <c r="GQ190" s="299">
        <f t="shared" ca="1" si="570"/>
        <v>0</v>
      </c>
      <c r="GR190" s="299">
        <f t="shared" ca="1" si="571"/>
        <v>0</v>
      </c>
      <c r="GS190" s="302">
        <f t="shared" ca="1" si="572"/>
        <v>0</v>
      </c>
      <c r="GT190" s="299">
        <f t="shared" ca="1" si="573"/>
        <v>0</v>
      </c>
      <c r="GU190" s="299">
        <f t="shared" ca="1" si="574"/>
        <v>0</v>
      </c>
      <c r="GV190" s="299">
        <f t="shared" ca="1" si="575"/>
        <v>0</v>
      </c>
      <c r="GW190" s="299">
        <f t="shared" ca="1" si="576"/>
        <v>0</v>
      </c>
      <c r="GX190" s="303">
        <f t="shared" ca="1" si="577"/>
        <v>0</v>
      </c>
      <c r="GY190" s="303">
        <f t="shared" ca="1" si="578"/>
        <v>0</v>
      </c>
      <c r="GZ190" s="303">
        <f t="shared" ca="1" si="579"/>
        <v>0</v>
      </c>
      <c r="HA190" s="303">
        <f t="shared" ca="1" si="580"/>
        <v>0</v>
      </c>
      <c r="HB190" s="303">
        <f t="shared" ca="1" si="581"/>
        <v>0</v>
      </c>
      <c r="HC190" s="303">
        <f t="shared" ca="1" si="582"/>
        <v>0</v>
      </c>
      <c r="HD190" s="303">
        <f t="shared" ca="1" si="583"/>
        <v>0</v>
      </c>
      <c r="HE190" s="303">
        <f t="shared" ca="1" si="584"/>
        <v>0</v>
      </c>
      <c r="HF190" s="303">
        <f t="shared" ca="1" si="585"/>
        <v>0</v>
      </c>
      <c r="HG190" s="852">
        <f t="shared" ca="1" si="586"/>
        <v>0</v>
      </c>
    </row>
    <row r="191" spans="1:215" x14ac:dyDescent="0.25">
      <c r="A191" s="244">
        <f t="shared" ca="1" si="587"/>
        <v>41913</v>
      </c>
      <c r="B191" s="13">
        <f t="shared" ca="1" si="617"/>
        <v>2014</v>
      </c>
      <c r="C191" s="619">
        <f t="shared" ca="1" si="618"/>
        <v>10</v>
      </c>
      <c r="D191" s="195" t="str">
        <f t="shared" ca="1" si="417"/>
        <v/>
      </c>
      <c r="E191" s="469" t="str">
        <f t="shared" ca="1" si="418"/>
        <v/>
      </c>
      <c r="F191" s="465" t="str">
        <f t="shared" ca="1" si="419"/>
        <v/>
      </c>
      <c r="G191" s="522">
        <f t="shared" ca="1" si="588"/>
        <v>1</v>
      </c>
      <c r="H191" s="519">
        <f t="shared" ca="1" si="589"/>
        <v>1</v>
      </c>
      <c r="I191" s="724">
        <f t="shared" ca="1" si="619"/>
        <v>7.4188759156838993E-2</v>
      </c>
      <c r="J191" s="198">
        <f t="shared" ca="1" si="421"/>
        <v>0.34225625445014951</v>
      </c>
      <c r="K191" s="200">
        <f t="shared" ca="1" si="597"/>
        <v>30.55</v>
      </c>
      <c r="L191" s="201">
        <f t="shared" ca="1" si="598"/>
        <v>32.4</v>
      </c>
      <c r="M191" s="206">
        <f t="shared" ca="1" si="599"/>
        <v>34.25</v>
      </c>
      <c r="N191" s="851">
        <f t="shared" ca="1" si="603"/>
        <v>23.813000106811515</v>
      </c>
      <c r="O191" s="201">
        <f t="shared" ca="1" si="604"/>
        <v>25.200500106811514</v>
      </c>
      <c r="P191" s="206">
        <f t="shared" ca="1" si="605"/>
        <v>26.588000106811513</v>
      </c>
      <c r="Q191" s="201">
        <f t="shared" ca="1" si="606"/>
        <v>18.90099983215331</v>
      </c>
      <c r="R191" s="201">
        <f t="shared" ca="1" si="607"/>
        <v>23.200999832153311</v>
      </c>
      <c r="S191" s="201">
        <f t="shared" ca="1" si="608"/>
        <v>27.500999832153312</v>
      </c>
      <c r="T191" s="851">
        <f t="shared" ca="1" si="600"/>
        <v>19.924998855590815</v>
      </c>
      <c r="U191" s="201">
        <f t="shared" ca="1" si="601"/>
        <v>20.849998855590815</v>
      </c>
      <c r="V191" s="206">
        <f t="shared" ca="1" si="602"/>
        <v>21.774998855590816</v>
      </c>
      <c r="W191" s="230">
        <f t="shared" ca="1" si="590"/>
        <v>6.1678051306032503E-2</v>
      </c>
      <c r="X191" s="231">
        <f t="shared" ca="1" si="591"/>
        <v>0.12335610261206501</v>
      </c>
      <c r="Y191" s="232">
        <f t="shared" ca="1" si="592"/>
        <v>0.18503415391809752</v>
      </c>
      <c r="Z191" s="231">
        <f t="shared" ca="1" si="612"/>
        <v>6.1678051306032503E-2</v>
      </c>
      <c r="AA191" s="231">
        <f t="shared" ca="1" si="613"/>
        <v>0.12335610261206501</v>
      </c>
      <c r="AB191" s="232">
        <f t="shared" ca="1" si="614"/>
        <v>0.18503415391809752</v>
      </c>
      <c r="AC191" s="231">
        <f t="shared" ca="1" si="615"/>
        <v>6.1678051306032503E-2</v>
      </c>
      <c r="AD191" s="231">
        <f t="shared" ca="1" si="616"/>
        <v>0.12335610261206501</v>
      </c>
      <c r="AE191" s="232">
        <f t="shared" ca="1" si="422"/>
        <v>0.18503415391809752</v>
      </c>
      <c r="AF191" s="231">
        <f t="shared" ca="1" si="593"/>
        <v>2.260925824424705E-2</v>
      </c>
      <c r="AG191" s="231">
        <f t="shared" ca="1" si="594"/>
        <v>4.52185164884941E-2</v>
      </c>
      <c r="AH191" s="232">
        <f t="shared" ca="1" si="595"/>
        <v>6.7827774732741153E-2</v>
      </c>
      <c r="AI191" s="233">
        <f t="shared" ca="1" si="423"/>
        <v>0.85000000000000009</v>
      </c>
      <c r="AJ191" s="233">
        <f t="shared" ca="1" si="424"/>
        <v>1.1000000000000001</v>
      </c>
      <c r="AK191" s="234">
        <f t="shared" ca="1" si="425"/>
        <v>1.4000000000000001</v>
      </c>
      <c r="AL191" s="919">
        <f t="shared" ca="1" si="426"/>
        <v>0.85000000000000009</v>
      </c>
      <c r="AM191" s="233">
        <f t="shared" ca="1" si="427"/>
        <v>1.1000000000000001</v>
      </c>
      <c r="AN191" s="234">
        <f t="shared" ca="1" si="428"/>
        <v>1.4000000000000001</v>
      </c>
      <c r="AO191" s="233">
        <f t="shared" ca="1" si="429"/>
        <v>0.85000000000000009</v>
      </c>
      <c r="AP191" s="233">
        <f t="shared" ca="1" si="430"/>
        <v>1.1000000000000001</v>
      </c>
      <c r="AQ191" s="233">
        <f t="shared" ca="1" si="431"/>
        <v>1.4000000000000001</v>
      </c>
      <c r="AR191" s="919">
        <f t="shared" ca="1" si="432"/>
        <v>0.19999999999999998</v>
      </c>
      <c r="AS191" s="233">
        <f t="shared" ca="1" si="433"/>
        <v>0.35</v>
      </c>
      <c r="AT191" s="235">
        <f t="shared" ca="1" si="434"/>
        <v>0.55000000000000004</v>
      </c>
      <c r="AU191" s="946">
        <f t="shared" si="435"/>
        <v>0.5</v>
      </c>
      <c r="AV191" s="13">
        <f t="shared" ca="1" si="436"/>
        <v>0</v>
      </c>
      <c r="AW191" s="210">
        <f t="shared" ca="1" si="437"/>
        <v>0</v>
      </c>
      <c r="AX191" s="210">
        <f t="shared" ca="1" si="438"/>
        <v>0</v>
      </c>
      <c r="AY191" s="210">
        <f t="shared" ca="1" si="439"/>
        <v>0</v>
      </c>
      <c r="AZ191" s="13">
        <f t="shared" ca="1" si="440"/>
        <v>0</v>
      </c>
      <c r="BA191" s="357">
        <f ca="1"/>
        <v>0</v>
      </c>
      <c r="BB191" s="925">
        <f ca="1"/>
        <v>0</v>
      </c>
      <c r="BC191" s="925">
        <f ca="1"/>
        <v>0</v>
      </c>
      <c r="BD191" s="928">
        <f ca="1"/>
        <v>0</v>
      </c>
      <c r="BE191" s="200">
        <f ca="1"/>
        <v>0</v>
      </c>
      <c r="BF191" s="851">
        <f ca="1"/>
        <v>0</v>
      </c>
      <c r="BG191" s="851">
        <f ca="1"/>
        <v>0</v>
      </c>
      <c r="BH191" s="933">
        <f ca="1"/>
        <v>0</v>
      </c>
      <c r="BI191" s="357">
        <f ca="1"/>
        <v>0</v>
      </c>
      <c r="BJ191" s="925">
        <f ca="1"/>
        <v>0</v>
      </c>
      <c r="BK191" s="925">
        <f ca="1"/>
        <v>0</v>
      </c>
      <c r="BL191" s="928">
        <f ca="1"/>
        <v>0</v>
      </c>
      <c r="BM191" s="200">
        <f ca="1"/>
        <v>0</v>
      </c>
      <c r="BN191" s="851">
        <f ca="1"/>
        <v>0</v>
      </c>
      <c r="BO191" s="851">
        <f ca="1"/>
        <v>0</v>
      </c>
      <c r="BP191" s="933">
        <f ca="1"/>
        <v>0</v>
      </c>
      <c r="BQ191" s="357">
        <f t="shared" ca="1" si="441"/>
        <v>0</v>
      </c>
      <c r="BR191" s="361">
        <f t="shared" ca="1" si="442"/>
        <v>0</v>
      </c>
      <c r="BS191" s="357">
        <f t="shared" ca="1" si="443"/>
        <v>0</v>
      </c>
      <c r="BT191" s="302">
        <f t="shared" ca="1" si="444"/>
        <v>0</v>
      </c>
      <c r="BU191" s="299">
        <f t="shared" ca="1" si="445"/>
        <v>0</v>
      </c>
      <c r="BV191" s="299">
        <f t="shared" ca="1" si="446"/>
        <v>0</v>
      </c>
      <c r="BW191" s="299">
        <f t="shared" ca="1" si="447"/>
        <v>0</v>
      </c>
      <c r="BX191" s="380">
        <f t="shared" ca="1" si="448"/>
        <v>14.581793292265571</v>
      </c>
      <c r="BY191" s="363">
        <f t="shared" ca="1" si="449"/>
        <v>0</v>
      </c>
      <c r="BZ191" s="353">
        <f t="shared" ca="1" si="450"/>
        <v>0</v>
      </c>
      <c r="CA191" s="353">
        <f t="shared" ca="1" si="451"/>
        <v>0</v>
      </c>
      <c r="CB191" s="353">
        <f t="shared" ca="1" si="452"/>
        <v>0</v>
      </c>
      <c r="CC191" s="353">
        <f t="shared" ca="1" si="453"/>
        <v>0</v>
      </c>
      <c r="CD191" s="353">
        <f t="shared" ca="1" si="454"/>
        <v>0</v>
      </c>
      <c r="CE191" s="302">
        <f t="shared" ca="1" si="455"/>
        <v>0</v>
      </c>
      <c r="CF191" s="299">
        <f t="shared" ca="1" si="456"/>
        <v>0</v>
      </c>
      <c r="CG191" s="299">
        <f t="shared" ca="1" si="457"/>
        <v>0</v>
      </c>
      <c r="CH191" s="299">
        <f t="shared" ca="1" si="458"/>
        <v>0</v>
      </c>
      <c r="CI191" s="299">
        <f t="shared" ca="1" si="459"/>
        <v>0</v>
      </c>
      <c r="CJ191" s="299">
        <f t="shared" ca="1" si="460"/>
        <v>0</v>
      </c>
      <c r="CK191" s="299">
        <f t="shared" ca="1" si="461"/>
        <v>0</v>
      </c>
      <c r="CL191" s="377" t="str">
        <f t="shared" ca="1" si="462"/>
        <v/>
      </c>
      <c r="CM191" s="305" t="str">
        <f t="shared" ca="1" si="463"/>
        <v/>
      </c>
      <c r="CN191" s="305" t="str">
        <f t="shared" ca="1" si="464"/>
        <v/>
      </c>
      <c r="CO191" s="305" t="str">
        <f t="shared" ca="1" si="465"/>
        <v/>
      </c>
      <c r="CP191" s="305" t="str">
        <f t="shared" ca="1" si="466"/>
        <v/>
      </c>
      <c r="CQ191" s="305" t="str">
        <f t="shared" ca="1" si="467"/>
        <v/>
      </c>
      <c r="CR191" s="775" t="str">
        <f t="shared" ca="1" si="468"/>
        <v/>
      </c>
      <c r="CS191" s="305" t="str">
        <f t="shared" ca="1" si="469"/>
        <v/>
      </c>
      <c r="CT191" s="305" t="str">
        <f t="shared" ca="1" si="470"/>
        <v/>
      </c>
      <c r="CU191" s="305" t="str">
        <f t="shared" ca="1" si="471"/>
        <v/>
      </c>
      <c r="CV191" s="770" t="str">
        <f t="shared" ca="1" si="472"/>
        <v/>
      </c>
      <c r="CW191" s="302">
        <f t="shared" ca="1" si="473"/>
        <v>0</v>
      </c>
      <c r="CX191" s="299">
        <f t="shared" ca="1" si="474"/>
        <v>0</v>
      </c>
      <c r="CY191" s="299">
        <f t="shared" ca="1" si="475"/>
        <v>0</v>
      </c>
      <c r="CZ191" s="299">
        <f t="shared" ca="1" si="476"/>
        <v>0</v>
      </c>
      <c r="DA191" s="774">
        <f t="shared" ca="1" si="477"/>
        <v>0</v>
      </c>
      <c r="DB191" s="303">
        <f t="shared" ca="1" si="478"/>
        <v>0</v>
      </c>
      <c r="DC191" s="248">
        <f t="shared" ca="1" si="479"/>
        <v>0</v>
      </c>
      <c r="DD191" s="778">
        <f t="shared" ca="1" si="480"/>
        <v>0</v>
      </c>
      <c r="DE191" s="363">
        <f t="shared" ca="1" si="481"/>
        <v>0</v>
      </c>
      <c r="DF191" s="378" t="str">
        <f t="shared" ca="1" si="482"/>
        <v/>
      </c>
      <c r="DG191" s="508" t="str">
        <f t="shared" ca="1" si="483"/>
        <v/>
      </c>
      <c r="DH191" s="508" t="str">
        <f t="shared" ca="1" si="484"/>
        <v/>
      </c>
      <c r="DI191" s="508" t="str">
        <f t="shared" ca="1" si="485"/>
        <v/>
      </c>
      <c r="DJ191" s="508" t="str">
        <f t="shared" ca="1" si="486"/>
        <v/>
      </c>
      <c r="DK191" s="353">
        <f t="shared" ca="1" si="487"/>
        <v>0</v>
      </c>
      <c r="DL191" s="781">
        <f t="shared" ca="1" si="488"/>
        <v>0</v>
      </c>
      <c r="DM191" s="303">
        <f t="shared" ca="1" si="489"/>
        <v>0</v>
      </c>
      <c r="DN191" s="508" t="str">
        <f t="shared" ca="1" si="490"/>
        <v/>
      </c>
      <c r="DO191" s="508" t="str">
        <f t="shared" ca="1" si="491"/>
        <v/>
      </c>
      <c r="DP191" s="508" t="str">
        <f t="shared" ca="1" si="492"/>
        <v/>
      </c>
      <c r="DQ191" s="508" t="str">
        <f t="shared" ca="1" si="493"/>
        <v/>
      </c>
      <c r="DR191" s="508" t="str">
        <f t="shared" ca="1" si="494"/>
        <v/>
      </c>
      <c r="DS191" s="353">
        <f t="shared" ca="1" si="495"/>
        <v>0</v>
      </c>
      <c r="DT191" s="353">
        <f t="shared" ca="1" si="496"/>
        <v>0</v>
      </c>
      <c r="DU191" s="380">
        <f t="shared" ca="1" si="596"/>
        <v>14.581793292265571</v>
      </c>
      <c r="DV191" s="303">
        <f t="shared" ca="1" si="497"/>
        <v>0</v>
      </c>
      <c r="DW191" s="303">
        <f t="shared" ca="1" si="498"/>
        <v>0</v>
      </c>
      <c r="DX191" s="303">
        <f t="shared" ca="1" si="499"/>
        <v>0</v>
      </c>
      <c r="DY191" s="303">
        <f t="shared" ca="1" si="500"/>
        <v>0</v>
      </c>
      <c r="DZ191" s="303">
        <f t="shared" ca="1" si="501"/>
        <v>0</v>
      </c>
      <c r="EA191" s="303">
        <f t="shared" ca="1" si="502"/>
        <v>0</v>
      </c>
      <c r="EB191" s="302">
        <f t="shared" ca="1" si="503"/>
        <v>0</v>
      </c>
      <c r="EC191" s="299">
        <f t="shared" ca="1" si="504"/>
        <v>0</v>
      </c>
      <c r="ED191" s="299">
        <f t="shared" ca="1" si="505"/>
        <v>0</v>
      </c>
      <c r="EE191" s="299">
        <f t="shared" ca="1" si="506"/>
        <v>0</v>
      </c>
      <c r="EF191" s="299">
        <f t="shared" ca="1" si="507"/>
        <v>0</v>
      </c>
      <c r="EG191" s="299">
        <f t="shared" ca="1" si="508"/>
        <v>0</v>
      </c>
      <c r="EH191" s="302">
        <f t="shared" ca="1" si="509"/>
        <v>0</v>
      </c>
      <c r="EI191" s="304" t="str">
        <f t="shared" ca="1" si="510"/>
        <v/>
      </c>
      <c r="EJ191" s="305" t="str">
        <f t="shared" ca="1" si="511"/>
        <v/>
      </c>
      <c r="EK191" s="305" t="str">
        <f t="shared" ca="1" si="512"/>
        <v/>
      </c>
      <c r="EL191" s="305" t="str">
        <f t="shared" ca="1" si="513"/>
        <v/>
      </c>
      <c r="EM191" s="305" t="str">
        <f t="shared" ca="1" si="514"/>
        <v/>
      </c>
      <c r="EN191" s="305" t="str">
        <f t="shared" ca="1" si="515"/>
        <v/>
      </c>
      <c r="EO191" s="305" t="str">
        <f t="shared" ca="1" si="516"/>
        <v/>
      </c>
      <c r="EP191" s="305" t="str">
        <f t="shared" ca="1" si="517"/>
        <v/>
      </c>
      <c r="EQ191" s="305" t="str">
        <f t="shared" ca="1" si="518"/>
        <v/>
      </c>
      <c r="ER191" s="305" t="str">
        <f t="shared" ca="1" si="519"/>
        <v/>
      </c>
      <c r="ES191" s="305" t="str">
        <f t="shared" ca="1" si="520"/>
        <v/>
      </c>
      <c r="ET191" s="299">
        <f t="shared" ca="1" si="521"/>
        <v>0</v>
      </c>
      <c r="EU191" s="302">
        <f t="shared" ca="1" si="522"/>
        <v>0</v>
      </c>
      <c r="EV191" s="304" t="str">
        <f t="shared" ca="1" si="523"/>
        <v/>
      </c>
      <c r="EW191" s="305" t="str">
        <f t="shared" ca="1" si="524"/>
        <v/>
      </c>
      <c r="EX191" s="305" t="str">
        <f t="shared" ca="1" si="525"/>
        <v/>
      </c>
      <c r="EY191" s="305" t="str">
        <f t="shared" ca="1" si="526"/>
        <v/>
      </c>
      <c r="EZ191" s="305" t="str">
        <f t="shared" ca="1" si="527"/>
        <v/>
      </c>
      <c r="FA191" s="305" t="str">
        <f t="shared" ca="1" si="528"/>
        <v/>
      </c>
      <c r="FB191" s="305" t="str">
        <f t="shared" ca="1" si="529"/>
        <v/>
      </c>
      <c r="FC191" s="305" t="str">
        <f t="shared" ca="1" si="530"/>
        <v/>
      </c>
      <c r="FD191" s="305" t="str">
        <f t="shared" ca="1" si="531"/>
        <v/>
      </c>
      <c r="FE191" s="305" t="str">
        <f t="shared" ca="1" si="532"/>
        <v/>
      </c>
      <c r="FF191" s="305" t="str">
        <f t="shared" ca="1" si="533"/>
        <v/>
      </c>
      <c r="FG191" s="299">
        <f t="shared" ca="1" si="534"/>
        <v>0</v>
      </c>
      <c r="FH191" s="302">
        <f t="shared" ca="1" si="535"/>
        <v>0</v>
      </c>
      <c r="FI191" s="248">
        <f t="shared" ca="1" si="536"/>
        <v>0</v>
      </c>
      <c r="FJ191" s="363">
        <f t="shared" ca="1" si="537"/>
        <v>0</v>
      </c>
      <c r="FK191" s="378" t="str">
        <f t="shared" ca="1" si="538"/>
        <v/>
      </c>
      <c r="FL191" s="508" t="str">
        <f t="shared" ca="1" si="539"/>
        <v/>
      </c>
      <c r="FM191" s="508" t="str">
        <f t="shared" ca="1" si="540"/>
        <v/>
      </c>
      <c r="FN191" s="508" t="str">
        <f t="shared" ca="1" si="541"/>
        <v/>
      </c>
      <c r="FO191" s="508" t="str">
        <f t="shared" ca="1" si="542"/>
        <v/>
      </c>
      <c r="FP191" s="353">
        <f t="shared" ca="1" si="543"/>
        <v>0</v>
      </c>
      <c r="FQ191" s="356">
        <f t="shared" ca="1" si="544"/>
        <v>0</v>
      </c>
      <c r="FR191" s="380">
        <f t="shared" ca="1" si="545"/>
        <v>0</v>
      </c>
      <c r="FS191" s="299">
        <f t="shared" ca="1" si="546"/>
        <v>0</v>
      </c>
      <c r="FT191" s="299">
        <f t="shared" ca="1" si="547"/>
        <v>0</v>
      </c>
      <c r="FU191" s="299">
        <f t="shared" ca="1" si="548"/>
        <v>0</v>
      </c>
      <c r="FV191" s="299">
        <f t="shared" ca="1" si="549"/>
        <v>0</v>
      </c>
      <c r="FW191" s="850" t="str">
        <f t="shared" ca="1" si="550"/>
        <v/>
      </c>
      <c r="FX191" s="851" t="str">
        <f t="shared" ca="1" si="551"/>
        <v/>
      </c>
      <c r="FY191" s="851" t="str">
        <f t="shared" ca="1" si="552"/>
        <v/>
      </c>
      <c r="FZ191" s="201" t="str">
        <f t="shared" ca="1" si="553"/>
        <v/>
      </c>
      <c r="GA191" s="201" t="str">
        <f t="shared" ca="1" si="554"/>
        <v/>
      </c>
      <c r="GB191" s="201" t="str">
        <f t="shared" ca="1" si="555"/>
        <v/>
      </c>
      <c r="GC191" s="201" t="str">
        <f t="shared" ca="1" si="556"/>
        <v/>
      </c>
      <c r="GD191" s="850" t="str">
        <f t="shared" ca="1" si="557"/>
        <v/>
      </c>
      <c r="GE191" s="866" t="str">
        <f t="shared" ca="1" si="558"/>
        <v/>
      </c>
      <c r="GF191" s="866" t="str">
        <f t="shared" ca="1" si="559"/>
        <v/>
      </c>
      <c r="GG191" s="866" t="str">
        <f t="shared" ca="1" si="560"/>
        <v/>
      </c>
      <c r="GH191" s="866" t="str">
        <f t="shared" ca="1" si="561"/>
        <v/>
      </c>
      <c r="GI191" s="302">
        <f t="shared" ca="1" si="562"/>
        <v>0</v>
      </c>
      <c r="GJ191" s="299">
        <f t="shared" ca="1" si="563"/>
        <v>0</v>
      </c>
      <c r="GK191" s="299">
        <f t="shared" ca="1" si="564"/>
        <v>0</v>
      </c>
      <c r="GL191" s="299">
        <f t="shared" ca="1" si="565"/>
        <v>0</v>
      </c>
      <c r="GM191" s="299">
        <f t="shared" ca="1" si="566"/>
        <v>0</v>
      </c>
      <c r="GN191" s="302">
        <f t="shared" ca="1" si="567"/>
        <v>0</v>
      </c>
      <c r="GO191" s="299">
        <f t="shared" ca="1" si="568"/>
        <v>0</v>
      </c>
      <c r="GP191" s="299">
        <f t="shared" ca="1" si="569"/>
        <v>0</v>
      </c>
      <c r="GQ191" s="299">
        <f t="shared" ca="1" si="570"/>
        <v>0</v>
      </c>
      <c r="GR191" s="299">
        <f t="shared" ca="1" si="571"/>
        <v>0</v>
      </c>
      <c r="GS191" s="302">
        <f t="shared" ca="1" si="572"/>
        <v>0</v>
      </c>
      <c r="GT191" s="299">
        <f t="shared" ca="1" si="573"/>
        <v>0</v>
      </c>
      <c r="GU191" s="299">
        <f t="shared" ca="1" si="574"/>
        <v>0</v>
      </c>
      <c r="GV191" s="299">
        <f t="shared" ca="1" si="575"/>
        <v>0</v>
      </c>
      <c r="GW191" s="299">
        <f t="shared" ca="1" si="576"/>
        <v>0</v>
      </c>
      <c r="GX191" s="303">
        <f t="shared" ca="1" si="577"/>
        <v>0</v>
      </c>
      <c r="GY191" s="303">
        <f t="shared" ca="1" si="578"/>
        <v>0</v>
      </c>
      <c r="GZ191" s="303">
        <f t="shared" ca="1" si="579"/>
        <v>0</v>
      </c>
      <c r="HA191" s="303">
        <f t="shared" ca="1" si="580"/>
        <v>0</v>
      </c>
      <c r="HB191" s="303">
        <f t="shared" ca="1" si="581"/>
        <v>0</v>
      </c>
      <c r="HC191" s="303">
        <f t="shared" ca="1" si="582"/>
        <v>0</v>
      </c>
      <c r="HD191" s="303">
        <f t="shared" ca="1" si="583"/>
        <v>0</v>
      </c>
      <c r="HE191" s="303">
        <f t="shared" ca="1" si="584"/>
        <v>0</v>
      </c>
      <c r="HF191" s="303">
        <f t="shared" ca="1" si="585"/>
        <v>0</v>
      </c>
      <c r="HG191" s="852">
        <f t="shared" ca="1" si="586"/>
        <v>0</v>
      </c>
    </row>
    <row r="192" spans="1:215" x14ac:dyDescent="0.25">
      <c r="A192" s="244">
        <f t="shared" ca="1" si="587"/>
        <v>41944</v>
      </c>
      <c r="B192" s="13">
        <f t="shared" ca="1" si="617"/>
        <v>2014</v>
      </c>
      <c r="C192" s="619">
        <f t="shared" ca="1" si="618"/>
        <v>11</v>
      </c>
      <c r="D192" s="195">
        <f t="shared" ca="1" si="417"/>
        <v>41970</v>
      </c>
      <c r="E192" s="469" t="str">
        <f t="shared" ca="1" si="418"/>
        <v/>
      </c>
      <c r="F192" s="465" t="str">
        <f t="shared" ca="1" si="419"/>
        <v/>
      </c>
      <c r="G192" s="522">
        <f t="shared" ca="1" si="588"/>
        <v>1</v>
      </c>
      <c r="H192" s="519">
        <f t="shared" ca="1" si="589"/>
        <v>1</v>
      </c>
      <c r="I192" s="724">
        <f t="shared" ca="1" si="619"/>
        <v>7.4188464438958004E-2</v>
      </c>
      <c r="J192" s="198">
        <f t="shared" ca="1" si="421"/>
        <v>0.34021600016959952</v>
      </c>
      <c r="K192" s="200">
        <f t="shared" ca="1" si="597"/>
        <v>30.925000000000001</v>
      </c>
      <c r="L192" s="201">
        <f t="shared" ca="1" si="598"/>
        <v>32.774999999999999</v>
      </c>
      <c r="M192" s="206">
        <f t="shared" ca="1" si="599"/>
        <v>34.625</v>
      </c>
      <c r="N192" s="851">
        <f t="shared" ca="1" si="603"/>
        <v>24.817251586914054</v>
      </c>
      <c r="O192" s="201">
        <f t="shared" ca="1" si="604"/>
        <v>26.204751586914053</v>
      </c>
      <c r="P192" s="206">
        <f t="shared" ca="1" si="605"/>
        <v>27.592251586914053</v>
      </c>
      <c r="Q192" s="201">
        <f t="shared" ca="1" si="606"/>
        <v>19.904499816894521</v>
      </c>
      <c r="R192" s="201">
        <f t="shared" ca="1" si="607"/>
        <v>24.204499816894522</v>
      </c>
      <c r="S192" s="201">
        <f t="shared" ca="1" si="608"/>
        <v>28.504499816894523</v>
      </c>
      <c r="T192" s="851">
        <f t="shared" ca="1" si="600"/>
        <v>19.849998092651362</v>
      </c>
      <c r="U192" s="201">
        <f t="shared" ca="1" si="601"/>
        <v>20.774998092651362</v>
      </c>
      <c r="V192" s="206">
        <f t="shared" ca="1" si="602"/>
        <v>21.699998092651363</v>
      </c>
      <c r="W192" s="230">
        <f t="shared" ca="1" si="590"/>
        <v>6.1678051306032503E-2</v>
      </c>
      <c r="X192" s="231">
        <f t="shared" ca="1" si="591"/>
        <v>0.12335610261206501</v>
      </c>
      <c r="Y192" s="232">
        <f t="shared" ca="1" si="592"/>
        <v>0.18503415391809752</v>
      </c>
      <c r="Z192" s="231">
        <f t="shared" ca="1" si="612"/>
        <v>6.1678051306032503E-2</v>
      </c>
      <c r="AA192" s="231">
        <f t="shared" ca="1" si="613"/>
        <v>0.12335610261206501</v>
      </c>
      <c r="AB192" s="232">
        <f t="shared" ca="1" si="614"/>
        <v>0.18503415391809752</v>
      </c>
      <c r="AC192" s="231">
        <f t="shared" ca="1" si="615"/>
        <v>6.1678051306032503E-2</v>
      </c>
      <c r="AD192" s="231">
        <f t="shared" ca="1" si="616"/>
        <v>0.12335610261206501</v>
      </c>
      <c r="AE192" s="232">
        <f t="shared" ca="1" si="422"/>
        <v>0.18503415391809752</v>
      </c>
      <c r="AF192" s="231">
        <f t="shared" ca="1" si="593"/>
        <v>2.260925824424705E-2</v>
      </c>
      <c r="AG192" s="231">
        <f t="shared" ca="1" si="594"/>
        <v>4.52185164884941E-2</v>
      </c>
      <c r="AH192" s="232">
        <f t="shared" ca="1" si="595"/>
        <v>6.7827774732741153E-2</v>
      </c>
      <c r="AI192" s="233">
        <f t="shared" ca="1" si="423"/>
        <v>1</v>
      </c>
      <c r="AJ192" s="233">
        <f t="shared" ca="1" si="424"/>
        <v>1.25</v>
      </c>
      <c r="AK192" s="234">
        <f t="shared" ca="1" si="425"/>
        <v>1.55</v>
      </c>
      <c r="AL192" s="919">
        <f t="shared" ca="1" si="426"/>
        <v>1</v>
      </c>
      <c r="AM192" s="233">
        <f t="shared" ca="1" si="427"/>
        <v>1.25</v>
      </c>
      <c r="AN192" s="234">
        <f t="shared" ca="1" si="428"/>
        <v>1.55</v>
      </c>
      <c r="AO192" s="233">
        <f t="shared" ca="1" si="429"/>
        <v>1</v>
      </c>
      <c r="AP192" s="233">
        <f t="shared" ca="1" si="430"/>
        <v>1.25</v>
      </c>
      <c r="AQ192" s="233">
        <f t="shared" ca="1" si="431"/>
        <v>1.55</v>
      </c>
      <c r="AR192" s="919">
        <f t="shared" ca="1" si="432"/>
        <v>0.15</v>
      </c>
      <c r="AS192" s="233">
        <f t="shared" ca="1" si="433"/>
        <v>0.3</v>
      </c>
      <c r="AT192" s="235">
        <f t="shared" ca="1" si="434"/>
        <v>0.5</v>
      </c>
      <c r="AU192" s="946">
        <f t="shared" si="435"/>
        <v>0.5</v>
      </c>
      <c r="AV192" s="13">
        <f t="shared" ca="1" si="436"/>
        <v>0</v>
      </c>
      <c r="AW192" s="210">
        <f t="shared" ca="1" si="437"/>
        <v>0</v>
      </c>
      <c r="AX192" s="210">
        <f t="shared" ca="1" si="438"/>
        <v>0</v>
      </c>
      <c r="AY192" s="210">
        <f t="shared" ca="1" si="439"/>
        <v>0</v>
      </c>
      <c r="AZ192" s="13">
        <f t="shared" ca="1" si="440"/>
        <v>0</v>
      </c>
      <c r="BA192" s="357">
        <f ca="1"/>
        <v>0</v>
      </c>
      <c r="BB192" s="925">
        <f ca="1"/>
        <v>0</v>
      </c>
      <c r="BC192" s="925">
        <f ca="1"/>
        <v>0</v>
      </c>
      <c r="BD192" s="928">
        <f ca="1"/>
        <v>0</v>
      </c>
      <c r="BE192" s="200">
        <f ca="1"/>
        <v>0</v>
      </c>
      <c r="BF192" s="851">
        <f ca="1"/>
        <v>0</v>
      </c>
      <c r="BG192" s="851">
        <f ca="1"/>
        <v>0</v>
      </c>
      <c r="BH192" s="933">
        <f ca="1"/>
        <v>0</v>
      </c>
      <c r="BI192" s="357">
        <f ca="1"/>
        <v>0</v>
      </c>
      <c r="BJ192" s="925">
        <f ca="1"/>
        <v>0</v>
      </c>
      <c r="BK192" s="925">
        <f ca="1"/>
        <v>0</v>
      </c>
      <c r="BL192" s="928">
        <f ca="1"/>
        <v>0</v>
      </c>
      <c r="BM192" s="200">
        <f ca="1"/>
        <v>0</v>
      </c>
      <c r="BN192" s="851">
        <f ca="1"/>
        <v>0</v>
      </c>
      <c r="BO192" s="851">
        <f ca="1"/>
        <v>0</v>
      </c>
      <c r="BP192" s="933">
        <f ca="1"/>
        <v>0</v>
      </c>
      <c r="BQ192" s="357">
        <f t="shared" ca="1" si="441"/>
        <v>0</v>
      </c>
      <c r="BR192" s="361">
        <f t="shared" ca="1" si="442"/>
        <v>0</v>
      </c>
      <c r="BS192" s="357">
        <f t="shared" ca="1" si="443"/>
        <v>0</v>
      </c>
      <c r="BT192" s="302">
        <f t="shared" ca="1" si="444"/>
        <v>0</v>
      </c>
      <c r="BU192" s="299">
        <f t="shared" ca="1" si="445"/>
        <v>0</v>
      </c>
      <c r="BV192" s="299">
        <f t="shared" ca="1" si="446"/>
        <v>0</v>
      </c>
      <c r="BW192" s="299">
        <f t="shared" ca="1" si="447"/>
        <v>0</v>
      </c>
      <c r="BX192" s="380">
        <f t="shared" ca="1" si="448"/>
        <v>14.666666666666666</v>
      </c>
      <c r="BY192" s="363">
        <f t="shared" ca="1" si="449"/>
        <v>0</v>
      </c>
      <c r="BZ192" s="353">
        <f t="shared" ca="1" si="450"/>
        <v>0</v>
      </c>
      <c r="CA192" s="353">
        <f t="shared" ca="1" si="451"/>
        <v>0</v>
      </c>
      <c r="CB192" s="353">
        <f t="shared" ca="1" si="452"/>
        <v>0</v>
      </c>
      <c r="CC192" s="353">
        <f t="shared" ca="1" si="453"/>
        <v>0</v>
      </c>
      <c r="CD192" s="353">
        <f t="shared" ca="1" si="454"/>
        <v>0</v>
      </c>
      <c r="CE192" s="302">
        <f t="shared" ca="1" si="455"/>
        <v>0</v>
      </c>
      <c r="CF192" s="299">
        <f t="shared" ca="1" si="456"/>
        <v>0</v>
      </c>
      <c r="CG192" s="299">
        <f t="shared" ca="1" si="457"/>
        <v>0</v>
      </c>
      <c r="CH192" s="299">
        <f t="shared" ca="1" si="458"/>
        <v>0</v>
      </c>
      <c r="CI192" s="299">
        <f t="shared" ca="1" si="459"/>
        <v>0</v>
      </c>
      <c r="CJ192" s="299">
        <f t="shared" ca="1" si="460"/>
        <v>0</v>
      </c>
      <c r="CK192" s="299">
        <f t="shared" ca="1" si="461"/>
        <v>0</v>
      </c>
      <c r="CL192" s="377" t="str">
        <f t="shared" ca="1" si="462"/>
        <v/>
      </c>
      <c r="CM192" s="305" t="str">
        <f t="shared" ca="1" si="463"/>
        <v/>
      </c>
      <c r="CN192" s="305" t="str">
        <f t="shared" ca="1" si="464"/>
        <v/>
      </c>
      <c r="CO192" s="305" t="str">
        <f t="shared" ca="1" si="465"/>
        <v/>
      </c>
      <c r="CP192" s="305" t="str">
        <f t="shared" ca="1" si="466"/>
        <v/>
      </c>
      <c r="CQ192" s="305" t="str">
        <f t="shared" ca="1" si="467"/>
        <v/>
      </c>
      <c r="CR192" s="775" t="str">
        <f t="shared" ca="1" si="468"/>
        <v/>
      </c>
      <c r="CS192" s="305" t="str">
        <f t="shared" ca="1" si="469"/>
        <v/>
      </c>
      <c r="CT192" s="305" t="str">
        <f t="shared" ca="1" si="470"/>
        <v/>
      </c>
      <c r="CU192" s="305" t="str">
        <f t="shared" ca="1" si="471"/>
        <v/>
      </c>
      <c r="CV192" s="770" t="str">
        <f t="shared" ca="1" si="472"/>
        <v/>
      </c>
      <c r="CW192" s="302">
        <f t="shared" ca="1" si="473"/>
        <v>0</v>
      </c>
      <c r="CX192" s="299">
        <f t="shared" ca="1" si="474"/>
        <v>0</v>
      </c>
      <c r="CY192" s="299">
        <f t="shared" ca="1" si="475"/>
        <v>0</v>
      </c>
      <c r="CZ192" s="299">
        <f t="shared" ca="1" si="476"/>
        <v>0</v>
      </c>
      <c r="DA192" s="774">
        <f t="shared" ca="1" si="477"/>
        <v>0</v>
      </c>
      <c r="DB192" s="303">
        <f t="shared" ca="1" si="478"/>
        <v>0</v>
      </c>
      <c r="DC192" s="248">
        <f t="shared" ca="1" si="479"/>
        <v>0</v>
      </c>
      <c r="DD192" s="778">
        <f t="shared" ca="1" si="480"/>
        <v>0</v>
      </c>
      <c r="DE192" s="363">
        <f t="shared" ca="1" si="481"/>
        <v>0</v>
      </c>
      <c r="DF192" s="378" t="str">
        <f t="shared" ca="1" si="482"/>
        <v/>
      </c>
      <c r="DG192" s="508" t="str">
        <f t="shared" ca="1" si="483"/>
        <v/>
      </c>
      <c r="DH192" s="508" t="str">
        <f t="shared" ca="1" si="484"/>
        <v/>
      </c>
      <c r="DI192" s="508" t="str">
        <f t="shared" ca="1" si="485"/>
        <v/>
      </c>
      <c r="DJ192" s="508" t="str">
        <f t="shared" ca="1" si="486"/>
        <v/>
      </c>
      <c r="DK192" s="353">
        <f t="shared" ca="1" si="487"/>
        <v>0</v>
      </c>
      <c r="DL192" s="781">
        <f t="shared" ca="1" si="488"/>
        <v>0</v>
      </c>
      <c r="DM192" s="303">
        <f t="shared" ca="1" si="489"/>
        <v>0</v>
      </c>
      <c r="DN192" s="508" t="str">
        <f t="shared" ca="1" si="490"/>
        <v/>
      </c>
      <c r="DO192" s="508" t="str">
        <f t="shared" ca="1" si="491"/>
        <v/>
      </c>
      <c r="DP192" s="508" t="str">
        <f t="shared" ca="1" si="492"/>
        <v/>
      </c>
      <c r="DQ192" s="508" t="str">
        <f t="shared" ca="1" si="493"/>
        <v/>
      </c>
      <c r="DR192" s="508" t="str">
        <f t="shared" ca="1" si="494"/>
        <v/>
      </c>
      <c r="DS192" s="353">
        <f t="shared" ca="1" si="495"/>
        <v>0</v>
      </c>
      <c r="DT192" s="353">
        <f t="shared" ca="1" si="496"/>
        <v>0</v>
      </c>
      <c r="DU192" s="380">
        <f t="shared" ca="1" si="596"/>
        <v>14.666666666666666</v>
      </c>
      <c r="DV192" s="303">
        <f t="shared" ca="1" si="497"/>
        <v>0</v>
      </c>
      <c r="DW192" s="303">
        <f t="shared" ca="1" si="498"/>
        <v>0</v>
      </c>
      <c r="DX192" s="303">
        <f t="shared" ca="1" si="499"/>
        <v>0</v>
      </c>
      <c r="DY192" s="303">
        <f t="shared" ca="1" si="500"/>
        <v>0</v>
      </c>
      <c r="DZ192" s="303">
        <f t="shared" ca="1" si="501"/>
        <v>0</v>
      </c>
      <c r="EA192" s="303">
        <f t="shared" ca="1" si="502"/>
        <v>0</v>
      </c>
      <c r="EB192" s="302">
        <f t="shared" ca="1" si="503"/>
        <v>0</v>
      </c>
      <c r="EC192" s="299">
        <f t="shared" ca="1" si="504"/>
        <v>0</v>
      </c>
      <c r="ED192" s="299">
        <f t="shared" ca="1" si="505"/>
        <v>0</v>
      </c>
      <c r="EE192" s="299">
        <f t="shared" ca="1" si="506"/>
        <v>0</v>
      </c>
      <c r="EF192" s="299">
        <f t="shared" ca="1" si="507"/>
        <v>0</v>
      </c>
      <c r="EG192" s="299">
        <f t="shared" ca="1" si="508"/>
        <v>0</v>
      </c>
      <c r="EH192" s="302">
        <f t="shared" ca="1" si="509"/>
        <v>0</v>
      </c>
      <c r="EI192" s="304" t="str">
        <f t="shared" ca="1" si="510"/>
        <v/>
      </c>
      <c r="EJ192" s="305" t="str">
        <f t="shared" ca="1" si="511"/>
        <v/>
      </c>
      <c r="EK192" s="305" t="str">
        <f t="shared" ca="1" si="512"/>
        <v/>
      </c>
      <c r="EL192" s="305" t="str">
        <f t="shared" ca="1" si="513"/>
        <v/>
      </c>
      <c r="EM192" s="305" t="str">
        <f t="shared" ca="1" si="514"/>
        <v/>
      </c>
      <c r="EN192" s="305" t="str">
        <f t="shared" ca="1" si="515"/>
        <v/>
      </c>
      <c r="EO192" s="305" t="str">
        <f t="shared" ca="1" si="516"/>
        <v/>
      </c>
      <c r="EP192" s="305" t="str">
        <f t="shared" ca="1" si="517"/>
        <v/>
      </c>
      <c r="EQ192" s="305" t="str">
        <f t="shared" ca="1" si="518"/>
        <v/>
      </c>
      <c r="ER192" s="305" t="str">
        <f t="shared" ca="1" si="519"/>
        <v/>
      </c>
      <c r="ES192" s="305" t="str">
        <f t="shared" ca="1" si="520"/>
        <v/>
      </c>
      <c r="ET192" s="299">
        <f t="shared" ca="1" si="521"/>
        <v>0</v>
      </c>
      <c r="EU192" s="302">
        <f t="shared" ca="1" si="522"/>
        <v>0</v>
      </c>
      <c r="EV192" s="304" t="str">
        <f t="shared" ca="1" si="523"/>
        <v/>
      </c>
      <c r="EW192" s="305" t="str">
        <f t="shared" ca="1" si="524"/>
        <v/>
      </c>
      <c r="EX192" s="305" t="str">
        <f t="shared" ca="1" si="525"/>
        <v/>
      </c>
      <c r="EY192" s="305" t="str">
        <f t="shared" ca="1" si="526"/>
        <v/>
      </c>
      <c r="EZ192" s="305" t="str">
        <f t="shared" ca="1" si="527"/>
        <v/>
      </c>
      <c r="FA192" s="305" t="str">
        <f t="shared" ca="1" si="528"/>
        <v/>
      </c>
      <c r="FB192" s="305" t="str">
        <f t="shared" ca="1" si="529"/>
        <v/>
      </c>
      <c r="FC192" s="305" t="str">
        <f t="shared" ca="1" si="530"/>
        <v/>
      </c>
      <c r="FD192" s="305" t="str">
        <f t="shared" ca="1" si="531"/>
        <v/>
      </c>
      <c r="FE192" s="305" t="str">
        <f t="shared" ca="1" si="532"/>
        <v/>
      </c>
      <c r="FF192" s="305" t="str">
        <f t="shared" ca="1" si="533"/>
        <v/>
      </c>
      <c r="FG192" s="299">
        <f t="shared" ca="1" si="534"/>
        <v>0</v>
      </c>
      <c r="FH192" s="302">
        <f t="shared" ca="1" si="535"/>
        <v>0</v>
      </c>
      <c r="FI192" s="248">
        <f t="shared" ca="1" si="536"/>
        <v>0</v>
      </c>
      <c r="FJ192" s="363">
        <f t="shared" ca="1" si="537"/>
        <v>0</v>
      </c>
      <c r="FK192" s="378" t="str">
        <f t="shared" ca="1" si="538"/>
        <v/>
      </c>
      <c r="FL192" s="508" t="str">
        <f t="shared" ca="1" si="539"/>
        <v/>
      </c>
      <c r="FM192" s="508" t="str">
        <f t="shared" ca="1" si="540"/>
        <v/>
      </c>
      <c r="FN192" s="508" t="str">
        <f t="shared" ca="1" si="541"/>
        <v/>
      </c>
      <c r="FO192" s="508" t="str">
        <f t="shared" ca="1" si="542"/>
        <v/>
      </c>
      <c r="FP192" s="353">
        <f t="shared" ca="1" si="543"/>
        <v>0</v>
      </c>
      <c r="FQ192" s="356">
        <f t="shared" ca="1" si="544"/>
        <v>0</v>
      </c>
      <c r="FR192" s="380">
        <f t="shared" ca="1" si="545"/>
        <v>0</v>
      </c>
      <c r="FS192" s="299">
        <f t="shared" ca="1" si="546"/>
        <v>0</v>
      </c>
      <c r="FT192" s="299">
        <f t="shared" ca="1" si="547"/>
        <v>0</v>
      </c>
      <c r="FU192" s="299">
        <f t="shared" ca="1" si="548"/>
        <v>0</v>
      </c>
      <c r="FV192" s="299">
        <f t="shared" ca="1" si="549"/>
        <v>0</v>
      </c>
      <c r="FW192" s="850" t="str">
        <f t="shared" ca="1" si="550"/>
        <v/>
      </c>
      <c r="FX192" s="851" t="str">
        <f t="shared" ca="1" si="551"/>
        <v/>
      </c>
      <c r="FY192" s="851" t="str">
        <f t="shared" ca="1" si="552"/>
        <v/>
      </c>
      <c r="FZ192" s="201" t="str">
        <f t="shared" ca="1" si="553"/>
        <v/>
      </c>
      <c r="GA192" s="201" t="str">
        <f t="shared" ca="1" si="554"/>
        <v/>
      </c>
      <c r="GB192" s="201" t="str">
        <f t="shared" ca="1" si="555"/>
        <v/>
      </c>
      <c r="GC192" s="201" t="str">
        <f t="shared" ca="1" si="556"/>
        <v/>
      </c>
      <c r="GD192" s="850" t="str">
        <f t="shared" ca="1" si="557"/>
        <v/>
      </c>
      <c r="GE192" s="866" t="str">
        <f t="shared" ca="1" si="558"/>
        <v/>
      </c>
      <c r="GF192" s="866" t="str">
        <f t="shared" ca="1" si="559"/>
        <v/>
      </c>
      <c r="GG192" s="866" t="str">
        <f t="shared" ca="1" si="560"/>
        <v/>
      </c>
      <c r="GH192" s="866" t="str">
        <f t="shared" ca="1" si="561"/>
        <v/>
      </c>
      <c r="GI192" s="302">
        <f t="shared" ca="1" si="562"/>
        <v>0</v>
      </c>
      <c r="GJ192" s="299">
        <f t="shared" ca="1" si="563"/>
        <v>0</v>
      </c>
      <c r="GK192" s="299">
        <f t="shared" ca="1" si="564"/>
        <v>0</v>
      </c>
      <c r="GL192" s="299">
        <f t="shared" ca="1" si="565"/>
        <v>0</v>
      </c>
      <c r="GM192" s="299">
        <f t="shared" ca="1" si="566"/>
        <v>0</v>
      </c>
      <c r="GN192" s="302">
        <f t="shared" ca="1" si="567"/>
        <v>0</v>
      </c>
      <c r="GO192" s="299">
        <f t="shared" ca="1" si="568"/>
        <v>0</v>
      </c>
      <c r="GP192" s="299">
        <f t="shared" ca="1" si="569"/>
        <v>0</v>
      </c>
      <c r="GQ192" s="299">
        <f t="shared" ca="1" si="570"/>
        <v>0</v>
      </c>
      <c r="GR192" s="299">
        <f t="shared" ca="1" si="571"/>
        <v>0</v>
      </c>
      <c r="GS192" s="302">
        <f t="shared" ca="1" si="572"/>
        <v>0</v>
      </c>
      <c r="GT192" s="299">
        <f t="shared" ca="1" si="573"/>
        <v>0</v>
      </c>
      <c r="GU192" s="299">
        <f t="shared" ca="1" si="574"/>
        <v>0</v>
      </c>
      <c r="GV192" s="299">
        <f t="shared" ca="1" si="575"/>
        <v>0</v>
      </c>
      <c r="GW192" s="299">
        <f t="shared" ca="1" si="576"/>
        <v>0</v>
      </c>
      <c r="GX192" s="303">
        <f t="shared" ca="1" si="577"/>
        <v>0</v>
      </c>
      <c r="GY192" s="303">
        <f t="shared" ca="1" si="578"/>
        <v>0</v>
      </c>
      <c r="GZ192" s="303">
        <f t="shared" ca="1" si="579"/>
        <v>0</v>
      </c>
      <c r="HA192" s="303">
        <f t="shared" ca="1" si="580"/>
        <v>0</v>
      </c>
      <c r="HB192" s="303">
        <f t="shared" ca="1" si="581"/>
        <v>0</v>
      </c>
      <c r="HC192" s="303">
        <f t="shared" ca="1" si="582"/>
        <v>0</v>
      </c>
      <c r="HD192" s="303">
        <f t="shared" ca="1" si="583"/>
        <v>0</v>
      </c>
      <c r="HE192" s="303">
        <f t="shared" ca="1" si="584"/>
        <v>0</v>
      </c>
      <c r="HF192" s="303">
        <f t="shared" ca="1" si="585"/>
        <v>0</v>
      </c>
      <c r="HG192" s="852">
        <f t="shared" ca="1" si="586"/>
        <v>0</v>
      </c>
    </row>
    <row r="193" spans="1:215" x14ac:dyDescent="0.25">
      <c r="A193" s="244">
        <f t="shared" ca="1" si="587"/>
        <v>41974</v>
      </c>
      <c r="B193" s="13">
        <f t="shared" ref="B193:B208" ca="1" si="620">YEAR(A193)</f>
        <v>2014</v>
      </c>
      <c r="C193" s="619">
        <f t="shared" ref="C193:C208" ca="1" si="621">MONTH(A193)</f>
        <v>12</v>
      </c>
      <c r="D193" s="195">
        <f t="shared" ca="1" si="417"/>
        <v>41998</v>
      </c>
      <c r="E193" s="469" t="str">
        <f t="shared" ca="1" si="418"/>
        <v/>
      </c>
      <c r="F193" s="465" t="str">
        <f t="shared" ca="1" si="419"/>
        <v/>
      </c>
      <c r="G193" s="522">
        <f t="shared" ca="1" si="588"/>
        <v>1</v>
      </c>
      <c r="H193" s="519">
        <f t="shared" ca="1" si="589"/>
        <v>1</v>
      </c>
      <c r="I193" s="724">
        <f t="shared" ref="I193:I208" ca="1" si="622">VLOOKUP(A193,IRTable,2)</f>
        <v>7.4188179228105999E-2</v>
      </c>
      <c r="J193" s="198">
        <f t="shared" ca="1" si="421"/>
        <v>0.33812043654774726</v>
      </c>
      <c r="K193" s="200">
        <f t="shared" ca="1" si="597"/>
        <v>30.8</v>
      </c>
      <c r="L193" s="201">
        <f t="shared" ca="1" si="598"/>
        <v>32.65</v>
      </c>
      <c r="M193" s="206">
        <f t="shared" ca="1" si="599"/>
        <v>34.5</v>
      </c>
      <c r="N193" s="851">
        <f t="shared" ca="1" si="603"/>
        <v>26.26749839782714</v>
      </c>
      <c r="O193" s="201">
        <f t="shared" ca="1" si="604"/>
        <v>27.654998397827139</v>
      </c>
      <c r="P193" s="206">
        <f t="shared" ca="1" si="605"/>
        <v>29.042498397827138</v>
      </c>
      <c r="Q193" s="201">
        <f t="shared" ca="1" si="606"/>
        <v>19.849999237060537</v>
      </c>
      <c r="R193" s="201">
        <f t="shared" ca="1" si="607"/>
        <v>24.149999237060538</v>
      </c>
      <c r="S193" s="201">
        <f t="shared" ca="1" si="608"/>
        <v>28.449999237060538</v>
      </c>
      <c r="T193" s="851">
        <f t="shared" ca="1" si="600"/>
        <v>21.274999237060541</v>
      </c>
      <c r="U193" s="201">
        <f t="shared" ca="1" si="601"/>
        <v>22.199999237060542</v>
      </c>
      <c r="V193" s="206">
        <f t="shared" ca="1" si="602"/>
        <v>23.124999237060543</v>
      </c>
      <c r="W193" s="230">
        <f t="shared" ca="1" si="590"/>
        <v>6.3895689105799972E-2</v>
      </c>
      <c r="X193" s="231">
        <f t="shared" ca="1" si="591"/>
        <v>0.12779137821159994</v>
      </c>
      <c r="Y193" s="232">
        <f t="shared" ca="1" si="592"/>
        <v>0.19168706731739993</v>
      </c>
      <c r="Z193" s="231">
        <f t="shared" ca="1" si="612"/>
        <v>6.3895689105799972E-2</v>
      </c>
      <c r="AA193" s="231">
        <f t="shared" ca="1" si="613"/>
        <v>0.12779137821159994</v>
      </c>
      <c r="AB193" s="232">
        <f t="shared" ca="1" si="614"/>
        <v>0.19168706731739993</v>
      </c>
      <c r="AC193" s="231">
        <f t="shared" ca="1" si="615"/>
        <v>6.3895689105799972E-2</v>
      </c>
      <c r="AD193" s="231">
        <f t="shared" ca="1" si="616"/>
        <v>0.12779137821159994</v>
      </c>
      <c r="AE193" s="232">
        <f t="shared" ca="1" si="422"/>
        <v>0.19168706731739993</v>
      </c>
      <c r="AF193" s="231">
        <f t="shared" ca="1" si="593"/>
        <v>2.260925824424705E-2</v>
      </c>
      <c r="AG193" s="231">
        <f t="shared" ca="1" si="594"/>
        <v>4.52185164884941E-2</v>
      </c>
      <c r="AH193" s="232">
        <f t="shared" ca="1" si="595"/>
        <v>6.7827774732741153E-2</v>
      </c>
      <c r="AI193" s="233">
        <f t="shared" ca="1" si="423"/>
        <v>1</v>
      </c>
      <c r="AJ193" s="233">
        <f t="shared" ca="1" si="424"/>
        <v>1.25</v>
      </c>
      <c r="AK193" s="234">
        <f t="shared" ca="1" si="425"/>
        <v>1.6</v>
      </c>
      <c r="AL193" s="919">
        <f t="shared" ca="1" si="426"/>
        <v>1</v>
      </c>
      <c r="AM193" s="233">
        <f t="shared" ca="1" si="427"/>
        <v>1.25</v>
      </c>
      <c r="AN193" s="234">
        <f t="shared" ca="1" si="428"/>
        <v>1.6</v>
      </c>
      <c r="AO193" s="233">
        <f t="shared" ca="1" si="429"/>
        <v>1</v>
      </c>
      <c r="AP193" s="233">
        <f t="shared" ca="1" si="430"/>
        <v>1.25</v>
      </c>
      <c r="AQ193" s="233">
        <f t="shared" ca="1" si="431"/>
        <v>1.6</v>
      </c>
      <c r="AR193" s="919">
        <f t="shared" ca="1" si="432"/>
        <v>0.15</v>
      </c>
      <c r="AS193" s="233">
        <f t="shared" ca="1" si="433"/>
        <v>0.3</v>
      </c>
      <c r="AT193" s="235">
        <f t="shared" ca="1" si="434"/>
        <v>0.5</v>
      </c>
      <c r="AU193" s="946">
        <f t="shared" si="435"/>
        <v>0.5</v>
      </c>
      <c r="AV193" s="13">
        <f t="shared" ca="1" si="436"/>
        <v>0</v>
      </c>
      <c r="AW193" s="210">
        <f t="shared" ca="1" si="437"/>
        <v>0</v>
      </c>
      <c r="AX193" s="210">
        <f t="shared" ca="1" si="438"/>
        <v>0</v>
      </c>
      <c r="AY193" s="210">
        <f t="shared" ca="1" si="439"/>
        <v>0</v>
      </c>
      <c r="AZ193" s="13">
        <f t="shared" ca="1" si="440"/>
        <v>0</v>
      </c>
      <c r="BA193" s="357">
        <f ca="1"/>
        <v>0</v>
      </c>
      <c r="BB193" s="925">
        <f ca="1"/>
        <v>0</v>
      </c>
      <c r="BC193" s="925">
        <f ca="1"/>
        <v>0</v>
      </c>
      <c r="BD193" s="928">
        <f ca="1"/>
        <v>0</v>
      </c>
      <c r="BE193" s="200">
        <f ca="1"/>
        <v>0</v>
      </c>
      <c r="BF193" s="851">
        <f ca="1"/>
        <v>0</v>
      </c>
      <c r="BG193" s="851">
        <f ca="1"/>
        <v>0</v>
      </c>
      <c r="BH193" s="933">
        <f ca="1"/>
        <v>0</v>
      </c>
      <c r="BI193" s="357">
        <f ca="1"/>
        <v>0</v>
      </c>
      <c r="BJ193" s="925">
        <f ca="1"/>
        <v>0</v>
      </c>
      <c r="BK193" s="925">
        <f ca="1"/>
        <v>0</v>
      </c>
      <c r="BL193" s="928">
        <f ca="1"/>
        <v>0</v>
      </c>
      <c r="BM193" s="200">
        <f ca="1"/>
        <v>0</v>
      </c>
      <c r="BN193" s="851">
        <f ca="1"/>
        <v>0</v>
      </c>
      <c r="BO193" s="851">
        <f ca="1"/>
        <v>0</v>
      </c>
      <c r="BP193" s="933">
        <f ca="1"/>
        <v>0</v>
      </c>
      <c r="BQ193" s="357">
        <f t="shared" ca="1" si="441"/>
        <v>0</v>
      </c>
      <c r="BR193" s="361">
        <f t="shared" ca="1" si="442"/>
        <v>0</v>
      </c>
      <c r="BS193" s="357">
        <f t="shared" ca="1" si="443"/>
        <v>0</v>
      </c>
      <c r="BT193" s="302">
        <f t="shared" ca="1" si="444"/>
        <v>0</v>
      </c>
      <c r="BU193" s="299">
        <f t="shared" ca="1" si="445"/>
        <v>0</v>
      </c>
      <c r="BV193" s="299">
        <f t="shared" ca="1" si="446"/>
        <v>0</v>
      </c>
      <c r="BW193" s="299">
        <f t="shared" ca="1" si="447"/>
        <v>0</v>
      </c>
      <c r="BX193" s="380">
        <f t="shared" ca="1" si="448"/>
        <v>14.74880219028063</v>
      </c>
      <c r="BY193" s="363">
        <f t="shared" ca="1" si="449"/>
        <v>0</v>
      </c>
      <c r="BZ193" s="353">
        <f t="shared" ca="1" si="450"/>
        <v>0</v>
      </c>
      <c r="CA193" s="353">
        <f t="shared" ca="1" si="451"/>
        <v>0</v>
      </c>
      <c r="CB193" s="353">
        <f t="shared" ca="1" si="452"/>
        <v>0</v>
      </c>
      <c r="CC193" s="353">
        <f t="shared" ca="1" si="453"/>
        <v>0</v>
      </c>
      <c r="CD193" s="353">
        <f t="shared" ca="1" si="454"/>
        <v>0</v>
      </c>
      <c r="CE193" s="302">
        <f t="shared" ca="1" si="455"/>
        <v>0</v>
      </c>
      <c r="CF193" s="299">
        <f t="shared" ca="1" si="456"/>
        <v>0</v>
      </c>
      <c r="CG193" s="299">
        <f t="shared" ca="1" si="457"/>
        <v>0</v>
      </c>
      <c r="CH193" s="299">
        <f t="shared" ca="1" si="458"/>
        <v>0</v>
      </c>
      <c r="CI193" s="299">
        <f t="shared" ca="1" si="459"/>
        <v>0</v>
      </c>
      <c r="CJ193" s="299">
        <f t="shared" ca="1" si="460"/>
        <v>0</v>
      </c>
      <c r="CK193" s="299">
        <f t="shared" ca="1" si="461"/>
        <v>0</v>
      </c>
      <c r="CL193" s="377" t="str">
        <f t="shared" ca="1" si="462"/>
        <v/>
      </c>
      <c r="CM193" s="305" t="str">
        <f t="shared" ca="1" si="463"/>
        <v/>
      </c>
      <c r="CN193" s="305" t="str">
        <f t="shared" ca="1" si="464"/>
        <v/>
      </c>
      <c r="CO193" s="305" t="str">
        <f t="shared" ca="1" si="465"/>
        <v/>
      </c>
      <c r="CP193" s="305" t="str">
        <f t="shared" ca="1" si="466"/>
        <v/>
      </c>
      <c r="CQ193" s="305" t="str">
        <f t="shared" ca="1" si="467"/>
        <v/>
      </c>
      <c r="CR193" s="775" t="str">
        <f t="shared" ca="1" si="468"/>
        <v/>
      </c>
      <c r="CS193" s="305" t="str">
        <f t="shared" ca="1" si="469"/>
        <v/>
      </c>
      <c r="CT193" s="305" t="str">
        <f t="shared" ca="1" si="470"/>
        <v/>
      </c>
      <c r="CU193" s="305" t="str">
        <f t="shared" ca="1" si="471"/>
        <v/>
      </c>
      <c r="CV193" s="770" t="str">
        <f t="shared" ca="1" si="472"/>
        <v/>
      </c>
      <c r="CW193" s="302">
        <f t="shared" ca="1" si="473"/>
        <v>0</v>
      </c>
      <c r="CX193" s="299">
        <f t="shared" ca="1" si="474"/>
        <v>0</v>
      </c>
      <c r="CY193" s="299">
        <f t="shared" ca="1" si="475"/>
        <v>0</v>
      </c>
      <c r="CZ193" s="299">
        <f t="shared" ca="1" si="476"/>
        <v>0</v>
      </c>
      <c r="DA193" s="774">
        <f t="shared" ca="1" si="477"/>
        <v>0</v>
      </c>
      <c r="DB193" s="303">
        <f t="shared" ca="1" si="478"/>
        <v>0</v>
      </c>
      <c r="DC193" s="248">
        <f t="shared" ca="1" si="479"/>
        <v>0</v>
      </c>
      <c r="DD193" s="778">
        <f t="shared" ca="1" si="480"/>
        <v>0</v>
      </c>
      <c r="DE193" s="363">
        <f t="shared" ca="1" si="481"/>
        <v>0</v>
      </c>
      <c r="DF193" s="378" t="str">
        <f t="shared" ca="1" si="482"/>
        <v/>
      </c>
      <c r="DG193" s="508" t="str">
        <f t="shared" ca="1" si="483"/>
        <v/>
      </c>
      <c r="DH193" s="508" t="str">
        <f t="shared" ca="1" si="484"/>
        <v/>
      </c>
      <c r="DI193" s="508" t="str">
        <f t="shared" ca="1" si="485"/>
        <v/>
      </c>
      <c r="DJ193" s="508" t="str">
        <f t="shared" ca="1" si="486"/>
        <v/>
      </c>
      <c r="DK193" s="353">
        <f t="shared" ca="1" si="487"/>
        <v>0</v>
      </c>
      <c r="DL193" s="781">
        <f t="shared" ca="1" si="488"/>
        <v>0</v>
      </c>
      <c r="DM193" s="303">
        <f t="shared" ca="1" si="489"/>
        <v>0</v>
      </c>
      <c r="DN193" s="508" t="str">
        <f t="shared" ca="1" si="490"/>
        <v/>
      </c>
      <c r="DO193" s="508" t="str">
        <f t="shared" ca="1" si="491"/>
        <v/>
      </c>
      <c r="DP193" s="508" t="str">
        <f t="shared" ca="1" si="492"/>
        <v/>
      </c>
      <c r="DQ193" s="508" t="str">
        <f t="shared" ca="1" si="493"/>
        <v/>
      </c>
      <c r="DR193" s="508" t="str">
        <f t="shared" ca="1" si="494"/>
        <v/>
      </c>
      <c r="DS193" s="353">
        <f t="shared" ca="1" si="495"/>
        <v>0</v>
      </c>
      <c r="DT193" s="353">
        <f t="shared" ca="1" si="496"/>
        <v>0</v>
      </c>
      <c r="DU193" s="380">
        <f t="shared" ca="1" si="596"/>
        <v>14.74880219028063</v>
      </c>
      <c r="DV193" s="303">
        <f t="shared" ca="1" si="497"/>
        <v>0</v>
      </c>
      <c r="DW193" s="303">
        <f t="shared" ca="1" si="498"/>
        <v>0</v>
      </c>
      <c r="DX193" s="303">
        <f t="shared" ca="1" si="499"/>
        <v>0</v>
      </c>
      <c r="DY193" s="303">
        <f t="shared" ca="1" si="500"/>
        <v>0</v>
      </c>
      <c r="DZ193" s="303">
        <f t="shared" ca="1" si="501"/>
        <v>0</v>
      </c>
      <c r="EA193" s="303">
        <f t="shared" ca="1" si="502"/>
        <v>0</v>
      </c>
      <c r="EB193" s="302">
        <f t="shared" ca="1" si="503"/>
        <v>0</v>
      </c>
      <c r="EC193" s="299">
        <f t="shared" ca="1" si="504"/>
        <v>0</v>
      </c>
      <c r="ED193" s="299">
        <f t="shared" ca="1" si="505"/>
        <v>0</v>
      </c>
      <c r="EE193" s="299">
        <f t="shared" ca="1" si="506"/>
        <v>0</v>
      </c>
      <c r="EF193" s="299">
        <f t="shared" ca="1" si="507"/>
        <v>0</v>
      </c>
      <c r="EG193" s="299">
        <f t="shared" ca="1" si="508"/>
        <v>0</v>
      </c>
      <c r="EH193" s="302">
        <f t="shared" ca="1" si="509"/>
        <v>0</v>
      </c>
      <c r="EI193" s="304" t="str">
        <f t="shared" ca="1" si="510"/>
        <v/>
      </c>
      <c r="EJ193" s="305" t="str">
        <f t="shared" ca="1" si="511"/>
        <v/>
      </c>
      <c r="EK193" s="305" t="str">
        <f t="shared" ca="1" si="512"/>
        <v/>
      </c>
      <c r="EL193" s="305" t="str">
        <f t="shared" ca="1" si="513"/>
        <v/>
      </c>
      <c r="EM193" s="305" t="str">
        <f t="shared" ca="1" si="514"/>
        <v/>
      </c>
      <c r="EN193" s="305" t="str">
        <f t="shared" ca="1" si="515"/>
        <v/>
      </c>
      <c r="EO193" s="305" t="str">
        <f t="shared" ca="1" si="516"/>
        <v/>
      </c>
      <c r="EP193" s="305" t="str">
        <f t="shared" ca="1" si="517"/>
        <v/>
      </c>
      <c r="EQ193" s="305" t="str">
        <f t="shared" ca="1" si="518"/>
        <v/>
      </c>
      <c r="ER193" s="305" t="str">
        <f t="shared" ca="1" si="519"/>
        <v/>
      </c>
      <c r="ES193" s="305" t="str">
        <f t="shared" ca="1" si="520"/>
        <v/>
      </c>
      <c r="ET193" s="299">
        <f t="shared" ca="1" si="521"/>
        <v>0</v>
      </c>
      <c r="EU193" s="302">
        <f t="shared" ca="1" si="522"/>
        <v>0</v>
      </c>
      <c r="EV193" s="304" t="str">
        <f t="shared" ca="1" si="523"/>
        <v/>
      </c>
      <c r="EW193" s="305" t="str">
        <f t="shared" ca="1" si="524"/>
        <v/>
      </c>
      <c r="EX193" s="305" t="str">
        <f t="shared" ca="1" si="525"/>
        <v/>
      </c>
      <c r="EY193" s="305" t="str">
        <f t="shared" ca="1" si="526"/>
        <v/>
      </c>
      <c r="EZ193" s="305" t="str">
        <f t="shared" ca="1" si="527"/>
        <v/>
      </c>
      <c r="FA193" s="305" t="str">
        <f t="shared" ca="1" si="528"/>
        <v/>
      </c>
      <c r="FB193" s="305" t="str">
        <f t="shared" ca="1" si="529"/>
        <v/>
      </c>
      <c r="FC193" s="305" t="str">
        <f t="shared" ca="1" si="530"/>
        <v/>
      </c>
      <c r="FD193" s="305" t="str">
        <f t="shared" ca="1" si="531"/>
        <v/>
      </c>
      <c r="FE193" s="305" t="str">
        <f t="shared" ca="1" si="532"/>
        <v/>
      </c>
      <c r="FF193" s="305" t="str">
        <f t="shared" ca="1" si="533"/>
        <v/>
      </c>
      <c r="FG193" s="299">
        <f t="shared" ca="1" si="534"/>
        <v>0</v>
      </c>
      <c r="FH193" s="302">
        <f t="shared" ca="1" si="535"/>
        <v>0</v>
      </c>
      <c r="FI193" s="248">
        <f t="shared" ca="1" si="536"/>
        <v>0</v>
      </c>
      <c r="FJ193" s="363">
        <f t="shared" ca="1" si="537"/>
        <v>0</v>
      </c>
      <c r="FK193" s="378" t="str">
        <f t="shared" ca="1" si="538"/>
        <v/>
      </c>
      <c r="FL193" s="508" t="str">
        <f t="shared" ca="1" si="539"/>
        <v/>
      </c>
      <c r="FM193" s="508" t="str">
        <f t="shared" ca="1" si="540"/>
        <v/>
      </c>
      <c r="FN193" s="508" t="str">
        <f t="shared" ca="1" si="541"/>
        <v/>
      </c>
      <c r="FO193" s="508" t="str">
        <f t="shared" ca="1" si="542"/>
        <v/>
      </c>
      <c r="FP193" s="353">
        <f t="shared" ca="1" si="543"/>
        <v>0</v>
      </c>
      <c r="FQ193" s="356">
        <f t="shared" ca="1" si="544"/>
        <v>0</v>
      </c>
      <c r="FR193" s="380">
        <f t="shared" ca="1" si="545"/>
        <v>0</v>
      </c>
      <c r="FS193" s="299">
        <f t="shared" ca="1" si="546"/>
        <v>0</v>
      </c>
      <c r="FT193" s="299">
        <f t="shared" ca="1" si="547"/>
        <v>0</v>
      </c>
      <c r="FU193" s="299">
        <f t="shared" ca="1" si="548"/>
        <v>0</v>
      </c>
      <c r="FV193" s="299">
        <f t="shared" ca="1" si="549"/>
        <v>0</v>
      </c>
      <c r="FW193" s="850" t="str">
        <f t="shared" ca="1" si="550"/>
        <v/>
      </c>
      <c r="FX193" s="851" t="str">
        <f t="shared" ca="1" si="551"/>
        <v/>
      </c>
      <c r="FY193" s="851" t="str">
        <f t="shared" ca="1" si="552"/>
        <v/>
      </c>
      <c r="FZ193" s="201" t="str">
        <f t="shared" ca="1" si="553"/>
        <v/>
      </c>
      <c r="GA193" s="201" t="str">
        <f t="shared" ca="1" si="554"/>
        <v/>
      </c>
      <c r="GB193" s="201" t="str">
        <f t="shared" ca="1" si="555"/>
        <v/>
      </c>
      <c r="GC193" s="201" t="str">
        <f t="shared" ca="1" si="556"/>
        <v/>
      </c>
      <c r="GD193" s="850" t="str">
        <f t="shared" ca="1" si="557"/>
        <v/>
      </c>
      <c r="GE193" s="866" t="str">
        <f t="shared" ca="1" si="558"/>
        <v/>
      </c>
      <c r="GF193" s="866" t="str">
        <f t="shared" ca="1" si="559"/>
        <v/>
      </c>
      <c r="GG193" s="866" t="str">
        <f t="shared" ca="1" si="560"/>
        <v/>
      </c>
      <c r="GH193" s="866" t="str">
        <f t="shared" ca="1" si="561"/>
        <v/>
      </c>
      <c r="GI193" s="302">
        <f t="shared" ca="1" si="562"/>
        <v>0</v>
      </c>
      <c r="GJ193" s="299">
        <f t="shared" ca="1" si="563"/>
        <v>0</v>
      </c>
      <c r="GK193" s="299">
        <f t="shared" ca="1" si="564"/>
        <v>0</v>
      </c>
      <c r="GL193" s="299">
        <f t="shared" ca="1" si="565"/>
        <v>0</v>
      </c>
      <c r="GM193" s="299">
        <f t="shared" ca="1" si="566"/>
        <v>0</v>
      </c>
      <c r="GN193" s="302">
        <f t="shared" ca="1" si="567"/>
        <v>0</v>
      </c>
      <c r="GO193" s="299">
        <f t="shared" ca="1" si="568"/>
        <v>0</v>
      </c>
      <c r="GP193" s="299">
        <f t="shared" ca="1" si="569"/>
        <v>0</v>
      </c>
      <c r="GQ193" s="299">
        <f t="shared" ca="1" si="570"/>
        <v>0</v>
      </c>
      <c r="GR193" s="299">
        <f t="shared" ca="1" si="571"/>
        <v>0</v>
      </c>
      <c r="GS193" s="302">
        <f t="shared" ca="1" si="572"/>
        <v>0</v>
      </c>
      <c r="GT193" s="299">
        <f t="shared" ca="1" si="573"/>
        <v>0</v>
      </c>
      <c r="GU193" s="299">
        <f t="shared" ca="1" si="574"/>
        <v>0</v>
      </c>
      <c r="GV193" s="299">
        <f t="shared" ca="1" si="575"/>
        <v>0</v>
      </c>
      <c r="GW193" s="299">
        <f t="shared" ca="1" si="576"/>
        <v>0</v>
      </c>
      <c r="GX193" s="303">
        <f t="shared" ca="1" si="577"/>
        <v>0</v>
      </c>
      <c r="GY193" s="303">
        <f t="shared" ca="1" si="578"/>
        <v>0</v>
      </c>
      <c r="GZ193" s="303">
        <f t="shared" ca="1" si="579"/>
        <v>0</v>
      </c>
      <c r="HA193" s="303">
        <f t="shared" ca="1" si="580"/>
        <v>0</v>
      </c>
      <c r="HB193" s="303">
        <f t="shared" ca="1" si="581"/>
        <v>0</v>
      </c>
      <c r="HC193" s="303">
        <f t="shared" ca="1" si="582"/>
        <v>0</v>
      </c>
      <c r="HD193" s="303">
        <f t="shared" ca="1" si="583"/>
        <v>0</v>
      </c>
      <c r="HE193" s="303">
        <f t="shared" ca="1" si="584"/>
        <v>0</v>
      </c>
      <c r="HF193" s="303">
        <f t="shared" ca="1" si="585"/>
        <v>0</v>
      </c>
      <c r="HG193" s="852">
        <f t="shared" ca="1" si="586"/>
        <v>0</v>
      </c>
    </row>
    <row r="194" spans="1:215" x14ac:dyDescent="0.25">
      <c r="A194" s="244">
        <f t="shared" ca="1" si="587"/>
        <v>42005</v>
      </c>
      <c r="B194" s="13">
        <f t="shared" ca="1" si="620"/>
        <v>2015</v>
      </c>
      <c r="C194" s="619">
        <f t="shared" ca="1" si="621"/>
        <v>1</v>
      </c>
      <c r="D194" s="195">
        <f t="shared" ca="1" si="417"/>
        <v>42005</v>
      </c>
      <c r="E194" s="469" t="str">
        <f t="shared" ca="1" si="418"/>
        <v/>
      </c>
      <c r="F194" s="465" t="str">
        <f t="shared" ca="1" si="419"/>
        <v/>
      </c>
      <c r="G194" s="522">
        <f t="shared" ca="1" si="588"/>
        <v>1</v>
      </c>
      <c r="H194" s="519">
        <f t="shared" ca="1" si="589"/>
        <v>1</v>
      </c>
      <c r="I194" s="724">
        <f t="shared" ca="1" si="622"/>
        <v>7.4187884510224997E-2</v>
      </c>
      <c r="J194" s="198">
        <f t="shared" ca="1" si="421"/>
        <v>0.33603784237280787</v>
      </c>
      <c r="K194" s="200">
        <f t="shared" ca="1" si="597"/>
        <v>36.950000000000003</v>
      </c>
      <c r="L194" s="201">
        <f t="shared" ca="1" si="598"/>
        <v>38.950000000000003</v>
      </c>
      <c r="M194" s="206">
        <f t="shared" ca="1" si="599"/>
        <v>40.950000000000003</v>
      </c>
      <c r="N194" s="851">
        <f t="shared" ca="1" si="603"/>
        <v>29.548748779296865</v>
      </c>
      <c r="O194" s="201">
        <f t="shared" ca="1" si="604"/>
        <v>31.048748779296865</v>
      </c>
      <c r="P194" s="206">
        <f t="shared" ca="1" si="605"/>
        <v>32.548748779296865</v>
      </c>
      <c r="Q194" s="201">
        <f t="shared" ca="1" si="606"/>
        <v>25.252500534057607</v>
      </c>
      <c r="R194" s="201">
        <f t="shared" ca="1" si="607"/>
        <v>29.552500534057607</v>
      </c>
      <c r="S194" s="201">
        <f t="shared" ca="1" si="608"/>
        <v>33.852500534057604</v>
      </c>
      <c r="T194" s="851">
        <f t="shared" ca="1" si="600"/>
        <v>21.190000152587885</v>
      </c>
      <c r="U194" s="201">
        <f t="shared" ca="1" si="601"/>
        <v>22.190000152587885</v>
      </c>
      <c r="V194" s="206">
        <f t="shared" ca="1" si="602"/>
        <v>23.190000152587885</v>
      </c>
      <c r="W194" s="230">
        <f t="shared" ca="1" si="590"/>
        <v>6.9006009544847438E-2</v>
      </c>
      <c r="X194" s="231">
        <f t="shared" ca="1" si="591"/>
        <v>0.13801201908969488</v>
      </c>
      <c r="Y194" s="232">
        <f t="shared" ca="1" si="592"/>
        <v>0.20701802863454233</v>
      </c>
      <c r="Z194" s="231">
        <f t="shared" ca="1" si="612"/>
        <v>6.9006009544847438E-2</v>
      </c>
      <c r="AA194" s="231">
        <f t="shared" ca="1" si="613"/>
        <v>0.13801201908969488</v>
      </c>
      <c r="AB194" s="232">
        <f t="shared" ca="1" si="614"/>
        <v>0.20701802863454233</v>
      </c>
      <c r="AC194" s="231">
        <f t="shared" ca="1" si="615"/>
        <v>6.9006009544847438E-2</v>
      </c>
      <c r="AD194" s="231">
        <f t="shared" ca="1" si="616"/>
        <v>0.13801201908969488</v>
      </c>
      <c r="AE194" s="232">
        <f t="shared" ca="1" si="422"/>
        <v>0.20701802863454233</v>
      </c>
      <c r="AF194" s="231">
        <f t="shared" ca="1" si="593"/>
        <v>2.5849918592589137E-2</v>
      </c>
      <c r="AG194" s="231">
        <f t="shared" ca="1" si="594"/>
        <v>5.1699837185178274E-2</v>
      </c>
      <c r="AH194" s="232">
        <f t="shared" ca="1" si="595"/>
        <v>7.7549755777767404E-2</v>
      </c>
      <c r="AI194" s="233">
        <f t="shared" ca="1" si="423"/>
        <v>1.25</v>
      </c>
      <c r="AJ194" s="233">
        <f t="shared" ca="1" si="424"/>
        <v>2</v>
      </c>
      <c r="AK194" s="234">
        <f t="shared" ca="1" si="425"/>
        <v>2.75</v>
      </c>
      <c r="AL194" s="919">
        <f t="shared" ca="1" si="426"/>
        <v>1.25</v>
      </c>
      <c r="AM194" s="233">
        <f t="shared" ca="1" si="427"/>
        <v>2</v>
      </c>
      <c r="AN194" s="234">
        <f t="shared" ca="1" si="428"/>
        <v>2.75</v>
      </c>
      <c r="AO194" s="233">
        <f t="shared" ca="1" si="429"/>
        <v>1.25</v>
      </c>
      <c r="AP194" s="233">
        <f t="shared" ca="1" si="430"/>
        <v>2</v>
      </c>
      <c r="AQ194" s="233">
        <f t="shared" ca="1" si="431"/>
        <v>2.75</v>
      </c>
      <c r="AR194" s="919">
        <f t="shared" ca="1" si="432"/>
        <v>0.35</v>
      </c>
      <c r="AS194" s="233">
        <f t="shared" ca="1" si="433"/>
        <v>0.5</v>
      </c>
      <c r="AT194" s="235">
        <f t="shared" ca="1" si="434"/>
        <v>0.7</v>
      </c>
      <c r="AU194" s="946">
        <f t="shared" si="435"/>
        <v>0.5</v>
      </c>
      <c r="AV194" s="13">
        <f t="shared" ca="1" si="436"/>
        <v>0</v>
      </c>
      <c r="AW194" s="210">
        <f t="shared" ca="1" si="437"/>
        <v>0</v>
      </c>
      <c r="AX194" s="210">
        <f t="shared" ca="1" si="438"/>
        <v>0</v>
      </c>
      <c r="AY194" s="210">
        <f t="shared" ca="1" si="439"/>
        <v>0</v>
      </c>
      <c r="AZ194" s="13">
        <f t="shared" ca="1" si="440"/>
        <v>0</v>
      </c>
      <c r="BA194" s="357">
        <f ca="1"/>
        <v>0</v>
      </c>
      <c r="BB194" s="925">
        <f ca="1"/>
        <v>0</v>
      </c>
      <c r="BC194" s="925">
        <f ca="1"/>
        <v>0</v>
      </c>
      <c r="BD194" s="928">
        <f ca="1"/>
        <v>0</v>
      </c>
      <c r="BE194" s="200">
        <f ca="1"/>
        <v>0</v>
      </c>
      <c r="BF194" s="851">
        <f ca="1"/>
        <v>0</v>
      </c>
      <c r="BG194" s="851">
        <f ca="1"/>
        <v>0</v>
      </c>
      <c r="BH194" s="933">
        <f ca="1"/>
        <v>0</v>
      </c>
      <c r="BI194" s="357">
        <f ca="1"/>
        <v>0</v>
      </c>
      <c r="BJ194" s="925">
        <f ca="1"/>
        <v>0</v>
      </c>
      <c r="BK194" s="925">
        <f ca="1"/>
        <v>0</v>
      </c>
      <c r="BL194" s="928">
        <f ca="1"/>
        <v>0</v>
      </c>
      <c r="BM194" s="200">
        <f ca="1"/>
        <v>0</v>
      </c>
      <c r="BN194" s="851">
        <f ca="1"/>
        <v>0</v>
      </c>
      <c r="BO194" s="851">
        <f ca="1"/>
        <v>0</v>
      </c>
      <c r="BP194" s="933">
        <f ca="1"/>
        <v>0</v>
      </c>
      <c r="BQ194" s="357">
        <f t="shared" ca="1" si="441"/>
        <v>0</v>
      </c>
      <c r="BR194" s="361">
        <f t="shared" ca="1" si="442"/>
        <v>0</v>
      </c>
      <c r="BS194" s="357">
        <f t="shared" ca="1" si="443"/>
        <v>0</v>
      </c>
      <c r="BT194" s="302">
        <f t="shared" ca="1" si="444"/>
        <v>0</v>
      </c>
      <c r="BU194" s="299">
        <f t="shared" ca="1" si="445"/>
        <v>0</v>
      </c>
      <c r="BV194" s="299">
        <f t="shared" ca="1" si="446"/>
        <v>0</v>
      </c>
      <c r="BW194" s="299">
        <f t="shared" ca="1" si="447"/>
        <v>0</v>
      </c>
      <c r="BX194" s="380">
        <f t="shared" ca="1" si="448"/>
        <v>14.833675564681725</v>
      </c>
      <c r="BY194" s="363">
        <f t="shared" ca="1" si="449"/>
        <v>0</v>
      </c>
      <c r="BZ194" s="353">
        <f t="shared" ca="1" si="450"/>
        <v>0</v>
      </c>
      <c r="CA194" s="353">
        <f t="shared" ca="1" si="451"/>
        <v>0</v>
      </c>
      <c r="CB194" s="353">
        <f t="shared" ca="1" si="452"/>
        <v>0</v>
      </c>
      <c r="CC194" s="353">
        <f t="shared" ca="1" si="453"/>
        <v>0</v>
      </c>
      <c r="CD194" s="353">
        <f t="shared" ca="1" si="454"/>
        <v>0</v>
      </c>
      <c r="CE194" s="302">
        <f t="shared" ca="1" si="455"/>
        <v>0</v>
      </c>
      <c r="CF194" s="299">
        <f t="shared" ca="1" si="456"/>
        <v>0</v>
      </c>
      <c r="CG194" s="299">
        <f t="shared" ca="1" si="457"/>
        <v>0</v>
      </c>
      <c r="CH194" s="299">
        <f t="shared" ca="1" si="458"/>
        <v>0</v>
      </c>
      <c r="CI194" s="299">
        <f t="shared" ca="1" si="459"/>
        <v>0</v>
      </c>
      <c r="CJ194" s="299">
        <f t="shared" ca="1" si="460"/>
        <v>0</v>
      </c>
      <c r="CK194" s="299">
        <f t="shared" ca="1" si="461"/>
        <v>0</v>
      </c>
      <c r="CL194" s="377" t="str">
        <f t="shared" ca="1" si="462"/>
        <v/>
      </c>
      <c r="CM194" s="305" t="str">
        <f t="shared" ca="1" si="463"/>
        <v/>
      </c>
      <c r="CN194" s="305" t="str">
        <f t="shared" ca="1" si="464"/>
        <v/>
      </c>
      <c r="CO194" s="305" t="str">
        <f t="shared" ca="1" si="465"/>
        <v/>
      </c>
      <c r="CP194" s="305" t="str">
        <f t="shared" ca="1" si="466"/>
        <v/>
      </c>
      <c r="CQ194" s="305" t="str">
        <f t="shared" ca="1" si="467"/>
        <v/>
      </c>
      <c r="CR194" s="775" t="str">
        <f t="shared" ca="1" si="468"/>
        <v/>
      </c>
      <c r="CS194" s="305" t="str">
        <f t="shared" ca="1" si="469"/>
        <v/>
      </c>
      <c r="CT194" s="305" t="str">
        <f t="shared" ca="1" si="470"/>
        <v/>
      </c>
      <c r="CU194" s="305" t="str">
        <f t="shared" ca="1" si="471"/>
        <v/>
      </c>
      <c r="CV194" s="770" t="str">
        <f t="shared" ca="1" si="472"/>
        <v/>
      </c>
      <c r="CW194" s="302">
        <f t="shared" ca="1" si="473"/>
        <v>0</v>
      </c>
      <c r="CX194" s="299">
        <f t="shared" ca="1" si="474"/>
        <v>0</v>
      </c>
      <c r="CY194" s="299">
        <f t="shared" ca="1" si="475"/>
        <v>0</v>
      </c>
      <c r="CZ194" s="299">
        <f t="shared" ca="1" si="476"/>
        <v>0</v>
      </c>
      <c r="DA194" s="774">
        <f t="shared" ca="1" si="477"/>
        <v>0</v>
      </c>
      <c r="DB194" s="303">
        <f t="shared" ca="1" si="478"/>
        <v>0</v>
      </c>
      <c r="DC194" s="248">
        <f t="shared" ca="1" si="479"/>
        <v>0</v>
      </c>
      <c r="DD194" s="778">
        <f t="shared" ca="1" si="480"/>
        <v>0</v>
      </c>
      <c r="DE194" s="363">
        <f t="shared" ca="1" si="481"/>
        <v>0</v>
      </c>
      <c r="DF194" s="378" t="str">
        <f t="shared" ca="1" si="482"/>
        <v/>
      </c>
      <c r="DG194" s="508" t="str">
        <f t="shared" ca="1" si="483"/>
        <v/>
      </c>
      <c r="DH194" s="508" t="str">
        <f t="shared" ca="1" si="484"/>
        <v/>
      </c>
      <c r="DI194" s="508" t="str">
        <f t="shared" ca="1" si="485"/>
        <v/>
      </c>
      <c r="DJ194" s="508" t="str">
        <f t="shared" ca="1" si="486"/>
        <v/>
      </c>
      <c r="DK194" s="353">
        <f t="shared" ca="1" si="487"/>
        <v>0</v>
      </c>
      <c r="DL194" s="781">
        <f t="shared" ca="1" si="488"/>
        <v>0</v>
      </c>
      <c r="DM194" s="303">
        <f t="shared" ca="1" si="489"/>
        <v>0</v>
      </c>
      <c r="DN194" s="508" t="str">
        <f t="shared" ca="1" si="490"/>
        <v/>
      </c>
      <c r="DO194" s="508" t="str">
        <f t="shared" ca="1" si="491"/>
        <v/>
      </c>
      <c r="DP194" s="508" t="str">
        <f t="shared" ca="1" si="492"/>
        <v/>
      </c>
      <c r="DQ194" s="508" t="str">
        <f t="shared" ca="1" si="493"/>
        <v/>
      </c>
      <c r="DR194" s="508" t="str">
        <f t="shared" ca="1" si="494"/>
        <v/>
      </c>
      <c r="DS194" s="353">
        <f t="shared" ca="1" si="495"/>
        <v>0</v>
      </c>
      <c r="DT194" s="353">
        <f t="shared" ca="1" si="496"/>
        <v>0</v>
      </c>
      <c r="DU194" s="380">
        <f t="shared" ca="1" si="596"/>
        <v>14.833675564681725</v>
      </c>
      <c r="DV194" s="303">
        <f t="shared" ca="1" si="497"/>
        <v>0</v>
      </c>
      <c r="DW194" s="303">
        <f t="shared" ca="1" si="498"/>
        <v>0</v>
      </c>
      <c r="DX194" s="303">
        <f t="shared" ca="1" si="499"/>
        <v>0</v>
      </c>
      <c r="DY194" s="303">
        <f t="shared" ca="1" si="500"/>
        <v>0</v>
      </c>
      <c r="DZ194" s="303">
        <f t="shared" ca="1" si="501"/>
        <v>0</v>
      </c>
      <c r="EA194" s="303">
        <f t="shared" ca="1" si="502"/>
        <v>0</v>
      </c>
      <c r="EB194" s="302">
        <f t="shared" ca="1" si="503"/>
        <v>0</v>
      </c>
      <c r="EC194" s="299">
        <f t="shared" ca="1" si="504"/>
        <v>0</v>
      </c>
      <c r="ED194" s="299">
        <f t="shared" ca="1" si="505"/>
        <v>0</v>
      </c>
      <c r="EE194" s="299">
        <f t="shared" ca="1" si="506"/>
        <v>0</v>
      </c>
      <c r="EF194" s="299">
        <f t="shared" ca="1" si="507"/>
        <v>0</v>
      </c>
      <c r="EG194" s="299">
        <f t="shared" ca="1" si="508"/>
        <v>0</v>
      </c>
      <c r="EH194" s="302">
        <f t="shared" ca="1" si="509"/>
        <v>0</v>
      </c>
      <c r="EI194" s="304" t="str">
        <f t="shared" ca="1" si="510"/>
        <v/>
      </c>
      <c r="EJ194" s="305" t="str">
        <f t="shared" ca="1" si="511"/>
        <v/>
      </c>
      <c r="EK194" s="305" t="str">
        <f t="shared" ca="1" si="512"/>
        <v/>
      </c>
      <c r="EL194" s="305" t="str">
        <f t="shared" ca="1" si="513"/>
        <v/>
      </c>
      <c r="EM194" s="305" t="str">
        <f t="shared" ca="1" si="514"/>
        <v/>
      </c>
      <c r="EN194" s="305" t="str">
        <f t="shared" ca="1" si="515"/>
        <v/>
      </c>
      <c r="EO194" s="305" t="str">
        <f t="shared" ca="1" si="516"/>
        <v/>
      </c>
      <c r="EP194" s="305" t="str">
        <f t="shared" ca="1" si="517"/>
        <v/>
      </c>
      <c r="EQ194" s="305" t="str">
        <f t="shared" ca="1" si="518"/>
        <v/>
      </c>
      <c r="ER194" s="305" t="str">
        <f t="shared" ca="1" si="519"/>
        <v/>
      </c>
      <c r="ES194" s="305" t="str">
        <f t="shared" ca="1" si="520"/>
        <v/>
      </c>
      <c r="ET194" s="299">
        <f t="shared" ca="1" si="521"/>
        <v>0</v>
      </c>
      <c r="EU194" s="302">
        <f t="shared" ca="1" si="522"/>
        <v>0</v>
      </c>
      <c r="EV194" s="304" t="str">
        <f t="shared" ca="1" si="523"/>
        <v/>
      </c>
      <c r="EW194" s="305" t="str">
        <f t="shared" ca="1" si="524"/>
        <v/>
      </c>
      <c r="EX194" s="305" t="str">
        <f t="shared" ca="1" si="525"/>
        <v/>
      </c>
      <c r="EY194" s="305" t="str">
        <f t="shared" ca="1" si="526"/>
        <v/>
      </c>
      <c r="EZ194" s="305" t="str">
        <f t="shared" ca="1" si="527"/>
        <v/>
      </c>
      <c r="FA194" s="305" t="str">
        <f t="shared" ca="1" si="528"/>
        <v/>
      </c>
      <c r="FB194" s="305" t="str">
        <f t="shared" ca="1" si="529"/>
        <v/>
      </c>
      <c r="FC194" s="305" t="str">
        <f t="shared" ca="1" si="530"/>
        <v/>
      </c>
      <c r="FD194" s="305" t="str">
        <f t="shared" ca="1" si="531"/>
        <v/>
      </c>
      <c r="FE194" s="305" t="str">
        <f t="shared" ca="1" si="532"/>
        <v/>
      </c>
      <c r="FF194" s="305" t="str">
        <f t="shared" ca="1" si="533"/>
        <v/>
      </c>
      <c r="FG194" s="299">
        <f t="shared" ca="1" si="534"/>
        <v>0</v>
      </c>
      <c r="FH194" s="302">
        <f t="shared" ca="1" si="535"/>
        <v>0</v>
      </c>
      <c r="FI194" s="248">
        <f t="shared" ca="1" si="536"/>
        <v>0</v>
      </c>
      <c r="FJ194" s="363">
        <f t="shared" ca="1" si="537"/>
        <v>0</v>
      </c>
      <c r="FK194" s="378" t="str">
        <f t="shared" ca="1" si="538"/>
        <v/>
      </c>
      <c r="FL194" s="508" t="str">
        <f t="shared" ca="1" si="539"/>
        <v/>
      </c>
      <c r="FM194" s="508" t="str">
        <f t="shared" ca="1" si="540"/>
        <v/>
      </c>
      <c r="FN194" s="508" t="str">
        <f t="shared" ca="1" si="541"/>
        <v/>
      </c>
      <c r="FO194" s="508" t="str">
        <f t="shared" ca="1" si="542"/>
        <v/>
      </c>
      <c r="FP194" s="353">
        <f t="shared" ca="1" si="543"/>
        <v>0</v>
      </c>
      <c r="FQ194" s="356">
        <f t="shared" ca="1" si="544"/>
        <v>0</v>
      </c>
      <c r="FR194" s="380">
        <f t="shared" ca="1" si="545"/>
        <v>0</v>
      </c>
      <c r="FS194" s="299">
        <f t="shared" ca="1" si="546"/>
        <v>0</v>
      </c>
      <c r="FT194" s="299">
        <f t="shared" ca="1" si="547"/>
        <v>0</v>
      </c>
      <c r="FU194" s="299">
        <f t="shared" ca="1" si="548"/>
        <v>0</v>
      </c>
      <c r="FV194" s="299">
        <f t="shared" ca="1" si="549"/>
        <v>0</v>
      </c>
      <c r="FW194" s="850" t="str">
        <f t="shared" ca="1" si="550"/>
        <v/>
      </c>
      <c r="FX194" s="851" t="str">
        <f t="shared" ca="1" si="551"/>
        <v/>
      </c>
      <c r="FY194" s="851" t="str">
        <f t="shared" ca="1" si="552"/>
        <v/>
      </c>
      <c r="FZ194" s="201" t="str">
        <f t="shared" ca="1" si="553"/>
        <v/>
      </c>
      <c r="GA194" s="201" t="str">
        <f t="shared" ca="1" si="554"/>
        <v/>
      </c>
      <c r="GB194" s="201" t="str">
        <f t="shared" ca="1" si="555"/>
        <v/>
      </c>
      <c r="GC194" s="201" t="str">
        <f t="shared" ca="1" si="556"/>
        <v/>
      </c>
      <c r="GD194" s="850" t="str">
        <f t="shared" ca="1" si="557"/>
        <v/>
      </c>
      <c r="GE194" s="866" t="str">
        <f t="shared" ca="1" si="558"/>
        <v/>
      </c>
      <c r="GF194" s="866" t="str">
        <f t="shared" ca="1" si="559"/>
        <v/>
      </c>
      <c r="GG194" s="866" t="str">
        <f t="shared" ca="1" si="560"/>
        <v/>
      </c>
      <c r="GH194" s="866" t="str">
        <f t="shared" ca="1" si="561"/>
        <v/>
      </c>
      <c r="GI194" s="302">
        <f t="shared" ca="1" si="562"/>
        <v>0</v>
      </c>
      <c r="GJ194" s="299">
        <f t="shared" ca="1" si="563"/>
        <v>0</v>
      </c>
      <c r="GK194" s="299">
        <f t="shared" ca="1" si="564"/>
        <v>0</v>
      </c>
      <c r="GL194" s="299">
        <f t="shared" ca="1" si="565"/>
        <v>0</v>
      </c>
      <c r="GM194" s="299">
        <f t="shared" ca="1" si="566"/>
        <v>0</v>
      </c>
      <c r="GN194" s="302">
        <f t="shared" ca="1" si="567"/>
        <v>0</v>
      </c>
      <c r="GO194" s="299">
        <f t="shared" ca="1" si="568"/>
        <v>0</v>
      </c>
      <c r="GP194" s="299">
        <f t="shared" ca="1" si="569"/>
        <v>0</v>
      </c>
      <c r="GQ194" s="299">
        <f t="shared" ca="1" si="570"/>
        <v>0</v>
      </c>
      <c r="GR194" s="299">
        <f t="shared" ca="1" si="571"/>
        <v>0</v>
      </c>
      <c r="GS194" s="302">
        <f t="shared" ca="1" si="572"/>
        <v>0</v>
      </c>
      <c r="GT194" s="299">
        <f t="shared" ca="1" si="573"/>
        <v>0</v>
      </c>
      <c r="GU194" s="299">
        <f t="shared" ca="1" si="574"/>
        <v>0</v>
      </c>
      <c r="GV194" s="299">
        <f t="shared" ca="1" si="575"/>
        <v>0</v>
      </c>
      <c r="GW194" s="299">
        <f t="shared" ca="1" si="576"/>
        <v>0</v>
      </c>
      <c r="GX194" s="303">
        <f t="shared" ca="1" si="577"/>
        <v>0</v>
      </c>
      <c r="GY194" s="303">
        <f t="shared" ca="1" si="578"/>
        <v>0</v>
      </c>
      <c r="GZ194" s="303">
        <f t="shared" ca="1" si="579"/>
        <v>0</v>
      </c>
      <c r="HA194" s="303">
        <f t="shared" ca="1" si="580"/>
        <v>0</v>
      </c>
      <c r="HB194" s="303">
        <f t="shared" ca="1" si="581"/>
        <v>0</v>
      </c>
      <c r="HC194" s="303">
        <f t="shared" ca="1" si="582"/>
        <v>0</v>
      </c>
      <c r="HD194" s="303">
        <f t="shared" ca="1" si="583"/>
        <v>0</v>
      </c>
      <c r="HE194" s="303">
        <f t="shared" ca="1" si="584"/>
        <v>0</v>
      </c>
      <c r="HF194" s="303">
        <f t="shared" ca="1" si="585"/>
        <v>0</v>
      </c>
      <c r="HG194" s="852">
        <f t="shared" ca="1" si="586"/>
        <v>0</v>
      </c>
    </row>
    <row r="195" spans="1:215" x14ac:dyDescent="0.25">
      <c r="A195" s="244">
        <f t="shared" ca="1" si="587"/>
        <v>42036</v>
      </c>
      <c r="B195" s="13">
        <f t="shared" ca="1" si="620"/>
        <v>2015</v>
      </c>
      <c r="C195" s="619">
        <f t="shared" ca="1" si="621"/>
        <v>2</v>
      </c>
      <c r="D195" s="195" t="str">
        <f t="shared" ca="1" si="417"/>
        <v/>
      </c>
      <c r="E195" s="469" t="str">
        <f t="shared" ca="1" si="418"/>
        <v/>
      </c>
      <c r="F195" s="465" t="str">
        <f t="shared" ca="1" si="419"/>
        <v/>
      </c>
      <c r="G195" s="522">
        <f t="shared" ca="1" si="588"/>
        <v>1</v>
      </c>
      <c r="H195" s="519">
        <f t="shared" ca="1" si="589"/>
        <v>1</v>
      </c>
      <c r="I195" s="724">
        <f t="shared" ca="1" si="622"/>
        <v>7.4187589792344008E-2</v>
      </c>
      <c r="J195" s="198">
        <f t="shared" ca="1" si="421"/>
        <v>0.33416796930705961</v>
      </c>
      <c r="K195" s="200">
        <f t="shared" ca="1" si="597"/>
        <v>36.950000000000003</v>
      </c>
      <c r="L195" s="201">
        <f t="shared" ca="1" si="598"/>
        <v>38.950000000000003</v>
      </c>
      <c r="M195" s="206">
        <f t="shared" ca="1" si="599"/>
        <v>40.950000000000003</v>
      </c>
      <c r="N195" s="851">
        <f t="shared" ca="1" si="603"/>
        <v>28.546250152587881</v>
      </c>
      <c r="O195" s="201">
        <f t="shared" ca="1" si="604"/>
        <v>30.046250152587881</v>
      </c>
      <c r="P195" s="206">
        <f t="shared" ca="1" si="605"/>
        <v>31.546250152587881</v>
      </c>
      <c r="Q195" s="201">
        <f t="shared" ca="1" si="606"/>
        <v>23.247499465942372</v>
      </c>
      <c r="R195" s="201">
        <f t="shared" ca="1" si="607"/>
        <v>27.547499465942373</v>
      </c>
      <c r="S195" s="201">
        <f t="shared" ca="1" si="608"/>
        <v>31.847499465942374</v>
      </c>
      <c r="T195" s="851">
        <f t="shared" ca="1" si="600"/>
        <v>20.999997711181635</v>
      </c>
      <c r="U195" s="201">
        <f t="shared" ca="1" si="601"/>
        <v>21.999997711181635</v>
      </c>
      <c r="V195" s="206">
        <f t="shared" ca="1" si="602"/>
        <v>22.999997711181635</v>
      </c>
      <c r="W195" s="230">
        <f t="shared" ca="1" si="590"/>
        <v>6.6567634649269805E-2</v>
      </c>
      <c r="X195" s="231">
        <f t="shared" ca="1" si="591"/>
        <v>0.13313526929853961</v>
      </c>
      <c r="Y195" s="232">
        <f t="shared" ca="1" si="592"/>
        <v>0.19970290394780943</v>
      </c>
      <c r="Z195" s="231">
        <f t="shared" ca="1" si="612"/>
        <v>6.6567634649269805E-2</v>
      </c>
      <c r="AA195" s="231">
        <f t="shared" ca="1" si="613"/>
        <v>0.13313526929853961</v>
      </c>
      <c r="AB195" s="232">
        <f t="shared" ca="1" si="614"/>
        <v>0.19970290394780943</v>
      </c>
      <c r="AC195" s="231">
        <f t="shared" ca="1" si="615"/>
        <v>6.6567634649269805E-2</v>
      </c>
      <c r="AD195" s="231">
        <f t="shared" ca="1" si="616"/>
        <v>0.13313526929853961</v>
      </c>
      <c r="AE195" s="232">
        <f t="shared" ca="1" si="422"/>
        <v>0.19970290394780943</v>
      </c>
      <c r="AF195" s="231">
        <f t="shared" ca="1" si="593"/>
        <v>2.5849918592589137E-2</v>
      </c>
      <c r="AG195" s="231">
        <f t="shared" ca="1" si="594"/>
        <v>5.1699837185178274E-2</v>
      </c>
      <c r="AH195" s="232">
        <f t="shared" ca="1" si="595"/>
        <v>7.7549755777767404E-2</v>
      </c>
      <c r="AI195" s="233">
        <f t="shared" ca="1" si="423"/>
        <v>1.25</v>
      </c>
      <c r="AJ195" s="233">
        <f t="shared" ca="1" si="424"/>
        <v>2</v>
      </c>
      <c r="AK195" s="234">
        <f t="shared" ca="1" si="425"/>
        <v>2.75</v>
      </c>
      <c r="AL195" s="919">
        <f t="shared" ca="1" si="426"/>
        <v>1.25</v>
      </c>
      <c r="AM195" s="233">
        <f t="shared" ca="1" si="427"/>
        <v>2</v>
      </c>
      <c r="AN195" s="234">
        <f t="shared" ca="1" si="428"/>
        <v>2.75</v>
      </c>
      <c r="AO195" s="233">
        <f t="shared" ca="1" si="429"/>
        <v>1.25</v>
      </c>
      <c r="AP195" s="233">
        <f t="shared" ca="1" si="430"/>
        <v>2</v>
      </c>
      <c r="AQ195" s="233">
        <f t="shared" ca="1" si="431"/>
        <v>2.75</v>
      </c>
      <c r="AR195" s="919">
        <f t="shared" ca="1" si="432"/>
        <v>0.35</v>
      </c>
      <c r="AS195" s="233">
        <f t="shared" ca="1" si="433"/>
        <v>0.5</v>
      </c>
      <c r="AT195" s="235">
        <f t="shared" ca="1" si="434"/>
        <v>0.7</v>
      </c>
      <c r="AU195" s="946">
        <f t="shared" si="435"/>
        <v>0.5</v>
      </c>
      <c r="AV195" s="13">
        <f t="shared" ca="1" si="436"/>
        <v>0</v>
      </c>
      <c r="AW195" s="210">
        <f t="shared" ca="1" si="437"/>
        <v>0</v>
      </c>
      <c r="AX195" s="210">
        <f t="shared" ca="1" si="438"/>
        <v>0</v>
      </c>
      <c r="AY195" s="210">
        <f t="shared" ca="1" si="439"/>
        <v>0</v>
      </c>
      <c r="AZ195" s="13">
        <f t="shared" ca="1" si="440"/>
        <v>0</v>
      </c>
      <c r="BA195" s="357">
        <f ca="1"/>
        <v>0</v>
      </c>
      <c r="BB195" s="925">
        <f ca="1"/>
        <v>0</v>
      </c>
      <c r="BC195" s="925">
        <f ca="1"/>
        <v>0</v>
      </c>
      <c r="BD195" s="928">
        <f ca="1"/>
        <v>0</v>
      </c>
      <c r="BE195" s="200">
        <f ca="1"/>
        <v>0</v>
      </c>
      <c r="BF195" s="851">
        <f ca="1"/>
        <v>0</v>
      </c>
      <c r="BG195" s="851">
        <f ca="1"/>
        <v>0</v>
      </c>
      <c r="BH195" s="933">
        <f ca="1"/>
        <v>0</v>
      </c>
      <c r="BI195" s="357">
        <f ca="1"/>
        <v>0</v>
      </c>
      <c r="BJ195" s="925">
        <f ca="1"/>
        <v>0</v>
      </c>
      <c r="BK195" s="925">
        <f ca="1"/>
        <v>0</v>
      </c>
      <c r="BL195" s="928">
        <f ca="1"/>
        <v>0</v>
      </c>
      <c r="BM195" s="200">
        <f ca="1"/>
        <v>0</v>
      </c>
      <c r="BN195" s="851">
        <f ca="1"/>
        <v>0</v>
      </c>
      <c r="BO195" s="851">
        <f ca="1"/>
        <v>0</v>
      </c>
      <c r="BP195" s="933">
        <f ca="1"/>
        <v>0</v>
      </c>
      <c r="BQ195" s="357">
        <f t="shared" ca="1" si="441"/>
        <v>0</v>
      </c>
      <c r="BR195" s="361">
        <f t="shared" ca="1" si="442"/>
        <v>0</v>
      </c>
      <c r="BS195" s="357">
        <f t="shared" ca="1" si="443"/>
        <v>0</v>
      </c>
      <c r="BT195" s="302">
        <f t="shared" ca="1" si="444"/>
        <v>0</v>
      </c>
      <c r="BU195" s="299">
        <f t="shared" ca="1" si="445"/>
        <v>0</v>
      </c>
      <c r="BV195" s="299">
        <f t="shared" ca="1" si="446"/>
        <v>0</v>
      </c>
      <c r="BW195" s="299">
        <f t="shared" ca="1" si="447"/>
        <v>0</v>
      </c>
      <c r="BX195" s="380">
        <f t="shared" ca="1" si="448"/>
        <v>14.91854893908282</v>
      </c>
      <c r="BY195" s="363">
        <f t="shared" ca="1" si="449"/>
        <v>0</v>
      </c>
      <c r="BZ195" s="353">
        <f t="shared" ca="1" si="450"/>
        <v>0</v>
      </c>
      <c r="CA195" s="353">
        <f t="shared" ca="1" si="451"/>
        <v>0</v>
      </c>
      <c r="CB195" s="353">
        <f t="shared" ca="1" si="452"/>
        <v>0</v>
      </c>
      <c r="CC195" s="353">
        <f t="shared" ca="1" si="453"/>
        <v>0</v>
      </c>
      <c r="CD195" s="353">
        <f t="shared" ca="1" si="454"/>
        <v>0</v>
      </c>
      <c r="CE195" s="302">
        <f t="shared" ca="1" si="455"/>
        <v>0</v>
      </c>
      <c r="CF195" s="299">
        <f t="shared" ca="1" si="456"/>
        <v>0</v>
      </c>
      <c r="CG195" s="299">
        <f t="shared" ca="1" si="457"/>
        <v>0</v>
      </c>
      <c r="CH195" s="299">
        <f t="shared" ca="1" si="458"/>
        <v>0</v>
      </c>
      <c r="CI195" s="299">
        <f t="shared" ca="1" si="459"/>
        <v>0</v>
      </c>
      <c r="CJ195" s="299">
        <f t="shared" ca="1" si="460"/>
        <v>0</v>
      </c>
      <c r="CK195" s="299">
        <f t="shared" ca="1" si="461"/>
        <v>0</v>
      </c>
      <c r="CL195" s="377" t="str">
        <f t="shared" ca="1" si="462"/>
        <v/>
      </c>
      <c r="CM195" s="305" t="str">
        <f t="shared" ca="1" si="463"/>
        <v/>
      </c>
      <c r="CN195" s="305" t="str">
        <f t="shared" ca="1" si="464"/>
        <v/>
      </c>
      <c r="CO195" s="305" t="str">
        <f t="shared" ca="1" si="465"/>
        <v/>
      </c>
      <c r="CP195" s="305" t="str">
        <f t="shared" ca="1" si="466"/>
        <v/>
      </c>
      <c r="CQ195" s="305" t="str">
        <f t="shared" ca="1" si="467"/>
        <v/>
      </c>
      <c r="CR195" s="775" t="str">
        <f t="shared" ca="1" si="468"/>
        <v/>
      </c>
      <c r="CS195" s="305" t="str">
        <f t="shared" ca="1" si="469"/>
        <v/>
      </c>
      <c r="CT195" s="305" t="str">
        <f t="shared" ca="1" si="470"/>
        <v/>
      </c>
      <c r="CU195" s="305" t="str">
        <f t="shared" ca="1" si="471"/>
        <v/>
      </c>
      <c r="CV195" s="770" t="str">
        <f t="shared" ca="1" si="472"/>
        <v/>
      </c>
      <c r="CW195" s="302">
        <f t="shared" ca="1" si="473"/>
        <v>0</v>
      </c>
      <c r="CX195" s="299">
        <f t="shared" ca="1" si="474"/>
        <v>0</v>
      </c>
      <c r="CY195" s="299">
        <f t="shared" ca="1" si="475"/>
        <v>0</v>
      </c>
      <c r="CZ195" s="299">
        <f t="shared" ca="1" si="476"/>
        <v>0</v>
      </c>
      <c r="DA195" s="774">
        <f t="shared" ca="1" si="477"/>
        <v>0</v>
      </c>
      <c r="DB195" s="303">
        <f t="shared" ca="1" si="478"/>
        <v>0</v>
      </c>
      <c r="DC195" s="248">
        <f t="shared" ca="1" si="479"/>
        <v>0</v>
      </c>
      <c r="DD195" s="778">
        <f t="shared" ca="1" si="480"/>
        <v>0</v>
      </c>
      <c r="DE195" s="363">
        <f t="shared" ca="1" si="481"/>
        <v>0</v>
      </c>
      <c r="DF195" s="378" t="str">
        <f t="shared" ca="1" si="482"/>
        <v/>
      </c>
      <c r="DG195" s="508" t="str">
        <f t="shared" ca="1" si="483"/>
        <v/>
      </c>
      <c r="DH195" s="508" t="str">
        <f t="shared" ca="1" si="484"/>
        <v/>
      </c>
      <c r="DI195" s="508" t="str">
        <f t="shared" ca="1" si="485"/>
        <v/>
      </c>
      <c r="DJ195" s="508" t="str">
        <f t="shared" ca="1" si="486"/>
        <v/>
      </c>
      <c r="DK195" s="353">
        <f t="shared" ca="1" si="487"/>
        <v>0</v>
      </c>
      <c r="DL195" s="781">
        <f t="shared" ca="1" si="488"/>
        <v>0</v>
      </c>
      <c r="DM195" s="303">
        <f t="shared" ca="1" si="489"/>
        <v>0</v>
      </c>
      <c r="DN195" s="508" t="str">
        <f t="shared" ca="1" si="490"/>
        <v/>
      </c>
      <c r="DO195" s="508" t="str">
        <f t="shared" ca="1" si="491"/>
        <v/>
      </c>
      <c r="DP195" s="508" t="str">
        <f t="shared" ca="1" si="492"/>
        <v/>
      </c>
      <c r="DQ195" s="508" t="str">
        <f t="shared" ca="1" si="493"/>
        <v/>
      </c>
      <c r="DR195" s="508" t="str">
        <f t="shared" ca="1" si="494"/>
        <v/>
      </c>
      <c r="DS195" s="353">
        <f t="shared" ca="1" si="495"/>
        <v>0</v>
      </c>
      <c r="DT195" s="353">
        <f t="shared" ca="1" si="496"/>
        <v>0</v>
      </c>
      <c r="DU195" s="380">
        <f t="shared" ca="1" si="596"/>
        <v>14.91854893908282</v>
      </c>
      <c r="DV195" s="303">
        <f t="shared" ca="1" si="497"/>
        <v>0</v>
      </c>
      <c r="DW195" s="303">
        <f t="shared" ca="1" si="498"/>
        <v>0</v>
      </c>
      <c r="DX195" s="303">
        <f t="shared" ca="1" si="499"/>
        <v>0</v>
      </c>
      <c r="DY195" s="303">
        <f t="shared" ca="1" si="500"/>
        <v>0</v>
      </c>
      <c r="DZ195" s="303">
        <f t="shared" ca="1" si="501"/>
        <v>0</v>
      </c>
      <c r="EA195" s="303">
        <f t="shared" ca="1" si="502"/>
        <v>0</v>
      </c>
      <c r="EB195" s="302">
        <f t="shared" ca="1" si="503"/>
        <v>0</v>
      </c>
      <c r="EC195" s="299">
        <f t="shared" ca="1" si="504"/>
        <v>0</v>
      </c>
      <c r="ED195" s="299">
        <f t="shared" ca="1" si="505"/>
        <v>0</v>
      </c>
      <c r="EE195" s="299">
        <f t="shared" ca="1" si="506"/>
        <v>0</v>
      </c>
      <c r="EF195" s="299">
        <f t="shared" ca="1" si="507"/>
        <v>0</v>
      </c>
      <c r="EG195" s="299">
        <f t="shared" ca="1" si="508"/>
        <v>0</v>
      </c>
      <c r="EH195" s="302">
        <f t="shared" ca="1" si="509"/>
        <v>0</v>
      </c>
      <c r="EI195" s="304" t="str">
        <f t="shared" ca="1" si="510"/>
        <v/>
      </c>
      <c r="EJ195" s="305" t="str">
        <f t="shared" ca="1" si="511"/>
        <v/>
      </c>
      <c r="EK195" s="305" t="str">
        <f t="shared" ca="1" si="512"/>
        <v/>
      </c>
      <c r="EL195" s="305" t="str">
        <f t="shared" ca="1" si="513"/>
        <v/>
      </c>
      <c r="EM195" s="305" t="str">
        <f t="shared" ca="1" si="514"/>
        <v/>
      </c>
      <c r="EN195" s="305" t="str">
        <f t="shared" ca="1" si="515"/>
        <v/>
      </c>
      <c r="EO195" s="305" t="str">
        <f t="shared" ca="1" si="516"/>
        <v/>
      </c>
      <c r="EP195" s="305" t="str">
        <f t="shared" ca="1" si="517"/>
        <v/>
      </c>
      <c r="EQ195" s="305" t="str">
        <f t="shared" ca="1" si="518"/>
        <v/>
      </c>
      <c r="ER195" s="305" t="str">
        <f t="shared" ca="1" si="519"/>
        <v/>
      </c>
      <c r="ES195" s="305" t="str">
        <f t="shared" ca="1" si="520"/>
        <v/>
      </c>
      <c r="ET195" s="299">
        <f t="shared" ca="1" si="521"/>
        <v>0</v>
      </c>
      <c r="EU195" s="302">
        <f t="shared" ca="1" si="522"/>
        <v>0</v>
      </c>
      <c r="EV195" s="304" t="str">
        <f t="shared" ca="1" si="523"/>
        <v/>
      </c>
      <c r="EW195" s="305" t="str">
        <f t="shared" ca="1" si="524"/>
        <v/>
      </c>
      <c r="EX195" s="305" t="str">
        <f t="shared" ca="1" si="525"/>
        <v/>
      </c>
      <c r="EY195" s="305" t="str">
        <f t="shared" ca="1" si="526"/>
        <v/>
      </c>
      <c r="EZ195" s="305" t="str">
        <f t="shared" ca="1" si="527"/>
        <v/>
      </c>
      <c r="FA195" s="305" t="str">
        <f t="shared" ca="1" si="528"/>
        <v/>
      </c>
      <c r="FB195" s="305" t="str">
        <f t="shared" ca="1" si="529"/>
        <v/>
      </c>
      <c r="FC195" s="305" t="str">
        <f t="shared" ca="1" si="530"/>
        <v/>
      </c>
      <c r="FD195" s="305" t="str">
        <f t="shared" ca="1" si="531"/>
        <v/>
      </c>
      <c r="FE195" s="305" t="str">
        <f t="shared" ca="1" si="532"/>
        <v/>
      </c>
      <c r="FF195" s="305" t="str">
        <f t="shared" ca="1" si="533"/>
        <v/>
      </c>
      <c r="FG195" s="299">
        <f t="shared" ca="1" si="534"/>
        <v>0</v>
      </c>
      <c r="FH195" s="302">
        <f t="shared" ca="1" si="535"/>
        <v>0</v>
      </c>
      <c r="FI195" s="248">
        <f t="shared" ca="1" si="536"/>
        <v>0</v>
      </c>
      <c r="FJ195" s="363">
        <f t="shared" ca="1" si="537"/>
        <v>0</v>
      </c>
      <c r="FK195" s="378" t="str">
        <f t="shared" ca="1" si="538"/>
        <v/>
      </c>
      <c r="FL195" s="508" t="str">
        <f t="shared" ca="1" si="539"/>
        <v/>
      </c>
      <c r="FM195" s="508" t="str">
        <f t="shared" ca="1" si="540"/>
        <v/>
      </c>
      <c r="FN195" s="508" t="str">
        <f t="shared" ca="1" si="541"/>
        <v/>
      </c>
      <c r="FO195" s="508" t="str">
        <f t="shared" ca="1" si="542"/>
        <v/>
      </c>
      <c r="FP195" s="353">
        <f t="shared" ca="1" si="543"/>
        <v>0</v>
      </c>
      <c r="FQ195" s="356">
        <f t="shared" ca="1" si="544"/>
        <v>0</v>
      </c>
      <c r="FR195" s="380">
        <f t="shared" ca="1" si="545"/>
        <v>0</v>
      </c>
      <c r="FS195" s="299">
        <f t="shared" ca="1" si="546"/>
        <v>0</v>
      </c>
      <c r="FT195" s="299">
        <f t="shared" ca="1" si="547"/>
        <v>0</v>
      </c>
      <c r="FU195" s="299">
        <f t="shared" ca="1" si="548"/>
        <v>0</v>
      </c>
      <c r="FV195" s="299">
        <f t="shared" ca="1" si="549"/>
        <v>0</v>
      </c>
      <c r="FW195" s="850" t="str">
        <f t="shared" ca="1" si="550"/>
        <v/>
      </c>
      <c r="FX195" s="851" t="str">
        <f t="shared" ca="1" si="551"/>
        <v/>
      </c>
      <c r="FY195" s="851" t="str">
        <f t="shared" ca="1" si="552"/>
        <v/>
      </c>
      <c r="FZ195" s="201" t="str">
        <f t="shared" ca="1" si="553"/>
        <v/>
      </c>
      <c r="GA195" s="201" t="str">
        <f t="shared" ca="1" si="554"/>
        <v/>
      </c>
      <c r="GB195" s="201" t="str">
        <f t="shared" ca="1" si="555"/>
        <v/>
      </c>
      <c r="GC195" s="201" t="str">
        <f t="shared" ca="1" si="556"/>
        <v/>
      </c>
      <c r="GD195" s="850" t="str">
        <f t="shared" ca="1" si="557"/>
        <v/>
      </c>
      <c r="GE195" s="866" t="str">
        <f t="shared" ca="1" si="558"/>
        <v/>
      </c>
      <c r="GF195" s="866" t="str">
        <f t="shared" ca="1" si="559"/>
        <v/>
      </c>
      <c r="GG195" s="866" t="str">
        <f t="shared" ca="1" si="560"/>
        <v/>
      </c>
      <c r="GH195" s="866" t="str">
        <f t="shared" ca="1" si="561"/>
        <v/>
      </c>
      <c r="GI195" s="302">
        <f t="shared" ca="1" si="562"/>
        <v>0</v>
      </c>
      <c r="GJ195" s="299">
        <f t="shared" ca="1" si="563"/>
        <v>0</v>
      </c>
      <c r="GK195" s="299">
        <f t="shared" ca="1" si="564"/>
        <v>0</v>
      </c>
      <c r="GL195" s="299">
        <f t="shared" ca="1" si="565"/>
        <v>0</v>
      </c>
      <c r="GM195" s="299">
        <f t="shared" ca="1" si="566"/>
        <v>0</v>
      </c>
      <c r="GN195" s="302">
        <f t="shared" ca="1" si="567"/>
        <v>0</v>
      </c>
      <c r="GO195" s="299">
        <f t="shared" ca="1" si="568"/>
        <v>0</v>
      </c>
      <c r="GP195" s="299">
        <f t="shared" ca="1" si="569"/>
        <v>0</v>
      </c>
      <c r="GQ195" s="299">
        <f t="shared" ca="1" si="570"/>
        <v>0</v>
      </c>
      <c r="GR195" s="299">
        <f t="shared" ca="1" si="571"/>
        <v>0</v>
      </c>
      <c r="GS195" s="302">
        <f t="shared" ca="1" si="572"/>
        <v>0</v>
      </c>
      <c r="GT195" s="299">
        <f t="shared" ca="1" si="573"/>
        <v>0</v>
      </c>
      <c r="GU195" s="299">
        <f t="shared" ca="1" si="574"/>
        <v>0</v>
      </c>
      <c r="GV195" s="299">
        <f t="shared" ca="1" si="575"/>
        <v>0</v>
      </c>
      <c r="GW195" s="299">
        <f t="shared" ca="1" si="576"/>
        <v>0</v>
      </c>
      <c r="GX195" s="303">
        <f t="shared" ca="1" si="577"/>
        <v>0</v>
      </c>
      <c r="GY195" s="303">
        <f t="shared" ca="1" si="578"/>
        <v>0</v>
      </c>
      <c r="GZ195" s="303">
        <f t="shared" ca="1" si="579"/>
        <v>0</v>
      </c>
      <c r="HA195" s="303">
        <f t="shared" ca="1" si="580"/>
        <v>0</v>
      </c>
      <c r="HB195" s="303">
        <f t="shared" ca="1" si="581"/>
        <v>0</v>
      </c>
      <c r="HC195" s="303">
        <f t="shared" ca="1" si="582"/>
        <v>0</v>
      </c>
      <c r="HD195" s="303">
        <f t="shared" ca="1" si="583"/>
        <v>0</v>
      </c>
      <c r="HE195" s="303">
        <f t="shared" ca="1" si="584"/>
        <v>0</v>
      </c>
      <c r="HF195" s="303">
        <f t="shared" ca="1" si="585"/>
        <v>0</v>
      </c>
      <c r="HG195" s="852">
        <f t="shared" ca="1" si="586"/>
        <v>0</v>
      </c>
    </row>
    <row r="196" spans="1:215" x14ac:dyDescent="0.25">
      <c r="A196" s="244">
        <f t="shared" ca="1" si="587"/>
        <v>42064</v>
      </c>
      <c r="B196" s="13">
        <f t="shared" ca="1" si="620"/>
        <v>2015</v>
      </c>
      <c r="C196" s="619">
        <f t="shared" ca="1" si="621"/>
        <v>3</v>
      </c>
      <c r="D196" s="195" t="str">
        <f t="shared" ca="1" si="417"/>
        <v/>
      </c>
      <c r="E196" s="469" t="str">
        <f t="shared" ca="1" si="418"/>
        <v/>
      </c>
      <c r="F196" s="465" t="str">
        <f t="shared" ca="1" si="419"/>
        <v/>
      </c>
      <c r="G196" s="522">
        <f t="shared" ca="1" si="588"/>
        <v>1</v>
      </c>
      <c r="H196" s="519">
        <f t="shared" ca="1" si="589"/>
        <v>1</v>
      </c>
      <c r="I196" s="724">
        <f t="shared" ca="1" si="622"/>
        <v>7.4187323595548998E-2</v>
      </c>
      <c r="J196" s="198">
        <f t="shared" ca="1" si="421"/>
        <v>0.33210961272771633</v>
      </c>
      <c r="K196" s="200">
        <f t="shared" ca="1" si="597"/>
        <v>34.1</v>
      </c>
      <c r="L196" s="201">
        <f t="shared" ca="1" si="598"/>
        <v>35.200000000000003</v>
      </c>
      <c r="M196" s="206">
        <f t="shared" ca="1" si="599"/>
        <v>36.299999999999997</v>
      </c>
      <c r="N196" s="851">
        <f t="shared" ca="1" si="603"/>
        <v>22.409749603271475</v>
      </c>
      <c r="O196" s="201">
        <f t="shared" ca="1" si="604"/>
        <v>23.234749603271474</v>
      </c>
      <c r="P196" s="206">
        <f t="shared" ca="1" si="605"/>
        <v>24.059749603271474</v>
      </c>
      <c r="Q196" s="201">
        <f t="shared" ca="1" si="606"/>
        <v>18.564498901367177</v>
      </c>
      <c r="R196" s="201">
        <f t="shared" ca="1" si="607"/>
        <v>22.864498901367178</v>
      </c>
      <c r="S196" s="201">
        <f t="shared" ca="1" si="608"/>
        <v>27.164498901367178</v>
      </c>
      <c r="T196" s="851">
        <f t="shared" ca="1" si="600"/>
        <v>20.449999618530267</v>
      </c>
      <c r="U196" s="201">
        <f t="shared" ca="1" si="601"/>
        <v>20.999999618530268</v>
      </c>
      <c r="V196" s="206">
        <f t="shared" ca="1" si="602"/>
        <v>21.549999618530268</v>
      </c>
      <c r="W196" s="230">
        <f t="shared" ca="1" si="590"/>
        <v>6.4793716912737054E-2</v>
      </c>
      <c r="X196" s="231">
        <f t="shared" ca="1" si="591"/>
        <v>0.12958743382547411</v>
      </c>
      <c r="Y196" s="232">
        <f t="shared" ca="1" si="592"/>
        <v>0.19438115073821116</v>
      </c>
      <c r="Z196" s="231">
        <f t="shared" ca="1" si="612"/>
        <v>6.4793716912737054E-2</v>
      </c>
      <c r="AA196" s="231">
        <f t="shared" ca="1" si="613"/>
        <v>0.12958743382547411</v>
      </c>
      <c r="AB196" s="232">
        <f t="shared" ca="1" si="614"/>
        <v>0.19438115073821116</v>
      </c>
      <c r="AC196" s="231">
        <f t="shared" ca="1" si="615"/>
        <v>6.4793716912737054E-2</v>
      </c>
      <c r="AD196" s="231">
        <f t="shared" ca="1" si="616"/>
        <v>0.12958743382547411</v>
      </c>
      <c r="AE196" s="232">
        <f t="shared" ca="1" si="422"/>
        <v>0.19438115073821116</v>
      </c>
      <c r="AF196" s="231">
        <f t="shared" ca="1" si="593"/>
        <v>2.215707307936211E-2</v>
      </c>
      <c r="AG196" s="231">
        <f t="shared" ca="1" si="594"/>
        <v>4.431414615872422E-2</v>
      </c>
      <c r="AH196" s="232">
        <f t="shared" ca="1" si="595"/>
        <v>6.6471219238086326E-2</v>
      </c>
      <c r="AI196" s="233">
        <f t="shared" ca="1" si="423"/>
        <v>1.05</v>
      </c>
      <c r="AJ196" s="233">
        <f t="shared" ca="1" si="424"/>
        <v>1.3</v>
      </c>
      <c r="AK196" s="234">
        <f t="shared" ca="1" si="425"/>
        <v>1.6</v>
      </c>
      <c r="AL196" s="919">
        <f t="shared" ca="1" si="426"/>
        <v>1.05</v>
      </c>
      <c r="AM196" s="233">
        <f t="shared" ca="1" si="427"/>
        <v>1.3</v>
      </c>
      <c r="AN196" s="234">
        <f t="shared" ca="1" si="428"/>
        <v>1.6</v>
      </c>
      <c r="AO196" s="233">
        <f t="shared" ca="1" si="429"/>
        <v>1.05</v>
      </c>
      <c r="AP196" s="233">
        <f t="shared" ca="1" si="430"/>
        <v>1.3</v>
      </c>
      <c r="AQ196" s="233">
        <f t="shared" ca="1" si="431"/>
        <v>1.6</v>
      </c>
      <c r="AR196" s="919">
        <f t="shared" ca="1" si="432"/>
        <v>0.19999999999999998</v>
      </c>
      <c r="AS196" s="233">
        <f t="shared" ca="1" si="433"/>
        <v>0.35</v>
      </c>
      <c r="AT196" s="235">
        <f t="shared" ca="1" si="434"/>
        <v>0.55000000000000004</v>
      </c>
      <c r="AU196" s="946">
        <f t="shared" si="435"/>
        <v>0.5</v>
      </c>
      <c r="AV196" s="13">
        <f t="shared" ca="1" si="436"/>
        <v>0</v>
      </c>
      <c r="AW196" s="210">
        <f t="shared" ca="1" si="437"/>
        <v>0</v>
      </c>
      <c r="AX196" s="210">
        <f t="shared" ca="1" si="438"/>
        <v>0</v>
      </c>
      <c r="AY196" s="210">
        <f t="shared" ca="1" si="439"/>
        <v>0</v>
      </c>
      <c r="AZ196" s="13">
        <f t="shared" ca="1" si="440"/>
        <v>0</v>
      </c>
      <c r="BA196" s="357">
        <f ca="1"/>
        <v>0</v>
      </c>
      <c r="BB196" s="925">
        <f ca="1"/>
        <v>0</v>
      </c>
      <c r="BC196" s="925">
        <f ca="1"/>
        <v>0</v>
      </c>
      <c r="BD196" s="928">
        <f ca="1"/>
        <v>0</v>
      </c>
      <c r="BE196" s="200">
        <f ca="1"/>
        <v>0</v>
      </c>
      <c r="BF196" s="851">
        <f ca="1"/>
        <v>0</v>
      </c>
      <c r="BG196" s="851">
        <f ca="1"/>
        <v>0</v>
      </c>
      <c r="BH196" s="933">
        <f ca="1"/>
        <v>0</v>
      </c>
      <c r="BI196" s="357">
        <f ca="1"/>
        <v>0</v>
      </c>
      <c r="BJ196" s="925">
        <f ca="1"/>
        <v>0</v>
      </c>
      <c r="BK196" s="925">
        <f ca="1"/>
        <v>0</v>
      </c>
      <c r="BL196" s="928">
        <f ca="1"/>
        <v>0</v>
      </c>
      <c r="BM196" s="200">
        <f ca="1"/>
        <v>0</v>
      </c>
      <c r="BN196" s="851">
        <f ca="1"/>
        <v>0</v>
      </c>
      <c r="BO196" s="851">
        <f ca="1"/>
        <v>0</v>
      </c>
      <c r="BP196" s="933">
        <f ca="1"/>
        <v>0</v>
      </c>
      <c r="BQ196" s="357">
        <f t="shared" ca="1" si="441"/>
        <v>0</v>
      </c>
      <c r="BR196" s="361">
        <f t="shared" ca="1" si="442"/>
        <v>0</v>
      </c>
      <c r="BS196" s="357">
        <f t="shared" ca="1" si="443"/>
        <v>0</v>
      </c>
      <c r="BT196" s="302">
        <f t="shared" ca="1" si="444"/>
        <v>0</v>
      </c>
      <c r="BU196" s="299">
        <f t="shared" ca="1" si="445"/>
        <v>0</v>
      </c>
      <c r="BV196" s="299">
        <f t="shared" ca="1" si="446"/>
        <v>0</v>
      </c>
      <c r="BW196" s="299">
        <f t="shared" ca="1" si="447"/>
        <v>0</v>
      </c>
      <c r="BX196" s="380">
        <f t="shared" ca="1" si="448"/>
        <v>14.99520876112252</v>
      </c>
      <c r="BY196" s="363">
        <f t="shared" ca="1" si="449"/>
        <v>0</v>
      </c>
      <c r="BZ196" s="353">
        <f t="shared" ca="1" si="450"/>
        <v>0</v>
      </c>
      <c r="CA196" s="353">
        <f t="shared" ca="1" si="451"/>
        <v>0</v>
      </c>
      <c r="CB196" s="353">
        <f t="shared" ca="1" si="452"/>
        <v>0</v>
      </c>
      <c r="CC196" s="353">
        <f t="shared" ca="1" si="453"/>
        <v>0</v>
      </c>
      <c r="CD196" s="353">
        <f t="shared" ca="1" si="454"/>
        <v>0</v>
      </c>
      <c r="CE196" s="302">
        <f t="shared" ca="1" si="455"/>
        <v>0</v>
      </c>
      <c r="CF196" s="299">
        <f t="shared" ca="1" si="456"/>
        <v>0</v>
      </c>
      <c r="CG196" s="299">
        <f t="shared" ca="1" si="457"/>
        <v>0</v>
      </c>
      <c r="CH196" s="299">
        <f t="shared" ca="1" si="458"/>
        <v>0</v>
      </c>
      <c r="CI196" s="299">
        <f t="shared" ca="1" si="459"/>
        <v>0</v>
      </c>
      <c r="CJ196" s="299">
        <f t="shared" ca="1" si="460"/>
        <v>0</v>
      </c>
      <c r="CK196" s="299">
        <f t="shared" ca="1" si="461"/>
        <v>0</v>
      </c>
      <c r="CL196" s="377" t="str">
        <f t="shared" ca="1" si="462"/>
        <v/>
      </c>
      <c r="CM196" s="305" t="str">
        <f t="shared" ca="1" si="463"/>
        <v/>
      </c>
      <c r="CN196" s="305" t="str">
        <f t="shared" ca="1" si="464"/>
        <v/>
      </c>
      <c r="CO196" s="305" t="str">
        <f t="shared" ca="1" si="465"/>
        <v/>
      </c>
      <c r="CP196" s="305" t="str">
        <f t="shared" ca="1" si="466"/>
        <v/>
      </c>
      <c r="CQ196" s="305" t="str">
        <f t="shared" ca="1" si="467"/>
        <v/>
      </c>
      <c r="CR196" s="775" t="str">
        <f t="shared" ca="1" si="468"/>
        <v/>
      </c>
      <c r="CS196" s="305" t="str">
        <f t="shared" ca="1" si="469"/>
        <v/>
      </c>
      <c r="CT196" s="305" t="str">
        <f t="shared" ca="1" si="470"/>
        <v/>
      </c>
      <c r="CU196" s="305" t="str">
        <f t="shared" ca="1" si="471"/>
        <v/>
      </c>
      <c r="CV196" s="770" t="str">
        <f t="shared" ca="1" si="472"/>
        <v/>
      </c>
      <c r="CW196" s="302">
        <f t="shared" ca="1" si="473"/>
        <v>0</v>
      </c>
      <c r="CX196" s="299">
        <f t="shared" ca="1" si="474"/>
        <v>0</v>
      </c>
      <c r="CY196" s="299">
        <f t="shared" ca="1" si="475"/>
        <v>0</v>
      </c>
      <c r="CZ196" s="299">
        <f t="shared" ca="1" si="476"/>
        <v>0</v>
      </c>
      <c r="DA196" s="774">
        <f t="shared" ca="1" si="477"/>
        <v>0</v>
      </c>
      <c r="DB196" s="303">
        <f t="shared" ca="1" si="478"/>
        <v>0</v>
      </c>
      <c r="DC196" s="248">
        <f t="shared" ca="1" si="479"/>
        <v>0</v>
      </c>
      <c r="DD196" s="778">
        <f t="shared" ca="1" si="480"/>
        <v>0</v>
      </c>
      <c r="DE196" s="363">
        <f t="shared" ca="1" si="481"/>
        <v>0</v>
      </c>
      <c r="DF196" s="378" t="str">
        <f t="shared" ca="1" si="482"/>
        <v/>
      </c>
      <c r="DG196" s="508" t="str">
        <f t="shared" ca="1" si="483"/>
        <v/>
      </c>
      <c r="DH196" s="508" t="str">
        <f t="shared" ca="1" si="484"/>
        <v/>
      </c>
      <c r="DI196" s="508" t="str">
        <f t="shared" ca="1" si="485"/>
        <v/>
      </c>
      <c r="DJ196" s="508" t="str">
        <f t="shared" ca="1" si="486"/>
        <v/>
      </c>
      <c r="DK196" s="353">
        <f t="shared" ca="1" si="487"/>
        <v>0</v>
      </c>
      <c r="DL196" s="781">
        <f t="shared" ca="1" si="488"/>
        <v>0</v>
      </c>
      <c r="DM196" s="303">
        <f t="shared" ca="1" si="489"/>
        <v>0</v>
      </c>
      <c r="DN196" s="508" t="str">
        <f t="shared" ca="1" si="490"/>
        <v/>
      </c>
      <c r="DO196" s="508" t="str">
        <f t="shared" ca="1" si="491"/>
        <v/>
      </c>
      <c r="DP196" s="508" t="str">
        <f t="shared" ca="1" si="492"/>
        <v/>
      </c>
      <c r="DQ196" s="508" t="str">
        <f t="shared" ca="1" si="493"/>
        <v/>
      </c>
      <c r="DR196" s="508" t="str">
        <f t="shared" ca="1" si="494"/>
        <v/>
      </c>
      <c r="DS196" s="353">
        <f t="shared" ca="1" si="495"/>
        <v>0</v>
      </c>
      <c r="DT196" s="353">
        <f t="shared" ca="1" si="496"/>
        <v>0</v>
      </c>
      <c r="DU196" s="380">
        <f t="shared" ca="1" si="596"/>
        <v>14.99520876112252</v>
      </c>
      <c r="DV196" s="303">
        <f t="shared" ca="1" si="497"/>
        <v>0</v>
      </c>
      <c r="DW196" s="303">
        <f t="shared" ca="1" si="498"/>
        <v>0</v>
      </c>
      <c r="DX196" s="303">
        <f t="shared" ca="1" si="499"/>
        <v>0</v>
      </c>
      <c r="DY196" s="303">
        <f t="shared" ca="1" si="500"/>
        <v>0</v>
      </c>
      <c r="DZ196" s="303">
        <f t="shared" ca="1" si="501"/>
        <v>0</v>
      </c>
      <c r="EA196" s="303">
        <f t="shared" ca="1" si="502"/>
        <v>0</v>
      </c>
      <c r="EB196" s="302">
        <f t="shared" ca="1" si="503"/>
        <v>0</v>
      </c>
      <c r="EC196" s="299">
        <f t="shared" ca="1" si="504"/>
        <v>0</v>
      </c>
      <c r="ED196" s="299">
        <f t="shared" ca="1" si="505"/>
        <v>0</v>
      </c>
      <c r="EE196" s="299">
        <f t="shared" ca="1" si="506"/>
        <v>0</v>
      </c>
      <c r="EF196" s="299">
        <f t="shared" ca="1" si="507"/>
        <v>0</v>
      </c>
      <c r="EG196" s="299">
        <f t="shared" ca="1" si="508"/>
        <v>0</v>
      </c>
      <c r="EH196" s="302">
        <f t="shared" ca="1" si="509"/>
        <v>0</v>
      </c>
      <c r="EI196" s="304" t="str">
        <f t="shared" ca="1" si="510"/>
        <v/>
      </c>
      <c r="EJ196" s="305" t="str">
        <f t="shared" ca="1" si="511"/>
        <v/>
      </c>
      <c r="EK196" s="305" t="str">
        <f t="shared" ca="1" si="512"/>
        <v/>
      </c>
      <c r="EL196" s="305" t="str">
        <f t="shared" ca="1" si="513"/>
        <v/>
      </c>
      <c r="EM196" s="305" t="str">
        <f t="shared" ca="1" si="514"/>
        <v/>
      </c>
      <c r="EN196" s="305" t="str">
        <f t="shared" ca="1" si="515"/>
        <v/>
      </c>
      <c r="EO196" s="305" t="str">
        <f t="shared" ca="1" si="516"/>
        <v/>
      </c>
      <c r="EP196" s="305" t="str">
        <f t="shared" ca="1" si="517"/>
        <v/>
      </c>
      <c r="EQ196" s="305" t="str">
        <f t="shared" ca="1" si="518"/>
        <v/>
      </c>
      <c r="ER196" s="305" t="str">
        <f t="shared" ca="1" si="519"/>
        <v/>
      </c>
      <c r="ES196" s="305" t="str">
        <f t="shared" ca="1" si="520"/>
        <v/>
      </c>
      <c r="ET196" s="299">
        <f t="shared" ca="1" si="521"/>
        <v>0</v>
      </c>
      <c r="EU196" s="302">
        <f t="shared" ca="1" si="522"/>
        <v>0</v>
      </c>
      <c r="EV196" s="304" t="str">
        <f t="shared" ca="1" si="523"/>
        <v/>
      </c>
      <c r="EW196" s="305" t="str">
        <f t="shared" ca="1" si="524"/>
        <v/>
      </c>
      <c r="EX196" s="305" t="str">
        <f t="shared" ca="1" si="525"/>
        <v/>
      </c>
      <c r="EY196" s="305" t="str">
        <f t="shared" ca="1" si="526"/>
        <v/>
      </c>
      <c r="EZ196" s="305" t="str">
        <f t="shared" ca="1" si="527"/>
        <v/>
      </c>
      <c r="FA196" s="305" t="str">
        <f t="shared" ca="1" si="528"/>
        <v/>
      </c>
      <c r="FB196" s="305" t="str">
        <f t="shared" ca="1" si="529"/>
        <v/>
      </c>
      <c r="FC196" s="305" t="str">
        <f t="shared" ca="1" si="530"/>
        <v/>
      </c>
      <c r="FD196" s="305" t="str">
        <f t="shared" ca="1" si="531"/>
        <v/>
      </c>
      <c r="FE196" s="305" t="str">
        <f t="shared" ca="1" si="532"/>
        <v/>
      </c>
      <c r="FF196" s="305" t="str">
        <f t="shared" ca="1" si="533"/>
        <v/>
      </c>
      <c r="FG196" s="299">
        <f t="shared" ca="1" si="534"/>
        <v>0</v>
      </c>
      <c r="FH196" s="302">
        <f t="shared" ca="1" si="535"/>
        <v>0</v>
      </c>
      <c r="FI196" s="248">
        <f t="shared" ca="1" si="536"/>
        <v>0</v>
      </c>
      <c r="FJ196" s="363">
        <f t="shared" ca="1" si="537"/>
        <v>0</v>
      </c>
      <c r="FK196" s="378" t="str">
        <f t="shared" ca="1" si="538"/>
        <v/>
      </c>
      <c r="FL196" s="508" t="str">
        <f t="shared" ca="1" si="539"/>
        <v/>
      </c>
      <c r="FM196" s="508" t="str">
        <f t="shared" ca="1" si="540"/>
        <v/>
      </c>
      <c r="FN196" s="508" t="str">
        <f t="shared" ca="1" si="541"/>
        <v/>
      </c>
      <c r="FO196" s="508" t="str">
        <f t="shared" ca="1" si="542"/>
        <v/>
      </c>
      <c r="FP196" s="353">
        <f t="shared" ca="1" si="543"/>
        <v>0</v>
      </c>
      <c r="FQ196" s="356">
        <f t="shared" ca="1" si="544"/>
        <v>0</v>
      </c>
      <c r="FR196" s="380">
        <f t="shared" ca="1" si="545"/>
        <v>0</v>
      </c>
      <c r="FS196" s="299">
        <f t="shared" ca="1" si="546"/>
        <v>0</v>
      </c>
      <c r="FT196" s="299">
        <f t="shared" ca="1" si="547"/>
        <v>0</v>
      </c>
      <c r="FU196" s="299">
        <f t="shared" ca="1" si="548"/>
        <v>0</v>
      </c>
      <c r="FV196" s="299">
        <f t="shared" ca="1" si="549"/>
        <v>0</v>
      </c>
      <c r="FW196" s="850" t="str">
        <f t="shared" ca="1" si="550"/>
        <v/>
      </c>
      <c r="FX196" s="851" t="str">
        <f t="shared" ca="1" si="551"/>
        <v/>
      </c>
      <c r="FY196" s="851" t="str">
        <f t="shared" ca="1" si="552"/>
        <v/>
      </c>
      <c r="FZ196" s="201" t="str">
        <f t="shared" ca="1" si="553"/>
        <v/>
      </c>
      <c r="GA196" s="201" t="str">
        <f t="shared" ca="1" si="554"/>
        <v/>
      </c>
      <c r="GB196" s="201" t="str">
        <f t="shared" ca="1" si="555"/>
        <v/>
      </c>
      <c r="GC196" s="201" t="str">
        <f t="shared" ca="1" si="556"/>
        <v/>
      </c>
      <c r="GD196" s="850" t="str">
        <f t="shared" ca="1" si="557"/>
        <v/>
      </c>
      <c r="GE196" s="866" t="str">
        <f t="shared" ca="1" si="558"/>
        <v/>
      </c>
      <c r="GF196" s="866" t="str">
        <f t="shared" ca="1" si="559"/>
        <v/>
      </c>
      <c r="GG196" s="866" t="str">
        <f t="shared" ca="1" si="560"/>
        <v/>
      </c>
      <c r="GH196" s="866" t="str">
        <f t="shared" ca="1" si="561"/>
        <v/>
      </c>
      <c r="GI196" s="302">
        <f t="shared" ca="1" si="562"/>
        <v>0</v>
      </c>
      <c r="GJ196" s="299">
        <f t="shared" ca="1" si="563"/>
        <v>0</v>
      </c>
      <c r="GK196" s="299">
        <f t="shared" ca="1" si="564"/>
        <v>0</v>
      </c>
      <c r="GL196" s="299">
        <f t="shared" ca="1" si="565"/>
        <v>0</v>
      </c>
      <c r="GM196" s="299">
        <f t="shared" ca="1" si="566"/>
        <v>0</v>
      </c>
      <c r="GN196" s="302">
        <f t="shared" ca="1" si="567"/>
        <v>0</v>
      </c>
      <c r="GO196" s="299">
        <f t="shared" ca="1" si="568"/>
        <v>0</v>
      </c>
      <c r="GP196" s="299">
        <f t="shared" ca="1" si="569"/>
        <v>0</v>
      </c>
      <c r="GQ196" s="299">
        <f t="shared" ca="1" si="570"/>
        <v>0</v>
      </c>
      <c r="GR196" s="299">
        <f t="shared" ca="1" si="571"/>
        <v>0</v>
      </c>
      <c r="GS196" s="302">
        <f t="shared" ca="1" si="572"/>
        <v>0</v>
      </c>
      <c r="GT196" s="299">
        <f t="shared" ca="1" si="573"/>
        <v>0</v>
      </c>
      <c r="GU196" s="299">
        <f t="shared" ca="1" si="574"/>
        <v>0</v>
      </c>
      <c r="GV196" s="299">
        <f t="shared" ca="1" si="575"/>
        <v>0</v>
      </c>
      <c r="GW196" s="299">
        <f t="shared" ca="1" si="576"/>
        <v>0</v>
      </c>
      <c r="GX196" s="303">
        <f t="shared" ca="1" si="577"/>
        <v>0</v>
      </c>
      <c r="GY196" s="303">
        <f t="shared" ca="1" si="578"/>
        <v>0</v>
      </c>
      <c r="GZ196" s="303">
        <f t="shared" ca="1" si="579"/>
        <v>0</v>
      </c>
      <c r="HA196" s="303">
        <f t="shared" ca="1" si="580"/>
        <v>0</v>
      </c>
      <c r="HB196" s="303">
        <f t="shared" ca="1" si="581"/>
        <v>0</v>
      </c>
      <c r="HC196" s="303">
        <f t="shared" ca="1" si="582"/>
        <v>0</v>
      </c>
      <c r="HD196" s="303">
        <f t="shared" ca="1" si="583"/>
        <v>0</v>
      </c>
      <c r="HE196" s="303">
        <f t="shared" ca="1" si="584"/>
        <v>0</v>
      </c>
      <c r="HF196" s="303">
        <f t="shared" ca="1" si="585"/>
        <v>0</v>
      </c>
      <c r="HG196" s="852">
        <f t="shared" ca="1" si="586"/>
        <v>0</v>
      </c>
    </row>
    <row r="197" spans="1:215" x14ac:dyDescent="0.25">
      <c r="A197" s="244">
        <f t="shared" ca="1" si="587"/>
        <v>42095</v>
      </c>
      <c r="B197" s="13">
        <f t="shared" ca="1" si="620"/>
        <v>2015</v>
      </c>
      <c r="C197" s="619">
        <f t="shared" ca="1" si="621"/>
        <v>4</v>
      </c>
      <c r="D197" s="195" t="str">
        <f t="shared" ca="1" si="417"/>
        <v/>
      </c>
      <c r="E197" s="469" t="str">
        <f t="shared" ca="1" si="418"/>
        <v/>
      </c>
      <c r="F197" s="465" t="str">
        <f t="shared" ca="1" si="419"/>
        <v/>
      </c>
      <c r="G197" s="522">
        <f t="shared" ca="1" si="588"/>
        <v>1</v>
      </c>
      <c r="H197" s="519">
        <f t="shared" ca="1" si="589"/>
        <v>1</v>
      </c>
      <c r="I197" s="724">
        <f t="shared" ca="1" si="622"/>
        <v>7.4187028877669009E-2</v>
      </c>
      <c r="J197" s="198">
        <f t="shared" ca="1" si="421"/>
        <v>0.33012992081716758</v>
      </c>
      <c r="K197" s="200">
        <f t="shared" ca="1" si="597"/>
        <v>33</v>
      </c>
      <c r="L197" s="201">
        <f t="shared" ca="1" si="598"/>
        <v>33.950000000000003</v>
      </c>
      <c r="M197" s="206">
        <f t="shared" ca="1" si="599"/>
        <v>34.9</v>
      </c>
      <c r="N197" s="851">
        <f t="shared" ca="1" si="603"/>
        <v>23.205000305175773</v>
      </c>
      <c r="O197" s="201">
        <f t="shared" ca="1" si="604"/>
        <v>23.917500305175771</v>
      </c>
      <c r="P197" s="206">
        <f t="shared" ca="1" si="605"/>
        <v>24.63000030517577</v>
      </c>
      <c r="Q197" s="201">
        <f t="shared" ca="1" si="606"/>
        <v>18.334999084472646</v>
      </c>
      <c r="R197" s="201">
        <f t="shared" ca="1" si="607"/>
        <v>22.634999084472646</v>
      </c>
      <c r="S197" s="201">
        <f t="shared" ca="1" si="608"/>
        <v>26.934999084472647</v>
      </c>
      <c r="T197" s="851">
        <f t="shared" ca="1" si="600"/>
        <v>20.524997711181634</v>
      </c>
      <c r="U197" s="201">
        <f t="shared" ca="1" si="601"/>
        <v>20.999997711181635</v>
      </c>
      <c r="V197" s="206">
        <f t="shared" ca="1" si="602"/>
        <v>21.474997711181636</v>
      </c>
      <c r="W197" s="230">
        <f t="shared" ca="1" si="590"/>
        <v>5.7826060648623917E-2</v>
      </c>
      <c r="X197" s="231">
        <f t="shared" ca="1" si="591"/>
        <v>0.11565212129724783</v>
      </c>
      <c r="Y197" s="232">
        <f t="shared" ca="1" si="592"/>
        <v>0.17347818194587175</v>
      </c>
      <c r="Z197" s="231">
        <f t="shared" ca="1" si="612"/>
        <v>5.7826060648623917E-2</v>
      </c>
      <c r="AA197" s="231">
        <f t="shared" ca="1" si="613"/>
        <v>0.11565212129724783</v>
      </c>
      <c r="AB197" s="232">
        <f t="shared" ca="1" si="614"/>
        <v>0.17347818194587175</v>
      </c>
      <c r="AC197" s="231">
        <f t="shared" ca="1" si="615"/>
        <v>5.7826060648623917E-2</v>
      </c>
      <c r="AD197" s="231">
        <f t="shared" ca="1" si="616"/>
        <v>0.11565212129724783</v>
      </c>
      <c r="AE197" s="232">
        <f t="shared" ca="1" si="422"/>
        <v>0.17347818194587175</v>
      </c>
      <c r="AF197" s="231">
        <f t="shared" ca="1" si="593"/>
        <v>2.215707307936211E-2</v>
      </c>
      <c r="AG197" s="231">
        <f t="shared" ca="1" si="594"/>
        <v>4.431414615872422E-2</v>
      </c>
      <c r="AH197" s="232">
        <f t="shared" ca="1" si="595"/>
        <v>6.6471219238086326E-2</v>
      </c>
      <c r="AI197" s="233">
        <f t="shared" ca="1" si="423"/>
        <v>0.85000000000000009</v>
      </c>
      <c r="AJ197" s="233">
        <f t="shared" ca="1" si="424"/>
        <v>1.1000000000000001</v>
      </c>
      <c r="AK197" s="234">
        <f t="shared" ca="1" si="425"/>
        <v>1.4000000000000001</v>
      </c>
      <c r="AL197" s="919">
        <f t="shared" ca="1" si="426"/>
        <v>0.85000000000000009</v>
      </c>
      <c r="AM197" s="233">
        <f t="shared" ca="1" si="427"/>
        <v>1.1000000000000001</v>
      </c>
      <c r="AN197" s="234">
        <f t="shared" ca="1" si="428"/>
        <v>1.4000000000000001</v>
      </c>
      <c r="AO197" s="233">
        <f t="shared" ca="1" si="429"/>
        <v>0.85000000000000009</v>
      </c>
      <c r="AP197" s="233">
        <f t="shared" ca="1" si="430"/>
        <v>1.1000000000000001</v>
      </c>
      <c r="AQ197" s="233">
        <f t="shared" ca="1" si="431"/>
        <v>1.4000000000000001</v>
      </c>
      <c r="AR197" s="919">
        <f t="shared" ca="1" si="432"/>
        <v>0.19999999999999998</v>
      </c>
      <c r="AS197" s="233">
        <f t="shared" ca="1" si="433"/>
        <v>0.35</v>
      </c>
      <c r="AT197" s="235">
        <f t="shared" ca="1" si="434"/>
        <v>0.55000000000000004</v>
      </c>
      <c r="AU197" s="946">
        <f t="shared" si="435"/>
        <v>0.5</v>
      </c>
      <c r="AV197" s="13">
        <f t="shared" ca="1" si="436"/>
        <v>0</v>
      </c>
      <c r="AW197" s="210">
        <f t="shared" ca="1" si="437"/>
        <v>0</v>
      </c>
      <c r="AX197" s="210">
        <f t="shared" ca="1" si="438"/>
        <v>0</v>
      </c>
      <c r="AY197" s="210">
        <f t="shared" ca="1" si="439"/>
        <v>0</v>
      </c>
      <c r="AZ197" s="13">
        <f t="shared" ca="1" si="440"/>
        <v>0</v>
      </c>
      <c r="BA197" s="357">
        <f ca="1"/>
        <v>0</v>
      </c>
      <c r="BB197" s="925">
        <f ca="1"/>
        <v>0</v>
      </c>
      <c r="BC197" s="925">
        <f ca="1"/>
        <v>0</v>
      </c>
      <c r="BD197" s="928">
        <f ca="1"/>
        <v>0</v>
      </c>
      <c r="BE197" s="200">
        <f ca="1"/>
        <v>0</v>
      </c>
      <c r="BF197" s="851">
        <f ca="1"/>
        <v>0</v>
      </c>
      <c r="BG197" s="851">
        <f ca="1"/>
        <v>0</v>
      </c>
      <c r="BH197" s="933">
        <f ca="1"/>
        <v>0</v>
      </c>
      <c r="BI197" s="357">
        <f ca="1"/>
        <v>0</v>
      </c>
      <c r="BJ197" s="925">
        <f ca="1"/>
        <v>0</v>
      </c>
      <c r="BK197" s="925">
        <f ca="1"/>
        <v>0</v>
      </c>
      <c r="BL197" s="928">
        <f ca="1"/>
        <v>0</v>
      </c>
      <c r="BM197" s="200">
        <f ca="1"/>
        <v>0</v>
      </c>
      <c r="BN197" s="851">
        <f ca="1"/>
        <v>0</v>
      </c>
      <c r="BO197" s="851">
        <f ca="1"/>
        <v>0</v>
      </c>
      <c r="BP197" s="933">
        <f ca="1"/>
        <v>0</v>
      </c>
      <c r="BQ197" s="357">
        <f t="shared" ca="1" si="441"/>
        <v>0</v>
      </c>
      <c r="BR197" s="361">
        <f t="shared" ca="1" si="442"/>
        <v>0</v>
      </c>
      <c r="BS197" s="357">
        <f t="shared" ca="1" si="443"/>
        <v>0</v>
      </c>
      <c r="BT197" s="302">
        <f t="shared" ca="1" si="444"/>
        <v>0</v>
      </c>
      <c r="BU197" s="299">
        <f t="shared" ca="1" si="445"/>
        <v>0</v>
      </c>
      <c r="BV197" s="299">
        <f t="shared" ca="1" si="446"/>
        <v>0</v>
      </c>
      <c r="BW197" s="299">
        <f t="shared" ca="1" si="447"/>
        <v>0</v>
      </c>
      <c r="BX197" s="380">
        <f t="shared" ca="1" si="448"/>
        <v>15.080082135523615</v>
      </c>
      <c r="BY197" s="363">
        <f t="shared" ca="1" si="449"/>
        <v>0</v>
      </c>
      <c r="BZ197" s="353">
        <f t="shared" ca="1" si="450"/>
        <v>0</v>
      </c>
      <c r="CA197" s="353">
        <f t="shared" ca="1" si="451"/>
        <v>0</v>
      </c>
      <c r="CB197" s="353">
        <f t="shared" ca="1" si="452"/>
        <v>0</v>
      </c>
      <c r="CC197" s="353">
        <f t="shared" ca="1" si="453"/>
        <v>0</v>
      </c>
      <c r="CD197" s="353">
        <f t="shared" ca="1" si="454"/>
        <v>0</v>
      </c>
      <c r="CE197" s="302">
        <f t="shared" ca="1" si="455"/>
        <v>0</v>
      </c>
      <c r="CF197" s="299">
        <f t="shared" ca="1" si="456"/>
        <v>0</v>
      </c>
      <c r="CG197" s="299">
        <f t="shared" ca="1" si="457"/>
        <v>0</v>
      </c>
      <c r="CH197" s="299">
        <f t="shared" ca="1" si="458"/>
        <v>0</v>
      </c>
      <c r="CI197" s="299">
        <f t="shared" ca="1" si="459"/>
        <v>0</v>
      </c>
      <c r="CJ197" s="299">
        <f t="shared" ca="1" si="460"/>
        <v>0</v>
      </c>
      <c r="CK197" s="299">
        <f t="shared" ca="1" si="461"/>
        <v>0</v>
      </c>
      <c r="CL197" s="377" t="str">
        <f t="shared" ca="1" si="462"/>
        <v/>
      </c>
      <c r="CM197" s="305" t="str">
        <f t="shared" ca="1" si="463"/>
        <v/>
      </c>
      <c r="CN197" s="305" t="str">
        <f t="shared" ca="1" si="464"/>
        <v/>
      </c>
      <c r="CO197" s="305" t="str">
        <f t="shared" ca="1" si="465"/>
        <v/>
      </c>
      <c r="CP197" s="305" t="str">
        <f t="shared" ca="1" si="466"/>
        <v/>
      </c>
      <c r="CQ197" s="305" t="str">
        <f t="shared" ca="1" si="467"/>
        <v/>
      </c>
      <c r="CR197" s="775" t="str">
        <f t="shared" ca="1" si="468"/>
        <v/>
      </c>
      <c r="CS197" s="305" t="str">
        <f t="shared" ca="1" si="469"/>
        <v/>
      </c>
      <c r="CT197" s="305" t="str">
        <f t="shared" ca="1" si="470"/>
        <v/>
      </c>
      <c r="CU197" s="305" t="str">
        <f t="shared" ca="1" si="471"/>
        <v/>
      </c>
      <c r="CV197" s="770" t="str">
        <f t="shared" ca="1" si="472"/>
        <v/>
      </c>
      <c r="CW197" s="302">
        <f t="shared" ca="1" si="473"/>
        <v>0</v>
      </c>
      <c r="CX197" s="299">
        <f t="shared" ca="1" si="474"/>
        <v>0</v>
      </c>
      <c r="CY197" s="299">
        <f t="shared" ca="1" si="475"/>
        <v>0</v>
      </c>
      <c r="CZ197" s="299">
        <f t="shared" ca="1" si="476"/>
        <v>0</v>
      </c>
      <c r="DA197" s="774">
        <f t="shared" ca="1" si="477"/>
        <v>0</v>
      </c>
      <c r="DB197" s="303">
        <f t="shared" ca="1" si="478"/>
        <v>0</v>
      </c>
      <c r="DC197" s="248">
        <f t="shared" ca="1" si="479"/>
        <v>0</v>
      </c>
      <c r="DD197" s="778">
        <f t="shared" ca="1" si="480"/>
        <v>0</v>
      </c>
      <c r="DE197" s="363">
        <f t="shared" ca="1" si="481"/>
        <v>0</v>
      </c>
      <c r="DF197" s="378" t="str">
        <f t="shared" ca="1" si="482"/>
        <v/>
      </c>
      <c r="DG197" s="508" t="str">
        <f t="shared" ca="1" si="483"/>
        <v/>
      </c>
      <c r="DH197" s="508" t="str">
        <f t="shared" ca="1" si="484"/>
        <v/>
      </c>
      <c r="DI197" s="508" t="str">
        <f t="shared" ca="1" si="485"/>
        <v/>
      </c>
      <c r="DJ197" s="508" t="str">
        <f t="shared" ca="1" si="486"/>
        <v/>
      </c>
      <c r="DK197" s="353">
        <f t="shared" ca="1" si="487"/>
        <v>0</v>
      </c>
      <c r="DL197" s="781">
        <f t="shared" ca="1" si="488"/>
        <v>0</v>
      </c>
      <c r="DM197" s="303">
        <f t="shared" ca="1" si="489"/>
        <v>0</v>
      </c>
      <c r="DN197" s="508" t="str">
        <f t="shared" ca="1" si="490"/>
        <v/>
      </c>
      <c r="DO197" s="508" t="str">
        <f t="shared" ca="1" si="491"/>
        <v/>
      </c>
      <c r="DP197" s="508" t="str">
        <f t="shared" ca="1" si="492"/>
        <v/>
      </c>
      <c r="DQ197" s="508" t="str">
        <f t="shared" ca="1" si="493"/>
        <v/>
      </c>
      <c r="DR197" s="508" t="str">
        <f t="shared" ca="1" si="494"/>
        <v/>
      </c>
      <c r="DS197" s="353">
        <f t="shared" ca="1" si="495"/>
        <v>0</v>
      </c>
      <c r="DT197" s="353">
        <f t="shared" ca="1" si="496"/>
        <v>0</v>
      </c>
      <c r="DU197" s="380">
        <f t="shared" ca="1" si="596"/>
        <v>15.080082135523615</v>
      </c>
      <c r="DV197" s="303">
        <f t="shared" ca="1" si="497"/>
        <v>0</v>
      </c>
      <c r="DW197" s="303">
        <f t="shared" ca="1" si="498"/>
        <v>0</v>
      </c>
      <c r="DX197" s="303">
        <f t="shared" ca="1" si="499"/>
        <v>0</v>
      </c>
      <c r="DY197" s="303">
        <f t="shared" ca="1" si="500"/>
        <v>0</v>
      </c>
      <c r="DZ197" s="303">
        <f t="shared" ca="1" si="501"/>
        <v>0</v>
      </c>
      <c r="EA197" s="303">
        <f t="shared" ca="1" si="502"/>
        <v>0</v>
      </c>
      <c r="EB197" s="302">
        <f t="shared" ca="1" si="503"/>
        <v>0</v>
      </c>
      <c r="EC197" s="299">
        <f t="shared" ca="1" si="504"/>
        <v>0</v>
      </c>
      <c r="ED197" s="299">
        <f t="shared" ca="1" si="505"/>
        <v>0</v>
      </c>
      <c r="EE197" s="299">
        <f t="shared" ca="1" si="506"/>
        <v>0</v>
      </c>
      <c r="EF197" s="299">
        <f t="shared" ca="1" si="507"/>
        <v>0</v>
      </c>
      <c r="EG197" s="299">
        <f t="shared" ca="1" si="508"/>
        <v>0</v>
      </c>
      <c r="EH197" s="302">
        <f t="shared" ca="1" si="509"/>
        <v>0</v>
      </c>
      <c r="EI197" s="304" t="str">
        <f t="shared" ca="1" si="510"/>
        <v/>
      </c>
      <c r="EJ197" s="305" t="str">
        <f t="shared" ca="1" si="511"/>
        <v/>
      </c>
      <c r="EK197" s="305" t="str">
        <f t="shared" ca="1" si="512"/>
        <v/>
      </c>
      <c r="EL197" s="305" t="str">
        <f t="shared" ca="1" si="513"/>
        <v/>
      </c>
      <c r="EM197" s="305" t="str">
        <f t="shared" ca="1" si="514"/>
        <v/>
      </c>
      <c r="EN197" s="305" t="str">
        <f t="shared" ca="1" si="515"/>
        <v/>
      </c>
      <c r="EO197" s="305" t="str">
        <f t="shared" ca="1" si="516"/>
        <v/>
      </c>
      <c r="EP197" s="305" t="str">
        <f t="shared" ca="1" si="517"/>
        <v/>
      </c>
      <c r="EQ197" s="305" t="str">
        <f t="shared" ca="1" si="518"/>
        <v/>
      </c>
      <c r="ER197" s="305" t="str">
        <f t="shared" ca="1" si="519"/>
        <v/>
      </c>
      <c r="ES197" s="305" t="str">
        <f t="shared" ca="1" si="520"/>
        <v/>
      </c>
      <c r="ET197" s="299">
        <f t="shared" ca="1" si="521"/>
        <v>0</v>
      </c>
      <c r="EU197" s="302">
        <f t="shared" ca="1" si="522"/>
        <v>0</v>
      </c>
      <c r="EV197" s="304" t="str">
        <f t="shared" ca="1" si="523"/>
        <v/>
      </c>
      <c r="EW197" s="305" t="str">
        <f t="shared" ca="1" si="524"/>
        <v/>
      </c>
      <c r="EX197" s="305" t="str">
        <f t="shared" ca="1" si="525"/>
        <v/>
      </c>
      <c r="EY197" s="305" t="str">
        <f t="shared" ca="1" si="526"/>
        <v/>
      </c>
      <c r="EZ197" s="305" t="str">
        <f t="shared" ca="1" si="527"/>
        <v/>
      </c>
      <c r="FA197" s="305" t="str">
        <f t="shared" ca="1" si="528"/>
        <v/>
      </c>
      <c r="FB197" s="305" t="str">
        <f t="shared" ca="1" si="529"/>
        <v/>
      </c>
      <c r="FC197" s="305" t="str">
        <f t="shared" ca="1" si="530"/>
        <v/>
      </c>
      <c r="FD197" s="305" t="str">
        <f t="shared" ca="1" si="531"/>
        <v/>
      </c>
      <c r="FE197" s="305" t="str">
        <f t="shared" ca="1" si="532"/>
        <v/>
      </c>
      <c r="FF197" s="305" t="str">
        <f t="shared" ca="1" si="533"/>
        <v/>
      </c>
      <c r="FG197" s="299">
        <f t="shared" ca="1" si="534"/>
        <v>0</v>
      </c>
      <c r="FH197" s="302">
        <f t="shared" ca="1" si="535"/>
        <v>0</v>
      </c>
      <c r="FI197" s="248">
        <f t="shared" ca="1" si="536"/>
        <v>0</v>
      </c>
      <c r="FJ197" s="363">
        <f t="shared" ca="1" si="537"/>
        <v>0</v>
      </c>
      <c r="FK197" s="378" t="str">
        <f t="shared" ca="1" si="538"/>
        <v/>
      </c>
      <c r="FL197" s="508" t="str">
        <f t="shared" ca="1" si="539"/>
        <v/>
      </c>
      <c r="FM197" s="508" t="str">
        <f t="shared" ca="1" si="540"/>
        <v/>
      </c>
      <c r="FN197" s="508" t="str">
        <f t="shared" ca="1" si="541"/>
        <v/>
      </c>
      <c r="FO197" s="508" t="str">
        <f t="shared" ca="1" si="542"/>
        <v/>
      </c>
      <c r="FP197" s="353">
        <f t="shared" ca="1" si="543"/>
        <v>0</v>
      </c>
      <c r="FQ197" s="356">
        <f t="shared" ca="1" si="544"/>
        <v>0</v>
      </c>
      <c r="FR197" s="380">
        <f t="shared" ca="1" si="545"/>
        <v>0</v>
      </c>
      <c r="FS197" s="299">
        <f t="shared" ca="1" si="546"/>
        <v>0</v>
      </c>
      <c r="FT197" s="299">
        <f t="shared" ca="1" si="547"/>
        <v>0</v>
      </c>
      <c r="FU197" s="299">
        <f t="shared" ca="1" si="548"/>
        <v>0</v>
      </c>
      <c r="FV197" s="299">
        <f t="shared" ca="1" si="549"/>
        <v>0</v>
      </c>
      <c r="FW197" s="850" t="str">
        <f t="shared" ca="1" si="550"/>
        <v/>
      </c>
      <c r="FX197" s="851" t="str">
        <f t="shared" ca="1" si="551"/>
        <v/>
      </c>
      <c r="FY197" s="851" t="str">
        <f t="shared" ca="1" si="552"/>
        <v/>
      </c>
      <c r="FZ197" s="201" t="str">
        <f t="shared" ca="1" si="553"/>
        <v/>
      </c>
      <c r="GA197" s="201" t="str">
        <f t="shared" ca="1" si="554"/>
        <v/>
      </c>
      <c r="GB197" s="201" t="str">
        <f t="shared" ca="1" si="555"/>
        <v/>
      </c>
      <c r="GC197" s="201" t="str">
        <f t="shared" ca="1" si="556"/>
        <v/>
      </c>
      <c r="GD197" s="850" t="str">
        <f t="shared" ca="1" si="557"/>
        <v/>
      </c>
      <c r="GE197" s="866" t="str">
        <f t="shared" ca="1" si="558"/>
        <v/>
      </c>
      <c r="GF197" s="866" t="str">
        <f t="shared" ca="1" si="559"/>
        <v/>
      </c>
      <c r="GG197" s="866" t="str">
        <f t="shared" ca="1" si="560"/>
        <v/>
      </c>
      <c r="GH197" s="866" t="str">
        <f t="shared" ca="1" si="561"/>
        <v/>
      </c>
      <c r="GI197" s="302">
        <f t="shared" ca="1" si="562"/>
        <v>0</v>
      </c>
      <c r="GJ197" s="299">
        <f t="shared" ca="1" si="563"/>
        <v>0</v>
      </c>
      <c r="GK197" s="299">
        <f t="shared" ca="1" si="564"/>
        <v>0</v>
      </c>
      <c r="GL197" s="299">
        <f t="shared" ca="1" si="565"/>
        <v>0</v>
      </c>
      <c r="GM197" s="299">
        <f t="shared" ca="1" si="566"/>
        <v>0</v>
      </c>
      <c r="GN197" s="302">
        <f t="shared" ca="1" si="567"/>
        <v>0</v>
      </c>
      <c r="GO197" s="299">
        <f t="shared" ca="1" si="568"/>
        <v>0</v>
      </c>
      <c r="GP197" s="299">
        <f t="shared" ca="1" si="569"/>
        <v>0</v>
      </c>
      <c r="GQ197" s="299">
        <f t="shared" ca="1" si="570"/>
        <v>0</v>
      </c>
      <c r="GR197" s="299">
        <f t="shared" ca="1" si="571"/>
        <v>0</v>
      </c>
      <c r="GS197" s="302">
        <f t="shared" ca="1" si="572"/>
        <v>0</v>
      </c>
      <c r="GT197" s="299">
        <f t="shared" ca="1" si="573"/>
        <v>0</v>
      </c>
      <c r="GU197" s="299">
        <f t="shared" ca="1" si="574"/>
        <v>0</v>
      </c>
      <c r="GV197" s="299">
        <f t="shared" ca="1" si="575"/>
        <v>0</v>
      </c>
      <c r="GW197" s="299">
        <f t="shared" ca="1" si="576"/>
        <v>0</v>
      </c>
      <c r="GX197" s="303">
        <f t="shared" ca="1" si="577"/>
        <v>0</v>
      </c>
      <c r="GY197" s="303">
        <f t="shared" ca="1" si="578"/>
        <v>0</v>
      </c>
      <c r="GZ197" s="303">
        <f t="shared" ca="1" si="579"/>
        <v>0</v>
      </c>
      <c r="HA197" s="303">
        <f t="shared" ca="1" si="580"/>
        <v>0</v>
      </c>
      <c r="HB197" s="303">
        <f t="shared" ca="1" si="581"/>
        <v>0</v>
      </c>
      <c r="HC197" s="303">
        <f t="shared" ca="1" si="582"/>
        <v>0</v>
      </c>
      <c r="HD197" s="303">
        <f t="shared" ca="1" si="583"/>
        <v>0</v>
      </c>
      <c r="HE197" s="303">
        <f t="shared" ca="1" si="584"/>
        <v>0</v>
      </c>
      <c r="HF197" s="303">
        <f t="shared" ca="1" si="585"/>
        <v>0</v>
      </c>
      <c r="HG197" s="852">
        <f t="shared" ca="1" si="586"/>
        <v>0</v>
      </c>
    </row>
    <row r="198" spans="1:215" x14ac:dyDescent="0.25">
      <c r="A198" s="244">
        <f t="shared" ca="1" si="587"/>
        <v>42125</v>
      </c>
      <c r="B198" s="13">
        <f t="shared" ca="1" si="620"/>
        <v>2015</v>
      </c>
      <c r="C198" s="619">
        <f t="shared" ca="1" si="621"/>
        <v>5</v>
      </c>
      <c r="D198" s="195">
        <f t="shared" ca="1" si="417"/>
        <v>42149</v>
      </c>
      <c r="E198" s="469" t="str">
        <f t="shared" ca="1" si="418"/>
        <v/>
      </c>
      <c r="F198" s="465" t="str">
        <f t="shared" ca="1" si="419"/>
        <v/>
      </c>
      <c r="G198" s="522">
        <f t="shared" ca="1" si="588"/>
        <v>1</v>
      </c>
      <c r="H198" s="519">
        <f t="shared" ca="1" si="589"/>
        <v>1</v>
      </c>
      <c r="I198" s="724">
        <f t="shared" ca="1" si="622"/>
        <v>7.4186743666816005E-2</v>
      </c>
      <c r="J198" s="198">
        <f t="shared" ca="1" si="421"/>
        <v>0.32809655834411344</v>
      </c>
      <c r="K198" s="200">
        <f t="shared" ca="1" si="597"/>
        <v>34.67</v>
      </c>
      <c r="L198" s="201">
        <f t="shared" ca="1" si="598"/>
        <v>37.15</v>
      </c>
      <c r="M198" s="206">
        <f t="shared" ca="1" si="599"/>
        <v>39.630000000000003</v>
      </c>
      <c r="N198" s="851">
        <f t="shared" ca="1" si="603"/>
        <v>22.172500076293936</v>
      </c>
      <c r="O198" s="201">
        <f t="shared" ca="1" si="604"/>
        <v>24.032500076293935</v>
      </c>
      <c r="P198" s="206">
        <f t="shared" ca="1" si="605"/>
        <v>25.892500076293935</v>
      </c>
      <c r="Q198" s="201">
        <f t="shared" ca="1" si="606"/>
        <v>18.864999771118153</v>
      </c>
      <c r="R198" s="201">
        <f t="shared" ca="1" si="607"/>
        <v>23.164999771118154</v>
      </c>
      <c r="S198" s="201">
        <f t="shared" ca="1" si="608"/>
        <v>27.464999771118155</v>
      </c>
      <c r="T198" s="851">
        <f t="shared" ca="1" si="600"/>
        <v>19.759997711181637</v>
      </c>
      <c r="U198" s="201">
        <f t="shared" ca="1" si="601"/>
        <v>20.999997711181635</v>
      </c>
      <c r="V198" s="206">
        <f t="shared" ca="1" si="602"/>
        <v>22.239997711181633</v>
      </c>
      <c r="W198" s="230">
        <f t="shared" ca="1" si="590"/>
        <v>6.6604210272703454E-2</v>
      </c>
      <c r="X198" s="231">
        <f t="shared" ca="1" si="591"/>
        <v>0.13320842054540691</v>
      </c>
      <c r="Y198" s="232">
        <f t="shared" ca="1" si="592"/>
        <v>0.19981263081811035</v>
      </c>
      <c r="Z198" s="231">
        <f t="shared" ca="1" si="612"/>
        <v>6.6604210272703454E-2</v>
      </c>
      <c r="AA198" s="231">
        <f t="shared" ca="1" si="613"/>
        <v>0.13320842054540691</v>
      </c>
      <c r="AB198" s="232">
        <f t="shared" ca="1" si="614"/>
        <v>0.19981263081811035</v>
      </c>
      <c r="AC198" s="231">
        <f t="shared" ca="1" si="615"/>
        <v>6.6604210272703454E-2</v>
      </c>
      <c r="AD198" s="231">
        <f t="shared" ca="1" si="616"/>
        <v>0.13320842054540691</v>
      </c>
      <c r="AE198" s="232">
        <f t="shared" ca="1" si="422"/>
        <v>0.19981263081811035</v>
      </c>
      <c r="AF198" s="231">
        <f t="shared" ca="1" si="593"/>
        <v>2.5849918592589137E-2</v>
      </c>
      <c r="AG198" s="231">
        <f t="shared" ca="1" si="594"/>
        <v>5.1699837185178274E-2</v>
      </c>
      <c r="AH198" s="232">
        <f t="shared" ca="1" si="595"/>
        <v>7.7549755777767404E-2</v>
      </c>
      <c r="AI198" s="233">
        <f t="shared" ca="1" si="423"/>
        <v>0.85000000000000009</v>
      </c>
      <c r="AJ198" s="233">
        <f t="shared" ca="1" si="424"/>
        <v>1.1000000000000001</v>
      </c>
      <c r="AK198" s="234">
        <f t="shared" ca="1" si="425"/>
        <v>1.4000000000000001</v>
      </c>
      <c r="AL198" s="919">
        <f t="shared" ca="1" si="426"/>
        <v>0.85000000000000009</v>
      </c>
      <c r="AM198" s="233">
        <f t="shared" ca="1" si="427"/>
        <v>1.1000000000000001</v>
      </c>
      <c r="AN198" s="234">
        <f t="shared" ca="1" si="428"/>
        <v>1.4000000000000001</v>
      </c>
      <c r="AO198" s="233">
        <f t="shared" ca="1" si="429"/>
        <v>0.85000000000000009</v>
      </c>
      <c r="AP198" s="233">
        <f t="shared" ca="1" si="430"/>
        <v>1.1000000000000001</v>
      </c>
      <c r="AQ198" s="233">
        <f t="shared" ca="1" si="431"/>
        <v>1.4000000000000001</v>
      </c>
      <c r="AR198" s="919">
        <f t="shared" ca="1" si="432"/>
        <v>0.35</v>
      </c>
      <c r="AS198" s="233">
        <f t="shared" ca="1" si="433"/>
        <v>0.5</v>
      </c>
      <c r="AT198" s="235">
        <f t="shared" ca="1" si="434"/>
        <v>0.7</v>
      </c>
      <c r="AU198" s="946">
        <f t="shared" si="435"/>
        <v>0.5</v>
      </c>
      <c r="AV198" s="13">
        <f t="shared" ca="1" si="436"/>
        <v>0</v>
      </c>
      <c r="AW198" s="210">
        <f t="shared" ca="1" si="437"/>
        <v>0</v>
      </c>
      <c r="AX198" s="210">
        <f t="shared" ca="1" si="438"/>
        <v>0</v>
      </c>
      <c r="AY198" s="210">
        <f t="shared" ca="1" si="439"/>
        <v>0</v>
      </c>
      <c r="AZ198" s="13">
        <f t="shared" ca="1" si="440"/>
        <v>0</v>
      </c>
      <c r="BA198" s="357">
        <f ca="1"/>
        <v>0</v>
      </c>
      <c r="BB198" s="925">
        <f ca="1"/>
        <v>0</v>
      </c>
      <c r="BC198" s="925">
        <f ca="1"/>
        <v>0</v>
      </c>
      <c r="BD198" s="928">
        <f ca="1"/>
        <v>0</v>
      </c>
      <c r="BE198" s="200">
        <f ca="1"/>
        <v>0</v>
      </c>
      <c r="BF198" s="851">
        <f ca="1"/>
        <v>0</v>
      </c>
      <c r="BG198" s="851">
        <f ca="1"/>
        <v>0</v>
      </c>
      <c r="BH198" s="933">
        <f ca="1"/>
        <v>0</v>
      </c>
      <c r="BI198" s="357">
        <f ca="1"/>
        <v>0</v>
      </c>
      <c r="BJ198" s="925">
        <f ca="1"/>
        <v>0</v>
      </c>
      <c r="BK198" s="925">
        <f ca="1"/>
        <v>0</v>
      </c>
      <c r="BL198" s="928">
        <f ca="1"/>
        <v>0</v>
      </c>
      <c r="BM198" s="200">
        <f ca="1"/>
        <v>0</v>
      </c>
      <c r="BN198" s="851">
        <f ca="1"/>
        <v>0</v>
      </c>
      <c r="BO198" s="851">
        <f ca="1"/>
        <v>0</v>
      </c>
      <c r="BP198" s="933">
        <f ca="1"/>
        <v>0</v>
      </c>
      <c r="BQ198" s="357">
        <f t="shared" ca="1" si="441"/>
        <v>0</v>
      </c>
      <c r="BR198" s="361">
        <f t="shared" ca="1" si="442"/>
        <v>0</v>
      </c>
      <c r="BS198" s="357">
        <f t="shared" ca="1" si="443"/>
        <v>0</v>
      </c>
      <c r="BT198" s="302">
        <f t="shared" ca="1" si="444"/>
        <v>0</v>
      </c>
      <c r="BU198" s="299">
        <f t="shared" ca="1" si="445"/>
        <v>0</v>
      </c>
      <c r="BV198" s="299">
        <f t="shared" ca="1" si="446"/>
        <v>0</v>
      </c>
      <c r="BW198" s="299">
        <f t="shared" ca="1" si="447"/>
        <v>0</v>
      </c>
      <c r="BX198" s="380">
        <f t="shared" ca="1" si="448"/>
        <v>15.162217659137577</v>
      </c>
      <c r="BY198" s="363">
        <f t="shared" ca="1" si="449"/>
        <v>0</v>
      </c>
      <c r="BZ198" s="353">
        <f t="shared" ca="1" si="450"/>
        <v>0</v>
      </c>
      <c r="CA198" s="353">
        <f t="shared" ca="1" si="451"/>
        <v>0</v>
      </c>
      <c r="CB198" s="353">
        <f t="shared" ca="1" si="452"/>
        <v>0</v>
      </c>
      <c r="CC198" s="353">
        <f t="shared" ca="1" si="453"/>
        <v>0</v>
      </c>
      <c r="CD198" s="353">
        <f t="shared" ca="1" si="454"/>
        <v>0</v>
      </c>
      <c r="CE198" s="302">
        <f t="shared" ca="1" si="455"/>
        <v>0</v>
      </c>
      <c r="CF198" s="299">
        <f t="shared" ca="1" si="456"/>
        <v>0</v>
      </c>
      <c r="CG198" s="299">
        <f t="shared" ca="1" si="457"/>
        <v>0</v>
      </c>
      <c r="CH198" s="299">
        <f t="shared" ca="1" si="458"/>
        <v>0</v>
      </c>
      <c r="CI198" s="299">
        <f t="shared" ca="1" si="459"/>
        <v>0</v>
      </c>
      <c r="CJ198" s="299">
        <f t="shared" ca="1" si="460"/>
        <v>0</v>
      </c>
      <c r="CK198" s="299">
        <f t="shared" ca="1" si="461"/>
        <v>0</v>
      </c>
      <c r="CL198" s="377" t="str">
        <f t="shared" ca="1" si="462"/>
        <v/>
      </c>
      <c r="CM198" s="305" t="str">
        <f t="shared" ca="1" si="463"/>
        <v/>
      </c>
      <c r="CN198" s="305" t="str">
        <f t="shared" ca="1" si="464"/>
        <v/>
      </c>
      <c r="CO198" s="305" t="str">
        <f t="shared" ca="1" si="465"/>
        <v/>
      </c>
      <c r="CP198" s="305" t="str">
        <f t="shared" ca="1" si="466"/>
        <v/>
      </c>
      <c r="CQ198" s="305" t="str">
        <f t="shared" ca="1" si="467"/>
        <v/>
      </c>
      <c r="CR198" s="775" t="str">
        <f t="shared" ca="1" si="468"/>
        <v/>
      </c>
      <c r="CS198" s="305" t="str">
        <f t="shared" ca="1" si="469"/>
        <v/>
      </c>
      <c r="CT198" s="305" t="str">
        <f t="shared" ca="1" si="470"/>
        <v/>
      </c>
      <c r="CU198" s="305" t="str">
        <f t="shared" ca="1" si="471"/>
        <v/>
      </c>
      <c r="CV198" s="770" t="str">
        <f t="shared" ca="1" si="472"/>
        <v/>
      </c>
      <c r="CW198" s="302">
        <f t="shared" ca="1" si="473"/>
        <v>0</v>
      </c>
      <c r="CX198" s="299">
        <f t="shared" ca="1" si="474"/>
        <v>0</v>
      </c>
      <c r="CY198" s="299">
        <f t="shared" ca="1" si="475"/>
        <v>0</v>
      </c>
      <c r="CZ198" s="299">
        <f t="shared" ca="1" si="476"/>
        <v>0</v>
      </c>
      <c r="DA198" s="774">
        <f t="shared" ca="1" si="477"/>
        <v>0</v>
      </c>
      <c r="DB198" s="303">
        <f t="shared" ca="1" si="478"/>
        <v>0</v>
      </c>
      <c r="DC198" s="248">
        <f t="shared" ca="1" si="479"/>
        <v>0</v>
      </c>
      <c r="DD198" s="778">
        <f t="shared" ca="1" si="480"/>
        <v>0</v>
      </c>
      <c r="DE198" s="363">
        <f t="shared" ca="1" si="481"/>
        <v>0</v>
      </c>
      <c r="DF198" s="378" t="str">
        <f t="shared" ca="1" si="482"/>
        <v/>
      </c>
      <c r="DG198" s="508" t="str">
        <f t="shared" ca="1" si="483"/>
        <v/>
      </c>
      <c r="DH198" s="508" t="str">
        <f t="shared" ca="1" si="484"/>
        <v/>
      </c>
      <c r="DI198" s="508" t="str">
        <f t="shared" ca="1" si="485"/>
        <v/>
      </c>
      <c r="DJ198" s="508" t="str">
        <f t="shared" ca="1" si="486"/>
        <v/>
      </c>
      <c r="DK198" s="353">
        <f t="shared" ca="1" si="487"/>
        <v>0</v>
      </c>
      <c r="DL198" s="781">
        <f t="shared" ca="1" si="488"/>
        <v>0</v>
      </c>
      <c r="DM198" s="303">
        <f t="shared" ca="1" si="489"/>
        <v>0</v>
      </c>
      <c r="DN198" s="508" t="str">
        <f t="shared" ca="1" si="490"/>
        <v/>
      </c>
      <c r="DO198" s="508" t="str">
        <f t="shared" ca="1" si="491"/>
        <v/>
      </c>
      <c r="DP198" s="508" t="str">
        <f t="shared" ca="1" si="492"/>
        <v/>
      </c>
      <c r="DQ198" s="508" t="str">
        <f t="shared" ca="1" si="493"/>
        <v/>
      </c>
      <c r="DR198" s="508" t="str">
        <f t="shared" ca="1" si="494"/>
        <v/>
      </c>
      <c r="DS198" s="353">
        <f t="shared" ca="1" si="495"/>
        <v>0</v>
      </c>
      <c r="DT198" s="353">
        <f t="shared" ca="1" si="496"/>
        <v>0</v>
      </c>
      <c r="DU198" s="380">
        <f t="shared" ca="1" si="596"/>
        <v>15.162217659137577</v>
      </c>
      <c r="DV198" s="303">
        <f t="shared" ca="1" si="497"/>
        <v>0</v>
      </c>
      <c r="DW198" s="303">
        <f t="shared" ca="1" si="498"/>
        <v>0</v>
      </c>
      <c r="DX198" s="303">
        <f t="shared" ca="1" si="499"/>
        <v>0</v>
      </c>
      <c r="DY198" s="303">
        <f t="shared" ca="1" si="500"/>
        <v>0</v>
      </c>
      <c r="DZ198" s="303">
        <f t="shared" ca="1" si="501"/>
        <v>0</v>
      </c>
      <c r="EA198" s="303">
        <f t="shared" ca="1" si="502"/>
        <v>0</v>
      </c>
      <c r="EB198" s="302">
        <f t="shared" ca="1" si="503"/>
        <v>0</v>
      </c>
      <c r="EC198" s="299">
        <f t="shared" ca="1" si="504"/>
        <v>0</v>
      </c>
      <c r="ED198" s="299">
        <f t="shared" ca="1" si="505"/>
        <v>0</v>
      </c>
      <c r="EE198" s="299">
        <f t="shared" ca="1" si="506"/>
        <v>0</v>
      </c>
      <c r="EF198" s="299">
        <f t="shared" ca="1" si="507"/>
        <v>0</v>
      </c>
      <c r="EG198" s="299">
        <f t="shared" ca="1" si="508"/>
        <v>0</v>
      </c>
      <c r="EH198" s="302">
        <f t="shared" ca="1" si="509"/>
        <v>0</v>
      </c>
      <c r="EI198" s="304" t="str">
        <f t="shared" ca="1" si="510"/>
        <v/>
      </c>
      <c r="EJ198" s="305" t="str">
        <f t="shared" ca="1" si="511"/>
        <v/>
      </c>
      <c r="EK198" s="305" t="str">
        <f t="shared" ca="1" si="512"/>
        <v/>
      </c>
      <c r="EL198" s="305" t="str">
        <f t="shared" ca="1" si="513"/>
        <v/>
      </c>
      <c r="EM198" s="305" t="str">
        <f t="shared" ca="1" si="514"/>
        <v/>
      </c>
      <c r="EN198" s="305" t="str">
        <f t="shared" ca="1" si="515"/>
        <v/>
      </c>
      <c r="EO198" s="305" t="str">
        <f t="shared" ca="1" si="516"/>
        <v/>
      </c>
      <c r="EP198" s="305" t="str">
        <f t="shared" ca="1" si="517"/>
        <v/>
      </c>
      <c r="EQ198" s="305" t="str">
        <f t="shared" ca="1" si="518"/>
        <v/>
      </c>
      <c r="ER198" s="305" t="str">
        <f t="shared" ca="1" si="519"/>
        <v/>
      </c>
      <c r="ES198" s="305" t="str">
        <f t="shared" ca="1" si="520"/>
        <v/>
      </c>
      <c r="ET198" s="299">
        <f t="shared" ca="1" si="521"/>
        <v>0</v>
      </c>
      <c r="EU198" s="302">
        <f t="shared" ca="1" si="522"/>
        <v>0</v>
      </c>
      <c r="EV198" s="304" t="str">
        <f t="shared" ca="1" si="523"/>
        <v/>
      </c>
      <c r="EW198" s="305" t="str">
        <f t="shared" ca="1" si="524"/>
        <v/>
      </c>
      <c r="EX198" s="305" t="str">
        <f t="shared" ca="1" si="525"/>
        <v/>
      </c>
      <c r="EY198" s="305" t="str">
        <f t="shared" ca="1" si="526"/>
        <v/>
      </c>
      <c r="EZ198" s="305" t="str">
        <f t="shared" ca="1" si="527"/>
        <v/>
      </c>
      <c r="FA198" s="305" t="str">
        <f t="shared" ca="1" si="528"/>
        <v/>
      </c>
      <c r="FB198" s="305" t="str">
        <f t="shared" ca="1" si="529"/>
        <v/>
      </c>
      <c r="FC198" s="305" t="str">
        <f t="shared" ca="1" si="530"/>
        <v/>
      </c>
      <c r="FD198" s="305" t="str">
        <f t="shared" ca="1" si="531"/>
        <v/>
      </c>
      <c r="FE198" s="305" t="str">
        <f t="shared" ca="1" si="532"/>
        <v/>
      </c>
      <c r="FF198" s="305" t="str">
        <f t="shared" ca="1" si="533"/>
        <v/>
      </c>
      <c r="FG198" s="299">
        <f t="shared" ca="1" si="534"/>
        <v>0</v>
      </c>
      <c r="FH198" s="302">
        <f t="shared" ca="1" si="535"/>
        <v>0</v>
      </c>
      <c r="FI198" s="248">
        <f t="shared" ca="1" si="536"/>
        <v>0</v>
      </c>
      <c r="FJ198" s="363">
        <f t="shared" ca="1" si="537"/>
        <v>0</v>
      </c>
      <c r="FK198" s="378" t="str">
        <f t="shared" ca="1" si="538"/>
        <v/>
      </c>
      <c r="FL198" s="508" t="str">
        <f t="shared" ca="1" si="539"/>
        <v/>
      </c>
      <c r="FM198" s="508" t="str">
        <f t="shared" ca="1" si="540"/>
        <v/>
      </c>
      <c r="FN198" s="508" t="str">
        <f t="shared" ca="1" si="541"/>
        <v/>
      </c>
      <c r="FO198" s="508" t="str">
        <f t="shared" ca="1" si="542"/>
        <v/>
      </c>
      <c r="FP198" s="353">
        <f t="shared" ca="1" si="543"/>
        <v>0</v>
      </c>
      <c r="FQ198" s="356">
        <f t="shared" ca="1" si="544"/>
        <v>0</v>
      </c>
      <c r="FR198" s="380">
        <f t="shared" ca="1" si="545"/>
        <v>0</v>
      </c>
      <c r="FS198" s="299">
        <f t="shared" ca="1" si="546"/>
        <v>0</v>
      </c>
      <c r="FT198" s="299">
        <f t="shared" ca="1" si="547"/>
        <v>0</v>
      </c>
      <c r="FU198" s="299">
        <f t="shared" ca="1" si="548"/>
        <v>0</v>
      </c>
      <c r="FV198" s="299">
        <f t="shared" ca="1" si="549"/>
        <v>0</v>
      </c>
      <c r="FW198" s="850" t="str">
        <f t="shared" ca="1" si="550"/>
        <v/>
      </c>
      <c r="FX198" s="851" t="str">
        <f t="shared" ca="1" si="551"/>
        <v/>
      </c>
      <c r="FY198" s="851" t="str">
        <f t="shared" ca="1" si="552"/>
        <v/>
      </c>
      <c r="FZ198" s="201" t="str">
        <f t="shared" ca="1" si="553"/>
        <v/>
      </c>
      <c r="GA198" s="201" t="str">
        <f t="shared" ca="1" si="554"/>
        <v/>
      </c>
      <c r="GB198" s="201" t="str">
        <f t="shared" ca="1" si="555"/>
        <v/>
      </c>
      <c r="GC198" s="201" t="str">
        <f t="shared" ca="1" si="556"/>
        <v/>
      </c>
      <c r="GD198" s="850" t="str">
        <f t="shared" ca="1" si="557"/>
        <v/>
      </c>
      <c r="GE198" s="866" t="str">
        <f t="shared" ca="1" si="558"/>
        <v/>
      </c>
      <c r="GF198" s="866" t="str">
        <f t="shared" ca="1" si="559"/>
        <v/>
      </c>
      <c r="GG198" s="866" t="str">
        <f t="shared" ca="1" si="560"/>
        <v/>
      </c>
      <c r="GH198" s="866" t="str">
        <f t="shared" ca="1" si="561"/>
        <v/>
      </c>
      <c r="GI198" s="302">
        <f t="shared" ca="1" si="562"/>
        <v>0</v>
      </c>
      <c r="GJ198" s="299">
        <f t="shared" ca="1" si="563"/>
        <v>0</v>
      </c>
      <c r="GK198" s="299">
        <f t="shared" ca="1" si="564"/>
        <v>0</v>
      </c>
      <c r="GL198" s="299">
        <f t="shared" ca="1" si="565"/>
        <v>0</v>
      </c>
      <c r="GM198" s="299">
        <f t="shared" ca="1" si="566"/>
        <v>0</v>
      </c>
      <c r="GN198" s="302">
        <f t="shared" ca="1" si="567"/>
        <v>0</v>
      </c>
      <c r="GO198" s="299">
        <f t="shared" ca="1" si="568"/>
        <v>0</v>
      </c>
      <c r="GP198" s="299">
        <f t="shared" ca="1" si="569"/>
        <v>0</v>
      </c>
      <c r="GQ198" s="299">
        <f t="shared" ca="1" si="570"/>
        <v>0</v>
      </c>
      <c r="GR198" s="299">
        <f t="shared" ca="1" si="571"/>
        <v>0</v>
      </c>
      <c r="GS198" s="302">
        <f t="shared" ca="1" si="572"/>
        <v>0</v>
      </c>
      <c r="GT198" s="299">
        <f t="shared" ca="1" si="573"/>
        <v>0</v>
      </c>
      <c r="GU198" s="299">
        <f t="shared" ca="1" si="574"/>
        <v>0</v>
      </c>
      <c r="GV198" s="299">
        <f t="shared" ca="1" si="575"/>
        <v>0</v>
      </c>
      <c r="GW198" s="299">
        <f t="shared" ca="1" si="576"/>
        <v>0</v>
      </c>
      <c r="GX198" s="303">
        <f t="shared" ca="1" si="577"/>
        <v>0</v>
      </c>
      <c r="GY198" s="303">
        <f t="shared" ca="1" si="578"/>
        <v>0</v>
      </c>
      <c r="GZ198" s="303">
        <f t="shared" ca="1" si="579"/>
        <v>0</v>
      </c>
      <c r="HA198" s="303">
        <f t="shared" ca="1" si="580"/>
        <v>0</v>
      </c>
      <c r="HB198" s="303">
        <f t="shared" ca="1" si="581"/>
        <v>0</v>
      </c>
      <c r="HC198" s="303">
        <f t="shared" ca="1" si="582"/>
        <v>0</v>
      </c>
      <c r="HD198" s="303">
        <f t="shared" ca="1" si="583"/>
        <v>0</v>
      </c>
      <c r="HE198" s="303">
        <f t="shared" ca="1" si="584"/>
        <v>0</v>
      </c>
      <c r="HF198" s="303">
        <f t="shared" ca="1" si="585"/>
        <v>0</v>
      </c>
      <c r="HG198" s="852">
        <f t="shared" ca="1" si="586"/>
        <v>0</v>
      </c>
    </row>
    <row r="199" spans="1:215" x14ac:dyDescent="0.25">
      <c r="A199" s="244">
        <f t="shared" ca="1" si="587"/>
        <v>42156</v>
      </c>
      <c r="B199" s="13">
        <f t="shared" ca="1" si="620"/>
        <v>2015</v>
      </c>
      <c r="C199" s="619">
        <f t="shared" ca="1" si="621"/>
        <v>6</v>
      </c>
      <c r="D199" s="195" t="str">
        <f t="shared" ca="1" si="417"/>
        <v/>
      </c>
      <c r="E199" s="469" t="str">
        <f t="shared" ca="1" si="418"/>
        <v/>
      </c>
      <c r="F199" s="465" t="str">
        <f t="shared" ca="1" si="419"/>
        <v/>
      </c>
      <c r="G199" s="522">
        <f t="shared" ca="1" si="588"/>
        <v>1</v>
      </c>
      <c r="H199" s="519">
        <f t="shared" ca="1" si="589"/>
        <v>1</v>
      </c>
      <c r="I199" s="724">
        <f t="shared" ca="1" si="622"/>
        <v>7.4186448948936001E-2</v>
      </c>
      <c r="J199" s="198">
        <f t="shared" ca="1" si="421"/>
        <v>0.32614081854613214</v>
      </c>
      <c r="K199" s="200">
        <f t="shared" ca="1" si="597"/>
        <v>50.14</v>
      </c>
      <c r="L199" s="201">
        <f t="shared" ca="1" si="598"/>
        <v>57.25</v>
      </c>
      <c r="M199" s="206">
        <f t="shared" ca="1" si="599"/>
        <v>64.36</v>
      </c>
      <c r="N199" s="851">
        <f t="shared" ca="1" si="603"/>
        <v>23.126250152587883</v>
      </c>
      <c r="O199" s="201">
        <f t="shared" ca="1" si="604"/>
        <v>28.458750152587882</v>
      </c>
      <c r="P199" s="206">
        <f t="shared" ca="1" si="605"/>
        <v>33.791250152587878</v>
      </c>
      <c r="Q199" s="201">
        <f t="shared" ca="1" si="606"/>
        <v>17.642499542236319</v>
      </c>
      <c r="R199" s="201">
        <f t="shared" ca="1" si="607"/>
        <v>21.94249954223632</v>
      </c>
      <c r="S199" s="201">
        <f t="shared" ca="1" si="608"/>
        <v>26.24249954223632</v>
      </c>
      <c r="T199" s="851">
        <f t="shared" ca="1" si="600"/>
        <v>17.399998779296869</v>
      </c>
      <c r="U199" s="201">
        <f t="shared" ca="1" si="601"/>
        <v>20.954998779296869</v>
      </c>
      <c r="V199" s="206">
        <f t="shared" ca="1" si="602"/>
        <v>24.509998779296868</v>
      </c>
      <c r="W199" s="230">
        <f t="shared" ca="1" si="590"/>
        <v>8.3447284863906054E-2</v>
      </c>
      <c r="X199" s="231">
        <f t="shared" ca="1" si="591"/>
        <v>0.16689456972781211</v>
      </c>
      <c r="Y199" s="232">
        <f t="shared" ca="1" si="592"/>
        <v>0.25034185459171815</v>
      </c>
      <c r="Z199" s="231">
        <f t="shared" ca="1" si="612"/>
        <v>8.3447284863906054E-2</v>
      </c>
      <c r="AA199" s="231">
        <f t="shared" ca="1" si="613"/>
        <v>0.16689456972781211</v>
      </c>
      <c r="AB199" s="232">
        <f t="shared" ca="1" si="614"/>
        <v>0.25034185459171815</v>
      </c>
      <c r="AC199" s="231">
        <f t="shared" ca="1" si="615"/>
        <v>8.3447284863906054E-2</v>
      </c>
      <c r="AD199" s="231">
        <f t="shared" ca="1" si="616"/>
        <v>0.16689456972781211</v>
      </c>
      <c r="AE199" s="232">
        <f t="shared" ca="1" si="422"/>
        <v>0.25034185459171815</v>
      </c>
      <c r="AF199" s="231">
        <f t="shared" ca="1" si="593"/>
        <v>3.3235609619043163E-2</v>
      </c>
      <c r="AG199" s="231">
        <f t="shared" ca="1" si="594"/>
        <v>6.6471219238086326E-2</v>
      </c>
      <c r="AH199" s="232">
        <f t="shared" ca="1" si="595"/>
        <v>9.970682885712949E-2</v>
      </c>
      <c r="AI199" s="233">
        <f t="shared" ca="1" si="423"/>
        <v>1.65</v>
      </c>
      <c r="AJ199" s="233">
        <f t="shared" ca="1" si="424"/>
        <v>2</v>
      </c>
      <c r="AK199" s="234">
        <f t="shared" ca="1" si="425"/>
        <v>2.2999999999999998</v>
      </c>
      <c r="AL199" s="919">
        <f t="shared" ca="1" si="426"/>
        <v>1.65</v>
      </c>
      <c r="AM199" s="233">
        <f t="shared" ca="1" si="427"/>
        <v>2</v>
      </c>
      <c r="AN199" s="234">
        <f t="shared" ca="1" si="428"/>
        <v>2.2999999999999998</v>
      </c>
      <c r="AO199" s="233">
        <f t="shared" ca="1" si="429"/>
        <v>1.65</v>
      </c>
      <c r="AP199" s="233">
        <f t="shared" ca="1" si="430"/>
        <v>2</v>
      </c>
      <c r="AQ199" s="233">
        <f t="shared" ca="1" si="431"/>
        <v>2.2999999999999998</v>
      </c>
      <c r="AR199" s="919">
        <f t="shared" ca="1" si="432"/>
        <v>0.5</v>
      </c>
      <c r="AS199" s="233">
        <f t="shared" ca="1" si="433"/>
        <v>0.65</v>
      </c>
      <c r="AT199" s="235">
        <f t="shared" ca="1" si="434"/>
        <v>0.85000000000000009</v>
      </c>
      <c r="AU199" s="946">
        <f t="shared" si="435"/>
        <v>0.5</v>
      </c>
      <c r="AV199" s="13">
        <f t="shared" ca="1" si="436"/>
        <v>0</v>
      </c>
      <c r="AW199" s="210">
        <f t="shared" ca="1" si="437"/>
        <v>0</v>
      </c>
      <c r="AX199" s="210">
        <f t="shared" ca="1" si="438"/>
        <v>0</v>
      </c>
      <c r="AY199" s="210">
        <f t="shared" ca="1" si="439"/>
        <v>0</v>
      </c>
      <c r="AZ199" s="13">
        <f t="shared" ca="1" si="440"/>
        <v>0</v>
      </c>
      <c r="BA199" s="357">
        <f ca="1"/>
        <v>0</v>
      </c>
      <c r="BB199" s="925">
        <f ca="1"/>
        <v>0</v>
      </c>
      <c r="BC199" s="925">
        <f ca="1"/>
        <v>0</v>
      </c>
      <c r="BD199" s="928">
        <f ca="1"/>
        <v>0</v>
      </c>
      <c r="BE199" s="200">
        <f ca="1"/>
        <v>0</v>
      </c>
      <c r="BF199" s="851">
        <f ca="1"/>
        <v>0</v>
      </c>
      <c r="BG199" s="851">
        <f ca="1"/>
        <v>0</v>
      </c>
      <c r="BH199" s="933">
        <f ca="1"/>
        <v>0</v>
      </c>
      <c r="BI199" s="357">
        <f ca="1"/>
        <v>0</v>
      </c>
      <c r="BJ199" s="925">
        <f ca="1"/>
        <v>0</v>
      </c>
      <c r="BK199" s="925">
        <f ca="1"/>
        <v>0</v>
      </c>
      <c r="BL199" s="928">
        <f ca="1"/>
        <v>0</v>
      </c>
      <c r="BM199" s="200">
        <f ca="1"/>
        <v>0</v>
      </c>
      <c r="BN199" s="851">
        <f ca="1"/>
        <v>0</v>
      </c>
      <c r="BO199" s="851">
        <f ca="1"/>
        <v>0</v>
      </c>
      <c r="BP199" s="933">
        <f ca="1"/>
        <v>0</v>
      </c>
      <c r="BQ199" s="357">
        <f t="shared" ca="1" si="441"/>
        <v>0</v>
      </c>
      <c r="BR199" s="361">
        <f t="shared" ca="1" si="442"/>
        <v>0</v>
      </c>
      <c r="BS199" s="357">
        <f t="shared" ca="1" si="443"/>
        <v>0</v>
      </c>
      <c r="BT199" s="302">
        <f t="shared" ca="1" si="444"/>
        <v>0</v>
      </c>
      <c r="BU199" s="299">
        <f t="shared" ca="1" si="445"/>
        <v>0</v>
      </c>
      <c r="BV199" s="299">
        <f t="shared" ca="1" si="446"/>
        <v>0</v>
      </c>
      <c r="BW199" s="299">
        <f t="shared" ca="1" si="447"/>
        <v>0</v>
      </c>
      <c r="BX199" s="380">
        <f t="shared" ca="1" si="448"/>
        <v>15.247091033538672</v>
      </c>
      <c r="BY199" s="363">
        <f t="shared" ca="1" si="449"/>
        <v>0</v>
      </c>
      <c r="BZ199" s="353">
        <f t="shared" ca="1" si="450"/>
        <v>0</v>
      </c>
      <c r="CA199" s="353">
        <f t="shared" ca="1" si="451"/>
        <v>0</v>
      </c>
      <c r="CB199" s="353">
        <f t="shared" ca="1" si="452"/>
        <v>0</v>
      </c>
      <c r="CC199" s="353">
        <f t="shared" ca="1" si="453"/>
        <v>0</v>
      </c>
      <c r="CD199" s="353">
        <f t="shared" ca="1" si="454"/>
        <v>0</v>
      </c>
      <c r="CE199" s="302">
        <f t="shared" ca="1" si="455"/>
        <v>0</v>
      </c>
      <c r="CF199" s="299">
        <f t="shared" ca="1" si="456"/>
        <v>0</v>
      </c>
      <c r="CG199" s="299">
        <f t="shared" ca="1" si="457"/>
        <v>0</v>
      </c>
      <c r="CH199" s="299">
        <f t="shared" ca="1" si="458"/>
        <v>0</v>
      </c>
      <c r="CI199" s="299">
        <f t="shared" ca="1" si="459"/>
        <v>0</v>
      </c>
      <c r="CJ199" s="299">
        <f t="shared" ca="1" si="460"/>
        <v>0</v>
      </c>
      <c r="CK199" s="299">
        <f t="shared" ca="1" si="461"/>
        <v>0</v>
      </c>
      <c r="CL199" s="377" t="str">
        <f t="shared" ca="1" si="462"/>
        <v/>
      </c>
      <c r="CM199" s="305" t="str">
        <f t="shared" ca="1" si="463"/>
        <v/>
      </c>
      <c r="CN199" s="305" t="str">
        <f t="shared" ca="1" si="464"/>
        <v/>
      </c>
      <c r="CO199" s="305" t="str">
        <f t="shared" ca="1" si="465"/>
        <v/>
      </c>
      <c r="CP199" s="305" t="str">
        <f t="shared" ca="1" si="466"/>
        <v/>
      </c>
      <c r="CQ199" s="305" t="str">
        <f t="shared" ca="1" si="467"/>
        <v/>
      </c>
      <c r="CR199" s="775" t="str">
        <f t="shared" ca="1" si="468"/>
        <v/>
      </c>
      <c r="CS199" s="305" t="str">
        <f t="shared" ca="1" si="469"/>
        <v/>
      </c>
      <c r="CT199" s="305" t="str">
        <f t="shared" ca="1" si="470"/>
        <v/>
      </c>
      <c r="CU199" s="305" t="str">
        <f t="shared" ca="1" si="471"/>
        <v/>
      </c>
      <c r="CV199" s="770" t="str">
        <f t="shared" ca="1" si="472"/>
        <v/>
      </c>
      <c r="CW199" s="302">
        <f t="shared" ca="1" si="473"/>
        <v>0</v>
      </c>
      <c r="CX199" s="299">
        <f t="shared" ca="1" si="474"/>
        <v>0</v>
      </c>
      <c r="CY199" s="299">
        <f t="shared" ca="1" si="475"/>
        <v>0</v>
      </c>
      <c r="CZ199" s="299">
        <f t="shared" ca="1" si="476"/>
        <v>0</v>
      </c>
      <c r="DA199" s="774">
        <f t="shared" ca="1" si="477"/>
        <v>0</v>
      </c>
      <c r="DB199" s="303">
        <f t="shared" ca="1" si="478"/>
        <v>0</v>
      </c>
      <c r="DC199" s="248">
        <f t="shared" ca="1" si="479"/>
        <v>0</v>
      </c>
      <c r="DD199" s="778">
        <f t="shared" ca="1" si="480"/>
        <v>0</v>
      </c>
      <c r="DE199" s="363">
        <f t="shared" ca="1" si="481"/>
        <v>0</v>
      </c>
      <c r="DF199" s="378" t="str">
        <f t="shared" ca="1" si="482"/>
        <v/>
      </c>
      <c r="DG199" s="508" t="str">
        <f t="shared" ca="1" si="483"/>
        <v/>
      </c>
      <c r="DH199" s="508" t="str">
        <f t="shared" ca="1" si="484"/>
        <v/>
      </c>
      <c r="DI199" s="508" t="str">
        <f t="shared" ca="1" si="485"/>
        <v/>
      </c>
      <c r="DJ199" s="508" t="str">
        <f t="shared" ca="1" si="486"/>
        <v/>
      </c>
      <c r="DK199" s="353">
        <f t="shared" ca="1" si="487"/>
        <v>0</v>
      </c>
      <c r="DL199" s="781">
        <f t="shared" ca="1" si="488"/>
        <v>0</v>
      </c>
      <c r="DM199" s="303">
        <f t="shared" ca="1" si="489"/>
        <v>0</v>
      </c>
      <c r="DN199" s="508" t="str">
        <f t="shared" ca="1" si="490"/>
        <v/>
      </c>
      <c r="DO199" s="508" t="str">
        <f t="shared" ca="1" si="491"/>
        <v/>
      </c>
      <c r="DP199" s="508" t="str">
        <f t="shared" ca="1" si="492"/>
        <v/>
      </c>
      <c r="DQ199" s="508" t="str">
        <f t="shared" ca="1" si="493"/>
        <v/>
      </c>
      <c r="DR199" s="508" t="str">
        <f t="shared" ca="1" si="494"/>
        <v/>
      </c>
      <c r="DS199" s="353">
        <f t="shared" ca="1" si="495"/>
        <v>0</v>
      </c>
      <c r="DT199" s="353">
        <f t="shared" ca="1" si="496"/>
        <v>0</v>
      </c>
      <c r="DU199" s="380">
        <f t="shared" ca="1" si="596"/>
        <v>15.247091033538672</v>
      </c>
      <c r="DV199" s="303">
        <f t="shared" ca="1" si="497"/>
        <v>0</v>
      </c>
      <c r="DW199" s="303">
        <f t="shared" ca="1" si="498"/>
        <v>0</v>
      </c>
      <c r="DX199" s="303">
        <f t="shared" ca="1" si="499"/>
        <v>0</v>
      </c>
      <c r="DY199" s="303">
        <f t="shared" ca="1" si="500"/>
        <v>0</v>
      </c>
      <c r="DZ199" s="303">
        <f t="shared" ca="1" si="501"/>
        <v>0</v>
      </c>
      <c r="EA199" s="303">
        <f t="shared" ca="1" si="502"/>
        <v>0</v>
      </c>
      <c r="EB199" s="302">
        <f t="shared" ca="1" si="503"/>
        <v>0</v>
      </c>
      <c r="EC199" s="299">
        <f t="shared" ca="1" si="504"/>
        <v>0</v>
      </c>
      <c r="ED199" s="299">
        <f t="shared" ca="1" si="505"/>
        <v>0</v>
      </c>
      <c r="EE199" s="299">
        <f t="shared" ca="1" si="506"/>
        <v>0</v>
      </c>
      <c r="EF199" s="299">
        <f t="shared" ca="1" si="507"/>
        <v>0</v>
      </c>
      <c r="EG199" s="299">
        <f t="shared" ca="1" si="508"/>
        <v>0</v>
      </c>
      <c r="EH199" s="302">
        <f t="shared" ca="1" si="509"/>
        <v>0</v>
      </c>
      <c r="EI199" s="304" t="str">
        <f t="shared" ca="1" si="510"/>
        <v/>
      </c>
      <c r="EJ199" s="305" t="str">
        <f t="shared" ca="1" si="511"/>
        <v/>
      </c>
      <c r="EK199" s="305" t="str">
        <f t="shared" ca="1" si="512"/>
        <v/>
      </c>
      <c r="EL199" s="305" t="str">
        <f t="shared" ca="1" si="513"/>
        <v/>
      </c>
      <c r="EM199" s="305" t="str">
        <f t="shared" ca="1" si="514"/>
        <v/>
      </c>
      <c r="EN199" s="305" t="str">
        <f t="shared" ca="1" si="515"/>
        <v/>
      </c>
      <c r="EO199" s="305" t="str">
        <f t="shared" ca="1" si="516"/>
        <v/>
      </c>
      <c r="EP199" s="305" t="str">
        <f t="shared" ca="1" si="517"/>
        <v/>
      </c>
      <c r="EQ199" s="305" t="str">
        <f t="shared" ca="1" si="518"/>
        <v/>
      </c>
      <c r="ER199" s="305" t="str">
        <f t="shared" ca="1" si="519"/>
        <v/>
      </c>
      <c r="ES199" s="305" t="str">
        <f t="shared" ca="1" si="520"/>
        <v/>
      </c>
      <c r="ET199" s="299">
        <f t="shared" ca="1" si="521"/>
        <v>0</v>
      </c>
      <c r="EU199" s="302">
        <f t="shared" ca="1" si="522"/>
        <v>0</v>
      </c>
      <c r="EV199" s="304" t="str">
        <f t="shared" ca="1" si="523"/>
        <v/>
      </c>
      <c r="EW199" s="305" t="str">
        <f t="shared" ca="1" si="524"/>
        <v/>
      </c>
      <c r="EX199" s="305" t="str">
        <f t="shared" ca="1" si="525"/>
        <v/>
      </c>
      <c r="EY199" s="305" t="str">
        <f t="shared" ca="1" si="526"/>
        <v/>
      </c>
      <c r="EZ199" s="305" t="str">
        <f t="shared" ca="1" si="527"/>
        <v/>
      </c>
      <c r="FA199" s="305" t="str">
        <f t="shared" ca="1" si="528"/>
        <v/>
      </c>
      <c r="FB199" s="305" t="str">
        <f t="shared" ca="1" si="529"/>
        <v/>
      </c>
      <c r="FC199" s="305" t="str">
        <f t="shared" ca="1" si="530"/>
        <v/>
      </c>
      <c r="FD199" s="305" t="str">
        <f t="shared" ca="1" si="531"/>
        <v/>
      </c>
      <c r="FE199" s="305" t="str">
        <f t="shared" ca="1" si="532"/>
        <v/>
      </c>
      <c r="FF199" s="305" t="str">
        <f t="shared" ca="1" si="533"/>
        <v/>
      </c>
      <c r="FG199" s="299">
        <f t="shared" ca="1" si="534"/>
        <v>0</v>
      </c>
      <c r="FH199" s="302">
        <f t="shared" ca="1" si="535"/>
        <v>0</v>
      </c>
      <c r="FI199" s="248">
        <f t="shared" ca="1" si="536"/>
        <v>0</v>
      </c>
      <c r="FJ199" s="363">
        <f t="shared" ca="1" si="537"/>
        <v>0</v>
      </c>
      <c r="FK199" s="378" t="str">
        <f t="shared" ca="1" si="538"/>
        <v/>
      </c>
      <c r="FL199" s="508" t="str">
        <f t="shared" ca="1" si="539"/>
        <v/>
      </c>
      <c r="FM199" s="508" t="str">
        <f t="shared" ca="1" si="540"/>
        <v/>
      </c>
      <c r="FN199" s="508" t="str">
        <f t="shared" ca="1" si="541"/>
        <v/>
      </c>
      <c r="FO199" s="508" t="str">
        <f t="shared" ca="1" si="542"/>
        <v/>
      </c>
      <c r="FP199" s="353">
        <f t="shared" ca="1" si="543"/>
        <v>0</v>
      </c>
      <c r="FQ199" s="356">
        <f t="shared" ca="1" si="544"/>
        <v>0</v>
      </c>
      <c r="FR199" s="380">
        <f t="shared" ca="1" si="545"/>
        <v>0</v>
      </c>
      <c r="FS199" s="299">
        <f t="shared" ca="1" si="546"/>
        <v>0</v>
      </c>
      <c r="FT199" s="299">
        <f t="shared" ca="1" si="547"/>
        <v>0</v>
      </c>
      <c r="FU199" s="299">
        <f t="shared" ca="1" si="548"/>
        <v>0</v>
      </c>
      <c r="FV199" s="299">
        <f t="shared" ca="1" si="549"/>
        <v>0</v>
      </c>
      <c r="FW199" s="850" t="str">
        <f t="shared" ca="1" si="550"/>
        <v/>
      </c>
      <c r="FX199" s="851" t="str">
        <f t="shared" ca="1" si="551"/>
        <v/>
      </c>
      <c r="FY199" s="851" t="str">
        <f t="shared" ca="1" si="552"/>
        <v/>
      </c>
      <c r="FZ199" s="201" t="str">
        <f t="shared" ca="1" si="553"/>
        <v/>
      </c>
      <c r="GA199" s="201" t="str">
        <f t="shared" ca="1" si="554"/>
        <v/>
      </c>
      <c r="GB199" s="201" t="str">
        <f t="shared" ca="1" si="555"/>
        <v/>
      </c>
      <c r="GC199" s="201" t="str">
        <f t="shared" ca="1" si="556"/>
        <v/>
      </c>
      <c r="GD199" s="850" t="str">
        <f t="shared" ca="1" si="557"/>
        <v/>
      </c>
      <c r="GE199" s="866" t="str">
        <f t="shared" ca="1" si="558"/>
        <v/>
      </c>
      <c r="GF199" s="866" t="str">
        <f t="shared" ca="1" si="559"/>
        <v/>
      </c>
      <c r="GG199" s="866" t="str">
        <f t="shared" ca="1" si="560"/>
        <v/>
      </c>
      <c r="GH199" s="866" t="str">
        <f t="shared" ca="1" si="561"/>
        <v/>
      </c>
      <c r="GI199" s="302">
        <f t="shared" ca="1" si="562"/>
        <v>0</v>
      </c>
      <c r="GJ199" s="299">
        <f t="shared" ca="1" si="563"/>
        <v>0</v>
      </c>
      <c r="GK199" s="299">
        <f t="shared" ca="1" si="564"/>
        <v>0</v>
      </c>
      <c r="GL199" s="299">
        <f t="shared" ca="1" si="565"/>
        <v>0</v>
      </c>
      <c r="GM199" s="299">
        <f t="shared" ca="1" si="566"/>
        <v>0</v>
      </c>
      <c r="GN199" s="302">
        <f t="shared" ca="1" si="567"/>
        <v>0</v>
      </c>
      <c r="GO199" s="299">
        <f t="shared" ca="1" si="568"/>
        <v>0</v>
      </c>
      <c r="GP199" s="299">
        <f t="shared" ca="1" si="569"/>
        <v>0</v>
      </c>
      <c r="GQ199" s="299">
        <f t="shared" ca="1" si="570"/>
        <v>0</v>
      </c>
      <c r="GR199" s="299">
        <f t="shared" ca="1" si="571"/>
        <v>0</v>
      </c>
      <c r="GS199" s="302">
        <f t="shared" ca="1" si="572"/>
        <v>0</v>
      </c>
      <c r="GT199" s="299">
        <f t="shared" ca="1" si="573"/>
        <v>0</v>
      </c>
      <c r="GU199" s="299">
        <f t="shared" ca="1" si="574"/>
        <v>0</v>
      </c>
      <c r="GV199" s="299">
        <f t="shared" ca="1" si="575"/>
        <v>0</v>
      </c>
      <c r="GW199" s="299">
        <f t="shared" ca="1" si="576"/>
        <v>0</v>
      </c>
      <c r="GX199" s="303">
        <f t="shared" ca="1" si="577"/>
        <v>0</v>
      </c>
      <c r="GY199" s="303">
        <f t="shared" ca="1" si="578"/>
        <v>0</v>
      </c>
      <c r="GZ199" s="303">
        <f t="shared" ca="1" si="579"/>
        <v>0</v>
      </c>
      <c r="HA199" s="303">
        <f t="shared" ca="1" si="580"/>
        <v>0</v>
      </c>
      <c r="HB199" s="303">
        <f t="shared" ca="1" si="581"/>
        <v>0</v>
      </c>
      <c r="HC199" s="303">
        <f t="shared" ca="1" si="582"/>
        <v>0</v>
      </c>
      <c r="HD199" s="303">
        <f t="shared" ca="1" si="583"/>
        <v>0</v>
      </c>
      <c r="HE199" s="303">
        <f t="shared" ca="1" si="584"/>
        <v>0</v>
      </c>
      <c r="HF199" s="303">
        <f t="shared" ca="1" si="585"/>
        <v>0</v>
      </c>
      <c r="HG199" s="852">
        <f t="shared" ca="1" si="586"/>
        <v>0</v>
      </c>
    </row>
    <row r="200" spans="1:215" x14ac:dyDescent="0.25">
      <c r="A200" s="244">
        <f t="shared" ca="1" si="587"/>
        <v>42186</v>
      </c>
      <c r="B200" s="13">
        <f t="shared" ca="1" si="620"/>
        <v>2015</v>
      </c>
      <c r="C200" s="619">
        <f t="shared" ca="1" si="621"/>
        <v>7</v>
      </c>
      <c r="D200" s="195">
        <f t="shared" ca="1" si="417"/>
        <v>42189</v>
      </c>
      <c r="E200" s="469" t="str">
        <f t="shared" ca="1" si="418"/>
        <v/>
      </c>
      <c r="F200" s="465" t="str">
        <f t="shared" ca="1" si="419"/>
        <v/>
      </c>
      <c r="G200" s="522">
        <f t="shared" ca="1" si="588"/>
        <v>1</v>
      </c>
      <c r="H200" s="519">
        <f t="shared" ca="1" si="589"/>
        <v>1</v>
      </c>
      <c r="I200" s="724">
        <f t="shared" ca="1" si="622"/>
        <v>7.4186163738083996E-2</v>
      </c>
      <c r="J200" s="198">
        <f t="shared" ca="1" si="421"/>
        <v>0.32413205633994713</v>
      </c>
      <c r="K200" s="200">
        <f t="shared" ca="1" si="597"/>
        <v>81.5</v>
      </c>
      <c r="L200" s="201">
        <f t="shared" ca="1" si="598"/>
        <v>86.5</v>
      </c>
      <c r="M200" s="206">
        <f t="shared" ca="1" si="599"/>
        <v>91.5</v>
      </c>
      <c r="N200" s="851">
        <f t="shared" ca="1" si="603"/>
        <v>37.911249542236362</v>
      </c>
      <c r="O200" s="201">
        <f t="shared" ca="1" si="604"/>
        <v>41.661249542236362</v>
      </c>
      <c r="P200" s="206">
        <f t="shared" ca="1" si="605"/>
        <v>45.411249542236362</v>
      </c>
      <c r="Q200" s="201">
        <f t="shared" ca="1" si="606"/>
        <v>26.847499465942374</v>
      </c>
      <c r="R200" s="201">
        <f t="shared" ca="1" si="607"/>
        <v>31.147499465942374</v>
      </c>
      <c r="S200" s="201">
        <f t="shared" ca="1" si="608"/>
        <v>35.447499465942371</v>
      </c>
      <c r="T200" s="851">
        <f t="shared" ca="1" si="600"/>
        <v>22.949997711181634</v>
      </c>
      <c r="U200" s="201">
        <f t="shared" ca="1" si="601"/>
        <v>25.449997711181634</v>
      </c>
      <c r="V200" s="206">
        <f t="shared" ca="1" si="602"/>
        <v>27.949997711181634</v>
      </c>
      <c r="W200" s="230">
        <f t="shared" ca="1" si="590"/>
        <v>9.880904670604522E-2</v>
      </c>
      <c r="X200" s="231">
        <f t="shared" ca="1" si="591"/>
        <v>0.19761809341209044</v>
      </c>
      <c r="Y200" s="232">
        <f t="shared" ca="1" si="592"/>
        <v>0.29642714011813565</v>
      </c>
      <c r="Z200" s="231">
        <f t="shared" ca="1" si="612"/>
        <v>9.880904670604522E-2</v>
      </c>
      <c r="AA200" s="231">
        <f t="shared" ca="1" si="613"/>
        <v>0.19761809341209044</v>
      </c>
      <c r="AB200" s="232">
        <f t="shared" ca="1" si="614"/>
        <v>0.29642714011813565</v>
      </c>
      <c r="AC200" s="231">
        <f t="shared" ca="1" si="615"/>
        <v>9.880904670604522E-2</v>
      </c>
      <c r="AD200" s="231">
        <f t="shared" ca="1" si="616"/>
        <v>0.19761809341209044</v>
      </c>
      <c r="AE200" s="232">
        <f t="shared" ca="1" si="422"/>
        <v>0.29642714011813565</v>
      </c>
      <c r="AF200" s="231">
        <f t="shared" ca="1" si="593"/>
        <v>4.431414615872422E-2</v>
      </c>
      <c r="AG200" s="231">
        <f t="shared" ca="1" si="594"/>
        <v>8.862829231744844E-2</v>
      </c>
      <c r="AH200" s="232">
        <f t="shared" ca="1" si="595"/>
        <v>0.13294243847617265</v>
      </c>
      <c r="AI200" s="233">
        <f t="shared" ca="1" si="423"/>
        <v>2.65</v>
      </c>
      <c r="AJ200" s="233">
        <f t="shared" ca="1" si="424"/>
        <v>3</v>
      </c>
      <c r="AK200" s="234">
        <f t="shared" ca="1" si="425"/>
        <v>3.5</v>
      </c>
      <c r="AL200" s="919">
        <f t="shared" ca="1" si="426"/>
        <v>2.65</v>
      </c>
      <c r="AM200" s="233">
        <f t="shared" ca="1" si="427"/>
        <v>3</v>
      </c>
      <c r="AN200" s="234">
        <f t="shared" ca="1" si="428"/>
        <v>3.5</v>
      </c>
      <c r="AO200" s="233">
        <f t="shared" ca="1" si="429"/>
        <v>2.65</v>
      </c>
      <c r="AP200" s="233">
        <f t="shared" ca="1" si="430"/>
        <v>3</v>
      </c>
      <c r="AQ200" s="233">
        <f t="shared" ca="1" si="431"/>
        <v>3.5</v>
      </c>
      <c r="AR200" s="919">
        <f t="shared" ca="1" si="432"/>
        <v>0.6</v>
      </c>
      <c r="AS200" s="233">
        <f t="shared" ca="1" si="433"/>
        <v>0.75</v>
      </c>
      <c r="AT200" s="235">
        <f t="shared" ca="1" si="434"/>
        <v>0.95</v>
      </c>
      <c r="AU200" s="946">
        <f t="shared" si="435"/>
        <v>0.5</v>
      </c>
      <c r="AV200" s="13">
        <f t="shared" ca="1" si="436"/>
        <v>0</v>
      </c>
      <c r="AW200" s="210">
        <f t="shared" ca="1" si="437"/>
        <v>0</v>
      </c>
      <c r="AX200" s="210">
        <f t="shared" ca="1" si="438"/>
        <v>0</v>
      </c>
      <c r="AY200" s="210">
        <f t="shared" ca="1" si="439"/>
        <v>0</v>
      </c>
      <c r="AZ200" s="13">
        <f t="shared" ca="1" si="440"/>
        <v>0</v>
      </c>
      <c r="BA200" s="357">
        <f ca="1"/>
        <v>0</v>
      </c>
      <c r="BB200" s="925">
        <f ca="1"/>
        <v>0</v>
      </c>
      <c r="BC200" s="925">
        <f ca="1"/>
        <v>0</v>
      </c>
      <c r="BD200" s="928">
        <f ca="1"/>
        <v>0</v>
      </c>
      <c r="BE200" s="200">
        <f ca="1"/>
        <v>0</v>
      </c>
      <c r="BF200" s="851">
        <f ca="1"/>
        <v>0</v>
      </c>
      <c r="BG200" s="851">
        <f ca="1"/>
        <v>0</v>
      </c>
      <c r="BH200" s="933">
        <f ca="1"/>
        <v>0</v>
      </c>
      <c r="BI200" s="357">
        <f ca="1"/>
        <v>0</v>
      </c>
      <c r="BJ200" s="925">
        <f ca="1"/>
        <v>0</v>
      </c>
      <c r="BK200" s="925">
        <f ca="1"/>
        <v>0</v>
      </c>
      <c r="BL200" s="928">
        <f ca="1"/>
        <v>0</v>
      </c>
      <c r="BM200" s="200">
        <f ca="1"/>
        <v>0</v>
      </c>
      <c r="BN200" s="851">
        <f ca="1"/>
        <v>0</v>
      </c>
      <c r="BO200" s="851">
        <f ca="1"/>
        <v>0</v>
      </c>
      <c r="BP200" s="933">
        <f ca="1"/>
        <v>0</v>
      </c>
      <c r="BQ200" s="357">
        <f t="shared" ca="1" si="441"/>
        <v>0</v>
      </c>
      <c r="BR200" s="361">
        <f t="shared" ca="1" si="442"/>
        <v>0</v>
      </c>
      <c r="BS200" s="357">
        <f t="shared" ca="1" si="443"/>
        <v>0</v>
      </c>
      <c r="BT200" s="302">
        <f t="shared" ca="1" si="444"/>
        <v>0</v>
      </c>
      <c r="BU200" s="299">
        <f t="shared" ca="1" si="445"/>
        <v>0</v>
      </c>
      <c r="BV200" s="299">
        <f t="shared" ca="1" si="446"/>
        <v>0</v>
      </c>
      <c r="BW200" s="299">
        <f t="shared" ca="1" si="447"/>
        <v>0</v>
      </c>
      <c r="BX200" s="380">
        <f t="shared" ca="1" si="448"/>
        <v>15.329226557152635</v>
      </c>
      <c r="BY200" s="363">
        <f t="shared" ca="1" si="449"/>
        <v>0</v>
      </c>
      <c r="BZ200" s="353">
        <f t="shared" ca="1" si="450"/>
        <v>0</v>
      </c>
      <c r="CA200" s="353">
        <f t="shared" ca="1" si="451"/>
        <v>0</v>
      </c>
      <c r="CB200" s="353">
        <f t="shared" ca="1" si="452"/>
        <v>0</v>
      </c>
      <c r="CC200" s="353">
        <f t="shared" ca="1" si="453"/>
        <v>0</v>
      </c>
      <c r="CD200" s="353">
        <f t="shared" ca="1" si="454"/>
        <v>0</v>
      </c>
      <c r="CE200" s="302">
        <f t="shared" ca="1" si="455"/>
        <v>0</v>
      </c>
      <c r="CF200" s="299">
        <f t="shared" ca="1" si="456"/>
        <v>0</v>
      </c>
      <c r="CG200" s="299">
        <f t="shared" ca="1" si="457"/>
        <v>0</v>
      </c>
      <c r="CH200" s="299">
        <f t="shared" ca="1" si="458"/>
        <v>0</v>
      </c>
      <c r="CI200" s="299">
        <f t="shared" ca="1" si="459"/>
        <v>0</v>
      </c>
      <c r="CJ200" s="299">
        <f t="shared" ca="1" si="460"/>
        <v>0</v>
      </c>
      <c r="CK200" s="299">
        <f t="shared" ca="1" si="461"/>
        <v>0</v>
      </c>
      <c r="CL200" s="377" t="str">
        <f t="shared" ca="1" si="462"/>
        <v/>
      </c>
      <c r="CM200" s="305" t="str">
        <f t="shared" ca="1" si="463"/>
        <v/>
      </c>
      <c r="CN200" s="305" t="str">
        <f t="shared" ca="1" si="464"/>
        <v/>
      </c>
      <c r="CO200" s="305" t="str">
        <f t="shared" ca="1" si="465"/>
        <v/>
      </c>
      <c r="CP200" s="305" t="str">
        <f t="shared" ca="1" si="466"/>
        <v/>
      </c>
      <c r="CQ200" s="305" t="str">
        <f t="shared" ca="1" si="467"/>
        <v/>
      </c>
      <c r="CR200" s="775" t="str">
        <f t="shared" ca="1" si="468"/>
        <v/>
      </c>
      <c r="CS200" s="305" t="str">
        <f t="shared" ca="1" si="469"/>
        <v/>
      </c>
      <c r="CT200" s="305" t="str">
        <f t="shared" ca="1" si="470"/>
        <v/>
      </c>
      <c r="CU200" s="305" t="str">
        <f t="shared" ca="1" si="471"/>
        <v/>
      </c>
      <c r="CV200" s="770" t="str">
        <f t="shared" ca="1" si="472"/>
        <v/>
      </c>
      <c r="CW200" s="302">
        <f t="shared" ca="1" si="473"/>
        <v>0</v>
      </c>
      <c r="CX200" s="299">
        <f t="shared" ca="1" si="474"/>
        <v>0</v>
      </c>
      <c r="CY200" s="299">
        <f t="shared" ca="1" si="475"/>
        <v>0</v>
      </c>
      <c r="CZ200" s="299">
        <f t="shared" ca="1" si="476"/>
        <v>0</v>
      </c>
      <c r="DA200" s="774">
        <f t="shared" ca="1" si="477"/>
        <v>0</v>
      </c>
      <c r="DB200" s="303">
        <f t="shared" ca="1" si="478"/>
        <v>0</v>
      </c>
      <c r="DC200" s="248">
        <f t="shared" ca="1" si="479"/>
        <v>0</v>
      </c>
      <c r="DD200" s="778">
        <f t="shared" ca="1" si="480"/>
        <v>0</v>
      </c>
      <c r="DE200" s="363">
        <f t="shared" ca="1" si="481"/>
        <v>0</v>
      </c>
      <c r="DF200" s="378" t="str">
        <f t="shared" ca="1" si="482"/>
        <v/>
      </c>
      <c r="DG200" s="508" t="str">
        <f t="shared" ca="1" si="483"/>
        <v/>
      </c>
      <c r="DH200" s="508" t="str">
        <f t="shared" ca="1" si="484"/>
        <v/>
      </c>
      <c r="DI200" s="508" t="str">
        <f t="shared" ca="1" si="485"/>
        <v/>
      </c>
      <c r="DJ200" s="508" t="str">
        <f t="shared" ca="1" si="486"/>
        <v/>
      </c>
      <c r="DK200" s="353">
        <f t="shared" ca="1" si="487"/>
        <v>0</v>
      </c>
      <c r="DL200" s="781">
        <f t="shared" ca="1" si="488"/>
        <v>0</v>
      </c>
      <c r="DM200" s="303">
        <f t="shared" ca="1" si="489"/>
        <v>0</v>
      </c>
      <c r="DN200" s="508" t="str">
        <f t="shared" ca="1" si="490"/>
        <v/>
      </c>
      <c r="DO200" s="508" t="str">
        <f t="shared" ca="1" si="491"/>
        <v/>
      </c>
      <c r="DP200" s="508" t="str">
        <f t="shared" ca="1" si="492"/>
        <v/>
      </c>
      <c r="DQ200" s="508" t="str">
        <f t="shared" ca="1" si="493"/>
        <v/>
      </c>
      <c r="DR200" s="508" t="str">
        <f t="shared" ca="1" si="494"/>
        <v/>
      </c>
      <c r="DS200" s="353">
        <f t="shared" ca="1" si="495"/>
        <v>0</v>
      </c>
      <c r="DT200" s="353">
        <f t="shared" ca="1" si="496"/>
        <v>0</v>
      </c>
      <c r="DU200" s="380">
        <f t="shared" ca="1" si="596"/>
        <v>15.329226557152635</v>
      </c>
      <c r="DV200" s="303">
        <f t="shared" ca="1" si="497"/>
        <v>0</v>
      </c>
      <c r="DW200" s="303">
        <f t="shared" ca="1" si="498"/>
        <v>0</v>
      </c>
      <c r="DX200" s="303">
        <f t="shared" ca="1" si="499"/>
        <v>0</v>
      </c>
      <c r="DY200" s="303">
        <f t="shared" ca="1" si="500"/>
        <v>0</v>
      </c>
      <c r="DZ200" s="303">
        <f t="shared" ca="1" si="501"/>
        <v>0</v>
      </c>
      <c r="EA200" s="303">
        <f t="shared" ca="1" si="502"/>
        <v>0</v>
      </c>
      <c r="EB200" s="302">
        <f t="shared" ca="1" si="503"/>
        <v>0</v>
      </c>
      <c r="EC200" s="299">
        <f t="shared" ca="1" si="504"/>
        <v>0</v>
      </c>
      <c r="ED200" s="299">
        <f t="shared" ca="1" si="505"/>
        <v>0</v>
      </c>
      <c r="EE200" s="299">
        <f t="shared" ca="1" si="506"/>
        <v>0</v>
      </c>
      <c r="EF200" s="299">
        <f t="shared" ca="1" si="507"/>
        <v>0</v>
      </c>
      <c r="EG200" s="299">
        <f t="shared" ca="1" si="508"/>
        <v>0</v>
      </c>
      <c r="EH200" s="302">
        <f t="shared" ca="1" si="509"/>
        <v>0</v>
      </c>
      <c r="EI200" s="304" t="str">
        <f t="shared" ca="1" si="510"/>
        <v/>
      </c>
      <c r="EJ200" s="305" t="str">
        <f t="shared" ca="1" si="511"/>
        <v/>
      </c>
      <c r="EK200" s="305" t="str">
        <f t="shared" ca="1" si="512"/>
        <v/>
      </c>
      <c r="EL200" s="305" t="str">
        <f t="shared" ca="1" si="513"/>
        <v/>
      </c>
      <c r="EM200" s="305" t="str">
        <f t="shared" ca="1" si="514"/>
        <v/>
      </c>
      <c r="EN200" s="305" t="str">
        <f t="shared" ca="1" si="515"/>
        <v/>
      </c>
      <c r="EO200" s="305" t="str">
        <f t="shared" ca="1" si="516"/>
        <v/>
      </c>
      <c r="EP200" s="305" t="str">
        <f t="shared" ca="1" si="517"/>
        <v/>
      </c>
      <c r="EQ200" s="305" t="str">
        <f t="shared" ca="1" si="518"/>
        <v/>
      </c>
      <c r="ER200" s="305" t="str">
        <f t="shared" ca="1" si="519"/>
        <v/>
      </c>
      <c r="ES200" s="305" t="str">
        <f t="shared" ca="1" si="520"/>
        <v/>
      </c>
      <c r="ET200" s="299">
        <f t="shared" ca="1" si="521"/>
        <v>0</v>
      </c>
      <c r="EU200" s="302">
        <f t="shared" ca="1" si="522"/>
        <v>0</v>
      </c>
      <c r="EV200" s="304" t="str">
        <f t="shared" ca="1" si="523"/>
        <v/>
      </c>
      <c r="EW200" s="305" t="str">
        <f t="shared" ca="1" si="524"/>
        <v/>
      </c>
      <c r="EX200" s="305" t="str">
        <f t="shared" ca="1" si="525"/>
        <v/>
      </c>
      <c r="EY200" s="305" t="str">
        <f t="shared" ca="1" si="526"/>
        <v/>
      </c>
      <c r="EZ200" s="305" t="str">
        <f t="shared" ca="1" si="527"/>
        <v/>
      </c>
      <c r="FA200" s="305" t="str">
        <f t="shared" ca="1" si="528"/>
        <v/>
      </c>
      <c r="FB200" s="305" t="str">
        <f t="shared" ca="1" si="529"/>
        <v/>
      </c>
      <c r="FC200" s="305" t="str">
        <f t="shared" ca="1" si="530"/>
        <v/>
      </c>
      <c r="FD200" s="305" t="str">
        <f t="shared" ca="1" si="531"/>
        <v/>
      </c>
      <c r="FE200" s="305" t="str">
        <f t="shared" ca="1" si="532"/>
        <v/>
      </c>
      <c r="FF200" s="305" t="str">
        <f t="shared" ca="1" si="533"/>
        <v/>
      </c>
      <c r="FG200" s="299">
        <f t="shared" ca="1" si="534"/>
        <v>0</v>
      </c>
      <c r="FH200" s="302">
        <f t="shared" ca="1" si="535"/>
        <v>0</v>
      </c>
      <c r="FI200" s="248">
        <f t="shared" ca="1" si="536"/>
        <v>0</v>
      </c>
      <c r="FJ200" s="363">
        <f t="shared" ca="1" si="537"/>
        <v>0</v>
      </c>
      <c r="FK200" s="378" t="str">
        <f t="shared" ca="1" si="538"/>
        <v/>
      </c>
      <c r="FL200" s="508" t="str">
        <f t="shared" ca="1" si="539"/>
        <v/>
      </c>
      <c r="FM200" s="508" t="str">
        <f t="shared" ca="1" si="540"/>
        <v/>
      </c>
      <c r="FN200" s="508" t="str">
        <f t="shared" ca="1" si="541"/>
        <v/>
      </c>
      <c r="FO200" s="508" t="str">
        <f t="shared" ca="1" si="542"/>
        <v/>
      </c>
      <c r="FP200" s="353">
        <f t="shared" ca="1" si="543"/>
        <v>0</v>
      </c>
      <c r="FQ200" s="356">
        <f t="shared" ca="1" si="544"/>
        <v>0</v>
      </c>
      <c r="FR200" s="380">
        <f t="shared" ca="1" si="545"/>
        <v>0</v>
      </c>
      <c r="FS200" s="299">
        <f t="shared" ca="1" si="546"/>
        <v>0</v>
      </c>
      <c r="FT200" s="299">
        <f t="shared" ca="1" si="547"/>
        <v>0</v>
      </c>
      <c r="FU200" s="299">
        <f t="shared" ca="1" si="548"/>
        <v>0</v>
      </c>
      <c r="FV200" s="299">
        <f t="shared" ca="1" si="549"/>
        <v>0</v>
      </c>
      <c r="FW200" s="850" t="str">
        <f t="shared" ca="1" si="550"/>
        <v/>
      </c>
      <c r="FX200" s="851" t="str">
        <f t="shared" ca="1" si="551"/>
        <v/>
      </c>
      <c r="FY200" s="851" t="str">
        <f t="shared" ca="1" si="552"/>
        <v/>
      </c>
      <c r="FZ200" s="201" t="str">
        <f t="shared" ca="1" si="553"/>
        <v/>
      </c>
      <c r="GA200" s="201" t="str">
        <f t="shared" ca="1" si="554"/>
        <v/>
      </c>
      <c r="GB200" s="201" t="str">
        <f t="shared" ca="1" si="555"/>
        <v/>
      </c>
      <c r="GC200" s="201" t="str">
        <f t="shared" ca="1" si="556"/>
        <v/>
      </c>
      <c r="GD200" s="850" t="str">
        <f t="shared" ca="1" si="557"/>
        <v/>
      </c>
      <c r="GE200" s="866" t="str">
        <f t="shared" ca="1" si="558"/>
        <v/>
      </c>
      <c r="GF200" s="866" t="str">
        <f t="shared" ca="1" si="559"/>
        <v/>
      </c>
      <c r="GG200" s="866" t="str">
        <f t="shared" ca="1" si="560"/>
        <v/>
      </c>
      <c r="GH200" s="866" t="str">
        <f t="shared" ca="1" si="561"/>
        <v/>
      </c>
      <c r="GI200" s="302">
        <f t="shared" ca="1" si="562"/>
        <v>0</v>
      </c>
      <c r="GJ200" s="299">
        <f t="shared" ca="1" si="563"/>
        <v>0</v>
      </c>
      <c r="GK200" s="299">
        <f t="shared" ca="1" si="564"/>
        <v>0</v>
      </c>
      <c r="GL200" s="299">
        <f t="shared" ca="1" si="565"/>
        <v>0</v>
      </c>
      <c r="GM200" s="299">
        <f t="shared" ca="1" si="566"/>
        <v>0</v>
      </c>
      <c r="GN200" s="302">
        <f t="shared" ca="1" si="567"/>
        <v>0</v>
      </c>
      <c r="GO200" s="299">
        <f t="shared" ca="1" si="568"/>
        <v>0</v>
      </c>
      <c r="GP200" s="299">
        <f t="shared" ca="1" si="569"/>
        <v>0</v>
      </c>
      <c r="GQ200" s="299">
        <f t="shared" ca="1" si="570"/>
        <v>0</v>
      </c>
      <c r="GR200" s="299">
        <f t="shared" ca="1" si="571"/>
        <v>0</v>
      </c>
      <c r="GS200" s="302">
        <f t="shared" ca="1" si="572"/>
        <v>0</v>
      </c>
      <c r="GT200" s="299">
        <f t="shared" ca="1" si="573"/>
        <v>0</v>
      </c>
      <c r="GU200" s="299">
        <f t="shared" ca="1" si="574"/>
        <v>0</v>
      </c>
      <c r="GV200" s="299">
        <f t="shared" ca="1" si="575"/>
        <v>0</v>
      </c>
      <c r="GW200" s="299">
        <f t="shared" ca="1" si="576"/>
        <v>0</v>
      </c>
      <c r="GX200" s="303">
        <f t="shared" ca="1" si="577"/>
        <v>0</v>
      </c>
      <c r="GY200" s="303">
        <f t="shared" ca="1" si="578"/>
        <v>0</v>
      </c>
      <c r="GZ200" s="303">
        <f t="shared" ca="1" si="579"/>
        <v>0</v>
      </c>
      <c r="HA200" s="303">
        <f t="shared" ca="1" si="580"/>
        <v>0</v>
      </c>
      <c r="HB200" s="303">
        <f t="shared" ca="1" si="581"/>
        <v>0</v>
      </c>
      <c r="HC200" s="303">
        <f t="shared" ca="1" si="582"/>
        <v>0</v>
      </c>
      <c r="HD200" s="303">
        <f t="shared" ca="1" si="583"/>
        <v>0</v>
      </c>
      <c r="HE200" s="303">
        <f t="shared" ca="1" si="584"/>
        <v>0</v>
      </c>
      <c r="HF200" s="303">
        <f t="shared" ca="1" si="585"/>
        <v>0</v>
      </c>
      <c r="HG200" s="852">
        <f t="shared" ca="1" si="586"/>
        <v>0</v>
      </c>
    </row>
    <row r="201" spans="1:215" x14ac:dyDescent="0.25">
      <c r="A201" s="244">
        <f t="shared" ca="1" si="587"/>
        <v>42217</v>
      </c>
      <c r="B201" s="13">
        <f t="shared" ca="1" si="620"/>
        <v>2015</v>
      </c>
      <c r="C201" s="619">
        <f t="shared" ca="1" si="621"/>
        <v>8</v>
      </c>
      <c r="D201" s="195" t="str">
        <f t="shared" ca="1" si="417"/>
        <v/>
      </c>
      <c r="E201" s="469" t="str">
        <f t="shared" ca="1" si="418"/>
        <v/>
      </c>
      <c r="F201" s="465" t="str">
        <f t="shared" ca="1" si="419"/>
        <v/>
      </c>
      <c r="G201" s="522">
        <f t="shared" ca="1" si="588"/>
        <v>1</v>
      </c>
      <c r="H201" s="519">
        <f t="shared" ca="1" si="589"/>
        <v>1</v>
      </c>
      <c r="I201" s="724">
        <f t="shared" ca="1" si="622"/>
        <v>7.4185869020203007E-2</v>
      </c>
      <c r="J201" s="198">
        <f t="shared" ca="1" si="421"/>
        <v>0.32213572743580404</v>
      </c>
      <c r="K201" s="200">
        <f t="shared" ca="1" si="597"/>
        <v>77</v>
      </c>
      <c r="L201" s="201">
        <f t="shared" ca="1" si="598"/>
        <v>82</v>
      </c>
      <c r="M201" s="206">
        <f t="shared" ca="1" si="599"/>
        <v>87</v>
      </c>
      <c r="N201" s="851">
        <f t="shared" ca="1" si="603"/>
        <v>40.17249908447269</v>
      </c>
      <c r="O201" s="201">
        <f t="shared" ca="1" si="604"/>
        <v>43.92249908447269</v>
      </c>
      <c r="P201" s="206">
        <f t="shared" ca="1" si="605"/>
        <v>47.67249908447269</v>
      </c>
      <c r="Q201" s="201">
        <f t="shared" ca="1" si="606"/>
        <v>28.345000839233403</v>
      </c>
      <c r="R201" s="201">
        <f t="shared" ca="1" si="607"/>
        <v>32.645000839233404</v>
      </c>
      <c r="S201" s="201">
        <f t="shared" ca="1" si="608"/>
        <v>36.945000839233401</v>
      </c>
      <c r="T201" s="851">
        <f t="shared" ca="1" si="600"/>
        <v>23.299998092651361</v>
      </c>
      <c r="U201" s="201">
        <f t="shared" ca="1" si="601"/>
        <v>25.799998092651361</v>
      </c>
      <c r="V201" s="206">
        <f t="shared" ca="1" si="602"/>
        <v>28.299998092651361</v>
      </c>
      <c r="W201" s="230">
        <f t="shared" ca="1" si="590"/>
        <v>9.7327733956981785E-2</v>
      </c>
      <c r="X201" s="231">
        <f t="shared" ca="1" si="591"/>
        <v>0.19465546791396357</v>
      </c>
      <c r="Y201" s="232">
        <f t="shared" ca="1" si="592"/>
        <v>0.29198320187094534</v>
      </c>
      <c r="Z201" s="231">
        <f t="shared" ca="1" si="612"/>
        <v>9.7327733956981785E-2</v>
      </c>
      <c r="AA201" s="231">
        <f t="shared" ca="1" si="613"/>
        <v>0.19465546791396357</v>
      </c>
      <c r="AB201" s="232">
        <f t="shared" ca="1" si="614"/>
        <v>0.29198320187094534</v>
      </c>
      <c r="AC201" s="231">
        <f t="shared" ca="1" si="615"/>
        <v>9.7327733956981785E-2</v>
      </c>
      <c r="AD201" s="231">
        <f t="shared" ca="1" si="616"/>
        <v>0.19465546791396357</v>
      </c>
      <c r="AE201" s="232">
        <f t="shared" ca="1" si="422"/>
        <v>0.29198320187094534</v>
      </c>
      <c r="AF201" s="231">
        <f t="shared" ca="1" si="593"/>
        <v>4.431414615872422E-2</v>
      </c>
      <c r="AG201" s="231">
        <f t="shared" ca="1" si="594"/>
        <v>8.862829231744844E-2</v>
      </c>
      <c r="AH201" s="232">
        <f t="shared" ca="1" si="595"/>
        <v>0.13294243847617265</v>
      </c>
      <c r="AI201" s="233">
        <f t="shared" ca="1" si="423"/>
        <v>2.65</v>
      </c>
      <c r="AJ201" s="233">
        <f t="shared" ca="1" si="424"/>
        <v>3</v>
      </c>
      <c r="AK201" s="234">
        <f t="shared" ca="1" si="425"/>
        <v>3.5</v>
      </c>
      <c r="AL201" s="919">
        <f t="shared" ca="1" si="426"/>
        <v>2.65</v>
      </c>
      <c r="AM201" s="233">
        <f t="shared" ca="1" si="427"/>
        <v>3</v>
      </c>
      <c r="AN201" s="234">
        <f t="shared" ca="1" si="428"/>
        <v>3.5</v>
      </c>
      <c r="AO201" s="233">
        <f t="shared" ca="1" si="429"/>
        <v>2.65</v>
      </c>
      <c r="AP201" s="233">
        <f t="shared" ca="1" si="430"/>
        <v>3</v>
      </c>
      <c r="AQ201" s="233">
        <f t="shared" ca="1" si="431"/>
        <v>3.5</v>
      </c>
      <c r="AR201" s="919">
        <f t="shared" ca="1" si="432"/>
        <v>0.6</v>
      </c>
      <c r="AS201" s="233">
        <f t="shared" ca="1" si="433"/>
        <v>0.75</v>
      </c>
      <c r="AT201" s="235">
        <f t="shared" ca="1" si="434"/>
        <v>0.95</v>
      </c>
      <c r="AU201" s="946">
        <f t="shared" si="435"/>
        <v>0.5</v>
      </c>
      <c r="AV201" s="13">
        <f t="shared" ca="1" si="436"/>
        <v>0</v>
      </c>
      <c r="AW201" s="210">
        <f t="shared" ca="1" si="437"/>
        <v>0</v>
      </c>
      <c r="AX201" s="210">
        <f t="shared" ca="1" si="438"/>
        <v>0</v>
      </c>
      <c r="AY201" s="210">
        <f t="shared" ca="1" si="439"/>
        <v>0</v>
      </c>
      <c r="AZ201" s="13">
        <f t="shared" ca="1" si="440"/>
        <v>0</v>
      </c>
      <c r="BA201" s="357">
        <f ca="1"/>
        <v>0</v>
      </c>
      <c r="BB201" s="925">
        <f ca="1"/>
        <v>0</v>
      </c>
      <c r="BC201" s="925">
        <f ca="1"/>
        <v>0</v>
      </c>
      <c r="BD201" s="928">
        <f ca="1"/>
        <v>0</v>
      </c>
      <c r="BE201" s="200">
        <f ca="1"/>
        <v>0</v>
      </c>
      <c r="BF201" s="851">
        <f ca="1"/>
        <v>0</v>
      </c>
      <c r="BG201" s="851">
        <f ca="1"/>
        <v>0</v>
      </c>
      <c r="BH201" s="933">
        <f ca="1"/>
        <v>0</v>
      </c>
      <c r="BI201" s="357">
        <f ca="1"/>
        <v>0</v>
      </c>
      <c r="BJ201" s="925">
        <f ca="1"/>
        <v>0</v>
      </c>
      <c r="BK201" s="925">
        <f ca="1"/>
        <v>0</v>
      </c>
      <c r="BL201" s="928">
        <f ca="1"/>
        <v>0</v>
      </c>
      <c r="BM201" s="200">
        <f ca="1"/>
        <v>0</v>
      </c>
      <c r="BN201" s="851">
        <f ca="1"/>
        <v>0</v>
      </c>
      <c r="BO201" s="851">
        <f ca="1"/>
        <v>0</v>
      </c>
      <c r="BP201" s="933">
        <f ca="1"/>
        <v>0</v>
      </c>
      <c r="BQ201" s="357">
        <f t="shared" ca="1" si="441"/>
        <v>0</v>
      </c>
      <c r="BR201" s="361">
        <f t="shared" ca="1" si="442"/>
        <v>0</v>
      </c>
      <c r="BS201" s="357">
        <f t="shared" ca="1" si="443"/>
        <v>0</v>
      </c>
      <c r="BT201" s="302">
        <f t="shared" ca="1" si="444"/>
        <v>0</v>
      </c>
      <c r="BU201" s="299">
        <f t="shared" ca="1" si="445"/>
        <v>0</v>
      </c>
      <c r="BV201" s="299">
        <f t="shared" ca="1" si="446"/>
        <v>0</v>
      </c>
      <c r="BW201" s="299">
        <f t="shared" ca="1" si="447"/>
        <v>0</v>
      </c>
      <c r="BX201" s="380">
        <f t="shared" ca="1" si="448"/>
        <v>15.41409993155373</v>
      </c>
      <c r="BY201" s="363">
        <f t="shared" ca="1" si="449"/>
        <v>0</v>
      </c>
      <c r="BZ201" s="353">
        <f t="shared" ca="1" si="450"/>
        <v>0</v>
      </c>
      <c r="CA201" s="353">
        <f t="shared" ca="1" si="451"/>
        <v>0</v>
      </c>
      <c r="CB201" s="353">
        <f t="shared" ca="1" si="452"/>
        <v>0</v>
      </c>
      <c r="CC201" s="353">
        <f t="shared" ca="1" si="453"/>
        <v>0</v>
      </c>
      <c r="CD201" s="353">
        <f t="shared" ca="1" si="454"/>
        <v>0</v>
      </c>
      <c r="CE201" s="302">
        <f t="shared" ca="1" si="455"/>
        <v>0</v>
      </c>
      <c r="CF201" s="299">
        <f t="shared" ca="1" si="456"/>
        <v>0</v>
      </c>
      <c r="CG201" s="299">
        <f t="shared" ca="1" si="457"/>
        <v>0</v>
      </c>
      <c r="CH201" s="299">
        <f t="shared" ca="1" si="458"/>
        <v>0</v>
      </c>
      <c r="CI201" s="299">
        <f t="shared" ca="1" si="459"/>
        <v>0</v>
      </c>
      <c r="CJ201" s="299">
        <f t="shared" ca="1" si="460"/>
        <v>0</v>
      </c>
      <c r="CK201" s="299">
        <f t="shared" ca="1" si="461"/>
        <v>0</v>
      </c>
      <c r="CL201" s="377" t="str">
        <f t="shared" ca="1" si="462"/>
        <v/>
      </c>
      <c r="CM201" s="305" t="str">
        <f t="shared" ca="1" si="463"/>
        <v/>
      </c>
      <c r="CN201" s="305" t="str">
        <f t="shared" ca="1" si="464"/>
        <v/>
      </c>
      <c r="CO201" s="305" t="str">
        <f t="shared" ca="1" si="465"/>
        <v/>
      </c>
      <c r="CP201" s="305" t="str">
        <f t="shared" ca="1" si="466"/>
        <v/>
      </c>
      <c r="CQ201" s="305" t="str">
        <f t="shared" ca="1" si="467"/>
        <v/>
      </c>
      <c r="CR201" s="775" t="str">
        <f t="shared" ca="1" si="468"/>
        <v/>
      </c>
      <c r="CS201" s="305" t="str">
        <f t="shared" ca="1" si="469"/>
        <v/>
      </c>
      <c r="CT201" s="305" t="str">
        <f t="shared" ca="1" si="470"/>
        <v/>
      </c>
      <c r="CU201" s="305" t="str">
        <f t="shared" ca="1" si="471"/>
        <v/>
      </c>
      <c r="CV201" s="770" t="str">
        <f t="shared" ca="1" si="472"/>
        <v/>
      </c>
      <c r="CW201" s="302">
        <f t="shared" ca="1" si="473"/>
        <v>0</v>
      </c>
      <c r="CX201" s="299">
        <f t="shared" ca="1" si="474"/>
        <v>0</v>
      </c>
      <c r="CY201" s="299">
        <f t="shared" ca="1" si="475"/>
        <v>0</v>
      </c>
      <c r="CZ201" s="299">
        <f t="shared" ca="1" si="476"/>
        <v>0</v>
      </c>
      <c r="DA201" s="774">
        <f t="shared" ca="1" si="477"/>
        <v>0</v>
      </c>
      <c r="DB201" s="303">
        <f t="shared" ca="1" si="478"/>
        <v>0</v>
      </c>
      <c r="DC201" s="248">
        <f t="shared" ca="1" si="479"/>
        <v>0</v>
      </c>
      <c r="DD201" s="778">
        <f t="shared" ca="1" si="480"/>
        <v>0</v>
      </c>
      <c r="DE201" s="363">
        <f t="shared" ca="1" si="481"/>
        <v>0</v>
      </c>
      <c r="DF201" s="378" t="str">
        <f t="shared" ca="1" si="482"/>
        <v/>
      </c>
      <c r="DG201" s="508" t="str">
        <f t="shared" ca="1" si="483"/>
        <v/>
      </c>
      <c r="DH201" s="508" t="str">
        <f t="shared" ca="1" si="484"/>
        <v/>
      </c>
      <c r="DI201" s="508" t="str">
        <f t="shared" ca="1" si="485"/>
        <v/>
      </c>
      <c r="DJ201" s="508" t="str">
        <f t="shared" ca="1" si="486"/>
        <v/>
      </c>
      <c r="DK201" s="353">
        <f t="shared" ca="1" si="487"/>
        <v>0</v>
      </c>
      <c r="DL201" s="781">
        <f t="shared" ca="1" si="488"/>
        <v>0</v>
      </c>
      <c r="DM201" s="303">
        <f t="shared" ca="1" si="489"/>
        <v>0</v>
      </c>
      <c r="DN201" s="508" t="str">
        <f t="shared" ca="1" si="490"/>
        <v/>
      </c>
      <c r="DO201" s="508" t="str">
        <f t="shared" ca="1" si="491"/>
        <v/>
      </c>
      <c r="DP201" s="508" t="str">
        <f t="shared" ca="1" si="492"/>
        <v/>
      </c>
      <c r="DQ201" s="508" t="str">
        <f t="shared" ca="1" si="493"/>
        <v/>
      </c>
      <c r="DR201" s="508" t="str">
        <f t="shared" ca="1" si="494"/>
        <v/>
      </c>
      <c r="DS201" s="353">
        <f t="shared" ca="1" si="495"/>
        <v>0</v>
      </c>
      <c r="DT201" s="353">
        <f t="shared" ca="1" si="496"/>
        <v>0</v>
      </c>
      <c r="DU201" s="380">
        <f t="shared" ca="1" si="596"/>
        <v>15.41409993155373</v>
      </c>
      <c r="DV201" s="303">
        <f t="shared" ca="1" si="497"/>
        <v>0</v>
      </c>
      <c r="DW201" s="303">
        <f t="shared" ca="1" si="498"/>
        <v>0</v>
      </c>
      <c r="DX201" s="303">
        <f t="shared" ca="1" si="499"/>
        <v>0</v>
      </c>
      <c r="DY201" s="303">
        <f t="shared" ca="1" si="500"/>
        <v>0</v>
      </c>
      <c r="DZ201" s="303">
        <f t="shared" ca="1" si="501"/>
        <v>0</v>
      </c>
      <c r="EA201" s="303">
        <f t="shared" ca="1" si="502"/>
        <v>0</v>
      </c>
      <c r="EB201" s="302">
        <f t="shared" ca="1" si="503"/>
        <v>0</v>
      </c>
      <c r="EC201" s="299">
        <f t="shared" ca="1" si="504"/>
        <v>0</v>
      </c>
      <c r="ED201" s="299">
        <f t="shared" ca="1" si="505"/>
        <v>0</v>
      </c>
      <c r="EE201" s="299">
        <f t="shared" ca="1" si="506"/>
        <v>0</v>
      </c>
      <c r="EF201" s="299">
        <f t="shared" ca="1" si="507"/>
        <v>0</v>
      </c>
      <c r="EG201" s="299">
        <f t="shared" ca="1" si="508"/>
        <v>0</v>
      </c>
      <c r="EH201" s="302">
        <f t="shared" ca="1" si="509"/>
        <v>0</v>
      </c>
      <c r="EI201" s="304" t="str">
        <f t="shared" ca="1" si="510"/>
        <v/>
      </c>
      <c r="EJ201" s="305" t="str">
        <f t="shared" ca="1" si="511"/>
        <v/>
      </c>
      <c r="EK201" s="305" t="str">
        <f t="shared" ca="1" si="512"/>
        <v/>
      </c>
      <c r="EL201" s="305" t="str">
        <f t="shared" ca="1" si="513"/>
        <v/>
      </c>
      <c r="EM201" s="305" t="str">
        <f t="shared" ca="1" si="514"/>
        <v/>
      </c>
      <c r="EN201" s="305" t="str">
        <f t="shared" ca="1" si="515"/>
        <v/>
      </c>
      <c r="EO201" s="305" t="str">
        <f t="shared" ca="1" si="516"/>
        <v/>
      </c>
      <c r="EP201" s="305" t="str">
        <f t="shared" ca="1" si="517"/>
        <v/>
      </c>
      <c r="EQ201" s="305" t="str">
        <f t="shared" ca="1" si="518"/>
        <v/>
      </c>
      <c r="ER201" s="305" t="str">
        <f t="shared" ca="1" si="519"/>
        <v/>
      </c>
      <c r="ES201" s="305" t="str">
        <f t="shared" ca="1" si="520"/>
        <v/>
      </c>
      <c r="ET201" s="299">
        <f t="shared" ca="1" si="521"/>
        <v>0</v>
      </c>
      <c r="EU201" s="302">
        <f t="shared" ca="1" si="522"/>
        <v>0</v>
      </c>
      <c r="EV201" s="304" t="str">
        <f t="shared" ca="1" si="523"/>
        <v/>
      </c>
      <c r="EW201" s="305" t="str">
        <f t="shared" ca="1" si="524"/>
        <v/>
      </c>
      <c r="EX201" s="305" t="str">
        <f t="shared" ca="1" si="525"/>
        <v/>
      </c>
      <c r="EY201" s="305" t="str">
        <f t="shared" ca="1" si="526"/>
        <v/>
      </c>
      <c r="EZ201" s="305" t="str">
        <f t="shared" ca="1" si="527"/>
        <v/>
      </c>
      <c r="FA201" s="305" t="str">
        <f t="shared" ca="1" si="528"/>
        <v/>
      </c>
      <c r="FB201" s="305" t="str">
        <f t="shared" ca="1" si="529"/>
        <v/>
      </c>
      <c r="FC201" s="305" t="str">
        <f t="shared" ca="1" si="530"/>
        <v/>
      </c>
      <c r="FD201" s="305" t="str">
        <f t="shared" ca="1" si="531"/>
        <v/>
      </c>
      <c r="FE201" s="305" t="str">
        <f t="shared" ca="1" si="532"/>
        <v/>
      </c>
      <c r="FF201" s="305" t="str">
        <f t="shared" ca="1" si="533"/>
        <v/>
      </c>
      <c r="FG201" s="299">
        <f t="shared" ca="1" si="534"/>
        <v>0</v>
      </c>
      <c r="FH201" s="302">
        <f t="shared" ca="1" si="535"/>
        <v>0</v>
      </c>
      <c r="FI201" s="248">
        <f t="shared" ca="1" si="536"/>
        <v>0</v>
      </c>
      <c r="FJ201" s="363">
        <f t="shared" ca="1" si="537"/>
        <v>0</v>
      </c>
      <c r="FK201" s="378" t="str">
        <f t="shared" ca="1" si="538"/>
        <v/>
      </c>
      <c r="FL201" s="508" t="str">
        <f t="shared" ca="1" si="539"/>
        <v/>
      </c>
      <c r="FM201" s="508" t="str">
        <f t="shared" ca="1" si="540"/>
        <v/>
      </c>
      <c r="FN201" s="508" t="str">
        <f t="shared" ca="1" si="541"/>
        <v/>
      </c>
      <c r="FO201" s="508" t="str">
        <f t="shared" ca="1" si="542"/>
        <v/>
      </c>
      <c r="FP201" s="353">
        <f t="shared" ca="1" si="543"/>
        <v>0</v>
      </c>
      <c r="FQ201" s="356">
        <f t="shared" ca="1" si="544"/>
        <v>0</v>
      </c>
      <c r="FR201" s="380">
        <f t="shared" ca="1" si="545"/>
        <v>0</v>
      </c>
      <c r="FS201" s="299">
        <f t="shared" ca="1" si="546"/>
        <v>0</v>
      </c>
      <c r="FT201" s="299">
        <f t="shared" ca="1" si="547"/>
        <v>0</v>
      </c>
      <c r="FU201" s="299">
        <f t="shared" ca="1" si="548"/>
        <v>0</v>
      </c>
      <c r="FV201" s="299">
        <f t="shared" ca="1" si="549"/>
        <v>0</v>
      </c>
      <c r="FW201" s="850" t="str">
        <f t="shared" ca="1" si="550"/>
        <v/>
      </c>
      <c r="FX201" s="851" t="str">
        <f t="shared" ca="1" si="551"/>
        <v/>
      </c>
      <c r="FY201" s="851" t="str">
        <f t="shared" ca="1" si="552"/>
        <v/>
      </c>
      <c r="FZ201" s="201" t="str">
        <f t="shared" ca="1" si="553"/>
        <v/>
      </c>
      <c r="GA201" s="201" t="str">
        <f t="shared" ca="1" si="554"/>
        <v/>
      </c>
      <c r="GB201" s="201" t="str">
        <f t="shared" ca="1" si="555"/>
        <v/>
      </c>
      <c r="GC201" s="201" t="str">
        <f t="shared" ca="1" si="556"/>
        <v/>
      </c>
      <c r="GD201" s="850" t="str">
        <f t="shared" ca="1" si="557"/>
        <v/>
      </c>
      <c r="GE201" s="866" t="str">
        <f t="shared" ca="1" si="558"/>
        <v/>
      </c>
      <c r="GF201" s="866" t="str">
        <f t="shared" ca="1" si="559"/>
        <v/>
      </c>
      <c r="GG201" s="866" t="str">
        <f t="shared" ca="1" si="560"/>
        <v/>
      </c>
      <c r="GH201" s="866" t="str">
        <f t="shared" ca="1" si="561"/>
        <v/>
      </c>
      <c r="GI201" s="302">
        <f t="shared" ca="1" si="562"/>
        <v>0</v>
      </c>
      <c r="GJ201" s="299">
        <f t="shared" ca="1" si="563"/>
        <v>0</v>
      </c>
      <c r="GK201" s="299">
        <f t="shared" ca="1" si="564"/>
        <v>0</v>
      </c>
      <c r="GL201" s="299">
        <f t="shared" ca="1" si="565"/>
        <v>0</v>
      </c>
      <c r="GM201" s="299">
        <f t="shared" ca="1" si="566"/>
        <v>0</v>
      </c>
      <c r="GN201" s="302">
        <f t="shared" ca="1" si="567"/>
        <v>0</v>
      </c>
      <c r="GO201" s="299">
        <f t="shared" ca="1" si="568"/>
        <v>0</v>
      </c>
      <c r="GP201" s="299">
        <f t="shared" ca="1" si="569"/>
        <v>0</v>
      </c>
      <c r="GQ201" s="299">
        <f t="shared" ca="1" si="570"/>
        <v>0</v>
      </c>
      <c r="GR201" s="299">
        <f t="shared" ca="1" si="571"/>
        <v>0</v>
      </c>
      <c r="GS201" s="302">
        <f t="shared" ca="1" si="572"/>
        <v>0</v>
      </c>
      <c r="GT201" s="299">
        <f t="shared" ca="1" si="573"/>
        <v>0</v>
      </c>
      <c r="GU201" s="299">
        <f t="shared" ca="1" si="574"/>
        <v>0</v>
      </c>
      <c r="GV201" s="299">
        <f t="shared" ca="1" si="575"/>
        <v>0</v>
      </c>
      <c r="GW201" s="299">
        <f t="shared" ca="1" si="576"/>
        <v>0</v>
      </c>
      <c r="GX201" s="303">
        <f t="shared" ca="1" si="577"/>
        <v>0</v>
      </c>
      <c r="GY201" s="303">
        <f t="shared" ca="1" si="578"/>
        <v>0</v>
      </c>
      <c r="GZ201" s="303">
        <f t="shared" ca="1" si="579"/>
        <v>0</v>
      </c>
      <c r="HA201" s="303">
        <f t="shared" ca="1" si="580"/>
        <v>0</v>
      </c>
      <c r="HB201" s="303">
        <f t="shared" ca="1" si="581"/>
        <v>0</v>
      </c>
      <c r="HC201" s="303">
        <f t="shared" ca="1" si="582"/>
        <v>0</v>
      </c>
      <c r="HD201" s="303">
        <f t="shared" ca="1" si="583"/>
        <v>0</v>
      </c>
      <c r="HE201" s="303">
        <f t="shared" ca="1" si="584"/>
        <v>0</v>
      </c>
      <c r="HF201" s="303">
        <f t="shared" ca="1" si="585"/>
        <v>0</v>
      </c>
      <c r="HG201" s="852">
        <f t="shared" ca="1" si="586"/>
        <v>0</v>
      </c>
    </row>
    <row r="202" spans="1:215" x14ac:dyDescent="0.25">
      <c r="A202" s="244">
        <f t="shared" ca="1" si="587"/>
        <v>42248</v>
      </c>
      <c r="B202" s="13">
        <f t="shared" ca="1" si="620"/>
        <v>2015</v>
      </c>
      <c r="C202" s="619">
        <f t="shared" ca="1" si="621"/>
        <v>9</v>
      </c>
      <c r="D202" s="195">
        <f t="shared" ca="1" si="417"/>
        <v>42254</v>
      </c>
      <c r="E202" s="469" t="str">
        <f t="shared" ca="1" si="418"/>
        <v/>
      </c>
      <c r="F202" s="465" t="str">
        <f t="shared" ca="1" si="419"/>
        <v/>
      </c>
      <c r="G202" s="522">
        <f t="shared" ca="1" si="588"/>
        <v>1</v>
      </c>
      <c r="H202" s="519">
        <f t="shared" ca="1" si="589"/>
        <v>1</v>
      </c>
      <c r="I202" s="724">
        <f t="shared" ca="1" si="622"/>
        <v>7.4185574302323004E-2</v>
      </c>
      <c r="J202" s="198">
        <f t="shared" ca="1" si="421"/>
        <v>0.32021556445806659</v>
      </c>
      <c r="K202" s="200">
        <f t="shared" ca="1" si="597"/>
        <v>32.85</v>
      </c>
      <c r="L202" s="201">
        <f t="shared" ca="1" si="598"/>
        <v>34.950000000000003</v>
      </c>
      <c r="M202" s="206">
        <f t="shared" ca="1" si="599"/>
        <v>37.049999999999997</v>
      </c>
      <c r="N202" s="851">
        <f t="shared" ca="1" si="603"/>
        <v>23.729999160766592</v>
      </c>
      <c r="O202" s="201">
        <f t="shared" ca="1" si="604"/>
        <v>25.304999160766592</v>
      </c>
      <c r="P202" s="206">
        <f t="shared" ca="1" si="605"/>
        <v>26.879999160766591</v>
      </c>
      <c r="Q202" s="201">
        <f t="shared" ca="1" si="606"/>
        <v>21.5</v>
      </c>
      <c r="R202" s="201">
        <f t="shared" ca="1" si="607"/>
        <v>25.8</v>
      </c>
      <c r="S202" s="201">
        <f t="shared" ca="1" si="608"/>
        <v>30.1</v>
      </c>
      <c r="T202" s="851">
        <f t="shared" ca="1" si="600"/>
        <v>20.299998092651361</v>
      </c>
      <c r="U202" s="201">
        <f t="shared" ca="1" si="601"/>
        <v>21.349998092651362</v>
      </c>
      <c r="V202" s="206">
        <f t="shared" ca="1" si="602"/>
        <v>22.399998092651362</v>
      </c>
      <c r="W202" s="230">
        <f t="shared" ca="1" si="590"/>
        <v>6.4409672866683559E-2</v>
      </c>
      <c r="X202" s="231">
        <f t="shared" ca="1" si="591"/>
        <v>0.12881934573336712</v>
      </c>
      <c r="Y202" s="232">
        <f t="shared" ca="1" si="592"/>
        <v>0.19322901860005068</v>
      </c>
      <c r="Z202" s="231">
        <f t="shared" ca="1" si="612"/>
        <v>6.4409672866683559E-2</v>
      </c>
      <c r="AA202" s="231">
        <f t="shared" ca="1" si="613"/>
        <v>0.12881934573336712</v>
      </c>
      <c r="AB202" s="232">
        <f t="shared" ca="1" si="614"/>
        <v>0.19322901860005068</v>
      </c>
      <c r="AC202" s="231">
        <f t="shared" ca="1" si="615"/>
        <v>6.4409672866683559E-2</v>
      </c>
      <c r="AD202" s="231">
        <f t="shared" ca="1" si="616"/>
        <v>0.12881934573336712</v>
      </c>
      <c r="AE202" s="232">
        <f t="shared" ca="1" si="422"/>
        <v>0.19322901860005068</v>
      </c>
      <c r="AF202" s="231">
        <f t="shared" ca="1" si="593"/>
        <v>2.9542764105816147E-2</v>
      </c>
      <c r="AG202" s="231">
        <f t="shared" ca="1" si="594"/>
        <v>5.9085528211632293E-2</v>
      </c>
      <c r="AH202" s="232">
        <f t="shared" ca="1" si="595"/>
        <v>8.862829231744844E-2</v>
      </c>
      <c r="AI202" s="233">
        <f t="shared" ca="1" si="423"/>
        <v>1.1499999999999999</v>
      </c>
      <c r="AJ202" s="233">
        <f t="shared" ca="1" si="424"/>
        <v>1.5</v>
      </c>
      <c r="AK202" s="234">
        <f t="shared" ca="1" si="425"/>
        <v>1.8</v>
      </c>
      <c r="AL202" s="919">
        <f t="shared" ca="1" si="426"/>
        <v>1.1499999999999999</v>
      </c>
      <c r="AM202" s="233">
        <f t="shared" ca="1" si="427"/>
        <v>1.5</v>
      </c>
      <c r="AN202" s="234">
        <f t="shared" ca="1" si="428"/>
        <v>1.8</v>
      </c>
      <c r="AO202" s="233">
        <f t="shared" ca="1" si="429"/>
        <v>1.1499999999999999</v>
      </c>
      <c r="AP202" s="233">
        <f t="shared" ca="1" si="430"/>
        <v>1.5</v>
      </c>
      <c r="AQ202" s="233">
        <f t="shared" ca="1" si="431"/>
        <v>1.8</v>
      </c>
      <c r="AR202" s="919">
        <f t="shared" ca="1" si="432"/>
        <v>0.25</v>
      </c>
      <c r="AS202" s="233">
        <f t="shared" ca="1" si="433"/>
        <v>0.4</v>
      </c>
      <c r="AT202" s="235">
        <f t="shared" ca="1" si="434"/>
        <v>0.60000000000000009</v>
      </c>
      <c r="AU202" s="946">
        <f t="shared" si="435"/>
        <v>0.5</v>
      </c>
      <c r="AV202" s="13">
        <f t="shared" ca="1" si="436"/>
        <v>0</v>
      </c>
      <c r="AW202" s="210">
        <f t="shared" ca="1" si="437"/>
        <v>0</v>
      </c>
      <c r="AX202" s="210">
        <f t="shared" ca="1" si="438"/>
        <v>0</v>
      </c>
      <c r="AY202" s="210">
        <f t="shared" ca="1" si="439"/>
        <v>0</v>
      </c>
      <c r="AZ202" s="13">
        <f t="shared" ca="1" si="440"/>
        <v>0</v>
      </c>
      <c r="BA202" s="357">
        <f ca="1"/>
        <v>0</v>
      </c>
      <c r="BB202" s="925">
        <f ca="1"/>
        <v>0</v>
      </c>
      <c r="BC202" s="925">
        <f ca="1"/>
        <v>0</v>
      </c>
      <c r="BD202" s="928">
        <f ca="1"/>
        <v>0</v>
      </c>
      <c r="BE202" s="200">
        <f ca="1"/>
        <v>0</v>
      </c>
      <c r="BF202" s="851">
        <f ca="1"/>
        <v>0</v>
      </c>
      <c r="BG202" s="851">
        <f ca="1"/>
        <v>0</v>
      </c>
      <c r="BH202" s="933">
        <f ca="1"/>
        <v>0</v>
      </c>
      <c r="BI202" s="357">
        <f ca="1"/>
        <v>0</v>
      </c>
      <c r="BJ202" s="925">
        <f ca="1"/>
        <v>0</v>
      </c>
      <c r="BK202" s="925">
        <f ca="1"/>
        <v>0</v>
      </c>
      <c r="BL202" s="928">
        <f ca="1"/>
        <v>0</v>
      </c>
      <c r="BM202" s="200">
        <f ca="1"/>
        <v>0</v>
      </c>
      <c r="BN202" s="851">
        <f ca="1"/>
        <v>0</v>
      </c>
      <c r="BO202" s="851">
        <f ca="1"/>
        <v>0</v>
      </c>
      <c r="BP202" s="933">
        <f ca="1"/>
        <v>0</v>
      </c>
      <c r="BQ202" s="357">
        <f t="shared" ca="1" si="441"/>
        <v>0</v>
      </c>
      <c r="BR202" s="361">
        <f t="shared" ca="1" si="442"/>
        <v>0</v>
      </c>
      <c r="BS202" s="357">
        <f t="shared" ca="1" si="443"/>
        <v>0</v>
      </c>
      <c r="BT202" s="302">
        <f t="shared" ca="1" si="444"/>
        <v>0</v>
      </c>
      <c r="BU202" s="299">
        <f t="shared" ca="1" si="445"/>
        <v>0</v>
      </c>
      <c r="BV202" s="299">
        <f t="shared" ca="1" si="446"/>
        <v>0</v>
      </c>
      <c r="BW202" s="299">
        <f t="shared" ca="1" si="447"/>
        <v>0</v>
      </c>
      <c r="BX202" s="380">
        <f t="shared" ca="1" si="448"/>
        <v>15.498973305954825</v>
      </c>
      <c r="BY202" s="363">
        <f t="shared" ca="1" si="449"/>
        <v>0</v>
      </c>
      <c r="BZ202" s="353">
        <f t="shared" ca="1" si="450"/>
        <v>0</v>
      </c>
      <c r="CA202" s="353">
        <f t="shared" ca="1" si="451"/>
        <v>0</v>
      </c>
      <c r="CB202" s="353">
        <f t="shared" ca="1" si="452"/>
        <v>0</v>
      </c>
      <c r="CC202" s="353">
        <f t="shared" ca="1" si="453"/>
        <v>0</v>
      </c>
      <c r="CD202" s="353">
        <f t="shared" ca="1" si="454"/>
        <v>0</v>
      </c>
      <c r="CE202" s="302">
        <f t="shared" ca="1" si="455"/>
        <v>0</v>
      </c>
      <c r="CF202" s="299">
        <f t="shared" ca="1" si="456"/>
        <v>0</v>
      </c>
      <c r="CG202" s="299">
        <f t="shared" ca="1" si="457"/>
        <v>0</v>
      </c>
      <c r="CH202" s="299">
        <f t="shared" ca="1" si="458"/>
        <v>0</v>
      </c>
      <c r="CI202" s="299">
        <f t="shared" ca="1" si="459"/>
        <v>0</v>
      </c>
      <c r="CJ202" s="299">
        <f t="shared" ca="1" si="460"/>
        <v>0</v>
      </c>
      <c r="CK202" s="299">
        <f t="shared" ca="1" si="461"/>
        <v>0</v>
      </c>
      <c r="CL202" s="377" t="str">
        <f t="shared" ca="1" si="462"/>
        <v/>
      </c>
      <c r="CM202" s="305" t="str">
        <f t="shared" ca="1" si="463"/>
        <v/>
      </c>
      <c r="CN202" s="305" t="str">
        <f t="shared" ca="1" si="464"/>
        <v/>
      </c>
      <c r="CO202" s="305" t="str">
        <f t="shared" ca="1" si="465"/>
        <v/>
      </c>
      <c r="CP202" s="305" t="str">
        <f t="shared" ca="1" si="466"/>
        <v/>
      </c>
      <c r="CQ202" s="305" t="str">
        <f t="shared" ca="1" si="467"/>
        <v/>
      </c>
      <c r="CR202" s="775" t="str">
        <f t="shared" ca="1" si="468"/>
        <v/>
      </c>
      <c r="CS202" s="305" t="str">
        <f t="shared" ca="1" si="469"/>
        <v/>
      </c>
      <c r="CT202" s="305" t="str">
        <f t="shared" ca="1" si="470"/>
        <v/>
      </c>
      <c r="CU202" s="305" t="str">
        <f t="shared" ca="1" si="471"/>
        <v/>
      </c>
      <c r="CV202" s="770" t="str">
        <f t="shared" ca="1" si="472"/>
        <v/>
      </c>
      <c r="CW202" s="302">
        <f t="shared" ca="1" si="473"/>
        <v>0</v>
      </c>
      <c r="CX202" s="299">
        <f t="shared" ca="1" si="474"/>
        <v>0</v>
      </c>
      <c r="CY202" s="299">
        <f t="shared" ca="1" si="475"/>
        <v>0</v>
      </c>
      <c r="CZ202" s="299">
        <f t="shared" ca="1" si="476"/>
        <v>0</v>
      </c>
      <c r="DA202" s="774">
        <f t="shared" ca="1" si="477"/>
        <v>0</v>
      </c>
      <c r="DB202" s="303">
        <f t="shared" ca="1" si="478"/>
        <v>0</v>
      </c>
      <c r="DC202" s="248">
        <f t="shared" ca="1" si="479"/>
        <v>0</v>
      </c>
      <c r="DD202" s="778">
        <f t="shared" ca="1" si="480"/>
        <v>0</v>
      </c>
      <c r="DE202" s="363">
        <f t="shared" ca="1" si="481"/>
        <v>0</v>
      </c>
      <c r="DF202" s="378" t="str">
        <f t="shared" ca="1" si="482"/>
        <v/>
      </c>
      <c r="DG202" s="508" t="str">
        <f t="shared" ca="1" si="483"/>
        <v/>
      </c>
      <c r="DH202" s="508" t="str">
        <f t="shared" ca="1" si="484"/>
        <v/>
      </c>
      <c r="DI202" s="508" t="str">
        <f t="shared" ca="1" si="485"/>
        <v/>
      </c>
      <c r="DJ202" s="508" t="str">
        <f t="shared" ca="1" si="486"/>
        <v/>
      </c>
      <c r="DK202" s="353">
        <f t="shared" ca="1" si="487"/>
        <v>0</v>
      </c>
      <c r="DL202" s="781">
        <f t="shared" ca="1" si="488"/>
        <v>0</v>
      </c>
      <c r="DM202" s="303">
        <f t="shared" ca="1" si="489"/>
        <v>0</v>
      </c>
      <c r="DN202" s="508" t="str">
        <f t="shared" ca="1" si="490"/>
        <v/>
      </c>
      <c r="DO202" s="508" t="str">
        <f t="shared" ca="1" si="491"/>
        <v/>
      </c>
      <c r="DP202" s="508" t="str">
        <f t="shared" ca="1" si="492"/>
        <v/>
      </c>
      <c r="DQ202" s="508" t="str">
        <f t="shared" ca="1" si="493"/>
        <v/>
      </c>
      <c r="DR202" s="508" t="str">
        <f t="shared" ca="1" si="494"/>
        <v/>
      </c>
      <c r="DS202" s="353">
        <f t="shared" ca="1" si="495"/>
        <v>0</v>
      </c>
      <c r="DT202" s="353">
        <f t="shared" ca="1" si="496"/>
        <v>0</v>
      </c>
      <c r="DU202" s="380">
        <f t="shared" ca="1" si="596"/>
        <v>15.498973305954825</v>
      </c>
      <c r="DV202" s="303">
        <f t="shared" ca="1" si="497"/>
        <v>0</v>
      </c>
      <c r="DW202" s="303">
        <f t="shared" ca="1" si="498"/>
        <v>0</v>
      </c>
      <c r="DX202" s="303">
        <f t="shared" ca="1" si="499"/>
        <v>0</v>
      </c>
      <c r="DY202" s="303">
        <f t="shared" ca="1" si="500"/>
        <v>0</v>
      </c>
      <c r="DZ202" s="303">
        <f t="shared" ca="1" si="501"/>
        <v>0</v>
      </c>
      <c r="EA202" s="303">
        <f t="shared" ca="1" si="502"/>
        <v>0</v>
      </c>
      <c r="EB202" s="302">
        <f t="shared" ca="1" si="503"/>
        <v>0</v>
      </c>
      <c r="EC202" s="299">
        <f t="shared" ca="1" si="504"/>
        <v>0</v>
      </c>
      <c r="ED202" s="299">
        <f t="shared" ca="1" si="505"/>
        <v>0</v>
      </c>
      <c r="EE202" s="299">
        <f t="shared" ca="1" si="506"/>
        <v>0</v>
      </c>
      <c r="EF202" s="299">
        <f t="shared" ca="1" si="507"/>
        <v>0</v>
      </c>
      <c r="EG202" s="299">
        <f t="shared" ca="1" si="508"/>
        <v>0</v>
      </c>
      <c r="EH202" s="302">
        <f t="shared" ca="1" si="509"/>
        <v>0</v>
      </c>
      <c r="EI202" s="304" t="str">
        <f t="shared" ca="1" si="510"/>
        <v/>
      </c>
      <c r="EJ202" s="305" t="str">
        <f t="shared" ca="1" si="511"/>
        <v/>
      </c>
      <c r="EK202" s="305" t="str">
        <f t="shared" ca="1" si="512"/>
        <v/>
      </c>
      <c r="EL202" s="305" t="str">
        <f t="shared" ca="1" si="513"/>
        <v/>
      </c>
      <c r="EM202" s="305" t="str">
        <f t="shared" ca="1" si="514"/>
        <v/>
      </c>
      <c r="EN202" s="305" t="str">
        <f t="shared" ca="1" si="515"/>
        <v/>
      </c>
      <c r="EO202" s="305" t="str">
        <f t="shared" ca="1" si="516"/>
        <v/>
      </c>
      <c r="EP202" s="305" t="str">
        <f t="shared" ca="1" si="517"/>
        <v/>
      </c>
      <c r="EQ202" s="305" t="str">
        <f t="shared" ca="1" si="518"/>
        <v/>
      </c>
      <c r="ER202" s="305" t="str">
        <f t="shared" ca="1" si="519"/>
        <v/>
      </c>
      <c r="ES202" s="305" t="str">
        <f t="shared" ca="1" si="520"/>
        <v/>
      </c>
      <c r="ET202" s="299">
        <f t="shared" ca="1" si="521"/>
        <v>0</v>
      </c>
      <c r="EU202" s="302">
        <f t="shared" ca="1" si="522"/>
        <v>0</v>
      </c>
      <c r="EV202" s="304" t="str">
        <f t="shared" ca="1" si="523"/>
        <v/>
      </c>
      <c r="EW202" s="305" t="str">
        <f t="shared" ca="1" si="524"/>
        <v/>
      </c>
      <c r="EX202" s="305" t="str">
        <f t="shared" ca="1" si="525"/>
        <v/>
      </c>
      <c r="EY202" s="305" t="str">
        <f t="shared" ca="1" si="526"/>
        <v/>
      </c>
      <c r="EZ202" s="305" t="str">
        <f t="shared" ca="1" si="527"/>
        <v/>
      </c>
      <c r="FA202" s="305" t="str">
        <f t="shared" ca="1" si="528"/>
        <v/>
      </c>
      <c r="FB202" s="305" t="str">
        <f t="shared" ca="1" si="529"/>
        <v/>
      </c>
      <c r="FC202" s="305" t="str">
        <f t="shared" ca="1" si="530"/>
        <v/>
      </c>
      <c r="FD202" s="305" t="str">
        <f t="shared" ca="1" si="531"/>
        <v/>
      </c>
      <c r="FE202" s="305" t="str">
        <f t="shared" ca="1" si="532"/>
        <v/>
      </c>
      <c r="FF202" s="305" t="str">
        <f t="shared" ca="1" si="533"/>
        <v/>
      </c>
      <c r="FG202" s="299">
        <f t="shared" ca="1" si="534"/>
        <v>0</v>
      </c>
      <c r="FH202" s="302">
        <f t="shared" ca="1" si="535"/>
        <v>0</v>
      </c>
      <c r="FI202" s="248">
        <f t="shared" ca="1" si="536"/>
        <v>0</v>
      </c>
      <c r="FJ202" s="363">
        <f t="shared" ca="1" si="537"/>
        <v>0</v>
      </c>
      <c r="FK202" s="378" t="str">
        <f t="shared" ca="1" si="538"/>
        <v/>
      </c>
      <c r="FL202" s="508" t="str">
        <f t="shared" ca="1" si="539"/>
        <v/>
      </c>
      <c r="FM202" s="508" t="str">
        <f t="shared" ca="1" si="540"/>
        <v/>
      </c>
      <c r="FN202" s="508" t="str">
        <f t="shared" ca="1" si="541"/>
        <v/>
      </c>
      <c r="FO202" s="508" t="str">
        <f t="shared" ca="1" si="542"/>
        <v/>
      </c>
      <c r="FP202" s="353">
        <f t="shared" ca="1" si="543"/>
        <v>0</v>
      </c>
      <c r="FQ202" s="356">
        <f t="shared" ca="1" si="544"/>
        <v>0</v>
      </c>
      <c r="FR202" s="380">
        <f t="shared" ca="1" si="545"/>
        <v>0</v>
      </c>
      <c r="FS202" s="299">
        <f t="shared" ca="1" si="546"/>
        <v>0</v>
      </c>
      <c r="FT202" s="299">
        <f t="shared" ca="1" si="547"/>
        <v>0</v>
      </c>
      <c r="FU202" s="299">
        <f t="shared" ca="1" si="548"/>
        <v>0</v>
      </c>
      <c r="FV202" s="299">
        <f t="shared" ca="1" si="549"/>
        <v>0</v>
      </c>
      <c r="FW202" s="850" t="str">
        <f t="shared" ca="1" si="550"/>
        <v/>
      </c>
      <c r="FX202" s="851" t="str">
        <f t="shared" ca="1" si="551"/>
        <v/>
      </c>
      <c r="FY202" s="851" t="str">
        <f t="shared" ca="1" si="552"/>
        <v/>
      </c>
      <c r="FZ202" s="201" t="str">
        <f t="shared" ca="1" si="553"/>
        <v/>
      </c>
      <c r="GA202" s="201" t="str">
        <f t="shared" ca="1" si="554"/>
        <v/>
      </c>
      <c r="GB202" s="201" t="str">
        <f t="shared" ca="1" si="555"/>
        <v/>
      </c>
      <c r="GC202" s="201" t="str">
        <f t="shared" ca="1" si="556"/>
        <v/>
      </c>
      <c r="GD202" s="850" t="str">
        <f t="shared" ca="1" si="557"/>
        <v/>
      </c>
      <c r="GE202" s="866" t="str">
        <f t="shared" ca="1" si="558"/>
        <v/>
      </c>
      <c r="GF202" s="866" t="str">
        <f t="shared" ca="1" si="559"/>
        <v/>
      </c>
      <c r="GG202" s="866" t="str">
        <f t="shared" ca="1" si="560"/>
        <v/>
      </c>
      <c r="GH202" s="866" t="str">
        <f t="shared" ca="1" si="561"/>
        <v/>
      </c>
      <c r="GI202" s="302">
        <f t="shared" ca="1" si="562"/>
        <v>0</v>
      </c>
      <c r="GJ202" s="299">
        <f t="shared" ca="1" si="563"/>
        <v>0</v>
      </c>
      <c r="GK202" s="299">
        <f t="shared" ca="1" si="564"/>
        <v>0</v>
      </c>
      <c r="GL202" s="299">
        <f t="shared" ca="1" si="565"/>
        <v>0</v>
      </c>
      <c r="GM202" s="299">
        <f t="shared" ca="1" si="566"/>
        <v>0</v>
      </c>
      <c r="GN202" s="302">
        <f t="shared" ca="1" si="567"/>
        <v>0</v>
      </c>
      <c r="GO202" s="299">
        <f t="shared" ca="1" si="568"/>
        <v>0</v>
      </c>
      <c r="GP202" s="299">
        <f t="shared" ca="1" si="569"/>
        <v>0</v>
      </c>
      <c r="GQ202" s="299">
        <f t="shared" ca="1" si="570"/>
        <v>0</v>
      </c>
      <c r="GR202" s="299">
        <f t="shared" ca="1" si="571"/>
        <v>0</v>
      </c>
      <c r="GS202" s="302">
        <f t="shared" ca="1" si="572"/>
        <v>0</v>
      </c>
      <c r="GT202" s="299">
        <f t="shared" ca="1" si="573"/>
        <v>0</v>
      </c>
      <c r="GU202" s="299">
        <f t="shared" ca="1" si="574"/>
        <v>0</v>
      </c>
      <c r="GV202" s="299">
        <f t="shared" ca="1" si="575"/>
        <v>0</v>
      </c>
      <c r="GW202" s="299">
        <f t="shared" ca="1" si="576"/>
        <v>0</v>
      </c>
      <c r="GX202" s="303">
        <f t="shared" ca="1" si="577"/>
        <v>0</v>
      </c>
      <c r="GY202" s="303">
        <f t="shared" ca="1" si="578"/>
        <v>0</v>
      </c>
      <c r="GZ202" s="303">
        <f t="shared" ca="1" si="579"/>
        <v>0</v>
      </c>
      <c r="HA202" s="303">
        <f t="shared" ca="1" si="580"/>
        <v>0</v>
      </c>
      <c r="HB202" s="303">
        <f t="shared" ca="1" si="581"/>
        <v>0</v>
      </c>
      <c r="HC202" s="303">
        <f t="shared" ca="1" si="582"/>
        <v>0</v>
      </c>
      <c r="HD202" s="303">
        <f t="shared" ca="1" si="583"/>
        <v>0</v>
      </c>
      <c r="HE202" s="303">
        <f t="shared" ca="1" si="584"/>
        <v>0</v>
      </c>
      <c r="HF202" s="303">
        <f t="shared" ca="1" si="585"/>
        <v>0</v>
      </c>
      <c r="HG202" s="852">
        <f t="shared" ca="1" si="586"/>
        <v>0</v>
      </c>
    </row>
    <row r="203" spans="1:215" x14ac:dyDescent="0.25">
      <c r="A203" s="244">
        <f t="shared" ca="1" si="587"/>
        <v>42278</v>
      </c>
      <c r="B203" s="13">
        <f t="shared" ca="1" si="620"/>
        <v>2015</v>
      </c>
      <c r="C203" s="619">
        <f t="shared" ca="1" si="621"/>
        <v>10</v>
      </c>
      <c r="D203" s="195" t="str">
        <f t="shared" ca="1" si="417"/>
        <v/>
      </c>
      <c r="E203" s="469" t="str">
        <f t="shared" ca="1" si="418"/>
        <v/>
      </c>
      <c r="F203" s="465" t="str">
        <f t="shared" ca="1" si="419"/>
        <v/>
      </c>
      <c r="G203" s="522">
        <f t="shared" ca="1" si="588"/>
        <v>1</v>
      </c>
      <c r="H203" s="519">
        <f t="shared" ca="1" si="589"/>
        <v>1</v>
      </c>
      <c r="I203" s="724">
        <f t="shared" ca="1" si="622"/>
        <v>7.4185289091471013E-2</v>
      </c>
      <c r="J203" s="198">
        <f t="shared" ca="1" si="421"/>
        <v>0.31824334182322239</v>
      </c>
      <c r="K203" s="200">
        <f t="shared" ca="1" si="597"/>
        <v>30.75</v>
      </c>
      <c r="L203" s="201">
        <f t="shared" ca="1" si="598"/>
        <v>32.700000000000003</v>
      </c>
      <c r="M203" s="206">
        <f t="shared" ca="1" si="599"/>
        <v>34.65</v>
      </c>
      <c r="N203" s="851">
        <f t="shared" ca="1" si="603"/>
        <v>23.938000106811515</v>
      </c>
      <c r="O203" s="201">
        <f t="shared" ca="1" si="604"/>
        <v>25.400500106811513</v>
      </c>
      <c r="P203" s="206">
        <f t="shared" ca="1" si="605"/>
        <v>26.863000106811512</v>
      </c>
      <c r="Q203" s="201">
        <f t="shared" ca="1" si="606"/>
        <v>19.10099983215331</v>
      </c>
      <c r="R203" s="201">
        <f t="shared" ca="1" si="607"/>
        <v>23.40099983215331</v>
      </c>
      <c r="S203" s="201">
        <f t="shared" ca="1" si="608"/>
        <v>27.700999832153311</v>
      </c>
      <c r="T203" s="851">
        <f t="shared" ca="1" si="600"/>
        <v>20.074998855590813</v>
      </c>
      <c r="U203" s="201">
        <f t="shared" ca="1" si="601"/>
        <v>21.049998855590815</v>
      </c>
      <c r="V203" s="206">
        <f t="shared" ca="1" si="602"/>
        <v>22.024998855590816</v>
      </c>
      <c r="W203" s="230">
        <f t="shared" ca="1" si="590"/>
        <v>5.8594148740730878E-2</v>
      </c>
      <c r="X203" s="231">
        <f t="shared" ca="1" si="591"/>
        <v>0.11718829748146176</v>
      </c>
      <c r="Y203" s="232">
        <f t="shared" ca="1" si="592"/>
        <v>0.17578244622219263</v>
      </c>
      <c r="Z203" s="231">
        <f t="shared" ca="1" si="612"/>
        <v>5.8594148740730878E-2</v>
      </c>
      <c r="AA203" s="231">
        <f t="shared" ca="1" si="613"/>
        <v>0.11718829748146176</v>
      </c>
      <c r="AB203" s="232">
        <f t="shared" ca="1" si="614"/>
        <v>0.17578244622219263</v>
      </c>
      <c r="AC203" s="231">
        <f t="shared" ca="1" si="615"/>
        <v>5.8594148740730878E-2</v>
      </c>
      <c r="AD203" s="231">
        <f t="shared" ca="1" si="616"/>
        <v>0.11718829748146176</v>
      </c>
      <c r="AE203" s="232">
        <f t="shared" ca="1" si="422"/>
        <v>0.17578244622219263</v>
      </c>
      <c r="AF203" s="231">
        <f t="shared" ca="1" si="593"/>
        <v>2.215707307936211E-2</v>
      </c>
      <c r="AG203" s="231">
        <f t="shared" ca="1" si="594"/>
        <v>4.431414615872422E-2</v>
      </c>
      <c r="AH203" s="232">
        <f t="shared" ca="1" si="595"/>
        <v>6.6471219238086326E-2</v>
      </c>
      <c r="AI203" s="233">
        <f t="shared" ca="1" si="423"/>
        <v>0.85000000000000009</v>
      </c>
      <c r="AJ203" s="233">
        <f t="shared" ca="1" si="424"/>
        <v>1.1000000000000001</v>
      </c>
      <c r="AK203" s="234">
        <f t="shared" ca="1" si="425"/>
        <v>1.4000000000000001</v>
      </c>
      <c r="AL203" s="919">
        <f t="shared" ca="1" si="426"/>
        <v>0.85000000000000009</v>
      </c>
      <c r="AM203" s="233">
        <f t="shared" ca="1" si="427"/>
        <v>1.1000000000000001</v>
      </c>
      <c r="AN203" s="234">
        <f t="shared" ca="1" si="428"/>
        <v>1.4000000000000001</v>
      </c>
      <c r="AO203" s="233">
        <f t="shared" ca="1" si="429"/>
        <v>0.85000000000000009</v>
      </c>
      <c r="AP203" s="233">
        <f t="shared" ca="1" si="430"/>
        <v>1.1000000000000001</v>
      </c>
      <c r="AQ203" s="233">
        <f t="shared" ca="1" si="431"/>
        <v>1.4000000000000001</v>
      </c>
      <c r="AR203" s="919">
        <f t="shared" ca="1" si="432"/>
        <v>0.19999999999999998</v>
      </c>
      <c r="AS203" s="233">
        <f t="shared" ca="1" si="433"/>
        <v>0.35</v>
      </c>
      <c r="AT203" s="235">
        <f t="shared" ca="1" si="434"/>
        <v>0.55000000000000004</v>
      </c>
      <c r="AU203" s="946">
        <f t="shared" si="435"/>
        <v>0.5</v>
      </c>
      <c r="AV203" s="13">
        <f t="shared" ca="1" si="436"/>
        <v>0</v>
      </c>
      <c r="AW203" s="210">
        <f t="shared" ca="1" si="437"/>
        <v>0</v>
      </c>
      <c r="AX203" s="210">
        <f t="shared" ca="1" si="438"/>
        <v>0</v>
      </c>
      <c r="AY203" s="210">
        <f t="shared" ca="1" si="439"/>
        <v>0</v>
      </c>
      <c r="AZ203" s="13">
        <f t="shared" ca="1" si="440"/>
        <v>0</v>
      </c>
      <c r="BA203" s="357">
        <f ca="1"/>
        <v>0</v>
      </c>
      <c r="BB203" s="925">
        <f ca="1"/>
        <v>0</v>
      </c>
      <c r="BC203" s="925">
        <f ca="1"/>
        <v>0</v>
      </c>
      <c r="BD203" s="928">
        <f ca="1"/>
        <v>0</v>
      </c>
      <c r="BE203" s="200">
        <f ca="1"/>
        <v>0</v>
      </c>
      <c r="BF203" s="851">
        <f ca="1"/>
        <v>0</v>
      </c>
      <c r="BG203" s="851">
        <f ca="1"/>
        <v>0</v>
      </c>
      <c r="BH203" s="933">
        <f ca="1"/>
        <v>0</v>
      </c>
      <c r="BI203" s="357">
        <f ca="1"/>
        <v>0</v>
      </c>
      <c r="BJ203" s="925">
        <f ca="1"/>
        <v>0</v>
      </c>
      <c r="BK203" s="925">
        <f ca="1"/>
        <v>0</v>
      </c>
      <c r="BL203" s="928">
        <f ca="1"/>
        <v>0</v>
      </c>
      <c r="BM203" s="200">
        <f ca="1"/>
        <v>0</v>
      </c>
      <c r="BN203" s="851">
        <f ca="1"/>
        <v>0</v>
      </c>
      <c r="BO203" s="851">
        <f ca="1"/>
        <v>0</v>
      </c>
      <c r="BP203" s="933">
        <f ca="1"/>
        <v>0</v>
      </c>
      <c r="BQ203" s="357">
        <f t="shared" ca="1" si="441"/>
        <v>0</v>
      </c>
      <c r="BR203" s="361">
        <f t="shared" ca="1" si="442"/>
        <v>0</v>
      </c>
      <c r="BS203" s="357">
        <f t="shared" ca="1" si="443"/>
        <v>0</v>
      </c>
      <c r="BT203" s="302">
        <f t="shared" ca="1" si="444"/>
        <v>0</v>
      </c>
      <c r="BU203" s="299">
        <f t="shared" ca="1" si="445"/>
        <v>0</v>
      </c>
      <c r="BV203" s="299">
        <f t="shared" ca="1" si="446"/>
        <v>0</v>
      </c>
      <c r="BW203" s="299">
        <f t="shared" ca="1" si="447"/>
        <v>0</v>
      </c>
      <c r="BX203" s="380">
        <f t="shared" ca="1" si="448"/>
        <v>15.581108829568789</v>
      </c>
      <c r="BY203" s="363">
        <f t="shared" ca="1" si="449"/>
        <v>0</v>
      </c>
      <c r="BZ203" s="353">
        <f t="shared" ca="1" si="450"/>
        <v>0</v>
      </c>
      <c r="CA203" s="353">
        <f t="shared" ca="1" si="451"/>
        <v>0</v>
      </c>
      <c r="CB203" s="353">
        <f t="shared" ca="1" si="452"/>
        <v>0</v>
      </c>
      <c r="CC203" s="353">
        <f t="shared" ca="1" si="453"/>
        <v>0</v>
      </c>
      <c r="CD203" s="353">
        <f t="shared" ca="1" si="454"/>
        <v>0</v>
      </c>
      <c r="CE203" s="302">
        <f t="shared" ca="1" si="455"/>
        <v>0</v>
      </c>
      <c r="CF203" s="299">
        <f t="shared" ca="1" si="456"/>
        <v>0</v>
      </c>
      <c r="CG203" s="299">
        <f t="shared" ca="1" si="457"/>
        <v>0</v>
      </c>
      <c r="CH203" s="299">
        <f t="shared" ca="1" si="458"/>
        <v>0</v>
      </c>
      <c r="CI203" s="299">
        <f t="shared" ca="1" si="459"/>
        <v>0</v>
      </c>
      <c r="CJ203" s="299">
        <f t="shared" ca="1" si="460"/>
        <v>0</v>
      </c>
      <c r="CK203" s="299">
        <f t="shared" ca="1" si="461"/>
        <v>0</v>
      </c>
      <c r="CL203" s="377" t="str">
        <f t="shared" ca="1" si="462"/>
        <v/>
      </c>
      <c r="CM203" s="305" t="str">
        <f t="shared" ca="1" si="463"/>
        <v/>
      </c>
      <c r="CN203" s="305" t="str">
        <f t="shared" ca="1" si="464"/>
        <v/>
      </c>
      <c r="CO203" s="305" t="str">
        <f t="shared" ca="1" si="465"/>
        <v/>
      </c>
      <c r="CP203" s="305" t="str">
        <f t="shared" ca="1" si="466"/>
        <v/>
      </c>
      <c r="CQ203" s="305" t="str">
        <f t="shared" ca="1" si="467"/>
        <v/>
      </c>
      <c r="CR203" s="775" t="str">
        <f t="shared" ca="1" si="468"/>
        <v/>
      </c>
      <c r="CS203" s="305" t="str">
        <f t="shared" ca="1" si="469"/>
        <v/>
      </c>
      <c r="CT203" s="305" t="str">
        <f t="shared" ca="1" si="470"/>
        <v/>
      </c>
      <c r="CU203" s="305" t="str">
        <f t="shared" ca="1" si="471"/>
        <v/>
      </c>
      <c r="CV203" s="770" t="str">
        <f t="shared" ca="1" si="472"/>
        <v/>
      </c>
      <c r="CW203" s="302">
        <f t="shared" ca="1" si="473"/>
        <v>0</v>
      </c>
      <c r="CX203" s="299">
        <f t="shared" ca="1" si="474"/>
        <v>0</v>
      </c>
      <c r="CY203" s="299">
        <f t="shared" ca="1" si="475"/>
        <v>0</v>
      </c>
      <c r="CZ203" s="299">
        <f t="shared" ca="1" si="476"/>
        <v>0</v>
      </c>
      <c r="DA203" s="774">
        <f t="shared" ca="1" si="477"/>
        <v>0</v>
      </c>
      <c r="DB203" s="303">
        <f t="shared" ca="1" si="478"/>
        <v>0</v>
      </c>
      <c r="DC203" s="248">
        <f t="shared" ca="1" si="479"/>
        <v>0</v>
      </c>
      <c r="DD203" s="778">
        <f t="shared" ca="1" si="480"/>
        <v>0</v>
      </c>
      <c r="DE203" s="363">
        <f t="shared" ca="1" si="481"/>
        <v>0</v>
      </c>
      <c r="DF203" s="378" t="str">
        <f t="shared" ca="1" si="482"/>
        <v/>
      </c>
      <c r="DG203" s="508" t="str">
        <f t="shared" ca="1" si="483"/>
        <v/>
      </c>
      <c r="DH203" s="508" t="str">
        <f t="shared" ca="1" si="484"/>
        <v/>
      </c>
      <c r="DI203" s="508" t="str">
        <f t="shared" ca="1" si="485"/>
        <v/>
      </c>
      <c r="DJ203" s="508" t="str">
        <f t="shared" ca="1" si="486"/>
        <v/>
      </c>
      <c r="DK203" s="353">
        <f t="shared" ca="1" si="487"/>
        <v>0</v>
      </c>
      <c r="DL203" s="781">
        <f t="shared" ca="1" si="488"/>
        <v>0</v>
      </c>
      <c r="DM203" s="303">
        <f t="shared" ca="1" si="489"/>
        <v>0</v>
      </c>
      <c r="DN203" s="508" t="str">
        <f t="shared" ca="1" si="490"/>
        <v/>
      </c>
      <c r="DO203" s="508" t="str">
        <f t="shared" ca="1" si="491"/>
        <v/>
      </c>
      <c r="DP203" s="508" t="str">
        <f t="shared" ca="1" si="492"/>
        <v/>
      </c>
      <c r="DQ203" s="508" t="str">
        <f t="shared" ca="1" si="493"/>
        <v/>
      </c>
      <c r="DR203" s="508" t="str">
        <f t="shared" ca="1" si="494"/>
        <v/>
      </c>
      <c r="DS203" s="353">
        <f t="shared" ca="1" si="495"/>
        <v>0</v>
      </c>
      <c r="DT203" s="353">
        <f t="shared" ca="1" si="496"/>
        <v>0</v>
      </c>
      <c r="DU203" s="380">
        <f t="shared" ca="1" si="596"/>
        <v>15.581108829568789</v>
      </c>
      <c r="DV203" s="303">
        <f t="shared" ca="1" si="497"/>
        <v>0</v>
      </c>
      <c r="DW203" s="303">
        <f t="shared" ca="1" si="498"/>
        <v>0</v>
      </c>
      <c r="DX203" s="303">
        <f t="shared" ca="1" si="499"/>
        <v>0</v>
      </c>
      <c r="DY203" s="303">
        <f t="shared" ca="1" si="500"/>
        <v>0</v>
      </c>
      <c r="DZ203" s="303">
        <f t="shared" ca="1" si="501"/>
        <v>0</v>
      </c>
      <c r="EA203" s="303">
        <f t="shared" ca="1" si="502"/>
        <v>0</v>
      </c>
      <c r="EB203" s="302">
        <f t="shared" ca="1" si="503"/>
        <v>0</v>
      </c>
      <c r="EC203" s="299">
        <f t="shared" ca="1" si="504"/>
        <v>0</v>
      </c>
      <c r="ED203" s="299">
        <f t="shared" ca="1" si="505"/>
        <v>0</v>
      </c>
      <c r="EE203" s="299">
        <f t="shared" ca="1" si="506"/>
        <v>0</v>
      </c>
      <c r="EF203" s="299">
        <f t="shared" ca="1" si="507"/>
        <v>0</v>
      </c>
      <c r="EG203" s="299">
        <f t="shared" ca="1" si="508"/>
        <v>0</v>
      </c>
      <c r="EH203" s="302">
        <f t="shared" ca="1" si="509"/>
        <v>0</v>
      </c>
      <c r="EI203" s="304" t="str">
        <f t="shared" ca="1" si="510"/>
        <v/>
      </c>
      <c r="EJ203" s="305" t="str">
        <f t="shared" ca="1" si="511"/>
        <v/>
      </c>
      <c r="EK203" s="305" t="str">
        <f t="shared" ca="1" si="512"/>
        <v/>
      </c>
      <c r="EL203" s="305" t="str">
        <f t="shared" ca="1" si="513"/>
        <v/>
      </c>
      <c r="EM203" s="305" t="str">
        <f t="shared" ca="1" si="514"/>
        <v/>
      </c>
      <c r="EN203" s="305" t="str">
        <f t="shared" ca="1" si="515"/>
        <v/>
      </c>
      <c r="EO203" s="305" t="str">
        <f t="shared" ca="1" si="516"/>
        <v/>
      </c>
      <c r="EP203" s="305" t="str">
        <f t="shared" ca="1" si="517"/>
        <v/>
      </c>
      <c r="EQ203" s="305" t="str">
        <f t="shared" ca="1" si="518"/>
        <v/>
      </c>
      <c r="ER203" s="305" t="str">
        <f t="shared" ca="1" si="519"/>
        <v/>
      </c>
      <c r="ES203" s="305" t="str">
        <f t="shared" ca="1" si="520"/>
        <v/>
      </c>
      <c r="ET203" s="299">
        <f t="shared" ca="1" si="521"/>
        <v>0</v>
      </c>
      <c r="EU203" s="302">
        <f t="shared" ca="1" si="522"/>
        <v>0</v>
      </c>
      <c r="EV203" s="304" t="str">
        <f t="shared" ca="1" si="523"/>
        <v/>
      </c>
      <c r="EW203" s="305" t="str">
        <f t="shared" ca="1" si="524"/>
        <v/>
      </c>
      <c r="EX203" s="305" t="str">
        <f t="shared" ca="1" si="525"/>
        <v/>
      </c>
      <c r="EY203" s="305" t="str">
        <f t="shared" ca="1" si="526"/>
        <v/>
      </c>
      <c r="EZ203" s="305" t="str">
        <f t="shared" ca="1" si="527"/>
        <v/>
      </c>
      <c r="FA203" s="305" t="str">
        <f t="shared" ca="1" si="528"/>
        <v/>
      </c>
      <c r="FB203" s="305" t="str">
        <f t="shared" ca="1" si="529"/>
        <v/>
      </c>
      <c r="FC203" s="305" t="str">
        <f t="shared" ca="1" si="530"/>
        <v/>
      </c>
      <c r="FD203" s="305" t="str">
        <f t="shared" ca="1" si="531"/>
        <v/>
      </c>
      <c r="FE203" s="305" t="str">
        <f t="shared" ca="1" si="532"/>
        <v/>
      </c>
      <c r="FF203" s="305" t="str">
        <f t="shared" ca="1" si="533"/>
        <v/>
      </c>
      <c r="FG203" s="299">
        <f t="shared" ca="1" si="534"/>
        <v>0</v>
      </c>
      <c r="FH203" s="302">
        <f t="shared" ca="1" si="535"/>
        <v>0</v>
      </c>
      <c r="FI203" s="248">
        <f t="shared" ca="1" si="536"/>
        <v>0</v>
      </c>
      <c r="FJ203" s="363">
        <f t="shared" ca="1" si="537"/>
        <v>0</v>
      </c>
      <c r="FK203" s="378" t="str">
        <f t="shared" ca="1" si="538"/>
        <v/>
      </c>
      <c r="FL203" s="508" t="str">
        <f t="shared" ca="1" si="539"/>
        <v/>
      </c>
      <c r="FM203" s="508" t="str">
        <f t="shared" ca="1" si="540"/>
        <v/>
      </c>
      <c r="FN203" s="508" t="str">
        <f t="shared" ca="1" si="541"/>
        <v/>
      </c>
      <c r="FO203" s="508" t="str">
        <f t="shared" ca="1" si="542"/>
        <v/>
      </c>
      <c r="FP203" s="353">
        <f t="shared" ca="1" si="543"/>
        <v>0</v>
      </c>
      <c r="FQ203" s="356">
        <f t="shared" ca="1" si="544"/>
        <v>0</v>
      </c>
      <c r="FR203" s="380">
        <f t="shared" ca="1" si="545"/>
        <v>0</v>
      </c>
      <c r="FS203" s="299">
        <f t="shared" ca="1" si="546"/>
        <v>0</v>
      </c>
      <c r="FT203" s="299">
        <f t="shared" ca="1" si="547"/>
        <v>0</v>
      </c>
      <c r="FU203" s="299">
        <f t="shared" ca="1" si="548"/>
        <v>0</v>
      </c>
      <c r="FV203" s="299">
        <f t="shared" ca="1" si="549"/>
        <v>0</v>
      </c>
      <c r="FW203" s="850" t="str">
        <f t="shared" ca="1" si="550"/>
        <v/>
      </c>
      <c r="FX203" s="851" t="str">
        <f t="shared" ca="1" si="551"/>
        <v/>
      </c>
      <c r="FY203" s="851" t="str">
        <f t="shared" ca="1" si="552"/>
        <v/>
      </c>
      <c r="FZ203" s="201" t="str">
        <f t="shared" ca="1" si="553"/>
        <v/>
      </c>
      <c r="GA203" s="201" t="str">
        <f t="shared" ca="1" si="554"/>
        <v/>
      </c>
      <c r="GB203" s="201" t="str">
        <f t="shared" ca="1" si="555"/>
        <v/>
      </c>
      <c r="GC203" s="201" t="str">
        <f t="shared" ca="1" si="556"/>
        <v/>
      </c>
      <c r="GD203" s="850" t="str">
        <f t="shared" ca="1" si="557"/>
        <v/>
      </c>
      <c r="GE203" s="866" t="str">
        <f t="shared" ca="1" si="558"/>
        <v/>
      </c>
      <c r="GF203" s="866" t="str">
        <f t="shared" ca="1" si="559"/>
        <v/>
      </c>
      <c r="GG203" s="866" t="str">
        <f t="shared" ca="1" si="560"/>
        <v/>
      </c>
      <c r="GH203" s="866" t="str">
        <f t="shared" ca="1" si="561"/>
        <v/>
      </c>
      <c r="GI203" s="302">
        <f t="shared" ca="1" si="562"/>
        <v>0</v>
      </c>
      <c r="GJ203" s="299">
        <f t="shared" ca="1" si="563"/>
        <v>0</v>
      </c>
      <c r="GK203" s="299">
        <f t="shared" ca="1" si="564"/>
        <v>0</v>
      </c>
      <c r="GL203" s="299">
        <f t="shared" ca="1" si="565"/>
        <v>0</v>
      </c>
      <c r="GM203" s="299">
        <f t="shared" ca="1" si="566"/>
        <v>0</v>
      </c>
      <c r="GN203" s="302">
        <f t="shared" ca="1" si="567"/>
        <v>0</v>
      </c>
      <c r="GO203" s="299">
        <f t="shared" ca="1" si="568"/>
        <v>0</v>
      </c>
      <c r="GP203" s="299">
        <f t="shared" ca="1" si="569"/>
        <v>0</v>
      </c>
      <c r="GQ203" s="299">
        <f t="shared" ca="1" si="570"/>
        <v>0</v>
      </c>
      <c r="GR203" s="299">
        <f t="shared" ca="1" si="571"/>
        <v>0</v>
      </c>
      <c r="GS203" s="302">
        <f t="shared" ca="1" si="572"/>
        <v>0</v>
      </c>
      <c r="GT203" s="299">
        <f t="shared" ca="1" si="573"/>
        <v>0</v>
      </c>
      <c r="GU203" s="299">
        <f t="shared" ca="1" si="574"/>
        <v>0</v>
      </c>
      <c r="GV203" s="299">
        <f t="shared" ca="1" si="575"/>
        <v>0</v>
      </c>
      <c r="GW203" s="299">
        <f t="shared" ca="1" si="576"/>
        <v>0</v>
      </c>
      <c r="GX203" s="303">
        <f t="shared" ca="1" si="577"/>
        <v>0</v>
      </c>
      <c r="GY203" s="303">
        <f t="shared" ca="1" si="578"/>
        <v>0</v>
      </c>
      <c r="GZ203" s="303">
        <f t="shared" ca="1" si="579"/>
        <v>0</v>
      </c>
      <c r="HA203" s="303">
        <f t="shared" ca="1" si="580"/>
        <v>0</v>
      </c>
      <c r="HB203" s="303">
        <f t="shared" ca="1" si="581"/>
        <v>0</v>
      </c>
      <c r="HC203" s="303">
        <f t="shared" ca="1" si="582"/>
        <v>0</v>
      </c>
      <c r="HD203" s="303">
        <f t="shared" ca="1" si="583"/>
        <v>0</v>
      </c>
      <c r="HE203" s="303">
        <f t="shared" ca="1" si="584"/>
        <v>0</v>
      </c>
      <c r="HF203" s="303">
        <f t="shared" ca="1" si="585"/>
        <v>0</v>
      </c>
      <c r="HG203" s="852">
        <f t="shared" ca="1" si="586"/>
        <v>0</v>
      </c>
    </row>
    <row r="204" spans="1:215" x14ac:dyDescent="0.25">
      <c r="A204" s="244">
        <f t="shared" ca="1" si="587"/>
        <v>42309</v>
      </c>
      <c r="B204" s="13">
        <f t="shared" ca="1" si="620"/>
        <v>2015</v>
      </c>
      <c r="C204" s="619">
        <f t="shared" ca="1" si="621"/>
        <v>11</v>
      </c>
      <c r="D204" s="195">
        <f t="shared" ca="1" si="417"/>
        <v>42334</v>
      </c>
      <c r="E204" s="469" t="str">
        <f t="shared" ca="1" si="418"/>
        <v/>
      </c>
      <c r="F204" s="465" t="str">
        <f t="shared" ca="1" si="419"/>
        <v/>
      </c>
      <c r="G204" s="522">
        <f t="shared" ca="1" si="588"/>
        <v>1</v>
      </c>
      <c r="H204" s="519">
        <f t="shared" ca="1" si="589"/>
        <v>1</v>
      </c>
      <c r="I204" s="724">
        <f t="shared" ca="1" si="622"/>
        <v>7.4184994373589996E-2</v>
      </c>
      <c r="J204" s="198">
        <f t="shared" ca="1" si="421"/>
        <v>0.31634640983541934</v>
      </c>
      <c r="K204" s="200">
        <f t="shared" ca="1" si="597"/>
        <v>31.125</v>
      </c>
      <c r="L204" s="201">
        <f t="shared" ca="1" si="598"/>
        <v>33.075000000000003</v>
      </c>
      <c r="M204" s="206">
        <f t="shared" ca="1" si="599"/>
        <v>35.024999999999999</v>
      </c>
      <c r="N204" s="851">
        <f t="shared" ca="1" si="603"/>
        <v>24.942251586914054</v>
      </c>
      <c r="O204" s="201">
        <f t="shared" ca="1" si="604"/>
        <v>26.404751586914053</v>
      </c>
      <c r="P204" s="206">
        <f t="shared" ca="1" si="605"/>
        <v>27.867251586914051</v>
      </c>
      <c r="Q204" s="201">
        <f t="shared" ca="1" si="606"/>
        <v>20.104499816894521</v>
      </c>
      <c r="R204" s="201">
        <f t="shared" ca="1" si="607"/>
        <v>24.404499816894521</v>
      </c>
      <c r="S204" s="201">
        <f t="shared" ca="1" si="608"/>
        <v>28.704499816894522</v>
      </c>
      <c r="T204" s="851">
        <f t="shared" ca="1" si="600"/>
        <v>19.99999809265136</v>
      </c>
      <c r="U204" s="201">
        <f t="shared" ca="1" si="601"/>
        <v>20.974998092651362</v>
      </c>
      <c r="V204" s="206">
        <f t="shared" ca="1" si="602"/>
        <v>21.949998092651363</v>
      </c>
      <c r="W204" s="230">
        <f t="shared" ca="1" si="590"/>
        <v>5.8594148740730878E-2</v>
      </c>
      <c r="X204" s="231">
        <f t="shared" ca="1" si="591"/>
        <v>0.11718829748146176</v>
      </c>
      <c r="Y204" s="232">
        <f t="shared" ca="1" si="592"/>
        <v>0.17578244622219263</v>
      </c>
      <c r="Z204" s="231">
        <f t="shared" ca="1" si="612"/>
        <v>5.8594148740730878E-2</v>
      </c>
      <c r="AA204" s="231">
        <f t="shared" ca="1" si="613"/>
        <v>0.11718829748146176</v>
      </c>
      <c r="AB204" s="232">
        <f t="shared" ca="1" si="614"/>
        <v>0.17578244622219263</v>
      </c>
      <c r="AC204" s="231">
        <f t="shared" ca="1" si="615"/>
        <v>5.8594148740730878E-2</v>
      </c>
      <c r="AD204" s="231">
        <f t="shared" ca="1" si="616"/>
        <v>0.11718829748146176</v>
      </c>
      <c r="AE204" s="232">
        <f t="shared" ca="1" si="422"/>
        <v>0.17578244622219263</v>
      </c>
      <c r="AF204" s="231">
        <f t="shared" ca="1" si="593"/>
        <v>2.215707307936211E-2</v>
      </c>
      <c r="AG204" s="231">
        <f t="shared" ca="1" si="594"/>
        <v>4.431414615872422E-2</v>
      </c>
      <c r="AH204" s="232">
        <f t="shared" ca="1" si="595"/>
        <v>6.6471219238086326E-2</v>
      </c>
      <c r="AI204" s="233">
        <f t="shared" ca="1" si="423"/>
        <v>1</v>
      </c>
      <c r="AJ204" s="233">
        <f t="shared" ca="1" si="424"/>
        <v>1.25</v>
      </c>
      <c r="AK204" s="234">
        <f t="shared" ca="1" si="425"/>
        <v>1.55</v>
      </c>
      <c r="AL204" s="919">
        <f t="shared" ca="1" si="426"/>
        <v>1</v>
      </c>
      <c r="AM204" s="233">
        <f t="shared" ca="1" si="427"/>
        <v>1.25</v>
      </c>
      <c r="AN204" s="234">
        <f t="shared" ca="1" si="428"/>
        <v>1.55</v>
      </c>
      <c r="AO204" s="233">
        <f t="shared" ca="1" si="429"/>
        <v>1</v>
      </c>
      <c r="AP204" s="233">
        <f t="shared" ca="1" si="430"/>
        <v>1.25</v>
      </c>
      <c r="AQ204" s="233">
        <f t="shared" ca="1" si="431"/>
        <v>1.55</v>
      </c>
      <c r="AR204" s="919">
        <f t="shared" ca="1" si="432"/>
        <v>0.15</v>
      </c>
      <c r="AS204" s="233">
        <f t="shared" ca="1" si="433"/>
        <v>0.3</v>
      </c>
      <c r="AT204" s="235">
        <f t="shared" ca="1" si="434"/>
        <v>0.5</v>
      </c>
      <c r="AU204" s="946">
        <f t="shared" si="435"/>
        <v>0.5</v>
      </c>
      <c r="AV204" s="13">
        <f t="shared" ca="1" si="436"/>
        <v>0</v>
      </c>
      <c r="AW204" s="210">
        <f t="shared" ca="1" si="437"/>
        <v>0</v>
      </c>
      <c r="AX204" s="210">
        <f t="shared" ca="1" si="438"/>
        <v>0</v>
      </c>
      <c r="AY204" s="210">
        <f t="shared" ca="1" si="439"/>
        <v>0</v>
      </c>
      <c r="AZ204" s="13">
        <f t="shared" ca="1" si="440"/>
        <v>0</v>
      </c>
      <c r="BA204" s="357">
        <f ca="1"/>
        <v>0</v>
      </c>
      <c r="BB204" s="925">
        <f ca="1"/>
        <v>0</v>
      </c>
      <c r="BC204" s="925">
        <f ca="1"/>
        <v>0</v>
      </c>
      <c r="BD204" s="928">
        <f ca="1"/>
        <v>0</v>
      </c>
      <c r="BE204" s="200">
        <f ca="1"/>
        <v>0</v>
      </c>
      <c r="BF204" s="851">
        <f ca="1"/>
        <v>0</v>
      </c>
      <c r="BG204" s="851">
        <f ca="1"/>
        <v>0</v>
      </c>
      <c r="BH204" s="933">
        <f ca="1"/>
        <v>0</v>
      </c>
      <c r="BI204" s="357">
        <f ca="1"/>
        <v>0</v>
      </c>
      <c r="BJ204" s="925">
        <f ca="1"/>
        <v>0</v>
      </c>
      <c r="BK204" s="925">
        <f ca="1"/>
        <v>0</v>
      </c>
      <c r="BL204" s="928">
        <f ca="1"/>
        <v>0</v>
      </c>
      <c r="BM204" s="200">
        <f ca="1"/>
        <v>0</v>
      </c>
      <c r="BN204" s="851">
        <f ca="1"/>
        <v>0</v>
      </c>
      <c r="BO204" s="851">
        <f ca="1"/>
        <v>0</v>
      </c>
      <c r="BP204" s="933">
        <f ca="1"/>
        <v>0</v>
      </c>
      <c r="BQ204" s="357">
        <f t="shared" ca="1" si="441"/>
        <v>0</v>
      </c>
      <c r="BR204" s="361">
        <f t="shared" ca="1" si="442"/>
        <v>0</v>
      </c>
      <c r="BS204" s="357">
        <f t="shared" ca="1" si="443"/>
        <v>0</v>
      </c>
      <c r="BT204" s="302">
        <f t="shared" ca="1" si="444"/>
        <v>0</v>
      </c>
      <c r="BU204" s="299">
        <f t="shared" ca="1" si="445"/>
        <v>0</v>
      </c>
      <c r="BV204" s="299">
        <f t="shared" ca="1" si="446"/>
        <v>0</v>
      </c>
      <c r="BW204" s="299">
        <f t="shared" ca="1" si="447"/>
        <v>0</v>
      </c>
      <c r="BX204" s="380">
        <f t="shared" ca="1" si="448"/>
        <v>15.665982203969884</v>
      </c>
      <c r="BY204" s="363">
        <f t="shared" ca="1" si="449"/>
        <v>0</v>
      </c>
      <c r="BZ204" s="353">
        <f t="shared" ca="1" si="450"/>
        <v>0</v>
      </c>
      <c r="CA204" s="353">
        <f t="shared" ca="1" si="451"/>
        <v>0</v>
      </c>
      <c r="CB204" s="353">
        <f t="shared" ca="1" si="452"/>
        <v>0</v>
      </c>
      <c r="CC204" s="353">
        <f t="shared" ca="1" si="453"/>
        <v>0</v>
      </c>
      <c r="CD204" s="353">
        <f t="shared" ca="1" si="454"/>
        <v>0</v>
      </c>
      <c r="CE204" s="302">
        <f t="shared" ca="1" si="455"/>
        <v>0</v>
      </c>
      <c r="CF204" s="299">
        <f t="shared" ca="1" si="456"/>
        <v>0</v>
      </c>
      <c r="CG204" s="299">
        <f t="shared" ca="1" si="457"/>
        <v>0</v>
      </c>
      <c r="CH204" s="299">
        <f t="shared" ca="1" si="458"/>
        <v>0</v>
      </c>
      <c r="CI204" s="299">
        <f t="shared" ca="1" si="459"/>
        <v>0</v>
      </c>
      <c r="CJ204" s="299">
        <f t="shared" ca="1" si="460"/>
        <v>0</v>
      </c>
      <c r="CK204" s="299">
        <f t="shared" ca="1" si="461"/>
        <v>0</v>
      </c>
      <c r="CL204" s="377" t="str">
        <f t="shared" ca="1" si="462"/>
        <v/>
      </c>
      <c r="CM204" s="305" t="str">
        <f t="shared" ca="1" si="463"/>
        <v/>
      </c>
      <c r="CN204" s="305" t="str">
        <f t="shared" ca="1" si="464"/>
        <v/>
      </c>
      <c r="CO204" s="305" t="str">
        <f t="shared" ca="1" si="465"/>
        <v/>
      </c>
      <c r="CP204" s="305" t="str">
        <f t="shared" ca="1" si="466"/>
        <v/>
      </c>
      <c r="CQ204" s="305" t="str">
        <f t="shared" ca="1" si="467"/>
        <v/>
      </c>
      <c r="CR204" s="775" t="str">
        <f t="shared" ca="1" si="468"/>
        <v/>
      </c>
      <c r="CS204" s="305" t="str">
        <f t="shared" ca="1" si="469"/>
        <v/>
      </c>
      <c r="CT204" s="305" t="str">
        <f t="shared" ca="1" si="470"/>
        <v/>
      </c>
      <c r="CU204" s="305" t="str">
        <f t="shared" ca="1" si="471"/>
        <v/>
      </c>
      <c r="CV204" s="770" t="str">
        <f t="shared" ca="1" si="472"/>
        <v/>
      </c>
      <c r="CW204" s="302">
        <f t="shared" ca="1" si="473"/>
        <v>0</v>
      </c>
      <c r="CX204" s="299">
        <f t="shared" ca="1" si="474"/>
        <v>0</v>
      </c>
      <c r="CY204" s="299">
        <f t="shared" ca="1" si="475"/>
        <v>0</v>
      </c>
      <c r="CZ204" s="299">
        <f t="shared" ca="1" si="476"/>
        <v>0</v>
      </c>
      <c r="DA204" s="774">
        <f t="shared" ca="1" si="477"/>
        <v>0</v>
      </c>
      <c r="DB204" s="303">
        <f t="shared" ca="1" si="478"/>
        <v>0</v>
      </c>
      <c r="DC204" s="248">
        <f t="shared" ca="1" si="479"/>
        <v>0</v>
      </c>
      <c r="DD204" s="778">
        <f t="shared" ca="1" si="480"/>
        <v>0</v>
      </c>
      <c r="DE204" s="363">
        <f t="shared" ca="1" si="481"/>
        <v>0</v>
      </c>
      <c r="DF204" s="378" t="str">
        <f t="shared" ca="1" si="482"/>
        <v/>
      </c>
      <c r="DG204" s="508" t="str">
        <f t="shared" ca="1" si="483"/>
        <v/>
      </c>
      <c r="DH204" s="508" t="str">
        <f t="shared" ca="1" si="484"/>
        <v/>
      </c>
      <c r="DI204" s="508" t="str">
        <f t="shared" ca="1" si="485"/>
        <v/>
      </c>
      <c r="DJ204" s="508" t="str">
        <f t="shared" ca="1" si="486"/>
        <v/>
      </c>
      <c r="DK204" s="353">
        <f t="shared" ca="1" si="487"/>
        <v>0</v>
      </c>
      <c r="DL204" s="781">
        <f t="shared" ca="1" si="488"/>
        <v>0</v>
      </c>
      <c r="DM204" s="303">
        <f t="shared" ca="1" si="489"/>
        <v>0</v>
      </c>
      <c r="DN204" s="508" t="str">
        <f t="shared" ca="1" si="490"/>
        <v/>
      </c>
      <c r="DO204" s="508" t="str">
        <f t="shared" ca="1" si="491"/>
        <v/>
      </c>
      <c r="DP204" s="508" t="str">
        <f t="shared" ca="1" si="492"/>
        <v/>
      </c>
      <c r="DQ204" s="508" t="str">
        <f t="shared" ca="1" si="493"/>
        <v/>
      </c>
      <c r="DR204" s="508" t="str">
        <f t="shared" ca="1" si="494"/>
        <v/>
      </c>
      <c r="DS204" s="353">
        <f t="shared" ca="1" si="495"/>
        <v>0</v>
      </c>
      <c r="DT204" s="353">
        <f t="shared" ca="1" si="496"/>
        <v>0</v>
      </c>
      <c r="DU204" s="380">
        <f t="shared" ca="1" si="596"/>
        <v>15.665982203969884</v>
      </c>
      <c r="DV204" s="303">
        <f t="shared" ca="1" si="497"/>
        <v>0</v>
      </c>
      <c r="DW204" s="303">
        <f t="shared" ca="1" si="498"/>
        <v>0</v>
      </c>
      <c r="DX204" s="303">
        <f t="shared" ca="1" si="499"/>
        <v>0</v>
      </c>
      <c r="DY204" s="303">
        <f t="shared" ca="1" si="500"/>
        <v>0</v>
      </c>
      <c r="DZ204" s="303">
        <f t="shared" ca="1" si="501"/>
        <v>0</v>
      </c>
      <c r="EA204" s="303">
        <f t="shared" ca="1" si="502"/>
        <v>0</v>
      </c>
      <c r="EB204" s="302">
        <f t="shared" ca="1" si="503"/>
        <v>0</v>
      </c>
      <c r="EC204" s="299">
        <f t="shared" ca="1" si="504"/>
        <v>0</v>
      </c>
      <c r="ED204" s="299">
        <f t="shared" ca="1" si="505"/>
        <v>0</v>
      </c>
      <c r="EE204" s="299">
        <f t="shared" ca="1" si="506"/>
        <v>0</v>
      </c>
      <c r="EF204" s="299">
        <f t="shared" ca="1" si="507"/>
        <v>0</v>
      </c>
      <c r="EG204" s="299">
        <f t="shared" ca="1" si="508"/>
        <v>0</v>
      </c>
      <c r="EH204" s="302">
        <f t="shared" ca="1" si="509"/>
        <v>0</v>
      </c>
      <c r="EI204" s="304" t="str">
        <f t="shared" ca="1" si="510"/>
        <v/>
      </c>
      <c r="EJ204" s="305" t="str">
        <f t="shared" ca="1" si="511"/>
        <v/>
      </c>
      <c r="EK204" s="305" t="str">
        <f t="shared" ca="1" si="512"/>
        <v/>
      </c>
      <c r="EL204" s="305" t="str">
        <f t="shared" ca="1" si="513"/>
        <v/>
      </c>
      <c r="EM204" s="305" t="str">
        <f t="shared" ca="1" si="514"/>
        <v/>
      </c>
      <c r="EN204" s="305" t="str">
        <f t="shared" ca="1" si="515"/>
        <v/>
      </c>
      <c r="EO204" s="305" t="str">
        <f t="shared" ca="1" si="516"/>
        <v/>
      </c>
      <c r="EP204" s="305" t="str">
        <f t="shared" ca="1" si="517"/>
        <v/>
      </c>
      <c r="EQ204" s="305" t="str">
        <f t="shared" ca="1" si="518"/>
        <v/>
      </c>
      <c r="ER204" s="305" t="str">
        <f t="shared" ca="1" si="519"/>
        <v/>
      </c>
      <c r="ES204" s="305" t="str">
        <f t="shared" ca="1" si="520"/>
        <v/>
      </c>
      <c r="ET204" s="299">
        <f t="shared" ca="1" si="521"/>
        <v>0</v>
      </c>
      <c r="EU204" s="302">
        <f t="shared" ca="1" si="522"/>
        <v>0</v>
      </c>
      <c r="EV204" s="304" t="str">
        <f t="shared" ca="1" si="523"/>
        <v/>
      </c>
      <c r="EW204" s="305" t="str">
        <f t="shared" ca="1" si="524"/>
        <v/>
      </c>
      <c r="EX204" s="305" t="str">
        <f t="shared" ca="1" si="525"/>
        <v/>
      </c>
      <c r="EY204" s="305" t="str">
        <f t="shared" ca="1" si="526"/>
        <v/>
      </c>
      <c r="EZ204" s="305" t="str">
        <f t="shared" ca="1" si="527"/>
        <v/>
      </c>
      <c r="FA204" s="305" t="str">
        <f t="shared" ca="1" si="528"/>
        <v/>
      </c>
      <c r="FB204" s="305" t="str">
        <f t="shared" ca="1" si="529"/>
        <v/>
      </c>
      <c r="FC204" s="305" t="str">
        <f t="shared" ca="1" si="530"/>
        <v/>
      </c>
      <c r="FD204" s="305" t="str">
        <f t="shared" ca="1" si="531"/>
        <v/>
      </c>
      <c r="FE204" s="305" t="str">
        <f t="shared" ca="1" si="532"/>
        <v/>
      </c>
      <c r="FF204" s="305" t="str">
        <f t="shared" ca="1" si="533"/>
        <v/>
      </c>
      <c r="FG204" s="299">
        <f t="shared" ca="1" si="534"/>
        <v>0</v>
      </c>
      <c r="FH204" s="302">
        <f t="shared" ca="1" si="535"/>
        <v>0</v>
      </c>
      <c r="FI204" s="248">
        <f t="shared" ca="1" si="536"/>
        <v>0</v>
      </c>
      <c r="FJ204" s="363">
        <f t="shared" ca="1" si="537"/>
        <v>0</v>
      </c>
      <c r="FK204" s="378" t="str">
        <f t="shared" ca="1" si="538"/>
        <v/>
      </c>
      <c r="FL204" s="508" t="str">
        <f t="shared" ca="1" si="539"/>
        <v/>
      </c>
      <c r="FM204" s="508" t="str">
        <f t="shared" ca="1" si="540"/>
        <v/>
      </c>
      <c r="FN204" s="508" t="str">
        <f t="shared" ca="1" si="541"/>
        <v/>
      </c>
      <c r="FO204" s="508" t="str">
        <f t="shared" ca="1" si="542"/>
        <v/>
      </c>
      <c r="FP204" s="353">
        <f t="shared" ca="1" si="543"/>
        <v>0</v>
      </c>
      <c r="FQ204" s="356">
        <f t="shared" ca="1" si="544"/>
        <v>0</v>
      </c>
      <c r="FR204" s="380">
        <f t="shared" ca="1" si="545"/>
        <v>0</v>
      </c>
      <c r="FS204" s="299">
        <f t="shared" ca="1" si="546"/>
        <v>0</v>
      </c>
      <c r="FT204" s="299">
        <f t="shared" ca="1" si="547"/>
        <v>0</v>
      </c>
      <c r="FU204" s="299">
        <f t="shared" ca="1" si="548"/>
        <v>0</v>
      </c>
      <c r="FV204" s="299">
        <f t="shared" ca="1" si="549"/>
        <v>0</v>
      </c>
      <c r="FW204" s="850" t="str">
        <f t="shared" ca="1" si="550"/>
        <v/>
      </c>
      <c r="FX204" s="851" t="str">
        <f t="shared" ca="1" si="551"/>
        <v/>
      </c>
      <c r="FY204" s="851" t="str">
        <f t="shared" ca="1" si="552"/>
        <v/>
      </c>
      <c r="FZ204" s="201" t="str">
        <f t="shared" ca="1" si="553"/>
        <v/>
      </c>
      <c r="GA204" s="201" t="str">
        <f t="shared" ca="1" si="554"/>
        <v/>
      </c>
      <c r="GB204" s="201" t="str">
        <f t="shared" ca="1" si="555"/>
        <v/>
      </c>
      <c r="GC204" s="201" t="str">
        <f t="shared" ca="1" si="556"/>
        <v/>
      </c>
      <c r="GD204" s="850" t="str">
        <f t="shared" ca="1" si="557"/>
        <v/>
      </c>
      <c r="GE204" s="866" t="str">
        <f t="shared" ca="1" si="558"/>
        <v/>
      </c>
      <c r="GF204" s="866" t="str">
        <f t="shared" ca="1" si="559"/>
        <v/>
      </c>
      <c r="GG204" s="866" t="str">
        <f t="shared" ca="1" si="560"/>
        <v/>
      </c>
      <c r="GH204" s="866" t="str">
        <f t="shared" ca="1" si="561"/>
        <v/>
      </c>
      <c r="GI204" s="302">
        <f t="shared" ca="1" si="562"/>
        <v>0</v>
      </c>
      <c r="GJ204" s="299">
        <f t="shared" ca="1" si="563"/>
        <v>0</v>
      </c>
      <c r="GK204" s="299">
        <f t="shared" ca="1" si="564"/>
        <v>0</v>
      </c>
      <c r="GL204" s="299">
        <f t="shared" ca="1" si="565"/>
        <v>0</v>
      </c>
      <c r="GM204" s="299">
        <f t="shared" ca="1" si="566"/>
        <v>0</v>
      </c>
      <c r="GN204" s="302">
        <f t="shared" ca="1" si="567"/>
        <v>0</v>
      </c>
      <c r="GO204" s="299">
        <f t="shared" ca="1" si="568"/>
        <v>0</v>
      </c>
      <c r="GP204" s="299">
        <f t="shared" ca="1" si="569"/>
        <v>0</v>
      </c>
      <c r="GQ204" s="299">
        <f t="shared" ca="1" si="570"/>
        <v>0</v>
      </c>
      <c r="GR204" s="299">
        <f t="shared" ca="1" si="571"/>
        <v>0</v>
      </c>
      <c r="GS204" s="302">
        <f t="shared" ca="1" si="572"/>
        <v>0</v>
      </c>
      <c r="GT204" s="299">
        <f t="shared" ca="1" si="573"/>
        <v>0</v>
      </c>
      <c r="GU204" s="299">
        <f t="shared" ca="1" si="574"/>
        <v>0</v>
      </c>
      <c r="GV204" s="299">
        <f t="shared" ca="1" si="575"/>
        <v>0</v>
      </c>
      <c r="GW204" s="299">
        <f t="shared" ca="1" si="576"/>
        <v>0</v>
      </c>
      <c r="GX204" s="303">
        <f t="shared" ca="1" si="577"/>
        <v>0</v>
      </c>
      <c r="GY204" s="303">
        <f t="shared" ca="1" si="578"/>
        <v>0</v>
      </c>
      <c r="GZ204" s="303">
        <f t="shared" ca="1" si="579"/>
        <v>0</v>
      </c>
      <c r="HA204" s="303">
        <f t="shared" ca="1" si="580"/>
        <v>0</v>
      </c>
      <c r="HB204" s="303">
        <f t="shared" ca="1" si="581"/>
        <v>0</v>
      </c>
      <c r="HC204" s="303">
        <f t="shared" ca="1" si="582"/>
        <v>0</v>
      </c>
      <c r="HD204" s="303">
        <f t="shared" ca="1" si="583"/>
        <v>0</v>
      </c>
      <c r="HE204" s="303">
        <f t="shared" ca="1" si="584"/>
        <v>0</v>
      </c>
      <c r="HF204" s="303">
        <f t="shared" ca="1" si="585"/>
        <v>0</v>
      </c>
      <c r="HG204" s="852">
        <f t="shared" ca="1" si="586"/>
        <v>0</v>
      </c>
    </row>
    <row r="205" spans="1:215" x14ac:dyDescent="0.25">
      <c r="A205" s="244">
        <f t="shared" ca="1" si="587"/>
        <v>42339</v>
      </c>
      <c r="B205" s="13">
        <f t="shared" ca="1" si="620"/>
        <v>2015</v>
      </c>
      <c r="C205" s="619">
        <f t="shared" ca="1" si="621"/>
        <v>12</v>
      </c>
      <c r="D205" s="195">
        <f t="shared" ca="1" si="417"/>
        <v>42363</v>
      </c>
      <c r="E205" s="469" t="str">
        <f t="shared" ca="1" si="418"/>
        <v/>
      </c>
      <c r="F205" s="465" t="str">
        <f t="shared" ca="1" si="419"/>
        <v/>
      </c>
      <c r="G205" s="522">
        <f t="shared" ca="1" si="588"/>
        <v>1</v>
      </c>
      <c r="H205" s="519">
        <f t="shared" ca="1" si="589"/>
        <v>1</v>
      </c>
      <c r="I205" s="724">
        <f t="shared" ca="1" si="622"/>
        <v>7.4184709162739004E-2</v>
      </c>
      <c r="J205" s="198">
        <f t="shared" ca="1" si="421"/>
        <v>0.31439804686657991</v>
      </c>
      <c r="K205" s="200">
        <f t="shared" ca="1" si="597"/>
        <v>31</v>
      </c>
      <c r="L205" s="201">
        <f t="shared" ca="1" si="598"/>
        <v>32.950000000000003</v>
      </c>
      <c r="M205" s="206">
        <f t="shared" ca="1" si="599"/>
        <v>34.9</v>
      </c>
      <c r="N205" s="851">
        <f t="shared" ca="1" si="603"/>
        <v>26.39249839782714</v>
      </c>
      <c r="O205" s="201">
        <f t="shared" ca="1" si="604"/>
        <v>27.854998397827138</v>
      </c>
      <c r="P205" s="206">
        <f t="shared" ca="1" si="605"/>
        <v>29.317498397827137</v>
      </c>
      <c r="Q205" s="201">
        <f t="shared" ca="1" si="606"/>
        <v>20.049999237060536</v>
      </c>
      <c r="R205" s="201">
        <f t="shared" ca="1" si="607"/>
        <v>24.349999237060537</v>
      </c>
      <c r="S205" s="201">
        <f t="shared" ca="1" si="608"/>
        <v>28.649999237060538</v>
      </c>
      <c r="T205" s="851">
        <f t="shared" ca="1" si="600"/>
        <v>21.42499923706054</v>
      </c>
      <c r="U205" s="201">
        <f t="shared" ca="1" si="601"/>
        <v>22.399999237060541</v>
      </c>
      <c r="V205" s="206">
        <f t="shared" ca="1" si="602"/>
        <v>23.374999237060543</v>
      </c>
      <c r="W205" s="230">
        <f t="shared" ca="1" si="590"/>
        <v>6.0700904650509972E-2</v>
      </c>
      <c r="X205" s="231">
        <f t="shared" ca="1" si="591"/>
        <v>0.12140180930101994</v>
      </c>
      <c r="Y205" s="232">
        <f t="shared" ca="1" si="592"/>
        <v>0.18210271395152991</v>
      </c>
      <c r="Z205" s="231">
        <f t="shared" ca="1" si="612"/>
        <v>6.0700904650509972E-2</v>
      </c>
      <c r="AA205" s="231">
        <f t="shared" ca="1" si="613"/>
        <v>0.12140180930101994</v>
      </c>
      <c r="AB205" s="232">
        <f t="shared" ca="1" si="614"/>
        <v>0.18210271395152991</v>
      </c>
      <c r="AC205" s="231">
        <f t="shared" ca="1" si="615"/>
        <v>6.0700904650509972E-2</v>
      </c>
      <c r="AD205" s="231">
        <f t="shared" ca="1" si="616"/>
        <v>0.12140180930101994</v>
      </c>
      <c r="AE205" s="232">
        <f t="shared" ca="1" si="422"/>
        <v>0.18210271395152991</v>
      </c>
      <c r="AF205" s="231">
        <f t="shared" ca="1" si="593"/>
        <v>2.215707307936211E-2</v>
      </c>
      <c r="AG205" s="231">
        <f t="shared" ca="1" si="594"/>
        <v>4.431414615872422E-2</v>
      </c>
      <c r="AH205" s="232">
        <f t="shared" ca="1" si="595"/>
        <v>6.6471219238086326E-2</v>
      </c>
      <c r="AI205" s="233">
        <f t="shared" ca="1" si="423"/>
        <v>1</v>
      </c>
      <c r="AJ205" s="233">
        <f t="shared" ca="1" si="424"/>
        <v>1.25</v>
      </c>
      <c r="AK205" s="234">
        <f t="shared" ca="1" si="425"/>
        <v>1.6</v>
      </c>
      <c r="AL205" s="919">
        <f t="shared" ca="1" si="426"/>
        <v>1</v>
      </c>
      <c r="AM205" s="233">
        <f t="shared" ca="1" si="427"/>
        <v>1.25</v>
      </c>
      <c r="AN205" s="234">
        <f t="shared" ca="1" si="428"/>
        <v>1.6</v>
      </c>
      <c r="AO205" s="233">
        <f t="shared" ca="1" si="429"/>
        <v>1</v>
      </c>
      <c r="AP205" s="233">
        <f t="shared" ca="1" si="430"/>
        <v>1.25</v>
      </c>
      <c r="AQ205" s="233">
        <f t="shared" ca="1" si="431"/>
        <v>1.6</v>
      </c>
      <c r="AR205" s="919">
        <f t="shared" ca="1" si="432"/>
        <v>0.15</v>
      </c>
      <c r="AS205" s="233">
        <f t="shared" ca="1" si="433"/>
        <v>0.3</v>
      </c>
      <c r="AT205" s="235">
        <f t="shared" ca="1" si="434"/>
        <v>0.5</v>
      </c>
      <c r="AU205" s="946">
        <f t="shared" si="435"/>
        <v>0.5</v>
      </c>
      <c r="AV205" s="13">
        <f t="shared" ca="1" si="436"/>
        <v>0</v>
      </c>
      <c r="AW205" s="210">
        <f t="shared" ca="1" si="437"/>
        <v>0</v>
      </c>
      <c r="AX205" s="210">
        <f t="shared" ca="1" si="438"/>
        <v>0</v>
      </c>
      <c r="AY205" s="210">
        <f t="shared" ca="1" si="439"/>
        <v>0</v>
      </c>
      <c r="AZ205" s="13">
        <f t="shared" ca="1" si="440"/>
        <v>0</v>
      </c>
      <c r="BA205" s="357">
        <f ca="1"/>
        <v>0</v>
      </c>
      <c r="BB205" s="925">
        <f ca="1"/>
        <v>0</v>
      </c>
      <c r="BC205" s="925">
        <f ca="1"/>
        <v>0</v>
      </c>
      <c r="BD205" s="928">
        <f ca="1"/>
        <v>0</v>
      </c>
      <c r="BE205" s="200">
        <f ca="1"/>
        <v>0</v>
      </c>
      <c r="BF205" s="851">
        <f ca="1"/>
        <v>0</v>
      </c>
      <c r="BG205" s="851">
        <f ca="1"/>
        <v>0</v>
      </c>
      <c r="BH205" s="933">
        <f ca="1"/>
        <v>0</v>
      </c>
      <c r="BI205" s="357">
        <f ca="1"/>
        <v>0</v>
      </c>
      <c r="BJ205" s="925">
        <f ca="1"/>
        <v>0</v>
      </c>
      <c r="BK205" s="925">
        <f ca="1"/>
        <v>0</v>
      </c>
      <c r="BL205" s="928">
        <f ca="1"/>
        <v>0</v>
      </c>
      <c r="BM205" s="200">
        <f ca="1"/>
        <v>0</v>
      </c>
      <c r="BN205" s="851">
        <f ca="1"/>
        <v>0</v>
      </c>
      <c r="BO205" s="851">
        <f ca="1"/>
        <v>0</v>
      </c>
      <c r="BP205" s="933">
        <f ca="1"/>
        <v>0</v>
      </c>
      <c r="BQ205" s="357">
        <f t="shared" ca="1" si="441"/>
        <v>0</v>
      </c>
      <c r="BR205" s="361">
        <f t="shared" ca="1" si="442"/>
        <v>0</v>
      </c>
      <c r="BS205" s="357">
        <f t="shared" ca="1" si="443"/>
        <v>0</v>
      </c>
      <c r="BT205" s="302">
        <f t="shared" ca="1" si="444"/>
        <v>0</v>
      </c>
      <c r="BU205" s="299">
        <f t="shared" ca="1" si="445"/>
        <v>0</v>
      </c>
      <c r="BV205" s="299">
        <f t="shared" ca="1" si="446"/>
        <v>0</v>
      </c>
      <c r="BW205" s="299">
        <f t="shared" ca="1" si="447"/>
        <v>0</v>
      </c>
      <c r="BX205" s="380">
        <f t="shared" ca="1" si="448"/>
        <v>15.748117727583846</v>
      </c>
      <c r="BY205" s="363">
        <f t="shared" ca="1" si="449"/>
        <v>0</v>
      </c>
      <c r="BZ205" s="353">
        <f t="shared" ca="1" si="450"/>
        <v>0</v>
      </c>
      <c r="CA205" s="353">
        <f t="shared" ca="1" si="451"/>
        <v>0</v>
      </c>
      <c r="CB205" s="353">
        <f t="shared" ca="1" si="452"/>
        <v>0</v>
      </c>
      <c r="CC205" s="353">
        <f t="shared" ca="1" si="453"/>
        <v>0</v>
      </c>
      <c r="CD205" s="353">
        <f t="shared" ca="1" si="454"/>
        <v>0</v>
      </c>
      <c r="CE205" s="302">
        <f t="shared" ca="1" si="455"/>
        <v>0</v>
      </c>
      <c r="CF205" s="299">
        <f t="shared" ca="1" si="456"/>
        <v>0</v>
      </c>
      <c r="CG205" s="299">
        <f t="shared" ca="1" si="457"/>
        <v>0</v>
      </c>
      <c r="CH205" s="299">
        <f t="shared" ca="1" si="458"/>
        <v>0</v>
      </c>
      <c r="CI205" s="299">
        <f t="shared" ca="1" si="459"/>
        <v>0</v>
      </c>
      <c r="CJ205" s="299">
        <f t="shared" ca="1" si="460"/>
        <v>0</v>
      </c>
      <c r="CK205" s="299">
        <f t="shared" ca="1" si="461"/>
        <v>0</v>
      </c>
      <c r="CL205" s="377" t="str">
        <f t="shared" ca="1" si="462"/>
        <v/>
      </c>
      <c r="CM205" s="305" t="str">
        <f t="shared" ca="1" si="463"/>
        <v/>
      </c>
      <c r="CN205" s="305" t="str">
        <f t="shared" ca="1" si="464"/>
        <v/>
      </c>
      <c r="CO205" s="305" t="str">
        <f t="shared" ca="1" si="465"/>
        <v/>
      </c>
      <c r="CP205" s="305" t="str">
        <f t="shared" ca="1" si="466"/>
        <v/>
      </c>
      <c r="CQ205" s="305" t="str">
        <f t="shared" ca="1" si="467"/>
        <v/>
      </c>
      <c r="CR205" s="775" t="str">
        <f t="shared" ca="1" si="468"/>
        <v/>
      </c>
      <c r="CS205" s="305" t="str">
        <f t="shared" ca="1" si="469"/>
        <v/>
      </c>
      <c r="CT205" s="305" t="str">
        <f t="shared" ca="1" si="470"/>
        <v/>
      </c>
      <c r="CU205" s="305" t="str">
        <f t="shared" ca="1" si="471"/>
        <v/>
      </c>
      <c r="CV205" s="770" t="str">
        <f t="shared" ca="1" si="472"/>
        <v/>
      </c>
      <c r="CW205" s="302">
        <f t="shared" ca="1" si="473"/>
        <v>0</v>
      </c>
      <c r="CX205" s="299">
        <f t="shared" ca="1" si="474"/>
        <v>0</v>
      </c>
      <c r="CY205" s="299">
        <f t="shared" ca="1" si="475"/>
        <v>0</v>
      </c>
      <c r="CZ205" s="299">
        <f t="shared" ca="1" si="476"/>
        <v>0</v>
      </c>
      <c r="DA205" s="774">
        <f t="shared" ca="1" si="477"/>
        <v>0</v>
      </c>
      <c r="DB205" s="303">
        <f t="shared" ca="1" si="478"/>
        <v>0</v>
      </c>
      <c r="DC205" s="248">
        <f t="shared" ca="1" si="479"/>
        <v>0</v>
      </c>
      <c r="DD205" s="778">
        <f t="shared" ca="1" si="480"/>
        <v>0</v>
      </c>
      <c r="DE205" s="363">
        <f t="shared" ca="1" si="481"/>
        <v>0</v>
      </c>
      <c r="DF205" s="378" t="str">
        <f t="shared" ca="1" si="482"/>
        <v/>
      </c>
      <c r="DG205" s="508" t="str">
        <f t="shared" ca="1" si="483"/>
        <v/>
      </c>
      <c r="DH205" s="508" t="str">
        <f t="shared" ca="1" si="484"/>
        <v/>
      </c>
      <c r="DI205" s="508" t="str">
        <f t="shared" ca="1" si="485"/>
        <v/>
      </c>
      <c r="DJ205" s="508" t="str">
        <f t="shared" ca="1" si="486"/>
        <v/>
      </c>
      <c r="DK205" s="353">
        <f t="shared" ca="1" si="487"/>
        <v>0</v>
      </c>
      <c r="DL205" s="781">
        <f t="shared" ca="1" si="488"/>
        <v>0</v>
      </c>
      <c r="DM205" s="303">
        <f t="shared" ca="1" si="489"/>
        <v>0</v>
      </c>
      <c r="DN205" s="508" t="str">
        <f t="shared" ca="1" si="490"/>
        <v/>
      </c>
      <c r="DO205" s="508" t="str">
        <f t="shared" ca="1" si="491"/>
        <v/>
      </c>
      <c r="DP205" s="508" t="str">
        <f t="shared" ca="1" si="492"/>
        <v/>
      </c>
      <c r="DQ205" s="508" t="str">
        <f t="shared" ca="1" si="493"/>
        <v/>
      </c>
      <c r="DR205" s="508" t="str">
        <f t="shared" ca="1" si="494"/>
        <v/>
      </c>
      <c r="DS205" s="353">
        <f t="shared" ca="1" si="495"/>
        <v>0</v>
      </c>
      <c r="DT205" s="353">
        <f t="shared" ca="1" si="496"/>
        <v>0</v>
      </c>
      <c r="DU205" s="380">
        <f t="shared" ca="1" si="596"/>
        <v>15.748117727583846</v>
      </c>
      <c r="DV205" s="303">
        <f t="shared" ca="1" si="497"/>
        <v>0</v>
      </c>
      <c r="DW205" s="303">
        <f t="shared" ca="1" si="498"/>
        <v>0</v>
      </c>
      <c r="DX205" s="303">
        <f t="shared" ca="1" si="499"/>
        <v>0</v>
      </c>
      <c r="DY205" s="303">
        <f t="shared" ca="1" si="500"/>
        <v>0</v>
      </c>
      <c r="DZ205" s="303">
        <f t="shared" ca="1" si="501"/>
        <v>0</v>
      </c>
      <c r="EA205" s="303">
        <f t="shared" ca="1" si="502"/>
        <v>0</v>
      </c>
      <c r="EB205" s="302">
        <f t="shared" ca="1" si="503"/>
        <v>0</v>
      </c>
      <c r="EC205" s="299">
        <f t="shared" ca="1" si="504"/>
        <v>0</v>
      </c>
      <c r="ED205" s="299">
        <f t="shared" ca="1" si="505"/>
        <v>0</v>
      </c>
      <c r="EE205" s="299">
        <f t="shared" ca="1" si="506"/>
        <v>0</v>
      </c>
      <c r="EF205" s="299">
        <f t="shared" ca="1" si="507"/>
        <v>0</v>
      </c>
      <c r="EG205" s="299">
        <f t="shared" ca="1" si="508"/>
        <v>0</v>
      </c>
      <c r="EH205" s="302">
        <f t="shared" ca="1" si="509"/>
        <v>0</v>
      </c>
      <c r="EI205" s="304" t="str">
        <f t="shared" ca="1" si="510"/>
        <v/>
      </c>
      <c r="EJ205" s="305" t="str">
        <f t="shared" ca="1" si="511"/>
        <v/>
      </c>
      <c r="EK205" s="305" t="str">
        <f t="shared" ca="1" si="512"/>
        <v/>
      </c>
      <c r="EL205" s="305" t="str">
        <f t="shared" ca="1" si="513"/>
        <v/>
      </c>
      <c r="EM205" s="305" t="str">
        <f t="shared" ca="1" si="514"/>
        <v/>
      </c>
      <c r="EN205" s="305" t="str">
        <f t="shared" ca="1" si="515"/>
        <v/>
      </c>
      <c r="EO205" s="305" t="str">
        <f t="shared" ca="1" si="516"/>
        <v/>
      </c>
      <c r="EP205" s="305" t="str">
        <f t="shared" ca="1" si="517"/>
        <v/>
      </c>
      <c r="EQ205" s="305" t="str">
        <f t="shared" ca="1" si="518"/>
        <v/>
      </c>
      <c r="ER205" s="305" t="str">
        <f t="shared" ca="1" si="519"/>
        <v/>
      </c>
      <c r="ES205" s="305" t="str">
        <f t="shared" ca="1" si="520"/>
        <v/>
      </c>
      <c r="ET205" s="299">
        <f t="shared" ca="1" si="521"/>
        <v>0</v>
      </c>
      <c r="EU205" s="302">
        <f t="shared" ca="1" si="522"/>
        <v>0</v>
      </c>
      <c r="EV205" s="304" t="str">
        <f t="shared" ca="1" si="523"/>
        <v/>
      </c>
      <c r="EW205" s="305" t="str">
        <f t="shared" ca="1" si="524"/>
        <v/>
      </c>
      <c r="EX205" s="305" t="str">
        <f t="shared" ca="1" si="525"/>
        <v/>
      </c>
      <c r="EY205" s="305" t="str">
        <f t="shared" ca="1" si="526"/>
        <v/>
      </c>
      <c r="EZ205" s="305" t="str">
        <f t="shared" ca="1" si="527"/>
        <v/>
      </c>
      <c r="FA205" s="305" t="str">
        <f t="shared" ca="1" si="528"/>
        <v/>
      </c>
      <c r="FB205" s="305" t="str">
        <f t="shared" ca="1" si="529"/>
        <v/>
      </c>
      <c r="FC205" s="305" t="str">
        <f t="shared" ca="1" si="530"/>
        <v/>
      </c>
      <c r="FD205" s="305" t="str">
        <f t="shared" ca="1" si="531"/>
        <v/>
      </c>
      <c r="FE205" s="305" t="str">
        <f t="shared" ca="1" si="532"/>
        <v/>
      </c>
      <c r="FF205" s="305" t="str">
        <f t="shared" ca="1" si="533"/>
        <v/>
      </c>
      <c r="FG205" s="299">
        <f t="shared" ca="1" si="534"/>
        <v>0</v>
      </c>
      <c r="FH205" s="302">
        <f t="shared" ca="1" si="535"/>
        <v>0</v>
      </c>
      <c r="FI205" s="248">
        <f t="shared" ca="1" si="536"/>
        <v>0</v>
      </c>
      <c r="FJ205" s="363">
        <f t="shared" ca="1" si="537"/>
        <v>0</v>
      </c>
      <c r="FK205" s="378" t="str">
        <f t="shared" ca="1" si="538"/>
        <v/>
      </c>
      <c r="FL205" s="508" t="str">
        <f t="shared" ca="1" si="539"/>
        <v/>
      </c>
      <c r="FM205" s="508" t="str">
        <f t="shared" ca="1" si="540"/>
        <v/>
      </c>
      <c r="FN205" s="508" t="str">
        <f t="shared" ca="1" si="541"/>
        <v/>
      </c>
      <c r="FO205" s="508" t="str">
        <f t="shared" ca="1" si="542"/>
        <v/>
      </c>
      <c r="FP205" s="353">
        <f t="shared" ca="1" si="543"/>
        <v>0</v>
      </c>
      <c r="FQ205" s="356">
        <f t="shared" ca="1" si="544"/>
        <v>0</v>
      </c>
      <c r="FR205" s="380">
        <f t="shared" ca="1" si="545"/>
        <v>0</v>
      </c>
      <c r="FS205" s="299">
        <f t="shared" ca="1" si="546"/>
        <v>0</v>
      </c>
      <c r="FT205" s="299">
        <f t="shared" ca="1" si="547"/>
        <v>0</v>
      </c>
      <c r="FU205" s="299">
        <f t="shared" ca="1" si="548"/>
        <v>0</v>
      </c>
      <c r="FV205" s="299">
        <f t="shared" ca="1" si="549"/>
        <v>0</v>
      </c>
      <c r="FW205" s="850" t="str">
        <f t="shared" ca="1" si="550"/>
        <v/>
      </c>
      <c r="FX205" s="851" t="str">
        <f t="shared" ca="1" si="551"/>
        <v/>
      </c>
      <c r="FY205" s="851" t="str">
        <f t="shared" ca="1" si="552"/>
        <v/>
      </c>
      <c r="FZ205" s="201" t="str">
        <f t="shared" ca="1" si="553"/>
        <v/>
      </c>
      <c r="GA205" s="201" t="str">
        <f t="shared" ca="1" si="554"/>
        <v/>
      </c>
      <c r="GB205" s="201" t="str">
        <f t="shared" ca="1" si="555"/>
        <v/>
      </c>
      <c r="GC205" s="201" t="str">
        <f t="shared" ca="1" si="556"/>
        <v/>
      </c>
      <c r="GD205" s="850" t="str">
        <f t="shared" ca="1" si="557"/>
        <v/>
      </c>
      <c r="GE205" s="866" t="str">
        <f t="shared" ca="1" si="558"/>
        <v/>
      </c>
      <c r="GF205" s="866" t="str">
        <f t="shared" ca="1" si="559"/>
        <v/>
      </c>
      <c r="GG205" s="866" t="str">
        <f t="shared" ca="1" si="560"/>
        <v/>
      </c>
      <c r="GH205" s="866" t="str">
        <f t="shared" ca="1" si="561"/>
        <v/>
      </c>
      <c r="GI205" s="302">
        <f t="shared" ca="1" si="562"/>
        <v>0</v>
      </c>
      <c r="GJ205" s="299">
        <f t="shared" ca="1" si="563"/>
        <v>0</v>
      </c>
      <c r="GK205" s="299">
        <f t="shared" ca="1" si="564"/>
        <v>0</v>
      </c>
      <c r="GL205" s="299">
        <f t="shared" ca="1" si="565"/>
        <v>0</v>
      </c>
      <c r="GM205" s="299">
        <f t="shared" ca="1" si="566"/>
        <v>0</v>
      </c>
      <c r="GN205" s="302">
        <f t="shared" ca="1" si="567"/>
        <v>0</v>
      </c>
      <c r="GO205" s="299">
        <f t="shared" ca="1" si="568"/>
        <v>0</v>
      </c>
      <c r="GP205" s="299">
        <f t="shared" ca="1" si="569"/>
        <v>0</v>
      </c>
      <c r="GQ205" s="299">
        <f t="shared" ca="1" si="570"/>
        <v>0</v>
      </c>
      <c r="GR205" s="299">
        <f t="shared" ca="1" si="571"/>
        <v>0</v>
      </c>
      <c r="GS205" s="302">
        <f t="shared" ca="1" si="572"/>
        <v>0</v>
      </c>
      <c r="GT205" s="299">
        <f t="shared" ca="1" si="573"/>
        <v>0</v>
      </c>
      <c r="GU205" s="299">
        <f t="shared" ca="1" si="574"/>
        <v>0</v>
      </c>
      <c r="GV205" s="299">
        <f t="shared" ca="1" si="575"/>
        <v>0</v>
      </c>
      <c r="GW205" s="299">
        <f t="shared" ca="1" si="576"/>
        <v>0</v>
      </c>
      <c r="GX205" s="303">
        <f t="shared" ca="1" si="577"/>
        <v>0</v>
      </c>
      <c r="GY205" s="303">
        <f t="shared" ca="1" si="578"/>
        <v>0</v>
      </c>
      <c r="GZ205" s="303">
        <f t="shared" ca="1" si="579"/>
        <v>0</v>
      </c>
      <c r="HA205" s="303">
        <f t="shared" ca="1" si="580"/>
        <v>0</v>
      </c>
      <c r="HB205" s="303">
        <f t="shared" ca="1" si="581"/>
        <v>0</v>
      </c>
      <c r="HC205" s="303">
        <f t="shared" ca="1" si="582"/>
        <v>0</v>
      </c>
      <c r="HD205" s="303">
        <f t="shared" ca="1" si="583"/>
        <v>0</v>
      </c>
      <c r="HE205" s="303">
        <f t="shared" ca="1" si="584"/>
        <v>0</v>
      </c>
      <c r="HF205" s="303">
        <f t="shared" ca="1" si="585"/>
        <v>0</v>
      </c>
      <c r="HG205" s="852">
        <f t="shared" ca="1" si="586"/>
        <v>0</v>
      </c>
    </row>
    <row r="206" spans="1:215" x14ac:dyDescent="0.25">
      <c r="A206" s="244">
        <f t="shared" ca="1" si="587"/>
        <v>42370</v>
      </c>
      <c r="B206" s="13">
        <f t="shared" ca="1" si="620"/>
        <v>2016</v>
      </c>
      <c r="C206" s="619">
        <f t="shared" ca="1" si="621"/>
        <v>1</v>
      </c>
      <c r="D206" s="195">
        <f t="shared" ca="1" si="417"/>
        <v>42370</v>
      </c>
      <c r="E206" s="469" t="str">
        <f t="shared" ca="1" si="418"/>
        <v/>
      </c>
      <c r="F206" s="465" t="str">
        <f t="shared" ca="1" si="419"/>
        <v/>
      </c>
      <c r="G206" s="522">
        <f t="shared" ca="1" si="588"/>
        <v>1</v>
      </c>
      <c r="H206" s="519">
        <f t="shared" ca="1" si="589"/>
        <v>1</v>
      </c>
      <c r="I206" s="724">
        <f t="shared" ca="1" si="622"/>
        <v>7.4184414444858002E-2</v>
      </c>
      <c r="J206" s="198">
        <f t="shared" ca="1" si="421"/>
        <v>0.31246174410522981</v>
      </c>
      <c r="K206" s="200">
        <f t="shared" ca="1" si="597"/>
        <v>37.15</v>
      </c>
      <c r="L206" s="201">
        <f t="shared" ca="1" si="598"/>
        <v>39.25</v>
      </c>
      <c r="M206" s="206">
        <f t="shared" ca="1" si="599"/>
        <v>41.35</v>
      </c>
      <c r="N206" s="851">
        <f t="shared" ca="1" si="603"/>
        <v>29.673748779296865</v>
      </c>
      <c r="O206" s="201">
        <f t="shared" ca="1" si="604"/>
        <v>31.248748779296864</v>
      </c>
      <c r="P206" s="206">
        <f t="shared" ca="1" si="605"/>
        <v>32.823748779296864</v>
      </c>
      <c r="Q206" s="201">
        <f t="shared" ca="1" si="606"/>
        <v>25.452500534057606</v>
      </c>
      <c r="R206" s="201">
        <f t="shared" ca="1" si="607"/>
        <v>29.752500534057607</v>
      </c>
      <c r="S206" s="201">
        <f t="shared" ca="1" si="608"/>
        <v>34.052500534057607</v>
      </c>
      <c r="T206" s="851">
        <f t="shared" ca="1" si="600"/>
        <v>21.340000152587884</v>
      </c>
      <c r="U206" s="201">
        <f t="shared" ca="1" si="601"/>
        <v>22.390000152587884</v>
      </c>
      <c r="V206" s="206">
        <f t="shared" ca="1" si="602"/>
        <v>23.440000152587885</v>
      </c>
      <c r="W206" s="230">
        <f t="shared" ca="1" si="590"/>
        <v>6.5555709067605064E-2</v>
      </c>
      <c r="X206" s="231">
        <f t="shared" ca="1" si="591"/>
        <v>0.13111141813521013</v>
      </c>
      <c r="Y206" s="232">
        <f t="shared" ca="1" si="592"/>
        <v>0.19666712720281521</v>
      </c>
      <c r="Z206" s="231">
        <f t="shared" ca="1" si="612"/>
        <v>6.5555709067605064E-2</v>
      </c>
      <c r="AA206" s="231">
        <f t="shared" ca="1" si="613"/>
        <v>0.13111141813521013</v>
      </c>
      <c r="AB206" s="232">
        <f t="shared" ca="1" si="614"/>
        <v>0.19666712720281521</v>
      </c>
      <c r="AC206" s="231">
        <f t="shared" ca="1" si="615"/>
        <v>6.5555709067605064E-2</v>
      </c>
      <c r="AD206" s="231">
        <f t="shared" ca="1" si="616"/>
        <v>0.13111141813521013</v>
      </c>
      <c r="AE206" s="232">
        <f t="shared" ca="1" si="422"/>
        <v>0.19666712720281521</v>
      </c>
      <c r="AF206" s="231">
        <f t="shared" ca="1" si="593"/>
        <v>2.5332920220737354E-2</v>
      </c>
      <c r="AG206" s="231">
        <f t="shared" ca="1" si="594"/>
        <v>5.0665840441474708E-2</v>
      </c>
      <c r="AH206" s="232">
        <f t="shared" ca="1" si="595"/>
        <v>7.5998760662212062E-2</v>
      </c>
      <c r="AI206" s="233">
        <f t="shared" ca="1" si="423"/>
        <v>1.25</v>
      </c>
      <c r="AJ206" s="233">
        <f t="shared" ca="1" si="424"/>
        <v>2</v>
      </c>
      <c r="AK206" s="234">
        <f t="shared" ca="1" si="425"/>
        <v>2.75</v>
      </c>
      <c r="AL206" s="919">
        <f t="shared" ca="1" si="426"/>
        <v>1.25</v>
      </c>
      <c r="AM206" s="233">
        <f t="shared" ca="1" si="427"/>
        <v>2</v>
      </c>
      <c r="AN206" s="234">
        <f t="shared" ca="1" si="428"/>
        <v>2.75</v>
      </c>
      <c r="AO206" s="233">
        <f t="shared" ca="1" si="429"/>
        <v>1.25</v>
      </c>
      <c r="AP206" s="233">
        <f t="shared" ca="1" si="430"/>
        <v>2</v>
      </c>
      <c r="AQ206" s="233">
        <f t="shared" ca="1" si="431"/>
        <v>2.75</v>
      </c>
      <c r="AR206" s="919">
        <f t="shared" ca="1" si="432"/>
        <v>0.35</v>
      </c>
      <c r="AS206" s="233">
        <f t="shared" ca="1" si="433"/>
        <v>0.5</v>
      </c>
      <c r="AT206" s="235">
        <f t="shared" ca="1" si="434"/>
        <v>0.7</v>
      </c>
      <c r="AU206" s="946">
        <f t="shared" si="435"/>
        <v>0.5</v>
      </c>
      <c r="AV206" s="13">
        <f t="shared" ca="1" si="436"/>
        <v>0</v>
      </c>
      <c r="AW206" s="210">
        <f t="shared" ca="1" si="437"/>
        <v>0</v>
      </c>
      <c r="AX206" s="210">
        <f t="shared" ca="1" si="438"/>
        <v>0</v>
      </c>
      <c r="AY206" s="210">
        <f t="shared" ca="1" si="439"/>
        <v>0</v>
      </c>
      <c r="AZ206" s="13">
        <f t="shared" ca="1" si="440"/>
        <v>0</v>
      </c>
      <c r="BA206" s="357">
        <f ca="1"/>
        <v>0</v>
      </c>
      <c r="BB206" s="925">
        <f ca="1"/>
        <v>0</v>
      </c>
      <c r="BC206" s="925">
        <f ca="1"/>
        <v>0</v>
      </c>
      <c r="BD206" s="928">
        <f ca="1"/>
        <v>0</v>
      </c>
      <c r="BE206" s="200">
        <f ca="1"/>
        <v>0</v>
      </c>
      <c r="BF206" s="851">
        <f ca="1"/>
        <v>0</v>
      </c>
      <c r="BG206" s="851">
        <f ca="1"/>
        <v>0</v>
      </c>
      <c r="BH206" s="933">
        <f ca="1"/>
        <v>0</v>
      </c>
      <c r="BI206" s="357">
        <f ca="1"/>
        <v>0</v>
      </c>
      <c r="BJ206" s="925">
        <f ca="1"/>
        <v>0</v>
      </c>
      <c r="BK206" s="925">
        <f ca="1"/>
        <v>0</v>
      </c>
      <c r="BL206" s="928">
        <f ca="1"/>
        <v>0</v>
      </c>
      <c r="BM206" s="200">
        <f ca="1"/>
        <v>0</v>
      </c>
      <c r="BN206" s="851">
        <f ca="1"/>
        <v>0</v>
      </c>
      <c r="BO206" s="851">
        <f ca="1"/>
        <v>0</v>
      </c>
      <c r="BP206" s="933">
        <f ca="1"/>
        <v>0</v>
      </c>
      <c r="BQ206" s="357">
        <f t="shared" ca="1" si="441"/>
        <v>0</v>
      </c>
      <c r="BR206" s="361">
        <f t="shared" ca="1" si="442"/>
        <v>0</v>
      </c>
      <c r="BS206" s="357">
        <f t="shared" ca="1" si="443"/>
        <v>0</v>
      </c>
      <c r="BT206" s="302">
        <f t="shared" ca="1" si="444"/>
        <v>0</v>
      </c>
      <c r="BU206" s="299">
        <f t="shared" ca="1" si="445"/>
        <v>0</v>
      </c>
      <c r="BV206" s="299">
        <f t="shared" ca="1" si="446"/>
        <v>0</v>
      </c>
      <c r="BW206" s="299">
        <f t="shared" ca="1" si="447"/>
        <v>0</v>
      </c>
      <c r="BX206" s="380">
        <f t="shared" ca="1" si="448"/>
        <v>15.832991101984941</v>
      </c>
      <c r="BY206" s="363">
        <f t="shared" ca="1" si="449"/>
        <v>0</v>
      </c>
      <c r="BZ206" s="353">
        <f t="shared" ca="1" si="450"/>
        <v>0</v>
      </c>
      <c r="CA206" s="353">
        <f t="shared" ca="1" si="451"/>
        <v>0</v>
      </c>
      <c r="CB206" s="353">
        <f t="shared" ca="1" si="452"/>
        <v>0</v>
      </c>
      <c r="CC206" s="353">
        <f t="shared" ca="1" si="453"/>
        <v>0</v>
      </c>
      <c r="CD206" s="353">
        <f t="shared" ca="1" si="454"/>
        <v>0</v>
      </c>
      <c r="CE206" s="302">
        <f t="shared" ca="1" si="455"/>
        <v>0</v>
      </c>
      <c r="CF206" s="299">
        <f t="shared" ca="1" si="456"/>
        <v>0</v>
      </c>
      <c r="CG206" s="299">
        <f t="shared" ca="1" si="457"/>
        <v>0</v>
      </c>
      <c r="CH206" s="299">
        <f t="shared" ca="1" si="458"/>
        <v>0</v>
      </c>
      <c r="CI206" s="299">
        <f t="shared" ca="1" si="459"/>
        <v>0</v>
      </c>
      <c r="CJ206" s="299">
        <f t="shared" ca="1" si="460"/>
        <v>0</v>
      </c>
      <c r="CK206" s="299">
        <f t="shared" ca="1" si="461"/>
        <v>0</v>
      </c>
      <c r="CL206" s="377" t="str">
        <f t="shared" ca="1" si="462"/>
        <v/>
      </c>
      <c r="CM206" s="305" t="str">
        <f t="shared" ca="1" si="463"/>
        <v/>
      </c>
      <c r="CN206" s="305" t="str">
        <f t="shared" ca="1" si="464"/>
        <v/>
      </c>
      <c r="CO206" s="305" t="str">
        <f t="shared" ca="1" si="465"/>
        <v/>
      </c>
      <c r="CP206" s="305" t="str">
        <f t="shared" ca="1" si="466"/>
        <v/>
      </c>
      <c r="CQ206" s="305" t="str">
        <f t="shared" ca="1" si="467"/>
        <v/>
      </c>
      <c r="CR206" s="775" t="str">
        <f t="shared" ca="1" si="468"/>
        <v/>
      </c>
      <c r="CS206" s="305" t="str">
        <f t="shared" ca="1" si="469"/>
        <v/>
      </c>
      <c r="CT206" s="305" t="str">
        <f t="shared" ca="1" si="470"/>
        <v/>
      </c>
      <c r="CU206" s="305" t="str">
        <f t="shared" ca="1" si="471"/>
        <v/>
      </c>
      <c r="CV206" s="770" t="str">
        <f t="shared" ca="1" si="472"/>
        <v/>
      </c>
      <c r="CW206" s="302">
        <f t="shared" ca="1" si="473"/>
        <v>0</v>
      </c>
      <c r="CX206" s="299">
        <f t="shared" ca="1" si="474"/>
        <v>0</v>
      </c>
      <c r="CY206" s="299">
        <f t="shared" ca="1" si="475"/>
        <v>0</v>
      </c>
      <c r="CZ206" s="299">
        <f t="shared" ca="1" si="476"/>
        <v>0</v>
      </c>
      <c r="DA206" s="774">
        <f t="shared" ca="1" si="477"/>
        <v>0</v>
      </c>
      <c r="DB206" s="303">
        <f t="shared" ca="1" si="478"/>
        <v>0</v>
      </c>
      <c r="DC206" s="248">
        <f t="shared" ca="1" si="479"/>
        <v>0</v>
      </c>
      <c r="DD206" s="778">
        <f t="shared" ca="1" si="480"/>
        <v>0</v>
      </c>
      <c r="DE206" s="363">
        <f t="shared" ca="1" si="481"/>
        <v>0</v>
      </c>
      <c r="DF206" s="378" t="str">
        <f t="shared" ca="1" si="482"/>
        <v/>
      </c>
      <c r="DG206" s="508" t="str">
        <f t="shared" ca="1" si="483"/>
        <v/>
      </c>
      <c r="DH206" s="508" t="str">
        <f t="shared" ca="1" si="484"/>
        <v/>
      </c>
      <c r="DI206" s="508" t="str">
        <f t="shared" ca="1" si="485"/>
        <v/>
      </c>
      <c r="DJ206" s="508" t="str">
        <f t="shared" ca="1" si="486"/>
        <v/>
      </c>
      <c r="DK206" s="353">
        <f t="shared" ca="1" si="487"/>
        <v>0</v>
      </c>
      <c r="DL206" s="781">
        <f t="shared" ca="1" si="488"/>
        <v>0</v>
      </c>
      <c r="DM206" s="303">
        <f t="shared" ca="1" si="489"/>
        <v>0</v>
      </c>
      <c r="DN206" s="508" t="str">
        <f t="shared" ca="1" si="490"/>
        <v/>
      </c>
      <c r="DO206" s="508" t="str">
        <f t="shared" ca="1" si="491"/>
        <v/>
      </c>
      <c r="DP206" s="508" t="str">
        <f t="shared" ca="1" si="492"/>
        <v/>
      </c>
      <c r="DQ206" s="508" t="str">
        <f t="shared" ca="1" si="493"/>
        <v/>
      </c>
      <c r="DR206" s="508" t="str">
        <f t="shared" ca="1" si="494"/>
        <v/>
      </c>
      <c r="DS206" s="353">
        <f t="shared" ca="1" si="495"/>
        <v>0</v>
      </c>
      <c r="DT206" s="353">
        <f t="shared" ca="1" si="496"/>
        <v>0</v>
      </c>
      <c r="DU206" s="380">
        <f t="shared" ca="1" si="596"/>
        <v>15.832991101984941</v>
      </c>
      <c r="DV206" s="303">
        <f t="shared" ca="1" si="497"/>
        <v>0</v>
      </c>
      <c r="DW206" s="303">
        <f t="shared" ca="1" si="498"/>
        <v>0</v>
      </c>
      <c r="DX206" s="303">
        <f t="shared" ca="1" si="499"/>
        <v>0</v>
      </c>
      <c r="DY206" s="303">
        <f t="shared" ca="1" si="500"/>
        <v>0</v>
      </c>
      <c r="DZ206" s="303">
        <f t="shared" ca="1" si="501"/>
        <v>0</v>
      </c>
      <c r="EA206" s="303">
        <f t="shared" ca="1" si="502"/>
        <v>0</v>
      </c>
      <c r="EB206" s="302">
        <f t="shared" ca="1" si="503"/>
        <v>0</v>
      </c>
      <c r="EC206" s="299">
        <f t="shared" ca="1" si="504"/>
        <v>0</v>
      </c>
      <c r="ED206" s="299">
        <f t="shared" ca="1" si="505"/>
        <v>0</v>
      </c>
      <c r="EE206" s="299">
        <f t="shared" ca="1" si="506"/>
        <v>0</v>
      </c>
      <c r="EF206" s="299">
        <f t="shared" ca="1" si="507"/>
        <v>0</v>
      </c>
      <c r="EG206" s="299">
        <f t="shared" ca="1" si="508"/>
        <v>0</v>
      </c>
      <c r="EH206" s="302">
        <f t="shared" ca="1" si="509"/>
        <v>0</v>
      </c>
      <c r="EI206" s="304" t="str">
        <f t="shared" ca="1" si="510"/>
        <v/>
      </c>
      <c r="EJ206" s="305" t="str">
        <f t="shared" ca="1" si="511"/>
        <v/>
      </c>
      <c r="EK206" s="305" t="str">
        <f t="shared" ca="1" si="512"/>
        <v/>
      </c>
      <c r="EL206" s="305" t="str">
        <f t="shared" ca="1" si="513"/>
        <v/>
      </c>
      <c r="EM206" s="305" t="str">
        <f t="shared" ca="1" si="514"/>
        <v/>
      </c>
      <c r="EN206" s="305" t="str">
        <f t="shared" ca="1" si="515"/>
        <v/>
      </c>
      <c r="EO206" s="305" t="str">
        <f t="shared" ca="1" si="516"/>
        <v/>
      </c>
      <c r="EP206" s="305" t="str">
        <f t="shared" ca="1" si="517"/>
        <v/>
      </c>
      <c r="EQ206" s="305" t="str">
        <f t="shared" ca="1" si="518"/>
        <v/>
      </c>
      <c r="ER206" s="305" t="str">
        <f t="shared" ca="1" si="519"/>
        <v/>
      </c>
      <c r="ES206" s="305" t="str">
        <f t="shared" ca="1" si="520"/>
        <v/>
      </c>
      <c r="ET206" s="299">
        <f t="shared" ca="1" si="521"/>
        <v>0</v>
      </c>
      <c r="EU206" s="302">
        <f t="shared" ca="1" si="522"/>
        <v>0</v>
      </c>
      <c r="EV206" s="304" t="str">
        <f t="shared" ca="1" si="523"/>
        <v/>
      </c>
      <c r="EW206" s="305" t="str">
        <f t="shared" ca="1" si="524"/>
        <v/>
      </c>
      <c r="EX206" s="305" t="str">
        <f t="shared" ca="1" si="525"/>
        <v/>
      </c>
      <c r="EY206" s="305" t="str">
        <f t="shared" ca="1" si="526"/>
        <v/>
      </c>
      <c r="EZ206" s="305" t="str">
        <f t="shared" ca="1" si="527"/>
        <v/>
      </c>
      <c r="FA206" s="305" t="str">
        <f t="shared" ca="1" si="528"/>
        <v/>
      </c>
      <c r="FB206" s="305" t="str">
        <f t="shared" ca="1" si="529"/>
        <v/>
      </c>
      <c r="FC206" s="305" t="str">
        <f t="shared" ca="1" si="530"/>
        <v/>
      </c>
      <c r="FD206" s="305" t="str">
        <f t="shared" ca="1" si="531"/>
        <v/>
      </c>
      <c r="FE206" s="305" t="str">
        <f t="shared" ca="1" si="532"/>
        <v/>
      </c>
      <c r="FF206" s="305" t="str">
        <f t="shared" ca="1" si="533"/>
        <v/>
      </c>
      <c r="FG206" s="299">
        <f t="shared" ca="1" si="534"/>
        <v>0</v>
      </c>
      <c r="FH206" s="302">
        <f t="shared" ca="1" si="535"/>
        <v>0</v>
      </c>
      <c r="FI206" s="248">
        <f t="shared" ca="1" si="536"/>
        <v>0</v>
      </c>
      <c r="FJ206" s="363">
        <f t="shared" ca="1" si="537"/>
        <v>0</v>
      </c>
      <c r="FK206" s="378" t="str">
        <f t="shared" ca="1" si="538"/>
        <v/>
      </c>
      <c r="FL206" s="508" t="str">
        <f t="shared" ca="1" si="539"/>
        <v/>
      </c>
      <c r="FM206" s="508" t="str">
        <f t="shared" ca="1" si="540"/>
        <v/>
      </c>
      <c r="FN206" s="508" t="str">
        <f t="shared" ca="1" si="541"/>
        <v/>
      </c>
      <c r="FO206" s="508" t="str">
        <f t="shared" ca="1" si="542"/>
        <v/>
      </c>
      <c r="FP206" s="353">
        <f t="shared" ca="1" si="543"/>
        <v>0</v>
      </c>
      <c r="FQ206" s="356">
        <f t="shared" ca="1" si="544"/>
        <v>0</v>
      </c>
      <c r="FR206" s="380">
        <f t="shared" ca="1" si="545"/>
        <v>0</v>
      </c>
      <c r="FS206" s="299">
        <f t="shared" ca="1" si="546"/>
        <v>0</v>
      </c>
      <c r="FT206" s="299">
        <f t="shared" ca="1" si="547"/>
        <v>0</v>
      </c>
      <c r="FU206" s="299">
        <f t="shared" ca="1" si="548"/>
        <v>0</v>
      </c>
      <c r="FV206" s="299">
        <f t="shared" ca="1" si="549"/>
        <v>0</v>
      </c>
      <c r="FW206" s="850" t="str">
        <f t="shared" ca="1" si="550"/>
        <v/>
      </c>
      <c r="FX206" s="851" t="str">
        <f t="shared" ca="1" si="551"/>
        <v/>
      </c>
      <c r="FY206" s="851" t="str">
        <f t="shared" ca="1" si="552"/>
        <v/>
      </c>
      <c r="FZ206" s="201" t="str">
        <f t="shared" ca="1" si="553"/>
        <v/>
      </c>
      <c r="GA206" s="201" t="str">
        <f t="shared" ca="1" si="554"/>
        <v/>
      </c>
      <c r="GB206" s="201" t="str">
        <f t="shared" ca="1" si="555"/>
        <v/>
      </c>
      <c r="GC206" s="201" t="str">
        <f t="shared" ca="1" si="556"/>
        <v/>
      </c>
      <c r="GD206" s="850" t="str">
        <f t="shared" ca="1" si="557"/>
        <v/>
      </c>
      <c r="GE206" s="866" t="str">
        <f t="shared" ca="1" si="558"/>
        <v/>
      </c>
      <c r="GF206" s="866" t="str">
        <f t="shared" ca="1" si="559"/>
        <v/>
      </c>
      <c r="GG206" s="866" t="str">
        <f t="shared" ca="1" si="560"/>
        <v/>
      </c>
      <c r="GH206" s="866" t="str">
        <f t="shared" ca="1" si="561"/>
        <v/>
      </c>
      <c r="GI206" s="302">
        <f t="shared" ca="1" si="562"/>
        <v>0</v>
      </c>
      <c r="GJ206" s="299">
        <f t="shared" ca="1" si="563"/>
        <v>0</v>
      </c>
      <c r="GK206" s="299">
        <f t="shared" ca="1" si="564"/>
        <v>0</v>
      </c>
      <c r="GL206" s="299">
        <f t="shared" ca="1" si="565"/>
        <v>0</v>
      </c>
      <c r="GM206" s="299">
        <f t="shared" ca="1" si="566"/>
        <v>0</v>
      </c>
      <c r="GN206" s="302">
        <f t="shared" ca="1" si="567"/>
        <v>0</v>
      </c>
      <c r="GO206" s="299">
        <f t="shared" ca="1" si="568"/>
        <v>0</v>
      </c>
      <c r="GP206" s="299">
        <f t="shared" ca="1" si="569"/>
        <v>0</v>
      </c>
      <c r="GQ206" s="299">
        <f t="shared" ca="1" si="570"/>
        <v>0</v>
      </c>
      <c r="GR206" s="299">
        <f t="shared" ca="1" si="571"/>
        <v>0</v>
      </c>
      <c r="GS206" s="302">
        <f t="shared" ca="1" si="572"/>
        <v>0</v>
      </c>
      <c r="GT206" s="299">
        <f t="shared" ca="1" si="573"/>
        <v>0</v>
      </c>
      <c r="GU206" s="299">
        <f t="shared" ca="1" si="574"/>
        <v>0</v>
      </c>
      <c r="GV206" s="299">
        <f t="shared" ca="1" si="575"/>
        <v>0</v>
      </c>
      <c r="GW206" s="299">
        <f t="shared" ca="1" si="576"/>
        <v>0</v>
      </c>
      <c r="GX206" s="303">
        <f t="shared" ca="1" si="577"/>
        <v>0</v>
      </c>
      <c r="GY206" s="303">
        <f t="shared" ca="1" si="578"/>
        <v>0</v>
      </c>
      <c r="GZ206" s="303">
        <f t="shared" ca="1" si="579"/>
        <v>0</v>
      </c>
      <c r="HA206" s="303">
        <f t="shared" ca="1" si="580"/>
        <v>0</v>
      </c>
      <c r="HB206" s="303">
        <f t="shared" ca="1" si="581"/>
        <v>0</v>
      </c>
      <c r="HC206" s="303">
        <f t="shared" ca="1" si="582"/>
        <v>0</v>
      </c>
      <c r="HD206" s="303">
        <f t="shared" ca="1" si="583"/>
        <v>0</v>
      </c>
      <c r="HE206" s="303">
        <f t="shared" ca="1" si="584"/>
        <v>0</v>
      </c>
      <c r="HF206" s="303">
        <f t="shared" ca="1" si="585"/>
        <v>0</v>
      </c>
      <c r="HG206" s="852">
        <f t="shared" ca="1" si="586"/>
        <v>0</v>
      </c>
    </row>
    <row r="207" spans="1:215" x14ac:dyDescent="0.25">
      <c r="A207" s="244">
        <f t="shared" ca="1" si="587"/>
        <v>42401</v>
      </c>
      <c r="B207" s="13">
        <f t="shared" ca="1" si="620"/>
        <v>2016</v>
      </c>
      <c r="C207" s="619">
        <f t="shared" ca="1" si="621"/>
        <v>2</v>
      </c>
      <c r="D207" s="195" t="str">
        <f t="shared" ca="1" si="417"/>
        <v/>
      </c>
      <c r="E207" s="469" t="str">
        <f t="shared" ca="1" si="418"/>
        <v/>
      </c>
      <c r="F207" s="465" t="str">
        <f t="shared" ca="1" si="419"/>
        <v/>
      </c>
      <c r="G207" s="522">
        <f t="shared" ca="1" si="588"/>
        <v>1</v>
      </c>
      <c r="H207" s="519">
        <f t="shared" ca="1" si="589"/>
        <v>1</v>
      </c>
      <c r="I207" s="724">
        <f t="shared" ca="1" si="622"/>
        <v>7.4184119726977998E-2</v>
      </c>
      <c r="J207" s="198">
        <f t="shared" ca="1" si="421"/>
        <v>0.31066126650514164</v>
      </c>
      <c r="K207" s="200">
        <f t="shared" ca="1" si="597"/>
        <v>37.15</v>
      </c>
      <c r="L207" s="201">
        <f t="shared" ca="1" si="598"/>
        <v>39.25</v>
      </c>
      <c r="M207" s="206">
        <f t="shared" ca="1" si="599"/>
        <v>41.35</v>
      </c>
      <c r="N207" s="851">
        <f t="shared" ca="1" si="603"/>
        <v>28.671250152587881</v>
      </c>
      <c r="O207" s="201">
        <f t="shared" ca="1" si="604"/>
        <v>30.24625015258788</v>
      </c>
      <c r="P207" s="206">
        <f t="shared" ca="1" si="605"/>
        <v>31.821250152587879</v>
      </c>
      <c r="Q207" s="201">
        <f t="shared" ca="1" si="606"/>
        <v>23.447499465942371</v>
      </c>
      <c r="R207" s="201">
        <f t="shared" ca="1" si="607"/>
        <v>27.747499465942372</v>
      </c>
      <c r="S207" s="201">
        <f t="shared" ca="1" si="608"/>
        <v>32.047499465942373</v>
      </c>
      <c r="T207" s="851">
        <f t="shared" ca="1" si="600"/>
        <v>21.149997711181634</v>
      </c>
      <c r="U207" s="201">
        <f t="shared" ca="1" si="601"/>
        <v>22.199997711181634</v>
      </c>
      <c r="V207" s="206">
        <f t="shared" ca="1" si="602"/>
        <v>23.249997711181635</v>
      </c>
      <c r="W207" s="230">
        <f t="shared" ca="1" si="590"/>
        <v>6.3239252916806307E-2</v>
      </c>
      <c r="X207" s="231">
        <f t="shared" ca="1" si="591"/>
        <v>0.12647850583361261</v>
      </c>
      <c r="Y207" s="232">
        <f t="shared" ca="1" si="592"/>
        <v>0.18971775875041891</v>
      </c>
      <c r="Z207" s="231">
        <f t="shared" ca="1" si="612"/>
        <v>6.3239252916806307E-2</v>
      </c>
      <c r="AA207" s="231">
        <f t="shared" ca="1" si="613"/>
        <v>0.12647850583361261</v>
      </c>
      <c r="AB207" s="232">
        <f t="shared" ca="1" si="614"/>
        <v>0.18971775875041891</v>
      </c>
      <c r="AC207" s="231">
        <f t="shared" ca="1" si="615"/>
        <v>6.3239252916806307E-2</v>
      </c>
      <c r="AD207" s="231">
        <f t="shared" ca="1" si="616"/>
        <v>0.12647850583361261</v>
      </c>
      <c r="AE207" s="232">
        <f t="shared" ca="1" si="422"/>
        <v>0.18971775875041891</v>
      </c>
      <c r="AF207" s="231">
        <f t="shared" ca="1" si="593"/>
        <v>2.5332920220737354E-2</v>
      </c>
      <c r="AG207" s="231">
        <f t="shared" ca="1" si="594"/>
        <v>5.0665840441474708E-2</v>
      </c>
      <c r="AH207" s="232">
        <f t="shared" ca="1" si="595"/>
        <v>7.5998760662212062E-2</v>
      </c>
      <c r="AI207" s="233">
        <f t="shared" ca="1" si="423"/>
        <v>1.25</v>
      </c>
      <c r="AJ207" s="233">
        <f t="shared" ca="1" si="424"/>
        <v>2</v>
      </c>
      <c r="AK207" s="234">
        <f t="shared" ca="1" si="425"/>
        <v>2.75</v>
      </c>
      <c r="AL207" s="919">
        <f t="shared" ca="1" si="426"/>
        <v>1.25</v>
      </c>
      <c r="AM207" s="233">
        <f t="shared" ca="1" si="427"/>
        <v>2</v>
      </c>
      <c r="AN207" s="234">
        <f t="shared" ca="1" si="428"/>
        <v>2.75</v>
      </c>
      <c r="AO207" s="233">
        <f t="shared" ca="1" si="429"/>
        <v>1.25</v>
      </c>
      <c r="AP207" s="233">
        <f t="shared" ca="1" si="430"/>
        <v>2</v>
      </c>
      <c r="AQ207" s="233">
        <f t="shared" ca="1" si="431"/>
        <v>2.75</v>
      </c>
      <c r="AR207" s="919">
        <f t="shared" ca="1" si="432"/>
        <v>0.35</v>
      </c>
      <c r="AS207" s="233">
        <f t="shared" ca="1" si="433"/>
        <v>0.5</v>
      </c>
      <c r="AT207" s="235">
        <f t="shared" ca="1" si="434"/>
        <v>0.7</v>
      </c>
      <c r="AU207" s="946">
        <f t="shared" si="435"/>
        <v>0.5</v>
      </c>
      <c r="AV207" s="13">
        <f t="shared" ca="1" si="436"/>
        <v>0</v>
      </c>
      <c r="AW207" s="210">
        <f t="shared" ca="1" si="437"/>
        <v>0</v>
      </c>
      <c r="AX207" s="210">
        <f t="shared" ca="1" si="438"/>
        <v>0</v>
      </c>
      <c r="AY207" s="210">
        <f t="shared" ca="1" si="439"/>
        <v>0</v>
      </c>
      <c r="AZ207" s="13">
        <f t="shared" ca="1" si="440"/>
        <v>0</v>
      </c>
      <c r="BA207" s="357">
        <f ca="1"/>
        <v>0</v>
      </c>
      <c r="BB207" s="925">
        <f ca="1"/>
        <v>0</v>
      </c>
      <c r="BC207" s="925">
        <f ca="1"/>
        <v>0</v>
      </c>
      <c r="BD207" s="928">
        <f ca="1"/>
        <v>0</v>
      </c>
      <c r="BE207" s="200">
        <f ca="1"/>
        <v>0</v>
      </c>
      <c r="BF207" s="851">
        <f ca="1"/>
        <v>0</v>
      </c>
      <c r="BG207" s="851">
        <f ca="1"/>
        <v>0</v>
      </c>
      <c r="BH207" s="933">
        <f ca="1"/>
        <v>0</v>
      </c>
      <c r="BI207" s="357">
        <f ca="1"/>
        <v>0</v>
      </c>
      <c r="BJ207" s="925">
        <f ca="1"/>
        <v>0</v>
      </c>
      <c r="BK207" s="925">
        <f ca="1"/>
        <v>0</v>
      </c>
      <c r="BL207" s="928">
        <f ca="1"/>
        <v>0</v>
      </c>
      <c r="BM207" s="200">
        <f ca="1"/>
        <v>0</v>
      </c>
      <c r="BN207" s="851">
        <f ca="1"/>
        <v>0</v>
      </c>
      <c r="BO207" s="851">
        <f ca="1"/>
        <v>0</v>
      </c>
      <c r="BP207" s="933">
        <f ca="1"/>
        <v>0</v>
      </c>
      <c r="BQ207" s="357">
        <f t="shared" ca="1" si="441"/>
        <v>0</v>
      </c>
      <c r="BR207" s="361">
        <f t="shared" ca="1" si="442"/>
        <v>0</v>
      </c>
      <c r="BS207" s="357">
        <f t="shared" ca="1" si="443"/>
        <v>0</v>
      </c>
      <c r="BT207" s="302">
        <f t="shared" ca="1" si="444"/>
        <v>0</v>
      </c>
      <c r="BU207" s="299">
        <f t="shared" ca="1" si="445"/>
        <v>0</v>
      </c>
      <c r="BV207" s="299">
        <f t="shared" ca="1" si="446"/>
        <v>0</v>
      </c>
      <c r="BW207" s="299">
        <f t="shared" ca="1" si="447"/>
        <v>0</v>
      </c>
      <c r="BX207" s="380">
        <f t="shared" ca="1" si="448"/>
        <v>15.917864476386036</v>
      </c>
      <c r="BY207" s="363">
        <f t="shared" ca="1" si="449"/>
        <v>0</v>
      </c>
      <c r="BZ207" s="353">
        <f t="shared" ca="1" si="450"/>
        <v>0</v>
      </c>
      <c r="CA207" s="353">
        <f t="shared" ca="1" si="451"/>
        <v>0</v>
      </c>
      <c r="CB207" s="353">
        <f t="shared" ca="1" si="452"/>
        <v>0</v>
      </c>
      <c r="CC207" s="353">
        <f t="shared" ca="1" si="453"/>
        <v>0</v>
      </c>
      <c r="CD207" s="353">
        <f t="shared" ca="1" si="454"/>
        <v>0</v>
      </c>
      <c r="CE207" s="302">
        <f t="shared" ca="1" si="455"/>
        <v>0</v>
      </c>
      <c r="CF207" s="299">
        <f t="shared" ca="1" si="456"/>
        <v>0</v>
      </c>
      <c r="CG207" s="299">
        <f t="shared" ca="1" si="457"/>
        <v>0</v>
      </c>
      <c r="CH207" s="299">
        <f t="shared" ca="1" si="458"/>
        <v>0</v>
      </c>
      <c r="CI207" s="299">
        <f t="shared" ca="1" si="459"/>
        <v>0</v>
      </c>
      <c r="CJ207" s="299">
        <f t="shared" ca="1" si="460"/>
        <v>0</v>
      </c>
      <c r="CK207" s="299">
        <f t="shared" ca="1" si="461"/>
        <v>0</v>
      </c>
      <c r="CL207" s="377" t="str">
        <f t="shared" ca="1" si="462"/>
        <v/>
      </c>
      <c r="CM207" s="305" t="str">
        <f t="shared" ca="1" si="463"/>
        <v/>
      </c>
      <c r="CN207" s="305" t="str">
        <f t="shared" ca="1" si="464"/>
        <v/>
      </c>
      <c r="CO207" s="305" t="str">
        <f t="shared" ca="1" si="465"/>
        <v/>
      </c>
      <c r="CP207" s="305" t="str">
        <f t="shared" ca="1" si="466"/>
        <v/>
      </c>
      <c r="CQ207" s="305" t="str">
        <f t="shared" ca="1" si="467"/>
        <v/>
      </c>
      <c r="CR207" s="775" t="str">
        <f t="shared" ca="1" si="468"/>
        <v/>
      </c>
      <c r="CS207" s="305" t="str">
        <f t="shared" ca="1" si="469"/>
        <v/>
      </c>
      <c r="CT207" s="305" t="str">
        <f t="shared" ca="1" si="470"/>
        <v/>
      </c>
      <c r="CU207" s="305" t="str">
        <f t="shared" ca="1" si="471"/>
        <v/>
      </c>
      <c r="CV207" s="770" t="str">
        <f t="shared" ca="1" si="472"/>
        <v/>
      </c>
      <c r="CW207" s="302">
        <f t="shared" ca="1" si="473"/>
        <v>0</v>
      </c>
      <c r="CX207" s="299">
        <f t="shared" ca="1" si="474"/>
        <v>0</v>
      </c>
      <c r="CY207" s="299">
        <f t="shared" ca="1" si="475"/>
        <v>0</v>
      </c>
      <c r="CZ207" s="299">
        <f t="shared" ca="1" si="476"/>
        <v>0</v>
      </c>
      <c r="DA207" s="774">
        <f t="shared" ca="1" si="477"/>
        <v>0</v>
      </c>
      <c r="DB207" s="303">
        <f t="shared" ca="1" si="478"/>
        <v>0</v>
      </c>
      <c r="DC207" s="248">
        <f t="shared" ca="1" si="479"/>
        <v>0</v>
      </c>
      <c r="DD207" s="778">
        <f t="shared" ca="1" si="480"/>
        <v>0</v>
      </c>
      <c r="DE207" s="363">
        <f t="shared" ca="1" si="481"/>
        <v>0</v>
      </c>
      <c r="DF207" s="378" t="str">
        <f t="shared" ca="1" si="482"/>
        <v/>
      </c>
      <c r="DG207" s="508" t="str">
        <f t="shared" ca="1" si="483"/>
        <v/>
      </c>
      <c r="DH207" s="508" t="str">
        <f t="shared" ca="1" si="484"/>
        <v/>
      </c>
      <c r="DI207" s="508" t="str">
        <f t="shared" ca="1" si="485"/>
        <v/>
      </c>
      <c r="DJ207" s="508" t="str">
        <f t="shared" ca="1" si="486"/>
        <v/>
      </c>
      <c r="DK207" s="353">
        <f t="shared" ca="1" si="487"/>
        <v>0</v>
      </c>
      <c r="DL207" s="781">
        <f t="shared" ca="1" si="488"/>
        <v>0</v>
      </c>
      <c r="DM207" s="303">
        <f t="shared" ca="1" si="489"/>
        <v>0</v>
      </c>
      <c r="DN207" s="508" t="str">
        <f t="shared" ca="1" si="490"/>
        <v/>
      </c>
      <c r="DO207" s="508" t="str">
        <f t="shared" ca="1" si="491"/>
        <v/>
      </c>
      <c r="DP207" s="508" t="str">
        <f t="shared" ca="1" si="492"/>
        <v/>
      </c>
      <c r="DQ207" s="508" t="str">
        <f t="shared" ca="1" si="493"/>
        <v/>
      </c>
      <c r="DR207" s="508" t="str">
        <f t="shared" ca="1" si="494"/>
        <v/>
      </c>
      <c r="DS207" s="353">
        <f t="shared" ca="1" si="495"/>
        <v>0</v>
      </c>
      <c r="DT207" s="353">
        <f t="shared" ca="1" si="496"/>
        <v>0</v>
      </c>
      <c r="DU207" s="380">
        <f t="shared" ca="1" si="596"/>
        <v>15.917864476386036</v>
      </c>
      <c r="DV207" s="303">
        <f t="shared" ca="1" si="497"/>
        <v>0</v>
      </c>
      <c r="DW207" s="303">
        <f t="shared" ca="1" si="498"/>
        <v>0</v>
      </c>
      <c r="DX207" s="303">
        <f t="shared" ca="1" si="499"/>
        <v>0</v>
      </c>
      <c r="DY207" s="303">
        <f t="shared" ca="1" si="500"/>
        <v>0</v>
      </c>
      <c r="DZ207" s="303">
        <f t="shared" ca="1" si="501"/>
        <v>0</v>
      </c>
      <c r="EA207" s="303">
        <f t="shared" ca="1" si="502"/>
        <v>0</v>
      </c>
      <c r="EB207" s="302">
        <f t="shared" ca="1" si="503"/>
        <v>0</v>
      </c>
      <c r="EC207" s="299">
        <f t="shared" ca="1" si="504"/>
        <v>0</v>
      </c>
      <c r="ED207" s="299">
        <f t="shared" ca="1" si="505"/>
        <v>0</v>
      </c>
      <c r="EE207" s="299">
        <f t="shared" ca="1" si="506"/>
        <v>0</v>
      </c>
      <c r="EF207" s="299">
        <f t="shared" ca="1" si="507"/>
        <v>0</v>
      </c>
      <c r="EG207" s="299">
        <f t="shared" ca="1" si="508"/>
        <v>0</v>
      </c>
      <c r="EH207" s="302">
        <f t="shared" ca="1" si="509"/>
        <v>0</v>
      </c>
      <c r="EI207" s="304" t="str">
        <f t="shared" ca="1" si="510"/>
        <v/>
      </c>
      <c r="EJ207" s="305" t="str">
        <f t="shared" ca="1" si="511"/>
        <v/>
      </c>
      <c r="EK207" s="305" t="str">
        <f t="shared" ca="1" si="512"/>
        <v/>
      </c>
      <c r="EL207" s="305" t="str">
        <f t="shared" ca="1" si="513"/>
        <v/>
      </c>
      <c r="EM207" s="305" t="str">
        <f t="shared" ca="1" si="514"/>
        <v/>
      </c>
      <c r="EN207" s="305" t="str">
        <f t="shared" ca="1" si="515"/>
        <v/>
      </c>
      <c r="EO207" s="305" t="str">
        <f t="shared" ca="1" si="516"/>
        <v/>
      </c>
      <c r="EP207" s="305" t="str">
        <f t="shared" ca="1" si="517"/>
        <v/>
      </c>
      <c r="EQ207" s="305" t="str">
        <f t="shared" ca="1" si="518"/>
        <v/>
      </c>
      <c r="ER207" s="305" t="str">
        <f t="shared" ca="1" si="519"/>
        <v/>
      </c>
      <c r="ES207" s="305" t="str">
        <f t="shared" ca="1" si="520"/>
        <v/>
      </c>
      <c r="ET207" s="299">
        <f t="shared" ca="1" si="521"/>
        <v>0</v>
      </c>
      <c r="EU207" s="302">
        <f t="shared" ca="1" si="522"/>
        <v>0</v>
      </c>
      <c r="EV207" s="304" t="str">
        <f t="shared" ca="1" si="523"/>
        <v/>
      </c>
      <c r="EW207" s="305" t="str">
        <f t="shared" ca="1" si="524"/>
        <v/>
      </c>
      <c r="EX207" s="305" t="str">
        <f t="shared" ca="1" si="525"/>
        <v/>
      </c>
      <c r="EY207" s="305" t="str">
        <f t="shared" ca="1" si="526"/>
        <v/>
      </c>
      <c r="EZ207" s="305" t="str">
        <f t="shared" ca="1" si="527"/>
        <v/>
      </c>
      <c r="FA207" s="305" t="str">
        <f t="shared" ca="1" si="528"/>
        <v/>
      </c>
      <c r="FB207" s="305" t="str">
        <f t="shared" ca="1" si="529"/>
        <v/>
      </c>
      <c r="FC207" s="305" t="str">
        <f t="shared" ca="1" si="530"/>
        <v/>
      </c>
      <c r="FD207" s="305" t="str">
        <f t="shared" ca="1" si="531"/>
        <v/>
      </c>
      <c r="FE207" s="305" t="str">
        <f t="shared" ca="1" si="532"/>
        <v/>
      </c>
      <c r="FF207" s="305" t="str">
        <f t="shared" ca="1" si="533"/>
        <v/>
      </c>
      <c r="FG207" s="299">
        <f t="shared" ca="1" si="534"/>
        <v>0</v>
      </c>
      <c r="FH207" s="302">
        <f t="shared" ca="1" si="535"/>
        <v>0</v>
      </c>
      <c r="FI207" s="248">
        <f t="shared" ca="1" si="536"/>
        <v>0</v>
      </c>
      <c r="FJ207" s="363">
        <f t="shared" ca="1" si="537"/>
        <v>0</v>
      </c>
      <c r="FK207" s="378" t="str">
        <f t="shared" ca="1" si="538"/>
        <v/>
      </c>
      <c r="FL207" s="508" t="str">
        <f t="shared" ca="1" si="539"/>
        <v/>
      </c>
      <c r="FM207" s="508" t="str">
        <f t="shared" ca="1" si="540"/>
        <v/>
      </c>
      <c r="FN207" s="508" t="str">
        <f t="shared" ca="1" si="541"/>
        <v/>
      </c>
      <c r="FO207" s="508" t="str">
        <f t="shared" ca="1" si="542"/>
        <v/>
      </c>
      <c r="FP207" s="353">
        <f t="shared" ca="1" si="543"/>
        <v>0</v>
      </c>
      <c r="FQ207" s="356">
        <f t="shared" ca="1" si="544"/>
        <v>0</v>
      </c>
      <c r="FR207" s="380">
        <f t="shared" ca="1" si="545"/>
        <v>0</v>
      </c>
      <c r="FS207" s="299">
        <f t="shared" ca="1" si="546"/>
        <v>0</v>
      </c>
      <c r="FT207" s="299">
        <f t="shared" ca="1" si="547"/>
        <v>0</v>
      </c>
      <c r="FU207" s="299">
        <f t="shared" ca="1" si="548"/>
        <v>0</v>
      </c>
      <c r="FV207" s="299">
        <f t="shared" ca="1" si="549"/>
        <v>0</v>
      </c>
      <c r="FW207" s="850" t="str">
        <f t="shared" ca="1" si="550"/>
        <v/>
      </c>
      <c r="FX207" s="851" t="str">
        <f t="shared" ca="1" si="551"/>
        <v/>
      </c>
      <c r="FY207" s="851" t="str">
        <f t="shared" ca="1" si="552"/>
        <v/>
      </c>
      <c r="FZ207" s="201" t="str">
        <f t="shared" ca="1" si="553"/>
        <v/>
      </c>
      <c r="GA207" s="201" t="str">
        <f t="shared" ca="1" si="554"/>
        <v/>
      </c>
      <c r="GB207" s="201" t="str">
        <f t="shared" ca="1" si="555"/>
        <v/>
      </c>
      <c r="GC207" s="201" t="str">
        <f t="shared" ca="1" si="556"/>
        <v/>
      </c>
      <c r="GD207" s="850" t="str">
        <f t="shared" ca="1" si="557"/>
        <v/>
      </c>
      <c r="GE207" s="866" t="str">
        <f t="shared" ca="1" si="558"/>
        <v/>
      </c>
      <c r="GF207" s="866" t="str">
        <f t="shared" ca="1" si="559"/>
        <v/>
      </c>
      <c r="GG207" s="866" t="str">
        <f t="shared" ca="1" si="560"/>
        <v/>
      </c>
      <c r="GH207" s="866" t="str">
        <f t="shared" ca="1" si="561"/>
        <v/>
      </c>
      <c r="GI207" s="302">
        <f t="shared" ca="1" si="562"/>
        <v>0</v>
      </c>
      <c r="GJ207" s="299">
        <f t="shared" ca="1" si="563"/>
        <v>0</v>
      </c>
      <c r="GK207" s="299">
        <f t="shared" ca="1" si="564"/>
        <v>0</v>
      </c>
      <c r="GL207" s="299">
        <f t="shared" ca="1" si="565"/>
        <v>0</v>
      </c>
      <c r="GM207" s="299">
        <f t="shared" ca="1" si="566"/>
        <v>0</v>
      </c>
      <c r="GN207" s="302">
        <f t="shared" ca="1" si="567"/>
        <v>0</v>
      </c>
      <c r="GO207" s="299">
        <f t="shared" ca="1" si="568"/>
        <v>0</v>
      </c>
      <c r="GP207" s="299">
        <f t="shared" ca="1" si="569"/>
        <v>0</v>
      </c>
      <c r="GQ207" s="299">
        <f t="shared" ca="1" si="570"/>
        <v>0</v>
      </c>
      <c r="GR207" s="299">
        <f t="shared" ca="1" si="571"/>
        <v>0</v>
      </c>
      <c r="GS207" s="302">
        <f t="shared" ca="1" si="572"/>
        <v>0</v>
      </c>
      <c r="GT207" s="299">
        <f t="shared" ca="1" si="573"/>
        <v>0</v>
      </c>
      <c r="GU207" s="299">
        <f t="shared" ca="1" si="574"/>
        <v>0</v>
      </c>
      <c r="GV207" s="299">
        <f t="shared" ca="1" si="575"/>
        <v>0</v>
      </c>
      <c r="GW207" s="299">
        <f t="shared" ca="1" si="576"/>
        <v>0</v>
      </c>
      <c r="GX207" s="303">
        <f t="shared" ca="1" si="577"/>
        <v>0</v>
      </c>
      <c r="GY207" s="303">
        <f t="shared" ca="1" si="578"/>
        <v>0</v>
      </c>
      <c r="GZ207" s="303">
        <f t="shared" ca="1" si="579"/>
        <v>0</v>
      </c>
      <c r="HA207" s="303">
        <f t="shared" ca="1" si="580"/>
        <v>0</v>
      </c>
      <c r="HB207" s="303">
        <f t="shared" ca="1" si="581"/>
        <v>0</v>
      </c>
      <c r="HC207" s="303">
        <f t="shared" ca="1" si="582"/>
        <v>0</v>
      </c>
      <c r="HD207" s="303">
        <f t="shared" ca="1" si="583"/>
        <v>0</v>
      </c>
      <c r="HE207" s="303">
        <f t="shared" ca="1" si="584"/>
        <v>0</v>
      </c>
      <c r="HF207" s="303">
        <f t="shared" ca="1" si="585"/>
        <v>0</v>
      </c>
      <c r="HG207" s="852">
        <f t="shared" ca="1" si="586"/>
        <v>0</v>
      </c>
    </row>
    <row r="208" spans="1:215" x14ac:dyDescent="0.25">
      <c r="A208" s="244">
        <f t="shared" ca="1" si="587"/>
        <v>42430</v>
      </c>
      <c r="B208" s="13">
        <f t="shared" ca="1" si="620"/>
        <v>2016</v>
      </c>
      <c r="C208" s="619">
        <f t="shared" ca="1" si="621"/>
        <v>3</v>
      </c>
      <c r="D208" s="195" t="str">
        <f t="shared" ca="1" si="417"/>
        <v/>
      </c>
      <c r="E208" s="469" t="str">
        <f t="shared" ca="1" si="418"/>
        <v/>
      </c>
      <c r="F208" s="465" t="str">
        <f t="shared" ca="1" si="419"/>
        <v/>
      </c>
      <c r="G208" s="522">
        <f t="shared" ca="1" si="588"/>
        <v>1</v>
      </c>
      <c r="H208" s="519">
        <f t="shared" ca="1" si="589"/>
        <v>1</v>
      </c>
      <c r="I208" s="724">
        <f t="shared" ca="1" si="622"/>
        <v>7.4183844023154005E-2</v>
      </c>
      <c r="J208" s="198">
        <f t="shared" ca="1" si="421"/>
        <v>0.30874791566289445</v>
      </c>
      <c r="K208" s="200">
        <f t="shared" ca="1" si="597"/>
        <v>34.35</v>
      </c>
      <c r="L208" s="201">
        <f t="shared" ca="1" si="598"/>
        <v>35.5</v>
      </c>
      <c r="M208" s="206">
        <f t="shared" ca="1" si="599"/>
        <v>36.65</v>
      </c>
      <c r="N208" s="851">
        <f t="shared" ca="1" si="603"/>
        <v>22.572249603271473</v>
      </c>
      <c r="O208" s="201">
        <f t="shared" ca="1" si="604"/>
        <v>23.434749603271474</v>
      </c>
      <c r="P208" s="206">
        <f t="shared" ca="1" si="605"/>
        <v>24.297249603271474</v>
      </c>
      <c r="Q208" s="201">
        <f t="shared" ca="1" si="606"/>
        <v>18.764498901367176</v>
      </c>
      <c r="R208" s="201">
        <f t="shared" ca="1" si="607"/>
        <v>23.064498901367177</v>
      </c>
      <c r="S208" s="201">
        <f t="shared" ca="1" si="608"/>
        <v>27.364498901367178</v>
      </c>
      <c r="T208" s="851">
        <f t="shared" ca="1" si="600"/>
        <v>20.624999618530268</v>
      </c>
      <c r="U208" s="201">
        <f t="shared" ca="1" si="601"/>
        <v>21.199999618530267</v>
      </c>
      <c r="V208" s="206">
        <f t="shared" ca="1" si="602"/>
        <v>21.774999618530266</v>
      </c>
      <c r="W208" s="230">
        <f t="shared" ca="1" si="590"/>
        <v>6.1554031067100196E-2</v>
      </c>
      <c r="X208" s="231">
        <f t="shared" ca="1" si="591"/>
        <v>0.12310806213420039</v>
      </c>
      <c r="Y208" s="232">
        <f t="shared" ca="1" si="592"/>
        <v>0.18466209320130059</v>
      </c>
      <c r="Z208" s="231">
        <f t="shared" ca="1" si="612"/>
        <v>6.1554031067100196E-2</v>
      </c>
      <c r="AA208" s="231">
        <f t="shared" ca="1" si="613"/>
        <v>0.12310806213420039</v>
      </c>
      <c r="AB208" s="232">
        <f t="shared" ca="1" si="614"/>
        <v>0.18466209320130059</v>
      </c>
      <c r="AC208" s="231">
        <f t="shared" ca="1" si="615"/>
        <v>6.1554031067100196E-2</v>
      </c>
      <c r="AD208" s="231">
        <f t="shared" ca="1" si="616"/>
        <v>0.12310806213420039</v>
      </c>
      <c r="AE208" s="232">
        <f t="shared" ca="1" si="422"/>
        <v>0.18466209320130059</v>
      </c>
      <c r="AF208" s="231">
        <f t="shared" ca="1" si="593"/>
        <v>2.1713931617774868E-2</v>
      </c>
      <c r="AG208" s="231">
        <f t="shared" ca="1" si="594"/>
        <v>4.3427863235549737E-2</v>
      </c>
      <c r="AH208" s="232">
        <f t="shared" ca="1" si="595"/>
        <v>6.5141794853324608E-2</v>
      </c>
      <c r="AI208" s="233">
        <f t="shared" ca="1" si="423"/>
        <v>1.05</v>
      </c>
      <c r="AJ208" s="233">
        <f t="shared" ca="1" si="424"/>
        <v>1.3</v>
      </c>
      <c r="AK208" s="234">
        <f t="shared" ca="1" si="425"/>
        <v>1.6</v>
      </c>
      <c r="AL208" s="919">
        <f t="shared" ca="1" si="426"/>
        <v>1.05</v>
      </c>
      <c r="AM208" s="233">
        <f t="shared" ca="1" si="427"/>
        <v>1.3</v>
      </c>
      <c r="AN208" s="234">
        <f t="shared" ca="1" si="428"/>
        <v>1.6</v>
      </c>
      <c r="AO208" s="233">
        <f t="shared" ca="1" si="429"/>
        <v>1.05</v>
      </c>
      <c r="AP208" s="233">
        <f t="shared" ca="1" si="430"/>
        <v>1.3</v>
      </c>
      <c r="AQ208" s="233">
        <f t="shared" ca="1" si="431"/>
        <v>1.6</v>
      </c>
      <c r="AR208" s="919">
        <f t="shared" ca="1" si="432"/>
        <v>0.19999999999999998</v>
      </c>
      <c r="AS208" s="233">
        <f t="shared" ca="1" si="433"/>
        <v>0.35</v>
      </c>
      <c r="AT208" s="235">
        <f t="shared" ca="1" si="434"/>
        <v>0.55000000000000004</v>
      </c>
      <c r="AU208" s="946">
        <f t="shared" si="435"/>
        <v>0.5</v>
      </c>
      <c r="AV208" s="13">
        <f t="shared" ca="1" si="436"/>
        <v>0</v>
      </c>
      <c r="AW208" s="210">
        <f t="shared" ca="1" si="437"/>
        <v>0</v>
      </c>
      <c r="AX208" s="210">
        <f t="shared" ca="1" si="438"/>
        <v>0</v>
      </c>
      <c r="AY208" s="210">
        <f t="shared" ca="1" si="439"/>
        <v>0</v>
      </c>
      <c r="AZ208" s="13">
        <f t="shared" ca="1" si="440"/>
        <v>0</v>
      </c>
      <c r="BA208" s="357">
        <f ca="1"/>
        <v>0</v>
      </c>
      <c r="BB208" s="925">
        <f ca="1"/>
        <v>0</v>
      </c>
      <c r="BC208" s="925">
        <f ca="1"/>
        <v>0</v>
      </c>
      <c r="BD208" s="928">
        <f ca="1"/>
        <v>0</v>
      </c>
      <c r="BE208" s="200">
        <f ca="1"/>
        <v>0</v>
      </c>
      <c r="BF208" s="851">
        <f ca="1"/>
        <v>0</v>
      </c>
      <c r="BG208" s="851">
        <f ca="1"/>
        <v>0</v>
      </c>
      <c r="BH208" s="933">
        <f ca="1"/>
        <v>0</v>
      </c>
      <c r="BI208" s="357">
        <f ca="1"/>
        <v>0</v>
      </c>
      <c r="BJ208" s="925">
        <f ca="1"/>
        <v>0</v>
      </c>
      <c r="BK208" s="925">
        <f ca="1"/>
        <v>0</v>
      </c>
      <c r="BL208" s="928">
        <f ca="1"/>
        <v>0</v>
      </c>
      <c r="BM208" s="200">
        <f ca="1"/>
        <v>0</v>
      </c>
      <c r="BN208" s="851">
        <f ca="1"/>
        <v>0</v>
      </c>
      <c r="BO208" s="851">
        <f ca="1"/>
        <v>0</v>
      </c>
      <c r="BP208" s="933">
        <f ca="1"/>
        <v>0</v>
      </c>
      <c r="BQ208" s="357">
        <f t="shared" ca="1" si="441"/>
        <v>0</v>
      </c>
      <c r="BR208" s="361">
        <f t="shared" ca="1" si="442"/>
        <v>0</v>
      </c>
      <c r="BS208" s="357">
        <f t="shared" ca="1" si="443"/>
        <v>0</v>
      </c>
      <c r="BT208" s="302">
        <f t="shared" ca="1" si="444"/>
        <v>0</v>
      </c>
      <c r="BU208" s="299">
        <f t="shared" ca="1" si="445"/>
        <v>0</v>
      </c>
      <c r="BV208" s="299">
        <f t="shared" ca="1" si="446"/>
        <v>0</v>
      </c>
      <c r="BW208" s="299">
        <f t="shared" ca="1" si="447"/>
        <v>0</v>
      </c>
      <c r="BX208" s="380">
        <f t="shared" ca="1" si="448"/>
        <v>15.997262149212867</v>
      </c>
      <c r="BY208" s="363">
        <f t="shared" ca="1" si="449"/>
        <v>0</v>
      </c>
      <c r="BZ208" s="353">
        <f t="shared" ca="1" si="450"/>
        <v>0</v>
      </c>
      <c r="CA208" s="353">
        <f t="shared" ca="1" si="451"/>
        <v>0</v>
      </c>
      <c r="CB208" s="353">
        <f t="shared" ca="1" si="452"/>
        <v>0</v>
      </c>
      <c r="CC208" s="353">
        <f t="shared" ca="1" si="453"/>
        <v>0</v>
      </c>
      <c r="CD208" s="353">
        <f t="shared" ca="1" si="454"/>
        <v>0</v>
      </c>
      <c r="CE208" s="302">
        <f t="shared" ca="1" si="455"/>
        <v>0</v>
      </c>
      <c r="CF208" s="299">
        <f t="shared" ca="1" si="456"/>
        <v>0</v>
      </c>
      <c r="CG208" s="299">
        <f t="shared" ca="1" si="457"/>
        <v>0</v>
      </c>
      <c r="CH208" s="299">
        <f t="shared" ca="1" si="458"/>
        <v>0</v>
      </c>
      <c r="CI208" s="299">
        <f t="shared" ca="1" si="459"/>
        <v>0</v>
      </c>
      <c r="CJ208" s="299">
        <f t="shared" ca="1" si="460"/>
        <v>0</v>
      </c>
      <c r="CK208" s="299">
        <f t="shared" ca="1" si="461"/>
        <v>0</v>
      </c>
      <c r="CL208" s="377" t="str">
        <f t="shared" ca="1" si="462"/>
        <v/>
      </c>
      <c r="CM208" s="305" t="str">
        <f t="shared" ca="1" si="463"/>
        <v/>
      </c>
      <c r="CN208" s="305" t="str">
        <f t="shared" ca="1" si="464"/>
        <v/>
      </c>
      <c r="CO208" s="305" t="str">
        <f t="shared" ca="1" si="465"/>
        <v/>
      </c>
      <c r="CP208" s="305" t="str">
        <f t="shared" ca="1" si="466"/>
        <v/>
      </c>
      <c r="CQ208" s="305" t="str">
        <f t="shared" ca="1" si="467"/>
        <v/>
      </c>
      <c r="CR208" s="775" t="str">
        <f t="shared" ca="1" si="468"/>
        <v/>
      </c>
      <c r="CS208" s="305" t="str">
        <f t="shared" ca="1" si="469"/>
        <v/>
      </c>
      <c r="CT208" s="305" t="str">
        <f t="shared" ca="1" si="470"/>
        <v/>
      </c>
      <c r="CU208" s="305" t="str">
        <f t="shared" ca="1" si="471"/>
        <v/>
      </c>
      <c r="CV208" s="770" t="str">
        <f t="shared" ca="1" si="472"/>
        <v/>
      </c>
      <c r="CW208" s="302">
        <f t="shared" ca="1" si="473"/>
        <v>0</v>
      </c>
      <c r="CX208" s="299">
        <f t="shared" ca="1" si="474"/>
        <v>0</v>
      </c>
      <c r="CY208" s="299">
        <f t="shared" ca="1" si="475"/>
        <v>0</v>
      </c>
      <c r="CZ208" s="299">
        <f t="shared" ca="1" si="476"/>
        <v>0</v>
      </c>
      <c r="DA208" s="774">
        <f t="shared" ca="1" si="477"/>
        <v>0</v>
      </c>
      <c r="DB208" s="303">
        <f t="shared" ca="1" si="478"/>
        <v>0</v>
      </c>
      <c r="DC208" s="248">
        <f t="shared" ca="1" si="479"/>
        <v>0</v>
      </c>
      <c r="DD208" s="778">
        <f t="shared" ca="1" si="480"/>
        <v>0</v>
      </c>
      <c r="DE208" s="363">
        <f t="shared" ca="1" si="481"/>
        <v>0</v>
      </c>
      <c r="DF208" s="378" t="str">
        <f t="shared" ca="1" si="482"/>
        <v/>
      </c>
      <c r="DG208" s="508" t="str">
        <f t="shared" ca="1" si="483"/>
        <v/>
      </c>
      <c r="DH208" s="508" t="str">
        <f t="shared" ca="1" si="484"/>
        <v/>
      </c>
      <c r="DI208" s="508" t="str">
        <f t="shared" ca="1" si="485"/>
        <v/>
      </c>
      <c r="DJ208" s="508" t="str">
        <f t="shared" ca="1" si="486"/>
        <v/>
      </c>
      <c r="DK208" s="353">
        <f t="shared" ca="1" si="487"/>
        <v>0</v>
      </c>
      <c r="DL208" s="781">
        <f t="shared" ca="1" si="488"/>
        <v>0</v>
      </c>
      <c r="DM208" s="303">
        <f t="shared" ca="1" si="489"/>
        <v>0</v>
      </c>
      <c r="DN208" s="508" t="str">
        <f t="shared" ca="1" si="490"/>
        <v/>
      </c>
      <c r="DO208" s="508" t="str">
        <f t="shared" ca="1" si="491"/>
        <v/>
      </c>
      <c r="DP208" s="508" t="str">
        <f t="shared" ca="1" si="492"/>
        <v/>
      </c>
      <c r="DQ208" s="508" t="str">
        <f t="shared" ca="1" si="493"/>
        <v/>
      </c>
      <c r="DR208" s="508" t="str">
        <f t="shared" ca="1" si="494"/>
        <v/>
      </c>
      <c r="DS208" s="353">
        <f t="shared" ca="1" si="495"/>
        <v>0</v>
      </c>
      <c r="DT208" s="353">
        <f t="shared" ca="1" si="496"/>
        <v>0</v>
      </c>
      <c r="DU208" s="380">
        <f t="shared" ca="1" si="596"/>
        <v>15.997262149212867</v>
      </c>
      <c r="DV208" s="303">
        <f t="shared" ca="1" si="497"/>
        <v>0</v>
      </c>
      <c r="DW208" s="303">
        <f t="shared" ca="1" si="498"/>
        <v>0</v>
      </c>
      <c r="DX208" s="303">
        <f t="shared" ca="1" si="499"/>
        <v>0</v>
      </c>
      <c r="DY208" s="303">
        <f t="shared" ca="1" si="500"/>
        <v>0</v>
      </c>
      <c r="DZ208" s="303">
        <f t="shared" ca="1" si="501"/>
        <v>0</v>
      </c>
      <c r="EA208" s="303">
        <f t="shared" ca="1" si="502"/>
        <v>0</v>
      </c>
      <c r="EB208" s="302">
        <f t="shared" ca="1" si="503"/>
        <v>0</v>
      </c>
      <c r="EC208" s="299">
        <f t="shared" ca="1" si="504"/>
        <v>0</v>
      </c>
      <c r="ED208" s="299">
        <f t="shared" ca="1" si="505"/>
        <v>0</v>
      </c>
      <c r="EE208" s="299">
        <f t="shared" ca="1" si="506"/>
        <v>0</v>
      </c>
      <c r="EF208" s="299">
        <f t="shared" ca="1" si="507"/>
        <v>0</v>
      </c>
      <c r="EG208" s="299">
        <f t="shared" ca="1" si="508"/>
        <v>0</v>
      </c>
      <c r="EH208" s="302">
        <f t="shared" ca="1" si="509"/>
        <v>0</v>
      </c>
      <c r="EI208" s="304" t="str">
        <f t="shared" ca="1" si="510"/>
        <v/>
      </c>
      <c r="EJ208" s="305" t="str">
        <f t="shared" ca="1" si="511"/>
        <v/>
      </c>
      <c r="EK208" s="305" t="str">
        <f t="shared" ca="1" si="512"/>
        <v/>
      </c>
      <c r="EL208" s="305" t="str">
        <f t="shared" ca="1" si="513"/>
        <v/>
      </c>
      <c r="EM208" s="305" t="str">
        <f t="shared" ca="1" si="514"/>
        <v/>
      </c>
      <c r="EN208" s="305" t="str">
        <f t="shared" ca="1" si="515"/>
        <v/>
      </c>
      <c r="EO208" s="305" t="str">
        <f t="shared" ca="1" si="516"/>
        <v/>
      </c>
      <c r="EP208" s="305" t="str">
        <f t="shared" ca="1" si="517"/>
        <v/>
      </c>
      <c r="EQ208" s="305" t="str">
        <f t="shared" ca="1" si="518"/>
        <v/>
      </c>
      <c r="ER208" s="305" t="str">
        <f t="shared" ca="1" si="519"/>
        <v/>
      </c>
      <c r="ES208" s="305" t="str">
        <f t="shared" ca="1" si="520"/>
        <v/>
      </c>
      <c r="ET208" s="299">
        <f t="shared" ca="1" si="521"/>
        <v>0</v>
      </c>
      <c r="EU208" s="302">
        <f t="shared" ca="1" si="522"/>
        <v>0</v>
      </c>
      <c r="EV208" s="304" t="str">
        <f t="shared" ca="1" si="523"/>
        <v/>
      </c>
      <c r="EW208" s="305" t="str">
        <f t="shared" ca="1" si="524"/>
        <v/>
      </c>
      <c r="EX208" s="305" t="str">
        <f t="shared" ca="1" si="525"/>
        <v/>
      </c>
      <c r="EY208" s="305" t="str">
        <f t="shared" ca="1" si="526"/>
        <v/>
      </c>
      <c r="EZ208" s="305" t="str">
        <f t="shared" ca="1" si="527"/>
        <v/>
      </c>
      <c r="FA208" s="305" t="str">
        <f t="shared" ca="1" si="528"/>
        <v/>
      </c>
      <c r="FB208" s="305" t="str">
        <f t="shared" ca="1" si="529"/>
        <v/>
      </c>
      <c r="FC208" s="305" t="str">
        <f t="shared" ca="1" si="530"/>
        <v/>
      </c>
      <c r="FD208" s="305" t="str">
        <f t="shared" ca="1" si="531"/>
        <v/>
      </c>
      <c r="FE208" s="305" t="str">
        <f t="shared" ca="1" si="532"/>
        <v/>
      </c>
      <c r="FF208" s="305" t="str">
        <f t="shared" ca="1" si="533"/>
        <v/>
      </c>
      <c r="FG208" s="299">
        <f t="shared" ca="1" si="534"/>
        <v>0</v>
      </c>
      <c r="FH208" s="302">
        <f t="shared" ca="1" si="535"/>
        <v>0</v>
      </c>
      <c r="FI208" s="248">
        <f t="shared" ca="1" si="536"/>
        <v>0</v>
      </c>
      <c r="FJ208" s="363">
        <f t="shared" ca="1" si="537"/>
        <v>0</v>
      </c>
      <c r="FK208" s="378" t="str">
        <f t="shared" ca="1" si="538"/>
        <v/>
      </c>
      <c r="FL208" s="508" t="str">
        <f t="shared" ca="1" si="539"/>
        <v/>
      </c>
      <c r="FM208" s="508" t="str">
        <f t="shared" ca="1" si="540"/>
        <v/>
      </c>
      <c r="FN208" s="508" t="str">
        <f t="shared" ca="1" si="541"/>
        <v/>
      </c>
      <c r="FO208" s="508" t="str">
        <f t="shared" ca="1" si="542"/>
        <v/>
      </c>
      <c r="FP208" s="353">
        <f t="shared" ca="1" si="543"/>
        <v>0</v>
      </c>
      <c r="FQ208" s="356">
        <f t="shared" ca="1" si="544"/>
        <v>0</v>
      </c>
      <c r="FR208" s="380">
        <f t="shared" ca="1" si="545"/>
        <v>0</v>
      </c>
      <c r="FS208" s="299">
        <f t="shared" ca="1" si="546"/>
        <v>0</v>
      </c>
      <c r="FT208" s="299">
        <f t="shared" ca="1" si="547"/>
        <v>0</v>
      </c>
      <c r="FU208" s="299">
        <f t="shared" ca="1" si="548"/>
        <v>0</v>
      </c>
      <c r="FV208" s="299">
        <f t="shared" ca="1" si="549"/>
        <v>0</v>
      </c>
      <c r="FW208" s="850" t="str">
        <f t="shared" ca="1" si="550"/>
        <v/>
      </c>
      <c r="FX208" s="851" t="str">
        <f t="shared" ca="1" si="551"/>
        <v/>
      </c>
      <c r="FY208" s="851" t="str">
        <f t="shared" ca="1" si="552"/>
        <v/>
      </c>
      <c r="FZ208" s="201" t="str">
        <f t="shared" ca="1" si="553"/>
        <v/>
      </c>
      <c r="GA208" s="201" t="str">
        <f t="shared" ca="1" si="554"/>
        <v/>
      </c>
      <c r="GB208" s="201" t="str">
        <f t="shared" ca="1" si="555"/>
        <v/>
      </c>
      <c r="GC208" s="201" t="str">
        <f t="shared" ca="1" si="556"/>
        <v/>
      </c>
      <c r="GD208" s="850" t="str">
        <f t="shared" ca="1" si="557"/>
        <v/>
      </c>
      <c r="GE208" s="866" t="str">
        <f t="shared" ca="1" si="558"/>
        <v/>
      </c>
      <c r="GF208" s="866" t="str">
        <f t="shared" ca="1" si="559"/>
        <v/>
      </c>
      <c r="GG208" s="866" t="str">
        <f t="shared" ca="1" si="560"/>
        <v/>
      </c>
      <c r="GH208" s="866" t="str">
        <f t="shared" ca="1" si="561"/>
        <v/>
      </c>
      <c r="GI208" s="302">
        <f t="shared" ca="1" si="562"/>
        <v>0</v>
      </c>
      <c r="GJ208" s="299">
        <f t="shared" ca="1" si="563"/>
        <v>0</v>
      </c>
      <c r="GK208" s="299">
        <f t="shared" ca="1" si="564"/>
        <v>0</v>
      </c>
      <c r="GL208" s="299">
        <f t="shared" ca="1" si="565"/>
        <v>0</v>
      </c>
      <c r="GM208" s="299">
        <f t="shared" ca="1" si="566"/>
        <v>0</v>
      </c>
      <c r="GN208" s="302">
        <f t="shared" ca="1" si="567"/>
        <v>0</v>
      </c>
      <c r="GO208" s="299">
        <f t="shared" ca="1" si="568"/>
        <v>0</v>
      </c>
      <c r="GP208" s="299">
        <f t="shared" ca="1" si="569"/>
        <v>0</v>
      </c>
      <c r="GQ208" s="299">
        <f t="shared" ca="1" si="570"/>
        <v>0</v>
      </c>
      <c r="GR208" s="299">
        <f t="shared" ca="1" si="571"/>
        <v>0</v>
      </c>
      <c r="GS208" s="302">
        <f t="shared" ca="1" si="572"/>
        <v>0</v>
      </c>
      <c r="GT208" s="299">
        <f t="shared" ca="1" si="573"/>
        <v>0</v>
      </c>
      <c r="GU208" s="299">
        <f t="shared" ca="1" si="574"/>
        <v>0</v>
      </c>
      <c r="GV208" s="299">
        <f t="shared" ca="1" si="575"/>
        <v>0</v>
      </c>
      <c r="GW208" s="299">
        <f t="shared" ca="1" si="576"/>
        <v>0</v>
      </c>
      <c r="GX208" s="303">
        <f t="shared" ca="1" si="577"/>
        <v>0</v>
      </c>
      <c r="GY208" s="303">
        <f t="shared" ca="1" si="578"/>
        <v>0</v>
      </c>
      <c r="GZ208" s="303">
        <f t="shared" ca="1" si="579"/>
        <v>0</v>
      </c>
      <c r="HA208" s="303">
        <f t="shared" ca="1" si="580"/>
        <v>0</v>
      </c>
      <c r="HB208" s="303">
        <f t="shared" ca="1" si="581"/>
        <v>0</v>
      </c>
      <c r="HC208" s="303">
        <f t="shared" ca="1" si="582"/>
        <v>0</v>
      </c>
      <c r="HD208" s="303">
        <f t="shared" ca="1" si="583"/>
        <v>0</v>
      </c>
      <c r="HE208" s="303">
        <f t="shared" ca="1" si="584"/>
        <v>0</v>
      </c>
      <c r="HF208" s="303">
        <f t="shared" ca="1" si="585"/>
        <v>0</v>
      </c>
      <c r="HG208" s="852">
        <f t="shared" ca="1" si="586"/>
        <v>0</v>
      </c>
    </row>
    <row r="209" spans="1:215" x14ac:dyDescent="0.25">
      <c r="A209" s="244">
        <f t="shared" ca="1" si="587"/>
        <v>42461</v>
      </c>
      <c r="B209" s="13">
        <f t="shared" ref="B209:B224" ca="1" si="623">YEAR(A209)</f>
        <v>2016</v>
      </c>
      <c r="C209" s="619">
        <f t="shared" ref="C209:C224" ca="1" si="624">MONTH(A209)</f>
        <v>4</v>
      </c>
      <c r="D209" s="195" t="str">
        <f t="shared" ref="D209:D272" ca="1" si="625">Holiday(B209,C209)</f>
        <v/>
      </c>
      <c r="E209" s="469" t="str">
        <f t="shared" ref="E209:E272" ca="1" si="626">IF(OR(BegDate&gt;=A210,EndDate&lt;A209,AND(VolumeMonthlyOverFlag,INDEX(VolumeMonthlyOver,C209)=0),NOT(INDEX(MonthKnockOutTable,C209))),"",MAX(A209,BegDate))</f>
        <v/>
      </c>
      <c r="F209" s="465" t="str">
        <f t="shared" ref="F209:F272" ca="1" si="627">IF(E209="","",MIN(A210-1,EndDate))</f>
        <v/>
      </c>
      <c r="G209" s="522">
        <f t="shared" ca="1" si="588"/>
        <v>1</v>
      </c>
      <c r="H209" s="519">
        <f t="shared" ca="1" si="589"/>
        <v>1</v>
      </c>
      <c r="I209" s="724">
        <f t="shared" ref="I209:I224" ca="1" si="628">VLOOKUP(A209,IRTable,2)</f>
        <v>7.4183549305274002E-2</v>
      </c>
      <c r="J209" s="198">
        <f t="shared" ref="J209:J272" ca="1" si="629">(1+I209/2)^(-2*(DATE(B210,C210,20)-DateToday)/365.25)</f>
        <v>0.30690765385296015</v>
      </c>
      <c r="K209" s="200">
        <f t="shared" ca="1" si="597"/>
        <v>33.25</v>
      </c>
      <c r="L209" s="201">
        <f t="shared" ca="1" si="598"/>
        <v>34.25</v>
      </c>
      <c r="M209" s="206">
        <f t="shared" ca="1" si="599"/>
        <v>35.25</v>
      </c>
      <c r="N209" s="851">
        <f t="shared" ca="1" si="603"/>
        <v>23.367500305175771</v>
      </c>
      <c r="O209" s="201">
        <f t="shared" ca="1" si="604"/>
        <v>24.117500305175771</v>
      </c>
      <c r="P209" s="206">
        <f t="shared" ca="1" si="605"/>
        <v>24.867500305175771</v>
      </c>
      <c r="Q209" s="201">
        <f t="shared" ca="1" si="606"/>
        <v>18.534999084472645</v>
      </c>
      <c r="R209" s="201">
        <f t="shared" ca="1" si="607"/>
        <v>22.834999084472646</v>
      </c>
      <c r="S209" s="201">
        <f t="shared" ca="1" si="608"/>
        <v>27.134999084472646</v>
      </c>
      <c r="T209" s="851">
        <f t="shared" ca="1" si="600"/>
        <v>20.699997711181634</v>
      </c>
      <c r="U209" s="201">
        <f t="shared" ca="1" si="601"/>
        <v>21.199997711181634</v>
      </c>
      <c r="V209" s="206">
        <f t="shared" ca="1" si="602"/>
        <v>21.699997711181634</v>
      </c>
      <c r="W209" s="230">
        <f t="shared" ca="1" si="590"/>
        <v>5.4934757616192716E-2</v>
      </c>
      <c r="X209" s="231">
        <f t="shared" ca="1" si="591"/>
        <v>0.10986951523238543</v>
      </c>
      <c r="Y209" s="232">
        <f t="shared" ca="1" si="592"/>
        <v>0.16480427284857815</v>
      </c>
      <c r="Z209" s="231">
        <f t="shared" ca="1" si="612"/>
        <v>5.4934757616192716E-2</v>
      </c>
      <c r="AA209" s="231">
        <f t="shared" ca="1" si="613"/>
        <v>0.10986951523238543</v>
      </c>
      <c r="AB209" s="232">
        <f t="shared" ca="1" si="614"/>
        <v>0.16480427284857815</v>
      </c>
      <c r="AC209" s="231">
        <f t="shared" ca="1" si="615"/>
        <v>5.4934757616192716E-2</v>
      </c>
      <c r="AD209" s="231">
        <f t="shared" ca="1" si="616"/>
        <v>0.10986951523238543</v>
      </c>
      <c r="AE209" s="232">
        <f t="shared" ref="AE209:AE272" ca="1" si="630">VLOOKUP($A209,BigTable,16,0)</f>
        <v>0.16480427284857815</v>
      </c>
      <c r="AF209" s="231">
        <f t="shared" ca="1" si="593"/>
        <v>2.1713931617774868E-2</v>
      </c>
      <c r="AG209" s="231">
        <f t="shared" ca="1" si="594"/>
        <v>4.3427863235549737E-2</v>
      </c>
      <c r="AH209" s="232">
        <f t="shared" ca="1" si="595"/>
        <v>6.5141794853324608E-2</v>
      </c>
      <c r="AI209" s="233">
        <f t="shared" ref="AI209:AI272" ca="1" si="631">VLOOKUP($A209,BigTable,22,0)*INDEX(IntraMonthVolScalars,C209)+AJ209</f>
        <v>0.85000000000000009</v>
      </c>
      <c r="AJ209" s="233">
        <f t="shared" ref="AJ209:AJ272" ca="1" si="632">VLOOKUP($A209,BigTable,23,0)*INDEX(IntraMonthVolScalars,C209)</f>
        <v>1.1000000000000001</v>
      </c>
      <c r="AK209" s="234">
        <f t="shared" ref="AK209:AK272" ca="1" si="633">VLOOKUP($A209,BigTable,24,0)*INDEX(IntraMonthVolScalars,C209)+AJ209</f>
        <v>1.4000000000000001</v>
      </c>
      <c r="AL209" s="919">
        <f t="shared" ref="AL209:AL272" ca="1" si="634">VLOOKUP($A209,BigTable,22,0)*INDEX(IntraMonthVolScalars,C209)+AM209</f>
        <v>0.85000000000000009</v>
      </c>
      <c r="AM209" s="233">
        <f t="shared" ref="AM209:AM272" ca="1" si="635">VLOOKUP($A209,BigTable,23,0)*INDEX(IntraMonthVolScalars,C209)</f>
        <v>1.1000000000000001</v>
      </c>
      <c r="AN209" s="234">
        <f t="shared" ref="AN209:AN272" ca="1" si="636">VLOOKUP($A209,BigTable,24,0)*INDEX(IntraMonthVolScalars,C209)+AM209</f>
        <v>1.4000000000000001</v>
      </c>
      <c r="AO209" s="233">
        <f t="shared" ref="AO209:AO272" ca="1" si="637">VLOOKUP($A209,BigTable,22,0)*INDEX(IntraMonthVolScalars,C209)+AP209</f>
        <v>0.85000000000000009</v>
      </c>
      <c r="AP209" s="233">
        <f t="shared" ref="AP209:AP272" ca="1" si="638">VLOOKUP($A209,BigTable,23,0)*INDEX(IntraMonthVolScalars,C209)</f>
        <v>1.1000000000000001</v>
      </c>
      <c r="AQ209" s="233">
        <f t="shared" ref="AQ209:AQ272" ca="1" si="639">VLOOKUP($A209,BigTable,24,0)*INDEX(IntraMonthVolScalars,C209)+AP209</f>
        <v>1.4000000000000001</v>
      </c>
      <c r="AR209" s="919">
        <f t="shared" ref="AR209:AR272" ca="1" si="640">VLOOKUP($A209,BigTable,26,0)*INDEX(IntraMonthVolScalars,C209)+AS209</f>
        <v>0.19999999999999998</v>
      </c>
      <c r="AS209" s="233">
        <f t="shared" ref="AS209:AS272" ca="1" si="641">VLOOKUP($A209,BigTable,27,0)*INDEX(IntraMonthVolScalars,C209)</f>
        <v>0.35</v>
      </c>
      <c r="AT209" s="235">
        <f t="shared" ref="AT209:AT272" ca="1" si="642">VLOOKUP($A209,BigTable,28,0)*INDEX(IntraMonthVolScalars,C209)+AS209</f>
        <v>0.55000000000000004</v>
      </c>
      <c r="AU209" s="946">
        <f t="shared" ref="AU209:AU272" si="643">IF(CorrPeakOffPeakOverFlag,INDEX(CorrPeakOffPeakOver,C209),CorrPeakOffPeak)</f>
        <v>0.5</v>
      </c>
      <c r="AV209" s="13">
        <f t="shared" ref="AV209:AV272" ca="1" si="644">AZ209-SUM(AW209:AY209)</f>
        <v>0</v>
      </c>
      <c r="AW209" s="210">
        <f t="shared" ref="AW209:AW272" ca="1" si="645">IF(E209="",0,INT((F209-MOD(F209,7)-E209)/7)+1-IF(AY209,IF(WEEKDAY(D209)=7,1,0),0))</f>
        <v>0</v>
      </c>
      <c r="AX209" s="210">
        <f t="shared" ref="AX209:AX272" ca="1" si="646">IF(E209="",0,INT((F209-MOD(F209-1,7)-E209)/7)+1-IF(AY209,IF(WEEKDAY(D209)=1,1,0),0))</f>
        <v>0</v>
      </c>
      <c r="AY209" s="210">
        <f t="shared" ref="AY209:AY272" ca="1" si="647">IF(OR(E209="",D209="",D209&lt;BegDate,D209&gt;EndDate),0,1)</f>
        <v>0</v>
      </c>
      <c r="AZ209" s="13">
        <f t="shared" ref="AZ209:AZ272" ca="1" si="648">IF(E209="",0,F209-E209+1)</f>
        <v>0</v>
      </c>
      <c r="BA209" s="357">
        <f ca="1"/>
        <v>0</v>
      </c>
      <c r="BB209" s="925">
        <f ca="1"/>
        <v>0</v>
      </c>
      <c r="BC209" s="925">
        <f ca="1"/>
        <v>0</v>
      </c>
      <c r="BD209" s="928">
        <f ca="1"/>
        <v>0</v>
      </c>
      <c r="BE209" s="200">
        <f ca="1"/>
        <v>0</v>
      </c>
      <c r="BF209" s="851">
        <f ca="1"/>
        <v>0</v>
      </c>
      <c r="BG209" s="851">
        <f ca="1"/>
        <v>0</v>
      </c>
      <c r="BH209" s="933">
        <f ca="1"/>
        <v>0</v>
      </c>
      <c r="BI209" s="357">
        <f ca="1"/>
        <v>0</v>
      </c>
      <c r="BJ209" s="925">
        <f ca="1"/>
        <v>0</v>
      </c>
      <c r="BK209" s="925">
        <f ca="1"/>
        <v>0</v>
      </c>
      <c r="BL209" s="928">
        <f ca="1"/>
        <v>0</v>
      </c>
      <c r="BM209" s="200">
        <f ca="1"/>
        <v>0</v>
      </c>
      <c r="BN209" s="851">
        <f ca="1"/>
        <v>0</v>
      </c>
      <c r="BO209" s="851">
        <f ca="1"/>
        <v>0</v>
      </c>
      <c r="BP209" s="933">
        <f ca="1"/>
        <v>0</v>
      </c>
      <c r="BQ209" s="357">
        <f t="shared" ref="BQ209:BQ272" ca="1" si="649">SUM(BA209:BD209)</f>
        <v>0</v>
      </c>
      <c r="BR209" s="361">
        <f t="shared" ref="BR209:BR272" ca="1" si="650">SUM(BI209:BL209)</f>
        <v>0</v>
      </c>
      <c r="BS209" s="357">
        <f t="shared" ref="BS209:BS272" ca="1" si="651">BQ209*J209</f>
        <v>0</v>
      </c>
      <c r="BT209" s="302">
        <f t="shared" ref="BT209:BT272" ca="1" si="652">IF(BS209,(IF(BA209,K209*BE209*BA209,0)+IF(BD209,T209*BH209*BD209,0)+IF(BB209,N209*BF209*BB209,0)+IF(BC209,Q209*BG209*BC209,0))/BQ209,0)</f>
        <v>0</v>
      </c>
      <c r="BU209" s="299">
        <f t="shared" ref="BU209:BU272" ca="1" si="653">IF(BS209,(IF(BA209,L209*BE209*BA209,0)+IF(BD209,U209*BH209*BD209,0)+IF(BB209,O209*BF209*BB209,0)+IF(BC209,R209*BG209*BC209,0))/BQ209,0)</f>
        <v>0</v>
      </c>
      <c r="BV209" s="299">
        <f t="shared" ref="BV209:BV272" ca="1" si="654">IF(BS209,(IF(BA209,M209*BE209*BA209,0)+IF(BD209,V209*BH209*BD209,0)+IF(BB209,P209*BF209*BB209,0)+IF(BC209,S209*BG209*BC209,0))/BQ209,0)</f>
        <v>0</v>
      </c>
      <c r="BW209" s="299">
        <f t="shared" ref="BW209:BW272" ca="1" si="655">IF(BS209,SPrice*G209,0)</f>
        <v>0</v>
      </c>
      <c r="BX209" s="380">
        <f t="shared" ref="BX209:BX272" ca="1" si="656">(IF(OVolType&lt;&gt;2,A209+14,IF(OptExpDateShift,ShiftBack(A209,OptExpDateShift,D208),A209))-DateToday)/365.25</f>
        <v>16.082135523613964</v>
      </c>
      <c r="BY209" s="363">
        <f t="shared" ref="BY209:BY272" ca="1" si="657">BI209*J209</f>
        <v>0</v>
      </c>
      <c r="BZ209" s="353">
        <f t="shared" ref="BZ209:BZ272" ca="1" si="658">BJ209*J209</f>
        <v>0</v>
      </c>
      <c r="CA209" s="353">
        <f t="shared" ref="CA209:CA272" ca="1" si="659">BK209*J209</f>
        <v>0</v>
      </c>
      <c r="CB209" s="353">
        <f t="shared" ref="CB209:CB272" ca="1" si="660">SUM(BY209:CA209)</f>
        <v>0</v>
      </c>
      <c r="CC209" s="353">
        <f t="shared" ref="CC209:CC272" ca="1" si="661">BL209*J209</f>
        <v>0</v>
      </c>
      <c r="CD209" s="353">
        <f t="shared" ref="CD209:CD272" ca="1" si="662">CB209+CC209</f>
        <v>0</v>
      </c>
      <c r="CE209" s="302">
        <f t="shared" ref="CE209:CE272" ca="1" si="663">IF(CD209,IF(OPriceCurve,IF(OBuySell=OCallPut,K209,M209),L209)*BM209,0)</f>
        <v>0</v>
      </c>
      <c r="CF209" s="299">
        <f t="shared" ref="CF209:CF272" ca="1" si="664">IF(CD209,IF(OPriceCurve,IF(OBuySell=OCallPut,N209,P209),O209)*BN209,0)</f>
        <v>0</v>
      </c>
      <c r="CG209" s="299">
        <f t="shared" ref="CG209:CG272" ca="1" si="665">IF(CD209,IF(OPriceCurve,IF(OBuySell=OCallPut,Q209,S209),R209)*BO209,0)</f>
        <v>0</v>
      </c>
      <c r="CH209" s="299">
        <f t="shared" ref="CH209:CH272" ca="1" si="666">IF(CB209,(CE209*BY209+CF209*BZ209+CG209*CA209)/CB209,0)</f>
        <v>0</v>
      </c>
      <c r="CI209" s="299">
        <f t="shared" ref="CI209:CI272" ca="1" si="667">IF(CD209,IF(OPriceCurve,IF(OBuySell=OCallPut,T209,V209),U209)*BP209,0)</f>
        <v>0</v>
      </c>
      <c r="CJ209" s="299">
        <f t="shared" ref="CJ209:CJ272" ca="1" si="668">IF(CD209,(CH209*CB209+CI209*CC209)/CD209,0)</f>
        <v>0</v>
      </c>
      <c r="CK209" s="299">
        <f t="shared" ref="CK209:CK272" ca="1" si="669">IF(CD209,OStrike*G209,0)</f>
        <v>0</v>
      </c>
      <c r="CL209" s="377" t="str">
        <f t="shared" ref="CL209:CL272" ca="1" si="670">IF(CD209,IF(OVolType&lt;&gt;2,SQRT(IF(OVolOverMonthlyPeak,OVolOverMonthlyPeak,IF(OVolCurve,IF(OBuySell,W209,Y209),X209))^2*(1-15/365.25/BX209)+IF(OVolOverDailyPeak,OVolOverDailyPeak,IF(OVolCurve,IF(OBuySell,AI209,AK209),AJ209))^2*15/365.25/BX209),IF(OVolOverMonthlyPeak,OVolOverMonthlyPeak,IF(OVolCurve,IF(OBuySell,W209,Y209),X209))),"")</f>
        <v/>
      </c>
      <c r="CM209" s="305" t="str">
        <f t="shared" ref="CM209:CM272" ca="1" si="671">IF(CD209,IF(OVolType&lt;&gt;2,SQRT(IF(OVolOverMonthlyPeak,OVolOverMonthlyPeak,IF(OVolCurve,IF(OBuySell,Z209,AB209),AA209))^2*(1-15/365.25/BX209)+IF(OVolOverDailyPeak,OVolOverDailyPeak,IF(OVolCurve,IF(OBuySell,AL209,AN209),AM209))^2*15/365.25/BX209),IF(OVolOverMonthlyPeak,OVolOverMonthlyPeak,IF(OVolCurve,IF(OBuySell,Z209,AB209),AA209))),"")</f>
        <v/>
      </c>
      <c r="CN209" s="305" t="str">
        <f t="shared" ref="CN209:CN272" ca="1" si="672">IF(CD209,IF(OVolType&lt;&gt;2,SQRT(IF(OVolOverMonthlyPeak,OVolOverMonthlyPeak,IF(OVolCurve,IF(OBuySell,AC209,AE209),AD209))^2*(1-15/365.25/BX209)+IF(OVolOverDailyPeak,OVolOverDailyPeak,IF(OVolCurve,IF(OBuySell,AO209,AQ209),AP209))^2*15/365.25/BX209),IF(OVolOverMonthlyPeak,OVolOverMonthlyPeak,IF(OVolCurve,IF(OBuySell,AC209,AE209),AD209))),"")</f>
        <v/>
      </c>
      <c r="CO209" s="305" t="str">
        <f t="shared" ref="CO209:CO272" ca="1" si="673">IF(CD209,IF(CB209,SQRT(LN(1+((CE209*BY209)^2*(EXP(CL209^2*BX209)-1)+(CF209*BZ209)^2*(EXP(CM209^2*BX209)-1)+(CG209*CA209)^2*(EXP(CN209^2*BX209)-1)+2*CE209*BY209*CF209*BZ209*(EXP(CL209*CM209*BX209)-1)+2*CF209*BZ209*CG209*CA209*(EXP(CM209*CN209*BX209)-1)+2*CG209*CA209*CE209*BY209*(EXP(CN209*CL209*BX209)-1))/(CH209*CB209)^2)/BX209),0),"")</f>
        <v/>
      </c>
      <c r="CP209" s="305" t="str">
        <f t="shared" ref="CP209:CP272" ca="1" si="674">IF(CD209,IF(OVolType&lt;&gt;2,SQRT(IF(OVolOverMonthlyOffPeak,OVolOverMonthlyOffPeak,IF(OVolCurve,IF(OBuySell,AF209,AH209),AG209))^2*(1-15/365.25/BX209)+IF(OVolOverDailyOffPeak,OVolOverDailyOffPeak,IF(OVolCurve,IF(OBuySell,AR209,AT209),AS209))^2*15/365.25/BX209),IF(OVolOverMonthlyOffPeak,OVolOverMonthlyOffPeak,IF(OVolCurve,IF(OBuySell,AF209,AH209),AG209))),"")</f>
        <v/>
      </c>
      <c r="CQ209" s="305" t="str">
        <f t="shared" ref="CQ209:CQ272" ca="1" si="675">IF(CD209,SQRT(LN(1+((CH209*CB209)^2*(EXP(CO209^2*BX209)-1)+(CI209*CC209)^2*(EXP(CP209^2*BX209)-1)+2*CH209*CB209*CI209*CC209*(EXP(AU209*CO209*CP209*BX209)-1))/(CH209*CB209+CI209*CC209)^2)/BX209),"")</f>
        <v/>
      </c>
      <c r="CR209" s="775" t="str">
        <f t="shared" ref="CR209:CR272" ca="1" si="676">IF(CD209,CL209+IF(OVolSmile,VLOOKUP(MAX(-5,CK209-CE209),IF(OVolSmile=1,VolSmileBook,VolSmileModel),2),0),"")</f>
        <v/>
      </c>
      <c r="CS209" s="305" t="str">
        <f t="shared" ref="CS209:CS272" ca="1" si="677">IF(CD209,CM209+IF(OVolSmile,VLOOKUP(MAX(-5,CK209-CF209),IF(OVolSmile=1,VolSmileBook,VolSmileModel),2),0),"")</f>
        <v/>
      </c>
      <c r="CT209" s="305" t="str">
        <f t="shared" ref="CT209:CT272" ca="1" si="678">IF(CD209,CN209+IF(OVolSmile,VLOOKUP(MAX(-5,CK209-CG209),IF(OVolSmile=1,VolSmileBook,VolSmileModel),2),0),"")</f>
        <v/>
      </c>
      <c r="CU209" s="305" t="str">
        <f t="shared" ref="CU209:CU272" ca="1" si="679">IF(CD209,CP209+IF(OVolSmile,VLOOKUP(MAX(-5,CK209-CI209),IF(OVolSmile=1,VolSmileBook,VolSmileModel),2),0),"")</f>
        <v/>
      </c>
      <c r="CV209" s="770" t="str">
        <f t="shared" ref="CV209:CV272" ca="1" si="680">IF(CD209,CQ209+IF(OVolSmile,VLOOKUP(MAX(-5,CK209-CJ209),IF(OVolSmile=1,VolSmileBook,VolSmileModel),2),0),"")</f>
        <v/>
      </c>
      <c r="CW209" s="302">
        <f t="shared" ref="CW209:CW272" ca="1" si="681">IF(BY209,UndiscountedOption(CE209,CK209,CR209,BX209,OCallPut,0),0)</f>
        <v>0</v>
      </c>
      <c r="CX209" s="299">
        <f t="shared" ref="CX209:CX272" ca="1" si="682">IF(BZ209,UndiscountedOption(CF209,CK209,CS209,BX209,OCallPut,0),0)</f>
        <v>0</v>
      </c>
      <c r="CY209" s="299">
        <f t="shared" ref="CY209:CY272" ca="1" si="683">IF(CA209,UndiscountedOption(CG209,CK209,CT209,BX209,OCallPut,0),0)</f>
        <v>0</v>
      </c>
      <c r="CZ209" s="299">
        <f t="shared" ref="CZ209:CZ272" ca="1" si="684">IF(CC209,UndiscountedOption(CI209,CK209,CU209,BX209,OCallPut,0),0)</f>
        <v>0</v>
      </c>
      <c r="DA209" s="774">
        <f t="shared" ref="DA209:DA272" ca="1" si="685">IF(CD209,UndiscountedOption(CJ209,CK209,CV209,BX209,OCallPut,0),0)</f>
        <v>0</v>
      </c>
      <c r="DB209" s="303">
        <f t="shared" ref="DB209:DB272" ca="1" si="686">IF(CD209,IF(OVolType,DA209*CD209,CW209*BY209+CX209*BZ209+CY209*CA209+CZ209*CC209),0)</f>
        <v>0</v>
      </c>
      <c r="DC209" s="248">
        <f t="shared" ref="DC209:DC272" ca="1" si="687">IF(CD209,IF(OVolType,UndiscountedOption(CJ209,CK209,CV209,BX209,OCallPut,1)*CD209,IF(BY209,UndiscountedOption(CE209,CK209,CR209,BX209,OCallPut,1),0)*BY209+IF(BZ209,UndiscountedOption(CF209,CK209,CS209,BX209,OCallPut,1),0)*BZ209+IF(CA209,UndiscountedOption(CG209,CK209,CT209,BX209,OCallPut,1),0)*CA209+IF(CC209,UndiscountedOption(CI209,CK209,CU209,BX209,OCallPut,1),0)*CC209),0)</f>
        <v>0</v>
      </c>
      <c r="DD209" s="778">
        <f t="shared" ref="DD209:DD272" ca="1" si="688">IF(CD209,IF(OVolType,IF(OCallPut,IF(CJ209&gt;CK209,CJ209-CK209,0),IF(CK209&gt;CJ209,CK209-CJ209,0))*CD209,IF(OCallPut,IF(CE209&gt;CK209,CE209-CK209,0)*BY209+IF(CF209&gt;CK209,CF209-CK209,0)*BZ209+IF(CG209&gt;CK209,CG209-CK209,0)*CA209+IF(CI209&gt;CK209,CI209-CK209,0)*CC209,IF(CK209&gt;CE209,CK209-CE209,0)*BY209+IF(CK209&gt;CF209,CK209-CF209,0)*BZ209+IF(CK209&gt;CG209,CK209-CG209,0)*CA209+IF(CK209&gt;CI209,CK209-CI209,0)*CC209)),0)</f>
        <v>0</v>
      </c>
      <c r="DE209" s="363">
        <f t="shared" ref="DE209:DE272" ca="1" si="689">IF(E209&lt;&gt;"",INDEX(MaxMWTable,C209,2)*H209*J209,0)</f>
        <v>0</v>
      </c>
      <c r="DF209" s="378" t="str">
        <f t="shared" ref="DF209:DF272" ca="1" si="690">IF(BY209,(LN(CE209/CK209)-CR209^2*BX209/2)/CR209/SQRT(BX209),"")</f>
        <v/>
      </c>
      <c r="DG209" s="508" t="str">
        <f t="shared" ref="DG209:DG272" ca="1" si="691">IF(BZ209,(LN(CF209/CK209)-CS209^2*BX209/2)/CS209/SQRT(BX209),"")</f>
        <v/>
      </c>
      <c r="DH209" s="508" t="str">
        <f t="shared" ref="DH209:DH272" ca="1" si="692">IF(CA209,(LN(CG209/CK209)-CT209^2*BX209/2)/CT209/SQRT(BX209),"")</f>
        <v/>
      </c>
      <c r="DI209" s="508" t="str">
        <f t="shared" ref="DI209:DI272" ca="1" si="693">IF(CC209,(LN(CI209/CK209)-CU209^2*BX209/2)/CU209/SQRT(BX209),"")</f>
        <v/>
      </c>
      <c r="DJ209" s="508" t="str">
        <f t="shared" ref="DJ209:DJ272" ca="1" si="694">IF(CD209,(LN(CJ209/CK209)-CV209^2*BX209/2)/CV209/SQRT(BX209),"")</f>
        <v/>
      </c>
      <c r="DK209" s="353">
        <f t="shared" ref="DK209:DK272" ca="1" si="695">IF(CD209,IF(OVolType,(-NORMSDIST(DJ209)+IF(OCallPut=1,0,1))*CD209,IF(BY209,(-NORMSDIST(DF209)+IF(OCallPut=1,0,1)),0)*BY209+IF(BZ209,(-NORMSDIST(DG209)+IF(OCallPut=1,0,1)),0)*BZ209+IF(CA209,(-NORMSDIST(DH209)+IF(OCallPut=1,0,1)),0)*CA209+IF(CC209,(-NORMSDIST(DI209)+IF(OCallPut=1,0,1)),0)*CC209),0)</f>
        <v>0</v>
      </c>
      <c r="DL209" s="781">
        <f t="shared" ref="DL209:DL272" ca="1" si="696">IF(CD209,IF(OVolType,EXP(-0.5*DJ209^2)/CV209*CD209,IF(BY209,EXP(-0.5*DF209^2)/CR209,0)*BY209+IF(BZ209,EXP(-0.5*DG209^2)/CS209,0)*BZ209+IF(CA209,EXP(-0.5*DH209^2)/CT209,0)*CA209+IF(CC209,EXP(-0.5*DI209^2)/CU209,0)*CC209)/SQRT(2*3.14159*BX209)/CK209,0)</f>
        <v>0</v>
      </c>
      <c r="DM209" s="303">
        <f t="shared" ref="DM209:DM272" ca="1" si="697">IF(CD209,IF(OVolType,UndiscountedOption(CJ209,CK209,OImpVol,BX209,OCallPut,0)*CD209,IF(BY209,UndiscountedOption(CE209,CK209,OImpVol,BX209,OCallPut,0),0)*BY209+IF(BZ209,UndiscountedOption(CF209,CK209,OImpVol,BX209,OCallPut,0),0)*BZ209+IF(CA209,UndiscountedOption(CG209,CK209,OImpVol,BX209,OCallPut,0),0)*CA209+IF(CC209,UndiscountedOption(CI209,CK209,OImpVol,BX209,OCallPut,0),0)*CC209),0)</f>
        <v>0</v>
      </c>
      <c r="DN209" s="508" t="str">
        <f t="shared" ref="DN209:DN272" ca="1" si="698">IF(BY209,(LN(CE209/CK209)+OImpVol^2*BX209/2)/OImpVol/SQRT(BX209),"")</f>
        <v/>
      </c>
      <c r="DO209" s="508" t="str">
        <f t="shared" ref="DO209:DO272" ca="1" si="699">IF(BZ209,(LN(CF209/CK209)+OImpVol^2*BX209/2)/OImpVol/SQRT(BX209),"")</f>
        <v/>
      </c>
      <c r="DP209" s="508" t="str">
        <f t="shared" ref="DP209:DP272" ca="1" si="700">IF(CA209,(LN(CG209/CK209)+OImpVol^2*BX209/2)/OImpVol/SQRT(BX209),"")</f>
        <v/>
      </c>
      <c r="DQ209" s="508" t="str">
        <f t="shared" ref="DQ209:DQ272" ca="1" si="701">IF(CC209,(LN(CI209/CK209)+OImpVol^2*BX209/2)/OImpVol/SQRT(BX209),"")</f>
        <v/>
      </c>
      <c r="DR209" s="508" t="str">
        <f t="shared" ref="DR209:DR272" ca="1" si="702">IF(CD209,(LN(CJ209/CK209)+OImpVol^2*BX209/2)/OImpVol/SQRT(BX209),"")</f>
        <v/>
      </c>
      <c r="DS209" s="353">
        <f t="shared" ref="DS209:DS272" ca="1" si="703">IF(CD209,SQRT(BX209/2/3.14159)*IF(OVolType,CJ209*EXP(-0.5*DR209^2)*CD209,IF(BY209,CE209*EXP(-0.5*DN209^2),0)*BY209+IF(BZ209,CF209*EXP(-0.5*DO209^2),0)*BZ209+IF(CA209,CG209*EXP(-0.5*DP209^2),0)*CA209+IF(CC209,CI209*EXP(-0.5*DQ209^2),0)*CC209),0)</f>
        <v>0</v>
      </c>
      <c r="DT209" s="353">
        <f t="shared" ref="DT209:DT272" ca="1" si="704">IF(CD209,IF(OVolType,CJ209*DR209*EXP(-0.5*DR209^2)*(LN(CJ209/CK209)/OImpVol^2-BX209/2)*CD209,IF(BY209,CE209*DN209*EXP(-0.5*DN209^2)*(LN(CE209/CK209)/OImpVol^2-BX209/2),0)*BY209+IF(BZ209,CF209*DO209*EXP(-0.5*DO209^2)*(LN(CF209/CK209)/OImpVol^2-BX209/2),0)*BZ209+IF(CA209,CG209*DP209*EXP(-0.5*DP209^2)*(LN(CG209/CK209)/OImpVol^2-BX209/2),0)*CA209+IF(CC209,CI209*DQ209*EXP(-0.5*DQ209^2)*(LN(CI209/CK209)/OImpVol^2-BX209/2),0)*CC209)/SQRT(2*3.14159),0)</f>
        <v>0</v>
      </c>
      <c r="DU209" s="380">
        <f t="shared" ca="1" si="596"/>
        <v>16.082135523613964</v>
      </c>
      <c r="DV209" s="303">
        <f t="shared" ref="DV209:DV272" ca="1" si="705">BA209*J209</f>
        <v>0</v>
      </c>
      <c r="DW209" s="303">
        <f t="shared" ref="DW209:DW272" ca="1" si="706">BB209*J209</f>
        <v>0</v>
      </c>
      <c r="DX209" s="303">
        <f t="shared" ref="DX209:DX272" ca="1" si="707">BC209*J209</f>
        <v>0</v>
      </c>
      <c r="DY209" s="303">
        <f t="shared" ref="DY209:DY272" ca="1" si="708">SUM(DV209:DX209)</f>
        <v>0</v>
      </c>
      <c r="DZ209" s="303">
        <f t="shared" ref="DZ209:DZ272" ca="1" si="709">BD209*J209</f>
        <v>0</v>
      </c>
      <c r="EA209" s="303">
        <f t="shared" ref="EA209:EA272" ca="1" si="710">DY209+DZ209</f>
        <v>0</v>
      </c>
      <c r="EB209" s="302">
        <f t="shared" ref="EB209:EB272" ca="1" si="711">IF(EA209,IF(CPriceCurve,IF(CBuySell,K209,M209),L209)*BE209,0)</f>
        <v>0</v>
      </c>
      <c r="EC209" s="299">
        <f t="shared" ref="EC209:EC272" ca="1" si="712">IF(EA209,IF(CPriceCurve,IF(CBuySell,N209,P209),O209)*BF209,0)</f>
        <v>0</v>
      </c>
      <c r="ED209" s="299">
        <f t="shared" ref="ED209:ED272" ca="1" si="713">IF(EA209,IF(CPriceCurve,IF(CBuySell,Q209,S209),R209)*BG209,0)</f>
        <v>0</v>
      </c>
      <c r="EE209" s="299">
        <f t="shared" ref="EE209:EE272" ca="1" si="714">IF(DY209,(EB209*DV209+EC209*DW209+ED209*DX209)/DY209,0)</f>
        <v>0</v>
      </c>
      <c r="EF209" s="299">
        <f t="shared" ref="EF209:EF272" ca="1" si="715">IF(EA209,IF(CPriceCurve,IF(CBuySell,T209,V209),U209)*BH209,0)</f>
        <v>0</v>
      </c>
      <c r="EG209" s="299">
        <f t="shared" ref="EG209:EG272" ca="1" si="716">IF(EA209,(EE209*DY209+EF209*DZ209)/EA209,0)</f>
        <v>0</v>
      </c>
      <c r="EH209" s="302">
        <f t="shared" ref="EH209:EH272" ca="1" si="717">IF(EA209,CFloor*G209,0)</f>
        <v>0</v>
      </c>
      <c r="EI209" s="304" t="str">
        <f t="shared" ref="EI209:EI272" ca="1" si="718">IF(EA209,IF(CVolType&lt;&gt;2,SQRT(IF(CBidOfferVolSpreadFlag,X209^2*(1-15/365.25/DU209)+AJ209^2*15/365.25/DU209,IF(CFloorVolOverMonthlyPeak,CFloorVolOverMonthlyPeak,IF(CFloorVolCurve,IF(CBuySell,Y209,W209),X209))^2*(1-15/365.25/DU209)+IF(CFloorVolOverDailyPeak,CFloorVolOverDailyPeak,IF(CFloorVolCurve,IF(CBuySell,AK209,AI209),AJ209))^2*15/365.25/DU209)),IF(CBidOfferVolSpreadFlag,X209,IF(CFloorVolOverMonthlyPeak,CFloorVolOverMonthlyPeak,IF(CFloorVolCurve,IF(CBuySell,Y209,W209),X209)))),"")</f>
        <v/>
      </c>
      <c r="EJ209" s="305" t="str">
        <f t="shared" ref="EJ209:EJ272" ca="1" si="719">IF(EA209,IF(CVolType&lt;&gt;2,SQRT(IF(CBidOfferVolSpreadFlag,AA209^2*(1-15/365.25/DU209)+AM209^2*15/365.25/DU209,IF(CFloorVolOverMonthlyPeak,CFloorVolOverMonthlyPeak,IF(CFloorVolCurve,IF(CBuySell,AB209,Z209),AA209))^2*(1-15/365.25/DU209)+IF(CFloorVolOverDailyPeak,CFloorVolOverDailyPeak,IF(CFloorVolCurve,IF(CBuySell,AN209,AL209),AM209))^2*15/365.25/DU209)),IF(CBidOfferVolSpreadFlag,AA209,IF(CFloorVolOverMonthlyPeak,CFloorVolOverMonthlyPeak,IF(CFloorVolCurve,IF(CBuySell,AB209,Z209),AA209)))),"")</f>
        <v/>
      </c>
      <c r="EK209" s="305" t="str">
        <f t="shared" ref="EK209:EK272" ca="1" si="720">IF(EA209,IF(CVolType&lt;&gt;2,SQRT(IF(CBidOfferVolSpreadFlag,AD209^2*(1-15/365.25/DU209)+AP209^2*15/365.25/DU209,IF(CFloorVolOverMonthlyPeak,CFloorVolOverMonthlyPeak,IF(CFloorVolCurve,IF(CBuySell,AE209,AC209),AD209))^2*(1-15/365.25/DU209)+IF(CFloorVolOverDailyPeak,CFloorVolOverDailyPeak,IF(CFloorVolCurve,IF(CBuySell,AQ209,AO209),AP209))^2*15/365.25/DU209)),IF(CBidOfferVolSpreadFlag,AD209,IF(CFloorVolOverMonthlyPeak,CFloorVolOverMonthlyPeak,IF(CFloorVolCurve,IF(CBuySell,AE209,AC209),AD209)))),"")</f>
        <v/>
      </c>
      <c r="EL209" s="305" t="str">
        <f t="shared" ref="EL209:EL272" ca="1" si="721">IF(EA209,IF(DY209,SQRT(LN(1+((EB209*DV209)^2*(EXP(EI209^2*DU209)-1)+(EC209*DW209)^2*(EXP(EJ209^2*DU209)-1)+(ED209*DX209)^2*(EXP(EK209^2*DU209)-1)+2*EB209*DV209*EC209*DW209*(EXP(EI209*EJ209*DU209)-1)+2*EC209*DW209*ED209*DX209*(EXP(EJ209*EK209*DU209)-1)+2*ED209*DX209*EB209*DV209*(EXP(EK209*EI209*DU209)-1))/(EE209*DY209)^2)/DU209),0),"")</f>
        <v/>
      </c>
      <c r="EM209" s="305" t="str">
        <f t="shared" ref="EM209:EM272" ca="1" si="722">IF(EA209,IF(CVolType&lt;&gt;2,SQRT(IF(CBidOfferVolSpreadFlag,AG209^2*(1-15/365.25/DU209)+AS209^2*15/365.25/DU209,IF(CFloorVolOverMonthlyOffPeak,CFloorVolOverMonthlyOffPeak,IF(CFloorVolCurve,IF(CBuySell,AH209,AF209),AG209))^2*(1-15/365.25/DU209)+IF(CFloorVolOverDailyOffPeak,CFloorVolOverDailyOffPeak,IF(CFloorVolCurve,IF(CBuySell,AT209,AR209),AS209))^2*15/365.25/DU209)),IF(CBidOfferVolSpreadFlag,AG209,IF(CFloorVolOverMonthlyOffPeak,CFloorVolOverMonthlyOffPeak,IF(CFloorVolCurve,IF(CBuySell,AH209,AF209),AG209)))),"")</f>
        <v/>
      </c>
      <c r="EN209" s="305" t="str">
        <f t="shared" ref="EN209:EN272" ca="1" si="723">IF(EA209,SQRT(LN(1+((EE209*DY209)^2*(EXP(EL209^2*DU209)-1)+(EF209*DZ209)^2*(EXP(EM209^2*DU209)-1)+2*EE209*DY209*EF209*DZ209*(EXP(AU209*EL209*EM209*DU209)-1))/(EE209*DY209+EF209*DZ209)^2)/DU209),"")</f>
        <v/>
      </c>
      <c r="EO209" s="305" t="str">
        <f t="shared" ref="EO209:EO272" ca="1" si="724">IF(EA209,EI209+IF(CBidOfferVolSpreadFlag,IF(CBuySell,1,-1)*CBidOfferVolSpread/2,IF(CVolSmile,VLOOKUP(MAX(-5,EH209-EB209),IF(CVolSmile=1,VolSmileBook,VolSmileModel),2),0)),"")</f>
        <v/>
      </c>
      <c r="EP209" s="305" t="str">
        <f t="shared" ref="EP209:EP272" ca="1" si="725">IF(EA209,EJ209+IF(CBidOfferVolSpreadFlag,IF(CBuySell,1,-1)*CBidOfferVolSpread/2,IF(CVolSmile,VLOOKUP(MAX(-5,EH209-EC209),IF(CVolSmile=1,VolSmileBook,VolSmileModel),2),0)),"")</f>
        <v/>
      </c>
      <c r="EQ209" s="305" t="str">
        <f t="shared" ref="EQ209:EQ272" ca="1" si="726">IF(EA209,EK209+IF(CBidOfferVolSpreadFlag,IF(CBuySell,1,-1)*CBidOfferVolSpread/2,IF(CVolSmile,VLOOKUP(MAX(-5,EH209-ED209),IF(CVolSmile=1,VolSmileBook,VolSmileModel),2),0)),"")</f>
        <v/>
      </c>
      <c r="ER209" s="305" t="str">
        <f t="shared" ref="ER209:ER272" ca="1" si="727">IF(EA209,EM209+IF(CBidOfferVolSpreadFlag,IF(CBuySell,1,-1)*CBidOfferVolSpread/2,IF(CVolSmile,VLOOKUP(MAX(-5,EH209-EF209),IF(CVolSmile=1,VolSmileBook,VolSmileModel),2),0)),"")</f>
        <v/>
      </c>
      <c r="ES209" s="305" t="str">
        <f t="shared" ref="ES209:ES272" ca="1" si="728">IF(EA209,EN209+IF(CBidOfferVolSpreadFlag,IF(CBuySell,1,-1)*CBidOfferVolSpread/2,IF(CVolSmile,VLOOKUP(MAX(-5,EH209-EG209),IF(CVolSmile=1,VolSmileBook,VolSmileModel),2),0)),"")</f>
        <v/>
      </c>
      <c r="ET209" s="299">
        <f t="shared" ref="ET209:ET272" ca="1" si="729">IF(EA209,IF(CVolType,UndiscountedOption(EG209,EH209,ES209,DU209,0,0),(IF(DV209,UndiscountedOption(EB209,EH209,EO209,DU209,0,0),0)*DV209+IF(DW209,UndiscountedOption(EC209,EH209,EP209,DU209,0,0),0)*DW209+IF(DX209,UndiscountedOption(ED209,EH209,EQ209,DU209,0,0),0)*DX209+IF(DZ209,UndiscountedOption(EF209,EH209,ER209,DU209,0,0),0)*DZ209)/EA209),0)</f>
        <v>0</v>
      </c>
      <c r="EU209" s="302">
        <f t="shared" ref="EU209:EU272" ca="1" si="730">IF(EA209,CCap*G209,0)</f>
        <v>0</v>
      </c>
      <c r="EV209" s="304" t="str">
        <f t="shared" ref="EV209:EV272" ca="1" si="731">IF(EA209,IF(CVolType&lt;&gt;2,SQRT(IF(CBidOfferVolSpreadFlag,X209^2*(1-15/365.25/DU209)+AJ209^2*15/365.25/DU209,IF(CCapVolOverMonthlyPeak,CCapVolOverMonthlyPeak,IF(CCapVolCurve,IF(CBuySell,W209,Y209),X209))^2*(1-15/365.25/DU209)+IF(CCapVolOverDailyPeak,CCapVolOverDailyPeak,IF(CCapVolCurve,IF(CBuySell,AI209,AK209),AJ209))^2*15/365.25/DU209)),IF(CBidOfferVolSpreadFlag,X209,IF(CCapVolOverMonthlyPeak,CCapVolOverMonthlyPeak,IF(CCapVolCurve,IF(CBuySell,W209,Y209),X209)))),"")</f>
        <v/>
      </c>
      <c r="EW209" s="305" t="str">
        <f t="shared" ref="EW209:EW272" ca="1" si="732">IF(EA209,IF(CVolType&lt;&gt;2,SQRT(IF(CBidOfferVolSpreadFlag,AA209^2*(1-15/365.25/DU209)+AM209^2*15/365.25/DU209,IF(CCapVolOverMonthlyPeak,CCapVolOverMonthlyPeak,IF(CCapVolCurve,IF(CBuySell,Z209,AB209),AA209))^2*(1-15/365.25/DU209)+IF(CCapVolOverDailyPeak,CCapVolOverDailyPeak,IF(CCapVolCurve,IF(CBuySell,AL209,AN209),AM209))^2*15/365.25/DU209)),IF(CBidOfferVolSpreadFlag,AA209,IF(CCapVolOverMonthlyPeak,CCapVolOverMonthlyPeak,IF(CCapVolCurve,IF(CBuySell,Z209,AB209),AA209)))),"")</f>
        <v/>
      </c>
      <c r="EX209" s="305" t="str">
        <f t="shared" ref="EX209:EX272" ca="1" si="733">IF(EA209,IF(CVolType&lt;&gt;2,SQRT(IF(CBidOfferVolSpreadFlag,AD209^2*(1-15/365.25/DU209)+AP209^2*15/365.25/DU209,IF(CCapVolOverMonthlyPeak,CCapVolOverMonthlyPeak,IF(CCapVolCurve,IF(CBuySell,AC209,AE209),AD209))^2*(1-15/365.25/DU209)+IF(CCapVolOverDailyPeak,CCapVolOverDailyPeak,IF(CCapVolCurve,IF(CBuySell,AO209,AQ209),AP209))^2*15/365.25/DU209)),IF(CBidOfferVolSpreadFlag,AD209,IF(CCapVolOverMonthlyPeak,CCapVolOverMonthlyPeak,IF(CCapVolCurve,IF(CBuySell,AC209,AE209),AD209)))),"")</f>
        <v/>
      </c>
      <c r="EY209" s="305" t="str">
        <f t="shared" ref="EY209:EY272" ca="1" si="734">IF(EA209,IF(DY209,SQRT(LN(1+((EB209*DV209)^2*(EXP(EV209^2*DU209)-1)+(EC209*DW209)^2*(EXP(EW209^2*DU209)-1)+(ED209*DX209)^2*(EXP(EX209^2*DU209)-1)+2*EB209*DV209*EC209*DW209*(EXP(EV209*EW209*DU209)-1)+2*EC209*DW209*ED209*DX209*(EXP(EW209*EX209*DU209)-1)+2*ED209*DX209*EB209*DV209*(EXP(EX209*EV209*DU209)-1))/(EE209*DY209)^2)/DU209),0),"")</f>
        <v/>
      </c>
      <c r="EZ209" s="305" t="str">
        <f t="shared" ref="EZ209:EZ272" ca="1" si="735">IF(EA209,IF(CVolType&lt;&gt;2,SQRT(IF(CBidOfferVolSpreadFlag,AG209^2*(1-15/365.25/DU209)+AS209^2*15/365.25/DU209,IF(CCapVolOverMonthlyOffPeak,CCapVolOverMonthlyOffPeak,IF(CCapVolCurve,IF(CBuySell,AF209,AH209),AG209))^2*(1-15/365.25/DU209)+IF(CCapVolOverDailyOffPeak,CCapVolOverDailyOffPeak,IF(CCapVolCurve,IF(CBuySell,AR209,AT209),AS209))^2*15/365.25/DU209)),IF(CBidOfferVolSpreadFlag,AG209,IF(CCapVolOverMonthlyOffPeak,CCapVolOverMonthlyOffPeak,IF(CCapVolCurve,IF(CBuySell,AF209,AH209),AG209)))),"")</f>
        <v/>
      </c>
      <c r="FA209" s="305" t="str">
        <f t="shared" ref="FA209:FA272" ca="1" si="736">IF(EA209,SQRT(LN(1+((EE209*DY209)^2*(EXP(EY209^2*DU209)-1)+(EF209*DZ209)^2*(EXP(EZ209^2*DU209)-1)+2*EE209*DY209*EF209*DZ209*(EXP(AU209*EY209*EZ209*DU209)-1))/(EE209*DY209+EF209*DZ209)^2)/DU209),"")</f>
        <v/>
      </c>
      <c r="FB209" s="305" t="str">
        <f t="shared" ref="FB209:FB272" ca="1" si="737">IF(EA209,EV209+IF(CBidOfferVolSpreadFlag,IF(CBuySell,-1,1)*CBidOfferVolSpread/2,IF(CVolSmile,VLOOKUP(MAX(-5,EU209-EB209),IF(CVolSmile=1,VolSmileBook,VolSmileModel),2),0)),"")</f>
        <v/>
      </c>
      <c r="FC209" s="305" t="str">
        <f t="shared" ref="FC209:FC272" ca="1" si="738">IF(EA209,EW209+IF(CBidOfferVolSpreadFlag,IF(CBuySell,-1,1)*CBidOfferVolSpread/2,IF(CVolSmile,VLOOKUP(MAX(-5,EU209-EC209),IF(CVolSmile=1,VolSmileBook,VolSmileModel),2),0)),"")</f>
        <v/>
      </c>
      <c r="FD209" s="305" t="str">
        <f t="shared" ref="FD209:FD272" ca="1" si="739">IF(EA209,EX209+IF(CBidOfferVolSpreadFlag,IF(CBuySell,-1,1)*CBidOfferVolSpread/2,IF(CVolSmile,VLOOKUP(MAX(-5,EU209-ED209),IF(CVolSmile=1,VolSmileBook,VolSmileModel),2),0)),"")</f>
        <v/>
      </c>
      <c r="FE209" s="305" t="str">
        <f t="shared" ref="FE209:FE272" ca="1" si="740">IF(EA209,EZ209+IF(CBidOfferVolSpreadFlag,IF(CBuySell,-1,1)*CBidOfferVolSpread/2,IF(CVolSmile,VLOOKUP(MAX(-5,EU209-EF209),IF(CVolSmile=1,VolSmileBook,VolSmileModel),2),0)),"")</f>
        <v/>
      </c>
      <c r="FF209" s="305" t="str">
        <f t="shared" ref="FF209:FF272" ca="1" si="741">IF(EA209,FA209+IF(CBidOfferVolSpreadFlag,IF(CBuySell,-1,1)*CBidOfferVolSpread/2,IF(CVolSmile,VLOOKUP(MAX(-5,EU209-EG209),IF(CVolSmile=1,VolSmileBook,VolSmileModel),2),0)),"")</f>
        <v/>
      </c>
      <c r="FG209" s="299">
        <f t="shared" ref="FG209:FG272" ca="1" si="742">IF(EA209,IF(CVolType,UndiscountedOption(EG209,EU209,FF209,DU209,1,0),(IF(DV209,UndiscountedOption(EB209,EU209,FB209,DU209,1,0),0)*DV209+IF(DW209,UndiscountedOption(EC209,EU209,FC209,DU209,1,0),0)*DW209+IF(DX209,UndiscountedOption(ED209,EU209,FD209,DU209,1,0),0)*DX209+IF(DZ209,UndiscountedOption(EF209,EU209,FE209,DU209,1,0),0)*DZ209)/EA209),0)</f>
        <v>0</v>
      </c>
      <c r="FH209" s="302">
        <f t="shared" ref="FH209:FH272" ca="1" si="743">ET209-FG209</f>
        <v>0</v>
      </c>
      <c r="FI209" s="248">
        <f t="shared" ref="FI209:FI272" ca="1" si="744">FH209*EA209</f>
        <v>0</v>
      </c>
      <c r="FJ209" s="363">
        <f t="shared" ref="FJ209:FJ272" ca="1" si="745">IF(E209&lt;&gt;"",INDEX(MaxMWTable,C209,1)*H209*J209,0)</f>
        <v>0</v>
      </c>
      <c r="FK209" s="378" t="str">
        <f t="shared" ref="FK209:FK272" ca="1" si="746">IF(DV209,IF(CSpec,(LN(EB209/EH209)-EO209^2*DU209/2)/EO209/SQRT(DU209),(LN(EB209/EU209)-FB209^2*DU209/2)/FB209/SQRT(DU209)),"")</f>
        <v/>
      </c>
      <c r="FL209" s="508" t="str">
        <f t="shared" ref="FL209:FL272" ca="1" si="747">IF(DW209,IF(CSpec,(LN(EC209/EH209)-EP209^2*DU209/2)/EP209/SQRT(DU209),(LN(EC209/EU209)-FC209^2*DU209/2)/FC209/SQRT(DU209)),"")</f>
        <v/>
      </c>
      <c r="FM209" s="508" t="str">
        <f t="shared" ref="FM209:FM272" ca="1" si="748">IF(DX209,IF(CSpec,(LN(ED209/EH209)-EQ209^2*DU209/2)/EQ209/SQRT(DU209),(LN(ED209/EU209)-FD209^2*DU209/2)/FD209/SQRT(DU209)),"")</f>
        <v/>
      </c>
      <c r="FN209" s="508" t="str">
        <f t="shared" ref="FN209:FN272" ca="1" si="749">IF(DZ209,IF(CSpec,(LN(EF209/EH209)-ER209^2*DU209/2)/ER209/SQRT(DU209),(LN(EF209/EU209)-FE209^2*DU209/2)/FE209/SQRT(DU209)),"")</f>
        <v/>
      </c>
      <c r="FO209" s="508" t="str">
        <f t="shared" ref="FO209:FO272" ca="1" si="750">IF(EA209,IF(CSpec,(LN(EG209/EH209)-ES209^2*DU209/2)/ES209/SQRT(DU209),(LN(EG209/EU209)-FF209^2*DU209/2)/FF209/SQRT(DU209)),"")</f>
        <v/>
      </c>
      <c r="FP209" s="353">
        <f t="shared" ref="FP209:FP272" ca="1" si="751">IF(EA209,IF(CVolType,(-NORMSDIST(FO209)+IF(CSpec,1,0))*EA209,IF(DV209,(-NORMSDIST(FK209)+IF(CSpec,1,0)),0)*DV209+IF(DW209,(-NORMSDIST(FL209)+IF(CSpec,1,0)),0)*DW209+IF(DX209,(-NORMSDIST(FM209)+IF(CSpec,1,0)),0)*DX209+IF(DZ209,(-NORMSDIST(FN209)+IF(CSpec,1,0)),0)*DZ209),0)</f>
        <v>0</v>
      </c>
      <c r="FQ209" s="356">
        <f t="shared" ref="FQ209:FQ272" ca="1" si="752">IF(EA209,IF(CVolType,EXP(-0.5*FO209^2)/IF(CSpec,ES209,FF209)*EA209,IF(DV209,EXP(-0.5*FK209^2)/IF(CSpec,EO209,FB209),0)*DV209+IF(DW209,EXP(-0.5*FL209^2)/IF(CSpec,EP209,FC209),0)*DW209+IF(DX209,EXP(-0.5*FM209^2)/IF(CSpec,EQ209,FD209),0)*DX209+IF(DZ209,EXP(-0.5*FN209^2)/IF(CSpec,ER209,FE209),0)*DZ209)/SQRT(2*3.14159*DU209)/IF(CSpec,EH209,EU209),0)</f>
        <v>0</v>
      </c>
      <c r="FR209" s="380">
        <f t="shared" ref="FR209:FR272" ca="1" si="753">IF(CD209,VLOOKUP(A209,GasTable,13)*HeatRatePeak/1000,0)</f>
        <v>0</v>
      </c>
      <c r="FS209" s="299">
        <f t="shared" ref="FS209:FS272" ca="1" si="754">IF(CD209,VLOOKUP(A209,GasTable,13)*HeatRatePeak/1000,0)</f>
        <v>0</v>
      </c>
      <c r="FT209" s="299">
        <f t="shared" ref="FT209:FT272" ca="1" si="755">IF(CD209,VLOOKUP(A209,GasTable,13)*HeatRateOffPeak/1000,0)</f>
        <v>0</v>
      </c>
      <c r="FU209" s="299">
        <f t="shared" ref="FU209:FU272" ca="1" si="756">IF(CD209,VLOOKUP(A209,GasTable,13)*HeatRateOffPeak/1000,0)</f>
        <v>0</v>
      </c>
      <c r="FV209" s="299">
        <f t="shared" ref="FV209:FV272" ca="1" si="757">IF(CD209,(FR209*CB209+FU209*CC209)/CD209,0)</f>
        <v>0</v>
      </c>
      <c r="FW209" s="850" t="str">
        <f t="shared" ref="FW209:FW272" ca="1" si="758">IF(CD209,VLOOKUP(A209,GasTable,14),"")</f>
        <v/>
      </c>
      <c r="FX209" s="851" t="str">
        <f t="shared" ref="FX209:FX272" ca="1" si="759">IF(CD209,IF(CorrPowerGasOverFlag,INDEX(CorrPowerGasOver,C209),CorrPowerGas),"")</f>
        <v/>
      </c>
      <c r="FY209" s="851" t="str">
        <f t="shared" ref="FY209:FY272" ca="1" si="760">IF(CD209,SpreadOptGasMargin*HeatRatePeak/1000+SpreadOptPowerMargin+SpreadOptStrike,"")</f>
        <v/>
      </c>
      <c r="FZ209" s="201" t="str">
        <f t="shared" ref="FZ209:FZ272" ca="1" si="761">IF(CD209,SpreadOptGasMargin*HeatRatePeak/1000+SpreadOptPowerMargin+SpreadOptStrike,"")</f>
        <v/>
      </c>
      <c r="GA209" s="201" t="str">
        <f t="shared" ref="GA209:GA272" ca="1" si="762">IF(CD209,SpreadOptGasMargin*HeatRateOffPeak/1000+SpreadOptPowerMargin+SpreadOptStrike,"")</f>
        <v/>
      </c>
      <c r="GB209" s="201" t="str">
        <f t="shared" ref="GB209:GB272" ca="1" si="763">IF(CD209,SpreadOptGasMargin*HeatRateOffPeak/1000+SpreadOptPowerMargin+SpreadOptStrike,"")</f>
        <v/>
      </c>
      <c r="GC209" s="201" t="str">
        <f t="shared" ref="GC209:GC272" ca="1" si="764">IF(CD209,(FY209*CB209+GB209*CC209)/CD209,"")</f>
        <v/>
      </c>
      <c r="GD209" s="850" t="str">
        <f t="shared" ref="GD209:GD272" ca="1" si="765">IF(CD209,CL209+IF(OVolSmile,VLOOKUP(MAX(-5,FR209+FY209-CE209),IF(OVolSmile=1,VolSmileBook,VolSmileModel),2),0),"")</f>
        <v/>
      </c>
      <c r="GE209" s="866" t="str">
        <f t="shared" ref="GE209:GE272" ca="1" si="766">IF(CD209,CM209+IF(OVolSmile,VLOOKUP(MAX(-5,FS209+FY209-CF209),IF(OVolSmile=1,VolSmileBook,VolSmileModel),2),0),"")</f>
        <v/>
      </c>
      <c r="GF209" s="866" t="str">
        <f t="shared" ref="GF209:GF272" ca="1" si="767">IF(CD209,CN209+IF(OVolSmile,VLOOKUP(MAX(-5,FT209+FY209-CG209),IF(OVolSmile=1,VolSmileBook,VolSmileModel),2),0),"")</f>
        <v/>
      </c>
      <c r="GG209" s="866" t="str">
        <f t="shared" ref="GG209:GG272" ca="1" si="768">IF(CD209,CP209+IF(OVolSmile,VLOOKUP(MAX(-5,FU209+GB209-CI209),IF(OVolSmile=1,VolSmileBook,VolSmileModel),2),0),"")</f>
        <v/>
      </c>
      <c r="GH209" s="866" t="str">
        <f t="shared" ref="GH209:GH272" ca="1" si="769">IF(CD209,CQ209+IF(OVolSmile,VLOOKUP(MAX(-5,FV209+GC209-CJ209),IF(OVolSmile=1,VolSmileBook,VolSmileModel),2),0),"")</f>
        <v/>
      </c>
      <c r="GI209" s="302">
        <f t="shared" ref="GI209:GI272" ca="1" si="770">IF(AND(CE209&gt;0,FR209&gt;0,GD209&gt;0,FW209&gt;0),newSPRDOPT(CE209,FR209,FY209,0,GD209,FW209,FX209,BX209*365.25,OCallPut,0),0)</f>
        <v>0</v>
      </c>
      <c r="GJ209" s="299">
        <f t="shared" ref="GJ209:GJ272" ca="1" si="771">IF(AND(CF209&gt;0,FS209&gt;0,GE209&gt;0,FW209&gt;0),newSPRDOPT(CF209,FS209,FZ209,0,GE209,FW209,FX209,BX209*365.25,OCallPut,0),0)</f>
        <v>0</v>
      </c>
      <c r="GK209" s="299">
        <f t="shared" ref="GK209:GK272" ca="1" si="772">IF(AND(CG209&gt;0,FT209&gt;0,GF209&gt;0,FW209&gt;0),newSPRDOPT(CG209,FT209,GA209,0,GF209,FW209,FX209,BX209*365.25,OCallPut,0),0)</f>
        <v>0</v>
      </c>
      <c r="GL209" s="299">
        <f t="shared" ref="GL209:GL272" ca="1" si="773">IF(AND(CI209&gt;0,FU209&gt;0,GG209&gt;0,FW209&gt;0),newSPRDOPT(CI209,FU209,GB209,0,GG209,FW209,FX209,BX209*365.25,OCallPut,0),0)</f>
        <v>0</v>
      </c>
      <c r="GM209" s="299">
        <f t="shared" ref="GM209:GM272" ca="1" si="774">IF(OVolType,IF(AND(CJ209&gt;0,FV209&gt;0,GH209&gt;0,FW209&gt;0),newSPRDOPT(CJ209,FV209,GC209,0,GH209,FW209,FX209,BX209*365.25,OCallPut,0),0),IF(CD209,(GI209*BY209+GJ209*BZ209+GK209*CA209+GL209*CC209)/CD209,0))</f>
        <v>0</v>
      </c>
      <c r="GN209" s="302">
        <f t="shared" ref="GN209:GN272" ca="1" si="775">IF(AND(CE209&gt;0,FR209&gt;0,GD209&gt;0,FW209&gt;0),newSPRDOPT(CE209,FR209,FY209,0,GD209,FW209,FX209,BX209*365.25,OCallPut,1),0)</f>
        <v>0</v>
      </c>
      <c r="GO209" s="299">
        <f t="shared" ref="GO209:GO272" ca="1" si="776">IF(AND(CF209&gt;0,FS209&gt;0,GE209&gt;0,FW209&gt;0),newSPRDOPT(CF209,FS209,FZ209,0,GE209,FW209,FX209,BX209*365.25,OCallPut,1),0)</f>
        <v>0</v>
      </c>
      <c r="GP209" s="299">
        <f t="shared" ref="GP209:GP272" ca="1" si="777">IF(AND(CG209&gt;0,FT209&gt;0,GF209&gt;0,FW209&gt;0),newSPRDOPT(CG209,FT209,GA209,0,GF209,FW209,FX209,BX209*365.25,OCallPut,1),0)</f>
        <v>0</v>
      </c>
      <c r="GQ209" s="299">
        <f t="shared" ref="GQ209:GQ272" ca="1" si="778">IF(AND(CI209&gt;0,FU209&gt;0,GG209&gt;0,FW209&gt;0),newSPRDOPT(CI209,FU209,GB209,0,GG209,FW209,FX209,BX209*365.25,OCallPut,1),0)</f>
        <v>0</v>
      </c>
      <c r="GR209" s="299">
        <f t="shared" ref="GR209:GR272" ca="1" si="779">IF(OVolType,IF(AND(CJ209&gt;0,FV209&gt;0,GH209&gt;0,FW209&gt;0),newSPRDOPT(CJ209,FV209,GC209,0,GH209,FW209,FX209,BX209*365.25,OCallPut,1),0),IF(CD209,(GN209*BY209+GO209*BZ209+GP209*CA209+GQ209*CC209)/CD209,0))</f>
        <v>0</v>
      </c>
      <c r="GS209" s="302">
        <f t="shared" ref="GS209:GS272" ca="1" si="780">IF(AND(CE209&gt;0,FR209&gt;0,GD209&gt;0,FW209&gt;0),newSPRDOPT(CE209,FR209,FY209,0,GD209,FW209,FX209,BX209*365.25,OCallPut,2),0)</f>
        <v>0</v>
      </c>
      <c r="GT209" s="299">
        <f t="shared" ref="GT209:GT272" ca="1" si="781">IF(AND(CF209&gt;0,FS209&gt;0,GE209&gt;0,FW209&gt;0),newSPRDOPT(CF209,FS209,FZ209,0,GE209,FW209,FX209,BX209*365.25,OCallPut,2),0)</f>
        <v>0</v>
      </c>
      <c r="GU209" s="299">
        <f t="shared" ref="GU209:GU272" ca="1" si="782">IF(AND(CG209&gt;0,FT209&gt;0,GF209&gt;0,FW209&gt;0),newSPRDOPT(CG209,FT209,GA209,0,GF209,FW209,FX209,BX209*365.25,OCallPut,2),0)</f>
        <v>0</v>
      </c>
      <c r="GV209" s="299">
        <f t="shared" ref="GV209:GV272" ca="1" si="783">IF(AND(CI209&gt;0,FU209&gt;0,GG209&gt;0,FW209&gt;0),newSPRDOPT(CI209,FU209,GB209,0,GG209,FW209,FX209,BX209*365.25,OCallPut,2),0)</f>
        <v>0</v>
      </c>
      <c r="GW209" s="299">
        <f t="shared" ref="GW209:GW272" ca="1" si="784">IF(OVolType,IF(AND(CJ209&gt;0,FV209&gt;0,GH209&gt;0,FW209&gt;0),newSPRDOPT(CJ209,FV209,GC209,0,GH209,FW209,FX209,BX209*365.25,OCallPut,2),0),IF(CD209,(GS209*BY209+GT209*BZ209+GU209*CA209+GV209*CC209)/CD209,0))</f>
        <v>0</v>
      </c>
      <c r="GX209" s="303">
        <f t="shared" ref="GX209:GX272" ca="1" si="785">GI209*BY209</f>
        <v>0</v>
      </c>
      <c r="GY209" s="303">
        <f t="shared" ref="GY209:GY272" ca="1" si="786">GJ209*BZ209</f>
        <v>0</v>
      </c>
      <c r="GZ209" s="303">
        <f t="shared" ref="GZ209:GZ272" ca="1" si="787">GK209*CA209</f>
        <v>0</v>
      </c>
      <c r="HA209" s="303">
        <f t="shared" ref="HA209:HA272" ca="1" si="788">GL209*CC209</f>
        <v>0</v>
      </c>
      <c r="HB209" s="303">
        <f t="shared" ref="HB209:HB272" ca="1" si="789">GM209*CD209</f>
        <v>0</v>
      </c>
      <c r="HC209" s="303">
        <f t="shared" ref="HC209:HC272" ca="1" si="790">IF(CD209,IF(OCallPut,IF(CE209&gt;(FR209+FY209),CE209-(FR209+FY209),0),IF((FR209+FY209)&gt;CE209,(FR209+FY209)-CE209,0))*BY209,0)</f>
        <v>0</v>
      </c>
      <c r="HD209" s="303">
        <f t="shared" ref="HD209:HD272" ca="1" si="791">IF(CD209,IF(OCallPut,IF(CF209&gt;(FS209+FY209),CF209-(FS209+FY209),0),IF((FS209+FY209)&gt;CF209,(FS209+FY209)-CF209,0))*BZ209,0)</f>
        <v>0</v>
      </c>
      <c r="HE209" s="303">
        <f t="shared" ref="HE209:HE272" ca="1" si="792">IF(CD209,IF(OCallPut,IF(CG209&gt;(FT209+FY209),CG209-(FT209+FY209),0),IF((FT209+FY209)&gt;CG209,(FT209+FY209)-CG209,0))*CA209,0)</f>
        <v>0</v>
      </c>
      <c r="HF209" s="303">
        <f t="shared" ref="HF209:HF272" ca="1" si="793">IF(CD209,IF(OCallPut,IF(CI209&gt;(FU209+GB209),CI209-(FU209+GB209),0),IF((FU209+GB209)&gt;CI209,(FU209+GB209)-CI209,0))*CC209,0)</f>
        <v>0</v>
      </c>
      <c r="HG209" s="852">
        <f t="shared" ref="HG209:HG272" ca="1" si="794">IF(CD209,IF(OVolType,IF(OCallPut,IF(CJ209&gt;(FV209+GC209),CJ209-(FV209+GC209),0),IF((FV209+GC209)&gt;CJ209,(FV209+GC209)-CJ209,0))*CD209,SUM(HC209:HF209)),0)</f>
        <v>0</v>
      </c>
    </row>
    <row r="210" spans="1:215" x14ac:dyDescent="0.25">
      <c r="A210" s="244">
        <f t="shared" ref="A210:A273" ca="1" si="795">EOMONTH(A209,0)+1</f>
        <v>42491</v>
      </c>
      <c r="B210" s="13">
        <f t="shared" ca="1" si="623"/>
        <v>2016</v>
      </c>
      <c r="C210" s="619">
        <f t="shared" ca="1" si="624"/>
        <v>5</v>
      </c>
      <c r="D210" s="195">
        <f t="shared" ca="1" si="625"/>
        <v>42520</v>
      </c>
      <c r="E210" s="469" t="str">
        <f t="shared" ca="1" si="626"/>
        <v/>
      </c>
      <c r="F210" s="465" t="str">
        <f t="shared" ca="1" si="627"/>
        <v/>
      </c>
      <c r="G210" s="522">
        <f t="shared" ref="G210:G273" ca="1" si="796">G209*(1+((PriceEscType=1)*(C210=1)+(PriceEscType=2)*(C210=BegMonth))*(B210&gt;BegYear)*PriceEsc)</f>
        <v>1</v>
      </c>
      <c r="H210" s="519">
        <f t="shared" ref="H210:H273" ca="1" si="797">H209*(1+((VolumeEscType=1)*(C210=1)+(VolumeEscType=2)*(C210=BegMonth))*(B210&gt;BegYear)*VolumeEsc)</f>
        <v>1</v>
      </c>
      <c r="I210" s="724">
        <f t="shared" ca="1" si="628"/>
        <v>7.4183264094421997E-2</v>
      </c>
      <c r="J210" s="198">
        <f t="shared" ca="1" si="629"/>
        <v>0.30501749472835576</v>
      </c>
      <c r="K210" s="200">
        <f t="shared" ca="1" si="597"/>
        <v>35.17</v>
      </c>
      <c r="L210" s="201">
        <f t="shared" ca="1" si="598"/>
        <v>37.65</v>
      </c>
      <c r="M210" s="206">
        <f t="shared" ca="1" si="599"/>
        <v>40.130000000000003</v>
      </c>
      <c r="N210" s="851">
        <f t="shared" ca="1" si="603"/>
        <v>22.372500076293935</v>
      </c>
      <c r="O210" s="201">
        <f t="shared" ca="1" si="604"/>
        <v>24.232500076293935</v>
      </c>
      <c r="P210" s="206">
        <f t="shared" ca="1" si="605"/>
        <v>26.092500076293934</v>
      </c>
      <c r="Q210" s="201">
        <f t="shared" ca="1" si="606"/>
        <v>19.064999771118153</v>
      </c>
      <c r="R210" s="201">
        <f t="shared" ca="1" si="607"/>
        <v>23.364999771118153</v>
      </c>
      <c r="S210" s="201">
        <f t="shared" ca="1" si="608"/>
        <v>27.664999771118154</v>
      </c>
      <c r="T210" s="851">
        <f t="shared" ca="1" si="600"/>
        <v>19.959997711181636</v>
      </c>
      <c r="U210" s="201">
        <f t="shared" ca="1" si="601"/>
        <v>21.199997711181634</v>
      </c>
      <c r="V210" s="206">
        <f t="shared" ca="1" si="602"/>
        <v>22.439997711181633</v>
      </c>
      <c r="W210" s="230">
        <f t="shared" ref="W210:W273" ca="1" si="798">VLOOKUP($A210,BigTable,14,0)</f>
        <v>6.3273999759068278E-2</v>
      </c>
      <c r="X210" s="231">
        <f t="shared" ref="X210:X273" ca="1" si="799">VLOOKUP($A210,BigTable,15,0)</f>
        <v>0.12654799951813656</v>
      </c>
      <c r="Y210" s="232">
        <f t="shared" ref="Y210:Y273" ca="1" si="800">VLOOKUP($A210,BigTable,16,0)</f>
        <v>0.18982199927720483</v>
      </c>
      <c r="Z210" s="231">
        <f t="shared" ca="1" si="612"/>
        <v>6.3273999759068278E-2</v>
      </c>
      <c r="AA210" s="231">
        <f t="shared" ca="1" si="613"/>
        <v>0.12654799951813656</v>
      </c>
      <c r="AB210" s="232">
        <f t="shared" ca="1" si="614"/>
        <v>0.18982199927720483</v>
      </c>
      <c r="AC210" s="231">
        <f t="shared" ca="1" si="615"/>
        <v>6.3273999759068278E-2</v>
      </c>
      <c r="AD210" s="231">
        <f t="shared" ca="1" si="616"/>
        <v>0.12654799951813656</v>
      </c>
      <c r="AE210" s="232">
        <f t="shared" ca="1" si="630"/>
        <v>0.18982199927720483</v>
      </c>
      <c r="AF210" s="231">
        <f t="shared" ref="AF210:AF273" ca="1" si="801">VLOOKUP($A210,BigTable,18,0)</f>
        <v>2.5332920220737354E-2</v>
      </c>
      <c r="AG210" s="231">
        <f t="shared" ref="AG210:AG273" ca="1" si="802">VLOOKUP($A210,BigTable,19,0)</f>
        <v>5.0665840441474708E-2</v>
      </c>
      <c r="AH210" s="232">
        <f t="shared" ref="AH210:AH273" ca="1" si="803">VLOOKUP($A210,BigTable,20,0)</f>
        <v>7.5998760662212062E-2</v>
      </c>
      <c r="AI210" s="233">
        <f t="shared" ca="1" si="631"/>
        <v>0.85000000000000009</v>
      </c>
      <c r="AJ210" s="233">
        <f t="shared" ca="1" si="632"/>
        <v>1.1000000000000001</v>
      </c>
      <c r="AK210" s="234">
        <f t="shared" ca="1" si="633"/>
        <v>1.4000000000000001</v>
      </c>
      <c r="AL210" s="919">
        <f t="shared" ca="1" si="634"/>
        <v>0.85000000000000009</v>
      </c>
      <c r="AM210" s="233">
        <f t="shared" ca="1" si="635"/>
        <v>1.1000000000000001</v>
      </c>
      <c r="AN210" s="234">
        <f t="shared" ca="1" si="636"/>
        <v>1.4000000000000001</v>
      </c>
      <c r="AO210" s="233">
        <f t="shared" ca="1" si="637"/>
        <v>0.85000000000000009</v>
      </c>
      <c r="AP210" s="233">
        <f t="shared" ca="1" si="638"/>
        <v>1.1000000000000001</v>
      </c>
      <c r="AQ210" s="233">
        <f t="shared" ca="1" si="639"/>
        <v>1.4000000000000001</v>
      </c>
      <c r="AR210" s="919">
        <f t="shared" ca="1" si="640"/>
        <v>0.35</v>
      </c>
      <c r="AS210" s="233">
        <f t="shared" ca="1" si="641"/>
        <v>0.5</v>
      </c>
      <c r="AT210" s="235">
        <f t="shared" ca="1" si="642"/>
        <v>0.7</v>
      </c>
      <c r="AU210" s="946">
        <f t="shared" si="643"/>
        <v>0.5</v>
      </c>
      <c r="AV210" s="13">
        <f t="shared" ca="1" si="644"/>
        <v>0</v>
      </c>
      <c r="AW210" s="210">
        <f t="shared" ca="1" si="645"/>
        <v>0</v>
      </c>
      <c r="AX210" s="210">
        <f t="shared" ca="1" si="646"/>
        <v>0</v>
      </c>
      <c r="AY210" s="210">
        <f t="shared" ca="1" si="647"/>
        <v>0</v>
      </c>
      <c r="AZ210" s="13">
        <f t="shared" ca="1" si="648"/>
        <v>0</v>
      </c>
      <c r="BA210" s="357">
        <f ca="1"/>
        <v>0</v>
      </c>
      <c r="BB210" s="925">
        <f ca="1"/>
        <v>0</v>
      </c>
      <c r="BC210" s="925">
        <f ca="1"/>
        <v>0</v>
      </c>
      <c r="BD210" s="928">
        <f ca="1"/>
        <v>0</v>
      </c>
      <c r="BE210" s="200">
        <f ca="1"/>
        <v>0</v>
      </c>
      <c r="BF210" s="851">
        <f ca="1"/>
        <v>0</v>
      </c>
      <c r="BG210" s="851">
        <f ca="1"/>
        <v>0</v>
      </c>
      <c r="BH210" s="933">
        <f ca="1"/>
        <v>0</v>
      </c>
      <c r="BI210" s="357">
        <f ca="1"/>
        <v>0</v>
      </c>
      <c r="BJ210" s="925">
        <f ca="1"/>
        <v>0</v>
      </c>
      <c r="BK210" s="925">
        <f ca="1"/>
        <v>0</v>
      </c>
      <c r="BL210" s="928">
        <f ca="1"/>
        <v>0</v>
      </c>
      <c r="BM210" s="200">
        <f ca="1"/>
        <v>0</v>
      </c>
      <c r="BN210" s="851">
        <f ca="1"/>
        <v>0</v>
      </c>
      <c r="BO210" s="851">
        <f ca="1"/>
        <v>0</v>
      </c>
      <c r="BP210" s="933">
        <f ca="1"/>
        <v>0</v>
      </c>
      <c r="BQ210" s="357">
        <f t="shared" ca="1" si="649"/>
        <v>0</v>
      </c>
      <c r="BR210" s="361">
        <f t="shared" ca="1" si="650"/>
        <v>0</v>
      </c>
      <c r="BS210" s="357">
        <f t="shared" ca="1" si="651"/>
        <v>0</v>
      </c>
      <c r="BT210" s="302">
        <f t="shared" ca="1" si="652"/>
        <v>0</v>
      </c>
      <c r="BU210" s="299">
        <f t="shared" ca="1" si="653"/>
        <v>0</v>
      </c>
      <c r="BV210" s="299">
        <f t="shared" ca="1" si="654"/>
        <v>0</v>
      </c>
      <c r="BW210" s="299">
        <f t="shared" ca="1" si="655"/>
        <v>0</v>
      </c>
      <c r="BX210" s="380">
        <f t="shared" ca="1" si="656"/>
        <v>16.164271047227928</v>
      </c>
      <c r="BY210" s="363">
        <f t="shared" ca="1" si="657"/>
        <v>0</v>
      </c>
      <c r="BZ210" s="353">
        <f t="shared" ca="1" si="658"/>
        <v>0</v>
      </c>
      <c r="CA210" s="353">
        <f t="shared" ca="1" si="659"/>
        <v>0</v>
      </c>
      <c r="CB210" s="353">
        <f t="shared" ca="1" si="660"/>
        <v>0</v>
      </c>
      <c r="CC210" s="353">
        <f t="shared" ca="1" si="661"/>
        <v>0</v>
      </c>
      <c r="CD210" s="353">
        <f t="shared" ca="1" si="662"/>
        <v>0</v>
      </c>
      <c r="CE210" s="302">
        <f t="shared" ca="1" si="663"/>
        <v>0</v>
      </c>
      <c r="CF210" s="299">
        <f t="shared" ca="1" si="664"/>
        <v>0</v>
      </c>
      <c r="CG210" s="299">
        <f t="shared" ca="1" si="665"/>
        <v>0</v>
      </c>
      <c r="CH210" s="299">
        <f t="shared" ca="1" si="666"/>
        <v>0</v>
      </c>
      <c r="CI210" s="299">
        <f t="shared" ca="1" si="667"/>
        <v>0</v>
      </c>
      <c r="CJ210" s="299">
        <f t="shared" ca="1" si="668"/>
        <v>0</v>
      </c>
      <c r="CK210" s="299">
        <f t="shared" ca="1" si="669"/>
        <v>0</v>
      </c>
      <c r="CL210" s="377" t="str">
        <f t="shared" ca="1" si="670"/>
        <v/>
      </c>
      <c r="CM210" s="305" t="str">
        <f t="shared" ca="1" si="671"/>
        <v/>
      </c>
      <c r="CN210" s="305" t="str">
        <f t="shared" ca="1" si="672"/>
        <v/>
      </c>
      <c r="CO210" s="305" t="str">
        <f t="shared" ca="1" si="673"/>
        <v/>
      </c>
      <c r="CP210" s="305" t="str">
        <f t="shared" ca="1" si="674"/>
        <v/>
      </c>
      <c r="CQ210" s="305" t="str">
        <f t="shared" ca="1" si="675"/>
        <v/>
      </c>
      <c r="CR210" s="775" t="str">
        <f t="shared" ca="1" si="676"/>
        <v/>
      </c>
      <c r="CS210" s="305" t="str">
        <f t="shared" ca="1" si="677"/>
        <v/>
      </c>
      <c r="CT210" s="305" t="str">
        <f t="shared" ca="1" si="678"/>
        <v/>
      </c>
      <c r="CU210" s="305" t="str">
        <f t="shared" ca="1" si="679"/>
        <v/>
      </c>
      <c r="CV210" s="770" t="str">
        <f t="shared" ca="1" si="680"/>
        <v/>
      </c>
      <c r="CW210" s="302">
        <f t="shared" ca="1" si="681"/>
        <v>0</v>
      </c>
      <c r="CX210" s="299">
        <f t="shared" ca="1" si="682"/>
        <v>0</v>
      </c>
      <c r="CY210" s="299">
        <f t="shared" ca="1" si="683"/>
        <v>0</v>
      </c>
      <c r="CZ210" s="299">
        <f t="shared" ca="1" si="684"/>
        <v>0</v>
      </c>
      <c r="DA210" s="774">
        <f t="shared" ca="1" si="685"/>
        <v>0</v>
      </c>
      <c r="DB210" s="303">
        <f t="shared" ca="1" si="686"/>
        <v>0</v>
      </c>
      <c r="DC210" s="248">
        <f t="shared" ca="1" si="687"/>
        <v>0</v>
      </c>
      <c r="DD210" s="778">
        <f t="shared" ca="1" si="688"/>
        <v>0</v>
      </c>
      <c r="DE210" s="363">
        <f t="shared" ca="1" si="689"/>
        <v>0</v>
      </c>
      <c r="DF210" s="378" t="str">
        <f t="shared" ca="1" si="690"/>
        <v/>
      </c>
      <c r="DG210" s="508" t="str">
        <f t="shared" ca="1" si="691"/>
        <v/>
      </c>
      <c r="DH210" s="508" t="str">
        <f t="shared" ca="1" si="692"/>
        <v/>
      </c>
      <c r="DI210" s="508" t="str">
        <f t="shared" ca="1" si="693"/>
        <v/>
      </c>
      <c r="DJ210" s="508" t="str">
        <f t="shared" ca="1" si="694"/>
        <v/>
      </c>
      <c r="DK210" s="353">
        <f t="shared" ca="1" si="695"/>
        <v>0</v>
      </c>
      <c r="DL210" s="781">
        <f t="shared" ca="1" si="696"/>
        <v>0</v>
      </c>
      <c r="DM210" s="303">
        <f t="shared" ca="1" si="697"/>
        <v>0</v>
      </c>
      <c r="DN210" s="508" t="str">
        <f t="shared" ca="1" si="698"/>
        <v/>
      </c>
      <c r="DO210" s="508" t="str">
        <f t="shared" ca="1" si="699"/>
        <v/>
      </c>
      <c r="DP210" s="508" t="str">
        <f t="shared" ca="1" si="700"/>
        <v/>
      </c>
      <c r="DQ210" s="508" t="str">
        <f t="shared" ca="1" si="701"/>
        <v/>
      </c>
      <c r="DR210" s="508" t="str">
        <f t="shared" ca="1" si="702"/>
        <v/>
      </c>
      <c r="DS210" s="353">
        <f t="shared" ca="1" si="703"/>
        <v>0</v>
      </c>
      <c r="DT210" s="353">
        <f t="shared" ca="1" si="704"/>
        <v>0</v>
      </c>
      <c r="DU210" s="380">
        <f t="shared" ref="DU210:DU273" ca="1" si="804">(A210+IF(CVolType=2,0,14)-DateToday)/365.25</f>
        <v>16.164271047227928</v>
      </c>
      <c r="DV210" s="303">
        <f t="shared" ca="1" si="705"/>
        <v>0</v>
      </c>
      <c r="DW210" s="303">
        <f t="shared" ca="1" si="706"/>
        <v>0</v>
      </c>
      <c r="DX210" s="303">
        <f t="shared" ca="1" si="707"/>
        <v>0</v>
      </c>
      <c r="DY210" s="303">
        <f t="shared" ca="1" si="708"/>
        <v>0</v>
      </c>
      <c r="DZ210" s="303">
        <f t="shared" ca="1" si="709"/>
        <v>0</v>
      </c>
      <c r="EA210" s="303">
        <f t="shared" ca="1" si="710"/>
        <v>0</v>
      </c>
      <c r="EB210" s="302">
        <f t="shared" ca="1" si="711"/>
        <v>0</v>
      </c>
      <c r="EC210" s="299">
        <f t="shared" ca="1" si="712"/>
        <v>0</v>
      </c>
      <c r="ED210" s="299">
        <f t="shared" ca="1" si="713"/>
        <v>0</v>
      </c>
      <c r="EE210" s="299">
        <f t="shared" ca="1" si="714"/>
        <v>0</v>
      </c>
      <c r="EF210" s="299">
        <f t="shared" ca="1" si="715"/>
        <v>0</v>
      </c>
      <c r="EG210" s="299">
        <f t="shared" ca="1" si="716"/>
        <v>0</v>
      </c>
      <c r="EH210" s="302">
        <f t="shared" ca="1" si="717"/>
        <v>0</v>
      </c>
      <c r="EI210" s="304" t="str">
        <f t="shared" ca="1" si="718"/>
        <v/>
      </c>
      <c r="EJ210" s="305" t="str">
        <f t="shared" ca="1" si="719"/>
        <v/>
      </c>
      <c r="EK210" s="305" t="str">
        <f t="shared" ca="1" si="720"/>
        <v/>
      </c>
      <c r="EL210" s="305" t="str">
        <f t="shared" ca="1" si="721"/>
        <v/>
      </c>
      <c r="EM210" s="305" t="str">
        <f t="shared" ca="1" si="722"/>
        <v/>
      </c>
      <c r="EN210" s="305" t="str">
        <f t="shared" ca="1" si="723"/>
        <v/>
      </c>
      <c r="EO210" s="305" t="str">
        <f t="shared" ca="1" si="724"/>
        <v/>
      </c>
      <c r="EP210" s="305" t="str">
        <f t="shared" ca="1" si="725"/>
        <v/>
      </c>
      <c r="EQ210" s="305" t="str">
        <f t="shared" ca="1" si="726"/>
        <v/>
      </c>
      <c r="ER210" s="305" t="str">
        <f t="shared" ca="1" si="727"/>
        <v/>
      </c>
      <c r="ES210" s="305" t="str">
        <f t="shared" ca="1" si="728"/>
        <v/>
      </c>
      <c r="ET210" s="299">
        <f t="shared" ca="1" si="729"/>
        <v>0</v>
      </c>
      <c r="EU210" s="302">
        <f t="shared" ca="1" si="730"/>
        <v>0</v>
      </c>
      <c r="EV210" s="304" t="str">
        <f t="shared" ca="1" si="731"/>
        <v/>
      </c>
      <c r="EW210" s="305" t="str">
        <f t="shared" ca="1" si="732"/>
        <v/>
      </c>
      <c r="EX210" s="305" t="str">
        <f t="shared" ca="1" si="733"/>
        <v/>
      </c>
      <c r="EY210" s="305" t="str">
        <f t="shared" ca="1" si="734"/>
        <v/>
      </c>
      <c r="EZ210" s="305" t="str">
        <f t="shared" ca="1" si="735"/>
        <v/>
      </c>
      <c r="FA210" s="305" t="str">
        <f t="shared" ca="1" si="736"/>
        <v/>
      </c>
      <c r="FB210" s="305" t="str">
        <f t="shared" ca="1" si="737"/>
        <v/>
      </c>
      <c r="FC210" s="305" t="str">
        <f t="shared" ca="1" si="738"/>
        <v/>
      </c>
      <c r="FD210" s="305" t="str">
        <f t="shared" ca="1" si="739"/>
        <v/>
      </c>
      <c r="FE210" s="305" t="str">
        <f t="shared" ca="1" si="740"/>
        <v/>
      </c>
      <c r="FF210" s="305" t="str">
        <f t="shared" ca="1" si="741"/>
        <v/>
      </c>
      <c r="FG210" s="299">
        <f t="shared" ca="1" si="742"/>
        <v>0</v>
      </c>
      <c r="FH210" s="302">
        <f t="shared" ca="1" si="743"/>
        <v>0</v>
      </c>
      <c r="FI210" s="248">
        <f t="shared" ca="1" si="744"/>
        <v>0</v>
      </c>
      <c r="FJ210" s="363">
        <f t="shared" ca="1" si="745"/>
        <v>0</v>
      </c>
      <c r="FK210" s="378" t="str">
        <f t="shared" ca="1" si="746"/>
        <v/>
      </c>
      <c r="FL210" s="508" t="str">
        <f t="shared" ca="1" si="747"/>
        <v/>
      </c>
      <c r="FM210" s="508" t="str">
        <f t="shared" ca="1" si="748"/>
        <v/>
      </c>
      <c r="FN210" s="508" t="str">
        <f t="shared" ca="1" si="749"/>
        <v/>
      </c>
      <c r="FO210" s="508" t="str">
        <f t="shared" ca="1" si="750"/>
        <v/>
      </c>
      <c r="FP210" s="353">
        <f t="shared" ca="1" si="751"/>
        <v>0</v>
      </c>
      <c r="FQ210" s="356">
        <f t="shared" ca="1" si="752"/>
        <v>0</v>
      </c>
      <c r="FR210" s="380">
        <f t="shared" ca="1" si="753"/>
        <v>0</v>
      </c>
      <c r="FS210" s="299">
        <f t="shared" ca="1" si="754"/>
        <v>0</v>
      </c>
      <c r="FT210" s="299">
        <f t="shared" ca="1" si="755"/>
        <v>0</v>
      </c>
      <c r="FU210" s="299">
        <f t="shared" ca="1" si="756"/>
        <v>0</v>
      </c>
      <c r="FV210" s="299">
        <f t="shared" ca="1" si="757"/>
        <v>0</v>
      </c>
      <c r="FW210" s="850" t="str">
        <f t="shared" ca="1" si="758"/>
        <v/>
      </c>
      <c r="FX210" s="851" t="str">
        <f t="shared" ca="1" si="759"/>
        <v/>
      </c>
      <c r="FY210" s="851" t="str">
        <f t="shared" ca="1" si="760"/>
        <v/>
      </c>
      <c r="FZ210" s="201" t="str">
        <f t="shared" ca="1" si="761"/>
        <v/>
      </c>
      <c r="GA210" s="201" t="str">
        <f t="shared" ca="1" si="762"/>
        <v/>
      </c>
      <c r="GB210" s="201" t="str">
        <f t="shared" ca="1" si="763"/>
        <v/>
      </c>
      <c r="GC210" s="201" t="str">
        <f t="shared" ca="1" si="764"/>
        <v/>
      </c>
      <c r="GD210" s="850" t="str">
        <f t="shared" ca="1" si="765"/>
        <v/>
      </c>
      <c r="GE210" s="866" t="str">
        <f t="shared" ca="1" si="766"/>
        <v/>
      </c>
      <c r="GF210" s="866" t="str">
        <f t="shared" ca="1" si="767"/>
        <v/>
      </c>
      <c r="GG210" s="866" t="str">
        <f t="shared" ca="1" si="768"/>
        <v/>
      </c>
      <c r="GH210" s="866" t="str">
        <f t="shared" ca="1" si="769"/>
        <v/>
      </c>
      <c r="GI210" s="302">
        <f t="shared" ca="1" si="770"/>
        <v>0</v>
      </c>
      <c r="GJ210" s="299">
        <f t="shared" ca="1" si="771"/>
        <v>0</v>
      </c>
      <c r="GK210" s="299">
        <f t="shared" ca="1" si="772"/>
        <v>0</v>
      </c>
      <c r="GL210" s="299">
        <f t="shared" ca="1" si="773"/>
        <v>0</v>
      </c>
      <c r="GM210" s="299">
        <f t="shared" ca="1" si="774"/>
        <v>0</v>
      </c>
      <c r="GN210" s="302">
        <f t="shared" ca="1" si="775"/>
        <v>0</v>
      </c>
      <c r="GO210" s="299">
        <f t="shared" ca="1" si="776"/>
        <v>0</v>
      </c>
      <c r="GP210" s="299">
        <f t="shared" ca="1" si="777"/>
        <v>0</v>
      </c>
      <c r="GQ210" s="299">
        <f t="shared" ca="1" si="778"/>
        <v>0</v>
      </c>
      <c r="GR210" s="299">
        <f t="shared" ca="1" si="779"/>
        <v>0</v>
      </c>
      <c r="GS210" s="302">
        <f t="shared" ca="1" si="780"/>
        <v>0</v>
      </c>
      <c r="GT210" s="299">
        <f t="shared" ca="1" si="781"/>
        <v>0</v>
      </c>
      <c r="GU210" s="299">
        <f t="shared" ca="1" si="782"/>
        <v>0</v>
      </c>
      <c r="GV210" s="299">
        <f t="shared" ca="1" si="783"/>
        <v>0</v>
      </c>
      <c r="GW210" s="299">
        <f t="shared" ca="1" si="784"/>
        <v>0</v>
      </c>
      <c r="GX210" s="303">
        <f t="shared" ca="1" si="785"/>
        <v>0</v>
      </c>
      <c r="GY210" s="303">
        <f t="shared" ca="1" si="786"/>
        <v>0</v>
      </c>
      <c r="GZ210" s="303">
        <f t="shared" ca="1" si="787"/>
        <v>0</v>
      </c>
      <c r="HA210" s="303">
        <f t="shared" ca="1" si="788"/>
        <v>0</v>
      </c>
      <c r="HB210" s="303">
        <f t="shared" ca="1" si="789"/>
        <v>0</v>
      </c>
      <c r="HC210" s="303">
        <f t="shared" ca="1" si="790"/>
        <v>0</v>
      </c>
      <c r="HD210" s="303">
        <f t="shared" ca="1" si="791"/>
        <v>0</v>
      </c>
      <c r="HE210" s="303">
        <f t="shared" ca="1" si="792"/>
        <v>0</v>
      </c>
      <c r="HF210" s="303">
        <f t="shared" ca="1" si="793"/>
        <v>0</v>
      </c>
      <c r="HG210" s="852">
        <f t="shared" ca="1" si="794"/>
        <v>0</v>
      </c>
    </row>
    <row r="211" spans="1:215" x14ac:dyDescent="0.25">
      <c r="A211" s="244">
        <f t="shared" ca="1" si="795"/>
        <v>42522</v>
      </c>
      <c r="B211" s="13">
        <f t="shared" ca="1" si="623"/>
        <v>2016</v>
      </c>
      <c r="C211" s="619">
        <f t="shared" ca="1" si="624"/>
        <v>6</v>
      </c>
      <c r="D211" s="195" t="str">
        <f t="shared" ca="1" si="625"/>
        <v/>
      </c>
      <c r="E211" s="469" t="str">
        <f t="shared" ca="1" si="626"/>
        <v/>
      </c>
      <c r="F211" s="465" t="str">
        <f t="shared" ca="1" si="627"/>
        <v/>
      </c>
      <c r="G211" s="522">
        <f t="shared" ca="1" si="796"/>
        <v>1</v>
      </c>
      <c r="H211" s="519">
        <f t="shared" ca="1" si="797"/>
        <v>1</v>
      </c>
      <c r="I211" s="724">
        <f t="shared" ca="1" si="628"/>
        <v>7.4182969376542007E-2</v>
      </c>
      <c r="J211" s="198">
        <f t="shared" ca="1" si="629"/>
        <v>0.3031994960441951</v>
      </c>
      <c r="K211" s="200">
        <f t="shared" ref="K211:K274" ca="1" si="805">VLOOKUP(A211,PriceTable,2,0)+IF(BasisNumber&lt;&gt;1,VLOOKUP(A211,BasisTable,2,0),0)</f>
        <v>51.14</v>
      </c>
      <c r="L211" s="201">
        <f t="shared" ref="L211:L274" ca="1" si="806">VLOOKUP(A211,PriceTable,3,0)+IF(BasisNumber&lt;&gt;1,VLOOKUP(A211,BasisTable,2,0),0)</f>
        <v>58.25</v>
      </c>
      <c r="M211" s="206">
        <f t="shared" ref="M211:M274" ca="1" si="807">VLOOKUP(A211,PriceTable,4,0)+IF(BasisNumber&lt;&gt;1,VLOOKUP(A211,BasisTable,2,0),0)</f>
        <v>65.36</v>
      </c>
      <c r="N211" s="851">
        <f t="shared" ca="1" si="603"/>
        <v>23.326250152587882</v>
      </c>
      <c r="O211" s="201">
        <f t="shared" ca="1" si="604"/>
        <v>28.658750152587881</v>
      </c>
      <c r="P211" s="206">
        <f t="shared" ca="1" si="605"/>
        <v>33.991250152587881</v>
      </c>
      <c r="Q211" s="201">
        <f t="shared" ca="1" si="606"/>
        <v>17.842499542236318</v>
      </c>
      <c r="R211" s="201">
        <f t="shared" ca="1" si="607"/>
        <v>22.142499542236319</v>
      </c>
      <c r="S211" s="201">
        <f t="shared" ca="1" si="608"/>
        <v>26.44249954223632</v>
      </c>
      <c r="T211" s="851">
        <f t="shared" ref="T211:T274" ca="1" si="808">VLOOKUP(A211,PriceTable,6,0)+IF(BasisNumber&lt;&gt;1,VLOOKUP(A211,BasisTable,3,0),0)</f>
        <v>17.599998779296868</v>
      </c>
      <c r="U211" s="201">
        <f t="shared" ref="U211:U274" ca="1" si="809">VLOOKUP(A211,PriceTable,7,0)+IF(BasisNumber&lt;&gt;1,VLOOKUP(A211,BasisTable,3,0),0)</f>
        <v>21.154998779296868</v>
      </c>
      <c r="V211" s="206">
        <f t="shared" ref="V211:V274" ca="1" si="810">VLOOKUP(A211,PriceTable,8,0)+IF(BasisNumber&lt;&gt;1,VLOOKUP(A211,BasisTable,3,0),0)</f>
        <v>24.709998779296868</v>
      </c>
      <c r="W211" s="230">
        <f t="shared" ca="1" si="798"/>
        <v>7.9274920620710745E-2</v>
      </c>
      <c r="X211" s="231">
        <f t="shared" ca="1" si="799"/>
        <v>0.15854984124142149</v>
      </c>
      <c r="Y211" s="232">
        <f t="shared" ca="1" si="800"/>
        <v>0.23782476186213225</v>
      </c>
      <c r="Z211" s="231">
        <f t="shared" ca="1" si="612"/>
        <v>7.9274920620710745E-2</v>
      </c>
      <c r="AA211" s="231">
        <f t="shared" ca="1" si="613"/>
        <v>0.15854984124142149</v>
      </c>
      <c r="AB211" s="232">
        <f t="shared" ca="1" si="614"/>
        <v>0.23782476186213225</v>
      </c>
      <c r="AC211" s="231">
        <f t="shared" ca="1" si="615"/>
        <v>7.9274920620710745E-2</v>
      </c>
      <c r="AD211" s="231">
        <f t="shared" ca="1" si="616"/>
        <v>0.15854984124142149</v>
      </c>
      <c r="AE211" s="232">
        <f t="shared" ca="1" si="630"/>
        <v>0.23782476186213225</v>
      </c>
      <c r="AF211" s="231">
        <f t="shared" ca="1" si="801"/>
        <v>3.2570897426662297E-2</v>
      </c>
      <c r="AG211" s="231">
        <f t="shared" ca="1" si="802"/>
        <v>6.5141794853324594E-2</v>
      </c>
      <c r="AH211" s="232">
        <f t="shared" ca="1" si="803"/>
        <v>9.7712692279986885E-2</v>
      </c>
      <c r="AI211" s="233">
        <f t="shared" ca="1" si="631"/>
        <v>1.65</v>
      </c>
      <c r="AJ211" s="233">
        <f t="shared" ca="1" si="632"/>
        <v>2</v>
      </c>
      <c r="AK211" s="234">
        <f t="shared" ca="1" si="633"/>
        <v>2.2999999999999998</v>
      </c>
      <c r="AL211" s="919">
        <f t="shared" ca="1" si="634"/>
        <v>1.65</v>
      </c>
      <c r="AM211" s="233">
        <f t="shared" ca="1" si="635"/>
        <v>2</v>
      </c>
      <c r="AN211" s="234">
        <f t="shared" ca="1" si="636"/>
        <v>2.2999999999999998</v>
      </c>
      <c r="AO211" s="233">
        <f t="shared" ca="1" si="637"/>
        <v>1.65</v>
      </c>
      <c r="AP211" s="233">
        <f t="shared" ca="1" si="638"/>
        <v>2</v>
      </c>
      <c r="AQ211" s="233">
        <f t="shared" ca="1" si="639"/>
        <v>2.2999999999999998</v>
      </c>
      <c r="AR211" s="919">
        <f t="shared" ca="1" si="640"/>
        <v>0.5</v>
      </c>
      <c r="AS211" s="233">
        <f t="shared" ca="1" si="641"/>
        <v>0.65</v>
      </c>
      <c r="AT211" s="235">
        <f t="shared" ca="1" si="642"/>
        <v>0.85000000000000009</v>
      </c>
      <c r="AU211" s="946">
        <f t="shared" si="643"/>
        <v>0.5</v>
      </c>
      <c r="AV211" s="13">
        <f t="shared" ca="1" si="644"/>
        <v>0</v>
      </c>
      <c r="AW211" s="210">
        <f t="shared" ca="1" si="645"/>
        <v>0</v>
      </c>
      <c r="AX211" s="210">
        <f t="shared" ca="1" si="646"/>
        <v>0</v>
      </c>
      <c r="AY211" s="210">
        <f t="shared" ca="1" si="647"/>
        <v>0</v>
      </c>
      <c r="AZ211" s="13">
        <f t="shared" ca="1" si="648"/>
        <v>0</v>
      </c>
      <c r="BA211" s="357">
        <f ca="1"/>
        <v>0</v>
      </c>
      <c r="BB211" s="925">
        <f ca="1"/>
        <v>0</v>
      </c>
      <c r="BC211" s="925">
        <f ca="1"/>
        <v>0</v>
      </c>
      <c r="BD211" s="928">
        <f ca="1"/>
        <v>0</v>
      </c>
      <c r="BE211" s="200">
        <f ca="1"/>
        <v>0</v>
      </c>
      <c r="BF211" s="851">
        <f ca="1"/>
        <v>0</v>
      </c>
      <c r="BG211" s="851">
        <f ca="1"/>
        <v>0</v>
      </c>
      <c r="BH211" s="933">
        <f ca="1"/>
        <v>0</v>
      </c>
      <c r="BI211" s="357">
        <f ca="1"/>
        <v>0</v>
      </c>
      <c r="BJ211" s="925">
        <f ca="1"/>
        <v>0</v>
      </c>
      <c r="BK211" s="925">
        <f ca="1"/>
        <v>0</v>
      </c>
      <c r="BL211" s="928">
        <f ca="1"/>
        <v>0</v>
      </c>
      <c r="BM211" s="200">
        <f ca="1"/>
        <v>0</v>
      </c>
      <c r="BN211" s="851">
        <f ca="1"/>
        <v>0</v>
      </c>
      <c r="BO211" s="851">
        <f ca="1"/>
        <v>0</v>
      </c>
      <c r="BP211" s="933">
        <f ca="1"/>
        <v>0</v>
      </c>
      <c r="BQ211" s="357">
        <f t="shared" ca="1" si="649"/>
        <v>0</v>
      </c>
      <c r="BR211" s="361">
        <f t="shared" ca="1" si="650"/>
        <v>0</v>
      </c>
      <c r="BS211" s="357">
        <f t="shared" ca="1" si="651"/>
        <v>0</v>
      </c>
      <c r="BT211" s="302">
        <f t="shared" ca="1" si="652"/>
        <v>0</v>
      </c>
      <c r="BU211" s="299">
        <f t="shared" ca="1" si="653"/>
        <v>0</v>
      </c>
      <c r="BV211" s="299">
        <f t="shared" ca="1" si="654"/>
        <v>0</v>
      </c>
      <c r="BW211" s="299">
        <f t="shared" ca="1" si="655"/>
        <v>0</v>
      </c>
      <c r="BX211" s="380">
        <f t="shared" ca="1" si="656"/>
        <v>16.249144421629023</v>
      </c>
      <c r="BY211" s="363">
        <f t="shared" ca="1" si="657"/>
        <v>0</v>
      </c>
      <c r="BZ211" s="353">
        <f t="shared" ca="1" si="658"/>
        <v>0</v>
      </c>
      <c r="CA211" s="353">
        <f t="shared" ca="1" si="659"/>
        <v>0</v>
      </c>
      <c r="CB211" s="353">
        <f t="shared" ca="1" si="660"/>
        <v>0</v>
      </c>
      <c r="CC211" s="353">
        <f t="shared" ca="1" si="661"/>
        <v>0</v>
      </c>
      <c r="CD211" s="353">
        <f t="shared" ca="1" si="662"/>
        <v>0</v>
      </c>
      <c r="CE211" s="302">
        <f t="shared" ca="1" si="663"/>
        <v>0</v>
      </c>
      <c r="CF211" s="299">
        <f t="shared" ca="1" si="664"/>
        <v>0</v>
      </c>
      <c r="CG211" s="299">
        <f t="shared" ca="1" si="665"/>
        <v>0</v>
      </c>
      <c r="CH211" s="299">
        <f t="shared" ca="1" si="666"/>
        <v>0</v>
      </c>
      <c r="CI211" s="299">
        <f t="shared" ca="1" si="667"/>
        <v>0</v>
      </c>
      <c r="CJ211" s="299">
        <f t="shared" ca="1" si="668"/>
        <v>0</v>
      </c>
      <c r="CK211" s="299">
        <f t="shared" ca="1" si="669"/>
        <v>0</v>
      </c>
      <c r="CL211" s="377" t="str">
        <f t="shared" ca="1" si="670"/>
        <v/>
      </c>
      <c r="CM211" s="305" t="str">
        <f t="shared" ca="1" si="671"/>
        <v/>
      </c>
      <c r="CN211" s="305" t="str">
        <f t="shared" ca="1" si="672"/>
        <v/>
      </c>
      <c r="CO211" s="305" t="str">
        <f t="shared" ca="1" si="673"/>
        <v/>
      </c>
      <c r="CP211" s="305" t="str">
        <f t="shared" ca="1" si="674"/>
        <v/>
      </c>
      <c r="CQ211" s="305" t="str">
        <f t="shared" ca="1" si="675"/>
        <v/>
      </c>
      <c r="CR211" s="775" t="str">
        <f t="shared" ca="1" si="676"/>
        <v/>
      </c>
      <c r="CS211" s="305" t="str">
        <f t="shared" ca="1" si="677"/>
        <v/>
      </c>
      <c r="CT211" s="305" t="str">
        <f t="shared" ca="1" si="678"/>
        <v/>
      </c>
      <c r="CU211" s="305" t="str">
        <f t="shared" ca="1" si="679"/>
        <v/>
      </c>
      <c r="CV211" s="770" t="str">
        <f t="shared" ca="1" si="680"/>
        <v/>
      </c>
      <c r="CW211" s="302">
        <f t="shared" ca="1" si="681"/>
        <v>0</v>
      </c>
      <c r="CX211" s="299">
        <f t="shared" ca="1" si="682"/>
        <v>0</v>
      </c>
      <c r="CY211" s="299">
        <f t="shared" ca="1" si="683"/>
        <v>0</v>
      </c>
      <c r="CZ211" s="299">
        <f t="shared" ca="1" si="684"/>
        <v>0</v>
      </c>
      <c r="DA211" s="774">
        <f t="shared" ca="1" si="685"/>
        <v>0</v>
      </c>
      <c r="DB211" s="303">
        <f t="shared" ca="1" si="686"/>
        <v>0</v>
      </c>
      <c r="DC211" s="248">
        <f t="shared" ca="1" si="687"/>
        <v>0</v>
      </c>
      <c r="DD211" s="778">
        <f t="shared" ca="1" si="688"/>
        <v>0</v>
      </c>
      <c r="DE211" s="363">
        <f t="shared" ca="1" si="689"/>
        <v>0</v>
      </c>
      <c r="DF211" s="378" t="str">
        <f t="shared" ca="1" si="690"/>
        <v/>
      </c>
      <c r="DG211" s="508" t="str">
        <f t="shared" ca="1" si="691"/>
        <v/>
      </c>
      <c r="DH211" s="508" t="str">
        <f t="shared" ca="1" si="692"/>
        <v/>
      </c>
      <c r="DI211" s="508" t="str">
        <f t="shared" ca="1" si="693"/>
        <v/>
      </c>
      <c r="DJ211" s="508" t="str">
        <f t="shared" ca="1" si="694"/>
        <v/>
      </c>
      <c r="DK211" s="353">
        <f t="shared" ca="1" si="695"/>
        <v>0</v>
      </c>
      <c r="DL211" s="781">
        <f t="shared" ca="1" si="696"/>
        <v>0</v>
      </c>
      <c r="DM211" s="303">
        <f t="shared" ca="1" si="697"/>
        <v>0</v>
      </c>
      <c r="DN211" s="508" t="str">
        <f t="shared" ca="1" si="698"/>
        <v/>
      </c>
      <c r="DO211" s="508" t="str">
        <f t="shared" ca="1" si="699"/>
        <v/>
      </c>
      <c r="DP211" s="508" t="str">
        <f t="shared" ca="1" si="700"/>
        <v/>
      </c>
      <c r="DQ211" s="508" t="str">
        <f t="shared" ca="1" si="701"/>
        <v/>
      </c>
      <c r="DR211" s="508" t="str">
        <f t="shared" ca="1" si="702"/>
        <v/>
      </c>
      <c r="DS211" s="353">
        <f t="shared" ca="1" si="703"/>
        <v>0</v>
      </c>
      <c r="DT211" s="353">
        <f t="shared" ca="1" si="704"/>
        <v>0</v>
      </c>
      <c r="DU211" s="380">
        <f t="shared" ca="1" si="804"/>
        <v>16.249144421629023</v>
      </c>
      <c r="DV211" s="303">
        <f t="shared" ca="1" si="705"/>
        <v>0</v>
      </c>
      <c r="DW211" s="303">
        <f t="shared" ca="1" si="706"/>
        <v>0</v>
      </c>
      <c r="DX211" s="303">
        <f t="shared" ca="1" si="707"/>
        <v>0</v>
      </c>
      <c r="DY211" s="303">
        <f t="shared" ca="1" si="708"/>
        <v>0</v>
      </c>
      <c r="DZ211" s="303">
        <f t="shared" ca="1" si="709"/>
        <v>0</v>
      </c>
      <c r="EA211" s="303">
        <f t="shared" ca="1" si="710"/>
        <v>0</v>
      </c>
      <c r="EB211" s="302">
        <f t="shared" ca="1" si="711"/>
        <v>0</v>
      </c>
      <c r="EC211" s="299">
        <f t="shared" ca="1" si="712"/>
        <v>0</v>
      </c>
      <c r="ED211" s="299">
        <f t="shared" ca="1" si="713"/>
        <v>0</v>
      </c>
      <c r="EE211" s="299">
        <f t="shared" ca="1" si="714"/>
        <v>0</v>
      </c>
      <c r="EF211" s="299">
        <f t="shared" ca="1" si="715"/>
        <v>0</v>
      </c>
      <c r="EG211" s="299">
        <f t="shared" ca="1" si="716"/>
        <v>0</v>
      </c>
      <c r="EH211" s="302">
        <f t="shared" ca="1" si="717"/>
        <v>0</v>
      </c>
      <c r="EI211" s="304" t="str">
        <f t="shared" ca="1" si="718"/>
        <v/>
      </c>
      <c r="EJ211" s="305" t="str">
        <f t="shared" ca="1" si="719"/>
        <v/>
      </c>
      <c r="EK211" s="305" t="str">
        <f t="shared" ca="1" si="720"/>
        <v/>
      </c>
      <c r="EL211" s="305" t="str">
        <f t="shared" ca="1" si="721"/>
        <v/>
      </c>
      <c r="EM211" s="305" t="str">
        <f t="shared" ca="1" si="722"/>
        <v/>
      </c>
      <c r="EN211" s="305" t="str">
        <f t="shared" ca="1" si="723"/>
        <v/>
      </c>
      <c r="EO211" s="305" t="str">
        <f t="shared" ca="1" si="724"/>
        <v/>
      </c>
      <c r="EP211" s="305" t="str">
        <f t="shared" ca="1" si="725"/>
        <v/>
      </c>
      <c r="EQ211" s="305" t="str">
        <f t="shared" ca="1" si="726"/>
        <v/>
      </c>
      <c r="ER211" s="305" t="str">
        <f t="shared" ca="1" si="727"/>
        <v/>
      </c>
      <c r="ES211" s="305" t="str">
        <f t="shared" ca="1" si="728"/>
        <v/>
      </c>
      <c r="ET211" s="299">
        <f t="shared" ca="1" si="729"/>
        <v>0</v>
      </c>
      <c r="EU211" s="302">
        <f t="shared" ca="1" si="730"/>
        <v>0</v>
      </c>
      <c r="EV211" s="304" t="str">
        <f t="shared" ca="1" si="731"/>
        <v/>
      </c>
      <c r="EW211" s="305" t="str">
        <f t="shared" ca="1" si="732"/>
        <v/>
      </c>
      <c r="EX211" s="305" t="str">
        <f t="shared" ca="1" si="733"/>
        <v/>
      </c>
      <c r="EY211" s="305" t="str">
        <f t="shared" ca="1" si="734"/>
        <v/>
      </c>
      <c r="EZ211" s="305" t="str">
        <f t="shared" ca="1" si="735"/>
        <v/>
      </c>
      <c r="FA211" s="305" t="str">
        <f t="shared" ca="1" si="736"/>
        <v/>
      </c>
      <c r="FB211" s="305" t="str">
        <f t="shared" ca="1" si="737"/>
        <v/>
      </c>
      <c r="FC211" s="305" t="str">
        <f t="shared" ca="1" si="738"/>
        <v/>
      </c>
      <c r="FD211" s="305" t="str">
        <f t="shared" ca="1" si="739"/>
        <v/>
      </c>
      <c r="FE211" s="305" t="str">
        <f t="shared" ca="1" si="740"/>
        <v/>
      </c>
      <c r="FF211" s="305" t="str">
        <f t="shared" ca="1" si="741"/>
        <v/>
      </c>
      <c r="FG211" s="299">
        <f t="shared" ca="1" si="742"/>
        <v>0</v>
      </c>
      <c r="FH211" s="302">
        <f t="shared" ca="1" si="743"/>
        <v>0</v>
      </c>
      <c r="FI211" s="248">
        <f t="shared" ca="1" si="744"/>
        <v>0</v>
      </c>
      <c r="FJ211" s="363">
        <f t="shared" ca="1" si="745"/>
        <v>0</v>
      </c>
      <c r="FK211" s="378" t="str">
        <f t="shared" ca="1" si="746"/>
        <v/>
      </c>
      <c r="FL211" s="508" t="str">
        <f t="shared" ca="1" si="747"/>
        <v/>
      </c>
      <c r="FM211" s="508" t="str">
        <f t="shared" ca="1" si="748"/>
        <v/>
      </c>
      <c r="FN211" s="508" t="str">
        <f t="shared" ca="1" si="749"/>
        <v/>
      </c>
      <c r="FO211" s="508" t="str">
        <f t="shared" ca="1" si="750"/>
        <v/>
      </c>
      <c r="FP211" s="353">
        <f t="shared" ca="1" si="751"/>
        <v>0</v>
      </c>
      <c r="FQ211" s="356">
        <f t="shared" ca="1" si="752"/>
        <v>0</v>
      </c>
      <c r="FR211" s="380">
        <f t="shared" ca="1" si="753"/>
        <v>0</v>
      </c>
      <c r="FS211" s="299">
        <f t="shared" ca="1" si="754"/>
        <v>0</v>
      </c>
      <c r="FT211" s="299">
        <f t="shared" ca="1" si="755"/>
        <v>0</v>
      </c>
      <c r="FU211" s="299">
        <f t="shared" ca="1" si="756"/>
        <v>0</v>
      </c>
      <c r="FV211" s="299">
        <f t="shared" ca="1" si="757"/>
        <v>0</v>
      </c>
      <c r="FW211" s="850" t="str">
        <f t="shared" ca="1" si="758"/>
        <v/>
      </c>
      <c r="FX211" s="851" t="str">
        <f t="shared" ca="1" si="759"/>
        <v/>
      </c>
      <c r="FY211" s="851" t="str">
        <f t="shared" ca="1" si="760"/>
        <v/>
      </c>
      <c r="FZ211" s="201" t="str">
        <f t="shared" ca="1" si="761"/>
        <v/>
      </c>
      <c r="GA211" s="201" t="str">
        <f t="shared" ca="1" si="762"/>
        <v/>
      </c>
      <c r="GB211" s="201" t="str">
        <f t="shared" ca="1" si="763"/>
        <v/>
      </c>
      <c r="GC211" s="201" t="str">
        <f t="shared" ca="1" si="764"/>
        <v/>
      </c>
      <c r="GD211" s="850" t="str">
        <f t="shared" ca="1" si="765"/>
        <v/>
      </c>
      <c r="GE211" s="866" t="str">
        <f t="shared" ca="1" si="766"/>
        <v/>
      </c>
      <c r="GF211" s="866" t="str">
        <f t="shared" ca="1" si="767"/>
        <v/>
      </c>
      <c r="GG211" s="866" t="str">
        <f t="shared" ca="1" si="768"/>
        <v/>
      </c>
      <c r="GH211" s="866" t="str">
        <f t="shared" ca="1" si="769"/>
        <v/>
      </c>
      <c r="GI211" s="302">
        <f t="shared" ca="1" si="770"/>
        <v>0</v>
      </c>
      <c r="GJ211" s="299">
        <f t="shared" ca="1" si="771"/>
        <v>0</v>
      </c>
      <c r="GK211" s="299">
        <f t="shared" ca="1" si="772"/>
        <v>0</v>
      </c>
      <c r="GL211" s="299">
        <f t="shared" ca="1" si="773"/>
        <v>0</v>
      </c>
      <c r="GM211" s="299">
        <f t="shared" ca="1" si="774"/>
        <v>0</v>
      </c>
      <c r="GN211" s="302">
        <f t="shared" ca="1" si="775"/>
        <v>0</v>
      </c>
      <c r="GO211" s="299">
        <f t="shared" ca="1" si="776"/>
        <v>0</v>
      </c>
      <c r="GP211" s="299">
        <f t="shared" ca="1" si="777"/>
        <v>0</v>
      </c>
      <c r="GQ211" s="299">
        <f t="shared" ca="1" si="778"/>
        <v>0</v>
      </c>
      <c r="GR211" s="299">
        <f t="shared" ca="1" si="779"/>
        <v>0</v>
      </c>
      <c r="GS211" s="302">
        <f t="shared" ca="1" si="780"/>
        <v>0</v>
      </c>
      <c r="GT211" s="299">
        <f t="shared" ca="1" si="781"/>
        <v>0</v>
      </c>
      <c r="GU211" s="299">
        <f t="shared" ca="1" si="782"/>
        <v>0</v>
      </c>
      <c r="GV211" s="299">
        <f t="shared" ca="1" si="783"/>
        <v>0</v>
      </c>
      <c r="GW211" s="299">
        <f t="shared" ca="1" si="784"/>
        <v>0</v>
      </c>
      <c r="GX211" s="303">
        <f t="shared" ca="1" si="785"/>
        <v>0</v>
      </c>
      <c r="GY211" s="303">
        <f t="shared" ca="1" si="786"/>
        <v>0</v>
      </c>
      <c r="GZ211" s="303">
        <f t="shared" ca="1" si="787"/>
        <v>0</v>
      </c>
      <c r="HA211" s="303">
        <f t="shared" ca="1" si="788"/>
        <v>0</v>
      </c>
      <c r="HB211" s="303">
        <f t="shared" ca="1" si="789"/>
        <v>0</v>
      </c>
      <c r="HC211" s="303">
        <f t="shared" ca="1" si="790"/>
        <v>0</v>
      </c>
      <c r="HD211" s="303">
        <f t="shared" ca="1" si="791"/>
        <v>0</v>
      </c>
      <c r="HE211" s="303">
        <f t="shared" ca="1" si="792"/>
        <v>0</v>
      </c>
      <c r="HF211" s="303">
        <f t="shared" ca="1" si="793"/>
        <v>0</v>
      </c>
      <c r="HG211" s="852">
        <f t="shared" ca="1" si="794"/>
        <v>0</v>
      </c>
    </row>
    <row r="212" spans="1:215" x14ac:dyDescent="0.25">
      <c r="A212" s="244">
        <f t="shared" ca="1" si="795"/>
        <v>42552</v>
      </c>
      <c r="B212" s="13">
        <f t="shared" ca="1" si="623"/>
        <v>2016</v>
      </c>
      <c r="C212" s="619">
        <f t="shared" ca="1" si="624"/>
        <v>7</v>
      </c>
      <c r="D212" s="195">
        <f t="shared" ca="1" si="625"/>
        <v>42555</v>
      </c>
      <c r="E212" s="469" t="str">
        <f t="shared" ca="1" si="626"/>
        <v/>
      </c>
      <c r="F212" s="465" t="str">
        <f t="shared" ca="1" si="627"/>
        <v/>
      </c>
      <c r="G212" s="522">
        <f t="shared" ca="1" si="796"/>
        <v>1</v>
      </c>
      <c r="H212" s="519">
        <f t="shared" ca="1" si="797"/>
        <v>1</v>
      </c>
      <c r="I212" s="724">
        <f t="shared" ca="1" si="628"/>
        <v>7.4182684165690002E-2</v>
      </c>
      <c r="J212" s="198">
        <f t="shared" ca="1" si="629"/>
        <v>0.30133220257672633</v>
      </c>
      <c r="K212" s="200">
        <f t="shared" ca="1" si="805"/>
        <v>83.5</v>
      </c>
      <c r="L212" s="201">
        <f t="shared" ca="1" si="806"/>
        <v>88.5</v>
      </c>
      <c r="M212" s="206">
        <f t="shared" ca="1" si="807"/>
        <v>93.5</v>
      </c>
      <c r="N212" s="851">
        <f t="shared" ref="N212:N275" ca="1" si="811">VLOOKUP(A212,BigTable,2,0)+IF(BasisNumber&lt;&gt;1,VLOOKUP(A212,BasisTable,2,0),0)</f>
        <v>38.111249542236365</v>
      </c>
      <c r="O212" s="201">
        <f t="shared" ref="O212:O275" ca="1" si="812">VLOOKUP(A212,BigTable,3,0)+IF(BasisNumber&lt;&gt;1,VLOOKUP(A212,BasisTable,2,0),0)</f>
        <v>41.861249542236365</v>
      </c>
      <c r="P212" s="206">
        <f t="shared" ref="P212:P275" ca="1" si="813">VLOOKUP(A212,BigTable,4,0)+IF(BasisNumber&lt;&gt;1,VLOOKUP(A212,BasisTable,2,0),0)</f>
        <v>45.611249542236365</v>
      </c>
      <c r="Q212" s="201">
        <f t="shared" ref="Q212:Q275" ca="1" si="814">VLOOKUP(A212,BigTable,6,0)+IF(BasisNumber&lt;&gt;1,VLOOKUP(A212,BasisTable,3,0),0)</f>
        <v>27.047499465942373</v>
      </c>
      <c r="R212" s="201">
        <f t="shared" ref="R212:R275" ca="1" si="815">VLOOKUP(A212,BigTable,7,0)+IF(BasisNumber&lt;&gt;1,VLOOKUP(A212,BasisTable,3,0),0)</f>
        <v>31.347499465942374</v>
      </c>
      <c r="S212" s="201">
        <f t="shared" ref="S212:S275" ca="1" si="816">VLOOKUP(A212,BigTable,8,0)+IF(BasisNumber&lt;&gt;1,VLOOKUP(A212,BasisTable,3,0),0)</f>
        <v>35.647499465942374</v>
      </c>
      <c r="T212" s="851">
        <f t="shared" ca="1" si="808"/>
        <v>23.149997711181634</v>
      </c>
      <c r="U212" s="201">
        <f t="shared" ca="1" si="809"/>
        <v>25.649997711181634</v>
      </c>
      <c r="V212" s="206">
        <f t="shared" ca="1" si="810"/>
        <v>28.149997711181634</v>
      </c>
      <c r="W212" s="230">
        <f t="shared" ca="1" si="798"/>
        <v>9.386859437074295E-2</v>
      </c>
      <c r="X212" s="231">
        <f t="shared" ca="1" si="799"/>
        <v>0.1877371887414859</v>
      </c>
      <c r="Y212" s="232">
        <f t="shared" ca="1" si="800"/>
        <v>0.28160578311222884</v>
      </c>
      <c r="Z212" s="231">
        <f t="shared" ca="1" si="612"/>
        <v>9.386859437074295E-2</v>
      </c>
      <c r="AA212" s="231">
        <f t="shared" ca="1" si="613"/>
        <v>0.1877371887414859</v>
      </c>
      <c r="AB212" s="232">
        <f t="shared" ca="1" si="614"/>
        <v>0.28160578311222884</v>
      </c>
      <c r="AC212" s="231">
        <f t="shared" ca="1" si="615"/>
        <v>9.386859437074295E-2</v>
      </c>
      <c r="AD212" s="231">
        <f t="shared" ca="1" si="616"/>
        <v>0.1877371887414859</v>
      </c>
      <c r="AE212" s="232">
        <f t="shared" ca="1" si="630"/>
        <v>0.28160578311222884</v>
      </c>
      <c r="AF212" s="231">
        <f t="shared" ca="1" si="801"/>
        <v>4.3427863235549737E-2</v>
      </c>
      <c r="AG212" s="231">
        <f t="shared" ca="1" si="802"/>
        <v>8.6855726471099473E-2</v>
      </c>
      <c r="AH212" s="232">
        <f t="shared" ca="1" si="803"/>
        <v>0.13028358970664922</v>
      </c>
      <c r="AI212" s="233">
        <f t="shared" ca="1" si="631"/>
        <v>2.65</v>
      </c>
      <c r="AJ212" s="233">
        <f t="shared" ca="1" si="632"/>
        <v>3</v>
      </c>
      <c r="AK212" s="234">
        <f t="shared" ca="1" si="633"/>
        <v>3.5</v>
      </c>
      <c r="AL212" s="919">
        <f t="shared" ca="1" si="634"/>
        <v>2.65</v>
      </c>
      <c r="AM212" s="233">
        <f t="shared" ca="1" si="635"/>
        <v>3</v>
      </c>
      <c r="AN212" s="234">
        <f t="shared" ca="1" si="636"/>
        <v>3.5</v>
      </c>
      <c r="AO212" s="233">
        <f t="shared" ca="1" si="637"/>
        <v>2.65</v>
      </c>
      <c r="AP212" s="233">
        <f t="shared" ca="1" si="638"/>
        <v>3</v>
      </c>
      <c r="AQ212" s="233">
        <f t="shared" ca="1" si="639"/>
        <v>3.5</v>
      </c>
      <c r="AR212" s="919">
        <f t="shared" ca="1" si="640"/>
        <v>0.6</v>
      </c>
      <c r="AS212" s="233">
        <f t="shared" ca="1" si="641"/>
        <v>0.75</v>
      </c>
      <c r="AT212" s="235">
        <f t="shared" ca="1" si="642"/>
        <v>0.95</v>
      </c>
      <c r="AU212" s="946">
        <f t="shared" si="643"/>
        <v>0.5</v>
      </c>
      <c r="AV212" s="13">
        <f t="shared" ca="1" si="644"/>
        <v>0</v>
      </c>
      <c r="AW212" s="210">
        <f t="shared" ca="1" si="645"/>
        <v>0</v>
      </c>
      <c r="AX212" s="210">
        <f t="shared" ca="1" si="646"/>
        <v>0</v>
      </c>
      <c r="AY212" s="210">
        <f t="shared" ca="1" si="647"/>
        <v>0</v>
      </c>
      <c r="AZ212" s="13">
        <f t="shared" ca="1" si="648"/>
        <v>0</v>
      </c>
      <c r="BA212" s="357">
        <f ca="1"/>
        <v>0</v>
      </c>
      <c r="BB212" s="925">
        <f ca="1"/>
        <v>0</v>
      </c>
      <c r="BC212" s="925">
        <f ca="1"/>
        <v>0</v>
      </c>
      <c r="BD212" s="928">
        <f ca="1"/>
        <v>0</v>
      </c>
      <c r="BE212" s="200">
        <f ca="1"/>
        <v>0</v>
      </c>
      <c r="BF212" s="851">
        <f ca="1"/>
        <v>0</v>
      </c>
      <c r="BG212" s="851">
        <f ca="1"/>
        <v>0</v>
      </c>
      <c r="BH212" s="933">
        <f ca="1"/>
        <v>0</v>
      </c>
      <c r="BI212" s="357">
        <f ca="1"/>
        <v>0</v>
      </c>
      <c r="BJ212" s="925">
        <f ca="1"/>
        <v>0</v>
      </c>
      <c r="BK212" s="925">
        <f ca="1"/>
        <v>0</v>
      </c>
      <c r="BL212" s="928">
        <f ca="1"/>
        <v>0</v>
      </c>
      <c r="BM212" s="200">
        <f ca="1"/>
        <v>0</v>
      </c>
      <c r="BN212" s="851">
        <f ca="1"/>
        <v>0</v>
      </c>
      <c r="BO212" s="851">
        <f ca="1"/>
        <v>0</v>
      </c>
      <c r="BP212" s="933">
        <f ca="1"/>
        <v>0</v>
      </c>
      <c r="BQ212" s="357">
        <f t="shared" ca="1" si="649"/>
        <v>0</v>
      </c>
      <c r="BR212" s="361">
        <f t="shared" ca="1" si="650"/>
        <v>0</v>
      </c>
      <c r="BS212" s="357">
        <f t="shared" ca="1" si="651"/>
        <v>0</v>
      </c>
      <c r="BT212" s="302">
        <f t="shared" ca="1" si="652"/>
        <v>0</v>
      </c>
      <c r="BU212" s="299">
        <f t="shared" ca="1" si="653"/>
        <v>0</v>
      </c>
      <c r="BV212" s="299">
        <f t="shared" ca="1" si="654"/>
        <v>0</v>
      </c>
      <c r="BW212" s="299">
        <f t="shared" ca="1" si="655"/>
        <v>0</v>
      </c>
      <c r="BX212" s="380">
        <f t="shared" ca="1" si="656"/>
        <v>16.331279945242983</v>
      </c>
      <c r="BY212" s="363">
        <f t="shared" ca="1" si="657"/>
        <v>0</v>
      </c>
      <c r="BZ212" s="353">
        <f t="shared" ca="1" si="658"/>
        <v>0</v>
      </c>
      <c r="CA212" s="353">
        <f t="shared" ca="1" si="659"/>
        <v>0</v>
      </c>
      <c r="CB212" s="353">
        <f t="shared" ca="1" si="660"/>
        <v>0</v>
      </c>
      <c r="CC212" s="353">
        <f t="shared" ca="1" si="661"/>
        <v>0</v>
      </c>
      <c r="CD212" s="353">
        <f t="shared" ca="1" si="662"/>
        <v>0</v>
      </c>
      <c r="CE212" s="302">
        <f t="shared" ca="1" si="663"/>
        <v>0</v>
      </c>
      <c r="CF212" s="299">
        <f t="shared" ca="1" si="664"/>
        <v>0</v>
      </c>
      <c r="CG212" s="299">
        <f t="shared" ca="1" si="665"/>
        <v>0</v>
      </c>
      <c r="CH212" s="299">
        <f t="shared" ca="1" si="666"/>
        <v>0</v>
      </c>
      <c r="CI212" s="299">
        <f t="shared" ca="1" si="667"/>
        <v>0</v>
      </c>
      <c r="CJ212" s="299">
        <f t="shared" ca="1" si="668"/>
        <v>0</v>
      </c>
      <c r="CK212" s="299">
        <f t="shared" ca="1" si="669"/>
        <v>0</v>
      </c>
      <c r="CL212" s="377" t="str">
        <f t="shared" ca="1" si="670"/>
        <v/>
      </c>
      <c r="CM212" s="305" t="str">
        <f t="shared" ca="1" si="671"/>
        <v/>
      </c>
      <c r="CN212" s="305" t="str">
        <f t="shared" ca="1" si="672"/>
        <v/>
      </c>
      <c r="CO212" s="305" t="str">
        <f t="shared" ca="1" si="673"/>
        <v/>
      </c>
      <c r="CP212" s="305" t="str">
        <f t="shared" ca="1" si="674"/>
        <v/>
      </c>
      <c r="CQ212" s="305" t="str">
        <f t="shared" ca="1" si="675"/>
        <v/>
      </c>
      <c r="CR212" s="775" t="str">
        <f t="shared" ca="1" si="676"/>
        <v/>
      </c>
      <c r="CS212" s="305" t="str">
        <f t="shared" ca="1" si="677"/>
        <v/>
      </c>
      <c r="CT212" s="305" t="str">
        <f t="shared" ca="1" si="678"/>
        <v/>
      </c>
      <c r="CU212" s="305" t="str">
        <f t="shared" ca="1" si="679"/>
        <v/>
      </c>
      <c r="CV212" s="770" t="str">
        <f t="shared" ca="1" si="680"/>
        <v/>
      </c>
      <c r="CW212" s="302">
        <f t="shared" ca="1" si="681"/>
        <v>0</v>
      </c>
      <c r="CX212" s="299">
        <f t="shared" ca="1" si="682"/>
        <v>0</v>
      </c>
      <c r="CY212" s="299">
        <f t="shared" ca="1" si="683"/>
        <v>0</v>
      </c>
      <c r="CZ212" s="299">
        <f t="shared" ca="1" si="684"/>
        <v>0</v>
      </c>
      <c r="DA212" s="774">
        <f t="shared" ca="1" si="685"/>
        <v>0</v>
      </c>
      <c r="DB212" s="303">
        <f t="shared" ca="1" si="686"/>
        <v>0</v>
      </c>
      <c r="DC212" s="248">
        <f t="shared" ca="1" si="687"/>
        <v>0</v>
      </c>
      <c r="DD212" s="778">
        <f t="shared" ca="1" si="688"/>
        <v>0</v>
      </c>
      <c r="DE212" s="363">
        <f t="shared" ca="1" si="689"/>
        <v>0</v>
      </c>
      <c r="DF212" s="378" t="str">
        <f t="shared" ca="1" si="690"/>
        <v/>
      </c>
      <c r="DG212" s="508" t="str">
        <f t="shared" ca="1" si="691"/>
        <v/>
      </c>
      <c r="DH212" s="508" t="str">
        <f t="shared" ca="1" si="692"/>
        <v/>
      </c>
      <c r="DI212" s="508" t="str">
        <f t="shared" ca="1" si="693"/>
        <v/>
      </c>
      <c r="DJ212" s="508" t="str">
        <f t="shared" ca="1" si="694"/>
        <v/>
      </c>
      <c r="DK212" s="353">
        <f t="shared" ca="1" si="695"/>
        <v>0</v>
      </c>
      <c r="DL212" s="781">
        <f t="shared" ca="1" si="696"/>
        <v>0</v>
      </c>
      <c r="DM212" s="303">
        <f t="shared" ca="1" si="697"/>
        <v>0</v>
      </c>
      <c r="DN212" s="508" t="str">
        <f t="shared" ca="1" si="698"/>
        <v/>
      </c>
      <c r="DO212" s="508" t="str">
        <f t="shared" ca="1" si="699"/>
        <v/>
      </c>
      <c r="DP212" s="508" t="str">
        <f t="shared" ca="1" si="700"/>
        <v/>
      </c>
      <c r="DQ212" s="508" t="str">
        <f t="shared" ca="1" si="701"/>
        <v/>
      </c>
      <c r="DR212" s="508" t="str">
        <f t="shared" ca="1" si="702"/>
        <v/>
      </c>
      <c r="DS212" s="353">
        <f t="shared" ca="1" si="703"/>
        <v>0</v>
      </c>
      <c r="DT212" s="353">
        <f t="shared" ca="1" si="704"/>
        <v>0</v>
      </c>
      <c r="DU212" s="380">
        <f t="shared" ca="1" si="804"/>
        <v>16.331279945242983</v>
      </c>
      <c r="DV212" s="303">
        <f t="shared" ca="1" si="705"/>
        <v>0</v>
      </c>
      <c r="DW212" s="303">
        <f t="shared" ca="1" si="706"/>
        <v>0</v>
      </c>
      <c r="DX212" s="303">
        <f t="shared" ca="1" si="707"/>
        <v>0</v>
      </c>
      <c r="DY212" s="303">
        <f t="shared" ca="1" si="708"/>
        <v>0</v>
      </c>
      <c r="DZ212" s="303">
        <f t="shared" ca="1" si="709"/>
        <v>0</v>
      </c>
      <c r="EA212" s="303">
        <f t="shared" ca="1" si="710"/>
        <v>0</v>
      </c>
      <c r="EB212" s="302">
        <f t="shared" ca="1" si="711"/>
        <v>0</v>
      </c>
      <c r="EC212" s="299">
        <f t="shared" ca="1" si="712"/>
        <v>0</v>
      </c>
      <c r="ED212" s="299">
        <f t="shared" ca="1" si="713"/>
        <v>0</v>
      </c>
      <c r="EE212" s="299">
        <f t="shared" ca="1" si="714"/>
        <v>0</v>
      </c>
      <c r="EF212" s="299">
        <f t="shared" ca="1" si="715"/>
        <v>0</v>
      </c>
      <c r="EG212" s="299">
        <f t="shared" ca="1" si="716"/>
        <v>0</v>
      </c>
      <c r="EH212" s="302">
        <f t="shared" ca="1" si="717"/>
        <v>0</v>
      </c>
      <c r="EI212" s="304" t="str">
        <f t="shared" ca="1" si="718"/>
        <v/>
      </c>
      <c r="EJ212" s="305" t="str">
        <f t="shared" ca="1" si="719"/>
        <v/>
      </c>
      <c r="EK212" s="305" t="str">
        <f t="shared" ca="1" si="720"/>
        <v/>
      </c>
      <c r="EL212" s="305" t="str">
        <f t="shared" ca="1" si="721"/>
        <v/>
      </c>
      <c r="EM212" s="305" t="str">
        <f t="shared" ca="1" si="722"/>
        <v/>
      </c>
      <c r="EN212" s="305" t="str">
        <f t="shared" ca="1" si="723"/>
        <v/>
      </c>
      <c r="EO212" s="305" t="str">
        <f t="shared" ca="1" si="724"/>
        <v/>
      </c>
      <c r="EP212" s="305" t="str">
        <f t="shared" ca="1" si="725"/>
        <v/>
      </c>
      <c r="EQ212" s="305" t="str">
        <f t="shared" ca="1" si="726"/>
        <v/>
      </c>
      <c r="ER212" s="305" t="str">
        <f t="shared" ca="1" si="727"/>
        <v/>
      </c>
      <c r="ES212" s="305" t="str">
        <f t="shared" ca="1" si="728"/>
        <v/>
      </c>
      <c r="ET212" s="299">
        <f t="shared" ca="1" si="729"/>
        <v>0</v>
      </c>
      <c r="EU212" s="302">
        <f t="shared" ca="1" si="730"/>
        <v>0</v>
      </c>
      <c r="EV212" s="304" t="str">
        <f t="shared" ca="1" si="731"/>
        <v/>
      </c>
      <c r="EW212" s="305" t="str">
        <f t="shared" ca="1" si="732"/>
        <v/>
      </c>
      <c r="EX212" s="305" t="str">
        <f t="shared" ca="1" si="733"/>
        <v/>
      </c>
      <c r="EY212" s="305" t="str">
        <f t="shared" ca="1" si="734"/>
        <v/>
      </c>
      <c r="EZ212" s="305" t="str">
        <f t="shared" ca="1" si="735"/>
        <v/>
      </c>
      <c r="FA212" s="305" t="str">
        <f t="shared" ca="1" si="736"/>
        <v/>
      </c>
      <c r="FB212" s="305" t="str">
        <f t="shared" ca="1" si="737"/>
        <v/>
      </c>
      <c r="FC212" s="305" t="str">
        <f t="shared" ca="1" si="738"/>
        <v/>
      </c>
      <c r="FD212" s="305" t="str">
        <f t="shared" ca="1" si="739"/>
        <v/>
      </c>
      <c r="FE212" s="305" t="str">
        <f t="shared" ca="1" si="740"/>
        <v/>
      </c>
      <c r="FF212" s="305" t="str">
        <f t="shared" ca="1" si="741"/>
        <v/>
      </c>
      <c r="FG212" s="299">
        <f t="shared" ca="1" si="742"/>
        <v>0</v>
      </c>
      <c r="FH212" s="302">
        <f t="shared" ca="1" si="743"/>
        <v>0</v>
      </c>
      <c r="FI212" s="248">
        <f t="shared" ca="1" si="744"/>
        <v>0</v>
      </c>
      <c r="FJ212" s="363">
        <f t="shared" ca="1" si="745"/>
        <v>0</v>
      </c>
      <c r="FK212" s="378" t="str">
        <f t="shared" ca="1" si="746"/>
        <v/>
      </c>
      <c r="FL212" s="508" t="str">
        <f t="shared" ca="1" si="747"/>
        <v/>
      </c>
      <c r="FM212" s="508" t="str">
        <f t="shared" ca="1" si="748"/>
        <v/>
      </c>
      <c r="FN212" s="508" t="str">
        <f t="shared" ca="1" si="749"/>
        <v/>
      </c>
      <c r="FO212" s="508" t="str">
        <f t="shared" ca="1" si="750"/>
        <v/>
      </c>
      <c r="FP212" s="353">
        <f t="shared" ca="1" si="751"/>
        <v>0</v>
      </c>
      <c r="FQ212" s="356">
        <f t="shared" ca="1" si="752"/>
        <v>0</v>
      </c>
      <c r="FR212" s="380">
        <f t="shared" ca="1" si="753"/>
        <v>0</v>
      </c>
      <c r="FS212" s="299">
        <f t="shared" ca="1" si="754"/>
        <v>0</v>
      </c>
      <c r="FT212" s="299">
        <f t="shared" ca="1" si="755"/>
        <v>0</v>
      </c>
      <c r="FU212" s="299">
        <f t="shared" ca="1" si="756"/>
        <v>0</v>
      </c>
      <c r="FV212" s="299">
        <f t="shared" ca="1" si="757"/>
        <v>0</v>
      </c>
      <c r="FW212" s="850" t="str">
        <f t="shared" ca="1" si="758"/>
        <v/>
      </c>
      <c r="FX212" s="851" t="str">
        <f t="shared" ca="1" si="759"/>
        <v/>
      </c>
      <c r="FY212" s="851" t="str">
        <f t="shared" ca="1" si="760"/>
        <v/>
      </c>
      <c r="FZ212" s="201" t="str">
        <f t="shared" ca="1" si="761"/>
        <v/>
      </c>
      <c r="GA212" s="201" t="str">
        <f t="shared" ca="1" si="762"/>
        <v/>
      </c>
      <c r="GB212" s="201" t="str">
        <f t="shared" ca="1" si="763"/>
        <v/>
      </c>
      <c r="GC212" s="201" t="str">
        <f t="shared" ca="1" si="764"/>
        <v/>
      </c>
      <c r="GD212" s="850" t="str">
        <f t="shared" ca="1" si="765"/>
        <v/>
      </c>
      <c r="GE212" s="866" t="str">
        <f t="shared" ca="1" si="766"/>
        <v/>
      </c>
      <c r="GF212" s="866" t="str">
        <f t="shared" ca="1" si="767"/>
        <v/>
      </c>
      <c r="GG212" s="866" t="str">
        <f t="shared" ca="1" si="768"/>
        <v/>
      </c>
      <c r="GH212" s="866" t="str">
        <f t="shared" ca="1" si="769"/>
        <v/>
      </c>
      <c r="GI212" s="302">
        <f t="shared" ca="1" si="770"/>
        <v>0</v>
      </c>
      <c r="GJ212" s="299">
        <f t="shared" ca="1" si="771"/>
        <v>0</v>
      </c>
      <c r="GK212" s="299">
        <f t="shared" ca="1" si="772"/>
        <v>0</v>
      </c>
      <c r="GL212" s="299">
        <f t="shared" ca="1" si="773"/>
        <v>0</v>
      </c>
      <c r="GM212" s="299">
        <f t="shared" ca="1" si="774"/>
        <v>0</v>
      </c>
      <c r="GN212" s="302">
        <f t="shared" ca="1" si="775"/>
        <v>0</v>
      </c>
      <c r="GO212" s="299">
        <f t="shared" ca="1" si="776"/>
        <v>0</v>
      </c>
      <c r="GP212" s="299">
        <f t="shared" ca="1" si="777"/>
        <v>0</v>
      </c>
      <c r="GQ212" s="299">
        <f t="shared" ca="1" si="778"/>
        <v>0</v>
      </c>
      <c r="GR212" s="299">
        <f t="shared" ca="1" si="779"/>
        <v>0</v>
      </c>
      <c r="GS212" s="302">
        <f t="shared" ca="1" si="780"/>
        <v>0</v>
      </c>
      <c r="GT212" s="299">
        <f t="shared" ca="1" si="781"/>
        <v>0</v>
      </c>
      <c r="GU212" s="299">
        <f t="shared" ca="1" si="782"/>
        <v>0</v>
      </c>
      <c r="GV212" s="299">
        <f t="shared" ca="1" si="783"/>
        <v>0</v>
      </c>
      <c r="GW212" s="299">
        <f t="shared" ca="1" si="784"/>
        <v>0</v>
      </c>
      <c r="GX212" s="303">
        <f t="shared" ca="1" si="785"/>
        <v>0</v>
      </c>
      <c r="GY212" s="303">
        <f t="shared" ca="1" si="786"/>
        <v>0</v>
      </c>
      <c r="GZ212" s="303">
        <f t="shared" ca="1" si="787"/>
        <v>0</v>
      </c>
      <c r="HA212" s="303">
        <f t="shared" ca="1" si="788"/>
        <v>0</v>
      </c>
      <c r="HB212" s="303">
        <f t="shared" ca="1" si="789"/>
        <v>0</v>
      </c>
      <c r="HC212" s="303">
        <f t="shared" ca="1" si="790"/>
        <v>0</v>
      </c>
      <c r="HD212" s="303">
        <f t="shared" ca="1" si="791"/>
        <v>0</v>
      </c>
      <c r="HE212" s="303">
        <f t="shared" ca="1" si="792"/>
        <v>0</v>
      </c>
      <c r="HF212" s="303">
        <f t="shared" ca="1" si="793"/>
        <v>0</v>
      </c>
      <c r="HG212" s="852">
        <f t="shared" ca="1" si="794"/>
        <v>0</v>
      </c>
    </row>
    <row r="213" spans="1:215" x14ac:dyDescent="0.25">
      <c r="A213" s="244">
        <f t="shared" ca="1" si="795"/>
        <v>42583</v>
      </c>
      <c r="B213" s="13">
        <f t="shared" ca="1" si="623"/>
        <v>2016</v>
      </c>
      <c r="C213" s="619">
        <f t="shared" ca="1" si="624"/>
        <v>8</v>
      </c>
      <c r="D213" s="195" t="str">
        <f t="shared" ca="1" si="625"/>
        <v/>
      </c>
      <c r="E213" s="469" t="str">
        <f t="shared" ca="1" si="626"/>
        <v/>
      </c>
      <c r="F213" s="465" t="str">
        <f t="shared" ca="1" si="627"/>
        <v/>
      </c>
      <c r="G213" s="522">
        <f t="shared" ca="1" si="796"/>
        <v>1</v>
      </c>
      <c r="H213" s="519">
        <f t="shared" ca="1" si="797"/>
        <v>1</v>
      </c>
      <c r="I213" s="724">
        <f t="shared" ca="1" si="628"/>
        <v>7.4182389447809999E-2</v>
      </c>
      <c r="J213" s="198">
        <f t="shared" ca="1" si="629"/>
        <v>0.2994764685020736</v>
      </c>
      <c r="K213" s="200">
        <f t="shared" ca="1" si="805"/>
        <v>79</v>
      </c>
      <c r="L213" s="201">
        <f t="shared" ca="1" si="806"/>
        <v>84</v>
      </c>
      <c r="M213" s="206">
        <f t="shared" ca="1" si="807"/>
        <v>89</v>
      </c>
      <c r="N213" s="851">
        <f t="shared" ca="1" si="811"/>
        <v>40.372499084472693</v>
      </c>
      <c r="O213" s="201">
        <f t="shared" ca="1" si="812"/>
        <v>44.122499084472693</v>
      </c>
      <c r="P213" s="206">
        <f t="shared" ca="1" si="813"/>
        <v>47.872499084472693</v>
      </c>
      <c r="Q213" s="201">
        <f t="shared" ca="1" si="814"/>
        <v>28.545000839233406</v>
      </c>
      <c r="R213" s="201">
        <f t="shared" ca="1" si="815"/>
        <v>32.845000839233407</v>
      </c>
      <c r="S213" s="201">
        <f t="shared" ca="1" si="816"/>
        <v>37.145000839233404</v>
      </c>
      <c r="T213" s="851">
        <f t="shared" ca="1" si="808"/>
        <v>23.49999809265136</v>
      </c>
      <c r="U213" s="201">
        <f t="shared" ca="1" si="809"/>
        <v>25.99999809265136</v>
      </c>
      <c r="V213" s="206">
        <f t="shared" ca="1" si="810"/>
        <v>28.49999809265136</v>
      </c>
      <c r="W213" s="230">
        <f t="shared" ca="1" si="798"/>
        <v>9.2461347259132687E-2</v>
      </c>
      <c r="X213" s="231">
        <f t="shared" ca="1" si="799"/>
        <v>0.18492269451826537</v>
      </c>
      <c r="Y213" s="232">
        <f t="shared" ca="1" si="800"/>
        <v>0.27738404177739806</v>
      </c>
      <c r="Z213" s="231">
        <f t="shared" ca="1" si="612"/>
        <v>9.2461347259132687E-2</v>
      </c>
      <c r="AA213" s="231">
        <f t="shared" ca="1" si="613"/>
        <v>0.18492269451826537</v>
      </c>
      <c r="AB213" s="232">
        <f t="shared" ca="1" si="614"/>
        <v>0.27738404177739806</v>
      </c>
      <c r="AC213" s="231">
        <f t="shared" ca="1" si="615"/>
        <v>9.2461347259132687E-2</v>
      </c>
      <c r="AD213" s="231">
        <f t="shared" ca="1" si="616"/>
        <v>0.18492269451826537</v>
      </c>
      <c r="AE213" s="232">
        <f t="shared" ca="1" si="630"/>
        <v>0.27738404177739806</v>
      </c>
      <c r="AF213" s="231">
        <f t="shared" ca="1" si="801"/>
        <v>4.3427863235549737E-2</v>
      </c>
      <c r="AG213" s="231">
        <f t="shared" ca="1" si="802"/>
        <v>8.6855726471099473E-2</v>
      </c>
      <c r="AH213" s="232">
        <f t="shared" ca="1" si="803"/>
        <v>0.13028358970664922</v>
      </c>
      <c r="AI213" s="233">
        <f t="shared" ca="1" si="631"/>
        <v>2.65</v>
      </c>
      <c r="AJ213" s="233">
        <f t="shared" ca="1" si="632"/>
        <v>3</v>
      </c>
      <c r="AK213" s="234">
        <f t="shared" ca="1" si="633"/>
        <v>3.5</v>
      </c>
      <c r="AL213" s="919">
        <f t="shared" ca="1" si="634"/>
        <v>2.65</v>
      </c>
      <c r="AM213" s="233">
        <f t="shared" ca="1" si="635"/>
        <v>3</v>
      </c>
      <c r="AN213" s="234">
        <f t="shared" ca="1" si="636"/>
        <v>3.5</v>
      </c>
      <c r="AO213" s="233">
        <f t="shared" ca="1" si="637"/>
        <v>2.65</v>
      </c>
      <c r="AP213" s="233">
        <f t="shared" ca="1" si="638"/>
        <v>3</v>
      </c>
      <c r="AQ213" s="233">
        <f t="shared" ca="1" si="639"/>
        <v>3.5</v>
      </c>
      <c r="AR213" s="919">
        <f t="shared" ca="1" si="640"/>
        <v>0.6</v>
      </c>
      <c r="AS213" s="233">
        <f t="shared" ca="1" si="641"/>
        <v>0.75</v>
      </c>
      <c r="AT213" s="235">
        <f t="shared" ca="1" si="642"/>
        <v>0.95</v>
      </c>
      <c r="AU213" s="946">
        <f t="shared" si="643"/>
        <v>0.5</v>
      </c>
      <c r="AV213" s="13">
        <f t="shared" ca="1" si="644"/>
        <v>0</v>
      </c>
      <c r="AW213" s="210">
        <f t="shared" ca="1" si="645"/>
        <v>0</v>
      </c>
      <c r="AX213" s="210">
        <f t="shared" ca="1" si="646"/>
        <v>0</v>
      </c>
      <c r="AY213" s="210">
        <f t="shared" ca="1" si="647"/>
        <v>0</v>
      </c>
      <c r="AZ213" s="13">
        <f t="shared" ca="1" si="648"/>
        <v>0</v>
      </c>
      <c r="BA213" s="357">
        <f ca="1"/>
        <v>0</v>
      </c>
      <c r="BB213" s="925">
        <f ca="1"/>
        <v>0</v>
      </c>
      <c r="BC213" s="925">
        <f ca="1"/>
        <v>0</v>
      </c>
      <c r="BD213" s="928">
        <f ca="1"/>
        <v>0</v>
      </c>
      <c r="BE213" s="200">
        <f ca="1"/>
        <v>0</v>
      </c>
      <c r="BF213" s="851">
        <f ca="1"/>
        <v>0</v>
      </c>
      <c r="BG213" s="851">
        <f ca="1"/>
        <v>0</v>
      </c>
      <c r="BH213" s="933">
        <f ca="1"/>
        <v>0</v>
      </c>
      <c r="BI213" s="357">
        <f ca="1"/>
        <v>0</v>
      </c>
      <c r="BJ213" s="925">
        <f ca="1"/>
        <v>0</v>
      </c>
      <c r="BK213" s="925">
        <f ca="1"/>
        <v>0</v>
      </c>
      <c r="BL213" s="928">
        <f ca="1"/>
        <v>0</v>
      </c>
      <c r="BM213" s="200">
        <f ca="1"/>
        <v>0</v>
      </c>
      <c r="BN213" s="851">
        <f ca="1"/>
        <v>0</v>
      </c>
      <c r="BO213" s="851">
        <f ca="1"/>
        <v>0</v>
      </c>
      <c r="BP213" s="933">
        <f ca="1"/>
        <v>0</v>
      </c>
      <c r="BQ213" s="357">
        <f t="shared" ca="1" si="649"/>
        <v>0</v>
      </c>
      <c r="BR213" s="361">
        <f t="shared" ca="1" si="650"/>
        <v>0</v>
      </c>
      <c r="BS213" s="357">
        <f t="shared" ca="1" si="651"/>
        <v>0</v>
      </c>
      <c r="BT213" s="302">
        <f t="shared" ca="1" si="652"/>
        <v>0</v>
      </c>
      <c r="BU213" s="299">
        <f t="shared" ca="1" si="653"/>
        <v>0</v>
      </c>
      <c r="BV213" s="299">
        <f t="shared" ca="1" si="654"/>
        <v>0</v>
      </c>
      <c r="BW213" s="299">
        <f t="shared" ca="1" si="655"/>
        <v>0</v>
      </c>
      <c r="BX213" s="380">
        <f t="shared" ca="1" si="656"/>
        <v>16.416153319644078</v>
      </c>
      <c r="BY213" s="363">
        <f t="shared" ca="1" si="657"/>
        <v>0</v>
      </c>
      <c r="BZ213" s="353">
        <f t="shared" ca="1" si="658"/>
        <v>0</v>
      </c>
      <c r="CA213" s="353">
        <f t="shared" ca="1" si="659"/>
        <v>0</v>
      </c>
      <c r="CB213" s="353">
        <f t="shared" ca="1" si="660"/>
        <v>0</v>
      </c>
      <c r="CC213" s="353">
        <f t="shared" ca="1" si="661"/>
        <v>0</v>
      </c>
      <c r="CD213" s="353">
        <f t="shared" ca="1" si="662"/>
        <v>0</v>
      </c>
      <c r="CE213" s="302">
        <f t="shared" ca="1" si="663"/>
        <v>0</v>
      </c>
      <c r="CF213" s="299">
        <f t="shared" ca="1" si="664"/>
        <v>0</v>
      </c>
      <c r="CG213" s="299">
        <f t="shared" ca="1" si="665"/>
        <v>0</v>
      </c>
      <c r="CH213" s="299">
        <f t="shared" ca="1" si="666"/>
        <v>0</v>
      </c>
      <c r="CI213" s="299">
        <f t="shared" ca="1" si="667"/>
        <v>0</v>
      </c>
      <c r="CJ213" s="299">
        <f t="shared" ca="1" si="668"/>
        <v>0</v>
      </c>
      <c r="CK213" s="299">
        <f t="shared" ca="1" si="669"/>
        <v>0</v>
      </c>
      <c r="CL213" s="377" t="str">
        <f t="shared" ca="1" si="670"/>
        <v/>
      </c>
      <c r="CM213" s="305" t="str">
        <f t="shared" ca="1" si="671"/>
        <v/>
      </c>
      <c r="CN213" s="305" t="str">
        <f t="shared" ca="1" si="672"/>
        <v/>
      </c>
      <c r="CO213" s="305" t="str">
        <f t="shared" ca="1" si="673"/>
        <v/>
      </c>
      <c r="CP213" s="305" t="str">
        <f t="shared" ca="1" si="674"/>
        <v/>
      </c>
      <c r="CQ213" s="305" t="str">
        <f t="shared" ca="1" si="675"/>
        <v/>
      </c>
      <c r="CR213" s="775" t="str">
        <f t="shared" ca="1" si="676"/>
        <v/>
      </c>
      <c r="CS213" s="305" t="str">
        <f t="shared" ca="1" si="677"/>
        <v/>
      </c>
      <c r="CT213" s="305" t="str">
        <f t="shared" ca="1" si="678"/>
        <v/>
      </c>
      <c r="CU213" s="305" t="str">
        <f t="shared" ca="1" si="679"/>
        <v/>
      </c>
      <c r="CV213" s="770" t="str">
        <f t="shared" ca="1" si="680"/>
        <v/>
      </c>
      <c r="CW213" s="302">
        <f t="shared" ca="1" si="681"/>
        <v>0</v>
      </c>
      <c r="CX213" s="299">
        <f t="shared" ca="1" si="682"/>
        <v>0</v>
      </c>
      <c r="CY213" s="299">
        <f t="shared" ca="1" si="683"/>
        <v>0</v>
      </c>
      <c r="CZ213" s="299">
        <f t="shared" ca="1" si="684"/>
        <v>0</v>
      </c>
      <c r="DA213" s="774">
        <f t="shared" ca="1" si="685"/>
        <v>0</v>
      </c>
      <c r="DB213" s="303">
        <f t="shared" ca="1" si="686"/>
        <v>0</v>
      </c>
      <c r="DC213" s="248">
        <f t="shared" ca="1" si="687"/>
        <v>0</v>
      </c>
      <c r="DD213" s="778">
        <f t="shared" ca="1" si="688"/>
        <v>0</v>
      </c>
      <c r="DE213" s="363">
        <f t="shared" ca="1" si="689"/>
        <v>0</v>
      </c>
      <c r="DF213" s="378" t="str">
        <f t="shared" ca="1" si="690"/>
        <v/>
      </c>
      <c r="DG213" s="508" t="str">
        <f t="shared" ca="1" si="691"/>
        <v/>
      </c>
      <c r="DH213" s="508" t="str">
        <f t="shared" ca="1" si="692"/>
        <v/>
      </c>
      <c r="DI213" s="508" t="str">
        <f t="shared" ca="1" si="693"/>
        <v/>
      </c>
      <c r="DJ213" s="508" t="str">
        <f t="shared" ca="1" si="694"/>
        <v/>
      </c>
      <c r="DK213" s="353">
        <f t="shared" ca="1" si="695"/>
        <v>0</v>
      </c>
      <c r="DL213" s="781">
        <f t="shared" ca="1" si="696"/>
        <v>0</v>
      </c>
      <c r="DM213" s="303">
        <f t="shared" ca="1" si="697"/>
        <v>0</v>
      </c>
      <c r="DN213" s="508" t="str">
        <f t="shared" ca="1" si="698"/>
        <v/>
      </c>
      <c r="DO213" s="508" t="str">
        <f t="shared" ca="1" si="699"/>
        <v/>
      </c>
      <c r="DP213" s="508" t="str">
        <f t="shared" ca="1" si="700"/>
        <v/>
      </c>
      <c r="DQ213" s="508" t="str">
        <f t="shared" ca="1" si="701"/>
        <v/>
      </c>
      <c r="DR213" s="508" t="str">
        <f t="shared" ca="1" si="702"/>
        <v/>
      </c>
      <c r="DS213" s="353">
        <f t="shared" ca="1" si="703"/>
        <v>0</v>
      </c>
      <c r="DT213" s="353">
        <f t="shared" ca="1" si="704"/>
        <v>0</v>
      </c>
      <c r="DU213" s="380">
        <f t="shared" ca="1" si="804"/>
        <v>16.416153319644078</v>
      </c>
      <c r="DV213" s="303">
        <f t="shared" ca="1" si="705"/>
        <v>0</v>
      </c>
      <c r="DW213" s="303">
        <f t="shared" ca="1" si="706"/>
        <v>0</v>
      </c>
      <c r="DX213" s="303">
        <f t="shared" ca="1" si="707"/>
        <v>0</v>
      </c>
      <c r="DY213" s="303">
        <f t="shared" ca="1" si="708"/>
        <v>0</v>
      </c>
      <c r="DZ213" s="303">
        <f t="shared" ca="1" si="709"/>
        <v>0</v>
      </c>
      <c r="EA213" s="303">
        <f t="shared" ca="1" si="710"/>
        <v>0</v>
      </c>
      <c r="EB213" s="302">
        <f t="shared" ca="1" si="711"/>
        <v>0</v>
      </c>
      <c r="EC213" s="299">
        <f t="shared" ca="1" si="712"/>
        <v>0</v>
      </c>
      <c r="ED213" s="299">
        <f t="shared" ca="1" si="713"/>
        <v>0</v>
      </c>
      <c r="EE213" s="299">
        <f t="shared" ca="1" si="714"/>
        <v>0</v>
      </c>
      <c r="EF213" s="299">
        <f t="shared" ca="1" si="715"/>
        <v>0</v>
      </c>
      <c r="EG213" s="299">
        <f t="shared" ca="1" si="716"/>
        <v>0</v>
      </c>
      <c r="EH213" s="302">
        <f t="shared" ca="1" si="717"/>
        <v>0</v>
      </c>
      <c r="EI213" s="304" t="str">
        <f t="shared" ca="1" si="718"/>
        <v/>
      </c>
      <c r="EJ213" s="305" t="str">
        <f t="shared" ca="1" si="719"/>
        <v/>
      </c>
      <c r="EK213" s="305" t="str">
        <f t="shared" ca="1" si="720"/>
        <v/>
      </c>
      <c r="EL213" s="305" t="str">
        <f t="shared" ca="1" si="721"/>
        <v/>
      </c>
      <c r="EM213" s="305" t="str">
        <f t="shared" ca="1" si="722"/>
        <v/>
      </c>
      <c r="EN213" s="305" t="str">
        <f t="shared" ca="1" si="723"/>
        <v/>
      </c>
      <c r="EO213" s="305" t="str">
        <f t="shared" ca="1" si="724"/>
        <v/>
      </c>
      <c r="EP213" s="305" t="str">
        <f t="shared" ca="1" si="725"/>
        <v/>
      </c>
      <c r="EQ213" s="305" t="str">
        <f t="shared" ca="1" si="726"/>
        <v/>
      </c>
      <c r="ER213" s="305" t="str">
        <f t="shared" ca="1" si="727"/>
        <v/>
      </c>
      <c r="ES213" s="305" t="str">
        <f t="shared" ca="1" si="728"/>
        <v/>
      </c>
      <c r="ET213" s="299">
        <f t="shared" ca="1" si="729"/>
        <v>0</v>
      </c>
      <c r="EU213" s="302">
        <f t="shared" ca="1" si="730"/>
        <v>0</v>
      </c>
      <c r="EV213" s="304" t="str">
        <f t="shared" ca="1" si="731"/>
        <v/>
      </c>
      <c r="EW213" s="305" t="str">
        <f t="shared" ca="1" si="732"/>
        <v/>
      </c>
      <c r="EX213" s="305" t="str">
        <f t="shared" ca="1" si="733"/>
        <v/>
      </c>
      <c r="EY213" s="305" t="str">
        <f t="shared" ca="1" si="734"/>
        <v/>
      </c>
      <c r="EZ213" s="305" t="str">
        <f t="shared" ca="1" si="735"/>
        <v/>
      </c>
      <c r="FA213" s="305" t="str">
        <f t="shared" ca="1" si="736"/>
        <v/>
      </c>
      <c r="FB213" s="305" t="str">
        <f t="shared" ca="1" si="737"/>
        <v/>
      </c>
      <c r="FC213" s="305" t="str">
        <f t="shared" ca="1" si="738"/>
        <v/>
      </c>
      <c r="FD213" s="305" t="str">
        <f t="shared" ca="1" si="739"/>
        <v/>
      </c>
      <c r="FE213" s="305" t="str">
        <f t="shared" ca="1" si="740"/>
        <v/>
      </c>
      <c r="FF213" s="305" t="str">
        <f t="shared" ca="1" si="741"/>
        <v/>
      </c>
      <c r="FG213" s="299">
        <f t="shared" ca="1" si="742"/>
        <v>0</v>
      </c>
      <c r="FH213" s="302">
        <f t="shared" ca="1" si="743"/>
        <v>0</v>
      </c>
      <c r="FI213" s="248">
        <f t="shared" ca="1" si="744"/>
        <v>0</v>
      </c>
      <c r="FJ213" s="363">
        <f t="shared" ca="1" si="745"/>
        <v>0</v>
      </c>
      <c r="FK213" s="378" t="str">
        <f t="shared" ca="1" si="746"/>
        <v/>
      </c>
      <c r="FL213" s="508" t="str">
        <f t="shared" ca="1" si="747"/>
        <v/>
      </c>
      <c r="FM213" s="508" t="str">
        <f t="shared" ca="1" si="748"/>
        <v/>
      </c>
      <c r="FN213" s="508" t="str">
        <f t="shared" ca="1" si="749"/>
        <v/>
      </c>
      <c r="FO213" s="508" t="str">
        <f t="shared" ca="1" si="750"/>
        <v/>
      </c>
      <c r="FP213" s="353">
        <f t="shared" ca="1" si="751"/>
        <v>0</v>
      </c>
      <c r="FQ213" s="356">
        <f t="shared" ca="1" si="752"/>
        <v>0</v>
      </c>
      <c r="FR213" s="380">
        <f t="shared" ca="1" si="753"/>
        <v>0</v>
      </c>
      <c r="FS213" s="299">
        <f t="shared" ca="1" si="754"/>
        <v>0</v>
      </c>
      <c r="FT213" s="299">
        <f t="shared" ca="1" si="755"/>
        <v>0</v>
      </c>
      <c r="FU213" s="299">
        <f t="shared" ca="1" si="756"/>
        <v>0</v>
      </c>
      <c r="FV213" s="299">
        <f t="shared" ca="1" si="757"/>
        <v>0</v>
      </c>
      <c r="FW213" s="850" t="str">
        <f t="shared" ca="1" si="758"/>
        <v/>
      </c>
      <c r="FX213" s="851" t="str">
        <f t="shared" ca="1" si="759"/>
        <v/>
      </c>
      <c r="FY213" s="851" t="str">
        <f t="shared" ca="1" si="760"/>
        <v/>
      </c>
      <c r="FZ213" s="201" t="str">
        <f t="shared" ca="1" si="761"/>
        <v/>
      </c>
      <c r="GA213" s="201" t="str">
        <f t="shared" ca="1" si="762"/>
        <v/>
      </c>
      <c r="GB213" s="201" t="str">
        <f t="shared" ca="1" si="763"/>
        <v/>
      </c>
      <c r="GC213" s="201" t="str">
        <f t="shared" ca="1" si="764"/>
        <v/>
      </c>
      <c r="GD213" s="850" t="str">
        <f t="shared" ca="1" si="765"/>
        <v/>
      </c>
      <c r="GE213" s="866" t="str">
        <f t="shared" ca="1" si="766"/>
        <v/>
      </c>
      <c r="GF213" s="866" t="str">
        <f t="shared" ca="1" si="767"/>
        <v/>
      </c>
      <c r="GG213" s="866" t="str">
        <f t="shared" ca="1" si="768"/>
        <v/>
      </c>
      <c r="GH213" s="866" t="str">
        <f t="shared" ca="1" si="769"/>
        <v/>
      </c>
      <c r="GI213" s="302">
        <f t="shared" ca="1" si="770"/>
        <v>0</v>
      </c>
      <c r="GJ213" s="299">
        <f t="shared" ca="1" si="771"/>
        <v>0</v>
      </c>
      <c r="GK213" s="299">
        <f t="shared" ca="1" si="772"/>
        <v>0</v>
      </c>
      <c r="GL213" s="299">
        <f t="shared" ca="1" si="773"/>
        <v>0</v>
      </c>
      <c r="GM213" s="299">
        <f t="shared" ca="1" si="774"/>
        <v>0</v>
      </c>
      <c r="GN213" s="302">
        <f t="shared" ca="1" si="775"/>
        <v>0</v>
      </c>
      <c r="GO213" s="299">
        <f t="shared" ca="1" si="776"/>
        <v>0</v>
      </c>
      <c r="GP213" s="299">
        <f t="shared" ca="1" si="777"/>
        <v>0</v>
      </c>
      <c r="GQ213" s="299">
        <f t="shared" ca="1" si="778"/>
        <v>0</v>
      </c>
      <c r="GR213" s="299">
        <f t="shared" ca="1" si="779"/>
        <v>0</v>
      </c>
      <c r="GS213" s="302">
        <f t="shared" ca="1" si="780"/>
        <v>0</v>
      </c>
      <c r="GT213" s="299">
        <f t="shared" ca="1" si="781"/>
        <v>0</v>
      </c>
      <c r="GU213" s="299">
        <f t="shared" ca="1" si="782"/>
        <v>0</v>
      </c>
      <c r="GV213" s="299">
        <f t="shared" ca="1" si="783"/>
        <v>0</v>
      </c>
      <c r="GW213" s="299">
        <f t="shared" ca="1" si="784"/>
        <v>0</v>
      </c>
      <c r="GX213" s="303">
        <f t="shared" ca="1" si="785"/>
        <v>0</v>
      </c>
      <c r="GY213" s="303">
        <f t="shared" ca="1" si="786"/>
        <v>0</v>
      </c>
      <c r="GZ213" s="303">
        <f t="shared" ca="1" si="787"/>
        <v>0</v>
      </c>
      <c r="HA213" s="303">
        <f t="shared" ca="1" si="788"/>
        <v>0</v>
      </c>
      <c r="HB213" s="303">
        <f t="shared" ca="1" si="789"/>
        <v>0</v>
      </c>
      <c r="HC213" s="303">
        <f t="shared" ca="1" si="790"/>
        <v>0</v>
      </c>
      <c r="HD213" s="303">
        <f t="shared" ca="1" si="791"/>
        <v>0</v>
      </c>
      <c r="HE213" s="303">
        <f t="shared" ca="1" si="792"/>
        <v>0</v>
      </c>
      <c r="HF213" s="303">
        <f t="shared" ca="1" si="793"/>
        <v>0</v>
      </c>
      <c r="HG213" s="852">
        <f t="shared" ca="1" si="794"/>
        <v>0</v>
      </c>
    </row>
    <row r="214" spans="1:215" x14ac:dyDescent="0.25">
      <c r="A214" s="244">
        <f t="shared" ca="1" si="795"/>
        <v>42614</v>
      </c>
      <c r="B214" s="13">
        <f t="shared" ca="1" si="623"/>
        <v>2016</v>
      </c>
      <c r="C214" s="619">
        <f t="shared" ca="1" si="624"/>
        <v>9</v>
      </c>
      <c r="D214" s="195">
        <f t="shared" ca="1" si="625"/>
        <v>42618</v>
      </c>
      <c r="E214" s="469" t="str">
        <f t="shared" ca="1" si="626"/>
        <v/>
      </c>
      <c r="F214" s="465" t="str">
        <f t="shared" ca="1" si="627"/>
        <v/>
      </c>
      <c r="G214" s="522">
        <f t="shared" ca="1" si="796"/>
        <v>1</v>
      </c>
      <c r="H214" s="519">
        <f t="shared" ca="1" si="797"/>
        <v>1</v>
      </c>
      <c r="I214" s="724">
        <f t="shared" ca="1" si="628"/>
        <v>7.4182094729929995E-2</v>
      </c>
      <c r="J214" s="198">
        <f t="shared" ca="1" si="629"/>
        <v>0.29769153797967962</v>
      </c>
      <c r="K214" s="200">
        <f t="shared" ca="1" si="805"/>
        <v>33.049999999999997</v>
      </c>
      <c r="L214" s="201">
        <f t="shared" ca="1" si="806"/>
        <v>35.25</v>
      </c>
      <c r="M214" s="206">
        <f t="shared" ca="1" si="807"/>
        <v>37.450000000000003</v>
      </c>
      <c r="N214" s="851">
        <f t="shared" ca="1" si="811"/>
        <v>23.854999160766589</v>
      </c>
      <c r="O214" s="201">
        <f t="shared" ca="1" si="812"/>
        <v>25.504999160766591</v>
      </c>
      <c r="P214" s="206">
        <f t="shared" ca="1" si="813"/>
        <v>27.154999160766593</v>
      </c>
      <c r="Q214" s="201">
        <f t="shared" ca="1" si="814"/>
        <v>21.7</v>
      </c>
      <c r="R214" s="201">
        <f t="shared" ca="1" si="815"/>
        <v>26</v>
      </c>
      <c r="S214" s="201">
        <f t="shared" ca="1" si="816"/>
        <v>30.3</v>
      </c>
      <c r="T214" s="851">
        <f t="shared" ca="1" si="808"/>
        <v>20.449998092651359</v>
      </c>
      <c r="U214" s="201">
        <f t="shared" ca="1" si="809"/>
        <v>21.549998092651361</v>
      </c>
      <c r="V214" s="206">
        <f t="shared" ca="1" si="810"/>
        <v>22.649998092651362</v>
      </c>
      <c r="W214" s="230">
        <f t="shared" ca="1" si="798"/>
        <v>6.1189189223349379E-2</v>
      </c>
      <c r="X214" s="231">
        <f t="shared" ca="1" si="799"/>
        <v>0.12237837844669876</v>
      </c>
      <c r="Y214" s="232">
        <f t="shared" ca="1" si="800"/>
        <v>0.18356756767004814</v>
      </c>
      <c r="Z214" s="231">
        <f t="shared" ca="1" si="612"/>
        <v>6.1189189223349379E-2</v>
      </c>
      <c r="AA214" s="231">
        <f t="shared" ca="1" si="613"/>
        <v>0.12237837844669876</v>
      </c>
      <c r="AB214" s="232">
        <f t="shared" ca="1" si="614"/>
        <v>0.18356756767004814</v>
      </c>
      <c r="AC214" s="231">
        <f t="shared" ca="1" si="615"/>
        <v>6.1189189223349379E-2</v>
      </c>
      <c r="AD214" s="231">
        <f t="shared" ca="1" si="616"/>
        <v>0.12237837844669876</v>
      </c>
      <c r="AE214" s="232">
        <f t="shared" ca="1" si="630"/>
        <v>0.18356756767004814</v>
      </c>
      <c r="AF214" s="231">
        <f t="shared" ca="1" si="801"/>
        <v>2.8951908823699822E-2</v>
      </c>
      <c r="AG214" s="231">
        <f t="shared" ca="1" si="802"/>
        <v>5.7903817647399644E-2</v>
      </c>
      <c r="AH214" s="232">
        <f t="shared" ca="1" si="803"/>
        <v>8.6855726471099459E-2</v>
      </c>
      <c r="AI214" s="233">
        <f t="shared" ca="1" si="631"/>
        <v>1.1499999999999999</v>
      </c>
      <c r="AJ214" s="233">
        <f t="shared" ca="1" si="632"/>
        <v>1.5</v>
      </c>
      <c r="AK214" s="234">
        <f t="shared" ca="1" si="633"/>
        <v>1.8</v>
      </c>
      <c r="AL214" s="919">
        <f t="shared" ca="1" si="634"/>
        <v>1.1499999999999999</v>
      </c>
      <c r="AM214" s="233">
        <f t="shared" ca="1" si="635"/>
        <v>1.5</v>
      </c>
      <c r="AN214" s="234">
        <f t="shared" ca="1" si="636"/>
        <v>1.8</v>
      </c>
      <c r="AO214" s="233">
        <f t="shared" ca="1" si="637"/>
        <v>1.1499999999999999</v>
      </c>
      <c r="AP214" s="233">
        <f t="shared" ca="1" si="638"/>
        <v>1.5</v>
      </c>
      <c r="AQ214" s="233">
        <f t="shared" ca="1" si="639"/>
        <v>1.8</v>
      </c>
      <c r="AR214" s="919">
        <f t="shared" ca="1" si="640"/>
        <v>0.25</v>
      </c>
      <c r="AS214" s="233">
        <f t="shared" ca="1" si="641"/>
        <v>0.4</v>
      </c>
      <c r="AT214" s="235">
        <f t="shared" ca="1" si="642"/>
        <v>0.60000000000000009</v>
      </c>
      <c r="AU214" s="946">
        <f t="shared" si="643"/>
        <v>0.5</v>
      </c>
      <c r="AV214" s="13">
        <f t="shared" ca="1" si="644"/>
        <v>0</v>
      </c>
      <c r="AW214" s="210">
        <f t="shared" ca="1" si="645"/>
        <v>0</v>
      </c>
      <c r="AX214" s="210">
        <f t="shared" ca="1" si="646"/>
        <v>0</v>
      </c>
      <c r="AY214" s="210">
        <f t="shared" ca="1" si="647"/>
        <v>0</v>
      </c>
      <c r="AZ214" s="13">
        <f t="shared" ca="1" si="648"/>
        <v>0</v>
      </c>
      <c r="BA214" s="357">
        <f ca="1"/>
        <v>0</v>
      </c>
      <c r="BB214" s="925">
        <f ca="1"/>
        <v>0</v>
      </c>
      <c r="BC214" s="925">
        <f ca="1"/>
        <v>0</v>
      </c>
      <c r="BD214" s="928">
        <f ca="1"/>
        <v>0</v>
      </c>
      <c r="BE214" s="200">
        <f ca="1"/>
        <v>0</v>
      </c>
      <c r="BF214" s="851">
        <f ca="1"/>
        <v>0</v>
      </c>
      <c r="BG214" s="851">
        <f ca="1"/>
        <v>0</v>
      </c>
      <c r="BH214" s="933">
        <f ca="1"/>
        <v>0</v>
      </c>
      <c r="BI214" s="357">
        <f ca="1"/>
        <v>0</v>
      </c>
      <c r="BJ214" s="925">
        <f ca="1"/>
        <v>0</v>
      </c>
      <c r="BK214" s="925">
        <f ca="1"/>
        <v>0</v>
      </c>
      <c r="BL214" s="928">
        <f ca="1"/>
        <v>0</v>
      </c>
      <c r="BM214" s="200">
        <f ca="1"/>
        <v>0</v>
      </c>
      <c r="BN214" s="851">
        <f ca="1"/>
        <v>0</v>
      </c>
      <c r="BO214" s="851">
        <f ca="1"/>
        <v>0</v>
      </c>
      <c r="BP214" s="933">
        <f ca="1"/>
        <v>0</v>
      </c>
      <c r="BQ214" s="357">
        <f t="shared" ca="1" si="649"/>
        <v>0</v>
      </c>
      <c r="BR214" s="361">
        <f t="shared" ca="1" si="650"/>
        <v>0</v>
      </c>
      <c r="BS214" s="357">
        <f t="shared" ca="1" si="651"/>
        <v>0</v>
      </c>
      <c r="BT214" s="302">
        <f t="shared" ca="1" si="652"/>
        <v>0</v>
      </c>
      <c r="BU214" s="299">
        <f t="shared" ca="1" si="653"/>
        <v>0</v>
      </c>
      <c r="BV214" s="299">
        <f t="shared" ca="1" si="654"/>
        <v>0</v>
      </c>
      <c r="BW214" s="299">
        <f t="shared" ca="1" si="655"/>
        <v>0</v>
      </c>
      <c r="BX214" s="380">
        <f t="shared" ca="1" si="656"/>
        <v>16.501026694045173</v>
      </c>
      <c r="BY214" s="363">
        <f t="shared" ca="1" si="657"/>
        <v>0</v>
      </c>
      <c r="BZ214" s="353">
        <f t="shared" ca="1" si="658"/>
        <v>0</v>
      </c>
      <c r="CA214" s="353">
        <f t="shared" ca="1" si="659"/>
        <v>0</v>
      </c>
      <c r="CB214" s="353">
        <f t="shared" ca="1" si="660"/>
        <v>0</v>
      </c>
      <c r="CC214" s="353">
        <f t="shared" ca="1" si="661"/>
        <v>0</v>
      </c>
      <c r="CD214" s="353">
        <f t="shared" ca="1" si="662"/>
        <v>0</v>
      </c>
      <c r="CE214" s="302">
        <f t="shared" ca="1" si="663"/>
        <v>0</v>
      </c>
      <c r="CF214" s="299">
        <f t="shared" ca="1" si="664"/>
        <v>0</v>
      </c>
      <c r="CG214" s="299">
        <f t="shared" ca="1" si="665"/>
        <v>0</v>
      </c>
      <c r="CH214" s="299">
        <f t="shared" ca="1" si="666"/>
        <v>0</v>
      </c>
      <c r="CI214" s="299">
        <f t="shared" ca="1" si="667"/>
        <v>0</v>
      </c>
      <c r="CJ214" s="299">
        <f t="shared" ca="1" si="668"/>
        <v>0</v>
      </c>
      <c r="CK214" s="299">
        <f t="shared" ca="1" si="669"/>
        <v>0</v>
      </c>
      <c r="CL214" s="377" t="str">
        <f t="shared" ca="1" si="670"/>
        <v/>
      </c>
      <c r="CM214" s="305" t="str">
        <f t="shared" ca="1" si="671"/>
        <v/>
      </c>
      <c r="CN214" s="305" t="str">
        <f t="shared" ca="1" si="672"/>
        <v/>
      </c>
      <c r="CO214" s="305" t="str">
        <f t="shared" ca="1" si="673"/>
        <v/>
      </c>
      <c r="CP214" s="305" t="str">
        <f t="shared" ca="1" si="674"/>
        <v/>
      </c>
      <c r="CQ214" s="305" t="str">
        <f t="shared" ca="1" si="675"/>
        <v/>
      </c>
      <c r="CR214" s="775" t="str">
        <f t="shared" ca="1" si="676"/>
        <v/>
      </c>
      <c r="CS214" s="305" t="str">
        <f t="shared" ca="1" si="677"/>
        <v/>
      </c>
      <c r="CT214" s="305" t="str">
        <f t="shared" ca="1" si="678"/>
        <v/>
      </c>
      <c r="CU214" s="305" t="str">
        <f t="shared" ca="1" si="679"/>
        <v/>
      </c>
      <c r="CV214" s="770" t="str">
        <f t="shared" ca="1" si="680"/>
        <v/>
      </c>
      <c r="CW214" s="302">
        <f t="shared" ca="1" si="681"/>
        <v>0</v>
      </c>
      <c r="CX214" s="299">
        <f t="shared" ca="1" si="682"/>
        <v>0</v>
      </c>
      <c r="CY214" s="299">
        <f t="shared" ca="1" si="683"/>
        <v>0</v>
      </c>
      <c r="CZ214" s="299">
        <f t="shared" ca="1" si="684"/>
        <v>0</v>
      </c>
      <c r="DA214" s="774">
        <f t="shared" ca="1" si="685"/>
        <v>0</v>
      </c>
      <c r="DB214" s="303">
        <f t="shared" ca="1" si="686"/>
        <v>0</v>
      </c>
      <c r="DC214" s="248">
        <f t="shared" ca="1" si="687"/>
        <v>0</v>
      </c>
      <c r="DD214" s="778">
        <f t="shared" ca="1" si="688"/>
        <v>0</v>
      </c>
      <c r="DE214" s="363">
        <f t="shared" ca="1" si="689"/>
        <v>0</v>
      </c>
      <c r="DF214" s="378" t="str">
        <f t="shared" ca="1" si="690"/>
        <v/>
      </c>
      <c r="DG214" s="508" t="str">
        <f t="shared" ca="1" si="691"/>
        <v/>
      </c>
      <c r="DH214" s="508" t="str">
        <f t="shared" ca="1" si="692"/>
        <v/>
      </c>
      <c r="DI214" s="508" t="str">
        <f t="shared" ca="1" si="693"/>
        <v/>
      </c>
      <c r="DJ214" s="508" t="str">
        <f t="shared" ca="1" si="694"/>
        <v/>
      </c>
      <c r="DK214" s="353">
        <f t="shared" ca="1" si="695"/>
        <v>0</v>
      </c>
      <c r="DL214" s="781">
        <f t="shared" ca="1" si="696"/>
        <v>0</v>
      </c>
      <c r="DM214" s="303">
        <f t="shared" ca="1" si="697"/>
        <v>0</v>
      </c>
      <c r="DN214" s="508" t="str">
        <f t="shared" ca="1" si="698"/>
        <v/>
      </c>
      <c r="DO214" s="508" t="str">
        <f t="shared" ca="1" si="699"/>
        <v/>
      </c>
      <c r="DP214" s="508" t="str">
        <f t="shared" ca="1" si="700"/>
        <v/>
      </c>
      <c r="DQ214" s="508" t="str">
        <f t="shared" ca="1" si="701"/>
        <v/>
      </c>
      <c r="DR214" s="508" t="str">
        <f t="shared" ca="1" si="702"/>
        <v/>
      </c>
      <c r="DS214" s="353">
        <f t="shared" ca="1" si="703"/>
        <v>0</v>
      </c>
      <c r="DT214" s="353">
        <f t="shared" ca="1" si="704"/>
        <v>0</v>
      </c>
      <c r="DU214" s="380">
        <f t="shared" ca="1" si="804"/>
        <v>16.501026694045173</v>
      </c>
      <c r="DV214" s="303">
        <f t="shared" ca="1" si="705"/>
        <v>0</v>
      </c>
      <c r="DW214" s="303">
        <f t="shared" ca="1" si="706"/>
        <v>0</v>
      </c>
      <c r="DX214" s="303">
        <f t="shared" ca="1" si="707"/>
        <v>0</v>
      </c>
      <c r="DY214" s="303">
        <f t="shared" ca="1" si="708"/>
        <v>0</v>
      </c>
      <c r="DZ214" s="303">
        <f t="shared" ca="1" si="709"/>
        <v>0</v>
      </c>
      <c r="EA214" s="303">
        <f t="shared" ca="1" si="710"/>
        <v>0</v>
      </c>
      <c r="EB214" s="302">
        <f t="shared" ca="1" si="711"/>
        <v>0</v>
      </c>
      <c r="EC214" s="299">
        <f t="shared" ca="1" si="712"/>
        <v>0</v>
      </c>
      <c r="ED214" s="299">
        <f t="shared" ca="1" si="713"/>
        <v>0</v>
      </c>
      <c r="EE214" s="299">
        <f t="shared" ca="1" si="714"/>
        <v>0</v>
      </c>
      <c r="EF214" s="299">
        <f t="shared" ca="1" si="715"/>
        <v>0</v>
      </c>
      <c r="EG214" s="299">
        <f t="shared" ca="1" si="716"/>
        <v>0</v>
      </c>
      <c r="EH214" s="302">
        <f t="shared" ca="1" si="717"/>
        <v>0</v>
      </c>
      <c r="EI214" s="304" t="str">
        <f t="shared" ca="1" si="718"/>
        <v/>
      </c>
      <c r="EJ214" s="305" t="str">
        <f t="shared" ca="1" si="719"/>
        <v/>
      </c>
      <c r="EK214" s="305" t="str">
        <f t="shared" ca="1" si="720"/>
        <v/>
      </c>
      <c r="EL214" s="305" t="str">
        <f t="shared" ca="1" si="721"/>
        <v/>
      </c>
      <c r="EM214" s="305" t="str">
        <f t="shared" ca="1" si="722"/>
        <v/>
      </c>
      <c r="EN214" s="305" t="str">
        <f t="shared" ca="1" si="723"/>
        <v/>
      </c>
      <c r="EO214" s="305" t="str">
        <f t="shared" ca="1" si="724"/>
        <v/>
      </c>
      <c r="EP214" s="305" t="str">
        <f t="shared" ca="1" si="725"/>
        <v/>
      </c>
      <c r="EQ214" s="305" t="str">
        <f t="shared" ca="1" si="726"/>
        <v/>
      </c>
      <c r="ER214" s="305" t="str">
        <f t="shared" ca="1" si="727"/>
        <v/>
      </c>
      <c r="ES214" s="305" t="str">
        <f t="shared" ca="1" si="728"/>
        <v/>
      </c>
      <c r="ET214" s="299">
        <f t="shared" ca="1" si="729"/>
        <v>0</v>
      </c>
      <c r="EU214" s="302">
        <f t="shared" ca="1" si="730"/>
        <v>0</v>
      </c>
      <c r="EV214" s="304" t="str">
        <f t="shared" ca="1" si="731"/>
        <v/>
      </c>
      <c r="EW214" s="305" t="str">
        <f t="shared" ca="1" si="732"/>
        <v/>
      </c>
      <c r="EX214" s="305" t="str">
        <f t="shared" ca="1" si="733"/>
        <v/>
      </c>
      <c r="EY214" s="305" t="str">
        <f t="shared" ca="1" si="734"/>
        <v/>
      </c>
      <c r="EZ214" s="305" t="str">
        <f t="shared" ca="1" si="735"/>
        <v/>
      </c>
      <c r="FA214" s="305" t="str">
        <f t="shared" ca="1" si="736"/>
        <v/>
      </c>
      <c r="FB214" s="305" t="str">
        <f t="shared" ca="1" si="737"/>
        <v/>
      </c>
      <c r="FC214" s="305" t="str">
        <f t="shared" ca="1" si="738"/>
        <v/>
      </c>
      <c r="FD214" s="305" t="str">
        <f t="shared" ca="1" si="739"/>
        <v/>
      </c>
      <c r="FE214" s="305" t="str">
        <f t="shared" ca="1" si="740"/>
        <v/>
      </c>
      <c r="FF214" s="305" t="str">
        <f t="shared" ca="1" si="741"/>
        <v/>
      </c>
      <c r="FG214" s="299">
        <f t="shared" ca="1" si="742"/>
        <v>0</v>
      </c>
      <c r="FH214" s="302">
        <f t="shared" ca="1" si="743"/>
        <v>0</v>
      </c>
      <c r="FI214" s="248">
        <f t="shared" ca="1" si="744"/>
        <v>0</v>
      </c>
      <c r="FJ214" s="363">
        <f t="shared" ca="1" si="745"/>
        <v>0</v>
      </c>
      <c r="FK214" s="378" t="str">
        <f t="shared" ca="1" si="746"/>
        <v/>
      </c>
      <c r="FL214" s="508" t="str">
        <f t="shared" ca="1" si="747"/>
        <v/>
      </c>
      <c r="FM214" s="508" t="str">
        <f t="shared" ca="1" si="748"/>
        <v/>
      </c>
      <c r="FN214" s="508" t="str">
        <f t="shared" ca="1" si="749"/>
        <v/>
      </c>
      <c r="FO214" s="508" t="str">
        <f t="shared" ca="1" si="750"/>
        <v/>
      </c>
      <c r="FP214" s="353">
        <f t="shared" ca="1" si="751"/>
        <v>0</v>
      </c>
      <c r="FQ214" s="356">
        <f t="shared" ca="1" si="752"/>
        <v>0</v>
      </c>
      <c r="FR214" s="380">
        <f t="shared" ca="1" si="753"/>
        <v>0</v>
      </c>
      <c r="FS214" s="299">
        <f t="shared" ca="1" si="754"/>
        <v>0</v>
      </c>
      <c r="FT214" s="299">
        <f t="shared" ca="1" si="755"/>
        <v>0</v>
      </c>
      <c r="FU214" s="299">
        <f t="shared" ca="1" si="756"/>
        <v>0</v>
      </c>
      <c r="FV214" s="299">
        <f t="shared" ca="1" si="757"/>
        <v>0</v>
      </c>
      <c r="FW214" s="850" t="str">
        <f t="shared" ca="1" si="758"/>
        <v/>
      </c>
      <c r="FX214" s="851" t="str">
        <f t="shared" ca="1" si="759"/>
        <v/>
      </c>
      <c r="FY214" s="851" t="str">
        <f t="shared" ca="1" si="760"/>
        <v/>
      </c>
      <c r="FZ214" s="201" t="str">
        <f t="shared" ca="1" si="761"/>
        <v/>
      </c>
      <c r="GA214" s="201" t="str">
        <f t="shared" ca="1" si="762"/>
        <v/>
      </c>
      <c r="GB214" s="201" t="str">
        <f t="shared" ca="1" si="763"/>
        <v/>
      </c>
      <c r="GC214" s="201" t="str">
        <f t="shared" ca="1" si="764"/>
        <v/>
      </c>
      <c r="GD214" s="850" t="str">
        <f t="shared" ca="1" si="765"/>
        <v/>
      </c>
      <c r="GE214" s="866" t="str">
        <f t="shared" ca="1" si="766"/>
        <v/>
      </c>
      <c r="GF214" s="866" t="str">
        <f t="shared" ca="1" si="767"/>
        <v/>
      </c>
      <c r="GG214" s="866" t="str">
        <f t="shared" ca="1" si="768"/>
        <v/>
      </c>
      <c r="GH214" s="866" t="str">
        <f t="shared" ca="1" si="769"/>
        <v/>
      </c>
      <c r="GI214" s="302">
        <f t="shared" ca="1" si="770"/>
        <v>0</v>
      </c>
      <c r="GJ214" s="299">
        <f t="shared" ca="1" si="771"/>
        <v>0</v>
      </c>
      <c r="GK214" s="299">
        <f t="shared" ca="1" si="772"/>
        <v>0</v>
      </c>
      <c r="GL214" s="299">
        <f t="shared" ca="1" si="773"/>
        <v>0</v>
      </c>
      <c r="GM214" s="299">
        <f t="shared" ca="1" si="774"/>
        <v>0</v>
      </c>
      <c r="GN214" s="302">
        <f t="shared" ca="1" si="775"/>
        <v>0</v>
      </c>
      <c r="GO214" s="299">
        <f t="shared" ca="1" si="776"/>
        <v>0</v>
      </c>
      <c r="GP214" s="299">
        <f t="shared" ca="1" si="777"/>
        <v>0</v>
      </c>
      <c r="GQ214" s="299">
        <f t="shared" ca="1" si="778"/>
        <v>0</v>
      </c>
      <c r="GR214" s="299">
        <f t="shared" ca="1" si="779"/>
        <v>0</v>
      </c>
      <c r="GS214" s="302">
        <f t="shared" ca="1" si="780"/>
        <v>0</v>
      </c>
      <c r="GT214" s="299">
        <f t="shared" ca="1" si="781"/>
        <v>0</v>
      </c>
      <c r="GU214" s="299">
        <f t="shared" ca="1" si="782"/>
        <v>0</v>
      </c>
      <c r="GV214" s="299">
        <f t="shared" ca="1" si="783"/>
        <v>0</v>
      </c>
      <c r="GW214" s="299">
        <f t="shared" ca="1" si="784"/>
        <v>0</v>
      </c>
      <c r="GX214" s="303">
        <f t="shared" ca="1" si="785"/>
        <v>0</v>
      </c>
      <c r="GY214" s="303">
        <f t="shared" ca="1" si="786"/>
        <v>0</v>
      </c>
      <c r="GZ214" s="303">
        <f t="shared" ca="1" si="787"/>
        <v>0</v>
      </c>
      <c r="HA214" s="303">
        <f t="shared" ca="1" si="788"/>
        <v>0</v>
      </c>
      <c r="HB214" s="303">
        <f t="shared" ca="1" si="789"/>
        <v>0</v>
      </c>
      <c r="HC214" s="303">
        <f t="shared" ca="1" si="790"/>
        <v>0</v>
      </c>
      <c r="HD214" s="303">
        <f t="shared" ca="1" si="791"/>
        <v>0</v>
      </c>
      <c r="HE214" s="303">
        <f t="shared" ca="1" si="792"/>
        <v>0</v>
      </c>
      <c r="HF214" s="303">
        <f t="shared" ca="1" si="793"/>
        <v>0</v>
      </c>
      <c r="HG214" s="852">
        <f t="shared" ca="1" si="794"/>
        <v>0</v>
      </c>
    </row>
    <row r="215" spans="1:215" x14ac:dyDescent="0.25">
      <c r="A215" s="244">
        <f t="shared" ca="1" si="795"/>
        <v>42644</v>
      </c>
      <c r="B215" s="13">
        <f t="shared" ca="1" si="623"/>
        <v>2016</v>
      </c>
      <c r="C215" s="619">
        <f t="shared" ca="1" si="624"/>
        <v>10</v>
      </c>
      <c r="D215" s="195" t="str">
        <f t="shared" ca="1" si="625"/>
        <v/>
      </c>
      <c r="E215" s="469" t="str">
        <f t="shared" ca="1" si="626"/>
        <v/>
      </c>
      <c r="F215" s="465" t="str">
        <f t="shared" ca="1" si="627"/>
        <v/>
      </c>
      <c r="G215" s="522">
        <f t="shared" ca="1" si="796"/>
        <v>1</v>
      </c>
      <c r="H215" s="519">
        <f t="shared" ca="1" si="797"/>
        <v>1</v>
      </c>
      <c r="I215" s="724">
        <f t="shared" ca="1" si="628"/>
        <v>7.4181809519078004E-2</v>
      </c>
      <c r="J215" s="198">
        <f t="shared" ca="1" si="629"/>
        <v>0.29585820765921367</v>
      </c>
      <c r="K215" s="200">
        <f t="shared" ca="1" si="805"/>
        <v>30.95</v>
      </c>
      <c r="L215" s="201">
        <f t="shared" ca="1" si="806"/>
        <v>33</v>
      </c>
      <c r="M215" s="206">
        <f t="shared" ca="1" si="807"/>
        <v>35.049999999999997</v>
      </c>
      <c r="N215" s="851">
        <f t="shared" ca="1" si="811"/>
        <v>24.063000106811511</v>
      </c>
      <c r="O215" s="201">
        <f t="shared" ca="1" si="812"/>
        <v>25.600500106811513</v>
      </c>
      <c r="P215" s="206">
        <f t="shared" ca="1" si="813"/>
        <v>27.138000106811514</v>
      </c>
      <c r="Q215" s="201">
        <f t="shared" ca="1" si="814"/>
        <v>19.300999832153309</v>
      </c>
      <c r="R215" s="201">
        <f t="shared" ca="1" si="815"/>
        <v>23.60099983215331</v>
      </c>
      <c r="S215" s="201">
        <f t="shared" ca="1" si="816"/>
        <v>27.90099983215331</v>
      </c>
      <c r="T215" s="851">
        <f t="shared" ca="1" si="808"/>
        <v>20.224998855590812</v>
      </c>
      <c r="U215" s="201">
        <f t="shared" ca="1" si="809"/>
        <v>21.249998855590814</v>
      </c>
      <c r="V215" s="206">
        <f t="shared" ca="1" si="810"/>
        <v>22.274998855590816</v>
      </c>
      <c r="W215" s="230">
        <f t="shared" ca="1" si="798"/>
        <v>5.5664441303694329E-2</v>
      </c>
      <c r="X215" s="231">
        <f t="shared" ca="1" si="799"/>
        <v>0.11132888260738866</v>
      </c>
      <c r="Y215" s="232">
        <f t="shared" ca="1" si="800"/>
        <v>0.16699332391108299</v>
      </c>
      <c r="Z215" s="231">
        <f t="shared" ca="1" si="612"/>
        <v>5.5664441303694329E-2</v>
      </c>
      <c r="AA215" s="231">
        <f t="shared" ca="1" si="613"/>
        <v>0.11132888260738866</v>
      </c>
      <c r="AB215" s="232">
        <f t="shared" ca="1" si="614"/>
        <v>0.16699332391108299</v>
      </c>
      <c r="AC215" s="231">
        <f t="shared" ca="1" si="615"/>
        <v>5.5664441303694329E-2</v>
      </c>
      <c r="AD215" s="231">
        <f t="shared" ca="1" si="616"/>
        <v>0.11132888260738866</v>
      </c>
      <c r="AE215" s="232">
        <f t="shared" ca="1" si="630"/>
        <v>0.16699332391108299</v>
      </c>
      <c r="AF215" s="231">
        <f t="shared" ca="1" si="801"/>
        <v>2.1713931617774868E-2</v>
      </c>
      <c r="AG215" s="231">
        <f t="shared" ca="1" si="802"/>
        <v>4.3427863235549737E-2</v>
      </c>
      <c r="AH215" s="232">
        <f t="shared" ca="1" si="803"/>
        <v>6.5141794853324608E-2</v>
      </c>
      <c r="AI215" s="233">
        <f t="shared" ca="1" si="631"/>
        <v>0.85000000000000009</v>
      </c>
      <c r="AJ215" s="233">
        <f t="shared" ca="1" si="632"/>
        <v>1.1000000000000001</v>
      </c>
      <c r="AK215" s="234">
        <f t="shared" ca="1" si="633"/>
        <v>1.4000000000000001</v>
      </c>
      <c r="AL215" s="919">
        <f t="shared" ca="1" si="634"/>
        <v>0.85000000000000009</v>
      </c>
      <c r="AM215" s="233">
        <f t="shared" ca="1" si="635"/>
        <v>1.1000000000000001</v>
      </c>
      <c r="AN215" s="234">
        <f t="shared" ca="1" si="636"/>
        <v>1.4000000000000001</v>
      </c>
      <c r="AO215" s="233">
        <f t="shared" ca="1" si="637"/>
        <v>0.85000000000000009</v>
      </c>
      <c r="AP215" s="233">
        <f t="shared" ca="1" si="638"/>
        <v>1.1000000000000001</v>
      </c>
      <c r="AQ215" s="233">
        <f t="shared" ca="1" si="639"/>
        <v>1.4000000000000001</v>
      </c>
      <c r="AR215" s="919">
        <f t="shared" ca="1" si="640"/>
        <v>0.19999999999999998</v>
      </c>
      <c r="AS215" s="233">
        <f t="shared" ca="1" si="641"/>
        <v>0.35</v>
      </c>
      <c r="AT215" s="235">
        <f t="shared" ca="1" si="642"/>
        <v>0.55000000000000004</v>
      </c>
      <c r="AU215" s="946">
        <f t="shared" si="643"/>
        <v>0.5</v>
      </c>
      <c r="AV215" s="13">
        <f t="shared" ca="1" si="644"/>
        <v>0</v>
      </c>
      <c r="AW215" s="210">
        <f t="shared" ca="1" si="645"/>
        <v>0</v>
      </c>
      <c r="AX215" s="210">
        <f t="shared" ca="1" si="646"/>
        <v>0</v>
      </c>
      <c r="AY215" s="210">
        <f t="shared" ca="1" si="647"/>
        <v>0</v>
      </c>
      <c r="AZ215" s="13">
        <f t="shared" ca="1" si="648"/>
        <v>0</v>
      </c>
      <c r="BA215" s="357">
        <f ca="1"/>
        <v>0</v>
      </c>
      <c r="BB215" s="925">
        <f ca="1"/>
        <v>0</v>
      </c>
      <c r="BC215" s="925">
        <f ca="1"/>
        <v>0</v>
      </c>
      <c r="BD215" s="928">
        <f ca="1"/>
        <v>0</v>
      </c>
      <c r="BE215" s="200">
        <f ca="1"/>
        <v>0</v>
      </c>
      <c r="BF215" s="851">
        <f ca="1"/>
        <v>0</v>
      </c>
      <c r="BG215" s="851">
        <f ca="1"/>
        <v>0</v>
      </c>
      <c r="BH215" s="933">
        <f ca="1"/>
        <v>0</v>
      </c>
      <c r="BI215" s="357">
        <f ca="1"/>
        <v>0</v>
      </c>
      <c r="BJ215" s="925">
        <f ca="1"/>
        <v>0</v>
      </c>
      <c r="BK215" s="925">
        <f ca="1"/>
        <v>0</v>
      </c>
      <c r="BL215" s="928">
        <f ca="1"/>
        <v>0</v>
      </c>
      <c r="BM215" s="200">
        <f ca="1"/>
        <v>0</v>
      </c>
      <c r="BN215" s="851">
        <f ca="1"/>
        <v>0</v>
      </c>
      <c r="BO215" s="851">
        <f ca="1"/>
        <v>0</v>
      </c>
      <c r="BP215" s="933">
        <f ca="1"/>
        <v>0</v>
      </c>
      <c r="BQ215" s="357">
        <f t="shared" ca="1" si="649"/>
        <v>0</v>
      </c>
      <c r="BR215" s="361">
        <f t="shared" ca="1" si="650"/>
        <v>0</v>
      </c>
      <c r="BS215" s="357">
        <f t="shared" ca="1" si="651"/>
        <v>0</v>
      </c>
      <c r="BT215" s="302">
        <f t="shared" ca="1" si="652"/>
        <v>0</v>
      </c>
      <c r="BU215" s="299">
        <f t="shared" ca="1" si="653"/>
        <v>0</v>
      </c>
      <c r="BV215" s="299">
        <f t="shared" ca="1" si="654"/>
        <v>0</v>
      </c>
      <c r="BW215" s="299">
        <f t="shared" ca="1" si="655"/>
        <v>0</v>
      </c>
      <c r="BX215" s="380">
        <f t="shared" ca="1" si="656"/>
        <v>16.583162217659137</v>
      </c>
      <c r="BY215" s="363">
        <f t="shared" ca="1" si="657"/>
        <v>0</v>
      </c>
      <c r="BZ215" s="353">
        <f t="shared" ca="1" si="658"/>
        <v>0</v>
      </c>
      <c r="CA215" s="353">
        <f t="shared" ca="1" si="659"/>
        <v>0</v>
      </c>
      <c r="CB215" s="353">
        <f t="shared" ca="1" si="660"/>
        <v>0</v>
      </c>
      <c r="CC215" s="353">
        <f t="shared" ca="1" si="661"/>
        <v>0</v>
      </c>
      <c r="CD215" s="353">
        <f t="shared" ca="1" si="662"/>
        <v>0</v>
      </c>
      <c r="CE215" s="302">
        <f t="shared" ca="1" si="663"/>
        <v>0</v>
      </c>
      <c r="CF215" s="299">
        <f t="shared" ca="1" si="664"/>
        <v>0</v>
      </c>
      <c r="CG215" s="299">
        <f t="shared" ca="1" si="665"/>
        <v>0</v>
      </c>
      <c r="CH215" s="299">
        <f t="shared" ca="1" si="666"/>
        <v>0</v>
      </c>
      <c r="CI215" s="299">
        <f t="shared" ca="1" si="667"/>
        <v>0</v>
      </c>
      <c r="CJ215" s="299">
        <f t="shared" ca="1" si="668"/>
        <v>0</v>
      </c>
      <c r="CK215" s="299">
        <f t="shared" ca="1" si="669"/>
        <v>0</v>
      </c>
      <c r="CL215" s="377" t="str">
        <f t="shared" ca="1" si="670"/>
        <v/>
      </c>
      <c r="CM215" s="305" t="str">
        <f t="shared" ca="1" si="671"/>
        <v/>
      </c>
      <c r="CN215" s="305" t="str">
        <f t="shared" ca="1" si="672"/>
        <v/>
      </c>
      <c r="CO215" s="305" t="str">
        <f t="shared" ca="1" si="673"/>
        <v/>
      </c>
      <c r="CP215" s="305" t="str">
        <f t="shared" ca="1" si="674"/>
        <v/>
      </c>
      <c r="CQ215" s="305" t="str">
        <f t="shared" ca="1" si="675"/>
        <v/>
      </c>
      <c r="CR215" s="775" t="str">
        <f t="shared" ca="1" si="676"/>
        <v/>
      </c>
      <c r="CS215" s="305" t="str">
        <f t="shared" ca="1" si="677"/>
        <v/>
      </c>
      <c r="CT215" s="305" t="str">
        <f t="shared" ca="1" si="678"/>
        <v/>
      </c>
      <c r="CU215" s="305" t="str">
        <f t="shared" ca="1" si="679"/>
        <v/>
      </c>
      <c r="CV215" s="770" t="str">
        <f t="shared" ca="1" si="680"/>
        <v/>
      </c>
      <c r="CW215" s="302">
        <f t="shared" ca="1" si="681"/>
        <v>0</v>
      </c>
      <c r="CX215" s="299">
        <f t="shared" ca="1" si="682"/>
        <v>0</v>
      </c>
      <c r="CY215" s="299">
        <f t="shared" ca="1" si="683"/>
        <v>0</v>
      </c>
      <c r="CZ215" s="299">
        <f t="shared" ca="1" si="684"/>
        <v>0</v>
      </c>
      <c r="DA215" s="774">
        <f t="shared" ca="1" si="685"/>
        <v>0</v>
      </c>
      <c r="DB215" s="303">
        <f t="shared" ca="1" si="686"/>
        <v>0</v>
      </c>
      <c r="DC215" s="248">
        <f t="shared" ca="1" si="687"/>
        <v>0</v>
      </c>
      <c r="DD215" s="778">
        <f t="shared" ca="1" si="688"/>
        <v>0</v>
      </c>
      <c r="DE215" s="363">
        <f t="shared" ca="1" si="689"/>
        <v>0</v>
      </c>
      <c r="DF215" s="378" t="str">
        <f t="shared" ca="1" si="690"/>
        <v/>
      </c>
      <c r="DG215" s="508" t="str">
        <f t="shared" ca="1" si="691"/>
        <v/>
      </c>
      <c r="DH215" s="508" t="str">
        <f t="shared" ca="1" si="692"/>
        <v/>
      </c>
      <c r="DI215" s="508" t="str">
        <f t="shared" ca="1" si="693"/>
        <v/>
      </c>
      <c r="DJ215" s="508" t="str">
        <f t="shared" ca="1" si="694"/>
        <v/>
      </c>
      <c r="DK215" s="353">
        <f t="shared" ca="1" si="695"/>
        <v>0</v>
      </c>
      <c r="DL215" s="781">
        <f t="shared" ca="1" si="696"/>
        <v>0</v>
      </c>
      <c r="DM215" s="303">
        <f t="shared" ca="1" si="697"/>
        <v>0</v>
      </c>
      <c r="DN215" s="508" t="str">
        <f t="shared" ca="1" si="698"/>
        <v/>
      </c>
      <c r="DO215" s="508" t="str">
        <f t="shared" ca="1" si="699"/>
        <v/>
      </c>
      <c r="DP215" s="508" t="str">
        <f t="shared" ca="1" si="700"/>
        <v/>
      </c>
      <c r="DQ215" s="508" t="str">
        <f t="shared" ca="1" si="701"/>
        <v/>
      </c>
      <c r="DR215" s="508" t="str">
        <f t="shared" ca="1" si="702"/>
        <v/>
      </c>
      <c r="DS215" s="353">
        <f t="shared" ca="1" si="703"/>
        <v>0</v>
      </c>
      <c r="DT215" s="353">
        <f t="shared" ca="1" si="704"/>
        <v>0</v>
      </c>
      <c r="DU215" s="380">
        <f t="shared" ca="1" si="804"/>
        <v>16.583162217659137</v>
      </c>
      <c r="DV215" s="303">
        <f t="shared" ca="1" si="705"/>
        <v>0</v>
      </c>
      <c r="DW215" s="303">
        <f t="shared" ca="1" si="706"/>
        <v>0</v>
      </c>
      <c r="DX215" s="303">
        <f t="shared" ca="1" si="707"/>
        <v>0</v>
      </c>
      <c r="DY215" s="303">
        <f t="shared" ca="1" si="708"/>
        <v>0</v>
      </c>
      <c r="DZ215" s="303">
        <f t="shared" ca="1" si="709"/>
        <v>0</v>
      </c>
      <c r="EA215" s="303">
        <f t="shared" ca="1" si="710"/>
        <v>0</v>
      </c>
      <c r="EB215" s="302">
        <f t="shared" ca="1" si="711"/>
        <v>0</v>
      </c>
      <c r="EC215" s="299">
        <f t="shared" ca="1" si="712"/>
        <v>0</v>
      </c>
      <c r="ED215" s="299">
        <f t="shared" ca="1" si="713"/>
        <v>0</v>
      </c>
      <c r="EE215" s="299">
        <f t="shared" ca="1" si="714"/>
        <v>0</v>
      </c>
      <c r="EF215" s="299">
        <f t="shared" ca="1" si="715"/>
        <v>0</v>
      </c>
      <c r="EG215" s="299">
        <f t="shared" ca="1" si="716"/>
        <v>0</v>
      </c>
      <c r="EH215" s="302">
        <f t="shared" ca="1" si="717"/>
        <v>0</v>
      </c>
      <c r="EI215" s="304" t="str">
        <f t="shared" ca="1" si="718"/>
        <v/>
      </c>
      <c r="EJ215" s="305" t="str">
        <f t="shared" ca="1" si="719"/>
        <v/>
      </c>
      <c r="EK215" s="305" t="str">
        <f t="shared" ca="1" si="720"/>
        <v/>
      </c>
      <c r="EL215" s="305" t="str">
        <f t="shared" ca="1" si="721"/>
        <v/>
      </c>
      <c r="EM215" s="305" t="str">
        <f t="shared" ca="1" si="722"/>
        <v/>
      </c>
      <c r="EN215" s="305" t="str">
        <f t="shared" ca="1" si="723"/>
        <v/>
      </c>
      <c r="EO215" s="305" t="str">
        <f t="shared" ca="1" si="724"/>
        <v/>
      </c>
      <c r="EP215" s="305" t="str">
        <f t="shared" ca="1" si="725"/>
        <v/>
      </c>
      <c r="EQ215" s="305" t="str">
        <f t="shared" ca="1" si="726"/>
        <v/>
      </c>
      <c r="ER215" s="305" t="str">
        <f t="shared" ca="1" si="727"/>
        <v/>
      </c>
      <c r="ES215" s="305" t="str">
        <f t="shared" ca="1" si="728"/>
        <v/>
      </c>
      <c r="ET215" s="299">
        <f t="shared" ca="1" si="729"/>
        <v>0</v>
      </c>
      <c r="EU215" s="302">
        <f t="shared" ca="1" si="730"/>
        <v>0</v>
      </c>
      <c r="EV215" s="304" t="str">
        <f t="shared" ca="1" si="731"/>
        <v/>
      </c>
      <c r="EW215" s="305" t="str">
        <f t="shared" ca="1" si="732"/>
        <v/>
      </c>
      <c r="EX215" s="305" t="str">
        <f t="shared" ca="1" si="733"/>
        <v/>
      </c>
      <c r="EY215" s="305" t="str">
        <f t="shared" ca="1" si="734"/>
        <v/>
      </c>
      <c r="EZ215" s="305" t="str">
        <f t="shared" ca="1" si="735"/>
        <v/>
      </c>
      <c r="FA215" s="305" t="str">
        <f t="shared" ca="1" si="736"/>
        <v/>
      </c>
      <c r="FB215" s="305" t="str">
        <f t="shared" ca="1" si="737"/>
        <v/>
      </c>
      <c r="FC215" s="305" t="str">
        <f t="shared" ca="1" si="738"/>
        <v/>
      </c>
      <c r="FD215" s="305" t="str">
        <f t="shared" ca="1" si="739"/>
        <v/>
      </c>
      <c r="FE215" s="305" t="str">
        <f t="shared" ca="1" si="740"/>
        <v/>
      </c>
      <c r="FF215" s="305" t="str">
        <f t="shared" ca="1" si="741"/>
        <v/>
      </c>
      <c r="FG215" s="299">
        <f t="shared" ca="1" si="742"/>
        <v>0</v>
      </c>
      <c r="FH215" s="302">
        <f t="shared" ca="1" si="743"/>
        <v>0</v>
      </c>
      <c r="FI215" s="248">
        <f t="shared" ca="1" si="744"/>
        <v>0</v>
      </c>
      <c r="FJ215" s="363">
        <f t="shared" ca="1" si="745"/>
        <v>0</v>
      </c>
      <c r="FK215" s="378" t="str">
        <f t="shared" ca="1" si="746"/>
        <v/>
      </c>
      <c r="FL215" s="508" t="str">
        <f t="shared" ca="1" si="747"/>
        <v/>
      </c>
      <c r="FM215" s="508" t="str">
        <f t="shared" ca="1" si="748"/>
        <v/>
      </c>
      <c r="FN215" s="508" t="str">
        <f t="shared" ca="1" si="749"/>
        <v/>
      </c>
      <c r="FO215" s="508" t="str">
        <f t="shared" ca="1" si="750"/>
        <v/>
      </c>
      <c r="FP215" s="353">
        <f t="shared" ca="1" si="751"/>
        <v>0</v>
      </c>
      <c r="FQ215" s="356">
        <f t="shared" ca="1" si="752"/>
        <v>0</v>
      </c>
      <c r="FR215" s="380">
        <f t="shared" ca="1" si="753"/>
        <v>0</v>
      </c>
      <c r="FS215" s="299">
        <f t="shared" ca="1" si="754"/>
        <v>0</v>
      </c>
      <c r="FT215" s="299">
        <f t="shared" ca="1" si="755"/>
        <v>0</v>
      </c>
      <c r="FU215" s="299">
        <f t="shared" ca="1" si="756"/>
        <v>0</v>
      </c>
      <c r="FV215" s="299">
        <f t="shared" ca="1" si="757"/>
        <v>0</v>
      </c>
      <c r="FW215" s="850" t="str">
        <f t="shared" ca="1" si="758"/>
        <v/>
      </c>
      <c r="FX215" s="851" t="str">
        <f t="shared" ca="1" si="759"/>
        <v/>
      </c>
      <c r="FY215" s="851" t="str">
        <f t="shared" ca="1" si="760"/>
        <v/>
      </c>
      <c r="FZ215" s="201" t="str">
        <f t="shared" ca="1" si="761"/>
        <v/>
      </c>
      <c r="GA215" s="201" t="str">
        <f t="shared" ca="1" si="762"/>
        <v/>
      </c>
      <c r="GB215" s="201" t="str">
        <f t="shared" ca="1" si="763"/>
        <v/>
      </c>
      <c r="GC215" s="201" t="str">
        <f t="shared" ca="1" si="764"/>
        <v/>
      </c>
      <c r="GD215" s="850" t="str">
        <f t="shared" ca="1" si="765"/>
        <v/>
      </c>
      <c r="GE215" s="866" t="str">
        <f t="shared" ca="1" si="766"/>
        <v/>
      </c>
      <c r="GF215" s="866" t="str">
        <f t="shared" ca="1" si="767"/>
        <v/>
      </c>
      <c r="GG215" s="866" t="str">
        <f t="shared" ca="1" si="768"/>
        <v/>
      </c>
      <c r="GH215" s="866" t="str">
        <f t="shared" ca="1" si="769"/>
        <v/>
      </c>
      <c r="GI215" s="302">
        <f t="shared" ca="1" si="770"/>
        <v>0</v>
      </c>
      <c r="GJ215" s="299">
        <f t="shared" ca="1" si="771"/>
        <v>0</v>
      </c>
      <c r="GK215" s="299">
        <f t="shared" ca="1" si="772"/>
        <v>0</v>
      </c>
      <c r="GL215" s="299">
        <f t="shared" ca="1" si="773"/>
        <v>0</v>
      </c>
      <c r="GM215" s="299">
        <f t="shared" ca="1" si="774"/>
        <v>0</v>
      </c>
      <c r="GN215" s="302">
        <f t="shared" ca="1" si="775"/>
        <v>0</v>
      </c>
      <c r="GO215" s="299">
        <f t="shared" ca="1" si="776"/>
        <v>0</v>
      </c>
      <c r="GP215" s="299">
        <f t="shared" ca="1" si="777"/>
        <v>0</v>
      </c>
      <c r="GQ215" s="299">
        <f t="shared" ca="1" si="778"/>
        <v>0</v>
      </c>
      <c r="GR215" s="299">
        <f t="shared" ca="1" si="779"/>
        <v>0</v>
      </c>
      <c r="GS215" s="302">
        <f t="shared" ca="1" si="780"/>
        <v>0</v>
      </c>
      <c r="GT215" s="299">
        <f t="shared" ca="1" si="781"/>
        <v>0</v>
      </c>
      <c r="GU215" s="299">
        <f t="shared" ca="1" si="782"/>
        <v>0</v>
      </c>
      <c r="GV215" s="299">
        <f t="shared" ca="1" si="783"/>
        <v>0</v>
      </c>
      <c r="GW215" s="299">
        <f t="shared" ca="1" si="784"/>
        <v>0</v>
      </c>
      <c r="GX215" s="303">
        <f t="shared" ca="1" si="785"/>
        <v>0</v>
      </c>
      <c r="GY215" s="303">
        <f t="shared" ca="1" si="786"/>
        <v>0</v>
      </c>
      <c r="GZ215" s="303">
        <f t="shared" ca="1" si="787"/>
        <v>0</v>
      </c>
      <c r="HA215" s="303">
        <f t="shared" ca="1" si="788"/>
        <v>0</v>
      </c>
      <c r="HB215" s="303">
        <f t="shared" ca="1" si="789"/>
        <v>0</v>
      </c>
      <c r="HC215" s="303">
        <f t="shared" ca="1" si="790"/>
        <v>0</v>
      </c>
      <c r="HD215" s="303">
        <f t="shared" ca="1" si="791"/>
        <v>0</v>
      </c>
      <c r="HE215" s="303">
        <f t="shared" ca="1" si="792"/>
        <v>0</v>
      </c>
      <c r="HF215" s="303">
        <f t="shared" ca="1" si="793"/>
        <v>0</v>
      </c>
      <c r="HG215" s="852">
        <f t="shared" ca="1" si="794"/>
        <v>0</v>
      </c>
    </row>
    <row r="216" spans="1:215" x14ac:dyDescent="0.25">
      <c r="A216" s="244">
        <f t="shared" ca="1" si="795"/>
        <v>42675</v>
      </c>
      <c r="B216" s="13">
        <f t="shared" ca="1" si="623"/>
        <v>2016</v>
      </c>
      <c r="C216" s="619">
        <f t="shared" ca="1" si="624"/>
        <v>11</v>
      </c>
      <c r="D216" s="195">
        <f t="shared" ca="1" si="625"/>
        <v>42698</v>
      </c>
      <c r="E216" s="469" t="str">
        <f t="shared" ca="1" si="626"/>
        <v/>
      </c>
      <c r="F216" s="465" t="str">
        <f t="shared" ca="1" si="627"/>
        <v/>
      </c>
      <c r="G216" s="522">
        <f t="shared" ca="1" si="796"/>
        <v>1</v>
      </c>
      <c r="H216" s="519">
        <f t="shared" ca="1" si="797"/>
        <v>1</v>
      </c>
      <c r="I216" s="724">
        <f t="shared" ca="1" si="628"/>
        <v>7.4181514801198001E-2</v>
      </c>
      <c r="J216" s="198">
        <f t="shared" ca="1" si="629"/>
        <v>0.29409487005056428</v>
      </c>
      <c r="K216" s="200">
        <f t="shared" ca="1" si="805"/>
        <v>31.324999999999999</v>
      </c>
      <c r="L216" s="201">
        <f t="shared" ca="1" si="806"/>
        <v>33.375</v>
      </c>
      <c r="M216" s="206">
        <f t="shared" ca="1" si="807"/>
        <v>35.424999999999997</v>
      </c>
      <c r="N216" s="851">
        <f t="shared" ca="1" si="811"/>
        <v>25.06725158691405</v>
      </c>
      <c r="O216" s="201">
        <f t="shared" ca="1" si="812"/>
        <v>26.604751586914052</v>
      </c>
      <c r="P216" s="206">
        <f t="shared" ca="1" si="813"/>
        <v>28.142251586914053</v>
      </c>
      <c r="Q216" s="201">
        <f t="shared" ca="1" si="814"/>
        <v>20.30449981689452</v>
      </c>
      <c r="R216" s="201">
        <f t="shared" ca="1" si="815"/>
        <v>24.604499816894521</v>
      </c>
      <c r="S216" s="201">
        <f t="shared" ca="1" si="816"/>
        <v>28.904499816894521</v>
      </c>
      <c r="T216" s="851">
        <f t="shared" ca="1" si="808"/>
        <v>20.149998092651359</v>
      </c>
      <c r="U216" s="201">
        <f t="shared" ca="1" si="809"/>
        <v>21.174998092651361</v>
      </c>
      <c r="V216" s="206">
        <f t="shared" ca="1" si="810"/>
        <v>22.199998092651363</v>
      </c>
      <c r="W216" s="230">
        <f t="shared" ca="1" si="798"/>
        <v>5.5664441303694329E-2</v>
      </c>
      <c r="X216" s="231">
        <f t="shared" ca="1" si="799"/>
        <v>0.11132888260738866</v>
      </c>
      <c r="Y216" s="232">
        <f t="shared" ca="1" si="800"/>
        <v>0.16699332391108299</v>
      </c>
      <c r="Z216" s="231">
        <f t="shared" ca="1" si="612"/>
        <v>5.5664441303694329E-2</v>
      </c>
      <c r="AA216" s="231">
        <f t="shared" ca="1" si="613"/>
        <v>0.11132888260738866</v>
      </c>
      <c r="AB216" s="232">
        <f t="shared" ca="1" si="614"/>
        <v>0.16699332391108299</v>
      </c>
      <c r="AC216" s="231">
        <f t="shared" ca="1" si="615"/>
        <v>5.5664441303694329E-2</v>
      </c>
      <c r="AD216" s="231">
        <f t="shared" ca="1" si="616"/>
        <v>0.11132888260738866</v>
      </c>
      <c r="AE216" s="232">
        <f t="shared" ca="1" si="630"/>
        <v>0.16699332391108299</v>
      </c>
      <c r="AF216" s="231">
        <f t="shared" ca="1" si="801"/>
        <v>2.1713931617774868E-2</v>
      </c>
      <c r="AG216" s="231">
        <f t="shared" ca="1" si="802"/>
        <v>4.3427863235549737E-2</v>
      </c>
      <c r="AH216" s="232">
        <f t="shared" ca="1" si="803"/>
        <v>6.5141794853324608E-2</v>
      </c>
      <c r="AI216" s="233">
        <f t="shared" ca="1" si="631"/>
        <v>1</v>
      </c>
      <c r="AJ216" s="233">
        <f t="shared" ca="1" si="632"/>
        <v>1.25</v>
      </c>
      <c r="AK216" s="234">
        <f t="shared" ca="1" si="633"/>
        <v>1.55</v>
      </c>
      <c r="AL216" s="919">
        <f t="shared" ca="1" si="634"/>
        <v>1</v>
      </c>
      <c r="AM216" s="233">
        <f t="shared" ca="1" si="635"/>
        <v>1.25</v>
      </c>
      <c r="AN216" s="234">
        <f t="shared" ca="1" si="636"/>
        <v>1.55</v>
      </c>
      <c r="AO216" s="233">
        <f t="shared" ca="1" si="637"/>
        <v>1</v>
      </c>
      <c r="AP216" s="233">
        <f t="shared" ca="1" si="638"/>
        <v>1.25</v>
      </c>
      <c r="AQ216" s="233">
        <f t="shared" ca="1" si="639"/>
        <v>1.55</v>
      </c>
      <c r="AR216" s="919">
        <f t="shared" ca="1" si="640"/>
        <v>0.15</v>
      </c>
      <c r="AS216" s="233">
        <f t="shared" ca="1" si="641"/>
        <v>0.3</v>
      </c>
      <c r="AT216" s="235">
        <f t="shared" ca="1" si="642"/>
        <v>0.5</v>
      </c>
      <c r="AU216" s="946">
        <f t="shared" si="643"/>
        <v>0.5</v>
      </c>
      <c r="AV216" s="13">
        <f t="shared" ca="1" si="644"/>
        <v>0</v>
      </c>
      <c r="AW216" s="210">
        <f t="shared" ca="1" si="645"/>
        <v>0</v>
      </c>
      <c r="AX216" s="210">
        <f t="shared" ca="1" si="646"/>
        <v>0</v>
      </c>
      <c r="AY216" s="210">
        <f t="shared" ca="1" si="647"/>
        <v>0</v>
      </c>
      <c r="AZ216" s="13">
        <f t="shared" ca="1" si="648"/>
        <v>0</v>
      </c>
      <c r="BA216" s="357">
        <f ca="1"/>
        <v>0</v>
      </c>
      <c r="BB216" s="925">
        <f ca="1"/>
        <v>0</v>
      </c>
      <c r="BC216" s="925">
        <f ca="1"/>
        <v>0</v>
      </c>
      <c r="BD216" s="928">
        <f ca="1"/>
        <v>0</v>
      </c>
      <c r="BE216" s="200">
        <f ca="1"/>
        <v>0</v>
      </c>
      <c r="BF216" s="851">
        <f ca="1"/>
        <v>0</v>
      </c>
      <c r="BG216" s="851">
        <f ca="1"/>
        <v>0</v>
      </c>
      <c r="BH216" s="933">
        <f ca="1"/>
        <v>0</v>
      </c>
      <c r="BI216" s="357">
        <f ca="1"/>
        <v>0</v>
      </c>
      <c r="BJ216" s="925">
        <f ca="1"/>
        <v>0</v>
      </c>
      <c r="BK216" s="925">
        <f ca="1"/>
        <v>0</v>
      </c>
      <c r="BL216" s="928">
        <f ca="1"/>
        <v>0</v>
      </c>
      <c r="BM216" s="200">
        <f ca="1"/>
        <v>0</v>
      </c>
      <c r="BN216" s="851">
        <f ca="1"/>
        <v>0</v>
      </c>
      <c r="BO216" s="851">
        <f ca="1"/>
        <v>0</v>
      </c>
      <c r="BP216" s="933">
        <f ca="1"/>
        <v>0</v>
      </c>
      <c r="BQ216" s="357">
        <f t="shared" ca="1" si="649"/>
        <v>0</v>
      </c>
      <c r="BR216" s="361">
        <f t="shared" ca="1" si="650"/>
        <v>0</v>
      </c>
      <c r="BS216" s="357">
        <f t="shared" ca="1" si="651"/>
        <v>0</v>
      </c>
      <c r="BT216" s="302">
        <f t="shared" ca="1" si="652"/>
        <v>0</v>
      </c>
      <c r="BU216" s="299">
        <f t="shared" ca="1" si="653"/>
        <v>0</v>
      </c>
      <c r="BV216" s="299">
        <f t="shared" ca="1" si="654"/>
        <v>0</v>
      </c>
      <c r="BW216" s="299">
        <f t="shared" ca="1" si="655"/>
        <v>0</v>
      </c>
      <c r="BX216" s="380">
        <f t="shared" ca="1" si="656"/>
        <v>16.668035592060232</v>
      </c>
      <c r="BY216" s="363">
        <f t="shared" ca="1" si="657"/>
        <v>0</v>
      </c>
      <c r="BZ216" s="353">
        <f t="shared" ca="1" si="658"/>
        <v>0</v>
      </c>
      <c r="CA216" s="353">
        <f t="shared" ca="1" si="659"/>
        <v>0</v>
      </c>
      <c r="CB216" s="353">
        <f t="shared" ca="1" si="660"/>
        <v>0</v>
      </c>
      <c r="CC216" s="353">
        <f t="shared" ca="1" si="661"/>
        <v>0</v>
      </c>
      <c r="CD216" s="353">
        <f t="shared" ca="1" si="662"/>
        <v>0</v>
      </c>
      <c r="CE216" s="302">
        <f t="shared" ca="1" si="663"/>
        <v>0</v>
      </c>
      <c r="CF216" s="299">
        <f t="shared" ca="1" si="664"/>
        <v>0</v>
      </c>
      <c r="CG216" s="299">
        <f t="shared" ca="1" si="665"/>
        <v>0</v>
      </c>
      <c r="CH216" s="299">
        <f t="shared" ca="1" si="666"/>
        <v>0</v>
      </c>
      <c r="CI216" s="299">
        <f t="shared" ca="1" si="667"/>
        <v>0</v>
      </c>
      <c r="CJ216" s="299">
        <f t="shared" ca="1" si="668"/>
        <v>0</v>
      </c>
      <c r="CK216" s="299">
        <f t="shared" ca="1" si="669"/>
        <v>0</v>
      </c>
      <c r="CL216" s="377" t="str">
        <f t="shared" ca="1" si="670"/>
        <v/>
      </c>
      <c r="CM216" s="305" t="str">
        <f t="shared" ca="1" si="671"/>
        <v/>
      </c>
      <c r="CN216" s="305" t="str">
        <f t="shared" ca="1" si="672"/>
        <v/>
      </c>
      <c r="CO216" s="305" t="str">
        <f t="shared" ca="1" si="673"/>
        <v/>
      </c>
      <c r="CP216" s="305" t="str">
        <f t="shared" ca="1" si="674"/>
        <v/>
      </c>
      <c r="CQ216" s="305" t="str">
        <f t="shared" ca="1" si="675"/>
        <v/>
      </c>
      <c r="CR216" s="775" t="str">
        <f t="shared" ca="1" si="676"/>
        <v/>
      </c>
      <c r="CS216" s="305" t="str">
        <f t="shared" ca="1" si="677"/>
        <v/>
      </c>
      <c r="CT216" s="305" t="str">
        <f t="shared" ca="1" si="678"/>
        <v/>
      </c>
      <c r="CU216" s="305" t="str">
        <f t="shared" ca="1" si="679"/>
        <v/>
      </c>
      <c r="CV216" s="770" t="str">
        <f t="shared" ca="1" si="680"/>
        <v/>
      </c>
      <c r="CW216" s="302">
        <f t="shared" ca="1" si="681"/>
        <v>0</v>
      </c>
      <c r="CX216" s="299">
        <f t="shared" ca="1" si="682"/>
        <v>0</v>
      </c>
      <c r="CY216" s="299">
        <f t="shared" ca="1" si="683"/>
        <v>0</v>
      </c>
      <c r="CZ216" s="299">
        <f t="shared" ca="1" si="684"/>
        <v>0</v>
      </c>
      <c r="DA216" s="774">
        <f t="shared" ca="1" si="685"/>
        <v>0</v>
      </c>
      <c r="DB216" s="303">
        <f t="shared" ca="1" si="686"/>
        <v>0</v>
      </c>
      <c r="DC216" s="248">
        <f t="shared" ca="1" si="687"/>
        <v>0</v>
      </c>
      <c r="DD216" s="778">
        <f t="shared" ca="1" si="688"/>
        <v>0</v>
      </c>
      <c r="DE216" s="363">
        <f t="shared" ca="1" si="689"/>
        <v>0</v>
      </c>
      <c r="DF216" s="378" t="str">
        <f t="shared" ca="1" si="690"/>
        <v/>
      </c>
      <c r="DG216" s="508" t="str">
        <f t="shared" ca="1" si="691"/>
        <v/>
      </c>
      <c r="DH216" s="508" t="str">
        <f t="shared" ca="1" si="692"/>
        <v/>
      </c>
      <c r="DI216" s="508" t="str">
        <f t="shared" ca="1" si="693"/>
        <v/>
      </c>
      <c r="DJ216" s="508" t="str">
        <f t="shared" ca="1" si="694"/>
        <v/>
      </c>
      <c r="DK216" s="353">
        <f t="shared" ca="1" si="695"/>
        <v>0</v>
      </c>
      <c r="DL216" s="781">
        <f t="shared" ca="1" si="696"/>
        <v>0</v>
      </c>
      <c r="DM216" s="303">
        <f t="shared" ca="1" si="697"/>
        <v>0</v>
      </c>
      <c r="DN216" s="508" t="str">
        <f t="shared" ca="1" si="698"/>
        <v/>
      </c>
      <c r="DO216" s="508" t="str">
        <f t="shared" ca="1" si="699"/>
        <v/>
      </c>
      <c r="DP216" s="508" t="str">
        <f t="shared" ca="1" si="700"/>
        <v/>
      </c>
      <c r="DQ216" s="508" t="str">
        <f t="shared" ca="1" si="701"/>
        <v/>
      </c>
      <c r="DR216" s="508" t="str">
        <f t="shared" ca="1" si="702"/>
        <v/>
      </c>
      <c r="DS216" s="353">
        <f t="shared" ca="1" si="703"/>
        <v>0</v>
      </c>
      <c r="DT216" s="353">
        <f t="shared" ca="1" si="704"/>
        <v>0</v>
      </c>
      <c r="DU216" s="380">
        <f t="shared" ca="1" si="804"/>
        <v>16.668035592060232</v>
      </c>
      <c r="DV216" s="303">
        <f t="shared" ca="1" si="705"/>
        <v>0</v>
      </c>
      <c r="DW216" s="303">
        <f t="shared" ca="1" si="706"/>
        <v>0</v>
      </c>
      <c r="DX216" s="303">
        <f t="shared" ca="1" si="707"/>
        <v>0</v>
      </c>
      <c r="DY216" s="303">
        <f t="shared" ca="1" si="708"/>
        <v>0</v>
      </c>
      <c r="DZ216" s="303">
        <f t="shared" ca="1" si="709"/>
        <v>0</v>
      </c>
      <c r="EA216" s="303">
        <f t="shared" ca="1" si="710"/>
        <v>0</v>
      </c>
      <c r="EB216" s="302">
        <f t="shared" ca="1" si="711"/>
        <v>0</v>
      </c>
      <c r="EC216" s="299">
        <f t="shared" ca="1" si="712"/>
        <v>0</v>
      </c>
      <c r="ED216" s="299">
        <f t="shared" ca="1" si="713"/>
        <v>0</v>
      </c>
      <c r="EE216" s="299">
        <f t="shared" ca="1" si="714"/>
        <v>0</v>
      </c>
      <c r="EF216" s="299">
        <f t="shared" ca="1" si="715"/>
        <v>0</v>
      </c>
      <c r="EG216" s="299">
        <f t="shared" ca="1" si="716"/>
        <v>0</v>
      </c>
      <c r="EH216" s="302">
        <f t="shared" ca="1" si="717"/>
        <v>0</v>
      </c>
      <c r="EI216" s="304" t="str">
        <f t="shared" ca="1" si="718"/>
        <v/>
      </c>
      <c r="EJ216" s="305" t="str">
        <f t="shared" ca="1" si="719"/>
        <v/>
      </c>
      <c r="EK216" s="305" t="str">
        <f t="shared" ca="1" si="720"/>
        <v/>
      </c>
      <c r="EL216" s="305" t="str">
        <f t="shared" ca="1" si="721"/>
        <v/>
      </c>
      <c r="EM216" s="305" t="str">
        <f t="shared" ca="1" si="722"/>
        <v/>
      </c>
      <c r="EN216" s="305" t="str">
        <f t="shared" ca="1" si="723"/>
        <v/>
      </c>
      <c r="EO216" s="305" t="str">
        <f t="shared" ca="1" si="724"/>
        <v/>
      </c>
      <c r="EP216" s="305" t="str">
        <f t="shared" ca="1" si="725"/>
        <v/>
      </c>
      <c r="EQ216" s="305" t="str">
        <f t="shared" ca="1" si="726"/>
        <v/>
      </c>
      <c r="ER216" s="305" t="str">
        <f t="shared" ca="1" si="727"/>
        <v/>
      </c>
      <c r="ES216" s="305" t="str">
        <f t="shared" ca="1" si="728"/>
        <v/>
      </c>
      <c r="ET216" s="299">
        <f t="shared" ca="1" si="729"/>
        <v>0</v>
      </c>
      <c r="EU216" s="302">
        <f t="shared" ca="1" si="730"/>
        <v>0</v>
      </c>
      <c r="EV216" s="304" t="str">
        <f t="shared" ca="1" si="731"/>
        <v/>
      </c>
      <c r="EW216" s="305" t="str">
        <f t="shared" ca="1" si="732"/>
        <v/>
      </c>
      <c r="EX216" s="305" t="str">
        <f t="shared" ca="1" si="733"/>
        <v/>
      </c>
      <c r="EY216" s="305" t="str">
        <f t="shared" ca="1" si="734"/>
        <v/>
      </c>
      <c r="EZ216" s="305" t="str">
        <f t="shared" ca="1" si="735"/>
        <v/>
      </c>
      <c r="FA216" s="305" t="str">
        <f t="shared" ca="1" si="736"/>
        <v/>
      </c>
      <c r="FB216" s="305" t="str">
        <f t="shared" ca="1" si="737"/>
        <v/>
      </c>
      <c r="FC216" s="305" t="str">
        <f t="shared" ca="1" si="738"/>
        <v/>
      </c>
      <c r="FD216" s="305" t="str">
        <f t="shared" ca="1" si="739"/>
        <v/>
      </c>
      <c r="FE216" s="305" t="str">
        <f t="shared" ca="1" si="740"/>
        <v/>
      </c>
      <c r="FF216" s="305" t="str">
        <f t="shared" ca="1" si="741"/>
        <v/>
      </c>
      <c r="FG216" s="299">
        <f t="shared" ca="1" si="742"/>
        <v>0</v>
      </c>
      <c r="FH216" s="302">
        <f t="shared" ca="1" si="743"/>
        <v>0</v>
      </c>
      <c r="FI216" s="248">
        <f t="shared" ca="1" si="744"/>
        <v>0</v>
      </c>
      <c r="FJ216" s="363">
        <f t="shared" ca="1" si="745"/>
        <v>0</v>
      </c>
      <c r="FK216" s="378" t="str">
        <f t="shared" ca="1" si="746"/>
        <v/>
      </c>
      <c r="FL216" s="508" t="str">
        <f t="shared" ca="1" si="747"/>
        <v/>
      </c>
      <c r="FM216" s="508" t="str">
        <f t="shared" ca="1" si="748"/>
        <v/>
      </c>
      <c r="FN216" s="508" t="str">
        <f t="shared" ca="1" si="749"/>
        <v/>
      </c>
      <c r="FO216" s="508" t="str">
        <f t="shared" ca="1" si="750"/>
        <v/>
      </c>
      <c r="FP216" s="353">
        <f t="shared" ca="1" si="751"/>
        <v>0</v>
      </c>
      <c r="FQ216" s="356">
        <f t="shared" ca="1" si="752"/>
        <v>0</v>
      </c>
      <c r="FR216" s="380">
        <f t="shared" ca="1" si="753"/>
        <v>0</v>
      </c>
      <c r="FS216" s="299">
        <f t="shared" ca="1" si="754"/>
        <v>0</v>
      </c>
      <c r="FT216" s="299">
        <f t="shared" ca="1" si="755"/>
        <v>0</v>
      </c>
      <c r="FU216" s="299">
        <f t="shared" ca="1" si="756"/>
        <v>0</v>
      </c>
      <c r="FV216" s="299">
        <f t="shared" ca="1" si="757"/>
        <v>0</v>
      </c>
      <c r="FW216" s="850" t="str">
        <f t="shared" ca="1" si="758"/>
        <v/>
      </c>
      <c r="FX216" s="851" t="str">
        <f t="shared" ca="1" si="759"/>
        <v/>
      </c>
      <c r="FY216" s="851" t="str">
        <f t="shared" ca="1" si="760"/>
        <v/>
      </c>
      <c r="FZ216" s="201" t="str">
        <f t="shared" ca="1" si="761"/>
        <v/>
      </c>
      <c r="GA216" s="201" t="str">
        <f t="shared" ca="1" si="762"/>
        <v/>
      </c>
      <c r="GB216" s="201" t="str">
        <f t="shared" ca="1" si="763"/>
        <v/>
      </c>
      <c r="GC216" s="201" t="str">
        <f t="shared" ca="1" si="764"/>
        <v/>
      </c>
      <c r="GD216" s="850" t="str">
        <f t="shared" ca="1" si="765"/>
        <v/>
      </c>
      <c r="GE216" s="866" t="str">
        <f t="shared" ca="1" si="766"/>
        <v/>
      </c>
      <c r="GF216" s="866" t="str">
        <f t="shared" ca="1" si="767"/>
        <v/>
      </c>
      <c r="GG216" s="866" t="str">
        <f t="shared" ca="1" si="768"/>
        <v/>
      </c>
      <c r="GH216" s="866" t="str">
        <f t="shared" ca="1" si="769"/>
        <v/>
      </c>
      <c r="GI216" s="302">
        <f t="shared" ca="1" si="770"/>
        <v>0</v>
      </c>
      <c r="GJ216" s="299">
        <f t="shared" ca="1" si="771"/>
        <v>0</v>
      </c>
      <c r="GK216" s="299">
        <f t="shared" ca="1" si="772"/>
        <v>0</v>
      </c>
      <c r="GL216" s="299">
        <f t="shared" ca="1" si="773"/>
        <v>0</v>
      </c>
      <c r="GM216" s="299">
        <f t="shared" ca="1" si="774"/>
        <v>0</v>
      </c>
      <c r="GN216" s="302">
        <f t="shared" ca="1" si="775"/>
        <v>0</v>
      </c>
      <c r="GO216" s="299">
        <f t="shared" ca="1" si="776"/>
        <v>0</v>
      </c>
      <c r="GP216" s="299">
        <f t="shared" ca="1" si="777"/>
        <v>0</v>
      </c>
      <c r="GQ216" s="299">
        <f t="shared" ca="1" si="778"/>
        <v>0</v>
      </c>
      <c r="GR216" s="299">
        <f t="shared" ca="1" si="779"/>
        <v>0</v>
      </c>
      <c r="GS216" s="302">
        <f t="shared" ca="1" si="780"/>
        <v>0</v>
      </c>
      <c r="GT216" s="299">
        <f t="shared" ca="1" si="781"/>
        <v>0</v>
      </c>
      <c r="GU216" s="299">
        <f t="shared" ca="1" si="782"/>
        <v>0</v>
      </c>
      <c r="GV216" s="299">
        <f t="shared" ca="1" si="783"/>
        <v>0</v>
      </c>
      <c r="GW216" s="299">
        <f t="shared" ca="1" si="784"/>
        <v>0</v>
      </c>
      <c r="GX216" s="303">
        <f t="shared" ca="1" si="785"/>
        <v>0</v>
      </c>
      <c r="GY216" s="303">
        <f t="shared" ca="1" si="786"/>
        <v>0</v>
      </c>
      <c r="GZ216" s="303">
        <f t="shared" ca="1" si="787"/>
        <v>0</v>
      </c>
      <c r="HA216" s="303">
        <f t="shared" ca="1" si="788"/>
        <v>0</v>
      </c>
      <c r="HB216" s="303">
        <f t="shared" ca="1" si="789"/>
        <v>0</v>
      </c>
      <c r="HC216" s="303">
        <f t="shared" ca="1" si="790"/>
        <v>0</v>
      </c>
      <c r="HD216" s="303">
        <f t="shared" ca="1" si="791"/>
        <v>0</v>
      </c>
      <c r="HE216" s="303">
        <f t="shared" ca="1" si="792"/>
        <v>0</v>
      </c>
      <c r="HF216" s="303">
        <f t="shared" ca="1" si="793"/>
        <v>0</v>
      </c>
      <c r="HG216" s="852">
        <f t="shared" ca="1" si="794"/>
        <v>0</v>
      </c>
    </row>
    <row r="217" spans="1:215" x14ac:dyDescent="0.25">
      <c r="A217" s="244">
        <f t="shared" ca="1" si="795"/>
        <v>42705</v>
      </c>
      <c r="B217" s="13">
        <f t="shared" ca="1" si="623"/>
        <v>2016</v>
      </c>
      <c r="C217" s="619">
        <f t="shared" ca="1" si="624"/>
        <v>12</v>
      </c>
      <c r="D217" s="195">
        <f t="shared" ca="1" si="625"/>
        <v>42730</v>
      </c>
      <c r="E217" s="469" t="str">
        <f t="shared" ca="1" si="626"/>
        <v/>
      </c>
      <c r="F217" s="465" t="str">
        <f t="shared" ca="1" si="627"/>
        <v/>
      </c>
      <c r="G217" s="522">
        <f t="shared" ca="1" si="796"/>
        <v>1</v>
      </c>
      <c r="H217" s="519">
        <f t="shared" ca="1" si="797"/>
        <v>1</v>
      </c>
      <c r="I217" s="724">
        <f t="shared" ca="1" si="628"/>
        <v>7.4181229590346009E-2</v>
      </c>
      <c r="J217" s="198">
        <f t="shared" ca="1" si="629"/>
        <v>0.29228371706966394</v>
      </c>
      <c r="K217" s="200">
        <f t="shared" ca="1" si="805"/>
        <v>31.2</v>
      </c>
      <c r="L217" s="201">
        <f t="shared" ca="1" si="806"/>
        <v>33.25</v>
      </c>
      <c r="M217" s="206">
        <f t="shared" ca="1" si="807"/>
        <v>35.299999999999997</v>
      </c>
      <c r="N217" s="851">
        <f t="shared" ca="1" si="811"/>
        <v>26.517498397827136</v>
      </c>
      <c r="O217" s="201">
        <f t="shared" ca="1" si="812"/>
        <v>28.054998397827138</v>
      </c>
      <c r="P217" s="206">
        <f t="shared" ca="1" si="813"/>
        <v>29.592498397827139</v>
      </c>
      <c r="Q217" s="201">
        <f t="shared" ca="1" si="814"/>
        <v>20.249999237060536</v>
      </c>
      <c r="R217" s="201">
        <f t="shared" ca="1" si="815"/>
        <v>24.549999237060536</v>
      </c>
      <c r="S217" s="201">
        <f t="shared" ca="1" si="816"/>
        <v>28.849999237060537</v>
      </c>
      <c r="T217" s="851">
        <f t="shared" ca="1" si="808"/>
        <v>21.574999237060538</v>
      </c>
      <c r="U217" s="201">
        <f t="shared" ca="1" si="809"/>
        <v>22.59999923706054</v>
      </c>
      <c r="V217" s="206">
        <f t="shared" ca="1" si="810"/>
        <v>23.624999237060543</v>
      </c>
      <c r="W217" s="230">
        <f t="shared" ca="1" si="798"/>
        <v>5.7665859417984473E-2</v>
      </c>
      <c r="X217" s="231">
        <f t="shared" ca="1" si="799"/>
        <v>0.11533171883596895</v>
      </c>
      <c r="Y217" s="232">
        <f t="shared" ca="1" si="800"/>
        <v>0.17299757825395343</v>
      </c>
      <c r="Z217" s="231">
        <f t="shared" ca="1" si="612"/>
        <v>5.7665859417984473E-2</v>
      </c>
      <c r="AA217" s="231">
        <f t="shared" ca="1" si="613"/>
        <v>0.11533171883596895</v>
      </c>
      <c r="AB217" s="232">
        <f t="shared" ca="1" si="614"/>
        <v>0.17299757825395343</v>
      </c>
      <c r="AC217" s="231">
        <f t="shared" ca="1" si="615"/>
        <v>5.7665859417984473E-2</v>
      </c>
      <c r="AD217" s="231">
        <f t="shared" ca="1" si="616"/>
        <v>0.11533171883596895</v>
      </c>
      <c r="AE217" s="232">
        <f t="shared" ca="1" si="630"/>
        <v>0.17299757825395343</v>
      </c>
      <c r="AF217" s="231">
        <f t="shared" ca="1" si="801"/>
        <v>2.1713931617774868E-2</v>
      </c>
      <c r="AG217" s="231">
        <f t="shared" ca="1" si="802"/>
        <v>4.3427863235549737E-2</v>
      </c>
      <c r="AH217" s="232">
        <f t="shared" ca="1" si="803"/>
        <v>6.5141794853324608E-2</v>
      </c>
      <c r="AI217" s="233">
        <f t="shared" ca="1" si="631"/>
        <v>1</v>
      </c>
      <c r="AJ217" s="233">
        <f t="shared" ca="1" si="632"/>
        <v>1.25</v>
      </c>
      <c r="AK217" s="234">
        <f t="shared" ca="1" si="633"/>
        <v>1.6</v>
      </c>
      <c r="AL217" s="919">
        <f t="shared" ca="1" si="634"/>
        <v>1</v>
      </c>
      <c r="AM217" s="233">
        <f t="shared" ca="1" si="635"/>
        <v>1.25</v>
      </c>
      <c r="AN217" s="234">
        <f t="shared" ca="1" si="636"/>
        <v>1.6</v>
      </c>
      <c r="AO217" s="233">
        <f t="shared" ca="1" si="637"/>
        <v>1</v>
      </c>
      <c r="AP217" s="233">
        <f t="shared" ca="1" si="638"/>
        <v>1.25</v>
      </c>
      <c r="AQ217" s="233">
        <f t="shared" ca="1" si="639"/>
        <v>1.6</v>
      </c>
      <c r="AR217" s="919">
        <f t="shared" ca="1" si="640"/>
        <v>0.15</v>
      </c>
      <c r="AS217" s="233">
        <f t="shared" ca="1" si="641"/>
        <v>0.3</v>
      </c>
      <c r="AT217" s="235">
        <f t="shared" ca="1" si="642"/>
        <v>0.5</v>
      </c>
      <c r="AU217" s="946">
        <f t="shared" si="643"/>
        <v>0.5</v>
      </c>
      <c r="AV217" s="13">
        <f t="shared" ca="1" si="644"/>
        <v>0</v>
      </c>
      <c r="AW217" s="210">
        <f t="shared" ca="1" si="645"/>
        <v>0</v>
      </c>
      <c r="AX217" s="210">
        <f t="shared" ca="1" si="646"/>
        <v>0</v>
      </c>
      <c r="AY217" s="210">
        <f t="shared" ca="1" si="647"/>
        <v>0</v>
      </c>
      <c r="AZ217" s="13">
        <f t="shared" ca="1" si="648"/>
        <v>0</v>
      </c>
      <c r="BA217" s="357">
        <f ca="1"/>
        <v>0</v>
      </c>
      <c r="BB217" s="925">
        <f ca="1"/>
        <v>0</v>
      </c>
      <c r="BC217" s="925">
        <f ca="1"/>
        <v>0</v>
      </c>
      <c r="BD217" s="928">
        <f ca="1"/>
        <v>0</v>
      </c>
      <c r="BE217" s="200">
        <f ca="1"/>
        <v>0</v>
      </c>
      <c r="BF217" s="851">
        <f ca="1"/>
        <v>0</v>
      </c>
      <c r="BG217" s="851">
        <f ca="1"/>
        <v>0</v>
      </c>
      <c r="BH217" s="933">
        <f ca="1"/>
        <v>0</v>
      </c>
      <c r="BI217" s="357">
        <f ca="1"/>
        <v>0</v>
      </c>
      <c r="BJ217" s="925">
        <f ca="1"/>
        <v>0</v>
      </c>
      <c r="BK217" s="925">
        <f ca="1"/>
        <v>0</v>
      </c>
      <c r="BL217" s="928">
        <f ca="1"/>
        <v>0</v>
      </c>
      <c r="BM217" s="200">
        <f ca="1"/>
        <v>0</v>
      </c>
      <c r="BN217" s="851">
        <f ca="1"/>
        <v>0</v>
      </c>
      <c r="BO217" s="851">
        <f ca="1"/>
        <v>0</v>
      </c>
      <c r="BP217" s="933">
        <f ca="1"/>
        <v>0</v>
      </c>
      <c r="BQ217" s="357">
        <f t="shared" ca="1" si="649"/>
        <v>0</v>
      </c>
      <c r="BR217" s="361">
        <f t="shared" ca="1" si="650"/>
        <v>0</v>
      </c>
      <c r="BS217" s="357">
        <f t="shared" ca="1" si="651"/>
        <v>0</v>
      </c>
      <c r="BT217" s="302">
        <f t="shared" ca="1" si="652"/>
        <v>0</v>
      </c>
      <c r="BU217" s="299">
        <f t="shared" ca="1" si="653"/>
        <v>0</v>
      </c>
      <c r="BV217" s="299">
        <f t="shared" ca="1" si="654"/>
        <v>0</v>
      </c>
      <c r="BW217" s="299">
        <f t="shared" ca="1" si="655"/>
        <v>0</v>
      </c>
      <c r="BX217" s="380">
        <f t="shared" ca="1" si="656"/>
        <v>16.750171115674195</v>
      </c>
      <c r="BY217" s="363">
        <f t="shared" ca="1" si="657"/>
        <v>0</v>
      </c>
      <c r="BZ217" s="353">
        <f t="shared" ca="1" si="658"/>
        <v>0</v>
      </c>
      <c r="CA217" s="353">
        <f t="shared" ca="1" si="659"/>
        <v>0</v>
      </c>
      <c r="CB217" s="353">
        <f t="shared" ca="1" si="660"/>
        <v>0</v>
      </c>
      <c r="CC217" s="353">
        <f t="shared" ca="1" si="661"/>
        <v>0</v>
      </c>
      <c r="CD217" s="353">
        <f t="shared" ca="1" si="662"/>
        <v>0</v>
      </c>
      <c r="CE217" s="302">
        <f t="shared" ca="1" si="663"/>
        <v>0</v>
      </c>
      <c r="CF217" s="299">
        <f t="shared" ca="1" si="664"/>
        <v>0</v>
      </c>
      <c r="CG217" s="299">
        <f t="shared" ca="1" si="665"/>
        <v>0</v>
      </c>
      <c r="CH217" s="299">
        <f t="shared" ca="1" si="666"/>
        <v>0</v>
      </c>
      <c r="CI217" s="299">
        <f t="shared" ca="1" si="667"/>
        <v>0</v>
      </c>
      <c r="CJ217" s="299">
        <f t="shared" ca="1" si="668"/>
        <v>0</v>
      </c>
      <c r="CK217" s="299">
        <f t="shared" ca="1" si="669"/>
        <v>0</v>
      </c>
      <c r="CL217" s="377" t="str">
        <f t="shared" ca="1" si="670"/>
        <v/>
      </c>
      <c r="CM217" s="305" t="str">
        <f t="shared" ca="1" si="671"/>
        <v/>
      </c>
      <c r="CN217" s="305" t="str">
        <f t="shared" ca="1" si="672"/>
        <v/>
      </c>
      <c r="CO217" s="305" t="str">
        <f t="shared" ca="1" si="673"/>
        <v/>
      </c>
      <c r="CP217" s="305" t="str">
        <f t="shared" ca="1" si="674"/>
        <v/>
      </c>
      <c r="CQ217" s="305" t="str">
        <f t="shared" ca="1" si="675"/>
        <v/>
      </c>
      <c r="CR217" s="775" t="str">
        <f t="shared" ca="1" si="676"/>
        <v/>
      </c>
      <c r="CS217" s="305" t="str">
        <f t="shared" ca="1" si="677"/>
        <v/>
      </c>
      <c r="CT217" s="305" t="str">
        <f t="shared" ca="1" si="678"/>
        <v/>
      </c>
      <c r="CU217" s="305" t="str">
        <f t="shared" ca="1" si="679"/>
        <v/>
      </c>
      <c r="CV217" s="770" t="str">
        <f t="shared" ca="1" si="680"/>
        <v/>
      </c>
      <c r="CW217" s="302">
        <f t="shared" ca="1" si="681"/>
        <v>0</v>
      </c>
      <c r="CX217" s="299">
        <f t="shared" ca="1" si="682"/>
        <v>0</v>
      </c>
      <c r="CY217" s="299">
        <f t="shared" ca="1" si="683"/>
        <v>0</v>
      </c>
      <c r="CZ217" s="299">
        <f t="shared" ca="1" si="684"/>
        <v>0</v>
      </c>
      <c r="DA217" s="774">
        <f t="shared" ca="1" si="685"/>
        <v>0</v>
      </c>
      <c r="DB217" s="303">
        <f t="shared" ca="1" si="686"/>
        <v>0</v>
      </c>
      <c r="DC217" s="248">
        <f t="shared" ca="1" si="687"/>
        <v>0</v>
      </c>
      <c r="DD217" s="778">
        <f t="shared" ca="1" si="688"/>
        <v>0</v>
      </c>
      <c r="DE217" s="363">
        <f t="shared" ca="1" si="689"/>
        <v>0</v>
      </c>
      <c r="DF217" s="378" t="str">
        <f t="shared" ca="1" si="690"/>
        <v/>
      </c>
      <c r="DG217" s="508" t="str">
        <f t="shared" ca="1" si="691"/>
        <v/>
      </c>
      <c r="DH217" s="508" t="str">
        <f t="shared" ca="1" si="692"/>
        <v/>
      </c>
      <c r="DI217" s="508" t="str">
        <f t="shared" ca="1" si="693"/>
        <v/>
      </c>
      <c r="DJ217" s="508" t="str">
        <f t="shared" ca="1" si="694"/>
        <v/>
      </c>
      <c r="DK217" s="353">
        <f t="shared" ca="1" si="695"/>
        <v>0</v>
      </c>
      <c r="DL217" s="781">
        <f t="shared" ca="1" si="696"/>
        <v>0</v>
      </c>
      <c r="DM217" s="303">
        <f t="shared" ca="1" si="697"/>
        <v>0</v>
      </c>
      <c r="DN217" s="508" t="str">
        <f t="shared" ca="1" si="698"/>
        <v/>
      </c>
      <c r="DO217" s="508" t="str">
        <f t="shared" ca="1" si="699"/>
        <v/>
      </c>
      <c r="DP217" s="508" t="str">
        <f t="shared" ca="1" si="700"/>
        <v/>
      </c>
      <c r="DQ217" s="508" t="str">
        <f t="shared" ca="1" si="701"/>
        <v/>
      </c>
      <c r="DR217" s="508" t="str">
        <f t="shared" ca="1" si="702"/>
        <v/>
      </c>
      <c r="DS217" s="353">
        <f t="shared" ca="1" si="703"/>
        <v>0</v>
      </c>
      <c r="DT217" s="353">
        <f t="shared" ca="1" si="704"/>
        <v>0</v>
      </c>
      <c r="DU217" s="380">
        <f t="shared" ca="1" si="804"/>
        <v>16.750171115674195</v>
      </c>
      <c r="DV217" s="303">
        <f t="shared" ca="1" si="705"/>
        <v>0</v>
      </c>
      <c r="DW217" s="303">
        <f t="shared" ca="1" si="706"/>
        <v>0</v>
      </c>
      <c r="DX217" s="303">
        <f t="shared" ca="1" si="707"/>
        <v>0</v>
      </c>
      <c r="DY217" s="303">
        <f t="shared" ca="1" si="708"/>
        <v>0</v>
      </c>
      <c r="DZ217" s="303">
        <f t="shared" ca="1" si="709"/>
        <v>0</v>
      </c>
      <c r="EA217" s="303">
        <f t="shared" ca="1" si="710"/>
        <v>0</v>
      </c>
      <c r="EB217" s="302">
        <f t="shared" ca="1" si="711"/>
        <v>0</v>
      </c>
      <c r="EC217" s="299">
        <f t="shared" ca="1" si="712"/>
        <v>0</v>
      </c>
      <c r="ED217" s="299">
        <f t="shared" ca="1" si="713"/>
        <v>0</v>
      </c>
      <c r="EE217" s="299">
        <f t="shared" ca="1" si="714"/>
        <v>0</v>
      </c>
      <c r="EF217" s="299">
        <f t="shared" ca="1" si="715"/>
        <v>0</v>
      </c>
      <c r="EG217" s="299">
        <f t="shared" ca="1" si="716"/>
        <v>0</v>
      </c>
      <c r="EH217" s="302">
        <f t="shared" ca="1" si="717"/>
        <v>0</v>
      </c>
      <c r="EI217" s="304" t="str">
        <f t="shared" ca="1" si="718"/>
        <v/>
      </c>
      <c r="EJ217" s="305" t="str">
        <f t="shared" ca="1" si="719"/>
        <v/>
      </c>
      <c r="EK217" s="305" t="str">
        <f t="shared" ca="1" si="720"/>
        <v/>
      </c>
      <c r="EL217" s="305" t="str">
        <f t="shared" ca="1" si="721"/>
        <v/>
      </c>
      <c r="EM217" s="305" t="str">
        <f t="shared" ca="1" si="722"/>
        <v/>
      </c>
      <c r="EN217" s="305" t="str">
        <f t="shared" ca="1" si="723"/>
        <v/>
      </c>
      <c r="EO217" s="305" t="str">
        <f t="shared" ca="1" si="724"/>
        <v/>
      </c>
      <c r="EP217" s="305" t="str">
        <f t="shared" ca="1" si="725"/>
        <v/>
      </c>
      <c r="EQ217" s="305" t="str">
        <f t="shared" ca="1" si="726"/>
        <v/>
      </c>
      <c r="ER217" s="305" t="str">
        <f t="shared" ca="1" si="727"/>
        <v/>
      </c>
      <c r="ES217" s="305" t="str">
        <f t="shared" ca="1" si="728"/>
        <v/>
      </c>
      <c r="ET217" s="299">
        <f t="shared" ca="1" si="729"/>
        <v>0</v>
      </c>
      <c r="EU217" s="302">
        <f t="shared" ca="1" si="730"/>
        <v>0</v>
      </c>
      <c r="EV217" s="304" t="str">
        <f t="shared" ca="1" si="731"/>
        <v/>
      </c>
      <c r="EW217" s="305" t="str">
        <f t="shared" ca="1" si="732"/>
        <v/>
      </c>
      <c r="EX217" s="305" t="str">
        <f t="shared" ca="1" si="733"/>
        <v/>
      </c>
      <c r="EY217" s="305" t="str">
        <f t="shared" ca="1" si="734"/>
        <v/>
      </c>
      <c r="EZ217" s="305" t="str">
        <f t="shared" ca="1" si="735"/>
        <v/>
      </c>
      <c r="FA217" s="305" t="str">
        <f t="shared" ca="1" si="736"/>
        <v/>
      </c>
      <c r="FB217" s="305" t="str">
        <f t="shared" ca="1" si="737"/>
        <v/>
      </c>
      <c r="FC217" s="305" t="str">
        <f t="shared" ca="1" si="738"/>
        <v/>
      </c>
      <c r="FD217" s="305" t="str">
        <f t="shared" ca="1" si="739"/>
        <v/>
      </c>
      <c r="FE217" s="305" t="str">
        <f t="shared" ca="1" si="740"/>
        <v/>
      </c>
      <c r="FF217" s="305" t="str">
        <f t="shared" ca="1" si="741"/>
        <v/>
      </c>
      <c r="FG217" s="299">
        <f t="shared" ca="1" si="742"/>
        <v>0</v>
      </c>
      <c r="FH217" s="302">
        <f t="shared" ca="1" si="743"/>
        <v>0</v>
      </c>
      <c r="FI217" s="248">
        <f t="shared" ca="1" si="744"/>
        <v>0</v>
      </c>
      <c r="FJ217" s="363">
        <f t="shared" ca="1" si="745"/>
        <v>0</v>
      </c>
      <c r="FK217" s="378" t="str">
        <f t="shared" ca="1" si="746"/>
        <v/>
      </c>
      <c r="FL217" s="508" t="str">
        <f t="shared" ca="1" si="747"/>
        <v/>
      </c>
      <c r="FM217" s="508" t="str">
        <f t="shared" ca="1" si="748"/>
        <v/>
      </c>
      <c r="FN217" s="508" t="str">
        <f t="shared" ca="1" si="749"/>
        <v/>
      </c>
      <c r="FO217" s="508" t="str">
        <f t="shared" ca="1" si="750"/>
        <v/>
      </c>
      <c r="FP217" s="353">
        <f t="shared" ca="1" si="751"/>
        <v>0</v>
      </c>
      <c r="FQ217" s="356">
        <f t="shared" ca="1" si="752"/>
        <v>0</v>
      </c>
      <c r="FR217" s="380">
        <f t="shared" ca="1" si="753"/>
        <v>0</v>
      </c>
      <c r="FS217" s="299">
        <f t="shared" ca="1" si="754"/>
        <v>0</v>
      </c>
      <c r="FT217" s="299">
        <f t="shared" ca="1" si="755"/>
        <v>0</v>
      </c>
      <c r="FU217" s="299">
        <f t="shared" ca="1" si="756"/>
        <v>0</v>
      </c>
      <c r="FV217" s="299">
        <f t="shared" ca="1" si="757"/>
        <v>0</v>
      </c>
      <c r="FW217" s="850" t="str">
        <f t="shared" ca="1" si="758"/>
        <v/>
      </c>
      <c r="FX217" s="851" t="str">
        <f t="shared" ca="1" si="759"/>
        <v/>
      </c>
      <c r="FY217" s="851" t="str">
        <f t="shared" ca="1" si="760"/>
        <v/>
      </c>
      <c r="FZ217" s="201" t="str">
        <f t="shared" ca="1" si="761"/>
        <v/>
      </c>
      <c r="GA217" s="201" t="str">
        <f t="shared" ca="1" si="762"/>
        <v/>
      </c>
      <c r="GB217" s="201" t="str">
        <f t="shared" ca="1" si="763"/>
        <v/>
      </c>
      <c r="GC217" s="201" t="str">
        <f t="shared" ca="1" si="764"/>
        <v/>
      </c>
      <c r="GD217" s="850" t="str">
        <f t="shared" ca="1" si="765"/>
        <v/>
      </c>
      <c r="GE217" s="866" t="str">
        <f t="shared" ca="1" si="766"/>
        <v/>
      </c>
      <c r="GF217" s="866" t="str">
        <f t="shared" ca="1" si="767"/>
        <v/>
      </c>
      <c r="GG217" s="866" t="str">
        <f t="shared" ca="1" si="768"/>
        <v/>
      </c>
      <c r="GH217" s="866" t="str">
        <f t="shared" ca="1" si="769"/>
        <v/>
      </c>
      <c r="GI217" s="302">
        <f t="shared" ca="1" si="770"/>
        <v>0</v>
      </c>
      <c r="GJ217" s="299">
        <f t="shared" ca="1" si="771"/>
        <v>0</v>
      </c>
      <c r="GK217" s="299">
        <f t="shared" ca="1" si="772"/>
        <v>0</v>
      </c>
      <c r="GL217" s="299">
        <f t="shared" ca="1" si="773"/>
        <v>0</v>
      </c>
      <c r="GM217" s="299">
        <f t="shared" ca="1" si="774"/>
        <v>0</v>
      </c>
      <c r="GN217" s="302">
        <f t="shared" ca="1" si="775"/>
        <v>0</v>
      </c>
      <c r="GO217" s="299">
        <f t="shared" ca="1" si="776"/>
        <v>0</v>
      </c>
      <c r="GP217" s="299">
        <f t="shared" ca="1" si="777"/>
        <v>0</v>
      </c>
      <c r="GQ217" s="299">
        <f t="shared" ca="1" si="778"/>
        <v>0</v>
      </c>
      <c r="GR217" s="299">
        <f t="shared" ca="1" si="779"/>
        <v>0</v>
      </c>
      <c r="GS217" s="302">
        <f t="shared" ca="1" si="780"/>
        <v>0</v>
      </c>
      <c r="GT217" s="299">
        <f t="shared" ca="1" si="781"/>
        <v>0</v>
      </c>
      <c r="GU217" s="299">
        <f t="shared" ca="1" si="782"/>
        <v>0</v>
      </c>
      <c r="GV217" s="299">
        <f t="shared" ca="1" si="783"/>
        <v>0</v>
      </c>
      <c r="GW217" s="299">
        <f t="shared" ca="1" si="784"/>
        <v>0</v>
      </c>
      <c r="GX217" s="303">
        <f t="shared" ca="1" si="785"/>
        <v>0</v>
      </c>
      <c r="GY217" s="303">
        <f t="shared" ca="1" si="786"/>
        <v>0</v>
      </c>
      <c r="GZ217" s="303">
        <f t="shared" ca="1" si="787"/>
        <v>0</v>
      </c>
      <c r="HA217" s="303">
        <f t="shared" ca="1" si="788"/>
        <v>0</v>
      </c>
      <c r="HB217" s="303">
        <f t="shared" ca="1" si="789"/>
        <v>0</v>
      </c>
      <c r="HC217" s="303">
        <f t="shared" ca="1" si="790"/>
        <v>0</v>
      </c>
      <c r="HD217" s="303">
        <f t="shared" ca="1" si="791"/>
        <v>0</v>
      </c>
      <c r="HE217" s="303">
        <f t="shared" ca="1" si="792"/>
        <v>0</v>
      </c>
      <c r="HF217" s="303">
        <f t="shared" ca="1" si="793"/>
        <v>0</v>
      </c>
      <c r="HG217" s="852">
        <f t="shared" ca="1" si="794"/>
        <v>0</v>
      </c>
    </row>
    <row r="218" spans="1:215" x14ac:dyDescent="0.25">
      <c r="A218" s="244">
        <f t="shared" ca="1" si="795"/>
        <v>42736</v>
      </c>
      <c r="B218" s="13">
        <f t="shared" ca="1" si="623"/>
        <v>2017</v>
      </c>
      <c r="C218" s="619">
        <f t="shared" ca="1" si="624"/>
        <v>1</v>
      </c>
      <c r="D218" s="195">
        <f t="shared" ca="1" si="625"/>
        <v>42737</v>
      </c>
      <c r="E218" s="469" t="str">
        <f t="shared" ca="1" si="626"/>
        <v/>
      </c>
      <c r="F218" s="465" t="str">
        <f t="shared" ca="1" si="627"/>
        <v/>
      </c>
      <c r="G218" s="522">
        <f t="shared" ca="1" si="796"/>
        <v>1</v>
      </c>
      <c r="H218" s="519">
        <f t="shared" ca="1" si="797"/>
        <v>1</v>
      </c>
      <c r="I218" s="724">
        <f t="shared" ca="1" si="628"/>
        <v>7.4180934872467005E-2</v>
      </c>
      <c r="J218" s="198">
        <f t="shared" ca="1" si="629"/>
        <v>0.29048377664259134</v>
      </c>
      <c r="K218" s="200">
        <f t="shared" ca="1" si="805"/>
        <v>37.35</v>
      </c>
      <c r="L218" s="201">
        <f t="shared" ca="1" si="806"/>
        <v>39.549999999999997</v>
      </c>
      <c r="M218" s="206">
        <f t="shared" ca="1" si="807"/>
        <v>41.75</v>
      </c>
      <c r="N218" s="851">
        <f t="shared" ca="1" si="811"/>
        <v>29.798748779296865</v>
      </c>
      <c r="O218" s="201">
        <f t="shared" ca="1" si="812"/>
        <v>31.448748779296864</v>
      </c>
      <c r="P218" s="206">
        <f t="shared" ca="1" si="813"/>
        <v>33.098748779296862</v>
      </c>
      <c r="Q218" s="201">
        <f t="shared" ca="1" si="814"/>
        <v>25.652500534057605</v>
      </c>
      <c r="R218" s="201">
        <f t="shared" ca="1" si="815"/>
        <v>29.952500534057606</v>
      </c>
      <c r="S218" s="201">
        <f t="shared" ca="1" si="816"/>
        <v>34.252500534057603</v>
      </c>
      <c r="T218" s="851">
        <f t="shared" ca="1" si="808"/>
        <v>21.490000152587882</v>
      </c>
      <c r="U218" s="201">
        <f t="shared" ca="1" si="809"/>
        <v>22.590000152587884</v>
      </c>
      <c r="V218" s="206">
        <f t="shared" ca="1" si="810"/>
        <v>23.690000152587885</v>
      </c>
      <c r="W218" s="230">
        <f t="shared" ca="1" si="798"/>
        <v>6.2277923614224809E-2</v>
      </c>
      <c r="X218" s="231">
        <f t="shared" ca="1" si="799"/>
        <v>0.12455584722844962</v>
      </c>
      <c r="Y218" s="232">
        <f t="shared" ca="1" si="800"/>
        <v>0.18683377084267444</v>
      </c>
      <c r="Z218" s="231">
        <f t="shared" ca="1" si="612"/>
        <v>6.2277923614224809E-2</v>
      </c>
      <c r="AA218" s="231">
        <f t="shared" ca="1" si="613"/>
        <v>0.12455584722844962</v>
      </c>
      <c r="AB218" s="232">
        <f t="shared" ca="1" si="614"/>
        <v>0.18683377084267444</v>
      </c>
      <c r="AC218" s="231">
        <f t="shared" ca="1" si="615"/>
        <v>6.2277923614224809E-2</v>
      </c>
      <c r="AD218" s="231">
        <f t="shared" ca="1" si="616"/>
        <v>0.12455584722844962</v>
      </c>
      <c r="AE218" s="232">
        <f t="shared" ca="1" si="630"/>
        <v>0.18683377084267444</v>
      </c>
      <c r="AF218" s="231">
        <f t="shared" ca="1" si="801"/>
        <v>2.4826261816322606E-2</v>
      </c>
      <c r="AG218" s="231">
        <f t="shared" ca="1" si="802"/>
        <v>4.9652523632645211E-2</v>
      </c>
      <c r="AH218" s="232">
        <f t="shared" ca="1" si="803"/>
        <v>7.4478785448967813E-2</v>
      </c>
      <c r="AI218" s="233">
        <f t="shared" ca="1" si="631"/>
        <v>1.25</v>
      </c>
      <c r="AJ218" s="233">
        <f t="shared" ca="1" si="632"/>
        <v>2</v>
      </c>
      <c r="AK218" s="234">
        <f t="shared" ca="1" si="633"/>
        <v>2.75</v>
      </c>
      <c r="AL218" s="919">
        <f t="shared" ca="1" si="634"/>
        <v>1.25</v>
      </c>
      <c r="AM218" s="233">
        <f t="shared" ca="1" si="635"/>
        <v>2</v>
      </c>
      <c r="AN218" s="234">
        <f t="shared" ca="1" si="636"/>
        <v>2.75</v>
      </c>
      <c r="AO218" s="233">
        <f t="shared" ca="1" si="637"/>
        <v>1.25</v>
      </c>
      <c r="AP218" s="233">
        <f t="shared" ca="1" si="638"/>
        <v>2</v>
      </c>
      <c r="AQ218" s="233">
        <f t="shared" ca="1" si="639"/>
        <v>2.75</v>
      </c>
      <c r="AR218" s="919">
        <f t="shared" ca="1" si="640"/>
        <v>0.35</v>
      </c>
      <c r="AS218" s="233">
        <f t="shared" ca="1" si="641"/>
        <v>0.5</v>
      </c>
      <c r="AT218" s="235">
        <f t="shared" ca="1" si="642"/>
        <v>0.7</v>
      </c>
      <c r="AU218" s="946">
        <f t="shared" si="643"/>
        <v>0.5</v>
      </c>
      <c r="AV218" s="13">
        <f t="shared" ca="1" si="644"/>
        <v>0</v>
      </c>
      <c r="AW218" s="210">
        <f t="shared" ca="1" si="645"/>
        <v>0</v>
      </c>
      <c r="AX218" s="210">
        <f t="shared" ca="1" si="646"/>
        <v>0</v>
      </c>
      <c r="AY218" s="210">
        <f t="shared" ca="1" si="647"/>
        <v>0</v>
      </c>
      <c r="AZ218" s="13">
        <f t="shared" ca="1" si="648"/>
        <v>0</v>
      </c>
      <c r="BA218" s="357">
        <f ca="1"/>
        <v>0</v>
      </c>
      <c r="BB218" s="925">
        <f ca="1"/>
        <v>0</v>
      </c>
      <c r="BC218" s="925">
        <f ca="1"/>
        <v>0</v>
      </c>
      <c r="BD218" s="928">
        <f ca="1"/>
        <v>0</v>
      </c>
      <c r="BE218" s="200">
        <f ca="1"/>
        <v>0</v>
      </c>
      <c r="BF218" s="851">
        <f ca="1"/>
        <v>0</v>
      </c>
      <c r="BG218" s="851">
        <f ca="1"/>
        <v>0</v>
      </c>
      <c r="BH218" s="933">
        <f ca="1"/>
        <v>0</v>
      </c>
      <c r="BI218" s="357">
        <f ca="1"/>
        <v>0</v>
      </c>
      <c r="BJ218" s="925">
        <f ca="1"/>
        <v>0</v>
      </c>
      <c r="BK218" s="925">
        <f ca="1"/>
        <v>0</v>
      </c>
      <c r="BL218" s="928">
        <f ca="1"/>
        <v>0</v>
      </c>
      <c r="BM218" s="200">
        <f ca="1"/>
        <v>0</v>
      </c>
      <c r="BN218" s="851">
        <f ca="1"/>
        <v>0</v>
      </c>
      <c r="BO218" s="851">
        <f ca="1"/>
        <v>0</v>
      </c>
      <c r="BP218" s="933">
        <f ca="1"/>
        <v>0</v>
      </c>
      <c r="BQ218" s="357">
        <f t="shared" ca="1" si="649"/>
        <v>0</v>
      </c>
      <c r="BR218" s="361">
        <f t="shared" ca="1" si="650"/>
        <v>0</v>
      </c>
      <c r="BS218" s="357">
        <f t="shared" ca="1" si="651"/>
        <v>0</v>
      </c>
      <c r="BT218" s="302">
        <f t="shared" ca="1" si="652"/>
        <v>0</v>
      </c>
      <c r="BU218" s="299">
        <f t="shared" ca="1" si="653"/>
        <v>0</v>
      </c>
      <c r="BV218" s="299">
        <f t="shared" ca="1" si="654"/>
        <v>0</v>
      </c>
      <c r="BW218" s="299">
        <f t="shared" ca="1" si="655"/>
        <v>0</v>
      </c>
      <c r="BX218" s="380">
        <f t="shared" ca="1" si="656"/>
        <v>16.83504449007529</v>
      </c>
      <c r="BY218" s="363">
        <f t="shared" ca="1" si="657"/>
        <v>0</v>
      </c>
      <c r="BZ218" s="353">
        <f t="shared" ca="1" si="658"/>
        <v>0</v>
      </c>
      <c r="CA218" s="353">
        <f t="shared" ca="1" si="659"/>
        <v>0</v>
      </c>
      <c r="CB218" s="353">
        <f t="shared" ca="1" si="660"/>
        <v>0</v>
      </c>
      <c r="CC218" s="353">
        <f t="shared" ca="1" si="661"/>
        <v>0</v>
      </c>
      <c r="CD218" s="353">
        <f t="shared" ca="1" si="662"/>
        <v>0</v>
      </c>
      <c r="CE218" s="302">
        <f t="shared" ca="1" si="663"/>
        <v>0</v>
      </c>
      <c r="CF218" s="299">
        <f t="shared" ca="1" si="664"/>
        <v>0</v>
      </c>
      <c r="CG218" s="299">
        <f t="shared" ca="1" si="665"/>
        <v>0</v>
      </c>
      <c r="CH218" s="299">
        <f t="shared" ca="1" si="666"/>
        <v>0</v>
      </c>
      <c r="CI218" s="299">
        <f t="shared" ca="1" si="667"/>
        <v>0</v>
      </c>
      <c r="CJ218" s="299">
        <f t="shared" ca="1" si="668"/>
        <v>0</v>
      </c>
      <c r="CK218" s="299">
        <f t="shared" ca="1" si="669"/>
        <v>0</v>
      </c>
      <c r="CL218" s="377" t="str">
        <f t="shared" ca="1" si="670"/>
        <v/>
      </c>
      <c r="CM218" s="305" t="str">
        <f t="shared" ca="1" si="671"/>
        <v/>
      </c>
      <c r="CN218" s="305" t="str">
        <f t="shared" ca="1" si="672"/>
        <v/>
      </c>
      <c r="CO218" s="305" t="str">
        <f t="shared" ca="1" si="673"/>
        <v/>
      </c>
      <c r="CP218" s="305" t="str">
        <f t="shared" ca="1" si="674"/>
        <v/>
      </c>
      <c r="CQ218" s="305" t="str">
        <f t="shared" ca="1" si="675"/>
        <v/>
      </c>
      <c r="CR218" s="775" t="str">
        <f t="shared" ca="1" si="676"/>
        <v/>
      </c>
      <c r="CS218" s="305" t="str">
        <f t="shared" ca="1" si="677"/>
        <v/>
      </c>
      <c r="CT218" s="305" t="str">
        <f t="shared" ca="1" si="678"/>
        <v/>
      </c>
      <c r="CU218" s="305" t="str">
        <f t="shared" ca="1" si="679"/>
        <v/>
      </c>
      <c r="CV218" s="770" t="str">
        <f t="shared" ca="1" si="680"/>
        <v/>
      </c>
      <c r="CW218" s="302">
        <f t="shared" ca="1" si="681"/>
        <v>0</v>
      </c>
      <c r="CX218" s="299">
        <f t="shared" ca="1" si="682"/>
        <v>0</v>
      </c>
      <c r="CY218" s="299">
        <f t="shared" ca="1" si="683"/>
        <v>0</v>
      </c>
      <c r="CZ218" s="299">
        <f t="shared" ca="1" si="684"/>
        <v>0</v>
      </c>
      <c r="DA218" s="774">
        <f t="shared" ca="1" si="685"/>
        <v>0</v>
      </c>
      <c r="DB218" s="303">
        <f t="shared" ca="1" si="686"/>
        <v>0</v>
      </c>
      <c r="DC218" s="248">
        <f t="shared" ca="1" si="687"/>
        <v>0</v>
      </c>
      <c r="DD218" s="778">
        <f t="shared" ca="1" si="688"/>
        <v>0</v>
      </c>
      <c r="DE218" s="363">
        <f t="shared" ca="1" si="689"/>
        <v>0</v>
      </c>
      <c r="DF218" s="378" t="str">
        <f t="shared" ca="1" si="690"/>
        <v/>
      </c>
      <c r="DG218" s="508" t="str">
        <f t="shared" ca="1" si="691"/>
        <v/>
      </c>
      <c r="DH218" s="508" t="str">
        <f t="shared" ca="1" si="692"/>
        <v/>
      </c>
      <c r="DI218" s="508" t="str">
        <f t="shared" ca="1" si="693"/>
        <v/>
      </c>
      <c r="DJ218" s="508" t="str">
        <f t="shared" ca="1" si="694"/>
        <v/>
      </c>
      <c r="DK218" s="353">
        <f t="shared" ca="1" si="695"/>
        <v>0</v>
      </c>
      <c r="DL218" s="781">
        <f t="shared" ca="1" si="696"/>
        <v>0</v>
      </c>
      <c r="DM218" s="303">
        <f t="shared" ca="1" si="697"/>
        <v>0</v>
      </c>
      <c r="DN218" s="508" t="str">
        <f t="shared" ca="1" si="698"/>
        <v/>
      </c>
      <c r="DO218" s="508" t="str">
        <f t="shared" ca="1" si="699"/>
        <v/>
      </c>
      <c r="DP218" s="508" t="str">
        <f t="shared" ca="1" si="700"/>
        <v/>
      </c>
      <c r="DQ218" s="508" t="str">
        <f t="shared" ca="1" si="701"/>
        <v/>
      </c>
      <c r="DR218" s="508" t="str">
        <f t="shared" ca="1" si="702"/>
        <v/>
      </c>
      <c r="DS218" s="353">
        <f t="shared" ca="1" si="703"/>
        <v>0</v>
      </c>
      <c r="DT218" s="353">
        <f t="shared" ca="1" si="704"/>
        <v>0</v>
      </c>
      <c r="DU218" s="380">
        <f t="shared" ca="1" si="804"/>
        <v>16.83504449007529</v>
      </c>
      <c r="DV218" s="303">
        <f t="shared" ca="1" si="705"/>
        <v>0</v>
      </c>
      <c r="DW218" s="303">
        <f t="shared" ca="1" si="706"/>
        <v>0</v>
      </c>
      <c r="DX218" s="303">
        <f t="shared" ca="1" si="707"/>
        <v>0</v>
      </c>
      <c r="DY218" s="303">
        <f t="shared" ca="1" si="708"/>
        <v>0</v>
      </c>
      <c r="DZ218" s="303">
        <f t="shared" ca="1" si="709"/>
        <v>0</v>
      </c>
      <c r="EA218" s="303">
        <f t="shared" ca="1" si="710"/>
        <v>0</v>
      </c>
      <c r="EB218" s="302">
        <f t="shared" ca="1" si="711"/>
        <v>0</v>
      </c>
      <c r="EC218" s="299">
        <f t="shared" ca="1" si="712"/>
        <v>0</v>
      </c>
      <c r="ED218" s="299">
        <f t="shared" ca="1" si="713"/>
        <v>0</v>
      </c>
      <c r="EE218" s="299">
        <f t="shared" ca="1" si="714"/>
        <v>0</v>
      </c>
      <c r="EF218" s="299">
        <f t="shared" ca="1" si="715"/>
        <v>0</v>
      </c>
      <c r="EG218" s="299">
        <f t="shared" ca="1" si="716"/>
        <v>0</v>
      </c>
      <c r="EH218" s="302">
        <f t="shared" ca="1" si="717"/>
        <v>0</v>
      </c>
      <c r="EI218" s="304" t="str">
        <f t="shared" ca="1" si="718"/>
        <v/>
      </c>
      <c r="EJ218" s="305" t="str">
        <f t="shared" ca="1" si="719"/>
        <v/>
      </c>
      <c r="EK218" s="305" t="str">
        <f t="shared" ca="1" si="720"/>
        <v/>
      </c>
      <c r="EL218" s="305" t="str">
        <f t="shared" ca="1" si="721"/>
        <v/>
      </c>
      <c r="EM218" s="305" t="str">
        <f t="shared" ca="1" si="722"/>
        <v/>
      </c>
      <c r="EN218" s="305" t="str">
        <f t="shared" ca="1" si="723"/>
        <v/>
      </c>
      <c r="EO218" s="305" t="str">
        <f t="shared" ca="1" si="724"/>
        <v/>
      </c>
      <c r="EP218" s="305" t="str">
        <f t="shared" ca="1" si="725"/>
        <v/>
      </c>
      <c r="EQ218" s="305" t="str">
        <f t="shared" ca="1" si="726"/>
        <v/>
      </c>
      <c r="ER218" s="305" t="str">
        <f t="shared" ca="1" si="727"/>
        <v/>
      </c>
      <c r="ES218" s="305" t="str">
        <f t="shared" ca="1" si="728"/>
        <v/>
      </c>
      <c r="ET218" s="299">
        <f t="shared" ca="1" si="729"/>
        <v>0</v>
      </c>
      <c r="EU218" s="302">
        <f t="shared" ca="1" si="730"/>
        <v>0</v>
      </c>
      <c r="EV218" s="304" t="str">
        <f t="shared" ca="1" si="731"/>
        <v/>
      </c>
      <c r="EW218" s="305" t="str">
        <f t="shared" ca="1" si="732"/>
        <v/>
      </c>
      <c r="EX218" s="305" t="str">
        <f t="shared" ca="1" si="733"/>
        <v/>
      </c>
      <c r="EY218" s="305" t="str">
        <f t="shared" ca="1" si="734"/>
        <v/>
      </c>
      <c r="EZ218" s="305" t="str">
        <f t="shared" ca="1" si="735"/>
        <v/>
      </c>
      <c r="FA218" s="305" t="str">
        <f t="shared" ca="1" si="736"/>
        <v/>
      </c>
      <c r="FB218" s="305" t="str">
        <f t="shared" ca="1" si="737"/>
        <v/>
      </c>
      <c r="FC218" s="305" t="str">
        <f t="shared" ca="1" si="738"/>
        <v/>
      </c>
      <c r="FD218" s="305" t="str">
        <f t="shared" ca="1" si="739"/>
        <v/>
      </c>
      <c r="FE218" s="305" t="str">
        <f t="shared" ca="1" si="740"/>
        <v/>
      </c>
      <c r="FF218" s="305" t="str">
        <f t="shared" ca="1" si="741"/>
        <v/>
      </c>
      <c r="FG218" s="299">
        <f t="shared" ca="1" si="742"/>
        <v>0</v>
      </c>
      <c r="FH218" s="302">
        <f t="shared" ca="1" si="743"/>
        <v>0</v>
      </c>
      <c r="FI218" s="248">
        <f t="shared" ca="1" si="744"/>
        <v>0</v>
      </c>
      <c r="FJ218" s="363">
        <f t="shared" ca="1" si="745"/>
        <v>0</v>
      </c>
      <c r="FK218" s="378" t="str">
        <f t="shared" ca="1" si="746"/>
        <v/>
      </c>
      <c r="FL218" s="508" t="str">
        <f t="shared" ca="1" si="747"/>
        <v/>
      </c>
      <c r="FM218" s="508" t="str">
        <f t="shared" ca="1" si="748"/>
        <v/>
      </c>
      <c r="FN218" s="508" t="str">
        <f t="shared" ca="1" si="749"/>
        <v/>
      </c>
      <c r="FO218" s="508" t="str">
        <f t="shared" ca="1" si="750"/>
        <v/>
      </c>
      <c r="FP218" s="353">
        <f t="shared" ca="1" si="751"/>
        <v>0</v>
      </c>
      <c r="FQ218" s="356">
        <f t="shared" ca="1" si="752"/>
        <v>0</v>
      </c>
      <c r="FR218" s="380">
        <f t="shared" ca="1" si="753"/>
        <v>0</v>
      </c>
      <c r="FS218" s="299">
        <f t="shared" ca="1" si="754"/>
        <v>0</v>
      </c>
      <c r="FT218" s="299">
        <f t="shared" ca="1" si="755"/>
        <v>0</v>
      </c>
      <c r="FU218" s="299">
        <f t="shared" ca="1" si="756"/>
        <v>0</v>
      </c>
      <c r="FV218" s="299">
        <f t="shared" ca="1" si="757"/>
        <v>0</v>
      </c>
      <c r="FW218" s="850" t="str">
        <f t="shared" ca="1" si="758"/>
        <v/>
      </c>
      <c r="FX218" s="851" t="str">
        <f t="shared" ca="1" si="759"/>
        <v/>
      </c>
      <c r="FY218" s="851" t="str">
        <f t="shared" ca="1" si="760"/>
        <v/>
      </c>
      <c r="FZ218" s="201" t="str">
        <f t="shared" ca="1" si="761"/>
        <v/>
      </c>
      <c r="GA218" s="201" t="str">
        <f t="shared" ca="1" si="762"/>
        <v/>
      </c>
      <c r="GB218" s="201" t="str">
        <f t="shared" ca="1" si="763"/>
        <v/>
      </c>
      <c r="GC218" s="201" t="str">
        <f t="shared" ca="1" si="764"/>
        <v/>
      </c>
      <c r="GD218" s="850" t="str">
        <f t="shared" ca="1" si="765"/>
        <v/>
      </c>
      <c r="GE218" s="866" t="str">
        <f t="shared" ca="1" si="766"/>
        <v/>
      </c>
      <c r="GF218" s="866" t="str">
        <f t="shared" ca="1" si="767"/>
        <v/>
      </c>
      <c r="GG218" s="866" t="str">
        <f t="shared" ca="1" si="768"/>
        <v/>
      </c>
      <c r="GH218" s="866" t="str">
        <f t="shared" ca="1" si="769"/>
        <v/>
      </c>
      <c r="GI218" s="302">
        <f t="shared" ca="1" si="770"/>
        <v>0</v>
      </c>
      <c r="GJ218" s="299">
        <f t="shared" ca="1" si="771"/>
        <v>0</v>
      </c>
      <c r="GK218" s="299">
        <f t="shared" ca="1" si="772"/>
        <v>0</v>
      </c>
      <c r="GL218" s="299">
        <f t="shared" ca="1" si="773"/>
        <v>0</v>
      </c>
      <c r="GM218" s="299">
        <f t="shared" ca="1" si="774"/>
        <v>0</v>
      </c>
      <c r="GN218" s="302">
        <f t="shared" ca="1" si="775"/>
        <v>0</v>
      </c>
      <c r="GO218" s="299">
        <f t="shared" ca="1" si="776"/>
        <v>0</v>
      </c>
      <c r="GP218" s="299">
        <f t="shared" ca="1" si="777"/>
        <v>0</v>
      </c>
      <c r="GQ218" s="299">
        <f t="shared" ca="1" si="778"/>
        <v>0</v>
      </c>
      <c r="GR218" s="299">
        <f t="shared" ca="1" si="779"/>
        <v>0</v>
      </c>
      <c r="GS218" s="302">
        <f t="shared" ca="1" si="780"/>
        <v>0</v>
      </c>
      <c r="GT218" s="299">
        <f t="shared" ca="1" si="781"/>
        <v>0</v>
      </c>
      <c r="GU218" s="299">
        <f t="shared" ca="1" si="782"/>
        <v>0</v>
      </c>
      <c r="GV218" s="299">
        <f t="shared" ca="1" si="783"/>
        <v>0</v>
      </c>
      <c r="GW218" s="299">
        <f t="shared" ca="1" si="784"/>
        <v>0</v>
      </c>
      <c r="GX218" s="303">
        <f t="shared" ca="1" si="785"/>
        <v>0</v>
      </c>
      <c r="GY218" s="303">
        <f t="shared" ca="1" si="786"/>
        <v>0</v>
      </c>
      <c r="GZ218" s="303">
        <f t="shared" ca="1" si="787"/>
        <v>0</v>
      </c>
      <c r="HA218" s="303">
        <f t="shared" ca="1" si="788"/>
        <v>0</v>
      </c>
      <c r="HB218" s="303">
        <f t="shared" ca="1" si="789"/>
        <v>0</v>
      </c>
      <c r="HC218" s="303">
        <f t="shared" ca="1" si="790"/>
        <v>0</v>
      </c>
      <c r="HD218" s="303">
        <f t="shared" ca="1" si="791"/>
        <v>0</v>
      </c>
      <c r="HE218" s="303">
        <f t="shared" ca="1" si="792"/>
        <v>0</v>
      </c>
      <c r="HF218" s="303">
        <f t="shared" ca="1" si="793"/>
        <v>0</v>
      </c>
      <c r="HG218" s="852">
        <f t="shared" ca="1" si="794"/>
        <v>0</v>
      </c>
    </row>
    <row r="219" spans="1:215" x14ac:dyDescent="0.25">
      <c r="A219" s="244">
        <f t="shared" ca="1" si="795"/>
        <v>42767</v>
      </c>
      <c r="B219" s="13">
        <f t="shared" ca="1" si="623"/>
        <v>2017</v>
      </c>
      <c r="C219" s="619">
        <f t="shared" ca="1" si="624"/>
        <v>2</v>
      </c>
      <c r="D219" s="195" t="str">
        <f t="shared" ca="1" si="625"/>
        <v/>
      </c>
      <c r="E219" s="469" t="str">
        <f t="shared" ca="1" si="626"/>
        <v/>
      </c>
      <c r="F219" s="465" t="str">
        <f t="shared" ca="1" si="627"/>
        <v/>
      </c>
      <c r="G219" s="522">
        <f t="shared" ca="1" si="796"/>
        <v>1</v>
      </c>
      <c r="H219" s="519">
        <f t="shared" ca="1" si="797"/>
        <v>1</v>
      </c>
      <c r="I219" s="724">
        <f t="shared" ca="1" si="628"/>
        <v>7.4180640154587002E-2</v>
      </c>
      <c r="J219" s="198">
        <f t="shared" ca="1" si="629"/>
        <v>0.28886770057484418</v>
      </c>
      <c r="K219" s="200">
        <f t="shared" ca="1" si="805"/>
        <v>37.35</v>
      </c>
      <c r="L219" s="201">
        <f t="shared" ca="1" si="806"/>
        <v>39.549999999999997</v>
      </c>
      <c r="M219" s="206">
        <f t="shared" ca="1" si="807"/>
        <v>41.75</v>
      </c>
      <c r="N219" s="851">
        <f t="shared" ca="1" si="811"/>
        <v>28.796250152587881</v>
      </c>
      <c r="O219" s="201">
        <f t="shared" ca="1" si="812"/>
        <v>30.446250152587879</v>
      </c>
      <c r="P219" s="206">
        <f t="shared" ca="1" si="813"/>
        <v>32.096250152587878</v>
      </c>
      <c r="Q219" s="201">
        <f t="shared" ca="1" si="814"/>
        <v>23.647499465942371</v>
      </c>
      <c r="R219" s="201">
        <f t="shared" ca="1" si="815"/>
        <v>27.947499465942371</v>
      </c>
      <c r="S219" s="201">
        <f t="shared" ca="1" si="816"/>
        <v>32.247499465942369</v>
      </c>
      <c r="T219" s="851">
        <f t="shared" ca="1" si="808"/>
        <v>21.299997711181632</v>
      </c>
      <c r="U219" s="201">
        <f t="shared" ca="1" si="809"/>
        <v>22.399997711181634</v>
      </c>
      <c r="V219" s="206">
        <f t="shared" ca="1" si="810"/>
        <v>23.499997711181635</v>
      </c>
      <c r="W219" s="230">
        <f t="shared" ca="1" si="798"/>
        <v>6.0077290270965991E-2</v>
      </c>
      <c r="X219" s="231">
        <f t="shared" ca="1" si="799"/>
        <v>0.12015458054193198</v>
      </c>
      <c r="Y219" s="232">
        <f t="shared" ca="1" si="800"/>
        <v>0.18023187081289799</v>
      </c>
      <c r="Z219" s="231">
        <f t="shared" ca="1" si="612"/>
        <v>6.0077290270965991E-2</v>
      </c>
      <c r="AA219" s="231">
        <f t="shared" ca="1" si="613"/>
        <v>0.12015458054193198</v>
      </c>
      <c r="AB219" s="232">
        <f t="shared" ca="1" si="614"/>
        <v>0.18023187081289799</v>
      </c>
      <c r="AC219" s="231">
        <f t="shared" ca="1" si="615"/>
        <v>6.0077290270965991E-2</v>
      </c>
      <c r="AD219" s="231">
        <f t="shared" ca="1" si="616"/>
        <v>0.12015458054193198</v>
      </c>
      <c r="AE219" s="232">
        <f t="shared" ca="1" si="630"/>
        <v>0.18023187081289799</v>
      </c>
      <c r="AF219" s="231">
        <f t="shared" ca="1" si="801"/>
        <v>2.4826261816322606E-2</v>
      </c>
      <c r="AG219" s="231">
        <f t="shared" ca="1" si="802"/>
        <v>4.9652523632645211E-2</v>
      </c>
      <c r="AH219" s="232">
        <f t="shared" ca="1" si="803"/>
        <v>7.4478785448967813E-2</v>
      </c>
      <c r="AI219" s="233">
        <f t="shared" ca="1" si="631"/>
        <v>1.25</v>
      </c>
      <c r="AJ219" s="233">
        <f t="shared" ca="1" si="632"/>
        <v>2</v>
      </c>
      <c r="AK219" s="234">
        <f t="shared" ca="1" si="633"/>
        <v>2.75</v>
      </c>
      <c r="AL219" s="919">
        <f t="shared" ca="1" si="634"/>
        <v>1.25</v>
      </c>
      <c r="AM219" s="233">
        <f t="shared" ca="1" si="635"/>
        <v>2</v>
      </c>
      <c r="AN219" s="234">
        <f t="shared" ca="1" si="636"/>
        <v>2.75</v>
      </c>
      <c r="AO219" s="233">
        <f t="shared" ca="1" si="637"/>
        <v>1.25</v>
      </c>
      <c r="AP219" s="233">
        <f t="shared" ca="1" si="638"/>
        <v>2</v>
      </c>
      <c r="AQ219" s="233">
        <f t="shared" ca="1" si="639"/>
        <v>2.75</v>
      </c>
      <c r="AR219" s="919">
        <f t="shared" ca="1" si="640"/>
        <v>0.35</v>
      </c>
      <c r="AS219" s="233">
        <f t="shared" ca="1" si="641"/>
        <v>0.5</v>
      </c>
      <c r="AT219" s="235">
        <f t="shared" ca="1" si="642"/>
        <v>0.7</v>
      </c>
      <c r="AU219" s="946">
        <f t="shared" si="643"/>
        <v>0.5</v>
      </c>
      <c r="AV219" s="13">
        <f t="shared" ca="1" si="644"/>
        <v>0</v>
      </c>
      <c r="AW219" s="210">
        <f t="shared" ca="1" si="645"/>
        <v>0</v>
      </c>
      <c r="AX219" s="210">
        <f t="shared" ca="1" si="646"/>
        <v>0</v>
      </c>
      <c r="AY219" s="210">
        <f t="shared" ca="1" si="647"/>
        <v>0</v>
      </c>
      <c r="AZ219" s="13">
        <f t="shared" ca="1" si="648"/>
        <v>0</v>
      </c>
      <c r="BA219" s="357">
        <f ca="1"/>
        <v>0</v>
      </c>
      <c r="BB219" s="925">
        <f ca="1"/>
        <v>0</v>
      </c>
      <c r="BC219" s="925">
        <f ca="1"/>
        <v>0</v>
      </c>
      <c r="BD219" s="928">
        <f ca="1"/>
        <v>0</v>
      </c>
      <c r="BE219" s="200">
        <f ca="1"/>
        <v>0</v>
      </c>
      <c r="BF219" s="851">
        <f ca="1"/>
        <v>0</v>
      </c>
      <c r="BG219" s="851">
        <f ca="1"/>
        <v>0</v>
      </c>
      <c r="BH219" s="933">
        <f ca="1"/>
        <v>0</v>
      </c>
      <c r="BI219" s="357">
        <f ca="1"/>
        <v>0</v>
      </c>
      <c r="BJ219" s="925">
        <f ca="1"/>
        <v>0</v>
      </c>
      <c r="BK219" s="925">
        <f ca="1"/>
        <v>0</v>
      </c>
      <c r="BL219" s="928">
        <f ca="1"/>
        <v>0</v>
      </c>
      <c r="BM219" s="200">
        <f ca="1"/>
        <v>0</v>
      </c>
      <c r="BN219" s="851">
        <f ca="1"/>
        <v>0</v>
      </c>
      <c r="BO219" s="851">
        <f ca="1"/>
        <v>0</v>
      </c>
      <c r="BP219" s="933">
        <f ca="1"/>
        <v>0</v>
      </c>
      <c r="BQ219" s="357">
        <f t="shared" ca="1" si="649"/>
        <v>0</v>
      </c>
      <c r="BR219" s="361">
        <f t="shared" ca="1" si="650"/>
        <v>0</v>
      </c>
      <c r="BS219" s="357">
        <f t="shared" ca="1" si="651"/>
        <v>0</v>
      </c>
      <c r="BT219" s="302">
        <f t="shared" ca="1" si="652"/>
        <v>0</v>
      </c>
      <c r="BU219" s="299">
        <f t="shared" ca="1" si="653"/>
        <v>0</v>
      </c>
      <c r="BV219" s="299">
        <f t="shared" ca="1" si="654"/>
        <v>0</v>
      </c>
      <c r="BW219" s="299">
        <f t="shared" ca="1" si="655"/>
        <v>0</v>
      </c>
      <c r="BX219" s="380">
        <f t="shared" ca="1" si="656"/>
        <v>16.919917864476385</v>
      </c>
      <c r="BY219" s="363">
        <f t="shared" ca="1" si="657"/>
        <v>0</v>
      </c>
      <c r="BZ219" s="353">
        <f t="shared" ca="1" si="658"/>
        <v>0</v>
      </c>
      <c r="CA219" s="353">
        <f t="shared" ca="1" si="659"/>
        <v>0</v>
      </c>
      <c r="CB219" s="353">
        <f t="shared" ca="1" si="660"/>
        <v>0</v>
      </c>
      <c r="CC219" s="353">
        <f t="shared" ca="1" si="661"/>
        <v>0</v>
      </c>
      <c r="CD219" s="353">
        <f t="shared" ca="1" si="662"/>
        <v>0</v>
      </c>
      <c r="CE219" s="302">
        <f t="shared" ca="1" si="663"/>
        <v>0</v>
      </c>
      <c r="CF219" s="299">
        <f t="shared" ca="1" si="664"/>
        <v>0</v>
      </c>
      <c r="CG219" s="299">
        <f t="shared" ca="1" si="665"/>
        <v>0</v>
      </c>
      <c r="CH219" s="299">
        <f t="shared" ca="1" si="666"/>
        <v>0</v>
      </c>
      <c r="CI219" s="299">
        <f t="shared" ca="1" si="667"/>
        <v>0</v>
      </c>
      <c r="CJ219" s="299">
        <f t="shared" ca="1" si="668"/>
        <v>0</v>
      </c>
      <c r="CK219" s="299">
        <f t="shared" ca="1" si="669"/>
        <v>0</v>
      </c>
      <c r="CL219" s="377" t="str">
        <f t="shared" ca="1" si="670"/>
        <v/>
      </c>
      <c r="CM219" s="305" t="str">
        <f t="shared" ca="1" si="671"/>
        <v/>
      </c>
      <c r="CN219" s="305" t="str">
        <f t="shared" ca="1" si="672"/>
        <v/>
      </c>
      <c r="CO219" s="305" t="str">
        <f t="shared" ca="1" si="673"/>
        <v/>
      </c>
      <c r="CP219" s="305" t="str">
        <f t="shared" ca="1" si="674"/>
        <v/>
      </c>
      <c r="CQ219" s="305" t="str">
        <f t="shared" ca="1" si="675"/>
        <v/>
      </c>
      <c r="CR219" s="775" t="str">
        <f t="shared" ca="1" si="676"/>
        <v/>
      </c>
      <c r="CS219" s="305" t="str">
        <f t="shared" ca="1" si="677"/>
        <v/>
      </c>
      <c r="CT219" s="305" t="str">
        <f t="shared" ca="1" si="678"/>
        <v/>
      </c>
      <c r="CU219" s="305" t="str">
        <f t="shared" ca="1" si="679"/>
        <v/>
      </c>
      <c r="CV219" s="770" t="str">
        <f t="shared" ca="1" si="680"/>
        <v/>
      </c>
      <c r="CW219" s="302">
        <f t="shared" ca="1" si="681"/>
        <v>0</v>
      </c>
      <c r="CX219" s="299">
        <f t="shared" ca="1" si="682"/>
        <v>0</v>
      </c>
      <c r="CY219" s="299">
        <f t="shared" ca="1" si="683"/>
        <v>0</v>
      </c>
      <c r="CZ219" s="299">
        <f t="shared" ca="1" si="684"/>
        <v>0</v>
      </c>
      <c r="DA219" s="774">
        <f t="shared" ca="1" si="685"/>
        <v>0</v>
      </c>
      <c r="DB219" s="303">
        <f t="shared" ca="1" si="686"/>
        <v>0</v>
      </c>
      <c r="DC219" s="248">
        <f t="shared" ca="1" si="687"/>
        <v>0</v>
      </c>
      <c r="DD219" s="778">
        <f t="shared" ca="1" si="688"/>
        <v>0</v>
      </c>
      <c r="DE219" s="363">
        <f t="shared" ca="1" si="689"/>
        <v>0</v>
      </c>
      <c r="DF219" s="378" t="str">
        <f t="shared" ca="1" si="690"/>
        <v/>
      </c>
      <c r="DG219" s="508" t="str">
        <f t="shared" ca="1" si="691"/>
        <v/>
      </c>
      <c r="DH219" s="508" t="str">
        <f t="shared" ca="1" si="692"/>
        <v/>
      </c>
      <c r="DI219" s="508" t="str">
        <f t="shared" ca="1" si="693"/>
        <v/>
      </c>
      <c r="DJ219" s="508" t="str">
        <f t="shared" ca="1" si="694"/>
        <v/>
      </c>
      <c r="DK219" s="353">
        <f t="shared" ca="1" si="695"/>
        <v>0</v>
      </c>
      <c r="DL219" s="781">
        <f t="shared" ca="1" si="696"/>
        <v>0</v>
      </c>
      <c r="DM219" s="303">
        <f t="shared" ca="1" si="697"/>
        <v>0</v>
      </c>
      <c r="DN219" s="508" t="str">
        <f t="shared" ca="1" si="698"/>
        <v/>
      </c>
      <c r="DO219" s="508" t="str">
        <f t="shared" ca="1" si="699"/>
        <v/>
      </c>
      <c r="DP219" s="508" t="str">
        <f t="shared" ca="1" si="700"/>
        <v/>
      </c>
      <c r="DQ219" s="508" t="str">
        <f t="shared" ca="1" si="701"/>
        <v/>
      </c>
      <c r="DR219" s="508" t="str">
        <f t="shared" ca="1" si="702"/>
        <v/>
      </c>
      <c r="DS219" s="353">
        <f t="shared" ca="1" si="703"/>
        <v>0</v>
      </c>
      <c r="DT219" s="353">
        <f t="shared" ca="1" si="704"/>
        <v>0</v>
      </c>
      <c r="DU219" s="380">
        <f t="shared" ca="1" si="804"/>
        <v>16.919917864476385</v>
      </c>
      <c r="DV219" s="303">
        <f t="shared" ca="1" si="705"/>
        <v>0</v>
      </c>
      <c r="DW219" s="303">
        <f t="shared" ca="1" si="706"/>
        <v>0</v>
      </c>
      <c r="DX219" s="303">
        <f t="shared" ca="1" si="707"/>
        <v>0</v>
      </c>
      <c r="DY219" s="303">
        <f t="shared" ca="1" si="708"/>
        <v>0</v>
      </c>
      <c r="DZ219" s="303">
        <f t="shared" ca="1" si="709"/>
        <v>0</v>
      </c>
      <c r="EA219" s="303">
        <f t="shared" ca="1" si="710"/>
        <v>0</v>
      </c>
      <c r="EB219" s="302">
        <f t="shared" ca="1" si="711"/>
        <v>0</v>
      </c>
      <c r="EC219" s="299">
        <f t="shared" ca="1" si="712"/>
        <v>0</v>
      </c>
      <c r="ED219" s="299">
        <f t="shared" ca="1" si="713"/>
        <v>0</v>
      </c>
      <c r="EE219" s="299">
        <f t="shared" ca="1" si="714"/>
        <v>0</v>
      </c>
      <c r="EF219" s="299">
        <f t="shared" ca="1" si="715"/>
        <v>0</v>
      </c>
      <c r="EG219" s="299">
        <f t="shared" ca="1" si="716"/>
        <v>0</v>
      </c>
      <c r="EH219" s="302">
        <f t="shared" ca="1" si="717"/>
        <v>0</v>
      </c>
      <c r="EI219" s="304" t="str">
        <f t="shared" ca="1" si="718"/>
        <v/>
      </c>
      <c r="EJ219" s="305" t="str">
        <f t="shared" ca="1" si="719"/>
        <v/>
      </c>
      <c r="EK219" s="305" t="str">
        <f t="shared" ca="1" si="720"/>
        <v/>
      </c>
      <c r="EL219" s="305" t="str">
        <f t="shared" ca="1" si="721"/>
        <v/>
      </c>
      <c r="EM219" s="305" t="str">
        <f t="shared" ca="1" si="722"/>
        <v/>
      </c>
      <c r="EN219" s="305" t="str">
        <f t="shared" ca="1" si="723"/>
        <v/>
      </c>
      <c r="EO219" s="305" t="str">
        <f t="shared" ca="1" si="724"/>
        <v/>
      </c>
      <c r="EP219" s="305" t="str">
        <f t="shared" ca="1" si="725"/>
        <v/>
      </c>
      <c r="EQ219" s="305" t="str">
        <f t="shared" ca="1" si="726"/>
        <v/>
      </c>
      <c r="ER219" s="305" t="str">
        <f t="shared" ca="1" si="727"/>
        <v/>
      </c>
      <c r="ES219" s="305" t="str">
        <f t="shared" ca="1" si="728"/>
        <v/>
      </c>
      <c r="ET219" s="299">
        <f t="shared" ca="1" si="729"/>
        <v>0</v>
      </c>
      <c r="EU219" s="302">
        <f t="shared" ca="1" si="730"/>
        <v>0</v>
      </c>
      <c r="EV219" s="304" t="str">
        <f t="shared" ca="1" si="731"/>
        <v/>
      </c>
      <c r="EW219" s="305" t="str">
        <f t="shared" ca="1" si="732"/>
        <v/>
      </c>
      <c r="EX219" s="305" t="str">
        <f t="shared" ca="1" si="733"/>
        <v/>
      </c>
      <c r="EY219" s="305" t="str">
        <f t="shared" ca="1" si="734"/>
        <v/>
      </c>
      <c r="EZ219" s="305" t="str">
        <f t="shared" ca="1" si="735"/>
        <v/>
      </c>
      <c r="FA219" s="305" t="str">
        <f t="shared" ca="1" si="736"/>
        <v/>
      </c>
      <c r="FB219" s="305" t="str">
        <f t="shared" ca="1" si="737"/>
        <v/>
      </c>
      <c r="FC219" s="305" t="str">
        <f t="shared" ca="1" si="738"/>
        <v/>
      </c>
      <c r="FD219" s="305" t="str">
        <f t="shared" ca="1" si="739"/>
        <v/>
      </c>
      <c r="FE219" s="305" t="str">
        <f t="shared" ca="1" si="740"/>
        <v/>
      </c>
      <c r="FF219" s="305" t="str">
        <f t="shared" ca="1" si="741"/>
        <v/>
      </c>
      <c r="FG219" s="299">
        <f t="shared" ca="1" si="742"/>
        <v>0</v>
      </c>
      <c r="FH219" s="302">
        <f t="shared" ca="1" si="743"/>
        <v>0</v>
      </c>
      <c r="FI219" s="248">
        <f t="shared" ca="1" si="744"/>
        <v>0</v>
      </c>
      <c r="FJ219" s="363">
        <f t="shared" ca="1" si="745"/>
        <v>0</v>
      </c>
      <c r="FK219" s="378" t="str">
        <f t="shared" ca="1" si="746"/>
        <v/>
      </c>
      <c r="FL219" s="508" t="str">
        <f t="shared" ca="1" si="747"/>
        <v/>
      </c>
      <c r="FM219" s="508" t="str">
        <f t="shared" ca="1" si="748"/>
        <v/>
      </c>
      <c r="FN219" s="508" t="str">
        <f t="shared" ca="1" si="749"/>
        <v/>
      </c>
      <c r="FO219" s="508" t="str">
        <f t="shared" ca="1" si="750"/>
        <v/>
      </c>
      <c r="FP219" s="353">
        <f t="shared" ca="1" si="751"/>
        <v>0</v>
      </c>
      <c r="FQ219" s="356">
        <f t="shared" ca="1" si="752"/>
        <v>0</v>
      </c>
      <c r="FR219" s="380">
        <f t="shared" ca="1" si="753"/>
        <v>0</v>
      </c>
      <c r="FS219" s="299">
        <f t="shared" ca="1" si="754"/>
        <v>0</v>
      </c>
      <c r="FT219" s="299">
        <f t="shared" ca="1" si="755"/>
        <v>0</v>
      </c>
      <c r="FU219" s="299">
        <f t="shared" ca="1" si="756"/>
        <v>0</v>
      </c>
      <c r="FV219" s="299">
        <f t="shared" ca="1" si="757"/>
        <v>0</v>
      </c>
      <c r="FW219" s="850" t="str">
        <f t="shared" ca="1" si="758"/>
        <v/>
      </c>
      <c r="FX219" s="851" t="str">
        <f t="shared" ca="1" si="759"/>
        <v/>
      </c>
      <c r="FY219" s="851" t="str">
        <f t="shared" ca="1" si="760"/>
        <v/>
      </c>
      <c r="FZ219" s="201" t="str">
        <f t="shared" ca="1" si="761"/>
        <v/>
      </c>
      <c r="GA219" s="201" t="str">
        <f t="shared" ca="1" si="762"/>
        <v/>
      </c>
      <c r="GB219" s="201" t="str">
        <f t="shared" ca="1" si="763"/>
        <v/>
      </c>
      <c r="GC219" s="201" t="str">
        <f t="shared" ca="1" si="764"/>
        <v/>
      </c>
      <c r="GD219" s="850" t="str">
        <f t="shared" ca="1" si="765"/>
        <v/>
      </c>
      <c r="GE219" s="866" t="str">
        <f t="shared" ca="1" si="766"/>
        <v/>
      </c>
      <c r="GF219" s="866" t="str">
        <f t="shared" ca="1" si="767"/>
        <v/>
      </c>
      <c r="GG219" s="866" t="str">
        <f t="shared" ca="1" si="768"/>
        <v/>
      </c>
      <c r="GH219" s="866" t="str">
        <f t="shared" ca="1" si="769"/>
        <v/>
      </c>
      <c r="GI219" s="302">
        <f t="shared" ca="1" si="770"/>
        <v>0</v>
      </c>
      <c r="GJ219" s="299">
        <f t="shared" ca="1" si="771"/>
        <v>0</v>
      </c>
      <c r="GK219" s="299">
        <f t="shared" ca="1" si="772"/>
        <v>0</v>
      </c>
      <c r="GL219" s="299">
        <f t="shared" ca="1" si="773"/>
        <v>0</v>
      </c>
      <c r="GM219" s="299">
        <f t="shared" ca="1" si="774"/>
        <v>0</v>
      </c>
      <c r="GN219" s="302">
        <f t="shared" ca="1" si="775"/>
        <v>0</v>
      </c>
      <c r="GO219" s="299">
        <f t="shared" ca="1" si="776"/>
        <v>0</v>
      </c>
      <c r="GP219" s="299">
        <f t="shared" ca="1" si="777"/>
        <v>0</v>
      </c>
      <c r="GQ219" s="299">
        <f t="shared" ca="1" si="778"/>
        <v>0</v>
      </c>
      <c r="GR219" s="299">
        <f t="shared" ca="1" si="779"/>
        <v>0</v>
      </c>
      <c r="GS219" s="302">
        <f t="shared" ca="1" si="780"/>
        <v>0</v>
      </c>
      <c r="GT219" s="299">
        <f t="shared" ca="1" si="781"/>
        <v>0</v>
      </c>
      <c r="GU219" s="299">
        <f t="shared" ca="1" si="782"/>
        <v>0</v>
      </c>
      <c r="GV219" s="299">
        <f t="shared" ca="1" si="783"/>
        <v>0</v>
      </c>
      <c r="GW219" s="299">
        <f t="shared" ca="1" si="784"/>
        <v>0</v>
      </c>
      <c r="GX219" s="303">
        <f t="shared" ca="1" si="785"/>
        <v>0</v>
      </c>
      <c r="GY219" s="303">
        <f t="shared" ca="1" si="786"/>
        <v>0</v>
      </c>
      <c r="GZ219" s="303">
        <f t="shared" ca="1" si="787"/>
        <v>0</v>
      </c>
      <c r="HA219" s="303">
        <f t="shared" ca="1" si="788"/>
        <v>0</v>
      </c>
      <c r="HB219" s="303">
        <f t="shared" ca="1" si="789"/>
        <v>0</v>
      </c>
      <c r="HC219" s="303">
        <f t="shared" ca="1" si="790"/>
        <v>0</v>
      </c>
      <c r="HD219" s="303">
        <f t="shared" ca="1" si="791"/>
        <v>0</v>
      </c>
      <c r="HE219" s="303">
        <f t="shared" ca="1" si="792"/>
        <v>0</v>
      </c>
      <c r="HF219" s="303">
        <f t="shared" ca="1" si="793"/>
        <v>0</v>
      </c>
      <c r="HG219" s="852">
        <f t="shared" ca="1" si="794"/>
        <v>0</v>
      </c>
    </row>
    <row r="220" spans="1:215" x14ac:dyDescent="0.25">
      <c r="A220" s="244">
        <f t="shared" ca="1" si="795"/>
        <v>42795</v>
      </c>
      <c r="B220" s="13">
        <f t="shared" ca="1" si="623"/>
        <v>2017</v>
      </c>
      <c r="C220" s="619">
        <f t="shared" ca="1" si="624"/>
        <v>3</v>
      </c>
      <c r="D220" s="195" t="str">
        <f t="shared" ca="1" si="625"/>
        <v/>
      </c>
      <c r="E220" s="469" t="str">
        <f t="shared" ca="1" si="626"/>
        <v/>
      </c>
      <c r="F220" s="465" t="str">
        <f t="shared" ca="1" si="627"/>
        <v/>
      </c>
      <c r="G220" s="522">
        <f t="shared" ca="1" si="796"/>
        <v>1</v>
      </c>
      <c r="H220" s="519">
        <f t="shared" ca="1" si="797"/>
        <v>1</v>
      </c>
      <c r="I220" s="724">
        <f t="shared" ca="1" si="628"/>
        <v>7.4180373957791992E-2</v>
      </c>
      <c r="J220" s="198">
        <f t="shared" ca="1" si="629"/>
        <v>0.28708868840163831</v>
      </c>
      <c r="K220" s="200">
        <f t="shared" ca="1" si="805"/>
        <v>34.6</v>
      </c>
      <c r="L220" s="201">
        <f t="shared" ca="1" si="806"/>
        <v>35.799999999999997</v>
      </c>
      <c r="M220" s="206">
        <f t="shared" ca="1" si="807"/>
        <v>37</v>
      </c>
      <c r="N220" s="851">
        <f t="shared" ca="1" si="811"/>
        <v>22.734749603271474</v>
      </c>
      <c r="O220" s="201">
        <f t="shared" ca="1" si="812"/>
        <v>23.634749603271473</v>
      </c>
      <c r="P220" s="206">
        <f t="shared" ca="1" si="813"/>
        <v>24.534749603271472</v>
      </c>
      <c r="Q220" s="201">
        <f t="shared" ca="1" si="814"/>
        <v>18.964498901367175</v>
      </c>
      <c r="R220" s="201">
        <f t="shared" ca="1" si="815"/>
        <v>23.264498901367176</v>
      </c>
      <c r="S220" s="201">
        <f t="shared" ca="1" si="816"/>
        <v>27.564498901367177</v>
      </c>
      <c r="T220" s="851">
        <f t="shared" ca="1" si="808"/>
        <v>20.799999618530265</v>
      </c>
      <c r="U220" s="201">
        <f t="shared" ca="1" si="809"/>
        <v>21.399999618530266</v>
      </c>
      <c r="V220" s="206">
        <f t="shared" ca="1" si="810"/>
        <v>21.999999618530268</v>
      </c>
      <c r="W220" s="230">
        <f t="shared" ca="1" si="798"/>
        <v>5.8476329513745186E-2</v>
      </c>
      <c r="X220" s="231">
        <f t="shared" ca="1" si="799"/>
        <v>0.11695265902749037</v>
      </c>
      <c r="Y220" s="232">
        <f t="shared" ca="1" si="800"/>
        <v>0.17542898854123556</v>
      </c>
      <c r="Z220" s="231">
        <f t="shared" ca="1" si="612"/>
        <v>5.8476329513745186E-2</v>
      </c>
      <c r="AA220" s="231">
        <f t="shared" ca="1" si="613"/>
        <v>0.11695265902749037</v>
      </c>
      <c r="AB220" s="232">
        <f t="shared" ca="1" si="614"/>
        <v>0.17542898854123556</v>
      </c>
      <c r="AC220" s="231">
        <f t="shared" ca="1" si="615"/>
        <v>5.8476329513745186E-2</v>
      </c>
      <c r="AD220" s="231">
        <f t="shared" ca="1" si="616"/>
        <v>0.11695265902749037</v>
      </c>
      <c r="AE220" s="232">
        <f t="shared" ca="1" si="630"/>
        <v>0.17542898854123556</v>
      </c>
      <c r="AF220" s="231">
        <f t="shared" ca="1" si="801"/>
        <v>2.1279652985419371E-2</v>
      </c>
      <c r="AG220" s="231">
        <f t="shared" ca="1" si="802"/>
        <v>4.2559305970838741E-2</v>
      </c>
      <c r="AH220" s="232">
        <f t="shared" ca="1" si="803"/>
        <v>6.3838958956258116E-2</v>
      </c>
      <c r="AI220" s="233">
        <f t="shared" ca="1" si="631"/>
        <v>1.05</v>
      </c>
      <c r="AJ220" s="233">
        <f t="shared" ca="1" si="632"/>
        <v>1.3</v>
      </c>
      <c r="AK220" s="234">
        <f t="shared" ca="1" si="633"/>
        <v>1.6</v>
      </c>
      <c r="AL220" s="919">
        <f t="shared" ca="1" si="634"/>
        <v>1.05</v>
      </c>
      <c r="AM220" s="233">
        <f t="shared" ca="1" si="635"/>
        <v>1.3</v>
      </c>
      <c r="AN220" s="234">
        <f t="shared" ca="1" si="636"/>
        <v>1.6</v>
      </c>
      <c r="AO220" s="233">
        <f t="shared" ca="1" si="637"/>
        <v>1.05</v>
      </c>
      <c r="AP220" s="233">
        <f t="shared" ca="1" si="638"/>
        <v>1.3</v>
      </c>
      <c r="AQ220" s="233">
        <f t="shared" ca="1" si="639"/>
        <v>1.6</v>
      </c>
      <c r="AR220" s="919">
        <f t="shared" ca="1" si="640"/>
        <v>0.19999999999999998</v>
      </c>
      <c r="AS220" s="233">
        <f t="shared" ca="1" si="641"/>
        <v>0.35</v>
      </c>
      <c r="AT220" s="235">
        <f t="shared" ca="1" si="642"/>
        <v>0.55000000000000004</v>
      </c>
      <c r="AU220" s="946">
        <f t="shared" si="643"/>
        <v>0.5</v>
      </c>
      <c r="AV220" s="13">
        <f t="shared" ca="1" si="644"/>
        <v>0</v>
      </c>
      <c r="AW220" s="210">
        <f t="shared" ca="1" si="645"/>
        <v>0</v>
      </c>
      <c r="AX220" s="210">
        <f t="shared" ca="1" si="646"/>
        <v>0</v>
      </c>
      <c r="AY220" s="210">
        <f t="shared" ca="1" si="647"/>
        <v>0</v>
      </c>
      <c r="AZ220" s="13">
        <f t="shared" ca="1" si="648"/>
        <v>0</v>
      </c>
      <c r="BA220" s="357">
        <f ca="1"/>
        <v>0</v>
      </c>
      <c r="BB220" s="925">
        <f ca="1"/>
        <v>0</v>
      </c>
      <c r="BC220" s="925">
        <f ca="1"/>
        <v>0</v>
      </c>
      <c r="BD220" s="928">
        <f ca="1"/>
        <v>0</v>
      </c>
      <c r="BE220" s="200">
        <f ca="1"/>
        <v>0</v>
      </c>
      <c r="BF220" s="851">
        <f ca="1"/>
        <v>0</v>
      </c>
      <c r="BG220" s="851">
        <f ca="1"/>
        <v>0</v>
      </c>
      <c r="BH220" s="933">
        <f ca="1"/>
        <v>0</v>
      </c>
      <c r="BI220" s="357">
        <f ca="1"/>
        <v>0</v>
      </c>
      <c r="BJ220" s="925">
        <f ca="1"/>
        <v>0</v>
      </c>
      <c r="BK220" s="925">
        <f ca="1"/>
        <v>0</v>
      </c>
      <c r="BL220" s="928">
        <f ca="1"/>
        <v>0</v>
      </c>
      <c r="BM220" s="200">
        <f ca="1"/>
        <v>0</v>
      </c>
      <c r="BN220" s="851">
        <f ca="1"/>
        <v>0</v>
      </c>
      <c r="BO220" s="851">
        <f ca="1"/>
        <v>0</v>
      </c>
      <c r="BP220" s="933">
        <f ca="1"/>
        <v>0</v>
      </c>
      <c r="BQ220" s="357">
        <f t="shared" ca="1" si="649"/>
        <v>0</v>
      </c>
      <c r="BR220" s="361">
        <f t="shared" ca="1" si="650"/>
        <v>0</v>
      </c>
      <c r="BS220" s="357">
        <f t="shared" ca="1" si="651"/>
        <v>0</v>
      </c>
      <c r="BT220" s="302">
        <f t="shared" ca="1" si="652"/>
        <v>0</v>
      </c>
      <c r="BU220" s="299">
        <f t="shared" ca="1" si="653"/>
        <v>0</v>
      </c>
      <c r="BV220" s="299">
        <f t="shared" ca="1" si="654"/>
        <v>0</v>
      </c>
      <c r="BW220" s="299">
        <f t="shared" ca="1" si="655"/>
        <v>0</v>
      </c>
      <c r="BX220" s="380">
        <f t="shared" ca="1" si="656"/>
        <v>16.996577686516083</v>
      </c>
      <c r="BY220" s="363">
        <f t="shared" ca="1" si="657"/>
        <v>0</v>
      </c>
      <c r="BZ220" s="353">
        <f t="shared" ca="1" si="658"/>
        <v>0</v>
      </c>
      <c r="CA220" s="353">
        <f t="shared" ca="1" si="659"/>
        <v>0</v>
      </c>
      <c r="CB220" s="353">
        <f t="shared" ca="1" si="660"/>
        <v>0</v>
      </c>
      <c r="CC220" s="353">
        <f t="shared" ca="1" si="661"/>
        <v>0</v>
      </c>
      <c r="CD220" s="353">
        <f t="shared" ca="1" si="662"/>
        <v>0</v>
      </c>
      <c r="CE220" s="302">
        <f t="shared" ca="1" si="663"/>
        <v>0</v>
      </c>
      <c r="CF220" s="299">
        <f t="shared" ca="1" si="664"/>
        <v>0</v>
      </c>
      <c r="CG220" s="299">
        <f t="shared" ca="1" si="665"/>
        <v>0</v>
      </c>
      <c r="CH220" s="299">
        <f t="shared" ca="1" si="666"/>
        <v>0</v>
      </c>
      <c r="CI220" s="299">
        <f t="shared" ca="1" si="667"/>
        <v>0</v>
      </c>
      <c r="CJ220" s="299">
        <f t="shared" ca="1" si="668"/>
        <v>0</v>
      </c>
      <c r="CK220" s="299">
        <f t="shared" ca="1" si="669"/>
        <v>0</v>
      </c>
      <c r="CL220" s="377" t="str">
        <f t="shared" ca="1" si="670"/>
        <v/>
      </c>
      <c r="CM220" s="305" t="str">
        <f t="shared" ca="1" si="671"/>
        <v/>
      </c>
      <c r="CN220" s="305" t="str">
        <f t="shared" ca="1" si="672"/>
        <v/>
      </c>
      <c r="CO220" s="305" t="str">
        <f t="shared" ca="1" si="673"/>
        <v/>
      </c>
      <c r="CP220" s="305" t="str">
        <f t="shared" ca="1" si="674"/>
        <v/>
      </c>
      <c r="CQ220" s="305" t="str">
        <f t="shared" ca="1" si="675"/>
        <v/>
      </c>
      <c r="CR220" s="775" t="str">
        <f t="shared" ca="1" si="676"/>
        <v/>
      </c>
      <c r="CS220" s="305" t="str">
        <f t="shared" ca="1" si="677"/>
        <v/>
      </c>
      <c r="CT220" s="305" t="str">
        <f t="shared" ca="1" si="678"/>
        <v/>
      </c>
      <c r="CU220" s="305" t="str">
        <f t="shared" ca="1" si="679"/>
        <v/>
      </c>
      <c r="CV220" s="770" t="str">
        <f t="shared" ca="1" si="680"/>
        <v/>
      </c>
      <c r="CW220" s="302">
        <f t="shared" ca="1" si="681"/>
        <v>0</v>
      </c>
      <c r="CX220" s="299">
        <f t="shared" ca="1" si="682"/>
        <v>0</v>
      </c>
      <c r="CY220" s="299">
        <f t="shared" ca="1" si="683"/>
        <v>0</v>
      </c>
      <c r="CZ220" s="299">
        <f t="shared" ca="1" si="684"/>
        <v>0</v>
      </c>
      <c r="DA220" s="774">
        <f t="shared" ca="1" si="685"/>
        <v>0</v>
      </c>
      <c r="DB220" s="303">
        <f t="shared" ca="1" si="686"/>
        <v>0</v>
      </c>
      <c r="DC220" s="248">
        <f t="shared" ca="1" si="687"/>
        <v>0</v>
      </c>
      <c r="DD220" s="778">
        <f t="shared" ca="1" si="688"/>
        <v>0</v>
      </c>
      <c r="DE220" s="363">
        <f t="shared" ca="1" si="689"/>
        <v>0</v>
      </c>
      <c r="DF220" s="378" t="str">
        <f t="shared" ca="1" si="690"/>
        <v/>
      </c>
      <c r="DG220" s="508" t="str">
        <f t="shared" ca="1" si="691"/>
        <v/>
      </c>
      <c r="DH220" s="508" t="str">
        <f t="shared" ca="1" si="692"/>
        <v/>
      </c>
      <c r="DI220" s="508" t="str">
        <f t="shared" ca="1" si="693"/>
        <v/>
      </c>
      <c r="DJ220" s="508" t="str">
        <f t="shared" ca="1" si="694"/>
        <v/>
      </c>
      <c r="DK220" s="353">
        <f t="shared" ca="1" si="695"/>
        <v>0</v>
      </c>
      <c r="DL220" s="781">
        <f t="shared" ca="1" si="696"/>
        <v>0</v>
      </c>
      <c r="DM220" s="303">
        <f t="shared" ca="1" si="697"/>
        <v>0</v>
      </c>
      <c r="DN220" s="508" t="str">
        <f t="shared" ca="1" si="698"/>
        <v/>
      </c>
      <c r="DO220" s="508" t="str">
        <f t="shared" ca="1" si="699"/>
        <v/>
      </c>
      <c r="DP220" s="508" t="str">
        <f t="shared" ca="1" si="700"/>
        <v/>
      </c>
      <c r="DQ220" s="508" t="str">
        <f t="shared" ca="1" si="701"/>
        <v/>
      </c>
      <c r="DR220" s="508" t="str">
        <f t="shared" ca="1" si="702"/>
        <v/>
      </c>
      <c r="DS220" s="353">
        <f t="shared" ca="1" si="703"/>
        <v>0</v>
      </c>
      <c r="DT220" s="353">
        <f t="shared" ca="1" si="704"/>
        <v>0</v>
      </c>
      <c r="DU220" s="380">
        <f t="shared" ca="1" si="804"/>
        <v>16.996577686516083</v>
      </c>
      <c r="DV220" s="303">
        <f t="shared" ca="1" si="705"/>
        <v>0</v>
      </c>
      <c r="DW220" s="303">
        <f t="shared" ca="1" si="706"/>
        <v>0</v>
      </c>
      <c r="DX220" s="303">
        <f t="shared" ca="1" si="707"/>
        <v>0</v>
      </c>
      <c r="DY220" s="303">
        <f t="shared" ca="1" si="708"/>
        <v>0</v>
      </c>
      <c r="DZ220" s="303">
        <f t="shared" ca="1" si="709"/>
        <v>0</v>
      </c>
      <c r="EA220" s="303">
        <f t="shared" ca="1" si="710"/>
        <v>0</v>
      </c>
      <c r="EB220" s="302">
        <f t="shared" ca="1" si="711"/>
        <v>0</v>
      </c>
      <c r="EC220" s="299">
        <f t="shared" ca="1" si="712"/>
        <v>0</v>
      </c>
      <c r="ED220" s="299">
        <f t="shared" ca="1" si="713"/>
        <v>0</v>
      </c>
      <c r="EE220" s="299">
        <f t="shared" ca="1" si="714"/>
        <v>0</v>
      </c>
      <c r="EF220" s="299">
        <f t="shared" ca="1" si="715"/>
        <v>0</v>
      </c>
      <c r="EG220" s="299">
        <f t="shared" ca="1" si="716"/>
        <v>0</v>
      </c>
      <c r="EH220" s="302">
        <f t="shared" ca="1" si="717"/>
        <v>0</v>
      </c>
      <c r="EI220" s="304" t="str">
        <f t="shared" ca="1" si="718"/>
        <v/>
      </c>
      <c r="EJ220" s="305" t="str">
        <f t="shared" ca="1" si="719"/>
        <v/>
      </c>
      <c r="EK220" s="305" t="str">
        <f t="shared" ca="1" si="720"/>
        <v/>
      </c>
      <c r="EL220" s="305" t="str">
        <f t="shared" ca="1" si="721"/>
        <v/>
      </c>
      <c r="EM220" s="305" t="str">
        <f t="shared" ca="1" si="722"/>
        <v/>
      </c>
      <c r="EN220" s="305" t="str">
        <f t="shared" ca="1" si="723"/>
        <v/>
      </c>
      <c r="EO220" s="305" t="str">
        <f t="shared" ca="1" si="724"/>
        <v/>
      </c>
      <c r="EP220" s="305" t="str">
        <f t="shared" ca="1" si="725"/>
        <v/>
      </c>
      <c r="EQ220" s="305" t="str">
        <f t="shared" ca="1" si="726"/>
        <v/>
      </c>
      <c r="ER220" s="305" t="str">
        <f t="shared" ca="1" si="727"/>
        <v/>
      </c>
      <c r="ES220" s="305" t="str">
        <f t="shared" ca="1" si="728"/>
        <v/>
      </c>
      <c r="ET220" s="299">
        <f t="shared" ca="1" si="729"/>
        <v>0</v>
      </c>
      <c r="EU220" s="302">
        <f t="shared" ca="1" si="730"/>
        <v>0</v>
      </c>
      <c r="EV220" s="304" t="str">
        <f t="shared" ca="1" si="731"/>
        <v/>
      </c>
      <c r="EW220" s="305" t="str">
        <f t="shared" ca="1" si="732"/>
        <v/>
      </c>
      <c r="EX220" s="305" t="str">
        <f t="shared" ca="1" si="733"/>
        <v/>
      </c>
      <c r="EY220" s="305" t="str">
        <f t="shared" ca="1" si="734"/>
        <v/>
      </c>
      <c r="EZ220" s="305" t="str">
        <f t="shared" ca="1" si="735"/>
        <v/>
      </c>
      <c r="FA220" s="305" t="str">
        <f t="shared" ca="1" si="736"/>
        <v/>
      </c>
      <c r="FB220" s="305" t="str">
        <f t="shared" ca="1" si="737"/>
        <v/>
      </c>
      <c r="FC220" s="305" t="str">
        <f t="shared" ca="1" si="738"/>
        <v/>
      </c>
      <c r="FD220" s="305" t="str">
        <f t="shared" ca="1" si="739"/>
        <v/>
      </c>
      <c r="FE220" s="305" t="str">
        <f t="shared" ca="1" si="740"/>
        <v/>
      </c>
      <c r="FF220" s="305" t="str">
        <f t="shared" ca="1" si="741"/>
        <v/>
      </c>
      <c r="FG220" s="299">
        <f t="shared" ca="1" si="742"/>
        <v>0</v>
      </c>
      <c r="FH220" s="302">
        <f t="shared" ca="1" si="743"/>
        <v>0</v>
      </c>
      <c r="FI220" s="248">
        <f t="shared" ca="1" si="744"/>
        <v>0</v>
      </c>
      <c r="FJ220" s="363">
        <f t="shared" ca="1" si="745"/>
        <v>0</v>
      </c>
      <c r="FK220" s="378" t="str">
        <f t="shared" ca="1" si="746"/>
        <v/>
      </c>
      <c r="FL220" s="508" t="str">
        <f t="shared" ca="1" si="747"/>
        <v/>
      </c>
      <c r="FM220" s="508" t="str">
        <f t="shared" ca="1" si="748"/>
        <v/>
      </c>
      <c r="FN220" s="508" t="str">
        <f t="shared" ca="1" si="749"/>
        <v/>
      </c>
      <c r="FO220" s="508" t="str">
        <f t="shared" ca="1" si="750"/>
        <v/>
      </c>
      <c r="FP220" s="353">
        <f t="shared" ca="1" si="751"/>
        <v>0</v>
      </c>
      <c r="FQ220" s="356">
        <f t="shared" ca="1" si="752"/>
        <v>0</v>
      </c>
      <c r="FR220" s="380">
        <f t="shared" ca="1" si="753"/>
        <v>0</v>
      </c>
      <c r="FS220" s="299">
        <f t="shared" ca="1" si="754"/>
        <v>0</v>
      </c>
      <c r="FT220" s="299">
        <f t="shared" ca="1" si="755"/>
        <v>0</v>
      </c>
      <c r="FU220" s="299">
        <f t="shared" ca="1" si="756"/>
        <v>0</v>
      </c>
      <c r="FV220" s="299">
        <f t="shared" ca="1" si="757"/>
        <v>0</v>
      </c>
      <c r="FW220" s="850" t="str">
        <f t="shared" ca="1" si="758"/>
        <v/>
      </c>
      <c r="FX220" s="851" t="str">
        <f t="shared" ca="1" si="759"/>
        <v/>
      </c>
      <c r="FY220" s="851" t="str">
        <f t="shared" ca="1" si="760"/>
        <v/>
      </c>
      <c r="FZ220" s="201" t="str">
        <f t="shared" ca="1" si="761"/>
        <v/>
      </c>
      <c r="GA220" s="201" t="str">
        <f t="shared" ca="1" si="762"/>
        <v/>
      </c>
      <c r="GB220" s="201" t="str">
        <f t="shared" ca="1" si="763"/>
        <v/>
      </c>
      <c r="GC220" s="201" t="str">
        <f t="shared" ca="1" si="764"/>
        <v/>
      </c>
      <c r="GD220" s="850" t="str">
        <f t="shared" ca="1" si="765"/>
        <v/>
      </c>
      <c r="GE220" s="866" t="str">
        <f t="shared" ca="1" si="766"/>
        <v/>
      </c>
      <c r="GF220" s="866" t="str">
        <f t="shared" ca="1" si="767"/>
        <v/>
      </c>
      <c r="GG220" s="866" t="str">
        <f t="shared" ca="1" si="768"/>
        <v/>
      </c>
      <c r="GH220" s="866" t="str">
        <f t="shared" ca="1" si="769"/>
        <v/>
      </c>
      <c r="GI220" s="302">
        <f t="shared" ca="1" si="770"/>
        <v>0</v>
      </c>
      <c r="GJ220" s="299">
        <f t="shared" ca="1" si="771"/>
        <v>0</v>
      </c>
      <c r="GK220" s="299">
        <f t="shared" ca="1" si="772"/>
        <v>0</v>
      </c>
      <c r="GL220" s="299">
        <f t="shared" ca="1" si="773"/>
        <v>0</v>
      </c>
      <c r="GM220" s="299">
        <f t="shared" ca="1" si="774"/>
        <v>0</v>
      </c>
      <c r="GN220" s="302">
        <f t="shared" ca="1" si="775"/>
        <v>0</v>
      </c>
      <c r="GO220" s="299">
        <f t="shared" ca="1" si="776"/>
        <v>0</v>
      </c>
      <c r="GP220" s="299">
        <f t="shared" ca="1" si="777"/>
        <v>0</v>
      </c>
      <c r="GQ220" s="299">
        <f t="shared" ca="1" si="778"/>
        <v>0</v>
      </c>
      <c r="GR220" s="299">
        <f t="shared" ca="1" si="779"/>
        <v>0</v>
      </c>
      <c r="GS220" s="302">
        <f t="shared" ca="1" si="780"/>
        <v>0</v>
      </c>
      <c r="GT220" s="299">
        <f t="shared" ca="1" si="781"/>
        <v>0</v>
      </c>
      <c r="GU220" s="299">
        <f t="shared" ca="1" si="782"/>
        <v>0</v>
      </c>
      <c r="GV220" s="299">
        <f t="shared" ca="1" si="783"/>
        <v>0</v>
      </c>
      <c r="GW220" s="299">
        <f t="shared" ca="1" si="784"/>
        <v>0</v>
      </c>
      <c r="GX220" s="303">
        <f t="shared" ca="1" si="785"/>
        <v>0</v>
      </c>
      <c r="GY220" s="303">
        <f t="shared" ca="1" si="786"/>
        <v>0</v>
      </c>
      <c r="GZ220" s="303">
        <f t="shared" ca="1" si="787"/>
        <v>0</v>
      </c>
      <c r="HA220" s="303">
        <f t="shared" ca="1" si="788"/>
        <v>0</v>
      </c>
      <c r="HB220" s="303">
        <f t="shared" ca="1" si="789"/>
        <v>0</v>
      </c>
      <c r="HC220" s="303">
        <f t="shared" ca="1" si="790"/>
        <v>0</v>
      </c>
      <c r="HD220" s="303">
        <f t="shared" ca="1" si="791"/>
        <v>0</v>
      </c>
      <c r="HE220" s="303">
        <f t="shared" ca="1" si="792"/>
        <v>0</v>
      </c>
      <c r="HF220" s="303">
        <f t="shared" ca="1" si="793"/>
        <v>0</v>
      </c>
      <c r="HG220" s="852">
        <f t="shared" ca="1" si="794"/>
        <v>0</v>
      </c>
    </row>
    <row r="221" spans="1:215" x14ac:dyDescent="0.25">
      <c r="A221" s="244">
        <f t="shared" ca="1" si="795"/>
        <v>42826</v>
      </c>
      <c r="B221" s="13">
        <f t="shared" ca="1" si="623"/>
        <v>2017</v>
      </c>
      <c r="C221" s="619">
        <f t="shared" ca="1" si="624"/>
        <v>4</v>
      </c>
      <c r="D221" s="195" t="str">
        <f t="shared" ca="1" si="625"/>
        <v/>
      </c>
      <c r="E221" s="469" t="str">
        <f t="shared" ca="1" si="626"/>
        <v/>
      </c>
      <c r="F221" s="465" t="str">
        <f t="shared" ca="1" si="627"/>
        <v/>
      </c>
      <c r="G221" s="522">
        <f t="shared" ca="1" si="796"/>
        <v>1</v>
      </c>
      <c r="H221" s="519">
        <f t="shared" ca="1" si="797"/>
        <v>1</v>
      </c>
      <c r="I221" s="724">
        <f t="shared" ca="1" si="628"/>
        <v>7.4180079239912003E-2</v>
      </c>
      <c r="J221" s="198">
        <f t="shared" ca="1" si="629"/>
        <v>0.28537768377406064</v>
      </c>
      <c r="K221" s="200">
        <f t="shared" ca="1" si="805"/>
        <v>33.5</v>
      </c>
      <c r="L221" s="201">
        <f t="shared" ca="1" si="806"/>
        <v>34.549999999999997</v>
      </c>
      <c r="M221" s="206">
        <f t="shared" ca="1" si="807"/>
        <v>35.6</v>
      </c>
      <c r="N221" s="851">
        <f t="shared" ca="1" si="811"/>
        <v>23.530000305175768</v>
      </c>
      <c r="O221" s="201">
        <f t="shared" ca="1" si="812"/>
        <v>24.31750030517577</v>
      </c>
      <c r="P221" s="206">
        <f t="shared" ca="1" si="813"/>
        <v>25.105000305175771</v>
      </c>
      <c r="Q221" s="201">
        <f t="shared" ca="1" si="814"/>
        <v>18.734999084472644</v>
      </c>
      <c r="R221" s="201">
        <f t="shared" ca="1" si="815"/>
        <v>23.034999084472645</v>
      </c>
      <c r="S221" s="201">
        <f t="shared" ca="1" si="816"/>
        <v>27.334999084472646</v>
      </c>
      <c r="T221" s="851">
        <f t="shared" ca="1" si="808"/>
        <v>20.874997711181635</v>
      </c>
      <c r="U221" s="201">
        <f t="shared" ca="1" si="809"/>
        <v>21.399997711181634</v>
      </c>
      <c r="V221" s="206">
        <f t="shared" ca="1" si="810"/>
        <v>21.924997711181632</v>
      </c>
      <c r="W221" s="230">
        <f t="shared" ca="1" si="798"/>
        <v>5.2188019735383076E-2</v>
      </c>
      <c r="X221" s="231">
        <f t="shared" ca="1" si="799"/>
        <v>0.10437603947076615</v>
      </c>
      <c r="Y221" s="232">
        <f t="shared" ca="1" si="800"/>
        <v>0.15656405920614924</v>
      </c>
      <c r="Z221" s="231">
        <f t="shared" ca="1" si="612"/>
        <v>5.2188019735383076E-2</v>
      </c>
      <c r="AA221" s="231">
        <f t="shared" ca="1" si="613"/>
        <v>0.10437603947076615</v>
      </c>
      <c r="AB221" s="232">
        <f t="shared" ca="1" si="614"/>
        <v>0.15656405920614924</v>
      </c>
      <c r="AC221" s="231">
        <f t="shared" ca="1" si="615"/>
        <v>5.2188019735383076E-2</v>
      </c>
      <c r="AD221" s="231">
        <f t="shared" ca="1" si="616"/>
        <v>0.10437603947076615</v>
      </c>
      <c r="AE221" s="232">
        <f t="shared" ca="1" si="630"/>
        <v>0.15656405920614924</v>
      </c>
      <c r="AF221" s="231">
        <f t="shared" ca="1" si="801"/>
        <v>2.1279652985419371E-2</v>
      </c>
      <c r="AG221" s="231">
        <f t="shared" ca="1" si="802"/>
        <v>4.2559305970838741E-2</v>
      </c>
      <c r="AH221" s="232">
        <f t="shared" ca="1" si="803"/>
        <v>6.3838958956258116E-2</v>
      </c>
      <c r="AI221" s="233">
        <f t="shared" ca="1" si="631"/>
        <v>0.85000000000000009</v>
      </c>
      <c r="AJ221" s="233">
        <f t="shared" ca="1" si="632"/>
        <v>1.1000000000000001</v>
      </c>
      <c r="AK221" s="234">
        <f t="shared" ca="1" si="633"/>
        <v>1.4000000000000001</v>
      </c>
      <c r="AL221" s="919">
        <f t="shared" ca="1" si="634"/>
        <v>0.85000000000000009</v>
      </c>
      <c r="AM221" s="233">
        <f t="shared" ca="1" si="635"/>
        <v>1.1000000000000001</v>
      </c>
      <c r="AN221" s="234">
        <f t="shared" ca="1" si="636"/>
        <v>1.4000000000000001</v>
      </c>
      <c r="AO221" s="233">
        <f t="shared" ca="1" si="637"/>
        <v>0.85000000000000009</v>
      </c>
      <c r="AP221" s="233">
        <f t="shared" ca="1" si="638"/>
        <v>1.1000000000000001</v>
      </c>
      <c r="AQ221" s="233">
        <f t="shared" ca="1" si="639"/>
        <v>1.4000000000000001</v>
      </c>
      <c r="AR221" s="919">
        <f t="shared" ca="1" si="640"/>
        <v>0.19999999999999998</v>
      </c>
      <c r="AS221" s="233">
        <f t="shared" ca="1" si="641"/>
        <v>0.35</v>
      </c>
      <c r="AT221" s="235">
        <f t="shared" ca="1" si="642"/>
        <v>0.55000000000000004</v>
      </c>
      <c r="AU221" s="946">
        <f t="shared" si="643"/>
        <v>0.5</v>
      </c>
      <c r="AV221" s="13">
        <f t="shared" ca="1" si="644"/>
        <v>0</v>
      </c>
      <c r="AW221" s="210">
        <f t="shared" ca="1" si="645"/>
        <v>0</v>
      </c>
      <c r="AX221" s="210">
        <f t="shared" ca="1" si="646"/>
        <v>0</v>
      </c>
      <c r="AY221" s="210">
        <f t="shared" ca="1" si="647"/>
        <v>0</v>
      </c>
      <c r="AZ221" s="13">
        <f t="shared" ca="1" si="648"/>
        <v>0</v>
      </c>
      <c r="BA221" s="357">
        <f ca="1"/>
        <v>0</v>
      </c>
      <c r="BB221" s="925">
        <f ca="1"/>
        <v>0</v>
      </c>
      <c r="BC221" s="925">
        <f ca="1"/>
        <v>0</v>
      </c>
      <c r="BD221" s="928">
        <f ca="1"/>
        <v>0</v>
      </c>
      <c r="BE221" s="200">
        <f ca="1"/>
        <v>0</v>
      </c>
      <c r="BF221" s="851">
        <f ca="1"/>
        <v>0</v>
      </c>
      <c r="BG221" s="851">
        <f ca="1"/>
        <v>0</v>
      </c>
      <c r="BH221" s="933">
        <f ca="1"/>
        <v>0</v>
      </c>
      <c r="BI221" s="357">
        <f ca="1"/>
        <v>0</v>
      </c>
      <c r="BJ221" s="925">
        <f ca="1"/>
        <v>0</v>
      </c>
      <c r="BK221" s="925">
        <f ca="1"/>
        <v>0</v>
      </c>
      <c r="BL221" s="928">
        <f ca="1"/>
        <v>0</v>
      </c>
      <c r="BM221" s="200">
        <f ca="1"/>
        <v>0</v>
      </c>
      <c r="BN221" s="851">
        <f ca="1"/>
        <v>0</v>
      </c>
      <c r="BO221" s="851">
        <f ca="1"/>
        <v>0</v>
      </c>
      <c r="BP221" s="933">
        <f ca="1"/>
        <v>0</v>
      </c>
      <c r="BQ221" s="357">
        <f t="shared" ca="1" si="649"/>
        <v>0</v>
      </c>
      <c r="BR221" s="361">
        <f t="shared" ca="1" si="650"/>
        <v>0</v>
      </c>
      <c r="BS221" s="357">
        <f t="shared" ca="1" si="651"/>
        <v>0</v>
      </c>
      <c r="BT221" s="302">
        <f t="shared" ca="1" si="652"/>
        <v>0</v>
      </c>
      <c r="BU221" s="299">
        <f t="shared" ca="1" si="653"/>
        <v>0</v>
      </c>
      <c r="BV221" s="299">
        <f t="shared" ca="1" si="654"/>
        <v>0</v>
      </c>
      <c r="BW221" s="299">
        <f t="shared" ca="1" si="655"/>
        <v>0</v>
      </c>
      <c r="BX221" s="380">
        <f t="shared" ca="1" si="656"/>
        <v>17.081451060917178</v>
      </c>
      <c r="BY221" s="363">
        <f t="shared" ca="1" si="657"/>
        <v>0</v>
      </c>
      <c r="BZ221" s="353">
        <f t="shared" ca="1" si="658"/>
        <v>0</v>
      </c>
      <c r="CA221" s="353">
        <f t="shared" ca="1" si="659"/>
        <v>0</v>
      </c>
      <c r="CB221" s="353">
        <f t="shared" ca="1" si="660"/>
        <v>0</v>
      </c>
      <c r="CC221" s="353">
        <f t="shared" ca="1" si="661"/>
        <v>0</v>
      </c>
      <c r="CD221" s="353">
        <f t="shared" ca="1" si="662"/>
        <v>0</v>
      </c>
      <c r="CE221" s="302">
        <f t="shared" ca="1" si="663"/>
        <v>0</v>
      </c>
      <c r="CF221" s="299">
        <f t="shared" ca="1" si="664"/>
        <v>0</v>
      </c>
      <c r="CG221" s="299">
        <f t="shared" ca="1" si="665"/>
        <v>0</v>
      </c>
      <c r="CH221" s="299">
        <f t="shared" ca="1" si="666"/>
        <v>0</v>
      </c>
      <c r="CI221" s="299">
        <f t="shared" ca="1" si="667"/>
        <v>0</v>
      </c>
      <c r="CJ221" s="299">
        <f t="shared" ca="1" si="668"/>
        <v>0</v>
      </c>
      <c r="CK221" s="299">
        <f t="shared" ca="1" si="669"/>
        <v>0</v>
      </c>
      <c r="CL221" s="377" t="str">
        <f t="shared" ca="1" si="670"/>
        <v/>
      </c>
      <c r="CM221" s="305" t="str">
        <f t="shared" ca="1" si="671"/>
        <v/>
      </c>
      <c r="CN221" s="305" t="str">
        <f t="shared" ca="1" si="672"/>
        <v/>
      </c>
      <c r="CO221" s="305" t="str">
        <f t="shared" ca="1" si="673"/>
        <v/>
      </c>
      <c r="CP221" s="305" t="str">
        <f t="shared" ca="1" si="674"/>
        <v/>
      </c>
      <c r="CQ221" s="305" t="str">
        <f t="shared" ca="1" si="675"/>
        <v/>
      </c>
      <c r="CR221" s="775" t="str">
        <f t="shared" ca="1" si="676"/>
        <v/>
      </c>
      <c r="CS221" s="305" t="str">
        <f t="shared" ca="1" si="677"/>
        <v/>
      </c>
      <c r="CT221" s="305" t="str">
        <f t="shared" ca="1" si="678"/>
        <v/>
      </c>
      <c r="CU221" s="305" t="str">
        <f t="shared" ca="1" si="679"/>
        <v/>
      </c>
      <c r="CV221" s="770" t="str">
        <f t="shared" ca="1" si="680"/>
        <v/>
      </c>
      <c r="CW221" s="302">
        <f t="shared" ca="1" si="681"/>
        <v>0</v>
      </c>
      <c r="CX221" s="299">
        <f t="shared" ca="1" si="682"/>
        <v>0</v>
      </c>
      <c r="CY221" s="299">
        <f t="shared" ca="1" si="683"/>
        <v>0</v>
      </c>
      <c r="CZ221" s="299">
        <f t="shared" ca="1" si="684"/>
        <v>0</v>
      </c>
      <c r="DA221" s="774">
        <f t="shared" ca="1" si="685"/>
        <v>0</v>
      </c>
      <c r="DB221" s="303">
        <f t="shared" ca="1" si="686"/>
        <v>0</v>
      </c>
      <c r="DC221" s="248">
        <f t="shared" ca="1" si="687"/>
        <v>0</v>
      </c>
      <c r="DD221" s="778">
        <f t="shared" ca="1" si="688"/>
        <v>0</v>
      </c>
      <c r="DE221" s="363">
        <f t="shared" ca="1" si="689"/>
        <v>0</v>
      </c>
      <c r="DF221" s="378" t="str">
        <f t="shared" ca="1" si="690"/>
        <v/>
      </c>
      <c r="DG221" s="508" t="str">
        <f t="shared" ca="1" si="691"/>
        <v/>
      </c>
      <c r="DH221" s="508" t="str">
        <f t="shared" ca="1" si="692"/>
        <v/>
      </c>
      <c r="DI221" s="508" t="str">
        <f t="shared" ca="1" si="693"/>
        <v/>
      </c>
      <c r="DJ221" s="508" t="str">
        <f t="shared" ca="1" si="694"/>
        <v/>
      </c>
      <c r="DK221" s="353">
        <f t="shared" ca="1" si="695"/>
        <v>0</v>
      </c>
      <c r="DL221" s="781">
        <f t="shared" ca="1" si="696"/>
        <v>0</v>
      </c>
      <c r="DM221" s="303">
        <f t="shared" ca="1" si="697"/>
        <v>0</v>
      </c>
      <c r="DN221" s="508" t="str">
        <f t="shared" ca="1" si="698"/>
        <v/>
      </c>
      <c r="DO221" s="508" t="str">
        <f t="shared" ca="1" si="699"/>
        <v/>
      </c>
      <c r="DP221" s="508" t="str">
        <f t="shared" ca="1" si="700"/>
        <v/>
      </c>
      <c r="DQ221" s="508" t="str">
        <f t="shared" ca="1" si="701"/>
        <v/>
      </c>
      <c r="DR221" s="508" t="str">
        <f t="shared" ca="1" si="702"/>
        <v/>
      </c>
      <c r="DS221" s="353">
        <f t="shared" ca="1" si="703"/>
        <v>0</v>
      </c>
      <c r="DT221" s="353">
        <f t="shared" ca="1" si="704"/>
        <v>0</v>
      </c>
      <c r="DU221" s="380">
        <f t="shared" ca="1" si="804"/>
        <v>17.081451060917178</v>
      </c>
      <c r="DV221" s="303">
        <f t="shared" ca="1" si="705"/>
        <v>0</v>
      </c>
      <c r="DW221" s="303">
        <f t="shared" ca="1" si="706"/>
        <v>0</v>
      </c>
      <c r="DX221" s="303">
        <f t="shared" ca="1" si="707"/>
        <v>0</v>
      </c>
      <c r="DY221" s="303">
        <f t="shared" ca="1" si="708"/>
        <v>0</v>
      </c>
      <c r="DZ221" s="303">
        <f t="shared" ca="1" si="709"/>
        <v>0</v>
      </c>
      <c r="EA221" s="303">
        <f t="shared" ca="1" si="710"/>
        <v>0</v>
      </c>
      <c r="EB221" s="302">
        <f t="shared" ca="1" si="711"/>
        <v>0</v>
      </c>
      <c r="EC221" s="299">
        <f t="shared" ca="1" si="712"/>
        <v>0</v>
      </c>
      <c r="ED221" s="299">
        <f t="shared" ca="1" si="713"/>
        <v>0</v>
      </c>
      <c r="EE221" s="299">
        <f t="shared" ca="1" si="714"/>
        <v>0</v>
      </c>
      <c r="EF221" s="299">
        <f t="shared" ca="1" si="715"/>
        <v>0</v>
      </c>
      <c r="EG221" s="299">
        <f t="shared" ca="1" si="716"/>
        <v>0</v>
      </c>
      <c r="EH221" s="302">
        <f t="shared" ca="1" si="717"/>
        <v>0</v>
      </c>
      <c r="EI221" s="304" t="str">
        <f t="shared" ca="1" si="718"/>
        <v/>
      </c>
      <c r="EJ221" s="305" t="str">
        <f t="shared" ca="1" si="719"/>
        <v/>
      </c>
      <c r="EK221" s="305" t="str">
        <f t="shared" ca="1" si="720"/>
        <v/>
      </c>
      <c r="EL221" s="305" t="str">
        <f t="shared" ca="1" si="721"/>
        <v/>
      </c>
      <c r="EM221" s="305" t="str">
        <f t="shared" ca="1" si="722"/>
        <v/>
      </c>
      <c r="EN221" s="305" t="str">
        <f t="shared" ca="1" si="723"/>
        <v/>
      </c>
      <c r="EO221" s="305" t="str">
        <f t="shared" ca="1" si="724"/>
        <v/>
      </c>
      <c r="EP221" s="305" t="str">
        <f t="shared" ca="1" si="725"/>
        <v/>
      </c>
      <c r="EQ221" s="305" t="str">
        <f t="shared" ca="1" si="726"/>
        <v/>
      </c>
      <c r="ER221" s="305" t="str">
        <f t="shared" ca="1" si="727"/>
        <v/>
      </c>
      <c r="ES221" s="305" t="str">
        <f t="shared" ca="1" si="728"/>
        <v/>
      </c>
      <c r="ET221" s="299">
        <f t="shared" ca="1" si="729"/>
        <v>0</v>
      </c>
      <c r="EU221" s="302">
        <f t="shared" ca="1" si="730"/>
        <v>0</v>
      </c>
      <c r="EV221" s="304" t="str">
        <f t="shared" ca="1" si="731"/>
        <v/>
      </c>
      <c r="EW221" s="305" t="str">
        <f t="shared" ca="1" si="732"/>
        <v/>
      </c>
      <c r="EX221" s="305" t="str">
        <f t="shared" ca="1" si="733"/>
        <v/>
      </c>
      <c r="EY221" s="305" t="str">
        <f t="shared" ca="1" si="734"/>
        <v/>
      </c>
      <c r="EZ221" s="305" t="str">
        <f t="shared" ca="1" si="735"/>
        <v/>
      </c>
      <c r="FA221" s="305" t="str">
        <f t="shared" ca="1" si="736"/>
        <v/>
      </c>
      <c r="FB221" s="305" t="str">
        <f t="shared" ca="1" si="737"/>
        <v/>
      </c>
      <c r="FC221" s="305" t="str">
        <f t="shared" ca="1" si="738"/>
        <v/>
      </c>
      <c r="FD221" s="305" t="str">
        <f t="shared" ca="1" si="739"/>
        <v/>
      </c>
      <c r="FE221" s="305" t="str">
        <f t="shared" ca="1" si="740"/>
        <v/>
      </c>
      <c r="FF221" s="305" t="str">
        <f t="shared" ca="1" si="741"/>
        <v/>
      </c>
      <c r="FG221" s="299">
        <f t="shared" ca="1" si="742"/>
        <v>0</v>
      </c>
      <c r="FH221" s="302">
        <f t="shared" ca="1" si="743"/>
        <v>0</v>
      </c>
      <c r="FI221" s="248">
        <f t="shared" ca="1" si="744"/>
        <v>0</v>
      </c>
      <c r="FJ221" s="363">
        <f t="shared" ca="1" si="745"/>
        <v>0</v>
      </c>
      <c r="FK221" s="378" t="str">
        <f t="shared" ca="1" si="746"/>
        <v/>
      </c>
      <c r="FL221" s="508" t="str">
        <f t="shared" ca="1" si="747"/>
        <v/>
      </c>
      <c r="FM221" s="508" t="str">
        <f t="shared" ca="1" si="748"/>
        <v/>
      </c>
      <c r="FN221" s="508" t="str">
        <f t="shared" ca="1" si="749"/>
        <v/>
      </c>
      <c r="FO221" s="508" t="str">
        <f t="shared" ca="1" si="750"/>
        <v/>
      </c>
      <c r="FP221" s="353">
        <f t="shared" ca="1" si="751"/>
        <v>0</v>
      </c>
      <c r="FQ221" s="356">
        <f t="shared" ca="1" si="752"/>
        <v>0</v>
      </c>
      <c r="FR221" s="380">
        <f t="shared" ca="1" si="753"/>
        <v>0</v>
      </c>
      <c r="FS221" s="299">
        <f t="shared" ca="1" si="754"/>
        <v>0</v>
      </c>
      <c r="FT221" s="299">
        <f t="shared" ca="1" si="755"/>
        <v>0</v>
      </c>
      <c r="FU221" s="299">
        <f t="shared" ca="1" si="756"/>
        <v>0</v>
      </c>
      <c r="FV221" s="299">
        <f t="shared" ca="1" si="757"/>
        <v>0</v>
      </c>
      <c r="FW221" s="850" t="str">
        <f t="shared" ca="1" si="758"/>
        <v/>
      </c>
      <c r="FX221" s="851" t="str">
        <f t="shared" ca="1" si="759"/>
        <v/>
      </c>
      <c r="FY221" s="851" t="str">
        <f t="shared" ca="1" si="760"/>
        <v/>
      </c>
      <c r="FZ221" s="201" t="str">
        <f t="shared" ca="1" si="761"/>
        <v/>
      </c>
      <c r="GA221" s="201" t="str">
        <f t="shared" ca="1" si="762"/>
        <v/>
      </c>
      <c r="GB221" s="201" t="str">
        <f t="shared" ca="1" si="763"/>
        <v/>
      </c>
      <c r="GC221" s="201" t="str">
        <f t="shared" ca="1" si="764"/>
        <v/>
      </c>
      <c r="GD221" s="850" t="str">
        <f t="shared" ca="1" si="765"/>
        <v/>
      </c>
      <c r="GE221" s="866" t="str">
        <f t="shared" ca="1" si="766"/>
        <v/>
      </c>
      <c r="GF221" s="866" t="str">
        <f t="shared" ca="1" si="767"/>
        <v/>
      </c>
      <c r="GG221" s="866" t="str">
        <f t="shared" ca="1" si="768"/>
        <v/>
      </c>
      <c r="GH221" s="866" t="str">
        <f t="shared" ca="1" si="769"/>
        <v/>
      </c>
      <c r="GI221" s="302">
        <f t="shared" ca="1" si="770"/>
        <v>0</v>
      </c>
      <c r="GJ221" s="299">
        <f t="shared" ca="1" si="771"/>
        <v>0</v>
      </c>
      <c r="GK221" s="299">
        <f t="shared" ca="1" si="772"/>
        <v>0</v>
      </c>
      <c r="GL221" s="299">
        <f t="shared" ca="1" si="773"/>
        <v>0</v>
      </c>
      <c r="GM221" s="299">
        <f t="shared" ca="1" si="774"/>
        <v>0</v>
      </c>
      <c r="GN221" s="302">
        <f t="shared" ca="1" si="775"/>
        <v>0</v>
      </c>
      <c r="GO221" s="299">
        <f t="shared" ca="1" si="776"/>
        <v>0</v>
      </c>
      <c r="GP221" s="299">
        <f t="shared" ca="1" si="777"/>
        <v>0</v>
      </c>
      <c r="GQ221" s="299">
        <f t="shared" ca="1" si="778"/>
        <v>0</v>
      </c>
      <c r="GR221" s="299">
        <f t="shared" ca="1" si="779"/>
        <v>0</v>
      </c>
      <c r="GS221" s="302">
        <f t="shared" ca="1" si="780"/>
        <v>0</v>
      </c>
      <c r="GT221" s="299">
        <f t="shared" ca="1" si="781"/>
        <v>0</v>
      </c>
      <c r="GU221" s="299">
        <f t="shared" ca="1" si="782"/>
        <v>0</v>
      </c>
      <c r="GV221" s="299">
        <f t="shared" ca="1" si="783"/>
        <v>0</v>
      </c>
      <c r="GW221" s="299">
        <f t="shared" ca="1" si="784"/>
        <v>0</v>
      </c>
      <c r="GX221" s="303">
        <f t="shared" ca="1" si="785"/>
        <v>0</v>
      </c>
      <c r="GY221" s="303">
        <f t="shared" ca="1" si="786"/>
        <v>0</v>
      </c>
      <c r="GZ221" s="303">
        <f t="shared" ca="1" si="787"/>
        <v>0</v>
      </c>
      <c r="HA221" s="303">
        <f t="shared" ca="1" si="788"/>
        <v>0</v>
      </c>
      <c r="HB221" s="303">
        <f t="shared" ca="1" si="789"/>
        <v>0</v>
      </c>
      <c r="HC221" s="303">
        <f t="shared" ca="1" si="790"/>
        <v>0</v>
      </c>
      <c r="HD221" s="303">
        <f t="shared" ca="1" si="791"/>
        <v>0</v>
      </c>
      <c r="HE221" s="303">
        <f t="shared" ca="1" si="792"/>
        <v>0</v>
      </c>
      <c r="HF221" s="303">
        <f t="shared" ca="1" si="793"/>
        <v>0</v>
      </c>
      <c r="HG221" s="852">
        <f t="shared" ca="1" si="794"/>
        <v>0</v>
      </c>
    </row>
    <row r="222" spans="1:215" x14ac:dyDescent="0.25">
      <c r="A222" s="244">
        <f t="shared" ca="1" si="795"/>
        <v>42856</v>
      </c>
      <c r="B222" s="13">
        <f t="shared" ca="1" si="623"/>
        <v>2017</v>
      </c>
      <c r="C222" s="619">
        <f t="shared" ca="1" si="624"/>
        <v>5</v>
      </c>
      <c r="D222" s="195">
        <f t="shared" ca="1" si="625"/>
        <v>42884</v>
      </c>
      <c r="E222" s="469" t="str">
        <f t="shared" ca="1" si="626"/>
        <v/>
      </c>
      <c r="F222" s="465" t="str">
        <f t="shared" ca="1" si="627"/>
        <v/>
      </c>
      <c r="G222" s="522">
        <f t="shared" ca="1" si="796"/>
        <v>1</v>
      </c>
      <c r="H222" s="519">
        <f t="shared" ca="1" si="797"/>
        <v>1</v>
      </c>
      <c r="I222" s="724">
        <f t="shared" ca="1" si="628"/>
        <v>7.4179794029059998E-2</v>
      </c>
      <c r="J222" s="198">
        <f t="shared" ca="1" si="629"/>
        <v>0.28362028025485431</v>
      </c>
      <c r="K222" s="200">
        <f t="shared" ca="1" si="805"/>
        <v>35.67</v>
      </c>
      <c r="L222" s="201">
        <f t="shared" ca="1" si="806"/>
        <v>38.15</v>
      </c>
      <c r="M222" s="206">
        <f t="shared" ca="1" si="807"/>
        <v>40.630000000000003</v>
      </c>
      <c r="N222" s="851">
        <f t="shared" ca="1" si="811"/>
        <v>22.572500076293935</v>
      </c>
      <c r="O222" s="201">
        <f t="shared" ca="1" si="812"/>
        <v>24.432500076293934</v>
      </c>
      <c r="P222" s="206">
        <f t="shared" ca="1" si="813"/>
        <v>26.292500076293933</v>
      </c>
      <c r="Q222" s="201">
        <f t="shared" ca="1" si="814"/>
        <v>19.264999771118152</v>
      </c>
      <c r="R222" s="201">
        <f t="shared" ca="1" si="815"/>
        <v>23.564999771118153</v>
      </c>
      <c r="S222" s="201">
        <f t="shared" ca="1" si="816"/>
        <v>27.864999771118153</v>
      </c>
      <c r="T222" s="851">
        <f t="shared" ca="1" si="808"/>
        <v>20.159997711181635</v>
      </c>
      <c r="U222" s="201">
        <f t="shared" ca="1" si="809"/>
        <v>21.399997711181634</v>
      </c>
      <c r="V222" s="206">
        <f t="shared" ca="1" si="810"/>
        <v>22.639997711181632</v>
      </c>
      <c r="W222" s="230">
        <f t="shared" ca="1" si="798"/>
        <v>6.0110299771114858E-2</v>
      </c>
      <c r="X222" s="231">
        <f t="shared" ca="1" si="799"/>
        <v>0.12022059954222972</v>
      </c>
      <c r="Y222" s="232">
        <f t="shared" ca="1" si="800"/>
        <v>0.18033089931334456</v>
      </c>
      <c r="Z222" s="231">
        <f t="shared" ca="1" si="612"/>
        <v>6.0110299771114858E-2</v>
      </c>
      <c r="AA222" s="231">
        <f t="shared" ca="1" si="613"/>
        <v>0.12022059954222972</v>
      </c>
      <c r="AB222" s="232">
        <f t="shared" ca="1" si="614"/>
        <v>0.18033089931334456</v>
      </c>
      <c r="AC222" s="231">
        <f t="shared" ca="1" si="615"/>
        <v>6.0110299771114858E-2</v>
      </c>
      <c r="AD222" s="231">
        <f t="shared" ca="1" si="616"/>
        <v>0.12022059954222972</v>
      </c>
      <c r="AE222" s="232">
        <f t="shared" ca="1" si="630"/>
        <v>0.18033089931334456</v>
      </c>
      <c r="AF222" s="231">
        <f t="shared" ca="1" si="801"/>
        <v>2.4826261816322606E-2</v>
      </c>
      <c r="AG222" s="231">
        <f t="shared" ca="1" si="802"/>
        <v>4.9652523632645211E-2</v>
      </c>
      <c r="AH222" s="232">
        <f t="shared" ca="1" si="803"/>
        <v>7.4478785448967813E-2</v>
      </c>
      <c r="AI222" s="233">
        <f t="shared" ca="1" si="631"/>
        <v>0.85000000000000009</v>
      </c>
      <c r="AJ222" s="233">
        <f t="shared" ca="1" si="632"/>
        <v>1.1000000000000001</v>
      </c>
      <c r="AK222" s="234">
        <f t="shared" ca="1" si="633"/>
        <v>1.4000000000000001</v>
      </c>
      <c r="AL222" s="919">
        <f t="shared" ca="1" si="634"/>
        <v>0.85000000000000009</v>
      </c>
      <c r="AM222" s="233">
        <f t="shared" ca="1" si="635"/>
        <v>1.1000000000000001</v>
      </c>
      <c r="AN222" s="234">
        <f t="shared" ca="1" si="636"/>
        <v>1.4000000000000001</v>
      </c>
      <c r="AO222" s="233">
        <f t="shared" ca="1" si="637"/>
        <v>0.85000000000000009</v>
      </c>
      <c r="AP222" s="233">
        <f t="shared" ca="1" si="638"/>
        <v>1.1000000000000001</v>
      </c>
      <c r="AQ222" s="233">
        <f t="shared" ca="1" si="639"/>
        <v>1.4000000000000001</v>
      </c>
      <c r="AR222" s="919">
        <f t="shared" ca="1" si="640"/>
        <v>0.35</v>
      </c>
      <c r="AS222" s="233">
        <f t="shared" ca="1" si="641"/>
        <v>0.5</v>
      </c>
      <c r="AT222" s="235">
        <f t="shared" ca="1" si="642"/>
        <v>0.7</v>
      </c>
      <c r="AU222" s="946">
        <f t="shared" si="643"/>
        <v>0.5</v>
      </c>
      <c r="AV222" s="13">
        <f t="shared" ca="1" si="644"/>
        <v>0</v>
      </c>
      <c r="AW222" s="210">
        <f t="shared" ca="1" si="645"/>
        <v>0</v>
      </c>
      <c r="AX222" s="210">
        <f t="shared" ca="1" si="646"/>
        <v>0</v>
      </c>
      <c r="AY222" s="210">
        <f t="shared" ca="1" si="647"/>
        <v>0</v>
      </c>
      <c r="AZ222" s="13">
        <f t="shared" ca="1" si="648"/>
        <v>0</v>
      </c>
      <c r="BA222" s="357">
        <f ca="1"/>
        <v>0</v>
      </c>
      <c r="BB222" s="925">
        <f ca="1"/>
        <v>0</v>
      </c>
      <c r="BC222" s="925">
        <f ca="1"/>
        <v>0</v>
      </c>
      <c r="BD222" s="928">
        <f ca="1"/>
        <v>0</v>
      </c>
      <c r="BE222" s="200">
        <f ca="1"/>
        <v>0</v>
      </c>
      <c r="BF222" s="851">
        <f ca="1"/>
        <v>0</v>
      </c>
      <c r="BG222" s="851">
        <f ca="1"/>
        <v>0</v>
      </c>
      <c r="BH222" s="933">
        <f ca="1"/>
        <v>0</v>
      </c>
      <c r="BI222" s="357">
        <f ca="1"/>
        <v>0</v>
      </c>
      <c r="BJ222" s="925">
        <f ca="1"/>
        <v>0</v>
      </c>
      <c r="BK222" s="925">
        <f ca="1"/>
        <v>0</v>
      </c>
      <c r="BL222" s="928">
        <f ca="1"/>
        <v>0</v>
      </c>
      <c r="BM222" s="200">
        <f ca="1"/>
        <v>0</v>
      </c>
      <c r="BN222" s="851">
        <f ca="1"/>
        <v>0</v>
      </c>
      <c r="BO222" s="851">
        <f ca="1"/>
        <v>0</v>
      </c>
      <c r="BP222" s="933">
        <f ca="1"/>
        <v>0</v>
      </c>
      <c r="BQ222" s="357">
        <f t="shared" ca="1" si="649"/>
        <v>0</v>
      </c>
      <c r="BR222" s="361">
        <f t="shared" ca="1" si="650"/>
        <v>0</v>
      </c>
      <c r="BS222" s="357">
        <f t="shared" ca="1" si="651"/>
        <v>0</v>
      </c>
      <c r="BT222" s="302">
        <f t="shared" ca="1" si="652"/>
        <v>0</v>
      </c>
      <c r="BU222" s="299">
        <f t="shared" ca="1" si="653"/>
        <v>0</v>
      </c>
      <c r="BV222" s="299">
        <f t="shared" ca="1" si="654"/>
        <v>0</v>
      </c>
      <c r="BW222" s="299">
        <f t="shared" ca="1" si="655"/>
        <v>0</v>
      </c>
      <c r="BX222" s="380">
        <f t="shared" ca="1" si="656"/>
        <v>17.163586584531142</v>
      </c>
      <c r="BY222" s="363">
        <f t="shared" ca="1" si="657"/>
        <v>0</v>
      </c>
      <c r="BZ222" s="353">
        <f t="shared" ca="1" si="658"/>
        <v>0</v>
      </c>
      <c r="CA222" s="353">
        <f t="shared" ca="1" si="659"/>
        <v>0</v>
      </c>
      <c r="CB222" s="353">
        <f t="shared" ca="1" si="660"/>
        <v>0</v>
      </c>
      <c r="CC222" s="353">
        <f t="shared" ca="1" si="661"/>
        <v>0</v>
      </c>
      <c r="CD222" s="353">
        <f t="shared" ca="1" si="662"/>
        <v>0</v>
      </c>
      <c r="CE222" s="302">
        <f t="shared" ca="1" si="663"/>
        <v>0</v>
      </c>
      <c r="CF222" s="299">
        <f t="shared" ca="1" si="664"/>
        <v>0</v>
      </c>
      <c r="CG222" s="299">
        <f t="shared" ca="1" si="665"/>
        <v>0</v>
      </c>
      <c r="CH222" s="299">
        <f t="shared" ca="1" si="666"/>
        <v>0</v>
      </c>
      <c r="CI222" s="299">
        <f t="shared" ca="1" si="667"/>
        <v>0</v>
      </c>
      <c r="CJ222" s="299">
        <f t="shared" ca="1" si="668"/>
        <v>0</v>
      </c>
      <c r="CK222" s="299">
        <f t="shared" ca="1" si="669"/>
        <v>0</v>
      </c>
      <c r="CL222" s="377" t="str">
        <f t="shared" ca="1" si="670"/>
        <v/>
      </c>
      <c r="CM222" s="305" t="str">
        <f t="shared" ca="1" si="671"/>
        <v/>
      </c>
      <c r="CN222" s="305" t="str">
        <f t="shared" ca="1" si="672"/>
        <v/>
      </c>
      <c r="CO222" s="305" t="str">
        <f t="shared" ca="1" si="673"/>
        <v/>
      </c>
      <c r="CP222" s="305" t="str">
        <f t="shared" ca="1" si="674"/>
        <v/>
      </c>
      <c r="CQ222" s="305" t="str">
        <f t="shared" ca="1" si="675"/>
        <v/>
      </c>
      <c r="CR222" s="775" t="str">
        <f t="shared" ca="1" si="676"/>
        <v/>
      </c>
      <c r="CS222" s="305" t="str">
        <f t="shared" ca="1" si="677"/>
        <v/>
      </c>
      <c r="CT222" s="305" t="str">
        <f t="shared" ca="1" si="678"/>
        <v/>
      </c>
      <c r="CU222" s="305" t="str">
        <f t="shared" ca="1" si="679"/>
        <v/>
      </c>
      <c r="CV222" s="770" t="str">
        <f t="shared" ca="1" si="680"/>
        <v/>
      </c>
      <c r="CW222" s="302">
        <f t="shared" ca="1" si="681"/>
        <v>0</v>
      </c>
      <c r="CX222" s="299">
        <f t="shared" ca="1" si="682"/>
        <v>0</v>
      </c>
      <c r="CY222" s="299">
        <f t="shared" ca="1" si="683"/>
        <v>0</v>
      </c>
      <c r="CZ222" s="299">
        <f t="shared" ca="1" si="684"/>
        <v>0</v>
      </c>
      <c r="DA222" s="774">
        <f t="shared" ca="1" si="685"/>
        <v>0</v>
      </c>
      <c r="DB222" s="303">
        <f t="shared" ca="1" si="686"/>
        <v>0</v>
      </c>
      <c r="DC222" s="248">
        <f t="shared" ca="1" si="687"/>
        <v>0</v>
      </c>
      <c r="DD222" s="778">
        <f t="shared" ca="1" si="688"/>
        <v>0</v>
      </c>
      <c r="DE222" s="363">
        <f t="shared" ca="1" si="689"/>
        <v>0</v>
      </c>
      <c r="DF222" s="378" t="str">
        <f t="shared" ca="1" si="690"/>
        <v/>
      </c>
      <c r="DG222" s="508" t="str">
        <f t="shared" ca="1" si="691"/>
        <v/>
      </c>
      <c r="DH222" s="508" t="str">
        <f t="shared" ca="1" si="692"/>
        <v/>
      </c>
      <c r="DI222" s="508" t="str">
        <f t="shared" ca="1" si="693"/>
        <v/>
      </c>
      <c r="DJ222" s="508" t="str">
        <f t="shared" ca="1" si="694"/>
        <v/>
      </c>
      <c r="DK222" s="353">
        <f t="shared" ca="1" si="695"/>
        <v>0</v>
      </c>
      <c r="DL222" s="781">
        <f t="shared" ca="1" si="696"/>
        <v>0</v>
      </c>
      <c r="DM222" s="303">
        <f t="shared" ca="1" si="697"/>
        <v>0</v>
      </c>
      <c r="DN222" s="508" t="str">
        <f t="shared" ca="1" si="698"/>
        <v/>
      </c>
      <c r="DO222" s="508" t="str">
        <f t="shared" ca="1" si="699"/>
        <v/>
      </c>
      <c r="DP222" s="508" t="str">
        <f t="shared" ca="1" si="700"/>
        <v/>
      </c>
      <c r="DQ222" s="508" t="str">
        <f t="shared" ca="1" si="701"/>
        <v/>
      </c>
      <c r="DR222" s="508" t="str">
        <f t="shared" ca="1" si="702"/>
        <v/>
      </c>
      <c r="DS222" s="353">
        <f t="shared" ca="1" si="703"/>
        <v>0</v>
      </c>
      <c r="DT222" s="353">
        <f t="shared" ca="1" si="704"/>
        <v>0</v>
      </c>
      <c r="DU222" s="380">
        <f t="shared" ca="1" si="804"/>
        <v>17.163586584531142</v>
      </c>
      <c r="DV222" s="303">
        <f t="shared" ca="1" si="705"/>
        <v>0</v>
      </c>
      <c r="DW222" s="303">
        <f t="shared" ca="1" si="706"/>
        <v>0</v>
      </c>
      <c r="DX222" s="303">
        <f t="shared" ca="1" si="707"/>
        <v>0</v>
      </c>
      <c r="DY222" s="303">
        <f t="shared" ca="1" si="708"/>
        <v>0</v>
      </c>
      <c r="DZ222" s="303">
        <f t="shared" ca="1" si="709"/>
        <v>0</v>
      </c>
      <c r="EA222" s="303">
        <f t="shared" ca="1" si="710"/>
        <v>0</v>
      </c>
      <c r="EB222" s="302">
        <f t="shared" ca="1" si="711"/>
        <v>0</v>
      </c>
      <c r="EC222" s="299">
        <f t="shared" ca="1" si="712"/>
        <v>0</v>
      </c>
      <c r="ED222" s="299">
        <f t="shared" ca="1" si="713"/>
        <v>0</v>
      </c>
      <c r="EE222" s="299">
        <f t="shared" ca="1" si="714"/>
        <v>0</v>
      </c>
      <c r="EF222" s="299">
        <f t="shared" ca="1" si="715"/>
        <v>0</v>
      </c>
      <c r="EG222" s="299">
        <f t="shared" ca="1" si="716"/>
        <v>0</v>
      </c>
      <c r="EH222" s="302">
        <f t="shared" ca="1" si="717"/>
        <v>0</v>
      </c>
      <c r="EI222" s="304" t="str">
        <f t="shared" ca="1" si="718"/>
        <v/>
      </c>
      <c r="EJ222" s="305" t="str">
        <f t="shared" ca="1" si="719"/>
        <v/>
      </c>
      <c r="EK222" s="305" t="str">
        <f t="shared" ca="1" si="720"/>
        <v/>
      </c>
      <c r="EL222" s="305" t="str">
        <f t="shared" ca="1" si="721"/>
        <v/>
      </c>
      <c r="EM222" s="305" t="str">
        <f t="shared" ca="1" si="722"/>
        <v/>
      </c>
      <c r="EN222" s="305" t="str">
        <f t="shared" ca="1" si="723"/>
        <v/>
      </c>
      <c r="EO222" s="305" t="str">
        <f t="shared" ca="1" si="724"/>
        <v/>
      </c>
      <c r="EP222" s="305" t="str">
        <f t="shared" ca="1" si="725"/>
        <v/>
      </c>
      <c r="EQ222" s="305" t="str">
        <f t="shared" ca="1" si="726"/>
        <v/>
      </c>
      <c r="ER222" s="305" t="str">
        <f t="shared" ca="1" si="727"/>
        <v/>
      </c>
      <c r="ES222" s="305" t="str">
        <f t="shared" ca="1" si="728"/>
        <v/>
      </c>
      <c r="ET222" s="299">
        <f t="shared" ca="1" si="729"/>
        <v>0</v>
      </c>
      <c r="EU222" s="302">
        <f t="shared" ca="1" si="730"/>
        <v>0</v>
      </c>
      <c r="EV222" s="304" t="str">
        <f t="shared" ca="1" si="731"/>
        <v/>
      </c>
      <c r="EW222" s="305" t="str">
        <f t="shared" ca="1" si="732"/>
        <v/>
      </c>
      <c r="EX222" s="305" t="str">
        <f t="shared" ca="1" si="733"/>
        <v/>
      </c>
      <c r="EY222" s="305" t="str">
        <f t="shared" ca="1" si="734"/>
        <v/>
      </c>
      <c r="EZ222" s="305" t="str">
        <f t="shared" ca="1" si="735"/>
        <v/>
      </c>
      <c r="FA222" s="305" t="str">
        <f t="shared" ca="1" si="736"/>
        <v/>
      </c>
      <c r="FB222" s="305" t="str">
        <f t="shared" ca="1" si="737"/>
        <v/>
      </c>
      <c r="FC222" s="305" t="str">
        <f t="shared" ca="1" si="738"/>
        <v/>
      </c>
      <c r="FD222" s="305" t="str">
        <f t="shared" ca="1" si="739"/>
        <v/>
      </c>
      <c r="FE222" s="305" t="str">
        <f t="shared" ca="1" si="740"/>
        <v/>
      </c>
      <c r="FF222" s="305" t="str">
        <f t="shared" ca="1" si="741"/>
        <v/>
      </c>
      <c r="FG222" s="299">
        <f t="shared" ca="1" si="742"/>
        <v>0</v>
      </c>
      <c r="FH222" s="302">
        <f t="shared" ca="1" si="743"/>
        <v>0</v>
      </c>
      <c r="FI222" s="248">
        <f t="shared" ca="1" si="744"/>
        <v>0</v>
      </c>
      <c r="FJ222" s="363">
        <f t="shared" ca="1" si="745"/>
        <v>0</v>
      </c>
      <c r="FK222" s="378" t="str">
        <f t="shared" ca="1" si="746"/>
        <v/>
      </c>
      <c r="FL222" s="508" t="str">
        <f t="shared" ca="1" si="747"/>
        <v/>
      </c>
      <c r="FM222" s="508" t="str">
        <f t="shared" ca="1" si="748"/>
        <v/>
      </c>
      <c r="FN222" s="508" t="str">
        <f t="shared" ca="1" si="749"/>
        <v/>
      </c>
      <c r="FO222" s="508" t="str">
        <f t="shared" ca="1" si="750"/>
        <v/>
      </c>
      <c r="FP222" s="353">
        <f t="shared" ca="1" si="751"/>
        <v>0</v>
      </c>
      <c r="FQ222" s="356">
        <f t="shared" ca="1" si="752"/>
        <v>0</v>
      </c>
      <c r="FR222" s="380">
        <f t="shared" ca="1" si="753"/>
        <v>0</v>
      </c>
      <c r="FS222" s="299">
        <f t="shared" ca="1" si="754"/>
        <v>0</v>
      </c>
      <c r="FT222" s="299">
        <f t="shared" ca="1" si="755"/>
        <v>0</v>
      </c>
      <c r="FU222" s="299">
        <f t="shared" ca="1" si="756"/>
        <v>0</v>
      </c>
      <c r="FV222" s="299">
        <f t="shared" ca="1" si="757"/>
        <v>0</v>
      </c>
      <c r="FW222" s="850" t="str">
        <f t="shared" ca="1" si="758"/>
        <v/>
      </c>
      <c r="FX222" s="851" t="str">
        <f t="shared" ca="1" si="759"/>
        <v/>
      </c>
      <c r="FY222" s="851" t="str">
        <f t="shared" ca="1" si="760"/>
        <v/>
      </c>
      <c r="FZ222" s="201" t="str">
        <f t="shared" ca="1" si="761"/>
        <v/>
      </c>
      <c r="GA222" s="201" t="str">
        <f t="shared" ca="1" si="762"/>
        <v/>
      </c>
      <c r="GB222" s="201" t="str">
        <f t="shared" ca="1" si="763"/>
        <v/>
      </c>
      <c r="GC222" s="201" t="str">
        <f t="shared" ca="1" si="764"/>
        <v/>
      </c>
      <c r="GD222" s="850" t="str">
        <f t="shared" ca="1" si="765"/>
        <v/>
      </c>
      <c r="GE222" s="866" t="str">
        <f t="shared" ca="1" si="766"/>
        <v/>
      </c>
      <c r="GF222" s="866" t="str">
        <f t="shared" ca="1" si="767"/>
        <v/>
      </c>
      <c r="GG222" s="866" t="str">
        <f t="shared" ca="1" si="768"/>
        <v/>
      </c>
      <c r="GH222" s="866" t="str">
        <f t="shared" ca="1" si="769"/>
        <v/>
      </c>
      <c r="GI222" s="302">
        <f t="shared" ca="1" si="770"/>
        <v>0</v>
      </c>
      <c r="GJ222" s="299">
        <f t="shared" ca="1" si="771"/>
        <v>0</v>
      </c>
      <c r="GK222" s="299">
        <f t="shared" ca="1" si="772"/>
        <v>0</v>
      </c>
      <c r="GL222" s="299">
        <f t="shared" ca="1" si="773"/>
        <v>0</v>
      </c>
      <c r="GM222" s="299">
        <f t="shared" ca="1" si="774"/>
        <v>0</v>
      </c>
      <c r="GN222" s="302">
        <f t="shared" ca="1" si="775"/>
        <v>0</v>
      </c>
      <c r="GO222" s="299">
        <f t="shared" ca="1" si="776"/>
        <v>0</v>
      </c>
      <c r="GP222" s="299">
        <f t="shared" ca="1" si="777"/>
        <v>0</v>
      </c>
      <c r="GQ222" s="299">
        <f t="shared" ca="1" si="778"/>
        <v>0</v>
      </c>
      <c r="GR222" s="299">
        <f t="shared" ca="1" si="779"/>
        <v>0</v>
      </c>
      <c r="GS222" s="302">
        <f t="shared" ca="1" si="780"/>
        <v>0</v>
      </c>
      <c r="GT222" s="299">
        <f t="shared" ca="1" si="781"/>
        <v>0</v>
      </c>
      <c r="GU222" s="299">
        <f t="shared" ca="1" si="782"/>
        <v>0</v>
      </c>
      <c r="GV222" s="299">
        <f t="shared" ca="1" si="783"/>
        <v>0</v>
      </c>
      <c r="GW222" s="299">
        <f t="shared" ca="1" si="784"/>
        <v>0</v>
      </c>
      <c r="GX222" s="303">
        <f t="shared" ca="1" si="785"/>
        <v>0</v>
      </c>
      <c r="GY222" s="303">
        <f t="shared" ca="1" si="786"/>
        <v>0</v>
      </c>
      <c r="GZ222" s="303">
        <f t="shared" ca="1" si="787"/>
        <v>0</v>
      </c>
      <c r="HA222" s="303">
        <f t="shared" ca="1" si="788"/>
        <v>0</v>
      </c>
      <c r="HB222" s="303">
        <f t="shared" ca="1" si="789"/>
        <v>0</v>
      </c>
      <c r="HC222" s="303">
        <f t="shared" ca="1" si="790"/>
        <v>0</v>
      </c>
      <c r="HD222" s="303">
        <f t="shared" ca="1" si="791"/>
        <v>0</v>
      </c>
      <c r="HE222" s="303">
        <f t="shared" ca="1" si="792"/>
        <v>0</v>
      </c>
      <c r="HF222" s="303">
        <f t="shared" ca="1" si="793"/>
        <v>0</v>
      </c>
      <c r="HG222" s="852">
        <f t="shared" ca="1" si="794"/>
        <v>0</v>
      </c>
    </row>
    <row r="223" spans="1:215" x14ac:dyDescent="0.25">
      <c r="A223" s="244">
        <f t="shared" ca="1" si="795"/>
        <v>42887</v>
      </c>
      <c r="B223" s="13">
        <f t="shared" ca="1" si="623"/>
        <v>2017</v>
      </c>
      <c r="C223" s="619">
        <f t="shared" ca="1" si="624"/>
        <v>6</v>
      </c>
      <c r="D223" s="195" t="str">
        <f t="shared" ca="1" si="625"/>
        <v/>
      </c>
      <c r="E223" s="469" t="str">
        <f t="shared" ca="1" si="626"/>
        <v/>
      </c>
      <c r="F223" s="465" t="str">
        <f t="shared" ca="1" si="627"/>
        <v/>
      </c>
      <c r="G223" s="522">
        <f t="shared" ca="1" si="796"/>
        <v>1</v>
      </c>
      <c r="H223" s="519">
        <f t="shared" ca="1" si="797"/>
        <v>1</v>
      </c>
      <c r="I223" s="724">
        <f t="shared" ca="1" si="628"/>
        <v>7.4179499311179994E-2</v>
      </c>
      <c r="J223" s="198">
        <f t="shared" ca="1" si="629"/>
        <v>0.28192997313846341</v>
      </c>
      <c r="K223" s="200">
        <f t="shared" ca="1" si="805"/>
        <v>52.14</v>
      </c>
      <c r="L223" s="201">
        <f t="shared" ca="1" si="806"/>
        <v>59.25</v>
      </c>
      <c r="M223" s="206">
        <f t="shared" ca="1" si="807"/>
        <v>66.36</v>
      </c>
      <c r="N223" s="851">
        <f t="shared" ca="1" si="811"/>
        <v>23.526250152587881</v>
      </c>
      <c r="O223" s="201">
        <f t="shared" ca="1" si="812"/>
        <v>28.858750152587881</v>
      </c>
      <c r="P223" s="206">
        <f t="shared" ca="1" si="813"/>
        <v>34.191250152587884</v>
      </c>
      <c r="Q223" s="201">
        <f t="shared" ca="1" si="814"/>
        <v>18.042499542236317</v>
      </c>
      <c r="R223" s="201">
        <f t="shared" ca="1" si="815"/>
        <v>22.342499542236318</v>
      </c>
      <c r="S223" s="201">
        <f t="shared" ca="1" si="816"/>
        <v>26.642499542236319</v>
      </c>
      <c r="T223" s="851">
        <f t="shared" ca="1" si="808"/>
        <v>17.799998779296867</v>
      </c>
      <c r="U223" s="201">
        <f t="shared" ca="1" si="809"/>
        <v>21.354998779296867</v>
      </c>
      <c r="V223" s="206">
        <f t="shared" ca="1" si="810"/>
        <v>24.909998779296867</v>
      </c>
      <c r="W223" s="230">
        <f t="shared" ca="1" si="798"/>
        <v>7.5311174589675206E-2</v>
      </c>
      <c r="X223" s="231">
        <f t="shared" ca="1" si="799"/>
        <v>0.15062234917935041</v>
      </c>
      <c r="Y223" s="232">
        <f t="shared" ca="1" si="800"/>
        <v>0.22593352376902562</v>
      </c>
      <c r="Z223" s="231">
        <f t="shared" ca="1" si="612"/>
        <v>7.5311174589675206E-2</v>
      </c>
      <c r="AA223" s="231">
        <f t="shared" ca="1" si="613"/>
        <v>0.15062234917935041</v>
      </c>
      <c r="AB223" s="232">
        <f t="shared" ca="1" si="614"/>
        <v>0.22593352376902562</v>
      </c>
      <c r="AC223" s="231">
        <f t="shared" ca="1" si="615"/>
        <v>7.5311174589675206E-2</v>
      </c>
      <c r="AD223" s="231">
        <f t="shared" ca="1" si="616"/>
        <v>0.15062234917935041</v>
      </c>
      <c r="AE223" s="232">
        <f t="shared" ca="1" si="630"/>
        <v>0.22593352376902562</v>
      </c>
      <c r="AF223" s="231">
        <f t="shared" ca="1" si="801"/>
        <v>3.1919479478129051E-2</v>
      </c>
      <c r="AG223" s="231">
        <f t="shared" ca="1" si="802"/>
        <v>6.3838958956258102E-2</v>
      </c>
      <c r="AH223" s="232">
        <f t="shared" ca="1" si="803"/>
        <v>9.5758438434387153E-2</v>
      </c>
      <c r="AI223" s="233">
        <f t="shared" ca="1" si="631"/>
        <v>1.65</v>
      </c>
      <c r="AJ223" s="233">
        <f t="shared" ca="1" si="632"/>
        <v>2</v>
      </c>
      <c r="AK223" s="234">
        <f t="shared" ca="1" si="633"/>
        <v>2.2999999999999998</v>
      </c>
      <c r="AL223" s="919">
        <f t="shared" ca="1" si="634"/>
        <v>1.65</v>
      </c>
      <c r="AM223" s="233">
        <f t="shared" ca="1" si="635"/>
        <v>2</v>
      </c>
      <c r="AN223" s="234">
        <f t="shared" ca="1" si="636"/>
        <v>2.2999999999999998</v>
      </c>
      <c r="AO223" s="233">
        <f t="shared" ca="1" si="637"/>
        <v>1.65</v>
      </c>
      <c r="AP223" s="233">
        <f t="shared" ca="1" si="638"/>
        <v>2</v>
      </c>
      <c r="AQ223" s="233">
        <f t="shared" ca="1" si="639"/>
        <v>2.2999999999999998</v>
      </c>
      <c r="AR223" s="919">
        <f t="shared" ca="1" si="640"/>
        <v>0.5</v>
      </c>
      <c r="AS223" s="233">
        <f t="shared" ca="1" si="641"/>
        <v>0.65</v>
      </c>
      <c r="AT223" s="235">
        <f t="shared" ca="1" si="642"/>
        <v>0.85000000000000009</v>
      </c>
      <c r="AU223" s="946">
        <f t="shared" si="643"/>
        <v>0.5</v>
      </c>
      <c r="AV223" s="13">
        <f t="shared" ca="1" si="644"/>
        <v>0</v>
      </c>
      <c r="AW223" s="210">
        <f t="shared" ca="1" si="645"/>
        <v>0</v>
      </c>
      <c r="AX223" s="210">
        <f t="shared" ca="1" si="646"/>
        <v>0</v>
      </c>
      <c r="AY223" s="210">
        <f t="shared" ca="1" si="647"/>
        <v>0</v>
      </c>
      <c r="AZ223" s="13">
        <f t="shared" ca="1" si="648"/>
        <v>0</v>
      </c>
      <c r="BA223" s="357">
        <f ca="1"/>
        <v>0</v>
      </c>
      <c r="BB223" s="925">
        <f ca="1"/>
        <v>0</v>
      </c>
      <c r="BC223" s="925">
        <f ca="1"/>
        <v>0</v>
      </c>
      <c r="BD223" s="928">
        <f ca="1"/>
        <v>0</v>
      </c>
      <c r="BE223" s="200">
        <f ca="1"/>
        <v>0</v>
      </c>
      <c r="BF223" s="851">
        <f ca="1"/>
        <v>0</v>
      </c>
      <c r="BG223" s="851">
        <f ca="1"/>
        <v>0</v>
      </c>
      <c r="BH223" s="933">
        <f ca="1"/>
        <v>0</v>
      </c>
      <c r="BI223" s="357">
        <f ca="1"/>
        <v>0</v>
      </c>
      <c r="BJ223" s="925">
        <f ca="1"/>
        <v>0</v>
      </c>
      <c r="BK223" s="925">
        <f ca="1"/>
        <v>0</v>
      </c>
      <c r="BL223" s="928">
        <f ca="1"/>
        <v>0</v>
      </c>
      <c r="BM223" s="200">
        <f ca="1"/>
        <v>0</v>
      </c>
      <c r="BN223" s="851">
        <f ca="1"/>
        <v>0</v>
      </c>
      <c r="BO223" s="851">
        <f ca="1"/>
        <v>0</v>
      </c>
      <c r="BP223" s="933">
        <f ca="1"/>
        <v>0</v>
      </c>
      <c r="BQ223" s="357">
        <f t="shared" ca="1" si="649"/>
        <v>0</v>
      </c>
      <c r="BR223" s="361">
        <f t="shared" ca="1" si="650"/>
        <v>0</v>
      </c>
      <c r="BS223" s="357">
        <f t="shared" ca="1" si="651"/>
        <v>0</v>
      </c>
      <c r="BT223" s="302">
        <f t="shared" ca="1" si="652"/>
        <v>0</v>
      </c>
      <c r="BU223" s="299">
        <f t="shared" ca="1" si="653"/>
        <v>0</v>
      </c>
      <c r="BV223" s="299">
        <f t="shared" ca="1" si="654"/>
        <v>0</v>
      </c>
      <c r="BW223" s="299">
        <f t="shared" ca="1" si="655"/>
        <v>0</v>
      </c>
      <c r="BX223" s="380">
        <f t="shared" ca="1" si="656"/>
        <v>17.248459958932237</v>
      </c>
      <c r="BY223" s="363">
        <f t="shared" ca="1" si="657"/>
        <v>0</v>
      </c>
      <c r="BZ223" s="353">
        <f t="shared" ca="1" si="658"/>
        <v>0</v>
      </c>
      <c r="CA223" s="353">
        <f t="shared" ca="1" si="659"/>
        <v>0</v>
      </c>
      <c r="CB223" s="353">
        <f t="shared" ca="1" si="660"/>
        <v>0</v>
      </c>
      <c r="CC223" s="353">
        <f t="shared" ca="1" si="661"/>
        <v>0</v>
      </c>
      <c r="CD223" s="353">
        <f t="shared" ca="1" si="662"/>
        <v>0</v>
      </c>
      <c r="CE223" s="302">
        <f t="shared" ca="1" si="663"/>
        <v>0</v>
      </c>
      <c r="CF223" s="299">
        <f t="shared" ca="1" si="664"/>
        <v>0</v>
      </c>
      <c r="CG223" s="299">
        <f t="shared" ca="1" si="665"/>
        <v>0</v>
      </c>
      <c r="CH223" s="299">
        <f t="shared" ca="1" si="666"/>
        <v>0</v>
      </c>
      <c r="CI223" s="299">
        <f t="shared" ca="1" si="667"/>
        <v>0</v>
      </c>
      <c r="CJ223" s="299">
        <f t="shared" ca="1" si="668"/>
        <v>0</v>
      </c>
      <c r="CK223" s="299">
        <f t="shared" ca="1" si="669"/>
        <v>0</v>
      </c>
      <c r="CL223" s="377" t="str">
        <f t="shared" ca="1" si="670"/>
        <v/>
      </c>
      <c r="CM223" s="305" t="str">
        <f t="shared" ca="1" si="671"/>
        <v/>
      </c>
      <c r="CN223" s="305" t="str">
        <f t="shared" ca="1" si="672"/>
        <v/>
      </c>
      <c r="CO223" s="305" t="str">
        <f t="shared" ca="1" si="673"/>
        <v/>
      </c>
      <c r="CP223" s="305" t="str">
        <f t="shared" ca="1" si="674"/>
        <v/>
      </c>
      <c r="CQ223" s="305" t="str">
        <f t="shared" ca="1" si="675"/>
        <v/>
      </c>
      <c r="CR223" s="775" t="str">
        <f t="shared" ca="1" si="676"/>
        <v/>
      </c>
      <c r="CS223" s="305" t="str">
        <f t="shared" ca="1" si="677"/>
        <v/>
      </c>
      <c r="CT223" s="305" t="str">
        <f t="shared" ca="1" si="678"/>
        <v/>
      </c>
      <c r="CU223" s="305" t="str">
        <f t="shared" ca="1" si="679"/>
        <v/>
      </c>
      <c r="CV223" s="770" t="str">
        <f t="shared" ca="1" si="680"/>
        <v/>
      </c>
      <c r="CW223" s="302">
        <f t="shared" ca="1" si="681"/>
        <v>0</v>
      </c>
      <c r="CX223" s="299">
        <f t="shared" ca="1" si="682"/>
        <v>0</v>
      </c>
      <c r="CY223" s="299">
        <f t="shared" ca="1" si="683"/>
        <v>0</v>
      </c>
      <c r="CZ223" s="299">
        <f t="shared" ca="1" si="684"/>
        <v>0</v>
      </c>
      <c r="DA223" s="774">
        <f t="shared" ca="1" si="685"/>
        <v>0</v>
      </c>
      <c r="DB223" s="303">
        <f t="shared" ca="1" si="686"/>
        <v>0</v>
      </c>
      <c r="DC223" s="248">
        <f t="shared" ca="1" si="687"/>
        <v>0</v>
      </c>
      <c r="DD223" s="778">
        <f t="shared" ca="1" si="688"/>
        <v>0</v>
      </c>
      <c r="DE223" s="363">
        <f t="shared" ca="1" si="689"/>
        <v>0</v>
      </c>
      <c r="DF223" s="378" t="str">
        <f t="shared" ca="1" si="690"/>
        <v/>
      </c>
      <c r="DG223" s="508" t="str">
        <f t="shared" ca="1" si="691"/>
        <v/>
      </c>
      <c r="DH223" s="508" t="str">
        <f t="shared" ca="1" si="692"/>
        <v/>
      </c>
      <c r="DI223" s="508" t="str">
        <f t="shared" ca="1" si="693"/>
        <v/>
      </c>
      <c r="DJ223" s="508" t="str">
        <f t="shared" ca="1" si="694"/>
        <v/>
      </c>
      <c r="DK223" s="353">
        <f t="shared" ca="1" si="695"/>
        <v>0</v>
      </c>
      <c r="DL223" s="781">
        <f t="shared" ca="1" si="696"/>
        <v>0</v>
      </c>
      <c r="DM223" s="303">
        <f t="shared" ca="1" si="697"/>
        <v>0</v>
      </c>
      <c r="DN223" s="508" t="str">
        <f t="shared" ca="1" si="698"/>
        <v/>
      </c>
      <c r="DO223" s="508" t="str">
        <f t="shared" ca="1" si="699"/>
        <v/>
      </c>
      <c r="DP223" s="508" t="str">
        <f t="shared" ca="1" si="700"/>
        <v/>
      </c>
      <c r="DQ223" s="508" t="str">
        <f t="shared" ca="1" si="701"/>
        <v/>
      </c>
      <c r="DR223" s="508" t="str">
        <f t="shared" ca="1" si="702"/>
        <v/>
      </c>
      <c r="DS223" s="353">
        <f t="shared" ca="1" si="703"/>
        <v>0</v>
      </c>
      <c r="DT223" s="353">
        <f t="shared" ca="1" si="704"/>
        <v>0</v>
      </c>
      <c r="DU223" s="380">
        <f t="shared" ca="1" si="804"/>
        <v>17.248459958932237</v>
      </c>
      <c r="DV223" s="303">
        <f t="shared" ca="1" si="705"/>
        <v>0</v>
      </c>
      <c r="DW223" s="303">
        <f t="shared" ca="1" si="706"/>
        <v>0</v>
      </c>
      <c r="DX223" s="303">
        <f t="shared" ca="1" si="707"/>
        <v>0</v>
      </c>
      <c r="DY223" s="303">
        <f t="shared" ca="1" si="708"/>
        <v>0</v>
      </c>
      <c r="DZ223" s="303">
        <f t="shared" ca="1" si="709"/>
        <v>0</v>
      </c>
      <c r="EA223" s="303">
        <f t="shared" ca="1" si="710"/>
        <v>0</v>
      </c>
      <c r="EB223" s="302">
        <f t="shared" ca="1" si="711"/>
        <v>0</v>
      </c>
      <c r="EC223" s="299">
        <f t="shared" ca="1" si="712"/>
        <v>0</v>
      </c>
      <c r="ED223" s="299">
        <f t="shared" ca="1" si="713"/>
        <v>0</v>
      </c>
      <c r="EE223" s="299">
        <f t="shared" ca="1" si="714"/>
        <v>0</v>
      </c>
      <c r="EF223" s="299">
        <f t="shared" ca="1" si="715"/>
        <v>0</v>
      </c>
      <c r="EG223" s="299">
        <f t="shared" ca="1" si="716"/>
        <v>0</v>
      </c>
      <c r="EH223" s="302">
        <f t="shared" ca="1" si="717"/>
        <v>0</v>
      </c>
      <c r="EI223" s="304" t="str">
        <f t="shared" ca="1" si="718"/>
        <v/>
      </c>
      <c r="EJ223" s="305" t="str">
        <f t="shared" ca="1" si="719"/>
        <v/>
      </c>
      <c r="EK223" s="305" t="str">
        <f t="shared" ca="1" si="720"/>
        <v/>
      </c>
      <c r="EL223" s="305" t="str">
        <f t="shared" ca="1" si="721"/>
        <v/>
      </c>
      <c r="EM223" s="305" t="str">
        <f t="shared" ca="1" si="722"/>
        <v/>
      </c>
      <c r="EN223" s="305" t="str">
        <f t="shared" ca="1" si="723"/>
        <v/>
      </c>
      <c r="EO223" s="305" t="str">
        <f t="shared" ca="1" si="724"/>
        <v/>
      </c>
      <c r="EP223" s="305" t="str">
        <f t="shared" ca="1" si="725"/>
        <v/>
      </c>
      <c r="EQ223" s="305" t="str">
        <f t="shared" ca="1" si="726"/>
        <v/>
      </c>
      <c r="ER223" s="305" t="str">
        <f t="shared" ca="1" si="727"/>
        <v/>
      </c>
      <c r="ES223" s="305" t="str">
        <f t="shared" ca="1" si="728"/>
        <v/>
      </c>
      <c r="ET223" s="299">
        <f t="shared" ca="1" si="729"/>
        <v>0</v>
      </c>
      <c r="EU223" s="302">
        <f t="shared" ca="1" si="730"/>
        <v>0</v>
      </c>
      <c r="EV223" s="304" t="str">
        <f t="shared" ca="1" si="731"/>
        <v/>
      </c>
      <c r="EW223" s="305" t="str">
        <f t="shared" ca="1" si="732"/>
        <v/>
      </c>
      <c r="EX223" s="305" t="str">
        <f t="shared" ca="1" si="733"/>
        <v/>
      </c>
      <c r="EY223" s="305" t="str">
        <f t="shared" ca="1" si="734"/>
        <v/>
      </c>
      <c r="EZ223" s="305" t="str">
        <f t="shared" ca="1" si="735"/>
        <v/>
      </c>
      <c r="FA223" s="305" t="str">
        <f t="shared" ca="1" si="736"/>
        <v/>
      </c>
      <c r="FB223" s="305" t="str">
        <f t="shared" ca="1" si="737"/>
        <v/>
      </c>
      <c r="FC223" s="305" t="str">
        <f t="shared" ca="1" si="738"/>
        <v/>
      </c>
      <c r="FD223" s="305" t="str">
        <f t="shared" ca="1" si="739"/>
        <v/>
      </c>
      <c r="FE223" s="305" t="str">
        <f t="shared" ca="1" si="740"/>
        <v/>
      </c>
      <c r="FF223" s="305" t="str">
        <f t="shared" ca="1" si="741"/>
        <v/>
      </c>
      <c r="FG223" s="299">
        <f t="shared" ca="1" si="742"/>
        <v>0</v>
      </c>
      <c r="FH223" s="302">
        <f t="shared" ca="1" si="743"/>
        <v>0</v>
      </c>
      <c r="FI223" s="248">
        <f t="shared" ca="1" si="744"/>
        <v>0</v>
      </c>
      <c r="FJ223" s="363">
        <f t="shared" ca="1" si="745"/>
        <v>0</v>
      </c>
      <c r="FK223" s="378" t="str">
        <f t="shared" ca="1" si="746"/>
        <v/>
      </c>
      <c r="FL223" s="508" t="str">
        <f t="shared" ca="1" si="747"/>
        <v/>
      </c>
      <c r="FM223" s="508" t="str">
        <f t="shared" ca="1" si="748"/>
        <v/>
      </c>
      <c r="FN223" s="508" t="str">
        <f t="shared" ca="1" si="749"/>
        <v/>
      </c>
      <c r="FO223" s="508" t="str">
        <f t="shared" ca="1" si="750"/>
        <v/>
      </c>
      <c r="FP223" s="353">
        <f t="shared" ca="1" si="751"/>
        <v>0</v>
      </c>
      <c r="FQ223" s="356">
        <f t="shared" ca="1" si="752"/>
        <v>0</v>
      </c>
      <c r="FR223" s="380">
        <f t="shared" ca="1" si="753"/>
        <v>0</v>
      </c>
      <c r="FS223" s="299">
        <f t="shared" ca="1" si="754"/>
        <v>0</v>
      </c>
      <c r="FT223" s="299">
        <f t="shared" ca="1" si="755"/>
        <v>0</v>
      </c>
      <c r="FU223" s="299">
        <f t="shared" ca="1" si="756"/>
        <v>0</v>
      </c>
      <c r="FV223" s="299">
        <f t="shared" ca="1" si="757"/>
        <v>0</v>
      </c>
      <c r="FW223" s="850" t="str">
        <f t="shared" ca="1" si="758"/>
        <v/>
      </c>
      <c r="FX223" s="851" t="str">
        <f t="shared" ca="1" si="759"/>
        <v/>
      </c>
      <c r="FY223" s="851" t="str">
        <f t="shared" ca="1" si="760"/>
        <v/>
      </c>
      <c r="FZ223" s="201" t="str">
        <f t="shared" ca="1" si="761"/>
        <v/>
      </c>
      <c r="GA223" s="201" t="str">
        <f t="shared" ca="1" si="762"/>
        <v/>
      </c>
      <c r="GB223" s="201" t="str">
        <f t="shared" ca="1" si="763"/>
        <v/>
      </c>
      <c r="GC223" s="201" t="str">
        <f t="shared" ca="1" si="764"/>
        <v/>
      </c>
      <c r="GD223" s="850" t="str">
        <f t="shared" ca="1" si="765"/>
        <v/>
      </c>
      <c r="GE223" s="866" t="str">
        <f t="shared" ca="1" si="766"/>
        <v/>
      </c>
      <c r="GF223" s="866" t="str">
        <f t="shared" ca="1" si="767"/>
        <v/>
      </c>
      <c r="GG223" s="866" t="str">
        <f t="shared" ca="1" si="768"/>
        <v/>
      </c>
      <c r="GH223" s="866" t="str">
        <f t="shared" ca="1" si="769"/>
        <v/>
      </c>
      <c r="GI223" s="302">
        <f t="shared" ca="1" si="770"/>
        <v>0</v>
      </c>
      <c r="GJ223" s="299">
        <f t="shared" ca="1" si="771"/>
        <v>0</v>
      </c>
      <c r="GK223" s="299">
        <f t="shared" ca="1" si="772"/>
        <v>0</v>
      </c>
      <c r="GL223" s="299">
        <f t="shared" ca="1" si="773"/>
        <v>0</v>
      </c>
      <c r="GM223" s="299">
        <f t="shared" ca="1" si="774"/>
        <v>0</v>
      </c>
      <c r="GN223" s="302">
        <f t="shared" ca="1" si="775"/>
        <v>0</v>
      </c>
      <c r="GO223" s="299">
        <f t="shared" ca="1" si="776"/>
        <v>0</v>
      </c>
      <c r="GP223" s="299">
        <f t="shared" ca="1" si="777"/>
        <v>0</v>
      </c>
      <c r="GQ223" s="299">
        <f t="shared" ca="1" si="778"/>
        <v>0</v>
      </c>
      <c r="GR223" s="299">
        <f t="shared" ca="1" si="779"/>
        <v>0</v>
      </c>
      <c r="GS223" s="302">
        <f t="shared" ca="1" si="780"/>
        <v>0</v>
      </c>
      <c r="GT223" s="299">
        <f t="shared" ca="1" si="781"/>
        <v>0</v>
      </c>
      <c r="GU223" s="299">
        <f t="shared" ca="1" si="782"/>
        <v>0</v>
      </c>
      <c r="GV223" s="299">
        <f t="shared" ca="1" si="783"/>
        <v>0</v>
      </c>
      <c r="GW223" s="299">
        <f t="shared" ca="1" si="784"/>
        <v>0</v>
      </c>
      <c r="GX223" s="303">
        <f t="shared" ca="1" si="785"/>
        <v>0</v>
      </c>
      <c r="GY223" s="303">
        <f t="shared" ca="1" si="786"/>
        <v>0</v>
      </c>
      <c r="GZ223" s="303">
        <f t="shared" ca="1" si="787"/>
        <v>0</v>
      </c>
      <c r="HA223" s="303">
        <f t="shared" ca="1" si="788"/>
        <v>0</v>
      </c>
      <c r="HB223" s="303">
        <f t="shared" ca="1" si="789"/>
        <v>0</v>
      </c>
      <c r="HC223" s="303">
        <f t="shared" ca="1" si="790"/>
        <v>0</v>
      </c>
      <c r="HD223" s="303">
        <f t="shared" ca="1" si="791"/>
        <v>0</v>
      </c>
      <c r="HE223" s="303">
        <f t="shared" ca="1" si="792"/>
        <v>0</v>
      </c>
      <c r="HF223" s="303">
        <f t="shared" ca="1" si="793"/>
        <v>0</v>
      </c>
      <c r="HG223" s="852">
        <f t="shared" ca="1" si="794"/>
        <v>0</v>
      </c>
    </row>
    <row r="224" spans="1:215" x14ac:dyDescent="0.25">
      <c r="A224" s="244">
        <f t="shared" ca="1" si="795"/>
        <v>42917</v>
      </c>
      <c r="B224" s="13">
        <f t="shared" ca="1" si="623"/>
        <v>2017</v>
      </c>
      <c r="C224" s="619">
        <f t="shared" ca="1" si="624"/>
        <v>7</v>
      </c>
      <c r="D224" s="195">
        <f t="shared" ca="1" si="625"/>
        <v>42920</v>
      </c>
      <c r="E224" s="469" t="str">
        <f t="shared" ca="1" si="626"/>
        <v/>
      </c>
      <c r="F224" s="465" t="str">
        <f t="shared" ca="1" si="627"/>
        <v/>
      </c>
      <c r="G224" s="522">
        <f t="shared" ca="1" si="796"/>
        <v>1</v>
      </c>
      <c r="H224" s="519">
        <f t="shared" ca="1" si="797"/>
        <v>1</v>
      </c>
      <c r="I224" s="724">
        <f t="shared" ca="1" si="628"/>
        <v>7.4179214100327989E-2</v>
      </c>
      <c r="J224" s="198">
        <f t="shared" ca="1" si="629"/>
        <v>0.28019382736565962</v>
      </c>
      <c r="K224" s="200">
        <f t="shared" ca="1" si="805"/>
        <v>85.5</v>
      </c>
      <c r="L224" s="201">
        <f t="shared" ca="1" si="806"/>
        <v>90.5</v>
      </c>
      <c r="M224" s="206">
        <f t="shared" ca="1" si="807"/>
        <v>95.5</v>
      </c>
      <c r="N224" s="851">
        <f t="shared" ca="1" si="811"/>
        <v>38.311249542236368</v>
      </c>
      <c r="O224" s="201">
        <f t="shared" ca="1" si="812"/>
        <v>42.061249542236368</v>
      </c>
      <c r="P224" s="206">
        <f t="shared" ca="1" si="813"/>
        <v>45.811249542236368</v>
      </c>
      <c r="Q224" s="201">
        <f t="shared" ca="1" si="814"/>
        <v>27.247499465942372</v>
      </c>
      <c r="R224" s="201">
        <f t="shared" ca="1" si="815"/>
        <v>31.547499465942373</v>
      </c>
      <c r="S224" s="201">
        <f t="shared" ca="1" si="816"/>
        <v>35.84749946594237</v>
      </c>
      <c r="T224" s="851">
        <f t="shared" ca="1" si="808"/>
        <v>23.349997711181633</v>
      </c>
      <c r="U224" s="201">
        <f t="shared" ca="1" si="809"/>
        <v>25.849997711181633</v>
      </c>
      <c r="V224" s="206">
        <f t="shared" ca="1" si="810"/>
        <v>28.349997711181633</v>
      </c>
      <c r="W224" s="230">
        <f t="shared" ca="1" si="798"/>
        <v>8.9175164652205804E-2</v>
      </c>
      <c r="X224" s="231">
        <f t="shared" ca="1" si="799"/>
        <v>0.17835032930441161</v>
      </c>
      <c r="Y224" s="232">
        <f t="shared" ca="1" si="800"/>
        <v>0.2675254939566174</v>
      </c>
      <c r="Z224" s="231">
        <f t="shared" ca="1" si="612"/>
        <v>8.9175164652205804E-2</v>
      </c>
      <c r="AA224" s="231">
        <f t="shared" ca="1" si="613"/>
        <v>0.17835032930441161</v>
      </c>
      <c r="AB224" s="232">
        <f t="shared" ca="1" si="614"/>
        <v>0.2675254939566174</v>
      </c>
      <c r="AC224" s="231">
        <f t="shared" ca="1" si="615"/>
        <v>8.9175164652205804E-2</v>
      </c>
      <c r="AD224" s="231">
        <f t="shared" ca="1" si="616"/>
        <v>0.17835032930441161</v>
      </c>
      <c r="AE224" s="232">
        <f t="shared" ca="1" si="630"/>
        <v>0.2675254939566174</v>
      </c>
      <c r="AF224" s="231">
        <f t="shared" ca="1" si="801"/>
        <v>4.2559305970838741E-2</v>
      </c>
      <c r="AG224" s="231">
        <f t="shared" ca="1" si="802"/>
        <v>8.5118611941677483E-2</v>
      </c>
      <c r="AH224" s="232">
        <f t="shared" ca="1" si="803"/>
        <v>0.12767791791251623</v>
      </c>
      <c r="AI224" s="233">
        <f t="shared" ca="1" si="631"/>
        <v>2.65</v>
      </c>
      <c r="AJ224" s="233">
        <f t="shared" ca="1" si="632"/>
        <v>3</v>
      </c>
      <c r="AK224" s="234">
        <f t="shared" ca="1" si="633"/>
        <v>3.5</v>
      </c>
      <c r="AL224" s="919">
        <f t="shared" ca="1" si="634"/>
        <v>2.65</v>
      </c>
      <c r="AM224" s="233">
        <f t="shared" ca="1" si="635"/>
        <v>3</v>
      </c>
      <c r="AN224" s="234">
        <f t="shared" ca="1" si="636"/>
        <v>3.5</v>
      </c>
      <c r="AO224" s="233">
        <f t="shared" ca="1" si="637"/>
        <v>2.65</v>
      </c>
      <c r="AP224" s="233">
        <f t="shared" ca="1" si="638"/>
        <v>3</v>
      </c>
      <c r="AQ224" s="233">
        <f t="shared" ca="1" si="639"/>
        <v>3.5</v>
      </c>
      <c r="AR224" s="919">
        <f t="shared" ca="1" si="640"/>
        <v>0.6</v>
      </c>
      <c r="AS224" s="233">
        <f t="shared" ca="1" si="641"/>
        <v>0.75</v>
      </c>
      <c r="AT224" s="235">
        <f t="shared" ca="1" si="642"/>
        <v>0.95</v>
      </c>
      <c r="AU224" s="946">
        <f t="shared" si="643"/>
        <v>0.5</v>
      </c>
      <c r="AV224" s="13">
        <f t="shared" ca="1" si="644"/>
        <v>0</v>
      </c>
      <c r="AW224" s="210">
        <f t="shared" ca="1" si="645"/>
        <v>0</v>
      </c>
      <c r="AX224" s="210">
        <f t="shared" ca="1" si="646"/>
        <v>0</v>
      </c>
      <c r="AY224" s="210">
        <f t="shared" ca="1" si="647"/>
        <v>0</v>
      </c>
      <c r="AZ224" s="13">
        <f t="shared" ca="1" si="648"/>
        <v>0</v>
      </c>
      <c r="BA224" s="357">
        <f ca="1"/>
        <v>0</v>
      </c>
      <c r="BB224" s="925">
        <f ca="1"/>
        <v>0</v>
      </c>
      <c r="BC224" s="925">
        <f ca="1"/>
        <v>0</v>
      </c>
      <c r="BD224" s="928">
        <f ca="1"/>
        <v>0</v>
      </c>
      <c r="BE224" s="200">
        <f ca="1"/>
        <v>0</v>
      </c>
      <c r="BF224" s="851">
        <f ca="1"/>
        <v>0</v>
      </c>
      <c r="BG224" s="851">
        <f ca="1"/>
        <v>0</v>
      </c>
      <c r="BH224" s="933">
        <f ca="1"/>
        <v>0</v>
      </c>
      <c r="BI224" s="357">
        <f ca="1"/>
        <v>0</v>
      </c>
      <c r="BJ224" s="925">
        <f ca="1"/>
        <v>0</v>
      </c>
      <c r="BK224" s="925">
        <f ca="1"/>
        <v>0</v>
      </c>
      <c r="BL224" s="928">
        <f ca="1"/>
        <v>0</v>
      </c>
      <c r="BM224" s="200">
        <f ca="1"/>
        <v>0</v>
      </c>
      <c r="BN224" s="851">
        <f ca="1"/>
        <v>0</v>
      </c>
      <c r="BO224" s="851">
        <f ca="1"/>
        <v>0</v>
      </c>
      <c r="BP224" s="933">
        <f ca="1"/>
        <v>0</v>
      </c>
      <c r="BQ224" s="357">
        <f t="shared" ca="1" si="649"/>
        <v>0</v>
      </c>
      <c r="BR224" s="361">
        <f t="shared" ca="1" si="650"/>
        <v>0</v>
      </c>
      <c r="BS224" s="357">
        <f t="shared" ca="1" si="651"/>
        <v>0</v>
      </c>
      <c r="BT224" s="302">
        <f t="shared" ca="1" si="652"/>
        <v>0</v>
      </c>
      <c r="BU224" s="299">
        <f t="shared" ca="1" si="653"/>
        <v>0</v>
      </c>
      <c r="BV224" s="299">
        <f t="shared" ca="1" si="654"/>
        <v>0</v>
      </c>
      <c r="BW224" s="299">
        <f t="shared" ca="1" si="655"/>
        <v>0</v>
      </c>
      <c r="BX224" s="380">
        <f t="shared" ca="1" si="656"/>
        <v>17.330595482546201</v>
      </c>
      <c r="BY224" s="363">
        <f t="shared" ca="1" si="657"/>
        <v>0</v>
      </c>
      <c r="BZ224" s="353">
        <f t="shared" ca="1" si="658"/>
        <v>0</v>
      </c>
      <c r="CA224" s="353">
        <f t="shared" ca="1" si="659"/>
        <v>0</v>
      </c>
      <c r="CB224" s="353">
        <f t="shared" ca="1" si="660"/>
        <v>0</v>
      </c>
      <c r="CC224" s="353">
        <f t="shared" ca="1" si="661"/>
        <v>0</v>
      </c>
      <c r="CD224" s="353">
        <f t="shared" ca="1" si="662"/>
        <v>0</v>
      </c>
      <c r="CE224" s="302">
        <f t="shared" ca="1" si="663"/>
        <v>0</v>
      </c>
      <c r="CF224" s="299">
        <f t="shared" ca="1" si="664"/>
        <v>0</v>
      </c>
      <c r="CG224" s="299">
        <f t="shared" ca="1" si="665"/>
        <v>0</v>
      </c>
      <c r="CH224" s="299">
        <f t="shared" ca="1" si="666"/>
        <v>0</v>
      </c>
      <c r="CI224" s="299">
        <f t="shared" ca="1" si="667"/>
        <v>0</v>
      </c>
      <c r="CJ224" s="299">
        <f t="shared" ca="1" si="668"/>
        <v>0</v>
      </c>
      <c r="CK224" s="299">
        <f t="shared" ca="1" si="669"/>
        <v>0</v>
      </c>
      <c r="CL224" s="377" t="str">
        <f t="shared" ca="1" si="670"/>
        <v/>
      </c>
      <c r="CM224" s="305" t="str">
        <f t="shared" ca="1" si="671"/>
        <v/>
      </c>
      <c r="CN224" s="305" t="str">
        <f t="shared" ca="1" si="672"/>
        <v/>
      </c>
      <c r="CO224" s="305" t="str">
        <f t="shared" ca="1" si="673"/>
        <v/>
      </c>
      <c r="CP224" s="305" t="str">
        <f t="shared" ca="1" si="674"/>
        <v/>
      </c>
      <c r="CQ224" s="305" t="str">
        <f t="shared" ca="1" si="675"/>
        <v/>
      </c>
      <c r="CR224" s="775" t="str">
        <f t="shared" ca="1" si="676"/>
        <v/>
      </c>
      <c r="CS224" s="305" t="str">
        <f t="shared" ca="1" si="677"/>
        <v/>
      </c>
      <c r="CT224" s="305" t="str">
        <f t="shared" ca="1" si="678"/>
        <v/>
      </c>
      <c r="CU224" s="305" t="str">
        <f t="shared" ca="1" si="679"/>
        <v/>
      </c>
      <c r="CV224" s="770" t="str">
        <f t="shared" ca="1" si="680"/>
        <v/>
      </c>
      <c r="CW224" s="302">
        <f t="shared" ca="1" si="681"/>
        <v>0</v>
      </c>
      <c r="CX224" s="299">
        <f t="shared" ca="1" si="682"/>
        <v>0</v>
      </c>
      <c r="CY224" s="299">
        <f t="shared" ca="1" si="683"/>
        <v>0</v>
      </c>
      <c r="CZ224" s="299">
        <f t="shared" ca="1" si="684"/>
        <v>0</v>
      </c>
      <c r="DA224" s="774">
        <f t="shared" ca="1" si="685"/>
        <v>0</v>
      </c>
      <c r="DB224" s="303">
        <f t="shared" ca="1" si="686"/>
        <v>0</v>
      </c>
      <c r="DC224" s="248">
        <f t="shared" ca="1" si="687"/>
        <v>0</v>
      </c>
      <c r="DD224" s="778">
        <f t="shared" ca="1" si="688"/>
        <v>0</v>
      </c>
      <c r="DE224" s="363">
        <f t="shared" ca="1" si="689"/>
        <v>0</v>
      </c>
      <c r="DF224" s="378" t="str">
        <f t="shared" ca="1" si="690"/>
        <v/>
      </c>
      <c r="DG224" s="508" t="str">
        <f t="shared" ca="1" si="691"/>
        <v/>
      </c>
      <c r="DH224" s="508" t="str">
        <f t="shared" ca="1" si="692"/>
        <v/>
      </c>
      <c r="DI224" s="508" t="str">
        <f t="shared" ca="1" si="693"/>
        <v/>
      </c>
      <c r="DJ224" s="508" t="str">
        <f t="shared" ca="1" si="694"/>
        <v/>
      </c>
      <c r="DK224" s="353">
        <f t="shared" ca="1" si="695"/>
        <v>0</v>
      </c>
      <c r="DL224" s="781">
        <f t="shared" ca="1" si="696"/>
        <v>0</v>
      </c>
      <c r="DM224" s="303">
        <f t="shared" ca="1" si="697"/>
        <v>0</v>
      </c>
      <c r="DN224" s="508" t="str">
        <f t="shared" ca="1" si="698"/>
        <v/>
      </c>
      <c r="DO224" s="508" t="str">
        <f t="shared" ca="1" si="699"/>
        <v/>
      </c>
      <c r="DP224" s="508" t="str">
        <f t="shared" ca="1" si="700"/>
        <v/>
      </c>
      <c r="DQ224" s="508" t="str">
        <f t="shared" ca="1" si="701"/>
        <v/>
      </c>
      <c r="DR224" s="508" t="str">
        <f t="shared" ca="1" si="702"/>
        <v/>
      </c>
      <c r="DS224" s="353">
        <f t="shared" ca="1" si="703"/>
        <v>0</v>
      </c>
      <c r="DT224" s="353">
        <f t="shared" ca="1" si="704"/>
        <v>0</v>
      </c>
      <c r="DU224" s="380">
        <f t="shared" ca="1" si="804"/>
        <v>17.330595482546201</v>
      </c>
      <c r="DV224" s="303">
        <f t="shared" ca="1" si="705"/>
        <v>0</v>
      </c>
      <c r="DW224" s="303">
        <f t="shared" ca="1" si="706"/>
        <v>0</v>
      </c>
      <c r="DX224" s="303">
        <f t="shared" ca="1" si="707"/>
        <v>0</v>
      </c>
      <c r="DY224" s="303">
        <f t="shared" ca="1" si="708"/>
        <v>0</v>
      </c>
      <c r="DZ224" s="303">
        <f t="shared" ca="1" si="709"/>
        <v>0</v>
      </c>
      <c r="EA224" s="303">
        <f t="shared" ca="1" si="710"/>
        <v>0</v>
      </c>
      <c r="EB224" s="302">
        <f t="shared" ca="1" si="711"/>
        <v>0</v>
      </c>
      <c r="EC224" s="299">
        <f t="shared" ca="1" si="712"/>
        <v>0</v>
      </c>
      <c r="ED224" s="299">
        <f t="shared" ca="1" si="713"/>
        <v>0</v>
      </c>
      <c r="EE224" s="299">
        <f t="shared" ca="1" si="714"/>
        <v>0</v>
      </c>
      <c r="EF224" s="299">
        <f t="shared" ca="1" si="715"/>
        <v>0</v>
      </c>
      <c r="EG224" s="299">
        <f t="shared" ca="1" si="716"/>
        <v>0</v>
      </c>
      <c r="EH224" s="302">
        <f t="shared" ca="1" si="717"/>
        <v>0</v>
      </c>
      <c r="EI224" s="304" t="str">
        <f t="shared" ca="1" si="718"/>
        <v/>
      </c>
      <c r="EJ224" s="305" t="str">
        <f t="shared" ca="1" si="719"/>
        <v/>
      </c>
      <c r="EK224" s="305" t="str">
        <f t="shared" ca="1" si="720"/>
        <v/>
      </c>
      <c r="EL224" s="305" t="str">
        <f t="shared" ca="1" si="721"/>
        <v/>
      </c>
      <c r="EM224" s="305" t="str">
        <f t="shared" ca="1" si="722"/>
        <v/>
      </c>
      <c r="EN224" s="305" t="str">
        <f t="shared" ca="1" si="723"/>
        <v/>
      </c>
      <c r="EO224" s="305" t="str">
        <f t="shared" ca="1" si="724"/>
        <v/>
      </c>
      <c r="EP224" s="305" t="str">
        <f t="shared" ca="1" si="725"/>
        <v/>
      </c>
      <c r="EQ224" s="305" t="str">
        <f t="shared" ca="1" si="726"/>
        <v/>
      </c>
      <c r="ER224" s="305" t="str">
        <f t="shared" ca="1" si="727"/>
        <v/>
      </c>
      <c r="ES224" s="305" t="str">
        <f t="shared" ca="1" si="728"/>
        <v/>
      </c>
      <c r="ET224" s="299">
        <f t="shared" ca="1" si="729"/>
        <v>0</v>
      </c>
      <c r="EU224" s="302">
        <f t="shared" ca="1" si="730"/>
        <v>0</v>
      </c>
      <c r="EV224" s="304" t="str">
        <f t="shared" ca="1" si="731"/>
        <v/>
      </c>
      <c r="EW224" s="305" t="str">
        <f t="shared" ca="1" si="732"/>
        <v/>
      </c>
      <c r="EX224" s="305" t="str">
        <f t="shared" ca="1" si="733"/>
        <v/>
      </c>
      <c r="EY224" s="305" t="str">
        <f t="shared" ca="1" si="734"/>
        <v/>
      </c>
      <c r="EZ224" s="305" t="str">
        <f t="shared" ca="1" si="735"/>
        <v/>
      </c>
      <c r="FA224" s="305" t="str">
        <f t="shared" ca="1" si="736"/>
        <v/>
      </c>
      <c r="FB224" s="305" t="str">
        <f t="shared" ca="1" si="737"/>
        <v/>
      </c>
      <c r="FC224" s="305" t="str">
        <f t="shared" ca="1" si="738"/>
        <v/>
      </c>
      <c r="FD224" s="305" t="str">
        <f t="shared" ca="1" si="739"/>
        <v/>
      </c>
      <c r="FE224" s="305" t="str">
        <f t="shared" ca="1" si="740"/>
        <v/>
      </c>
      <c r="FF224" s="305" t="str">
        <f t="shared" ca="1" si="741"/>
        <v/>
      </c>
      <c r="FG224" s="299">
        <f t="shared" ca="1" si="742"/>
        <v>0</v>
      </c>
      <c r="FH224" s="302">
        <f t="shared" ca="1" si="743"/>
        <v>0</v>
      </c>
      <c r="FI224" s="248">
        <f t="shared" ca="1" si="744"/>
        <v>0</v>
      </c>
      <c r="FJ224" s="363">
        <f t="shared" ca="1" si="745"/>
        <v>0</v>
      </c>
      <c r="FK224" s="378" t="str">
        <f t="shared" ca="1" si="746"/>
        <v/>
      </c>
      <c r="FL224" s="508" t="str">
        <f t="shared" ca="1" si="747"/>
        <v/>
      </c>
      <c r="FM224" s="508" t="str">
        <f t="shared" ca="1" si="748"/>
        <v/>
      </c>
      <c r="FN224" s="508" t="str">
        <f t="shared" ca="1" si="749"/>
        <v/>
      </c>
      <c r="FO224" s="508" t="str">
        <f t="shared" ca="1" si="750"/>
        <v/>
      </c>
      <c r="FP224" s="353">
        <f t="shared" ca="1" si="751"/>
        <v>0</v>
      </c>
      <c r="FQ224" s="356">
        <f t="shared" ca="1" si="752"/>
        <v>0</v>
      </c>
      <c r="FR224" s="380">
        <f t="shared" ca="1" si="753"/>
        <v>0</v>
      </c>
      <c r="FS224" s="299">
        <f t="shared" ca="1" si="754"/>
        <v>0</v>
      </c>
      <c r="FT224" s="299">
        <f t="shared" ca="1" si="755"/>
        <v>0</v>
      </c>
      <c r="FU224" s="299">
        <f t="shared" ca="1" si="756"/>
        <v>0</v>
      </c>
      <c r="FV224" s="299">
        <f t="shared" ca="1" si="757"/>
        <v>0</v>
      </c>
      <c r="FW224" s="850" t="str">
        <f t="shared" ca="1" si="758"/>
        <v/>
      </c>
      <c r="FX224" s="851" t="str">
        <f t="shared" ca="1" si="759"/>
        <v/>
      </c>
      <c r="FY224" s="851" t="str">
        <f t="shared" ca="1" si="760"/>
        <v/>
      </c>
      <c r="FZ224" s="201" t="str">
        <f t="shared" ca="1" si="761"/>
        <v/>
      </c>
      <c r="GA224" s="201" t="str">
        <f t="shared" ca="1" si="762"/>
        <v/>
      </c>
      <c r="GB224" s="201" t="str">
        <f t="shared" ca="1" si="763"/>
        <v/>
      </c>
      <c r="GC224" s="201" t="str">
        <f t="shared" ca="1" si="764"/>
        <v/>
      </c>
      <c r="GD224" s="850" t="str">
        <f t="shared" ca="1" si="765"/>
        <v/>
      </c>
      <c r="GE224" s="866" t="str">
        <f t="shared" ca="1" si="766"/>
        <v/>
      </c>
      <c r="GF224" s="866" t="str">
        <f t="shared" ca="1" si="767"/>
        <v/>
      </c>
      <c r="GG224" s="866" t="str">
        <f t="shared" ca="1" si="768"/>
        <v/>
      </c>
      <c r="GH224" s="866" t="str">
        <f t="shared" ca="1" si="769"/>
        <v/>
      </c>
      <c r="GI224" s="302">
        <f t="shared" ca="1" si="770"/>
        <v>0</v>
      </c>
      <c r="GJ224" s="299">
        <f t="shared" ca="1" si="771"/>
        <v>0</v>
      </c>
      <c r="GK224" s="299">
        <f t="shared" ca="1" si="772"/>
        <v>0</v>
      </c>
      <c r="GL224" s="299">
        <f t="shared" ca="1" si="773"/>
        <v>0</v>
      </c>
      <c r="GM224" s="299">
        <f t="shared" ca="1" si="774"/>
        <v>0</v>
      </c>
      <c r="GN224" s="302">
        <f t="shared" ca="1" si="775"/>
        <v>0</v>
      </c>
      <c r="GO224" s="299">
        <f t="shared" ca="1" si="776"/>
        <v>0</v>
      </c>
      <c r="GP224" s="299">
        <f t="shared" ca="1" si="777"/>
        <v>0</v>
      </c>
      <c r="GQ224" s="299">
        <f t="shared" ca="1" si="778"/>
        <v>0</v>
      </c>
      <c r="GR224" s="299">
        <f t="shared" ca="1" si="779"/>
        <v>0</v>
      </c>
      <c r="GS224" s="302">
        <f t="shared" ca="1" si="780"/>
        <v>0</v>
      </c>
      <c r="GT224" s="299">
        <f t="shared" ca="1" si="781"/>
        <v>0</v>
      </c>
      <c r="GU224" s="299">
        <f t="shared" ca="1" si="782"/>
        <v>0</v>
      </c>
      <c r="GV224" s="299">
        <f t="shared" ca="1" si="783"/>
        <v>0</v>
      </c>
      <c r="GW224" s="299">
        <f t="shared" ca="1" si="784"/>
        <v>0</v>
      </c>
      <c r="GX224" s="303">
        <f t="shared" ca="1" si="785"/>
        <v>0</v>
      </c>
      <c r="GY224" s="303">
        <f t="shared" ca="1" si="786"/>
        <v>0</v>
      </c>
      <c r="GZ224" s="303">
        <f t="shared" ca="1" si="787"/>
        <v>0</v>
      </c>
      <c r="HA224" s="303">
        <f t="shared" ca="1" si="788"/>
        <v>0</v>
      </c>
      <c r="HB224" s="303">
        <f t="shared" ca="1" si="789"/>
        <v>0</v>
      </c>
      <c r="HC224" s="303">
        <f t="shared" ca="1" si="790"/>
        <v>0</v>
      </c>
      <c r="HD224" s="303">
        <f t="shared" ca="1" si="791"/>
        <v>0</v>
      </c>
      <c r="HE224" s="303">
        <f t="shared" ca="1" si="792"/>
        <v>0</v>
      </c>
      <c r="HF224" s="303">
        <f t="shared" ca="1" si="793"/>
        <v>0</v>
      </c>
      <c r="HG224" s="852">
        <f t="shared" ca="1" si="794"/>
        <v>0</v>
      </c>
    </row>
    <row r="225" spans="1:215" x14ac:dyDescent="0.25">
      <c r="A225" s="244">
        <f t="shared" ca="1" si="795"/>
        <v>42948</v>
      </c>
      <c r="B225" s="13">
        <f t="shared" ref="B225:B240" ca="1" si="817">YEAR(A225)</f>
        <v>2017</v>
      </c>
      <c r="C225" s="619">
        <f t="shared" ref="C225:C240" ca="1" si="818">MONTH(A225)</f>
        <v>8</v>
      </c>
      <c r="D225" s="195" t="str">
        <f t="shared" ca="1" si="625"/>
        <v/>
      </c>
      <c r="E225" s="469" t="str">
        <f t="shared" ca="1" si="626"/>
        <v/>
      </c>
      <c r="F225" s="465" t="str">
        <f t="shared" ca="1" si="627"/>
        <v/>
      </c>
      <c r="G225" s="522">
        <f t="shared" ca="1" si="796"/>
        <v>1</v>
      </c>
      <c r="H225" s="519">
        <f t="shared" ca="1" si="797"/>
        <v>1</v>
      </c>
      <c r="I225" s="724">
        <f t="shared" ref="I225:I240" ca="1" si="819">VLOOKUP(A225,IRTable,2)</f>
        <v>7.4178919382448999E-2</v>
      </c>
      <c r="J225" s="198">
        <f t="shared" ca="1" si="629"/>
        <v>0.27846843071392574</v>
      </c>
      <c r="K225" s="200">
        <f t="shared" ca="1" si="805"/>
        <v>81</v>
      </c>
      <c r="L225" s="201">
        <f t="shared" ca="1" si="806"/>
        <v>86</v>
      </c>
      <c r="M225" s="206">
        <f t="shared" ca="1" si="807"/>
        <v>91</v>
      </c>
      <c r="N225" s="851">
        <f t="shared" ca="1" si="811"/>
        <v>40.572499084472696</v>
      </c>
      <c r="O225" s="201">
        <f t="shared" ca="1" si="812"/>
        <v>44.322499084472696</v>
      </c>
      <c r="P225" s="206">
        <f t="shared" ca="1" si="813"/>
        <v>48.072499084472696</v>
      </c>
      <c r="Q225" s="201">
        <f t="shared" ca="1" si="814"/>
        <v>28.745000839233409</v>
      </c>
      <c r="R225" s="201">
        <f t="shared" ca="1" si="815"/>
        <v>33.04500083923341</v>
      </c>
      <c r="S225" s="201">
        <f t="shared" ca="1" si="816"/>
        <v>37.345000839233407</v>
      </c>
      <c r="T225" s="851">
        <f t="shared" ca="1" si="808"/>
        <v>23.699998092651359</v>
      </c>
      <c r="U225" s="201">
        <f t="shared" ca="1" si="809"/>
        <v>26.199998092651359</v>
      </c>
      <c r="V225" s="206">
        <f t="shared" ca="1" si="810"/>
        <v>28.699998092651359</v>
      </c>
      <c r="W225" s="230">
        <f t="shared" ca="1" si="798"/>
        <v>8.7838279896176055E-2</v>
      </c>
      <c r="X225" s="231">
        <f t="shared" ca="1" si="799"/>
        <v>0.17567655979235211</v>
      </c>
      <c r="Y225" s="232">
        <f t="shared" ca="1" si="800"/>
        <v>0.26351483968852818</v>
      </c>
      <c r="Z225" s="231">
        <f t="shared" ref="Z225:Z288" ca="1" si="820">VLOOKUP($A225,BigTable,14,0)</f>
        <v>8.7838279896176055E-2</v>
      </c>
      <c r="AA225" s="231">
        <f t="shared" ref="AA225:AA288" ca="1" si="821">VLOOKUP($A225,BigTable,15,0)</f>
        <v>0.17567655979235211</v>
      </c>
      <c r="AB225" s="232">
        <f t="shared" ref="AB225:AB288" ca="1" si="822">VLOOKUP($A225,BigTable,16,0)</f>
        <v>0.26351483968852818</v>
      </c>
      <c r="AC225" s="231">
        <f t="shared" ref="AC225:AC288" ca="1" si="823">VLOOKUP($A225,BigTable,14,0)</f>
        <v>8.7838279896176055E-2</v>
      </c>
      <c r="AD225" s="231">
        <f t="shared" ref="AD225:AD288" ca="1" si="824">VLOOKUP($A225,BigTable,15,0)</f>
        <v>0.17567655979235211</v>
      </c>
      <c r="AE225" s="232">
        <f t="shared" ca="1" si="630"/>
        <v>0.26351483968852818</v>
      </c>
      <c r="AF225" s="231">
        <f t="shared" ca="1" si="801"/>
        <v>4.2559305970838741E-2</v>
      </c>
      <c r="AG225" s="231">
        <f t="shared" ca="1" si="802"/>
        <v>8.5118611941677483E-2</v>
      </c>
      <c r="AH225" s="232">
        <f t="shared" ca="1" si="803"/>
        <v>0.12767791791251623</v>
      </c>
      <c r="AI225" s="233">
        <f t="shared" ca="1" si="631"/>
        <v>2.65</v>
      </c>
      <c r="AJ225" s="233">
        <f t="shared" ca="1" si="632"/>
        <v>3</v>
      </c>
      <c r="AK225" s="234">
        <f t="shared" ca="1" si="633"/>
        <v>3.5</v>
      </c>
      <c r="AL225" s="919">
        <f t="shared" ca="1" si="634"/>
        <v>2.65</v>
      </c>
      <c r="AM225" s="233">
        <f t="shared" ca="1" si="635"/>
        <v>3</v>
      </c>
      <c r="AN225" s="234">
        <f t="shared" ca="1" si="636"/>
        <v>3.5</v>
      </c>
      <c r="AO225" s="233">
        <f t="shared" ca="1" si="637"/>
        <v>2.65</v>
      </c>
      <c r="AP225" s="233">
        <f t="shared" ca="1" si="638"/>
        <v>3</v>
      </c>
      <c r="AQ225" s="233">
        <f t="shared" ca="1" si="639"/>
        <v>3.5</v>
      </c>
      <c r="AR225" s="919">
        <f t="shared" ca="1" si="640"/>
        <v>0.6</v>
      </c>
      <c r="AS225" s="233">
        <f t="shared" ca="1" si="641"/>
        <v>0.75</v>
      </c>
      <c r="AT225" s="235">
        <f t="shared" ca="1" si="642"/>
        <v>0.95</v>
      </c>
      <c r="AU225" s="946">
        <f t="shared" si="643"/>
        <v>0.5</v>
      </c>
      <c r="AV225" s="13">
        <f t="shared" ca="1" si="644"/>
        <v>0</v>
      </c>
      <c r="AW225" s="210">
        <f t="shared" ca="1" si="645"/>
        <v>0</v>
      </c>
      <c r="AX225" s="210">
        <f t="shared" ca="1" si="646"/>
        <v>0</v>
      </c>
      <c r="AY225" s="210">
        <f t="shared" ca="1" si="647"/>
        <v>0</v>
      </c>
      <c r="AZ225" s="13">
        <f t="shared" ca="1" si="648"/>
        <v>0</v>
      </c>
      <c r="BA225" s="357">
        <f ca="1"/>
        <v>0</v>
      </c>
      <c r="BB225" s="925">
        <f ca="1"/>
        <v>0</v>
      </c>
      <c r="BC225" s="925">
        <f ca="1"/>
        <v>0</v>
      </c>
      <c r="BD225" s="928">
        <f ca="1"/>
        <v>0</v>
      </c>
      <c r="BE225" s="200">
        <f ca="1"/>
        <v>0</v>
      </c>
      <c r="BF225" s="851">
        <f ca="1"/>
        <v>0</v>
      </c>
      <c r="BG225" s="851">
        <f ca="1"/>
        <v>0</v>
      </c>
      <c r="BH225" s="933">
        <f ca="1"/>
        <v>0</v>
      </c>
      <c r="BI225" s="357">
        <f ca="1"/>
        <v>0</v>
      </c>
      <c r="BJ225" s="925">
        <f ca="1"/>
        <v>0</v>
      </c>
      <c r="BK225" s="925">
        <f ca="1"/>
        <v>0</v>
      </c>
      <c r="BL225" s="928">
        <f ca="1"/>
        <v>0</v>
      </c>
      <c r="BM225" s="200">
        <f ca="1"/>
        <v>0</v>
      </c>
      <c r="BN225" s="851">
        <f ca="1"/>
        <v>0</v>
      </c>
      <c r="BO225" s="851">
        <f ca="1"/>
        <v>0</v>
      </c>
      <c r="BP225" s="933">
        <f ca="1"/>
        <v>0</v>
      </c>
      <c r="BQ225" s="357">
        <f t="shared" ca="1" si="649"/>
        <v>0</v>
      </c>
      <c r="BR225" s="361">
        <f t="shared" ca="1" si="650"/>
        <v>0</v>
      </c>
      <c r="BS225" s="357">
        <f t="shared" ca="1" si="651"/>
        <v>0</v>
      </c>
      <c r="BT225" s="302">
        <f t="shared" ca="1" si="652"/>
        <v>0</v>
      </c>
      <c r="BU225" s="299">
        <f t="shared" ca="1" si="653"/>
        <v>0</v>
      </c>
      <c r="BV225" s="299">
        <f t="shared" ca="1" si="654"/>
        <v>0</v>
      </c>
      <c r="BW225" s="299">
        <f t="shared" ca="1" si="655"/>
        <v>0</v>
      </c>
      <c r="BX225" s="380">
        <f t="shared" ca="1" si="656"/>
        <v>17.415468856947296</v>
      </c>
      <c r="BY225" s="363">
        <f t="shared" ca="1" si="657"/>
        <v>0</v>
      </c>
      <c r="BZ225" s="353">
        <f t="shared" ca="1" si="658"/>
        <v>0</v>
      </c>
      <c r="CA225" s="353">
        <f t="shared" ca="1" si="659"/>
        <v>0</v>
      </c>
      <c r="CB225" s="353">
        <f t="shared" ca="1" si="660"/>
        <v>0</v>
      </c>
      <c r="CC225" s="353">
        <f t="shared" ca="1" si="661"/>
        <v>0</v>
      </c>
      <c r="CD225" s="353">
        <f t="shared" ca="1" si="662"/>
        <v>0</v>
      </c>
      <c r="CE225" s="302">
        <f t="shared" ca="1" si="663"/>
        <v>0</v>
      </c>
      <c r="CF225" s="299">
        <f t="shared" ca="1" si="664"/>
        <v>0</v>
      </c>
      <c r="CG225" s="299">
        <f t="shared" ca="1" si="665"/>
        <v>0</v>
      </c>
      <c r="CH225" s="299">
        <f t="shared" ca="1" si="666"/>
        <v>0</v>
      </c>
      <c r="CI225" s="299">
        <f t="shared" ca="1" si="667"/>
        <v>0</v>
      </c>
      <c r="CJ225" s="299">
        <f t="shared" ca="1" si="668"/>
        <v>0</v>
      </c>
      <c r="CK225" s="299">
        <f t="shared" ca="1" si="669"/>
        <v>0</v>
      </c>
      <c r="CL225" s="377" t="str">
        <f t="shared" ca="1" si="670"/>
        <v/>
      </c>
      <c r="CM225" s="305" t="str">
        <f t="shared" ca="1" si="671"/>
        <v/>
      </c>
      <c r="CN225" s="305" t="str">
        <f t="shared" ca="1" si="672"/>
        <v/>
      </c>
      <c r="CO225" s="305" t="str">
        <f t="shared" ca="1" si="673"/>
        <v/>
      </c>
      <c r="CP225" s="305" t="str">
        <f t="shared" ca="1" si="674"/>
        <v/>
      </c>
      <c r="CQ225" s="305" t="str">
        <f t="shared" ca="1" si="675"/>
        <v/>
      </c>
      <c r="CR225" s="775" t="str">
        <f t="shared" ca="1" si="676"/>
        <v/>
      </c>
      <c r="CS225" s="305" t="str">
        <f t="shared" ca="1" si="677"/>
        <v/>
      </c>
      <c r="CT225" s="305" t="str">
        <f t="shared" ca="1" si="678"/>
        <v/>
      </c>
      <c r="CU225" s="305" t="str">
        <f t="shared" ca="1" si="679"/>
        <v/>
      </c>
      <c r="CV225" s="770" t="str">
        <f t="shared" ca="1" si="680"/>
        <v/>
      </c>
      <c r="CW225" s="302">
        <f t="shared" ca="1" si="681"/>
        <v>0</v>
      </c>
      <c r="CX225" s="299">
        <f t="shared" ca="1" si="682"/>
        <v>0</v>
      </c>
      <c r="CY225" s="299">
        <f t="shared" ca="1" si="683"/>
        <v>0</v>
      </c>
      <c r="CZ225" s="299">
        <f t="shared" ca="1" si="684"/>
        <v>0</v>
      </c>
      <c r="DA225" s="774">
        <f t="shared" ca="1" si="685"/>
        <v>0</v>
      </c>
      <c r="DB225" s="303">
        <f t="shared" ca="1" si="686"/>
        <v>0</v>
      </c>
      <c r="DC225" s="248">
        <f t="shared" ca="1" si="687"/>
        <v>0</v>
      </c>
      <c r="DD225" s="778">
        <f t="shared" ca="1" si="688"/>
        <v>0</v>
      </c>
      <c r="DE225" s="363">
        <f t="shared" ca="1" si="689"/>
        <v>0</v>
      </c>
      <c r="DF225" s="378" t="str">
        <f t="shared" ca="1" si="690"/>
        <v/>
      </c>
      <c r="DG225" s="508" t="str">
        <f t="shared" ca="1" si="691"/>
        <v/>
      </c>
      <c r="DH225" s="508" t="str">
        <f t="shared" ca="1" si="692"/>
        <v/>
      </c>
      <c r="DI225" s="508" t="str">
        <f t="shared" ca="1" si="693"/>
        <v/>
      </c>
      <c r="DJ225" s="508" t="str">
        <f t="shared" ca="1" si="694"/>
        <v/>
      </c>
      <c r="DK225" s="353">
        <f t="shared" ca="1" si="695"/>
        <v>0</v>
      </c>
      <c r="DL225" s="781">
        <f t="shared" ca="1" si="696"/>
        <v>0</v>
      </c>
      <c r="DM225" s="303">
        <f t="shared" ca="1" si="697"/>
        <v>0</v>
      </c>
      <c r="DN225" s="508" t="str">
        <f t="shared" ca="1" si="698"/>
        <v/>
      </c>
      <c r="DO225" s="508" t="str">
        <f t="shared" ca="1" si="699"/>
        <v/>
      </c>
      <c r="DP225" s="508" t="str">
        <f t="shared" ca="1" si="700"/>
        <v/>
      </c>
      <c r="DQ225" s="508" t="str">
        <f t="shared" ca="1" si="701"/>
        <v/>
      </c>
      <c r="DR225" s="508" t="str">
        <f t="shared" ca="1" si="702"/>
        <v/>
      </c>
      <c r="DS225" s="353">
        <f t="shared" ca="1" si="703"/>
        <v>0</v>
      </c>
      <c r="DT225" s="353">
        <f t="shared" ca="1" si="704"/>
        <v>0</v>
      </c>
      <c r="DU225" s="380">
        <f t="shared" ca="1" si="804"/>
        <v>17.415468856947296</v>
      </c>
      <c r="DV225" s="303">
        <f t="shared" ca="1" si="705"/>
        <v>0</v>
      </c>
      <c r="DW225" s="303">
        <f t="shared" ca="1" si="706"/>
        <v>0</v>
      </c>
      <c r="DX225" s="303">
        <f t="shared" ca="1" si="707"/>
        <v>0</v>
      </c>
      <c r="DY225" s="303">
        <f t="shared" ca="1" si="708"/>
        <v>0</v>
      </c>
      <c r="DZ225" s="303">
        <f t="shared" ca="1" si="709"/>
        <v>0</v>
      </c>
      <c r="EA225" s="303">
        <f t="shared" ca="1" si="710"/>
        <v>0</v>
      </c>
      <c r="EB225" s="302">
        <f t="shared" ca="1" si="711"/>
        <v>0</v>
      </c>
      <c r="EC225" s="299">
        <f t="shared" ca="1" si="712"/>
        <v>0</v>
      </c>
      <c r="ED225" s="299">
        <f t="shared" ca="1" si="713"/>
        <v>0</v>
      </c>
      <c r="EE225" s="299">
        <f t="shared" ca="1" si="714"/>
        <v>0</v>
      </c>
      <c r="EF225" s="299">
        <f t="shared" ca="1" si="715"/>
        <v>0</v>
      </c>
      <c r="EG225" s="299">
        <f t="shared" ca="1" si="716"/>
        <v>0</v>
      </c>
      <c r="EH225" s="302">
        <f t="shared" ca="1" si="717"/>
        <v>0</v>
      </c>
      <c r="EI225" s="304" t="str">
        <f t="shared" ca="1" si="718"/>
        <v/>
      </c>
      <c r="EJ225" s="305" t="str">
        <f t="shared" ca="1" si="719"/>
        <v/>
      </c>
      <c r="EK225" s="305" t="str">
        <f t="shared" ca="1" si="720"/>
        <v/>
      </c>
      <c r="EL225" s="305" t="str">
        <f t="shared" ca="1" si="721"/>
        <v/>
      </c>
      <c r="EM225" s="305" t="str">
        <f t="shared" ca="1" si="722"/>
        <v/>
      </c>
      <c r="EN225" s="305" t="str">
        <f t="shared" ca="1" si="723"/>
        <v/>
      </c>
      <c r="EO225" s="305" t="str">
        <f t="shared" ca="1" si="724"/>
        <v/>
      </c>
      <c r="EP225" s="305" t="str">
        <f t="shared" ca="1" si="725"/>
        <v/>
      </c>
      <c r="EQ225" s="305" t="str">
        <f t="shared" ca="1" si="726"/>
        <v/>
      </c>
      <c r="ER225" s="305" t="str">
        <f t="shared" ca="1" si="727"/>
        <v/>
      </c>
      <c r="ES225" s="305" t="str">
        <f t="shared" ca="1" si="728"/>
        <v/>
      </c>
      <c r="ET225" s="299">
        <f t="shared" ca="1" si="729"/>
        <v>0</v>
      </c>
      <c r="EU225" s="302">
        <f t="shared" ca="1" si="730"/>
        <v>0</v>
      </c>
      <c r="EV225" s="304" t="str">
        <f t="shared" ca="1" si="731"/>
        <v/>
      </c>
      <c r="EW225" s="305" t="str">
        <f t="shared" ca="1" si="732"/>
        <v/>
      </c>
      <c r="EX225" s="305" t="str">
        <f t="shared" ca="1" si="733"/>
        <v/>
      </c>
      <c r="EY225" s="305" t="str">
        <f t="shared" ca="1" si="734"/>
        <v/>
      </c>
      <c r="EZ225" s="305" t="str">
        <f t="shared" ca="1" si="735"/>
        <v/>
      </c>
      <c r="FA225" s="305" t="str">
        <f t="shared" ca="1" si="736"/>
        <v/>
      </c>
      <c r="FB225" s="305" t="str">
        <f t="shared" ca="1" si="737"/>
        <v/>
      </c>
      <c r="FC225" s="305" t="str">
        <f t="shared" ca="1" si="738"/>
        <v/>
      </c>
      <c r="FD225" s="305" t="str">
        <f t="shared" ca="1" si="739"/>
        <v/>
      </c>
      <c r="FE225" s="305" t="str">
        <f t="shared" ca="1" si="740"/>
        <v/>
      </c>
      <c r="FF225" s="305" t="str">
        <f t="shared" ca="1" si="741"/>
        <v/>
      </c>
      <c r="FG225" s="299">
        <f t="shared" ca="1" si="742"/>
        <v>0</v>
      </c>
      <c r="FH225" s="302">
        <f t="shared" ca="1" si="743"/>
        <v>0</v>
      </c>
      <c r="FI225" s="248">
        <f t="shared" ca="1" si="744"/>
        <v>0</v>
      </c>
      <c r="FJ225" s="363">
        <f t="shared" ca="1" si="745"/>
        <v>0</v>
      </c>
      <c r="FK225" s="378" t="str">
        <f t="shared" ca="1" si="746"/>
        <v/>
      </c>
      <c r="FL225" s="508" t="str">
        <f t="shared" ca="1" si="747"/>
        <v/>
      </c>
      <c r="FM225" s="508" t="str">
        <f t="shared" ca="1" si="748"/>
        <v/>
      </c>
      <c r="FN225" s="508" t="str">
        <f t="shared" ca="1" si="749"/>
        <v/>
      </c>
      <c r="FO225" s="508" t="str">
        <f t="shared" ca="1" si="750"/>
        <v/>
      </c>
      <c r="FP225" s="353">
        <f t="shared" ca="1" si="751"/>
        <v>0</v>
      </c>
      <c r="FQ225" s="356">
        <f t="shared" ca="1" si="752"/>
        <v>0</v>
      </c>
      <c r="FR225" s="380">
        <f t="shared" ca="1" si="753"/>
        <v>0</v>
      </c>
      <c r="FS225" s="299">
        <f t="shared" ca="1" si="754"/>
        <v>0</v>
      </c>
      <c r="FT225" s="299">
        <f t="shared" ca="1" si="755"/>
        <v>0</v>
      </c>
      <c r="FU225" s="299">
        <f t="shared" ca="1" si="756"/>
        <v>0</v>
      </c>
      <c r="FV225" s="299">
        <f t="shared" ca="1" si="757"/>
        <v>0</v>
      </c>
      <c r="FW225" s="850" t="str">
        <f t="shared" ca="1" si="758"/>
        <v/>
      </c>
      <c r="FX225" s="851" t="str">
        <f t="shared" ca="1" si="759"/>
        <v/>
      </c>
      <c r="FY225" s="851" t="str">
        <f t="shared" ca="1" si="760"/>
        <v/>
      </c>
      <c r="FZ225" s="201" t="str">
        <f t="shared" ca="1" si="761"/>
        <v/>
      </c>
      <c r="GA225" s="201" t="str">
        <f t="shared" ca="1" si="762"/>
        <v/>
      </c>
      <c r="GB225" s="201" t="str">
        <f t="shared" ca="1" si="763"/>
        <v/>
      </c>
      <c r="GC225" s="201" t="str">
        <f t="shared" ca="1" si="764"/>
        <v/>
      </c>
      <c r="GD225" s="850" t="str">
        <f t="shared" ca="1" si="765"/>
        <v/>
      </c>
      <c r="GE225" s="866" t="str">
        <f t="shared" ca="1" si="766"/>
        <v/>
      </c>
      <c r="GF225" s="866" t="str">
        <f t="shared" ca="1" si="767"/>
        <v/>
      </c>
      <c r="GG225" s="866" t="str">
        <f t="shared" ca="1" si="768"/>
        <v/>
      </c>
      <c r="GH225" s="866" t="str">
        <f t="shared" ca="1" si="769"/>
        <v/>
      </c>
      <c r="GI225" s="302">
        <f t="shared" ca="1" si="770"/>
        <v>0</v>
      </c>
      <c r="GJ225" s="299">
        <f t="shared" ca="1" si="771"/>
        <v>0</v>
      </c>
      <c r="GK225" s="299">
        <f t="shared" ca="1" si="772"/>
        <v>0</v>
      </c>
      <c r="GL225" s="299">
        <f t="shared" ca="1" si="773"/>
        <v>0</v>
      </c>
      <c r="GM225" s="299">
        <f t="shared" ca="1" si="774"/>
        <v>0</v>
      </c>
      <c r="GN225" s="302">
        <f t="shared" ca="1" si="775"/>
        <v>0</v>
      </c>
      <c r="GO225" s="299">
        <f t="shared" ca="1" si="776"/>
        <v>0</v>
      </c>
      <c r="GP225" s="299">
        <f t="shared" ca="1" si="777"/>
        <v>0</v>
      </c>
      <c r="GQ225" s="299">
        <f t="shared" ca="1" si="778"/>
        <v>0</v>
      </c>
      <c r="GR225" s="299">
        <f t="shared" ca="1" si="779"/>
        <v>0</v>
      </c>
      <c r="GS225" s="302">
        <f t="shared" ca="1" si="780"/>
        <v>0</v>
      </c>
      <c r="GT225" s="299">
        <f t="shared" ca="1" si="781"/>
        <v>0</v>
      </c>
      <c r="GU225" s="299">
        <f t="shared" ca="1" si="782"/>
        <v>0</v>
      </c>
      <c r="GV225" s="299">
        <f t="shared" ca="1" si="783"/>
        <v>0</v>
      </c>
      <c r="GW225" s="299">
        <f t="shared" ca="1" si="784"/>
        <v>0</v>
      </c>
      <c r="GX225" s="303">
        <f t="shared" ca="1" si="785"/>
        <v>0</v>
      </c>
      <c r="GY225" s="303">
        <f t="shared" ca="1" si="786"/>
        <v>0</v>
      </c>
      <c r="GZ225" s="303">
        <f t="shared" ca="1" si="787"/>
        <v>0</v>
      </c>
      <c r="HA225" s="303">
        <f t="shared" ca="1" si="788"/>
        <v>0</v>
      </c>
      <c r="HB225" s="303">
        <f t="shared" ca="1" si="789"/>
        <v>0</v>
      </c>
      <c r="HC225" s="303">
        <f t="shared" ca="1" si="790"/>
        <v>0</v>
      </c>
      <c r="HD225" s="303">
        <f t="shared" ca="1" si="791"/>
        <v>0</v>
      </c>
      <c r="HE225" s="303">
        <f t="shared" ca="1" si="792"/>
        <v>0</v>
      </c>
      <c r="HF225" s="303">
        <f t="shared" ca="1" si="793"/>
        <v>0</v>
      </c>
      <c r="HG225" s="852">
        <f t="shared" ca="1" si="794"/>
        <v>0</v>
      </c>
    </row>
    <row r="226" spans="1:215" x14ac:dyDescent="0.25">
      <c r="A226" s="244">
        <f t="shared" ca="1" si="795"/>
        <v>42979</v>
      </c>
      <c r="B226" s="13">
        <f t="shared" ca="1" si="817"/>
        <v>2017</v>
      </c>
      <c r="C226" s="619">
        <f t="shared" ca="1" si="818"/>
        <v>9</v>
      </c>
      <c r="D226" s="195">
        <f t="shared" ca="1" si="625"/>
        <v>42982</v>
      </c>
      <c r="E226" s="469" t="str">
        <f t="shared" ca="1" si="626"/>
        <v/>
      </c>
      <c r="F226" s="465" t="str">
        <f t="shared" ca="1" si="627"/>
        <v/>
      </c>
      <c r="G226" s="522">
        <f t="shared" ca="1" si="796"/>
        <v>1</v>
      </c>
      <c r="H226" s="519">
        <f t="shared" ca="1" si="797"/>
        <v>1</v>
      </c>
      <c r="I226" s="724">
        <f t="shared" ca="1" si="819"/>
        <v>7.4178624664568996E-2</v>
      </c>
      <c r="J226" s="198">
        <f t="shared" ca="1" si="629"/>
        <v>0.27680886634277274</v>
      </c>
      <c r="K226" s="200">
        <f t="shared" ca="1" si="805"/>
        <v>33.25</v>
      </c>
      <c r="L226" s="201">
        <f t="shared" ca="1" si="806"/>
        <v>35.549999999999997</v>
      </c>
      <c r="M226" s="206">
        <f t="shared" ca="1" si="807"/>
        <v>37.85</v>
      </c>
      <c r="N226" s="851">
        <f t="shared" ca="1" si="811"/>
        <v>23.979999160766589</v>
      </c>
      <c r="O226" s="201">
        <f t="shared" ca="1" si="812"/>
        <v>25.70499916076659</v>
      </c>
      <c r="P226" s="206">
        <f t="shared" ca="1" si="813"/>
        <v>27.429999160766592</v>
      </c>
      <c r="Q226" s="201">
        <f t="shared" ca="1" si="814"/>
        <v>21.9</v>
      </c>
      <c r="R226" s="201">
        <f t="shared" ca="1" si="815"/>
        <v>26.2</v>
      </c>
      <c r="S226" s="201">
        <f t="shared" ca="1" si="816"/>
        <v>30.5</v>
      </c>
      <c r="T226" s="851">
        <f t="shared" ca="1" si="808"/>
        <v>20.599998092651362</v>
      </c>
      <c r="U226" s="201">
        <f t="shared" ca="1" si="809"/>
        <v>21.74999809265136</v>
      </c>
      <c r="V226" s="206">
        <f t="shared" ca="1" si="810"/>
        <v>22.899998092651359</v>
      </c>
      <c r="W226" s="230">
        <f t="shared" ca="1" si="798"/>
        <v>5.8129729762181906E-2</v>
      </c>
      <c r="X226" s="231">
        <f t="shared" ca="1" si="799"/>
        <v>0.11625945952436381</v>
      </c>
      <c r="Y226" s="232">
        <f t="shared" ca="1" si="800"/>
        <v>0.17438918928654573</v>
      </c>
      <c r="Z226" s="231">
        <f t="shared" ca="1" si="820"/>
        <v>5.8129729762181906E-2</v>
      </c>
      <c r="AA226" s="231">
        <f t="shared" ca="1" si="821"/>
        <v>0.11625945952436381</v>
      </c>
      <c r="AB226" s="232">
        <f t="shared" ca="1" si="822"/>
        <v>0.17438918928654573</v>
      </c>
      <c r="AC226" s="231">
        <f t="shared" ca="1" si="823"/>
        <v>5.8129729762181906E-2</v>
      </c>
      <c r="AD226" s="231">
        <f t="shared" ca="1" si="824"/>
        <v>0.11625945952436381</v>
      </c>
      <c r="AE226" s="232">
        <f t="shared" ca="1" si="630"/>
        <v>0.17438918928654573</v>
      </c>
      <c r="AF226" s="231">
        <f t="shared" ca="1" si="801"/>
        <v>2.8372870647225826E-2</v>
      </c>
      <c r="AG226" s="231">
        <f t="shared" ca="1" si="802"/>
        <v>5.6745741294451653E-2</v>
      </c>
      <c r="AH226" s="232">
        <f t="shared" ca="1" si="803"/>
        <v>8.5118611941677483E-2</v>
      </c>
      <c r="AI226" s="233">
        <f t="shared" ca="1" si="631"/>
        <v>1.1499999999999999</v>
      </c>
      <c r="AJ226" s="233">
        <f t="shared" ca="1" si="632"/>
        <v>1.5</v>
      </c>
      <c r="AK226" s="234">
        <f t="shared" ca="1" si="633"/>
        <v>1.8</v>
      </c>
      <c r="AL226" s="919">
        <f t="shared" ca="1" si="634"/>
        <v>1.1499999999999999</v>
      </c>
      <c r="AM226" s="233">
        <f t="shared" ca="1" si="635"/>
        <v>1.5</v>
      </c>
      <c r="AN226" s="234">
        <f t="shared" ca="1" si="636"/>
        <v>1.8</v>
      </c>
      <c r="AO226" s="233">
        <f t="shared" ca="1" si="637"/>
        <v>1.1499999999999999</v>
      </c>
      <c r="AP226" s="233">
        <f t="shared" ca="1" si="638"/>
        <v>1.5</v>
      </c>
      <c r="AQ226" s="233">
        <f t="shared" ca="1" si="639"/>
        <v>1.8</v>
      </c>
      <c r="AR226" s="919">
        <f t="shared" ca="1" si="640"/>
        <v>0.25</v>
      </c>
      <c r="AS226" s="233">
        <f t="shared" ca="1" si="641"/>
        <v>0.4</v>
      </c>
      <c r="AT226" s="235">
        <f t="shared" ca="1" si="642"/>
        <v>0.60000000000000009</v>
      </c>
      <c r="AU226" s="946">
        <f t="shared" si="643"/>
        <v>0.5</v>
      </c>
      <c r="AV226" s="13">
        <f t="shared" ca="1" si="644"/>
        <v>0</v>
      </c>
      <c r="AW226" s="210">
        <f t="shared" ca="1" si="645"/>
        <v>0</v>
      </c>
      <c r="AX226" s="210">
        <f t="shared" ca="1" si="646"/>
        <v>0</v>
      </c>
      <c r="AY226" s="210">
        <f t="shared" ca="1" si="647"/>
        <v>0</v>
      </c>
      <c r="AZ226" s="13">
        <f t="shared" ca="1" si="648"/>
        <v>0</v>
      </c>
      <c r="BA226" s="357">
        <f ca="1"/>
        <v>0</v>
      </c>
      <c r="BB226" s="925">
        <f ca="1"/>
        <v>0</v>
      </c>
      <c r="BC226" s="925">
        <f ca="1"/>
        <v>0</v>
      </c>
      <c r="BD226" s="928">
        <f ca="1"/>
        <v>0</v>
      </c>
      <c r="BE226" s="200">
        <f ca="1"/>
        <v>0</v>
      </c>
      <c r="BF226" s="851">
        <f ca="1"/>
        <v>0</v>
      </c>
      <c r="BG226" s="851">
        <f ca="1"/>
        <v>0</v>
      </c>
      <c r="BH226" s="933">
        <f ca="1"/>
        <v>0</v>
      </c>
      <c r="BI226" s="357">
        <f ca="1"/>
        <v>0</v>
      </c>
      <c r="BJ226" s="925">
        <f ca="1"/>
        <v>0</v>
      </c>
      <c r="BK226" s="925">
        <f ca="1"/>
        <v>0</v>
      </c>
      <c r="BL226" s="928">
        <f ca="1"/>
        <v>0</v>
      </c>
      <c r="BM226" s="200">
        <f ca="1"/>
        <v>0</v>
      </c>
      <c r="BN226" s="851">
        <f ca="1"/>
        <v>0</v>
      </c>
      <c r="BO226" s="851">
        <f ca="1"/>
        <v>0</v>
      </c>
      <c r="BP226" s="933">
        <f ca="1"/>
        <v>0</v>
      </c>
      <c r="BQ226" s="357">
        <f t="shared" ca="1" si="649"/>
        <v>0</v>
      </c>
      <c r="BR226" s="361">
        <f t="shared" ca="1" si="650"/>
        <v>0</v>
      </c>
      <c r="BS226" s="357">
        <f t="shared" ca="1" si="651"/>
        <v>0</v>
      </c>
      <c r="BT226" s="302">
        <f t="shared" ca="1" si="652"/>
        <v>0</v>
      </c>
      <c r="BU226" s="299">
        <f t="shared" ca="1" si="653"/>
        <v>0</v>
      </c>
      <c r="BV226" s="299">
        <f t="shared" ca="1" si="654"/>
        <v>0</v>
      </c>
      <c r="BW226" s="299">
        <f t="shared" ca="1" si="655"/>
        <v>0</v>
      </c>
      <c r="BX226" s="380">
        <f t="shared" ca="1" si="656"/>
        <v>17.500342231348391</v>
      </c>
      <c r="BY226" s="363">
        <f t="shared" ca="1" si="657"/>
        <v>0</v>
      </c>
      <c r="BZ226" s="353">
        <f t="shared" ca="1" si="658"/>
        <v>0</v>
      </c>
      <c r="CA226" s="353">
        <f t="shared" ca="1" si="659"/>
        <v>0</v>
      </c>
      <c r="CB226" s="353">
        <f t="shared" ca="1" si="660"/>
        <v>0</v>
      </c>
      <c r="CC226" s="353">
        <f t="shared" ca="1" si="661"/>
        <v>0</v>
      </c>
      <c r="CD226" s="353">
        <f t="shared" ca="1" si="662"/>
        <v>0</v>
      </c>
      <c r="CE226" s="302">
        <f t="shared" ca="1" si="663"/>
        <v>0</v>
      </c>
      <c r="CF226" s="299">
        <f t="shared" ca="1" si="664"/>
        <v>0</v>
      </c>
      <c r="CG226" s="299">
        <f t="shared" ca="1" si="665"/>
        <v>0</v>
      </c>
      <c r="CH226" s="299">
        <f t="shared" ca="1" si="666"/>
        <v>0</v>
      </c>
      <c r="CI226" s="299">
        <f t="shared" ca="1" si="667"/>
        <v>0</v>
      </c>
      <c r="CJ226" s="299">
        <f t="shared" ca="1" si="668"/>
        <v>0</v>
      </c>
      <c r="CK226" s="299">
        <f t="shared" ca="1" si="669"/>
        <v>0</v>
      </c>
      <c r="CL226" s="377" t="str">
        <f t="shared" ca="1" si="670"/>
        <v/>
      </c>
      <c r="CM226" s="305" t="str">
        <f t="shared" ca="1" si="671"/>
        <v/>
      </c>
      <c r="CN226" s="305" t="str">
        <f t="shared" ca="1" si="672"/>
        <v/>
      </c>
      <c r="CO226" s="305" t="str">
        <f t="shared" ca="1" si="673"/>
        <v/>
      </c>
      <c r="CP226" s="305" t="str">
        <f t="shared" ca="1" si="674"/>
        <v/>
      </c>
      <c r="CQ226" s="305" t="str">
        <f t="shared" ca="1" si="675"/>
        <v/>
      </c>
      <c r="CR226" s="775" t="str">
        <f t="shared" ca="1" si="676"/>
        <v/>
      </c>
      <c r="CS226" s="305" t="str">
        <f t="shared" ca="1" si="677"/>
        <v/>
      </c>
      <c r="CT226" s="305" t="str">
        <f t="shared" ca="1" si="678"/>
        <v/>
      </c>
      <c r="CU226" s="305" t="str">
        <f t="shared" ca="1" si="679"/>
        <v/>
      </c>
      <c r="CV226" s="770" t="str">
        <f t="shared" ca="1" si="680"/>
        <v/>
      </c>
      <c r="CW226" s="302">
        <f t="shared" ca="1" si="681"/>
        <v>0</v>
      </c>
      <c r="CX226" s="299">
        <f t="shared" ca="1" si="682"/>
        <v>0</v>
      </c>
      <c r="CY226" s="299">
        <f t="shared" ca="1" si="683"/>
        <v>0</v>
      </c>
      <c r="CZ226" s="299">
        <f t="shared" ca="1" si="684"/>
        <v>0</v>
      </c>
      <c r="DA226" s="774">
        <f t="shared" ca="1" si="685"/>
        <v>0</v>
      </c>
      <c r="DB226" s="303">
        <f t="shared" ca="1" si="686"/>
        <v>0</v>
      </c>
      <c r="DC226" s="248">
        <f t="shared" ca="1" si="687"/>
        <v>0</v>
      </c>
      <c r="DD226" s="778">
        <f t="shared" ca="1" si="688"/>
        <v>0</v>
      </c>
      <c r="DE226" s="363">
        <f t="shared" ca="1" si="689"/>
        <v>0</v>
      </c>
      <c r="DF226" s="378" t="str">
        <f t="shared" ca="1" si="690"/>
        <v/>
      </c>
      <c r="DG226" s="508" t="str">
        <f t="shared" ca="1" si="691"/>
        <v/>
      </c>
      <c r="DH226" s="508" t="str">
        <f t="shared" ca="1" si="692"/>
        <v/>
      </c>
      <c r="DI226" s="508" t="str">
        <f t="shared" ca="1" si="693"/>
        <v/>
      </c>
      <c r="DJ226" s="508" t="str">
        <f t="shared" ca="1" si="694"/>
        <v/>
      </c>
      <c r="DK226" s="353">
        <f t="shared" ca="1" si="695"/>
        <v>0</v>
      </c>
      <c r="DL226" s="781">
        <f t="shared" ca="1" si="696"/>
        <v>0</v>
      </c>
      <c r="DM226" s="303">
        <f t="shared" ca="1" si="697"/>
        <v>0</v>
      </c>
      <c r="DN226" s="508" t="str">
        <f t="shared" ca="1" si="698"/>
        <v/>
      </c>
      <c r="DO226" s="508" t="str">
        <f t="shared" ca="1" si="699"/>
        <v/>
      </c>
      <c r="DP226" s="508" t="str">
        <f t="shared" ca="1" si="700"/>
        <v/>
      </c>
      <c r="DQ226" s="508" t="str">
        <f t="shared" ca="1" si="701"/>
        <v/>
      </c>
      <c r="DR226" s="508" t="str">
        <f t="shared" ca="1" si="702"/>
        <v/>
      </c>
      <c r="DS226" s="353">
        <f t="shared" ca="1" si="703"/>
        <v>0</v>
      </c>
      <c r="DT226" s="353">
        <f t="shared" ca="1" si="704"/>
        <v>0</v>
      </c>
      <c r="DU226" s="380">
        <f t="shared" ca="1" si="804"/>
        <v>17.500342231348391</v>
      </c>
      <c r="DV226" s="303">
        <f t="shared" ca="1" si="705"/>
        <v>0</v>
      </c>
      <c r="DW226" s="303">
        <f t="shared" ca="1" si="706"/>
        <v>0</v>
      </c>
      <c r="DX226" s="303">
        <f t="shared" ca="1" si="707"/>
        <v>0</v>
      </c>
      <c r="DY226" s="303">
        <f t="shared" ca="1" si="708"/>
        <v>0</v>
      </c>
      <c r="DZ226" s="303">
        <f t="shared" ca="1" si="709"/>
        <v>0</v>
      </c>
      <c r="EA226" s="303">
        <f t="shared" ca="1" si="710"/>
        <v>0</v>
      </c>
      <c r="EB226" s="302">
        <f t="shared" ca="1" si="711"/>
        <v>0</v>
      </c>
      <c r="EC226" s="299">
        <f t="shared" ca="1" si="712"/>
        <v>0</v>
      </c>
      <c r="ED226" s="299">
        <f t="shared" ca="1" si="713"/>
        <v>0</v>
      </c>
      <c r="EE226" s="299">
        <f t="shared" ca="1" si="714"/>
        <v>0</v>
      </c>
      <c r="EF226" s="299">
        <f t="shared" ca="1" si="715"/>
        <v>0</v>
      </c>
      <c r="EG226" s="299">
        <f t="shared" ca="1" si="716"/>
        <v>0</v>
      </c>
      <c r="EH226" s="302">
        <f t="shared" ca="1" si="717"/>
        <v>0</v>
      </c>
      <c r="EI226" s="304" t="str">
        <f t="shared" ca="1" si="718"/>
        <v/>
      </c>
      <c r="EJ226" s="305" t="str">
        <f t="shared" ca="1" si="719"/>
        <v/>
      </c>
      <c r="EK226" s="305" t="str">
        <f t="shared" ca="1" si="720"/>
        <v/>
      </c>
      <c r="EL226" s="305" t="str">
        <f t="shared" ca="1" si="721"/>
        <v/>
      </c>
      <c r="EM226" s="305" t="str">
        <f t="shared" ca="1" si="722"/>
        <v/>
      </c>
      <c r="EN226" s="305" t="str">
        <f t="shared" ca="1" si="723"/>
        <v/>
      </c>
      <c r="EO226" s="305" t="str">
        <f t="shared" ca="1" si="724"/>
        <v/>
      </c>
      <c r="EP226" s="305" t="str">
        <f t="shared" ca="1" si="725"/>
        <v/>
      </c>
      <c r="EQ226" s="305" t="str">
        <f t="shared" ca="1" si="726"/>
        <v/>
      </c>
      <c r="ER226" s="305" t="str">
        <f t="shared" ca="1" si="727"/>
        <v/>
      </c>
      <c r="ES226" s="305" t="str">
        <f t="shared" ca="1" si="728"/>
        <v/>
      </c>
      <c r="ET226" s="299">
        <f t="shared" ca="1" si="729"/>
        <v>0</v>
      </c>
      <c r="EU226" s="302">
        <f t="shared" ca="1" si="730"/>
        <v>0</v>
      </c>
      <c r="EV226" s="304" t="str">
        <f t="shared" ca="1" si="731"/>
        <v/>
      </c>
      <c r="EW226" s="305" t="str">
        <f t="shared" ca="1" si="732"/>
        <v/>
      </c>
      <c r="EX226" s="305" t="str">
        <f t="shared" ca="1" si="733"/>
        <v/>
      </c>
      <c r="EY226" s="305" t="str">
        <f t="shared" ca="1" si="734"/>
        <v/>
      </c>
      <c r="EZ226" s="305" t="str">
        <f t="shared" ca="1" si="735"/>
        <v/>
      </c>
      <c r="FA226" s="305" t="str">
        <f t="shared" ca="1" si="736"/>
        <v/>
      </c>
      <c r="FB226" s="305" t="str">
        <f t="shared" ca="1" si="737"/>
        <v/>
      </c>
      <c r="FC226" s="305" t="str">
        <f t="shared" ca="1" si="738"/>
        <v/>
      </c>
      <c r="FD226" s="305" t="str">
        <f t="shared" ca="1" si="739"/>
        <v/>
      </c>
      <c r="FE226" s="305" t="str">
        <f t="shared" ca="1" si="740"/>
        <v/>
      </c>
      <c r="FF226" s="305" t="str">
        <f t="shared" ca="1" si="741"/>
        <v/>
      </c>
      <c r="FG226" s="299">
        <f t="shared" ca="1" si="742"/>
        <v>0</v>
      </c>
      <c r="FH226" s="302">
        <f t="shared" ca="1" si="743"/>
        <v>0</v>
      </c>
      <c r="FI226" s="248">
        <f t="shared" ca="1" si="744"/>
        <v>0</v>
      </c>
      <c r="FJ226" s="363">
        <f t="shared" ca="1" si="745"/>
        <v>0</v>
      </c>
      <c r="FK226" s="378" t="str">
        <f t="shared" ca="1" si="746"/>
        <v/>
      </c>
      <c r="FL226" s="508" t="str">
        <f t="shared" ca="1" si="747"/>
        <v/>
      </c>
      <c r="FM226" s="508" t="str">
        <f t="shared" ca="1" si="748"/>
        <v/>
      </c>
      <c r="FN226" s="508" t="str">
        <f t="shared" ca="1" si="749"/>
        <v/>
      </c>
      <c r="FO226" s="508" t="str">
        <f t="shared" ca="1" si="750"/>
        <v/>
      </c>
      <c r="FP226" s="353">
        <f t="shared" ca="1" si="751"/>
        <v>0</v>
      </c>
      <c r="FQ226" s="356">
        <f t="shared" ca="1" si="752"/>
        <v>0</v>
      </c>
      <c r="FR226" s="380">
        <f t="shared" ca="1" si="753"/>
        <v>0</v>
      </c>
      <c r="FS226" s="299">
        <f t="shared" ca="1" si="754"/>
        <v>0</v>
      </c>
      <c r="FT226" s="299">
        <f t="shared" ca="1" si="755"/>
        <v>0</v>
      </c>
      <c r="FU226" s="299">
        <f t="shared" ca="1" si="756"/>
        <v>0</v>
      </c>
      <c r="FV226" s="299">
        <f t="shared" ca="1" si="757"/>
        <v>0</v>
      </c>
      <c r="FW226" s="850" t="str">
        <f t="shared" ca="1" si="758"/>
        <v/>
      </c>
      <c r="FX226" s="851" t="str">
        <f t="shared" ca="1" si="759"/>
        <v/>
      </c>
      <c r="FY226" s="851" t="str">
        <f t="shared" ca="1" si="760"/>
        <v/>
      </c>
      <c r="FZ226" s="201" t="str">
        <f t="shared" ca="1" si="761"/>
        <v/>
      </c>
      <c r="GA226" s="201" t="str">
        <f t="shared" ca="1" si="762"/>
        <v/>
      </c>
      <c r="GB226" s="201" t="str">
        <f t="shared" ca="1" si="763"/>
        <v/>
      </c>
      <c r="GC226" s="201" t="str">
        <f t="shared" ca="1" si="764"/>
        <v/>
      </c>
      <c r="GD226" s="850" t="str">
        <f t="shared" ca="1" si="765"/>
        <v/>
      </c>
      <c r="GE226" s="866" t="str">
        <f t="shared" ca="1" si="766"/>
        <v/>
      </c>
      <c r="GF226" s="866" t="str">
        <f t="shared" ca="1" si="767"/>
        <v/>
      </c>
      <c r="GG226" s="866" t="str">
        <f t="shared" ca="1" si="768"/>
        <v/>
      </c>
      <c r="GH226" s="866" t="str">
        <f t="shared" ca="1" si="769"/>
        <v/>
      </c>
      <c r="GI226" s="302">
        <f t="shared" ca="1" si="770"/>
        <v>0</v>
      </c>
      <c r="GJ226" s="299">
        <f t="shared" ca="1" si="771"/>
        <v>0</v>
      </c>
      <c r="GK226" s="299">
        <f t="shared" ca="1" si="772"/>
        <v>0</v>
      </c>
      <c r="GL226" s="299">
        <f t="shared" ca="1" si="773"/>
        <v>0</v>
      </c>
      <c r="GM226" s="299">
        <f t="shared" ca="1" si="774"/>
        <v>0</v>
      </c>
      <c r="GN226" s="302">
        <f t="shared" ca="1" si="775"/>
        <v>0</v>
      </c>
      <c r="GO226" s="299">
        <f t="shared" ca="1" si="776"/>
        <v>0</v>
      </c>
      <c r="GP226" s="299">
        <f t="shared" ca="1" si="777"/>
        <v>0</v>
      </c>
      <c r="GQ226" s="299">
        <f t="shared" ca="1" si="778"/>
        <v>0</v>
      </c>
      <c r="GR226" s="299">
        <f t="shared" ca="1" si="779"/>
        <v>0</v>
      </c>
      <c r="GS226" s="302">
        <f t="shared" ca="1" si="780"/>
        <v>0</v>
      </c>
      <c r="GT226" s="299">
        <f t="shared" ca="1" si="781"/>
        <v>0</v>
      </c>
      <c r="GU226" s="299">
        <f t="shared" ca="1" si="782"/>
        <v>0</v>
      </c>
      <c r="GV226" s="299">
        <f t="shared" ca="1" si="783"/>
        <v>0</v>
      </c>
      <c r="GW226" s="299">
        <f t="shared" ca="1" si="784"/>
        <v>0</v>
      </c>
      <c r="GX226" s="303">
        <f t="shared" ca="1" si="785"/>
        <v>0</v>
      </c>
      <c r="GY226" s="303">
        <f t="shared" ca="1" si="786"/>
        <v>0</v>
      </c>
      <c r="GZ226" s="303">
        <f t="shared" ca="1" si="787"/>
        <v>0</v>
      </c>
      <c r="HA226" s="303">
        <f t="shared" ca="1" si="788"/>
        <v>0</v>
      </c>
      <c r="HB226" s="303">
        <f t="shared" ca="1" si="789"/>
        <v>0</v>
      </c>
      <c r="HC226" s="303">
        <f t="shared" ca="1" si="790"/>
        <v>0</v>
      </c>
      <c r="HD226" s="303">
        <f t="shared" ca="1" si="791"/>
        <v>0</v>
      </c>
      <c r="HE226" s="303">
        <f t="shared" ca="1" si="792"/>
        <v>0</v>
      </c>
      <c r="HF226" s="303">
        <f t="shared" ca="1" si="793"/>
        <v>0</v>
      </c>
      <c r="HG226" s="852">
        <f t="shared" ca="1" si="794"/>
        <v>0</v>
      </c>
    </row>
    <row r="227" spans="1:215" x14ac:dyDescent="0.25">
      <c r="A227" s="244">
        <f t="shared" ca="1" si="795"/>
        <v>43009</v>
      </c>
      <c r="B227" s="13">
        <f t="shared" ca="1" si="817"/>
        <v>2017</v>
      </c>
      <c r="C227" s="619">
        <f t="shared" ca="1" si="818"/>
        <v>10</v>
      </c>
      <c r="D227" s="195" t="str">
        <f t="shared" ca="1" si="625"/>
        <v/>
      </c>
      <c r="E227" s="469" t="str">
        <f t="shared" ca="1" si="626"/>
        <v/>
      </c>
      <c r="F227" s="465" t="str">
        <f t="shared" ca="1" si="627"/>
        <v/>
      </c>
      <c r="G227" s="522">
        <f t="shared" ca="1" si="796"/>
        <v>1</v>
      </c>
      <c r="H227" s="519">
        <f t="shared" ca="1" si="797"/>
        <v>1</v>
      </c>
      <c r="I227" s="724">
        <f t="shared" ca="1" si="819"/>
        <v>7.4178339453718004E-2</v>
      </c>
      <c r="J227" s="198">
        <f t="shared" ca="1" si="629"/>
        <v>0.27510429547595594</v>
      </c>
      <c r="K227" s="200">
        <f t="shared" ca="1" si="805"/>
        <v>31.15</v>
      </c>
      <c r="L227" s="201">
        <f t="shared" ca="1" si="806"/>
        <v>33.299999999999997</v>
      </c>
      <c r="M227" s="206">
        <f t="shared" ca="1" si="807"/>
        <v>35.450000000000003</v>
      </c>
      <c r="N227" s="851">
        <f t="shared" ca="1" si="811"/>
        <v>24.188000106811511</v>
      </c>
      <c r="O227" s="201">
        <f t="shared" ca="1" si="812"/>
        <v>25.800500106811512</v>
      </c>
      <c r="P227" s="206">
        <f t="shared" ca="1" si="813"/>
        <v>27.413000106811513</v>
      </c>
      <c r="Q227" s="201">
        <f t="shared" ca="1" si="814"/>
        <v>19.500999832153308</v>
      </c>
      <c r="R227" s="201">
        <f t="shared" ca="1" si="815"/>
        <v>23.800999832153309</v>
      </c>
      <c r="S227" s="201">
        <f t="shared" ca="1" si="816"/>
        <v>28.10099983215331</v>
      </c>
      <c r="T227" s="851">
        <f t="shared" ca="1" si="808"/>
        <v>20.374998855590814</v>
      </c>
      <c r="U227" s="201">
        <f t="shared" ca="1" si="809"/>
        <v>21.449998855590813</v>
      </c>
      <c r="V227" s="206">
        <f t="shared" ca="1" si="810"/>
        <v>22.524998855590812</v>
      </c>
      <c r="W227" s="230">
        <f t="shared" ca="1" si="798"/>
        <v>5.2881219238509608E-2</v>
      </c>
      <c r="X227" s="231">
        <f t="shared" ca="1" si="799"/>
        <v>0.10576243847701922</v>
      </c>
      <c r="Y227" s="232">
        <f t="shared" ca="1" si="800"/>
        <v>0.15864365771552882</v>
      </c>
      <c r="Z227" s="231">
        <f t="shared" ca="1" si="820"/>
        <v>5.2881219238509608E-2</v>
      </c>
      <c r="AA227" s="231">
        <f t="shared" ca="1" si="821"/>
        <v>0.10576243847701922</v>
      </c>
      <c r="AB227" s="232">
        <f t="shared" ca="1" si="822"/>
        <v>0.15864365771552882</v>
      </c>
      <c r="AC227" s="231">
        <f t="shared" ca="1" si="823"/>
        <v>5.2881219238509608E-2</v>
      </c>
      <c r="AD227" s="231">
        <f t="shared" ca="1" si="824"/>
        <v>0.10576243847701922</v>
      </c>
      <c r="AE227" s="232">
        <f t="shared" ca="1" si="630"/>
        <v>0.15864365771552882</v>
      </c>
      <c r="AF227" s="231">
        <f t="shared" ca="1" si="801"/>
        <v>2.1279652985419371E-2</v>
      </c>
      <c r="AG227" s="231">
        <f t="shared" ca="1" si="802"/>
        <v>4.2559305970838741E-2</v>
      </c>
      <c r="AH227" s="232">
        <f t="shared" ca="1" si="803"/>
        <v>6.3838958956258116E-2</v>
      </c>
      <c r="AI227" s="233">
        <f t="shared" ca="1" si="631"/>
        <v>0.85000000000000009</v>
      </c>
      <c r="AJ227" s="233">
        <f t="shared" ca="1" si="632"/>
        <v>1.1000000000000001</v>
      </c>
      <c r="AK227" s="234">
        <f t="shared" ca="1" si="633"/>
        <v>1.4000000000000001</v>
      </c>
      <c r="AL227" s="919">
        <f t="shared" ca="1" si="634"/>
        <v>0.85000000000000009</v>
      </c>
      <c r="AM227" s="233">
        <f t="shared" ca="1" si="635"/>
        <v>1.1000000000000001</v>
      </c>
      <c r="AN227" s="234">
        <f t="shared" ca="1" si="636"/>
        <v>1.4000000000000001</v>
      </c>
      <c r="AO227" s="233">
        <f t="shared" ca="1" si="637"/>
        <v>0.85000000000000009</v>
      </c>
      <c r="AP227" s="233">
        <f t="shared" ca="1" si="638"/>
        <v>1.1000000000000001</v>
      </c>
      <c r="AQ227" s="233">
        <f t="shared" ca="1" si="639"/>
        <v>1.4000000000000001</v>
      </c>
      <c r="AR227" s="919">
        <f t="shared" ca="1" si="640"/>
        <v>0.19999999999999998</v>
      </c>
      <c r="AS227" s="233">
        <f t="shared" ca="1" si="641"/>
        <v>0.35</v>
      </c>
      <c r="AT227" s="235">
        <f t="shared" ca="1" si="642"/>
        <v>0.55000000000000004</v>
      </c>
      <c r="AU227" s="946">
        <f t="shared" si="643"/>
        <v>0.5</v>
      </c>
      <c r="AV227" s="13">
        <f t="shared" ca="1" si="644"/>
        <v>0</v>
      </c>
      <c r="AW227" s="210">
        <f t="shared" ca="1" si="645"/>
        <v>0</v>
      </c>
      <c r="AX227" s="210">
        <f t="shared" ca="1" si="646"/>
        <v>0</v>
      </c>
      <c r="AY227" s="210">
        <f t="shared" ca="1" si="647"/>
        <v>0</v>
      </c>
      <c r="AZ227" s="13">
        <f t="shared" ca="1" si="648"/>
        <v>0</v>
      </c>
      <c r="BA227" s="357">
        <f ca="1"/>
        <v>0</v>
      </c>
      <c r="BB227" s="925">
        <f ca="1"/>
        <v>0</v>
      </c>
      <c r="BC227" s="925">
        <f ca="1"/>
        <v>0</v>
      </c>
      <c r="BD227" s="928">
        <f ca="1"/>
        <v>0</v>
      </c>
      <c r="BE227" s="200">
        <f ca="1"/>
        <v>0</v>
      </c>
      <c r="BF227" s="851">
        <f ca="1"/>
        <v>0</v>
      </c>
      <c r="BG227" s="851">
        <f ca="1"/>
        <v>0</v>
      </c>
      <c r="BH227" s="933">
        <f ca="1"/>
        <v>0</v>
      </c>
      <c r="BI227" s="357">
        <f ca="1"/>
        <v>0</v>
      </c>
      <c r="BJ227" s="925">
        <f ca="1"/>
        <v>0</v>
      </c>
      <c r="BK227" s="925">
        <f ca="1"/>
        <v>0</v>
      </c>
      <c r="BL227" s="928">
        <f ca="1"/>
        <v>0</v>
      </c>
      <c r="BM227" s="200">
        <f ca="1"/>
        <v>0</v>
      </c>
      <c r="BN227" s="851">
        <f ca="1"/>
        <v>0</v>
      </c>
      <c r="BO227" s="851">
        <f ca="1"/>
        <v>0</v>
      </c>
      <c r="BP227" s="933">
        <f ca="1"/>
        <v>0</v>
      </c>
      <c r="BQ227" s="357">
        <f t="shared" ca="1" si="649"/>
        <v>0</v>
      </c>
      <c r="BR227" s="361">
        <f t="shared" ca="1" si="650"/>
        <v>0</v>
      </c>
      <c r="BS227" s="357">
        <f t="shared" ca="1" si="651"/>
        <v>0</v>
      </c>
      <c r="BT227" s="302">
        <f t="shared" ca="1" si="652"/>
        <v>0</v>
      </c>
      <c r="BU227" s="299">
        <f t="shared" ca="1" si="653"/>
        <v>0</v>
      </c>
      <c r="BV227" s="299">
        <f t="shared" ca="1" si="654"/>
        <v>0</v>
      </c>
      <c r="BW227" s="299">
        <f t="shared" ca="1" si="655"/>
        <v>0</v>
      </c>
      <c r="BX227" s="380">
        <f t="shared" ca="1" si="656"/>
        <v>17.582477754962355</v>
      </c>
      <c r="BY227" s="363">
        <f t="shared" ca="1" si="657"/>
        <v>0</v>
      </c>
      <c r="BZ227" s="353">
        <f t="shared" ca="1" si="658"/>
        <v>0</v>
      </c>
      <c r="CA227" s="353">
        <f t="shared" ca="1" si="659"/>
        <v>0</v>
      </c>
      <c r="CB227" s="353">
        <f t="shared" ca="1" si="660"/>
        <v>0</v>
      </c>
      <c r="CC227" s="353">
        <f t="shared" ca="1" si="661"/>
        <v>0</v>
      </c>
      <c r="CD227" s="353">
        <f t="shared" ca="1" si="662"/>
        <v>0</v>
      </c>
      <c r="CE227" s="302">
        <f t="shared" ca="1" si="663"/>
        <v>0</v>
      </c>
      <c r="CF227" s="299">
        <f t="shared" ca="1" si="664"/>
        <v>0</v>
      </c>
      <c r="CG227" s="299">
        <f t="shared" ca="1" si="665"/>
        <v>0</v>
      </c>
      <c r="CH227" s="299">
        <f t="shared" ca="1" si="666"/>
        <v>0</v>
      </c>
      <c r="CI227" s="299">
        <f t="shared" ca="1" si="667"/>
        <v>0</v>
      </c>
      <c r="CJ227" s="299">
        <f t="shared" ca="1" si="668"/>
        <v>0</v>
      </c>
      <c r="CK227" s="299">
        <f t="shared" ca="1" si="669"/>
        <v>0</v>
      </c>
      <c r="CL227" s="377" t="str">
        <f t="shared" ca="1" si="670"/>
        <v/>
      </c>
      <c r="CM227" s="305" t="str">
        <f t="shared" ca="1" si="671"/>
        <v/>
      </c>
      <c r="CN227" s="305" t="str">
        <f t="shared" ca="1" si="672"/>
        <v/>
      </c>
      <c r="CO227" s="305" t="str">
        <f t="shared" ca="1" si="673"/>
        <v/>
      </c>
      <c r="CP227" s="305" t="str">
        <f t="shared" ca="1" si="674"/>
        <v/>
      </c>
      <c r="CQ227" s="305" t="str">
        <f t="shared" ca="1" si="675"/>
        <v/>
      </c>
      <c r="CR227" s="775" t="str">
        <f t="shared" ca="1" si="676"/>
        <v/>
      </c>
      <c r="CS227" s="305" t="str">
        <f t="shared" ca="1" si="677"/>
        <v/>
      </c>
      <c r="CT227" s="305" t="str">
        <f t="shared" ca="1" si="678"/>
        <v/>
      </c>
      <c r="CU227" s="305" t="str">
        <f t="shared" ca="1" si="679"/>
        <v/>
      </c>
      <c r="CV227" s="770" t="str">
        <f t="shared" ca="1" si="680"/>
        <v/>
      </c>
      <c r="CW227" s="302">
        <f t="shared" ca="1" si="681"/>
        <v>0</v>
      </c>
      <c r="CX227" s="299">
        <f t="shared" ca="1" si="682"/>
        <v>0</v>
      </c>
      <c r="CY227" s="299">
        <f t="shared" ca="1" si="683"/>
        <v>0</v>
      </c>
      <c r="CZ227" s="299">
        <f t="shared" ca="1" si="684"/>
        <v>0</v>
      </c>
      <c r="DA227" s="774">
        <f t="shared" ca="1" si="685"/>
        <v>0</v>
      </c>
      <c r="DB227" s="303">
        <f t="shared" ca="1" si="686"/>
        <v>0</v>
      </c>
      <c r="DC227" s="248">
        <f t="shared" ca="1" si="687"/>
        <v>0</v>
      </c>
      <c r="DD227" s="778">
        <f t="shared" ca="1" si="688"/>
        <v>0</v>
      </c>
      <c r="DE227" s="363">
        <f t="shared" ca="1" si="689"/>
        <v>0</v>
      </c>
      <c r="DF227" s="378" t="str">
        <f t="shared" ca="1" si="690"/>
        <v/>
      </c>
      <c r="DG227" s="508" t="str">
        <f t="shared" ca="1" si="691"/>
        <v/>
      </c>
      <c r="DH227" s="508" t="str">
        <f t="shared" ca="1" si="692"/>
        <v/>
      </c>
      <c r="DI227" s="508" t="str">
        <f t="shared" ca="1" si="693"/>
        <v/>
      </c>
      <c r="DJ227" s="508" t="str">
        <f t="shared" ca="1" si="694"/>
        <v/>
      </c>
      <c r="DK227" s="353">
        <f t="shared" ca="1" si="695"/>
        <v>0</v>
      </c>
      <c r="DL227" s="781">
        <f t="shared" ca="1" si="696"/>
        <v>0</v>
      </c>
      <c r="DM227" s="303">
        <f t="shared" ca="1" si="697"/>
        <v>0</v>
      </c>
      <c r="DN227" s="508" t="str">
        <f t="shared" ca="1" si="698"/>
        <v/>
      </c>
      <c r="DO227" s="508" t="str">
        <f t="shared" ca="1" si="699"/>
        <v/>
      </c>
      <c r="DP227" s="508" t="str">
        <f t="shared" ca="1" si="700"/>
        <v/>
      </c>
      <c r="DQ227" s="508" t="str">
        <f t="shared" ca="1" si="701"/>
        <v/>
      </c>
      <c r="DR227" s="508" t="str">
        <f t="shared" ca="1" si="702"/>
        <v/>
      </c>
      <c r="DS227" s="353">
        <f t="shared" ca="1" si="703"/>
        <v>0</v>
      </c>
      <c r="DT227" s="353">
        <f t="shared" ca="1" si="704"/>
        <v>0</v>
      </c>
      <c r="DU227" s="380">
        <f t="shared" ca="1" si="804"/>
        <v>17.582477754962355</v>
      </c>
      <c r="DV227" s="303">
        <f t="shared" ca="1" si="705"/>
        <v>0</v>
      </c>
      <c r="DW227" s="303">
        <f t="shared" ca="1" si="706"/>
        <v>0</v>
      </c>
      <c r="DX227" s="303">
        <f t="shared" ca="1" si="707"/>
        <v>0</v>
      </c>
      <c r="DY227" s="303">
        <f t="shared" ca="1" si="708"/>
        <v>0</v>
      </c>
      <c r="DZ227" s="303">
        <f t="shared" ca="1" si="709"/>
        <v>0</v>
      </c>
      <c r="EA227" s="303">
        <f t="shared" ca="1" si="710"/>
        <v>0</v>
      </c>
      <c r="EB227" s="302">
        <f t="shared" ca="1" si="711"/>
        <v>0</v>
      </c>
      <c r="EC227" s="299">
        <f t="shared" ca="1" si="712"/>
        <v>0</v>
      </c>
      <c r="ED227" s="299">
        <f t="shared" ca="1" si="713"/>
        <v>0</v>
      </c>
      <c r="EE227" s="299">
        <f t="shared" ca="1" si="714"/>
        <v>0</v>
      </c>
      <c r="EF227" s="299">
        <f t="shared" ca="1" si="715"/>
        <v>0</v>
      </c>
      <c r="EG227" s="299">
        <f t="shared" ca="1" si="716"/>
        <v>0</v>
      </c>
      <c r="EH227" s="302">
        <f t="shared" ca="1" si="717"/>
        <v>0</v>
      </c>
      <c r="EI227" s="304" t="str">
        <f t="shared" ca="1" si="718"/>
        <v/>
      </c>
      <c r="EJ227" s="305" t="str">
        <f t="shared" ca="1" si="719"/>
        <v/>
      </c>
      <c r="EK227" s="305" t="str">
        <f t="shared" ca="1" si="720"/>
        <v/>
      </c>
      <c r="EL227" s="305" t="str">
        <f t="shared" ca="1" si="721"/>
        <v/>
      </c>
      <c r="EM227" s="305" t="str">
        <f t="shared" ca="1" si="722"/>
        <v/>
      </c>
      <c r="EN227" s="305" t="str">
        <f t="shared" ca="1" si="723"/>
        <v/>
      </c>
      <c r="EO227" s="305" t="str">
        <f t="shared" ca="1" si="724"/>
        <v/>
      </c>
      <c r="EP227" s="305" t="str">
        <f t="shared" ca="1" si="725"/>
        <v/>
      </c>
      <c r="EQ227" s="305" t="str">
        <f t="shared" ca="1" si="726"/>
        <v/>
      </c>
      <c r="ER227" s="305" t="str">
        <f t="shared" ca="1" si="727"/>
        <v/>
      </c>
      <c r="ES227" s="305" t="str">
        <f t="shared" ca="1" si="728"/>
        <v/>
      </c>
      <c r="ET227" s="299">
        <f t="shared" ca="1" si="729"/>
        <v>0</v>
      </c>
      <c r="EU227" s="302">
        <f t="shared" ca="1" si="730"/>
        <v>0</v>
      </c>
      <c r="EV227" s="304" t="str">
        <f t="shared" ca="1" si="731"/>
        <v/>
      </c>
      <c r="EW227" s="305" t="str">
        <f t="shared" ca="1" si="732"/>
        <v/>
      </c>
      <c r="EX227" s="305" t="str">
        <f t="shared" ca="1" si="733"/>
        <v/>
      </c>
      <c r="EY227" s="305" t="str">
        <f t="shared" ca="1" si="734"/>
        <v/>
      </c>
      <c r="EZ227" s="305" t="str">
        <f t="shared" ca="1" si="735"/>
        <v/>
      </c>
      <c r="FA227" s="305" t="str">
        <f t="shared" ca="1" si="736"/>
        <v/>
      </c>
      <c r="FB227" s="305" t="str">
        <f t="shared" ca="1" si="737"/>
        <v/>
      </c>
      <c r="FC227" s="305" t="str">
        <f t="shared" ca="1" si="738"/>
        <v/>
      </c>
      <c r="FD227" s="305" t="str">
        <f t="shared" ca="1" si="739"/>
        <v/>
      </c>
      <c r="FE227" s="305" t="str">
        <f t="shared" ca="1" si="740"/>
        <v/>
      </c>
      <c r="FF227" s="305" t="str">
        <f t="shared" ca="1" si="741"/>
        <v/>
      </c>
      <c r="FG227" s="299">
        <f t="shared" ca="1" si="742"/>
        <v>0</v>
      </c>
      <c r="FH227" s="302">
        <f t="shared" ca="1" si="743"/>
        <v>0</v>
      </c>
      <c r="FI227" s="248">
        <f t="shared" ca="1" si="744"/>
        <v>0</v>
      </c>
      <c r="FJ227" s="363">
        <f t="shared" ca="1" si="745"/>
        <v>0</v>
      </c>
      <c r="FK227" s="378" t="str">
        <f t="shared" ca="1" si="746"/>
        <v/>
      </c>
      <c r="FL227" s="508" t="str">
        <f t="shared" ca="1" si="747"/>
        <v/>
      </c>
      <c r="FM227" s="508" t="str">
        <f t="shared" ca="1" si="748"/>
        <v/>
      </c>
      <c r="FN227" s="508" t="str">
        <f t="shared" ca="1" si="749"/>
        <v/>
      </c>
      <c r="FO227" s="508" t="str">
        <f t="shared" ca="1" si="750"/>
        <v/>
      </c>
      <c r="FP227" s="353">
        <f t="shared" ca="1" si="751"/>
        <v>0</v>
      </c>
      <c r="FQ227" s="356">
        <f t="shared" ca="1" si="752"/>
        <v>0</v>
      </c>
      <c r="FR227" s="380">
        <f t="shared" ca="1" si="753"/>
        <v>0</v>
      </c>
      <c r="FS227" s="299">
        <f t="shared" ca="1" si="754"/>
        <v>0</v>
      </c>
      <c r="FT227" s="299">
        <f t="shared" ca="1" si="755"/>
        <v>0</v>
      </c>
      <c r="FU227" s="299">
        <f t="shared" ca="1" si="756"/>
        <v>0</v>
      </c>
      <c r="FV227" s="299">
        <f t="shared" ca="1" si="757"/>
        <v>0</v>
      </c>
      <c r="FW227" s="850" t="str">
        <f t="shared" ca="1" si="758"/>
        <v/>
      </c>
      <c r="FX227" s="851" t="str">
        <f t="shared" ca="1" si="759"/>
        <v/>
      </c>
      <c r="FY227" s="851" t="str">
        <f t="shared" ca="1" si="760"/>
        <v/>
      </c>
      <c r="FZ227" s="201" t="str">
        <f t="shared" ca="1" si="761"/>
        <v/>
      </c>
      <c r="GA227" s="201" t="str">
        <f t="shared" ca="1" si="762"/>
        <v/>
      </c>
      <c r="GB227" s="201" t="str">
        <f t="shared" ca="1" si="763"/>
        <v/>
      </c>
      <c r="GC227" s="201" t="str">
        <f t="shared" ca="1" si="764"/>
        <v/>
      </c>
      <c r="GD227" s="850" t="str">
        <f t="shared" ca="1" si="765"/>
        <v/>
      </c>
      <c r="GE227" s="866" t="str">
        <f t="shared" ca="1" si="766"/>
        <v/>
      </c>
      <c r="GF227" s="866" t="str">
        <f t="shared" ca="1" si="767"/>
        <v/>
      </c>
      <c r="GG227" s="866" t="str">
        <f t="shared" ca="1" si="768"/>
        <v/>
      </c>
      <c r="GH227" s="866" t="str">
        <f t="shared" ca="1" si="769"/>
        <v/>
      </c>
      <c r="GI227" s="302">
        <f t="shared" ca="1" si="770"/>
        <v>0</v>
      </c>
      <c r="GJ227" s="299">
        <f t="shared" ca="1" si="771"/>
        <v>0</v>
      </c>
      <c r="GK227" s="299">
        <f t="shared" ca="1" si="772"/>
        <v>0</v>
      </c>
      <c r="GL227" s="299">
        <f t="shared" ca="1" si="773"/>
        <v>0</v>
      </c>
      <c r="GM227" s="299">
        <f t="shared" ca="1" si="774"/>
        <v>0</v>
      </c>
      <c r="GN227" s="302">
        <f t="shared" ca="1" si="775"/>
        <v>0</v>
      </c>
      <c r="GO227" s="299">
        <f t="shared" ca="1" si="776"/>
        <v>0</v>
      </c>
      <c r="GP227" s="299">
        <f t="shared" ca="1" si="777"/>
        <v>0</v>
      </c>
      <c r="GQ227" s="299">
        <f t="shared" ca="1" si="778"/>
        <v>0</v>
      </c>
      <c r="GR227" s="299">
        <f t="shared" ca="1" si="779"/>
        <v>0</v>
      </c>
      <c r="GS227" s="302">
        <f t="shared" ca="1" si="780"/>
        <v>0</v>
      </c>
      <c r="GT227" s="299">
        <f t="shared" ca="1" si="781"/>
        <v>0</v>
      </c>
      <c r="GU227" s="299">
        <f t="shared" ca="1" si="782"/>
        <v>0</v>
      </c>
      <c r="GV227" s="299">
        <f t="shared" ca="1" si="783"/>
        <v>0</v>
      </c>
      <c r="GW227" s="299">
        <f t="shared" ca="1" si="784"/>
        <v>0</v>
      </c>
      <c r="GX227" s="303">
        <f t="shared" ca="1" si="785"/>
        <v>0</v>
      </c>
      <c r="GY227" s="303">
        <f t="shared" ca="1" si="786"/>
        <v>0</v>
      </c>
      <c r="GZ227" s="303">
        <f t="shared" ca="1" si="787"/>
        <v>0</v>
      </c>
      <c r="HA227" s="303">
        <f t="shared" ca="1" si="788"/>
        <v>0</v>
      </c>
      <c r="HB227" s="303">
        <f t="shared" ca="1" si="789"/>
        <v>0</v>
      </c>
      <c r="HC227" s="303">
        <f t="shared" ca="1" si="790"/>
        <v>0</v>
      </c>
      <c r="HD227" s="303">
        <f t="shared" ca="1" si="791"/>
        <v>0</v>
      </c>
      <c r="HE227" s="303">
        <f t="shared" ca="1" si="792"/>
        <v>0</v>
      </c>
      <c r="HF227" s="303">
        <f t="shared" ca="1" si="793"/>
        <v>0</v>
      </c>
      <c r="HG227" s="852">
        <f t="shared" ca="1" si="794"/>
        <v>0</v>
      </c>
    </row>
    <row r="228" spans="1:215" x14ac:dyDescent="0.25">
      <c r="A228" s="244">
        <f t="shared" ca="1" si="795"/>
        <v>43040</v>
      </c>
      <c r="B228" s="13">
        <f t="shared" ca="1" si="817"/>
        <v>2017</v>
      </c>
      <c r="C228" s="619">
        <f t="shared" ca="1" si="818"/>
        <v>11</v>
      </c>
      <c r="D228" s="195">
        <f t="shared" ca="1" si="625"/>
        <v>43062</v>
      </c>
      <c r="E228" s="469" t="str">
        <f t="shared" ca="1" si="626"/>
        <v/>
      </c>
      <c r="F228" s="465" t="str">
        <f t="shared" ca="1" si="627"/>
        <v/>
      </c>
      <c r="G228" s="522">
        <f t="shared" ca="1" si="796"/>
        <v>1</v>
      </c>
      <c r="H228" s="519">
        <f t="shared" ca="1" si="797"/>
        <v>1</v>
      </c>
      <c r="I228" s="724">
        <f t="shared" ca="1" si="819"/>
        <v>7.4178044735838E-2</v>
      </c>
      <c r="J228" s="198">
        <f t="shared" ca="1" si="629"/>
        <v>0.27346480559154668</v>
      </c>
      <c r="K228" s="200">
        <f t="shared" ca="1" si="805"/>
        <v>31.524999999999999</v>
      </c>
      <c r="L228" s="201">
        <f t="shared" ca="1" si="806"/>
        <v>33.674999999999997</v>
      </c>
      <c r="M228" s="206">
        <f t="shared" ca="1" si="807"/>
        <v>35.825000000000003</v>
      </c>
      <c r="N228" s="851">
        <f t="shared" ca="1" si="811"/>
        <v>25.19225158691405</v>
      </c>
      <c r="O228" s="201">
        <f t="shared" ca="1" si="812"/>
        <v>26.804751586914051</v>
      </c>
      <c r="P228" s="206">
        <f t="shared" ca="1" si="813"/>
        <v>28.417251586914052</v>
      </c>
      <c r="Q228" s="201">
        <f t="shared" ca="1" si="814"/>
        <v>20.504499816894519</v>
      </c>
      <c r="R228" s="201">
        <f t="shared" ca="1" si="815"/>
        <v>24.80449981689452</v>
      </c>
      <c r="S228" s="201">
        <f t="shared" ca="1" si="816"/>
        <v>29.104499816894521</v>
      </c>
      <c r="T228" s="851">
        <f t="shared" ca="1" si="808"/>
        <v>20.299998092651361</v>
      </c>
      <c r="U228" s="201">
        <f t="shared" ca="1" si="809"/>
        <v>21.37499809265136</v>
      </c>
      <c r="V228" s="206">
        <f t="shared" ca="1" si="810"/>
        <v>22.449998092651359</v>
      </c>
      <c r="W228" s="230">
        <f t="shared" ca="1" si="798"/>
        <v>5.2881219238509608E-2</v>
      </c>
      <c r="X228" s="231">
        <f t="shared" ca="1" si="799"/>
        <v>0.10576243847701922</v>
      </c>
      <c r="Y228" s="232">
        <f t="shared" ca="1" si="800"/>
        <v>0.15864365771552882</v>
      </c>
      <c r="Z228" s="231">
        <f t="shared" ca="1" si="820"/>
        <v>5.2881219238509608E-2</v>
      </c>
      <c r="AA228" s="231">
        <f t="shared" ca="1" si="821"/>
        <v>0.10576243847701922</v>
      </c>
      <c r="AB228" s="232">
        <f t="shared" ca="1" si="822"/>
        <v>0.15864365771552882</v>
      </c>
      <c r="AC228" s="231">
        <f t="shared" ca="1" si="823"/>
        <v>5.2881219238509608E-2</v>
      </c>
      <c r="AD228" s="231">
        <f t="shared" ca="1" si="824"/>
        <v>0.10576243847701922</v>
      </c>
      <c r="AE228" s="232">
        <f t="shared" ca="1" si="630"/>
        <v>0.15864365771552882</v>
      </c>
      <c r="AF228" s="231">
        <f t="shared" ca="1" si="801"/>
        <v>2.1279652985419371E-2</v>
      </c>
      <c r="AG228" s="231">
        <f t="shared" ca="1" si="802"/>
        <v>4.2559305970838741E-2</v>
      </c>
      <c r="AH228" s="232">
        <f t="shared" ca="1" si="803"/>
        <v>6.3838958956258116E-2</v>
      </c>
      <c r="AI228" s="233">
        <f t="shared" ca="1" si="631"/>
        <v>1</v>
      </c>
      <c r="AJ228" s="233">
        <f t="shared" ca="1" si="632"/>
        <v>1.25</v>
      </c>
      <c r="AK228" s="234">
        <f t="shared" ca="1" si="633"/>
        <v>1.55</v>
      </c>
      <c r="AL228" s="919">
        <f t="shared" ca="1" si="634"/>
        <v>1</v>
      </c>
      <c r="AM228" s="233">
        <f t="shared" ca="1" si="635"/>
        <v>1.25</v>
      </c>
      <c r="AN228" s="234">
        <f t="shared" ca="1" si="636"/>
        <v>1.55</v>
      </c>
      <c r="AO228" s="233">
        <f t="shared" ca="1" si="637"/>
        <v>1</v>
      </c>
      <c r="AP228" s="233">
        <f t="shared" ca="1" si="638"/>
        <v>1.25</v>
      </c>
      <c r="AQ228" s="233">
        <f t="shared" ca="1" si="639"/>
        <v>1.55</v>
      </c>
      <c r="AR228" s="919">
        <f t="shared" ca="1" si="640"/>
        <v>0.15</v>
      </c>
      <c r="AS228" s="233">
        <f t="shared" ca="1" si="641"/>
        <v>0.3</v>
      </c>
      <c r="AT228" s="235">
        <f t="shared" ca="1" si="642"/>
        <v>0.5</v>
      </c>
      <c r="AU228" s="946">
        <f t="shared" si="643"/>
        <v>0.5</v>
      </c>
      <c r="AV228" s="13">
        <f t="shared" ca="1" si="644"/>
        <v>0</v>
      </c>
      <c r="AW228" s="210">
        <f t="shared" ca="1" si="645"/>
        <v>0</v>
      </c>
      <c r="AX228" s="210">
        <f t="shared" ca="1" si="646"/>
        <v>0</v>
      </c>
      <c r="AY228" s="210">
        <f t="shared" ca="1" si="647"/>
        <v>0</v>
      </c>
      <c r="AZ228" s="13">
        <f t="shared" ca="1" si="648"/>
        <v>0</v>
      </c>
      <c r="BA228" s="357">
        <f ca="1"/>
        <v>0</v>
      </c>
      <c r="BB228" s="925">
        <f ca="1"/>
        <v>0</v>
      </c>
      <c r="BC228" s="925">
        <f ca="1"/>
        <v>0</v>
      </c>
      <c r="BD228" s="928">
        <f ca="1"/>
        <v>0</v>
      </c>
      <c r="BE228" s="200">
        <f ca="1"/>
        <v>0</v>
      </c>
      <c r="BF228" s="851">
        <f ca="1"/>
        <v>0</v>
      </c>
      <c r="BG228" s="851">
        <f ca="1"/>
        <v>0</v>
      </c>
      <c r="BH228" s="933">
        <f ca="1"/>
        <v>0</v>
      </c>
      <c r="BI228" s="357">
        <f ca="1"/>
        <v>0</v>
      </c>
      <c r="BJ228" s="925">
        <f ca="1"/>
        <v>0</v>
      </c>
      <c r="BK228" s="925">
        <f ca="1"/>
        <v>0</v>
      </c>
      <c r="BL228" s="928">
        <f ca="1"/>
        <v>0</v>
      </c>
      <c r="BM228" s="200">
        <f ca="1"/>
        <v>0</v>
      </c>
      <c r="BN228" s="851">
        <f ca="1"/>
        <v>0</v>
      </c>
      <c r="BO228" s="851">
        <f ca="1"/>
        <v>0</v>
      </c>
      <c r="BP228" s="933">
        <f ca="1"/>
        <v>0</v>
      </c>
      <c r="BQ228" s="357">
        <f t="shared" ca="1" si="649"/>
        <v>0</v>
      </c>
      <c r="BR228" s="361">
        <f t="shared" ca="1" si="650"/>
        <v>0</v>
      </c>
      <c r="BS228" s="357">
        <f t="shared" ca="1" si="651"/>
        <v>0</v>
      </c>
      <c r="BT228" s="302">
        <f t="shared" ca="1" si="652"/>
        <v>0</v>
      </c>
      <c r="BU228" s="299">
        <f t="shared" ca="1" si="653"/>
        <v>0</v>
      </c>
      <c r="BV228" s="299">
        <f t="shared" ca="1" si="654"/>
        <v>0</v>
      </c>
      <c r="BW228" s="299">
        <f t="shared" ca="1" si="655"/>
        <v>0</v>
      </c>
      <c r="BX228" s="380">
        <f t="shared" ca="1" si="656"/>
        <v>17.66735112936345</v>
      </c>
      <c r="BY228" s="363">
        <f t="shared" ca="1" si="657"/>
        <v>0</v>
      </c>
      <c r="BZ228" s="353">
        <f t="shared" ca="1" si="658"/>
        <v>0</v>
      </c>
      <c r="CA228" s="353">
        <f t="shared" ca="1" si="659"/>
        <v>0</v>
      </c>
      <c r="CB228" s="353">
        <f t="shared" ca="1" si="660"/>
        <v>0</v>
      </c>
      <c r="CC228" s="353">
        <f t="shared" ca="1" si="661"/>
        <v>0</v>
      </c>
      <c r="CD228" s="353">
        <f t="shared" ca="1" si="662"/>
        <v>0</v>
      </c>
      <c r="CE228" s="302">
        <f t="shared" ca="1" si="663"/>
        <v>0</v>
      </c>
      <c r="CF228" s="299">
        <f t="shared" ca="1" si="664"/>
        <v>0</v>
      </c>
      <c r="CG228" s="299">
        <f t="shared" ca="1" si="665"/>
        <v>0</v>
      </c>
      <c r="CH228" s="299">
        <f t="shared" ca="1" si="666"/>
        <v>0</v>
      </c>
      <c r="CI228" s="299">
        <f t="shared" ca="1" si="667"/>
        <v>0</v>
      </c>
      <c r="CJ228" s="299">
        <f t="shared" ca="1" si="668"/>
        <v>0</v>
      </c>
      <c r="CK228" s="299">
        <f t="shared" ca="1" si="669"/>
        <v>0</v>
      </c>
      <c r="CL228" s="377" t="str">
        <f t="shared" ca="1" si="670"/>
        <v/>
      </c>
      <c r="CM228" s="305" t="str">
        <f t="shared" ca="1" si="671"/>
        <v/>
      </c>
      <c r="CN228" s="305" t="str">
        <f t="shared" ca="1" si="672"/>
        <v/>
      </c>
      <c r="CO228" s="305" t="str">
        <f t="shared" ca="1" si="673"/>
        <v/>
      </c>
      <c r="CP228" s="305" t="str">
        <f t="shared" ca="1" si="674"/>
        <v/>
      </c>
      <c r="CQ228" s="305" t="str">
        <f t="shared" ca="1" si="675"/>
        <v/>
      </c>
      <c r="CR228" s="775" t="str">
        <f t="shared" ca="1" si="676"/>
        <v/>
      </c>
      <c r="CS228" s="305" t="str">
        <f t="shared" ca="1" si="677"/>
        <v/>
      </c>
      <c r="CT228" s="305" t="str">
        <f t="shared" ca="1" si="678"/>
        <v/>
      </c>
      <c r="CU228" s="305" t="str">
        <f t="shared" ca="1" si="679"/>
        <v/>
      </c>
      <c r="CV228" s="770" t="str">
        <f t="shared" ca="1" si="680"/>
        <v/>
      </c>
      <c r="CW228" s="302">
        <f t="shared" ca="1" si="681"/>
        <v>0</v>
      </c>
      <c r="CX228" s="299">
        <f t="shared" ca="1" si="682"/>
        <v>0</v>
      </c>
      <c r="CY228" s="299">
        <f t="shared" ca="1" si="683"/>
        <v>0</v>
      </c>
      <c r="CZ228" s="299">
        <f t="shared" ca="1" si="684"/>
        <v>0</v>
      </c>
      <c r="DA228" s="774">
        <f t="shared" ca="1" si="685"/>
        <v>0</v>
      </c>
      <c r="DB228" s="303">
        <f t="shared" ca="1" si="686"/>
        <v>0</v>
      </c>
      <c r="DC228" s="248">
        <f t="shared" ca="1" si="687"/>
        <v>0</v>
      </c>
      <c r="DD228" s="778">
        <f t="shared" ca="1" si="688"/>
        <v>0</v>
      </c>
      <c r="DE228" s="363">
        <f t="shared" ca="1" si="689"/>
        <v>0</v>
      </c>
      <c r="DF228" s="378" t="str">
        <f t="shared" ca="1" si="690"/>
        <v/>
      </c>
      <c r="DG228" s="508" t="str">
        <f t="shared" ca="1" si="691"/>
        <v/>
      </c>
      <c r="DH228" s="508" t="str">
        <f t="shared" ca="1" si="692"/>
        <v/>
      </c>
      <c r="DI228" s="508" t="str">
        <f t="shared" ca="1" si="693"/>
        <v/>
      </c>
      <c r="DJ228" s="508" t="str">
        <f t="shared" ca="1" si="694"/>
        <v/>
      </c>
      <c r="DK228" s="353">
        <f t="shared" ca="1" si="695"/>
        <v>0</v>
      </c>
      <c r="DL228" s="781">
        <f t="shared" ca="1" si="696"/>
        <v>0</v>
      </c>
      <c r="DM228" s="303">
        <f t="shared" ca="1" si="697"/>
        <v>0</v>
      </c>
      <c r="DN228" s="508" t="str">
        <f t="shared" ca="1" si="698"/>
        <v/>
      </c>
      <c r="DO228" s="508" t="str">
        <f t="shared" ca="1" si="699"/>
        <v/>
      </c>
      <c r="DP228" s="508" t="str">
        <f t="shared" ca="1" si="700"/>
        <v/>
      </c>
      <c r="DQ228" s="508" t="str">
        <f t="shared" ca="1" si="701"/>
        <v/>
      </c>
      <c r="DR228" s="508" t="str">
        <f t="shared" ca="1" si="702"/>
        <v/>
      </c>
      <c r="DS228" s="353">
        <f t="shared" ca="1" si="703"/>
        <v>0</v>
      </c>
      <c r="DT228" s="353">
        <f t="shared" ca="1" si="704"/>
        <v>0</v>
      </c>
      <c r="DU228" s="380">
        <f t="shared" ca="1" si="804"/>
        <v>17.66735112936345</v>
      </c>
      <c r="DV228" s="303">
        <f t="shared" ca="1" si="705"/>
        <v>0</v>
      </c>
      <c r="DW228" s="303">
        <f t="shared" ca="1" si="706"/>
        <v>0</v>
      </c>
      <c r="DX228" s="303">
        <f t="shared" ca="1" si="707"/>
        <v>0</v>
      </c>
      <c r="DY228" s="303">
        <f t="shared" ca="1" si="708"/>
        <v>0</v>
      </c>
      <c r="DZ228" s="303">
        <f t="shared" ca="1" si="709"/>
        <v>0</v>
      </c>
      <c r="EA228" s="303">
        <f t="shared" ca="1" si="710"/>
        <v>0</v>
      </c>
      <c r="EB228" s="302">
        <f t="shared" ca="1" si="711"/>
        <v>0</v>
      </c>
      <c r="EC228" s="299">
        <f t="shared" ca="1" si="712"/>
        <v>0</v>
      </c>
      <c r="ED228" s="299">
        <f t="shared" ca="1" si="713"/>
        <v>0</v>
      </c>
      <c r="EE228" s="299">
        <f t="shared" ca="1" si="714"/>
        <v>0</v>
      </c>
      <c r="EF228" s="299">
        <f t="shared" ca="1" si="715"/>
        <v>0</v>
      </c>
      <c r="EG228" s="299">
        <f t="shared" ca="1" si="716"/>
        <v>0</v>
      </c>
      <c r="EH228" s="302">
        <f t="shared" ca="1" si="717"/>
        <v>0</v>
      </c>
      <c r="EI228" s="304" t="str">
        <f t="shared" ca="1" si="718"/>
        <v/>
      </c>
      <c r="EJ228" s="305" t="str">
        <f t="shared" ca="1" si="719"/>
        <v/>
      </c>
      <c r="EK228" s="305" t="str">
        <f t="shared" ca="1" si="720"/>
        <v/>
      </c>
      <c r="EL228" s="305" t="str">
        <f t="shared" ca="1" si="721"/>
        <v/>
      </c>
      <c r="EM228" s="305" t="str">
        <f t="shared" ca="1" si="722"/>
        <v/>
      </c>
      <c r="EN228" s="305" t="str">
        <f t="shared" ca="1" si="723"/>
        <v/>
      </c>
      <c r="EO228" s="305" t="str">
        <f t="shared" ca="1" si="724"/>
        <v/>
      </c>
      <c r="EP228" s="305" t="str">
        <f t="shared" ca="1" si="725"/>
        <v/>
      </c>
      <c r="EQ228" s="305" t="str">
        <f t="shared" ca="1" si="726"/>
        <v/>
      </c>
      <c r="ER228" s="305" t="str">
        <f t="shared" ca="1" si="727"/>
        <v/>
      </c>
      <c r="ES228" s="305" t="str">
        <f t="shared" ca="1" si="728"/>
        <v/>
      </c>
      <c r="ET228" s="299">
        <f t="shared" ca="1" si="729"/>
        <v>0</v>
      </c>
      <c r="EU228" s="302">
        <f t="shared" ca="1" si="730"/>
        <v>0</v>
      </c>
      <c r="EV228" s="304" t="str">
        <f t="shared" ca="1" si="731"/>
        <v/>
      </c>
      <c r="EW228" s="305" t="str">
        <f t="shared" ca="1" si="732"/>
        <v/>
      </c>
      <c r="EX228" s="305" t="str">
        <f t="shared" ca="1" si="733"/>
        <v/>
      </c>
      <c r="EY228" s="305" t="str">
        <f t="shared" ca="1" si="734"/>
        <v/>
      </c>
      <c r="EZ228" s="305" t="str">
        <f t="shared" ca="1" si="735"/>
        <v/>
      </c>
      <c r="FA228" s="305" t="str">
        <f t="shared" ca="1" si="736"/>
        <v/>
      </c>
      <c r="FB228" s="305" t="str">
        <f t="shared" ca="1" si="737"/>
        <v/>
      </c>
      <c r="FC228" s="305" t="str">
        <f t="shared" ca="1" si="738"/>
        <v/>
      </c>
      <c r="FD228" s="305" t="str">
        <f t="shared" ca="1" si="739"/>
        <v/>
      </c>
      <c r="FE228" s="305" t="str">
        <f t="shared" ca="1" si="740"/>
        <v/>
      </c>
      <c r="FF228" s="305" t="str">
        <f t="shared" ca="1" si="741"/>
        <v/>
      </c>
      <c r="FG228" s="299">
        <f t="shared" ca="1" si="742"/>
        <v>0</v>
      </c>
      <c r="FH228" s="302">
        <f t="shared" ca="1" si="743"/>
        <v>0</v>
      </c>
      <c r="FI228" s="248">
        <f t="shared" ca="1" si="744"/>
        <v>0</v>
      </c>
      <c r="FJ228" s="363">
        <f t="shared" ca="1" si="745"/>
        <v>0</v>
      </c>
      <c r="FK228" s="378" t="str">
        <f t="shared" ca="1" si="746"/>
        <v/>
      </c>
      <c r="FL228" s="508" t="str">
        <f t="shared" ca="1" si="747"/>
        <v/>
      </c>
      <c r="FM228" s="508" t="str">
        <f t="shared" ca="1" si="748"/>
        <v/>
      </c>
      <c r="FN228" s="508" t="str">
        <f t="shared" ca="1" si="749"/>
        <v/>
      </c>
      <c r="FO228" s="508" t="str">
        <f t="shared" ca="1" si="750"/>
        <v/>
      </c>
      <c r="FP228" s="353">
        <f t="shared" ca="1" si="751"/>
        <v>0</v>
      </c>
      <c r="FQ228" s="356">
        <f t="shared" ca="1" si="752"/>
        <v>0</v>
      </c>
      <c r="FR228" s="380">
        <f t="shared" ca="1" si="753"/>
        <v>0</v>
      </c>
      <c r="FS228" s="299">
        <f t="shared" ca="1" si="754"/>
        <v>0</v>
      </c>
      <c r="FT228" s="299">
        <f t="shared" ca="1" si="755"/>
        <v>0</v>
      </c>
      <c r="FU228" s="299">
        <f t="shared" ca="1" si="756"/>
        <v>0</v>
      </c>
      <c r="FV228" s="299">
        <f t="shared" ca="1" si="757"/>
        <v>0</v>
      </c>
      <c r="FW228" s="850" t="str">
        <f t="shared" ca="1" si="758"/>
        <v/>
      </c>
      <c r="FX228" s="851" t="str">
        <f t="shared" ca="1" si="759"/>
        <v/>
      </c>
      <c r="FY228" s="851" t="str">
        <f t="shared" ca="1" si="760"/>
        <v/>
      </c>
      <c r="FZ228" s="201" t="str">
        <f t="shared" ca="1" si="761"/>
        <v/>
      </c>
      <c r="GA228" s="201" t="str">
        <f t="shared" ca="1" si="762"/>
        <v/>
      </c>
      <c r="GB228" s="201" t="str">
        <f t="shared" ca="1" si="763"/>
        <v/>
      </c>
      <c r="GC228" s="201" t="str">
        <f t="shared" ca="1" si="764"/>
        <v/>
      </c>
      <c r="GD228" s="850" t="str">
        <f t="shared" ca="1" si="765"/>
        <v/>
      </c>
      <c r="GE228" s="866" t="str">
        <f t="shared" ca="1" si="766"/>
        <v/>
      </c>
      <c r="GF228" s="866" t="str">
        <f t="shared" ca="1" si="767"/>
        <v/>
      </c>
      <c r="GG228" s="866" t="str">
        <f t="shared" ca="1" si="768"/>
        <v/>
      </c>
      <c r="GH228" s="866" t="str">
        <f t="shared" ca="1" si="769"/>
        <v/>
      </c>
      <c r="GI228" s="302">
        <f t="shared" ca="1" si="770"/>
        <v>0</v>
      </c>
      <c r="GJ228" s="299">
        <f t="shared" ca="1" si="771"/>
        <v>0</v>
      </c>
      <c r="GK228" s="299">
        <f t="shared" ca="1" si="772"/>
        <v>0</v>
      </c>
      <c r="GL228" s="299">
        <f t="shared" ca="1" si="773"/>
        <v>0</v>
      </c>
      <c r="GM228" s="299">
        <f t="shared" ca="1" si="774"/>
        <v>0</v>
      </c>
      <c r="GN228" s="302">
        <f t="shared" ca="1" si="775"/>
        <v>0</v>
      </c>
      <c r="GO228" s="299">
        <f t="shared" ca="1" si="776"/>
        <v>0</v>
      </c>
      <c r="GP228" s="299">
        <f t="shared" ca="1" si="777"/>
        <v>0</v>
      </c>
      <c r="GQ228" s="299">
        <f t="shared" ca="1" si="778"/>
        <v>0</v>
      </c>
      <c r="GR228" s="299">
        <f t="shared" ca="1" si="779"/>
        <v>0</v>
      </c>
      <c r="GS228" s="302">
        <f t="shared" ca="1" si="780"/>
        <v>0</v>
      </c>
      <c r="GT228" s="299">
        <f t="shared" ca="1" si="781"/>
        <v>0</v>
      </c>
      <c r="GU228" s="299">
        <f t="shared" ca="1" si="782"/>
        <v>0</v>
      </c>
      <c r="GV228" s="299">
        <f t="shared" ca="1" si="783"/>
        <v>0</v>
      </c>
      <c r="GW228" s="299">
        <f t="shared" ca="1" si="784"/>
        <v>0</v>
      </c>
      <c r="GX228" s="303">
        <f t="shared" ca="1" si="785"/>
        <v>0</v>
      </c>
      <c r="GY228" s="303">
        <f t="shared" ca="1" si="786"/>
        <v>0</v>
      </c>
      <c r="GZ228" s="303">
        <f t="shared" ca="1" si="787"/>
        <v>0</v>
      </c>
      <c r="HA228" s="303">
        <f t="shared" ca="1" si="788"/>
        <v>0</v>
      </c>
      <c r="HB228" s="303">
        <f t="shared" ca="1" si="789"/>
        <v>0</v>
      </c>
      <c r="HC228" s="303">
        <f t="shared" ca="1" si="790"/>
        <v>0</v>
      </c>
      <c r="HD228" s="303">
        <f t="shared" ca="1" si="791"/>
        <v>0</v>
      </c>
      <c r="HE228" s="303">
        <f t="shared" ca="1" si="792"/>
        <v>0</v>
      </c>
      <c r="HF228" s="303">
        <f t="shared" ca="1" si="793"/>
        <v>0</v>
      </c>
      <c r="HG228" s="852">
        <f t="shared" ca="1" si="794"/>
        <v>0</v>
      </c>
    </row>
    <row r="229" spans="1:215" x14ac:dyDescent="0.25">
      <c r="A229" s="244">
        <f t="shared" ca="1" si="795"/>
        <v>43070</v>
      </c>
      <c r="B229" s="13">
        <f t="shared" ca="1" si="817"/>
        <v>2017</v>
      </c>
      <c r="C229" s="619">
        <f t="shared" ca="1" si="818"/>
        <v>12</v>
      </c>
      <c r="D229" s="195">
        <f t="shared" ca="1" si="625"/>
        <v>43094</v>
      </c>
      <c r="E229" s="469" t="str">
        <f t="shared" ca="1" si="626"/>
        <v/>
      </c>
      <c r="F229" s="465" t="str">
        <f t="shared" ca="1" si="627"/>
        <v/>
      </c>
      <c r="G229" s="522">
        <f t="shared" ca="1" si="796"/>
        <v>1</v>
      </c>
      <c r="H229" s="519">
        <f t="shared" ca="1" si="797"/>
        <v>1</v>
      </c>
      <c r="I229" s="724">
        <f t="shared" ca="1" si="819"/>
        <v>7.4177759524986994E-2</v>
      </c>
      <c r="J229" s="198">
        <f t="shared" ca="1" si="629"/>
        <v>0.27178085261364088</v>
      </c>
      <c r="K229" s="200">
        <f t="shared" ca="1" si="805"/>
        <v>31.4</v>
      </c>
      <c r="L229" s="201">
        <f t="shared" ca="1" si="806"/>
        <v>33.549999999999997</v>
      </c>
      <c r="M229" s="206">
        <f t="shared" ca="1" si="807"/>
        <v>35.700000000000003</v>
      </c>
      <c r="N229" s="851">
        <f t="shared" ca="1" si="811"/>
        <v>26.642498397827136</v>
      </c>
      <c r="O229" s="201">
        <f t="shared" ca="1" si="812"/>
        <v>28.254998397827137</v>
      </c>
      <c r="P229" s="206">
        <f t="shared" ca="1" si="813"/>
        <v>29.867498397827138</v>
      </c>
      <c r="Q229" s="201">
        <f t="shared" ca="1" si="814"/>
        <v>20.449999237060535</v>
      </c>
      <c r="R229" s="201">
        <f t="shared" ca="1" si="815"/>
        <v>24.749999237060536</v>
      </c>
      <c r="S229" s="201">
        <f t="shared" ca="1" si="816"/>
        <v>29.049999237060536</v>
      </c>
      <c r="T229" s="851">
        <f t="shared" ca="1" si="808"/>
        <v>21.72499923706054</v>
      </c>
      <c r="U229" s="201">
        <f t="shared" ca="1" si="809"/>
        <v>22.79999923706054</v>
      </c>
      <c r="V229" s="206">
        <f t="shared" ca="1" si="810"/>
        <v>23.874999237060539</v>
      </c>
      <c r="W229" s="230">
        <f t="shared" ca="1" si="798"/>
        <v>5.4782566447085249E-2</v>
      </c>
      <c r="X229" s="231">
        <f t="shared" ca="1" si="799"/>
        <v>0.1095651328941705</v>
      </c>
      <c r="Y229" s="232">
        <f t="shared" ca="1" si="800"/>
        <v>0.16434769934125576</v>
      </c>
      <c r="Z229" s="231">
        <f t="shared" ca="1" si="820"/>
        <v>5.4782566447085249E-2</v>
      </c>
      <c r="AA229" s="231">
        <f t="shared" ca="1" si="821"/>
        <v>0.1095651328941705</v>
      </c>
      <c r="AB229" s="232">
        <f t="shared" ca="1" si="822"/>
        <v>0.16434769934125576</v>
      </c>
      <c r="AC229" s="231">
        <f t="shared" ca="1" si="823"/>
        <v>5.4782566447085249E-2</v>
      </c>
      <c r="AD229" s="231">
        <f t="shared" ca="1" si="824"/>
        <v>0.1095651328941705</v>
      </c>
      <c r="AE229" s="232">
        <f t="shared" ca="1" si="630"/>
        <v>0.16434769934125576</v>
      </c>
      <c r="AF229" s="231">
        <f t="shared" ca="1" si="801"/>
        <v>2.1279652985419371E-2</v>
      </c>
      <c r="AG229" s="231">
        <f t="shared" ca="1" si="802"/>
        <v>4.2559305970838741E-2</v>
      </c>
      <c r="AH229" s="232">
        <f t="shared" ca="1" si="803"/>
        <v>6.3838958956258116E-2</v>
      </c>
      <c r="AI229" s="233">
        <f t="shared" ca="1" si="631"/>
        <v>1</v>
      </c>
      <c r="AJ229" s="233">
        <f t="shared" ca="1" si="632"/>
        <v>1.25</v>
      </c>
      <c r="AK229" s="234">
        <f t="shared" ca="1" si="633"/>
        <v>1.55</v>
      </c>
      <c r="AL229" s="919">
        <f t="shared" ca="1" si="634"/>
        <v>1</v>
      </c>
      <c r="AM229" s="233">
        <f t="shared" ca="1" si="635"/>
        <v>1.25</v>
      </c>
      <c r="AN229" s="234">
        <f t="shared" ca="1" si="636"/>
        <v>1.55</v>
      </c>
      <c r="AO229" s="233">
        <f t="shared" ca="1" si="637"/>
        <v>1</v>
      </c>
      <c r="AP229" s="233">
        <f t="shared" ca="1" si="638"/>
        <v>1.25</v>
      </c>
      <c r="AQ229" s="233">
        <f t="shared" ca="1" si="639"/>
        <v>1.55</v>
      </c>
      <c r="AR229" s="919">
        <f t="shared" ca="1" si="640"/>
        <v>0.15</v>
      </c>
      <c r="AS229" s="233">
        <f t="shared" ca="1" si="641"/>
        <v>0.3</v>
      </c>
      <c r="AT229" s="235">
        <f t="shared" ca="1" si="642"/>
        <v>0.5</v>
      </c>
      <c r="AU229" s="946">
        <f t="shared" si="643"/>
        <v>0.5</v>
      </c>
      <c r="AV229" s="13">
        <f t="shared" ca="1" si="644"/>
        <v>0</v>
      </c>
      <c r="AW229" s="210">
        <f t="shared" ca="1" si="645"/>
        <v>0</v>
      </c>
      <c r="AX229" s="210">
        <f t="shared" ca="1" si="646"/>
        <v>0</v>
      </c>
      <c r="AY229" s="210">
        <f t="shared" ca="1" si="647"/>
        <v>0</v>
      </c>
      <c r="AZ229" s="13">
        <f t="shared" ca="1" si="648"/>
        <v>0</v>
      </c>
      <c r="BA229" s="357">
        <f ca="1"/>
        <v>0</v>
      </c>
      <c r="BB229" s="925">
        <f ca="1"/>
        <v>0</v>
      </c>
      <c r="BC229" s="925">
        <f ca="1"/>
        <v>0</v>
      </c>
      <c r="BD229" s="928">
        <f ca="1"/>
        <v>0</v>
      </c>
      <c r="BE229" s="200">
        <f ca="1"/>
        <v>0</v>
      </c>
      <c r="BF229" s="851">
        <f ca="1"/>
        <v>0</v>
      </c>
      <c r="BG229" s="851">
        <f ca="1"/>
        <v>0</v>
      </c>
      <c r="BH229" s="933">
        <f ca="1"/>
        <v>0</v>
      </c>
      <c r="BI229" s="357">
        <f ca="1"/>
        <v>0</v>
      </c>
      <c r="BJ229" s="925">
        <f ca="1"/>
        <v>0</v>
      </c>
      <c r="BK229" s="925">
        <f ca="1"/>
        <v>0</v>
      </c>
      <c r="BL229" s="928">
        <f ca="1"/>
        <v>0</v>
      </c>
      <c r="BM229" s="200">
        <f ca="1"/>
        <v>0</v>
      </c>
      <c r="BN229" s="851">
        <f ca="1"/>
        <v>0</v>
      </c>
      <c r="BO229" s="851">
        <f ca="1"/>
        <v>0</v>
      </c>
      <c r="BP229" s="933">
        <f ca="1"/>
        <v>0</v>
      </c>
      <c r="BQ229" s="357">
        <f t="shared" ca="1" si="649"/>
        <v>0</v>
      </c>
      <c r="BR229" s="361">
        <f t="shared" ca="1" si="650"/>
        <v>0</v>
      </c>
      <c r="BS229" s="357">
        <f t="shared" ca="1" si="651"/>
        <v>0</v>
      </c>
      <c r="BT229" s="302">
        <f t="shared" ca="1" si="652"/>
        <v>0</v>
      </c>
      <c r="BU229" s="299">
        <f t="shared" ca="1" si="653"/>
        <v>0</v>
      </c>
      <c r="BV229" s="299">
        <f t="shared" ca="1" si="654"/>
        <v>0</v>
      </c>
      <c r="BW229" s="299">
        <f t="shared" ca="1" si="655"/>
        <v>0</v>
      </c>
      <c r="BX229" s="380">
        <f t="shared" ca="1" si="656"/>
        <v>17.749486652977414</v>
      </c>
      <c r="BY229" s="363">
        <f t="shared" ca="1" si="657"/>
        <v>0</v>
      </c>
      <c r="BZ229" s="353">
        <f t="shared" ca="1" si="658"/>
        <v>0</v>
      </c>
      <c r="CA229" s="353">
        <f t="shared" ca="1" si="659"/>
        <v>0</v>
      </c>
      <c r="CB229" s="353">
        <f t="shared" ca="1" si="660"/>
        <v>0</v>
      </c>
      <c r="CC229" s="353">
        <f t="shared" ca="1" si="661"/>
        <v>0</v>
      </c>
      <c r="CD229" s="353">
        <f t="shared" ca="1" si="662"/>
        <v>0</v>
      </c>
      <c r="CE229" s="302">
        <f t="shared" ca="1" si="663"/>
        <v>0</v>
      </c>
      <c r="CF229" s="299">
        <f t="shared" ca="1" si="664"/>
        <v>0</v>
      </c>
      <c r="CG229" s="299">
        <f t="shared" ca="1" si="665"/>
        <v>0</v>
      </c>
      <c r="CH229" s="299">
        <f t="shared" ca="1" si="666"/>
        <v>0</v>
      </c>
      <c r="CI229" s="299">
        <f t="shared" ca="1" si="667"/>
        <v>0</v>
      </c>
      <c r="CJ229" s="299">
        <f t="shared" ca="1" si="668"/>
        <v>0</v>
      </c>
      <c r="CK229" s="299">
        <f t="shared" ca="1" si="669"/>
        <v>0</v>
      </c>
      <c r="CL229" s="377" t="str">
        <f t="shared" ca="1" si="670"/>
        <v/>
      </c>
      <c r="CM229" s="305" t="str">
        <f t="shared" ca="1" si="671"/>
        <v/>
      </c>
      <c r="CN229" s="305" t="str">
        <f t="shared" ca="1" si="672"/>
        <v/>
      </c>
      <c r="CO229" s="305" t="str">
        <f t="shared" ca="1" si="673"/>
        <v/>
      </c>
      <c r="CP229" s="305" t="str">
        <f t="shared" ca="1" si="674"/>
        <v/>
      </c>
      <c r="CQ229" s="305" t="str">
        <f t="shared" ca="1" si="675"/>
        <v/>
      </c>
      <c r="CR229" s="775" t="str">
        <f t="shared" ca="1" si="676"/>
        <v/>
      </c>
      <c r="CS229" s="305" t="str">
        <f t="shared" ca="1" si="677"/>
        <v/>
      </c>
      <c r="CT229" s="305" t="str">
        <f t="shared" ca="1" si="678"/>
        <v/>
      </c>
      <c r="CU229" s="305" t="str">
        <f t="shared" ca="1" si="679"/>
        <v/>
      </c>
      <c r="CV229" s="770" t="str">
        <f t="shared" ca="1" si="680"/>
        <v/>
      </c>
      <c r="CW229" s="302">
        <f t="shared" ca="1" si="681"/>
        <v>0</v>
      </c>
      <c r="CX229" s="299">
        <f t="shared" ca="1" si="682"/>
        <v>0</v>
      </c>
      <c r="CY229" s="299">
        <f t="shared" ca="1" si="683"/>
        <v>0</v>
      </c>
      <c r="CZ229" s="299">
        <f t="shared" ca="1" si="684"/>
        <v>0</v>
      </c>
      <c r="DA229" s="774">
        <f t="shared" ca="1" si="685"/>
        <v>0</v>
      </c>
      <c r="DB229" s="303">
        <f t="shared" ca="1" si="686"/>
        <v>0</v>
      </c>
      <c r="DC229" s="248">
        <f t="shared" ca="1" si="687"/>
        <v>0</v>
      </c>
      <c r="DD229" s="778">
        <f t="shared" ca="1" si="688"/>
        <v>0</v>
      </c>
      <c r="DE229" s="363">
        <f t="shared" ca="1" si="689"/>
        <v>0</v>
      </c>
      <c r="DF229" s="378" t="str">
        <f t="shared" ca="1" si="690"/>
        <v/>
      </c>
      <c r="DG229" s="508" t="str">
        <f t="shared" ca="1" si="691"/>
        <v/>
      </c>
      <c r="DH229" s="508" t="str">
        <f t="shared" ca="1" si="692"/>
        <v/>
      </c>
      <c r="DI229" s="508" t="str">
        <f t="shared" ca="1" si="693"/>
        <v/>
      </c>
      <c r="DJ229" s="508" t="str">
        <f t="shared" ca="1" si="694"/>
        <v/>
      </c>
      <c r="DK229" s="353">
        <f t="shared" ca="1" si="695"/>
        <v>0</v>
      </c>
      <c r="DL229" s="781">
        <f t="shared" ca="1" si="696"/>
        <v>0</v>
      </c>
      <c r="DM229" s="303">
        <f t="shared" ca="1" si="697"/>
        <v>0</v>
      </c>
      <c r="DN229" s="508" t="str">
        <f t="shared" ca="1" si="698"/>
        <v/>
      </c>
      <c r="DO229" s="508" t="str">
        <f t="shared" ca="1" si="699"/>
        <v/>
      </c>
      <c r="DP229" s="508" t="str">
        <f t="shared" ca="1" si="700"/>
        <v/>
      </c>
      <c r="DQ229" s="508" t="str">
        <f t="shared" ca="1" si="701"/>
        <v/>
      </c>
      <c r="DR229" s="508" t="str">
        <f t="shared" ca="1" si="702"/>
        <v/>
      </c>
      <c r="DS229" s="353">
        <f t="shared" ca="1" si="703"/>
        <v>0</v>
      </c>
      <c r="DT229" s="353">
        <f t="shared" ca="1" si="704"/>
        <v>0</v>
      </c>
      <c r="DU229" s="380">
        <f t="shared" ca="1" si="804"/>
        <v>17.749486652977414</v>
      </c>
      <c r="DV229" s="303">
        <f t="shared" ca="1" si="705"/>
        <v>0</v>
      </c>
      <c r="DW229" s="303">
        <f t="shared" ca="1" si="706"/>
        <v>0</v>
      </c>
      <c r="DX229" s="303">
        <f t="shared" ca="1" si="707"/>
        <v>0</v>
      </c>
      <c r="DY229" s="303">
        <f t="shared" ca="1" si="708"/>
        <v>0</v>
      </c>
      <c r="DZ229" s="303">
        <f t="shared" ca="1" si="709"/>
        <v>0</v>
      </c>
      <c r="EA229" s="303">
        <f t="shared" ca="1" si="710"/>
        <v>0</v>
      </c>
      <c r="EB229" s="302">
        <f t="shared" ca="1" si="711"/>
        <v>0</v>
      </c>
      <c r="EC229" s="299">
        <f t="shared" ca="1" si="712"/>
        <v>0</v>
      </c>
      <c r="ED229" s="299">
        <f t="shared" ca="1" si="713"/>
        <v>0</v>
      </c>
      <c r="EE229" s="299">
        <f t="shared" ca="1" si="714"/>
        <v>0</v>
      </c>
      <c r="EF229" s="299">
        <f t="shared" ca="1" si="715"/>
        <v>0</v>
      </c>
      <c r="EG229" s="299">
        <f t="shared" ca="1" si="716"/>
        <v>0</v>
      </c>
      <c r="EH229" s="302">
        <f t="shared" ca="1" si="717"/>
        <v>0</v>
      </c>
      <c r="EI229" s="304" t="str">
        <f t="shared" ca="1" si="718"/>
        <v/>
      </c>
      <c r="EJ229" s="305" t="str">
        <f t="shared" ca="1" si="719"/>
        <v/>
      </c>
      <c r="EK229" s="305" t="str">
        <f t="shared" ca="1" si="720"/>
        <v/>
      </c>
      <c r="EL229" s="305" t="str">
        <f t="shared" ca="1" si="721"/>
        <v/>
      </c>
      <c r="EM229" s="305" t="str">
        <f t="shared" ca="1" si="722"/>
        <v/>
      </c>
      <c r="EN229" s="305" t="str">
        <f t="shared" ca="1" si="723"/>
        <v/>
      </c>
      <c r="EO229" s="305" t="str">
        <f t="shared" ca="1" si="724"/>
        <v/>
      </c>
      <c r="EP229" s="305" t="str">
        <f t="shared" ca="1" si="725"/>
        <v/>
      </c>
      <c r="EQ229" s="305" t="str">
        <f t="shared" ca="1" si="726"/>
        <v/>
      </c>
      <c r="ER229" s="305" t="str">
        <f t="shared" ca="1" si="727"/>
        <v/>
      </c>
      <c r="ES229" s="305" t="str">
        <f t="shared" ca="1" si="728"/>
        <v/>
      </c>
      <c r="ET229" s="299">
        <f t="shared" ca="1" si="729"/>
        <v>0</v>
      </c>
      <c r="EU229" s="302">
        <f t="shared" ca="1" si="730"/>
        <v>0</v>
      </c>
      <c r="EV229" s="304" t="str">
        <f t="shared" ca="1" si="731"/>
        <v/>
      </c>
      <c r="EW229" s="305" t="str">
        <f t="shared" ca="1" si="732"/>
        <v/>
      </c>
      <c r="EX229" s="305" t="str">
        <f t="shared" ca="1" si="733"/>
        <v/>
      </c>
      <c r="EY229" s="305" t="str">
        <f t="shared" ca="1" si="734"/>
        <v/>
      </c>
      <c r="EZ229" s="305" t="str">
        <f t="shared" ca="1" si="735"/>
        <v/>
      </c>
      <c r="FA229" s="305" t="str">
        <f t="shared" ca="1" si="736"/>
        <v/>
      </c>
      <c r="FB229" s="305" t="str">
        <f t="shared" ca="1" si="737"/>
        <v/>
      </c>
      <c r="FC229" s="305" t="str">
        <f t="shared" ca="1" si="738"/>
        <v/>
      </c>
      <c r="FD229" s="305" t="str">
        <f t="shared" ca="1" si="739"/>
        <v/>
      </c>
      <c r="FE229" s="305" t="str">
        <f t="shared" ca="1" si="740"/>
        <v/>
      </c>
      <c r="FF229" s="305" t="str">
        <f t="shared" ca="1" si="741"/>
        <v/>
      </c>
      <c r="FG229" s="299">
        <f t="shared" ca="1" si="742"/>
        <v>0</v>
      </c>
      <c r="FH229" s="302">
        <f t="shared" ca="1" si="743"/>
        <v>0</v>
      </c>
      <c r="FI229" s="248">
        <f t="shared" ca="1" si="744"/>
        <v>0</v>
      </c>
      <c r="FJ229" s="363">
        <f t="shared" ca="1" si="745"/>
        <v>0</v>
      </c>
      <c r="FK229" s="378" t="str">
        <f t="shared" ca="1" si="746"/>
        <v/>
      </c>
      <c r="FL229" s="508" t="str">
        <f t="shared" ca="1" si="747"/>
        <v/>
      </c>
      <c r="FM229" s="508" t="str">
        <f t="shared" ca="1" si="748"/>
        <v/>
      </c>
      <c r="FN229" s="508" t="str">
        <f t="shared" ca="1" si="749"/>
        <v/>
      </c>
      <c r="FO229" s="508" t="str">
        <f t="shared" ca="1" si="750"/>
        <v/>
      </c>
      <c r="FP229" s="353">
        <f t="shared" ca="1" si="751"/>
        <v>0</v>
      </c>
      <c r="FQ229" s="356">
        <f t="shared" ca="1" si="752"/>
        <v>0</v>
      </c>
      <c r="FR229" s="380">
        <f t="shared" ca="1" si="753"/>
        <v>0</v>
      </c>
      <c r="FS229" s="299">
        <f t="shared" ca="1" si="754"/>
        <v>0</v>
      </c>
      <c r="FT229" s="299">
        <f t="shared" ca="1" si="755"/>
        <v>0</v>
      </c>
      <c r="FU229" s="299">
        <f t="shared" ca="1" si="756"/>
        <v>0</v>
      </c>
      <c r="FV229" s="299">
        <f t="shared" ca="1" si="757"/>
        <v>0</v>
      </c>
      <c r="FW229" s="850" t="str">
        <f t="shared" ca="1" si="758"/>
        <v/>
      </c>
      <c r="FX229" s="851" t="str">
        <f t="shared" ca="1" si="759"/>
        <v/>
      </c>
      <c r="FY229" s="851" t="str">
        <f t="shared" ca="1" si="760"/>
        <v/>
      </c>
      <c r="FZ229" s="201" t="str">
        <f t="shared" ca="1" si="761"/>
        <v/>
      </c>
      <c r="GA229" s="201" t="str">
        <f t="shared" ca="1" si="762"/>
        <v/>
      </c>
      <c r="GB229" s="201" t="str">
        <f t="shared" ca="1" si="763"/>
        <v/>
      </c>
      <c r="GC229" s="201" t="str">
        <f t="shared" ca="1" si="764"/>
        <v/>
      </c>
      <c r="GD229" s="850" t="str">
        <f t="shared" ca="1" si="765"/>
        <v/>
      </c>
      <c r="GE229" s="866" t="str">
        <f t="shared" ca="1" si="766"/>
        <v/>
      </c>
      <c r="GF229" s="866" t="str">
        <f t="shared" ca="1" si="767"/>
        <v/>
      </c>
      <c r="GG229" s="866" t="str">
        <f t="shared" ca="1" si="768"/>
        <v/>
      </c>
      <c r="GH229" s="866" t="str">
        <f t="shared" ca="1" si="769"/>
        <v/>
      </c>
      <c r="GI229" s="302">
        <f t="shared" ca="1" si="770"/>
        <v>0</v>
      </c>
      <c r="GJ229" s="299">
        <f t="shared" ca="1" si="771"/>
        <v>0</v>
      </c>
      <c r="GK229" s="299">
        <f t="shared" ca="1" si="772"/>
        <v>0</v>
      </c>
      <c r="GL229" s="299">
        <f t="shared" ca="1" si="773"/>
        <v>0</v>
      </c>
      <c r="GM229" s="299">
        <f t="shared" ca="1" si="774"/>
        <v>0</v>
      </c>
      <c r="GN229" s="302">
        <f t="shared" ca="1" si="775"/>
        <v>0</v>
      </c>
      <c r="GO229" s="299">
        <f t="shared" ca="1" si="776"/>
        <v>0</v>
      </c>
      <c r="GP229" s="299">
        <f t="shared" ca="1" si="777"/>
        <v>0</v>
      </c>
      <c r="GQ229" s="299">
        <f t="shared" ca="1" si="778"/>
        <v>0</v>
      </c>
      <c r="GR229" s="299">
        <f t="shared" ca="1" si="779"/>
        <v>0</v>
      </c>
      <c r="GS229" s="302">
        <f t="shared" ca="1" si="780"/>
        <v>0</v>
      </c>
      <c r="GT229" s="299">
        <f t="shared" ca="1" si="781"/>
        <v>0</v>
      </c>
      <c r="GU229" s="299">
        <f t="shared" ca="1" si="782"/>
        <v>0</v>
      </c>
      <c r="GV229" s="299">
        <f t="shared" ca="1" si="783"/>
        <v>0</v>
      </c>
      <c r="GW229" s="299">
        <f t="shared" ca="1" si="784"/>
        <v>0</v>
      </c>
      <c r="GX229" s="303">
        <f t="shared" ca="1" si="785"/>
        <v>0</v>
      </c>
      <c r="GY229" s="303">
        <f t="shared" ca="1" si="786"/>
        <v>0</v>
      </c>
      <c r="GZ229" s="303">
        <f t="shared" ca="1" si="787"/>
        <v>0</v>
      </c>
      <c r="HA229" s="303">
        <f t="shared" ca="1" si="788"/>
        <v>0</v>
      </c>
      <c r="HB229" s="303">
        <f t="shared" ca="1" si="789"/>
        <v>0</v>
      </c>
      <c r="HC229" s="303">
        <f t="shared" ca="1" si="790"/>
        <v>0</v>
      </c>
      <c r="HD229" s="303">
        <f t="shared" ca="1" si="791"/>
        <v>0</v>
      </c>
      <c r="HE229" s="303">
        <f t="shared" ca="1" si="792"/>
        <v>0</v>
      </c>
      <c r="HF229" s="303">
        <f t="shared" ca="1" si="793"/>
        <v>0</v>
      </c>
      <c r="HG229" s="852">
        <f t="shared" ca="1" si="794"/>
        <v>0</v>
      </c>
    </row>
    <row r="230" spans="1:215" x14ac:dyDescent="0.25">
      <c r="A230" s="244">
        <f t="shared" ca="1" si="795"/>
        <v>43101</v>
      </c>
      <c r="B230" s="13">
        <f t="shared" ca="1" si="817"/>
        <v>2018</v>
      </c>
      <c r="C230" s="619">
        <f t="shared" ca="1" si="818"/>
        <v>1</v>
      </c>
      <c r="D230" s="195">
        <f t="shared" ca="1" si="625"/>
        <v>43101</v>
      </c>
      <c r="E230" s="469" t="str">
        <f t="shared" ca="1" si="626"/>
        <v/>
      </c>
      <c r="F230" s="465" t="str">
        <f t="shared" ca="1" si="627"/>
        <v/>
      </c>
      <c r="G230" s="522">
        <f t="shared" ca="1" si="796"/>
        <v>1</v>
      </c>
      <c r="H230" s="519">
        <f t="shared" ca="1" si="797"/>
        <v>1</v>
      </c>
      <c r="I230" s="724">
        <f t="shared" ca="1" si="819"/>
        <v>7.4177464807107005E-2</v>
      </c>
      <c r="J230" s="198">
        <f t="shared" ca="1" si="629"/>
        <v>0.27010732625927658</v>
      </c>
      <c r="K230" s="200">
        <f t="shared" ca="1" si="805"/>
        <v>37.65</v>
      </c>
      <c r="L230" s="201">
        <f t="shared" ca="1" si="806"/>
        <v>39.85</v>
      </c>
      <c r="M230" s="206">
        <f t="shared" ca="1" si="807"/>
        <v>42.05</v>
      </c>
      <c r="N230" s="851">
        <f t="shared" ca="1" si="811"/>
        <v>29.998748779296861</v>
      </c>
      <c r="O230" s="201">
        <f t="shared" ca="1" si="812"/>
        <v>31.648748779296863</v>
      </c>
      <c r="P230" s="206">
        <f t="shared" ca="1" si="813"/>
        <v>33.298748779296865</v>
      </c>
      <c r="Q230" s="201">
        <f t="shared" ca="1" si="814"/>
        <v>25.852500534057604</v>
      </c>
      <c r="R230" s="201">
        <f t="shared" ca="1" si="815"/>
        <v>30.152500534057605</v>
      </c>
      <c r="S230" s="201">
        <f t="shared" ca="1" si="816"/>
        <v>34.452500534057606</v>
      </c>
      <c r="T230" s="851">
        <f t="shared" ca="1" si="808"/>
        <v>21.690000152587881</v>
      </c>
      <c r="U230" s="201">
        <f t="shared" ca="1" si="809"/>
        <v>22.790000152587883</v>
      </c>
      <c r="V230" s="206">
        <f t="shared" ca="1" si="810"/>
        <v>23.890000152587884</v>
      </c>
      <c r="W230" s="230">
        <f t="shared" ca="1" si="798"/>
        <v>5.9164027433513566E-2</v>
      </c>
      <c r="X230" s="231">
        <f t="shared" ca="1" si="799"/>
        <v>0.11832805486702713</v>
      </c>
      <c r="Y230" s="232">
        <f t="shared" ca="1" si="800"/>
        <v>0.1774920823005407</v>
      </c>
      <c r="Z230" s="231">
        <f t="shared" ca="1" si="820"/>
        <v>5.9164027433513566E-2</v>
      </c>
      <c r="AA230" s="231">
        <f t="shared" ca="1" si="821"/>
        <v>0.11832805486702713</v>
      </c>
      <c r="AB230" s="232">
        <f t="shared" ca="1" si="822"/>
        <v>0.1774920823005407</v>
      </c>
      <c r="AC230" s="231">
        <f t="shared" ca="1" si="823"/>
        <v>5.9164027433513566E-2</v>
      </c>
      <c r="AD230" s="231">
        <f t="shared" ca="1" si="824"/>
        <v>0.11832805486702713</v>
      </c>
      <c r="AE230" s="232">
        <f t="shared" ca="1" si="630"/>
        <v>0.1774920823005407</v>
      </c>
      <c r="AF230" s="231">
        <f t="shared" ca="1" si="801"/>
        <v>2.4329736579996153E-2</v>
      </c>
      <c r="AG230" s="231">
        <f t="shared" ca="1" si="802"/>
        <v>4.8659473159992306E-2</v>
      </c>
      <c r="AH230" s="232">
        <f t="shared" ca="1" si="803"/>
        <v>7.2989209739988459E-2</v>
      </c>
      <c r="AI230" s="233">
        <f t="shared" ca="1" si="631"/>
        <v>1.25</v>
      </c>
      <c r="AJ230" s="233">
        <f t="shared" ca="1" si="632"/>
        <v>2</v>
      </c>
      <c r="AK230" s="234">
        <f t="shared" ca="1" si="633"/>
        <v>2.75</v>
      </c>
      <c r="AL230" s="919">
        <f t="shared" ca="1" si="634"/>
        <v>1.25</v>
      </c>
      <c r="AM230" s="233">
        <f t="shared" ca="1" si="635"/>
        <v>2</v>
      </c>
      <c r="AN230" s="234">
        <f t="shared" ca="1" si="636"/>
        <v>2.75</v>
      </c>
      <c r="AO230" s="233">
        <f t="shared" ca="1" si="637"/>
        <v>1.25</v>
      </c>
      <c r="AP230" s="233">
        <f t="shared" ca="1" si="638"/>
        <v>2</v>
      </c>
      <c r="AQ230" s="233">
        <f t="shared" ca="1" si="639"/>
        <v>2.75</v>
      </c>
      <c r="AR230" s="919">
        <f t="shared" ca="1" si="640"/>
        <v>0.35</v>
      </c>
      <c r="AS230" s="233">
        <f t="shared" ca="1" si="641"/>
        <v>0.5</v>
      </c>
      <c r="AT230" s="235">
        <f t="shared" ca="1" si="642"/>
        <v>0.7</v>
      </c>
      <c r="AU230" s="946">
        <f t="shared" si="643"/>
        <v>0.5</v>
      </c>
      <c r="AV230" s="13">
        <f t="shared" ca="1" si="644"/>
        <v>0</v>
      </c>
      <c r="AW230" s="210">
        <f t="shared" ca="1" si="645"/>
        <v>0</v>
      </c>
      <c r="AX230" s="210">
        <f t="shared" ca="1" si="646"/>
        <v>0</v>
      </c>
      <c r="AY230" s="210">
        <f t="shared" ca="1" si="647"/>
        <v>0</v>
      </c>
      <c r="AZ230" s="13">
        <f t="shared" ca="1" si="648"/>
        <v>0</v>
      </c>
      <c r="BA230" s="357">
        <f ca="1"/>
        <v>0</v>
      </c>
      <c r="BB230" s="925">
        <f ca="1"/>
        <v>0</v>
      </c>
      <c r="BC230" s="925">
        <f ca="1"/>
        <v>0</v>
      </c>
      <c r="BD230" s="928">
        <f ca="1"/>
        <v>0</v>
      </c>
      <c r="BE230" s="200">
        <f ca="1"/>
        <v>0</v>
      </c>
      <c r="BF230" s="851">
        <f ca="1"/>
        <v>0</v>
      </c>
      <c r="BG230" s="851">
        <f ca="1"/>
        <v>0</v>
      </c>
      <c r="BH230" s="933">
        <f ca="1"/>
        <v>0</v>
      </c>
      <c r="BI230" s="357">
        <f ca="1"/>
        <v>0</v>
      </c>
      <c r="BJ230" s="925">
        <f ca="1"/>
        <v>0</v>
      </c>
      <c r="BK230" s="925">
        <f ca="1"/>
        <v>0</v>
      </c>
      <c r="BL230" s="928">
        <f ca="1"/>
        <v>0</v>
      </c>
      <c r="BM230" s="200">
        <f ca="1"/>
        <v>0</v>
      </c>
      <c r="BN230" s="851">
        <f ca="1"/>
        <v>0</v>
      </c>
      <c r="BO230" s="851">
        <f ca="1"/>
        <v>0</v>
      </c>
      <c r="BP230" s="933">
        <f ca="1"/>
        <v>0</v>
      </c>
      <c r="BQ230" s="357">
        <f t="shared" ca="1" si="649"/>
        <v>0</v>
      </c>
      <c r="BR230" s="361">
        <f t="shared" ca="1" si="650"/>
        <v>0</v>
      </c>
      <c r="BS230" s="357">
        <f t="shared" ca="1" si="651"/>
        <v>0</v>
      </c>
      <c r="BT230" s="302">
        <f t="shared" ca="1" si="652"/>
        <v>0</v>
      </c>
      <c r="BU230" s="299">
        <f t="shared" ca="1" si="653"/>
        <v>0</v>
      </c>
      <c r="BV230" s="299">
        <f t="shared" ca="1" si="654"/>
        <v>0</v>
      </c>
      <c r="BW230" s="299">
        <f t="shared" ca="1" si="655"/>
        <v>0</v>
      </c>
      <c r="BX230" s="380">
        <f t="shared" ca="1" si="656"/>
        <v>17.834360027378509</v>
      </c>
      <c r="BY230" s="363">
        <f t="shared" ca="1" si="657"/>
        <v>0</v>
      </c>
      <c r="BZ230" s="353">
        <f t="shared" ca="1" si="658"/>
        <v>0</v>
      </c>
      <c r="CA230" s="353">
        <f t="shared" ca="1" si="659"/>
        <v>0</v>
      </c>
      <c r="CB230" s="353">
        <f t="shared" ca="1" si="660"/>
        <v>0</v>
      </c>
      <c r="CC230" s="353">
        <f t="shared" ca="1" si="661"/>
        <v>0</v>
      </c>
      <c r="CD230" s="353">
        <f t="shared" ca="1" si="662"/>
        <v>0</v>
      </c>
      <c r="CE230" s="302">
        <f t="shared" ca="1" si="663"/>
        <v>0</v>
      </c>
      <c r="CF230" s="299">
        <f t="shared" ca="1" si="664"/>
        <v>0</v>
      </c>
      <c r="CG230" s="299">
        <f t="shared" ca="1" si="665"/>
        <v>0</v>
      </c>
      <c r="CH230" s="299">
        <f t="shared" ca="1" si="666"/>
        <v>0</v>
      </c>
      <c r="CI230" s="299">
        <f t="shared" ca="1" si="667"/>
        <v>0</v>
      </c>
      <c r="CJ230" s="299">
        <f t="shared" ca="1" si="668"/>
        <v>0</v>
      </c>
      <c r="CK230" s="299">
        <f t="shared" ca="1" si="669"/>
        <v>0</v>
      </c>
      <c r="CL230" s="377" t="str">
        <f t="shared" ca="1" si="670"/>
        <v/>
      </c>
      <c r="CM230" s="305" t="str">
        <f t="shared" ca="1" si="671"/>
        <v/>
      </c>
      <c r="CN230" s="305" t="str">
        <f t="shared" ca="1" si="672"/>
        <v/>
      </c>
      <c r="CO230" s="305" t="str">
        <f t="shared" ca="1" si="673"/>
        <v/>
      </c>
      <c r="CP230" s="305" t="str">
        <f t="shared" ca="1" si="674"/>
        <v/>
      </c>
      <c r="CQ230" s="305" t="str">
        <f t="shared" ca="1" si="675"/>
        <v/>
      </c>
      <c r="CR230" s="775" t="str">
        <f t="shared" ca="1" si="676"/>
        <v/>
      </c>
      <c r="CS230" s="305" t="str">
        <f t="shared" ca="1" si="677"/>
        <v/>
      </c>
      <c r="CT230" s="305" t="str">
        <f t="shared" ca="1" si="678"/>
        <v/>
      </c>
      <c r="CU230" s="305" t="str">
        <f t="shared" ca="1" si="679"/>
        <v/>
      </c>
      <c r="CV230" s="770" t="str">
        <f t="shared" ca="1" si="680"/>
        <v/>
      </c>
      <c r="CW230" s="302">
        <f t="shared" ca="1" si="681"/>
        <v>0</v>
      </c>
      <c r="CX230" s="299">
        <f t="shared" ca="1" si="682"/>
        <v>0</v>
      </c>
      <c r="CY230" s="299">
        <f t="shared" ca="1" si="683"/>
        <v>0</v>
      </c>
      <c r="CZ230" s="299">
        <f t="shared" ca="1" si="684"/>
        <v>0</v>
      </c>
      <c r="DA230" s="774">
        <f t="shared" ca="1" si="685"/>
        <v>0</v>
      </c>
      <c r="DB230" s="303">
        <f t="shared" ca="1" si="686"/>
        <v>0</v>
      </c>
      <c r="DC230" s="248">
        <f t="shared" ca="1" si="687"/>
        <v>0</v>
      </c>
      <c r="DD230" s="778">
        <f t="shared" ca="1" si="688"/>
        <v>0</v>
      </c>
      <c r="DE230" s="363">
        <f t="shared" ca="1" si="689"/>
        <v>0</v>
      </c>
      <c r="DF230" s="378" t="str">
        <f t="shared" ca="1" si="690"/>
        <v/>
      </c>
      <c r="DG230" s="508" t="str">
        <f t="shared" ca="1" si="691"/>
        <v/>
      </c>
      <c r="DH230" s="508" t="str">
        <f t="shared" ca="1" si="692"/>
        <v/>
      </c>
      <c r="DI230" s="508" t="str">
        <f t="shared" ca="1" si="693"/>
        <v/>
      </c>
      <c r="DJ230" s="508" t="str">
        <f t="shared" ca="1" si="694"/>
        <v/>
      </c>
      <c r="DK230" s="353">
        <f t="shared" ca="1" si="695"/>
        <v>0</v>
      </c>
      <c r="DL230" s="781">
        <f t="shared" ca="1" si="696"/>
        <v>0</v>
      </c>
      <c r="DM230" s="303">
        <f t="shared" ca="1" si="697"/>
        <v>0</v>
      </c>
      <c r="DN230" s="508" t="str">
        <f t="shared" ca="1" si="698"/>
        <v/>
      </c>
      <c r="DO230" s="508" t="str">
        <f t="shared" ca="1" si="699"/>
        <v/>
      </c>
      <c r="DP230" s="508" t="str">
        <f t="shared" ca="1" si="700"/>
        <v/>
      </c>
      <c r="DQ230" s="508" t="str">
        <f t="shared" ca="1" si="701"/>
        <v/>
      </c>
      <c r="DR230" s="508" t="str">
        <f t="shared" ca="1" si="702"/>
        <v/>
      </c>
      <c r="DS230" s="353">
        <f t="shared" ca="1" si="703"/>
        <v>0</v>
      </c>
      <c r="DT230" s="353">
        <f t="shared" ca="1" si="704"/>
        <v>0</v>
      </c>
      <c r="DU230" s="380">
        <f t="shared" ca="1" si="804"/>
        <v>17.834360027378509</v>
      </c>
      <c r="DV230" s="303">
        <f t="shared" ca="1" si="705"/>
        <v>0</v>
      </c>
      <c r="DW230" s="303">
        <f t="shared" ca="1" si="706"/>
        <v>0</v>
      </c>
      <c r="DX230" s="303">
        <f t="shared" ca="1" si="707"/>
        <v>0</v>
      </c>
      <c r="DY230" s="303">
        <f t="shared" ca="1" si="708"/>
        <v>0</v>
      </c>
      <c r="DZ230" s="303">
        <f t="shared" ca="1" si="709"/>
        <v>0</v>
      </c>
      <c r="EA230" s="303">
        <f t="shared" ca="1" si="710"/>
        <v>0</v>
      </c>
      <c r="EB230" s="302">
        <f t="shared" ca="1" si="711"/>
        <v>0</v>
      </c>
      <c r="EC230" s="299">
        <f t="shared" ca="1" si="712"/>
        <v>0</v>
      </c>
      <c r="ED230" s="299">
        <f t="shared" ca="1" si="713"/>
        <v>0</v>
      </c>
      <c r="EE230" s="299">
        <f t="shared" ca="1" si="714"/>
        <v>0</v>
      </c>
      <c r="EF230" s="299">
        <f t="shared" ca="1" si="715"/>
        <v>0</v>
      </c>
      <c r="EG230" s="299">
        <f t="shared" ca="1" si="716"/>
        <v>0</v>
      </c>
      <c r="EH230" s="302">
        <f t="shared" ca="1" si="717"/>
        <v>0</v>
      </c>
      <c r="EI230" s="304" t="str">
        <f t="shared" ca="1" si="718"/>
        <v/>
      </c>
      <c r="EJ230" s="305" t="str">
        <f t="shared" ca="1" si="719"/>
        <v/>
      </c>
      <c r="EK230" s="305" t="str">
        <f t="shared" ca="1" si="720"/>
        <v/>
      </c>
      <c r="EL230" s="305" t="str">
        <f t="shared" ca="1" si="721"/>
        <v/>
      </c>
      <c r="EM230" s="305" t="str">
        <f t="shared" ca="1" si="722"/>
        <v/>
      </c>
      <c r="EN230" s="305" t="str">
        <f t="shared" ca="1" si="723"/>
        <v/>
      </c>
      <c r="EO230" s="305" t="str">
        <f t="shared" ca="1" si="724"/>
        <v/>
      </c>
      <c r="EP230" s="305" t="str">
        <f t="shared" ca="1" si="725"/>
        <v/>
      </c>
      <c r="EQ230" s="305" t="str">
        <f t="shared" ca="1" si="726"/>
        <v/>
      </c>
      <c r="ER230" s="305" t="str">
        <f t="shared" ca="1" si="727"/>
        <v/>
      </c>
      <c r="ES230" s="305" t="str">
        <f t="shared" ca="1" si="728"/>
        <v/>
      </c>
      <c r="ET230" s="299">
        <f t="shared" ca="1" si="729"/>
        <v>0</v>
      </c>
      <c r="EU230" s="302">
        <f t="shared" ca="1" si="730"/>
        <v>0</v>
      </c>
      <c r="EV230" s="304" t="str">
        <f t="shared" ca="1" si="731"/>
        <v/>
      </c>
      <c r="EW230" s="305" t="str">
        <f t="shared" ca="1" si="732"/>
        <v/>
      </c>
      <c r="EX230" s="305" t="str">
        <f t="shared" ca="1" si="733"/>
        <v/>
      </c>
      <c r="EY230" s="305" t="str">
        <f t="shared" ca="1" si="734"/>
        <v/>
      </c>
      <c r="EZ230" s="305" t="str">
        <f t="shared" ca="1" si="735"/>
        <v/>
      </c>
      <c r="FA230" s="305" t="str">
        <f t="shared" ca="1" si="736"/>
        <v/>
      </c>
      <c r="FB230" s="305" t="str">
        <f t="shared" ca="1" si="737"/>
        <v/>
      </c>
      <c r="FC230" s="305" t="str">
        <f t="shared" ca="1" si="738"/>
        <v/>
      </c>
      <c r="FD230" s="305" t="str">
        <f t="shared" ca="1" si="739"/>
        <v/>
      </c>
      <c r="FE230" s="305" t="str">
        <f t="shared" ca="1" si="740"/>
        <v/>
      </c>
      <c r="FF230" s="305" t="str">
        <f t="shared" ca="1" si="741"/>
        <v/>
      </c>
      <c r="FG230" s="299">
        <f t="shared" ca="1" si="742"/>
        <v>0</v>
      </c>
      <c r="FH230" s="302">
        <f t="shared" ca="1" si="743"/>
        <v>0</v>
      </c>
      <c r="FI230" s="248">
        <f t="shared" ca="1" si="744"/>
        <v>0</v>
      </c>
      <c r="FJ230" s="363">
        <f t="shared" ca="1" si="745"/>
        <v>0</v>
      </c>
      <c r="FK230" s="378" t="str">
        <f t="shared" ca="1" si="746"/>
        <v/>
      </c>
      <c r="FL230" s="508" t="str">
        <f t="shared" ca="1" si="747"/>
        <v/>
      </c>
      <c r="FM230" s="508" t="str">
        <f t="shared" ca="1" si="748"/>
        <v/>
      </c>
      <c r="FN230" s="508" t="str">
        <f t="shared" ca="1" si="749"/>
        <v/>
      </c>
      <c r="FO230" s="508" t="str">
        <f t="shared" ca="1" si="750"/>
        <v/>
      </c>
      <c r="FP230" s="353">
        <f t="shared" ca="1" si="751"/>
        <v>0</v>
      </c>
      <c r="FQ230" s="356">
        <f t="shared" ca="1" si="752"/>
        <v>0</v>
      </c>
      <c r="FR230" s="380">
        <f t="shared" ca="1" si="753"/>
        <v>0</v>
      </c>
      <c r="FS230" s="299">
        <f t="shared" ca="1" si="754"/>
        <v>0</v>
      </c>
      <c r="FT230" s="299">
        <f t="shared" ca="1" si="755"/>
        <v>0</v>
      </c>
      <c r="FU230" s="299">
        <f t="shared" ca="1" si="756"/>
        <v>0</v>
      </c>
      <c r="FV230" s="299">
        <f t="shared" ca="1" si="757"/>
        <v>0</v>
      </c>
      <c r="FW230" s="850" t="str">
        <f t="shared" ca="1" si="758"/>
        <v/>
      </c>
      <c r="FX230" s="851" t="str">
        <f t="shared" ca="1" si="759"/>
        <v/>
      </c>
      <c r="FY230" s="851" t="str">
        <f t="shared" ca="1" si="760"/>
        <v/>
      </c>
      <c r="FZ230" s="201" t="str">
        <f t="shared" ca="1" si="761"/>
        <v/>
      </c>
      <c r="GA230" s="201" t="str">
        <f t="shared" ca="1" si="762"/>
        <v/>
      </c>
      <c r="GB230" s="201" t="str">
        <f t="shared" ca="1" si="763"/>
        <v/>
      </c>
      <c r="GC230" s="201" t="str">
        <f t="shared" ca="1" si="764"/>
        <v/>
      </c>
      <c r="GD230" s="850" t="str">
        <f t="shared" ca="1" si="765"/>
        <v/>
      </c>
      <c r="GE230" s="866" t="str">
        <f t="shared" ca="1" si="766"/>
        <v/>
      </c>
      <c r="GF230" s="866" t="str">
        <f t="shared" ca="1" si="767"/>
        <v/>
      </c>
      <c r="GG230" s="866" t="str">
        <f t="shared" ca="1" si="768"/>
        <v/>
      </c>
      <c r="GH230" s="866" t="str">
        <f t="shared" ca="1" si="769"/>
        <v/>
      </c>
      <c r="GI230" s="302">
        <f t="shared" ca="1" si="770"/>
        <v>0</v>
      </c>
      <c r="GJ230" s="299">
        <f t="shared" ca="1" si="771"/>
        <v>0</v>
      </c>
      <c r="GK230" s="299">
        <f t="shared" ca="1" si="772"/>
        <v>0</v>
      </c>
      <c r="GL230" s="299">
        <f t="shared" ca="1" si="773"/>
        <v>0</v>
      </c>
      <c r="GM230" s="299">
        <f t="shared" ca="1" si="774"/>
        <v>0</v>
      </c>
      <c r="GN230" s="302">
        <f t="shared" ca="1" si="775"/>
        <v>0</v>
      </c>
      <c r="GO230" s="299">
        <f t="shared" ca="1" si="776"/>
        <v>0</v>
      </c>
      <c r="GP230" s="299">
        <f t="shared" ca="1" si="777"/>
        <v>0</v>
      </c>
      <c r="GQ230" s="299">
        <f t="shared" ca="1" si="778"/>
        <v>0</v>
      </c>
      <c r="GR230" s="299">
        <f t="shared" ca="1" si="779"/>
        <v>0</v>
      </c>
      <c r="GS230" s="302">
        <f t="shared" ca="1" si="780"/>
        <v>0</v>
      </c>
      <c r="GT230" s="299">
        <f t="shared" ca="1" si="781"/>
        <v>0</v>
      </c>
      <c r="GU230" s="299">
        <f t="shared" ca="1" si="782"/>
        <v>0</v>
      </c>
      <c r="GV230" s="299">
        <f t="shared" ca="1" si="783"/>
        <v>0</v>
      </c>
      <c r="GW230" s="299">
        <f t="shared" ca="1" si="784"/>
        <v>0</v>
      </c>
      <c r="GX230" s="303">
        <f t="shared" ca="1" si="785"/>
        <v>0</v>
      </c>
      <c r="GY230" s="303">
        <f t="shared" ca="1" si="786"/>
        <v>0</v>
      </c>
      <c r="GZ230" s="303">
        <f t="shared" ca="1" si="787"/>
        <v>0</v>
      </c>
      <c r="HA230" s="303">
        <f t="shared" ca="1" si="788"/>
        <v>0</v>
      </c>
      <c r="HB230" s="303">
        <f t="shared" ca="1" si="789"/>
        <v>0</v>
      </c>
      <c r="HC230" s="303">
        <f t="shared" ca="1" si="790"/>
        <v>0</v>
      </c>
      <c r="HD230" s="303">
        <f t="shared" ca="1" si="791"/>
        <v>0</v>
      </c>
      <c r="HE230" s="303">
        <f t="shared" ca="1" si="792"/>
        <v>0</v>
      </c>
      <c r="HF230" s="303">
        <f t="shared" ca="1" si="793"/>
        <v>0</v>
      </c>
      <c r="HG230" s="852">
        <f t="shared" ca="1" si="794"/>
        <v>0</v>
      </c>
    </row>
    <row r="231" spans="1:215" x14ac:dyDescent="0.25">
      <c r="A231" s="244">
        <f t="shared" ca="1" si="795"/>
        <v>43132</v>
      </c>
      <c r="B231" s="13">
        <f t="shared" ca="1" si="817"/>
        <v>2018</v>
      </c>
      <c r="C231" s="619">
        <f t="shared" ca="1" si="818"/>
        <v>2</v>
      </c>
      <c r="D231" s="195" t="str">
        <f t="shared" ca="1" si="625"/>
        <v/>
      </c>
      <c r="E231" s="469" t="str">
        <f t="shared" ca="1" si="626"/>
        <v/>
      </c>
      <c r="F231" s="465" t="str">
        <f t="shared" ca="1" si="627"/>
        <v/>
      </c>
      <c r="G231" s="522">
        <f t="shared" ca="1" si="796"/>
        <v>1</v>
      </c>
      <c r="H231" s="519">
        <f t="shared" ca="1" si="797"/>
        <v>1</v>
      </c>
      <c r="I231" s="724">
        <f t="shared" ca="1" si="819"/>
        <v>7.4177170089227001E-2</v>
      </c>
      <c r="J231" s="198">
        <f t="shared" ca="1" si="629"/>
        <v>0.26860475761801278</v>
      </c>
      <c r="K231" s="200">
        <f t="shared" ca="1" si="805"/>
        <v>37.65</v>
      </c>
      <c r="L231" s="201">
        <f t="shared" ca="1" si="806"/>
        <v>39.85</v>
      </c>
      <c r="M231" s="206">
        <f t="shared" ca="1" si="807"/>
        <v>42.05</v>
      </c>
      <c r="N231" s="851">
        <f t="shared" ca="1" si="811"/>
        <v>28.996250152587876</v>
      </c>
      <c r="O231" s="201">
        <f t="shared" ca="1" si="812"/>
        <v>30.646250152587879</v>
      </c>
      <c r="P231" s="206">
        <f t="shared" ca="1" si="813"/>
        <v>32.296250152587881</v>
      </c>
      <c r="Q231" s="201">
        <f t="shared" ca="1" si="814"/>
        <v>23.84749946594237</v>
      </c>
      <c r="R231" s="201">
        <f t="shared" ca="1" si="815"/>
        <v>28.147499465942371</v>
      </c>
      <c r="S231" s="201">
        <f t="shared" ca="1" si="816"/>
        <v>32.447499465942371</v>
      </c>
      <c r="T231" s="851">
        <f t="shared" ca="1" si="808"/>
        <v>21.499997711181631</v>
      </c>
      <c r="U231" s="201">
        <f t="shared" ca="1" si="809"/>
        <v>22.599997711181633</v>
      </c>
      <c r="V231" s="206">
        <f t="shared" ca="1" si="810"/>
        <v>23.699997711181634</v>
      </c>
      <c r="W231" s="230">
        <f t="shared" ca="1" si="798"/>
        <v>5.7073425757417688E-2</v>
      </c>
      <c r="X231" s="231">
        <f t="shared" ca="1" si="799"/>
        <v>0.11414685151483538</v>
      </c>
      <c r="Y231" s="232">
        <f t="shared" ca="1" si="800"/>
        <v>0.17122027727225306</v>
      </c>
      <c r="Z231" s="231">
        <f t="shared" ca="1" si="820"/>
        <v>5.7073425757417688E-2</v>
      </c>
      <c r="AA231" s="231">
        <f t="shared" ca="1" si="821"/>
        <v>0.11414685151483538</v>
      </c>
      <c r="AB231" s="232">
        <f t="shared" ca="1" si="822"/>
        <v>0.17122027727225306</v>
      </c>
      <c r="AC231" s="231">
        <f t="shared" ca="1" si="823"/>
        <v>5.7073425757417688E-2</v>
      </c>
      <c r="AD231" s="231">
        <f t="shared" ca="1" si="824"/>
        <v>0.11414685151483538</v>
      </c>
      <c r="AE231" s="232">
        <f t="shared" ca="1" si="630"/>
        <v>0.17122027727225306</v>
      </c>
      <c r="AF231" s="231">
        <f t="shared" ca="1" si="801"/>
        <v>2.4329736579996153E-2</v>
      </c>
      <c r="AG231" s="231">
        <f t="shared" ca="1" si="802"/>
        <v>4.8659473159992306E-2</v>
      </c>
      <c r="AH231" s="232">
        <f t="shared" ca="1" si="803"/>
        <v>7.2989209739988459E-2</v>
      </c>
      <c r="AI231" s="233">
        <f t="shared" ca="1" si="631"/>
        <v>1.25</v>
      </c>
      <c r="AJ231" s="233">
        <f t="shared" ca="1" si="632"/>
        <v>2</v>
      </c>
      <c r="AK231" s="234">
        <f t="shared" ca="1" si="633"/>
        <v>2.75</v>
      </c>
      <c r="AL231" s="919">
        <f t="shared" ca="1" si="634"/>
        <v>1.25</v>
      </c>
      <c r="AM231" s="233">
        <f t="shared" ca="1" si="635"/>
        <v>2</v>
      </c>
      <c r="AN231" s="234">
        <f t="shared" ca="1" si="636"/>
        <v>2.75</v>
      </c>
      <c r="AO231" s="233">
        <f t="shared" ca="1" si="637"/>
        <v>1.25</v>
      </c>
      <c r="AP231" s="233">
        <f t="shared" ca="1" si="638"/>
        <v>2</v>
      </c>
      <c r="AQ231" s="233">
        <f t="shared" ca="1" si="639"/>
        <v>2.75</v>
      </c>
      <c r="AR231" s="919">
        <f t="shared" ca="1" si="640"/>
        <v>0.35</v>
      </c>
      <c r="AS231" s="233">
        <f t="shared" ca="1" si="641"/>
        <v>0.5</v>
      </c>
      <c r="AT231" s="235">
        <f t="shared" ca="1" si="642"/>
        <v>0.7</v>
      </c>
      <c r="AU231" s="946">
        <f t="shared" si="643"/>
        <v>0.5</v>
      </c>
      <c r="AV231" s="13">
        <f t="shared" ca="1" si="644"/>
        <v>0</v>
      </c>
      <c r="AW231" s="210">
        <f t="shared" ca="1" si="645"/>
        <v>0</v>
      </c>
      <c r="AX231" s="210">
        <f t="shared" ca="1" si="646"/>
        <v>0</v>
      </c>
      <c r="AY231" s="210">
        <f t="shared" ca="1" si="647"/>
        <v>0</v>
      </c>
      <c r="AZ231" s="13">
        <f t="shared" ca="1" si="648"/>
        <v>0</v>
      </c>
      <c r="BA231" s="357">
        <f ca="1"/>
        <v>0</v>
      </c>
      <c r="BB231" s="925">
        <f ca="1"/>
        <v>0</v>
      </c>
      <c r="BC231" s="925">
        <f ca="1"/>
        <v>0</v>
      </c>
      <c r="BD231" s="928">
        <f ca="1"/>
        <v>0</v>
      </c>
      <c r="BE231" s="200">
        <f ca="1"/>
        <v>0</v>
      </c>
      <c r="BF231" s="851">
        <f ca="1"/>
        <v>0</v>
      </c>
      <c r="BG231" s="851">
        <f ca="1"/>
        <v>0</v>
      </c>
      <c r="BH231" s="933">
        <f ca="1"/>
        <v>0</v>
      </c>
      <c r="BI231" s="357">
        <f ca="1"/>
        <v>0</v>
      </c>
      <c r="BJ231" s="925">
        <f ca="1"/>
        <v>0</v>
      </c>
      <c r="BK231" s="925">
        <f ca="1"/>
        <v>0</v>
      </c>
      <c r="BL231" s="928">
        <f ca="1"/>
        <v>0</v>
      </c>
      <c r="BM231" s="200">
        <f ca="1"/>
        <v>0</v>
      </c>
      <c r="BN231" s="851">
        <f ca="1"/>
        <v>0</v>
      </c>
      <c r="BO231" s="851">
        <f ca="1"/>
        <v>0</v>
      </c>
      <c r="BP231" s="933">
        <f ca="1"/>
        <v>0</v>
      </c>
      <c r="BQ231" s="357">
        <f t="shared" ca="1" si="649"/>
        <v>0</v>
      </c>
      <c r="BR231" s="361">
        <f t="shared" ca="1" si="650"/>
        <v>0</v>
      </c>
      <c r="BS231" s="357">
        <f t="shared" ca="1" si="651"/>
        <v>0</v>
      </c>
      <c r="BT231" s="302">
        <f t="shared" ca="1" si="652"/>
        <v>0</v>
      </c>
      <c r="BU231" s="299">
        <f t="shared" ca="1" si="653"/>
        <v>0</v>
      </c>
      <c r="BV231" s="299">
        <f t="shared" ca="1" si="654"/>
        <v>0</v>
      </c>
      <c r="BW231" s="299">
        <f t="shared" ca="1" si="655"/>
        <v>0</v>
      </c>
      <c r="BX231" s="380">
        <f t="shared" ca="1" si="656"/>
        <v>17.919233401779604</v>
      </c>
      <c r="BY231" s="363">
        <f t="shared" ca="1" si="657"/>
        <v>0</v>
      </c>
      <c r="BZ231" s="353">
        <f t="shared" ca="1" si="658"/>
        <v>0</v>
      </c>
      <c r="CA231" s="353">
        <f t="shared" ca="1" si="659"/>
        <v>0</v>
      </c>
      <c r="CB231" s="353">
        <f t="shared" ca="1" si="660"/>
        <v>0</v>
      </c>
      <c r="CC231" s="353">
        <f t="shared" ca="1" si="661"/>
        <v>0</v>
      </c>
      <c r="CD231" s="353">
        <f t="shared" ca="1" si="662"/>
        <v>0</v>
      </c>
      <c r="CE231" s="302">
        <f t="shared" ca="1" si="663"/>
        <v>0</v>
      </c>
      <c r="CF231" s="299">
        <f t="shared" ca="1" si="664"/>
        <v>0</v>
      </c>
      <c r="CG231" s="299">
        <f t="shared" ca="1" si="665"/>
        <v>0</v>
      </c>
      <c r="CH231" s="299">
        <f t="shared" ca="1" si="666"/>
        <v>0</v>
      </c>
      <c r="CI231" s="299">
        <f t="shared" ca="1" si="667"/>
        <v>0</v>
      </c>
      <c r="CJ231" s="299">
        <f t="shared" ca="1" si="668"/>
        <v>0</v>
      </c>
      <c r="CK231" s="299">
        <f t="shared" ca="1" si="669"/>
        <v>0</v>
      </c>
      <c r="CL231" s="377" t="str">
        <f t="shared" ca="1" si="670"/>
        <v/>
      </c>
      <c r="CM231" s="305" t="str">
        <f t="shared" ca="1" si="671"/>
        <v/>
      </c>
      <c r="CN231" s="305" t="str">
        <f t="shared" ca="1" si="672"/>
        <v/>
      </c>
      <c r="CO231" s="305" t="str">
        <f t="shared" ca="1" si="673"/>
        <v/>
      </c>
      <c r="CP231" s="305" t="str">
        <f t="shared" ca="1" si="674"/>
        <v/>
      </c>
      <c r="CQ231" s="305" t="str">
        <f t="shared" ca="1" si="675"/>
        <v/>
      </c>
      <c r="CR231" s="775" t="str">
        <f t="shared" ca="1" si="676"/>
        <v/>
      </c>
      <c r="CS231" s="305" t="str">
        <f t="shared" ca="1" si="677"/>
        <v/>
      </c>
      <c r="CT231" s="305" t="str">
        <f t="shared" ca="1" si="678"/>
        <v/>
      </c>
      <c r="CU231" s="305" t="str">
        <f t="shared" ca="1" si="679"/>
        <v/>
      </c>
      <c r="CV231" s="770" t="str">
        <f t="shared" ca="1" si="680"/>
        <v/>
      </c>
      <c r="CW231" s="302">
        <f t="shared" ca="1" si="681"/>
        <v>0</v>
      </c>
      <c r="CX231" s="299">
        <f t="shared" ca="1" si="682"/>
        <v>0</v>
      </c>
      <c r="CY231" s="299">
        <f t="shared" ca="1" si="683"/>
        <v>0</v>
      </c>
      <c r="CZ231" s="299">
        <f t="shared" ca="1" si="684"/>
        <v>0</v>
      </c>
      <c r="DA231" s="774">
        <f t="shared" ca="1" si="685"/>
        <v>0</v>
      </c>
      <c r="DB231" s="303">
        <f t="shared" ca="1" si="686"/>
        <v>0</v>
      </c>
      <c r="DC231" s="248">
        <f t="shared" ca="1" si="687"/>
        <v>0</v>
      </c>
      <c r="DD231" s="778">
        <f t="shared" ca="1" si="688"/>
        <v>0</v>
      </c>
      <c r="DE231" s="363">
        <f t="shared" ca="1" si="689"/>
        <v>0</v>
      </c>
      <c r="DF231" s="378" t="str">
        <f t="shared" ca="1" si="690"/>
        <v/>
      </c>
      <c r="DG231" s="508" t="str">
        <f t="shared" ca="1" si="691"/>
        <v/>
      </c>
      <c r="DH231" s="508" t="str">
        <f t="shared" ca="1" si="692"/>
        <v/>
      </c>
      <c r="DI231" s="508" t="str">
        <f t="shared" ca="1" si="693"/>
        <v/>
      </c>
      <c r="DJ231" s="508" t="str">
        <f t="shared" ca="1" si="694"/>
        <v/>
      </c>
      <c r="DK231" s="353">
        <f t="shared" ca="1" si="695"/>
        <v>0</v>
      </c>
      <c r="DL231" s="781">
        <f t="shared" ca="1" si="696"/>
        <v>0</v>
      </c>
      <c r="DM231" s="303">
        <f t="shared" ca="1" si="697"/>
        <v>0</v>
      </c>
      <c r="DN231" s="508" t="str">
        <f t="shared" ca="1" si="698"/>
        <v/>
      </c>
      <c r="DO231" s="508" t="str">
        <f t="shared" ca="1" si="699"/>
        <v/>
      </c>
      <c r="DP231" s="508" t="str">
        <f t="shared" ca="1" si="700"/>
        <v/>
      </c>
      <c r="DQ231" s="508" t="str">
        <f t="shared" ca="1" si="701"/>
        <v/>
      </c>
      <c r="DR231" s="508" t="str">
        <f t="shared" ca="1" si="702"/>
        <v/>
      </c>
      <c r="DS231" s="353">
        <f t="shared" ca="1" si="703"/>
        <v>0</v>
      </c>
      <c r="DT231" s="353">
        <f t="shared" ca="1" si="704"/>
        <v>0</v>
      </c>
      <c r="DU231" s="380">
        <f t="shared" ca="1" si="804"/>
        <v>17.919233401779604</v>
      </c>
      <c r="DV231" s="303">
        <f t="shared" ca="1" si="705"/>
        <v>0</v>
      </c>
      <c r="DW231" s="303">
        <f t="shared" ca="1" si="706"/>
        <v>0</v>
      </c>
      <c r="DX231" s="303">
        <f t="shared" ca="1" si="707"/>
        <v>0</v>
      </c>
      <c r="DY231" s="303">
        <f t="shared" ca="1" si="708"/>
        <v>0</v>
      </c>
      <c r="DZ231" s="303">
        <f t="shared" ca="1" si="709"/>
        <v>0</v>
      </c>
      <c r="EA231" s="303">
        <f t="shared" ca="1" si="710"/>
        <v>0</v>
      </c>
      <c r="EB231" s="302">
        <f t="shared" ca="1" si="711"/>
        <v>0</v>
      </c>
      <c r="EC231" s="299">
        <f t="shared" ca="1" si="712"/>
        <v>0</v>
      </c>
      <c r="ED231" s="299">
        <f t="shared" ca="1" si="713"/>
        <v>0</v>
      </c>
      <c r="EE231" s="299">
        <f t="shared" ca="1" si="714"/>
        <v>0</v>
      </c>
      <c r="EF231" s="299">
        <f t="shared" ca="1" si="715"/>
        <v>0</v>
      </c>
      <c r="EG231" s="299">
        <f t="shared" ca="1" si="716"/>
        <v>0</v>
      </c>
      <c r="EH231" s="302">
        <f t="shared" ca="1" si="717"/>
        <v>0</v>
      </c>
      <c r="EI231" s="304" t="str">
        <f t="shared" ca="1" si="718"/>
        <v/>
      </c>
      <c r="EJ231" s="305" t="str">
        <f t="shared" ca="1" si="719"/>
        <v/>
      </c>
      <c r="EK231" s="305" t="str">
        <f t="shared" ca="1" si="720"/>
        <v/>
      </c>
      <c r="EL231" s="305" t="str">
        <f t="shared" ca="1" si="721"/>
        <v/>
      </c>
      <c r="EM231" s="305" t="str">
        <f t="shared" ca="1" si="722"/>
        <v/>
      </c>
      <c r="EN231" s="305" t="str">
        <f t="shared" ca="1" si="723"/>
        <v/>
      </c>
      <c r="EO231" s="305" t="str">
        <f t="shared" ca="1" si="724"/>
        <v/>
      </c>
      <c r="EP231" s="305" t="str">
        <f t="shared" ca="1" si="725"/>
        <v/>
      </c>
      <c r="EQ231" s="305" t="str">
        <f t="shared" ca="1" si="726"/>
        <v/>
      </c>
      <c r="ER231" s="305" t="str">
        <f t="shared" ca="1" si="727"/>
        <v/>
      </c>
      <c r="ES231" s="305" t="str">
        <f t="shared" ca="1" si="728"/>
        <v/>
      </c>
      <c r="ET231" s="299">
        <f t="shared" ca="1" si="729"/>
        <v>0</v>
      </c>
      <c r="EU231" s="302">
        <f t="shared" ca="1" si="730"/>
        <v>0</v>
      </c>
      <c r="EV231" s="304" t="str">
        <f t="shared" ca="1" si="731"/>
        <v/>
      </c>
      <c r="EW231" s="305" t="str">
        <f t="shared" ca="1" si="732"/>
        <v/>
      </c>
      <c r="EX231" s="305" t="str">
        <f t="shared" ca="1" si="733"/>
        <v/>
      </c>
      <c r="EY231" s="305" t="str">
        <f t="shared" ca="1" si="734"/>
        <v/>
      </c>
      <c r="EZ231" s="305" t="str">
        <f t="shared" ca="1" si="735"/>
        <v/>
      </c>
      <c r="FA231" s="305" t="str">
        <f t="shared" ca="1" si="736"/>
        <v/>
      </c>
      <c r="FB231" s="305" t="str">
        <f t="shared" ca="1" si="737"/>
        <v/>
      </c>
      <c r="FC231" s="305" t="str">
        <f t="shared" ca="1" si="738"/>
        <v/>
      </c>
      <c r="FD231" s="305" t="str">
        <f t="shared" ca="1" si="739"/>
        <v/>
      </c>
      <c r="FE231" s="305" t="str">
        <f t="shared" ca="1" si="740"/>
        <v/>
      </c>
      <c r="FF231" s="305" t="str">
        <f t="shared" ca="1" si="741"/>
        <v/>
      </c>
      <c r="FG231" s="299">
        <f t="shared" ca="1" si="742"/>
        <v>0</v>
      </c>
      <c r="FH231" s="302">
        <f t="shared" ca="1" si="743"/>
        <v>0</v>
      </c>
      <c r="FI231" s="248">
        <f t="shared" ca="1" si="744"/>
        <v>0</v>
      </c>
      <c r="FJ231" s="363">
        <f t="shared" ca="1" si="745"/>
        <v>0</v>
      </c>
      <c r="FK231" s="378" t="str">
        <f t="shared" ca="1" si="746"/>
        <v/>
      </c>
      <c r="FL231" s="508" t="str">
        <f t="shared" ca="1" si="747"/>
        <v/>
      </c>
      <c r="FM231" s="508" t="str">
        <f t="shared" ca="1" si="748"/>
        <v/>
      </c>
      <c r="FN231" s="508" t="str">
        <f t="shared" ca="1" si="749"/>
        <v/>
      </c>
      <c r="FO231" s="508" t="str">
        <f t="shared" ca="1" si="750"/>
        <v/>
      </c>
      <c r="FP231" s="353">
        <f t="shared" ca="1" si="751"/>
        <v>0</v>
      </c>
      <c r="FQ231" s="356">
        <f t="shared" ca="1" si="752"/>
        <v>0</v>
      </c>
      <c r="FR231" s="380">
        <f t="shared" ca="1" si="753"/>
        <v>0</v>
      </c>
      <c r="FS231" s="299">
        <f t="shared" ca="1" si="754"/>
        <v>0</v>
      </c>
      <c r="FT231" s="299">
        <f t="shared" ca="1" si="755"/>
        <v>0</v>
      </c>
      <c r="FU231" s="299">
        <f t="shared" ca="1" si="756"/>
        <v>0</v>
      </c>
      <c r="FV231" s="299">
        <f t="shared" ca="1" si="757"/>
        <v>0</v>
      </c>
      <c r="FW231" s="850" t="str">
        <f t="shared" ca="1" si="758"/>
        <v/>
      </c>
      <c r="FX231" s="851" t="str">
        <f t="shared" ca="1" si="759"/>
        <v/>
      </c>
      <c r="FY231" s="851" t="str">
        <f t="shared" ca="1" si="760"/>
        <v/>
      </c>
      <c r="FZ231" s="201" t="str">
        <f t="shared" ca="1" si="761"/>
        <v/>
      </c>
      <c r="GA231" s="201" t="str">
        <f t="shared" ca="1" si="762"/>
        <v/>
      </c>
      <c r="GB231" s="201" t="str">
        <f t="shared" ca="1" si="763"/>
        <v/>
      </c>
      <c r="GC231" s="201" t="str">
        <f t="shared" ca="1" si="764"/>
        <v/>
      </c>
      <c r="GD231" s="850" t="str">
        <f t="shared" ca="1" si="765"/>
        <v/>
      </c>
      <c r="GE231" s="866" t="str">
        <f t="shared" ca="1" si="766"/>
        <v/>
      </c>
      <c r="GF231" s="866" t="str">
        <f t="shared" ca="1" si="767"/>
        <v/>
      </c>
      <c r="GG231" s="866" t="str">
        <f t="shared" ca="1" si="768"/>
        <v/>
      </c>
      <c r="GH231" s="866" t="str">
        <f t="shared" ca="1" si="769"/>
        <v/>
      </c>
      <c r="GI231" s="302">
        <f t="shared" ca="1" si="770"/>
        <v>0</v>
      </c>
      <c r="GJ231" s="299">
        <f t="shared" ca="1" si="771"/>
        <v>0</v>
      </c>
      <c r="GK231" s="299">
        <f t="shared" ca="1" si="772"/>
        <v>0</v>
      </c>
      <c r="GL231" s="299">
        <f t="shared" ca="1" si="773"/>
        <v>0</v>
      </c>
      <c r="GM231" s="299">
        <f t="shared" ca="1" si="774"/>
        <v>0</v>
      </c>
      <c r="GN231" s="302">
        <f t="shared" ca="1" si="775"/>
        <v>0</v>
      </c>
      <c r="GO231" s="299">
        <f t="shared" ca="1" si="776"/>
        <v>0</v>
      </c>
      <c r="GP231" s="299">
        <f t="shared" ca="1" si="777"/>
        <v>0</v>
      </c>
      <c r="GQ231" s="299">
        <f t="shared" ca="1" si="778"/>
        <v>0</v>
      </c>
      <c r="GR231" s="299">
        <f t="shared" ca="1" si="779"/>
        <v>0</v>
      </c>
      <c r="GS231" s="302">
        <f t="shared" ca="1" si="780"/>
        <v>0</v>
      </c>
      <c r="GT231" s="299">
        <f t="shared" ca="1" si="781"/>
        <v>0</v>
      </c>
      <c r="GU231" s="299">
        <f t="shared" ca="1" si="782"/>
        <v>0</v>
      </c>
      <c r="GV231" s="299">
        <f t="shared" ca="1" si="783"/>
        <v>0</v>
      </c>
      <c r="GW231" s="299">
        <f t="shared" ca="1" si="784"/>
        <v>0</v>
      </c>
      <c r="GX231" s="303">
        <f t="shared" ca="1" si="785"/>
        <v>0</v>
      </c>
      <c r="GY231" s="303">
        <f t="shared" ca="1" si="786"/>
        <v>0</v>
      </c>
      <c r="GZ231" s="303">
        <f t="shared" ca="1" si="787"/>
        <v>0</v>
      </c>
      <c r="HA231" s="303">
        <f t="shared" ca="1" si="788"/>
        <v>0</v>
      </c>
      <c r="HB231" s="303">
        <f t="shared" ca="1" si="789"/>
        <v>0</v>
      </c>
      <c r="HC231" s="303">
        <f t="shared" ca="1" si="790"/>
        <v>0</v>
      </c>
      <c r="HD231" s="303">
        <f t="shared" ca="1" si="791"/>
        <v>0</v>
      </c>
      <c r="HE231" s="303">
        <f t="shared" ca="1" si="792"/>
        <v>0</v>
      </c>
      <c r="HF231" s="303">
        <f t="shared" ca="1" si="793"/>
        <v>0</v>
      </c>
      <c r="HG231" s="852">
        <f t="shared" ca="1" si="794"/>
        <v>0</v>
      </c>
    </row>
    <row r="232" spans="1:215" x14ac:dyDescent="0.25">
      <c r="A232" s="244">
        <f t="shared" ca="1" si="795"/>
        <v>43160</v>
      </c>
      <c r="B232" s="13">
        <f t="shared" ca="1" si="817"/>
        <v>2018</v>
      </c>
      <c r="C232" s="619">
        <f t="shared" ca="1" si="818"/>
        <v>3</v>
      </c>
      <c r="D232" s="195" t="str">
        <f t="shared" ca="1" si="625"/>
        <v/>
      </c>
      <c r="E232" s="469" t="str">
        <f t="shared" ca="1" si="626"/>
        <v/>
      </c>
      <c r="F232" s="465" t="str">
        <f t="shared" ca="1" si="627"/>
        <v/>
      </c>
      <c r="G232" s="522">
        <f t="shared" ca="1" si="796"/>
        <v>1</v>
      </c>
      <c r="H232" s="519">
        <f t="shared" ca="1" si="797"/>
        <v>1</v>
      </c>
      <c r="I232" s="724">
        <f t="shared" ca="1" si="819"/>
        <v>7.4176903892433005E-2</v>
      </c>
      <c r="J232" s="198">
        <f t="shared" ca="1" si="629"/>
        <v>0.26695068049741916</v>
      </c>
      <c r="K232" s="200">
        <f t="shared" ca="1" si="805"/>
        <v>34.9</v>
      </c>
      <c r="L232" s="201">
        <f t="shared" ca="1" si="806"/>
        <v>36.1</v>
      </c>
      <c r="M232" s="206">
        <f t="shared" ca="1" si="807"/>
        <v>37.299999999999997</v>
      </c>
      <c r="N232" s="851">
        <f t="shared" ca="1" si="811"/>
        <v>22.93474960327147</v>
      </c>
      <c r="O232" s="201">
        <f t="shared" ca="1" si="812"/>
        <v>23.834749603271472</v>
      </c>
      <c r="P232" s="206">
        <f t="shared" ca="1" si="813"/>
        <v>24.734749603271474</v>
      </c>
      <c r="Q232" s="201">
        <f t="shared" ca="1" si="814"/>
        <v>19.164498901367175</v>
      </c>
      <c r="R232" s="201">
        <f t="shared" ca="1" si="815"/>
        <v>23.464498901367175</v>
      </c>
      <c r="S232" s="201">
        <f t="shared" ca="1" si="816"/>
        <v>27.764498901367176</v>
      </c>
      <c r="T232" s="851">
        <f t="shared" ca="1" si="808"/>
        <v>20.999999618530264</v>
      </c>
      <c r="U232" s="201">
        <f t="shared" ca="1" si="809"/>
        <v>21.599999618530266</v>
      </c>
      <c r="V232" s="206">
        <f t="shared" ca="1" si="810"/>
        <v>22.199999618530267</v>
      </c>
      <c r="W232" s="230">
        <f t="shared" ca="1" si="798"/>
        <v>5.5552513038057923E-2</v>
      </c>
      <c r="X232" s="231">
        <f t="shared" ca="1" si="799"/>
        <v>0.11110502607611585</v>
      </c>
      <c r="Y232" s="232">
        <f t="shared" ca="1" si="800"/>
        <v>0.16665753911417377</v>
      </c>
      <c r="Z232" s="231">
        <f t="shared" ca="1" si="820"/>
        <v>5.5552513038057923E-2</v>
      </c>
      <c r="AA232" s="231">
        <f t="shared" ca="1" si="821"/>
        <v>0.11110502607611585</v>
      </c>
      <c r="AB232" s="232">
        <f t="shared" ca="1" si="822"/>
        <v>0.16665753911417377</v>
      </c>
      <c r="AC232" s="231">
        <f t="shared" ca="1" si="823"/>
        <v>5.5552513038057923E-2</v>
      </c>
      <c r="AD232" s="231">
        <f t="shared" ca="1" si="824"/>
        <v>0.11110502607611585</v>
      </c>
      <c r="AE232" s="232">
        <f t="shared" ca="1" si="630"/>
        <v>0.16665753911417377</v>
      </c>
      <c r="AF232" s="231">
        <f t="shared" ca="1" si="801"/>
        <v>2.0854059925710981E-2</v>
      </c>
      <c r="AG232" s="231">
        <f t="shared" ca="1" si="802"/>
        <v>4.1708119851421963E-2</v>
      </c>
      <c r="AH232" s="232">
        <f t="shared" ca="1" si="803"/>
        <v>6.2562179777132937E-2</v>
      </c>
      <c r="AI232" s="233">
        <f t="shared" ca="1" si="631"/>
        <v>1</v>
      </c>
      <c r="AJ232" s="233">
        <f t="shared" ca="1" si="632"/>
        <v>1.25</v>
      </c>
      <c r="AK232" s="234">
        <f t="shared" ca="1" si="633"/>
        <v>1.55</v>
      </c>
      <c r="AL232" s="919">
        <f t="shared" ca="1" si="634"/>
        <v>1</v>
      </c>
      <c r="AM232" s="233">
        <f t="shared" ca="1" si="635"/>
        <v>1.25</v>
      </c>
      <c r="AN232" s="234">
        <f t="shared" ca="1" si="636"/>
        <v>1.55</v>
      </c>
      <c r="AO232" s="233">
        <f t="shared" ca="1" si="637"/>
        <v>1</v>
      </c>
      <c r="AP232" s="233">
        <f t="shared" ca="1" si="638"/>
        <v>1.25</v>
      </c>
      <c r="AQ232" s="233">
        <f t="shared" ca="1" si="639"/>
        <v>1.55</v>
      </c>
      <c r="AR232" s="919">
        <f t="shared" ca="1" si="640"/>
        <v>0.19999999999999998</v>
      </c>
      <c r="AS232" s="233">
        <f t="shared" ca="1" si="641"/>
        <v>0.35</v>
      </c>
      <c r="AT232" s="235">
        <f t="shared" ca="1" si="642"/>
        <v>0.55000000000000004</v>
      </c>
      <c r="AU232" s="946">
        <f t="shared" si="643"/>
        <v>0.5</v>
      </c>
      <c r="AV232" s="13">
        <f t="shared" ca="1" si="644"/>
        <v>0</v>
      </c>
      <c r="AW232" s="210">
        <f t="shared" ca="1" si="645"/>
        <v>0</v>
      </c>
      <c r="AX232" s="210">
        <f t="shared" ca="1" si="646"/>
        <v>0</v>
      </c>
      <c r="AY232" s="210">
        <f t="shared" ca="1" si="647"/>
        <v>0</v>
      </c>
      <c r="AZ232" s="13">
        <f t="shared" ca="1" si="648"/>
        <v>0</v>
      </c>
      <c r="BA232" s="357">
        <f ca="1"/>
        <v>0</v>
      </c>
      <c r="BB232" s="925">
        <f ca="1"/>
        <v>0</v>
      </c>
      <c r="BC232" s="925">
        <f ca="1"/>
        <v>0</v>
      </c>
      <c r="BD232" s="928">
        <f ca="1"/>
        <v>0</v>
      </c>
      <c r="BE232" s="200">
        <f ca="1"/>
        <v>0</v>
      </c>
      <c r="BF232" s="851">
        <f ca="1"/>
        <v>0</v>
      </c>
      <c r="BG232" s="851">
        <f ca="1"/>
        <v>0</v>
      </c>
      <c r="BH232" s="933">
        <f ca="1"/>
        <v>0</v>
      </c>
      <c r="BI232" s="357">
        <f ca="1"/>
        <v>0</v>
      </c>
      <c r="BJ232" s="925">
        <f ca="1"/>
        <v>0</v>
      </c>
      <c r="BK232" s="925">
        <f ca="1"/>
        <v>0</v>
      </c>
      <c r="BL232" s="928">
        <f ca="1"/>
        <v>0</v>
      </c>
      <c r="BM232" s="200">
        <f ca="1"/>
        <v>0</v>
      </c>
      <c r="BN232" s="851">
        <f ca="1"/>
        <v>0</v>
      </c>
      <c r="BO232" s="851">
        <f ca="1"/>
        <v>0</v>
      </c>
      <c r="BP232" s="933">
        <f ca="1"/>
        <v>0</v>
      </c>
      <c r="BQ232" s="357">
        <f t="shared" ca="1" si="649"/>
        <v>0</v>
      </c>
      <c r="BR232" s="361">
        <f t="shared" ca="1" si="650"/>
        <v>0</v>
      </c>
      <c r="BS232" s="357">
        <f t="shared" ca="1" si="651"/>
        <v>0</v>
      </c>
      <c r="BT232" s="302">
        <f t="shared" ca="1" si="652"/>
        <v>0</v>
      </c>
      <c r="BU232" s="299">
        <f t="shared" ca="1" si="653"/>
        <v>0</v>
      </c>
      <c r="BV232" s="299">
        <f t="shared" ca="1" si="654"/>
        <v>0</v>
      </c>
      <c r="BW232" s="299">
        <f t="shared" ca="1" si="655"/>
        <v>0</v>
      </c>
      <c r="BX232" s="380">
        <f t="shared" ca="1" si="656"/>
        <v>17.995893223819301</v>
      </c>
      <c r="BY232" s="363">
        <f t="shared" ca="1" si="657"/>
        <v>0</v>
      </c>
      <c r="BZ232" s="353">
        <f t="shared" ca="1" si="658"/>
        <v>0</v>
      </c>
      <c r="CA232" s="353">
        <f t="shared" ca="1" si="659"/>
        <v>0</v>
      </c>
      <c r="CB232" s="353">
        <f t="shared" ca="1" si="660"/>
        <v>0</v>
      </c>
      <c r="CC232" s="353">
        <f t="shared" ca="1" si="661"/>
        <v>0</v>
      </c>
      <c r="CD232" s="353">
        <f t="shared" ca="1" si="662"/>
        <v>0</v>
      </c>
      <c r="CE232" s="302">
        <f t="shared" ca="1" si="663"/>
        <v>0</v>
      </c>
      <c r="CF232" s="299">
        <f t="shared" ca="1" si="664"/>
        <v>0</v>
      </c>
      <c r="CG232" s="299">
        <f t="shared" ca="1" si="665"/>
        <v>0</v>
      </c>
      <c r="CH232" s="299">
        <f t="shared" ca="1" si="666"/>
        <v>0</v>
      </c>
      <c r="CI232" s="299">
        <f t="shared" ca="1" si="667"/>
        <v>0</v>
      </c>
      <c r="CJ232" s="299">
        <f t="shared" ca="1" si="668"/>
        <v>0</v>
      </c>
      <c r="CK232" s="299">
        <f t="shared" ca="1" si="669"/>
        <v>0</v>
      </c>
      <c r="CL232" s="377" t="str">
        <f t="shared" ca="1" si="670"/>
        <v/>
      </c>
      <c r="CM232" s="305" t="str">
        <f t="shared" ca="1" si="671"/>
        <v/>
      </c>
      <c r="CN232" s="305" t="str">
        <f t="shared" ca="1" si="672"/>
        <v/>
      </c>
      <c r="CO232" s="305" t="str">
        <f t="shared" ca="1" si="673"/>
        <v/>
      </c>
      <c r="CP232" s="305" t="str">
        <f t="shared" ca="1" si="674"/>
        <v/>
      </c>
      <c r="CQ232" s="305" t="str">
        <f t="shared" ca="1" si="675"/>
        <v/>
      </c>
      <c r="CR232" s="775" t="str">
        <f t="shared" ca="1" si="676"/>
        <v/>
      </c>
      <c r="CS232" s="305" t="str">
        <f t="shared" ca="1" si="677"/>
        <v/>
      </c>
      <c r="CT232" s="305" t="str">
        <f t="shared" ca="1" si="678"/>
        <v/>
      </c>
      <c r="CU232" s="305" t="str">
        <f t="shared" ca="1" si="679"/>
        <v/>
      </c>
      <c r="CV232" s="770" t="str">
        <f t="shared" ca="1" si="680"/>
        <v/>
      </c>
      <c r="CW232" s="302">
        <f t="shared" ca="1" si="681"/>
        <v>0</v>
      </c>
      <c r="CX232" s="299">
        <f t="shared" ca="1" si="682"/>
        <v>0</v>
      </c>
      <c r="CY232" s="299">
        <f t="shared" ca="1" si="683"/>
        <v>0</v>
      </c>
      <c r="CZ232" s="299">
        <f t="shared" ca="1" si="684"/>
        <v>0</v>
      </c>
      <c r="DA232" s="774">
        <f t="shared" ca="1" si="685"/>
        <v>0</v>
      </c>
      <c r="DB232" s="303">
        <f t="shared" ca="1" si="686"/>
        <v>0</v>
      </c>
      <c r="DC232" s="248">
        <f t="shared" ca="1" si="687"/>
        <v>0</v>
      </c>
      <c r="DD232" s="778">
        <f t="shared" ca="1" si="688"/>
        <v>0</v>
      </c>
      <c r="DE232" s="363">
        <f t="shared" ca="1" si="689"/>
        <v>0</v>
      </c>
      <c r="DF232" s="378" t="str">
        <f t="shared" ca="1" si="690"/>
        <v/>
      </c>
      <c r="DG232" s="508" t="str">
        <f t="shared" ca="1" si="691"/>
        <v/>
      </c>
      <c r="DH232" s="508" t="str">
        <f t="shared" ca="1" si="692"/>
        <v/>
      </c>
      <c r="DI232" s="508" t="str">
        <f t="shared" ca="1" si="693"/>
        <v/>
      </c>
      <c r="DJ232" s="508" t="str">
        <f t="shared" ca="1" si="694"/>
        <v/>
      </c>
      <c r="DK232" s="353">
        <f t="shared" ca="1" si="695"/>
        <v>0</v>
      </c>
      <c r="DL232" s="781">
        <f t="shared" ca="1" si="696"/>
        <v>0</v>
      </c>
      <c r="DM232" s="303">
        <f t="shared" ca="1" si="697"/>
        <v>0</v>
      </c>
      <c r="DN232" s="508" t="str">
        <f t="shared" ca="1" si="698"/>
        <v/>
      </c>
      <c r="DO232" s="508" t="str">
        <f t="shared" ca="1" si="699"/>
        <v/>
      </c>
      <c r="DP232" s="508" t="str">
        <f t="shared" ca="1" si="700"/>
        <v/>
      </c>
      <c r="DQ232" s="508" t="str">
        <f t="shared" ca="1" si="701"/>
        <v/>
      </c>
      <c r="DR232" s="508" t="str">
        <f t="shared" ca="1" si="702"/>
        <v/>
      </c>
      <c r="DS232" s="353">
        <f t="shared" ca="1" si="703"/>
        <v>0</v>
      </c>
      <c r="DT232" s="353">
        <f t="shared" ca="1" si="704"/>
        <v>0</v>
      </c>
      <c r="DU232" s="380">
        <f t="shared" ca="1" si="804"/>
        <v>17.995893223819301</v>
      </c>
      <c r="DV232" s="303">
        <f t="shared" ca="1" si="705"/>
        <v>0</v>
      </c>
      <c r="DW232" s="303">
        <f t="shared" ca="1" si="706"/>
        <v>0</v>
      </c>
      <c r="DX232" s="303">
        <f t="shared" ca="1" si="707"/>
        <v>0</v>
      </c>
      <c r="DY232" s="303">
        <f t="shared" ca="1" si="708"/>
        <v>0</v>
      </c>
      <c r="DZ232" s="303">
        <f t="shared" ca="1" si="709"/>
        <v>0</v>
      </c>
      <c r="EA232" s="303">
        <f t="shared" ca="1" si="710"/>
        <v>0</v>
      </c>
      <c r="EB232" s="302">
        <f t="shared" ca="1" si="711"/>
        <v>0</v>
      </c>
      <c r="EC232" s="299">
        <f t="shared" ca="1" si="712"/>
        <v>0</v>
      </c>
      <c r="ED232" s="299">
        <f t="shared" ca="1" si="713"/>
        <v>0</v>
      </c>
      <c r="EE232" s="299">
        <f t="shared" ca="1" si="714"/>
        <v>0</v>
      </c>
      <c r="EF232" s="299">
        <f t="shared" ca="1" si="715"/>
        <v>0</v>
      </c>
      <c r="EG232" s="299">
        <f t="shared" ca="1" si="716"/>
        <v>0</v>
      </c>
      <c r="EH232" s="302">
        <f t="shared" ca="1" si="717"/>
        <v>0</v>
      </c>
      <c r="EI232" s="304" t="str">
        <f t="shared" ca="1" si="718"/>
        <v/>
      </c>
      <c r="EJ232" s="305" t="str">
        <f t="shared" ca="1" si="719"/>
        <v/>
      </c>
      <c r="EK232" s="305" t="str">
        <f t="shared" ca="1" si="720"/>
        <v/>
      </c>
      <c r="EL232" s="305" t="str">
        <f t="shared" ca="1" si="721"/>
        <v/>
      </c>
      <c r="EM232" s="305" t="str">
        <f t="shared" ca="1" si="722"/>
        <v/>
      </c>
      <c r="EN232" s="305" t="str">
        <f t="shared" ca="1" si="723"/>
        <v/>
      </c>
      <c r="EO232" s="305" t="str">
        <f t="shared" ca="1" si="724"/>
        <v/>
      </c>
      <c r="EP232" s="305" t="str">
        <f t="shared" ca="1" si="725"/>
        <v/>
      </c>
      <c r="EQ232" s="305" t="str">
        <f t="shared" ca="1" si="726"/>
        <v/>
      </c>
      <c r="ER232" s="305" t="str">
        <f t="shared" ca="1" si="727"/>
        <v/>
      </c>
      <c r="ES232" s="305" t="str">
        <f t="shared" ca="1" si="728"/>
        <v/>
      </c>
      <c r="ET232" s="299">
        <f t="shared" ca="1" si="729"/>
        <v>0</v>
      </c>
      <c r="EU232" s="302">
        <f t="shared" ca="1" si="730"/>
        <v>0</v>
      </c>
      <c r="EV232" s="304" t="str">
        <f t="shared" ca="1" si="731"/>
        <v/>
      </c>
      <c r="EW232" s="305" t="str">
        <f t="shared" ca="1" si="732"/>
        <v/>
      </c>
      <c r="EX232" s="305" t="str">
        <f t="shared" ca="1" si="733"/>
        <v/>
      </c>
      <c r="EY232" s="305" t="str">
        <f t="shared" ca="1" si="734"/>
        <v/>
      </c>
      <c r="EZ232" s="305" t="str">
        <f t="shared" ca="1" si="735"/>
        <v/>
      </c>
      <c r="FA232" s="305" t="str">
        <f t="shared" ca="1" si="736"/>
        <v/>
      </c>
      <c r="FB232" s="305" t="str">
        <f t="shared" ca="1" si="737"/>
        <v/>
      </c>
      <c r="FC232" s="305" t="str">
        <f t="shared" ca="1" si="738"/>
        <v/>
      </c>
      <c r="FD232" s="305" t="str">
        <f t="shared" ca="1" si="739"/>
        <v/>
      </c>
      <c r="FE232" s="305" t="str">
        <f t="shared" ca="1" si="740"/>
        <v/>
      </c>
      <c r="FF232" s="305" t="str">
        <f t="shared" ca="1" si="741"/>
        <v/>
      </c>
      <c r="FG232" s="299">
        <f t="shared" ca="1" si="742"/>
        <v>0</v>
      </c>
      <c r="FH232" s="302">
        <f t="shared" ca="1" si="743"/>
        <v>0</v>
      </c>
      <c r="FI232" s="248">
        <f t="shared" ca="1" si="744"/>
        <v>0</v>
      </c>
      <c r="FJ232" s="363">
        <f t="shared" ca="1" si="745"/>
        <v>0</v>
      </c>
      <c r="FK232" s="378" t="str">
        <f t="shared" ca="1" si="746"/>
        <v/>
      </c>
      <c r="FL232" s="508" t="str">
        <f t="shared" ca="1" si="747"/>
        <v/>
      </c>
      <c r="FM232" s="508" t="str">
        <f t="shared" ca="1" si="748"/>
        <v/>
      </c>
      <c r="FN232" s="508" t="str">
        <f t="shared" ca="1" si="749"/>
        <v/>
      </c>
      <c r="FO232" s="508" t="str">
        <f t="shared" ca="1" si="750"/>
        <v/>
      </c>
      <c r="FP232" s="353">
        <f t="shared" ca="1" si="751"/>
        <v>0</v>
      </c>
      <c r="FQ232" s="356">
        <f t="shared" ca="1" si="752"/>
        <v>0</v>
      </c>
      <c r="FR232" s="380">
        <f t="shared" ca="1" si="753"/>
        <v>0</v>
      </c>
      <c r="FS232" s="299">
        <f t="shared" ca="1" si="754"/>
        <v>0</v>
      </c>
      <c r="FT232" s="299">
        <f t="shared" ca="1" si="755"/>
        <v>0</v>
      </c>
      <c r="FU232" s="299">
        <f t="shared" ca="1" si="756"/>
        <v>0</v>
      </c>
      <c r="FV232" s="299">
        <f t="shared" ca="1" si="757"/>
        <v>0</v>
      </c>
      <c r="FW232" s="850" t="str">
        <f t="shared" ca="1" si="758"/>
        <v/>
      </c>
      <c r="FX232" s="851" t="str">
        <f t="shared" ca="1" si="759"/>
        <v/>
      </c>
      <c r="FY232" s="851" t="str">
        <f t="shared" ca="1" si="760"/>
        <v/>
      </c>
      <c r="FZ232" s="201" t="str">
        <f t="shared" ca="1" si="761"/>
        <v/>
      </c>
      <c r="GA232" s="201" t="str">
        <f t="shared" ca="1" si="762"/>
        <v/>
      </c>
      <c r="GB232" s="201" t="str">
        <f t="shared" ca="1" si="763"/>
        <v/>
      </c>
      <c r="GC232" s="201" t="str">
        <f t="shared" ca="1" si="764"/>
        <v/>
      </c>
      <c r="GD232" s="850" t="str">
        <f t="shared" ca="1" si="765"/>
        <v/>
      </c>
      <c r="GE232" s="866" t="str">
        <f t="shared" ca="1" si="766"/>
        <v/>
      </c>
      <c r="GF232" s="866" t="str">
        <f t="shared" ca="1" si="767"/>
        <v/>
      </c>
      <c r="GG232" s="866" t="str">
        <f t="shared" ca="1" si="768"/>
        <v/>
      </c>
      <c r="GH232" s="866" t="str">
        <f t="shared" ca="1" si="769"/>
        <v/>
      </c>
      <c r="GI232" s="302">
        <f t="shared" ca="1" si="770"/>
        <v>0</v>
      </c>
      <c r="GJ232" s="299">
        <f t="shared" ca="1" si="771"/>
        <v>0</v>
      </c>
      <c r="GK232" s="299">
        <f t="shared" ca="1" si="772"/>
        <v>0</v>
      </c>
      <c r="GL232" s="299">
        <f t="shared" ca="1" si="773"/>
        <v>0</v>
      </c>
      <c r="GM232" s="299">
        <f t="shared" ca="1" si="774"/>
        <v>0</v>
      </c>
      <c r="GN232" s="302">
        <f t="shared" ca="1" si="775"/>
        <v>0</v>
      </c>
      <c r="GO232" s="299">
        <f t="shared" ca="1" si="776"/>
        <v>0</v>
      </c>
      <c r="GP232" s="299">
        <f t="shared" ca="1" si="777"/>
        <v>0</v>
      </c>
      <c r="GQ232" s="299">
        <f t="shared" ca="1" si="778"/>
        <v>0</v>
      </c>
      <c r="GR232" s="299">
        <f t="shared" ca="1" si="779"/>
        <v>0</v>
      </c>
      <c r="GS232" s="302">
        <f t="shared" ca="1" si="780"/>
        <v>0</v>
      </c>
      <c r="GT232" s="299">
        <f t="shared" ca="1" si="781"/>
        <v>0</v>
      </c>
      <c r="GU232" s="299">
        <f t="shared" ca="1" si="782"/>
        <v>0</v>
      </c>
      <c r="GV232" s="299">
        <f t="shared" ca="1" si="783"/>
        <v>0</v>
      </c>
      <c r="GW232" s="299">
        <f t="shared" ca="1" si="784"/>
        <v>0</v>
      </c>
      <c r="GX232" s="303">
        <f t="shared" ca="1" si="785"/>
        <v>0</v>
      </c>
      <c r="GY232" s="303">
        <f t="shared" ca="1" si="786"/>
        <v>0</v>
      </c>
      <c r="GZ232" s="303">
        <f t="shared" ca="1" si="787"/>
        <v>0</v>
      </c>
      <c r="HA232" s="303">
        <f t="shared" ca="1" si="788"/>
        <v>0</v>
      </c>
      <c r="HB232" s="303">
        <f t="shared" ca="1" si="789"/>
        <v>0</v>
      </c>
      <c r="HC232" s="303">
        <f t="shared" ca="1" si="790"/>
        <v>0</v>
      </c>
      <c r="HD232" s="303">
        <f t="shared" ca="1" si="791"/>
        <v>0</v>
      </c>
      <c r="HE232" s="303">
        <f t="shared" ca="1" si="792"/>
        <v>0</v>
      </c>
      <c r="HF232" s="303">
        <f t="shared" ca="1" si="793"/>
        <v>0</v>
      </c>
      <c r="HG232" s="852">
        <f t="shared" ca="1" si="794"/>
        <v>0</v>
      </c>
    </row>
    <row r="233" spans="1:215" x14ac:dyDescent="0.25">
      <c r="A233" s="244">
        <f t="shared" ca="1" si="795"/>
        <v>43191</v>
      </c>
      <c r="B233" s="13">
        <f t="shared" ca="1" si="817"/>
        <v>2018</v>
      </c>
      <c r="C233" s="619">
        <f t="shared" ca="1" si="818"/>
        <v>4</v>
      </c>
      <c r="D233" s="195" t="str">
        <f t="shared" ca="1" si="625"/>
        <v/>
      </c>
      <c r="E233" s="469" t="str">
        <f t="shared" ca="1" si="626"/>
        <v/>
      </c>
      <c r="F233" s="465" t="str">
        <f t="shared" ca="1" si="627"/>
        <v/>
      </c>
      <c r="G233" s="522">
        <f t="shared" ca="1" si="796"/>
        <v>1</v>
      </c>
      <c r="H233" s="519">
        <f t="shared" ca="1" si="797"/>
        <v>1</v>
      </c>
      <c r="I233" s="724">
        <f t="shared" ca="1" si="819"/>
        <v>7.4176609174553002E-2</v>
      </c>
      <c r="J233" s="198">
        <f t="shared" ca="1" si="629"/>
        <v>0.26535984360056641</v>
      </c>
      <c r="K233" s="200">
        <f t="shared" ca="1" si="805"/>
        <v>33.799999999999997</v>
      </c>
      <c r="L233" s="201">
        <f t="shared" ca="1" si="806"/>
        <v>34.85</v>
      </c>
      <c r="M233" s="206">
        <f t="shared" ca="1" si="807"/>
        <v>35.9</v>
      </c>
      <c r="N233" s="851">
        <f t="shared" ca="1" si="811"/>
        <v>23.730000305175768</v>
      </c>
      <c r="O233" s="201">
        <f t="shared" ca="1" si="812"/>
        <v>24.517500305175769</v>
      </c>
      <c r="P233" s="206">
        <f t="shared" ca="1" si="813"/>
        <v>25.305000305175771</v>
      </c>
      <c r="Q233" s="201">
        <f t="shared" ca="1" si="814"/>
        <v>18.934999084472643</v>
      </c>
      <c r="R233" s="201">
        <f t="shared" ca="1" si="815"/>
        <v>23.234999084472644</v>
      </c>
      <c r="S233" s="201">
        <f t="shared" ca="1" si="816"/>
        <v>27.534999084472645</v>
      </c>
      <c r="T233" s="851">
        <f t="shared" ca="1" si="808"/>
        <v>21.074997711181634</v>
      </c>
      <c r="U233" s="201">
        <f t="shared" ca="1" si="809"/>
        <v>21.599997711181633</v>
      </c>
      <c r="V233" s="206">
        <f t="shared" ca="1" si="810"/>
        <v>22.124997711181631</v>
      </c>
      <c r="W233" s="230">
        <f t="shared" ca="1" si="798"/>
        <v>4.9578618748613919E-2</v>
      </c>
      <c r="X233" s="231">
        <f t="shared" ca="1" si="799"/>
        <v>9.9157237497227838E-2</v>
      </c>
      <c r="Y233" s="232">
        <f t="shared" ca="1" si="800"/>
        <v>0.14873585624584176</v>
      </c>
      <c r="Z233" s="231">
        <f t="shared" ca="1" si="820"/>
        <v>4.9578618748613919E-2</v>
      </c>
      <c r="AA233" s="231">
        <f t="shared" ca="1" si="821"/>
        <v>9.9157237497227838E-2</v>
      </c>
      <c r="AB233" s="232">
        <f t="shared" ca="1" si="822"/>
        <v>0.14873585624584176</v>
      </c>
      <c r="AC233" s="231">
        <f t="shared" ca="1" si="823"/>
        <v>4.9578618748613919E-2</v>
      </c>
      <c r="AD233" s="231">
        <f t="shared" ca="1" si="824"/>
        <v>9.9157237497227838E-2</v>
      </c>
      <c r="AE233" s="232">
        <f t="shared" ca="1" si="630"/>
        <v>0.14873585624584176</v>
      </c>
      <c r="AF233" s="231">
        <f t="shared" ca="1" si="801"/>
        <v>2.0854059925710981E-2</v>
      </c>
      <c r="AG233" s="231">
        <f t="shared" ca="1" si="802"/>
        <v>4.1708119851421963E-2</v>
      </c>
      <c r="AH233" s="232">
        <f t="shared" ca="1" si="803"/>
        <v>6.2562179777132937E-2</v>
      </c>
      <c r="AI233" s="233">
        <f t="shared" ca="1" si="631"/>
        <v>1</v>
      </c>
      <c r="AJ233" s="233">
        <f t="shared" ca="1" si="632"/>
        <v>1.25</v>
      </c>
      <c r="AK233" s="234">
        <f t="shared" ca="1" si="633"/>
        <v>1.55</v>
      </c>
      <c r="AL233" s="919">
        <f t="shared" ca="1" si="634"/>
        <v>1</v>
      </c>
      <c r="AM233" s="233">
        <f t="shared" ca="1" si="635"/>
        <v>1.25</v>
      </c>
      <c r="AN233" s="234">
        <f t="shared" ca="1" si="636"/>
        <v>1.55</v>
      </c>
      <c r="AO233" s="233">
        <f t="shared" ca="1" si="637"/>
        <v>1</v>
      </c>
      <c r="AP233" s="233">
        <f t="shared" ca="1" si="638"/>
        <v>1.25</v>
      </c>
      <c r="AQ233" s="233">
        <f t="shared" ca="1" si="639"/>
        <v>1.55</v>
      </c>
      <c r="AR233" s="919">
        <f t="shared" ca="1" si="640"/>
        <v>0.19999999999999998</v>
      </c>
      <c r="AS233" s="233">
        <f t="shared" ca="1" si="641"/>
        <v>0.35</v>
      </c>
      <c r="AT233" s="235">
        <f t="shared" ca="1" si="642"/>
        <v>0.55000000000000004</v>
      </c>
      <c r="AU233" s="946">
        <f t="shared" si="643"/>
        <v>0.5</v>
      </c>
      <c r="AV233" s="13">
        <f t="shared" ca="1" si="644"/>
        <v>0</v>
      </c>
      <c r="AW233" s="210">
        <f t="shared" ca="1" si="645"/>
        <v>0</v>
      </c>
      <c r="AX233" s="210">
        <f t="shared" ca="1" si="646"/>
        <v>0</v>
      </c>
      <c r="AY233" s="210">
        <f t="shared" ca="1" si="647"/>
        <v>0</v>
      </c>
      <c r="AZ233" s="13">
        <f t="shared" ca="1" si="648"/>
        <v>0</v>
      </c>
      <c r="BA233" s="357">
        <f ca="1"/>
        <v>0</v>
      </c>
      <c r="BB233" s="925">
        <f ca="1"/>
        <v>0</v>
      </c>
      <c r="BC233" s="925">
        <f ca="1"/>
        <v>0</v>
      </c>
      <c r="BD233" s="928">
        <f ca="1"/>
        <v>0</v>
      </c>
      <c r="BE233" s="200">
        <f ca="1"/>
        <v>0</v>
      </c>
      <c r="BF233" s="851">
        <f ca="1"/>
        <v>0</v>
      </c>
      <c r="BG233" s="851">
        <f ca="1"/>
        <v>0</v>
      </c>
      <c r="BH233" s="933">
        <f ca="1"/>
        <v>0</v>
      </c>
      <c r="BI233" s="357">
        <f ca="1"/>
        <v>0</v>
      </c>
      <c r="BJ233" s="925">
        <f ca="1"/>
        <v>0</v>
      </c>
      <c r="BK233" s="925">
        <f ca="1"/>
        <v>0</v>
      </c>
      <c r="BL233" s="928">
        <f ca="1"/>
        <v>0</v>
      </c>
      <c r="BM233" s="200">
        <f ca="1"/>
        <v>0</v>
      </c>
      <c r="BN233" s="851">
        <f ca="1"/>
        <v>0</v>
      </c>
      <c r="BO233" s="851">
        <f ca="1"/>
        <v>0</v>
      </c>
      <c r="BP233" s="933">
        <f ca="1"/>
        <v>0</v>
      </c>
      <c r="BQ233" s="357">
        <f t="shared" ca="1" si="649"/>
        <v>0</v>
      </c>
      <c r="BR233" s="361">
        <f t="shared" ca="1" si="650"/>
        <v>0</v>
      </c>
      <c r="BS233" s="357">
        <f t="shared" ca="1" si="651"/>
        <v>0</v>
      </c>
      <c r="BT233" s="302">
        <f t="shared" ca="1" si="652"/>
        <v>0</v>
      </c>
      <c r="BU233" s="299">
        <f t="shared" ca="1" si="653"/>
        <v>0</v>
      </c>
      <c r="BV233" s="299">
        <f t="shared" ca="1" si="654"/>
        <v>0</v>
      </c>
      <c r="BW233" s="299">
        <f t="shared" ca="1" si="655"/>
        <v>0</v>
      </c>
      <c r="BX233" s="380">
        <f t="shared" ca="1" si="656"/>
        <v>18.080766598220396</v>
      </c>
      <c r="BY233" s="363">
        <f t="shared" ca="1" si="657"/>
        <v>0</v>
      </c>
      <c r="BZ233" s="353">
        <f t="shared" ca="1" si="658"/>
        <v>0</v>
      </c>
      <c r="CA233" s="353">
        <f t="shared" ca="1" si="659"/>
        <v>0</v>
      </c>
      <c r="CB233" s="353">
        <f t="shared" ca="1" si="660"/>
        <v>0</v>
      </c>
      <c r="CC233" s="353">
        <f t="shared" ca="1" si="661"/>
        <v>0</v>
      </c>
      <c r="CD233" s="353">
        <f t="shared" ca="1" si="662"/>
        <v>0</v>
      </c>
      <c r="CE233" s="302">
        <f t="shared" ca="1" si="663"/>
        <v>0</v>
      </c>
      <c r="CF233" s="299">
        <f t="shared" ca="1" si="664"/>
        <v>0</v>
      </c>
      <c r="CG233" s="299">
        <f t="shared" ca="1" si="665"/>
        <v>0</v>
      </c>
      <c r="CH233" s="299">
        <f t="shared" ca="1" si="666"/>
        <v>0</v>
      </c>
      <c r="CI233" s="299">
        <f t="shared" ca="1" si="667"/>
        <v>0</v>
      </c>
      <c r="CJ233" s="299">
        <f t="shared" ca="1" si="668"/>
        <v>0</v>
      </c>
      <c r="CK233" s="299">
        <f t="shared" ca="1" si="669"/>
        <v>0</v>
      </c>
      <c r="CL233" s="377" t="str">
        <f t="shared" ca="1" si="670"/>
        <v/>
      </c>
      <c r="CM233" s="305" t="str">
        <f t="shared" ca="1" si="671"/>
        <v/>
      </c>
      <c r="CN233" s="305" t="str">
        <f t="shared" ca="1" si="672"/>
        <v/>
      </c>
      <c r="CO233" s="305" t="str">
        <f t="shared" ca="1" si="673"/>
        <v/>
      </c>
      <c r="CP233" s="305" t="str">
        <f t="shared" ca="1" si="674"/>
        <v/>
      </c>
      <c r="CQ233" s="305" t="str">
        <f t="shared" ca="1" si="675"/>
        <v/>
      </c>
      <c r="CR233" s="775" t="str">
        <f t="shared" ca="1" si="676"/>
        <v/>
      </c>
      <c r="CS233" s="305" t="str">
        <f t="shared" ca="1" si="677"/>
        <v/>
      </c>
      <c r="CT233" s="305" t="str">
        <f t="shared" ca="1" si="678"/>
        <v/>
      </c>
      <c r="CU233" s="305" t="str">
        <f t="shared" ca="1" si="679"/>
        <v/>
      </c>
      <c r="CV233" s="770" t="str">
        <f t="shared" ca="1" si="680"/>
        <v/>
      </c>
      <c r="CW233" s="302">
        <f t="shared" ca="1" si="681"/>
        <v>0</v>
      </c>
      <c r="CX233" s="299">
        <f t="shared" ca="1" si="682"/>
        <v>0</v>
      </c>
      <c r="CY233" s="299">
        <f t="shared" ca="1" si="683"/>
        <v>0</v>
      </c>
      <c r="CZ233" s="299">
        <f t="shared" ca="1" si="684"/>
        <v>0</v>
      </c>
      <c r="DA233" s="774">
        <f t="shared" ca="1" si="685"/>
        <v>0</v>
      </c>
      <c r="DB233" s="303">
        <f t="shared" ca="1" si="686"/>
        <v>0</v>
      </c>
      <c r="DC233" s="248">
        <f t="shared" ca="1" si="687"/>
        <v>0</v>
      </c>
      <c r="DD233" s="778">
        <f t="shared" ca="1" si="688"/>
        <v>0</v>
      </c>
      <c r="DE233" s="363">
        <f t="shared" ca="1" si="689"/>
        <v>0</v>
      </c>
      <c r="DF233" s="378" t="str">
        <f t="shared" ca="1" si="690"/>
        <v/>
      </c>
      <c r="DG233" s="508" t="str">
        <f t="shared" ca="1" si="691"/>
        <v/>
      </c>
      <c r="DH233" s="508" t="str">
        <f t="shared" ca="1" si="692"/>
        <v/>
      </c>
      <c r="DI233" s="508" t="str">
        <f t="shared" ca="1" si="693"/>
        <v/>
      </c>
      <c r="DJ233" s="508" t="str">
        <f t="shared" ca="1" si="694"/>
        <v/>
      </c>
      <c r="DK233" s="353">
        <f t="shared" ca="1" si="695"/>
        <v>0</v>
      </c>
      <c r="DL233" s="781">
        <f t="shared" ca="1" si="696"/>
        <v>0</v>
      </c>
      <c r="DM233" s="303">
        <f t="shared" ca="1" si="697"/>
        <v>0</v>
      </c>
      <c r="DN233" s="508" t="str">
        <f t="shared" ca="1" si="698"/>
        <v/>
      </c>
      <c r="DO233" s="508" t="str">
        <f t="shared" ca="1" si="699"/>
        <v/>
      </c>
      <c r="DP233" s="508" t="str">
        <f t="shared" ca="1" si="700"/>
        <v/>
      </c>
      <c r="DQ233" s="508" t="str">
        <f t="shared" ca="1" si="701"/>
        <v/>
      </c>
      <c r="DR233" s="508" t="str">
        <f t="shared" ca="1" si="702"/>
        <v/>
      </c>
      <c r="DS233" s="353">
        <f t="shared" ca="1" si="703"/>
        <v>0</v>
      </c>
      <c r="DT233" s="353">
        <f t="shared" ca="1" si="704"/>
        <v>0</v>
      </c>
      <c r="DU233" s="380">
        <f t="shared" ca="1" si="804"/>
        <v>18.080766598220396</v>
      </c>
      <c r="DV233" s="303">
        <f t="shared" ca="1" si="705"/>
        <v>0</v>
      </c>
      <c r="DW233" s="303">
        <f t="shared" ca="1" si="706"/>
        <v>0</v>
      </c>
      <c r="DX233" s="303">
        <f t="shared" ca="1" si="707"/>
        <v>0</v>
      </c>
      <c r="DY233" s="303">
        <f t="shared" ca="1" si="708"/>
        <v>0</v>
      </c>
      <c r="DZ233" s="303">
        <f t="shared" ca="1" si="709"/>
        <v>0</v>
      </c>
      <c r="EA233" s="303">
        <f t="shared" ca="1" si="710"/>
        <v>0</v>
      </c>
      <c r="EB233" s="302">
        <f t="shared" ca="1" si="711"/>
        <v>0</v>
      </c>
      <c r="EC233" s="299">
        <f t="shared" ca="1" si="712"/>
        <v>0</v>
      </c>
      <c r="ED233" s="299">
        <f t="shared" ca="1" si="713"/>
        <v>0</v>
      </c>
      <c r="EE233" s="299">
        <f t="shared" ca="1" si="714"/>
        <v>0</v>
      </c>
      <c r="EF233" s="299">
        <f t="shared" ca="1" si="715"/>
        <v>0</v>
      </c>
      <c r="EG233" s="299">
        <f t="shared" ca="1" si="716"/>
        <v>0</v>
      </c>
      <c r="EH233" s="302">
        <f t="shared" ca="1" si="717"/>
        <v>0</v>
      </c>
      <c r="EI233" s="304" t="str">
        <f t="shared" ca="1" si="718"/>
        <v/>
      </c>
      <c r="EJ233" s="305" t="str">
        <f t="shared" ca="1" si="719"/>
        <v/>
      </c>
      <c r="EK233" s="305" t="str">
        <f t="shared" ca="1" si="720"/>
        <v/>
      </c>
      <c r="EL233" s="305" t="str">
        <f t="shared" ca="1" si="721"/>
        <v/>
      </c>
      <c r="EM233" s="305" t="str">
        <f t="shared" ca="1" si="722"/>
        <v/>
      </c>
      <c r="EN233" s="305" t="str">
        <f t="shared" ca="1" si="723"/>
        <v/>
      </c>
      <c r="EO233" s="305" t="str">
        <f t="shared" ca="1" si="724"/>
        <v/>
      </c>
      <c r="EP233" s="305" t="str">
        <f t="shared" ca="1" si="725"/>
        <v/>
      </c>
      <c r="EQ233" s="305" t="str">
        <f t="shared" ca="1" si="726"/>
        <v/>
      </c>
      <c r="ER233" s="305" t="str">
        <f t="shared" ca="1" si="727"/>
        <v/>
      </c>
      <c r="ES233" s="305" t="str">
        <f t="shared" ca="1" si="728"/>
        <v/>
      </c>
      <c r="ET233" s="299">
        <f t="shared" ca="1" si="729"/>
        <v>0</v>
      </c>
      <c r="EU233" s="302">
        <f t="shared" ca="1" si="730"/>
        <v>0</v>
      </c>
      <c r="EV233" s="304" t="str">
        <f t="shared" ca="1" si="731"/>
        <v/>
      </c>
      <c r="EW233" s="305" t="str">
        <f t="shared" ca="1" si="732"/>
        <v/>
      </c>
      <c r="EX233" s="305" t="str">
        <f t="shared" ca="1" si="733"/>
        <v/>
      </c>
      <c r="EY233" s="305" t="str">
        <f t="shared" ca="1" si="734"/>
        <v/>
      </c>
      <c r="EZ233" s="305" t="str">
        <f t="shared" ca="1" si="735"/>
        <v/>
      </c>
      <c r="FA233" s="305" t="str">
        <f t="shared" ca="1" si="736"/>
        <v/>
      </c>
      <c r="FB233" s="305" t="str">
        <f t="shared" ca="1" si="737"/>
        <v/>
      </c>
      <c r="FC233" s="305" t="str">
        <f t="shared" ca="1" si="738"/>
        <v/>
      </c>
      <c r="FD233" s="305" t="str">
        <f t="shared" ca="1" si="739"/>
        <v/>
      </c>
      <c r="FE233" s="305" t="str">
        <f t="shared" ca="1" si="740"/>
        <v/>
      </c>
      <c r="FF233" s="305" t="str">
        <f t="shared" ca="1" si="741"/>
        <v/>
      </c>
      <c r="FG233" s="299">
        <f t="shared" ca="1" si="742"/>
        <v>0</v>
      </c>
      <c r="FH233" s="302">
        <f t="shared" ca="1" si="743"/>
        <v>0</v>
      </c>
      <c r="FI233" s="248">
        <f t="shared" ca="1" si="744"/>
        <v>0</v>
      </c>
      <c r="FJ233" s="363">
        <f t="shared" ca="1" si="745"/>
        <v>0</v>
      </c>
      <c r="FK233" s="378" t="str">
        <f t="shared" ca="1" si="746"/>
        <v/>
      </c>
      <c r="FL233" s="508" t="str">
        <f t="shared" ca="1" si="747"/>
        <v/>
      </c>
      <c r="FM233" s="508" t="str">
        <f t="shared" ca="1" si="748"/>
        <v/>
      </c>
      <c r="FN233" s="508" t="str">
        <f t="shared" ca="1" si="749"/>
        <v/>
      </c>
      <c r="FO233" s="508" t="str">
        <f t="shared" ca="1" si="750"/>
        <v/>
      </c>
      <c r="FP233" s="353">
        <f t="shared" ca="1" si="751"/>
        <v>0</v>
      </c>
      <c r="FQ233" s="356">
        <f t="shared" ca="1" si="752"/>
        <v>0</v>
      </c>
      <c r="FR233" s="380">
        <f t="shared" ca="1" si="753"/>
        <v>0</v>
      </c>
      <c r="FS233" s="299">
        <f t="shared" ca="1" si="754"/>
        <v>0</v>
      </c>
      <c r="FT233" s="299">
        <f t="shared" ca="1" si="755"/>
        <v>0</v>
      </c>
      <c r="FU233" s="299">
        <f t="shared" ca="1" si="756"/>
        <v>0</v>
      </c>
      <c r="FV233" s="299">
        <f t="shared" ca="1" si="757"/>
        <v>0</v>
      </c>
      <c r="FW233" s="850" t="str">
        <f t="shared" ca="1" si="758"/>
        <v/>
      </c>
      <c r="FX233" s="851" t="str">
        <f t="shared" ca="1" si="759"/>
        <v/>
      </c>
      <c r="FY233" s="851" t="str">
        <f t="shared" ca="1" si="760"/>
        <v/>
      </c>
      <c r="FZ233" s="201" t="str">
        <f t="shared" ca="1" si="761"/>
        <v/>
      </c>
      <c r="GA233" s="201" t="str">
        <f t="shared" ca="1" si="762"/>
        <v/>
      </c>
      <c r="GB233" s="201" t="str">
        <f t="shared" ca="1" si="763"/>
        <v/>
      </c>
      <c r="GC233" s="201" t="str">
        <f t="shared" ca="1" si="764"/>
        <v/>
      </c>
      <c r="GD233" s="850" t="str">
        <f t="shared" ca="1" si="765"/>
        <v/>
      </c>
      <c r="GE233" s="866" t="str">
        <f t="shared" ca="1" si="766"/>
        <v/>
      </c>
      <c r="GF233" s="866" t="str">
        <f t="shared" ca="1" si="767"/>
        <v/>
      </c>
      <c r="GG233" s="866" t="str">
        <f t="shared" ca="1" si="768"/>
        <v/>
      </c>
      <c r="GH233" s="866" t="str">
        <f t="shared" ca="1" si="769"/>
        <v/>
      </c>
      <c r="GI233" s="302">
        <f t="shared" ca="1" si="770"/>
        <v>0</v>
      </c>
      <c r="GJ233" s="299">
        <f t="shared" ca="1" si="771"/>
        <v>0</v>
      </c>
      <c r="GK233" s="299">
        <f t="shared" ca="1" si="772"/>
        <v>0</v>
      </c>
      <c r="GL233" s="299">
        <f t="shared" ca="1" si="773"/>
        <v>0</v>
      </c>
      <c r="GM233" s="299">
        <f t="shared" ca="1" si="774"/>
        <v>0</v>
      </c>
      <c r="GN233" s="302">
        <f t="shared" ca="1" si="775"/>
        <v>0</v>
      </c>
      <c r="GO233" s="299">
        <f t="shared" ca="1" si="776"/>
        <v>0</v>
      </c>
      <c r="GP233" s="299">
        <f t="shared" ca="1" si="777"/>
        <v>0</v>
      </c>
      <c r="GQ233" s="299">
        <f t="shared" ca="1" si="778"/>
        <v>0</v>
      </c>
      <c r="GR233" s="299">
        <f t="shared" ca="1" si="779"/>
        <v>0</v>
      </c>
      <c r="GS233" s="302">
        <f t="shared" ca="1" si="780"/>
        <v>0</v>
      </c>
      <c r="GT233" s="299">
        <f t="shared" ca="1" si="781"/>
        <v>0</v>
      </c>
      <c r="GU233" s="299">
        <f t="shared" ca="1" si="782"/>
        <v>0</v>
      </c>
      <c r="GV233" s="299">
        <f t="shared" ca="1" si="783"/>
        <v>0</v>
      </c>
      <c r="GW233" s="299">
        <f t="shared" ca="1" si="784"/>
        <v>0</v>
      </c>
      <c r="GX233" s="303">
        <f t="shared" ca="1" si="785"/>
        <v>0</v>
      </c>
      <c r="GY233" s="303">
        <f t="shared" ca="1" si="786"/>
        <v>0</v>
      </c>
      <c r="GZ233" s="303">
        <f t="shared" ca="1" si="787"/>
        <v>0</v>
      </c>
      <c r="HA233" s="303">
        <f t="shared" ca="1" si="788"/>
        <v>0</v>
      </c>
      <c r="HB233" s="303">
        <f t="shared" ca="1" si="789"/>
        <v>0</v>
      </c>
      <c r="HC233" s="303">
        <f t="shared" ca="1" si="790"/>
        <v>0</v>
      </c>
      <c r="HD233" s="303">
        <f t="shared" ca="1" si="791"/>
        <v>0</v>
      </c>
      <c r="HE233" s="303">
        <f t="shared" ca="1" si="792"/>
        <v>0</v>
      </c>
      <c r="HF233" s="303">
        <f t="shared" ca="1" si="793"/>
        <v>0</v>
      </c>
      <c r="HG233" s="852">
        <f t="shared" ca="1" si="794"/>
        <v>0</v>
      </c>
    </row>
    <row r="234" spans="1:215" x14ac:dyDescent="0.25">
      <c r="A234" s="244">
        <f t="shared" ca="1" si="795"/>
        <v>43221</v>
      </c>
      <c r="B234" s="13">
        <f t="shared" ca="1" si="817"/>
        <v>2018</v>
      </c>
      <c r="C234" s="619">
        <f t="shared" ca="1" si="818"/>
        <v>5</v>
      </c>
      <c r="D234" s="195">
        <f t="shared" ca="1" si="625"/>
        <v>43248</v>
      </c>
      <c r="E234" s="469" t="str">
        <f t="shared" ca="1" si="626"/>
        <v/>
      </c>
      <c r="F234" s="465" t="str">
        <f t="shared" ca="1" si="627"/>
        <v/>
      </c>
      <c r="G234" s="522">
        <f t="shared" ca="1" si="796"/>
        <v>1</v>
      </c>
      <c r="H234" s="519">
        <f t="shared" ca="1" si="797"/>
        <v>1</v>
      </c>
      <c r="I234" s="724">
        <f t="shared" ca="1" si="819"/>
        <v>7.4176323963702009E-2</v>
      </c>
      <c r="J234" s="198">
        <f t="shared" ca="1" si="629"/>
        <v>0.26372586066379811</v>
      </c>
      <c r="K234" s="200">
        <f t="shared" ca="1" si="805"/>
        <v>36.17</v>
      </c>
      <c r="L234" s="201">
        <f t="shared" ca="1" si="806"/>
        <v>38.65</v>
      </c>
      <c r="M234" s="206">
        <f t="shared" ca="1" si="807"/>
        <v>41.13</v>
      </c>
      <c r="N234" s="851">
        <f t="shared" ca="1" si="811"/>
        <v>22.772500076293934</v>
      </c>
      <c r="O234" s="201">
        <f t="shared" ca="1" si="812"/>
        <v>24.632500076293933</v>
      </c>
      <c r="P234" s="206">
        <f t="shared" ca="1" si="813"/>
        <v>26.492500076293933</v>
      </c>
      <c r="Q234" s="201">
        <f t="shared" ca="1" si="814"/>
        <v>19.464999771118151</v>
      </c>
      <c r="R234" s="201">
        <f t="shared" ca="1" si="815"/>
        <v>23.764999771118152</v>
      </c>
      <c r="S234" s="201">
        <f t="shared" ca="1" si="816"/>
        <v>28.064999771118153</v>
      </c>
      <c r="T234" s="851">
        <f t="shared" ca="1" si="808"/>
        <v>20.359997711181634</v>
      </c>
      <c r="U234" s="201">
        <f t="shared" ca="1" si="809"/>
        <v>21.599997711181633</v>
      </c>
      <c r="V234" s="206">
        <f t="shared" ca="1" si="810"/>
        <v>22.839997711181631</v>
      </c>
      <c r="W234" s="230">
        <f t="shared" ca="1" si="798"/>
        <v>5.7104784782559113E-2</v>
      </c>
      <c r="X234" s="231">
        <f t="shared" ca="1" si="799"/>
        <v>0.11420956956511823</v>
      </c>
      <c r="Y234" s="232">
        <f t="shared" ca="1" si="800"/>
        <v>0.17131435434767733</v>
      </c>
      <c r="Z234" s="231">
        <f t="shared" ca="1" si="820"/>
        <v>5.7104784782559113E-2</v>
      </c>
      <c r="AA234" s="231">
        <f t="shared" ca="1" si="821"/>
        <v>0.11420956956511823</v>
      </c>
      <c r="AB234" s="232">
        <f t="shared" ca="1" si="822"/>
        <v>0.17131435434767733</v>
      </c>
      <c r="AC234" s="231">
        <f t="shared" ca="1" si="823"/>
        <v>5.7104784782559113E-2</v>
      </c>
      <c r="AD234" s="231">
        <f t="shared" ca="1" si="824"/>
        <v>0.11420956956511823</v>
      </c>
      <c r="AE234" s="232">
        <f t="shared" ca="1" si="630"/>
        <v>0.17131435434767733</v>
      </c>
      <c r="AF234" s="231">
        <f t="shared" ca="1" si="801"/>
        <v>2.4329736579996153E-2</v>
      </c>
      <c r="AG234" s="231">
        <f t="shared" ca="1" si="802"/>
        <v>4.8659473159992306E-2</v>
      </c>
      <c r="AH234" s="232">
        <f t="shared" ca="1" si="803"/>
        <v>7.2989209739988459E-2</v>
      </c>
      <c r="AI234" s="233">
        <f t="shared" ca="1" si="631"/>
        <v>1</v>
      </c>
      <c r="AJ234" s="233">
        <f t="shared" ca="1" si="632"/>
        <v>1.25</v>
      </c>
      <c r="AK234" s="234">
        <f t="shared" ca="1" si="633"/>
        <v>1.55</v>
      </c>
      <c r="AL234" s="919">
        <f t="shared" ca="1" si="634"/>
        <v>1</v>
      </c>
      <c r="AM234" s="233">
        <f t="shared" ca="1" si="635"/>
        <v>1.25</v>
      </c>
      <c r="AN234" s="234">
        <f t="shared" ca="1" si="636"/>
        <v>1.55</v>
      </c>
      <c r="AO234" s="233">
        <f t="shared" ca="1" si="637"/>
        <v>1</v>
      </c>
      <c r="AP234" s="233">
        <f t="shared" ca="1" si="638"/>
        <v>1.25</v>
      </c>
      <c r="AQ234" s="233">
        <f t="shared" ca="1" si="639"/>
        <v>1.55</v>
      </c>
      <c r="AR234" s="919">
        <f t="shared" ca="1" si="640"/>
        <v>0.35</v>
      </c>
      <c r="AS234" s="233">
        <f t="shared" ca="1" si="641"/>
        <v>0.5</v>
      </c>
      <c r="AT234" s="235">
        <f t="shared" ca="1" si="642"/>
        <v>0.7</v>
      </c>
      <c r="AU234" s="946">
        <f t="shared" si="643"/>
        <v>0.5</v>
      </c>
      <c r="AV234" s="13">
        <f t="shared" ca="1" si="644"/>
        <v>0</v>
      </c>
      <c r="AW234" s="210">
        <f t="shared" ca="1" si="645"/>
        <v>0</v>
      </c>
      <c r="AX234" s="210">
        <f t="shared" ca="1" si="646"/>
        <v>0</v>
      </c>
      <c r="AY234" s="210">
        <f t="shared" ca="1" si="647"/>
        <v>0</v>
      </c>
      <c r="AZ234" s="13">
        <f t="shared" ca="1" si="648"/>
        <v>0</v>
      </c>
      <c r="BA234" s="357">
        <f ca="1"/>
        <v>0</v>
      </c>
      <c r="BB234" s="925">
        <f ca="1"/>
        <v>0</v>
      </c>
      <c r="BC234" s="925">
        <f ca="1"/>
        <v>0</v>
      </c>
      <c r="BD234" s="928">
        <f ca="1"/>
        <v>0</v>
      </c>
      <c r="BE234" s="200">
        <f ca="1"/>
        <v>0</v>
      </c>
      <c r="BF234" s="851">
        <f ca="1"/>
        <v>0</v>
      </c>
      <c r="BG234" s="851">
        <f ca="1"/>
        <v>0</v>
      </c>
      <c r="BH234" s="933">
        <f ca="1"/>
        <v>0</v>
      </c>
      <c r="BI234" s="357">
        <f ca="1"/>
        <v>0</v>
      </c>
      <c r="BJ234" s="925">
        <f ca="1"/>
        <v>0</v>
      </c>
      <c r="BK234" s="925">
        <f ca="1"/>
        <v>0</v>
      </c>
      <c r="BL234" s="928">
        <f ca="1"/>
        <v>0</v>
      </c>
      <c r="BM234" s="200">
        <f ca="1"/>
        <v>0</v>
      </c>
      <c r="BN234" s="851">
        <f ca="1"/>
        <v>0</v>
      </c>
      <c r="BO234" s="851">
        <f ca="1"/>
        <v>0</v>
      </c>
      <c r="BP234" s="933">
        <f ca="1"/>
        <v>0</v>
      </c>
      <c r="BQ234" s="357">
        <f t="shared" ca="1" si="649"/>
        <v>0</v>
      </c>
      <c r="BR234" s="361">
        <f t="shared" ca="1" si="650"/>
        <v>0</v>
      </c>
      <c r="BS234" s="357">
        <f t="shared" ca="1" si="651"/>
        <v>0</v>
      </c>
      <c r="BT234" s="302">
        <f t="shared" ca="1" si="652"/>
        <v>0</v>
      </c>
      <c r="BU234" s="299">
        <f t="shared" ca="1" si="653"/>
        <v>0</v>
      </c>
      <c r="BV234" s="299">
        <f t="shared" ca="1" si="654"/>
        <v>0</v>
      </c>
      <c r="BW234" s="299">
        <f t="shared" ca="1" si="655"/>
        <v>0</v>
      </c>
      <c r="BX234" s="380">
        <f t="shared" ca="1" si="656"/>
        <v>18.16290212183436</v>
      </c>
      <c r="BY234" s="363">
        <f t="shared" ca="1" si="657"/>
        <v>0</v>
      </c>
      <c r="BZ234" s="353">
        <f t="shared" ca="1" si="658"/>
        <v>0</v>
      </c>
      <c r="CA234" s="353">
        <f t="shared" ca="1" si="659"/>
        <v>0</v>
      </c>
      <c r="CB234" s="353">
        <f t="shared" ca="1" si="660"/>
        <v>0</v>
      </c>
      <c r="CC234" s="353">
        <f t="shared" ca="1" si="661"/>
        <v>0</v>
      </c>
      <c r="CD234" s="353">
        <f t="shared" ca="1" si="662"/>
        <v>0</v>
      </c>
      <c r="CE234" s="302">
        <f t="shared" ca="1" si="663"/>
        <v>0</v>
      </c>
      <c r="CF234" s="299">
        <f t="shared" ca="1" si="664"/>
        <v>0</v>
      </c>
      <c r="CG234" s="299">
        <f t="shared" ca="1" si="665"/>
        <v>0</v>
      </c>
      <c r="CH234" s="299">
        <f t="shared" ca="1" si="666"/>
        <v>0</v>
      </c>
      <c r="CI234" s="299">
        <f t="shared" ca="1" si="667"/>
        <v>0</v>
      </c>
      <c r="CJ234" s="299">
        <f t="shared" ca="1" si="668"/>
        <v>0</v>
      </c>
      <c r="CK234" s="299">
        <f t="shared" ca="1" si="669"/>
        <v>0</v>
      </c>
      <c r="CL234" s="377" t="str">
        <f t="shared" ca="1" si="670"/>
        <v/>
      </c>
      <c r="CM234" s="305" t="str">
        <f t="shared" ca="1" si="671"/>
        <v/>
      </c>
      <c r="CN234" s="305" t="str">
        <f t="shared" ca="1" si="672"/>
        <v/>
      </c>
      <c r="CO234" s="305" t="str">
        <f t="shared" ca="1" si="673"/>
        <v/>
      </c>
      <c r="CP234" s="305" t="str">
        <f t="shared" ca="1" si="674"/>
        <v/>
      </c>
      <c r="CQ234" s="305" t="str">
        <f t="shared" ca="1" si="675"/>
        <v/>
      </c>
      <c r="CR234" s="775" t="str">
        <f t="shared" ca="1" si="676"/>
        <v/>
      </c>
      <c r="CS234" s="305" t="str">
        <f t="shared" ca="1" si="677"/>
        <v/>
      </c>
      <c r="CT234" s="305" t="str">
        <f t="shared" ca="1" si="678"/>
        <v/>
      </c>
      <c r="CU234" s="305" t="str">
        <f t="shared" ca="1" si="679"/>
        <v/>
      </c>
      <c r="CV234" s="770" t="str">
        <f t="shared" ca="1" si="680"/>
        <v/>
      </c>
      <c r="CW234" s="302">
        <f t="shared" ca="1" si="681"/>
        <v>0</v>
      </c>
      <c r="CX234" s="299">
        <f t="shared" ca="1" si="682"/>
        <v>0</v>
      </c>
      <c r="CY234" s="299">
        <f t="shared" ca="1" si="683"/>
        <v>0</v>
      </c>
      <c r="CZ234" s="299">
        <f t="shared" ca="1" si="684"/>
        <v>0</v>
      </c>
      <c r="DA234" s="774">
        <f t="shared" ca="1" si="685"/>
        <v>0</v>
      </c>
      <c r="DB234" s="303">
        <f t="shared" ca="1" si="686"/>
        <v>0</v>
      </c>
      <c r="DC234" s="248">
        <f t="shared" ca="1" si="687"/>
        <v>0</v>
      </c>
      <c r="DD234" s="778">
        <f t="shared" ca="1" si="688"/>
        <v>0</v>
      </c>
      <c r="DE234" s="363">
        <f t="shared" ca="1" si="689"/>
        <v>0</v>
      </c>
      <c r="DF234" s="378" t="str">
        <f t="shared" ca="1" si="690"/>
        <v/>
      </c>
      <c r="DG234" s="508" t="str">
        <f t="shared" ca="1" si="691"/>
        <v/>
      </c>
      <c r="DH234" s="508" t="str">
        <f t="shared" ca="1" si="692"/>
        <v/>
      </c>
      <c r="DI234" s="508" t="str">
        <f t="shared" ca="1" si="693"/>
        <v/>
      </c>
      <c r="DJ234" s="508" t="str">
        <f t="shared" ca="1" si="694"/>
        <v/>
      </c>
      <c r="DK234" s="353">
        <f t="shared" ca="1" si="695"/>
        <v>0</v>
      </c>
      <c r="DL234" s="781">
        <f t="shared" ca="1" si="696"/>
        <v>0</v>
      </c>
      <c r="DM234" s="303">
        <f t="shared" ca="1" si="697"/>
        <v>0</v>
      </c>
      <c r="DN234" s="508" t="str">
        <f t="shared" ca="1" si="698"/>
        <v/>
      </c>
      <c r="DO234" s="508" t="str">
        <f t="shared" ca="1" si="699"/>
        <v/>
      </c>
      <c r="DP234" s="508" t="str">
        <f t="shared" ca="1" si="700"/>
        <v/>
      </c>
      <c r="DQ234" s="508" t="str">
        <f t="shared" ca="1" si="701"/>
        <v/>
      </c>
      <c r="DR234" s="508" t="str">
        <f t="shared" ca="1" si="702"/>
        <v/>
      </c>
      <c r="DS234" s="353">
        <f t="shared" ca="1" si="703"/>
        <v>0</v>
      </c>
      <c r="DT234" s="353">
        <f t="shared" ca="1" si="704"/>
        <v>0</v>
      </c>
      <c r="DU234" s="380">
        <f t="shared" ca="1" si="804"/>
        <v>18.16290212183436</v>
      </c>
      <c r="DV234" s="303">
        <f t="shared" ca="1" si="705"/>
        <v>0</v>
      </c>
      <c r="DW234" s="303">
        <f t="shared" ca="1" si="706"/>
        <v>0</v>
      </c>
      <c r="DX234" s="303">
        <f t="shared" ca="1" si="707"/>
        <v>0</v>
      </c>
      <c r="DY234" s="303">
        <f t="shared" ca="1" si="708"/>
        <v>0</v>
      </c>
      <c r="DZ234" s="303">
        <f t="shared" ca="1" si="709"/>
        <v>0</v>
      </c>
      <c r="EA234" s="303">
        <f t="shared" ca="1" si="710"/>
        <v>0</v>
      </c>
      <c r="EB234" s="302">
        <f t="shared" ca="1" si="711"/>
        <v>0</v>
      </c>
      <c r="EC234" s="299">
        <f t="shared" ca="1" si="712"/>
        <v>0</v>
      </c>
      <c r="ED234" s="299">
        <f t="shared" ca="1" si="713"/>
        <v>0</v>
      </c>
      <c r="EE234" s="299">
        <f t="shared" ca="1" si="714"/>
        <v>0</v>
      </c>
      <c r="EF234" s="299">
        <f t="shared" ca="1" si="715"/>
        <v>0</v>
      </c>
      <c r="EG234" s="299">
        <f t="shared" ca="1" si="716"/>
        <v>0</v>
      </c>
      <c r="EH234" s="302">
        <f t="shared" ca="1" si="717"/>
        <v>0</v>
      </c>
      <c r="EI234" s="304" t="str">
        <f t="shared" ca="1" si="718"/>
        <v/>
      </c>
      <c r="EJ234" s="305" t="str">
        <f t="shared" ca="1" si="719"/>
        <v/>
      </c>
      <c r="EK234" s="305" t="str">
        <f t="shared" ca="1" si="720"/>
        <v/>
      </c>
      <c r="EL234" s="305" t="str">
        <f t="shared" ca="1" si="721"/>
        <v/>
      </c>
      <c r="EM234" s="305" t="str">
        <f t="shared" ca="1" si="722"/>
        <v/>
      </c>
      <c r="EN234" s="305" t="str">
        <f t="shared" ca="1" si="723"/>
        <v/>
      </c>
      <c r="EO234" s="305" t="str">
        <f t="shared" ca="1" si="724"/>
        <v/>
      </c>
      <c r="EP234" s="305" t="str">
        <f t="shared" ca="1" si="725"/>
        <v/>
      </c>
      <c r="EQ234" s="305" t="str">
        <f t="shared" ca="1" si="726"/>
        <v/>
      </c>
      <c r="ER234" s="305" t="str">
        <f t="shared" ca="1" si="727"/>
        <v/>
      </c>
      <c r="ES234" s="305" t="str">
        <f t="shared" ca="1" si="728"/>
        <v/>
      </c>
      <c r="ET234" s="299">
        <f t="shared" ca="1" si="729"/>
        <v>0</v>
      </c>
      <c r="EU234" s="302">
        <f t="shared" ca="1" si="730"/>
        <v>0</v>
      </c>
      <c r="EV234" s="304" t="str">
        <f t="shared" ca="1" si="731"/>
        <v/>
      </c>
      <c r="EW234" s="305" t="str">
        <f t="shared" ca="1" si="732"/>
        <v/>
      </c>
      <c r="EX234" s="305" t="str">
        <f t="shared" ca="1" si="733"/>
        <v/>
      </c>
      <c r="EY234" s="305" t="str">
        <f t="shared" ca="1" si="734"/>
        <v/>
      </c>
      <c r="EZ234" s="305" t="str">
        <f t="shared" ca="1" si="735"/>
        <v/>
      </c>
      <c r="FA234" s="305" t="str">
        <f t="shared" ca="1" si="736"/>
        <v/>
      </c>
      <c r="FB234" s="305" t="str">
        <f t="shared" ca="1" si="737"/>
        <v/>
      </c>
      <c r="FC234" s="305" t="str">
        <f t="shared" ca="1" si="738"/>
        <v/>
      </c>
      <c r="FD234" s="305" t="str">
        <f t="shared" ca="1" si="739"/>
        <v/>
      </c>
      <c r="FE234" s="305" t="str">
        <f t="shared" ca="1" si="740"/>
        <v/>
      </c>
      <c r="FF234" s="305" t="str">
        <f t="shared" ca="1" si="741"/>
        <v/>
      </c>
      <c r="FG234" s="299">
        <f t="shared" ca="1" si="742"/>
        <v>0</v>
      </c>
      <c r="FH234" s="302">
        <f t="shared" ca="1" si="743"/>
        <v>0</v>
      </c>
      <c r="FI234" s="248">
        <f t="shared" ca="1" si="744"/>
        <v>0</v>
      </c>
      <c r="FJ234" s="363">
        <f t="shared" ca="1" si="745"/>
        <v>0</v>
      </c>
      <c r="FK234" s="378" t="str">
        <f t="shared" ca="1" si="746"/>
        <v/>
      </c>
      <c r="FL234" s="508" t="str">
        <f t="shared" ca="1" si="747"/>
        <v/>
      </c>
      <c r="FM234" s="508" t="str">
        <f t="shared" ca="1" si="748"/>
        <v/>
      </c>
      <c r="FN234" s="508" t="str">
        <f t="shared" ca="1" si="749"/>
        <v/>
      </c>
      <c r="FO234" s="508" t="str">
        <f t="shared" ca="1" si="750"/>
        <v/>
      </c>
      <c r="FP234" s="353">
        <f t="shared" ca="1" si="751"/>
        <v>0</v>
      </c>
      <c r="FQ234" s="356">
        <f t="shared" ca="1" si="752"/>
        <v>0</v>
      </c>
      <c r="FR234" s="380">
        <f t="shared" ca="1" si="753"/>
        <v>0</v>
      </c>
      <c r="FS234" s="299">
        <f t="shared" ca="1" si="754"/>
        <v>0</v>
      </c>
      <c r="FT234" s="299">
        <f t="shared" ca="1" si="755"/>
        <v>0</v>
      </c>
      <c r="FU234" s="299">
        <f t="shared" ca="1" si="756"/>
        <v>0</v>
      </c>
      <c r="FV234" s="299">
        <f t="shared" ca="1" si="757"/>
        <v>0</v>
      </c>
      <c r="FW234" s="850" t="str">
        <f t="shared" ca="1" si="758"/>
        <v/>
      </c>
      <c r="FX234" s="851" t="str">
        <f t="shared" ca="1" si="759"/>
        <v/>
      </c>
      <c r="FY234" s="851" t="str">
        <f t="shared" ca="1" si="760"/>
        <v/>
      </c>
      <c r="FZ234" s="201" t="str">
        <f t="shared" ca="1" si="761"/>
        <v/>
      </c>
      <c r="GA234" s="201" t="str">
        <f t="shared" ca="1" si="762"/>
        <v/>
      </c>
      <c r="GB234" s="201" t="str">
        <f t="shared" ca="1" si="763"/>
        <v/>
      </c>
      <c r="GC234" s="201" t="str">
        <f t="shared" ca="1" si="764"/>
        <v/>
      </c>
      <c r="GD234" s="850" t="str">
        <f t="shared" ca="1" si="765"/>
        <v/>
      </c>
      <c r="GE234" s="866" t="str">
        <f t="shared" ca="1" si="766"/>
        <v/>
      </c>
      <c r="GF234" s="866" t="str">
        <f t="shared" ca="1" si="767"/>
        <v/>
      </c>
      <c r="GG234" s="866" t="str">
        <f t="shared" ca="1" si="768"/>
        <v/>
      </c>
      <c r="GH234" s="866" t="str">
        <f t="shared" ca="1" si="769"/>
        <v/>
      </c>
      <c r="GI234" s="302">
        <f t="shared" ca="1" si="770"/>
        <v>0</v>
      </c>
      <c r="GJ234" s="299">
        <f t="shared" ca="1" si="771"/>
        <v>0</v>
      </c>
      <c r="GK234" s="299">
        <f t="shared" ca="1" si="772"/>
        <v>0</v>
      </c>
      <c r="GL234" s="299">
        <f t="shared" ca="1" si="773"/>
        <v>0</v>
      </c>
      <c r="GM234" s="299">
        <f t="shared" ca="1" si="774"/>
        <v>0</v>
      </c>
      <c r="GN234" s="302">
        <f t="shared" ca="1" si="775"/>
        <v>0</v>
      </c>
      <c r="GO234" s="299">
        <f t="shared" ca="1" si="776"/>
        <v>0</v>
      </c>
      <c r="GP234" s="299">
        <f t="shared" ca="1" si="777"/>
        <v>0</v>
      </c>
      <c r="GQ234" s="299">
        <f t="shared" ca="1" si="778"/>
        <v>0</v>
      </c>
      <c r="GR234" s="299">
        <f t="shared" ca="1" si="779"/>
        <v>0</v>
      </c>
      <c r="GS234" s="302">
        <f t="shared" ca="1" si="780"/>
        <v>0</v>
      </c>
      <c r="GT234" s="299">
        <f t="shared" ca="1" si="781"/>
        <v>0</v>
      </c>
      <c r="GU234" s="299">
        <f t="shared" ca="1" si="782"/>
        <v>0</v>
      </c>
      <c r="GV234" s="299">
        <f t="shared" ca="1" si="783"/>
        <v>0</v>
      </c>
      <c r="GW234" s="299">
        <f t="shared" ca="1" si="784"/>
        <v>0</v>
      </c>
      <c r="GX234" s="303">
        <f t="shared" ca="1" si="785"/>
        <v>0</v>
      </c>
      <c r="GY234" s="303">
        <f t="shared" ca="1" si="786"/>
        <v>0</v>
      </c>
      <c r="GZ234" s="303">
        <f t="shared" ca="1" si="787"/>
        <v>0</v>
      </c>
      <c r="HA234" s="303">
        <f t="shared" ca="1" si="788"/>
        <v>0</v>
      </c>
      <c r="HB234" s="303">
        <f t="shared" ca="1" si="789"/>
        <v>0</v>
      </c>
      <c r="HC234" s="303">
        <f t="shared" ca="1" si="790"/>
        <v>0</v>
      </c>
      <c r="HD234" s="303">
        <f t="shared" ca="1" si="791"/>
        <v>0</v>
      </c>
      <c r="HE234" s="303">
        <f t="shared" ca="1" si="792"/>
        <v>0</v>
      </c>
      <c r="HF234" s="303">
        <f t="shared" ca="1" si="793"/>
        <v>0</v>
      </c>
      <c r="HG234" s="852">
        <f t="shared" ca="1" si="794"/>
        <v>0</v>
      </c>
    </row>
    <row r="235" spans="1:215" x14ac:dyDescent="0.25">
      <c r="A235" s="244">
        <f t="shared" ca="1" si="795"/>
        <v>43252</v>
      </c>
      <c r="B235" s="13">
        <f t="shared" ca="1" si="817"/>
        <v>2018</v>
      </c>
      <c r="C235" s="619">
        <f t="shared" ca="1" si="818"/>
        <v>6</v>
      </c>
      <c r="D235" s="195" t="str">
        <f t="shared" ca="1" si="625"/>
        <v/>
      </c>
      <c r="E235" s="469" t="str">
        <f t="shared" ca="1" si="626"/>
        <v/>
      </c>
      <c r="F235" s="465" t="str">
        <f t="shared" ca="1" si="627"/>
        <v/>
      </c>
      <c r="G235" s="522">
        <f t="shared" ca="1" si="796"/>
        <v>1</v>
      </c>
      <c r="H235" s="519">
        <f t="shared" ca="1" si="797"/>
        <v>1</v>
      </c>
      <c r="I235" s="724">
        <f t="shared" ca="1" si="819"/>
        <v>7.4176029245822991E-2</v>
      </c>
      <c r="J235" s="198">
        <f t="shared" ca="1" si="629"/>
        <v>0.2621542658909326</v>
      </c>
      <c r="K235" s="200">
        <f t="shared" ca="1" si="805"/>
        <v>53.14</v>
      </c>
      <c r="L235" s="201">
        <f t="shared" ca="1" si="806"/>
        <v>60.25</v>
      </c>
      <c r="M235" s="206">
        <f t="shared" ca="1" si="807"/>
        <v>67.36</v>
      </c>
      <c r="N235" s="851">
        <f t="shared" ca="1" si="811"/>
        <v>23.72625015258788</v>
      </c>
      <c r="O235" s="201">
        <f t="shared" ca="1" si="812"/>
        <v>29.05875015258788</v>
      </c>
      <c r="P235" s="206">
        <f t="shared" ca="1" si="813"/>
        <v>34.39125015258788</v>
      </c>
      <c r="Q235" s="201">
        <f t="shared" ca="1" si="814"/>
        <v>18.242499542236317</v>
      </c>
      <c r="R235" s="201">
        <f t="shared" ca="1" si="815"/>
        <v>22.542499542236317</v>
      </c>
      <c r="S235" s="201">
        <f t="shared" ca="1" si="816"/>
        <v>26.842499542236318</v>
      </c>
      <c r="T235" s="851">
        <f t="shared" ca="1" si="808"/>
        <v>17.999998779296867</v>
      </c>
      <c r="U235" s="201">
        <f t="shared" ca="1" si="809"/>
        <v>21.554998779296866</v>
      </c>
      <c r="V235" s="206">
        <f t="shared" ca="1" si="810"/>
        <v>25.109998779296866</v>
      </c>
      <c r="W235" s="230">
        <f t="shared" ca="1" si="798"/>
        <v>7.1545615860191439E-2</v>
      </c>
      <c r="X235" s="231">
        <f t="shared" ca="1" si="799"/>
        <v>0.14309123172038288</v>
      </c>
      <c r="Y235" s="232">
        <f t="shared" ca="1" si="800"/>
        <v>0.21463684758057433</v>
      </c>
      <c r="Z235" s="231">
        <f t="shared" ca="1" si="820"/>
        <v>7.1545615860191439E-2</v>
      </c>
      <c r="AA235" s="231">
        <f t="shared" ca="1" si="821"/>
        <v>0.14309123172038288</v>
      </c>
      <c r="AB235" s="232">
        <f t="shared" ca="1" si="822"/>
        <v>0.21463684758057433</v>
      </c>
      <c r="AC235" s="231">
        <f t="shared" ca="1" si="823"/>
        <v>7.1545615860191439E-2</v>
      </c>
      <c r="AD235" s="231">
        <f t="shared" ca="1" si="824"/>
        <v>0.14309123172038288</v>
      </c>
      <c r="AE235" s="232">
        <f t="shared" ca="1" si="630"/>
        <v>0.21463684758057433</v>
      </c>
      <c r="AF235" s="231">
        <f t="shared" ca="1" si="801"/>
        <v>3.1281089888566468E-2</v>
      </c>
      <c r="AG235" s="231">
        <f t="shared" ca="1" si="802"/>
        <v>6.2562179777132937E-2</v>
      </c>
      <c r="AH235" s="232">
        <f t="shared" ca="1" si="803"/>
        <v>9.3843269665699405E-2</v>
      </c>
      <c r="AI235" s="233">
        <f t="shared" ca="1" si="631"/>
        <v>1</v>
      </c>
      <c r="AJ235" s="233">
        <f t="shared" ca="1" si="632"/>
        <v>1.25</v>
      </c>
      <c r="AK235" s="234">
        <f t="shared" ca="1" si="633"/>
        <v>1.55</v>
      </c>
      <c r="AL235" s="919">
        <f t="shared" ca="1" si="634"/>
        <v>1</v>
      </c>
      <c r="AM235" s="233">
        <f t="shared" ca="1" si="635"/>
        <v>1.25</v>
      </c>
      <c r="AN235" s="234">
        <f t="shared" ca="1" si="636"/>
        <v>1.55</v>
      </c>
      <c r="AO235" s="233">
        <f t="shared" ca="1" si="637"/>
        <v>1</v>
      </c>
      <c r="AP235" s="233">
        <f t="shared" ca="1" si="638"/>
        <v>1.25</v>
      </c>
      <c r="AQ235" s="233">
        <f t="shared" ca="1" si="639"/>
        <v>1.55</v>
      </c>
      <c r="AR235" s="919">
        <f t="shared" ca="1" si="640"/>
        <v>0.5</v>
      </c>
      <c r="AS235" s="233">
        <f t="shared" ca="1" si="641"/>
        <v>0.65</v>
      </c>
      <c r="AT235" s="235">
        <f t="shared" ca="1" si="642"/>
        <v>0.85000000000000009</v>
      </c>
      <c r="AU235" s="946">
        <f t="shared" si="643"/>
        <v>0.5</v>
      </c>
      <c r="AV235" s="13">
        <f t="shared" ca="1" si="644"/>
        <v>0</v>
      </c>
      <c r="AW235" s="210">
        <f t="shared" ca="1" si="645"/>
        <v>0</v>
      </c>
      <c r="AX235" s="210">
        <f t="shared" ca="1" si="646"/>
        <v>0</v>
      </c>
      <c r="AY235" s="210">
        <f t="shared" ca="1" si="647"/>
        <v>0</v>
      </c>
      <c r="AZ235" s="13">
        <f t="shared" ca="1" si="648"/>
        <v>0</v>
      </c>
      <c r="BA235" s="357">
        <f ca="1"/>
        <v>0</v>
      </c>
      <c r="BB235" s="925">
        <f ca="1"/>
        <v>0</v>
      </c>
      <c r="BC235" s="925">
        <f ca="1"/>
        <v>0</v>
      </c>
      <c r="BD235" s="928">
        <f ca="1"/>
        <v>0</v>
      </c>
      <c r="BE235" s="200">
        <f ca="1"/>
        <v>0</v>
      </c>
      <c r="BF235" s="851">
        <f ca="1"/>
        <v>0</v>
      </c>
      <c r="BG235" s="851">
        <f ca="1"/>
        <v>0</v>
      </c>
      <c r="BH235" s="933">
        <f ca="1"/>
        <v>0</v>
      </c>
      <c r="BI235" s="357">
        <f ca="1"/>
        <v>0</v>
      </c>
      <c r="BJ235" s="925">
        <f ca="1"/>
        <v>0</v>
      </c>
      <c r="BK235" s="925">
        <f ca="1"/>
        <v>0</v>
      </c>
      <c r="BL235" s="928">
        <f ca="1"/>
        <v>0</v>
      </c>
      <c r="BM235" s="200">
        <f ca="1"/>
        <v>0</v>
      </c>
      <c r="BN235" s="851">
        <f ca="1"/>
        <v>0</v>
      </c>
      <c r="BO235" s="851">
        <f ca="1"/>
        <v>0</v>
      </c>
      <c r="BP235" s="933">
        <f ca="1"/>
        <v>0</v>
      </c>
      <c r="BQ235" s="357">
        <f t="shared" ca="1" si="649"/>
        <v>0</v>
      </c>
      <c r="BR235" s="361">
        <f t="shared" ca="1" si="650"/>
        <v>0</v>
      </c>
      <c r="BS235" s="357">
        <f t="shared" ca="1" si="651"/>
        <v>0</v>
      </c>
      <c r="BT235" s="302">
        <f t="shared" ca="1" si="652"/>
        <v>0</v>
      </c>
      <c r="BU235" s="299">
        <f t="shared" ca="1" si="653"/>
        <v>0</v>
      </c>
      <c r="BV235" s="299">
        <f t="shared" ca="1" si="654"/>
        <v>0</v>
      </c>
      <c r="BW235" s="299">
        <f t="shared" ca="1" si="655"/>
        <v>0</v>
      </c>
      <c r="BX235" s="380">
        <f t="shared" ca="1" si="656"/>
        <v>18.247775496235455</v>
      </c>
      <c r="BY235" s="363">
        <f t="shared" ca="1" si="657"/>
        <v>0</v>
      </c>
      <c r="BZ235" s="353">
        <f t="shared" ca="1" si="658"/>
        <v>0</v>
      </c>
      <c r="CA235" s="353">
        <f t="shared" ca="1" si="659"/>
        <v>0</v>
      </c>
      <c r="CB235" s="353">
        <f t="shared" ca="1" si="660"/>
        <v>0</v>
      </c>
      <c r="CC235" s="353">
        <f t="shared" ca="1" si="661"/>
        <v>0</v>
      </c>
      <c r="CD235" s="353">
        <f t="shared" ca="1" si="662"/>
        <v>0</v>
      </c>
      <c r="CE235" s="302">
        <f t="shared" ca="1" si="663"/>
        <v>0</v>
      </c>
      <c r="CF235" s="299">
        <f t="shared" ca="1" si="664"/>
        <v>0</v>
      </c>
      <c r="CG235" s="299">
        <f t="shared" ca="1" si="665"/>
        <v>0</v>
      </c>
      <c r="CH235" s="299">
        <f t="shared" ca="1" si="666"/>
        <v>0</v>
      </c>
      <c r="CI235" s="299">
        <f t="shared" ca="1" si="667"/>
        <v>0</v>
      </c>
      <c r="CJ235" s="299">
        <f t="shared" ca="1" si="668"/>
        <v>0</v>
      </c>
      <c r="CK235" s="299">
        <f t="shared" ca="1" si="669"/>
        <v>0</v>
      </c>
      <c r="CL235" s="377" t="str">
        <f t="shared" ca="1" si="670"/>
        <v/>
      </c>
      <c r="CM235" s="305" t="str">
        <f t="shared" ca="1" si="671"/>
        <v/>
      </c>
      <c r="CN235" s="305" t="str">
        <f t="shared" ca="1" si="672"/>
        <v/>
      </c>
      <c r="CO235" s="305" t="str">
        <f t="shared" ca="1" si="673"/>
        <v/>
      </c>
      <c r="CP235" s="305" t="str">
        <f t="shared" ca="1" si="674"/>
        <v/>
      </c>
      <c r="CQ235" s="305" t="str">
        <f t="shared" ca="1" si="675"/>
        <v/>
      </c>
      <c r="CR235" s="775" t="str">
        <f t="shared" ca="1" si="676"/>
        <v/>
      </c>
      <c r="CS235" s="305" t="str">
        <f t="shared" ca="1" si="677"/>
        <v/>
      </c>
      <c r="CT235" s="305" t="str">
        <f t="shared" ca="1" si="678"/>
        <v/>
      </c>
      <c r="CU235" s="305" t="str">
        <f t="shared" ca="1" si="679"/>
        <v/>
      </c>
      <c r="CV235" s="770" t="str">
        <f t="shared" ca="1" si="680"/>
        <v/>
      </c>
      <c r="CW235" s="302">
        <f t="shared" ca="1" si="681"/>
        <v>0</v>
      </c>
      <c r="CX235" s="299">
        <f t="shared" ca="1" si="682"/>
        <v>0</v>
      </c>
      <c r="CY235" s="299">
        <f t="shared" ca="1" si="683"/>
        <v>0</v>
      </c>
      <c r="CZ235" s="299">
        <f t="shared" ca="1" si="684"/>
        <v>0</v>
      </c>
      <c r="DA235" s="774">
        <f t="shared" ca="1" si="685"/>
        <v>0</v>
      </c>
      <c r="DB235" s="303">
        <f t="shared" ca="1" si="686"/>
        <v>0</v>
      </c>
      <c r="DC235" s="248">
        <f t="shared" ca="1" si="687"/>
        <v>0</v>
      </c>
      <c r="DD235" s="778">
        <f t="shared" ca="1" si="688"/>
        <v>0</v>
      </c>
      <c r="DE235" s="363">
        <f t="shared" ca="1" si="689"/>
        <v>0</v>
      </c>
      <c r="DF235" s="378" t="str">
        <f t="shared" ca="1" si="690"/>
        <v/>
      </c>
      <c r="DG235" s="508" t="str">
        <f t="shared" ca="1" si="691"/>
        <v/>
      </c>
      <c r="DH235" s="508" t="str">
        <f t="shared" ca="1" si="692"/>
        <v/>
      </c>
      <c r="DI235" s="508" t="str">
        <f t="shared" ca="1" si="693"/>
        <v/>
      </c>
      <c r="DJ235" s="508" t="str">
        <f t="shared" ca="1" si="694"/>
        <v/>
      </c>
      <c r="DK235" s="353">
        <f t="shared" ca="1" si="695"/>
        <v>0</v>
      </c>
      <c r="DL235" s="781">
        <f t="shared" ca="1" si="696"/>
        <v>0</v>
      </c>
      <c r="DM235" s="303">
        <f t="shared" ca="1" si="697"/>
        <v>0</v>
      </c>
      <c r="DN235" s="508" t="str">
        <f t="shared" ca="1" si="698"/>
        <v/>
      </c>
      <c r="DO235" s="508" t="str">
        <f t="shared" ca="1" si="699"/>
        <v/>
      </c>
      <c r="DP235" s="508" t="str">
        <f t="shared" ca="1" si="700"/>
        <v/>
      </c>
      <c r="DQ235" s="508" t="str">
        <f t="shared" ca="1" si="701"/>
        <v/>
      </c>
      <c r="DR235" s="508" t="str">
        <f t="shared" ca="1" si="702"/>
        <v/>
      </c>
      <c r="DS235" s="353">
        <f t="shared" ca="1" si="703"/>
        <v>0</v>
      </c>
      <c r="DT235" s="353">
        <f t="shared" ca="1" si="704"/>
        <v>0</v>
      </c>
      <c r="DU235" s="380">
        <f t="shared" ca="1" si="804"/>
        <v>18.247775496235455</v>
      </c>
      <c r="DV235" s="303">
        <f t="shared" ca="1" si="705"/>
        <v>0</v>
      </c>
      <c r="DW235" s="303">
        <f t="shared" ca="1" si="706"/>
        <v>0</v>
      </c>
      <c r="DX235" s="303">
        <f t="shared" ca="1" si="707"/>
        <v>0</v>
      </c>
      <c r="DY235" s="303">
        <f t="shared" ca="1" si="708"/>
        <v>0</v>
      </c>
      <c r="DZ235" s="303">
        <f t="shared" ca="1" si="709"/>
        <v>0</v>
      </c>
      <c r="EA235" s="303">
        <f t="shared" ca="1" si="710"/>
        <v>0</v>
      </c>
      <c r="EB235" s="302">
        <f t="shared" ca="1" si="711"/>
        <v>0</v>
      </c>
      <c r="EC235" s="299">
        <f t="shared" ca="1" si="712"/>
        <v>0</v>
      </c>
      <c r="ED235" s="299">
        <f t="shared" ca="1" si="713"/>
        <v>0</v>
      </c>
      <c r="EE235" s="299">
        <f t="shared" ca="1" si="714"/>
        <v>0</v>
      </c>
      <c r="EF235" s="299">
        <f t="shared" ca="1" si="715"/>
        <v>0</v>
      </c>
      <c r="EG235" s="299">
        <f t="shared" ca="1" si="716"/>
        <v>0</v>
      </c>
      <c r="EH235" s="302">
        <f t="shared" ca="1" si="717"/>
        <v>0</v>
      </c>
      <c r="EI235" s="304" t="str">
        <f t="shared" ca="1" si="718"/>
        <v/>
      </c>
      <c r="EJ235" s="305" t="str">
        <f t="shared" ca="1" si="719"/>
        <v/>
      </c>
      <c r="EK235" s="305" t="str">
        <f t="shared" ca="1" si="720"/>
        <v/>
      </c>
      <c r="EL235" s="305" t="str">
        <f t="shared" ca="1" si="721"/>
        <v/>
      </c>
      <c r="EM235" s="305" t="str">
        <f t="shared" ca="1" si="722"/>
        <v/>
      </c>
      <c r="EN235" s="305" t="str">
        <f t="shared" ca="1" si="723"/>
        <v/>
      </c>
      <c r="EO235" s="305" t="str">
        <f t="shared" ca="1" si="724"/>
        <v/>
      </c>
      <c r="EP235" s="305" t="str">
        <f t="shared" ca="1" si="725"/>
        <v/>
      </c>
      <c r="EQ235" s="305" t="str">
        <f t="shared" ca="1" si="726"/>
        <v/>
      </c>
      <c r="ER235" s="305" t="str">
        <f t="shared" ca="1" si="727"/>
        <v/>
      </c>
      <c r="ES235" s="305" t="str">
        <f t="shared" ca="1" si="728"/>
        <v/>
      </c>
      <c r="ET235" s="299">
        <f t="shared" ca="1" si="729"/>
        <v>0</v>
      </c>
      <c r="EU235" s="302">
        <f t="shared" ca="1" si="730"/>
        <v>0</v>
      </c>
      <c r="EV235" s="304" t="str">
        <f t="shared" ca="1" si="731"/>
        <v/>
      </c>
      <c r="EW235" s="305" t="str">
        <f t="shared" ca="1" si="732"/>
        <v/>
      </c>
      <c r="EX235" s="305" t="str">
        <f t="shared" ca="1" si="733"/>
        <v/>
      </c>
      <c r="EY235" s="305" t="str">
        <f t="shared" ca="1" si="734"/>
        <v/>
      </c>
      <c r="EZ235" s="305" t="str">
        <f t="shared" ca="1" si="735"/>
        <v/>
      </c>
      <c r="FA235" s="305" t="str">
        <f t="shared" ca="1" si="736"/>
        <v/>
      </c>
      <c r="FB235" s="305" t="str">
        <f t="shared" ca="1" si="737"/>
        <v/>
      </c>
      <c r="FC235" s="305" t="str">
        <f t="shared" ca="1" si="738"/>
        <v/>
      </c>
      <c r="FD235" s="305" t="str">
        <f t="shared" ca="1" si="739"/>
        <v/>
      </c>
      <c r="FE235" s="305" t="str">
        <f t="shared" ca="1" si="740"/>
        <v/>
      </c>
      <c r="FF235" s="305" t="str">
        <f t="shared" ca="1" si="741"/>
        <v/>
      </c>
      <c r="FG235" s="299">
        <f t="shared" ca="1" si="742"/>
        <v>0</v>
      </c>
      <c r="FH235" s="302">
        <f t="shared" ca="1" si="743"/>
        <v>0</v>
      </c>
      <c r="FI235" s="248">
        <f t="shared" ca="1" si="744"/>
        <v>0</v>
      </c>
      <c r="FJ235" s="363">
        <f t="shared" ca="1" si="745"/>
        <v>0</v>
      </c>
      <c r="FK235" s="378" t="str">
        <f t="shared" ca="1" si="746"/>
        <v/>
      </c>
      <c r="FL235" s="508" t="str">
        <f t="shared" ca="1" si="747"/>
        <v/>
      </c>
      <c r="FM235" s="508" t="str">
        <f t="shared" ca="1" si="748"/>
        <v/>
      </c>
      <c r="FN235" s="508" t="str">
        <f t="shared" ca="1" si="749"/>
        <v/>
      </c>
      <c r="FO235" s="508" t="str">
        <f t="shared" ca="1" si="750"/>
        <v/>
      </c>
      <c r="FP235" s="353">
        <f t="shared" ca="1" si="751"/>
        <v>0</v>
      </c>
      <c r="FQ235" s="356">
        <f t="shared" ca="1" si="752"/>
        <v>0</v>
      </c>
      <c r="FR235" s="380">
        <f t="shared" ca="1" si="753"/>
        <v>0</v>
      </c>
      <c r="FS235" s="299">
        <f t="shared" ca="1" si="754"/>
        <v>0</v>
      </c>
      <c r="FT235" s="299">
        <f t="shared" ca="1" si="755"/>
        <v>0</v>
      </c>
      <c r="FU235" s="299">
        <f t="shared" ca="1" si="756"/>
        <v>0</v>
      </c>
      <c r="FV235" s="299">
        <f t="shared" ca="1" si="757"/>
        <v>0</v>
      </c>
      <c r="FW235" s="850" t="str">
        <f t="shared" ca="1" si="758"/>
        <v/>
      </c>
      <c r="FX235" s="851" t="str">
        <f t="shared" ca="1" si="759"/>
        <v/>
      </c>
      <c r="FY235" s="851" t="str">
        <f t="shared" ca="1" si="760"/>
        <v/>
      </c>
      <c r="FZ235" s="201" t="str">
        <f t="shared" ca="1" si="761"/>
        <v/>
      </c>
      <c r="GA235" s="201" t="str">
        <f t="shared" ca="1" si="762"/>
        <v/>
      </c>
      <c r="GB235" s="201" t="str">
        <f t="shared" ca="1" si="763"/>
        <v/>
      </c>
      <c r="GC235" s="201" t="str">
        <f t="shared" ca="1" si="764"/>
        <v/>
      </c>
      <c r="GD235" s="850" t="str">
        <f t="shared" ca="1" si="765"/>
        <v/>
      </c>
      <c r="GE235" s="866" t="str">
        <f t="shared" ca="1" si="766"/>
        <v/>
      </c>
      <c r="GF235" s="866" t="str">
        <f t="shared" ca="1" si="767"/>
        <v/>
      </c>
      <c r="GG235" s="866" t="str">
        <f t="shared" ca="1" si="768"/>
        <v/>
      </c>
      <c r="GH235" s="866" t="str">
        <f t="shared" ca="1" si="769"/>
        <v/>
      </c>
      <c r="GI235" s="302">
        <f t="shared" ca="1" si="770"/>
        <v>0</v>
      </c>
      <c r="GJ235" s="299">
        <f t="shared" ca="1" si="771"/>
        <v>0</v>
      </c>
      <c r="GK235" s="299">
        <f t="shared" ca="1" si="772"/>
        <v>0</v>
      </c>
      <c r="GL235" s="299">
        <f t="shared" ca="1" si="773"/>
        <v>0</v>
      </c>
      <c r="GM235" s="299">
        <f t="shared" ca="1" si="774"/>
        <v>0</v>
      </c>
      <c r="GN235" s="302">
        <f t="shared" ca="1" si="775"/>
        <v>0</v>
      </c>
      <c r="GO235" s="299">
        <f t="shared" ca="1" si="776"/>
        <v>0</v>
      </c>
      <c r="GP235" s="299">
        <f t="shared" ca="1" si="777"/>
        <v>0</v>
      </c>
      <c r="GQ235" s="299">
        <f t="shared" ca="1" si="778"/>
        <v>0</v>
      </c>
      <c r="GR235" s="299">
        <f t="shared" ca="1" si="779"/>
        <v>0</v>
      </c>
      <c r="GS235" s="302">
        <f t="shared" ca="1" si="780"/>
        <v>0</v>
      </c>
      <c r="GT235" s="299">
        <f t="shared" ca="1" si="781"/>
        <v>0</v>
      </c>
      <c r="GU235" s="299">
        <f t="shared" ca="1" si="782"/>
        <v>0</v>
      </c>
      <c r="GV235" s="299">
        <f t="shared" ca="1" si="783"/>
        <v>0</v>
      </c>
      <c r="GW235" s="299">
        <f t="shared" ca="1" si="784"/>
        <v>0</v>
      </c>
      <c r="GX235" s="303">
        <f t="shared" ca="1" si="785"/>
        <v>0</v>
      </c>
      <c r="GY235" s="303">
        <f t="shared" ca="1" si="786"/>
        <v>0</v>
      </c>
      <c r="GZ235" s="303">
        <f t="shared" ca="1" si="787"/>
        <v>0</v>
      </c>
      <c r="HA235" s="303">
        <f t="shared" ca="1" si="788"/>
        <v>0</v>
      </c>
      <c r="HB235" s="303">
        <f t="shared" ca="1" si="789"/>
        <v>0</v>
      </c>
      <c r="HC235" s="303">
        <f t="shared" ca="1" si="790"/>
        <v>0</v>
      </c>
      <c r="HD235" s="303">
        <f t="shared" ca="1" si="791"/>
        <v>0</v>
      </c>
      <c r="HE235" s="303">
        <f t="shared" ca="1" si="792"/>
        <v>0</v>
      </c>
      <c r="HF235" s="303">
        <f t="shared" ca="1" si="793"/>
        <v>0</v>
      </c>
      <c r="HG235" s="852">
        <f t="shared" ca="1" si="794"/>
        <v>0</v>
      </c>
    </row>
    <row r="236" spans="1:215" x14ac:dyDescent="0.25">
      <c r="A236" s="244">
        <f t="shared" ca="1" si="795"/>
        <v>43282</v>
      </c>
      <c r="B236" s="13">
        <f t="shared" ca="1" si="817"/>
        <v>2018</v>
      </c>
      <c r="C236" s="619">
        <f t="shared" ca="1" si="818"/>
        <v>7</v>
      </c>
      <c r="D236" s="195">
        <f t="shared" ca="1" si="625"/>
        <v>43285</v>
      </c>
      <c r="E236" s="469" t="str">
        <f t="shared" ca="1" si="626"/>
        <v/>
      </c>
      <c r="F236" s="465" t="str">
        <f t="shared" ca="1" si="627"/>
        <v/>
      </c>
      <c r="G236" s="522">
        <f t="shared" ca="1" si="796"/>
        <v>1</v>
      </c>
      <c r="H236" s="519">
        <f t="shared" ca="1" si="797"/>
        <v>1</v>
      </c>
      <c r="I236" s="724">
        <f t="shared" ca="1" si="819"/>
        <v>7.4175744034971999E-2</v>
      </c>
      <c r="J236" s="198">
        <f t="shared" ca="1" si="629"/>
        <v>0.26054004598978941</v>
      </c>
      <c r="K236" s="200">
        <f t="shared" ca="1" si="805"/>
        <v>87.5</v>
      </c>
      <c r="L236" s="201">
        <f t="shared" ca="1" si="806"/>
        <v>92.5</v>
      </c>
      <c r="M236" s="206">
        <f t="shared" ca="1" si="807"/>
        <v>97.5</v>
      </c>
      <c r="N236" s="851">
        <f t="shared" ca="1" si="811"/>
        <v>38.511249542236371</v>
      </c>
      <c r="O236" s="201">
        <f t="shared" ca="1" si="812"/>
        <v>42.261249542236371</v>
      </c>
      <c r="P236" s="206">
        <f t="shared" ca="1" si="813"/>
        <v>46.011249542236371</v>
      </c>
      <c r="Q236" s="201">
        <f t="shared" ca="1" si="814"/>
        <v>27.447499465942371</v>
      </c>
      <c r="R236" s="201">
        <f t="shared" ca="1" si="815"/>
        <v>31.747499465942372</v>
      </c>
      <c r="S236" s="201">
        <f t="shared" ca="1" si="816"/>
        <v>36.047499465942373</v>
      </c>
      <c r="T236" s="851">
        <f t="shared" ca="1" si="808"/>
        <v>23.549997711181632</v>
      </c>
      <c r="U236" s="201">
        <f t="shared" ca="1" si="809"/>
        <v>26.049997711181632</v>
      </c>
      <c r="V236" s="206">
        <f t="shared" ca="1" si="810"/>
        <v>28.549997711181632</v>
      </c>
      <c r="W236" s="230">
        <f t="shared" ca="1" si="798"/>
        <v>8.4716406419595505E-2</v>
      </c>
      <c r="X236" s="231">
        <f t="shared" ca="1" si="799"/>
        <v>0.16943281283919101</v>
      </c>
      <c r="Y236" s="232">
        <f t="shared" ca="1" si="800"/>
        <v>0.25414921925878653</v>
      </c>
      <c r="Z236" s="231">
        <f t="shared" ca="1" si="820"/>
        <v>8.4716406419595505E-2</v>
      </c>
      <c r="AA236" s="231">
        <f t="shared" ca="1" si="821"/>
        <v>0.16943281283919101</v>
      </c>
      <c r="AB236" s="232">
        <f t="shared" ca="1" si="822"/>
        <v>0.25414921925878653</v>
      </c>
      <c r="AC236" s="231">
        <f t="shared" ca="1" si="823"/>
        <v>8.4716406419595505E-2</v>
      </c>
      <c r="AD236" s="231">
        <f t="shared" ca="1" si="824"/>
        <v>0.16943281283919101</v>
      </c>
      <c r="AE236" s="232">
        <f t="shared" ca="1" si="630"/>
        <v>0.25414921925878653</v>
      </c>
      <c r="AF236" s="231">
        <f t="shared" ca="1" si="801"/>
        <v>4.1708119851421963E-2</v>
      </c>
      <c r="AG236" s="231">
        <f t="shared" ca="1" si="802"/>
        <v>8.3416239702843925E-2</v>
      </c>
      <c r="AH236" s="232">
        <f t="shared" ca="1" si="803"/>
        <v>0.12512435955426587</v>
      </c>
      <c r="AI236" s="233">
        <f t="shared" ca="1" si="631"/>
        <v>1</v>
      </c>
      <c r="AJ236" s="233">
        <f t="shared" ca="1" si="632"/>
        <v>1.25</v>
      </c>
      <c r="AK236" s="234">
        <f t="shared" ca="1" si="633"/>
        <v>1.55</v>
      </c>
      <c r="AL236" s="919">
        <f t="shared" ca="1" si="634"/>
        <v>1</v>
      </c>
      <c r="AM236" s="233">
        <f t="shared" ca="1" si="635"/>
        <v>1.25</v>
      </c>
      <c r="AN236" s="234">
        <f t="shared" ca="1" si="636"/>
        <v>1.55</v>
      </c>
      <c r="AO236" s="233">
        <f t="shared" ca="1" si="637"/>
        <v>1</v>
      </c>
      <c r="AP236" s="233">
        <f t="shared" ca="1" si="638"/>
        <v>1.25</v>
      </c>
      <c r="AQ236" s="233">
        <f t="shared" ca="1" si="639"/>
        <v>1.55</v>
      </c>
      <c r="AR236" s="919">
        <f t="shared" ca="1" si="640"/>
        <v>0.6</v>
      </c>
      <c r="AS236" s="233">
        <f t="shared" ca="1" si="641"/>
        <v>0.75</v>
      </c>
      <c r="AT236" s="235">
        <f t="shared" ca="1" si="642"/>
        <v>0.95</v>
      </c>
      <c r="AU236" s="946">
        <f t="shared" si="643"/>
        <v>0.5</v>
      </c>
      <c r="AV236" s="13">
        <f t="shared" ca="1" si="644"/>
        <v>0</v>
      </c>
      <c r="AW236" s="210">
        <f t="shared" ca="1" si="645"/>
        <v>0</v>
      </c>
      <c r="AX236" s="210">
        <f t="shared" ca="1" si="646"/>
        <v>0</v>
      </c>
      <c r="AY236" s="210">
        <f t="shared" ca="1" si="647"/>
        <v>0</v>
      </c>
      <c r="AZ236" s="13">
        <f t="shared" ca="1" si="648"/>
        <v>0</v>
      </c>
      <c r="BA236" s="357">
        <f ca="1"/>
        <v>0</v>
      </c>
      <c r="BB236" s="925">
        <f ca="1"/>
        <v>0</v>
      </c>
      <c r="BC236" s="925">
        <f ca="1"/>
        <v>0</v>
      </c>
      <c r="BD236" s="928">
        <f ca="1"/>
        <v>0</v>
      </c>
      <c r="BE236" s="200">
        <f ca="1"/>
        <v>0</v>
      </c>
      <c r="BF236" s="851">
        <f ca="1"/>
        <v>0</v>
      </c>
      <c r="BG236" s="851">
        <f ca="1"/>
        <v>0</v>
      </c>
      <c r="BH236" s="933">
        <f ca="1"/>
        <v>0</v>
      </c>
      <c r="BI236" s="357">
        <f ca="1"/>
        <v>0</v>
      </c>
      <c r="BJ236" s="925">
        <f ca="1"/>
        <v>0</v>
      </c>
      <c r="BK236" s="925">
        <f ca="1"/>
        <v>0</v>
      </c>
      <c r="BL236" s="928">
        <f ca="1"/>
        <v>0</v>
      </c>
      <c r="BM236" s="200">
        <f ca="1"/>
        <v>0</v>
      </c>
      <c r="BN236" s="851">
        <f ca="1"/>
        <v>0</v>
      </c>
      <c r="BO236" s="851">
        <f ca="1"/>
        <v>0</v>
      </c>
      <c r="BP236" s="933">
        <f ca="1"/>
        <v>0</v>
      </c>
      <c r="BQ236" s="357">
        <f t="shared" ca="1" si="649"/>
        <v>0</v>
      </c>
      <c r="BR236" s="361">
        <f t="shared" ca="1" si="650"/>
        <v>0</v>
      </c>
      <c r="BS236" s="357">
        <f t="shared" ca="1" si="651"/>
        <v>0</v>
      </c>
      <c r="BT236" s="302">
        <f t="shared" ca="1" si="652"/>
        <v>0</v>
      </c>
      <c r="BU236" s="299">
        <f t="shared" ca="1" si="653"/>
        <v>0</v>
      </c>
      <c r="BV236" s="299">
        <f t="shared" ca="1" si="654"/>
        <v>0</v>
      </c>
      <c r="BW236" s="299">
        <f t="shared" ca="1" si="655"/>
        <v>0</v>
      </c>
      <c r="BX236" s="380">
        <f t="shared" ca="1" si="656"/>
        <v>18.329911019849419</v>
      </c>
      <c r="BY236" s="363">
        <f t="shared" ca="1" si="657"/>
        <v>0</v>
      </c>
      <c r="BZ236" s="353">
        <f t="shared" ca="1" si="658"/>
        <v>0</v>
      </c>
      <c r="CA236" s="353">
        <f t="shared" ca="1" si="659"/>
        <v>0</v>
      </c>
      <c r="CB236" s="353">
        <f t="shared" ca="1" si="660"/>
        <v>0</v>
      </c>
      <c r="CC236" s="353">
        <f t="shared" ca="1" si="661"/>
        <v>0</v>
      </c>
      <c r="CD236" s="353">
        <f t="shared" ca="1" si="662"/>
        <v>0</v>
      </c>
      <c r="CE236" s="302">
        <f t="shared" ca="1" si="663"/>
        <v>0</v>
      </c>
      <c r="CF236" s="299">
        <f t="shared" ca="1" si="664"/>
        <v>0</v>
      </c>
      <c r="CG236" s="299">
        <f t="shared" ca="1" si="665"/>
        <v>0</v>
      </c>
      <c r="CH236" s="299">
        <f t="shared" ca="1" si="666"/>
        <v>0</v>
      </c>
      <c r="CI236" s="299">
        <f t="shared" ca="1" si="667"/>
        <v>0</v>
      </c>
      <c r="CJ236" s="299">
        <f t="shared" ca="1" si="668"/>
        <v>0</v>
      </c>
      <c r="CK236" s="299">
        <f t="shared" ca="1" si="669"/>
        <v>0</v>
      </c>
      <c r="CL236" s="377" t="str">
        <f t="shared" ca="1" si="670"/>
        <v/>
      </c>
      <c r="CM236" s="305" t="str">
        <f t="shared" ca="1" si="671"/>
        <v/>
      </c>
      <c r="CN236" s="305" t="str">
        <f t="shared" ca="1" si="672"/>
        <v/>
      </c>
      <c r="CO236" s="305" t="str">
        <f t="shared" ca="1" si="673"/>
        <v/>
      </c>
      <c r="CP236" s="305" t="str">
        <f t="shared" ca="1" si="674"/>
        <v/>
      </c>
      <c r="CQ236" s="305" t="str">
        <f t="shared" ca="1" si="675"/>
        <v/>
      </c>
      <c r="CR236" s="775" t="str">
        <f t="shared" ca="1" si="676"/>
        <v/>
      </c>
      <c r="CS236" s="305" t="str">
        <f t="shared" ca="1" si="677"/>
        <v/>
      </c>
      <c r="CT236" s="305" t="str">
        <f t="shared" ca="1" si="678"/>
        <v/>
      </c>
      <c r="CU236" s="305" t="str">
        <f t="shared" ca="1" si="679"/>
        <v/>
      </c>
      <c r="CV236" s="770" t="str">
        <f t="shared" ca="1" si="680"/>
        <v/>
      </c>
      <c r="CW236" s="302">
        <f t="shared" ca="1" si="681"/>
        <v>0</v>
      </c>
      <c r="CX236" s="299">
        <f t="shared" ca="1" si="682"/>
        <v>0</v>
      </c>
      <c r="CY236" s="299">
        <f t="shared" ca="1" si="683"/>
        <v>0</v>
      </c>
      <c r="CZ236" s="299">
        <f t="shared" ca="1" si="684"/>
        <v>0</v>
      </c>
      <c r="DA236" s="774">
        <f t="shared" ca="1" si="685"/>
        <v>0</v>
      </c>
      <c r="DB236" s="303">
        <f t="shared" ca="1" si="686"/>
        <v>0</v>
      </c>
      <c r="DC236" s="248">
        <f t="shared" ca="1" si="687"/>
        <v>0</v>
      </c>
      <c r="DD236" s="778">
        <f t="shared" ca="1" si="688"/>
        <v>0</v>
      </c>
      <c r="DE236" s="363">
        <f t="shared" ca="1" si="689"/>
        <v>0</v>
      </c>
      <c r="DF236" s="378" t="str">
        <f t="shared" ca="1" si="690"/>
        <v/>
      </c>
      <c r="DG236" s="508" t="str">
        <f t="shared" ca="1" si="691"/>
        <v/>
      </c>
      <c r="DH236" s="508" t="str">
        <f t="shared" ca="1" si="692"/>
        <v/>
      </c>
      <c r="DI236" s="508" t="str">
        <f t="shared" ca="1" si="693"/>
        <v/>
      </c>
      <c r="DJ236" s="508" t="str">
        <f t="shared" ca="1" si="694"/>
        <v/>
      </c>
      <c r="DK236" s="353">
        <f t="shared" ca="1" si="695"/>
        <v>0</v>
      </c>
      <c r="DL236" s="781">
        <f t="shared" ca="1" si="696"/>
        <v>0</v>
      </c>
      <c r="DM236" s="303">
        <f t="shared" ca="1" si="697"/>
        <v>0</v>
      </c>
      <c r="DN236" s="508" t="str">
        <f t="shared" ca="1" si="698"/>
        <v/>
      </c>
      <c r="DO236" s="508" t="str">
        <f t="shared" ca="1" si="699"/>
        <v/>
      </c>
      <c r="DP236" s="508" t="str">
        <f t="shared" ca="1" si="700"/>
        <v/>
      </c>
      <c r="DQ236" s="508" t="str">
        <f t="shared" ca="1" si="701"/>
        <v/>
      </c>
      <c r="DR236" s="508" t="str">
        <f t="shared" ca="1" si="702"/>
        <v/>
      </c>
      <c r="DS236" s="353">
        <f t="shared" ca="1" si="703"/>
        <v>0</v>
      </c>
      <c r="DT236" s="353">
        <f t="shared" ca="1" si="704"/>
        <v>0</v>
      </c>
      <c r="DU236" s="380">
        <f t="shared" ca="1" si="804"/>
        <v>18.329911019849419</v>
      </c>
      <c r="DV236" s="303">
        <f t="shared" ca="1" si="705"/>
        <v>0</v>
      </c>
      <c r="DW236" s="303">
        <f t="shared" ca="1" si="706"/>
        <v>0</v>
      </c>
      <c r="DX236" s="303">
        <f t="shared" ca="1" si="707"/>
        <v>0</v>
      </c>
      <c r="DY236" s="303">
        <f t="shared" ca="1" si="708"/>
        <v>0</v>
      </c>
      <c r="DZ236" s="303">
        <f t="shared" ca="1" si="709"/>
        <v>0</v>
      </c>
      <c r="EA236" s="303">
        <f t="shared" ca="1" si="710"/>
        <v>0</v>
      </c>
      <c r="EB236" s="302">
        <f t="shared" ca="1" si="711"/>
        <v>0</v>
      </c>
      <c r="EC236" s="299">
        <f t="shared" ca="1" si="712"/>
        <v>0</v>
      </c>
      <c r="ED236" s="299">
        <f t="shared" ca="1" si="713"/>
        <v>0</v>
      </c>
      <c r="EE236" s="299">
        <f t="shared" ca="1" si="714"/>
        <v>0</v>
      </c>
      <c r="EF236" s="299">
        <f t="shared" ca="1" si="715"/>
        <v>0</v>
      </c>
      <c r="EG236" s="299">
        <f t="shared" ca="1" si="716"/>
        <v>0</v>
      </c>
      <c r="EH236" s="302">
        <f t="shared" ca="1" si="717"/>
        <v>0</v>
      </c>
      <c r="EI236" s="304" t="str">
        <f t="shared" ca="1" si="718"/>
        <v/>
      </c>
      <c r="EJ236" s="305" t="str">
        <f t="shared" ca="1" si="719"/>
        <v/>
      </c>
      <c r="EK236" s="305" t="str">
        <f t="shared" ca="1" si="720"/>
        <v/>
      </c>
      <c r="EL236" s="305" t="str">
        <f t="shared" ca="1" si="721"/>
        <v/>
      </c>
      <c r="EM236" s="305" t="str">
        <f t="shared" ca="1" si="722"/>
        <v/>
      </c>
      <c r="EN236" s="305" t="str">
        <f t="shared" ca="1" si="723"/>
        <v/>
      </c>
      <c r="EO236" s="305" t="str">
        <f t="shared" ca="1" si="724"/>
        <v/>
      </c>
      <c r="EP236" s="305" t="str">
        <f t="shared" ca="1" si="725"/>
        <v/>
      </c>
      <c r="EQ236" s="305" t="str">
        <f t="shared" ca="1" si="726"/>
        <v/>
      </c>
      <c r="ER236" s="305" t="str">
        <f t="shared" ca="1" si="727"/>
        <v/>
      </c>
      <c r="ES236" s="305" t="str">
        <f t="shared" ca="1" si="728"/>
        <v/>
      </c>
      <c r="ET236" s="299">
        <f t="shared" ca="1" si="729"/>
        <v>0</v>
      </c>
      <c r="EU236" s="302">
        <f t="shared" ca="1" si="730"/>
        <v>0</v>
      </c>
      <c r="EV236" s="304" t="str">
        <f t="shared" ca="1" si="731"/>
        <v/>
      </c>
      <c r="EW236" s="305" t="str">
        <f t="shared" ca="1" si="732"/>
        <v/>
      </c>
      <c r="EX236" s="305" t="str">
        <f t="shared" ca="1" si="733"/>
        <v/>
      </c>
      <c r="EY236" s="305" t="str">
        <f t="shared" ca="1" si="734"/>
        <v/>
      </c>
      <c r="EZ236" s="305" t="str">
        <f t="shared" ca="1" si="735"/>
        <v/>
      </c>
      <c r="FA236" s="305" t="str">
        <f t="shared" ca="1" si="736"/>
        <v/>
      </c>
      <c r="FB236" s="305" t="str">
        <f t="shared" ca="1" si="737"/>
        <v/>
      </c>
      <c r="FC236" s="305" t="str">
        <f t="shared" ca="1" si="738"/>
        <v/>
      </c>
      <c r="FD236" s="305" t="str">
        <f t="shared" ca="1" si="739"/>
        <v/>
      </c>
      <c r="FE236" s="305" t="str">
        <f t="shared" ca="1" si="740"/>
        <v/>
      </c>
      <c r="FF236" s="305" t="str">
        <f t="shared" ca="1" si="741"/>
        <v/>
      </c>
      <c r="FG236" s="299">
        <f t="shared" ca="1" si="742"/>
        <v>0</v>
      </c>
      <c r="FH236" s="302">
        <f t="shared" ca="1" si="743"/>
        <v>0</v>
      </c>
      <c r="FI236" s="248">
        <f t="shared" ca="1" si="744"/>
        <v>0</v>
      </c>
      <c r="FJ236" s="363">
        <f t="shared" ca="1" si="745"/>
        <v>0</v>
      </c>
      <c r="FK236" s="378" t="str">
        <f t="shared" ca="1" si="746"/>
        <v/>
      </c>
      <c r="FL236" s="508" t="str">
        <f t="shared" ca="1" si="747"/>
        <v/>
      </c>
      <c r="FM236" s="508" t="str">
        <f t="shared" ca="1" si="748"/>
        <v/>
      </c>
      <c r="FN236" s="508" t="str">
        <f t="shared" ca="1" si="749"/>
        <v/>
      </c>
      <c r="FO236" s="508" t="str">
        <f t="shared" ca="1" si="750"/>
        <v/>
      </c>
      <c r="FP236" s="353">
        <f t="shared" ca="1" si="751"/>
        <v>0</v>
      </c>
      <c r="FQ236" s="356">
        <f t="shared" ca="1" si="752"/>
        <v>0</v>
      </c>
      <c r="FR236" s="380">
        <f t="shared" ca="1" si="753"/>
        <v>0</v>
      </c>
      <c r="FS236" s="299">
        <f t="shared" ca="1" si="754"/>
        <v>0</v>
      </c>
      <c r="FT236" s="299">
        <f t="shared" ca="1" si="755"/>
        <v>0</v>
      </c>
      <c r="FU236" s="299">
        <f t="shared" ca="1" si="756"/>
        <v>0</v>
      </c>
      <c r="FV236" s="299">
        <f t="shared" ca="1" si="757"/>
        <v>0</v>
      </c>
      <c r="FW236" s="850" t="str">
        <f t="shared" ca="1" si="758"/>
        <v/>
      </c>
      <c r="FX236" s="851" t="str">
        <f t="shared" ca="1" si="759"/>
        <v/>
      </c>
      <c r="FY236" s="851" t="str">
        <f t="shared" ca="1" si="760"/>
        <v/>
      </c>
      <c r="FZ236" s="201" t="str">
        <f t="shared" ca="1" si="761"/>
        <v/>
      </c>
      <c r="GA236" s="201" t="str">
        <f t="shared" ca="1" si="762"/>
        <v/>
      </c>
      <c r="GB236" s="201" t="str">
        <f t="shared" ca="1" si="763"/>
        <v/>
      </c>
      <c r="GC236" s="201" t="str">
        <f t="shared" ca="1" si="764"/>
        <v/>
      </c>
      <c r="GD236" s="850" t="str">
        <f t="shared" ca="1" si="765"/>
        <v/>
      </c>
      <c r="GE236" s="866" t="str">
        <f t="shared" ca="1" si="766"/>
        <v/>
      </c>
      <c r="GF236" s="866" t="str">
        <f t="shared" ca="1" si="767"/>
        <v/>
      </c>
      <c r="GG236" s="866" t="str">
        <f t="shared" ca="1" si="768"/>
        <v/>
      </c>
      <c r="GH236" s="866" t="str">
        <f t="shared" ca="1" si="769"/>
        <v/>
      </c>
      <c r="GI236" s="302">
        <f t="shared" ca="1" si="770"/>
        <v>0</v>
      </c>
      <c r="GJ236" s="299">
        <f t="shared" ca="1" si="771"/>
        <v>0</v>
      </c>
      <c r="GK236" s="299">
        <f t="shared" ca="1" si="772"/>
        <v>0</v>
      </c>
      <c r="GL236" s="299">
        <f t="shared" ca="1" si="773"/>
        <v>0</v>
      </c>
      <c r="GM236" s="299">
        <f t="shared" ca="1" si="774"/>
        <v>0</v>
      </c>
      <c r="GN236" s="302">
        <f t="shared" ca="1" si="775"/>
        <v>0</v>
      </c>
      <c r="GO236" s="299">
        <f t="shared" ca="1" si="776"/>
        <v>0</v>
      </c>
      <c r="GP236" s="299">
        <f t="shared" ca="1" si="777"/>
        <v>0</v>
      </c>
      <c r="GQ236" s="299">
        <f t="shared" ca="1" si="778"/>
        <v>0</v>
      </c>
      <c r="GR236" s="299">
        <f t="shared" ca="1" si="779"/>
        <v>0</v>
      </c>
      <c r="GS236" s="302">
        <f t="shared" ca="1" si="780"/>
        <v>0</v>
      </c>
      <c r="GT236" s="299">
        <f t="shared" ca="1" si="781"/>
        <v>0</v>
      </c>
      <c r="GU236" s="299">
        <f t="shared" ca="1" si="782"/>
        <v>0</v>
      </c>
      <c r="GV236" s="299">
        <f t="shared" ca="1" si="783"/>
        <v>0</v>
      </c>
      <c r="GW236" s="299">
        <f t="shared" ca="1" si="784"/>
        <v>0</v>
      </c>
      <c r="GX236" s="303">
        <f t="shared" ca="1" si="785"/>
        <v>0</v>
      </c>
      <c r="GY236" s="303">
        <f t="shared" ca="1" si="786"/>
        <v>0</v>
      </c>
      <c r="GZ236" s="303">
        <f t="shared" ca="1" si="787"/>
        <v>0</v>
      </c>
      <c r="HA236" s="303">
        <f t="shared" ca="1" si="788"/>
        <v>0</v>
      </c>
      <c r="HB236" s="303">
        <f t="shared" ca="1" si="789"/>
        <v>0</v>
      </c>
      <c r="HC236" s="303">
        <f t="shared" ca="1" si="790"/>
        <v>0</v>
      </c>
      <c r="HD236" s="303">
        <f t="shared" ca="1" si="791"/>
        <v>0</v>
      </c>
      <c r="HE236" s="303">
        <f t="shared" ca="1" si="792"/>
        <v>0</v>
      </c>
      <c r="HF236" s="303">
        <f t="shared" ca="1" si="793"/>
        <v>0</v>
      </c>
      <c r="HG236" s="852">
        <f t="shared" ca="1" si="794"/>
        <v>0</v>
      </c>
    </row>
    <row r="237" spans="1:215" x14ac:dyDescent="0.25">
      <c r="A237" s="244">
        <f t="shared" ca="1" si="795"/>
        <v>43313</v>
      </c>
      <c r="B237" s="13">
        <f t="shared" ca="1" si="817"/>
        <v>2018</v>
      </c>
      <c r="C237" s="619">
        <f t="shared" ca="1" si="818"/>
        <v>8</v>
      </c>
      <c r="D237" s="195" t="str">
        <f t="shared" ca="1" si="625"/>
        <v/>
      </c>
      <c r="E237" s="469" t="str">
        <f t="shared" ca="1" si="626"/>
        <v/>
      </c>
      <c r="F237" s="465" t="str">
        <f t="shared" ca="1" si="627"/>
        <v/>
      </c>
      <c r="G237" s="522">
        <f t="shared" ca="1" si="796"/>
        <v>1</v>
      </c>
      <c r="H237" s="519">
        <f t="shared" ca="1" si="797"/>
        <v>1</v>
      </c>
      <c r="I237" s="724">
        <f t="shared" ca="1" si="819"/>
        <v>7.4175449317091996E-2</v>
      </c>
      <c r="J237" s="198">
        <f t="shared" ca="1" si="629"/>
        <v>0.25893582180209074</v>
      </c>
      <c r="K237" s="200">
        <f t="shared" ca="1" si="805"/>
        <v>83</v>
      </c>
      <c r="L237" s="201">
        <f t="shared" ca="1" si="806"/>
        <v>88</v>
      </c>
      <c r="M237" s="206">
        <f t="shared" ca="1" si="807"/>
        <v>93</v>
      </c>
      <c r="N237" s="851">
        <f t="shared" ca="1" si="811"/>
        <v>40.772499084472699</v>
      </c>
      <c r="O237" s="201">
        <f t="shared" ca="1" si="812"/>
        <v>44.522499084472699</v>
      </c>
      <c r="P237" s="206">
        <f t="shared" ca="1" si="813"/>
        <v>48.272499084472699</v>
      </c>
      <c r="Q237" s="201">
        <f t="shared" ca="1" si="814"/>
        <v>28.945000839233412</v>
      </c>
      <c r="R237" s="201">
        <f t="shared" ca="1" si="815"/>
        <v>33.245000839233413</v>
      </c>
      <c r="S237" s="201">
        <f t="shared" ca="1" si="816"/>
        <v>37.54500083923341</v>
      </c>
      <c r="T237" s="851">
        <f t="shared" ca="1" si="808"/>
        <v>23.899998092651359</v>
      </c>
      <c r="U237" s="201">
        <f t="shared" ca="1" si="809"/>
        <v>26.399998092651359</v>
      </c>
      <c r="V237" s="206">
        <f t="shared" ca="1" si="810"/>
        <v>28.899998092651359</v>
      </c>
      <c r="W237" s="230">
        <f t="shared" ca="1" si="798"/>
        <v>8.3446365901367253E-2</v>
      </c>
      <c r="X237" s="231">
        <f t="shared" ca="1" si="799"/>
        <v>0.16689273180273451</v>
      </c>
      <c r="Y237" s="232">
        <f t="shared" ca="1" si="800"/>
        <v>0.25033909770410179</v>
      </c>
      <c r="Z237" s="231">
        <f t="shared" ca="1" si="820"/>
        <v>8.3446365901367253E-2</v>
      </c>
      <c r="AA237" s="231">
        <f t="shared" ca="1" si="821"/>
        <v>0.16689273180273451</v>
      </c>
      <c r="AB237" s="232">
        <f t="shared" ca="1" si="822"/>
        <v>0.25033909770410179</v>
      </c>
      <c r="AC237" s="231">
        <f t="shared" ca="1" si="823"/>
        <v>8.3446365901367253E-2</v>
      </c>
      <c r="AD237" s="231">
        <f t="shared" ca="1" si="824"/>
        <v>0.16689273180273451</v>
      </c>
      <c r="AE237" s="232">
        <f t="shared" ca="1" si="630"/>
        <v>0.25033909770410179</v>
      </c>
      <c r="AF237" s="231">
        <f t="shared" ca="1" si="801"/>
        <v>4.1708119851421963E-2</v>
      </c>
      <c r="AG237" s="231">
        <f t="shared" ca="1" si="802"/>
        <v>8.3416239702843925E-2</v>
      </c>
      <c r="AH237" s="232">
        <f t="shared" ca="1" si="803"/>
        <v>0.12512435955426587</v>
      </c>
      <c r="AI237" s="233">
        <f t="shared" ca="1" si="631"/>
        <v>1</v>
      </c>
      <c r="AJ237" s="233">
        <f t="shared" ca="1" si="632"/>
        <v>1.25</v>
      </c>
      <c r="AK237" s="234">
        <f t="shared" ca="1" si="633"/>
        <v>1.55</v>
      </c>
      <c r="AL237" s="919">
        <f t="shared" ca="1" si="634"/>
        <v>1</v>
      </c>
      <c r="AM237" s="233">
        <f t="shared" ca="1" si="635"/>
        <v>1.25</v>
      </c>
      <c r="AN237" s="234">
        <f t="shared" ca="1" si="636"/>
        <v>1.55</v>
      </c>
      <c r="AO237" s="233">
        <f t="shared" ca="1" si="637"/>
        <v>1</v>
      </c>
      <c r="AP237" s="233">
        <f t="shared" ca="1" si="638"/>
        <v>1.25</v>
      </c>
      <c r="AQ237" s="233">
        <f t="shared" ca="1" si="639"/>
        <v>1.55</v>
      </c>
      <c r="AR237" s="919">
        <f t="shared" ca="1" si="640"/>
        <v>0.6</v>
      </c>
      <c r="AS237" s="233">
        <f t="shared" ca="1" si="641"/>
        <v>0.75</v>
      </c>
      <c r="AT237" s="235">
        <f t="shared" ca="1" si="642"/>
        <v>0.95</v>
      </c>
      <c r="AU237" s="946">
        <f t="shared" si="643"/>
        <v>0.5</v>
      </c>
      <c r="AV237" s="13">
        <f t="shared" ca="1" si="644"/>
        <v>0</v>
      </c>
      <c r="AW237" s="210">
        <f t="shared" ca="1" si="645"/>
        <v>0</v>
      </c>
      <c r="AX237" s="210">
        <f t="shared" ca="1" si="646"/>
        <v>0</v>
      </c>
      <c r="AY237" s="210">
        <f t="shared" ca="1" si="647"/>
        <v>0</v>
      </c>
      <c r="AZ237" s="13">
        <f t="shared" ca="1" si="648"/>
        <v>0</v>
      </c>
      <c r="BA237" s="357">
        <f ca="1"/>
        <v>0</v>
      </c>
      <c r="BB237" s="925">
        <f ca="1"/>
        <v>0</v>
      </c>
      <c r="BC237" s="925">
        <f ca="1"/>
        <v>0</v>
      </c>
      <c r="BD237" s="928">
        <f ca="1"/>
        <v>0</v>
      </c>
      <c r="BE237" s="200">
        <f ca="1"/>
        <v>0</v>
      </c>
      <c r="BF237" s="851">
        <f ca="1"/>
        <v>0</v>
      </c>
      <c r="BG237" s="851">
        <f ca="1"/>
        <v>0</v>
      </c>
      <c r="BH237" s="933">
        <f ca="1"/>
        <v>0</v>
      </c>
      <c r="BI237" s="357">
        <f ca="1"/>
        <v>0</v>
      </c>
      <c r="BJ237" s="925">
        <f ca="1"/>
        <v>0</v>
      </c>
      <c r="BK237" s="925">
        <f ca="1"/>
        <v>0</v>
      </c>
      <c r="BL237" s="928">
        <f ca="1"/>
        <v>0</v>
      </c>
      <c r="BM237" s="200">
        <f ca="1"/>
        <v>0</v>
      </c>
      <c r="BN237" s="851">
        <f ca="1"/>
        <v>0</v>
      </c>
      <c r="BO237" s="851">
        <f ca="1"/>
        <v>0</v>
      </c>
      <c r="BP237" s="933">
        <f ca="1"/>
        <v>0</v>
      </c>
      <c r="BQ237" s="357">
        <f t="shared" ca="1" si="649"/>
        <v>0</v>
      </c>
      <c r="BR237" s="361">
        <f t="shared" ca="1" si="650"/>
        <v>0</v>
      </c>
      <c r="BS237" s="357">
        <f t="shared" ca="1" si="651"/>
        <v>0</v>
      </c>
      <c r="BT237" s="302">
        <f t="shared" ca="1" si="652"/>
        <v>0</v>
      </c>
      <c r="BU237" s="299">
        <f t="shared" ca="1" si="653"/>
        <v>0</v>
      </c>
      <c r="BV237" s="299">
        <f t="shared" ca="1" si="654"/>
        <v>0</v>
      </c>
      <c r="BW237" s="299">
        <f t="shared" ca="1" si="655"/>
        <v>0</v>
      </c>
      <c r="BX237" s="380">
        <f t="shared" ca="1" si="656"/>
        <v>18.414784394250514</v>
      </c>
      <c r="BY237" s="363">
        <f t="shared" ca="1" si="657"/>
        <v>0</v>
      </c>
      <c r="BZ237" s="353">
        <f t="shared" ca="1" si="658"/>
        <v>0</v>
      </c>
      <c r="CA237" s="353">
        <f t="shared" ca="1" si="659"/>
        <v>0</v>
      </c>
      <c r="CB237" s="353">
        <f t="shared" ca="1" si="660"/>
        <v>0</v>
      </c>
      <c r="CC237" s="353">
        <f t="shared" ca="1" si="661"/>
        <v>0</v>
      </c>
      <c r="CD237" s="353">
        <f t="shared" ca="1" si="662"/>
        <v>0</v>
      </c>
      <c r="CE237" s="302">
        <f t="shared" ca="1" si="663"/>
        <v>0</v>
      </c>
      <c r="CF237" s="299">
        <f t="shared" ca="1" si="664"/>
        <v>0</v>
      </c>
      <c r="CG237" s="299">
        <f t="shared" ca="1" si="665"/>
        <v>0</v>
      </c>
      <c r="CH237" s="299">
        <f t="shared" ca="1" si="666"/>
        <v>0</v>
      </c>
      <c r="CI237" s="299">
        <f t="shared" ca="1" si="667"/>
        <v>0</v>
      </c>
      <c r="CJ237" s="299">
        <f t="shared" ca="1" si="668"/>
        <v>0</v>
      </c>
      <c r="CK237" s="299">
        <f t="shared" ca="1" si="669"/>
        <v>0</v>
      </c>
      <c r="CL237" s="377" t="str">
        <f t="shared" ca="1" si="670"/>
        <v/>
      </c>
      <c r="CM237" s="305" t="str">
        <f t="shared" ca="1" si="671"/>
        <v/>
      </c>
      <c r="CN237" s="305" t="str">
        <f t="shared" ca="1" si="672"/>
        <v/>
      </c>
      <c r="CO237" s="305" t="str">
        <f t="shared" ca="1" si="673"/>
        <v/>
      </c>
      <c r="CP237" s="305" t="str">
        <f t="shared" ca="1" si="674"/>
        <v/>
      </c>
      <c r="CQ237" s="305" t="str">
        <f t="shared" ca="1" si="675"/>
        <v/>
      </c>
      <c r="CR237" s="775" t="str">
        <f t="shared" ca="1" si="676"/>
        <v/>
      </c>
      <c r="CS237" s="305" t="str">
        <f t="shared" ca="1" si="677"/>
        <v/>
      </c>
      <c r="CT237" s="305" t="str">
        <f t="shared" ca="1" si="678"/>
        <v/>
      </c>
      <c r="CU237" s="305" t="str">
        <f t="shared" ca="1" si="679"/>
        <v/>
      </c>
      <c r="CV237" s="770" t="str">
        <f t="shared" ca="1" si="680"/>
        <v/>
      </c>
      <c r="CW237" s="302">
        <f t="shared" ca="1" si="681"/>
        <v>0</v>
      </c>
      <c r="CX237" s="299">
        <f t="shared" ca="1" si="682"/>
        <v>0</v>
      </c>
      <c r="CY237" s="299">
        <f t="shared" ca="1" si="683"/>
        <v>0</v>
      </c>
      <c r="CZ237" s="299">
        <f t="shared" ca="1" si="684"/>
        <v>0</v>
      </c>
      <c r="DA237" s="774">
        <f t="shared" ca="1" si="685"/>
        <v>0</v>
      </c>
      <c r="DB237" s="303">
        <f t="shared" ca="1" si="686"/>
        <v>0</v>
      </c>
      <c r="DC237" s="248">
        <f t="shared" ca="1" si="687"/>
        <v>0</v>
      </c>
      <c r="DD237" s="778">
        <f t="shared" ca="1" si="688"/>
        <v>0</v>
      </c>
      <c r="DE237" s="363">
        <f t="shared" ca="1" si="689"/>
        <v>0</v>
      </c>
      <c r="DF237" s="378" t="str">
        <f t="shared" ca="1" si="690"/>
        <v/>
      </c>
      <c r="DG237" s="508" t="str">
        <f t="shared" ca="1" si="691"/>
        <v/>
      </c>
      <c r="DH237" s="508" t="str">
        <f t="shared" ca="1" si="692"/>
        <v/>
      </c>
      <c r="DI237" s="508" t="str">
        <f t="shared" ca="1" si="693"/>
        <v/>
      </c>
      <c r="DJ237" s="508" t="str">
        <f t="shared" ca="1" si="694"/>
        <v/>
      </c>
      <c r="DK237" s="353">
        <f t="shared" ca="1" si="695"/>
        <v>0</v>
      </c>
      <c r="DL237" s="781">
        <f t="shared" ca="1" si="696"/>
        <v>0</v>
      </c>
      <c r="DM237" s="303">
        <f t="shared" ca="1" si="697"/>
        <v>0</v>
      </c>
      <c r="DN237" s="508" t="str">
        <f t="shared" ca="1" si="698"/>
        <v/>
      </c>
      <c r="DO237" s="508" t="str">
        <f t="shared" ca="1" si="699"/>
        <v/>
      </c>
      <c r="DP237" s="508" t="str">
        <f t="shared" ca="1" si="700"/>
        <v/>
      </c>
      <c r="DQ237" s="508" t="str">
        <f t="shared" ca="1" si="701"/>
        <v/>
      </c>
      <c r="DR237" s="508" t="str">
        <f t="shared" ca="1" si="702"/>
        <v/>
      </c>
      <c r="DS237" s="353">
        <f t="shared" ca="1" si="703"/>
        <v>0</v>
      </c>
      <c r="DT237" s="353">
        <f t="shared" ca="1" si="704"/>
        <v>0</v>
      </c>
      <c r="DU237" s="380">
        <f t="shared" ca="1" si="804"/>
        <v>18.414784394250514</v>
      </c>
      <c r="DV237" s="303">
        <f t="shared" ca="1" si="705"/>
        <v>0</v>
      </c>
      <c r="DW237" s="303">
        <f t="shared" ca="1" si="706"/>
        <v>0</v>
      </c>
      <c r="DX237" s="303">
        <f t="shared" ca="1" si="707"/>
        <v>0</v>
      </c>
      <c r="DY237" s="303">
        <f t="shared" ca="1" si="708"/>
        <v>0</v>
      </c>
      <c r="DZ237" s="303">
        <f t="shared" ca="1" si="709"/>
        <v>0</v>
      </c>
      <c r="EA237" s="303">
        <f t="shared" ca="1" si="710"/>
        <v>0</v>
      </c>
      <c r="EB237" s="302">
        <f t="shared" ca="1" si="711"/>
        <v>0</v>
      </c>
      <c r="EC237" s="299">
        <f t="shared" ca="1" si="712"/>
        <v>0</v>
      </c>
      <c r="ED237" s="299">
        <f t="shared" ca="1" si="713"/>
        <v>0</v>
      </c>
      <c r="EE237" s="299">
        <f t="shared" ca="1" si="714"/>
        <v>0</v>
      </c>
      <c r="EF237" s="299">
        <f t="shared" ca="1" si="715"/>
        <v>0</v>
      </c>
      <c r="EG237" s="299">
        <f t="shared" ca="1" si="716"/>
        <v>0</v>
      </c>
      <c r="EH237" s="302">
        <f t="shared" ca="1" si="717"/>
        <v>0</v>
      </c>
      <c r="EI237" s="304" t="str">
        <f t="shared" ca="1" si="718"/>
        <v/>
      </c>
      <c r="EJ237" s="305" t="str">
        <f t="shared" ca="1" si="719"/>
        <v/>
      </c>
      <c r="EK237" s="305" t="str">
        <f t="shared" ca="1" si="720"/>
        <v/>
      </c>
      <c r="EL237" s="305" t="str">
        <f t="shared" ca="1" si="721"/>
        <v/>
      </c>
      <c r="EM237" s="305" t="str">
        <f t="shared" ca="1" si="722"/>
        <v/>
      </c>
      <c r="EN237" s="305" t="str">
        <f t="shared" ca="1" si="723"/>
        <v/>
      </c>
      <c r="EO237" s="305" t="str">
        <f t="shared" ca="1" si="724"/>
        <v/>
      </c>
      <c r="EP237" s="305" t="str">
        <f t="shared" ca="1" si="725"/>
        <v/>
      </c>
      <c r="EQ237" s="305" t="str">
        <f t="shared" ca="1" si="726"/>
        <v/>
      </c>
      <c r="ER237" s="305" t="str">
        <f t="shared" ca="1" si="727"/>
        <v/>
      </c>
      <c r="ES237" s="305" t="str">
        <f t="shared" ca="1" si="728"/>
        <v/>
      </c>
      <c r="ET237" s="299">
        <f t="shared" ca="1" si="729"/>
        <v>0</v>
      </c>
      <c r="EU237" s="302">
        <f t="shared" ca="1" si="730"/>
        <v>0</v>
      </c>
      <c r="EV237" s="304" t="str">
        <f t="shared" ca="1" si="731"/>
        <v/>
      </c>
      <c r="EW237" s="305" t="str">
        <f t="shared" ca="1" si="732"/>
        <v/>
      </c>
      <c r="EX237" s="305" t="str">
        <f t="shared" ca="1" si="733"/>
        <v/>
      </c>
      <c r="EY237" s="305" t="str">
        <f t="shared" ca="1" si="734"/>
        <v/>
      </c>
      <c r="EZ237" s="305" t="str">
        <f t="shared" ca="1" si="735"/>
        <v/>
      </c>
      <c r="FA237" s="305" t="str">
        <f t="shared" ca="1" si="736"/>
        <v/>
      </c>
      <c r="FB237" s="305" t="str">
        <f t="shared" ca="1" si="737"/>
        <v/>
      </c>
      <c r="FC237" s="305" t="str">
        <f t="shared" ca="1" si="738"/>
        <v/>
      </c>
      <c r="FD237" s="305" t="str">
        <f t="shared" ca="1" si="739"/>
        <v/>
      </c>
      <c r="FE237" s="305" t="str">
        <f t="shared" ca="1" si="740"/>
        <v/>
      </c>
      <c r="FF237" s="305" t="str">
        <f t="shared" ca="1" si="741"/>
        <v/>
      </c>
      <c r="FG237" s="299">
        <f t="shared" ca="1" si="742"/>
        <v>0</v>
      </c>
      <c r="FH237" s="302">
        <f t="shared" ca="1" si="743"/>
        <v>0</v>
      </c>
      <c r="FI237" s="248">
        <f t="shared" ca="1" si="744"/>
        <v>0</v>
      </c>
      <c r="FJ237" s="363">
        <f t="shared" ca="1" si="745"/>
        <v>0</v>
      </c>
      <c r="FK237" s="378" t="str">
        <f t="shared" ca="1" si="746"/>
        <v/>
      </c>
      <c r="FL237" s="508" t="str">
        <f t="shared" ca="1" si="747"/>
        <v/>
      </c>
      <c r="FM237" s="508" t="str">
        <f t="shared" ca="1" si="748"/>
        <v/>
      </c>
      <c r="FN237" s="508" t="str">
        <f t="shared" ca="1" si="749"/>
        <v/>
      </c>
      <c r="FO237" s="508" t="str">
        <f t="shared" ca="1" si="750"/>
        <v/>
      </c>
      <c r="FP237" s="353">
        <f t="shared" ca="1" si="751"/>
        <v>0</v>
      </c>
      <c r="FQ237" s="356">
        <f t="shared" ca="1" si="752"/>
        <v>0</v>
      </c>
      <c r="FR237" s="380">
        <f t="shared" ca="1" si="753"/>
        <v>0</v>
      </c>
      <c r="FS237" s="299">
        <f t="shared" ca="1" si="754"/>
        <v>0</v>
      </c>
      <c r="FT237" s="299">
        <f t="shared" ca="1" si="755"/>
        <v>0</v>
      </c>
      <c r="FU237" s="299">
        <f t="shared" ca="1" si="756"/>
        <v>0</v>
      </c>
      <c r="FV237" s="299">
        <f t="shared" ca="1" si="757"/>
        <v>0</v>
      </c>
      <c r="FW237" s="850" t="str">
        <f t="shared" ca="1" si="758"/>
        <v/>
      </c>
      <c r="FX237" s="851" t="str">
        <f t="shared" ca="1" si="759"/>
        <v/>
      </c>
      <c r="FY237" s="851" t="str">
        <f t="shared" ca="1" si="760"/>
        <v/>
      </c>
      <c r="FZ237" s="201" t="str">
        <f t="shared" ca="1" si="761"/>
        <v/>
      </c>
      <c r="GA237" s="201" t="str">
        <f t="shared" ca="1" si="762"/>
        <v/>
      </c>
      <c r="GB237" s="201" t="str">
        <f t="shared" ca="1" si="763"/>
        <v/>
      </c>
      <c r="GC237" s="201" t="str">
        <f t="shared" ca="1" si="764"/>
        <v/>
      </c>
      <c r="GD237" s="850" t="str">
        <f t="shared" ca="1" si="765"/>
        <v/>
      </c>
      <c r="GE237" s="866" t="str">
        <f t="shared" ca="1" si="766"/>
        <v/>
      </c>
      <c r="GF237" s="866" t="str">
        <f t="shared" ca="1" si="767"/>
        <v/>
      </c>
      <c r="GG237" s="866" t="str">
        <f t="shared" ca="1" si="768"/>
        <v/>
      </c>
      <c r="GH237" s="866" t="str">
        <f t="shared" ca="1" si="769"/>
        <v/>
      </c>
      <c r="GI237" s="302">
        <f t="shared" ca="1" si="770"/>
        <v>0</v>
      </c>
      <c r="GJ237" s="299">
        <f t="shared" ca="1" si="771"/>
        <v>0</v>
      </c>
      <c r="GK237" s="299">
        <f t="shared" ca="1" si="772"/>
        <v>0</v>
      </c>
      <c r="GL237" s="299">
        <f t="shared" ca="1" si="773"/>
        <v>0</v>
      </c>
      <c r="GM237" s="299">
        <f t="shared" ca="1" si="774"/>
        <v>0</v>
      </c>
      <c r="GN237" s="302">
        <f t="shared" ca="1" si="775"/>
        <v>0</v>
      </c>
      <c r="GO237" s="299">
        <f t="shared" ca="1" si="776"/>
        <v>0</v>
      </c>
      <c r="GP237" s="299">
        <f t="shared" ca="1" si="777"/>
        <v>0</v>
      </c>
      <c r="GQ237" s="299">
        <f t="shared" ca="1" si="778"/>
        <v>0</v>
      </c>
      <c r="GR237" s="299">
        <f t="shared" ca="1" si="779"/>
        <v>0</v>
      </c>
      <c r="GS237" s="302">
        <f t="shared" ca="1" si="780"/>
        <v>0</v>
      </c>
      <c r="GT237" s="299">
        <f t="shared" ca="1" si="781"/>
        <v>0</v>
      </c>
      <c r="GU237" s="299">
        <f t="shared" ca="1" si="782"/>
        <v>0</v>
      </c>
      <c r="GV237" s="299">
        <f t="shared" ca="1" si="783"/>
        <v>0</v>
      </c>
      <c r="GW237" s="299">
        <f t="shared" ca="1" si="784"/>
        <v>0</v>
      </c>
      <c r="GX237" s="303">
        <f t="shared" ca="1" si="785"/>
        <v>0</v>
      </c>
      <c r="GY237" s="303">
        <f t="shared" ca="1" si="786"/>
        <v>0</v>
      </c>
      <c r="GZ237" s="303">
        <f t="shared" ca="1" si="787"/>
        <v>0</v>
      </c>
      <c r="HA237" s="303">
        <f t="shared" ca="1" si="788"/>
        <v>0</v>
      </c>
      <c r="HB237" s="303">
        <f t="shared" ca="1" si="789"/>
        <v>0</v>
      </c>
      <c r="HC237" s="303">
        <f t="shared" ca="1" si="790"/>
        <v>0</v>
      </c>
      <c r="HD237" s="303">
        <f t="shared" ca="1" si="791"/>
        <v>0</v>
      </c>
      <c r="HE237" s="303">
        <f t="shared" ca="1" si="792"/>
        <v>0</v>
      </c>
      <c r="HF237" s="303">
        <f t="shared" ca="1" si="793"/>
        <v>0</v>
      </c>
      <c r="HG237" s="852">
        <f t="shared" ca="1" si="794"/>
        <v>0</v>
      </c>
    </row>
    <row r="238" spans="1:215" x14ac:dyDescent="0.25">
      <c r="A238" s="244">
        <f t="shared" ca="1" si="795"/>
        <v>43344</v>
      </c>
      <c r="B238" s="13">
        <f t="shared" ca="1" si="817"/>
        <v>2018</v>
      </c>
      <c r="C238" s="619">
        <f t="shared" ca="1" si="818"/>
        <v>9</v>
      </c>
      <c r="D238" s="195">
        <f t="shared" ca="1" si="625"/>
        <v>43346</v>
      </c>
      <c r="E238" s="469" t="str">
        <f t="shared" ca="1" si="626"/>
        <v/>
      </c>
      <c r="F238" s="465" t="str">
        <f t="shared" ca="1" si="627"/>
        <v/>
      </c>
      <c r="G238" s="522">
        <f t="shared" ca="1" si="796"/>
        <v>1</v>
      </c>
      <c r="H238" s="519">
        <f t="shared" ca="1" si="797"/>
        <v>1</v>
      </c>
      <c r="I238" s="724">
        <f t="shared" ca="1" si="819"/>
        <v>7.4175154599212992E-2</v>
      </c>
      <c r="J238" s="198">
        <f t="shared" ca="1" si="629"/>
        <v>0.25739280807630971</v>
      </c>
      <c r="K238" s="200" t="e">
        <f t="shared" ca="1" si="805"/>
        <v>#N/A</v>
      </c>
      <c r="L238" s="201" t="e">
        <f t="shared" ca="1" si="806"/>
        <v>#N/A</v>
      </c>
      <c r="M238" s="206" t="e">
        <f t="shared" ca="1" si="807"/>
        <v>#N/A</v>
      </c>
      <c r="N238" s="851" t="e">
        <f t="shared" ca="1" si="811"/>
        <v>#N/A</v>
      </c>
      <c r="O238" s="201" t="e">
        <f t="shared" ca="1" si="812"/>
        <v>#N/A</v>
      </c>
      <c r="P238" s="206" t="e">
        <f t="shared" ca="1" si="813"/>
        <v>#N/A</v>
      </c>
      <c r="Q238" s="201" t="e">
        <f t="shared" ca="1" si="814"/>
        <v>#N/A</v>
      </c>
      <c r="R238" s="201" t="e">
        <f t="shared" ca="1" si="815"/>
        <v>#N/A</v>
      </c>
      <c r="S238" s="201" t="e">
        <f t="shared" ca="1" si="816"/>
        <v>#N/A</v>
      </c>
      <c r="T238" s="851" t="e">
        <f t="shared" ca="1" si="808"/>
        <v>#N/A</v>
      </c>
      <c r="U238" s="201" t="e">
        <f t="shared" ca="1" si="809"/>
        <v>#N/A</v>
      </c>
      <c r="V238" s="206" t="e">
        <f t="shared" ca="1" si="810"/>
        <v>#N/A</v>
      </c>
      <c r="W238" s="230" t="e">
        <f t="shared" ca="1" si="798"/>
        <v>#N/A</v>
      </c>
      <c r="X238" s="231" t="e">
        <f t="shared" ca="1" si="799"/>
        <v>#N/A</v>
      </c>
      <c r="Y238" s="232" t="e">
        <f t="shared" ca="1" si="800"/>
        <v>#N/A</v>
      </c>
      <c r="Z238" s="231" t="e">
        <f t="shared" ca="1" si="820"/>
        <v>#N/A</v>
      </c>
      <c r="AA238" s="231" t="e">
        <f t="shared" ca="1" si="821"/>
        <v>#N/A</v>
      </c>
      <c r="AB238" s="232" t="e">
        <f t="shared" ca="1" si="822"/>
        <v>#N/A</v>
      </c>
      <c r="AC238" s="231" t="e">
        <f t="shared" ca="1" si="823"/>
        <v>#N/A</v>
      </c>
      <c r="AD238" s="231" t="e">
        <f t="shared" ca="1" si="824"/>
        <v>#N/A</v>
      </c>
      <c r="AE238" s="232" t="e">
        <f t="shared" ca="1" si="630"/>
        <v>#N/A</v>
      </c>
      <c r="AF238" s="231" t="e">
        <f t="shared" ca="1" si="801"/>
        <v>#N/A</v>
      </c>
      <c r="AG238" s="231" t="e">
        <f t="shared" ca="1" si="802"/>
        <v>#N/A</v>
      </c>
      <c r="AH238" s="232" t="e">
        <f t="shared" ca="1" si="803"/>
        <v>#N/A</v>
      </c>
      <c r="AI238" s="233" t="e">
        <f t="shared" ca="1" si="631"/>
        <v>#N/A</v>
      </c>
      <c r="AJ238" s="233" t="e">
        <f t="shared" ca="1" si="632"/>
        <v>#N/A</v>
      </c>
      <c r="AK238" s="234" t="e">
        <f t="shared" ca="1" si="633"/>
        <v>#N/A</v>
      </c>
      <c r="AL238" s="919" t="e">
        <f t="shared" ca="1" si="634"/>
        <v>#N/A</v>
      </c>
      <c r="AM238" s="233" t="e">
        <f t="shared" ca="1" si="635"/>
        <v>#N/A</v>
      </c>
      <c r="AN238" s="234" t="e">
        <f t="shared" ca="1" si="636"/>
        <v>#N/A</v>
      </c>
      <c r="AO238" s="233" t="e">
        <f t="shared" ca="1" si="637"/>
        <v>#N/A</v>
      </c>
      <c r="AP238" s="233" t="e">
        <f t="shared" ca="1" si="638"/>
        <v>#N/A</v>
      </c>
      <c r="AQ238" s="233" t="e">
        <f t="shared" ca="1" si="639"/>
        <v>#N/A</v>
      </c>
      <c r="AR238" s="919" t="e">
        <f t="shared" ca="1" si="640"/>
        <v>#N/A</v>
      </c>
      <c r="AS238" s="233" t="e">
        <f t="shared" ca="1" si="641"/>
        <v>#N/A</v>
      </c>
      <c r="AT238" s="235" t="e">
        <f t="shared" ca="1" si="642"/>
        <v>#N/A</v>
      </c>
      <c r="AU238" s="946">
        <f t="shared" si="643"/>
        <v>0.5</v>
      </c>
      <c r="AV238" s="13">
        <f t="shared" ca="1" si="644"/>
        <v>0</v>
      </c>
      <c r="AW238" s="210">
        <f t="shared" ca="1" si="645"/>
        <v>0</v>
      </c>
      <c r="AX238" s="210">
        <f t="shared" ca="1" si="646"/>
        <v>0</v>
      </c>
      <c r="AY238" s="210">
        <f t="shared" ca="1" si="647"/>
        <v>0</v>
      </c>
      <c r="AZ238" s="13">
        <f t="shared" ca="1" si="648"/>
        <v>0</v>
      </c>
      <c r="BA238" s="357">
        <f ca="1"/>
        <v>0</v>
      </c>
      <c r="BB238" s="925">
        <f ca="1"/>
        <v>0</v>
      </c>
      <c r="BC238" s="925">
        <f ca="1"/>
        <v>0</v>
      </c>
      <c r="BD238" s="928">
        <f ca="1"/>
        <v>0</v>
      </c>
      <c r="BE238" s="200">
        <f ca="1"/>
        <v>0</v>
      </c>
      <c r="BF238" s="851">
        <f ca="1"/>
        <v>0</v>
      </c>
      <c r="BG238" s="851">
        <f ca="1"/>
        <v>0</v>
      </c>
      <c r="BH238" s="933">
        <f ca="1"/>
        <v>0</v>
      </c>
      <c r="BI238" s="357">
        <f ca="1"/>
        <v>0</v>
      </c>
      <c r="BJ238" s="925">
        <f ca="1"/>
        <v>0</v>
      </c>
      <c r="BK238" s="925">
        <f ca="1"/>
        <v>0</v>
      </c>
      <c r="BL238" s="928">
        <f ca="1"/>
        <v>0</v>
      </c>
      <c r="BM238" s="200">
        <f ca="1"/>
        <v>0</v>
      </c>
      <c r="BN238" s="851">
        <f ca="1"/>
        <v>0</v>
      </c>
      <c r="BO238" s="851">
        <f ca="1"/>
        <v>0</v>
      </c>
      <c r="BP238" s="933">
        <f ca="1"/>
        <v>0</v>
      </c>
      <c r="BQ238" s="357">
        <f t="shared" ca="1" si="649"/>
        <v>0</v>
      </c>
      <c r="BR238" s="361">
        <f t="shared" ca="1" si="650"/>
        <v>0</v>
      </c>
      <c r="BS238" s="357">
        <f t="shared" ca="1" si="651"/>
        <v>0</v>
      </c>
      <c r="BT238" s="302">
        <f t="shared" ca="1" si="652"/>
        <v>0</v>
      </c>
      <c r="BU238" s="299">
        <f t="shared" ca="1" si="653"/>
        <v>0</v>
      </c>
      <c r="BV238" s="299">
        <f t="shared" ca="1" si="654"/>
        <v>0</v>
      </c>
      <c r="BW238" s="299">
        <f t="shared" ca="1" si="655"/>
        <v>0</v>
      </c>
      <c r="BX238" s="380">
        <f t="shared" ca="1" si="656"/>
        <v>18.499657768651609</v>
      </c>
      <c r="BY238" s="363">
        <f t="shared" ca="1" si="657"/>
        <v>0</v>
      </c>
      <c r="BZ238" s="353">
        <f t="shared" ca="1" si="658"/>
        <v>0</v>
      </c>
      <c r="CA238" s="353">
        <f t="shared" ca="1" si="659"/>
        <v>0</v>
      </c>
      <c r="CB238" s="353">
        <f t="shared" ca="1" si="660"/>
        <v>0</v>
      </c>
      <c r="CC238" s="353">
        <f t="shared" ca="1" si="661"/>
        <v>0</v>
      </c>
      <c r="CD238" s="353">
        <f t="shared" ca="1" si="662"/>
        <v>0</v>
      </c>
      <c r="CE238" s="302">
        <f t="shared" ca="1" si="663"/>
        <v>0</v>
      </c>
      <c r="CF238" s="299">
        <f t="shared" ca="1" si="664"/>
        <v>0</v>
      </c>
      <c r="CG238" s="299">
        <f t="shared" ca="1" si="665"/>
        <v>0</v>
      </c>
      <c r="CH238" s="299">
        <f t="shared" ca="1" si="666"/>
        <v>0</v>
      </c>
      <c r="CI238" s="299">
        <f t="shared" ca="1" si="667"/>
        <v>0</v>
      </c>
      <c r="CJ238" s="299">
        <f t="shared" ca="1" si="668"/>
        <v>0</v>
      </c>
      <c r="CK238" s="299">
        <f t="shared" ca="1" si="669"/>
        <v>0</v>
      </c>
      <c r="CL238" s="377" t="str">
        <f t="shared" ca="1" si="670"/>
        <v/>
      </c>
      <c r="CM238" s="305" t="str">
        <f t="shared" ca="1" si="671"/>
        <v/>
      </c>
      <c r="CN238" s="305" t="str">
        <f t="shared" ca="1" si="672"/>
        <v/>
      </c>
      <c r="CO238" s="305" t="str">
        <f t="shared" ca="1" si="673"/>
        <v/>
      </c>
      <c r="CP238" s="305" t="str">
        <f t="shared" ca="1" si="674"/>
        <v/>
      </c>
      <c r="CQ238" s="305" t="str">
        <f t="shared" ca="1" si="675"/>
        <v/>
      </c>
      <c r="CR238" s="775" t="str">
        <f t="shared" ca="1" si="676"/>
        <v/>
      </c>
      <c r="CS238" s="305" t="str">
        <f t="shared" ca="1" si="677"/>
        <v/>
      </c>
      <c r="CT238" s="305" t="str">
        <f t="shared" ca="1" si="678"/>
        <v/>
      </c>
      <c r="CU238" s="305" t="str">
        <f t="shared" ca="1" si="679"/>
        <v/>
      </c>
      <c r="CV238" s="770" t="str">
        <f t="shared" ca="1" si="680"/>
        <v/>
      </c>
      <c r="CW238" s="302">
        <f t="shared" ca="1" si="681"/>
        <v>0</v>
      </c>
      <c r="CX238" s="299">
        <f t="shared" ca="1" si="682"/>
        <v>0</v>
      </c>
      <c r="CY238" s="299">
        <f t="shared" ca="1" si="683"/>
        <v>0</v>
      </c>
      <c r="CZ238" s="299">
        <f t="shared" ca="1" si="684"/>
        <v>0</v>
      </c>
      <c r="DA238" s="774">
        <f t="shared" ca="1" si="685"/>
        <v>0</v>
      </c>
      <c r="DB238" s="303">
        <f t="shared" ca="1" si="686"/>
        <v>0</v>
      </c>
      <c r="DC238" s="248">
        <f t="shared" ca="1" si="687"/>
        <v>0</v>
      </c>
      <c r="DD238" s="778">
        <f t="shared" ca="1" si="688"/>
        <v>0</v>
      </c>
      <c r="DE238" s="363">
        <f t="shared" ca="1" si="689"/>
        <v>0</v>
      </c>
      <c r="DF238" s="378" t="str">
        <f t="shared" ca="1" si="690"/>
        <v/>
      </c>
      <c r="DG238" s="508" t="str">
        <f t="shared" ca="1" si="691"/>
        <v/>
      </c>
      <c r="DH238" s="508" t="str">
        <f t="shared" ca="1" si="692"/>
        <v/>
      </c>
      <c r="DI238" s="508" t="str">
        <f t="shared" ca="1" si="693"/>
        <v/>
      </c>
      <c r="DJ238" s="508" t="str">
        <f t="shared" ca="1" si="694"/>
        <v/>
      </c>
      <c r="DK238" s="353">
        <f t="shared" ca="1" si="695"/>
        <v>0</v>
      </c>
      <c r="DL238" s="781">
        <f t="shared" ca="1" si="696"/>
        <v>0</v>
      </c>
      <c r="DM238" s="303">
        <f t="shared" ca="1" si="697"/>
        <v>0</v>
      </c>
      <c r="DN238" s="508" t="str">
        <f t="shared" ca="1" si="698"/>
        <v/>
      </c>
      <c r="DO238" s="508" t="str">
        <f t="shared" ca="1" si="699"/>
        <v/>
      </c>
      <c r="DP238" s="508" t="str">
        <f t="shared" ca="1" si="700"/>
        <v/>
      </c>
      <c r="DQ238" s="508" t="str">
        <f t="shared" ca="1" si="701"/>
        <v/>
      </c>
      <c r="DR238" s="508" t="str">
        <f t="shared" ca="1" si="702"/>
        <v/>
      </c>
      <c r="DS238" s="353">
        <f t="shared" ca="1" si="703"/>
        <v>0</v>
      </c>
      <c r="DT238" s="353">
        <f t="shared" ca="1" si="704"/>
        <v>0</v>
      </c>
      <c r="DU238" s="380">
        <f t="shared" ca="1" si="804"/>
        <v>18.499657768651609</v>
      </c>
      <c r="DV238" s="303">
        <f t="shared" ca="1" si="705"/>
        <v>0</v>
      </c>
      <c r="DW238" s="303">
        <f t="shared" ca="1" si="706"/>
        <v>0</v>
      </c>
      <c r="DX238" s="303">
        <f t="shared" ca="1" si="707"/>
        <v>0</v>
      </c>
      <c r="DY238" s="303">
        <f t="shared" ca="1" si="708"/>
        <v>0</v>
      </c>
      <c r="DZ238" s="303">
        <f t="shared" ca="1" si="709"/>
        <v>0</v>
      </c>
      <c r="EA238" s="303">
        <f t="shared" ca="1" si="710"/>
        <v>0</v>
      </c>
      <c r="EB238" s="302">
        <f t="shared" ca="1" si="711"/>
        <v>0</v>
      </c>
      <c r="EC238" s="299">
        <f t="shared" ca="1" si="712"/>
        <v>0</v>
      </c>
      <c r="ED238" s="299">
        <f t="shared" ca="1" si="713"/>
        <v>0</v>
      </c>
      <c r="EE238" s="299">
        <f t="shared" ca="1" si="714"/>
        <v>0</v>
      </c>
      <c r="EF238" s="299">
        <f t="shared" ca="1" si="715"/>
        <v>0</v>
      </c>
      <c r="EG238" s="299">
        <f t="shared" ca="1" si="716"/>
        <v>0</v>
      </c>
      <c r="EH238" s="302">
        <f t="shared" ca="1" si="717"/>
        <v>0</v>
      </c>
      <c r="EI238" s="304" t="str">
        <f t="shared" ca="1" si="718"/>
        <v/>
      </c>
      <c r="EJ238" s="305" t="str">
        <f t="shared" ca="1" si="719"/>
        <v/>
      </c>
      <c r="EK238" s="305" t="str">
        <f t="shared" ca="1" si="720"/>
        <v/>
      </c>
      <c r="EL238" s="305" t="str">
        <f t="shared" ca="1" si="721"/>
        <v/>
      </c>
      <c r="EM238" s="305" t="str">
        <f t="shared" ca="1" si="722"/>
        <v/>
      </c>
      <c r="EN238" s="305" t="str">
        <f t="shared" ca="1" si="723"/>
        <v/>
      </c>
      <c r="EO238" s="305" t="str">
        <f t="shared" ca="1" si="724"/>
        <v/>
      </c>
      <c r="EP238" s="305" t="str">
        <f t="shared" ca="1" si="725"/>
        <v/>
      </c>
      <c r="EQ238" s="305" t="str">
        <f t="shared" ca="1" si="726"/>
        <v/>
      </c>
      <c r="ER238" s="305" t="str">
        <f t="shared" ca="1" si="727"/>
        <v/>
      </c>
      <c r="ES238" s="305" t="str">
        <f t="shared" ca="1" si="728"/>
        <v/>
      </c>
      <c r="ET238" s="299">
        <f t="shared" ca="1" si="729"/>
        <v>0</v>
      </c>
      <c r="EU238" s="302">
        <f t="shared" ca="1" si="730"/>
        <v>0</v>
      </c>
      <c r="EV238" s="304" t="str">
        <f t="shared" ca="1" si="731"/>
        <v/>
      </c>
      <c r="EW238" s="305" t="str">
        <f t="shared" ca="1" si="732"/>
        <v/>
      </c>
      <c r="EX238" s="305" t="str">
        <f t="shared" ca="1" si="733"/>
        <v/>
      </c>
      <c r="EY238" s="305" t="str">
        <f t="shared" ca="1" si="734"/>
        <v/>
      </c>
      <c r="EZ238" s="305" t="str">
        <f t="shared" ca="1" si="735"/>
        <v/>
      </c>
      <c r="FA238" s="305" t="str">
        <f t="shared" ca="1" si="736"/>
        <v/>
      </c>
      <c r="FB238" s="305" t="str">
        <f t="shared" ca="1" si="737"/>
        <v/>
      </c>
      <c r="FC238" s="305" t="str">
        <f t="shared" ca="1" si="738"/>
        <v/>
      </c>
      <c r="FD238" s="305" t="str">
        <f t="shared" ca="1" si="739"/>
        <v/>
      </c>
      <c r="FE238" s="305" t="str">
        <f t="shared" ca="1" si="740"/>
        <v/>
      </c>
      <c r="FF238" s="305" t="str">
        <f t="shared" ca="1" si="741"/>
        <v/>
      </c>
      <c r="FG238" s="299">
        <f t="shared" ca="1" si="742"/>
        <v>0</v>
      </c>
      <c r="FH238" s="302">
        <f t="shared" ca="1" si="743"/>
        <v>0</v>
      </c>
      <c r="FI238" s="248">
        <f t="shared" ca="1" si="744"/>
        <v>0</v>
      </c>
      <c r="FJ238" s="363">
        <f t="shared" ca="1" si="745"/>
        <v>0</v>
      </c>
      <c r="FK238" s="378" t="str">
        <f t="shared" ca="1" si="746"/>
        <v/>
      </c>
      <c r="FL238" s="508" t="str">
        <f t="shared" ca="1" si="747"/>
        <v/>
      </c>
      <c r="FM238" s="508" t="str">
        <f t="shared" ca="1" si="748"/>
        <v/>
      </c>
      <c r="FN238" s="508" t="str">
        <f t="shared" ca="1" si="749"/>
        <v/>
      </c>
      <c r="FO238" s="508" t="str">
        <f t="shared" ca="1" si="750"/>
        <v/>
      </c>
      <c r="FP238" s="353">
        <f t="shared" ca="1" si="751"/>
        <v>0</v>
      </c>
      <c r="FQ238" s="356">
        <f t="shared" ca="1" si="752"/>
        <v>0</v>
      </c>
      <c r="FR238" s="380">
        <f t="shared" ca="1" si="753"/>
        <v>0</v>
      </c>
      <c r="FS238" s="299">
        <f t="shared" ca="1" si="754"/>
        <v>0</v>
      </c>
      <c r="FT238" s="299">
        <f t="shared" ca="1" si="755"/>
        <v>0</v>
      </c>
      <c r="FU238" s="299">
        <f t="shared" ca="1" si="756"/>
        <v>0</v>
      </c>
      <c r="FV238" s="299">
        <f t="shared" ca="1" si="757"/>
        <v>0</v>
      </c>
      <c r="FW238" s="850" t="str">
        <f t="shared" ca="1" si="758"/>
        <v/>
      </c>
      <c r="FX238" s="851" t="str">
        <f t="shared" ca="1" si="759"/>
        <v/>
      </c>
      <c r="FY238" s="851" t="str">
        <f t="shared" ca="1" si="760"/>
        <v/>
      </c>
      <c r="FZ238" s="201" t="str">
        <f t="shared" ca="1" si="761"/>
        <v/>
      </c>
      <c r="GA238" s="201" t="str">
        <f t="shared" ca="1" si="762"/>
        <v/>
      </c>
      <c r="GB238" s="201" t="str">
        <f t="shared" ca="1" si="763"/>
        <v/>
      </c>
      <c r="GC238" s="201" t="str">
        <f t="shared" ca="1" si="764"/>
        <v/>
      </c>
      <c r="GD238" s="850" t="str">
        <f t="shared" ca="1" si="765"/>
        <v/>
      </c>
      <c r="GE238" s="866" t="str">
        <f t="shared" ca="1" si="766"/>
        <v/>
      </c>
      <c r="GF238" s="866" t="str">
        <f t="shared" ca="1" si="767"/>
        <v/>
      </c>
      <c r="GG238" s="866" t="str">
        <f t="shared" ca="1" si="768"/>
        <v/>
      </c>
      <c r="GH238" s="866" t="str">
        <f t="shared" ca="1" si="769"/>
        <v/>
      </c>
      <c r="GI238" s="302">
        <f t="shared" ca="1" si="770"/>
        <v>0</v>
      </c>
      <c r="GJ238" s="299">
        <f t="shared" ca="1" si="771"/>
        <v>0</v>
      </c>
      <c r="GK238" s="299">
        <f t="shared" ca="1" si="772"/>
        <v>0</v>
      </c>
      <c r="GL238" s="299">
        <f t="shared" ca="1" si="773"/>
        <v>0</v>
      </c>
      <c r="GM238" s="299">
        <f t="shared" ca="1" si="774"/>
        <v>0</v>
      </c>
      <c r="GN238" s="302">
        <f t="shared" ca="1" si="775"/>
        <v>0</v>
      </c>
      <c r="GO238" s="299">
        <f t="shared" ca="1" si="776"/>
        <v>0</v>
      </c>
      <c r="GP238" s="299">
        <f t="shared" ca="1" si="777"/>
        <v>0</v>
      </c>
      <c r="GQ238" s="299">
        <f t="shared" ca="1" si="778"/>
        <v>0</v>
      </c>
      <c r="GR238" s="299">
        <f t="shared" ca="1" si="779"/>
        <v>0</v>
      </c>
      <c r="GS238" s="302">
        <f t="shared" ca="1" si="780"/>
        <v>0</v>
      </c>
      <c r="GT238" s="299">
        <f t="shared" ca="1" si="781"/>
        <v>0</v>
      </c>
      <c r="GU238" s="299">
        <f t="shared" ca="1" si="782"/>
        <v>0</v>
      </c>
      <c r="GV238" s="299">
        <f t="shared" ca="1" si="783"/>
        <v>0</v>
      </c>
      <c r="GW238" s="299">
        <f t="shared" ca="1" si="784"/>
        <v>0</v>
      </c>
      <c r="GX238" s="303">
        <f t="shared" ca="1" si="785"/>
        <v>0</v>
      </c>
      <c r="GY238" s="303">
        <f t="shared" ca="1" si="786"/>
        <v>0</v>
      </c>
      <c r="GZ238" s="303">
        <f t="shared" ca="1" si="787"/>
        <v>0</v>
      </c>
      <c r="HA238" s="303">
        <f t="shared" ca="1" si="788"/>
        <v>0</v>
      </c>
      <c r="HB238" s="303">
        <f t="shared" ca="1" si="789"/>
        <v>0</v>
      </c>
      <c r="HC238" s="303">
        <f t="shared" ca="1" si="790"/>
        <v>0</v>
      </c>
      <c r="HD238" s="303">
        <f t="shared" ca="1" si="791"/>
        <v>0</v>
      </c>
      <c r="HE238" s="303">
        <f t="shared" ca="1" si="792"/>
        <v>0</v>
      </c>
      <c r="HF238" s="303">
        <f t="shared" ca="1" si="793"/>
        <v>0</v>
      </c>
      <c r="HG238" s="852">
        <f t="shared" ca="1" si="794"/>
        <v>0</v>
      </c>
    </row>
    <row r="239" spans="1:215" x14ac:dyDescent="0.25">
      <c r="A239" s="244">
        <f t="shared" ca="1" si="795"/>
        <v>43374</v>
      </c>
      <c r="B239" s="13">
        <f t="shared" ca="1" si="817"/>
        <v>2018</v>
      </c>
      <c r="C239" s="619">
        <f t="shared" ca="1" si="818"/>
        <v>10</v>
      </c>
      <c r="D239" s="195" t="str">
        <f t="shared" ca="1" si="625"/>
        <v/>
      </c>
      <c r="E239" s="469" t="str">
        <f t="shared" ca="1" si="626"/>
        <v/>
      </c>
      <c r="F239" s="465" t="str">
        <f t="shared" ca="1" si="627"/>
        <v/>
      </c>
      <c r="G239" s="522">
        <f t="shared" ca="1" si="796"/>
        <v>1</v>
      </c>
      <c r="H239" s="519">
        <f t="shared" ca="1" si="797"/>
        <v>1</v>
      </c>
      <c r="I239" s="724">
        <f t="shared" ca="1" si="819"/>
        <v>7.4174869388361001E-2</v>
      </c>
      <c r="J239" s="198">
        <f t="shared" ca="1" si="629"/>
        <v>0.25580794297372705</v>
      </c>
      <c r="K239" s="200" t="e">
        <f t="shared" ca="1" si="805"/>
        <v>#N/A</v>
      </c>
      <c r="L239" s="201" t="e">
        <f t="shared" ca="1" si="806"/>
        <v>#N/A</v>
      </c>
      <c r="M239" s="206" t="e">
        <f t="shared" ca="1" si="807"/>
        <v>#N/A</v>
      </c>
      <c r="N239" s="851" t="e">
        <f t="shared" ca="1" si="811"/>
        <v>#N/A</v>
      </c>
      <c r="O239" s="201" t="e">
        <f t="shared" ca="1" si="812"/>
        <v>#N/A</v>
      </c>
      <c r="P239" s="206" t="e">
        <f t="shared" ca="1" si="813"/>
        <v>#N/A</v>
      </c>
      <c r="Q239" s="201" t="e">
        <f t="shared" ca="1" si="814"/>
        <v>#N/A</v>
      </c>
      <c r="R239" s="201" t="e">
        <f t="shared" ca="1" si="815"/>
        <v>#N/A</v>
      </c>
      <c r="S239" s="201" t="e">
        <f t="shared" ca="1" si="816"/>
        <v>#N/A</v>
      </c>
      <c r="T239" s="851" t="e">
        <f t="shared" ca="1" si="808"/>
        <v>#N/A</v>
      </c>
      <c r="U239" s="201" t="e">
        <f t="shared" ca="1" si="809"/>
        <v>#N/A</v>
      </c>
      <c r="V239" s="206" t="e">
        <f t="shared" ca="1" si="810"/>
        <v>#N/A</v>
      </c>
      <c r="W239" s="230" t="e">
        <f t="shared" ca="1" si="798"/>
        <v>#N/A</v>
      </c>
      <c r="X239" s="231" t="e">
        <f t="shared" ca="1" si="799"/>
        <v>#N/A</v>
      </c>
      <c r="Y239" s="232" t="e">
        <f t="shared" ca="1" si="800"/>
        <v>#N/A</v>
      </c>
      <c r="Z239" s="231" t="e">
        <f t="shared" ca="1" si="820"/>
        <v>#N/A</v>
      </c>
      <c r="AA239" s="231" t="e">
        <f t="shared" ca="1" si="821"/>
        <v>#N/A</v>
      </c>
      <c r="AB239" s="232" t="e">
        <f t="shared" ca="1" si="822"/>
        <v>#N/A</v>
      </c>
      <c r="AC239" s="231" t="e">
        <f t="shared" ca="1" si="823"/>
        <v>#N/A</v>
      </c>
      <c r="AD239" s="231" t="e">
        <f t="shared" ca="1" si="824"/>
        <v>#N/A</v>
      </c>
      <c r="AE239" s="232" t="e">
        <f t="shared" ca="1" si="630"/>
        <v>#N/A</v>
      </c>
      <c r="AF239" s="231" t="e">
        <f t="shared" ca="1" si="801"/>
        <v>#N/A</v>
      </c>
      <c r="AG239" s="231" t="e">
        <f t="shared" ca="1" si="802"/>
        <v>#N/A</v>
      </c>
      <c r="AH239" s="232" t="e">
        <f t="shared" ca="1" si="803"/>
        <v>#N/A</v>
      </c>
      <c r="AI239" s="233" t="e">
        <f t="shared" ca="1" si="631"/>
        <v>#N/A</v>
      </c>
      <c r="AJ239" s="233" t="e">
        <f t="shared" ca="1" si="632"/>
        <v>#N/A</v>
      </c>
      <c r="AK239" s="234" t="e">
        <f t="shared" ca="1" si="633"/>
        <v>#N/A</v>
      </c>
      <c r="AL239" s="919" t="e">
        <f t="shared" ca="1" si="634"/>
        <v>#N/A</v>
      </c>
      <c r="AM239" s="233" t="e">
        <f t="shared" ca="1" si="635"/>
        <v>#N/A</v>
      </c>
      <c r="AN239" s="234" t="e">
        <f t="shared" ca="1" si="636"/>
        <v>#N/A</v>
      </c>
      <c r="AO239" s="233" t="e">
        <f t="shared" ca="1" si="637"/>
        <v>#N/A</v>
      </c>
      <c r="AP239" s="233" t="e">
        <f t="shared" ca="1" si="638"/>
        <v>#N/A</v>
      </c>
      <c r="AQ239" s="233" t="e">
        <f t="shared" ca="1" si="639"/>
        <v>#N/A</v>
      </c>
      <c r="AR239" s="919" t="e">
        <f t="shared" ca="1" si="640"/>
        <v>#N/A</v>
      </c>
      <c r="AS239" s="233" t="e">
        <f t="shared" ca="1" si="641"/>
        <v>#N/A</v>
      </c>
      <c r="AT239" s="235" t="e">
        <f t="shared" ca="1" si="642"/>
        <v>#N/A</v>
      </c>
      <c r="AU239" s="946">
        <f t="shared" si="643"/>
        <v>0.5</v>
      </c>
      <c r="AV239" s="13">
        <f t="shared" ca="1" si="644"/>
        <v>0</v>
      </c>
      <c r="AW239" s="210">
        <f t="shared" ca="1" si="645"/>
        <v>0</v>
      </c>
      <c r="AX239" s="210">
        <f t="shared" ca="1" si="646"/>
        <v>0</v>
      </c>
      <c r="AY239" s="210">
        <f t="shared" ca="1" si="647"/>
        <v>0</v>
      </c>
      <c r="AZ239" s="13">
        <f t="shared" ca="1" si="648"/>
        <v>0</v>
      </c>
      <c r="BA239" s="357">
        <f ca="1"/>
        <v>0</v>
      </c>
      <c r="BB239" s="925">
        <f ca="1"/>
        <v>0</v>
      </c>
      <c r="BC239" s="925">
        <f ca="1"/>
        <v>0</v>
      </c>
      <c r="BD239" s="928">
        <f ca="1"/>
        <v>0</v>
      </c>
      <c r="BE239" s="200">
        <f ca="1"/>
        <v>0</v>
      </c>
      <c r="BF239" s="851">
        <f ca="1"/>
        <v>0</v>
      </c>
      <c r="BG239" s="851">
        <f ca="1"/>
        <v>0</v>
      </c>
      <c r="BH239" s="933">
        <f ca="1"/>
        <v>0</v>
      </c>
      <c r="BI239" s="357">
        <f ca="1"/>
        <v>0</v>
      </c>
      <c r="BJ239" s="925">
        <f ca="1"/>
        <v>0</v>
      </c>
      <c r="BK239" s="925">
        <f ca="1"/>
        <v>0</v>
      </c>
      <c r="BL239" s="928">
        <f ca="1"/>
        <v>0</v>
      </c>
      <c r="BM239" s="200">
        <f ca="1"/>
        <v>0</v>
      </c>
      <c r="BN239" s="851">
        <f ca="1"/>
        <v>0</v>
      </c>
      <c r="BO239" s="851">
        <f ca="1"/>
        <v>0</v>
      </c>
      <c r="BP239" s="933">
        <f ca="1"/>
        <v>0</v>
      </c>
      <c r="BQ239" s="357">
        <f t="shared" ca="1" si="649"/>
        <v>0</v>
      </c>
      <c r="BR239" s="361">
        <f t="shared" ca="1" si="650"/>
        <v>0</v>
      </c>
      <c r="BS239" s="357">
        <f t="shared" ca="1" si="651"/>
        <v>0</v>
      </c>
      <c r="BT239" s="302">
        <f t="shared" ca="1" si="652"/>
        <v>0</v>
      </c>
      <c r="BU239" s="299">
        <f t="shared" ca="1" si="653"/>
        <v>0</v>
      </c>
      <c r="BV239" s="299">
        <f t="shared" ca="1" si="654"/>
        <v>0</v>
      </c>
      <c r="BW239" s="299">
        <f t="shared" ca="1" si="655"/>
        <v>0</v>
      </c>
      <c r="BX239" s="380">
        <f t="shared" ca="1" si="656"/>
        <v>18.581793292265573</v>
      </c>
      <c r="BY239" s="363">
        <f t="shared" ca="1" si="657"/>
        <v>0</v>
      </c>
      <c r="BZ239" s="353">
        <f t="shared" ca="1" si="658"/>
        <v>0</v>
      </c>
      <c r="CA239" s="353">
        <f t="shared" ca="1" si="659"/>
        <v>0</v>
      </c>
      <c r="CB239" s="353">
        <f t="shared" ca="1" si="660"/>
        <v>0</v>
      </c>
      <c r="CC239" s="353">
        <f t="shared" ca="1" si="661"/>
        <v>0</v>
      </c>
      <c r="CD239" s="353">
        <f t="shared" ca="1" si="662"/>
        <v>0</v>
      </c>
      <c r="CE239" s="302">
        <f t="shared" ca="1" si="663"/>
        <v>0</v>
      </c>
      <c r="CF239" s="299">
        <f t="shared" ca="1" si="664"/>
        <v>0</v>
      </c>
      <c r="CG239" s="299">
        <f t="shared" ca="1" si="665"/>
        <v>0</v>
      </c>
      <c r="CH239" s="299">
        <f t="shared" ca="1" si="666"/>
        <v>0</v>
      </c>
      <c r="CI239" s="299">
        <f t="shared" ca="1" si="667"/>
        <v>0</v>
      </c>
      <c r="CJ239" s="299">
        <f t="shared" ca="1" si="668"/>
        <v>0</v>
      </c>
      <c r="CK239" s="299">
        <f t="shared" ca="1" si="669"/>
        <v>0</v>
      </c>
      <c r="CL239" s="377" t="str">
        <f t="shared" ca="1" si="670"/>
        <v/>
      </c>
      <c r="CM239" s="305" t="str">
        <f t="shared" ca="1" si="671"/>
        <v/>
      </c>
      <c r="CN239" s="305" t="str">
        <f t="shared" ca="1" si="672"/>
        <v/>
      </c>
      <c r="CO239" s="305" t="str">
        <f t="shared" ca="1" si="673"/>
        <v/>
      </c>
      <c r="CP239" s="305" t="str">
        <f t="shared" ca="1" si="674"/>
        <v/>
      </c>
      <c r="CQ239" s="305" t="str">
        <f t="shared" ca="1" si="675"/>
        <v/>
      </c>
      <c r="CR239" s="775" t="str">
        <f t="shared" ca="1" si="676"/>
        <v/>
      </c>
      <c r="CS239" s="305" t="str">
        <f t="shared" ca="1" si="677"/>
        <v/>
      </c>
      <c r="CT239" s="305" t="str">
        <f t="shared" ca="1" si="678"/>
        <v/>
      </c>
      <c r="CU239" s="305" t="str">
        <f t="shared" ca="1" si="679"/>
        <v/>
      </c>
      <c r="CV239" s="770" t="str">
        <f t="shared" ca="1" si="680"/>
        <v/>
      </c>
      <c r="CW239" s="302">
        <f t="shared" ca="1" si="681"/>
        <v>0</v>
      </c>
      <c r="CX239" s="299">
        <f t="shared" ca="1" si="682"/>
        <v>0</v>
      </c>
      <c r="CY239" s="299">
        <f t="shared" ca="1" si="683"/>
        <v>0</v>
      </c>
      <c r="CZ239" s="299">
        <f t="shared" ca="1" si="684"/>
        <v>0</v>
      </c>
      <c r="DA239" s="774">
        <f t="shared" ca="1" si="685"/>
        <v>0</v>
      </c>
      <c r="DB239" s="303">
        <f t="shared" ca="1" si="686"/>
        <v>0</v>
      </c>
      <c r="DC239" s="248">
        <f t="shared" ca="1" si="687"/>
        <v>0</v>
      </c>
      <c r="DD239" s="778">
        <f t="shared" ca="1" si="688"/>
        <v>0</v>
      </c>
      <c r="DE239" s="363">
        <f t="shared" ca="1" si="689"/>
        <v>0</v>
      </c>
      <c r="DF239" s="378" t="str">
        <f t="shared" ca="1" si="690"/>
        <v/>
      </c>
      <c r="DG239" s="508" t="str">
        <f t="shared" ca="1" si="691"/>
        <v/>
      </c>
      <c r="DH239" s="508" t="str">
        <f t="shared" ca="1" si="692"/>
        <v/>
      </c>
      <c r="DI239" s="508" t="str">
        <f t="shared" ca="1" si="693"/>
        <v/>
      </c>
      <c r="DJ239" s="508" t="str">
        <f t="shared" ca="1" si="694"/>
        <v/>
      </c>
      <c r="DK239" s="353">
        <f t="shared" ca="1" si="695"/>
        <v>0</v>
      </c>
      <c r="DL239" s="781">
        <f t="shared" ca="1" si="696"/>
        <v>0</v>
      </c>
      <c r="DM239" s="303">
        <f t="shared" ca="1" si="697"/>
        <v>0</v>
      </c>
      <c r="DN239" s="508" t="str">
        <f t="shared" ca="1" si="698"/>
        <v/>
      </c>
      <c r="DO239" s="508" t="str">
        <f t="shared" ca="1" si="699"/>
        <v/>
      </c>
      <c r="DP239" s="508" t="str">
        <f t="shared" ca="1" si="700"/>
        <v/>
      </c>
      <c r="DQ239" s="508" t="str">
        <f t="shared" ca="1" si="701"/>
        <v/>
      </c>
      <c r="DR239" s="508" t="str">
        <f t="shared" ca="1" si="702"/>
        <v/>
      </c>
      <c r="DS239" s="353">
        <f t="shared" ca="1" si="703"/>
        <v>0</v>
      </c>
      <c r="DT239" s="353">
        <f t="shared" ca="1" si="704"/>
        <v>0</v>
      </c>
      <c r="DU239" s="380">
        <f t="shared" ca="1" si="804"/>
        <v>18.581793292265573</v>
      </c>
      <c r="DV239" s="303">
        <f t="shared" ca="1" si="705"/>
        <v>0</v>
      </c>
      <c r="DW239" s="303">
        <f t="shared" ca="1" si="706"/>
        <v>0</v>
      </c>
      <c r="DX239" s="303">
        <f t="shared" ca="1" si="707"/>
        <v>0</v>
      </c>
      <c r="DY239" s="303">
        <f t="shared" ca="1" si="708"/>
        <v>0</v>
      </c>
      <c r="DZ239" s="303">
        <f t="shared" ca="1" si="709"/>
        <v>0</v>
      </c>
      <c r="EA239" s="303">
        <f t="shared" ca="1" si="710"/>
        <v>0</v>
      </c>
      <c r="EB239" s="302">
        <f t="shared" ca="1" si="711"/>
        <v>0</v>
      </c>
      <c r="EC239" s="299">
        <f t="shared" ca="1" si="712"/>
        <v>0</v>
      </c>
      <c r="ED239" s="299">
        <f t="shared" ca="1" si="713"/>
        <v>0</v>
      </c>
      <c r="EE239" s="299">
        <f t="shared" ca="1" si="714"/>
        <v>0</v>
      </c>
      <c r="EF239" s="299">
        <f t="shared" ca="1" si="715"/>
        <v>0</v>
      </c>
      <c r="EG239" s="299">
        <f t="shared" ca="1" si="716"/>
        <v>0</v>
      </c>
      <c r="EH239" s="302">
        <f t="shared" ca="1" si="717"/>
        <v>0</v>
      </c>
      <c r="EI239" s="304" t="str">
        <f t="shared" ca="1" si="718"/>
        <v/>
      </c>
      <c r="EJ239" s="305" t="str">
        <f t="shared" ca="1" si="719"/>
        <v/>
      </c>
      <c r="EK239" s="305" t="str">
        <f t="shared" ca="1" si="720"/>
        <v/>
      </c>
      <c r="EL239" s="305" t="str">
        <f t="shared" ca="1" si="721"/>
        <v/>
      </c>
      <c r="EM239" s="305" t="str">
        <f t="shared" ca="1" si="722"/>
        <v/>
      </c>
      <c r="EN239" s="305" t="str">
        <f t="shared" ca="1" si="723"/>
        <v/>
      </c>
      <c r="EO239" s="305" t="str">
        <f t="shared" ca="1" si="724"/>
        <v/>
      </c>
      <c r="EP239" s="305" t="str">
        <f t="shared" ca="1" si="725"/>
        <v/>
      </c>
      <c r="EQ239" s="305" t="str">
        <f t="shared" ca="1" si="726"/>
        <v/>
      </c>
      <c r="ER239" s="305" t="str">
        <f t="shared" ca="1" si="727"/>
        <v/>
      </c>
      <c r="ES239" s="305" t="str">
        <f t="shared" ca="1" si="728"/>
        <v/>
      </c>
      <c r="ET239" s="299">
        <f t="shared" ca="1" si="729"/>
        <v>0</v>
      </c>
      <c r="EU239" s="302">
        <f t="shared" ca="1" si="730"/>
        <v>0</v>
      </c>
      <c r="EV239" s="304" t="str">
        <f t="shared" ca="1" si="731"/>
        <v/>
      </c>
      <c r="EW239" s="305" t="str">
        <f t="shared" ca="1" si="732"/>
        <v/>
      </c>
      <c r="EX239" s="305" t="str">
        <f t="shared" ca="1" si="733"/>
        <v/>
      </c>
      <c r="EY239" s="305" t="str">
        <f t="shared" ca="1" si="734"/>
        <v/>
      </c>
      <c r="EZ239" s="305" t="str">
        <f t="shared" ca="1" si="735"/>
        <v/>
      </c>
      <c r="FA239" s="305" t="str">
        <f t="shared" ca="1" si="736"/>
        <v/>
      </c>
      <c r="FB239" s="305" t="str">
        <f t="shared" ca="1" si="737"/>
        <v/>
      </c>
      <c r="FC239" s="305" t="str">
        <f t="shared" ca="1" si="738"/>
        <v/>
      </c>
      <c r="FD239" s="305" t="str">
        <f t="shared" ca="1" si="739"/>
        <v/>
      </c>
      <c r="FE239" s="305" t="str">
        <f t="shared" ca="1" si="740"/>
        <v/>
      </c>
      <c r="FF239" s="305" t="str">
        <f t="shared" ca="1" si="741"/>
        <v/>
      </c>
      <c r="FG239" s="299">
        <f t="shared" ca="1" si="742"/>
        <v>0</v>
      </c>
      <c r="FH239" s="302">
        <f t="shared" ca="1" si="743"/>
        <v>0</v>
      </c>
      <c r="FI239" s="248">
        <f t="shared" ca="1" si="744"/>
        <v>0</v>
      </c>
      <c r="FJ239" s="363">
        <f t="shared" ca="1" si="745"/>
        <v>0</v>
      </c>
      <c r="FK239" s="378" t="str">
        <f t="shared" ca="1" si="746"/>
        <v/>
      </c>
      <c r="FL239" s="508" t="str">
        <f t="shared" ca="1" si="747"/>
        <v/>
      </c>
      <c r="FM239" s="508" t="str">
        <f t="shared" ca="1" si="748"/>
        <v/>
      </c>
      <c r="FN239" s="508" t="str">
        <f t="shared" ca="1" si="749"/>
        <v/>
      </c>
      <c r="FO239" s="508" t="str">
        <f t="shared" ca="1" si="750"/>
        <v/>
      </c>
      <c r="FP239" s="353">
        <f t="shared" ca="1" si="751"/>
        <v>0</v>
      </c>
      <c r="FQ239" s="356">
        <f t="shared" ca="1" si="752"/>
        <v>0</v>
      </c>
      <c r="FR239" s="380">
        <f t="shared" ca="1" si="753"/>
        <v>0</v>
      </c>
      <c r="FS239" s="299">
        <f t="shared" ca="1" si="754"/>
        <v>0</v>
      </c>
      <c r="FT239" s="299">
        <f t="shared" ca="1" si="755"/>
        <v>0</v>
      </c>
      <c r="FU239" s="299">
        <f t="shared" ca="1" si="756"/>
        <v>0</v>
      </c>
      <c r="FV239" s="299">
        <f t="shared" ca="1" si="757"/>
        <v>0</v>
      </c>
      <c r="FW239" s="850" t="str">
        <f t="shared" ca="1" si="758"/>
        <v/>
      </c>
      <c r="FX239" s="851" t="str">
        <f t="shared" ca="1" si="759"/>
        <v/>
      </c>
      <c r="FY239" s="851" t="str">
        <f t="shared" ca="1" si="760"/>
        <v/>
      </c>
      <c r="FZ239" s="201" t="str">
        <f t="shared" ca="1" si="761"/>
        <v/>
      </c>
      <c r="GA239" s="201" t="str">
        <f t="shared" ca="1" si="762"/>
        <v/>
      </c>
      <c r="GB239" s="201" t="str">
        <f t="shared" ca="1" si="763"/>
        <v/>
      </c>
      <c r="GC239" s="201" t="str">
        <f t="shared" ca="1" si="764"/>
        <v/>
      </c>
      <c r="GD239" s="850" t="str">
        <f t="shared" ca="1" si="765"/>
        <v/>
      </c>
      <c r="GE239" s="866" t="str">
        <f t="shared" ca="1" si="766"/>
        <v/>
      </c>
      <c r="GF239" s="866" t="str">
        <f t="shared" ca="1" si="767"/>
        <v/>
      </c>
      <c r="GG239" s="866" t="str">
        <f t="shared" ca="1" si="768"/>
        <v/>
      </c>
      <c r="GH239" s="866" t="str">
        <f t="shared" ca="1" si="769"/>
        <v/>
      </c>
      <c r="GI239" s="302">
        <f t="shared" ca="1" si="770"/>
        <v>0</v>
      </c>
      <c r="GJ239" s="299">
        <f t="shared" ca="1" si="771"/>
        <v>0</v>
      </c>
      <c r="GK239" s="299">
        <f t="shared" ca="1" si="772"/>
        <v>0</v>
      </c>
      <c r="GL239" s="299">
        <f t="shared" ca="1" si="773"/>
        <v>0</v>
      </c>
      <c r="GM239" s="299">
        <f t="shared" ca="1" si="774"/>
        <v>0</v>
      </c>
      <c r="GN239" s="302">
        <f t="shared" ca="1" si="775"/>
        <v>0</v>
      </c>
      <c r="GO239" s="299">
        <f t="shared" ca="1" si="776"/>
        <v>0</v>
      </c>
      <c r="GP239" s="299">
        <f t="shared" ca="1" si="777"/>
        <v>0</v>
      </c>
      <c r="GQ239" s="299">
        <f t="shared" ca="1" si="778"/>
        <v>0</v>
      </c>
      <c r="GR239" s="299">
        <f t="shared" ca="1" si="779"/>
        <v>0</v>
      </c>
      <c r="GS239" s="302">
        <f t="shared" ca="1" si="780"/>
        <v>0</v>
      </c>
      <c r="GT239" s="299">
        <f t="shared" ca="1" si="781"/>
        <v>0</v>
      </c>
      <c r="GU239" s="299">
        <f t="shared" ca="1" si="782"/>
        <v>0</v>
      </c>
      <c r="GV239" s="299">
        <f t="shared" ca="1" si="783"/>
        <v>0</v>
      </c>
      <c r="GW239" s="299">
        <f t="shared" ca="1" si="784"/>
        <v>0</v>
      </c>
      <c r="GX239" s="303">
        <f t="shared" ca="1" si="785"/>
        <v>0</v>
      </c>
      <c r="GY239" s="303">
        <f t="shared" ca="1" si="786"/>
        <v>0</v>
      </c>
      <c r="GZ239" s="303">
        <f t="shared" ca="1" si="787"/>
        <v>0</v>
      </c>
      <c r="HA239" s="303">
        <f t="shared" ca="1" si="788"/>
        <v>0</v>
      </c>
      <c r="HB239" s="303">
        <f t="shared" ca="1" si="789"/>
        <v>0</v>
      </c>
      <c r="HC239" s="303">
        <f t="shared" ca="1" si="790"/>
        <v>0</v>
      </c>
      <c r="HD239" s="303">
        <f t="shared" ca="1" si="791"/>
        <v>0</v>
      </c>
      <c r="HE239" s="303">
        <f t="shared" ca="1" si="792"/>
        <v>0</v>
      </c>
      <c r="HF239" s="303">
        <f t="shared" ca="1" si="793"/>
        <v>0</v>
      </c>
      <c r="HG239" s="852">
        <f t="shared" ca="1" si="794"/>
        <v>0</v>
      </c>
    </row>
    <row r="240" spans="1:215" x14ac:dyDescent="0.25">
      <c r="A240" s="244">
        <f t="shared" ca="1" si="795"/>
        <v>43405</v>
      </c>
      <c r="B240" s="13">
        <f t="shared" ca="1" si="817"/>
        <v>2018</v>
      </c>
      <c r="C240" s="619">
        <f t="shared" ca="1" si="818"/>
        <v>11</v>
      </c>
      <c r="D240" s="195">
        <f t="shared" ca="1" si="625"/>
        <v>43426</v>
      </c>
      <c r="E240" s="469" t="str">
        <f t="shared" ca="1" si="626"/>
        <v/>
      </c>
      <c r="F240" s="465" t="str">
        <f t="shared" ca="1" si="627"/>
        <v/>
      </c>
      <c r="G240" s="522">
        <f t="shared" ca="1" si="796"/>
        <v>1</v>
      </c>
      <c r="H240" s="519">
        <f t="shared" ca="1" si="797"/>
        <v>1</v>
      </c>
      <c r="I240" s="724">
        <f t="shared" ca="1" si="819"/>
        <v>7.4174574670481996E-2</v>
      </c>
      <c r="J240" s="198">
        <f t="shared" ca="1" si="629"/>
        <v>0.25428359220889402</v>
      </c>
      <c r="K240" s="200" t="e">
        <f t="shared" ca="1" si="805"/>
        <v>#N/A</v>
      </c>
      <c r="L240" s="201" t="e">
        <f t="shared" ca="1" si="806"/>
        <v>#N/A</v>
      </c>
      <c r="M240" s="206" t="e">
        <f t="shared" ca="1" si="807"/>
        <v>#N/A</v>
      </c>
      <c r="N240" s="851" t="e">
        <f t="shared" ca="1" si="811"/>
        <v>#N/A</v>
      </c>
      <c r="O240" s="201" t="e">
        <f t="shared" ca="1" si="812"/>
        <v>#N/A</v>
      </c>
      <c r="P240" s="206" t="e">
        <f t="shared" ca="1" si="813"/>
        <v>#N/A</v>
      </c>
      <c r="Q240" s="201" t="e">
        <f t="shared" ca="1" si="814"/>
        <v>#N/A</v>
      </c>
      <c r="R240" s="201" t="e">
        <f t="shared" ca="1" si="815"/>
        <v>#N/A</v>
      </c>
      <c r="S240" s="201" t="e">
        <f t="shared" ca="1" si="816"/>
        <v>#N/A</v>
      </c>
      <c r="T240" s="851" t="e">
        <f t="shared" ca="1" si="808"/>
        <v>#N/A</v>
      </c>
      <c r="U240" s="201" t="e">
        <f t="shared" ca="1" si="809"/>
        <v>#N/A</v>
      </c>
      <c r="V240" s="206" t="e">
        <f t="shared" ca="1" si="810"/>
        <v>#N/A</v>
      </c>
      <c r="W240" s="230" t="e">
        <f t="shared" ca="1" si="798"/>
        <v>#N/A</v>
      </c>
      <c r="X240" s="231" t="e">
        <f t="shared" ca="1" si="799"/>
        <v>#N/A</v>
      </c>
      <c r="Y240" s="232" t="e">
        <f t="shared" ca="1" si="800"/>
        <v>#N/A</v>
      </c>
      <c r="Z240" s="231" t="e">
        <f t="shared" ca="1" si="820"/>
        <v>#N/A</v>
      </c>
      <c r="AA240" s="231" t="e">
        <f t="shared" ca="1" si="821"/>
        <v>#N/A</v>
      </c>
      <c r="AB240" s="232" t="e">
        <f t="shared" ca="1" si="822"/>
        <v>#N/A</v>
      </c>
      <c r="AC240" s="231" t="e">
        <f t="shared" ca="1" si="823"/>
        <v>#N/A</v>
      </c>
      <c r="AD240" s="231" t="e">
        <f t="shared" ca="1" si="824"/>
        <v>#N/A</v>
      </c>
      <c r="AE240" s="232" t="e">
        <f t="shared" ca="1" si="630"/>
        <v>#N/A</v>
      </c>
      <c r="AF240" s="231" t="e">
        <f t="shared" ca="1" si="801"/>
        <v>#N/A</v>
      </c>
      <c r="AG240" s="231" t="e">
        <f t="shared" ca="1" si="802"/>
        <v>#N/A</v>
      </c>
      <c r="AH240" s="232" t="e">
        <f t="shared" ca="1" si="803"/>
        <v>#N/A</v>
      </c>
      <c r="AI240" s="233" t="e">
        <f t="shared" ca="1" si="631"/>
        <v>#N/A</v>
      </c>
      <c r="AJ240" s="233" t="e">
        <f t="shared" ca="1" si="632"/>
        <v>#N/A</v>
      </c>
      <c r="AK240" s="234" t="e">
        <f t="shared" ca="1" si="633"/>
        <v>#N/A</v>
      </c>
      <c r="AL240" s="919" t="e">
        <f t="shared" ca="1" si="634"/>
        <v>#N/A</v>
      </c>
      <c r="AM240" s="233" t="e">
        <f t="shared" ca="1" si="635"/>
        <v>#N/A</v>
      </c>
      <c r="AN240" s="234" t="e">
        <f t="shared" ca="1" si="636"/>
        <v>#N/A</v>
      </c>
      <c r="AO240" s="233" t="e">
        <f t="shared" ca="1" si="637"/>
        <v>#N/A</v>
      </c>
      <c r="AP240" s="233" t="e">
        <f t="shared" ca="1" si="638"/>
        <v>#N/A</v>
      </c>
      <c r="AQ240" s="233" t="e">
        <f t="shared" ca="1" si="639"/>
        <v>#N/A</v>
      </c>
      <c r="AR240" s="919" t="e">
        <f t="shared" ca="1" si="640"/>
        <v>#N/A</v>
      </c>
      <c r="AS240" s="233" t="e">
        <f t="shared" ca="1" si="641"/>
        <v>#N/A</v>
      </c>
      <c r="AT240" s="235" t="e">
        <f t="shared" ca="1" si="642"/>
        <v>#N/A</v>
      </c>
      <c r="AU240" s="946">
        <f t="shared" si="643"/>
        <v>0.5</v>
      </c>
      <c r="AV240" s="13">
        <f t="shared" ca="1" si="644"/>
        <v>0</v>
      </c>
      <c r="AW240" s="210">
        <f t="shared" ca="1" si="645"/>
        <v>0</v>
      </c>
      <c r="AX240" s="210">
        <f t="shared" ca="1" si="646"/>
        <v>0</v>
      </c>
      <c r="AY240" s="210">
        <f t="shared" ca="1" si="647"/>
        <v>0</v>
      </c>
      <c r="AZ240" s="13">
        <f t="shared" ca="1" si="648"/>
        <v>0</v>
      </c>
      <c r="BA240" s="357">
        <f ca="1"/>
        <v>0</v>
      </c>
      <c r="BB240" s="925">
        <f ca="1"/>
        <v>0</v>
      </c>
      <c r="BC240" s="925">
        <f ca="1"/>
        <v>0</v>
      </c>
      <c r="BD240" s="928">
        <f ca="1"/>
        <v>0</v>
      </c>
      <c r="BE240" s="200">
        <f ca="1"/>
        <v>0</v>
      </c>
      <c r="BF240" s="851">
        <f ca="1"/>
        <v>0</v>
      </c>
      <c r="BG240" s="851">
        <f ca="1"/>
        <v>0</v>
      </c>
      <c r="BH240" s="933">
        <f ca="1"/>
        <v>0</v>
      </c>
      <c r="BI240" s="357">
        <f ca="1"/>
        <v>0</v>
      </c>
      <c r="BJ240" s="925">
        <f ca="1"/>
        <v>0</v>
      </c>
      <c r="BK240" s="925">
        <f ca="1"/>
        <v>0</v>
      </c>
      <c r="BL240" s="928">
        <f ca="1"/>
        <v>0</v>
      </c>
      <c r="BM240" s="200">
        <f ca="1"/>
        <v>0</v>
      </c>
      <c r="BN240" s="851">
        <f ca="1"/>
        <v>0</v>
      </c>
      <c r="BO240" s="851">
        <f ca="1"/>
        <v>0</v>
      </c>
      <c r="BP240" s="933">
        <f ca="1"/>
        <v>0</v>
      </c>
      <c r="BQ240" s="357">
        <f t="shared" ca="1" si="649"/>
        <v>0</v>
      </c>
      <c r="BR240" s="361">
        <f t="shared" ca="1" si="650"/>
        <v>0</v>
      </c>
      <c r="BS240" s="357">
        <f t="shared" ca="1" si="651"/>
        <v>0</v>
      </c>
      <c r="BT240" s="302">
        <f t="shared" ca="1" si="652"/>
        <v>0</v>
      </c>
      <c r="BU240" s="299">
        <f t="shared" ca="1" si="653"/>
        <v>0</v>
      </c>
      <c r="BV240" s="299">
        <f t="shared" ca="1" si="654"/>
        <v>0</v>
      </c>
      <c r="BW240" s="299">
        <f t="shared" ca="1" si="655"/>
        <v>0</v>
      </c>
      <c r="BX240" s="380">
        <f t="shared" ca="1" si="656"/>
        <v>18.666666666666668</v>
      </c>
      <c r="BY240" s="363">
        <f t="shared" ca="1" si="657"/>
        <v>0</v>
      </c>
      <c r="BZ240" s="353">
        <f t="shared" ca="1" si="658"/>
        <v>0</v>
      </c>
      <c r="CA240" s="353">
        <f t="shared" ca="1" si="659"/>
        <v>0</v>
      </c>
      <c r="CB240" s="353">
        <f t="shared" ca="1" si="660"/>
        <v>0</v>
      </c>
      <c r="CC240" s="353">
        <f t="shared" ca="1" si="661"/>
        <v>0</v>
      </c>
      <c r="CD240" s="353">
        <f t="shared" ca="1" si="662"/>
        <v>0</v>
      </c>
      <c r="CE240" s="302">
        <f t="shared" ca="1" si="663"/>
        <v>0</v>
      </c>
      <c r="CF240" s="299">
        <f t="shared" ca="1" si="664"/>
        <v>0</v>
      </c>
      <c r="CG240" s="299">
        <f t="shared" ca="1" si="665"/>
        <v>0</v>
      </c>
      <c r="CH240" s="299">
        <f t="shared" ca="1" si="666"/>
        <v>0</v>
      </c>
      <c r="CI240" s="299">
        <f t="shared" ca="1" si="667"/>
        <v>0</v>
      </c>
      <c r="CJ240" s="299">
        <f t="shared" ca="1" si="668"/>
        <v>0</v>
      </c>
      <c r="CK240" s="299">
        <f t="shared" ca="1" si="669"/>
        <v>0</v>
      </c>
      <c r="CL240" s="377" t="str">
        <f t="shared" ca="1" si="670"/>
        <v/>
      </c>
      <c r="CM240" s="305" t="str">
        <f t="shared" ca="1" si="671"/>
        <v/>
      </c>
      <c r="CN240" s="305" t="str">
        <f t="shared" ca="1" si="672"/>
        <v/>
      </c>
      <c r="CO240" s="305" t="str">
        <f t="shared" ca="1" si="673"/>
        <v/>
      </c>
      <c r="CP240" s="305" t="str">
        <f t="shared" ca="1" si="674"/>
        <v/>
      </c>
      <c r="CQ240" s="305" t="str">
        <f t="shared" ca="1" si="675"/>
        <v/>
      </c>
      <c r="CR240" s="775" t="str">
        <f t="shared" ca="1" si="676"/>
        <v/>
      </c>
      <c r="CS240" s="305" t="str">
        <f t="shared" ca="1" si="677"/>
        <v/>
      </c>
      <c r="CT240" s="305" t="str">
        <f t="shared" ca="1" si="678"/>
        <v/>
      </c>
      <c r="CU240" s="305" t="str">
        <f t="shared" ca="1" si="679"/>
        <v/>
      </c>
      <c r="CV240" s="770" t="str">
        <f t="shared" ca="1" si="680"/>
        <v/>
      </c>
      <c r="CW240" s="302">
        <f t="shared" ca="1" si="681"/>
        <v>0</v>
      </c>
      <c r="CX240" s="299">
        <f t="shared" ca="1" si="682"/>
        <v>0</v>
      </c>
      <c r="CY240" s="299">
        <f t="shared" ca="1" si="683"/>
        <v>0</v>
      </c>
      <c r="CZ240" s="299">
        <f t="shared" ca="1" si="684"/>
        <v>0</v>
      </c>
      <c r="DA240" s="774">
        <f t="shared" ca="1" si="685"/>
        <v>0</v>
      </c>
      <c r="DB240" s="303">
        <f t="shared" ca="1" si="686"/>
        <v>0</v>
      </c>
      <c r="DC240" s="248">
        <f t="shared" ca="1" si="687"/>
        <v>0</v>
      </c>
      <c r="DD240" s="778">
        <f t="shared" ca="1" si="688"/>
        <v>0</v>
      </c>
      <c r="DE240" s="363">
        <f t="shared" ca="1" si="689"/>
        <v>0</v>
      </c>
      <c r="DF240" s="378" t="str">
        <f t="shared" ca="1" si="690"/>
        <v/>
      </c>
      <c r="DG240" s="508" t="str">
        <f t="shared" ca="1" si="691"/>
        <v/>
      </c>
      <c r="DH240" s="508" t="str">
        <f t="shared" ca="1" si="692"/>
        <v/>
      </c>
      <c r="DI240" s="508" t="str">
        <f t="shared" ca="1" si="693"/>
        <v/>
      </c>
      <c r="DJ240" s="508" t="str">
        <f t="shared" ca="1" si="694"/>
        <v/>
      </c>
      <c r="DK240" s="353">
        <f t="shared" ca="1" si="695"/>
        <v>0</v>
      </c>
      <c r="DL240" s="781">
        <f t="shared" ca="1" si="696"/>
        <v>0</v>
      </c>
      <c r="DM240" s="303">
        <f t="shared" ca="1" si="697"/>
        <v>0</v>
      </c>
      <c r="DN240" s="508" t="str">
        <f t="shared" ca="1" si="698"/>
        <v/>
      </c>
      <c r="DO240" s="508" t="str">
        <f t="shared" ca="1" si="699"/>
        <v/>
      </c>
      <c r="DP240" s="508" t="str">
        <f t="shared" ca="1" si="700"/>
        <v/>
      </c>
      <c r="DQ240" s="508" t="str">
        <f t="shared" ca="1" si="701"/>
        <v/>
      </c>
      <c r="DR240" s="508" t="str">
        <f t="shared" ca="1" si="702"/>
        <v/>
      </c>
      <c r="DS240" s="353">
        <f t="shared" ca="1" si="703"/>
        <v>0</v>
      </c>
      <c r="DT240" s="353">
        <f t="shared" ca="1" si="704"/>
        <v>0</v>
      </c>
      <c r="DU240" s="380">
        <f t="shared" ca="1" si="804"/>
        <v>18.666666666666668</v>
      </c>
      <c r="DV240" s="303">
        <f t="shared" ca="1" si="705"/>
        <v>0</v>
      </c>
      <c r="DW240" s="303">
        <f t="shared" ca="1" si="706"/>
        <v>0</v>
      </c>
      <c r="DX240" s="303">
        <f t="shared" ca="1" si="707"/>
        <v>0</v>
      </c>
      <c r="DY240" s="303">
        <f t="shared" ca="1" si="708"/>
        <v>0</v>
      </c>
      <c r="DZ240" s="303">
        <f t="shared" ca="1" si="709"/>
        <v>0</v>
      </c>
      <c r="EA240" s="303">
        <f t="shared" ca="1" si="710"/>
        <v>0</v>
      </c>
      <c r="EB240" s="302">
        <f t="shared" ca="1" si="711"/>
        <v>0</v>
      </c>
      <c r="EC240" s="299">
        <f t="shared" ca="1" si="712"/>
        <v>0</v>
      </c>
      <c r="ED240" s="299">
        <f t="shared" ca="1" si="713"/>
        <v>0</v>
      </c>
      <c r="EE240" s="299">
        <f t="shared" ca="1" si="714"/>
        <v>0</v>
      </c>
      <c r="EF240" s="299">
        <f t="shared" ca="1" si="715"/>
        <v>0</v>
      </c>
      <c r="EG240" s="299">
        <f t="shared" ca="1" si="716"/>
        <v>0</v>
      </c>
      <c r="EH240" s="302">
        <f t="shared" ca="1" si="717"/>
        <v>0</v>
      </c>
      <c r="EI240" s="304" t="str">
        <f t="shared" ca="1" si="718"/>
        <v/>
      </c>
      <c r="EJ240" s="305" t="str">
        <f t="shared" ca="1" si="719"/>
        <v/>
      </c>
      <c r="EK240" s="305" t="str">
        <f t="shared" ca="1" si="720"/>
        <v/>
      </c>
      <c r="EL240" s="305" t="str">
        <f t="shared" ca="1" si="721"/>
        <v/>
      </c>
      <c r="EM240" s="305" t="str">
        <f t="shared" ca="1" si="722"/>
        <v/>
      </c>
      <c r="EN240" s="305" t="str">
        <f t="shared" ca="1" si="723"/>
        <v/>
      </c>
      <c r="EO240" s="305" t="str">
        <f t="shared" ca="1" si="724"/>
        <v/>
      </c>
      <c r="EP240" s="305" t="str">
        <f t="shared" ca="1" si="725"/>
        <v/>
      </c>
      <c r="EQ240" s="305" t="str">
        <f t="shared" ca="1" si="726"/>
        <v/>
      </c>
      <c r="ER240" s="305" t="str">
        <f t="shared" ca="1" si="727"/>
        <v/>
      </c>
      <c r="ES240" s="305" t="str">
        <f t="shared" ca="1" si="728"/>
        <v/>
      </c>
      <c r="ET240" s="299">
        <f t="shared" ca="1" si="729"/>
        <v>0</v>
      </c>
      <c r="EU240" s="302">
        <f t="shared" ca="1" si="730"/>
        <v>0</v>
      </c>
      <c r="EV240" s="304" t="str">
        <f t="shared" ca="1" si="731"/>
        <v/>
      </c>
      <c r="EW240" s="305" t="str">
        <f t="shared" ca="1" si="732"/>
        <v/>
      </c>
      <c r="EX240" s="305" t="str">
        <f t="shared" ca="1" si="733"/>
        <v/>
      </c>
      <c r="EY240" s="305" t="str">
        <f t="shared" ca="1" si="734"/>
        <v/>
      </c>
      <c r="EZ240" s="305" t="str">
        <f t="shared" ca="1" si="735"/>
        <v/>
      </c>
      <c r="FA240" s="305" t="str">
        <f t="shared" ca="1" si="736"/>
        <v/>
      </c>
      <c r="FB240" s="305" t="str">
        <f t="shared" ca="1" si="737"/>
        <v/>
      </c>
      <c r="FC240" s="305" t="str">
        <f t="shared" ca="1" si="738"/>
        <v/>
      </c>
      <c r="FD240" s="305" t="str">
        <f t="shared" ca="1" si="739"/>
        <v/>
      </c>
      <c r="FE240" s="305" t="str">
        <f t="shared" ca="1" si="740"/>
        <v/>
      </c>
      <c r="FF240" s="305" t="str">
        <f t="shared" ca="1" si="741"/>
        <v/>
      </c>
      <c r="FG240" s="299">
        <f t="shared" ca="1" si="742"/>
        <v>0</v>
      </c>
      <c r="FH240" s="302">
        <f t="shared" ca="1" si="743"/>
        <v>0</v>
      </c>
      <c r="FI240" s="248">
        <f t="shared" ca="1" si="744"/>
        <v>0</v>
      </c>
      <c r="FJ240" s="363">
        <f t="shared" ca="1" si="745"/>
        <v>0</v>
      </c>
      <c r="FK240" s="378" t="str">
        <f t="shared" ca="1" si="746"/>
        <v/>
      </c>
      <c r="FL240" s="508" t="str">
        <f t="shared" ca="1" si="747"/>
        <v/>
      </c>
      <c r="FM240" s="508" t="str">
        <f t="shared" ca="1" si="748"/>
        <v/>
      </c>
      <c r="FN240" s="508" t="str">
        <f t="shared" ca="1" si="749"/>
        <v/>
      </c>
      <c r="FO240" s="508" t="str">
        <f t="shared" ca="1" si="750"/>
        <v/>
      </c>
      <c r="FP240" s="353">
        <f t="shared" ca="1" si="751"/>
        <v>0</v>
      </c>
      <c r="FQ240" s="356">
        <f t="shared" ca="1" si="752"/>
        <v>0</v>
      </c>
      <c r="FR240" s="380">
        <f t="shared" ca="1" si="753"/>
        <v>0</v>
      </c>
      <c r="FS240" s="299">
        <f t="shared" ca="1" si="754"/>
        <v>0</v>
      </c>
      <c r="FT240" s="299">
        <f t="shared" ca="1" si="755"/>
        <v>0</v>
      </c>
      <c r="FU240" s="299">
        <f t="shared" ca="1" si="756"/>
        <v>0</v>
      </c>
      <c r="FV240" s="299">
        <f t="shared" ca="1" si="757"/>
        <v>0</v>
      </c>
      <c r="FW240" s="850" t="str">
        <f t="shared" ca="1" si="758"/>
        <v/>
      </c>
      <c r="FX240" s="851" t="str">
        <f t="shared" ca="1" si="759"/>
        <v/>
      </c>
      <c r="FY240" s="851" t="str">
        <f t="shared" ca="1" si="760"/>
        <v/>
      </c>
      <c r="FZ240" s="201" t="str">
        <f t="shared" ca="1" si="761"/>
        <v/>
      </c>
      <c r="GA240" s="201" t="str">
        <f t="shared" ca="1" si="762"/>
        <v/>
      </c>
      <c r="GB240" s="201" t="str">
        <f t="shared" ca="1" si="763"/>
        <v/>
      </c>
      <c r="GC240" s="201" t="str">
        <f t="shared" ca="1" si="764"/>
        <v/>
      </c>
      <c r="GD240" s="850" t="str">
        <f t="shared" ca="1" si="765"/>
        <v/>
      </c>
      <c r="GE240" s="866" t="str">
        <f t="shared" ca="1" si="766"/>
        <v/>
      </c>
      <c r="GF240" s="866" t="str">
        <f t="shared" ca="1" si="767"/>
        <v/>
      </c>
      <c r="GG240" s="866" t="str">
        <f t="shared" ca="1" si="768"/>
        <v/>
      </c>
      <c r="GH240" s="866" t="str">
        <f t="shared" ca="1" si="769"/>
        <v/>
      </c>
      <c r="GI240" s="302">
        <f t="shared" ca="1" si="770"/>
        <v>0</v>
      </c>
      <c r="GJ240" s="299">
        <f t="shared" ca="1" si="771"/>
        <v>0</v>
      </c>
      <c r="GK240" s="299">
        <f t="shared" ca="1" si="772"/>
        <v>0</v>
      </c>
      <c r="GL240" s="299">
        <f t="shared" ca="1" si="773"/>
        <v>0</v>
      </c>
      <c r="GM240" s="299">
        <f t="shared" ca="1" si="774"/>
        <v>0</v>
      </c>
      <c r="GN240" s="302">
        <f t="shared" ca="1" si="775"/>
        <v>0</v>
      </c>
      <c r="GO240" s="299">
        <f t="shared" ca="1" si="776"/>
        <v>0</v>
      </c>
      <c r="GP240" s="299">
        <f t="shared" ca="1" si="777"/>
        <v>0</v>
      </c>
      <c r="GQ240" s="299">
        <f t="shared" ca="1" si="778"/>
        <v>0</v>
      </c>
      <c r="GR240" s="299">
        <f t="shared" ca="1" si="779"/>
        <v>0</v>
      </c>
      <c r="GS240" s="302">
        <f t="shared" ca="1" si="780"/>
        <v>0</v>
      </c>
      <c r="GT240" s="299">
        <f t="shared" ca="1" si="781"/>
        <v>0</v>
      </c>
      <c r="GU240" s="299">
        <f t="shared" ca="1" si="782"/>
        <v>0</v>
      </c>
      <c r="GV240" s="299">
        <f t="shared" ca="1" si="783"/>
        <v>0</v>
      </c>
      <c r="GW240" s="299">
        <f t="shared" ca="1" si="784"/>
        <v>0</v>
      </c>
      <c r="GX240" s="303">
        <f t="shared" ca="1" si="785"/>
        <v>0</v>
      </c>
      <c r="GY240" s="303">
        <f t="shared" ca="1" si="786"/>
        <v>0</v>
      </c>
      <c r="GZ240" s="303">
        <f t="shared" ca="1" si="787"/>
        <v>0</v>
      </c>
      <c r="HA240" s="303">
        <f t="shared" ca="1" si="788"/>
        <v>0</v>
      </c>
      <c r="HB240" s="303">
        <f t="shared" ca="1" si="789"/>
        <v>0</v>
      </c>
      <c r="HC240" s="303">
        <f t="shared" ca="1" si="790"/>
        <v>0</v>
      </c>
      <c r="HD240" s="303">
        <f t="shared" ca="1" si="791"/>
        <v>0</v>
      </c>
      <c r="HE240" s="303">
        <f t="shared" ca="1" si="792"/>
        <v>0</v>
      </c>
      <c r="HF240" s="303">
        <f t="shared" ca="1" si="793"/>
        <v>0</v>
      </c>
      <c r="HG240" s="852">
        <f t="shared" ca="1" si="794"/>
        <v>0</v>
      </c>
    </row>
    <row r="241" spans="1:215" x14ac:dyDescent="0.25">
      <c r="A241" s="244">
        <f t="shared" ca="1" si="795"/>
        <v>43435</v>
      </c>
      <c r="B241" s="13">
        <f t="shared" ref="B241:B256" ca="1" si="825">YEAR(A241)</f>
        <v>2018</v>
      </c>
      <c r="C241" s="619">
        <f t="shared" ref="C241:C256" ca="1" si="826">MONTH(A241)</f>
        <v>12</v>
      </c>
      <c r="D241" s="195">
        <f t="shared" ca="1" si="625"/>
        <v>43459</v>
      </c>
      <c r="E241" s="469" t="str">
        <f t="shared" ca="1" si="626"/>
        <v/>
      </c>
      <c r="F241" s="465" t="str">
        <f t="shared" ca="1" si="627"/>
        <v/>
      </c>
      <c r="G241" s="522">
        <f t="shared" ca="1" si="796"/>
        <v>1</v>
      </c>
      <c r="H241" s="519">
        <f t="shared" ca="1" si="797"/>
        <v>1</v>
      </c>
      <c r="I241" s="724">
        <f t="shared" ref="I241:I256" ca="1" si="827">VLOOKUP(A241,IRTable,2)</f>
        <v>7.417428945963099E-2</v>
      </c>
      <c r="J241" s="198">
        <f t="shared" ca="1" si="629"/>
        <v>0.25271789532878214</v>
      </c>
      <c r="K241" s="200" t="e">
        <f t="shared" ca="1" si="805"/>
        <v>#N/A</v>
      </c>
      <c r="L241" s="201" t="e">
        <f t="shared" ca="1" si="806"/>
        <v>#N/A</v>
      </c>
      <c r="M241" s="206" t="e">
        <f t="shared" ca="1" si="807"/>
        <v>#N/A</v>
      </c>
      <c r="N241" s="851" t="e">
        <f t="shared" ca="1" si="811"/>
        <v>#N/A</v>
      </c>
      <c r="O241" s="201" t="e">
        <f t="shared" ca="1" si="812"/>
        <v>#N/A</v>
      </c>
      <c r="P241" s="206" t="e">
        <f t="shared" ca="1" si="813"/>
        <v>#N/A</v>
      </c>
      <c r="Q241" s="201" t="e">
        <f t="shared" ca="1" si="814"/>
        <v>#N/A</v>
      </c>
      <c r="R241" s="201" t="e">
        <f t="shared" ca="1" si="815"/>
        <v>#N/A</v>
      </c>
      <c r="S241" s="201" t="e">
        <f t="shared" ca="1" si="816"/>
        <v>#N/A</v>
      </c>
      <c r="T241" s="851" t="e">
        <f t="shared" ca="1" si="808"/>
        <v>#N/A</v>
      </c>
      <c r="U241" s="201" t="e">
        <f t="shared" ca="1" si="809"/>
        <v>#N/A</v>
      </c>
      <c r="V241" s="206" t="e">
        <f t="shared" ca="1" si="810"/>
        <v>#N/A</v>
      </c>
      <c r="W241" s="230" t="e">
        <f t="shared" ca="1" si="798"/>
        <v>#N/A</v>
      </c>
      <c r="X241" s="231" t="e">
        <f t="shared" ca="1" si="799"/>
        <v>#N/A</v>
      </c>
      <c r="Y241" s="232" t="e">
        <f t="shared" ca="1" si="800"/>
        <v>#N/A</v>
      </c>
      <c r="Z241" s="231" t="e">
        <f t="shared" ca="1" si="820"/>
        <v>#N/A</v>
      </c>
      <c r="AA241" s="231" t="e">
        <f t="shared" ca="1" si="821"/>
        <v>#N/A</v>
      </c>
      <c r="AB241" s="232" t="e">
        <f t="shared" ca="1" si="822"/>
        <v>#N/A</v>
      </c>
      <c r="AC241" s="231" t="e">
        <f t="shared" ca="1" si="823"/>
        <v>#N/A</v>
      </c>
      <c r="AD241" s="231" t="e">
        <f t="shared" ca="1" si="824"/>
        <v>#N/A</v>
      </c>
      <c r="AE241" s="232" t="e">
        <f t="shared" ca="1" si="630"/>
        <v>#N/A</v>
      </c>
      <c r="AF241" s="231" t="e">
        <f t="shared" ca="1" si="801"/>
        <v>#N/A</v>
      </c>
      <c r="AG241" s="231" t="e">
        <f t="shared" ca="1" si="802"/>
        <v>#N/A</v>
      </c>
      <c r="AH241" s="232" t="e">
        <f t="shared" ca="1" si="803"/>
        <v>#N/A</v>
      </c>
      <c r="AI241" s="233" t="e">
        <f t="shared" ca="1" si="631"/>
        <v>#N/A</v>
      </c>
      <c r="AJ241" s="233" t="e">
        <f t="shared" ca="1" si="632"/>
        <v>#N/A</v>
      </c>
      <c r="AK241" s="234" t="e">
        <f t="shared" ca="1" si="633"/>
        <v>#N/A</v>
      </c>
      <c r="AL241" s="919" t="e">
        <f t="shared" ca="1" si="634"/>
        <v>#N/A</v>
      </c>
      <c r="AM241" s="233" t="e">
        <f t="shared" ca="1" si="635"/>
        <v>#N/A</v>
      </c>
      <c r="AN241" s="234" t="e">
        <f t="shared" ca="1" si="636"/>
        <v>#N/A</v>
      </c>
      <c r="AO241" s="233" t="e">
        <f t="shared" ca="1" si="637"/>
        <v>#N/A</v>
      </c>
      <c r="AP241" s="233" t="e">
        <f t="shared" ca="1" si="638"/>
        <v>#N/A</v>
      </c>
      <c r="AQ241" s="233" t="e">
        <f t="shared" ca="1" si="639"/>
        <v>#N/A</v>
      </c>
      <c r="AR241" s="919" t="e">
        <f t="shared" ca="1" si="640"/>
        <v>#N/A</v>
      </c>
      <c r="AS241" s="233" t="e">
        <f t="shared" ca="1" si="641"/>
        <v>#N/A</v>
      </c>
      <c r="AT241" s="235" t="e">
        <f t="shared" ca="1" si="642"/>
        <v>#N/A</v>
      </c>
      <c r="AU241" s="946">
        <f t="shared" si="643"/>
        <v>0.5</v>
      </c>
      <c r="AV241" s="13">
        <f t="shared" ca="1" si="644"/>
        <v>0</v>
      </c>
      <c r="AW241" s="210">
        <f t="shared" ca="1" si="645"/>
        <v>0</v>
      </c>
      <c r="AX241" s="210">
        <f t="shared" ca="1" si="646"/>
        <v>0</v>
      </c>
      <c r="AY241" s="210">
        <f t="shared" ca="1" si="647"/>
        <v>0</v>
      </c>
      <c r="AZ241" s="13">
        <f t="shared" ca="1" si="648"/>
        <v>0</v>
      </c>
      <c r="BA241" s="357">
        <f ca="1"/>
        <v>0</v>
      </c>
      <c r="BB241" s="925">
        <f ca="1"/>
        <v>0</v>
      </c>
      <c r="BC241" s="925">
        <f ca="1"/>
        <v>0</v>
      </c>
      <c r="BD241" s="928">
        <f ca="1"/>
        <v>0</v>
      </c>
      <c r="BE241" s="200">
        <f ca="1"/>
        <v>0</v>
      </c>
      <c r="BF241" s="851">
        <f ca="1"/>
        <v>0</v>
      </c>
      <c r="BG241" s="851">
        <f ca="1"/>
        <v>0</v>
      </c>
      <c r="BH241" s="933">
        <f ca="1"/>
        <v>0</v>
      </c>
      <c r="BI241" s="357">
        <f ca="1"/>
        <v>0</v>
      </c>
      <c r="BJ241" s="925">
        <f ca="1"/>
        <v>0</v>
      </c>
      <c r="BK241" s="925">
        <f ca="1"/>
        <v>0</v>
      </c>
      <c r="BL241" s="928">
        <f ca="1"/>
        <v>0</v>
      </c>
      <c r="BM241" s="200">
        <f ca="1"/>
        <v>0</v>
      </c>
      <c r="BN241" s="851">
        <f ca="1"/>
        <v>0</v>
      </c>
      <c r="BO241" s="851">
        <f ca="1"/>
        <v>0</v>
      </c>
      <c r="BP241" s="933">
        <f ca="1"/>
        <v>0</v>
      </c>
      <c r="BQ241" s="357">
        <f t="shared" ca="1" si="649"/>
        <v>0</v>
      </c>
      <c r="BR241" s="361">
        <f t="shared" ca="1" si="650"/>
        <v>0</v>
      </c>
      <c r="BS241" s="357">
        <f t="shared" ca="1" si="651"/>
        <v>0</v>
      </c>
      <c r="BT241" s="302">
        <f t="shared" ca="1" si="652"/>
        <v>0</v>
      </c>
      <c r="BU241" s="299">
        <f t="shared" ca="1" si="653"/>
        <v>0</v>
      </c>
      <c r="BV241" s="299">
        <f t="shared" ca="1" si="654"/>
        <v>0</v>
      </c>
      <c r="BW241" s="299">
        <f t="shared" ca="1" si="655"/>
        <v>0</v>
      </c>
      <c r="BX241" s="380">
        <f t="shared" ca="1" si="656"/>
        <v>18.748802190280628</v>
      </c>
      <c r="BY241" s="363">
        <f t="shared" ca="1" si="657"/>
        <v>0</v>
      </c>
      <c r="BZ241" s="353">
        <f t="shared" ca="1" si="658"/>
        <v>0</v>
      </c>
      <c r="CA241" s="353">
        <f t="shared" ca="1" si="659"/>
        <v>0</v>
      </c>
      <c r="CB241" s="353">
        <f t="shared" ca="1" si="660"/>
        <v>0</v>
      </c>
      <c r="CC241" s="353">
        <f t="shared" ca="1" si="661"/>
        <v>0</v>
      </c>
      <c r="CD241" s="353">
        <f t="shared" ca="1" si="662"/>
        <v>0</v>
      </c>
      <c r="CE241" s="302">
        <f t="shared" ca="1" si="663"/>
        <v>0</v>
      </c>
      <c r="CF241" s="299">
        <f t="shared" ca="1" si="664"/>
        <v>0</v>
      </c>
      <c r="CG241" s="299">
        <f t="shared" ca="1" si="665"/>
        <v>0</v>
      </c>
      <c r="CH241" s="299">
        <f t="shared" ca="1" si="666"/>
        <v>0</v>
      </c>
      <c r="CI241" s="299">
        <f t="shared" ca="1" si="667"/>
        <v>0</v>
      </c>
      <c r="CJ241" s="299">
        <f t="shared" ca="1" si="668"/>
        <v>0</v>
      </c>
      <c r="CK241" s="299">
        <f t="shared" ca="1" si="669"/>
        <v>0</v>
      </c>
      <c r="CL241" s="377" t="str">
        <f t="shared" ca="1" si="670"/>
        <v/>
      </c>
      <c r="CM241" s="305" t="str">
        <f t="shared" ca="1" si="671"/>
        <v/>
      </c>
      <c r="CN241" s="305" t="str">
        <f t="shared" ca="1" si="672"/>
        <v/>
      </c>
      <c r="CO241" s="305" t="str">
        <f t="shared" ca="1" si="673"/>
        <v/>
      </c>
      <c r="CP241" s="305" t="str">
        <f t="shared" ca="1" si="674"/>
        <v/>
      </c>
      <c r="CQ241" s="305" t="str">
        <f t="shared" ca="1" si="675"/>
        <v/>
      </c>
      <c r="CR241" s="775" t="str">
        <f t="shared" ca="1" si="676"/>
        <v/>
      </c>
      <c r="CS241" s="305" t="str">
        <f t="shared" ca="1" si="677"/>
        <v/>
      </c>
      <c r="CT241" s="305" t="str">
        <f t="shared" ca="1" si="678"/>
        <v/>
      </c>
      <c r="CU241" s="305" t="str">
        <f t="shared" ca="1" si="679"/>
        <v/>
      </c>
      <c r="CV241" s="770" t="str">
        <f t="shared" ca="1" si="680"/>
        <v/>
      </c>
      <c r="CW241" s="302">
        <f t="shared" ca="1" si="681"/>
        <v>0</v>
      </c>
      <c r="CX241" s="299">
        <f t="shared" ca="1" si="682"/>
        <v>0</v>
      </c>
      <c r="CY241" s="299">
        <f t="shared" ca="1" si="683"/>
        <v>0</v>
      </c>
      <c r="CZ241" s="299">
        <f t="shared" ca="1" si="684"/>
        <v>0</v>
      </c>
      <c r="DA241" s="774">
        <f t="shared" ca="1" si="685"/>
        <v>0</v>
      </c>
      <c r="DB241" s="303">
        <f t="shared" ca="1" si="686"/>
        <v>0</v>
      </c>
      <c r="DC241" s="248">
        <f t="shared" ca="1" si="687"/>
        <v>0</v>
      </c>
      <c r="DD241" s="778">
        <f t="shared" ca="1" si="688"/>
        <v>0</v>
      </c>
      <c r="DE241" s="363">
        <f t="shared" ca="1" si="689"/>
        <v>0</v>
      </c>
      <c r="DF241" s="378" t="str">
        <f t="shared" ca="1" si="690"/>
        <v/>
      </c>
      <c r="DG241" s="508" t="str">
        <f t="shared" ca="1" si="691"/>
        <v/>
      </c>
      <c r="DH241" s="508" t="str">
        <f t="shared" ca="1" si="692"/>
        <v/>
      </c>
      <c r="DI241" s="508" t="str">
        <f t="shared" ca="1" si="693"/>
        <v/>
      </c>
      <c r="DJ241" s="508" t="str">
        <f t="shared" ca="1" si="694"/>
        <v/>
      </c>
      <c r="DK241" s="353">
        <f t="shared" ca="1" si="695"/>
        <v>0</v>
      </c>
      <c r="DL241" s="781">
        <f t="shared" ca="1" si="696"/>
        <v>0</v>
      </c>
      <c r="DM241" s="303">
        <f t="shared" ca="1" si="697"/>
        <v>0</v>
      </c>
      <c r="DN241" s="508" t="str">
        <f t="shared" ca="1" si="698"/>
        <v/>
      </c>
      <c r="DO241" s="508" t="str">
        <f t="shared" ca="1" si="699"/>
        <v/>
      </c>
      <c r="DP241" s="508" t="str">
        <f t="shared" ca="1" si="700"/>
        <v/>
      </c>
      <c r="DQ241" s="508" t="str">
        <f t="shared" ca="1" si="701"/>
        <v/>
      </c>
      <c r="DR241" s="508" t="str">
        <f t="shared" ca="1" si="702"/>
        <v/>
      </c>
      <c r="DS241" s="353">
        <f t="shared" ca="1" si="703"/>
        <v>0</v>
      </c>
      <c r="DT241" s="353">
        <f t="shared" ca="1" si="704"/>
        <v>0</v>
      </c>
      <c r="DU241" s="380">
        <f t="shared" ca="1" si="804"/>
        <v>18.748802190280628</v>
      </c>
      <c r="DV241" s="303">
        <f t="shared" ca="1" si="705"/>
        <v>0</v>
      </c>
      <c r="DW241" s="303">
        <f t="shared" ca="1" si="706"/>
        <v>0</v>
      </c>
      <c r="DX241" s="303">
        <f t="shared" ca="1" si="707"/>
        <v>0</v>
      </c>
      <c r="DY241" s="303">
        <f t="shared" ca="1" si="708"/>
        <v>0</v>
      </c>
      <c r="DZ241" s="303">
        <f t="shared" ca="1" si="709"/>
        <v>0</v>
      </c>
      <c r="EA241" s="303">
        <f t="shared" ca="1" si="710"/>
        <v>0</v>
      </c>
      <c r="EB241" s="302">
        <f t="shared" ca="1" si="711"/>
        <v>0</v>
      </c>
      <c r="EC241" s="299">
        <f t="shared" ca="1" si="712"/>
        <v>0</v>
      </c>
      <c r="ED241" s="299">
        <f t="shared" ca="1" si="713"/>
        <v>0</v>
      </c>
      <c r="EE241" s="299">
        <f t="shared" ca="1" si="714"/>
        <v>0</v>
      </c>
      <c r="EF241" s="299">
        <f t="shared" ca="1" si="715"/>
        <v>0</v>
      </c>
      <c r="EG241" s="299">
        <f t="shared" ca="1" si="716"/>
        <v>0</v>
      </c>
      <c r="EH241" s="302">
        <f t="shared" ca="1" si="717"/>
        <v>0</v>
      </c>
      <c r="EI241" s="304" t="str">
        <f t="shared" ca="1" si="718"/>
        <v/>
      </c>
      <c r="EJ241" s="305" t="str">
        <f t="shared" ca="1" si="719"/>
        <v/>
      </c>
      <c r="EK241" s="305" t="str">
        <f t="shared" ca="1" si="720"/>
        <v/>
      </c>
      <c r="EL241" s="305" t="str">
        <f t="shared" ca="1" si="721"/>
        <v/>
      </c>
      <c r="EM241" s="305" t="str">
        <f t="shared" ca="1" si="722"/>
        <v/>
      </c>
      <c r="EN241" s="305" t="str">
        <f t="shared" ca="1" si="723"/>
        <v/>
      </c>
      <c r="EO241" s="305" t="str">
        <f t="shared" ca="1" si="724"/>
        <v/>
      </c>
      <c r="EP241" s="305" t="str">
        <f t="shared" ca="1" si="725"/>
        <v/>
      </c>
      <c r="EQ241" s="305" t="str">
        <f t="shared" ca="1" si="726"/>
        <v/>
      </c>
      <c r="ER241" s="305" t="str">
        <f t="shared" ca="1" si="727"/>
        <v/>
      </c>
      <c r="ES241" s="305" t="str">
        <f t="shared" ca="1" si="728"/>
        <v/>
      </c>
      <c r="ET241" s="299">
        <f t="shared" ca="1" si="729"/>
        <v>0</v>
      </c>
      <c r="EU241" s="302">
        <f t="shared" ca="1" si="730"/>
        <v>0</v>
      </c>
      <c r="EV241" s="304" t="str">
        <f t="shared" ca="1" si="731"/>
        <v/>
      </c>
      <c r="EW241" s="305" t="str">
        <f t="shared" ca="1" si="732"/>
        <v/>
      </c>
      <c r="EX241" s="305" t="str">
        <f t="shared" ca="1" si="733"/>
        <v/>
      </c>
      <c r="EY241" s="305" t="str">
        <f t="shared" ca="1" si="734"/>
        <v/>
      </c>
      <c r="EZ241" s="305" t="str">
        <f t="shared" ca="1" si="735"/>
        <v/>
      </c>
      <c r="FA241" s="305" t="str">
        <f t="shared" ca="1" si="736"/>
        <v/>
      </c>
      <c r="FB241" s="305" t="str">
        <f t="shared" ca="1" si="737"/>
        <v/>
      </c>
      <c r="FC241" s="305" t="str">
        <f t="shared" ca="1" si="738"/>
        <v/>
      </c>
      <c r="FD241" s="305" t="str">
        <f t="shared" ca="1" si="739"/>
        <v/>
      </c>
      <c r="FE241" s="305" t="str">
        <f t="shared" ca="1" si="740"/>
        <v/>
      </c>
      <c r="FF241" s="305" t="str">
        <f t="shared" ca="1" si="741"/>
        <v/>
      </c>
      <c r="FG241" s="299">
        <f t="shared" ca="1" si="742"/>
        <v>0</v>
      </c>
      <c r="FH241" s="302">
        <f t="shared" ca="1" si="743"/>
        <v>0</v>
      </c>
      <c r="FI241" s="248">
        <f t="shared" ca="1" si="744"/>
        <v>0</v>
      </c>
      <c r="FJ241" s="363">
        <f t="shared" ca="1" si="745"/>
        <v>0</v>
      </c>
      <c r="FK241" s="378" t="str">
        <f t="shared" ca="1" si="746"/>
        <v/>
      </c>
      <c r="FL241" s="508" t="str">
        <f t="shared" ca="1" si="747"/>
        <v/>
      </c>
      <c r="FM241" s="508" t="str">
        <f t="shared" ca="1" si="748"/>
        <v/>
      </c>
      <c r="FN241" s="508" t="str">
        <f t="shared" ca="1" si="749"/>
        <v/>
      </c>
      <c r="FO241" s="508" t="str">
        <f t="shared" ca="1" si="750"/>
        <v/>
      </c>
      <c r="FP241" s="353">
        <f t="shared" ca="1" si="751"/>
        <v>0</v>
      </c>
      <c r="FQ241" s="356">
        <f t="shared" ca="1" si="752"/>
        <v>0</v>
      </c>
      <c r="FR241" s="380">
        <f t="shared" ca="1" si="753"/>
        <v>0</v>
      </c>
      <c r="FS241" s="299">
        <f t="shared" ca="1" si="754"/>
        <v>0</v>
      </c>
      <c r="FT241" s="299">
        <f t="shared" ca="1" si="755"/>
        <v>0</v>
      </c>
      <c r="FU241" s="299">
        <f t="shared" ca="1" si="756"/>
        <v>0</v>
      </c>
      <c r="FV241" s="299">
        <f t="shared" ca="1" si="757"/>
        <v>0</v>
      </c>
      <c r="FW241" s="850" t="str">
        <f t="shared" ca="1" si="758"/>
        <v/>
      </c>
      <c r="FX241" s="851" t="str">
        <f t="shared" ca="1" si="759"/>
        <v/>
      </c>
      <c r="FY241" s="851" t="str">
        <f t="shared" ca="1" si="760"/>
        <v/>
      </c>
      <c r="FZ241" s="201" t="str">
        <f t="shared" ca="1" si="761"/>
        <v/>
      </c>
      <c r="GA241" s="201" t="str">
        <f t="shared" ca="1" si="762"/>
        <v/>
      </c>
      <c r="GB241" s="201" t="str">
        <f t="shared" ca="1" si="763"/>
        <v/>
      </c>
      <c r="GC241" s="201" t="str">
        <f t="shared" ca="1" si="764"/>
        <v/>
      </c>
      <c r="GD241" s="850" t="str">
        <f t="shared" ca="1" si="765"/>
        <v/>
      </c>
      <c r="GE241" s="866" t="str">
        <f t="shared" ca="1" si="766"/>
        <v/>
      </c>
      <c r="GF241" s="866" t="str">
        <f t="shared" ca="1" si="767"/>
        <v/>
      </c>
      <c r="GG241" s="866" t="str">
        <f t="shared" ca="1" si="768"/>
        <v/>
      </c>
      <c r="GH241" s="866" t="str">
        <f t="shared" ca="1" si="769"/>
        <v/>
      </c>
      <c r="GI241" s="302">
        <f t="shared" ca="1" si="770"/>
        <v>0</v>
      </c>
      <c r="GJ241" s="299">
        <f t="shared" ca="1" si="771"/>
        <v>0</v>
      </c>
      <c r="GK241" s="299">
        <f t="shared" ca="1" si="772"/>
        <v>0</v>
      </c>
      <c r="GL241" s="299">
        <f t="shared" ca="1" si="773"/>
        <v>0</v>
      </c>
      <c r="GM241" s="299">
        <f t="shared" ca="1" si="774"/>
        <v>0</v>
      </c>
      <c r="GN241" s="302">
        <f t="shared" ca="1" si="775"/>
        <v>0</v>
      </c>
      <c r="GO241" s="299">
        <f t="shared" ca="1" si="776"/>
        <v>0</v>
      </c>
      <c r="GP241" s="299">
        <f t="shared" ca="1" si="777"/>
        <v>0</v>
      </c>
      <c r="GQ241" s="299">
        <f t="shared" ca="1" si="778"/>
        <v>0</v>
      </c>
      <c r="GR241" s="299">
        <f t="shared" ca="1" si="779"/>
        <v>0</v>
      </c>
      <c r="GS241" s="302">
        <f t="shared" ca="1" si="780"/>
        <v>0</v>
      </c>
      <c r="GT241" s="299">
        <f t="shared" ca="1" si="781"/>
        <v>0</v>
      </c>
      <c r="GU241" s="299">
        <f t="shared" ca="1" si="782"/>
        <v>0</v>
      </c>
      <c r="GV241" s="299">
        <f t="shared" ca="1" si="783"/>
        <v>0</v>
      </c>
      <c r="GW241" s="299">
        <f t="shared" ca="1" si="784"/>
        <v>0</v>
      </c>
      <c r="GX241" s="303">
        <f t="shared" ca="1" si="785"/>
        <v>0</v>
      </c>
      <c r="GY241" s="303">
        <f t="shared" ca="1" si="786"/>
        <v>0</v>
      </c>
      <c r="GZ241" s="303">
        <f t="shared" ca="1" si="787"/>
        <v>0</v>
      </c>
      <c r="HA241" s="303">
        <f t="shared" ca="1" si="788"/>
        <v>0</v>
      </c>
      <c r="HB241" s="303">
        <f t="shared" ca="1" si="789"/>
        <v>0</v>
      </c>
      <c r="HC241" s="303">
        <f t="shared" ca="1" si="790"/>
        <v>0</v>
      </c>
      <c r="HD241" s="303">
        <f t="shared" ca="1" si="791"/>
        <v>0</v>
      </c>
      <c r="HE241" s="303">
        <f t="shared" ca="1" si="792"/>
        <v>0</v>
      </c>
      <c r="HF241" s="303">
        <f t="shared" ca="1" si="793"/>
        <v>0</v>
      </c>
      <c r="HG241" s="852">
        <f t="shared" ca="1" si="794"/>
        <v>0</v>
      </c>
    </row>
    <row r="242" spans="1:215" x14ac:dyDescent="0.25">
      <c r="A242" s="244">
        <f t="shared" ca="1" si="795"/>
        <v>43466</v>
      </c>
      <c r="B242" s="13">
        <f t="shared" ca="1" si="825"/>
        <v>2019</v>
      </c>
      <c r="C242" s="619">
        <f t="shared" ca="1" si="826"/>
        <v>1</v>
      </c>
      <c r="D242" s="195">
        <f t="shared" ca="1" si="625"/>
        <v>43466</v>
      </c>
      <c r="E242" s="469" t="str">
        <f t="shared" ca="1" si="626"/>
        <v/>
      </c>
      <c r="F242" s="465" t="str">
        <f t="shared" ca="1" si="627"/>
        <v/>
      </c>
      <c r="G242" s="522">
        <f t="shared" ca="1" si="796"/>
        <v>1</v>
      </c>
      <c r="H242" s="519">
        <f t="shared" ca="1" si="797"/>
        <v>1</v>
      </c>
      <c r="I242" s="724">
        <f t="shared" ca="1" si="827"/>
        <v>7.4173994741752E-2</v>
      </c>
      <c r="J242" s="198">
        <f t="shared" ca="1" si="629"/>
        <v>0.25116189429571101</v>
      </c>
      <c r="K242" s="200" t="e">
        <f t="shared" ca="1" si="805"/>
        <v>#N/A</v>
      </c>
      <c r="L242" s="201" t="e">
        <f t="shared" ca="1" si="806"/>
        <v>#N/A</v>
      </c>
      <c r="M242" s="206" t="e">
        <f t="shared" ca="1" si="807"/>
        <v>#N/A</v>
      </c>
      <c r="N242" s="851" t="e">
        <f t="shared" ca="1" si="811"/>
        <v>#N/A</v>
      </c>
      <c r="O242" s="201" t="e">
        <f t="shared" ca="1" si="812"/>
        <v>#N/A</v>
      </c>
      <c r="P242" s="206" t="e">
        <f t="shared" ca="1" si="813"/>
        <v>#N/A</v>
      </c>
      <c r="Q242" s="201" t="e">
        <f t="shared" ca="1" si="814"/>
        <v>#N/A</v>
      </c>
      <c r="R242" s="201" t="e">
        <f t="shared" ca="1" si="815"/>
        <v>#N/A</v>
      </c>
      <c r="S242" s="201" t="e">
        <f t="shared" ca="1" si="816"/>
        <v>#N/A</v>
      </c>
      <c r="T242" s="851" t="e">
        <f t="shared" ca="1" si="808"/>
        <v>#N/A</v>
      </c>
      <c r="U242" s="201" t="e">
        <f t="shared" ca="1" si="809"/>
        <v>#N/A</v>
      </c>
      <c r="V242" s="206" t="e">
        <f t="shared" ca="1" si="810"/>
        <v>#N/A</v>
      </c>
      <c r="W242" s="230" t="e">
        <f t="shared" ca="1" si="798"/>
        <v>#N/A</v>
      </c>
      <c r="X242" s="231" t="e">
        <f t="shared" ca="1" si="799"/>
        <v>#N/A</v>
      </c>
      <c r="Y242" s="232" t="e">
        <f t="shared" ca="1" si="800"/>
        <v>#N/A</v>
      </c>
      <c r="Z242" s="231" t="e">
        <f t="shared" ca="1" si="820"/>
        <v>#N/A</v>
      </c>
      <c r="AA242" s="231" t="e">
        <f t="shared" ca="1" si="821"/>
        <v>#N/A</v>
      </c>
      <c r="AB242" s="232" t="e">
        <f t="shared" ca="1" si="822"/>
        <v>#N/A</v>
      </c>
      <c r="AC242" s="231" t="e">
        <f t="shared" ca="1" si="823"/>
        <v>#N/A</v>
      </c>
      <c r="AD242" s="231" t="e">
        <f t="shared" ca="1" si="824"/>
        <v>#N/A</v>
      </c>
      <c r="AE242" s="232" t="e">
        <f t="shared" ca="1" si="630"/>
        <v>#N/A</v>
      </c>
      <c r="AF242" s="231" t="e">
        <f t="shared" ca="1" si="801"/>
        <v>#N/A</v>
      </c>
      <c r="AG242" s="231" t="e">
        <f t="shared" ca="1" si="802"/>
        <v>#N/A</v>
      </c>
      <c r="AH242" s="232" t="e">
        <f t="shared" ca="1" si="803"/>
        <v>#N/A</v>
      </c>
      <c r="AI242" s="233" t="e">
        <f t="shared" ca="1" si="631"/>
        <v>#N/A</v>
      </c>
      <c r="AJ242" s="233" t="e">
        <f t="shared" ca="1" si="632"/>
        <v>#N/A</v>
      </c>
      <c r="AK242" s="234" t="e">
        <f t="shared" ca="1" si="633"/>
        <v>#N/A</v>
      </c>
      <c r="AL242" s="919" t="e">
        <f t="shared" ca="1" si="634"/>
        <v>#N/A</v>
      </c>
      <c r="AM242" s="233" t="e">
        <f t="shared" ca="1" si="635"/>
        <v>#N/A</v>
      </c>
      <c r="AN242" s="234" t="e">
        <f t="shared" ca="1" si="636"/>
        <v>#N/A</v>
      </c>
      <c r="AO242" s="233" t="e">
        <f t="shared" ca="1" si="637"/>
        <v>#N/A</v>
      </c>
      <c r="AP242" s="233" t="e">
        <f t="shared" ca="1" si="638"/>
        <v>#N/A</v>
      </c>
      <c r="AQ242" s="233" t="e">
        <f t="shared" ca="1" si="639"/>
        <v>#N/A</v>
      </c>
      <c r="AR242" s="919" t="e">
        <f t="shared" ca="1" si="640"/>
        <v>#N/A</v>
      </c>
      <c r="AS242" s="233" t="e">
        <f t="shared" ca="1" si="641"/>
        <v>#N/A</v>
      </c>
      <c r="AT242" s="235" t="e">
        <f t="shared" ca="1" si="642"/>
        <v>#N/A</v>
      </c>
      <c r="AU242" s="946">
        <f t="shared" si="643"/>
        <v>0.5</v>
      </c>
      <c r="AV242" s="13">
        <f t="shared" ca="1" si="644"/>
        <v>0</v>
      </c>
      <c r="AW242" s="210">
        <f t="shared" ca="1" si="645"/>
        <v>0</v>
      </c>
      <c r="AX242" s="210">
        <f t="shared" ca="1" si="646"/>
        <v>0</v>
      </c>
      <c r="AY242" s="210">
        <f t="shared" ca="1" si="647"/>
        <v>0</v>
      </c>
      <c r="AZ242" s="13">
        <f t="shared" ca="1" si="648"/>
        <v>0</v>
      </c>
      <c r="BA242" s="357">
        <f ca="1"/>
        <v>0</v>
      </c>
      <c r="BB242" s="925">
        <f ca="1"/>
        <v>0</v>
      </c>
      <c r="BC242" s="925">
        <f ca="1"/>
        <v>0</v>
      </c>
      <c r="BD242" s="928">
        <f ca="1"/>
        <v>0</v>
      </c>
      <c r="BE242" s="200">
        <f ca="1"/>
        <v>0</v>
      </c>
      <c r="BF242" s="851">
        <f ca="1"/>
        <v>0</v>
      </c>
      <c r="BG242" s="851">
        <f ca="1"/>
        <v>0</v>
      </c>
      <c r="BH242" s="933">
        <f ca="1"/>
        <v>0</v>
      </c>
      <c r="BI242" s="357">
        <f ca="1"/>
        <v>0</v>
      </c>
      <c r="BJ242" s="925">
        <f ca="1"/>
        <v>0</v>
      </c>
      <c r="BK242" s="925">
        <f ca="1"/>
        <v>0</v>
      </c>
      <c r="BL242" s="928">
        <f ca="1"/>
        <v>0</v>
      </c>
      <c r="BM242" s="200">
        <f ca="1"/>
        <v>0</v>
      </c>
      <c r="BN242" s="851">
        <f ca="1"/>
        <v>0</v>
      </c>
      <c r="BO242" s="851">
        <f ca="1"/>
        <v>0</v>
      </c>
      <c r="BP242" s="933">
        <f ca="1"/>
        <v>0</v>
      </c>
      <c r="BQ242" s="357">
        <f t="shared" ca="1" si="649"/>
        <v>0</v>
      </c>
      <c r="BR242" s="361">
        <f t="shared" ca="1" si="650"/>
        <v>0</v>
      </c>
      <c r="BS242" s="357">
        <f t="shared" ca="1" si="651"/>
        <v>0</v>
      </c>
      <c r="BT242" s="302">
        <f t="shared" ca="1" si="652"/>
        <v>0</v>
      </c>
      <c r="BU242" s="299">
        <f t="shared" ca="1" si="653"/>
        <v>0</v>
      </c>
      <c r="BV242" s="299">
        <f t="shared" ca="1" si="654"/>
        <v>0</v>
      </c>
      <c r="BW242" s="299">
        <f t="shared" ca="1" si="655"/>
        <v>0</v>
      </c>
      <c r="BX242" s="380">
        <f t="shared" ca="1" si="656"/>
        <v>18.833675564681723</v>
      </c>
      <c r="BY242" s="363">
        <f t="shared" ca="1" si="657"/>
        <v>0</v>
      </c>
      <c r="BZ242" s="353">
        <f t="shared" ca="1" si="658"/>
        <v>0</v>
      </c>
      <c r="CA242" s="353">
        <f t="shared" ca="1" si="659"/>
        <v>0</v>
      </c>
      <c r="CB242" s="353">
        <f t="shared" ca="1" si="660"/>
        <v>0</v>
      </c>
      <c r="CC242" s="353">
        <f t="shared" ca="1" si="661"/>
        <v>0</v>
      </c>
      <c r="CD242" s="353">
        <f t="shared" ca="1" si="662"/>
        <v>0</v>
      </c>
      <c r="CE242" s="302">
        <f t="shared" ca="1" si="663"/>
        <v>0</v>
      </c>
      <c r="CF242" s="299">
        <f t="shared" ca="1" si="664"/>
        <v>0</v>
      </c>
      <c r="CG242" s="299">
        <f t="shared" ca="1" si="665"/>
        <v>0</v>
      </c>
      <c r="CH242" s="299">
        <f t="shared" ca="1" si="666"/>
        <v>0</v>
      </c>
      <c r="CI242" s="299">
        <f t="shared" ca="1" si="667"/>
        <v>0</v>
      </c>
      <c r="CJ242" s="299">
        <f t="shared" ca="1" si="668"/>
        <v>0</v>
      </c>
      <c r="CK242" s="299">
        <f t="shared" ca="1" si="669"/>
        <v>0</v>
      </c>
      <c r="CL242" s="377" t="str">
        <f t="shared" ca="1" si="670"/>
        <v/>
      </c>
      <c r="CM242" s="305" t="str">
        <f t="shared" ca="1" si="671"/>
        <v/>
      </c>
      <c r="CN242" s="305" t="str">
        <f t="shared" ca="1" si="672"/>
        <v/>
      </c>
      <c r="CO242" s="305" t="str">
        <f t="shared" ca="1" si="673"/>
        <v/>
      </c>
      <c r="CP242" s="305" t="str">
        <f t="shared" ca="1" si="674"/>
        <v/>
      </c>
      <c r="CQ242" s="305" t="str">
        <f t="shared" ca="1" si="675"/>
        <v/>
      </c>
      <c r="CR242" s="775" t="str">
        <f t="shared" ca="1" si="676"/>
        <v/>
      </c>
      <c r="CS242" s="305" t="str">
        <f t="shared" ca="1" si="677"/>
        <v/>
      </c>
      <c r="CT242" s="305" t="str">
        <f t="shared" ca="1" si="678"/>
        <v/>
      </c>
      <c r="CU242" s="305" t="str">
        <f t="shared" ca="1" si="679"/>
        <v/>
      </c>
      <c r="CV242" s="770" t="str">
        <f t="shared" ca="1" si="680"/>
        <v/>
      </c>
      <c r="CW242" s="302">
        <f t="shared" ca="1" si="681"/>
        <v>0</v>
      </c>
      <c r="CX242" s="299">
        <f t="shared" ca="1" si="682"/>
        <v>0</v>
      </c>
      <c r="CY242" s="299">
        <f t="shared" ca="1" si="683"/>
        <v>0</v>
      </c>
      <c r="CZ242" s="299">
        <f t="shared" ca="1" si="684"/>
        <v>0</v>
      </c>
      <c r="DA242" s="774">
        <f t="shared" ca="1" si="685"/>
        <v>0</v>
      </c>
      <c r="DB242" s="303">
        <f t="shared" ca="1" si="686"/>
        <v>0</v>
      </c>
      <c r="DC242" s="248">
        <f t="shared" ca="1" si="687"/>
        <v>0</v>
      </c>
      <c r="DD242" s="778">
        <f t="shared" ca="1" si="688"/>
        <v>0</v>
      </c>
      <c r="DE242" s="363">
        <f t="shared" ca="1" si="689"/>
        <v>0</v>
      </c>
      <c r="DF242" s="378" t="str">
        <f t="shared" ca="1" si="690"/>
        <v/>
      </c>
      <c r="DG242" s="508" t="str">
        <f t="shared" ca="1" si="691"/>
        <v/>
      </c>
      <c r="DH242" s="508" t="str">
        <f t="shared" ca="1" si="692"/>
        <v/>
      </c>
      <c r="DI242" s="508" t="str">
        <f t="shared" ca="1" si="693"/>
        <v/>
      </c>
      <c r="DJ242" s="508" t="str">
        <f t="shared" ca="1" si="694"/>
        <v/>
      </c>
      <c r="DK242" s="353">
        <f t="shared" ca="1" si="695"/>
        <v>0</v>
      </c>
      <c r="DL242" s="781">
        <f t="shared" ca="1" si="696"/>
        <v>0</v>
      </c>
      <c r="DM242" s="303">
        <f t="shared" ca="1" si="697"/>
        <v>0</v>
      </c>
      <c r="DN242" s="508" t="str">
        <f t="shared" ca="1" si="698"/>
        <v/>
      </c>
      <c r="DO242" s="508" t="str">
        <f t="shared" ca="1" si="699"/>
        <v/>
      </c>
      <c r="DP242" s="508" t="str">
        <f t="shared" ca="1" si="700"/>
        <v/>
      </c>
      <c r="DQ242" s="508" t="str">
        <f t="shared" ca="1" si="701"/>
        <v/>
      </c>
      <c r="DR242" s="508" t="str">
        <f t="shared" ca="1" si="702"/>
        <v/>
      </c>
      <c r="DS242" s="353">
        <f t="shared" ca="1" si="703"/>
        <v>0</v>
      </c>
      <c r="DT242" s="353">
        <f t="shared" ca="1" si="704"/>
        <v>0</v>
      </c>
      <c r="DU242" s="380">
        <f t="shared" ca="1" si="804"/>
        <v>18.833675564681723</v>
      </c>
      <c r="DV242" s="303">
        <f t="shared" ca="1" si="705"/>
        <v>0</v>
      </c>
      <c r="DW242" s="303">
        <f t="shared" ca="1" si="706"/>
        <v>0</v>
      </c>
      <c r="DX242" s="303">
        <f t="shared" ca="1" si="707"/>
        <v>0</v>
      </c>
      <c r="DY242" s="303">
        <f t="shared" ca="1" si="708"/>
        <v>0</v>
      </c>
      <c r="DZ242" s="303">
        <f t="shared" ca="1" si="709"/>
        <v>0</v>
      </c>
      <c r="EA242" s="303">
        <f t="shared" ca="1" si="710"/>
        <v>0</v>
      </c>
      <c r="EB242" s="302">
        <f t="shared" ca="1" si="711"/>
        <v>0</v>
      </c>
      <c r="EC242" s="299">
        <f t="shared" ca="1" si="712"/>
        <v>0</v>
      </c>
      <c r="ED242" s="299">
        <f t="shared" ca="1" si="713"/>
        <v>0</v>
      </c>
      <c r="EE242" s="299">
        <f t="shared" ca="1" si="714"/>
        <v>0</v>
      </c>
      <c r="EF242" s="299">
        <f t="shared" ca="1" si="715"/>
        <v>0</v>
      </c>
      <c r="EG242" s="299">
        <f t="shared" ca="1" si="716"/>
        <v>0</v>
      </c>
      <c r="EH242" s="302">
        <f t="shared" ca="1" si="717"/>
        <v>0</v>
      </c>
      <c r="EI242" s="304" t="str">
        <f t="shared" ca="1" si="718"/>
        <v/>
      </c>
      <c r="EJ242" s="305" t="str">
        <f t="shared" ca="1" si="719"/>
        <v/>
      </c>
      <c r="EK242" s="305" t="str">
        <f t="shared" ca="1" si="720"/>
        <v/>
      </c>
      <c r="EL242" s="305" t="str">
        <f t="shared" ca="1" si="721"/>
        <v/>
      </c>
      <c r="EM242" s="305" t="str">
        <f t="shared" ca="1" si="722"/>
        <v/>
      </c>
      <c r="EN242" s="305" t="str">
        <f t="shared" ca="1" si="723"/>
        <v/>
      </c>
      <c r="EO242" s="305" t="str">
        <f t="shared" ca="1" si="724"/>
        <v/>
      </c>
      <c r="EP242" s="305" t="str">
        <f t="shared" ca="1" si="725"/>
        <v/>
      </c>
      <c r="EQ242" s="305" t="str">
        <f t="shared" ca="1" si="726"/>
        <v/>
      </c>
      <c r="ER242" s="305" t="str">
        <f t="shared" ca="1" si="727"/>
        <v/>
      </c>
      <c r="ES242" s="305" t="str">
        <f t="shared" ca="1" si="728"/>
        <v/>
      </c>
      <c r="ET242" s="299">
        <f t="shared" ca="1" si="729"/>
        <v>0</v>
      </c>
      <c r="EU242" s="302">
        <f t="shared" ca="1" si="730"/>
        <v>0</v>
      </c>
      <c r="EV242" s="304" t="str">
        <f t="shared" ca="1" si="731"/>
        <v/>
      </c>
      <c r="EW242" s="305" t="str">
        <f t="shared" ca="1" si="732"/>
        <v/>
      </c>
      <c r="EX242" s="305" t="str">
        <f t="shared" ca="1" si="733"/>
        <v/>
      </c>
      <c r="EY242" s="305" t="str">
        <f t="shared" ca="1" si="734"/>
        <v/>
      </c>
      <c r="EZ242" s="305" t="str">
        <f t="shared" ca="1" si="735"/>
        <v/>
      </c>
      <c r="FA242" s="305" t="str">
        <f t="shared" ca="1" si="736"/>
        <v/>
      </c>
      <c r="FB242" s="305" t="str">
        <f t="shared" ca="1" si="737"/>
        <v/>
      </c>
      <c r="FC242" s="305" t="str">
        <f t="shared" ca="1" si="738"/>
        <v/>
      </c>
      <c r="FD242" s="305" t="str">
        <f t="shared" ca="1" si="739"/>
        <v/>
      </c>
      <c r="FE242" s="305" t="str">
        <f t="shared" ca="1" si="740"/>
        <v/>
      </c>
      <c r="FF242" s="305" t="str">
        <f t="shared" ca="1" si="741"/>
        <v/>
      </c>
      <c r="FG242" s="299">
        <f t="shared" ca="1" si="742"/>
        <v>0</v>
      </c>
      <c r="FH242" s="302">
        <f t="shared" ca="1" si="743"/>
        <v>0</v>
      </c>
      <c r="FI242" s="248">
        <f t="shared" ca="1" si="744"/>
        <v>0</v>
      </c>
      <c r="FJ242" s="363">
        <f t="shared" ca="1" si="745"/>
        <v>0</v>
      </c>
      <c r="FK242" s="378" t="str">
        <f t="shared" ca="1" si="746"/>
        <v/>
      </c>
      <c r="FL242" s="508" t="str">
        <f t="shared" ca="1" si="747"/>
        <v/>
      </c>
      <c r="FM242" s="508" t="str">
        <f t="shared" ca="1" si="748"/>
        <v/>
      </c>
      <c r="FN242" s="508" t="str">
        <f t="shared" ca="1" si="749"/>
        <v/>
      </c>
      <c r="FO242" s="508" t="str">
        <f t="shared" ca="1" si="750"/>
        <v/>
      </c>
      <c r="FP242" s="353">
        <f t="shared" ca="1" si="751"/>
        <v>0</v>
      </c>
      <c r="FQ242" s="356">
        <f t="shared" ca="1" si="752"/>
        <v>0</v>
      </c>
      <c r="FR242" s="380">
        <f t="shared" ca="1" si="753"/>
        <v>0</v>
      </c>
      <c r="FS242" s="299">
        <f t="shared" ca="1" si="754"/>
        <v>0</v>
      </c>
      <c r="FT242" s="299">
        <f t="shared" ca="1" si="755"/>
        <v>0</v>
      </c>
      <c r="FU242" s="299">
        <f t="shared" ca="1" si="756"/>
        <v>0</v>
      </c>
      <c r="FV242" s="299">
        <f t="shared" ca="1" si="757"/>
        <v>0</v>
      </c>
      <c r="FW242" s="850" t="str">
        <f t="shared" ca="1" si="758"/>
        <v/>
      </c>
      <c r="FX242" s="851" t="str">
        <f t="shared" ca="1" si="759"/>
        <v/>
      </c>
      <c r="FY242" s="851" t="str">
        <f t="shared" ca="1" si="760"/>
        <v/>
      </c>
      <c r="FZ242" s="201" t="str">
        <f t="shared" ca="1" si="761"/>
        <v/>
      </c>
      <c r="GA242" s="201" t="str">
        <f t="shared" ca="1" si="762"/>
        <v/>
      </c>
      <c r="GB242" s="201" t="str">
        <f t="shared" ca="1" si="763"/>
        <v/>
      </c>
      <c r="GC242" s="201" t="str">
        <f t="shared" ca="1" si="764"/>
        <v/>
      </c>
      <c r="GD242" s="850" t="str">
        <f t="shared" ca="1" si="765"/>
        <v/>
      </c>
      <c r="GE242" s="866" t="str">
        <f t="shared" ca="1" si="766"/>
        <v/>
      </c>
      <c r="GF242" s="866" t="str">
        <f t="shared" ca="1" si="767"/>
        <v/>
      </c>
      <c r="GG242" s="866" t="str">
        <f t="shared" ca="1" si="768"/>
        <v/>
      </c>
      <c r="GH242" s="866" t="str">
        <f t="shared" ca="1" si="769"/>
        <v/>
      </c>
      <c r="GI242" s="302">
        <f t="shared" ca="1" si="770"/>
        <v>0</v>
      </c>
      <c r="GJ242" s="299">
        <f t="shared" ca="1" si="771"/>
        <v>0</v>
      </c>
      <c r="GK242" s="299">
        <f t="shared" ca="1" si="772"/>
        <v>0</v>
      </c>
      <c r="GL242" s="299">
        <f t="shared" ca="1" si="773"/>
        <v>0</v>
      </c>
      <c r="GM242" s="299">
        <f t="shared" ca="1" si="774"/>
        <v>0</v>
      </c>
      <c r="GN242" s="302">
        <f t="shared" ca="1" si="775"/>
        <v>0</v>
      </c>
      <c r="GO242" s="299">
        <f t="shared" ca="1" si="776"/>
        <v>0</v>
      </c>
      <c r="GP242" s="299">
        <f t="shared" ca="1" si="777"/>
        <v>0</v>
      </c>
      <c r="GQ242" s="299">
        <f t="shared" ca="1" si="778"/>
        <v>0</v>
      </c>
      <c r="GR242" s="299">
        <f t="shared" ca="1" si="779"/>
        <v>0</v>
      </c>
      <c r="GS242" s="302">
        <f t="shared" ca="1" si="780"/>
        <v>0</v>
      </c>
      <c r="GT242" s="299">
        <f t="shared" ca="1" si="781"/>
        <v>0</v>
      </c>
      <c r="GU242" s="299">
        <f t="shared" ca="1" si="782"/>
        <v>0</v>
      </c>
      <c r="GV242" s="299">
        <f t="shared" ca="1" si="783"/>
        <v>0</v>
      </c>
      <c r="GW242" s="299">
        <f t="shared" ca="1" si="784"/>
        <v>0</v>
      </c>
      <c r="GX242" s="303">
        <f t="shared" ca="1" si="785"/>
        <v>0</v>
      </c>
      <c r="GY242" s="303">
        <f t="shared" ca="1" si="786"/>
        <v>0</v>
      </c>
      <c r="GZ242" s="303">
        <f t="shared" ca="1" si="787"/>
        <v>0</v>
      </c>
      <c r="HA242" s="303">
        <f t="shared" ca="1" si="788"/>
        <v>0</v>
      </c>
      <c r="HB242" s="303">
        <f t="shared" ca="1" si="789"/>
        <v>0</v>
      </c>
      <c r="HC242" s="303">
        <f t="shared" ca="1" si="790"/>
        <v>0</v>
      </c>
      <c r="HD242" s="303">
        <f t="shared" ca="1" si="791"/>
        <v>0</v>
      </c>
      <c r="HE242" s="303">
        <f t="shared" ca="1" si="792"/>
        <v>0</v>
      </c>
      <c r="HF242" s="303">
        <f t="shared" ca="1" si="793"/>
        <v>0</v>
      </c>
      <c r="HG242" s="852">
        <f t="shared" ca="1" si="794"/>
        <v>0</v>
      </c>
    </row>
    <row r="243" spans="1:215" x14ac:dyDescent="0.25">
      <c r="A243" s="244">
        <f t="shared" ca="1" si="795"/>
        <v>43497</v>
      </c>
      <c r="B243" s="13">
        <f t="shared" ca="1" si="825"/>
        <v>2019</v>
      </c>
      <c r="C243" s="619">
        <f t="shared" ca="1" si="826"/>
        <v>2</v>
      </c>
      <c r="D243" s="195" t="str">
        <f t="shared" ca="1" si="625"/>
        <v/>
      </c>
      <c r="E243" s="469" t="str">
        <f t="shared" ca="1" si="626"/>
        <v/>
      </c>
      <c r="F243" s="465" t="str">
        <f t="shared" ca="1" si="627"/>
        <v/>
      </c>
      <c r="G243" s="522">
        <f t="shared" ca="1" si="796"/>
        <v>1</v>
      </c>
      <c r="H243" s="519">
        <f t="shared" ca="1" si="797"/>
        <v>1</v>
      </c>
      <c r="I243" s="724">
        <f t="shared" ca="1" si="827"/>
        <v>7.4173700023872996E-2</v>
      </c>
      <c r="J243" s="198">
        <f t="shared" ca="1" si="629"/>
        <v>0.24976485139443394</v>
      </c>
      <c r="K243" s="200" t="e">
        <f t="shared" ca="1" si="805"/>
        <v>#N/A</v>
      </c>
      <c r="L243" s="201" t="e">
        <f t="shared" ca="1" si="806"/>
        <v>#N/A</v>
      </c>
      <c r="M243" s="206" t="e">
        <f t="shared" ca="1" si="807"/>
        <v>#N/A</v>
      </c>
      <c r="N243" s="851" t="e">
        <f t="shared" ca="1" si="811"/>
        <v>#N/A</v>
      </c>
      <c r="O243" s="201" t="e">
        <f t="shared" ca="1" si="812"/>
        <v>#N/A</v>
      </c>
      <c r="P243" s="206" t="e">
        <f t="shared" ca="1" si="813"/>
        <v>#N/A</v>
      </c>
      <c r="Q243" s="201" t="e">
        <f t="shared" ca="1" si="814"/>
        <v>#N/A</v>
      </c>
      <c r="R243" s="201" t="e">
        <f t="shared" ca="1" si="815"/>
        <v>#N/A</v>
      </c>
      <c r="S243" s="201" t="e">
        <f t="shared" ca="1" si="816"/>
        <v>#N/A</v>
      </c>
      <c r="T243" s="851" t="e">
        <f t="shared" ca="1" si="808"/>
        <v>#N/A</v>
      </c>
      <c r="U243" s="201" t="e">
        <f t="shared" ca="1" si="809"/>
        <v>#N/A</v>
      </c>
      <c r="V243" s="206" t="e">
        <f t="shared" ca="1" si="810"/>
        <v>#N/A</v>
      </c>
      <c r="W243" s="230" t="e">
        <f t="shared" ca="1" si="798"/>
        <v>#N/A</v>
      </c>
      <c r="X243" s="231" t="e">
        <f t="shared" ca="1" si="799"/>
        <v>#N/A</v>
      </c>
      <c r="Y243" s="232" t="e">
        <f t="shared" ca="1" si="800"/>
        <v>#N/A</v>
      </c>
      <c r="Z243" s="231" t="e">
        <f t="shared" ca="1" si="820"/>
        <v>#N/A</v>
      </c>
      <c r="AA243" s="231" t="e">
        <f t="shared" ca="1" si="821"/>
        <v>#N/A</v>
      </c>
      <c r="AB243" s="232" t="e">
        <f t="shared" ca="1" si="822"/>
        <v>#N/A</v>
      </c>
      <c r="AC243" s="231" t="e">
        <f t="shared" ca="1" si="823"/>
        <v>#N/A</v>
      </c>
      <c r="AD243" s="231" t="e">
        <f t="shared" ca="1" si="824"/>
        <v>#N/A</v>
      </c>
      <c r="AE243" s="232" t="e">
        <f t="shared" ca="1" si="630"/>
        <v>#N/A</v>
      </c>
      <c r="AF243" s="231" t="e">
        <f t="shared" ca="1" si="801"/>
        <v>#N/A</v>
      </c>
      <c r="AG243" s="231" t="e">
        <f t="shared" ca="1" si="802"/>
        <v>#N/A</v>
      </c>
      <c r="AH243" s="232" t="e">
        <f t="shared" ca="1" si="803"/>
        <v>#N/A</v>
      </c>
      <c r="AI243" s="233" t="e">
        <f t="shared" ca="1" si="631"/>
        <v>#N/A</v>
      </c>
      <c r="AJ243" s="233" t="e">
        <f t="shared" ca="1" si="632"/>
        <v>#N/A</v>
      </c>
      <c r="AK243" s="234" t="e">
        <f t="shared" ca="1" si="633"/>
        <v>#N/A</v>
      </c>
      <c r="AL243" s="919" t="e">
        <f t="shared" ca="1" si="634"/>
        <v>#N/A</v>
      </c>
      <c r="AM243" s="233" t="e">
        <f t="shared" ca="1" si="635"/>
        <v>#N/A</v>
      </c>
      <c r="AN243" s="234" t="e">
        <f t="shared" ca="1" si="636"/>
        <v>#N/A</v>
      </c>
      <c r="AO243" s="233" t="e">
        <f t="shared" ca="1" si="637"/>
        <v>#N/A</v>
      </c>
      <c r="AP243" s="233" t="e">
        <f t="shared" ca="1" si="638"/>
        <v>#N/A</v>
      </c>
      <c r="AQ243" s="233" t="e">
        <f t="shared" ca="1" si="639"/>
        <v>#N/A</v>
      </c>
      <c r="AR243" s="919" t="e">
        <f t="shared" ca="1" si="640"/>
        <v>#N/A</v>
      </c>
      <c r="AS243" s="233" t="e">
        <f t="shared" ca="1" si="641"/>
        <v>#N/A</v>
      </c>
      <c r="AT243" s="235" t="e">
        <f t="shared" ca="1" si="642"/>
        <v>#N/A</v>
      </c>
      <c r="AU243" s="946">
        <f t="shared" si="643"/>
        <v>0.5</v>
      </c>
      <c r="AV243" s="13">
        <f t="shared" ca="1" si="644"/>
        <v>0</v>
      </c>
      <c r="AW243" s="210">
        <f t="shared" ca="1" si="645"/>
        <v>0</v>
      </c>
      <c r="AX243" s="210">
        <f t="shared" ca="1" si="646"/>
        <v>0</v>
      </c>
      <c r="AY243" s="210">
        <f t="shared" ca="1" si="647"/>
        <v>0</v>
      </c>
      <c r="AZ243" s="13">
        <f t="shared" ca="1" si="648"/>
        <v>0</v>
      </c>
      <c r="BA243" s="357">
        <f ca="1"/>
        <v>0</v>
      </c>
      <c r="BB243" s="925">
        <f ca="1"/>
        <v>0</v>
      </c>
      <c r="BC243" s="925">
        <f ca="1"/>
        <v>0</v>
      </c>
      <c r="BD243" s="928">
        <f ca="1"/>
        <v>0</v>
      </c>
      <c r="BE243" s="200">
        <f ca="1"/>
        <v>0</v>
      </c>
      <c r="BF243" s="851">
        <f ca="1"/>
        <v>0</v>
      </c>
      <c r="BG243" s="851">
        <f ca="1"/>
        <v>0</v>
      </c>
      <c r="BH243" s="933">
        <f ca="1"/>
        <v>0</v>
      </c>
      <c r="BI243" s="357">
        <f ca="1"/>
        <v>0</v>
      </c>
      <c r="BJ243" s="925">
        <f ca="1"/>
        <v>0</v>
      </c>
      <c r="BK243" s="925">
        <f ca="1"/>
        <v>0</v>
      </c>
      <c r="BL243" s="928">
        <f ca="1"/>
        <v>0</v>
      </c>
      <c r="BM243" s="200">
        <f ca="1"/>
        <v>0</v>
      </c>
      <c r="BN243" s="851">
        <f ca="1"/>
        <v>0</v>
      </c>
      <c r="BO243" s="851">
        <f ca="1"/>
        <v>0</v>
      </c>
      <c r="BP243" s="933">
        <f ca="1"/>
        <v>0</v>
      </c>
      <c r="BQ243" s="357">
        <f t="shared" ca="1" si="649"/>
        <v>0</v>
      </c>
      <c r="BR243" s="361">
        <f t="shared" ca="1" si="650"/>
        <v>0</v>
      </c>
      <c r="BS243" s="357">
        <f t="shared" ca="1" si="651"/>
        <v>0</v>
      </c>
      <c r="BT243" s="302">
        <f t="shared" ca="1" si="652"/>
        <v>0</v>
      </c>
      <c r="BU243" s="299">
        <f t="shared" ca="1" si="653"/>
        <v>0</v>
      </c>
      <c r="BV243" s="299">
        <f t="shared" ca="1" si="654"/>
        <v>0</v>
      </c>
      <c r="BW243" s="299">
        <f t="shared" ca="1" si="655"/>
        <v>0</v>
      </c>
      <c r="BX243" s="380">
        <f t="shared" ca="1" si="656"/>
        <v>18.918548939082822</v>
      </c>
      <c r="BY243" s="363">
        <f t="shared" ca="1" si="657"/>
        <v>0</v>
      </c>
      <c r="BZ243" s="353">
        <f t="shared" ca="1" si="658"/>
        <v>0</v>
      </c>
      <c r="CA243" s="353">
        <f t="shared" ca="1" si="659"/>
        <v>0</v>
      </c>
      <c r="CB243" s="353">
        <f t="shared" ca="1" si="660"/>
        <v>0</v>
      </c>
      <c r="CC243" s="353">
        <f t="shared" ca="1" si="661"/>
        <v>0</v>
      </c>
      <c r="CD243" s="353">
        <f t="shared" ca="1" si="662"/>
        <v>0</v>
      </c>
      <c r="CE243" s="302">
        <f t="shared" ca="1" si="663"/>
        <v>0</v>
      </c>
      <c r="CF243" s="299">
        <f t="shared" ca="1" si="664"/>
        <v>0</v>
      </c>
      <c r="CG243" s="299">
        <f t="shared" ca="1" si="665"/>
        <v>0</v>
      </c>
      <c r="CH243" s="299">
        <f t="shared" ca="1" si="666"/>
        <v>0</v>
      </c>
      <c r="CI243" s="299">
        <f t="shared" ca="1" si="667"/>
        <v>0</v>
      </c>
      <c r="CJ243" s="299">
        <f t="shared" ca="1" si="668"/>
        <v>0</v>
      </c>
      <c r="CK243" s="299">
        <f t="shared" ca="1" si="669"/>
        <v>0</v>
      </c>
      <c r="CL243" s="377" t="str">
        <f t="shared" ca="1" si="670"/>
        <v/>
      </c>
      <c r="CM243" s="305" t="str">
        <f t="shared" ca="1" si="671"/>
        <v/>
      </c>
      <c r="CN243" s="305" t="str">
        <f t="shared" ca="1" si="672"/>
        <v/>
      </c>
      <c r="CO243" s="305" t="str">
        <f t="shared" ca="1" si="673"/>
        <v/>
      </c>
      <c r="CP243" s="305" t="str">
        <f t="shared" ca="1" si="674"/>
        <v/>
      </c>
      <c r="CQ243" s="305" t="str">
        <f t="shared" ca="1" si="675"/>
        <v/>
      </c>
      <c r="CR243" s="775" t="str">
        <f t="shared" ca="1" si="676"/>
        <v/>
      </c>
      <c r="CS243" s="305" t="str">
        <f t="shared" ca="1" si="677"/>
        <v/>
      </c>
      <c r="CT243" s="305" t="str">
        <f t="shared" ca="1" si="678"/>
        <v/>
      </c>
      <c r="CU243" s="305" t="str">
        <f t="shared" ca="1" si="679"/>
        <v/>
      </c>
      <c r="CV243" s="770" t="str">
        <f t="shared" ca="1" si="680"/>
        <v/>
      </c>
      <c r="CW243" s="302">
        <f t="shared" ca="1" si="681"/>
        <v>0</v>
      </c>
      <c r="CX243" s="299">
        <f t="shared" ca="1" si="682"/>
        <v>0</v>
      </c>
      <c r="CY243" s="299">
        <f t="shared" ca="1" si="683"/>
        <v>0</v>
      </c>
      <c r="CZ243" s="299">
        <f t="shared" ca="1" si="684"/>
        <v>0</v>
      </c>
      <c r="DA243" s="774">
        <f t="shared" ca="1" si="685"/>
        <v>0</v>
      </c>
      <c r="DB243" s="303">
        <f t="shared" ca="1" si="686"/>
        <v>0</v>
      </c>
      <c r="DC243" s="248">
        <f t="shared" ca="1" si="687"/>
        <v>0</v>
      </c>
      <c r="DD243" s="778">
        <f t="shared" ca="1" si="688"/>
        <v>0</v>
      </c>
      <c r="DE243" s="363">
        <f t="shared" ca="1" si="689"/>
        <v>0</v>
      </c>
      <c r="DF243" s="378" t="str">
        <f t="shared" ca="1" si="690"/>
        <v/>
      </c>
      <c r="DG243" s="508" t="str">
        <f t="shared" ca="1" si="691"/>
        <v/>
      </c>
      <c r="DH243" s="508" t="str">
        <f t="shared" ca="1" si="692"/>
        <v/>
      </c>
      <c r="DI243" s="508" t="str">
        <f t="shared" ca="1" si="693"/>
        <v/>
      </c>
      <c r="DJ243" s="508" t="str">
        <f t="shared" ca="1" si="694"/>
        <v/>
      </c>
      <c r="DK243" s="353">
        <f t="shared" ca="1" si="695"/>
        <v>0</v>
      </c>
      <c r="DL243" s="781">
        <f t="shared" ca="1" si="696"/>
        <v>0</v>
      </c>
      <c r="DM243" s="303">
        <f t="shared" ca="1" si="697"/>
        <v>0</v>
      </c>
      <c r="DN243" s="508" t="str">
        <f t="shared" ca="1" si="698"/>
        <v/>
      </c>
      <c r="DO243" s="508" t="str">
        <f t="shared" ca="1" si="699"/>
        <v/>
      </c>
      <c r="DP243" s="508" t="str">
        <f t="shared" ca="1" si="700"/>
        <v/>
      </c>
      <c r="DQ243" s="508" t="str">
        <f t="shared" ca="1" si="701"/>
        <v/>
      </c>
      <c r="DR243" s="508" t="str">
        <f t="shared" ca="1" si="702"/>
        <v/>
      </c>
      <c r="DS243" s="353">
        <f t="shared" ca="1" si="703"/>
        <v>0</v>
      </c>
      <c r="DT243" s="353">
        <f t="shared" ca="1" si="704"/>
        <v>0</v>
      </c>
      <c r="DU243" s="380">
        <f t="shared" ca="1" si="804"/>
        <v>18.918548939082822</v>
      </c>
      <c r="DV243" s="303">
        <f t="shared" ca="1" si="705"/>
        <v>0</v>
      </c>
      <c r="DW243" s="303">
        <f t="shared" ca="1" si="706"/>
        <v>0</v>
      </c>
      <c r="DX243" s="303">
        <f t="shared" ca="1" si="707"/>
        <v>0</v>
      </c>
      <c r="DY243" s="303">
        <f t="shared" ca="1" si="708"/>
        <v>0</v>
      </c>
      <c r="DZ243" s="303">
        <f t="shared" ca="1" si="709"/>
        <v>0</v>
      </c>
      <c r="EA243" s="303">
        <f t="shared" ca="1" si="710"/>
        <v>0</v>
      </c>
      <c r="EB243" s="302">
        <f t="shared" ca="1" si="711"/>
        <v>0</v>
      </c>
      <c r="EC243" s="299">
        <f t="shared" ca="1" si="712"/>
        <v>0</v>
      </c>
      <c r="ED243" s="299">
        <f t="shared" ca="1" si="713"/>
        <v>0</v>
      </c>
      <c r="EE243" s="299">
        <f t="shared" ca="1" si="714"/>
        <v>0</v>
      </c>
      <c r="EF243" s="299">
        <f t="shared" ca="1" si="715"/>
        <v>0</v>
      </c>
      <c r="EG243" s="299">
        <f t="shared" ca="1" si="716"/>
        <v>0</v>
      </c>
      <c r="EH243" s="302">
        <f t="shared" ca="1" si="717"/>
        <v>0</v>
      </c>
      <c r="EI243" s="304" t="str">
        <f t="shared" ca="1" si="718"/>
        <v/>
      </c>
      <c r="EJ243" s="305" t="str">
        <f t="shared" ca="1" si="719"/>
        <v/>
      </c>
      <c r="EK243" s="305" t="str">
        <f t="shared" ca="1" si="720"/>
        <v/>
      </c>
      <c r="EL243" s="305" t="str">
        <f t="shared" ca="1" si="721"/>
        <v/>
      </c>
      <c r="EM243" s="305" t="str">
        <f t="shared" ca="1" si="722"/>
        <v/>
      </c>
      <c r="EN243" s="305" t="str">
        <f t="shared" ca="1" si="723"/>
        <v/>
      </c>
      <c r="EO243" s="305" t="str">
        <f t="shared" ca="1" si="724"/>
        <v/>
      </c>
      <c r="EP243" s="305" t="str">
        <f t="shared" ca="1" si="725"/>
        <v/>
      </c>
      <c r="EQ243" s="305" t="str">
        <f t="shared" ca="1" si="726"/>
        <v/>
      </c>
      <c r="ER243" s="305" t="str">
        <f t="shared" ca="1" si="727"/>
        <v/>
      </c>
      <c r="ES243" s="305" t="str">
        <f t="shared" ca="1" si="728"/>
        <v/>
      </c>
      <c r="ET243" s="299">
        <f t="shared" ca="1" si="729"/>
        <v>0</v>
      </c>
      <c r="EU243" s="302">
        <f t="shared" ca="1" si="730"/>
        <v>0</v>
      </c>
      <c r="EV243" s="304" t="str">
        <f t="shared" ca="1" si="731"/>
        <v/>
      </c>
      <c r="EW243" s="305" t="str">
        <f t="shared" ca="1" si="732"/>
        <v/>
      </c>
      <c r="EX243" s="305" t="str">
        <f t="shared" ca="1" si="733"/>
        <v/>
      </c>
      <c r="EY243" s="305" t="str">
        <f t="shared" ca="1" si="734"/>
        <v/>
      </c>
      <c r="EZ243" s="305" t="str">
        <f t="shared" ca="1" si="735"/>
        <v/>
      </c>
      <c r="FA243" s="305" t="str">
        <f t="shared" ca="1" si="736"/>
        <v/>
      </c>
      <c r="FB243" s="305" t="str">
        <f t="shared" ca="1" si="737"/>
        <v/>
      </c>
      <c r="FC243" s="305" t="str">
        <f t="shared" ca="1" si="738"/>
        <v/>
      </c>
      <c r="FD243" s="305" t="str">
        <f t="shared" ca="1" si="739"/>
        <v/>
      </c>
      <c r="FE243" s="305" t="str">
        <f t="shared" ca="1" si="740"/>
        <v/>
      </c>
      <c r="FF243" s="305" t="str">
        <f t="shared" ca="1" si="741"/>
        <v/>
      </c>
      <c r="FG243" s="299">
        <f t="shared" ca="1" si="742"/>
        <v>0</v>
      </c>
      <c r="FH243" s="302">
        <f t="shared" ca="1" si="743"/>
        <v>0</v>
      </c>
      <c r="FI243" s="248">
        <f t="shared" ca="1" si="744"/>
        <v>0</v>
      </c>
      <c r="FJ243" s="363">
        <f t="shared" ca="1" si="745"/>
        <v>0</v>
      </c>
      <c r="FK243" s="378" t="str">
        <f t="shared" ca="1" si="746"/>
        <v/>
      </c>
      <c r="FL243" s="508" t="str">
        <f t="shared" ca="1" si="747"/>
        <v/>
      </c>
      <c r="FM243" s="508" t="str">
        <f t="shared" ca="1" si="748"/>
        <v/>
      </c>
      <c r="FN243" s="508" t="str">
        <f t="shared" ca="1" si="749"/>
        <v/>
      </c>
      <c r="FO243" s="508" t="str">
        <f t="shared" ca="1" si="750"/>
        <v/>
      </c>
      <c r="FP243" s="353">
        <f t="shared" ca="1" si="751"/>
        <v>0</v>
      </c>
      <c r="FQ243" s="356">
        <f t="shared" ca="1" si="752"/>
        <v>0</v>
      </c>
      <c r="FR243" s="380">
        <f t="shared" ca="1" si="753"/>
        <v>0</v>
      </c>
      <c r="FS243" s="299">
        <f t="shared" ca="1" si="754"/>
        <v>0</v>
      </c>
      <c r="FT243" s="299">
        <f t="shared" ca="1" si="755"/>
        <v>0</v>
      </c>
      <c r="FU243" s="299">
        <f t="shared" ca="1" si="756"/>
        <v>0</v>
      </c>
      <c r="FV243" s="299">
        <f t="shared" ca="1" si="757"/>
        <v>0</v>
      </c>
      <c r="FW243" s="850" t="str">
        <f t="shared" ca="1" si="758"/>
        <v/>
      </c>
      <c r="FX243" s="851" t="str">
        <f t="shared" ca="1" si="759"/>
        <v/>
      </c>
      <c r="FY243" s="851" t="str">
        <f t="shared" ca="1" si="760"/>
        <v/>
      </c>
      <c r="FZ243" s="201" t="str">
        <f t="shared" ca="1" si="761"/>
        <v/>
      </c>
      <c r="GA243" s="201" t="str">
        <f t="shared" ca="1" si="762"/>
        <v/>
      </c>
      <c r="GB243" s="201" t="str">
        <f t="shared" ca="1" si="763"/>
        <v/>
      </c>
      <c r="GC243" s="201" t="str">
        <f t="shared" ca="1" si="764"/>
        <v/>
      </c>
      <c r="GD243" s="850" t="str">
        <f t="shared" ca="1" si="765"/>
        <v/>
      </c>
      <c r="GE243" s="866" t="str">
        <f t="shared" ca="1" si="766"/>
        <v/>
      </c>
      <c r="GF243" s="866" t="str">
        <f t="shared" ca="1" si="767"/>
        <v/>
      </c>
      <c r="GG243" s="866" t="str">
        <f t="shared" ca="1" si="768"/>
        <v/>
      </c>
      <c r="GH243" s="866" t="str">
        <f t="shared" ca="1" si="769"/>
        <v/>
      </c>
      <c r="GI243" s="302">
        <f t="shared" ca="1" si="770"/>
        <v>0</v>
      </c>
      <c r="GJ243" s="299">
        <f t="shared" ca="1" si="771"/>
        <v>0</v>
      </c>
      <c r="GK243" s="299">
        <f t="shared" ca="1" si="772"/>
        <v>0</v>
      </c>
      <c r="GL243" s="299">
        <f t="shared" ca="1" si="773"/>
        <v>0</v>
      </c>
      <c r="GM243" s="299">
        <f t="shared" ca="1" si="774"/>
        <v>0</v>
      </c>
      <c r="GN243" s="302">
        <f t="shared" ca="1" si="775"/>
        <v>0</v>
      </c>
      <c r="GO243" s="299">
        <f t="shared" ca="1" si="776"/>
        <v>0</v>
      </c>
      <c r="GP243" s="299">
        <f t="shared" ca="1" si="777"/>
        <v>0</v>
      </c>
      <c r="GQ243" s="299">
        <f t="shared" ca="1" si="778"/>
        <v>0</v>
      </c>
      <c r="GR243" s="299">
        <f t="shared" ca="1" si="779"/>
        <v>0</v>
      </c>
      <c r="GS243" s="302">
        <f t="shared" ca="1" si="780"/>
        <v>0</v>
      </c>
      <c r="GT243" s="299">
        <f t="shared" ca="1" si="781"/>
        <v>0</v>
      </c>
      <c r="GU243" s="299">
        <f t="shared" ca="1" si="782"/>
        <v>0</v>
      </c>
      <c r="GV243" s="299">
        <f t="shared" ca="1" si="783"/>
        <v>0</v>
      </c>
      <c r="GW243" s="299">
        <f t="shared" ca="1" si="784"/>
        <v>0</v>
      </c>
      <c r="GX243" s="303">
        <f t="shared" ca="1" si="785"/>
        <v>0</v>
      </c>
      <c r="GY243" s="303">
        <f t="shared" ca="1" si="786"/>
        <v>0</v>
      </c>
      <c r="GZ243" s="303">
        <f t="shared" ca="1" si="787"/>
        <v>0</v>
      </c>
      <c r="HA243" s="303">
        <f t="shared" ca="1" si="788"/>
        <v>0</v>
      </c>
      <c r="HB243" s="303">
        <f t="shared" ca="1" si="789"/>
        <v>0</v>
      </c>
      <c r="HC243" s="303">
        <f t="shared" ca="1" si="790"/>
        <v>0</v>
      </c>
      <c r="HD243" s="303">
        <f t="shared" ca="1" si="791"/>
        <v>0</v>
      </c>
      <c r="HE243" s="303">
        <f t="shared" ca="1" si="792"/>
        <v>0</v>
      </c>
      <c r="HF243" s="303">
        <f t="shared" ca="1" si="793"/>
        <v>0</v>
      </c>
      <c r="HG243" s="852">
        <f t="shared" ca="1" si="794"/>
        <v>0</v>
      </c>
    </row>
    <row r="244" spans="1:215" x14ac:dyDescent="0.25">
      <c r="A244" s="244">
        <f t="shared" ca="1" si="795"/>
        <v>43525</v>
      </c>
      <c r="B244" s="13">
        <f t="shared" ca="1" si="825"/>
        <v>2019</v>
      </c>
      <c r="C244" s="619">
        <f t="shared" ca="1" si="826"/>
        <v>3</v>
      </c>
      <c r="D244" s="195" t="str">
        <f t="shared" ca="1" si="625"/>
        <v/>
      </c>
      <c r="E244" s="469" t="str">
        <f t="shared" ca="1" si="626"/>
        <v/>
      </c>
      <c r="F244" s="465" t="str">
        <f t="shared" ca="1" si="627"/>
        <v/>
      </c>
      <c r="G244" s="522">
        <f t="shared" ca="1" si="796"/>
        <v>1</v>
      </c>
      <c r="H244" s="519">
        <f t="shared" ca="1" si="797"/>
        <v>1</v>
      </c>
      <c r="I244" s="724">
        <f t="shared" ca="1" si="827"/>
        <v>7.4173433827078E-2</v>
      </c>
      <c r="J244" s="198">
        <f t="shared" ca="1" si="629"/>
        <v>0.24822692521423373</v>
      </c>
      <c r="K244" s="200" t="e">
        <f t="shared" ca="1" si="805"/>
        <v>#N/A</v>
      </c>
      <c r="L244" s="201" t="e">
        <f t="shared" ca="1" si="806"/>
        <v>#N/A</v>
      </c>
      <c r="M244" s="206" t="e">
        <f t="shared" ca="1" si="807"/>
        <v>#N/A</v>
      </c>
      <c r="N244" s="851" t="e">
        <f t="shared" ca="1" si="811"/>
        <v>#N/A</v>
      </c>
      <c r="O244" s="201" t="e">
        <f t="shared" ca="1" si="812"/>
        <v>#N/A</v>
      </c>
      <c r="P244" s="206" t="e">
        <f t="shared" ca="1" si="813"/>
        <v>#N/A</v>
      </c>
      <c r="Q244" s="201" t="e">
        <f t="shared" ca="1" si="814"/>
        <v>#N/A</v>
      </c>
      <c r="R244" s="201" t="e">
        <f t="shared" ca="1" si="815"/>
        <v>#N/A</v>
      </c>
      <c r="S244" s="201" t="e">
        <f t="shared" ca="1" si="816"/>
        <v>#N/A</v>
      </c>
      <c r="T244" s="851" t="e">
        <f t="shared" ca="1" si="808"/>
        <v>#N/A</v>
      </c>
      <c r="U244" s="201" t="e">
        <f t="shared" ca="1" si="809"/>
        <v>#N/A</v>
      </c>
      <c r="V244" s="206" t="e">
        <f t="shared" ca="1" si="810"/>
        <v>#N/A</v>
      </c>
      <c r="W244" s="230" t="e">
        <f t="shared" ca="1" si="798"/>
        <v>#N/A</v>
      </c>
      <c r="X244" s="231" t="e">
        <f t="shared" ca="1" si="799"/>
        <v>#N/A</v>
      </c>
      <c r="Y244" s="232" t="e">
        <f t="shared" ca="1" si="800"/>
        <v>#N/A</v>
      </c>
      <c r="Z244" s="231" t="e">
        <f t="shared" ca="1" si="820"/>
        <v>#N/A</v>
      </c>
      <c r="AA244" s="231" t="e">
        <f t="shared" ca="1" si="821"/>
        <v>#N/A</v>
      </c>
      <c r="AB244" s="232" t="e">
        <f t="shared" ca="1" si="822"/>
        <v>#N/A</v>
      </c>
      <c r="AC244" s="231" t="e">
        <f t="shared" ca="1" si="823"/>
        <v>#N/A</v>
      </c>
      <c r="AD244" s="231" t="e">
        <f t="shared" ca="1" si="824"/>
        <v>#N/A</v>
      </c>
      <c r="AE244" s="232" t="e">
        <f t="shared" ca="1" si="630"/>
        <v>#N/A</v>
      </c>
      <c r="AF244" s="231" t="e">
        <f t="shared" ca="1" si="801"/>
        <v>#N/A</v>
      </c>
      <c r="AG244" s="231" t="e">
        <f t="shared" ca="1" si="802"/>
        <v>#N/A</v>
      </c>
      <c r="AH244" s="232" t="e">
        <f t="shared" ca="1" si="803"/>
        <v>#N/A</v>
      </c>
      <c r="AI244" s="233" t="e">
        <f t="shared" ca="1" si="631"/>
        <v>#N/A</v>
      </c>
      <c r="AJ244" s="233" t="e">
        <f t="shared" ca="1" si="632"/>
        <v>#N/A</v>
      </c>
      <c r="AK244" s="234" t="e">
        <f t="shared" ca="1" si="633"/>
        <v>#N/A</v>
      </c>
      <c r="AL244" s="919" t="e">
        <f t="shared" ca="1" si="634"/>
        <v>#N/A</v>
      </c>
      <c r="AM244" s="233" t="e">
        <f t="shared" ca="1" si="635"/>
        <v>#N/A</v>
      </c>
      <c r="AN244" s="234" t="e">
        <f t="shared" ca="1" si="636"/>
        <v>#N/A</v>
      </c>
      <c r="AO244" s="233" t="e">
        <f t="shared" ca="1" si="637"/>
        <v>#N/A</v>
      </c>
      <c r="AP244" s="233" t="e">
        <f t="shared" ca="1" si="638"/>
        <v>#N/A</v>
      </c>
      <c r="AQ244" s="233" t="e">
        <f t="shared" ca="1" si="639"/>
        <v>#N/A</v>
      </c>
      <c r="AR244" s="919" t="e">
        <f t="shared" ca="1" si="640"/>
        <v>#N/A</v>
      </c>
      <c r="AS244" s="233" t="e">
        <f t="shared" ca="1" si="641"/>
        <v>#N/A</v>
      </c>
      <c r="AT244" s="235" t="e">
        <f t="shared" ca="1" si="642"/>
        <v>#N/A</v>
      </c>
      <c r="AU244" s="946">
        <f t="shared" si="643"/>
        <v>0.5</v>
      </c>
      <c r="AV244" s="13">
        <f t="shared" ca="1" si="644"/>
        <v>0</v>
      </c>
      <c r="AW244" s="210">
        <f t="shared" ca="1" si="645"/>
        <v>0</v>
      </c>
      <c r="AX244" s="210">
        <f t="shared" ca="1" si="646"/>
        <v>0</v>
      </c>
      <c r="AY244" s="210">
        <f t="shared" ca="1" si="647"/>
        <v>0</v>
      </c>
      <c r="AZ244" s="13">
        <f t="shared" ca="1" si="648"/>
        <v>0</v>
      </c>
      <c r="BA244" s="357">
        <f ca="1"/>
        <v>0</v>
      </c>
      <c r="BB244" s="925">
        <f ca="1"/>
        <v>0</v>
      </c>
      <c r="BC244" s="925">
        <f ca="1"/>
        <v>0</v>
      </c>
      <c r="BD244" s="928">
        <f ca="1"/>
        <v>0</v>
      </c>
      <c r="BE244" s="200">
        <f ca="1"/>
        <v>0</v>
      </c>
      <c r="BF244" s="851">
        <f ca="1"/>
        <v>0</v>
      </c>
      <c r="BG244" s="851">
        <f ca="1"/>
        <v>0</v>
      </c>
      <c r="BH244" s="933">
        <f ca="1"/>
        <v>0</v>
      </c>
      <c r="BI244" s="357">
        <f ca="1"/>
        <v>0</v>
      </c>
      <c r="BJ244" s="925">
        <f ca="1"/>
        <v>0</v>
      </c>
      <c r="BK244" s="925">
        <f ca="1"/>
        <v>0</v>
      </c>
      <c r="BL244" s="928">
        <f ca="1"/>
        <v>0</v>
      </c>
      <c r="BM244" s="200">
        <f ca="1"/>
        <v>0</v>
      </c>
      <c r="BN244" s="851">
        <f ca="1"/>
        <v>0</v>
      </c>
      <c r="BO244" s="851">
        <f ca="1"/>
        <v>0</v>
      </c>
      <c r="BP244" s="933">
        <f ca="1"/>
        <v>0</v>
      </c>
      <c r="BQ244" s="357">
        <f t="shared" ca="1" si="649"/>
        <v>0</v>
      </c>
      <c r="BR244" s="361">
        <f t="shared" ca="1" si="650"/>
        <v>0</v>
      </c>
      <c r="BS244" s="357">
        <f t="shared" ca="1" si="651"/>
        <v>0</v>
      </c>
      <c r="BT244" s="302">
        <f t="shared" ca="1" si="652"/>
        <v>0</v>
      </c>
      <c r="BU244" s="299">
        <f t="shared" ca="1" si="653"/>
        <v>0</v>
      </c>
      <c r="BV244" s="299">
        <f t="shared" ca="1" si="654"/>
        <v>0</v>
      </c>
      <c r="BW244" s="299">
        <f t="shared" ca="1" si="655"/>
        <v>0</v>
      </c>
      <c r="BX244" s="380">
        <f t="shared" ca="1" si="656"/>
        <v>18.99520876112252</v>
      </c>
      <c r="BY244" s="363">
        <f t="shared" ca="1" si="657"/>
        <v>0</v>
      </c>
      <c r="BZ244" s="353">
        <f t="shared" ca="1" si="658"/>
        <v>0</v>
      </c>
      <c r="CA244" s="353">
        <f t="shared" ca="1" si="659"/>
        <v>0</v>
      </c>
      <c r="CB244" s="353">
        <f t="shared" ca="1" si="660"/>
        <v>0</v>
      </c>
      <c r="CC244" s="353">
        <f t="shared" ca="1" si="661"/>
        <v>0</v>
      </c>
      <c r="CD244" s="353">
        <f t="shared" ca="1" si="662"/>
        <v>0</v>
      </c>
      <c r="CE244" s="302">
        <f t="shared" ca="1" si="663"/>
        <v>0</v>
      </c>
      <c r="CF244" s="299">
        <f t="shared" ca="1" si="664"/>
        <v>0</v>
      </c>
      <c r="CG244" s="299">
        <f t="shared" ca="1" si="665"/>
        <v>0</v>
      </c>
      <c r="CH244" s="299">
        <f t="shared" ca="1" si="666"/>
        <v>0</v>
      </c>
      <c r="CI244" s="299">
        <f t="shared" ca="1" si="667"/>
        <v>0</v>
      </c>
      <c r="CJ244" s="299">
        <f t="shared" ca="1" si="668"/>
        <v>0</v>
      </c>
      <c r="CK244" s="299">
        <f t="shared" ca="1" si="669"/>
        <v>0</v>
      </c>
      <c r="CL244" s="377" t="str">
        <f t="shared" ca="1" si="670"/>
        <v/>
      </c>
      <c r="CM244" s="305" t="str">
        <f t="shared" ca="1" si="671"/>
        <v/>
      </c>
      <c r="CN244" s="305" t="str">
        <f t="shared" ca="1" si="672"/>
        <v/>
      </c>
      <c r="CO244" s="305" t="str">
        <f t="shared" ca="1" si="673"/>
        <v/>
      </c>
      <c r="CP244" s="305" t="str">
        <f t="shared" ca="1" si="674"/>
        <v/>
      </c>
      <c r="CQ244" s="305" t="str">
        <f t="shared" ca="1" si="675"/>
        <v/>
      </c>
      <c r="CR244" s="775" t="str">
        <f t="shared" ca="1" si="676"/>
        <v/>
      </c>
      <c r="CS244" s="305" t="str">
        <f t="shared" ca="1" si="677"/>
        <v/>
      </c>
      <c r="CT244" s="305" t="str">
        <f t="shared" ca="1" si="678"/>
        <v/>
      </c>
      <c r="CU244" s="305" t="str">
        <f t="shared" ca="1" si="679"/>
        <v/>
      </c>
      <c r="CV244" s="770" t="str">
        <f t="shared" ca="1" si="680"/>
        <v/>
      </c>
      <c r="CW244" s="302">
        <f t="shared" ca="1" si="681"/>
        <v>0</v>
      </c>
      <c r="CX244" s="299">
        <f t="shared" ca="1" si="682"/>
        <v>0</v>
      </c>
      <c r="CY244" s="299">
        <f t="shared" ca="1" si="683"/>
        <v>0</v>
      </c>
      <c r="CZ244" s="299">
        <f t="shared" ca="1" si="684"/>
        <v>0</v>
      </c>
      <c r="DA244" s="774">
        <f t="shared" ca="1" si="685"/>
        <v>0</v>
      </c>
      <c r="DB244" s="303">
        <f t="shared" ca="1" si="686"/>
        <v>0</v>
      </c>
      <c r="DC244" s="248">
        <f t="shared" ca="1" si="687"/>
        <v>0</v>
      </c>
      <c r="DD244" s="778">
        <f t="shared" ca="1" si="688"/>
        <v>0</v>
      </c>
      <c r="DE244" s="363">
        <f t="shared" ca="1" si="689"/>
        <v>0</v>
      </c>
      <c r="DF244" s="378" t="str">
        <f t="shared" ca="1" si="690"/>
        <v/>
      </c>
      <c r="DG244" s="508" t="str">
        <f t="shared" ca="1" si="691"/>
        <v/>
      </c>
      <c r="DH244" s="508" t="str">
        <f t="shared" ca="1" si="692"/>
        <v/>
      </c>
      <c r="DI244" s="508" t="str">
        <f t="shared" ca="1" si="693"/>
        <v/>
      </c>
      <c r="DJ244" s="508" t="str">
        <f t="shared" ca="1" si="694"/>
        <v/>
      </c>
      <c r="DK244" s="353">
        <f t="shared" ca="1" si="695"/>
        <v>0</v>
      </c>
      <c r="DL244" s="781">
        <f t="shared" ca="1" si="696"/>
        <v>0</v>
      </c>
      <c r="DM244" s="303">
        <f t="shared" ca="1" si="697"/>
        <v>0</v>
      </c>
      <c r="DN244" s="508" t="str">
        <f t="shared" ca="1" si="698"/>
        <v/>
      </c>
      <c r="DO244" s="508" t="str">
        <f t="shared" ca="1" si="699"/>
        <v/>
      </c>
      <c r="DP244" s="508" t="str">
        <f t="shared" ca="1" si="700"/>
        <v/>
      </c>
      <c r="DQ244" s="508" t="str">
        <f t="shared" ca="1" si="701"/>
        <v/>
      </c>
      <c r="DR244" s="508" t="str">
        <f t="shared" ca="1" si="702"/>
        <v/>
      </c>
      <c r="DS244" s="353">
        <f t="shared" ca="1" si="703"/>
        <v>0</v>
      </c>
      <c r="DT244" s="353">
        <f t="shared" ca="1" si="704"/>
        <v>0</v>
      </c>
      <c r="DU244" s="380">
        <f t="shared" ca="1" si="804"/>
        <v>18.99520876112252</v>
      </c>
      <c r="DV244" s="303">
        <f t="shared" ca="1" si="705"/>
        <v>0</v>
      </c>
      <c r="DW244" s="303">
        <f t="shared" ca="1" si="706"/>
        <v>0</v>
      </c>
      <c r="DX244" s="303">
        <f t="shared" ca="1" si="707"/>
        <v>0</v>
      </c>
      <c r="DY244" s="303">
        <f t="shared" ca="1" si="708"/>
        <v>0</v>
      </c>
      <c r="DZ244" s="303">
        <f t="shared" ca="1" si="709"/>
        <v>0</v>
      </c>
      <c r="EA244" s="303">
        <f t="shared" ca="1" si="710"/>
        <v>0</v>
      </c>
      <c r="EB244" s="302">
        <f t="shared" ca="1" si="711"/>
        <v>0</v>
      </c>
      <c r="EC244" s="299">
        <f t="shared" ca="1" si="712"/>
        <v>0</v>
      </c>
      <c r="ED244" s="299">
        <f t="shared" ca="1" si="713"/>
        <v>0</v>
      </c>
      <c r="EE244" s="299">
        <f t="shared" ca="1" si="714"/>
        <v>0</v>
      </c>
      <c r="EF244" s="299">
        <f t="shared" ca="1" si="715"/>
        <v>0</v>
      </c>
      <c r="EG244" s="299">
        <f t="shared" ca="1" si="716"/>
        <v>0</v>
      </c>
      <c r="EH244" s="302">
        <f t="shared" ca="1" si="717"/>
        <v>0</v>
      </c>
      <c r="EI244" s="304" t="str">
        <f t="shared" ca="1" si="718"/>
        <v/>
      </c>
      <c r="EJ244" s="305" t="str">
        <f t="shared" ca="1" si="719"/>
        <v/>
      </c>
      <c r="EK244" s="305" t="str">
        <f t="shared" ca="1" si="720"/>
        <v/>
      </c>
      <c r="EL244" s="305" t="str">
        <f t="shared" ca="1" si="721"/>
        <v/>
      </c>
      <c r="EM244" s="305" t="str">
        <f t="shared" ca="1" si="722"/>
        <v/>
      </c>
      <c r="EN244" s="305" t="str">
        <f t="shared" ca="1" si="723"/>
        <v/>
      </c>
      <c r="EO244" s="305" t="str">
        <f t="shared" ca="1" si="724"/>
        <v/>
      </c>
      <c r="EP244" s="305" t="str">
        <f t="shared" ca="1" si="725"/>
        <v/>
      </c>
      <c r="EQ244" s="305" t="str">
        <f t="shared" ca="1" si="726"/>
        <v/>
      </c>
      <c r="ER244" s="305" t="str">
        <f t="shared" ca="1" si="727"/>
        <v/>
      </c>
      <c r="ES244" s="305" t="str">
        <f t="shared" ca="1" si="728"/>
        <v/>
      </c>
      <c r="ET244" s="299">
        <f t="shared" ca="1" si="729"/>
        <v>0</v>
      </c>
      <c r="EU244" s="302">
        <f t="shared" ca="1" si="730"/>
        <v>0</v>
      </c>
      <c r="EV244" s="304" t="str">
        <f t="shared" ca="1" si="731"/>
        <v/>
      </c>
      <c r="EW244" s="305" t="str">
        <f t="shared" ca="1" si="732"/>
        <v/>
      </c>
      <c r="EX244" s="305" t="str">
        <f t="shared" ca="1" si="733"/>
        <v/>
      </c>
      <c r="EY244" s="305" t="str">
        <f t="shared" ca="1" si="734"/>
        <v/>
      </c>
      <c r="EZ244" s="305" t="str">
        <f t="shared" ca="1" si="735"/>
        <v/>
      </c>
      <c r="FA244" s="305" t="str">
        <f t="shared" ca="1" si="736"/>
        <v/>
      </c>
      <c r="FB244" s="305" t="str">
        <f t="shared" ca="1" si="737"/>
        <v/>
      </c>
      <c r="FC244" s="305" t="str">
        <f t="shared" ca="1" si="738"/>
        <v/>
      </c>
      <c r="FD244" s="305" t="str">
        <f t="shared" ca="1" si="739"/>
        <v/>
      </c>
      <c r="FE244" s="305" t="str">
        <f t="shared" ca="1" si="740"/>
        <v/>
      </c>
      <c r="FF244" s="305" t="str">
        <f t="shared" ca="1" si="741"/>
        <v/>
      </c>
      <c r="FG244" s="299">
        <f t="shared" ca="1" si="742"/>
        <v>0</v>
      </c>
      <c r="FH244" s="302">
        <f t="shared" ca="1" si="743"/>
        <v>0</v>
      </c>
      <c r="FI244" s="248">
        <f t="shared" ca="1" si="744"/>
        <v>0</v>
      </c>
      <c r="FJ244" s="363">
        <f t="shared" ca="1" si="745"/>
        <v>0</v>
      </c>
      <c r="FK244" s="378" t="str">
        <f t="shared" ca="1" si="746"/>
        <v/>
      </c>
      <c r="FL244" s="508" t="str">
        <f t="shared" ca="1" si="747"/>
        <v/>
      </c>
      <c r="FM244" s="508" t="str">
        <f t="shared" ca="1" si="748"/>
        <v/>
      </c>
      <c r="FN244" s="508" t="str">
        <f t="shared" ca="1" si="749"/>
        <v/>
      </c>
      <c r="FO244" s="508" t="str">
        <f t="shared" ca="1" si="750"/>
        <v/>
      </c>
      <c r="FP244" s="353">
        <f t="shared" ca="1" si="751"/>
        <v>0</v>
      </c>
      <c r="FQ244" s="356">
        <f t="shared" ca="1" si="752"/>
        <v>0</v>
      </c>
      <c r="FR244" s="380">
        <f t="shared" ca="1" si="753"/>
        <v>0</v>
      </c>
      <c r="FS244" s="299">
        <f t="shared" ca="1" si="754"/>
        <v>0</v>
      </c>
      <c r="FT244" s="299">
        <f t="shared" ca="1" si="755"/>
        <v>0</v>
      </c>
      <c r="FU244" s="299">
        <f t="shared" ca="1" si="756"/>
        <v>0</v>
      </c>
      <c r="FV244" s="299">
        <f t="shared" ca="1" si="757"/>
        <v>0</v>
      </c>
      <c r="FW244" s="850" t="str">
        <f t="shared" ca="1" si="758"/>
        <v/>
      </c>
      <c r="FX244" s="851" t="str">
        <f t="shared" ca="1" si="759"/>
        <v/>
      </c>
      <c r="FY244" s="851" t="str">
        <f t="shared" ca="1" si="760"/>
        <v/>
      </c>
      <c r="FZ244" s="201" t="str">
        <f t="shared" ca="1" si="761"/>
        <v/>
      </c>
      <c r="GA244" s="201" t="str">
        <f t="shared" ca="1" si="762"/>
        <v/>
      </c>
      <c r="GB244" s="201" t="str">
        <f t="shared" ca="1" si="763"/>
        <v/>
      </c>
      <c r="GC244" s="201" t="str">
        <f t="shared" ca="1" si="764"/>
        <v/>
      </c>
      <c r="GD244" s="850" t="str">
        <f t="shared" ca="1" si="765"/>
        <v/>
      </c>
      <c r="GE244" s="866" t="str">
        <f t="shared" ca="1" si="766"/>
        <v/>
      </c>
      <c r="GF244" s="866" t="str">
        <f t="shared" ca="1" si="767"/>
        <v/>
      </c>
      <c r="GG244" s="866" t="str">
        <f t="shared" ca="1" si="768"/>
        <v/>
      </c>
      <c r="GH244" s="866" t="str">
        <f t="shared" ca="1" si="769"/>
        <v/>
      </c>
      <c r="GI244" s="302">
        <f t="shared" ca="1" si="770"/>
        <v>0</v>
      </c>
      <c r="GJ244" s="299">
        <f t="shared" ca="1" si="771"/>
        <v>0</v>
      </c>
      <c r="GK244" s="299">
        <f t="shared" ca="1" si="772"/>
        <v>0</v>
      </c>
      <c r="GL244" s="299">
        <f t="shared" ca="1" si="773"/>
        <v>0</v>
      </c>
      <c r="GM244" s="299">
        <f t="shared" ca="1" si="774"/>
        <v>0</v>
      </c>
      <c r="GN244" s="302">
        <f t="shared" ca="1" si="775"/>
        <v>0</v>
      </c>
      <c r="GO244" s="299">
        <f t="shared" ca="1" si="776"/>
        <v>0</v>
      </c>
      <c r="GP244" s="299">
        <f t="shared" ca="1" si="777"/>
        <v>0</v>
      </c>
      <c r="GQ244" s="299">
        <f t="shared" ca="1" si="778"/>
        <v>0</v>
      </c>
      <c r="GR244" s="299">
        <f t="shared" ca="1" si="779"/>
        <v>0</v>
      </c>
      <c r="GS244" s="302">
        <f t="shared" ca="1" si="780"/>
        <v>0</v>
      </c>
      <c r="GT244" s="299">
        <f t="shared" ca="1" si="781"/>
        <v>0</v>
      </c>
      <c r="GU244" s="299">
        <f t="shared" ca="1" si="782"/>
        <v>0</v>
      </c>
      <c r="GV244" s="299">
        <f t="shared" ca="1" si="783"/>
        <v>0</v>
      </c>
      <c r="GW244" s="299">
        <f t="shared" ca="1" si="784"/>
        <v>0</v>
      </c>
      <c r="GX244" s="303">
        <f t="shared" ca="1" si="785"/>
        <v>0</v>
      </c>
      <c r="GY244" s="303">
        <f t="shared" ca="1" si="786"/>
        <v>0</v>
      </c>
      <c r="GZ244" s="303">
        <f t="shared" ca="1" si="787"/>
        <v>0</v>
      </c>
      <c r="HA244" s="303">
        <f t="shared" ca="1" si="788"/>
        <v>0</v>
      </c>
      <c r="HB244" s="303">
        <f t="shared" ca="1" si="789"/>
        <v>0</v>
      </c>
      <c r="HC244" s="303">
        <f t="shared" ca="1" si="790"/>
        <v>0</v>
      </c>
      <c r="HD244" s="303">
        <f t="shared" ca="1" si="791"/>
        <v>0</v>
      </c>
      <c r="HE244" s="303">
        <f t="shared" ca="1" si="792"/>
        <v>0</v>
      </c>
      <c r="HF244" s="303">
        <f t="shared" ca="1" si="793"/>
        <v>0</v>
      </c>
      <c r="HG244" s="852">
        <f t="shared" ca="1" si="794"/>
        <v>0</v>
      </c>
    </row>
    <row r="245" spans="1:215" x14ac:dyDescent="0.25">
      <c r="A245" s="244">
        <f t="shared" ca="1" si="795"/>
        <v>43556</v>
      </c>
      <c r="B245" s="13">
        <f t="shared" ca="1" si="825"/>
        <v>2019</v>
      </c>
      <c r="C245" s="619">
        <f t="shared" ca="1" si="826"/>
        <v>4</v>
      </c>
      <c r="D245" s="195" t="str">
        <f t="shared" ca="1" si="625"/>
        <v/>
      </c>
      <c r="E245" s="469" t="str">
        <f t="shared" ca="1" si="626"/>
        <v/>
      </c>
      <c r="F245" s="465" t="str">
        <f t="shared" ca="1" si="627"/>
        <v/>
      </c>
      <c r="G245" s="522">
        <f t="shared" ca="1" si="796"/>
        <v>1</v>
      </c>
      <c r="H245" s="519">
        <f t="shared" ca="1" si="797"/>
        <v>1</v>
      </c>
      <c r="I245" s="724">
        <f t="shared" ca="1" si="827"/>
        <v>7.417313910919901E-2</v>
      </c>
      <c r="J245" s="198">
        <f t="shared" ca="1" si="629"/>
        <v>0.24674780651793676</v>
      </c>
      <c r="K245" s="200" t="e">
        <f t="shared" ca="1" si="805"/>
        <v>#N/A</v>
      </c>
      <c r="L245" s="201" t="e">
        <f t="shared" ca="1" si="806"/>
        <v>#N/A</v>
      </c>
      <c r="M245" s="206" t="e">
        <f t="shared" ca="1" si="807"/>
        <v>#N/A</v>
      </c>
      <c r="N245" s="851" t="e">
        <f t="shared" ca="1" si="811"/>
        <v>#N/A</v>
      </c>
      <c r="O245" s="201" t="e">
        <f t="shared" ca="1" si="812"/>
        <v>#N/A</v>
      </c>
      <c r="P245" s="206" t="e">
        <f t="shared" ca="1" si="813"/>
        <v>#N/A</v>
      </c>
      <c r="Q245" s="201" t="e">
        <f t="shared" ca="1" si="814"/>
        <v>#N/A</v>
      </c>
      <c r="R245" s="201" t="e">
        <f t="shared" ca="1" si="815"/>
        <v>#N/A</v>
      </c>
      <c r="S245" s="201" t="e">
        <f t="shared" ca="1" si="816"/>
        <v>#N/A</v>
      </c>
      <c r="T245" s="851" t="e">
        <f t="shared" ca="1" si="808"/>
        <v>#N/A</v>
      </c>
      <c r="U245" s="201" t="e">
        <f t="shared" ca="1" si="809"/>
        <v>#N/A</v>
      </c>
      <c r="V245" s="206" t="e">
        <f t="shared" ca="1" si="810"/>
        <v>#N/A</v>
      </c>
      <c r="W245" s="230" t="e">
        <f t="shared" ca="1" si="798"/>
        <v>#N/A</v>
      </c>
      <c r="X245" s="231" t="e">
        <f t="shared" ca="1" si="799"/>
        <v>#N/A</v>
      </c>
      <c r="Y245" s="232" t="e">
        <f t="shared" ca="1" si="800"/>
        <v>#N/A</v>
      </c>
      <c r="Z245" s="231" t="e">
        <f t="shared" ca="1" si="820"/>
        <v>#N/A</v>
      </c>
      <c r="AA245" s="231" t="e">
        <f t="shared" ca="1" si="821"/>
        <v>#N/A</v>
      </c>
      <c r="AB245" s="232" t="e">
        <f t="shared" ca="1" si="822"/>
        <v>#N/A</v>
      </c>
      <c r="AC245" s="231" t="e">
        <f t="shared" ca="1" si="823"/>
        <v>#N/A</v>
      </c>
      <c r="AD245" s="231" t="e">
        <f t="shared" ca="1" si="824"/>
        <v>#N/A</v>
      </c>
      <c r="AE245" s="232" t="e">
        <f t="shared" ca="1" si="630"/>
        <v>#N/A</v>
      </c>
      <c r="AF245" s="231" t="e">
        <f t="shared" ca="1" si="801"/>
        <v>#N/A</v>
      </c>
      <c r="AG245" s="231" t="e">
        <f t="shared" ca="1" si="802"/>
        <v>#N/A</v>
      </c>
      <c r="AH245" s="232" t="e">
        <f t="shared" ca="1" si="803"/>
        <v>#N/A</v>
      </c>
      <c r="AI245" s="233" t="e">
        <f t="shared" ca="1" si="631"/>
        <v>#N/A</v>
      </c>
      <c r="AJ245" s="233" t="e">
        <f t="shared" ca="1" si="632"/>
        <v>#N/A</v>
      </c>
      <c r="AK245" s="234" t="e">
        <f t="shared" ca="1" si="633"/>
        <v>#N/A</v>
      </c>
      <c r="AL245" s="919" t="e">
        <f t="shared" ca="1" si="634"/>
        <v>#N/A</v>
      </c>
      <c r="AM245" s="233" t="e">
        <f t="shared" ca="1" si="635"/>
        <v>#N/A</v>
      </c>
      <c r="AN245" s="234" t="e">
        <f t="shared" ca="1" si="636"/>
        <v>#N/A</v>
      </c>
      <c r="AO245" s="233" t="e">
        <f t="shared" ca="1" si="637"/>
        <v>#N/A</v>
      </c>
      <c r="AP245" s="233" t="e">
        <f t="shared" ca="1" si="638"/>
        <v>#N/A</v>
      </c>
      <c r="AQ245" s="233" t="e">
        <f t="shared" ca="1" si="639"/>
        <v>#N/A</v>
      </c>
      <c r="AR245" s="919" t="e">
        <f t="shared" ca="1" si="640"/>
        <v>#N/A</v>
      </c>
      <c r="AS245" s="233" t="e">
        <f t="shared" ca="1" si="641"/>
        <v>#N/A</v>
      </c>
      <c r="AT245" s="235" t="e">
        <f t="shared" ca="1" si="642"/>
        <v>#N/A</v>
      </c>
      <c r="AU245" s="946">
        <f t="shared" si="643"/>
        <v>0.5</v>
      </c>
      <c r="AV245" s="13">
        <f t="shared" ca="1" si="644"/>
        <v>0</v>
      </c>
      <c r="AW245" s="210">
        <f t="shared" ca="1" si="645"/>
        <v>0</v>
      </c>
      <c r="AX245" s="210">
        <f t="shared" ca="1" si="646"/>
        <v>0</v>
      </c>
      <c r="AY245" s="210">
        <f t="shared" ca="1" si="647"/>
        <v>0</v>
      </c>
      <c r="AZ245" s="13">
        <f t="shared" ca="1" si="648"/>
        <v>0</v>
      </c>
      <c r="BA245" s="357">
        <f ca="1"/>
        <v>0</v>
      </c>
      <c r="BB245" s="925">
        <f ca="1"/>
        <v>0</v>
      </c>
      <c r="BC245" s="925">
        <f ca="1"/>
        <v>0</v>
      </c>
      <c r="BD245" s="928">
        <f ca="1"/>
        <v>0</v>
      </c>
      <c r="BE245" s="200">
        <f ca="1"/>
        <v>0</v>
      </c>
      <c r="BF245" s="851">
        <f ca="1"/>
        <v>0</v>
      </c>
      <c r="BG245" s="851">
        <f ca="1"/>
        <v>0</v>
      </c>
      <c r="BH245" s="933">
        <f ca="1"/>
        <v>0</v>
      </c>
      <c r="BI245" s="357">
        <f ca="1"/>
        <v>0</v>
      </c>
      <c r="BJ245" s="925">
        <f ca="1"/>
        <v>0</v>
      </c>
      <c r="BK245" s="925">
        <f ca="1"/>
        <v>0</v>
      </c>
      <c r="BL245" s="928">
        <f ca="1"/>
        <v>0</v>
      </c>
      <c r="BM245" s="200">
        <f ca="1"/>
        <v>0</v>
      </c>
      <c r="BN245" s="851">
        <f ca="1"/>
        <v>0</v>
      </c>
      <c r="BO245" s="851">
        <f ca="1"/>
        <v>0</v>
      </c>
      <c r="BP245" s="933">
        <f ca="1"/>
        <v>0</v>
      </c>
      <c r="BQ245" s="357">
        <f t="shared" ca="1" si="649"/>
        <v>0</v>
      </c>
      <c r="BR245" s="361">
        <f t="shared" ca="1" si="650"/>
        <v>0</v>
      </c>
      <c r="BS245" s="357">
        <f t="shared" ca="1" si="651"/>
        <v>0</v>
      </c>
      <c r="BT245" s="302">
        <f t="shared" ca="1" si="652"/>
        <v>0</v>
      </c>
      <c r="BU245" s="299">
        <f t="shared" ca="1" si="653"/>
        <v>0</v>
      </c>
      <c r="BV245" s="299">
        <f t="shared" ca="1" si="654"/>
        <v>0</v>
      </c>
      <c r="BW245" s="299">
        <f t="shared" ca="1" si="655"/>
        <v>0</v>
      </c>
      <c r="BX245" s="380">
        <f t="shared" ca="1" si="656"/>
        <v>19.080082135523615</v>
      </c>
      <c r="BY245" s="363">
        <f t="shared" ca="1" si="657"/>
        <v>0</v>
      </c>
      <c r="BZ245" s="353">
        <f t="shared" ca="1" si="658"/>
        <v>0</v>
      </c>
      <c r="CA245" s="353">
        <f t="shared" ca="1" si="659"/>
        <v>0</v>
      </c>
      <c r="CB245" s="353">
        <f t="shared" ca="1" si="660"/>
        <v>0</v>
      </c>
      <c r="CC245" s="353">
        <f t="shared" ca="1" si="661"/>
        <v>0</v>
      </c>
      <c r="CD245" s="353">
        <f t="shared" ca="1" si="662"/>
        <v>0</v>
      </c>
      <c r="CE245" s="302">
        <f t="shared" ca="1" si="663"/>
        <v>0</v>
      </c>
      <c r="CF245" s="299">
        <f t="shared" ca="1" si="664"/>
        <v>0</v>
      </c>
      <c r="CG245" s="299">
        <f t="shared" ca="1" si="665"/>
        <v>0</v>
      </c>
      <c r="CH245" s="299">
        <f t="shared" ca="1" si="666"/>
        <v>0</v>
      </c>
      <c r="CI245" s="299">
        <f t="shared" ca="1" si="667"/>
        <v>0</v>
      </c>
      <c r="CJ245" s="299">
        <f t="shared" ca="1" si="668"/>
        <v>0</v>
      </c>
      <c r="CK245" s="299">
        <f t="shared" ca="1" si="669"/>
        <v>0</v>
      </c>
      <c r="CL245" s="377" t="str">
        <f t="shared" ca="1" si="670"/>
        <v/>
      </c>
      <c r="CM245" s="305" t="str">
        <f t="shared" ca="1" si="671"/>
        <v/>
      </c>
      <c r="CN245" s="305" t="str">
        <f t="shared" ca="1" si="672"/>
        <v/>
      </c>
      <c r="CO245" s="305" t="str">
        <f t="shared" ca="1" si="673"/>
        <v/>
      </c>
      <c r="CP245" s="305" t="str">
        <f t="shared" ca="1" si="674"/>
        <v/>
      </c>
      <c r="CQ245" s="305" t="str">
        <f t="shared" ca="1" si="675"/>
        <v/>
      </c>
      <c r="CR245" s="775" t="str">
        <f t="shared" ca="1" si="676"/>
        <v/>
      </c>
      <c r="CS245" s="305" t="str">
        <f t="shared" ca="1" si="677"/>
        <v/>
      </c>
      <c r="CT245" s="305" t="str">
        <f t="shared" ca="1" si="678"/>
        <v/>
      </c>
      <c r="CU245" s="305" t="str">
        <f t="shared" ca="1" si="679"/>
        <v/>
      </c>
      <c r="CV245" s="770" t="str">
        <f t="shared" ca="1" si="680"/>
        <v/>
      </c>
      <c r="CW245" s="302">
        <f t="shared" ca="1" si="681"/>
        <v>0</v>
      </c>
      <c r="CX245" s="299">
        <f t="shared" ca="1" si="682"/>
        <v>0</v>
      </c>
      <c r="CY245" s="299">
        <f t="shared" ca="1" si="683"/>
        <v>0</v>
      </c>
      <c r="CZ245" s="299">
        <f t="shared" ca="1" si="684"/>
        <v>0</v>
      </c>
      <c r="DA245" s="774">
        <f t="shared" ca="1" si="685"/>
        <v>0</v>
      </c>
      <c r="DB245" s="303">
        <f t="shared" ca="1" si="686"/>
        <v>0</v>
      </c>
      <c r="DC245" s="248">
        <f t="shared" ca="1" si="687"/>
        <v>0</v>
      </c>
      <c r="DD245" s="778">
        <f t="shared" ca="1" si="688"/>
        <v>0</v>
      </c>
      <c r="DE245" s="363">
        <f t="shared" ca="1" si="689"/>
        <v>0</v>
      </c>
      <c r="DF245" s="378" t="str">
        <f t="shared" ca="1" si="690"/>
        <v/>
      </c>
      <c r="DG245" s="508" t="str">
        <f t="shared" ca="1" si="691"/>
        <v/>
      </c>
      <c r="DH245" s="508" t="str">
        <f t="shared" ca="1" si="692"/>
        <v/>
      </c>
      <c r="DI245" s="508" t="str">
        <f t="shared" ca="1" si="693"/>
        <v/>
      </c>
      <c r="DJ245" s="508" t="str">
        <f t="shared" ca="1" si="694"/>
        <v/>
      </c>
      <c r="DK245" s="353">
        <f t="shared" ca="1" si="695"/>
        <v>0</v>
      </c>
      <c r="DL245" s="781">
        <f t="shared" ca="1" si="696"/>
        <v>0</v>
      </c>
      <c r="DM245" s="303">
        <f t="shared" ca="1" si="697"/>
        <v>0</v>
      </c>
      <c r="DN245" s="508" t="str">
        <f t="shared" ca="1" si="698"/>
        <v/>
      </c>
      <c r="DO245" s="508" t="str">
        <f t="shared" ca="1" si="699"/>
        <v/>
      </c>
      <c r="DP245" s="508" t="str">
        <f t="shared" ca="1" si="700"/>
        <v/>
      </c>
      <c r="DQ245" s="508" t="str">
        <f t="shared" ca="1" si="701"/>
        <v/>
      </c>
      <c r="DR245" s="508" t="str">
        <f t="shared" ca="1" si="702"/>
        <v/>
      </c>
      <c r="DS245" s="353">
        <f t="shared" ca="1" si="703"/>
        <v>0</v>
      </c>
      <c r="DT245" s="353">
        <f t="shared" ca="1" si="704"/>
        <v>0</v>
      </c>
      <c r="DU245" s="380">
        <f t="shared" ca="1" si="804"/>
        <v>19.080082135523615</v>
      </c>
      <c r="DV245" s="303">
        <f t="shared" ca="1" si="705"/>
        <v>0</v>
      </c>
      <c r="DW245" s="303">
        <f t="shared" ca="1" si="706"/>
        <v>0</v>
      </c>
      <c r="DX245" s="303">
        <f t="shared" ca="1" si="707"/>
        <v>0</v>
      </c>
      <c r="DY245" s="303">
        <f t="shared" ca="1" si="708"/>
        <v>0</v>
      </c>
      <c r="DZ245" s="303">
        <f t="shared" ca="1" si="709"/>
        <v>0</v>
      </c>
      <c r="EA245" s="303">
        <f t="shared" ca="1" si="710"/>
        <v>0</v>
      </c>
      <c r="EB245" s="302">
        <f t="shared" ca="1" si="711"/>
        <v>0</v>
      </c>
      <c r="EC245" s="299">
        <f t="shared" ca="1" si="712"/>
        <v>0</v>
      </c>
      <c r="ED245" s="299">
        <f t="shared" ca="1" si="713"/>
        <v>0</v>
      </c>
      <c r="EE245" s="299">
        <f t="shared" ca="1" si="714"/>
        <v>0</v>
      </c>
      <c r="EF245" s="299">
        <f t="shared" ca="1" si="715"/>
        <v>0</v>
      </c>
      <c r="EG245" s="299">
        <f t="shared" ca="1" si="716"/>
        <v>0</v>
      </c>
      <c r="EH245" s="302">
        <f t="shared" ca="1" si="717"/>
        <v>0</v>
      </c>
      <c r="EI245" s="304" t="str">
        <f t="shared" ca="1" si="718"/>
        <v/>
      </c>
      <c r="EJ245" s="305" t="str">
        <f t="shared" ca="1" si="719"/>
        <v/>
      </c>
      <c r="EK245" s="305" t="str">
        <f t="shared" ca="1" si="720"/>
        <v/>
      </c>
      <c r="EL245" s="305" t="str">
        <f t="shared" ca="1" si="721"/>
        <v/>
      </c>
      <c r="EM245" s="305" t="str">
        <f t="shared" ca="1" si="722"/>
        <v/>
      </c>
      <c r="EN245" s="305" t="str">
        <f t="shared" ca="1" si="723"/>
        <v/>
      </c>
      <c r="EO245" s="305" t="str">
        <f t="shared" ca="1" si="724"/>
        <v/>
      </c>
      <c r="EP245" s="305" t="str">
        <f t="shared" ca="1" si="725"/>
        <v/>
      </c>
      <c r="EQ245" s="305" t="str">
        <f t="shared" ca="1" si="726"/>
        <v/>
      </c>
      <c r="ER245" s="305" t="str">
        <f t="shared" ca="1" si="727"/>
        <v/>
      </c>
      <c r="ES245" s="305" t="str">
        <f t="shared" ca="1" si="728"/>
        <v/>
      </c>
      <c r="ET245" s="299">
        <f t="shared" ca="1" si="729"/>
        <v>0</v>
      </c>
      <c r="EU245" s="302">
        <f t="shared" ca="1" si="730"/>
        <v>0</v>
      </c>
      <c r="EV245" s="304" t="str">
        <f t="shared" ca="1" si="731"/>
        <v/>
      </c>
      <c r="EW245" s="305" t="str">
        <f t="shared" ca="1" si="732"/>
        <v/>
      </c>
      <c r="EX245" s="305" t="str">
        <f t="shared" ca="1" si="733"/>
        <v/>
      </c>
      <c r="EY245" s="305" t="str">
        <f t="shared" ca="1" si="734"/>
        <v/>
      </c>
      <c r="EZ245" s="305" t="str">
        <f t="shared" ca="1" si="735"/>
        <v/>
      </c>
      <c r="FA245" s="305" t="str">
        <f t="shared" ca="1" si="736"/>
        <v/>
      </c>
      <c r="FB245" s="305" t="str">
        <f t="shared" ca="1" si="737"/>
        <v/>
      </c>
      <c r="FC245" s="305" t="str">
        <f t="shared" ca="1" si="738"/>
        <v/>
      </c>
      <c r="FD245" s="305" t="str">
        <f t="shared" ca="1" si="739"/>
        <v/>
      </c>
      <c r="FE245" s="305" t="str">
        <f t="shared" ca="1" si="740"/>
        <v/>
      </c>
      <c r="FF245" s="305" t="str">
        <f t="shared" ca="1" si="741"/>
        <v/>
      </c>
      <c r="FG245" s="299">
        <f t="shared" ca="1" si="742"/>
        <v>0</v>
      </c>
      <c r="FH245" s="302">
        <f t="shared" ca="1" si="743"/>
        <v>0</v>
      </c>
      <c r="FI245" s="248">
        <f t="shared" ca="1" si="744"/>
        <v>0</v>
      </c>
      <c r="FJ245" s="363">
        <f t="shared" ca="1" si="745"/>
        <v>0</v>
      </c>
      <c r="FK245" s="378" t="str">
        <f t="shared" ca="1" si="746"/>
        <v/>
      </c>
      <c r="FL245" s="508" t="str">
        <f t="shared" ca="1" si="747"/>
        <v/>
      </c>
      <c r="FM245" s="508" t="str">
        <f t="shared" ca="1" si="748"/>
        <v/>
      </c>
      <c r="FN245" s="508" t="str">
        <f t="shared" ca="1" si="749"/>
        <v/>
      </c>
      <c r="FO245" s="508" t="str">
        <f t="shared" ca="1" si="750"/>
        <v/>
      </c>
      <c r="FP245" s="353">
        <f t="shared" ca="1" si="751"/>
        <v>0</v>
      </c>
      <c r="FQ245" s="356">
        <f t="shared" ca="1" si="752"/>
        <v>0</v>
      </c>
      <c r="FR245" s="380">
        <f t="shared" ca="1" si="753"/>
        <v>0</v>
      </c>
      <c r="FS245" s="299">
        <f t="shared" ca="1" si="754"/>
        <v>0</v>
      </c>
      <c r="FT245" s="299">
        <f t="shared" ca="1" si="755"/>
        <v>0</v>
      </c>
      <c r="FU245" s="299">
        <f t="shared" ca="1" si="756"/>
        <v>0</v>
      </c>
      <c r="FV245" s="299">
        <f t="shared" ca="1" si="757"/>
        <v>0</v>
      </c>
      <c r="FW245" s="850" t="str">
        <f t="shared" ca="1" si="758"/>
        <v/>
      </c>
      <c r="FX245" s="851" t="str">
        <f t="shared" ca="1" si="759"/>
        <v/>
      </c>
      <c r="FY245" s="851" t="str">
        <f t="shared" ca="1" si="760"/>
        <v/>
      </c>
      <c r="FZ245" s="201" t="str">
        <f t="shared" ca="1" si="761"/>
        <v/>
      </c>
      <c r="GA245" s="201" t="str">
        <f t="shared" ca="1" si="762"/>
        <v/>
      </c>
      <c r="GB245" s="201" t="str">
        <f t="shared" ca="1" si="763"/>
        <v/>
      </c>
      <c r="GC245" s="201" t="str">
        <f t="shared" ca="1" si="764"/>
        <v/>
      </c>
      <c r="GD245" s="850" t="str">
        <f t="shared" ca="1" si="765"/>
        <v/>
      </c>
      <c r="GE245" s="866" t="str">
        <f t="shared" ca="1" si="766"/>
        <v/>
      </c>
      <c r="GF245" s="866" t="str">
        <f t="shared" ca="1" si="767"/>
        <v/>
      </c>
      <c r="GG245" s="866" t="str">
        <f t="shared" ca="1" si="768"/>
        <v/>
      </c>
      <c r="GH245" s="866" t="str">
        <f t="shared" ca="1" si="769"/>
        <v/>
      </c>
      <c r="GI245" s="302">
        <f t="shared" ca="1" si="770"/>
        <v>0</v>
      </c>
      <c r="GJ245" s="299">
        <f t="shared" ca="1" si="771"/>
        <v>0</v>
      </c>
      <c r="GK245" s="299">
        <f t="shared" ca="1" si="772"/>
        <v>0</v>
      </c>
      <c r="GL245" s="299">
        <f t="shared" ca="1" si="773"/>
        <v>0</v>
      </c>
      <c r="GM245" s="299">
        <f t="shared" ca="1" si="774"/>
        <v>0</v>
      </c>
      <c r="GN245" s="302">
        <f t="shared" ca="1" si="775"/>
        <v>0</v>
      </c>
      <c r="GO245" s="299">
        <f t="shared" ca="1" si="776"/>
        <v>0</v>
      </c>
      <c r="GP245" s="299">
        <f t="shared" ca="1" si="777"/>
        <v>0</v>
      </c>
      <c r="GQ245" s="299">
        <f t="shared" ca="1" si="778"/>
        <v>0</v>
      </c>
      <c r="GR245" s="299">
        <f t="shared" ca="1" si="779"/>
        <v>0</v>
      </c>
      <c r="GS245" s="302">
        <f t="shared" ca="1" si="780"/>
        <v>0</v>
      </c>
      <c r="GT245" s="299">
        <f t="shared" ca="1" si="781"/>
        <v>0</v>
      </c>
      <c r="GU245" s="299">
        <f t="shared" ca="1" si="782"/>
        <v>0</v>
      </c>
      <c r="GV245" s="299">
        <f t="shared" ca="1" si="783"/>
        <v>0</v>
      </c>
      <c r="GW245" s="299">
        <f t="shared" ca="1" si="784"/>
        <v>0</v>
      </c>
      <c r="GX245" s="303">
        <f t="shared" ca="1" si="785"/>
        <v>0</v>
      </c>
      <c r="GY245" s="303">
        <f t="shared" ca="1" si="786"/>
        <v>0</v>
      </c>
      <c r="GZ245" s="303">
        <f t="shared" ca="1" si="787"/>
        <v>0</v>
      </c>
      <c r="HA245" s="303">
        <f t="shared" ca="1" si="788"/>
        <v>0</v>
      </c>
      <c r="HB245" s="303">
        <f t="shared" ca="1" si="789"/>
        <v>0</v>
      </c>
      <c r="HC245" s="303">
        <f t="shared" ca="1" si="790"/>
        <v>0</v>
      </c>
      <c r="HD245" s="303">
        <f t="shared" ca="1" si="791"/>
        <v>0</v>
      </c>
      <c r="HE245" s="303">
        <f t="shared" ca="1" si="792"/>
        <v>0</v>
      </c>
      <c r="HF245" s="303">
        <f t="shared" ca="1" si="793"/>
        <v>0</v>
      </c>
      <c r="HG245" s="852">
        <f t="shared" ca="1" si="794"/>
        <v>0</v>
      </c>
    </row>
    <row r="246" spans="1:215" x14ac:dyDescent="0.25">
      <c r="A246" s="244">
        <f t="shared" ca="1" si="795"/>
        <v>43586</v>
      </c>
      <c r="B246" s="13">
        <f t="shared" ca="1" si="825"/>
        <v>2019</v>
      </c>
      <c r="C246" s="619">
        <f t="shared" ca="1" si="826"/>
        <v>5</v>
      </c>
      <c r="D246" s="195">
        <f t="shared" ca="1" si="625"/>
        <v>43612</v>
      </c>
      <c r="E246" s="469" t="str">
        <f t="shared" ca="1" si="626"/>
        <v/>
      </c>
      <c r="F246" s="465" t="str">
        <f t="shared" ca="1" si="627"/>
        <v/>
      </c>
      <c r="G246" s="522">
        <f t="shared" ca="1" si="796"/>
        <v>1</v>
      </c>
      <c r="H246" s="519">
        <f t="shared" ca="1" si="797"/>
        <v>1</v>
      </c>
      <c r="I246" s="724">
        <f t="shared" ca="1" si="827"/>
        <v>7.4172853898348004E-2</v>
      </c>
      <c r="J246" s="198">
        <f t="shared" ca="1" si="629"/>
        <v>0.24522856632015855</v>
      </c>
      <c r="K246" s="200" t="e">
        <f t="shared" ca="1" si="805"/>
        <v>#N/A</v>
      </c>
      <c r="L246" s="201" t="e">
        <f t="shared" ca="1" si="806"/>
        <v>#N/A</v>
      </c>
      <c r="M246" s="206" t="e">
        <f t="shared" ca="1" si="807"/>
        <v>#N/A</v>
      </c>
      <c r="N246" s="851" t="e">
        <f t="shared" ca="1" si="811"/>
        <v>#N/A</v>
      </c>
      <c r="O246" s="201" t="e">
        <f t="shared" ca="1" si="812"/>
        <v>#N/A</v>
      </c>
      <c r="P246" s="206" t="e">
        <f t="shared" ca="1" si="813"/>
        <v>#N/A</v>
      </c>
      <c r="Q246" s="201" t="e">
        <f t="shared" ca="1" si="814"/>
        <v>#N/A</v>
      </c>
      <c r="R246" s="201" t="e">
        <f t="shared" ca="1" si="815"/>
        <v>#N/A</v>
      </c>
      <c r="S246" s="201" t="e">
        <f t="shared" ca="1" si="816"/>
        <v>#N/A</v>
      </c>
      <c r="T246" s="851" t="e">
        <f t="shared" ca="1" si="808"/>
        <v>#N/A</v>
      </c>
      <c r="U246" s="201" t="e">
        <f t="shared" ca="1" si="809"/>
        <v>#N/A</v>
      </c>
      <c r="V246" s="206" t="e">
        <f t="shared" ca="1" si="810"/>
        <v>#N/A</v>
      </c>
      <c r="W246" s="230" t="e">
        <f t="shared" ca="1" si="798"/>
        <v>#N/A</v>
      </c>
      <c r="X246" s="231" t="e">
        <f t="shared" ca="1" si="799"/>
        <v>#N/A</v>
      </c>
      <c r="Y246" s="232" t="e">
        <f t="shared" ca="1" si="800"/>
        <v>#N/A</v>
      </c>
      <c r="Z246" s="231" t="e">
        <f t="shared" ca="1" si="820"/>
        <v>#N/A</v>
      </c>
      <c r="AA246" s="231" t="e">
        <f t="shared" ca="1" si="821"/>
        <v>#N/A</v>
      </c>
      <c r="AB246" s="232" t="e">
        <f t="shared" ca="1" si="822"/>
        <v>#N/A</v>
      </c>
      <c r="AC246" s="231" t="e">
        <f t="shared" ca="1" si="823"/>
        <v>#N/A</v>
      </c>
      <c r="AD246" s="231" t="e">
        <f t="shared" ca="1" si="824"/>
        <v>#N/A</v>
      </c>
      <c r="AE246" s="232" t="e">
        <f t="shared" ca="1" si="630"/>
        <v>#N/A</v>
      </c>
      <c r="AF246" s="231" t="e">
        <f t="shared" ca="1" si="801"/>
        <v>#N/A</v>
      </c>
      <c r="AG246" s="231" t="e">
        <f t="shared" ca="1" si="802"/>
        <v>#N/A</v>
      </c>
      <c r="AH246" s="232" t="e">
        <f t="shared" ca="1" si="803"/>
        <v>#N/A</v>
      </c>
      <c r="AI246" s="233" t="e">
        <f t="shared" ca="1" si="631"/>
        <v>#N/A</v>
      </c>
      <c r="AJ246" s="233" t="e">
        <f t="shared" ca="1" si="632"/>
        <v>#N/A</v>
      </c>
      <c r="AK246" s="234" t="e">
        <f t="shared" ca="1" si="633"/>
        <v>#N/A</v>
      </c>
      <c r="AL246" s="919" t="e">
        <f t="shared" ca="1" si="634"/>
        <v>#N/A</v>
      </c>
      <c r="AM246" s="233" t="e">
        <f t="shared" ca="1" si="635"/>
        <v>#N/A</v>
      </c>
      <c r="AN246" s="234" t="e">
        <f t="shared" ca="1" si="636"/>
        <v>#N/A</v>
      </c>
      <c r="AO246" s="233" t="e">
        <f t="shared" ca="1" si="637"/>
        <v>#N/A</v>
      </c>
      <c r="AP246" s="233" t="e">
        <f t="shared" ca="1" si="638"/>
        <v>#N/A</v>
      </c>
      <c r="AQ246" s="233" t="e">
        <f t="shared" ca="1" si="639"/>
        <v>#N/A</v>
      </c>
      <c r="AR246" s="919" t="e">
        <f t="shared" ca="1" si="640"/>
        <v>#N/A</v>
      </c>
      <c r="AS246" s="233" t="e">
        <f t="shared" ca="1" si="641"/>
        <v>#N/A</v>
      </c>
      <c r="AT246" s="235" t="e">
        <f t="shared" ca="1" si="642"/>
        <v>#N/A</v>
      </c>
      <c r="AU246" s="946">
        <f t="shared" si="643"/>
        <v>0.5</v>
      </c>
      <c r="AV246" s="13">
        <f t="shared" ca="1" si="644"/>
        <v>0</v>
      </c>
      <c r="AW246" s="210">
        <f t="shared" ca="1" si="645"/>
        <v>0</v>
      </c>
      <c r="AX246" s="210">
        <f t="shared" ca="1" si="646"/>
        <v>0</v>
      </c>
      <c r="AY246" s="210">
        <f t="shared" ca="1" si="647"/>
        <v>0</v>
      </c>
      <c r="AZ246" s="13">
        <f t="shared" ca="1" si="648"/>
        <v>0</v>
      </c>
      <c r="BA246" s="357">
        <f ca="1"/>
        <v>0</v>
      </c>
      <c r="BB246" s="925">
        <f ca="1"/>
        <v>0</v>
      </c>
      <c r="BC246" s="925">
        <f ca="1"/>
        <v>0</v>
      </c>
      <c r="BD246" s="928">
        <f ca="1"/>
        <v>0</v>
      </c>
      <c r="BE246" s="200">
        <f ca="1"/>
        <v>0</v>
      </c>
      <c r="BF246" s="851">
        <f ca="1"/>
        <v>0</v>
      </c>
      <c r="BG246" s="851">
        <f ca="1"/>
        <v>0</v>
      </c>
      <c r="BH246" s="933">
        <f ca="1"/>
        <v>0</v>
      </c>
      <c r="BI246" s="357">
        <f ca="1"/>
        <v>0</v>
      </c>
      <c r="BJ246" s="925">
        <f ca="1"/>
        <v>0</v>
      </c>
      <c r="BK246" s="925">
        <f ca="1"/>
        <v>0</v>
      </c>
      <c r="BL246" s="928">
        <f ca="1"/>
        <v>0</v>
      </c>
      <c r="BM246" s="200">
        <f ca="1"/>
        <v>0</v>
      </c>
      <c r="BN246" s="851">
        <f ca="1"/>
        <v>0</v>
      </c>
      <c r="BO246" s="851">
        <f ca="1"/>
        <v>0</v>
      </c>
      <c r="BP246" s="933">
        <f ca="1"/>
        <v>0</v>
      </c>
      <c r="BQ246" s="357">
        <f t="shared" ca="1" si="649"/>
        <v>0</v>
      </c>
      <c r="BR246" s="361">
        <f t="shared" ca="1" si="650"/>
        <v>0</v>
      </c>
      <c r="BS246" s="357">
        <f t="shared" ca="1" si="651"/>
        <v>0</v>
      </c>
      <c r="BT246" s="302">
        <f t="shared" ca="1" si="652"/>
        <v>0</v>
      </c>
      <c r="BU246" s="299">
        <f t="shared" ca="1" si="653"/>
        <v>0</v>
      </c>
      <c r="BV246" s="299">
        <f t="shared" ca="1" si="654"/>
        <v>0</v>
      </c>
      <c r="BW246" s="299">
        <f t="shared" ca="1" si="655"/>
        <v>0</v>
      </c>
      <c r="BX246" s="380">
        <f t="shared" ca="1" si="656"/>
        <v>19.162217659137578</v>
      </c>
      <c r="BY246" s="363">
        <f t="shared" ca="1" si="657"/>
        <v>0</v>
      </c>
      <c r="BZ246" s="353">
        <f t="shared" ca="1" si="658"/>
        <v>0</v>
      </c>
      <c r="CA246" s="353">
        <f t="shared" ca="1" si="659"/>
        <v>0</v>
      </c>
      <c r="CB246" s="353">
        <f t="shared" ca="1" si="660"/>
        <v>0</v>
      </c>
      <c r="CC246" s="353">
        <f t="shared" ca="1" si="661"/>
        <v>0</v>
      </c>
      <c r="CD246" s="353">
        <f t="shared" ca="1" si="662"/>
        <v>0</v>
      </c>
      <c r="CE246" s="302">
        <f t="shared" ca="1" si="663"/>
        <v>0</v>
      </c>
      <c r="CF246" s="299">
        <f t="shared" ca="1" si="664"/>
        <v>0</v>
      </c>
      <c r="CG246" s="299">
        <f t="shared" ca="1" si="665"/>
        <v>0</v>
      </c>
      <c r="CH246" s="299">
        <f t="shared" ca="1" si="666"/>
        <v>0</v>
      </c>
      <c r="CI246" s="299">
        <f t="shared" ca="1" si="667"/>
        <v>0</v>
      </c>
      <c r="CJ246" s="299">
        <f t="shared" ca="1" si="668"/>
        <v>0</v>
      </c>
      <c r="CK246" s="299">
        <f t="shared" ca="1" si="669"/>
        <v>0</v>
      </c>
      <c r="CL246" s="377" t="str">
        <f t="shared" ca="1" si="670"/>
        <v/>
      </c>
      <c r="CM246" s="305" t="str">
        <f t="shared" ca="1" si="671"/>
        <v/>
      </c>
      <c r="CN246" s="305" t="str">
        <f t="shared" ca="1" si="672"/>
        <v/>
      </c>
      <c r="CO246" s="305" t="str">
        <f t="shared" ca="1" si="673"/>
        <v/>
      </c>
      <c r="CP246" s="305" t="str">
        <f t="shared" ca="1" si="674"/>
        <v/>
      </c>
      <c r="CQ246" s="305" t="str">
        <f t="shared" ca="1" si="675"/>
        <v/>
      </c>
      <c r="CR246" s="775" t="str">
        <f t="shared" ca="1" si="676"/>
        <v/>
      </c>
      <c r="CS246" s="305" t="str">
        <f t="shared" ca="1" si="677"/>
        <v/>
      </c>
      <c r="CT246" s="305" t="str">
        <f t="shared" ca="1" si="678"/>
        <v/>
      </c>
      <c r="CU246" s="305" t="str">
        <f t="shared" ca="1" si="679"/>
        <v/>
      </c>
      <c r="CV246" s="770" t="str">
        <f t="shared" ca="1" si="680"/>
        <v/>
      </c>
      <c r="CW246" s="302">
        <f t="shared" ca="1" si="681"/>
        <v>0</v>
      </c>
      <c r="CX246" s="299">
        <f t="shared" ca="1" si="682"/>
        <v>0</v>
      </c>
      <c r="CY246" s="299">
        <f t="shared" ca="1" si="683"/>
        <v>0</v>
      </c>
      <c r="CZ246" s="299">
        <f t="shared" ca="1" si="684"/>
        <v>0</v>
      </c>
      <c r="DA246" s="774">
        <f t="shared" ca="1" si="685"/>
        <v>0</v>
      </c>
      <c r="DB246" s="303">
        <f t="shared" ca="1" si="686"/>
        <v>0</v>
      </c>
      <c r="DC246" s="248">
        <f t="shared" ca="1" si="687"/>
        <v>0</v>
      </c>
      <c r="DD246" s="778">
        <f t="shared" ca="1" si="688"/>
        <v>0</v>
      </c>
      <c r="DE246" s="363">
        <f t="shared" ca="1" si="689"/>
        <v>0</v>
      </c>
      <c r="DF246" s="378" t="str">
        <f t="shared" ca="1" si="690"/>
        <v/>
      </c>
      <c r="DG246" s="508" t="str">
        <f t="shared" ca="1" si="691"/>
        <v/>
      </c>
      <c r="DH246" s="508" t="str">
        <f t="shared" ca="1" si="692"/>
        <v/>
      </c>
      <c r="DI246" s="508" t="str">
        <f t="shared" ca="1" si="693"/>
        <v/>
      </c>
      <c r="DJ246" s="508" t="str">
        <f t="shared" ca="1" si="694"/>
        <v/>
      </c>
      <c r="DK246" s="353">
        <f t="shared" ca="1" si="695"/>
        <v>0</v>
      </c>
      <c r="DL246" s="781">
        <f t="shared" ca="1" si="696"/>
        <v>0</v>
      </c>
      <c r="DM246" s="303">
        <f t="shared" ca="1" si="697"/>
        <v>0</v>
      </c>
      <c r="DN246" s="508" t="str">
        <f t="shared" ca="1" si="698"/>
        <v/>
      </c>
      <c r="DO246" s="508" t="str">
        <f t="shared" ca="1" si="699"/>
        <v/>
      </c>
      <c r="DP246" s="508" t="str">
        <f t="shared" ca="1" si="700"/>
        <v/>
      </c>
      <c r="DQ246" s="508" t="str">
        <f t="shared" ca="1" si="701"/>
        <v/>
      </c>
      <c r="DR246" s="508" t="str">
        <f t="shared" ca="1" si="702"/>
        <v/>
      </c>
      <c r="DS246" s="353">
        <f t="shared" ca="1" si="703"/>
        <v>0</v>
      </c>
      <c r="DT246" s="353">
        <f t="shared" ca="1" si="704"/>
        <v>0</v>
      </c>
      <c r="DU246" s="380">
        <f t="shared" ca="1" si="804"/>
        <v>19.162217659137578</v>
      </c>
      <c r="DV246" s="303">
        <f t="shared" ca="1" si="705"/>
        <v>0</v>
      </c>
      <c r="DW246" s="303">
        <f t="shared" ca="1" si="706"/>
        <v>0</v>
      </c>
      <c r="DX246" s="303">
        <f t="shared" ca="1" si="707"/>
        <v>0</v>
      </c>
      <c r="DY246" s="303">
        <f t="shared" ca="1" si="708"/>
        <v>0</v>
      </c>
      <c r="DZ246" s="303">
        <f t="shared" ca="1" si="709"/>
        <v>0</v>
      </c>
      <c r="EA246" s="303">
        <f t="shared" ca="1" si="710"/>
        <v>0</v>
      </c>
      <c r="EB246" s="302">
        <f t="shared" ca="1" si="711"/>
        <v>0</v>
      </c>
      <c r="EC246" s="299">
        <f t="shared" ca="1" si="712"/>
        <v>0</v>
      </c>
      <c r="ED246" s="299">
        <f t="shared" ca="1" si="713"/>
        <v>0</v>
      </c>
      <c r="EE246" s="299">
        <f t="shared" ca="1" si="714"/>
        <v>0</v>
      </c>
      <c r="EF246" s="299">
        <f t="shared" ca="1" si="715"/>
        <v>0</v>
      </c>
      <c r="EG246" s="299">
        <f t="shared" ca="1" si="716"/>
        <v>0</v>
      </c>
      <c r="EH246" s="302">
        <f t="shared" ca="1" si="717"/>
        <v>0</v>
      </c>
      <c r="EI246" s="304" t="str">
        <f t="shared" ca="1" si="718"/>
        <v/>
      </c>
      <c r="EJ246" s="305" t="str">
        <f t="shared" ca="1" si="719"/>
        <v/>
      </c>
      <c r="EK246" s="305" t="str">
        <f t="shared" ca="1" si="720"/>
        <v/>
      </c>
      <c r="EL246" s="305" t="str">
        <f t="shared" ca="1" si="721"/>
        <v/>
      </c>
      <c r="EM246" s="305" t="str">
        <f t="shared" ca="1" si="722"/>
        <v/>
      </c>
      <c r="EN246" s="305" t="str">
        <f t="shared" ca="1" si="723"/>
        <v/>
      </c>
      <c r="EO246" s="305" t="str">
        <f t="shared" ca="1" si="724"/>
        <v/>
      </c>
      <c r="EP246" s="305" t="str">
        <f t="shared" ca="1" si="725"/>
        <v/>
      </c>
      <c r="EQ246" s="305" t="str">
        <f t="shared" ca="1" si="726"/>
        <v/>
      </c>
      <c r="ER246" s="305" t="str">
        <f t="shared" ca="1" si="727"/>
        <v/>
      </c>
      <c r="ES246" s="305" t="str">
        <f t="shared" ca="1" si="728"/>
        <v/>
      </c>
      <c r="ET246" s="299">
        <f t="shared" ca="1" si="729"/>
        <v>0</v>
      </c>
      <c r="EU246" s="302">
        <f t="shared" ca="1" si="730"/>
        <v>0</v>
      </c>
      <c r="EV246" s="304" t="str">
        <f t="shared" ca="1" si="731"/>
        <v/>
      </c>
      <c r="EW246" s="305" t="str">
        <f t="shared" ca="1" si="732"/>
        <v/>
      </c>
      <c r="EX246" s="305" t="str">
        <f t="shared" ca="1" si="733"/>
        <v/>
      </c>
      <c r="EY246" s="305" t="str">
        <f t="shared" ca="1" si="734"/>
        <v/>
      </c>
      <c r="EZ246" s="305" t="str">
        <f t="shared" ca="1" si="735"/>
        <v/>
      </c>
      <c r="FA246" s="305" t="str">
        <f t="shared" ca="1" si="736"/>
        <v/>
      </c>
      <c r="FB246" s="305" t="str">
        <f t="shared" ca="1" si="737"/>
        <v/>
      </c>
      <c r="FC246" s="305" t="str">
        <f t="shared" ca="1" si="738"/>
        <v/>
      </c>
      <c r="FD246" s="305" t="str">
        <f t="shared" ca="1" si="739"/>
        <v/>
      </c>
      <c r="FE246" s="305" t="str">
        <f t="shared" ca="1" si="740"/>
        <v/>
      </c>
      <c r="FF246" s="305" t="str">
        <f t="shared" ca="1" si="741"/>
        <v/>
      </c>
      <c r="FG246" s="299">
        <f t="shared" ca="1" si="742"/>
        <v>0</v>
      </c>
      <c r="FH246" s="302">
        <f t="shared" ca="1" si="743"/>
        <v>0</v>
      </c>
      <c r="FI246" s="248">
        <f t="shared" ca="1" si="744"/>
        <v>0</v>
      </c>
      <c r="FJ246" s="363">
        <f t="shared" ca="1" si="745"/>
        <v>0</v>
      </c>
      <c r="FK246" s="378" t="str">
        <f t="shared" ca="1" si="746"/>
        <v/>
      </c>
      <c r="FL246" s="508" t="str">
        <f t="shared" ca="1" si="747"/>
        <v/>
      </c>
      <c r="FM246" s="508" t="str">
        <f t="shared" ca="1" si="748"/>
        <v/>
      </c>
      <c r="FN246" s="508" t="str">
        <f t="shared" ca="1" si="749"/>
        <v/>
      </c>
      <c r="FO246" s="508" t="str">
        <f t="shared" ca="1" si="750"/>
        <v/>
      </c>
      <c r="FP246" s="353">
        <f t="shared" ca="1" si="751"/>
        <v>0</v>
      </c>
      <c r="FQ246" s="356">
        <f t="shared" ca="1" si="752"/>
        <v>0</v>
      </c>
      <c r="FR246" s="380">
        <f t="shared" ca="1" si="753"/>
        <v>0</v>
      </c>
      <c r="FS246" s="299">
        <f t="shared" ca="1" si="754"/>
        <v>0</v>
      </c>
      <c r="FT246" s="299">
        <f t="shared" ca="1" si="755"/>
        <v>0</v>
      </c>
      <c r="FU246" s="299">
        <f t="shared" ca="1" si="756"/>
        <v>0</v>
      </c>
      <c r="FV246" s="299">
        <f t="shared" ca="1" si="757"/>
        <v>0</v>
      </c>
      <c r="FW246" s="850" t="str">
        <f t="shared" ca="1" si="758"/>
        <v/>
      </c>
      <c r="FX246" s="851" t="str">
        <f t="shared" ca="1" si="759"/>
        <v/>
      </c>
      <c r="FY246" s="851" t="str">
        <f t="shared" ca="1" si="760"/>
        <v/>
      </c>
      <c r="FZ246" s="201" t="str">
        <f t="shared" ca="1" si="761"/>
        <v/>
      </c>
      <c r="GA246" s="201" t="str">
        <f t="shared" ca="1" si="762"/>
        <v/>
      </c>
      <c r="GB246" s="201" t="str">
        <f t="shared" ca="1" si="763"/>
        <v/>
      </c>
      <c r="GC246" s="201" t="str">
        <f t="shared" ca="1" si="764"/>
        <v/>
      </c>
      <c r="GD246" s="850" t="str">
        <f t="shared" ca="1" si="765"/>
        <v/>
      </c>
      <c r="GE246" s="866" t="str">
        <f t="shared" ca="1" si="766"/>
        <v/>
      </c>
      <c r="GF246" s="866" t="str">
        <f t="shared" ca="1" si="767"/>
        <v/>
      </c>
      <c r="GG246" s="866" t="str">
        <f t="shared" ca="1" si="768"/>
        <v/>
      </c>
      <c r="GH246" s="866" t="str">
        <f t="shared" ca="1" si="769"/>
        <v/>
      </c>
      <c r="GI246" s="302">
        <f t="shared" ca="1" si="770"/>
        <v>0</v>
      </c>
      <c r="GJ246" s="299">
        <f t="shared" ca="1" si="771"/>
        <v>0</v>
      </c>
      <c r="GK246" s="299">
        <f t="shared" ca="1" si="772"/>
        <v>0</v>
      </c>
      <c r="GL246" s="299">
        <f t="shared" ca="1" si="773"/>
        <v>0</v>
      </c>
      <c r="GM246" s="299">
        <f t="shared" ca="1" si="774"/>
        <v>0</v>
      </c>
      <c r="GN246" s="302">
        <f t="shared" ca="1" si="775"/>
        <v>0</v>
      </c>
      <c r="GO246" s="299">
        <f t="shared" ca="1" si="776"/>
        <v>0</v>
      </c>
      <c r="GP246" s="299">
        <f t="shared" ca="1" si="777"/>
        <v>0</v>
      </c>
      <c r="GQ246" s="299">
        <f t="shared" ca="1" si="778"/>
        <v>0</v>
      </c>
      <c r="GR246" s="299">
        <f t="shared" ca="1" si="779"/>
        <v>0</v>
      </c>
      <c r="GS246" s="302">
        <f t="shared" ca="1" si="780"/>
        <v>0</v>
      </c>
      <c r="GT246" s="299">
        <f t="shared" ca="1" si="781"/>
        <v>0</v>
      </c>
      <c r="GU246" s="299">
        <f t="shared" ca="1" si="782"/>
        <v>0</v>
      </c>
      <c r="GV246" s="299">
        <f t="shared" ca="1" si="783"/>
        <v>0</v>
      </c>
      <c r="GW246" s="299">
        <f t="shared" ca="1" si="784"/>
        <v>0</v>
      </c>
      <c r="GX246" s="303">
        <f t="shared" ca="1" si="785"/>
        <v>0</v>
      </c>
      <c r="GY246" s="303">
        <f t="shared" ca="1" si="786"/>
        <v>0</v>
      </c>
      <c r="GZ246" s="303">
        <f t="shared" ca="1" si="787"/>
        <v>0</v>
      </c>
      <c r="HA246" s="303">
        <f t="shared" ca="1" si="788"/>
        <v>0</v>
      </c>
      <c r="HB246" s="303">
        <f t="shared" ca="1" si="789"/>
        <v>0</v>
      </c>
      <c r="HC246" s="303">
        <f t="shared" ca="1" si="790"/>
        <v>0</v>
      </c>
      <c r="HD246" s="303">
        <f t="shared" ca="1" si="791"/>
        <v>0</v>
      </c>
      <c r="HE246" s="303">
        <f t="shared" ca="1" si="792"/>
        <v>0</v>
      </c>
      <c r="HF246" s="303">
        <f t="shared" ca="1" si="793"/>
        <v>0</v>
      </c>
      <c r="HG246" s="852">
        <f t="shared" ca="1" si="794"/>
        <v>0</v>
      </c>
    </row>
    <row r="247" spans="1:215" x14ac:dyDescent="0.25">
      <c r="A247" s="244">
        <f t="shared" ca="1" si="795"/>
        <v>43617</v>
      </c>
      <c r="B247" s="13">
        <f t="shared" ca="1" si="825"/>
        <v>2019</v>
      </c>
      <c r="C247" s="619">
        <f t="shared" ca="1" si="826"/>
        <v>6</v>
      </c>
      <c r="D247" s="195" t="str">
        <f t="shared" ca="1" si="625"/>
        <v/>
      </c>
      <c r="E247" s="469" t="str">
        <f t="shared" ca="1" si="626"/>
        <v/>
      </c>
      <c r="F247" s="465" t="str">
        <f t="shared" ca="1" si="627"/>
        <v/>
      </c>
      <c r="G247" s="522">
        <f t="shared" ca="1" si="796"/>
        <v>1</v>
      </c>
      <c r="H247" s="519">
        <f t="shared" ca="1" si="797"/>
        <v>1</v>
      </c>
      <c r="I247" s="724">
        <f t="shared" ca="1" si="827"/>
        <v>7.4172559180469E-2</v>
      </c>
      <c r="J247" s="198">
        <f t="shared" ca="1" si="629"/>
        <v>0.24376733681845814</v>
      </c>
      <c r="K247" s="200" t="e">
        <f t="shared" ca="1" si="805"/>
        <v>#N/A</v>
      </c>
      <c r="L247" s="201" t="e">
        <f t="shared" ca="1" si="806"/>
        <v>#N/A</v>
      </c>
      <c r="M247" s="206" t="e">
        <f t="shared" ca="1" si="807"/>
        <v>#N/A</v>
      </c>
      <c r="N247" s="851" t="e">
        <f t="shared" ca="1" si="811"/>
        <v>#N/A</v>
      </c>
      <c r="O247" s="201" t="e">
        <f t="shared" ca="1" si="812"/>
        <v>#N/A</v>
      </c>
      <c r="P247" s="206" t="e">
        <f t="shared" ca="1" si="813"/>
        <v>#N/A</v>
      </c>
      <c r="Q247" s="201" t="e">
        <f t="shared" ca="1" si="814"/>
        <v>#N/A</v>
      </c>
      <c r="R247" s="201" t="e">
        <f t="shared" ca="1" si="815"/>
        <v>#N/A</v>
      </c>
      <c r="S247" s="201" t="e">
        <f t="shared" ca="1" si="816"/>
        <v>#N/A</v>
      </c>
      <c r="T247" s="851" t="e">
        <f t="shared" ca="1" si="808"/>
        <v>#N/A</v>
      </c>
      <c r="U247" s="201" t="e">
        <f t="shared" ca="1" si="809"/>
        <v>#N/A</v>
      </c>
      <c r="V247" s="206" t="e">
        <f t="shared" ca="1" si="810"/>
        <v>#N/A</v>
      </c>
      <c r="W247" s="230" t="e">
        <f t="shared" ca="1" si="798"/>
        <v>#N/A</v>
      </c>
      <c r="X247" s="231" t="e">
        <f t="shared" ca="1" si="799"/>
        <v>#N/A</v>
      </c>
      <c r="Y247" s="232" t="e">
        <f t="shared" ca="1" si="800"/>
        <v>#N/A</v>
      </c>
      <c r="Z247" s="231" t="e">
        <f t="shared" ca="1" si="820"/>
        <v>#N/A</v>
      </c>
      <c r="AA247" s="231" t="e">
        <f t="shared" ca="1" si="821"/>
        <v>#N/A</v>
      </c>
      <c r="AB247" s="232" t="e">
        <f t="shared" ca="1" si="822"/>
        <v>#N/A</v>
      </c>
      <c r="AC247" s="231" t="e">
        <f t="shared" ca="1" si="823"/>
        <v>#N/A</v>
      </c>
      <c r="AD247" s="231" t="e">
        <f t="shared" ca="1" si="824"/>
        <v>#N/A</v>
      </c>
      <c r="AE247" s="232" t="e">
        <f t="shared" ca="1" si="630"/>
        <v>#N/A</v>
      </c>
      <c r="AF247" s="231" t="e">
        <f t="shared" ca="1" si="801"/>
        <v>#N/A</v>
      </c>
      <c r="AG247" s="231" t="e">
        <f t="shared" ca="1" si="802"/>
        <v>#N/A</v>
      </c>
      <c r="AH247" s="232" t="e">
        <f t="shared" ca="1" si="803"/>
        <v>#N/A</v>
      </c>
      <c r="AI247" s="233" t="e">
        <f t="shared" ca="1" si="631"/>
        <v>#N/A</v>
      </c>
      <c r="AJ247" s="233" t="e">
        <f t="shared" ca="1" si="632"/>
        <v>#N/A</v>
      </c>
      <c r="AK247" s="234" t="e">
        <f t="shared" ca="1" si="633"/>
        <v>#N/A</v>
      </c>
      <c r="AL247" s="919" t="e">
        <f t="shared" ca="1" si="634"/>
        <v>#N/A</v>
      </c>
      <c r="AM247" s="233" t="e">
        <f t="shared" ca="1" si="635"/>
        <v>#N/A</v>
      </c>
      <c r="AN247" s="234" t="e">
        <f t="shared" ca="1" si="636"/>
        <v>#N/A</v>
      </c>
      <c r="AO247" s="233" t="e">
        <f t="shared" ca="1" si="637"/>
        <v>#N/A</v>
      </c>
      <c r="AP247" s="233" t="e">
        <f t="shared" ca="1" si="638"/>
        <v>#N/A</v>
      </c>
      <c r="AQ247" s="233" t="e">
        <f t="shared" ca="1" si="639"/>
        <v>#N/A</v>
      </c>
      <c r="AR247" s="919" t="e">
        <f t="shared" ca="1" si="640"/>
        <v>#N/A</v>
      </c>
      <c r="AS247" s="233" t="e">
        <f t="shared" ca="1" si="641"/>
        <v>#N/A</v>
      </c>
      <c r="AT247" s="235" t="e">
        <f t="shared" ca="1" si="642"/>
        <v>#N/A</v>
      </c>
      <c r="AU247" s="946">
        <f t="shared" si="643"/>
        <v>0.5</v>
      </c>
      <c r="AV247" s="13">
        <f t="shared" ca="1" si="644"/>
        <v>0</v>
      </c>
      <c r="AW247" s="210">
        <f t="shared" ca="1" si="645"/>
        <v>0</v>
      </c>
      <c r="AX247" s="210">
        <f t="shared" ca="1" si="646"/>
        <v>0</v>
      </c>
      <c r="AY247" s="210">
        <f t="shared" ca="1" si="647"/>
        <v>0</v>
      </c>
      <c r="AZ247" s="13">
        <f t="shared" ca="1" si="648"/>
        <v>0</v>
      </c>
      <c r="BA247" s="357">
        <f ca="1"/>
        <v>0</v>
      </c>
      <c r="BB247" s="925">
        <f ca="1"/>
        <v>0</v>
      </c>
      <c r="BC247" s="925">
        <f ca="1"/>
        <v>0</v>
      </c>
      <c r="BD247" s="928">
        <f ca="1"/>
        <v>0</v>
      </c>
      <c r="BE247" s="200">
        <f ca="1"/>
        <v>0</v>
      </c>
      <c r="BF247" s="851">
        <f ca="1"/>
        <v>0</v>
      </c>
      <c r="BG247" s="851">
        <f ca="1"/>
        <v>0</v>
      </c>
      <c r="BH247" s="933">
        <f ca="1"/>
        <v>0</v>
      </c>
      <c r="BI247" s="357">
        <f ca="1"/>
        <v>0</v>
      </c>
      <c r="BJ247" s="925">
        <f ca="1"/>
        <v>0</v>
      </c>
      <c r="BK247" s="925">
        <f ca="1"/>
        <v>0</v>
      </c>
      <c r="BL247" s="928">
        <f ca="1"/>
        <v>0</v>
      </c>
      <c r="BM247" s="200">
        <f ca="1"/>
        <v>0</v>
      </c>
      <c r="BN247" s="851">
        <f ca="1"/>
        <v>0</v>
      </c>
      <c r="BO247" s="851">
        <f ca="1"/>
        <v>0</v>
      </c>
      <c r="BP247" s="933">
        <f ca="1"/>
        <v>0</v>
      </c>
      <c r="BQ247" s="357">
        <f t="shared" ca="1" si="649"/>
        <v>0</v>
      </c>
      <c r="BR247" s="361">
        <f t="shared" ca="1" si="650"/>
        <v>0</v>
      </c>
      <c r="BS247" s="357">
        <f t="shared" ca="1" si="651"/>
        <v>0</v>
      </c>
      <c r="BT247" s="302">
        <f t="shared" ca="1" si="652"/>
        <v>0</v>
      </c>
      <c r="BU247" s="299">
        <f t="shared" ca="1" si="653"/>
        <v>0</v>
      </c>
      <c r="BV247" s="299">
        <f t="shared" ca="1" si="654"/>
        <v>0</v>
      </c>
      <c r="BW247" s="299">
        <f t="shared" ca="1" si="655"/>
        <v>0</v>
      </c>
      <c r="BX247" s="380">
        <f t="shared" ca="1" si="656"/>
        <v>19.247091033538673</v>
      </c>
      <c r="BY247" s="363">
        <f t="shared" ca="1" si="657"/>
        <v>0</v>
      </c>
      <c r="BZ247" s="353">
        <f t="shared" ca="1" si="658"/>
        <v>0</v>
      </c>
      <c r="CA247" s="353">
        <f t="shared" ca="1" si="659"/>
        <v>0</v>
      </c>
      <c r="CB247" s="353">
        <f t="shared" ca="1" si="660"/>
        <v>0</v>
      </c>
      <c r="CC247" s="353">
        <f t="shared" ca="1" si="661"/>
        <v>0</v>
      </c>
      <c r="CD247" s="353">
        <f t="shared" ca="1" si="662"/>
        <v>0</v>
      </c>
      <c r="CE247" s="302">
        <f t="shared" ca="1" si="663"/>
        <v>0</v>
      </c>
      <c r="CF247" s="299">
        <f t="shared" ca="1" si="664"/>
        <v>0</v>
      </c>
      <c r="CG247" s="299">
        <f t="shared" ca="1" si="665"/>
        <v>0</v>
      </c>
      <c r="CH247" s="299">
        <f t="shared" ca="1" si="666"/>
        <v>0</v>
      </c>
      <c r="CI247" s="299">
        <f t="shared" ca="1" si="667"/>
        <v>0</v>
      </c>
      <c r="CJ247" s="299">
        <f t="shared" ca="1" si="668"/>
        <v>0</v>
      </c>
      <c r="CK247" s="299">
        <f t="shared" ca="1" si="669"/>
        <v>0</v>
      </c>
      <c r="CL247" s="377" t="str">
        <f t="shared" ca="1" si="670"/>
        <v/>
      </c>
      <c r="CM247" s="305" t="str">
        <f t="shared" ca="1" si="671"/>
        <v/>
      </c>
      <c r="CN247" s="305" t="str">
        <f t="shared" ca="1" si="672"/>
        <v/>
      </c>
      <c r="CO247" s="305" t="str">
        <f t="shared" ca="1" si="673"/>
        <v/>
      </c>
      <c r="CP247" s="305" t="str">
        <f t="shared" ca="1" si="674"/>
        <v/>
      </c>
      <c r="CQ247" s="305" t="str">
        <f t="shared" ca="1" si="675"/>
        <v/>
      </c>
      <c r="CR247" s="775" t="str">
        <f t="shared" ca="1" si="676"/>
        <v/>
      </c>
      <c r="CS247" s="305" t="str">
        <f t="shared" ca="1" si="677"/>
        <v/>
      </c>
      <c r="CT247" s="305" t="str">
        <f t="shared" ca="1" si="678"/>
        <v/>
      </c>
      <c r="CU247" s="305" t="str">
        <f t="shared" ca="1" si="679"/>
        <v/>
      </c>
      <c r="CV247" s="770" t="str">
        <f t="shared" ca="1" si="680"/>
        <v/>
      </c>
      <c r="CW247" s="302">
        <f t="shared" ca="1" si="681"/>
        <v>0</v>
      </c>
      <c r="CX247" s="299">
        <f t="shared" ca="1" si="682"/>
        <v>0</v>
      </c>
      <c r="CY247" s="299">
        <f t="shared" ca="1" si="683"/>
        <v>0</v>
      </c>
      <c r="CZ247" s="299">
        <f t="shared" ca="1" si="684"/>
        <v>0</v>
      </c>
      <c r="DA247" s="774">
        <f t="shared" ca="1" si="685"/>
        <v>0</v>
      </c>
      <c r="DB247" s="303">
        <f t="shared" ca="1" si="686"/>
        <v>0</v>
      </c>
      <c r="DC247" s="248">
        <f t="shared" ca="1" si="687"/>
        <v>0</v>
      </c>
      <c r="DD247" s="778">
        <f t="shared" ca="1" si="688"/>
        <v>0</v>
      </c>
      <c r="DE247" s="363">
        <f t="shared" ca="1" si="689"/>
        <v>0</v>
      </c>
      <c r="DF247" s="378" t="str">
        <f t="shared" ca="1" si="690"/>
        <v/>
      </c>
      <c r="DG247" s="508" t="str">
        <f t="shared" ca="1" si="691"/>
        <v/>
      </c>
      <c r="DH247" s="508" t="str">
        <f t="shared" ca="1" si="692"/>
        <v/>
      </c>
      <c r="DI247" s="508" t="str">
        <f t="shared" ca="1" si="693"/>
        <v/>
      </c>
      <c r="DJ247" s="508" t="str">
        <f t="shared" ca="1" si="694"/>
        <v/>
      </c>
      <c r="DK247" s="353">
        <f t="shared" ca="1" si="695"/>
        <v>0</v>
      </c>
      <c r="DL247" s="781">
        <f t="shared" ca="1" si="696"/>
        <v>0</v>
      </c>
      <c r="DM247" s="303">
        <f t="shared" ca="1" si="697"/>
        <v>0</v>
      </c>
      <c r="DN247" s="508" t="str">
        <f t="shared" ca="1" si="698"/>
        <v/>
      </c>
      <c r="DO247" s="508" t="str">
        <f t="shared" ca="1" si="699"/>
        <v/>
      </c>
      <c r="DP247" s="508" t="str">
        <f t="shared" ca="1" si="700"/>
        <v/>
      </c>
      <c r="DQ247" s="508" t="str">
        <f t="shared" ca="1" si="701"/>
        <v/>
      </c>
      <c r="DR247" s="508" t="str">
        <f t="shared" ca="1" si="702"/>
        <v/>
      </c>
      <c r="DS247" s="353">
        <f t="shared" ca="1" si="703"/>
        <v>0</v>
      </c>
      <c r="DT247" s="353">
        <f t="shared" ca="1" si="704"/>
        <v>0</v>
      </c>
      <c r="DU247" s="380">
        <f t="shared" ca="1" si="804"/>
        <v>19.247091033538673</v>
      </c>
      <c r="DV247" s="303">
        <f t="shared" ca="1" si="705"/>
        <v>0</v>
      </c>
      <c r="DW247" s="303">
        <f t="shared" ca="1" si="706"/>
        <v>0</v>
      </c>
      <c r="DX247" s="303">
        <f t="shared" ca="1" si="707"/>
        <v>0</v>
      </c>
      <c r="DY247" s="303">
        <f t="shared" ca="1" si="708"/>
        <v>0</v>
      </c>
      <c r="DZ247" s="303">
        <f t="shared" ca="1" si="709"/>
        <v>0</v>
      </c>
      <c r="EA247" s="303">
        <f t="shared" ca="1" si="710"/>
        <v>0</v>
      </c>
      <c r="EB247" s="302">
        <f t="shared" ca="1" si="711"/>
        <v>0</v>
      </c>
      <c r="EC247" s="299">
        <f t="shared" ca="1" si="712"/>
        <v>0</v>
      </c>
      <c r="ED247" s="299">
        <f t="shared" ca="1" si="713"/>
        <v>0</v>
      </c>
      <c r="EE247" s="299">
        <f t="shared" ca="1" si="714"/>
        <v>0</v>
      </c>
      <c r="EF247" s="299">
        <f t="shared" ca="1" si="715"/>
        <v>0</v>
      </c>
      <c r="EG247" s="299">
        <f t="shared" ca="1" si="716"/>
        <v>0</v>
      </c>
      <c r="EH247" s="302">
        <f t="shared" ca="1" si="717"/>
        <v>0</v>
      </c>
      <c r="EI247" s="304" t="str">
        <f t="shared" ca="1" si="718"/>
        <v/>
      </c>
      <c r="EJ247" s="305" t="str">
        <f t="shared" ca="1" si="719"/>
        <v/>
      </c>
      <c r="EK247" s="305" t="str">
        <f t="shared" ca="1" si="720"/>
        <v/>
      </c>
      <c r="EL247" s="305" t="str">
        <f t="shared" ca="1" si="721"/>
        <v/>
      </c>
      <c r="EM247" s="305" t="str">
        <f t="shared" ca="1" si="722"/>
        <v/>
      </c>
      <c r="EN247" s="305" t="str">
        <f t="shared" ca="1" si="723"/>
        <v/>
      </c>
      <c r="EO247" s="305" t="str">
        <f t="shared" ca="1" si="724"/>
        <v/>
      </c>
      <c r="EP247" s="305" t="str">
        <f t="shared" ca="1" si="725"/>
        <v/>
      </c>
      <c r="EQ247" s="305" t="str">
        <f t="shared" ca="1" si="726"/>
        <v/>
      </c>
      <c r="ER247" s="305" t="str">
        <f t="shared" ca="1" si="727"/>
        <v/>
      </c>
      <c r="ES247" s="305" t="str">
        <f t="shared" ca="1" si="728"/>
        <v/>
      </c>
      <c r="ET247" s="299">
        <f t="shared" ca="1" si="729"/>
        <v>0</v>
      </c>
      <c r="EU247" s="302">
        <f t="shared" ca="1" si="730"/>
        <v>0</v>
      </c>
      <c r="EV247" s="304" t="str">
        <f t="shared" ca="1" si="731"/>
        <v/>
      </c>
      <c r="EW247" s="305" t="str">
        <f t="shared" ca="1" si="732"/>
        <v/>
      </c>
      <c r="EX247" s="305" t="str">
        <f t="shared" ca="1" si="733"/>
        <v/>
      </c>
      <c r="EY247" s="305" t="str">
        <f t="shared" ca="1" si="734"/>
        <v/>
      </c>
      <c r="EZ247" s="305" t="str">
        <f t="shared" ca="1" si="735"/>
        <v/>
      </c>
      <c r="FA247" s="305" t="str">
        <f t="shared" ca="1" si="736"/>
        <v/>
      </c>
      <c r="FB247" s="305" t="str">
        <f t="shared" ca="1" si="737"/>
        <v/>
      </c>
      <c r="FC247" s="305" t="str">
        <f t="shared" ca="1" si="738"/>
        <v/>
      </c>
      <c r="FD247" s="305" t="str">
        <f t="shared" ca="1" si="739"/>
        <v/>
      </c>
      <c r="FE247" s="305" t="str">
        <f t="shared" ca="1" si="740"/>
        <v/>
      </c>
      <c r="FF247" s="305" t="str">
        <f t="shared" ca="1" si="741"/>
        <v/>
      </c>
      <c r="FG247" s="299">
        <f t="shared" ca="1" si="742"/>
        <v>0</v>
      </c>
      <c r="FH247" s="302">
        <f t="shared" ca="1" si="743"/>
        <v>0</v>
      </c>
      <c r="FI247" s="248">
        <f t="shared" ca="1" si="744"/>
        <v>0</v>
      </c>
      <c r="FJ247" s="363">
        <f t="shared" ca="1" si="745"/>
        <v>0</v>
      </c>
      <c r="FK247" s="378" t="str">
        <f t="shared" ca="1" si="746"/>
        <v/>
      </c>
      <c r="FL247" s="508" t="str">
        <f t="shared" ca="1" si="747"/>
        <v/>
      </c>
      <c r="FM247" s="508" t="str">
        <f t="shared" ca="1" si="748"/>
        <v/>
      </c>
      <c r="FN247" s="508" t="str">
        <f t="shared" ca="1" si="749"/>
        <v/>
      </c>
      <c r="FO247" s="508" t="str">
        <f t="shared" ca="1" si="750"/>
        <v/>
      </c>
      <c r="FP247" s="353">
        <f t="shared" ca="1" si="751"/>
        <v>0</v>
      </c>
      <c r="FQ247" s="356">
        <f t="shared" ca="1" si="752"/>
        <v>0</v>
      </c>
      <c r="FR247" s="380">
        <f t="shared" ca="1" si="753"/>
        <v>0</v>
      </c>
      <c r="FS247" s="299">
        <f t="shared" ca="1" si="754"/>
        <v>0</v>
      </c>
      <c r="FT247" s="299">
        <f t="shared" ca="1" si="755"/>
        <v>0</v>
      </c>
      <c r="FU247" s="299">
        <f t="shared" ca="1" si="756"/>
        <v>0</v>
      </c>
      <c r="FV247" s="299">
        <f t="shared" ca="1" si="757"/>
        <v>0</v>
      </c>
      <c r="FW247" s="850" t="str">
        <f t="shared" ca="1" si="758"/>
        <v/>
      </c>
      <c r="FX247" s="851" t="str">
        <f t="shared" ca="1" si="759"/>
        <v/>
      </c>
      <c r="FY247" s="851" t="str">
        <f t="shared" ca="1" si="760"/>
        <v/>
      </c>
      <c r="FZ247" s="201" t="str">
        <f t="shared" ca="1" si="761"/>
        <v/>
      </c>
      <c r="GA247" s="201" t="str">
        <f t="shared" ca="1" si="762"/>
        <v/>
      </c>
      <c r="GB247" s="201" t="str">
        <f t="shared" ca="1" si="763"/>
        <v/>
      </c>
      <c r="GC247" s="201" t="str">
        <f t="shared" ca="1" si="764"/>
        <v/>
      </c>
      <c r="GD247" s="850" t="str">
        <f t="shared" ca="1" si="765"/>
        <v/>
      </c>
      <c r="GE247" s="866" t="str">
        <f t="shared" ca="1" si="766"/>
        <v/>
      </c>
      <c r="GF247" s="866" t="str">
        <f t="shared" ca="1" si="767"/>
        <v/>
      </c>
      <c r="GG247" s="866" t="str">
        <f t="shared" ca="1" si="768"/>
        <v/>
      </c>
      <c r="GH247" s="866" t="str">
        <f t="shared" ca="1" si="769"/>
        <v/>
      </c>
      <c r="GI247" s="302">
        <f t="shared" ca="1" si="770"/>
        <v>0</v>
      </c>
      <c r="GJ247" s="299">
        <f t="shared" ca="1" si="771"/>
        <v>0</v>
      </c>
      <c r="GK247" s="299">
        <f t="shared" ca="1" si="772"/>
        <v>0</v>
      </c>
      <c r="GL247" s="299">
        <f t="shared" ca="1" si="773"/>
        <v>0</v>
      </c>
      <c r="GM247" s="299">
        <f t="shared" ca="1" si="774"/>
        <v>0</v>
      </c>
      <c r="GN247" s="302">
        <f t="shared" ca="1" si="775"/>
        <v>0</v>
      </c>
      <c r="GO247" s="299">
        <f t="shared" ca="1" si="776"/>
        <v>0</v>
      </c>
      <c r="GP247" s="299">
        <f t="shared" ca="1" si="777"/>
        <v>0</v>
      </c>
      <c r="GQ247" s="299">
        <f t="shared" ca="1" si="778"/>
        <v>0</v>
      </c>
      <c r="GR247" s="299">
        <f t="shared" ca="1" si="779"/>
        <v>0</v>
      </c>
      <c r="GS247" s="302">
        <f t="shared" ca="1" si="780"/>
        <v>0</v>
      </c>
      <c r="GT247" s="299">
        <f t="shared" ca="1" si="781"/>
        <v>0</v>
      </c>
      <c r="GU247" s="299">
        <f t="shared" ca="1" si="782"/>
        <v>0</v>
      </c>
      <c r="GV247" s="299">
        <f t="shared" ca="1" si="783"/>
        <v>0</v>
      </c>
      <c r="GW247" s="299">
        <f t="shared" ca="1" si="784"/>
        <v>0</v>
      </c>
      <c r="GX247" s="303">
        <f t="shared" ca="1" si="785"/>
        <v>0</v>
      </c>
      <c r="GY247" s="303">
        <f t="shared" ca="1" si="786"/>
        <v>0</v>
      </c>
      <c r="GZ247" s="303">
        <f t="shared" ca="1" si="787"/>
        <v>0</v>
      </c>
      <c r="HA247" s="303">
        <f t="shared" ca="1" si="788"/>
        <v>0</v>
      </c>
      <c r="HB247" s="303">
        <f t="shared" ca="1" si="789"/>
        <v>0</v>
      </c>
      <c r="HC247" s="303">
        <f t="shared" ca="1" si="790"/>
        <v>0</v>
      </c>
      <c r="HD247" s="303">
        <f t="shared" ca="1" si="791"/>
        <v>0</v>
      </c>
      <c r="HE247" s="303">
        <f t="shared" ca="1" si="792"/>
        <v>0</v>
      </c>
      <c r="HF247" s="303">
        <f t="shared" ca="1" si="793"/>
        <v>0</v>
      </c>
      <c r="HG247" s="852">
        <f t="shared" ca="1" si="794"/>
        <v>0</v>
      </c>
    </row>
    <row r="248" spans="1:215" x14ac:dyDescent="0.25">
      <c r="A248" s="244">
        <f t="shared" ca="1" si="795"/>
        <v>43647</v>
      </c>
      <c r="B248" s="13">
        <f t="shared" ca="1" si="825"/>
        <v>2019</v>
      </c>
      <c r="C248" s="619">
        <f t="shared" ca="1" si="826"/>
        <v>7</v>
      </c>
      <c r="D248" s="195">
        <f t="shared" ca="1" si="625"/>
        <v>43650</v>
      </c>
      <c r="E248" s="469" t="str">
        <f t="shared" ca="1" si="626"/>
        <v/>
      </c>
      <c r="F248" s="465" t="str">
        <f t="shared" ca="1" si="627"/>
        <v/>
      </c>
      <c r="G248" s="522">
        <f t="shared" ca="1" si="796"/>
        <v>1</v>
      </c>
      <c r="H248" s="519">
        <f t="shared" ca="1" si="797"/>
        <v>1</v>
      </c>
      <c r="I248" s="724">
        <f t="shared" ca="1" si="827"/>
        <v>7.4172273969617994E-2</v>
      </c>
      <c r="J248" s="198">
        <f t="shared" ca="1" si="629"/>
        <v>0.24226647016672831</v>
      </c>
      <c r="K248" s="200" t="e">
        <f t="shared" ca="1" si="805"/>
        <v>#N/A</v>
      </c>
      <c r="L248" s="201" t="e">
        <f t="shared" ca="1" si="806"/>
        <v>#N/A</v>
      </c>
      <c r="M248" s="206" t="e">
        <f t="shared" ca="1" si="807"/>
        <v>#N/A</v>
      </c>
      <c r="N248" s="851" t="e">
        <f t="shared" ca="1" si="811"/>
        <v>#N/A</v>
      </c>
      <c r="O248" s="201" t="e">
        <f t="shared" ca="1" si="812"/>
        <v>#N/A</v>
      </c>
      <c r="P248" s="206" t="e">
        <f t="shared" ca="1" si="813"/>
        <v>#N/A</v>
      </c>
      <c r="Q248" s="201" t="e">
        <f t="shared" ca="1" si="814"/>
        <v>#N/A</v>
      </c>
      <c r="R248" s="201" t="e">
        <f t="shared" ca="1" si="815"/>
        <v>#N/A</v>
      </c>
      <c r="S248" s="201" t="e">
        <f t="shared" ca="1" si="816"/>
        <v>#N/A</v>
      </c>
      <c r="T248" s="851" t="e">
        <f t="shared" ca="1" si="808"/>
        <v>#N/A</v>
      </c>
      <c r="U248" s="201" t="e">
        <f t="shared" ca="1" si="809"/>
        <v>#N/A</v>
      </c>
      <c r="V248" s="206" t="e">
        <f t="shared" ca="1" si="810"/>
        <v>#N/A</v>
      </c>
      <c r="W248" s="230" t="e">
        <f t="shared" ca="1" si="798"/>
        <v>#N/A</v>
      </c>
      <c r="X248" s="231" t="e">
        <f t="shared" ca="1" si="799"/>
        <v>#N/A</v>
      </c>
      <c r="Y248" s="232" t="e">
        <f t="shared" ca="1" si="800"/>
        <v>#N/A</v>
      </c>
      <c r="Z248" s="231" t="e">
        <f t="shared" ca="1" si="820"/>
        <v>#N/A</v>
      </c>
      <c r="AA248" s="231" t="e">
        <f t="shared" ca="1" si="821"/>
        <v>#N/A</v>
      </c>
      <c r="AB248" s="232" t="e">
        <f t="shared" ca="1" si="822"/>
        <v>#N/A</v>
      </c>
      <c r="AC248" s="231" t="e">
        <f t="shared" ca="1" si="823"/>
        <v>#N/A</v>
      </c>
      <c r="AD248" s="231" t="e">
        <f t="shared" ca="1" si="824"/>
        <v>#N/A</v>
      </c>
      <c r="AE248" s="232" t="e">
        <f t="shared" ca="1" si="630"/>
        <v>#N/A</v>
      </c>
      <c r="AF248" s="231" t="e">
        <f t="shared" ca="1" si="801"/>
        <v>#N/A</v>
      </c>
      <c r="AG248" s="231" t="e">
        <f t="shared" ca="1" si="802"/>
        <v>#N/A</v>
      </c>
      <c r="AH248" s="232" t="e">
        <f t="shared" ca="1" si="803"/>
        <v>#N/A</v>
      </c>
      <c r="AI248" s="233" t="e">
        <f t="shared" ca="1" si="631"/>
        <v>#N/A</v>
      </c>
      <c r="AJ248" s="233" t="e">
        <f t="shared" ca="1" si="632"/>
        <v>#N/A</v>
      </c>
      <c r="AK248" s="234" t="e">
        <f t="shared" ca="1" si="633"/>
        <v>#N/A</v>
      </c>
      <c r="AL248" s="919" t="e">
        <f t="shared" ca="1" si="634"/>
        <v>#N/A</v>
      </c>
      <c r="AM248" s="233" t="e">
        <f t="shared" ca="1" si="635"/>
        <v>#N/A</v>
      </c>
      <c r="AN248" s="234" t="e">
        <f t="shared" ca="1" si="636"/>
        <v>#N/A</v>
      </c>
      <c r="AO248" s="233" t="e">
        <f t="shared" ca="1" si="637"/>
        <v>#N/A</v>
      </c>
      <c r="AP248" s="233" t="e">
        <f t="shared" ca="1" si="638"/>
        <v>#N/A</v>
      </c>
      <c r="AQ248" s="233" t="e">
        <f t="shared" ca="1" si="639"/>
        <v>#N/A</v>
      </c>
      <c r="AR248" s="919" t="e">
        <f t="shared" ca="1" si="640"/>
        <v>#N/A</v>
      </c>
      <c r="AS248" s="233" t="e">
        <f t="shared" ca="1" si="641"/>
        <v>#N/A</v>
      </c>
      <c r="AT248" s="235" t="e">
        <f t="shared" ca="1" si="642"/>
        <v>#N/A</v>
      </c>
      <c r="AU248" s="946">
        <f t="shared" si="643"/>
        <v>0.5</v>
      </c>
      <c r="AV248" s="13">
        <f t="shared" ca="1" si="644"/>
        <v>0</v>
      </c>
      <c r="AW248" s="210">
        <f t="shared" ca="1" si="645"/>
        <v>0</v>
      </c>
      <c r="AX248" s="210">
        <f t="shared" ca="1" si="646"/>
        <v>0</v>
      </c>
      <c r="AY248" s="210">
        <f t="shared" ca="1" si="647"/>
        <v>0</v>
      </c>
      <c r="AZ248" s="13">
        <f t="shared" ca="1" si="648"/>
        <v>0</v>
      </c>
      <c r="BA248" s="357">
        <f ca="1"/>
        <v>0</v>
      </c>
      <c r="BB248" s="925">
        <f ca="1"/>
        <v>0</v>
      </c>
      <c r="BC248" s="925">
        <f ca="1"/>
        <v>0</v>
      </c>
      <c r="BD248" s="928">
        <f ca="1"/>
        <v>0</v>
      </c>
      <c r="BE248" s="200">
        <f ca="1"/>
        <v>0</v>
      </c>
      <c r="BF248" s="851">
        <f ca="1"/>
        <v>0</v>
      </c>
      <c r="BG248" s="851">
        <f ca="1"/>
        <v>0</v>
      </c>
      <c r="BH248" s="933">
        <f ca="1"/>
        <v>0</v>
      </c>
      <c r="BI248" s="357">
        <f ca="1"/>
        <v>0</v>
      </c>
      <c r="BJ248" s="925">
        <f ca="1"/>
        <v>0</v>
      </c>
      <c r="BK248" s="925">
        <f ca="1"/>
        <v>0</v>
      </c>
      <c r="BL248" s="928">
        <f ca="1"/>
        <v>0</v>
      </c>
      <c r="BM248" s="200">
        <f ca="1"/>
        <v>0</v>
      </c>
      <c r="BN248" s="851">
        <f ca="1"/>
        <v>0</v>
      </c>
      <c r="BO248" s="851">
        <f ca="1"/>
        <v>0</v>
      </c>
      <c r="BP248" s="933">
        <f ca="1"/>
        <v>0</v>
      </c>
      <c r="BQ248" s="357">
        <f t="shared" ca="1" si="649"/>
        <v>0</v>
      </c>
      <c r="BR248" s="361">
        <f t="shared" ca="1" si="650"/>
        <v>0</v>
      </c>
      <c r="BS248" s="357">
        <f t="shared" ca="1" si="651"/>
        <v>0</v>
      </c>
      <c r="BT248" s="302">
        <f t="shared" ca="1" si="652"/>
        <v>0</v>
      </c>
      <c r="BU248" s="299">
        <f t="shared" ca="1" si="653"/>
        <v>0</v>
      </c>
      <c r="BV248" s="299">
        <f t="shared" ca="1" si="654"/>
        <v>0</v>
      </c>
      <c r="BW248" s="299">
        <f t="shared" ca="1" si="655"/>
        <v>0</v>
      </c>
      <c r="BX248" s="380">
        <f t="shared" ca="1" si="656"/>
        <v>19.329226557152634</v>
      </c>
      <c r="BY248" s="363">
        <f t="shared" ca="1" si="657"/>
        <v>0</v>
      </c>
      <c r="BZ248" s="353">
        <f t="shared" ca="1" si="658"/>
        <v>0</v>
      </c>
      <c r="CA248" s="353">
        <f t="shared" ca="1" si="659"/>
        <v>0</v>
      </c>
      <c r="CB248" s="353">
        <f t="shared" ca="1" si="660"/>
        <v>0</v>
      </c>
      <c r="CC248" s="353">
        <f t="shared" ca="1" si="661"/>
        <v>0</v>
      </c>
      <c r="CD248" s="353">
        <f t="shared" ca="1" si="662"/>
        <v>0</v>
      </c>
      <c r="CE248" s="302">
        <f t="shared" ca="1" si="663"/>
        <v>0</v>
      </c>
      <c r="CF248" s="299">
        <f t="shared" ca="1" si="664"/>
        <v>0</v>
      </c>
      <c r="CG248" s="299">
        <f t="shared" ca="1" si="665"/>
        <v>0</v>
      </c>
      <c r="CH248" s="299">
        <f t="shared" ca="1" si="666"/>
        <v>0</v>
      </c>
      <c r="CI248" s="299">
        <f t="shared" ca="1" si="667"/>
        <v>0</v>
      </c>
      <c r="CJ248" s="299">
        <f t="shared" ca="1" si="668"/>
        <v>0</v>
      </c>
      <c r="CK248" s="299">
        <f t="shared" ca="1" si="669"/>
        <v>0</v>
      </c>
      <c r="CL248" s="377" t="str">
        <f t="shared" ca="1" si="670"/>
        <v/>
      </c>
      <c r="CM248" s="305" t="str">
        <f t="shared" ca="1" si="671"/>
        <v/>
      </c>
      <c r="CN248" s="305" t="str">
        <f t="shared" ca="1" si="672"/>
        <v/>
      </c>
      <c r="CO248" s="305" t="str">
        <f t="shared" ca="1" si="673"/>
        <v/>
      </c>
      <c r="CP248" s="305" t="str">
        <f t="shared" ca="1" si="674"/>
        <v/>
      </c>
      <c r="CQ248" s="305" t="str">
        <f t="shared" ca="1" si="675"/>
        <v/>
      </c>
      <c r="CR248" s="775" t="str">
        <f t="shared" ca="1" si="676"/>
        <v/>
      </c>
      <c r="CS248" s="305" t="str">
        <f t="shared" ca="1" si="677"/>
        <v/>
      </c>
      <c r="CT248" s="305" t="str">
        <f t="shared" ca="1" si="678"/>
        <v/>
      </c>
      <c r="CU248" s="305" t="str">
        <f t="shared" ca="1" si="679"/>
        <v/>
      </c>
      <c r="CV248" s="770" t="str">
        <f t="shared" ca="1" si="680"/>
        <v/>
      </c>
      <c r="CW248" s="302">
        <f t="shared" ca="1" si="681"/>
        <v>0</v>
      </c>
      <c r="CX248" s="299">
        <f t="shared" ca="1" si="682"/>
        <v>0</v>
      </c>
      <c r="CY248" s="299">
        <f t="shared" ca="1" si="683"/>
        <v>0</v>
      </c>
      <c r="CZ248" s="299">
        <f t="shared" ca="1" si="684"/>
        <v>0</v>
      </c>
      <c r="DA248" s="774">
        <f t="shared" ca="1" si="685"/>
        <v>0</v>
      </c>
      <c r="DB248" s="303">
        <f t="shared" ca="1" si="686"/>
        <v>0</v>
      </c>
      <c r="DC248" s="248">
        <f t="shared" ca="1" si="687"/>
        <v>0</v>
      </c>
      <c r="DD248" s="778">
        <f t="shared" ca="1" si="688"/>
        <v>0</v>
      </c>
      <c r="DE248" s="363">
        <f t="shared" ca="1" si="689"/>
        <v>0</v>
      </c>
      <c r="DF248" s="378" t="str">
        <f t="shared" ca="1" si="690"/>
        <v/>
      </c>
      <c r="DG248" s="508" t="str">
        <f t="shared" ca="1" si="691"/>
        <v/>
      </c>
      <c r="DH248" s="508" t="str">
        <f t="shared" ca="1" si="692"/>
        <v/>
      </c>
      <c r="DI248" s="508" t="str">
        <f t="shared" ca="1" si="693"/>
        <v/>
      </c>
      <c r="DJ248" s="508" t="str">
        <f t="shared" ca="1" si="694"/>
        <v/>
      </c>
      <c r="DK248" s="353">
        <f t="shared" ca="1" si="695"/>
        <v>0</v>
      </c>
      <c r="DL248" s="781">
        <f t="shared" ca="1" si="696"/>
        <v>0</v>
      </c>
      <c r="DM248" s="303">
        <f t="shared" ca="1" si="697"/>
        <v>0</v>
      </c>
      <c r="DN248" s="508" t="str">
        <f t="shared" ca="1" si="698"/>
        <v/>
      </c>
      <c r="DO248" s="508" t="str">
        <f t="shared" ca="1" si="699"/>
        <v/>
      </c>
      <c r="DP248" s="508" t="str">
        <f t="shared" ca="1" si="700"/>
        <v/>
      </c>
      <c r="DQ248" s="508" t="str">
        <f t="shared" ca="1" si="701"/>
        <v/>
      </c>
      <c r="DR248" s="508" t="str">
        <f t="shared" ca="1" si="702"/>
        <v/>
      </c>
      <c r="DS248" s="353">
        <f t="shared" ca="1" si="703"/>
        <v>0</v>
      </c>
      <c r="DT248" s="353">
        <f t="shared" ca="1" si="704"/>
        <v>0</v>
      </c>
      <c r="DU248" s="380">
        <f t="shared" ca="1" si="804"/>
        <v>19.329226557152634</v>
      </c>
      <c r="DV248" s="303">
        <f t="shared" ca="1" si="705"/>
        <v>0</v>
      </c>
      <c r="DW248" s="303">
        <f t="shared" ca="1" si="706"/>
        <v>0</v>
      </c>
      <c r="DX248" s="303">
        <f t="shared" ca="1" si="707"/>
        <v>0</v>
      </c>
      <c r="DY248" s="303">
        <f t="shared" ca="1" si="708"/>
        <v>0</v>
      </c>
      <c r="DZ248" s="303">
        <f t="shared" ca="1" si="709"/>
        <v>0</v>
      </c>
      <c r="EA248" s="303">
        <f t="shared" ca="1" si="710"/>
        <v>0</v>
      </c>
      <c r="EB248" s="302">
        <f t="shared" ca="1" si="711"/>
        <v>0</v>
      </c>
      <c r="EC248" s="299">
        <f t="shared" ca="1" si="712"/>
        <v>0</v>
      </c>
      <c r="ED248" s="299">
        <f t="shared" ca="1" si="713"/>
        <v>0</v>
      </c>
      <c r="EE248" s="299">
        <f t="shared" ca="1" si="714"/>
        <v>0</v>
      </c>
      <c r="EF248" s="299">
        <f t="shared" ca="1" si="715"/>
        <v>0</v>
      </c>
      <c r="EG248" s="299">
        <f t="shared" ca="1" si="716"/>
        <v>0</v>
      </c>
      <c r="EH248" s="302">
        <f t="shared" ca="1" si="717"/>
        <v>0</v>
      </c>
      <c r="EI248" s="304" t="str">
        <f t="shared" ca="1" si="718"/>
        <v/>
      </c>
      <c r="EJ248" s="305" t="str">
        <f t="shared" ca="1" si="719"/>
        <v/>
      </c>
      <c r="EK248" s="305" t="str">
        <f t="shared" ca="1" si="720"/>
        <v/>
      </c>
      <c r="EL248" s="305" t="str">
        <f t="shared" ca="1" si="721"/>
        <v/>
      </c>
      <c r="EM248" s="305" t="str">
        <f t="shared" ca="1" si="722"/>
        <v/>
      </c>
      <c r="EN248" s="305" t="str">
        <f t="shared" ca="1" si="723"/>
        <v/>
      </c>
      <c r="EO248" s="305" t="str">
        <f t="shared" ca="1" si="724"/>
        <v/>
      </c>
      <c r="EP248" s="305" t="str">
        <f t="shared" ca="1" si="725"/>
        <v/>
      </c>
      <c r="EQ248" s="305" t="str">
        <f t="shared" ca="1" si="726"/>
        <v/>
      </c>
      <c r="ER248" s="305" t="str">
        <f t="shared" ca="1" si="727"/>
        <v/>
      </c>
      <c r="ES248" s="305" t="str">
        <f t="shared" ca="1" si="728"/>
        <v/>
      </c>
      <c r="ET248" s="299">
        <f t="shared" ca="1" si="729"/>
        <v>0</v>
      </c>
      <c r="EU248" s="302">
        <f t="shared" ca="1" si="730"/>
        <v>0</v>
      </c>
      <c r="EV248" s="304" t="str">
        <f t="shared" ca="1" si="731"/>
        <v/>
      </c>
      <c r="EW248" s="305" t="str">
        <f t="shared" ca="1" si="732"/>
        <v/>
      </c>
      <c r="EX248" s="305" t="str">
        <f t="shared" ca="1" si="733"/>
        <v/>
      </c>
      <c r="EY248" s="305" t="str">
        <f t="shared" ca="1" si="734"/>
        <v/>
      </c>
      <c r="EZ248" s="305" t="str">
        <f t="shared" ca="1" si="735"/>
        <v/>
      </c>
      <c r="FA248" s="305" t="str">
        <f t="shared" ca="1" si="736"/>
        <v/>
      </c>
      <c r="FB248" s="305" t="str">
        <f t="shared" ca="1" si="737"/>
        <v/>
      </c>
      <c r="FC248" s="305" t="str">
        <f t="shared" ca="1" si="738"/>
        <v/>
      </c>
      <c r="FD248" s="305" t="str">
        <f t="shared" ca="1" si="739"/>
        <v/>
      </c>
      <c r="FE248" s="305" t="str">
        <f t="shared" ca="1" si="740"/>
        <v/>
      </c>
      <c r="FF248" s="305" t="str">
        <f t="shared" ca="1" si="741"/>
        <v/>
      </c>
      <c r="FG248" s="299">
        <f t="shared" ca="1" si="742"/>
        <v>0</v>
      </c>
      <c r="FH248" s="302">
        <f t="shared" ca="1" si="743"/>
        <v>0</v>
      </c>
      <c r="FI248" s="248">
        <f t="shared" ca="1" si="744"/>
        <v>0</v>
      </c>
      <c r="FJ248" s="363">
        <f t="shared" ca="1" si="745"/>
        <v>0</v>
      </c>
      <c r="FK248" s="378" t="str">
        <f t="shared" ca="1" si="746"/>
        <v/>
      </c>
      <c r="FL248" s="508" t="str">
        <f t="shared" ca="1" si="747"/>
        <v/>
      </c>
      <c r="FM248" s="508" t="str">
        <f t="shared" ca="1" si="748"/>
        <v/>
      </c>
      <c r="FN248" s="508" t="str">
        <f t="shared" ca="1" si="749"/>
        <v/>
      </c>
      <c r="FO248" s="508" t="str">
        <f t="shared" ca="1" si="750"/>
        <v/>
      </c>
      <c r="FP248" s="353">
        <f t="shared" ca="1" si="751"/>
        <v>0</v>
      </c>
      <c r="FQ248" s="356">
        <f t="shared" ca="1" si="752"/>
        <v>0</v>
      </c>
      <c r="FR248" s="380">
        <f t="shared" ca="1" si="753"/>
        <v>0</v>
      </c>
      <c r="FS248" s="299">
        <f t="shared" ca="1" si="754"/>
        <v>0</v>
      </c>
      <c r="FT248" s="299">
        <f t="shared" ca="1" si="755"/>
        <v>0</v>
      </c>
      <c r="FU248" s="299">
        <f t="shared" ca="1" si="756"/>
        <v>0</v>
      </c>
      <c r="FV248" s="299">
        <f t="shared" ca="1" si="757"/>
        <v>0</v>
      </c>
      <c r="FW248" s="850" t="str">
        <f t="shared" ca="1" si="758"/>
        <v/>
      </c>
      <c r="FX248" s="851" t="str">
        <f t="shared" ca="1" si="759"/>
        <v/>
      </c>
      <c r="FY248" s="851" t="str">
        <f t="shared" ca="1" si="760"/>
        <v/>
      </c>
      <c r="FZ248" s="201" t="str">
        <f t="shared" ca="1" si="761"/>
        <v/>
      </c>
      <c r="GA248" s="201" t="str">
        <f t="shared" ca="1" si="762"/>
        <v/>
      </c>
      <c r="GB248" s="201" t="str">
        <f t="shared" ca="1" si="763"/>
        <v/>
      </c>
      <c r="GC248" s="201" t="str">
        <f t="shared" ca="1" si="764"/>
        <v/>
      </c>
      <c r="GD248" s="850" t="str">
        <f t="shared" ca="1" si="765"/>
        <v/>
      </c>
      <c r="GE248" s="866" t="str">
        <f t="shared" ca="1" si="766"/>
        <v/>
      </c>
      <c r="GF248" s="866" t="str">
        <f t="shared" ca="1" si="767"/>
        <v/>
      </c>
      <c r="GG248" s="866" t="str">
        <f t="shared" ca="1" si="768"/>
        <v/>
      </c>
      <c r="GH248" s="866" t="str">
        <f t="shared" ca="1" si="769"/>
        <v/>
      </c>
      <c r="GI248" s="302">
        <f t="shared" ca="1" si="770"/>
        <v>0</v>
      </c>
      <c r="GJ248" s="299">
        <f t="shared" ca="1" si="771"/>
        <v>0</v>
      </c>
      <c r="GK248" s="299">
        <f t="shared" ca="1" si="772"/>
        <v>0</v>
      </c>
      <c r="GL248" s="299">
        <f t="shared" ca="1" si="773"/>
        <v>0</v>
      </c>
      <c r="GM248" s="299">
        <f t="shared" ca="1" si="774"/>
        <v>0</v>
      </c>
      <c r="GN248" s="302">
        <f t="shared" ca="1" si="775"/>
        <v>0</v>
      </c>
      <c r="GO248" s="299">
        <f t="shared" ca="1" si="776"/>
        <v>0</v>
      </c>
      <c r="GP248" s="299">
        <f t="shared" ca="1" si="777"/>
        <v>0</v>
      </c>
      <c r="GQ248" s="299">
        <f t="shared" ca="1" si="778"/>
        <v>0</v>
      </c>
      <c r="GR248" s="299">
        <f t="shared" ca="1" si="779"/>
        <v>0</v>
      </c>
      <c r="GS248" s="302">
        <f t="shared" ca="1" si="780"/>
        <v>0</v>
      </c>
      <c r="GT248" s="299">
        <f t="shared" ca="1" si="781"/>
        <v>0</v>
      </c>
      <c r="GU248" s="299">
        <f t="shared" ca="1" si="782"/>
        <v>0</v>
      </c>
      <c r="GV248" s="299">
        <f t="shared" ca="1" si="783"/>
        <v>0</v>
      </c>
      <c r="GW248" s="299">
        <f t="shared" ca="1" si="784"/>
        <v>0</v>
      </c>
      <c r="GX248" s="303">
        <f t="shared" ca="1" si="785"/>
        <v>0</v>
      </c>
      <c r="GY248" s="303">
        <f t="shared" ca="1" si="786"/>
        <v>0</v>
      </c>
      <c r="GZ248" s="303">
        <f t="shared" ca="1" si="787"/>
        <v>0</v>
      </c>
      <c r="HA248" s="303">
        <f t="shared" ca="1" si="788"/>
        <v>0</v>
      </c>
      <c r="HB248" s="303">
        <f t="shared" ca="1" si="789"/>
        <v>0</v>
      </c>
      <c r="HC248" s="303">
        <f t="shared" ca="1" si="790"/>
        <v>0</v>
      </c>
      <c r="HD248" s="303">
        <f t="shared" ca="1" si="791"/>
        <v>0</v>
      </c>
      <c r="HE248" s="303">
        <f t="shared" ca="1" si="792"/>
        <v>0</v>
      </c>
      <c r="HF248" s="303">
        <f t="shared" ca="1" si="793"/>
        <v>0</v>
      </c>
      <c r="HG248" s="852">
        <f t="shared" ca="1" si="794"/>
        <v>0</v>
      </c>
    </row>
    <row r="249" spans="1:215" x14ac:dyDescent="0.25">
      <c r="A249" s="244">
        <f t="shared" ca="1" si="795"/>
        <v>43678</v>
      </c>
      <c r="B249" s="13">
        <f t="shared" ca="1" si="825"/>
        <v>2019</v>
      </c>
      <c r="C249" s="619">
        <f t="shared" ca="1" si="826"/>
        <v>8</v>
      </c>
      <c r="D249" s="195" t="str">
        <f t="shared" ca="1" si="625"/>
        <v/>
      </c>
      <c r="E249" s="469" t="str">
        <f t="shared" ca="1" si="626"/>
        <v/>
      </c>
      <c r="F249" s="465" t="str">
        <f t="shared" ca="1" si="627"/>
        <v/>
      </c>
      <c r="G249" s="522">
        <f t="shared" ca="1" si="796"/>
        <v>1</v>
      </c>
      <c r="H249" s="519">
        <f t="shared" ca="1" si="797"/>
        <v>1</v>
      </c>
      <c r="I249" s="724">
        <f t="shared" ca="1" si="827"/>
        <v>7.4171979251739004E-2</v>
      </c>
      <c r="J249" s="198">
        <f t="shared" ca="1" si="629"/>
        <v>0.24077489868955118</v>
      </c>
      <c r="K249" s="200" t="e">
        <f t="shared" ca="1" si="805"/>
        <v>#N/A</v>
      </c>
      <c r="L249" s="201" t="e">
        <f t="shared" ca="1" si="806"/>
        <v>#N/A</v>
      </c>
      <c r="M249" s="206" t="e">
        <f t="shared" ca="1" si="807"/>
        <v>#N/A</v>
      </c>
      <c r="N249" s="851" t="e">
        <f t="shared" ca="1" si="811"/>
        <v>#N/A</v>
      </c>
      <c r="O249" s="201" t="e">
        <f t="shared" ca="1" si="812"/>
        <v>#N/A</v>
      </c>
      <c r="P249" s="206" t="e">
        <f t="shared" ca="1" si="813"/>
        <v>#N/A</v>
      </c>
      <c r="Q249" s="201" t="e">
        <f t="shared" ca="1" si="814"/>
        <v>#N/A</v>
      </c>
      <c r="R249" s="201" t="e">
        <f t="shared" ca="1" si="815"/>
        <v>#N/A</v>
      </c>
      <c r="S249" s="201" t="e">
        <f t="shared" ca="1" si="816"/>
        <v>#N/A</v>
      </c>
      <c r="T249" s="851" t="e">
        <f t="shared" ca="1" si="808"/>
        <v>#N/A</v>
      </c>
      <c r="U249" s="201" t="e">
        <f t="shared" ca="1" si="809"/>
        <v>#N/A</v>
      </c>
      <c r="V249" s="206" t="e">
        <f t="shared" ca="1" si="810"/>
        <v>#N/A</v>
      </c>
      <c r="W249" s="230" t="e">
        <f t="shared" ca="1" si="798"/>
        <v>#N/A</v>
      </c>
      <c r="X249" s="231" t="e">
        <f t="shared" ca="1" si="799"/>
        <v>#N/A</v>
      </c>
      <c r="Y249" s="232" t="e">
        <f t="shared" ca="1" si="800"/>
        <v>#N/A</v>
      </c>
      <c r="Z249" s="231" t="e">
        <f t="shared" ca="1" si="820"/>
        <v>#N/A</v>
      </c>
      <c r="AA249" s="231" t="e">
        <f t="shared" ca="1" si="821"/>
        <v>#N/A</v>
      </c>
      <c r="AB249" s="232" t="e">
        <f t="shared" ca="1" si="822"/>
        <v>#N/A</v>
      </c>
      <c r="AC249" s="231" t="e">
        <f t="shared" ca="1" si="823"/>
        <v>#N/A</v>
      </c>
      <c r="AD249" s="231" t="e">
        <f t="shared" ca="1" si="824"/>
        <v>#N/A</v>
      </c>
      <c r="AE249" s="232" t="e">
        <f t="shared" ca="1" si="630"/>
        <v>#N/A</v>
      </c>
      <c r="AF249" s="231" t="e">
        <f t="shared" ca="1" si="801"/>
        <v>#N/A</v>
      </c>
      <c r="AG249" s="231" t="e">
        <f t="shared" ca="1" si="802"/>
        <v>#N/A</v>
      </c>
      <c r="AH249" s="232" t="e">
        <f t="shared" ca="1" si="803"/>
        <v>#N/A</v>
      </c>
      <c r="AI249" s="233" t="e">
        <f t="shared" ca="1" si="631"/>
        <v>#N/A</v>
      </c>
      <c r="AJ249" s="233" t="e">
        <f t="shared" ca="1" si="632"/>
        <v>#N/A</v>
      </c>
      <c r="AK249" s="234" t="e">
        <f t="shared" ca="1" si="633"/>
        <v>#N/A</v>
      </c>
      <c r="AL249" s="919" t="e">
        <f t="shared" ca="1" si="634"/>
        <v>#N/A</v>
      </c>
      <c r="AM249" s="233" t="e">
        <f t="shared" ca="1" si="635"/>
        <v>#N/A</v>
      </c>
      <c r="AN249" s="234" t="e">
        <f t="shared" ca="1" si="636"/>
        <v>#N/A</v>
      </c>
      <c r="AO249" s="233" t="e">
        <f t="shared" ca="1" si="637"/>
        <v>#N/A</v>
      </c>
      <c r="AP249" s="233" t="e">
        <f t="shared" ca="1" si="638"/>
        <v>#N/A</v>
      </c>
      <c r="AQ249" s="233" t="e">
        <f t="shared" ca="1" si="639"/>
        <v>#N/A</v>
      </c>
      <c r="AR249" s="919" t="e">
        <f t="shared" ca="1" si="640"/>
        <v>#N/A</v>
      </c>
      <c r="AS249" s="233" t="e">
        <f t="shared" ca="1" si="641"/>
        <v>#N/A</v>
      </c>
      <c r="AT249" s="235" t="e">
        <f t="shared" ca="1" si="642"/>
        <v>#N/A</v>
      </c>
      <c r="AU249" s="946">
        <f t="shared" si="643"/>
        <v>0.5</v>
      </c>
      <c r="AV249" s="13">
        <f t="shared" ca="1" si="644"/>
        <v>0</v>
      </c>
      <c r="AW249" s="210">
        <f t="shared" ca="1" si="645"/>
        <v>0</v>
      </c>
      <c r="AX249" s="210">
        <f t="shared" ca="1" si="646"/>
        <v>0</v>
      </c>
      <c r="AY249" s="210">
        <f t="shared" ca="1" si="647"/>
        <v>0</v>
      </c>
      <c r="AZ249" s="13">
        <f t="shared" ca="1" si="648"/>
        <v>0</v>
      </c>
      <c r="BA249" s="357">
        <f ca="1"/>
        <v>0</v>
      </c>
      <c r="BB249" s="925">
        <f ca="1"/>
        <v>0</v>
      </c>
      <c r="BC249" s="925">
        <f ca="1"/>
        <v>0</v>
      </c>
      <c r="BD249" s="928">
        <f ca="1"/>
        <v>0</v>
      </c>
      <c r="BE249" s="200">
        <f ca="1"/>
        <v>0</v>
      </c>
      <c r="BF249" s="851">
        <f ca="1"/>
        <v>0</v>
      </c>
      <c r="BG249" s="851">
        <f ca="1"/>
        <v>0</v>
      </c>
      <c r="BH249" s="933">
        <f ca="1"/>
        <v>0</v>
      </c>
      <c r="BI249" s="357">
        <f ca="1"/>
        <v>0</v>
      </c>
      <c r="BJ249" s="925">
        <f ca="1"/>
        <v>0</v>
      </c>
      <c r="BK249" s="925">
        <f ca="1"/>
        <v>0</v>
      </c>
      <c r="BL249" s="928">
        <f ca="1"/>
        <v>0</v>
      </c>
      <c r="BM249" s="200">
        <f ca="1"/>
        <v>0</v>
      </c>
      <c r="BN249" s="851">
        <f ca="1"/>
        <v>0</v>
      </c>
      <c r="BO249" s="851">
        <f ca="1"/>
        <v>0</v>
      </c>
      <c r="BP249" s="933">
        <f ca="1"/>
        <v>0</v>
      </c>
      <c r="BQ249" s="357">
        <f t="shared" ca="1" si="649"/>
        <v>0</v>
      </c>
      <c r="BR249" s="361">
        <f t="shared" ca="1" si="650"/>
        <v>0</v>
      </c>
      <c r="BS249" s="357">
        <f t="shared" ca="1" si="651"/>
        <v>0</v>
      </c>
      <c r="BT249" s="302">
        <f t="shared" ca="1" si="652"/>
        <v>0</v>
      </c>
      <c r="BU249" s="299">
        <f t="shared" ca="1" si="653"/>
        <v>0</v>
      </c>
      <c r="BV249" s="299">
        <f t="shared" ca="1" si="654"/>
        <v>0</v>
      </c>
      <c r="BW249" s="299">
        <f t="shared" ca="1" si="655"/>
        <v>0</v>
      </c>
      <c r="BX249" s="380">
        <f t="shared" ca="1" si="656"/>
        <v>19.414099931553729</v>
      </c>
      <c r="BY249" s="363">
        <f t="shared" ca="1" si="657"/>
        <v>0</v>
      </c>
      <c r="BZ249" s="353">
        <f t="shared" ca="1" si="658"/>
        <v>0</v>
      </c>
      <c r="CA249" s="353">
        <f t="shared" ca="1" si="659"/>
        <v>0</v>
      </c>
      <c r="CB249" s="353">
        <f t="shared" ca="1" si="660"/>
        <v>0</v>
      </c>
      <c r="CC249" s="353">
        <f t="shared" ca="1" si="661"/>
        <v>0</v>
      </c>
      <c r="CD249" s="353">
        <f t="shared" ca="1" si="662"/>
        <v>0</v>
      </c>
      <c r="CE249" s="302">
        <f t="shared" ca="1" si="663"/>
        <v>0</v>
      </c>
      <c r="CF249" s="299">
        <f t="shared" ca="1" si="664"/>
        <v>0</v>
      </c>
      <c r="CG249" s="299">
        <f t="shared" ca="1" si="665"/>
        <v>0</v>
      </c>
      <c r="CH249" s="299">
        <f t="shared" ca="1" si="666"/>
        <v>0</v>
      </c>
      <c r="CI249" s="299">
        <f t="shared" ca="1" si="667"/>
        <v>0</v>
      </c>
      <c r="CJ249" s="299">
        <f t="shared" ca="1" si="668"/>
        <v>0</v>
      </c>
      <c r="CK249" s="299">
        <f t="shared" ca="1" si="669"/>
        <v>0</v>
      </c>
      <c r="CL249" s="377" t="str">
        <f t="shared" ca="1" si="670"/>
        <v/>
      </c>
      <c r="CM249" s="305" t="str">
        <f t="shared" ca="1" si="671"/>
        <v/>
      </c>
      <c r="CN249" s="305" t="str">
        <f t="shared" ca="1" si="672"/>
        <v/>
      </c>
      <c r="CO249" s="305" t="str">
        <f t="shared" ca="1" si="673"/>
        <v/>
      </c>
      <c r="CP249" s="305" t="str">
        <f t="shared" ca="1" si="674"/>
        <v/>
      </c>
      <c r="CQ249" s="305" t="str">
        <f t="shared" ca="1" si="675"/>
        <v/>
      </c>
      <c r="CR249" s="775" t="str">
        <f t="shared" ca="1" si="676"/>
        <v/>
      </c>
      <c r="CS249" s="305" t="str">
        <f t="shared" ca="1" si="677"/>
        <v/>
      </c>
      <c r="CT249" s="305" t="str">
        <f t="shared" ca="1" si="678"/>
        <v/>
      </c>
      <c r="CU249" s="305" t="str">
        <f t="shared" ca="1" si="679"/>
        <v/>
      </c>
      <c r="CV249" s="770" t="str">
        <f t="shared" ca="1" si="680"/>
        <v/>
      </c>
      <c r="CW249" s="302">
        <f t="shared" ca="1" si="681"/>
        <v>0</v>
      </c>
      <c r="CX249" s="299">
        <f t="shared" ca="1" si="682"/>
        <v>0</v>
      </c>
      <c r="CY249" s="299">
        <f t="shared" ca="1" si="683"/>
        <v>0</v>
      </c>
      <c r="CZ249" s="299">
        <f t="shared" ca="1" si="684"/>
        <v>0</v>
      </c>
      <c r="DA249" s="774">
        <f t="shared" ca="1" si="685"/>
        <v>0</v>
      </c>
      <c r="DB249" s="303">
        <f t="shared" ca="1" si="686"/>
        <v>0</v>
      </c>
      <c r="DC249" s="248">
        <f t="shared" ca="1" si="687"/>
        <v>0</v>
      </c>
      <c r="DD249" s="778">
        <f t="shared" ca="1" si="688"/>
        <v>0</v>
      </c>
      <c r="DE249" s="363">
        <f t="shared" ca="1" si="689"/>
        <v>0</v>
      </c>
      <c r="DF249" s="378" t="str">
        <f t="shared" ca="1" si="690"/>
        <v/>
      </c>
      <c r="DG249" s="508" t="str">
        <f t="shared" ca="1" si="691"/>
        <v/>
      </c>
      <c r="DH249" s="508" t="str">
        <f t="shared" ca="1" si="692"/>
        <v/>
      </c>
      <c r="DI249" s="508" t="str">
        <f t="shared" ca="1" si="693"/>
        <v/>
      </c>
      <c r="DJ249" s="508" t="str">
        <f t="shared" ca="1" si="694"/>
        <v/>
      </c>
      <c r="DK249" s="353">
        <f t="shared" ca="1" si="695"/>
        <v>0</v>
      </c>
      <c r="DL249" s="781">
        <f t="shared" ca="1" si="696"/>
        <v>0</v>
      </c>
      <c r="DM249" s="303">
        <f t="shared" ca="1" si="697"/>
        <v>0</v>
      </c>
      <c r="DN249" s="508" t="str">
        <f t="shared" ca="1" si="698"/>
        <v/>
      </c>
      <c r="DO249" s="508" t="str">
        <f t="shared" ca="1" si="699"/>
        <v/>
      </c>
      <c r="DP249" s="508" t="str">
        <f t="shared" ca="1" si="700"/>
        <v/>
      </c>
      <c r="DQ249" s="508" t="str">
        <f t="shared" ca="1" si="701"/>
        <v/>
      </c>
      <c r="DR249" s="508" t="str">
        <f t="shared" ca="1" si="702"/>
        <v/>
      </c>
      <c r="DS249" s="353">
        <f t="shared" ca="1" si="703"/>
        <v>0</v>
      </c>
      <c r="DT249" s="353">
        <f t="shared" ca="1" si="704"/>
        <v>0</v>
      </c>
      <c r="DU249" s="380">
        <f t="shared" ca="1" si="804"/>
        <v>19.414099931553729</v>
      </c>
      <c r="DV249" s="303">
        <f t="shared" ca="1" si="705"/>
        <v>0</v>
      </c>
      <c r="DW249" s="303">
        <f t="shared" ca="1" si="706"/>
        <v>0</v>
      </c>
      <c r="DX249" s="303">
        <f t="shared" ca="1" si="707"/>
        <v>0</v>
      </c>
      <c r="DY249" s="303">
        <f t="shared" ca="1" si="708"/>
        <v>0</v>
      </c>
      <c r="DZ249" s="303">
        <f t="shared" ca="1" si="709"/>
        <v>0</v>
      </c>
      <c r="EA249" s="303">
        <f t="shared" ca="1" si="710"/>
        <v>0</v>
      </c>
      <c r="EB249" s="302">
        <f t="shared" ca="1" si="711"/>
        <v>0</v>
      </c>
      <c r="EC249" s="299">
        <f t="shared" ca="1" si="712"/>
        <v>0</v>
      </c>
      <c r="ED249" s="299">
        <f t="shared" ca="1" si="713"/>
        <v>0</v>
      </c>
      <c r="EE249" s="299">
        <f t="shared" ca="1" si="714"/>
        <v>0</v>
      </c>
      <c r="EF249" s="299">
        <f t="shared" ca="1" si="715"/>
        <v>0</v>
      </c>
      <c r="EG249" s="299">
        <f t="shared" ca="1" si="716"/>
        <v>0</v>
      </c>
      <c r="EH249" s="302">
        <f t="shared" ca="1" si="717"/>
        <v>0</v>
      </c>
      <c r="EI249" s="304" t="str">
        <f t="shared" ca="1" si="718"/>
        <v/>
      </c>
      <c r="EJ249" s="305" t="str">
        <f t="shared" ca="1" si="719"/>
        <v/>
      </c>
      <c r="EK249" s="305" t="str">
        <f t="shared" ca="1" si="720"/>
        <v/>
      </c>
      <c r="EL249" s="305" t="str">
        <f t="shared" ca="1" si="721"/>
        <v/>
      </c>
      <c r="EM249" s="305" t="str">
        <f t="shared" ca="1" si="722"/>
        <v/>
      </c>
      <c r="EN249" s="305" t="str">
        <f t="shared" ca="1" si="723"/>
        <v/>
      </c>
      <c r="EO249" s="305" t="str">
        <f t="shared" ca="1" si="724"/>
        <v/>
      </c>
      <c r="EP249" s="305" t="str">
        <f t="shared" ca="1" si="725"/>
        <v/>
      </c>
      <c r="EQ249" s="305" t="str">
        <f t="shared" ca="1" si="726"/>
        <v/>
      </c>
      <c r="ER249" s="305" t="str">
        <f t="shared" ca="1" si="727"/>
        <v/>
      </c>
      <c r="ES249" s="305" t="str">
        <f t="shared" ca="1" si="728"/>
        <v/>
      </c>
      <c r="ET249" s="299">
        <f t="shared" ca="1" si="729"/>
        <v>0</v>
      </c>
      <c r="EU249" s="302">
        <f t="shared" ca="1" si="730"/>
        <v>0</v>
      </c>
      <c r="EV249" s="304" t="str">
        <f t="shared" ca="1" si="731"/>
        <v/>
      </c>
      <c r="EW249" s="305" t="str">
        <f t="shared" ca="1" si="732"/>
        <v/>
      </c>
      <c r="EX249" s="305" t="str">
        <f t="shared" ca="1" si="733"/>
        <v/>
      </c>
      <c r="EY249" s="305" t="str">
        <f t="shared" ca="1" si="734"/>
        <v/>
      </c>
      <c r="EZ249" s="305" t="str">
        <f t="shared" ca="1" si="735"/>
        <v/>
      </c>
      <c r="FA249" s="305" t="str">
        <f t="shared" ca="1" si="736"/>
        <v/>
      </c>
      <c r="FB249" s="305" t="str">
        <f t="shared" ca="1" si="737"/>
        <v/>
      </c>
      <c r="FC249" s="305" t="str">
        <f t="shared" ca="1" si="738"/>
        <v/>
      </c>
      <c r="FD249" s="305" t="str">
        <f t="shared" ca="1" si="739"/>
        <v/>
      </c>
      <c r="FE249" s="305" t="str">
        <f t="shared" ca="1" si="740"/>
        <v/>
      </c>
      <c r="FF249" s="305" t="str">
        <f t="shared" ca="1" si="741"/>
        <v/>
      </c>
      <c r="FG249" s="299">
        <f t="shared" ca="1" si="742"/>
        <v>0</v>
      </c>
      <c r="FH249" s="302">
        <f t="shared" ca="1" si="743"/>
        <v>0</v>
      </c>
      <c r="FI249" s="248">
        <f t="shared" ca="1" si="744"/>
        <v>0</v>
      </c>
      <c r="FJ249" s="363">
        <f t="shared" ca="1" si="745"/>
        <v>0</v>
      </c>
      <c r="FK249" s="378" t="str">
        <f t="shared" ca="1" si="746"/>
        <v/>
      </c>
      <c r="FL249" s="508" t="str">
        <f t="shared" ca="1" si="747"/>
        <v/>
      </c>
      <c r="FM249" s="508" t="str">
        <f t="shared" ca="1" si="748"/>
        <v/>
      </c>
      <c r="FN249" s="508" t="str">
        <f t="shared" ca="1" si="749"/>
        <v/>
      </c>
      <c r="FO249" s="508" t="str">
        <f t="shared" ca="1" si="750"/>
        <v/>
      </c>
      <c r="FP249" s="353">
        <f t="shared" ca="1" si="751"/>
        <v>0</v>
      </c>
      <c r="FQ249" s="356">
        <f t="shared" ca="1" si="752"/>
        <v>0</v>
      </c>
      <c r="FR249" s="380">
        <f t="shared" ca="1" si="753"/>
        <v>0</v>
      </c>
      <c r="FS249" s="299">
        <f t="shared" ca="1" si="754"/>
        <v>0</v>
      </c>
      <c r="FT249" s="299">
        <f t="shared" ca="1" si="755"/>
        <v>0</v>
      </c>
      <c r="FU249" s="299">
        <f t="shared" ca="1" si="756"/>
        <v>0</v>
      </c>
      <c r="FV249" s="299">
        <f t="shared" ca="1" si="757"/>
        <v>0</v>
      </c>
      <c r="FW249" s="850" t="str">
        <f t="shared" ca="1" si="758"/>
        <v/>
      </c>
      <c r="FX249" s="851" t="str">
        <f t="shared" ca="1" si="759"/>
        <v/>
      </c>
      <c r="FY249" s="851" t="str">
        <f t="shared" ca="1" si="760"/>
        <v/>
      </c>
      <c r="FZ249" s="201" t="str">
        <f t="shared" ca="1" si="761"/>
        <v/>
      </c>
      <c r="GA249" s="201" t="str">
        <f t="shared" ca="1" si="762"/>
        <v/>
      </c>
      <c r="GB249" s="201" t="str">
        <f t="shared" ca="1" si="763"/>
        <v/>
      </c>
      <c r="GC249" s="201" t="str">
        <f t="shared" ca="1" si="764"/>
        <v/>
      </c>
      <c r="GD249" s="850" t="str">
        <f t="shared" ca="1" si="765"/>
        <v/>
      </c>
      <c r="GE249" s="866" t="str">
        <f t="shared" ca="1" si="766"/>
        <v/>
      </c>
      <c r="GF249" s="866" t="str">
        <f t="shared" ca="1" si="767"/>
        <v/>
      </c>
      <c r="GG249" s="866" t="str">
        <f t="shared" ca="1" si="768"/>
        <v/>
      </c>
      <c r="GH249" s="866" t="str">
        <f t="shared" ca="1" si="769"/>
        <v/>
      </c>
      <c r="GI249" s="302">
        <f t="shared" ca="1" si="770"/>
        <v>0</v>
      </c>
      <c r="GJ249" s="299">
        <f t="shared" ca="1" si="771"/>
        <v>0</v>
      </c>
      <c r="GK249" s="299">
        <f t="shared" ca="1" si="772"/>
        <v>0</v>
      </c>
      <c r="GL249" s="299">
        <f t="shared" ca="1" si="773"/>
        <v>0</v>
      </c>
      <c r="GM249" s="299">
        <f t="shared" ca="1" si="774"/>
        <v>0</v>
      </c>
      <c r="GN249" s="302">
        <f t="shared" ca="1" si="775"/>
        <v>0</v>
      </c>
      <c r="GO249" s="299">
        <f t="shared" ca="1" si="776"/>
        <v>0</v>
      </c>
      <c r="GP249" s="299">
        <f t="shared" ca="1" si="777"/>
        <v>0</v>
      </c>
      <c r="GQ249" s="299">
        <f t="shared" ca="1" si="778"/>
        <v>0</v>
      </c>
      <c r="GR249" s="299">
        <f t="shared" ca="1" si="779"/>
        <v>0</v>
      </c>
      <c r="GS249" s="302">
        <f t="shared" ca="1" si="780"/>
        <v>0</v>
      </c>
      <c r="GT249" s="299">
        <f t="shared" ca="1" si="781"/>
        <v>0</v>
      </c>
      <c r="GU249" s="299">
        <f t="shared" ca="1" si="782"/>
        <v>0</v>
      </c>
      <c r="GV249" s="299">
        <f t="shared" ca="1" si="783"/>
        <v>0</v>
      </c>
      <c r="GW249" s="299">
        <f t="shared" ca="1" si="784"/>
        <v>0</v>
      </c>
      <c r="GX249" s="303">
        <f t="shared" ca="1" si="785"/>
        <v>0</v>
      </c>
      <c r="GY249" s="303">
        <f t="shared" ca="1" si="786"/>
        <v>0</v>
      </c>
      <c r="GZ249" s="303">
        <f t="shared" ca="1" si="787"/>
        <v>0</v>
      </c>
      <c r="HA249" s="303">
        <f t="shared" ca="1" si="788"/>
        <v>0</v>
      </c>
      <c r="HB249" s="303">
        <f t="shared" ca="1" si="789"/>
        <v>0</v>
      </c>
      <c r="HC249" s="303">
        <f t="shared" ca="1" si="790"/>
        <v>0</v>
      </c>
      <c r="HD249" s="303">
        <f t="shared" ca="1" si="791"/>
        <v>0</v>
      </c>
      <c r="HE249" s="303">
        <f t="shared" ca="1" si="792"/>
        <v>0</v>
      </c>
      <c r="HF249" s="303">
        <f t="shared" ca="1" si="793"/>
        <v>0</v>
      </c>
      <c r="HG249" s="852">
        <f t="shared" ca="1" si="794"/>
        <v>0</v>
      </c>
    </row>
    <row r="250" spans="1:215" x14ac:dyDescent="0.25">
      <c r="A250" s="244">
        <f t="shared" ca="1" si="795"/>
        <v>43709</v>
      </c>
      <c r="B250" s="13">
        <f t="shared" ca="1" si="825"/>
        <v>2019</v>
      </c>
      <c r="C250" s="619">
        <f t="shared" ca="1" si="826"/>
        <v>9</v>
      </c>
      <c r="D250" s="195">
        <f t="shared" ca="1" si="625"/>
        <v>43710</v>
      </c>
      <c r="E250" s="469" t="str">
        <f t="shared" ca="1" si="626"/>
        <v/>
      </c>
      <c r="F250" s="465" t="str">
        <f t="shared" ca="1" si="627"/>
        <v/>
      </c>
      <c r="G250" s="522">
        <f t="shared" ca="1" si="796"/>
        <v>1</v>
      </c>
      <c r="H250" s="519">
        <f t="shared" ca="1" si="797"/>
        <v>1</v>
      </c>
      <c r="I250" s="724">
        <f t="shared" ca="1" si="827"/>
        <v>7.4171684533859999E-2</v>
      </c>
      <c r="J250" s="198">
        <f t="shared" ca="1" si="629"/>
        <v>0.23934024071536578</v>
      </c>
      <c r="K250" s="200" t="e">
        <f t="shared" ca="1" si="805"/>
        <v>#N/A</v>
      </c>
      <c r="L250" s="201" t="e">
        <f t="shared" ca="1" si="806"/>
        <v>#N/A</v>
      </c>
      <c r="M250" s="206" t="e">
        <f t="shared" ca="1" si="807"/>
        <v>#N/A</v>
      </c>
      <c r="N250" s="851" t="e">
        <f t="shared" ca="1" si="811"/>
        <v>#N/A</v>
      </c>
      <c r="O250" s="201" t="e">
        <f t="shared" ca="1" si="812"/>
        <v>#N/A</v>
      </c>
      <c r="P250" s="206" t="e">
        <f t="shared" ca="1" si="813"/>
        <v>#N/A</v>
      </c>
      <c r="Q250" s="201" t="e">
        <f t="shared" ca="1" si="814"/>
        <v>#N/A</v>
      </c>
      <c r="R250" s="201" t="e">
        <f t="shared" ca="1" si="815"/>
        <v>#N/A</v>
      </c>
      <c r="S250" s="201" t="e">
        <f t="shared" ca="1" si="816"/>
        <v>#N/A</v>
      </c>
      <c r="T250" s="851" t="e">
        <f t="shared" ca="1" si="808"/>
        <v>#N/A</v>
      </c>
      <c r="U250" s="201" t="e">
        <f t="shared" ca="1" si="809"/>
        <v>#N/A</v>
      </c>
      <c r="V250" s="206" t="e">
        <f t="shared" ca="1" si="810"/>
        <v>#N/A</v>
      </c>
      <c r="W250" s="230" t="e">
        <f t="shared" ca="1" si="798"/>
        <v>#N/A</v>
      </c>
      <c r="X250" s="231" t="e">
        <f t="shared" ca="1" si="799"/>
        <v>#N/A</v>
      </c>
      <c r="Y250" s="232" t="e">
        <f t="shared" ca="1" si="800"/>
        <v>#N/A</v>
      </c>
      <c r="Z250" s="231" t="e">
        <f t="shared" ca="1" si="820"/>
        <v>#N/A</v>
      </c>
      <c r="AA250" s="231" t="e">
        <f t="shared" ca="1" si="821"/>
        <v>#N/A</v>
      </c>
      <c r="AB250" s="232" t="e">
        <f t="shared" ca="1" si="822"/>
        <v>#N/A</v>
      </c>
      <c r="AC250" s="231" t="e">
        <f t="shared" ca="1" si="823"/>
        <v>#N/A</v>
      </c>
      <c r="AD250" s="231" t="e">
        <f t="shared" ca="1" si="824"/>
        <v>#N/A</v>
      </c>
      <c r="AE250" s="232" t="e">
        <f t="shared" ca="1" si="630"/>
        <v>#N/A</v>
      </c>
      <c r="AF250" s="231" t="e">
        <f t="shared" ca="1" si="801"/>
        <v>#N/A</v>
      </c>
      <c r="AG250" s="231" t="e">
        <f t="shared" ca="1" si="802"/>
        <v>#N/A</v>
      </c>
      <c r="AH250" s="232" t="e">
        <f t="shared" ca="1" si="803"/>
        <v>#N/A</v>
      </c>
      <c r="AI250" s="233" t="e">
        <f t="shared" ca="1" si="631"/>
        <v>#N/A</v>
      </c>
      <c r="AJ250" s="233" t="e">
        <f t="shared" ca="1" si="632"/>
        <v>#N/A</v>
      </c>
      <c r="AK250" s="234" t="e">
        <f t="shared" ca="1" si="633"/>
        <v>#N/A</v>
      </c>
      <c r="AL250" s="919" t="e">
        <f t="shared" ca="1" si="634"/>
        <v>#N/A</v>
      </c>
      <c r="AM250" s="233" t="e">
        <f t="shared" ca="1" si="635"/>
        <v>#N/A</v>
      </c>
      <c r="AN250" s="234" t="e">
        <f t="shared" ca="1" si="636"/>
        <v>#N/A</v>
      </c>
      <c r="AO250" s="233" t="e">
        <f t="shared" ca="1" si="637"/>
        <v>#N/A</v>
      </c>
      <c r="AP250" s="233" t="e">
        <f t="shared" ca="1" si="638"/>
        <v>#N/A</v>
      </c>
      <c r="AQ250" s="233" t="e">
        <f t="shared" ca="1" si="639"/>
        <v>#N/A</v>
      </c>
      <c r="AR250" s="919" t="e">
        <f t="shared" ca="1" si="640"/>
        <v>#N/A</v>
      </c>
      <c r="AS250" s="233" t="e">
        <f t="shared" ca="1" si="641"/>
        <v>#N/A</v>
      </c>
      <c r="AT250" s="235" t="e">
        <f t="shared" ca="1" si="642"/>
        <v>#N/A</v>
      </c>
      <c r="AU250" s="946">
        <f t="shared" si="643"/>
        <v>0.5</v>
      </c>
      <c r="AV250" s="13">
        <f t="shared" ca="1" si="644"/>
        <v>0</v>
      </c>
      <c r="AW250" s="210">
        <f t="shared" ca="1" si="645"/>
        <v>0</v>
      </c>
      <c r="AX250" s="210">
        <f t="shared" ca="1" si="646"/>
        <v>0</v>
      </c>
      <c r="AY250" s="210">
        <f t="shared" ca="1" si="647"/>
        <v>0</v>
      </c>
      <c r="AZ250" s="13">
        <f t="shared" ca="1" si="648"/>
        <v>0</v>
      </c>
      <c r="BA250" s="357">
        <f ca="1"/>
        <v>0</v>
      </c>
      <c r="BB250" s="925">
        <f ca="1"/>
        <v>0</v>
      </c>
      <c r="BC250" s="925">
        <f ca="1"/>
        <v>0</v>
      </c>
      <c r="BD250" s="928">
        <f ca="1"/>
        <v>0</v>
      </c>
      <c r="BE250" s="200">
        <f ca="1"/>
        <v>0</v>
      </c>
      <c r="BF250" s="851">
        <f ca="1"/>
        <v>0</v>
      </c>
      <c r="BG250" s="851">
        <f ca="1"/>
        <v>0</v>
      </c>
      <c r="BH250" s="933">
        <f ca="1"/>
        <v>0</v>
      </c>
      <c r="BI250" s="357">
        <f ca="1"/>
        <v>0</v>
      </c>
      <c r="BJ250" s="925">
        <f ca="1"/>
        <v>0</v>
      </c>
      <c r="BK250" s="925">
        <f ca="1"/>
        <v>0</v>
      </c>
      <c r="BL250" s="928">
        <f ca="1"/>
        <v>0</v>
      </c>
      <c r="BM250" s="200">
        <f ca="1"/>
        <v>0</v>
      </c>
      <c r="BN250" s="851">
        <f ca="1"/>
        <v>0</v>
      </c>
      <c r="BO250" s="851">
        <f ca="1"/>
        <v>0</v>
      </c>
      <c r="BP250" s="933">
        <f ca="1"/>
        <v>0</v>
      </c>
      <c r="BQ250" s="357">
        <f t="shared" ca="1" si="649"/>
        <v>0</v>
      </c>
      <c r="BR250" s="361">
        <f t="shared" ca="1" si="650"/>
        <v>0</v>
      </c>
      <c r="BS250" s="357">
        <f t="shared" ca="1" si="651"/>
        <v>0</v>
      </c>
      <c r="BT250" s="302">
        <f t="shared" ca="1" si="652"/>
        <v>0</v>
      </c>
      <c r="BU250" s="299">
        <f t="shared" ca="1" si="653"/>
        <v>0</v>
      </c>
      <c r="BV250" s="299">
        <f t="shared" ca="1" si="654"/>
        <v>0</v>
      </c>
      <c r="BW250" s="299">
        <f t="shared" ca="1" si="655"/>
        <v>0</v>
      </c>
      <c r="BX250" s="380">
        <f t="shared" ca="1" si="656"/>
        <v>19.498973305954827</v>
      </c>
      <c r="BY250" s="363">
        <f t="shared" ca="1" si="657"/>
        <v>0</v>
      </c>
      <c r="BZ250" s="353">
        <f t="shared" ca="1" si="658"/>
        <v>0</v>
      </c>
      <c r="CA250" s="353">
        <f t="shared" ca="1" si="659"/>
        <v>0</v>
      </c>
      <c r="CB250" s="353">
        <f t="shared" ca="1" si="660"/>
        <v>0</v>
      </c>
      <c r="CC250" s="353">
        <f t="shared" ca="1" si="661"/>
        <v>0</v>
      </c>
      <c r="CD250" s="353">
        <f t="shared" ca="1" si="662"/>
        <v>0</v>
      </c>
      <c r="CE250" s="302">
        <f t="shared" ca="1" si="663"/>
        <v>0</v>
      </c>
      <c r="CF250" s="299">
        <f t="shared" ca="1" si="664"/>
        <v>0</v>
      </c>
      <c r="CG250" s="299">
        <f t="shared" ca="1" si="665"/>
        <v>0</v>
      </c>
      <c r="CH250" s="299">
        <f t="shared" ca="1" si="666"/>
        <v>0</v>
      </c>
      <c r="CI250" s="299">
        <f t="shared" ca="1" si="667"/>
        <v>0</v>
      </c>
      <c r="CJ250" s="299">
        <f t="shared" ca="1" si="668"/>
        <v>0</v>
      </c>
      <c r="CK250" s="299">
        <f t="shared" ca="1" si="669"/>
        <v>0</v>
      </c>
      <c r="CL250" s="377" t="str">
        <f t="shared" ca="1" si="670"/>
        <v/>
      </c>
      <c r="CM250" s="305" t="str">
        <f t="shared" ca="1" si="671"/>
        <v/>
      </c>
      <c r="CN250" s="305" t="str">
        <f t="shared" ca="1" si="672"/>
        <v/>
      </c>
      <c r="CO250" s="305" t="str">
        <f t="shared" ca="1" si="673"/>
        <v/>
      </c>
      <c r="CP250" s="305" t="str">
        <f t="shared" ca="1" si="674"/>
        <v/>
      </c>
      <c r="CQ250" s="305" t="str">
        <f t="shared" ca="1" si="675"/>
        <v/>
      </c>
      <c r="CR250" s="775" t="str">
        <f t="shared" ca="1" si="676"/>
        <v/>
      </c>
      <c r="CS250" s="305" t="str">
        <f t="shared" ca="1" si="677"/>
        <v/>
      </c>
      <c r="CT250" s="305" t="str">
        <f t="shared" ca="1" si="678"/>
        <v/>
      </c>
      <c r="CU250" s="305" t="str">
        <f t="shared" ca="1" si="679"/>
        <v/>
      </c>
      <c r="CV250" s="770" t="str">
        <f t="shared" ca="1" si="680"/>
        <v/>
      </c>
      <c r="CW250" s="302">
        <f t="shared" ca="1" si="681"/>
        <v>0</v>
      </c>
      <c r="CX250" s="299">
        <f t="shared" ca="1" si="682"/>
        <v>0</v>
      </c>
      <c r="CY250" s="299">
        <f t="shared" ca="1" si="683"/>
        <v>0</v>
      </c>
      <c r="CZ250" s="299">
        <f t="shared" ca="1" si="684"/>
        <v>0</v>
      </c>
      <c r="DA250" s="774">
        <f t="shared" ca="1" si="685"/>
        <v>0</v>
      </c>
      <c r="DB250" s="303">
        <f t="shared" ca="1" si="686"/>
        <v>0</v>
      </c>
      <c r="DC250" s="248">
        <f t="shared" ca="1" si="687"/>
        <v>0</v>
      </c>
      <c r="DD250" s="778">
        <f t="shared" ca="1" si="688"/>
        <v>0</v>
      </c>
      <c r="DE250" s="363">
        <f t="shared" ca="1" si="689"/>
        <v>0</v>
      </c>
      <c r="DF250" s="378" t="str">
        <f t="shared" ca="1" si="690"/>
        <v/>
      </c>
      <c r="DG250" s="508" t="str">
        <f t="shared" ca="1" si="691"/>
        <v/>
      </c>
      <c r="DH250" s="508" t="str">
        <f t="shared" ca="1" si="692"/>
        <v/>
      </c>
      <c r="DI250" s="508" t="str">
        <f t="shared" ca="1" si="693"/>
        <v/>
      </c>
      <c r="DJ250" s="508" t="str">
        <f t="shared" ca="1" si="694"/>
        <v/>
      </c>
      <c r="DK250" s="353">
        <f t="shared" ca="1" si="695"/>
        <v>0</v>
      </c>
      <c r="DL250" s="781">
        <f t="shared" ca="1" si="696"/>
        <v>0</v>
      </c>
      <c r="DM250" s="303">
        <f t="shared" ca="1" si="697"/>
        <v>0</v>
      </c>
      <c r="DN250" s="508" t="str">
        <f t="shared" ca="1" si="698"/>
        <v/>
      </c>
      <c r="DO250" s="508" t="str">
        <f t="shared" ca="1" si="699"/>
        <v/>
      </c>
      <c r="DP250" s="508" t="str">
        <f t="shared" ca="1" si="700"/>
        <v/>
      </c>
      <c r="DQ250" s="508" t="str">
        <f t="shared" ca="1" si="701"/>
        <v/>
      </c>
      <c r="DR250" s="508" t="str">
        <f t="shared" ca="1" si="702"/>
        <v/>
      </c>
      <c r="DS250" s="353">
        <f t="shared" ca="1" si="703"/>
        <v>0</v>
      </c>
      <c r="DT250" s="353">
        <f t="shared" ca="1" si="704"/>
        <v>0</v>
      </c>
      <c r="DU250" s="380">
        <f t="shared" ca="1" si="804"/>
        <v>19.498973305954827</v>
      </c>
      <c r="DV250" s="303">
        <f t="shared" ca="1" si="705"/>
        <v>0</v>
      </c>
      <c r="DW250" s="303">
        <f t="shared" ca="1" si="706"/>
        <v>0</v>
      </c>
      <c r="DX250" s="303">
        <f t="shared" ca="1" si="707"/>
        <v>0</v>
      </c>
      <c r="DY250" s="303">
        <f t="shared" ca="1" si="708"/>
        <v>0</v>
      </c>
      <c r="DZ250" s="303">
        <f t="shared" ca="1" si="709"/>
        <v>0</v>
      </c>
      <c r="EA250" s="303">
        <f t="shared" ca="1" si="710"/>
        <v>0</v>
      </c>
      <c r="EB250" s="302">
        <f t="shared" ca="1" si="711"/>
        <v>0</v>
      </c>
      <c r="EC250" s="299">
        <f t="shared" ca="1" si="712"/>
        <v>0</v>
      </c>
      <c r="ED250" s="299">
        <f t="shared" ca="1" si="713"/>
        <v>0</v>
      </c>
      <c r="EE250" s="299">
        <f t="shared" ca="1" si="714"/>
        <v>0</v>
      </c>
      <c r="EF250" s="299">
        <f t="shared" ca="1" si="715"/>
        <v>0</v>
      </c>
      <c r="EG250" s="299">
        <f t="shared" ca="1" si="716"/>
        <v>0</v>
      </c>
      <c r="EH250" s="302">
        <f t="shared" ca="1" si="717"/>
        <v>0</v>
      </c>
      <c r="EI250" s="304" t="str">
        <f t="shared" ca="1" si="718"/>
        <v/>
      </c>
      <c r="EJ250" s="305" t="str">
        <f t="shared" ca="1" si="719"/>
        <v/>
      </c>
      <c r="EK250" s="305" t="str">
        <f t="shared" ca="1" si="720"/>
        <v/>
      </c>
      <c r="EL250" s="305" t="str">
        <f t="shared" ca="1" si="721"/>
        <v/>
      </c>
      <c r="EM250" s="305" t="str">
        <f t="shared" ca="1" si="722"/>
        <v/>
      </c>
      <c r="EN250" s="305" t="str">
        <f t="shared" ca="1" si="723"/>
        <v/>
      </c>
      <c r="EO250" s="305" t="str">
        <f t="shared" ca="1" si="724"/>
        <v/>
      </c>
      <c r="EP250" s="305" t="str">
        <f t="shared" ca="1" si="725"/>
        <v/>
      </c>
      <c r="EQ250" s="305" t="str">
        <f t="shared" ca="1" si="726"/>
        <v/>
      </c>
      <c r="ER250" s="305" t="str">
        <f t="shared" ca="1" si="727"/>
        <v/>
      </c>
      <c r="ES250" s="305" t="str">
        <f t="shared" ca="1" si="728"/>
        <v/>
      </c>
      <c r="ET250" s="299">
        <f t="shared" ca="1" si="729"/>
        <v>0</v>
      </c>
      <c r="EU250" s="302">
        <f t="shared" ca="1" si="730"/>
        <v>0</v>
      </c>
      <c r="EV250" s="304" t="str">
        <f t="shared" ca="1" si="731"/>
        <v/>
      </c>
      <c r="EW250" s="305" t="str">
        <f t="shared" ca="1" si="732"/>
        <v/>
      </c>
      <c r="EX250" s="305" t="str">
        <f t="shared" ca="1" si="733"/>
        <v/>
      </c>
      <c r="EY250" s="305" t="str">
        <f t="shared" ca="1" si="734"/>
        <v/>
      </c>
      <c r="EZ250" s="305" t="str">
        <f t="shared" ca="1" si="735"/>
        <v/>
      </c>
      <c r="FA250" s="305" t="str">
        <f t="shared" ca="1" si="736"/>
        <v/>
      </c>
      <c r="FB250" s="305" t="str">
        <f t="shared" ca="1" si="737"/>
        <v/>
      </c>
      <c r="FC250" s="305" t="str">
        <f t="shared" ca="1" si="738"/>
        <v/>
      </c>
      <c r="FD250" s="305" t="str">
        <f t="shared" ca="1" si="739"/>
        <v/>
      </c>
      <c r="FE250" s="305" t="str">
        <f t="shared" ca="1" si="740"/>
        <v/>
      </c>
      <c r="FF250" s="305" t="str">
        <f t="shared" ca="1" si="741"/>
        <v/>
      </c>
      <c r="FG250" s="299">
        <f t="shared" ca="1" si="742"/>
        <v>0</v>
      </c>
      <c r="FH250" s="302">
        <f t="shared" ca="1" si="743"/>
        <v>0</v>
      </c>
      <c r="FI250" s="248">
        <f t="shared" ca="1" si="744"/>
        <v>0</v>
      </c>
      <c r="FJ250" s="363">
        <f t="shared" ca="1" si="745"/>
        <v>0</v>
      </c>
      <c r="FK250" s="378" t="str">
        <f t="shared" ca="1" si="746"/>
        <v/>
      </c>
      <c r="FL250" s="508" t="str">
        <f t="shared" ca="1" si="747"/>
        <v/>
      </c>
      <c r="FM250" s="508" t="str">
        <f t="shared" ca="1" si="748"/>
        <v/>
      </c>
      <c r="FN250" s="508" t="str">
        <f t="shared" ca="1" si="749"/>
        <v/>
      </c>
      <c r="FO250" s="508" t="str">
        <f t="shared" ca="1" si="750"/>
        <v/>
      </c>
      <c r="FP250" s="353">
        <f t="shared" ca="1" si="751"/>
        <v>0</v>
      </c>
      <c r="FQ250" s="356">
        <f t="shared" ca="1" si="752"/>
        <v>0</v>
      </c>
      <c r="FR250" s="380">
        <f t="shared" ca="1" si="753"/>
        <v>0</v>
      </c>
      <c r="FS250" s="299">
        <f t="shared" ca="1" si="754"/>
        <v>0</v>
      </c>
      <c r="FT250" s="299">
        <f t="shared" ca="1" si="755"/>
        <v>0</v>
      </c>
      <c r="FU250" s="299">
        <f t="shared" ca="1" si="756"/>
        <v>0</v>
      </c>
      <c r="FV250" s="299">
        <f t="shared" ca="1" si="757"/>
        <v>0</v>
      </c>
      <c r="FW250" s="850" t="str">
        <f t="shared" ca="1" si="758"/>
        <v/>
      </c>
      <c r="FX250" s="851" t="str">
        <f t="shared" ca="1" si="759"/>
        <v/>
      </c>
      <c r="FY250" s="851" t="str">
        <f t="shared" ca="1" si="760"/>
        <v/>
      </c>
      <c r="FZ250" s="201" t="str">
        <f t="shared" ca="1" si="761"/>
        <v/>
      </c>
      <c r="GA250" s="201" t="str">
        <f t="shared" ca="1" si="762"/>
        <v/>
      </c>
      <c r="GB250" s="201" t="str">
        <f t="shared" ca="1" si="763"/>
        <v/>
      </c>
      <c r="GC250" s="201" t="str">
        <f t="shared" ca="1" si="764"/>
        <v/>
      </c>
      <c r="GD250" s="850" t="str">
        <f t="shared" ca="1" si="765"/>
        <v/>
      </c>
      <c r="GE250" s="866" t="str">
        <f t="shared" ca="1" si="766"/>
        <v/>
      </c>
      <c r="GF250" s="866" t="str">
        <f t="shared" ca="1" si="767"/>
        <v/>
      </c>
      <c r="GG250" s="866" t="str">
        <f t="shared" ca="1" si="768"/>
        <v/>
      </c>
      <c r="GH250" s="866" t="str">
        <f t="shared" ca="1" si="769"/>
        <v/>
      </c>
      <c r="GI250" s="302">
        <f t="shared" ca="1" si="770"/>
        <v>0</v>
      </c>
      <c r="GJ250" s="299">
        <f t="shared" ca="1" si="771"/>
        <v>0</v>
      </c>
      <c r="GK250" s="299">
        <f t="shared" ca="1" si="772"/>
        <v>0</v>
      </c>
      <c r="GL250" s="299">
        <f t="shared" ca="1" si="773"/>
        <v>0</v>
      </c>
      <c r="GM250" s="299">
        <f t="shared" ca="1" si="774"/>
        <v>0</v>
      </c>
      <c r="GN250" s="302">
        <f t="shared" ca="1" si="775"/>
        <v>0</v>
      </c>
      <c r="GO250" s="299">
        <f t="shared" ca="1" si="776"/>
        <v>0</v>
      </c>
      <c r="GP250" s="299">
        <f t="shared" ca="1" si="777"/>
        <v>0</v>
      </c>
      <c r="GQ250" s="299">
        <f t="shared" ca="1" si="778"/>
        <v>0</v>
      </c>
      <c r="GR250" s="299">
        <f t="shared" ca="1" si="779"/>
        <v>0</v>
      </c>
      <c r="GS250" s="302">
        <f t="shared" ca="1" si="780"/>
        <v>0</v>
      </c>
      <c r="GT250" s="299">
        <f t="shared" ca="1" si="781"/>
        <v>0</v>
      </c>
      <c r="GU250" s="299">
        <f t="shared" ca="1" si="782"/>
        <v>0</v>
      </c>
      <c r="GV250" s="299">
        <f t="shared" ca="1" si="783"/>
        <v>0</v>
      </c>
      <c r="GW250" s="299">
        <f t="shared" ca="1" si="784"/>
        <v>0</v>
      </c>
      <c r="GX250" s="303">
        <f t="shared" ca="1" si="785"/>
        <v>0</v>
      </c>
      <c r="GY250" s="303">
        <f t="shared" ca="1" si="786"/>
        <v>0</v>
      </c>
      <c r="GZ250" s="303">
        <f t="shared" ca="1" si="787"/>
        <v>0</v>
      </c>
      <c r="HA250" s="303">
        <f t="shared" ca="1" si="788"/>
        <v>0</v>
      </c>
      <c r="HB250" s="303">
        <f t="shared" ca="1" si="789"/>
        <v>0</v>
      </c>
      <c r="HC250" s="303">
        <f t="shared" ca="1" si="790"/>
        <v>0</v>
      </c>
      <c r="HD250" s="303">
        <f t="shared" ca="1" si="791"/>
        <v>0</v>
      </c>
      <c r="HE250" s="303">
        <f t="shared" ca="1" si="792"/>
        <v>0</v>
      </c>
      <c r="HF250" s="303">
        <f t="shared" ca="1" si="793"/>
        <v>0</v>
      </c>
      <c r="HG250" s="852">
        <f t="shared" ca="1" si="794"/>
        <v>0</v>
      </c>
    </row>
    <row r="251" spans="1:215" x14ac:dyDescent="0.25">
      <c r="A251" s="244">
        <f t="shared" ca="1" si="795"/>
        <v>43739</v>
      </c>
      <c r="B251" s="13">
        <f t="shared" ca="1" si="825"/>
        <v>2019</v>
      </c>
      <c r="C251" s="619">
        <f t="shared" ca="1" si="826"/>
        <v>10</v>
      </c>
      <c r="D251" s="195" t="str">
        <f t="shared" ca="1" si="625"/>
        <v/>
      </c>
      <c r="E251" s="469" t="str">
        <f t="shared" ca="1" si="626"/>
        <v/>
      </c>
      <c r="F251" s="465" t="str">
        <f t="shared" ca="1" si="627"/>
        <v/>
      </c>
      <c r="G251" s="522">
        <f t="shared" ca="1" si="796"/>
        <v>1</v>
      </c>
      <c r="H251" s="519">
        <f t="shared" ca="1" si="797"/>
        <v>1</v>
      </c>
      <c r="I251" s="724">
        <f t="shared" ca="1" si="827"/>
        <v>7.4171399323010007E-2</v>
      </c>
      <c r="J251" s="198">
        <f t="shared" ca="1" si="629"/>
        <v>0.2378666650378784</v>
      </c>
      <c r="K251" s="200" t="e">
        <f t="shared" ca="1" si="805"/>
        <v>#N/A</v>
      </c>
      <c r="L251" s="201" t="e">
        <f t="shared" ca="1" si="806"/>
        <v>#N/A</v>
      </c>
      <c r="M251" s="206" t="e">
        <f t="shared" ca="1" si="807"/>
        <v>#N/A</v>
      </c>
      <c r="N251" s="851" t="e">
        <f t="shared" ca="1" si="811"/>
        <v>#N/A</v>
      </c>
      <c r="O251" s="201" t="e">
        <f t="shared" ca="1" si="812"/>
        <v>#N/A</v>
      </c>
      <c r="P251" s="206" t="e">
        <f t="shared" ca="1" si="813"/>
        <v>#N/A</v>
      </c>
      <c r="Q251" s="201" t="e">
        <f t="shared" ca="1" si="814"/>
        <v>#N/A</v>
      </c>
      <c r="R251" s="201" t="e">
        <f t="shared" ca="1" si="815"/>
        <v>#N/A</v>
      </c>
      <c r="S251" s="201" t="e">
        <f t="shared" ca="1" si="816"/>
        <v>#N/A</v>
      </c>
      <c r="T251" s="851" t="e">
        <f t="shared" ca="1" si="808"/>
        <v>#N/A</v>
      </c>
      <c r="U251" s="201" t="e">
        <f t="shared" ca="1" si="809"/>
        <v>#N/A</v>
      </c>
      <c r="V251" s="206" t="e">
        <f t="shared" ca="1" si="810"/>
        <v>#N/A</v>
      </c>
      <c r="W251" s="230" t="e">
        <f t="shared" ca="1" si="798"/>
        <v>#N/A</v>
      </c>
      <c r="X251" s="231" t="e">
        <f t="shared" ca="1" si="799"/>
        <v>#N/A</v>
      </c>
      <c r="Y251" s="232" t="e">
        <f t="shared" ca="1" si="800"/>
        <v>#N/A</v>
      </c>
      <c r="Z251" s="231" t="e">
        <f t="shared" ca="1" si="820"/>
        <v>#N/A</v>
      </c>
      <c r="AA251" s="231" t="e">
        <f t="shared" ca="1" si="821"/>
        <v>#N/A</v>
      </c>
      <c r="AB251" s="232" t="e">
        <f t="shared" ca="1" si="822"/>
        <v>#N/A</v>
      </c>
      <c r="AC251" s="231" t="e">
        <f t="shared" ca="1" si="823"/>
        <v>#N/A</v>
      </c>
      <c r="AD251" s="231" t="e">
        <f t="shared" ca="1" si="824"/>
        <v>#N/A</v>
      </c>
      <c r="AE251" s="232" t="e">
        <f t="shared" ca="1" si="630"/>
        <v>#N/A</v>
      </c>
      <c r="AF251" s="231" t="e">
        <f t="shared" ca="1" si="801"/>
        <v>#N/A</v>
      </c>
      <c r="AG251" s="231" t="e">
        <f t="shared" ca="1" si="802"/>
        <v>#N/A</v>
      </c>
      <c r="AH251" s="232" t="e">
        <f t="shared" ca="1" si="803"/>
        <v>#N/A</v>
      </c>
      <c r="AI251" s="233" t="e">
        <f t="shared" ca="1" si="631"/>
        <v>#N/A</v>
      </c>
      <c r="AJ251" s="233" t="e">
        <f t="shared" ca="1" si="632"/>
        <v>#N/A</v>
      </c>
      <c r="AK251" s="234" t="e">
        <f t="shared" ca="1" si="633"/>
        <v>#N/A</v>
      </c>
      <c r="AL251" s="919" t="e">
        <f t="shared" ca="1" si="634"/>
        <v>#N/A</v>
      </c>
      <c r="AM251" s="233" t="e">
        <f t="shared" ca="1" si="635"/>
        <v>#N/A</v>
      </c>
      <c r="AN251" s="234" t="e">
        <f t="shared" ca="1" si="636"/>
        <v>#N/A</v>
      </c>
      <c r="AO251" s="233" t="e">
        <f t="shared" ca="1" si="637"/>
        <v>#N/A</v>
      </c>
      <c r="AP251" s="233" t="e">
        <f t="shared" ca="1" si="638"/>
        <v>#N/A</v>
      </c>
      <c r="AQ251" s="233" t="e">
        <f t="shared" ca="1" si="639"/>
        <v>#N/A</v>
      </c>
      <c r="AR251" s="919" t="e">
        <f t="shared" ca="1" si="640"/>
        <v>#N/A</v>
      </c>
      <c r="AS251" s="233" t="e">
        <f t="shared" ca="1" si="641"/>
        <v>#N/A</v>
      </c>
      <c r="AT251" s="235" t="e">
        <f t="shared" ca="1" si="642"/>
        <v>#N/A</v>
      </c>
      <c r="AU251" s="946">
        <f t="shared" si="643"/>
        <v>0.5</v>
      </c>
      <c r="AV251" s="13">
        <f t="shared" ca="1" si="644"/>
        <v>0</v>
      </c>
      <c r="AW251" s="210">
        <f t="shared" ca="1" si="645"/>
        <v>0</v>
      </c>
      <c r="AX251" s="210">
        <f t="shared" ca="1" si="646"/>
        <v>0</v>
      </c>
      <c r="AY251" s="210">
        <f t="shared" ca="1" si="647"/>
        <v>0</v>
      </c>
      <c r="AZ251" s="13">
        <f t="shared" ca="1" si="648"/>
        <v>0</v>
      </c>
      <c r="BA251" s="357">
        <f ca="1"/>
        <v>0</v>
      </c>
      <c r="BB251" s="925">
        <f ca="1"/>
        <v>0</v>
      </c>
      <c r="BC251" s="925">
        <f ca="1"/>
        <v>0</v>
      </c>
      <c r="BD251" s="928">
        <f ca="1"/>
        <v>0</v>
      </c>
      <c r="BE251" s="200">
        <f ca="1"/>
        <v>0</v>
      </c>
      <c r="BF251" s="851">
        <f ca="1"/>
        <v>0</v>
      </c>
      <c r="BG251" s="851">
        <f ca="1"/>
        <v>0</v>
      </c>
      <c r="BH251" s="933">
        <f ca="1"/>
        <v>0</v>
      </c>
      <c r="BI251" s="357">
        <f ca="1"/>
        <v>0</v>
      </c>
      <c r="BJ251" s="925">
        <f ca="1"/>
        <v>0</v>
      </c>
      <c r="BK251" s="925">
        <f ca="1"/>
        <v>0</v>
      </c>
      <c r="BL251" s="928">
        <f ca="1"/>
        <v>0</v>
      </c>
      <c r="BM251" s="200">
        <f ca="1"/>
        <v>0</v>
      </c>
      <c r="BN251" s="851">
        <f ca="1"/>
        <v>0</v>
      </c>
      <c r="BO251" s="851">
        <f ca="1"/>
        <v>0</v>
      </c>
      <c r="BP251" s="933">
        <f ca="1"/>
        <v>0</v>
      </c>
      <c r="BQ251" s="357">
        <f t="shared" ca="1" si="649"/>
        <v>0</v>
      </c>
      <c r="BR251" s="361">
        <f t="shared" ca="1" si="650"/>
        <v>0</v>
      </c>
      <c r="BS251" s="357">
        <f t="shared" ca="1" si="651"/>
        <v>0</v>
      </c>
      <c r="BT251" s="302">
        <f t="shared" ca="1" si="652"/>
        <v>0</v>
      </c>
      <c r="BU251" s="299">
        <f t="shared" ca="1" si="653"/>
        <v>0</v>
      </c>
      <c r="BV251" s="299">
        <f t="shared" ca="1" si="654"/>
        <v>0</v>
      </c>
      <c r="BW251" s="299">
        <f t="shared" ca="1" si="655"/>
        <v>0</v>
      </c>
      <c r="BX251" s="380">
        <f t="shared" ca="1" si="656"/>
        <v>19.581108829568787</v>
      </c>
      <c r="BY251" s="363">
        <f t="shared" ca="1" si="657"/>
        <v>0</v>
      </c>
      <c r="BZ251" s="353">
        <f t="shared" ca="1" si="658"/>
        <v>0</v>
      </c>
      <c r="CA251" s="353">
        <f t="shared" ca="1" si="659"/>
        <v>0</v>
      </c>
      <c r="CB251" s="353">
        <f t="shared" ca="1" si="660"/>
        <v>0</v>
      </c>
      <c r="CC251" s="353">
        <f t="shared" ca="1" si="661"/>
        <v>0</v>
      </c>
      <c r="CD251" s="353">
        <f t="shared" ca="1" si="662"/>
        <v>0</v>
      </c>
      <c r="CE251" s="302">
        <f t="shared" ca="1" si="663"/>
        <v>0</v>
      </c>
      <c r="CF251" s="299">
        <f t="shared" ca="1" si="664"/>
        <v>0</v>
      </c>
      <c r="CG251" s="299">
        <f t="shared" ca="1" si="665"/>
        <v>0</v>
      </c>
      <c r="CH251" s="299">
        <f t="shared" ca="1" si="666"/>
        <v>0</v>
      </c>
      <c r="CI251" s="299">
        <f t="shared" ca="1" si="667"/>
        <v>0</v>
      </c>
      <c r="CJ251" s="299">
        <f t="shared" ca="1" si="668"/>
        <v>0</v>
      </c>
      <c r="CK251" s="299">
        <f t="shared" ca="1" si="669"/>
        <v>0</v>
      </c>
      <c r="CL251" s="377" t="str">
        <f t="shared" ca="1" si="670"/>
        <v/>
      </c>
      <c r="CM251" s="305" t="str">
        <f t="shared" ca="1" si="671"/>
        <v/>
      </c>
      <c r="CN251" s="305" t="str">
        <f t="shared" ca="1" si="672"/>
        <v/>
      </c>
      <c r="CO251" s="305" t="str">
        <f t="shared" ca="1" si="673"/>
        <v/>
      </c>
      <c r="CP251" s="305" t="str">
        <f t="shared" ca="1" si="674"/>
        <v/>
      </c>
      <c r="CQ251" s="305" t="str">
        <f t="shared" ca="1" si="675"/>
        <v/>
      </c>
      <c r="CR251" s="775" t="str">
        <f t="shared" ca="1" si="676"/>
        <v/>
      </c>
      <c r="CS251" s="305" t="str">
        <f t="shared" ca="1" si="677"/>
        <v/>
      </c>
      <c r="CT251" s="305" t="str">
        <f t="shared" ca="1" si="678"/>
        <v/>
      </c>
      <c r="CU251" s="305" t="str">
        <f t="shared" ca="1" si="679"/>
        <v/>
      </c>
      <c r="CV251" s="770" t="str">
        <f t="shared" ca="1" si="680"/>
        <v/>
      </c>
      <c r="CW251" s="302">
        <f t="shared" ca="1" si="681"/>
        <v>0</v>
      </c>
      <c r="CX251" s="299">
        <f t="shared" ca="1" si="682"/>
        <v>0</v>
      </c>
      <c r="CY251" s="299">
        <f t="shared" ca="1" si="683"/>
        <v>0</v>
      </c>
      <c r="CZ251" s="299">
        <f t="shared" ca="1" si="684"/>
        <v>0</v>
      </c>
      <c r="DA251" s="774">
        <f t="shared" ca="1" si="685"/>
        <v>0</v>
      </c>
      <c r="DB251" s="303">
        <f t="shared" ca="1" si="686"/>
        <v>0</v>
      </c>
      <c r="DC251" s="248">
        <f t="shared" ca="1" si="687"/>
        <v>0</v>
      </c>
      <c r="DD251" s="778">
        <f t="shared" ca="1" si="688"/>
        <v>0</v>
      </c>
      <c r="DE251" s="363">
        <f t="shared" ca="1" si="689"/>
        <v>0</v>
      </c>
      <c r="DF251" s="378" t="str">
        <f t="shared" ca="1" si="690"/>
        <v/>
      </c>
      <c r="DG251" s="508" t="str">
        <f t="shared" ca="1" si="691"/>
        <v/>
      </c>
      <c r="DH251" s="508" t="str">
        <f t="shared" ca="1" si="692"/>
        <v/>
      </c>
      <c r="DI251" s="508" t="str">
        <f t="shared" ca="1" si="693"/>
        <v/>
      </c>
      <c r="DJ251" s="508" t="str">
        <f t="shared" ca="1" si="694"/>
        <v/>
      </c>
      <c r="DK251" s="353">
        <f t="shared" ca="1" si="695"/>
        <v>0</v>
      </c>
      <c r="DL251" s="781">
        <f t="shared" ca="1" si="696"/>
        <v>0</v>
      </c>
      <c r="DM251" s="303">
        <f t="shared" ca="1" si="697"/>
        <v>0</v>
      </c>
      <c r="DN251" s="508" t="str">
        <f t="shared" ca="1" si="698"/>
        <v/>
      </c>
      <c r="DO251" s="508" t="str">
        <f t="shared" ca="1" si="699"/>
        <v/>
      </c>
      <c r="DP251" s="508" t="str">
        <f t="shared" ca="1" si="700"/>
        <v/>
      </c>
      <c r="DQ251" s="508" t="str">
        <f t="shared" ca="1" si="701"/>
        <v/>
      </c>
      <c r="DR251" s="508" t="str">
        <f t="shared" ca="1" si="702"/>
        <v/>
      </c>
      <c r="DS251" s="353">
        <f t="shared" ca="1" si="703"/>
        <v>0</v>
      </c>
      <c r="DT251" s="353">
        <f t="shared" ca="1" si="704"/>
        <v>0</v>
      </c>
      <c r="DU251" s="380">
        <f t="shared" ca="1" si="804"/>
        <v>19.581108829568787</v>
      </c>
      <c r="DV251" s="303">
        <f t="shared" ca="1" si="705"/>
        <v>0</v>
      </c>
      <c r="DW251" s="303">
        <f t="shared" ca="1" si="706"/>
        <v>0</v>
      </c>
      <c r="DX251" s="303">
        <f t="shared" ca="1" si="707"/>
        <v>0</v>
      </c>
      <c r="DY251" s="303">
        <f t="shared" ca="1" si="708"/>
        <v>0</v>
      </c>
      <c r="DZ251" s="303">
        <f t="shared" ca="1" si="709"/>
        <v>0</v>
      </c>
      <c r="EA251" s="303">
        <f t="shared" ca="1" si="710"/>
        <v>0</v>
      </c>
      <c r="EB251" s="302">
        <f t="shared" ca="1" si="711"/>
        <v>0</v>
      </c>
      <c r="EC251" s="299">
        <f t="shared" ca="1" si="712"/>
        <v>0</v>
      </c>
      <c r="ED251" s="299">
        <f t="shared" ca="1" si="713"/>
        <v>0</v>
      </c>
      <c r="EE251" s="299">
        <f t="shared" ca="1" si="714"/>
        <v>0</v>
      </c>
      <c r="EF251" s="299">
        <f t="shared" ca="1" si="715"/>
        <v>0</v>
      </c>
      <c r="EG251" s="299">
        <f t="shared" ca="1" si="716"/>
        <v>0</v>
      </c>
      <c r="EH251" s="302">
        <f t="shared" ca="1" si="717"/>
        <v>0</v>
      </c>
      <c r="EI251" s="304" t="str">
        <f t="shared" ca="1" si="718"/>
        <v/>
      </c>
      <c r="EJ251" s="305" t="str">
        <f t="shared" ca="1" si="719"/>
        <v/>
      </c>
      <c r="EK251" s="305" t="str">
        <f t="shared" ca="1" si="720"/>
        <v/>
      </c>
      <c r="EL251" s="305" t="str">
        <f t="shared" ca="1" si="721"/>
        <v/>
      </c>
      <c r="EM251" s="305" t="str">
        <f t="shared" ca="1" si="722"/>
        <v/>
      </c>
      <c r="EN251" s="305" t="str">
        <f t="shared" ca="1" si="723"/>
        <v/>
      </c>
      <c r="EO251" s="305" t="str">
        <f t="shared" ca="1" si="724"/>
        <v/>
      </c>
      <c r="EP251" s="305" t="str">
        <f t="shared" ca="1" si="725"/>
        <v/>
      </c>
      <c r="EQ251" s="305" t="str">
        <f t="shared" ca="1" si="726"/>
        <v/>
      </c>
      <c r="ER251" s="305" t="str">
        <f t="shared" ca="1" si="727"/>
        <v/>
      </c>
      <c r="ES251" s="305" t="str">
        <f t="shared" ca="1" si="728"/>
        <v/>
      </c>
      <c r="ET251" s="299">
        <f t="shared" ca="1" si="729"/>
        <v>0</v>
      </c>
      <c r="EU251" s="302">
        <f t="shared" ca="1" si="730"/>
        <v>0</v>
      </c>
      <c r="EV251" s="304" t="str">
        <f t="shared" ca="1" si="731"/>
        <v/>
      </c>
      <c r="EW251" s="305" t="str">
        <f t="shared" ca="1" si="732"/>
        <v/>
      </c>
      <c r="EX251" s="305" t="str">
        <f t="shared" ca="1" si="733"/>
        <v/>
      </c>
      <c r="EY251" s="305" t="str">
        <f t="shared" ca="1" si="734"/>
        <v/>
      </c>
      <c r="EZ251" s="305" t="str">
        <f t="shared" ca="1" si="735"/>
        <v/>
      </c>
      <c r="FA251" s="305" t="str">
        <f t="shared" ca="1" si="736"/>
        <v/>
      </c>
      <c r="FB251" s="305" t="str">
        <f t="shared" ca="1" si="737"/>
        <v/>
      </c>
      <c r="FC251" s="305" t="str">
        <f t="shared" ca="1" si="738"/>
        <v/>
      </c>
      <c r="FD251" s="305" t="str">
        <f t="shared" ca="1" si="739"/>
        <v/>
      </c>
      <c r="FE251" s="305" t="str">
        <f t="shared" ca="1" si="740"/>
        <v/>
      </c>
      <c r="FF251" s="305" t="str">
        <f t="shared" ca="1" si="741"/>
        <v/>
      </c>
      <c r="FG251" s="299">
        <f t="shared" ca="1" si="742"/>
        <v>0</v>
      </c>
      <c r="FH251" s="302">
        <f t="shared" ca="1" si="743"/>
        <v>0</v>
      </c>
      <c r="FI251" s="248">
        <f t="shared" ca="1" si="744"/>
        <v>0</v>
      </c>
      <c r="FJ251" s="363">
        <f t="shared" ca="1" si="745"/>
        <v>0</v>
      </c>
      <c r="FK251" s="378" t="str">
        <f t="shared" ca="1" si="746"/>
        <v/>
      </c>
      <c r="FL251" s="508" t="str">
        <f t="shared" ca="1" si="747"/>
        <v/>
      </c>
      <c r="FM251" s="508" t="str">
        <f t="shared" ca="1" si="748"/>
        <v/>
      </c>
      <c r="FN251" s="508" t="str">
        <f t="shared" ca="1" si="749"/>
        <v/>
      </c>
      <c r="FO251" s="508" t="str">
        <f t="shared" ca="1" si="750"/>
        <v/>
      </c>
      <c r="FP251" s="353">
        <f t="shared" ca="1" si="751"/>
        <v>0</v>
      </c>
      <c r="FQ251" s="356">
        <f t="shared" ca="1" si="752"/>
        <v>0</v>
      </c>
      <c r="FR251" s="380">
        <f t="shared" ca="1" si="753"/>
        <v>0</v>
      </c>
      <c r="FS251" s="299">
        <f t="shared" ca="1" si="754"/>
        <v>0</v>
      </c>
      <c r="FT251" s="299">
        <f t="shared" ca="1" si="755"/>
        <v>0</v>
      </c>
      <c r="FU251" s="299">
        <f t="shared" ca="1" si="756"/>
        <v>0</v>
      </c>
      <c r="FV251" s="299">
        <f t="shared" ca="1" si="757"/>
        <v>0</v>
      </c>
      <c r="FW251" s="850" t="str">
        <f t="shared" ca="1" si="758"/>
        <v/>
      </c>
      <c r="FX251" s="851" t="str">
        <f t="shared" ca="1" si="759"/>
        <v/>
      </c>
      <c r="FY251" s="851" t="str">
        <f t="shared" ca="1" si="760"/>
        <v/>
      </c>
      <c r="FZ251" s="201" t="str">
        <f t="shared" ca="1" si="761"/>
        <v/>
      </c>
      <c r="GA251" s="201" t="str">
        <f t="shared" ca="1" si="762"/>
        <v/>
      </c>
      <c r="GB251" s="201" t="str">
        <f t="shared" ca="1" si="763"/>
        <v/>
      </c>
      <c r="GC251" s="201" t="str">
        <f t="shared" ca="1" si="764"/>
        <v/>
      </c>
      <c r="GD251" s="850" t="str">
        <f t="shared" ca="1" si="765"/>
        <v/>
      </c>
      <c r="GE251" s="866" t="str">
        <f t="shared" ca="1" si="766"/>
        <v/>
      </c>
      <c r="GF251" s="866" t="str">
        <f t="shared" ca="1" si="767"/>
        <v/>
      </c>
      <c r="GG251" s="866" t="str">
        <f t="shared" ca="1" si="768"/>
        <v/>
      </c>
      <c r="GH251" s="866" t="str">
        <f t="shared" ca="1" si="769"/>
        <v/>
      </c>
      <c r="GI251" s="302">
        <f t="shared" ca="1" si="770"/>
        <v>0</v>
      </c>
      <c r="GJ251" s="299">
        <f t="shared" ca="1" si="771"/>
        <v>0</v>
      </c>
      <c r="GK251" s="299">
        <f t="shared" ca="1" si="772"/>
        <v>0</v>
      </c>
      <c r="GL251" s="299">
        <f t="shared" ca="1" si="773"/>
        <v>0</v>
      </c>
      <c r="GM251" s="299">
        <f t="shared" ca="1" si="774"/>
        <v>0</v>
      </c>
      <c r="GN251" s="302">
        <f t="shared" ca="1" si="775"/>
        <v>0</v>
      </c>
      <c r="GO251" s="299">
        <f t="shared" ca="1" si="776"/>
        <v>0</v>
      </c>
      <c r="GP251" s="299">
        <f t="shared" ca="1" si="777"/>
        <v>0</v>
      </c>
      <c r="GQ251" s="299">
        <f t="shared" ca="1" si="778"/>
        <v>0</v>
      </c>
      <c r="GR251" s="299">
        <f t="shared" ca="1" si="779"/>
        <v>0</v>
      </c>
      <c r="GS251" s="302">
        <f t="shared" ca="1" si="780"/>
        <v>0</v>
      </c>
      <c r="GT251" s="299">
        <f t="shared" ca="1" si="781"/>
        <v>0</v>
      </c>
      <c r="GU251" s="299">
        <f t="shared" ca="1" si="782"/>
        <v>0</v>
      </c>
      <c r="GV251" s="299">
        <f t="shared" ca="1" si="783"/>
        <v>0</v>
      </c>
      <c r="GW251" s="299">
        <f t="shared" ca="1" si="784"/>
        <v>0</v>
      </c>
      <c r="GX251" s="303">
        <f t="shared" ca="1" si="785"/>
        <v>0</v>
      </c>
      <c r="GY251" s="303">
        <f t="shared" ca="1" si="786"/>
        <v>0</v>
      </c>
      <c r="GZ251" s="303">
        <f t="shared" ca="1" si="787"/>
        <v>0</v>
      </c>
      <c r="HA251" s="303">
        <f t="shared" ca="1" si="788"/>
        <v>0</v>
      </c>
      <c r="HB251" s="303">
        <f t="shared" ca="1" si="789"/>
        <v>0</v>
      </c>
      <c r="HC251" s="303">
        <f t="shared" ca="1" si="790"/>
        <v>0</v>
      </c>
      <c r="HD251" s="303">
        <f t="shared" ca="1" si="791"/>
        <v>0</v>
      </c>
      <c r="HE251" s="303">
        <f t="shared" ca="1" si="792"/>
        <v>0</v>
      </c>
      <c r="HF251" s="303">
        <f t="shared" ca="1" si="793"/>
        <v>0</v>
      </c>
      <c r="HG251" s="852">
        <f t="shared" ca="1" si="794"/>
        <v>0</v>
      </c>
    </row>
    <row r="252" spans="1:215" x14ac:dyDescent="0.25">
      <c r="A252" s="244">
        <f t="shared" ca="1" si="795"/>
        <v>43770</v>
      </c>
      <c r="B252" s="13">
        <f t="shared" ca="1" si="825"/>
        <v>2019</v>
      </c>
      <c r="C252" s="619">
        <f t="shared" ca="1" si="826"/>
        <v>11</v>
      </c>
      <c r="D252" s="195">
        <f t="shared" ca="1" si="625"/>
        <v>43797</v>
      </c>
      <c r="E252" s="469" t="str">
        <f t="shared" ca="1" si="626"/>
        <v/>
      </c>
      <c r="F252" s="465" t="str">
        <f t="shared" ca="1" si="627"/>
        <v/>
      </c>
      <c r="G252" s="522">
        <f t="shared" ca="1" si="796"/>
        <v>1</v>
      </c>
      <c r="H252" s="519">
        <f t="shared" ca="1" si="797"/>
        <v>1</v>
      </c>
      <c r="I252" s="724">
        <f t="shared" ca="1" si="827"/>
        <v>7.4171104605130003E-2</v>
      </c>
      <c r="J252" s="198">
        <f t="shared" ca="1" si="629"/>
        <v>0.23644935786518548</v>
      </c>
      <c r="K252" s="200" t="e">
        <f t="shared" ca="1" si="805"/>
        <v>#N/A</v>
      </c>
      <c r="L252" s="201" t="e">
        <f t="shared" ca="1" si="806"/>
        <v>#N/A</v>
      </c>
      <c r="M252" s="206" t="e">
        <f t="shared" ca="1" si="807"/>
        <v>#N/A</v>
      </c>
      <c r="N252" s="851" t="e">
        <f t="shared" ca="1" si="811"/>
        <v>#N/A</v>
      </c>
      <c r="O252" s="201" t="e">
        <f t="shared" ca="1" si="812"/>
        <v>#N/A</v>
      </c>
      <c r="P252" s="206" t="e">
        <f t="shared" ca="1" si="813"/>
        <v>#N/A</v>
      </c>
      <c r="Q252" s="201" t="e">
        <f t="shared" ca="1" si="814"/>
        <v>#N/A</v>
      </c>
      <c r="R252" s="201" t="e">
        <f t="shared" ca="1" si="815"/>
        <v>#N/A</v>
      </c>
      <c r="S252" s="201" t="e">
        <f t="shared" ca="1" si="816"/>
        <v>#N/A</v>
      </c>
      <c r="T252" s="851" t="e">
        <f t="shared" ca="1" si="808"/>
        <v>#N/A</v>
      </c>
      <c r="U252" s="201" t="e">
        <f t="shared" ca="1" si="809"/>
        <v>#N/A</v>
      </c>
      <c r="V252" s="206" t="e">
        <f t="shared" ca="1" si="810"/>
        <v>#N/A</v>
      </c>
      <c r="W252" s="230" t="e">
        <f t="shared" ca="1" si="798"/>
        <v>#N/A</v>
      </c>
      <c r="X252" s="231" t="e">
        <f t="shared" ca="1" si="799"/>
        <v>#N/A</v>
      </c>
      <c r="Y252" s="232" t="e">
        <f t="shared" ca="1" si="800"/>
        <v>#N/A</v>
      </c>
      <c r="Z252" s="231" t="e">
        <f t="shared" ca="1" si="820"/>
        <v>#N/A</v>
      </c>
      <c r="AA252" s="231" t="e">
        <f t="shared" ca="1" si="821"/>
        <v>#N/A</v>
      </c>
      <c r="AB252" s="232" t="e">
        <f t="shared" ca="1" si="822"/>
        <v>#N/A</v>
      </c>
      <c r="AC252" s="231" t="e">
        <f t="shared" ca="1" si="823"/>
        <v>#N/A</v>
      </c>
      <c r="AD252" s="231" t="e">
        <f t="shared" ca="1" si="824"/>
        <v>#N/A</v>
      </c>
      <c r="AE252" s="232" t="e">
        <f t="shared" ca="1" si="630"/>
        <v>#N/A</v>
      </c>
      <c r="AF252" s="231" t="e">
        <f t="shared" ca="1" si="801"/>
        <v>#N/A</v>
      </c>
      <c r="AG252" s="231" t="e">
        <f t="shared" ca="1" si="802"/>
        <v>#N/A</v>
      </c>
      <c r="AH252" s="232" t="e">
        <f t="shared" ca="1" si="803"/>
        <v>#N/A</v>
      </c>
      <c r="AI252" s="233" t="e">
        <f t="shared" ca="1" si="631"/>
        <v>#N/A</v>
      </c>
      <c r="AJ252" s="233" t="e">
        <f t="shared" ca="1" si="632"/>
        <v>#N/A</v>
      </c>
      <c r="AK252" s="234" t="e">
        <f t="shared" ca="1" si="633"/>
        <v>#N/A</v>
      </c>
      <c r="AL252" s="919" t="e">
        <f t="shared" ca="1" si="634"/>
        <v>#N/A</v>
      </c>
      <c r="AM252" s="233" t="e">
        <f t="shared" ca="1" si="635"/>
        <v>#N/A</v>
      </c>
      <c r="AN252" s="234" t="e">
        <f t="shared" ca="1" si="636"/>
        <v>#N/A</v>
      </c>
      <c r="AO252" s="233" t="e">
        <f t="shared" ca="1" si="637"/>
        <v>#N/A</v>
      </c>
      <c r="AP252" s="233" t="e">
        <f t="shared" ca="1" si="638"/>
        <v>#N/A</v>
      </c>
      <c r="AQ252" s="233" t="e">
        <f t="shared" ca="1" si="639"/>
        <v>#N/A</v>
      </c>
      <c r="AR252" s="919" t="e">
        <f t="shared" ca="1" si="640"/>
        <v>#N/A</v>
      </c>
      <c r="AS252" s="233" t="e">
        <f t="shared" ca="1" si="641"/>
        <v>#N/A</v>
      </c>
      <c r="AT252" s="235" t="e">
        <f t="shared" ca="1" si="642"/>
        <v>#N/A</v>
      </c>
      <c r="AU252" s="946">
        <f t="shared" si="643"/>
        <v>0.5</v>
      </c>
      <c r="AV252" s="13">
        <f t="shared" ca="1" si="644"/>
        <v>0</v>
      </c>
      <c r="AW252" s="210">
        <f t="shared" ca="1" si="645"/>
        <v>0</v>
      </c>
      <c r="AX252" s="210">
        <f t="shared" ca="1" si="646"/>
        <v>0</v>
      </c>
      <c r="AY252" s="210">
        <f t="shared" ca="1" si="647"/>
        <v>0</v>
      </c>
      <c r="AZ252" s="13">
        <f t="shared" ca="1" si="648"/>
        <v>0</v>
      </c>
      <c r="BA252" s="357">
        <f ca="1"/>
        <v>0</v>
      </c>
      <c r="BB252" s="925">
        <f ca="1"/>
        <v>0</v>
      </c>
      <c r="BC252" s="925">
        <f ca="1"/>
        <v>0</v>
      </c>
      <c r="BD252" s="928">
        <f ca="1"/>
        <v>0</v>
      </c>
      <c r="BE252" s="200">
        <f ca="1"/>
        <v>0</v>
      </c>
      <c r="BF252" s="851">
        <f ca="1"/>
        <v>0</v>
      </c>
      <c r="BG252" s="851">
        <f ca="1"/>
        <v>0</v>
      </c>
      <c r="BH252" s="933">
        <f ca="1"/>
        <v>0</v>
      </c>
      <c r="BI252" s="357">
        <f ca="1"/>
        <v>0</v>
      </c>
      <c r="BJ252" s="925">
        <f ca="1"/>
        <v>0</v>
      </c>
      <c r="BK252" s="925">
        <f ca="1"/>
        <v>0</v>
      </c>
      <c r="BL252" s="928">
        <f ca="1"/>
        <v>0</v>
      </c>
      <c r="BM252" s="200">
        <f ca="1"/>
        <v>0</v>
      </c>
      <c r="BN252" s="851">
        <f ca="1"/>
        <v>0</v>
      </c>
      <c r="BO252" s="851">
        <f ca="1"/>
        <v>0</v>
      </c>
      <c r="BP252" s="933">
        <f ca="1"/>
        <v>0</v>
      </c>
      <c r="BQ252" s="357">
        <f t="shared" ca="1" si="649"/>
        <v>0</v>
      </c>
      <c r="BR252" s="361">
        <f t="shared" ca="1" si="650"/>
        <v>0</v>
      </c>
      <c r="BS252" s="357">
        <f t="shared" ca="1" si="651"/>
        <v>0</v>
      </c>
      <c r="BT252" s="302">
        <f t="shared" ca="1" si="652"/>
        <v>0</v>
      </c>
      <c r="BU252" s="299">
        <f t="shared" ca="1" si="653"/>
        <v>0</v>
      </c>
      <c r="BV252" s="299">
        <f t="shared" ca="1" si="654"/>
        <v>0</v>
      </c>
      <c r="BW252" s="299">
        <f t="shared" ca="1" si="655"/>
        <v>0</v>
      </c>
      <c r="BX252" s="380">
        <f t="shared" ca="1" si="656"/>
        <v>19.665982203969882</v>
      </c>
      <c r="BY252" s="363">
        <f t="shared" ca="1" si="657"/>
        <v>0</v>
      </c>
      <c r="BZ252" s="353">
        <f t="shared" ca="1" si="658"/>
        <v>0</v>
      </c>
      <c r="CA252" s="353">
        <f t="shared" ca="1" si="659"/>
        <v>0</v>
      </c>
      <c r="CB252" s="353">
        <f t="shared" ca="1" si="660"/>
        <v>0</v>
      </c>
      <c r="CC252" s="353">
        <f t="shared" ca="1" si="661"/>
        <v>0</v>
      </c>
      <c r="CD252" s="353">
        <f t="shared" ca="1" si="662"/>
        <v>0</v>
      </c>
      <c r="CE252" s="302">
        <f t="shared" ca="1" si="663"/>
        <v>0</v>
      </c>
      <c r="CF252" s="299">
        <f t="shared" ca="1" si="664"/>
        <v>0</v>
      </c>
      <c r="CG252" s="299">
        <f t="shared" ca="1" si="665"/>
        <v>0</v>
      </c>
      <c r="CH252" s="299">
        <f t="shared" ca="1" si="666"/>
        <v>0</v>
      </c>
      <c r="CI252" s="299">
        <f t="shared" ca="1" si="667"/>
        <v>0</v>
      </c>
      <c r="CJ252" s="299">
        <f t="shared" ca="1" si="668"/>
        <v>0</v>
      </c>
      <c r="CK252" s="299">
        <f t="shared" ca="1" si="669"/>
        <v>0</v>
      </c>
      <c r="CL252" s="377" t="str">
        <f t="shared" ca="1" si="670"/>
        <v/>
      </c>
      <c r="CM252" s="305" t="str">
        <f t="shared" ca="1" si="671"/>
        <v/>
      </c>
      <c r="CN252" s="305" t="str">
        <f t="shared" ca="1" si="672"/>
        <v/>
      </c>
      <c r="CO252" s="305" t="str">
        <f t="shared" ca="1" si="673"/>
        <v/>
      </c>
      <c r="CP252" s="305" t="str">
        <f t="shared" ca="1" si="674"/>
        <v/>
      </c>
      <c r="CQ252" s="305" t="str">
        <f t="shared" ca="1" si="675"/>
        <v/>
      </c>
      <c r="CR252" s="775" t="str">
        <f t="shared" ca="1" si="676"/>
        <v/>
      </c>
      <c r="CS252" s="305" t="str">
        <f t="shared" ca="1" si="677"/>
        <v/>
      </c>
      <c r="CT252" s="305" t="str">
        <f t="shared" ca="1" si="678"/>
        <v/>
      </c>
      <c r="CU252" s="305" t="str">
        <f t="shared" ca="1" si="679"/>
        <v/>
      </c>
      <c r="CV252" s="770" t="str">
        <f t="shared" ca="1" si="680"/>
        <v/>
      </c>
      <c r="CW252" s="302">
        <f t="shared" ca="1" si="681"/>
        <v>0</v>
      </c>
      <c r="CX252" s="299">
        <f t="shared" ca="1" si="682"/>
        <v>0</v>
      </c>
      <c r="CY252" s="299">
        <f t="shared" ca="1" si="683"/>
        <v>0</v>
      </c>
      <c r="CZ252" s="299">
        <f t="shared" ca="1" si="684"/>
        <v>0</v>
      </c>
      <c r="DA252" s="774">
        <f t="shared" ca="1" si="685"/>
        <v>0</v>
      </c>
      <c r="DB252" s="303">
        <f t="shared" ca="1" si="686"/>
        <v>0</v>
      </c>
      <c r="DC252" s="248">
        <f t="shared" ca="1" si="687"/>
        <v>0</v>
      </c>
      <c r="DD252" s="778">
        <f t="shared" ca="1" si="688"/>
        <v>0</v>
      </c>
      <c r="DE252" s="363">
        <f t="shared" ca="1" si="689"/>
        <v>0</v>
      </c>
      <c r="DF252" s="378" t="str">
        <f t="shared" ca="1" si="690"/>
        <v/>
      </c>
      <c r="DG252" s="508" t="str">
        <f t="shared" ca="1" si="691"/>
        <v/>
      </c>
      <c r="DH252" s="508" t="str">
        <f t="shared" ca="1" si="692"/>
        <v/>
      </c>
      <c r="DI252" s="508" t="str">
        <f t="shared" ca="1" si="693"/>
        <v/>
      </c>
      <c r="DJ252" s="508" t="str">
        <f t="shared" ca="1" si="694"/>
        <v/>
      </c>
      <c r="DK252" s="353">
        <f t="shared" ca="1" si="695"/>
        <v>0</v>
      </c>
      <c r="DL252" s="781">
        <f t="shared" ca="1" si="696"/>
        <v>0</v>
      </c>
      <c r="DM252" s="303">
        <f t="shared" ca="1" si="697"/>
        <v>0</v>
      </c>
      <c r="DN252" s="508" t="str">
        <f t="shared" ca="1" si="698"/>
        <v/>
      </c>
      <c r="DO252" s="508" t="str">
        <f t="shared" ca="1" si="699"/>
        <v/>
      </c>
      <c r="DP252" s="508" t="str">
        <f t="shared" ca="1" si="700"/>
        <v/>
      </c>
      <c r="DQ252" s="508" t="str">
        <f t="shared" ca="1" si="701"/>
        <v/>
      </c>
      <c r="DR252" s="508" t="str">
        <f t="shared" ca="1" si="702"/>
        <v/>
      </c>
      <c r="DS252" s="353">
        <f t="shared" ca="1" si="703"/>
        <v>0</v>
      </c>
      <c r="DT252" s="353">
        <f t="shared" ca="1" si="704"/>
        <v>0</v>
      </c>
      <c r="DU252" s="380">
        <f t="shared" ca="1" si="804"/>
        <v>19.665982203969882</v>
      </c>
      <c r="DV252" s="303">
        <f t="shared" ca="1" si="705"/>
        <v>0</v>
      </c>
      <c r="DW252" s="303">
        <f t="shared" ca="1" si="706"/>
        <v>0</v>
      </c>
      <c r="DX252" s="303">
        <f t="shared" ca="1" si="707"/>
        <v>0</v>
      </c>
      <c r="DY252" s="303">
        <f t="shared" ca="1" si="708"/>
        <v>0</v>
      </c>
      <c r="DZ252" s="303">
        <f t="shared" ca="1" si="709"/>
        <v>0</v>
      </c>
      <c r="EA252" s="303">
        <f t="shared" ca="1" si="710"/>
        <v>0</v>
      </c>
      <c r="EB252" s="302">
        <f t="shared" ca="1" si="711"/>
        <v>0</v>
      </c>
      <c r="EC252" s="299">
        <f t="shared" ca="1" si="712"/>
        <v>0</v>
      </c>
      <c r="ED252" s="299">
        <f t="shared" ca="1" si="713"/>
        <v>0</v>
      </c>
      <c r="EE252" s="299">
        <f t="shared" ca="1" si="714"/>
        <v>0</v>
      </c>
      <c r="EF252" s="299">
        <f t="shared" ca="1" si="715"/>
        <v>0</v>
      </c>
      <c r="EG252" s="299">
        <f t="shared" ca="1" si="716"/>
        <v>0</v>
      </c>
      <c r="EH252" s="302">
        <f t="shared" ca="1" si="717"/>
        <v>0</v>
      </c>
      <c r="EI252" s="304" t="str">
        <f t="shared" ca="1" si="718"/>
        <v/>
      </c>
      <c r="EJ252" s="305" t="str">
        <f t="shared" ca="1" si="719"/>
        <v/>
      </c>
      <c r="EK252" s="305" t="str">
        <f t="shared" ca="1" si="720"/>
        <v/>
      </c>
      <c r="EL252" s="305" t="str">
        <f t="shared" ca="1" si="721"/>
        <v/>
      </c>
      <c r="EM252" s="305" t="str">
        <f t="shared" ca="1" si="722"/>
        <v/>
      </c>
      <c r="EN252" s="305" t="str">
        <f t="shared" ca="1" si="723"/>
        <v/>
      </c>
      <c r="EO252" s="305" t="str">
        <f t="shared" ca="1" si="724"/>
        <v/>
      </c>
      <c r="EP252" s="305" t="str">
        <f t="shared" ca="1" si="725"/>
        <v/>
      </c>
      <c r="EQ252" s="305" t="str">
        <f t="shared" ca="1" si="726"/>
        <v/>
      </c>
      <c r="ER252" s="305" t="str">
        <f t="shared" ca="1" si="727"/>
        <v/>
      </c>
      <c r="ES252" s="305" t="str">
        <f t="shared" ca="1" si="728"/>
        <v/>
      </c>
      <c r="ET252" s="299">
        <f t="shared" ca="1" si="729"/>
        <v>0</v>
      </c>
      <c r="EU252" s="302">
        <f t="shared" ca="1" si="730"/>
        <v>0</v>
      </c>
      <c r="EV252" s="304" t="str">
        <f t="shared" ca="1" si="731"/>
        <v/>
      </c>
      <c r="EW252" s="305" t="str">
        <f t="shared" ca="1" si="732"/>
        <v/>
      </c>
      <c r="EX252" s="305" t="str">
        <f t="shared" ca="1" si="733"/>
        <v/>
      </c>
      <c r="EY252" s="305" t="str">
        <f t="shared" ca="1" si="734"/>
        <v/>
      </c>
      <c r="EZ252" s="305" t="str">
        <f t="shared" ca="1" si="735"/>
        <v/>
      </c>
      <c r="FA252" s="305" t="str">
        <f t="shared" ca="1" si="736"/>
        <v/>
      </c>
      <c r="FB252" s="305" t="str">
        <f t="shared" ca="1" si="737"/>
        <v/>
      </c>
      <c r="FC252" s="305" t="str">
        <f t="shared" ca="1" si="738"/>
        <v/>
      </c>
      <c r="FD252" s="305" t="str">
        <f t="shared" ca="1" si="739"/>
        <v/>
      </c>
      <c r="FE252" s="305" t="str">
        <f t="shared" ca="1" si="740"/>
        <v/>
      </c>
      <c r="FF252" s="305" t="str">
        <f t="shared" ca="1" si="741"/>
        <v/>
      </c>
      <c r="FG252" s="299">
        <f t="shared" ca="1" si="742"/>
        <v>0</v>
      </c>
      <c r="FH252" s="302">
        <f t="shared" ca="1" si="743"/>
        <v>0</v>
      </c>
      <c r="FI252" s="248">
        <f t="shared" ca="1" si="744"/>
        <v>0</v>
      </c>
      <c r="FJ252" s="363">
        <f t="shared" ca="1" si="745"/>
        <v>0</v>
      </c>
      <c r="FK252" s="378" t="str">
        <f t="shared" ca="1" si="746"/>
        <v/>
      </c>
      <c r="FL252" s="508" t="str">
        <f t="shared" ca="1" si="747"/>
        <v/>
      </c>
      <c r="FM252" s="508" t="str">
        <f t="shared" ca="1" si="748"/>
        <v/>
      </c>
      <c r="FN252" s="508" t="str">
        <f t="shared" ca="1" si="749"/>
        <v/>
      </c>
      <c r="FO252" s="508" t="str">
        <f t="shared" ca="1" si="750"/>
        <v/>
      </c>
      <c r="FP252" s="353">
        <f t="shared" ca="1" si="751"/>
        <v>0</v>
      </c>
      <c r="FQ252" s="356">
        <f t="shared" ca="1" si="752"/>
        <v>0</v>
      </c>
      <c r="FR252" s="380">
        <f t="shared" ca="1" si="753"/>
        <v>0</v>
      </c>
      <c r="FS252" s="299">
        <f t="shared" ca="1" si="754"/>
        <v>0</v>
      </c>
      <c r="FT252" s="299">
        <f t="shared" ca="1" si="755"/>
        <v>0</v>
      </c>
      <c r="FU252" s="299">
        <f t="shared" ca="1" si="756"/>
        <v>0</v>
      </c>
      <c r="FV252" s="299">
        <f t="shared" ca="1" si="757"/>
        <v>0</v>
      </c>
      <c r="FW252" s="850" t="str">
        <f t="shared" ca="1" si="758"/>
        <v/>
      </c>
      <c r="FX252" s="851" t="str">
        <f t="shared" ca="1" si="759"/>
        <v/>
      </c>
      <c r="FY252" s="851" t="str">
        <f t="shared" ca="1" si="760"/>
        <v/>
      </c>
      <c r="FZ252" s="201" t="str">
        <f t="shared" ca="1" si="761"/>
        <v/>
      </c>
      <c r="GA252" s="201" t="str">
        <f t="shared" ca="1" si="762"/>
        <v/>
      </c>
      <c r="GB252" s="201" t="str">
        <f t="shared" ca="1" si="763"/>
        <v/>
      </c>
      <c r="GC252" s="201" t="str">
        <f t="shared" ca="1" si="764"/>
        <v/>
      </c>
      <c r="GD252" s="850" t="str">
        <f t="shared" ca="1" si="765"/>
        <v/>
      </c>
      <c r="GE252" s="866" t="str">
        <f t="shared" ca="1" si="766"/>
        <v/>
      </c>
      <c r="GF252" s="866" t="str">
        <f t="shared" ca="1" si="767"/>
        <v/>
      </c>
      <c r="GG252" s="866" t="str">
        <f t="shared" ca="1" si="768"/>
        <v/>
      </c>
      <c r="GH252" s="866" t="str">
        <f t="shared" ca="1" si="769"/>
        <v/>
      </c>
      <c r="GI252" s="302">
        <f t="shared" ca="1" si="770"/>
        <v>0</v>
      </c>
      <c r="GJ252" s="299">
        <f t="shared" ca="1" si="771"/>
        <v>0</v>
      </c>
      <c r="GK252" s="299">
        <f t="shared" ca="1" si="772"/>
        <v>0</v>
      </c>
      <c r="GL252" s="299">
        <f t="shared" ca="1" si="773"/>
        <v>0</v>
      </c>
      <c r="GM252" s="299">
        <f t="shared" ca="1" si="774"/>
        <v>0</v>
      </c>
      <c r="GN252" s="302">
        <f t="shared" ca="1" si="775"/>
        <v>0</v>
      </c>
      <c r="GO252" s="299">
        <f t="shared" ca="1" si="776"/>
        <v>0</v>
      </c>
      <c r="GP252" s="299">
        <f t="shared" ca="1" si="777"/>
        <v>0</v>
      </c>
      <c r="GQ252" s="299">
        <f t="shared" ca="1" si="778"/>
        <v>0</v>
      </c>
      <c r="GR252" s="299">
        <f t="shared" ca="1" si="779"/>
        <v>0</v>
      </c>
      <c r="GS252" s="302">
        <f t="shared" ca="1" si="780"/>
        <v>0</v>
      </c>
      <c r="GT252" s="299">
        <f t="shared" ca="1" si="781"/>
        <v>0</v>
      </c>
      <c r="GU252" s="299">
        <f t="shared" ca="1" si="782"/>
        <v>0</v>
      </c>
      <c r="GV252" s="299">
        <f t="shared" ca="1" si="783"/>
        <v>0</v>
      </c>
      <c r="GW252" s="299">
        <f t="shared" ca="1" si="784"/>
        <v>0</v>
      </c>
      <c r="GX252" s="303">
        <f t="shared" ca="1" si="785"/>
        <v>0</v>
      </c>
      <c r="GY252" s="303">
        <f t="shared" ca="1" si="786"/>
        <v>0</v>
      </c>
      <c r="GZ252" s="303">
        <f t="shared" ca="1" si="787"/>
        <v>0</v>
      </c>
      <c r="HA252" s="303">
        <f t="shared" ca="1" si="788"/>
        <v>0</v>
      </c>
      <c r="HB252" s="303">
        <f t="shared" ca="1" si="789"/>
        <v>0</v>
      </c>
      <c r="HC252" s="303">
        <f t="shared" ca="1" si="790"/>
        <v>0</v>
      </c>
      <c r="HD252" s="303">
        <f t="shared" ca="1" si="791"/>
        <v>0</v>
      </c>
      <c r="HE252" s="303">
        <f t="shared" ca="1" si="792"/>
        <v>0</v>
      </c>
      <c r="HF252" s="303">
        <f t="shared" ca="1" si="793"/>
        <v>0</v>
      </c>
      <c r="HG252" s="852">
        <f t="shared" ca="1" si="794"/>
        <v>0</v>
      </c>
    </row>
    <row r="253" spans="1:215" x14ac:dyDescent="0.25">
      <c r="A253" s="244">
        <f t="shared" ca="1" si="795"/>
        <v>43800</v>
      </c>
      <c r="B253" s="13">
        <f t="shared" ca="1" si="825"/>
        <v>2019</v>
      </c>
      <c r="C253" s="619">
        <f t="shared" ca="1" si="826"/>
        <v>12</v>
      </c>
      <c r="D253" s="195">
        <f t="shared" ca="1" si="625"/>
        <v>43824</v>
      </c>
      <c r="E253" s="469" t="str">
        <f t="shared" ca="1" si="626"/>
        <v/>
      </c>
      <c r="F253" s="465" t="str">
        <f t="shared" ca="1" si="627"/>
        <v/>
      </c>
      <c r="G253" s="522">
        <f t="shared" ca="1" si="796"/>
        <v>1</v>
      </c>
      <c r="H253" s="519">
        <f t="shared" ca="1" si="797"/>
        <v>1</v>
      </c>
      <c r="I253" s="724">
        <f t="shared" ca="1" si="827"/>
        <v>7.4170819394279996E-2</v>
      </c>
      <c r="J253" s="198">
        <f t="shared" ca="1" si="629"/>
        <v>0.23499360279024828</v>
      </c>
      <c r="K253" s="200" t="e">
        <f t="shared" ca="1" si="805"/>
        <v>#N/A</v>
      </c>
      <c r="L253" s="201" t="e">
        <f t="shared" ca="1" si="806"/>
        <v>#N/A</v>
      </c>
      <c r="M253" s="206" t="e">
        <f t="shared" ca="1" si="807"/>
        <v>#N/A</v>
      </c>
      <c r="N253" s="851" t="e">
        <f t="shared" ca="1" si="811"/>
        <v>#N/A</v>
      </c>
      <c r="O253" s="201" t="e">
        <f t="shared" ca="1" si="812"/>
        <v>#N/A</v>
      </c>
      <c r="P253" s="206" t="e">
        <f t="shared" ca="1" si="813"/>
        <v>#N/A</v>
      </c>
      <c r="Q253" s="201" t="e">
        <f t="shared" ca="1" si="814"/>
        <v>#N/A</v>
      </c>
      <c r="R253" s="201" t="e">
        <f t="shared" ca="1" si="815"/>
        <v>#N/A</v>
      </c>
      <c r="S253" s="201" t="e">
        <f t="shared" ca="1" si="816"/>
        <v>#N/A</v>
      </c>
      <c r="T253" s="851" t="e">
        <f t="shared" ca="1" si="808"/>
        <v>#N/A</v>
      </c>
      <c r="U253" s="201" t="e">
        <f t="shared" ca="1" si="809"/>
        <v>#N/A</v>
      </c>
      <c r="V253" s="206" t="e">
        <f t="shared" ca="1" si="810"/>
        <v>#N/A</v>
      </c>
      <c r="W253" s="230" t="e">
        <f t="shared" ca="1" si="798"/>
        <v>#N/A</v>
      </c>
      <c r="X253" s="231" t="e">
        <f t="shared" ca="1" si="799"/>
        <v>#N/A</v>
      </c>
      <c r="Y253" s="232" t="e">
        <f t="shared" ca="1" si="800"/>
        <v>#N/A</v>
      </c>
      <c r="Z253" s="231" t="e">
        <f t="shared" ca="1" si="820"/>
        <v>#N/A</v>
      </c>
      <c r="AA253" s="231" t="e">
        <f t="shared" ca="1" si="821"/>
        <v>#N/A</v>
      </c>
      <c r="AB253" s="232" t="e">
        <f t="shared" ca="1" si="822"/>
        <v>#N/A</v>
      </c>
      <c r="AC253" s="231" t="e">
        <f t="shared" ca="1" si="823"/>
        <v>#N/A</v>
      </c>
      <c r="AD253" s="231" t="e">
        <f t="shared" ca="1" si="824"/>
        <v>#N/A</v>
      </c>
      <c r="AE253" s="232" t="e">
        <f t="shared" ca="1" si="630"/>
        <v>#N/A</v>
      </c>
      <c r="AF253" s="231" t="e">
        <f t="shared" ca="1" si="801"/>
        <v>#N/A</v>
      </c>
      <c r="AG253" s="231" t="e">
        <f t="shared" ca="1" si="802"/>
        <v>#N/A</v>
      </c>
      <c r="AH253" s="232" t="e">
        <f t="shared" ca="1" si="803"/>
        <v>#N/A</v>
      </c>
      <c r="AI253" s="233" t="e">
        <f t="shared" ca="1" si="631"/>
        <v>#N/A</v>
      </c>
      <c r="AJ253" s="233" t="e">
        <f t="shared" ca="1" si="632"/>
        <v>#N/A</v>
      </c>
      <c r="AK253" s="234" t="e">
        <f t="shared" ca="1" si="633"/>
        <v>#N/A</v>
      </c>
      <c r="AL253" s="919" t="e">
        <f t="shared" ca="1" si="634"/>
        <v>#N/A</v>
      </c>
      <c r="AM253" s="233" t="e">
        <f t="shared" ca="1" si="635"/>
        <v>#N/A</v>
      </c>
      <c r="AN253" s="234" t="e">
        <f t="shared" ca="1" si="636"/>
        <v>#N/A</v>
      </c>
      <c r="AO253" s="233" t="e">
        <f t="shared" ca="1" si="637"/>
        <v>#N/A</v>
      </c>
      <c r="AP253" s="233" t="e">
        <f t="shared" ca="1" si="638"/>
        <v>#N/A</v>
      </c>
      <c r="AQ253" s="233" t="e">
        <f t="shared" ca="1" si="639"/>
        <v>#N/A</v>
      </c>
      <c r="AR253" s="919" t="e">
        <f t="shared" ca="1" si="640"/>
        <v>#N/A</v>
      </c>
      <c r="AS253" s="233" t="e">
        <f t="shared" ca="1" si="641"/>
        <v>#N/A</v>
      </c>
      <c r="AT253" s="235" t="e">
        <f t="shared" ca="1" si="642"/>
        <v>#N/A</v>
      </c>
      <c r="AU253" s="946">
        <f t="shared" si="643"/>
        <v>0.5</v>
      </c>
      <c r="AV253" s="13">
        <f t="shared" ca="1" si="644"/>
        <v>0</v>
      </c>
      <c r="AW253" s="210">
        <f t="shared" ca="1" si="645"/>
        <v>0</v>
      </c>
      <c r="AX253" s="210">
        <f t="shared" ca="1" si="646"/>
        <v>0</v>
      </c>
      <c r="AY253" s="210">
        <f t="shared" ca="1" si="647"/>
        <v>0</v>
      </c>
      <c r="AZ253" s="13">
        <f t="shared" ca="1" si="648"/>
        <v>0</v>
      </c>
      <c r="BA253" s="357">
        <f ca="1"/>
        <v>0</v>
      </c>
      <c r="BB253" s="925">
        <f ca="1"/>
        <v>0</v>
      </c>
      <c r="BC253" s="925">
        <f ca="1"/>
        <v>0</v>
      </c>
      <c r="BD253" s="928">
        <f ca="1"/>
        <v>0</v>
      </c>
      <c r="BE253" s="200">
        <f ca="1"/>
        <v>0</v>
      </c>
      <c r="BF253" s="851">
        <f ca="1"/>
        <v>0</v>
      </c>
      <c r="BG253" s="851">
        <f ca="1"/>
        <v>0</v>
      </c>
      <c r="BH253" s="933">
        <f ca="1"/>
        <v>0</v>
      </c>
      <c r="BI253" s="357">
        <f ca="1"/>
        <v>0</v>
      </c>
      <c r="BJ253" s="925">
        <f ca="1"/>
        <v>0</v>
      </c>
      <c r="BK253" s="925">
        <f ca="1"/>
        <v>0</v>
      </c>
      <c r="BL253" s="928">
        <f ca="1"/>
        <v>0</v>
      </c>
      <c r="BM253" s="200">
        <f ca="1"/>
        <v>0</v>
      </c>
      <c r="BN253" s="851">
        <f ca="1"/>
        <v>0</v>
      </c>
      <c r="BO253" s="851">
        <f ca="1"/>
        <v>0</v>
      </c>
      <c r="BP253" s="933">
        <f ca="1"/>
        <v>0</v>
      </c>
      <c r="BQ253" s="357">
        <f t="shared" ca="1" si="649"/>
        <v>0</v>
      </c>
      <c r="BR253" s="361">
        <f t="shared" ca="1" si="650"/>
        <v>0</v>
      </c>
      <c r="BS253" s="357">
        <f t="shared" ca="1" si="651"/>
        <v>0</v>
      </c>
      <c r="BT253" s="302">
        <f t="shared" ca="1" si="652"/>
        <v>0</v>
      </c>
      <c r="BU253" s="299">
        <f t="shared" ca="1" si="653"/>
        <v>0</v>
      </c>
      <c r="BV253" s="299">
        <f t="shared" ca="1" si="654"/>
        <v>0</v>
      </c>
      <c r="BW253" s="299">
        <f t="shared" ca="1" si="655"/>
        <v>0</v>
      </c>
      <c r="BX253" s="380">
        <f t="shared" ca="1" si="656"/>
        <v>19.748117727583846</v>
      </c>
      <c r="BY253" s="363">
        <f t="shared" ca="1" si="657"/>
        <v>0</v>
      </c>
      <c r="BZ253" s="353">
        <f t="shared" ca="1" si="658"/>
        <v>0</v>
      </c>
      <c r="CA253" s="353">
        <f t="shared" ca="1" si="659"/>
        <v>0</v>
      </c>
      <c r="CB253" s="353">
        <f t="shared" ca="1" si="660"/>
        <v>0</v>
      </c>
      <c r="CC253" s="353">
        <f t="shared" ca="1" si="661"/>
        <v>0</v>
      </c>
      <c r="CD253" s="353">
        <f t="shared" ca="1" si="662"/>
        <v>0</v>
      </c>
      <c r="CE253" s="302">
        <f t="shared" ca="1" si="663"/>
        <v>0</v>
      </c>
      <c r="CF253" s="299">
        <f t="shared" ca="1" si="664"/>
        <v>0</v>
      </c>
      <c r="CG253" s="299">
        <f t="shared" ca="1" si="665"/>
        <v>0</v>
      </c>
      <c r="CH253" s="299">
        <f t="shared" ca="1" si="666"/>
        <v>0</v>
      </c>
      <c r="CI253" s="299">
        <f t="shared" ca="1" si="667"/>
        <v>0</v>
      </c>
      <c r="CJ253" s="299">
        <f t="shared" ca="1" si="668"/>
        <v>0</v>
      </c>
      <c r="CK253" s="299">
        <f t="shared" ca="1" si="669"/>
        <v>0</v>
      </c>
      <c r="CL253" s="377" t="str">
        <f t="shared" ca="1" si="670"/>
        <v/>
      </c>
      <c r="CM253" s="305" t="str">
        <f t="shared" ca="1" si="671"/>
        <v/>
      </c>
      <c r="CN253" s="305" t="str">
        <f t="shared" ca="1" si="672"/>
        <v/>
      </c>
      <c r="CO253" s="305" t="str">
        <f t="shared" ca="1" si="673"/>
        <v/>
      </c>
      <c r="CP253" s="305" t="str">
        <f t="shared" ca="1" si="674"/>
        <v/>
      </c>
      <c r="CQ253" s="305" t="str">
        <f t="shared" ca="1" si="675"/>
        <v/>
      </c>
      <c r="CR253" s="775" t="str">
        <f t="shared" ca="1" si="676"/>
        <v/>
      </c>
      <c r="CS253" s="305" t="str">
        <f t="shared" ca="1" si="677"/>
        <v/>
      </c>
      <c r="CT253" s="305" t="str">
        <f t="shared" ca="1" si="678"/>
        <v/>
      </c>
      <c r="CU253" s="305" t="str">
        <f t="shared" ca="1" si="679"/>
        <v/>
      </c>
      <c r="CV253" s="770" t="str">
        <f t="shared" ca="1" si="680"/>
        <v/>
      </c>
      <c r="CW253" s="302">
        <f t="shared" ca="1" si="681"/>
        <v>0</v>
      </c>
      <c r="CX253" s="299">
        <f t="shared" ca="1" si="682"/>
        <v>0</v>
      </c>
      <c r="CY253" s="299">
        <f t="shared" ca="1" si="683"/>
        <v>0</v>
      </c>
      <c r="CZ253" s="299">
        <f t="shared" ca="1" si="684"/>
        <v>0</v>
      </c>
      <c r="DA253" s="774">
        <f t="shared" ca="1" si="685"/>
        <v>0</v>
      </c>
      <c r="DB253" s="303">
        <f t="shared" ca="1" si="686"/>
        <v>0</v>
      </c>
      <c r="DC253" s="248">
        <f t="shared" ca="1" si="687"/>
        <v>0</v>
      </c>
      <c r="DD253" s="778">
        <f t="shared" ca="1" si="688"/>
        <v>0</v>
      </c>
      <c r="DE253" s="363">
        <f t="shared" ca="1" si="689"/>
        <v>0</v>
      </c>
      <c r="DF253" s="378" t="str">
        <f t="shared" ca="1" si="690"/>
        <v/>
      </c>
      <c r="DG253" s="508" t="str">
        <f t="shared" ca="1" si="691"/>
        <v/>
      </c>
      <c r="DH253" s="508" t="str">
        <f t="shared" ca="1" si="692"/>
        <v/>
      </c>
      <c r="DI253" s="508" t="str">
        <f t="shared" ca="1" si="693"/>
        <v/>
      </c>
      <c r="DJ253" s="508" t="str">
        <f t="shared" ca="1" si="694"/>
        <v/>
      </c>
      <c r="DK253" s="353">
        <f t="shared" ca="1" si="695"/>
        <v>0</v>
      </c>
      <c r="DL253" s="781">
        <f t="shared" ca="1" si="696"/>
        <v>0</v>
      </c>
      <c r="DM253" s="303">
        <f t="shared" ca="1" si="697"/>
        <v>0</v>
      </c>
      <c r="DN253" s="508" t="str">
        <f t="shared" ca="1" si="698"/>
        <v/>
      </c>
      <c r="DO253" s="508" t="str">
        <f t="shared" ca="1" si="699"/>
        <v/>
      </c>
      <c r="DP253" s="508" t="str">
        <f t="shared" ca="1" si="700"/>
        <v/>
      </c>
      <c r="DQ253" s="508" t="str">
        <f t="shared" ca="1" si="701"/>
        <v/>
      </c>
      <c r="DR253" s="508" t="str">
        <f t="shared" ca="1" si="702"/>
        <v/>
      </c>
      <c r="DS253" s="353">
        <f t="shared" ca="1" si="703"/>
        <v>0</v>
      </c>
      <c r="DT253" s="353">
        <f t="shared" ca="1" si="704"/>
        <v>0</v>
      </c>
      <c r="DU253" s="380">
        <f t="shared" ca="1" si="804"/>
        <v>19.748117727583846</v>
      </c>
      <c r="DV253" s="303">
        <f t="shared" ca="1" si="705"/>
        <v>0</v>
      </c>
      <c r="DW253" s="303">
        <f t="shared" ca="1" si="706"/>
        <v>0</v>
      </c>
      <c r="DX253" s="303">
        <f t="shared" ca="1" si="707"/>
        <v>0</v>
      </c>
      <c r="DY253" s="303">
        <f t="shared" ca="1" si="708"/>
        <v>0</v>
      </c>
      <c r="DZ253" s="303">
        <f t="shared" ca="1" si="709"/>
        <v>0</v>
      </c>
      <c r="EA253" s="303">
        <f t="shared" ca="1" si="710"/>
        <v>0</v>
      </c>
      <c r="EB253" s="302">
        <f t="shared" ca="1" si="711"/>
        <v>0</v>
      </c>
      <c r="EC253" s="299">
        <f t="shared" ca="1" si="712"/>
        <v>0</v>
      </c>
      <c r="ED253" s="299">
        <f t="shared" ca="1" si="713"/>
        <v>0</v>
      </c>
      <c r="EE253" s="299">
        <f t="shared" ca="1" si="714"/>
        <v>0</v>
      </c>
      <c r="EF253" s="299">
        <f t="shared" ca="1" si="715"/>
        <v>0</v>
      </c>
      <c r="EG253" s="299">
        <f t="shared" ca="1" si="716"/>
        <v>0</v>
      </c>
      <c r="EH253" s="302">
        <f t="shared" ca="1" si="717"/>
        <v>0</v>
      </c>
      <c r="EI253" s="304" t="str">
        <f t="shared" ca="1" si="718"/>
        <v/>
      </c>
      <c r="EJ253" s="305" t="str">
        <f t="shared" ca="1" si="719"/>
        <v/>
      </c>
      <c r="EK253" s="305" t="str">
        <f t="shared" ca="1" si="720"/>
        <v/>
      </c>
      <c r="EL253" s="305" t="str">
        <f t="shared" ca="1" si="721"/>
        <v/>
      </c>
      <c r="EM253" s="305" t="str">
        <f t="shared" ca="1" si="722"/>
        <v/>
      </c>
      <c r="EN253" s="305" t="str">
        <f t="shared" ca="1" si="723"/>
        <v/>
      </c>
      <c r="EO253" s="305" t="str">
        <f t="shared" ca="1" si="724"/>
        <v/>
      </c>
      <c r="EP253" s="305" t="str">
        <f t="shared" ca="1" si="725"/>
        <v/>
      </c>
      <c r="EQ253" s="305" t="str">
        <f t="shared" ca="1" si="726"/>
        <v/>
      </c>
      <c r="ER253" s="305" t="str">
        <f t="shared" ca="1" si="727"/>
        <v/>
      </c>
      <c r="ES253" s="305" t="str">
        <f t="shared" ca="1" si="728"/>
        <v/>
      </c>
      <c r="ET253" s="299">
        <f t="shared" ca="1" si="729"/>
        <v>0</v>
      </c>
      <c r="EU253" s="302">
        <f t="shared" ca="1" si="730"/>
        <v>0</v>
      </c>
      <c r="EV253" s="304" t="str">
        <f t="shared" ca="1" si="731"/>
        <v/>
      </c>
      <c r="EW253" s="305" t="str">
        <f t="shared" ca="1" si="732"/>
        <v/>
      </c>
      <c r="EX253" s="305" t="str">
        <f t="shared" ca="1" si="733"/>
        <v/>
      </c>
      <c r="EY253" s="305" t="str">
        <f t="shared" ca="1" si="734"/>
        <v/>
      </c>
      <c r="EZ253" s="305" t="str">
        <f t="shared" ca="1" si="735"/>
        <v/>
      </c>
      <c r="FA253" s="305" t="str">
        <f t="shared" ca="1" si="736"/>
        <v/>
      </c>
      <c r="FB253" s="305" t="str">
        <f t="shared" ca="1" si="737"/>
        <v/>
      </c>
      <c r="FC253" s="305" t="str">
        <f t="shared" ca="1" si="738"/>
        <v/>
      </c>
      <c r="FD253" s="305" t="str">
        <f t="shared" ca="1" si="739"/>
        <v/>
      </c>
      <c r="FE253" s="305" t="str">
        <f t="shared" ca="1" si="740"/>
        <v/>
      </c>
      <c r="FF253" s="305" t="str">
        <f t="shared" ca="1" si="741"/>
        <v/>
      </c>
      <c r="FG253" s="299">
        <f t="shared" ca="1" si="742"/>
        <v>0</v>
      </c>
      <c r="FH253" s="302">
        <f t="shared" ca="1" si="743"/>
        <v>0</v>
      </c>
      <c r="FI253" s="248">
        <f t="shared" ca="1" si="744"/>
        <v>0</v>
      </c>
      <c r="FJ253" s="363">
        <f t="shared" ca="1" si="745"/>
        <v>0</v>
      </c>
      <c r="FK253" s="378" t="str">
        <f t="shared" ca="1" si="746"/>
        <v/>
      </c>
      <c r="FL253" s="508" t="str">
        <f t="shared" ca="1" si="747"/>
        <v/>
      </c>
      <c r="FM253" s="508" t="str">
        <f t="shared" ca="1" si="748"/>
        <v/>
      </c>
      <c r="FN253" s="508" t="str">
        <f t="shared" ca="1" si="749"/>
        <v/>
      </c>
      <c r="FO253" s="508" t="str">
        <f t="shared" ca="1" si="750"/>
        <v/>
      </c>
      <c r="FP253" s="353">
        <f t="shared" ca="1" si="751"/>
        <v>0</v>
      </c>
      <c r="FQ253" s="356">
        <f t="shared" ca="1" si="752"/>
        <v>0</v>
      </c>
      <c r="FR253" s="380">
        <f t="shared" ca="1" si="753"/>
        <v>0</v>
      </c>
      <c r="FS253" s="299">
        <f t="shared" ca="1" si="754"/>
        <v>0</v>
      </c>
      <c r="FT253" s="299">
        <f t="shared" ca="1" si="755"/>
        <v>0</v>
      </c>
      <c r="FU253" s="299">
        <f t="shared" ca="1" si="756"/>
        <v>0</v>
      </c>
      <c r="FV253" s="299">
        <f t="shared" ca="1" si="757"/>
        <v>0</v>
      </c>
      <c r="FW253" s="850" t="str">
        <f t="shared" ca="1" si="758"/>
        <v/>
      </c>
      <c r="FX253" s="851" t="str">
        <f t="shared" ca="1" si="759"/>
        <v/>
      </c>
      <c r="FY253" s="851" t="str">
        <f t="shared" ca="1" si="760"/>
        <v/>
      </c>
      <c r="FZ253" s="201" t="str">
        <f t="shared" ca="1" si="761"/>
        <v/>
      </c>
      <c r="GA253" s="201" t="str">
        <f t="shared" ca="1" si="762"/>
        <v/>
      </c>
      <c r="GB253" s="201" t="str">
        <f t="shared" ca="1" si="763"/>
        <v/>
      </c>
      <c r="GC253" s="201" t="str">
        <f t="shared" ca="1" si="764"/>
        <v/>
      </c>
      <c r="GD253" s="850" t="str">
        <f t="shared" ca="1" si="765"/>
        <v/>
      </c>
      <c r="GE253" s="866" t="str">
        <f t="shared" ca="1" si="766"/>
        <v/>
      </c>
      <c r="GF253" s="866" t="str">
        <f t="shared" ca="1" si="767"/>
        <v/>
      </c>
      <c r="GG253" s="866" t="str">
        <f t="shared" ca="1" si="768"/>
        <v/>
      </c>
      <c r="GH253" s="866" t="str">
        <f t="shared" ca="1" si="769"/>
        <v/>
      </c>
      <c r="GI253" s="302">
        <f t="shared" ca="1" si="770"/>
        <v>0</v>
      </c>
      <c r="GJ253" s="299">
        <f t="shared" ca="1" si="771"/>
        <v>0</v>
      </c>
      <c r="GK253" s="299">
        <f t="shared" ca="1" si="772"/>
        <v>0</v>
      </c>
      <c r="GL253" s="299">
        <f t="shared" ca="1" si="773"/>
        <v>0</v>
      </c>
      <c r="GM253" s="299">
        <f t="shared" ca="1" si="774"/>
        <v>0</v>
      </c>
      <c r="GN253" s="302">
        <f t="shared" ca="1" si="775"/>
        <v>0</v>
      </c>
      <c r="GO253" s="299">
        <f t="shared" ca="1" si="776"/>
        <v>0</v>
      </c>
      <c r="GP253" s="299">
        <f t="shared" ca="1" si="777"/>
        <v>0</v>
      </c>
      <c r="GQ253" s="299">
        <f t="shared" ca="1" si="778"/>
        <v>0</v>
      </c>
      <c r="GR253" s="299">
        <f t="shared" ca="1" si="779"/>
        <v>0</v>
      </c>
      <c r="GS253" s="302">
        <f t="shared" ca="1" si="780"/>
        <v>0</v>
      </c>
      <c r="GT253" s="299">
        <f t="shared" ca="1" si="781"/>
        <v>0</v>
      </c>
      <c r="GU253" s="299">
        <f t="shared" ca="1" si="782"/>
        <v>0</v>
      </c>
      <c r="GV253" s="299">
        <f t="shared" ca="1" si="783"/>
        <v>0</v>
      </c>
      <c r="GW253" s="299">
        <f t="shared" ca="1" si="784"/>
        <v>0</v>
      </c>
      <c r="GX253" s="303">
        <f t="shared" ca="1" si="785"/>
        <v>0</v>
      </c>
      <c r="GY253" s="303">
        <f t="shared" ca="1" si="786"/>
        <v>0</v>
      </c>
      <c r="GZ253" s="303">
        <f t="shared" ca="1" si="787"/>
        <v>0</v>
      </c>
      <c r="HA253" s="303">
        <f t="shared" ca="1" si="788"/>
        <v>0</v>
      </c>
      <c r="HB253" s="303">
        <f t="shared" ca="1" si="789"/>
        <v>0</v>
      </c>
      <c r="HC253" s="303">
        <f t="shared" ca="1" si="790"/>
        <v>0</v>
      </c>
      <c r="HD253" s="303">
        <f t="shared" ca="1" si="791"/>
        <v>0</v>
      </c>
      <c r="HE253" s="303">
        <f t="shared" ca="1" si="792"/>
        <v>0</v>
      </c>
      <c r="HF253" s="303">
        <f t="shared" ca="1" si="793"/>
        <v>0</v>
      </c>
      <c r="HG253" s="852">
        <f t="shared" ca="1" si="794"/>
        <v>0</v>
      </c>
    </row>
    <row r="254" spans="1:215" x14ac:dyDescent="0.25">
      <c r="A254" s="244">
        <f t="shared" ca="1" si="795"/>
        <v>43831</v>
      </c>
      <c r="B254" s="13">
        <f t="shared" ca="1" si="825"/>
        <v>2020</v>
      </c>
      <c r="C254" s="619">
        <f t="shared" ca="1" si="826"/>
        <v>1</v>
      </c>
      <c r="D254" s="195">
        <f t="shared" ca="1" si="625"/>
        <v>43831</v>
      </c>
      <c r="E254" s="469" t="str">
        <f t="shared" ca="1" si="626"/>
        <v/>
      </c>
      <c r="F254" s="465" t="str">
        <f t="shared" ca="1" si="627"/>
        <v/>
      </c>
      <c r="G254" s="522">
        <f t="shared" ca="1" si="796"/>
        <v>1</v>
      </c>
      <c r="H254" s="519">
        <f t="shared" ca="1" si="797"/>
        <v>1</v>
      </c>
      <c r="I254" s="724">
        <f t="shared" ca="1" si="827"/>
        <v>7.4170524676401006E-2</v>
      </c>
      <c r="J254" s="198">
        <f t="shared" ca="1" si="629"/>
        <v>0.23354686406461259</v>
      </c>
      <c r="K254" s="200" t="e">
        <f t="shared" ca="1" si="805"/>
        <v>#N/A</v>
      </c>
      <c r="L254" s="201" t="e">
        <f t="shared" ca="1" si="806"/>
        <v>#N/A</v>
      </c>
      <c r="M254" s="206" t="e">
        <f t="shared" ca="1" si="807"/>
        <v>#N/A</v>
      </c>
      <c r="N254" s="851" t="e">
        <f t="shared" ca="1" si="811"/>
        <v>#N/A</v>
      </c>
      <c r="O254" s="201" t="e">
        <f t="shared" ca="1" si="812"/>
        <v>#N/A</v>
      </c>
      <c r="P254" s="206" t="e">
        <f t="shared" ca="1" si="813"/>
        <v>#N/A</v>
      </c>
      <c r="Q254" s="201" t="e">
        <f t="shared" ca="1" si="814"/>
        <v>#N/A</v>
      </c>
      <c r="R254" s="201" t="e">
        <f t="shared" ca="1" si="815"/>
        <v>#N/A</v>
      </c>
      <c r="S254" s="201" t="e">
        <f t="shared" ca="1" si="816"/>
        <v>#N/A</v>
      </c>
      <c r="T254" s="851" t="e">
        <f t="shared" ca="1" si="808"/>
        <v>#N/A</v>
      </c>
      <c r="U254" s="201" t="e">
        <f t="shared" ca="1" si="809"/>
        <v>#N/A</v>
      </c>
      <c r="V254" s="206" t="e">
        <f t="shared" ca="1" si="810"/>
        <v>#N/A</v>
      </c>
      <c r="W254" s="230" t="e">
        <f t="shared" ca="1" si="798"/>
        <v>#N/A</v>
      </c>
      <c r="X254" s="231" t="e">
        <f t="shared" ca="1" si="799"/>
        <v>#N/A</v>
      </c>
      <c r="Y254" s="232" t="e">
        <f t="shared" ca="1" si="800"/>
        <v>#N/A</v>
      </c>
      <c r="Z254" s="231" t="e">
        <f t="shared" ca="1" si="820"/>
        <v>#N/A</v>
      </c>
      <c r="AA254" s="231" t="e">
        <f t="shared" ca="1" si="821"/>
        <v>#N/A</v>
      </c>
      <c r="AB254" s="232" t="e">
        <f t="shared" ca="1" si="822"/>
        <v>#N/A</v>
      </c>
      <c r="AC254" s="231" t="e">
        <f t="shared" ca="1" si="823"/>
        <v>#N/A</v>
      </c>
      <c r="AD254" s="231" t="e">
        <f t="shared" ca="1" si="824"/>
        <v>#N/A</v>
      </c>
      <c r="AE254" s="232" t="e">
        <f t="shared" ca="1" si="630"/>
        <v>#N/A</v>
      </c>
      <c r="AF254" s="231" t="e">
        <f t="shared" ca="1" si="801"/>
        <v>#N/A</v>
      </c>
      <c r="AG254" s="231" t="e">
        <f t="shared" ca="1" si="802"/>
        <v>#N/A</v>
      </c>
      <c r="AH254" s="232" t="e">
        <f t="shared" ca="1" si="803"/>
        <v>#N/A</v>
      </c>
      <c r="AI254" s="233" t="e">
        <f t="shared" ca="1" si="631"/>
        <v>#N/A</v>
      </c>
      <c r="AJ254" s="233" t="e">
        <f t="shared" ca="1" si="632"/>
        <v>#N/A</v>
      </c>
      <c r="AK254" s="234" t="e">
        <f t="shared" ca="1" si="633"/>
        <v>#N/A</v>
      </c>
      <c r="AL254" s="919" t="e">
        <f t="shared" ca="1" si="634"/>
        <v>#N/A</v>
      </c>
      <c r="AM254" s="233" t="e">
        <f t="shared" ca="1" si="635"/>
        <v>#N/A</v>
      </c>
      <c r="AN254" s="234" t="e">
        <f t="shared" ca="1" si="636"/>
        <v>#N/A</v>
      </c>
      <c r="AO254" s="233" t="e">
        <f t="shared" ca="1" si="637"/>
        <v>#N/A</v>
      </c>
      <c r="AP254" s="233" t="e">
        <f t="shared" ca="1" si="638"/>
        <v>#N/A</v>
      </c>
      <c r="AQ254" s="233" t="e">
        <f t="shared" ca="1" si="639"/>
        <v>#N/A</v>
      </c>
      <c r="AR254" s="919" t="e">
        <f t="shared" ca="1" si="640"/>
        <v>#N/A</v>
      </c>
      <c r="AS254" s="233" t="e">
        <f t="shared" ca="1" si="641"/>
        <v>#N/A</v>
      </c>
      <c r="AT254" s="235" t="e">
        <f t="shared" ca="1" si="642"/>
        <v>#N/A</v>
      </c>
      <c r="AU254" s="946">
        <f t="shared" si="643"/>
        <v>0.5</v>
      </c>
      <c r="AV254" s="13">
        <f t="shared" ca="1" si="644"/>
        <v>0</v>
      </c>
      <c r="AW254" s="210">
        <f t="shared" ca="1" si="645"/>
        <v>0</v>
      </c>
      <c r="AX254" s="210">
        <f t="shared" ca="1" si="646"/>
        <v>0</v>
      </c>
      <c r="AY254" s="210">
        <f t="shared" ca="1" si="647"/>
        <v>0</v>
      </c>
      <c r="AZ254" s="13">
        <f t="shared" ca="1" si="648"/>
        <v>0</v>
      </c>
      <c r="BA254" s="357">
        <f ca="1"/>
        <v>0</v>
      </c>
      <c r="BB254" s="925">
        <f ca="1"/>
        <v>0</v>
      </c>
      <c r="BC254" s="925">
        <f ca="1"/>
        <v>0</v>
      </c>
      <c r="BD254" s="928">
        <f ca="1"/>
        <v>0</v>
      </c>
      <c r="BE254" s="200">
        <f ca="1"/>
        <v>0</v>
      </c>
      <c r="BF254" s="851">
        <f ca="1"/>
        <v>0</v>
      </c>
      <c r="BG254" s="851">
        <f ca="1"/>
        <v>0</v>
      </c>
      <c r="BH254" s="933">
        <f ca="1"/>
        <v>0</v>
      </c>
      <c r="BI254" s="357">
        <f ca="1"/>
        <v>0</v>
      </c>
      <c r="BJ254" s="925">
        <f ca="1"/>
        <v>0</v>
      </c>
      <c r="BK254" s="925">
        <f ca="1"/>
        <v>0</v>
      </c>
      <c r="BL254" s="928">
        <f ca="1"/>
        <v>0</v>
      </c>
      <c r="BM254" s="200">
        <f ca="1"/>
        <v>0</v>
      </c>
      <c r="BN254" s="851">
        <f ca="1"/>
        <v>0</v>
      </c>
      <c r="BO254" s="851">
        <f ca="1"/>
        <v>0</v>
      </c>
      <c r="BP254" s="933">
        <f ca="1"/>
        <v>0</v>
      </c>
      <c r="BQ254" s="357">
        <f t="shared" ca="1" si="649"/>
        <v>0</v>
      </c>
      <c r="BR254" s="361">
        <f t="shared" ca="1" si="650"/>
        <v>0</v>
      </c>
      <c r="BS254" s="357">
        <f t="shared" ca="1" si="651"/>
        <v>0</v>
      </c>
      <c r="BT254" s="302">
        <f t="shared" ca="1" si="652"/>
        <v>0</v>
      </c>
      <c r="BU254" s="299">
        <f t="shared" ca="1" si="653"/>
        <v>0</v>
      </c>
      <c r="BV254" s="299">
        <f t="shared" ca="1" si="654"/>
        <v>0</v>
      </c>
      <c r="BW254" s="299">
        <f t="shared" ca="1" si="655"/>
        <v>0</v>
      </c>
      <c r="BX254" s="380">
        <f t="shared" ca="1" si="656"/>
        <v>19.832991101984941</v>
      </c>
      <c r="BY254" s="363">
        <f t="shared" ca="1" si="657"/>
        <v>0</v>
      </c>
      <c r="BZ254" s="353">
        <f t="shared" ca="1" si="658"/>
        <v>0</v>
      </c>
      <c r="CA254" s="353">
        <f t="shared" ca="1" si="659"/>
        <v>0</v>
      </c>
      <c r="CB254" s="353">
        <f t="shared" ca="1" si="660"/>
        <v>0</v>
      </c>
      <c r="CC254" s="353">
        <f t="shared" ca="1" si="661"/>
        <v>0</v>
      </c>
      <c r="CD254" s="353">
        <f t="shared" ca="1" si="662"/>
        <v>0</v>
      </c>
      <c r="CE254" s="302">
        <f t="shared" ca="1" si="663"/>
        <v>0</v>
      </c>
      <c r="CF254" s="299">
        <f t="shared" ca="1" si="664"/>
        <v>0</v>
      </c>
      <c r="CG254" s="299">
        <f t="shared" ca="1" si="665"/>
        <v>0</v>
      </c>
      <c r="CH254" s="299">
        <f t="shared" ca="1" si="666"/>
        <v>0</v>
      </c>
      <c r="CI254" s="299">
        <f t="shared" ca="1" si="667"/>
        <v>0</v>
      </c>
      <c r="CJ254" s="299">
        <f t="shared" ca="1" si="668"/>
        <v>0</v>
      </c>
      <c r="CK254" s="299">
        <f t="shared" ca="1" si="669"/>
        <v>0</v>
      </c>
      <c r="CL254" s="377" t="str">
        <f t="shared" ca="1" si="670"/>
        <v/>
      </c>
      <c r="CM254" s="305" t="str">
        <f t="shared" ca="1" si="671"/>
        <v/>
      </c>
      <c r="CN254" s="305" t="str">
        <f t="shared" ca="1" si="672"/>
        <v/>
      </c>
      <c r="CO254" s="305" t="str">
        <f t="shared" ca="1" si="673"/>
        <v/>
      </c>
      <c r="CP254" s="305" t="str">
        <f t="shared" ca="1" si="674"/>
        <v/>
      </c>
      <c r="CQ254" s="305" t="str">
        <f t="shared" ca="1" si="675"/>
        <v/>
      </c>
      <c r="CR254" s="775" t="str">
        <f t="shared" ca="1" si="676"/>
        <v/>
      </c>
      <c r="CS254" s="305" t="str">
        <f t="shared" ca="1" si="677"/>
        <v/>
      </c>
      <c r="CT254" s="305" t="str">
        <f t="shared" ca="1" si="678"/>
        <v/>
      </c>
      <c r="CU254" s="305" t="str">
        <f t="shared" ca="1" si="679"/>
        <v/>
      </c>
      <c r="CV254" s="770" t="str">
        <f t="shared" ca="1" si="680"/>
        <v/>
      </c>
      <c r="CW254" s="302">
        <f t="shared" ca="1" si="681"/>
        <v>0</v>
      </c>
      <c r="CX254" s="299">
        <f t="shared" ca="1" si="682"/>
        <v>0</v>
      </c>
      <c r="CY254" s="299">
        <f t="shared" ca="1" si="683"/>
        <v>0</v>
      </c>
      <c r="CZ254" s="299">
        <f t="shared" ca="1" si="684"/>
        <v>0</v>
      </c>
      <c r="DA254" s="774">
        <f t="shared" ca="1" si="685"/>
        <v>0</v>
      </c>
      <c r="DB254" s="303">
        <f t="shared" ca="1" si="686"/>
        <v>0</v>
      </c>
      <c r="DC254" s="248">
        <f t="shared" ca="1" si="687"/>
        <v>0</v>
      </c>
      <c r="DD254" s="778">
        <f t="shared" ca="1" si="688"/>
        <v>0</v>
      </c>
      <c r="DE254" s="363">
        <f t="shared" ca="1" si="689"/>
        <v>0</v>
      </c>
      <c r="DF254" s="378" t="str">
        <f t="shared" ca="1" si="690"/>
        <v/>
      </c>
      <c r="DG254" s="508" t="str">
        <f t="shared" ca="1" si="691"/>
        <v/>
      </c>
      <c r="DH254" s="508" t="str">
        <f t="shared" ca="1" si="692"/>
        <v/>
      </c>
      <c r="DI254" s="508" t="str">
        <f t="shared" ca="1" si="693"/>
        <v/>
      </c>
      <c r="DJ254" s="508" t="str">
        <f t="shared" ca="1" si="694"/>
        <v/>
      </c>
      <c r="DK254" s="353">
        <f t="shared" ca="1" si="695"/>
        <v>0</v>
      </c>
      <c r="DL254" s="781">
        <f t="shared" ca="1" si="696"/>
        <v>0</v>
      </c>
      <c r="DM254" s="303">
        <f t="shared" ca="1" si="697"/>
        <v>0</v>
      </c>
      <c r="DN254" s="508" t="str">
        <f t="shared" ca="1" si="698"/>
        <v/>
      </c>
      <c r="DO254" s="508" t="str">
        <f t="shared" ca="1" si="699"/>
        <v/>
      </c>
      <c r="DP254" s="508" t="str">
        <f t="shared" ca="1" si="700"/>
        <v/>
      </c>
      <c r="DQ254" s="508" t="str">
        <f t="shared" ca="1" si="701"/>
        <v/>
      </c>
      <c r="DR254" s="508" t="str">
        <f t="shared" ca="1" si="702"/>
        <v/>
      </c>
      <c r="DS254" s="353">
        <f t="shared" ca="1" si="703"/>
        <v>0</v>
      </c>
      <c r="DT254" s="353">
        <f t="shared" ca="1" si="704"/>
        <v>0</v>
      </c>
      <c r="DU254" s="380">
        <f t="shared" ca="1" si="804"/>
        <v>19.832991101984941</v>
      </c>
      <c r="DV254" s="303">
        <f t="shared" ca="1" si="705"/>
        <v>0</v>
      </c>
      <c r="DW254" s="303">
        <f t="shared" ca="1" si="706"/>
        <v>0</v>
      </c>
      <c r="DX254" s="303">
        <f t="shared" ca="1" si="707"/>
        <v>0</v>
      </c>
      <c r="DY254" s="303">
        <f t="shared" ca="1" si="708"/>
        <v>0</v>
      </c>
      <c r="DZ254" s="303">
        <f t="shared" ca="1" si="709"/>
        <v>0</v>
      </c>
      <c r="EA254" s="303">
        <f t="shared" ca="1" si="710"/>
        <v>0</v>
      </c>
      <c r="EB254" s="302">
        <f t="shared" ca="1" si="711"/>
        <v>0</v>
      </c>
      <c r="EC254" s="299">
        <f t="shared" ca="1" si="712"/>
        <v>0</v>
      </c>
      <c r="ED254" s="299">
        <f t="shared" ca="1" si="713"/>
        <v>0</v>
      </c>
      <c r="EE254" s="299">
        <f t="shared" ca="1" si="714"/>
        <v>0</v>
      </c>
      <c r="EF254" s="299">
        <f t="shared" ca="1" si="715"/>
        <v>0</v>
      </c>
      <c r="EG254" s="299">
        <f t="shared" ca="1" si="716"/>
        <v>0</v>
      </c>
      <c r="EH254" s="302">
        <f t="shared" ca="1" si="717"/>
        <v>0</v>
      </c>
      <c r="EI254" s="304" t="str">
        <f t="shared" ca="1" si="718"/>
        <v/>
      </c>
      <c r="EJ254" s="305" t="str">
        <f t="shared" ca="1" si="719"/>
        <v/>
      </c>
      <c r="EK254" s="305" t="str">
        <f t="shared" ca="1" si="720"/>
        <v/>
      </c>
      <c r="EL254" s="305" t="str">
        <f t="shared" ca="1" si="721"/>
        <v/>
      </c>
      <c r="EM254" s="305" t="str">
        <f t="shared" ca="1" si="722"/>
        <v/>
      </c>
      <c r="EN254" s="305" t="str">
        <f t="shared" ca="1" si="723"/>
        <v/>
      </c>
      <c r="EO254" s="305" t="str">
        <f t="shared" ca="1" si="724"/>
        <v/>
      </c>
      <c r="EP254" s="305" t="str">
        <f t="shared" ca="1" si="725"/>
        <v/>
      </c>
      <c r="EQ254" s="305" t="str">
        <f t="shared" ca="1" si="726"/>
        <v/>
      </c>
      <c r="ER254" s="305" t="str">
        <f t="shared" ca="1" si="727"/>
        <v/>
      </c>
      <c r="ES254" s="305" t="str">
        <f t="shared" ca="1" si="728"/>
        <v/>
      </c>
      <c r="ET254" s="299">
        <f t="shared" ca="1" si="729"/>
        <v>0</v>
      </c>
      <c r="EU254" s="302">
        <f t="shared" ca="1" si="730"/>
        <v>0</v>
      </c>
      <c r="EV254" s="304" t="str">
        <f t="shared" ca="1" si="731"/>
        <v/>
      </c>
      <c r="EW254" s="305" t="str">
        <f t="shared" ca="1" si="732"/>
        <v/>
      </c>
      <c r="EX254" s="305" t="str">
        <f t="shared" ca="1" si="733"/>
        <v/>
      </c>
      <c r="EY254" s="305" t="str">
        <f t="shared" ca="1" si="734"/>
        <v/>
      </c>
      <c r="EZ254" s="305" t="str">
        <f t="shared" ca="1" si="735"/>
        <v/>
      </c>
      <c r="FA254" s="305" t="str">
        <f t="shared" ca="1" si="736"/>
        <v/>
      </c>
      <c r="FB254" s="305" t="str">
        <f t="shared" ca="1" si="737"/>
        <v/>
      </c>
      <c r="FC254" s="305" t="str">
        <f t="shared" ca="1" si="738"/>
        <v/>
      </c>
      <c r="FD254" s="305" t="str">
        <f t="shared" ca="1" si="739"/>
        <v/>
      </c>
      <c r="FE254" s="305" t="str">
        <f t="shared" ca="1" si="740"/>
        <v/>
      </c>
      <c r="FF254" s="305" t="str">
        <f t="shared" ca="1" si="741"/>
        <v/>
      </c>
      <c r="FG254" s="299">
        <f t="shared" ca="1" si="742"/>
        <v>0</v>
      </c>
      <c r="FH254" s="302">
        <f t="shared" ca="1" si="743"/>
        <v>0</v>
      </c>
      <c r="FI254" s="248">
        <f t="shared" ca="1" si="744"/>
        <v>0</v>
      </c>
      <c r="FJ254" s="363">
        <f t="shared" ca="1" si="745"/>
        <v>0</v>
      </c>
      <c r="FK254" s="378" t="str">
        <f t="shared" ca="1" si="746"/>
        <v/>
      </c>
      <c r="FL254" s="508" t="str">
        <f t="shared" ca="1" si="747"/>
        <v/>
      </c>
      <c r="FM254" s="508" t="str">
        <f t="shared" ca="1" si="748"/>
        <v/>
      </c>
      <c r="FN254" s="508" t="str">
        <f t="shared" ca="1" si="749"/>
        <v/>
      </c>
      <c r="FO254" s="508" t="str">
        <f t="shared" ca="1" si="750"/>
        <v/>
      </c>
      <c r="FP254" s="353">
        <f t="shared" ca="1" si="751"/>
        <v>0</v>
      </c>
      <c r="FQ254" s="356">
        <f t="shared" ca="1" si="752"/>
        <v>0</v>
      </c>
      <c r="FR254" s="380">
        <f t="shared" ca="1" si="753"/>
        <v>0</v>
      </c>
      <c r="FS254" s="299">
        <f t="shared" ca="1" si="754"/>
        <v>0</v>
      </c>
      <c r="FT254" s="299">
        <f t="shared" ca="1" si="755"/>
        <v>0</v>
      </c>
      <c r="FU254" s="299">
        <f t="shared" ca="1" si="756"/>
        <v>0</v>
      </c>
      <c r="FV254" s="299">
        <f t="shared" ca="1" si="757"/>
        <v>0</v>
      </c>
      <c r="FW254" s="850" t="str">
        <f t="shared" ca="1" si="758"/>
        <v/>
      </c>
      <c r="FX254" s="851" t="str">
        <f t="shared" ca="1" si="759"/>
        <v/>
      </c>
      <c r="FY254" s="851" t="str">
        <f t="shared" ca="1" si="760"/>
        <v/>
      </c>
      <c r="FZ254" s="201" t="str">
        <f t="shared" ca="1" si="761"/>
        <v/>
      </c>
      <c r="GA254" s="201" t="str">
        <f t="shared" ca="1" si="762"/>
        <v/>
      </c>
      <c r="GB254" s="201" t="str">
        <f t="shared" ca="1" si="763"/>
        <v/>
      </c>
      <c r="GC254" s="201" t="str">
        <f t="shared" ca="1" si="764"/>
        <v/>
      </c>
      <c r="GD254" s="850" t="str">
        <f t="shared" ca="1" si="765"/>
        <v/>
      </c>
      <c r="GE254" s="866" t="str">
        <f t="shared" ca="1" si="766"/>
        <v/>
      </c>
      <c r="GF254" s="866" t="str">
        <f t="shared" ca="1" si="767"/>
        <v/>
      </c>
      <c r="GG254" s="866" t="str">
        <f t="shared" ca="1" si="768"/>
        <v/>
      </c>
      <c r="GH254" s="866" t="str">
        <f t="shared" ca="1" si="769"/>
        <v/>
      </c>
      <c r="GI254" s="302">
        <f t="shared" ca="1" si="770"/>
        <v>0</v>
      </c>
      <c r="GJ254" s="299">
        <f t="shared" ca="1" si="771"/>
        <v>0</v>
      </c>
      <c r="GK254" s="299">
        <f t="shared" ca="1" si="772"/>
        <v>0</v>
      </c>
      <c r="GL254" s="299">
        <f t="shared" ca="1" si="773"/>
        <v>0</v>
      </c>
      <c r="GM254" s="299">
        <f t="shared" ca="1" si="774"/>
        <v>0</v>
      </c>
      <c r="GN254" s="302">
        <f t="shared" ca="1" si="775"/>
        <v>0</v>
      </c>
      <c r="GO254" s="299">
        <f t="shared" ca="1" si="776"/>
        <v>0</v>
      </c>
      <c r="GP254" s="299">
        <f t="shared" ca="1" si="777"/>
        <v>0</v>
      </c>
      <c r="GQ254" s="299">
        <f t="shared" ca="1" si="778"/>
        <v>0</v>
      </c>
      <c r="GR254" s="299">
        <f t="shared" ca="1" si="779"/>
        <v>0</v>
      </c>
      <c r="GS254" s="302">
        <f t="shared" ca="1" si="780"/>
        <v>0</v>
      </c>
      <c r="GT254" s="299">
        <f t="shared" ca="1" si="781"/>
        <v>0</v>
      </c>
      <c r="GU254" s="299">
        <f t="shared" ca="1" si="782"/>
        <v>0</v>
      </c>
      <c r="GV254" s="299">
        <f t="shared" ca="1" si="783"/>
        <v>0</v>
      </c>
      <c r="GW254" s="299">
        <f t="shared" ca="1" si="784"/>
        <v>0</v>
      </c>
      <c r="GX254" s="303">
        <f t="shared" ca="1" si="785"/>
        <v>0</v>
      </c>
      <c r="GY254" s="303">
        <f t="shared" ca="1" si="786"/>
        <v>0</v>
      </c>
      <c r="GZ254" s="303">
        <f t="shared" ca="1" si="787"/>
        <v>0</v>
      </c>
      <c r="HA254" s="303">
        <f t="shared" ca="1" si="788"/>
        <v>0</v>
      </c>
      <c r="HB254" s="303">
        <f t="shared" ca="1" si="789"/>
        <v>0</v>
      </c>
      <c r="HC254" s="303">
        <f t="shared" ca="1" si="790"/>
        <v>0</v>
      </c>
      <c r="HD254" s="303">
        <f t="shared" ca="1" si="791"/>
        <v>0</v>
      </c>
      <c r="HE254" s="303">
        <f t="shared" ca="1" si="792"/>
        <v>0</v>
      </c>
      <c r="HF254" s="303">
        <f t="shared" ca="1" si="793"/>
        <v>0</v>
      </c>
      <c r="HG254" s="852">
        <f t="shared" ca="1" si="794"/>
        <v>0</v>
      </c>
    </row>
    <row r="255" spans="1:215" x14ac:dyDescent="0.25">
      <c r="A255" s="244">
        <f t="shared" ca="1" si="795"/>
        <v>43862</v>
      </c>
      <c r="B255" s="13">
        <f t="shared" ca="1" si="825"/>
        <v>2020</v>
      </c>
      <c r="C255" s="619">
        <f t="shared" ca="1" si="826"/>
        <v>2</v>
      </c>
      <c r="D255" s="195" t="str">
        <f t="shared" ca="1" si="625"/>
        <v/>
      </c>
      <c r="E255" s="469" t="str">
        <f t="shared" ca="1" si="626"/>
        <v/>
      </c>
      <c r="F255" s="465" t="str">
        <f t="shared" ca="1" si="627"/>
        <v/>
      </c>
      <c r="G255" s="522">
        <f t="shared" ca="1" si="796"/>
        <v>1</v>
      </c>
      <c r="H255" s="519">
        <f t="shared" ca="1" si="797"/>
        <v>1</v>
      </c>
      <c r="I255" s="724">
        <f t="shared" ca="1" si="827"/>
        <v>7.4170229958521988E-2</v>
      </c>
      <c r="J255" s="198">
        <f t="shared" ca="1" si="629"/>
        <v>0.23220162331931554</v>
      </c>
      <c r="K255" s="200" t="e">
        <f t="shared" ca="1" si="805"/>
        <v>#N/A</v>
      </c>
      <c r="L255" s="201" t="e">
        <f t="shared" ca="1" si="806"/>
        <v>#N/A</v>
      </c>
      <c r="M255" s="206" t="e">
        <f t="shared" ca="1" si="807"/>
        <v>#N/A</v>
      </c>
      <c r="N255" s="851" t="e">
        <f t="shared" ca="1" si="811"/>
        <v>#N/A</v>
      </c>
      <c r="O255" s="201" t="e">
        <f t="shared" ca="1" si="812"/>
        <v>#N/A</v>
      </c>
      <c r="P255" s="206" t="e">
        <f t="shared" ca="1" si="813"/>
        <v>#N/A</v>
      </c>
      <c r="Q255" s="201" t="e">
        <f t="shared" ca="1" si="814"/>
        <v>#N/A</v>
      </c>
      <c r="R255" s="201" t="e">
        <f t="shared" ca="1" si="815"/>
        <v>#N/A</v>
      </c>
      <c r="S255" s="201" t="e">
        <f t="shared" ca="1" si="816"/>
        <v>#N/A</v>
      </c>
      <c r="T255" s="851" t="e">
        <f t="shared" ca="1" si="808"/>
        <v>#N/A</v>
      </c>
      <c r="U255" s="201" t="e">
        <f t="shared" ca="1" si="809"/>
        <v>#N/A</v>
      </c>
      <c r="V255" s="206" t="e">
        <f t="shared" ca="1" si="810"/>
        <v>#N/A</v>
      </c>
      <c r="W255" s="230" t="e">
        <f t="shared" ca="1" si="798"/>
        <v>#N/A</v>
      </c>
      <c r="X255" s="231" t="e">
        <f t="shared" ca="1" si="799"/>
        <v>#N/A</v>
      </c>
      <c r="Y255" s="232" t="e">
        <f t="shared" ca="1" si="800"/>
        <v>#N/A</v>
      </c>
      <c r="Z255" s="231" t="e">
        <f t="shared" ca="1" si="820"/>
        <v>#N/A</v>
      </c>
      <c r="AA255" s="231" t="e">
        <f t="shared" ca="1" si="821"/>
        <v>#N/A</v>
      </c>
      <c r="AB255" s="232" t="e">
        <f t="shared" ca="1" si="822"/>
        <v>#N/A</v>
      </c>
      <c r="AC255" s="231" t="e">
        <f t="shared" ca="1" si="823"/>
        <v>#N/A</v>
      </c>
      <c r="AD255" s="231" t="e">
        <f t="shared" ca="1" si="824"/>
        <v>#N/A</v>
      </c>
      <c r="AE255" s="232" t="e">
        <f t="shared" ca="1" si="630"/>
        <v>#N/A</v>
      </c>
      <c r="AF255" s="231" t="e">
        <f t="shared" ca="1" si="801"/>
        <v>#N/A</v>
      </c>
      <c r="AG255" s="231" t="e">
        <f t="shared" ca="1" si="802"/>
        <v>#N/A</v>
      </c>
      <c r="AH255" s="232" t="e">
        <f t="shared" ca="1" si="803"/>
        <v>#N/A</v>
      </c>
      <c r="AI255" s="233" t="e">
        <f t="shared" ca="1" si="631"/>
        <v>#N/A</v>
      </c>
      <c r="AJ255" s="233" t="e">
        <f t="shared" ca="1" si="632"/>
        <v>#N/A</v>
      </c>
      <c r="AK255" s="234" t="e">
        <f t="shared" ca="1" si="633"/>
        <v>#N/A</v>
      </c>
      <c r="AL255" s="919" t="e">
        <f t="shared" ca="1" si="634"/>
        <v>#N/A</v>
      </c>
      <c r="AM255" s="233" t="e">
        <f t="shared" ca="1" si="635"/>
        <v>#N/A</v>
      </c>
      <c r="AN255" s="234" t="e">
        <f t="shared" ca="1" si="636"/>
        <v>#N/A</v>
      </c>
      <c r="AO255" s="233" t="e">
        <f t="shared" ca="1" si="637"/>
        <v>#N/A</v>
      </c>
      <c r="AP255" s="233" t="e">
        <f t="shared" ca="1" si="638"/>
        <v>#N/A</v>
      </c>
      <c r="AQ255" s="233" t="e">
        <f t="shared" ca="1" si="639"/>
        <v>#N/A</v>
      </c>
      <c r="AR255" s="919" t="e">
        <f t="shared" ca="1" si="640"/>
        <v>#N/A</v>
      </c>
      <c r="AS255" s="233" t="e">
        <f t="shared" ca="1" si="641"/>
        <v>#N/A</v>
      </c>
      <c r="AT255" s="235" t="e">
        <f t="shared" ca="1" si="642"/>
        <v>#N/A</v>
      </c>
      <c r="AU255" s="946">
        <f t="shared" si="643"/>
        <v>0.5</v>
      </c>
      <c r="AV255" s="13">
        <f t="shared" ca="1" si="644"/>
        <v>0</v>
      </c>
      <c r="AW255" s="210">
        <f t="shared" ca="1" si="645"/>
        <v>0</v>
      </c>
      <c r="AX255" s="210">
        <f t="shared" ca="1" si="646"/>
        <v>0</v>
      </c>
      <c r="AY255" s="210">
        <f t="shared" ca="1" si="647"/>
        <v>0</v>
      </c>
      <c r="AZ255" s="13">
        <f t="shared" ca="1" si="648"/>
        <v>0</v>
      </c>
      <c r="BA255" s="357">
        <f ca="1"/>
        <v>0</v>
      </c>
      <c r="BB255" s="925">
        <f ca="1"/>
        <v>0</v>
      </c>
      <c r="BC255" s="925">
        <f ca="1"/>
        <v>0</v>
      </c>
      <c r="BD255" s="928">
        <f ca="1"/>
        <v>0</v>
      </c>
      <c r="BE255" s="200">
        <f ca="1"/>
        <v>0</v>
      </c>
      <c r="BF255" s="851">
        <f ca="1"/>
        <v>0</v>
      </c>
      <c r="BG255" s="851">
        <f ca="1"/>
        <v>0</v>
      </c>
      <c r="BH255" s="933">
        <f ca="1"/>
        <v>0</v>
      </c>
      <c r="BI255" s="357">
        <f ca="1"/>
        <v>0</v>
      </c>
      <c r="BJ255" s="925">
        <f ca="1"/>
        <v>0</v>
      </c>
      <c r="BK255" s="925">
        <f ca="1"/>
        <v>0</v>
      </c>
      <c r="BL255" s="928">
        <f ca="1"/>
        <v>0</v>
      </c>
      <c r="BM255" s="200">
        <f ca="1"/>
        <v>0</v>
      </c>
      <c r="BN255" s="851">
        <f ca="1"/>
        <v>0</v>
      </c>
      <c r="BO255" s="851">
        <f ca="1"/>
        <v>0</v>
      </c>
      <c r="BP255" s="933">
        <f ca="1"/>
        <v>0</v>
      </c>
      <c r="BQ255" s="357">
        <f t="shared" ca="1" si="649"/>
        <v>0</v>
      </c>
      <c r="BR255" s="361">
        <f t="shared" ca="1" si="650"/>
        <v>0</v>
      </c>
      <c r="BS255" s="357">
        <f t="shared" ca="1" si="651"/>
        <v>0</v>
      </c>
      <c r="BT255" s="302">
        <f t="shared" ca="1" si="652"/>
        <v>0</v>
      </c>
      <c r="BU255" s="299">
        <f t="shared" ca="1" si="653"/>
        <v>0</v>
      </c>
      <c r="BV255" s="299">
        <f t="shared" ca="1" si="654"/>
        <v>0</v>
      </c>
      <c r="BW255" s="299">
        <f t="shared" ca="1" si="655"/>
        <v>0</v>
      </c>
      <c r="BX255" s="380">
        <f t="shared" ca="1" si="656"/>
        <v>19.917864476386036</v>
      </c>
      <c r="BY255" s="363">
        <f t="shared" ca="1" si="657"/>
        <v>0</v>
      </c>
      <c r="BZ255" s="353">
        <f t="shared" ca="1" si="658"/>
        <v>0</v>
      </c>
      <c r="CA255" s="353">
        <f t="shared" ca="1" si="659"/>
        <v>0</v>
      </c>
      <c r="CB255" s="353">
        <f t="shared" ca="1" si="660"/>
        <v>0</v>
      </c>
      <c r="CC255" s="353">
        <f t="shared" ca="1" si="661"/>
        <v>0</v>
      </c>
      <c r="CD255" s="353">
        <f t="shared" ca="1" si="662"/>
        <v>0</v>
      </c>
      <c r="CE255" s="302">
        <f t="shared" ca="1" si="663"/>
        <v>0</v>
      </c>
      <c r="CF255" s="299">
        <f t="shared" ca="1" si="664"/>
        <v>0</v>
      </c>
      <c r="CG255" s="299">
        <f t="shared" ca="1" si="665"/>
        <v>0</v>
      </c>
      <c r="CH255" s="299">
        <f t="shared" ca="1" si="666"/>
        <v>0</v>
      </c>
      <c r="CI255" s="299">
        <f t="shared" ca="1" si="667"/>
        <v>0</v>
      </c>
      <c r="CJ255" s="299">
        <f t="shared" ca="1" si="668"/>
        <v>0</v>
      </c>
      <c r="CK255" s="299">
        <f t="shared" ca="1" si="669"/>
        <v>0</v>
      </c>
      <c r="CL255" s="377" t="str">
        <f t="shared" ca="1" si="670"/>
        <v/>
      </c>
      <c r="CM255" s="305" t="str">
        <f t="shared" ca="1" si="671"/>
        <v/>
      </c>
      <c r="CN255" s="305" t="str">
        <f t="shared" ca="1" si="672"/>
        <v/>
      </c>
      <c r="CO255" s="305" t="str">
        <f t="shared" ca="1" si="673"/>
        <v/>
      </c>
      <c r="CP255" s="305" t="str">
        <f t="shared" ca="1" si="674"/>
        <v/>
      </c>
      <c r="CQ255" s="305" t="str">
        <f t="shared" ca="1" si="675"/>
        <v/>
      </c>
      <c r="CR255" s="775" t="str">
        <f t="shared" ca="1" si="676"/>
        <v/>
      </c>
      <c r="CS255" s="305" t="str">
        <f t="shared" ca="1" si="677"/>
        <v/>
      </c>
      <c r="CT255" s="305" t="str">
        <f t="shared" ca="1" si="678"/>
        <v/>
      </c>
      <c r="CU255" s="305" t="str">
        <f t="shared" ca="1" si="679"/>
        <v/>
      </c>
      <c r="CV255" s="770" t="str">
        <f t="shared" ca="1" si="680"/>
        <v/>
      </c>
      <c r="CW255" s="302">
        <f t="shared" ca="1" si="681"/>
        <v>0</v>
      </c>
      <c r="CX255" s="299">
        <f t="shared" ca="1" si="682"/>
        <v>0</v>
      </c>
      <c r="CY255" s="299">
        <f t="shared" ca="1" si="683"/>
        <v>0</v>
      </c>
      <c r="CZ255" s="299">
        <f t="shared" ca="1" si="684"/>
        <v>0</v>
      </c>
      <c r="DA255" s="774">
        <f t="shared" ca="1" si="685"/>
        <v>0</v>
      </c>
      <c r="DB255" s="303">
        <f t="shared" ca="1" si="686"/>
        <v>0</v>
      </c>
      <c r="DC255" s="248">
        <f t="shared" ca="1" si="687"/>
        <v>0</v>
      </c>
      <c r="DD255" s="778">
        <f t="shared" ca="1" si="688"/>
        <v>0</v>
      </c>
      <c r="DE255" s="363">
        <f t="shared" ca="1" si="689"/>
        <v>0</v>
      </c>
      <c r="DF255" s="378" t="str">
        <f t="shared" ca="1" si="690"/>
        <v/>
      </c>
      <c r="DG255" s="508" t="str">
        <f t="shared" ca="1" si="691"/>
        <v/>
      </c>
      <c r="DH255" s="508" t="str">
        <f t="shared" ca="1" si="692"/>
        <v/>
      </c>
      <c r="DI255" s="508" t="str">
        <f t="shared" ca="1" si="693"/>
        <v/>
      </c>
      <c r="DJ255" s="508" t="str">
        <f t="shared" ca="1" si="694"/>
        <v/>
      </c>
      <c r="DK255" s="353">
        <f t="shared" ca="1" si="695"/>
        <v>0</v>
      </c>
      <c r="DL255" s="781">
        <f t="shared" ca="1" si="696"/>
        <v>0</v>
      </c>
      <c r="DM255" s="303">
        <f t="shared" ca="1" si="697"/>
        <v>0</v>
      </c>
      <c r="DN255" s="508" t="str">
        <f t="shared" ca="1" si="698"/>
        <v/>
      </c>
      <c r="DO255" s="508" t="str">
        <f t="shared" ca="1" si="699"/>
        <v/>
      </c>
      <c r="DP255" s="508" t="str">
        <f t="shared" ca="1" si="700"/>
        <v/>
      </c>
      <c r="DQ255" s="508" t="str">
        <f t="shared" ca="1" si="701"/>
        <v/>
      </c>
      <c r="DR255" s="508" t="str">
        <f t="shared" ca="1" si="702"/>
        <v/>
      </c>
      <c r="DS255" s="353">
        <f t="shared" ca="1" si="703"/>
        <v>0</v>
      </c>
      <c r="DT255" s="353">
        <f t="shared" ca="1" si="704"/>
        <v>0</v>
      </c>
      <c r="DU255" s="380">
        <f t="shared" ca="1" si="804"/>
        <v>19.917864476386036</v>
      </c>
      <c r="DV255" s="303">
        <f t="shared" ca="1" si="705"/>
        <v>0</v>
      </c>
      <c r="DW255" s="303">
        <f t="shared" ca="1" si="706"/>
        <v>0</v>
      </c>
      <c r="DX255" s="303">
        <f t="shared" ca="1" si="707"/>
        <v>0</v>
      </c>
      <c r="DY255" s="303">
        <f t="shared" ca="1" si="708"/>
        <v>0</v>
      </c>
      <c r="DZ255" s="303">
        <f t="shared" ca="1" si="709"/>
        <v>0</v>
      </c>
      <c r="EA255" s="303">
        <f t="shared" ca="1" si="710"/>
        <v>0</v>
      </c>
      <c r="EB255" s="302">
        <f t="shared" ca="1" si="711"/>
        <v>0</v>
      </c>
      <c r="EC255" s="299">
        <f t="shared" ca="1" si="712"/>
        <v>0</v>
      </c>
      <c r="ED255" s="299">
        <f t="shared" ca="1" si="713"/>
        <v>0</v>
      </c>
      <c r="EE255" s="299">
        <f t="shared" ca="1" si="714"/>
        <v>0</v>
      </c>
      <c r="EF255" s="299">
        <f t="shared" ca="1" si="715"/>
        <v>0</v>
      </c>
      <c r="EG255" s="299">
        <f t="shared" ca="1" si="716"/>
        <v>0</v>
      </c>
      <c r="EH255" s="302">
        <f t="shared" ca="1" si="717"/>
        <v>0</v>
      </c>
      <c r="EI255" s="304" t="str">
        <f t="shared" ca="1" si="718"/>
        <v/>
      </c>
      <c r="EJ255" s="305" t="str">
        <f t="shared" ca="1" si="719"/>
        <v/>
      </c>
      <c r="EK255" s="305" t="str">
        <f t="shared" ca="1" si="720"/>
        <v/>
      </c>
      <c r="EL255" s="305" t="str">
        <f t="shared" ca="1" si="721"/>
        <v/>
      </c>
      <c r="EM255" s="305" t="str">
        <f t="shared" ca="1" si="722"/>
        <v/>
      </c>
      <c r="EN255" s="305" t="str">
        <f t="shared" ca="1" si="723"/>
        <v/>
      </c>
      <c r="EO255" s="305" t="str">
        <f t="shared" ca="1" si="724"/>
        <v/>
      </c>
      <c r="EP255" s="305" t="str">
        <f t="shared" ca="1" si="725"/>
        <v/>
      </c>
      <c r="EQ255" s="305" t="str">
        <f t="shared" ca="1" si="726"/>
        <v/>
      </c>
      <c r="ER255" s="305" t="str">
        <f t="shared" ca="1" si="727"/>
        <v/>
      </c>
      <c r="ES255" s="305" t="str">
        <f t="shared" ca="1" si="728"/>
        <v/>
      </c>
      <c r="ET255" s="299">
        <f t="shared" ca="1" si="729"/>
        <v>0</v>
      </c>
      <c r="EU255" s="302">
        <f t="shared" ca="1" si="730"/>
        <v>0</v>
      </c>
      <c r="EV255" s="304" t="str">
        <f t="shared" ca="1" si="731"/>
        <v/>
      </c>
      <c r="EW255" s="305" t="str">
        <f t="shared" ca="1" si="732"/>
        <v/>
      </c>
      <c r="EX255" s="305" t="str">
        <f t="shared" ca="1" si="733"/>
        <v/>
      </c>
      <c r="EY255" s="305" t="str">
        <f t="shared" ca="1" si="734"/>
        <v/>
      </c>
      <c r="EZ255" s="305" t="str">
        <f t="shared" ca="1" si="735"/>
        <v/>
      </c>
      <c r="FA255" s="305" t="str">
        <f t="shared" ca="1" si="736"/>
        <v/>
      </c>
      <c r="FB255" s="305" t="str">
        <f t="shared" ca="1" si="737"/>
        <v/>
      </c>
      <c r="FC255" s="305" t="str">
        <f t="shared" ca="1" si="738"/>
        <v/>
      </c>
      <c r="FD255" s="305" t="str">
        <f t="shared" ca="1" si="739"/>
        <v/>
      </c>
      <c r="FE255" s="305" t="str">
        <f t="shared" ca="1" si="740"/>
        <v/>
      </c>
      <c r="FF255" s="305" t="str">
        <f t="shared" ca="1" si="741"/>
        <v/>
      </c>
      <c r="FG255" s="299">
        <f t="shared" ca="1" si="742"/>
        <v>0</v>
      </c>
      <c r="FH255" s="302">
        <f t="shared" ca="1" si="743"/>
        <v>0</v>
      </c>
      <c r="FI255" s="248">
        <f t="shared" ca="1" si="744"/>
        <v>0</v>
      </c>
      <c r="FJ255" s="363">
        <f t="shared" ca="1" si="745"/>
        <v>0</v>
      </c>
      <c r="FK255" s="378" t="str">
        <f t="shared" ca="1" si="746"/>
        <v/>
      </c>
      <c r="FL255" s="508" t="str">
        <f t="shared" ca="1" si="747"/>
        <v/>
      </c>
      <c r="FM255" s="508" t="str">
        <f t="shared" ca="1" si="748"/>
        <v/>
      </c>
      <c r="FN255" s="508" t="str">
        <f t="shared" ca="1" si="749"/>
        <v/>
      </c>
      <c r="FO255" s="508" t="str">
        <f t="shared" ca="1" si="750"/>
        <v/>
      </c>
      <c r="FP255" s="353">
        <f t="shared" ca="1" si="751"/>
        <v>0</v>
      </c>
      <c r="FQ255" s="356">
        <f t="shared" ca="1" si="752"/>
        <v>0</v>
      </c>
      <c r="FR255" s="380">
        <f t="shared" ca="1" si="753"/>
        <v>0</v>
      </c>
      <c r="FS255" s="299">
        <f t="shared" ca="1" si="754"/>
        <v>0</v>
      </c>
      <c r="FT255" s="299">
        <f t="shared" ca="1" si="755"/>
        <v>0</v>
      </c>
      <c r="FU255" s="299">
        <f t="shared" ca="1" si="756"/>
        <v>0</v>
      </c>
      <c r="FV255" s="299">
        <f t="shared" ca="1" si="757"/>
        <v>0</v>
      </c>
      <c r="FW255" s="850" t="str">
        <f t="shared" ca="1" si="758"/>
        <v/>
      </c>
      <c r="FX255" s="851" t="str">
        <f t="shared" ca="1" si="759"/>
        <v/>
      </c>
      <c r="FY255" s="851" t="str">
        <f t="shared" ca="1" si="760"/>
        <v/>
      </c>
      <c r="FZ255" s="201" t="str">
        <f t="shared" ca="1" si="761"/>
        <v/>
      </c>
      <c r="GA255" s="201" t="str">
        <f t="shared" ca="1" si="762"/>
        <v/>
      </c>
      <c r="GB255" s="201" t="str">
        <f t="shared" ca="1" si="763"/>
        <v/>
      </c>
      <c r="GC255" s="201" t="str">
        <f t="shared" ca="1" si="764"/>
        <v/>
      </c>
      <c r="GD255" s="850" t="str">
        <f t="shared" ca="1" si="765"/>
        <v/>
      </c>
      <c r="GE255" s="866" t="str">
        <f t="shared" ca="1" si="766"/>
        <v/>
      </c>
      <c r="GF255" s="866" t="str">
        <f t="shared" ca="1" si="767"/>
        <v/>
      </c>
      <c r="GG255" s="866" t="str">
        <f t="shared" ca="1" si="768"/>
        <v/>
      </c>
      <c r="GH255" s="866" t="str">
        <f t="shared" ca="1" si="769"/>
        <v/>
      </c>
      <c r="GI255" s="302">
        <f t="shared" ca="1" si="770"/>
        <v>0</v>
      </c>
      <c r="GJ255" s="299">
        <f t="shared" ca="1" si="771"/>
        <v>0</v>
      </c>
      <c r="GK255" s="299">
        <f t="shared" ca="1" si="772"/>
        <v>0</v>
      </c>
      <c r="GL255" s="299">
        <f t="shared" ca="1" si="773"/>
        <v>0</v>
      </c>
      <c r="GM255" s="299">
        <f t="shared" ca="1" si="774"/>
        <v>0</v>
      </c>
      <c r="GN255" s="302">
        <f t="shared" ca="1" si="775"/>
        <v>0</v>
      </c>
      <c r="GO255" s="299">
        <f t="shared" ca="1" si="776"/>
        <v>0</v>
      </c>
      <c r="GP255" s="299">
        <f t="shared" ca="1" si="777"/>
        <v>0</v>
      </c>
      <c r="GQ255" s="299">
        <f t="shared" ca="1" si="778"/>
        <v>0</v>
      </c>
      <c r="GR255" s="299">
        <f t="shared" ca="1" si="779"/>
        <v>0</v>
      </c>
      <c r="GS255" s="302">
        <f t="shared" ca="1" si="780"/>
        <v>0</v>
      </c>
      <c r="GT255" s="299">
        <f t="shared" ca="1" si="781"/>
        <v>0</v>
      </c>
      <c r="GU255" s="299">
        <f t="shared" ca="1" si="782"/>
        <v>0</v>
      </c>
      <c r="GV255" s="299">
        <f t="shared" ca="1" si="783"/>
        <v>0</v>
      </c>
      <c r="GW255" s="299">
        <f t="shared" ca="1" si="784"/>
        <v>0</v>
      </c>
      <c r="GX255" s="303">
        <f t="shared" ca="1" si="785"/>
        <v>0</v>
      </c>
      <c r="GY255" s="303">
        <f t="shared" ca="1" si="786"/>
        <v>0</v>
      </c>
      <c r="GZ255" s="303">
        <f t="shared" ca="1" si="787"/>
        <v>0</v>
      </c>
      <c r="HA255" s="303">
        <f t="shared" ca="1" si="788"/>
        <v>0</v>
      </c>
      <c r="HB255" s="303">
        <f t="shared" ca="1" si="789"/>
        <v>0</v>
      </c>
      <c r="HC255" s="303">
        <f t="shared" ca="1" si="790"/>
        <v>0</v>
      </c>
      <c r="HD255" s="303">
        <f t="shared" ca="1" si="791"/>
        <v>0</v>
      </c>
      <c r="HE255" s="303">
        <f t="shared" ca="1" si="792"/>
        <v>0</v>
      </c>
      <c r="HF255" s="303">
        <f t="shared" ca="1" si="793"/>
        <v>0</v>
      </c>
      <c r="HG255" s="852">
        <f t="shared" ca="1" si="794"/>
        <v>0</v>
      </c>
    </row>
    <row r="256" spans="1:215" x14ac:dyDescent="0.25">
      <c r="A256" s="244">
        <f t="shared" ca="1" si="795"/>
        <v>43891</v>
      </c>
      <c r="B256" s="13">
        <f t="shared" ca="1" si="825"/>
        <v>2020</v>
      </c>
      <c r="C256" s="619">
        <f t="shared" ca="1" si="826"/>
        <v>3</v>
      </c>
      <c r="D256" s="195" t="str">
        <f t="shared" ca="1" si="625"/>
        <v/>
      </c>
      <c r="E256" s="469" t="str">
        <f t="shared" ca="1" si="626"/>
        <v/>
      </c>
      <c r="F256" s="465" t="str">
        <f t="shared" ca="1" si="627"/>
        <v/>
      </c>
      <c r="G256" s="522">
        <f t="shared" ca="1" si="796"/>
        <v>1</v>
      </c>
      <c r="H256" s="519">
        <f t="shared" ca="1" si="797"/>
        <v>1</v>
      </c>
      <c r="I256" s="724">
        <f t="shared" ca="1" si="827"/>
        <v>7.4169954254698994E-2</v>
      </c>
      <c r="J256" s="198">
        <f t="shared" ca="1" si="629"/>
        <v>0.23077201014026846</v>
      </c>
      <c r="K256" s="200" t="e">
        <f t="shared" ca="1" si="805"/>
        <v>#N/A</v>
      </c>
      <c r="L256" s="201" t="e">
        <f t="shared" ca="1" si="806"/>
        <v>#N/A</v>
      </c>
      <c r="M256" s="206" t="e">
        <f t="shared" ca="1" si="807"/>
        <v>#N/A</v>
      </c>
      <c r="N256" s="851" t="e">
        <f t="shared" ca="1" si="811"/>
        <v>#N/A</v>
      </c>
      <c r="O256" s="201" t="e">
        <f t="shared" ca="1" si="812"/>
        <v>#N/A</v>
      </c>
      <c r="P256" s="206" t="e">
        <f t="shared" ca="1" si="813"/>
        <v>#N/A</v>
      </c>
      <c r="Q256" s="201" t="e">
        <f t="shared" ca="1" si="814"/>
        <v>#N/A</v>
      </c>
      <c r="R256" s="201" t="e">
        <f t="shared" ca="1" si="815"/>
        <v>#N/A</v>
      </c>
      <c r="S256" s="201" t="e">
        <f t="shared" ca="1" si="816"/>
        <v>#N/A</v>
      </c>
      <c r="T256" s="851" t="e">
        <f t="shared" ca="1" si="808"/>
        <v>#N/A</v>
      </c>
      <c r="U256" s="201" t="e">
        <f t="shared" ca="1" si="809"/>
        <v>#N/A</v>
      </c>
      <c r="V256" s="206" t="e">
        <f t="shared" ca="1" si="810"/>
        <v>#N/A</v>
      </c>
      <c r="W256" s="230" t="e">
        <f t="shared" ca="1" si="798"/>
        <v>#N/A</v>
      </c>
      <c r="X256" s="231" t="e">
        <f t="shared" ca="1" si="799"/>
        <v>#N/A</v>
      </c>
      <c r="Y256" s="232" t="e">
        <f t="shared" ca="1" si="800"/>
        <v>#N/A</v>
      </c>
      <c r="Z256" s="231" t="e">
        <f t="shared" ca="1" si="820"/>
        <v>#N/A</v>
      </c>
      <c r="AA256" s="231" t="e">
        <f t="shared" ca="1" si="821"/>
        <v>#N/A</v>
      </c>
      <c r="AB256" s="232" t="e">
        <f t="shared" ca="1" si="822"/>
        <v>#N/A</v>
      </c>
      <c r="AC256" s="231" t="e">
        <f t="shared" ca="1" si="823"/>
        <v>#N/A</v>
      </c>
      <c r="AD256" s="231" t="e">
        <f t="shared" ca="1" si="824"/>
        <v>#N/A</v>
      </c>
      <c r="AE256" s="232" t="e">
        <f t="shared" ca="1" si="630"/>
        <v>#N/A</v>
      </c>
      <c r="AF256" s="231" t="e">
        <f t="shared" ca="1" si="801"/>
        <v>#N/A</v>
      </c>
      <c r="AG256" s="231" t="e">
        <f t="shared" ca="1" si="802"/>
        <v>#N/A</v>
      </c>
      <c r="AH256" s="232" t="e">
        <f t="shared" ca="1" si="803"/>
        <v>#N/A</v>
      </c>
      <c r="AI256" s="233" t="e">
        <f t="shared" ca="1" si="631"/>
        <v>#N/A</v>
      </c>
      <c r="AJ256" s="233" t="e">
        <f t="shared" ca="1" si="632"/>
        <v>#N/A</v>
      </c>
      <c r="AK256" s="234" t="e">
        <f t="shared" ca="1" si="633"/>
        <v>#N/A</v>
      </c>
      <c r="AL256" s="919" t="e">
        <f t="shared" ca="1" si="634"/>
        <v>#N/A</v>
      </c>
      <c r="AM256" s="233" t="e">
        <f t="shared" ca="1" si="635"/>
        <v>#N/A</v>
      </c>
      <c r="AN256" s="234" t="e">
        <f t="shared" ca="1" si="636"/>
        <v>#N/A</v>
      </c>
      <c r="AO256" s="233" t="e">
        <f t="shared" ca="1" si="637"/>
        <v>#N/A</v>
      </c>
      <c r="AP256" s="233" t="e">
        <f t="shared" ca="1" si="638"/>
        <v>#N/A</v>
      </c>
      <c r="AQ256" s="233" t="e">
        <f t="shared" ca="1" si="639"/>
        <v>#N/A</v>
      </c>
      <c r="AR256" s="919" t="e">
        <f t="shared" ca="1" si="640"/>
        <v>#N/A</v>
      </c>
      <c r="AS256" s="233" t="e">
        <f t="shared" ca="1" si="641"/>
        <v>#N/A</v>
      </c>
      <c r="AT256" s="235" t="e">
        <f t="shared" ca="1" si="642"/>
        <v>#N/A</v>
      </c>
      <c r="AU256" s="946">
        <f t="shared" si="643"/>
        <v>0.5</v>
      </c>
      <c r="AV256" s="13">
        <f t="shared" ca="1" si="644"/>
        <v>0</v>
      </c>
      <c r="AW256" s="210">
        <f t="shared" ca="1" si="645"/>
        <v>0</v>
      </c>
      <c r="AX256" s="210">
        <f t="shared" ca="1" si="646"/>
        <v>0</v>
      </c>
      <c r="AY256" s="210">
        <f t="shared" ca="1" si="647"/>
        <v>0</v>
      </c>
      <c r="AZ256" s="13">
        <f t="shared" ca="1" si="648"/>
        <v>0</v>
      </c>
      <c r="BA256" s="357">
        <f ca="1"/>
        <v>0</v>
      </c>
      <c r="BB256" s="925">
        <f ca="1"/>
        <v>0</v>
      </c>
      <c r="BC256" s="925">
        <f ca="1"/>
        <v>0</v>
      </c>
      <c r="BD256" s="928">
        <f ca="1"/>
        <v>0</v>
      </c>
      <c r="BE256" s="200">
        <f ca="1"/>
        <v>0</v>
      </c>
      <c r="BF256" s="851">
        <f ca="1"/>
        <v>0</v>
      </c>
      <c r="BG256" s="851">
        <f ca="1"/>
        <v>0</v>
      </c>
      <c r="BH256" s="933">
        <f ca="1"/>
        <v>0</v>
      </c>
      <c r="BI256" s="357">
        <f ca="1"/>
        <v>0</v>
      </c>
      <c r="BJ256" s="925">
        <f ca="1"/>
        <v>0</v>
      </c>
      <c r="BK256" s="925">
        <f ca="1"/>
        <v>0</v>
      </c>
      <c r="BL256" s="928">
        <f ca="1"/>
        <v>0</v>
      </c>
      <c r="BM256" s="200">
        <f ca="1"/>
        <v>0</v>
      </c>
      <c r="BN256" s="851">
        <f ca="1"/>
        <v>0</v>
      </c>
      <c r="BO256" s="851">
        <f ca="1"/>
        <v>0</v>
      </c>
      <c r="BP256" s="933">
        <f ca="1"/>
        <v>0</v>
      </c>
      <c r="BQ256" s="357">
        <f t="shared" ca="1" si="649"/>
        <v>0</v>
      </c>
      <c r="BR256" s="361">
        <f t="shared" ca="1" si="650"/>
        <v>0</v>
      </c>
      <c r="BS256" s="357">
        <f t="shared" ca="1" si="651"/>
        <v>0</v>
      </c>
      <c r="BT256" s="302">
        <f t="shared" ca="1" si="652"/>
        <v>0</v>
      </c>
      <c r="BU256" s="299">
        <f t="shared" ca="1" si="653"/>
        <v>0</v>
      </c>
      <c r="BV256" s="299">
        <f t="shared" ca="1" si="654"/>
        <v>0</v>
      </c>
      <c r="BW256" s="299">
        <f t="shared" ca="1" si="655"/>
        <v>0</v>
      </c>
      <c r="BX256" s="380">
        <f t="shared" ca="1" si="656"/>
        <v>19.997262149212869</v>
      </c>
      <c r="BY256" s="363">
        <f t="shared" ca="1" si="657"/>
        <v>0</v>
      </c>
      <c r="BZ256" s="353">
        <f t="shared" ca="1" si="658"/>
        <v>0</v>
      </c>
      <c r="CA256" s="353">
        <f t="shared" ca="1" si="659"/>
        <v>0</v>
      </c>
      <c r="CB256" s="353">
        <f t="shared" ca="1" si="660"/>
        <v>0</v>
      </c>
      <c r="CC256" s="353">
        <f t="shared" ca="1" si="661"/>
        <v>0</v>
      </c>
      <c r="CD256" s="353">
        <f t="shared" ca="1" si="662"/>
        <v>0</v>
      </c>
      <c r="CE256" s="302">
        <f t="shared" ca="1" si="663"/>
        <v>0</v>
      </c>
      <c r="CF256" s="299">
        <f t="shared" ca="1" si="664"/>
        <v>0</v>
      </c>
      <c r="CG256" s="299">
        <f t="shared" ca="1" si="665"/>
        <v>0</v>
      </c>
      <c r="CH256" s="299">
        <f t="shared" ca="1" si="666"/>
        <v>0</v>
      </c>
      <c r="CI256" s="299">
        <f t="shared" ca="1" si="667"/>
        <v>0</v>
      </c>
      <c r="CJ256" s="299">
        <f t="shared" ca="1" si="668"/>
        <v>0</v>
      </c>
      <c r="CK256" s="299">
        <f t="shared" ca="1" si="669"/>
        <v>0</v>
      </c>
      <c r="CL256" s="377" t="str">
        <f t="shared" ca="1" si="670"/>
        <v/>
      </c>
      <c r="CM256" s="305" t="str">
        <f t="shared" ca="1" si="671"/>
        <v/>
      </c>
      <c r="CN256" s="305" t="str">
        <f t="shared" ca="1" si="672"/>
        <v/>
      </c>
      <c r="CO256" s="305" t="str">
        <f t="shared" ca="1" si="673"/>
        <v/>
      </c>
      <c r="CP256" s="305" t="str">
        <f t="shared" ca="1" si="674"/>
        <v/>
      </c>
      <c r="CQ256" s="305" t="str">
        <f t="shared" ca="1" si="675"/>
        <v/>
      </c>
      <c r="CR256" s="775" t="str">
        <f t="shared" ca="1" si="676"/>
        <v/>
      </c>
      <c r="CS256" s="305" t="str">
        <f t="shared" ca="1" si="677"/>
        <v/>
      </c>
      <c r="CT256" s="305" t="str">
        <f t="shared" ca="1" si="678"/>
        <v/>
      </c>
      <c r="CU256" s="305" t="str">
        <f t="shared" ca="1" si="679"/>
        <v/>
      </c>
      <c r="CV256" s="770" t="str">
        <f t="shared" ca="1" si="680"/>
        <v/>
      </c>
      <c r="CW256" s="302">
        <f t="shared" ca="1" si="681"/>
        <v>0</v>
      </c>
      <c r="CX256" s="299">
        <f t="shared" ca="1" si="682"/>
        <v>0</v>
      </c>
      <c r="CY256" s="299">
        <f t="shared" ca="1" si="683"/>
        <v>0</v>
      </c>
      <c r="CZ256" s="299">
        <f t="shared" ca="1" si="684"/>
        <v>0</v>
      </c>
      <c r="DA256" s="774">
        <f t="shared" ca="1" si="685"/>
        <v>0</v>
      </c>
      <c r="DB256" s="303">
        <f t="shared" ca="1" si="686"/>
        <v>0</v>
      </c>
      <c r="DC256" s="248">
        <f t="shared" ca="1" si="687"/>
        <v>0</v>
      </c>
      <c r="DD256" s="778">
        <f t="shared" ca="1" si="688"/>
        <v>0</v>
      </c>
      <c r="DE256" s="363">
        <f t="shared" ca="1" si="689"/>
        <v>0</v>
      </c>
      <c r="DF256" s="378" t="str">
        <f t="shared" ca="1" si="690"/>
        <v/>
      </c>
      <c r="DG256" s="508" t="str">
        <f t="shared" ca="1" si="691"/>
        <v/>
      </c>
      <c r="DH256" s="508" t="str">
        <f t="shared" ca="1" si="692"/>
        <v/>
      </c>
      <c r="DI256" s="508" t="str">
        <f t="shared" ca="1" si="693"/>
        <v/>
      </c>
      <c r="DJ256" s="508" t="str">
        <f t="shared" ca="1" si="694"/>
        <v/>
      </c>
      <c r="DK256" s="353">
        <f t="shared" ca="1" si="695"/>
        <v>0</v>
      </c>
      <c r="DL256" s="781">
        <f t="shared" ca="1" si="696"/>
        <v>0</v>
      </c>
      <c r="DM256" s="303">
        <f t="shared" ca="1" si="697"/>
        <v>0</v>
      </c>
      <c r="DN256" s="508" t="str">
        <f t="shared" ca="1" si="698"/>
        <v/>
      </c>
      <c r="DO256" s="508" t="str">
        <f t="shared" ca="1" si="699"/>
        <v/>
      </c>
      <c r="DP256" s="508" t="str">
        <f t="shared" ca="1" si="700"/>
        <v/>
      </c>
      <c r="DQ256" s="508" t="str">
        <f t="shared" ca="1" si="701"/>
        <v/>
      </c>
      <c r="DR256" s="508" t="str">
        <f t="shared" ca="1" si="702"/>
        <v/>
      </c>
      <c r="DS256" s="353">
        <f t="shared" ca="1" si="703"/>
        <v>0</v>
      </c>
      <c r="DT256" s="353">
        <f t="shared" ca="1" si="704"/>
        <v>0</v>
      </c>
      <c r="DU256" s="380">
        <f t="shared" ca="1" si="804"/>
        <v>19.997262149212869</v>
      </c>
      <c r="DV256" s="303">
        <f t="shared" ca="1" si="705"/>
        <v>0</v>
      </c>
      <c r="DW256" s="303">
        <f t="shared" ca="1" si="706"/>
        <v>0</v>
      </c>
      <c r="DX256" s="303">
        <f t="shared" ca="1" si="707"/>
        <v>0</v>
      </c>
      <c r="DY256" s="303">
        <f t="shared" ca="1" si="708"/>
        <v>0</v>
      </c>
      <c r="DZ256" s="303">
        <f t="shared" ca="1" si="709"/>
        <v>0</v>
      </c>
      <c r="EA256" s="303">
        <f t="shared" ca="1" si="710"/>
        <v>0</v>
      </c>
      <c r="EB256" s="302">
        <f t="shared" ca="1" si="711"/>
        <v>0</v>
      </c>
      <c r="EC256" s="299">
        <f t="shared" ca="1" si="712"/>
        <v>0</v>
      </c>
      <c r="ED256" s="299">
        <f t="shared" ca="1" si="713"/>
        <v>0</v>
      </c>
      <c r="EE256" s="299">
        <f t="shared" ca="1" si="714"/>
        <v>0</v>
      </c>
      <c r="EF256" s="299">
        <f t="shared" ca="1" si="715"/>
        <v>0</v>
      </c>
      <c r="EG256" s="299">
        <f t="shared" ca="1" si="716"/>
        <v>0</v>
      </c>
      <c r="EH256" s="302">
        <f t="shared" ca="1" si="717"/>
        <v>0</v>
      </c>
      <c r="EI256" s="304" t="str">
        <f t="shared" ca="1" si="718"/>
        <v/>
      </c>
      <c r="EJ256" s="305" t="str">
        <f t="shared" ca="1" si="719"/>
        <v/>
      </c>
      <c r="EK256" s="305" t="str">
        <f t="shared" ca="1" si="720"/>
        <v/>
      </c>
      <c r="EL256" s="305" t="str">
        <f t="shared" ca="1" si="721"/>
        <v/>
      </c>
      <c r="EM256" s="305" t="str">
        <f t="shared" ca="1" si="722"/>
        <v/>
      </c>
      <c r="EN256" s="305" t="str">
        <f t="shared" ca="1" si="723"/>
        <v/>
      </c>
      <c r="EO256" s="305" t="str">
        <f t="shared" ca="1" si="724"/>
        <v/>
      </c>
      <c r="EP256" s="305" t="str">
        <f t="shared" ca="1" si="725"/>
        <v/>
      </c>
      <c r="EQ256" s="305" t="str">
        <f t="shared" ca="1" si="726"/>
        <v/>
      </c>
      <c r="ER256" s="305" t="str">
        <f t="shared" ca="1" si="727"/>
        <v/>
      </c>
      <c r="ES256" s="305" t="str">
        <f t="shared" ca="1" si="728"/>
        <v/>
      </c>
      <c r="ET256" s="299">
        <f t="shared" ca="1" si="729"/>
        <v>0</v>
      </c>
      <c r="EU256" s="302">
        <f t="shared" ca="1" si="730"/>
        <v>0</v>
      </c>
      <c r="EV256" s="304" t="str">
        <f t="shared" ca="1" si="731"/>
        <v/>
      </c>
      <c r="EW256" s="305" t="str">
        <f t="shared" ca="1" si="732"/>
        <v/>
      </c>
      <c r="EX256" s="305" t="str">
        <f t="shared" ca="1" si="733"/>
        <v/>
      </c>
      <c r="EY256" s="305" t="str">
        <f t="shared" ca="1" si="734"/>
        <v/>
      </c>
      <c r="EZ256" s="305" t="str">
        <f t="shared" ca="1" si="735"/>
        <v/>
      </c>
      <c r="FA256" s="305" t="str">
        <f t="shared" ca="1" si="736"/>
        <v/>
      </c>
      <c r="FB256" s="305" t="str">
        <f t="shared" ca="1" si="737"/>
        <v/>
      </c>
      <c r="FC256" s="305" t="str">
        <f t="shared" ca="1" si="738"/>
        <v/>
      </c>
      <c r="FD256" s="305" t="str">
        <f t="shared" ca="1" si="739"/>
        <v/>
      </c>
      <c r="FE256" s="305" t="str">
        <f t="shared" ca="1" si="740"/>
        <v/>
      </c>
      <c r="FF256" s="305" t="str">
        <f t="shared" ca="1" si="741"/>
        <v/>
      </c>
      <c r="FG256" s="299">
        <f t="shared" ca="1" si="742"/>
        <v>0</v>
      </c>
      <c r="FH256" s="302">
        <f t="shared" ca="1" si="743"/>
        <v>0</v>
      </c>
      <c r="FI256" s="248">
        <f t="shared" ca="1" si="744"/>
        <v>0</v>
      </c>
      <c r="FJ256" s="363">
        <f t="shared" ca="1" si="745"/>
        <v>0</v>
      </c>
      <c r="FK256" s="378" t="str">
        <f t="shared" ca="1" si="746"/>
        <v/>
      </c>
      <c r="FL256" s="508" t="str">
        <f t="shared" ca="1" si="747"/>
        <v/>
      </c>
      <c r="FM256" s="508" t="str">
        <f t="shared" ca="1" si="748"/>
        <v/>
      </c>
      <c r="FN256" s="508" t="str">
        <f t="shared" ca="1" si="749"/>
        <v/>
      </c>
      <c r="FO256" s="508" t="str">
        <f t="shared" ca="1" si="750"/>
        <v/>
      </c>
      <c r="FP256" s="353">
        <f t="shared" ca="1" si="751"/>
        <v>0</v>
      </c>
      <c r="FQ256" s="356">
        <f t="shared" ca="1" si="752"/>
        <v>0</v>
      </c>
      <c r="FR256" s="380">
        <f t="shared" ca="1" si="753"/>
        <v>0</v>
      </c>
      <c r="FS256" s="299">
        <f t="shared" ca="1" si="754"/>
        <v>0</v>
      </c>
      <c r="FT256" s="299">
        <f t="shared" ca="1" si="755"/>
        <v>0</v>
      </c>
      <c r="FU256" s="299">
        <f t="shared" ca="1" si="756"/>
        <v>0</v>
      </c>
      <c r="FV256" s="299">
        <f t="shared" ca="1" si="757"/>
        <v>0</v>
      </c>
      <c r="FW256" s="850" t="str">
        <f t="shared" ca="1" si="758"/>
        <v/>
      </c>
      <c r="FX256" s="851" t="str">
        <f t="shared" ca="1" si="759"/>
        <v/>
      </c>
      <c r="FY256" s="851" t="str">
        <f t="shared" ca="1" si="760"/>
        <v/>
      </c>
      <c r="FZ256" s="201" t="str">
        <f t="shared" ca="1" si="761"/>
        <v/>
      </c>
      <c r="GA256" s="201" t="str">
        <f t="shared" ca="1" si="762"/>
        <v/>
      </c>
      <c r="GB256" s="201" t="str">
        <f t="shared" ca="1" si="763"/>
        <v/>
      </c>
      <c r="GC256" s="201" t="str">
        <f t="shared" ca="1" si="764"/>
        <v/>
      </c>
      <c r="GD256" s="850" t="str">
        <f t="shared" ca="1" si="765"/>
        <v/>
      </c>
      <c r="GE256" s="866" t="str">
        <f t="shared" ca="1" si="766"/>
        <v/>
      </c>
      <c r="GF256" s="866" t="str">
        <f t="shared" ca="1" si="767"/>
        <v/>
      </c>
      <c r="GG256" s="866" t="str">
        <f t="shared" ca="1" si="768"/>
        <v/>
      </c>
      <c r="GH256" s="866" t="str">
        <f t="shared" ca="1" si="769"/>
        <v/>
      </c>
      <c r="GI256" s="302">
        <f t="shared" ca="1" si="770"/>
        <v>0</v>
      </c>
      <c r="GJ256" s="299">
        <f t="shared" ca="1" si="771"/>
        <v>0</v>
      </c>
      <c r="GK256" s="299">
        <f t="shared" ca="1" si="772"/>
        <v>0</v>
      </c>
      <c r="GL256" s="299">
        <f t="shared" ca="1" si="773"/>
        <v>0</v>
      </c>
      <c r="GM256" s="299">
        <f t="shared" ca="1" si="774"/>
        <v>0</v>
      </c>
      <c r="GN256" s="302">
        <f t="shared" ca="1" si="775"/>
        <v>0</v>
      </c>
      <c r="GO256" s="299">
        <f t="shared" ca="1" si="776"/>
        <v>0</v>
      </c>
      <c r="GP256" s="299">
        <f t="shared" ca="1" si="777"/>
        <v>0</v>
      </c>
      <c r="GQ256" s="299">
        <f t="shared" ca="1" si="778"/>
        <v>0</v>
      </c>
      <c r="GR256" s="299">
        <f t="shared" ca="1" si="779"/>
        <v>0</v>
      </c>
      <c r="GS256" s="302">
        <f t="shared" ca="1" si="780"/>
        <v>0</v>
      </c>
      <c r="GT256" s="299">
        <f t="shared" ca="1" si="781"/>
        <v>0</v>
      </c>
      <c r="GU256" s="299">
        <f t="shared" ca="1" si="782"/>
        <v>0</v>
      </c>
      <c r="GV256" s="299">
        <f t="shared" ca="1" si="783"/>
        <v>0</v>
      </c>
      <c r="GW256" s="299">
        <f t="shared" ca="1" si="784"/>
        <v>0</v>
      </c>
      <c r="GX256" s="303">
        <f t="shared" ca="1" si="785"/>
        <v>0</v>
      </c>
      <c r="GY256" s="303">
        <f t="shared" ca="1" si="786"/>
        <v>0</v>
      </c>
      <c r="GZ256" s="303">
        <f t="shared" ca="1" si="787"/>
        <v>0</v>
      </c>
      <c r="HA256" s="303">
        <f t="shared" ca="1" si="788"/>
        <v>0</v>
      </c>
      <c r="HB256" s="303">
        <f t="shared" ca="1" si="789"/>
        <v>0</v>
      </c>
      <c r="HC256" s="303">
        <f t="shared" ca="1" si="790"/>
        <v>0</v>
      </c>
      <c r="HD256" s="303">
        <f t="shared" ca="1" si="791"/>
        <v>0</v>
      </c>
      <c r="HE256" s="303">
        <f t="shared" ca="1" si="792"/>
        <v>0</v>
      </c>
      <c r="HF256" s="303">
        <f t="shared" ca="1" si="793"/>
        <v>0</v>
      </c>
      <c r="HG256" s="852">
        <f t="shared" ca="1" si="794"/>
        <v>0</v>
      </c>
    </row>
    <row r="257" spans="1:215" x14ac:dyDescent="0.25">
      <c r="A257" s="244">
        <f t="shared" ca="1" si="795"/>
        <v>43922</v>
      </c>
      <c r="B257" s="13">
        <f t="shared" ref="B257:B272" ca="1" si="828">YEAR(A257)</f>
        <v>2020</v>
      </c>
      <c r="C257" s="619">
        <f t="shared" ref="C257:C272" ca="1" si="829">MONTH(A257)</f>
        <v>4</v>
      </c>
      <c r="D257" s="195" t="str">
        <f t="shared" ca="1" si="625"/>
        <v/>
      </c>
      <c r="E257" s="469" t="str">
        <f t="shared" ca="1" si="626"/>
        <v/>
      </c>
      <c r="F257" s="465" t="str">
        <f t="shared" ca="1" si="627"/>
        <v/>
      </c>
      <c r="G257" s="522">
        <f t="shared" ca="1" si="796"/>
        <v>1</v>
      </c>
      <c r="H257" s="519">
        <f t="shared" ca="1" si="797"/>
        <v>1</v>
      </c>
      <c r="I257" s="724">
        <f t="shared" ref="I257:I272" ca="1" si="830">VLOOKUP(A257,IRTable,2)</f>
        <v>7.4161295770025004E-2</v>
      </c>
      <c r="J257" s="198">
        <f t="shared" ca="1" si="629"/>
        <v>0.22943443279513165</v>
      </c>
      <c r="K257" s="200" t="e">
        <f t="shared" ca="1" si="805"/>
        <v>#N/A</v>
      </c>
      <c r="L257" s="201" t="e">
        <f t="shared" ca="1" si="806"/>
        <v>#N/A</v>
      </c>
      <c r="M257" s="206" t="e">
        <f t="shared" ca="1" si="807"/>
        <v>#N/A</v>
      </c>
      <c r="N257" s="851" t="e">
        <f t="shared" ca="1" si="811"/>
        <v>#N/A</v>
      </c>
      <c r="O257" s="201" t="e">
        <f t="shared" ca="1" si="812"/>
        <v>#N/A</v>
      </c>
      <c r="P257" s="206" t="e">
        <f t="shared" ca="1" si="813"/>
        <v>#N/A</v>
      </c>
      <c r="Q257" s="201" t="e">
        <f t="shared" ca="1" si="814"/>
        <v>#N/A</v>
      </c>
      <c r="R257" s="201" t="e">
        <f t="shared" ca="1" si="815"/>
        <v>#N/A</v>
      </c>
      <c r="S257" s="201" t="e">
        <f t="shared" ca="1" si="816"/>
        <v>#N/A</v>
      </c>
      <c r="T257" s="851" t="e">
        <f t="shared" ca="1" si="808"/>
        <v>#N/A</v>
      </c>
      <c r="U257" s="201" t="e">
        <f t="shared" ca="1" si="809"/>
        <v>#N/A</v>
      </c>
      <c r="V257" s="206" t="e">
        <f t="shared" ca="1" si="810"/>
        <v>#N/A</v>
      </c>
      <c r="W257" s="230" t="e">
        <f t="shared" ca="1" si="798"/>
        <v>#N/A</v>
      </c>
      <c r="X257" s="231" t="e">
        <f t="shared" ca="1" si="799"/>
        <v>#N/A</v>
      </c>
      <c r="Y257" s="232" t="e">
        <f t="shared" ca="1" si="800"/>
        <v>#N/A</v>
      </c>
      <c r="Z257" s="231" t="e">
        <f t="shared" ca="1" si="820"/>
        <v>#N/A</v>
      </c>
      <c r="AA257" s="231" t="e">
        <f t="shared" ca="1" si="821"/>
        <v>#N/A</v>
      </c>
      <c r="AB257" s="232" t="e">
        <f t="shared" ca="1" si="822"/>
        <v>#N/A</v>
      </c>
      <c r="AC257" s="231" t="e">
        <f t="shared" ca="1" si="823"/>
        <v>#N/A</v>
      </c>
      <c r="AD257" s="231" t="e">
        <f t="shared" ca="1" si="824"/>
        <v>#N/A</v>
      </c>
      <c r="AE257" s="232" t="e">
        <f t="shared" ca="1" si="630"/>
        <v>#N/A</v>
      </c>
      <c r="AF257" s="231" t="e">
        <f t="shared" ca="1" si="801"/>
        <v>#N/A</v>
      </c>
      <c r="AG257" s="231" t="e">
        <f t="shared" ca="1" si="802"/>
        <v>#N/A</v>
      </c>
      <c r="AH257" s="232" t="e">
        <f t="shared" ca="1" si="803"/>
        <v>#N/A</v>
      </c>
      <c r="AI257" s="233" t="e">
        <f t="shared" ca="1" si="631"/>
        <v>#N/A</v>
      </c>
      <c r="AJ257" s="233" t="e">
        <f t="shared" ca="1" si="632"/>
        <v>#N/A</v>
      </c>
      <c r="AK257" s="234" t="e">
        <f t="shared" ca="1" si="633"/>
        <v>#N/A</v>
      </c>
      <c r="AL257" s="919" t="e">
        <f t="shared" ca="1" si="634"/>
        <v>#N/A</v>
      </c>
      <c r="AM257" s="233" t="e">
        <f t="shared" ca="1" si="635"/>
        <v>#N/A</v>
      </c>
      <c r="AN257" s="234" t="e">
        <f t="shared" ca="1" si="636"/>
        <v>#N/A</v>
      </c>
      <c r="AO257" s="233" t="e">
        <f t="shared" ca="1" si="637"/>
        <v>#N/A</v>
      </c>
      <c r="AP257" s="233" t="e">
        <f t="shared" ca="1" si="638"/>
        <v>#N/A</v>
      </c>
      <c r="AQ257" s="233" t="e">
        <f t="shared" ca="1" si="639"/>
        <v>#N/A</v>
      </c>
      <c r="AR257" s="919" t="e">
        <f t="shared" ca="1" si="640"/>
        <v>#N/A</v>
      </c>
      <c r="AS257" s="233" t="e">
        <f t="shared" ca="1" si="641"/>
        <v>#N/A</v>
      </c>
      <c r="AT257" s="235" t="e">
        <f t="shared" ca="1" si="642"/>
        <v>#N/A</v>
      </c>
      <c r="AU257" s="946">
        <f t="shared" si="643"/>
        <v>0.5</v>
      </c>
      <c r="AV257" s="13">
        <f t="shared" ca="1" si="644"/>
        <v>0</v>
      </c>
      <c r="AW257" s="210">
        <f t="shared" ca="1" si="645"/>
        <v>0</v>
      </c>
      <c r="AX257" s="210">
        <f t="shared" ca="1" si="646"/>
        <v>0</v>
      </c>
      <c r="AY257" s="210">
        <f t="shared" ca="1" si="647"/>
        <v>0</v>
      </c>
      <c r="AZ257" s="13">
        <f t="shared" ca="1" si="648"/>
        <v>0</v>
      </c>
      <c r="BA257" s="357">
        <f ca="1"/>
        <v>0</v>
      </c>
      <c r="BB257" s="925">
        <f ca="1"/>
        <v>0</v>
      </c>
      <c r="BC257" s="925">
        <f ca="1"/>
        <v>0</v>
      </c>
      <c r="BD257" s="928">
        <f ca="1"/>
        <v>0</v>
      </c>
      <c r="BE257" s="200">
        <f ca="1"/>
        <v>0</v>
      </c>
      <c r="BF257" s="851">
        <f ca="1"/>
        <v>0</v>
      </c>
      <c r="BG257" s="851">
        <f ca="1"/>
        <v>0</v>
      </c>
      <c r="BH257" s="933">
        <f ca="1"/>
        <v>0</v>
      </c>
      <c r="BI257" s="357">
        <f ca="1"/>
        <v>0</v>
      </c>
      <c r="BJ257" s="925">
        <f ca="1"/>
        <v>0</v>
      </c>
      <c r="BK257" s="925">
        <f ca="1"/>
        <v>0</v>
      </c>
      <c r="BL257" s="928">
        <f ca="1"/>
        <v>0</v>
      </c>
      <c r="BM257" s="200">
        <f ca="1"/>
        <v>0</v>
      </c>
      <c r="BN257" s="851">
        <f ca="1"/>
        <v>0</v>
      </c>
      <c r="BO257" s="851">
        <f ca="1"/>
        <v>0</v>
      </c>
      <c r="BP257" s="933">
        <f ca="1"/>
        <v>0</v>
      </c>
      <c r="BQ257" s="357">
        <f t="shared" ca="1" si="649"/>
        <v>0</v>
      </c>
      <c r="BR257" s="361">
        <f t="shared" ca="1" si="650"/>
        <v>0</v>
      </c>
      <c r="BS257" s="357">
        <f t="shared" ca="1" si="651"/>
        <v>0</v>
      </c>
      <c r="BT257" s="302">
        <f t="shared" ca="1" si="652"/>
        <v>0</v>
      </c>
      <c r="BU257" s="299">
        <f t="shared" ca="1" si="653"/>
        <v>0</v>
      </c>
      <c r="BV257" s="299">
        <f t="shared" ca="1" si="654"/>
        <v>0</v>
      </c>
      <c r="BW257" s="299">
        <f t="shared" ca="1" si="655"/>
        <v>0</v>
      </c>
      <c r="BX257" s="380">
        <f t="shared" ca="1" si="656"/>
        <v>20.082135523613964</v>
      </c>
      <c r="BY257" s="363">
        <f t="shared" ca="1" si="657"/>
        <v>0</v>
      </c>
      <c r="BZ257" s="353">
        <f t="shared" ca="1" si="658"/>
        <v>0</v>
      </c>
      <c r="CA257" s="353">
        <f t="shared" ca="1" si="659"/>
        <v>0</v>
      </c>
      <c r="CB257" s="353">
        <f t="shared" ca="1" si="660"/>
        <v>0</v>
      </c>
      <c r="CC257" s="353">
        <f t="shared" ca="1" si="661"/>
        <v>0</v>
      </c>
      <c r="CD257" s="353">
        <f t="shared" ca="1" si="662"/>
        <v>0</v>
      </c>
      <c r="CE257" s="302">
        <f t="shared" ca="1" si="663"/>
        <v>0</v>
      </c>
      <c r="CF257" s="299">
        <f t="shared" ca="1" si="664"/>
        <v>0</v>
      </c>
      <c r="CG257" s="299">
        <f t="shared" ca="1" si="665"/>
        <v>0</v>
      </c>
      <c r="CH257" s="299">
        <f t="shared" ca="1" si="666"/>
        <v>0</v>
      </c>
      <c r="CI257" s="299">
        <f t="shared" ca="1" si="667"/>
        <v>0</v>
      </c>
      <c r="CJ257" s="299">
        <f t="shared" ca="1" si="668"/>
        <v>0</v>
      </c>
      <c r="CK257" s="299">
        <f t="shared" ca="1" si="669"/>
        <v>0</v>
      </c>
      <c r="CL257" s="377" t="str">
        <f t="shared" ca="1" si="670"/>
        <v/>
      </c>
      <c r="CM257" s="305" t="str">
        <f t="shared" ca="1" si="671"/>
        <v/>
      </c>
      <c r="CN257" s="305" t="str">
        <f t="shared" ca="1" si="672"/>
        <v/>
      </c>
      <c r="CO257" s="305" t="str">
        <f t="shared" ca="1" si="673"/>
        <v/>
      </c>
      <c r="CP257" s="305" t="str">
        <f t="shared" ca="1" si="674"/>
        <v/>
      </c>
      <c r="CQ257" s="305" t="str">
        <f t="shared" ca="1" si="675"/>
        <v/>
      </c>
      <c r="CR257" s="775" t="str">
        <f t="shared" ca="1" si="676"/>
        <v/>
      </c>
      <c r="CS257" s="305" t="str">
        <f t="shared" ca="1" si="677"/>
        <v/>
      </c>
      <c r="CT257" s="305" t="str">
        <f t="shared" ca="1" si="678"/>
        <v/>
      </c>
      <c r="CU257" s="305" t="str">
        <f t="shared" ca="1" si="679"/>
        <v/>
      </c>
      <c r="CV257" s="770" t="str">
        <f t="shared" ca="1" si="680"/>
        <v/>
      </c>
      <c r="CW257" s="302">
        <f t="shared" ca="1" si="681"/>
        <v>0</v>
      </c>
      <c r="CX257" s="299">
        <f t="shared" ca="1" si="682"/>
        <v>0</v>
      </c>
      <c r="CY257" s="299">
        <f t="shared" ca="1" si="683"/>
        <v>0</v>
      </c>
      <c r="CZ257" s="299">
        <f t="shared" ca="1" si="684"/>
        <v>0</v>
      </c>
      <c r="DA257" s="774">
        <f t="shared" ca="1" si="685"/>
        <v>0</v>
      </c>
      <c r="DB257" s="303">
        <f t="shared" ca="1" si="686"/>
        <v>0</v>
      </c>
      <c r="DC257" s="248">
        <f t="shared" ca="1" si="687"/>
        <v>0</v>
      </c>
      <c r="DD257" s="778">
        <f t="shared" ca="1" si="688"/>
        <v>0</v>
      </c>
      <c r="DE257" s="363">
        <f t="shared" ca="1" si="689"/>
        <v>0</v>
      </c>
      <c r="DF257" s="378" t="str">
        <f t="shared" ca="1" si="690"/>
        <v/>
      </c>
      <c r="DG257" s="508" t="str">
        <f t="shared" ca="1" si="691"/>
        <v/>
      </c>
      <c r="DH257" s="508" t="str">
        <f t="shared" ca="1" si="692"/>
        <v/>
      </c>
      <c r="DI257" s="508" t="str">
        <f t="shared" ca="1" si="693"/>
        <v/>
      </c>
      <c r="DJ257" s="508" t="str">
        <f t="shared" ca="1" si="694"/>
        <v/>
      </c>
      <c r="DK257" s="353">
        <f t="shared" ca="1" si="695"/>
        <v>0</v>
      </c>
      <c r="DL257" s="781">
        <f t="shared" ca="1" si="696"/>
        <v>0</v>
      </c>
      <c r="DM257" s="303">
        <f t="shared" ca="1" si="697"/>
        <v>0</v>
      </c>
      <c r="DN257" s="508" t="str">
        <f t="shared" ca="1" si="698"/>
        <v/>
      </c>
      <c r="DO257" s="508" t="str">
        <f t="shared" ca="1" si="699"/>
        <v/>
      </c>
      <c r="DP257" s="508" t="str">
        <f t="shared" ca="1" si="700"/>
        <v/>
      </c>
      <c r="DQ257" s="508" t="str">
        <f t="shared" ca="1" si="701"/>
        <v/>
      </c>
      <c r="DR257" s="508" t="str">
        <f t="shared" ca="1" si="702"/>
        <v/>
      </c>
      <c r="DS257" s="353">
        <f t="shared" ca="1" si="703"/>
        <v>0</v>
      </c>
      <c r="DT257" s="353">
        <f t="shared" ca="1" si="704"/>
        <v>0</v>
      </c>
      <c r="DU257" s="380">
        <f t="shared" ca="1" si="804"/>
        <v>20.082135523613964</v>
      </c>
      <c r="DV257" s="303">
        <f t="shared" ca="1" si="705"/>
        <v>0</v>
      </c>
      <c r="DW257" s="303">
        <f t="shared" ca="1" si="706"/>
        <v>0</v>
      </c>
      <c r="DX257" s="303">
        <f t="shared" ca="1" si="707"/>
        <v>0</v>
      </c>
      <c r="DY257" s="303">
        <f t="shared" ca="1" si="708"/>
        <v>0</v>
      </c>
      <c r="DZ257" s="303">
        <f t="shared" ca="1" si="709"/>
        <v>0</v>
      </c>
      <c r="EA257" s="303">
        <f t="shared" ca="1" si="710"/>
        <v>0</v>
      </c>
      <c r="EB257" s="302">
        <f t="shared" ca="1" si="711"/>
        <v>0</v>
      </c>
      <c r="EC257" s="299">
        <f t="shared" ca="1" si="712"/>
        <v>0</v>
      </c>
      <c r="ED257" s="299">
        <f t="shared" ca="1" si="713"/>
        <v>0</v>
      </c>
      <c r="EE257" s="299">
        <f t="shared" ca="1" si="714"/>
        <v>0</v>
      </c>
      <c r="EF257" s="299">
        <f t="shared" ca="1" si="715"/>
        <v>0</v>
      </c>
      <c r="EG257" s="299">
        <f t="shared" ca="1" si="716"/>
        <v>0</v>
      </c>
      <c r="EH257" s="302">
        <f t="shared" ca="1" si="717"/>
        <v>0</v>
      </c>
      <c r="EI257" s="304" t="str">
        <f t="shared" ca="1" si="718"/>
        <v/>
      </c>
      <c r="EJ257" s="305" t="str">
        <f t="shared" ca="1" si="719"/>
        <v/>
      </c>
      <c r="EK257" s="305" t="str">
        <f t="shared" ca="1" si="720"/>
        <v/>
      </c>
      <c r="EL257" s="305" t="str">
        <f t="shared" ca="1" si="721"/>
        <v/>
      </c>
      <c r="EM257" s="305" t="str">
        <f t="shared" ca="1" si="722"/>
        <v/>
      </c>
      <c r="EN257" s="305" t="str">
        <f t="shared" ca="1" si="723"/>
        <v/>
      </c>
      <c r="EO257" s="305" t="str">
        <f t="shared" ca="1" si="724"/>
        <v/>
      </c>
      <c r="EP257" s="305" t="str">
        <f t="shared" ca="1" si="725"/>
        <v/>
      </c>
      <c r="EQ257" s="305" t="str">
        <f t="shared" ca="1" si="726"/>
        <v/>
      </c>
      <c r="ER257" s="305" t="str">
        <f t="shared" ca="1" si="727"/>
        <v/>
      </c>
      <c r="ES257" s="305" t="str">
        <f t="shared" ca="1" si="728"/>
        <v/>
      </c>
      <c r="ET257" s="299">
        <f t="shared" ca="1" si="729"/>
        <v>0</v>
      </c>
      <c r="EU257" s="302">
        <f t="shared" ca="1" si="730"/>
        <v>0</v>
      </c>
      <c r="EV257" s="304" t="str">
        <f t="shared" ca="1" si="731"/>
        <v/>
      </c>
      <c r="EW257" s="305" t="str">
        <f t="shared" ca="1" si="732"/>
        <v/>
      </c>
      <c r="EX257" s="305" t="str">
        <f t="shared" ca="1" si="733"/>
        <v/>
      </c>
      <c r="EY257" s="305" t="str">
        <f t="shared" ca="1" si="734"/>
        <v/>
      </c>
      <c r="EZ257" s="305" t="str">
        <f t="shared" ca="1" si="735"/>
        <v/>
      </c>
      <c r="FA257" s="305" t="str">
        <f t="shared" ca="1" si="736"/>
        <v/>
      </c>
      <c r="FB257" s="305" t="str">
        <f t="shared" ca="1" si="737"/>
        <v/>
      </c>
      <c r="FC257" s="305" t="str">
        <f t="shared" ca="1" si="738"/>
        <v/>
      </c>
      <c r="FD257" s="305" t="str">
        <f t="shared" ca="1" si="739"/>
        <v/>
      </c>
      <c r="FE257" s="305" t="str">
        <f t="shared" ca="1" si="740"/>
        <v/>
      </c>
      <c r="FF257" s="305" t="str">
        <f t="shared" ca="1" si="741"/>
        <v/>
      </c>
      <c r="FG257" s="299">
        <f t="shared" ca="1" si="742"/>
        <v>0</v>
      </c>
      <c r="FH257" s="302">
        <f t="shared" ca="1" si="743"/>
        <v>0</v>
      </c>
      <c r="FI257" s="248">
        <f t="shared" ca="1" si="744"/>
        <v>0</v>
      </c>
      <c r="FJ257" s="363">
        <f t="shared" ca="1" si="745"/>
        <v>0</v>
      </c>
      <c r="FK257" s="378" t="str">
        <f t="shared" ca="1" si="746"/>
        <v/>
      </c>
      <c r="FL257" s="508" t="str">
        <f t="shared" ca="1" si="747"/>
        <v/>
      </c>
      <c r="FM257" s="508" t="str">
        <f t="shared" ca="1" si="748"/>
        <v/>
      </c>
      <c r="FN257" s="508" t="str">
        <f t="shared" ca="1" si="749"/>
        <v/>
      </c>
      <c r="FO257" s="508" t="str">
        <f t="shared" ca="1" si="750"/>
        <v/>
      </c>
      <c r="FP257" s="353">
        <f t="shared" ca="1" si="751"/>
        <v>0</v>
      </c>
      <c r="FQ257" s="356">
        <f t="shared" ca="1" si="752"/>
        <v>0</v>
      </c>
      <c r="FR257" s="380">
        <f t="shared" ca="1" si="753"/>
        <v>0</v>
      </c>
      <c r="FS257" s="299">
        <f t="shared" ca="1" si="754"/>
        <v>0</v>
      </c>
      <c r="FT257" s="299">
        <f t="shared" ca="1" si="755"/>
        <v>0</v>
      </c>
      <c r="FU257" s="299">
        <f t="shared" ca="1" si="756"/>
        <v>0</v>
      </c>
      <c r="FV257" s="299">
        <f t="shared" ca="1" si="757"/>
        <v>0</v>
      </c>
      <c r="FW257" s="850" t="str">
        <f t="shared" ca="1" si="758"/>
        <v/>
      </c>
      <c r="FX257" s="851" t="str">
        <f t="shared" ca="1" si="759"/>
        <v/>
      </c>
      <c r="FY257" s="851" t="str">
        <f t="shared" ca="1" si="760"/>
        <v/>
      </c>
      <c r="FZ257" s="201" t="str">
        <f t="shared" ca="1" si="761"/>
        <v/>
      </c>
      <c r="GA257" s="201" t="str">
        <f t="shared" ca="1" si="762"/>
        <v/>
      </c>
      <c r="GB257" s="201" t="str">
        <f t="shared" ca="1" si="763"/>
        <v/>
      </c>
      <c r="GC257" s="201" t="str">
        <f t="shared" ca="1" si="764"/>
        <v/>
      </c>
      <c r="GD257" s="850" t="str">
        <f t="shared" ca="1" si="765"/>
        <v/>
      </c>
      <c r="GE257" s="866" t="str">
        <f t="shared" ca="1" si="766"/>
        <v/>
      </c>
      <c r="GF257" s="866" t="str">
        <f t="shared" ca="1" si="767"/>
        <v/>
      </c>
      <c r="GG257" s="866" t="str">
        <f t="shared" ca="1" si="768"/>
        <v/>
      </c>
      <c r="GH257" s="866" t="str">
        <f t="shared" ca="1" si="769"/>
        <v/>
      </c>
      <c r="GI257" s="302">
        <f t="shared" ca="1" si="770"/>
        <v>0</v>
      </c>
      <c r="GJ257" s="299">
        <f t="shared" ca="1" si="771"/>
        <v>0</v>
      </c>
      <c r="GK257" s="299">
        <f t="shared" ca="1" si="772"/>
        <v>0</v>
      </c>
      <c r="GL257" s="299">
        <f t="shared" ca="1" si="773"/>
        <v>0</v>
      </c>
      <c r="GM257" s="299">
        <f t="shared" ca="1" si="774"/>
        <v>0</v>
      </c>
      <c r="GN257" s="302">
        <f t="shared" ca="1" si="775"/>
        <v>0</v>
      </c>
      <c r="GO257" s="299">
        <f t="shared" ca="1" si="776"/>
        <v>0</v>
      </c>
      <c r="GP257" s="299">
        <f t="shared" ca="1" si="777"/>
        <v>0</v>
      </c>
      <c r="GQ257" s="299">
        <f t="shared" ca="1" si="778"/>
        <v>0</v>
      </c>
      <c r="GR257" s="299">
        <f t="shared" ca="1" si="779"/>
        <v>0</v>
      </c>
      <c r="GS257" s="302">
        <f t="shared" ca="1" si="780"/>
        <v>0</v>
      </c>
      <c r="GT257" s="299">
        <f t="shared" ca="1" si="781"/>
        <v>0</v>
      </c>
      <c r="GU257" s="299">
        <f t="shared" ca="1" si="782"/>
        <v>0</v>
      </c>
      <c r="GV257" s="299">
        <f t="shared" ca="1" si="783"/>
        <v>0</v>
      </c>
      <c r="GW257" s="299">
        <f t="shared" ca="1" si="784"/>
        <v>0</v>
      </c>
      <c r="GX257" s="303">
        <f t="shared" ca="1" si="785"/>
        <v>0</v>
      </c>
      <c r="GY257" s="303">
        <f t="shared" ca="1" si="786"/>
        <v>0</v>
      </c>
      <c r="GZ257" s="303">
        <f t="shared" ca="1" si="787"/>
        <v>0</v>
      </c>
      <c r="HA257" s="303">
        <f t="shared" ca="1" si="788"/>
        <v>0</v>
      </c>
      <c r="HB257" s="303">
        <f t="shared" ca="1" si="789"/>
        <v>0</v>
      </c>
      <c r="HC257" s="303">
        <f t="shared" ca="1" si="790"/>
        <v>0</v>
      </c>
      <c r="HD257" s="303">
        <f t="shared" ca="1" si="791"/>
        <v>0</v>
      </c>
      <c r="HE257" s="303">
        <f t="shared" ca="1" si="792"/>
        <v>0</v>
      </c>
      <c r="HF257" s="303">
        <f t="shared" ca="1" si="793"/>
        <v>0</v>
      </c>
      <c r="HG257" s="852">
        <f t="shared" ca="1" si="794"/>
        <v>0</v>
      </c>
    </row>
    <row r="258" spans="1:215" x14ac:dyDescent="0.25">
      <c r="A258" s="244">
        <f t="shared" ca="1" si="795"/>
        <v>43952</v>
      </c>
      <c r="B258" s="13">
        <f t="shared" ca="1" si="828"/>
        <v>2020</v>
      </c>
      <c r="C258" s="619">
        <f t="shared" ca="1" si="829"/>
        <v>5</v>
      </c>
      <c r="D258" s="195">
        <f t="shared" ca="1" si="625"/>
        <v>43976</v>
      </c>
      <c r="E258" s="469" t="str">
        <f t="shared" ca="1" si="626"/>
        <v/>
      </c>
      <c r="F258" s="465" t="str">
        <f t="shared" ca="1" si="627"/>
        <v/>
      </c>
      <c r="G258" s="522">
        <f t="shared" ca="1" si="796"/>
        <v>1</v>
      </c>
      <c r="H258" s="519">
        <f t="shared" ca="1" si="797"/>
        <v>1</v>
      </c>
      <c r="I258" s="724">
        <f t="shared" ca="1" si="830"/>
        <v>7.4152358386653003E-2</v>
      </c>
      <c r="J258" s="198">
        <f t="shared" ca="1" si="629"/>
        <v>0.22806069906756005</v>
      </c>
      <c r="K258" s="200" t="e">
        <f t="shared" ca="1" si="805"/>
        <v>#N/A</v>
      </c>
      <c r="L258" s="201" t="e">
        <f t="shared" ca="1" si="806"/>
        <v>#N/A</v>
      </c>
      <c r="M258" s="206" t="e">
        <f t="shared" ca="1" si="807"/>
        <v>#N/A</v>
      </c>
      <c r="N258" s="851" t="e">
        <f t="shared" ca="1" si="811"/>
        <v>#N/A</v>
      </c>
      <c r="O258" s="201" t="e">
        <f t="shared" ca="1" si="812"/>
        <v>#N/A</v>
      </c>
      <c r="P258" s="206" t="e">
        <f t="shared" ca="1" si="813"/>
        <v>#N/A</v>
      </c>
      <c r="Q258" s="201" t="e">
        <f t="shared" ca="1" si="814"/>
        <v>#N/A</v>
      </c>
      <c r="R258" s="201" t="e">
        <f t="shared" ca="1" si="815"/>
        <v>#N/A</v>
      </c>
      <c r="S258" s="201" t="e">
        <f t="shared" ca="1" si="816"/>
        <v>#N/A</v>
      </c>
      <c r="T258" s="851" t="e">
        <f t="shared" ca="1" si="808"/>
        <v>#N/A</v>
      </c>
      <c r="U258" s="201" t="e">
        <f t="shared" ca="1" si="809"/>
        <v>#N/A</v>
      </c>
      <c r="V258" s="206" t="e">
        <f t="shared" ca="1" si="810"/>
        <v>#N/A</v>
      </c>
      <c r="W258" s="230" t="e">
        <f t="shared" ca="1" si="798"/>
        <v>#N/A</v>
      </c>
      <c r="X258" s="231" t="e">
        <f t="shared" ca="1" si="799"/>
        <v>#N/A</v>
      </c>
      <c r="Y258" s="232" t="e">
        <f t="shared" ca="1" si="800"/>
        <v>#N/A</v>
      </c>
      <c r="Z258" s="231" t="e">
        <f t="shared" ca="1" si="820"/>
        <v>#N/A</v>
      </c>
      <c r="AA258" s="231" t="e">
        <f t="shared" ca="1" si="821"/>
        <v>#N/A</v>
      </c>
      <c r="AB258" s="232" t="e">
        <f t="shared" ca="1" si="822"/>
        <v>#N/A</v>
      </c>
      <c r="AC258" s="231" t="e">
        <f t="shared" ca="1" si="823"/>
        <v>#N/A</v>
      </c>
      <c r="AD258" s="231" t="e">
        <f t="shared" ca="1" si="824"/>
        <v>#N/A</v>
      </c>
      <c r="AE258" s="232" t="e">
        <f t="shared" ca="1" si="630"/>
        <v>#N/A</v>
      </c>
      <c r="AF258" s="231" t="e">
        <f t="shared" ca="1" si="801"/>
        <v>#N/A</v>
      </c>
      <c r="AG258" s="231" t="e">
        <f t="shared" ca="1" si="802"/>
        <v>#N/A</v>
      </c>
      <c r="AH258" s="232" t="e">
        <f t="shared" ca="1" si="803"/>
        <v>#N/A</v>
      </c>
      <c r="AI258" s="233" t="e">
        <f t="shared" ca="1" si="631"/>
        <v>#N/A</v>
      </c>
      <c r="AJ258" s="233" t="e">
        <f t="shared" ca="1" si="632"/>
        <v>#N/A</v>
      </c>
      <c r="AK258" s="234" t="e">
        <f t="shared" ca="1" si="633"/>
        <v>#N/A</v>
      </c>
      <c r="AL258" s="919" t="e">
        <f t="shared" ca="1" si="634"/>
        <v>#N/A</v>
      </c>
      <c r="AM258" s="233" t="e">
        <f t="shared" ca="1" si="635"/>
        <v>#N/A</v>
      </c>
      <c r="AN258" s="234" t="e">
        <f t="shared" ca="1" si="636"/>
        <v>#N/A</v>
      </c>
      <c r="AO258" s="233" t="e">
        <f t="shared" ca="1" si="637"/>
        <v>#N/A</v>
      </c>
      <c r="AP258" s="233" t="e">
        <f t="shared" ca="1" si="638"/>
        <v>#N/A</v>
      </c>
      <c r="AQ258" s="233" t="e">
        <f t="shared" ca="1" si="639"/>
        <v>#N/A</v>
      </c>
      <c r="AR258" s="919" t="e">
        <f t="shared" ca="1" si="640"/>
        <v>#N/A</v>
      </c>
      <c r="AS258" s="233" t="e">
        <f t="shared" ca="1" si="641"/>
        <v>#N/A</v>
      </c>
      <c r="AT258" s="235" t="e">
        <f t="shared" ca="1" si="642"/>
        <v>#N/A</v>
      </c>
      <c r="AU258" s="946">
        <f t="shared" si="643"/>
        <v>0.5</v>
      </c>
      <c r="AV258" s="13">
        <f t="shared" ca="1" si="644"/>
        <v>0</v>
      </c>
      <c r="AW258" s="210">
        <f t="shared" ca="1" si="645"/>
        <v>0</v>
      </c>
      <c r="AX258" s="210">
        <f t="shared" ca="1" si="646"/>
        <v>0</v>
      </c>
      <c r="AY258" s="210">
        <f t="shared" ca="1" si="647"/>
        <v>0</v>
      </c>
      <c r="AZ258" s="13">
        <f t="shared" ca="1" si="648"/>
        <v>0</v>
      </c>
      <c r="BA258" s="357">
        <f ca="1"/>
        <v>0</v>
      </c>
      <c r="BB258" s="925">
        <f ca="1"/>
        <v>0</v>
      </c>
      <c r="BC258" s="925">
        <f ca="1"/>
        <v>0</v>
      </c>
      <c r="BD258" s="928">
        <f ca="1"/>
        <v>0</v>
      </c>
      <c r="BE258" s="200">
        <f ca="1"/>
        <v>0</v>
      </c>
      <c r="BF258" s="851">
        <f ca="1"/>
        <v>0</v>
      </c>
      <c r="BG258" s="851">
        <f ca="1"/>
        <v>0</v>
      </c>
      <c r="BH258" s="933">
        <f ca="1"/>
        <v>0</v>
      </c>
      <c r="BI258" s="357">
        <f ca="1"/>
        <v>0</v>
      </c>
      <c r="BJ258" s="925">
        <f ca="1"/>
        <v>0</v>
      </c>
      <c r="BK258" s="925">
        <f ca="1"/>
        <v>0</v>
      </c>
      <c r="BL258" s="928">
        <f ca="1"/>
        <v>0</v>
      </c>
      <c r="BM258" s="200">
        <f ca="1"/>
        <v>0</v>
      </c>
      <c r="BN258" s="851">
        <f ca="1"/>
        <v>0</v>
      </c>
      <c r="BO258" s="851">
        <f ca="1"/>
        <v>0</v>
      </c>
      <c r="BP258" s="933">
        <f ca="1"/>
        <v>0</v>
      </c>
      <c r="BQ258" s="357">
        <f t="shared" ca="1" si="649"/>
        <v>0</v>
      </c>
      <c r="BR258" s="361">
        <f t="shared" ca="1" si="650"/>
        <v>0</v>
      </c>
      <c r="BS258" s="357">
        <f t="shared" ca="1" si="651"/>
        <v>0</v>
      </c>
      <c r="BT258" s="302">
        <f t="shared" ca="1" si="652"/>
        <v>0</v>
      </c>
      <c r="BU258" s="299">
        <f t="shared" ca="1" si="653"/>
        <v>0</v>
      </c>
      <c r="BV258" s="299">
        <f t="shared" ca="1" si="654"/>
        <v>0</v>
      </c>
      <c r="BW258" s="299">
        <f t="shared" ca="1" si="655"/>
        <v>0</v>
      </c>
      <c r="BX258" s="380">
        <f t="shared" ca="1" si="656"/>
        <v>20.164271047227928</v>
      </c>
      <c r="BY258" s="363">
        <f t="shared" ca="1" si="657"/>
        <v>0</v>
      </c>
      <c r="BZ258" s="353">
        <f t="shared" ca="1" si="658"/>
        <v>0</v>
      </c>
      <c r="CA258" s="353">
        <f t="shared" ca="1" si="659"/>
        <v>0</v>
      </c>
      <c r="CB258" s="353">
        <f t="shared" ca="1" si="660"/>
        <v>0</v>
      </c>
      <c r="CC258" s="353">
        <f t="shared" ca="1" si="661"/>
        <v>0</v>
      </c>
      <c r="CD258" s="353">
        <f t="shared" ca="1" si="662"/>
        <v>0</v>
      </c>
      <c r="CE258" s="302">
        <f t="shared" ca="1" si="663"/>
        <v>0</v>
      </c>
      <c r="CF258" s="299">
        <f t="shared" ca="1" si="664"/>
        <v>0</v>
      </c>
      <c r="CG258" s="299">
        <f t="shared" ca="1" si="665"/>
        <v>0</v>
      </c>
      <c r="CH258" s="299">
        <f t="shared" ca="1" si="666"/>
        <v>0</v>
      </c>
      <c r="CI258" s="299">
        <f t="shared" ca="1" si="667"/>
        <v>0</v>
      </c>
      <c r="CJ258" s="299">
        <f t="shared" ca="1" si="668"/>
        <v>0</v>
      </c>
      <c r="CK258" s="299">
        <f t="shared" ca="1" si="669"/>
        <v>0</v>
      </c>
      <c r="CL258" s="377" t="str">
        <f t="shared" ca="1" si="670"/>
        <v/>
      </c>
      <c r="CM258" s="305" t="str">
        <f t="shared" ca="1" si="671"/>
        <v/>
      </c>
      <c r="CN258" s="305" t="str">
        <f t="shared" ca="1" si="672"/>
        <v/>
      </c>
      <c r="CO258" s="305" t="str">
        <f t="shared" ca="1" si="673"/>
        <v/>
      </c>
      <c r="CP258" s="305" t="str">
        <f t="shared" ca="1" si="674"/>
        <v/>
      </c>
      <c r="CQ258" s="305" t="str">
        <f t="shared" ca="1" si="675"/>
        <v/>
      </c>
      <c r="CR258" s="775" t="str">
        <f t="shared" ca="1" si="676"/>
        <v/>
      </c>
      <c r="CS258" s="305" t="str">
        <f t="shared" ca="1" si="677"/>
        <v/>
      </c>
      <c r="CT258" s="305" t="str">
        <f t="shared" ca="1" si="678"/>
        <v/>
      </c>
      <c r="CU258" s="305" t="str">
        <f t="shared" ca="1" si="679"/>
        <v/>
      </c>
      <c r="CV258" s="770" t="str">
        <f t="shared" ca="1" si="680"/>
        <v/>
      </c>
      <c r="CW258" s="302">
        <f t="shared" ca="1" si="681"/>
        <v>0</v>
      </c>
      <c r="CX258" s="299">
        <f t="shared" ca="1" si="682"/>
        <v>0</v>
      </c>
      <c r="CY258" s="299">
        <f t="shared" ca="1" si="683"/>
        <v>0</v>
      </c>
      <c r="CZ258" s="299">
        <f t="shared" ca="1" si="684"/>
        <v>0</v>
      </c>
      <c r="DA258" s="774">
        <f t="shared" ca="1" si="685"/>
        <v>0</v>
      </c>
      <c r="DB258" s="303">
        <f t="shared" ca="1" si="686"/>
        <v>0</v>
      </c>
      <c r="DC258" s="248">
        <f t="shared" ca="1" si="687"/>
        <v>0</v>
      </c>
      <c r="DD258" s="778">
        <f t="shared" ca="1" si="688"/>
        <v>0</v>
      </c>
      <c r="DE258" s="363">
        <f t="shared" ca="1" si="689"/>
        <v>0</v>
      </c>
      <c r="DF258" s="378" t="str">
        <f t="shared" ca="1" si="690"/>
        <v/>
      </c>
      <c r="DG258" s="508" t="str">
        <f t="shared" ca="1" si="691"/>
        <v/>
      </c>
      <c r="DH258" s="508" t="str">
        <f t="shared" ca="1" si="692"/>
        <v/>
      </c>
      <c r="DI258" s="508" t="str">
        <f t="shared" ca="1" si="693"/>
        <v/>
      </c>
      <c r="DJ258" s="508" t="str">
        <f t="shared" ca="1" si="694"/>
        <v/>
      </c>
      <c r="DK258" s="353">
        <f t="shared" ca="1" si="695"/>
        <v>0</v>
      </c>
      <c r="DL258" s="781">
        <f t="shared" ca="1" si="696"/>
        <v>0</v>
      </c>
      <c r="DM258" s="303">
        <f t="shared" ca="1" si="697"/>
        <v>0</v>
      </c>
      <c r="DN258" s="508" t="str">
        <f t="shared" ca="1" si="698"/>
        <v/>
      </c>
      <c r="DO258" s="508" t="str">
        <f t="shared" ca="1" si="699"/>
        <v/>
      </c>
      <c r="DP258" s="508" t="str">
        <f t="shared" ca="1" si="700"/>
        <v/>
      </c>
      <c r="DQ258" s="508" t="str">
        <f t="shared" ca="1" si="701"/>
        <v/>
      </c>
      <c r="DR258" s="508" t="str">
        <f t="shared" ca="1" si="702"/>
        <v/>
      </c>
      <c r="DS258" s="353">
        <f t="shared" ca="1" si="703"/>
        <v>0</v>
      </c>
      <c r="DT258" s="353">
        <f t="shared" ca="1" si="704"/>
        <v>0</v>
      </c>
      <c r="DU258" s="380">
        <f t="shared" ca="1" si="804"/>
        <v>20.164271047227928</v>
      </c>
      <c r="DV258" s="303">
        <f t="shared" ca="1" si="705"/>
        <v>0</v>
      </c>
      <c r="DW258" s="303">
        <f t="shared" ca="1" si="706"/>
        <v>0</v>
      </c>
      <c r="DX258" s="303">
        <f t="shared" ca="1" si="707"/>
        <v>0</v>
      </c>
      <c r="DY258" s="303">
        <f t="shared" ca="1" si="708"/>
        <v>0</v>
      </c>
      <c r="DZ258" s="303">
        <f t="shared" ca="1" si="709"/>
        <v>0</v>
      </c>
      <c r="EA258" s="303">
        <f t="shared" ca="1" si="710"/>
        <v>0</v>
      </c>
      <c r="EB258" s="302">
        <f t="shared" ca="1" si="711"/>
        <v>0</v>
      </c>
      <c r="EC258" s="299">
        <f t="shared" ca="1" si="712"/>
        <v>0</v>
      </c>
      <c r="ED258" s="299">
        <f t="shared" ca="1" si="713"/>
        <v>0</v>
      </c>
      <c r="EE258" s="299">
        <f t="shared" ca="1" si="714"/>
        <v>0</v>
      </c>
      <c r="EF258" s="299">
        <f t="shared" ca="1" si="715"/>
        <v>0</v>
      </c>
      <c r="EG258" s="299">
        <f t="shared" ca="1" si="716"/>
        <v>0</v>
      </c>
      <c r="EH258" s="302">
        <f t="shared" ca="1" si="717"/>
        <v>0</v>
      </c>
      <c r="EI258" s="304" t="str">
        <f t="shared" ca="1" si="718"/>
        <v/>
      </c>
      <c r="EJ258" s="305" t="str">
        <f t="shared" ca="1" si="719"/>
        <v/>
      </c>
      <c r="EK258" s="305" t="str">
        <f t="shared" ca="1" si="720"/>
        <v/>
      </c>
      <c r="EL258" s="305" t="str">
        <f t="shared" ca="1" si="721"/>
        <v/>
      </c>
      <c r="EM258" s="305" t="str">
        <f t="shared" ca="1" si="722"/>
        <v/>
      </c>
      <c r="EN258" s="305" t="str">
        <f t="shared" ca="1" si="723"/>
        <v/>
      </c>
      <c r="EO258" s="305" t="str">
        <f t="shared" ca="1" si="724"/>
        <v/>
      </c>
      <c r="EP258" s="305" t="str">
        <f t="shared" ca="1" si="725"/>
        <v/>
      </c>
      <c r="EQ258" s="305" t="str">
        <f t="shared" ca="1" si="726"/>
        <v/>
      </c>
      <c r="ER258" s="305" t="str">
        <f t="shared" ca="1" si="727"/>
        <v/>
      </c>
      <c r="ES258" s="305" t="str">
        <f t="shared" ca="1" si="728"/>
        <v/>
      </c>
      <c r="ET258" s="299">
        <f t="shared" ca="1" si="729"/>
        <v>0</v>
      </c>
      <c r="EU258" s="302">
        <f t="shared" ca="1" si="730"/>
        <v>0</v>
      </c>
      <c r="EV258" s="304" t="str">
        <f t="shared" ca="1" si="731"/>
        <v/>
      </c>
      <c r="EW258" s="305" t="str">
        <f t="shared" ca="1" si="732"/>
        <v/>
      </c>
      <c r="EX258" s="305" t="str">
        <f t="shared" ca="1" si="733"/>
        <v/>
      </c>
      <c r="EY258" s="305" t="str">
        <f t="shared" ca="1" si="734"/>
        <v/>
      </c>
      <c r="EZ258" s="305" t="str">
        <f t="shared" ca="1" si="735"/>
        <v/>
      </c>
      <c r="FA258" s="305" t="str">
        <f t="shared" ca="1" si="736"/>
        <v/>
      </c>
      <c r="FB258" s="305" t="str">
        <f t="shared" ca="1" si="737"/>
        <v/>
      </c>
      <c r="FC258" s="305" t="str">
        <f t="shared" ca="1" si="738"/>
        <v/>
      </c>
      <c r="FD258" s="305" t="str">
        <f t="shared" ca="1" si="739"/>
        <v/>
      </c>
      <c r="FE258" s="305" t="str">
        <f t="shared" ca="1" si="740"/>
        <v/>
      </c>
      <c r="FF258" s="305" t="str">
        <f t="shared" ca="1" si="741"/>
        <v/>
      </c>
      <c r="FG258" s="299">
        <f t="shared" ca="1" si="742"/>
        <v>0</v>
      </c>
      <c r="FH258" s="302">
        <f t="shared" ca="1" si="743"/>
        <v>0</v>
      </c>
      <c r="FI258" s="248">
        <f t="shared" ca="1" si="744"/>
        <v>0</v>
      </c>
      <c r="FJ258" s="363">
        <f t="shared" ca="1" si="745"/>
        <v>0</v>
      </c>
      <c r="FK258" s="378" t="str">
        <f t="shared" ca="1" si="746"/>
        <v/>
      </c>
      <c r="FL258" s="508" t="str">
        <f t="shared" ca="1" si="747"/>
        <v/>
      </c>
      <c r="FM258" s="508" t="str">
        <f t="shared" ca="1" si="748"/>
        <v/>
      </c>
      <c r="FN258" s="508" t="str">
        <f t="shared" ca="1" si="749"/>
        <v/>
      </c>
      <c r="FO258" s="508" t="str">
        <f t="shared" ca="1" si="750"/>
        <v/>
      </c>
      <c r="FP258" s="353">
        <f t="shared" ca="1" si="751"/>
        <v>0</v>
      </c>
      <c r="FQ258" s="356">
        <f t="shared" ca="1" si="752"/>
        <v>0</v>
      </c>
      <c r="FR258" s="380">
        <f t="shared" ca="1" si="753"/>
        <v>0</v>
      </c>
      <c r="FS258" s="299">
        <f t="shared" ca="1" si="754"/>
        <v>0</v>
      </c>
      <c r="FT258" s="299">
        <f t="shared" ca="1" si="755"/>
        <v>0</v>
      </c>
      <c r="FU258" s="299">
        <f t="shared" ca="1" si="756"/>
        <v>0</v>
      </c>
      <c r="FV258" s="299">
        <f t="shared" ca="1" si="757"/>
        <v>0</v>
      </c>
      <c r="FW258" s="850" t="str">
        <f t="shared" ca="1" si="758"/>
        <v/>
      </c>
      <c r="FX258" s="851" t="str">
        <f t="shared" ca="1" si="759"/>
        <v/>
      </c>
      <c r="FY258" s="851" t="str">
        <f t="shared" ca="1" si="760"/>
        <v/>
      </c>
      <c r="FZ258" s="201" t="str">
        <f t="shared" ca="1" si="761"/>
        <v/>
      </c>
      <c r="GA258" s="201" t="str">
        <f t="shared" ca="1" si="762"/>
        <v/>
      </c>
      <c r="GB258" s="201" t="str">
        <f t="shared" ca="1" si="763"/>
        <v/>
      </c>
      <c r="GC258" s="201" t="str">
        <f t="shared" ca="1" si="764"/>
        <v/>
      </c>
      <c r="GD258" s="850" t="str">
        <f t="shared" ca="1" si="765"/>
        <v/>
      </c>
      <c r="GE258" s="866" t="str">
        <f t="shared" ca="1" si="766"/>
        <v/>
      </c>
      <c r="GF258" s="866" t="str">
        <f t="shared" ca="1" si="767"/>
        <v/>
      </c>
      <c r="GG258" s="866" t="str">
        <f t="shared" ca="1" si="768"/>
        <v/>
      </c>
      <c r="GH258" s="866" t="str">
        <f t="shared" ca="1" si="769"/>
        <v/>
      </c>
      <c r="GI258" s="302">
        <f t="shared" ca="1" si="770"/>
        <v>0</v>
      </c>
      <c r="GJ258" s="299">
        <f t="shared" ca="1" si="771"/>
        <v>0</v>
      </c>
      <c r="GK258" s="299">
        <f t="shared" ca="1" si="772"/>
        <v>0</v>
      </c>
      <c r="GL258" s="299">
        <f t="shared" ca="1" si="773"/>
        <v>0</v>
      </c>
      <c r="GM258" s="299">
        <f t="shared" ca="1" si="774"/>
        <v>0</v>
      </c>
      <c r="GN258" s="302">
        <f t="shared" ca="1" si="775"/>
        <v>0</v>
      </c>
      <c r="GO258" s="299">
        <f t="shared" ca="1" si="776"/>
        <v>0</v>
      </c>
      <c r="GP258" s="299">
        <f t="shared" ca="1" si="777"/>
        <v>0</v>
      </c>
      <c r="GQ258" s="299">
        <f t="shared" ca="1" si="778"/>
        <v>0</v>
      </c>
      <c r="GR258" s="299">
        <f t="shared" ca="1" si="779"/>
        <v>0</v>
      </c>
      <c r="GS258" s="302">
        <f t="shared" ca="1" si="780"/>
        <v>0</v>
      </c>
      <c r="GT258" s="299">
        <f t="shared" ca="1" si="781"/>
        <v>0</v>
      </c>
      <c r="GU258" s="299">
        <f t="shared" ca="1" si="782"/>
        <v>0</v>
      </c>
      <c r="GV258" s="299">
        <f t="shared" ca="1" si="783"/>
        <v>0</v>
      </c>
      <c r="GW258" s="299">
        <f t="shared" ca="1" si="784"/>
        <v>0</v>
      </c>
      <c r="GX258" s="303">
        <f t="shared" ca="1" si="785"/>
        <v>0</v>
      </c>
      <c r="GY258" s="303">
        <f t="shared" ca="1" si="786"/>
        <v>0</v>
      </c>
      <c r="GZ258" s="303">
        <f t="shared" ca="1" si="787"/>
        <v>0</v>
      </c>
      <c r="HA258" s="303">
        <f t="shared" ca="1" si="788"/>
        <v>0</v>
      </c>
      <c r="HB258" s="303">
        <f t="shared" ca="1" si="789"/>
        <v>0</v>
      </c>
      <c r="HC258" s="303">
        <f t="shared" ca="1" si="790"/>
        <v>0</v>
      </c>
      <c r="HD258" s="303">
        <f t="shared" ca="1" si="791"/>
        <v>0</v>
      </c>
      <c r="HE258" s="303">
        <f t="shared" ca="1" si="792"/>
        <v>0</v>
      </c>
      <c r="HF258" s="303">
        <f t="shared" ca="1" si="793"/>
        <v>0</v>
      </c>
      <c r="HG258" s="852">
        <f t="shared" ca="1" si="794"/>
        <v>0</v>
      </c>
    </row>
    <row r="259" spans="1:215" x14ac:dyDescent="0.25">
      <c r="A259" s="244">
        <f t="shared" ca="1" si="795"/>
        <v>43983</v>
      </c>
      <c r="B259" s="13">
        <f t="shared" ca="1" si="828"/>
        <v>2020</v>
      </c>
      <c r="C259" s="619">
        <f t="shared" ca="1" si="829"/>
        <v>6</v>
      </c>
      <c r="D259" s="195" t="str">
        <f t="shared" ca="1" si="625"/>
        <v/>
      </c>
      <c r="E259" s="469" t="str">
        <f t="shared" ca="1" si="626"/>
        <v/>
      </c>
      <c r="F259" s="465" t="str">
        <f t="shared" ca="1" si="627"/>
        <v/>
      </c>
      <c r="G259" s="522">
        <f t="shared" ca="1" si="796"/>
        <v>1</v>
      </c>
      <c r="H259" s="519">
        <f t="shared" ca="1" si="797"/>
        <v>1</v>
      </c>
      <c r="I259" s="724">
        <f t="shared" ca="1" si="830"/>
        <v>7.4143123090530005E-2</v>
      </c>
      <c r="J259" s="198">
        <f t="shared" ca="1" si="629"/>
        <v>0.22674203977285445</v>
      </c>
      <c r="K259" s="200" t="e">
        <f t="shared" ca="1" si="805"/>
        <v>#N/A</v>
      </c>
      <c r="L259" s="201" t="e">
        <f t="shared" ca="1" si="806"/>
        <v>#N/A</v>
      </c>
      <c r="M259" s="206" t="e">
        <f t="shared" ca="1" si="807"/>
        <v>#N/A</v>
      </c>
      <c r="N259" s="851" t="e">
        <f t="shared" ca="1" si="811"/>
        <v>#N/A</v>
      </c>
      <c r="O259" s="201" t="e">
        <f t="shared" ca="1" si="812"/>
        <v>#N/A</v>
      </c>
      <c r="P259" s="206" t="e">
        <f t="shared" ca="1" si="813"/>
        <v>#N/A</v>
      </c>
      <c r="Q259" s="201" t="e">
        <f t="shared" ca="1" si="814"/>
        <v>#N/A</v>
      </c>
      <c r="R259" s="201" t="e">
        <f t="shared" ca="1" si="815"/>
        <v>#N/A</v>
      </c>
      <c r="S259" s="201" t="e">
        <f t="shared" ca="1" si="816"/>
        <v>#N/A</v>
      </c>
      <c r="T259" s="851" t="e">
        <f t="shared" ca="1" si="808"/>
        <v>#N/A</v>
      </c>
      <c r="U259" s="201" t="e">
        <f t="shared" ca="1" si="809"/>
        <v>#N/A</v>
      </c>
      <c r="V259" s="206" t="e">
        <f t="shared" ca="1" si="810"/>
        <v>#N/A</v>
      </c>
      <c r="W259" s="230" t="e">
        <f t="shared" ca="1" si="798"/>
        <v>#N/A</v>
      </c>
      <c r="X259" s="231" t="e">
        <f t="shared" ca="1" si="799"/>
        <v>#N/A</v>
      </c>
      <c r="Y259" s="232" t="e">
        <f t="shared" ca="1" si="800"/>
        <v>#N/A</v>
      </c>
      <c r="Z259" s="231" t="e">
        <f t="shared" ca="1" si="820"/>
        <v>#N/A</v>
      </c>
      <c r="AA259" s="231" t="e">
        <f t="shared" ca="1" si="821"/>
        <v>#N/A</v>
      </c>
      <c r="AB259" s="232" t="e">
        <f t="shared" ca="1" si="822"/>
        <v>#N/A</v>
      </c>
      <c r="AC259" s="231" t="e">
        <f t="shared" ca="1" si="823"/>
        <v>#N/A</v>
      </c>
      <c r="AD259" s="231" t="e">
        <f t="shared" ca="1" si="824"/>
        <v>#N/A</v>
      </c>
      <c r="AE259" s="232" t="e">
        <f t="shared" ca="1" si="630"/>
        <v>#N/A</v>
      </c>
      <c r="AF259" s="231" t="e">
        <f t="shared" ca="1" si="801"/>
        <v>#N/A</v>
      </c>
      <c r="AG259" s="231" t="e">
        <f t="shared" ca="1" si="802"/>
        <v>#N/A</v>
      </c>
      <c r="AH259" s="232" t="e">
        <f t="shared" ca="1" si="803"/>
        <v>#N/A</v>
      </c>
      <c r="AI259" s="233" t="e">
        <f t="shared" ca="1" si="631"/>
        <v>#N/A</v>
      </c>
      <c r="AJ259" s="233" t="e">
        <f t="shared" ca="1" si="632"/>
        <v>#N/A</v>
      </c>
      <c r="AK259" s="234" t="e">
        <f t="shared" ca="1" si="633"/>
        <v>#N/A</v>
      </c>
      <c r="AL259" s="919" t="e">
        <f t="shared" ca="1" si="634"/>
        <v>#N/A</v>
      </c>
      <c r="AM259" s="233" t="e">
        <f t="shared" ca="1" si="635"/>
        <v>#N/A</v>
      </c>
      <c r="AN259" s="234" t="e">
        <f t="shared" ca="1" si="636"/>
        <v>#N/A</v>
      </c>
      <c r="AO259" s="233" t="e">
        <f t="shared" ca="1" si="637"/>
        <v>#N/A</v>
      </c>
      <c r="AP259" s="233" t="e">
        <f t="shared" ca="1" si="638"/>
        <v>#N/A</v>
      </c>
      <c r="AQ259" s="233" t="e">
        <f t="shared" ca="1" si="639"/>
        <v>#N/A</v>
      </c>
      <c r="AR259" s="919" t="e">
        <f t="shared" ca="1" si="640"/>
        <v>#N/A</v>
      </c>
      <c r="AS259" s="233" t="e">
        <f t="shared" ca="1" si="641"/>
        <v>#N/A</v>
      </c>
      <c r="AT259" s="235" t="e">
        <f t="shared" ca="1" si="642"/>
        <v>#N/A</v>
      </c>
      <c r="AU259" s="946">
        <f t="shared" si="643"/>
        <v>0.5</v>
      </c>
      <c r="AV259" s="13">
        <f t="shared" ca="1" si="644"/>
        <v>0</v>
      </c>
      <c r="AW259" s="210">
        <f t="shared" ca="1" si="645"/>
        <v>0</v>
      </c>
      <c r="AX259" s="210">
        <f t="shared" ca="1" si="646"/>
        <v>0</v>
      </c>
      <c r="AY259" s="210">
        <f t="shared" ca="1" si="647"/>
        <v>0</v>
      </c>
      <c r="AZ259" s="13">
        <f t="shared" ca="1" si="648"/>
        <v>0</v>
      </c>
      <c r="BA259" s="357">
        <f ca="1"/>
        <v>0</v>
      </c>
      <c r="BB259" s="925">
        <f ca="1"/>
        <v>0</v>
      </c>
      <c r="BC259" s="925">
        <f ca="1"/>
        <v>0</v>
      </c>
      <c r="BD259" s="928">
        <f ca="1"/>
        <v>0</v>
      </c>
      <c r="BE259" s="200">
        <f ca="1"/>
        <v>0</v>
      </c>
      <c r="BF259" s="851">
        <f ca="1"/>
        <v>0</v>
      </c>
      <c r="BG259" s="851">
        <f ca="1"/>
        <v>0</v>
      </c>
      <c r="BH259" s="933">
        <f ca="1"/>
        <v>0</v>
      </c>
      <c r="BI259" s="357">
        <f ca="1"/>
        <v>0</v>
      </c>
      <c r="BJ259" s="925">
        <f ca="1"/>
        <v>0</v>
      </c>
      <c r="BK259" s="925">
        <f ca="1"/>
        <v>0</v>
      </c>
      <c r="BL259" s="928">
        <f ca="1"/>
        <v>0</v>
      </c>
      <c r="BM259" s="200">
        <f ca="1"/>
        <v>0</v>
      </c>
      <c r="BN259" s="851">
        <f ca="1"/>
        <v>0</v>
      </c>
      <c r="BO259" s="851">
        <f ca="1"/>
        <v>0</v>
      </c>
      <c r="BP259" s="933">
        <f ca="1"/>
        <v>0</v>
      </c>
      <c r="BQ259" s="357">
        <f t="shared" ca="1" si="649"/>
        <v>0</v>
      </c>
      <c r="BR259" s="361">
        <f t="shared" ca="1" si="650"/>
        <v>0</v>
      </c>
      <c r="BS259" s="357">
        <f t="shared" ca="1" si="651"/>
        <v>0</v>
      </c>
      <c r="BT259" s="302">
        <f t="shared" ca="1" si="652"/>
        <v>0</v>
      </c>
      <c r="BU259" s="299">
        <f t="shared" ca="1" si="653"/>
        <v>0</v>
      </c>
      <c r="BV259" s="299">
        <f t="shared" ca="1" si="654"/>
        <v>0</v>
      </c>
      <c r="BW259" s="299">
        <f t="shared" ca="1" si="655"/>
        <v>0</v>
      </c>
      <c r="BX259" s="380">
        <f t="shared" ca="1" si="656"/>
        <v>20.249144421629023</v>
      </c>
      <c r="BY259" s="363">
        <f t="shared" ca="1" si="657"/>
        <v>0</v>
      </c>
      <c r="BZ259" s="353">
        <f t="shared" ca="1" si="658"/>
        <v>0</v>
      </c>
      <c r="CA259" s="353">
        <f t="shared" ca="1" si="659"/>
        <v>0</v>
      </c>
      <c r="CB259" s="353">
        <f t="shared" ca="1" si="660"/>
        <v>0</v>
      </c>
      <c r="CC259" s="353">
        <f t="shared" ca="1" si="661"/>
        <v>0</v>
      </c>
      <c r="CD259" s="353">
        <f t="shared" ca="1" si="662"/>
        <v>0</v>
      </c>
      <c r="CE259" s="302">
        <f t="shared" ca="1" si="663"/>
        <v>0</v>
      </c>
      <c r="CF259" s="299">
        <f t="shared" ca="1" si="664"/>
        <v>0</v>
      </c>
      <c r="CG259" s="299">
        <f t="shared" ca="1" si="665"/>
        <v>0</v>
      </c>
      <c r="CH259" s="299">
        <f t="shared" ca="1" si="666"/>
        <v>0</v>
      </c>
      <c r="CI259" s="299">
        <f t="shared" ca="1" si="667"/>
        <v>0</v>
      </c>
      <c r="CJ259" s="299">
        <f t="shared" ca="1" si="668"/>
        <v>0</v>
      </c>
      <c r="CK259" s="299">
        <f t="shared" ca="1" si="669"/>
        <v>0</v>
      </c>
      <c r="CL259" s="377" t="str">
        <f t="shared" ca="1" si="670"/>
        <v/>
      </c>
      <c r="CM259" s="305" t="str">
        <f t="shared" ca="1" si="671"/>
        <v/>
      </c>
      <c r="CN259" s="305" t="str">
        <f t="shared" ca="1" si="672"/>
        <v/>
      </c>
      <c r="CO259" s="305" t="str">
        <f t="shared" ca="1" si="673"/>
        <v/>
      </c>
      <c r="CP259" s="305" t="str">
        <f t="shared" ca="1" si="674"/>
        <v/>
      </c>
      <c r="CQ259" s="305" t="str">
        <f t="shared" ca="1" si="675"/>
        <v/>
      </c>
      <c r="CR259" s="775" t="str">
        <f t="shared" ca="1" si="676"/>
        <v/>
      </c>
      <c r="CS259" s="305" t="str">
        <f t="shared" ca="1" si="677"/>
        <v/>
      </c>
      <c r="CT259" s="305" t="str">
        <f t="shared" ca="1" si="678"/>
        <v/>
      </c>
      <c r="CU259" s="305" t="str">
        <f t="shared" ca="1" si="679"/>
        <v/>
      </c>
      <c r="CV259" s="770" t="str">
        <f t="shared" ca="1" si="680"/>
        <v/>
      </c>
      <c r="CW259" s="302">
        <f t="shared" ca="1" si="681"/>
        <v>0</v>
      </c>
      <c r="CX259" s="299">
        <f t="shared" ca="1" si="682"/>
        <v>0</v>
      </c>
      <c r="CY259" s="299">
        <f t="shared" ca="1" si="683"/>
        <v>0</v>
      </c>
      <c r="CZ259" s="299">
        <f t="shared" ca="1" si="684"/>
        <v>0</v>
      </c>
      <c r="DA259" s="774">
        <f t="shared" ca="1" si="685"/>
        <v>0</v>
      </c>
      <c r="DB259" s="303">
        <f t="shared" ca="1" si="686"/>
        <v>0</v>
      </c>
      <c r="DC259" s="248">
        <f t="shared" ca="1" si="687"/>
        <v>0</v>
      </c>
      <c r="DD259" s="778">
        <f t="shared" ca="1" si="688"/>
        <v>0</v>
      </c>
      <c r="DE259" s="363">
        <f t="shared" ca="1" si="689"/>
        <v>0</v>
      </c>
      <c r="DF259" s="378" t="str">
        <f t="shared" ca="1" si="690"/>
        <v/>
      </c>
      <c r="DG259" s="508" t="str">
        <f t="shared" ca="1" si="691"/>
        <v/>
      </c>
      <c r="DH259" s="508" t="str">
        <f t="shared" ca="1" si="692"/>
        <v/>
      </c>
      <c r="DI259" s="508" t="str">
        <f t="shared" ca="1" si="693"/>
        <v/>
      </c>
      <c r="DJ259" s="508" t="str">
        <f t="shared" ca="1" si="694"/>
        <v/>
      </c>
      <c r="DK259" s="353">
        <f t="shared" ca="1" si="695"/>
        <v>0</v>
      </c>
      <c r="DL259" s="781">
        <f t="shared" ca="1" si="696"/>
        <v>0</v>
      </c>
      <c r="DM259" s="303">
        <f t="shared" ca="1" si="697"/>
        <v>0</v>
      </c>
      <c r="DN259" s="508" t="str">
        <f t="shared" ca="1" si="698"/>
        <v/>
      </c>
      <c r="DO259" s="508" t="str">
        <f t="shared" ca="1" si="699"/>
        <v/>
      </c>
      <c r="DP259" s="508" t="str">
        <f t="shared" ca="1" si="700"/>
        <v/>
      </c>
      <c r="DQ259" s="508" t="str">
        <f t="shared" ca="1" si="701"/>
        <v/>
      </c>
      <c r="DR259" s="508" t="str">
        <f t="shared" ca="1" si="702"/>
        <v/>
      </c>
      <c r="DS259" s="353">
        <f t="shared" ca="1" si="703"/>
        <v>0</v>
      </c>
      <c r="DT259" s="353">
        <f t="shared" ca="1" si="704"/>
        <v>0</v>
      </c>
      <c r="DU259" s="380">
        <f t="shared" ca="1" si="804"/>
        <v>20.249144421629023</v>
      </c>
      <c r="DV259" s="303">
        <f t="shared" ca="1" si="705"/>
        <v>0</v>
      </c>
      <c r="DW259" s="303">
        <f t="shared" ca="1" si="706"/>
        <v>0</v>
      </c>
      <c r="DX259" s="303">
        <f t="shared" ca="1" si="707"/>
        <v>0</v>
      </c>
      <c r="DY259" s="303">
        <f t="shared" ca="1" si="708"/>
        <v>0</v>
      </c>
      <c r="DZ259" s="303">
        <f t="shared" ca="1" si="709"/>
        <v>0</v>
      </c>
      <c r="EA259" s="303">
        <f t="shared" ca="1" si="710"/>
        <v>0</v>
      </c>
      <c r="EB259" s="302">
        <f t="shared" ca="1" si="711"/>
        <v>0</v>
      </c>
      <c r="EC259" s="299">
        <f t="shared" ca="1" si="712"/>
        <v>0</v>
      </c>
      <c r="ED259" s="299">
        <f t="shared" ca="1" si="713"/>
        <v>0</v>
      </c>
      <c r="EE259" s="299">
        <f t="shared" ca="1" si="714"/>
        <v>0</v>
      </c>
      <c r="EF259" s="299">
        <f t="shared" ca="1" si="715"/>
        <v>0</v>
      </c>
      <c r="EG259" s="299">
        <f t="shared" ca="1" si="716"/>
        <v>0</v>
      </c>
      <c r="EH259" s="302">
        <f t="shared" ca="1" si="717"/>
        <v>0</v>
      </c>
      <c r="EI259" s="304" t="str">
        <f t="shared" ca="1" si="718"/>
        <v/>
      </c>
      <c r="EJ259" s="305" t="str">
        <f t="shared" ca="1" si="719"/>
        <v/>
      </c>
      <c r="EK259" s="305" t="str">
        <f t="shared" ca="1" si="720"/>
        <v/>
      </c>
      <c r="EL259" s="305" t="str">
        <f t="shared" ca="1" si="721"/>
        <v/>
      </c>
      <c r="EM259" s="305" t="str">
        <f t="shared" ca="1" si="722"/>
        <v/>
      </c>
      <c r="EN259" s="305" t="str">
        <f t="shared" ca="1" si="723"/>
        <v/>
      </c>
      <c r="EO259" s="305" t="str">
        <f t="shared" ca="1" si="724"/>
        <v/>
      </c>
      <c r="EP259" s="305" t="str">
        <f t="shared" ca="1" si="725"/>
        <v/>
      </c>
      <c r="EQ259" s="305" t="str">
        <f t="shared" ca="1" si="726"/>
        <v/>
      </c>
      <c r="ER259" s="305" t="str">
        <f t="shared" ca="1" si="727"/>
        <v/>
      </c>
      <c r="ES259" s="305" t="str">
        <f t="shared" ca="1" si="728"/>
        <v/>
      </c>
      <c r="ET259" s="299">
        <f t="shared" ca="1" si="729"/>
        <v>0</v>
      </c>
      <c r="EU259" s="302">
        <f t="shared" ca="1" si="730"/>
        <v>0</v>
      </c>
      <c r="EV259" s="304" t="str">
        <f t="shared" ca="1" si="731"/>
        <v/>
      </c>
      <c r="EW259" s="305" t="str">
        <f t="shared" ca="1" si="732"/>
        <v/>
      </c>
      <c r="EX259" s="305" t="str">
        <f t="shared" ca="1" si="733"/>
        <v/>
      </c>
      <c r="EY259" s="305" t="str">
        <f t="shared" ca="1" si="734"/>
        <v/>
      </c>
      <c r="EZ259" s="305" t="str">
        <f t="shared" ca="1" si="735"/>
        <v/>
      </c>
      <c r="FA259" s="305" t="str">
        <f t="shared" ca="1" si="736"/>
        <v/>
      </c>
      <c r="FB259" s="305" t="str">
        <f t="shared" ca="1" si="737"/>
        <v/>
      </c>
      <c r="FC259" s="305" t="str">
        <f t="shared" ca="1" si="738"/>
        <v/>
      </c>
      <c r="FD259" s="305" t="str">
        <f t="shared" ca="1" si="739"/>
        <v/>
      </c>
      <c r="FE259" s="305" t="str">
        <f t="shared" ca="1" si="740"/>
        <v/>
      </c>
      <c r="FF259" s="305" t="str">
        <f t="shared" ca="1" si="741"/>
        <v/>
      </c>
      <c r="FG259" s="299">
        <f t="shared" ca="1" si="742"/>
        <v>0</v>
      </c>
      <c r="FH259" s="302">
        <f t="shared" ca="1" si="743"/>
        <v>0</v>
      </c>
      <c r="FI259" s="248">
        <f t="shared" ca="1" si="744"/>
        <v>0</v>
      </c>
      <c r="FJ259" s="363">
        <f t="shared" ca="1" si="745"/>
        <v>0</v>
      </c>
      <c r="FK259" s="378" t="str">
        <f t="shared" ca="1" si="746"/>
        <v/>
      </c>
      <c r="FL259" s="508" t="str">
        <f t="shared" ca="1" si="747"/>
        <v/>
      </c>
      <c r="FM259" s="508" t="str">
        <f t="shared" ca="1" si="748"/>
        <v/>
      </c>
      <c r="FN259" s="508" t="str">
        <f t="shared" ca="1" si="749"/>
        <v/>
      </c>
      <c r="FO259" s="508" t="str">
        <f t="shared" ca="1" si="750"/>
        <v/>
      </c>
      <c r="FP259" s="353">
        <f t="shared" ca="1" si="751"/>
        <v>0</v>
      </c>
      <c r="FQ259" s="356">
        <f t="shared" ca="1" si="752"/>
        <v>0</v>
      </c>
      <c r="FR259" s="380">
        <f t="shared" ca="1" si="753"/>
        <v>0</v>
      </c>
      <c r="FS259" s="299">
        <f t="shared" ca="1" si="754"/>
        <v>0</v>
      </c>
      <c r="FT259" s="299">
        <f t="shared" ca="1" si="755"/>
        <v>0</v>
      </c>
      <c r="FU259" s="299">
        <f t="shared" ca="1" si="756"/>
        <v>0</v>
      </c>
      <c r="FV259" s="299">
        <f t="shared" ca="1" si="757"/>
        <v>0</v>
      </c>
      <c r="FW259" s="850" t="str">
        <f t="shared" ca="1" si="758"/>
        <v/>
      </c>
      <c r="FX259" s="851" t="str">
        <f t="shared" ca="1" si="759"/>
        <v/>
      </c>
      <c r="FY259" s="851" t="str">
        <f t="shared" ca="1" si="760"/>
        <v/>
      </c>
      <c r="FZ259" s="201" t="str">
        <f t="shared" ca="1" si="761"/>
        <v/>
      </c>
      <c r="GA259" s="201" t="str">
        <f t="shared" ca="1" si="762"/>
        <v/>
      </c>
      <c r="GB259" s="201" t="str">
        <f t="shared" ca="1" si="763"/>
        <v/>
      </c>
      <c r="GC259" s="201" t="str">
        <f t="shared" ca="1" si="764"/>
        <v/>
      </c>
      <c r="GD259" s="850" t="str">
        <f t="shared" ca="1" si="765"/>
        <v/>
      </c>
      <c r="GE259" s="866" t="str">
        <f t="shared" ca="1" si="766"/>
        <v/>
      </c>
      <c r="GF259" s="866" t="str">
        <f t="shared" ca="1" si="767"/>
        <v/>
      </c>
      <c r="GG259" s="866" t="str">
        <f t="shared" ca="1" si="768"/>
        <v/>
      </c>
      <c r="GH259" s="866" t="str">
        <f t="shared" ca="1" si="769"/>
        <v/>
      </c>
      <c r="GI259" s="302">
        <f t="shared" ca="1" si="770"/>
        <v>0</v>
      </c>
      <c r="GJ259" s="299">
        <f t="shared" ca="1" si="771"/>
        <v>0</v>
      </c>
      <c r="GK259" s="299">
        <f t="shared" ca="1" si="772"/>
        <v>0</v>
      </c>
      <c r="GL259" s="299">
        <f t="shared" ca="1" si="773"/>
        <v>0</v>
      </c>
      <c r="GM259" s="299">
        <f t="shared" ca="1" si="774"/>
        <v>0</v>
      </c>
      <c r="GN259" s="302">
        <f t="shared" ca="1" si="775"/>
        <v>0</v>
      </c>
      <c r="GO259" s="299">
        <f t="shared" ca="1" si="776"/>
        <v>0</v>
      </c>
      <c r="GP259" s="299">
        <f t="shared" ca="1" si="777"/>
        <v>0</v>
      </c>
      <c r="GQ259" s="299">
        <f t="shared" ca="1" si="778"/>
        <v>0</v>
      </c>
      <c r="GR259" s="299">
        <f t="shared" ca="1" si="779"/>
        <v>0</v>
      </c>
      <c r="GS259" s="302">
        <f t="shared" ca="1" si="780"/>
        <v>0</v>
      </c>
      <c r="GT259" s="299">
        <f t="shared" ca="1" si="781"/>
        <v>0</v>
      </c>
      <c r="GU259" s="299">
        <f t="shared" ca="1" si="782"/>
        <v>0</v>
      </c>
      <c r="GV259" s="299">
        <f t="shared" ca="1" si="783"/>
        <v>0</v>
      </c>
      <c r="GW259" s="299">
        <f t="shared" ca="1" si="784"/>
        <v>0</v>
      </c>
      <c r="GX259" s="303">
        <f t="shared" ca="1" si="785"/>
        <v>0</v>
      </c>
      <c r="GY259" s="303">
        <f t="shared" ca="1" si="786"/>
        <v>0</v>
      </c>
      <c r="GZ259" s="303">
        <f t="shared" ca="1" si="787"/>
        <v>0</v>
      </c>
      <c r="HA259" s="303">
        <f t="shared" ca="1" si="788"/>
        <v>0</v>
      </c>
      <c r="HB259" s="303">
        <f t="shared" ca="1" si="789"/>
        <v>0</v>
      </c>
      <c r="HC259" s="303">
        <f t="shared" ca="1" si="790"/>
        <v>0</v>
      </c>
      <c r="HD259" s="303">
        <f t="shared" ca="1" si="791"/>
        <v>0</v>
      </c>
      <c r="HE259" s="303">
        <f t="shared" ca="1" si="792"/>
        <v>0</v>
      </c>
      <c r="HF259" s="303">
        <f t="shared" ca="1" si="793"/>
        <v>0</v>
      </c>
      <c r="HG259" s="852">
        <f t="shared" ca="1" si="794"/>
        <v>0</v>
      </c>
    </row>
    <row r="260" spans="1:215" x14ac:dyDescent="0.25">
      <c r="A260" s="244">
        <f t="shared" ca="1" si="795"/>
        <v>44013</v>
      </c>
      <c r="B260" s="13">
        <f t="shared" ca="1" si="828"/>
        <v>2020</v>
      </c>
      <c r="C260" s="619">
        <f t="shared" ca="1" si="829"/>
        <v>7</v>
      </c>
      <c r="D260" s="195">
        <f t="shared" ca="1" si="625"/>
        <v>44016</v>
      </c>
      <c r="E260" s="469" t="str">
        <f t="shared" ca="1" si="626"/>
        <v/>
      </c>
      <c r="F260" s="465" t="str">
        <f t="shared" ca="1" si="627"/>
        <v/>
      </c>
      <c r="G260" s="522">
        <f t="shared" ca="1" si="796"/>
        <v>1</v>
      </c>
      <c r="H260" s="519">
        <f t="shared" ca="1" si="797"/>
        <v>1</v>
      </c>
      <c r="I260" s="724">
        <f t="shared" ca="1" si="830"/>
        <v>7.4134185707211003E-2</v>
      </c>
      <c r="J260" s="198">
        <f t="shared" ca="1" si="629"/>
        <v>0.22538508662552639</v>
      </c>
      <c r="K260" s="200" t="e">
        <f t="shared" ca="1" si="805"/>
        <v>#N/A</v>
      </c>
      <c r="L260" s="201" t="e">
        <f t="shared" ca="1" si="806"/>
        <v>#N/A</v>
      </c>
      <c r="M260" s="206" t="e">
        <f t="shared" ca="1" si="807"/>
        <v>#N/A</v>
      </c>
      <c r="N260" s="851" t="e">
        <f t="shared" ca="1" si="811"/>
        <v>#N/A</v>
      </c>
      <c r="O260" s="201" t="e">
        <f t="shared" ca="1" si="812"/>
        <v>#N/A</v>
      </c>
      <c r="P260" s="206" t="e">
        <f t="shared" ca="1" si="813"/>
        <v>#N/A</v>
      </c>
      <c r="Q260" s="201" t="e">
        <f t="shared" ca="1" si="814"/>
        <v>#N/A</v>
      </c>
      <c r="R260" s="201" t="e">
        <f t="shared" ca="1" si="815"/>
        <v>#N/A</v>
      </c>
      <c r="S260" s="201" t="e">
        <f t="shared" ca="1" si="816"/>
        <v>#N/A</v>
      </c>
      <c r="T260" s="851" t="e">
        <f t="shared" ca="1" si="808"/>
        <v>#N/A</v>
      </c>
      <c r="U260" s="201" t="e">
        <f t="shared" ca="1" si="809"/>
        <v>#N/A</v>
      </c>
      <c r="V260" s="206" t="e">
        <f t="shared" ca="1" si="810"/>
        <v>#N/A</v>
      </c>
      <c r="W260" s="230" t="e">
        <f t="shared" ca="1" si="798"/>
        <v>#N/A</v>
      </c>
      <c r="X260" s="231" t="e">
        <f t="shared" ca="1" si="799"/>
        <v>#N/A</v>
      </c>
      <c r="Y260" s="232" t="e">
        <f t="shared" ca="1" si="800"/>
        <v>#N/A</v>
      </c>
      <c r="Z260" s="231" t="e">
        <f t="shared" ca="1" si="820"/>
        <v>#N/A</v>
      </c>
      <c r="AA260" s="231" t="e">
        <f t="shared" ca="1" si="821"/>
        <v>#N/A</v>
      </c>
      <c r="AB260" s="232" t="e">
        <f t="shared" ca="1" si="822"/>
        <v>#N/A</v>
      </c>
      <c r="AC260" s="231" t="e">
        <f t="shared" ca="1" si="823"/>
        <v>#N/A</v>
      </c>
      <c r="AD260" s="231" t="e">
        <f t="shared" ca="1" si="824"/>
        <v>#N/A</v>
      </c>
      <c r="AE260" s="232" t="e">
        <f t="shared" ca="1" si="630"/>
        <v>#N/A</v>
      </c>
      <c r="AF260" s="231" t="e">
        <f t="shared" ca="1" si="801"/>
        <v>#N/A</v>
      </c>
      <c r="AG260" s="231" t="e">
        <f t="shared" ca="1" si="802"/>
        <v>#N/A</v>
      </c>
      <c r="AH260" s="232" t="e">
        <f t="shared" ca="1" si="803"/>
        <v>#N/A</v>
      </c>
      <c r="AI260" s="233" t="e">
        <f t="shared" ca="1" si="631"/>
        <v>#N/A</v>
      </c>
      <c r="AJ260" s="233" t="e">
        <f t="shared" ca="1" si="632"/>
        <v>#N/A</v>
      </c>
      <c r="AK260" s="234" t="e">
        <f t="shared" ca="1" si="633"/>
        <v>#N/A</v>
      </c>
      <c r="AL260" s="919" t="e">
        <f t="shared" ca="1" si="634"/>
        <v>#N/A</v>
      </c>
      <c r="AM260" s="233" t="e">
        <f t="shared" ca="1" si="635"/>
        <v>#N/A</v>
      </c>
      <c r="AN260" s="234" t="e">
        <f t="shared" ca="1" si="636"/>
        <v>#N/A</v>
      </c>
      <c r="AO260" s="233" t="e">
        <f t="shared" ca="1" si="637"/>
        <v>#N/A</v>
      </c>
      <c r="AP260" s="233" t="e">
        <f t="shared" ca="1" si="638"/>
        <v>#N/A</v>
      </c>
      <c r="AQ260" s="233" t="e">
        <f t="shared" ca="1" si="639"/>
        <v>#N/A</v>
      </c>
      <c r="AR260" s="919" t="e">
        <f t="shared" ca="1" si="640"/>
        <v>#N/A</v>
      </c>
      <c r="AS260" s="233" t="e">
        <f t="shared" ca="1" si="641"/>
        <v>#N/A</v>
      </c>
      <c r="AT260" s="235" t="e">
        <f t="shared" ca="1" si="642"/>
        <v>#N/A</v>
      </c>
      <c r="AU260" s="946">
        <f t="shared" si="643"/>
        <v>0.5</v>
      </c>
      <c r="AV260" s="13">
        <f t="shared" ca="1" si="644"/>
        <v>0</v>
      </c>
      <c r="AW260" s="210">
        <f t="shared" ca="1" si="645"/>
        <v>0</v>
      </c>
      <c r="AX260" s="210">
        <f t="shared" ca="1" si="646"/>
        <v>0</v>
      </c>
      <c r="AY260" s="210">
        <f t="shared" ca="1" si="647"/>
        <v>0</v>
      </c>
      <c r="AZ260" s="13">
        <f t="shared" ca="1" si="648"/>
        <v>0</v>
      </c>
      <c r="BA260" s="357">
        <f ca="1"/>
        <v>0</v>
      </c>
      <c r="BB260" s="925">
        <f ca="1"/>
        <v>0</v>
      </c>
      <c r="BC260" s="925">
        <f ca="1"/>
        <v>0</v>
      </c>
      <c r="BD260" s="928">
        <f ca="1"/>
        <v>0</v>
      </c>
      <c r="BE260" s="200">
        <f ca="1"/>
        <v>0</v>
      </c>
      <c r="BF260" s="851">
        <f ca="1"/>
        <v>0</v>
      </c>
      <c r="BG260" s="851">
        <f ca="1"/>
        <v>0</v>
      </c>
      <c r="BH260" s="933">
        <f ca="1"/>
        <v>0</v>
      </c>
      <c r="BI260" s="357">
        <f ca="1"/>
        <v>0</v>
      </c>
      <c r="BJ260" s="925">
        <f ca="1"/>
        <v>0</v>
      </c>
      <c r="BK260" s="925">
        <f ca="1"/>
        <v>0</v>
      </c>
      <c r="BL260" s="928">
        <f ca="1"/>
        <v>0</v>
      </c>
      <c r="BM260" s="200">
        <f ca="1"/>
        <v>0</v>
      </c>
      <c r="BN260" s="851">
        <f ca="1"/>
        <v>0</v>
      </c>
      <c r="BO260" s="851">
        <f ca="1"/>
        <v>0</v>
      </c>
      <c r="BP260" s="933">
        <f ca="1"/>
        <v>0</v>
      </c>
      <c r="BQ260" s="357">
        <f t="shared" ca="1" si="649"/>
        <v>0</v>
      </c>
      <c r="BR260" s="361">
        <f t="shared" ca="1" si="650"/>
        <v>0</v>
      </c>
      <c r="BS260" s="357">
        <f t="shared" ca="1" si="651"/>
        <v>0</v>
      </c>
      <c r="BT260" s="302">
        <f t="shared" ca="1" si="652"/>
        <v>0</v>
      </c>
      <c r="BU260" s="299">
        <f t="shared" ca="1" si="653"/>
        <v>0</v>
      </c>
      <c r="BV260" s="299">
        <f t="shared" ca="1" si="654"/>
        <v>0</v>
      </c>
      <c r="BW260" s="299">
        <f t="shared" ca="1" si="655"/>
        <v>0</v>
      </c>
      <c r="BX260" s="380">
        <f t="shared" ca="1" si="656"/>
        <v>20.331279945242983</v>
      </c>
      <c r="BY260" s="363">
        <f t="shared" ca="1" si="657"/>
        <v>0</v>
      </c>
      <c r="BZ260" s="353">
        <f t="shared" ca="1" si="658"/>
        <v>0</v>
      </c>
      <c r="CA260" s="353">
        <f t="shared" ca="1" si="659"/>
        <v>0</v>
      </c>
      <c r="CB260" s="353">
        <f t="shared" ca="1" si="660"/>
        <v>0</v>
      </c>
      <c r="CC260" s="353">
        <f t="shared" ca="1" si="661"/>
        <v>0</v>
      </c>
      <c r="CD260" s="353">
        <f t="shared" ca="1" si="662"/>
        <v>0</v>
      </c>
      <c r="CE260" s="302">
        <f t="shared" ca="1" si="663"/>
        <v>0</v>
      </c>
      <c r="CF260" s="299">
        <f t="shared" ca="1" si="664"/>
        <v>0</v>
      </c>
      <c r="CG260" s="299">
        <f t="shared" ca="1" si="665"/>
        <v>0</v>
      </c>
      <c r="CH260" s="299">
        <f t="shared" ca="1" si="666"/>
        <v>0</v>
      </c>
      <c r="CI260" s="299">
        <f t="shared" ca="1" si="667"/>
        <v>0</v>
      </c>
      <c r="CJ260" s="299">
        <f t="shared" ca="1" si="668"/>
        <v>0</v>
      </c>
      <c r="CK260" s="299">
        <f t="shared" ca="1" si="669"/>
        <v>0</v>
      </c>
      <c r="CL260" s="377" t="str">
        <f t="shared" ca="1" si="670"/>
        <v/>
      </c>
      <c r="CM260" s="305" t="str">
        <f t="shared" ca="1" si="671"/>
        <v/>
      </c>
      <c r="CN260" s="305" t="str">
        <f t="shared" ca="1" si="672"/>
        <v/>
      </c>
      <c r="CO260" s="305" t="str">
        <f t="shared" ca="1" si="673"/>
        <v/>
      </c>
      <c r="CP260" s="305" t="str">
        <f t="shared" ca="1" si="674"/>
        <v/>
      </c>
      <c r="CQ260" s="305" t="str">
        <f t="shared" ca="1" si="675"/>
        <v/>
      </c>
      <c r="CR260" s="775" t="str">
        <f t="shared" ca="1" si="676"/>
        <v/>
      </c>
      <c r="CS260" s="305" t="str">
        <f t="shared" ca="1" si="677"/>
        <v/>
      </c>
      <c r="CT260" s="305" t="str">
        <f t="shared" ca="1" si="678"/>
        <v/>
      </c>
      <c r="CU260" s="305" t="str">
        <f t="shared" ca="1" si="679"/>
        <v/>
      </c>
      <c r="CV260" s="770" t="str">
        <f t="shared" ca="1" si="680"/>
        <v/>
      </c>
      <c r="CW260" s="302">
        <f t="shared" ca="1" si="681"/>
        <v>0</v>
      </c>
      <c r="CX260" s="299">
        <f t="shared" ca="1" si="682"/>
        <v>0</v>
      </c>
      <c r="CY260" s="299">
        <f t="shared" ca="1" si="683"/>
        <v>0</v>
      </c>
      <c r="CZ260" s="299">
        <f t="shared" ca="1" si="684"/>
        <v>0</v>
      </c>
      <c r="DA260" s="774">
        <f t="shared" ca="1" si="685"/>
        <v>0</v>
      </c>
      <c r="DB260" s="303">
        <f t="shared" ca="1" si="686"/>
        <v>0</v>
      </c>
      <c r="DC260" s="248">
        <f t="shared" ca="1" si="687"/>
        <v>0</v>
      </c>
      <c r="DD260" s="778">
        <f t="shared" ca="1" si="688"/>
        <v>0</v>
      </c>
      <c r="DE260" s="363">
        <f t="shared" ca="1" si="689"/>
        <v>0</v>
      </c>
      <c r="DF260" s="378" t="str">
        <f t="shared" ca="1" si="690"/>
        <v/>
      </c>
      <c r="DG260" s="508" t="str">
        <f t="shared" ca="1" si="691"/>
        <v/>
      </c>
      <c r="DH260" s="508" t="str">
        <f t="shared" ca="1" si="692"/>
        <v/>
      </c>
      <c r="DI260" s="508" t="str">
        <f t="shared" ca="1" si="693"/>
        <v/>
      </c>
      <c r="DJ260" s="508" t="str">
        <f t="shared" ca="1" si="694"/>
        <v/>
      </c>
      <c r="DK260" s="353">
        <f t="shared" ca="1" si="695"/>
        <v>0</v>
      </c>
      <c r="DL260" s="781">
        <f t="shared" ca="1" si="696"/>
        <v>0</v>
      </c>
      <c r="DM260" s="303">
        <f t="shared" ca="1" si="697"/>
        <v>0</v>
      </c>
      <c r="DN260" s="508" t="str">
        <f t="shared" ca="1" si="698"/>
        <v/>
      </c>
      <c r="DO260" s="508" t="str">
        <f t="shared" ca="1" si="699"/>
        <v/>
      </c>
      <c r="DP260" s="508" t="str">
        <f t="shared" ca="1" si="700"/>
        <v/>
      </c>
      <c r="DQ260" s="508" t="str">
        <f t="shared" ca="1" si="701"/>
        <v/>
      </c>
      <c r="DR260" s="508" t="str">
        <f t="shared" ca="1" si="702"/>
        <v/>
      </c>
      <c r="DS260" s="353">
        <f t="shared" ca="1" si="703"/>
        <v>0</v>
      </c>
      <c r="DT260" s="353">
        <f t="shared" ca="1" si="704"/>
        <v>0</v>
      </c>
      <c r="DU260" s="380">
        <f t="shared" ca="1" si="804"/>
        <v>20.331279945242983</v>
      </c>
      <c r="DV260" s="303">
        <f t="shared" ca="1" si="705"/>
        <v>0</v>
      </c>
      <c r="DW260" s="303">
        <f t="shared" ca="1" si="706"/>
        <v>0</v>
      </c>
      <c r="DX260" s="303">
        <f t="shared" ca="1" si="707"/>
        <v>0</v>
      </c>
      <c r="DY260" s="303">
        <f t="shared" ca="1" si="708"/>
        <v>0</v>
      </c>
      <c r="DZ260" s="303">
        <f t="shared" ca="1" si="709"/>
        <v>0</v>
      </c>
      <c r="EA260" s="303">
        <f t="shared" ca="1" si="710"/>
        <v>0</v>
      </c>
      <c r="EB260" s="302">
        <f t="shared" ca="1" si="711"/>
        <v>0</v>
      </c>
      <c r="EC260" s="299">
        <f t="shared" ca="1" si="712"/>
        <v>0</v>
      </c>
      <c r="ED260" s="299">
        <f t="shared" ca="1" si="713"/>
        <v>0</v>
      </c>
      <c r="EE260" s="299">
        <f t="shared" ca="1" si="714"/>
        <v>0</v>
      </c>
      <c r="EF260" s="299">
        <f t="shared" ca="1" si="715"/>
        <v>0</v>
      </c>
      <c r="EG260" s="299">
        <f t="shared" ca="1" si="716"/>
        <v>0</v>
      </c>
      <c r="EH260" s="302">
        <f t="shared" ca="1" si="717"/>
        <v>0</v>
      </c>
      <c r="EI260" s="304" t="str">
        <f t="shared" ca="1" si="718"/>
        <v/>
      </c>
      <c r="EJ260" s="305" t="str">
        <f t="shared" ca="1" si="719"/>
        <v/>
      </c>
      <c r="EK260" s="305" t="str">
        <f t="shared" ca="1" si="720"/>
        <v/>
      </c>
      <c r="EL260" s="305" t="str">
        <f t="shared" ca="1" si="721"/>
        <v/>
      </c>
      <c r="EM260" s="305" t="str">
        <f t="shared" ca="1" si="722"/>
        <v/>
      </c>
      <c r="EN260" s="305" t="str">
        <f t="shared" ca="1" si="723"/>
        <v/>
      </c>
      <c r="EO260" s="305" t="str">
        <f t="shared" ca="1" si="724"/>
        <v/>
      </c>
      <c r="EP260" s="305" t="str">
        <f t="shared" ca="1" si="725"/>
        <v/>
      </c>
      <c r="EQ260" s="305" t="str">
        <f t="shared" ca="1" si="726"/>
        <v/>
      </c>
      <c r="ER260" s="305" t="str">
        <f t="shared" ca="1" si="727"/>
        <v/>
      </c>
      <c r="ES260" s="305" t="str">
        <f t="shared" ca="1" si="728"/>
        <v/>
      </c>
      <c r="ET260" s="299">
        <f t="shared" ca="1" si="729"/>
        <v>0</v>
      </c>
      <c r="EU260" s="302">
        <f t="shared" ca="1" si="730"/>
        <v>0</v>
      </c>
      <c r="EV260" s="304" t="str">
        <f t="shared" ca="1" si="731"/>
        <v/>
      </c>
      <c r="EW260" s="305" t="str">
        <f t="shared" ca="1" si="732"/>
        <v/>
      </c>
      <c r="EX260" s="305" t="str">
        <f t="shared" ca="1" si="733"/>
        <v/>
      </c>
      <c r="EY260" s="305" t="str">
        <f t="shared" ca="1" si="734"/>
        <v/>
      </c>
      <c r="EZ260" s="305" t="str">
        <f t="shared" ca="1" si="735"/>
        <v/>
      </c>
      <c r="FA260" s="305" t="str">
        <f t="shared" ca="1" si="736"/>
        <v/>
      </c>
      <c r="FB260" s="305" t="str">
        <f t="shared" ca="1" si="737"/>
        <v/>
      </c>
      <c r="FC260" s="305" t="str">
        <f t="shared" ca="1" si="738"/>
        <v/>
      </c>
      <c r="FD260" s="305" t="str">
        <f t="shared" ca="1" si="739"/>
        <v/>
      </c>
      <c r="FE260" s="305" t="str">
        <f t="shared" ca="1" si="740"/>
        <v/>
      </c>
      <c r="FF260" s="305" t="str">
        <f t="shared" ca="1" si="741"/>
        <v/>
      </c>
      <c r="FG260" s="299">
        <f t="shared" ca="1" si="742"/>
        <v>0</v>
      </c>
      <c r="FH260" s="302">
        <f t="shared" ca="1" si="743"/>
        <v>0</v>
      </c>
      <c r="FI260" s="248">
        <f t="shared" ca="1" si="744"/>
        <v>0</v>
      </c>
      <c r="FJ260" s="363">
        <f t="shared" ca="1" si="745"/>
        <v>0</v>
      </c>
      <c r="FK260" s="378" t="str">
        <f t="shared" ca="1" si="746"/>
        <v/>
      </c>
      <c r="FL260" s="508" t="str">
        <f t="shared" ca="1" si="747"/>
        <v/>
      </c>
      <c r="FM260" s="508" t="str">
        <f t="shared" ca="1" si="748"/>
        <v/>
      </c>
      <c r="FN260" s="508" t="str">
        <f t="shared" ca="1" si="749"/>
        <v/>
      </c>
      <c r="FO260" s="508" t="str">
        <f t="shared" ca="1" si="750"/>
        <v/>
      </c>
      <c r="FP260" s="353">
        <f t="shared" ca="1" si="751"/>
        <v>0</v>
      </c>
      <c r="FQ260" s="356">
        <f t="shared" ca="1" si="752"/>
        <v>0</v>
      </c>
      <c r="FR260" s="380">
        <f t="shared" ca="1" si="753"/>
        <v>0</v>
      </c>
      <c r="FS260" s="299">
        <f t="shared" ca="1" si="754"/>
        <v>0</v>
      </c>
      <c r="FT260" s="299">
        <f t="shared" ca="1" si="755"/>
        <v>0</v>
      </c>
      <c r="FU260" s="299">
        <f t="shared" ca="1" si="756"/>
        <v>0</v>
      </c>
      <c r="FV260" s="299">
        <f t="shared" ca="1" si="757"/>
        <v>0</v>
      </c>
      <c r="FW260" s="850" t="str">
        <f t="shared" ca="1" si="758"/>
        <v/>
      </c>
      <c r="FX260" s="851" t="str">
        <f t="shared" ca="1" si="759"/>
        <v/>
      </c>
      <c r="FY260" s="851" t="str">
        <f t="shared" ca="1" si="760"/>
        <v/>
      </c>
      <c r="FZ260" s="201" t="str">
        <f t="shared" ca="1" si="761"/>
        <v/>
      </c>
      <c r="GA260" s="201" t="str">
        <f t="shared" ca="1" si="762"/>
        <v/>
      </c>
      <c r="GB260" s="201" t="str">
        <f t="shared" ca="1" si="763"/>
        <v/>
      </c>
      <c r="GC260" s="201" t="str">
        <f t="shared" ca="1" si="764"/>
        <v/>
      </c>
      <c r="GD260" s="850" t="str">
        <f t="shared" ca="1" si="765"/>
        <v/>
      </c>
      <c r="GE260" s="866" t="str">
        <f t="shared" ca="1" si="766"/>
        <v/>
      </c>
      <c r="GF260" s="866" t="str">
        <f t="shared" ca="1" si="767"/>
        <v/>
      </c>
      <c r="GG260" s="866" t="str">
        <f t="shared" ca="1" si="768"/>
        <v/>
      </c>
      <c r="GH260" s="866" t="str">
        <f t="shared" ca="1" si="769"/>
        <v/>
      </c>
      <c r="GI260" s="302">
        <f t="shared" ca="1" si="770"/>
        <v>0</v>
      </c>
      <c r="GJ260" s="299">
        <f t="shared" ca="1" si="771"/>
        <v>0</v>
      </c>
      <c r="GK260" s="299">
        <f t="shared" ca="1" si="772"/>
        <v>0</v>
      </c>
      <c r="GL260" s="299">
        <f t="shared" ca="1" si="773"/>
        <v>0</v>
      </c>
      <c r="GM260" s="299">
        <f t="shared" ca="1" si="774"/>
        <v>0</v>
      </c>
      <c r="GN260" s="302">
        <f t="shared" ca="1" si="775"/>
        <v>0</v>
      </c>
      <c r="GO260" s="299">
        <f t="shared" ca="1" si="776"/>
        <v>0</v>
      </c>
      <c r="GP260" s="299">
        <f t="shared" ca="1" si="777"/>
        <v>0</v>
      </c>
      <c r="GQ260" s="299">
        <f t="shared" ca="1" si="778"/>
        <v>0</v>
      </c>
      <c r="GR260" s="299">
        <f t="shared" ca="1" si="779"/>
        <v>0</v>
      </c>
      <c r="GS260" s="302">
        <f t="shared" ca="1" si="780"/>
        <v>0</v>
      </c>
      <c r="GT260" s="299">
        <f t="shared" ca="1" si="781"/>
        <v>0</v>
      </c>
      <c r="GU260" s="299">
        <f t="shared" ca="1" si="782"/>
        <v>0</v>
      </c>
      <c r="GV260" s="299">
        <f t="shared" ca="1" si="783"/>
        <v>0</v>
      </c>
      <c r="GW260" s="299">
        <f t="shared" ca="1" si="784"/>
        <v>0</v>
      </c>
      <c r="GX260" s="303">
        <f t="shared" ca="1" si="785"/>
        <v>0</v>
      </c>
      <c r="GY260" s="303">
        <f t="shared" ca="1" si="786"/>
        <v>0</v>
      </c>
      <c r="GZ260" s="303">
        <f t="shared" ca="1" si="787"/>
        <v>0</v>
      </c>
      <c r="HA260" s="303">
        <f t="shared" ca="1" si="788"/>
        <v>0</v>
      </c>
      <c r="HB260" s="303">
        <f t="shared" ca="1" si="789"/>
        <v>0</v>
      </c>
      <c r="HC260" s="303">
        <f t="shared" ca="1" si="790"/>
        <v>0</v>
      </c>
      <c r="HD260" s="303">
        <f t="shared" ca="1" si="791"/>
        <v>0</v>
      </c>
      <c r="HE260" s="303">
        <f t="shared" ca="1" si="792"/>
        <v>0</v>
      </c>
      <c r="HF260" s="303">
        <f t="shared" ca="1" si="793"/>
        <v>0</v>
      </c>
      <c r="HG260" s="852">
        <f t="shared" ca="1" si="794"/>
        <v>0</v>
      </c>
    </row>
    <row r="261" spans="1:215" x14ac:dyDescent="0.25">
      <c r="A261" s="244">
        <f t="shared" ca="1" si="795"/>
        <v>44044</v>
      </c>
      <c r="B261" s="13">
        <f t="shared" ca="1" si="828"/>
        <v>2020</v>
      </c>
      <c r="C261" s="619">
        <f t="shared" ca="1" si="829"/>
        <v>8</v>
      </c>
      <c r="D261" s="195" t="str">
        <f t="shared" ca="1" si="625"/>
        <v/>
      </c>
      <c r="E261" s="469" t="str">
        <f t="shared" ca="1" si="626"/>
        <v/>
      </c>
      <c r="F261" s="465" t="str">
        <f t="shared" ca="1" si="627"/>
        <v/>
      </c>
      <c r="G261" s="522">
        <f t="shared" ca="1" si="796"/>
        <v>1</v>
      </c>
      <c r="H261" s="519">
        <f t="shared" ca="1" si="797"/>
        <v>1</v>
      </c>
      <c r="I261" s="724">
        <f t="shared" ca="1" si="830"/>
        <v>7.412495041114299E-2</v>
      </c>
      <c r="J261" s="198">
        <f t="shared" ca="1" si="629"/>
        <v>0.22403790492087924</v>
      </c>
      <c r="K261" s="200" t="e">
        <f t="shared" ca="1" si="805"/>
        <v>#N/A</v>
      </c>
      <c r="L261" s="201" t="e">
        <f t="shared" ca="1" si="806"/>
        <v>#N/A</v>
      </c>
      <c r="M261" s="206" t="e">
        <f t="shared" ca="1" si="807"/>
        <v>#N/A</v>
      </c>
      <c r="N261" s="851" t="e">
        <f t="shared" ca="1" si="811"/>
        <v>#N/A</v>
      </c>
      <c r="O261" s="201" t="e">
        <f t="shared" ca="1" si="812"/>
        <v>#N/A</v>
      </c>
      <c r="P261" s="206" t="e">
        <f t="shared" ca="1" si="813"/>
        <v>#N/A</v>
      </c>
      <c r="Q261" s="201" t="e">
        <f t="shared" ca="1" si="814"/>
        <v>#N/A</v>
      </c>
      <c r="R261" s="201" t="e">
        <f t="shared" ca="1" si="815"/>
        <v>#N/A</v>
      </c>
      <c r="S261" s="201" t="e">
        <f t="shared" ca="1" si="816"/>
        <v>#N/A</v>
      </c>
      <c r="T261" s="851" t="e">
        <f t="shared" ca="1" si="808"/>
        <v>#N/A</v>
      </c>
      <c r="U261" s="201" t="e">
        <f t="shared" ca="1" si="809"/>
        <v>#N/A</v>
      </c>
      <c r="V261" s="206" t="e">
        <f t="shared" ca="1" si="810"/>
        <v>#N/A</v>
      </c>
      <c r="W261" s="230" t="e">
        <f t="shared" ca="1" si="798"/>
        <v>#N/A</v>
      </c>
      <c r="X261" s="231" t="e">
        <f t="shared" ca="1" si="799"/>
        <v>#N/A</v>
      </c>
      <c r="Y261" s="232" t="e">
        <f t="shared" ca="1" si="800"/>
        <v>#N/A</v>
      </c>
      <c r="Z261" s="231" t="e">
        <f t="shared" ca="1" si="820"/>
        <v>#N/A</v>
      </c>
      <c r="AA261" s="231" t="e">
        <f t="shared" ca="1" si="821"/>
        <v>#N/A</v>
      </c>
      <c r="AB261" s="232" t="e">
        <f t="shared" ca="1" si="822"/>
        <v>#N/A</v>
      </c>
      <c r="AC261" s="231" t="e">
        <f t="shared" ca="1" si="823"/>
        <v>#N/A</v>
      </c>
      <c r="AD261" s="231" t="e">
        <f t="shared" ca="1" si="824"/>
        <v>#N/A</v>
      </c>
      <c r="AE261" s="232" t="e">
        <f t="shared" ca="1" si="630"/>
        <v>#N/A</v>
      </c>
      <c r="AF261" s="231" t="e">
        <f t="shared" ca="1" si="801"/>
        <v>#N/A</v>
      </c>
      <c r="AG261" s="231" t="e">
        <f t="shared" ca="1" si="802"/>
        <v>#N/A</v>
      </c>
      <c r="AH261" s="232" t="e">
        <f t="shared" ca="1" si="803"/>
        <v>#N/A</v>
      </c>
      <c r="AI261" s="233" t="e">
        <f t="shared" ca="1" si="631"/>
        <v>#N/A</v>
      </c>
      <c r="AJ261" s="233" t="e">
        <f t="shared" ca="1" si="632"/>
        <v>#N/A</v>
      </c>
      <c r="AK261" s="234" t="e">
        <f t="shared" ca="1" si="633"/>
        <v>#N/A</v>
      </c>
      <c r="AL261" s="919" t="e">
        <f t="shared" ca="1" si="634"/>
        <v>#N/A</v>
      </c>
      <c r="AM261" s="233" t="e">
        <f t="shared" ca="1" si="635"/>
        <v>#N/A</v>
      </c>
      <c r="AN261" s="234" t="e">
        <f t="shared" ca="1" si="636"/>
        <v>#N/A</v>
      </c>
      <c r="AO261" s="233" t="e">
        <f t="shared" ca="1" si="637"/>
        <v>#N/A</v>
      </c>
      <c r="AP261" s="233" t="e">
        <f t="shared" ca="1" si="638"/>
        <v>#N/A</v>
      </c>
      <c r="AQ261" s="233" t="e">
        <f t="shared" ca="1" si="639"/>
        <v>#N/A</v>
      </c>
      <c r="AR261" s="919" t="e">
        <f t="shared" ca="1" si="640"/>
        <v>#N/A</v>
      </c>
      <c r="AS261" s="233" t="e">
        <f t="shared" ca="1" si="641"/>
        <v>#N/A</v>
      </c>
      <c r="AT261" s="235" t="e">
        <f t="shared" ca="1" si="642"/>
        <v>#N/A</v>
      </c>
      <c r="AU261" s="946">
        <f t="shared" si="643"/>
        <v>0.5</v>
      </c>
      <c r="AV261" s="13">
        <f t="shared" ca="1" si="644"/>
        <v>0</v>
      </c>
      <c r="AW261" s="210">
        <f t="shared" ca="1" si="645"/>
        <v>0</v>
      </c>
      <c r="AX261" s="210">
        <f t="shared" ca="1" si="646"/>
        <v>0</v>
      </c>
      <c r="AY261" s="210">
        <f t="shared" ca="1" si="647"/>
        <v>0</v>
      </c>
      <c r="AZ261" s="13">
        <f t="shared" ca="1" si="648"/>
        <v>0</v>
      </c>
      <c r="BA261" s="357">
        <f ca="1"/>
        <v>0</v>
      </c>
      <c r="BB261" s="925">
        <f ca="1"/>
        <v>0</v>
      </c>
      <c r="BC261" s="925">
        <f ca="1"/>
        <v>0</v>
      </c>
      <c r="BD261" s="928">
        <f ca="1"/>
        <v>0</v>
      </c>
      <c r="BE261" s="200">
        <f ca="1"/>
        <v>0</v>
      </c>
      <c r="BF261" s="851">
        <f ca="1"/>
        <v>0</v>
      </c>
      <c r="BG261" s="851">
        <f ca="1"/>
        <v>0</v>
      </c>
      <c r="BH261" s="933">
        <f ca="1"/>
        <v>0</v>
      </c>
      <c r="BI261" s="357">
        <f ca="1"/>
        <v>0</v>
      </c>
      <c r="BJ261" s="925">
        <f ca="1"/>
        <v>0</v>
      </c>
      <c r="BK261" s="925">
        <f ca="1"/>
        <v>0</v>
      </c>
      <c r="BL261" s="928">
        <f ca="1"/>
        <v>0</v>
      </c>
      <c r="BM261" s="200">
        <f ca="1"/>
        <v>0</v>
      </c>
      <c r="BN261" s="851">
        <f ca="1"/>
        <v>0</v>
      </c>
      <c r="BO261" s="851">
        <f ca="1"/>
        <v>0</v>
      </c>
      <c r="BP261" s="933">
        <f ca="1"/>
        <v>0</v>
      </c>
      <c r="BQ261" s="357">
        <f t="shared" ca="1" si="649"/>
        <v>0</v>
      </c>
      <c r="BR261" s="361">
        <f t="shared" ca="1" si="650"/>
        <v>0</v>
      </c>
      <c r="BS261" s="357">
        <f t="shared" ca="1" si="651"/>
        <v>0</v>
      </c>
      <c r="BT261" s="302">
        <f t="shared" ca="1" si="652"/>
        <v>0</v>
      </c>
      <c r="BU261" s="299">
        <f t="shared" ca="1" si="653"/>
        <v>0</v>
      </c>
      <c r="BV261" s="299">
        <f t="shared" ca="1" si="654"/>
        <v>0</v>
      </c>
      <c r="BW261" s="299">
        <f t="shared" ca="1" si="655"/>
        <v>0</v>
      </c>
      <c r="BX261" s="380">
        <f t="shared" ca="1" si="656"/>
        <v>20.416153319644078</v>
      </c>
      <c r="BY261" s="363">
        <f t="shared" ca="1" si="657"/>
        <v>0</v>
      </c>
      <c r="BZ261" s="353">
        <f t="shared" ca="1" si="658"/>
        <v>0</v>
      </c>
      <c r="CA261" s="353">
        <f t="shared" ca="1" si="659"/>
        <v>0</v>
      </c>
      <c r="CB261" s="353">
        <f t="shared" ca="1" si="660"/>
        <v>0</v>
      </c>
      <c r="CC261" s="353">
        <f t="shared" ca="1" si="661"/>
        <v>0</v>
      </c>
      <c r="CD261" s="353">
        <f t="shared" ca="1" si="662"/>
        <v>0</v>
      </c>
      <c r="CE261" s="302">
        <f t="shared" ca="1" si="663"/>
        <v>0</v>
      </c>
      <c r="CF261" s="299">
        <f t="shared" ca="1" si="664"/>
        <v>0</v>
      </c>
      <c r="CG261" s="299">
        <f t="shared" ca="1" si="665"/>
        <v>0</v>
      </c>
      <c r="CH261" s="299">
        <f t="shared" ca="1" si="666"/>
        <v>0</v>
      </c>
      <c r="CI261" s="299">
        <f t="shared" ca="1" si="667"/>
        <v>0</v>
      </c>
      <c r="CJ261" s="299">
        <f t="shared" ca="1" si="668"/>
        <v>0</v>
      </c>
      <c r="CK261" s="299">
        <f t="shared" ca="1" si="669"/>
        <v>0</v>
      </c>
      <c r="CL261" s="377" t="str">
        <f t="shared" ca="1" si="670"/>
        <v/>
      </c>
      <c r="CM261" s="305" t="str">
        <f t="shared" ca="1" si="671"/>
        <v/>
      </c>
      <c r="CN261" s="305" t="str">
        <f t="shared" ca="1" si="672"/>
        <v/>
      </c>
      <c r="CO261" s="305" t="str">
        <f t="shared" ca="1" si="673"/>
        <v/>
      </c>
      <c r="CP261" s="305" t="str">
        <f t="shared" ca="1" si="674"/>
        <v/>
      </c>
      <c r="CQ261" s="305" t="str">
        <f t="shared" ca="1" si="675"/>
        <v/>
      </c>
      <c r="CR261" s="775" t="str">
        <f t="shared" ca="1" si="676"/>
        <v/>
      </c>
      <c r="CS261" s="305" t="str">
        <f t="shared" ca="1" si="677"/>
        <v/>
      </c>
      <c r="CT261" s="305" t="str">
        <f t="shared" ca="1" si="678"/>
        <v/>
      </c>
      <c r="CU261" s="305" t="str">
        <f t="shared" ca="1" si="679"/>
        <v/>
      </c>
      <c r="CV261" s="770" t="str">
        <f t="shared" ca="1" si="680"/>
        <v/>
      </c>
      <c r="CW261" s="302">
        <f t="shared" ca="1" si="681"/>
        <v>0</v>
      </c>
      <c r="CX261" s="299">
        <f t="shared" ca="1" si="682"/>
        <v>0</v>
      </c>
      <c r="CY261" s="299">
        <f t="shared" ca="1" si="683"/>
        <v>0</v>
      </c>
      <c r="CZ261" s="299">
        <f t="shared" ca="1" si="684"/>
        <v>0</v>
      </c>
      <c r="DA261" s="774">
        <f t="shared" ca="1" si="685"/>
        <v>0</v>
      </c>
      <c r="DB261" s="303">
        <f t="shared" ca="1" si="686"/>
        <v>0</v>
      </c>
      <c r="DC261" s="248">
        <f t="shared" ca="1" si="687"/>
        <v>0</v>
      </c>
      <c r="DD261" s="778">
        <f t="shared" ca="1" si="688"/>
        <v>0</v>
      </c>
      <c r="DE261" s="363">
        <f t="shared" ca="1" si="689"/>
        <v>0</v>
      </c>
      <c r="DF261" s="378" t="str">
        <f t="shared" ca="1" si="690"/>
        <v/>
      </c>
      <c r="DG261" s="508" t="str">
        <f t="shared" ca="1" si="691"/>
        <v/>
      </c>
      <c r="DH261" s="508" t="str">
        <f t="shared" ca="1" si="692"/>
        <v/>
      </c>
      <c r="DI261" s="508" t="str">
        <f t="shared" ca="1" si="693"/>
        <v/>
      </c>
      <c r="DJ261" s="508" t="str">
        <f t="shared" ca="1" si="694"/>
        <v/>
      </c>
      <c r="DK261" s="353">
        <f t="shared" ca="1" si="695"/>
        <v>0</v>
      </c>
      <c r="DL261" s="781">
        <f t="shared" ca="1" si="696"/>
        <v>0</v>
      </c>
      <c r="DM261" s="303">
        <f t="shared" ca="1" si="697"/>
        <v>0</v>
      </c>
      <c r="DN261" s="508" t="str">
        <f t="shared" ca="1" si="698"/>
        <v/>
      </c>
      <c r="DO261" s="508" t="str">
        <f t="shared" ca="1" si="699"/>
        <v/>
      </c>
      <c r="DP261" s="508" t="str">
        <f t="shared" ca="1" si="700"/>
        <v/>
      </c>
      <c r="DQ261" s="508" t="str">
        <f t="shared" ca="1" si="701"/>
        <v/>
      </c>
      <c r="DR261" s="508" t="str">
        <f t="shared" ca="1" si="702"/>
        <v/>
      </c>
      <c r="DS261" s="353">
        <f t="shared" ca="1" si="703"/>
        <v>0</v>
      </c>
      <c r="DT261" s="353">
        <f t="shared" ca="1" si="704"/>
        <v>0</v>
      </c>
      <c r="DU261" s="380">
        <f t="shared" ca="1" si="804"/>
        <v>20.416153319644078</v>
      </c>
      <c r="DV261" s="303">
        <f t="shared" ca="1" si="705"/>
        <v>0</v>
      </c>
      <c r="DW261" s="303">
        <f t="shared" ca="1" si="706"/>
        <v>0</v>
      </c>
      <c r="DX261" s="303">
        <f t="shared" ca="1" si="707"/>
        <v>0</v>
      </c>
      <c r="DY261" s="303">
        <f t="shared" ca="1" si="708"/>
        <v>0</v>
      </c>
      <c r="DZ261" s="303">
        <f t="shared" ca="1" si="709"/>
        <v>0</v>
      </c>
      <c r="EA261" s="303">
        <f t="shared" ca="1" si="710"/>
        <v>0</v>
      </c>
      <c r="EB261" s="302">
        <f t="shared" ca="1" si="711"/>
        <v>0</v>
      </c>
      <c r="EC261" s="299">
        <f t="shared" ca="1" si="712"/>
        <v>0</v>
      </c>
      <c r="ED261" s="299">
        <f t="shared" ca="1" si="713"/>
        <v>0</v>
      </c>
      <c r="EE261" s="299">
        <f t="shared" ca="1" si="714"/>
        <v>0</v>
      </c>
      <c r="EF261" s="299">
        <f t="shared" ca="1" si="715"/>
        <v>0</v>
      </c>
      <c r="EG261" s="299">
        <f t="shared" ca="1" si="716"/>
        <v>0</v>
      </c>
      <c r="EH261" s="302">
        <f t="shared" ca="1" si="717"/>
        <v>0</v>
      </c>
      <c r="EI261" s="304" t="str">
        <f t="shared" ca="1" si="718"/>
        <v/>
      </c>
      <c r="EJ261" s="305" t="str">
        <f t="shared" ca="1" si="719"/>
        <v/>
      </c>
      <c r="EK261" s="305" t="str">
        <f t="shared" ca="1" si="720"/>
        <v/>
      </c>
      <c r="EL261" s="305" t="str">
        <f t="shared" ca="1" si="721"/>
        <v/>
      </c>
      <c r="EM261" s="305" t="str">
        <f t="shared" ca="1" si="722"/>
        <v/>
      </c>
      <c r="EN261" s="305" t="str">
        <f t="shared" ca="1" si="723"/>
        <v/>
      </c>
      <c r="EO261" s="305" t="str">
        <f t="shared" ca="1" si="724"/>
        <v/>
      </c>
      <c r="EP261" s="305" t="str">
        <f t="shared" ca="1" si="725"/>
        <v/>
      </c>
      <c r="EQ261" s="305" t="str">
        <f t="shared" ca="1" si="726"/>
        <v/>
      </c>
      <c r="ER261" s="305" t="str">
        <f t="shared" ca="1" si="727"/>
        <v/>
      </c>
      <c r="ES261" s="305" t="str">
        <f t="shared" ca="1" si="728"/>
        <v/>
      </c>
      <c r="ET261" s="299">
        <f t="shared" ca="1" si="729"/>
        <v>0</v>
      </c>
      <c r="EU261" s="302">
        <f t="shared" ca="1" si="730"/>
        <v>0</v>
      </c>
      <c r="EV261" s="304" t="str">
        <f t="shared" ca="1" si="731"/>
        <v/>
      </c>
      <c r="EW261" s="305" t="str">
        <f t="shared" ca="1" si="732"/>
        <v/>
      </c>
      <c r="EX261" s="305" t="str">
        <f t="shared" ca="1" si="733"/>
        <v/>
      </c>
      <c r="EY261" s="305" t="str">
        <f t="shared" ca="1" si="734"/>
        <v/>
      </c>
      <c r="EZ261" s="305" t="str">
        <f t="shared" ca="1" si="735"/>
        <v/>
      </c>
      <c r="FA261" s="305" t="str">
        <f t="shared" ca="1" si="736"/>
        <v/>
      </c>
      <c r="FB261" s="305" t="str">
        <f t="shared" ca="1" si="737"/>
        <v/>
      </c>
      <c r="FC261" s="305" t="str">
        <f t="shared" ca="1" si="738"/>
        <v/>
      </c>
      <c r="FD261" s="305" t="str">
        <f t="shared" ca="1" si="739"/>
        <v/>
      </c>
      <c r="FE261" s="305" t="str">
        <f t="shared" ca="1" si="740"/>
        <v/>
      </c>
      <c r="FF261" s="305" t="str">
        <f t="shared" ca="1" si="741"/>
        <v/>
      </c>
      <c r="FG261" s="299">
        <f t="shared" ca="1" si="742"/>
        <v>0</v>
      </c>
      <c r="FH261" s="302">
        <f t="shared" ca="1" si="743"/>
        <v>0</v>
      </c>
      <c r="FI261" s="248">
        <f t="shared" ca="1" si="744"/>
        <v>0</v>
      </c>
      <c r="FJ261" s="363">
        <f t="shared" ca="1" si="745"/>
        <v>0</v>
      </c>
      <c r="FK261" s="378" t="str">
        <f t="shared" ca="1" si="746"/>
        <v/>
      </c>
      <c r="FL261" s="508" t="str">
        <f t="shared" ca="1" si="747"/>
        <v/>
      </c>
      <c r="FM261" s="508" t="str">
        <f t="shared" ca="1" si="748"/>
        <v/>
      </c>
      <c r="FN261" s="508" t="str">
        <f t="shared" ca="1" si="749"/>
        <v/>
      </c>
      <c r="FO261" s="508" t="str">
        <f t="shared" ca="1" si="750"/>
        <v/>
      </c>
      <c r="FP261" s="353">
        <f t="shared" ca="1" si="751"/>
        <v>0</v>
      </c>
      <c r="FQ261" s="356">
        <f t="shared" ca="1" si="752"/>
        <v>0</v>
      </c>
      <c r="FR261" s="380">
        <f t="shared" ca="1" si="753"/>
        <v>0</v>
      </c>
      <c r="FS261" s="299">
        <f t="shared" ca="1" si="754"/>
        <v>0</v>
      </c>
      <c r="FT261" s="299">
        <f t="shared" ca="1" si="755"/>
        <v>0</v>
      </c>
      <c r="FU261" s="299">
        <f t="shared" ca="1" si="756"/>
        <v>0</v>
      </c>
      <c r="FV261" s="299">
        <f t="shared" ca="1" si="757"/>
        <v>0</v>
      </c>
      <c r="FW261" s="850" t="str">
        <f t="shared" ca="1" si="758"/>
        <v/>
      </c>
      <c r="FX261" s="851" t="str">
        <f t="shared" ca="1" si="759"/>
        <v/>
      </c>
      <c r="FY261" s="851" t="str">
        <f t="shared" ca="1" si="760"/>
        <v/>
      </c>
      <c r="FZ261" s="201" t="str">
        <f t="shared" ca="1" si="761"/>
        <v/>
      </c>
      <c r="GA261" s="201" t="str">
        <f t="shared" ca="1" si="762"/>
        <v/>
      </c>
      <c r="GB261" s="201" t="str">
        <f t="shared" ca="1" si="763"/>
        <v/>
      </c>
      <c r="GC261" s="201" t="str">
        <f t="shared" ca="1" si="764"/>
        <v/>
      </c>
      <c r="GD261" s="850" t="str">
        <f t="shared" ca="1" si="765"/>
        <v/>
      </c>
      <c r="GE261" s="866" t="str">
        <f t="shared" ca="1" si="766"/>
        <v/>
      </c>
      <c r="GF261" s="866" t="str">
        <f t="shared" ca="1" si="767"/>
        <v/>
      </c>
      <c r="GG261" s="866" t="str">
        <f t="shared" ca="1" si="768"/>
        <v/>
      </c>
      <c r="GH261" s="866" t="str">
        <f t="shared" ca="1" si="769"/>
        <v/>
      </c>
      <c r="GI261" s="302">
        <f t="shared" ca="1" si="770"/>
        <v>0</v>
      </c>
      <c r="GJ261" s="299">
        <f t="shared" ca="1" si="771"/>
        <v>0</v>
      </c>
      <c r="GK261" s="299">
        <f t="shared" ca="1" si="772"/>
        <v>0</v>
      </c>
      <c r="GL261" s="299">
        <f t="shared" ca="1" si="773"/>
        <v>0</v>
      </c>
      <c r="GM261" s="299">
        <f t="shared" ca="1" si="774"/>
        <v>0</v>
      </c>
      <c r="GN261" s="302">
        <f t="shared" ca="1" si="775"/>
        <v>0</v>
      </c>
      <c r="GO261" s="299">
        <f t="shared" ca="1" si="776"/>
        <v>0</v>
      </c>
      <c r="GP261" s="299">
        <f t="shared" ca="1" si="777"/>
        <v>0</v>
      </c>
      <c r="GQ261" s="299">
        <f t="shared" ca="1" si="778"/>
        <v>0</v>
      </c>
      <c r="GR261" s="299">
        <f t="shared" ca="1" si="779"/>
        <v>0</v>
      </c>
      <c r="GS261" s="302">
        <f t="shared" ca="1" si="780"/>
        <v>0</v>
      </c>
      <c r="GT261" s="299">
        <f t="shared" ca="1" si="781"/>
        <v>0</v>
      </c>
      <c r="GU261" s="299">
        <f t="shared" ca="1" si="782"/>
        <v>0</v>
      </c>
      <c r="GV261" s="299">
        <f t="shared" ca="1" si="783"/>
        <v>0</v>
      </c>
      <c r="GW261" s="299">
        <f t="shared" ca="1" si="784"/>
        <v>0</v>
      </c>
      <c r="GX261" s="303">
        <f t="shared" ca="1" si="785"/>
        <v>0</v>
      </c>
      <c r="GY261" s="303">
        <f t="shared" ca="1" si="786"/>
        <v>0</v>
      </c>
      <c r="GZ261" s="303">
        <f t="shared" ca="1" si="787"/>
        <v>0</v>
      </c>
      <c r="HA261" s="303">
        <f t="shared" ca="1" si="788"/>
        <v>0</v>
      </c>
      <c r="HB261" s="303">
        <f t="shared" ca="1" si="789"/>
        <v>0</v>
      </c>
      <c r="HC261" s="303">
        <f t="shared" ca="1" si="790"/>
        <v>0</v>
      </c>
      <c r="HD261" s="303">
        <f t="shared" ca="1" si="791"/>
        <v>0</v>
      </c>
      <c r="HE261" s="303">
        <f t="shared" ca="1" si="792"/>
        <v>0</v>
      </c>
      <c r="HF261" s="303">
        <f t="shared" ca="1" si="793"/>
        <v>0</v>
      </c>
      <c r="HG261" s="852">
        <f t="shared" ca="1" si="794"/>
        <v>0</v>
      </c>
    </row>
    <row r="262" spans="1:215" x14ac:dyDescent="0.25">
      <c r="A262" s="244">
        <f t="shared" ca="1" si="795"/>
        <v>44075</v>
      </c>
      <c r="B262" s="13">
        <f t="shared" ca="1" si="828"/>
        <v>2020</v>
      </c>
      <c r="C262" s="619">
        <f t="shared" ca="1" si="829"/>
        <v>9</v>
      </c>
      <c r="D262" s="195">
        <f t="shared" ca="1" si="625"/>
        <v>44081</v>
      </c>
      <c r="E262" s="469" t="str">
        <f t="shared" ca="1" si="626"/>
        <v/>
      </c>
      <c r="F262" s="465" t="str">
        <f t="shared" ca="1" si="627"/>
        <v/>
      </c>
      <c r="G262" s="522">
        <f t="shared" ca="1" si="796"/>
        <v>1</v>
      </c>
      <c r="H262" s="519">
        <f t="shared" ca="1" si="797"/>
        <v>1</v>
      </c>
      <c r="I262" s="724">
        <f t="shared" ca="1" si="830"/>
        <v>7.4115715115102995E-2</v>
      </c>
      <c r="J262" s="198">
        <f t="shared" ca="1" si="629"/>
        <v>0.22274348931206417</v>
      </c>
      <c r="K262" s="200" t="e">
        <f t="shared" ca="1" si="805"/>
        <v>#N/A</v>
      </c>
      <c r="L262" s="201" t="e">
        <f t="shared" ca="1" si="806"/>
        <v>#N/A</v>
      </c>
      <c r="M262" s="206" t="e">
        <f t="shared" ca="1" si="807"/>
        <v>#N/A</v>
      </c>
      <c r="N262" s="851" t="e">
        <f t="shared" ca="1" si="811"/>
        <v>#N/A</v>
      </c>
      <c r="O262" s="201" t="e">
        <f t="shared" ca="1" si="812"/>
        <v>#N/A</v>
      </c>
      <c r="P262" s="206" t="e">
        <f t="shared" ca="1" si="813"/>
        <v>#N/A</v>
      </c>
      <c r="Q262" s="201" t="e">
        <f t="shared" ca="1" si="814"/>
        <v>#N/A</v>
      </c>
      <c r="R262" s="201" t="e">
        <f t="shared" ca="1" si="815"/>
        <v>#N/A</v>
      </c>
      <c r="S262" s="201" t="e">
        <f t="shared" ca="1" si="816"/>
        <v>#N/A</v>
      </c>
      <c r="T262" s="851" t="e">
        <f t="shared" ca="1" si="808"/>
        <v>#N/A</v>
      </c>
      <c r="U262" s="201" t="e">
        <f t="shared" ca="1" si="809"/>
        <v>#N/A</v>
      </c>
      <c r="V262" s="206" t="e">
        <f t="shared" ca="1" si="810"/>
        <v>#N/A</v>
      </c>
      <c r="W262" s="230" t="e">
        <f t="shared" ca="1" si="798"/>
        <v>#N/A</v>
      </c>
      <c r="X262" s="231" t="e">
        <f t="shared" ca="1" si="799"/>
        <v>#N/A</v>
      </c>
      <c r="Y262" s="232" t="e">
        <f t="shared" ca="1" si="800"/>
        <v>#N/A</v>
      </c>
      <c r="Z262" s="231" t="e">
        <f t="shared" ca="1" si="820"/>
        <v>#N/A</v>
      </c>
      <c r="AA262" s="231" t="e">
        <f t="shared" ca="1" si="821"/>
        <v>#N/A</v>
      </c>
      <c r="AB262" s="232" t="e">
        <f t="shared" ca="1" si="822"/>
        <v>#N/A</v>
      </c>
      <c r="AC262" s="231" t="e">
        <f t="shared" ca="1" si="823"/>
        <v>#N/A</v>
      </c>
      <c r="AD262" s="231" t="e">
        <f t="shared" ca="1" si="824"/>
        <v>#N/A</v>
      </c>
      <c r="AE262" s="232" t="e">
        <f t="shared" ca="1" si="630"/>
        <v>#N/A</v>
      </c>
      <c r="AF262" s="231" t="e">
        <f t="shared" ca="1" si="801"/>
        <v>#N/A</v>
      </c>
      <c r="AG262" s="231" t="e">
        <f t="shared" ca="1" si="802"/>
        <v>#N/A</v>
      </c>
      <c r="AH262" s="232" t="e">
        <f t="shared" ca="1" si="803"/>
        <v>#N/A</v>
      </c>
      <c r="AI262" s="233" t="e">
        <f t="shared" ca="1" si="631"/>
        <v>#N/A</v>
      </c>
      <c r="AJ262" s="233" t="e">
        <f t="shared" ca="1" si="632"/>
        <v>#N/A</v>
      </c>
      <c r="AK262" s="234" t="e">
        <f t="shared" ca="1" si="633"/>
        <v>#N/A</v>
      </c>
      <c r="AL262" s="919" t="e">
        <f t="shared" ca="1" si="634"/>
        <v>#N/A</v>
      </c>
      <c r="AM262" s="233" t="e">
        <f t="shared" ca="1" si="635"/>
        <v>#N/A</v>
      </c>
      <c r="AN262" s="234" t="e">
        <f t="shared" ca="1" si="636"/>
        <v>#N/A</v>
      </c>
      <c r="AO262" s="233" t="e">
        <f t="shared" ca="1" si="637"/>
        <v>#N/A</v>
      </c>
      <c r="AP262" s="233" t="e">
        <f t="shared" ca="1" si="638"/>
        <v>#N/A</v>
      </c>
      <c r="AQ262" s="233" t="e">
        <f t="shared" ca="1" si="639"/>
        <v>#N/A</v>
      </c>
      <c r="AR262" s="919" t="e">
        <f t="shared" ca="1" si="640"/>
        <v>#N/A</v>
      </c>
      <c r="AS262" s="233" t="e">
        <f t="shared" ca="1" si="641"/>
        <v>#N/A</v>
      </c>
      <c r="AT262" s="235" t="e">
        <f t="shared" ca="1" si="642"/>
        <v>#N/A</v>
      </c>
      <c r="AU262" s="946">
        <f t="shared" si="643"/>
        <v>0.5</v>
      </c>
      <c r="AV262" s="13">
        <f t="shared" ca="1" si="644"/>
        <v>0</v>
      </c>
      <c r="AW262" s="210">
        <f t="shared" ca="1" si="645"/>
        <v>0</v>
      </c>
      <c r="AX262" s="210">
        <f t="shared" ca="1" si="646"/>
        <v>0</v>
      </c>
      <c r="AY262" s="210">
        <f t="shared" ca="1" si="647"/>
        <v>0</v>
      </c>
      <c r="AZ262" s="13">
        <f t="shared" ca="1" si="648"/>
        <v>0</v>
      </c>
      <c r="BA262" s="357">
        <f ca="1"/>
        <v>0</v>
      </c>
      <c r="BB262" s="925">
        <f ca="1"/>
        <v>0</v>
      </c>
      <c r="BC262" s="925">
        <f ca="1"/>
        <v>0</v>
      </c>
      <c r="BD262" s="928">
        <f ca="1"/>
        <v>0</v>
      </c>
      <c r="BE262" s="200">
        <f ca="1"/>
        <v>0</v>
      </c>
      <c r="BF262" s="851">
        <f ca="1"/>
        <v>0</v>
      </c>
      <c r="BG262" s="851">
        <f ca="1"/>
        <v>0</v>
      </c>
      <c r="BH262" s="933">
        <f ca="1"/>
        <v>0</v>
      </c>
      <c r="BI262" s="357">
        <f ca="1"/>
        <v>0</v>
      </c>
      <c r="BJ262" s="925">
        <f ca="1"/>
        <v>0</v>
      </c>
      <c r="BK262" s="925">
        <f ca="1"/>
        <v>0</v>
      </c>
      <c r="BL262" s="928">
        <f ca="1"/>
        <v>0</v>
      </c>
      <c r="BM262" s="200">
        <f ca="1"/>
        <v>0</v>
      </c>
      <c r="BN262" s="851">
        <f ca="1"/>
        <v>0</v>
      </c>
      <c r="BO262" s="851">
        <f ca="1"/>
        <v>0</v>
      </c>
      <c r="BP262" s="933">
        <f ca="1"/>
        <v>0</v>
      </c>
      <c r="BQ262" s="357">
        <f t="shared" ca="1" si="649"/>
        <v>0</v>
      </c>
      <c r="BR262" s="361">
        <f t="shared" ca="1" si="650"/>
        <v>0</v>
      </c>
      <c r="BS262" s="357">
        <f t="shared" ca="1" si="651"/>
        <v>0</v>
      </c>
      <c r="BT262" s="302">
        <f t="shared" ca="1" si="652"/>
        <v>0</v>
      </c>
      <c r="BU262" s="299">
        <f t="shared" ca="1" si="653"/>
        <v>0</v>
      </c>
      <c r="BV262" s="299">
        <f t="shared" ca="1" si="654"/>
        <v>0</v>
      </c>
      <c r="BW262" s="299">
        <f t="shared" ca="1" si="655"/>
        <v>0</v>
      </c>
      <c r="BX262" s="380">
        <f t="shared" ca="1" si="656"/>
        <v>20.501026694045173</v>
      </c>
      <c r="BY262" s="363">
        <f t="shared" ca="1" si="657"/>
        <v>0</v>
      </c>
      <c r="BZ262" s="353">
        <f t="shared" ca="1" si="658"/>
        <v>0</v>
      </c>
      <c r="CA262" s="353">
        <f t="shared" ca="1" si="659"/>
        <v>0</v>
      </c>
      <c r="CB262" s="353">
        <f t="shared" ca="1" si="660"/>
        <v>0</v>
      </c>
      <c r="CC262" s="353">
        <f t="shared" ca="1" si="661"/>
        <v>0</v>
      </c>
      <c r="CD262" s="353">
        <f t="shared" ca="1" si="662"/>
        <v>0</v>
      </c>
      <c r="CE262" s="302">
        <f t="shared" ca="1" si="663"/>
        <v>0</v>
      </c>
      <c r="CF262" s="299">
        <f t="shared" ca="1" si="664"/>
        <v>0</v>
      </c>
      <c r="CG262" s="299">
        <f t="shared" ca="1" si="665"/>
        <v>0</v>
      </c>
      <c r="CH262" s="299">
        <f t="shared" ca="1" si="666"/>
        <v>0</v>
      </c>
      <c r="CI262" s="299">
        <f t="shared" ca="1" si="667"/>
        <v>0</v>
      </c>
      <c r="CJ262" s="299">
        <f t="shared" ca="1" si="668"/>
        <v>0</v>
      </c>
      <c r="CK262" s="299">
        <f t="shared" ca="1" si="669"/>
        <v>0</v>
      </c>
      <c r="CL262" s="377" t="str">
        <f t="shared" ca="1" si="670"/>
        <v/>
      </c>
      <c r="CM262" s="305" t="str">
        <f t="shared" ca="1" si="671"/>
        <v/>
      </c>
      <c r="CN262" s="305" t="str">
        <f t="shared" ca="1" si="672"/>
        <v/>
      </c>
      <c r="CO262" s="305" t="str">
        <f t="shared" ca="1" si="673"/>
        <v/>
      </c>
      <c r="CP262" s="305" t="str">
        <f t="shared" ca="1" si="674"/>
        <v/>
      </c>
      <c r="CQ262" s="305" t="str">
        <f t="shared" ca="1" si="675"/>
        <v/>
      </c>
      <c r="CR262" s="775" t="str">
        <f t="shared" ca="1" si="676"/>
        <v/>
      </c>
      <c r="CS262" s="305" t="str">
        <f t="shared" ca="1" si="677"/>
        <v/>
      </c>
      <c r="CT262" s="305" t="str">
        <f t="shared" ca="1" si="678"/>
        <v/>
      </c>
      <c r="CU262" s="305" t="str">
        <f t="shared" ca="1" si="679"/>
        <v/>
      </c>
      <c r="CV262" s="770" t="str">
        <f t="shared" ca="1" si="680"/>
        <v/>
      </c>
      <c r="CW262" s="302">
        <f t="shared" ca="1" si="681"/>
        <v>0</v>
      </c>
      <c r="CX262" s="299">
        <f t="shared" ca="1" si="682"/>
        <v>0</v>
      </c>
      <c r="CY262" s="299">
        <f t="shared" ca="1" si="683"/>
        <v>0</v>
      </c>
      <c r="CZ262" s="299">
        <f t="shared" ca="1" si="684"/>
        <v>0</v>
      </c>
      <c r="DA262" s="774">
        <f t="shared" ca="1" si="685"/>
        <v>0</v>
      </c>
      <c r="DB262" s="303">
        <f t="shared" ca="1" si="686"/>
        <v>0</v>
      </c>
      <c r="DC262" s="248">
        <f t="shared" ca="1" si="687"/>
        <v>0</v>
      </c>
      <c r="DD262" s="778">
        <f t="shared" ca="1" si="688"/>
        <v>0</v>
      </c>
      <c r="DE262" s="363">
        <f t="shared" ca="1" si="689"/>
        <v>0</v>
      </c>
      <c r="DF262" s="378" t="str">
        <f t="shared" ca="1" si="690"/>
        <v/>
      </c>
      <c r="DG262" s="508" t="str">
        <f t="shared" ca="1" si="691"/>
        <v/>
      </c>
      <c r="DH262" s="508" t="str">
        <f t="shared" ca="1" si="692"/>
        <v/>
      </c>
      <c r="DI262" s="508" t="str">
        <f t="shared" ca="1" si="693"/>
        <v/>
      </c>
      <c r="DJ262" s="508" t="str">
        <f t="shared" ca="1" si="694"/>
        <v/>
      </c>
      <c r="DK262" s="353">
        <f t="shared" ca="1" si="695"/>
        <v>0</v>
      </c>
      <c r="DL262" s="781">
        <f t="shared" ca="1" si="696"/>
        <v>0</v>
      </c>
      <c r="DM262" s="303">
        <f t="shared" ca="1" si="697"/>
        <v>0</v>
      </c>
      <c r="DN262" s="508" t="str">
        <f t="shared" ca="1" si="698"/>
        <v/>
      </c>
      <c r="DO262" s="508" t="str">
        <f t="shared" ca="1" si="699"/>
        <v/>
      </c>
      <c r="DP262" s="508" t="str">
        <f t="shared" ca="1" si="700"/>
        <v/>
      </c>
      <c r="DQ262" s="508" t="str">
        <f t="shared" ca="1" si="701"/>
        <v/>
      </c>
      <c r="DR262" s="508" t="str">
        <f t="shared" ca="1" si="702"/>
        <v/>
      </c>
      <c r="DS262" s="353">
        <f t="shared" ca="1" si="703"/>
        <v>0</v>
      </c>
      <c r="DT262" s="353">
        <f t="shared" ca="1" si="704"/>
        <v>0</v>
      </c>
      <c r="DU262" s="380">
        <f t="shared" ca="1" si="804"/>
        <v>20.501026694045173</v>
      </c>
      <c r="DV262" s="303">
        <f t="shared" ca="1" si="705"/>
        <v>0</v>
      </c>
      <c r="DW262" s="303">
        <f t="shared" ca="1" si="706"/>
        <v>0</v>
      </c>
      <c r="DX262" s="303">
        <f t="shared" ca="1" si="707"/>
        <v>0</v>
      </c>
      <c r="DY262" s="303">
        <f t="shared" ca="1" si="708"/>
        <v>0</v>
      </c>
      <c r="DZ262" s="303">
        <f t="shared" ca="1" si="709"/>
        <v>0</v>
      </c>
      <c r="EA262" s="303">
        <f t="shared" ca="1" si="710"/>
        <v>0</v>
      </c>
      <c r="EB262" s="302">
        <f t="shared" ca="1" si="711"/>
        <v>0</v>
      </c>
      <c r="EC262" s="299">
        <f t="shared" ca="1" si="712"/>
        <v>0</v>
      </c>
      <c r="ED262" s="299">
        <f t="shared" ca="1" si="713"/>
        <v>0</v>
      </c>
      <c r="EE262" s="299">
        <f t="shared" ca="1" si="714"/>
        <v>0</v>
      </c>
      <c r="EF262" s="299">
        <f t="shared" ca="1" si="715"/>
        <v>0</v>
      </c>
      <c r="EG262" s="299">
        <f t="shared" ca="1" si="716"/>
        <v>0</v>
      </c>
      <c r="EH262" s="302">
        <f t="shared" ca="1" si="717"/>
        <v>0</v>
      </c>
      <c r="EI262" s="304" t="str">
        <f t="shared" ca="1" si="718"/>
        <v/>
      </c>
      <c r="EJ262" s="305" t="str">
        <f t="shared" ca="1" si="719"/>
        <v/>
      </c>
      <c r="EK262" s="305" t="str">
        <f t="shared" ca="1" si="720"/>
        <v/>
      </c>
      <c r="EL262" s="305" t="str">
        <f t="shared" ca="1" si="721"/>
        <v/>
      </c>
      <c r="EM262" s="305" t="str">
        <f t="shared" ca="1" si="722"/>
        <v/>
      </c>
      <c r="EN262" s="305" t="str">
        <f t="shared" ca="1" si="723"/>
        <v/>
      </c>
      <c r="EO262" s="305" t="str">
        <f t="shared" ca="1" si="724"/>
        <v/>
      </c>
      <c r="EP262" s="305" t="str">
        <f t="shared" ca="1" si="725"/>
        <v/>
      </c>
      <c r="EQ262" s="305" t="str">
        <f t="shared" ca="1" si="726"/>
        <v/>
      </c>
      <c r="ER262" s="305" t="str">
        <f t="shared" ca="1" si="727"/>
        <v/>
      </c>
      <c r="ES262" s="305" t="str">
        <f t="shared" ca="1" si="728"/>
        <v/>
      </c>
      <c r="ET262" s="299">
        <f t="shared" ca="1" si="729"/>
        <v>0</v>
      </c>
      <c r="EU262" s="302">
        <f t="shared" ca="1" si="730"/>
        <v>0</v>
      </c>
      <c r="EV262" s="304" t="str">
        <f t="shared" ca="1" si="731"/>
        <v/>
      </c>
      <c r="EW262" s="305" t="str">
        <f t="shared" ca="1" si="732"/>
        <v/>
      </c>
      <c r="EX262" s="305" t="str">
        <f t="shared" ca="1" si="733"/>
        <v/>
      </c>
      <c r="EY262" s="305" t="str">
        <f t="shared" ca="1" si="734"/>
        <v/>
      </c>
      <c r="EZ262" s="305" t="str">
        <f t="shared" ca="1" si="735"/>
        <v/>
      </c>
      <c r="FA262" s="305" t="str">
        <f t="shared" ca="1" si="736"/>
        <v/>
      </c>
      <c r="FB262" s="305" t="str">
        <f t="shared" ca="1" si="737"/>
        <v/>
      </c>
      <c r="FC262" s="305" t="str">
        <f t="shared" ca="1" si="738"/>
        <v/>
      </c>
      <c r="FD262" s="305" t="str">
        <f t="shared" ca="1" si="739"/>
        <v/>
      </c>
      <c r="FE262" s="305" t="str">
        <f t="shared" ca="1" si="740"/>
        <v/>
      </c>
      <c r="FF262" s="305" t="str">
        <f t="shared" ca="1" si="741"/>
        <v/>
      </c>
      <c r="FG262" s="299">
        <f t="shared" ca="1" si="742"/>
        <v>0</v>
      </c>
      <c r="FH262" s="302">
        <f t="shared" ca="1" si="743"/>
        <v>0</v>
      </c>
      <c r="FI262" s="248">
        <f t="shared" ca="1" si="744"/>
        <v>0</v>
      </c>
      <c r="FJ262" s="363">
        <f t="shared" ca="1" si="745"/>
        <v>0</v>
      </c>
      <c r="FK262" s="378" t="str">
        <f t="shared" ca="1" si="746"/>
        <v/>
      </c>
      <c r="FL262" s="508" t="str">
        <f t="shared" ca="1" si="747"/>
        <v/>
      </c>
      <c r="FM262" s="508" t="str">
        <f t="shared" ca="1" si="748"/>
        <v/>
      </c>
      <c r="FN262" s="508" t="str">
        <f t="shared" ca="1" si="749"/>
        <v/>
      </c>
      <c r="FO262" s="508" t="str">
        <f t="shared" ca="1" si="750"/>
        <v/>
      </c>
      <c r="FP262" s="353">
        <f t="shared" ca="1" si="751"/>
        <v>0</v>
      </c>
      <c r="FQ262" s="356">
        <f t="shared" ca="1" si="752"/>
        <v>0</v>
      </c>
      <c r="FR262" s="380">
        <f t="shared" ca="1" si="753"/>
        <v>0</v>
      </c>
      <c r="FS262" s="299">
        <f t="shared" ca="1" si="754"/>
        <v>0</v>
      </c>
      <c r="FT262" s="299">
        <f t="shared" ca="1" si="755"/>
        <v>0</v>
      </c>
      <c r="FU262" s="299">
        <f t="shared" ca="1" si="756"/>
        <v>0</v>
      </c>
      <c r="FV262" s="299">
        <f t="shared" ca="1" si="757"/>
        <v>0</v>
      </c>
      <c r="FW262" s="850" t="str">
        <f t="shared" ca="1" si="758"/>
        <v/>
      </c>
      <c r="FX262" s="851" t="str">
        <f t="shared" ca="1" si="759"/>
        <v/>
      </c>
      <c r="FY262" s="851" t="str">
        <f t="shared" ca="1" si="760"/>
        <v/>
      </c>
      <c r="FZ262" s="201" t="str">
        <f t="shared" ca="1" si="761"/>
        <v/>
      </c>
      <c r="GA262" s="201" t="str">
        <f t="shared" ca="1" si="762"/>
        <v/>
      </c>
      <c r="GB262" s="201" t="str">
        <f t="shared" ca="1" si="763"/>
        <v/>
      </c>
      <c r="GC262" s="201" t="str">
        <f t="shared" ca="1" si="764"/>
        <v/>
      </c>
      <c r="GD262" s="850" t="str">
        <f t="shared" ca="1" si="765"/>
        <v/>
      </c>
      <c r="GE262" s="866" t="str">
        <f t="shared" ca="1" si="766"/>
        <v/>
      </c>
      <c r="GF262" s="866" t="str">
        <f t="shared" ca="1" si="767"/>
        <v/>
      </c>
      <c r="GG262" s="866" t="str">
        <f t="shared" ca="1" si="768"/>
        <v/>
      </c>
      <c r="GH262" s="866" t="str">
        <f t="shared" ca="1" si="769"/>
        <v/>
      </c>
      <c r="GI262" s="302">
        <f t="shared" ca="1" si="770"/>
        <v>0</v>
      </c>
      <c r="GJ262" s="299">
        <f t="shared" ca="1" si="771"/>
        <v>0</v>
      </c>
      <c r="GK262" s="299">
        <f t="shared" ca="1" si="772"/>
        <v>0</v>
      </c>
      <c r="GL262" s="299">
        <f t="shared" ca="1" si="773"/>
        <v>0</v>
      </c>
      <c r="GM262" s="299">
        <f t="shared" ca="1" si="774"/>
        <v>0</v>
      </c>
      <c r="GN262" s="302">
        <f t="shared" ca="1" si="775"/>
        <v>0</v>
      </c>
      <c r="GO262" s="299">
        <f t="shared" ca="1" si="776"/>
        <v>0</v>
      </c>
      <c r="GP262" s="299">
        <f t="shared" ca="1" si="777"/>
        <v>0</v>
      </c>
      <c r="GQ262" s="299">
        <f t="shared" ca="1" si="778"/>
        <v>0</v>
      </c>
      <c r="GR262" s="299">
        <f t="shared" ca="1" si="779"/>
        <v>0</v>
      </c>
      <c r="GS262" s="302">
        <f t="shared" ca="1" si="780"/>
        <v>0</v>
      </c>
      <c r="GT262" s="299">
        <f t="shared" ca="1" si="781"/>
        <v>0</v>
      </c>
      <c r="GU262" s="299">
        <f t="shared" ca="1" si="782"/>
        <v>0</v>
      </c>
      <c r="GV262" s="299">
        <f t="shared" ca="1" si="783"/>
        <v>0</v>
      </c>
      <c r="GW262" s="299">
        <f t="shared" ca="1" si="784"/>
        <v>0</v>
      </c>
      <c r="GX262" s="303">
        <f t="shared" ca="1" si="785"/>
        <v>0</v>
      </c>
      <c r="GY262" s="303">
        <f t="shared" ca="1" si="786"/>
        <v>0</v>
      </c>
      <c r="GZ262" s="303">
        <f t="shared" ca="1" si="787"/>
        <v>0</v>
      </c>
      <c r="HA262" s="303">
        <f t="shared" ca="1" si="788"/>
        <v>0</v>
      </c>
      <c r="HB262" s="303">
        <f t="shared" ca="1" si="789"/>
        <v>0</v>
      </c>
      <c r="HC262" s="303">
        <f t="shared" ca="1" si="790"/>
        <v>0</v>
      </c>
      <c r="HD262" s="303">
        <f t="shared" ca="1" si="791"/>
        <v>0</v>
      </c>
      <c r="HE262" s="303">
        <f t="shared" ca="1" si="792"/>
        <v>0</v>
      </c>
      <c r="HF262" s="303">
        <f t="shared" ca="1" si="793"/>
        <v>0</v>
      </c>
      <c r="HG262" s="852">
        <f t="shared" ca="1" si="794"/>
        <v>0</v>
      </c>
    </row>
    <row r="263" spans="1:215" x14ac:dyDescent="0.25">
      <c r="A263" s="244">
        <f t="shared" ca="1" si="795"/>
        <v>44105</v>
      </c>
      <c r="B263" s="13">
        <f t="shared" ca="1" si="828"/>
        <v>2020</v>
      </c>
      <c r="C263" s="619">
        <f t="shared" ca="1" si="829"/>
        <v>10</v>
      </c>
      <c r="D263" s="195" t="str">
        <f t="shared" ca="1" si="625"/>
        <v/>
      </c>
      <c r="E263" s="469" t="str">
        <f t="shared" ca="1" si="626"/>
        <v/>
      </c>
      <c r="F263" s="465" t="str">
        <f t="shared" ca="1" si="627"/>
        <v/>
      </c>
      <c r="G263" s="522">
        <f t="shared" ca="1" si="796"/>
        <v>1</v>
      </c>
      <c r="H263" s="519">
        <f t="shared" ca="1" si="797"/>
        <v>1</v>
      </c>
      <c r="I263" s="724">
        <f t="shared" ca="1" si="830"/>
        <v>7.4106777731865997E-2</v>
      </c>
      <c r="J263" s="198">
        <f t="shared" ca="1" si="629"/>
        <v>0.22141144354097303</v>
      </c>
      <c r="K263" s="200" t="e">
        <f t="shared" ca="1" si="805"/>
        <v>#N/A</v>
      </c>
      <c r="L263" s="201" t="e">
        <f t="shared" ca="1" si="806"/>
        <v>#N/A</v>
      </c>
      <c r="M263" s="206" t="e">
        <f t="shared" ca="1" si="807"/>
        <v>#N/A</v>
      </c>
      <c r="N263" s="851" t="e">
        <f t="shared" ca="1" si="811"/>
        <v>#N/A</v>
      </c>
      <c r="O263" s="201" t="e">
        <f t="shared" ca="1" si="812"/>
        <v>#N/A</v>
      </c>
      <c r="P263" s="206" t="e">
        <f t="shared" ca="1" si="813"/>
        <v>#N/A</v>
      </c>
      <c r="Q263" s="201" t="e">
        <f t="shared" ca="1" si="814"/>
        <v>#N/A</v>
      </c>
      <c r="R263" s="201" t="e">
        <f t="shared" ca="1" si="815"/>
        <v>#N/A</v>
      </c>
      <c r="S263" s="201" t="e">
        <f t="shared" ca="1" si="816"/>
        <v>#N/A</v>
      </c>
      <c r="T263" s="851" t="e">
        <f t="shared" ca="1" si="808"/>
        <v>#N/A</v>
      </c>
      <c r="U263" s="201" t="e">
        <f t="shared" ca="1" si="809"/>
        <v>#N/A</v>
      </c>
      <c r="V263" s="206" t="e">
        <f t="shared" ca="1" si="810"/>
        <v>#N/A</v>
      </c>
      <c r="W263" s="230" t="e">
        <f t="shared" ca="1" si="798"/>
        <v>#N/A</v>
      </c>
      <c r="X263" s="231" t="e">
        <f t="shared" ca="1" si="799"/>
        <v>#N/A</v>
      </c>
      <c r="Y263" s="232" t="e">
        <f t="shared" ca="1" si="800"/>
        <v>#N/A</v>
      </c>
      <c r="Z263" s="231" t="e">
        <f t="shared" ca="1" si="820"/>
        <v>#N/A</v>
      </c>
      <c r="AA263" s="231" t="e">
        <f t="shared" ca="1" si="821"/>
        <v>#N/A</v>
      </c>
      <c r="AB263" s="232" t="e">
        <f t="shared" ca="1" si="822"/>
        <v>#N/A</v>
      </c>
      <c r="AC263" s="231" t="e">
        <f t="shared" ca="1" si="823"/>
        <v>#N/A</v>
      </c>
      <c r="AD263" s="231" t="e">
        <f t="shared" ca="1" si="824"/>
        <v>#N/A</v>
      </c>
      <c r="AE263" s="232" t="e">
        <f t="shared" ca="1" si="630"/>
        <v>#N/A</v>
      </c>
      <c r="AF263" s="231" t="e">
        <f t="shared" ca="1" si="801"/>
        <v>#N/A</v>
      </c>
      <c r="AG263" s="231" t="e">
        <f t="shared" ca="1" si="802"/>
        <v>#N/A</v>
      </c>
      <c r="AH263" s="232" t="e">
        <f t="shared" ca="1" si="803"/>
        <v>#N/A</v>
      </c>
      <c r="AI263" s="233" t="e">
        <f t="shared" ca="1" si="631"/>
        <v>#N/A</v>
      </c>
      <c r="AJ263" s="233" t="e">
        <f t="shared" ca="1" si="632"/>
        <v>#N/A</v>
      </c>
      <c r="AK263" s="234" t="e">
        <f t="shared" ca="1" si="633"/>
        <v>#N/A</v>
      </c>
      <c r="AL263" s="919" t="e">
        <f t="shared" ca="1" si="634"/>
        <v>#N/A</v>
      </c>
      <c r="AM263" s="233" t="e">
        <f t="shared" ca="1" si="635"/>
        <v>#N/A</v>
      </c>
      <c r="AN263" s="234" t="e">
        <f t="shared" ca="1" si="636"/>
        <v>#N/A</v>
      </c>
      <c r="AO263" s="233" t="e">
        <f t="shared" ca="1" si="637"/>
        <v>#N/A</v>
      </c>
      <c r="AP263" s="233" t="e">
        <f t="shared" ca="1" si="638"/>
        <v>#N/A</v>
      </c>
      <c r="AQ263" s="233" t="e">
        <f t="shared" ca="1" si="639"/>
        <v>#N/A</v>
      </c>
      <c r="AR263" s="919" t="e">
        <f t="shared" ca="1" si="640"/>
        <v>#N/A</v>
      </c>
      <c r="AS263" s="233" t="e">
        <f t="shared" ca="1" si="641"/>
        <v>#N/A</v>
      </c>
      <c r="AT263" s="235" t="e">
        <f t="shared" ca="1" si="642"/>
        <v>#N/A</v>
      </c>
      <c r="AU263" s="946">
        <f t="shared" si="643"/>
        <v>0.5</v>
      </c>
      <c r="AV263" s="13">
        <f t="shared" ca="1" si="644"/>
        <v>0</v>
      </c>
      <c r="AW263" s="210">
        <f t="shared" ca="1" si="645"/>
        <v>0</v>
      </c>
      <c r="AX263" s="210">
        <f t="shared" ca="1" si="646"/>
        <v>0</v>
      </c>
      <c r="AY263" s="210">
        <f t="shared" ca="1" si="647"/>
        <v>0</v>
      </c>
      <c r="AZ263" s="13">
        <f t="shared" ca="1" si="648"/>
        <v>0</v>
      </c>
      <c r="BA263" s="357">
        <f ca="1"/>
        <v>0</v>
      </c>
      <c r="BB263" s="925">
        <f ca="1"/>
        <v>0</v>
      </c>
      <c r="BC263" s="925">
        <f ca="1"/>
        <v>0</v>
      </c>
      <c r="BD263" s="928">
        <f ca="1"/>
        <v>0</v>
      </c>
      <c r="BE263" s="200">
        <f ca="1"/>
        <v>0</v>
      </c>
      <c r="BF263" s="851">
        <f ca="1"/>
        <v>0</v>
      </c>
      <c r="BG263" s="851">
        <f ca="1"/>
        <v>0</v>
      </c>
      <c r="BH263" s="933">
        <f ca="1"/>
        <v>0</v>
      </c>
      <c r="BI263" s="357">
        <f ca="1"/>
        <v>0</v>
      </c>
      <c r="BJ263" s="925">
        <f ca="1"/>
        <v>0</v>
      </c>
      <c r="BK263" s="925">
        <f ca="1"/>
        <v>0</v>
      </c>
      <c r="BL263" s="928">
        <f ca="1"/>
        <v>0</v>
      </c>
      <c r="BM263" s="200">
        <f ca="1"/>
        <v>0</v>
      </c>
      <c r="BN263" s="851">
        <f ca="1"/>
        <v>0</v>
      </c>
      <c r="BO263" s="851">
        <f ca="1"/>
        <v>0</v>
      </c>
      <c r="BP263" s="933">
        <f ca="1"/>
        <v>0</v>
      </c>
      <c r="BQ263" s="357">
        <f t="shared" ca="1" si="649"/>
        <v>0</v>
      </c>
      <c r="BR263" s="361">
        <f t="shared" ca="1" si="650"/>
        <v>0</v>
      </c>
      <c r="BS263" s="357">
        <f t="shared" ca="1" si="651"/>
        <v>0</v>
      </c>
      <c r="BT263" s="302">
        <f t="shared" ca="1" si="652"/>
        <v>0</v>
      </c>
      <c r="BU263" s="299">
        <f t="shared" ca="1" si="653"/>
        <v>0</v>
      </c>
      <c r="BV263" s="299">
        <f t="shared" ca="1" si="654"/>
        <v>0</v>
      </c>
      <c r="BW263" s="299">
        <f t="shared" ca="1" si="655"/>
        <v>0</v>
      </c>
      <c r="BX263" s="380">
        <f t="shared" ca="1" si="656"/>
        <v>20.583162217659137</v>
      </c>
      <c r="BY263" s="363">
        <f t="shared" ca="1" si="657"/>
        <v>0</v>
      </c>
      <c r="BZ263" s="353">
        <f t="shared" ca="1" si="658"/>
        <v>0</v>
      </c>
      <c r="CA263" s="353">
        <f t="shared" ca="1" si="659"/>
        <v>0</v>
      </c>
      <c r="CB263" s="353">
        <f t="shared" ca="1" si="660"/>
        <v>0</v>
      </c>
      <c r="CC263" s="353">
        <f t="shared" ca="1" si="661"/>
        <v>0</v>
      </c>
      <c r="CD263" s="353">
        <f t="shared" ca="1" si="662"/>
        <v>0</v>
      </c>
      <c r="CE263" s="302">
        <f t="shared" ca="1" si="663"/>
        <v>0</v>
      </c>
      <c r="CF263" s="299">
        <f t="shared" ca="1" si="664"/>
        <v>0</v>
      </c>
      <c r="CG263" s="299">
        <f t="shared" ca="1" si="665"/>
        <v>0</v>
      </c>
      <c r="CH263" s="299">
        <f t="shared" ca="1" si="666"/>
        <v>0</v>
      </c>
      <c r="CI263" s="299">
        <f t="shared" ca="1" si="667"/>
        <v>0</v>
      </c>
      <c r="CJ263" s="299">
        <f t="shared" ca="1" si="668"/>
        <v>0</v>
      </c>
      <c r="CK263" s="299">
        <f t="shared" ca="1" si="669"/>
        <v>0</v>
      </c>
      <c r="CL263" s="377" t="str">
        <f t="shared" ca="1" si="670"/>
        <v/>
      </c>
      <c r="CM263" s="305" t="str">
        <f t="shared" ca="1" si="671"/>
        <v/>
      </c>
      <c r="CN263" s="305" t="str">
        <f t="shared" ca="1" si="672"/>
        <v/>
      </c>
      <c r="CO263" s="305" t="str">
        <f t="shared" ca="1" si="673"/>
        <v/>
      </c>
      <c r="CP263" s="305" t="str">
        <f t="shared" ca="1" si="674"/>
        <v/>
      </c>
      <c r="CQ263" s="305" t="str">
        <f t="shared" ca="1" si="675"/>
        <v/>
      </c>
      <c r="CR263" s="775" t="str">
        <f t="shared" ca="1" si="676"/>
        <v/>
      </c>
      <c r="CS263" s="305" t="str">
        <f t="shared" ca="1" si="677"/>
        <v/>
      </c>
      <c r="CT263" s="305" t="str">
        <f t="shared" ca="1" si="678"/>
        <v/>
      </c>
      <c r="CU263" s="305" t="str">
        <f t="shared" ca="1" si="679"/>
        <v/>
      </c>
      <c r="CV263" s="770" t="str">
        <f t="shared" ca="1" si="680"/>
        <v/>
      </c>
      <c r="CW263" s="302">
        <f t="shared" ca="1" si="681"/>
        <v>0</v>
      </c>
      <c r="CX263" s="299">
        <f t="shared" ca="1" si="682"/>
        <v>0</v>
      </c>
      <c r="CY263" s="299">
        <f t="shared" ca="1" si="683"/>
        <v>0</v>
      </c>
      <c r="CZ263" s="299">
        <f t="shared" ca="1" si="684"/>
        <v>0</v>
      </c>
      <c r="DA263" s="774">
        <f t="shared" ca="1" si="685"/>
        <v>0</v>
      </c>
      <c r="DB263" s="303">
        <f t="shared" ca="1" si="686"/>
        <v>0</v>
      </c>
      <c r="DC263" s="248">
        <f t="shared" ca="1" si="687"/>
        <v>0</v>
      </c>
      <c r="DD263" s="778">
        <f t="shared" ca="1" si="688"/>
        <v>0</v>
      </c>
      <c r="DE263" s="363">
        <f t="shared" ca="1" si="689"/>
        <v>0</v>
      </c>
      <c r="DF263" s="378" t="str">
        <f t="shared" ca="1" si="690"/>
        <v/>
      </c>
      <c r="DG263" s="508" t="str">
        <f t="shared" ca="1" si="691"/>
        <v/>
      </c>
      <c r="DH263" s="508" t="str">
        <f t="shared" ca="1" si="692"/>
        <v/>
      </c>
      <c r="DI263" s="508" t="str">
        <f t="shared" ca="1" si="693"/>
        <v/>
      </c>
      <c r="DJ263" s="508" t="str">
        <f t="shared" ca="1" si="694"/>
        <v/>
      </c>
      <c r="DK263" s="353">
        <f t="shared" ca="1" si="695"/>
        <v>0</v>
      </c>
      <c r="DL263" s="781">
        <f t="shared" ca="1" si="696"/>
        <v>0</v>
      </c>
      <c r="DM263" s="303">
        <f t="shared" ca="1" si="697"/>
        <v>0</v>
      </c>
      <c r="DN263" s="508" t="str">
        <f t="shared" ca="1" si="698"/>
        <v/>
      </c>
      <c r="DO263" s="508" t="str">
        <f t="shared" ca="1" si="699"/>
        <v/>
      </c>
      <c r="DP263" s="508" t="str">
        <f t="shared" ca="1" si="700"/>
        <v/>
      </c>
      <c r="DQ263" s="508" t="str">
        <f t="shared" ca="1" si="701"/>
        <v/>
      </c>
      <c r="DR263" s="508" t="str">
        <f t="shared" ca="1" si="702"/>
        <v/>
      </c>
      <c r="DS263" s="353">
        <f t="shared" ca="1" si="703"/>
        <v>0</v>
      </c>
      <c r="DT263" s="353">
        <f t="shared" ca="1" si="704"/>
        <v>0</v>
      </c>
      <c r="DU263" s="380">
        <f t="shared" ca="1" si="804"/>
        <v>20.583162217659137</v>
      </c>
      <c r="DV263" s="303">
        <f t="shared" ca="1" si="705"/>
        <v>0</v>
      </c>
      <c r="DW263" s="303">
        <f t="shared" ca="1" si="706"/>
        <v>0</v>
      </c>
      <c r="DX263" s="303">
        <f t="shared" ca="1" si="707"/>
        <v>0</v>
      </c>
      <c r="DY263" s="303">
        <f t="shared" ca="1" si="708"/>
        <v>0</v>
      </c>
      <c r="DZ263" s="303">
        <f t="shared" ca="1" si="709"/>
        <v>0</v>
      </c>
      <c r="EA263" s="303">
        <f t="shared" ca="1" si="710"/>
        <v>0</v>
      </c>
      <c r="EB263" s="302">
        <f t="shared" ca="1" si="711"/>
        <v>0</v>
      </c>
      <c r="EC263" s="299">
        <f t="shared" ca="1" si="712"/>
        <v>0</v>
      </c>
      <c r="ED263" s="299">
        <f t="shared" ca="1" si="713"/>
        <v>0</v>
      </c>
      <c r="EE263" s="299">
        <f t="shared" ca="1" si="714"/>
        <v>0</v>
      </c>
      <c r="EF263" s="299">
        <f t="shared" ca="1" si="715"/>
        <v>0</v>
      </c>
      <c r="EG263" s="299">
        <f t="shared" ca="1" si="716"/>
        <v>0</v>
      </c>
      <c r="EH263" s="302">
        <f t="shared" ca="1" si="717"/>
        <v>0</v>
      </c>
      <c r="EI263" s="304" t="str">
        <f t="shared" ca="1" si="718"/>
        <v/>
      </c>
      <c r="EJ263" s="305" t="str">
        <f t="shared" ca="1" si="719"/>
        <v/>
      </c>
      <c r="EK263" s="305" t="str">
        <f t="shared" ca="1" si="720"/>
        <v/>
      </c>
      <c r="EL263" s="305" t="str">
        <f t="shared" ca="1" si="721"/>
        <v/>
      </c>
      <c r="EM263" s="305" t="str">
        <f t="shared" ca="1" si="722"/>
        <v/>
      </c>
      <c r="EN263" s="305" t="str">
        <f t="shared" ca="1" si="723"/>
        <v/>
      </c>
      <c r="EO263" s="305" t="str">
        <f t="shared" ca="1" si="724"/>
        <v/>
      </c>
      <c r="EP263" s="305" t="str">
        <f t="shared" ca="1" si="725"/>
        <v/>
      </c>
      <c r="EQ263" s="305" t="str">
        <f t="shared" ca="1" si="726"/>
        <v/>
      </c>
      <c r="ER263" s="305" t="str">
        <f t="shared" ca="1" si="727"/>
        <v/>
      </c>
      <c r="ES263" s="305" t="str">
        <f t="shared" ca="1" si="728"/>
        <v/>
      </c>
      <c r="ET263" s="299">
        <f t="shared" ca="1" si="729"/>
        <v>0</v>
      </c>
      <c r="EU263" s="302">
        <f t="shared" ca="1" si="730"/>
        <v>0</v>
      </c>
      <c r="EV263" s="304" t="str">
        <f t="shared" ca="1" si="731"/>
        <v/>
      </c>
      <c r="EW263" s="305" t="str">
        <f t="shared" ca="1" si="732"/>
        <v/>
      </c>
      <c r="EX263" s="305" t="str">
        <f t="shared" ca="1" si="733"/>
        <v/>
      </c>
      <c r="EY263" s="305" t="str">
        <f t="shared" ca="1" si="734"/>
        <v/>
      </c>
      <c r="EZ263" s="305" t="str">
        <f t="shared" ca="1" si="735"/>
        <v/>
      </c>
      <c r="FA263" s="305" t="str">
        <f t="shared" ca="1" si="736"/>
        <v/>
      </c>
      <c r="FB263" s="305" t="str">
        <f t="shared" ca="1" si="737"/>
        <v/>
      </c>
      <c r="FC263" s="305" t="str">
        <f t="shared" ca="1" si="738"/>
        <v/>
      </c>
      <c r="FD263" s="305" t="str">
        <f t="shared" ca="1" si="739"/>
        <v/>
      </c>
      <c r="FE263" s="305" t="str">
        <f t="shared" ca="1" si="740"/>
        <v/>
      </c>
      <c r="FF263" s="305" t="str">
        <f t="shared" ca="1" si="741"/>
        <v/>
      </c>
      <c r="FG263" s="299">
        <f t="shared" ca="1" si="742"/>
        <v>0</v>
      </c>
      <c r="FH263" s="302">
        <f t="shared" ca="1" si="743"/>
        <v>0</v>
      </c>
      <c r="FI263" s="248">
        <f t="shared" ca="1" si="744"/>
        <v>0</v>
      </c>
      <c r="FJ263" s="363">
        <f t="shared" ca="1" si="745"/>
        <v>0</v>
      </c>
      <c r="FK263" s="378" t="str">
        <f t="shared" ca="1" si="746"/>
        <v/>
      </c>
      <c r="FL263" s="508" t="str">
        <f t="shared" ca="1" si="747"/>
        <v/>
      </c>
      <c r="FM263" s="508" t="str">
        <f t="shared" ca="1" si="748"/>
        <v/>
      </c>
      <c r="FN263" s="508" t="str">
        <f t="shared" ca="1" si="749"/>
        <v/>
      </c>
      <c r="FO263" s="508" t="str">
        <f t="shared" ca="1" si="750"/>
        <v/>
      </c>
      <c r="FP263" s="353">
        <f t="shared" ca="1" si="751"/>
        <v>0</v>
      </c>
      <c r="FQ263" s="356">
        <f t="shared" ca="1" si="752"/>
        <v>0</v>
      </c>
      <c r="FR263" s="380">
        <f t="shared" ca="1" si="753"/>
        <v>0</v>
      </c>
      <c r="FS263" s="299">
        <f t="shared" ca="1" si="754"/>
        <v>0</v>
      </c>
      <c r="FT263" s="299">
        <f t="shared" ca="1" si="755"/>
        <v>0</v>
      </c>
      <c r="FU263" s="299">
        <f t="shared" ca="1" si="756"/>
        <v>0</v>
      </c>
      <c r="FV263" s="299">
        <f t="shared" ca="1" si="757"/>
        <v>0</v>
      </c>
      <c r="FW263" s="850" t="str">
        <f t="shared" ca="1" si="758"/>
        <v/>
      </c>
      <c r="FX263" s="851" t="str">
        <f t="shared" ca="1" si="759"/>
        <v/>
      </c>
      <c r="FY263" s="851" t="str">
        <f t="shared" ca="1" si="760"/>
        <v/>
      </c>
      <c r="FZ263" s="201" t="str">
        <f t="shared" ca="1" si="761"/>
        <v/>
      </c>
      <c r="GA263" s="201" t="str">
        <f t="shared" ca="1" si="762"/>
        <v/>
      </c>
      <c r="GB263" s="201" t="str">
        <f t="shared" ca="1" si="763"/>
        <v/>
      </c>
      <c r="GC263" s="201" t="str">
        <f t="shared" ca="1" si="764"/>
        <v/>
      </c>
      <c r="GD263" s="850" t="str">
        <f t="shared" ca="1" si="765"/>
        <v/>
      </c>
      <c r="GE263" s="866" t="str">
        <f t="shared" ca="1" si="766"/>
        <v/>
      </c>
      <c r="GF263" s="866" t="str">
        <f t="shared" ca="1" si="767"/>
        <v/>
      </c>
      <c r="GG263" s="866" t="str">
        <f t="shared" ca="1" si="768"/>
        <v/>
      </c>
      <c r="GH263" s="866" t="str">
        <f t="shared" ca="1" si="769"/>
        <v/>
      </c>
      <c r="GI263" s="302">
        <f t="shared" ca="1" si="770"/>
        <v>0</v>
      </c>
      <c r="GJ263" s="299">
        <f t="shared" ca="1" si="771"/>
        <v>0</v>
      </c>
      <c r="GK263" s="299">
        <f t="shared" ca="1" si="772"/>
        <v>0</v>
      </c>
      <c r="GL263" s="299">
        <f t="shared" ca="1" si="773"/>
        <v>0</v>
      </c>
      <c r="GM263" s="299">
        <f t="shared" ca="1" si="774"/>
        <v>0</v>
      </c>
      <c r="GN263" s="302">
        <f t="shared" ca="1" si="775"/>
        <v>0</v>
      </c>
      <c r="GO263" s="299">
        <f t="shared" ca="1" si="776"/>
        <v>0</v>
      </c>
      <c r="GP263" s="299">
        <f t="shared" ca="1" si="777"/>
        <v>0</v>
      </c>
      <c r="GQ263" s="299">
        <f t="shared" ca="1" si="778"/>
        <v>0</v>
      </c>
      <c r="GR263" s="299">
        <f t="shared" ca="1" si="779"/>
        <v>0</v>
      </c>
      <c r="GS263" s="302">
        <f t="shared" ca="1" si="780"/>
        <v>0</v>
      </c>
      <c r="GT263" s="299">
        <f t="shared" ca="1" si="781"/>
        <v>0</v>
      </c>
      <c r="GU263" s="299">
        <f t="shared" ca="1" si="782"/>
        <v>0</v>
      </c>
      <c r="GV263" s="299">
        <f t="shared" ca="1" si="783"/>
        <v>0</v>
      </c>
      <c r="GW263" s="299">
        <f t="shared" ca="1" si="784"/>
        <v>0</v>
      </c>
      <c r="GX263" s="303">
        <f t="shared" ca="1" si="785"/>
        <v>0</v>
      </c>
      <c r="GY263" s="303">
        <f t="shared" ca="1" si="786"/>
        <v>0</v>
      </c>
      <c r="GZ263" s="303">
        <f t="shared" ca="1" si="787"/>
        <v>0</v>
      </c>
      <c r="HA263" s="303">
        <f t="shared" ca="1" si="788"/>
        <v>0</v>
      </c>
      <c r="HB263" s="303">
        <f t="shared" ca="1" si="789"/>
        <v>0</v>
      </c>
      <c r="HC263" s="303">
        <f t="shared" ca="1" si="790"/>
        <v>0</v>
      </c>
      <c r="HD263" s="303">
        <f t="shared" ca="1" si="791"/>
        <v>0</v>
      </c>
      <c r="HE263" s="303">
        <f t="shared" ca="1" si="792"/>
        <v>0</v>
      </c>
      <c r="HF263" s="303">
        <f t="shared" ca="1" si="793"/>
        <v>0</v>
      </c>
      <c r="HG263" s="852">
        <f t="shared" ca="1" si="794"/>
        <v>0</v>
      </c>
    </row>
    <row r="264" spans="1:215" x14ac:dyDescent="0.25">
      <c r="A264" s="244">
        <f t="shared" ca="1" si="795"/>
        <v>44136</v>
      </c>
      <c r="B264" s="13">
        <f t="shared" ca="1" si="828"/>
        <v>2020</v>
      </c>
      <c r="C264" s="619">
        <f t="shared" ca="1" si="829"/>
        <v>11</v>
      </c>
      <c r="D264" s="195">
        <f t="shared" ca="1" si="625"/>
        <v>44161</v>
      </c>
      <c r="E264" s="469" t="str">
        <f t="shared" ca="1" si="626"/>
        <v/>
      </c>
      <c r="F264" s="465" t="str">
        <f t="shared" ca="1" si="627"/>
        <v/>
      </c>
      <c r="G264" s="522">
        <f t="shared" ca="1" si="796"/>
        <v>1</v>
      </c>
      <c r="H264" s="519">
        <f t="shared" ca="1" si="797"/>
        <v>1</v>
      </c>
      <c r="I264" s="724">
        <f t="shared" ca="1" si="830"/>
        <v>7.4097542435882E-2</v>
      </c>
      <c r="J264" s="198">
        <f t="shared" ca="1" si="629"/>
        <v>0.22013284732660873</v>
      </c>
      <c r="K264" s="200" t="e">
        <f t="shared" ca="1" si="805"/>
        <v>#N/A</v>
      </c>
      <c r="L264" s="201" t="e">
        <f t="shared" ca="1" si="806"/>
        <v>#N/A</v>
      </c>
      <c r="M264" s="206" t="e">
        <f t="shared" ca="1" si="807"/>
        <v>#N/A</v>
      </c>
      <c r="N264" s="851" t="e">
        <f t="shared" ca="1" si="811"/>
        <v>#N/A</v>
      </c>
      <c r="O264" s="201" t="e">
        <f t="shared" ca="1" si="812"/>
        <v>#N/A</v>
      </c>
      <c r="P264" s="206" t="e">
        <f t="shared" ca="1" si="813"/>
        <v>#N/A</v>
      </c>
      <c r="Q264" s="201" t="e">
        <f t="shared" ca="1" si="814"/>
        <v>#N/A</v>
      </c>
      <c r="R264" s="201" t="e">
        <f t="shared" ca="1" si="815"/>
        <v>#N/A</v>
      </c>
      <c r="S264" s="201" t="e">
        <f t="shared" ca="1" si="816"/>
        <v>#N/A</v>
      </c>
      <c r="T264" s="851" t="e">
        <f t="shared" ca="1" si="808"/>
        <v>#N/A</v>
      </c>
      <c r="U264" s="201" t="e">
        <f t="shared" ca="1" si="809"/>
        <v>#N/A</v>
      </c>
      <c r="V264" s="206" t="e">
        <f t="shared" ca="1" si="810"/>
        <v>#N/A</v>
      </c>
      <c r="W264" s="230" t="e">
        <f t="shared" ca="1" si="798"/>
        <v>#N/A</v>
      </c>
      <c r="X264" s="231" t="e">
        <f t="shared" ca="1" si="799"/>
        <v>#N/A</v>
      </c>
      <c r="Y264" s="232" t="e">
        <f t="shared" ca="1" si="800"/>
        <v>#N/A</v>
      </c>
      <c r="Z264" s="231" t="e">
        <f t="shared" ca="1" si="820"/>
        <v>#N/A</v>
      </c>
      <c r="AA264" s="231" t="e">
        <f t="shared" ca="1" si="821"/>
        <v>#N/A</v>
      </c>
      <c r="AB264" s="232" t="e">
        <f t="shared" ca="1" si="822"/>
        <v>#N/A</v>
      </c>
      <c r="AC264" s="231" t="e">
        <f t="shared" ca="1" si="823"/>
        <v>#N/A</v>
      </c>
      <c r="AD264" s="231" t="e">
        <f t="shared" ca="1" si="824"/>
        <v>#N/A</v>
      </c>
      <c r="AE264" s="232" t="e">
        <f t="shared" ca="1" si="630"/>
        <v>#N/A</v>
      </c>
      <c r="AF264" s="231" t="e">
        <f t="shared" ca="1" si="801"/>
        <v>#N/A</v>
      </c>
      <c r="AG264" s="231" t="e">
        <f t="shared" ca="1" si="802"/>
        <v>#N/A</v>
      </c>
      <c r="AH264" s="232" t="e">
        <f t="shared" ca="1" si="803"/>
        <v>#N/A</v>
      </c>
      <c r="AI264" s="233" t="e">
        <f t="shared" ca="1" si="631"/>
        <v>#N/A</v>
      </c>
      <c r="AJ264" s="233" t="e">
        <f t="shared" ca="1" si="632"/>
        <v>#N/A</v>
      </c>
      <c r="AK264" s="234" t="e">
        <f t="shared" ca="1" si="633"/>
        <v>#N/A</v>
      </c>
      <c r="AL264" s="919" t="e">
        <f t="shared" ca="1" si="634"/>
        <v>#N/A</v>
      </c>
      <c r="AM264" s="233" t="e">
        <f t="shared" ca="1" si="635"/>
        <v>#N/A</v>
      </c>
      <c r="AN264" s="234" t="e">
        <f t="shared" ca="1" si="636"/>
        <v>#N/A</v>
      </c>
      <c r="AO264" s="233" t="e">
        <f t="shared" ca="1" si="637"/>
        <v>#N/A</v>
      </c>
      <c r="AP264" s="233" t="e">
        <f t="shared" ca="1" si="638"/>
        <v>#N/A</v>
      </c>
      <c r="AQ264" s="233" t="e">
        <f t="shared" ca="1" si="639"/>
        <v>#N/A</v>
      </c>
      <c r="AR264" s="919" t="e">
        <f t="shared" ca="1" si="640"/>
        <v>#N/A</v>
      </c>
      <c r="AS264" s="233" t="e">
        <f t="shared" ca="1" si="641"/>
        <v>#N/A</v>
      </c>
      <c r="AT264" s="235" t="e">
        <f t="shared" ca="1" si="642"/>
        <v>#N/A</v>
      </c>
      <c r="AU264" s="946">
        <f t="shared" si="643"/>
        <v>0.5</v>
      </c>
      <c r="AV264" s="13">
        <f t="shared" ca="1" si="644"/>
        <v>0</v>
      </c>
      <c r="AW264" s="210">
        <f t="shared" ca="1" si="645"/>
        <v>0</v>
      </c>
      <c r="AX264" s="210">
        <f t="shared" ca="1" si="646"/>
        <v>0</v>
      </c>
      <c r="AY264" s="210">
        <f t="shared" ca="1" si="647"/>
        <v>0</v>
      </c>
      <c r="AZ264" s="13">
        <f t="shared" ca="1" si="648"/>
        <v>0</v>
      </c>
      <c r="BA264" s="357">
        <f ca="1"/>
        <v>0</v>
      </c>
      <c r="BB264" s="925">
        <f ca="1"/>
        <v>0</v>
      </c>
      <c r="BC264" s="925">
        <f ca="1"/>
        <v>0</v>
      </c>
      <c r="BD264" s="928">
        <f ca="1"/>
        <v>0</v>
      </c>
      <c r="BE264" s="200">
        <f ca="1"/>
        <v>0</v>
      </c>
      <c r="BF264" s="851">
        <f ca="1"/>
        <v>0</v>
      </c>
      <c r="BG264" s="851">
        <f ca="1"/>
        <v>0</v>
      </c>
      <c r="BH264" s="933">
        <f ca="1"/>
        <v>0</v>
      </c>
      <c r="BI264" s="357">
        <f ca="1"/>
        <v>0</v>
      </c>
      <c r="BJ264" s="925">
        <f ca="1"/>
        <v>0</v>
      </c>
      <c r="BK264" s="925">
        <f ca="1"/>
        <v>0</v>
      </c>
      <c r="BL264" s="928">
        <f ca="1"/>
        <v>0</v>
      </c>
      <c r="BM264" s="200">
        <f ca="1"/>
        <v>0</v>
      </c>
      <c r="BN264" s="851">
        <f ca="1"/>
        <v>0</v>
      </c>
      <c r="BO264" s="851">
        <f ca="1"/>
        <v>0</v>
      </c>
      <c r="BP264" s="933">
        <f ca="1"/>
        <v>0</v>
      </c>
      <c r="BQ264" s="357">
        <f t="shared" ca="1" si="649"/>
        <v>0</v>
      </c>
      <c r="BR264" s="361">
        <f t="shared" ca="1" si="650"/>
        <v>0</v>
      </c>
      <c r="BS264" s="357">
        <f t="shared" ca="1" si="651"/>
        <v>0</v>
      </c>
      <c r="BT264" s="302">
        <f t="shared" ca="1" si="652"/>
        <v>0</v>
      </c>
      <c r="BU264" s="299">
        <f t="shared" ca="1" si="653"/>
        <v>0</v>
      </c>
      <c r="BV264" s="299">
        <f t="shared" ca="1" si="654"/>
        <v>0</v>
      </c>
      <c r="BW264" s="299">
        <f t="shared" ca="1" si="655"/>
        <v>0</v>
      </c>
      <c r="BX264" s="380">
        <f t="shared" ca="1" si="656"/>
        <v>20.668035592060232</v>
      </c>
      <c r="BY264" s="363">
        <f t="shared" ca="1" si="657"/>
        <v>0</v>
      </c>
      <c r="BZ264" s="353">
        <f t="shared" ca="1" si="658"/>
        <v>0</v>
      </c>
      <c r="CA264" s="353">
        <f t="shared" ca="1" si="659"/>
        <v>0</v>
      </c>
      <c r="CB264" s="353">
        <f t="shared" ca="1" si="660"/>
        <v>0</v>
      </c>
      <c r="CC264" s="353">
        <f t="shared" ca="1" si="661"/>
        <v>0</v>
      </c>
      <c r="CD264" s="353">
        <f t="shared" ca="1" si="662"/>
        <v>0</v>
      </c>
      <c r="CE264" s="302">
        <f t="shared" ca="1" si="663"/>
        <v>0</v>
      </c>
      <c r="CF264" s="299">
        <f t="shared" ca="1" si="664"/>
        <v>0</v>
      </c>
      <c r="CG264" s="299">
        <f t="shared" ca="1" si="665"/>
        <v>0</v>
      </c>
      <c r="CH264" s="299">
        <f t="shared" ca="1" si="666"/>
        <v>0</v>
      </c>
      <c r="CI264" s="299">
        <f t="shared" ca="1" si="667"/>
        <v>0</v>
      </c>
      <c r="CJ264" s="299">
        <f t="shared" ca="1" si="668"/>
        <v>0</v>
      </c>
      <c r="CK264" s="299">
        <f t="shared" ca="1" si="669"/>
        <v>0</v>
      </c>
      <c r="CL264" s="377" t="str">
        <f t="shared" ca="1" si="670"/>
        <v/>
      </c>
      <c r="CM264" s="305" t="str">
        <f t="shared" ca="1" si="671"/>
        <v/>
      </c>
      <c r="CN264" s="305" t="str">
        <f t="shared" ca="1" si="672"/>
        <v/>
      </c>
      <c r="CO264" s="305" t="str">
        <f t="shared" ca="1" si="673"/>
        <v/>
      </c>
      <c r="CP264" s="305" t="str">
        <f t="shared" ca="1" si="674"/>
        <v/>
      </c>
      <c r="CQ264" s="305" t="str">
        <f t="shared" ca="1" si="675"/>
        <v/>
      </c>
      <c r="CR264" s="775" t="str">
        <f t="shared" ca="1" si="676"/>
        <v/>
      </c>
      <c r="CS264" s="305" t="str">
        <f t="shared" ca="1" si="677"/>
        <v/>
      </c>
      <c r="CT264" s="305" t="str">
        <f t="shared" ca="1" si="678"/>
        <v/>
      </c>
      <c r="CU264" s="305" t="str">
        <f t="shared" ca="1" si="679"/>
        <v/>
      </c>
      <c r="CV264" s="770" t="str">
        <f t="shared" ca="1" si="680"/>
        <v/>
      </c>
      <c r="CW264" s="302">
        <f t="shared" ca="1" si="681"/>
        <v>0</v>
      </c>
      <c r="CX264" s="299">
        <f t="shared" ca="1" si="682"/>
        <v>0</v>
      </c>
      <c r="CY264" s="299">
        <f t="shared" ca="1" si="683"/>
        <v>0</v>
      </c>
      <c r="CZ264" s="299">
        <f t="shared" ca="1" si="684"/>
        <v>0</v>
      </c>
      <c r="DA264" s="774">
        <f t="shared" ca="1" si="685"/>
        <v>0</v>
      </c>
      <c r="DB264" s="303">
        <f t="shared" ca="1" si="686"/>
        <v>0</v>
      </c>
      <c r="DC264" s="248">
        <f t="shared" ca="1" si="687"/>
        <v>0</v>
      </c>
      <c r="DD264" s="778">
        <f t="shared" ca="1" si="688"/>
        <v>0</v>
      </c>
      <c r="DE264" s="363">
        <f t="shared" ca="1" si="689"/>
        <v>0</v>
      </c>
      <c r="DF264" s="378" t="str">
        <f t="shared" ca="1" si="690"/>
        <v/>
      </c>
      <c r="DG264" s="508" t="str">
        <f t="shared" ca="1" si="691"/>
        <v/>
      </c>
      <c r="DH264" s="508" t="str">
        <f t="shared" ca="1" si="692"/>
        <v/>
      </c>
      <c r="DI264" s="508" t="str">
        <f t="shared" ca="1" si="693"/>
        <v/>
      </c>
      <c r="DJ264" s="508" t="str">
        <f t="shared" ca="1" si="694"/>
        <v/>
      </c>
      <c r="DK264" s="353">
        <f t="shared" ca="1" si="695"/>
        <v>0</v>
      </c>
      <c r="DL264" s="781">
        <f t="shared" ca="1" si="696"/>
        <v>0</v>
      </c>
      <c r="DM264" s="303">
        <f t="shared" ca="1" si="697"/>
        <v>0</v>
      </c>
      <c r="DN264" s="508" t="str">
        <f t="shared" ca="1" si="698"/>
        <v/>
      </c>
      <c r="DO264" s="508" t="str">
        <f t="shared" ca="1" si="699"/>
        <v/>
      </c>
      <c r="DP264" s="508" t="str">
        <f t="shared" ca="1" si="700"/>
        <v/>
      </c>
      <c r="DQ264" s="508" t="str">
        <f t="shared" ca="1" si="701"/>
        <v/>
      </c>
      <c r="DR264" s="508" t="str">
        <f t="shared" ca="1" si="702"/>
        <v/>
      </c>
      <c r="DS264" s="353">
        <f t="shared" ca="1" si="703"/>
        <v>0</v>
      </c>
      <c r="DT264" s="353">
        <f t="shared" ca="1" si="704"/>
        <v>0</v>
      </c>
      <c r="DU264" s="380">
        <f t="shared" ca="1" si="804"/>
        <v>20.668035592060232</v>
      </c>
      <c r="DV264" s="303">
        <f t="shared" ca="1" si="705"/>
        <v>0</v>
      </c>
      <c r="DW264" s="303">
        <f t="shared" ca="1" si="706"/>
        <v>0</v>
      </c>
      <c r="DX264" s="303">
        <f t="shared" ca="1" si="707"/>
        <v>0</v>
      </c>
      <c r="DY264" s="303">
        <f t="shared" ca="1" si="708"/>
        <v>0</v>
      </c>
      <c r="DZ264" s="303">
        <f t="shared" ca="1" si="709"/>
        <v>0</v>
      </c>
      <c r="EA264" s="303">
        <f t="shared" ca="1" si="710"/>
        <v>0</v>
      </c>
      <c r="EB264" s="302">
        <f t="shared" ca="1" si="711"/>
        <v>0</v>
      </c>
      <c r="EC264" s="299">
        <f t="shared" ca="1" si="712"/>
        <v>0</v>
      </c>
      <c r="ED264" s="299">
        <f t="shared" ca="1" si="713"/>
        <v>0</v>
      </c>
      <c r="EE264" s="299">
        <f t="shared" ca="1" si="714"/>
        <v>0</v>
      </c>
      <c r="EF264" s="299">
        <f t="shared" ca="1" si="715"/>
        <v>0</v>
      </c>
      <c r="EG264" s="299">
        <f t="shared" ca="1" si="716"/>
        <v>0</v>
      </c>
      <c r="EH264" s="302">
        <f t="shared" ca="1" si="717"/>
        <v>0</v>
      </c>
      <c r="EI264" s="304" t="str">
        <f t="shared" ca="1" si="718"/>
        <v/>
      </c>
      <c r="EJ264" s="305" t="str">
        <f t="shared" ca="1" si="719"/>
        <v/>
      </c>
      <c r="EK264" s="305" t="str">
        <f t="shared" ca="1" si="720"/>
        <v/>
      </c>
      <c r="EL264" s="305" t="str">
        <f t="shared" ca="1" si="721"/>
        <v/>
      </c>
      <c r="EM264" s="305" t="str">
        <f t="shared" ca="1" si="722"/>
        <v/>
      </c>
      <c r="EN264" s="305" t="str">
        <f t="shared" ca="1" si="723"/>
        <v/>
      </c>
      <c r="EO264" s="305" t="str">
        <f t="shared" ca="1" si="724"/>
        <v/>
      </c>
      <c r="EP264" s="305" t="str">
        <f t="shared" ca="1" si="725"/>
        <v/>
      </c>
      <c r="EQ264" s="305" t="str">
        <f t="shared" ca="1" si="726"/>
        <v/>
      </c>
      <c r="ER264" s="305" t="str">
        <f t="shared" ca="1" si="727"/>
        <v/>
      </c>
      <c r="ES264" s="305" t="str">
        <f t="shared" ca="1" si="728"/>
        <v/>
      </c>
      <c r="ET264" s="299">
        <f t="shared" ca="1" si="729"/>
        <v>0</v>
      </c>
      <c r="EU264" s="302">
        <f t="shared" ca="1" si="730"/>
        <v>0</v>
      </c>
      <c r="EV264" s="304" t="str">
        <f t="shared" ca="1" si="731"/>
        <v/>
      </c>
      <c r="EW264" s="305" t="str">
        <f t="shared" ca="1" si="732"/>
        <v/>
      </c>
      <c r="EX264" s="305" t="str">
        <f t="shared" ca="1" si="733"/>
        <v/>
      </c>
      <c r="EY264" s="305" t="str">
        <f t="shared" ca="1" si="734"/>
        <v/>
      </c>
      <c r="EZ264" s="305" t="str">
        <f t="shared" ca="1" si="735"/>
        <v/>
      </c>
      <c r="FA264" s="305" t="str">
        <f t="shared" ca="1" si="736"/>
        <v/>
      </c>
      <c r="FB264" s="305" t="str">
        <f t="shared" ca="1" si="737"/>
        <v/>
      </c>
      <c r="FC264" s="305" t="str">
        <f t="shared" ca="1" si="738"/>
        <v/>
      </c>
      <c r="FD264" s="305" t="str">
        <f t="shared" ca="1" si="739"/>
        <v/>
      </c>
      <c r="FE264" s="305" t="str">
        <f t="shared" ca="1" si="740"/>
        <v/>
      </c>
      <c r="FF264" s="305" t="str">
        <f t="shared" ca="1" si="741"/>
        <v/>
      </c>
      <c r="FG264" s="299">
        <f t="shared" ca="1" si="742"/>
        <v>0</v>
      </c>
      <c r="FH264" s="302">
        <f t="shared" ca="1" si="743"/>
        <v>0</v>
      </c>
      <c r="FI264" s="248">
        <f t="shared" ca="1" si="744"/>
        <v>0</v>
      </c>
      <c r="FJ264" s="363">
        <f t="shared" ca="1" si="745"/>
        <v>0</v>
      </c>
      <c r="FK264" s="378" t="str">
        <f t="shared" ca="1" si="746"/>
        <v/>
      </c>
      <c r="FL264" s="508" t="str">
        <f t="shared" ca="1" si="747"/>
        <v/>
      </c>
      <c r="FM264" s="508" t="str">
        <f t="shared" ca="1" si="748"/>
        <v/>
      </c>
      <c r="FN264" s="508" t="str">
        <f t="shared" ca="1" si="749"/>
        <v/>
      </c>
      <c r="FO264" s="508" t="str">
        <f t="shared" ca="1" si="750"/>
        <v/>
      </c>
      <c r="FP264" s="353">
        <f t="shared" ca="1" si="751"/>
        <v>0</v>
      </c>
      <c r="FQ264" s="356">
        <f t="shared" ca="1" si="752"/>
        <v>0</v>
      </c>
      <c r="FR264" s="380">
        <f t="shared" ca="1" si="753"/>
        <v>0</v>
      </c>
      <c r="FS264" s="299">
        <f t="shared" ca="1" si="754"/>
        <v>0</v>
      </c>
      <c r="FT264" s="299">
        <f t="shared" ca="1" si="755"/>
        <v>0</v>
      </c>
      <c r="FU264" s="299">
        <f t="shared" ca="1" si="756"/>
        <v>0</v>
      </c>
      <c r="FV264" s="299">
        <f t="shared" ca="1" si="757"/>
        <v>0</v>
      </c>
      <c r="FW264" s="850" t="str">
        <f t="shared" ca="1" si="758"/>
        <v/>
      </c>
      <c r="FX264" s="851" t="str">
        <f t="shared" ca="1" si="759"/>
        <v/>
      </c>
      <c r="FY264" s="851" t="str">
        <f t="shared" ca="1" si="760"/>
        <v/>
      </c>
      <c r="FZ264" s="201" t="str">
        <f t="shared" ca="1" si="761"/>
        <v/>
      </c>
      <c r="GA264" s="201" t="str">
        <f t="shared" ca="1" si="762"/>
        <v/>
      </c>
      <c r="GB264" s="201" t="str">
        <f t="shared" ca="1" si="763"/>
        <v/>
      </c>
      <c r="GC264" s="201" t="str">
        <f t="shared" ca="1" si="764"/>
        <v/>
      </c>
      <c r="GD264" s="850" t="str">
        <f t="shared" ca="1" si="765"/>
        <v/>
      </c>
      <c r="GE264" s="866" t="str">
        <f t="shared" ca="1" si="766"/>
        <v/>
      </c>
      <c r="GF264" s="866" t="str">
        <f t="shared" ca="1" si="767"/>
        <v/>
      </c>
      <c r="GG264" s="866" t="str">
        <f t="shared" ca="1" si="768"/>
        <v/>
      </c>
      <c r="GH264" s="866" t="str">
        <f t="shared" ca="1" si="769"/>
        <v/>
      </c>
      <c r="GI264" s="302">
        <f t="shared" ca="1" si="770"/>
        <v>0</v>
      </c>
      <c r="GJ264" s="299">
        <f t="shared" ca="1" si="771"/>
        <v>0</v>
      </c>
      <c r="GK264" s="299">
        <f t="shared" ca="1" si="772"/>
        <v>0</v>
      </c>
      <c r="GL264" s="299">
        <f t="shared" ca="1" si="773"/>
        <v>0</v>
      </c>
      <c r="GM264" s="299">
        <f t="shared" ca="1" si="774"/>
        <v>0</v>
      </c>
      <c r="GN264" s="302">
        <f t="shared" ca="1" si="775"/>
        <v>0</v>
      </c>
      <c r="GO264" s="299">
        <f t="shared" ca="1" si="776"/>
        <v>0</v>
      </c>
      <c r="GP264" s="299">
        <f t="shared" ca="1" si="777"/>
        <v>0</v>
      </c>
      <c r="GQ264" s="299">
        <f t="shared" ca="1" si="778"/>
        <v>0</v>
      </c>
      <c r="GR264" s="299">
        <f t="shared" ca="1" si="779"/>
        <v>0</v>
      </c>
      <c r="GS264" s="302">
        <f t="shared" ca="1" si="780"/>
        <v>0</v>
      </c>
      <c r="GT264" s="299">
        <f t="shared" ca="1" si="781"/>
        <v>0</v>
      </c>
      <c r="GU264" s="299">
        <f t="shared" ca="1" si="782"/>
        <v>0</v>
      </c>
      <c r="GV264" s="299">
        <f t="shared" ca="1" si="783"/>
        <v>0</v>
      </c>
      <c r="GW264" s="299">
        <f t="shared" ca="1" si="784"/>
        <v>0</v>
      </c>
      <c r="GX264" s="303">
        <f t="shared" ca="1" si="785"/>
        <v>0</v>
      </c>
      <c r="GY264" s="303">
        <f t="shared" ca="1" si="786"/>
        <v>0</v>
      </c>
      <c r="GZ264" s="303">
        <f t="shared" ca="1" si="787"/>
        <v>0</v>
      </c>
      <c r="HA264" s="303">
        <f t="shared" ca="1" si="788"/>
        <v>0</v>
      </c>
      <c r="HB264" s="303">
        <f t="shared" ca="1" si="789"/>
        <v>0</v>
      </c>
      <c r="HC264" s="303">
        <f t="shared" ca="1" si="790"/>
        <v>0</v>
      </c>
      <c r="HD264" s="303">
        <f t="shared" ca="1" si="791"/>
        <v>0</v>
      </c>
      <c r="HE264" s="303">
        <f t="shared" ca="1" si="792"/>
        <v>0</v>
      </c>
      <c r="HF264" s="303">
        <f t="shared" ca="1" si="793"/>
        <v>0</v>
      </c>
      <c r="HG264" s="852">
        <f t="shared" ca="1" si="794"/>
        <v>0</v>
      </c>
    </row>
    <row r="265" spans="1:215" x14ac:dyDescent="0.25">
      <c r="A265" s="244">
        <f t="shared" ca="1" si="795"/>
        <v>44166</v>
      </c>
      <c r="B265" s="13">
        <f t="shared" ca="1" si="828"/>
        <v>2020</v>
      </c>
      <c r="C265" s="619">
        <f t="shared" ca="1" si="829"/>
        <v>12</v>
      </c>
      <c r="D265" s="195">
        <f t="shared" ca="1" si="625"/>
        <v>44190</v>
      </c>
      <c r="E265" s="469" t="str">
        <f t="shared" ca="1" si="626"/>
        <v/>
      </c>
      <c r="F265" s="465" t="str">
        <f t="shared" ca="1" si="627"/>
        <v/>
      </c>
      <c r="G265" s="522">
        <f t="shared" ca="1" si="796"/>
        <v>1</v>
      </c>
      <c r="H265" s="519">
        <f t="shared" ca="1" si="797"/>
        <v>1</v>
      </c>
      <c r="I265" s="724">
        <f t="shared" ca="1" si="830"/>
        <v>7.4088605052698001E-2</v>
      </c>
      <c r="J265" s="198">
        <f t="shared" ca="1" si="629"/>
        <v>0.21881705438450688</v>
      </c>
      <c r="K265" s="200" t="e">
        <f t="shared" ca="1" si="805"/>
        <v>#N/A</v>
      </c>
      <c r="L265" s="201" t="e">
        <f t="shared" ca="1" si="806"/>
        <v>#N/A</v>
      </c>
      <c r="M265" s="206" t="e">
        <f t="shared" ca="1" si="807"/>
        <v>#N/A</v>
      </c>
      <c r="N265" s="851" t="e">
        <f t="shared" ca="1" si="811"/>
        <v>#N/A</v>
      </c>
      <c r="O265" s="201" t="e">
        <f t="shared" ca="1" si="812"/>
        <v>#N/A</v>
      </c>
      <c r="P265" s="206" t="e">
        <f t="shared" ca="1" si="813"/>
        <v>#N/A</v>
      </c>
      <c r="Q265" s="201" t="e">
        <f t="shared" ca="1" si="814"/>
        <v>#N/A</v>
      </c>
      <c r="R265" s="201" t="e">
        <f t="shared" ca="1" si="815"/>
        <v>#N/A</v>
      </c>
      <c r="S265" s="201" t="e">
        <f t="shared" ca="1" si="816"/>
        <v>#N/A</v>
      </c>
      <c r="T265" s="851" t="e">
        <f t="shared" ca="1" si="808"/>
        <v>#N/A</v>
      </c>
      <c r="U265" s="201" t="e">
        <f t="shared" ca="1" si="809"/>
        <v>#N/A</v>
      </c>
      <c r="V265" s="206" t="e">
        <f t="shared" ca="1" si="810"/>
        <v>#N/A</v>
      </c>
      <c r="W265" s="230" t="e">
        <f t="shared" ca="1" si="798"/>
        <v>#N/A</v>
      </c>
      <c r="X265" s="231" t="e">
        <f t="shared" ca="1" si="799"/>
        <v>#N/A</v>
      </c>
      <c r="Y265" s="232" t="e">
        <f t="shared" ca="1" si="800"/>
        <v>#N/A</v>
      </c>
      <c r="Z265" s="231" t="e">
        <f t="shared" ca="1" si="820"/>
        <v>#N/A</v>
      </c>
      <c r="AA265" s="231" t="e">
        <f t="shared" ca="1" si="821"/>
        <v>#N/A</v>
      </c>
      <c r="AB265" s="232" t="e">
        <f t="shared" ca="1" si="822"/>
        <v>#N/A</v>
      </c>
      <c r="AC265" s="231" t="e">
        <f t="shared" ca="1" si="823"/>
        <v>#N/A</v>
      </c>
      <c r="AD265" s="231" t="e">
        <f t="shared" ca="1" si="824"/>
        <v>#N/A</v>
      </c>
      <c r="AE265" s="232" t="e">
        <f t="shared" ca="1" si="630"/>
        <v>#N/A</v>
      </c>
      <c r="AF265" s="231" t="e">
        <f t="shared" ca="1" si="801"/>
        <v>#N/A</v>
      </c>
      <c r="AG265" s="231" t="e">
        <f t="shared" ca="1" si="802"/>
        <v>#N/A</v>
      </c>
      <c r="AH265" s="232" t="e">
        <f t="shared" ca="1" si="803"/>
        <v>#N/A</v>
      </c>
      <c r="AI265" s="233" t="e">
        <f t="shared" ca="1" si="631"/>
        <v>#N/A</v>
      </c>
      <c r="AJ265" s="233" t="e">
        <f t="shared" ca="1" si="632"/>
        <v>#N/A</v>
      </c>
      <c r="AK265" s="234" t="e">
        <f t="shared" ca="1" si="633"/>
        <v>#N/A</v>
      </c>
      <c r="AL265" s="919" t="e">
        <f t="shared" ca="1" si="634"/>
        <v>#N/A</v>
      </c>
      <c r="AM265" s="233" t="e">
        <f t="shared" ca="1" si="635"/>
        <v>#N/A</v>
      </c>
      <c r="AN265" s="234" t="e">
        <f t="shared" ca="1" si="636"/>
        <v>#N/A</v>
      </c>
      <c r="AO265" s="233" t="e">
        <f t="shared" ca="1" si="637"/>
        <v>#N/A</v>
      </c>
      <c r="AP265" s="233" t="e">
        <f t="shared" ca="1" si="638"/>
        <v>#N/A</v>
      </c>
      <c r="AQ265" s="233" t="e">
        <f t="shared" ca="1" si="639"/>
        <v>#N/A</v>
      </c>
      <c r="AR265" s="919" t="e">
        <f t="shared" ca="1" si="640"/>
        <v>#N/A</v>
      </c>
      <c r="AS265" s="233" t="e">
        <f t="shared" ca="1" si="641"/>
        <v>#N/A</v>
      </c>
      <c r="AT265" s="235" t="e">
        <f t="shared" ca="1" si="642"/>
        <v>#N/A</v>
      </c>
      <c r="AU265" s="946">
        <f t="shared" si="643"/>
        <v>0.5</v>
      </c>
      <c r="AV265" s="13">
        <f t="shared" ca="1" si="644"/>
        <v>0</v>
      </c>
      <c r="AW265" s="210">
        <f t="shared" ca="1" si="645"/>
        <v>0</v>
      </c>
      <c r="AX265" s="210">
        <f t="shared" ca="1" si="646"/>
        <v>0</v>
      </c>
      <c r="AY265" s="210">
        <f t="shared" ca="1" si="647"/>
        <v>0</v>
      </c>
      <c r="AZ265" s="13">
        <f t="shared" ca="1" si="648"/>
        <v>0</v>
      </c>
      <c r="BA265" s="357">
        <f ca="1"/>
        <v>0</v>
      </c>
      <c r="BB265" s="925">
        <f ca="1"/>
        <v>0</v>
      </c>
      <c r="BC265" s="925">
        <f ca="1"/>
        <v>0</v>
      </c>
      <c r="BD265" s="928">
        <f ca="1"/>
        <v>0</v>
      </c>
      <c r="BE265" s="200">
        <f ca="1"/>
        <v>0</v>
      </c>
      <c r="BF265" s="851">
        <f ca="1"/>
        <v>0</v>
      </c>
      <c r="BG265" s="851">
        <f ca="1"/>
        <v>0</v>
      </c>
      <c r="BH265" s="933">
        <f ca="1"/>
        <v>0</v>
      </c>
      <c r="BI265" s="357">
        <f ca="1"/>
        <v>0</v>
      </c>
      <c r="BJ265" s="925">
        <f ca="1"/>
        <v>0</v>
      </c>
      <c r="BK265" s="925">
        <f ca="1"/>
        <v>0</v>
      </c>
      <c r="BL265" s="928">
        <f ca="1"/>
        <v>0</v>
      </c>
      <c r="BM265" s="200">
        <f ca="1"/>
        <v>0</v>
      </c>
      <c r="BN265" s="851">
        <f ca="1"/>
        <v>0</v>
      </c>
      <c r="BO265" s="851">
        <f ca="1"/>
        <v>0</v>
      </c>
      <c r="BP265" s="933">
        <f ca="1"/>
        <v>0</v>
      </c>
      <c r="BQ265" s="357">
        <f t="shared" ca="1" si="649"/>
        <v>0</v>
      </c>
      <c r="BR265" s="361">
        <f t="shared" ca="1" si="650"/>
        <v>0</v>
      </c>
      <c r="BS265" s="357">
        <f t="shared" ca="1" si="651"/>
        <v>0</v>
      </c>
      <c r="BT265" s="302">
        <f t="shared" ca="1" si="652"/>
        <v>0</v>
      </c>
      <c r="BU265" s="299">
        <f t="shared" ca="1" si="653"/>
        <v>0</v>
      </c>
      <c r="BV265" s="299">
        <f t="shared" ca="1" si="654"/>
        <v>0</v>
      </c>
      <c r="BW265" s="299">
        <f t="shared" ca="1" si="655"/>
        <v>0</v>
      </c>
      <c r="BX265" s="380">
        <f t="shared" ca="1" si="656"/>
        <v>20.750171115674195</v>
      </c>
      <c r="BY265" s="363">
        <f t="shared" ca="1" si="657"/>
        <v>0</v>
      </c>
      <c r="BZ265" s="353">
        <f t="shared" ca="1" si="658"/>
        <v>0</v>
      </c>
      <c r="CA265" s="353">
        <f t="shared" ca="1" si="659"/>
        <v>0</v>
      </c>
      <c r="CB265" s="353">
        <f t="shared" ca="1" si="660"/>
        <v>0</v>
      </c>
      <c r="CC265" s="353">
        <f t="shared" ca="1" si="661"/>
        <v>0</v>
      </c>
      <c r="CD265" s="353">
        <f t="shared" ca="1" si="662"/>
        <v>0</v>
      </c>
      <c r="CE265" s="302">
        <f t="shared" ca="1" si="663"/>
        <v>0</v>
      </c>
      <c r="CF265" s="299">
        <f t="shared" ca="1" si="664"/>
        <v>0</v>
      </c>
      <c r="CG265" s="299">
        <f t="shared" ca="1" si="665"/>
        <v>0</v>
      </c>
      <c r="CH265" s="299">
        <f t="shared" ca="1" si="666"/>
        <v>0</v>
      </c>
      <c r="CI265" s="299">
        <f t="shared" ca="1" si="667"/>
        <v>0</v>
      </c>
      <c r="CJ265" s="299">
        <f t="shared" ca="1" si="668"/>
        <v>0</v>
      </c>
      <c r="CK265" s="299">
        <f t="shared" ca="1" si="669"/>
        <v>0</v>
      </c>
      <c r="CL265" s="377" t="str">
        <f t="shared" ca="1" si="670"/>
        <v/>
      </c>
      <c r="CM265" s="305" t="str">
        <f t="shared" ca="1" si="671"/>
        <v/>
      </c>
      <c r="CN265" s="305" t="str">
        <f t="shared" ca="1" si="672"/>
        <v/>
      </c>
      <c r="CO265" s="305" t="str">
        <f t="shared" ca="1" si="673"/>
        <v/>
      </c>
      <c r="CP265" s="305" t="str">
        <f t="shared" ca="1" si="674"/>
        <v/>
      </c>
      <c r="CQ265" s="305" t="str">
        <f t="shared" ca="1" si="675"/>
        <v/>
      </c>
      <c r="CR265" s="775" t="str">
        <f t="shared" ca="1" si="676"/>
        <v/>
      </c>
      <c r="CS265" s="305" t="str">
        <f t="shared" ca="1" si="677"/>
        <v/>
      </c>
      <c r="CT265" s="305" t="str">
        <f t="shared" ca="1" si="678"/>
        <v/>
      </c>
      <c r="CU265" s="305" t="str">
        <f t="shared" ca="1" si="679"/>
        <v/>
      </c>
      <c r="CV265" s="770" t="str">
        <f t="shared" ca="1" si="680"/>
        <v/>
      </c>
      <c r="CW265" s="302">
        <f t="shared" ca="1" si="681"/>
        <v>0</v>
      </c>
      <c r="CX265" s="299">
        <f t="shared" ca="1" si="682"/>
        <v>0</v>
      </c>
      <c r="CY265" s="299">
        <f t="shared" ca="1" si="683"/>
        <v>0</v>
      </c>
      <c r="CZ265" s="299">
        <f t="shared" ca="1" si="684"/>
        <v>0</v>
      </c>
      <c r="DA265" s="774">
        <f t="shared" ca="1" si="685"/>
        <v>0</v>
      </c>
      <c r="DB265" s="303">
        <f t="shared" ca="1" si="686"/>
        <v>0</v>
      </c>
      <c r="DC265" s="248">
        <f t="shared" ca="1" si="687"/>
        <v>0</v>
      </c>
      <c r="DD265" s="778">
        <f t="shared" ca="1" si="688"/>
        <v>0</v>
      </c>
      <c r="DE265" s="363">
        <f t="shared" ca="1" si="689"/>
        <v>0</v>
      </c>
      <c r="DF265" s="378" t="str">
        <f t="shared" ca="1" si="690"/>
        <v/>
      </c>
      <c r="DG265" s="508" t="str">
        <f t="shared" ca="1" si="691"/>
        <v/>
      </c>
      <c r="DH265" s="508" t="str">
        <f t="shared" ca="1" si="692"/>
        <v/>
      </c>
      <c r="DI265" s="508" t="str">
        <f t="shared" ca="1" si="693"/>
        <v/>
      </c>
      <c r="DJ265" s="508" t="str">
        <f t="shared" ca="1" si="694"/>
        <v/>
      </c>
      <c r="DK265" s="353">
        <f t="shared" ca="1" si="695"/>
        <v>0</v>
      </c>
      <c r="DL265" s="781">
        <f t="shared" ca="1" si="696"/>
        <v>0</v>
      </c>
      <c r="DM265" s="303">
        <f t="shared" ca="1" si="697"/>
        <v>0</v>
      </c>
      <c r="DN265" s="508" t="str">
        <f t="shared" ca="1" si="698"/>
        <v/>
      </c>
      <c r="DO265" s="508" t="str">
        <f t="shared" ca="1" si="699"/>
        <v/>
      </c>
      <c r="DP265" s="508" t="str">
        <f t="shared" ca="1" si="700"/>
        <v/>
      </c>
      <c r="DQ265" s="508" t="str">
        <f t="shared" ca="1" si="701"/>
        <v/>
      </c>
      <c r="DR265" s="508" t="str">
        <f t="shared" ca="1" si="702"/>
        <v/>
      </c>
      <c r="DS265" s="353">
        <f t="shared" ca="1" si="703"/>
        <v>0</v>
      </c>
      <c r="DT265" s="353">
        <f t="shared" ca="1" si="704"/>
        <v>0</v>
      </c>
      <c r="DU265" s="380">
        <f t="shared" ca="1" si="804"/>
        <v>20.750171115674195</v>
      </c>
      <c r="DV265" s="303">
        <f t="shared" ca="1" si="705"/>
        <v>0</v>
      </c>
      <c r="DW265" s="303">
        <f t="shared" ca="1" si="706"/>
        <v>0</v>
      </c>
      <c r="DX265" s="303">
        <f t="shared" ca="1" si="707"/>
        <v>0</v>
      </c>
      <c r="DY265" s="303">
        <f t="shared" ca="1" si="708"/>
        <v>0</v>
      </c>
      <c r="DZ265" s="303">
        <f t="shared" ca="1" si="709"/>
        <v>0</v>
      </c>
      <c r="EA265" s="303">
        <f t="shared" ca="1" si="710"/>
        <v>0</v>
      </c>
      <c r="EB265" s="302">
        <f t="shared" ca="1" si="711"/>
        <v>0</v>
      </c>
      <c r="EC265" s="299">
        <f t="shared" ca="1" si="712"/>
        <v>0</v>
      </c>
      <c r="ED265" s="299">
        <f t="shared" ca="1" si="713"/>
        <v>0</v>
      </c>
      <c r="EE265" s="299">
        <f t="shared" ca="1" si="714"/>
        <v>0</v>
      </c>
      <c r="EF265" s="299">
        <f t="shared" ca="1" si="715"/>
        <v>0</v>
      </c>
      <c r="EG265" s="299">
        <f t="shared" ca="1" si="716"/>
        <v>0</v>
      </c>
      <c r="EH265" s="302">
        <f t="shared" ca="1" si="717"/>
        <v>0</v>
      </c>
      <c r="EI265" s="304" t="str">
        <f t="shared" ca="1" si="718"/>
        <v/>
      </c>
      <c r="EJ265" s="305" t="str">
        <f t="shared" ca="1" si="719"/>
        <v/>
      </c>
      <c r="EK265" s="305" t="str">
        <f t="shared" ca="1" si="720"/>
        <v/>
      </c>
      <c r="EL265" s="305" t="str">
        <f t="shared" ca="1" si="721"/>
        <v/>
      </c>
      <c r="EM265" s="305" t="str">
        <f t="shared" ca="1" si="722"/>
        <v/>
      </c>
      <c r="EN265" s="305" t="str">
        <f t="shared" ca="1" si="723"/>
        <v/>
      </c>
      <c r="EO265" s="305" t="str">
        <f t="shared" ca="1" si="724"/>
        <v/>
      </c>
      <c r="EP265" s="305" t="str">
        <f t="shared" ca="1" si="725"/>
        <v/>
      </c>
      <c r="EQ265" s="305" t="str">
        <f t="shared" ca="1" si="726"/>
        <v/>
      </c>
      <c r="ER265" s="305" t="str">
        <f t="shared" ca="1" si="727"/>
        <v/>
      </c>
      <c r="ES265" s="305" t="str">
        <f t="shared" ca="1" si="728"/>
        <v/>
      </c>
      <c r="ET265" s="299">
        <f t="shared" ca="1" si="729"/>
        <v>0</v>
      </c>
      <c r="EU265" s="302">
        <f t="shared" ca="1" si="730"/>
        <v>0</v>
      </c>
      <c r="EV265" s="304" t="str">
        <f t="shared" ca="1" si="731"/>
        <v/>
      </c>
      <c r="EW265" s="305" t="str">
        <f t="shared" ca="1" si="732"/>
        <v/>
      </c>
      <c r="EX265" s="305" t="str">
        <f t="shared" ca="1" si="733"/>
        <v/>
      </c>
      <c r="EY265" s="305" t="str">
        <f t="shared" ca="1" si="734"/>
        <v/>
      </c>
      <c r="EZ265" s="305" t="str">
        <f t="shared" ca="1" si="735"/>
        <v/>
      </c>
      <c r="FA265" s="305" t="str">
        <f t="shared" ca="1" si="736"/>
        <v/>
      </c>
      <c r="FB265" s="305" t="str">
        <f t="shared" ca="1" si="737"/>
        <v/>
      </c>
      <c r="FC265" s="305" t="str">
        <f t="shared" ca="1" si="738"/>
        <v/>
      </c>
      <c r="FD265" s="305" t="str">
        <f t="shared" ca="1" si="739"/>
        <v/>
      </c>
      <c r="FE265" s="305" t="str">
        <f t="shared" ca="1" si="740"/>
        <v/>
      </c>
      <c r="FF265" s="305" t="str">
        <f t="shared" ca="1" si="741"/>
        <v/>
      </c>
      <c r="FG265" s="299">
        <f t="shared" ca="1" si="742"/>
        <v>0</v>
      </c>
      <c r="FH265" s="302">
        <f t="shared" ca="1" si="743"/>
        <v>0</v>
      </c>
      <c r="FI265" s="248">
        <f t="shared" ca="1" si="744"/>
        <v>0</v>
      </c>
      <c r="FJ265" s="363">
        <f t="shared" ca="1" si="745"/>
        <v>0</v>
      </c>
      <c r="FK265" s="378" t="str">
        <f t="shared" ca="1" si="746"/>
        <v/>
      </c>
      <c r="FL265" s="508" t="str">
        <f t="shared" ca="1" si="747"/>
        <v/>
      </c>
      <c r="FM265" s="508" t="str">
        <f t="shared" ca="1" si="748"/>
        <v/>
      </c>
      <c r="FN265" s="508" t="str">
        <f t="shared" ca="1" si="749"/>
        <v/>
      </c>
      <c r="FO265" s="508" t="str">
        <f t="shared" ca="1" si="750"/>
        <v/>
      </c>
      <c r="FP265" s="353">
        <f t="shared" ca="1" si="751"/>
        <v>0</v>
      </c>
      <c r="FQ265" s="356">
        <f t="shared" ca="1" si="752"/>
        <v>0</v>
      </c>
      <c r="FR265" s="380">
        <f t="shared" ca="1" si="753"/>
        <v>0</v>
      </c>
      <c r="FS265" s="299">
        <f t="shared" ca="1" si="754"/>
        <v>0</v>
      </c>
      <c r="FT265" s="299">
        <f t="shared" ca="1" si="755"/>
        <v>0</v>
      </c>
      <c r="FU265" s="299">
        <f t="shared" ca="1" si="756"/>
        <v>0</v>
      </c>
      <c r="FV265" s="299">
        <f t="shared" ca="1" si="757"/>
        <v>0</v>
      </c>
      <c r="FW265" s="850" t="str">
        <f t="shared" ca="1" si="758"/>
        <v/>
      </c>
      <c r="FX265" s="851" t="str">
        <f t="shared" ca="1" si="759"/>
        <v/>
      </c>
      <c r="FY265" s="851" t="str">
        <f t="shared" ca="1" si="760"/>
        <v/>
      </c>
      <c r="FZ265" s="201" t="str">
        <f t="shared" ca="1" si="761"/>
        <v/>
      </c>
      <c r="GA265" s="201" t="str">
        <f t="shared" ca="1" si="762"/>
        <v/>
      </c>
      <c r="GB265" s="201" t="str">
        <f t="shared" ca="1" si="763"/>
        <v/>
      </c>
      <c r="GC265" s="201" t="str">
        <f t="shared" ca="1" si="764"/>
        <v/>
      </c>
      <c r="GD265" s="850" t="str">
        <f t="shared" ca="1" si="765"/>
        <v/>
      </c>
      <c r="GE265" s="866" t="str">
        <f t="shared" ca="1" si="766"/>
        <v/>
      </c>
      <c r="GF265" s="866" t="str">
        <f t="shared" ca="1" si="767"/>
        <v/>
      </c>
      <c r="GG265" s="866" t="str">
        <f t="shared" ca="1" si="768"/>
        <v/>
      </c>
      <c r="GH265" s="866" t="str">
        <f t="shared" ca="1" si="769"/>
        <v/>
      </c>
      <c r="GI265" s="302">
        <f t="shared" ca="1" si="770"/>
        <v>0</v>
      </c>
      <c r="GJ265" s="299">
        <f t="shared" ca="1" si="771"/>
        <v>0</v>
      </c>
      <c r="GK265" s="299">
        <f t="shared" ca="1" si="772"/>
        <v>0</v>
      </c>
      <c r="GL265" s="299">
        <f t="shared" ca="1" si="773"/>
        <v>0</v>
      </c>
      <c r="GM265" s="299">
        <f t="shared" ca="1" si="774"/>
        <v>0</v>
      </c>
      <c r="GN265" s="302">
        <f t="shared" ca="1" si="775"/>
        <v>0</v>
      </c>
      <c r="GO265" s="299">
        <f t="shared" ca="1" si="776"/>
        <v>0</v>
      </c>
      <c r="GP265" s="299">
        <f t="shared" ca="1" si="777"/>
        <v>0</v>
      </c>
      <c r="GQ265" s="299">
        <f t="shared" ca="1" si="778"/>
        <v>0</v>
      </c>
      <c r="GR265" s="299">
        <f t="shared" ca="1" si="779"/>
        <v>0</v>
      </c>
      <c r="GS265" s="302">
        <f t="shared" ca="1" si="780"/>
        <v>0</v>
      </c>
      <c r="GT265" s="299">
        <f t="shared" ca="1" si="781"/>
        <v>0</v>
      </c>
      <c r="GU265" s="299">
        <f t="shared" ca="1" si="782"/>
        <v>0</v>
      </c>
      <c r="GV265" s="299">
        <f t="shared" ca="1" si="783"/>
        <v>0</v>
      </c>
      <c r="GW265" s="299">
        <f t="shared" ca="1" si="784"/>
        <v>0</v>
      </c>
      <c r="GX265" s="303">
        <f t="shared" ca="1" si="785"/>
        <v>0</v>
      </c>
      <c r="GY265" s="303">
        <f t="shared" ca="1" si="786"/>
        <v>0</v>
      </c>
      <c r="GZ265" s="303">
        <f t="shared" ca="1" si="787"/>
        <v>0</v>
      </c>
      <c r="HA265" s="303">
        <f t="shared" ca="1" si="788"/>
        <v>0</v>
      </c>
      <c r="HB265" s="303">
        <f t="shared" ca="1" si="789"/>
        <v>0</v>
      </c>
      <c r="HC265" s="303">
        <f t="shared" ca="1" si="790"/>
        <v>0</v>
      </c>
      <c r="HD265" s="303">
        <f t="shared" ca="1" si="791"/>
        <v>0</v>
      </c>
      <c r="HE265" s="303">
        <f t="shared" ca="1" si="792"/>
        <v>0</v>
      </c>
      <c r="HF265" s="303">
        <f t="shared" ca="1" si="793"/>
        <v>0</v>
      </c>
      <c r="HG265" s="852">
        <f t="shared" ca="1" si="794"/>
        <v>0</v>
      </c>
    </row>
    <row r="266" spans="1:215" x14ac:dyDescent="0.25">
      <c r="A266" s="244">
        <f t="shared" ca="1" si="795"/>
        <v>44197</v>
      </c>
      <c r="B266" s="13">
        <f t="shared" ca="1" si="828"/>
        <v>2021</v>
      </c>
      <c r="C266" s="619">
        <f t="shared" ca="1" si="829"/>
        <v>1</v>
      </c>
      <c r="D266" s="195">
        <f t="shared" ca="1" si="625"/>
        <v>44197</v>
      </c>
      <c r="E266" s="469" t="str">
        <f t="shared" ca="1" si="626"/>
        <v/>
      </c>
      <c r="F266" s="465" t="str">
        <f t="shared" ca="1" si="627"/>
        <v/>
      </c>
      <c r="G266" s="522">
        <f t="shared" ca="1" si="796"/>
        <v>1</v>
      </c>
      <c r="H266" s="519">
        <f t="shared" ca="1" si="797"/>
        <v>1</v>
      </c>
      <c r="I266" s="724">
        <f t="shared" ca="1" si="830"/>
        <v>7.4079369756769001E-2</v>
      </c>
      <c r="J266" s="198">
        <f t="shared" ca="1" si="629"/>
        <v>0.21751075507535853</v>
      </c>
      <c r="K266" s="200" t="e">
        <f t="shared" ca="1" si="805"/>
        <v>#N/A</v>
      </c>
      <c r="L266" s="201" t="e">
        <f t="shared" ca="1" si="806"/>
        <v>#N/A</v>
      </c>
      <c r="M266" s="206" t="e">
        <f t="shared" ca="1" si="807"/>
        <v>#N/A</v>
      </c>
      <c r="N266" s="851" t="e">
        <f t="shared" ca="1" si="811"/>
        <v>#N/A</v>
      </c>
      <c r="O266" s="201" t="e">
        <f t="shared" ca="1" si="812"/>
        <v>#N/A</v>
      </c>
      <c r="P266" s="206" t="e">
        <f t="shared" ca="1" si="813"/>
        <v>#N/A</v>
      </c>
      <c r="Q266" s="201" t="e">
        <f t="shared" ca="1" si="814"/>
        <v>#N/A</v>
      </c>
      <c r="R266" s="201" t="e">
        <f t="shared" ca="1" si="815"/>
        <v>#N/A</v>
      </c>
      <c r="S266" s="201" t="e">
        <f t="shared" ca="1" si="816"/>
        <v>#N/A</v>
      </c>
      <c r="T266" s="851" t="e">
        <f t="shared" ca="1" si="808"/>
        <v>#N/A</v>
      </c>
      <c r="U266" s="201" t="e">
        <f t="shared" ca="1" si="809"/>
        <v>#N/A</v>
      </c>
      <c r="V266" s="206" t="e">
        <f t="shared" ca="1" si="810"/>
        <v>#N/A</v>
      </c>
      <c r="W266" s="230" t="e">
        <f t="shared" ca="1" si="798"/>
        <v>#N/A</v>
      </c>
      <c r="X266" s="231" t="e">
        <f t="shared" ca="1" si="799"/>
        <v>#N/A</v>
      </c>
      <c r="Y266" s="232" t="e">
        <f t="shared" ca="1" si="800"/>
        <v>#N/A</v>
      </c>
      <c r="Z266" s="231" t="e">
        <f t="shared" ca="1" si="820"/>
        <v>#N/A</v>
      </c>
      <c r="AA266" s="231" t="e">
        <f t="shared" ca="1" si="821"/>
        <v>#N/A</v>
      </c>
      <c r="AB266" s="232" t="e">
        <f t="shared" ca="1" si="822"/>
        <v>#N/A</v>
      </c>
      <c r="AC266" s="231" t="e">
        <f t="shared" ca="1" si="823"/>
        <v>#N/A</v>
      </c>
      <c r="AD266" s="231" t="e">
        <f t="shared" ca="1" si="824"/>
        <v>#N/A</v>
      </c>
      <c r="AE266" s="232" t="e">
        <f t="shared" ca="1" si="630"/>
        <v>#N/A</v>
      </c>
      <c r="AF266" s="231" t="e">
        <f t="shared" ca="1" si="801"/>
        <v>#N/A</v>
      </c>
      <c r="AG266" s="231" t="e">
        <f t="shared" ca="1" si="802"/>
        <v>#N/A</v>
      </c>
      <c r="AH266" s="232" t="e">
        <f t="shared" ca="1" si="803"/>
        <v>#N/A</v>
      </c>
      <c r="AI266" s="233" t="e">
        <f t="shared" ca="1" si="631"/>
        <v>#N/A</v>
      </c>
      <c r="AJ266" s="233" t="e">
        <f t="shared" ca="1" si="632"/>
        <v>#N/A</v>
      </c>
      <c r="AK266" s="234" t="e">
        <f t="shared" ca="1" si="633"/>
        <v>#N/A</v>
      </c>
      <c r="AL266" s="919" t="e">
        <f t="shared" ca="1" si="634"/>
        <v>#N/A</v>
      </c>
      <c r="AM266" s="233" t="e">
        <f t="shared" ca="1" si="635"/>
        <v>#N/A</v>
      </c>
      <c r="AN266" s="234" t="e">
        <f t="shared" ca="1" si="636"/>
        <v>#N/A</v>
      </c>
      <c r="AO266" s="233" t="e">
        <f t="shared" ca="1" si="637"/>
        <v>#N/A</v>
      </c>
      <c r="AP266" s="233" t="e">
        <f t="shared" ca="1" si="638"/>
        <v>#N/A</v>
      </c>
      <c r="AQ266" s="233" t="e">
        <f t="shared" ca="1" si="639"/>
        <v>#N/A</v>
      </c>
      <c r="AR266" s="919" t="e">
        <f t="shared" ca="1" si="640"/>
        <v>#N/A</v>
      </c>
      <c r="AS266" s="233" t="e">
        <f t="shared" ca="1" si="641"/>
        <v>#N/A</v>
      </c>
      <c r="AT266" s="235" t="e">
        <f t="shared" ca="1" si="642"/>
        <v>#N/A</v>
      </c>
      <c r="AU266" s="946">
        <f t="shared" si="643"/>
        <v>0.5</v>
      </c>
      <c r="AV266" s="13">
        <f t="shared" ca="1" si="644"/>
        <v>0</v>
      </c>
      <c r="AW266" s="210">
        <f t="shared" ca="1" si="645"/>
        <v>0</v>
      </c>
      <c r="AX266" s="210">
        <f t="shared" ca="1" si="646"/>
        <v>0</v>
      </c>
      <c r="AY266" s="210">
        <f t="shared" ca="1" si="647"/>
        <v>0</v>
      </c>
      <c r="AZ266" s="13">
        <f t="shared" ca="1" si="648"/>
        <v>0</v>
      </c>
      <c r="BA266" s="357">
        <f ca="1"/>
        <v>0</v>
      </c>
      <c r="BB266" s="925">
        <f ca="1"/>
        <v>0</v>
      </c>
      <c r="BC266" s="925">
        <f ca="1"/>
        <v>0</v>
      </c>
      <c r="BD266" s="928">
        <f ca="1"/>
        <v>0</v>
      </c>
      <c r="BE266" s="200">
        <f ca="1"/>
        <v>0</v>
      </c>
      <c r="BF266" s="851">
        <f ca="1"/>
        <v>0</v>
      </c>
      <c r="BG266" s="851">
        <f ca="1"/>
        <v>0</v>
      </c>
      <c r="BH266" s="933">
        <f ca="1"/>
        <v>0</v>
      </c>
      <c r="BI266" s="357">
        <f ca="1"/>
        <v>0</v>
      </c>
      <c r="BJ266" s="925">
        <f ca="1"/>
        <v>0</v>
      </c>
      <c r="BK266" s="925">
        <f ca="1"/>
        <v>0</v>
      </c>
      <c r="BL266" s="928">
        <f ca="1"/>
        <v>0</v>
      </c>
      <c r="BM266" s="200">
        <f ca="1"/>
        <v>0</v>
      </c>
      <c r="BN266" s="851">
        <f ca="1"/>
        <v>0</v>
      </c>
      <c r="BO266" s="851">
        <f ca="1"/>
        <v>0</v>
      </c>
      <c r="BP266" s="933">
        <f ca="1"/>
        <v>0</v>
      </c>
      <c r="BQ266" s="357">
        <f t="shared" ca="1" si="649"/>
        <v>0</v>
      </c>
      <c r="BR266" s="361">
        <f t="shared" ca="1" si="650"/>
        <v>0</v>
      </c>
      <c r="BS266" s="357">
        <f t="shared" ca="1" si="651"/>
        <v>0</v>
      </c>
      <c r="BT266" s="302">
        <f t="shared" ca="1" si="652"/>
        <v>0</v>
      </c>
      <c r="BU266" s="299">
        <f t="shared" ca="1" si="653"/>
        <v>0</v>
      </c>
      <c r="BV266" s="299">
        <f t="shared" ca="1" si="654"/>
        <v>0</v>
      </c>
      <c r="BW266" s="299">
        <f t="shared" ca="1" si="655"/>
        <v>0</v>
      </c>
      <c r="BX266" s="380">
        <f t="shared" ca="1" si="656"/>
        <v>20.83504449007529</v>
      </c>
      <c r="BY266" s="363">
        <f t="shared" ca="1" si="657"/>
        <v>0</v>
      </c>
      <c r="BZ266" s="353">
        <f t="shared" ca="1" si="658"/>
        <v>0</v>
      </c>
      <c r="CA266" s="353">
        <f t="shared" ca="1" si="659"/>
        <v>0</v>
      </c>
      <c r="CB266" s="353">
        <f t="shared" ca="1" si="660"/>
        <v>0</v>
      </c>
      <c r="CC266" s="353">
        <f t="shared" ca="1" si="661"/>
        <v>0</v>
      </c>
      <c r="CD266" s="353">
        <f t="shared" ca="1" si="662"/>
        <v>0</v>
      </c>
      <c r="CE266" s="302">
        <f t="shared" ca="1" si="663"/>
        <v>0</v>
      </c>
      <c r="CF266" s="299">
        <f t="shared" ca="1" si="664"/>
        <v>0</v>
      </c>
      <c r="CG266" s="299">
        <f t="shared" ca="1" si="665"/>
        <v>0</v>
      </c>
      <c r="CH266" s="299">
        <f t="shared" ca="1" si="666"/>
        <v>0</v>
      </c>
      <c r="CI266" s="299">
        <f t="shared" ca="1" si="667"/>
        <v>0</v>
      </c>
      <c r="CJ266" s="299">
        <f t="shared" ca="1" si="668"/>
        <v>0</v>
      </c>
      <c r="CK266" s="299">
        <f t="shared" ca="1" si="669"/>
        <v>0</v>
      </c>
      <c r="CL266" s="377" t="str">
        <f t="shared" ca="1" si="670"/>
        <v/>
      </c>
      <c r="CM266" s="305" t="str">
        <f t="shared" ca="1" si="671"/>
        <v/>
      </c>
      <c r="CN266" s="305" t="str">
        <f t="shared" ca="1" si="672"/>
        <v/>
      </c>
      <c r="CO266" s="305" t="str">
        <f t="shared" ca="1" si="673"/>
        <v/>
      </c>
      <c r="CP266" s="305" t="str">
        <f t="shared" ca="1" si="674"/>
        <v/>
      </c>
      <c r="CQ266" s="305" t="str">
        <f t="shared" ca="1" si="675"/>
        <v/>
      </c>
      <c r="CR266" s="775" t="str">
        <f t="shared" ca="1" si="676"/>
        <v/>
      </c>
      <c r="CS266" s="305" t="str">
        <f t="shared" ca="1" si="677"/>
        <v/>
      </c>
      <c r="CT266" s="305" t="str">
        <f t="shared" ca="1" si="678"/>
        <v/>
      </c>
      <c r="CU266" s="305" t="str">
        <f t="shared" ca="1" si="679"/>
        <v/>
      </c>
      <c r="CV266" s="770" t="str">
        <f t="shared" ca="1" si="680"/>
        <v/>
      </c>
      <c r="CW266" s="302">
        <f t="shared" ca="1" si="681"/>
        <v>0</v>
      </c>
      <c r="CX266" s="299">
        <f t="shared" ca="1" si="682"/>
        <v>0</v>
      </c>
      <c r="CY266" s="299">
        <f t="shared" ca="1" si="683"/>
        <v>0</v>
      </c>
      <c r="CZ266" s="299">
        <f t="shared" ca="1" si="684"/>
        <v>0</v>
      </c>
      <c r="DA266" s="774">
        <f t="shared" ca="1" si="685"/>
        <v>0</v>
      </c>
      <c r="DB266" s="303">
        <f t="shared" ca="1" si="686"/>
        <v>0</v>
      </c>
      <c r="DC266" s="248">
        <f t="shared" ca="1" si="687"/>
        <v>0</v>
      </c>
      <c r="DD266" s="778">
        <f t="shared" ca="1" si="688"/>
        <v>0</v>
      </c>
      <c r="DE266" s="363">
        <f t="shared" ca="1" si="689"/>
        <v>0</v>
      </c>
      <c r="DF266" s="378" t="str">
        <f t="shared" ca="1" si="690"/>
        <v/>
      </c>
      <c r="DG266" s="508" t="str">
        <f t="shared" ca="1" si="691"/>
        <v/>
      </c>
      <c r="DH266" s="508" t="str">
        <f t="shared" ca="1" si="692"/>
        <v/>
      </c>
      <c r="DI266" s="508" t="str">
        <f t="shared" ca="1" si="693"/>
        <v/>
      </c>
      <c r="DJ266" s="508" t="str">
        <f t="shared" ca="1" si="694"/>
        <v/>
      </c>
      <c r="DK266" s="353">
        <f t="shared" ca="1" si="695"/>
        <v>0</v>
      </c>
      <c r="DL266" s="781">
        <f t="shared" ca="1" si="696"/>
        <v>0</v>
      </c>
      <c r="DM266" s="303">
        <f t="shared" ca="1" si="697"/>
        <v>0</v>
      </c>
      <c r="DN266" s="508" t="str">
        <f t="shared" ca="1" si="698"/>
        <v/>
      </c>
      <c r="DO266" s="508" t="str">
        <f t="shared" ca="1" si="699"/>
        <v/>
      </c>
      <c r="DP266" s="508" t="str">
        <f t="shared" ca="1" si="700"/>
        <v/>
      </c>
      <c r="DQ266" s="508" t="str">
        <f t="shared" ca="1" si="701"/>
        <v/>
      </c>
      <c r="DR266" s="508" t="str">
        <f t="shared" ca="1" si="702"/>
        <v/>
      </c>
      <c r="DS266" s="353">
        <f t="shared" ca="1" si="703"/>
        <v>0</v>
      </c>
      <c r="DT266" s="353">
        <f t="shared" ca="1" si="704"/>
        <v>0</v>
      </c>
      <c r="DU266" s="380">
        <f t="shared" ca="1" si="804"/>
        <v>20.83504449007529</v>
      </c>
      <c r="DV266" s="303">
        <f t="shared" ca="1" si="705"/>
        <v>0</v>
      </c>
      <c r="DW266" s="303">
        <f t="shared" ca="1" si="706"/>
        <v>0</v>
      </c>
      <c r="DX266" s="303">
        <f t="shared" ca="1" si="707"/>
        <v>0</v>
      </c>
      <c r="DY266" s="303">
        <f t="shared" ca="1" si="708"/>
        <v>0</v>
      </c>
      <c r="DZ266" s="303">
        <f t="shared" ca="1" si="709"/>
        <v>0</v>
      </c>
      <c r="EA266" s="303">
        <f t="shared" ca="1" si="710"/>
        <v>0</v>
      </c>
      <c r="EB266" s="302">
        <f t="shared" ca="1" si="711"/>
        <v>0</v>
      </c>
      <c r="EC266" s="299">
        <f t="shared" ca="1" si="712"/>
        <v>0</v>
      </c>
      <c r="ED266" s="299">
        <f t="shared" ca="1" si="713"/>
        <v>0</v>
      </c>
      <c r="EE266" s="299">
        <f t="shared" ca="1" si="714"/>
        <v>0</v>
      </c>
      <c r="EF266" s="299">
        <f t="shared" ca="1" si="715"/>
        <v>0</v>
      </c>
      <c r="EG266" s="299">
        <f t="shared" ca="1" si="716"/>
        <v>0</v>
      </c>
      <c r="EH266" s="302">
        <f t="shared" ca="1" si="717"/>
        <v>0</v>
      </c>
      <c r="EI266" s="304" t="str">
        <f t="shared" ca="1" si="718"/>
        <v/>
      </c>
      <c r="EJ266" s="305" t="str">
        <f t="shared" ca="1" si="719"/>
        <v/>
      </c>
      <c r="EK266" s="305" t="str">
        <f t="shared" ca="1" si="720"/>
        <v/>
      </c>
      <c r="EL266" s="305" t="str">
        <f t="shared" ca="1" si="721"/>
        <v/>
      </c>
      <c r="EM266" s="305" t="str">
        <f t="shared" ca="1" si="722"/>
        <v/>
      </c>
      <c r="EN266" s="305" t="str">
        <f t="shared" ca="1" si="723"/>
        <v/>
      </c>
      <c r="EO266" s="305" t="str">
        <f t="shared" ca="1" si="724"/>
        <v/>
      </c>
      <c r="EP266" s="305" t="str">
        <f t="shared" ca="1" si="725"/>
        <v/>
      </c>
      <c r="EQ266" s="305" t="str">
        <f t="shared" ca="1" si="726"/>
        <v/>
      </c>
      <c r="ER266" s="305" t="str">
        <f t="shared" ca="1" si="727"/>
        <v/>
      </c>
      <c r="ES266" s="305" t="str">
        <f t="shared" ca="1" si="728"/>
        <v/>
      </c>
      <c r="ET266" s="299">
        <f t="shared" ca="1" si="729"/>
        <v>0</v>
      </c>
      <c r="EU266" s="302">
        <f t="shared" ca="1" si="730"/>
        <v>0</v>
      </c>
      <c r="EV266" s="304" t="str">
        <f t="shared" ca="1" si="731"/>
        <v/>
      </c>
      <c r="EW266" s="305" t="str">
        <f t="shared" ca="1" si="732"/>
        <v/>
      </c>
      <c r="EX266" s="305" t="str">
        <f t="shared" ca="1" si="733"/>
        <v/>
      </c>
      <c r="EY266" s="305" t="str">
        <f t="shared" ca="1" si="734"/>
        <v/>
      </c>
      <c r="EZ266" s="305" t="str">
        <f t="shared" ca="1" si="735"/>
        <v/>
      </c>
      <c r="FA266" s="305" t="str">
        <f t="shared" ca="1" si="736"/>
        <v/>
      </c>
      <c r="FB266" s="305" t="str">
        <f t="shared" ca="1" si="737"/>
        <v/>
      </c>
      <c r="FC266" s="305" t="str">
        <f t="shared" ca="1" si="738"/>
        <v/>
      </c>
      <c r="FD266" s="305" t="str">
        <f t="shared" ca="1" si="739"/>
        <v/>
      </c>
      <c r="FE266" s="305" t="str">
        <f t="shared" ca="1" si="740"/>
        <v/>
      </c>
      <c r="FF266" s="305" t="str">
        <f t="shared" ca="1" si="741"/>
        <v/>
      </c>
      <c r="FG266" s="299">
        <f t="shared" ca="1" si="742"/>
        <v>0</v>
      </c>
      <c r="FH266" s="302">
        <f t="shared" ca="1" si="743"/>
        <v>0</v>
      </c>
      <c r="FI266" s="248">
        <f t="shared" ca="1" si="744"/>
        <v>0</v>
      </c>
      <c r="FJ266" s="363">
        <f t="shared" ca="1" si="745"/>
        <v>0</v>
      </c>
      <c r="FK266" s="378" t="str">
        <f t="shared" ca="1" si="746"/>
        <v/>
      </c>
      <c r="FL266" s="508" t="str">
        <f t="shared" ca="1" si="747"/>
        <v/>
      </c>
      <c r="FM266" s="508" t="str">
        <f t="shared" ca="1" si="748"/>
        <v/>
      </c>
      <c r="FN266" s="508" t="str">
        <f t="shared" ca="1" si="749"/>
        <v/>
      </c>
      <c r="FO266" s="508" t="str">
        <f t="shared" ca="1" si="750"/>
        <v/>
      </c>
      <c r="FP266" s="353">
        <f t="shared" ca="1" si="751"/>
        <v>0</v>
      </c>
      <c r="FQ266" s="356">
        <f t="shared" ca="1" si="752"/>
        <v>0</v>
      </c>
      <c r="FR266" s="380">
        <f t="shared" ca="1" si="753"/>
        <v>0</v>
      </c>
      <c r="FS266" s="299">
        <f t="shared" ca="1" si="754"/>
        <v>0</v>
      </c>
      <c r="FT266" s="299">
        <f t="shared" ca="1" si="755"/>
        <v>0</v>
      </c>
      <c r="FU266" s="299">
        <f t="shared" ca="1" si="756"/>
        <v>0</v>
      </c>
      <c r="FV266" s="299">
        <f t="shared" ca="1" si="757"/>
        <v>0</v>
      </c>
      <c r="FW266" s="850" t="str">
        <f t="shared" ca="1" si="758"/>
        <v/>
      </c>
      <c r="FX266" s="851" t="str">
        <f t="shared" ca="1" si="759"/>
        <v/>
      </c>
      <c r="FY266" s="851" t="str">
        <f t="shared" ca="1" si="760"/>
        <v/>
      </c>
      <c r="FZ266" s="201" t="str">
        <f t="shared" ca="1" si="761"/>
        <v/>
      </c>
      <c r="GA266" s="201" t="str">
        <f t="shared" ca="1" si="762"/>
        <v/>
      </c>
      <c r="GB266" s="201" t="str">
        <f t="shared" ca="1" si="763"/>
        <v/>
      </c>
      <c r="GC266" s="201" t="str">
        <f t="shared" ca="1" si="764"/>
        <v/>
      </c>
      <c r="GD266" s="850" t="str">
        <f t="shared" ca="1" si="765"/>
        <v/>
      </c>
      <c r="GE266" s="866" t="str">
        <f t="shared" ca="1" si="766"/>
        <v/>
      </c>
      <c r="GF266" s="866" t="str">
        <f t="shared" ca="1" si="767"/>
        <v/>
      </c>
      <c r="GG266" s="866" t="str">
        <f t="shared" ca="1" si="768"/>
        <v/>
      </c>
      <c r="GH266" s="866" t="str">
        <f t="shared" ca="1" si="769"/>
        <v/>
      </c>
      <c r="GI266" s="302">
        <f t="shared" ca="1" si="770"/>
        <v>0</v>
      </c>
      <c r="GJ266" s="299">
        <f t="shared" ca="1" si="771"/>
        <v>0</v>
      </c>
      <c r="GK266" s="299">
        <f t="shared" ca="1" si="772"/>
        <v>0</v>
      </c>
      <c r="GL266" s="299">
        <f t="shared" ca="1" si="773"/>
        <v>0</v>
      </c>
      <c r="GM266" s="299">
        <f t="shared" ca="1" si="774"/>
        <v>0</v>
      </c>
      <c r="GN266" s="302">
        <f t="shared" ca="1" si="775"/>
        <v>0</v>
      </c>
      <c r="GO266" s="299">
        <f t="shared" ca="1" si="776"/>
        <v>0</v>
      </c>
      <c r="GP266" s="299">
        <f t="shared" ca="1" si="777"/>
        <v>0</v>
      </c>
      <c r="GQ266" s="299">
        <f t="shared" ca="1" si="778"/>
        <v>0</v>
      </c>
      <c r="GR266" s="299">
        <f t="shared" ca="1" si="779"/>
        <v>0</v>
      </c>
      <c r="GS266" s="302">
        <f t="shared" ca="1" si="780"/>
        <v>0</v>
      </c>
      <c r="GT266" s="299">
        <f t="shared" ca="1" si="781"/>
        <v>0</v>
      </c>
      <c r="GU266" s="299">
        <f t="shared" ca="1" si="782"/>
        <v>0</v>
      </c>
      <c r="GV266" s="299">
        <f t="shared" ca="1" si="783"/>
        <v>0</v>
      </c>
      <c r="GW266" s="299">
        <f t="shared" ca="1" si="784"/>
        <v>0</v>
      </c>
      <c r="GX266" s="303">
        <f t="shared" ca="1" si="785"/>
        <v>0</v>
      </c>
      <c r="GY266" s="303">
        <f t="shared" ca="1" si="786"/>
        <v>0</v>
      </c>
      <c r="GZ266" s="303">
        <f t="shared" ca="1" si="787"/>
        <v>0</v>
      </c>
      <c r="HA266" s="303">
        <f t="shared" ca="1" si="788"/>
        <v>0</v>
      </c>
      <c r="HB266" s="303">
        <f t="shared" ca="1" si="789"/>
        <v>0</v>
      </c>
      <c r="HC266" s="303">
        <f t="shared" ca="1" si="790"/>
        <v>0</v>
      </c>
      <c r="HD266" s="303">
        <f t="shared" ca="1" si="791"/>
        <v>0</v>
      </c>
      <c r="HE266" s="303">
        <f t="shared" ca="1" si="792"/>
        <v>0</v>
      </c>
      <c r="HF266" s="303">
        <f t="shared" ca="1" si="793"/>
        <v>0</v>
      </c>
      <c r="HG266" s="852">
        <f t="shared" ca="1" si="794"/>
        <v>0</v>
      </c>
    </row>
    <row r="267" spans="1:215" x14ac:dyDescent="0.25">
      <c r="A267" s="244">
        <f t="shared" ca="1" si="795"/>
        <v>44228</v>
      </c>
      <c r="B267" s="13">
        <f t="shared" ca="1" si="828"/>
        <v>2021</v>
      </c>
      <c r="C267" s="619">
        <f t="shared" ca="1" si="829"/>
        <v>2</v>
      </c>
      <c r="D267" s="195" t="str">
        <f t="shared" ca="1" si="625"/>
        <v/>
      </c>
      <c r="E267" s="469" t="str">
        <f t="shared" ca="1" si="626"/>
        <v/>
      </c>
      <c r="F267" s="465" t="str">
        <f t="shared" ca="1" si="627"/>
        <v/>
      </c>
      <c r="G267" s="522">
        <f t="shared" ca="1" si="796"/>
        <v>1</v>
      </c>
      <c r="H267" s="519">
        <f t="shared" ca="1" si="797"/>
        <v>1</v>
      </c>
      <c r="I267" s="724">
        <f t="shared" ca="1" si="830"/>
        <v>7.4070134460867992E-2</v>
      </c>
      <c r="J267" s="198">
        <f t="shared" ca="1" si="629"/>
        <v>0.21634178166621712</v>
      </c>
      <c r="K267" s="200" t="e">
        <f t="shared" ca="1" si="805"/>
        <v>#N/A</v>
      </c>
      <c r="L267" s="201" t="e">
        <f t="shared" ca="1" si="806"/>
        <v>#N/A</v>
      </c>
      <c r="M267" s="206" t="e">
        <f t="shared" ca="1" si="807"/>
        <v>#N/A</v>
      </c>
      <c r="N267" s="851" t="e">
        <f t="shared" ca="1" si="811"/>
        <v>#N/A</v>
      </c>
      <c r="O267" s="201" t="e">
        <f t="shared" ca="1" si="812"/>
        <v>#N/A</v>
      </c>
      <c r="P267" s="206" t="e">
        <f t="shared" ca="1" si="813"/>
        <v>#N/A</v>
      </c>
      <c r="Q267" s="201" t="e">
        <f t="shared" ca="1" si="814"/>
        <v>#N/A</v>
      </c>
      <c r="R267" s="201" t="e">
        <f t="shared" ca="1" si="815"/>
        <v>#N/A</v>
      </c>
      <c r="S267" s="201" t="e">
        <f t="shared" ca="1" si="816"/>
        <v>#N/A</v>
      </c>
      <c r="T267" s="851" t="e">
        <f t="shared" ca="1" si="808"/>
        <v>#N/A</v>
      </c>
      <c r="U267" s="201" t="e">
        <f t="shared" ca="1" si="809"/>
        <v>#N/A</v>
      </c>
      <c r="V267" s="206" t="e">
        <f t="shared" ca="1" si="810"/>
        <v>#N/A</v>
      </c>
      <c r="W267" s="230" t="e">
        <f t="shared" ca="1" si="798"/>
        <v>#N/A</v>
      </c>
      <c r="X267" s="231" t="e">
        <f t="shared" ca="1" si="799"/>
        <v>#N/A</v>
      </c>
      <c r="Y267" s="232" t="e">
        <f t="shared" ca="1" si="800"/>
        <v>#N/A</v>
      </c>
      <c r="Z267" s="231" t="e">
        <f t="shared" ca="1" si="820"/>
        <v>#N/A</v>
      </c>
      <c r="AA267" s="231" t="e">
        <f t="shared" ca="1" si="821"/>
        <v>#N/A</v>
      </c>
      <c r="AB267" s="232" t="e">
        <f t="shared" ca="1" si="822"/>
        <v>#N/A</v>
      </c>
      <c r="AC267" s="231" t="e">
        <f t="shared" ca="1" si="823"/>
        <v>#N/A</v>
      </c>
      <c r="AD267" s="231" t="e">
        <f t="shared" ca="1" si="824"/>
        <v>#N/A</v>
      </c>
      <c r="AE267" s="232" t="e">
        <f t="shared" ca="1" si="630"/>
        <v>#N/A</v>
      </c>
      <c r="AF267" s="231" t="e">
        <f t="shared" ca="1" si="801"/>
        <v>#N/A</v>
      </c>
      <c r="AG267" s="231" t="e">
        <f t="shared" ca="1" si="802"/>
        <v>#N/A</v>
      </c>
      <c r="AH267" s="232" t="e">
        <f t="shared" ca="1" si="803"/>
        <v>#N/A</v>
      </c>
      <c r="AI267" s="233" t="e">
        <f t="shared" ca="1" si="631"/>
        <v>#N/A</v>
      </c>
      <c r="AJ267" s="233" t="e">
        <f t="shared" ca="1" si="632"/>
        <v>#N/A</v>
      </c>
      <c r="AK267" s="234" t="e">
        <f t="shared" ca="1" si="633"/>
        <v>#N/A</v>
      </c>
      <c r="AL267" s="919" t="e">
        <f t="shared" ca="1" si="634"/>
        <v>#N/A</v>
      </c>
      <c r="AM267" s="233" t="e">
        <f t="shared" ca="1" si="635"/>
        <v>#N/A</v>
      </c>
      <c r="AN267" s="234" t="e">
        <f t="shared" ca="1" si="636"/>
        <v>#N/A</v>
      </c>
      <c r="AO267" s="233" t="e">
        <f t="shared" ca="1" si="637"/>
        <v>#N/A</v>
      </c>
      <c r="AP267" s="233" t="e">
        <f t="shared" ca="1" si="638"/>
        <v>#N/A</v>
      </c>
      <c r="AQ267" s="233" t="e">
        <f t="shared" ca="1" si="639"/>
        <v>#N/A</v>
      </c>
      <c r="AR267" s="919" t="e">
        <f t="shared" ca="1" si="640"/>
        <v>#N/A</v>
      </c>
      <c r="AS267" s="233" t="e">
        <f t="shared" ca="1" si="641"/>
        <v>#N/A</v>
      </c>
      <c r="AT267" s="235" t="e">
        <f t="shared" ca="1" si="642"/>
        <v>#N/A</v>
      </c>
      <c r="AU267" s="946">
        <f t="shared" si="643"/>
        <v>0.5</v>
      </c>
      <c r="AV267" s="13">
        <f t="shared" ca="1" si="644"/>
        <v>0</v>
      </c>
      <c r="AW267" s="210">
        <f t="shared" ca="1" si="645"/>
        <v>0</v>
      </c>
      <c r="AX267" s="210">
        <f t="shared" ca="1" si="646"/>
        <v>0</v>
      </c>
      <c r="AY267" s="210">
        <f t="shared" ca="1" si="647"/>
        <v>0</v>
      </c>
      <c r="AZ267" s="13">
        <f t="shared" ca="1" si="648"/>
        <v>0</v>
      </c>
      <c r="BA267" s="357">
        <f ca="1"/>
        <v>0</v>
      </c>
      <c r="BB267" s="925">
        <f ca="1"/>
        <v>0</v>
      </c>
      <c r="BC267" s="925">
        <f ca="1"/>
        <v>0</v>
      </c>
      <c r="BD267" s="928">
        <f ca="1"/>
        <v>0</v>
      </c>
      <c r="BE267" s="200">
        <f ca="1"/>
        <v>0</v>
      </c>
      <c r="BF267" s="851">
        <f ca="1"/>
        <v>0</v>
      </c>
      <c r="BG267" s="851">
        <f ca="1"/>
        <v>0</v>
      </c>
      <c r="BH267" s="933">
        <f ca="1"/>
        <v>0</v>
      </c>
      <c r="BI267" s="357">
        <f ca="1"/>
        <v>0</v>
      </c>
      <c r="BJ267" s="925">
        <f ca="1"/>
        <v>0</v>
      </c>
      <c r="BK267" s="925">
        <f ca="1"/>
        <v>0</v>
      </c>
      <c r="BL267" s="928">
        <f ca="1"/>
        <v>0</v>
      </c>
      <c r="BM267" s="200">
        <f ca="1"/>
        <v>0</v>
      </c>
      <c r="BN267" s="851">
        <f ca="1"/>
        <v>0</v>
      </c>
      <c r="BO267" s="851">
        <f ca="1"/>
        <v>0</v>
      </c>
      <c r="BP267" s="933">
        <f ca="1"/>
        <v>0</v>
      </c>
      <c r="BQ267" s="357">
        <f t="shared" ca="1" si="649"/>
        <v>0</v>
      </c>
      <c r="BR267" s="361">
        <f t="shared" ca="1" si="650"/>
        <v>0</v>
      </c>
      <c r="BS267" s="357">
        <f t="shared" ca="1" si="651"/>
        <v>0</v>
      </c>
      <c r="BT267" s="302">
        <f t="shared" ca="1" si="652"/>
        <v>0</v>
      </c>
      <c r="BU267" s="299">
        <f t="shared" ca="1" si="653"/>
        <v>0</v>
      </c>
      <c r="BV267" s="299">
        <f t="shared" ca="1" si="654"/>
        <v>0</v>
      </c>
      <c r="BW267" s="299">
        <f t="shared" ca="1" si="655"/>
        <v>0</v>
      </c>
      <c r="BX267" s="380">
        <f t="shared" ca="1" si="656"/>
        <v>20.919917864476385</v>
      </c>
      <c r="BY267" s="363">
        <f t="shared" ca="1" si="657"/>
        <v>0</v>
      </c>
      <c r="BZ267" s="353">
        <f t="shared" ca="1" si="658"/>
        <v>0</v>
      </c>
      <c r="CA267" s="353">
        <f t="shared" ca="1" si="659"/>
        <v>0</v>
      </c>
      <c r="CB267" s="353">
        <f t="shared" ca="1" si="660"/>
        <v>0</v>
      </c>
      <c r="CC267" s="353">
        <f t="shared" ca="1" si="661"/>
        <v>0</v>
      </c>
      <c r="CD267" s="353">
        <f t="shared" ca="1" si="662"/>
        <v>0</v>
      </c>
      <c r="CE267" s="302">
        <f t="shared" ca="1" si="663"/>
        <v>0</v>
      </c>
      <c r="CF267" s="299">
        <f t="shared" ca="1" si="664"/>
        <v>0</v>
      </c>
      <c r="CG267" s="299">
        <f t="shared" ca="1" si="665"/>
        <v>0</v>
      </c>
      <c r="CH267" s="299">
        <f t="shared" ca="1" si="666"/>
        <v>0</v>
      </c>
      <c r="CI267" s="299">
        <f t="shared" ca="1" si="667"/>
        <v>0</v>
      </c>
      <c r="CJ267" s="299">
        <f t="shared" ca="1" si="668"/>
        <v>0</v>
      </c>
      <c r="CK267" s="299">
        <f t="shared" ca="1" si="669"/>
        <v>0</v>
      </c>
      <c r="CL267" s="377" t="str">
        <f t="shared" ca="1" si="670"/>
        <v/>
      </c>
      <c r="CM267" s="305" t="str">
        <f t="shared" ca="1" si="671"/>
        <v/>
      </c>
      <c r="CN267" s="305" t="str">
        <f t="shared" ca="1" si="672"/>
        <v/>
      </c>
      <c r="CO267" s="305" t="str">
        <f t="shared" ca="1" si="673"/>
        <v/>
      </c>
      <c r="CP267" s="305" t="str">
        <f t="shared" ca="1" si="674"/>
        <v/>
      </c>
      <c r="CQ267" s="305" t="str">
        <f t="shared" ca="1" si="675"/>
        <v/>
      </c>
      <c r="CR267" s="775" t="str">
        <f t="shared" ca="1" si="676"/>
        <v/>
      </c>
      <c r="CS267" s="305" t="str">
        <f t="shared" ca="1" si="677"/>
        <v/>
      </c>
      <c r="CT267" s="305" t="str">
        <f t="shared" ca="1" si="678"/>
        <v/>
      </c>
      <c r="CU267" s="305" t="str">
        <f t="shared" ca="1" si="679"/>
        <v/>
      </c>
      <c r="CV267" s="770" t="str">
        <f t="shared" ca="1" si="680"/>
        <v/>
      </c>
      <c r="CW267" s="302">
        <f t="shared" ca="1" si="681"/>
        <v>0</v>
      </c>
      <c r="CX267" s="299">
        <f t="shared" ca="1" si="682"/>
        <v>0</v>
      </c>
      <c r="CY267" s="299">
        <f t="shared" ca="1" si="683"/>
        <v>0</v>
      </c>
      <c r="CZ267" s="299">
        <f t="shared" ca="1" si="684"/>
        <v>0</v>
      </c>
      <c r="DA267" s="774">
        <f t="shared" ca="1" si="685"/>
        <v>0</v>
      </c>
      <c r="DB267" s="303">
        <f t="shared" ca="1" si="686"/>
        <v>0</v>
      </c>
      <c r="DC267" s="248">
        <f t="shared" ca="1" si="687"/>
        <v>0</v>
      </c>
      <c r="DD267" s="778">
        <f t="shared" ca="1" si="688"/>
        <v>0</v>
      </c>
      <c r="DE267" s="363">
        <f t="shared" ca="1" si="689"/>
        <v>0</v>
      </c>
      <c r="DF267" s="378" t="str">
        <f t="shared" ca="1" si="690"/>
        <v/>
      </c>
      <c r="DG267" s="508" t="str">
        <f t="shared" ca="1" si="691"/>
        <v/>
      </c>
      <c r="DH267" s="508" t="str">
        <f t="shared" ca="1" si="692"/>
        <v/>
      </c>
      <c r="DI267" s="508" t="str">
        <f t="shared" ca="1" si="693"/>
        <v/>
      </c>
      <c r="DJ267" s="508" t="str">
        <f t="shared" ca="1" si="694"/>
        <v/>
      </c>
      <c r="DK267" s="353">
        <f t="shared" ca="1" si="695"/>
        <v>0</v>
      </c>
      <c r="DL267" s="781">
        <f t="shared" ca="1" si="696"/>
        <v>0</v>
      </c>
      <c r="DM267" s="303">
        <f t="shared" ca="1" si="697"/>
        <v>0</v>
      </c>
      <c r="DN267" s="508" t="str">
        <f t="shared" ca="1" si="698"/>
        <v/>
      </c>
      <c r="DO267" s="508" t="str">
        <f t="shared" ca="1" si="699"/>
        <v/>
      </c>
      <c r="DP267" s="508" t="str">
        <f t="shared" ca="1" si="700"/>
        <v/>
      </c>
      <c r="DQ267" s="508" t="str">
        <f t="shared" ca="1" si="701"/>
        <v/>
      </c>
      <c r="DR267" s="508" t="str">
        <f t="shared" ca="1" si="702"/>
        <v/>
      </c>
      <c r="DS267" s="353">
        <f t="shared" ca="1" si="703"/>
        <v>0</v>
      </c>
      <c r="DT267" s="353">
        <f t="shared" ca="1" si="704"/>
        <v>0</v>
      </c>
      <c r="DU267" s="380">
        <f t="shared" ca="1" si="804"/>
        <v>20.919917864476385</v>
      </c>
      <c r="DV267" s="303">
        <f t="shared" ca="1" si="705"/>
        <v>0</v>
      </c>
      <c r="DW267" s="303">
        <f t="shared" ca="1" si="706"/>
        <v>0</v>
      </c>
      <c r="DX267" s="303">
        <f t="shared" ca="1" si="707"/>
        <v>0</v>
      </c>
      <c r="DY267" s="303">
        <f t="shared" ca="1" si="708"/>
        <v>0</v>
      </c>
      <c r="DZ267" s="303">
        <f t="shared" ca="1" si="709"/>
        <v>0</v>
      </c>
      <c r="EA267" s="303">
        <f t="shared" ca="1" si="710"/>
        <v>0</v>
      </c>
      <c r="EB267" s="302">
        <f t="shared" ca="1" si="711"/>
        <v>0</v>
      </c>
      <c r="EC267" s="299">
        <f t="shared" ca="1" si="712"/>
        <v>0</v>
      </c>
      <c r="ED267" s="299">
        <f t="shared" ca="1" si="713"/>
        <v>0</v>
      </c>
      <c r="EE267" s="299">
        <f t="shared" ca="1" si="714"/>
        <v>0</v>
      </c>
      <c r="EF267" s="299">
        <f t="shared" ca="1" si="715"/>
        <v>0</v>
      </c>
      <c r="EG267" s="299">
        <f t="shared" ca="1" si="716"/>
        <v>0</v>
      </c>
      <c r="EH267" s="302">
        <f t="shared" ca="1" si="717"/>
        <v>0</v>
      </c>
      <c r="EI267" s="304" t="str">
        <f t="shared" ca="1" si="718"/>
        <v/>
      </c>
      <c r="EJ267" s="305" t="str">
        <f t="shared" ca="1" si="719"/>
        <v/>
      </c>
      <c r="EK267" s="305" t="str">
        <f t="shared" ca="1" si="720"/>
        <v/>
      </c>
      <c r="EL267" s="305" t="str">
        <f t="shared" ca="1" si="721"/>
        <v/>
      </c>
      <c r="EM267" s="305" t="str">
        <f t="shared" ca="1" si="722"/>
        <v/>
      </c>
      <c r="EN267" s="305" t="str">
        <f t="shared" ca="1" si="723"/>
        <v/>
      </c>
      <c r="EO267" s="305" t="str">
        <f t="shared" ca="1" si="724"/>
        <v/>
      </c>
      <c r="EP267" s="305" t="str">
        <f t="shared" ca="1" si="725"/>
        <v/>
      </c>
      <c r="EQ267" s="305" t="str">
        <f t="shared" ca="1" si="726"/>
        <v/>
      </c>
      <c r="ER267" s="305" t="str">
        <f t="shared" ca="1" si="727"/>
        <v/>
      </c>
      <c r="ES267" s="305" t="str">
        <f t="shared" ca="1" si="728"/>
        <v/>
      </c>
      <c r="ET267" s="299">
        <f t="shared" ca="1" si="729"/>
        <v>0</v>
      </c>
      <c r="EU267" s="302">
        <f t="shared" ca="1" si="730"/>
        <v>0</v>
      </c>
      <c r="EV267" s="304" t="str">
        <f t="shared" ca="1" si="731"/>
        <v/>
      </c>
      <c r="EW267" s="305" t="str">
        <f t="shared" ca="1" si="732"/>
        <v/>
      </c>
      <c r="EX267" s="305" t="str">
        <f t="shared" ca="1" si="733"/>
        <v/>
      </c>
      <c r="EY267" s="305" t="str">
        <f t="shared" ca="1" si="734"/>
        <v/>
      </c>
      <c r="EZ267" s="305" t="str">
        <f t="shared" ca="1" si="735"/>
        <v/>
      </c>
      <c r="FA267" s="305" t="str">
        <f t="shared" ca="1" si="736"/>
        <v/>
      </c>
      <c r="FB267" s="305" t="str">
        <f t="shared" ca="1" si="737"/>
        <v/>
      </c>
      <c r="FC267" s="305" t="str">
        <f t="shared" ca="1" si="738"/>
        <v/>
      </c>
      <c r="FD267" s="305" t="str">
        <f t="shared" ca="1" si="739"/>
        <v/>
      </c>
      <c r="FE267" s="305" t="str">
        <f t="shared" ca="1" si="740"/>
        <v/>
      </c>
      <c r="FF267" s="305" t="str">
        <f t="shared" ca="1" si="741"/>
        <v/>
      </c>
      <c r="FG267" s="299">
        <f t="shared" ca="1" si="742"/>
        <v>0</v>
      </c>
      <c r="FH267" s="302">
        <f t="shared" ca="1" si="743"/>
        <v>0</v>
      </c>
      <c r="FI267" s="248">
        <f t="shared" ca="1" si="744"/>
        <v>0</v>
      </c>
      <c r="FJ267" s="363">
        <f t="shared" ca="1" si="745"/>
        <v>0</v>
      </c>
      <c r="FK267" s="378" t="str">
        <f t="shared" ca="1" si="746"/>
        <v/>
      </c>
      <c r="FL267" s="508" t="str">
        <f t="shared" ca="1" si="747"/>
        <v/>
      </c>
      <c r="FM267" s="508" t="str">
        <f t="shared" ca="1" si="748"/>
        <v/>
      </c>
      <c r="FN267" s="508" t="str">
        <f t="shared" ca="1" si="749"/>
        <v/>
      </c>
      <c r="FO267" s="508" t="str">
        <f t="shared" ca="1" si="750"/>
        <v/>
      </c>
      <c r="FP267" s="353">
        <f t="shared" ca="1" si="751"/>
        <v>0</v>
      </c>
      <c r="FQ267" s="356">
        <f t="shared" ca="1" si="752"/>
        <v>0</v>
      </c>
      <c r="FR267" s="380">
        <f t="shared" ca="1" si="753"/>
        <v>0</v>
      </c>
      <c r="FS267" s="299">
        <f t="shared" ca="1" si="754"/>
        <v>0</v>
      </c>
      <c r="FT267" s="299">
        <f t="shared" ca="1" si="755"/>
        <v>0</v>
      </c>
      <c r="FU267" s="299">
        <f t="shared" ca="1" si="756"/>
        <v>0</v>
      </c>
      <c r="FV267" s="299">
        <f t="shared" ca="1" si="757"/>
        <v>0</v>
      </c>
      <c r="FW267" s="850" t="str">
        <f t="shared" ca="1" si="758"/>
        <v/>
      </c>
      <c r="FX267" s="851" t="str">
        <f t="shared" ca="1" si="759"/>
        <v/>
      </c>
      <c r="FY267" s="851" t="str">
        <f t="shared" ca="1" si="760"/>
        <v/>
      </c>
      <c r="FZ267" s="201" t="str">
        <f t="shared" ca="1" si="761"/>
        <v/>
      </c>
      <c r="GA267" s="201" t="str">
        <f t="shared" ca="1" si="762"/>
        <v/>
      </c>
      <c r="GB267" s="201" t="str">
        <f t="shared" ca="1" si="763"/>
        <v/>
      </c>
      <c r="GC267" s="201" t="str">
        <f t="shared" ca="1" si="764"/>
        <v/>
      </c>
      <c r="GD267" s="850" t="str">
        <f t="shared" ca="1" si="765"/>
        <v/>
      </c>
      <c r="GE267" s="866" t="str">
        <f t="shared" ca="1" si="766"/>
        <v/>
      </c>
      <c r="GF267" s="866" t="str">
        <f t="shared" ca="1" si="767"/>
        <v/>
      </c>
      <c r="GG267" s="866" t="str">
        <f t="shared" ca="1" si="768"/>
        <v/>
      </c>
      <c r="GH267" s="866" t="str">
        <f t="shared" ca="1" si="769"/>
        <v/>
      </c>
      <c r="GI267" s="302">
        <f t="shared" ca="1" si="770"/>
        <v>0</v>
      </c>
      <c r="GJ267" s="299">
        <f t="shared" ca="1" si="771"/>
        <v>0</v>
      </c>
      <c r="GK267" s="299">
        <f t="shared" ca="1" si="772"/>
        <v>0</v>
      </c>
      <c r="GL267" s="299">
        <f t="shared" ca="1" si="773"/>
        <v>0</v>
      </c>
      <c r="GM267" s="299">
        <f t="shared" ca="1" si="774"/>
        <v>0</v>
      </c>
      <c r="GN267" s="302">
        <f t="shared" ca="1" si="775"/>
        <v>0</v>
      </c>
      <c r="GO267" s="299">
        <f t="shared" ca="1" si="776"/>
        <v>0</v>
      </c>
      <c r="GP267" s="299">
        <f t="shared" ca="1" si="777"/>
        <v>0</v>
      </c>
      <c r="GQ267" s="299">
        <f t="shared" ca="1" si="778"/>
        <v>0</v>
      </c>
      <c r="GR267" s="299">
        <f t="shared" ca="1" si="779"/>
        <v>0</v>
      </c>
      <c r="GS267" s="302">
        <f t="shared" ca="1" si="780"/>
        <v>0</v>
      </c>
      <c r="GT267" s="299">
        <f t="shared" ca="1" si="781"/>
        <v>0</v>
      </c>
      <c r="GU267" s="299">
        <f t="shared" ca="1" si="782"/>
        <v>0</v>
      </c>
      <c r="GV267" s="299">
        <f t="shared" ca="1" si="783"/>
        <v>0</v>
      </c>
      <c r="GW267" s="299">
        <f t="shared" ca="1" si="784"/>
        <v>0</v>
      </c>
      <c r="GX267" s="303">
        <f t="shared" ca="1" si="785"/>
        <v>0</v>
      </c>
      <c r="GY267" s="303">
        <f t="shared" ca="1" si="786"/>
        <v>0</v>
      </c>
      <c r="GZ267" s="303">
        <f t="shared" ca="1" si="787"/>
        <v>0</v>
      </c>
      <c r="HA267" s="303">
        <f t="shared" ca="1" si="788"/>
        <v>0</v>
      </c>
      <c r="HB267" s="303">
        <f t="shared" ca="1" si="789"/>
        <v>0</v>
      </c>
      <c r="HC267" s="303">
        <f t="shared" ca="1" si="790"/>
        <v>0</v>
      </c>
      <c r="HD267" s="303">
        <f t="shared" ca="1" si="791"/>
        <v>0</v>
      </c>
      <c r="HE267" s="303">
        <f t="shared" ca="1" si="792"/>
        <v>0</v>
      </c>
      <c r="HF267" s="303">
        <f t="shared" ca="1" si="793"/>
        <v>0</v>
      </c>
      <c r="HG267" s="852">
        <f t="shared" ca="1" si="794"/>
        <v>0</v>
      </c>
    </row>
    <row r="268" spans="1:215" x14ac:dyDescent="0.25">
      <c r="A268" s="244">
        <f t="shared" ca="1" si="795"/>
        <v>44256</v>
      </c>
      <c r="B268" s="13">
        <f t="shared" ca="1" si="828"/>
        <v>2021</v>
      </c>
      <c r="C268" s="619">
        <f t="shared" ca="1" si="829"/>
        <v>3</v>
      </c>
      <c r="D268" s="195" t="str">
        <f t="shared" ca="1" si="625"/>
        <v/>
      </c>
      <c r="E268" s="469" t="str">
        <f t="shared" ca="1" si="626"/>
        <v/>
      </c>
      <c r="F268" s="465" t="str">
        <f t="shared" ca="1" si="627"/>
        <v/>
      </c>
      <c r="G268" s="522">
        <f t="shared" ca="1" si="796"/>
        <v>1</v>
      </c>
      <c r="H268" s="519">
        <f t="shared" ca="1" si="797"/>
        <v>1</v>
      </c>
      <c r="I268" s="724">
        <f t="shared" ca="1" si="830"/>
        <v>7.4061792903305002E-2</v>
      </c>
      <c r="J268" s="198">
        <f t="shared" ca="1" si="629"/>
        <v>0.21504697734072845</v>
      </c>
      <c r="K268" s="200" t="e">
        <f t="shared" ca="1" si="805"/>
        <v>#N/A</v>
      </c>
      <c r="L268" s="201" t="e">
        <f t="shared" ca="1" si="806"/>
        <v>#N/A</v>
      </c>
      <c r="M268" s="206" t="e">
        <f t="shared" ca="1" si="807"/>
        <v>#N/A</v>
      </c>
      <c r="N268" s="851" t="e">
        <f t="shared" ca="1" si="811"/>
        <v>#N/A</v>
      </c>
      <c r="O268" s="201" t="e">
        <f t="shared" ca="1" si="812"/>
        <v>#N/A</v>
      </c>
      <c r="P268" s="206" t="e">
        <f t="shared" ca="1" si="813"/>
        <v>#N/A</v>
      </c>
      <c r="Q268" s="201" t="e">
        <f t="shared" ca="1" si="814"/>
        <v>#N/A</v>
      </c>
      <c r="R268" s="201" t="e">
        <f t="shared" ca="1" si="815"/>
        <v>#N/A</v>
      </c>
      <c r="S268" s="201" t="e">
        <f t="shared" ca="1" si="816"/>
        <v>#N/A</v>
      </c>
      <c r="T268" s="851" t="e">
        <f t="shared" ca="1" si="808"/>
        <v>#N/A</v>
      </c>
      <c r="U268" s="201" t="e">
        <f t="shared" ca="1" si="809"/>
        <v>#N/A</v>
      </c>
      <c r="V268" s="206" t="e">
        <f t="shared" ca="1" si="810"/>
        <v>#N/A</v>
      </c>
      <c r="W268" s="230" t="e">
        <f t="shared" ca="1" si="798"/>
        <v>#N/A</v>
      </c>
      <c r="X268" s="231" t="e">
        <f t="shared" ca="1" si="799"/>
        <v>#N/A</v>
      </c>
      <c r="Y268" s="232" t="e">
        <f t="shared" ca="1" si="800"/>
        <v>#N/A</v>
      </c>
      <c r="Z268" s="231" t="e">
        <f t="shared" ca="1" si="820"/>
        <v>#N/A</v>
      </c>
      <c r="AA268" s="231" t="e">
        <f t="shared" ca="1" si="821"/>
        <v>#N/A</v>
      </c>
      <c r="AB268" s="232" t="e">
        <f t="shared" ca="1" si="822"/>
        <v>#N/A</v>
      </c>
      <c r="AC268" s="231" t="e">
        <f t="shared" ca="1" si="823"/>
        <v>#N/A</v>
      </c>
      <c r="AD268" s="231" t="e">
        <f t="shared" ca="1" si="824"/>
        <v>#N/A</v>
      </c>
      <c r="AE268" s="232" t="e">
        <f t="shared" ca="1" si="630"/>
        <v>#N/A</v>
      </c>
      <c r="AF268" s="231" t="e">
        <f t="shared" ca="1" si="801"/>
        <v>#N/A</v>
      </c>
      <c r="AG268" s="231" t="e">
        <f t="shared" ca="1" si="802"/>
        <v>#N/A</v>
      </c>
      <c r="AH268" s="232" t="e">
        <f t="shared" ca="1" si="803"/>
        <v>#N/A</v>
      </c>
      <c r="AI268" s="233" t="e">
        <f t="shared" ca="1" si="631"/>
        <v>#N/A</v>
      </c>
      <c r="AJ268" s="233" t="e">
        <f t="shared" ca="1" si="632"/>
        <v>#N/A</v>
      </c>
      <c r="AK268" s="234" t="e">
        <f t="shared" ca="1" si="633"/>
        <v>#N/A</v>
      </c>
      <c r="AL268" s="919" t="e">
        <f t="shared" ca="1" si="634"/>
        <v>#N/A</v>
      </c>
      <c r="AM268" s="233" t="e">
        <f t="shared" ca="1" si="635"/>
        <v>#N/A</v>
      </c>
      <c r="AN268" s="234" t="e">
        <f t="shared" ca="1" si="636"/>
        <v>#N/A</v>
      </c>
      <c r="AO268" s="233" t="e">
        <f t="shared" ca="1" si="637"/>
        <v>#N/A</v>
      </c>
      <c r="AP268" s="233" t="e">
        <f t="shared" ca="1" si="638"/>
        <v>#N/A</v>
      </c>
      <c r="AQ268" s="233" t="e">
        <f t="shared" ca="1" si="639"/>
        <v>#N/A</v>
      </c>
      <c r="AR268" s="919" t="e">
        <f t="shared" ca="1" si="640"/>
        <v>#N/A</v>
      </c>
      <c r="AS268" s="233" t="e">
        <f t="shared" ca="1" si="641"/>
        <v>#N/A</v>
      </c>
      <c r="AT268" s="235" t="e">
        <f t="shared" ca="1" si="642"/>
        <v>#N/A</v>
      </c>
      <c r="AU268" s="946">
        <f t="shared" si="643"/>
        <v>0.5</v>
      </c>
      <c r="AV268" s="13">
        <f t="shared" ca="1" si="644"/>
        <v>0</v>
      </c>
      <c r="AW268" s="210">
        <f t="shared" ca="1" si="645"/>
        <v>0</v>
      </c>
      <c r="AX268" s="210">
        <f t="shared" ca="1" si="646"/>
        <v>0</v>
      </c>
      <c r="AY268" s="210">
        <f t="shared" ca="1" si="647"/>
        <v>0</v>
      </c>
      <c r="AZ268" s="13">
        <f t="shared" ca="1" si="648"/>
        <v>0</v>
      </c>
      <c r="BA268" s="357">
        <f ca="1"/>
        <v>0</v>
      </c>
      <c r="BB268" s="925">
        <f ca="1"/>
        <v>0</v>
      </c>
      <c r="BC268" s="925">
        <f ca="1"/>
        <v>0</v>
      </c>
      <c r="BD268" s="928">
        <f ca="1"/>
        <v>0</v>
      </c>
      <c r="BE268" s="200">
        <f ca="1"/>
        <v>0</v>
      </c>
      <c r="BF268" s="851">
        <f ca="1"/>
        <v>0</v>
      </c>
      <c r="BG268" s="851">
        <f ca="1"/>
        <v>0</v>
      </c>
      <c r="BH268" s="933">
        <f ca="1"/>
        <v>0</v>
      </c>
      <c r="BI268" s="357">
        <f ca="1"/>
        <v>0</v>
      </c>
      <c r="BJ268" s="925">
        <f ca="1"/>
        <v>0</v>
      </c>
      <c r="BK268" s="925">
        <f ca="1"/>
        <v>0</v>
      </c>
      <c r="BL268" s="928">
        <f ca="1"/>
        <v>0</v>
      </c>
      <c r="BM268" s="200">
        <f ca="1"/>
        <v>0</v>
      </c>
      <c r="BN268" s="851">
        <f ca="1"/>
        <v>0</v>
      </c>
      <c r="BO268" s="851">
        <f ca="1"/>
        <v>0</v>
      </c>
      <c r="BP268" s="933">
        <f ca="1"/>
        <v>0</v>
      </c>
      <c r="BQ268" s="357">
        <f t="shared" ca="1" si="649"/>
        <v>0</v>
      </c>
      <c r="BR268" s="361">
        <f t="shared" ca="1" si="650"/>
        <v>0</v>
      </c>
      <c r="BS268" s="357">
        <f t="shared" ca="1" si="651"/>
        <v>0</v>
      </c>
      <c r="BT268" s="302">
        <f t="shared" ca="1" si="652"/>
        <v>0</v>
      </c>
      <c r="BU268" s="299">
        <f t="shared" ca="1" si="653"/>
        <v>0</v>
      </c>
      <c r="BV268" s="299">
        <f t="shared" ca="1" si="654"/>
        <v>0</v>
      </c>
      <c r="BW268" s="299">
        <f t="shared" ca="1" si="655"/>
        <v>0</v>
      </c>
      <c r="BX268" s="380">
        <f t="shared" ca="1" si="656"/>
        <v>20.996577686516083</v>
      </c>
      <c r="BY268" s="363">
        <f t="shared" ca="1" si="657"/>
        <v>0</v>
      </c>
      <c r="BZ268" s="353">
        <f t="shared" ca="1" si="658"/>
        <v>0</v>
      </c>
      <c r="CA268" s="353">
        <f t="shared" ca="1" si="659"/>
        <v>0</v>
      </c>
      <c r="CB268" s="353">
        <f t="shared" ca="1" si="660"/>
        <v>0</v>
      </c>
      <c r="CC268" s="353">
        <f t="shared" ca="1" si="661"/>
        <v>0</v>
      </c>
      <c r="CD268" s="353">
        <f t="shared" ca="1" si="662"/>
        <v>0</v>
      </c>
      <c r="CE268" s="302">
        <f t="shared" ca="1" si="663"/>
        <v>0</v>
      </c>
      <c r="CF268" s="299">
        <f t="shared" ca="1" si="664"/>
        <v>0</v>
      </c>
      <c r="CG268" s="299">
        <f t="shared" ca="1" si="665"/>
        <v>0</v>
      </c>
      <c r="CH268" s="299">
        <f t="shared" ca="1" si="666"/>
        <v>0</v>
      </c>
      <c r="CI268" s="299">
        <f t="shared" ca="1" si="667"/>
        <v>0</v>
      </c>
      <c r="CJ268" s="299">
        <f t="shared" ca="1" si="668"/>
        <v>0</v>
      </c>
      <c r="CK268" s="299">
        <f t="shared" ca="1" si="669"/>
        <v>0</v>
      </c>
      <c r="CL268" s="377" t="str">
        <f t="shared" ca="1" si="670"/>
        <v/>
      </c>
      <c r="CM268" s="305" t="str">
        <f t="shared" ca="1" si="671"/>
        <v/>
      </c>
      <c r="CN268" s="305" t="str">
        <f t="shared" ca="1" si="672"/>
        <v/>
      </c>
      <c r="CO268" s="305" t="str">
        <f t="shared" ca="1" si="673"/>
        <v/>
      </c>
      <c r="CP268" s="305" t="str">
        <f t="shared" ca="1" si="674"/>
        <v/>
      </c>
      <c r="CQ268" s="305" t="str">
        <f t="shared" ca="1" si="675"/>
        <v/>
      </c>
      <c r="CR268" s="775" t="str">
        <f t="shared" ca="1" si="676"/>
        <v/>
      </c>
      <c r="CS268" s="305" t="str">
        <f t="shared" ca="1" si="677"/>
        <v/>
      </c>
      <c r="CT268" s="305" t="str">
        <f t="shared" ca="1" si="678"/>
        <v/>
      </c>
      <c r="CU268" s="305" t="str">
        <f t="shared" ca="1" si="679"/>
        <v/>
      </c>
      <c r="CV268" s="770" t="str">
        <f t="shared" ca="1" si="680"/>
        <v/>
      </c>
      <c r="CW268" s="302">
        <f t="shared" ca="1" si="681"/>
        <v>0</v>
      </c>
      <c r="CX268" s="299">
        <f t="shared" ca="1" si="682"/>
        <v>0</v>
      </c>
      <c r="CY268" s="299">
        <f t="shared" ca="1" si="683"/>
        <v>0</v>
      </c>
      <c r="CZ268" s="299">
        <f t="shared" ca="1" si="684"/>
        <v>0</v>
      </c>
      <c r="DA268" s="774">
        <f t="shared" ca="1" si="685"/>
        <v>0</v>
      </c>
      <c r="DB268" s="303">
        <f t="shared" ca="1" si="686"/>
        <v>0</v>
      </c>
      <c r="DC268" s="248">
        <f t="shared" ca="1" si="687"/>
        <v>0</v>
      </c>
      <c r="DD268" s="778">
        <f t="shared" ca="1" si="688"/>
        <v>0</v>
      </c>
      <c r="DE268" s="363">
        <f t="shared" ca="1" si="689"/>
        <v>0</v>
      </c>
      <c r="DF268" s="378" t="str">
        <f t="shared" ca="1" si="690"/>
        <v/>
      </c>
      <c r="DG268" s="508" t="str">
        <f t="shared" ca="1" si="691"/>
        <v/>
      </c>
      <c r="DH268" s="508" t="str">
        <f t="shared" ca="1" si="692"/>
        <v/>
      </c>
      <c r="DI268" s="508" t="str">
        <f t="shared" ca="1" si="693"/>
        <v/>
      </c>
      <c r="DJ268" s="508" t="str">
        <f t="shared" ca="1" si="694"/>
        <v/>
      </c>
      <c r="DK268" s="353">
        <f t="shared" ca="1" si="695"/>
        <v>0</v>
      </c>
      <c r="DL268" s="781">
        <f t="shared" ca="1" si="696"/>
        <v>0</v>
      </c>
      <c r="DM268" s="303">
        <f t="shared" ca="1" si="697"/>
        <v>0</v>
      </c>
      <c r="DN268" s="508" t="str">
        <f t="shared" ca="1" si="698"/>
        <v/>
      </c>
      <c r="DO268" s="508" t="str">
        <f t="shared" ca="1" si="699"/>
        <v/>
      </c>
      <c r="DP268" s="508" t="str">
        <f t="shared" ca="1" si="700"/>
        <v/>
      </c>
      <c r="DQ268" s="508" t="str">
        <f t="shared" ca="1" si="701"/>
        <v/>
      </c>
      <c r="DR268" s="508" t="str">
        <f t="shared" ca="1" si="702"/>
        <v/>
      </c>
      <c r="DS268" s="353">
        <f t="shared" ca="1" si="703"/>
        <v>0</v>
      </c>
      <c r="DT268" s="353">
        <f t="shared" ca="1" si="704"/>
        <v>0</v>
      </c>
      <c r="DU268" s="380">
        <f t="shared" ca="1" si="804"/>
        <v>20.996577686516083</v>
      </c>
      <c r="DV268" s="303">
        <f t="shared" ca="1" si="705"/>
        <v>0</v>
      </c>
      <c r="DW268" s="303">
        <f t="shared" ca="1" si="706"/>
        <v>0</v>
      </c>
      <c r="DX268" s="303">
        <f t="shared" ca="1" si="707"/>
        <v>0</v>
      </c>
      <c r="DY268" s="303">
        <f t="shared" ca="1" si="708"/>
        <v>0</v>
      </c>
      <c r="DZ268" s="303">
        <f t="shared" ca="1" si="709"/>
        <v>0</v>
      </c>
      <c r="EA268" s="303">
        <f t="shared" ca="1" si="710"/>
        <v>0</v>
      </c>
      <c r="EB268" s="302">
        <f t="shared" ca="1" si="711"/>
        <v>0</v>
      </c>
      <c r="EC268" s="299">
        <f t="shared" ca="1" si="712"/>
        <v>0</v>
      </c>
      <c r="ED268" s="299">
        <f t="shared" ca="1" si="713"/>
        <v>0</v>
      </c>
      <c r="EE268" s="299">
        <f t="shared" ca="1" si="714"/>
        <v>0</v>
      </c>
      <c r="EF268" s="299">
        <f t="shared" ca="1" si="715"/>
        <v>0</v>
      </c>
      <c r="EG268" s="299">
        <f t="shared" ca="1" si="716"/>
        <v>0</v>
      </c>
      <c r="EH268" s="302">
        <f t="shared" ca="1" si="717"/>
        <v>0</v>
      </c>
      <c r="EI268" s="304" t="str">
        <f t="shared" ca="1" si="718"/>
        <v/>
      </c>
      <c r="EJ268" s="305" t="str">
        <f t="shared" ca="1" si="719"/>
        <v/>
      </c>
      <c r="EK268" s="305" t="str">
        <f t="shared" ca="1" si="720"/>
        <v/>
      </c>
      <c r="EL268" s="305" t="str">
        <f t="shared" ca="1" si="721"/>
        <v/>
      </c>
      <c r="EM268" s="305" t="str">
        <f t="shared" ca="1" si="722"/>
        <v/>
      </c>
      <c r="EN268" s="305" t="str">
        <f t="shared" ca="1" si="723"/>
        <v/>
      </c>
      <c r="EO268" s="305" t="str">
        <f t="shared" ca="1" si="724"/>
        <v/>
      </c>
      <c r="EP268" s="305" t="str">
        <f t="shared" ca="1" si="725"/>
        <v/>
      </c>
      <c r="EQ268" s="305" t="str">
        <f t="shared" ca="1" si="726"/>
        <v/>
      </c>
      <c r="ER268" s="305" t="str">
        <f t="shared" ca="1" si="727"/>
        <v/>
      </c>
      <c r="ES268" s="305" t="str">
        <f t="shared" ca="1" si="728"/>
        <v/>
      </c>
      <c r="ET268" s="299">
        <f t="shared" ca="1" si="729"/>
        <v>0</v>
      </c>
      <c r="EU268" s="302">
        <f t="shared" ca="1" si="730"/>
        <v>0</v>
      </c>
      <c r="EV268" s="304" t="str">
        <f t="shared" ca="1" si="731"/>
        <v/>
      </c>
      <c r="EW268" s="305" t="str">
        <f t="shared" ca="1" si="732"/>
        <v/>
      </c>
      <c r="EX268" s="305" t="str">
        <f t="shared" ca="1" si="733"/>
        <v/>
      </c>
      <c r="EY268" s="305" t="str">
        <f t="shared" ca="1" si="734"/>
        <v/>
      </c>
      <c r="EZ268" s="305" t="str">
        <f t="shared" ca="1" si="735"/>
        <v/>
      </c>
      <c r="FA268" s="305" t="str">
        <f t="shared" ca="1" si="736"/>
        <v/>
      </c>
      <c r="FB268" s="305" t="str">
        <f t="shared" ca="1" si="737"/>
        <v/>
      </c>
      <c r="FC268" s="305" t="str">
        <f t="shared" ca="1" si="738"/>
        <v/>
      </c>
      <c r="FD268" s="305" t="str">
        <f t="shared" ca="1" si="739"/>
        <v/>
      </c>
      <c r="FE268" s="305" t="str">
        <f t="shared" ca="1" si="740"/>
        <v/>
      </c>
      <c r="FF268" s="305" t="str">
        <f t="shared" ca="1" si="741"/>
        <v/>
      </c>
      <c r="FG268" s="299">
        <f t="shared" ca="1" si="742"/>
        <v>0</v>
      </c>
      <c r="FH268" s="302">
        <f t="shared" ca="1" si="743"/>
        <v>0</v>
      </c>
      <c r="FI268" s="248">
        <f t="shared" ca="1" si="744"/>
        <v>0</v>
      </c>
      <c r="FJ268" s="363">
        <f t="shared" ca="1" si="745"/>
        <v>0</v>
      </c>
      <c r="FK268" s="378" t="str">
        <f t="shared" ca="1" si="746"/>
        <v/>
      </c>
      <c r="FL268" s="508" t="str">
        <f t="shared" ca="1" si="747"/>
        <v/>
      </c>
      <c r="FM268" s="508" t="str">
        <f t="shared" ca="1" si="748"/>
        <v/>
      </c>
      <c r="FN268" s="508" t="str">
        <f t="shared" ca="1" si="749"/>
        <v/>
      </c>
      <c r="FO268" s="508" t="str">
        <f t="shared" ca="1" si="750"/>
        <v/>
      </c>
      <c r="FP268" s="353">
        <f t="shared" ca="1" si="751"/>
        <v>0</v>
      </c>
      <c r="FQ268" s="356">
        <f t="shared" ca="1" si="752"/>
        <v>0</v>
      </c>
      <c r="FR268" s="380">
        <f t="shared" ca="1" si="753"/>
        <v>0</v>
      </c>
      <c r="FS268" s="299">
        <f t="shared" ca="1" si="754"/>
        <v>0</v>
      </c>
      <c r="FT268" s="299">
        <f t="shared" ca="1" si="755"/>
        <v>0</v>
      </c>
      <c r="FU268" s="299">
        <f t="shared" ca="1" si="756"/>
        <v>0</v>
      </c>
      <c r="FV268" s="299">
        <f t="shared" ca="1" si="757"/>
        <v>0</v>
      </c>
      <c r="FW268" s="850" t="str">
        <f t="shared" ca="1" si="758"/>
        <v/>
      </c>
      <c r="FX268" s="851" t="str">
        <f t="shared" ca="1" si="759"/>
        <v/>
      </c>
      <c r="FY268" s="851" t="str">
        <f t="shared" ca="1" si="760"/>
        <v/>
      </c>
      <c r="FZ268" s="201" t="str">
        <f t="shared" ca="1" si="761"/>
        <v/>
      </c>
      <c r="GA268" s="201" t="str">
        <f t="shared" ca="1" si="762"/>
        <v/>
      </c>
      <c r="GB268" s="201" t="str">
        <f t="shared" ca="1" si="763"/>
        <v/>
      </c>
      <c r="GC268" s="201" t="str">
        <f t="shared" ca="1" si="764"/>
        <v/>
      </c>
      <c r="GD268" s="850" t="str">
        <f t="shared" ca="1" si="765"/>
        <v/>
      </c>
      <c r="GE268" s="866" t="str">
        <f t="shared" ca="1" si="766"/>
        <v/>
      </c>
      <c r="GF268" s="866" t="str">
        <f t="shared" ca="1" si="767"/>
        <v/>
      </c>
      <c r="GG268" s="866" t="str">
        <f t="shared" ca="1" si="768"/>
        <v/>
      </c>
      <c r="GH268" s="866" t="str">
        <f t="shared" ca="1" si="769"/>
        <v/>
      </c>
      <c r="GI268" s="302">
        <f t="shared" ca="1" si="770"/>
        <v>0</v>
      </c>
      <c r="GJ268" s="299">
        <f t="shared" ca="1" si="771"/>
        <v>0</v>
      </c>
      <c r="GK268" s="299">
        <f t="shared" ca="1" si="772"/>
        <v>0</v>
      </c>
      <c r="GL268" s="299">
        <f t="shared" ca="1" si="773"/>
        <v>0</v>
      </c>
      <c r="GM268" s="299">
        <f t="shared" ca="1" si="774"/>
        <v>0</v>
      </c>
      <c r="GN268" s="302">
        <f t="shared" ca="1" si="775"/>
        <v>0</v>
      </c>
      <c r="GO268" s="299">
        <f t="shared" ca="1" si="776"/>
        <v>0</v>
      </c>
      <c r="GP268" s="299">
        <f t="shared" ca="1" si="777"/>
        <v>0</v>
      </c>
      <c r="GQ268" s="299">
        <f t="shared" ca="1" si="778"/>
        <v>0</v>
      </c>
      <c r="GR268" s="299">
        <f t="shared" ca="1" si="779"/>
        <v>0</v>
      </c>
      <c r="GS268" s="302">
        <f t="shared" ca="1" si="780"/>
        <v>0</v>
      </c>
      <c r="GT268" s="299">
        <f t="shared" ca="1" si="781"/>
        <v>0</v>
      </c>
      <c r="GU268" s="299">
        <f t="shared" ca="1" si="782"/>
        <v>0</v>
      </c>
      <c r="GV268" s="299">
        <f t="shared" ca="1" si="783"/>
        <v>0</v>
      </c>
      <c r="GW268" s="299">
        <f t="shared" ca="1" si="784"/>
        <v>0</v>
      </c>
      <c r="GX268" s="303">
        <f t="shared" ca="1" si="785"/>
        <v>0</v>
      </c>
      <c r="GY268" s="303">
        <f t="shared" ca="1" si="786"/>
        <v>0</v>
      </c>
      <c r="GZ268" s="303">
        <f t="shared" ca="1" si="787"/>
        <v>0</v>
      </c>
      <c r="HA268" s="303">
        <f t="shared" ca="1" si="788"/>
        <v>0</v>
      </c>
      <c r="HB268" s="303">
        <f t="shared" ca="1" si="789"/>
        <v>0</v>
      </c>
      <c r="HC268" s="303">
        <f t="shared" ca="1" si="790"/>
        <v>0</v>
      </c>
      <c r="HD268" s="303">
        <f t="shared" ca="1" si="791"/>
        <v>0</v>
      </c>
      <c r="HE268" s="303">
        <f t="shared" ca="1" si="792"/>
        <v>0</v>
      </c>
      <c r="HF268" s="303">
        <f t="shared" ca="1" si="793"/>
        <v>0</v>
      </c>
      <c r="HG268" s="852">
        <f t="shared" ca="1" si="794"/>
        <v>0</v>
      </c>
    </row>
    <row r="269" spans="1:215" x14ac:dyDescent="0.25">
      <c r="A269" s="244">
        <f t="shared" ca="1" si="795"/>
        <v>44287</v>
      </c>
      <c r="B269" s="13">
        <f t="shared" ca="1" si="828"/>
        <v>2021</v>
      </c>
      <c r="C269" s="619">
        <f t="shared" ca="1" si="829"/>
        <v>4</v>
      </c>
      <c r="D269" s="195" t="str">
        <f t="shared" ca="1" si="625"/>
        <v/>
      </c>
      <c r="E269" s="469" t="str">
        <f t="shared" ca="1" si="626"/>
        <v/>
      </c>
      <c r="F269" s="465" t="str">
        <f t="shared" ca="1" si="627"/>
        <v/>
      </c>
      <c r="G269" s="522">
        <f t="shared" ca="1" si="796"/>
        <v>1</v>
      </c>
      <c r="H269" s="519">
        <f t="shared" ca="1" si="797"/>
        <v>1</v>
      </c>
      <c r="I269" s="724">
        <f t="shared" ca="1" si="830"/>
        <v>7.4052557607456992E-2</v>
      </c>
      <c r="J269" s="198">
        <f t="shared" ca="1" si="629"/>
        <v>0.2138066841301052</v>
      </c>
      <c r="K269" s="200" t="e">
        <f t="shared" ca="1" si="805"/>
        <v>#N/A</v>
      </c>
      <c r="L269" s="201" t="e">
        <f t="shared" ca="1" si="806"/>
        <v>#N/A</v>
      </c>
      <c r="M269" s="206" t="e">
        <f t="shared" ca="1" si="807"/>
        <v>#N/A</v>
      </c>
      <c r="N269" s="851" t="e">
        <f t="shared" ca="1" si="811"/>
        <v>#N/A</v>
      </c>
      <c r="O269" s="201" t="e">
        <f t="shared" ca="1" si="812"/>
        <v>#N/A</v>
      </c>
      <c r="P269" s="206" t="e">
        <f t="shared" ca="1" si="813"/>
        <v>#N/A</v>
      </c>
      <c r="Q269" s="201" t="e">
        <f t="shared" ca="1" si="814"/>
        <v>#N/A</v>
      </c>
      <c r="R269" s="201" t="e">
        <f t="shared" ca="1" si="815"/>
        <v>#N/A</v>
      </c>
      <c r="S269" s="201" t="e">
        <f t="shared" ca="1" si="816"/>
        <v>#N/A</v>
      </c>
      <c r="T269" s="851" t="e">
        <f t="shared" ca="1" si="808"/>
        <v>#N/A</v>
      </c>
      <c r="U269" s="201" t="e">
        <f t="shared" ca="1" si="809"/>
        <v>#N/A</v>
      </c>
      <c r="V269" s="206" t="e">
        <f t="shared" ca="1" si="810"/>
        <v>#N/A</v>
      </c>
      <c r="W269" s="230" t="e">
        <f t="shared" ca="1" si="798"/>
        <v>#N/A</v>
      </c>
      <c r="X269" s="231" t="e">
        <f t="shared" ca="1" si="799"/>
        <v>#N/A</v>
      </c>
      <c r="Y269" s="232" t="e">
        <f t="shared" ca="1" si="800"/>
        <v>#N/A</v>
      </c>
      <c r="Z269" s="231" t="e">
        <f t="shared" ca="1" si="820"/>
        <v>#N/A</v>
      </c>
      <c r="AA269" s="231" t="e">
        <f t="shared" ca="1" si="821"/>
        <v>#N/A</v>
      </c>
      <c r="AB269" s="232" t="e">
        <f t="shared" ca="1" si="822"/>
        <v>#N/A</v>
      </c>
      <c r="AC269" s="231" t="e">
        <f t="shared" ca="1" si="823"/>
        <v>#N/A</v>
      </c>
      <c r="AD269" s="231" t="e">
        <f t="shared" ca="1" si="824"/>
        <v>#N/A</v>
      </c>
      <c r="AE269" s="232" t="e">
        <f t="shared" ca="1" si="630"/>
        <v>#N/A</v>
      </c>
      <c r="AF269" s="231" t="e">
        <f t="shared" ca="1" si="801"/>
        <v>#N/A</v>
      </c>
      <c r="AG269" s="231" t="e">
        <f t="shared" ca="1" si="802"/>
        <v>#N/A</v>
      </c>
      <c r="AH269" s="232" t="e">
        <f t="shared" ca="1" si="803"/>
        <v>#N/A</v>
      </c>
      <c r="AI269" s="233" t="e">
        <f t="shared" ca="1" si="631"/>
        <v>#N/A</v>
      </c>
      <c r="AJ269" s="233" t="e">
        <f t="shared" ca="1" si="632"/>
        <v>#N/A</v>
      </c>
      <c r="AK269" s="234" t="e">
        <f t="shared" ca="1" si="633"/>
        <v>#N/A</v>
      </c>
      <c r="AL269" s="919" t="e">
        <f t="shared" ca="1" si="634"/>
        <v>#N/A</v>
      </c>
      <c r="AM269" s="233" t="e">
        <f t="shared" ca="1" si="635"/>
        <v>#N/A</v>
      </c>
      <c r="AN269" s="234" t="e">
        <f t="shared" ca="1" si="636"/>
        <v>#N/A</v>
      </c>
      <c r="AO269" s="233" t="e">
        <f t="shared" ca="1" si="637"/>
        <v>#N/A</v>
      </c>
      <c r="AP269" s="233" t="e">
        <f t="shared" ca="1" si="638"/>
        <v>#N/A</v>
      </c>
      <c r="AQ269" s="233" t="e">
        <f t="shared" ca="1" si="639"/>
        <v>#N/A</v>
      </c>
      <c r="AR269" s="919" t="e">
        <f t="shared" ca="1" si="640"/>
        <v>#N/A</v>
      </c>
      <c r="AS269" s="233" t="e">
        <f t="shared" ca="1" si="641"/>
        <v>#N/A</v>
      </c>
      <c r="AT269" s="235" t="e">
        <f t="shared" ca="1" si="642"/>
        <v>#N/A</v>
      </c>
      <c r="AU269" s="946">
        <f t="shared" si="643"/>
        <v>0.5</v>
      </c>
      <c r="AV269" s="13">
        <f t="shared" ca="1" si="644"/>
        <v>0</v>
      </c>
      <c r="AW269" s="210">
        <f t="shared" ca="1" si="645"/>
        <v>0</v>
      </c>
      <c r="AX269" s="210">
        <f t="shared" ca="1" si="646"/>
        <v>0</v>
      </c>
      <c r="AY269" s="210">
        <f t="shared" ca="1" si="647"/>
        <v>0</v>
      </c>
      <c r="AZ269" s="13">
        <f t="shared" ca="1" si="648"/>
        <v>0</v>
      </c>
      <c r="BA269" s="357">
        <f ca="1"/>
        <v>0</v>
      </c>
      <c r="BB269" s="925">
        <f ca="1"/>
        <v>0</v>
      </c>
      <c r="BC269" s="925">
        <f ca="1"/>
        <v>0</v>
      </c>
      <c r="BD269" s="928">
        <f ca="1"/>
        <v>0</v>
      </c>
      <c r="BE269" s="200">
        <f ca="1"/>
        <v>0</v>
      </c>
      <c r="BF269" s="851">
        <f ca="1"/>
        <v>0</v>
      </c>
      <c r="BG269" s="851">
        <f ca="1"/>
        <v>0</v>
      </c>
      <c r="BH269" s="933">
        <f ca="1"/>
        <v>0</v>
      </c>
      <c r="BI269" s="357">
        <f ca="1"/>
        <v>0</v>
      </c>
      <c r="BJ269" s="925">
        <f ca="1"/>
        <v>0</v>
      </c>
      <c r="BK269" s="925">
        <f ca="1"/>
        <v>0</v>
      </c>
      <c r="BL269" s="928">
        <f ca="1"/>
        <v>0</v>
      </c>
      <c r="BM269" s="200">
        <f ca="1"/>
        <v>0</v>
      </c>
      <c r="BN269" s="851">
        <f ca="1"/>
        <v>0</v>
      </c>
      <c r="BO269" s="851">
        <f ca="1"/>
        <v>0</v>
      </c>
      <c r="BP269" s="933">
        <f ca="1"/>
        <v>0</v>
      </c>
      <c r="BQ269" s="357">
        <f t="shared" ca="1" si="649"/>
        <v>0</v>
      </c>
      <c r="BR269" s="361">
        <f t="shared" ca="1" si="650"/>
        <v>0</v>
      </c>
      <c r="BS269" s="357">
        <f t="shared" ca="1" si="651"/>
        <v>0</v>
      </c>
      <c r="BT269" s="302">
        <f t="shared" ca="1" si="652"/>
        <v>0</v>
      </c>
      <c r="BU269" s="299">
        <f t="shared" ca="1" si="653"/>
        <v>0</v>
      </c>
      <c r="BV269" s="299">
        <f t="shared" ca="1" si="654"/>
        <v>0</v>
      </c>
      <c r="BW269" s="299">
        <f t="shared" ca="1" si="655"/>
        <v>0</v>
      </c>
      <c r="BX269" s="380">
        <f t="shared" ca="1" si="656"/>
        <v>21.081451060917178</v>
      </c>
      <c r="BY269" s="363">
        <f t="shared" ca="1" si="657"/>
        <v>0</v>
      </c>
      <c r="BZ269" s="353">
        <f t="shared" ca="1" si="658"/>
        <v>0</v>
      </c>
      <c r="CA269" s="353">
        <f t="shared" ca="1" si="659"/>
        <v>0</v>
      </c>
      <c r="CB269" s="353">
        <f t="shared" ca="1" si="660"/>
        <v>0</v>
      </c>
      <c r="CC269" s="353">
        <f t="shared" ca="1" si="661"/>
        <v>0</v>
      </c>
      <c r="CD269" s="353">
        <f t="shared" ca="1" si="662"/>
        <v>0</v>
      </c>
      <c r="CE269" s="302">
        <f t="shared" ca="1" si="663"/>
        <v>0</v>
      </c>
      <c r="CF269" s="299">
        <f t="shared" ca="1" si="664"/>
        <v>0</v>
      </c>
      <c r="CG269" s="299">
        <f t="shared" ca="1" si="665"/>
        <v>0</v>
      </c>
      <c r="CH269" s="299">
        <f t="shared" ca="1" si="666"/>
        <v>0</v>
      </c>
      <c r="CI269" s="299">
        <f t="shared" ca="1" si="667"/>
        <v>0</v>
      </c>
      <c r="CJ269" s="299">
        <f t="shared" ca="1" si="668"/>
        <v>0</v>
      </c>
      <c r="CK269" s="299">
        <f t="shared" ca="1" si="669"/>
        <v>0</v>
      </c>
      <c r="CL269" s="377" t="str">
        <f t="shared" ca="1" si="670"/>
        <v/>
      </c>
      <c r="CM269" s="305" t="str">
        <f t="shared" ca="1" si="671"/>
        <v/>
      </c>
      <c r="CN269" s="305" t="str">
        <f t="shared" ca="1" si="672"/>
        <v/>
      </c>
      <c r="CO269" s="305" t="str">
        <f t="shared" ca="1" si="673"/>
        <v/>
      </c>
      <c r="CP269" s="305" t="str">
        <f t="shared" ca="1" si="674"/>
        <v/>
      </c>
      <c r="CQ269" s="305" t="str">
        <f t="shared" ca="1" si="675"/>
        <v/>
      </c>
      <c r="CR269" s="775" t="str">
        <f t="shared" ca="1" si="676"/>
        <v/>
      </c>
      <c r="CS269" s="305" t="str">
        <f t="shared" ca="1" si="677"/>
        <v/>
      </c>
      <c r="CT269" s="305" t="str">
        <f t="shared" ca="1" si="678"/>
        <v/>
      </c>
      <c r="CU269" s="305" t="str">
        <f t="shared" ca="1" si="679"/>
        <v/>
      </c>
      <c r="CV269" s="770" t="str">
        <f t="shared" ca="1" si="680"/>
        <v/>
      </c>
      <c r="CW269" s="302">
        <f t="shared" ca="1" si="681"/>
        <v>0</v>
      </c>
      <c r="CX269" s="299">
        <f t="shared" ca="1" si="682"/>
        <v>0</v>
      </c>
      <c r="CY269" s="299">
        <f t="shared" ca="1" si="683"/>
        <v>0</v>
      </c>
      <c r="CZ269" s="299">
        <f t="shared" ca="1" si="684"/>
        <v>0</v>
      </c>
      <c r="DA269" s="774">
        <f t="shared" ca="1" si="685"/>
        <v>0</v>
      </c>
      <c r="DB269" s="303">
        <f t="shared" ca="1" si="686"/>
        <v>0</v>
      </c>
      <c r="DC269" s="248">
        <f t="shared" ca="1" si="687"/>
        <v>0</v>
      </c>
      <c r="DD269" s="778">
        <f t="shared" ca="1" si="688"/>
        <v>0</v>
      </c>
      <c r="DE269" s="363">
        <f t="shared" ca="1" si="689"/>
        <v>0</v>
      </c>
      <c r="DF269" s="378" t="str">
        <f t="shared" ca="1" si="690"/>
        <v/>
      </c>
      <c r="DG269" s="508" t="str">
        <f t="shared" ca="1" si="691"/>
        <v/>
      </c>
      <c r="DH269" s="508" t="str">
        <f t="shared" ca="1" si="692"/>
        <v/>
      </c>
      <c r="DI269" s="508" t="str">
        <f t="shared" ca="1" si="693"/>
        <v/>
      </c>
      <c r="DJ269" s="508" t="str">
        <f t="shared" ca="1" si="694"/>
        <v/>
      </c>
      <c r="DK269" s="353">
        <f t="shared" ca="1" si="695"/>
        <v>0</v>
      </c>
      <c r="DL269" s="781">
        <f t="shared" ca="1" si="696"/>
        <v>0</v>
      </c>
      <c r="DM269" s="303">
        <f t="shared" ca="1" si="697"/>
        <v>0</v>
      </c>
      <c r="DN269" s="508" t="str">
        <f t="shared" ca="1" si="698"/>
        <v/>
      </c>
      <c r="DO269" s="508" t="str">
        <f t="shared" ca="1" si="699"/>
        <v/>
      </c>
      <c r="DP269" s="508" t="str">
        <f t="shared" ca="1" si="700"/>
        <v/>
      </c>
      <c r="DQ269" s="508" t="str">
        <f t="shared" ca="1" si="701"/>
        <v/>
      </c>
      <c r="DR269" s="508" t="str">
        <f t="shared" ca="1" si="702"/>
        <v/>
      </c>
      <c r="DS269" s="353">
        <f t="shared" ca="1" si="703"/>
        <v>0</v>
      </c>
      <c r="DT269" s="353">
        <f t="shared" ca="1" si="704"/>
        <v>0</v>
      </c>
      <c r="DU269" s="380">
        <f t="shared" ca="1" si="804"/>
        <v>21.081451060917178</v>
      </c>
      <c r="DV269" s="303">
        <f t="shared" ca="1" si="705"/>
        <v>0</v>
      </c>
      <c r="DW269" s="303">
        <f t="shared" ca="1" si="706"/>
        <v>0</v>
      </c>
      <c r="DX269" s="303">
        <f t="shared" ca="1" si="707"/>
        <v>0</v>
      </c>
      <c r="DY269" s="303">
        <f t="shared" ca="1" si="708"/>
        <v>0</v>
      </c>
      <c r="DZ269" s="303">
        <f t="shared" ca="1" si="709"/>
        <v>0</v>
      </c>
      <c r="EA269" s="303">
        <f t="shared" ca="1" si="710"/>
        <v>0</v>
      </c>
      <c r="EB269" s="302">
        <f t="shared" ca="1" si="711"/>
        <v>0</v>
      </c>
      <c r="EC269" s="299">
        <f t="shared" ca="1" si="712"/>
        <v>0</v>
      </c>
      <c r="ED269" s="299">
        <f t="shared" ca="1" si="713"/>
        <v>0</v>
      </c>
      <c r="EE269" s="299">
        <f t="shared" ca="1" si="714"/>
        <v>0</v>
      </c>
      <c r="EF269" s="299">
        <f t="shared" ca="1" si="715"/>
        <v>0</v>
      </c>
      <c r="EG269" s="299">
        <f t="shared" ca="1" si="716"/>
        <v>0</v>
      </c>
      <c r="EH269" s="302">
        <f t="shared" ca="1" si="717"/>
        <v>0</v>
      </c>
      <c r="EI269" s="304" t="str">
        <f t="shared" ca="1" si="718"/>
        <v/>
      </c>
      <c r="EJ269" s="305" t="str">
        <f t="shared" ca="1" si="719"/>
        <v/>
      </c>
      <c r="EK269" s="305" t="str">
        <f t="shared" ca="1" si="720"/>
        <v/>
      </c>
      <c r="EL269" s="305" t="str">
        <f t="shared" ca="1" si="721"/>
        <v/>
      </c>
      <c r="EM269" s="305" t="str">
        <f t="shared" ca="1" si="722"/>
        <v/>
      </c>
      <c r="EN269" s="305" t="str">
        <f t="shared" ca="1" si="723"/>
        <v/>
      </c>
      <c r="EO269" s="305" t="str">
        <f t="shared" ca="1" si="724"/>
        <v/>
      </c>
      <c r="EP269" s="305" t="str">
        <f t="shared" ca="1" si="725"/>
        <v/>
      </c>
      <c r="EQ269" s="305" t="str">
        <f t="shared" ca="1" si="726"/>
        <v/>
      </c>
      <c r="ER269" s="305" t="str">
        <f t="shared" ca="1" si="727"/>
        <v/>
      </c>
      <c r="ES269" s="305" t="str">
        <f t="shared" ca="1" si="728"/>
        <v/>
      </c>
      <c r="ET269" s="299">
        <f t="shared" ca="1" si="729"/>
        <v>0</v>
      </c>
      <c r="EU269" s="302">
        <f t="shared" ca="1" si="730"/>
        <v>0</v>
      </c>
      <c r="EV269" s="304" t="str">
        <f t="shared" ca="1" si="731"/>
        <v/>
      </c>
      <c r="EW269" s="305" t="str">
        <f t="shared" ca="1" si="732"/>
        <v/>
      </c>
      <c r="EX269" s="305" t="str">
        <f t="shared" ca="1" si="733"/>
        <v/>
      </c>
      <c r="EY269" s="305" t="str">
        <f t="shared" ca="1" si="734"/>
        <v/>
      </c>
      <c r="EZ269" s="305" t="str">
        <f t="shared" ca="1" si="735"/>
        <v/>
      </c>
      <c r="FA269" s="305" t="str">
        <f t="shared" ca="1" si="736"/>
        <v/>
      </c>
      <c r="FB269" s="305" t="str">
        <f t="shared" ca="1" si="737"/>
        <v/>
      </c>
      <c r="FC269" s="305" t="str">
        <f t="shared" ca="1" si="738"/>
        <v/>
      </c>
      <c r="FD269" s="305" t="str">
        <f t="shared" ca="1" si="739"/>
        <v/>
      </c>
      <c r="FE269" s="305" t="str">
        <f t="shared" ca="1" si="740"/>
        <v/>
      </c>
      <c r="FF269" s="305" t="str">
        <f t="shared" ca="1" si="741"/>
        <v/>
      </c>
      <c r="FG269" s="299">
        <f t="shared" ca="1" si="742"/>
        <v>0</v>
      </c>
      <c r="FH269" s="302">
        <f t="shared" ca="1" si="743"/>
        <v>0</v>
      </c>
      <c r="FI269" s="248">
        <f t="shared" ca="1" si="744"/>
        <v>0</v>
      </c>
      <c r="FJ269" s="363">
        <f t="shared" ca="1" si="745"/>
        <v>0</v>
      </c>
      <c r="FK269" s="378" t="str">
        <f t="shared" ca="1" si="746"/>
        <v/>
      </c>
      <c r="FL269" s="508" t="str">
        <f t="shared" ca="1" si="747"/>
        <v/>
      </c>
      <c r="FM269" s="508" t="str">
        <f t="shared" ca="1" si="748"/>
        <v/>
      </c>
      <c r="FN269" s="508" t="str">
        <f t="shared" ca="1" si="749"/>
        <v/>
      </c>
      <c r="FO269" s="508" t="str">
        <f t="shared" ca="1" si="750"/>
        <v/>
      </c>
      <c r="FP269" s="353">
        <f t="shared" ca="1" si="751"/>
        <v>0</v>
      </c>
      <c r="FQ269" s="356">
        <f t="shared" ca="1" si="752"/>
        <v>0</v>
      </c>
      <c r="FR269" s="380">
        <f t="shared" ca="1" si="753"/>
        <v>0</v>
      </c>
      <c r="FS269" s="299">
        <f t="shared" ca="1" si="754"/>
        <v>0</v>
      </c>
      <c r="FT269" s="299">
        <f t="shared" ca="1" si="755"/>
        <v>0</v>
      </c>
      <c r="FU269" s="299">
        <f t="shared" ca="1" si="756"/>
        <v>0</v>
      </c>
      <c r="FV269" s="299">
        <f t="shared" ca="1" si="757"/>
        <v>0</v>
      </c>
      <c r="FW269" s="850" t="str">
        <f t="shared" ca="1" si="758"/>
        <v/>
      </c>
      <c r="FX269" s="851" t="str">
        <f t="shared" ca="1" si="759"/>
        <v/>
      </c>
      <c r="FY269" s="851" t="str">
        <f t="shared" ca="1" si="760"/>
        <v/>
      </c>
      <c r="FZ269" s="201" t="str">
        <f t="shared" ca="1" si="761"/>
        <v/>
      </c>
      <c r="GA269" s="201" t="str">
        <f t="shared" ca="1" si="762"/>
        <v/>
      </c>
      <c r="GB269" s="201" t="str">
        <f t="shared" ca="1" si="763"/>
        <v/>
      </c>
      <c r="GC269" s="201" t="str">
        <f t="shared" ca="1" si="764"/>
        <v/>
      </c>
      <c r="GD269" s="850" t="str">
        <f t="shared" ca="1" si="765"/>
        <v/>
      </c>
      <c r="GE269" s="866" t="str">
        <f t="shared" ca="1" si="766"/>
        <v/>
      </c>
      <c r="GF269" s="866" t="str">
        <f t="shared" ca="1" si="767"/>
        <v/>
      </c>
      <c r="GG269" s="866" t="str">
        <f t="shared" ca="1" si="768"/>
        <v/>
      </c>
      <c r="GH269" s="866" t="str">
        <f t="shared" ca="1" si="769"/>
        <v/>
      </c>
      <c r="GI269" s="302">
        <f t="shared" ca="1" si="770"/>
        <v>0</v>
      </c>
      <c r="GJ269" s="299">
        <f t="shared" ca="1" si="771"/>
        <v>0</v>
      </c>
      <c r="GK269" s="299">
        <f t="shared" ca="1" si="772"/>
        <v>0</v>
      </c>
      <c r="GL269" s="299">
        <f t="shared" ca="1" si="773"/>
        <v>0</v>
      </c>
      <c r="GM269" s="299">
        <f t="shared" ca="1" si="774"/>
        <v>0</v>
      </c>
      <c r="GN269" s="302">
        <f t="shared" ca="1" si="775"/>
        <v>0</v>
      </c>
      <c r="GO269" s="299">
        <f t="shared" ca="1" si="776"/>
        <v>0</v>
      </c>
      <c r="GP269" s="299">
        <f t="shared" ca="1" si="777"/>
        <v>0</v>
      </c>
      <c r="GQ269" s="299">
        <f t="shared" ca="1" si="778"/>
        <v>0</v>
      </c>
      <c r="GR269" s="299">
        <f t="shared" ca="1" si="779"/>
        <v>0</v>
      </c>
      <c r="GS269" s="302">
        <f t="shared" ca="1" si="780"/>
        <v>0</v>
      </c>
      <c r="GT269" s="299">
        <f t="shared" ca="1" si="781"/>
        <v>0</v>
      </c>
      <c r="GU269" s="299">
        <f t="shared" ca="1" si="782"/>
        <v>0</v>
      </c>
      <c r="GV269" s="299">
        <f t="shared" ca="1" si="783"/>
        <v>0</v>
      </c>
      <c r="GW269" s="299">
        <f t="shared" ca="1" si="784"/>
        <v>0</v>
      </c>
      <c r="GX269" s="303">
        <f t="shared" ca="1" si="785"/>
        <v>0</v>
      </c>
      <c r="GY269" s="303">
        <f t="shared" ca="1" si="786"/>
        <v>0</v>
      </c>
      <c r="GZ269" s="303">
        <f t="shared" ca="1" si="787"/>
        <v>0</v>
      </c>
      <c r="HA269" s="303">
        <f t="shared" ca="1" si="788"/>
        <v>0</v>
      </c>
      <c r="HB269" s="303">
        <f t="shared" ca="1" si="789"/>
        <v>0</v>
      </c>
      <c r="HC269" s="303">
        <f t="shared" ca="1" si="790"/>
        <v>0</v>
      </c>
      <c r="HD269" s="303">
        <f t="shared" ca="1" si="791"/>
        <v>0</v>
      </c>
      <c r="HE269" s="303">
        <f t="shared" ca="1" si="792"/>
        <v>0</v>
      </c>
      <c r="HF269" s="303">
        <f t="shared" ca="1" si="793"/>
        <v>0</v>
      </c>
      <c r="HG269" s="852">
        <f t="shared" ca="1" si="794"/>
        <v>0</v>
      </c>
    </row>
    <row r="270" spans="1:215" x14ac:dyDescent="0.25">
      <c r="A270" s="244">
        <f t="shared" ca="1" si="795"/>
        <v>44317</v>
      </c>
      <c r="B270" s="13">
        <f t="shared" ca="1" si="828"/>
        <v>2021</v>
      </c>
      <c r="C270" s="619">
        <f t="shared" ca="1" si="829"/>
        <v>5</v>
      </c>
      <c r="D270" s="195">
        <f t="shared" ca="1" si="625"/>
        <v>44347</v>
      </c>
      <c r="E270" s="469" t="str">
        <f t="shared" ca="1" si="626"/>
        <v/>
      </c>
      <c r="F270" s="465" t="str">
        <f t="shared" ca="1" si="627"/>
        <v/>
      </c>
      <c r="G270" s="522">
        <f t="shared" ca="1" si="796"/>
        <v>1</v>
      </c>
      <c r="H270" s="519">
        <f t="shared" ca="1" si="797"/>
        <v>1</v>
      </c>
      <c r="I270" s="724">
        <f t="shared" ca="1" si="830"/>
        <v>7.4043620224405998E-2</v>
      </c>
      <c r="J270" s="198">
        <f t="shared" ca="1" si="629"/>
        <v>0.21253024487718952</v>
      </c>
      <c r="K270" s="200" t="e">
        <f t="shared" ca="1" si="805"/>
        <v>#N/A</v>
      </c>
      <c r="L270" s="201" t="e">
        <f t="shared" ca="1" si="806"/>
        <v>#N/A</v>
      </c>
      <c r="M270" s="206" t="e">
        <f t="shared" ca="1" si="807"/>
        <v>#N/A</v>
      </c>
      <c r="N270" s="851" t="e">
        <f t="shared" ca="1" si="811"/>
        <v>#N/A</v>
      </c>
      <c r="O270" s="201" t="e">
        <f t="shared" ca="1" si="812"/>
        <v>#N/A</v>
      </c>
      <c r="P270" s="206" t="e">
        <f t="shared" ca="1" si="813"/>
        <v>#N/A</v>
      </c>
      <c r="Q270" s="201" t="e">
        <f t="shared" ca="1" si="814"/>
        <v>#N/A</v>
      </c>
      <c r="R270" s="201" t="e">
        <f t="shared" ca="1" si="815"/>
        <v>#N/A</v>
      </c>
      <c r="S270" s="201" t="e">
        <f t="shared" ca="1" si="816"/>
        <v>#N/A</v>
      </c>
      <c r="T270" s="851" t="e">
        <f t="shared" ca="1" si="808"/>
        <v>#N/A</v>
      </c>
      <c r="U270" s="201" t="e">
        <f t="shared" ca="1" si="809"/>
        <v>#N/A</v>
      </c>
      <c r="V270" s="206" t="e">
        <f t="shared" ca="1" si="810"/>
        <v>#N/A</v>
      </c>
      <c r="W270" s="230" t="e">
        <f t="shared" ca="1" si="798"/>
        <v>#N/A</v>
      </c>
      <c r="X270" s="231" t="e">
        <f t="shared" ca="1" si="799"/>
        <v>#N/A</v>
      </c>
      <c r="Y270" s="232" t="e">
        <f t="shared" ca="1" si="800"/>
        <v>#N/A</v>
      </c>
      <c r="Z270" s="231" t="e">
        <f t="shared" ca="1" si="820"/>
        <v>#N/A</v>
      </c>
      <c r="AA270" s="231" t="e">
        <f t="shared" ca="1" si="821"/>
        <v>#N/A</v>
      </c>
      <c r="AB270" s="232" t="e">
        <f t="shared" ca="1" si="822"/>
        <v>#N/A</v>
      </c>
      <c r="AC270" s="231" t="e">
        <f t="shared" ca="1" si="823"/>
        <v>#N/A</v>
      </c>
      <c r="AD270" s="231" t="e">
        <f t="shared" ca="1" si="824"/>
        <v>#N/A</v>
      </c>
      <c r="AE270" s="232" t="e">
        <f t="shared" ca="1" si="630"/>
        <v>#N/A</v>
      </c>
      <c r="AF270" s="231" t="e">
        <f t="shared" ca="1" si="801"/>
        <v>#N/A</v>
      </c>
      <c r="AG270" s="231" t="e">
        <f t="shared" ca="1" si="802"/>
        <v>#N/A</v>
      </c>
      <c r="AH270" s="232" t="e">
        <f t="shared" ca="1" si="803"/>
        <v>#N/A</v>
      </c>
      <c r="AI270" s="233" t="e">
        <f t="shared" ca="1" si="631"/>
        <v>#N/A</v>
      </c>
      <c r="AJ270" s="233" t="e">
        <f t="shared" ca="1" si="632"/>
        <v>#N/A</v>
      </c>
      <c r="AK270" s="234" t="e">
        <f t="shared" ca="1" si="633"/>
        <v>#N/A</v>
      </c>
      <c r="AL270" s="919" t="e">
        <f t="shared" ca="1" si="634"/>
        <v>#N/A</v>
      </c>
      <c r="AM270" s="233" t="e">
        <f t="shared" ca="1" si="635"/>
        <v>#N/A</v>
      </c>
      <c r="AN270" s="234" t="e">
        <f t="shared" ca="1" si="636"/>
        <v>#N/A</v>
      </c>
      <c r="AO270" s="233" t="e">
        <f t="shared" ca="1" si="637"/>
        <v>#N/A</v>
      </c>
      <c r="AP270" s="233" t="e">
        <f t="shared" ca="1" si="638"/>
        <v>#N/A</v>
      </c>
      <c r="AQ270" s="233" t="e">
        <f t="shared" ca="1" si="639"/>
        <v>#N/A</v>
      </c>
      <c r="AR270" s="919" t="e">
        <f t="shared" ca="1" si="640"/>
        <v>#N/A</v>
      </c>
      <c r="AS270" s="233" t="e">
        <f t="shared" ca="1" si="641"/>
        <v>#N/A</v>
      </c>
      <c r="AT270" s="235" t="e">
        <f t="shared" ca="1" si="642"/>
        <v>#N/A</v>
      </c>
      <c r="AU270" s="946">
        <f t="shared" si="643"/>
        <v>0.5</v>
      </c>
      <c r="AV270" s="13">
        <f t="shared" ca="1" si="644"/>
        <v>0</v>
      </c>
      <c r="AW270" s="210">
        <f t="shared" ca="1" si="645"/>
        <v>0</v>
      </c>
      <c r="AX270" s="210">
        <f t="shared" ca="1" si="646"/>
        <v>0</v>
      </c>
      <c r="AY270" s="210">
        <f t="shared" ca="1" si="647"/>
        <v>0</v>
      </c>
      <c r="AZ270" s="13">
        <f t="shared" ca="1" si="648"/>
        <v>0</v>
      </c>
      <c r="BA270" s="357">
        <f ca="1"/>
        <v>0</v>
      </c>
      <c r="BB270" s="925">
        <f ca="1"/>
        <v>0</v>
      </c>
      <c r="BC270" s="925">
        <f ca="1"/>
        <v>0</v>
      </c>
      <c r="BD270" s="928">
        <f ca="1"/>
        <v>0</v>
      </c>
      <c r="BE270" s="200">
        <f ca="1"/>
        <v>0</v>
      </c>
      <c r="BF270" s="851">
        <f ca="1"/>
        <v>0</v>
      </c>
      <c r="BG270" s="851">
        <f ca="1"/>
        <v>0</v>
      </c>
      <c r="BH270" s="933">
        <f ca="1"/>
        <v>0</v>
      </c>
      <c r="BI270" s="357">
        <f ca="1"/>
        <v>0</v>
      </c>
      <c r="BJ270" s="925">
        <f ca="1"/>
        <v>0</v>
      </c>
      <c r="BK270" s="925">
        <f ca="1"/>
        <v>0</v>
      </c>
      <c r="BL270" s="928">
        <f ca="1"/>
        <v>0</v>
      </c>
      <c r="BM270" s="200">
        <f ca="1"/>
        <v>0</v>
      </c>
      <c r="BN270" s="851">
        <f ca="1"/>
        <v>0</v>
      </c>
      <c r="BO270" s="851">
        <f ca="1"/>
        <v>0</v>
      </c>
      <c r="BP270" s="933">
        <f ca="1"/>
        <v>0</v>
      </c>
      <c r="BQ270" s="357">
        <f t="shared" ca="1" si="649"/>
        <v>0</v>
      </c>
      <c r="BR270" s="361">
        <f t="shared" ca="1" si="650"/>
        <v>0</v>
      </c>
      <c r="BS270" s="357">
        <f t="shared" ca="1" si="651"/>
        <v>0</v>
      </c>
      <c r="BT270" s="302">
        <f t="shared" ca="1" si="652"/>
        <v>0</v>
      </c>
      <c r="BU270" s="299">
        <f t="shared" ca="1" si="653"/>
        <v>0</v>
      </c>
      <c r="BV270" s="299">
        <f t="shared" ca="1" si="654"/>
        <v>0</v>
      </c>
      <c r="BW270" s="299">
        <f t="shared" ca="1" si="655"/>
        <v>0</v>
      </c>
      <c r="BX270" s="380">
        <f t="shared" ca="1" si="656"/>
        <v>21.163586584531142</v>
      </c>
      <c r="BY270" s="363">
        <f t="shared" ca="1" si="657"/>
        <v>0</v>
      </c>
      <c r="BZ270" s="353">
        <f t="shared" ca="1" si="658"/>
        <v>0</v>
      </c>
      <c r="CA270" s="353">
        <f t="shared" ca="1" si="659"/>
        <v>0</v>
      </c>
      <c r="CB270" s="353">
        <f t="shared" ca="1" si="660"/>
        <v>0</v>
      </c>
      <c r="CC270" s="353">
        <f t="shared" ca="1" si="661"/>
        <v>0</v>
      </c>
      <c r="CD270" s="353">
        <f t="shared" ca="1" si="662"/>
        <v>0</v>
      </c>
      <c r="CE270" s="302">
        <f t="shared" ca="1" si="663"/>
        <v>0</v>
      </c>
      <c r="CF270" s="299">
        <f t="shared" ca="1" si="664"/>
        <v>0</v>
      </c>
      <c r="CG270" s="299">
        <f t="shared" ca="1" si="665"/>
        <v>0</v>
      </c>
      <c r="CH270" s="299">
        <f t="shared" ca="1" si="666"/>
        <v>0</v>
      </c>
      <c r="CI270" s="299">
        <f t="shared" ca="1" si="667"/>
        <v>0</v>
      </c>
      <c r="CJ270" s="299">
        <f t="shared" ca="1" si="668"/>
        <v>0</v>
      </c>
      <c r="CK270" s="299">
        <f t="shared" ca="1" si="669"/>
        <v>0</v>
      </c>
      <c r="CL270" s="377" t="str">
        <f t="shared" ca="1" si="670"/>
        <v/>
      </c>
      <c r="CM270" s="305" t="str">
        <f t="shared" ca="1" si="671"/>
        <v/>
      </c>
      <c r="CN270" s="305" t="str">
        <f t="shared" ca="1" si="672"/>
        <v/>
      </c>
      <c r="CO270" s="305" t="str">
        <f t="shared" ca="1" si="673"/>
        <v/>
      </c>
      <c r="CP270" s="305" t="str">
        <f t="shared" ca="1" si="674"/>
        <v/>
      </c>
      <c r="CQ270" s="305" t="str">
        <f t="shared" ca="1" si="675"/>
        <v/>
      </c>
      <c r="CR270" s="775" t="str">
        <f t="shared" ca="1" si="676"/>
        <v/>
      </c>
      <c r="CS270" s="305" t="str">
        <f t="shared" ca="1" si="677"/>
        <v/>
      </c>
      <c r="CT270" s="305" t="str">
        <f t="shared" ca="1" si="678"/>
        <v/>
      </c>
      <c r="CU270" s="305" t="str">
        <f t="shared" ca="1" si="679"/>
        <v/>
      </c>
      <c r="CV270" s="770" t="str">
        <f t="shared" ca="1" si="680"/>
        <v/>
      </c>
      <c r="CW270" s="302">
        <f t="shared" ca="1" si="681"/>
        <v>0</v>
      </c>
      <c r="CX270" s="299">
        <f t="shared" ca="1" si="682"/>
        <v>0</v>
      </c>
      <c r="CY270" s="299">
        <f t="shared" ca="1" si="683"/>
        <v>0</v>
      </c>
      <c r="CZ270" s="299">
        <f t="shared" ca="1" si="684"/>
        <v>0</v>
      </c>
      <c r="DA270" s="774">
        <f t="shared" ca="1" si="685"/>
        <v>0</v>
      </c>
      <c r="DB270" s="303">
        <f t="shared" ca="1" si="686"/>
        <v>0</v>
      </c>
      <c r="DC270" s="248">
        <f t="shared" ca="1" si="687"/>
        <v>0</v>
      </c>
      <c r="DD270" s="778">
        <f t="shared" ca="1" si="688"/>
        <v>0</v>
      </c>
      <c r="DE270" s="363">
        <f t="shared" ca="1" si="689"/>
        <v>0</v>
      </c>
      <c r="DF270" s="378" t="str">
        <f t="shared" ca="1" si="690"/>
        <v/>
      </c>
      <c r="DG270" s="508" t="str">
        <f t="shared" ca="1" si="691"/>
        <v/>
      </c>
      <c r="DH270" s="508" t="str">
        <f t="shared" ca="1" si="692"/>
        <v/>
      </c>
      <c r="DI270" s="508" t="str">
        <f t="shared" ca="1" si="693"/>
        <v/>
      </c>
      <c r="DJ270" s="508" t="str">
        <f t="shared" ca="1" si="694"/>
        <v/>
      </c>
      <c r="DK270" s="353">
        <f t="shared" ca="1" si="695"/>
        <v>0</v>
      </c>
      <c r="DL270" s="781">
        <f t="shared" ca="1" si="696"/>
        <v>0</v>
      </c>
      <c r="DM270" s="303">
        <f t="shared" ca="1" si="697"/>
        <v>0</v>
      </c>
      <c r="DN270" s="508" t="str">
        <f t="shared" ca="1" si="698"/>
        <v/>
      </c>
      <c r="DO270" s="508" t="str">
        <f t="shared" ca="1" si="699"/>
        <v/>
      </c>
      <c r="DP270" s="508" t="str">
        <f t="shared" ca="1" si="700"/>
        <v/>
      </c>
      <c r="DQ270" s="508" t="str">
        <f t="shared" ca="1" si="701"/>
        <v/>
      </c>
      <c r="DR270" s="508" t="str">
        <f t="shared" ca="1" si="702"/>
        <v/>
      </c>
      <c r="DS270" s="353">
        <f t="shared" ca="1" si="703"/>
        <v>0</v>
      </c>
      <c r="DT270" s="353">
        <f t="shared" ca="1" si="704"/>
        <v>0</v>
      </c>
      <c r="DU270" s="380">
        <f t="shared" ca="1" si="804"/>
        <v>21.163586584531142</v>
      </c>
      <c r="DV270" s="303">
        <f t="shared" ca="1" si="705"/>
        <v>0</v>
      </c>
      <c r="DW270" s="303">
        <f t="shared" ca="1" si="706"/>
        <v>0</v>
      </c>
      <c r="DX270" s="303">
        <f t="shared" ca="1" si="707"/>
        <v>0</v>
      </c>
      <c r="DY270" s="303">
        <f t="shared" ca="1" si="708"/>
        <v>0</v>
      </c>
      <c r="DZ270" s="303">
        <f t="shared" ca="1" si="709"/>
        <v>0</v>
      </c>
      <c r="EA270" s="303">
        <f t="shared" ca="1" si="710"/>
        <v>0</v>
      </c>
      <c r="EB270" s="302">
        <f t="shared" ca="1" si="711"/>
        <v>0</v>
      </c>
      <c r="EC270" s="299">
        <f t="shared" ca="1" si="712"/>
        <v>0</v>
      </c>
      <c r="ED270" s="299">
        <f t="shared" ca="1" si="713"/>
        <v>0</v>
      </c>
      <c r="EE270" s="299">
        <f t="shared" ca="1" si="714"/>
        <v>0</v>
      </c>
      <c r="EF270" s="299">
        <f t="shared" ca="1" si="715"/>
        <v>0</v>
      </c>
      <c r="EG270" s="299">
        <f t="shared" ca="1" si="716"/>
        <v>0</v>
      </c>
      <c r="EH270" s="302">
        <f t="shared" ca="1" si="717"/>
        <v>0</v>
      </c>
      <c r="EI270" s="304" t="str">
        <f t="shared" ca="1" si="718"/>
        <v/>
      </c>
      <c r="EJ270" s="305" t="str">
        <f t="shared" ca="1" si="719"/>
        <v/>
      </c>
      <c r="EK270" s="305" t="str">
        <f t="shared" ca="1" si="720"/>
        <v/>
      </c>
      <c r="EL270" s="305" t="str">
        <f t="shared" ca="1" si="721"/>
        <v/>
      </c>
      <c r="EM270" s="305" t="str">
        <f t="shared" ca="1" si="722"/>
        <v/>
      </c>
      <c r="EN270" s="305" t="str">
        <f t="shared" ca="1" si="723"/>
        <v/>
      </c>
      <c r="EO270" s="305" t="str">
        <f t="shared" ca="1" si="724"/>
        <v/>
      </c>
      <c r="EP270" s="305" t="str">
        <f t="shared" ca="1" si="725"/>
        <v/>
      </c>
      <c r="EQ270" s="305" t="str">
        <f t="shared" ca="1" si="726"/>
        <v/>
      </c>
      <c r="ER270" s="305" t="str">
        <f t="shared" ca="1" si="727"/>
        <v/>
      </c>
      <c r="ES270" s="305" t="str">
        <f t="shared" ca="1" si="728"/>
        <v/>
      </c>
      <c r="ET270" s="299">
        <f t="shared" ca="1" si="729"/>
        <v>0</v>
      </c>
      <c r="EU270" s="302">
        <f t="shared" ca="1" si="730"/>
        <v>0</v>
      </c>
      <c r="EV270" s="304" t="str">
        <f t="shared" ca="1" si="731"/>
        <v/>
      </c>
      <c r="EW270" s="305" t="str">
        <f t="shared" ca="1" si="732"/>
        <v/>
      </c>
      <c r="EX270" s="305" t="str">
        <f t="shared" ca="1" si="733"/>
        <v/>
      </c>
      <c r="EY270" s="305" t="str">
        <f t="shared" ca="1" si="734"/>
        <v/>
      </c>
      <c r="EZ270" s="305" t="str">
        <f t="shared" ca="1" si="735"/>
        <v/>
      </c>
      <c r="FA270" s="305" t="str">
        <f t="shared" ca="1" si="736"/>
        <v/>
      </c>
      <c r="FB270" s="305" t="str">
        <f t="shared" ca="1" si="737"/>
        <v/>
      </c>
      <c r="FC270" s="305" t="str">
        <f t="shared" ca="1" si="738"/>
        <v/>
      </c>
      <c r="FD270" s="305" t="str">
        <f t="shared" ca="1" si="739"/>
        <v/>
      </c>
      <c r="FE270" s="305" t="str">
        <f t="shared" ca="1" si="740"/>
        <v/>
      </c>
      <c r="FF270" s="305" t="str">
        <f t="shared" ca="1" si="741"/>
        <v/>
      </c>
      <c r="FG270" s="299">
        <f t="shared" ca="1" si="742"/>
        <v>0</v>
      </c>
      <c r="FH270" s="302">
        <f t="shared" ca="1" si="743"/>
        <v>0</v>
      </c>
      <c r="FI270" s="248">
        <f t="shared" ca="1" si="744"/>
        <v>0</v>
      </c>
      <c r="FJ270" s="363">
        <f t="shared" ca="1" si="745"/>
        <v>0</v>
      </c>
      <c r="FK270" s="378" t="str">
        <f t="shared" ca="1" si="746"/>
        <v/>
      </c>
      <c r="FL270" s="508" t="str">
        <f t="shared" ca="1" si="747"/>
        <v/>
      </c>
      <c r="FM270" s="508" t="str">
        <f t="shared" ca="1" si="748"/>
        <v/>
      </c>
      <c r="FN270" s="508" t="str">
        <f t="shared" ca="1" si="749"/>
        <v/>
      </c>
      <c r="FO270" s="508" t="str">
        <f t="shared" ca="1" si="750"/>
        <v/>
      </c>
      <c r="FP270" s="353">
        <f t="shared" ca="1" si="751"/>
        <v>0</v>
      </c>
      <c r="FQ270" s="356">
        <f t="shared" ca="1" si="752"/>
        <v>0</v>
      </c>
      <c r="FR270" s="380">
        <f t="shared" ca="1" si="753"/>
        <v>0</v>
      </c>
      <c r="FS270" s="299">
        <f t="shared" ca="1" si="754"/>
        <v>0</v>
      </c>
      <c r="FT270" s="299">
        <f t="shared" ca="1" si="755"/>
        <v>0</v>
      </c>
      <c r="FU270" s="299">
        <f t="shared" ca="1" si="756"/>
        <v>0</v>
      </c>
      <c r="FV270" s="299">
        <f t="shared" ca="1" si="757"/>
        <v>0</v>
      </c>
      <c r="FW270" s="850" t="str">
        <f t="shared" ca="1" si="758"/>
        <v/>
      </c>
      <c r="FX270" s="851" t="str">
        <f t="shared" ca="1" si="759"/>
        <v/>
      </c>
      <c r="FY270" s="851" t="str">
        <f t="shared" ca="1" si="760"/>
        <v/>
      </c>
      <c r="FZ270" s="201" t="str">
        <f t="shared" ca="1" si="761"/>
        <v/>
      </c>
      <c r="GA270" s="201" t="str">
        <f t="shared" ca="1" si="762"/>
        <v/>
      </c>
      <c r="GB270" s="201" t="str">
        <f t="shared" ca="1" si="763"/>
        <v/>
      </c>
      <c r="GC270" s="201" t="str">
        <f t="shared" ca="1" si="764"/>
        <v/>
      </c>
      <c r="GD270" s="850" t="str">
        <f t="shared" ca="1" si="765"/>
        <v/>
      </c>
      <c r="GE270" s="866" t="str">
        <f t="shared" ca="1" si="766"/>
        <v/>
      </c>
      <c r="GF270" s="866" t="str">
        <f t="shared" ca="1" si="767"/>
        <v/>
      </c>
      <c r="GG270" s="866" t="str">
        <f t="shared" ca="1" si="768"/>
        <v/>
      </c>
      <c r="GH270" s="866" t="str">
        <f t="shared" ca="1" si="769"/>
        <v/>
      </c>
      <c r="GI270" s="302">
        <f t="shared" ca="1" si="770"/>
        <v>0</v>
      </c>
      <c r="GJ270" s="299">
        <f t="shared" ca="1" si="771"/>
        <v>0</v>
      </c>
      <c r="GK270" s="299">
        <f t="shared" ca="1" si="772"/>
        <v>0</v>
      </c>
      <c r="GL270" s="299">
        <f t="shared" ca="1" si="773"/>
        <v>0</v>
      </c>
      <c r="GM270" s="299">
        <f t="shared" ca="1" si="774"/>
        <v>0</v>
      </c>
      <c r="GN270" s="302">
        <f t="shared" ca="1" si="775"/>
        <v>0</v>
      </c>
      <c r="GO270" s="299">
        <f t="shared" ca="1" si="776"/>
        <v>0</v>
      </c>
      <c r="GP270" s="299">
        <f t="shared" ca="1" si="777"/>
        <v>0</v>
      </c>
      <c r="GQ270" s="299">
        <f t="shared" ca="1" si="778"/>
        <v>0</v>
      </c>
      <c r="GR270" s="299">
        <f t="shared" ca="1" si="779"/>
        <v>0</v>
      </c>
      <c r="GS270" s="302">
        <f t="shared" ca="1" si="780"/>
        <v>0</v>
      </c>
      <c r="GT270" s="299">
        <f t="shared" ca="1" si="781"/>
        <v>0</v>
      </c>
      <c r="GU270" s="299">
        <f t="shared" ca="1" si="782"/>
        <v>0</v>
      </c>
      <c r="GV270" s="299">
        <f t="shared" ca="1" si="783"/>
        <v>0</v>
      </c>
      <c r="GW270" s="299">
        <f t="shared" ca="1" si="784"/>
        <v>0</v>
      </c>
      <c r="GX270" s="303">
        <f t="shared" ca="1" si="785"/>
        <v>0</v>
      </c>
      <c r="GY270" s="303">
        <f t="shared" ca="1" si="786"/>
        <v>0</v>
      </c>
      <c r="GZ270" s="303">
        <f t="shared" ca="1" si="787"/>
        <v>0</v>
      </c>
      <c r="HA270" s="303">
        <f t="shared" ca="1" si="788"/>
        <v>0</v>
      </c>
      <c r="HB270" s="303">
        <f t="shared" ca="1" si="789"/>
        <v>0</v>
      </c>
      <c r="HC270" s="303">
        <f t="shared" ca="1" si="790"/>
        <v>0</v>
      </c>
      <c r="HD270" s="303">
        <f t="shared" ca="1" si="791"/>
        <v>0</v>
      </c>
      <c r="HE270" s="303">
        <f t="shared" ca="1" si="792"/>
        <v>0</v>
      </c>
      <c r="HF270" s="303">
        <f t="shared" ca="1" si="793"/>
        <v>0</v>
      </c>
      <c r="HG270" s="852">
        <f t="shared" ca="1" si="794"/>
        <v>0</v>
      </c>
    </row>
    <row r="271" spans="1:215" x14ac:dyDescent="0.25">
      <c r="A271" s="244">
        <f t="shared" ca="1" si="795"/>
        <v>44348</v>
      </c>
      <c r="B271" s="13">
        <f t="shared" ca="1" si="828"/>
        <v>2021</v>
      </c>
      <c r="C271" s="619">
        <f t="shared" ca="1" si="829"/>
        <v>6</v>
      </c>
      <c r="D271" s="195" t="str">
        <f t="shared" ca="1" si="625"/>
        <v/>
      </c>
      <c r="E271" s="469" t="str">
        <f t="shared" ca="1" si="626"/>
        <v/>
      </c>
      <c r="F271" s="465" t="str">
        <f t="shared" ca="1" si="627"/>
        <v/>
      </c>
      <c r="G271" s="522">
        <f t="shared" ca="1" si="796"/>
        <v>1</v>
      </c>
      <c r="H271" s="519">
        <f t="shared" ca="1" si="797"/>
        <v>1</v>
      </c>
      <c r="I271" s="724">
        <f t="shared" ca="1" si="830"/>
        <v>7.4034384928614E-2</v>
      </c>
      <c r="J271" s="198">
        <f t="shared" ca="1" si="629"/>
        <v>0.21130508579926569</v>
      </c>
      <c r="K271" s="200" t="e">
        <f t="shared" ca="1" si="805"/>
        <v>#N/A</v>
      </c>
      <c r="L271" s="201" t="e">
        <f t="shared" ca="1" si="806"/>
        <v>#N/A</v>
      </c>
      <c r="M271" s="206" t="e">
        <f t="shared" ca="1" si="807"/>
        <v>#N/A</v>
      </c>
      <c r="N271" s="851" t="e">
        <f t="shared" ca="1" si="811"/>
        <v>#N/A</v>
      </c>
      <c r="O271" s="201" t="e">
        <f t="shared" ca="1" si="812"/>
        <v>#N/A</v>
      </c>
      <c r="P271" s="206" t="e">
        <f t="shared" ca="1" si="813"/>
        <v>#N/A</v>
      </c>
      <c r="Q271" s="201" t="e">
        <f t="shared" ca="1" si="814"/>
        <v>#N/A</v>
      </c>
      <c r="R271" s="201" t="e">
        <f t="shared" ca="1" si="815"/>
        <v>#N/A</v>
      </c>
      <c r="S271" s="201" t="e">
        <f t="shared" ca="1" si="816"/>
        <v>#N/A</v>
      </c>
      <c r="T271" s="851" t="e">
        <f t="shared" ca="1" si="808"/>
        <v>#N/A</v>
      </c>
      <c r="U271" s="201" t="e">
        <f t="shared" ca="1" si="809"/>
        <v>#N/A</v>
      </c>
      <c r="V271" s="206" t="e">
        <f t="shared" ca="1" si="810"/>
        <v>#N/A</v>
      </c>
      <c r="W271" s="230" t="e">
        <f t="shared" ca="1" si="798"/>
        <v>#N/A</v>
      </c>
      <c r="X271" s="231" t="e">
        <f t="shared" ca="1" si="799"/>
        <v>#N/A</v>
      </c>
      <c r="Y271" s="232" t="e">
        <f t="shared" ca="1" si="800"/>
        <v>#N/A</v>
      </c>
      <c r="Z271" s="231" t="e">
        <f t="shared" ca="1" si="820"/>
        <v>#N/A</v>
      </c>
      <c r="AA271" s="231" t="e">
        <f t="shared" ca="1" si="821"/>
        <v>#N/A</v>
      </c>
      <c r="AB271" s="232" t="e">
        <f t="shared" ca="1" si="822"/>
        <v>#N/A</v>
      </c>
      <c r="AC271" s="231" t="e">
        <f t="shared" ca="1" si="823"/>
        <v>#N/A</v>
      </c>
      <c r="AD271" s="231" t="e">
        <f t="shared" ca="1" si="824"/>
        <v>#N/A</v>
      </c>
      <c r="AE271" s="232" t="e">
        <f t="shared" ca="1" si="630"/>
        <v>#N/A</v>
      </c>
      <c r="AF271" s="231" t="e">
        <f t="shared" ca="1" si="801"/>
        <v>#N/A</v>
      </c>
      <c r="AG271" s="231" t="e">
        <f t="shared" ca="1" si="802"/>
        <v>#N/A</v>
      </c>
      <c r="AH271" s="232" t="e">
        <f t="shared" ca="1" si="803"/>
        <v>#N/A</v>
      </c>
      <c r="AI271" s="233" t="e">
        <f t="shared" ca="1" si="631"/>
        <v>#N/A</v>
      </c>
      <c r="AJ271" s="233" t="e">
        <f t="shared" ca="1" si="632"/>
        <v>#N/A</v>
      </c>
      <c r="AK271" s="234" t="e">
        <f t="shared" ca="1" si="633"/>
        <v>#N/A</v>
      </c>
      <c r="AL271" s="919" t="e">
        <f t="shared" ca="1" si="634"/>
        <v>#N/A</v>
      </c>
      <c r="AM271" s="233" t="e">
        <f t="shared" ca="1" si="635"/>
        <v>#N/A</v>
      </c>
      <c r="AN271" s="234" t="e">
        <f t="shared" ca="1" si="636"/>
        <v>#N/A</v>
      </c>
      <c r="AO271" s="233" t="e">
        <f t="shared" ca="1" si="637"/>
        <v>#N/A</v>
      </c>
      <c r="AP271" s="233" t="e">
        <f t="shared" ca="1" si="638"/>
        <v>#N/A</v>
      </c>
      <c r="AQ271" s="233" t="e">
        <f t="shared" ca="1" si="639"/>
        <v>#N/A</v>
      </c>
      <c r="AR271" s="919" t="e">
        <f t="shared" ca="1" si="640"/>
        <v>#N/A</v>
      </c>
      <c r="AS271" s="233" t="e">
        <f t="shared" ca="1" si="641"/>
        <v>#N/A</v>
      </c>
      <c r="AT271" s="235" t="e">
        <f t="shared" ca="1" si="642"/>
        <v>#N/A</v>
      </c>
      <c r="AU271" s="946">
        <f t="shared" si="643"/>
        <v>0.5</v>
      </c>
      <c r="AV271" s="13">
        <f t="shared" ca="1" si="644"/>
        <v>0</v>
      </c>
      <c r="AW271" s="210">
        <f t="shared" ca="1" si="645"/>
        <v>0</v>
      </c>
      <c r="AX271" s="210">
        <f t="shared" ca="1" si="646"/>
        <v>0</v>
      </c>
      <c r="AY271" s="210">
        <f t="shared" ca="1" si="647"/>
        <v>0</v>
      </c>
      <c r="AZ271" s="13">
        <f t="shared" ca="1" si="648"/>
        <v>0</v>
      </c>
      <c r="BA271" s="357">
        <f ca="1"/>
        <v>0</v>
      </c>
      <c r="BB271" s="925">
        <f ca="1"/>
        <v>0</v>
      </c>
      <c r="BC271" s="925">
        <f ca="1"/>
        <v>0</v>
      </c>
      <c r="BD271" s="928">
        <f ca="1"/>
        <v>0</v>
      </c>
      <c r="BE271" s="200">
        <f ca="1"/>
        <v>0</v>
      </c>
      <c r="BF271" s="851">
        <f ca="1"/>
        <v>0</v>
      </c>
      <c r="BG271" s="851">
        <f ca="1"/>
        <v>0</v>
      </c>
      <c r="BH271" s="933">
        <f ca="1"/>
        <v>0</v>
      </c>
      <c r="BI271" s="357">
        <f ca="1"/>
        <v>0</v>
      </c>
      <c r="BJ271" s="925">
        <f ca="1"/>
        <v>0</v>
      </c>
      <c r="BK271" s="925">
        <f ca="1"/>
        <v>0</v>
      </c>
      <c r="BL271" s="928">
        <f ca="1"/>
        <v>0</v>
      </c>
      <c r="BM271" s="200">
        <f ca="1"/>
        <v>0</v>
      </c>
      <c r="BN271" s="851">
        <f ca="1"/>
        <v>0</v>
      </c>
      <c r="BO271" s="851">
        <f ca="1"/>
        <v>0</v>
      </c>
      <c r="BP271" s="933">
        <f ca="1"/>
        <v>0</v>
      </c>
      <c r="BQ271" s="357">
        <f t="shared" ca="1" si="649"/>
        <v>0</v>
      </c>
      <c r="BR271" s="361">
        <f t="shared" ca="1" si="650"/>
        <v>0</v>
      </c>
      <c r="BS271" s="357">
        <f t="shared" ca="1" si="651"/>
        <v>0</v>
      </c>
      <c r="BT271" s="302">
        <f t="shared" ca="1" si="652"/>
        <v>0</v>
      </c>
      <c r="BU271" s="299">
        <f t="shared" ca="1" si="653"/>
        <v>0</v>
      </c>
      <c r="BV271" s="299">
        <f t="shared" ca="1" si="654"/>
        <v>0</v>
      </c>
      <c r="BW271" s="299">
        <f t="shared" ca="1" si="655"/>
        <v>0</v>
      </c>
      <c r="BX271" s="380">
        <f t="shared" ca="1" si="656"/>
        <v>21.248459958932237</v>
      </c>
      <c r="BY271" s="363">
        <f t="shared" ca="1" si="657"/>
        <v>0</v>
      </c>
      <c r="BZ271" s="353">
        <f t="shared" ca="1" si="658"/>
        <v>0</v>
      </c>
      <c r="CA271" s="353">
        <f t="shared" ca="1" si="659"/>
        <v>0</v>
      </c>
      <c r="CB271" s="353">
        <f t="shared" ca="1" si="660"/>
        <v>0</v>
      </c>
      <c r="CC271" s="353">
        <f t="shared" ca="1" si="661"/>
        <v>0</v>
      </c>
      <c r="CD271" s="353">
        <f t="shared" ca="1" si="662"/>
        <v>0</v>
      </c>
      <c r="CE271" s="302">
        <f t="shared" ca="1" si="663"/>
        <v>0</v>
      </c>
      <c r="CF271" s="299">
        <f t="shared" ca="1" si="664"/>
        <v>0</v>
      </c>
      <c r="CG271" s="299">
        <f t="shared" ca="1" si="665"/>
        <v>0</v>
      </c>
      <c r="CH271" s="299">
        <f t="shared" ca="1" si="666"/>
        <v>0</v>
      </c>
      <c r="CI271" s="299">
        <f t="shared" ca="1" si="667"/>
        <v>0</v>
      </c>
      <c r="CJ271" s="299">
        <f t="shared" ca="1" si="668"/>
        <v>0</v>
      </c>
      <c r="CK271" s="299">
        <f t="shared" ca="1" si="669"/>
        <v>0</v>
      </c>
      <c r="CL271" s="377" t="str">
        <f t="shared" ca="1" si="670"/>
        <v/>
      </c>
      <c r="CM271" s="305" t="str">
        <f t="shared" ca="1" si="671"/>
        <v/>
      </c>
      <c r="CN271" s="305" t="str">
        <f t="shared" ca="1" si="672"/>
        <v/>
      </c>
      <c r="CO271" s="305" t="str">
        <f t="shared" ca="1" si="673"/>
        <v/>
      </c>
      <c r="CP271" s="305" t="str">
        <f t="shared" ca="1" si="674"/>
        <v/>
      </c>
      <c r="CQ271" s="305" t="str">
        <f t="shared" ca="1" si="675"/>
        <v/>
      </c>
      <c r="CR271" s="775" t="str">
        <f t="shared" ca="1" si="676"/>
        <v/>
      </c>
      <c r="CS271" s="305" t="str">
        <f t="shared" ca="1" si="677"/>
        <v/>
      </c>
      <c r="CT271" s="305" t="str">
        <f t="shared" ca="1" si="678"/>
        <v/>
      </c>
      <c r="CU271" s="305" t="str">
        <f t="shared" ca="1" si="679"/>
        <v/>
      </c>
      <c r="CV271" s="770" t="str">
        <f t="shared" ca="1" si="680"/>
        <v/>
      </c>
      <c r="CW271" s="302">
        <f t="shared" ca="1" si="681"/>
        <v>0</v>
      </c>
      <c r="CX271" s="299">
        <f t="shared" ca="1" si="682"/>
        <v>0</v>
      </c>
      <c r="CY271" s="299">
        <f t="shared" ca="1" si="683"/>
        <v>0</v>
      </c>
      <c r="CZ271" s="299">
        <f t="shared" ca="1" si="684"/>
        <v>0</v>
      </c>
      <c r="DA271" s="774">
        <f t="shared" ca="1" si="685"/>
        <v>0</v>
      </c>
      <c r="DB271" s="303">
        <f t="shared" ca="1" si="686"/>
        <v>0</v>
      </c>
      <c r="DC271" s="248">
        <f t="shared" ca="1" si="687"/>
        <v>0</v>
      </c>
      <c r="DD271" s="778">
        <f t="shared" ca="1" si="688"/>
        <v>0</v>
      </c>
      <c r="DE271" s="363">
        <f t="shared" ca="1" si="689"/>
        <v>0</v>
      </c>
      <c r="DF271" s="378" t="str">
        <f t="shared" ca="1" si="690"/>
        <v/>
      </c>
      <c r="DG271" s="508" t="str">
        <f t="shared" ca="1" si="691"/>
        <v/>
      </c>
      <c r="DH271" s="508" t="str">
        <f t="shared" ca="1" si="692"/>
        <v/>
      </c>
      <c r="DI271" s="508" t="str">
        <f t="shared" ca="1" si="693"/>
        <v/>
      </c>
      <c r="DJ271" s="508" t="str">
        <f t="shared" ca="1" si="694"/>
        <v/>
      </c>
      <c r="DK271" s="353">
        <f t="shared" ca="1" si="695"/>
        <v>0</v>
      </c>
      <c r="DL271" s="781">
        <f t="shared" ca="1" si="696"/>
        <v>0</v>
      </c>
      <c r="DM271" s="303">
        <f t="shared" ca="1" si="697"/>
        <v>0</v>
      </c>
      <c r="DN271" s="508" t="str">
        <f t="shared" ca="1" si="698"/>
        <v/>
      </c>
      <c r="DO271" s="508" t="str">
        <f t="shared" ca="1" si="699"/>
        <v/>
      </c>
      <c r="DP271" s="508" t="str">
        <f t="shared" ca="1" si="700"/>
        <v/>
      </c>
      <c r="DQ271" s="508" t="str">
        <f t="shared" ca="1" si="701"/>
        <v/>
      </c>
      <c r="DR271" s="508" t="str">
        <f t="shared" ca="1" si="702"/>
        <v/>
      </c>
      <c r="DS271" s="353">
        <f t="shared" ca="1" si="703"/>
        <v>0</v>
      </c>
      <c r="DT271" s="353">
        <f t="shared" ca="1" si="704"/>
        <v>0</v>
      </c>
      <c r="DU271" s="380">
        <f t="shared" ca="1" si="804"/>
        <v>21.248459958932237</v>
      </c>
      <c r="DV271" s="303">
        <f t="shared" ca="1" si="705"/>
        <v>0</v>
      </c>
      <c r="DW271" s="303">
        <f t="shared" ca="1" si="706"/>
        <v>0</v>
      </c>
      <c r="DX271" s="303">
        <f t="shared" ca="1" si="707"/>
        <v>0</v>
      </c>
      <c r="DY271" s="303">
        <f t="shared" ca="1" si="708"/>
        <v>0</v>
      </c>
      <c r="DZ271" s="303">
        <f t="shared" ca="1" si="709"/>
        <v>0</v>
      </c>
      <c r="EA271" s="303">
        <f t="shared" ca="1" si="710"/>
        <v>0</v>
      </c>
      <c r="EB271" s="302">
        <f t="shared" ca="1" si="711"/>
        <v>0</v>
      </c>
      <c r="EC271" s="299">
        <f t="shared" ca="1" si="712"/>
        <v>0</v>
      </c>
      <c r="ED271" s="299">
        <f t="shared" ca="1" si="713"/>
        <v>0</v>
      </c>
      <c r="EE271" s="299">
        <f t="shared" ca="1" si="714"/>
        <v>0</v>
      </c>
      <c r="EF271" s="299">
        <f t="shared" ca="1" si="715"/>
        <v>0</v>
      </c>
      <c r="EG271" s="299">
        <f t="shared" ca="1" si="716"/>
        <v>0</v>
      </c>
      <c r="EH271" s="302">
        <f t="shared" ca="1" si="717"/>
        <v>0</v>
      </c>
      <c r="EI271" s="304" t="str">
        <f t="shared" ca="1" si="718"/>
        <v/>
      </c>
      <c r="EJ271" s="305" t="str">
        <f t="shared" ca="1" si="719"/>
        <v/>
      </c>
      <c r="EK271" s="305" t="str">
        <f t="shared" ca="1" si="720"/>
        <v/>
      </c>
      <c r="EL271" s="305" t="str">
        <f t="shared" ca="1" si="721"/>
        <v/>
      </c>
      <c r="EM271" s="305" t="str">
        <f t="shared" ca="1" si="722"/>
        <v/>
      </c>
      <c r="EN271" s="305" t="str">
        <f t="shared" ca="1" si="723"/>
        <v/>
      </c>
      <c r="EO271" s="305" t="str">
        <f t="shared" ca="1" si="724"/>
        <v/>
      </c>
      <c r="EP271" s="305" t="str">
        <f t="shared" ca="1" si="725"/>
        <v/>
      </c>
      <c r="EQ271" s="305" t="str">
        <f t="shared" ca="1" si="726"/>
        <v/>
      </c>
      <c r="ER271" s="305" t="str">
        <f t="shared" ca="1" si="727"/>
        <v/>
      </c>
      <c r="ES271" s="305" t="str">
        <f t="shared" ca="1" si="728"/>
        <v/>
      </c>
      <c r="ET271" s="299">
        <f t="shared" ca="1" si="729"/>
        <v>0</v>
      </c>
      <c r="EU271" s="302">
        <f t="shared" ca="1" si="730"/>
        <v>0</v>
      </c>
      <c r="EV271" s="304" t="str">
        <f t="shared" ca="1" si="731"/>
        <v/>
      </c>
      <c r="EW271" s="305" t="str">
        <f t="shared" ca="1" si="732"/>
        <v/>
      </c>
      <c r="EX271" s="305" t="str">
        <f t="shared" ca="1" si="733"/>
        <v/>
      </c>
      <c r="EY271" s="305" t="str">
        <f t="shared" ca="1" si="734"/>
        <v/>
      </c>
      <c r="EZ271" s="305" t="str">
        <f t="shared" ca="1" si="735"/>
        <v/>
      </c>
      <c r="FA271" s="305" t="str">
        <f t="shared" ca="1" si="736"/>
        <v/>
      </c>
      <c r="FB271" s="305" t="str">
        <f t="shared" ca="1" si="737"/>
        <v/>
      </c>
      <c r="FC271" s="305" t="str">
        <f t="shared" ca="1" si="738"/>
        <v/>
      </c>
      <c r="FD271" s="305" t="str">
        <f t="shared" ca="1" si="739"/>
        <v/>
      </c>
      <c r="FE271" s="305" t="str">
        <f t="shared" ca="1" si="740"/>
        <v/>
      </c>
      <c r="FF271" s="305" t="str">
        <f t="shared" ca="1" si="741"/>
        <v/>
      </c>
      <c r="FG271" s="299">
        <f t="shared" ca="1" si="742"/>
        <v>0</v>
      </c>
      <c r="FH271" s="302">
        <f t="shared" ca="1" si="743"/>
        <v>0</v>
      </c>
      <c r="FI271" s="248">
        <f t="shared" ca="1" si="744"/>
        <v>0</v>
      </c>
      <c r="FJ271" s="363">
        <f t="shared" ca="1" si="745"/>
        <v>0</v>
      </c>
      <c r="FK271" s="378" t="str">
        <f t="shared" ca="1" si="746"/>
        <v/>
      </c>
      <c r="FL271" s="508" t="str">
        <f t="shared" ca="1" si="747"/>
        <v/>
      </c>
      <c r="FM271" s="508" t="str">
        <f t="shared" ca="1" si="748"/>
        <v/>
      </c>
      <c r="FN271" s="508" t="str">
        <f t="shared" ca="1" si="749"/>
        <v/>
      </c>
      <c r="FO271" s="508" t="str">
        <f t="shared" ca="1" si="750"/>
        <v/>
      </c>
      <c r="FP271" s="353">
        <f t="shared" ca="1" si="751"/>
        <v>0</v>
      </c>
      <c r="FQ271" s="356">
        <f t="shared" ca="1" si="752"/>
        <v>0</v>
      </c>
      <c r="FR271" s="380">
        <f t="shared" ca="1" si="753"/>
        <v>0</v>
      </c>
      <c r="FS271" s="299">
        <f t="shared" ca="1" si="754"/>
        <v>0</v>
      </c>
      <c r="FT271" s="299">
        <f t="shared" ca="1" si="755"/>
        <v>0</v>
      </c>
      <c r="FU271" s="299">
        <f t="shared" ca="1" si="756"/>
        <v>0</v>
      </c>
      <c r="FV271" s="299">
        <f t="shared" ca="1" si="757"/>
        <v>0</v>
      </c>
      <c r="FW271" s="850" t="str">
        <f t="shared" ca="1" si="758"/>
        <v/>
      </c>
      <c r="FX271" s="851" t="str">
        <f t="shared" ca="1" si="759"/>
        <v/>
      </c>
      <c r="FY271" s="851" t="str">
        <f t="shared" ca="1" si="760"/>
        <v/>
      </c>
      <c r="FZ271" s="201" t="str">
        <f t="shared" ca="1" si="761"/>
        <v/>
      </c>
      <c r="GA271" s="201" t="str">
        <f t="shared" ca="1" si="762"/>
        <v/>
      </c>
      <c r="GB271" s="201" t="str">
        <f t="shared" ca="1" si="763"/>
        <v/>
      </c>
      <c r="GC271" s="201" t="str">
        <f t="shared" ca="1" si="764"/>
        <v/>
      </c>
      <c r="GD271" s="850" t="str">
        <f t="shared" ca="1" si="765"/>
        <v/>
      </c>
      <c r="GE271" s="866" t="str">
        <f t="shared" ca="1" si="766"/>
        <v/>
      </c>
      <c r="GF271" s="866" t="str">
        <f t="shared" ca="1" si="767"/>
        <v/>
      </c>
      <c r="GG271" s="866" t="str">
        <f t="shared" ca="1" si="768"/>
        <v/>
      </c>
      <c r="GH271" s="866" t="str">
        <f t="shared" ca="1" si="769"/>
        <v/>
      </c>
      <c r="GI271" s="302">
        <f t="shared" ca="1" si="770"/>
        <v>0</v>
      </c>
      <c r="GJ271" s="299">
        <f t="shared" ca="1" si="771"/>
        <v>0</v>
      </c>
      <c r="GK271" s="299">
        <f t="shared" ca="1" si="772"/>
        <v>0</v>
      </c>
      <c r="GL271" s="299">
        <f t="shared" ca="1" si="773"/>
        <v>0</v>
      </c>
      <c r="GM271" s="299">
        <f t="shared" ca="1" si="774"/>
        <v>0</v>
      </c>
      <c r="GN271" s="302">
        <f t="shared" ca="1" si="775"/>
        <v>0</v>
      </c>
      <c r="GO271" s="299">
        <f t="shared" ca="1" si="776"/>
        <v>0</v>
      </c>
      <c r="GP271" s="299">
        <f t="shared" ca="1" si="777"/>
        <v>0</v>
      </c>
      <c r="GQ271" s="299">
        <f t="shared" ca="1" si="778"/>
        <v>0</v>
      </c>
      <c r="GR271" s="299">
        <f t="shared" ca="1" si="779"/>
        <v>0</v>
      </c>
      <c r="GS271" s="302">
        <f t="shared" ca="1" si="780"/>
        <v>0</v>
      </c>
      <c r="GT271" s="299">
        <f t="shared" ca="1" si="781"/>
        <v>0</v>
      </c>
      <c r="GU271" s="299">
        <f t="shared" ca="1" si="782"/>
        <v>0</v>
      </c>
      <c r="GV271" s="299">
        <f t="shared" ca="1" si="783"/>
        <v>0</v>
      </c>
      <c r="GW271" s="299">
        <f t="shared" ca="1" si="784"/>
        <v>0</v>
      </c>
      <c r="GX271" s="303">
        <f t="shared" ca="1" si="785"/>
        <v>0</v>
      </c>
      <c r="GY271" s="303">
        <f t="shared" ca="1" si="786"/>
        <v>0</v>
      </c>
      <c r="GZ271" s="303">
        <f t="shared" ca="1" si="787"/>
        <v>0</v>
      </c>
      <c r="HA271" s="303">
        <f t="shared" ca="1" si="788"/>
        <v>0</v>
      </c>
      <c r="HB271" s="303">
        <f t="shared" ca="1" si="789"/>
        <v>0</v>
      </c>
      <c r="HC271" s="303">
        <f t="shared" ca="1" si="790"/>
        <v>0</v>
      </c>
      <c r="HD271" s="303">
        <f t="shared" ca="1" si="791"/>
        <v>0</v>
      </c>
      <c r="HE271" s="303">
        <f t="shared" ca="1" si="792"/>
        <v>0</v>
      </c>
      <c r="HF271" s="303">
        <f t="shared" ca="1" si="793"/>
        <v>0</v>
      </c>
      <c r="HG271" s="852">
        <f t="shared" ca="1" si="794"/>
        <v>0</v>
      </c>
    </row>
    <row r="272" spans="1:215" x14ac:dyDescent="0.25">
      <c r="A272" s="244">
        <f t="shared" ca="1" si="795"/>
        <v>44378</v>
      </c>
      <c r="B272" s="13">
        <f t="shared" ca="1" si="828"/>
        <v>2021</v>
      </c>
      <c r="C272" s="619">
        <f t="shared" ca="1" si="829"/>
        <v>7</v>
      </c>
      <c r="D272" s="195">
        <f t="shared" ca="1" si="625"/>
        <v>44382</v>
      </c>
      <c r="E272" s="469" t="str">
        <f t="shared" ca="1" si="626"/>
        <v/>
      </c>
      <c r="F272" s="465" t="str">
        <f t="shared" ca="1" si="627"/>
        <v/>
      </c>
      <c r="G272" s="522">
        <f t="shared" ca="1" si="796"/>
        <v>1</v>
      </c>
      <c r="H272" s="519">
        <f t="shared" ca="1" si="797"/>
        <v>1</v>
      </c>
      <c r="I272" s="724">
        <f t="shared" ca="1" si="830"/>
        <v>7.4025447545615991E-2</v>
      </c>
      <c r="J272" s="198">
        <f t="shared" ca="1" si="629"/>
        <v>0.21004419630899204</v>
      </c>
      <c r="K272" s="200" t="e">
        <f t="shared" ca="1" si="805"/>
        <v>#N/A</v>
      </c>
      <c r="L272" s="201" t="e">
        <f t="shared" ca="1" si="806"/>
        <v>#N/A</v>
      </c>
      <c r="M272" s="206" t="e">
        <f t="shared" ca="1" si="807"/>
        <v>#N/A</v>
      </c>
      <c r="N272" s="851" t="e">
        <f t="shared" ca="1" si="811"/>
        <v>#N/A</v>
      </c>
      <c r="O272" s="201" t="e">
        <f t="shared" ca="1" si="812"/>
        <v>#N/A</v>
      </c>
      <c r="P272" s="206" t="e">
        <f t="shared" ca="1" si="813"/>
        <v>#N/A</v>
      </c>
      <c r="Q272" s="201" t="e">
        <f t="shared" ca="1" si="814"/>
        <v>#N/A</v>
      </c>
      <c r="R272" s="201" t="e">
        <f t="shared" ca="1" si="815"/>
        <v>#N/A</v>
      </c>
      <c r="S272" s="201" t="e">
        <f t="shared" ca="1" si="816"/>
        <v>#N/A</v>
      </c>
      <c r="T272" s="851" t="e">
        <f t="shared" ca="1" si="808"/>
        <v>#N/A</v>
      </c>
      <c r="U272" s="201" t="e">
        <f t="shared" ca="1" si="809"/>
        <v>#N/A</v>
      </c>
      <c r="V272" s="206" t="e">
        <f t="shared" ca="1" si="810"/>
        <v>#N/A</v>
      </c>
      <c r="W272" s="230" t="e">
        <f t="shared" ca="1" si="798"/>
        <v>#N/A</v>
      </c>
      <c r="X272" s="231" t="e">
        <f t="shared" ca="1" si="799"/>
        <v>#N/A</v>
      </c>
      <c r="Y272" s="232" t="e">
        <f t="shared" ca="1" si="800"/>
        <v>#N/A</v>
      </c>
      <c r="Z272" s="231" t="e">
        <f t="shared" ca="1" si="820"/>
        <v>#N/A</v>
      </c>
      <c r="AA272" s="231" t="e">
        <f t="shared" ca="1" si="821"/>
        <v>#N/A</v>
      </c>
      <c r="AB272" s="232" t="e">
        <f t="shared" ca="1" si="822"/>
        <v>#N/A</v>
      </c>
      <c r="AC272" s="231" t="e">
        <f t="shared" ca="1" si="823"/>
        <v>#N/A</v>
      </c>
      <c r="AD272" s="231" t="e">
        <f t="shared" ca="1" si="824"/>
        <v>#N/A</v>
      </c>
      <c r="AE272" s="232" t="e">
        <f t="shared" ca="1" si="630"/>
        <v>#N/A</v>
      </c>
      <c r="AF272" s="231" t="e">
        <f t="shared" ca="1" si="801"/>
        <v>#N/A</v>
      </c>
      <c r="AG272" s="231" t="e">
        <f t="shared" ca="1" si="802"/>
        <v>#N/A</v>
      </c>
      <c r="AH272" s="232" t="e">
        <f t="shared" ca="1" si="803"/>
        <v>#N/A</v>
      </c>
      <c r="AI272" s="233" t="e">
        <f t="shared" ca="1" si="631"/>
        <v>#N/A</v>
      </c>
      <c r="AJ272" s="233" t="e">
        <f t="shared" ca="1" si="632"/>
        <v>#N/A</v>
      </c>
      <c r="AK272" s="234" t="e">
        <f t="shared" ca="1" si="633"/>
        <v>#N/A</v>
      </c>
      <c r="AL272" s="919" t="e">
        <f t="shared" ca="1" si="634"/>
        <v>#N/A</v>
      </c>
      <c r="AM272" s="233" t="e">
        <f t="shared" ca="1" si="635"/>
        <v>#N/A</v>
      </c>
      <c r="AN272" s="234" t="e">
        <f t="shared" ca="1" si="636"/>
        <v>#N/A</v>
      </c>
      <c r="AO272" s="233" t="e">
        <f t="shared" ca="1" si="637"/>
        <v>#N/A</v>
      </c>
      <c r="AP272" s="233" t="e">
        <f t="shared" ca="1" si="638"/>
        <v>#N/A</v>
      </c>
      <c r="AQ272" s="233" t="e">
        <f t="shared" ca="1" si="639"/>
        <v>#N/A</v>
      </c>
      <c r="AR272" s="919" t="e">
        <f t="shared" ca="1" si="640"/>
        <v>#N/A</v>
      </c>
      <c r="AS272" s="233" t="e">
        <f t="shared" ca="1" si="641"/>
        <v>#N/A</v>
      </c>
      <c r="AT272" s="235" t="e">
        <f t="shared" ca="1" si="642"/>
        <v>#N/A</v>
      </c>
      <c r="AU272" s="946">
        <f t="shared" si="643"/>
        <v>0.5</v>
      </c>
      <c r="AV272" s="13">
        <f t="shared" ca="1" si="644"/>
        <v>0</v>
      </c>
      <c r="AW272" s="210">
        <f t="shared" ca="1" si="645"/>
        <v>0</v>
      </c>
      <c r="AX272" s="210">
        <f t="shared" ca="1" si="646"/>
        <v>0</v>
      </c>
      <c r="AY272" s="210">
        <f t="shared" ca="1" si="647"/>
        <v>0</v>
      </c>
      <c r="AZ272" s="13">
        <f t="shared" ca="1" si="648"/>
        <v>0</v>
      </c>
      <c r="BA272" s="357">
        <f ca="1"/>
        <v>0</v>
      </c>
      <c r="BB272" s="925">
        <f ca="1"/>
        <v>0</v>
      </c>
      <c r="BC272" s="925">
        <f ca="1"/>
        <v>0</v>
      </c>
      <c r="BD272" s="928">
        <f ca="1"/>
        <v>0</v>
      </c>
      <c r="BE272" s="200">
        <f ca="1"/>
        <v>0</v>
      </c>
      <c r="BF272" s="851">
        <f ca="1"/>
        <v>0</v>
      </c>
      <c r="BG272" s="851">
        <f ca="1"/>
        <v>0</v>
      </c>
      <c r="BH272" s="933">
        <f ca="1"/>
        <v>0</v>
      </c>
      <c r="BI272" s="357">
        <f ca="1"/>
        <v>0</v>
      </c>
      <c r="BJ272" s="925">
        <f ca="1"/>
        <v>0</v>
      </c>
      <c r="BK272" s="925">
        <f ca="1"/>
        <v>0</v>
      </c>
      <c r="BL272" s="928">
        <f ca="1"/>
        <v>0</v>
      </c>
      <c r="BM272" s="200">
        <f ca="1"/>
        <v>0</v>
      </c>
      <c r="BN272" s="851">
        <f ca="1"/>
        <v>0</v>
      </c>
      <c r="BO272" s="851">
        <f ca="1"/>
        <v>0</v>
      </c>
      <c r="BP272" s="933">
        <f ca="1"/>
        <v>0</v>
      </c>
      <c r="BQ272" s="357">
        <f t="shared" ca="1" si="649"/>
        <v>0</v>
      </c>
      <c r="BR272" s="361">
        <f t="shared" ca="1" si="650"/>
        <v>0</v>
      </c>
      <c r="BS272" s="357">
        <f t="shared" ca="1" si="651"/>
        <v>0</v>
      </c>
      <c r="BT272" s="302">
        <f t="shared" ca="1" si="652"/>
        <v>0</v>
      </c>
      <c r="BU272" s="299">
        <f t="shared" ca="1" si="653"/>
        <v>0</v>
      </c>
      <c r="BV272" s="299">
        <f t="shared" ca="1" si="654"/>
        <v>0</v>
      </c>
      <c r="BW272" s="299">
        <f t="shared" ca="1" si="655"/>
        <v>0</v>
      </c>
      <c r="BX272" s="380">
        <f t="shared" ca="1" si="656"/>
        <v>21.330595482546201</v>
      </c>
      <c r="BY272" s="363">
        <f t="shared" ca="1" si="657"/>
        <v>0</v>
      </c>
      <c r="BZ272" s="353">
        <f t="shared" ca="1" si="658"/>
        <v>0</v>
      </c>
      <c r="CA272" s="353">
        <f t="shared" ca="1" si="659"/>
        <v>0</v>
      </c>
      <c r="CB272" s="353">
        <f t="shared" ca="1" si="660"/>
        <v>0</v>
      </c>
      <c r="CC272" s="353">
        <f t="shared" ca="1" si="661"/>
        <v>0</v>
      </c>
      <c r="CD272" s="353">
        <f t="shared" ca="1" si="662"/>
        <v>0</v>
      </c>
      <c r="CE272" s="302">
        <f t="shared" ca="1" si="663"/>
        <v>0</v>
      </c>
      <c r="CF272" s="299">
        <f t="shared" ca="1" si="664"/>
        <v>0</v>
      </c>
      <c r="CG272" s="299">
        <f t="shared" ca="1" si="665"/>
        <v>0</v>
      </c>
      <c r="CH272" s="299">
        <f t="shared" ca="1" si="666"/>
        <v>0</v>
      </c>
      <c r="CI272" s="299">
        <f t="shared" ca="1" si="667"/>
        <v>0</v>
      </c>
      <c r="CJ272" s="299">
        <f t="shared" ca="1" si="668"/>
        <v>0</v>
      </c>
      <c r="CK272" s="299">
        <f t="shared" ca="1" si="669"/>
        <v>0</v>
      </c>
      <c r="CL272" s="377" t="str">
        <f t="shared" ca="1" si="670"/>
        <v/>
      </c>
      <c r="CM272" s="305" t="str">
        <f t="shared" ca="1" si="671"/>
        <v/>
      </c>
      <c r="CN272" s="305" t="str">
        <f t="shared" ca="1" si="672"/>
        <v/>
      </c>
      <c r="CO272" s="305" t="str">
        <f t="shared" ca="1" si="673"/>
        <v/>
      </c>
      <c r="CP272" s="305" t="str">
        <f t="shared" ca="1" si="674"/>
        <v/>
      </c>
      <c r="CQ272" s="305" t="str">
        <f t="shared" ca="1" si="675"/>
        <v/>
      </c>
      <c r="CR272" s="775" t="str">
        <f t="shared" ca="1" si="676"/>
        <v/>
      </c>
      <c r="CS272" s="305" t="str">
        <f t="shared" ca="1" si="677"/>
        <v/>
      </c>
      <c r="CT272" s="305" t="str">
        <f t="shared" ca="1" si="678"/>
        <v/>
      </c>
      <c r="CU272" s="305" t="str">
        <f t="shared" ca="1" si="679"/>
        <v/>
      </c>
      <c r="CV272" s="770" t="str">
        <f t="shared" ca="1" si="680"/>
        <v/>
      </c>
      <c r="CW272" s="302">
        <f t="shared" ca="1" si="681"/>
        <v>0</v>
      </c>
      <c r="CX272" s="299">
        <f t="shared" ca="1" si="682"/>
        <v>0</v>
      </c>
      <c r="CY272" s="299">
        <f t="shared" ca="1" si="683"/>
        <v>0</v>
      </c>
      <c r="CZ272" s="299">
        <f t="shared" ca="1" si="684"/>
        <v>0</v>
      </c>
      <c r="DA272" s="774">
        <f t="shared" ca="1" si="685"/>
        <v>0</v>
      </c>
      <c r="DB272" s="303">
        <f t="shared" ca="1" si="686"/>
        <v>0</v>
      </c>
      <c r="DC272" s="248">
        <f t="shared" ca="1" si="687"/>
        <v>0</v>
      </c>
      <c r="DD272" s="778">
        <f t="shared" ca="1" si="688"/>
        <v>0</v>
      </c>
      <c r="DE272" s="363">
        <f t="shared" ca="1" si="689"/>
        <v>0</v>
      </c>
      <c r="DF272" s="378" t="str">
        <f t="shared" ca="1" si="690"/>
        <v/>
      </c>
      <c r="DG272" s="508" t="str">
        <f t="shared" ca="1" si="691"/>
        <v/>
      </c>
      <c r="DH272" s="508" t="str">
        <f t="shared" ca="1" si="692"/>
        <v/>
      </c>
      <c r="DI272" s="508" t="str">
        <f t="shared" ca="1" si="693"/>
        <v/>
      </c>
      <c r="DJ272" s="508" t="str">
        <f t="shared" ca="1" si="694"/>
        <v/>
      </c>
      <c r="DK272" s="353">
        <f t="shared" ca="1" si="695"/>
        <v>0</v>
      </c>
      <c r="DL272" s="781">
        <f t="shared" ca="1" si="696"/>
        <v>0</v>
      </c>
      <c r="DM272" s="303">
        <f t="shared" ca="1" si="697"/>
        <v>0</v>
      </c>
      <c r="DN272" s="508" t="str">
        <f t="shared" ca="1" si="698"/>
        <v/>
      </c>
      <c r="DO272" s="508" t="str">
        <f t="shared" ca="1" si="699"/>
        <v/>
      </c>
      <c r="DP272" s="508" t="str">
        <f t="shared" ca="1" si="700"/>
        <v/>
      </c>
      <c r="DQ272" s="508" t="str">
        <f t="shared" ca="1" si="701"/>
        <v/>
      </c>
      <c r="DR272" s="508" t="str">
        <f t="shared" ca="1" si="702"/>
        <v/>
      </c>
      <c r="DS272" s="353">
        <f t="shared" ca="1" si="703"/>
        <v>0</v>
      </c>
      <c r="DT272" s="353">
        <f t="shared" ca="1" si="704"/>
        <v>0</v>
      </c>
      <c r="DU272" s="380">
        <f t="shared" ca="1" si="804"/>
        <v>21.330595482546201</v>
      </c>
      <c r="DV272" s="303">
        <f t="shared" ca="1" si="705"/>
        <v>0</v>
      </c>
      <c r="DW272" s="303">
        <f t="shared" ca="1" si="706"/>
        <v>0</v>
      </c>
      <c r="DX272" s="303">
        <f t="shared" ca="1" si="707"/>
        <v>0</v>
      </c>
      <c r="DY272" s="303">
        <f t="shared" ca="1" si="708"/>
        <v>0</v>
      </c>
      <c r="DZ272" s="303">
        <f t="shared" ca="1" si="709"/>
        <v>0</v>
      </c>
      <c r="EA272" s="303">
        <f t="shared" ca="1" si="710"/>
        <v>0</v>
      </c>
      <c r="EB272" s="302">
        <f t="shared" ca="1" si="711"/>
        <v>0</v>
      </c>
      <c r="EC272" s="299">
        <f t="shared" ca="1" si="712"/>
        <v>0</v>
      </c>
      <c r="ED272" s="299">
        <f t="shared" ca="1" si="713"/>
        <v>0</v>
      </c>
      <c r="EE272" s="299">
        <f t="shared" ca="1" si="714"/>
        <v>0</v>
      </c>
      <c r="EF272" s="299">
        <f t="shared" ca="1" si="715"/>
        <v>0</v>
      </c>
      <c r="EG272" s="299">
        <f t="shared" ca="1" si="716"/>
        <v>0</v>
      </c>
      <c r="EH272" s="302">
        <f t="shared" ca="1" si="717"/>
        <v>0</v>
      </c>
      <c r="EI272" s="304" t="str">
        <f t="shared" ca="1" si="718"/>
        <v/>
      </c>
      <c r="EJ272" s="305" t="str">
        <f t="shared" ca="1" si="719"/>
        <v/>
      </c>
      <c r="EK272" s="305" t="str">
        <f t="shared" ca="1" si="720"/>
        <v/>
      </c>
      <c r="EL272" s="305" t="str">
        <f t="shared" ca="1" si="721"/>
        <v/>
      </c>
      <c r="EM272" s="305" t="str">
        <f t="shared" ca="1" si="722"/>
        <v/>
      </c>
      <c r="EN272" s="305" t="str">
        <f t="shared" ca="1" si="723"/>
        <v/>
      </c>
      <c r="EO272" s="305" t="str">
        <f t="shared" ca="1" si="724"/>
        <v/>
      </c>
      <c r="EP272" s="305" t="str">
        <f t="shared" ca="1" si="725"/>
        <v/>
      </c>
      <c r="EQ272" s="305" t="str">
        <f t="shared" ca="1" si="726"/>
        <v/>
      </c>
      <c r="ER272" s="305" t="str">
        <f t="shared" ca="1" si="727"/>
        <v/>
      </c>
      <c r="ES272" s="305" t="str">
        <f t="shared" ca="1" si="728"/>
        <v/>
      </c>
      <c r="ET272" s="299">
        <f t="shared" ca="1" si="729"/>
        <v>0</v>
      </c>
      <c r="EU272" s="302">
        <f t="shared" ca="1" si="730"/>
        <v>0</v>
      </c>
      <c r="EV272" s="304" t="str">
        <f t="shared" ca="1" si="731"/>
        <v/>
      </c>
      <c r="EW272" s="305" t="str">
        <f t="shared" ca="1" si="732"/>
        <v/>
      </c>
      <c r="EX272" s="305" t="str">
        <f t="shared" ca="1" si="733"/>
        <v/>
      </c>
      <c r="EY272" s="305" t="str">
        <f t="shared" ca="1" si="734"/>
        <v/>
      </c>
      <c r="EZ272" s="305" t="str">
        <f t="shared" ca="1" si="735"/>
        <v/>
      </c>
      <c r="FA272" s="305" t="str">
        <f t="shared" ca="1" si="736"/>
        <v/>
      </c>
      <c r="FB272" s="305" t="str">
        <f t="shared" ca="1" si="737"/>
        <v/>
      </c>
      <c r="FC272" s="305" t="str">
        <f t="shared" ca="1" si="738"/>
        <v/>
      </c>
      <c r="FD272" s="305" t="str">
        <f t="shared" ca="1" si="739"/>
        <v/>
      </c>
      <c r="FE272" s="305" t="str">
        <f t="shared" ca="1" si="740"/>
        <v/>
      </c>
      <c r="FF272" s="305" t="str">
        <f t="shared" ca="1" si="741"/>
        <v/>
      </c>
      <c r="FG272" s="299">
        <f t="shared" ca="1" si="742"/>
        <v>0</v>
      </c>
      <c r="FH272" s="302">
        <f t="shared" ca="1" si="743"/>
        <v>0</v>
      </c>
      <c r="FI272" s="248">
        <f t="shared" ca="1" si="744"/>
        <v>0</v>
      </c>
      <c r="FJ272" s="363">
        <f t="shared" ca="1" si="745"/>
        <v>0</v>
      </c>
      <c r="FK272" s="378" t="str">
        <f t="shared" ca="1" si="746"/>
        <v/>
      </c>
      <c r="FL272" s="508" t="str">
        <f t="shared" ca="1" si="747"/>
        <v/>
      </c>
      <c r="FM272" s="508" t="str">
        <f t="shared" ca="1" si="748"/>
        <v/>
      </c>
      <c r="FN272" s="508" t="str">
        <f t="shared" ca="1" si="749"/>
        <v/>
      </c>
      <c r="FO272" s="508" t="str">
        <f t="shared" ca="1" si="750"/>
        <v/>
      </c>
      <c r="FP272" s="353">
        <f t="shared" ca="1" si="751"/>
        <v>0</v>
      </c>
      <c r="FQ272" s="356">
        <f t="shared" ca="1" si="752"/>
        <v>0</v>
      </c>
      <c r="FR272" s="380">
        <f t="shared" ca="1" si="753"/>
        <v>0</v>
      </c>
      <c r="FS272" s="299">
        <f t="shared" ca="1" si="754"/>
        <v>0</v>
      </c>
      <c r="FT272" s="299">
        <f t="shared" ca="1" si="755"/>
        <v>0</v>
      </c>
      <c r="FU272" s="299">
        <f t="shared" ca="1" si="756"/>
        <v>0</v>
      </c>
      <c r="FV272" s="299">
        <f t="shared" ca="1" si="757"/>
        <v>0</v>
      </c>
      <c r="FW272" s="850" t="str">
        <f t="shared" ca="1" si="758"/>
        <v/>
      </c>
      <c r="FX272" s="851" t="str">
        <f t="shared" ca="1" si="759"/>
        <v/>
      </c>
      <c r="FY272" s="851" t="str">
        <f t="shared" ca="1" si="760"/>
        <v/>
      </c>
      <c r="FZ272" s="201" t="str">
        <f t="shared" ca="1" si="761"/>
        <v/>
      </c>
      <c r="GA272" s="201" t="str">
        <f t="shared" ca="1" si="762"/>
        <v/>
      </c>
      <c r="GB272" s="201" t="str">
        <f t="shared" ca="1" si="763"/>
        <v/>
      </c>
      <c r="GC272" s="201" t="str">
        <f t="shared" ca="1" si="764"/>
        <v/>
      </c>
      <c r="GD272" s="850" t="str">
        <f t="shared" ca="1" si="765"/>
        <v/>
      </c>
      <c r="GE272" s="866" t="str">
        <f t="shared" ca="1" si="766"/>
        <v/>
      </c>
      <c r="GF272" s="866" t="str">
        <f t="shared" ca="1" si="767"/>
        <v/>
      </c>
      <c r="GG272" s="866" t="str">
        <f t="shared" ca="1" si="768"/>
        <v/>
      </c>
      <c r="GH272" s="866" t="str">
        <f t="shared" ca="1" si="769"/>
        <v/>
      </c>
      <c r="GI272" s="302">
        <f t="shared" ca="1" si="770"/>
        <v>0</v>
      </c>
      <c r="GJ272" s="299">
        <f t="shared" ca="1" si="771"/>
        <v>0</v>
      </c>
      <c r="GK272" s="299">
        <f t="shared" ca="1" si="772"/>
        <v>0</v>
      </c>
      <c r="GL272" s="299">
        <f t="shared" ca="1" si="773"/>
        <v>0</v>
      </c>
      <c r="GM272" s="299">
        <f t="shared" ca="1" si="774"/>
        <v>0</v>
      </c>
      <c r="GN272" s="302">
        <f t="shared" ca="1" si="775"/>
        <v>0</v>
      </c>
      <c r="GO272" s="299">
        <f t="shared" ca="1" si="776"/>
        <v>0</v>
      </c>
      <c r="GP272" s="299">
        <f t="shared" ca="1" si="777"/>
        <v>0</v>
      </c>
      <c r="GQ272" s="299">
        <f t="shared" ca="1" si="778"/>
        <v>0</v>
      </c>
      <c r="GR272" s="299">
        <f t="shared" ca="1" si="779"/>
        <v>0</v>
      </c>
      <c r="GS272" s="302">
        <f t="shared" ca="1" si="780"/>
        <v>0</v>
      </c>
      <c r="GT272" s="299">
        <f t="shared" ca="1" si="781"/>
        <v>0</v>
      </c>
      <c r="GU272" s="299">
        <f t="shared" ca="1" si="782"/>
        <v>0</v>
      </c>
      <c r="GV272" s="299">
        <f t="shared" ca="1" si="783"/>
        <v>0</v>
      </c>
      <c r="GW272" s="299">
        <f t="shared" ca="1" si="784"/>
        <v>0</v>
      </c>
      <c r="GX272" s="303">
        <f t="shared" ca="1" si="785"/>
        <v>0</v>
      </c>
      <c r="GY272" s="303">
        <f t="shared" ca="1" si="786"/>
        <v>0</v>
      </c>
      <c r="GZ272" s="303">
        <f t="shared" ca="1" si="787"/>
        <v>0</v>
      </c>
      <c r="HA272" s="303">
        <f t="shared" ca="1" si="788"/>
        <v>0</v>
      </c>
      <c r="HB272" s="303">
        <f t="shared" ca="1" si="789"/>
        <v>0</v>
      </c>
      <c r="HC272" s="303">
        <f t="shared" ca="1" si="790"/>
        <v>0</v>
      </c>
      <c r="HD272" s="303">
        <f t="shared" ca="1" si="791"/>
        <v>0</v>
      </c>
      <c r="HE272" s="303">
        <f t="shared" ca="1" si="792"/>
        <v>0</v>
      </c>
      <c r="HF272" s="303">
        <f t="shared" ca="1" si="793"/>
        <v>0</v>
      </c>
      <c r="HG272" s="852">
        <f t="shared" ca="1" si="794"/>
        <v>0</v>
      </c>
    </row>
    <row r="273" spans="1:215" x14ac:dyDescent="0.25">
      <c r="A273" s="244">
        <f t="shared" ca="1" si="795"/>
        <v>44409</v>
      </c>
      <c r="B273" s="13">
        <f t="shared" ref="B273:B288" ca="1" si="831">YEAR(A273)</f>
        <v>2021</v>
      </c>
      <c r="C273" s="619">
        <f t="shared" ref="C273:C288" ca="1" si="832">MONTH(A273)</f>
        <v>8</v>
      </c>
      <c r="D273" s="195" t="str">
        <f t="shared" ref="D273:D292" ca="1" si="833">Holiday(B273,C273)</f>
        <v/>
      </c>
      <c r="E273" s="469" t="str">
        <f t="shared" ref="E273:E292" ca="1" si="834">IF(OR(BegDate&gt;=A274,EndDate&lt;A273,AND(VolumeMonthlyOverFlag,INDEX(VolumeMonthlyOver,C273)=0),NOT(INDEX(MonthKnockOutTable,C273))),"",MAX(A273,BegDate))</f>
        <v/>
      </c>
      <c r="F273" s="465" t="str">
        <f t="shared" ref="F273:F292" ca="1" si="835">IF(E273="","",MIN(A274-1,EndDate))</f>
        <v/>
      </c>
      <c r="G273" s="522">
        <f t="shared" ca="1" si="796"/>
        <v>1</v>
      </c>
      <c r="H273" s="519">
        <f t="shared" ca="1" si="797"/>
        <v>1</v>
      </c>
      <c r="I273" s="724">
        <f t="shared" ref="I273:I288" ca="1" si="836">VLOOKUP(A273,IRTable,2)</f>
        <v>7.4016212249880003E-2</v>
      </c>
      <c r="J273" s="198">
        <f t="shared" ref="J273:J292" ca="1" si="837">(1+I273/2)^(-2*(DATE(B274,C274,20)-DateToday)/365.25)</f>
        <v>0.20879242910533238</v>
      </c>
      <c r="K273" s="200" t="e">
        <f t="shared" ca="1" si="805"/>
        <v>#N/A</v>
      </c>
      <c r="L273" s="201" t="e">
        <f t="shared" ca="1" si="806"/>
        <v>#N/A</v>
      </c>
      <c r="M273" s="206" t="e">
        <f t="shared" ca="1" si="807"/>
        <v>#N/A</v>
      </c>
      <c r="N273" s="851" t="e">
        <f t="shared" ca="1" si="811"/>
        <v>#N/A</v>
      </c>
      <c r="O273" s="201" t="e">
        <f t="shared" ca="1" si="812"/>
        <v>#N/A</v>
      </c>
      <c r="P273" s="206" t="e">
        <f t="shared" ca="1" si="813"/>
        <v>#N/A</v>
      </c>
      <c r="Q273" s="201" t="e">
        <f t="shared" ca="1" si="814"/>
        <v>#N/A</v>
      </c>
      <c r="R273" s="201" t="e">
        <f t="shared" ca="1" si="815"/>
        <v>#N/A</v>
      </c>
      <c r="S273" s="201" t="e">
        <f t="shared" ca="1" si="816"/>
        <v>#N/A</v>
      </c>
      <c r="T273" s="851" t="e">
        <f t="shared" ca="1" si="808"/>
        <v>#N/A</v>
      </c>
      <c r="U273" s="201" t="e">
        <f t="shared" ca="1" si="809"/>
        <v>#N/A</v>
      </c>
      <c r="V273" s="206" t="e">
        <f t="shared" ca="1" si="810"/>
        <v>#N/A</v>
      </c>
      <c r="W273" s="230" t="e">
        <f t="shared" ca="1" si="798"/>
        <v>#N/A</v>
      </c>
      <c r="X273" s="231" t="e">
        <f t="shared" ca="1" si="799"/>
        <v>#N/A</v>
      </c>
      <c r="Y273" s="232" t="e">
        <f t="shared" ca="1" si="800"/>
        <v>#N/A</v>
      </c>
      <c r="Z273" s="231" t="e">
        <f t="shared" ca="1" si="820"/>
        <v>#N/A</v>
      </c>
      <c r="AA273" s="231" t="e">
        <f t="shared" ca="1" si="821"/>
        <v>#N/A</v>
      </c>
      <c r="AB273" s="232" t="e">
        <f t="shared" ca="1" si="822"/>
        <v>#N/A</v>
      </c>
      <c r="AC273" s="231" t="e">
        <f t="shared" ca="1" si="823"/>
        <v>#N/A</v>
      </c>
      <c r="AD273" s="231" t="e">
        <f t="shared" ca="1" si="824"/>
        <v>#N/A</v>
      </c>
      <c r="AE273" s="232" t="e">
        <f t="shared" ref="AE273:AE292" ca="1" si="838">VLOOKUP($A273,BigTable,16,0)</f>
        <v>#N/A</v>
      </c>
      <c r="AF273" s="231" t="e">
        <f t="shared" ca="1" si="801"/>
        <v>#N/A</v>
      </c>
      <c r="AG273" s="231" t="e">
        <f t="shared" ca="1" si="802"/>
        <v>#N/A</v>
      </c>
      <c r="AH273" s="232" t="e">
        <f t="shared" ca="1" si="803"/>
        <v>#N/A</v>
      </c>
      <c r="AI273" s="233" t="e">
        <f t="shared" ref="AI273:AI292" ca="1" si="839">VLOOKUP($A273,BigTable,22,0)*INDEX(IntraMonthVolScalars,C273)+AJ273</f>
        <v>#N/A</v>
      </c>
      <c r="AJ273" s="233" t="e">
        <f t="shared" ref="AJ273:AJ292" ca="1" si="840">VLOOKUP($A273,BigTable,23,0)*INDEX(IntraMonthVolScalars,C273)</f>
        <v>#N/A</v>
      </c>
      <c r="AK273" s="234" t="e">
        <f t="shared" ref="AK273:AK292" ca="1" si="841">VLOOKUP($A273,BigTable,24,0)*INDEX(IntraMonthVolScalars,C273)+AJ273</f>
        <v>#N/A</v>
      </c>
      <c r="AL273" s="919" t="e">
        <f t="shared" ref="AL273:AL292" ca="1" si="842">VLOOKUP($A273,BigTable,22,0)*INDEX(IntraMonthVolScalars,C273)+AM273</f>
        <v>#N/A</v>
      </c>
      <c r="AM273" s="233" t="e">
        <f t="shared" ref="AM273:AM292" ca="1" si="843">VLOOKUP($A273,BigTable,23,0)*INDEX(IntraMonthVolScalars,C273)</f>
        <v>#N/A</v>
      </c>
      <c r="AN273" s="234" t="e">
        <f t="shared" ref="AN273:AN292" ca="1" si="844">VLOOKUP($A273,BigTable,24,0)*INDEX(IntraMonthVolScalars,C273)+AM273</f>
        <v>#N/A</v>
      </c>
      <c r="AO273" s="233" t="e">
        <f t="shared" ref="AO273:AO292" ca="1" si="845">VLOOKUP($A273,BigTable,22,0)*INDEX(IntraMonthVolScalars,C273)+AP273</f>
        <v>#N/A</v>
      </c>
      <c r="AP273" s="233" t="e">
        <f t="shared" ref="AP273:AP292" ca="1" si="846">VLOOKUP($A273,BigTable,23,0)*INDEX(IntraMonthVolScalars,C273)</f>
        <v>#N/A</v>
      </c>
      <c r="AQ273" s="233" t="e">
        <f t="shared" ref="AQ273:AQ292" ca="1" si="847">VLOOKUP($A273,BigTable,24,0)*INDEX(IntraMonthVolScalars,C273)+AP273</f>
        <v>#N/A</v>
      </c>
      <c r="AR273" s="919" t="e">
        <f t="shared" ref="AR273:AR292" ca="1" si="848">VLOOKUP($A273,BigTable,26,0)*INDEX(IntraMonthVolScalars,C273)+AS273</f>
        <v>#N/A</v>
      </c>
      <c r="AS273" s="233" t="e">
        <f t="shared" ref="AS273:AS292" ca="1" si="849">VLOOKUP($A273,BigTable,27,0)*INDEX(IntraMonthVolScalars,C273)</f>
        <v>#N/A</v>
      </c>
      <c r="AT273" s="235" t="e">
        <f t="shared" ref="AT273:AT292" ca="1" si="850">VLOOKUP($A273,BigTable,28,0)*INDEX(IntraMonthVolScalars,C273)+AS273</f>
        <v>#N/A</v>
      </c>
      <c r="AU273" s="946">
        <f t="shared" ref="AU273:AU292" si="851">IF(CorrPeakOffPeakOverFlag,INDEX(CorrPeakOffPeakOver,C273),CorrPeakOffPeak)</f>
        <v>0.5</v>
      </c>
      <c r="AV273" s="13">
        <f t="shared" ref="AV273:AV292" ca="1" si="852">AZ273-SUM(AW273:AY273)</f>
        <v>0</v>
      </c>
      <c r="AW273" s="210">
        <f t="shared" ref="AW273:AW292" ca="1" si="853">IF(E273="",0,INT((F273-MOD(F273,7)-E273)/7)+1-IF(AY273,IF(WEEKDAY(D273)=7,1,0),0))</f>
        <v>0</v>
      </c>
      <c r="AX273" s="210">
        <f t="shared" ref="AX273:AX292" ca="1" si="854">IF(E273="",0,INT((F273-MOD(F273-1,7)-E273)/7)+1-IF(AY273,IF(WEEKDAY(D273)=1,1,0),0))</f>
        <v>0</v>
      </c>
      <c r="AY273" s="210">
        <f t="shared" ref="AY273:AY292" ca="1" si="855">IF(OR(E273="",D273="",D273&lt;BegDate,D273&gt;EndDate),0,1)</f>
        <v>0</v>
      </c>
      <c r="AZ273" s="13">
        <f t="shared" ref="AZ273:AZ292" ca="1" si="856">IF(E273="",0,F273-E273+1)</f>
        <v>0</v>
      </c>
      <c r="BA273" s="357">
        <f ca="1"/>
        <v>0</v>
      </c>
      <c r="BB273" s="925">
        <f ca="1"/>
        <v>0</v>
      </c>
      <c r="BC273" s="925">
        <f ca="1"/>
        <v>0</v>
      </c>
      <c r="BD273" s="928">
        <f ca="1"/>
        <v>0</v>
      </c>
      <c r="BE273" s="200">
        <f ca="1"/>
        <v>0</v>
      </c>
      <c r="BF273" s="851">
        <f ca="1"/>
        <v>0</v>
      </c>
      <c r="BG273" s="851">
        <f ca="1"/>
        <v>0</v>
      </c>
      <c r="BH273" s="933">
        <f ca="1"/>
        <v>0</v>
      </c>
      <c r="BI273" s="357">
        <f ca="1"/>
        <v>0</v>
      </c>
      <c r="BJ273" s="925">
        <f ca="1"/>
        <v>0</v>
      </c>
      <c r="BK273" s="925">
        <f ca="1"/>
        <v>0</v>
      </c>
      <c r="BL273" s="928">
        <f ca="1"/>
        <v>0</v>
      </c>
      <c r="BM273" s="200">
        <f ca="1"/>
        <v>0</v>
      </c>
      <c r="BN273" s="851">
        <f ca="1"/>
        <v>0</v>
      </c>
      <c r="BO273" s="851">
        <f ca="1"/>
        <v>0</v>
      </c>
      <c r="BP273" s="933">
        <f ca="1"/>
        <v>0</v>
      </c>
      <c r="BQ273" s="357">
        <f t="shared" ref="BQ273:BQ292" ca="1" si="857">SUM(BA273:BD273)</f>
        <v>0</v>
      </c>
      <c r="BR273" s="361">
        <f t="shared" ref="BR273:BR292" ca="1" si="858">SUM(BI273:BL273)</f>
        <v>0</v>
      </c>
      <c r="BS273" s="357">
        <f t="shared" ref="BS273:BS292" ca="1" si="859">BQ273*J273</f>
        <v>0</v>
      </c>
      <c r="BT273" s="302">
        <f t="shared" ref="BT273:BT292" ca="1" si="860">IF(BS273,(IF(BA273,K273*BE273*BA273,0)+IF(BD273,T273*BH273*BD273,0)+IF(BB273,N273*BF273*BB273,0)+IF(BC273,Q273*BG273*BC273,0))/BQ273,0)</f>
        <v>0</v>
      </c>
      <c r="BU273" s="299">
        <f t="shared" ref="BU273:BU292" ca="1" si="861">IF(BS273,(IF(BA273,L273*BE273*BA273,0)+IF(BD273,U273*BH273*BD273,0)+IF(BB273,O273*BF273*BB273,0)+IF(BC273,R273*BG273*BC273,0))/BQ273,0)</f>
        <v>0</v>
      </c>
      <c r="BV273" s="299">
        <f t="shared" ref="BV273:BV292" ca="1" si="862">IF(BS273,(IF(BA273,M273*BE273*BA273,0)+IF(BD273,V273*BH273*BD273,0)+IF(BB273,P273*BF273*BB273,0)+IF(BC273,S273*BG273*BC273,0))/BQ273,0)</f>
        <v>0</v>
      </c>
      <c r="BW273" s="299">
        <f t="shared" ref="BW273:BW292" ca="1" si="863">IF(BS273,SPrice*G273,0)</f>
        <v>0</v>
      </c>
      <c r="BX273" s="380">
        <f t="shared" ref="BX273:BX292" ca="1" si="864">(IF(OVolType&lt;&gt;2,A273+14,IF(OptExpDateShift,ShiftBack(A273,OptExpDateShift,D272),A273))-DateToday)/365.25</f>
        <v>21.415468856947296</v>
      </c>
      <c r="BY273" s="363">
        <f t="shared" ref="BY273:BY292" ca="1" si="865">BI273*J273</f>
        <v>0</v>
      </c>
      <c r="BZ273" s="353">
        <f t="shared" ref="BZ273:BZ292" ca="1" si="866">BJ273*J273</f>
        <v>0</v>
      </c>
      <c r="CA273" s="353">
        <f t="shared" ref="CA273:CA292" ca="1" si="867">BK273*J273</f>
        <v>0</v>
      </c>
      <c r="CB273" s="353">
        <f t="shared" ref="CB273:CB292" ca="1" si="868">SUM(BY273:CA273)</f>
        <v>0</v>
      </c>
      <c r="CC273" s="353">
        <f t="shared" ref="CC273:CC292" ca="1" si="869">BL273*J273</f>
        <v>0</v>
      </c>
      <c r="CD273" s="353">
        <f t="shared" ref="CD273:CD292" ca="1" si="870">CB273+CC273</f>
        <v>0</v>
      </c>
      <c r="CE273" s="302">
        <f t="shared" ref="CE273:CE292" ca="1" si="871">IF(CD273,IF(OPriceCurve,IF(OBuySell=OCallPut,K273,M273),L273)*BM273,0)</f>
        <v>0</v>
      </c>
      <c r="CF273" s="299">
        <f t="shared" ref="CF273:CF292" ca="1" si="872">IF(CD273,IF(OPriceCurve,IF(OBuySell=OCallPut,N273,P273),O273)*BN273,0)</f>
        <v>0</v>
      </c>
      <c r="CG273" s="299">
        <f t="shared" ref="CG273:CG292" ca="1" si="873">IF(CD273,IF(OPriceCurve,IF(OBuySell=OCallPut,Q273,S273),R273)*BO273,0)</f>
        <v>0</v>
      </c>
      <c r="CH273" s="299">
        <f t="shared" ref="CH273:CH292" ca="1" si="874">IF(CB273,(CE273*BY273+CF273*BZ273+CG273*CA273)/CB273,0)</f>
        <v>0</v>
      </c>
      <c r="CI273" s="299">
        <f t="shared" ref="CI273:CI292" ca="1" si="875">IF(CD273,IF(OPriceCurve,IF(OBuySell=OCallPut,T273,V273),U273)*BP273,0)</f>
        <v>0</v>
      </c>
      <c r="CJ273" s="299">
        <f t="shared" ref="CJ273:CJ292" ca="1" si="876">IF(CD273,(CH273*CB273+CI273*CC273)/CD273,0)</f>
        <v>0</v>
      </c>
      <c r="CK273" s="299">
        <f t="shared" ref="CK273:CK292" ca="1" si="877">IF(CD273,OStrike*G273,0)</f>
        <v>0</v>
      </c>
      <c r="CL273" s="377" t="str">
        <f t="shared" ref="CL273:CL292" ca="1" si="878">IF(CD273,IF(OVolType&lt;&gt;2,SQRT(IF(OVolOverMonthlyPeak,OVolOverMonthlyPeak,IF(OVolCurve,IF(OBuySell,W273,Y273),X273))^2*(1-15/365.25/BX273)+IF(OVolOverDailyPeak,OVolOverDailyPeak,IF(OVolCurve,IF(OBuySell,AI273,AK273),AJ273))^2*15/365.25/BX273),IF(OVolOverMonthlyPeak,OVolOverMonthlyPeak,IF(OVolCurve,IF(OBuySell,W273,Y273),X273))),"")</f>
        <v/>
      </c>
      <c r="CM273" s="305" t="str">
        <f t="shared" ref="CM273:CM292" ca="1" si="879">IF(CD273,IF(OVolType&lt;&gt;2,SQRT(IF(OVolOverMonthlyPeak,OVolOverMonthlyPeak,IF(OVolCurve,IF(OBuySell,Z273,AB273),AA273))^2*(1-15/365.25/BX273)+IF(OVolOverDailyPeak,OVolOverDailyPeak,IF(OVolCurve,IF(OBuySell,AL273,AN273),AM273))^2*15/365.25/BX273),IF(OVolOverMonthlyPeak,OVolOverMonthlyPeak,IF(OVolCurve,IF(OBuySell,Z273,AB273),AA273))),"")</f>
        <v/>
      </c>
      <c r="CN273" s="305" t="str">
        <f t="shared" ref="CN273:CN292" ca="1" si="880">IF(CD273,IF(OVolType&lt;&gt;2,SQRT(IF(OVolOverMonthlyPeak,OVolOverMonthlyPeak,IF(OVolCurve,IF(OBuySell,AC273,AE273),AD273))^2*(1-15/365.25/BX273)+IF(OVolOverDailyPeak,OVolOverDailyPeak,IF(OVolCurve,IF(OBuySell,AO273,AQ273),AP273))^2*15/365.25/BX273),IF(OVolOverMonthlyPeak,OVolOverMonthlyPeak,IF(OVolCurve,IF(OBuySell,AC273,AE273),AD273))),"")</f>
        <v/>
      </c>
      <c r="CO273" s="305" t="str">
        <f t="shared" ref="CO273:CO292" ca="1" si="881">IF(CD273,IF(CB273,SQRT(LN(1+((CE273*BY273)^2*(EXP(CL273^2*BX273)-1)+(CF273*BZ273)^2*(EXP(CM273^2*BX273)-1)+(CG273*CA273)^2*(EXP(CN273^2*BX273)-1)+2*CE273*BY273*CF273*BZ273*(EXP(CL273*CM273*BX273)-1)+2*CF273*BZ273*CG273*CA273*(EXP(CM273*CN273*BX273)-1)+2*CG273*CA273*CE273*BY273*(EXP(CN273*CL273*BX273)-1))/(CH273*CB273)^2)/BX273),0),"")</f>
        <v/>
      </c>
      <c r="CP273" s="305" t="str">
        <f t="shared" ref="CP273:CP292" ca="1" si="882">IF(CD273,IF(OVolType&lt;&gt;2,SQRT(IF(OVolOverMonthlyOffPeak,OVolOverMonthlyOffPeak,IF(OVolCurve,IF(OBuySell,AF273,AH273),AG273))^2*(1-15/365.25/BX273)+IF(OVolOverDailyOffPeak,OVolOverDailyOffPeak,IF(OVolCurve,IF(OBuySell,AR273,AT273),AS273))^2*15/365.25/BX273),IF(OVolOverMonthlyOffPeak,OVolOverMonthlyOffPeak,IF(OVolCurve,IF(OBuySell,AF273,AH273),AG273))),"")</f>
        <v/>
      </c>
      <c r="CQ273" s="305" t="str">
        <f t="shared" ref="CQ273:CQ292" ca="1" si="883">IF(CD273,SQRT(LN(1+((CH273*CB273)^2*(EXP(CO273^2*BX273)-1)+(CI273*CC273)^2*(EXP(CP273^2*BX273)-1)+2*CH273*CB273*CI273*CC273*(EXP(AU273*CO273*CP273*BX273)-1))/(CH273*CB273+CI273*CC273)^2)/BX273),"")</f>
        <v/>
      </c>
      <c r="CR273" s="775" t="str">
        <f t="shared" ref="CR273:CR292" ca="1" si="884">IF(CD273,CL273+IF(OVolSmile,VLOOKUP(MAX(-5,CK273-CE273),IF(OVolSmile=1,VolSmileBook,VolSmileModel),2),0),"")</f>
        <v/>
      </c>
      <c r="CS273" s="305" t="str">
        <f t="shared" ref="CS273:CS292" ca="1" si="885">IF(CD273,CM273+IF(OVolSmile,VLOOKUP(MAX(-5,CK273-CF273),IF(OVolSmile=1,VolSmileBook,VolSmileModel),2),0),"")</f>
        <v/>
      </c>
      <c r="CT273" s="305" t="str">
        <f t="shared" ref="CT273:CT292" ca="1" si="886">IF(CD273,CN273+IF(OVolSmile,VLOOKUP(MAX(-5,CK273-CG273),IF(OVolSmile=1,VolSmileBook,VolSmileModel),2),0),"")</f>
        <v/>
      </c>
      <c r="CU273" s="305" t="str">
        <f t="shared" ref="CU273:CU292" ca="1" si="887">IF(CD273,CP273+IF(OVolSmile,VLOOKUP(MAX(-5,CK273-CI273),IF(OVolSmile=1,VolSmileBook,VolSmileModel),2),0),"")</f>
        <v/>
      </c>
      <c r="CV273" s="770" t="str">
        <f t="shared" ref="CV273:CV292" ca="1" si="888">IF(CD273,CQ273+IF(OVolSmile,VLOOKUP(MAX(-5,CK273-CJ273),IF(OVolSmile=1,VolSmileBook,VolSmileModel),2),0),"")</f>
        <v/>
      </c>
      <c r="CW273" s="302">
        <f t="shared" ref="CW273:CW292" ca="1" si="889">IF(BY273,UndiscountedOption(CE273,CK273,CR273,BX273,OCallPut,0),0)</f>
        <v>0</v>
      </c>
      <c r="CX273" s="299">
        <f t="shared" ref="CX273:CX292" ca="1" si="890">IF(BZ273,UndiscountedOption(CF273,CK273,CS273,BX273,OCallPut,0),0)</f>
        <v>0</v>
      </c>
      <c r="CY273" s="299">
        <f t="shared" ref="CY273:CY292" ca="1" si="891">IF(CA273,UndiscountedOption(CG273,CK273,CT273,BX273,OCallPut,0),0)</f>
        <v>0</v>
      </c>
      <c r="CZ273" s="299">
        <f t="shared" ref="CZ273:CZ292" ca="1" si="892">IF(CC273,UndiscountedOption(CI273,CK273,CU273,BX273,OCallPut,0),0)</f>
        <v>0</v>
      </c>
      <c r="DA273" s="774">
        <f t="shared" ref="DA273:DA292" ca="1" si="893">IF(CD273,UndiscountedOption(CJ273,CK273,CV273,BX273,OCallPut,0),0)</f>
        <v>0</v>
      </c>
      <c r="DB273" s="303">
        <f t="shared" ref="DB273:DB292" ca="1" si="894">IF(CD273,IF(OVolType,DA273*CD273,CW273*BY273+CX273*BZ273+CY273*CA273+CZ273*CC273),0)</f>
        <v>0</v>
      </c>
      <c r="DC273" s="248">
        <f t="shared" ref="DC273:DC292" ca="1" si="895">IF(CD273,IF(OVolType,UndiscountedOption(CJ273,CK273,CV273,BX273,OCallPut,1)*CD273,IF(BY273,UndiscountedOption(CE273,CK273,CR273,BX273,OCallPut,1),0)*BY273+IF(BZ273,UndiscountedOption(CF273,CK273,CS273,BX273,OCallPut,1),0)*BZ273+IF(CA273,UndiscountedOption(CG273,CK273,CT273,BX273,OCallPut,1),0)*CA273+IF(CC273,UndiscountedOption(CI273,CK273,CU273,BX273,OCallPut,1),0)*CC273),0)</f>
        <v>0</v>
      </c>
      <c r="DD273" s="778">
        <f t="shared" ref="DD273:DD292" ca="1" si="896">IF(CD273,IF(OVolType,IF(OCallPut,IF(CJ273&gt;CK273,CJ273-CK273,0),IF(CK273&gt;CJ273,CK273-CJ273,0))*CD273,IF(OCallPut,IF(CE273&gt;CK273,CE273-CK273,0)*BY273+IF(CF273&gt;CK273,CF273-CK273,0)*BZ273+IF(CG273&gt;CK273,CG273-CK273,0)*CA273+IF(CI273&gt;CK273,CI273-CK273,0)*CC273,IF(CK273&gt;CE273,CK273-CE273,0)*BY273+IF(CK273&gt;CF273,CK273-CF273,0)*BZ273+IF(CK273&gt;CG273,CK273-CG273,0)*CA273+IF(CK273&gt;CI273,CK273-CI273,0)*CC273)),0)</f>
        <v>0</v>
      </c>
      <c r="DE273" s="363">
        <f t="shared" ref="DE273:DE292" ca="1" si="897">IF(E273&lt;&gt;"",INDEX(MaxMWTable,C273,2)*H273*J273,0)</f>
        <v>0</v>
      </c>
      <c r="DF273" s="378" t="str">
        <f t="shared" ref="DF273:DF292" ca="1" si="898">IF(BY273,(LN(CE273/CK273)-CR273^2*BX273/2)/CR273/SQRT(BX273),"")</f>
        <v/>
      </c>
      <c r="DG273" s="508" t="str">
        <f t="shared" ref="DG273:DG292" ca="1" si="899">IF(BZ273,(LN(CF273/CK273)-CS273^2*BX273/2)/CS273/SQRT(BX273),"")</f>
        <v/>
      </c>
      <c r="DH273" s="508" t="str">
        <f t="shared" ref="DH273:DH292" ca="1" si="900">IF(CA273,(LN(CG273/CK273)-CT273^2*BX273/2)/CT273/SQRT(BX273),"")</f>
        <v/>
      </c>
      <c r="DI273" s="508" t="str">
        <f t="shared" ref="DI273:DI292" ca="1" si="901">IF(CC273,(LN(CI273/CK273)-CU273^2*BX273/2)/CU273/SQRT(BX273),"")</f>
        <v/>
      </c>
      <c r="DJ273" s="508" t="str">
        <f t="shared" ref="DJ273:DJ292" ca="1" si="902">IF(CD273,(LN(CJ273/CK273)-CV273^2*BX273/2)/CV273/SQRT(BX273),"")</f>
        <v/>
      </c>
      <c r="DK273" s="353">
        <f t="shared" ref="DK273:DK292" ca="1" si="903">IF(CD273,IF(OVolType,(-NORMSDIST(DJ273)+IF(OCallPut=1,0,1))*CD273,IF(BY273,(-NORMSDIST(DF273)+IF(OCallPut=1,0,1)),0)*BY273+IF(BZ273,(-NORMSDIST(DG273)+IF(OCallPut=1,0,1)),0)*BZ273+IF(CA273,(-NORMSDIST(DH273)+IF(OCallPut=1,0,1)),0)*CA273+IF(CC273,(-NORMSDIST(DI273)+IF(OCallPut=1,0,1)),0)*CC273),0)</f>
        <v>0</v>
      </c>
      <c r="DL273" s="781">
        <f t="shared" ref="DL273:DL292" ca="1" si="904">IF(CD273,IF(OVolType,EXP(-0.5*DJ273^2)/CV273*CD273,IF(BY273,EXP(-0.5*DF273^2)/CR273,0)*BY273+IF(BZ273,EXP(-0.5*DG273^2)/CS273,0)*BZ273+IF(CA273,EXP(-0.5*DH273^2)/CT273,0)*CA273+IF(CC273,EXP(-0.5*DI273^2)/CU273,0)*CC273)/SQRT(2*3.14159*BX273)/CK273,0)</f>
        <v>0</v>
      </c>
      <c r="DM273" s="303">
        <f t="shared" ref="DM273:DM292" ca="1" si="905">IF(CD273,IF(OVolType,UndiscountedOption(CJ273,CK273,OImpVol,BX273,OCallPut,0)*CD273,IF(BY273,UndiscountedOption(CE273,CK273,OImpVol,BX273,OCallPut,0),0)*BY273+IF(BZ273,UndiscountedOption(CF273,CK273,OImpVol,BX273,OCallPut,0),0)*BZ273+IF(CA273,UndiscountedOption(CG273,CK273,OImpVol,BX273,OCallPut,0),0)*CA273+IF(CC273,UndiscountedOption(CI273,CK273,OImpVol,BX273,OCallPut,0),0)*CC273),0)</f>
        <v>0</v>
      </c>
      <c r="DN273" s="508" t="str">
        <f t="shared" ref="DN273:DN292" ca="1" si="906">IF(BY273,(LN(CE273/CK273)+OImpVol^2*BX273/2)/OImpVol/SQRT(BX273),"")</f>
        <v/>
      </c>
      <c r="DO273" s="508" t="str">
        <f t="shared" ref="DO273:DO292" ca="1" si="907">IF(BZ273,(LN(CF273/CK273)+OImpVol^2*BX273/2)/OImpVol/SQRT(BX273),"")</f>
        <v/>
      </c>
      <c r="DP273" s="508" t="str">
        <f t="shared" ref="DP273:DP292" ca="1" si="908">IF(CA273,(LN(CG273/CK273)+OImpVol^2*BX273/2)/OImpVol/SQRT(BX273),"")</f>
        <v/>
      </c>
      <c r="DQ273" s="508" t="str">
        <f t="shared" ref="DQ273:DQ292" ca="1" si="909">IF(CC273,(LN(CI273/CK273)+OImpVol^2*BX273/2)/OImpVol/SQRT(BX273),"")</f>
        <v/>
      </c>
      <c r="DR273" s="508" t="str">
        <f t="shared" ref="DR273:DR292" ca="1" si="910">IF(CD273,(LN(CJ273/CK273)+OImpVol^2*BX273/2)/OImpVol/SQRT(BX273),"")</f>
        <v/>
      </c>
      <c r="DS273" s="353">
        <f t="shared" ref="DS273:DS292" ca="1" si="911">IF(CD273,SQRT(BX273/2/3.14159)*IF(OVolType,CJ273*EXP(-0.5*DR273^2)*CD273,IF(BY273,CE273*EXP(-0.5*DN273^2),0)*BY273+IF(BZ273,CF273*EXP(-0.5*DO273^2),0)*BZ273+IF(CA273,CG273*EXP(-0.5*DP273^2),0)*CA273+IF(CC273,CI273*EXP(-0.5*DQ273^2),0)*CC273),0)</f>
        <v>0</v>
      </c>
      <c r="DT273" s="353">
        <f t="shared" ref="DT273:DT292" ca="1" si="912">IF(CD273,IF(OVolType,CJ273*DR273*EXP(-0.5*DR273^2)*(LN(CJ273/CK273)/OImpVol^2-BX273/2)*CD273,IF(BY273,CE273*DN273*EXP(-0.5*DN273^2)*(LN(CE273/CK273)/OImpVol^2-BX273/2),0)*BY273+IF(BZ273,CF273*DO273*EXP(-0.5*DO273^2)*(LN(CF273/CK273)/OImpVol^2-BX273/2),0)*BZ273+IF(CA273,CG273*DP273*EXP(-0.5*DP273^2)*(LN(CG273/CK273)/OImpVol^2-BX273/2),0)*CA273+IF(CC273,CI273*DQ273*EXP(-0.5*DQ273^2)*(LN(CI273/CK273)/OImpVol^2-BX273/2),0)*CC273)/SQRT(2*3.14159),0)</f>
        <v>0</v>
      </c>
      <c r="DU273" s="380">
        <f t="shared" ca="1" si="804"/>
        <v>21.415468856947296</v>
      </c>
      <c r="DV273" s="303">
        <f t="shared" ref="DV273:DV292" ca="1" si="913">BA273*J273</f>
        <v>0</v>
      </c>
      <c r="DW273" s="303">
        <f t="shared" ref="DW273:DW292" ca="1" si="914">BB273*J273</f>
        <v>0</v>
      </c>
      <c r="DX273" s="303">
        <f t="shared" ref="DX273:DX292" ca="1" si="915">BC273*J273</f>
        <v>0</v>
      </c>
      <c r="DY273" s="303">
        <f t="shared" ref="DY273:DY292" ca="1" si="916">SUM(DV273:DX273)</f>
        <v>0</v>
      </c>
      <c r="DZ273" s="303">
        <f t="shared" ref="DZ273:DZ292" ca="1" si="917">BD273*J273</f>
        <v>0</v>
      </c>
      <c r="EA273" s="303">
        <f t="shared" ref="EA273:EA292" ca="1" si="918">DY273+DZ273</f>
        <v>0</v>
      </c>
      <c r="EB273" s="302">
        <f t="shared" ref="EB273:EB292" ca="1" si="919">IF(EA273,IF(CPriceCurve,IF(CBuySell,K273,M273),L273)*BE273,0)</f>
        <v>0</v>
      </c>
      <c r="EC273" s="299">
        <f t="shared" ref="EC273:EC292" ca="1" si="920">IF(EA273,IF(CPriceCurve,IF(CBuySell,N273,P273),O273)*BF273,0)</f>
        <v>0</v>
      </c>
      <c r="ED273" s="299">
        <f t="shared" ref="ED273:ED292" ca="1" si="921">IF(EA273,IF(CPriceCurve,IF(CBuySell,Q273,S273),R273)*BG273,0)</f>
        <v>0</v>
      </c>
      <c r="EE273" s="299">
        <f t="shared" ref="EE273:EE292" ca="1" si="922">IF(DY273,(EB273*DV273+EC273*DW273+ED273*DX273)/DY273,0)</f>
        <v>0</v>
      </c>
      <c r="EF273" s="299">
        <f t="shared" ref="EF273:EF292" ca="1" si="923">IF(EA273,IF(CPriceCurve,IF(CBuySell,T273,V273),U273)*BH273,0)</f>
        <v>0</v>
      </c>
      <c r="EG273" s="299">
        <f t="shared" ref="EG273:EG292" ca="1" si="924">IF(EA273,(EE273*DY273+EF273*DZ273)/EA273,0)</f>
        <v>0</v>
      </c>
      <c r="EH273" s="302">
        <f t="shared" ref="EH273:EH292" ca="1" si="925">IF(EA273,CFloor*G273,0)</f>
        <v>0</v>
      </c>
      <c r="EI273" s="304" t="str">
        <f t="shared" ref="EI273:EI292" ca="1" si="926">IF(EA273,IF(CVolType&lt;&gt;2,SQRT(IF(CBidOfferVolSpreadFlag,X273^2*(1-15/365.25/DU273)+AJ273^2*15/365.25/DU273,IF(CFloorVolOverMonthlyPeak,CFloorVolOverMonthlyPeak,IF(CFloorVolCurve,IF(CBuySell,Y273,W273),X273))^2*(1-15/365.25/DU273)+IF(CFloorVolOverDailyPeak,CFloorVolOverDailyPeak,IF(CFloorVolCurve,IF(CBuySell,AK273,AI273),AJ273))^2*15/365.25/DU273)),IF(CBidOfferVolSpreadFlag,X273,IF(CFloorVolOverMonthlyPeak,CFloorVolOverMonthlyPeak,IF(CFloorVolCurve,IF(CBuySell,Y273,W273),X273)))),"")</f>
        <v/>
      </c>
      <c r="EJ273" s="305" t="str">
        <f t="shared" ref="EJ273:EJ292" ca="1" si="927">IF(EA273,IF(CVolType&lt;&gt;2,SQRT(IF(CBidOfferVolSpreadFlag,AA273^2*(1-15/365.25/DU273)+AM273^2*15/365.25/DU273,IF(CFloorVolOverMonthlyPeak,CFloorVolOverMonthlyPeak,IF(CFloorVolCurve,IF(CBuySell,AB273,Z273),AA273))^2*(1-15/365.25/DU273)+IF(CFloorVolOverDailyPeak,CFloorVolOverDailyPeak,IF(CFloorVolCurve,IF(CBuySell,AN273,AL273),AM273))^2*15/365.25/DU273)),IF(CBidOfferVolSpreadFlag,AA273,IF(CFloorVolOverMonthlyPeak,CFloorVolOverMonthlyPeak,IF(CFloorVolCurve,IF(CBuySell,AB273,Z273),AA273)))),"")</f>
        <v/>
      </c>
      <c r="EK273" s="305" t="str">
        <f t="shared" ref="EK273:EK292" ca="1" si="928">IF(EA273,IF(CVolType&lt;&gt;2,SQRT(IF(CBidOfferVolSpreadFlag,AD273^2*(1-15/365.25/DU273)+AP273^2*15/365.25/DU273,IF(CFloorVolOverMonthlyPeak,CFloorVolOverMonthlyPeak,IF(CFloorVolCurve,IF(CBuySell,AE273,AC273),AD273))^2*(1-15/365.25/DU273)+IF(CFloorVolOverDailyPeak,CFloorVolOverDailyPeak,IF(CFloorVolCurve,IF(CBuySell,AQ273,AO273),AP273))^2*15/365.25/DU273)),IF(CBidOfferVolSpreadFlag,AD273,IF(CFloorVolOverMonthlyPeak,CFloorVolOverMonthlyPeak,IF(CFloorVolCurve,IF(CBuySell,AE273,AC273),AD273)))),"")</f>
        <v/>
      </c>
      <c r="EL273" s="305" t="str">
        <f t="shared" ref="EL273:EL292" ca="1" si="929">IF(EA273,IF(DY273,SQRT(LN(1+((EB273*DV273)^2*(EXP(EI273^2*DU273)-1)+(EC273*DW273)^2*(EXP(EJ273^2*DU273)-1)+(ED273*DX273)^2*(EXP(EK273^2*DU273)-1)+2*EB273*DV273*EC273*DW273*(EXP(EI273*EJ273*DU273)-1)+2*EC273*DW273*ED273*DX273*(EXP(EJ273*EK273*DU273)-1)+2*ED273*DX273*EB273*DV273*(EXP(EK273*EI273*DU273)-1))/(EE273*DY273)^2)/DU273),0),"")</f>
        <v/>
      </c>
      <c r="EM273" s="305" t="str">
        <f t="shared" ref="EM273:EM292" ca="1" si="930">IF(EA273,IF(CVolType&lt;&gt;2,SQRT(IF(CBidOfferVolSpreadFlag,AG273^2*(1-15/365.25/DU273)+AS273^2*15/365.25/DU273,IF(CFloorVolOverMonthlyOffPeak,CFloorVolOverMonthlyOffPeak,IF(CFloorVolCurve,IF(CBuySell,AH273,AF273),AG273))^2*(1-15/365.25/DU273)+IF(CFloorVolOverDailyOffPeak,CFloorVolOverDailyOffPeak,IF(CFloorVolCurve,IF(CBuySell,AT273,AR273),AS273))^2*15/365.25/DU273)),IF(CBidOfferVolSpreadFlag,AG273,IF(CFloorVolOverMonthlyOffPeak,CFloorVolOverMonthlyOffPeak,IF(CFloorVolCurve,IF(CBuySell,AH273,AF273),AG273)))),"")</f>
        <v/>
      </c>
      <c r="EN273" s="305" t="str">
        <f t="shared" ref="EN273:EN292" ca="1" si="931">IF(EA273,SQRT(LN(1+((EE273*DY273)^2*(EXP(EL273^2*DU273)-1)+(EF273*DZ273)^2*(EXP(EM273^2*DU273)-1)+2*EE273*DY273*EF273*DZ273*(EXP(AU273*EL273*EM273*DU273)-1))/(EE273*DY273+EF273*DZ273)^2)/DU273),"")</f>
        <v/>
      </c>
      <c r="EO273" s="305" t="str">
        <f t="shared" ref="EO273:EO292" ca="1" si="932">IF(EA273,EI273+IF(CBidOfferVolSpreadFlag,IF(CBuySell,1,-1)*CBidOfferVolSpread/2,IF(CVolSmile,VLOOKUP(MAX(-5,EH273-EB273),IF(CVolSmile=1,VolSmileBook,VolSmileModel),2),0)),"")</f>
        <v/>
      </c>
      <c r="EP273" s="305" t="str">
        <f t="shared" ref="EP273:EP292" ca="1" si="933">IF(EA273,EJ273+IF(CBidOfferVolSpreadFlag,IF(CBuySell,1,-1)*CBidOfferVolSpread/2,IF(CVolSmile,VLOOKUP(MAX(-5,EH273-EC273),IF(CVolSmile=1,VolSmileBook,VolSmileModel),2),0)),"")</f>
        <v/>
      </c>
      <c r="EQ273" s="305" t="str">
        <f t="shared" ref="EQ273:EQ292" ca="1" si="934">IF(EA273,EK273+IF(CBidOfferVolSpreadFlag,IF(CBuySell,1,-1)*CBidOfferVolSpread/2,IF(CVolSmile,VLOOKUP(MAX(-5,EH273-ED273),IF(CVolSmile=1,VolSmileBook,VolSmileModel),2),0)),"")</f>
        <v/>
      </c>
      <c r="ER273" s="305" t="str">
        <f t="shared" ref="ER273:ER292" ca="1" si="935">IF(EA273,EM273+IF(CBidOfferVolSpreadFlag,IF(CBuySell,1,-1)*CBidOfferVolSpread/2,IF(CVolSmile,VLOOKUP(MAX(-5,EH273-EF273),IF(CVolSmile=1,VolSmileBook,VolSmileModel),2),0)),"")</f>
        <v/>
      </c>
      <c r="ES273" s="305" t="str">
        <f t="shared" ref="ES273:ES292" ca="1" si="936">IF(EA273,EN273+IF(CBidOfferVolSpreadFlag,IF(CBuySell,1,-1)*CBidOfferVolSpread/2,IF(CVolSmile,VLOOKUP(MAX(-5,EH273-EG273),IF(CVolSmile=1,VolSmileBook,VolSmileModel),2),0)),"")</f>
        <v/>
      </c>
      <c r="ET273" s="299">
        <f t="shared" ref="ET273:ET292" ca="1" si="937">IF(EA273,IF(CVolType,UndiscountedOption(EG273,EH273,ES273,DU273,0,0),(IF(DV273,UndiscountedOption(EB273,EH273,EO273,DU273,0,0),0)*DV273+IF(DW273,UndiscountedOption(EC273,EH273,EP273,DU273,0,0),0)*DW273+IF(DX273,UndiscountedOption(ED273,EH273,EQ273,DU273,0,0),0)*DX273+IF(DZ273,UndiscountedOption(EF273,EH273,ER273,DU273,0,0),0)*DZ273)/EA273),0)</f>
        <v>0</v>
      </c>
      <c r="EU273" s="302">
        <f t="shared" ref="EU273:EU292" ca="1" si="938">IF(EA273,CCap*G273,0)</f>
        <v>0</v>
      </c>
      <c r="EV273" s="304" t="str">
        <f t="shared" ref="EV273:EV292" ca="1" si="939">IF(EA273,IF(CVolType&lt;&gt;2,SQRT(IF(CBidOfferVolSpreadFlag,X273^2*(1-15/365.25/DU273)+AJ273^2*15/365.25/DU273,IF(CCapVolOverMonthlyPeak,CCapVolOverMonthlyPeak,IF(CCapVolCurve,IF(CBuySell,W273,Y273),X273))^2*(1-15/365.25/DU273)+IF(CCapVolOverDailyPeak,CCapVolOverDailyPeak,IF(CCapVolCurve,IF(CBuySell,AI273,AK273),AJ273))^2*15/365.25/DU273)),IF(CBidOfferVolSpreadFlag,X273,IF(CCapVolOverMonthlyPeak,CCapVolOverMonthlyPeak,IF(CCapVolCurve,IF(CBuySell,W273,Y273),X273)))),"")</f>
        <v/>
      </c>
      <c r="EW273" s="305" t="str">
        <f t="shared" ref="EW273:EW292" ca="1" si="940">IF(EA273,IF(CVolType&lt;&gt;2,SQRT(IF(CBidOfferVolSpreadFlag,AA273^2*(1-15/365.25/DU273)+AM273^2*15/365.25/DU273,IF(CCapVolOverMonthlyPeak,CCapVolOverMonthlyPeak,IF(CCapVolCurve,IF(CBuySell,Z273,AB273),AA273))^2*(1-15/365.25/DU273)+IF(CCapVolOverDailyPeak,CCapVolOverDailyPeak,IF(CCapVolCurve,IF(CBuySell,AL273,AN273),AM273))^2*15/365.25/DU273)),IF(CBidOfferVolSpreadFlag,AA273,IF(CCapVolOverMonthlyPeak,CCapVolOverMonthlyPeak,IF(CCapVolCurve,IF(CBuySell,Z273,AB273),AA273)))),"")</f>
        <v/>
      </c>
      <c r="EX273" s="305" t="str">
        <f t="shared" ref="EX273:EX292" ca="1" si="941">IF(EA273,IF(CVolType&lt;&gt;2,SQRT(IF(CBidOfferVolSpreadFlag,AD273^2*(1-15/365.25/DU273)+AP273^2*15/365.25/DU273,IF(CCapVolOverMonthlyPeak,CCapVolOverMonthlyPeak,IF(CCapVolCurve,IF(CBuySell,AC273,AE273),AD273))^2*(1-15/365.25/DU273)+IF(CCapVolOverDailyPeak,CCapVolOverDailyPeak,IF(CCapVolCurve,IF(CBuySell,AO273,AQ273),AP273))^2*15/365.25/DU273)),IF(CBidOfferVolSpreadFlag,AD273,IF(CCapVolOverMonthlyPeak,CCapVolOverMonthlyPeak,IF(CCapVolCurve,IF(CBuySell,AC273,AE273),AD273)))),"")</f>
        <v/>
      </c>
      <c r="EY273" s="305" t="str">
        <f t="shared" ref="EY273:EY292" ca="1" si="942">IF(EA273,IF(DY273,SQRT(LN(1+((EB273*DV273)^2*(EXP(EV273^2*DU273)-1)+(EC273*DW273)^2*(EXP(EW273^2*DU273)-1)+(ED273*DX273)^2*(EXP(EX273^2*DU273)-1)+2*EB273*DV273*EC273*DW273*(EXP(EV273*EW273*DU273)-1)+2*EC273*DW273*ED273*DX273*(EXP(EW273*EX273*DU273)-1)+2*ED273*DX273*EB273*DV273*(EXP(EX273*EV273*DU273)-1))/(EE273*DY273)^2)/DU273),0),"")</f>
        <v/>
      </c>
      <c r="EZ273" s="305" t="str">
        <f t="shared" ref="EZ273:EZ292" ca="1" si="943">IF(EA273,IF(CVolType&lt;&gt;2,SQRT(IF(CBidOfferVolSpreadFlag,AG273^2*(1-15/365.25/DU273)+AS273^2*15/365.25/DU273,IF(CCapVolOverMonthlyOffPeak,CCapVolOverMonthlyOffPeak,IF(CCapVolCurve,IF(CBuySell,AF273,AH273),AG273))^2*(1-15/365.25/DU273)+IF(CCapVolOverDailyOffPeak,CCapVolOverDailyOffPeak,IF(CCapVolCurve,IF(CBuySell,AR273,AT273),AS273))^2*15/365.25/DU273)),IF(CBidOfferVolSpreadFlag,AG273,IF(CCapVolOverMonthlyOffPeak,CCapVolOverMonthlyOffPeak,IF(CCapVolCurve,IF(CBuySell,AF273,AH273),AG273)))),"")</f>
        <v/>
      </c>
      <c r="FA273" s="305" t="str">
        <f t="shared" ref="FA273:FA292" ca="1" si="944">IF(EA273,SQRT(LN(1+((EE273*DY273)^2*(EXP(EY273^2*DU273)-1)+(EF273*DZ273)^2*(EXP(EZ273^2*DU273)-1)+2*EE273*DY273*EF273*DZ273*(EXP(AU273*EY273*EZ273*DU273)-1))/(EE273*DY273+EF273*DZ273)^2)/DU273),"")</f>
        <v/>
      </c>
      <c r="FB273" s="305" t="str">
        <f t="shared" ref="FB273:FB292" ca="1" si="945">IF(EA273,EV273+IF(CBidOfferVolSpreadFlag,IF(CBuySell,-1,1)*CBidOfferVolSpread/2,IF(CVolSmile,VLOOKUP(MAX(-5,EU273-EB273),IF(CVolSmile=1,VolSmileBook,VolSmileModel),2),0)),"")</f>
        <v/>
      </c>
      <c r="FC273" s="305" t="str">
        <f t="shared" ref="FC273:FC292" ca="1" si="946">IF(EA273,EW273+IF(CBidOfferVolSpreadFlag,IF(CBuySell,-1,1)*CBidOfferVolSpread/2,IF(CVolSmile,VLOOKUP(MAX(-5,EU273-EC273),IF(CVolSmile=1,VolSmileBook,VolSmileModel),2),0)),"")</f>
        <v/>
      </c>
      <c r="FD273" s="305" t="str">
        <f t="shared" ref="FD273:FD292" ca="1" si="947">IF(EA273,EX273+IF(CBidOfferVolSpreadFlag,IF(CBuySell,-1,1)*CBidOfferVolSpread/2,IF(CVolSmile,VLOOKUP(MAX(-5,EU273-ED273),IF(CVolSmile=1,VolSmileBook,VolSmileModel),2),0)),"")</f>
        <v/>
      </c>
      <c r="FE273" s="305" t="str">
        <f t="shared" ref="FE273:FE292" ca="1" si="948">IF(EA273,EZ273+IF(CBidOfferVolSpreadFlag,IF(CBuySell,-1,1)*CBidOfferVolSpread/2,IF(CVolSmile,VLOOKUP(MAX(-5,EU273-EF273),IF(CVolSmile=1,VolSmileBook,VolSmileModel),2),0)),"")</f>
        <v/>
      </c>
      <c r="FF273" s="305" t="str">
        <f t="shared" ref="FF273:FF292" ca="1" si="949">IF(EA273,FA273+IF(CBidOfferVolSpreadFlag,IF(CBuySell,-1,1)*CBidOfferVolSpread/2,IF(CVolSmile,VLOOKUP(MAX(-5,EU273-EG273),IF(CVolSmile=1,VolSmileBook,VolSmileModel),2),0)),"")</f>
        <v/>
      </c>
      <c r="FG273" s="299">
        <f t="shared" ref="FG273:FG292" ca="1" si="950">IF(EA273,IF(CVolType,UndiscountedOption(EG273,EU273,FF273,DU273,1,0),(IF(DV273,UndiscountedOption(EB273,EU273,FB273,DU273,1,0),0)*DV273+IF(DW273,UndiscountedOption(EC273,EU273,FC273,DU273,1,0),0)*DW273+IF(DX273,UndiscountedOption(ED273,EU273,FD273,DU273,1,0),0)*DX273+IF(DZ273,UndiscountedOption(EF273,EU273,FE273,DU273,1,0),0)*DZ273)/EA273),0)</f>
        <v>0</v>
      </c>
      <c r="FH273" s="302">
        <f t="shared" ref="FH273:FH292" ca="1" si="951">ET273-FG273</f>
        <v>0</v>
      </c>
      <c r="FI273" s="248">
        <f t="shared" ref="FI273:FI292" ca="1" si="952">FH273*EA273</f>
        <v>0</v>
      </c>
      <c r="FJ273" s="363">
        <f t="shared" ref="FJ273:FJ292" ca="1" si="953">IF(E273&lt;&gt;"",INDEX(MaxMWTable,C273,1)*H273*J273,0)</f>
        <v>0</v>
      </c>
      <c r="FK273" s="378" t="str">
        <f t="shared" ref="FK273:FK292" ca="1" si="954">IF(DV273,IF(CSpec,(LN(EB273/EH273)-EO273^2*DU273/2)/EO273/SQRT(DU273),(LN(EB273/EU273)-FB273^2*DU273/2)/FB273/SQRT(DU273)),"")</f>
        <v/>
      </c>
      <c r="FL273" s="508" t="str">
        <f t="shared" ref="FL273:FL292" ca="1" si="955">IF(DW273,IF(CSpec,(LN(EC273/EH273)-EP273^2*DU273/2)/EP273/SQRT(DU273),(LN(EC273/EU273)-FC273^2*DU273/2)/FC273/SQRT(DU273)),"")</f>
        <v/>
      </c>
      <c r="FM273" s="508" t="str">
        <f t="shared" ref="FM273:FM292" ca="1" si="956">IF(DX273,IF(CSpec,(LN(ED273/EH273)-EQ273^2*DU273/2)/EQ273/SQRT(DU273),(LN(ED273/EU273)-FD273^2*DU273/2)/FD273/SQRT(DU273)),"")</f>
        <v/>
      </c>
      <c r="FN273" s="508" t="str">
        <f t="shared" ref="FN273:FN292" ca="1" si="957">IF(DZ273,IF(CSpec,(LN(EF273/EH273)-ER273^2*DU273/2)/ER273/SQRT(DU273),(LN(EF273/EU273)-FE273^2*DU273/2)/FE273/SQRT(DU273)),"")</f>
        <v/>
      </c>
      <c r="FO273" s="508" t="str">
        <f t="shared" ref="FO273:FO292" ca="1" si="958">IF(EA273,IF(CSpec,(LN(EG273/EH273)-ES273^2*DU273/2)/ES273/SQRT(DU273),(LN(EG273/EU273)-FF273^2*DU273/2)/FF273/SQRT(DU273)),"")</f>
        <v/>
      </c>
      <c r="FP273" s="353">
        <f t="shared" ref="FP273:FP292" ca="1" si="959">IF(EA273,IF(CVolType,(-NORMSDIST(FO273)+IF(CSpec,1,0))*EA273,IF(DV273,(-NORMSDIST(FK273)+IF(CSpec,1,0)),0)*DV273+IF(DW273,(-NORMSDIST(FL273)+IF(CSpec,1,0)),0)*DW273+IF(DX273,(-NORMSDIST(FM273)+IF(CSpec,1,0)),0)*DX273+IF(DZ273,(-NORMSDIST(FN273)+IF(CSpec,1,0)),0)*DZ273),0)</f>
        <v>0</v>
      </c>
      <c r="FQ273" s="356">
        <f t="shared" ref="FQ273:FQ292" ca="1" si="960">IF(EA273,IF(CVolType,EXP(-0.5*FO273^2)/IF(CSpec,ES273,FF273)*EA273,IF(DV273,EXP(-0.5*FK273^2)/IF(CSpec,EO273,FB273),0)*DV273+IF(DW273,EXP(-0.5*FL273^2)/IF(CSpec,EP273,FC273),0)*DW273+IF(DX273,EXP(-0.5*FM273^2)/IF(CSpec,EQ273,FD273),0)*DX273+IF(DZ273,EXP(-0.5*FN273^2)/IF(CSpec,ER273,FE273),0)*DZ273)/SQRT(2*3.14159*DU273)/IF(CSpec,EH273,EU273),0)</f>
        <v>0</v>
      </c>
      <c r="FR273" s="380">
        <f t="shared" ref="FR273:FR292" ca="1" si="961">IF(CD273,VLOOKUP(A273,GasTable,13)*HeatRatePeak/1000,0)</f>
        <v>0</v>
      </c>
      <c r="FS273" s="299">
        <f t="shared" ref="FS273:FS292" ca="1" si="962">IF(CD273,VLOOKUP(A273,GasTable,13)*HeatRatePeak/1000,0)</f>
        <v>0</v>
      </c>
      <c r="FT273" s="299">
        <f t="shared" ref="FT273:FT292" ca="1" si="963">IF(CD273,VLOOKUP(A273,GasTable,13)*HeatRateOffPeak/1000,0)</f>
        <v>0</v>
      </c>
      <c r="FU273" s="299">
        <f t="shared" ref="FU273:FU292" ca="1" si="964">IF(CD273,VLOOKUP(A273,GasTable,13)*HeatRateOffPeak/1000,0)</f>
        <v>0</v>
      </c>
      <c r="FV273" s="299">
        <f t="shared" ref="FV273:FV292" ca="1" si="965">IF(CD273,(FR273*CB273+FU273*CC273)/CD273,0)</f>
        <v>0</v>
      </c>
      <c r="FW273" s="850" t="str">
        <f t="shared" ref="FW273:FW292" ca="1" si="966">IF(CD273,VLOOKUP(A273,GasTable,14),"")</f>
        <v/>
      </c>
      <c r="FX273" s="851" t="str">
        <f t="shared" ref="FX273:FX292" ca="1" si="967">IF(CD273,IF(CorrPowerGasOverFlag,INDEX(CorrPowerGasOver,C273),CorrPowerGas),"")</f>
        <v/>
      </c>
      <c r="FY273" s="851" t="str">
        <f t="shared" ref="FY273:FY292" ca="1" si="968">IF(CD273,SpreadOptGasMargin*HeatRatePeak/1000+SpreadOptPowerMargin+SpreadOptStrike,"")</f>
        <v/>
      </c>
      <c r="FZ273" s="201" t="str">
        <f t="shared" ref="FZ273:FZ292" ca="1" si="969">IF(CD273,SpreadOptGasMargin*HeatRatePeak/1000+SpreadOptPowerMargin+SpreadOptStrike,"")</f>
        <v/>
      </c>
      <c r="GA273" s="201" t="str">
        <f t="shared" ref="GA273:GA292" ca="1" si="970">IF(CD273,SpreadOptGasMargin*HeatRateOffPeak/1000+SpreadOptPowerMargin+SpreadOptStrike,"")</f>
        <v/>
      </c>
      <c r="GB273" s="201" t="str">
        <f t="shared" ref="GB273:GB292" ca="1" si="971">IF(CD273,SpreadOptGasMargin*HeatRateOffPeak/1000+SpreadOptPowerMargin+SpreadOptStrike,"")</f>
        <v/>
      </c>
      <c r="GC273" s="201" t="str">
        <f t="shared" ref="GC273:GC292" ca="1" si="972">IF(CD273,(FY273*CB273+GB273*CC273)/CD273,"")</f>
        <v/>
      </c>
      <c r="GD273" s="850" t="str">
        <f t="shared" ref="GD273:GD292" ca="1" si="973">IF(CD273,CL273+IF(OVolSmile,VLOOKUP(MAX(-5,FR273+FY273-CE273),IF(OVolSmile=1,VolSmileBook,VolSmileModel),2),0),"")</f>
        <v/>
      </c>
      <c r="GE273" s="866" t="str">
        <f t="shared" ref="GE273:GE292" ca="1" si="974">IF(CD273,CM273+IF(OVolSmile,VLOOKUP(MAX(-5,FS273+FY273-CF273),IF(OVolSmile=1,VolSmileBook,VolSmileModel),2),0),"")</f>
        <v/>
      </c>
      <c r="GF273" s="866" t="str">
        <f t="shared" ref="GF273:GF292" ca="1" si="975">IF(CD273,CN273+IF(OVolSmile,VLOOKUP(MAX(-5,FT273+FY273-CG273),IF(OVolSmile=1,VolSmileBook,VolSmileModel),2),0),"")</f>
        <v/>
      </c>
      <c r="GG273" s="866" t="str">
        <f t="shared" ref="GG273:GG292" ca="1" si="976">IF(CD273,CP273+IF(OVolSmile,VLOOKUP(MAX(-5,FU273+GB273-CI273),IF(OVolSmile=1,VolSmileBook,VolSmileModel),2),0),"")</f>
        <v/>
      </c>
      <c r="GH273" s="866" t="str">
        <f t="shared" ref="GH273:GH292" ca="1" si="977">IF(CD273,CQ273+IF(OVolSmile,VLOOKUP(MAX(-5,FV273+GC273-CJ273),IF(OVolSmile=1,VolSmileBook,VolSmileModel),2),0),"")</f>
        <v/>
      </c>
      <c r="GI273" s="302">
        <f t="shared" ref="GI273:GI292" ca="1" si="978">IF(AND(CE273&gt;0,FR273&gt;0,GD273&gt;0,FW273&gt;0),newSPRDOPT(CE273,FR273,FY273,0,GD273,FW273,FX273,BX273*365.25,OCallPut,0),0)</f>
        <v>0</v>
      </c>
      <c r="GJ273" s="299">
        <f t="shared" ref="GJ273:GJ292" ca="1" si="979">IF(AND(CF273&gt;0,FS273&gt;0,GE273&gt;0,FW273&gt;0),newSPRDOPT(CF273,FS273,FZ273,0,GE273,FW273,FX273,BX273*365.25,OCallPut,0),0)</f>
        <v>0</v>
      </c>
      <c r="GK273" s="299">
        <f t="shared" ref="GK273:GK292" ca="1" si="980">IF(AND(CG273&gt;0,FT273&gt;0,GF273&gt;0,FW273&gt;0),newSPRDOPT(CG273,FT273,GA273,0,GF273,FW273,FX273,BX273*365.25,OCallPut,0),0)</f>
        <v>0</v>
      </c>
      <c r="GL273" s="299">
        <f t="shared" ref="GL273:GL292" ca="1" si="981">IF(AND(CI273&gt;0,FU273&gt;0,GG273&gt;0,FW273&gt;0),newSPRDOPT(CI273,FU273,GB273,0,GG273,FW273,FX273,BX273*365.25,OCallPut,0),0)</f>
        <v>0</v>
      </c>
      <c r="GM273" s="299">
        <f t="shared" ref="GM273:GM292" ca="1" si="982">IF(OVolType,IF(AND(CJ273&gt;0,FV273&gt;0,GH273&gt;0,FW273&gt;0),newSPRDOPT(CJ273,FV273,GC273,0,GH273,FW273,FX273,BX273*365.25,OCallPut,0),0),IF(CD273,(GI273*BY273+GJ273*BZ273+GK273*CA273+GL273*CC273)/CD273,0))</f>
        <v>0</v>
      </c>
      <c r="GN273" s="302">
        <f t="shared" ref="GN273:GN292" ca="1" si="983">IF(AND(CE273&gt;0,FR273&gt;0,GD273&gt;0,FW273&gt;0),newSPRDOPT(CE273,FR273,FY273,0,GD273,FW273,FX273,BX273*365.25,OCallPut,1),0)</f>
        <v>0</v>
      </c>
      <c r="GO273" s="299">
        <f t="shared" ref="GO273:GO292" ca="1" si="984">IF(AND(CF273&gt;0,FS273&gt;0,GE273&gt;0,FW273&gt;0),newSPRDOPT(CF273,FS273,FZ273,0,GE273,FW273,FX273,BX273*365.25,OCallPut,1),0)</f>
        <v>0</v>
      </c>
      <c r="GP273" s="299">
        <f t="shared" ref="GP273:GP292" ca="1" si="985">IF(AND(CG273&gt;0,FT273&gt;0,GF273&gt;0,FW273&gt;0),newSPRDOPT(CG273,FT273,GA273,0,GF273,FW273,FX273,BX273*365.25,OCallPut,1),0)</f>
        <v>0</v>
      </c>
      <c r="GQ273" s="299">
        <f t="shared" ref="GQ273:GQ292" ca="1" si="986">IF(AND(CI273&gt;0,FU273&gt;0,GG273&gt;0,FW273&gt;0),newSPRDOPT(CI273,FU273,GB273,0,GG273,FW273,FX273,BX273*365.25,OCallPut,1),0)</f>
        <v>0</v>
      </c>
      <c r="GR273" s="299">
        <f t="shared" ref="GR273:GR292" ca="1" si="987">IF(OVolType,IF(AND(CJ273&gt;0,FV273&gt;0,GH273&gt;0,FW273&gt;0),newSPRDOPT(CJ273,FV273,GC273,0,GH273,FW273,FX273,BX273*365.25,OCallPut,1),0),IF(CD273,(GN273*BY273+GO273*BZ273+GP273*CA273+GQ273*CC273)/CD273,0))</f>
        <v>0</v>
      </c>
      <c r="GS273" s="302">
        <f t="shared" ref="GS273:GS292" ca="1" si="988">IF(AND(CE273&gt;0,FR273&gt;0,GD273&gt;0,FW273&gt;0),newSPRDOPT(CE273,FR273,FY273,0,GD273,FW273,FX273,BX273*365.25,OCallPut,2),0)</f>
        <v>0</v>
      </c>
      <c r="GT273" s="299">
        <f t="shared" ref="GT273:GT292" ca="1" si="989">IF(AND(CF273&gt;0,FS273&gt;0,GE273&gt;0,FW273&gt;0),newSPRDOPT(CF273,FS273,FZ273,0,GE273,FW273,FX273,BX273*365.25,OCallPut,2),0)</f>
        <v>0</v>
      </c>
      <c r="GU273" s="299">
        <f t="shared" ref="GU273:GU292" ca="1" si="990">IF(AND(CG273&gt;0,FT273&gt;0,GF273&gt;0,FW273&gt;0),newSPRDOPT(CG273,FT273,GA273,0,GF273,FW273,FX273,BX273*365.25,OCallPut,2),0)</f>
        <v>0</v>
      </c>
      <c r="GV273" s="299">
        <f t="shared" ref="GV273:GV292" ca="1" si="991">IF(AND(CI273&gt;0,FU273&gt;0,GG273&gt;0,FW273&gt;0),newSPRDOPT(CI273,FU273,GB273,0,GG273,FW273,FX273,BX273*365.25,OCallPut,2),0)</f>
        <v>0</v>
      </c>
      <c r="GW273" s="299">
        <f t="shared" ref="GW273:GW292" ca="1" si="992">IF(OVolType,IF(AND(CJ273&gt;0,FV273&gt;0,GH273&gt;0,FW273&gt;0),newSPRDOPT(CJ273,FV273,GC273,0,GH273,FW273,FX273,BX273*365.25,OCallPut,2),0),IF(CD273,(GS273*BY273+GT273*BZ273+GU273*CA273+GV273*CC273)/CD273,0))</f>
        <v>0</v>
      </c>
      <c r="GX273" s="303">
        <f t="shared" ref="GX273:GX292" ca="1" si="993">GI273*BY273</f>
        <v>0</v>
      </c>
      <c r="GY273" s="303">
        <f t="shared" ref="GY273:GY292" ca="1" si="994">GJ273*BZ273</f>
        <v>0</v>
      </c>
      <c r="GZ273" s="303">
        <f t="shared" ref="GZ273:GZ292" ca="1" si="995">GK273*CA273</f>
        <v>0</v>
      </c>
      <c r="HA273" s="303">
        <f t="shared" ref="HA273:HA292" ca="1" si="996">GL273*CC273</f>
        <v>0</v>
      </c>
      <c r="HB273" s="303">
        <f t="shared" ref="HB273:HB292" ca="1" si="997">GM273*CD273</f>
        <v>0</v>
      </c>
      <c r="HC273" s="303">
        <f t="shared" ref="HC273:HC292" ca="1" si="998">IF(CD273,IF(OCallPut,IF(CE273&gt;(FR273+FY273),CE273-(FR273+FY273),0),IF((FR273+FY273)&gt;CE273,(FR273+FY273)-CE273,0))*BY273,0)</f>
        <v>0</v>
      </c>
      <c r="HD273" s="303">
        <f t="shared" ref="HD273:HD292" ca="1" si="999">IF(CD273,IF(OCallPut,IF(CF273&gt;(FS273+FY273),CF273-(FS273+FY273),0),IF((FS273+FY273)&gt;CF273,(FS273+FY273)-CF273,0))*BZ273,0)</f>
        <v>0</v>
      </c>
      <c r="HE273" s="303">
        <f t="shared" ref="HE273:HE292" ca="1" si="1000">IF(CD273,IF(OCallPut,IF(CG273&gt;(FT273+FY273),CG273-(FT273+FY273),0),IF((FT273+FY273)&gt;CG273,(FT273+FY273)-CG273,0))*CA273,0)</f>
        <v>0</v>
      </c>
      <c r="HF273" s="303">
        <f t="shared" ref="HF273:HF292" ca="1" si="1001">IF(CD273,IF(OCallPut,IF(CI273&gt;(FU273+GB273),CI273-(FU273+GB273),0),IF((FU273+GB273)&gt;CI273,(FU273+GB273)-CI273,0))*CC273,0)</f>
        <v>0</v>
      </c>
      <c r="HG273" s="852">
        <f t="shared" ref="HG273:HG336" ca="1" si="1002">IF(CD273,IF(OVolType,IF(OCallPut,IF(CJ273&gt;(FV273+GC273),CJ273-(FV273+GC273),0),IF((FV273+GC273)&gt;CJ273,(FV273+GC273)-CJ273,0))*CD273,SUM(HC273:HF273)),0)</f>
        <v>0</v>
      </c>
    </row>
    <row r="274" spans="1:215" x14ac:dyDescent="0.25">
      <c r="A274" s="244">
        <f t="shared" ref="A274:A293" ca="1" si="1003">EOMONTH(A273,0)+1</f>
        <v>44440</v>
      </c>
      <c r="B274" s="13">
        <f t="shared" ca="1" si="831"/>
        <v>2021</v>
      </c>
      <c r="C274" s="619">
        <f t="shared" ca="1" si="832"/>
        <v>9</v>
      </c>
      <c r="D274" s="195">
        <f t="shared" ca="1" si="833"/>
        <v>44445</v>
      </c>
      <c r="E274" s="469" t="str">
        <f t="shared" ca="1" si="834"/>
        <v/>
      </c>
      <c r="F274" s="465" t="str">
        <f t="shared" ca="1" si="835"/>
        <v/>
      </c>
      <c r="G274" s="522">
        <f t="shared" ref="G274:G292" ca="1" si="1004">G273*(1+((PriceEscType=1)*(C274=1)+(PriceEscType=2)*(C274=BegMonth))*(B274&gt;BegYear)*PriceEsc)</f>
        <v>1</v>
      </c>
      <c r="H274" s="519">
        <f t="shared" ref="H274:H292" ca="1" si="1005">H273*(1+((VolumeEscType=1)*(C274=1)+(VolumeEscType=2)*(C274=BegMonth))*(B274&gt;BegYear)*VolumeEsc)</f>
        <v>1</v>
      </c>
      <c r="I274" s="724">
        <f t="shared" ca="1" si="836"/>
        <v>7.4006976954171008E-2</v>
      </c>
      <c r="J274" s="198">
        <f t="shared" ca="1" si="837"/>
        <v>0.20758973399085895</v>
      </c>
      <c r="K274" s="200" t="e">
        <f t="shared" ca="1" si="805"/>
        <v>#N/A</v>
      </c>
      <c r="L274" s="201" t="e">
        <f t="shared" ca="1" si="806"/>
        <v>#N/A</v>
      </c>
      <c r="M274" s="206" t="e">
        <f t="shared" ca="1" si="807"/>
        <v>#N/A</v>
      </c>
      <c r="N274" s="851" t="e">
        <f t="shared" ca="1" si="811"/>
        <v>#N/A</v>
      </c>
      <c r="O274" s="201" t="e">
        <f t="shared" ca="1" si="812"/>
        <v>#N/A</v>
      </c>
      <c r="P274" s="206" t="e">
        <f t="shared" ca="1" si="813"/>
        <v>#N/A</v>
      </c>
      <c r="Q274" s="201" t="e">
        <f t="shared" ca="1" si="814"/>
        <v>#N/A</v>
      </c>
      <c r="R274" s="201" t="e">
        <f t="shared" ca="1" si="815"/>
        <v>#N/A</v>
      </c>
      <c r="S274" s="201" t="e">
        <f t="shared" ca="1" si="816"/>
        <v>#N/A</v>
      </c>
      <c r="T274" s="851" t="e">
        <f t="shared" ca="1" si="808"/>
        <v>#N/A</v>
      </c>
      <c r="U274" s="201" t="e">
        <f t="shared" ca="1" si="809"/>
        <v>#N/A</v>
      </c>
      <c r="V274" s="206" t="e">
        <f t="shared" ca="1" si="810"/>
        <v>#N/A</v>
      </c>
      <c r="W274" s="230" t="e">
        <f t="shared" ref="W274:W292" ca="1" si="1006">VLOOKUP($A274,BigTable,14,0)</f>
        <v>#N/A</v>
      </c>
      <c r="X274" s="231" t="e">
        <f t="shared" ref="X274:X292" ca="1" si="1007">VLOOKUP($A274,BigTable,15,0)</f>
        <v>#N/A</v>
      </c>
      <c r="Y274" s="232" t="e">
        <f t="shared" ref="Y274:Y292" ca="1" si="1008">VLOOKUP($A274,BigTable,16,0)</f>
        <v>#N/A</v>
      </c>
      <c r="Z274" s="231" t="e">
        <f t="shared" ca="1" si="820"/>
        <v>#N/A</v>
      </c>
      <c r="AA274" s="231" t="e">
        <f t="shared" ca="1" si="821"/>
        <v>#N/A</v>
      </c>
      <c r="AB274" s="232" t="e">
        <f t="shared" ca="1" si="822"/>
        <v>#N/A</v>
      </c>
      <c r="AC274" s="231" t="e">
        <f t="shared" ca="1" si="823"/>
        <v>#N/A</v>
      </c>
      <c r="AD274" s="231" t="e">
        <f t="shared" ca="1" si="824"/>
        <v>#N/A</v>
      </c>
      <c r="AE274" s="232" t="e">
        <f t="shared" ca="1" si="838"/>
        <v>#N/A</v>
      </c>
      <c r="AF274" s="231" t="e">
        <f t="shared" ref="AF274:AF292" ca="1" si="1009">VLOOKUP($A274,BigTable,18,0)</f>
        <v>#N/A</v>
      </c>
      <c r="AG274" s="231" t="e">
        <f t="shared" ref="AG274:AG292" ca="1" si="1010">VLOOKUP($A274,BigTable,19,0)</f>
        <v>#N/A</v>
      </c>
      <c r="AH274" s="232" t="e">
        <f t="shared" ref="AH274:AH292" ca="1" si="1011">VLOOKUP($A274,BigTable,20,0)</f>
        <v>#N/A</v>
      </c>
      <c r="AI274" s="233" t="e">
        <f t="shared" ca="1" si="839"/>
        <v>#N/A</v>
      </c>
      <c r="AJ274" s="233" t="e">
        <f t="shared" ca="1" si="840"/>
        <v>#N/A</v>
      </c>
      <c r="AK274" s="234" t="e">
        <f t="shared" ca="1" si="841"/>
        <v>#N/A</v>
      </c>
      <c r="AL274" s="919" t="e">
        <f t="shared" ca="1" si="842"/>
        <v>#N/A</v>
      </c>
      <c r="AM274" s="233" t="e">
        <f t="shared" ca="1" si="843"/>
        <v>#N/A</v>
      </c>
      <c r="AN274" s="234" t="e">
        <f t="shared" ca="1" si="844"/>
        <v>#N/A</v>
      </c>
      <c r="AO274" s="233" t="e">
        <f t="shared" ca="1" si="845"/>
        <v>#N/A</v>
      </c>
      <c r="AP274" s="233" t="e">
        <f t="shared" ca="1" si="846"/>
        <v>#N/A</v>
      </c>
      <c r="AQ274" s="233" t="e">
        <f t="shared" ca="1" si="847"/>
        <v>#N/A</v>
      </c>
      <c r="AR274" s="919" t="e">
        <f t="shared" ca="1" si="848"/>
        <v>#N/A</v>
      </c>
      <c r="AS274" s="233" t="e">
        <f t="shared" ca="1" si="849"/>
        <v>#N/A</v>
      </c>
      <c r="AT274" s="235" t="e">
        <f t="shared" ca="1" si="850"/>
        <v>#N/A</v>
      </c>
      <c r="AU274" s="946">
        <f t="shared" si="851"/>
        <v>0.5</v>
      </c>
      <c r="AV274" s="13">
        <f t="shared" ca="1" si="852"/>
        <v>0</v>
      </c>
      <c r="AW274" s="210">
        <f t="shared" ca="1" si="853"/>
        <v>0</v>
      </c>
      <c r="AX274" s="210">
        <f t="shared" ca="1" si="854"/>
        <v>0</v>
      </c>
      <c r="AY274" s="210">
        <f t="shared" ca="1" si="855"/>
        <v>0</v>
      </c>
      <c r="AZ274" s="13">
        <f t="shared" ca="1" si="856"/>
        <v>0</v>
      </c>
      <c r="BA274" s="357">
        <f ca="1"/>
        <v>0</v>
      </c>
      <c r="BB274" s="925">
        <f ca="1"/>
        <v>0</v>
      </c>
      <c r="BC274" s="925">
        <f ca="1"/>
        <v>0</v>
      </c>
      <c r="BD274" s="928">
        <f ca="1"/>
        <v>0</v>
      </c>
      <c r="BE274" s="200">
        <f ca="1"/>
        <v>0</v>
      </c>
      <c r="BF274" s="851">
        <f ca="1"/>
        <v>0</v>
      </c>
      <c r="BG274" s="851">
        <f ca="1"/>
        <v>0</v>
      </c>
      <c r="BH274" s="933">
        <f ca="1"/>
        <v>0</v>
      </c>
      <c r="BI274" s="357">
        <f ca="1"/>
        <v>0</v>
      </c>
      <c r="BJ274" s="925">
        <f ca="1"/>
        <v>0</v>
      </c>
      <c r="BK274" s="925">
        <f ca="1"/>
        <v>0</v>
      </c>
      <c r="BL274" s="928">
        <f ca="1"/>
        <v>0</v>
      </c>
      <c r="BM274" s="200">
        <f ca="1"/>
        <v>0</v>
      </c>
      <c r="BN274" s="851">
        <f ca="1"/>
        <v>0</v>
      </c>
      <c r="BO274" s="851">
        <f ca="1"/>
        <v>0</v>
      </c>
      <c r="BP274" s="933">
        <f ca="1"/>
        <v>0</v>
      </c>
      <c r="BQ274" s="357">
        <f t="shared" ca="1" si="857"/>
        <v>0</v>
      </c>
      <c r="BR274" s="361">
        <f t="shared" ca="1" si="858"/>
        <v>0</v>
      </c>
      <c r="BS274" s="357">
        <f t="shared" ca="1" si="859"/>
        <v>0</v>
      </c>
      <c r="BT274" s="302">
        <f t="shared" ca="1" si="860"/>
        <v>0</v>
      </c>
      <c r="BU274" s="299">
        <f t="shared" ca="1" si="861"/>
        <v>0</v>
      </c>
      <c r="BV274" s="299">
        <f t="shared" ca="1" si="862"/>
        <v>0</v>
      </c>
      <c r="BW274" s="299">
        <f t="shared" ca="1" si="863"/>
        <v>0</v>
      </c>
      <c r="BX274" s="380">
        <f t="shared" ca="1" si="864"/>
        <v>21.500342231348391</v>
      </c>
      <c r="BY274" s="363">
        <f t="shared" ca="1" si="865"/>
        <v>0</v>
      </c>
      <c r="BZ274" s="353">
        <f t="shared" ca="1" si="866"/>
        <v>0</v>
      </c>
      <c r="CA274" s="353">
        <f t="shared" ca="1" si="867"/>
        <v>0</v>
      </c>
      <c r="CB274" s="353">
        <f t="shared" ca="1" si="868"/>
        <v>0</v>
      </c>
      <c r="CC274" s="353">
        <f t="shared" ca="1" si="869"/>
        <v>0</v>
      </c>
      <c r="CD274" s="353">
        <f t="shared" ca="1" si="870"/>
        <v>0</v>
      </c>
      <c r="CE274" s="302">
        <f t="shared" ca="1" si="871"/>
        <v>0</v>
      </c>
      <c r="CF274" s="299">
        <f t="shared" ca="1" si="872"/>
        <v>0</v>
      </c>
      <c r="CG274" s="299">
        <f t="shared" ca="1" si="873"/>
        <v>0</v>
      </c>
      <c r="CH274" s="299">
        <f t="shared" ca="1" si="874"/>
        <v>0</v>
      </c>
      <c r="CI274" s="299">
        <f t="shared" ca="1" si="875"/>
        <v>0</v>
      </c>
      <c r="CJ274" s="299">
        <f t="shared" ca="1" si="876"/>
        <v>0</v>
      </c>
      <c r="CK274" s="299">
        <f t="shared" ca="1" si="877"/>
        <v>0</v>
      </c>
      <c r="CL274" s="377" t="str">
        <f t="shared" ca="1" si="878"/>
        <v/>
      </c>
      <c r="CM274" s="305" t="str">
        <f t="shared" ca="1" si="879"/>
        <v/>
      </c>
      <c r="CN274" s="305" t="str">
        <f t="shared" ca="1" si="880"/>
        <v/>
      </c>
      <c r="CO274" s="305" t="str">
        <f t="shared" ca="1" si="881"/>
        <v/>
      </c>
      <c r="CP274" s="305" t="str">
        <f t="shared" ca="1" si="882"/>
        <v/>
      </c>
      <c r="CQ274" s="305" t="str">
        <f t="shared" ca="1" si="883"/>
        <v/>
      </c>
      <c r="CR274" s="775" t="str">
        <f t="shared" ca="1" si="884"/>
        <v/>
      </c>
      <c r="CS274" s="305" t="str">
        <f t="shared" ca="1" si="885"/>
        <v/>
      </c>
      <c r="CT274" s="305" t="str">
        <f t="shared" ca="1" si="886"/>
        <v/>
      </c>
      <c r="CU274" s="305" t="str">
        <f t="shared" ca="1" si="887"/>
        <v/>
      </c>
      <c r="CV274" s="770" t="str">
        <f t="shared" ca="1" si="888"/>
        <v/>
      </c>
      <c r="CW274" s="302">
        <f t="shared" ca="1" si="889"/>
        <v>0</v>
      </c>
      <c r="CX274" s="299">
        <f t="shared" ca="1" si="890"/>
        <v>0</v>
      </c>
      <c r="CY274" s="299">
        <f t="shared" ca="1" si="891"/>
        <v>0</v>
      </c>
      <c r="CZ274" s="299">
        <f t="shared" ca="1" si="892"/>
        <v>0</v>
      </c>
      <c r="DA274" s="774">
        <f t="shared" ca="1" si="893"/>
        <v>0</v>
      </c>
      <c r="DB274" s="303">
        <f t="shared" ca="1" si="894"/>
        <v>0</v>
      </c>
      <c r="DC274" s="248">
        <f t="shared" ca="1" si="895"/>
        <v>0</v>
      </c>
      <c r="DD274" s="778">
        <f t="shared" ca="1" si="896"/>
        <v>0</v>
      </c>
      <c r="DE274" s="363">
        <f t="shared" ca="1" si="897"/>
        <v>0</v>
      </c>
      <c r="DF274" s="378" t="str">
        <f t="shared" ca="1" si="898"/>
        <v/>
      </c>
      <c r="DG274" s="508" t="str">
        <f t="shared" ca="1" si="899"/>
        <v/>
      </c>
      <c r="DH274" s="508" t="str">
        <f t="shared" ca="1" si="900"/>
        <v/>
      </c>
      <c r="DI274" s="508" t="str">
        <f t="shared" ca="1" si="901"/>
        <v/>
      </c>
      <c r="DJ274" s="508" t="str">
        <f t="shared" ca="1" si="902"/>
        <v/>
      </c>
      <c r="DK274" s="353">
        <f t="shared" ca="1" si="903"/>
        <v>0</v>
      </c>
      <c r="DL274" s="781">
        <f t="shared" ca="1" si="904"/>
        <v>0</v>
      </c>
      <c r="DM274" s="303">
        <f t="shared" ca="1" si="905"/>
        <v>0</v>
      </c>
      <c r="DN274" s="508" t="str">
        <f t="shared" ca="1" si="906"/>
        <v/>
      </c>
      <c r="DO274" s="508" t="str">
        <f t="shared" ca="1" si="907"/>
        <v/>
      </c>
      <c r="DP274" s="508" t="str">
        <f t="shared" ca="1" si="908"/>
        <v/>
      </c>
      <c r="DQ274" s="508" t="str">
        <f t="shared" ca="1" si="909"/>
        <v/>
      </c>
      <c r="DR274" s="508" t="str">
        <f t="shared" ca="1" si="910"/>
        <v/>
      </c>
      <c r="DS274" s="353">
        <f t="shared" ca="1" si="911"/>
        <v>0</v>
      </c>
      <c r="DT274" s="353">
        <f t="shared" ca="1" si="912"/>
        <v>0</v>
      </c>
      <c r="DU274" s="380">
        <f t="shared" ref="DU274:DU292" ca="1" si="1012">(A274+IF(CVolType=2,0,14)-DateToday)/365.25</f>
        <v>21.500342231348391</v>
      </c>
      <c r="DV274" s="303">
        <f t="shared" ca="1" si="913"/>
        <v>0</v>
      </c>
      <c r="DW274" s="303">
        <f t="shared" ca="1" si="914"/>
        <v>0</v>
      </c>
      <c r="DX274" s="303">
        <f t="shared" ca="1" si="915"/>
        <v>0</v>
      </c>
      <c r="DY274" s="303">
        <f t="shared" ca="1" si="916"/>
        <v>0</v>
      </c>
      <c r="DZ274" s="303">
        <f t="shared" ca="1" si="917"/>
        <v>0</v>
      </c>
      <c r="EA274" s="303">
        <f t="shared" ca="1" si="918"/>
        <v>0</v>
      </c>
      <c r="EB274" s="302">
        <f t="shared" ca="1" si="919"/>
        <v>0</v>
      </c>
      <c r="EC274" s="299">
        <f t="shared" ca="1" si="920"/>
        <v>0</v>
      </c>
      <c r="ED274" s="299">
        <f t="shared" ca="1" si="921"/>
        <v>0</v>
      </c>
      <c r="EE274" s="299">
        <f t="shared" ca="1" si="922"/>
        <v>0</v>
      </c>
      <c r="EF274" s="299">
        <f t="shared" ca="1" si="923"/>
        <v>0</v>
      </c>
      <c r="EG274" s="299">
        <f t="shared" ca="1" si="924"/>
        <v>0</v>
      </c>
      <c r="EH274" s="302">
        <f t="shared" ca="1" si="925"/>
        <v>0</v>
      </c>
      <c r="EI274" s="304" t="str">
        <f t="shared" ca="1" si="926"/>
        <v/>
      </c>
      <c r="EJ274" s="305" t="str">
        <f t="shared" ca="1" si="927"/>
        <v/>
      </c>
      <c r="EK274" s="305" t="str">
        <f t="shared" ca="1" si="928"/>
        <v/>
      </c>
      <c r="EL274" s="305" t="str">
        <f t="shared" ca="1" si="929"/>
        <v/>
      </c>
      <c r="EM274" s="305" t="str">
        <f t="shared" ca="1" si="930"/>
        <v/>
      </c>
      <c r="EN274" s="305" t="str">
        <f t="shared" ca="1" si="931"/>
        <v/>
      </c>
      <c r="EO274" s="305" t="str">
        <f t="shared" ca="1" si="932"/>
        <v/>
      </c>
      <c r="EP274" s="305" t="str">
        <f t="shared" ca="1" si="933"/>
        <v/>
      </c>
      <c r="EQ274" s="305" t="str">
        <f t="shared" ca="1" si="934"/>
        <v/>
      </c>
      <c r="ER274" s="305" t="str">
        <f t="shared" ca="1" si="935"/>
        <v/>
      </c>
      <c r="ES274" s="305" t="str">
        <f t="shared" ca="1" si="936"/>
        <v/>
      </c>
      <c r="ET274" s="299">
        <f t="shared" ca="1" si="937"/>
        <v>0</v>
      </c>
      <c r="EU274" s="302">
        <f t="shared" ca="1" si="938"/>
        <v>0</v>
      </c>
      <c r="EV274" s="304" t="str">
        <f t="shared" ca="1" si="939"/>
        <v/>
      </c>
      <c r="EW274" s="305" t="str">
        <f t="shared" ca="1" si="940"/>
        <v/>
      </c>
      <c r="EX274" s="305" t="str">
        <f t="shared" ca="1" si="941"/>
        <v/>
      </c>
      <c r="EY274" s="305" t="str">
        <f t="shared" ca="1" si="942"/>
        <v/>
      </c>
      <c r="EZ274" s="305" t="str">
        <f t="shared" ca="1" si="943"/>
        <v/>
      </c>
      <c r="FA274" s="305" t="str">
        <f t="shared" ca="1" si="944"/>
        <v/>
      </c>
      <c r="FB274" s="305" t="str">
        <f t="shared" ca="1" si="945"/>
        <v/>
      </c>
      <c r="FC274" s="305" t="str">
        <f t="shared" ca="1" si="946"/>
        <v/>
      </c>
      <c r="FD274" s="305" t="str">
        <f t="shared" ca="1" si="947"/>
        <v/>
      </c>
      <c r="FE274" s="305" t="str">
        <f t="shared" ca="1" si="948"/>
        <v/>
      </c>
      <c r="FF274" s="305" t="str">
        <f t="shared" ca="1" si="949"/>
        <v/>
      </c>
      <c r="FG274" s="299">
        <f t="shared" ca="1" si="950"/>
        <v>0</v>
      </c>
      <c r="FH274" s="302">
        <f t="shared" ca="1" si="951"/>
        <v>0</v>
      </c>
      <c r="FI274" s="248">
        <f t="shared" ca="1" si="952"/>
        <v>0</v>
      </c>
      <c r="FJ274" s="363">
        <f t="shared" ca="1" si="953"/>
        <v>0</v>
      </c>
      <c r="FK274" s="378" t="str">
        <f t="shared" ca="1" si="954"/>
        <v/>
      </c>
      <c r="FL274" s="508" t="str">
        <f t="shared" ca="1" si="955"/>
        <v/>
      </c>
      <c r="FM274" s="508" t="str">
        <f t="shared" ca="1" si="956"/>
        <v/>
      </c>
      <c r="FN274" s="508" t="str">
        <f t="shared" ca="1" si="957"/>
        <v/>
      </c>
      <c r="FO274" s="508" t="str">
        <f t="shared" ca="1" si="958"/>
        <v/>
      </c>
      <c r="FP274" s="353">
        <f t="shared" ca="1" si="959"/>
        <v>0</v>
      </c>
      <c r="FQ274" s="356">
        <f t="shared" ca="1" si="960"/>
        <v>0</v>
      </c>
      <c r="FR274" s="380">
        <f t="shared" ca="1" si="961"/>
        <v>0</v>
      </c>
      <c r="FS274" s="299">
        <f t="shared" ca="1" si="962"/>
        <v>0</v>
      </c>
      <c r="FT274" s="299">
        <f t="shared" ca="1" si="963"/>
        <v>0</v>
      </c>
      <c r="FU274" s="299">
        <f t="shared" ca="1" si="964"/>
        <v>0</v>
      </c>
      <c r="FV274" s="299">
        <f t="shared" ca="1" si="965"/>
        <v>0</v>
      </c>
      <c r="FW274" s="850" t="str">
        <f t="shared" ca="1" si="966"/>
        <v/>
      </c>
      <c r="FX274" s="851" t="str">
        <f t="shared" ca="1" si="967"/>
        <v/>
      </c>
      <c r="FY274" s="851" t="str">
        <f t="shared" ca="1" si="968"/>
        <v/>
      </c>
      <c r="FZ274" s="201" t="str">
        <f t="shared" ca="1" si="969"/>
        <v/>
      </c>
      <c r="GA274" s="201" t="str">
        <f t="shared" ca="1" si="970"/>
        <v/>
      </c>
      <c r="GB274" s="201" t="str">
        <f t="shared" ca="1" si="971"/>
        <v/>
      </c>
      <c r="GC274" s="201" t="str">
        <f t="shared" ca="1" si="972"/>
        <v/>
      </c>
      <c r="GD274" s="850" t="str">
        <f t="shared" ca="1" si="973"/>
        <v/>
      </c>
      <c r="GE274" s="866" t="str">
        <f t="shared" ca="1" si="974"/>
        <v/>
      </c>
      <c r="GF274" s="866" t="str">
        <f t="shared" ca="1" si="975"/>
        <v/>
      </c>
      <c r="GG274" s="866" t="str">
        <f t="shared" ca="1" si="976"/>
        <v/>
      </c>
      <c r="GH274" s="866" t="str">
        <f t="shared" ca="1" si="977"/>
        <v/>
      </c>
      <c r="GI274" s="302">
        <f t="shared" ca="1" si="978"/>
        <v>0</v>
      </c>
      <c r="GJ274" s="299">
        <f t="shared" ca="1" si="979"/>
        <v>0</v>
      </c>
      <c r="GK274" s="299">
        <f t="shared" ca="1" si="980"/>
        <v>0</v>
      </c>
      <c r="GL274" s="299">
        <f t="shared" ca="1" si="981"/>
        <v>0</v>
      </c>
      <c r="GM274" s="299">
        <f t="shared" ca="1" si="982"/>
        <v>0</v>
      </c>
      <c r="GN274" s="302">
        <f t="shared" ca="1" si="983"/>
        <v>0</v>
      </c>
      <c r="GO274" s="299">
        <f t="shared" ca="1" si="984"/>
        <v>0</v>
      </c>
      <c r="GP274" s="299">
        <f t="shared" ca="1" si="985"/>
        <v>0</v>
      </c>
      <c r="GQ274" s="299">
        <f t="shared" ca="1" si="986"/>
        <v>0</v>
      </c>
      <c r="GR274" s="299">
        <f t="shared" ca="1" si="987"/>
        <v>0</v>
      </c>
      <c r="GS274" s="302">
        <f t="shared" ca="1" si="988"/>
        <v>0</v>
      </c>
      <c r="GT274" s="299">
        <f t="shared" ca="1" si="989"/>
        <v>0</v>
      </c>
      <c r="GU274" s="299">
        <f t="shared" ca="1" si="990"/>
        <v>0</v>
      </c>
      <c r="GV274" s="299">
        <f t="shared" ca="1" si="991"/>
        <v>0</v>
      </c>
      <c r="GW274" s="299">
        <f t="shared" ca="1" si="992"/>
        <v>0</v>
      </c>
      <c r="GX274" s="303">
        <f t="shared" ca="1" si="993"/>
        <v>0</v>
      </c>
      <c r="GY274" s="303">
        <f t="shared" ca="1" si="994"/>
        <v>0</v>
      </c>
      <c r="GZ274" s="303">
        <f t="shared" ca="1" si="995"/>
        <v>0</v>
      </c>
      <c r="HA274" s="303">
        <f t="shared" ca="1" si="996"/>
        <v>0</v>
      </c>
      <c r="HB274" s="303">
        <f t="shared" ca="1" si="997"/>
        <v>0</v>
      </c>
      <c r="HC274" s="303">
        <f t="shared" ca="1" si="998"/>
        <v>0</v>
      </c>
      <c r="HD274" s="303">
        <f t="shared" ca="1" si="999"/>
        <v>0</v>
      </c>
      <c r="HE274" s="303">
        <f t="shared" ca="1" si="1000"/>
        <v>0</v>
      </c>
      <c r="HF274" s="303">
        <f t="shared" ca="1" si="1001"/>
        <v>0</v>
      </c>
      <c r="HG274" s="852">
        <f t="shared" ca="1" si="1002"/>
        <v>0</v>
      </c>
    </row>
    <row r="275" spans="1:215" x14ac:dyDescent="0.25">
      <c r="A275" s="244">
        <f t="shared" ca="1" si="1003"/>
        <v>44470</v>
      </c>
      <c r="B275" s="13">
        <f t="shared" ca="1" si="831"/>
        <v>2021</v>
      </c>
      <c r="C275" s="619">
        <f t="shared" ca="1" si="832"/>
        <v>10</v>
      </c>
      <c r="D275" s="195" t="str">
        <f t="shared" ca="1" si="833"/>
        <v/>
      </c>
      <c r="E275" s="469" t="str">
        <f t="shared" ca="1" si="834"/>
        <v/>
      </c>
      <c r="F275" s="465" t="str">
        <f t="shared" ca="1" si="835"/>
        <v/>
      </c>
      <c r="G275" s="522">
        <f t="shared" ca="1" si="1004"/>
        <v>1</v>
      </c>
      <c r="H275" s="519">
        <f t="shared" ca="1" si="1005"/>
        <v>1</v>
      </c>
      <c r="I275" s="724">
        <f t="shared" ca="1" si="836"/>
        <v>7.3998039571255003E-2</v>
      </c>
      <c r="J275" s="198">
        <f t="shared" ca="1" si="837"/>
        <v>0.20635192591410575</v>
      </c>
      <c r="K275" s="200" t="e">
        <f t="shared" ref="K275:K292" ca="1" si="1013">VLOOKUP(A275,PriceTable,2,0)+IF(BasisNumber&lt;&gt;1,VLOOKUP(A275,BasisTable,2,0),0)</f>
        <v>#N/A</v>
      </c>
      <c r="L275" s="201" t="e">
        <f t="shared" ref="L275:L292" ca="1" si="1014">VLOOKUP(A275,PriceTable,3,0)+IF(BasisNumber&lt;&gt;1,VLOOKUP(A275,BasisTable,2,0),0)</f>
        <v>#N/A</v>
      </c>
      <c r="M275" s="206" t="e">
        <f t="shared" ref="M275:M292" ca="1" si="1015">VLOOKUP(A275,PriceTable,4,0)+IF(BasisNumber&lt;&gt;1,VLOOKUP(A275,BasisTable,2,0),0)</f>
        <v>#N/A</v>
      </c>
      <c r="N275" s="851" t="e">
        <f t="shared" ca="1" si="811"/>
        <v>#N/A</v>
      </c>
      <c r="O275" s="201" t="e">
        <f t="shared" ca="1" si="812"/>
        <v>#N/A</v>
      </c>
      <c r="P275" s="206" t="e">
        <f t="shared" ca="1" si="813"/>
        <v>#N/A</v>
      </c>
      <c r="Q275" s="201" t="e">
        <f t="shared" ca="1" si="814"/>
        <v>#N/A</v>
      </c>
      <c r="R275" s="201" t="e">
        <f t="shared" ca="1" si="815"/>
        <v>#N/A</v>
      </c>
      <c r="S275" s="201" t="e">
        <f t="shared" ca="1" si="816"/>
        <v>#N/A</v>
      </c>
      <c r="T275" s="851" t="e">
        <f t="shared" ref="T275:T292" ca="1" si="1016">VLOOKUP(A275,PriceTable,6,0)+IF(BasisNumber&lt;&gt;1,VLOOKUP(A275,BasisTable,3,0),0)</f>
        <v>#N/A</v>
      </c>
      <c r="U275" s="201" t="e">
        <f t="shared" ref="U275:U292" ca="1" si="1017">VLOOKUP(A275,PriceTable,7,0)+IF(BasisNumber&lt;&gt;1,VLOOKUP(A275,BasisTable,3,0),0)</f>
        <v>#N/A</v>
      </c>
      <c r="V275" s="206" t="e">
        <f t="shared" ref="V275:V292" ca="1" si="1018">VLOOKUP(A275,PriceTable,8,0)+IF(BasisNumber&lt;&gt;1,VLOOKUP(A275,BasisTable,3,0),0)</f>
        <v>#N/A</v>
      </c>
      <c r="W275" s="230" t="e">
        <f t="shared" ca="1" si="1006"/>
        <v>#N/A</v>
      </c>
      <c r="X275" s="231" t="e">
        <f t="shared" ca="1" si="1007"/>
        <v>#N/A</v>
      </c>
      <c r="Y275" s="232" t="e">
        <f t="shared" ca="1" si="1008"/>
        <v>#N/A</v>
      </c>
      <c r="Z275" s="231" t="e">
        <f t="shared" ca="1" si="820"/>
        <v>#N/A</v>
      </c>
      <c r="AA275" s="231" t="e">
        <f t="shared" ca="1" si="821"/>
        <v>#N/A</v>
      </c>
      <c r="AB275" s="232" t="e">
        <f t="shared" ca="1" si="822"/>
        <v>#N/A</v>
      </c>
      <c r="AC275" s="231" t="e">
        <f t="shared" ca="1" si="823"/>
        <v>#N/A</v>
      </c>
      <c r="AD275" s="231" t="e">
        <f t="shared" ca="1" si="824"/>
        <v>#N/A</v>
      </c>
      <c r="AE275" s="232" t="e">
        <f t="shared" ca="1" si="838"/>
        <v>#N/A</v>
      </c>
      <c r="AF275" s="231" t="e">
        <f t="shared" ca="1" si="1009"/>
        <v>#N/A</v>
      </c>
      <c r="AG275" s="231" t="e">
        <f t="shared" ca="1" si="1010"/>
        <v>#N/A</v>
      </c>
      <c r="AH275" s="232" t="e">
        <f t="shared" ca="1" si="1011"/>
        <v>#N/A</v>
      </c>
      <c r="AI275" s="233" t="e">
        <f t="shared" ca="1" si="839"/>
        <v>#N/A</v>
      </c>
      <c r="AJ275" s="233" t="e">
        <f t="shared" ca="1" si="840"/>
        <v>#N/A</v>
      </c>
      <c r="AK275" s="234" t="e">
        <f t="shared" ca="1" si="841"/>
        <v>#N/A</v>
      </c>
      <c r="AL275" s="919" t="e">
        <f t="shared" ca="1" si="842"/>
        <v>#N/A</v>
      </c>
      <c r="AM275" s="233" t="e">
        <f t="shared" ca="1" si="843"/>
        <v>#N/A</v>
      </c>
      <c r="AN275" s="234" t="e">
        <f t="shared" ca="1" si="844"/>
        <v>#N/A</v>
      </c>
      <c r="AO275" s="233" t="e">
        <f t="shared" ca="1" si="845"/>
        <v>#N/A</v>
      </c>
      <c r="AP275" s="233" t="e">
        <f t="shared" ca="1" si="846"/>
        <v>#N/A</v>
      </c>
      <c r="AQ275" s="233" t="e">
        <f t="shared" ca="1" si="847"/>
        <v>#N/A</v>
      </c>
      <c r="AR275" s="919" t="e">
        <f t="shared" ca="1" si="848"/>
        <v>#N/A</v>
      </c>
      <c r="AS275" s="233" t="e">
        <f t="shared" ca="1" si="849"/>
        <v>#N/A</v>
      </c>
      <c r="AT275" s="235" t="e">
        <f t="shared" ca="1" si="850"/>
        <v>#N/A</v>
      </c>
      <c r="AU275" s="946">
        <f t="shared" si="851"/>
        <v>0.5</v>
      </c>
      <c r="AV275" s="13">
        <f t="shared" ca="1" si="852"/>
        <v>0</v>
      </c>
      <c r="AW275" s="210">
        <f t="shared" ca="1" si="853"/>
        <v>0</v>
      </c>
      <c r="AX275" s="210">
        <f t="shared" ca="1" si="854"/>
        <v>0</v>
      </c>
      <c r="AY275" s="210">
        <f t="shared" ca="1" si="855"/>
        <v>0</v>
      </c>
      <c r="AZ275" s="13">
        <f t="shared" ca="1" si="856"/>
        <v>0</v>
      </c>
      <c r="BA275" s="357">
        <f ca="1"/>
        <v>0</v>
      </c>
      <c r="BB275" s="925">
        <f ca="1"/>
        <v>0</v>
      </c>
      <c r="BC275" s="925">
        <f ca="1"/>
        <v>0</v>
      </c>
      <c r="BD275" s="928">
        <f ca="1"/>
        <v>0</v>
      </c>
      <c r="BE275" s="200">
        <f ca="1"/>
        <v>0</v>
      </c>
      <c r="BF275" s="851">
        <f ca="1"/>
        <v>0</v>
      </c>
      <c r="BG275" s="851">
        <f ca="1"/>
        <v>0</v>
      </c>
      <c r="BH275" s="933">
        <f ca="1"/>
        <v>0</v>
      </c>
      <c r="BI275" s="357">
        <f ca="1"/>
        <v>0</v>
      </c>
      <c r="BJ275" s="925">
        <f ca="1"/>
        <v>0</v>
      </c>
      <c r="BK275" s="925">
        <f ca="1"/>
        <v>0</v>
      </c>
      <c r="BL275" s="928">
        <f ca="1"/>
        <v>0</v>
      </c>
      <c r="BM275" s="200">
        <f ca="1"/>
        <v>0</v>
      </c>
      <c r="BN275" s="851">
        <f ca="1"/>
        <v>0</v>
      </c>
      <c r="BO275" s="851">
        <f ca="1"/>
        <v>0</v>
      </c>
      <c r="BP275" s="933">
        <f ca="1"/>
        <v>0</v>
      </c>
      <c r="BQ275" s="357">
        <f t="shared" ca="1" si="857"/>
        <v>0</v>
      </c>
      <c r="BR275" s="361">
        <f t="shared" ca="1" si="858"/>
        <v>0</v>
      </c>
      <c r="BS275" s="357">
        <f t="shared" ca="1" si="859"/>
        <v>0</v>
      </c>
      <c r="BT275" s="302">
        <f t="shared" ca="1" si="860"/>
        <v>0</v>
      </c>
      <c r="BU275" s="299">
        <f t="shared" ca="1" si="861"/>
        <v>0</v>
      </c>
      <c r="BV275" s="299">
        <f t="shared" ca="1" si="862"/>
        <v>0</v>
      </c>
      <c r="BW275" s="299">
        <f t="shared" ca="1" si="863"/>
        <v>0</v>
      </c>
      <c r="BX275" s="380">
        <f t="shared" ca="1" si="864"/>
        <v>21.582477754962355</v>
      </c>
      <c r="BY275" s="363">
        <f t="shared" ca="1" si="865"/>
        <v>0</v>
      </c>
      <c r="BZ275" s="353">
        <f t="shared" ca="1" si="866"/>
        <v>0</v>
      </c>
      <c r="CA275" s="353">
        <f t="shared" ca="1" si="867"/>
        <v>0</v>
      </c>
      <c r="CB275" s="353">
        <f t="shared" ca="1" si="868"/>
        <v>0</v>
      </c>
      <c r="CC275" s="353">
        <f t="shared" ca="1" si="869"/>
        <v>0</v>
      </c>
      <c r="CD275" s="353">
        <f t="shared" ca="1" si="870"/>
        <v>0</v>
      </c>
      <c r="CE275" s="302">
        <f t="shared" ca="1" si="871"/>
        <v>0</v>
      </c>
      <c r="CF275" s="299">
        <f t="shared" ca="1" si="872"/>
        <v>0</v>
      </c>
      <c r="CG275" s="299">
        <f t="shared" ca="1" si="873"/>
        <v>0</v>
      </c>
      <c r="CH275" s="299">
        <f t="shared" ca="1" si="874"/>
        <v>0</v>
      </c>
      <c r="CI275" s="299">
        <f t="shared" ca="1" si="875"/>
        <v>0</v>
      </c>
      <c r="CJ275" s="299">
        <f t="shared" ca="1" si="876"/>
        <v>0</v>
      </c>
      <c r="CK275" s="299">
        <f t="shared" ca="1" si="877"/>
        <v>0</v>
      </c>
      <c r="CL275" s="377" t="str">
        <f t="shared" ca="1" si="878"/>
        <v/>
      </c>
      <c r="CM275" s="305" t="str">
        <f t="shared" ca="1" si="879"/>
        <v/>
      </c>
      <c r="CN275" s="305" t="str">
        <f t="shared" ca="1" si="880"/>
        <v/>
      </c>
      <c r="CO275" s="305" t="str">
        <f t="shared" ca="1" si="881"/>
        <v/>
      </c>
      <c r="CP275" s="305" t="str">
        <f t="shared" ca="1" si="882"/>
        <v/>
      </c>
      <c r="CQ275" s="305" t="str">
        <f t="shared" ca="1" si="883"/>
        <v/>
      </c>
      <c r="CR275" s="775" t="str">
        <f t="shared" ca="1" si="884"/>
        <v/>
      </c>
      <c r="CS275" s="305" t="str">
        <f t="shared" ca="1" si="885"/>
        <v/>
      </c>
      <c r="CT275" s="305" t="str">
        <f t="shared" ca="1" si="886"/>
        <v/>
      </c>
      <c r="CU275" s="305" t="str">
        <f t="shared" ca="1" si="887"/>
        <v/>
      </c>
      <c r="CV275" s="770" t="str">
        <f t="shared" ca="1" si="888"/>
        <v/>
      </c>
      <c r="CW275" s="302">
        <f t="shared" ca="1" si="889"/>
        <v>0</v>
      </c>
      <c r="CX275" s="299">
        <f t="shared" ca="1" si="890"/>
        <v>0</v>
      </c>
      <c r="CY275" s="299">
        <f t="shared" ca="1" si="891"/>
        <v>0</v>
      </c>
      <c r="CZ275" s="299">
        <f t="shared" ca="1" si="892"/>
        <v>0</v>
      </c>
      <c r="DA275" s="774">
        <f t="shared" ca="1" si="893"/>
        <v>0</v>
      </c>
      <c r="DB275" s="303">
        <f t="shared" ca="1" si="894"/>
        <v>0</v>
      </c>
      <c r="DC275" s="248">
        <f t="shared" ca="1" si="895"/>
        <v>0</v>
      </c>
      <c r="DD275" s="778">
        <f t="shared" ca="1" si="896"/>
        <v>0</v>
      </c>
      <c r="DE275" s="363">
        <f t="shared" ca="1" si="897"/>
        <v>0</v>
      </c>
      <c r="DF275" s="378" t="str">
        <f t="shared" ca="1" si="898"/>
        <v/>
      </c>
      <c r="DG275" s="508" t="str">
        <f t="shared" ca="1" si="899"/>
        <v/>
      </c>
      <c r="DH275" s="508" t="str">
        <f t="shared" ca="1" si="900"/>
        <v/>
      </c>
      <c r="DI275" s="508" t="str">
        <f t="shared" ca="1" si="901"/>
        <v/>
      </c>
      <c r="DJ275" s="508" t="str">
        <f t="shared" ca="1" si="902"/>
        <v/>
      </c>
      <c r="DK275" s="353">
        <f t="shared" ca="1" si="903"/>
        <v>0</v>
      </c>
      <c r="DL275" s="781">
        <f t="shared" ca="1" si="904"/>
        <v>0</v>
      </c>
      <c r="DM275" s="303">
        <f t="shared" ca="1" si="905"/>
        <v>0</v>
      </c>
      <c r="DN275" s="508" t="str">
        <f t="shared" ca="1" si="906"/>
        <v/>
      </c>
      <c r="DO275" s="508" t="str">
        <f t="shared" ca="1" si="907"/>
        <v/>
      </c>
      <c r="DP275" s="508" t="str">
        <f t="shared" ca="1" si="908"/>
        <v/>
      </c>
      <c r="DQ275" s="508" t="str">
        <f t="shared" ca="1" si="909"/>
        <v/>
      </c>
      <c r="DR275" s="508" t="str">
        <f t="shared" ca="1" si="910"/>
        <v/>
      </c>
      <c r="DS275" s="353">
        <f t="shared" ca="1" si="911"/>
        <v>0</v>
      </c>
      <c r="DT275" s="353">
        <f t="shared" ca="1" si="912"/>
        <v>0</v>
      </c>
      <c r="DU275" s="380">
        <f t="shared" ca="1" si="1012"/>
        <v>21.582477754962355</v>
      </c>
      <c r="DV275" s="303">
        <f t="shared" ca="1" si="913"/>
        <v>0</v>
      </c>
      <c r="DW275" s="303">
        <f t="shared" ca="1" si="914"/>
        <v>0</v>
      </c>
      <c r="DX275" s="303">
        <f t="shared" ca="1" si="915"/>
        <v>0</v>
      </c>
      <c r="DY275" s="303">
        <f t="shared" ca="1" si="916"/>
        <v>0</v>
      </c>
      <c r="DZ275" s="303">
        <f t="shared" ca="1" si="917"/>
        <v>0</v>
      </c>
      <c r="EA275" s="303">
        <f t="shared" ca="1" si="918"/>
        <v>0</v>
      </c>
      <c r="EB275" s="302">
        <f t="shared" ca="1" si="919"/>
        <v>0</v>
      </c>
      <c r="EC275" s="299">
        <f t="shared" ca="1" si="920"/>
        <v>0</v>
      </c>
      <c r="ED275" s="299">
        <f t="shared" ca="1" si="921"/>
        <v>0</v>
      </c>
      <c r="EE275" s="299">
        <f t="shared" ca="1" si="922"/>
        <v>0</v>
      </c>
      <c r="EF275" s="299">
        <f t="shared" ca="1" si="923"/>
        <v>0</v>
      </c>
      <c r="EG275" s="299">
        <f t="shared" ca="1" si="924"/>
        <v>0</v>
      </c>
      <c r="EH275" s="302">
        <f t="shared" ca="1" si="925"/>
        <v>0</v>
      </c>
      <c r="EI275" s="304" t="str">
        <f t="shared" ca="1" si="926"/>
        <v/>
      </c>
      <c r="EJ275" s="305" t="str">
        <f t="shared" ca="1" si="927"/>
        <v/>
      </c>
      <c r="EK275" s="305" t="str">
        <f t="shared" ca="1" si="928"/>
        <v/>
      </c>
      <c r="EL275" s="305" t="str">
        <f t="shared" ca="1" si="929"/>
        <v/>
      </c>
      <c r="EM275" s="305" t="str">
        <f t="shared" ca="1" si="930"/>
        <v/>
      </c>
      <c r="EN275" s="305" t="str">
        <f t="shared" ca="1" si="931"/>
        <v/>
      </c>
      <c r="EO275" s="305" t="str">
        <f t="shared" ca="1" si="932"/>
        <v/>
      </c>
      <c r="EP275" s="305" t="str">
        <f t="shared" ca="1" si="933"/>
        <v/>
      </c>
      <c r="EQ275" s="305" t="str">
        <f t="shared" ca="1" si="934"/>
        <v/>
      </c>
      <c r="ER275" s="305" t="str">
        <f t="shared" ca="1" si="935"/>
        <v/>
      </c>
      <c r="ES275" s="305" t="str">
        <f t="shared" ca="1" si="936"/>
        <v/>
      </c>
      <c r="ET275" s="299">
        <f t="shared" ca="1" si="937"/>
        <v>0</v>
      </c>
      <c r="EU275" s="302">
        <f t="shared" ca="1" si="938"/>
        <v>0</v>
      </c>
      <c r="EV275" s="304" t="str">
        <f t="shared" ca="1" si="939"/>
        <v/>
      </c>
      <c r="EW275" s="305" t="str">
        <f t="shared" ca="1" si="940"/>
        <v/>
      </c>
      <c r="EX275" s="305" t="str">
        <f t="shared" ca="1" si="941"/>
        <v/>
      </c>
      <c r="EY275" s="305" t="str">
        <f t="shared" ca="1" si="942"/>
        <v/>
      </c>
      <c r="EZ275" s="305" t="str">
        <f t="shared" ca="1" si="943"/>
        <v/>
      </c>
      <c r="FA275" s="305" t="str">
        <f t="shared" ca="1" si="944"/>
        <v/>
      </c>
      <c r="FB275" s="305" t="str">
        <f t="shared" ca="1" si="945"/>
        <v/>
      </c>
      <c r="FC275" s="305" t="str">
        <f t="shared" ca="1" si="946"/>
        <v/>
      </c>
      <c r="FD275" s="305" t="str">
        <f t="shared" ca="1" si="947"/>
        <v/>
      </c>
      <c r="FE275" s="305" t="str">
        <f t="shared" ca="1" si="948"/>
        <v/>
      </c>
      <c r="FF275" s="305" t="str">
        <f t="shared" ca="1" si="949"/>
        <v/>
      </c>
      <c r="FG275" s="299">
        <f t="shared" ca="1" si="950"/>
        <v>0</v>
      </c>
      <c r="FH275" s="302">
        <f t="shared" ca="1" si="951"/>
        <v>0</v>
      </c>
      <c r="FI275" s="248">
        <f t="shared" ca="1" si="952"/>
        <v>0</v>
      </c>
      <c r="FJ275" s="363">
        <f t="shared" ca="1" si="953"/>
        <v>0</v>
      </c>
      <c r="FK275" s="378" t="str">
        <f t="shared" ca="1" si="954"/>
        <v/>
      </c>
      <c r="FL275" s="508" t="str">
        <f t="shared" ca="1" si="955"/>
        <v/>
      </c>
      <c r="FM275" s="508" t="str">
        <f t="shared" ca="1" si="956"/>
        <v/>
      </c>
      <c r="FN275" s="508" t="str">
        <f t="shared" ca="1" si="957"/>
        <v/>
      </c>
      <c r="FO275" s="508" t="str">
        <f t="shared" ca="1" si="958"/>
        <v/>
      </c>
      <c r="FP275" s="353">
        <f t="shared" ca="1" si="959"/>
        <v>0</v>
      </c>
      <c r="FQ275" s="356">
        <f t="shared" ca="1" si="960"/>
        <v>0</v>
      </c>
      <c r="FR275" s="380">
        <f t="shared" ca="1" si="961"/>
        <v>0</v>
      </c>
      <c r="FS275" s="299">
        <f t="shared" ca="1" si="962"/>
        <v>0</v>
      </c>
      <c r="FT275" s="299">
        <f t="shared" ca="1" si="963"/>
        <v>0</v>
      </c>
      <c r="FU275" s="299">
        <f t="shared" ca="1" si="964"/>
        <v>0</v>
      </c>
      <c r="FV275" s="299">
        <f t="shared" ca="1" si="965"/>
        <v>0</v>
      </c>
      <c r="FW275" s="850" t="str">
        <f t="shared" ca="1" si="966"/>
        <v/>
      </c>
      <c r="FX275" s="851" t="str">
        <f t="shared" ca="1" si="967"/>
        <v/>
      </c>
      <c r="FY275" s="851" t="str">
        <f t="shared" ca="1" si="968"/>
        <v/>
      </c>
      <c r="FZ275" s="201" t="str">
        <f t="shared" ca="1" si="969"/>
        <v/>
      </c>
      <c r="GA275" s="201" t="str">
        <f t="shared" ca="1" si="970"/>
        <v/>
      </c>
      <c r="GB275" s="201" t="str">
        <f t="shared" ca="1" si="971"/>
        <v/>
      </c>
      <c r="GC275" s="201" t="str">
        <f t="shared" ca="1" si="972"/>
        <v/>
      </c>
      <c r="GD275" s="850" t="str">
        <f t="shared" ca="1" si="973"/>
        <v/>
      </c>
      <c r="GE275" s="866" t="str">
        <f t="shared" ca="1" si="974"/>
        <v/>
      </c>
      <c r="GF275" s="866" t="str">
        <f t="shared" ca="1" si="975"/>
        <v/>
      </c>
      <c r="GG275" s="866" t="str">
        <f t="shared" ca="1" si="976"/>
        <v/>
      </c>
      <c r="GH275" s="866" t="str">
        <f t="shared" ca="1" si="977"/>
        <v/>
      </c>
      <c r="GI275" s="302">
        <f t="shared" ca="1" si="978"/>
        <v>0</v>
      </c>
      <c r="GJ275" s="299">
        <f t="shared" ca="1" si="979"/>
        <v>0</v>
      </c>
      <c r="GK275" s="299">
        <f t="shared" ca="1" si="980"/>
        <v>0</v>
      </c>
      <c r="GL275" s="299">
        <f t="shared" ca="1" si="981"/>
        <v>0</v>
      </c>
      <c r="GM275" s="299">
        <f t="shared" ca="1" si="982"/>
        <v>0</v>
      </c>
      <c r="GN275" s="302">
        <f t="shared" ca="1" si="983"/>
        <v>0</v>
      </c>
      <c r="GO275" s="299">
        <f t="shared" ca="1" si="984"/>
        <v>0</v>
      </c>
      <c r="GP275" s="299">
        <f t="shared" ca="1" si="985"/>
        <v>0</v>
      </c>
      <c r="GQ275" s="299">
        <f t="shared" ca="1" si="986"/>
        <v>0</v>
      </c>
      <c r="GR275" s="299">
        <f t="shared" ca="1" si="987"/>
        <v>0</v>
      </c>
      <c r="GS275" s="302">
        <f t="shared" ca="1" si="988"/>
        <v>0</v>
      </c>
      <c r="GT275" s="299">
        <f t="shared" ca="1" si="989"/>
        <v>0</v>
      </c>
      <c r="GU275" s="299">
        <f t="shared" ca="1" si="990"/>
        <v>0</v>
      </c>
      <c r="GV275" s="299">
        <f t="shared" ca="1" si="991"/>
        <v>0</v>
      </c>
      <c r="GW275" s="299">
        <f t="shared" ca="1" si="992"/>
        <v>0</v>
      </c>
      <c r="GX275" s="303">
        <f t="shared" ca="1" si="993"/>
        <v>0</v>
      </c>
      <c r="GY275" s="303">
        <f t="shared" ca="1" si="994"/>
        <v>0</v>
      </c>
      <c r="GZ275" s="303">
        <f t="shared" ca="1" si="995"/>
        <v>0</v>
      </c>
      <c r="HA275" s="303">
        <f t="shared" ca="1" si="996"/>
        <v>0</v>
      </c>
      <c r="HB275" s="303">
        <f t="shared" ca="1" si="997"/>
        <v>0</v>
      </c>
      <c r="HC275" s="303">
        <f t="shared" ca="1" si="998"/>
        <v>0</v>
      </c>
      <c r="HD275" s="303">
        <f t="shared" ca="1" si="999"/>
        <v>0</v>
      </c>
      <c r="HE275" s="303">
        <f t="shared" ca="1" si="1000"/>
        <v>0</v>
      </c>
      <c r="HF275" s="303">
        <f t="shared" ca="1" si="1001"/>
        <v>0</v>
      </c>
      <c r="HG275" s="852">
        <f t="shared" ca="1" si="1002"/>
        <v>0</v>
      </c>
    </row>
    <row r="276" spans="1:215" x14ac:dyDescent="0.25">
      <c r="A276" s="244">
        <f t="shared" ca="1" si="1003"/>
        <v>44501</v>
      </c>
      <c r="B276" s="13">
        <f t="shared" ca="1" si="831"/>
        <v>2021</v>
      </c>
      <c r="C276" s="619">
        <f t="shared" ca="1" si="832"/>
        <v>11</v>
      </c>
      <c r="D276" s="195">
        <f t="shared" ca="1" si="833"/>
        <v>44525</v>
      </c>
      <c r="E276" s="469" t="str">
        <f t="shared" ca="1" si="834"/>
        <v/>
      </c>
      <c r="F276" s="465" t="str">
        <f t="shared" ca="1" si="835"/>
        <v/>
      </c>
      <c r="G276" s="522">
        <f t="shared" ca="1" si="1004"/>
        <v>1</v>
      </c>
      <c r="H276" s="519">
        <f t="shared" ca="1" si="1005"/>
        <v>1</v>
      </c>
      <c r="I276" s="724">
        <f t="shared" ca="1" si="836"/>
        <v>7.3988804275602005E-2</v>
      </c>
      <c r="J276" s="198">
        <f t="shared" ca="1" si="837"/>
        <v>0.20516388949144687</v>
      </c>
      <c r="K276" s="200" t="e">
        <f t="shared" ca="1" si="1013"/>
        <v>#N/A</v>
      </c>
      <c r="L276" s="201" t="e">
        <f t="shared" ca="1" si="1014"/>
        <v>#N/A</v>
      </c>
      <c r="M276" s="206" t="e">
        <f t="shared" ca="1" si="1015"/>
        <v>#N/A</v>
      </c>
      <c r="N276" s="851" t="e">
        <f t="shared" ref="N276:N292" ca="1" si="1019">VLOOKUP(A276,BigTable,2,0)+IF(BasisNumber&lt;&gt;1,VLOOKUP(A276,BasisTable,2,0),0)</f>
        <v>#N/A</v>
      </c>
      <c r="O276" s="201" t="e">
        <f t="shared" ref="O276:O292" ca="1" si="1020">VLOOKUP(A276,BigTable,3,0)+IF(BasisNumber&lt;&gt;1,VLOOKUP(A276,BasisTable,2,0),0)</f>
        <v>#N/A</v>
      </c>
      <c r="P276" s="206" t="e">
        <f t="shared" ref="P276:P292" ca="1" si="1021">VLOOKUP(A276,BigTable,4,0)+IF(BasisNumber&lt;&gt;1,VLOOKUP(A276,BasisTable,2,0),0)</f>
        <v>#N/A</v>
      </c>
      <c r="Q276" s="201" t="e">
        <f t="shared" ref="Q276:Q292" ca="1" si="1022">VLOOKUP(A276,BigTable,6,0)+IF(BasisNumber&lt;&gt;1,VLOOKUP(A276,BasisTable,3,0),0)</f>
        <v>#N/A</v>
      </c>
      <c r="R276" s="201" t="e">
        <f t="shared" ref="R276:R292" ca="1" si="1023">VLOOKUP(A276,BigTable,7,0)+IF(BasisNumber&lt;&gt;1,VLOOKUP(A276,BasisTable,3,0),0)</f>
        <v>#N/A</v>
      </c>
      <c r="S276" s="201" t="e">
        <f t="shared" ref="S276:S292" ca="1" si="1024">VLOOKUP(A276,BigTable,8,0)+IF(BasisNumber&lt;&gt;1,VLOOKUP(A276,BasisTable,3,0),0)</f>
        <v>#N/A</v>
      </c>
      <c r="T276" s="851" t="e">
        <f t="shared" ca="1" si="1016"/>
        <v>#N/A</v>
      </c>
      <c r="U276" s="201" t="e">
        <f t="shared" ca="1" si="1017"/>
        <v>#N/A</v>
      </c>
      <c r="V276" s="206" t="e">
        <f t="shared" ca="1" si="1018"/>
        <v>#N/A</v>
      </c>
      <c r="W276" s="230" t="e">
        <f t="shared" ca="1" si="1006"/>
        <v>#N/A</v>
      </c>
      <c r="X276" s="231" t="e">
        <f t="shared" ca="1" si="1007"/>
        <v>#N/A</v>
      </c>
      <c r="Y276" s="232" t="e">
        <f t="shared" ca="1" si="1008"/>
        <v>#N/A</v>
      </c>
      <c r="Z276" s="231" t="e">
        <f t="shared" ca="1" si="820"/>
        <v>#N/A</v>
      </c>
      <c r="AA276" s="231" t="e">
        <f t="shared" ca="1" si="821"/>
        <v>#N/A</v>
      </c>
      <c r="AB276" s="232" t="e">
        <f t="shared" ca="1" si="822"/>
        <v>#N/A</v>
      </c>
      <c r="AC276" s="231" t="e">
        <f t="shared" ca="1" si="823"/>
        <v>#N/A</v>
      </c>
      <c r="AD276" s="231" t="e">
        <f t="shared" ca="1" si="824"/>
        <v>#N/A</v>
      </c>
      <c r="AE276" s="232" t="e">
        <f t="shared" ca="1" si="838"/>
        <v>#N/A</v>
      </c>
      <c r="AF276" s="231" t="e">
        <f t="shared" ca="1" si="1009"/>
        <v>#N/A</v>
      </c>
      <c r="AG276" s="231" t="e">
        <f t="shared" ca="1" si="1010"/>
        <v>#N/A</v>
      </c>
      <c r="AH276" s="232" t="e">
        <f t="shared" ca="1" si="1011"/>
        <v>#N/A</v>
      </c>
      <c r="AI276" s="233" t="e">
        <f t="shared" ca="1" si="839"/>
        <v>#N/A</v>
      </c>
      <c r="AJ276" s="233" t="e">
        <f t="shared" ca="1" si="840"/>
        <v>#N/A</v>
      </c>
      <c r="AK276" s="234" t="e">
        <f t="shared" ca="1" si="841"/>
        <v>#N/A</v>
      </c>
      <c r="AL276" s="919" t="e">
        <f t="shared" ca="1" si="842"/>
        <v>#N/A</v>
      </c>
      <c r="AM276" s="233" t="e">
        <f t="shared" ca="1" si="843"/>
        <v>#N/A</v>
      </c>
      <c r="AN276" s="234" t="e">
        <f t="shared" ca="1" si="844"/>
        <v>#N/A</v>
      </c>
      <c r="AO276" s="233" t="e">
        <f t="shared" ca="1" si="845"/>
        <v>#N/A</v>
      </c>
      <c r="AP276" s="233" t="e">
        <f t="shared" ca="1" si="846"/>
        <v>#N/A</v>
      </c>
      <c r="AQ276" s="233" t="e">
        <f t="shared" ca="1" si="847"/>
        <v>#N/A</v>
      </c>
      <c r="AR276" s="919" t="e">
        <f t="shared" ca="1" si="848"/>
        <v>#N/A</v>
      </c>
      <c r="AS276" s="233" t="e">
        <f t="shared" ca="1" si="849"/>
        <v>#N/A</v>
      </c>
      <c r="AT276" s="235" t="e">
        <f t="shared" ca="1" si="850"/>
        <v>#N/A</v>
      </c>
      <c r="AU276" s="946">
        <f t="shared" si="851"/>
        <v>0.5</v>
      </c>
      <c r="AV276" s="13">
        <f t="shared" ca="1" si="852"/>
        <v>0</v>
      </c>
      <c r="AW276" s="210">
        <f t="shared" ca="1" si="853"/>
        <v>0</v>
      </c>
      <c r="AX276" s="210">
        <f t="shared" ca="1" si="854"/>
        <v>0</v>
      </c>
      <c r="AY276" s="210">
        <f t="shared" ca="1" si="855"/>
        <v>0</v>
      </c>
      <c r="AZ276" s="13">
        <f t="shared" ca="1" si="856"/>
        <v>0</v>
      </c>
      <c r="BA276" s="357">
        <f ca="1"/>
        <v>0</v>
      </c>
      <c r="BB276" s="925">
        <f ca="1"/>
        <v>0</v>
      </c>
      <c r="BC276" s="925">
        <f ca="1"/>
        <v>0</v>
      </c>
      <c r="BD276" s="928">
        <f ca="1"/>
        <v>0</v>
      </c>
      <c r="BE276" s="200">
        <f ca="1"/>
        <v>0</v>
      </c>
      <c r="BF276" s="851">
        <f ca="1"/>
        <v>0</v>
      </c>
      <c r="BG276" s="851">
        <f ca="1"/>
        <v>0</v>
      </c>
      <c r="BH276" s="933">
        <f ca="1"/>
        <v>0</v>
      </c>
      <c r="BI276" s="357">
        <f ca="1"/>
        <v>0</v>
      </c>
      <c r="BJ276" s="925">
        <f ca="1"/>
        <v>0</v>
      </c>
      <c r="BK276" s="925">
        <f ca="1"/>
        <v>0</v>
      </c>
      <c r="BL276" s="928">
        <f ca="1"/>
        <v>0</v>
      </c>
      <c r="BM276" s="200">
        <f ca="1"/>
        <v>0</v>
      </c>
      <c r="BN276" s="851">
        <f ca="1"/>
        <v>0</v>
      </c>
      <c r="BO276" s="851">
        <f ca="1"/>
        <v>0</v>
      </c>
      <c r="BP276" s="933">
        <f ca="1"/>
        <v>0</v>
      </c>
      <c r="BQ276" s="357">
        <f t="shared" ca="1" si="857"/>
        <v>0</v>
      </c>
      <c r="BR276" s="361">
        <f t="shared" ca="1" si="858"/>
        <v>0</v>
      </c>
      <c r="BS276" s="357">
        <f t="shared" ca="1" si="859"/>
        <v>0</v>
      </c>
      <c r="BT276" s="302">
        <f t="shared" ca="1" si="860"/>
        <v>0</v>
      </c>
      <c r="BU276" s="299">
        <f t="shared" ca="1" si="861"/>
        <v>0</v>
      </c>
      <c r="BV276" s="299">
        <f t="shared" ca="1" si="862"/>
        <v>0</v>
      </c>
      <c r="BW276" s="299">
        <f t="shared" ca="1" si="863"/>
        <v>0</v>
      </c>
      <c r="BX276" s="380">
        <f t="shared" ca="1" si="864"/>
        <v>21.66735112936345</v>
      </c>
      <c r="BY276" s="363">
        <f t="shared" ca="1" si="865"/>
        <v>0</v>
      </c>
      <c r="BZ276" s="353">
        <f t="shared" ca="1" si="866"/>
        <v>0</v>
      </c>
      <c r="CA276" s="353">
        <f t="shared" ca="1" si="867"/>
        <v>0</v>
      </c>
      <c r="CB276" s="353">
        <f t="shared" ca="1" si="868"/>
        <v>0</v>
      </c>
      <c r="CC276" s="353">
        <f t="shared" ca="1" si="869"/>
        <v>0</v>
      </c>
      <c r="CD276" s="353">
        <f t="shared" ca="1" si="870"/>
        <v>0</v>
      </c>
      <c r="CE276" s="302">
        <f t="shared" ca="1" si="871"/>
        <v>0</v>
      </c>
      <c r="CF276" s="299">
        <f t="shared" ca="1" si="872"/>
        <v>0</v>
      </c>
      <c r="CG276" s="299">
        <f t="shared" ca="1" si="873"/>
        <v>0</v>
      </c>
      <c r="CH276" s="299">
        <f t="shared" ca="1" si="874"/>
        <v>0</v>
      </c>
      <c r="CI276" s="299">
        <f t="shared" ca="1" si="875"/>
        <v>0</v>
      </c>
      <c r="CJ276" s="299">
        <f t="shared" ca="1" si="876"/>
        <v>0</v>
      </c>
      <c r="CK276" s="299">
        <f t="shared" ca="1" si="877"/>
        <v>0</v>
      </c>
      <c r="CL276" s="377" t="str">
        <f t="shared" ca="1" si="878"/>
        <v/>
      </c>
      <c r="CM276" s="305" t="str">
        <f t="shared" ca="1" si="879"/>
        <v/>
      </c>
      <c r="CN276" s="305" t="str">
        <f t="shared" ca="1" si="880"/>
        <v/>
      </c>
      <c r="CO276" s="305" t="str">
        <f t="shared" ca="1" si="881"/>
        <v/>
      </c>
      <c r="CP276" s="305" t="str">
        <f t="shared" ca="1" si="882"/>
        <v/>
      </c>
      <c r="CQ276" s="305" t="str">
        <f t="shared" ca="1" si="883"/>
        <v/>
      </c>
      <c r="CR276" s="775" t="str">
        <f t="shared" ca="1" si="884"/>
        <v/>
      </c>
      <c r="CS276" s="305" t="str">
        <f t="shared" ca="1" si="885"/>
        <v/>
      </c>
      <c r="CT276" s="305" t="str">
        <f t="shared" ca="1" si="886"/>
        <v/>
      </c>
      <c r="CU276" s="305" t="str">
        <f t="shared" ca="1" si="887"/>
        <v/>
      </c>
      <c r="CV276" s="770" t="str">
        <f t="shared" ca="1" si="888"/>
        <v/>
      </c>
      <c r="CW276" s="302">
        <f t="shared" ca="1" si="889"/>
        <v>0</v>
      </c>
      <c r="CX276" s="299">
        <f t="shared" ca="1" si="890"/>
        <v>0</v>
      </c>
      <c r="CY276" s="299">
        <f t="shared" ca="1" si="891"/>
        <v>0</v>
      </c>
      <c r="CZ276" s="299">
        <f t="shared" ca="1" si="892"/>
        <v>0</v>
      </c>
      <c r="DA276" s="774">
        <f t="shared" ca="1" si="893"/>
        <v>0</v>
      </c>
      <c r="DB276" s="303">
        <f t="shared" ca="1" si="894"/>
        <v>0</v>
      </c>
      <c r="DC276" s="248">
        <f t="shared" ca="1" si="895"/>
        <v>0</v>
      </c>
      <c r="DD276" s="778">
        <f t="shared" ca="1" si="896"/>
        <v>0</v>
      </c>
      <c r="DE276" s="363">
        <f t="shared" ca="1" si="897"/>
        <v>0</v>
      </c>
      <c r="DF276" s="378" t="str">
        <f t="shared" ca="1" si="898"/>
        <v/>
      </c>
      <c r="DG276" s="508" t="str">
        <f t="shared" ca="1" si="899"/>
        <v/>
      </c>
      <c r="DH276" s="508" t="str">
        <f t="shared" ca="1" si="900"/>
        <v/>
      </c>
      <c r="DI276" s="508" t="str">
        <f t="shared" ca="1" si="901"/>
        <v/>
      </c>
      <c r="DJ276" s="508" t="str">
        <f t="shared" ca="1" si="902"/>
        <v/>
      </c>
      <c r="DK276" s="353">
        <f t="shared" ca="1" si="903"/>
        <v>0</v>
      </c>
      <c r="DL276" s="781">
        <f t="shared" ca="1" si="904"/>
        <v>0</v>
      </c>
      <c r="DM276" s="303">
        <f t="shared" ca="1" si="905"/>
        <v>0</v>
      </c>
      <c r="DN276" s="508" t="str">
        <f t="shared" ca="1" si="906"/>
        <v/>
      </c>
      <c r="DO276" s="508" t="str">
        <f t="shared" ca="1" si="907"/>
        <v/>
      </c>
      <c r="DP276" s="508" t="str">
        <f t="shared" ca="1" si="908"/>
        <v/>
      </c>
      <c r="DQ276" s="508" t="str">
        <f t="shared" ca="1" si="909"/>
        <v/>
      </c>
      <c r="DR276" s="508" t="str">
        <f t="shared" ca="1" si="910"/>
        <v/>
      </c>
      <c r="DS276" s="353">
        <f t="shared" ca="1" si="911"/>
        <v>0</v>
      </c>
      <c r="DT276" s="353">
        <f t="shared" ca="1" si="912"/>
        <v>0</v>
      </c>
      <c r="DU276" s="380">
        <f t="shared" ca="1" si="1012"/>
        <v>21.66735112936345</v>
      </c>
      <c r="DV276" s="303">
        <f t="shared" ca="1" si="913"/>
        <v>0</v>
      </c>
      <c r="DW276" s="303">
        <f t="shared" ca="1" si="914"/>
        <v>0</v>
      </c>
      <c r="DX276" s="303">
        <f t="shared" ca="1" si="915"/>
        <v>0</v>
      </c>
      <c r="DY276" s="303">
        <f t="shared" ca="1" si="916"/>
        <v>0</v>
      </c>
      <c r="DZ276" s="303">
        <f t="shared" ca="1" si="917"/>
        <v>0</v>
      </c>
      <c r="EA276" s="303">
        <f t="shared" ca="1" si="918"/>
        <v>0</v>
      </c>
      <c r="EB276" s="302">
        <f t="shared" ca="1" si="919"/>
        <v>0</v>
      </c>
      <c r="EC276" s="299">
        <f t="shared" ca="1" si="920"/>
        <v>0</v>
      </c>
      <c r="ED276" s="299">
        <f t="shared" ca="1" si="921"/>
        <v>0</v>
      </c>
      <c r="EE276" s="299">
        <f t="shared" ca="1" si="922"/>
        <v>0</v>
      </c>
      <c r="EF276" s="299">
        <f t="shared" ca="1" si="923"/>
        <v>0</v>
      </c>
      <c r="EG276" s="299">
        <f t="shared" ca="1" si="924"/>
        <v>0</v>
      </c>
      <c r="EH276" s="302">
        <f t="shared" ca="1" si="925"/>
        <v>0</v>
      </c>
      <c r="EI276" s="304" t="str">
        <f t="shared" ca="1" si="926"/>
        <v/>
      </c>
      <c r="EJ276" s="305" t="str">
        <f t="shared" ca="1" si="927"/>
        <v/>
      </c>
      <c r="EK276" s="305" t="str">
        <f t="shared" ca="1" si="928"/>
        <v/>
      </c>
      <c r="EL276" s="305" t="str">
        <f t="shared" ca="1" si="929"/>
        <v/>
      </c>
      <c r="EM276" s="305" t="str">
        <f t="shared" ca="1" si="930"/>
        <v/>
      </c>
      <c r="EN276" s="305" t="str">
        <f t="shared" ca="1" si="931"/>
        <v/>
      </c>
      <c r="EO276" s="305" t="str">
        <f t="shared" ca="1" si="932"/>
        <v/>
      </c>
      <c r="EP276" s="305" t="str">
        <f t="shared" ca="1" si="933"/>
        <v/>
      </c>
      <c r="EQ276" s="305" t="str">
        <f t="shared" ca="1" si="934"/>
        <v/>
      </c>
      <c r="ER276" s="305" t="str">
        <f t="shared" ca="1" si="935"/>
        <v/>
      </c>
      <c r="ES276" s="305" t="str">
        <f t="shared" ca="1" si="936"/>
        <v/>
      </c>
      <c r="ET276" s="299">
        <f t="shared" ca="1" si="937"/>
        <v>0</v>
      </c>
      <c r="EU276" s="302">
        <f t="shared" ca="1" si="938"/>
        <v>0</v>
      </c>
      <c r="EV276" s="304" t="str">
        <f t="shared" ca="1" si="939"/>
        <v/>
      </c>
      <c r="EW276" s="305" t="str">
        <f t="shared" ca="1" si="940"/>
        <v/>
      </c>
      <c r="EX276" s="305" t="str">
        <f t="shared" ca="1" si="941"/>
        <v/>
      </c>
      <c r="EY276" s="305" t="str">
        <f t="shared" ca="1" si="942"/>
        <v/>
      </c>
      <c r="EZ276" s="305" t="str">
        <f t="shared" ca="1" si="943"/>
        <v/>
      </c>
      <c r="FA276" s="305" t="str">
        <f t="shared" ca="1" si="944"/>
        <v/>
      </c>
      <c r="FB276" s="305" t="str">
        <f t="shared" ca="1" si="945"/>
        <v/>
      </c>
      <c r="FC276" s="305" t="str">
        <f t="shared" ca="1" si="946"/>
        <v/>
      </c>
      <c r="FD276" s="305" t="str">
        <f t="shared" ca="1" si="947"/>
        <v/>
      </c>
      <c r="FE276" s="305" t="str">
        <f t="shared" ca="1" si="948"/>
        <v/>
      </c>
      <c r="FF276" s="305" t="str">
        <f t="shared" ca="1" si="949"/>
        <v/>
      </c>
      <c r="FG276" s="299">
        <f t="shared" ca="1" si="950"/>
        <v>0</v>
      </c>
      <c r="FH276" s="302">
        <f t="shared" ca="1" si="951"/>
        <v>0</v>
      </c>
      <c r="FI276" s="248">
        <f t="shared" ca="1" si="952"/>
        <v>0</v>
      </c>
      <c r="FJ276" s="363">
        <f t="shared" ca="1" si="953"/>
        <v>0</v>
      </c>
      <c r="FK276" s="378" t="str">
        <f t="shared" ca="1" si="954"/>
        <v/>
      </c>
      <c r="FL276" s="508" t="str">
        <f t="shared" ca="1" si="955"/>
        <v/>
      </c>
      <c r="FM276" s="508" t="str">
        <f t="shared" ca="1" si="956"/>
        <v/>
      </c>
      <c r="FN276" s="508" t="str">
        <f t="shared" ca="1" si="957"/>
        <v/>
      </c>
      <c r="FO276" s="508" t="str">
        <f t="shared" ca="1" si="958"/>
        <v/>
      </c>
      <c r="FP276" s="353">
        <f t="shared" ca="1" si="959"/>
        <v>0</v>
      </c>
      <c r="FQ276" s="356">
        <f t="shared" ca="1" si="960"/>
        <v>0</v>
      </c>
      <c r="FR276" s="380">
        <f t="shared" ca="1" si="961"/>
        <v>0</v>
      </c>
      <c r="FS276" s="299">
        <f t="shared" ca="1" si="962"/>
        <v>0</v>
      </c>
      <c r="FT276" s="299">
        <f t="shared" ca="1" si="963"/>
        <v>0</v>
      </c>
      <c r="FU276" s="299">
        <f t="shared" ca="1" si="964"/>
        <v>0</v>
      </c>
      <c r="FV276" s="299">
        <f t="shared" ca="1" si="965"/>
        <v>0</v>
      </c>
      <c r="FW276" s="850" t="str">
        <f t="shared" ca="1" si="966"/>
        <v/>
      </c>
      <c r="FX276" s="851" t="str">
        <f t="shared" ca="1" si="967"/>
        <v/>
      </c>
      <c r="FY276" s="851" t="str">
        <f t="shared" ca="1" si="968"/>
        <v/>
      </c>
      <c r="FZ276" s="201" t="str">
        <f t="shared" ca="1" si="969"/>
        <v/>
      </c>
      <c r="GA276" s="201" t="str">
        <f t="shared" ca="1" si="970"/>
        <v/>
      </c>
      <c r="GB276" s="201" t="str">
        <f t="shared" ca="1" si="971"/>
        <v/>
      </c>
      <c r="GC276" s="201" t="str">
        <f t="shared" ca="1" si="972"/>
        <v/>
      </c>
      <c r="GD276" s="850" t="str">
        <f t="shared" ca="1" si="973"/>
        <v/>
      </c>
      <c r="GE276" s="866" t="str">
        <f t="shared" ca="1" si="974"/>
        <v/>
      </c>
      <c r="GF276" s="866" t="str">
        <f t="shared" ca="1" si="975"/>
        <v/>
      </c>
      <c r="GG276" s="866" t="str">
        <f t="shared" ca="1" si="976"/>
        <v/>
      </c>
      <c r="GH276" s="866" t="str">
        <f t="shared" ca="1" si="977"/>
        <v/>
      </c>
      <c r="GI276" s="302">
        <f t="shared" ca="1" si="978"/>
        <v>0</v>
      </c>
      <c r="GJ276" s="299">
        <f t="shared" ca="1" si="979"/>
        <v>0</v>
      </c>
      <c r="GK276" s="299">
        <f t="shared" ca="1" si="980"/>
        <v>0</v>
      </c>
      <c r="GL276" s="299">
        <f t="shared" ca="1" si="981"/>
        <v>0</v>
      </c>
      <c r="GM276" s="299">
        <f t="shared" ca="1" si="982"/>
        <v>0</v>
      </c>
      <c r="GN276" s="302">
        <f t="shared" ca="1" si="983"/>
        <v>0</v>
      </c>
      <c r="GO276" s="299">
        <f t="shared" ca="1" si="984"/>
        <v>0</v>
      </c>
      <c r="GP276" s="299">
        <f t="shared" ca="1" si="985"/>
        <v>0</v>
      </c>
      <c r="GQ276" s="299">
        <f t="shared" ca="1" si="986"/>
        <v>0</v>
      </c>
      <c r="GR276" s="299">
        <f t="shared" ca="1" si="987"/>
        <v>0</v>
      </c>
      <c r="GS276" s="302">
        <f t="shared" ca="1" si="988"/>
        <v>0</v>
      </c>
      <c r="GT276" s="299">
        <f t="shared" ca="1" si="989"/>
        <v>0</v>
      </c>
      <c r="GU276" s="299">
        <f t="shared" ca="1" si="990"/>
        <v>0</v>
      </c>
      <c r="GV276" s="299">
        <f t="shared" ca="1" si="991"/>
        <v>0</v>
      </c>
      <c r="GW276" s="299">
        <f t="shared" ca="1" si="992"/>
        <v>0</v>
      </c>
      <c r="GX276" s="303">
        <f t="shared" ca="1" si="993"/>
        <v>0</v>
      </c>
      <c r="GY276" s="303">
        <f t="shared" ca="1" si="994"/>
        <v>0</v>
      </c>
      <c r="GZ276" s="303">
        <f t="shared" ca="1" si="995"/>
        <v>0</v>
      </c>
      <c r="HA276" s="303">
        <f t="shared" ca="1" si="996"/>
        <v>0</v>
      </c>
      <c r="HB276" s="303">
        <f t="shared" ca="1" si="997"/>
        <v>0</v>
      </c>
      <c r="HC276" s="303">
        <f t="shared" ca="1" si="998"/>
        <v>0</v>
      </c>
      <c r="HD276" s="303">
        <f t="shared" ca="1" si="999"/>
        <v>0</v>
      </c>
      <c r="HE276" s="303">
        <f t="shared" ca="1" si="1000"/>
        <v>0</v>
      </c>
      <c r="HF276" s="303">
        <f t="shared" ca="1" si="1001"/>
        <v>0</v>
      </c>
      <c r="HG276" s="852">
        <f t="shared" ca="1" si="1002"/>
        <v>0</v>
      </c>
    </row>
    <row r="277" spans="1:215" x14ac:dyDescent="0.25">
      <c r="A277" s="244">
        <f t="shared" ca="1" si="1003"/>
        <v>44531</v>
      </c>
      <c r="B277" s="13">
        <f t="shared" ca="1" si="831"/>
        <v>2021</v>
      </c>
      <c r="C277" s="619">
        <f t="shared" ca="1" si="832"/>
        <v>12</v>
      </c>
      <c r="D277" s="195">
        <f t="shared" ca="1" si="833"/>
        <v>44555</v>
      </c>
      <c r="E277" s="469" t="str">
        <f t="shared" ca="1" si="834"/>
        <v/>
      </c>
      <c r="F277" s="465" t="str">
        <f t="shared" ca="1" si="835"/>
        <v/>
      </c>
      <c r="G277" s="522">
        <f t="shared" ca="1" si="1004"/>
        <v>1</v>
      </c>
      <c r="H277" s="519">
        <f t="shared" ca="1" si="1005"/>
        <v>1</v>
      </c>
      <c r="I277" s="724">
        <f t="shared" ca="1" si="836"/>
        <v>7.3979866892738014E-2</v>
      </c>
      <c r="J277" s="198">
        <f t="shared" ca="1" si="837"/>
        <v>0.20394114335957603</v>
      </c>
      <c r="K277" s="200" t="e">
        <f t="shared" ca="1" si="1013"/>
        <v>#N/A</v>
      </c>
      <c r="L277" s="201" t="e">
        <f t="shared" ca="1" si="1014"/>
        <v>#N/A</v>
      </c>
      <c r="M277" s="206" t="e">
        <f t="shared" ca="1" si="1015"/>
        <v>#N/A</v>
      </c>
      <c r="N277" s="851" t="e">
        <f t="shared" ca="1" si="1019"/>
        <v>#N/A</v>
      </c>
      <c r="O277" s="201" t="e">
        <f t="shared" ca="1" si="1020"/>
        <v>#N/A</v>
      </c>
      <c r="P277" s="206" t="e">
        <f t="shared" ca="1" si="1021"/>
        <v>#N/A</v>
      </c>
      <c r="Q277" s="201" t="e">
        <f t="shared" ca="1" si="1022"/>
        <v>#N/A</v>
      </c>
      <c r="R277" s="201" t="e">
        <f t="shared" ca="1" si="1023"/>
        <v>#N/A</v>
      </c>
      <c r="S277" s="201" t="e">
        <f t="shared" ca="1" si="1024"/>
        <v>#N/A</v>
      </c>
      <c r="T277" s="851" t="e">
        <f t="shared" ca="1" si="1016"/>
        <v>#N/A</v>
      </c>
      <c r="U277" s="201" t="e">
        <f t="shared" ca="1" si="1017"/>
        <v>#N/A</v>
      </c>
      <c r="V277" s="206" t="e">
        <f t="shared" ca="1" si="1018"/>
        <v>#N/A</v>
      </c>
      <c r="W277" s="230" t="e">
        <f t="shared" ca="1" si="1006"/>
        <v>#N/A</v>
      </c>
      <c r="X277" s="231" t="e">
        <f t="shared" ca="1" si="1007"/>
        <v>#N/A</v>
      </c>
      <c r="Y277" s="232" t="e">
        <f t="shared" ca="1" si="1008"/>
        <v>#N/A</v>
      </c>
      <c r="Z277" s="231" t="e">
        <f t="shared" ca="1" si="820"/>
        <v>#N/A</v>
      </c>
      <c r="AA277" s="231" t="e">
        <f t="shared" ca="1" si="821"/>
        <v>#N/A</v>
      </c>
      <c r="AB277" s="232" t="e">
        <f t="shared" ca="1" si="822"/>
        <v>#N/A</v>
      </c>
      <c r="AC277" s="231" t="e">
        <f t="shared" ca="1" si="823"/>
        <v>#N/A</v>
      </c>
      <c r="AD277" s="231" t="e">
        <f t="shared" ca="1" si="824"/>
        <v>#N/A</v>
      </c>
      <c r="AE277" s="232" t="e">
        <f t="shared" ca="1" si="838"/>
        <v>#N/A</v>
      </c>
      <c r="AF277" s="231" t="e">
        <f t="shared" ca="1" si="1009"/>
        <v>#N/A</v>
      </c>
      <c r="AG277" s="231" t="e">
        <f t="shared" ca="1" si="1010"/>
        <v>#N/A</v>
      </c>
      <c r="AH277" s="232" t="e">
        <f t="shared" ca="1" si="1011"/>
        <v>#N/A</v>
      </c>
      <c r="AI277" s="233" t="e">
        <f t="shared" ca="1" si="839"/>
        <v>#N/A</v>
      </c>
      <c r="AJ277" s="233" t="e">
        <f t="shared" ca="1" si="840"/>
        <v>#N/A</v>
      </c>
      <c r="AK277" s="234" t="e">
        <f t="shared" ca="1" si="841"/>
        <v>#N/A</v>
      </c>
      <c r="AL277" s="919" t="e">
        <f t="shared" ca="1" si="842"/>
        <v>#N/A</v>
      </c>
      <c r="AM277" s="233" t="e">
        <f t="shared" ca="1" si="843"/>
        <v>#N/A</v>
      </c>
      <c r="AN277" s="234" t="e">
        <f t="shared" ca="1" si="844"/>
        <v>#N/A</v>
      </c>
      <c r="AO277" s="233" t="e">
        <f t="shared" ca="1" si="845"/>
        <v>#N/A</v>
      </c>
      <c r="AP277" s="233" t="e">
        <f t="shared" ca="1" si="846"/>
        <v>#N/A</v>
      </c>
      <c r="AQ277" s="233" t="e">
        <f t="shared" ca="1" si="847"/>
        <v>#N/A</v>
      </c>
      <c r="AR277" s="919" t="e">
        <f t="shared" ca="1" si="848"/>
        <v>#N/A</v>
      </c>
      <c r="AS277" s="233" t="e">
        <f t="shared" ca="1" si="849"/>
        <v>#N/A</v>
      </c>
      <c r="AT277" s="235" t="e">
        <f t="shared" ca="1" si="850"/>
        <v>#N/A</v>
      </c>
      <c r="AU277" s="946">
        <f t="shared" si="851"/>
        <v>0.5</v>
      </c>
      <c r="AV277" s="13">
        <f t="shared" ca="1" si="852"/>
        <v>0</v>
      </c>
      <c r="AW277" s="210">
        <f t="shared" ca="1" si="853"/>
        <v>0</v>
      </c>
      <c r="AX277" s="210">
        <f t="shared" ca="1" si="854"/>
        <v>0</v>
      </c>
      <c r="AY277" s="210">
        <f t="shared" ca="1" si="855"/>
        <v>0</v>
      </c>
      <c r="AZ277" s="13">
        <f t="shared" ca="1" si="856"/>
        <v>0</v>
      </c>
      <c r="BA277" s="357">
        <f ca="1"/>
        <v>0</v>
      </c>
      <c r="BB277" s="925">
        <f ca="1"/>
        <v>0</v>
      </c>
      <c r="BC277" s="925">
        <f ca="1"/>
        <v>0</v>
      </c>
      <c r="BD277" s="928">
        <f ca="1"/>
        <v>0</v>
      </c>
      <c r="BE277" s="200">
        <f ca="1"/>
        <v>0</v>
      </c>
      <c r="BF277" s="851">
        <f ca="1"/>
        <v>0</v>
      </c>
      <c r="BG277" s="851">
        <f ca="1"/>
        <v>0</v>
      </c>
      <c r="BH277" s="933">
        <f ca="1"/>
        <v>0</v>
      </c>
      <c r="BI277" s="357">
        <f ca="1"/>
        <v>0</v>
      </c>
      <c r="BJ277" s="925">
        <f ca="1"/>
        <v>0</v>
      </c>
      <c r="BK277" s="925">
        <f ca="1"/>
        <v>0</v>
      </c>
      <c r="BL277" s="928">
        <f ca="1"/>
        <v>0</v>
      </c>
      <c r="BM277" s="200">
        <f ca="1"/>
        <v>0</v>
      </c>
      <c r="BN277" s="851">
        <f ca="1"/>
        <v>0</v>
      </c>
      <c r="BO277" s="851">
        <f ca="1"/>
        <v>0</v>
      </c>
      <c r="BP277" s="933">
        <f ca="1"/>
        <v>0</v>
      </c>
      <c r="BQ277" s="357">
        <f t="shared" ca="1" si="857"/>
        <v>0</v>
      </c>
      <c r="BR277" s="361">
        <f t="shared" ca="1" si="858"/>
        <v>0</v>
      </c>
      <c r="BS277" s="357">
        <f t="shared" ca="1" si="859"/>
        <v>0</v>
      </c>
      <c r="BT277" s="302">
        <f t="shared" ca="1" si="860"/>
        <v>0</v>
      </c>
      <c r="BU277" s="299">
        <f t="shared" ca="1" si="861"/>
        <v>0</v>
      </c>
      <c r="BV277" s="299">
        <f t="shared" ca="1" si="862"/>
        <v>0</v>
      </c>
      <c r="BW277" s="299">
        <f t="shared" ca="1" si="863"/>
        <v>0</v>
      </c>
      <c r="BX277" s="380">
        <f t="shared" ca="1" si="864"/>
        <v>21.749486652977414</v>
      </c>
      <c r="BY277" s="363">
        <f t="shared" ca="1" si="865"/>
        <v>0</v>
      </c>
      <c r="BZ277" s="353">
        <f t="shared" ca="1" si="866"/>
        <v>0</v>
      </c>
      <c r="CA277" s="353">
        <f t="shared" ca="1" si="867"/>
        <v>0</v>
      </c>
      <c r="CB277" s="353">
        <f t="shared" ca="1" si="868"/>
        <v>0</v>
      </c>
      <c r="CC277" s="353">
        <f t="shared" ca="1" si="869"/>
        <v>0</v>
      </c>
      <c r="CD277" s="353">
        <f t="shared" ca="1" si="870"/>
        <v>0</v>
      </c>
      <c r="CE277" s="302">
        <f t="shared" ca="1" si="871"/>
        <v>0</v>
      </c>
      <c r="CF277" s="299">
        <f t="shared" ca="1" si="872"/>
        <v>0</v>
      </c>
      <c r="CG277" s="299">
        <f t="shared" ca="1" si="873"/>
        <v>0</v>
      </c>
      <c r="CH277" s="299">
        <f t="shared" ca="1" si="874"/>
        <v>0</v>
      </c>
      <c r="CI277" s="299">
        <f t="shared" ca="1" si="875"/>
        <v>0</v>
      </c>
      <c r="CJ277" s="299">
        <f t="shared" ca="1" si="876"/>
        <v>0</v>
      </c>
      <c r="CK277" s="299">
        <f t="shared" ca="1" si="877"/>
        <v>0</v>
      </c>
      <c r="CL277" s="377" t="str">
        <f t="shared" ca="1" si="878"/>
        <v/>
      </c>
      <c r="CM277" s="305" t="str">
        <f t="shared" ca="1" si="879"/>
        <v/>
      </c>
      <c r="CN277" s="305" t="str">
        <f t="shared" ca="1" si="880"/>
        <v/>
      </c>
      <c r="CO277" s="305" t="str">
        <f t="shared" ca="1" si="881"/>
        <v/>
      </c>
      <c r="CP277" s="305" t="str">
        <f t="shared" ca="1" si="882"/>
        <v/>
      </c>
      <c r="CQ277" s="305" t="str">
        <f t="shared" ca="1" si="883"/>
        <v/>
      </c>
      <c r="CR277" s="775" t="str">
        <f t="shared" ca="1" si="884"/>
        <v/>
      </c>
      <c r="CS277" s="305" t="str">
        <f t="shared" ca="1" si="885"/>
        <v/>
      </c>
      <c r="CT277" s="305" t="str">
        <f t="shared" ca="1" si="886"/>
        <v/>
      </c>
      <c r="CU277" s="305" t="str">
        <f t="shared" ca="1" si="887"/>
        <v/>
      </c>
      <c r="CV277" s="770" t="str">
        <f t="shared" ca="1" si="888"/>
        <v/>
      </c>
      <c r="CW277" s="302">
        <f t="shared" ca="1" si="889"/>
        <v>0</v>
      </c>
      <c r="CX277" s="299">
        <f t="shared" ca="1" si="890"/>
        <v>0</v>
      </c>
      <c r="CY277" s="299">
        <f t="shared" ca="1" si="891"/>
        <v>0</v>
      </c>
      <c r="CZ277" s="299">
        <f t="shared" ca="1" si="892"/>
        <v>0</v>
      </c>
      <c r="DA277" s="774">
        <f t="shared" ca="1" si="893"/>
        <v>0</v>
      </c>
      <c r="DB277" s="303">
        <f t="shared" ca="1" si="894"/>
        <v>0</v>
      </c>
      <c r="DC277" s="248">
        <f t="shared" ca="1" si="895"/>
        <v>0</v>
      </c>
      <c r="DD277" s="778">
        <f t="shared" ca="1" si="896"/>
        <v>0</v>
      </c>
      <c r="DE277" s="363">
        <f t="shared" ca="1" si="897"/>
        <v>0</v>
      </c>
      <c r="DF277" s="378" t="str">
        <f t="shared" ca="1" si="898"/>
        <v/>
      </c>
      <c r="DG277" s="508" t="str">
        <f t="shared" ca="1" si="899"/>
        <v/>
      </c>
      <c r="DH277" s="508" t="str">
        <f t="shared" ca="1" si="900"/>
        <v/>
      </c>
      <c r="DI277" s="508" t="str">
        <f t="shared" ca="1" si="901"/>
        <v/>
      </c>
      <c r="DJ277" s="508" t="str">
        <f t="shared" ca="1" si="902"/>
        <v/>
      </c>
      <c r="DK277" s="353">
        <f t="shared" ca="1" si="903"/>
        <v>0</v>
      </c>
      <c r="DL277" s="781">
        <f t="shared" ca="1" si="904"/>
        <v>0</v>
      </c>
      <c r="DM277" s="303">
        <f t="shared" ca="1" si="905"/>
        <v>0</v>
      </c>
      <c r="DN277" s="508" t="str">
        <f t="shared" ca="1" si="906"/>
        <v/>
      </c>
      <c r="DO277" s="508" t="str">
        <f t="shared" ca="1" si="907"/>
        <v/>
      </c>
      <c r="DP277" s="508" t="str">
        <f t="shared" ca="1" si="908"/>
        <v/>
      </c>
      <c r="DQ277" s="508" t="str">
        <f t="shared" ca="1" si="909"/>
        <v/>
      </c>
      <c r="DR277" s="508" t="str">
        <f t="shared" ca="1" si="910"/>
        <v/>
      </c>
      <c r="DS277" s="353">
        <f t="shared" ca="1" si="911"/>
        <v>0</v>
      </c>
      <c r="DT277" s="353">
        <f t="shared" ca="1" si="912"/>
        <v>0</v>
      </c>
      <c r="DU277" s="380">
        <f t="shared" ca="1" si="1012"/>
        <v>21.749486652977414</v>
      </c>
      <c r="DV277" s="303">
        <f t="shared" ca="1" si="913"/>
        <v>0</v>
      </c>
      <c r="DW277" s="303">
        <f t="shared" ca="1" si="914"/>
        <v>0</v>
      </c>
      <c r="DX277" s="303">
        <f t="shared" ca="1" si="915"/>
        <v>0</v>
      </c>
      <c r="DY277" s="303">
        <f t="shared" ca="1" si="916"/>
        <v>0</v>
      </c>
      <c r="DZ277" s="303">
        <f t="shared" ca="1" si="917"/>
        <v>0</v>
      </c>
      <c r="EA277" s="303">
        <f t="shared" ca="1" si="918"/>
        <v>0</v>
      </c>
      <c r="EB277" s="302">
        <f t="shared" ca="1" si="919"/>
        <v>0</v>
      </c>
      <c r="EC277" s="299">
        <f t="shared" ca="1" si="920"/>
        <v>0</v>
      </c>
      <c r="ED277" s="299">
        <f t="shared" ca="1" si="921"/>
        <v>0</v>
      </c>
      <c r="EE277" s="299">
        <f t="shared" ca="1" si="922"/>
        <v>0</v>
      </c>
      <c r="EF277" s="299">
        <f t="shared" ca="1" si="923"/>
        <v>0</v>
      </c>
      <c r="EG277" s="299">
        <f t="shared" ca="1" si="924"/>
        <v>0</v>
      </c>
      <c r="EH277" s="302">
        <f t="shared" ca="1" si="925"/>
        <v>0</v>
      </c>
      <c r="EI277" s="304" t="str">
        <f t="shared" ca="1" si="926"/>
        <v/>
      </c>
      <c r="EJ277" s="305" t="str">
        <f t="shared" ca="1" si="927"/>
        <v/>
      </c>
      <c r="EK277" s="305" t="str">
        <f t="shared" ca="1" si="928"/>
        <v/>
      </c>
      <c r="EL277" s="305" t="str">
        <f t="shared" ca="1" si="929"/>
        <v/>
      </c>
      <c r="EM277" s="305" t="str">
        <f t="shared" ca="1" si="930"/>
        <v/>
      </c>
      <c r="EN277" s="305" t="str">
        <f t="shared" ca="1" si="931"/>
        <v/>
      </c>
      <c r="EO277" s="305" t="str">
        <f t="shared" ca="1" si="932"/>
        <v/>
      </c>
      <c r="EP277" s="305" t="str">
        <f t="shared" ca="1" si="933"/>
        <v/>
      </c>
      <c r="EQ277" s="305" t="str">
        <f t="shared" ca="1" si="934"/>
        <v/>
      </c>
      <c r="ER277" s="305" t="str">
        <f t="shared" ca="1" si="935"/>
        <v/>
      </c>
      <c r="ES277" s="305" t="str">
        <f t="shared" ca="1" si="936"/>
        <v/>
      </c>
      <c r="ET277" s="299">
        <f t="shared" ca="1" si="937"/>
        <v>0</v>
      </c>
      <c r="EU277" s="302">
        <f t="shared" ca="1" si="938"/>
        <v>0</v>
      </c>
      <c r="EV277" s="304" t="str">
        <f t="shared" ca="1" si="939"/>
        <v/>
      </c>
      <c r="EW277" s="305" t="str">
        <f t="shared" ca="1" si="940"/>
        <v/>
      </c>
      <c r="EX277" s="305" t="str">
        <f t="shared" ca="1" si="941"/>
        <v/>
      </c>
      <c r="EY277" s="305" t="str">
        <f t="shared" ca="1" si="942"/>
        <v/>
      </c>
      <c r="EZ277" s="305" t="str">
        <f t="shared" ca="1" si="943"/>
        <v/>
      </c>
      <c r="FA277" s="305" t="str">
        <f t="shared" ca="1" si="944"/>
        <v/>
      </c>
      <c r="FB277" s="305" t="str">
        <f t="shared" ca="1" si="945"/>
        <v/>
      </c>
      <c r="FC277" s="305" t="str">
        <f t="shared" ca="1" si="946"/>
        <v/>
      </c>
      <c r="FD277" s="305" t="str">
        <f t="shared" ca="1" si="947"/>
        <v/>
      </c>
      <c r="FE277" s="305" t="str">
        <f t="shared" ca="1" si="948"/>
        <v/>
      </c>
      <c r="FF277" s="305" t="str">
        <f t="shared" ca="1" si="949"/>
        <v/>
      </c>
      <c r="FG277" s="299">
        <f t="shared" ca="1" si="950"/>
        <v>0</v>
      </c>
      <c r="FH277" s="302">
        <f t="shared" ca="1" si="951"/>
        <v>0</v>
      </c>
      <c r="FI277" s="248">
        <f t="shared" ca="1" si="952"/>
        <v>0</v>
      </c>
      <c r="FJ277" s="363">
        <f t="shared" ca="1" si="953"/>
        <v>0</v>
      </c>
      <c r="FK277" s="378" t="str">
        <f t="shared" ca="1" si="954"/>
        <v/>
      </c>
      <c r="FL277" s="508" t="str">
        <f t="shared" ca="1" si="955"/>
        <v/>
      </c>
      <c r="FM277" s="508" t="str">
        <f t="shared" ca="1" si="956"/>
        <v/>
      </c>
      <c r="FN277" s="508" t="str">
        <f t="shared" ca="1" si="957"/>
        <v/>
      </c>
      <c r="FO277" s="508" t="str">
        <f t="shared" ca="1" si="958"/>
        <v/>
      </c>
      <c r="FP277" s="353">
        <f t="shared" ca="1" si="959"/>
        <v>0</v>
      </c>
      <c r="FQ277" s="356">
        <f t="shared" ca="1" si="960"/>
        <v>0</v>
      </c>
      <c r="FR277" s="380">
        <f t="shared" ca="1" si="961"/>
        <v>0</v>
      </c>
      <c r="FS277" s="299">
        <f t="shared" ca="1" si="962"/>
        <v>0</v>
      </c>
      <c r="FT277" s="299">
        <f t="shared" ca="1" si="963"/>
        <v>0</v>
      </c>
      <c r="FU277" s="299">
        <f t="shared" ca="1" si="964"/>
        <v>0</v>
      </c>
      <c r="FV277" s="299">
        <f t="shared" ca="1" si="965"/>
        <v>0</v>
      </c>
      <c r="FW277" s="850" t="str">
        <f t="shared" ca="1" si="966"/>
        <v/>
      </c>
      <c r="FX277" s="851" t="str">
        <f t="shared" ca="1" si="967"/>
        <v/>
      </c>
      <c r="FY277" s="851" t="str">
        <f t="shared" ca="1" si="968"/>
        <v/>
      </c>
      <c r="FZ277" s="201" t="str">
        <f t="shared" ca="1" si="969"/>
        <v/>
      </c>
      <c r="GA277" s="201" t="str">
        <f t="shared" ca="1" si="970"/>
        <v/>
      </c>
      <c r="GB277" s="201" t="str">
        <f t="shared" ca="1" si="971"/>
        <v/>
      </c>
      <c r="GC277" s="201" t="str">
        <f t="shared" ca="1" si="972"/>
        <v/>
      </c>
      <c r="GD277" s="850" t="str">
        <f t="shared" ca="1" si="973"/>
        <v/>
      </c>
      <c r="GE277" s="866" t="str">
        <f t="shared" ca="1" si="974"/>
        <v/>
      </c>
      <c r="GF277" s="866" t="str">
        <f t="shared" ca="1" si="975"/>
        <v/>
      </c>
      <c r="GG277" s="866" t="str">
        <f t="shared" ca="1" si="976"/>
        <v/>
      </c>
      <c r="GH277" s="866" t="str">
        <f t="shared" ca="1" si="977"/>
        <v/>
      </c>
      <c r="GI277" s="302">
        <f t="shared" ca="1" si="978"/>
        <v>0</v>
      </c>
      <c r="GJ277" s="299">
        <f t="shared" ca="1" si="979"/>
        <v>0</v>
      </c>
      <c r="GK277" s="299">
        <f t="shared" ca="1" si="980"/>
        <v>0</v>
      </c>
      <c r="GL277" s="299">
        <f t="shared" ca="1" si="981"/>
        <v>0</v>
      </c>
      <c r="GM277" s="299">
        <f t="shared" ca="1" si="982"/>
        <v>0</v>
      </c>
      <c r="GN277" s="302">
        <f t="shared" ca="1" si="983"/>
        <v>0</v>
      </c>
      <c r="GO277" s="299">
        <f t="shared" ca="1" si="984"/>
        <v>0</v>
      </c>
      <c r="GP277" s="299">
        <f t="shared" ca="1" si="985"/>
        <v>0</v>
      </c>
      <c r="GQ277" s="299">
        <f t="shared" ca="1" si="986"/>
        <v>0</v>
      </c>
      <c r="GR277" s="299">
        <f t="shared" ca="1" si="987"/>
        <v>0</v>
      </c>
      <c r="GS277" s="302">
        <f t="shared" ca="1" si="988"/>
        <v>0</v>
      </c>
      <c r="GT277" s="299">
        <f t="shared" ca="1" si="989"/>
        <v>0</v>
      </c>
      <c r="GU277" s="299">
        <f t="shared" ca="1" si="990"/>
        <v>0</v>
      </c>
      <c r="GV277" s="299">
        <f t="shared" ca="1" si="991"/>
        <v>0</v>
      </c>
      <c r="GW277" s="299">
        <f t="shared" ca="1" si="992"/>
        <v>0</v>
      </c>
      <c r="GX277" s="303">
        <f t="shared" ca="1" si="993"/>
        <v>0</v>
      </c>
      <c r="GY277" s="303">
        <f t="shared" ca="1" si="994"/>
        <v>0</v>
      </c>
      <c r="GZ277" s="303">
        <f t="shared" ca="1" si="995"/>
        <v>0</v>
      </c>
      <c r="HA277" s="303">
        <f t="shared" ca="1" si="996"/>
        <v>0</v>
      </c>
      <c r="HB277" s="303">
        <f t="shared" ca="1" si="997"/>
        <v>0</v>
      </c>
      <c r="HC277" s="303">
        <f t="shared" ca="1" si="998"/>
        <v>0</v>
      </c>
      <c r="HD277" s="303">
        <f t="shared" ca="1" si="999"/>
        <v>0</v>
      </c>
      <c r="HE277" s="303">
        <f t="shared" ca="1" si="1000"/>
        <v>0</v>
      </c>
      <c r="HF277" s="303">
        <f t="shared" ca="1" si="1001"/>
        <v>0</v>
      </c>
      <c r="HG277" s="852">
        <f t="shared" ca="1" si="1002"/>
        <v>0</v>
      </c>
    </row>
    <row r="278" spans="1:215" x14ac:dyDescent="0.25">
      <c r="A278" s="244">
        <f t="shared" ca="1" si="1003"/>
        <v>44562</v>
      </c>
      <c r="B278" s="13">
        <f t="shared" ca="1" si="831"/>
        <v>2022</v>
      </c>
      <c r="C278" s="619">
        <f t="shared" ca="1" si="832"/>
        <v>1</v>
      </c>
      <c r="D278" s="195">
        <f t="shared" ca="1" si="833"/>
        <v>44562</v>
      </c>
      <c r="E278" s="469" t="str">
        <f t="shared" ca="1" si="834"/>
        <v/>
      </c>
      <c r="F278" s="465" t="str">
        <f t="shared" ca="1" si="835"/>
        <v/>
      </c>
      <c r="G278" s="522">
        <f t="shared" ca="1" si="1004"/>
        <v>1</v>
      </c>
      <c r="H278" s="519">
        <f t="shared" ca="1" si="1005"/>
        <v>1</v>
      </c>
      <c r="I278" s="724">
        <f t="shared" ca="1" si="836"/>
        <v>7.3970631597140998E-2</v>
      </c>
      <c r="J278" s="198">
        <f t="shared" ca="1" si="837"/>
        <v>0.20272726098282709</v>
      </c>
      <c r="K278" s="200" t="e">
        <f t="shared" ca="1" si="1013"/>
        <v>#N/A</v>
      </c>
      <c r="L278" s="201" t="e">
        <f t="shared" ca="1" si="1014"/>
        <v>#N/A</v>
      </c>
      <c r="M278" s="206" t="e">
        <f t="shared" ca="1" si="1015"/>
        <v>#N/A</v>
      </c>
      <c r="N278" s="851" t="e">
        <f t="shared" ca="1" si="1019"/>
        <v>#N/A</v>
      </c>
      <c r="O278" s="201" t="e">
        <f t="shared" ca="1" si="1020"/>
        <v>#N/A</v>
      </c>
      <c r="P278" s="206" t="e">
        <f t="shared" ca="1" si="1021"/>
        <v>#N/A</v>
      </c>
      <c r="Q278" s="201" t="e">
        <f t="shared" ca="1" si="1022"/>
        <v>#N/A</v>
      </c>
      <c r="R278" s="201" t="e">
        <f t="shared" ca="1" si="1023"/>
        <v>#N/A</v>
      </c>
      <c r="S278" s="201" t="e">
        <f t="shared" ca="1" si="1024"/>
        <v>#N/A</v>
      </c>
      <c r="T278" s="851" t="e">
        <f t="shared" ca="1" si="1016"/>
        <v>#N/A</v>
      </c>
      <c r="U278" s="201" t="e">
        <f t="shared" ca="1" si="1017"/>
        <v>#N/A</v>
      </c>
      <c r="V278" s="206" t="e">
        <f t="shared" ca="1" si="1018"/>
        <v>#N/A</v>
      </c>
      <c r="W278" s="230" t="e">
        <f t="shared" ca="1" si="1006"/>
        <v>#N/A</v>
      </c>
      <c r="X278" s="231" t="e">
        <f t="shared" ca="1" si="1007"/>
        <v>#N/A</v>
      </c>
      <c r="Y278" s="232" t="e">
        <f t="shared" ca="1" si="1008"/>
        <v>#N/A</v>
      </c>
      <c r="Z278" s="231" t="e">
        <f t="shared" ca="1" si="820"/>
        <v>#N/A</v>
      </c>
      <c r="AA278" s="231" t="e">
        <f t="shared" ca="1" si="821"/>
        <v>#N/A</v>
      </c>
      <c r="AB278" s="232" t="e">
        <f t="shared" ca="1" si="822"/>
        <v>#N/A</v>
      </c>
      <c r="AC278" s="231" t="e">
        <f t="shared" ca="1" si="823"/>
        <v>#N/A</v>
      </c>
      <c r="AD278" s="231" t="e">
        <f t="shared" ca="1" si="824"/>
        <v>#N/A</v>
      </c>
      <c r="AE278" s="232" t="e">
        <f t="shared" ca="1" si="838"/>
        <v>#N/A</v>
      </c>
      <c r="AF278" s="231" t="e">
        <f t="shared" ca="1" si="1009"/>
        <v>#N/A</v>
      </c>
      <c r="AG278" s="231" t="e">
        <f t="shared" ca="1" si="1010"/>
        <v>#N/A</v>
      </c>
      <c r="AH278" s="232" t="e">
        <f t="shared" ca="1" si="1011"/>
        <v>#N/A</v>
      </c>
      <c r="AI278" s="233" t="e">
        <f t="shared" ca="1" si="839"/>
        <v>#N/A</v>
      </c>
      <c r="AJ278" s="233" t="e">
        <f t="shared" ca="1" si="840"/>
        <v>#N/A</v>
      </c>
      <c r="AK278" s="234" t="e">
        <f t="shared" ca="1" si="841"/>
        <v>#N/A</v>
      </c>
      <c r="AL278" s="919" t="e">
        <f t="shared" ca="1" si="842"/>
        <v>#N/A</v>
      </c>
      <c r="AM278" s="233" t="e">
        <f t="shared" ca="1" si="843"/>
        <v>#N/A</v>
      </c>
      <c r="AN278" s="234" t="e">
        <f t="shared" ca="1" si="844"/>
        <v>#N/A</v>
      </c>
      <c r="AO278" s="233" t="e">
        <f t="shared" ca="1" si="845"/>
        <v>#N/A</v>
      </c>
      <c r="AP278" s="233" t="e">
        <f t="shared" ca="1" si="846"/>
        <v>#N/A</v>
      </c>
      <c r="AQ278" s="233" t="e">
        <f t="shared" ca="1" si="847"/>
        <v>#N/A</v>
      </c>
      <c r="AR278" s="919" t="e">
        <f t="shared" ca="1" si="848"/>
        <v>#N/A</v>
      </c>
      <c r="AS278" s="233" t="e">
        <f t="shared" ca="1" si="849"/>
        <v>#N/A</v>
      </c>
      <c r="AT278" s="235" t="e">
        <f t="shared" ca="1" si="850"/>
        <v>#N/A</v>
      </c>
      <c r="AU278" s="946">
        <f t="shared" si="851"/>
        <v>0.5</v>
      </c>
      <c r="AV278" s="13">
        <f t="shared" ca="1" si="852"/>
        <v>0</v>
      </c>
      <c r="AW278" s="210">
        <f t="shared" ca="1" si="853"/>
        <v>0</v>
      </c>
      <c r="AX278" s="210">
        <f t="shared" ca="1" si="854"/>
        <v>0</v>
      </c>
      <c r="AY278" s="210">
        <f t="shared" ca="1" si="855"/>
        <v>0</v>
      </c>
      <c r="AZ278" s="13">
        <f t="shared" ca="1" si="856"/>
        <v>0</v>
      </c>
      <c r="BA278" s="357">
        <f ca="1"/>
        <v>0</v>
      </c>
      <c r="BB278" s="925">
        <f ca="1"/>
        <v>0</v>
      </c>
      <c r="BC278" s="925">
        <f ca="1"/>
        <v>0</v>
      </c>
      <c r="BD278" s="928">
        <f ca="1"/>
        <v>0</v>
      </c>
      <c r="BE278" s="200">
        <f ca="1"/>
        <v>0</v>
      </c>
      <c r="BF278" s="851">
        <f ca="1"/>
        <v>0</v>
      </c>
      <c r="BG278" s="851">
        <f ca="1"/>
        <v>0</v>
      </c>
      <c r="BH278" s="933">
        <f ca="1"/>
        <v>0</v>
      </c>
      <c r="BI278" s="357">
        <f ca="1"/>
        <v>0</v>
      </c>
      <c r="BJ278" s="925">
        <f ca="1"/>
        <v>0</v>
      </c>
      <c r="BK278" s="925">
        <f ca="1"/>
        <v>0</v>
      </c>
      <c r="BL278" s="928">
        <f ca="1"/>
        <v>0</v>
      </c>
      <c r="BM278" s="200">
        <f ca="1"/>
        <v>0</v>
      </c>
      <c r="BN278" s="851">
        <f ca="1"/>
        <v>0</v>
      </c>
      <c r="BO278" s="851">
        <f ca="1"/>
        <v>0</v>
      </c>
      <c r="BP278" s="933">
        <f ca="1"/>
        <v>0</v>
      </c>
      <c r="BQ278" s="357">
        <f t="shared" ca="1" si="857"/>
        <v>0</v>
      </c>
      <c r="BR278" s="361">
        <f t="shared" ca="1" si="858"/>
        <v>0</v>
      </c>
      <c r="BS278" s="357">
        <f t="shared" ca="1" si="859"/>
        <v>0</v>
      </c>
      <c r="BT278" s="302">
        <f t="shared" ca="1" si="860"/>
        <v>0</v>
      </c>
      <c r="BU278" s="299">
        <f t="shared" ca="1" si="861"/>
        <v>0</v>
      </c>
      <c r="BV278" s="299">
        <f t="shared" ca="1" si="862"/>
        <v>0</v>
      </c>
      <c r="BW278" s="299">
        <f t="shared" ca="1" si="863"/>
        <v>0</v>
      </c>
      <c r="BX278" s="380">
        <f t="shared" ca="1" si="864"/>
        <v>21.834360027378509</v>
      </c>
      <c r="BY278" s="363">
        <f t="shared" ca="1" si="865"/>
        <v>0</v>
      </c>
      <c r="BZ278" s="353">
        <f t="shared" ca="1" si="866"/>
        <v>0</v>
      </c>
      <c r="CA278" s="353">
        <f t="shared" ca="1" si="867"/>
        <v>0</v>
      </c>
      <c r="CB278" s="353">
        <f t="shared" ca="1" si="868"/>
        <v>0</v>
      </c>
      <c r="CC278" s="353">
        <f t="shared" ca="1" si="869"/>
        <v>0</v>
      </c>
      <c r="CD278" s="353">
        <f t="shared" ca="1" si="870"/>
        <v>0</v>
      </c>
      <c r="CE278" s="302">
        <f t="shared" ca="1" si="871"/>
        <v>0</v>
      </c>
      <c r="CF278" s="299">
        <f t="shared" ca="1" si="872"/>
        <v>0</v>
      </c>
      <c r="CG278" s="299">
        <f t="shared" ca="1" si="873"/>
        <v>0</v>
      </c>
      <c r="CH278" s="299">
        <f t="shared" ca="1" si="874"/>
        <v>0</v>
      </c>
      <c r="CI278" s="299">
        <f t="shared" ca="1" si="875"/>
        <v>0</v>
      </c>
      <c r="CJ278" s="299">
        <f t="shared" ca="1" si="876"/>
        <v>0</v>
      </c>
      <c r="CK278" s="299">
        <f t="shared" ca="1" si="877"/>
        <v>0</v>
      </c>
      <c r="CL278" s="377" t="str">
        <f t="shared" ca="1" si="878"/>
        <v/>
      </c>
      <c r="CM278" s="305" t="str">
        <f t="shared" ca="1" si="879"/>
        <v/>
      </c>
      <c r="CN278" s="305" t="str">
        <f t="shared" ca="1" si="880"/>
        <v/>
      </c>
      <c r="CO278" s="305" t="str">
        <f t="shared" ca="1" si="881"/>
        <v/>
      </c>
      <c r="CP278" s="305" t="str">
        <f t="shared" ca="1" si="882"/>
        <v/>
      </c>
      <c r="CQ278" s="305" t="str">
        <f t="shared" ca="1" si="883"/>
        <v/>
      </c>
      <c r="CR278" s="775" t="str">
        <f t="shared" ca="1" si="884"/>
        <v/>
      </c>
      <c r="CS278" s="305" t="str">
        <f t="shared" ca="1" si="885"/>
        <v/>
      </c>
      <c r="CT278" s="305" t="str">
        <f t="shared" ca="1" si="886"/>
        <v/>
      </c>
      <c r="CU278" s="305" t="str">
        <f t="shared" ca="1" si="887"/>
        <v/>
      </c>
      <c r="CV278" s="770" t="str">
        <f t="shared" ca="1" si="888"/>
        <v/>
      </c>
      <c r="CW278" s="302">
        <f t="shared" ca="1" si="889"/>
        <v>0</v>
      </c>
      <c r="CX278" s="299">
        <f t="shared" ca="1" si="890"/>
        <v>0</v>
      </c>
      <c r="CY278" s="299">
        <f t="shared" ca="1" si="891"/>
        <v>0</v>
      </c>
      <c r="CZ278" s="299">
        <f t="shared" ca="1" si="892"/>
        <v>0</v>
      </c>
      <c r="DA278" s="774">
        <f t="shared" ca="1" si="893"/>
        <v>0</v>
      </c>
      <c r="DB278" s="303">
        <f t="shared" ca="1" si="894"/>
        <v>0</v>
      </c>
      <c r="DC278" s="248">
        <f t="shared" ca="1" si="895"/>
        <v>0</v>
      </c>
      <c r="DD278" s="778">
        <f t="shared" ca="1" si="896"/>
        <v>0</v>
      </c>
      <c r="DE278" s="363">
        <f t="shared" ca="1" si="897"/>
        <v>0</v>
      </c>
      <c r="DF278" s="378" t="str">
        <f t="shared" ca="1" si="898"/>
        <v/>
      </c>
      <c r="DG278" s="508" t="str">
        <f t="shared" ca="1" si="899"/>
        <v/>
      </c>
      <c r="DH278" s="508" t="str">
        <f t="shared" ca="1" si="900"/>
        <v/>
      </c>
      <c r="DI278" s="508" t="str">
        <f t="shared" ca="1" si="901"/>
        <v/>
      </c>
      <c r="DJ278" s="508" t="str">
        <f t="shared" ca="1" si="902"/>
        <v/>
      </c>
      <c r="DK278" s="353">
        <f t="shared" ca="1" si="903"/>
        <v>0</v>
      </c>
      <c r="DL278" s="781">
        <f t="shared" ca="1" si="904"/>
        <v>0</v>
      </c>
      <c r="DM278" s="303">
        <f t="shared" ca="1" si="905"/>
        <v>0</v>
      </c>
      <c r="DN278" s="508" t="str">
        <f t="shared" ca="1" si="906"/>
        <v/>
      </c>
      <c r="DO278" s="508" t="str">
        <f t="shared" ca="1" si="907"/>
        <v/>
      </c>
      <c r="DP278" s="508" t="str">
        <f t="shared" ca="1" si="908"/>
        <v/>
      </c>
      <c r="DQ278" s="508" t="str">
        <f t="shared" ca="1" si="909"/>
        <v/>
      </c>
      <c r="DR278" s="508" t="str">
        <f t="shared" ca="1" si="910"/>
        <v/>
      </c>
      <c r="DS278" s="353">
        <f t="shared" ca="1" si="911"/>
        <v>0</v>
      </c>
      <c r="DT278" s="353">
        <f t="shared" ca="1" si="912"/>
        <v>0</v>
      </c>
      <c r="DU278" s="380">
        <f t="shared" ca="1" si="1012"/>
        <v>21.834360027378509</v>
      </c>
      <c r="DV278" s="303">
        <f t="shared" ca="1" si="913"/>
        <v>0</v>
      </c>
      <c r="DW278" s="303">
        <f t="shared" ca="1" si="914"/>
        <v>0</v>
      </c>
      <c r="DX278" s="303">
        <f t="shared" ca="1" si="915"/>
        <v>0</v>
      </c>
      <c r="DY278" s="303">
        <f t="shared" ca="1" si="916"/>
        <v>0</v>
      </c>
      <c r="DZ278" s="303">
        <f t="shared" ca="1" si="917"/>
        <v>0</v>
      </c>
      <c r="EA278" s="303">
        <f t="shared" ca="1" si="918"/>
        <v>0</v>
      </c>
      <c r="EB278" s="302">
        <f t="shared" ca="1" si="919"/>
        <v>0</v>
      </c>
      <c r="EC278" s="299">
        <f t="shared" ca="1" si="920"/>
        <v>0</v>
      </c>
      <c r="ED278" s="299">
        <f t="shared" ca="1" si="921"/>
        <v>0</v>
      </c>
      <c r="EE278" s="299">
        <f t="shared" ca="1" si="922"/>
        <v>0</v>
      </c>
      <c r="EF278" s="299">
        <f t="shared" ca="1" si="923"/>
        <v>0</v>
      </c>
      <c r="EG278" s="299">
        <f t="shared" ca="1" si="924"/>
        <v>0</v>
      </c>
      <c r="EH278" s="302">
        <f t="shared" ca="1" si="925"/>
        <v>0</v>
      </c>
      <c r="EI278" s="304" t="str">
        <f t="shared" ca="1" si="926"/>
        <v/>
      </c>
      <c r="EJ278" s="305" t="str">
        <f t="shared" ca="1" si="927"/>
        <v/>
      </c>
      <c r="EK278" s="305" t="str">
        <f t="shared" ca="1" si="928"/>
        <v/>
      </c>
      <c r="EL278" s="305" t="str">
        <f t="shared" ca="1" si="929"/>
        <v/>
      </c>
      <c r="EM278" s="305" t="str">
        <f t="shared" ca="1" si="930"/>
        <v/>
      </c>
      <c r="EN278" s="305" t="str">
        <f t="shared" ca="1" si="931"/>
        <v/>
      </c>
      <c r="EO278" s="305" t="str">
        <f t="shared" ca="1" si="932"/>
        <v/>
      </c>
      <c r="EP278" s="305" t="str">
        <f t="shared" ca="1" si="933"/>
        <v/>
      </c>
      <c r="EQ278" s="305" t="str">
        <f t="shared" ca="1" si="934"/>
        <v/>
      </c>
      <c r="ER278" s="305" t="str">
        <f t="shared" ca="1" si="935"/>
        <v/>
      </c>
      <c r="ES278" s="305" t="str">
        <f t="shared" ca="1" si="936"/>
        <v/>
      </c>
      <c r="ET278" s="299">
        <f t="shared" ca="1" si="937"/>
        <v>0</v>
      </c>
      <c r="EU278" s="302">
        <f t="shared" ca="1" si="938"/>
        <v>0</v>
      </c>
      <c r="EV278" s="304" t="str">
        <f t="shared" ca="1" si="939"/>
        <v/>
      </c>
      <c r="EW278" s="305" t="str">
        <f t="shared" ca="1" si="940"/>
        <v/>
      </c>
      <c r="EX278" s="305" t="str">
        <f t="shared" ca="1" si="941"/>
        <v/>
      </c>
      <c r="EY278" s="305" t="str">
        <f t="shared" ca="1" si="942"/>
        <v/>
      </c>
      <c r="EZ278" s="305" t="str">
        <f t="shared" ca="1" si="943"/>
        <v/>
      </c>
      <c r="FA278" s="305" t="str">
        <f t="shared" ca="1" si="944"/>
        <v/>
      </c>
      <c r="FB278" s="305" t="str">
        <f t="shared" ca="1" si="945"/>
        <v/>
      </c>
      <c r="FC278" s="305" t="str">
        <f t="shared" ca="1" si="946"/>
        <v/>
      </c>
      <c r="FD278" s="305" t="str">
        <f t="shared" ca="1" si="947"/>
        <v/>
      </c>
      <c r="FE278" s="305" t="str">
        <f t="shared" ca="1" si="948"/>
        <v/>
      </c>
      <c r="FF278" s="305" t="str">
        <f t="shared" ca="1" si="949"/>
        <v/>
      </c>
      <c r="FG278" s="299">
        <f t="shared" ca="1" si="950"/>
        <v>0</v>
      </c>
      <c r="FH278" s="302">
        <f t="shared" ca="1" si="951"/>
        <v>0</v>
      </c>
      <c r="FI278" s="248">
        <f t="shared" ca="1" si="952"/>
        <v>0</v>
      </c>
      <c r="FJ278" s="363">
        <f t="shared" ca="1" si="953"/>
        <v>0</v>
      </c>
      <c r="FK278" s="378" t="str">
        <f t="shared" ca="1" si="954"/>
        <v/>
      </c>
      <c r="FL278" s="508" t="str">
        <f t="shared" ca="1" si="955"/>
        <v/>
      </c>
      <c r="FM278" s="508" t="str">
        <f t="shared" ca="1" si="956"/>
        <v/>
      </c>
      <c r="FN278" s="508" t="str">
        <f t="shared" ca="1" si="957"/>
        <v/>
      </c>
      <c r="FO278" s="508" t="str">
        <f t="shared" ca="1" si="958"/>
        <v/>
      </c>
      <c r="FP278" s="353">
        <f t="shared" ca="1" si="959"/>
        <v>0</v>
      </c>
      <c r="FQ278" s="356">
        <f t="shared" ca="1" si="960"/>
        <v>0</v>
      </c>
      <c r="FR278" s="380">
        <f t="shared" ca="1" si="961"/>
        <v>0</v>
      </c>
      <c r="FS278" s="299">
        <f t="shared" ca="1" si="962"/>
        <v>0</v>
      </c>
      <c r="FT278" s="299">
        <f t="shared" ca="1" si="963"/>
        <v>0</v>
      </c>
      <c r="FU278" s="299">
        <f t="shared" ca="1" si="964"/>
        <v>0</v>
      </c>
      <c r="FV278" s="299">
        <f t="shared" ca="1" si="965"/>
        <v>0</v>
      </c>
      <c r="FW278" s="850" t="str">
        <f t="shared" ca="1" si="966"/>
        <v/>
      </c>
      <c r="FX278" s="851" t="str">
        <f t="shared" ca="1" si="967"/>
        <v/>
      </c>
      <c r="FY278" s="851" t="str">
        <f t="shared" ca="1" si="968"/>
        <v/>
      </c>
      <c r="FZ278" s="201" t="str">
        <f t="shared" ca="1" si="969"/>
        <v/>
      </c>
      <c r="GA278" s="201" t="str">
        <f t="shared" ca="1" si="970"/>
        <v/>
      </c>
      <c r="GB278" s="201" t="str">
        <f t="shared" ca="1" si="971"/>
        <v/>
      </c>
      <c r="GC278" s="201" t="str">
        <f t="shared" ca="1" si="972"/>
        <v/>
      </c>
      <c r="GD278" s="850" t="str">
        <f t="shared" ca="1" si="973"/>
        <v/>
      </c>
      <c r="GE278" s="866" t="str">
        <f t="shared" ca="1" si="974"/>
        <v/>
      </c>
      <c r="GF278" s="866" t="str">
        <f t="shared" ca="1" si="975"/>
        <v/>
      </c>
      <c r="GG278" s="866" t="str">
        <f t="shared" ca="1" si="976"/>
        <v/>
      </c>
      <c r="GH278" s="866" t="str">
        <f t="shared" ca="1" si="977"/>
        <v/>
      </c>
      <c r="GI278" s="302">
        <f t="shared" ca="1" si="978"/>
        <v>0</v>
      </c>
      <c r="GJ278" s="299">
        <f t="shared" ca="1" si="979"/>
        <v>0</v>
      </c>
      <c r="GK278" s="299">
        <f t="shared" ca="1" si="980"/>
        <v>0</v>
      </c>
      <c r="GL278" s="299">
        <f t="shared" ca="1" si="981"/>
        <v>0</v>
      </c>
      <c r="GM278" s="299">
        <f t="shared" ca="1" si="982"/>
        <v>0</v>
      </c>
      <c r="GN278" s="302">
        <f t="shared" ca="1" si="983"/>
        <v>0</v>
      </c>
      <c r="GO278" s="299">
        <f t="shared" ca="1" si="984"/>
        <v>0</v>
      </c>
      <c r="GP278" s="299">
        <f t="shared" ca="1" si="985"/>
        <v>0</v>
      </c>
      <c r="GQ278" s="299">
        <f t="shared" ca="1" si="986"/>
        <v>0</v>
      </c>
      <c r="GR278" s="299">
        <f t="shared" ca="1" si="987"/>
        <v>0</v>
      </c>
      <c r="GS278" s="302">
        <f t="shared" ca="1" si="988"/>
        <v>0</v>
      </c>
      <c r="GT278" s="299">
        <f t="shared" ca="1" si="989"/>
        <v>0</v>
      </c>
      <c r="GU278" s="299">
        <f t="shared" ca="1" si="990"/>
        <v>0</v>
      </c>
      <c r="GV278" s="299">
        <f t="shared" ca="1" si="991"/>
        <v>0</v>
      </c>
      <c r="GW278" s="299">
        <f t="shared" ca="1" si="992"/>
        <v>0</v>
      </c>
      <c r="GX278" s="303">
        <f t="shared" ca="1" si="993"/>
        <v>0</v>
      </c>
      <c r="GY278" s="303">
        <f t="shared" ca="1" si="994"/>
        <v>0</v>
      </c>
      <c r="GZ278" s="303">
        <f t="shared" ca="1" si="995"/>
        <v>0</v>
      </c>
      <c r="HA278" s="303">
        <f t="shared" ca="1" si="996"/>
        <v>0</v>
      </c>
      <c r="HB278" s="303">
        <f t="shared" ca="1" si="997"/>
        <v>0</v>
      </c>
      <c r="HC278" s="303">
        <f t="shared" ca="1" si="998"/>
        <v>0</v>
      </c>
      <c r="HD278" s="303">
        <f t="shared" ca="1" si="999"/>
        <v>0</v>
      </c>
      <c r="HE278" s="303">
        <f t="shared" ca="1" si="1000"/>
        <v>0</v>
      </c>
      <c r="HF278" s="303">
        <f t="shared" ca="1" si="1001"/>
        <v>0</v>
      </c>
      <c r="HG278" s="852">
        <f t="shared" ca="1" si="1002"/>
        <v>0</v>
      </c>
    </row>
    <row r="279" spans="1:215" x14ac:dyDescent="0.25">
      <c r="A279" s="244">
        <f t="shared" ca="1" si="1003"/>
        <v>44593</v>
      </c>
      <c r="B279" s="13">
        <f t="shared" ca="1" si="831"/>
        <v>2022</v>
      </c>
      <c r="C279" s="619">
        <f t="shared" ca="1" si="832"/>
        <v>2</v>
      </c>
      <c r="D279" s="195" t="str">
        <f t="shared" ca="1" si="833"/>
        <v/>
      </c>
      <c r="E279" s="469" t="str">
        <f t="shared" ca="1" si="834"/>
        <v/>
      </c>
      <c r="F279" s="465" t="str">
        <f t="shared" ca="1" si="835"/>
        <v/>
      </c>
      <c r="G279" s="522">
        <f t="shared" ca="1" si="1004"/>
        <v>1</v>
      </c>
      <c r="H279" s="519">
        <f t="shared" ca="1" si="1005"/>
        <v>1</v>
      </c>
      <c r="I279" s="724">
        <f t="shared" ca="1" si="836"/>
        <v>7.3961396301572002E-2</v>
      </c>
      <c r="J279" s="198">
        <f t="shared" ca="1" si="837"/>
        <v>0.2016411562519409</v>
      </c>
      <c r="K279" s="200" t="e">
        <f t="shared" ca="1" si="1013"/>
        <v>#N/A</v>
      </c>
      <c r="L279" s="201" t="e">
        <f t="shared" ca="1" si="1014"/>
        <v>#N/A</v>
      </c>
      <c r="M279" s="206" t="e">
        <f t="shared" ca="1" si="1015"/>
        <v>#N/A</v>
      </c>
      <c r="N279" s="851" t="e">
        <f t="shared" ca="1" si="1019"/>
        <v>#N/A</v>
      </c>
      <c r="O279" s="201" t="e">
        <f t="shared" ca="1" si="1020"/>
        <v>#N/A</v>
      </c>
      <c r="P279" s="206" t="e">
        <f t="shared" ca="1" si="1021"/>
        <v>#N/A</v>
      </c>
      <c r="Q279" s="201" t="e">
        <f t="shared" ca="1" si="1022"/>
        <v>#N/A</v>
      </c>
      <c r="R279" s="201" t="e">
        <f t="shared" ca="1" si="1023"/>
        <v>#N/A</v>
      </c>
      <c r="S279" s="201" t="e">
        <f t="shared" ca="1" si="1024"/>
        <v>#N/A</v>
      </c>
      <c r="T279" s="851" t="e">
        <f t="shared" ca="1" si="1016"/>
        <v>#N/A</v>
      </c>
      <c r="U279" s="201" t="e">
        <f t="shared" ca="1" si="1017"/>
        <v>#N/A</v>
      </c>
      <c r="V279" s="206" t="e">
        <f t="shared" ca="1" si="1018"/>
        <v>#N/A</v>
      </c>
      <c r="W279" s="230" t="e">
        <f t="shared" ca="1" si="1006"/>
        <v>#N/A</v>
      </c>
      <c r="X279" s="231" t="e">
        <f t="shared" ca="1" si="1007"/>
        <v>#N/A</v>
      </c>
      <c r="Y279" s="232" t="e">
        <f t="shared" ca="1" si="1008"/>
        <v>#N/A</v>
      </c>
      <c r="Z279" s="231" t="e">
        <f t="shared" ca="1" si="820"/>
        <v>#N/A</v>
      </c>
      <c r="AA279" s="231" t="e">
        <f t="shared" ca="1" si="821"/>
        <v>#N/A</v>
      </c>
      <c r="AB279" s="232" t="e">
        <f t="shared" ca="1" si="822"/>
        <v>#N/A</v>
      </c>
      <c r="AC279" s="231" t="e">
        <f t="shared" ca="1" si="823"/>
        <v>#N/A</v>
      </c>
      <c r="AD279" s="231" t="e">
        <f t="shared" ca="1" si="824"/>
        <v>#N/A</v>
      </c>
      <c r="AE279" s="232" t="e">
        <f t="shared" ca="1" si="838"/>
        <v>#N/A</v>
      </c>
      <c r="AF279" s="231" t="e">
        <f t="shared" ca="1" si="1009"/>
        <v>#N/A</v>
      </c>
      <c r="AG279" s="231" t="e">
        <f t="shared" ca="1" si="1010"/>
        <v>#N/A</v>
      </c>
      <c r="AH279" s="232" t="e">
        <f t="shared" ca="1" si="1011"/>
        <v>#N/A</v>
      </c>
      <c r="AI279" s="233" t="e">
        <f t="shared" ca="1" si="839"/>
        <v>#N/A</v>
      </c>
      <c r="AJ279" s="233" t="e">
        <f t="shared" ca="1" si="840"/>
        <v>#N/A</v>
      </c>
      <c r="AK279" s="234" t="e">
        <f t="shared" ca="1" si="841"/>
        <v>#N/A</v>
      </c>
      <c r="AL279" s="919" t="e">
        <f t="shared" ca="1" si="842"/>
        <v>#N/A</v>
      </c>
      <c r="AM279" s="233" t="e">
        <f t="shared" ca="1" si="843"/>
        <v>#N/A</v>
      </c>
      <c r="AN279" s="234" t="e">
        <f t="shared" ca="1" si="844"/>
        <v>#N/A</v>
      </c>
      <c r="AO279" s="233" t="e">
        <f t="shared" ca="1" si="845"/>
        <v>#N/A</v>
      </c>
      <c r="AP279" s="233" t="e">
        <f t="shared" ca="1" si="846"/>
        <v>#N/A</v>
      </c>
      <c r="AQ279" s="233" t="e">
        <f t="shared" ca="1" si="847"/>
        <v>#N/A</v>
      </c>
      <c r="AR279" s="919" t="e">
        <f t="shared" ca="1" si="848"/>
        <v>#N/A</v>
      </c>
      <c r="AS279" s="233" t="e">
        <f t="shared" ca="1" si="849"/>
        <v>#N/A</v>
      </c>
      <c r="AT279" s="235" t="e">
        <f t="shared" ca="1" si="850"/>
        <v>#N/A</v>
      </c>
      <c r="AU279" s="946">
        <f t="shared" si="851"/>
        <v>0.5</v>
      </c>
      <c r="AV279" s="13">
        <f t="shared" ca="1" si="852"/>
        <v>0</v>
      </c>
      <c r="AW279" s="210">
        <f t="shared" ca="1" si="853"/>
        <v>0</v>
      </c>
      <c r="AX279" s="210">
        <f t="shared" ca="1" si="854"/>
        <v>0</v>
      </c>
      <c r="AY279" s="210">
        <f t="shared" ca="1" si="855"/>
        <v>0</v>
      </c>
      <c r="AZ279" s="13">
        <f t="shared" ca="1" si="856"/>
        <v>0</v>
      </c>
      <c r="BA279" s="357">
        <f ca="1"/>
        <v>0</v>
      </c>
      <c r="BB279" s="925">
        <f ca="1"/>
        <v>0</v>
      </c>
      <c r="BC279" s="925">
        <f ca="1"/>
        <v>0</v>
      </c>
      <c r="BD279" s="928">
        <f ca="1"/>
        <v>0</v>
      </c>
      <c r="BE279" s="200">
        <f ca="1"/>
        <v>0</v>
      </c>
      <c r="BF279" s="851">
        <f ca="1"/>
        <v>0</v>
      </c>
      <c r="BG279" s="851">
        <f ca="1"/>
        <v>0</v>
      </c>
      <c r="BH279" s="933">
        <f ca="1"/>
        <v>0</v>
      </c>
      <c r="BI279" s="357">
        <f ca="1"/>
        <v>0</v>
      </c>
      <c r="BJ279" s="925">
        <f ca="1"/>
        <v>0</v>
      </c>
      <c r="BK279" s="925">
        <f ca="1"/>
        <v>0</v>
      </c>
      <c r="BL279" s="928">
        <f ca="1"/>
        <v>0</v>
      </c>
      <c r="BM279" s="200">
        <f ca="1"/>
        <v>0</v>
      </c>
      <c r="BN279" s="851">
        <f ca="1"/>
        <v>0</v>
      </c>
      <c r="BO279" s="851">
        <f ca="1"/>
        <v>0</v>
      </c>
      <c r="BP279" s="933">
        <f ca="1"/>
        <v>0</v>
      </c>
      <c r="BQ279" s="357">
        <f t="shared" ca="1" si="857"/>
        <v>0</v>
      </c>
      <c r="BR279" s="361">
        <f t="shared" ca="1" si="858"/>
        <v>0</v>
      </c>
      <c r="BS279" s="357">
        <f t="shared" ca="1" si="859"/>
        <v>0</v>
      </c>
      <c r="BT279" s="302">
        <f t="shared" ca="1" si="860"/>
        <v>0</v>
      </c>
      <c r="BU279" s="299">
        <f t="shared" ca="1" si="861"/>
        <v>0</v>
      </c>
      <c r="BV279" s="299">
        <f t="shared" ca="1" si="862"/>
        <v>0</v>
      </c>
      <c r="BW279" s="299">
        <f t="shared" ca="1" si="863"/>
        <v>0</v>
      </c>
      <c r="BX279" s="380">
        <f t="shared" ca="1" si="864"/>
        <v>21.919233401779604</v>
      </c>
      <c r="BY279" s="363">
        <f t="shared" ca="1" si="865"/>
        <v>0</v>
      </c>
      <c r="BZ279" s="353">
        <f t="shared" ca="1" si="866"/>
        <v>0</v>
      </c>
      <c r="CA279" s="353">
        <f t="shared" ca="1" si="867"/>
        <v>0</v>
      </c>
      <c r="CB279" s="353">
        <f t="shared" ca="1" si="868"/>
        <v>0</v>
      </c>
      <c r="CC279" s="353">
        <f t="shared" ca="1" si="869"/>
        <v>0</v>
      </c>
      <c r="CD279" s="353">
        <f t="shared" ca="1" si="870"/>
        <v>0</v>
      </c>
      <c r="CE279" s="302">
        <f t="shared" ca="1" si="871"/>
        <v>0</v>
      </c>
      <c r="CF279" s="299">
        <f t="shared" ca="1" si="872"/>
        <v>0</v>
      </c>
      <c r="CG279" s="299">
        <f t="shared" ca="1" si="873"/>
        <v>0</v>
      </c>
      <c r="CH279" s="299">
        <f t="shared" ca="1" si="874"/>
        <v>0</v>
      </c>
      <c r="CI279" s="299">
        <f t="shared" ca="1" si="875"/>
        <v>0</v>
      </c>
      <c r="CJ279" s="299">
        <f t="shared" ca="1" si="876"/>
        <v>0</v>
      </c>
      <c r="CK279" s="299">
        <f t="shared" ca="1" si="877"/>
        <v>0</v>
      </c>
      <c r="CL279" s="377" t="str">
        <f t="shared" ca="1" si="878"/>
        <v/>
      </c>
      <c r="CM279" s="305" t="str">
        <f t="shared" ca="1" si="879"/>
        <v/>
      </c>
      <c r="CN279" s="305" t="str">
        <f t="shared" ca="1" si="880"/>
        <v/>
      </c>
      <c r="CO279" s="305" t="str">
        <f t="shared" ca="1" si="881"/>
        <v/>
      </c>
      <c r="CP279" s="305" t="str">
        <f t="shared" ca="1" si="882"/>
        <v/>
      </c>
      <c r="CQ279" s="305" t="str">
        <f t="shared" ca="1" si="883"/>
        <v/>
      </c>
      <c r="CR279" s="775" t="str">
        <f t="shared" ca="1" si="884"/>
        <v/>
      </c>
      <c r="CS279" s="305" t="str">
        <f t="shared" ca="1" si="885"/>
        <v/>
      </c>
      <c r="CT279" s="305" t="str">
        <f t="shared" ca="1" si="886"/>
        <v/>
      </c>
      <c r="CU279" s="305" t="str">
        <f t="shared" ca="1" si="887"/>
        <v/>
      </c>
      <c r="CV279" s="770" t="str">
        <f t="shared" ca="1" si="888"/>
        <v/>
      </c>
      <c r="CW279" s="302">
        <f t="shared" ca="1" si="889"/>
        <v>0</v>
      </c>
      <c r="CX279" s="299">
        <f t="shared" ca="1" si="890"/>
        <v>0</v>
      </c>
      <c r="CY279" s="299">
        <f t="shared" ca="1" si="891"/>
        <v>0</v>
      </c>
      <c r="CZ279" s="299">
        <f t="shared" ca="1" si="892"/>
        <v>0</v>
      </c>
      <c r="DA279" s="774">
        <f t="shared" ca="1" si="893"/>
        <v>0</v>
      </c>
      <c r="DB279" s="303">
        <f t="shared" ca="1" si="894"/>
        <v>0</v>
      </c>
      <c r="DC279" s="248">
        <f t="shared" ca="1" si="895"/>
        <v>0</v>
      </c>
      <c r="DD279" s="778">
        <f t="shared" ca="1" si="896"/>
        <v>0</v>
      </c>
      <c r="DE279" s="363">
        <f t="shared" ca="1" si="897"/>
        <v>0</v>
      </c>
      <c r="DF279" s="378" t="str">
        <f t="shared" ca="1" si="898"/>
        <v/>
      </c>
      <c r="DG279" s="508" t="str">
        <f t="shared" ca="1" si="899"/>
        <v/>
      </c>
      <c r="DH279" s="508" t="str">
        <f t="shared" ca="1" si="900"/>
        <v/>
      </c>
      <c r="DI279" s="508" t="str">
        <f t="shared" ca="1" si="901"/>
        <v/>
      </c>
      <c r="DJ279" s="508" t="str">
        <f t="shared" ca="1" si="902"/>
        <v/>
      </c>
      <c r="DK279" s="353">
        <f t="shared" ca="1" si="903"/>
        <v>0</v>
      </c>
      <c r="DL279" s="781">
        <f t="shared" ca="1" si="904"/>
        <v>0</v>
      </c>
      <c r="DM279" s="303">
        <f t="shared" ca="1" si="905"/>
        <v>0</v>
      </c>
      <c r="DN279" s="508" t="str">
        <f t="shared" ca="1" si="906"/>
        <v/>
      </c>
      <c r="DO279" s="508" t="str">
        <f t="shared" ca="1" si="907"/>
        <v/>
      </c>
      <c r="DP279" s="508" t="str">
        <f t="shared" ca="1" si="908"/>
        <v/>
      </c>
      <c r="DQ279" s="508" t="str">
        <f t="shared" ca="1" si="909"/>
        <v/>
      </c>
      <c r="DR279" s="508" t="str">
        <f t="shared" ca="1" si="910"/>
        <v/>
      </c>
      <c r="DS279" s="353">
        <f t="shared" ca="1" si="911"/>
        <v>0</v>
      </c>
      <c r="DT279" s="353">
        <f t="shared" ca="1" si="912"/>
        <v>0</v>
      </c>
      <c r="DU279" s="380">
        <f t="shared" ca="1" si="1012"/>
        <v>21.919233401779604</v>
      </c>
      <c r="DV279" s="303">
        <f t="shared" ca="1" si="913"/>
        <v>0</v>
      </c>
      <c r="DW279" s="303">
        <f t="shared" ca="1" si="914"/>
        <v>0</v>
      </c>
      <c r="DX279" s="303">
        <f t="shared" ca="1" si="915"/>
        <v>0</v>
      </c>
      <c r="DY279" s="303">
        <f t="shared" ca="1" si="916"/>
        <v>0</v>
      </c>
      <c r="DZ279" s="303">
        <f t="shared" ca="1" si="917"/>
        <v>0</v>
      </c>
      <c r="EA279" s="303">
        <f t="shared" ca="1" si="918"/>
        <v>0</v>
      </c>
      <c r="EB279" s="302">
        <f t="shared" ca="1" si="919"/>
        <v>0</v>
      </c>
      <c r="EC279" s="299">
        <f t="shared" ca="1" si="920"/>
        <v>0</v>
      </c>
      <c r="ED279" s="299">
        <f t="shared" ca="1" si="921"/>
        <v>0</v>
      </c>
      <c r="EE279" s="299">
        <f t="shared" ca="1" si="922"/>
        <v>0</v>
      </c>
      <c r="EF279" s="299">
        <f t="shared" ca="1" si="923"/>
        <v>0</v>
      </c>
      <c r="EG279" s="299">
        <f t="shared" ca="1" si="924"/>
        <v>0</v>
      </c>
      <c r="EH279" s="302">
        <f t="shared" ca="1" si="925"/>
        <v>0</v>
      </c>
      <c r="EI279" s="304" t="str">
        <f t="shared" ca="1" si="926"/>
        <v/>
      </c>
      <c r="EJ279" s="305" t="str">
        <f t="shared" ca="1" si="927"/>
        <v/>
      </c>
      <c r="EK279" s="305" t="str">
        <f t="shared" ca="1" si="928"/>
        <v/>
      </c>
      <c r="EL279" s="305" t="str">
        <f t="shared" ca="1" si="929"/>
        <v/>
      </c>
      <c r="EM279" s="305" t="str">
        <f t="shared" ca="1" si="930"/>
        <v/>
      </c>
      <c r="EN279" s="305" t="str">
        <f t="shared" ca="1" si="931"/>
        <v/>
      </c>
      <c r="EO279" s="305" t="str">
        <f t="shared" ca="1" si="932"/>
        <v/>
      </c>
      <c r="EP279" s="305" t="str">
        <f t="shared" ca="1" si="933"/>
        <v/>
      </c>
      <c r="EQ279" s="305" t="str">
        <f t="shared" ca="1" si="934"/>
        <v/>
      </c>
      <c r="ER279" s="305" t="str">
        <f t="shared" ca="1" si="935"/>
        <v/>
      </c>
      <c r="ES279" s="305" t="str">
        <f t="shared" ca="1" si="936"/>
        <v/>
      </c>
      <c r="ET279" s="299">
        <f t="shared" ca="1" si="937"/>
        <v>0</v>
      </c>
      <c r="EU279" s="302">
        <f t="shared" ca="1" si="938"/>
        <v>0</v>
      </c>
      <c r="EV279" s="304" t="str">
        <f t="shared" ca="1" si="939"/>
        <v/>
      </c>
      <c r="EW279" s="305" t="str">
        <f t="shared" ca="1" si="940"/>
        <v/>
      </c>
      <c r="EX279" s="305" t="str">
        <f t="shared" ca="1" si="941"/>
        <v/>
      </c>
      <c r="EY279" s="305" t="str">
        <f t="shared" ca="1" si="942"/>
        <v/>
      </c>
      <c r="EZ279" s="305" t="str">
        <f t="shared" ca="1" si="943"/>
        <v/>
      </c>
      <c r="FA279" s="305" t="str">
        <f t="shared" ca="1" si="944"/>
        <v/>
      </c>
      <c r="FB279" s="305" t="str">
        <f t="shared" ca="1" si="945"/>
        <v/>
      </c>
      <c r="FC279" s="305" t="str">
        <f t="shared" ca="1" si="946"/>
        <v/>
      </c>
      <c r="FD279" s="305" t="str">
        <f t="shared" ca="1" si="947"/>
        <v/>
      </c>
      <c r="FE279" s="305" t="str">
        <f t="shared" ca="1" si="948"/>
        <v/>
      </c>
      <c r="FF279" s="305" t="str">
        <f t="shared" ca="1" si="949"/>
        <v/>
      </c>
      <c r="FG279" s="299">
        <f t="shared" ca="1" si="950"/>
        <v>0</v>
      </c>
      <c r="FH279" s="302">
        <f t="shared" ca="1" si="951"/>
        <v>0</v>
      </c>
      <c r="FI279" s="248">
        <f t="shared" ca="1" si="952"/>
        <v>0</v>
      </c>
      <c r="FJ279" s="363">
        <f t="shared" ca="1" si="953"/>
        <v>0</v>
      </c>
      <c r="FK279" s="378" t="str">
        <f t="shared" ca="1" si="954"/>
        <v/>
      </c>
      <c r="FL279" s="508" t="str">
        <f t="shared" ca="1" si="955"/>
        <v/>
      </c>
      <c r="FM279" s="508" t="str">
        <f t="shared" ca="1" si="956"/>
        <v/>
      </c>
      <c r="FN279" s="508" t="str">
        <f t="shared" ca="1" si="957"/>
        <v/>
      </c>
      <c r="FO279" s="508" t="str">
        <f t="shared" ca="1" si="958"/>
        <v/>
      </c>
      <c r="FP279" s="353">
        <f t="shared" ca="1" si="959"/>
        <v>0</v>
      </c>
      <c r="FQ279" s="356">
        <f t="shared" ca="1" si="960"/>
        <v>0</v>
      </c>
      <c r="FR279" s="380">
        <f t="shared" ca="1" si="961"/>
        <v>0</v>
      </c>
      <c r="FS279" s="299">
        <f t="shared" ca="1" si="962"/>
        <v>0</v>
      </c>
      <c r="FT279" s="299">
        <f t="shared" ca="1" si="963"/>
        <v>0</v>
      </c>
      <c r="FU279" s="299">
        <f t="shared" ca="1" si="964"/>
        <v>0</v>
      </c>
      <c r="FV279" s="299">
        <f t="shared" ca="1" si="965"/>
        <v>0</v>
      </c>
      <c r="FW279" s="850" t="str">
        <f t="shared" ca="1" si="966"/>
        <v/>
      </c>
      <c r="FX279" s="851" t="str">
        <f t="shared" ca="1" si="967"/>
        <v/>
      </c>
      <c r="FY279" s="851" t="str">
        <f t="shared" ca="1" si="968"/>
        <v/>
      </c>
      <c r="FZ279" s="201" t="str">
        <f t="shared" ca="1" si="969"/>
        <v/>
      </c>
      <c r="GA279" s="201" t="str">
        <f t="shared" ca="1" si="970"/>
        <v/>
      </c>
      <c r="GB279" s="201" t="str">
        <f t="shared" ca="1" si="971"/>
        <v/>
      </c>
      <c r="GC279" s="201" t="str">
        <f t="shared" ca="1" si="972"/>
        <v/>
      </c>
      <c r="GD279" s="850" t="str">
        <f t="shared" ca="1" si="973"/>
        <v/>
      </c>
      <c r="GE279" s="866" t="str">
        <f t="shared" ca="1" si="974"/>
        <v/>
      </c>
      <c r="GF279" s="866" t="str">
        <f t="shared" ca="1" si="975"/>
        <v/>
      </c>
      <c r="GG279" s="866" t="str">
        <f t="shared" ca="1" si="976"/>
        <v/>
      </c>
      <c r="GH279" s="866" t="str">
        <f t="shared" ca="1" si="977"/>
        <v/>
      </c>
      <c r="GI279" s="302">
        <f t="shared" ca="1" si="978"/>
        <v>0</v>
      </c>
      <c r="GJ279" s="299">
        <f t="shared" ca="1" si="979"/>
        <v>0</v>
      </c>
      <c r="GK279" s="299">
        <f t="shared" ca="1" si="980"/>
        <v>0</v>
      </c>
      <c r="GL279" s="299">
        <f t="shared" ca="1" si="981"/>
        <v>0</v>
      </c>
      <c r="GM279" s="299">
        <f t="shared" ca="1" si="982"/>
        <v>0</v>
      </c>
      <c r="GN279" s="302">
        <f t="shared" ca="1" si="983"/>
        <v>0</v>
      </c>
      <c r="GO279" s="299">
        <f t="shared" ca="1" si="984"/>
        <v>0</v>
      </c>
      <c r="GP279" s="299">
        <f t="shared" ca="1" si="985"/>
        <v>0</v>
      </c>
      <c r="GQ279" s="299">
        <f t="shared" ca="1" si="986"/>
        <v>0</v>
      </c>
      <c r="GR279" s="299">
        <f t="shared" ca="1" si="987"/>
        <v>0</v>
      </c>
      <c r="GS279" s="302">
        <f t="shared" ca="1" si="988"/>
        <v>0</v>
      </c>
      <c r="GT279" s="299">
        <f t="shared" ca="1" si="989"/>
        <v>0</v>
      </c>
      <c r="GU279" s="299">
        <f t="shared" ca="1" si="990"/>
        <v>0</v>
      </c>
      <c r="GV279" s="299">
        <f t="shared" ca="1" si="991"/>
        <v>0</v>
      </c>
      <c r="GW279" s="299">
        <f t="shared" ca="1" si="992"/>
        <v>0</v>
      </c>
      <c r="GX279" s="303">
        <f t="shared" ca="1" si="993"/>
        <v>0</v>
      </c>
      <c r="GY279" s="303">
        <f t="shared" ca="1" si="994"/>
        <v>0</v>
      </c>
      <c r="GZ279" s="303">
        <f t="shared" ca="1" si="995"/>
        <v>0</v>
      </c>
      <c r="HA279" s="303">
        <f t="shared" ca="1" si="996"/>
        <v>0</v>
      </c>
      <c r="HB279" s="303">
        <f t="shared" ca="1" si="997"/>
        <v>0</v>
      </c>
      <c r="HC279" s="303">
        <f t="shared" ca="1" si="998"/>
        <v>0</v>
      </c>
      <c r="HD279" s="303">
        <f t="shared" ca="1" si="999"/>
        <v>0</v>
      </c>
      <c r="HE279" s="303">
        <f t="shared" ca="1" si="1000"/>
        <v>0</v>
      </c>
      <c r="HF279" s="303">
        <f t="shared" ca="1" si="1001"/>
        <v>0</v>
      </c>
      <c r="HG279" s="852">
        <f t="shared" ca="1" si="1002"/>
        <v>0</v>
      </c>
    </row>
    <row r="280" spans="1:215" x14ac:dyDescent="0.25">
      <c r="A280" s="244">
        <f t="shared" ca="1" si="1003"/>
        <v>44621</v>
      </c>
      <c r="B280" s="13">
        <f t="shared" ca="1" si="831"/>
        <v>2022</v>
      </c>
      <c r="C280" s="619">
        <f t="shared" ca="1" si="832"/>
        <v>3</v>
      </c>
      <c r="D280" s="195" t="str">
        <f t="shared" ca="1" si="833"/>
        <v/>
      </c>
      <c r="E280" s="469" t="str">
        <f t="shared" ca="1" si="834"/>
        <v/>
      </c>
      <c r="F280" s="465" t="str">
        <f t="shared" ca="1" si="835"/>
        <v/>
      </c>
      <c r="G280" s="522">
        <f t="shared" ca="1" si="1004"/>
        <v>1</v>
      </c>
      <c r="H280" s="519">
        <f t="shared" ca="1" si="1005"/>
        <v>1</v>
      </c>
      <c r="I280" s="724">
        <f t="shared" ca="1" si="836"/>
        <v>7.3953054744308008E-2</v>
      </c>
      <c r="J280" s="198">
        <f t="shared" ca="1" si="837"/>
        <v>0.20043773189832878</v>
      </c>
      <c r="K280" s="200" t="e">
        <f t="shared" ca="1" si="1013"/>
        <v>#N/A</v>
      </c>
      <c r="L280" s="201" t="e">
        <f t="shared" ca="1" si="1014"/>
        <v>#N/A</v>
      </c>
      <c r="M280" s="206" t="e">
        <f t="shared" ca="1" si="1015"/>
        <v>#N/A</v>
      </c>
      <c r="N280" s="851" t="e">
        <f t="shared" ca="1" si="1019"/>
        <v>#N/A</v>
      </c>
      <c r="O280" s="201" t="e">
        <f t="shared" ca="1" si="1020"/>
        <v>#N/A</v>
      </c>
      <c r="P280" s="206" t="e">
        <f t="shared" ca="1" si="1021"/>
        <v>#N/A</v>
      </c>
      <c r="Q280" s="201" t="e">
        <f t="shared" ca="1" si="1022"/>
        <v>#N/A</v>
      </c>
      <c r="R280" s="201" t="e">
        <f t="shared" ca="1" si="1023"/>
        <v>#N/A</v>
      </c>
      <c r="S280" s="201" t="e">
        <f t="shared" ca="1" si="1024"/>
        <v>#N/A</v>
      </c>
      <c r="T280" s="851" t="e">
        <f t="shared" ca="1" si="1016"/>
        <v>#N/A</v>
      </c>
      <c r="U280" s="201" t="e">
        <f t="shared" ca="1" si="1017"/>
        <v>#N/A</v>
      </c>
      <c r="V280" s="206" t="e">
        <f t="shared" ca="1" si="1018"/>
        <v>#N/A</v>
      </c>
      <c r="W280" s="230" t="e">
        <f t="shared" ca="1" si="1006"/>
        <v>#N/A</v>
      </c>
      <c r="X280" s="231" t="e">
        <f t="shared" ca="1" si="1007"/>
        <v>#N/A</v>
      </c>
      <c r="Y280" s="232" t="e">
        <f t="shared" ca="1" si="1008"/>
        <v>#N/A</v>
      </c>
      <c r="Z280" s="231" t="e">
        <f t="shared" ca="1" si="820"/>
        <v>#N/A</v>
      </c>
      <c r="AA280" s="231" t="e">
        <f t="shared" ca="1" si="821"/>
        <v>#N/A</v>
      </c>
      <c r="AB280" s="232" t="e">
        <f t="shared" ca="1" si="822"/>
        <v>#N/A</v>
      </c>
      <c r="AC280" s="231" t="e">
        <f t="shared" ca="1" si="823"/>
        <v>#N/A</v>
      </c>
      <c r="AD280" s="231" t="e">
        <f t="shared" ca="1" si="824"/>
        <v>#N/A</v>
      </c>
      <c r="AE280" s="232" t="e">
        <f t="shared" ca="1" si="838"/>
        <v>#N/A</v>
      </c>
      <c r="AF280" s="231" t="e">
        <f t="shared" ca="1" si="1009"/>
        <v>#N/A</v>
      </c>
      <c r="AG280" s="231" t="e">
        <f t="shared" ca="1" si="1010"/>
        <v>#N/A</v>
      </c>
      <c r="AH280" s="232" t="e">
        <f t="shared" ca="1" si="1011"/>
        <v>#N/A</v>
      </c>
      <c r="AI280" s="233" t="e">
        <f t="shared" ca="1" si="839"/>
        <v>#N/A</v>
      </c>
      <c r="AJ280" s="233" t="e">
        <f t="shared" ca="1" si="840"/>
        <v>#N/A</v>
      </c>
      <c r="AK280" s="234" t="e">
        <f t="shared" ca="1" si="841"/>
        <v>#N/A</v>
      </c>
      <c r="AL280" s="919" t="e">
        <f t="shared" ca="1" si="842"/>
        <v>#N/A</v>
      </c>
      <c r="AM280" s="233" t="e">
        <f t="shared" ca="1" si="843"/>
        <v>#N/A</v>
      </c>
      <c r="AN280" s="234" t="e">
        <f t="shared" ca="1" si="844"/>
        <v>#N/A</v>
      </c>
      <c r="AO280" s="233" t="e">
        <f t="shared" ca="1" si="845"/>
        <v>#N/A</v>
      </c>
      <c r="AP280" s="233" t="e">
        <f t="shared" ca="1" si="846"/>
        <v>#N/A</v>
      </c>
      <c r="AQ280" s="233" t="e">
        <f t="shared" ca="1" si="847"/>
        <v>#N/A</v>
      </c>
      <c r="AR280" s="919" t="e">
        <f t="shared" ca="1" si="848"/>
        <v>#N/A</v>
      </c>
      <c r="AS280" s="233" t="e">
        <f t="shared" ca="1" si="849"/>
        <v>#N/A</v>
      </c>
      <c r="AT280" s="235" t="e">
        <f t="shared" ca="1" si="850"/>
        <v>#N/A</v>
      </c>
      <c r="AU280" s="946">
        <f t="shared" si="851"/>
        <v>0.5</v>
      </c>
      <c r="AV280" s="13">
        <f t="shared" ca="1" si="852"/>
        <v>0</v>
      </c>
      <c r="AW280" s="210">
        <f t="shared" ca="1" si="853"/>
        <v>0</v>
      </c>
      <c r="AX280" s="210">
        <f t="shared" ca="1" si="854"/>
        <v>0</v>
      </c>
      <c r="AY280" s="210">
        <f t="shared" ca="1" si="855"/>
        <v>0</v>
      </c>
      <c r="AZ280" s="13">
        <f t="shared" ca="1" si="856"/>
        <v>0</v>
      </c>
      <c r="BA280" s="357">
        <f ca="1"/>
        <v>0</v>
      </c>
      <c r="BB280" s="925">
        <f ca="1"/>
        <v>0</v>
      </c>
      <c r="BC280" s="925">
        <f ca="1"/>
        <v>0</v>
      </c>
      <c r="BD280" s="928">
        <f ca="1"/>
        <v>0</v>
      </c>
      <c r="BE280" s="200">
        <f ca="1"/>
        <v>0</v>
      </c>
      <c r="BF280" s="851">
        <f ca="1"/>
        <v>0</v>
      </c>
      <c r="BG280" s="851">
        <f ca="1"/>
        <v>0</v>
      </c>
      <c r="BH280" s="933">
        <f ca="1"/>
        <v>0</v>
      </c>
      <c r="BI280" s="357">
        <f ca="1"/>
        <v>0</v>
      </c>
      <c r="BJ280" s="925">
        <f ca="1"/>
        <v>0</v>
      </c>
      <c r="BK280" s="925">
        <f ca="1"/>
        <v>0</v>
      </c>
      <c r="BL280" s="928">
        <f ca="1"/>
        <v>0</v>
      </c>
      <c r="BM280" s="200">
        <f ca="1"/>
        <v>0</v>
      </c>
      <c r="BN280" s="851">
        <f ca="1"/>
        <v>0</v>
      </c>
      <c r="BO280" s="851">
        <f ca="1"/>
        <v>0</v>
      </c>
      <c r="BP280" s="933">
        <f ca="1"/>
        <v>0</v>
      </c>
      <c r="BQ280" s="357">
        <f t="shared" ca="1" si="857"/>
        <v>0</v>
      </c>
      <c r="BR280" s="361">
        <f t="shared" ca="1" si="858"/>
        <v>0</v>
      </c>
      <c r="BS280" s="357">
        <f t="shared" ca="1" si="859"/>
        <v>0</v>
      </c>
      <c r="BT280" s="302">
        <f t="shared" ca="1" si="860"/>
        <v>0</v>
      </c>
      <c r="BU280" s="299">
        <f t="shared" ca="1" si="861"/>
        <v>0</v>
      </c>
      <c r="BV280" s="299">
        <f t="shared" ca="1" si="862"/>
        <v>0</v>
      </c>
      <c r="BW280" s="299">
        <f t="shared" ca="1" si="863"/>
        <v>0</v>
      </c>
      <c r="BX280" s="380">
        <f t="shared" ca="1" si="864"/>
        <v>21.995893223819301</v>
      </c>
      <c r="BY280" s="363">
        <f t="shared" ca="1" si="865"/>
        <v>0</v>
      </c>
      <c r="BZ280" s="353">
        <f t="shared" ca="1" si="866"/>
        <v>0</v>
      </c>
      <c r="CA280" s="353">
        <f t="shared" ca="1" si="867"/>
        <v>0</v>
      </c>
      <c r="CB280" s="353">
        <f t="shared" ca="1" si="868"/>
        <v>0</v>
      </c>
      <c r="CC280" s="353">
        <f t="shared" ca="1" si="869"/>
        <v>0</v>
      </c>
      <c r="CD280" s="353">
        <f t="shared" ca="1" si="870"/>
        <v>0</v>
      </c>
      <c r="CE280" s="302">
        <f t="shared" ca="1" si="871"/>
        <v>0</v>
      </c>
      <c r="CF280" s="299">
        <f t="shared" ca="1" si="872"/>
        <v>0</v>
      </c>
      <c r="CG280" s="299">
        <f t="shared" ca="1" si="873"/>
        <v>0</v>
      </c>
      <c r="CH280" s="299">
        <f t="shared" ca="1" si="874"/>
        <v>0</v>
      </c>
      <c r="CI280" s="299">
        <f t="shared" ca="1" si="875"/>
        <v>0</v>
      </c>
      <c r="CJ280" s="299">
        <f t="shared" ca="1" si="876"/>
        <v>0</v>
      </c>
      <c r="CK280" s="299">
        <f t="shared" ca="1" si="877"/>
        <v>0</v>
      </c>
      <c r="CL280" s="377" t="str">
        <f t="shared" ca="1" si="878"/>
        <v/>
      </c>
      <c r="CM280" s="305" t="str">
        <f t="shared" ca="1" si="879"/>
        <v/>
      </c>
      <c r="CN280" s="305" t="str">
        <f t="shared" ca="1" si="880"/>
        <v/>
      </c>
      <c r="CO280" s="305" t="str">
        <f t="shared" ca="1" si="881"/>
        <v/>
      </c>
      <c r="CP280" s="305" t="str">
        <f t="shared" ca="1" si="882"/>
        <v/>
      </c>
      <c r="CQ280" s="305" t="str">
        <f t="shared" ca="1" si="883"/>
        <v/>
      </c>
      <c r="CR280" s="775" t="str">
        <f t="shared" ca="1" si="884"/>
        <v/>
      </c>
      <c r="CS280" s="305" t="str">
        <f t="shared" ca="1" si="885"/>
        <v/>
      </c>
      <c r="CT280" s="305" t="str">
        <f t="shared" ca="1" si="886"/>
        <v/>
      </c>
      <c r="CU280" s="305" t="str">
        <f t="shared" ca="1" si="887"/>
        <v/>
      </c>
      <c r="CV280" s="770" t="str">
        <f t="shared" ca="1" si="888"/>
        <v/>
      </c>
      <c r="CW280" s="302">
        <f t="shared" ca="1" si="889"/>
        <v>0</v>
      </c>
      <c r="CX280" s="299">
        <f t="shared" ca="1" si="890"/>
        <v>0</v>
      </c>
      <c r="CY280" s="299">
        <f t="shared" ca="1" si="891"/>
        <v>0</v>
      </c>
      <c r="CZ280" s="299">
        <f t="shared" ca="1" si="892"/>
        <v>0</v>
      </c>
      <c r="DA280" s="774">
        <f t="shared" ca="1" si="893"/>
        <v>0</v>
      </c>
      <c r="DB280" s="303">
        <f t="shared" ca="1" si="894"/>
        <v>0</v>
      </c>
      <c r="DC280" s="248">
        <f t="shared" ca="1" si="895"/>
        <v>0</v>
      </c>
      <c r="DD280" s="778">
        <f t="shared" ca="1" si="896"/>
        <v>0</v>
      </c>
      <c r="DE280" s="363">
        <f t="shared" ca="1" si="897"/>
        <v>0</v>
      </c>
      <c r="DF280" s="378" t="str">
        <f t="shared" ca="1" si="898"/>
        <v/>
      </c>
      <c r="DG280" s="508" t="str">
        <f t="shared" ca="1" si="899"/>
        <v/>
      </c>
      <c r="DH280" s="508" t="str">
        <f t="shared" ca="1" si="900"/>
        <v/>
      </c>
      <c r="DI280" s="508" t="str">
        <f t="shared" ca="1" si="901"/>
        <v/>
      </c>
      <c r="DJ280" s="508" t="str">
        <f t="shared" ca="1" si="902"/>
        <v/>
      </c>
      <c r="DK280" s="353">
        <f t="shared" ca="1" si="903"/>
        <v>0</v>
      </c>
      <c r="DL280" s="781">
        <f t="shared" ca="1" si="904"/>
        <v>0</v>
      </c>
      <c r="DM280" s="303">
        <f t="shared" ca="1" si="905"/>
        <v>0</v>
      </c>
      <c r="DN280" s="508" t="str">
        <f t="shared" ca="1" si="906"/>
        <v/>
      </c>
      <c r="DO280" s="508" t="str">
        <f t="shared" ca="1" si="907"/>
        <v/>
      </c>
      <c r="DP280" s="508" t="str">
        <f t="shared" ca="1" si="908"/>
        <v/>
      </c>
      <c r="DQ280" s="508" t="str">
        <f t="shared" ca="1" si="909"/>
        <v/>
      </c>
      <c r="DR280" s="508" t="str">
        <f t="shared" ca="1" si="910"/>
        <v/>
      </c>
      <c r="DS280" s="353">
        <f t="shared" ca="1" si="911"/>
        <v>0</v>
      </c>
      <c r="DT280" s="353">
        <f t="shared" ca="1" si="912"/>
        <v>0</v>
      </c>
      <c r="DU280" s="380">
        <f t="shared" ca="1" si="1012"/>
        <v>21.995893223819301</v>
      </c>
      <c r="DV280" s="303">
        <f t="shared" ca="1" si="913"/>
        <v>0</v>
      </c>
      <c r="DW280" s="303">
        <f t="shared" ca="1" si="914"/>
        <v>0</v>
      </c>
      <c r="DX280" s="303">
        <f t="shared" ca="1" si="915"/>
        <v>0</v>
      </c>
      <c r="DY280" s="303">
        <f t="shared" ca="1" si="916"/>
        <v>0</v>
      </c>
      <c r="DZ280" s="303">
        <f t="shared" ca="1" si="917"/>
        <v>0</v>
      </c>
      <c r="EA280" s="303">
        <f t="shared" ca="1" si="918"/>
        <v>0</v>
      </c>
      <c r="EB280" s="302">
        <f t="shared" ca="1" si="919"/>
        <v>0</v>
      </c>
      <c r="EC280" s="299">
        <f t="shared" ca="1" si="920"/>
        <v>0</v>
      </c>
      <c r="ED280" s="299">
        <f t="shared" ca="1" si="921"/>
        <v>0</v>
      </c>
      <c r="EE280" s="299">
        <f t="shared" ca="1" si="922"/>
        <v>0</v>
      </c>
      <c r="EF280" s="299">
        <f t="shared" ca="1" si="923"/>
        <v>0</v>
      </c>
      <c r="EG280" s="299">
        <f t="shared" ca="1" si="924"/>
        <v>0</v>
      </c>
      <c r="EH280" s="302">
        <f t="shared" ca="1" si="925"/>
        <v>0</v>
      </c>
      <c r="EI280" s="304" t="str">
        <f t="shared" ca="1" si="926"/>
        <v/>
      </c>
      <c r="EJ280" s="305" t="str">
        <f t="shared" ca="1" si="927"/>
        <v/>
      </c>
      <c r="EK280" s="305" t="str">
        <f t="shared" ca="1" si="928"/>
        <v/>
      </c>
      <c r="EL280" s="305" t="str">
        <f t="shared" ca="1" si="929"/>
        <v/>
      </c>
      <c r="EM280" s="305" t="str">
        <f t="shared" ca="1" si="930"/>
        <v/>
      </c>
      <c r="EN280" s="305" t="str">
        <f t="shared" ca="1" si="931"/>
        <v/>
      </c>
      <c r="EO280" s="305" t="str">
        <f t="shared" ca="1" si="932"/>
        <v/>
      </c>
      <c r="EP280" s="305" t="str">
        <f t="shared" ca="1" si="933"/>
        <v/>
      </c>
      <c r="EQ280" s="305" t="str">
        <f t="shared" ca="1" si="934"/>
        <v/>
      </c>
      <c r="ER280" s="305" t="str">
        <f t="shared" ca="1" si="935"/>
        <v/>
      </c>
      <c r="ES280" s="305" t="str">
        <f t="shared" ca="1" si="936"/>
        <v/>
      </c>
      <c r="ET280" s="299">
        <f t="shared" ca="1" si="937"/>
        <v>0</v>
      </c>
      <c r="EU280" s="302">
        <f t="shared" ca="1" si="938"/>
        <v>0</v>
      </c>
      <c r="EV280" s="304" t="str">
        <f t="shared" ca="1" si="939"/>
        <v/>
      </c>
      <c r="EW280" s="305" t="str">
        <f t="shared" ca="1" si="940"/>
        <v/>
      </c>
      <c r="EX280" s="305" t="str">
        <f t="shared" ca="1" si="941"/>
        <v/>
      </c>
      <c r="EY280" s="305" t="str">
        <f t="shared" ca="1" si="942"/>
        <v/>
      </c>
      <c r="EZ280" s="305" t="str">
        <f t="shared" ca="1" si="943"/>
        <v/>
      </c>
      <c r="FA280" s="305" t="str">
        <f t="shared" ca="1" si="944"/>
        <v/>
      </c>
      <c r="FB280" s="305" t="str">
        <f t="shared" ca="1" si="945"/>
        <v/>
      </c>
      <c r="FC280" s="305" t="str">
        <f t="shared" ca="1" si="946"/>
        <v/>
      </c>
      <c r="FD280" s="305" t="str">
        <f t="shared" ca="1" si="947"/>
        <v/>
      </c>
      <c r="FE280" s="305" t="str">
        <f t="shared" ca="1" si="948"/>
        <v/>
      </c>
      <c r="FF280" s="305" t="str">
        <f t="shared" ca="1" si="949"/>
        <v/>
      </c>
      <c r="FG280" s="299">
        <f t="shared" ca="1" si="950"/>
        <v>0</v>
      </c>
      <c r="FH280" s="302">
        <f t="shared" ca="1" si="951"/>
        <v>0</v>
      </c>
      <c r="FI280" s="248">
        <f t="shared" ca="1" si="952"/>
        <v>0</v>
      </c>
      <c r="FJ280" s="363">
        <f t="shared" ca="1" si="953"/>
        <v>0</v>
      </c>
      <c r="FK280" s="378" t="str">
        <f t="shared" ca="1" si="954"/>
        <v/>
      </c>
      <c r="FL280" s="508" t="str">
        <f t="shared" ca="1" si="955"/>
        <v/>
      </c>
      <c r="FM280" s="508" t="str">
        <f t="shared" ca="1" si="956"/>
        <v/>
      </c>
      <c r="FN280" s="508" t="str">
        <f t="shared" ca="1" si="957"/>
        <v/>
      </c>
      <c r="FO280" s="508" t="str">
        <f t="shared" ca="1" si="958"/>
        <v/>
      </c>
      <c r="FP280" s="353">
        <f t="shared" ca="1" si="959"/>
        <v>0</v>
      </c>
      <c r="FQ280" s="356">
        <f t="shared" ca="1" si="960"/>
        <v>0</v>
      </c>
      <c r="FR280" s="380">
        <f t="shared" ca="1" si="961"/>
        <v>0</v>
      </c>
      <c r="FS280" s="299">
        <f t="shared" ca="1" si="962"/>
        <v>0</v>
      </c>
      <c r="FT280" s="299">
        <f t="shared" ca="1" si="963"/>
        <v>0</v>
      </c>
      <c r="FU280" s="299">
        <f t="shared" ca="1" si="964"/>
        <v>0</v>
      </c>
      <c r="FV280" s="299">
        <f t="shared" ca="1" si="965"/>
        <v>0</v>
      </c>
      <c r="FW280" s="850" t="str">
        <f t="shared" ca="1" si="966"/>
        <v/>
      </c>
      <c r="FX280" s="851" t="str">
        <f t="shared" ca="1" si="967"/>
        <v/>
      </c>
      <c r="FY280" s="851" t="str">
        <f t="shared" ca="1" si="968"/>
        <v/>
      </c>
      <c r="FZ280" s="201" t="str">
        <f t="shared" ca="1" si="969"/>
        <v/>
      </c>
      <c r="GA280" s="201" t="str">
        <f t="shared" ca="1" si="970"/>
        <v/>
      </c>
      <c r="GB280" s="201" t="str">
        <f t="shared" ca="1" si="971"/>
        <v/>
      </c>
      <c r="GC280" s="201" t="str">
        <f t="shared" ca="1" si="972"/>
        <v/>
      </c>
      <c r="GD280" s="850" t="str">
        <f t="shared" ca="1" si="973"/>
        <v/>
      </c>
      <c r="GE280" s="866" t="str">
        <f t="shared" ca="1" si="974"/>
        <v/>
      </c>
      <c r="GF280" s="866" t="str">
        <f t="shared" ca="1" si="975"/>
        <v/>
      </c>
      <c r="GG280" s="866" t="str">
        <f t="shared" ca="1" si="976"/>
        <v/>
      </c>
      <c r="GH280" s="866" t="str">
        <f t="shared" ca="1" si="977"/>
        <v/>
      </c>
      <c r="GI280" s="302">
        <f t="shared" ca="1" si="978"/>
        <v>0</v>
      </c>
      <c r="GJ280" s="299">
        <f t="shared" ca="1" si="979"/>
        <v>0</v>
      </c>
      <c r="GK280" s="299">
        <f t="shared" ca="1" si="980"/>
        <v>0</v>
      </c>
      <c r="GL280" s="299">
        <f t="shared" ca="1" si="981"/>
        <v>0</v>
      </c>
      <c r="GM280" s="299">
        <f t="shared" ca="1" si="982"/>
        <v>0</v>
      </c>
      <c r="GN280" s="302">
        <f t="shared" ca="1" si="983"/>
        <v>0</v>
      </c>
      <c r="GO280" s="299">
        <f t="shared" ca="1" si="984"/>
        <v>0</v>
      </c>
      <c r="GP280" s="299">
        <f t="shared" ca="1" si="985"/>
        <v>0</v>
      </c>
      <c r="GQ280" s="299">
        <f t="shared" ca="1" si="986"/>
        <v>0</v>
      </c>
      <c r="GR280" s="299">
        <f t="shared" ca="1" si="987"/>
        <v>0</v>
      </c>
      <c r="GS280" s="302">
        <f t="shared" ca="1" si="988"/>
        <v>0</v>
      </c>
      <c r="GT280" s="299">
        <f t="shared" ca="1" si="989"/>
        <v>0</v>
      </c>
      <c r="GU280" s="299">
        <f t="shared" ca="1" si="990"/>
        <v>0</v>
      </c>
      <c r="GV280" s="299">
        <f t="shared" ca="1" si="991"/>
        <v>0</v>
      </c>
      <c r="GW280" s="299">
        <f t="shared" ca="1" si="992"/>
        <v>0</v>
      </c>
      <c r="GX280" s="303">
        <f t="shared" ca="1" si="993"/>
        <v>0</v>
      </c>
      <c r="GY280" s="303">
        <f t="shared" ca="1" si="994"/>
        <v>0</v>
      </c>
      <c r="GZ280" s="303">
        <f t="shared" ca="1" si="995"/>
        <v>0</v>
      </c>
      <c r="HA280" s="303">
        <f t="shared" ca="1" si="996"/>
        <v>0</v>
      </c>
      <c r="HB280" s="303">
        <f t="shared" ca="1" si="997"/>
        <v>0</v>
      </c>
      <c r="HC280" s="303">
        <f t="shared" ca="1" si="998"/>
        <v>0</v>
      </c>
      <c r="HD280" s="303">
        <f t="shared" ca="1" si="999"/>
        <v>0</v>
      </c>
      <c r="HE280" s="303">
        <f t="shared" ca="1" si="1000"/>
        <v>0</v>
      </c>
      <c r="HF280" s="303">
        <f t="shared" ca="1" si="1001"/>
        <v>0</v>
      </c>
      <c r="HG280" s="852">
        <f t="shared" ca="1" si="1002"/>
        <v>0</v>
      </c>
    </row>
    <row r="281" spans="1:215" x14ac:dyDescent="0.25">
      <c r="A281" s="244">
        <f t="shared" ca="1" si="1003"/>
        <v>44652</v>
      </c>
      <c r="B281" s="13">
        <f t="shared" ca="1" si="831"/>
        <v>2022</v>
      </c>
      <c r="C281" s="619">
        <f t="shared" ca="1" si="832"/>
        <v>4</v>
      </c>
      <c r="D281" s="195" t="str">
        <f t="shared" ca="1" si="833"/>
        <v/>
      </c>
      <c r="E281" s="469" t="str">
        <f t="shared" ca="1" si="834"/>
        <v/>
      </c>
      <c r="F281" s="465" t="str">
        <f t="shared" ca="1" si="835"/>
        <v/>
      </c>
      <c r="G281" s="522">
        <f t="shared" ca="1" si="1004"/>
        <v>1</v>
      </c>
      <c r="H281" s="519">
        <f t="shared" ca="1" si="1005"/>
        <v>1</v>
      </c>
      <c r="I281" s="724">
        <f t="shared" ca="1" si="836"/>
        <v>7.3943819448790998E-2</v>
      </c>
      <c r="J281" s="198">
        <f t="shared" ca="1" si="837"/>
        <v>0.19928519009369269</v>
      </c>
      <c r="K281" s="200" t="e">
        <f t="shared" ca="1" si="1013"/>
        <v>#N/A</v>
      </c>
      <c r="L281" s="201" t="e">
        <f t="shared" ca="1" si="1014"/>
        <v>#N/A</v>
      </c>
      <c r="M281" s="206" t="e">
        <f t="shared" ca="1" si="1015"/>
        <v>#N/A</v>
      </c>
      <c r="N281" s="851" t="e">
        <f t="shared" ca="1" si="1019"/>
        <v>#N/A</v>
      </c>
      <c r="O281" s="201" t="e">
        <f t="shared" ca="1" si="1020"/>
        <v>#N/A</v>
      </c>
      <c r="P281" s="206" t="e">
        <f t="shared" ca="1" si="1021"/>
        <v>#N/A</v>
      </c>
      <c r="Q281" s="201" t="e">
        <f t="shared" ca="1" si="1022"/>
        <v>#N/A</v>
      </c>
      <c r="R281" s="201" t="e">
        <f t="shared" ca="1" si="1023"/>
        <v>#N/A</v>
      </c>
      <c r="S281" s="201" t="e">
        <f t="shared" ca="1" si="1024"/>
        <v>#N/A</v>
      </c>
      <c r="T281" s="851" t="e">
        <f t="shared" ca="1" si="1016"/>
        <v>#N/A</v>
      </c>
      <c r="U281" s="201" t="e">
        <f t="shared" ca="1" si="1017"/>
        <v>#N/A</v>
      </c>
      <c r="V281" s="206" t="e">
        <f t="shared" ca="1" si="1018"/>
        <v>#N/A</v>
      </c>
      <c r="W281" s="230" t="e">
        <f t="shared" ca="1" si="1006"/>
        <v>#N/A</v>
      </c>
      <c r="X281" s="231" t="e">
        <f t="shared" ca="1" si="1007"/>
        <v>#N/A</v>
      </c>
      <c r="Y281" s="232" t="e">
        <f t="shared" ca="1" si="1008"/>
        <v>#N/A</v>
      </c>
      <c r="Z281" s="231" t="e">
        <f t="shared" ca="1" si="820"/>
        <v>#N/A</v>
      </c>
      <c r="AA281" s="231" t="e">
        <f t="shared" ca="1" si="821"/>
        <v>#N/A</v>
      </c>
      <c r="AB281" s="232" t="e">
        <f t="shared" ca="1" si="822"/>
        <v>#N/A</v>
      </c>
      <c r="AC281" s="231" t="e">
        <f t="shared" ca="1" si="823"/>
        <v>#N/A</v>
      </c>
      <c r="AD281" s="231" t="e">
        <f t="shared" ca="1" si="824"/>
        <v>#N/A</v>
      </c>
      <c r="AE281" s="232" t="e">
        <f t="shared" ca="1" si="838"/>
        <v>#N/A</v>
      </c>
      <c r="AF281" s="231" t="e">
        <f t="shared" ca="1" si="1009"/>
        <v>#N/A</v>
      </c>
      <c r="AG281" s="231" t="e">
        <f t="shared" ca="1" si="1010"/>
        <v>#N/A</v>
      </c>
      <c r="AH281" s="232" t="e">
        <f t="shared" ca="1" si="1011"/>
        <v>#N/A</v>
      </c>
      <c r="AI281" s="233" t="e">
        <f t="shared" ca="1" si="839"/>
        <v>#N/A</v>
      </c>
      <c r="AJ281" s="233" t="e">
        <f t="shared" ca="1" si="840"/>
        <v>#N/A</v>
      </c>
      <c r="AK281" s="234" t="e">
        <f t="shared" ca="1" si="841"/>
        <v>#N/A</v>
      </c>
      <c r="AL281" s="919" t="e">
        <f t="shared" ca="1" si="842"/>
        <v>#N/A</v>
      </c>
      <c r="AM281" s="233" t="e">
        <f t="shared" ca="1" si="843"/>
        <v>#N/A</v>
      </c>
      <c r="AN281" s="234" t="e">
        <f t="shared" ca="1" si="844"/>
        <v>#N/A</v>
      </c>
      <c r="AO281" s="233" t="e">
        <f t="shared" ca="1" si="845"/>
        <v>#N/A</v>
      </c>
      <c r="AP281" s="233" t="e">
        <f t="shared" ca="1" si="846"/>
        <v>#N/A</v>
      </c>
      <c r="AQ281" s="233" t="e">
        <f t="shared" ca="1" si="847"/>
        <v>#N/A</v>
      </c>
      <c r="AR281" s="919" t="e">
        <f t="shared" ca="1" si="848"/>
        <v>#N/A</v>
      </c>
      <c r="AS281" s="233" t="e">
        <f t="shared" ca="1" si="849"/>
        <v>#N/A</v>
      </c>
      <c r="AT281" s="235" t="e">
        <f t="shared" ca="1" si="850"/>
        <v>#N/A</v>
      </c>
      <c r="AU281" s="946">
        <f t="shared" si="851"/>
        <v>0.5</v>
      </c>
      <c r="AV281" s="13">
        <f t="shared" ca="1" si="852"/>
        <v>0</v>
      </c>
      <c r="AW281" s="210">
        <f t="shared" ca="1" si="853"/>
        <v>0</v>
      </c>
      <c r="AX281" s="210">
        <f t="shared" ca="1" si="854"/>
        <v>0</v>
      </c>
      <c r="AY281" s="210">
        <f t="shared" ca="1" si="855"/>
        <v>0</v>
      </c>
      <c r="AZ281" s="13">
        <f t="shared" ca="1" si="856"/>
        <v>0</v>
      </c>
      <c r="BA281" s="357">
        <f ca="1"/>
        <v>0</v>
      </c>
      <c r="BB281" s="925">
        <f ca="1"/>
        <v>0</v>
      </c>
      <c r="BC281" s="925">
        <f ca="1"/>
        <v>0</v>
      </c>
      <c r="BD281" s="928">
        <f ca="1"/>
        <v>0</v>
      </c>
      <c r="BE281" s="200">
        <f ca="1"/>
        <v>0</v>
      </c>
      <c r="BF281" s="851">
        <f ca="1"/>
        <v>0</v>
      </c>
      <c r="BG281" s="851">
        <f ca="1"/>
        <v>0</v>
      </c>
      <c r="BH281" s="933">
        <f ca="1"/>
        <v>0</v>
      </c>
      <c r="BI281" s="357">
        <f ca="1"/>
        <v>0</v>
      </c>
      <c r="BJ281" s="925">
        <f ca="1"/>
        <v>0</v>
      </c>
      <c r="BK281" s="925">
        <f ca="1"/>
        <v>0</v>
      </c>
      <c r="BL281" s="928">
        <f ca="1"/>
        <v>0</v>
      </c>
      <c r="BM281" s="200">
        <f ca="1"/>
        <v>0</v>
      </c>
      <c r="BN281" s="851">
        <f ca="1"/>
        <v>0</v>
      </c>
      <c r="BO281" s="851">
        <f ca="1"/>
        <v>0</v>
      </c>
      <c r="BP281" s="933">
        <f ca="1"/>
        <v>0</v>
      </c>
      <c r="BQ281" s="357">
        <f t="shared" ca="1" si="857"/>
        <v>0</v>
      </c>
      <c r="BR281" s="361">
        <f t="shared" ca="1" si="858"/>
        <v>0</v>
      </c>
      <c r="BS281" s="357">
        <f t="shared" ca="1" si="859"/>
        <v>0</v>
      </c>
      <c r="BT281" s="302">
        <f t="shared" ca="1" si="860"/>
        <v>0</v>
      </c>
      <c r="BU281" s="299">
        <f t="shared" ca="1" si="861"/>
        <v>0</v>
      </c>
      <c r="BV281" s="299">
        <f t="shared" ca="1" si="862"/>
        <v>0</v>
      </c>
      <c r="BW281" s="299">
        <f t="shared" ca="1" si="863"/>
        <v>0</v>
      </c>
      <c r="BX281" s="380">
        <f t="shared" ca="1" si="864"/>
        <v>22.080766598220396</v>
      </c>
      <c r="BY281" s="363">
        <f t="shared" ca="1" si="865"/>
        <v>0</v>
      </c>
      <c r="BZ281" s="353">
        <f t="shared" ca="1" si="866"/>
        <v>0</v>
      </c>
      <c r="CA281" s="353">
        <f t="shared" ca="1" si="867"/>
        <v>0</v>
      </c>
      <c r="CB281" s="353">
        <f t="shared" ca="1" si="868"/>
        <v>0</v>
      </c>
      <c r="CC281" s="353">
        <f t="shared" ca="1" si="869"/>
        <v>0</v>
      </c>
      <c r="CD281" s="353">
        <f t="shared" ca="1" si="870"/>
        <v>0</v>
      </c>
      <c r="CE281" s="302">
        <f t="shared" ca="1" si="871"/>
        <v>0</v>
      </c>
      <c r="CF281" s="299">
        <f t="shared" ca="1" si="872"/>
        <v>0</v>
      </c>
      <c r="CG281" s="299">
        <f t="shared" ca="1" si="873"/>
        <v>0</v>
      </c>
      <c r="CH281" s="299">
        <f t="shared" ca="1" si="874"/>
        <v>0</v>
      </c>
      <c r="CI281" s="299">
        <f t="shared" ca="1" si="875"/>
        <v>0</v>
      </c>
      <c r="CJ281" s="299">
        <f t="shared" ca="1" si="876"/>
        <v>0</v>
      </c>
      <c r="CK281" s="299">
        <f t="shared" ca="1" si="877"/>
        <v>0</v>
      </c>
      <c r="CL281" s="377" t="str">
        <f t="shared" ca="1" si="878"/>
        <v/>
      </c>
      <c r="CM281" s="305" t="str">
        <f t="shared" ca="1" si="879"/>
        <v/>
      </c>
      <c r="CN281" s="305" t="str">
        <f t="shared" ca="1" si="880"/>
        <v/>
      </c>
      <c r="CO281" s="305" t="str">
        <f t="shared" ca="1" si="881"/>
        <v/>
      </c>
      <c r="CP281" s="305" t="str">
        <f t="shared" ca="1" si="882"/>
        <v/>
      </c>
      <c r="CQ281" s="305" t="str">
        <f t="shared" ca="1" si="883"/>
        <v/>
      </c>
      <c r="CR281" s="775" t="str">
        <f t="shared" ca="1" si="884"/>
        <v/>
      </c>
      <c r="CS281" s="305" t="str">
        <f t="shared" ca="1" si="885"/>
        <v/>
      </c>
      <c r="CT281" s="305" t="str">
        <f t="shared" ca="1" si="886"/>
        <v/>
      </c>
      <c r="CU281" s="305" t="str">
        <f t="shared" ca="1" si="887"/>
        <v/>
      </c>
      <c r="CV281" s="770" t="str">
        <f t="shared" ca="1" si="888"/>
        <v/>
      </c>
      <c r="CW281" s="302">
        <f t="shared" ca="1" si="889"/>
        <v>0</v>
      </c>
      <c r="CX281" s="299">
        <f t="shared" ca="1" si="890"/>
        <v>0</v>
      </c>
      <c r="CY281" s="299">
        <f t="shared" ca="1" si="891"/>
        <v>0</v>
      </c>
      <c r="CZ281" s="299">
        <f t="shared" ca="1" si="892"/>
        <v>0</v>
      </c>
      <c r="DA281" s="774">
        <f t="shared" ca="1" si="893"/>
        <v>0</v>
      </c>
      <c r="DB281" s="303">
        <f t="shared" ca="1" si="894"/>
        <v>0</v>
      </c>
      <c r="DC281" s="248">
        <f t="shared" ca="1" si="895"/>
        <v>0</v>
      </c>
      <c r="DD281" s="778">
        <f t="shared" ca="1" si="896"/>
        <v>0</v>
      </c>
      <c r="DE281" s="363">
        <f t="shared" ca="1" si="897"/>
        <v>0</v>
      </c>
      <c r="DF281" s="378" t="str">
        <f t="shared" ca="1" si="898"/>
        <v/>
      </c>
      <c r="DG281" s="508" t="str">
        <f t="shared" ca="1" si="899"/>
        <v/>
      </c>
      <c r="DH281" s="508" t="str">
        <f t="shared" ca="1" si="900"/>
        <v/>
      </c>
      <c r="DI281" s="508" t="str">
        <f t="shared" ca="1" si="901"/>
        <v/>
      </c>
      <c r="DJ281" s="508" t="str">
        <f t="shared" ca="1" si="902"/>
        <v/>
      </c>
      <c r="DK281" s="353">
        <f t="shared" ca="1" si="903"/>
        <v>0</v>
      </c>
      <c r="DL281" s="781">
        <f t="shared" ca="1" si="904"/>
        <v>0</v>
      </c>
      <c r="DM281" s="303">
        <f t="shared" ca="1" si="905"/>
        <v>0</v>
      </c>
      <c r="DN281" s="508" t="str">
        <f t="shared" ca="1" si="906"/>
        <v/>
      </c>
      <c r="DO281" s="508" t="str">
        <f t="shared" ca="1" si="907"/>
        <v/>
      </c>
      <c r="DP281" s="508" t="str">
        <f t="shared" ca="1" si="908"/>
        <v/>
      </c>
      <c r="DQ281" s="508" t="str">
        <f t="shared" ca="1" si="909"/>
        <v/>
      </c>
      <c r="DR281" s="508" t="str">
        <f t="shared" ca="1" si="910"/>
        <v/>
      </c>
      <c r="DS281" s="353">
        <f t="shared" ca="1" si="911"/>
        <v>0</v>
      </c>
      <c r="DT281" s="353">
        <f t="shared" ca="1" si="912"/>
        <v>0</v>
      </c>
      <c r="DU281" s="380">
        <f t="shared" ca="1" si="1012"/>
        <v>22.080766598220396</v>
      </c>
      <c r="DV281" s="303">
        <f t="shared" ca="1" si="913"/>
        <v>0</v>
      </c>
      <c r="DW281" s="303">
        <f t="shared" ca="1" si="914"/>
        <v>0</v>
      </c>
      <c r="DX281" s="303">
        <f t="shared" ca="1" si="915"/>
        <v>0</v>
      </c>
      <c r="DY281" s="303">
        <f t="shared" ca="1" si="916"/>
        <v>0</v>
      </c>
      <c r="DZ281" s="303">
        <f t="shared" ca="1" si="917"/>
        <v>0</v>
      </c>
      <c r="EA281" s="303">
        <f t="shared" ca="1" si="918"/>
        <v>0</v>
      </c>
      <c r="EB281" s="302">
        <f t="shared" ca="1" si="919"/>
        <v>0</v>
      </c>
      <c r="EC281" s="299">
        <f t="shared" ca="1" si="920"/>
        <v>0</v>
      </c>
      <c r="ED281" s="299">
        <f t="shared" ca="1" si="921"/>
        <v>0</v>
      </c>
      <c r="EE281" s="299">
        <f t="shared" ca="1" si="922"/>
        <v>0</v>
      </c>
      <c r="EF281" s="299">
        <f t="shared" ca="1" si="923"/>
        <v>0</v>
      </c>
      <c r="EG281" s="299">
        <f t="shared" ca="1" si="924"/>
        <v>0</v>
      </c>
      <c r="EH281" s="302">
        <f t="shared" ca="1" si="925"/>
        <v>0</v>
      </c>
      <c r="EI281" s="304" t="str">
        <f t="shared" ca="1" si="926"/>
        <v/>
      </c>
      <c r="EJ281" s="305" t="str">
        <f t="shared" ca="1" si="927"/>
        <v/>
      </c>
      <c r="EK281" s="305" t="str">
        <f t="shared" ca="1" si="928"/>
        <v/>
      </c>
      <c r="EL281" s="305" t="str">
        <f t="shared" ca="1" si="929"/>
        <v/>
      </c>
      <c r="EM281" s="305" t="str">
        <f t="shared" ca="1" si="930"/>
        <v/>
      </c>
      <c r="EN281" s="305" t="str">
        <f t="shared" ca="1" si="931"/>
        <v/>
      </c>
      <c r="EO281" s="305" t="str">
        <f t="shared" ca="1" si="932"/>
        <v/>
      </c>
      <c r="EP281" s="305" t="str">
        <f t="shared" ca="1" si="933"/>
        <v/>
      </c>
      <c r="EQ281" s="305" t="str">
        <f t="shared" ca="1" si="934"/>
        <v/>
      </c>
      <c r="ER281" s="305" t="str">
        <f t="shared" ca="1" si="935"/>
        <v/>
      </c>
      <c r="ES281" s="305" t="str">
        <f t="shared" ca="1" si="936"/>
        <v/>
      </c>
      <c r="ET281" s="299">
        <f t="shared" ca="1" si="937"/>
        <v>0</v>
      </c>
      <c r="EU281" s="302">
        <f t="shared" ca="1" si="938"/>
        <v>0</v>
      </c>
      <c r="EV281" s="304" t="str">
        <f t="shared" ca="1" si="939"/>
        <v/>
      </c>
      <c r="EW281" s="305" t="str">
        <f t="shared" ca="1" si="940"/>
        <v/>
      </c>
      <c r="EX281" s="305" t="str">
        <f t="shared" ca="1" si="941"/>
        <v/>
      </c>
      <c r="EY281" s="305" t="str">
        <f t="shared" ca="1" si="942"/>
        <v/>
      </c>
      <c r="EZ281" s="305" t="str">
        <f t="shared" ca="1" si="943"/>
        <v/>
      </c>
      <c r="FA281" s="305" t="str">
        <f t="shared" ca="1" si="944"/>
        <v/>
      </c>
      <c r="FB281" s="305" t="str">
        <f t="shared" ca="1" si="945"/>
        <v/>
      </c>
      <c r="FC281" s="305" t="str">
        <f t="shared" ca="1" si="946"/>
        <v/>
      </c>
      <c r="FD281" s="305" t="str">
        <f t="shared" ca="1" si="947"/>
        <v/>
      </c>
      <c r="FE281" s="305" t="str">
        <f t="shared" ca="1" si="948"/>
        <v/>
      </c>
      <c r="FF281" s="305" t="str">
        <f t="shared" ca="1" si="949"/>
        <v/>
      </c>
      <c r="FG281" s="299">
        <f t="shared" ca="1" si="950"/>
        <v>0</v>
      </c>
      <c r="FH281" s="302">
        <f t="shared" ca="1" si="951"/>
        <v>0</v>
      </c>
      <c r="FI281" s="248">
        <f t="shared" ca="1" si="952"/>
        <v>0</v>
      </c>
      <c r="FJ281" s="363">
        <f t="shared" ca="1" si="953"/>
        <v>0</v>
      </c>
      <c r="FK281" s="378" t="str">
        <f t="shared" ca="1" si="954"/>
        <v/>
      </c>
      <c r="FL281" s="508" t="str">
        <f t="shared" ca="1" si="955"/>
        <v/>
      </c>
      <c r="FM281" s="508" t="str">
        <f t="shared" ca="1" si="956"/>
        <v/>
      </c>
      <c r="FN281" s="508" t="str">
        <f t="shared" ca="1" si="957"/>
        <v/>
      </c>
      <c r="FO281" s="508" t="str">
        <f t="shared" ca="1" si="958"/>
        <v/>
      </c>
      <c r="FP281" s="353">
        <f t="shared" ca="1" si="959"/>
        <v>0</v>
      </c>
      <c r="FQ281" s="356">
        <f t="shared" ca="1" si="960"/>
        <v>0</v>
      </c>
      <c r="FR281" s="380">
        <f t="shared" ca="1" si="961"/>
        <v>0</v>
      </c>
      <c r="FS281" s="299">
        <f t="shared" ca="1" si="962"/>
        <v>0</v>
      </c>
      <c r="FT281" s="299">
        <f t="shared" ca="1" si="963"/>
        <v>0</v>
      </c>
      <c r="FU281" s="299">
        <f t="shared" ca="1" si="964"/>
        <v>0</v>
      </c>
      <c r="FV281" s="299">
        <f t="shared" ca="1" si="965"/>
        <v>0</v>
      </c>
      <c r="FW281" s="850" t="str">
        <f t="shared" ca="1" si="966"/>
        <v/>
      </c>
      <c r="FX281" s="851" t="str">
        <f t="shared" ca="1" si="967"/>
        <v/>
      </c>
      <c r="FY281" s="851" t="str">
        <f t="shared" ca="1" si="968"/>
        <v/>
      </c>
      <c r="FZ281" s="201" t="str">
        <f t="shared" ca="1" si="969"/>
        <v/>
      </c>
      <c r="GA281" s="201" t="str">
        <f t="shared" ca="1" si="970"/>
        <v/>
      </c>
      <c r="GB281" s="201" t="str">
        <f t="shared" ca="1" si="971"/>
        <v/>
      </c>
      <c r="GC281" s="201" t="str">
        <f t="shared" ca="1" si="972"/>
        <v/>
      </c>
      <c r="GD281" s="850" t="str">
        <f t="shared" ca="1" si="973"/>
        <v/>
      </c>
      <c r="GE281" s="866" t="str">
        <f t="shared" ca="1" si="974"/>
        <v/>
      </c>
      <c r="GF281" s="866" t="str">
        <f t="shared" ca="1" si="975"/>
        <v/>
      </c>
      <c r="GG281" s="866" t="str">
        <f t="shared" ca="1" si="976"/>
        <v/>
      </c>
      <c r="GH281" s="866" t="str">
        <f t="shared" ca="1" si="977"/>
        <v/>
      </c>
      <c r="GI281" s="302">
        <f t="shared" ca="1" si="978"/>
        <v>0</v>
      </c>
      <c r="GJ281" s="299">
        <f t="shared" ca="1" si="979"/>
        <v>0</v>
      </c>
      <c r="GK281" s="299">
        <f t="shared" ca="1" si="980"/>
        <v>0</v>
      </c>
      <c r="GL281" s="299">
        <f t="shared" ca="1" si="981"/>
        <v>0</v>
      </c>
      <c r="GM281" s="299">
        <f t="shared" ca="1" si="982"/>
        <v>0</v>
      </c>
      <c r="GN281" s="302">
        <f t="shared" ca="1" si="983"/>
        <v>0</v>
      </c>
      <c r="GO281" s="299">
        <f t="shared" ca="1" si="984"/>
        <v>0</v>
      </c>
      <c r="GP281" s="299">
        <f t="shared" ca="1" si="985"/>
        <v>0</v>
      </c>
      <c r="GQ281" s="299">
        <f t="shared" ca="1" si="986"/>
        <v>0</v>
      </c>
      <c r="GR281" s="299">
        <f t="shared" ca="1" si="987"/>
        <v>0</v>
      </c>
      <c r="GS281" s="302">
        <f t="shared" ca="1" si="988"/>
        <v>0</v>
      </c>
      <c r="GT281" s="299">
        <f t="shared" ca="1" si="989"/>
        <v>0</v>
      </c>
      <c r="GU281" s="299">
        <f t="shared" ca="1" si="990"/>
        <v>0</v>
      </c>
      <c r="GV281" s="299">
        <f t="shared" ca="1" si="991"/>
        <v>0</v>
      </c>
      <c r="GW281" s="299">
        <f t="shared" ca="1" si="992"/>
        <v>0</v>
      </c>
      <c r="GX281" s="303">
        <f t="shared" ca="1" si="993"/>
        <v>0</v>
      </c>
      <c r="GY281" s="303">
        <f t="shared" ca="1" si="994"/>
        <v>0</v>
      </c>
      <c r="GZ281" s="303">
        <f t="shared" ca="1" si="995"/>
        <v>0</v>
      </c>
      <c r="HA281" s="303">
        <f t="shared" ca="1" si="996"/>
        <v>0</v>
      </c>
      <c r="HB281" s="303">
        <f t="shared" ca="1" si="997"/>
        <v>0</v>
      </c>
      <c r="HC281" s="303">
        <f t="shared" ca="1" si="998"/>
        <v>0</v>
      </c>
      <c r="HD281" s="303">
        <f t="shared" ca="1" si="999"/>
        <v>0</v>
      </c>
      <c r="HE281" s="303">
        <f t="shared" ca="1" si="1000"/>
        <v>0</v>
      </c>
      <c r="HF281" s="303">
        <f t="shared" ca="1" si="1001"/>
        <v>0</v>
      </c>
      <c r="HG281" s="852">
        <f t="shared" ca="1" si="1002"/>
        <v>0</v>
      </c>
    </row>
    <row r="282" spans="1:215" x14ac:dyDescent="0.25">
      <c r="A282" s="244">
        <f t="shared" ca="1" si="1003"/>
        <v>44682</v>
      </c>
      <c r="B282" s="13">
        <f t="shared" ca="1" si="831"/>
        <v>2022</v>
      </c>
      <c r="C282" s="619">
        <f t="shared" ca="1" si="832"/>
        <v>5</v>
      </c>
      <c r="D282" s="195">
        <f t="shared" ca="1" si="833"/>
        <v>44711</v>
      </c>
      <c r="E282" s="469" t="str">
        <f t="shared" ca="1" si="834"/>
        <v/>
      </c>
      <c r="F282" s="465" t="str">
        <f t="shared" ca="1" si="835"/>
        <v/>
      </c>
      <c r="G282" s="522">
        <f t="shared" ca="1" si="1004"/>
        <v>1</v>
      </c>
      <c r="H282" s="519">
        <f t="shared" ca="1" si="1005"/>
        <v>1</v>
      </c>
      <c r="I282" s="724">
        <f t="shared" ca="1" si="836"/>
        <v>7.3934882066061011E-2</v>
      </c>
      <c r="J282" s="198">
        <f t="shared" ca="1" si="837"/>
        <v>0.19809891615794262</v>
      </c>
      <c r="K282" s="200" t="e">
        <f t="shared" ca="1" si="1013"/>
        <v>#N/A</v>
      </c>
      <c r="L282" s="201" t="e">
        <f t="shared" ca="1" si="1014"/>
        <v>#N/A</v>
      </c>
      <c r="M282" s="206" t="e">
        <f t="shared" ca="1" si="1015"/>
        <v>#N/A</v>
      </c>
      <c r="N282" s="851" t="e">
        <f t="shared" ca="1" si="1019"/>
        <v>#N/A</v>
      </c>
      <c r="O282" s="201" t="e">
        <f t="shared" ca="1" si="1020"/>
        <v>#N/A</v>
      </c>
      <c r="P282" s="206" t="e">
        <f t="shared" ca="1" si="1021"/>
        <v>#N/A</v>
      </c>
      <c r="Q282" s="201" t="e">
        <f t="shared" ca="1" si="1022"/>
        <v>#N/A</v>
      </c>
      <c r="R282" s="201" t="e">
        <f t="shared" ca="1" si="1023"/>
        <v>#N/A</v>
      </c>
      <c r="S282" s="201" t="e">
        <f t="shared" ca="1" si="1024"/>
        <v>#N/A</v>
      </c>
      <c r="T282" s="851" t="e">
        <f t="shared" ca="1" si="1016"/>
        <v>#N/A</v>
      </c>
      <c r="U282" s="201" t="e">
        <f t="shared" ca="1" si="1017"/>
        <v>#N/A</v>
      </c>
      <c r="V282" s="206" t="e">
        <f t="shared" ca="1" si="1018"/>
        <v>#N/A</v>
      </c>
      <c r="W282" s="230" t="e">
        <f t="shared" ca="1" si="1006"/>
        <v>#N/A</v>
      </c>
      <c r="X282" s="231" t="e">
        <f t="shared" ca="1" si="1007"/>
        <v>#N/A</v>
      </c>
      <c r="Y282" s="232" t="e">
        <f t="shared" ca="1" si="1008"/>
        <v>#N/A</v>
      </c>
      <c r="Z282" s="231" t="e">
        <f t="shared" ca="1" si="820"/>
        <v>#N/A</v>
      </c>
      <c r="AA282" s="231" t="e">
        <f t="shared" ca="1" si="821"/>
        <v>#N/A</v>
      </c>
      <c r="AB282" s="232" t="e">
        <f t="shared" ca="1" si="822"/>
        <v>#N/A</v>
      </c>
      <c r="AC282" s="231" t="e">
        <f t="shared" ca="1" si="823"/>
        <v>#N/A</v>
      </c>
      <c r="AD282" s="231" t="e">
        <f t="shared" ca="1" si="824"/>
        <v>#N/A</v>
      </c>
      <c r="AE282" s="232" t="e">
        <f t="shared" ca="1" si="838"/>
        <v>#N/A</v>
      </c>
      <c r="AF282" s="231" t="e">
        <f t="shared" ca="1" si="1009"/>
        <v>#N/A</v>
      </c>
      <c r="AG282" s="231" t="e">
        <f t="shared" ca="1" si="1010"/>
        <v>#N/A</v>
      </c>
      <c r="AH282" s="232" t="e">
        <f t="shared" ca="1" si="1011"/>
        <v>#N/A</v>
      </c>
      <c r="AI282" s="233" t="e">
        <f t="shared" ca="1" si="839"/>
        <v>#N/A</v>
      </c>
      <c r="AJ282" s="233" t="e">
        <f t="shared" ca="1" si="840"/>
        <v>#N/A</v>
      </c>
      <c r="AK282" s="234" t="e">
        <f t="shared" ca="1" si="841"/>
        <v>#N/A</v>
      </c>
      <c r="AL282" s="919" t="e">
        <f t="shared" ca="1" si="842"/>
        <v>#N/A</v>
      </c>
      <c r="AM282" s="233" t="e">
        <f t="shared" ca="1" si="843"/>
        <v>#N/A</v>
      </c>
      <c r="AN282" s="234" t="e">
        <f t="shared" ca="1" si="844"/>
        <v>#N/A</v>
      </c>
      <c r="AO282" s="233" t="e">
        <f t="shared" ca="1" si="845"/>
        <v>#N/A</v>
      </c>
      <c r="AP282" s="233" t="e">
        <f t="shared" ca="1" si="846"/>
        <v>#N/A</v>
      </c>
      <c r="AQ282" s="233" t="e">
        <f t="shared" ca="1" si="847"/>
        <v>#N/A</v>
      </c>
      <c r="AR282" s="919" t="e">
        <f t="shared" ca="1" si="848"/>
        <v>#N/A</v>
      </c>
      <c r="AS282" s="233" t="e">
        <f t="shared" ca="1" si="849"/>
        <v>#N/A</v>
      </c>
      <c r="AT282" s="235" t="e">
        <f t="shared" ca="1" si="850"/>
        <v>#N/A</v>
      </c>
      <c r="AU282" s="946">
        <f t="shared" si="851"/>
        <v>0.5</v>
      </c>
      <c r="AV282" s="13">
        <f t="shared" ca="1" si="852"/>
        <v>0</v>
      </c>
      <c r="AW282" s="210">
        <f t="shared" ca="1" si="853"/>
        <v>0</v>
      </c>
      <c r="AX282" s="210">
        <f t="shared" ca="1" si="854"/>
        <v>0</v>
      </c>
      <c r="AY282" s="210">
        <f t="shared" ca="1" si="855"/>
        <v>0</v>
      </c>
      <c r="AZ282" s="13">
        <f t="shared" ca="1" si="856"/>
        <v>0</v>
      </c>
      <c r="BA282" s="357">
        <f ca="1"/>
        <v>0</v>
      </c>
      <c r="BB282" s="925">
        <f ca="1"/>
        <v>0</v>
      </c>
      <c r="BC282" s="925">
        <f ca="1"/>
        <v>0</v>
      </c>
      <c r="BD282" s="928">
        <f ca="1"/>
        <v>0</v>
      </c>
      <c r="BE282" s="200">
        <f ca="1"/>
        <v>0</v>
      </c>
      <c r="BF282" s="851">
        <f ca="1"/>
        <v>0</v>
      </c>
      <c r="BG282" s="851">
        <f ca="1"/>
        <v>0</v>
      </c>
      <c r="BH282" s="933">
        <f ca="1"/>
        <v>0</v>
      </c>
      <c r="BI282" s="357">
        <f ca="1"/>
        <v>0</v>
      </c>
      <c r="BJ282" s="925">
        <f ca="1"/>
        <v>0</v>
      </c>
      <c r="BK282" s="925">
        <f ca="1"/>
        <v>0</v>
      </c>
      <c r="BL282" s="928">
        <f ca="1"/>
        <v>0</v>
      </c>
      <c r="BM282" s="200">
        <f ca="1"/>
        <v>0</v>
      </c>
      <c r="BN282" s="851">
        <f ca="1"/>
        <v>0</v>
      </c>
      <c r="BO282" s="851">
        <f ca="1"/>
        <v>0</v>
      </c>
      <c r="BP282" s="933">
        <f ca="1"/>
        <v>0</v>
      </c>
      <c r="BQ282" s="357">
        <f t="shared" ca="1" si="857"/>
        <v>0</v>
      </c>
      <c r="BR282" s="361">
        <f t="shared" ca="1" si="858"/>
        <v>0</v>
      </c>
      <c r="BS282" s="357">
        <f t="shared" ca="1" si="859"/>
        <v>0</v>
      </c>
      <c r="BT282" s="302">
        <f t="shared" ca="1" si="860"/>
        <v>0</v>
      </c>
      <c r="BU282" s="299">
        <f t="shared" ca="1" si="861"/>
        <v>0</v>
      </c>
      <c r="BV282" s="299">
        <f t="shared" ca="1" si="862"/>
        <v>0</v>
      </c>
      <c r="BW282" s="299">
        <f t="shared" ca="1" si="863"/>
        <v>0</v>
      </c>
      <c r="BX282" s="380">
        <f t="shared" ca="1" si="864"/>
        <v>22.16290212183436</v>
      </c>
      <c r="BY282" s="363">
        <f t="shared" ca="1" si="865"/>
        <v>0</v>
      </c>
      <c r="BZ282" s="353">
        <f t="shared" ca="1" si="866"/>
        <v>0</v>
      </c>
      <c r="CA282" s="353">
        <f t="shared" ca="1" si="867"/>
        <v>0</v>
      </c>
      <c r="CB282" s="353">
        <f t="shared" ca="1" si="868"/>
        <v>0</v>
      </c>
      <c r="CC282" s="353">
        <f t="shared" ca="1" si="869"/>
        <v>0</v>
      </c>
      <c r="CD282" s="353">
        <f t="shared" ca="1" si="870"/>
        <v>0</v>
      </c>
      <c r="CE282" s="302">
        <f t="shared" ca="1" si="871"/>
        <v>0</v>
      </c>
      <c r="CF282" s="299">
        <f t="shared" ca="1" si="872"/>
        <v>0</v>
      </c>
      <c r="CG282" s="299">
        <f t="shared" ca="1" si="873"/>
        <v>0</v>
      </c>
      <c r="CH282" s="299">
        <f t="shared" ca="1" si="874"/>
        <v>0</v>
      </c>
      <c r="CI282" s="299">
        <f t="shared" ca="1" si="875"/>
        <v>0</v>
      </c>
      <c r="CJ282" s="299">
        <f t="shared" ca="1" si="876"/>
        <v>0</v>
      </c>
      <c r="CK282" s="299">
        <f t="shared" ca="1" si="877"/>
        <v>0</v>
      </c>
      <c r="CL282" s="377" t="str">
        <f t="shared" ca="1" si="878"/>
        <v/>
      </c>
      <c r="CM282" s="305" t="str">
        <f t="shared" ca="1" si="879"/>
        <v/>
      </c>
      <c r="CN282" s="305" t="str">
        <f t="shared" ca="1" si="880"/>
        <v/>
      </c>
      <c r="CO282" s="305" t="str">
        <f t="shared" ca="1" si="881"/>
        <v/>
      </c>
      <c r="CP282" s="305" t="str">
        <f t="shared" ca="1" si="882"/>
        <v/>
      </c>
      <c r="CQ282" s="305" t="str">
        <f t="shared" ca="1" si="883"/>
        <v/>
      </c>
      <c r="CR282" s="775" t="str">
        <f t="shared" ca="1" si="884"/>
        <v/>
      </c>
      <c r="CS282" s="305" t="str">
        <f t="shared" ca="1" si="885"/>
        <v/>
      </c>
      <c r="CT282" s="305" t="str">
        <f t="shared" ca="1" si="886"/>
        <v/>
      </c>
      <c r="CU282" s="305" t="str">
        <f t="shared" ca="1" si="887"/>
        <v/>
      </c>
      <c r="CV282" s="770" t="str">
        <f t="shared" ca="1" si="888"/>
        <v/>
      </c>
      <c r="CW282" s="302">
        <f t="shared" ca="1" si="889"/>
        <v>0</v>
      </c>
      <c r="CX282" s="299">
        <f t="shared" ca="1" si="890"/>
        <v>0</v>
      </c>
      <c r="CY282" s="299">
        <f t="shared" ca="1" si="891"/>
        <v>0</v>
      </c>
      <c r="CZ282" s="299">
        <f t="shared" ca="1" si="892"/>
        <v>0</v>
      </c>
      <c r="DA282" s="774">
        <f t="shared" ca="1" si="893"/>
        <v>0</v>
      </c>
      <c r="DB282" s="303">
        <f t="shared" ca="1" si="894"/>
        <v>0</v>
      </c>
      <c r="DC282" s="248">
        <f t="shared" ca="1" si="895"/>
        <v>0</v>
      </c>
      <c r="DD282" s="778">
        <f t="shared" ca="1" si="896"/>
        <v>0</v>
      </c>
      <c r="DE282" s="363">
        <f t="shared" ca="1" si="897"/>
        <v>0</v>
      </c>
      <c r="DF282" s="378" t="str">
        <f t="shared" ca="1" si="898"/>
        <v/>
      </c>
      <c r="DG282" s="508" t="str">
        <f t="shared" ca="1" si="899"/>
        <v/>
      </c>
      <c r="DH282" s="508" t="str">
        <f t="shared" ca="1" si="900"/>
        <v/>
      </c>
      <c r="DI282" s="508" t="str">
        <f t="shared" ca="1" si="901"/>
        <v/>
      </c>
      <c r="DJ282" s="508" t="str">
        <f t="shared" ca="1" si="902"/>
        <v/>
      </c>
      <c r="DK282" s="353">
        <f t="shared" ca="1" si="903"/>
        <v>0</v>
      </c>
      <c r="DL282" s="781">
        <f t="shared" ca="1" si="904"/>
        <v>0</v>
      </c>
      <c r="DM282" s="303">
        <f t="shared" ca="1" si="905"/>
        <v>0</v>
      </c>
      <c r="DN282" s="508" t="str">
        <f t="shared" ca="1" si="906"/>
        <v/>
      </c>
      <c r="DO282" s="508" t="str">
        <f t="shared" ca="1" si="907"/>
        <v/>
      </c>
      <c r="DP282" s="508" t="str">
        <f t="shared" ca="1" si="908"/>
        <v/>
      </c>
      <c r="DQ282" s="508" t="str">
        <f t="shared" ca="1" si="909"/>
        <v/>
      </c>
      <c r="DR282" s="508" t="str">
        <f t="shared" ca="1" si="910"/>
        <v/>
      </c>
      <c r="DS282" s="353">
        <f t="shared" ca="1" si="911"/>
        <v>0</v>
      </c>
      <c r="DT282" s="353">
        <f t="shared" ca="1" si="912"/>
        <v>0</v>
      </c>
      <c r="DU282" s="380">
        <f t="shared" ca="1" si="1012"/>
        <v>22.16290212183436</v>
      </c>
      <c r="DV282" s="303">
        <f t="shared" ca="1" si="913"/>
        <v>0</v>
      </c>
      <c r="DW282" s="303">
        <f t="shared" ca="1" si="914"/>
        <v>0</v>
      </c>
      <c r="DX282" s="303">
        <f t="shared" ca="1" si="915"/>
        <v>0</v>
      </c>
      <c r="DY282" s="303">
        <f t="shared" ca="1" si="916"/>
        <v>0</v>
      </c>
      <c r="DZ282" s="303">
        <f t="shared" ca="1" si="917"/>
        <v>0</v>
      </c>
      <c r="EA282" s="303">
        <f t="shared" ca="1" si="918"/>
        <v>0</v>
      </c>
      <c r="EB282" s="302">
        <f t="shared" ca="1" si="919"/>
        <v>0</v>
      </c>
      <c r="EC282" s="299">
        <f t="shared" ca="1" si="920"/>
        <v>0</v>
      </c>
      <c r="ED282" s="299">
        <f t="shared" ca="1" si="921"/>
        <v>0</v>
      </c>
      <c r="EE282" s="299">
        <f t="shared" ca="1" si="922"/>
        <v>0</v>
      </c>
      <c r="EF282" s="299">
        <f t="shared" ca="1" si="923"/>
        <v>0</v>
      </c>
      <c r="EG282" s="299">
        <f t="shared" ca="1" si="924"/>
        <v>0</v>
      </c>
      <c r="EH282" s="302">
        <f t="shared" ca="1" si="925"/>
        <v>0</v>
      </c>
      <c r="EI282" s="304" t="str">
        <f t="shared" ca="1" si="926"/>
        <v/>
      </c>
      <c r="EJ282" s="305" t="str">
        <f t="shared" ca="1" si="927"/>
        <v/>
      </c>
      <c r="EK282" s="305" t="str">
        <f t="shared" ca="1" si="928"/>
        <v/>
      </c>
      <c r="EL282" s="305" t="str">
        <f t="shared" ca="1" si="929"/>
        <v/>
      </c>
      <c r="EM282" s="305" t="str">
        <f t="shared" ca="1" si="930"/>
        <v/>
      </c>
      <c r="EN282" s="305" t="str">
        <f t="shared" ca="1" si="931"/>
        <v/>
      </c>
      <c r="EO282" s="305" t="str">
        <f t="shared" ca="1" si="932"/>
        <v/>
      </c>
      <c r="EP282" s="305" t="str">
        <f t="shared" ca="1" si="933"/>
        <v/>
      </c>
      <c r="EQ282" s="305" t="str">
        <f t="shared" ca="1" si="934"/>
        <v/>
      </c>
      <c r="ER282" s="305" t="str">
        <f t="shared" ca="1" si="935"/>
        <v/>
      </c>
      <c r="ES282" s="305" t="str">
        <f t="shared" ca="1" si="936"/>
        <v/>
      </c>
      <c r="ET282" s="299">
        <f t="shared" ca="1" si="937"/>
        <v>0</v>
      </c>
      <c r="EU282" s="302">
        <f t="shared" ca="1" si="938"/>
        <v>0</v>
      </c>
      <c r="EV282" s="304" t="str">
        <f t="shared" ca="1" si="939"/>
        <v/>
      </c>
      <c r="EW282" s="305" t="str">
        <f t="shared" ca="1" si="940"/>
        <v/>
      </c>
      <c r="EX282" s="305" t="str">
        <f t="shared" ca="1" si="941"/>
        <v/>
      </c>
      <c r="EY282" s="305" t="str">
        <f t="shared" ca="1" si="942"/>
        <v/>
      </c>
      <c r="EZ282" s="305" t="str">
        <f t="shared" ca="1" si="943"/>
        <v/>
      </c>
      <c r="FA282" s="305" t="str">
        <f t="shared" ca="1" si="944"/>
        <v/>
      </c>
      <c r="FB282" s="305" t="str">
        <f t="shared" ca="1" si="945"/>
        <v/>
      </c>
      <c r="FC282" s="305" t="str">
        <f t="shared" ca="1" si="946"/>
        <v/>
      </c>
      <c r="FD282" s="305" t="str">
        <f t="shared" ca="1" si="947"/>
        <v/>
      </c>
      <c r="FE282" s="305" t="str">
        <f t="shared" ca="1" si="948"/>
        <v/>
      </c>
      <c r="FF282" s="305" t="str">
        <f t="shared" ca="1" si="949"/>
        <v/>
      </c>
      <c r="FG282" s="299">
        <f t="shared" ca="1" si="950"/>
        <v>0</v>
      </c>
      <c r="FH282" s="302">
        <f t="shared" ca="1" si="951"/>
        <v>0</v>
      </c>
      <c r="FI282" s="248">
        <f t="shared" ca="1" si="952"/>
        <v>0</v>
      </c>
      <c r="FJ282" s="363">
        <f t="shared" ca="1" si="953"/>
        <v>0</v>
      </c>
      <c r="FK282" s="378" t="str">
        <f t="shared" ca="1" si="954"/>
        <v/>
      </c>
      <c r="FL282" s="508" t="str">
        <f t="shared" ca="1" si="955"/>
        <v/>
      </c>
      <c r="FM282" s="508" t="str">
        <f t="shared" ca="1" si="956"/>
        <v/>
      </c>
      <c r="FN282" s="508" t="str">
        <f t="shared" ca="1" si="957"/>
        <v/>
      </c>
      <c r="FO282" s="508" t="str">
        <f t="shared" ca="1" si="958"/>
        <v/>
      </c>
      <c r="FP282" s="353">
        <f t="shared" ca="1" si="959"/>
        <v>0</v>
      </c>
      <c r="FQ282" s="356">
        <f t="shared" ca="1" si="960"/>
        <v>0</v>
      </c>
      <c r="FR282" s="380">
        <f t="shared" ca="1" si="961"/>
        <v>0</v>
      </c>
      <c r="FS282" s="299">
        <f t="shared" ca="1" si="962"/>
        <v>0</v>
      </c>
      <c r="FT282" s="299">
        <f t="shared" ca="1" si="963"/>
        <v>0</v>
      </c>
      <c r="FU282" s="299">
        <f t="shared" ca="1" si="964"/>
        <v>0</v>
      </c>
      <c r="FV282" s="299">
        <f t="shared" ca="1" si="965"/>
        <v>0</v>
      </c>
      <c r="FW282" s="850" t="str">
        <f t="shared" ca="1" si="966"/>
        <v/>
      </c>
      <c r="FX282" s="851" t="str">
        <f t="shared" ca="1" si="967"/>
        <v/>
      </c>
      <c r="FY282" s="851" t="str">
        <f t="shared" ca="1" si="968"/>
        <v/>
      </c>
      <c r="FZ282" s="201" t="str">
        <f t="shared" ca="1" si="969"/>
        <v/>
      </c>
      <c r="GA282" s="201" t="str">
        <f t="shared" ca="1" si="970"/>
        <v/>
      </c>
      <c r="GB282" s="201" t="str">
        <f t="shared" ca="1" si="971"/>
        <v/>
      </c>
      <c r="GC282" s="201" t="str">
        <f t="shared" ca="1" si="972"/>
        <v/>
      </c>
      <c r="GD282" s="850" t="str">
        <f t="shared" ca="1" si="973"/>
        <v/>
      </c>
      <c r="GE282" s="866" t="str">
        <f t="shared" ca="1" si="974"/>
        <v/>
      </c>
      <c r="GF282" s="866" t="str">
        <f t="shared" ca="1" si="975"/>
        <v/>
      </c>
      <c r="GG282" s="866" t="str">
        <f t="shared" ca="1" si="976"/>
        <v/>
      </c>
      <c r="GH282" s="866" t="str">
        <f t="shared" ca="1" si="977"/>
        <v/>
      </c>
      <c r="GI282" s="302">
        <f t="shared" ca="1" si="978"/>
        <v>0</v>
      </c>
      <c r="GJ282" s="299">
        <f t="shared" ca="1" si="979"/>
        <v>0</v>
      </c>
      <c r="GK282" s="299">
        <f t="shared" ca="1" si="980"/>
        <v>0</v>
      </c>
      <c r="GL282" s="299">
        <f t="shared" ca="1" si="981"/>
        <v>0</v>
      </c>
      <c r="GM282" s="299">
        <f t="shared" ca="1" si="982"/>
        <v>0</v>
      </c>
      <c r="GN282" s="302">
        <f t="shared" ca="1" si="983"/>
        <v>0</v>
      </c>
      <c r="GO282" s="299">
        <f t="shared" ca="1" si="984"/>
        <v>0</v>
      </c>
      <c r="GP282" s="299">
        <f t="shared" ca="1" si="985"/>
        <v>0</v>
      </c>
      <c r="GQ282" s="299">
        <f t="shared" ca="1" si="986"/>
        <v>0</v>
      </c>
      <c r="GR282" s="299">
        <f t="shared" ca="1" si="987"/>
        <v>0</v>
      </c>
      <c r="GS282" s="302">
        <f t="shared" ca="1" si="988"/>
        <v>0</v>
      </c>
      <c r="GT282" s="299">
        <f t="shared" ca="1" si="989"/>
        <v>0</v>
      </c>
      <c r="GU282" s="299">
        <f t="shared" ca="1" si="990"/>
        <v>0</v>
      </c>
      <c r="GV282" s="299">
        <f t="shared" ca="1" si="991"/>
        <v>0</v>
      </c>
      <c r="GW282" s="299">
        <f t="shared" ca="1" si="992"/>
        <v>0</v>
      </c>
      <c r="GX282" s="303">
        <f t="shared" ca="1" si="993"/>
        <v>0</v>
      </c>
      <c r="GY282" s="303">
        <f t="shared" ca="1" si="994"/>
        <v>0</v>
      </c>
      <c r="GZ282" s="303">
        <f t="shared" ca="1" si="995"/>
        <v>0</v>
      </c>
      <c r="HA282" s="303">
        <f t="shared" ca="1" si="996"/>
        <v>0</v>
      </c>
      <c r="HB282" s="303">
        <f t="shared" ca="1" si="997"/>
        <v>0</v>
      </c>
      <c r="HC282" s="303">
        <f t="shared" ca="1" si="998"/>
        <v>0</v>
      </c>
      <c r="HD282" s="303">
        <f t="shared" ca="1" si="999"/>
        <v>0</v>
      </c>
      <c r="HE282" s="303">
        <f t="shared" ca="1" si="1000"/>
        <v>0</v>
      </c>
      <c r="HF282" s="303">
        <f t="shared" ca="1" si="1001"/>
        <v>0</v>
      </c>
      <c r="HG282" s="852">
        <f t="shared" ca="1" si="1002"/>
        <v>0</v>
      </c>
    </row>
    <row r="283" spans="1:215" x14ac:dyDescent="0.25">
      <c r="A283" s="244">
        <f t="shared" ca="1" si="1003"/>
        <v>44713</v>
      </c>
      <c r="B283" s="13">
        <f t="shared" ca="1" si="831"/>
        <v>2022</v>
      </c>
      <c r="C283" s="619">
        <f t="shared" ca="1" si="832"/>
        <v>6</v>
      </c>
      <c r="D283" s="195" t="str">
        <f t="shared" ca="1" si="833"/>
        <v/>
      </c>
      <c r="E283" s="469" t="str">
        <f t="shared" ca="1" si="834"/>
        <v/>
      </c>
      <c r="F283" s="465" t="str">
        <f t="shared" ca="1" si="835"/>
        <v/>
      </c>
      <c r="G283" s="522">
        <f t="shared" ca="1" si="1004"/>
        <v>1</v>
      </c>
      <c r="H283" s="519">
        <f t="shared" ca="1" si="1005"/>
        <v>1</v>
      </c>
      <c r="I283" s="724">
        <f t="shared" ca="1" si="836"/>
        <v>7.3925646770600997E-2</v>
      </c>
      <c r="J283" s="198">
        <f t="shared" ca="1" si="837"/>
        <v>0.19696039963771197</v>
      </c>
      <c r="K283" s="200" t="e">
        <f t="shared" ca="1" si="1013"/>
        <v>#N/A</v>
      </c>
      <c r="L283" s="201" t="e">
        <f t="shared" ca="1" si="1014"/>
        <v>#N/A</v>
      </c>
      <c r="M283" s="206" t="e">
        <f t="shared" ca="1" si="1015"/>
        <v>#N/A</v>
      </c>
      <c r="N283" s="851" t="e">
        <f t="shared" ca="1" si="1019"/>
        <v>#N/A</v>
      </c>
      <c r="O283" s="201" t="e">
        <f t="shared" ca="1" si="1020"/>
        <v>#N/A</v>
      </c>
      <c r="P283" s="206" t="e">
        <f t="shared" ca="1" si="1021"/>
        <v>#N/A</v>
      </c>
      <c r="Q283" s="201" t="e">
        <f t="shared" ca="1" si="1022"/>
        <v>#N/A</v>
      </c>
      <c r="R283" s="201" t="e">
        <f t="shared" ca="1" si="1023"/>
        <v>#N/A</v>
      </c>
      <c r="S283" s="201" t="e">
        <f t="shared" ca="1" si="1024"/>
        <v>#N/A</v>
      </c>
      <c r="T283" s="851" t="e">
        <f t="shared" ca="1" si="1016"/>
        <v>#N/A</v>
      </c>
      <c r="U283" s="201" t="e">
        <f t="shared" ca="1" si="1017"/>
        <v>#N/A</v>
      </c>
      <c r="V283" s="206" t="e">
        <f t="shared" ca="1" si="1018"/>
        <v>#N/A</v>
      </c>
      <c r="W283" s="230" t="e">
        <f t="shared" ca="1" si="1006"/>
        <v>#N/A</v>
      </c>
      <c r="X283" s="231" t="e">
        <f t="shared" ca="1" si="1007"/>
        <v>#N/A</v>
      </c>
      <c r="Y283" s="232" t="e">
        <f t="shared" ca="1" si="1008"/>
        <v>#N/A</v>
      </c>
      <c r="Z283" s="231" t="e">
        <f t="shared" ca="1" si="820"/>
        <v>#N/A</v>
      </c>
      <c r="AA283" s="231" t="e">
        <f t="shared" ca="1" si="821"/>
        <v>#N/A</v>
      </c>
      <c r="AB283" s="232" t="e">
        <f t="shared" ca="1" si="822"/>
        <v>#N/A</v>
      </c>
      <c r="AC283" s="231" t="e">
        <f t="shared" ca="1" si="823"/>
        <v>#N/A</v>
      </c>
      <c r="AD283" s="231" t="e">
        <f t="shared" ca="1" si="824"/>
        <v>#N/A</v>
      </c>
      <c r="AE283" s="232" t="e">
        <f t="shared" ca="1" si="838"/>
        <v>#N/A</v>
      </c>
      <c r="AF283" s="231" t="e">
        <f t="shared" ca="1" si="1009"/>
        <v>#N/A</v>
      </c>
      <c r="AG283" s="231" t="e">
        <f t="shared" ca="1" si="1010"/>
        <v>#N/A</v>
      </c>
      <c r="AH283" s="232" t="e">
        <f t="shared" ca="1" si="1011"/>
        <v>#N/A</v>
      </c>
      <c r="AI283" s="233" t="e">
        <f t="shared" ca="1" si="839"/>
        <v>#N/A</v>
      </c>
      <c r="AJ283" s="233" t="e">
        <f t="shared" ca="1" si="840"/>
        <v>#N/A</v>
      </c>
      <c r="AK283" s="234" t="e">
        <f t="shared" ca="1" si="841"/>
        <v>#N/A</v>
      </c>
      <c r="AL283" s="919" t="e">
        <f t="shared" ca="1" si="842"/>
        <v>#N/A</v>
      </c>
      <c r="AM283" s="233" t="e">
        <f t="shared" ca="1" si="843"/>
        <v>#N/A</v>
      </c>
      <c r="AN283" s="234" t="e">
        <f t="shared" ca="1" si="844"/>
        <v>#N/A</v>
      </c>
      <c r="AO283" s="233" t="e">
        <f t="shared" ca="1" si="845"/>
        <v>#N/A</v>
      </c>
      <c r="AP283" s="233" t="e">
        <f t="shared" ca="1" si="846"/>
        <v>#N/A</v>
      </c>
      <c r="AQ283" s="233" t="e">
        <f t="shared" ca="1" si="847"/>
        <v>#N/A</v>
      </c>
      <c r="AR283" s="919" t="e">
        <f t="shared" ca="1" si="848"/>
        <v>#N/A</v>
      </c>
      <c r="AS283" s="233" t="e">
        <f t="shared" ca="1" si="849"/>
        <v>#N/A</v>
      </c>
      <c r="AT283" s="235" t="e">
        <f t="shared" ca="1" si="850"/>
        <v>#N/A</v>
      </c>
      <c r="AU283" s="946">
        <f t="shared" si="851"/>
        <v>0.5</v>
      </c>
      <c r="AV283" s="13">
        <f t="shared" ca="1" si="852"/>
        <v>0</v>
      </c>
      <c r="AW283" s="210">
        <f t="shared" ca="1" si="853"/>
        <v>0</v>
      </c>
      <c r="AX283" s="210">
        <f t="shared" ca="1" si="854"/>
        <v>0</v>
      </c>
      <c r="AY283" s="210">
        <f t="shared" ca="1" si="855"/>
        <v>0</v>
      </c>
      <c r="AZ283" s="13">
        <f t="shared" ca="1" si="856"/>
        <v>0</v>
      </c>
      <c r="BA283" s="357">
        <f ca="1"/>
        <v>0</v>
      </c>
      <c r="BB283" s="925">
        <f ca="1"/>
        <v>0</v>
      </c>
      <c r="BC283" s="925">
        <f ca="1"/>
        <v>0</v>
      </c>
      <c r="BD283" s="928">
        <f ca="1"/>
        <v>0</v>
      </c>
      <c r="BE283" s="200">
        <f ca="1"/>
        <v>0</v>
      </c>
      <c r="BF283" s="851">
        <f ca="1"/>
        <v>0</v>
      </c>
      <c r="BG283" s="851">
        <f ca="1"/>
        <v>0</v>
      </c>
      <c r="BH283" s="933">
        <f ca="1"/>
        <v>0</v>
      </c>
      <c r="BI283" s="357">
        <f ca="1"/>
        <v>0</v>
      </c>
      <c r="BJ283" s="925">
        <f ca="1"/>
        <v>0</v>
      </c>
      <c r="BK283" s="925">
        <f ca="1"/>
        <v>0</v>
      </c>
      <c r="BL283" s="928">
        <f ca="1"/>
        <v>0</v>
      </c>
      <c r="BM283" s="200">
        <f ca="1"/>
        <v>0</v>
      </c>
      <c r="BN283" s="851">
        <f ca="1"/>
        <v>0</v>
      </c>
      <c r="BO283" s="851">
        <f ca="1"/>
        <v>0</v>
      </c>
      <c r="BP283" s="933">
        <f ca="1"/>
        <v>0</v>
      </c>
      <c r="BQ283" s="357">
        <f t="shared" ca="1" si="857"/>
        <v>0</v>
      </c>
      <c r="BR283" s="361">
        <f t="shared" ca="1" si="858"/>
        <v>0</v>
      </c>
      <c r="BS283" s="357">
        <f t="shared" ca="1" si="859"/>
        <v>0</v>
      </c>
      <c r="BT283" s="302">
        <f t="shared" ca="1" si="860"/>
        <v>0</v>
      </c>
      <c r="BU283" s="299">
        <f t="shared" ca="1" si="861"/>
        <v>0</v>
      </c>
      <c r="BV283" s="299">
        <f t="shared" ca="1" si="862"/>
        <v>0</v>
      </c>
      <c r="BW283" s="299">
        <f t="shared" ca="1" si="863"/>
        <v>0</v>
      </c>
      <c r="BX283" s="380">
        <f t="shared" ca="1" si="864"/>
        <v>22.247775496235455</v>
      </c>
      <c r="BY283" s="363">
        <f t="shared" ca="1" si="865"/>
        <v>0</v>
      </c>
      <c r="BZ283" s="353">
        <f t="shared" ca="1" si="866"/>
        <v>0</v>
      </c>
      <c r="CA283" s="353">
        <f t="shared" ca="1" si="867"/>
        <v>0</v>
      </c>
      <c r="CB283" s="353">
        <f t="shared" ca="1" si="868"/>
        <v>0</v>
      </c>
      <c r="CC283" s="353">
        <f t="shared" ca="1" si="869"/>
        <v>0</v>
      </c>
      <c r="CD283" s="353">
        <f t="shared" ca="1" si="870"/>
        <v>0</v>
      </c>
      <c r="CE283" s="302">
        <f t="shared" ca="1" si="871"/>
        <v>0</v>
      </c>
      <c r="CF283" s="299">
        <f t="shared" ca="1" si="872"/>
        <v>0</v>
      </c>
      <c r="CG283" s="299">
        <f t="shared" ca="1" si="873"/>
        <v>0</v>
      </c>
      <c r="CH283" s="299">
        <f t="shared" ca="1" si="874"/>
        <v>0</v>
      </c>
      <c r="CI283" s="299">
        <f t="shared" ca="1" si="875"/>
        <v>0</v>
      </c>
      <c r="CJ283" s="299">
        <f t="shared" ca="1" si="876"/>
        <v>0</v>
      </c>
      <c r="CK283" s="299">
        <f t="shared" ca="1" si="877"/>
        <v>0</v>
      </c>
      <c r="CL283" s="377" t="str">
        <f t="shared" ca="1" si="878"/>
        <v/>
      </c>
      <c r="CM283" s="305" t="str">
        <f t="shared" ca="1" si="879"/>
        <v/>
      </c>
      <c r="CN283" s="305" t="str">
        <f t="shared" ca="1" si="880"/>
        <v/>
      </c>
      <c r="CO283" s="305" t="str">
        <f t="shared" ca="1" si="881"/>
        <v/>
      </c>
      <c r="CP283" s="305" t="str">
        <f t="shared" ca="1" si="882"/>
        <v/>
      </c>
      <c r="CQ283" s="305" t="str">
        <f t="shared" ca="1" si="883"/>
        <v/>
      </c>
      <c r="CR283" s="775" t="str">
        <f t="shared" ca="1" si="884"/>
        <v/>
      </c>
      <c r="CS283" s="305" t="str">
        <f t="shared" ca="1" si="885"/>
        <v/>
      </c>
      <c r="CT283" s="305" t="str">
        <f t="shared" ca="1" si="886"/>
        <v/>
      </c>
      <c r="CU283" s="305" t="str">
        <f t="shared" ca="1" si="887"/>
        <v/>
      </c>
      <c r="CV283" s="770" t="str">
        <f t="shared" ca="1" si="888"/>
        <v/>
      </c>
      <c r="CW283" s="302">
        <f t="shared" ca="1" si="889"/>
        <v>0</v>
      </c>
      <c r="CX283" s="299">
        <f t="shared" ca="1" si="890"/>
        <v>0</v>
      </c>
      <c r="CY283" s="299">
        <f t="shared" ca="1" si="891"/>
        <v>0</v>
      </c>
      <c r="CZ283" s="299">
        <f t="shared" ca="1" si="892"/>
        <v>0</v>
      </c>
      <c r="DA283" s="774">
        <f t="shared" ca="1" si="893"/>
        <v>0</v>
      </c>
      <c r="DB283" s="303">
        <f t="shared" ca="1" si="894"/>
        <v>0</v>
      </c>
      <c r="DC283" s="248">
        <f t="shared" ca="1" si="895"/>
        <v>0</v>
      </c>
      <c r="DD283" s="778">
        <f t="shared" ca="1" si="896"/>
        <v>0</v>
      </c>
      <c r="DE283" s="363">
        <f t="shared" ca="1" si="897"/>
        <v>0</v>
      </c>
      <c r="DF283" s="378" t="str">
        <f t="shared" ca="1" si="898"/>
        <v/>
      </c>
      <c r="DG283" s="508" t="str">
        <f t="shared" ca="1" si="899"/>
        <v/>
      </c>
      <c r="DH283" s="508" t="str">
        <f t="shared" ca="1" si="900"/>
        <v/>
      </c>
      <c r="DI283" s="508" t="str">
        <f t="shared" ca="1" si="901"/>
        <v/>
      </c>
      <c r="DJ283" s="508" t="str">
        <f t="shared" ca="1" si="902"/>
        <v/>
      </c>
      <c r="DK283" s="353">
        <f t="shared" ca="1" si="903"/>
        <v>0</v>
      </c>
      <c r="DL283" s="781">
        <f t="shared" ca="1" si="904"/>
        <v>0</v>
      </c>
      <c r="DM283" s="303">
        <f t="shared" ca="1" si="905"/>
        <v>0</v>
      </c>
      <c r="DN283" s="508" t="str">
        <f t="shared" ca="1" si="906"/>
        <v/>
      </c>
      <c r="DO283" s="508" t="str">
        <f t="shared" ca="1" si="907"/>
        <v/>
      </c>
      <c r="DP283" s="508" t="str">
        <f t="shared" ca="1" si="908"/>
        <v/>
      </c>
      <c r="DQ283" s="508" t="str">
        <f t="shared" ca="1" si="909"/>
        <v/>
      </c>
      <c r="DR283" s="508" t="str">
        <f t="shared" ca="1" si="910"/>
        <v/>
      </c>
      <c r="DS283" s="353">
        <f t="shared" ca="1" si="911"/>
        <v>0</v>
      </c>
      <c r="DT283" s="353">
        <f t="shared" ca="1" si="912"/>
        <v>0</v>
      </c>
      <c r="DU283" s="380">
        <f t="shared" ca="1" si="1012"/>
        <v>22.247775496235455</v>
      </c>
      <c r="DV283" s="303">
        <f t="shared" ca="1" si="913"/>
        <v>0</v>
      </c>
      <c r="DW283" s="303">
        <f t="shared" ca="1" si="914"/>
        <v>0</v>
      </c>
      <c r="DX283" s="303">
        <f t="shared" ca="1" si="915"/>
        <v>0</v>
      </c>
      <c r="DY283" s="303">
        <f t="shared" ca="1" si="916"/>
        <v>0</v>
      </c>
      <c r="DZ283" s="303">
        <f t="shared" ca="1" si="917"/>
        <v>0</v>
      </c>
      <c r="EA283" s="303">
        <f t="shared" ca="1" si="918"/>
        <v>0</v>
      </c>
      <c r="EB283" s="302">
        <f t="shared" ca="1" si="919"/>
        <v>0</v>
      </c>
      <c r="EC283" s="299">
        <f t="shared" ca="1" si="920"/>
        <v>0</v>
      </c>
      <c r="ED283" s="299">
        <f t="shared" ca="1" si="921"/>
        <v>0</v>
      </c>
      <c r="EE283" s="299">
        <f t="shared" ca="1" si="922"/>
        <v>0</v>
      </c>
      <c r="EF283" s="299">
        <f t="shared" ca="1" si="923"/>
        <v>0</v>
      </c>
      <c r="EG283" s="299">
        <f t="shared" ca="1" si="924"/>
        <v>0</v>
      </c>
      <c r="EH283" s="302">
        <f t="shared" ca="1" si="925"/>
        <v>0</v>
      </c>
      <c r="EI283" s="304" t="str">
        <f t="shared" ca="1" si="926"/>
        <v/>
      </c>
      <c r="EJ283" s="305" t="str">
        <f t="shared" ca="1" si="927"/>
        <v/>
      </c>
      <c r="EK283" s="305" t="str">
        <f t="shared" ca="1" si="928"/>
        <v/>
      </c>
      <c r="EL283" s="305" t="str">
        <f t="shared" ca="1" si="929"/>
        <v/>
      </c>
      <c r="EM283" s="305" t="str">
        <f t="shared" ca="1" si="930"/>
        <v/>
      </c>
      <c r="EN283" s="305" t="str">
        <f t="shared" ca="1" si="931"/>
        <v/>
      </c>
      <c r="EO283" s="305" t="str">
        <f t="shared" ca="1" si="932"/>
        <v/>
      </c>
      <c r="EP283" s="305" t="str">
        <f t="shared" ca="1" si="933"/>
        <v/>
      </c>
      <c r="EQ283" s="305" t="str">
        <f t="shared" ca="1" si="934"/>
        <v/>
      </c>
      <c r="ER283" s="305" t="str">
        <f t="shared" ca="1" si="935"/>
        <v/>
      </c>
      <c r="ES283" s="305" t="str">
        <f t="shared" ca="1" si="936"/>
        <v/>
      </c>
      <c r="ET283" s="299">
        <f t="shared" ca="1" si="937"/>
        <v>0</v>
      </c>
      <c r="EU283" s="302">
        <f t="shared" ca="1" si="938"/>
        <v>0</v>
      </c>
      <c r="EV283" s="304" t="str">
        <f t="shared" ca="1" si="939"/>
        <v/>
      </c>
      <c r="EW283" s="305" t="str">
        <f t="shared" ca="1" si="940"/>
        <v/>
      </c>
      <c r="EX283" s="305" t="str">
        <f t="shared" ca="1" si="941"/>
        <v/>
      </c>
      <c r="EY283" s="305" t="str">
        <f t="shared" ca="1" si="942"/>
        <v/>
      </c>
      <c r="EZ283" s="305" t="str">
        <f t="shared" ca="1" si="943"/>
        <v/>
      </c>
      <c r="FA283" s="305" t="str">
        <f t="shared" ca="1" si="944"/>
        <v/>
      </c>
      <c r="FB283" s="305" t="str">
        <f t="shared" ca="1" si="945"/>
        <v/>
      </c>
      <c r="FC283" s="305" t="str">
        <f t="shared" ca="1" si="946"/>
        <v/>
      </c>
      <c r="FD283" s="305" t="str">
        <f t="shared" ca="1" si="947"/>
        <v/>
      </c>
      <c r="FE283" s="305" t="str">
        <f t="shared" ca="1" si="948"/>
        <v/>
      </c>
      <c r="FF283" s="305" t="str">
        <f t="shared" ca="1" si="949"/>
        <v/>
      </c>
      <c r="FG283" s="299">
        <f t="shared" ca="1" si="950"/>
        <v>0</v>
      </c>
      <c r="FH283" s="302">
        <f t="shared" ca="1" si="951"/>
        <v>0</v>
      </c>
      <c r="FI283" s="248">
        <f t="shared" ca="1" si="952"/>
        <v>0</v>
      </c>
      <c r="FJ283" s="363">
        <f t="shared" ca="1" si="953"/>
        <v>0</v>
      </c>
      <c r="FK283" s="378" t="str">
        <f t="shared" ca="1" si="954"/>
        <v/>
      </c>
      <c r="FL283" s="508" t="str">
        <f t="shared" ca="1" si="955"/>
        <v/>
      </c>
      <c r="FM283" s="508" t="str">
        <f t="shared" ca="1" si="956"/>
        <v/>
      </c>
      <c r="FN283" s="508" t="str">
        <f t="shared" ca="1" si="957"/>
        <v/>
      </c>
      <c r="FO283" s="508" t="str">
        <f t="shared" ca="1" si="958"/>
        <v/>
      </c>
      <c r="FP283" s="353">
        <f t="shared" ca="1" si="959"/>
        <v>0</v>
      </c>
      <c r="FQ283" s="356">
        <f t="shared" ca="1" si="960"/>
        <v>0</v>
      </c>
      <c r="FR283" s="380">
        <f t="shared" ca="1" si="961"/>
        <v>0</v>
      </c>
      <c r="FS283" s="299">
        <f t="shared" ca="1" si="962"/>
        <v>0</v>
      </c>
      <c r="FT283" s="299">
        <f t="shared" ca="1" si="963"/>
        <v>0</v>
      </c>
      <c r="FU283" s="299">
        <f t="shared" ca="1" si="964"/>
        <v>0</v>
      </c>
      <c r="FV283" s="299">
        <f t="shared" ca="1" si="965"/>
        <v>0</v>
      </c>
      <c r="FW283" s="850" t="str">
        <f t="shared" ca="1" si="966"/>
        <v/>
      </c>
      <c r="FX283" s="851" t="str">
        <f t="shared" ca="1" si="967"/>
        <v/>
      </c>
      <c r="FY283" s="851" t="str">
        <f t="shared" ca="1" si="968"/>
        <v/>
      </c>
      <c r="FZ283" s="201" t="str">
        <f t="shared" ca="1" si="969"/>
        <v/>
      </c>
      <c r="GA283" s="201" t="str">
        <f t="shared" ca="1" si="970"/>
        <v/>
      </c>
      <c r="GB283" s="201" t="str">
        <f t="shared" ca="1" si="971"/>
        <v/>
      </c>
      <c r="GC283" s="201" t="str">
        <f t="shared" ca="1" si="972"/>
        <v/>
      </c>
      <c r="GD283" s="850" t="str">
        <f t="shared" ca="1" si="973"/>
        <v/>
      </c>
      <c r="GE283" s="866" t="str">
        <f t="shared" ca="1" si="974"/>
        <v/>
      </c>
      <c r="GF283" s="866" t="str">
        <f t="shared" ca="1" si="975"/>
        <v/>
      </c>
      <c r="GG283" s="866" t="str">
        <f t="shared" ca="1" si="976"/>
        <v/>
      </c>
      <c r="GH283" s="866" t="str">
        <f t="shared" ca="1" si="977"/>
        <v/>
      </c>
      <c r="GI283" s="302">
        <f t="shared" ca="1" si="978"/>
        <v>0</v>
      </c>
      <c r="GJ283" s="299">
        <f t="shared" ca="1" si="979"/>
        <v>0</v>
      </c>
      <c r="GK283" s="299">
        <f t="shared" ca="1" si="980"/>
        <v>0</v>
      </c>
      <c r="GL283" s="299">
        <f t="shared" ca="1" si="981"/>
        <v>0</v>
      </c>
      <c r="GM283" s="299">
        <f t="shared" ca="1" si="982"/>
        <v>0</v>
      </c>
      <c r="GN283" s="302">
        <f t="shared" ca="1" si="983"/>
        <v>0</v>
      </c>
      <c r="GO283" s="299">
        <f t="shared" ca="1" si="984"/>
        <v>0</v>
      </c>
      <c r="GP283" s="299">
        <f t="shared" ca="1" si="985"/>
        <v>0</v>
      </c>
      <c r="GQ283" s="299">
        <f t="shared" ca="1" si="986"/>
        <v>0</v>
      </c>
      <c r="GR283" s="299">
        <f t="shared" ca="1" si="987"/>
        <v>0</v>
      </c>
      <c r="GS283" s="302">
        <f t="shared" ca="1" si="988"/>
        <v>0</v>
      </c>
      <c r="GT283" s="299">
        <f t="shared" ca="1" si="989"/>
        <v>0</v>
      </c>
      <c r="GU283" s="299">
        <f t="shared" ca="1" si="990"/>
        <v>0</v>
      </c>
      <c r="GV283" s="299">
        <f t="shared" ca="1" si="991"/>
        <v>0</v>
      </c>
      <c r="GW283" s="299">
        <f t="shared" ca="1" si="992"/>
        <v>0</v>
      </c>
      <c r="GX283" s="303">
        <f t="shared" ca="1" si="993"/>
        <v>0</v>
      </c>
      <c r="GY283" s="303">
        <f t="shared" ca="1" si="994"/>
        <v>0</v>
      </c>
      <c r="GZ283" s="303">
        <f t="shared" ca="1" si="995"/>
        <v>0</v>
      </c>
      <c r="HA283" s="303">
        <f t="shared" ca="1" si="996"/>
        <v>0</v>
      </c>
      <c r="HB283" s="303">
        <f t="shared" ca="1" si="997"/>
        <v>0</v>
      </c>
      <c r="HC283" s="303">
        <f t="shared" ca="1" si="998"/>
        <v>0</v>
      </c>
      <c r="HD283" s="303">
        <f t="shared" ca="1" si="999"/>
        <v>0</v>
      </c>
      <c r="HE283" s="303">
        <f t="shared" ca="1" si="1000"/>
        <v>0</v>
      </c>
      <c r="HF283" s="303">
        <f t="shared" ca="1" si="1001"/>
        <v>0</v>
      </c>
      <c r="HG283" s="852">
        <f t="shared" ca="1" si="1002"/>
        <v>0</v>
      </c>
    </row>
    <row r="284" spans="1:215" x14ac:dyDescent="0.25">
      <c r="A284" s="244">
        <f t="shared" ca="1" si="1003"/>
        <v>44743</v>
      </c>
      <c r="B284" s="13">
        <f t="shared" ca="1" si="831"/>
        <v>2022</v>
      </c>
      <c r="C284" s="619">
        <f t="shared" ca="1" si="832"/>
        <v>7</v>
      </c>
      <c r="D284" s="195">
        <f t="shared" ca="1" si="833"/>
        <v>44746</v>
      </c>
      <c r="E284" s="469" t="str">
        <f t="shared" ca="1" si="834"/>
        <v/>
      </c>
      <c r="F284" s="465" t="str">
        <f t="shared" ca="1" si="835"/>
        <v/>
      </c>
      <c r="G284" s="522">
        <f t="shared" ca="1" si="1004"/>
        <v>1</v>
      </c>
      <c r="H284" s="519">
        <f t="shared" ca="1" si="1005"/>
        <v>1</v>
      </c>
      <c r="I284" s="724">
        <f t="shared" ca="1" si="836"/>
        <v>7.3916709387923996E-2</v>
      </c>
      <c r="J284" s="198">
        <f t="shared" ca="1" si="837"/>
        <v>0.19578853771855159</v>
      </c>
      <c r="K284" s="200" t="e">
        <f t="shared" ca="1" si="1013"/>
        <v>#N/A</v>
      </c>
      <c r="L284" s="201" t="e">
        <f t="shared" ca="1" si="1014"/>
        <v>#N/A</v>
      </c>
      <c r="M284" s="206" t="e">
        <f t="shared" ca="1" si="1015"/>
        <v>#N/A</v>
      </c>
      <c r="N284" s="851" t="e">
        <f t="shared" ca="1" si="1019"/>
        <v>#N/A</v>
      </c>
      <c r="O284" s="201" t="e">
        <f t="shared" ca="1" si="1020"/>
        <v>#N/A</v>
      </c>
      <c r="P284" s="206" t="e">
        <f t="shared" ca="1" si="1021"/>
        <v>#N/A</v>
      </c>
      <c r="Q284" s="201" t="e">
        <f t="shared" ca="1" si="1022"/>
        <v>#N/A</v>
      </c>
      <c r="R284" s="201" t="e">
        <f t="shared" ca="1" si="1023"/>
        <v>#N/A</v>
      </c>
      <c r="S284" s="201" t="e">
        <f t="shared" ca="1" si="1024"/>
        <v>#N/A</v>
      </c>
      <c r="T284" s="851" t="e">
        <f t="shared" ca="1" si="1016"/>
        <v>#N/A</v>
      </c>
      <c r="U284" s="201" t="e">
        <f t="shared" ca="1" si="1017"/>
        <v>#N/A</v>
      </c>
      <c r="V284" s="206" t="e">
        <f t="shared" ca="1" si="1018"/>
        <v>#N/A</v>
      </c>
      <c r="W284" s="230" t="e">
        <f t="shared" ca="1" si="1006"/>
        <v>#N/A</v>
      </c>
      <c r="X284" s="231" t="e">
        <f t="shared" ca="1" si="1007"/>
        <v>#N/A</v>
      </c>
      <c r="Y284" s="232" t="e">
        <f t="shared" ca="1" si="1008"/>
        <v>#N/A</v>
      </c>
      <c r="Z284" s="231" t="e">
        <f t="shared" ca="1" si="820"/>
        <v>#N/A</v>
      </c>
      <c r="AA284" s="231" t="e">
        <f t="shared" ca="1" si="821"/>
        <v>#N/A</v>
      </c>
      <c r="AB284" s="232" t="e">
        <f t="shared" ca="1" si="822"/>
        <v>#N/A</v>
      </c>
      <c r="AC284" s="231" t="e">
        <f t="shared" ca="1" si="823"/>
        <v>#N/A</v>
      </c>
      <c r="AD284" s="231" t="e">
        <f t="shared" ca="1" si="824"/>
        <v>#N/A</v>
      </c>
      <c r="AE284" s="232" t="e">
        <f t="shared" ca="1" si="838"/>
        <v>#N/A</v>
      </c>
      <c r="AF284" s="231" t="e">
        <f t="shared" ca="1" si="1009"/>
        <v>#N/A</v>
      </c>
      <c r="AG284" s="231" t="e">
        <f t="shared" ca="1" si="1010"/>
        <v>#N/A</v>
      </c>
      <c r="AH284" s="232" t="e">
        <f t="shared" ca="1" si="1011"/>
        <v>#N/A</v>
      </c>
      <c r="AI284" s="233" t="e">
        <f t="shared" ca="1" si="839"/>
        <v>#N/A</v>
      </c>
      <c r="AJ284" s="233" t="e">
        <f t="shared" ca="1" si="840"/>
        <v>#N/A</v>
      </c>
      <c r="AK284" s="234" t="e">
        <f t="shared" ca="1" si="841"/>
        <v>#N/A</v>
      </c>
      <c r="AL284" s="919" t="e">
        <f t="shared" ca="1" si="842"/>
        <v>#N/A</v>
      </c>
      <c r="AM284" s="233" t="e">
        <f t="shared" ca="1" si="843"/>
        <v>#N/A</v>
      </c>
      <c r="AN284" s="234" t="e">
        <f t="shared" ca="1" si="844"/>
        <v>#N/A</v>
      </c>
      <c r="AO284" s="233" t="e">
        <f t="shared" ca="1" si="845"/>
        <v>#N/A</v>
      </c>
      <c r="AP284" s="233" t="e">
        <f t="shared" ca="1" si="846"/>
        <v>#N/A</v>
      </c>
      <c r="AQ284" s="233" t="e">
        <f t="shared" ca="1" si="847"/>
        <v>#N/A</v>
      </c>
      <c r="AR284" s="919" t="e">
        <f t="shared" ca="1" si="848"/>
        <v>#N/A</v>
      </c>
      <c r="AS284" s="233" t="e">
        <f t="shared" ca="1" si="849"/>
        <v>#N/A</v>
      </c>
      <c r="AT284" s="235" t="e">
        <f t="shared" ca="1" si="850"/>
        <v>#N/A</v>
      </c>
      <c r="AU284" s="946">
        <f t="shared" si="851"/>
        <v>0.5</v>
      </c>
      <c r="AV284" s="13">
        <f t="shared" ca="1" si="852"/>
        <v>0</v>
      </c>
      <c r="AW284" s="210">
        <f t="shared" ca="1" si="853"/>
        <v>0</v>
      </c>
      <c r="AX284" s="210">
        <f t="shared" ca="1" si="854"/>
        <v>0</v>
      </c>
      <c r="AY284" s="210">
        <f t="shared" ca="1" si="855"/>
        <v>0</v>
      </c>
      <c r="AZ284" s="13">
        <f t="shared" ca="1" si="856"/>
        <v>0</v>
      </c>
      <c r="BA284" s="357">
        <f ca="1"/>
        <v>0</v>
      </c>
      <c r="BB284" s="925">
        <f ca="1"/>
        <v>0</v>
      </c>
      <c r="BC284" s="925">
        <f ca="1"/>
        <v>0</v>
      </c>
      <c r="BD284" s="928">
        <f ca="1"/>
        <v>0</v>
      </c>
      <c r="BE284" s="200">
        <f ca="1"/>
        <v>0</v>
      </c>
      <c r="BF284" s="851">
        <f ca="1"/>
        <v>0</v>
      </c>
      <c r="BG284" s="851">
        <f ca="1"/>
        <v>0</v>
      </c>
      <c r="BH284" s="933">
        <f ca="1"/>
        <v>0</v>
      </c>
      <c r="BI284" s="357">
        <f ca="1"/>
        <v>0</v>
      </c>
      <c r="BJ284" s="925">
        <f ca="1"/>
        <v>0</v>
      </c>
      <c r="BK284" s="925">
        <f ca="1"/>
        <v>0</v>
      </c>
      <c r="BL284" s="928">
        <f ca="1"/>
        <v>0</v>
      </c>
      <c r="BM284" s="200">
        <f ca="1"/>
        <v>0</v>
      </c>
      <c r="BN284" s="851">
        <f ca="1"/>
        <v>0</v>
      </c>
      <c r="BO284" s="851">
        <f ca="1"/>
        <v>0</v>
      </c>
      <c r="BP284" s="933">
        <f ca="1"/>
        <v>0</v>
      </c>
      <c r="BQ284" s="357">
        <f t="shared" ca="1" si="857"/>
        <v>0</v>
      </c>
      <c r="BR284" s="361">
        <f t="shared" ca="1" si="858"/>
        <v>0</v>
      </c>
      <c r="BS284" s="357">
        <f t="shared" ca="1" si="859"/>
        <v>0</v>
      </c>
      <c r="BT284" s="302">
        <f t="shared" ca="1" si="860"/>
        <v>0</v>
      </c>
      <c r="BU284" s="299">
        <f t="shared" ca="1" si="861"/>
        <v>0</v>
      </c>
      <c r="BV284" s="299">
        <f t="shared" ca="1" si="862"/>
        <v>0</v>
      </c>
      <c r="BW284" s="299">
        <f t="shared" ca="1" si="863"/>
        <v>0</v>
      </c>
      <c r="BX284" s="380">
        <f t="shared" ca="1" si="864"/>
        <v>22.329911019849419</v>
      </c>
      <c r="BY284" s="363">
        <f t="shared" ca="1" si="865"/>
        <v>0</v>
      </c>
      <c r="BZ284" s="353">
        <f t="shared" ca="1" si="866"/>
        <v>0</v>
      </c>
      <c r="CA284" s="353">
        <f t="shared" ca="1" si="867"/>
        <v>0</v>
      </c>
      <c r="CB284" s="353">
        <f t="shared" ca="1" si="868"/>
        <v>0</v>
      </c>
      <c r="CC284" s="353">
        <f t="shared" ca="1" si="869"/>
        <v>0</v>
      </c>
      <c r="CD284" s="353">
        <f t="shared" ca="1" si="870"/>
        <v>0</v>
      </c>
      <c r="CE284" s="302">
        <f t="shared" ca="1" si="871"/>
        <v>0</v>
      </c>
      <c r="CF284" s="299">
        <f t="shared" ca="1" si="872"/>
        <v>0</v>
      </c>
      <c r="CG284" s="299">
        <f t="shared" ca="1" si="873"/>
        <v>0</v>
      </c>
      <c r="CH284" s="299">
        <f t="shared" ca="1" si="874"/>
        <v>0</v>
      </c>
      <c r="CI284" s="299">
        <f t="shared" ca="1" si="875"/>
        <v>0</v>
      </c>
      <c r="CJ284" s="299">
        <f t="shared" ca="1" si="876"/>
        <v>0</v>
      </c>
      <c r="CK284" s="299">
        <f t="shared" ca="1" si="877"/>
        <v>0</v>
      </c>
      <c r="CL284" s="377" t="str">
        <f t="shared" ca="1" si="878"/>
        <v/>
      </c>
      <c r="CM284" s="305" t="str">
        <f t="shared" ca="1" si="879"/>
        <v/>
      </c>
      <c r="CN284" s="305" t="str">
        <f t="shared" ca="1" si="880"/>
        <v/>
      </c>
      <c r="CO284" s="305" t="str">
        <f t="shared" ca="1" si="881"/>
        <v/>
      </c>
      <c r="CP284" s="305" t="str">
        <f t="shared" ca="1" si="882"/>
        <v/>
      </c>
      <c r="CQ284" s="305" t="str">
        <f t="shared" ca="1" si="883"/>
        <v/>
      </c>
      <c r="CR284" s="775" t="str">
        <f t="shared" ca="1" si="884"/>
        <v/>
      </c>
      <c r="CS284" s="305" t="str">
        <f t="shared" ca="1" si="885"/>
        <v/>
      </c>
      <c r="CT284" s="305" t="str">
        <f t="shared" ca="1" si="886"/>
        <v/>
      </c>
      <c r="CU284" s="305" t="str">
        <f t="shared" ca="1" si="887"/>
        <v/>
      </c>
      <c r="CV284" s="770" t="str">
        <f t="shared" ca="1" si="888"/>
        <v/>
      </c>
      <c r="CW284" s="302">
        <f t="shared" ca="1" si="889"/>
        <v>0</v>
      </c>
      <c r="CX284" s="299">
        <f t="shared" ca="1" si="890"/>
        <v>0</v>
      </c>
      <c r="CY284" s="299">
        <f t="shared" ca="1" si="891"/>
        <v>0</v>
      </c>
      <c r="CZ284" s="299">
        <f t="shared" ca="1" si="892"/>
        <v>0</v>
      </c>
      <c r="DA284" s="774">
        <f t="shared" ca="1" si="893"/>
        <v>0</v>
      </c>
      <c r="DB284" s="303">
        <f t="shared" ca="1" si="894"/>
        <v>0</v>
      </c>
      <c r="DC284" s="248">
        <f t="shared" ca="1" si="895"/>
        <v>0</v>
      </c>
      <c r="DD284" s="778">
        <f t="shared" ca="1" si="896"/>
        <v>0</v>
      </c>
      <c r="DE284" s="363">
        <f t="shared" ca="1" si="897"/>
        <v>0</v>
      </c>
      <c r="DF284" s="378" t="str">
        <f t="shared" ca="1" si="898"/>
        <v/>
      </c>
      <c r="DG284" s="508" t="str">
        <f t="shared" ca="1" si="899"/>
        <v/>
      </c>
      <c r="DH284" s="508" t="str">
        <f t="shared" ca="1" si="900"/>
        <v/>
      </c>
      <c r="DI284" s="508" t="str">
        <f t="shared" ca="1" si="901"/>
        <v/>
      </c>
      <c r="DJ284" s="508" t="str">
        <f t="shared" ca="1" si="902"/>
        <v/>
      </c>
      <c r="DK284" s="353">
        <f t="shared" ca="1" si="903"/>
        <v>0</v>
      </c>
      <c r="DL284" s="781">
        <f t="shared" ca="1" si="904"/>
        <v>0</v>
      </c>
      <c r="DM284" s="303">
        <f t="shared" ca="1" si="905"/>
        <v>0</v>
      </c>
      <c r="DN284" s="508" t="str">
        <f t="shared" ca="1" si="906"/>
        <v/>
      </c>
      <c r="DO284" s="508" t="str">
        <f t="shared" ca="1" si="907"/>
        <v/>
      </c>
      <c r="DP284" s="508" t="str">
        <f t="shared" ca="1" si="908"/>
        <v/>
      </c>
      <c r="DQ284" s="508" t="str">
        <f t="shared" ca="1" si="909"/>
        <v/>
      </c>
      <c r="DR284" s="508" t="str">
        <f t="shared" ca="1" si="910"/>
        <v/>
      </c>
      <c r="DS284" s="353">
        <f t="shared" ca="1" si="911"/>
        <v>0</v>
      </c>
      <c r="DT284" s="353">
        <f t="shared" ca="1" si="912"/>
        <v>0</v>
      </c>
      <c r="DU284" s="380">
        <f t="shared" ca="1" si="1012"/>
        <v>22.329911019849419</v>
      </c>
      <c r="DV284" s="303">
        <f t="shared" ca="1" si="913"/>
        <v>0</v>
      </c>
      <c r="DW284" s="303">
        <f t="shared" ca="1" si="914"/>
        <v>0</v>
      </c>
      <c r="DX284" s="303">
        <f t="shared" ca="1" si="915"/>
        <v>0</v>
      </c>
      <c r="DY284" s="303">
        <f t="shared" ca="1" si="916"/>
        <v>0</v>
      </c>
      <c r="DZ284" s="303">
        <f t="shared" ca="1" si="917"/>
        <v>0</v>
      </c>
      <c r="EA284" s="303">
        <f t="shared" ca="1" si="918"/>
        <v>0</v>
      </c>
      <c r="EB284" s="302">
        <f t="shared" ca="1" si="919"/>
        <v>0</v>
      </c>
      <c r="EC284" s="299">
        <f t="shared" ca="1" si="920"/>
        <v>0</v>
      </c>
      <c r="ED284" s="299">
        <f t="shared" ca="1" si="921"/>
        <v>0</v>
      </c>
      <c r="EE284" s="299">
        <f t="shared" ca="1" si="922"/>
        <v>0</v>
      </c>
      <c r="EF284" s="299">
        <f t="shared" ca="1" si="923"/>
        <v>0</v>
      </c>
      <c r="EG284" s="299">
        <f t="shared" ca="1" si="924"/>
        <v>0</v>
      </c>
      <c r="EH284" s="302">
        <f t="shared" ca="1" si="925"/>
        <v>0</v>
      </c>
      <c r="EI284" s="304" t="str">
        <f t="shared" ca="1" si="926"/>
        <v/>
      </c>
      <c r="EJ284" s="305" t="str">
        <f t="shared" ca="1" si="927"/>
        <v/>
      </c>
      <c r="EK284" s="305" t="str">
        <f t="shared" ca="1" si="928"/>
        <v/>
      </c>
      <c r="EL284" s="305" t="str">
        <f t="shared" ca="1" si="929"/>
        <v/>
      </c>
      <c r="EM284" s="305" t="str">
        <f t="shared" ca="1" si="930"/>
        <v/>
      </c>
      <c r="EN284" s="305" t="str">
        <f t="shared" ca="1" si="931"/>
        <v/>
      </c>
      <c r="EO284" s="305" t="str">
        <f t="shared" ca="1" si="932"/>
        <v/>
      </c>
      <c r="EP284" s="305" t="str">
        <f t="shared" ca="1" si="933"/>
        <v/>
      </c>
      <c r="EQ284" s="305" t="str">
        <f t="shared" ca="1" si="934"/>
        <v/>
      </c>
      <c r="ER284" s="305" t="str">
        <f t="shared" ca="1" si="935"/>
        <v/>
      </c>
      <c r="ES284" s="305" t="str">
        <f t="shared" ca="1" si="936"/>
        <v/>
      </c>
      <c r="ET284" s="299">
        <f t="shared" ca="1" si="937"/>
        <v>0</v>
      </c>
      <c r="EU284" s="302">
        <f t="shared" ca="1" si="938"/>
        <v>0</v>
      </c>
      <c r="EV284" s="304" t="str">
        <f t="shared" ca="1" si="939"/>
        <v/>
      </c>
      <c r="EW284" s="305" t="str">
        <f t="shared" ca="1" si="940"/>
        <v/>
      </c>
      <c r="EX284" s="305" t="str">
        <f t="shared" ca="1" si="941"/>
        <v/>
      </c>
      <c r="EY284" s="305" t="str">
        <f t="shared" ca="1" si="942"/>
        <v/>
      </c>
      <c r="EZ284" s="305" t="str">
        <f t="shared" ca="1" si="943"/>
        <v/>
      </c>
      <c r="FA284" s="305" t="str">
        <f t="shared" ca="1" si="944"/>
        <v/>
      </c>
      <c r="FB284" s="305" t="str">
        <f t="shared" ca="1" si="945"/>
        <v/>
      </c>
      <c r="FC284" s="305" t="str">
        <f t="shared" ca="1" si="946"/>
        <v/>
      </c>
      <c r="FD284" s="305" t="str">
        <f t="shared" ca="1" si="947"/>
        <v/>
      </c>
      <c r="FE284" s="305" t="str">
        <f t="shared" ca="1" si="948"/>
        <v/>
      </c>
      <c r="FF284" s="305" t="str">
        <f t="shared" ca="1" si="949"/>
        <v/>
      </c>
      <c r="FG284" s="299">
        <f t="shared" ca="1" si="950"/>
        <v>0</v>
      </c>
      <c r="FH284" s="302">
        <f t="shared" ca="1" si="951"/>
        <v>0</v>
      </c>
      <c r="FI284" s="248">
        <f t="shared" ca="1" si="952"/>
        <v>0</v>
      </c>
      <c r="FJ284" s="363">
        <f t="shared" ca="1" si="953"/>
        <v>0</v>
      </c>
      <c r="FK284" s="378" t="str">
        <f t="shared" ca="1" si="954"/>
        <v/>
      </c>
      <c r="FL284" s="508" t="str">
        <f t="shared" ca="1" si="955"/>
        <v/>
      </c>
      <c r="FM284" s="508" t="str">
        <f t="shared" ca="1" si="956"/>
        <v/>
      </c>
      <c r="FN284" s="508" t="str">
        <f t="shared" ca="1" si="957"/>
        <v/>
      </c>
      <c r="FO284" s="508" t="str">
        <f t="shared" ca="1" si="958"/>
        <v/>
      </c>
      <c r="FP284" s="353">
        <f t="shared" ca="1" si="959"/>
        <v>0</v>
      </c>
      <c r="FQ284" s="356">
        <f t="shared" ca="1" si="960"/>
        <v>0</v>
      </c>
      <c r="FR284" s="380">
        <f t="shared" ca="1" si="961"/>
        <v>0</v>
      </c>
      <c r="FS284" s="299">
        <f t="shared" ca="1" si="962"/>
        <v>0</v>
      </c>
      <c r="FT284" s="299">
        <f t="shared" ca="1" si="963"/>
        <v>0</v>
      </c>
      <c r="FU284" s="299">
        <f t="shared" ca="1" si="964"/>
        <v>0</v>
      </c>
      <c r="FV284" s="299">
        <f t="shared" ca="1" si="965"/>
        <v>0</v>
      </c>
      <c r="FW284" s="850" t="str">
        <f t="shared" ca="1" si="966"/>
        <v/>
      </c>
      <c r="FX284" s="851" t="str">
        <f t="shared" ca="1" si="967"/>
        <v/>
      </c>
      <c r="FY284" s="851" t="str">
        <f t="shared" ca="1" si="968"/>
        <v/>
      </c>
      <c r="FZ284" s="201" t="str">
        <f t="shared" ca="1" si="969"/>
        <v/>
      </c>
      <c r="GA284" s="201" t="str">
        <f t="shared" ca="1" si="970"/>
        <v/>
      </c>
      <c r="GB284" s="201" t="str">
        <f t="shared" ca="1" si="971"/>
        <v/>
      </c>
      <c r="GC284" s="201" t="str">
        <f t="shared" ca="1" si="972"/>
        <v/>
      </c>
      <c r="GD284" s="850" t="str">
        <f t="shared" ca="1" si="973"/>
        <v/>
      </c>
      <c r="GE284" s="866" t="str">
        <f t="shared" ca="1" si="974"/>
        <v/>
      </c>
      <c r="GF284" s="866" t="str">
        <f t="shared" ca="1" si="975"/>
        <v/>
      </c>
      <c r="GG284" s="866" t="str">
        <f t="shared" ca="1" si="976"/>
        <v/>
      </c>
      <c r="GH284" s="866" t="str">
        <f t="shared" ca="1" si="977"/>
        <v/>
      </c>
      <c r="GI284" s="302">
        <f t="shared" ca="1" si="978"/>
        <v>0</v>
      </c>
      <c r="GJ284" s="299">
        <f t="shared" ca="1" si="979"/>
        <v>0</v>
      </c>
      <c r="GK284" s="299">
        <f t="shared" ca="1" si="980"/>
        <v>0</v>
      </c>
      <c r="GL284" s="299">
        <f t="shared" ca="1" si="981"/>
        <v>0</v>
      </c>
      <c r="GM284" s="299">
        <f t="shared" ca="1" si="982"/>
        <v>0</v>
      </c>
      <c r="GN284" s="302">
        <f t="shared" ca="1" si="983"/>
        <v>0</v>
      </c>
      <c r="GO284" s="299">
        <f t="shared" ca="1" si="984"/>
        <v>0</v>
      </c>
      <c r="GP284" s="299">
        <f t="shared" ca="1" si="985"/>
        <v>0</v>
      </c>
      <c r="GQ284" s="299">
        <f t="shared" ca="1" si="986"/>
        <v>0</v>
      </c>
      <c r="GR284" s="299">
        <f t="shared" ca="1" si="987"/>
        <v>0</v>
      </c>
      <c r="GS284" s="302">
        <f t="shared" ca="1" si="988"/>
        <v>0</v>
      </c>
      <c r="GT284" s="299">
        <f t="shared" ca="1" si="989"/>
        <v>0</v>
      </c>
      <c r="GU284" s="299">
        <f t="shared" ca="1" si="990"/>
        <v>0</v>
      </c>
      <c r="GV284" s="299">
        <f t="shared" ca="1" si="991"/>
        <v>0</v>
      </c>
      <c r="GW284" s="299">
        <f t="shared" ca="1" si="992"/>
        <v>0</v>
      </c>
      <c r="GX284" s="303">
        <f t="shared" ca="1" si="993"/>
        <v>0</v>
      </c>
      <c r="GY284" s="303">
        <f t="shared" ca="1" si="994"/>
        <v>0</v>
      </c>
      <c r="GZ284" s="303">
        <f t="shared" ca="1" si="995"/>
        <v>0</v>
      </c>
      <c r="HA284" s="303">
        <f t="shared" ca="1" si="996"/>
        <v>0</v>
      </c>
      <c r="HB284" s="303">
        <f t="shared" ca="1" si="997"/>
        <v>0</v>
      </c>
      <c r="HC284" s="303">
        <f t="shared" ca="1" si="998"/>
        <v>0</v>
      </c>
      <c r="HD284" s="303">
        <f t="shared" ca="1" si="999"/>
        <v>0</v>
      </c>
      <c r="HE284" s="303">
        <f t="shared" ca="1" si="1000"/>
        <v>0</v>
      </c>
      <c r="HF284" s="303">
        <f t="shared" ca="1" si="1001"/>
        <v>0</v>
      </c>
      <c r="HG284" s="852">
        <f t="shared" ca="1" si="1002"/>
        <v>0</v>
      </c>
    </row>
    <row r="285" spans="1:215" x14ac:dyDescent="0.25">
      <c r="A285" s="244">
        <f t="shared" ca="1" si="1003"/>
        <v>44774</v>
      </c>
      <c r="B285" s="13">
        <f t="shared" ca="1" si="831"/>
        <v>2022</v>
      </c>
      <c r="C285" s="619">
        <f t="shared" ca="1" si="832"/>
        <v>8</v>
      </c>
      <c r="D285" s="195" t="str">
        <f t="shared" ca="1" si="833"/>
        <v/>
      </c>
      <c r="E285" s="469" t="str">
        <f t="shared" ca="1" si="834"/>
        <v/>
      </c>
      <c r="F285" s="465" t="str">
        <f t="shared" ca="1" si="835"/>
        <v/>
      </c>
      <c r="G285" s="522">
        <f t="shared" ca="1" si="1004"/>
        <v>1</v>
      </c>
      <c r="H285" s="519">
        <f t="shared" ca="1" si="1005"/>
        <v>1</v>
      </c>
      <c r="I285" s="724">
        <f t="shared" ca="1" si="836"/>
        <v>7.3907474092519007E-2</v>
      </c>
      <c r="J285" s="198">
        <f t="shared" ca="1" si="837"/>
        <v>0.19462519394077732</v>
      </c>
      <c r="K285" s="200" t="e">
        <f t="shared" ca="1" si="1013"/>
        <v>#N/A</v>
      </c>
      <c r="L285" s="201" t="e">
        <f t="shared" ca="1" si="1014"/>
        <v>#N/A</v>
      </c>
      <c r="M285" s="206" t="e">
        <f t="shared" ca="1" si="1015"/>
        <v>#N/A</v>
      </c>
      <c r="N285" s="851" t="e">
        <f t="shared" ca="1" si="1019"/>
        <v>#N/A</v>
      </c>
      <c r="O285" s="201" t="e">
        <f t="shared" ca="1" si="1020"/>
        <v>#N/A</v>
      </c>
      <c r="P285" s="206" t="e">
        <f t="shared" ca="1" si="1021"/>
        <v>#N/A</v>
      </c>
      <c r="Q285" s="201" t="e">
        <f t="shared" ca="1" si="1022"/>
        <v>#N/A</v>
      </c>
      <c r="R285" s="201" t="e">
        <f t="shared" ca="1" si="1023"/>
        <v>#N/A</v>
      </c>
      <c r="S285" s="201" t="e">
        <f t="shared" ca="1" si="1024"/>
        <v>#N/A</v>
      </c>
      <c r="T285" s="851" t="e">
        <f t="shared" ca="1" si="1016"/>
        <v>#N/A</v>
      </c>
      <c r="U285" s="201" t="e">
        <f t="shared" ca="1" si="1017"/>
        <v>#N/A</v>
      </c>
      <c r="V285" s="206" t="e">
        <f t="shared" ca="1" si="1018"/>
        <v>#N/A</v>
      </c>
      <c r="W285" s="230" t="e">
        <f t="shared" ca="1" si="1006"/>
        <v>#N/A</v>
      </c>
      <c r="X285" s="231" t="e">
        <f t="shared" ca="1" si="1007"/>
        <v>#N/A</v>
      </c>
      <c r="Y285" s="232" t="e">
        <f t="shared" ca="1" si="1008"/>
        <v>#N/A</v>
      </c>
      <c r="Z285" s="231" t="e">
        <f t="shared" ca="1" si="820"/>
        <v>#N/A</v>
      </c>
      <c r="AA285" s="231" t="e">
        <f t="shared" ca="1" si="821"/>
        <v>#N/A</v>
      </c>
      <c r="AB285" s="232" t="e">
        <f t="shared" ca="1" si="822"/>
        <v>#N/A</v>
      </c>
      <c r="AC285" s="231" t="e">
        <f t="shared" ca="1" si="823"/>
        <v>#N/A</v>
      </c>
      <c r="AD285" s="231" t="e">
        <f t="shared" ca="1" si="824"/>
        <v>#N/A</v>
      </c>
      <c r="AE285" s="232" t="e">
        <f t="shared" ca="1" si="838"/>
        <v>#N/A</v>
      </c>
      <c r="AF285" s="231" t="e">
        <f t="shared" ca="1" si="1009"/>
        <v>#N/A</v>
      </c>
      <c r="AG285" s="231" t="e">
        <f t="shared" ca="1" si="1010"/>
        <v>#N/A</v>
      </c>
      <c r="AH285" s="232" t="e">
        <f t="shared" ca="1" si="1011"/>
        <v>#N/A</v>
      </c>
      <c r="AI285" s="233" t="e">
        <f t="shared" ca="1" si="839"/>
        <v>#N/A</v>
      </c>
      <c r="AJ285" s="233" t="e">
        <f t="shared" ca="1" si="840"/>
        <v>#N/A</v>
      </c>
      <c r="AK285" s="234" t="e">
        <f t="shared" ca="1" si="841"/>
        <v>#N/A</v>
      </c>
      <c r="AL285" s="919" t="e">
        <f t="shared" ca="1" si="842"/>
        <v>#N/A</v>
      </c>
      <c r="AM285" s="233" t="e">
        <f t="shared" ca="1" si="843"/>
        <v>#N/A</v>
      </c>
      <c r="AN285" s="234" t="e">
        <f t="shared" ca="1" si="844"/>
        <v>#N/A</v>
      </c>
      <c r="AO285" s="233" t="e">
        <f t="shared" ca="1" si="845"/>
        <v>#N/A</v>
      </c>
      <c r="AP285" s="233" t="e">
        <f t="shared" ca="1" si="846"/>
        <v>#N/A</v>
      </c>
      <c r="AQ285" s="233" t="e">
        <f t="shared" ca="1" si="847"/>
        <v>#N/A</v>
      </c>
      <c r="AR285" s="919" t="e">
        <f t="shared" ca="1" si="848"/>
        <v>#N/A</v>
      </c>
      <c r="AS285" s="233" t="e">
        <f t="shared" ca="1" si="849"/>
        <v>#N/A</v>
      </c>
      <c r="AT285" s="235" t="e">
        <f t="shared" ca="1" si="850"/>
        <v>#N/A</v>
      </c>
      <c r="AU285" s="946">
        <f t="shared" si="851"/>
        <v>0.5</v>
      </c>
      <c r="AV285" s="13">
        <f t="shared" ca="1" si="852"/>
        <v>0</v>
      </c>
      <c r="AW285" s="210">
        <f t="shared" ca="1" si="853"/>
        <v>0</v>
      </c>
      <c r="AX285" s="210">
        <f t="shared" ca="1" si="854"/>
        <v>0</v>
      </c>
      <c r="AY285" s="210">
        <f t="shared" ca="1" si="855"/>
        <v>0</v>
      </c>
      <c r="AZ285" s="13">
        <f t="shared" ca="1" si="856"/>
        <v>0</v>
      </c>
      <c r="BA285" s="357">
        <f ca="1"/>
        <v>0</v>
      </c>
      <c r="BB285" s="925">
        <f ca="1"/>
        <v>0</v>
      </c>
      <c r="BC285" s="925">
        <f ca="1"/>
        <v>0</v>
      </c>
      <c r="BD285" s="928">
        <f ca="1"/>
        <v>0</v>
      </c>
      <c r="BE285" s="200">
        <f ca="1"/>
        <v>0</v>
      </c>
      <c r="BF285" s="851">
        <f ca="1"/>
        <v>0</v>
      </c>
      <c r="BG285" s="851">
        <f ca="1"/>
        <v>0</v>
      </c>
      <c r="BH285" s="933">
        <f ca="1"/>
        <v>0</v>
      </c>
      <c r="BI285" s="357">
        <f ca="1"/>
        <v>0</v>
      </c>
      <c r="BJ285" s="925">
        <f ca="1"/>
        <v>0</v>
      </c>
      <c r="BK285" s="925">
        <f ca="1"/>
        <v>0</v>
      </c>
      <c r="BL285" s="928">
        <f ca="1"/>
        <v>0</v>
      </c>
      <c r="BM285" s="200">
        <f ca="1"/>
        <v>0</v>
      </c>
      <c r="BN285" s="851">
        <f ca="1"/>
        <v>0</v>
      </c>
      <c r="BO285" s="851">
        <f ca="1"/>
        <v>0</v>
      </c>
      <c r="BP285" s="933">
        <f ca="1"/>
        <v>0</v>
      </c>
      <c r="BQ285" s="357">
        <f t="shared" ca="1" si="857"/>
        <v>0</v>
      </c>
      <c r="BR285" s="361">
        <f t="shared" ca="1" si="858"/>
        <v>0</v>
      </c>
      <c r="BS285" s="357">
        <f t="shared" ca="1" si="859"/>
        <v>0</v>
      </c>
      <c r="BT285" s="302">
        <f t="shared" ca="1" si="860"/>
        <v>0</v>
      </c>
      <c r="BU285" s="299">
        <f t="shared" ca="1" si="861"/>
        <v>0</v>
      </c>
      <c r="BV285" s="299">
        <f t="shared" ca="1" si="862"/>
        <v>0</v>
      </c>
      <c r="BW285" s="299">
        <f t="shared" ca="1" si="863"/>
        <v>0</v>
      </c>
      <c r="BX285" s="380">
        <f t="shared" ca="1" si="864"/>
        <v>22.414784394250514</v>
      </c>
      <c r="BY285" s="363">
        <f t="shared" ca="1" si="865"/>
        <v>0</v>
      </c>
      <c r="BZ285" s="353">
        <f t="shared" ca="1" si="866"/>
        <v>0</v>
      </c>
      <c r="CA285" s="353">
        <f t="shared" ca="1" si="867"/>
        <v>0</v>
      </c>
      <c r="CB285" s="353">
        <f t="shared" ca="1" si="868"/>
        <v>0</v>
      </c>
      <c r="CC285" s="353">
        <f t="shared" ca="1" si="869"/>
        <v>0</v>
      </c>
      <c r="CD285" s="353">
        <f t="shared" ca="1" si="870"/>
        <v>0</v>
      </c>
      <c r="CE285" s="302">
        <f t="shared" ca="1" si="871"/>
        <v>0</v>
      </c>
      <c r="CF285" s="299">
        <f t="shared" ca="1" si="872"/>
        <v>0</v>
      </c>
      <c r="CG285" s="299">
        <f t="shared" ca="1" si="873"/>
        <v>0</v>
      </c>
      <c r="CH285" s="299">
        <f t="shared" ca="1" si="874"/>
        <v>0</v>
      </c>
      <c r="CI285" s="299">
        <f t="shared" ca="1" si="875"/>
        <v>0</v>
      </c>
      <c r="CJ285" s="299">
        <f t="shared" ca="1" si="876"/>
        <v>0</v>
      </c>
      <c r="CK285" s="299">
        <f t="shared" ca="1" si="877"/>
        <v>0</v>
      </c>
      <c r="CL285" s="377" t="str">
        <f t="shared" ca="1" si="878"/>
        <v/>
      </c>
      <c r="CM285" s="305" t="str">
        <f t="shared" ca="1" si="879"/>
        <v/>
      </c>
      <c r="CN285" s="305" t="str">
        <f t="shared" ca="1" si="880"/>
        <v/>
      </c>
      <c r="CO285" s="305" t="str">
        <f t="shared" ca="1" si="881"/>
        <v/>
      </c>
      <c r="CP285" s="305" t="str">
        <f t="shared" ca="1" si="882"/>
        <v/>
      </c>
      <c r="CQ285" s="305" t="str">
        <f t="shared" ca="1" si="883"/>
        <v/>
      </c>
      <c r="CR285" s="775" t="str">
        <f t="shared" ca="1" si="884"/>
        <v/>
      </c>
      <c r="CS285" s="305" t="str">
        <f t="shared" ca="1" si="885"/>
        <v/>
      </c>
      <c r="CT285" s="305" t="str">
        <f t="shared" ca="1" si="886"/>
        <v/>
      </c>
      <c r="CU285" s="305" t="str">
        <f t="shared" ca="1" si="887"/>
        <v/>
      </c>
      <c r="CV285" s="770" t="str">
        <f t="shared" ca="1" si="888"/>
        <v/>
      </c>
      <c r="CW285" s="302">
        <f t="shared" ca="1" si="889"/>
        <v>0</v>
      </c>
      <c r="CX285" s="299">
        <f t="shared" ca="1" si="890"/>
        <v>0</v>
      </c>
      <c r="CY285" s="299">
        <f t="shared" ca="1" si="891"/>
        <v>0</v>
      </c>
      <c r="CZ285" s="299">
        <f t="shared" ca="1" si="892"/>
        <v>0</v>
      </c>
      <c r="DA285" s="774">
        <f t="shared" ca="1" si="893"/>
        <v>0</v>
      </c>
      <c r="DB285" s="303">
        <f t="shared" ca="1" si="894"/>
        <v>0</v>
      </c>
      <c r="DC285" s="248">
        <f t="shared" ca="1" si="895"/>
        <v>0</v>
      </c>
      <c r="DD285" s="778">
        <f t="shared" ca="1" si="896"/>
        <v>0</v>
      </c>
      <c r="DE285" s="363">
        <f t="shared" ca="1" si="897"/>
        <v>0</v>
      </c>
      <c r="DF285" s="378" t="str">
        <f t="shared" ca="1" si="898"/>
        <v/>
      </c>
      <c r="DG285" s="508" t="str">
        <f t="shared" ca="1" si="899"/>
        <v/>
      </c>
      <c r="DH285" s="508" t="str">
        <f t="shared" ca="1" si="900"/>
        <v/>
      </c>
      <c r="DI285" s="508" t="str">
        <f t="shared" ca="1" si="901"/>
        <v/>
      </c>
      <c r="DJ285" s="508" t="str">
        <f t="shared" ca="1" si="902"/>
        <v/>
      </c>
      <c r="DK285" s="353">
        <f t="shared" ca="1" si="903"/>
        <v>0</v>
      </c>
      <c r="DL285" s="781">
        <f t="shared" ca="1" si="904"/>
        <v>0</v>
      </c>
      <c r="DM285" s="303">
        <f t="shared" ca="1" si="905"/>
        <v>0</v>
      </c>
      <c r="DN285" s="508" t="str">
        <f t="shared" ca="1" si="906"/>
        <v/>
      </c>
      <c r="DO285" s="508" t="str">
        <f t="shared" ca="1" si="907"/>
        <v/>
      </c>
      <c r="DP285" s="508" t="str">
        <f t="shared" ca="1" si="908"/>
        <v/>
      </c>
      <c r="DQ285" s="508" t="str">
        <f t="shared" ca="1" si="909"/>
        <v/>
      </c>
      <c r="DR285" s="508" t="str">
        <f t="shared" ca="1" si="910"/>
        <v/>
      </c>
      <c r="DS285" s="353">
        <f t="shared" ca="1" si="911"/>
        <v>0</v>
      </c>
      <c r="DT285" s="353">
        <f t="shared" ca="1" si="912"/>
        <v>0</v>
      </c>
      <c r="DU285" s="380">
        <f t="shared" ca="1" si="1012"/>
        <v>22.414784394250514</v>
      </c>
      <c r="DV285" s="303">
        <f t="shared" ca="1" si="913"/>
        <v>0</v>
      </c>
      <c r="DW285" s="303">
        <f t="shared" ca="1" si="914"/>
        <v>0</v>
      </c>
      <c r="DX285" s="303">
        <f t="shared" ca="1" si="915"/>
        <v>0</v>
      </c>
      <c r="DY285" s="303">
        <f t="shared" ca="1" si="916"/>
        <v>0</v>
      </c>
      <c r="DZ285" s="303">
        <f t="shared" ca="1" si="917"/>
        <v>0</v>
      </c>
      <c r="EA285" s="303">
        <f t="shared" ca="1" si="918"/>
        <v>0</v>
      </c>
      <c r="EB285" s="302">
        <f t="shared" ca="1" si="919"/>
        <v>0</v>
      </c>
      <c r="EC285" s="299">
        <f t="shared" ca="1" si="920"/>
        <v>0</v>
      </c>
      <c r="ED285" s="299">
        <f t="shared" ca="1" si="921"/>
        <v>0</v>
      </c>
      <c r="EE285" s="299">
        <f t="shared" ca="1" si="922"/>
        <v>0</v>
      </c>
      <c r="EF285" s="299">
        <f t="shared" ca="1" si="923"/>
        <v>0</v>
      </c>
      <c r="EG285" s="299">
        <f t="shared" ca="1" si="924"/>
        <v>0</v>
      </c>
      <c r="EH285" s="302">
        <f t="shared" ca="1" si="925"/>
        <v>0</v>
      </c>
      <c r="EI285" s="304" t="str">
        <f t="shared" ca="1" si="926"/>
        <v/>
      </c>
      <c r="EJ285" s="305" t="str">
        <f t="shared" ca="1" si="927"/>
        <v/>
      </c>
      <c r="EK285" s="305" t="str">
        <f t="shared" ca="1" si="928"/>
        <v/>
      </c>
      <c r="EL285" s="305" t="str">
        <f t="shared" ca="1" si="929"/>
        <v/>
      </c>
      <c r="EM285" s="305" t="str">
        <f t="shared" ca="1" si="930"/>
        <v/>
      </c>
      <c r="EN285" s="305" t="str">
        <f t="shared" ca="1" si="931"/>
        <v/>
      </c>
      <c r="EO285" s="305" t="str">
        <f t="shared" ca="1" si="932"/>
        <v/>
      </c>
      <c r="EP285" s="305" t="str">
        <f t="shared" ca="1" si="933"/>
        <v/>
      </c>
      <c r="EQ285" s="305" t="str">
        <f t="shared" ca="1" si="934"/>
        <v/>
      </c>
      <c r="ER285" s="305" t="str">
        <f t="shared" ca="1" si="935"/>
        <v/>
      </c>
      <c r="ES285" s="305" t="str">
        <f t="shared" ca="1" si="936"/>
        <v/>
      </c>
      <c r="ET285" s="299">
        <f t="shared" ca="1" si="937"/>
        <v>0</v>
      </c>
      <c r="EU285" s="302">
        <f t="shared" ca="1" si="938"/>
        <v>0</v>
      </c>
      <c r="EV285" s="304" t="str">
        <f t="shared" ca="1" si="939"/>
        <v/>
      </c>
      <c r="EW285" s="305" t="str">
        <f t="shared" ca="1" si="940"/>
        <v/>
      </c>
      <c r="EX285" s="305" t="str">
        <f t="shared" ca="1" si="941"/>
        <v/>
      </c>
      <c r="EY285" s="305" t="str">
        <f t="shared" ca="1" si="942"/>
        <v/>
      </c>
      <c r="EZ285" s="305" t="str">
        <f t="shared" ca="1" si="943"/>
        <v/>
      </c>
      <c r="FA285" s="305" t="str">
        <f t="shared" ca="1" si="944"/>
        <v/>
      </c>
      <c r="FB285" s="305" t="str">
        <f t="shared" ca="1" si="945"/>
        <v/>
      </c>
      <c r="FC285" s="305" t="str">
        <f t="shared" ca="1" si="946"/>
        <v/>
      </c>
      <c r="FD285" s="305" t="str">
        <f t="shared" ca="1" si="947"/>
        <v/>
      </c>
      <c r="FE285" s="305" t="str">
        <f t="shared" ca="1" si="948"/>
        <v/>
      </c>
      <c r="FF285" s="305" t="str">
        <f t="shared" ca="1" si="949"/>
        <v/>
      </c>
      <c r="FG285" s="299">
        <f t="shared" ca="1" si="950"/>
        <v>0</v>
      </c>
      <c r="FH285" s="302">
        <f t="shared" ca="1" si="951"/>
        <v>0</v>
      </c>
      <c r="FI285" s="248">
        <f t="shared" ca="1" si="952"/>
        <v>0</v>
      </c>
      <c r="FJ285" s="363">
        <f t="shared" ca="1" si="953"/>
        <v>0</v>
      </c>
      <c r="FK285" s="378" t="str">
        <f t="shared" ca="1" si="954"/>
        <v/>
      </c>
      <c r="FL285" s="508" t="str">
        <f t="shared" ca="1" si="955"/>
        <v/>
      </c>
      <c r="FM285" s="508" t="str">
        <f t="shared" ca="1" si="956"/>
        <v/>
      </c>
      <c r="FN285" s="508" t="str">
        <f t="shared" ca="1" si="957"/>
        <v/>
      </c>
      <c r="FO285" s="508" t="str">
        <f t="shared" ca="1" si="958"/>
        <v/>
      </c>
      <c r="FP285" s="353">
        <f t="shared" ca="1" si="959"/>
        <v>0</v>
      </c>
      <c r="FQ285" s="356">
        <f t="shared" ca="1" si="960"/>
        <v>0</v>
      </c>
      <c r="FR285" s="380">
        <f t="shared" ca="1" si="961"/>
        <v>0</v>
      </c>
      <c r="FS285" s="299">
        <f t="shared" ca="1" si="962"/>
        <v>0</v>
      </c>
      <c r="FT285" s="299">
        <f t="shared" ca="1" si="963"/>
        <v>0</v>
      </c>
      <c r="FU285" s="299">
        <f t="shared" ca="1" si="964"/>
        <v>0</v>
      </c>
      <c r="FV285" s="299">
        <f t="shared" ca="1" si="965"/>
        <v>0</v>
      </c>
      <c r="FW285" s="850" t="str">
        <f t="shared" ca="1" si="966"/>
        <v/>
      </c>
      <c r="FX285" s="851" t="str">
        <f t="shared" ca="1" si="967"/>
        <v/>
      </c>
      <c r="FY285" s="851" t="str">
        <f t="shared" ca="1" si="968"/>
        <v/>
      </c>
      <c r="FZ285" s="201" t="str">
        <f t="shared" ca="1" si="969"/>
        <v/>
      </c>
      <c r="GA285" s="201" t="str">
        <f t="shared" ca="1" si="970"/>
        <v/>
      </c>
      <c r="GB285" s="201" t="str">
        <f t="shared" ca="1" si="971"/>
        <v/>
      </c>
      <c r="GC285" s="201" t="str">
        <f t="shared" ca="1" si="972"/>
        <v/>
      </c>
      <c r="GD285" s="850" t="str">
        <f t="shared" ca="1" si="973"/>
        <v/>
      </c>
      <c r="GE285" s="866" t="str">
        <f t="shared" ca="1" si="974"/>
        <v/>
      </c>
      <c r="GF285" s="866" t="str">
        <f t="shared" ca="1" si="975"/>
        <v/>
      </c>
      <c r="GG285" s="866" t="str">
        <f t="shared" ca="1" si="976"/>
        <v/>
      </c>
      <c r="GH285" s="866" t="str">
        <f t="shared" ca="1" si="977"/>
        <v/>
      </c>
      <c r="GI285" s="302">
        <f t="shared" ca="1" si="978"/>
        <v>0</v>
      </c>
      <c r="GJ285" s="299">
        <f t="shared" ca="1" si="979"/>
        <v>0</v>
      </c>
      <c r="GK285" s="299">
        <f t="shared" ca="1" si="980"/>
        <v>0</v>
      </c>
      <c r="GL285" s="299">
        <f t="shared" ca="1" si="981"/>
        <v>0</v>
      </c>
      <c r="GM285" s="299">
        <f t="shared" ca="1" si="982"/>
        <v>0</v>
      </c>
      <c r="GN285" s="302">
        <f t="shared" ca="1" si="983"/>
        <v>0</v>
      </c>
      <c r="GO285" s="299">
        <f t="shared" ca="1" si="984"/>
        <v>0</v>
      </c>
      <c r="GP285" s="299">
        <f t="shared" ca="1" si="985"/>
        <v>0</v>
      </c>
      <c r="GQ285" s="299">
        <f t="shared" ca="1" si="986"/>
        <v>0</v>
      </c>
      <c r="GR285" s="299">
        <f t="shared" ca="1" si="987"/>
        <v>0</v>
      </c>
      <c r="GS285" s="302">
        <f t="shared" ca="1" si="988"/>
        <v>0</v>
      </c>
      <c r="GT285" s="299">
        <f t="shared" ca="1" si="989"/>
        <v>0</v>
      </c>
      <c r="GU285" s="299">
        <f t="shared" ca="1" si="990"/>
        <v>0</v>
      </c>
      <c r="GV285" s="299">
        <f t="shared" ca="1" si="991"/>
        <v>0</v>
      </c>
      <c r="GW285" s="299">
        <f t="shared" ca="1" si="992"/>
        <v>0</v>
      </c>
      <c r="GX285" s="303">
        <f t="shared" ca="1" si="993"/>
        <v>0</v>
      </c>
      <c r="GY285" s="303">
        <f t="shared" ca="1" si="994"/>
        <v>0</v>
      </c>
      <c r="GZ285" s="303">
        <f t="shared" ca="1" si="995"/>
        <v>0</v>
      </c>
      <c r="HA285" s="303">
        <f t="shared" ca="1" si="996"/>
        <v>0</v>
      </c>
      <c r="HB285" s="303">
        <f t="shared" ca="1" si="997"/>
        <v>0</v>
      </c>
      <c r="HC285" s="303">
        <f t="shared" ca="1" si="998"/>
        <v>0</v>
      </c>
      <c r="HD285" s="303">
        <f t="shared" ca="1" si="999"/>
        <v>0</v>
      </c>
      <c r="HE285" s="303">
        <f t="shared" ca="1" si="1000"/>
        <v>0</v>
      </c>
      <c r="HF285" s="303">
        <f t="shared" ca="1" si="1001"/>
        <v>0</v>
      </c>
      <c r="HG285" s="852">
        <f t="shared" ca="1" si="1002"/>
        <v>0</v>
      </c>
    </row>
    <row r="286" spans="1:215" x14ac:dyDescent="0.25">
      <c r="A286" s="244">
        <f t="shared" ca="1" si="1003"/>
        <v>44805</v>
      </c>
      <c r="B286" s="13">
        <f t="shared" ca="1" si="831"/>
        <v>2022</v>
      </c>
      <c r="C286" s="619">
        <f t="shared" ca="1" si="832"/>
        <v>9</v>
      </c>
      <c r="D286" s="195">
        <f t="shared" ca="1" si="833"/>
        <v>44809</v>
      </c>
      <c r="E286" s="469" t="str">
        <f t="shared" ca="1" si="834"/>
        <v/>
      </c>
      <c r="F286" s="465" t="str">
        <f t="shared" ca="1" si="835"/>
        <v/>
      </c>
      <c r="G286" s="522">
        <f t="shared" ca="1" si="1004"/>
        <v>1</v>
      </c>
      <c r="H286" s="519">
        <f t="shared" ca="1" si="1005"/>
        <v>1</v>
      </c>
      <c r="I286" s="724">
        <f t="shared" ca="1" si="836"/>
        <v>7.3898238797141996E-2</v>
      </c>
      <c r="J286" s="198">
        <f t="shared" ca="1" si="837"/>
        <v>0.19350749633611067</v>
      </c>
      <c r="K286" s="200" t="e">
        <f t="shared" ca="1" si="1013"/>
        <v>#N/A</v>
      </c>
      <c r="L286" s="201" t="e">
        <f t="shared" ca="1" si="1014"/>
        <v>#N/A</v>
      </c>
      <c r="M286" s="206" t="e">
        <f t="shared" ca="1" si="1015"/>
        <v>#N/A</v>
      </c>
      <c r="N286" s="851" t="e">
        <f t="shared" ca="1" si="1019"/>
        <v>#N/A</v>
      </c>
      <c r="O286" s="201" t="e">
        <f t="shared" ca="1" si="1020"/>
        <v>#N/A</v>
      </c>
      <c r="P286" s="206" t="e">
        <f t="shared" ca="1" si="1021"/>
        <v>#N/A</v>
      </c>
      <c r="Q286" s="201" t="e">
        <f t="shared" ca="1" si="1022"/>
        <v>#N/A</v>
      </c>
      <c r="R286" s="201" t="e">
        <f t="shared" ca="1" si="1023"/>
        <v>#N/A</v>
      </c>
      <c r="S286" s="201" t="e">
        <f t="shared" ca="1" si="1024"/>
        <v>#N/A</v>
      </c>
      <c r="T286" s="851" t="e">
        <f t="shared" ca="1" si="1016"/>
        <v>#N/A</v>
      </c>
      <c r="U286" s="201" t="e">
        <f t="shared" ca="1" si="1017"/>
        <v>#N/A</v>
      </c>
      <c r="V286" s="206" t="e">
        <f t="shared" ca="1" si="1018"/>
        <v>#N/A</v>
      </c>
      <c r="W286" s="230" t="e">
        <f t="shared" ca="1" si="1006"/>
        <v>#N/A</v>
      </c>
      <c r="X286" s="231" t="e">
        <f t="shared" ca="1" si="1007"/>
        <v>#N/A</v>
      </c>
      <c r="Y286" s="232" t="e">
        <f t="shared" ca="1" si="1008"/>
        <v>#N/A</v>
      </c>
      <c r="Z286" s="231" t="e">
        <f t="shared" ca="1" si="820"/>
        <v>#N/A</v>
      </c>
      <c r="AA286" s="231" t="e">
        <f t="shared" ca="1" si="821"/>
        <v>#N/A</v>
      </c>
      <c r="AB286" s="232" t="e">
        <f t="shared" ca="1" si="822"/>
        <v>#N/A</v>
      </c>
      <c r="AC286" s="231" t="e">
        <f t="shared" ca="1" si="823"/>
        <v>#N/A</v>
      </c>
      <c r="AD286" s="231" t="e">
        <f t="shared" ca="1" si="824"/>
        <v>#N/A</v>
      </c>
      <c r="AE286" s="232" t="e">
        <f t="shared" ca="1" si="838"/>
        <v>#N/A</v>
      </c>
      <c r="AF286" s="231" t="e">
        <f t="shared" ca="1" si="1009"/>
        <v>#N/A</v>
      </c>
      <c r="AG286" s="231" t="e">
        <f t="shared" ca="1" si="1010"/>
        <v>#N/A</v>
      </c>
      <c r="AH286" s="232" t="e">
        <f t="shared" ca="1" si="1011"/>
        <v>#N/A</v>
      </c>
      <c r="AI286" s="233" t="e">
        <f t="shared" ca="1" si="839"/>
        <v>#N/A</v>
      </c>
      <c r="AJ286" s="233" t="e">
        <f t="shared" ca="1" si="840"/>
        <v>#N/A</v>
      </c>
      <c r="AK286" s="234" t="e">
        <f t="shared" ca="1" si="841"/>
        <v>#N/A</v>
      </c>
      <c r="AL286" s="919" t="e">
        <f t="shared" ca="1" si="842"/>
        <v>#N/A</v>
      </c>
      <c r="AM286" s="233" t="e">
        <f t="shared" ca="1" si="843"/>
        <v>#N/A</v>
      </c>
      <c r="AN286" s="234" t="e">
        <f t="shared" ca="1" si="844"/>
        <v>#N/A</v>
      </c>
      <c r="AO286" s="233" t="e">
        <f t="shared" ca="1" si="845"/>
        <v>#N/A</v>
      </c>
      <c r="AP286" s="233" t="e">
        <f t="shared" ca="1" si="846"/>
        <v>#N/A</v>
      </c>
      <c r="AQ286" s="233" t="e">
        <f t="shared" ca="1" si="847"/>
        <v>#N/A</v>
      </c>
      <c r="AR286" s="919" t="e">
        <f t="shared" ca="1" si="848"/>
        <v>#N/A</v>
      </c>
      <c r="AS286" s="233" t="e">
        <f t="shared" ca="1" si="849"/>
        <v>#N/A</v>
      </c>
      <c r="AT286" s="235" t="e">
        <f t="shared" ca="1" si="850"/>
        <v>#N/A</v>
      </c>
      <c r="AU286" s="946">
        <f t="shared" si="851"/>
        <v>0.5</v>
      </c>
      <c r="AV286" s="13">
        <f t="shared" ca="1" si="852"/>
        <v>0</v>
      </c>
      <c r="AW286" s="210">
        <f t="shared" ca="1" si="853"/>
        <v>0</v>
      </c>
      <c r="AX286" s="210">
        <f t="shared" ca="1" si="854"/>
        <v>0</v>
      </c>
      <c r="AY286" s="210">
        <f t="shared" ca="1" si="855"/>
        <v>0</v>
      </c>
      <c r="AZ286" s="13">
        <f t="shared" ca="1" si="856"/>
        <v>0</v>
      </c>
      <c r="BA286" s="357">
        <f ca="1"/>
        <v>0</v>
      </c>
      <c r="BB286" s="925">
        <f ca="1"/>
        <v>0</v>
      </c>
      <c r="BC286" s="925">
        <f ca="1"/>
        <v>0</v>
      </c>
      <c r="BD286" s="928">
        <f ca="1"/>
        <v>0</v>
      </c>
      <c r="BE286" s="200">
        <f ca="1"/>
        <v>0</v>
      </c>
      <c r="BF286" s="851">
        <f ca="1"/>
        <v>0</v>
      </c>
      <c r="BG286" s="851">
        <f ca="1"/>
        <v>0</v>
      </c>
      <c r="BH286" s="933">
        <f ca="1"/>
        <v>0</v>
      </c>
      <c r="BI286" s="357">
        <f ca="1"/>
        <v>0</v>
      </c>
      <c r="BJ286" s="925">
        <f ca="1"/>
        <v>0</v>
      </c>
      <c r="BK286" s="925">
        <f ca="1"/>
        <v>0</v>
      </c>
      <c r="BL286" s="928">
        <f ca="1"/>
        <v>0</v>
      </c>
      <c r="BM286" s="200">
        <f ca="1"/>
        <v>0</v>
      </c>
      <c r="BN286" s="851">
        <f ca="1"/>
        <v>0</v>
      </c>
      <c r="BO286" s="851">
        <f ca="1"/>
        <v>0</v>
      </c>
      <c r="BP286" s="933">
        <f ca="1"/>
        <v>0</v>
      </c>
      <c r="BQ286" s="357">
        <f t="shared" ca="1" si="857"/>
        <v>0</v>
      </c>
      <c r="BR286" s="361">
        <f t="shared" ca="1" si="858"/>
        <v>0</v>
      </c>
      <c r="BS286" s="357">
        <f t="shared" ca="1" si="859"/>
        <v>0</v>
      </c>
      <c r="BT286" s="302">
        <f t="shared" ca="1" si="860"/>
        <v>0</v>
      </c>
      <c r="BU286" s="299">
        <f t="shared" ca="1" si="861"/>
        <v>0</v>
      </c>
      <c r="BV286" s="299">
        <f t="shared" ca="1" si="862"/>
        <v>0</v>
      </c>
      <c r="BW286" s="299">
        <f t="shared" ca="1" si="863"/>
        <v>0</v>
      </c>
      <c r="BX286" s="380">
        <f t="shared" ca="1" si="864"/>
        <v>22.499657768651609</v>
      </c>
      <c r="BY286" s="363">
        <f t="shared" ca="1" si="865"/>
        <v>0</v>
      </c>
      <c r="BZ286" s="353">
        <f t="shared" ca="1" si="866"/>
        <v>0</v>
      </c>
      <c r="CA286" s="353">
        <f t="shared" ca="1" si="867"/>
        <v>0</v>
      </c>
      <c r="CB286" s="353">
        <f t="shared" ca="1" si="868"/>
        <v>0</v>
      </c>
      <c r="CC286" s="353">
        <f t="shared" ca="1" si="869"/>
        <v>0</v>
      </c>
      <c r="CD286" s="353">
        <f t="shared" ca="1" si="870"/>
        <v>0</v>
      </c>
      <c r="CE286" s="302">
        <f t="shared" ca="1" si="871"/>
        <v>0</v>
      </c>
      <c r="CF286" s="299">
        <f t="shared" ca="1" si="872"/>
        <v>0</v>
      </c>
      <c r="CG286" s="299">
        <f t="shared" ca="1" si="873"/>
        <v>0</v>
      </c>
      <c r="CH286" s="299">
        <f t="shared" ca="1" si="874"/>
        <v>0</v>
      </c>
      <c r="CI286" s="299">
        <f t="shared" ca="1" si="875"/>
        <v>0</v>
      </c>
      <c r="CJ286" s="299">
        <f t="shared" ca="1" si="876"/>
        <v>0</v>
      </c>
      <c r="CK286" s="299">
        <f t="shared" ca="1" si="877"/>
        <v>0</v>
      </c>
      <c r="CL286" s="377" t="str">
        <f t="shared" ca="1" si="878"/>
        <v/>
      </c>
      <c r="CM286" s="305" t="str">
        <f t="shared" ca="1" si="879"/>
        <v/>
      </c>
      <c r="CN286" s="305" t="str">
        <f t="shared" ca="1" si="880"/>
        <v/>
      </c>
      <c r="CO286" s="305" t="str">
        <f t="shared" ca="1" si="881"/>
        <v/>
      </c>
      <c r="CP286" s="305" t="str">
        <f t="shared" ca="1" si="882"/>
        <v/>
      </c>
      <c r="CQ286" s="305" t="str">
        <f t="shared" ca="1" si="883"/>
        <v/>
      </c>
      <c r="CR286" s="775" t="str">
        <f t="shared" ca="1" si="884"/>
        <v/>
      </c>
      <c r="CS286" s="305" t="str">
        <f t="shared" ca="1" si="885"/>
        <v/>
      </c>
      <c r="CT286" s="305" t="str">
        <f t="shared" ca="1" si="886"/>
        <v/>
      </c>
      <c r="CU286" s="305" t="str">
        <f t="shared" ca="1" si="887"/>
        <v/>
      </c>
      <c r="CV286" s="770" t="str">
        <f t="shared" ca="1" si="888"/>
        <v/>
      </c>
      <c r="CW286" s="302">
        <f t="shared" ca="1" si="889"/>
        <v>0</v>
      </c>
      <c r="CX286" s="299">
        <f t="shared" ca="1" si="890"/>
        <v>0</v>
      </c>
      <c r="CY286" s="299">
        <f t="shared" ca="1" si="891"/>
        <v>0</v>
      </c>
      <c r="CZ286" s="299">
        <f t="shared" ca="1" si="892"/>
        <v>0</v>
      </c>
      <c r="DA286" s="774">
        <f t="shared" ca="1" si="893"/>
        <v>0</v>
      </c>
      <c r="DB286" s="303">
        <f t="shared" ca="1" si="894"/>
        <v>0</v>
      </c>
      <c r="DC286" s="248">
        <f t="shared" ca="1" si="895"/>
        <v>0</v>
      </c>
      <c r="DD286" s="778">
        <f t="shared" ca="1" si="896"/>
        <v>0</v>
      </c>
      <c r="DE286" s="363">
        <f t="shared" ca="1" si="897"/>
        <v>0</v>
      </c>
      <c r="DF286" s="378" t="str">
        <f t="shared" ca="1" si="898"/>
        <v/>
      </c>
      <c r="DG286" s="508" t="str">
        <f t="shared" ca="1" si="899"/>
        <v/>
      </c>
      <c r="DH286" s="508" t="str">
        <f t="shared" ca="1" si="900"/>
        <v/>
      </c>
      <c r="DI286" s="508" t="str">
        <f t="shared" ca="1" si="901"/>
        <v/>
      </c>
      <c r="DJ286" s="508" t="str">
        <f t="shared" ca="1" si="902"/>
        <v/>
      </c>
      <c r="DK286" s="353">
        <f t="shared" ca="1" si="903"/>
        <v>0</v>
      </c>
      <c r="DL286" s="781">
        <f t="shared" ca="1" si="904"/>
        <v>0</v>
      </c>
      <c r="DM286" s="303">
        <f t="shared" ca="1" si="905"/>
        <v>0</v>
      </c>
      <c r="DN286" s="508" t="str">
        <f t="shared" ca="1" si="906"/>
        <v/>
      </c>
      <c r="DO286" s="508" t="str">
        <f t="shared" ca="1" si="907"/>
        <v/>
      </c>
      <c r="DP286" s="508" t="str">
        <f t="shared" ca="1" si="908"/>
        <v/>
      </c>
      <c r="DQ286" s="508" t="str">
        <f t="shared" ca="1" si="909"/>
        <v/>
      </c>
      <c r="DR286" s="508" t="str">
        <f t="shared" ca="1" si="910"/>
        <v/>
      </c>
      <c r="DS286" s="353">
        <f t="shared" ca="1" si="911"/>
        <v>0</v>
      </c>
      <c r="DT286" s="353">
        <f t="shared" ca="1" si="912"/>
        <v>0</v>
      </c>
      <c r="DU286" s="380">
        <f t="shared" ca="1" si="1012"/>
        <v>22.499657768651609</v>
      </c>
      <c r="DV286" s="303">
        <f t="shared" ca="1" si="913"/>
        <v>0</v>
      </c>
      <c r="DW286" s="303">
        <f t="shared" ca="1" si="914"/>
        <v>0</v>
      </c>
      <c r="DX286" s="303">
        <f t="shared" ca="1" si="915"/>
        <v>0</v>
      </c>
      <c r="DY286" s="303">
        <f t="shared" ca="1" si="916"/>
        <v>0</v>
      </c>
      <c r="DZ286" s="303">
        <f t="shared" ca="1" si="917"/>
        <v>0</v>
      </c>
      <c r="EA286" s="303">
        <f t="shared" ca="1" si="918"/>
        <v>0</v>
      </c>
      <c r="EB286" s="302">
        <f t="shared" ca="1" si="919"/>
        <v>0</v>
      </c>
      <c r="EC286" s="299">
        <f t="shared" ca="1" si="920"/>
        <v>0</v>
      </c>
      <c r="ED286" s="299">
        <f t="shared" ca="1" si="921"/>
        <v>0</v>
      </c>
      <c r="EE286" s="299">
        <f t="shared" ca="1" si="922"/>
        <v>0</v>
      </c>
      <c r="EF286" s="299">
        <f t="shared" ca="1" si="923"/>
        <v>0</v>
      </c>
      <c r="EG286" s="299">
        <f t="shared" ca="1" si="924"/>
        <v>0</v>
      </c>
      <c r="EH286" s="302">
        <f t="shared" ca="1" si="925"/>
        <v>0</v>
      </c>
      <c r="EI286" s="304" t="str">
        <f t="shared" ca="1" si="926"/>
        <v/>
      </c>
      <c r="EJ286" s="305" t="str">
        <f t="shared" ca="1" si="927"/>
        <v/>
      </c>
      <c r="EK286" s="305" t="str">
        <f t="shared" ca="1" si="928"/>
        <v/>
      </c>
      <c r="EL286" s="305" t="str">
        <f t="shared" ca="1" si="929"/>
        <v/>
      </c>
      <c r="EM286" s="305" t="str">
        <f t="shared" ca="1" si="930"/>
        <v/>
      </c>
      <c r="EN286" s="305" t="str">
        <f t="shared" ca="1" si="931"/>
        <v/>
      </c>
      <c r="EO286" s="305" t="str">
        <f t="shared" ca="1" si="932"/>
        <v/>
      </c>
      <c r="EP286" s="305" t="str">
        <f t="shared" ca="1" si="933"/>
        <v/>
      </c>
      <c r="EQ286" s="305" t="str">
        <f t="shared" ca="1" si="934"/>
        <v/>
      </c>
      <c r="ER286" s="305" t="str">
        <f t="shared" ca="1" si="935"/>
        <v/>
      </c>
      <c r="ES286" s="305" t="str">
        <f t="shared" ca="1" si="936"/>
        <v/>
      </c>
      <c r="ET286" s="299">
        <f t="shared" ca="1" si="937"/>
        <v>0</v>
      </c>
      <c r="EU286" s="302">
        <f t="shared" ca="1" si="938"/>
        <v>0</v>
      </c>
      <c r="EV286" s="304" t="str">
        <f t="shared" ca="1" si="939"/>
        <v/>
      </c>
      <c r="EW286" s="305" t="str">
        <f t="shared" ca="1" si="940"/>
        <v/>
      </c>
      <c r="EX286" s="305" t="str">
        <f t="shared" ca="1" si="941"/>
        <v/>
      </c>
      <c r="EY286" s="305" t="str">
        <f t="shared" ca="1" si="942"/>
        <v/>
      </c>
      <c r="EZ286" s="305" t="str">
        <f t="shared" ca="1" si="943"/>
        <v/>
      </c>
      <c r="FA286" s="305" t="str">
        <f t="shared" ca="1" si="944"/>
        <v/>
      </c>
      <c r="FB286" s="305" t="str">
        <f t="shared" ca="1" si="945"/>
        <v/>
      </c>
      <c r="FC286" s="305" t="str">
        <f t="shared" ca="1" si="946"/>
        <v/>
      </c>
      <c r="FD286" s="305" t="str">
        <f t="shared" ca="1" si="947"/>
        <v/>
      </c>
      <c r="FE286" s="305" t="str">
        <f t="shared" ca="1" si="948"/>
        <v/>
      </c>
      <c r="FF286" s="305" t="str">
        <f t="shared" ca="1" si="949"/>
        <v/>
      </c>
      <c r="FG286" s="299">
        <f t="shared" ca="1" si="950"/>
        <v>0</v>
      </c>
      <c r="FH286" s="302">
        <f t="shared" ca="1" si="951"/>
        <v>0</v>
      </c>
      <c r="FI286" s="248">
        <f t="shared" ca="1" si="952"/>
        <v>0</v>
      </c>
      <c r="FJ286" s="363">
        <f t="shared" ca="1" si="953"/>
        <v>0</v>
      </c>
      <c r="FK286" s="378" t="str">
        <f t="shared" ca="1" si="954"/>
        <v/>
      </c>
      <c r="FL286" s="508" t="str">
        <f t="shared" ca="1" si="955"/>
        <v/>
      </c>
      <c r="FM286" s="508" t="str">
        <f t="shared" ca="1" si="956"/>
        <v/>
      </c>
      <c r="FN286" s="508" t="str">
        <f t="shared" ca="1" si="957"/>
        <v/>
      </c>
      <c r="FO286" s="508" t="str">
        <f t="shared" ca="1" si="958"/>
        <v/>
      </c>
      <c r="FP286" s="353">
        <f t="shared" ca="1" si="959"/>
        <v>0</v>
      </c>
      <c r="FQ286" s="356">
        <f t="shared" ca="1" si="960"/>
        <v>0</v>
      </c>
      <c r="FR286" s="380">
        <f t="shared" ca="1" si="961"/>
        <v>0</v>
      </c>
      <c r="FS286" s="299">
        <f t="shared" ca="1" si="962"/>
        <v>0</v>
      </c>
      <c r="FT286" s="299">
        <f t="shared" ca="1" si="963"/>
        <v>0</v>
      </c>
      <c r="FU286" s="299">
        <f t="shared" ca="1" si="964"/>
        <v>0</v>
      </c>
      <c r="FV286" s="299">
        <f t="shared" ca="1" si="965"/>
        <v>0</v>
      </c>
      <c r="FW286" s="850" t="str">
        <f t="shared" ca="1" si="966"/>
        <v/>
      </c>
      <c r="FX286" s="851" t="str">
        <f t="shared" ca="1" si="967"/>
        <v/>
      </c>
      <c r="FY286" s="851" t="str">
        <f t="shared" ca="1" si="968"/>
        <v/>
      </c>
      <c r="FZ286" s="201" t="str">
        <f t="shared" ca="1" si="969"/>
        <v/>
      </c>
      <c r="GA286" s="201" t="str">
        <f t="shared" ca="1" si="970"/>
        <v/>
      </c>
      <c r="GB286" s="201" t="str">
        <f t="shared" ca="1" si="971"/>
        <v/>
      </c>
      <c r="GC286" s="201" t="str">
        <f t="shared" ca="1" si="972"/>
        <v/>
      </c>
      <c r="GD286" s="850" t="str">
        <f t="shared" ca="1" si="973"/>
        <v/>
      </c>
      <c r="GE286" s="866" t="str">
        <f t="shared" ca="1" si="974"/>
        <v/>
      </c>
      <c r="GF286" s="866" t="str">
        <f t="shared" ca="1" si="975"/>
        <v/>
      </c>
      <c r="GG286" s="866" t="str">
        <f t="shared" ca="1" si="976"/>
        <v/>
      </c>
      <c r="GH286" s="866" t="str">
        <f t="shared" ca="1" si="977"/>
        <v/>
      </c>
      <c r="GI286" s="302">
        <f t="shared" ca="1" si="978"/>
        <v>0</v>
      </c>
      <c r="GJ286" s="299">
        <f t="shared" ca="1" si="979"/>
        <v>0</v>
      </c>
      <c r="GK286" s="299">
        <f t="shared" ca="1" si="980"/>
        <v>0</v>
      </c>
      <c r="GL286" s="299">
        <f t="shared" ca="1" si="981"/>
        <v>0</v>
      </c>
      <c r="GM286" s="299">
        <f t="shared" ca="1" si="982"/>
        <v>0</v>
      </c>
      <c r="GN286" s="302">
        <f t="shared" ca="1" si="983"/>
        <v>0</v>
      </c>
      <c r="GO286" s="299">
        <f t="shared" ca="1" si="984"/>
        <v>0</v>
      </c>
      <c r="GP286" s="299">
        <f t="shared" ca="1" si="985"/>
        <v>0</v>
      </c>
      <c r="GQ286" s="299">
        <f t="shared" ca="1" si="986"/>
        <v>0</v>
      </c>
      <c r="GR286" s="299">
        <f t="shared" ca="1" si="987"/>
        <v>0</v>
      </c>
      <c r="GS286" s="302">
        <f t="shared" ca="1" si="988"/>
        <v>0</v>
      </c>
      <c r="GT286" s="299">
        <f t="shared" ca="1" si="989"/>
        <v>0</v>
      </c>
      <c r="GU286" s="299">
        <f t="shared" ca="1" si="990"/>
        <v>0</v>
      </c>
      <c r="GV286" s="299">
        <f t="shared" ca="1" si="991"/>
        <v>0</v>
      </c>
      <c r="GW286" s="299">
        <f t="shared" ca="1" si="992"/>
        <v>0</v>
      </c>
      <c r="GX286" s="303">
        <f t="shared" ca="1" si="993"/>
        <v>0</v>
      </c>
      <c r="GY286" s="303">
        <f t="shared" ca="1" si="994"/>
        <v>0</v>
      </c>
      <c r="GZ286" s="303">
        <f t="shared" ca="1" si="995"/>
        <v>0</v>
      </c>
      <c r="HA286" s="303">
        <f t="shared" ca="1" si="996"/>
        <v>0</v>
      </c>
      <c r="HB286" s="303">
        <f t="shared" ca="1" si="997"/>
        <v>0</v>
      </c>
      <c r="HC286" s="303">
        <f t="shared" ca="1" si="998"/>
        <v>0</v>
      </c>
      <c r="HD286" s="303">
        <f t="shared" ca="1" si="999"/>
        <v>0</v>
      </c>
      <c r="HE286" s="303">
        <f t="shared" ca="1" si="1000"/>
        <v>0</v>
      </c>
      <c r="HF286" s="303">
        <f t="shared" ca="1" si="1001"/>
        <v>0</v>
      </c>
      <c r="HG286" s="852">
        <f t="shared" ca="1" si="1002"/>
        <v>0</v>
      </c>
    </row>
    <row r="287" spans="1:215" x14ac:dyDescent="0.25">
      <c r="A287" s="244">
        <f t="shared" ca="1" si="1003"/>
        <v>44835</v>
      </c>
      <c r="B287" s="13">
        <f t="shared" ca="1" si="831"/>
        <v>2022</v>
      </c>
      <c r="C287" s="619">
        <f t="shared" ca="1" si="832"/>
        <v>10</v>
      </c>
      <c r="D287" s="195" t="str">
        <f t="shared" ca="1" si="833"/>
        <v/>
      </c>
      <c r="E287" s="469" t="str">
        <f t="shared" ca="1" si="834"/>
        <v/>
      </c>
      <c r="F287" s="465" t="str">
        <f t="shared" ca="1" si="835"/>
        <v/>
      </c>
      <c r="G287" s="522">
        <f t="shared" ca="1" si="1004"/>
        <v>1</v>
      </c>
      <c r="H287" s="519">
        <f t="shared" ca="1" si="1005"/>
        <v>1</v>
      </c>
      <c r="I287" s="724">
        <f t="shared" ca="1" si="836"/>
        <v>7.3889301414545999E-2</v>
      </c>
      <c r="J287" s="198">
        <f t="shared" ca="1" si="837"/>
        <v>0.1923570278762661</v>
      </c>
      <c r="K287" s="200" t="e">
        <f t="shared" ca="1" si="1013"/>
        <v>#N/A</v>
      </c>
      <c r="L287" s="201" t="e">
        <f t="shared" ca="1" si="1014"/>
        <v>#N/A</v>
      </c>
      <c r="M287" s="206" t="e">
        <f t="shared" ca="1" si="1015"/>
        <v>#N/A</v>
      </c>
      <c r="N287" s="851" t="e">
        <f t="shared" ca="1" si="1019"/>
        <v>#N/A</v>
      </c>
      <c r="O287" s="201" t="e">
        <f t="shared" ca="1" si="1020"/>
        <v>#N/A</v>
      </c>
      <c r="P287" s="206" t="e">
        <f t="shared" ca="1" si="1021"/>
        <v>#N/A</v>
      </c>
      <c r="Q287" s="201" t="e">
        <f t="shared" ca="1" si="1022"/>
        <v>#N/A</v>
      </c>
      <c r="R287" s="201" t="e">
        <f t="shared" ca="1" si="1023"/>
        <v>#N/A</v>
      </c>
      <c r="S287" s="201" t="e">
        <f t="shared" ca="1" si="1024"/>
        <v>#N/A</v>
      </c>
      <c r="T287" s="851" t="e">
        <f t="shared" ca="1" si="1016"/>
        <v>#N/A</v>
      </c>
      <c r="U287" s="201" t="e">
        <f t="shared" ca="1" si="1017"/>
        <v>#N/A</v>
      </c>
      <c r="V287" s="206" t="e">
        <f t="shared" ca="1" si="1018"/>
        <v>#N/A</v>
      </c>
      <c r="W287" s="230" t="e">
        <f t="shared" ca="1" si="1006"/>
        <v>#N/A</v>
      </c>
      <c r="X287" s="231" t="e">
        <f t="shared" ca="1" si="1007"/>
        <v>#N/A</v>
      </c>
      <c r="Y287" s="232" t="e">
        <f t="shared" ca="1" si="1008"/>
        <v>#N/A</v>
      </c>
      <c r="Z287" s="231" t="e">
        <f t="shared" ca="1" si="820"/>
        <v>#N/A</v>
      </c>
      <c r="AA287" s="231" t="e">
        <f t="shared" ca="1" si="821"/>
        <v>#N/A</v>
      </c>
      <c r="AB287" s="232" t="e">
        <f t="shared" ca="1" si="822"/>
        <v>#N/A</v>
      </c>
      <c r="AC287" s="231" t="e">
        <f t="shared" ca="1" si="823"/>
        <v>#N/A</v>
      </c>
      <c r="AD287" s="231" t="e">
        <f t="shared" ca="1" si="824"/>
        <v>#N/A</v>
      </c>
      <c r="AE287" s="232" t="e">
        <f t="shared" ca="1" si="838"/>
        <v>#N/A</v>
      </c>
      <c r="AF287" s="231" t="e">
        <f t="shared" ca="1" si="1009"/>
        <v>#N/A</v>
      </c>
      <c r="AG287" s="231" t="e">
        <f t="shared" ca="1" si="1010"/>
        <v>#N/A</v>
      </c>
      <c r="AH287" s="232" t="e">
        <f t="shared" ca="1" si="1011"/>
        <v>#N/A</v>
      </c>
      <c r="AI287" s="233" t="e">
        <f t="shared" ca="1" si="839"/>
        <v>#N/A</v>
      </c>
      <c r="AJ287" s="233" t="e">
        <f t="shared" ca="1" si="840"/>
        <v>#N/A</v>
      </c>
      <c r="AK287" s="234" t="e">
        <f t="shared" ca="1" si="841"/>
        <v>#N/A</v>
      </c>
      <c r="AL287" s="919" t="e">
        <f t="shared" ca="1" si="842"/>
        <v>#N/A</v>
      </c>
      <c r="AM287" s="233" t="e">
        <f t="shared" ca="1" si="843"/>
        <v>#N/A</v>
      </c>
      <c r="AN287" s="234" t="e">
        <f t="shared" ca="1" si="844"/>
        <v>#N/A</v>
      </c>
      <c r="AO287" s="233" t="e">
        <f t="shared" ca="1" si="845"/>
        <v>#N/A</v>
      </c>
      <c r="AP287" s="233" t="e">
        <f t="shared" ca="1" si="846"/>
        <v>#N/A</v>
      </c>
      <c r="AQ287" s="233" t="e">
        <f t="shared" ca="1" si="847"/>
        <v>#N/A</v>
      </c>
      <c r="AR287" s="919" t="e">
        <f t="shared" ca="1" si="848"/>
        <v>#N/A</v>
      </c>
      <c r="AS287" s="233" t="e">
        <f t="shared" ca="1" si="849"/>
        <v>#N/A</v>
      </c>
      <c r="AT287" s="235" t="e">
        <f t="shared" ca="1" si="850"/>
        <v>#N/A</v>
      </c>
      <c r="AU287" s="946">
        <f t="shared" si="851"/>
        <v>0.5</v>
      </c>
      <c r="AV287" s="13">
        <f t="shared" ca="1" si="852"/>
        <v>0</v>
      </c>
      <c r="AW287" s="210">
        <f t="shared" ca="1" si="853"/>
        <v>0</v>
      </c>
      <c r="AX287" s="210">
        <f t="shared" ca="1" si="854"/>
        <v>0</v>
      </c>
      <c r="AY287" s="210">
        <f t="shared" ca="1" si="855"/>
        <v>0</v>
      </c>
      <c r="AZ287" s="13">
        <f t="shared" ca="1" si="856"/>
        <v>0</v>
      </c>
      <c r="BA287" s="357">
        <f ca="1"/>
        <v>0</v>
      </c>
      <c r="BB287" s="925">
        <f ca="1"/>
        <v>0</v>
      </c>
      <c r="BC287" s="925">
        <f ca="1"/>
        <v>0</v>
      </c>
      <c r="BD287" s="928">
        <f ca="1"/>
        <v>0</v>
      </c>
      <c r="BE287" s="200">
        <f ca="1"/>
        <v>0</v>
      </c>
      <c r="BF287" s="851">
        <f ca="1"/>
        <v>0</v>
      </c>
      <c r="BG287" s="851">
        <f ca="1"/>
        <v>0</v>
      </c>
      <c r="BH287" s="933">
        <f ca="1"/>
        <v>0</v>
      </c>
      <c r="BI287" s="357">
        <f ca="1"/>
        <v>0</v>
      </c>
      <c r="BJ287" s="925">
        <f ca="1"/>
        <v>0</v>
      </c>
      <c r="BK287" s="925">
        <f ca="1"/>
        <v>0</v>
      </c>
      <c r="BL287" s="928">
        <f ca="1"/>
        <v>0</v>
      </c>
      <c r="BM287" s="200">
        <f ca="1"/>
        <v>0</v>
      </c>
      <c r="BN287" s="851">
        <f ca="1"/>
        <v>0</v>
      </c>
      <c r="BO287" s="851">
        <f ca="1"/>
        <v>0</v>
      </c>
      <c r="BP287" s="933">
        <f ca="1"/>
        <v>0</v>
      </c>
      <c r="BQ287" s="357">
        <f t="shared" ca="1" si="857"/>
        <v>0</v>
      </c>
      <c r="BR287" s="361">
        <f t="shared" ca="1" si="858"/>
        <v>0</v>
      </c>
      <c r="BS287" s="357">
        <f t="shared" ca="1" si="859"/>
        <v>0</v>
      </c>
      <c r="BT287" s="302">
        <f t="shared" ca="1" si="860"/>
        <v>0</v>
      </c>
      <c r="BU287" s="299">
        <f t="shared" ca="1" si="861"/>
        <v>0</v>
      </c>
      <c r="BV287" s="299">
        <f t="shared" ca="1" si="862"/>
        <v>0</v>
      </c>
      <c r="BW287" s="299">
        <f t="shared" ca="1" si="863"/>
        <v>0</v>
      </c>
      <c r="BX287" s="380">
        <f t="shared" ca="1" si="864"/>
        <v>22.581793292265573</v>
      </c>
      <c r="BY287" s="363">
        <f t="shared" ca="1" si="865"/>
        <v>0</v>
      </c>
      <c r="BZ287" s="353">
        <f t="shared" ca="1" si="866"/>
        <v>0</v>
      </c>
      <c r="CA287" s="353">
        <f t="shared" ca="1" si="867"/>
        <v>0</v>
      </c>
      <c r="CB287" s="353">
        <f t="shared" ca="1" si="868"/>
        <v>0</v>
      </c>
      <c r="CC287" s="353">
        <f t="shared" ca="1" si="869"/>
        <v>0</v>
      </c>
      <c r="CD287" s="353">
        <f t="shared" ca="1" si="870"/>
        <v>0</v>
      </c>
      <c r="CE287" s="302">
        <f t="shared" ca="1" si="871"/>
        <v>0</v>
      </c>
      <c r="CF287" s="299">
        <f t="shared" ca="1" si="872"/>
        <v>0</v>
      </c>
      <c r="CG287" s="299">
        <f t="shared" ca="1" si="873"/>
        <v>0</v>
      </c>
      <c r="CH287" s="299">
        <f t="shared" ca="1" si="874"/>
        <v>0</v>
      </c>
      <c r="CI287" s="299">
        <f t="shared" ca="1" si="875"/>
        <v>0</v>
      </c>
      <c r="CJ287" s="299">
        <f t="shared" ca="1" si="876"/>
        <v>0</v>
      </c>
      <c r="CK287" s="299">
        <f t="shared" ca="1" si="877"/>
        <v>0</v>
      </c>
      <c r="CL287" s="377" t="str">
        <f t="shared" ca="1" si="878"/>
        <v/>
      </c>
      <c r="CM287" s="305" t="str">
        <f t="shared" ca="1" si="879"/>
        <v/>
      </c>
      <c r="CN287" s="305" t="str">
        <f t="shared" ca="1" si="880"/>
        <v/>
      </c>
      <c r="CO287" s="305" t="str">
        <f t="shared" ca="1" si="881"/>
        <v/>
      </c>
      <c r="CP287" s="305" t="str">
        <f t="shared" ca="1" si="882"/>
        <v/>
      </c>
      <c r="CQ287" s="305" t="str">
        <f t="shared" ca="1" si="883"/>
        <v/>
      </c>
      <c r="CR287" s="775" t="str">
        <f t="shared" ca="1" si="884"/>
        <v/>
      </c>
      <c r="CS287" s="305" t="str">
        <f t="shared" ca="1" si="885"/>
        <v/>
      </c>
      <c r="CT287" s="305" t="str">
        <f t="shared" ca="1" si="886"/>
        <v/>
      </c>
      <c r="CU287" s="305" t="str">
        <f t="shared" ca="1" si="887"/>
        <v/>
      </c>
      <c r="CV287" s="770" t="str">
        <f t="shared" ca="1" si="888"/>
        <v/>
      </c>
      <c r="CW287" s="302">
        <f t="shared" ca="1" si="889"/>
        <v>0</v>
      </c>
      <c r="CX287" s="299">
        <f t="shared" ca="1" si="890"/>
        <v>0</v>
      </c>
      <c r="CY287" s="299">
        <f t="shared" ca="1" si="891"/>
        <v>0</v>
      </c>
      <c r="CZ287" s="299">
        <f t="shared" ca="1" si="892"/>
        <v>0</v>
      </c>
      <c r="DA287" s="774">
        <f t="shared" ca="1" si="893"/>
        <v>0</v>
      </c>
      <c r="DB287" s="303">
        <f t="shared" ca="1" si="894"/>
        <v>0</v>
      </c>
      <c r="DC287" s="248">
        <f t="shared" ca="1" si="895"/>
        <v>0</v>
      </c>
      <c r="DD287" s="778">
        <f t="shared" ca="1" si="896"/>
        <v>0</v>
      </c>
      <c r="DE287" s="363">
        <f t="shared" ca="1" si="897"/>
        <v>0</v>
      </c>
      <c r="DF287" s="378" t="str">
        <f t="shared" ca="1" si="898"/>
        <v/>
      </c>
      <c r="DG287" s="508" t="str">
        <f t="shared" ca="1" si="899"/>
        <v/>
      </c>
      <c r="DH287" s="508" t="str">
        <f t="shared" ca="1" si="900"/>
        <v/>
      </c>
      <c r="DI287" s="508" t="str">
        <f t="shared" ca="1" si="901"/>
        <v/>
      </c>
      <c r="DJ287" s="508" t="str">
        <f t="shared" ca="1" si="902"/>
        <v/>
      </c>
      <c r="DK287" s="353">
        <f t="shared" ca="1" si="903"/>
        <v>0</v>
      </c>
      <c r="DL287" s="781">
        <f t="shared" ca="1" si="904"/>
        <v>0</v>
      </c>
      <c r="DM287" s="303">
        <f t="shared" ca="1" si="905"/>
        <v>0</v>
      </c>
      <c r="DN287" s="508" t="str">
        <f t="shared" ca="1" si="906"/>
        <v/>
      </c>
      <c r="DO287" s="508" t="str">
        <f t="shared" ca="1" si="907"/>
        <v/>
      </c>
      <c r="DP287" s="508" t="str">
        <f t="shared" ca="1" si="908"/>
        <v/>
      </c>
      <c r="DQ287" s="508" t="str">
        <f t="shared" ca="1" si="909"/>
        <v/>
      </c>
      <c r="DR287" s="508" t="str">
        <f t="shared" ca="1" si="910"/>
        <v/>
      </c>
      <c r="DS287" s="353">
        <f t="shared" ca="1" si="911"/>
        <v>0</v>
      </c>
      <c r="DT287" s="353">
        <f t="shared" ca="1" si="912"/>
        <v>0</v>
      </c>
      <c r="DU287" s="380">
        <f t="shared" ca="1" si="1012"/>
        <v>22.581793292265573</v>
      </c>
      <c r="DV287" s="303">
        <f t="shared" ca="1" si="913"/>
        <v>0</v>
      </c>
      <c r="DW287" s="303">
        <f t="shared" ca="1" si="914"/>
        <v>0</v>
      </c>
      <c r="DX287" s="303">
        <f t="shared" ca="1" si="915"/>
        <v>0</v>
      </c>
      <c r="DY287" s="303">
        <f t="shared" ca="1" si="916"/>
        <v>0</v>
      </c>
      <c r="DZ287" s="303">
        <f t="shared" ca="1" si="917"/>
        <v>0</v>
      </c>
      <c r="EA287" s="303">
        <f t="shared" ca="1" si="918"/>
        <v>0</v>
      </c>
      <c r="EB287" s="302">
        <f t="shared" ca="1" si="919"/>
        <v>0</v>
      </c>
      <c r="EC287" s="299">
        <f t="shared" ca="1" si="920"/>
        <v>0</v>
      </c>
      <c r="ED287" s="299">
        <f t="shared" ca="1" si="921"/>
        <v>0</v>
      </c>
      <c r="EE287" s="299">
        <f t="shared" ca="1" si="922"/>
        <v>0</v>
      </c>
      <c r="EF287" s="299">
        <f t="shared" ca="1" si="923"/>
        <v>0</v>
      </c>
      <c r="EG287" s="299">
        <f t="shared" ca="1" si="924"/>
        <v>0</v>
      </c>
      <c r="EH287" s="302">
        <f t="shared" ca="1" si="925"/>
        <v>0</v>
      </c>
      <c r="EI287" s="304" t="str">
        <f t="shared" ca="1" si="926"/>
        <v/>
      </c>
      <c r="EJ287" s="305" t="str">
        <f t="shared" ca="1" si="927"/>
        <v/>
      </c>
      <c r="EK287" s="305" t="str">
        <f t="shared" ca="1" si="928"/>
        <v/>
      </c>
      <c r="EL287" s="305" t="str">
        <f t="shared" ca="1" si="929"/>
        <v/>
      </c>
      <c r="EM287" s="305" t="str">
        <f t="shared" ca="1" si="930"/>
        <v/>
      </c>
      <c r="EN287" s="305" t="str">
        <f t="shared" ca="1" si="931"/>
        <v/>
      </c>
      <c r="EO287" s="305" t="str">
        <f t="shared" ca="1" si="932"/>
        <v/>
      </c>
      <c r="EP287" s="305" t="str">
        <f t="shared" ca="1" si="933"/>
        <v/>
      </c>
      <c r="EQ287" s="305" t="str">
        <f t="shared" ca="1" si="934"/>
        <v/>
      </c>
      <c r="ER287" s="305" t="str">
        <f t="shared" ca="1" si="935"/>
        <v/>
      </c>
      <c r="ES287" s="305" t="str">
        <f t="shared" ca="1" si="936"/>
        <v/>
      </c>
      <c r="ET287" s="299">
        <f t="shared" ca="1" si="937"/>
        <v>0</v>
      </c>
      <c r="EU287" s="302">
        <f t="shared" ca="1" si="938"/>
        <v>0</v>
      </c>
      <c r="EV287" s="304" t="str">
        <f t="shared" ca="1" si="939"/>
        <v/>
      </c>
      <c r="EW287" s="305" t="str">
        <f t="shared" ca="1" si="940"/>
        <v/>
      </c>
      <c r="EX287" s="305" t="str">
        <f t="shared" ca="1" si="941"/>
        <v/>
      </c>
      <c r="EY287" s="305" t="str">
        <f t="shared" ca="1" si="942"/>
        <v/>
      </c>
      <c r="EZ287" s="305" t="str">
        <f t="shared" ca="1" si="943"/>
        <v/>
      </c>
      <c r="FA287" s="305" t="str">
        <f t="shared" ca="1" si="944"/>
        <v/>
      </c>
      <c r="FB287" s="305" t="str">
        <f t="shared" ca="1" si="945"/>
        <v/>
      </c>
      <c r="FC287" s="305" t="str">
        <f t="shared" ca="1" si="946"/>
        <v/>
      </c>
      <c r="FD287" s="305" t="str">
        <f t="shared" ca="1" si="947"/>
        <v/>
      </c>
      <c r="FE287" s="305" t="str">
        <f t="shared" ca="1" si="948"/>
        <v/>
      </c>
      <c r="FF287" s="305" t="str">
        <f t="shared" ca="1" si="949"/>
        <v/>
      </c>
      <c r="FG287" s="299">
        <f t="shared" ca="1" si="950"/>
        <v>0</v>
      </c>
      <c r="FH287" s="302">
        <f t="shared" ca="1" si="951"/>
        <v>0</v>
      </c>
      <c r="FI287" s="248">
        <f t="shared" ca="1" si="952"/>
        <v>0</v>
      </c>
      <c r="FJ287" s="363">
        <f t="shared" ca="1" si="953"/>
        <v>0</v>
      </c>
      <c r="FK287" s="378" t="str">
        <f t="shared" ca="1" si="954"/>
        <v/>
      </c>
      <c r="FL287" s="508" t="str">
        <f t="shared" ca="1" si="955"/>
        <v/>
      </c>
      <c r="FM287" s="508" t="str">
        <f t="shared" ca="1" si="956"/>
        <v/>
      </c>
      <c r="FN287" s="508" t="str">
        <f t="shared" ca="1" si="957"/>
        <v/>
      </c>
      <c r="FO287" s="508" t="str">
        <f t="shared" ca="1" si="958"/>
        <v/>
      </c>
      <c r="FP287" s="353">
        <f t="shared" ca="1" si="959"/>
        <v>0</v>
      </c>
      <c r="FQ287" s="356">
        <f t="shared" ca="1" si="960"/>
        <v>0</v>
      </c>
      <c r="FR287" s="380">
        <f t="shared" ca="1" si="961"/>
        <v>0</v>
      </c>
      <c r="FS287" s="299">
        <f t="shared" ca="1" si="962"/>
        <v>0</v>
      </c>
      <c r="FT287" s="299">
        <f t="shared" ca="1" si="963"/>
        <v>0</v>
      </c>
      <c r="FU287" s="299">
        <f t="shared" ca="1" si="964"/>
        <v>0</v>
      </c>
      <c r="FV287" s="299">
        <f t="shared" ca="1" si="965"/>
        <v>0</v>
      </c>
      <c r="FW287" s="850" t="str">
        <f t="shared" ca="1" si="966"/>
        <v/>
      </c>
      <c r="FX287" s="851" t="str">
        <f t="shared" ca="1" si="967"/>
        <v/>
      </c>
      <c r="FY287" s="851" t="str">
        <f t="shared" ca="1" si="968"/>
        <v/>
      </c>
      <c r="FZ287" s="201" t="str">
        <f t="shared" ca="1" si="969"/>
        <v/>
      </c>
      <c r="GA287" s="201" t="str">
        <f t="shared" ca="1" si="970"/>
        <v/>
      </c>
      <c r="GB287" s="201" t="str">
        <f t="shared" ca="1" si="971"/>
        <v/>
      </c>
      <c r="GC287" s="201" t="str">
        <f t="shared" ca="1" si="972"/>
        <v/>
      </c>
      <c r="GD287" s="850" t="str">
        <f t="shared" ca="1" si="973"/>
        <v/>
      </c>
      <c r="GE287" s="866" t="str">
        <f t="shared" ca="1" si="974"/>
        <v/>
      </c>
      <c r="GF287" s="866" t="str">
        <f t="shared" ca="1" si="975"/>
        <v/>
      </c>
      <c r="GG287" s="866" t="str">
        <f t="shared" ca="1" si="976"/>
        <v/>
      </c>
      <c r="GH287" s="866" t="str">
        <f t="shared" ca="1" si="977"/>
        <v/>
      </c>
      <c r="GI287" s="302">
        <f t="shared" ca="1" si="978"/>
        <v>0</v>
      </c>
      <c r="GJ287" s="299">
        <f t="shared" ca="1" si="979"/>
        <v>0</v>
      </c>
      <c r="GK287" s="299">
        <f t="shared" ca="1" si="980"/>
        <v>0</v>
      </c>
      <c r="GL287" s="299">
        <f t="shared" ca="1" si="981"/>
        <v>0</v>
      </c>
      <c r="GM287" s="299">
        <f t="shared" ca="1" si="982"/>
        <v>0</v>
      </c>
      <c r="GN287" s="302">
        <f t="shared" ca="1" si="983"/>
        <v>0</v>
      </c>
      <c r="GO287" s="299">
        <f t="shared" ca="1" si="984"/>
        <v>0</v>
      </c>
      <c r="GP287" s="299">
        <f t="shared" ca="1" si="985"/>
        <v>0</v>
      </c>
      <c r="GQ287" s="299">
        <f t="shared" ca="1" si="986"/>
        <v>0</v>
      </c>
      <c r="GR287" s="299">
        <f t="shared" ca="1" si="987"/>
        <v>0</v>
      </c>
      <c r="GS287" s="302">
        <f t="shared" ca="1" si="988"/>
        <v>0</v>
      </c>
      <c r="GT287" s="299">
        <f t="shared" ca="1" si="989"/>
        <v>0</v>
      </c>
      <c r="GU287" s="299">
        <f t="shared" ca="1" si="990"/>
        <v>0</v>
      </c>
      <c r="GV287" s="299">
        <f t="shared" ca="1" si="991"/>
        <v>0</v>
      </c>
      <c r="GW287" s="299">
        <f t="shared" ca="1" si="992"/>
        <v>0</v>
      </c>
      <c r="GX287" s="303">
        <f t="shared" ca="1" si="993"/>
        <v>0</v>
      </c>
      <c r="GY287" s="303">
        <f t="shared" ca="1" si="994"/>
        <v>0</v>
      </c>
      <c r="GZ287" s="303">
        <f t="shared" ca="1" si="995"/>
        <v>0</v>
      </c>
      <c r="HA287" s="303">
        <f t="shared" ca="1" si="996"/>
        <v>0</v>
      </c>
      <c r="HB287" s="303">
        <f t="shared" ca="1" si="997"/>
        <v>0</v>
      </c>
      <c r="HC287" s="303">
        <f t="shared" ca="1" si="998"/>
        <v>0</v>
      </c>
      <c r="HD287" s="303">
        <f t="shared" ca="1" si="999"/>
        <v>0</v>
      </c>
      <c r="HE287" s="303">
        <f t="shared" ca="1" si="1000"/>
        <v>0</v>
      </c>
      <c r="HF287" s="303">
        <f t="shared" ca="1" si="1001"/>
        <v>0</v>
      </c>
      <c r="HG287" s="852">
        <f t="shared" ca="1" si="1002"/>
        <v>0</v>
      </c>
    </row>
    <row r="288" spans="1:215" x14ac:dyDescent="0.25">
      <c r="A288" s="244">
        <f t="shared" ca="1" si="1003"/>
        <v>44866</v>
      </c>
      <c r="B288" s="13">
        <f t="shared" ca="1" si="831"/>
        <v>2022</v>
      </c>
      <c r="C288" s="619">
        <f t="shared" ca="1" si="832"/>
        <v>11</v>
      </c>
      <c r="D288" s="195">
        <f t="shared" ca="1" si="833"/>
        <v>44889</v>
      </c>
      <c r="E288" s="469" t="str">
        <f t="shared" ca="1" si="834"/>
        <v/>
      </c>
      <c r="F288" s="465" t="str">
        <f t="shared" ca="1" si="835"/>
        <v/>
      </c>
      <c r="G288" s="522">
        <f t="shared" ca="1" si="1004"/>
        <v>1</v>
      </c>
      <c r="H288" s="519">
        <f t="shared" ca="1" si="1005"/>
        <v>1</v>
      </c>
      <c r="I288" s="724">
        <f t="shared" ca="1" si="836"/>
        <v>7.3880066119224999E-2</v>
      </c>
      <c r="J288" s="198">
        <f t="shared" ca="1" si="837"/>
        <v>0.19125291605078312</v>
      </c>
      <c r="K288" s="200" t="e">
        <f t="shared" ca="1" si="1013"/>
        <v>#N/A</v>
      </c>
      <c r="L288" s="201" t="e">
        <f t="shared" ca="1" si="1014"/>
        <v>#N/A</v>
      </c>
      <c r="M288" s="206" t="e">
        <f t="shared" ca="1" si="1015"/>
        <v>#N/A</v>
      </c>
      <c r="N288" s="851" t="e">
        <f t="shared" ca="1" si="1019"/>
        <v>#N/A</v>
      </c>
      <c r="O288" s="201" t="e">
        <f t="shared" ca="1" si="1020"/>
        <v>#N/A</v>
      </c>
      <c r="P288" s="206" t="e">
        <f t="shared" ca="1" si="1021"/>
        <v>#N/A</v>
      </c>
      <c r="Q288" s="201" t="e">
        <f t="shared" ca="1" si="1022"/>
        <v>#N/A</v>
      </c>
      <c r="R288" s="201" t="e">
        <f t="shared" ca="1" si="1023"/>
        <v>#N/A</v>
      </c>
      <c r="S288" s="201" t="e">
        <f t="shared" ca="1" si="1024"/>
        <v>#N/A</v>
      </c>
      <c r="T288" s="851" t="e">
        <f t="shared" ca="1" si="1016"/>
        <v>#N/A</v>
      </c>
      <c r="U288" s="201" t="e">
        <f t="shared" ca="1" si="1017"/>
        <v>#N/A</v>
      </c>
      <c r="V288" s="206" t="e">
        <f t="shared" ca="1" si="1018"/>
        <v>#N/A</v>
      </c>
      <c r="W288" s="230" t="e">
        <f t="shared" ca="1" si="1006"/>
        <v>#N/A</v>
      </c>
      <c r="X288" s="231" t="e">
        <f t="shared" ca="1" si="1007"/>
        <v>#N/A</v>
      </c>
      <c r="Y288" s="232" t="e">
        <f t="shared" ca="1" si="1008"/>
        <v>#N/A</v>
      </c>
      <c r="Z288" s="231" t="e">
        <f t="shared" ca="1" si="820"/>
        <v>#N/A</v>
      </c>
      <c r="AA288" s="231" t="e">
        <f t="shared" ca="1" si="821"/>
        <v>#N/A</v>
      </c>
      <c r="AB288" s="232" t="e">
        <f t="shared" ca="1" si="822"/>
        <v>#N/A</v>
      </c>
      <c r="AC288" s="231" t="e">
        <f t="shared" ca="1" si="823"/>
        <v>#N/A</v>
      </c>
      <c r="AD288" s="231" t="e">
        <f t="shared" ca="1" si="824"/>
        <v>#N/A</v>
      </c>
      <c r="AE288" s="232" t="e">
        <f t="shared" ca="1" si="838"/>
        <v>#N/A</v>
      </c>
      <c r="AF288" s="231" t="e">
        <f t="shared" ca="1" si="1009"/>
        <v>#N/A</v>
      </c>
      <c r="AG288" s="231" t="e">
        <f t="shared" ca="1" si="1010"/>
        <v>#N/A</v>
      </c>
      <c r="AH288" s="232" t="e">
        <f t="shared" ca="1" si="1011"/>
        <v>#N/A</v>
      </c>
      <c r="AI288" s="233" t="e">
        <f t="shared" ca="1" si="839"/>
        <v>#N/A</v>
      </c>
      <c r="AJ288" s="233" t="e">
        <f t="shared" ca="1" si="840"/>
        <v>#N/A</v>
      </c>
      <c r="AK288" s="234" t="e">
        <f t="shared" ca="1" si="841"/>
        <v>#N/A</v>
      </c>
      <c r="AL288" s="919" t="e">
        <f t="shared" ca="1" si="842"/>
        <v>#N/A</v>
      </c>
      <c r="AM288" s="233" t="e">
        <f t="shared" ca="1" si="843"/>
        <v>#N/A</v>
      </c>
      <c r="AN288" s="234" t="e">
        <f t="shared" ca="1" si="844"/>
        <v>#N/A</v>
      </c>
      <c r="AO288" s="233" t="e">
        <f t="shared" ca="1" si="845"/>
        <v>#N/A</v>
      </c>
      <c r="AP288" s="233" t="e">
        <f t="shared" ca="1" si="846"/>
        <v>#N/A</v>
      </c>
      <c r="AQ288" s="233" t="e">
        <f t="shared" ca="1" si="847"/>
        <v>#N/A</v>
      </c>
      <c r="AR288" s="919" t="e">
        <f t="shared" ca="1" si="848"/>
        <v>#N/A</v>
      </c>
      <c r="AS288" s="233" t="e">
        <f t="shared" ca="1" si="849"/>
        <v>#N/A</v>
      </c>
      <c r="AT288" s="235" t="e">
        <f t="shared" ca="1" si="850"/>
        <v>#N/A</v>
      </c>
      <c r="AU288" s="946">
        <f t="shared" si="851"/>
        <v>0.5</v>
      </c>
      <c r="AV288" s="13">
        <f t="shared" ca="1" si="852"/>
        <v>0</v>
      </c>
      <c r="AW288" s="210">
        <f t="shared" ca="1" si="853"/>
        <v>0</v>
      </c>
      <c r="AX288" s="210">
        <f t="shared" ca="1" si="854"/>
        <v>0</v>
      </c>
      <c r="AY288" s="210">
        <f t="shared" ca="1" si="855"/>
        <v>0</v>
      </c>
      <c r="AZ288" s="13">
        <f t="shared" ca="1" si="856"/>
        <v>0</v>
      </c>
      <c r="BA288" s="357">
        <f ca="1"/>
        <v>0</v>
      </c>
      <c r="BB288" s="925">
        <f ca="1"/>
        <v>0</v>
      </c>
      <c r="BC288" s="925">
        <f ca="1"/>
        <v>0</v>
      </c>
      <c r="BD288" s="928">
        <f ca="1"/>
        <v>0</v>
      </c>
      <c r="BE288" s="200">
        <f ca="1"/>
        <v>0</v>
      </c>
      <c r="BF288" s="851">
        <f ca="1"/>
        <v>0</v>
      </c>
      <c r="BG288" s="851">
        <f ca="1"/>
        <v>0</v>
      </c>
      <c r="BH288" s="933">
        <f ca="1"/>
        <v>0</v>
      </c>
      <c r="BI288" s="357">
        <f ca="1"/>
        <v>0</v>
      </c>
      <c r="BJ288" s="925">
        <f ca="1"/>
        <v>0</v>
      </c>
      <c r="BK288" s="925">
        <f ca="1"/>
        <v>0</v>
      </c>
      <c r="BL288" s="928">
        <f ca="1"/>
        <v>0</v>
      </c>
      <c r="BM288" s="200">
        <f ca="1"/>
        <v>0</v>
      </c>
      <c r="BN288" s="851">
        <f ca="1"/>
        <v>0</v>
      </c>
      <c r="BO288" s="851">
        <f ca="1"/>
        <v>0</v>
      </c>
      <c r="BP288" s="933">
        <f ca="1"/>
        <v>0</v>
      </c>
      <c r="BQ288" s="357">
        <f t="shared" ca="1" si="857"/>
        <v>0</v>
      </c>
      <c r="BR288" s="361">
        <f t="shared" ca="1" si="858"/>
        <v>0</v>
      </c>
      <c r="BS288" s="357">
        <f t="shared" ca="1" si="859"/>
        <v>0</v>
      </c>
      <c r="BT288" s="302">
        <f t="shared" ca="1" si="860"/>
        <v>0</v>
      </c>
      <c r="BU288" s="299">
        <f t="shared" ca="1" si="861"/>
        <v>0</v>
      </c>
      <c r="BV288" s="299">
        <f t="shared" ca="1" si="862"/>
        <v>0</v>
      </c>
      <c r="BW288" s="299">
        <f t="shared" ca="1" si="863"/>
        <v>0</v>
      </c>
      <c r="BX288" s="380">
        <f t="shared" ca="1" si="864"/>
        <v>22.666666666666668</v>
      </c>
      <c r="BY288" s="363">
        <f t="shared" ca="1" si="865"/>
        <v>0</v>
      </c>
      <c r="BZ288" s="353">
        <f t="shared" ca="1" si="866"/>
        <v>0</v>
      </c>
      <c r="CA288" s="353">
        <f t="shared" ca="1" si="867"/>
        <v>0</v>
      </c>
      <c r="CB288" s="353">
        <f t="shared" ca="1" si="868"/>
        <v>0</v>
      </c>
      <c r="CC288" s="353">
        <f t="shared" ca="1" si="869"/>
        <v>0</v>
      </c>
      <c r="CD288" s="353">
        <f t="shared" ca="1" si="870"/>
        <v>0</v>
      </c>
      <c r="CE288" s="302">
        <f t="shared" ca="1" si="871"/>
        <v>0</v>
      </c>
      <c r="CF288" s="299">
        <f t="shared" ca="1" si="872"/>
        <v>0</v>
      </c>
      <c r="CG288" s="299">
        <f t="shared" ca="1" si="873"/>
        <v>0</v>
      </c>
      <c r="CH288" s="299">
        <f t="shared" ca="1" si="874"/>
        <v>0</v>
      </c>
      <c r="CI288" s="299">
        <f t="shared" ca="1" si="875"/>
        <v>0</v>
      </c>
      <c r="CJ288" s="299">
        <f t="shared" ca="1" si="876"/>
        <v>0</v>
      </c>
      <c r="CK288" s="299">
        <f t="shared" ca="1" si="877"/>
        <v>0</v>
      </c>
      <c r="CL288" s="377" t="str">
        <f t="shared" ca="1" si="878"/>
        <v/>
      </c>
      <c r="CM288" s="305" t="str">
        <f t="shared" ca="1" si="879"/>
        <v/>
      </c>
      <c r="CN288" s="305" t="str">
        <f t="shared" ca="1" si="880"/>
        <v/>
      </c>
      <c r="CO288" s="305" t="str">
        <f t="shared" ca="1" si="881"/>
        <v/>
      </c>
      <c r="CP288" s="305" t="str">
        <f t="shared" ca="1" si="882"/>
        <v/>
      </c>
      <c r="CQ288" s="305" t="str">
        <f t="shared" ca="1" si="883"/>
        <v/>
      </c>
      <c r="CR288" s="775" t="str">
        <f t="shared" ca="1" si="884"/>
        <v/>
      </c>
      <c r="CS288" s="305" t="str">
        <f t="shared" ca="1" si="885"/>
        <v/>
      </c>
      <c r="CT288" s="305" t="str">
        <f t="shared" ca="1" si="886"/>
        <v/>
      </c>
      <c r="CU288" s="305" t="str">
        <f t="shared" ca="1" si="887"/>
        <v/>
      </c>
      <c r="CV288" s="770" t="str">
        <f t="shared" ca="1" si="888"/>
        <v/>
      </c>
      <c r="CW288" s="302">
        <f t="shared" ca="1" si="889"/>
        <v>0</v>
      </c>
      <c r="CX288" s="299">
        <f t="shared" ca="1" si="890"/>
        <v>0</v>
      </c>
      <c r="CY288" s="299">
        <f t="shared" ca="1" si="891"/>
        <v>0</v>
      </c>
      <c r="CZ288" s="299">
        <f t="shared" ca="1" si="892"/>
        <v>0</v>
      </c>
      <c r="DA288" s="774">
        <f t="shared" ca="1" si="893"/>
        <v>0</v>
      </c>
      <c r="DB288" s="303">
        <f t="shared" ca="1" si="894"/>
        <v>0</v>
      </c>
      <c r="DC288" s="248">
        <f t="shared" ca="1" si="895"/>
        <v>0</v>
      </c>
      <c r="DD288" s="778">
        <f t="shared" ca="1" si="896"/>
        <v>0</v>
      </c>
      <c r="DE288" s="363">
        <f t="shared" ca="1" si="897"/>
        <v>0</v>
      </c>
      <c r="DF288" s="378" t="str">
        <f t="shared" ca="1" si="898"/>
        <v/>
      </c>
      <c r="DG288" s="508" t="str">
        <f t="shared" ca="1" si="899"/>
        <v/>
      </c>
      <c r="DH288" s="508" t="str">
        <f t="shared" ca="1" si="900"/>
        <v/>
      </c>
      <c r="DI288" s="508" t="str">
        <f t="shared" ca="1" si="901"/>
        <v/>
      </c>
      <c r="DJ288" s="508" t="str">
        <f t="shared" ca="1" si="902"/>
        <v/>
      </c>
      <c r="DK288" s="353">
        <f t="shared" ca="1" si="903"/>
        <v>0</v>
      </c>
      <c r="DL288" s="781">
        <f t="shared" ca="1" si="904"/>
        <v>0</v>
      </c>
      <c r="DM288" s="303">
        <f t="shared" ca="1" si="905"/>
        <v>0</v>
      </c>
      <c r="DN288" s="508" t="str">
        <f t="shared" ca="1" si="906"/>
        <v/>
      </c>
      <c r="DO288" s="508" t="str">
        <f t="shared" ca="1" si="907"/>
        <v/>
      </c>
      <c r="DP288" s="508" t="str">
        <f t="shared" ca="1" si="908"/>
        <v/>
      </c>
      <c r="DQ288" s="508" t="str">
        <f t="shared" ca="1" si="909"/>
        <v/>
      </c>
      <c r="DR288" s="508" t="str">
        <f t="shared" ca="1" si="910"/>
        <v/>
      </c>
      <c r="DS288" s="353">
        <f t="shared" ca="1" si="911"/>
        <v>0</v>
      </c>
      <c r="DT288" s="353">
        <f t="shared" ca="1" si="912"/>
        <v>0</v>
      </c>
      <c r="DU288" s="380">
        <f t="shared" ca="1" si="1012"/>
        <v>22.666666666666668</v>
      </c>
      <c r="DV288" s="303">
        <f t="shared" ca="1" si="913"/>
        <v>0</v>
      </c>
      <c r="DW288" s="303">
        <f t="shared" ca="1" si="914"/>
        <v>0</v>
      </c>
      <c r="DX288" s="303">
        <f t="shared" ca="1" si="915"/>
        <v>0</v>
      </c>
      <c r="DY288" s="303">
        <f t="shared" ca="1" si="916"/>
        <v>0</v>
      </c>
      <c r="DZ288" s="303">
        <f t="shared" ca="1" si="917"/>
        <v>0</v>
      </c>
      <c r="EA288" s="303">
        <f t="shared" ca="1" si="918"/>
        <v>0</v>
      </c>
      <c r="EB288" s="302">
        <f t="shared" ca="1" si="919"/>
        <v>0</v>
      </c>
      <c r="EC288" s="299">
        <f t="shared" ca="1" si="920"/>
        <v>0</v>
      </c>
      <c r="ED288" s="299">
        <f t="shared" ca="1" si="921"/>
        <v>0</v>
      </c>
      <c r="EE288" s="299">
        <f t="shared" ca="1" si="922"/>
        <v>0</v>
      </c>
      <c r="EF288" s="299">
        <f t="shared" ca="1" si="923"/>
        <v>0</v>
      </c>
      <c r="EG288" s="299">
        <f t="shared" ca="1" si="924"/>
        <v>0</v>
      </c>
      <c r="EH288" s="302">
        <f t="shared" ca="1" si="925"/>
        <v>0</v>
      </c>
      <c r="EI288" s="304" t="str">
        <f t="shared" ca="1" si="926"/>
        <v/>
      </c>
      <c r="EJ288" s="305" t="str">
        <f t="shared" ca="1" si="927"/>
        <v/>
      </c>
      <c r="EK288" s="305" t="str">
        <f t="shared" ca="1" si="928"/>
        <v/>
      </c>
      <c r="EL288" s="305" t="str">
        <f t="shared" ca="1" si="929"/>
        <v/>
      </c>
      <c r="EM288" s="305" t="str">
        <f t="shared" ca="1" si="930"/>
        <v/>
      </c>
      <c r="EN288" s="305" t="str">
        <f t="shared" ca="1" si="931"/>
        <v/>
      </c>
      <c r="EO288" s="305" t="str">
        <f t="shared" ca="1" si="932"/>
        <v/>
      </c>
      <c r="EP288" s="305" t="str">
        <f t="shared" ca="1" si="933"/>
        <v/>
      </c>
      <c r="EQ288" s="305" t="str">
        <f t="shared" ca="1" si="934"/>
        <v/>
      </c>
      <c r="ER288" s="305" t="str">
        <f t="shared" ca="1" si="935"/>
        <v/>
      </c>
      <c r="ES288" s="305" t="str">
        <f t="shared" ca="1" si="936"/>
        <v/>
      </c>
      <c r="ET288" s="299">
        <f t="shared" ca="1" si="937"/>
        <v>0</v>
      </c>
      <c r="EU288" s="302">
        <f t="shared" ca="1" si="938"/>
        <v>0</v>
      </c>
      <c r="EV288" s="304" t="str">
        <f t="shared" ca="1" si="939"/>
        <v/>
      </c>
      <c r="EW288" s="305" t="str">
        <f t="shared" ca="1" si="940"/>
        <v/>
      </c>
      <c r="EX288" s="305" t="str">
        <f t="shared" ca="1" si="941"/>
        <v/>
      </c>
      <c r="EY288" s="305" t="str">
        <f t="shared" ca="1" si="942"/>
        <v/>
      </c>
      <c r="EZ288" s="305" t="str">
        <f t="shared" ca="1" si="943"/>
        <v/>
      </c>
      <c r="FA288" s="305" t="str">
        <f t="shared" ca="1" si="944"/>
        <v/>
      </c>
      <c r="FB288" s="305" t="str">
        <f t="shared" ca="1" si="945"/>
        <v/>
      </c>
      <c r="FC288" s="305" t="str">
        <f t="shared" ca="1" si="946"/>
        <v/>
      </c>
      <c r="FD288" s="305" t="str">
        <f t="shared" ca="1" si="947"/>
        <v/>
      </c>
      <c r="FE288" s="305" t="str">
        <f t="shared" ca="1" si="948"/>
        <v/>
      </c>
      <c r="FF288" s="305" t="str">
        <f t="shared" ca="1" si="949"/>
        <v/>
      </c>
      <c r="FG288" s="299">
        <f t="shared" ca="1" si="950"/>
        <v>0</v>
      </c>
      <c r="FH288" s="302">
        <f t="shared" ca="1" si="951"/>
        <v>0</v>
      </c>
      <c r="FI288" s="248">
        <f t="shared" ca="1" si="952"/>
        <v>0</v>
      </c>
      <c r="FJ288" s="363">
        <f t="shared" ca="1" si="953"/>
        <v>0</v>
      </c>
      <c r="FK288" s="378" t="str">
        <f t="shared" ca="1" si="954"/>
        <v/>
      </c>
      <c r="FL288" s="508" t="str">
        <f t="shared" ca="1" si="955"/>
        <v/>
      </c>
      <c r="FM288" s="508" t="str">
        <f t="shared" ca="1" si="956"/>
        <v/>
      </c>
      <c r="FN288" s="508" t="str">
        <f t="shared" ca="1" si="957"/>
        <v/>
      </c>
      <c r="FO288" s="508" t="str">
        <f t="shared" ca="1" si="958"/>
        <v/>
      </c>
      <c r="FP288" s="353">
        <f t="shared" ca="1" si="959"/>
        <v>0</v>
      </c>
      <c r="FQ288" s="356">
        <f t="shared" ca="1" si="960"/>
        <v>0</v>
      </c>
      <c r="FR288" s="380">
        <f t="shared" ca="1" si="961"/>
        <v>0</v>
      </c>
      <c r="FS288" s="299">
        <f t="shared" ca="1" si="962"/>
        <v>0</v>
      </c>
      <c r="FT288" s="299">
        <f t="shared" ca="1" si="963"/>
        <v>0</v>
      </c>
      <c r="FU288" s="299">
        <f t="shared" ca="1" si="964"/>
        <v>0</v>
      </c>
      <c r="FV288" s="299">
        <f t="shared" ca="1" si="965"/>
        <v>0</v>
      </c>
      <c r="FW288" s="850" t="str">
        <f t="shared" ca="1" si="966"/>
        <v/>
      </c>
      <c r="FX288" s="851" t="str">
        <f t="shared" ca="1" si="967"/>
        <v/>
      </c>
      <c r="FY288" s="851" t="str">
        <f t="shared" ca="1" si="968"/>
        <v/>
      </c>
      <c r="FZ288" s="201" t="str">
        <f t="shared" ca="1" si="969"/>
        <v/>
      </c>
      <c r="GA288" s="201" t="str">
        <f t="shared" ca="1" si="970"/>
        <v/>
      </c>
      <c r="GB288" s="201" t="str">
        <f t="shared" ca="1" si="971"/>
        <v/>
      </c>
      <c r="GC288" s="201" t="str">
        <f t="shared" ca="1" si="972"/>
        <v/>
      </c>
      <c r="GD288" s="850" t="str">
        <f t="shared" ca="1" si="973"/>
        <v/>
      </c>
      <c r="GE288" s="866" t="str">
        <f t="shared" ca="1" si="974"/>
        <v/>
      </c>
      <c r="GF288" s="866" t="str">
        <f t="shared" ca="1" si="975"/>
        <v/>
      </c>
      <c r="GG288" s="866" t="str">
        <f t="shared" ca="1" si="976"/>
        <v/>
      </c>
      <c r="GH288" s="866" t="str">
        <f t="shared" ca="1" si="977"/>
        <v/>
      </c>
      <c r="GI288" s="302">
        <f t="shared" ca="1" si="978"/>
        <v>0</v>
      </c>
      <c r="GJ288" s="299">
        <f t="shared" ca="1" si="979"/>
        <v>0</v>
      </c>
      <c r="GK288" s="299">
        <f t="shared" ca="1" si="980"/>
        <v>0</v>
      </c>
      <c r="GL288" s="299">
        <f t="shared" ca="1" si="981"/>
        <v>0</v>
      </c>
      <c r="GM288" s="299">
        <f t="shared" ca="1" si="982"/>
        <v>0</v>
      </c>
      <c r="GN288" s="302">
        <f t="shared" ca="1" si="983"/>
        <v>0</v>
      </c>
      <c r="GO288" s="299">
        <f t="shared" ca="1" si="984"/>
        <v>0</v>
      </c>
      <c r="GP288" s="299">
        <f t="shared" ca="1" si="985"/>
        <v>0</v>
      </c>
      <c r="GQ288" s="299">
        <f t="shared" ca="1" si="986"/>
        <v>0</v>
      </c>
      <c r="GR288" s="299">
        <f t="shared" ca="1" si="987"/>
        <v>0</v>
      </c>
      <c r="GS288" s="302">
        <f t="shared" ca="1" si="988"/>
        <v>0</v>
      </c>
      <c r="GT288" s="299">
        <f t="shared" ca="1" si="989"/>
        <v>0</v>
      </c>
      <c r="GU288" s="299">
        <f t="shared" ca="1" si="990"/>
        <v>0</v>
      </c>
      <c r="GV288" s="299">
        <f t="shared" ca="1" si="991"/>
        <v>0</v>
      </c>
      <c r="GW288" s="299">
        <f t="shared" ca="1" si="992"/>
        <v>0</v>
      </c>
      <c r="GX288" s="303">
        <f t="shared" ca="1" si="993"/>
        <v>0</v>
      </c>
      <c r="GY288" s="303">
        <f t="shared" ca="1" si="994"/>
        <v>0</v>
      </c>
      <c r="GZ288" s="303">
        <f t="shared" ca="1" si="995"/>
        <v>0</v>
      </c>
      <c r="HA288" s="303">
        <f t="shared" ca="1" si="996"/>
        <v>0</v>
      </c>
      <c r="HB288" s="303">
        <f t="shared" ca="1" si="997"/>
        <v>0</v>
      </c>
      <c r="HC288" s="303">
        <f t="shared" ca="1" si="998"/>
        <v>0</v>
      </c>
      <c r="HD288" s="303">
        <f t="shared" ca="1" si="999"/>
        <v>0</v>
      </c>
      <c r="HE288" s="303">
        <f t="shared" ca="1" si="1000"/>
        <v>0</v>
      </c>
      <c r="HF288" s="303">
        <f t="shared" ca="1" si="1001"/>
        <v>0</v>
      </c>
      <c r="HG288" s="852">
        <f t="shared" ca="1" si="1002"/>
        <v>0</v>
      </c>
    </row>
    <row r="289" spans="1:215" x14ac:dyDescent="0.25">
      <c r="A289" s="244">
        <f t="shared" ca="1" si="1003"/>
        <v>44896</v>
      </c>
      <c r="B289" s="13">
        <f ca="1">YEAR(A289)</f>
        <v>2022</v>
      </c>
      <c r="C289" s="619">
        <f ca="1">MONTH(A289)</f>
        <v>12</v>
      </c>
      <c r="D289" s="195">
        <f t="shared" ca="1" si="833"/>
        <v>44921</v>
      </c>
      <c r="E289" s="469" t="str">
        <f t="shared" ca="1" si="834"/>
        <v/>
      </c>
      <c r="F289" s="465" t="str">
        <f t="shared" ca="1" si="835"/>
        <v/>
      </c>
      <c r="G289" s="522">
        <f t="shared" ca="1" si="1004"/>
        <v>1</v>
      </c>
      <c r="H289" s="519">
        <f t="shared" ca="1" si="1005"/>
        <v>1</v>
      </c>
      <c r="I289" s="724">
        <f ca="1">VLOOKUP(A289,IRTable,2)</f>
        <v>7.3871128736682001E-2</v>
      </c>
      <c r="J289" s="198">
        <f t="shared" ca="1" si="837"/>
        <v>0.19011640861671206</v>
      </c>
      <c r="K289" s="200" t="e">
        <f t="shared" ca="1" si="1013"/>
        <v>#N/A</v>
      </c>
      <c r="L289" s="201" t="e">
        <f t="shared" ca="1" si="1014"/>
        <v>#N/A</v>
      </c>
      <c r="M289" s="206" t="e">
        <f t="shared" ca="1" si="1015"/>
        <v>#N/A</v>
      </c>
      <c r="N289" s="851" t="e">
        <f t="shared" ca="1" si="1019"/>
        <v>#N/A</v>
      </c>
      <c r="O289" s="201" t="e">
        <f t="shared" ca="1" si="1020"/>
        <v>#N/A</v>
      </c>
      <c r="P289" s="206" t="e">
        <f t="shared" ca="1" si="1021"/>
        <v>#N/A</v>
      </c>
      <c r="Q289" s="201" t="e">
        <f t="shared" ca="1" si="1022"/>
        <v>#N/A</v>
      </c>
      <c r="R289" s="201" t="e">
        <f t="shared" ca="1" si="1023"/>
        <v>#N/A</v>
      </c>
      <c r="S289" s="201" t="e">
        <f t="shared" ca="1" si="1024"/>
        <v>#N/A</v>
      </c>
      <c r="T289" s="851" t="e">
        <f t="shared" ca="1" si="1016"/>
        <v>#N/A</v>
      </c>
      <c r="U289" s="201" t="e">
        <f t="shared" ca="1" si="1017"/>
        <v>#N/A</v>
      </c>
      <c r="V289" s="206" t="e">
        <f t="shared" ca="1" si="1018"/>
        <v>#N/A</v>
      </c>
      <c r="W289" s="230" t="e">
        <f t="shared" ca="1" si="1006"/>
        <v>#N/A</v>
      </c>
      <c r="X289" s="231" t="e">
        <f t="shared" ca="1" si="1007"/>
        <v>#N/A</v>
      </c>
      <c r="Y289" s="232" t="e">
        <f t="shared" ca="1" si="1008"/>
        <v>#N/A</v>
      </c>
      <c r="Z289" s="231" t="e">
        <f ca="1">VLOOKUP($A289,BigTable,14,0)</f>
        <v>#N/A</v>
      </c>
      <c r="AA289" s="231" t="e">
        <f ca="1">VLOOKUP($A289,BigTable,15,0)</f>
        <v>#N/A</v>
      </c>
      <c r="AB289" s="232" t="e">
        <f ca="1">VLOOKUP($A289,BigTable,16,0)</f>
        <v>#N/A</v>
      </c>
      <c r="AC289" s="231" t="e">
        <f ca="1">VLOOKUP($A289,BigTable,14,0)</f>
        <v>#N/A</v>
      </c>
      <c r="AD289" s="231" t="e">
        <f ca="1">VLOOKUP($A289,BigTable,15,0)</f>
        <v>#N/A</v>
      </c>
      <c r="AE289" s="232" t="e">
        <f t="shared" ca="1" si="838"/>
        <v>#N/A</v>
      </c>
      <c r="AF289" s="231" t="e">
        <f t="shared" ca="1" si="1009"/>
        <v>#N/A</v>
      </c>
      <c r="AG289" s="231" t="e">
        <f t="shared" ca="1" si="1010"/>
        <v>#N/A</v>
      </c>
      <c r="AH289" s="232" t="e">
        <f t="shared" ca="1" si="1011"/>
        <v>#N/A</v>
      </c>
      <c r="AI289" s="233" t="e">
        <f t="shared" ca="1" si="839"/>
        <v>#N/A</v>
      </c>
      <c r="AJ289" s="233" t="e">
        <f t="shared" ca="1" si="840"/>
        <v>#N/A</v>
      </c>
      <c r="AK289" s="234" t="e">
        <f t="shared" ca="1" si="841"/>
        <v>#N/A</v>
      </c>
      <c r="AL289" s="919" t="e">
        <f t="shared" ca="1" si="842"/>
        <v>#N/A</v>
      </c>
      <c r="AM289" s="233" t="e">
        <f t="shared" ca="1" si="843"/>
        <v>#N/A</v>
      </c>
      <c r="AN289" s="234" t="e">
        <f t="shared" ca="1" si="844"/>
        <v>#N/A</v>
      </c>
      <c r="AO289" s="233" t="e">
        <f t="shared" ca="1" si="845"/>
        <v>#N/A</v>
      </c>
      <c r="AP289" s="233" t="e">
        <f t="shared" ca="1" si="846"/>
        <v>#N/A</v>
      </c>
      <c r="AQ289" s="233" t="e">
        <f t="shared" ca="1" si="847"/>
        <v>#N/A</v>
      </c>
      <c r="AR289" s="919" t="e">
        <f t="shared" ca="1" si="848"/>
        <v>#N/A</v>
      </c>
      <c r="AS289" s="233" t="e">
        <f t="shared" ca="1" si="849"/>
        <v>#N/A</v>
      </c>
      <c r="AT289" s="235" t="e">
        <f t="shared" ca="1" si="850"/>
        <v>#N/A</v>
      </c>
      <c r="AU289" s="946">
        <f t="shared" si="851"/>
        <v>0.5</v>
      </c>
      <c r="AV289" s="13">
        <f t="shared" ca="1" si="852"/>
        <v>0</v>
      </c>
      <c r="AW289" s="210">
        <f t="shared" ca="1" si="853"/>
        <v>0</v>
      </c>
      <c r="AX289" s="210">
        <f t="shared" ca="1" si="854"/>
        <v>0</v>
      </c>
      <c r="AY289" s="210">
        <f t="shared" ca="1" si="855"/>
        <v>0</v>
      </c>
      <c r="AZ289" s="13">
        <f t="shared" ca="1" si="856"/>
        <v>0</v>
      </c>
      <c r="BA289" s="357">
        <f ca="1"/>
        <v>0</v>
      </c>
      <c r="BB289" s="925">
        <f ca="1"/>
        <v>0</v>
      </c>
      <c r="BC289" s="925">
        <f ca="1"/>
        <v>0</v>
      </c>
      <c r="BD289" s="928">
        <f ca="1"/>
        <v>0</v>
      </c>
      <c r="BE289" s="200">
        <f ca="1"/>
        <v>0</v>
      </c>
      <c r="BF289" s="851">
        <f ca="1"/>
        <v>0</v>
      </c>
      <c r="BG289" s="851">
        <f ca="1"/>
        <v>0</v>
      </c>
      <c r="BH289" s="933">
        <f ca="1"/>
        <v>0</v>
      </c>
      <c r="BI289" s="357">
        <f ca="1"/>
        <v>0</v>
      </c>
      <c r="BJ289" s="925">
        <f ca="1"/>
        <v>0</v>
      </c>
      <c r="BK289" s="925">
        <f ca="1"/>
        <v>0</v>
      </c>
      <c r="BL289" s="928">
        <f ca="1"/>
        <v>0</v>
      </c>
      <c r="BM289" s="200">
        <f ca="1"/>
        <v>0</v>
      </c>
      <c r="BN289" s="851">
        <f ca="1"/>
        <v>0</v>
      </c>
      <c r="BO289" s="851">
        <f ca="1"/>
        <v>0</v>
      </c>
      <c r="BP289" s="933">
        <f ca="1"/>
        <v>0</v>
      </c>
      <c r="BQ289" s="357">
        <f t="shared" ca="1" si="857"/>
        <v>0</v>
      </c>
      <c r="BR289" s="361">
        <f t="shared" ca="1" si="858"/>
        <v>0</v>
      </c>
      <c r="BS289" s="357">
        <f t="shared" ca="1" si="859"/>
        <v>0</v>
      </c>
      <c r="BT289" s="302">
        <f t="shared" ca="1" si="860"/>
        <v>0</v>
      </c>
      <c r="BU289" s="299">
        <f t="shared" ca="1" si="861"/>
        <v>0</v>
      </c>
      <c r="BV289" s="299">
        <f t="shared" ca="1" si="862"/>
        <v>0</v>
      </c>
      <c r="BW289" s="299">
        <f t="shared" ca="1" si="863"/>
        <v>0</v>
      </c>
      <c r="BX289" s="380">
        <f t="shared" ca="1" si="864"/>
        <v>22.748802190280628</v>
      </c>
      <c r="BY289" s="363">
        <f t="shared" ca="1" si="865"/>
        <v>0</v>
      </c>
      <c r="BZ289" s="353">
        <f t="shared" ca="1" si="866"/>
        <v>0</v>
      </c>
      <c r="CA289" s="353">
        <f t="shared" ca="1" si="867"/>
        <v>0</v>
      </c>
      <c r="CB289" s="353">
        <f t="shared" ca="1" si="868"/>
        <v>0</v>
      </c>
      <c r="CC289" s="353">
        <f t="shared" ca="1" si="869"/>
        <v>0</v>
      </c>
      <c r="CD289" s="353">
        <f t="shared" ca="1" si="870"/>
        <v>0</v>
      </c>
      <c r="CE289" s="302">
        <f t="shared" ca="1" si="871"/>
        <v>0</v>
      </c>
      <c r="CF289" s="299">
        <f t="shared" ca="1" si="872"/>
        <v>0</v>
      </c>
      <c r="CG289" s="299">
        <f t="shared" ca="1" si="873"/>
        <v>0</v>
      </c>
      <c r="CH289" s="299">
        <f t="shared" ca="1" si="874"/>
        <v>0</v>
      </c>
      <c r="CI289" s="299">
        <f t="shared" ca="1" si="875"/>
        <v>0</v>
      </c>
      <c r="CJ289" s="299">
        <f t="shared" ca="1" si="876"/>
        <v>0</v>
      </c>
      <c r="CK289" s="299">
        <f t="shared" ca="1" si="877"/>
        <v>0</v>
      </c>
      <c r="CL289" s="377" t="str">
        <f t="shared" ca="1" si="878"/>
        <v/>
      </c>
      <c r="CM289" s="305" t="str">
        <f t="shared" ca="1" si="879"/>
        <v/>
      </c>
      <c r="CN289" s="305" t="str">
        <f t="shared" ca="1" si="880"/>
        <v/>
      </c>
      <c r="CO289" s="305" t="str">
        <f t="shared" ca="1" si="881"/>
        <v/>
      </c>
      <c r="CP289" s="305" t="str">
        <f t="shared" ca="1" si="882"/>
        <v/>
      </c>
      <c r="CQ289" s="305" t="str">
        <f t="shared" ca="1" si="883"/>
        <v/>
      </c>
      <c r="CR289" s="775" t="str">
        <f t="shared" ca="1" si="884"/>
        <v/>
      </c>
      <c r="CS289" s="305" t="str">
        <f t="shared" ca="1" si="885"/>
        <v/>
      </c>
      <c r="CT289" s="305" t="str">
        <f t="shared" ca="1" si="886"/>
        <v/>
      </c>
      <c r="CU289" s="305" t="str">
        <f t="shared" ca="1" si="887"/>
        <v/>
      </c>
      <c r="CV289" s="770" t="str">
        <f t="shared" ca="1" si="888"/>
        <v/>
      </c>
      <c r="CW289" s="302">
        <f t="shared" ca="1" si="889"/>
        <v>0</v>
      </c>
      <c r="CX289" s="299">
        <f t="shared" ca="1" si="890"/>
        <v>0</v>
      </c>
      <c r="CY289" s="299">
        <f t="shared" ca="1" si="891"/>
        <v>0</v>
      </c>
      <c r="CZ289" s="299">
        <f t="shared" ca="1" si="892"/>
        <v>0</v>
      </c>
      <c r="DA289" s="774">
        <f t="shared" ca="1" si="893"/>
        <v>0</v>
      </c>
      <c r="DB289" s="303">
        <f t="shared" ca="1" si="894"/>
        <v>0</v>
      </c>
      <c r="DC289" s="248">
        <f t="shared" ca="1" si="895"/>
        <v>0</v>
      </c>
      <c r="DD289" s="778">
        <f t="shared" ca="1" si="896"/>
        <v>0</v>
      </c>
      <c r="DE289" s="363">
        <f t="shared" ca="1" si="897"/>
        <v>0</v>
      </c>
      <c r="DF289" s="378" t="str">
        <f t="shared" ca="1" si="898"/>
        <v/>
      </c>
      <c r="DG289" s="508" t="str">
        <f t="shared" ca="1" si="899"/>
        <v/>
      </c>
      <c r="DH289" s="508" t="str">
        <f t="shared" ca="1" si="900"/>
        <v/>
      </c>
      <c r="DI289" s="508" t="str">
        <f t="shared" ca="1" si="901"/>
        <v/>
      </c>
      <c r="DJ289" s="508" t="str">
        <f t="shared" ca="1" si="902"/>
        <v/>
      </c>
      <c r="DK289" s="353">
        <f t="shared" ca="1" si="903"/>
        <v>0</v>
      </c>
      <c r="DL289" s="781">
        <f t="shared" ca="1" si="904"/>
        <v>0</v>
      </c>
      <c r="DM289" s="303">
        <f t="shared" ca="1" si="905"/>
        <v>0</v>
      </c>
      <c r="DN289" s="508" t="str">
        <f t="shared" ca="1" si="906"/>
        <v/>
      </c>
      <c r="DO289" s="508" t="str">
        <f t="shared" ca="1" si="907"/>
        <v/>
      </c>
      <c r="DP289" s="508" t="str">
        <f t="shared" ca="1" si="908"/>
        <v/>
      </c>
      <c r="DQ289" s="508" t="str">
        <f t="shared" ca="1" si="909"/>
        <v/>
      </c>
      <c r="DR289" s="508" t="str">
        <f t="shared" ca="1" si="910"/>
        <v/>
      </c>
      <c r="DS289" s="353">
        <f t="shared" ca="1" si="911"/>
        <v>0</v>
      </c>
      <c r="DT289" s="353">
        <f t="shared" ca="1" si="912"/>
        <v>0</v>
      </c>
      <c r="DU289" s="380">
        <f t="shared" ca="1" si="1012"/>
        <v>22.748802190280628</v>
      </c>
      <c r="DV289" s="303">
        <f t="shared" ca="1" si="913"/>
        <v>0</v>
      </c>
      <c r="DW289" s="303">
        <f t="shared" ca="1" si="914"/>
        <v>0</v>
      </c>
      <c r="DX289" s="303">
        <f t="shared" ca="1" si="915"/>
        <v>0</v>
      </c>
      <c r="DY289" s="303">
        <f t="shared" ca="1" si="916"/>
        <v>0</v>
      </c>
      <c r="DZ289" s="303">
        <f t="shared" ca="1" si="917"/>
        <v>0</v>
      </c>
      <c r="EA289" s="303">
        <f t="shared" ca="1" si="918"/>
        <v>0</v>
      </c>
      <c r="EB289" s="302">
        <f t="shared" ca="1" si="919"/>
        <v>0</v>
      </c>
      <c r="EC289" s="299">
        <f t="shared" ca="1" si="920"/>
        <v>0</v>
      </c>
      <c r="ED289" s="299">
        <f t="shared" ca="1" si="921"/>
        <v>0</v>
      </c>
      <c r="EE289" s="299">
        <f t="shared" ca="1" si="922"/>
        <v>0</v>
      </c>
      <c r="EF289" s="299">
        <f t="shared" ca="1" si="923"/>
        <v>0</v>
      </c>
      <c r="EG289" s="299">
        <f t="shared" ca="1" si="924"/>
        <v>0</v>
      </c>
      <c r="EH289" s="302">
        <f t="shared" ca="1" si="925"/>
        <v>0</v>
      </c>
      <c r="EI289" s="304" t="str">
        <f t="shared" ca="1" si="926"/>
        <v/>
      </c>
      <c r="EJ289" s="305" t="str">
        <f t="shared" ca="1" si="927"/>
        <v/>
      </c>
      <c r="EK289" s="305" t="str">
        <f t="shared" ca="1" si="928"/>
        <v/>
      </c>
      <c r="EL289" s="305" t="str">
        <f t="shared" ca="1" si="929"/>
        <v/>
      </c>
      <c r="EM289" s="305" t="str">
        <f t="shared" ca="1" si="930"/>
        <v/>
      </c>
      <c r="EN289" s="305" t="str">
        <f t="shared" ca="1" si="931"/>
        <v/>
      </c>
      <c r="EO289" s="305" t="str">
        <f t="shared" ca="1" si="932"/>
        <v/>
      </c>
      <c r="EP289" s="305" t="str">
        <f t="shared" ca="1" si="933"/>
        <v/>
      </c>
      <c r="EQ289" s="305" t="str">
        <f t="shared" ca="1" si="934"/>
        <v/>
      </c>
      <c r="ER289" s="305" t="str">
        <f t="shared" ca="1" si="935"/>
        <v/>
      </c>
      <c r="ES289" s="305" t="str">
        <f t="shared" ca="1" si="936"/>
        <v/>
      </c>
      <c r="ET289" s="299">
        <f t="shared" ca="1" si="937"/>
        <v>0</v>
      </c>
      <c r="EU289" s="302">
        <f t="shared" ca="1" si="938"/>
        <v>0</v>
      </c>
      <c r="EV289" s="304" t="str">
        <f t="shared" ca="1" si="939"/>
        <v/>
      </c>
      <c r="EW289" s="305" t="str">
        <f t="shared" ca="1" si="940"/>
        <v/>
      </c>
      <c r="EX289" s="305" t="str">
        <f t="shared" ca="1" si="941"/>
        <v/>
      </c>
      <c r="EY289" s="305" t="str">
        <f t="shared" ca="1" si="942"/>
        <v/>
      </c>
      <c r="EZ289" s="305" t="str">
        <f t="shared" ca="1" si="943"/>
        <v/>
      </c>
      <c r="FA289" s="305" t="str">
        <f t="shared" ca="1" si="944"/>
        <v/>
      </c>
      <c r="FB289" s="305" t="str">
        <f t="shared" ca="1" si="945"/>
        <v/>
      </c>
      <c r="FC289" s="305" t="str">
        <f t="shared" ca="1" si="946"/>
        <v/>
      </c>
      <c r="FD289" s="305" t="str">
        <f t="shared" ca="1" si="947"/>
        <v/>
      </c>
      <c r="FE289" s="305" t="str">
        <f t="shared" ca="1" si="948"/>
        <v/>
      </c>
      <c r="FF289" s="305" t="str">
        <f t="shared" ca="1" si="949"/>
        <v/>
      </c>
      <c r="FG289" s="299">
        <f t="shared" ca="1" si="950"/>
        <v>0</v>
      </c>
      <c r="FH289" s="302">
        <f t="shared" ca="1" si="951"/>
        <v>0</v>
      </c>
      <c r="FI289" s="248">
        <f t="shared" ca="1" si="952"/>
        <v>0</v>
      </c>
      <c r="FJ289" s="363">
        <f t="shared" ca="1" si="953"/>
        <v>0</v>
      </c>
      <c r="FK289" s="378" t="str">
        <f t="shared" ca="1" si="954"/>
        <v/>
      </c>
      <c r="FL289" s="508" t="str">
        <f t="shared" ca="1" si="955"/>
        <v/>
      </c>
      <c r="FM289" s="508" t="str">
        <f t="shared" ca="1" si="956"/>
        <v/>
      </c>
      <c r="FN289" s="508" t="str">
        <f t="shared" ca="1" si="957"/>
        <v/>
      </c>
      <c r="FO289" s="508" t="str">
        <f t="shared" ca="1" si="958"/>
        <v/>
      </c>
      <c r="FP289" s="353">
        <f t="shared" ca="1" si="959"/>
        <v>0</v>
      </c>
      <c r="FQ289" s="356">
        <f t="shared" ca="1" si="960"/>
        <v>0</v>
      </c>
      <c r="FR289" s="380">
        <f t="shared" ca="1" si="961"/>
        <v>0</v>
      </c>
      <c r="FS289" s="299">
        <f t="shared" ca="1" si="962"/>
        <v>0</v>
      </c>
      <c r="FT289" s="299">
        <f t="shared" ca="1" si="963"/>
        <v>0</v>
      </c>
      <c r="FU289" s="299">
        <f t="shared" ca="1" si="964"/>
        <v>0</v>
      </c>
      <c r="FV289" s="299">
        <f t="shared" ca="1" si="965"/>
        <v>0</v>
      </c>
      <c r="FW289" s="850" t="str">
        <f t="shared" ca="1" si="966"/>
        <v/>
      </c>
      <c r="FX289" s="851" t="str">
        <f t="shared" ca="1" si="967"/>
        <v/>
      </c>
      <c r="FY289" s="851" t="str">
        <f t="shared" ca="1" si="968"/>
        <v/>
      </c>
      <c r="FZ289" s="201" t="str">
        <f t="shared" ca="1" si="969"/>
        <v/>
      </c>
      <c r="GA289" s="201" t="str">
        <f t="shared" ca="1" si="970"/>
        <v/>
      </c>
      <c r="GB289" s="201" t="str">
        <f t="shared" ca="1" si="971"/>
        <v/>
      </c>
      <c r="GC289" s="201" t="str">
        <f t="shared" ca="1" si="972"/>
        <v/>
      </c>
      <c r="GD289" s="850" t="str">
        <f t="shared" ca="1" si="973"/>
        <v/>
      </c>
      <c r="GE289" s="866" t="str">
        <f t="shared" ca="1" si="974"/>
        <v/>
      </c>
      <c r="GF289" s="866" t="str">
        <f t="shared" ca="1" si="975"/>
        <v/>
      </c>
      <c r="GG289" s="866" t="str">
        <f t="shared" ca="1" si="976"/>
        <v/>
      </c>
      <c r="GH289" s="866" t="str">
        <f t="shared" ca="1" si="977"/>
        <v/>
      </c>
      <c r="GI289" s="302">
        <f t="shared" ca="1" si="978"/>
        <v>0</v>
      </c>
      <c r="GJ289" s="299">
        <f t="shared" ca="1" si="979"/>
        <v>0</v>
      </c>
      <c r="GK289" s="299">
        <f t="shared" ca="1" si="980"/>
        <v>0</v>
      </c>
      <c r="GL289" s="299">
        <f t="shared" ca="1" si="981"/>
        <v>0</v>
      </c>
      <c r="GM289" s="299">
        <f t="shared" ca="1" si="982"/>
        <v>0</v>
      </c>
      <c r="GN289" s="302">
        <f t="shared" ca="1" si="983"/>
        <v>0</v>
      </c>
      <c r="GO289" s="299">
        <f t="shared" ca="1" si="984"/>
        <v>0</v>
      </c>
      <c r="GP289" s="299">
        <f t="shared" ca="1" si="985"/>
        <v>0</v>
      </c>
      <c r="GQ289" s="299">
        <f t="shared" ca="1" si="986"/>
        <v>0</v>
      </c>
      <c r="GR289" s="299">
        <f t="shared" ca="1" si="987"/>
        <v>0</v>
      </c>
      <c r="GS289" s="302">
        <f t="shared" ca="1" si="988"/>
        <v>0</v>
      </c>
      <c r="GT289" s="299">
        <f t="shared" ca="1" si="989"/>
        <v>0</v>
      </c>
      <c r="GU289" s="299">
        <f t="shared" ca="1" si="990"/>
        <v>0</v>
      </c>
      <c r="GV289" s="299">
        <f t="shared" ca="1" si="991"/>
        <v>0</v>
      </c>
      <c r="GW289" s="299">
        <f t="shared" ca="1" si="992"/>
        <v>0</v>
      </c>
      <c r="GX289" s="303">
        <f t="shared" ca="1" si="993"/>
        <v>0</v>
      </c>
      <c r="GY289" s="303">
        <f t="shared" ca="1" si="994"/>
        <v>0</v>
      </c>
      <c r="GZ289" s="303">
        <f t="shared" ca="1" si="995"/>
        <v>0</v>
      </c>
      <c r="HA289" s="303">
        <f t="shared" ca="1" si="996"/>
        <v>0</v>
      </c>
      <c r="HB289" s="303">
        <f t="shared" ca="1" si="997"/>
        <v>0</v>
      </c>
      <c r="HC289" s="303">
        <f t="shared" ca="1" si="998"/>
        <v>0</v>
      </c>
      <c r="HD289" s="303">
        <f t="shared" ca="1" si="999"/>
        <v>0</v>
      </c>
      <c r="HE289" s="303">
        <f t="shared" ca="1" si="1000"/>
        <v>0</v>
      </c>
      <c r="HF289" s="303">
        <f t="shared" ca="1" si="1001"/>
        <v>0</v>
      </c>
      <c r="HG289" s="852">
        <f t="shared" ca="1" si="1002"/>
        <v>0</v>
      </c>
    </row>
    <row r="290" spans="1:215" x14ac:dyDescent="0.25">
      <c r="A290" s="244">
        <f t="shared" ca="1" si="1003"/>
        <v>44927</v>
      </c>
      <c r="B290" s="13">
        <f ca="1">YEAR(A290)</f>
        <v>2023</v>
      </c>
      <c r="C290" s="619">
        <f ca="1">MONTH(A290)</f>
        <v>1</v>
      </c>
      <c r="D290" s="195">
        <f t="shared" ca="1" si="833"/>
        <v>44928</v>
      </c>
      <c r="E290" s="469" t="str">
        <f t="shared" ca="1" si="834"/>
        <v/>
      </c>
      <c r="F290" s="465" t="str">
        <f t="shared" ca="1" si="835"/>
        <v/>
      </c>
      <c r="G290" s="522">
        <f t="shared" ca="1" si="1004"/>
        <v>1</v>
      </c>
      <c r="H290" s="519">
        <f t="shared" ca="1" si="1005"/>
        <v>1</v>
      </c>
      <c r="I290" s="724">
        <f ca="1">VLOOKUP(A290,IRTable,2)</f>
        <v>7.3861893441415999E-2</v>
      </c>
      <c r="J290" s="198">
        <f t="shared" ca="1" si="837"/>
        <v>0.18898817868208123</v>
      </c>
      <c r="K290" s="200" t="e">
        <f t="shared" ca="1" si="1013"/>
        <v>#N/A</v>
      </c>
      <c r="L290" s="201" t="e">
        <f t="shared" ca="1" si="1014"/>
        <v>#N/A</v>
      </c>
      <c r="M290" s="206" t="e">
        <f t="shared" ca="1" si="1015"/>
        <v>#N/A</v>
      </c>
      <c r="N290" s="851" t="e">
        <f t="shared" ca="1" si="1019"/>
        <v>#N/A</v>
      </c>
      <c r="O290" s="201" t="e">
        <f t="shared" ca="1" si="1020"/>
        <v>#N/A</v>
      </c>
      <c r="P290" s="206" t="e">
        <f t="shared" ca="1" si="1021"/>
        <v>#N/A</v>
      </c>
      <c r="Q290" s="201" t="e">
        <f t="shared" ca="1" si="1022"/>
        <v>#N/A</v>
      </c>
      <c r="R290" s="201" t="e">
        <f t="shared" ca="1" si="1023"/>
        <v>#N/A</v>
      </c>
      <c r="S290" s="201" t="e">
        <f t="shared" ca="1" si="1024"/>
        <v>#N/A</v>
      </c>
      <c r="T290" s="851" t="e">
        <f t="shared" ca="1" si="1016"/>
        <v>#N/A</v>
      </c>
      <c r="U290" s="201" t="e">
        <f t="shared" ca="1" si="1017"/>
        <v>#N/A</v>
      </c>
      <c r="V290" s="206" t="e">
        <f t="shared" ca="1" si="1018"/>
        <v>#N/A</v>
      </c>
      <c r="W290" s="230" t="e">
        <f t="shared" ca="1" si="1006"/>
        <v>#N/A</v>
      </c>
      <c r="X290" s="231" t="e">
        <f t="shared" ca="1" si="1007"/>
        <v>#N/A</v>
      </c>
      <c r="Y290" s="232" t="e">
        <f t="shared" ca="1" si="1008"/>
        <v>#N/A</v>
      </c>
      <c r="Z290" s="231" t="e">
        <f ca="1">VLOOKUP($A290,BigTable,14,0)</f>
        <v>#N/A</v>
      </c>
      <c r="AA290" s="231" t="e">
        <f ca="1">VLOOKUP($A290,BigTable,15,0)</f>
        <v>#N/A</v>
      </c>
      <c r="AB290" s="232" t="e">
        <f ca="1">VLOOKUP($A290,BigTable,16,0)</f>
        <v>#N/A</v>
      </c>
      <c r="AC290" s="231" t="e">
        <f ca="1">VLOOKUP($A290,BigTable,14,0)</f>
        <v>#N/A</v>
      </c>
      <c r="AD290" s="231" t="e">
        <f ca="1">VLOOKUP($A290,BigTable,15,0)</f>
        <v>#N/A</v>
      </c>
      <c r="AE290" s="232" t="e">
        <f t="shared" ca="1" si="838"/>
        <v>#N/A</v>
      </c>
      <c r="AF290" s="231" t="e">
        <f t="shared" ca="1" si="1009"/>
        <v>#N/A</v>
      </c>
      <c r="AG290" s="231" t="e">
        <f t="shared" ca="1" si="1010"/>
        <v>#N/A</v>
      </c>
      <c r="AH290" s="232" t="e">
        <f t="shared" ca="1" si="1011"/>
        <v>#N/A</v>
      </c>
      <c r="AI290" s="233" t="e">
        <f t="shared" ca="1" si="839"/>
        <v>#N/A</v>
      </c>
      <c r="AJ290" s="233" t="e">
        <f t="shared" ca="1" si="840"/>
        <v>#N/A</v>
      </c>
      <c r="AK290" s="234" t="e">
        <f t="shared" ca="1" si="841"/>
        <v>#N/A</v>
      </c>
      <c r="AL290" s="919" t="e">
        <f t="shared" ca="1" si="842"/>
        <v>#N/A</v>
      </c>
      <c r="AM290" s="233" t="e">
        <f t="shared" ca="1" si="843"/>
        <v>#N/A</v>
      </c>
      <c r="AN290" s="234" t="e">
        <f t="shared" ca="1" si="844"/>
        <v>#N/A</v>
      </c>
      <c r="AO290" s="233" t="e">
        <f t="shared" ca="1" si="845"/>
        <v>#N/A</v>
      </c>
      <c r="AP290" s="233" t="e">
        <f t="shared" ca="1" si="846"/>
        <v>#N/A</v>
      </c>
      <c r="AQ290" s="233" t="e">
        <f t="shared" ca="1" si="847"/>
        <v>#N/A</v>
      </c>
      <c r="AR290" s="919" t="e">
        <f t="shared" ca="1" si="848"/>
        <v>#N/A</v>
      </c>
      <c r="AS290" s="233" t="e">
        <f t="shared" ca="1" si="849"/>
        <v>#N/A</v>
      </c>
      <c r="AT290" s="235" t="e">
        <f t="shared" ca="1" si="850"/>
        <v>#N/A</v>
      </c>
      <c r="AU290" s="946">
        <f t="shared" si="851"/>
        <v>0.5</v>
      </c>
      <c r="AV290" s="13">
        <f t="shared" ca="1" si="852"/>
        <v>0</v>
      </c>
      <c r="AW290" s="210">
        <f t="shared" ca="1" si="853"/>
        <v>0</v>
      </c>
      <c r="AX290" s="210">
        <f t="shared" ca="1" si="854"/>
        <v>0</v>
      </c>
      <c r="AY290" s="210">
        <f t="shared" ca="1" si="855"/>
        <v>0</v>
      </c>
      <c r="AZ290" s="13">
        <f t="shared" ca="1" si="856"/>
        <v>0</v>
      </c>
      <c r="BA290" s="357">
        <f ca="1"/>
        <v>0</v>
      </c>
      <c r="BB290" s="925">
        <f ca="1"/>
        <v>0</v>
      </c>
      <c r="BC290" s="925">
        <f ca="1"/>
        <v>0</v>
      </c>
      <c r="BD290" s="928">
        <f ca="1"/>
        <v>0</v>
      </c>
      <c r="BE290" s="200">
        <f ca="1"/>
        <v>0</v>
      </c>
      <c r="BF290" s="851">
        <f ca="1"/>
        <v>0</v>
      </c>
      <c r="BG290" s="851">
        <f ca="1"/>
        <v>0</v>
      </c>
      <c r="BH290" s="933">
        <f ca="1"/>
        <v>0</v>
      </c>
      <c r="BI290" s="357">
        <f ca="1"/>
        <v>0</v>
      </c>
      <c r="BJ290" s="925">
        <f ca="1"/>
        <v>0</v>
      </c>
      <c r="BK290" s="925">
        <f ca="1"/>
        <v>0</v>
      </c>
      <c r="BL290" s="928">
        <f ca="1"/>
        <v>0</v>
      </c>
      <c r="BM290" s="200">
        <f ca="1"/>
        <v>0</v>
      </c>
      <c r="BN290" s="851">
        <f ca="1"/>
        <v>0</v>
      </c>
      <c r="BO290" s="851">
        <f ca="1"/>
        <v>0</v>
      </c>
      <c r="BP290" s="933">
        <f ca="1"/>
        <v>0</v>
      </c>
      <c r="BQ290" s="357">
        <f t="shared" ca="1" si="857"/>
        <v>0</v>
      </c>
      <c r="BR290" s="361">
        <f t="shared" ca="1" si="858"/>
        <v>0</v>
      </c>
      <c r="BS290" s="357">
        <f t="shared" ca="1" si="859"/>
        <v>0</v>
      </c>
      <c r="BT290" s="302">
        <f t="shared" ca="1" si="860"/>
        <v>0</v>
      </c>
      <c r="BU290" s="299">
        <f t="shared" ca="1" si="861"/>
        <v>0</v>
      </c>
      <c r="BV290" s="299">
        <f t="shared" ca="1" si="862"/>
        <v>0</v>
      </c>
      <c r="BW290" s="299">
        <f t="shared" ca="1" si="863"/>
        <v>0</v>
      </c>
      <c r="BX290" s="380">
        <f t="shared" ca="1" si="864"/>
        <v>22.833675564681723</v>
      </c>
      <c r="BY290" s="363">
        <f t="shared" ca="1" si="865"/>
        <v>0</v>
      </c>
      <c r="BZ290" s="353">
        <f t="shared" ca="1" si="866"/>
        <v>0</v>
      </c>
      <c r="CA290" s="353">
        <f t="shared" ca="1" si="867"/>
        <v>0</v>
      </c>
      <c r="CB290" s="353">
        <f t="shared" ca="1" si="868"/>
        <v>0</v>
      </c>
      <c r="CC290" s="353">
        <f t="shared" ca="1" si="869"/>
        <v>0</v>
      </c>
      <c r="CD290" s="353">
        <f t="shared" ca="1" si="870"/>
        <v>0</v>
      </c>
      <c r="CE290" s="302">
        <f t="shared" ca="1" si="871"/>
        <v>0</v>
      </c>
      <c r="CF290" s="299">
        <f t="shared" ca="1" si="872"/>
        <v>0</v>
      </c>
      <c r="CG290" s="299">
        <f t="shared" ca="1" si="873"/>
        <v>0</v>
      </c>
      <c r="CH290" s="299">
        <f t="shared" ca="1" si="874"/>
        <v>0</v>
      </c>
      <c r="CI290" s="299">
        <f t="shared" ca="1" si="875"/>
        <v>0</v>
      </c>
      <c r="CJ290" s="299">
        <f t="shared" ca="1" si="876"/>
        <v>0</v>
      </c>
      <c r="CK290" s="299">
        <f t="shared" ca="1" si="877"/>
        <v>0</v>
      </c>
      <c r="CL290" s="377" t="str">
        <f t="shared" ca="1" si="878"/>
        <v/>
      </c>
      <c r="CM290" s="305" t="str">
        <f t="shared" ca="1" si="879"/>
        <v/>
      </c>
      <c r="CN290" s="305" t="str">
        <f t="shared" ca="1" si="880"/>
        <v/>
      </c>
      <c r="CO290" s="305" t="str">
        <f t="shared" ca="1" si="881"/>
        <v/>
      </c>
      <c r="CP290" s="305" t="str">
        <f t="shared" ca="1" si="882"/>
        <v/>
      </c>
      <c r="CQ290" s="305" t="str">
        <f t="shared" ca="1" si="883"/>
        <v/>
      </c>
      <c r="CR290" s="775" t="str">
        <f t="shared" ca="1" si="884"/>
        <v/>
      </c>
      <c r="CS290" s="305" t="str">
        <f t="shared" ca="1" si="885"/>
        <v/>
      </c>
      <c r="CT290" s="305" t="str">
        <f t="shared" ca="1" si="886"/>
        <v/>
      </c>
      <c r="CU290" s="305" t="str">
        <f t="shared" ca="1" si="887"/>
        <v/>
      </c>
      <c r="CV290" s="770" t="str">
        <f t="shared" ca="1" si="888"/>
        <v/>
      </c>
      <c r="CW290" s="302">
        <f t="shared" ca="1" si="889"/>
        <v>0</v>
      </c>
      <c r="CX290" s="299">
        <f t="shared" ca="1" si="890"/>
        <v>0</v>
      </c>
      <c r="CY290" s="299">
        <f t="shared" ca="1" si="891"/>
        <v>0</v>
      </c>
      <c r="CZ290" s="299">
        <f t="shared" ca="1" si="892"/>
        <v>0</v>
      </c>
      <c r="DA290" s="774">
        <f t="shared" ca="1" si="893"/>
        <v>0</v>
      </c>
      <c r="DB290" s="303">
        <f t="shared" ca="1" si="894"/>
        <v>0</v>
      </c>
      <c r="DC290" s="248">
        <f t="shared" ca="1" si="895"/>
        <v>0</v>
      </c>
      <c r="DD290" s="778">
        <f t="shared" ca="1" si="896"/>
        <v>0</v>
      </c>
      <c r="DE290" s="363">
        <f t="shared" ca="1" si="897"/>
        <v>0</v>
      </c>
      <c r="DF290" s="378" t="str">
        <f t="shared" ca="1" si="898"/>
        <v/>
      </c>
      <c r="DG290" s="508" t="str">
        <f t="shared" ca="1" si="899"/>
        <v/>
      </c>
      <c r="DH290" s="508" t="str">
        <f t="shared" ca="1" si="900"/>
        <v/>
      </c>
      <c r="DI290" s="508" t="str">
        <f t="shared" ca="1" si="901"/>
        <v/>
      </c>
      <c r="DJ290" s="508" t="str">
        <f t="shared" ca="1" si="902"/>
        <v/>
      </c>
      <c r="DK290" s="353">
        <f t="shared" ca="1" si="903"/>
        <v>0</v>
      </c>
      <c r="DL290" s="781">
        <f t="shared" ca="1" si="904"/>
        <v>0</v>
      </c>
      <c r="DM290" s="303">
        <f t="shared" ca="1" si="905"/>
        <v>0</v>
      </c>
      <c r="DN290" s="508" t="str">
        <f t="shared" ca="1" si="906"/>
        <v/>
      </c>
      <c r="DO290" s="508" t="str">
        <f t="shared" ca="1" si="907"/>
        <v/>
      </c>
      <c r="DP290" s="508" t="str">
        <f t="shared" ca="1" si="908"/>
        <v/>
      </c>
      <c r="DQ290" s="508" t="str">
        <f t="shared" ca="1" si="909"/>
        <v/>
      </c>
      <c r="DR290" s="508" t="str">
        <f t="shared" ca="1" si="910"/>
        <v/>
      </c>
      <c r="DS290" s="353">
        <f t="shared" ca="1" si="911"/>
        <v>0</v>
      </c>
      <c r="DT290" s="353">
        <f t="shared" ca="1" si="912"/>
        <v>0</v>
      </c>
      <c r="DU290" s="380">
        <f t="shared" ca="1" si="1012"/>
        <v>22.833675564681723</v>
      </c>
      <c r="DV290" s="303">
        <f t="shared" ca="1" si="913"/>
        <v>0</v>
      </c>
      <c r="DW290" s="303">
        <f t="shared" ca="1" si="914"/>
        <v>0</v>
      </c>
      <c r="DX290" s="303">
        <f t="shared" ca="1" si="915"/>
        <v>0</v>
      </c>
      <c r="DY290" s="303">
        <f t="shared" ca="1" si="916"/>
        <v>0</v>
      </c>
      <c r="DZ290" s="303">
        <f t="shared" ca="1" si="917"/>
        <v>0</v>
      </c>
      <c r="EA290" s="303">
        <f t="shared" ca="1" si="918"/>
        <v>0</v>
      </c>
      <c r="EB290" s="302">
        <f t="shared" ca="1" si="919"/>
        <v>0</v>
      </c>
      <c r="EC290" s="299">
        <f t="shared" ca="1" si="920"/>
        <v>0</v>
      </c>
      <c r="ED290" s="299">
        <f t="shared" ca="1" si="921"/>
        <v>0</v>
      </c>
      <c r="EE290" s="299">
        <f t="shared" ca="1" si="922"/>
        <v>0</v>
      </c>
      <c r="EF290" s="299">
        <f t="shared" ca="1" si="923"/>
        <v>0</v>
      </c>
      <c r="EG290" s="299">
        <f t="shared" ca="1" si="924"/>
        <v>0</v>
      </c>
      <c r="EH290" s="302">
        <f t="shared" ca="1" si="925"/>
        <v>0</v>
      </c>
      <c r="EI290" s="304" t="str">
        <f t="shared" ca="1" si="926"/>
        <v/>
      </c>
      <c r="EJ290" s="305" t="str">
        <f t="shared" ca="1" si="927"/>
        <v/>
      </c>
      <c r="EK290" s="305" t="str">
        <f t="shared" ca="1" si="928"/>
        <v/>
      </c>
      <c r="EL290" s="305" t="str">
        <f t="shared" ca="1" si="929"/>
        <v/>
      </c>
      <c r="EM290" s="305" t="str">
        <f t="shared" ca="1" si="930"/>
        <v/>
      </c>
      <c r="EN290" s="305" t="str">
        <f t="shared" ca="1" si="931"/>
        <v/>
      </c>
      <c r="EO290" s="305" t="str">
        <f t="shared" ca="1" si="932"/>
        <v/>
      </c>
      <c r="EP290" s="305" t="str">
        <f t="shared" ca="1" si="933"/>
        <v/>
      </c>
      <c r="EQ290" s="305" t="str">
        <f t="shared" ca="1" si="934"/>
        <v/>
      </c>
      <c r="ER290" s="305" t="str">
        <f t="shared" ca="1" si="935"/>
        <v/>
      </c>
      <c r="ES290" s="305" t="str">
        <f t="shared" ca="1" si="936"/>
        <v/>
      </c>
      <c r="ET290" s="299">
        <f t="shared" ca="1" si="937"/>
        <v>0</v>
      </c>
      <c r="EU290" s="302">
        <f t="shared" ca="1" si="938"/>
        <v>0</v>
      </c>
      <c r="EV290" s="304" t="str">
        <f t="shared" ca="1" si="939"/>
        <v/>
      </c>
      <c r="EW290" s="305" t="str">
        <f t="shared" ca="1" si="940"/>
        <v/>
      </c>
      <c r="EX290" s="305" t="str">
        <f t="shared" ca="1" si="941"/>
        <v/>
      </c>
      <c r="EY290" s="305" t="str">
        <f t="shared" ca="1" si="942"/>
        <v/>
      </c>
      <c r="EZ290" s="305" t="str">
        <f t="shared" ca="1" si="943"/>
        <v/>
      </c>
      <c r="FA290" s="305" t="str">
        <f t="shared" ca="1" si="944"/>
        <v/>
      </c>
      <c r="FB290" s="305" t="str">
        <f t="shared" ca="1" si="945"/>
        <v/>
      </c>
      <c r="FC290" s="305" t="str">
        <f t="shared" ca="1" si="946"/>
        <v/>
      </c>
      <c r="FD290" s="305" t="str">
        <f t="shared" ca="1" si="947"/>
        <v/>
      </c>
      <c r="FE290" s="305" t="str">
        <f t="shared" ca="1" si="948"/>
        <v/>
      </c>
      <c r="FF290" s="305" t="str">
        <f t="shared" ca="1" si="949"/>
        <v/>
      </c>
      <c r="FG290" s="299">
        <f t="shared" ca="1" si="950"/>
        <v>0</v>
      </c>
      <c r="FH290" s="302">
        <f t="shared" ca="1" si="951"/>
        <v>0</v>
      </c>
      <c r="FI290" s="248">
        <f t="shared" ca="1" si="952"/>
        <v>0</v>
      </c>
      <c r="FJ290" s="363">
        <f t="shared" ca="1" si="953"/>
        <v>0</v>
      </c>
      <c r="FK290" s="378" t="str">
        <f t="shared" ca="1" si="954"/>
        <v/>
      </c>
      <c r="FL290" s="508" t="str">
        <f t="shared" ca="1" si="955"/>
        <v/>
      </c>
      <c r="FM290" s="508" t="str">
        <f t="shared" ca="1" si="956"/>
        <v/>
      </c>
      <c r="FN290" s="508" t="str">
        <f t="shared" ca="1" si="957"/>
        <v/>
      </c>
      <c r="FO290" s="508" t="str">
        <f t="shared" ca="1" si="958"/>
        <v/>
      </c>
      <c r="FP290" s="353">
        <f t="shared" ca="1" si="959"/>
        <v>0</v>
      </c>
      <c r="FQ290" s="356">
        <f t="shared" ca="1" si="960"/>
        <v>0</v>
      </c>
      <c r="FR290" s="380">
        <f t="shared" ca="1" si="961"/>
        <v>0</v>
      </c>
      <c r="FS290" s="299">
        <f t="shared" ca="1" si="962"/>
        <v>0</v>
      </c>
      <c r="FT290" s="299">
        <f t="shared" ca="1" si="963"/>
        <v>0</v>
      </c>
      <c r="FU290" s="299">
        <f t="shared" ca="1" si="964"/>
        <v>0</v>
      </c>
      <c r="FV290" s="299">
        <f t="shared" ca="1" si="965"/>
        <v>0</v>
      </c>
      <c r="FW290" s="850" t="str">
        <f t="shared" ca="1" si="966"/>
        <v/>
      </c>
      <c r="FX290" s="851" t="str">
        <f t="shared" ca="1" si="967"/>
        <v/>
      </c>
      <c r="FY290" s="851" t="str">
        <f t="shared" ca="1" si="968"/>
        <v/>
      </c>
      <c r="FZ290" s="201" t="str">
        <f t="shared" ca="1" si="969"/>
        <v/>
      </c>
      <c r="GA290" s="201" t="str">
        <f t="shared" ca="1" si="970"/>
        <v/>
      </c>
      <c r="GB290" s="201" t="str">
        <f t="shared" ca="1" si="971"/>
        <v/>
      </c>
      <c r="GC290" s="201" t="str">
        <f t="shared" ca="1" si="972"/>
        <v/>
      </c>
      <c r="GD290" s="850" t="str">
        <f t="shared" ca="1" si="973"/>
        <v/>
      </c>
      <c r="GE290" s="866" t="str">
        <f t="shared" ca="1" si="974"/>
        <v/>
      </c>
      <c r="GF290" s="866" t="str">
        <f t="shared" ca="1" si="975"/>
        <v/>
      </c>
      <c r="GG290" s="866" t="str">
        <f t="shared" ca="1" si="976"/>
        <v/>
      </c>
      <c r="GH290" s="866" t="str">
        <f t="shared" ca="1" si="977"/>
        <v/>
      </c>
      <c r="GI290" s="302">
        <f t="shared" ca="1" si="978"/>
        <v>0</v>
      </c>
      <c r="GJ290" s="299">
        <f t="shared" ca="1" si="979"/>
        <v>0</v>
      </c>
      <c r="GK290" s="299">
        <f t="shared" ca="1" si="980"/>
        <v>0</v>
      </c>
      <c r="GL290" s="299">
        <f t="shared" ca="1" si="981"/>
        <v>0</v>
      </c>
      <c r="GM290" s="299">
        <f t="shared" ca="1" si="982"/>
        <v>0</v>
      </c>
      <c r="GN290" s="302">
        <f t="shared" ca="1" si="983"/>
        <v>0</v>
      </c>
      <c r="GO290" s="299">
        <f t="shared" ca="1" si="984"/>
        <v>0</v>
      </c>
      <c r="GP290" s="299">
        <f t="shared" ca="1" si="985"/>
        <v>0</v>
      </c>
      <c r="GQ290" s="299">
        <f t="shared" ca="1" si="986"/>
        <v>0</v>
      </c>
      <c r="GR290" s="299">
        <f t="shared" ca="1" si="987"/>
        <v>0</v>
      </c>
      <c r="GS290" s="302">
        <f t="shared" ca="1" si="988"/>
        <v>0</v>
      </c>
      <c r="GT290" s="299">
        <f t="shared" ca="1" si="989"/>
        <v>0</v>
      </c>
      <c r="GU290" s="299">
        <f t="shared" ca="1" si="990"/>
        <v>0</v>
      </c>
      <c r="GV290" s="299">
        <f t="shared" ca="1" si="991"/>
        <v>0</v>
      </c>
      <c r="GW290" s="299">
        <f t="shared" ca="1" si="992"/>
        <v>0</v>
      </c>
      <c r="GX290" s="303">
        <f t="shared" ca="1" si="993"/>
        <v>0</v>
      </c>
      <c r="GY290" s="303">
        <f t="shared" ca="1" si="994"/>
        <v>0</v>
      </c>
      <c r="GZ290" s="303">
        <f t="shared" ca="1" si="995"/>
        <v>0</v>
      </c>
      <c r="HA290" s="303">
        <f t="shared" ca="1" si="996"/>
        <v>0</v>
      </c>
      <c r="HB290" s="303">
        <f t="shared" ca="1" si="997"/>
        <v>0</v>
      </c>
      <c r="HC290" s="303">
        <f t="shared" ca="1" si="998"/>
        <v>0</v>
      </c>
      <c r="HD290" s="303">
        <f t="shared" ca="1" si="999"/>
        <v>0</v>
      </c>
      <c r="HE290" s="303">
        <f t="shared" ca="1" si="1000"/>
        <v>0</v>
      </c>
      <c r="HF290" s="303">
        <f t="shared" ca="1" si="1001"/>
        <v>0</v>
      </c>
      <c r="HG290" s="852">
        <f t="shared" ca="1" si="1002"/>
        <v>0</v>
      </c>
    </row>
    <row r="291" spans="1:215" x14ac:dyDescent="0.25">
      <c r="A291" s="244">
        <f t="shared" ca="1" si="1003"/>
        <v>44958</v>
      </c>
      <c r="B291" s="13">
        <f ca="1">YEAR(A291)</f>
        <v>2023</v>
      </c>
      <c r="C291" s="619">
        <f ca="1">MONTH(A291)</f>
        <v>2</v>
      </c>
      <c r="D291" s="195" t="str">
        <f t="shared" ca="1" si="833"/>
        <v/>
      </c>
      <c r="E291" s="469" t="str">
        <f t="shared" ca="1" si="834"/>
        <v/>
      </c>
      <c r="F291" s="465" t="str">
        <f t="shared" ca="1" si="835"/>
        <v/>
      </c>
      <c r="G291" s="522">
        <f t="shared" ca="1" si="1004"/>
        <v>1</v>
      </c>
      <c r="H291" s="519">
        <f t="shared" ca="1" si="1005"/>
        <v>1</v>
      </c>
      <c r="I291" s="724">
        <f ca="1">VLOOKUP(A291,IRTable,2)</f>
        <v>7.3852658146178002E-2</v>
      </c>
      <c r="J291" s="198">
        <f t="shared" ca="1" si="837"/>
        <v>0.1879788667295598</v>
      </c>
      <c r="K291" s="200" t="e">
        <f t="shared" ca="1" si="1013"/>
        <v>#N/A</v>
      </c>
      <c r="L291" s="201" t="e">
        <f t="shared" ca="1" si="1014"/>
        <v>#N/A</v>
      </c>
      <c r="M291" s="206" t="e">
        <f t="shared" ca="1" si="1015"/>
        <v>#N/A</v>
      </c>
      <c r="N291" s="851" t="e">
        <f t="shared" ca="1" si="1019"/>
        <v>#N/A</v>
      </c>
      <c r="O291" s="201" t="e">
        <f t="shared" ca="1" si="1020"/>
        <v>#N/A</v>
      </c>
      <c r="P291" s="206" t="e">
        <f t="shared" ca="1" si="1021"/>
        <v>#N/A</v>
      </c>
      <c r="Q291" s="201" t="e">
        <f t="shared" ca="1" si="1022"/>
        <v>#N/A</v>
      </c>
      <c r="R291" s="201" t="e">
        <f t="shared" ca="1" si="1023"/>
        <v>#N/A</v>
      </c>
      <c r="S291" s="201" t="e">
        <f t="shared" ca="1" si="1024"/>
        <v>#N/A</v>
      </c>
      <c r="T291" s="851" t="e">
        <f t="shared" ca="1" si="1016"/>
        <v>#N/A</v>
      </c>
      <c r="U291" s="201" t="e">
        <f t="shared" ca="1" si="1017"/>
        <v>#N/A</v>
      </c>
      <c r="V291" s="206" t="e">
        <f t="shared" ca="1" si="1018"/>
        <v>#N/A</v>
      </c>
      <c r="W291" s="230" t="e">
        <f t="shared" ca="1" si="1006"/>
        <v>#N/A</v>
      </c>
      <c r="X291" s="231" t="e">
        <f t="shared" ca="1" si="1007"/>
        <v>#N/A</v>
      </c>
      <c r="Y291" s="232" t="e">
        <f t="shared" ca="1" si="1008"/>
        <v>#N/A</v>
      </c>
      <c r="Z291" s="231" t="e">
        <f ca="1">VLOOKUP($A291,BigTable,14,0)</f>
        <v>#N/A</v>
      </c>
      <c r="AA291" s="231" t="e">
        <f ca="1">VLOOKUP($A291,BigTable,15,0)</f>
        <v>#N/A</v>
      </c>
      <c r="AB291" s="232" t="e">
        <f ca="1">VLOOKUP($A291,BigTable,16,0)</f>
        <v>#N/A</v>
      </c>
      <c r="AC291" s="231" t="e">
        <f ca="1">VLOOKUP($A291,BigTable,14,0)</f>
        <v>#N/A</v>
      </c>
      <c r="AD291" s="231" t="e">
        <f ca="1">VLOOKUP($A291,BigTable,15,0)</f>
        <v>#N/A</v>
      </c>
      <c r="AE291" s="232" t="e">
        <f t="shared" ca="1" si="838"/>
        <v>#N/A</v>
      </c>
      <c r="AF291" s="231" t="e">
        <f t="shared" ca="1" si="1009"/>
        <v>#N/A</v>
      </c>
      <c r="AG291" s="231" t="e">
        <f t="shared" ca="1" si="1010"/>
        <v>#N/A</v>
      </c>
      <c r="AH291" s="232" t="e">
        <f t="shared" ca="1" si="1011"/>
        <v>#N/A</v>
      </c>
      <c r="AI291" s="233" t="e">
        <f t="shared" ca="1" si="839"/>
        <v>#N/A</v>
      </c>
      <c r="AJ291" s="233" t="e">
        <f t="shared" ca="1" si="840"/>
        <v>#N/A</v>
      </c>
      <c r="AK291" s="234" t="e">
        <f t="shared" ca="1" si="841"/>
        <v>#N/A</v>
      </c>
      <c r="AL291" s="919" t="e">
        <f t="shared" ca="1" si="842"/>
        <v>#N/A</v>
      </c>
      <c r="AM291" s="233" t="e">
        <f t="shared" ca="1" si="843"/>
        <v>#N/A</v>
      </c>
      <c r="AN291" s="234" t="e">
        <f t="shared" ca="1" si="844"/>
        <v>#N/A</v>
      </c>
      <c r="AO291" s="233" t="e">
        <f t="shared" ca="1" si="845"/>
        <v>#N/A</v>
      </c>
      <c r="AP291" s="233" t="e">
        <f t="shared" ca="1" si="846"/>
        <v>#N/A</v>
      </c>
      <c r="AQ291" s="233" t="e">
        <f t="shared" ca="1" si="847"/>
        <v>#N/A</v>
      </c>
      <c r="AR291" s="919" t="e">
        <f t="shared" ca="1" si="848"/>
        <v>#N/A</v>
      </c>
      <c r="AS291" s="233" t="e">
        <f t="shared" ca="1" si="849"/>
        <v>#N/A</v>
      </c>
      <c r="AT291" s="235" t="e">
        <f t="shared" ca="1" si="850"/>
        <v>#N/A</v>
      </c>
      <c r="AU291" s="946">
        <f t="shared" si="851"/>
        <v>0.5</v>
      </c>
      <c r="AV291" s="13">
        <f t="shared" ca="1" si="852"/>
        <v>0</v>
      </c>
      <c r="AW291" s="210">
        <f t="shared" ca="1" si="853"/>
        <v>0</v>
      </c>
      <c r="AX291" s="210">
        <f t="shared" ca="1" si="854"/>
        <v>0</v>
      </c>
      <c r="AY291" s="210">
        <f t="shared" ca="1" si="855"/>
        <v>0</v>
      </c>
      <c r="AZ291" s="13">
        <f t="shared" ca="1" si="856"/>
        <v>0</v>
      </c>
      <c r="BA291" s="357">
        <f ca="1"/>
        <v>0</v>
      </c>
      <c r="BB291" s="925">
        <f ca="1"/>
        <v>0</v>
      </c>
      <c r="BC291" s="925">
        <f ca="1"/>
        <v>0</v>
      </c>
      <c r="BD291" s="928">
        <f ca="1"/>
        <v>0</v>
      </c>
      <c r="BE291" s="200">
        <f ca="1"/>
        <v>0</v>
      </c>
      <c r="BF291" s="851">
        <f ca="1"/>
        <v>0</v>
      </c>
      <c r="BG291" s="851">
        <f ca="1"/>
        <v>0</v>
      </c>
      <c r="BH291" s="933">
        <f ca="1"/>
        <v>0</v>
      </c>
      <c r="BI291" s="357">
        <f ca="1"/>
        <v>0</v>
      </c>
      <c r="BJ291" s="925">
        <f ca="1"/>
        <v>0</v>
      </c>
      <c r="BK291" s="925">
        <f ca="1"/>
        <v>0</v>
      </c>
      <c r="BL291" s="928">
        <f ca="1"/>
        <v>0</v>
      </c>
      <c r="BM291" s="200">
        <f ca="1"/>
        <v>0</v>
      </c>
      <c r="BN291" s="851">
        <f ca="1"/>
        <v>0</v>
      </c>
      <c r="BO291" s="851">
        <f ca="1"/>
        <v>0</v>
      </c>
      <c r="BP291" s="933">
        <f ca="1"/>
        <v>0</v>
      </c>
      <c r="BQ291" s="357">
        <f t="shared" ca="1" si="857"/>
        <v>0</v>
      </c>
      <c r="BR291" s="361">
        <f t="shared" ca="1" si="858"/>
        <v>0</v>
      </c>
      <c r="BS291" s="357">
        <f t="shared" ca="1" si="859"/>
        <v>0</v>
      </c>
      <c r="BT291" s="302">
        <f t="shared" ca="1" si="860"/>
        <v>0</v>
      </c>
      <c r="BU291" s="299">
        <f t="shared" ca="1" si="861"/>
        <v>0</v>
      </c>
      <c r="BV291" s="299">
        <f t="shared" ca="1" si="862"/>
        <v>0</v>
      </c>
      <c r="BW291" s="299">
        <f t="shared" ca="1" si="863"/>
        <v>0</v>
      </c>
      <c r="BX291" s="380">
        <f t="shared" ca="1" si="864"/>
        <v>22.918548939082822</v>
      </c>
      <c r="BY291" s="363">
        <f t="shared" ca="1" si="865"/>
        <v>0</v>
      </c>
      <c r="BZ291" s="353">
        <f t="shared" ca="1" si="866"/>
        <v>0</v>
      </c>
      <c r="CA291" s="353">
        <f t="shared" ca="1" si="867"/>
        <v>0</v>
      </c>
      <c r="CB291" s="353">
        <f t="shared" ca="1" si="868"/>
        <v>0</v>
      </c>
      <c r="CC291" s="353">
        <f t="shared" ca="1" si="869"/>
        <v>0</v>
      </c>
      <c r="CD291" s="353">
        <f t="shared" ca="1" si="870"/>
        <v>0</v>
      </c>
      <c r="CE291" s="302">
        <f t="shared" ca="1" si="871"/>
        <v>0</v>
      </c>
      <c r="CF291" s="299">
        <f t="shared" ca="1" si="872"/>
        <v>0</v>
      </c>
      <c r="CG291" s="299">
        <f t="shared" ca="1" si="873"/>
        <v>0</v>
      </c>
      <c r="CH291" s="299">
        <f t="shared" ca="1" si="874"/>
        <v>0</v>
      </c>
      <c r="CI291" s="299">
        <f t="shared" ca="1" si="875"/>
        <v>0</v>
      </c>
      <c r="CJ291" s="299">
        <f t="shared" ca="1" si="876"/>
        <v>0</v>
      </c>
      <c r="CK291" s="299">
        <f t="shared" ca="1" si="877"/>
        <v>0</v>
      </c>
      <c r="CL291" s="377" t="str">
        <f t="shared" ca="1" si="878"/>
        <v/>
      </c>
      <c r="CM291" s="305" t="str">
        <f t="shared" ca="1" si="879"/>
        <v/>
      </c>
      <c r="CN291" s="305" t="str">
        <f t="shared" ca="1" si="880"/>
        <v/>
      </c>
      <c r="CO291" s="305" t="str">
        <f t="shared" ca="1" si="881"/>
        <v/>
      </c>
      <c r="CP291" s="305" t="str">
        <f t="shared" ca="1" si="882"/>
        <v/>
      </c>
      <c r="CQ291" s="305" t="str">
        <f t="shared" ca="1" si="883"/>
        <v/>
      </c>
      <c r="CR291" s="775" t="str">
        <f t="shared" ca="1" si="884"/>
        <v/>
      </c>
      <c r="CS291" s="305" t="str">
        <f t="shared" ca="1" si="885"/>
        <v/>
      </c>
      <c r="CT291" s="305" t="str">
        <f t="shared" ca="1" si="886"/>
        <v/>
      </c>
      <c r="CU291" s="305" t="str">
        <f t="shared" ca="1" si="887"/>
        <v/>
      </c>
      <c r="CV291" s="770" t="str">
        <f t="shared" ca="1" si="888"/>
        <v/>
      </c>
      <c r="CW291" s="302">
        <f t="shared" ca="1" si="889"/>
        <v>0</v>
      </c>
      <c r="CX291" s="299">
        <f t="shared" ca="1" si="890"/>
        <v>0</v>
      </c>
      <c r="CY291" s="299">
        <f t="shared" ca="1" si="891"/>
        <v>0</v>
      </c>
      <c r="CZ291" s="299">
        <f t="shared" ca="1" si="892"/>
        <v>0</v>
      </c>
      <c r="DA291" s="774">
        <f t="shared" ca="1" si="893"/>
        <v>0</v>
      </c>
      <c r="DB291" s="303">
        <f t="shared" ca="1" si="894"/>
        <v>0</v>
      </c>
      <c r="DC291" s="248">
        <f t="shared" ca="1" si="895"/>
        <v>0</v>
      </c>
      <c r="DD291" s="778">
        <f t="shared" ca="1" si="896"/>
        <v>0</v>
      </c>
      <c r="DE291" s="363">
        <f t="shared" ca="1" si="897"/>
        <v>0</v>
      </c>
      <c r="DF291" s="378" t="str">
        <f t="shared" ca="1" si="898"/>
        <v/>
      </c>
      <c r="DG291" s="508" t="str">
        <f t="shared" ca="1" si="899"/>
        <v/>
      </c>
      <c r="DH291" s="508" t="str">
        <f t="shared" ca="1" si="900"/>
        <v/>
      </c>
      <c r="DI291" s="508" t="str">
        <f t="shared" ca="1" si="901"/>
        <v/>
      </c>
      <c r="DJ291" s="508" t="str">
        <f t="shared" ca="1" si="902"/>
        <v/>
      </c>
      <c r="DK291" s="353">
        <f t="shared" ca="1" si="903"/>
        <v>0</v>
      </c>
      <c r="DL291" s="781">
        <f t="shared" ca="1" si="904"/>
        <v>0</v>
      </c>
      <c r="DM291" s="303">
        <f t="shared" ca="1" si="905"/>
        <v>0</v>
      </c>
      <c r="DN291" s="508" t="str">
        <f t="shared" ca="1" si="906"/>
        <v/>
      </c>
      <c r="DO291" s="508" t="str">
        <f t="shared" ca="1" si="907"/>
        <v/>
      </c>
      <c r="DP291" s="508" t="str">
        <f t="shared" ca="1" si="908"/>
        <v/>
      </c>
      <c r="DQ291" s="508" t="str">
        <f t="shared" ca="1" si="909"/>
        <v/>
      </c>
      <c r="DR291" s="508" t="str">
        <f t="shared" ca="1" si="910"/>
        <v/>
      </c>
      <c r="DS291" s="353">
        <f t="shared" ca="1" si="911"/>
        <v>0</v>
      </c>
      <c r="DT291" s="353">
        <f t="shared" ca="1" si="912"/>
        <v>0</v>
      </c>
      <c r="DU291" s="380">
        <f t="shared" ca="1" si="1012"/>
        <v>22.918548939082822</v>
      </c>
      <c r="DV291" s="303">
        <f t="shared" ca="1" si="913"/>
        <v>0</v>
      </c>
      <c r="DW291" s="303">
        <f t="shared" ca="1" si="914"/>
        <v>0</v>
      </c>
      <c r="DX291" s="303">
        <f t="shared" ca="1" si="915"/>
        <v>0</v>
      </c>
      <c r="DY291" s="303">
        <f t="shared" ca="1" si="916"/>
        <v>0</v>
      </c>
      <c r="DZ291" s="303">
        <f t="shared" ca="1" si="917"/>
        <v>0</v>
      </c>
      <c r="EA291" s="303">
        <f t="shared" ca="1" si="918"/>
        <v>0</v>
      </c>
      <c r="EB291" s="302">
        <f t="shared" ca="1" si="919"/>
        <v>0</v>
      </c>
      <c r="EC291" s="299">
        <f t="shared" ca="1" si="920"/>
        <v>0</v>
      </c>
      <c r="ED291" s="299">
        <f t="shared" ca="1" si="921"/>
        <v>0</v>
      </c>
      <c r="EE291" s="299">
        <f t="shared" ca="1" si="922"/>
        <v>0</v>
      </c>
      <c r="EF291" s="299">
        <f t="shared" ca="1" si="923"/>
        <v>0</v>
      </c>
      <c r="EG291" s="299">
        <f t="shared" ca="1" si="924"/>
        <v>0</v>
      </c>
      <c r="EH291" s="302">
        <f t="shared" ca="1" si="925"/>
        <v>0</v>
      </c>
      <c r="EI291" s="304" t="str">
        <f t="shared" ca="1" si="926"/>
        <v/>
      </c>
      <c r="EJ291" s="305" t="str">
        <f t="shared" ca="1" si="927"/>
        <v/>
      </c>
      <c r="EK291" s="305" t="str">
        <f t="shared" ca="1" si="928"/>
        <v/>
      </c>
      <c r="EL291" s="305" t="str">
        <f t="shared" ca="1" si="929"/>
        <v/>
      </c>
      <c r="EM291" s="305" t="str">
        <f t="shared" ca="1" si="930"/>
        <v/>
      </c>
      <c r="EN291" s="305" t="str">
        <f t="shared" ca="1" si="931"/>
        <v/>
      </c>
      <c r="EO291" s="305" t="str">
        <f t="shared" ca="1" si="932"/>
        <v/>
      </c>
      <c r="EP291" s="305" t="str">
        <f t="shared" ca="1" si="933"/>
        <v/>
      </c>
      <c r="EQ291" s="305" t="str">
        <f t="shared" ca="1" si="934"/>
        <v/>
      </c>
      <c r="ER291" s="305" t="str">
        <f t="shared" ca="1" si="935"/>
        <v/>
      </c>
      <c r="ES291" s="305" t="str">
        <f t="shared" ca="1" si="936"/>
        <v/>
      </c>
      <c r="ET291" s="299">
        <f t="shared" ca="1" si="937"/>
        <v>0</v>
      </c>
      <c r="EU291" s="302">
        <f t="shared" ca="1" si="938"/>
        <v>0</v>
      </c>
      <c r="EV291" s="304" t="str">
        <f t="shared" ca="1" si="939"/>
        <v/>
      </c>
      <c r="EW291" s="305" t="str">
        <f t="shared" ca="1" si="940"/>
        <v/>
      </c>
      <c r="EX291" s="305" t="str">
        <f t="shared" ca="1" si="941"/>
        <v/>
      </c>
      <c r="EY291" s="305" t="str">
        <f t="shared" ca="1" si="942"/>
        <v/>
      </c>
      <c r="EZ291" s="305" t="str">
        <f t="shared" ca="1" si="943"/>
        <v/>
      </c>
      <c r="FA291" s="305" t="str">
        <f t="shared" ca="1" si="944"/>
        <v/>
      </c>
      <c r="FB291" s="305" t="str">
        <f t="shared" ca="1" si="945"/>
        <v/>
      </c>
      <c r="FC291" s="305" t="str">
        <f t="shared" ca="1" si="946"/>
        <v/>
      </c>
      <c r="FD291" s="305" t="str">
        <f t="shared" ca="1" si="947"/>
        <v/>
      </c>
      <c r="FE291" s="305" t="str">
        <f t="shared" ca="1" si="948"/>
        <v/>
      </c>
      <c r="FF291" s="305" t="str">
        <f t="shared" ca="1" si="949"/>
        <v/>
      </c>
      <c r="FG291" s="299">
        <f t="shared" ca="1" si="950"/>
        <v>0</v>
      </c>
      <c r="FH291" s="302">
        <f t="shared" ca="1" si="951"/>
        <v>0</v>
      </c>
      <c r="FI291" s="248">
        <f t="shared" ca="1" si="952"/>
        <v>0</v>
      </c>
      <c r="FJ291" s="363">
        <f t="shared" ca="1" si="953"/>
        <v>0</v>
      </c>
      <c r="FK291" s="378" t="str">
        <f t="shared" ca="1" si="954"/>
        <v/>
      </c>
      <c r="FL291" s="508" t="str">
        <f t="shared" ca="1" si="955"/>
        <v/>
      </c>
      <c r="FM291" s="508" t="str">
        <f t="shared" ca="1" si="956"/>
        <v/>
      </c>
      <c r="FN291" s="508" t="str">
        <f t="shared" ca="1" si="957"/>
        <v/>
      </c>
      <c r="FO291" s="508" t="str">
        <f t="shared" ca="1" si="958"/>
        <v/>
      </c>
      <c r="FP291" s="353">
        <f t="shared" ca="1" si="959"/>
        <v>0</v>
      </c>
      <c r="FQ291" s="356">
        <f t="shared" ca="1" si="960"/>
        <v>0</v>
      </c>
      <c r="FR291" s="380">
        <f t="shared" ca="1" si="961"/>
        <v>0</v>
      </c>
      <c r="FS291" s="299">
        <f t="shared" ca="1" si="962"/>
        <v>0</v>
      </c>
      <c r="FT291" s="299">
        <f t="shared" ca="1" si="963"/>
        <v>0</v>
      </c>
      <c r="FU291" s="299">
        <f t="shared" ca="1" si="964"/>
        <v>0</v>
      </c>
      <c r="FV291" s="299">
        <f t="shared" ca="1" si="965"/>
        <v>0</v>
      </c>
      <c r="FW291" s="850" t="str">
        <f t="shared" ca="1" si="966"/>
        <v/>
      </c>
      <c r="FX291" s="851" t="str">
        <f t="shared" ca="1" si="967"/>
        <v/>
      </c>
      <c r="FY291" s="851" t="str">
        <f t="shared" ca="1" si="968"/>
        <v/>
      </c>
      <c r="FZ291" s="201" t="str">
        <f t="shared" ca="1" si="969"/>
        <v/>
      </c>
      <c r="GA291" s="201" t="str">
        <f t="shared" ca="1" si="970"/>
        <v/>
      </c>
      <c r="GB291" s="201" t="str">
        <f t="shared" ca="1" si="971"/>
        <v/>
      </c>
      <c r="GC291" s="201" t="str">
        <f t="shared" ca="1" si="972"/>
        <v/>
      </c>
      <c r="GD291" s="850" t="str">
        <f t="shared" ca="1" si="973"/>
        <v/>
      </c>
      <c r="GE291" s="866" t="str">
        <f t="shared" ca="1" si="974"/>
        <v/>
      </c>
      <c r="GF291" s="866" t="str">
        <f t="shared" ca="1" si="975"/>
        <v/>
      </c>
      <c r="GG291" s="866" t="str">
        <f t="shared" ca="1" si="976"/>
        <v/>
      </c>
      <c r="GH291" s="866" t="str">
        <f t="shared" ca="1" si="977"/>
        <v/>
      </c>
      <c r="GI291" s="302">
        <f t="shared" ca="1" si="978"/>
        <v>0</v>
      </c>
      <c r="GJ291" s="299">
        <f t="shared" ca="1" si="979"/>
        <v>0</v>
      </c>
      <c r="GK291" s="299">
        <f t="shared" ca="1" si="980"/>
        <v>0</v>
      </c>
      <c r="GL291" s="299">
        <f t="shared" ca="1" si="981"/>
        <v>0</v>
      </c>
      <c r="GM291" s="299">
        <f t="shared" ca="1" si="982"/>
        <v>0</v>
      </c>
      <c r="GN291" s="302">
        <f t="shared" ca="1" si="983"/>
        <v>0</v>
      </c>
      <c r="GO291" s="299">
        <f t="shared" ca="1" si="984"/>
        <v>0</v>
      </c>
      <c r="GP291" s="299">
        <f t="shared" ca="1" si="985"/>
        <v>0</v>
      </c>
      <c r="GQ291" s="299">
        <f t="shared" ca="1" si="986"/>
        <v>0</v>
      </c>
      <c r="GR291" s="299">
        <f t="shared" ca="1" si="987"/>
        <v>0</v>
      </c>
      <c r="GS291" s="302">
        <f t="shared" ca="1" si="988"/>
        <v>0</v>
      </c>
      <c r="GT291" s="299">
        <f t="shared" ca="1" si="989"/>
        <v>0</v>
      </c>
      <c r="GU291" s="299">
        <f t="shared" ca="1" si="990"/>
        <v>0</v>
      </c>
      <c r="GV291" s="299">
        <f t="shared" ca="1" si="991"/>
        <v>0</v>
      </c>
      <c r="GW291" s="299">
        <f t="shared" ca="1" si="992"/>
        <v>0</v>
      </c>
      <c r="GX291" s="303">
        <f t="shared" ca="1" si="993"/>
        <v>0</v>
      </c>
      <c r="GY291" s="303">
        <f t="shared" ca="1" si="994"/>
        <v>0</v>
      </c>
      <c r="GZ291" s="303">
        <f t="shared" ca="1" si="995"/>
        <v>0</v>
      </c>
      <c r="HA291" s="303">
        <f t="shared" ca="1" si="996"/>
        <v>0</v>
      </c>
      <c r="HB291" s="303">
        <f t="shared" ca="1" si="997"/>
        <v>0</v>
      </c>
      <c r="HC291" s="303">
        <f t="shared" ca="1" si="998"/>
        <v>0</v>
      </c>
      <c r="HD291" s="303">
        <f t="shared" ca="1" si="999"/>
        <v>0</v>
      </c>
      <c r="HE291" s="303">
        <f t="shared" ca="1" si="1000"/>
        <v>0</v>
      </c>
      <c r="HF291" s="303">
        <f t="shared" ca="1" si="1001"/>
        <v>0</v>
      </c>
      <c r="HG291" s="852">
        <f t="shared" ca="1" si="1002"/>
        <v>0</v>
      </c>
    </row>
    <row r="292" spans="1:215" ht="13.8" thickBot="1" x14ac:dyDescent="0.3">
      <c r="A292" s="245">
        <f t="shared" ca="1" si="1003"/>
        <v>44986</v>
      </c>
      <c r="B292" s="191">
        <f ca="1">YEAR(A292)</f>
        <v>2023</v>
      </c>
      <c r="C292" s="620">
        <f ca="1">MONTH(A292)</f>
        <v>3</v>
      </c>
      <c r="D292" s="196" t="str">
        <f t="shared" ca="1" si="833"/>
        <v/>
      </c>
      <c r="E292" s="470" t="str">
        <f t="shared" ca="1" si="834"/>
        <v/>
      </c>
      <c r="F292" s="466" t="str">
        <f t="shared" ca="1" si="835"/>
        <v/>
      </c>
      <c r="G292" s="523">
        <f t="shared" ca="1" si="1004"/>
        <v>1</v>
      </c>
      <c r="H292" s="520">
        <f t="shared" ca="1" si="1005"/>
        <v>1</v>
      </c>
      <c r="I292" s="725">
        <f ca="1">VLOOKUP(A292,IRTable,2)</f>
        <v>7.3844316589212991E-2</v>
      </c>
      <c r="J292" s="199">
        <f t="shared" ca="1" si="837"/>
        <v>0.18686014790659058</v>
      </c>
      <c r="K292" s="203" t="e">
        <f t="shared" ca="1" si="1013"/>
        <v>#N/A</v>
      </c>
      <c r="L292" s="204" t="e">
        <f t="shared" ca="1" si="1014"/>
        <v>#N/A</v>
      </c>
      <c r="M292" s="207" t="e">
        <f t="shared" ca="1" si="1015"/>
        <v>#N/A</v>
      </c>
      <c r="N292" s="854" t="e">
        <f t="shared" ca="1" si="1019"/>
        <v>#N/A</v>
      </c>
      <c r="O292" s="204" t="e">
        <f t="shared" ca="1" si="1020"/>
        <v>#N/A</v>
      </c>
      <c r="P292" s="207" t="e">
        <f t="shared" ca="1" si="1021"/>
        <v>#N/A</v>
      </c>
      <c r="Q292" s="204" t="e">
        <f t="shared" ca="1" si="1022"/>
        <v>#N/A</v>
      </c>
      <c r="R292" s="204" t="e">
        <f t="shared" ca="1" si="1023"/>
        <v>#N/A</v>
      </c>
      <c r="S292" s="204" t="e">
        <f t="shared" ca="1" si="1024"/>
        <v>#N/A</v>
      </c>
      <c r="T292" s="854" t="e">
        <f t="shared" ca="1" si="1016"/>
        <v>#N/A</v>
      </c>
      <c r="U292" s="204" t="e">
        <f t="shared" ca="1" si="1017"/>
        <v>#N/A</v>
      </c>
      <c r="V292" s="207" t="e">
        <f t="shared" ca="1" si="1018"/>
        <v>#N/A</v>
      </c>
      <c r="W292" s="236" t="e">
        <f t="shared" ca="1" si="1006"/>
        <v>#N/A</v>
      </c>
      <c r="X292" s="237" t="e">
        <f t="shared" ca="1" si="1007"/>
        <v>#N/A</v>
      </c>
      <c r="Y292" s="238" t="e">
        <f t="shared" ca="1" si="1008"/>
        <v>#N/A</v>
      </c>
      <c r="Z292" s="237" t="e">
        <f ca="1">VLOOKUP($A292,BigTable,14,0)</f>
        <v>#N/A</v>
      </c>
      <c r="AA292" s="237" t="e">
        <f ca="1">VLOOKUP($A292,BigTable,15,0)</f>
        <v>#N/A</v>
      </c>
      <c r="AB292" s="238" t="e">
        <f ca="1">VLOOKUP($A292,BigTable,16,0)</f>
        <v>#N/A</v>
      </c>
      <c r="AC292" s="237" t="e">
        <f ca="1">VLOOKUP($A292,BigTable,14,0)</f>
        <v>#N/A</v>
      </c>
      <c r="AD292" s="237" t="e">
        <f ca="1">VLOOKUP($A292,BigTable,15,0)</f>
        <v>#N/A</v>
      </c>
      <c r="AE292" s="238" t="e">
        <f t="shared" ca="1" si="838"/>
        <v>#N/A</v>
      </c>
      <c r="AF292" s="237" t="e">
        <f t="shared" ca="1" si="1009"/>
        <v>#N/A</v>
      </c>
      <c r="AG292" s="237" t="e">
        <f t="shared" ca="1" si="1010"/>
        <v>#N/A</v>
      </c>
      <c r="AH292" s="238" t="e">
        <f t="shared" ca="1" si="1011"/>
        <v>#N/A</v>
      </c>
      <c r="AI292" s="239" t="e">
        <f t="shared" ca="1" si="839"/>
        <v>#N/A</v>
      </c>
      <c r="AJ292" s="239" t="e">
        <f t="shared" ca="1" si="840"/>
        <v>#N/A</v>
      </c>
      <c r="AK292" s="240" t="e">
        <f t="shared" ca="1" si="841"/>
        <v>#N/A</v>
      </c>
      <c r="AL292" s="949" t="e">
        <f t="shared" ca="1" si="842"/>
        <v>#N/A</v>
      </c>
      <c r="AM292" s="239" t="e">
        <f t="shared" ca="1" si="843"/>
        <v>#N/A</v>
      </c>
      <c r="AN292" s="240" t="e">
        <f t="shared" ca="1" si="844"/>
        <v>#N/A</v>
      </c>
      <c r="AO292" s="239" t="e">
        <f t="shared" ca="1" si="845"/>
        <v>#N/A</v>
      </c>
      <c r="AP292" s="239" t="e">
        <f t="shared" ca="1" si="846"/>
        <v>#N/A</v>
      </c>
      <c r="AQ292" s="239" t="e">
        <f t="shared" ca="1" si="847"/>
        <v>#N/A</v>
      </c>
      <c r="AR292" s="949" t="e">
        <f t="shared" ca="1" si="848"/>
        <v>#N/A</v>
      </c>
      <c r="AS292" s="239" t="e">
        <f t="shared" ca="1" si="849"/>
        <v>#N/A</v>
      </c>
      <c r="AT292" s="241" t="e">
        <f t="shared" ca="1" si="850"/>
        <v>#N/A</v>
      </c>
      <c r="AU292" s="947">
        <f t="shared" si="851"/>
        <v>0.5</v>
      </c>
      <c r="AV292" s="191">
        <f t="shared" ca="1" si="852"/>
        <v>0</v>
      </c>
      <c r="AW292" s="211">
        <f t="shared" ca="1" si="853"/>
        <v>0</v>
      </c>
      <c r="AX292" s="211">
        <f t="shared" ca="1" si="854"/>
        <v>0</v>
      </c>
      <c r="AY292" s="211">
        <f t="shared" ca="1" si="855"/>
        <v>0</v>
      </c>
      <c r="AZ292" s="191">
        <f t="shared" ca="1" si="856"/>
        <v>0</v>
      </c>
      <c r="BA292" s="358">
        <f ca="1"/>
        <v>0</v>
      </c>
      <c r="BB292" s="926">
        <f ca="1"/>
        <v>0</v>
      </c>
      <c r="BC292" s="926">
        <f ca="1"/>
        <v>0</v>
      </c>
      <c r="BD292" s="929">
        <f ca="1"/>
        <v>0</v>
      </c>
      <c r="BE292" s="203">
        <f ca="1"/>
        <v>0</v>
      </c>
      <c r="BF292" s="854">
        <f ca="1"/>
        <v>0</v>
      </c>
      <c r="BG292" s="854">
        <f ca="1"/>
        <v>0</v>
      </c>
      <c r="BH292" s="934">
        <f ca="1"/>
        <v>0</v>
      </c>
      <c r="BI292" s="358">
        <f ca="1"/>
        <v>0</v>
      </c>
      <c r="BJ292" s="926">
        <f ca="1"/>
        <v>0</v>
      </c>
      <c r="BK292" s="926">
        <f ca="1"/>
        <v>0</v>
      </c>
      <c r="BL292" s="929">
        <f ca="1"/>
        <v>0</v>
      </c>
      <c r="BM292" s="203">
        <f ca="1"/>
        <v>0</v>
      </c>
      <c r="BN292" s="854">
        <f ca="1"/>
        <v>0</v>
      </c>
      <c r="BO292" s="854">
        <f ca="1"/>
        <v>0</v>
      </c>
      <c r="BP292" s="934">
        <f ca="1"/>
        <v>0</v>
      </c>
      <c r="BQ292" s="358">
        <f t="shared" ca="1" si="857"/>
        <v>0</v>
      </c>
      <c r="BR292" s="362">
        <f t="shared" ca="1" si="858"/>
        <v>0</v>
      </c>
      <c r="BS292" s="358">
        <f t="shared" ca="1" si="859"/>
        <v>0</v>
      </c>
      <c r="BT292" s="373">
        <f t="shared" ca="1" si="860"/>
        <v>0</v>
      </c>
      <c r="BU292" s="374">
        <f t="shared" ca="1" si="861"/>
        <v>0</v>
      </c>
      <c r="BV292" s="374">
        <f t="shared" ca="1" si="862"/>
        <v>0</v>
      </c>
      <c r="BW292" s="374">
        <f t="shared" ca="1" si="863"/>
        <v>0</v>
      </c>
      <c r="BX292" s="381">
        <f t="shared" ca="1" si="864"/>
        <v>22.99520876112252</v>
      </c>
      <c r="BY292" s="375">
        <f t="shared" ca="1" si="865"/>
        <v>0</v>
      </c>
      <c r="BZ292" s="372">
        <f t="shared" ca="1" si="866"/>
        <v>0</v>
      </c>
      <c r="CA292" s="372">
        <f t="shared" ca="1" si="867"/>
        <v>0</v>
      </c>
      <c r="CB292" s="372">
        <f t="shared" ca="1" si="868"/>
        <v>0</v>
      </c>
      <c r="CC292" s="372">
        <f t="shared" ca="1" si="869"/>
        <v>0</v>
      </c>
      <c r="CD292" s="372">
        <f t="shared" ca="1" si="870"/>
        <v>0</v>
      </c>
      <c r="CE292" s="373">
        <f t="shared" ca="1" si="871"/>
        <v>0</v>
      </c>
      <c r="CF292" s="374">
        <f t="shared" ca="1" si="872"/>
        <v>0</v>
      </c>
      <c r="CG292" s="374">
        <f t="shared" ca="1" si="873"/>
        <v>0</v>
      </c>
      <c r="CH292" s="374">
        <f t="shared" ca="1" si="874"/>
        <v>0</v>
      </c>
      <c r="CI292" s="374">
        <f t="shared" ca="1" si="875"/>
        <v>0</v>
      </c>
      <c r="CJ292" s="374">
        <f t="shared" ca="1" si="876"/>
        <v>0</v>
      </c>
      <c r="CK292" s="374">
        <f t="shared" ca="1" si="877"/>
        <v>0</v>
      </c>
      <c r="CL292" s="808" t="str">
        <f t="shared" ca="1" si="878"/>
        <v/>
      </c>
      <c r="CM292" s="384" t="str">
        <f t="shared" ca="1" si="879"/>
        <v/>
      </c>
      <c r="CN292" s="384" t="str">
        <f t="shared" ca="1" si="880"/>
        <v/>
      </c>
      <c r="CO292" s="384" t="str">
        <f t="shared" ca="1" si="881"/>
        <v/>
      </c>
      <c r="CP292" s="384" t="str">
        <f t="shared" ca="1" si="882"/>
        <v/>
      </c>
      <c r="CQ292" s="384" t="str">
        <f t="shared" ca="1" si="883"/>
        <v/>
      </c>
      <c r="CR292" s="809" t="str">
        <f t="shared" ca="1" si="884"/>
        <v/>
      </c>
      <c r="CS292" s="384" t="str">
        <f t="shared" ca="1" si="885"/>
        <v/>
      </c>
      <c r="CT292" s="384" t="str">
        <f t="shared" ca="1" si="886"/>
        <v/>
      </c>
      <c r="CU292" s="384" t="str">
        <f t="shared" ca="1" si="887"/>
        <v/>
      </c>
      <c r="CV292" s="810" t="str">
        <f t="shared" ca="1" si="888"/>
        <v/>
      </c>
      <c r="CW292" s="373">
        <f t="shared" ca="1" si="889"/>
        <v>0</v>
      </c>
      <c r="CX292" s="374">
        <f t="shared" ca="1" si="890"/>
        <v>0</v>
      </c>
      <c r="CY292" s="374">
        <f t="shared" ca="1" si="891"/>
        <v>0</v>
      </c>
      <c r="CZ292" s="374">
        <f t="shared" ca="1" si="892"/>
        <v>0</v>
      </c>
      <c r="DA292" s="811">
        <f t="shared" ca="1" si="893"/>
        <v>0</v>
      </c>
      <c r="DB292" s="382">
        <f t="shared" ca="1" si="894"/>
        <v>0</v>
      </c>
      <c r="DC292" s="383">
        <f t="shared" ca="1" si="895"/>
        <v>0</v>
      </c>
      <c r="DD292" s="812">
        <f t="shared" ca="1" si="896"/>
        <v>0</v>
      </c>
      <c r="DE292" s="375">
        <f t="shared" ca="1" si="897"/>
        <v>0</v>
      </c>
      <c r="DF292" s="385" t="str">
        <f t="shared" ca="1" si="898"/>
        <v/>
      </c>
      <c r="DG292" s="568" t="str">
        <f t="shared" ca="1" si="899"/>
        <v/>
      </c>
      <c r="DH292" s="568" t="str">
        <f t="shared" ca="1" si="900"/>
        <v/>
      </c>
      <c r="DI292" s="568" t="str">
        <f t="shared" ca="1" si="901"/>
        <v/>
      </c>
      <c r="DJ292" s="568" t="str">
        <f t="shared" ca="1" si="902"/>
        <v/>
      </c>
      <c r="DK292" s="372">
        <f t="shared" ca="1" si="903"/>
        <v>0</v>
      </c>
      <c r="DL292" s="813">
        <f t="shared" ca="1" si="904"/>
        <v>0</v>
      </c>
      <c r="DM292" s="382">
        <f t="shared" ca="1" si="905"/>
        <v>0</v>
      </c>
      <c r="DN292" s="568" t="str">
        <f t="shared" ca="1" si="906"/>
        <v/>
      </c>
      <c r="DO292" s="568" t="str">
        <f t="shared" ca="1" si="907"/>
        <v/>
      </c>
      <c r="DP292" s="568" t="str">
        <f t="shared" ca="1" si="908"/>
        <v/>
      </c>
      <c r="DQ292" s="568" t="str">
        <f t="shared" ca="1" si="909"/>
        <v/>
      </c>
      <c r="DR292" s="568" t="str">
        <f t="shared" ca="1" si="910"/>
        <v/>
      </c>
      <c r="DS292" s="372">
        <f t="shared" ca="1" si="911"/>
        <v>0</v>
      </c>
      <c r="DT292" s="372">
        <f t="shared" ca="1" si="912"/>
        <v>0</v>
      </c>
      <c r="DU292" s="381">
        <f t="shared" ca="1" si="1012"/>
        <v>22.99520876112252</v>
      </c>
      <c r="DV292" s="382">
        <f t="shared" ca="1" si="913"/>
        <v>0</v>
      </c>
      <c r="DW292" s="382">
        <f t="shared" ca="1" si="914"/>
        <v>0</v>
      </c>
      <c r="DX292" s="382">
        <f t="shared" ca="1" si="915"/>
        <v>0</v>
      </c>
      <c r="DY292" s="382">
        <f t="shared" ca="1" si="916"/>
        <v>0</v>
      </c>
      <c r="DZ292" s="382">
        <f t="shared" ca="1" si="917"/>
        <v>0</v>
      </c>
      <c r="EA292" s="382">
        <f t="shared" ca="1" si="918"/>
        <v>0</v>
      </c>
      <c r="EB292" s="373">
        <f t="shared" ca="1" si="919"/>
        <v>0</v>
      </c>
      <c r="EC292" s="374">
        <f t="shared" ca="1" si="920"/>
        <v>0</v>
      </c>
      <c r="ED292" s="374">
        <f t="shared" ca="1" si="921"/>
        <v>0</v>
      </c>
      <c r="EE292" s="374">
        <f t="shared" ca="1" si="922"/>
        <v>0</v>
      </c>
      <c r="EF292" s="374">
        <f t="shared" ca="1" si="923"/>
        <v>0</v>
      </c>
      <c r="EG292" s="374">
        <f t="shared" ca="1" si="924"/>
        <v>0</v>
      </c>
      <c r="EH292" s="373">
        <f t="shared" ca="1" si="925"/>
        <v>0</v>
      </c>
      <c r="EI292" s="407" t="str">
        <f t="shared" ca="1" si="926"/>
        <v/>
      </c>
      <c r="EJ292" s="384" t="str">
        <f t="shared" ca="1" si="927"/>
        <v/>
      </c>
      <c r="EK292" s="384" t="str">
        <f t="shared" ca="1" si="928"/>
        <v/>
      </c>
      <c r="EL292" s="384" t="str">
        <f t="shared" ca="1" si="929"/>
        <v/>
      </c>
      <c r="EM292" s="384" t="str">
        <f t="shared" ca="1" si="930"/>
        <v/>
      </c>
      <c r="EN292" s="384" t="str">
        <f t="shared" ca="1" si="931"/>
        <v/>
      </c>
      <c r="EO292" s="384" t="str">
        <f t="shared" ca="1" si="932"/>
        <v/>
      </c>
      <c r="EP292" s="384" t="str">
        <f t="shared" ca="1" si="933"/>
        <v/>
      </c>
      <c r="EQ292" s="384" t="str">
        <f t="shared" ca="1" si="934"/>
        <v/>
      </c>
      <c r="ER292" s="384" t="str">
        <f t="shared" ca="1" si="935"/>
        <v/>
      </c>
      <c r="ES292" s="384" t="str">
        <f t="shared" ca="1" si="936"/>
        <v/>
      </c>
      <c r="ET292" s="374">
        <f t="shared" ca="1" si="937"/>
        <v>0</v>
      </c>
      <c r="EU292" s="373">
        <f t="shared" ca="1" si="938"/>
        <v>0</v>
      </c>
      <c r="EV292" s="407" t="str">
        <f t="shared" ca="1" si="939"/>
        <v/>
      </c>
      <c r="EW292" s="384" t="str">
        <f t="shared" ca="1" si="940"/>
        <v/>
      </c>
      <c r="EX292" s="384" t="str">
        <f t="shared" ca="1" si="941"/>
        <v/>
      </c>
      <c r="EY292" s="384" t="str">
        <f t="shared" ca="1" si="942"/>
        <v/>
      </c>
      <c r="EZ292" s="384" t="str">
        <f t="shared" ca="1" si="943"/>
        <v/>
      </c>
      <c r="FA292" s="384" t="str">
        <f t="shared" ca="1" si="944"/>
        <v/>
      </c>
      <c r="FB292" s="384" t="str">
        <f t="shared" ca="1" si="945"/>
        <v/>
      </c>
      <c r="FC292" s="384" t="str">
        <f t="shared" ca="1" si="946"/>
        <v/>
      </c>
      <c r="FD292" s="384" t="str">
        <f t="shared" ca="1" si="947"/>
        <v/>
      </c>
      <c r="FE292" s="384" t="str">
        <f t="shared" ca="1" si="948"/>
        <v/>
      </c>
      <c r="FF292" s="384" t="str">
        <f t="shared" ca="1" si="949"/>
        <v/>
      </c>
      <c r="FG292" s="374">
        <f t="shared" ca="1" si="950"/>
        <v>0</v>
      </c>
      <c r="FH292" s="373">
        <f t="shared" ca="1" si="951"/>
        <v>0</v>
      </c>
      <c r="FI292" s="383">
        <f t="shared" ca="1" si="952"/>
        <v>0</v>
      </c>
      <c r="FJ292" s="375">
        <f t="shared" ca="1" si="953"/>
        <v>0</v>
      </c>
      <c r="FK292" s="385" t="str">
        <f t="shared" ca="1" si="954"/>
        <v/>
      </c>
      <c r="FL292" s="568" t="str">
        <f t="shared" ca="1" si="955"/>
        <v/>
      </c>
      <c r="FM292" s="568" t="str">
        <f t="shared" ca="1" si="956"/>
        <v/>
      </c>
      <c r="FN292" s="568" t="str">
        <f t="shared" ca="1" si="957"/>
        <v/>
      </c>
      <c r="FO292" s="568" t="str">
        <f t="shared" ca="1" si="958"/>
        <v/>
      </c>
      <c r="FP292" s="372">
        <f t="shared" ca="1" si="959"/>
        <v>0</v>
      </c>
      <c r="FQ292" s="376">
        <f t="shared" ca="1" si="960"/>
        <v>0</v>
      </c>
      <c r="FR292" s="381">
        <f t="shared" ca="1" si="961"/>
        <v>0</v>
      </c>
      <c r="FS292" s="374">
        <f t="shared" ca="1" si="962"/>
        <v>0</v>
      </c>
      <c r="FT292" s="374">
        <f t="shared" ca="1" si="963"/>
        <v>0</v>
      </c>
      <c r="FU292" s="374">
        <f t="shared" ca="1" si="964"/>
        <v>0</v>
      </c>
      <c r="FV292" s="374">
        <f t="shared" ca="1" si="965"/>
        <v>0</v>
      </c>
      <c r="FW292" s="853" t="str">
        <f t="shared" ca="1" si="966"/>
        <v/>
      </c>
      <c r="FX292" s="854" t="str">
        <f t="shared" ca="1" si="967"/>
        <v/>
      </c>
      <c r="FY292" s="854" t="str">
        <f t="shared" ca="1" si="968"/>
        <v/>
      </c>
      <c r="FZ292" s="204" t="str">
        <f t="shared" ca="1" si="969"/>
        <v/>
      </c>
      <c r="GA292" s="204" t="str">
        <f t="shared" ca="1" si="970"/>
        <v/>
      </c>
      <c r="GB292" s="204" t="str">
        <f t="shared" ca="1" si="971"/>
        <v/>
      </c>
      <c r="GC292" s="204" t="str">
        <f t="shared" ca="1" si="972"/>
        <v/>
      </c>
      <c r="GD292" s="853" t="str">
        <f t="shared" ca="1" si="973"/>
        <v/>
      </c>
      <c r="GE292" s="867" t="str">
        <f t="shared" ca="1" si="974"/>
        <v/>
      </c>
      <c r="GF292" s="867" t="str">
        <f t="shared" ca="1" si="975"/>
        <v/>
      </c>
      <c r="GG292" s="867" t="str">
        <f t="shared" ca="1" si="976"/>
        <v/>
      </c>
      <c r="GH292" s="867" t="str">
        <f t="shared" ca="1" si="977"/>
        <v/>
      </c>
      <c r="GI292" s="373">
        <f t="shared" ca="1" si="978"/>
        <v>0</v>
      </c>
      <c r="GJ292" s="374">
        <f t="shared" ca="1" si="979"/>
        <v>0</v>
      </c>
      <c r="GK292" s="374">
        <f t="shared" ca="1" si="980"/>
        <v>0</v>
      </c>
      <c r="GL292" s="374">
        <f t="shared" ca="1" si="981"/>
        <v>0</v>
      </c>
      <c r="GM292" s="374">
        <f t="shared" ca="1" si="982"/>
        <v>0</v>
      </c>
      <c r="GN292" s="373">
        <f t="shared" ca="1" si="983"/>
        <v>0</v>
      </c>
      <c r="GO292" s="374">
        <f t="shared" ca="1" si="984"/>
        <v>0</v>
      </c>
      <c r="GP292" s="374">
        <f t="shared" ca="1" si="985"/>
        <v>0</v>
      </c>
      <c r="GQ292" s="374">
        <f t="shared" ca="1" si="986"/>
        <v>0</v>
      </c>
      <c r="GR292" s="374">
        <f t="shared" ca="1" si="987"/>
        <v>0</v>
      </c>
      <c r="GS292" s="373">
        <f t="shared" ca="1" si="988"/>
        <v>0</v>
      </c>
      <c r="GT292" s="374">
        <f t="shared" ca="1" si="989"/>
        <v>0</v>
      </c>
      <c r="GU292" s="374">
        <f t="shared" ca="1" si="990"/>
        <v>0</v>
      </c>
      <c r="GV292" s="374">
        <f t="shared" ca="1" si="991"/>
        <v>0</v>
      </c>
      <c r="GW292" s="374">
        <f t="shared" ca="1" si="992"/>
        <v>0</v>
      </c>
      <c r="GX292" s="382">
        <f t="shared" ca="1" si="993"/>
        <v>0</v>
      </c>
      <c r="GY292" s="382">
        <f t="shared" ca="1" si="994"/>
        <v>0</v>
      </c>
      <c r="GZ292" s="382">
        <f t="shared" ca="1" si="995"/>
        <v>0</v>
      </c>
      <c r="HA292" s="382">
        <f t="shared" ca="1" si="996"/>
        <v>0</v>
      </c>
      <c r="HB292" s="382">
        <f t="shared" ca="1" si="997"/>
        <v>0</v>
      </c>
      <c r="HC292" s="382">
        <f t="shared" ca="1" si="998"/>
        <v>0</v>
      </c>
      <c r="HD292" s="382">
        <f t="shared" ca="1" si="999"/>
        <v>0</v>
      </c>
      <c r="HE292" s="382">
        <f t="shared" ca="1" si="1000"/>
        <v>0</v>
      </c>
      <c r="HF292" s="382">
        <f t="shared" ca="1" si="1001"/>
        <v>0</v>
      </c>
      <c r="HG292" s="855">
        <f t="shared" ca="1" si="1002"/>
        <v>0</v>
      </c>
    </row>
    <row r="293" spans="1:215" ht="13.8" thickBot="1" x14ac:dyDescent="0.3">
      <c r="A293" s="615">
        <f t="shared" ca="1" si="1003"/>
        <v>45017</v>
      </c>
      <c r="B293" s="616">
        <f ca="1">YEAR(A293)</f>
        <v>2023</v>
      </c>
      <c r="C293" s="72">
        <f ca="1">MONTH(A293)</f>
        <v>4</v>
      </c>
      <c r="D293" s="96"/>
      <c r="E293" s="102"/>
      <c r="F293" s="96"/>
      <c r="K293" s="95"/>
      <c r="L293" s="95"/>
      <c r="M293" s="95"/>
      <c r="N293" s="95"/>
      <c r="O293" s="95"/>
      <c r="P293" s="95"/>
      <c r="Q293" s="95"/>
      <c r="R293" s="95"/>
      <c r="S293" s="95"/>
      <c r="T293" s="95"/>
      <c r="U293" s="95"/>
      <c r="V293" s="95"/>
      <c r="AW293" s="97"/>
      <c r="AX293" s="97"/>
      <c r="AY293" s="97"/>
      <c r="BU293" s="95"/>
      <c r="BV293" s="95"/>
      <c r="BW293" s="95"/>
    </row>
    <row r="294" spans="1:215" x14ac:dyDescent="0.25">
      <c r="C294" s="93"/>
      <c r="D294" s="96"/>
      <c r="E294" s="102"/>
      <c r="F294" s="96"/>
      <c r="K294" s="95"/>
      <c r="L294" s="95"/>
      <c r="M294" s="95"/>
      <c r="N294" s="95"/>
      <c r="O294" s="95"/>
      <c r="P294" s="95"/>
      <c r="Q294" s="95"/>
      <c r="R294" s="95"/>
      <c r="S294" s="95"/>
      <c r="T294" s="95"/>
      <c r="U294" s="95"/>
      <c r="V294" s="95"/>
      <c r="AW294" s="97"/>
      <c r="AX294" s="97"/>
      <c r="AY294" s="97"/>
      <c r="BU294" s="95"/>
      <c r="BV294" s="95"/>
      <c r="BW294" s="95"/>
    </row>
    <row r="295" spans="1:215" x14ac:dyDescent="0.25">
      <c r="C295" s="93"/>
      <c r="D295" s="96"/>
      <c r="E295" s="102"/>
      <c r="F295" s="96"/>
      <c r="K295" s="95"/>
      <c r="L295" s="95"/>
      <c r="M295" s="95"/>
      <c r="N295" s="95"/>
      <c r="O295" s="95"/>
      <c r="P295" s="95"/>
      <c r="Q295" s="95"/>
      <c r="R295" s="95"/>
      <c r="S295" s="95"/>
      <c r="T295" s="95"/>
      <c r="U295" s="95"/>
      <c r="V295" s="95"/>
      <c r="AW295" s="97"/>
      <c r="AX295" s="97"/>
      <c r="AY295" s="97"/>
      <c r="BU295" s="95"/>
      <c r="BV295" s="95"/>
      <c r="BW295" s="95"/>
    </row>
    <row r="296" spans="1:215" x14ac:dyDescent="0.25">
      <c r="C296" s="93"/>
      <c r="D296" s="96"/>
      <c r="E296" s="102"/>
      <c r="F296" s="96"/>
      <c r="K296" s="95"/>
      <c r="L296" s="95"/>
      <c r="M296" s="95"/>
      <c r="N296" s="95"/>
      <c r="O296" s="95"/>
      <c r="P296" s="95"/>
      <c r="Q296" s="95"/>
      <c r="R296" s="95"/>
      <c r="S296" s="95"/>
      <c r="T296" s="95"/>
      <c r="U296" s="95"/>
      <c r="V296" s="95"/>
      <c r="AW296" s="97"/>
      <c r="AX296" s="97"/>
      <c r="AY296" s="97"/>
      <c r="BU296" s="95"/>
      <c r="BV296" s="95"/>
      <c r="BW296" s="95"/>
    </row>
    <row r="297" spans="1:215" x14ac:dyDescent="0.25">
      <c r="C297" s="93"/>
      <c r="D297" s="96"/>
      <c r="E297" s="102"/>
      <c r="F297" s="96"/>
      <c r="K297" s="95"/>
      <c r="L297" s="95"/>
      <c r="M297" s="95"/>
      <c r="N297" s="95"/>
      <c r="O297" s="95"/>
      <c r="P297" s="95"/>
      <c r="Q297" s="95"/>
      <c r="R297" s="95"/>
      <c r="S297" s="95"/>
      <c r="T297" s="95"/>
      <c r="U297" s="95"/>
      <c r="V297" s="95"/>
      <c r="AW297" s="97"/>
      <c r="AX297" s="97"/>
      <c r="AY297" s="97"/>
      <c r="BU297" s="95"/>
      <c r="BV297" s="95"/>
      <c r="BW297" s="95"/>
    </row>
    <row r="298" spans="1:215" x14ac:dyDescent="0.25">
      <c r="C298" s="93"/>
      <c r="D298" s="96"/>
      <c r="E298" s="102"/>
      <c r="F298" s="96"/>
      <c r="K298" s="95"/>
      <c r="L298" s="95"/>
      <c r="M298" s="95"/>
      <c r="N298" s="95"/>
      <c r="O298" s="95"/>
      <c r="P298" s="95"/>
      <c r="Q298" s="95"/>
      <c r="R298" s="95"/>
      <c r="S298" s="95"/>
      <c r="T298" s="95"/>
      <c r="U298" s="95"/>
      <c r="V298" s="95"/>
      <c r="AW298" s="97"/>
      <c r="AX298" s="97"/>
      <c r="AY298" s="97"/>
      <c r="BU298" s="95"/>
      <c r="BV298" s="95"/>
      <c r="BW298" s="95"/>
    </row>
    <row r="299" spans="1:215" x14ac:dyDescent="0.25">
      <c r="C299" s="93"/>
      <c r="D299" s="96"/>
      <c r="E299" s="102"/>
      <c r="F299" s="96"/>
      <c r="K299" s="95"/>
      <c r="L299" s="95"/>
      <c r="M299" s="95"/>
      <c r="N299" s="95"/>
      <c r="O299" s="95"/>
      <c r="P299" s="95"/>
      <c r="Q299" s="95"/>
      <c r="R299" s="95"/>
      <c r="S299" s="95"/>
      <c r="T299" s="95"/>
      <c r="U299" s="95"/>
      <c r="V299" s="95"/>
      <c r="AW299" s="97"/>
      <c r="AX299" s="97"/>
      <c r="AY299" s="97"/>
      <c r="BU299" s="95"/>
      <c r="BV299" s="95"/>
      <c r="BW299" s="95"/>
    </row>
    <row r="300" spans="1:215" x14ac:dyDescent="0.25">
      <c r="C300" s="93"/>
      <c r="D300" s="96"/>
      <c r="E300" s="102"/>
      <c r="F300" s="96"/>
      <c r="K300" s="95"/>
      <c r="L300" s="95"/>
      <c r="M300" s="95"/>
      <c r="N300" s="95"/>
      <c r="O300" s="95"/>
      <c r="P300" s="95"/>
      <c r="Q300" s="95"/>
      <c r="R300" s="95"/>
      <c r="S300" s="95"/>
      <c r="T300" s="95"/>
      <c r="U300" s="95"/>
      <c r="V300" s="95"/>
      <c r="AW300" s="97"/>
      <c r="AX300" s="97"/>
      <c r="AY300" s="97"/>
      <c r="BU300" s="95"/>
      <c r="BV300" s="95"/>
      <c r="BW300" s="95"/>
    </row>
    <row r="301" spans="1:215" x14ac:dyDescent="0.25">
      <c r="C301" s="93"/>
      <c r="D301" s="96"/>
      <c r="E301" s="102"/>
      <c r="F301" s="96"/>
      <c r="K301" s="95"/>
      <c r="L301" s="95"/>
      <c r="M301" s="95"/>
      <c r="N301" s="95"/>
      <c r="O301" s="95"/>
      <c r="P301" s="95"/>
      <c r="Q301" s="95"/>
      <c r="R301" s="95"/>
      <c r="S301" s="95"/>
      <c r="T301" s="95"/>
      <c r="U301" s="95"/>
      <c r="V301" s="95"/>
      <c r="AW301" s="97"/>
      <c r="AX301" s="97"/>
      <c r="AY301" s="97"/>
      <c r="BU301" s="95"/>
      <c r="BV301" s="95"/>
      <c r="BW301" s="95"/>
    </row>
    <row r="302" spans="1:215" x14ac:dyDescent="0.25">
      <c r="C302" s="93"/>
      <c r="D302" s="96"/>
      <c r="E302" s="102"/>
      <c r="F302" s="96"/>
      <c r="K302" s="95"/>
      <c r="L302" s="95"/>
      <c r="M302" s="95"/>
      <c r="N302" s="95"/>
      <c r="O302" s="95"/>
      <c r="P302" s="95"/>
      <c r="Q302" s="95"/>
      <c r="R302" s="95"/>
      <c r="S302" s="95"/>
      <c r="T302" s="95"/>
      <c r="U302" s="95"/>
      <c r="V302" s="95"/>
      <c r="AW302" s="97"/>
      <c r="AX302" s="97"/>
      <c r="AY302" s="97"/>
      <c r="BU302" s="95"/>
      <c r="BV302" s="95"/>
      <c r="BW302" s="95"/>
    </row>
    <row r="303" spans="1:215" x14ac:dyDescent="0.25">
      <c r="C303" s="93"/>
      <c r="D303" s="96"/>
      <c r="E303" s="102"/>
      <c r="F303" s="96"/>
      <c r="K303" s="95"/>
      <c r="L303" s="95"/>
      <c r="M303" s="95"/>
      <c r="N303" s="95"/>
      <c r="O303" s="95"/>
      <c r="P303" s="95"/>
      <c r="Q303" s="95"/>
      <c r="R303" s="95"/>
      <c r="S303" s="95"/>
      <c r="T303" s="95"/>
      <c r="U303" s="95"/>
      <c r="V303" s="95"/>
      <c r="AW303" s="97"/>
      <c r="AX303" s="97"/>
      <c r="AY303" s="97"/>
      <c r="BU303" s="95"/>
      <c r="BV303" s="95"/>
      <c r="BW303" s="95"/>
    </row>
    <row r="304" spans="1:215" x14ac:dyDescent="0.25">
      <c r="C304" s="93"/>
      <c r="D304" s="96"/>
      <c r="E304" s="102"/>
      <c r="F304" s="96"/>
      <c r="K304" s="95"/>
      <c r="L304" s="95"/>
      <c r="M304" s="95"/>
      <c r="N304" s="95"/>
      <c r="O304" s="95"/>
      <c r="P304" s="95"/>
      <c r="Q304" s="95"/>
      <c r="R304" s="95"/>
      <c r="S304" s="95"/>
      <c r="T304" s="95"/>
      <c r="U304" s="95"/>
      <c r="V304" s="95"/>
      <c r="AW304" s="97"/>
      <c r="AX304" s="97"/>
      <c r="AY304" s="97"/>
      <c r="BU304" s="95"/>
      <c r="BV304" s="95"/>
      <c r="BW304" s="95"/>
    </row>
    <row r="305" spans="3:75" x14ac:dyDescent="0.25">
      <c r="C305" s="93"/>
      <c r="D305" s="96"/>
      <c r="E305" s="102"/>
      <c r="F305" s="96"/>
      <c r="K305" s="95"/>
      <c r="L305" s="95"/>
      <c r="M305" s="95"/>
      <c r="N305" s="95"/>
      <c r="O305" s="95"/>
      <c r="P305" s="95"/>
      <c r="Q305" s="95"/>
      <c r="R305" s="95"/>
      <c r="S305" s="95"/>
      <c r="T305" s="95"/>
      <c r="U305" s="95"/>
      <c r="V305" s="95"/>
      <c r="AW305" s="97"/>
      <c r="AX305" s="97"/>
      <c r="AY305" s="97"/>
      <c r="BU305" s="95"/>
      <c r="BV305" s="95"/>
      <c r="BW305" s="95"/>
    </row>
    <row r="306" spans="3:75" x14ac:dyDescent="0.25">
      <c r="C306" s="93"/>
      <c r="D306" s="96"/>
      <c r="E306" s="102"/>
      <c r="F306" s="96"/>
      <c r="K306" s="95"/>
      <c r="L306" s="95"/>
      <c r="M306" s="95"/>
      <c r="N306" s="95"/>
      <c r="O306" s="95"/>
      <c r="P306" s="95"/>
      <c r="Q306" s="95"/>
      <c r="R306" s="95"/>
      <c r="S306" s="95"/>
      <c r="T306" s="95"/>
      <c r="U306" s="95"/>
      <c r="V306" s="95"/>
      <c r="AW306" s="97"/>
      <c r="AX306" s="97"/>
      <c r="AY306" s="97"/>
      <c r="BU306" s="95"/>
      <c r="BV306" s="95"/>
      <c r="BW306" s="95"/>
    </row>
    <row r="307" spans="3:75" x14ac:dyDescent="0.25">
      <c r="C307" s="93"/>
      <c r="D307" s="96"/>
      <c r="E307" s="102"/>
      <c r="F307" s="96"/>
      <c r="K307" s="95"/>
      <c r="L307" s="95"/>
      <c r="M307" s="95"/>
      <c r="N307" s="95"/>
      <c r="O307" s="95"/>
      <c r="P307" s="95"/>
      <c r="Q307" s="95"/>
      <c r="R307" s="95"/>
      <c r="S307" s="95"/>
      <c r="T307" s="95"/>
      <c r="U307" s="95"/>
      <c r="V307" s="95"/>
      <c r="AW307" s="97"/>
      <c r="AX307" s="97"/>
      <c r="AY307" s="97"/>
      <c r="BU307" s="95"/>
      <c r="BV307" s="95"/>
      <c r="BW307" s="95"/>
    </row>
    <row r="308" spans="3:75" x14ac:dyDescent="0.25">
      <c r="C308" s="93"/>
      <c r="D308" s="96"/>
      <c r="E308" s="102"/>
      <c r="F308" s="96"/>
      <c r="K308" s="95"/>
      <c r="L308" s="95"/>
      <c r="M308" s="95"/>
      <c r="N308" s="95"/>
      <c r="O308" s="95"/>
      <c r="P308" s="95"/>
      <c r="Q308" s="95"/>
      <c r="R308" s="95"/>
      <c r="S308" s="95"/>
      <c r="T308" s="95"/>
      <c r="U308" s="95"/>
      <c r="V308" s="95"/>
      <c r="AW308" s="97"/>
      <c r="AX308" s="97"/>
      <c r="AY308" s="97"/>
      <c r="BU308" s="95"/>
      <c r="BV308" s="95"/>
      <c r="BW308" s="95"/>
    </row>
    <row r="309" spans="3:75" x14ac:dyDescent="0.25">
      <c r="C309" s="93"/>
      <c r="D309" s="96"/>
      <c r="E309" s="102"/>
      <c r="F309" s="96"/>
      <c r="K309" s="95"/>
      <c r="L309" s="95"/>
      <c r="M309" s="95"/>
      <c r="N309" s="95"/>
      <c r="O309" s="95"/>
      <c r="P309" s="95"/>
      <c r="Q309" s="95"/>
      <c r="R309" s="95"/>
      <c r="S309" s="95"/>
      <c r="T309" s="95"/>
      <c r="U309" s="95"/>
      <c r="V309" s="95"/>
      <c r="AW309" s="97"/>
      <c r="AX309" s="97"/>
      <c r="AY309" s="97"/>
      <c r="BU309" s="95"/>
      <c r="BV309" s="95"/>
      <c r="BW309" s="95"/>
    </row>
    <row r="310" spans="3:75" x14ac:dyDescent="0.25">
      <c r="C310" s="93"/>
      <c r="D310" s="96"/>
      <c r="E310" s="102"/>
      <c r="F310" s="96"/>
      <c r="K310" s="95"/>
      <c r="L310" s="95"/>
      <c r="M310" s="95"/>
      <c r="N310" s="95"/>
      <c r="O310" s="95"/>
      <c r="P310" s="95"/>
      <c r="Q310" s="95"/>
      <c r="R310" s="95"/>
      <c r="S310" s="95"/>
      <c r="T310" s="95"/>
      <c r="U310" s="95"/>
      <c r="V310" s="95"/>
      <c r="AW310" s="97"/>
      <c r="AX310" s="97"/>
      <c r="AY310" s="97"/>
      <c r="BU310" s="95"/>
      <c r="BV310" s="95"/>
      <c r="BW310" s="95"/>
    </row>
    <row r="311" spans="3:75" x14ac:dyDescent="0.25">
      <c r="C311" s="93"/>
      <c r="D311" s="96"/>
      <c r="E311" s="102"/>
      <c r="F311" s="96"/>
      <c r="K311" s="95"/>
      <c r="L311" s="95"/>
      <c r="M311" s="95"/>
      <c r="N311" s="95"/>
      <c r="O311" s="95"/>
      <c r="P311" s="95"/>
      <c r="Q311" s="95"/>
      <c r="R311" s="95"/>
      <c r="S311" s="95"/>
      <c r="T311" s="95"/>
      <c r="U311" s="95"/>
      <c r="V311" s="95"/>
      <c r="AW311" s="97"/>
      <c r="AX311" s="97"/>
      <c r="AY311" s="97"/>
      <c r="BU311" s="95"/>
      <c r="BV311" s="95"/>
      <c r="BW311" s="95"/>
    </row>
    <row r="312" spans="3:75" x14ac:dyDescent="0.25">
      <c r="C312" s="93"/>
      <c r="D312" s="96"/>
      <c r="E312" s="102"/>
      <c r="F312" s="96"/>
      <c r="K312" s="95"/>
      <c r="L312" s="95"/>
      <c r="M312" s="95"/>
      <c r="N312" s="95"/>
      <c r="O312" s="95"/>
      <c r="P312" s="95"/>
      <c r="Q312" s="95"/>
      <c r="R312" s="95"/>
      <c r="S312" s="95"/>
      <c r="T312" s="95"/>
      <c r="U312" s="95"/>
      <c r="V312" s="95"/>
      <c r="AW312" s="97"/>
      <c r="AX312" s="97"/>
      <c r="AY312" s="97"/>
      <c r="BU312" s="95"/>
      <c r="BV312" s="95"/>
      <c r="BW312" s="95"/>
    </row>
    <row r="313" spans="3:75" x14ac:dyDescent="0.25">
      <c r="C313" s="93"/>
      <c r="D313" s="96"/>
      <c r="E313" s="102"/>
      <c r="F313" s="96"/>
      <c r="K313" s="95"/>
      <c r="L313" s="95"/>
      <c r="M313" s="95"/>
      <c r="N313" s="95"/>
      <c r="O313" s="95"/>
      <c r="P313" s="95"/>
      <c r="Q313" s="95"/>
      <c r="R313" s="95"/>
      <c r="S313" s="95"/>
      <c r="T313" s="95"/>
      <c r="U313" s="95"/>
      <c r="V313" s="95"/>
      <c r="AW313" s="97"/>
      <c r="AX313" s="97"/>
      <c r="AY313" s="97"/>
      <c r="BU313" s="95"/>
      <c r="BV313" s="95"/>
      <c r="BW313" s="95"/>
    </row>
    <row r="314" spans="3:75" x14ac:dyDescent="0.25">
      <c r="C314" s="93"/>
      <c r="D314" s="96"/>
      <c r="E314" s="102"/>
      <c r="F314" s="96"/>
      <c r="K314" s="95"/>
      <c r="L314" s="95"/>
      <c r="M314" s="95"/>
      <c r="N314" s="95"/>
      <c r="O314" s="95"/>
      <c r="P314" s="95"/>
      <c r="Q314" s="95"/>
      <c r="R314" s="95"/>
      <c r="S314" s="95"/>
      <c r="T314" s="95"/>
      <c r="U314" s="95"/>
      <c r="V314" s="95"/>
      <c r="AW314" s="97"/>
      <c r="AX314" s="97"/>
      <c r="AY314" s="97"/>
      <c r="BU314" s="95"/>
      <c r="BV314" s="95"/>
      <c r="BW314" s="95"/>
    </row>
    <row r="315" spans="3:75" x14ac:dyDescent="0.25">
      <c r="C315" s="93"/>
      <c r="D315" s="96"/>
      <c r="E315" s="102"/>
      <c r="F315" s="96"/>
      <c r="K315" s="95"/>
      <c r="L315" s="95"/>
      <c r="M315" s="95"/>
      <c r="N315" s="95"/>
      <c r="O315" s="95"/>
      <c r="P315" s="95"/>
      <c r="Q315" s="95"/>
      <c r="R315" s="95"/>
      <c r="S315" s="95"/>
      <c r="T315" s="95"/>
      <c r="U315" s="95"/>
      <c r="V315" s="95"/>
      <c r="AW315" s="97"/>
      <c r="AX315" s="97"/>
      <c r="AY315" s="97"/>
      <c r="BU315" s="95"/>
      <c r="BV315" s="95"/>
      <c r="BW315" s="95"/>
    </row>
    <row r="316" spans="3:75" x14ac:dyDescent="0.25">
      <c r="C316" s="93"/>
      <c r="D316" s="96"/>
      <c r="E316" s="102"/>
      <c r="F316" s="96"/>
      <c r="K316" s="95"/>
      <c r="L316" s="95"/>
      <c r="M316" s="95"/>
      <c r="N316" s="95"/>
      <c r="O316" s="95"/>
      <c r="P316" s="95"/>
      <c r="Q316" s="95"/>
      <c r="R316" s="95"/>
      <c r="S316" s="95"/>
      <c r="T316" s="95"/>
      <c r="U316" s="95"/>
      <c r="V316" s="95"/>
      <c r="AW316" s="97"/>
      <c r="AX316" s="97"/>
      <c r="AY316" s="97"/>
      <c r="BU316" s="95"/>
      <c r="BV316" s="95"/>
      <c r="BW316" s="95"/>
    </row>
  </sheetData>
  <pageMargins left="0.18" right="0.16" top="1" bottom="1" header="0.5" footer="0.5"/>
  <pageSetup scale="61" orientation="landscape" r:id="rId1"/>
  <headerFooter alignWithMargins="0">
    <oddHeader>&amp;A</oddHeader>
    <oddFooter>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DE80"/>
  <sheetViews>
    <sheetView zoomScale="75" workbookViewId="0">
      <selection activeCell="J20" sqref="J20"/>
    </sheetView>
  </sheetViews>
  <sheetFormatPr defaultColWidth="9.109375" defaultRowHeight="13.2" x14ac:dyDescent="0.25"/>
  <cols>
    <col min="1" max="1" width="6.5546875" style="216" customWidth="1"/>
    <col min="2" max="2" width="10.44140625" style="216" customWidth="1"/>
    <col min="3" max="4" width="9.33203125" style="216" customWidth="1"/>
    <col min="5" max="5" width="16" style="216" customWidth="1"/>
    <col min="6" max="29" width="6.33203125" style="216" customWidth="1"/>
    <col min="30" max="30" width="5.5546875" style="216" customWidth="1"/>
    <col min="31" max="31" width="16.44140625" style="216" customWidth="1"/>
    <col min="32" max="55" width="5.44140625" style="216" customWidth="1"/>
    <col min="56" max="57" width="6.33203125" style="216" customWidth="1"/>
    <col min="58" max="58" width="8.44140625" style="216" customWidth="1"/>
    <col min="59" max="59" width="10" style="216" customWidth="1"/>
    <col min="60" max="60" width="10.33203125" style="216" customWidth="1"/>
    <col min="61" max="61" width="5.33203125" style="216" customWidth="1"/>
    <col min="62" max="62" width="16.44140625" style="216" customWidth="1"/>
    <col min="63" max="86" width="5.44140625" style="216" customWidth="1"/>
    <col min="87" max="88" width="6.33203125" style="216" customWidth="1"/>
    <col min="89" max="89" width="8.44140625" style="216" customWidth="1"/>
    <col min="90" max="90" width="10" style="216" customWidth="1"/>
    <col min="91" max="91" width="10.33203125" style="216" customWidth="1"/>
    <col min="92" max="92" width="5.33203125" style="216" customWidth="1"/>
    <col min="93" max="93" width="7.6640625" style="216" customWidth="1"/>
    <col min="94" max="94" width="5.88671875" style="216" customWidth="1"/>
    <col min="95" max="95" width="6.33203125" style="216" customWidth="1"/>
    <col min="96" max="108" width="8.88671875" customWidth="1"/>
    <col min="109" max="136" width="6.33203125" style="216" customWidth="1"/>
    <col min="137" max="16384" width="9.109375" style="216"/>
  </cols>
  <sheetData>
    <row r="1" spans="3:109" ht="13.8" thickBot="1" x14ac:dyDescent="0.3">
      <c r="AE1" s="216" t="s">
        <v>298</v>
      </c>
      <c r="BD1" s="316"/>
      <c r="BE1" s="316"/>
      <c r="BJ1" s="216" t="s">
        <v>298</v>
      </c>
      <c r="CI1" s="316"/>
      <c r="CJ1" s="316"/>
      <c r="CP1" s="316"/>
      <c r="CQ1" s="316"/>
    </row>
    <row r="2" spans="3:109" ht="18" thickBot="1" x14ac:dyDescent="0.35">
      <c r="E2" s="345" t="s">
        <v>299</v>
      </c>
      <c r="F2" s="346"/>
      <c r="G2" s="346"/>
      <c r="H2" s="346"/>
      <c r="I2" s="346"/>
      <c r="J2" s="346"/>
      <c r="K2" s="346"/>
      <c r="L2" s="346"/>
      <c r="M2" s="346"/>
      <c r="N2" s="346"/>
      <c r="O2" s="346"/>
      <c r="P2" s="346"/>
      <c r="Q2" s="346"/>
      <c r="R2" s="346"/>
      <c r="S2" s="346"/>
      <c r="T2" s="346"/>
      <c r="U2" s="346"/>
      <c r="V2" s="346"/>
      <c r="W2" s="346"/>
      <c r="X2" s="346"/>
      <c r="Y2" s="346"/>
      <c r="Z2" s="346"/>
      <c r="AA2" s="346"/>
      <c r="AB2" s="346"/>
      <c r="AC2" s="347"/>
      <c r="AD2" s="217"/>
      <c r="AE2" s="348" t="s">
        <v>300</v>
      </c>
      <c r="AF2" s="349"/>
      <c r="AG2" s="349"/>
      <c r="AH2" s="349"/>
      <c r="AI2" s="349"/>
      <c r="AJ2" s="349"/>
      <c r="AK2" s="349"/>
      <c r="AL2" s="349"/>
      <c r="AM2" s="349"/>
      <c r="AN2" s="349"/>
      <c r="AO2" s="349"/>
      <c r="AP2" s="349"/>
      <c r="AQ2" s="349"/>
      <c r="AR2" s="349"/>
      <c r="AS2" s="349"/>
      <c r="AT2" s="349"/>
      <c r="AU2" s="349"/>
      <c r="AV2" s="349"/>
      <c r="AW2" s="349"/>
      <c r="AX2" s="349"/>
      <c r="AY2" s="349"/>
      <c r="AZ2" s="349"/>
      <c r="BA2" s="349"/>
      <c r="BB2" s="349"/>
      <c r="BC2" s="349"/>
      <c r="BD2" s="480"/>
      <c r="BE2" s="480"/>
      <c r="BF2" s="350"/>
      <c r="BG2" s="317" t="s">
        <v>301</v>
      </c>
      <c r="BH2" s="319"/>
      <c r="BJ2" s="348" t="s">
        <v>302</v>
      </c>
      <c r="BK2" s="349"/>
      <c r="BL2" s="349"/>
      <c r="BM2" s="349"/>
      <c r="BN2" s="349"/>
      <c r="BO2" s="349"/>
      <c r="BP2" s="349"/>
      <c r="BQ2" s="349"/>
      <c r="BR2" s="349"/>
      <c r="BS2" s="349"/>
      <c r="BT2" s="349"/>
      <c r="BU2" s="349"/>
      <c r="BV2" s="349"/>
      <c r="BW2" s="349"/>
      <c r="BX2" s="349"/>
      <c r="BY2" s="349"/>
      <c r="BZ2" s="349"/>
      <c r="CA2" s="349"/>
      <c r="CB2" s="349"/>
      <c r="CC2" s="349"/>
      <c r="CD2" s="349"/>
      <c r="CE2" s="349"/>
      <c r="CF2" s="349"/>
      <c r="CG2" s="349"/>
      <c r="CH2" s="349"/>
      <c r="CI2" s="480"/>
      <c r="CJ2" s="480"/>
      <c r="CK2" s="350"/>
      <c r="CL2" s="317" t="s">
        <v>301</v>
      </c>
      <c r="CM2" s="319"/>
      <c r="CP2" s="316"/>
      <c r="CQ2" s="316"/>
    </row>
    <row r="3" spans="3:109" ht="16.2" thickBot="1" x14ac:dyDescent="0.35">
      <c r="E3" s="351"/>
      <c r="F3" s="317" t="s">
        <v>153</v>
      </c>
      <c r="G3" s="318"/>
      <c r="H3" s="318"/>
      <c r="I3" s="318"/>
      <c r="J3" s="318"/>
      <c r="K3" s="318"/>
      <c r="L3" s="318"/>
      <c r="M3" s="318"/>
      <c r="N3" s="318"/>
      <c r="O3" s="318"/>
      <c r="P3" s="318"/>
      <c r="Q3" s="318"/>
      <c r="R3" s="318"/>
      <c r="S3" s="318"/>
      <c r="T3" s="318"/>
      <c r="U3" s="319"/>
      <c r="V3" s="317" t="s">
        <v>138</v>
      </c>
      <c r="W3" s="318"/>
      <c r="X3" s="318"/>
      <c r="Y3" s="318"/>
      <c r="Z3" s="318"/>
      <c r="AA3" s="318"/>
      <c r="AB3" s="318"/>
      <c r="AC3" s="319"/>
      <c r="AD3" s="217"/>
      <c r="AE3" s="352" t="s">
        <v>303</v>
      </c>
      <c r="AF3" s="320" t="s">
        <v>153</v>
      </c>
      <c r="AG3" s="321"/>
      <c r="AH3" s="321"/>
      <c r="AI3" s="321"/>
      <c r="AJ3" s="321"/>
      <c r="AK3" s="321"/>
      <c r="AL3" s="321"/>
      <c r="AM3" s="321"/>
      <c r="AN3" s="321"/>
      <c r="AO3" s="321"/>
      <c r="AP3" s="321"/>
      <c r="AQ3" s="321"/>
      <c r="AR3" s="321"/>
      <c r="AS3" s="321"/>
      <c r="AT3" s="321"/>
      <c r="AU3" s="322"/>
      <c r="AV3" s="321" t="s">
        <v>138</v>
      </c>
      <c r="AW3" s="321"/>
      <c r="AX3" s="321"/>
      <c r="AY3" s="321"/>
      <c r="AZ3" s="321"/>
      <c r="BA3" s="321"/>
      <c r="BB3" s="321"/>
      <c r="BC3" s="322"/>
      <c r="BD3" s="481"/>
      <c r="BE3" s="484" t="s">
        <v>304</v>
      </c>
      <c r="BF3" s="314"/>
      <c r="BG3" s="559" t="s">
        <v>305</v>
      </c>
      <c r="BH3" s="560"/>
      <c r="BJ3" s="352" t="s">
        <v>303</v>
      </c>
      <c r="BK3" s="320" t="s">
        <v>153</v>
      </c>
      <c r="BL3" s="321"/>
      <c r="BM3" s="321"/>
      <c r="BN3" s="321"/>
      <c r="BO3" s="321"/>
      <c r="BP3" s="321"/>
      <c r="BQ3" s="321"/>
      <c r="BR3" s="321"/>
      <c r="BS3" s="321"/>
      <c r="BT3" s="321"/>
      <c r="BU3" s="321"/>
      <c r="BV3" s="321"/>
      <c r="BW3" s="321"/>
      <c r="BX3" s="321"/>
      <c r="BY3" s="321"/>
      <c r="BZ3" s="322"/>
      <c r="CA3" s="321" t="s">
        <v>138</v>
      </c>
      <c r="CB3" s="321"/>
      <c r="CC3" s="321"/>
      <c r="CD3" s="321"/>
      <c r="CE3" s="321"/>
      <c r="CF3" s="321"/>
      <c r="CG3" s="321"/>
      <c r="CH3" s="322"/>
      <c r="CI3" s="481"/>
      <c r="CJ3" s="484" t="s">
        <v>304</v>
      </c>
      <c r="CK3" s="314"/>
      <c r="CL3" s="559" t="s">
        <v>305</v>
      </c>
      <c r="CM3" s="560"/>
      <c r="CO3" s="818" t="s">
        <v>15</v>
      </c>
      <c r="CP3" s="819" t="s">
        <v>306</v>
      </c>
      <c r="CQ3" s="820"/>
      <c r="DE3" s="228"/>
    </row>
    <row r="4" spans="3:109" ht="13.8" thickBot="1" x14ac:dyDescent="0.3">
      <c r="E4" s="320" t="s">
        <v>307</v>
      </c>
      <c r="F4" s="320">
        <v>1</v>
      </c>
      <c r="G4" s="321">
        <v>2</v>
      </c>
      <c r="H4" s="321">
        <v>3</v>
      </c>
      <c r="I4" s="321">
        <v>4</v>
      </c>
      <c r="J4" s="321">
        <v>5</v>
      </c>
      <c r="K4" s="321">
        <v>6</v>
      </c>
      <c r="L4" s="321">
        <v>7</v>
      </c>
      <c r="M4" s="321">
        <v>8</v>
      </c>
      <c r="N4" s="321">
        <v>9</v>
      </c>
      <c r="O4" s="321">
        <v>10</v>
      </c>
      <c r="P4" s="321">
        <v>11</v>
      </c>
      <c r="Q4" s="321">
        <v>12</v>
      </c>
      <c r="R4" s="321">
        <v>13</v>
      </c>
      <c r="S4" s="321">
        <v>14</v>
      </c>
      <c r="T4" s="321">
        <v>15</v>
      </c>
      <c r="U4" s="322">
        <v>16</v>
      </c>
      <c r="V4" s="321">
        <v>1</v>
      </c>
      <c r="W4" s="321">
        <v>2</v>
      </c>
      <c r="X4" s="321">
        <v>3</v>
      </c>
      <c r="Y4" s="321">
        <v>4</v>
      </c>
      <c r="Z4" s="321">
        <v>5</v>
      </c>
      <c r="AA4" s="321">
        <v>6</v>
      </c>
      <c r="AB4" s="321">
        <v>7</v>
      </c>
      <c r="AC4" s="322">
        <v>8</v>
      </c>
      <c r="AD4" s="217"/>
      <c r="AE4" s="323" t="s">
        <v>307</v>
      </c>
      <c r="AF4" s="323">
        <v>1</v>
      </c>
      <c r="AG4" s="217">
        <v>2</v>
      </c>
      <c r="AH4" s="217">
        <v>3</v>
      </c>
      <c r="AI4" s="217">
        <v>4</v>
      </c>
      <c r="AJ4" s="217">
        <v>5</v>
      </c>
      <c r="AK4" s="217">
        <v>6</v>
      </c>
      <c r="AL4" s="217">
        <v>7</v>
      </c>
      <c r="AM4" s="217">
        <v>8</v>
      </c>
      <c r="AN4" s="217">
        <v>9</v>
      </c>
      <c r="AO4" s="217">
        <v>10</v>
      </c>
      <c r="AP4" s="217">
        <v>11</v>
      </c>
      <c r="AQ4" s="217">
        <v>12</v>
      </c>
      <c r="AR4" s="217">
        <v>13</v>
      </c>
      <c r="AS4" s="217">
        <v>14</v>
      </c>
      <c r="AT4" s="217">
        <v>15</v>
      </c>
      <c r="AU4" s="324">
        <v>16</v>
      </c>
      <c r="AV4" s="217">
        <v>1</v>
      </c>
      <c r="AW4" s="217">
        <v>2</v>
      </c>
      <c r="AX4" s="217">
        <v>3</v>
      </c>
      <c r="AY4" s="217">
        <v>4</v>
      </c>
      <c r="AZ4" s="217">
        <v>5</v>
      </c>
      <c r="BA4" s="217">
        <v>6</v>
      </c>
      <c r="BB4" s="217">
        <v>7</v>
      </c>
      <c r="BC4" s="324">
        <v>8</v>
      </c>
      <c r="BD4" s="482" t="s">
        <v>153</v>
      </c>
      <c r="BE4" s="485" t="s">
        <v>153</v>
      </c>
      <c r="BF4" s="483" t="s">
        <v>257</v>
      </c>
      <c r="BG4" s="561" t="s">
        <v>153</v>
      </c>
      <c r="BH4" s="561" t="s">
        <v>138</v>
      </c>
      <c r="BJ4" s="323" t="s">
        <v>307</v>
      </c>
      <c r="BK4" s="323">
        <v>1</v>
      </c>
      <c r="BL4" s="217">
        <v>2</v>
      </c>
      <c r="BM4" s="217">
        <v>3</v>
      </c>
      <c r="BN4" s="217">
        <v>4</v>
      </c>
      <c r="BO4" s="217">
        <v>5</v>
      </c>
      <c r="BP4" s="217">
        <v>6</v>
      </c>
      <c r="BQ4" s="217">
        <v>7</v>
      </c>
      <c r="BR4" s="217">
        <v>8</v>
      </c>
      <c r="BS4" s="217">
        <v>9</v>
      </c>
      <c r="BT4" s="217">
        <v>10</v>
      </c>
      <c r="BU4" s="217">
        <v>11</v>
      </c>
      <c r="BV4" s="217">
        <v>12</v>
      </c>
      <c r="BW4" s="217">
        <v>13</v>
      </c>
      <c r="BX4" s="217">
        <v>14</v>
      </c>
      <c r="BY4" s="217">
        <v>15</v>
      </c>
      <c r="BZ4" s="324">
        <v>16</v>
      </c>
      <c r="CA4" s="217">
        <v>1</v>
      </c>
      <c r="CB4" s="217">
        <v>2</v>
      </c>
      <c r="CC4" s="217">
        <v>3</v>
      </c>
      <c r="CD4" s="217">
        <v>4</v>
      </c>
      <c r="CE4" s="217">
        <v>5</v>
      </c>
      <c r="CF4" s="217">
        <v>6</v>
      </c>
      <c r="CG4" s="217">
        <v>7</v>
      </c>
      <c r="CH4" s="324">
        <v>8</v>
      </c>
      <c r="CI4" s="482" t="s">
        <v>153</v>
      </c>
      <c r="CJ4" s="485" t="s">
        <v>153</v>
      </c>
      <c r="CK4" s="483" t="s">
        <v>257</v>
      </c>
      <c r="CL4" s="561" t="s">
        <v>153</v>
      </c>
      <c r="CM4" s="561" t="s">
        <v>138</v>
      </c>
      <c r="CO4" s="821"/>
      <c r="CP4" s="822" t="s">
        <v>308</v>
      </c>
      <c r="CQ4" s="823" t="s">
        <v>309</v>
      </c>
      <c r="DE4" s="325"/>
    </row>
    <row r="5" spans="3:109" x14ac:dyDescent="0.25">
      <c r="E5" s="323">
        <v>1</v>
      </c>
      <c r="F5" s="326">
        <v>19</v>
      </c>
      <c r="G5" s="327">
        <v>20</v>
      </c>
      <c r="H5" s="327">
        <v>9</v>
      </c>
      <c r="I5" s="327">
        <v>10</v>
      </c>
      <c r="J5" s="327">
        <v>11</v>
      </c>
      <c r="K5" s="327">
        <v>18</v>
      </c>
      <c r="L5" s="327">
        <v>21</v>
      </c>
      <c r="M5" s="327">
        <v>8</v>
      </c>
      <c r="N5" s="327">
        <v>12</v>
      </c>
      <c r="O5" s="327">
        <v>13</v>
      </c>
      <c r="P5" s="327">
        <v>17</v>
      </c>
      <c r="Q5" s="327">
        <v>14</v>
      </c>
      <c r="R5" s="327">
        <v>22</v>
      </c>
      <c r="S5" s="327">
        <v>15</v>
      </c>
      <c r="T5" s="327">
        <v>16</v>
      </c>
      <c r="U5" s="328">
        <v>23</v>
      </c>
      <c r="V5" s="327">
        <v>7</v>
      </c>
      <c r="W5" s="327">
        <v>24</v>
      </c>
      <c r="X5" s="327">
        <v>1</v>
      </c>
      <c r="Y5" s="327">
        <v>6</v>
      </c>
      <c r="Z5" s="327">
        <v>2</v>
      </c>
      <c r="AA5" s="327">
        <v>5</v>
      </c>
      <c r="AB5" s="327">
        <v>3</v>
      </c>
      <c r="AC5" s="328">
        <v>4</v>
      </c>
      <c r="AD5" s="217"/>
      <c r="AE5" s="323">
        <v>1</v>
      </c>
      <c r="AF5" s="329">
        <f t="shared" ref="AF5:AF16" si="0">IF(AND(WeekDef=8,CustomMFFlag,CustomMFPeriod=4),INDEX(VolumeHourlyOver,F5,1),IF(OR(WeekDef=1,WeekDef=2,WeekDef=4,WeekDef=6,AND(WeekDef=8,CustomMFFlag,OR(CustomMFPeriod=1,CustomMFPeriod=2))),IF(VolumeMonthlyOverFlag,INDEX(VolumeMonthlyOver,AE5),Volume),0))</f>
        <v>1</v>
      </c>
      <c r="AG5" s="330">
        <f t="shared" ref="AG5:AG16" si="1">IF(AND(WeekDef=8,CustomMFFlag,CustomMFPeriod=4),INDEX(VolumeHourlyOver,G5,1),IF(OR(WeekDef=1,WeekDef=2,WeekDef=4,WeekDef=6,AND(WeekDef=8,CustomMFFlag,OR(CustomMFPeriod=1,CustomMFPeriod=2))),IF(VolumeMonthlyOverFlag,INDEX(VolumeMonthlyOver,AE5),Volume),0))</f>
        <v>1</v>
      </c>
      <c r="AH5" s="330">
        <f t="shared" ref="AH5:AH16" si="2">IF(AND(WeekDef=8,CustomMFFlag,CustomMFPeriod=4),INDEX(VolumeHourlyOver,H5,1),IF(OR(WeekDef=1,WeekDef=2,WeekDef=4,WeekDef=6,AND(WeekDef=8,CustomMFFlag,OR(CustomMFPeriod=1,CustomMFPeriod=2))),IF(VolumeMonthlyOverFlag,INDEX(VolumeMonthlyOver,AE5),Volume),0))</f>
        <v>1</v>
      </c>
      <c r="AI5" s="330">
        <f t="shared" ref="AI5:AI16" si="3">IF(AND(WeekDef=8,CustomMFFlag,CustomMFPeriod=4),INDEX(VolumeHourlyOver,I5,1),IF(OR(WeekDef=1,WeekDef=2,WeekDef=4,WeekDef=6,AND(WeekDef=8,CustomMFFlag,OR(CustomMFPeriod=1,CustomMFPeriod=2))),IF(VolumeMonthlyOverFlag,INDEX(VolumeMonthlyOver,AE5),Volume),0))</f>
        <v>1</v>
      </c>
      <c r="AJ5" s="330">
        <f t="shared" ref="AJ5:AJ16" si="4">IF(AND(WeekDef=8,CustomMFFlag,CustomMFPeriod=4),INDEX(VolumeHourlyOver,J5,1),IF(OR(WeekDef=1,WeekDef=2,WeekDef=4,WeekDef=6,AND(WeekDef=8,CustomMFFlag,OR(CustomMFPeriod=1,CustomMFPeriod=2))),IF(VolumeMonthlyOverFlag,INDEX(VolumeMonthlyOver,AE5),Volume),0))</f>
        <v>1</v>
      </c>
      <c r="AK5" s="330">
        <f t="shared" ref="AK5:AK16" si="5">IF(AND(WeekDef=8,CustomMFFlag,CustomMFPeriod=4),INDEX(VolumeHourlyOver,K5,1),IF(OR(WeekDef=1,WeekDef=2,WeekDef=4,WeekDef=6,AND(WeekDef=8,CustomMFFlag,OR(CustomMFPeriod=1,CustomMFPeriod=2))),IF(VolumeMonthlyOverFlag,INDEX(VolumeMonthlyOver,AE5),Volume),0))</f>
        <v>1</v>
      </c>
      <c r="AL5" s="330">
        <f t="shared" ref="AL5:AL16" si="6">IF(AND(WeekDef=8,CustomMFFlag,CustomMFPeriod=4),INDEX(VolumeHourlyOver,L5,1),IF(OR(WeekDef=1,WeekDef=2,WeekDef=4,WeekDef=6,AND(WeekDef=8,CustomMFFlag,OR(CustomMFPeriod=1,CustomMFPeriod=2))),IF(VolumeMonthlyOverFlag,INDEX(VolumeMonthlyOver,AE5),Volume),0))</f>
        <v>1</v>
      </c>
      <c r="AM5" s="330">
        <f t="shared" ref="AM5:AM16" si="7">IF(AND(WeekDef=8,CustomMFFlag,CustomMFPeriod=4),INDEX(VolumeHourlyOver,M5,1),IF(OR(WeekDef=1,WeekDef=2,WeekDef=4,WeekDef=6,AND(WeekDef=8,CustomMFFlag,OR(CustomMFPeriod=1,CustomMFPeriod=2))),IF(VolumeMonthlyOverFlag,INDEX(VolumeMonthlyOver,AE5),Volume),0))</f>
        <v>1</v>
      </c>
      <c r="AN5" s="330">
        <f t="shared" ref="AN5:AN16" si="8">IF(AND(WeekDef=8,CustomMFFlag,CustomMFPeriod=4),INDEX(VolumeHourlyOver,N5,1),IF(OR(WeekDef=1,WeekDef=2,WeekDef=4,WeekDef=6,AND(WeekDef=8,CustomMFFlag,OR(CustomMFPeriod=1,CustomMFPeriod=2))),IF(VolumeMonthlyOverFlag,INDEX(VolumeMonthlyOver,AE5),Volume),0))</f>
        <v>1</v>
      </c>
      <c r="AO5" s="330">
        <f t="shared" ref="AO5:AO16" si="9">IF(AND(WeekDef=8,CustomMFFlag,CustomMFPeriod=4),INDEX(VolumeHourlyOver,O5,1),IF(OR(WeekDef=1,WeekDef=2,WeekDef=4,WeekDef=6,AND(WeekDef=8,CustomMFFlag,OR(CustomMFPeriod=1,CustomMFPeriod=2))),IF(VolumeMonthlyOverFlag,INDEX(VolumeMonthlyOver,AE5),Volume),0))</f>
        <v>1</v>
      </c>
      <c r="AP5" s="330">
        <f t="shared" ref="AP5:AP16" si="10">IF(AND(WeekDef=8,CustomMFFlag,CustomMFPeriod=4),INDEX(VolumeHourlyOver,P5,1),IF(OR(WeekDef=1,WeekDef=2,WeekDef=4,WeekDef=6,AND(WeekDef=8,CustomMFFlag,OR(CustomMFPeriod=1,CustomMFPeriod=2))),IF(VolumeMonthlyOverFlag,INDEX(VolumeMonthlyOver,AE5),Volume),0))</f>
        <v>1</v>
      </c>
      <c r="AQ5" s="330">
        <f t="shared" ref="AQ5:AQ16" si="11">IF(AND(WeekDef=8,CustomMFFlag,CustomMFPeriod=4),INDEX(VolumeHourlyOver,Q5,1),IF(OR(WeekDef=1,WeekDef=2,WeekDef=4,WeekDef=6,AND(WeekDef=8,CustomMFFlag,OR(CustomMFPeriod=1,CustomMFPeriod=2))),IF(VolumeMonthlyOverFlag,INDEX(VolumeMonthlyOver,AE5),Volume),0))</f>
        <v>1</v>
      </c>
      <c r="AR5" s="330">
        <f t="shared" ref="AR5:AR16" si="12">IF(AND(WeekDef=8,CustomMFFlag,CustomMFPeriod=4),INDEX(VolumeHourlyOver,R5,1),IF(OR(WeekDef=1,WeekDef=2,WeekDef=4,WeekDef=6,AND(WeekDef=8,CustomMFFlag,OR(CustomMFPeriod=1,CustomMFPeriod=2))),IF(VolumeMonthlyOverFlag,INDEX(VolumeMonthlyOver,AE5),Volume),0))</f>
        <v>1</v>
      </c>
      <c r="AS5" s="330">
        <f t="shared" ref="AS5:AS16" si="13">IF(AND(WeekDef=8,CustomMFFlag,CustomMFPeriod=4),INDEX(VolumeHourlyOver,S5,1),IF(OR(WeekDef=1,WeekDef=2,WeekDef=4,WeekDef=6,AND(WeekDef=8,CustomMFFlag,OR(CustomMFPeriod=1,CustomMFPeriod=2))),IF(VolumeMonthlyOverFlag,INDEX(VolumeMonthlyOver,AE5),Volume),0))</f>
        <v>1</v>
      </c>
      <c r="AT5" s="330">
        <f t="shared" ref="AT5:AT16" si="14">IF(AND(WeekDef=8,CustomMFFlag,CustomMFPeriod=4),INDEX(VolumeHourlyOver,T5,1),IF(OR(WeekDef=1,WeekDef=2,WeekDef=4,WeekDef=6,AND(WeekDef=8,CustomMFFlag,OR(CustomMFPeriod=1,CustomMFPeriod=2))),IF(VolumeMonthlyOverFlag,INDEX(VolumeMonthlyOver,AE5),Volume),0))</f>
        <v>1</v>
      </c>
      <c r="AU5" s="331">
        <f t="shared" ref="AU5:AU16" si="15">IF(AND(WeekDef=8,CustomMFFlag,CustomMFPeriod=4),INDEX(VolumeHourlyOver,U5,1),IF(OR(WeekDef=1,WeekDef=2,WeekDef=4,WeekDef=6,AND(WeekDef=8,CustomMFFlag,OR(CustomMFPeriod=1,CustomMFPeriod=2))),IF(VolumeMonthlyOverFlag,INDEX(VolumeMonthlyOver,AE5),Volume),0))</f>
        <v>1</v>
      </c>
      <c r="AV5" s="330">
        <f t="shared" ref="AV5:AV16" si="16">IF(AND(WeekDef=8,CustomMFFlag,CustomMFPeriod=4),INDEX(VolumeHourlyOver,V5,1),IF(OR(WeekDef=1,WeekDef=3,WeekDef=5,WeekDef=7,AND(WeekDef=8,CustomMFFlag,OR(CustomMFPeriod=1,CustomMFPeriod=3))),IF(VolumeMonthlyOverFlag,INDEX(VolumeMonthlyOver,AE5),Volume),0))</f>
        <v>1</v>
      </c>
      <c r="AW5" s="330">
        <f t="shared" ref="AW5:AW16" si="17">IF(AND(WeekDef=8,CustomMFFlag,CustomMFPeriod=4),INDEX(VolumeHourlyOver,W5,1),IF(OR(WeekDef=1,WeekDef=3,WeekDef=5,WeekDef=7,AND(WeekDef=8,CustomMFFlag,OR(CustomMFPeriod=1,CustomMFPeriod=3))),IF(VolumeMonthlyOverFlag,INDEX(VolumeMonthlyOver,AE5),Volume),0))</f>
        <v>1</v>
      </c>
      <c r="AX5" s="330">
        <f t="shared" ref="AX5:AX16" si="18">IF(AND(WeekDef=8,CustomMFFlag,CustomMFPeriod=4),INDEX(VolumeHourlyOver,X5,1),IF(OR(WeekDef=1,WeekDef=3,WeekDef=5,WeekDef=7,AND(WeekDef=8,CustomMFFlag,OR(CustomMFPeriod=1,CustomMFPeriod=3))),IF(VolumeMonthlyOverFlag,INDEX(VolumeMonthlyOver,AE5),Volume),0))</f>
        <v>1</v>
      </c>
      <c r="AY5" s="330">
        <f t="shared" ref="AY5:AY16" si="19">IF(AND(WeekDef=8,CustomMFFlag,CustomMFPeriod=4),INDEX(VolumeHourlyOver,Y5,1),IF(OR(WeekDef=1,WeekDef=3,WeekDef=5,WeekDef=7,AND(WeekDef=8,CustomMFFlag,OR(CustomMFPeriod=1,CustomMFPeriod=3))),IF(VolumeMonthlyOverFlag,INDEX(VolumeMonthlyOver,AE5),Volume),0))</f>
        <v>1</v>
      </c>
      <c r="AZ5" s="330">
        <f t="shared" ref="AZ5:AZ16" si="20">IF(AND(WeekDef=8,CustomMFFlag,CustomMFPeriod=4),INDEX(VolumeHourlyOver,Z5,1),IF(OR(WeekDef=1,WeekDef=3,WeekDef=5,WeekDef=7,AND(WeekDef=8,CustomMFFlag,OR(CustomMFPeriod=1,CustomMFPeriod=3))),IF(VolumeMonthlyOverFlag,INDEX(VolumeMonthlyOver,AE5),Volume),0))</f>
        <v>1</v>
      </c>
      <c r="BA5" s="330">
        <f t="shared" ref="BA5:BA16" si="21">IF(AND(WeekDef=8,CustomMFFlag,CustomMFPeriod=4),INDEX(VolumeHourlyOver,AA5,1),IF(OR(WeekDef=1,WeekDef=3,WeekDef=5,WeekDef=7,AND(WeekDef=8,CustomMFFlag,OR(CustomMFPeriod=1,CustomMFPeriod=3))),IF(VolumeMonthlyOverFlag,INDEX(VolumeMonthlyOver,AE5),Volume),0))</f>
        <v>1</v>
      </c>
      <c r="BB5" s="330">
        <f t="shared" ref="BB5:BB16" si="22">IF(AND(WeekDef=8,CustomMFFlag,CustomMFPeriod=4),INDEX(VolumeHourlyOver,AB5,1),IF(OR(WeekDef=1,WeekDef=3,WeekDef=5,WeekDef=7,AND(WeekDef=8,CustomMFFlag,OR(CustomMFPeriod=1,CustomMFPeriod=3))),IF(VolumeMonthlyOverFlag,INDEX(VolumeMonthlyOver,AE5),Volume),0))</f>
        <v>1</v>
      </c>
      <c r="BC5" s="331">
        <f t="shared" ref="BC5:BC16" si="23">IF(AND(WeekDef=8,CustomMFFlag,CustomMFPeriod=4),INDEX(VolumeHourlyOver,AC5,1),IF(OR(WeekDef=1,WeekDef=3,WeekDef=5,WeekDef=7,AND(WeekDef=8,CustomMFFlag,OR(CustomMFPeriod=1,CustomMFPeriod=3))),IF(VolumeMonthlyOverFlag,INDEX(VolumeMonthlyOver,AE5),Volume),0))</f>
        <v>1</v>
      </c>
      <c r="BD5" s="488">
        <f>SUM(AF5:AU5)</f>
        <v>16</v>
      </c>
      <c r="BE5" s="486">
        <f>SUM(AV5:BC5)</f>
        <v>8</v>
      </c>
      <c r="BF5" s="489">
        <f>BD5+BE5</f>
        <v>24</v>
      </c>
      <c r="BG5" s="562">
        <f>IF(BD5,SUMPRODUCT(AF5:AU5,F21:U21)/BD5,0)</f>
        <v>0.99998503923416138</v>
      </c>
      <c r="BH5" s="562">
        <f>IF(BE5,SUMPRODUCT(AV5:BC5,V21:AC21)/BE5,0)</f>
        <v>1.0000070855021477</v>
      </c>
      <c r="BJ5" s="323">
        <v>1</v>
      </c>
      <c r="BK5" s="329">
        <f t="shared" ref="BK5:BK16" si="24">IF(AND(WeekDef=8,CustomMFFlag,CustomMFPeriod=4),INDEX(IF(DiffOptVolumeFlag,DiffOptVolumeHourlyOver,VolumeHourlyOver),F5,1),IF(OR(WeekDef=1,WeekDef=2,WeekDef=4,WeekDef=6,AND(WeekDef=8,CustomMFFlag,OR(CustomMFPeriod=1,CustomMFPeriod=2))),IF(VolumeMonthlyOverFlag,INDEX(IF(DiffOptVolumeFlag,DiffOptVolumeMonthlyOver,VolumeMonthlyOver),BJ5),IF(DiffOptVolumeFlag,DiffOptVolume,Volume)),0))</f>
        <v>1</v>
      </c>
      <c r="BL5" s="330">
        <f t="shared" ref="BL5:BL16" si="25">IF(AND(WeekDef=8,CustomMFFlag,CustomMFPeriod=4),INDEX(IF(DiffOptVolumeFlag,DiffOptVolumeHourlyOver,VolumeHourlyOver),G5,1),IF(OR(WeekDef=1,WeekDef=2,WeekDef=4,WeekDef=6,AND(WeekDef=8,CustomMFFlag,OR(CustomMFPeriod=1,CustomMFPeriod=2))),IF(VolumeMonthlyOverFlag,INDEX(IF(DiffOptVolumeFlag,DiffOptVolumeMonthlyOver,VolumeMonthlyOver),BJ5),IF(DiffOptVolumeFlag,DiffOptVolume,Volume)),0))</f>
        <v>1</v>
      </c>
      <c r="BM5" s="330">
        <f t="shared" ref="BM5:BM16" si="26">IF(AND(WeekDef=8,CustomMFFlag,CustomMFPeriod=4),INDEX(IF(DiffOptVolumeFlag,DiffOptVolumeHourlyOver,VolumeHourlyOver),H5,1),IF(OR(WeekDef=1,WeekDef=2,WeekDef=4,WeekDef=6,AND(WeekDef=8,CustomMFFlag,OR(CustomMFPeriod=1,CustomMFPeriod=2))),IF(VolumeMonthlyOverFlag,INDEX(IF(DiffOptVolumeFlag,DiffOptVolumeMonthlyOver,VolumeMonthlyOver),BJ5),IF(DiffOptVolumeFlag,DiffOptVolume,Volume)),0))</f>
        <v>1</v>
      </c>
      <c r="BN5" s="330">
        <f t="shared" ref="BN5:BN16" si="27">IF(AND(WeekDef=8,CustomMFFlag,CustomMFPeriod=4),INDEX(IF(DiffOptVolumeFlag,DiffOptVolumeHourlyOver,VolumeHourlyOver),I5,1),IF(OR(WeekDef=1,WeekDef=2,WeekDef=4,WeekDef=6,AND(WeekDef=8,CustomMFFlag,OR(CustomMFPeriod=1,CustomMFPeriod=2))),IF(VolumeMonthlyOverFlag,INDEX(IF(DiffOptVolumeFlag,DiffOptVolumeMonthlyOver,VolumeMonthlyOver),BJ5),IF(DiffOptVolumeFlag,DiffOptVolume,Volume)),0))</f>
        <v>1</v>
      </c>
      <c r="BO5" s="330">
        <f t="shared" ref="BO5:BO16" si="28">IF(AND(WeekDef=8,CustomMFFlag,CustomMFPeriod=4),INDEX(IF(DiffOptVolumeFlag,DiffOptVolumeHourlyOver,VolumeHourlyOver),J5,1),IF(OR(WeekDef=1,WeekDef=2,WeekDef=4,WeekDef=6,AND(WeekDef=8,CustomMFFlag,OR(CustomMFPeriod=1,CustomMFPeriod=2))),IF(VolumeMonthlyOverFlag,INDEX(IF(DiffOptVolumeFlag,DiffOptVolumeMonthlyOver,VolumeMonthlyOver),BJ5),IF(DiffOptVolumeFlag,DiffOptVolume,Volume)),0))</f>
        <v>1</v>
      </c>
      <c r="BP5" s="330">
        <f t="shared" ref="BP5:BP16" si="29">IF(AND(WeekDef=8,CustomMFFlag,CustomMFPeriod=4),INDEX(IF(DiffOptVolumeFlag,DiffOptVolumeHourlyOver,VolumeHourlyOver),K5,1),IF(OR(WeekDef=1,WeekDef=2,WeekDef=4,WeekDef=6,AND(WeekDef=8,CustomMFFlag,OR(CustomMFPeriod=1,CustomMFPeriod=2))),IF(VolumeMonthlyOverFlag,INDEX(IF(DiffOptVolumeFlag,DiffOptVolumeMonthlyOver,VolumeMonthlyOver),BJ5),IF(DiffOptVolumeFlag,DiffOptVolume,Volume)),0))</f>
        <v>1</v>
      </c>
      <c r="BQ5" s="330">
        <f t="shared" ref="BQ5:BQ16" si="30">IF(AND(WeekDef=8,CustomMFFlag,CustomMFPeriod=4),INDEX(IF(DiffOptVolumeFlag,DiffOptVolumeHourlyOver,VolumeHourlyOver),L5,1),IF(OR(WeekDef=1,WeekDef=2,WeekDef=4,WeekDef=6,AND(WeekDef=8,CustomMFFlag,OR(CustomMFPeriod=1,CustomMFPeriod=2))),IF(VolumeMonthlyOverFlag,INDEX(IF(DiffOptVolumeFlag,DiffOptVolumeMonthlyOver,VolumeMonthlyOver),BJ5),IF(DiffOptVolumeFlag,DiffOptVolume,Volume)),0))</f>
        <v>1</v>
      </c>
      <c r="BR5" s="330">
        <f t="shared" ref="BR5:BR16" si="31">IF(AND(WeekDef=8,CustomMFFlag,CustomMFPeriod=4),INDEX(IF(DiffOptVolumeFlag,DiffOptVolumeHourlyOver,VolumeHourlyOver),M5,1),IF(OR(WeekDef=1,WeekDef=2,WeekDef=4,WeekDef=6,AND(WeekDef=8,CustomMFFlag,OR(CustomMFPeriod=1,CustomMFPeriod=2))),IF(VolumeMonthlyOverFlag,INDEX(IF(DiffOptVolumeFlag,DiffOptVolumeMonthlyOver,VolumeMonthlyOver),BJ5),IF(DiffOptVolumeFlag,DiffOptVolume,Volume)),0))</f>
        <v>1</v>
      </c>
      <c r="BS5" s="330">
        <f t="shared" ref="BS5:BS16" si="32">IF(AND(WeekDef=8,CustomMFFlag,CustomMFPeriod=4),INDEX(IF(DiffOptVolumeFlag,DiffOptVolumeHourlyOver,VolumeHourlyOver),N5,1),IF(OR(WeekDef=1,WeekDef=2,WeekDef=4,WeekDef=6,AND(WeekDef=8,CustomMFFlag,OR(CustomMFPeriod=1,CustomMFPeriod=2))),IF(VolumeMonthlyOverFlag,INDEX(IF(DiffOptVolumeFlag,DiffOptVolumeMonthlyOver,VolumeMonthlyOver),BJ5),IF(DiffOptVolumeFlag,DiffOptVolume,Volume)),0))</f>
        <v>1</v>
      </c>
      <c r="BT5" s="330">
        <f t="shared" ref="BT5:BT16" si="33">IF(AND(WeekDef=8,CustomMFFlag,CustomMFPeriod=4),INDEX(IF(DiffOptVolumeFlag,DiffOptVolumeHourlyOver,VolumeHourlyOver),O5,1),IF(OR(WeekDef=1,WeekDef=2,WeekDef=4,WeekDef=6,AND(WeekDef=8,CustomMFFlag,OR(CustomMFPeriod=1,CustomMFPeriod=2))),IF(VolumeMonthlyOverFlag,INDEX(IF(DiffOptVolumeFlag,DiffOptVolumeMonthlyOver,VolumeMonthlyOver),BJ5),IF(DiffOptVolumeFlag,DiffOptVolume,Volume)),0))</f>
        <v>1</v>
      </c>
      <c r="BU5" s="330">
        <f t="shared" ref="BU5:BU16" si="34">IF(AND(WeekDef=8,CustomMFFlag,CustomMFPeriod=4),INDEX(IF(DiffOptVolumeFlag,DiffOptVolumeHourlyOver,VolumeHourlyOver),P5,1),IF(OR(WeekDef=1,WeekDef=2,WeekDef=4,WeekDef=6,AND(WeekDef=8,CustomMFFlag,OR(CustomMFPeriod=1,CustomMFPeriod=2))),IF(VolumeMonthlyOverFlag,INDEX(IF(DiffOptVolumeFlag,DiffOptVolumeMonthlyOver,VolumeMonthlyOver),BJ5),IF(DiffOptVolumeFlag,DiffOptVolume,Volume)),0))</f>
        <v>1</v>
      </c>
      <c r="BV5" s="330">
        <f t="shared" ref="BV5:BV16" si="35">IF(AND(WeekDef=8,CustomMFFlag,CustomMFPeriod=4),INDEX(IF(DiffOptVolumeFlag,DiffOptVolumeHourlyOver,VolumeHourlyOver),Q5,1),IF(OR(WeekDef=1,WeekDef=2,WeekDef=4,WeekDef=6,AND(WeekDef=8,CustomMFFlag,OR(CustomMFPeriod=1,CustomMFPeriod=2))),IF(VolumeMonthlyOverFlag,INDEX(IF(DiffOptVolumeFlag,DiffOptVolumeMonthlyOver,VolumeMonthlyOver),BJ5),IF(DiffOptVolumeFlag,DiffOptVolume,Volume)),0))</f>
        <v>1</v>
      </c>
      <c r="BW5" s="330">
        <f t="shared" ref="BW5:BW16" si="36">IF(AND(WeekDef=8,CustomMFFlag,CustomMFPeriod=4),INDEX(IF(DiffOptVolumeFlag,DiffOptVolumeHourlyOver,VolumeHourlyOver),R5,1),IF(OR(WeekDef=1,WeekDef=2,WeekDef=4,WeekDef=6,AND(WeekDef=8,CustomMFFlag,OR(CustomMFPeriod=1,CustomMFPeriod=2))),IF(VolumeMonthlyOverFlag,INDEX(IF(DiffOptVolumeFlag,DiffOptVolumeMonthlyOver,VolumeMonthlyOver),BJ5),IF(DiffOptVolumeFlag,DiffOptVolume,Volume)),0))</f>
        <v>1</v>
      </c>
      <c r="BX5" s="330">
        <f t="shared" ref="BX5:BX16" si="37">IF(AND(WeekDef=8,CustomMFFlag,CustomMFPeriod=4),INDEX(IF(DiffOptVolumeFlag,DiffOptVolumeHourlyOver,VolumeHourlyOver),S5,1),IF(OR(WeekDef=1,WeekDef=2,WeekDef=4,WeekDef=6,AND(WeekDef=8,CustomMFFlag,OR(CustomMFPeriod=1,CustomMFPeriod=2))),IF(VolumeMonthlyOverFlag,INDEX(IF(DiffOptVolumeFlag,DiffOptVolumeMonthlyOver,VolumeMonthlyOver),BJ5),IF(DiffOptVolumeFlag,DiffOptVolume,Volume)),0))</f>
        <v>1</v>
      </c>
      <c r="BY5" s="330">
        <f t="shared" ref="BY5:BY16" si="38">IF(AND(WeekDef=8,CustomMFFlag,CustomMFPeriod=4),INDEX(IF(DiffOptVolumeFlag,DiffOptVolumeHourlyOver,VolumeHourlyOver),T5,1),IF(OR(WeekDef=1,WeekDef=2,WeekDef=4,WeekDef=6,AND(WeekDef=8,CustomMFFlag,OR(CustomMFPeriod=1,CustomMFPeriod=2))),IF(VolumeMonthlyOverFlag,INDEX(IF(DiffOptVolumeFlag,DiffOptVolumeMonthlyOver,VolumeMonthlyOver),BJ5),IF(DiffOptVolumeFlag,DiffOptVolume,Volume)),0))</f>
        <v>1</v>
      </c>
      <c r="BZ5" s="331">
        <f t="shared" ref="BZ5:BZ16" si="39">IF(AND(WeekDef=8,CustomMFFlag,CustomMFPeriod=4),INDEX(IF(DiffOptVolumeFlag,DiffOptVolumeHourlyOver,VolumeHourlyOver),U5,1),IF(OR(WeekDef=1,WeekDef=2,WeekDef=4,WeekDef=6,AND(WeekDef=8,CustomMFFlag,OR(CustomMFPeriod=1,CustomMFPeriod=2))),IF(VolumeMonthlyOverFlag,INDEX(IF(DiffOptVolumeFlag,DiffOptVolumeMonthlyOver,VolumeMonthlyOver),BJ5),IF(DiffOptVolumeFlag,DiffOptVolume,Volume)),0))</f>
        <v>1</v>
      </c>
      <c r="CA5" s="330">
        <f t="shared" ref="CA5:CA16" si="40">IF(AND(WeekDef=8,CustomMFFlag,CustomMFPeriod=4),INDEX(IF(DiffOptVolumeFlag,DiffOptVolumeHourlyOver,VolumeHourlyOver),V5,1),IF(OR(WeekDef=1,WeekDef=3,WeekDef=5,WeekDef=7,AND(WeekDef=8,CustomMFFlag,OR(CustomMFPeriod=1,CustomMFPeriod=3))),IF(VolumeMonthlyOverFlag,INDEX(IF(DiffOptVolumeFlag,DiffOptVolumeMonthlyOver,VolumeMonthlyOver),BJ5),IF(DiffOptVolumeFlag,DiffOptVolume,Volume)),0))</f>
        <v>1</v>
      </c>
      <c r="CB5" s="330">
        <f t="shared" ref="CB5:CB16" si="41">IF(AND(WeekDef=8,CustomMFFlag,CustomMFPeriod=4),INDEX(IF(DiffOptVolumeFlag,DiffOptVolumeHourlyOver,VolumeHourlyOver),W5,1),IF(OR(WeekDef=1,WeekDef=3,WeekDef=5,WeekDef=7,AND(WeekDef=8,CustomMFFlag,OR(CustomMFPeriod=1,CustomMFPeriod=3))),IF(VolumeMonthlyOverFlag,INDEX(IF(DiffOptVolumeFlag,DiffOptVolumeMonthlyOver,VolumeMonthlyOver),BJ5),IF(DiffOptVolumeFlag,DiffOptVolume,Volume)),0))</f>
        <v>1</v>
      </c>
      <c r="CC5" s="330">
        <f t="shared" ref="CC5:CC16" si="42">IF(AND(WeekDef=8,CustomMFFlag,CustomMFPeriod=4),INDEX(IF(DiffOptVolumeFlag,DiffOptVolumeHourlyOver,VolumeHourlyOver),X5,1),IF(OR(WeekDef=1,WeekDef=3,WeekDef=5,WeekDef=7,AND(WeekDef=8,CustomMFFlag,OR(CustomMFPeriod=1,CustomMFPeriod=3))),IF(VolumeMonthlyOverFlag,INDEX(IF(DiffOptVolumeFlag,DiffOptVolumeMonthlyOver,VolumeMonthlyOver),BJ5),IF(DiffOptVolumeFlag,DiffOptVolume,Volume)),0))</f>
        <v>1</v>
      </c>
      <c r="CD5" s="330">
        <f t="shared" ref="CD5:CD16" si="43">IF(AND(WeekDef=8,CustomMFFlag,CustomMFPeriod=4),INDEX(IF(DiffOptVolumeFlag,DiffOptVolumeHourlyOver,VolumeHourlyOver),Y5,1),IF(OR(WeekDef=1,WeekDef=3,WeekDef=5,WeekDef=7,AND(WeekDef=8,CustomMFFlag,OR(CustomMFPeriod=1,CustomMFPeriod=3))),IF(VolumeMonthlyOverFlag,INDEX(IF(DiffOptVolumeFlag,DiffOptVolumeMonthlyOver,VolumeMonthlyOver),BJ5),IF(DiffOptVolumeFlag,DiffOptVolume,Volume)),0))</f>
        <v>1</v>
      </c>
      <c r="CE5" s="330">
        <f t="shared" ref="CE5:CE16" si="44">IF(AND(WeekDef=8,CustomMFFlag,CustomMFPeriod=4),INDEX(IF(DiffOptVolumeFlag,DiffOptVolumeHourlyOver,VolumeHourlyOver),Z5,1),IF(OR(WeekDef=1,WeekDef=3,WeekDef=5,WeekDef=7,AND(WeekDef=8,CustomMFFlag,OR(CustomMFPeriod=1,CustomMFPeriod=3))),IF(VolumeMonthlyOverFlag,INDEX(IF(DiffOptVolumeFlag,DiffOptVolumeMonthlyOver,VolumeMonthlyOver),BJ5),IF(DiffOptVolumeFlag,DiffOptVolume,Volume)),0))</f>
        <v>1</v>
      </c>
      <c r="CF5" s="330">
        <f t="shared" ref="CF5:CF16" si="45">IF(AND(WeekDef=8,CustomMFFlag,CustomMFPeriod=4),INDEX(IF(DiffOptVolumeFlag,DiffOptVolumeHourlyOver,VolumeHourlyOver),AA5,1),IF(OR(WeekDef=1,WeekDef=3,WeekDef=5,WeekDef=7,AND(WeekDef=8,CustomMFFlag,OR(CustomMFPeriod=1,CustomMFPeriod=3))),IF(VolumeMonthlyOverFlag,INDEX(IF(DiffOptVolumeFlag,DiffOptVolumeMonthlyOver,VolumeMonthlyOver),BJ5),IF(DiffOptVolumeFlag,DiffOptVolume,Volume)),0))</f>
        <v>1</v>
      </c>
      <c r="CG5" s="330">
        <f t="shared" ref="CG5:CG16" si="46">IF(AND(WeekDef=8,CustomMFFlag,CustomMFPeriod=4),INDEX(IF(DiffOptVolumeFlag,DiffOptVolumeHourlyOver,VolumeHourlyOver),AB5,1),IF(OR(WeekDef=1,WeekDef=3,WeekDef=5,WeekDef=7,AND(WeekDef=8,CustomMFFlag,OR(CustomMFPeriod=1,CustomMFPeriod=3))),IF(VolumeMonthlyOverFlag,INDEX(IF(DiffOptVolumeFlag,DiffOptVolumeMonthlyOver,VolumeMonthlyOver),BJ5),IF(DiffOptVolumeFlag,DiffOptVolume,Volume)),0))</f>
        <v>1</v>
      </c>
      <c r="CH5" s="331">
        <f t="shared" ref="CH5:CH16" si="47">IF(AND(WeekDef=8,CustomMFFlag,CustomMFPeriod=4),INDEX(IF(DiffOptVolumeFlag,DiffOptVolumeHourlyOver,VolumeHourlyOver),AC5,1),IF(OR(WeekDef=1,WeekDef=3,WeekDef=5,WeekDef=7,AND(WeekDef=8,CustomMFFlag,OR(CustomMFPeriod=1,CustomMFPeriod=3))),IF(VolumeMonthlyOverFlag,INDEX(IF(DiffOptVolumeFlag,DiffOptVolumeMonthlyOver,VolumeMonthlyOver),BJ5),IF(DiffOptVolumeFlag,DiffOptVolume,Volume)),0))</f>
        <v>1</v>
      </c>
      <c r="CI5" s="488">
        <f>SUM(BK5:BZ5)</f>
        <v>16</v>
      </c>
      <c r="CJ5" s="486">
        <f>SUM(CA5:CH5)</f>
        <v>8</v>
      </c>
      <c r="CK5" s="489">
        <f>CI5+CJ5</f>
        <v>24</v>
      </c>
      <c r="CL5" s="562">
        <f>IF(CI5,SUMPRODUCT(BK5:BZ5,F21:U21)/CI5,0)</f>
        <v>0.99998503923416138</v>
      </c>
      <c r="CM5" s="562">
        <f>IF(CJ5,SUMPRODUCT(CA5:CH5,V21:AC21)/CJ5,0)</f>
        <v>1.0000070855021477</v>
      </c>
      <c r="CO5" s="511">
        <v>1</v>
      </c>
      <c r="CP5" s="816">
        <f>MAX(AF5:BC5,AF19:BC19,AF33:BC33,AF47:BC47)</f>
        <v>1</v>
      </c>
      <c r="CQ5" s="512">
        <f t="shared" ref="CQ5:CQ16" si="48">MAX(BK5:CH5,BK19:CH19,BK33:CH33,BK47:CH47)</f>
        <v>1</v>
      </c>
      <c r="DE5" s="143"/>
    </row>
    <row r="6" spans="3:109" x14ac:dyDescent="0.25">
      <c r="E6" s="323">
        <v>2</v>
      </c>
      <c r="F6" s="326">
        <v>19</v>
      </c>
      <c r="G6" s="327">
        <v>20</v>
      </c>
      <c r="H6" s="327">
        <v>9</v>
      </c>
      <c r="I6" s="327">
        <v>10</v>
      </c>
      <c r="J6" s="327">
        <v>11</v>
      </c>
      <c r="K6" s="327">
        <v>18</v>
      </c>
      <c r="L6" s="327">
        <v>21</v>
      </c>
      <c r="M6" s="327">
        <v>8</v>
      </c>
      <c r="N6" s="327">
        <v>12</v>
      </c>
      <c r="O6" s="327">
        <v>13</v>
      </c>
      <c r="P6" s="327">
        <v>17</v>
      </c>
      <c r="Q6" s="327">
        <v>14</v>
      </c>
      <c r="R6" s="327">
        <v>22</v>
      </c>
      <c r="S6" s="327">
        <v>15</v>
      </c>
      <c r="T6" s="327">
        <v>16</v>
      </c>
      <c r="U6" s="328">
        <v>23</v>
      </c>
      <c r="V6" s="327">
        <v>7</v>
      </c>
      <c r="W6" s="327">
        <v>24</v>
      </c>
      <c r="X6" s="327">
        <v>1</v>
      </c>
      <c r="Y6" s="327">
        <v>6</v>
      </c>
      <c r="Z6" s="327">
        <v>2</v>
      </c>
      <c r="AA6" s="327">
        <v>5</v>
      </c>
      <c r="AB6" s="327">
        <v>3</v>
      </c>
      <c r="AC6" s="328">
        <v>4</v>
      </c>
      <c r="AD6" s="217"/>
      <c r="AE6" s="323">
        <v>2</v>
      </c>
      <c r="AF6" s="326">
        <f t="shared" si="0"/>
        <v>1</v>
      </c>
      <c r="AG6" s="327">
        <f t="shared" si="1"/>
        <v>1</v>
      </c>
      <c r="AH6" s="327">
        <f t="shared" si="2"/>
        <v>1</v>
      </c>
      <c r="AI6" s="327">
        <f t="shared" si="3"/>
        <v>1</v>
      </c>
      <c r="AJ6" s="327">
        <f t="shared" si="4"/>
        <v>1</v>
      </c>
      <c r="AK6" s="327">
        <f t="shared" si="5"/>
        <v>1</v>
      </c>
      <c r="AL6" s="327">
        <f t="shared" si="6"/>
        <v>1</v>
      </c>
      <c r="AM6" s="327">
        <f t="shared" si="7"/>
        <v>1</v>
      </c>
      <c r="AN6" s="327">
        <f t="shared" si="8"/>
        <v>1</v>
      </c>
      <c r="AO6" s="327">
        <f t="shared" si="9"/>
        <v>1</v>
      </c>
      <c r="AP6" s="327">
        <f t="shared" si="10"/>
        <v>1</v>
      </c>
      <c r="AQ6" s="327">
        <f t="shared" si="11"/>
        <v>1</v>
      </c>
      <c r="AR6" s="327">
        <f t="shared" si="12"/>
        <v>1</v>
      </c>
      <c r="AS6" s="327">
        <f t="shared" si="13"/>
        <v>1</v>
      </c>
      <c r="AT6" s="327">
        <f t="shared" si="14"/>
        <v>1</v>
      </c>
      <c r="AU6" s="328">
        <f t="shared" si="15"/>
        <v>1</v>
      </c>
      <c r="AV6" s="327">
        <f t="shared" si="16"/>
        <v>1</v>
      </c>
      <c r="AW6" s="327">
        <f t="shared" si="17"/>
        <v>1</v>
      </c>
      <c r="AX6" s="327">
        <f t="shared" si="18"/>
        <v>1</v>
      </c>
      <c r="AY6" s="327">
        <f t="shared" si="19"/>
        <v>1</v>
      </c>
      <c r="AZ6" s="327">
        <f t="shared" si="20"/>
        <v>1</v>
      </c>
      <c r="BA6" s="327">
        <f t="shared" si="21"/>
        <v>1</v>
      </c>
      <c r="BB6" s="327">
        <f t="shared" si="22"/>
        <v>1</v>
      </c>
      <c r="BC6" s="328">
        <f t="shared" si="23"/>
        <v>1</v>
      </c>
      <c r="BD6" s="488">
        <f t="shared" ref="BD6:BD16" si="49">SUM(AF6:AU6)</f>
        <v>16</v>
      </c>
      <c r="BE6" s="486">
        <f t="shared" ref="BE6:BE16" si="50">SUM(AV6:BC6)</f>
        <v>8</v>
      </c>
      <c r="BF6" s="489">
        <f t="shared" ref="BF6:BF16" si="51">BD6+BE6</f>
        <v>24</v>
      </c>
      <c r="BG6" s="562">
        <f t="shared" ref="BG6:BG16" si="52">IF(BD6,SUMPRODUCT(AF6:AU6,F22:U22)/BD6,0)</f>
        <v>0.99998503923416138</v>
      </c>
      <c r="BH6" s="562">
        <f t="shared" ref="BH6:BH16" si="53">IF(BE6,SUMPRODUCT(AV6:BC6,V22:AC22)/BE6,0)</f>
        <v>1.0000070855021477</v>
      </c>
      <c r="BJ6" s="323">
        <v>2</v>
      </c>
      <c r="BK6" s="326">
        <f t="shared" si="24"/>
        <v>1</v>
      </c>
      <c r="BL6" s="327">
        <f t="shared" si="25"/>
        <v>1</v>
      </c>
      <c r="BM6" s="327">
        <f t="shared" si="26"/>
        <v>1</v>
      </c>
      <c r="BN6" s="327">
        <f t="shared" si="27"/>
        <v>1</v>
      </c>
      <c r="BO6" s="327">
        <f t="shared" si="28"/>
        <v>1</v>
      </c>
      <c r="BP6" s="327">
        <f t="shared" si="29"/>
        <v>1</v>
      </c>
      <c r="BQ6" s="327">
        <f t="shared" si="30"/>
        <v>1</v>
      </c>
      <c r="BR6" s="327">
        <f t="shared" si="31"/>
        <v>1</v>
      </c>
      <c r="BS6" s="327">
        <f t="shared" si="32"/>
        <v>1</v>
      </c>
      <c r="BT6" s="327">
        <f t="shared" si="33"/>
        <v>1</v>
      </c>
      <c r="BU6" s="327">
        <f t="shared" si="34"/>
        <v>1</v>
      </c>
      <c r="BV6" s="327">
        <f t="shared" si="35"/>
        <v>1</v>
      </c>
      <c r="BW6" s="327">
        <f t="shared" si="36"/>
        <v>1</v>
      </c>
      <c r="BX6" s="327">
        <f t="shared" si="37"/>
        <v>1</v>
      </c>
      <c r="BY6" s="327">
        <f t="shared" si="38"/>
        <v>1</v>
      </c>
      <c r="BZ6" s="328">
        <f t="shared" si="39"/>
        <v>1</v>
      </c>
      <c r="CA6" s="327">
        <f t="shared" si="40"/>
        <v>1</v>
      </c>
      <c r="CB6" s="327">
        <f t="shared" si="41"/>
        <v>1</v>
      </c>
      <c r="CC6" s="327">
        <f t="shared" si="42"/>
        <v>1</v>
      </c>
      <c r="CD6" s="327">
        <f t="shared" si="43"/>
        <v>1</v>
      </c>
      <c r="CE6" s="327">
        <f t="shared" si="44"/>
        <v>1</v>
      </c>
      <c r="CF6" s="327">
        <f t="shared" si="45"/>
        <v>1</v>
      </c>
      <c r="CG6" s="327">
        <f t="shared" si="46"/>
        <v>1</v>
      </c>
      <c r="CH6" s="328">
        <f t="shared" si="47"/>
        <v>1</v>
      </c>
      <c r="CI6" s="488">
        <f t="shared" ref="CI6:CI16" si="54">SUM(BK6:BZ6)</f>
        <v>16</v>
      </c>
      <c r="CJ6" s="486">
        <f t="shared" ref="CJ6:CJ16" si="55">SUM(CA6:CH6)</f>
        <v>8</v>
      </c>
      <c r="CK6" s="489">
        <f t="shared" ref="CK6:CK16" si="56">CI6+CJ6</f>
        <v>24</v>
      </c>
      <c r="CL6" s="562">
        <f t="shared" ref="CL6:CL16" si="57">IF(CI6,SUMPRODUCT(BK6:BZ6,F22:U22)/CI6,0)</f>
        <v>0.99998503923416138</v>
      </c>
      <c r="CM6" s="562">
        <f t="shared" ref="CM6:CM16" si="58">IF(CJ6,SUMPRODUCT(CA6:CH6,V22:AC22)/CJ6,0)</f>
        <v>1.0000070855021477</v>
      </c>
      <c r="CO6" s="326">
        <v>2</v>
      </c>
      <c r="CP6" s="815">
        <f t="shared" ref="CP6:CP16" si="59">MAX(AF6:BC6,AF20:BC20,AF34:BC34,AF48:BC48)</f>
        <v>1</v>
      </c>
      <c r="CQ6" s="513">
        <f t="shared" si="48"/>
        <v>1</v>
      </c>
      <c r="DE6" s="143"/>
    </row>
    <row r="7" spans="3:109" x14ac:dyDescent="0.25">
      <c r="E7" s="323">
        <v>3</v>
      </c>
      <c r="F7" s="326">
        <v>19</v>
      </c>
      <c r="G7" s="327">
        <v>20</v>
      </c>
      <c r="H7" s="327">
        <v>9</v>
      </c>
      <c r="I7" s="327">
        <v>10</v>
      </c>
      <c r="J7" s="327">
        <v>11</v>
      </c>
      <c r="K7" s="327">
        <v>18</v>
      </c>
      <c r="L7" s="327">
        <v>21</v>
      </c>
      <c r="M7" s="327">
        <v>8</v>
      </c>
      <c r="N7" s="327">
        <v>12</v>
      </c>
      <c r="O7" s="327">
        <v>13</v>
      </c>
      <c r="P7" s="327">
        <v>17</v>
      </c>
      <c r="Q7" s="327">
        <v>14</v>
      </c>
      <c r="R7" s="327">
        <v>22</v>
      </c>
      <c r="S7" s="327">
        <v>15</v>
      </c>
      <c r="T7" s="327">
        <v>16</v>
      </c>
      <c r="U7" s="328">
        <v>23</v>
      </c>
      <c r="V7" s="327">
        <v>7</v>
      </c>
      <c r="W7" s="327">
        <v>24</v>
      </c>
      <c r="X7" s="327">
        <v>6</v>
      </c>
      <c r="Y7" s="327">
        <v>1</v>
      </c>
      <c r="Z7" s="327">
        <v>5</v>
      </c>
      <c r="AA7" s="327">
        <v>2</v>
      </c>
      <c r="AB7" s="327">
        <v>4</v>
      </c>
      <c r="AC7" s="328">
        <v>3</v>
      </c>
      <c r="AD7" s="217"/>
      <c r="AE7" s="323">
        <v>3</v>
      </c>
      <c r="AF7" s="326">
        <f t="shared" si="0"/>
        <v>1</v>
      </c>
      <c r="AG7" s="327">
        <f t="shared" si="1"/>
        <v>1</v>
      </c>
      <c r="AH7" s="327">
        <f t="shared" si="2"/>
        <v>1</v>
      </c>
      <c r="AI7" s="327">
        <f t="shared" si="3"/>
        <v>1</v>
      </c>
      <c r="AJ7" s="327">
        <f t="shared" si="4"/>
        <v>1</v>
      </c>
      <c r="AK7" s="327">
        <f t="shared" si="5"/>
        <v>1</v>
      </c>
      <c r="AL7" s="327">
        <f t="shared" si="6"/>
        <v>1</v>
      </c>
      <c r="AM7" s="327">
        <f t="shared" si="7"/>
        <v>1</v>
      </c>
      <c r="AN7" s="327">
        <f t="shared" si="8"/>
        <v>1</v>
      </c>
      <c r="AO7" s="327">
        <f t="shared" si="9"/>
        <v>1</v>
      </c>
      <c r="AP7" s="327">
        <f t="shared" si="10"/>
        <v>1</v>
      </c>
      <c r="AQ7" s="327">
        <f t="shared" si="11"/>
        <v>1</v>
      </c>
      <c r="AR7" s="327">
        <f t="shared" si="12"/>
        <v>1</v>
      </c>
      <c r="AS7" s="327">
        <f t="shared" si="13"/>
        <v>1</v>
      </c>
      <c r="AT7" s="327">
        <f t="shared" si="14"/>
        <v>1</v>
      </c>
      <c r="AU7" s="328">
        <f t="shared" si="15"/>
        <v>1</v>
      </c>
      <c r="AV7" s="327">
        <f t="shared" si="16"/>
        <v>1</v>
      </c>
      <c r="AW7" s="327">
        <f t="shared" si="17"/>
        <v>1</v>
      </c>
      <c r="AX7" s="327">
        <f t="shared" si="18"/>
        <v>1</v>
      </c>
      <c r="AY7" s="327">
        <f t="shared" si="19"/>
        <v>1</v>
      </c>
      <c r="AZ7" s="327">
        <f t="shared" si="20"/>
        <v>1</v>
      </c>
      <c r="BA7" s="327">
        <f t="shared" si="21"/>
        <v>1</v>
      </c>
      <c r="BB7" s="327">
        <f t="shared" si="22"/>
        <v>1</v>
      </c>
      <c r="BC7" s="328">
        <f t="shared" si="23"/>
        <v>1</v>
      </c>
      <c r="BD7" s="488">
        <f t="shared" si="49"/>
        <v>16</v>
      </c>
      <c r="BE7" s="486">
        <f t="shared" si="50"/>
        <v>8</v>
      </c>
      <c r="BF7" s="489">
        <f t="shared" si="51"/>
        <v>24</v>
      </c>
      <c r="BG7" s="562">
        <f t="shared" si="52"/>
        <v>0.99999375641345978</v>
      </c>
      <c r="BH7" s="562">
        <f t="shared" si="53"/>
        <v>0.99999988824129105</v>
      </c>
      <c r="BJ7" s="323">
        <v>3</v>
      </c>
      <c r="BK7" s="326">
        <f t="shared" si="24"/>
        <v>1</v>
      </c>
      <c r="BL7" s="327">
        <f t="shared" si="25"/>
        <v>1</v>
      </c>
      <c r="BM7" s="327">
        <f t="shared" si="26"/>
        <v>1</v>
      </c>
      <c r="BN7" s="327">
        <f t="shared" si="27"/>
        <v>1</v>
      </c>
      <c r="BO7" s="327">
        <f t="shared" si="28"/>
        <v>1</v>
      </c>
      <c r="BP7" s="327">
        <f t="shared" si="29"/>
        <v>1</v>
      </c>
      <c r="BQ7" s="327">
        <f t="shared" si="30"/>
        <v>1</v>
      </c>
      <c r="BR7" s="327">
        <f t="shared" si="31"/>
        <v>1</v>
      </c>
      <c r="BS7" s="327">
        <f t="shared" si="32"/>
        <v>1</v>
      </c>
      <c r="BT7" s="327">
        <f t="shared" si="33"/>
        <v>1</v>
      </c>
      <c r="BU7" s="327">
        <f t="shared" si="34"/>
        <v>1</v>
      </c>
      <c r="BV7" s="327">
        <f t="shared" si="35"/>
        <v>1</v>
      </c>
      <c r="BW7" s="327">
        <f t="shared" si="36"/>
        <v>1</v>
      </c>
      <c r="BX7" s="327">
        <f t="shared" si="37"/>
        <v>1</v>
      </c>
      <c r="BY7" s="327">
        <f t="shared" si="38"/>
        <v>1</v>
      </c>
      <c r="BZ7" s="328">
        <f t="shared" si="39"/>
        <v>1</v>
      </c>
      <c r="CA7" s="327">
        <f t="shared" si="40"/>
        <v>1</v>
      </c>
      <c r="CB7" s="327">
        <f t="shared" si="41"/>
        <v>1</v>
      </c>
      <c r="CC7" s="327">
        <f t="shared" si="42"/>
        <v>1</v>
      </c>
      <c r="CD7" s="327">
        <f t="shared" si="43"/>
        <v>1</v>
      </c>
      <c r="CE7" s="327">
        <f t="shared" si="44"/>
        <v>1</v>
      </c>
      <c r="CF7" s="327">
        <f t="shared" si="45"/>
        <v>1</v>
      </c>
      <c r="CG7" s="327">
        <f t="shared" si="46"/>
        <v>1</v>
      </c>
      <c r="CH7" s="328">
        <f t="shared" si="47"/>
        <v>1</v>
      </c>
      <c r="CI7" s="488">
        <f t="shared" si="54"/>
        <v>16</v>
      </c>
      <c r="CJ7" s="486">
        <f t="shared" si="55"/>
        <v>8</v>
      </c>
      <c r="CK7" s="489">
        <f t="shared" si="56"/>
        <v>24</v>
      </c>
      <c r="CL7" s="562">
        <f t="shared" si="57"/>
        <v>0.99999375641345978</v>
      </c>
      <c r="CM7" s="562">
        <f t="shared" si="58"/>
        <v>0.99999988824129105</v>
      </c>
      <c r="CO7" s="326">
        <v>3</v>
      </c>
      <c r="CP7" s="815">
        <f t="shared" si="59"/>
        <v>1</v>
      </c>
      <c r="CQ7" s="513">
        <f t="shared" si="48"/>
        <v>1</v>
      </c>
      <c r="DE7" s="143"/>
    </row>
    <row r="8" spans="3:109" x14ac:dyDescent="0.25">
      <c r="E8" s="323">
        <v>4</v>
      </c>
      <c r="F8" s="326">
        <v>21</v>
      </c>
      <c r="G8" s="327">
        <v>9</v>
      </c>
      <c r="H8" s="327">
        <v>8</v>
      </c>
      <c r="I8" s="327">
        <v>12</v>
      </c>
      <c r="J8" s="327">
        <v>11</v>
      </c>
      <c r="K8" s="327">
        <v>10</v>
      </c>
      <c r="L8" s="327">
        <v>14</v>
      </c>
      <c r="M8" s="327">
        <v>13</v>
      </c>
      <c r="N8" s="327">
        <v>22</v>
      </c>
      <c r="O8" s="327">
        <v>15</v>
      </c>
      <c r="P8" s="327">
        <v>20</v>
      </c>
      <c r="Q8" s="327">
        <v>16</v>
      </c>
      <c r="R8" s="327">
        <v>17</v>
      </c>
      <c r="S8" s="327">
        <v>23</v>
      </c>
      <c r="T8" s="327">
        <v>18</v>
      </c>
      <c r="U8" s="328">
        <v>19</v>
      </c>
      <c r="V8" s="327">
        <v>7</v>
      </c>
      <c r="W8" s="327">
        <v>24</v>
      </c>
      <c r="X8" s="327">
        <v>6</v>
      </c>
      <c r="Y8" s="327">
        <v>1</v>
      </c>
      <c r="Z8" s="327">
        <v>5</v>
      </c>
      <c r="AA8" s="327">
        <v>2</v>
      </c>
      <c r="AB8" s="327">
        <v>4</v>
      </c>
      <c r="AC8" s="328">
        <v>3</v>
      </c>
      <c r="AD8" s="217"/>
      <c r="AE8" s="323">
        <v>4</v>
      </c>
      <c r="AF8" s="326">
        <f t="shared" si="0"/>
        <v>1</v>
      </c>
      <c r="AG8" s="327">
        <f t="shared" si="1"/>
        <v>1</v>
      </c>
      <c r="AH8" s="327">
        <f t="shared" si="2"/>
        <v>1</v>
      </c>
      <c r="AI8" s="327">
        <f t="shared" si="3"/>
        <v>1</v>
      </c>
      <c r="AJ8" s="327">
        <f t="shared" si="4"/>
        <v>1</v>
      </c>
      <c r="AK8" s="327">
        <f t="shared" si="5"/>
        <v>1</v>
      </c>
      <c r="AL8" s="327">
        <f t="shared" si="6"/>
        <v>1</v>
      </c>
      <c r="AM8" s="327">
        <f t="shared" si="7"/>
        <v>1</v>
      </c>
      <c r="AN8" s="327">
        <f t="shared" si="8"/>
        <v>1</v>
      </c>
      <c r="AO8" s="327">
        <f t="shared" si="9"/>
        <v>1</v>
      </c>
      <c r="AP8" s="327">
        <f t="shared" si="10"/>
        <v>1</v>
      </c>
      <c r="AQ8" s="327">
        <f t="shared" si="11"/>
        <v>1</v>
      </c>
      <c r="AR8" s="327">
        <f t="shared" si="12"/>
        <v>1</v>
      </c>
      <c r="AS8" s="327">
        <f t="shared" si="13"/>
        <v>1</v>
      </c>
      <c r="AT8" s="327">
        <f t="shared" si="14"/>
        <v>1</v>
      </c>
      <c r="AU8" s="328">
        <f t="shared" si="15"/>
        <v>1</v>
      </c>
      <c r="AV8" s="327">
        <f t="shared" si="16"/>
        <v>1</v>
      </c>
      <c r="AW8" s="327">
        <f t="shared" si="17"/>
        <v>1</v>
      </c>
      <c r="AX8" s="327">
        <f t="shared" si="18"/>
        <v>1</v>
      </c>
      <c r="AY8" s="327">
        <f t="shared" si="19"/>
        <v>1</v>
      </c>
      <c r="AZ8" s="327">
        <f t="shared" si="20"/>
        <v>1</v>
      </c>
      <c r="BA8" s="327">
        <f t="shared" si="21"/>
        <v>1</v>
      </c>
      <c r="BB8" s="327">
        <f t="shared" si="22"/>
        <v>1</v>
      </c>
      <c r="BC8" s="328">
        <f t="shared" si="23"/>
        <v>1</v>
      </c>
      <c r="BD8" s="488">
        <f t="shared" si="49"/>
        <v>16</v>
      </c>
      <c r="BE8" s="486">
        <f t="shared" si="50"/>
        <v>8</v>
      </c>
      <c r="BF8" s="489">
        <f t="shared" si="51"/>
        <v>24</v>
      </c>
      <c r="BG8" s="562">
        <f t="shared" si="52"/>
        <v>1.0000000074505806</v>
      </c>
      <c r="BH8" s="562">
        <f t="shared" si="53"/>
        <v>0.99995028972625732</v>
      </c>
      <c r="BJ8" s="323">
        <v>4</v>
      </c>
      <c r="BK8" s="326">
        <f t="shared" si="24"/>
        <v>1</v>
      </c>
      <c r="BL8" s="327">
        <f t="shared" si="25"/>
        <v>1</v>
      </c>
      <c r="BM8" s="327">
        <f t="shared" si="26"/>
        <v>1</v>
      </c>
      <c r="BN8" s="327">
        <f t="shared" si="27"/>
        <v>1</v>
      </c>
      <c r="BO8" s="327">
        <f t="shared" si="28"/>
        <v>1</v>
      </c>
      <c r="BP8" s="327">
        <f t="shared" si="29"/>
        <v>1</v>
      </c>
      <c r="BQ8" s="327">
        <f t="shared" si="30"/>
        <v>1</v>
      </c>
      <c r="BR8" s="327">
        <f t="shared" si="31"/>
        <v>1</v>
      </c>
      <c r="BS8" s="327">
        <f t="shared" si="32"/>
        <v>1</v>
      </c>
      <c r="BT8" s="327">
        <f t="shared" si="33"/>
        <v>1</v>
      </c>
      <c r="BU8" s="327">
        <f t="shared" si="34"/>
        <v>1</v>
      </c>
      <c r="BV8" s="327">
        <f t="shared" si="35"/>
        <v>1</v>
      </c>
      <c r="BW8" s="327">
        <f t="shared" si="36"/>
        <v>1</v>
      </c>
      <c r="BX8" s="327">
        <f t="shared" si="37"/>
        <v>1</v>
      </c>
      <c r="BY8" s="327">
        <f t="shared" si="38"/>
        <v>1</v>
      </c>
      <c r="BZ8" s="328">
        <f t="shared" si="39"/>
        <v>1</v>
      </c>
      <c r="CA8" s="327">
        <f t="shared" si="40"/>
        <v>1</v>
      </c>
      <c r="CB8" s="327">
        <f t="shared" si="41"/>
        <v>1</v>
      </c>
      <c r="CC8" s="327">
        <f t="shared" si="42"/>
        <v>1</v>
      </c>
      <c r="CD8" s="327">
        <f t="shared" si="43"/>
        <v>1</v>
      </c>
      <c r="CE8" s="327">
        <f t="shared" si="44"/>
        <v>1</v>
      </c>
      <c r="CF8" s="327">
        <f t="shared" si="45"/>
        <v>1</v>
      </c>
      <c r="CG8" s="327">
        <f t="shared" si="46"/>
        <v>1</v>
      </c>
      <c r="CH8" s="328">
        <f t="shared" si="47"/>
        <v>1</v>
      </c>
      <c r="CI8" s="488">
        <f t="shared" si="54"/>
        <v>16</v>
      </c>
      <c r="CJ8" s="486">
        <f t="shared" si="55"/>
        <v>8</v>
      </c>
      <c r="CK8" s="489">
        <f t="shared" si="56"/>
        <v>24</v>
      </c>
      <c r="CL8" s="562">
        <f t="shared" si="57"/>
        <v>1.0000000074505806</v>
      </c>
      <c r="CM8" s="562">
        <f t="shared" si="58"/>
        <v>0.99995028972625732</v>
      </c>
      <c r="CO8" s="326">
        <v>4</v>
      </c>
      <c r="CP8" s="815">
        <f t="shared" si="59"/>
        <v>1</v>
      </c>
      <c r="CQ8" s="513">
        <f t="shared" si="48"/>
        <v>1</v>
      </c>
      <c r="DE8" s="143"/>
    </row>
    <row r="9" spans="3:109" x14ac:dyDescent="0.25">
      <c r="E9" s="323">
        <v>5</v>
      </c>
      <c r="F9" s="326">
        <v>11</v>
      </c>
      <c r="G9" s="327">
        <v>12</v>
      </c>
      <c r="H9" s="327">
        <v>21</v>
      </c>
      <c r="I9" s="327">
        <v>10</v>
      </c>
      <c r="J9" s="327">
        <v>14</v>
      </c>
      <c r="K9" s="327">
        <v>13</v>
      </c>
      <c r="L9" s="327">
        <v>9</v>
      </c>
      <c r="M9" s="327">
        <v>22</v>
      </c>
      <c r="N9" s="327">
        <v>15</v>
      </c>
      <c r="O9" s="327">
        <v>17</v>
      </c>
      <c r="P9" s="327">
        <v>16</v>
      </c>
      <c r="Q9" s="327">
        <v>18</v>
      </c>
      <c r="R9" s="327">
        <v>8</v>
      </c>
      <c r="S9" s="327">
        <v>23</v>
      </c>
      <c r="T9" s="327">
        <v>19</v>
      </c>
      <c r="U9" s="328">
        <v>20</v>
      </c>
      <c r="V9" s="327">
        <v>7</v>
      </c>
      <c r="W9" s="327">
        <v>24</v>
      </c>
      <c r="X9" s="327">
        <v>6</v>
      </c>
      <c r="Y9" s="327">
        <v>1</v>
      </c>
      <c r="Z9" s="327">
        <v>2</v>
      </c>
      <c r="AA9" s="327">
        <v>5</v>
      </c>
      <c r="AB9" s="327">
        <v>3</v>
      </c>
      <c r="AC9" s="328">
        <v>4</v>
      </c>
      <c r="AD9" s="217"/>
      <c r="AE9" s="323">
        <v>5</v>
      </c>
      <c r="AF9" s="326">
        <f t="shared" si="0"/>
        <v>1</v>
      </c>
      <c r="AG9" s="327">
        <f t="shared" si="1"/>
        <v>1</v>
      </c>
      <c r="AH9" s="327">
        <f t="shared" si="2"/>
        <v>1</v>
      </c>
      <c r="AI9" s="327">
        <f t="shared" si="3"/>
        <v>1</v>
      </c>
      <c r="AJ9" s="327">
        <f t="shared" si="4"/>
        <v>1</v>
      </c>
      <c r="AK9" s="327">
        <f t="shared" si="5"/>
        <v>1</v>
      </c>
      <c r="AL9" s="327">
        <f t="shared" si="6"/>
        <v>1</v>
      </c>
      <c r="AM9" s="327">
        <f t="shared" si="7"/>
        <v>1</v>
      </c>
      <c r="AN9" s="327">
        <f t="shared" si="8"/>
        <v>1</v>
      </c>
      <c r="AO9" s="327">
        <f t="shared" si="9"/>
        <v>1</v>
      </c>
      <c r="AP9" s="327">
        <f t="shared" si="10"/>
        <v>1</v>
      </c>
      <c r="AQ9" s="327">
        <f t="shared" si="11"/>
        <v>1</v>
      </c>
      <c r="AR9" s="327">
        <f t="shared" si="12"/>
        <v>1</v>
      </c>
      <c r="AS9" s="327">
        <f t="shared" si="13"/>
        <v>1</v>
      </c>
      <c r="AT9" s="327">
        <f t="shared" si="14"/>
        <v>1</v>
      </c>
      <c r="AU9" s="328">
        <f t="shared" si="15"/>
        <v>1</v>
      </c>
      <c r="AV9" s="327">
        <f t="shared" si="16"/>
        <v>1</v>
      </c>
      <c r="AW9" s="327">
        <f t="shared" si="17"/>
        <v>1</v>
      </c>
      <c r="AX9" s="327">
        <f t="shared" si="18"/>
        <v>1</v>
      </c>
      <c r="AY9" s="327">
        <f t="shared" si="19"/>
        <v>1</v>
      </c>
      <c r="AZ9" s="327">
        <f t="shared" si="20"/>
        <v>1</v>
      </c>
      <c r="BA9" s="327">
        <f t="shared" si="21"/>
        <v>1</v>
      </c>
      <c r="BB9" s="327">
        <f t="shared" si="22"/>
        <v>1</v>
      </c>
      <c r="BC9" s="328">
        <f t="shared" si="23"/>
        <v>1</v>
      </c>
      <c r="BD9" s="488">
        <f t="shared" si="49"/>
        <v>16</v>
      </c>
      <c r="BE9" s="486">
        <f t="shared" si="50"/>
        <v>8</v>
      </c>
      <c r="BF9" s="489">
        <f t="shared" si="51"/>
        <v>24</v>
      </c>
      <c r="BG9" s="562">
        <f t="shared" si="52"/>
        <v>0.9999999925494194</v>
      </c>
      <c r="BH9" s="562">
        <f t="shared" si="53"/>
        <v>1</v>
      </c>
      <c r="BJ9" s="323">
        <v>5</v>
      </c>
      <c r="BK9" s="326">
        <f t="shared" si="24"/>
        <v>1</v>
      </c>
      <c r="BL9" s="327">
        <f t="shared" si="25"/>
        <v>1</v>
      </c>
      <c r="BM9" s="327">
        <f t="shared" si="26"/>
        <v>1</v>
      </c>
      <c r="BN9" s="327">
        <f t="shared" si="27"/>
        <v>1</v>
      </c>
      <c r="BO9" s="327">
        <f t="shared" si="28"/>
        <v>1</v>
      </c>
      <c r="BP9" s="327">
        <f t="shared" si="29"/>
        <v>1</v>
      </c>
      <c r="BQ9" s="327">
        <f t="shared" si="30"/>
        <v>1</v>
      </c>
      <c r="BR9" s="327">
        <f t="shared" si="31"/>
        <v>1</v>
      </c>
      <c r="BS9" s="327">
        <f t="shared" si="32"/>
        <v>1</v>
      </c>
      <c r="BT9" s="327">
        <f t="shared" si="33"/>
        <v>1</v>
      </c>
      <c r="BU9" s="327">
        <f t="shared" si="34"/>
        <v>1</v>
      </c>
      <c r="BV9" s="327">
        <f t="shared" si="35"/>
        <v>1</v>
      </c>
      <c r="BW9" s="327">
        <f t="shared" si="36"/>
        <v>1</v>
      </c>
      <c r="BX9" s="327">
        <f t="shared" si="37"/>
        <v>1</v>
      </c>
      <c r="BY9" s="327">
        <f t="shared" si="38"/>
        <v>1</v>
      </c>
      <c r="BZ9" s="328">
        <f t="shared" si="39"/>
        <v>1</v>
      </c>
      <c r="CA9" s="327">
        <f t="shared" si="40"/>
        <v>1</v>
      </c>
      <c r="CB9" s="327">
        <f t="shared" si="41"/>
        <v>1</v>
      </c>
      <c r="CC9" s="327">
        <f t="shared" si="42"/>
        <v>1</v>
      </c>
      <c r="CD9" s="327">
        <f t="shared" si="43"/>
        <v>1</v>
      </c>
      <c r="CE9" s="327">
        <f t="shared" si="44"/>
        <v>1</v>
      </c>
      <c r="CF9" s="327">
        <f t="shared" si="45"/>
        <v>1</v>
      </c>
      <c r="CG9" s="327">
        <f t="shared" si="46"/>
        <v>1</v>
      </c>
      <c r="CH9" s="328">
        <f t="shared" si="47"/>
        <v>1</v>
      </c>
      <c r="CI9" s="488">
        <f t="shared" si="54"/>
        <v>16</v>
      </c>
      <c r="CJ9" s="486">
        <f t="shared" si="55"/>
        <v>8</v>
      </c>
      <c r="CK9" s="489">
        <f t="shared" si="56"/>
        <v>24</v>
      </c>
      <c r="CL9" s="562">
        <f t="shared" si="57"/>
        <v>0.9999999925494194</v>
      </c>
      <c r="CM9" s="562">
        <f t="shared" si="58"/>
        <v>1</v>
      </c>
      <c r="CO9" s="326">
        <v>5</v>
      </c>
      <c r="CP9" s="815">
        <f t="shared" si="59"/>
        <v>1</v>
      </c>
      <c r="CQ9" s="513">
        <f t="shared" si="48"/>
        <v>1</v>
      </c>
      <c r="DE9" s="143"/>
    </row>
    <row r="10" spans="3:109" x14ac:dyDescent="0.25">
      <c r="E10" s="323">
        <v>6</v>
      </c>
      <c r="F10" s="326">
        <v>17</v>
      </c>
      <c r="G10" s="327">
        <v>16</v>
      </c>
      <c r="H10" s="327">
        <v>15</v>
      </c>
      <c r="I10" s="327">
        <v>14</v>
      </c>
      <c r="J10" s="327">
        <v>18</v>
      </c>
      <c r="K10" s="327">
        <v>13</v>
      </c>
      <c r="L10" s="327">
        <v>12</v>
      </c>
      <c r="M10" s="327">
        <v>19</v>
      </c>
      <c r="N10" s="327">
        <v>11</v>
      </c>
      <c r="O10" s="327">
        <v>22</v>
      </c>
      <c r="P10" s="327">
        <v>21</v>
      </c>
      <c r="Q10" s="327">
        <v>10</v>
      </c>
      <c r="R10" s="327">
        <v>20</v>
      </c>
      <c r="S10" s="327">
        <v>9</v>
      </c>
      <c r="T10" s="327">
        <v>23</v>
      </c>
      <c r="U10" s="328">
        <v>8</v>
      </c>
      <c r="V10" s="327">
        <v>24</v>
      </c>
      <c r="W10" s="327">
        <v>1</v>
      </c>
      <c r="X10" s="327">
        <v>7</v>
      </c>
      <c r="Y10" s="327">
        <v>6</v>
      </c>
      <c r="Z10" s="327">
        <v>2</v>
      </c>
      <c r="AA10" s="327">
        <v>5</v>
      </c>
      <c r="AB10" s="327">
        <v>3</v>
      </c>
      <c r="AC10" s="328">
        <v>4</v>
      </c>
      <c r="AD10" s="217"/>
      <c r="AE10" s="323">
        <v>6</v>
      </c>
      <c r="AF10" s="326">
        <f t="shared" si="0"/>
        <v>1</v>
      </c>
      <c r="AG10" s="327">
        <f t="shared" si="1"/>
        <v>1</v>
      </c>
      <c r="AH10" s="327">
        <f t="shared" si="2"/>
        <v>1</v>
      </c>
      <c r="AI10" s="327">
        <f t="shared" si="3"/>
        <v>1</v>
      </c>
      <c r="AJ10" s="327">
        <f t="shared" si="4"/>
        <v>1</v>
      </c>
      <c r="AK10" s="327">
        <f t="shared" si="5"/>
        <v>1</v>
      </c>
      <c r="AL10" s="327">
        <f t="shared" si="6"/>
        <v>1</v>
      </c>
      <c r="AM10" s="327">
        <f t="shared" si="7"/>
        <v>1</v>
      </c>
      <c r="AN10" s="327">
        <f t="shared" si="8"/>
        <v>1</v>
      </c>
      <c r="AO10" s="327">
        <f t="shared" si="9"/>
        <v>1</v>
      </c>
      <c r="AP10" s="327">
        <f t="shared" si="10"/>
        <v>1</v>
      </c>
      <c r="AQ10" s="327">
        <f t="shared" si="11"/>
        <v>1</v>
      </c>
      <c r="AR10" s="327">
        <f t="shared" si="12"/>
        <v>1</v>
      </c>
      <c r="AS10" s="327">
        <f t="shared" si="13"/>
        <v>1</v>
      </c>
      <c r="AT10" s="327">
        <f t="shared" si="14"/>
        <v>1</v>
      </c>
      <c r="AU10" s="328">
        <f t="shared" si="15"/>
        <v>1</v>
      </c>
      <c r="AV10" s="327">
        <f t="shared" si="16"/>
        <v>1</v>
      </c>
      <c r="AW10" s="327">
        <f t="shared" si="17"/>
        <v>1</v>
      </c>
      <c r="AX10" s="327">
        <f t="shared" si="18"/>
        <v>1</v>
      </c>
      <c r="AY10" s="327">
        <f t="shared" si="19"/>
        <v>1</v>
      </c>
      <c r="AZ10" s="327">
        <f t="shared" si="20"/>
        <v>1</v>
      </c>
      <c r="BA10" s="327">
        <f t="shared" si="21"/>
        <v>1</v>
      </c>
      <c r="BB10" s="327">
        <f t="shared" si="22"/>
        <v>1</v>
      </c>
      <c r="BC10" s="328">
        <f t="shared" si="23"/>
        <v>1</v>
      </c>
      <c r="BD10" s="488">
        <f t="shared" si="49"/>
        <v>16</v>
      </c>
      <c r="BE10" s="486">
        <f t="shared" si="50"/>
        <v>8</v>
      </c>
      <c r="BF10" s="489">
        <f t="shared" si="51"/>
        <v>24</v>
      </c>
      <c r="BG10" s="562">
        <f t="shared" si="52"/>
        <v>1.0000000037252903</v>
      </c>
      <c r="BH10" s="562">
        <f t="shared" si="53"/>
        <v>1</v>
      </c>
      <c r="BJ10" s="323">
        <v>6</v>
      </c>
      <c r="BK10" s="326">
        <f t="shared" si="24"/>
        <v>1</v>
      </c>
      <c r="BL10" s="327">
        <f t="shared" si="25"/>
        <v>1</v>
      </c>
      <c r="BM10" s="327">
        <f t="shared" si="26"/>
        <v>1</v>
      </c>
      <c r="BN10" s="327">
        <f t="shared" si="27"/>
        <v>1</v>
      </c>
      <c r="BO10" s="327">
        <f t="shared" si="28"/>
        <v>1</v>
      </c>
      <c r="BP10" s="327">
        <f t="shared" si="29"/>
        <v>1</v>
      </c>
      <c r="BQ10" s="327">
        <f t="shared" si="30"/>
        <v>1</v>
      </c>
      <c r="BR10" s="327">
        <f t="shared" si="31"/>
        <v>1</v>
      </c>
      <c r="BS10" s="327">
        <f t="shared" si="32"/>
        <v>1</v>
      </c>
      <c r="BT10" s="327">
        <f t="shared" si="33"/>
        <v>1</v>
      </c>
      <c r="BU10" s="327">
        <f t="shared" si="34"/>
        <v>1</v>
      </c>
      <c r="BV10" s="327">
        <f t="shared" si="35"/>
        <v>1</v>
      </c>
      <c r="BW10" s="327">
        <f t="shared" si="36"/>
        <v>1</v>
      </c>
      <c r="BX10" s="327">
        <f t="shared" si="37"/>
        <v>1</v>
      </c>
      <c r="BY10" s="327">
        <f t="shared" si="38"/>
        <v>1</v>
      </c>
      <c r="BZ10" s="328">
        <f t="shared" si="39"/>
        <v>1</v>
      </c>
      <c r="CA10" s="327">
        <f t="shared" si="40"/>
        <v>1</v>
      </c>
      <c r="CB10" s="327">
        <f t="shared" si="41"/>
        <v>1</v>
      </c>
      <c r="CC10" s="327">
        <f t="shared" si="42"/>
        <v>1</v>
      </c>
      <c r="CD10" s="327">
        <f t="shared" si="43"/>
        <v>1</v>
      </c>
      <c r="CE10" s="327">
        <f t="shared" si="44"/>
        <v>1</v>
      </c>
      <c r="CF10" s="327">
        <f t="shared" si="45"/>
        <v>1</v>
      </c>
      <c r="CG10" s="327">
        <f t="shared" si="46"/>
        <v>1</v>
      </c>
      <c r="CH10" s="328">
        <f t="shared" si="47"/>
        <v>1</v>
      </c>
      <c r="CI10" s="488">
        <f t="shared" si="54"/>
        <v>16</v>
      </c>
      <c r="CJ10" s="486">
        <f t="shared" si="55"/>
        <v>8</v>
      </c>
      <c r="CK10" s="489">
        <f t="shared" si="56"/>
        <v>24</v>
      </c>
      <c r="CL10" s="562">
        <f t="shared" si="57"/>
        <v>1.0000000037252903</v>
      </c>
      <c r="CM10" s="562">
        <f t="shared" si="58"/>
        <v>1</v>
      </c>
      <c r="CO10" s="326">
        <v>6</v>
      </c>
      <c r="CP10" s="815">
        <f t="shared" si="59"/>
        <v>1</v>
      </c>
      <c r="CQ10" s="513">
        <f t="shared" si="48"/>
        <v>1</v>
      </c>
      <c r="DE10" s="143"/>
    </row>
    <row r="11" spans="3:109" x14ac:dyDescent="0.25">
      <c r="E11" s="323">
        <v>7</v>
      </c>
      <c r="F11" s="326">
        <v>17</v>
      </c>
      <c r="G11" s="327">
        <v>16</v>
      </c>
      <c r="H11" s="327">
        <v>18</v>
      </c>
      <c r="I11" s="327">
        <v>15</v>
      </c>
      <c r="J11" s="327">
        <v>14</v>
      </c>
      <c r="K11" s="327">
        <v>13</v>
      </c>
      <c r="L11" s="327">
        <v>19</v>
      </c>
      <c r="M11" s="327">
        <v>12</v>
      </c>
      <c r="N11" s="327">
        <v>22</v>
      </c>
      <c r="O11" s="327">
        <v>21</v>
      </c>
      <c r="P11" s="327">
        <v>11</v>
      </c>
      <c r="Q11" s="327">
        <v>20</v>
      </c>
      <c r="R11" s="327">
        <v>10</v>
      </c>
      <c r="S11" s="327">
        <v>23</v>
      </c>
      <c r="T11" s="327">
        <v>9</v>
      </c>
      <c r="U11" s="328">
        <v>8</v>
      </c>
      <c r="V11" s="327">
        <v>24</v>
      </c>
      <c r="W11" s="327">
        <v>1</v>
      </c>
      <c r="X11" s="327">
        <v>2</v>
      </c>
      <c r="Y11" s="327">
        <v>7</v>
      </c>
      <c r="Z11" s="327">
        <v>3</v>
      </c>
      <c r="AA11" s="327">
        <v>6</v>
      </c>
      <c r="AB11" s="327">
        <v>4</v>
      </c>
      <c r="AC11" s="328">
        <v>5</v>
      </c>
      <c r="AD11" s="217"/>
      <c r="AE11" s="323">
        <v>7</v>
      </c>
      <c r="AF11" s="326">
        <f t="shared" si="0"/>
        <v>1</v>
      </c>
      <c r="AG11" s="327">
        <f t="shared" si="1"/>
        <v>1</v>
      </c>
      <c r="AH11" s="327">
        <f t="shared" si="2"/>
        <v>1</v>
      </c>
      <c r="AI11" s="327">
        <f t="shared" si="3"/>
        <v>1</v>
      </c>
      <c r="AJ11" s="327">
        <f t="shared" si="4"/>
        <v>1</v>
      </c>
      <c r="AK11" s="327">
        <f t="shared" si="5"/>
        <v>1</v>
      </c>
      <c r="AL11" s="327">
        <f t="shared" si="6"/>
        <v>1</v>
      </c>
      <c r="AM11" s="327">
        <f t="shared" si="7"/>
        <v>1</v>
      </c>
      <c r="AN11" s="327">
        <f t="shared" si="8"/>
        <v>1</v>
      </c>
      <c r="AO11" s="327">
        <f t="shared" si="9"/>
        <v>1</v>
      </c>
      <c r="AP11" s="327">
        <f t="shared" si="10"/>
        <v>1</v>
      </c>
      <c r="AQ11" s="327">
        <f t="shared" si="11"/>
        <v>1</v>
      </c>
      <c r="AR11" s="327">
        <f t="shared" si="12"/>
        <v>1</v>
      </c>
      <c r="AS11" s="327">
        <f t="shared" si="13"/>
        <v>1</v>
      </c>
      <c r="AT11" s="327">
        <f t="shared" si="14"/>
        <v>1</v>
      </c>
      <c r="AU11" s="328">
        <f t="shared" si="15"/>
        <v>1</v>
      </c>
      <c r="AV11" s="327">
        <f t="shared" si="16"/>
        <v>1</v>
      </c>
      <c r="AW11" s="327">
        <f t="shared" si="17"/>
        <v>1</v>
      </c>
      <c r="AX11" s="327">
        <f t="shared" si="18"/>
        <v>1</v>
      </c>
      <c r="AY11" s="327">
        <f t="shared" si="19"/>
        <v>1</v>
      </c>
      <c r="AZ11" s="327">
        <f t="shared" si="20"/>
        <v>1</v>
      </c>
      <c r="BA11" s="327">
        <f t="shared" si="21"/>
        <v>1</v>
      </c>
      <c r="BB11" s="327">
        <f t="shared" si="22"/>
        <v>1</v>
      </c>
      <c r="BC11" s="328">
        <f t="shared" si="23"/>
        <v>1</v>
      </c>
      <c r="BD11" s="488">
        <f t="shared" si="49"/>
        <v>16</v>
      </c>
      <c r="BE11" s="486">
        <f t="shared" si="50"/>
        <v>8</v>
      </c>
      <c r="BF11" s="489">
        <f t="shared" si="51"/>
        <v>24</v>
      </c>
      <c r="BG11" s="562">
        <f t="shared" si="52"/>
        <v>1.0000000111758709</v>
      </c>
      <c r="BH11" s="562">
        <f t="shared" si="53"/>
        <v>1.0000000149011612</v>
      </c>
      <c r="BJ11" s="323">
        <v>7</v>
      </c>
      <c r="BK11" s="326">
        <f t="shared" si="24"/>
        <v>1</v>
      </c>
      <c r="BL11" s="327">
        <f t="shared" si="25"/>
        <v>1</v>
      </c>
      <c r="BM11" s="327">
        <f t="shared" si="26"/>
        <v>1</v>
      </c>
      <c r="BN11" s="327">
        <f t="shared" si="27"/>
        <v>1</v>
      </c>
      <c r="BO11" s="327">
        <f t="shared" si="28"/>
        <v>1</v>
      </c>
      <c r="BP11" s="327">
        <f t="shared" si="29"/>
        <v>1</v>
      </c>
      <c r="BQ11" s="327">
        <f t="shared" si="30"/>
        <v>1</v>
      </c>
      <c r="BR11" s="327">
        <f t="shared" si="31"/>
        <v>1</v>
      </c>
      <c r="BS11" s="327">
        <f t="shared" si="32"/>
        <v>1</v>
      </c>
      <c r="BT11" s="327">
        <f t="shared" si="33"/>
        <v>1</v>
      </c>
      <c r="BU11" s="327">
        <f t="shared" si="34"/>
        <v>1</v>
      </c>
      <c r="BV11" s="327">
        <f t="shared" si="35"/>
        <v>1</v>
      </c>
      <c r="BW11" s="327">
        <f t="shared" si="36"/>
        <v>1</v>
      </c>
      <c r="BX11" s="327">
        <f t="shared" si="37"/>
        <v>1</v>
      </c>
      <c r="BY11" s="327">
        <f t="shared" si="38"/>
        <v>1</v>
      </c>
      <c r="BZ11" s="328">
        <f t="shared" si="39"/>
        <v>1</v>
      </c>
      <c r="CA11" s="327">
        <f t="shared" si="40"/>
        <v>1</v>
      </c>
      <c r="CB11" s="327">
        <f t="shared" si="41"/>
        <v>1</v>
      </c>
      <c r="CC11" s="327">
        <f t="shared" si="42"/>
        <v>1</v>
      </c>
      <c r="CD11" s="327">
        <f t="shared" si="43"/>
        <v>1</v>
      </c>
      <c r="CE11" s="327">
        <f t="shared" si="44"/>
        <v>1</v>
      </c>
      <c r="CF11" s="327">
        <f t="shared" si="45"/>
        <v>1</v>
      </c>
      <c r="CG11" s="327">
        <f t="shared" si="46"/>
        <v>1</v>
      </c>
      <c r="CH11" s="328">
        <f t="shared" si="47"/>
        <v>1</v>
      </c>
      <c r="CI11" s="488">
        <f t="shared" si="54"/>
        <v>16</v>
      </c>
      <c r="CJ11" s="486">
        <f t="shared" si="55"/>
        <v>8</v>
      </c>
      <c r="CK11" s="489">
        <f t="shared" si="56"/>
        <v>24</v>
      </c>
      <c r="CL11" s="562">
        <f t="shared" si="57"/>
        <v>1.0000000111758709</v>
      </c>
      <c r="CM11" s="562">
        <f t="shared" si="58"/>
        <v>1.0000000149011612</v>
      </c>
      <c r="CO11" s="326">
        <v>7</v>
      </c>
      <c r="CP11" s="815">
        <f t="shared" si="59"/>
        <v>1</v>
      </c>
      <c r="CQ11" s="513">
        <f t="shared" si="48"/>
        <v>1</v>
      </c>
      <c r="DE11" s="143"/>
    </row>
    <row r="12" spans="3:109" x14ac:dyDescent="0.25">
      <c r="E12" s="323">
        <v>8</v>
      </c>
      <c r="F12" s="326">
        <v>15</v>
      </c>
      <c r="G12" s="327">
        <v>16</v>
      </c>
      <c r="H12" s="327">
        <v>17</v>
      </c>
      <c r="I12" s="327">
        <v>14</v>
      </c>
      <c r="J12" s="327">
        <v>18</v>
      </c>
      <c r="K12" s="327">
        <v>12</v>
      </c>
      <c r="L12" s="327">
        <v>13</v>
      </c>
      <c r="M12" s="327">
        <v>21</v>
      </c>
      <c r="N12" s="327">
        <v>11</v>
      </c>
      <c r="O12" s="327">
        <v>10</v>
      </c>
      <c r="P12" s="327">
        <v>19</v>
      </c>
      <c r="Q12" s="327">
        <v>22</v>
      </c>
      <c r="R12" s="327">
        <v>20</v>
      </c>
      <c r="S12" s="327">
        <v>9</v>
      </c>
      <c r="T12" s="327">
        <v>23</v>
      </c>
      <c r="U12" s="328">
        <v>8</v>
      </c>
      <c r="V12" s="327">
        <v>24</v>
      </c>
      <c r="W12" s="327">
        <v>7</v>
      </c>
      <c r="X12" s="327">
        <v>1</v>
      </c>
      <c r="Y12" s="327">
        <v>2</v>
      </c>
      <c r="Z12" s="327">
        <v>6</v>
      </c>
      <c r="AA12" s="327">
        <v>3</v>
      </c>
      <c r="AB12" s="327">
        <v>5</v>
      </c>
      <c r="AC12" s="328">
        <v>4</v>
      </c>
      <c r="AD12" s="217"/>
      <c r="AE12" s="323">
        <v>8</v>
      </c>
      <c r="AF12" s="326">
        <f t="shared" si="0"/>
        <v>1</v>
      </c>
      <c r="AG12" s="327">
        <f t="shared" si="1"/>
        <v>1</v>
      </c>
      <c r="AH12" s="327">
        <f t="shared" si="2"/>
        <v>1</v>
      </c>
      <c r="AI12" s="327">
        <f t="shared" si="3"/>
        <v>1</v>
      </c>
      <c r="AJ12" s="327">
        <f t="shared" si="4"/>
        <v>1</v>
      </c>
      <c r="AK12" s="327">
        <f t="shared" si="5"/>
        <v>1</v>
      </c>
      <c r="AL12" s="327">
        <f t="shared" si="6"/>
        <v>1</v>
      </c>
      <c r="AM12" s="327">
        <f t="shared" si="7"/>
        <v>1</v>
      </c>
      <c r="AN12" s="327">
        <f t="shared" si="8"/>
        <v>1</v>
      </c>
      <c r="AO12" s="327">
        <f t="shared" si="9"/>
        <v>1</v>
      </c>
      <c r="AP12" s="327">
        <f t="shared" si="10"/>
        <v>1</v>
      </c>
      <c r="AQ12" s="327">
        <f t="shared" si="11"/>
        <v>1</v>
      </c>
      <c r="AR12" s="327">
        <f t="shared" si="12"/>
        <v>1</v>
      </c>
      <c r="AS12" s="327">
        <f t="shared" si="13"/>
        <v>1</v>
      </c>
      <c r="AT12" s="327">
        <f t="shared" si="14"/>
        <v>1</v>
      </c>
      <c r="AU12" s="328">
        <f t="shared" si="15"/>
        <v>1</v>
      </c>
      <c r="AV12" s="327">
        <f t="shared" si="16"/>
        <v>1</v>
      </c>
      <c r="AW12" s="327">
        <f t="shared" si="17"/>
        <v>1</v>
      </c>
      <c r="AX12" s="327">
        <f t="shared" si="18"/>
        <v>1</v>
      </c>
      <c r="AY12" s="327">
        <f t="shared" si="19"/>
        <v>1</v>
      </c>
      <c r="AZ12" s="327">
        <f t="shared" si="20"/>
        <v>1</v>
      </c>
      <c r="BA12" s="327">
        <f t="shared" si="21"/>
        <v>1</v>
      </c>
      <c r="BB12" s="327">
        <f t="shared" si="22"/>
        <v>1</v>
      </c>
      <c r="BC12" s="328">
        <f t="shared" si="23"/>
        <v>1</v>
      </c>
      <c r="BD12" s="488">
        <f t="shared" si="49"/>
        <v>16</v>
      </c>
      <c r="BE12" s="486">
        <f t="shared" si="50"/>
        <v>8</v>
      </c>
      <c r="BF12" s="489">
        <f t="shared" si="51"/>
        <v>24</v>
      </c>
      <c r="BG12" s="562">
        <f t="shared" si="52"/>
        <v>1</v>
      </c>
      <c r="BH12" s="562">
        <f t="shared" si="53"/>
        <v>1.0000000074505806</v>
      </c>
      <c r="BJ12" s="323">
        <v>8</v>
      </c>
      <c r="BK12" s="326">
        <f t="shared" si="24"/>
        <v>1</v>
      </c>
      <c r="BL12" s="327">
        <f t="shared" si="25"/>
        <v>1</v>
      </c>
      <c r="BM12" s="327">
        <f t="shared" si="26"/>
        <v>1</v>
      </c>
      <c r="BN12" s="327">
        <f t="shared" si="27"/>
        <v>1</v>
      </c>
      <c r="BO12" s="327">
        <f t="shared" si="28"/>
        <v>1</v>
      </c>
      <c r="BP12" s="327">
        <f t="shared" si="29"/>
        <v>1</v>
      </c>
      <c r="BQ12" s="327">
        <f t="shared" si="30"/>
        <v>1</v>
      </c>
      <c r="BR12" s="327">
        <f t="shared" si="31"/>
        <v>1</v>
      </c>
      <c r="BS12" s="327">
        <f t="shared" si="32"/>
        <v>1</v>
      </c>
      <c r="BT12" s="327">
        <f t="shared" si="33"/>
        <v>1</v>
      </c>
      <c r="BU12" s="327">
        <f t="shared" si="34"/>
        <v>1</v>
      </c>
      <c r="BV12" s="327">
        <f t="shared" si="35"/>
        <v>1</v>
      </c>
      <c r="BW12" s="327">
        <f t="shared" si="36"/>
        <v>1</v>
      </c>
      <c r="BX12" s="327">
        <f t="shared" si="37"/>
        <v>1</v>
      </c>
      <c r="BY12" s="327">
        <f t="shared" si="38"/>
        <v>1</v>
      </c>
      <c r="BZ12" s="328">
        <f t="shared" si="39"/>
        <v>1</v>
      </c>
      <c r="CA12" s="327">
        <f t="shared" si="40"/>
        <v>1</v>
      </c>
      <c r="CB12" s="327">
        <f t="shared" si="41"/>
        <v>1</v>
      </c>
      <c r="CC12" s="327">
        <f t="shared" si="42"/>
        <v>1</v>
      </c>
      <c r="CD12" s="327">
        <f t="shared" si="43"/>
        <v>1</v>
      </c>
      <c r="CE12" s="327">
        <f t="shared" si="44"/>
        <v>1</v>
      </c>
      <c r="CF12" s="327">
        <f t="shared" si="45"/>
        <v>1</v>
      </c>
      <c r="CG12" s="327">
        <f t="shared" si="46"/>
        <v>1</v>
      </c>
      <c r="CH12" s="328">
        <f t="shared" si="47"/>
        <v>1</v>
      </c>
      <c r="CI12" s="488">
        <f t="shared" si="54"/>
        <v>16</v>
      </c>
      <c r="CJ12" s="486">
        <f t="shared" si="55"/>
        <v>8</v>
      </c>
      <c r="CK12" s="489">
        <f t="shared" si="56"/>
        <v>24</v>
      </c>
      <c r="CL12" s="562">
        <f t="shared" si="57"/>
        <v>1</v>
      </c>
      <c r="CM12" s="562">
        <f t="shared" si="58"/>
        <v>1.0000000074505806</v>
      </c>
      <c r="CO12" s="326">
        <v>8</v>
      </c>
      <c r="CP12" s="815">
        <f t="shared" si="59"/>
        <v>1</v>
      </c>
      <c r="CQ12" s="513">
        <f t="shared" si="48"/>
        <v>1</v>
      </c>
      <c r="DE12" s="143"/>
    </row>
    <row r="13" spans="3:109" x14ac:dyDescent="0.25">
      <c r="E13" s="323">
        <v>9</v>
      </c>
      <c r="F13" s="326">
        <v>21</v>
      </c>
      <c r="G13" s="327">
        <v>20</v>
      </c>
      <c r="H13" s="327">
        <v>17</v>
      </c>
      <c r="I13" s="327">
        <v>18</v>
      </c>
      <c r="J13" s="327">
        <v>14</v>
      </c>
      <c r="K13" s="327">
        <v>15</v>
      </c>
      <c r="L13" s="327">
        <v>12</v>
      </c>
      <c r="M13" s="327">
        <v>16</v>
      </c>
      <c r="N13" s="327">
        <v>13</v>
      </c>
      <c r="O13" s="327">
        <v>11</v>
      </c>
      <c r="P13" s="327">
        <v>10</v>
      </c>
      <c r="Q13" s="327">
        <v>22</v>
      </c>
      <c r="R13" s="327">
        <v>19</v>
      </c>
      <c r="S13" s="327">
        <v>8</v>
      </c>
      <c r="T13" s="327">
        <v>9</v>
      </c>
      <c r="U13" s="328">
        <v>23</v>
      </c>
      <c r="V13" s="327">
        <v>7</v>
      </c>
      <c r="W13" s="327">
        <v>24</v>
      </c>
      <c r="X13" s="327">
        <v>6</v>
      </c>
      <c r="Y13" s="327">
        <v>1</v>
      </c>
      <c r="Z13" s="327">
        <v>5</v>
      </c>
      <c r="AA13" s="327">
        <v>2</v>
      </c>
      <c r="AB13" s="327">
        <v>4</v>
      </c>
      <c r="AC13" s="328">
        <v>3</v>
      </c>
      <c r="AD13" s="217"/>
      <c r="AE13" s="323">
        <v>9</v>
      </c>
      <c r="AF13" s="326">
        <f t="shared" si="0"/>
        <v>1</v>
      </c>
      <c r="AG13" s="327">
        <f t="shared" si="1"/>
        <v>1</v>
      </c>
      <c r="AH13" s="327">
        <f t="shared" si="2"/>
        <v>1</v>
      </c>
      <c r="AI13" s="327">
        <f t="shared" si="3"/>
        <v>1</v>
      </c>
      <c r="AJ13" s="327">
        <f t="shared" si="4"/>
        <v>1</v>
      </c>
      <c r="AK13" s="327">
        <f t="shared" si="5"/>
        <v>1</v>
      </c>
      <c r="AL13" s="327">
        <f t="shared" si="6"/>
        <v>1</v>
      </c>
      <c r="AM13" s="327">
        <f t="shared" si="7"/>
        <v>1</v>
      </c>
      <c r="AN13" s="327">
        <f t="shared" si="8"/>
        <v>1</v>
      </c>
      <c r="AO13" s="327">
        <f t="shared" si="9"/>
        <v>1</v>
      </c>
      <c r="AP13" s="327">
        <f t="shared" si="10"/>
        <v>1</v>
      </c>
      <c r="AQ13" s="327">
        <f t="shared" si="11"/>
        <v>1</v>
      </c>
      <c r="AR13" s="327">
        <f t="shared" si="12"/>
        <v>1</v>
      </c>
      <c r="AS13" s="327">
        <f t="shared" si="13"/>
        <v>1</v>
      </c>
      <c r="AT13" s="327">
        <f t="shared" si="14"/>
        <v>1</v>
      </c>
      <c r="AU13" s="328">
        <f t="shared" si="15"/>
        <v>1</v>
      </c>
      <c r="AV13" s="327">
        <f t="shared" si="16"/>
        <v>1</v>
      </c>
      <c r="AW13" s="327">
        <f t="shared" si="17"/>
        <v>1</v>
      </c>
      <c r="AX13" s="327">
        <f t="shared" si="18"/>
        <v>1</v>
      </c>
      <c r="AY13" s="327">
        <f t="shared" si="19"/>
        <v>1</v>
      </c>
      <c r="AZ13" s="327">
        <f t="shared" si="20"/>
        <v>1</v>
      </c>
      <c r="BA13" s="327">
        <f t="shared" si="21"/>
        <v>1</v>
      </c>
      <c r="BB13" s="327">
        <f t="shared" si="22"/>
        <v>1</v>
      </c>
      <c r="BC13" s="328">
        <f t="shared" si="23"/>
        <v>1</v>
      </c>
      <c r="BD13" s="488">
        <f t="shared" si="49"/>
        <v>16</v>
      </c>
      <c r="BE13" s="486">
        <f t="shared" si="50"/>
        <v>8</v>
      </c>
      <c r="BF13" s="489">
        <f t="shared" si="51"/>
        <v>24</v>
      </c>
      <c r="BG13" s="562">
        <f t="shared" si="52"/>
        <v>1.0000000074505806</v>
      </c>
      <c r="BH13" s="562">
        <f t="shared" si="53"/>
        <v>1.0000000149011612</v>
      </c>
      <c r="BJ13" s="323">
        <v>9</v>
      </c>
      <c r="BK13" s="326">
        <f t="shared" si="24"/>
        <v>1</v>
      </c>
      <c r="BL13" s="327">
        <f t="shared" si="25"/>
        <v>1</v>
      </c>
      <c r="BM13" s="327">
        <f t="shared" si="26"/>
        <v>1</v>
      </c>
      <c r="BN13" s="327">
        <f t="shared" si="27"/>
        <v>1</v>
      </c>
      <c r="BO13" s="327">
        <f t="shared" si="28"/>
        <v>1</v>
      </c>
      <c r="BP13" s="327">
        <f t="shared" si="29"/>
        <v>1</v>
      </c>
      <c r="BQ13" s="327">
        <f t="shared" si="30"/>
        <v>1</v>
      </c>
      <c r="BR13" s="327">
        <f t="shared" si="31"/>
        <v>1</v>
      </c>
      <c r="BS13" s="327">
        <f t="shared" si="32"/>
        <v>1</v>
      </c>
      <c r="BT13" s="327">
        <f t="shared" si="33"/>
        <v>1</v>
      </c>
      <c r="BU13" s="327">
        <f t="shared" si="34"/>
        <v>1</v>
      </c>
      <c r="BV13" s="327">
        <f t="shared" si="35"/>
        <v>1</v>
      </c>
      <c r="BW13" s="327">
        <f t="shared" si="36"/>
        <v>1</v>
      </c>
      <c r="BX13" s="327">
        <f t="shared" si="37"/>
        <v>1</v>
      </c>
      <c r="BY13" s="327">
        <f t="shared" si="38"/>
        <v>1</v>
      </c>
      <c r="BZ13" s="328">
        <f t="shared" si="39"/>
        <v>1</v>
      </c>
      <c r="CA13" s="327">
        <f t="shared" si="40"/>
        <v>1</v>
      </c>
      <c r="CB13" s="327">
        <f t="shared" si="41"/>
        <v>1</v>
      </c>
      <c r="CC13" s="327">
        <f t="shared" si="42"/>
        <v>1</v>
      </c>
      <c r="CD13" s="327">
        <f t="shared" si="43"/>
        <v>1</v>
      </c>
      <c r="CE13" s="327">
        <f t="shared" si="44"/>
        <v>1</v>
      </c>
      <c r="CF13" s="327">
        <f t="shared" si="45"/>
        <v>1</v>
      </c>
      <c r="CG13" s="327">
        <f t="shared" si="46"/>
        <v>1</v>
      </c>
      <c r="CH13" s="328">
        <f t="shared" si="47"/>
        <v>1</v>
      </c>
      <c r="CI13" s="488">
        <f t="shared" si="54"/>
        <v>16</v>
      </c>
      <c r="CJ13" s="486">
        <f t="shared" si="55"/>
        <v>8</v>
      </c>
      <c r="CK13" s="489">
        <f t="shared" si="56"/>
        <v>24</v>
      </c>
      <c r="CL13" s="562">
        <f t="shared" si="57"/>
        <v>1.0000000074505806</v>
      </c>
      <c r="CM13" s="562">
        <f t="shared" si="58"/>
        <v>1.0000000149011612</v>
      </c>
      <c r="CO13" s="326">
        <v>9</v>
      </c>
      <c r="CP13" s="815">
        <f t="shared" si="59"/>
        <v>1</v>
      </c>
      <c r="CQ13" s="513">
        <f t="shared" si="48"/>
        <v>1</v>
      </c>
      <c r="DE13" s="143"/>
    </row>
    <row r="14" spans="3:109" x14ac:dyDescent="0.25">
      <c r="E14" s="323">
        <v>10</v>
      </c>
      <c r="F14" s="326">
        <v>19</v>
      </c>
      <c r="G14" s="327">
        <v>18</v>
      </c>
      <c r="H14" s="327">
        <v>20</v>
      </c>
      <c r="I14" s="327">
        <v>9</v>
      </c>
      <c r="J14" s="327">
        <v>10</v>
      </c>
      <c r="K14" s="327">
        <v>11</v>
      </c>
      <c r="L14" s="327">
        <v>21</v>
      </c>
      <c r="M14" s="327">
        <v>8</v>
      </c>
      <c r="N14" s="327">
        <v>12</v>
      </c>
      <c r="O14" s="327">
        <v>13</v>
      </c>
      <c r="P14" s="327">
        <v>17</v>
      </c>
      <c r="Q14" s="327">
        <v>22</v>
      </c>
      <c r="R14" s="327">
        <v>14</v>
      </c>
      <c r="S14" s="327">
        <v>15</v>
      </c>
      <c r="T14" s="327">
        <v>16</v>
      </c>
      <c r="U14" s="328">
        <v>23</v>
      </c>
      <c r="V14" s="327">
        <v>7</v>
      </c>
      <c r="W14" s="327">
        <v>6</v>
      </c>
      <c r="X14" s="327">
        <v>24</v>
      </c>
      <c r="Y14" s="327">
        <v>1</v>
      </c>
      <c r="Z14" s="327">
        <v>5</v>
      </c>
      <c r="AA14" s="327">
        <v>2</v>
      </c>
      <c r="AB14" s="327">
        <v>4</v>
      </c>
      <c r="AC14" s="328">
        <v>3</v>
      </c>
      <c r="AD14" s="217"/>
      <c r="AE14" s="323">
        <v>10</v>
      </c>
      <c r="AF14" s="326">
        <f t="shared" si="0"/>
        <v>1</v>
      </c>
      <c r="AG14" s="327">
        <f t="shared" si="1"/>
        <v>1</v>
      </c>
      <c r="AH14" s="327">
        <f t="shared" si="2"/>
        <v>1</v>
      </c>
      <c r="AI14" s="327">
        <f t="shared" si="3"/>
        <v>1</v>
      </c>
      <c r="AJ14" s="327">
        <f t="shared" si="4"/>
        <v>1</v>
      </c>
      <c r="AK14" s="327">
        <f t="shared" si="5"/>
        <v>1</v>
      </c>
      <c r="AL14" s="327">
        <f t="shared" si="6"/>
        <v>1</v>
      </c>
      <c r="AM14" s="327">
        <f t="shared" si="7"/>
        <v>1</v>
      </c>
      <c r="AN14" s="327">
        <f t="shared" si="8"/>
        <v>1</v>
      </c>
      <c r="AO14" s="327">
        <f t="shared" si="9"/>
        <v>1</v>
      </c>
      <c r="AP14" s="327">
        <f t="shared" si="10"/>
        <v>1</v>
      </c>
      <c r="AQ14" s="327">
        <f t="shared" si="11"/>
        <v>1</v>
      </c>
      <c r="AR14" s="327">
        <f t="shared" si="12"/>
        <v>1</v>
      </c>
      <c r="AS14" s="327">
        <f t="shared" si="13"/>
        <v>1</v>
      </c>
      <c r="AT14" s="327">
        <f t="shared" si="14"/>
        <v>1</v>
      </c>
      <c r="AU14" s="328">
        <f t="shared" si="15"/>
        <v>1</v>
      </c>
      <c r="AV14" s="327">
        <f t="shared" si="16"/>
        <v>1</v>
      </c>
      <c r="AW14" s="327">
        <f t="shared" si="17"/>
        <v>1</v>
      </c>
      <c r="AX14" s="327">
        <f t="shared" si="18"/>
        <v>1</v>
      </c>
      <c r="AY14" s="327">
        <f t="shared" si="19"/>
        <v>1</v>
      </c>
      <c r="AZ14" s="327">
        <f t="shared" si="20"/>
        <v>1</v>
      </c>
      <c r="BA14" s="327">
        <f t="shared" si="21"/>
        <v>1</v>
      </c>
      <c r="BB14" s="327">
        <f t="shared" si="22"/>
        <v>1</v>
      </c>
      <c r="BC14" s="328">
        <f t="shared" si="23"/>
        <v>1</v>
      </c>
      <c r="BD14" s="488">
        <f t="shared" si="49"/>
        <v>16</v>
      </c>
      <c r="BE14" s="486">
        <f t="shared" si="50"/>
        <v>8</v>
      </c>
      <c r="BF14" s="489">
        <f t="shared" si="51"/>
        <v>24</v>
      </c>
      <c r="BG14" s="562">
        <f t="shared" si="52"/>
        <v>1.0000187270343304</v>
      </c>
      <c r="BH14" s="562">
        <f t="shared" si="53"/>
        <v>1.0000000074505806</v>
      </c>
      <c r="BJ14" s="323">
        <v>10</v>
      </c>
      <c r="BK14" s="326">
        <f t="shared" si="24"/>
        <v>1</v>
      </c>
      <c r="BL14" s="327">
        <f t="shared" si="25"/>
        <v>1</v>
      </c>
      <c r="BM14" s="327">
        <f t="shared" si="26"/>
        <v>1</v>
      </c>
      <c r="BN14" s="327">
        <f t="shared" si="27"/>
        <v>1</v>
      </c>
      <c r="BO14" s="327">
        <f t="shared" si="28"/>
        <v>1</v>
      </c>
      <c r="BP14" s="327">
        <f t="shared" si="29"/>
        <v>1</v>
      </c>
      <c r="BQ14" s="327">
        <f t="shared" si="30"/>
        <v>1</v>
      </c>
      <c r="BR14" s="327">
        <f t="shared" si="31"/>
        <v>1</v>
      </c>
      <c r="BS14" s="327">
        <f t="shared" si="32"/>
        <v>1</v>
      </c>
      <c r="BT14" s="327">
        <f t="shared" si="33"/>
        <v>1</v>
      </c>
      <c r="BU14" s="327">
        <f t="shared" si="34"/>
        <v>1</v>
      </c>
      <c r="BV14" s="327">
        <f t="shared" si="35"/>
        <v>1</v>
      </c>
      <c r="BW14" s="327">
        <f t="shared" si="36"/>
        <v>1</v>
      </c>
      <c r="BX14" s="327">
        <f t="shared" si="37"/>
        <v>1</v>
      </c>
      <c r="BY14" s="327">
        <f t="shared" si="38"/>
        <v>1</v>
      </c>
      <c r="BZ14" s="328">
        <f t="shared" si="39"/>
        <v>1</v>
      </c>
      <c r="CA14" s="327">
        <f t="shared" si="40"/>
        <v>1</v>
      </c>
      <c r="CB14" s="327">
        <f t="shared" si="41"/>
        <v>1</v>
      </c>
      <c r="CC14" s="327">
        <f t="shared" si="42"/>
        <v>1</v>
      </c>
      <c r="CD14" s="327">
        <f t="shared" si="43"/>
        <v>1</v>
      </c>
      <c r="CE14" s="327">
        <f t="shared" si="44"/>
        <v>1</v>
      </c>
      <c r="CF14" s="327">
        <f t="shared" si="45"/>
        <v>1</v>
      </c>
      <c r="CG14" s="327">
        <f t="shared" si="46"/>
        <v>1</v>
      </c>
      <c r="CH14" s="328">
        <f t="shared" si="47"/>
        <v>1</v>
      </c>
      <c r="CI14" s="488">
        <f t="shared" si="54"/>
        <v>16</v>
      </c>
      <c r="CJ14" s="486">
        <f t="shared" si="55"/>
        <v>8</v>
      </c>
      <c r="CK14" s="489">
        <f t="shared" si="56"/>
        <v>24</v>
      </c>
      <c r="CL14" s="562">
        <f t="shared" si="57"/>
        <v>1.0000187270343304</v>
      </c>
      <c r="CM14" s="562">
        <f t="shared" si="58"/>
        <v>1.0000000074505806</v>
      </c>
      <c r="CO14" s="326">
        <v>10</v>
      </c>
      <c r="CP14" s="815">
        <f t="shared" si="59"/>
        <v>1</v>
      </c>
      <c r="CQ14" s="513">
        <f t="shared" si="48"/>
        <v>1</v>
      </c>
      <c r="DE14" s="143"/>
    </row>
    <row r="15" spans="3:109" x14ac:dyDescent="0.25">
      <c r="C15" s="315"/>
      <c r="D15" s="315"/>
      <c r="E15" s="323">
        <v>11</v>
      </c>
      <c r="F15" s="326">
        <v>19</v>
      </c>
      <c r="G15" s="327">
        <v>18</v>
      </c>
      <c r="H15" s="327">
        <v>20</v>
      </c>
      <c r="I15" s="327">
        <v>9</v>
      </c>
      <c r="J15" s="327">
        <v>10</v>
      </c>
      <c r="K15" s="327">
        <v>11</v>
      </c>
      <c r="L15" s="327">
        <v>21</v>
      </c>
      <c r="M15" s="327">
        <v>8</v>
      </c>
      <c r="N15" s="327">
        <v>12</v>
      </c>
      <c r="O15" s="327">
        <v>17</v>
      </c>
      <c r="P15" s="327">
        <v>13</v>
      </c>
      <c r="Q15" s="327">
        <v>22</v>
      </c>
      <c r="R15" s="327">
        <v>14</v>
      </c>
      <c r="S15" s="327">
        <v>15</v>
      </c>
      <c r="T15" s="327">
        <v>16</v>
      </c>
      <c r="U15" s="328">
        <v>23</v>
      </c>
      <c r="V15" s="327">
        <v>7</v>
      </c>
      <c r="W15" s="327">
        <v>24</v>
      </c>
      <c r="X15" s="327">
        <v>6</v>
      </c>
      <c r="Y15" s="327">
        <v>1</v>
      </c>
      <c r="Z15" s="327">
        <v>5</v>
      </c>
      <c r="AA15" s="327">
        <v>2</v>
      </c>
      <c r="AB15" s="327">
        <v>4</v>
      </c>
      <c r="AC15" s="328">
        <v>3</v>
      </c>
      <c r="AD15" s="217"/>
      <c r="AE15" s="323">
        <v>11</v>
      </c>
      <c r="AF15" s="326">
        <f t="shared" si="0"/>
        <v>1</v>
      </c>
      <c r="AG15" s="327">
        <f t="shared" si="1"/>
        <v>1</v>
      </c>
      <c r="AH15" s="327">
        <f t="shared" si="2"/>
        <v>1</v>
      </c>
      <c r="AI15" s="327">
        <f t="shared" si="3"/>
        <v>1</v>
      </c>
      <c r="AJ15" s="327">
        <f t="shared" si="4"/>
        <v>1</v>
      </c>
      <c r="AK15" s="327">
        <f t="shared" si="5"/>
        <v>1</v>
      </c>
      <c r="AL15" s="327">
        <f t="shared" si="6"/>
        <v>1</v>
      </c>
      <c r="AM15" s="327">
        <f t="shared" si="7"/>
        <v>1</v>
      </c>
      <c r="AN15" s="327">
        <f t="shared" si="8"/>
        <v>1</v>
      </c>
      <c r="AO15" s="327">
        <f t="shared" si="9"/>
        <v>1</v>
      </c>
      <c r="AP15" s="327">
        <f t="shared" si="10"/>
        <v>1</v>
      </c>
      <c r="AQ15" s="327">
        <f t="shared" si="11"/>
        <v>1</v>
      </c>
      <c r="AR15" s="327">
        <f t="shared" si="12"/>
        <v>1</v>
      </c>
      <c r="AS15" s="327">
        <f t="shared" si="13"/>
        <v>1</v>
      </c>
      <c r="AT15" s="327">
        <f t="shared" si="14"/>
        <v>1</v>
      </c>
      <c r="AU15" s="328">
        <f t="shared" si="15"/>
        <v>1</v>
      </c>
      <c r="AV15" s="327">
        <f t="shared" si="16"/>
        <v>1</v>
      </c>
      <c r="AW15" s="327">
        <f t="shared" si="17"/>
        <v>1</v>
      </c>
      <c r="AX15" s="327">
        <f t="shared" si="18"/>
        <v>1</v>
      </c>
      <c r="AY15" s="327">
        <f t="shared" si="19"/>
        <v>1</v>
      </c>
      <c r="AZ15" s="327">
        <f t="shared" si="20"/>
        <v>1</v>
      </c>
      <c r="BA15" s="327">
        <f t="shared" si="21"/>
        <v>1</v>
      </c>
      <c r="BB15" s="327">
        <f t="shared" si="22"/>
        <v>1</v>
      </c>
      <c r="BC15" s="328">
        <f t="shared" si="23"/>
        <v>1</v>
      </c>
      <c r="BD15" s="488">
        <f t="shared" si="49"/>
        <v>16</v>
      </c>
      <c r="BE15" s="486">
        <f t="shared" si="50"/>
        <v>8</v>
      </c>
      <c r="BF15" s="489">
        <f t="shared" si="51"/>
        <v>24</v>
      </c>
      <c r="BG15" s="562">
        <f t="shared" si="52"/>
        <v>0.99996249377727509</v>
      </c>
      <c r="BH15" s="562">
        <f t="shared" si="53"/>
        <v>1.0000000074505806</v>
      </c>
      <c r="BJ15" s="323">
        <v>11</v>
      </c>
      <c r="BK15" s="326">
        <f t="shared" si="24"/>
        <v>1</v>
      </c>
      <c r="BL15" s="327">
        <f t="shared" si="25"/>
        <v>1</v>
      </c>
      <c r="BM15" s="327">
        <f t="shared" si="26"/>
        <v>1</v>
      </c>
      <c r="BN15" s="327">
        <f t="shared" si="27"/>
        <v>1</v>
      </c>
      <c r="BO15" s="327">
        <f t="shared" si="28"/>
        <v>1</v>
      </c>
      <c r="BP15" s="327">
        <f t="shared" si="29"/>
        <v>1</v>
      </c>
      <c r="BQ15" s="327">
        <f t="shared" si="30"/>
        <v>1</v>
      </c>
      <c r="BR15" s="327">
        <f t="shared" si="31"/>
        <v>1</v>
      </c>
      <c r="BS15" s="327">
        <f t="shared" si="32"/>
        <v>1</v>
      </c>
      <c r="BT15" s="327">
        <f t="shared" si="33"/>
        <v>1</v>
      </c>
      <c r="BU15" s="327">
        <f t="shared" si="34"/>
        <v>1</v>
      </c>
      <c r="BV15" s="327">
        <f t="shared" si="35"/>
        <v>1</v>
      </c>
      <c r="BW15" s="327">
        <f t="shared" si="36"/>
        <v>1</v>
      </c>
      <c r="BX15" s="327">
        <f t="shared" si="37"/>
        <v>1</v>
      </c>
      <c r="BY15" s="327">
        <f t="shared" si="38"/>
        <v>1</v>
      </c>
      <c r="BZ15" s="328">
        <f t="shared" si="39"/>
        <v>1</v>
      </c>
      <c r="CA15" s="327">
        <f t="shared" si="40"/>
        <v>1</v>
      </c>
      <c r="CB15" s="327">
        <f t="shared" si="41"/>
        <v>1</v>
      </c>
      <c r="CC15" s="327">
        <f t="shared" si="42"/>
        <v>1</v>
      </c>
      <c r="CD15" s="327">
        <f t="shared" si="43"/>
        <v>1</v>
      </c>
      <c r="CE15" s="327">
        <f t="shared" si="44"/>
        <v>1</v>
      </c>
      <c r="CF15" s="327">
        <f t="shared" si="45"/>
        <v>1</v>
      </c>
      <c r="CG15" s="327">
        <f t="shared" si="46"/>
        <v>1</v>
      </c>
      <c r="CH15" s="328">
        <f t="shared" si="47"/>
        <v>1</v>
      </c>
      <c r="CI15" s="488">
        <f t="shared" si="54"/>
        <v>16</v>
      </c>
      <c r="CJ15" s="486">
        <f t="shared" si="55"/>
        <v>8</v>
      </c>
      <c r="CK15" s="489">
        <f t="shared" si="56"/>
        <v>24</v>
      </c>
      <c r="CL15" s="562">
        <f t="shared" si="57"/>
        <v>0.99996249377727509</v>
      </c>
      <c r="CM15" s="562">
        <f t="shared" si="58"/>
        <v>1.0000000074505806</v>
      </c>
      <c r="CO15" s="326">
        <v>11</v>
      </c>
      <c r="CP15" s="815">
        <f t="shared" si="59"/>
        <v>1</v>
      </c>
      <c r="CQ15" s="513">
        <f t="shared" si="48"/>
        <v>1</v>
      </c>
      <c r="DE15" s="143"/>
    </row>
    <row r="16" spans="3:109" ht="13.8" thickBot="1" x14ac:dyDescent="0.3">
      <c r="C16" s="143"/>
      <c r="D16" s="143"/>
      <c r="E16" s="334">
        <v>12</v>
      </c>
      <c r="F16" s="335">
        <v>18</v>
      </c>
      <c r="G16" s="336">
        <v>19</v>
      </c>
      <c r="H16" s="336">
        <v>20</v>
      </c>
      <c r="I16" s="336">
        <v>9</v>
      </c>
      <c r="J16" s="336">
        <v>10</v>
      </c>
      <c r="K16" s="336">
        <v>21</v>
      </c>
      <c r="L16" s="336">
        <v>11</v>
      </c>
      <c r="M16" s="336">
        <v>8</v>
      </c>
      <c r="N16" s="336">
        <v>12</v>
      </c>
      <c r="O16" s="336">
        <v>17</v>
      </c>
      <c r="P16" s="336">
        <v>13</v>
      </c>
      <c r="Q16" s="336">
        <v>22</v>
      </c>
      <c r="R16" s="336">
        <v>14</v>
      </c>
      <c r="S16" s="336">
        <v>15</v>
      </c>
      <c r="T16" s="336">
        <v>16</v>
      </c>
      <c r="U16" s="337">
        <v>23</v>
      </c>
      <c r="V16" s="336">
        <v>7</v>
      </c>
      <c r="W16" s="336">
        <v>24</v>
      </c>
      <c r="X16" s="336">
        <v>6</v>
      </c>
      <c r="Y16" s="336">
        <v>1</v>
      </c>
      <c r="Z16" s="336">
        <v>5</v>
      </c>
      <c r="AA16" s="336">
        <v>2</v>
      </c>
      <c r="AB16" s="336">
        <v>4</v>
      </c>
      <c r="AC16" s="337">
        <v>3</v>
      </c>
      <c r="AD16" s="143"/>
      <c r="AE16" s="334">
        <v>12</v>
      </c>
      <c r="AF16" s="335">
        <f t="shared" si="0"/>
        <v>1</v>
      </c>
      <c r="AG16" s="336">
        <f t="shared" si="1"/>
        <v>1</v>
      </c>
      <c r="AH16" s="336">
        <f t="shared" si="2"/>
        <v>1</v>
      </c>
      <c r="AI16" s="336">
        <f t="shared" si="3"/>
        <v>1</v>
      </c>
      <c r="AJ16" s="336">
        <f t="shared" si="4"/>
        <v>1</v>
      </c>
      <c r="AK16" s="336">
        <f t="shared" si="5"/>
        <v>1</v>
      </c>
      <c r="AL16" s="336">
        <f t="shared" si="6"/>
        <v>1</v>
      </c>
      <c r="AM16" s="336">
        <f t="shared" si="7"/>
        <v>1</v>
      </c>
      <c r="AN16" s="336">
        <f t="shared" si="8"/>
        <v>1</v>
      </c>
      <c r="AO16" s="336">
        <f t="shared" si="9"/>
        <v>1</v>
      </c>
      <c r="AP16" s="336">
        <f t="shared" si="10"/>
        <v>1</v>
      </c>
      <c r="AQ16" s="336">
        <f t="shared" si="11"/>
        <v>1</v>
      </c>
      <c r="AR16" s="336">
        <f t="shared" si="12"/>
        <v>1</v>
      </c>
      <c r="AS16" s="336">
        <f t="shared" si="13"/>
        <v>1</v>
      </c>
      <c r="AT16" s="336">
        <f t="shared" si="14"/>
        <v>1</v>
      </c>
      <c r="AU16" s="337">
        <f t="shared" si="15"/>
        <v>1</v>
      </c>
      <c r="AV16" s="336">
        <f t="shared" si="16"/>
        <v>1</v>
      </c>
      <c r="AW16" s="336">
        <f t="shared" si="17"/>
        <v>1</v>
      </c>
      <c r="AX16" s="336">
        <f t="shared" si="18"/>
        <v>1</v>
      </c>
      <c r="AY16" s="336">
        <f t="shared" si="19"/>
        <v>1</v>
      </c>
      <c r="AZ16" s="336">
        <f t="shared" si="20"/>
        <v>1</v>
      </c>
      <c r="BA16" s="336">
        <f t="shared" si="21"/>
        <v>1</v>
      </c>
      <c r="BB16" s="336">
        <f t="shared" si="22"/>
        <v>1</v>
      </c>
      <c r="BC16" s="337">
        <f t="shared" si="23"/>
        <v>1</v>
      </c>
      <c r="BD16" s="490">
        <f t="shared" si="49"/>
        <v>16</v>
      </c>
      <c r="BE16" s="487">
        <f t="shared" si="50"/>
        <v>8</v>
      </c>
      <c r="BF16" s="491">
        <f t="shared" si="51"/>
        <v>24</v>
      </c>
      <c r="BG16" s="563">
        <f t="shared" si="52"/>
        <v>0.9999692440032959</v>
      </c>
      <c r="BH16" s="563">
        <f t="shared" si="53"/>
        <v>1.0000000074505806</v>
      </c>
      <c r="BJ16" s="334">
        <v>12</v>
      </c>
      <c r="BK16" s="335">
        <f t="shared" si="24"/>
        <v>1</v>
      </c>
      <c r="BL16" s="336">
        <f t="shared" si="25"/>
        <v>1</v>
      </c>
      <c r="BM16" s="336">
        <f t="shared" si="26"/>
        <v>1</v>
      </c>
      <c r="BN16" s="336">
        <f t="shared" si="27"/>
        <v>1</v>
      </c>
      <c r="BO16" s="336">
        <f t="shared" si="28"/>
        <v>1</v>
      </c>
      <c r="BP16" s="336">
        <f t="shared" si="29"/>
        <v>1</v>
      </c>
      <c r="BQ16" s="336">
        <f t="shared" si="30"/>
        <v>1</v>
      </c>
      <c r="BR16" s="336">
        <f t="shared" si="31"/>
        <v>1</v>
      </c>
      <c r="BS16" s="336">
        <f t="shared" si="32"/>
        <v>1</v>
      </c>
      <c r="BT16" s="336">
        <f t="shared" si="33"/>
        <v>1</v>
      </c>
      <c r="BU16" s="336">
        <f t="shared" si="34"/>
        <v>1</v>
      </c>
      <c r="BV16" s="336">
        <f t="shared" si="35"/>
        <v>1</v>
      </c>
      <c r="BW16" s="336">
        <f t="shared" si="36"/>
        <v>1</v>
      </c>
      <c r="BX16" s="336">
        <f t="shared" si="37"/>
        <v>1</v>
      </c>
      <c r="BY16" s="336">
        <f t="shared" si="38"/>
        <v>1</v>
      </c>
      <c r="BZ16" s="337">
        <f t="shared" si="39"/>
        <v>1</v>
      </c>
      <c r="CA16" s="336">
        <f t="shared" si="40"/>
        <v>1</v>
      </c>
      <c r="CB16" s="336">
        <f t="shared" si="41"/>
        <v>1</v>
      </c>
      <c r="CC16" s="336">
        <f t="shared" si="42"/>
        <v>1</v>
      </c>
      <c r="CD16" s="336">
        <f t="shared" si="43"/>
        <v>1</v>
      </c>
      <c r="CE16" s="336">
        <f t="shared" si="44"/>
        <v>1</v>
      </c>
      <c r="CF16" s="336">
        <f t="shared" si="45"/>
        <v>1</v>
      </c>
      <c r="CG16" s="336">
        <f t="shared" si="46"/>
        <v>1</v>
      </c>
      <c r="CH16" s="337">
        <f t="shared" si="47"/>
        <v>1</v>
      </c>
      <c r="CI16" s="490">
        <f t="shared" si="54"/>
        <v>16</v>
      </c>
      <c r="CJ16" s="487">
        <f t="shared" si="55"/>
        <v>8</v>
      </c>
      <c r="CK16" s="491">
        <f t="shared" si="56"/>
        <v>24</v>
      </c>
      <c r="CL16" s="563">
        <f t="shared" si="57"/>
        <v>0.9999692440032959</v>
      </c>
      <c r="CM16" s="563">
        <f t="shared" si="58"/>
        <v>1.0000000074505806</v>
      </c>
      <c r="CO16" s="335">
        <v>12</v>
      </c>
      <c r="CP16" s="817">
        <f t="shared" si="59"/>
        <v>1</v>
      </c>
      <c r="CQ16" s="514">
        <f t="shared" si="48"/>
        <v>1</v>
      </c>
      <c r="DE16" s="143"/>
    </row>
    <row r="17" spans="3:91" ht="16.2" thickBot="1" x14ac:dyDescent="0.35">
      <c r="C17" s="143"/>
      <c r="D17" s="143"/>
      <c r="AD17" s="143"/>
      <c r="AE17" s="352" t="s">
        <v>310</v>
      </c>
      <c r="AF17" s="320" t="s">
        <v>153</v>
      </c>
      <c r="AG17" s="321"/>
      <c r="AH17" s="321"/>
      <c r="AI17" s="321"/>
      <c r="AJ17" s="321"/>
      <c r="AK17" s="321"/>
      <c r="AL17" s="321"/>
      <c r="AM17" s="321"/>
      <c r="AN17" s="321"/>
      <c r="AO17" s="321"/>
      <c r="AP17" s="321"/>
      <c r="AQ17" s="321"/>
      <c r="AR17" s="321"/>
      <c r="AS17" s="321"/>
      <c r="AT17" s="321"/>
      <c r="AU17" s="322"/>
      <c r="AV17" s="321" t="s">
        <v>138</v>
      </c>
      <c r="AW17" s="321"/>
      <c r="AX17" s="321"/>
      <c r="AY17" s="321"/>
      <c r="AZ17" s="321"/>
      <c r="BA17" s="321"/>
      <c r="BB17" s="321"/>
      <c r="BC17" s="322"/>
      <c r="BD17" s="481"/>
      <c r="BE17" s="484" t="s">
        <v>304</v>
      </c>
      <c r="BF17" s="314"/>
      <c r="BG17" s="564"/>
      <c r="BH17" s="564"/>
      <c r="BJ17" s="352" t="s">
        <v>310</v>
      </c>
      <c r="BK17" s="320" t="s">
        <v>153</v>
      </c>
      <c r="BL17" s="321"/>
      <c r="BM17" s="321"/>
      <c r="BN17" s="321"/>
      <c r="BO17" s="321"/>
      <c r="BP17" s="321"/>
      <c r="BQ17" s="321"/>
      <c r="BR17" s="321"/>
      <c r="BS17" s="321"/>
      <c r="BT17" s="321"/>
      <c r="BU17" s="321"/>
      <c r="BV17" s="321"/>
      <c r="BW17" s="321"/>
      <c r="BX17" s="321"/>
      <c r="BY17" s="321"/>
      <c r="BZ17" s="322"/>
      <c r="CA17" s="321" t="s">
        <v>138</v>
      </c>
      <c r="CB17" s="321"/>
      <c r="CC17" s="321"/>
      <c r="CD17" s="321"/>
      <c r="CE17" s="321"/>
      <c r="CF17" s="321"/>
      <c r="CG17" s="321"/>
      <c r="CH17" s="322"/>
      <c r="CI17" s="481"/>
      <c r="CJ17" s="484" t="s">
        <v>304</v>
      </c>
      <c r="CK17" s="314"/>
      <c r="CL17" s="564"/>
      <c r="CM17" s="564"/>
    </row>
    <row r="18" spans="3:91" ht="18" thickBot="1" x14ac:dyDescent="0.35">
      <c r="C18" s="143"/>
      <c r="D18" s="143"/>
      <c r="E18" s="345" t="s">
        <v>311</v>
      </c>
      <c r="F18" s="346"/>
      <c r="G18" s="346"/>
      <c r="H18" s="346"/>
      <c r="I18" s="346"/>
      <c r="J18" s="346"/>
      <c r="K18" s="346"/>
      <c r="L18" s="346"/>
      <c r="M18" s="346"/>
      <c r="N18" s="346"/>
      <c r="O18" s="346"/>
      <c r="P18" s="346"/>
      <c r="Q18" s="346"/>
      <c r="R18" s="346"/>
      <c r="S18" s="346"/>
      <c r="T18" s="346"/>
      <c r="U18" s="346"/>
      <c r="V18" s="346"/>
      <c r="W18" s="346"/>
      <c r="X18" s="346"/>
      <c r="Y18" s="346"/>
      <c r="Z18" s="346"/>
      <c r="AA18" s="346"/>
      <c r="AB18" s="346"/>
      <c r="AC18" s="347"/>
      <c r="AD18" s="143"/>
      <c r="AE18" s="323" t="s">
        <v>307</v>
      </c>
      <c r="AF18" s="323">
        <v>1</v>
      </c>
      <c r="AG18" s="217">
        <v>2</v>
      </c>
      <c r="AH18" s="217">
        <v>3</v>
      </c>
      <c r="AI18" s="217">
        <v>4</v>
      </c>
      <c r="AJ18" s="217">
        <v>5</v>
      </c>
      <c r="AK18" s="217">
        <v>6</v>
      </c>
      <c r="AL18" s="217">
        <v>7</v>
      </c>
      <c r="AM18" s="217">
        <v>8</v>
      </c>
      <c r="AN18" s="217">
        <v>9</v>
      </c>
      <c r="AO18" s="217">
        <v>10</v>
      </c>
      <c r="AP18" s="217">
        <v>11</v>
      </c>
      <c r="AQ18" s="217">
        <v>12</v>
      </c>
      <c r="AR18" s="217">
        <v>13</v>
      </c>
      <c r="AS18" s="217">
        <v>14</v>
      </c>
      <c r="AT18" s="217">
        <v>15</v>
      </c>
      <c r="AU18" s="324">
        <v>16</v>
      </c>
      <c r="AV18" s="217">
        <v>1</v>
      </c>
      <c r="AW18" s="217">
        <v>2</v>
      </c>
      <c r="AX18" s="217">
        <v>3</v>
      </c>
      <c r="AY18" s="217">
        <v>4</v>
      </c>
      <c r="AZ18" s="217">
        <v>5</v>
      </c>
      <c r="BA18" s="217">
        <v>6</v>
      </c>
      <c r="BB18" s="217">
        <v>7</v>
      </c>
      <c r="BC18" s="324">
        <v>8</v>
      </c>
      <c r="BD18" s="482" t="s">
        <v>153</v>
      </c>
      <c r="BE18" s="485" t="s">
        <v>153</v>
      </c>
      <c r="BF18" s="483" t="s">
        <v>257</v>
      </c>
      <c r="BG18" s="558" t="s">
        <v>153</v>
      </c>
      <c r="BH18" s="558" t="s">
        <v>138</v>
      </c>
      <c r="BJ18" s="323" t="s">
        <v>307</v>
      </c>
      <c r="BK18" s="323">
        <v>1</v>
      </c>
      <c r="BL18" s="217">
        <v>2</v>
      </c>
      <c r="BM18" s="217">
        <v>3</v>
      </c>
      <c r="BN18" s="217">
        <v>4</v>
      </c>
      <c r="BO18" s="217">
        <v>5</v>
      </c>
      <c r="BP18" s="217">
        <v>6</v>
      </c>
      <c r="BQ18" s="217">
        <v>7</v>
      </c>
      <c r="BR18" s="217">
        <v>8</v>
      </c>
      <c r="BS18" s="217">
        <v>9</v>
      </c>
      <c r="BT18" s="217">
        <v>10</v>
      </c>
      <c r="BU18" s="217">
        <v>11</v>
      </c>
      <c r="BV18" s="217">
        <v>12</v>
      </c>
      <c r="BW18" s="217">
        <v>13</v>
      </c>
      <c r="BX18" s="217">
        <v>14</v>
      </c>
      <c r="BY18" s="217">
        <v>15</v>
      </c>
      <c r="BZ18" s="324">
        <v>16</v>
      </c>
      <c r="CA18" s="217">
        <v>1</v>
      </c>
      <c r="CB18" s="217">
        <v>2</v>
      </c>
      <c r="CC18" s="217">
        <v>3</v>
      </c>
      <c r="CD18" s="217">
        <v>4</v>
      </c>
      <c r="CE18" s="217">
        <v>5</v>
      </c>
      <c r="CF18" s="217">
        <v>6</v>
      </c>
      <c r="CG18" s="217">
        <v>7</v>
      </c>
      <c r="CH18" s="324">
        <v>8</v>
      </c>
      <c r="CI18" s="482" t="s">
        <v>153</v>
      </c>
      <c r="CJ18" s="485" t="s">
        <v>153</v>
      </c>
      <c r="CK18" s="483" t="s">
        <v>257</v>
      </c>
      <c r="CL18" s="558" t="s">
        <v>153</v>
      </c>
      <c r="CM18" s="558" t="s">
        <v>138</v>
      </c>
    </row>
    <row r="19" spans="3:91" ht="13.8" thickBot="1" x14ac:dyDescent="0.3">
      <c r="C19" s="143"/>
      <c r="D19" s="143"/>
      <c r="E19" s="351"/>
      <c r="F19" s="317" t="s">
        <v>153</v>
      </c>
      <c r="G19" s="318"/>
      <c r="H19" s="318"/>
      <c r="I19" s="318"/>
      <c r="J19" s="318"/>
      <c r="K19" s="318"/>
      <c r="L19" s="318"/>
      <c r="M19" s="318"/>
      <c r="N19" s="318"/>
      <c r="O19" s="318"/>
      <c r="P19" s="318"/>
      <c r="Q19" s="318"/>
      <c r="R19" s="318"/>
      <c r="S19" s="318"/>
      <c r="T19" s="318"/>
      <c r="U19" s="319"/>
      <c r="V19" s="317" t="s">
        <v>138</v>
      </c>
      <c r="W19" s="318"/>
      <c r="X19" s="318"/>
      <c r="Y19" s="318"/>
      <c r="Z19" s="318"/>
      <c r="AA19" s="318"/>
      <c r="AB19" s="318"/>
      <c r="AC19" s="319"/>
      <c r="AD19" s="143"/>
      <c r="AE19" s="323">
        <v>1</v>
      </c>
      <c r="AF19" s="329">
        <f t="shared" ref="AF19:AF30" si="60">IF(AND(WeekDef=8,CustomSaFlag,CustomSaPeriod=4),INDEX(VolumeHourlyOver,F5,2),IF(OR(WeekDef=1,WeekDef=2,WeekDef=5,WeekDef=6,AND(WeekDef=8,CustomSaFlag,OR(CustomSaPeriod=1,CustomSaPeriod=2))),IF(VolumeMonthlyOverFlag,INDEX(VolumeMonthlyOver,AE19),Volume),0))</f>
        <v>1</v>
      </c>
      <c r="AG19" s="330">
        <f t="shared" ref="AG19:AG30" si="61">IF(AND(WeekDef=8,CustomSaFlag,CustomSaPeriod=4),INDEX(VolumeHourlyOver,G5,2),IF(OR(WeekDef=1,WeekDef=2,WeekDef=5,WeekDef=6,AND(WeekDef=8,CustomSaFlag,OR(CustomSaPeriod=1,CustomSaPeriod=2))),IF(VolumeMonthlyOverFlag,INDEX(VolumeMonthlyOver,AE19),Volume),0))</f>
        <v>1</v>
      </c>
      <c r="AH19" s="330">
        <f t="shared" ref="AH19:AH30" si="62">IF(AND(WeekDef=8,CustomSaFlag,CustomSaPeriod=4),INDEX(VolumeHourlyOver,H5,2),IF(OR(WeekDef=1,WeekDef=2,WeekDef=5,WeekDef=6,AND(WeekDef=8,CustomSaFlag,OR(CustomSaPeriod=1,CustomSaPeriod=2))),IF(VolumeMonthlyOverFlag,INDEX(VolumeMonthlyOver,AE19),Volume),0))</f>
        <v>1</v>
      </c>
      <c r="AI19" s="330">
        <f t="shared" ref="AI19:AI30" si="63">IF(AND(WeekDef=8,CustomSaFlag,CustomSaPeriod=4),INDEX(VolumeHourlyOver,I5,2),IF(OR(WeekDef=1,WeekDef=2,WeekDef=5,WeekDef=6,AND(WeekDef=8,CustomSaFlag,OR(CustomSaPeriod=1,CustomSaPeriod=2))),IF(VolumeMonthlyOverFlag,INDEX(VolumeMonthlyOver,AE19),Volume),0))</f>
        <v>1</v>
      </c>
      <c r="AJ19" s="330">
        <f t="shared" ref="AJ19:AJ30" si="64">IF(AND(WeekDef=8,CustomSaFlag,CustomSaPeriod=4),INDEX(VolumeHourlyOver,J5,2),IF(OR(WeekDef=1,WeekDef=2,WeekDef=5,WeekDef=6,AND(WeekDef=8,CustomSaFlag,OR(CustomSaPeriod=1,CustomSaPeriod=2))),IF(VolumeMonthlyOverFlag,INDEX(VolumeMonthlyOver,AE19),Volume),0))</f>
        <v>1</v>
      </c>
      <c r="AK19" s="330">
        <f t="shared" ref="AK19:AK30" si="65">IF(AND(WeekDef=8,CustomSaFlag,CustomSaPeriod=4),INDEX(VolumeHourlyOver,K5,2),IF(OR(WeekDef=1,WeekDef=2,WeekDef=5,WeekDef=6,AND(WeekDef=8,CustomSaFlag,OR(CustomSaPeriod=1,CustomSaPeriod=2))),IF(VolumeMonthlyOverFlag,INDEX(VolumeMonthlyOver,AE19),Volume),0))</f>
        <v>1</v>
      </c>
      <c r="AL19" s="330">
        <f t="shared" ref="AL19:AL30" si="66">IF(AND(WeekDef=8,CustomSaFlag,CustomSaPeriod=4),INDEX(VolumeHourlyOver,L5,2),IF(OR(WeekDef=1,WeekDef=2,WeekDef=5,WeekDef=6,AND(WeekDef=8,CustomSaFlag,OR(CustomSaPeriod=1,CustomSaPeriod=2))),IF(VolumeMonthlyOverFlag,INDEX(VolumeMonthlyOver,AE19),Volume),0))</f>
        <v>1</v>
      </c>
      <c r="AM19" s="330">
        <f t="shared" ref="AM19:AM30" si="67">IF(AND(WeekDef=8,CustomSaFlag,CustomSaPeriod=4),INDEX(VolumeHourlyOver,M5,2),IF(OR(WeekDef=1,WeekDef=2,WeekDef=5,WeekDef=6,AND(WeekDef=8,CustomSaFlag,OR(CustomSaPeriod=1,CustomSaPeriod=2))),IF(VolumeMonthlyOverFlag,INDEX(VolumeMonthlyOver,AE19),Volume),0))</f>
        <v>1</v>
      </c>
      <c r="AN19" s="330">
        <f t="shared" ref="AN19:AN30" si="68">IF(AND(WeekDef=8,CustomSaFlag,CustomSaPeriod=4),INDEX(VolumeHourlyOver,N5,2),IF(OR(WeekDef=1,WeekDef=2,WeekDef=5,WeekDef=6,AND(WeekDef=8,CustomSaFlag,OR(CustomSaPeriod=1,CustomSaPeriod=2))),IF(VolumeMonthlyOverFlag,INDEX(VolumeMonthlyOver,AE19),Volume),0))</f>
        <v>1</v>
      </c>
      <c r="AO19" s="330">
        <f t="shared" ref="AO19:AO30" si="69">IF(AND(WeekDef=8,CustomSaFlag,CustomSaPeriod=4),INDEX(VolumeHourlyOver,O5,2),IF(OR(WeekDef=1,WeekDef=2,WeekDef=5,WeekDef=6,AND(WeekDef=8,CustomSaFlag,OR(CustomSaPeriod=1,CustomSaPeriod=2))),IF(VolumeMonthlyOverFlag,INDEX(VolumeMonthlyOver,AE19),Volume),0))</f>
        <v>1</v>
      </c>
      <c r="AP19" s="330">
        <f t="shared" ref="AP19:AP30" si="70">IF(AND(WeekDef=8,CustomSaFlag,CustomSaPeriod=4),INDEX(VolumeHourlyOver,P5,2),IF(OR(WeekDef=1,WeekDef=2,WeekDef=5,WeekDef=6,AND(WeekDef=8,CustomSaFlag,OR(CustomSaPeriod=1,CustomSaPeriod=2))),IF(VolumeMonthlyOverFlag,INDEX(VolumeMonthlyOver,AE19),Volume),0))</f>
        <v>1</v>
      </c>
      <c r="AQ19" s="330">
        <f t="shared" ref="AQ19:AQ30" si="71">IF(AND(WeekDef=8,CustomSaFlag,CustomSaPeriod=4),INDEX(VolumeHourlyOver,Q5,2),IF(OR(WeekDef=1,WeekDef=2,WeekDef=5,WeekDef=6,AND(WeekDef=8,CustomSaFlag,OR(CustomSaPeriod=1,CustomSaPeriod=2))),IF(VolumeMonthlyOverFlag,INDEX(VolumeMonthlyOver,AE19),Volume),0))</f>
        <v>1</v>
      </c>
      <c r="AR19" s="330">
        <f t="shared" ref="AR19:AR30" si="72">IF(AND(WeekDef=8,CustomSaFlag,CustomSaPeriod=4),INDEX(VolumeHourlyOver,R5,2),IF(OR(WeekDef=1,WeekDef=2,WeekDef=5,WeekDef=6,AND(WeekDef=8,CustomSaFlag,OR(CustomSaPeriod=1,CustomSaPeriod=2))),IF(VolumeMonthlyOverFlag,INDEX(VolumeMonthlyOver,AE19),Volume),0))</f>
        <v>1</v>
      </c>
      <c r="AS19" s="330">
        <f t="shared" ref="AS19:AS30" si="73">IF(AND(WeekDef=8,CustomSaFlag,CustomSaPeriod=4),INDEX(VolumeHourlyOver,S5,2),IF(OR(WeekDef=1,WeekDef=2,WeekDef=5,WeekDef=6,AND(WeekDef=8,CustomSaFlag,OR(CustomSaPeriod=1,CustomSaPeriod=2))),IF(VolumeMonthlyOverFlag,INDEX(VolumeMonthlyOver,AE19),Volume),0))</f>
        <v>1</v>
      </c>
      <c r="AT19" s="330">
        <f t="shared" ref="AT19:AT30" si="74">IF(AND(WeekDef=8,CustomSaFlag,CustomSaPeriod=4),INDEX(VolumeHourlyOver,T5,2),IF(OR(WeekDef=1,WeekDef=2,WeekDef=5,WeekDef=6,AND(WeekDef=8,CustomSaFlag,OR(CustomSaPeriod=1,CustomSaPeriod=2))),IF(VolumeMonthlyOverFlag,INDEX(VolumeMonthlyOver,AE19),Volume),0))</f>
        <v>1</v>
      </c>
      <c r="AU19" s="331">
        <f t="shared" ref="AU19:AU30" si="75">IF(AND(WeekDef=8,CustomSaFlag,CustomSaPeriod=4),INDEX(VolumeHourlyOver,U5,2),IF(OR(WeekDef=1,WeekDef=2,WeekDef=5,WeekDef=6,AND(WeekDef=8,CustomSaFlag,OR(CustomSaPeriod=1,CustomSaPeriod=2))),IF(VolumeMonthlyOverFlag,INDEX(VolumeMonthlyOver,AE19),Volume),0))</f>
        <v>1</v>
      </c>
      <c r="AV19" s="330">
        <f t="shared" ref="AV19:AV30" si="76">IF(AND(WeekDef=8,CustomSaFlag,CustomSaPeriod=4),INDEX(VolumeHourlyOver,V5,2),IF(OR(WeekDef=1,WeekDef=3,WeekDef=5,WeekDef=7,AND(WeekDef=8,CustomSaFlag,OR(CustomSaPeriod=1,CustomSaPeriod=3))),IF(VolumeMonthlyOverFlag,INDEX(VolumeMonthlyOver,AE19),Volume),0))</f>
        <v>1</v>
      </c>
      <c r="AW19" s="330">
        <f t="shared" ref="AW19:AW30" si="77">IF(AND(WeekDef=8,CustomSaFlag,CustomSaPeriod=4),INDEX(VolumeHourlyOver,W5,2),IF(OR(WeekDef=1,WeekDef=3,WeekDef=5,WeekDef=7,AND(WeekDef=8,CustomSaFlag,OR(CustomSaPeriod=1,CustomSaPeriod=3))),IF(VolumeMonthlyOverFlag,INDEX(VolumeMonthlyOver,AE19),Volume),0))</f>
        <v>1</v>
      </c>
      <c r="AX19" s="330">
        <f t="shared" ref="AX19:AX30" si="78">IF(AND(WeekDef=8,CustomSaFlag,CustomSaPeriod=4),INDEX(VolumeHourlyOver,X5,2),IF(OR(WeekDef=1,WeekDef=3,WeekDef=5,WeekDef=7,AND(WeekDef=8,CustomSaFlag,OR(CustomSaPeriod=1,CustomSaPeriod=3))),IF(VolumeMonthlyOverFlag,INDEX(VolumeMonthlyOver,AE19),Volume),0))</f>
        <v>1</v>
      </c>
      <c r="AY19" s="330">
        <f t="shared" ref="AY19:AY30" si="79">IF(AND(WeekDef=8,CustomSaFlag,CustomSaPeriod=4),INDEX(VolumeHourlyOver,Y5,2),IF(OR(WeekDef=1,WeekDef=3,WeekDef=5,WeekDef=7,AND(WeekDef=8,CustomSaFlag,OR(CustomSaPeriod=1,CustomSaPeriod=3))),IF(VolumeMonthlyOverFlag,INDEX(VolumeMonthlyOver,AE19),Volume),0))</f>
        <v>1</v>
      </c>
      <c r="AZ19" s="330">
        <f t="shared" ref="AZ19:AZ30" si="80">IF(AND(WeekDef=8,CustomSaFlag,CustomSaPeriod=4),INDEX(VolumeHourlyOver,Z5,2),IF(OR(WeekDef=1,WeekDef=3,WeekDef=5,WeekDef=7,AND(WeekDef=8,CustomSaFlag,OR(CustomSaPeriod=1,CustomSaPeriod=3))),IF(VolumeMonthlyOverFlag,INDEX(VolumeMonthlyOver,AE19),Volume),0))</f>
        <v>1</v>
      </c>
      <c r="BA19" s="330">
        <f t="shared" ref="BA19:BA30" si="81">IF(AND(WeekDef=8,CustomSaFlag,CustomSaPeriod=4),INDEX(VolumeHourlyOver,AA5,2),IF(OR(WeekDef=1,WeekDef=3,WeekDef=5,WeekDef=7,AND(WeekDef=8,CustomSaFlag,OR(CustomSaPeriod=1,CustomSaPeriod=3))),IF(VolumeMonthlyOverFlag,INDEX(VolumeMonthlyOver,AE19),Volume),0))</f>
        <v>1</v>
      </c>
      <c r="BB19" s="330">
        <f t="shared" ref="BB19:BB30" si="82">IF(AND(WeekDef=8,CustomSaFlag,CustomSaPeriod=4),INDEX(VolumeHourlyOver,AB5,2),IF(OR(WeekDef=1,WeekDef=3,WeekDef=5,WeekDef=7,AND(WeekDef=8,CustomSaFlag,OR(CustomSaPeriod=1,CustomSaPeriod=3))),IF(VolumeMonthlyOverFlag,INDEX(VolumeMonthlyOver,AE19),Volume),0))</f>
        <v>1</v>
      </c>
      <c r="BC19" s="331">
        <f t="shared" ref="BC19:BC30" si="83">IF(AND(WeekDef=8,CustomSaFlag,CustomSaPeriod=4),INDEX(VolumeHourlyOver,AC5,2),IF(OR(WeekDef=1,WeekDef=3,WeekDef=5,WeekDef=7,AND(WeekDef=8,CustomSaFlag,OR(CustomSaPeriod=1,CustomSaPeriod=3))),IF(VolumeMonthlyOverFlag,INDEX(VolumeMonthlyOver,AE19),Volume),0))</f>
        <v>1</v>
      </c>
      <c r="BD19" s="488">
        <f t="shared" ref="BD19:BD34" si="84">SUM(AF19:AU19)</f>
        <v>16</v>
      </c>
      <c r="BE19" s="486">
        <f t="shared" ref="BE19:BE34" si="85">SUM(AV19:BC19)</f>
        <v>8</v>
      </c>
      <c r="BF19" s="489">
        <f t="shared" ref="BF19:BF34" si="86">BD19+BE19</f>
        <v>24</v>
      </c>
      <c r="BG19" s="565">
        <f>IF(BD19,SUMPRODUCT(AF19:AU19,F21:U21)/BD19,0)</f>
        <v>0.99998503923416138</v>
      </c>
      <c r="BH19" s="567">
        <f>IF(BE19,SUMPRODUCT(AV19:BC19,V21:AC21)/BE19,0)</f>
        <v>1.0000070855021477</v>
      </c>
      <c r="BJ19" s="323">
        <v>1</v>
      </c>
      <c r="BK19" s="329">
        <f t="shared" ref="BK19:BK30" si="87">IF(AND(WeekDef=8,CustomSaFlag,CustomSaPeriod=4),INDEX(IF(DiffOptVolumeFlag,DiffOptVolumeHourlyOver,VolumeHourlyOver),F5,2),IF(OR(WeekDef=1,WeekDef=2,WeekDef=5,WeekDef=6,AND(WeekDef=8,CustomSaFlag,OR(CustomSaPeriod=1,CustomSaPeriod=2))),IF(VolumeMonthlyOverFlag,INDEX(IF(DiffOptVolumeFlag,DiffOptVolumeMonthlyOver,VolumeMonthlyOver),BJ19),IF(DiffOptVolumeFlag,DiffOptVolume,Volume)),0))</f>
        <v>1</v>
      </c>
      <c r="BL19" s="330">
        <f t="shared" ref="BL19:BL30" si="88">IF(AND(WeekDef=8,CustomSaFlag,CustomSaPeriod=4),INDEX(IF(DiffOptVolumeFlag,DiffOptVolumeHourlyOver,VolumeHourlyOver),G5,2),IF(OR(WeekDef=1,WeekDef=2,WeekDef=5,WeekDef=6,AND(WeekDef=8,CustomSaFlag,OR(CustomSaPeriod=1,CustomSaPeriod=2))),IF(VolumeMonthlyOverFlag,INDEX(IF(DiffOptVolumeFlag,DiffOptVolumeMonthlyOver,VolumeMonthlyOver),BJ19),IF(DiffOptVolumeFlag,DiffOptVolume,Volume)),0))</f>
        <v>1</v>
      </c>
      <c r="BM19" s="330">
        <f t="shared" ref="BM19:BM30" si="89">IF(AND(WeekDef=8,CustomSaFlag,CustomSaPeriod=4),INDEX(IF(DiffOptVolumeFlag,DiffOptVolumeHourlyOver,VolumeHourlyOver),H5,2),IF(OR(WeekDef=1,WeekDef=2,WeekDef=5,WeekDef=6,AND(WeekDef=8,CustomSaFlag,OR(CustomSaPeriod=1,CustomSaPeriod=2))),IF(VolumeMonthlyOverFlag,INDEX(IF(DiffOptVolumeFlag,DiffOptVolumeMonthlyOver,VolumeMonthlyOver),BJ19),IF(DiffOptVolumeFlag,DiffOptVolume,Volume)),0))</f>
        <v>1</v>
      </c>
      <c r="BN19" s="330">
        <f t="shared" ref="BN19:BN30" si="90">IF(AND(WeekDef=8,CustomSaFlag,CustomSaPeriod=4),INDEX(IF(DiffOptVolumeFlag,DiffOptVolumeHourlyOver,VolumeHourlyOver),I5,2),IF(OR(WeekDef=1,WeekDef=2,WeekDef=5,WeekDef=6,AND(WeekDef=8,CustomSaFlag,OR(CustomSaPeriod=1,CustomSaPeriod=2))),IF(VolumeMonthlyOverFlag,INDEX(IF(DiffOptVolumeFlag,DiffOptVolumeMonthlyOver,VolumeMonthlyOver),BJ19),IF(DiffOptVolumeFlag,DiffOptVolume,Volume)),0))</f>
        <v>1</v>
      </c>
      <c r="BO19" s="330">
        <f t="shared" ref="BO19:BO30" si="91">IF(AND(WeekDef=8,CustomSaFlag,CustomSaPeriod=4),INDEX(IF(DiffOptVolumeFlag,DiffOptVolumeHourlyOver,VolumeHourlyOver),J5,2),IF(OR(WeekDef=1,WeekDef=2,WeekDef=5,WeekDef=6,AND(WeekDef=8,CustomSaFlag,OR(CustomSaPeriod=1,CustomSaPeriod=2))),IF(VolumeMonthlyOverFlag,INDEX(IF(DiffOptVolumeFlag,DiffOptVolumeMonthlyOver,VolumeMonthlyOver),BJ19),IF(DiffOptVolumeFlag,DiffOptVolume,Volume)),0))</f>
        <v>1</v>
      </c>
      <c r="BP19" s="330">
        <f t="shared" ref="BP19:BP30" si="92">IF(AND(WeekDef=8,CustomSaFlag,CustomSaPeriod=4),INDEX(IF(DiffOptVolumeFlag,DiffOptVolumeHourlyOver,VolumeHourlyOver),K5,2),IF(OR(WeekDef=1,WeekDef=2,WeekDef=5,WeekDef=6,AND(WeekDef=8,CustomSaFlag,OR(CustomSaPeriod=1,CustomSaPeriod=2))),IF(VolumeMonthlyOverFlag,INDEX(IF(DiffOptVolumeFlag,DiffOptVolumeMonthlyOver,VolumeMonthlyOver),BJ19),IF(DiffOptVolumeFlag,DiffOptVolume,Volume)),0))</f>
        <v>1</v>
      </c>
      <c r="BQ19" s="330">
        <f t="shared" ref="BQ19:BQ30" si="93">IF(AND(WeekDef=8,CustomSaFlag,CustomSaPeriod=4),INDEX(IF(DiffOptVolumeFlag,DiffOptVolumeHourlyOver,VolumeHourlyOver),L5,2),IF(OR(WeekDef=1,WeekDef=2,WeekDef=5,WeekDef=6,AND(WeekDef=8,CustomSaFlag,OR(CustomSaPeriod=1,CustomSaPeriod=2))),IF(VolumeMonthlyOverFlag,INDEX(IF(DiffOptVolumeFlag,DiffOptVolumeMonthlyOver,VolumeMonthlyOver),BJ19),IF(DiffOptVolumeFlag,DiffOptVolume,Volume)),0))</f>
        <v>1</v>
      </c>
      <c r="BR19" s="330">
        <f t="shared" ref="BR19:BR30" si="94">IF(AND(WeekDef=8,CustomSaFlag,CustomSaPeriod=4),INDEX(IF(DiffOptVolumeFlag,DiffOptVolumeHourlyOver,VolumeHourlyOver),M5,2),IF(OR(WeekDef=1,WeekDef=2,WeekDef=5,WeekDef=6,AND(WeekDef=8,CustomSaFlag,OR(CustomSaPeriod=1,CustomSaPeriod=2))),IF(VolumeMonthlyOverFlag,INDEX(IF(DiffOptVolumeFlag,DiffOptVolumeMonthlyOver,VolumeMonthlyOver),BJ19),IF(DiffOptVolumeFlag,DiffOptVolume,Volume)),0))</f>
        <v>1</v>
      </c>
      <c r="BS19" s="330">
        <f t="shared" ref="BS19:BS30" si="95">IF(AND(WeekDef=8,CustomSaFlag,CustomSaPeriod=4),INDEX(IF(DiffOptVolumeFlag,DiffOptVolumeHourlyOver,VolumeHourlyOver),N5,2),IF(OR(WeekDef=1,WeekDef=2,WeekDef=5,WeekDef=6,AND(WeekDef=8,CustomSaFlag,OR(CustomSaPeriod=1,CustomSaPeriod=2))),IF(VolumeMonthlyOverFlag,INDEX(IF(DiffOptVolumeFlag,DiffOptVolumeMonthlyOver,VolumeMonthlyOver),BJ19),IF(DiffOptVolumeFlag,DiffOptVolume,Volume)),0))</f>
        <v>1</v>
      </c>
      <c r="BT19" s="330">
        <f t="shared" ref="BT19:BT30" si="96">IF(AND(WeekDef=8,CustomSaFlag,CustomSaPeriod=4),INDEX(IF(DiffOptVolumeFlag,DiffOptVolumeHourlyOver,VolumeHourlyOver),O5,2),IF(OR(WeekDef=1,WeekDef=2,WeekDef=5,WeekDef=6,AND(WeekDef=8,CustomSaFlag,OR(CustomSaPeriod=1,CustomSaPeriod=2))),IF(VolumeMonthlyOverFlag,INDEX(IF(DiffOptVolumeFlag,DiffOptVolumeMonthlyOver,VolumeMonthlyOver),BJ19),IF(DiffOptVolumeFlag,DiffOptVolume,Volume)),0))</f>
        <v>1</v>
      </c>
      <c r="BU19" s="330">
        <f t="shared" ref="BU19:BU30" si="97">IF(AND(WeekDef=8,CustomSaFlag,CustomSaPeriod=4),INDEX(IF(DiffOptVolumeFlag,DiffOptVolumeHourlyOver,VolumeHourlyOver),P5,2),IF(OR(WeekDef=1,WeekDef=2,WeekDef=5,WeekDef=6,AND(WeekDef=8,CustomSaFlag,OR(CustomSaPeriod=1,CustomSaPeriod=2))),IF(VolumeMonthlyOverFlag,INDEX(IF(DiffOptVolumeFlag,DiffOptVolumeMonthlyOver,VolumeMonthlyOver),BJ19),IF(DiffOptVolumeFlag,DiffOptVolume,Volume)),0))</f>
        <v>1</v>
      </c>
      <c r="BV19" s="330">
        <f t="shared" ref="BV19:BV30" si="98">IF(AND(WeekDef=8,CustomSaFlag,CustomSaPeriod=4),INDEX(IF(DiffOptVolumeFlag,DiffOptVolumeHourlyOver,VolumeHourlyOver),Q5,2),IF(OR(WeekDef=1,WeekDef=2,WeekDef=5,WeekDef=6,AND(WeekDef=8,CustomSaFlag,OR(CustomSaPeriod=1,CustomSaPeriod=2))),IF(VolumeMonthlyOverFlag,INDEX(IF(DiffOptVolumeFlag,DiffOptVolumeMonthlyOver,VolumeMonthlyOver),BJ19),IF(DiffOptVolumeFlag,DiffOptVolume,Volume)),0))</f>
        <v>1</v>
      </c>
      <c r="BW19" s="330">
        <f t="shared" ref="BW19:BW30" si="99">IF(AND(WeekDef=8,CustomSaFlag,CustomSaPeriod=4),INDEX(IF(DiffOptVolumeFlag,DiffOptVolumeHourlyOver,VolumeHourlyOver),R5,2),IF(OR(WeekDef=1,WeekDef=2,WeekDef=5,WeekDef=6,AND(WeekDef=8,CustomSaFlag,OR(CustomSaPeriod=1,CustomSaPeriod=2))),IF(VolumeMonthlyOverFlag,INDEX(IF(DiffOptVolumeFlag,DiffOptVolumeMonthlyOver,VolumeMonthlyOver),BJ19),IF(DiffOptVolumeFlag,DiffOptVolume,Volume)),0))</f>
        <v>1</v>
      </c>
      <c r="BX19" s="330">
        <f t="shared" ref="BX19:BX30" si="100">IF(AND(WeekDef=8,CustomSaFlag,CustomSaPeriod=4),INDEX(IF(DiffOptVolumeFlag,DiffOptVolumeHourlyOver,VolumeHourlyOver),S5,2),IF(OR(WeekDef=1,WeekDef=2,WeekDef=5,WeekDef=6,AND(WeekDef=8,CustomSaFlag,OR(CustomSaPeriod=1,CustomSaPeriod=2))),IF(VolumeMonthlyOverFlag,INDEX(IF(DiffOptVolumeFlag,DiffOptVolumeMonthlyOver,VolumeMonthlyOver),BJ19),IF(DiffOptVolumeFlag,DiffOptVolume,Volume)),0))</f>
        <v>1</v>
      </c>
      <c r="BY19" s="330">
        <f t="shared" ref="BY19:BY30" si="101">IF(AND(WeekDef=8,CustomSaFlag,CustomSaPeriod=4),INDEX(IF(DiffOptVolumeFlag,DiffOptVolumeHourlyOver,VolumeHourlyOver),T5,2),IF(OR(WeekDef=1,WeekDef=2,WeekDef=5,WeekDef=6,AND(WeekDef=8,CustomSaFlag,OR(CustomSaPeriod=1,CustomSaPeriod=2))),IF(VolumeMonthlyOverFlag,INDEX(IF(DiffOptVolumeFlag,DiffOptVolumeMonthlyOver,VolumeMonthlyOver),BJ19),IF(DiffOptVolumeFlag,DiffOptVolume,Volume)),0))</f>
        <v>1</v>
      </c>
      <c r="BZ19" s="331">
        <f t="shared" ref="BZ19:BZ30" si="102">IF(AND(WeekDef=8,CustomSaFlag,CustomSaPeriod=4),INDEX(IF(DiffOptVolumeFlag,DiffOptVolumeHourlyOver,VolumeHourlyOver),U5,2),IF(OR(WeekDef=1,WeekDef=2,WeekDef=5,WeekDef=6,AND(WeekDef=8,CustomSaFlag,OR(CustomSaPeriod=1,CustomSaPeriod=2))),IF(VolumeMonthlyOverFlag,INDEX(IF(DiffOptVolumeFlag,DiffOptVolumeMonthlyOver,VolumeMonthlyOver),BJ19),IF(DiffOptVolumeFlag,DiffOptVolume,Volume)),0))</f>
        <v>1</v>
      </c>
      <c r="CA19" s="330">
        <f t="shared" ref="CA19:CA30" si="103">IF(AND(WeekDef=8,CustomSaFlag,CustomSaPeriod=4),INDEX(IF(DiffOptVolumeFlag,DiffOptVolumeHourlyOver,VolumeHourlyOver),V5,2),IF(OR(WeekDef=1,WeekDef=3,WeekDef=5,WeekDef=7,AND(WeekDef=8,CustomSaFlag,OR(CustomSaPeriod=1,CustomSaPeriod=3))),IF(VolumeMonthlyOverFlag,INDEX(IF(DiffOptVolumeFlag,DiffOptVolumeMonthlyOver,VolumeMonthlyOver),BJ19),IF(DiffOptVolumeFlag,DiffOptVolume,Volume)),0))</f>
        <v>1</v>
      </c>
      <c r="CB19" s="330">
        <f t="shared" ref="CB19:CB30" si="104">IF(AND(WeekDef=8,CustomSaFlag,CustomSaPeriod=4),INDEX(IF(DiffOptVolumeFlag,DiffOptVolumeHourlyOver,VolumeHourlyOver),W5,2),IF(OR(WeekDef=1,WeekDef=3,WeekDef=5,WeekDef=7,AND(WeekDef=8,CustomSaFlag,OR(CustomSaPeriod=1,CustomSaPeriod=3))),IF(VolumeMonthlyOverFlag,INDEX(IF(DiffOptVolumeFlag,DiffOptVolumeMonthlyOver,VolumeMonthlyOver),BJ19),IF(DiffOptVolumeFlag,DiffOptVolume,Volume)),0))</f>
        <v>1</v>
      </c>
      <c r="CC19" s="330">
        <f t="shared" ref="CC19:CC30" si="105">IF(AND(WeekDef=8,CustomSaFlag,CustomSaPeriod=4),INDEX(IF(DiffOptVolumeFlag,DiffOptVolumeHourlyOver,VolumeHourlyOver),X5,2),IF(OR(WeekDef=1,WeekDef=3,WeekDef=5,WeekDef=7,AND(WeekDef=8,CustomSaFlag,OR(CustomSaPeriod=1,CustomSaPeriod=3))),IF(VolumeMonthlyOverFlag,INDEX(IF(DiffOptVolumeFlag,DiffOptVolumeMonthlyOver,VolumeMonthlyOver),BJ19),IF(DiffOptVolumeFlag,DiffOptVolume,Volume)),0))</f>
        <v>1</v>
      </c>
      <c r="CD19" s="330">
        <f t="shared" ref="CD19:CD30" si="106">IF(AND(WeekDef=8,CustomSaFlag,CustomSaPeriod=4),INDEX(IF(DiffOptVolumeFlag,DiffOptVolumeHourlyOver,VolumeHourlyOver),Y5,2),IF(OR(WeekDef=1,WeekDef=3,WeekDef=5,WeekDef=7,AND(WeekDef=8,CustomSaFlag,OR(CustomSaPeriod=1,CustomSaPeriod=3))),IF(VolumeMonthlyOverFlag,INDEX(IF(DiffOptVolumeFlag,DiffOptVolumeMonthlyOver,VolumeMonthlyOver),BJ19),IF(DiffOptVolumeFlag,DiffOptVolume,Volume)),0))</f>
        <v>1</v>
      </c>
      <c r="CE19" s="330">
        <f t="shared" ref="CE19:CE30" si="107">IF(AND(WeekDef=8,CustomSaFlag,CustomSaPeriod=4),INDEX(IF(DiffOptVolumeFlag,DiffOptVolumeHourlyOver,VolumeHourlyOver),Z5,2),IF(OR(WeekDef=1,WeekDef=3,WeekDef=5,WeekDef=7,AND(WeekDef=8,CustomSaFlag,OR(CustomSaPeriod=1,CustomSaPeriod=3))),IF(VolumeMonthlyOverFlag,INDEX(IF(DiffOptVolumeFlag,DiffOptVolumeMonthlyOver,VolumeMonthlyOver),BJ19),IF(DiffOptVolumeFlag,DiffOptVolume,Volume)),0))</f>
        <v>1</v>
      </c>
      <c r="CF19" s="330">
        <f t="shared" ref="CF19:CF30" si="108">IF(AND(WeekDef=8,CustomSaFlag,CustomSaPeriod=4),INDEX(IF(DiffOptVolumeFlag,DiffOptVolumeHourlyOver,VolumeHourlyOver),AA5,2),IF(OR(WeekDef=1,WeekDef=3,WeekDef=5,WeekDef=7,AND(WeekDef=8,CustomSaFlag,OR(CustomSaPeriod=1,CustomSaPeriod=3))),IF(VolumeMonthlyOverFlag,INDEX(IF(DiffOptVolumeFlag,DiffOptVolumeMonthlyOver,VolumeMonthlyOver),BJ19),IF(DiffOptVolumeFlag,DiffOptVolume,Volume)),0))</f>
        <v>1</v>
      </c>
      <c r="CG19" s="330">
        <f t="shared" ref="CG19:CG30" si="109">IF(AND(WeekDef=8,CustomSaFlag,CustomSaPeriod=4),INDEX(IF(DiffOptVolumeFlag,DiffOptVolumeHourlyOver,VolumeHourlyOver),AB5,2),IF(OR(WeekDef=1,WeekDef=3,WeekDef=5,WeekDef=7,AND(WeekDef=8,CustomSaFlag,OR(CustomSaPeriod=1,CustomSaPeriod=3))),IF(VolumeMonthlyOverFlag,INDEX(IF(DiffOptVolumeFlag,DiffOptVolumeMonthlyOver,VolumeMonthlyOver),BJ19),IF(DiffOptVolumeFlag,DiffOptVolume,Volume)),0))</f>
        <v>1</v>
      </c>
      <c r="CH19" s="331">
        <f t="shared" ref="CH19:CH30" si="110">IF(AND(WeekDef=8,CustomSaFlag,CustomSaPeriod=4),INDEX(IF(DiffOptVolumeFlag,DiffOptVolumeHourlyOver,VolumeHourlyOver),AC5,2),IF(OR(WeekDef=1,WeekDef=3,WeekDef=5,WeekDef=7,AND(WeekDef=8,CustomSaFlag,OR(CustomSaPeriod=1,CustomSaPeriod=3))),IF(VolumeMonthlyOverFlag,INDEX(IF(DiffOptVolumeFlag,DiffOptVolumeMonthlyOver,VolumeMonthlyOver),BJ19),IF(DiffOptVolumeFlag,DiffOptVolume,Volume)),0))</f>
        <v>1</v>
      </c>
      <c r="CI19" s="488">
        <f t="shared" ref="CI19:CI34" si="111">SUM(BK19:BZ19)</f>
        <v>16</v>
      </c>
      <c r="CJ19" s="486">
        <f t="shared" ref="CJ19:CJ34" si="112">SUM(CA19:CH19)</f>
        <v>8</v>
      </c>
      <c r="CK19" s="489">
        <f t="shared" ref="CK19:CK34" si="113">CI19+CJ19</f>
        <v>24</v>
      </c>
      <c r="CL19" s="565">
        <f>IF(CI19,SUMPRODUCT(BK19:BZ19,F21:U21)/CI19,0)</f>
        <v>0.99998503923416138</v>
      </c>
      <c r="CM19" s="567">
        <f>IF(CJ19,SUMPRODUCT(CA19:CH19,V21:AC21)/CJ19,0)</f>
        <v>1.0000070855021477</v>
      </c>
    </row>
    <row r="20" spans="3:91" x14ac:dyDescent="0.25">
      <c r="C20" s="143"/>
      <c r="D20" s="143"/>
      <c r="E20" s="320" t="s">
        <v>307</v>
      </c>
      <c r="F20" s="320">
        <v>1</v>
      </c>
      <c r="G20" s="321">
        <v>2</v>
      </c>
      <c r="H20" s="321">
        <v>3</v>
      </c>
      <c r="I20" s="321">
        <v>4</v>
      </c>
      <c r="J20" s="321">
        <v>5</v>
      </c>
      <c r="K20" s="321">
        <v>6</v>
      </c>
      <c r="L20" s="321">
        <v>7</v>
      </c>
      <c r="M20" s="321">
        <v>8</v>
      </c>
      <c r="N20" s="321">
        <v>9</v>
      </c>
      <c r="O20" s="321">
        <v>10</v>
      </c>
      <c r="P20" s="321">
        <v>11</v>
      </c>
      <c r="Q20" s="321">
        <v>12</v>
      </c>
      <c r="R20" s="321">
        <v>13</v>
      </c>
      <c r="S20" s="321">
        <v>14</v>
      </c>
      <c r="T20" s="321">
        <v>15</v>
      </c>
      <c r="U20" s="322">
        <v>16</v>
      </c>
      <c r="V20" s="321">
        <v>1</v>
      </c>
      <c r="W20" s="321">
        <v>2</v>
      </c>
      <c r="X20" s="321">
        <v>3</v>
      </c>
      <c r="Y20" s="321">
        <v>4</v>
      </c>
      <c r="Z20" s="321">
        <v>5</v>
      </c>
      <c r="AA20" s="321">
        <v>6</v>
      </c>
      <c r="AB20" s="321">
        <v>7</v>
      </c>
      <c r="AC20" s="322">
        <v>8</v>
      </c>
      <c r="AD20" s="143"/>
      <c r="AE20" s="323">
        <v>2</v>
      </c>
      <c r="AF20" s="326">
        <f t="shared" si="60"/>
        <v>1</v>
      </c>
      <c r="AG20" s="327">
        <f t="shared" si="61"/>
        <v>1</v>
      </c>
      <c r="AH20" s="327">
        <f t="shared" si="62"/>
        <v>1</v>
      </c>
      <c r="AI20" s="327">
        <f t="shared" si="63"/>
        <v>1</v>
      </c>
      <c r="AJ20" s="327">
        <f t="shared" si="64"/>
        <v>1</v>
      </c>
      <c r="AK20" s="327">
        <f t="shared" si="65"/>
        <v>1</v>
      </c>
      <c r="AL20" s="327">
        <f t="shared" si="66"/>
        <v>1</v>
      </c>
      <c r="AM20" s="327">
        <f t="shared" si="67"/>
        <v>1</v>
      </c>
      <c r="AN20" s="327">
        <f t="shared" si="68"/>
        <v>1</v>
      </c>
      <c r="AO20" s="327">
        <f t="shared" si="69"/>
        <v>1</v>
      </c>
      <c r="AP20" s="327">
        <f t="shared" si="70"/>
        <v>1</v>
      </c>
      <c r="AQ20" s="327">
        <f t="shared" si="71"/>
        <v>1</v>
      </c>
      <c r="AR20" s="327">
        <f t="shared" si="72"/>
        <v>1</v>
      </c>
      <c r="AS20" s="327">
        <f t="shared" si="73"/>
        <v>1</v>
      </c>
      <c r="AT20" s="327">
        <f t="shared" si="74"/>
        <v>1</v>
      </c>
      <c r="AU20" s="328">
        <f t="shared" si="75"/>
        <v>1</v>
      </c>
      <c r="AV20" s="327">
        <f t="shared" si="76"/>
        <v>1</v>
      </c>
      <c r="AW20" s="327">
        <f t="shared" si="77"/>
        <v>1</v>
      </c>
      <c r="AX20" s="327">
        <f t="shared" si="78"/>
        <v>1</v>
      </c>
      <c r="AY20" s="327">
        <f t="shared" si="79"/>
        <v>1</v>
      </c>
      <c r="AZ20" s="327">
        <f t="shared" si="80"/>
        <v>1</v>
      </c>
      <c r="BA20" s="327">
        <f t="shared" si="81"/>
        <v>1</v>
      </c>
      <c r="BB20" s="327">
        <f t="shared" si="82"/>
        <v>1</v>
      </c>
      <c r="BC20" s="328">
        <f t="shared" si="83"/>
        <v>1</v>
      </c>
      <c r="BD20" s="488">
        <f t="shared" si="84"/>
        <v>16</v>
      </c>
      <c r="BE20" s="486">
        <f t="shared" si="85"/>
        <v>8</v>
      </c>
      <c r="BF20" s="489">
        <f t="shared" si="86"/>
        <v>24</v>
      </c>
      <c r="BG20" s="565">
        <f t="shared" ref="BG20:BG30" si="114">IF(BD20,SUMPRODUCT(AF20:AU20,F22:U22)/BD20,0)</f>
        <v>0.99998503923416138</v>
      </c>
      <c r="BH20" s="562">
        <f t="shared" ref="BH20:BH30" si="115">IF(BE20,SUMPRODUCT(AV20:BC20,V22:AC22)/BE20,0)</f>
        <v>1.0000070855021477</v>
      </c>
      <c r="BJ20" s="323">
        <v>2</v>
      </c>
      <c r="BK20" s="326">
        <f t="shared" si="87"/>
        <v>1</v>
      </c>
      <c r="BL20" s="327">
        <f t="shared" si="88"/>
        <v>1</v>
      </c>
      <c r="BM20" s="327">
        <f t="shared" si="89"/>
        <v>1</v>
      </c>
      <c r="BN20" s="327">
        <f t="shared" si="90"/>
        <v>1</v>
      </c>
      <c r="BO20" s="327">
        <f t="shared" si="91"/>
        <v>1</v>
      </c>
      <c r="BP20" s="327">
        <f t="shared" si="92"/>
        <v>1</v>
      </c>
      <c r="BQ20" s="327">
        <f t="shared" si="93"/>
        <v>1</v>
      </c>
      <c r="BR20" s="327">
        <f t="shared" si="94"/>
        <v>1</v>
      </c>
      <c r="BS20" s="327">
        <f t="shared" si="95"/>
        <v>1</v>
      </c>
      <c r="BT20" s="327">
        <f t="shared" si="96"/>
        <v>1</v>
      </c>
      <c r="BU20" s="327">
        <f t="shared" si="97"/>
        <v>1</v>
      </c>
      <c r="BV20" s="327">
        <f t="shared" si="98"/>
        <v>1</v>
      </c>
      <c r="BW20" s="327">
        <f t="shared" si="99"/>
        <v>1</v>
      </c>
      <c r="BX20" s="327">
        <f t="shared" si="100"/>
        <v>1</v>
      </c>
      <c r="BY20" s="327">
        <f t="shared" si="101"/>
        <v>1</v>
      </c>
      <c r="BZ20" s="328">
        <f t="shared" si="102"/>
        <v>1</v>
      </c>
      <c r="CA20" s="327">
        <f t="shared" si="103"/>
        <v>1</v>
      </c>
      <c r="CB20" s="327">
        <f t="shared" si="104"/>
        <v>1</v>
      </c>
      <c r="CC20" s="327">
        <f t="shared" si="105"/>
        <v>1</v>
      </c>
      <c r="CD20" s="327">
        <f t="shared" si="106"/>
        <v>1</v>
      </c>
      <c r="CE20" s="327">
        <f t="shared" si="107"/>
        <v>1</v>
      </c>
      <c r="CF20" s="327">
        <f t="shared" si="108"/>
        <v>1</v>
      </c>
      <c r="CG20" s="327">
        <f t="shared" si="109"/>
        <v>1</v>
      </c>
      <c r="CH20" s="328">
        <f t="shared" si="110"/>
        <v>1</v>
      </c>
      <c r="CI20" s="488">
        <f t="shared" si="111"/>
        <v>16</v>
      </c>
      <c r="CJ20" s="486">
        <f t="shared" si="112"/>
        <v>8</v>
      </c>
      <c r="CK20" s="489">
        <f t="shared" si="113"/>
        <v>24</v>
      </c>
      <c r="CL20" s="565">
        <f t="shared" ref="CL20:CL30" si="116">IF(CI20,SUMPRODUCT(BK20:BZ20,F22:U22)/CI20,0)</f>
        <v>0.99998503923416138</v>
      </c>
      <c r="CM20" s="562">
        <f t="shared" ref="CM20:CM30" si="117">IF(CJ20,SUMPRODUCT(CA20:CH20,V22:AC22)/CJ20,0)</f>
        <v>1.0000070855021477</v>
      </c>
    </row>
    <row r="21" spans="3:91" x14ac:dyDescent="0.25">
      <c r="C21" s="572"/>
      <c r="D21" s="143"/>
      <c r="E21" s="323">
        <v>1</v>
      </c>
      <c r="F21" s="339">
        <v>1.2818992137908936</v>
      </c>
      <c r="G21" s="340">
        <v>1.2269999980926514</v>
      </c>
      <c r="H21" s="340">
        <v>1.1998118162155151</v>
      </c>
      <c r="I21" s="340">
        <v>1.1961599588394165</v>
      </c>
      <c r="J21" s="340">
        <v>1.1752854585647583</v>
      </c>
      <c r="K21" s="340">
        <v>1.1682668924331665</v>
      </c>
      <c r="L21" s="340">
        <v>1.1550524234771729</v>
      </c>
      <c r="M21" s="340">
        <v>1.1458848714828491</v>
      </c>
      <c r="N21" s="340">
        <v>0.88040000200271606</v>
      </c>
      <c r="O21" s="340">
        <v>0.85479998588562012</v>
      </c>
      <c r="P21" s="340">
        <v>0.83960002660751343</v>
      </c>
      <c r="Q21" s="340">
        <v>0.82719999551773071</v>
      </c>
      <c r="R21" s="340">
        <v>0.82150000333786011</v>
      </c>
      <c r="S21" s="340">
        <v>0.78509998321533203</v>
      </c>
      <c r="T21" s="340">
        <v>0.76929998397827148</v>
      </c>
      <c r="U21" s="341">
        <v>0.67250001430511475</v>
      </c>
      <c r="V21" s="340">
        <v>1.7300000190734863</v>
      </c>
      <c r="W21" s="340">
        <v>1.0449999570846558</v>
      </c>
      <c r="X21" s="340">
        <v>0.92009139060974121</v>
      </c>
      <c r="Y21" s="340">
        <v>0.9034000039100647</v>
      </c>
      <c r="Z21" s="340">
        <v>0.90216547250747681</v>
      </c>
      <c r="AA21" s="340">
        <v>0.8464999794960022</v>
      </c>
      <c r="AB21" s="340">
        <v>0.82669985294342041</v>
      </c>
      <c r="AC21" s="341">
        <v>0.82620000839233398</v>
      </c>
      <c r="AD21" s="143"/>
      <c r="AE21" s="323">
        <v>3</v>
      </c>
      <c r="AF21" s="326">
        <f t="shared" si="60"/>
        <v>1</v>
      </c>
      <c r="AG21" s="327">
        <f t="shared" si="61"/>
        <v>1</v>
      </c>
      <c r="AH21" s="327">
        <f t="shared" si="62"/>
        <v>1</v>
      </c>
      <c r="AI21" s="327">
        <f t="shared" si="63"/>
        <v>1</v>
      </c>
      <c r="AJ21" s="327">
        <f t="shared" si="64"/>
        <v>1</v>
      </c>
      <c r="AK21" s="327">
        <f t="shared" si="65"/>
        <v>1</v>
      </c>
      <c r="AL21" s="327">
        <f t="shared" si="66"/>
        <v>1</v>
      </c>
      <c r="AM21" s="327">
        <f t="shared" si="67"/>
        <v>1</v>
      </c>
      <c r="AN21" s="327">
        <f t="shared" si="68"/>
        <v>1</v>
      </c>
      <c r="AO21" s="327">
        <f t="shared" si="69"/>
        <v>1</v>
      </c>
      <c r="AP21" s="327">
        <f t="shared" si="70"/>
        <v>1</v>
      </c>
      <c r="AQ21" s="327">
        <f t="shared" si="71"/>
        <v>1</v>
      </c>
      <c r="AR21" s="327">
        <f t="shared" si="72"/>
        <v>1</v>
      </c>
      <c r="AS21" s="327">
        <f t="shared" si="73"/>
        <v>1</v>
      </c>
      <c r="AT21" s="327">
        <f t="shared" si="74"/>
        <v>1</v>
      </c>
      <c r="AU21" s="328">
        <f t="shared" si="75"/>
        <v>1</v>
      </c>
      <c r="AV21" s="327">
        <f t="shared" si="76"/>
        <v>1</v>
      </c>
      <c r="AW21" s="327">
        <f t="shared" si="77"/>
        <v>1</v>
      </c>
      <c r="AX21" s="327">
        <f t="shared" si="78"/>
        <v>1</v>
      </c>
      <c r="AY21" s="327">
        <f t="shared" si="79"/>
        <v>1</v>
      </c>
      <c r="AZ21" s="327">
        <f t="shared" si="80"/>
        <v>1</v>
      </c>
      <c r="BA21" s="327">
        <f t="shared" si="81"/>
        <v>1</v>
      </c>
      <c r="BB21" s="327">
        <f t="shared" si="82"/>
        <v>1</v>
      </c>
      <c r="BC21" s="328">
        <f t="shared" si="83"/>
        <v>1</v>
      </c>
      <c r="BD21" s="488">
        <f t="shared" si="84"/>
        <v>16</v>
      </c>
      <c r="BE21" s="486">
        <f t="shared" si="85"/>
        <v>8</v>
      </c>
      <c r="BF21" s="489">
        <f t="shared" si="86"/>
        <v>24</v>
      </c>
      <c r="BG21" s="565">
        <f t="shared" si="114"/>
        <v>0.99999375641345978</v>
      </c>
      <c r="BH21" s="562">
        <f t="shared" si="115"/>
        <v>0.99999988824129105</v>
      </c>
      <c r="BJ21" s="323">
        <v>3</v>
      </c>
      <c r="BK21" s="326">
        <f t="shared" si="87"/>
        <v>1</v>
      </c>
      <c r="BL21" s="327">
        <f t="shared" si="88"/>
        <v>1</v>
      </c>
      <c r="BM21" s="327">
        <f t="shared" si="89"/>
        <v>1</v>
      </c>
      <c r="BN21" s="327">
        <f t="shared" si="90"/>
        <v>1</v>
      </c>
      <c r="BO21" s="327">
        <f t="shared" si="91"/>
        <v>1</v>
      </c>
      <c r="BP21" s="327">
        <f t="shared" si="92"/>
        <v>1</v>
      </c>
      <c r="BQ21" s="327">
        <f t="shared" si="93"/>
        <v>1</v>
      </c>
      <c r="BR21" s="327">
        <f t="shared" si="94"/>
        <v>1</v>
      </c>
      <c r="BS21" s="327">
        <f t="shared" si="95"/>
        <v>1</v>
      </c>
      <c r="BT21" s="327">
        <f t="shared" si="96"/>
        <v>1</v>
      </c>
      <c r="BU21" s="327">
        <f t="shared" si="97"/>
        <v>1</v>
      </c>
      <c r="BV21" s="327">
        <f t="shared" si="98"/>
        <v>1</v>
      </c>
      <c r="BW21" s="327">
        <f t="shared" si="99"/>
        <v>1</v>
      </c>
      <c r="BX21" s="327">
        <f t="shared" si="100"/>
        <v>1</v>
      </c>
      <c r="BY21" s="327">
        <f t="shared" si="101"/>
        <v>1</v>
      </c>
      <c r="BZ21" s="328">
        <f t="shared" si="102"/>
        <v>1</v>
      </c>
      <c r="CA21" s="327">
        <f t="shared" si="103"/>
        <v>1</v>
      </c>
      <c r="CB21" s="327">
        <f t="shared" si="104"/>
        <v>1</v>
      </c>
      <c r="CC21" s="327">
        <f t="shared" si="105"/>
        <v>1</v>
      </c>
      <c r="CD21" s="327">
        <f t="shared" si="106"/>
        <v>1</v>
      </c>
      <c r="CE21" s="327">
        <f t="shared" si="107"/>
        <v>1</v>
      </c>
      <c r="CF21" s="327">
        <f t="shared" si="108"/>
        <v>1</v>
      </c>
      <c r="CG21" s="327">
        <f t="shared" si="109"/>
        <v>1</v>
      </c>
      <c r="CH21" s="328">
        <f t="shared" si="110"/>
        <v>1</v>
      </c>
      <c r="CI21" s="488">
        <f t="shared" si="111"/>
        <v>16</v>
      </c>
      <c r="CJ21" s="486">
        <f t="shared" si="112"/>
        <v>8</v>
      </c>
      <c r="CK21" s="489">
        <f t="shared" si="113"/>
        <v>24</v>
      </c>
      <c r="CL21" s="565">
        <f t="shared" si="116"/>
        <v>0.99999375641345978</v>
      </c>
      <c r="CM21" s="562">
        <f t="shared" si="117"/>
        <v>0.99999988824129105</v>
      </c>
    </row>
    <row r="22" spans="3:91" x14ac:dyDescent="0.25">
      <c r="C22" s="143"/>
      <c r="D22" s="143"/>
      <c r="E22" s="323">
        <v>2</v>
      </c>
      <c r="F22" s="339">
        <v>1.2818992137908936</v>
      </c>
      <c r="G22" s="340">
        <v>1.2269999980926514</v>
      </c>
      <c r="H22" s="340">
        <v>1.1998118162155151</v>
      </c>
      <c r="I22" s="340">
        <v>1.1961599588394165</v>
      </c>
      <c r="J22" s="340">
        <v>1.1752854585647583</v>
      </c>
      <c r="K22" s="340">
        <v>1.1682668924331665</v>
      </c>
      <c r="L22" s="340">
        <v>1.1550524234771729</v>
      </c>
      <c r="M22" s="340">
        <v>1.1458848714828491</v>
      </c>
      <c r="N22" s="340">
        <v>0.88040000200271606</v>
      </c>
      <c r="O22" s="340">
        <v>0.85479998588562012</v>
      </c>
      <c r="P22" s="340">
        <v>0.83960002660751343</v>
      </c>
      <c r="Q22" s="340">
        <v>0.82719999551773071</v>
      </c>
      <c r="R22" s="340">
        <v>0.82150000333786011</v>
      </c>
      <c r="S22" s="340">
        <v>0.78509998321533203</v>
      </c>
      <c r="T22" s="340">
        <v>0.76929998397827148</v>
      </c>
      <c r="U22" s="341">
        <v>0.67250001430511475</v>
      </c>
      <c r="V22" s="340">
        <v>1.7300000190734863</v>
      </c>
      <c r="W22" s="340">
        <v>1.0449999570846558</v>
      </c>
      <c r="X22" s="340">
        <v>0.92009139060974121</v>
      </c>
      <c r="Y22" s="340">
        <v>0.9034000039100647</v>
      </c>
      <c r="Z22" s="340">
        <v>0.90216547250747681</v>
      </c>
      <c r="AA22" s="340">
        <v>0.8464999794960022</v>
      </c>
      <c r="AB22" s="340">
        <v>0.82669985294342041</v>
      </c>
      <c r="AC22" s="341">
        <v>0.82620000839233398</v>
      </c>
      <c r="AD22" s="143"/>
      <c r="AE22" s="323">
        <v>4</v>
      </c>
      <c r="AF22" s="326">
        <f t="shared" si="60"/>
        <v>1</v>
      </c>
      <c r="AG22" s="327">
        <f t="shared" si="61"/>
        <v>1</v>
      </c>
      <c r="AH22" s="327">
        <f t="shared" si="62"/>
        <v>1</v>
      </c>
      <c r="AI22" s="327">
        <f t="shared" si="63"/>
        <v>1</v>
      </c>
      <c r="AJ22" s="327">
        <f t="shared" si="64"/>
        <v>1</v>
      </c>
      <c r="AK22" s="327">
        <f t="shared" si="65"/>
        <v>1</v>
      </c>
      <c r="AL22" s="327">
        <f t="shared" si="66"/>
        <v>1</v>
      </c>
      <c r="AM22" s="327">
        <f t="shared" si="67"/>
        <v>1</v>
      </c>
      <c r="AN22" s="327">
        <f t="shared" si="68"/>
        <v>1</v>
      </c>
      <c r="AO22" s="327">
        <f t="shared" si="69"/>
        <v>1</v>
      </c>
      <c r="AP22" s="327">
        <f t="shared" si="70"/>
        <v>1</v>
      </c>
      <c r="AQ22" s="327">
        <f t="shared" si="71"/>
        <v>1</v>
      </c>
      <c r="AR22" s="327">
        <f t="shared" si="72"/>
        <v>1</v>
      </c>
      <c r="AS22" s="327">
        <f t="shared" si="73"/>
        <v>1</v>
      </c>
      <c r="AT22" s="327">
        <f t="shared" si="74"/>
        <v>1</v>
      </c>
      <c r="AU22" s="328">
        <f t="shared" si="75"/>
        <v>1</v>
      </c>
      <c r="AV22" s="327">
        <f t="shared" si="76"/>
        <v>1</v>
      </c>
      <c r="AW22" s="327">
        <f t="shared" si="77"/>
        <v>1</v>
      </c>
      <c r="AX22" s="327">
        <f t="shared" si="78"/>
        <v>1</v>
      </c>
      <c r="AY22" s="327">
        <f t="shared" si="79"/>
        <v>1</v>
      </c>
      <c r="AZ22" s="327">
        <f t="shared" si="80"/>
        <v>1</v>
      </c>
      <c r="BA22" s="327">
        <f t="shared" si="81"/>
        <v>1</v>
      </c>
      <c r="BB22" s="327">
        <f t="shared" si="82"/>
        <v>1</v>
      </c>
      <c r="BC22" s="328">
        <f t="shared" si="83"/>
        <v>1</v>
      </c>
      <c r="BD22" s="488">
        <f t="shared" si="84"/>
        <v>16</v>
      </c>
      <c r="BE22" s="486">
        <f t="shared" si="85"/>
        <v>8</v>
      </c>
      <c r="BF22" s="489">
        <f t="shared" si="86"/>
        <v>24</v>
      </c>
      <c r="BG22" s="565">
        <f t="shared" si="114"/>
        <v>1.0000000074505806</v>
      </c>
      <c r="BH22" s="562">
        <f t="shared" si="115"/>
        <v>0.99995028972625732</v>
      </c>
      <c r="BJ22" s="323">
        <v>4</v>
      </c>
      <c r="BK22" s="326">
        <f t="shared" si="87"/>
        <v>1</v>
      </c>
      <c r="BL22" s="327">
        <f t="shared" si="88"/>
        <v>1</v>
      </c>
      <c r="BM22" s="327">
        <f t="shared" si="89"/>
        <v>1</v>
      </c>
      <c r="BN22" s="327">
        <f t="shared" si="90"/>
        <v>1</v>
      </c>
      <c r="BO22" s="327">
        <f t="shared" si="91"/>
        <v>1</v>
      </c>
      <c r="BP22" s="327">
        <f t="shared" si="92"/>
        <v>1</v>
      </c>
      <c r="BQ22" s="327">
        <f t="shared" si="93"/>
        <v>1</v>
      </c>
      <c r="BR22" s="327">
        <f t="shared" si="94"/>
        <v>1</v>
      </c>
      <c r="BS22" s="327">
        <f t="shared" si="95"/>
        <v>1</v>
      </c>
      <c r="BT22" s="327">
        <f t="shared" si="96"/>
        <v>1</v>
      </c>
      <c r="BU22" s="327">
        <f t="shared" si="97"/>
        <v>1</v>
      </c>
      <c r="BV22" s="327">
        <f t="shared" si="98"/>
        <v>1</v>
      </c>
      <c r="BW22" s="327">
        <f t="shared" si="99"/>
        <v>1</v>
      </c>
      <c r="BX22" s="327">
        <f t="shared" si="100"/>
        <v>1</v>
      </c>
      <c r="BY22" s="327">
        <f t="shared" si="101"/>
        <v>1</v>
      </c>
      <c r="BZ22" s="328">
        <f t="shared" si="102"/>
        <v>1</v>
      </c>
      <c r="CA22" s="327">
        <f t="shared" si="103"/>
        <v>1</v>
      </c>
      <c r="CB22" s="327">
        <f t="shared" si="104"/>
        <v>1</v>
      </c>
      <c r="CC22" s="327">
        <f t="shared" si="105"/>
        <v>1</v>
      </c>
      <c r="CD22" s="327">
        <f t="shared" si="106"/>
        <v>1</v>
      </c>
      <c r="CE22" s="327">
        <f t="shared" si="107"/>
        <v>1</v>
      </c>
      <c r="CF22" s="327">
        <f t="shared" si="108"/>
        <v>1</v>
      </c>
      <c r="CG22" s="327">
        <f t="shared" si="109"/>
        <v>1</v>
      </c>
      <c r="CH22" s="328">
        <f t="shared" si="110"/>
        <v>1</v>
      </c>
      <c r="CI22" s="488">
        <f t="shared" si="111"/>
        <v>16</v>
      </c>
      <c r="CJ22" s="486">
        <f t="shared" si="112"/>
        <v>8</v>
      </c>
      <c r="CK22" s="489">
        <f t="shared" si="113"/>
        <v>24</v>
      </c>
      <c r="CL22" s="565">
        <f t="shared" si="116"/>
        <v>1.0000000074505806</v>
      </c>
      <c r="CM22" s="562">
        <f t="shared" si="117"/>
        <v>0.99995028972625732</v>
      </c>
    </row>
    <row r="23" spans="3:91" x14ac:dyDescent="0.25">
      <c r="C23" s="143"/>
      <c r="D23" s="143"/>
      <c r="E23" s="323">
        <v>3</v>
      </c>
      <c r="F23" s="339">
        <v>1.2719000577926636</v>
      </c>
      <c r="G23" s="340">
        <v>1.2170000076293945</v>
      </c>
      <c r="H23" s="340">
        <v>1.1898000240325928</v>
      </c>
      <c r="I23" s="340">
        <v>1.1862000226974487</v>
      </c>
      <c r="J23" s="340">
        <v>1.1653000116348267</v>
      </c>
      <c r="K23" s="340">
        <v>1.1583000421524048</v>
      </c>
      <c r="L23" s="340">
        <v>1.1450999975204468</v>
      </c>
      <c r="M23" s="340">
        <v>1.1359000205993652</v>
      </c>
      <c r="N23" s="340">
        <v>0.8903999924659729</v>
      </c>
      <c r="O23" s="340">
        <v>0.86479997634887695</v>
      </c>
      <c r="P23" s="340">
        <v>0.84960001707077026</v>
      </c>
      <c r="Q23" s="340">
        <v>0.83719998598098755</v>
      </c>
      <c r="R23" s="340">
        <v>0.83149999380111694</v>
      </c>
      <c r="S23" s="340">
        <v>0.79509997367858887</v>
      </c>
      <c r="T23" s="340">
        <v>0.77929997444152832</v>
      </c>
      <c r="U23" s="341">
        <v>0.68250000476837158</v>
      </c>
      <c r="V23" s="340">
        <v>1.7960000038146973</v>
      </c>
      <c r="W23" s="340">
        <v>1.0449999570846558</v>
      </c>
      <c r="X23" s="340">
        <v>0.99535202980041504</v>
      </c>
      <c r="Y23" s="340">
        <v>0.88009142875671387</v>
      </c>
      <c r="Z23" s="340">
        <v>0.8574904203414917</v>
      </c>
      <c r="AA23" s="340">
        <v>0.83216547966003418</v>
      </c>
      <c r="AB23" s="340">
        <v>0.79719996452331543</v>
      </c>
      <c r="AC23" s="341">
        <v>0.79669982194900513</v>
      </c>
      <c r="AD23" s="143"/>
      <c r="AE23" s="323">
        <v>5</v>
      </c>
      <c r="AF23" s="326">
        <f t="shared" si="60"/>
        <v>1</v>
      </c>
      <c r="AG23" s="327">
        <f t="shared" si="61"/>
        <v>1</v>
      </c>
      <c r="AH23" s="327">
        <f t="shared" si="62"/>
        <v>1</v>
      </c>
      <c r="AI23" s="327">
        <f t="shared" si="63"/>
        <v>1</v>
      </c>
      <c r="AJ23" s="327">
        <f t="shared" si="64"/>
        <v>1</v>
      </c>
      <c r="AK23" s="327">
        <f t="shared" si="65"/>
        <v>1</v>
      </c>
      <c r="AL23" s="327">
        <f t="shared" si="66"/>
        <v>1</v>
      </c>
      <c r="AM23" s="327">
        <f t="shared" si="67"/>
        <v>1</v>
      </c>
      <c r="AN23" s="327">
        <f t="shared" si="68"/>
        <v>1</v>
      </c>
      <c r="AO23" s="327">
        <f t="shared" si="69"/>
        <v>1</v>
      </c>
      <c r="AP23" s="327">
        <f t="shared" si="70"/>
        <v>1</v>
      </c>
      <c r="AQ23" s="327">
        <f t="shared" si="71"/>
        <v>1</v>
      </c>
      <c r="AR23" s="327">
        <f t="shared" si="72"/>
        <v>1</v>
      </c>
      <c r="AS23" s="327">
        <f t="shared" si="73"/>
        <v>1</v>
      </c>
      <c r="AT23" s="327">
        <f t="shared" si="74"/>
        <v>1</v>
      </c>
      <c r="AU23" s="328">
        <f t="shared" si="75"/>
        <v>1</v>
      </c>
      <c r="AV23" s="327">
        <f t="shared" si="76"/>
        <v>1</v>
      </c>
      <c r="AW23" s="327">
        <f t="shared" si="77"/>
        <v>1</v>
      </c>
      <c r="AX23" s="327">
        <f t="shared" si="78"/>
        <v>1</v>
      </c>
      <c r="AY23" s="327">
        <f t="shared" si="79"/>
        <v>1</v>
      </c>
      <c r="AZ23" s="327">
        <f t="shared" si="80"/>
        <v>1</v>
      </c>
      <c r="BA23" s="327">
        <f t="shared" si="81"/>
        <v>1</v>
      </c>
      <c r="BB23" s="327">
        <f t="shared" si="82"/>
        <v>1</v>
      </c>
      <c r="BC23" s="328">
        <f t="shared" si="83"/>
        <v>1</v>
      </c>
      <c r="BD23" s="488">
        <f t="shared" si="84"/>
        <v>16</v>
      </c>
      <c r="BE23" s="486">
        <f t="shared" si="85"/>
        <v>8</v>
      </c>
      <c r="BF23" s="489">
        <f t="shared" si="86"/>
        <v>24</v>
      </c>
      <c r="BG23" s="565">
        <f t="shared" si="114"/>
        <v>0.9999999925494194</v>
      </c>
      <c r="BH23" s="562">
        <f t="shared" si="115"/>
        <v>1</v>
      </c>
      <c r="BJ23" s="323">
        <v>5</v>
      </c>
      <c r="BK23" s="326">
        <f t="shared" si="87"/>
        <v>1</v>
      </c>
      <c r="BL23" s="327">
        <f t="shared" si="88"/>
        <v>1</v>
      </c>
      <c r="BM23" s="327">
        <f t="shared" si="89"/>
        <v>1</v>
      </c>
      <c r="BN23" s="327">
        <f t="shared" si="90"/>
        <v>1</v>
      </c>
      <c r="BO23" s="327">
        <f t="shared" si="91"/>
        <v>1</v>
      </c>
      <c r="BP23" s="327">
        <f t="shared" si="92"/>
        <v>1</v>
      </c>
      <c r="BQ23" s="327">
        <f t="shared" si="93"/>
        <v>1</v>
      </c>
      <c r="BR23" s="327">
        <f t="shared" si="94"/>
        <v>1</v>
      </c>
      <c r="BS23" s="327">
        <f t="shared" si="95"/>
        <v>1</v>
      </c>
      <c r="BT23" s="327">
        <f t="shared" si="96"/>
        <v>1</v>
      </c>
      <c r="BU23" s="327">
        <f t="shared" si="97"/>
        <v>1</v>
      </c>
      <c r="BV23" s="327">
        <f t="shared" si="98"/>
        <v>1</v>
      </c>
      <c r="BW23" s="327">
        <f t="shared" si="99"/>
        <v>1</v>
      </c>
      <c r="BX23" s="327">
        <f t="shared" si="100"/>
        <v>1</v>
      </c>
      <c r="BY23" s="327">
        <f t="shared" si="101"/>
        <v>1</v>
      </c>
      <c r="BZ23" s="328">
        <f t="shared" si="102"/>
        <v>1</v>
      </c>
      <c r="CA23" s="327">
        <f t="shared" si="103"/>
        <v>1</v>
      </c>
      <c r="CB23" s="327">
        <f t="shared" si="104"/>
        <v>1</v>
      </c>
      <c r="CC23" s="327">
        <f t="shared" si="105"/>
        <v>1</v>
      </c>
      <c r="CD23" s="327">
        <f t="shared" si="106"/>
        <v>1</v>
      </c>
      <c r="CE23" s="327">
        <f t="shared" si="107"/>
        <v>1</v>
      </c>
      <c r="CF23" s="327">
        <f t="shared" si="108"/>
        <v>1</v>
      </c>
      <c r="CG23" s="327">
        <f t="shared" si="109"/>
        <v>1</v>
      </c>
      <c r="CH23" s="328">
        <f t="shared" si="110"/>
        <v>1</v>
      </c>
      <c r="CI23" s="488">
        <f t="shared" si="111"/>
        <v>16</v>
      </c>
      <c r="CJ23" s="486">
        <f t="shared" si="112"/>
        <v>8</v>
      </c>
      <c r="CK23" s="489">
        <f t="shared" si="113"/>
        <v>24</v>
      </c>
      <c r="CL23" s="565">
        <f t="shared" si="116"/>
        <v>0.9999999925494194</v>
      </c>
      <c r="CM23" s="562">
        <f t="shared" si="117"/>
        <v>1</v>
      </c>
    </row>
    <row r="24" spans="3:91" x14ac:dyDescent="0.25">
      <c r="C24" s="143"/>
      <c r="D24" s="143"/>
      <c r="E24" s="323">
        <v>4</v>
      </c>
      <c r="F24" s="339">
        <v>1.1543365716934204</v>
      </c>
      <c r="G24" s="340">
        <v>1.1413154602050781</v>
      </c>
      <c r="H24" s="340">
        <v>1.1232726573944092</v>
      </c>
      <c r="I24" s="340">
        <v>1.1185245513916016</v>
      </c>
      <c r="J24" s="340">
        <v>1.1163356304168701</v>
      </c>
      <c r="K24" s="340">
        <v>1.0937861204147339</v>
      </c>
      <c r="L24" s="340">
        <v>1.0175267457962036</v>
      </c>
      <c r="M24" s="340">
        <v>1.0164322853088379</v>
      </c>
      <c r="N24" s="340">
        <v>0.98358184099197388</v>
      </c>
      <c r="O24" s="340">
        <v>0.95436888933181763</v>
      </c>
      <c r="P24" s="340">
        <v>0.93680894374847412</v>
      </c>
      <c r="Q24" s="340">
        <v>0.8919675350189209</v>
      </c>
      <c r="R24" s="340">
        <v>0.87001359462738037</v>
      </c>
      <c r="S24" s="340">
        <v>0.868935227394104</v>
      </c>
      <c r="T24" s="340">
        <v>0.85869866609573364</v>
      </c>
      <c r="U24" s="341">
        <v>0.85409539937973022</v>
      </c>
      <c r="V24" s="340">
        <v>1.4909757375717163</v>
      </c>
      <c r="W24" s="340">
        <v>1.0496275424957275</v>
      </c>
      <c r="X24" s="340">
        <v>1.0453519821166992</v>
      </c>
      <c r="Y24" s="340">
        <v>0.93009138107299805</v>
      </c>
      <c r="Z24" s="340">
        <v>0.90749043226242065</v>
      </c>
      <c r="AA24" s="340">
        <v>0.88216543197631836</v>
      </c>
      <c r="AB24" s="340">
        <v>0.84719997644424438</v>
      </c>
      <c r="AC24" s="341">
        <v>0.84669983386993408</v>
      </c>
      <c r="AD24" s="143"/>
      <c r="AE24" s="323">
        <v>6</v>
      </c>
      <c r="AF24" s="326">
        <f t="shared" si="60"/>
        <v>1</v>
      </c>
      <c r="AG24" s="327">
        <f t="shared" si="61"/>
        <v>1</v>
      </c>
      <c r="AH24" s="327">
        <f t="shared" si="62"/>
        <v>1</v>
      </c>
      <c r="AI24" s="327">
        <f t="shared" si="63"/>
        <v>1</v>
      </c>
      <c r="AJ24" s="327">
        <f t="shared" si="64"/>
        <v>1</v>
      </c>
      <c r="AK24" s="327">
        <f t="shared" si="65"/>
        <v>1</v>
      </c>
      <c r="AL24" s="327">
        <f t="shared" si="66"/>
        <v>1</v>
      </c>
      <c r="AM24" s="327">
        <f t="shared" si="67"/>
        <v>1</v>
      </c>
      <c r="AN24" s="327">
        <f t="shared" si="68"/>
        <v>1</v>
      </c>
      <c r="AO24" s="327">
        <f t="shared" si="69"/>
        <v>1</v>
      </c>
      <c r="AP24" s="327">
        <f t="shared" si="70"/>
        <v>1</v>
      </c>
      <c r="AQ24" s="327">
        <f t="shared" si="71"/>
        <v>1</v>
      </c>
      <c r="AR24" s="327">
        <f t="shared" si="72"/>
        <v>1</v>
      </c>
      <c r="AS24" s="327">
        <f t="shared" si="73"/>
        <v>1</v>
      </c>
      <c r="AT24" s="327">
        <f t="shared" si="74"/>
        <v>1</v>
      </c>
      <c r="AU24" s="328">
        <f t="shared" si="75"/>
        <v>1</v>
      </c>
      <c r="AV24" s="327">
        <f t="shared" si="76"/>
        <v>1</v>
      </c>
      <c r="AW24" s="327">
        <f t="shared" si="77"/>
        <v>1</v>
      </c>
      <c r="AX24" s="327">
        <f t="shared" si="78"/>
        <v>1</v>
      </c>
      <c r="AY24" s="327">
        <f t="shared" si="79"/>
        <v>1</v>
      </c>
      <c r="AZ24" s="327">
        <f t="shared" si="80"/>
        <v>1</v>
      </c>
      <c r="BA24" s="327">
        <f t="shared" si="81"/>
        <v>1</v>
      </c>
      <c r="BB24" s="327">
        <f t="shared" si="82"/>
        <v>1</v>
      </c>
      <c r="BC24" s="328">
        <f t="shared" si="83"/>
        <v>1</v>
      </c>
      <c r="BD24" s="488">
        <f t="shared" si="84"/>
        <v>16</v>
      </c>
      <c r="BE24" s="486">
        <f t="shared" si="85"/>
        <v>8</v>
      </c>
      <c r="BF24" s="489">
        <f t="shared" si="86"/>
        <v>24</v>
      </c>
      <c r="BG24" s="565">
        <f t="shared" si="114"/>
        <v>1.0000000037252903</v>
      </c>
      <c r="BH24" s="562">
        <f t="shared" si="115"/>
        <v>1</v>
      </c>
      <c r="BJ24" s="323">
        <v>6</v>
      </c>
      <c r="BK24" s="326">
        <f t="shared" si="87"/>
        <v>1</v>
      </c>
      <c r="BL24" s="327">
        <f t="shared" si="88"/>
        <v>1</v>
      </c>
      <c r="BM24" s="327">
        <f t="shared" si="89"/>
        <v>1</v>
      </c>
      <c r="BN24" s="327">
        <f t="shared" si="90"/>
        <v>1</v>
      </c>
      <c r="BO24" s="327">
        <f t="shared" si="91"/>
        <v>1</v>
      </c>
      <c r="BP24" s="327">
        <f t="shared" si="92"/>
        <v>1</v>
      </c>
      <c r="BQ24" s="327">
        <f t="shared" si="93"/>
        <v>1</v>
      </c>
      <c r="BR24" s="327">
        <f t="shared" si="94"/>
        <v>1</v>
      </c>
      <c r="BS24" s="327">
        <f t="shared" si="95"/>
        <v>1</v>
      </c>
      <c r="BT24" s="327">
        <f t="shared" si="96"/>
        <v>1</v>
      </c>
      <c r="BU24" s="327">
        <f t="shared" si="97"/>
        <v>1</v>
      </c>
      <c r="BV24" s="327">
        <f t="shared" si="98"/>
        <v>1</v>
      </c>
      <c r="BW24" s="327">
        <f t="shared" si="99"/>
        <v>1</v>
      </c>
      <c r="BX24" s="327">
        <f t="shared" si="100"/>
        <v>1</v>
      </c>
      <c r="BY24" s="327">
        <f t="shared" si="101"/>
        <v>1</v>
      </c>
      <c r="BZ24" s="328">
        <f t="shared" si="102"/>
        <v>1</v>
      </c>
      <c r="CA24" s="327">
        <f t="shared" si="103"/>
        <v>1</v>
      </c>
      <c r="CB24" s="327">
        <f t="shared" si="104"/>
        <v>1</v>
      </c>
      <c r="CC24" s="327">
        <f t="shared" si="105"/>
        <v>1</v>
      </c>
      <c r="CD24" s="327">
        <f t="shared" si="106"/>
        <v>1</v>
      </c>
      <c r="CE24" s="327">
        <f t="shared" si="107"/>
        <v>1</v>
      </c>
      <c r="CF24" s="327">
        <f t="shared" si="108"/>
        <v>1</v>
      </c>
      <c r="CG24" s="327">
        <f t="shared" si="109"/>
        <v>1</v>
      </c>
      <c r="CH24" s="328">
        <f t="shared" si="110"/>
        <v>1</v>
      </c>
      <c r="CI24" s="488">
        <f t="shared" si="111"/>
        <v>16</v>
      </c>
      <c r="CJ24" s="486">
        <f t="shared" si="112"/>
        <v>8</v>
      </c>
      <c r="CK24" s="489">
        <f t="shared" si="113"/>
        <v>24</v>
      </c>
      <c r="CL24" s="565">
        <f t="shared" si="116"/>
        <v>1.0000000037252903</v>
      </c>
      <c r="CM24" s="562">
        <f t="shared" si="117"/>
        <v>1</v>
      </c>
    </row>
    <row r="25" spans="3:91" x14ac:dyDescent="0.25">
      <c r="C25" s="143"/>
      <c r="D25" s="143"/>
      <c r="E25" s="323">
        <v>5</v>
      </c>
      <c r="F25" s="339">
        <v>1.1254998445510864</v>
      </c>
      <c r="G25" s="340">
        <v>1.1169906854629517</v>
      </c>
      <c r="H25" s="340">
        <v>1.0876995325088501</v>
      </c>
      <c r="I25" s="340">
        <v>1.0610265731811523</v>
      </c>
      <c r="J25" s="340">
        <v>1.0575902462005615</v>
      </c>
      <c r="K25" s="340">
        <v>1.0525174140930176</v>
      </c>
      <c r="L25" s="340">
        <v>1.0425355434417725</v>
      </c>
      <c r="M25" s="340">
        <v>1.0374628305435181</v>
      </c>
      <c r="N25" s="340">
        <v>1.0258445739746094</v>
      </c>
      <c r="O25" s="340">
        <v>0.99933522939682007</v>
      </c>
      <c r="P25" s="340">
        <v>0.98591691255569458</v>
      </c>
      <c r="Q25" s="340">
        <v>0.96038943529129028</v>
      </c>
      <c r="R25" s="340">
        <v>0.95286214351654053</v>
      </c>
      <c r="S25" s="340">
        <v>0.83226114511489868</v>
      </c>
      <c r="T25" s="340">
        <v>0.83209753036499023</v>
      </c>
      <c r="U25" s="341">
        <v>0.82997024059295654</v>
      </c>
      <c r="V25" s="340">
        <v>1.2913252115249634</v>
      </c>
      <c r="W25" s="340">
        <v>1.1779686212539673</v>
      </c>
      <c r="X25" s="340">
        <v>1.0792386531829834</v>
      </c>
      <c r="Y25" s="340">
        <v>0.99487411975860596</v>
      </c>
      <c r="Z25" s="340">
        <v>0.89614415168762207</v>
      </c>
      <c r="AA25" s="340">
        <v>0.89013677835464478</v>
      </c>
      <c r="AB25" s="340">
        <v>0.84808516502380371</v>
      </c>
      <c r="AC25" s="341">
        <v>0.82222729921340942</v>
      </c>
      <c r="AD25" s="143"/>
      <c r="AE25" s="323">
        <v>7</v>
      </c>
      <c r="AF25" s="326">
        <f t="shared" si="60"/>
        <v>1</v>
      </c>
      <c r="AG25" s="327">
        <f t="shared" si="61"/>
        <v>1</v>
      </c>
      <c r="AH25" s="327">
        <f t="shared" si="62"/>
        <v>1</v>
      </c>
      <c r="AI25" s="327">
        <f t="shared" si="63"/>
        <v>1</v>
      </c>
      <c r="AJ25" s="327">
        <f t="shared" si="64"/>
        <v>1</v>
      </c>
      <c r="AK25" s="327">
        <f t="shared" si="65"/>
        <v>1</v>
      </c>
      <c r="AL25" s="327">
        <f t="shared" si="66"/>
        <v>1</v>
      </c>
      <c r="AM25" s="327">
        <f t="shared" si="67"/>
        <v>1</v>
      </c>
      <c r="AN25" s="327">
        <f t="shared" si="68"/>
        <v>1</v>
      </c>
      <c r="AO25" s="327">
        <f t="shared" si="69"/>
        <v>1</v>
      </c>
      <c r="AP25" s="327">
        <f t="shared" si="70"/>
        <v>1</v>
      </c>
      <c r="AQ25" s="327">
        <f t="shared" si="71"/>
        <v>1</v>
      </c>
      <c r="AR25" s="327">
        <f t="shared" si="72"/>
        <v>1</v>
      </c>
      <c r="AS25" s="327">
        <f t="shared" si="73"/>
        <v>1</v>
      </c>
      <c r="AT25" s="327">
        <f t="shared" si="74"/>
        <v>1</v>
      </c>
      <c r="AU25" s="328">
        <f t="shared" si="75"/>
        <v>1</v>
      </c>
      <c r="AV25" s="327">
        <f t="shared" si="76"/>
        <v>1</v>
      </c>
      <c r="AW25" s="327">
        <f t="shared" si="77"/>
        <v>1</v>
      </c>
      <c r="AX25" s="327">
        <f t="shared" si="78"/>
        <v>1</v>
      </c>
      <c r="AY25" s="327">
        <f t="shared" si="79"/>
        <v>1</v>
      </c>
      <c r="AZ25" s="327">
        <f t="shared" si="80"/>
        <v>1</v>
      </c>
      <c r="BA25" s="327">
        <f t="shared" si="81"/>
        <v>1</v>
      </c>
      <c r="BB25" s="327">
        <f t="shared" si="82"/>
        <v>1</v>
      </c>
      <c r="BC25" s="328">
        <f t="shared" si="83"/>
        <v>1</v>
      </c>
      <c r="BD25" s="488">
        <f t="shared" si="84"/>
        <v>16</v>
      </c>
      <c r="BE25" s="486">
        <f t="shared" si="85"/>
        <v>8</v>
      </c>
      <c r="BF25" s="489">
        <f t="shared" si="86"/>
        <v>24</v>
      </c>
      <c r="BG25" s="565">
        <f t="shared" si="114"/>
        <v>1.0000000111758709</v>
      </c>
      <c r="BH25" s="562">
        <f t="shared" si="115"/>
        <v>1.0000000149011612</v>
      </c>
      <c r="BJ25" s="323">
        <v>7</v>
      </c>
      <c r="BK25" s="326">
        <f t="shared" si="87"/>
        <v>1</v>
      </c>
      <c r="BL25" s="327">
        <f t="shared" si="88"/>
        <v>1</v>
      </c>
      <c r="BM25" s="327">
        <f t="shared" si="89"/>
        <v>1</v>
      </c>
      <c r="BN25" s="327">
        <f t="shared" si="90"/>
        <v>1</v>
      </c>
      <c r="BO25" s="327">
        <f t="shared" si="91"/>
        <v>1</v>
      </c>
      <c r="BP25" s="327">
        <f t="shared" si="92"/>
        <v>1</v>
      </c>
      <c r="BQ25" s="327">
        <f t="shared" si="93"/>
        <v>1</v>
      </c>
      <c r="BR25" s="327">
        <f t="shared" si="94"/>
        <v>1</v>
      </c>
      <c r="BS25" s="327">
        <f t="shared" si="95"/>
        <v>1</v>
      </c>
      <c r="BT25" s="327">
        <f t="shared" si="96"/>
        <v>1</v>
      </c>
      <c r="BU25" s="327">
        <f t="shared" si="97"/>
        <v>1</v>
      </c>
      <c r="BV25" s="327">
        <f t="shared" si="98"/>
        <v>1</v>
      </c>
      <c r="BW25" s="327">
        <f t="shared" si="99"/>
        <v>1</v>
      </c>
      <c r="BX25" s="327">
        <f t="shared" si="100"/>
        <v>1</v>
      </c>
      <c r="BY25" s="327">
        <f t="shared" si="101"/>
        <v>1</v>
      </c>
      <c r="BZ25" s="328">
        <f t="shared" si="102"/>
        <v>1</v>
      </c>
      <c r="CA25" s="327">
        <f t="shared" si="103"/>
        <v>1</v>
      </c>
      <c r="CB25" s="327">
        <f t="shared" si="104"/>
        <v>1</v>
      </c>
      <c r="CC25" s="327">
        <f t="shared" si="105"/>
        <v>1</v>
      </c>
      <c r="CD25" s="327">
        <f t="shared" si="106"/>
        <v>1</v>
      </c>
      <c r="CE25" s="327">
        <f t="shared" si="107"/>
        <v>1</v>
      </c>
      <c r="CF25" s="327">
        <f t="shared" si="108"/>
        <v>1</v>
      </c>
      <c r="CG25" s="327">
        <f t="shared" si="109"/>
        <v>1</v>
      </c>
      <c r="CH25" s="328">
        <f t="shared" si="110"/>
        <v>1</v>
      </c>
      <c r="CI25" s="488">
        <f t="shared" si="111"/>
        <v>16</v>
      </c>
      <c r="CJ25" s="486">
        <f t="shared" si="112"/>
        <v>8</v>
      </c>
      <c r="CK25" s="489">
        <f t="shared" si="113"/>
        <v>24</v>
      </c>
      <c r="CL25" s="565">
        <f t="shared" si="116"/>
        <v>1.0000000111758709</v>
      </c>
      <c r="CM25" s="562">
        <f t="shared" si="117"/>
        <v>1.0000000149011612</v>
      </c>
    </row>
    <row r="26" spans="3:91" x14ac:dyDescent="0.25">
      <c r="C26" s="143"/>
      <c r="D26" s="143"/>
      <c r="E26" s="323">
        <v>6</v>
      </c>
      <c r="F26" s="339">
        <v>1.2523256540298462</v>
      </c>
      <c r="G26" s="340">
        <v>1.2323281764984131</v>
      </c>
      <c r="H26" s="340">
        <v>1.2303149700164795</v>
      </c>
      <c r="I26" s="340">
        <v>1.220920205116272</v>
      </c>
      <c r="J26" s="340">
        <v>1.2151490449905396</v>
      </c>
      <c r="K26" s="340">
        <v>1.1040221452713013</v>
      </c>
      <c r="L26" s="340">
        <v>1.062416672706604</v>
      </c>
      <c r="M26" s="340">
        <v>1.0375875234603882</v>
      </c>
      <c r="N26" s="340">
        <v>0.98511093854904175</v>
      </c>
      <c r="O26" s="340">
        <v>0.91867631673812866</v>
      </c>
      <c r="P26" s="340">
        <v>0.90163153409957886</v>
      </c>
      <c r="Q26" s="340">
        <v>0.85640227794647217</v>
      </c>
      <c r="R26" s="340">
        <v>0.82969427108764648</v>
      </c>
      <c r="S26" s="340">
        <v>0.76567548513412476</v>
      </c>
      <c r="T26" s="340">
        <v>0.73668581247329712</v>
      </c>
      <c r="U26" s="341">
        <v>0.65105903148651123</v>
      </c>
      <c r="V26" s="340">
        <v>1.3963884115219116</v>
      </c>
      <c r="W26" s="340">
        <v>1.1566015481948853</v>
      </c>
      <c r="X26" s="340">
        <v>1.1346950531005859</v>
      </c>
      <c r="Y26" s="340">
        <v>0.98963886499404907</v>
      </c>
      <c r="Z26" s="340">
        <v>0.95825934410095215</v>
      </c>
      <c r="AA26" s="340">
        <v>0.8111308217048645</v>
      </c>
      <c r="AB26" s="340">
        <v>0.80550622940063477</v>
      </c>
      <c r="AC26" s="341">
        <v>0.7477797269821167</v>
      </c>
      <c r="AD26" s="143"/>
      <c r="AE26" s="323">
        <v>8</v>
      </c>
      <c r="AF26" s="326">
        <f t="shared" si="60"/>
        <v>1</v>
      </c>
      <c r="AG26" s="327">
        <f t="shared" si="61"/>
        <v>1</v>
      </c>
      <c r="AH26" s="327">
        <f t="shared" si="62"/>
        <v>1</v>
      </c>
      <c r="AI26" s="327">
        <f t="shared" si="63"/>
        <v>1</v>
      </c>
      <c r="AJ26" s="327">
        <f t="shared" si="64"/>
        <v>1</v>
      </c>
      <c r="AK26" s="327">
        <f t="shared" si="65"/>
        <v>1</v>
      </c>
      <c r="AL26" s="327">
        <f t="shared" si="66"/>
        <v>1</v>
      </c>
      <c r="AM26" s="327">
        <f t="shared" si="67"/>
        <v>1</v>
      </c>
      <c r="AN26" s="327">
        <f t="shared" si="68"/>
        <v>1</v>
      </c>
      <c r="AO26" s="327">
        <f t="shared" si="69"/>
        <v>1</v>
      </c>
      <c r="AP26" s="327">
        <f t="shared" si="70"/>
        <v>1</v>
      </c>
      <c r="AQ26" s="327">
        <f t="shared" si="71"/>
        <v>1</v>
      </c>
      <c r="AR26" s="327">
        <f t="shared" si="72"/>
        <v>1</v>
      </c>
      <c r="AS26" s="327">
        <f t="shared" si="73"/>
        <v>1</v>
      </c>
      <c r="AT26" s="327">
        <f t="shared" si="74"/>
        <v>1</v>
      </c>
      <c r="AU26" s="328">
        <f t="shared" si="75"/>
        <v>1</v>
      </c>
      <c r="AV26" s="327">
        <f t="shared" si="76"/>
        <v>1</v>
      </c>
      <c r="AW26" s="327">
        <f t="shared" si="77"/>
        <v>1</v>
      </c>
      <c r="AX26" s="327">
        <f t="shared" si="78"/>
        <v>1</v>
      </c>
      <c r="AY26" s="327">
        <f t="shared" si="79"/>
        <v>1</v>
      </c>
      <c r="AZ26" s="327">
        <f t="shared" si="80"/>
        <v>1</v>
      </c>
      <c r="BA26" s="327">
        <f t="shared" si="81"/>
        <v>1</v>
      </c>
      <c r="BB26" s="327">
        <f t="shared" si="82"/>
        <v>1</v>
      </c>
      <c r="BC26" s="328">
        <f t="shared" si="83"/>
        <v>1</v>
      </c>
      <c r="BD26" s="488">
        <f t="shared" si="84"/>
        <v>16</v>
      </c>
      <c r="BE26" s="486">
        <f t="shared" si="85"/>
        <v>8</v>
      </c>
      <c r="BF26" s="489">
        <f t="shared" si="86"/>
        <v>24</v>
      </c>
      <c r="BG26" s="565">
        <f t="shared" si="114"/>
        <v>1</v>
      </c>
      <c r="BH26" s="562">
        <f t="shared" si="115"/>
        <v>1.0000000074505806</v>
      </c>
      <c r="BJ26" s="323">
        <v>8</v>
      </c>
      <c r="BK26" s="326">
        <f t="shared" si="87"/>
        <v>1</v>
      </c>
      <c r="BL26" s="327">
        <f t="shared" si="88"/>
        <v>1</v>
      </c>
      <c r="BM26" s="327">
        <f t="shared" si="89"/>
        <v>1</v>
      </c>
      <c r="BN26" s="327">
        <f t="shared" si="90"/>
        <v>1</v>
      </c>
      <c r="BO26" s="327">
        <f t="shared" si="91"/>
        <v>1</v>
      </c>
      <c r="BP26" s="327">
        <f t="shared" si="92"/>
        <v>1</v>
      </c>
      <c r="BQ26" s="327">
        <f t="shared" si="93"/>
        <v>1</v>
      </c>
      <c r="BR26" s="327">
        <f t="shared" si="94"/>
        <v>1</v>
      </c>
      <c r="BS26" s="327">
        <f t="shared" si="95"/>
        <v>1</v>
      </c>
      <c r="BT26" s="327">
        <f t="shared" si="96"/>
        <v>1</v>
      </c>
      <c r="BU26" s="327">
        <f t="shared" si="97"/>
        <v>1</v>
      </c>
      <c r="BV26" s="327">
        <f t="shared" si="98"/>
        <v>1</v>
      </c>
      <c r="BW26" s="327">
        <f t="shared" si="99"/>
        <v>1</v>
      </c>
      <c r="BX26" s="327">
        <f t="shared" si="100"/>
        <v>1</v>
      </c>
      <c r="BY26" s="327">
        <f t="shared" si="101"/>
        <v>1</v>
      </c>
      <c r="BZ26" s="328">
        <f t="shared" si="102"/>
        <v>1</v>
      </c>
      <c r="CA26" s="327">
        <f t="shared" si="103"/>
        <v>1</v>
      </c>
      <c r="CB26" s="327">
        <f t="shared" si="104"/>
        <v>1</v>
      </c>
      <c r="CC26" s="327">
        <f t="shared" si="105"/>
        <v>1</v>
      </c>
      <c r="CD26" s="327">
        <f t="shared" si="106"/>
        <v>1</v>
      </c>
      <c r="CE26" s="327">
        <f t="shared" si="107"/>
        <v>1</v>
      </c>
      <c r="CF26" s="327">
        <f t="shared" si="108"/>
        <v>1</v>
      </c>
      <c r="CG26" s="327">
        <f t="shared" si="109"/>
        <v>1</v>
      </c>
      <c r="CH26" s="328">
        <f t="shared" si="110"/>
        <v>1</v>
      </c>
      <c r="CI26" s="488">
        <f t="shared" si="111"/>
        <v>16</v>
      </c>
      <c r="CJ26" s="486">
        <f t="shared" si="112"/>
        <v>8</v>
      </c>
      <c r="CK26" s="489">
        <f t="shared" si="113"/>
        <v>24</v>
      </c>
      <c r="CL26" s="565">
        <f t="shared" si="116"/>
        <v>1</v>
      </c>
      <c r="CM26" s="562">
        <f t="shared" si="117"/>
        <v>1.0000000074505806</v>
      </c>
    </row>
    <row r="27" spans="3:91" x14ac:dyDescent="0.25">
      <c r="C27" s="143"/>
      <c r="D27" s="143"/>
      <c r="E27" s="323">
        <v>7</v>
      </c>
      <c r="F27" s="339">
        <v>1.3538888692855835</v>
      </c>
      <c r="G27" s="340">
        <v>1.3273402452468872</v>
      </c>
      <c r="H27" s="340">
        <v>1.3203393220901489</v>
      </c>
      <c r="I27" s="340">
        <v>1.2506946325302124</v>
      </c>
      <c r="J27" s="340">
        <v>1.2006887197494507</v>
      </c>
      <c r="K27" s="340">
        <v>1.1615931987762451</v>
      </c>
      <c r="L27" s="340">
        <v>1.1027679443359375</v>
      </c>
      <c r="M27" s="340">
        <v>1.0539439916610718</v>
      </c>
      <c r="N27" s="340">
        <v>0.95638686418533325</v>
      </c>
      <c r="O27" s="340">
        <v>0.90256226062774658</v>
      </c>
      <c r="P27" s="340">
        <v>0.88155972957611084</v>
      </c>
      <c r="Q27" s="340">
        <v>0.81600648164749146</v>
      </c>
      <c r="R27" s="340">
        <v>0.77472877502441406</v>
      </c>
      <c r="S27" s="340">
        <v>0.66417014598846436</v>
      </c>
      <c r="T27" s="340">
        <v>0.64707720279693604</v>
      </c>
      <c r="U27" s="341">
        <v>0.58625179529190063</v>
      </c>
      <c r="V27" s="340">
        <v>1.2616589069366455</v>
      </c>
      <c r="W27" s="340">
        <v>1.1151212453842163</v>
      </c>
      <c r="X27" s="340">
        <v>1.0185890197753906</v>
      </c>
      <c r="Y27" s="340">
        <v>1.0157625675201416</v>
      </c>
      <c r="Z27" s="340">
        <v>0.97054028511047363</v>
      </c>
      <c r="AA27" s="340">
        <v>0.914664626121521</v>
      </c>
      <c r="AB27" s="340">
        <v>0.87400805950164795</v>
      </c>
      <c r="AC27" s="341">
        <v>0.82965540885925293</v>
      </c>
      <c r="AD27" s="143"/>
      <c r="AE27" s="323">
        <v>9</v>
      </c>
      <c r="AF27" s="326">
        <f t="shared" si="60"/>
        <v>1</v>
      </c>
      <c r="AG27" s="327">
        <f t="shared" si="61"/>
        <v>1</v>
      </c>
      <c r="AH27" s="327">
        <f t="shared" si="62"/>
        <v>1</v>
      </c>
      <c r="AI27" s="327">
        <f t="shared" si="63"/>
        <v>1</v>
      </c>
      <c r="AJ27" s="327">
        <f t="shared" si="64"/>
        <v>1</v>
      </c>
      <c r="AK27" s="327">
        <f t="shared" si="65"/>
        <v>1</v>
      </c>
      <c r="AL27" s="327">
        <f t="shared" si="66"/>
        <v>1</v>
      </c>
      <c r="AM27" s="327">
        <f t="shared" si="67"/>
        <v>1</v>
      </c>
      <c r="AN27" s="327">
        <f t="shared" si="68"/>
        <v>1</v>
      </c>
      <c r="AO27" s="327">
        <f t="shared" si="69"/>
        <v>1</v>
      </c>
      <c r="AP27" s="327">
        <f t="shared" si="70"/>
        <v>1</v>
      </c>
      <c r="AQ27" s="327">
        <f t="shared" si="71"/>
        <v>1</v>
      </c>
      <c r="AR27" s="327">
        <f t="shared" si="72"/>
        <v>1</v>
      </c>
      <c r="AS27" s="327">
        <f t="shared" si="73"/>
        <v>1</v>
      </c>
      <c r="AT27" s="327">
        <f t="shared" si="74"/>
        <v>1</v>
      </c>
      <c r="AU27" s="328">
        <f t="shared" si="75"/>
        <v>1</v>
      </c>
      <c r="AV27" s="327">
        <f t="shared" si="76"/>
        <v>1</v>
      </c>
      <c r="AW27" s="327">
        <f t="shared" si="77"/>
        <v>1</v>
      </c>
      <c r="AX27" s="327">
        <f t="shared" si="78"/>
        <v>1</v>
      </c>
      <c r="AY27" s="327">
        <f t="shared" si="79"/>
        <v>1</v>
      </c>
      <c r="AZ27" s="327">
        <f t="shared" si="80"/>
        <v>1</v>
      </c>
      <c r="BA27" s="327">
        <f t="shared" si="81"/>
        <v>1</v>
      </c>
      <c r="BB27" s="327">
        <f t="shared" si="82"/>
        <v>1</v>
      </c>
      <c r="BC27" s="328">
        <f t="shared" si="83"/>
        <v>1</v>
      </c>
      <c r="BD27" s="488">
        <f t="shared" si="84"/>
        <v>16</v>
      </c>
      <c r="BE27" s="486">
        <f t="shared" si="85"/>
        <v>8</v>
      </c>
      <c r="BF27" s="489">
        <f t="shared" si="86"/>
        <v>24</v>
      </c>
      <c r="BG27" s="565">
        <f t="shared" si="114"/>
        <v>1.0000000074505806</v>
      </c>
      <c r="BH27" s="562">
        <f t="shared" si="115"/>
        <v>1.0000000149011612</v>
      </c>
      <c r="BJ27" s="323">
        <v>9</v>
      </c>
      <c r="BK27" s="326">
        <f t="shared" si="87"/>
        <v>1</v>
      </c>
      <c r="BL27" s="327">
        <f t="shared" si="88"/>
        <v>1</v>
      </c>
      <c r="BM27" s="327">
        <f t="shared" si="89"/>
        <v>1</v>
      </c>
      <c r="BN27" s="327">
        <f t="shared" si="90"/>
        <v>1</v>
      </c>
      <c r="BO27" s="327">
        <f t="shared" si="91"/>
        <v>1</v>
      </c>
      <c r="BP27" s="327">
        <f t="shared" si="92"/>
        <v>1</v>
      </c>
      <c r="BQ27" s="327">
        <f t="shared" si="93"/>
        <v>1</v>
      </c>
      <c r="BR27" s="327">
        <f t="shared" si="94"/>
        <v>1</v>
      </c>
      <c r="BS27" s="327">
        <f t="shared" si="95"/>
        <v>1</v>
      </c>
      <c r="BT27" s="327">
        <f t="shared" si="96"/>
        <v>1</v>
      </c>
      <c r="BU27" s="327">
        <f t="shared" si="97"/>
        <v>1</v>
      </c>
      <c r="BV27" s="327">
        <f t="shared" si="98"/>
        <v>1</v>
      </c>
      <c r="BW27" s="327">
        <f t="shared" si="99"/>
        <v>1</v>
      </c>
      <c r="BX27" s="327">
        <f t="shared" si="100"/>
        <v>1</v>
      </c>
      <c r="BY27" s="327">
        <f t="shared" si="101"/>
        <v>1</v>
      </c>
      <c r="BZ27" s="328">
        <f t="shared" si="102"/>
        <v>1</v>
      </c>
      <c r="CA27" s="327">
        <f t="shared" si="103"/>
        <v>1</v>
      </c>
      <c r="CB27" s="327">
        <f t="shared" si="104"/>
        <v>1</v>
      </c>
      <c r="CC27" s="327">
        <f t="shared" si="105"/>
        <v>1</v>
      </c>
      <c r="CD27" s="327">
        <f t="shared" si="106"/>
        <v>1</v>
      </c>
      <c r="CE27" s="327">
        <f t="shared" si="107"/>
        <v>1</v>
      </c>
      <c r="CF27" s="327">
        <f t="shared" si="108"/>
        <v>1</v>
      </c>
      <c r="CG27" s="327">
        <f t="shared" si="109"/>
        <v>1</v>
      </c>
      <c r="CH27" s="328">
        <f t="shared" si="110"/>
        <v>1</v>
      </c>
      <c r="CI27" s="488">
        <f t="shared" si="111"/>
        <v>16</v>
      </c>
      <c r="CJ27" s="486">
        <f t="shared" si="112"/>
        <v>8</v>
      </c>
      <c r="CK27" s="489">
        <f t="shared" si="113"/>
        <v>24</v>
      </c>
      <c r="CL27" s="565">
        <f t="shared" si="116"/>
        <v>1.0000000074505806</v>
      </c>
      <c r="CM27" s="562">
        <f t="shared" si="117"/>
        <v>1.0000000149011612</v>
      </c>
    </row>
    <row r="28" spans="3:91" x14ac:dyDescent="0.25">
      <c r="C28" s="143"/>
      <c r="D28" s="143"/>
      <c r="E28" s="323">
        <v>8</v>
      </c>
      <c r="F28" s="339">
        <v>1.2605732679367065</v>
      </c>
      <c r="G28" s="340">
        <v>1.2430108785629272</v>
      </c>
      <c r="H28" s="340">
        <v>1.2150462865829468</v>
      </c>
      <c r="I28" s="340">
        <v>1.1907291412353516</v>
      </c>
      <c r="J28" s="340">
        <v>1.1252079010009766</v>
      </c>
      <c r="K28" s="340">
        <v>1.0933254957199097</v>
      </c>
      <c r="L28" s="340">
        <v>1.0846793651580811</v>
      </c>
      <c r="M28" s="340">
        <v>1.0506353378295898</v>
      </c>
      <c r="N28" s="340">
        <v>1.0488791465759277</v>
      </c>
      <c r="O28" s="340">
        <v>0.92931985855102539</v>
      </c>
      <c r="P28" s="340">
        <v>0.91716128587722778</v>
      </c>
      <c r="Q28" s="340">
        <v>0.89338457584381104</v>
      </c>
      <c r="R28" s="340">
        <v>0.83502340316772461</v>
      </c>
      <c r="S28" s="340">
        <v>0.72465068101882935</v>
      </c>
      <c r="T28" s="340">
        <v>0.72343480587005615</v>
      </c>
      <c r="U28" s="341">
        <v>0.66493856906890869</v>
      </c>
      <c r="V28" s="340">
        <v>1.2636171579360962</v>
      </c>
      <c r="W28" s="340">
        <v>1.1172877550125122</v>
      </c>
      <c r="X28" s="340">
        <v>1.0916116237640381</v>
      </c>
      <c r="Y28" s="340">
        <v>0.9854169487953186</v>
      </c>
      <c r="Z28" s="340">
        <v>0.96023929119110107</v>
      </c>
      <c r="AA28" s="340">
        <v>0.8849557638168335</v>
      </c>
      <c r="AB28" s="340">
        <v>0.86426526308059692</v>
      </c>
      <c r="AC28" s="341">
        <v>0.83260625600814819</v>
      </c>
      <c r="AD28" s="143"/>
      <c r="AE28" s="323">
        <v>10</v>
      </c>
      <c r="AF28" s="326">
        <f t="shared" si="60"/>
        <v>1</v>
      </c>
      <c r="AG28" s="327">
        <f t="shared" si="61"/>
        <v>1</v>
      </c>
      <c r="AH28" s="327">
        <f t="shared" si="62"/>
        <v>1</v>
      </c>
      <c r="AI28" s="327">
        <f t="shared" si="63"/>
        <v>1</v>
      </c>
      <c r="AJ28" s="327">
        <f t="shared" si="64"/>
        <v>1</v>
      </c>
      <c r="AK28" s="327">
        <f t="shared" si="65"/>
        <v>1</v>
      </c>
      <c r="AL28" s="327">
        <f t="shared" si="66"/>
        <v>1</v>
      </c>
      <c r="AM28" s="327">
        <f t="shared" si="67"/>
        <v>1</v>
      </c>
      <c r="AN28" s="327">
        <f t="shared" si="68"/>
        <v>1</v>
      </c>
      <c r="AO28" s="327">
        <f t="shared" si="69"/>
        <v>1</v>
      </c>
      <c r="AP28" s="327">
        <f t="shared" si="70"/>
        <v>1</v>
      </c>
      <c r="AQ28" s="327">
        <f t="shared" si="71"/>
        <v>1</v>
      </c>
      <c r="AR28" s="327">
        <f t="shared" si="72"/>
        <v>1</v>
      </c>
      <c r="AS28" s="327">
        <f t="shared" si="73"/>
        <v>1</v>
      </c>
      <c r="AT28" s="327">
        <f t="shared" si="74"/>
        <v>1</v>
      </c>
      <c r="AU28" s="328">
        <f t="shared" si="75"/>
        <v>1</v>
      </c>
      <c r="AV28" s="327">
        <f t="shared" si="76"/>
        <v>1</v>
      </c>
      <c r="AW28" s="327">
        <f t="shared" si="77"/>
        <v>1</v>
      </c>
      <c r="AX28" s="327">
        <f t="shared" si="78"/>
        <v>1</v>
      </c>
      <c r="AY28" s="327">
        <f t="shared" si="79"/>
        <v>1</v>
      </c>
      <c r="AZ28" s="327">
        <f t="shared" si="80"/>
        <v>1</v>
      </c>
      <c r="BA28" s="327">
        <f t="shared" si="81"/>
        <v>1</v>
      </c>
      <c r="BB28" s="327">
        <f t="shared" si="82"/>
        <v>1</v>
      </c>
      <c r="BC28" s="328">
        <f t="shared" si="83"/>
        <v>1</v>
      </c>
      <c r="BD28" s="488">
        <f t="shared" si="84"/>
        <v>16</v>
      </c>
      <c r="BE28" s="486">
        <f t="shared" si="85"/>
        <v>8</v>
      </c>
      <c r="BF28" s="489">
        <f t="shared" si="86"/>
        <v>24</v>
      </c>
      <c r="BG28" s="565">
        <f t="shared" si="114"/>
        <v>1.0000187270343304</v>
      </c>
      <c r="BH28" s="562">
        <f t="shared" si="115"/>
        <v>1.0000000074505806</v>
      </c>
      <c r="BJ28" s="323">
        <v>10</v>
      </c>
      <c r="BK28" s="326">
        <f t="shared" si="87"/>
        <v>1</v>
      </c>
      <c r="BL28" s="327">
        <f t="shared" si="88"/>
        <v>1</v>
      </c>
      <c r="BM28" s="327">
        <f t="shared" si="89"/>
        <v>1</v>
      </c>
      <c r="BN28" s="327">
        <f t="shared" si="90"/>
        <v>1</v>
      </c>
      <c r="BO28" s="327">
        <f t="shared" si="91"/>
        <v>1</v>
      </c>
      <c r="BP28" s="327">
        <f t="shared" si="92"/>
        <v>1</v>
      </c>
      <c r="BQ28" s="327">
        <f t="shared" si="93"/>
        <v>1</v>
      </c>
      <c r="BR28" s="327">
        <f t="shared" si="94"/>
        <v>1</v>
      </c>
      <c r="BS28" s="327">
        <f t="shared" si="95"/>
        <v>1</v>
      </c>
      <c r="BT28" s="327">
        <f t="shared" si="96"/>
        <v>1</v>
      </c>
      <c r="BU28" s="327">
        <f t="shared" si="97"/>
        <v>1</v>
      </c>
      <c r="BV28" s="327">
        <f t="shared" si="98"/>
        <v>1</v>
      </c>
      <c r="BW28" s="327">
        <f t="shared" si="99"/>
        <v>1</v>
      </c>
      <c r="BX28" s="327">
        <f t="shared" si="100"/>
        <v>1</v>
      </c>
      <c r="BY28" s="327">
        <f t="shared" si="101"/>
        <v>1</v>
      </c>
      <c r="BZ28" s="328">
        <f t="shared" si="102"/>
        <v>1</v>
      </c>
      <c r="CA28" s="327">
        <f t="shared" si="103"/>
        <v>1</v>
      </c>
      <c r="CB28" s="327">
        <f t="shared" si="104"/>
        <v>1</v>
      </c>
      <c r="CC28" s="327">
        <f t="shared" si="105"/>
        <v>1</v>
      </c>
      <c r="CD28" s="327">
        <f t="shared" si="106"/>
        <v>1</v>
      </c>
      <c r="CE28" s="327">
        <f t="shared" si="107"/>
        <v>1</v>
      </c>
      <c r="CF28" s="327">
        <f t="shared" si="108"/>
        <v>1</v>
      </c>
      <c r="CG28" s="327">
        <f t="shared" si="109"/>
        <v>1</v>
      </c>
      <c r="CH28" s="328">
        <f t="shared" si="110"/>
        <v>1</v>
      </c>
      <c r="CI28" s="488">
        <f t="shared" si="111"/>
        <v>16</v>
      </c>
      <c r="CJ28" s="486">
        <f t="shared" si="112"/>
        <v>8</v>
      </c>
      <c r="CK28" s="489">
        <f t="shared" si="113"/>
        <v>24</v>
      </c>
      <c r="CL28" s="565">
        <f t="shared" si="116"/>
        <v>1.0000187270343304</v>
      </c>
      <c r="CM28" s="562">
        <f t="shared" si="117"/>
        <v>1.0000000074505806</v>
      </c>
    </row>
    <row r="29" spans="3:91" x14ac:dyDescent="0.25">
      <c r="C29" s="143"/>
      <c r="D29" s="143"/>
      <c r="E29" s="323">
        <v>9</v>
      </c>
      <c r="F29" s="339">
        <v>1.1944408416748047</v>
      </c>
      <c r="G29" s="340">
        <v>1.1846263408660889</v>
      </c>
      <c r="H29" s="340">
        <v>1.1345283985137939</v>
      </c>
      <c r="I29" s="340">
        <v>1.1066962480545044</v>
      </c>
      <c r="J29" s="340">
        <v>1.1047918796539307</v>
      </c>
      <c r="K29" s="340">
        <v>1.087360143661499</v>
      </c>
      <c r="L29" s="340">
        <v>1.079303503036499</v>
      </c>
      <c r="M29" s="340">
        <v>1.0533756017684937</v>
      </c>
      <c r="N29" s="340">
        <v>1.0205628871917725</v>
      </c>
      <c r="O29" s="340">
        <v>1.0129456520080566</v>
      </c>
      <c r="P29" s="340">
        <v>0.94849210977554321</v>
      </c>
      <c r="Q29" s="340">
        <v>0.90908759832382202</v>
      </c>
      <c r="R29" s="340">
        <v>0.90645086765289307</v>
      </c>
      <c r="S29" s="340">
        <v>0.77710437774658203</v>
      </c>
      <c r="T29" s="340">
        <v>0.75981909036636353</v>
      </c>
      <c r="U29" s="341">
        <v>0.72041457891464233</v>
      </c>
      <c r="V29" s="340">
        <v>1.4138345718383789</v>
      </c>
      <c r="W29" s="340">
        <v>1.1249921321868896</v>
      </c>
      <c r="X29" s="340">
        <v>1.039681077003479</v>
      </c>
      <c r="Y29" s="340">
        <v>0.99664580821990967</v>
      </c>
      <c r="Z29" s="340">
        <v>0.89842414855957031</v>
      </c>
      <c r="AA29" s="340">
        <v>0.87437504529953003</v>
      </c>
      <c r="AB29" s="340">
        <v>0.83209925889968872</v>
      </c>
      <c r="AC29" s="341">
        <v>0.81994807720184326</v>
      </c>
      <c r="AD29" s="143"/>
      <c r="AE29" s="323">
        <v>11</v>
      </c>
      <c r="AF29" s="326">
        <f t="shared" si="60"/>
        <v>1</v>
      </c>
      <c r="AG29" s="327">
        <f t="shared" si="61"/>
        <v>1</v>
      </c>
      <c r="AH29" s="327">
        <f t="shared" si="62"/>
        <v>1</v>
      </c>
      <c r="AI29" s="327">
        <f t="shared" si="63"/>
        <v>1</v>
      </c>
      <c r="AJ29" s="327">
        <f t="shared" si="64"/>
        <v>1</v>
      </c>
      <c r="AK29" s="327">
        <f t="shared" si="65"/>
        <v>1</v>
      </c>
      <c r="AL29" s="327">
        <f t="shared" si="66"/>
        <v>1</v>
      </c>
      <c r="AM29" s="327">
        <f t="shared" si="67"/>
        <v>1</v>
      </c>
      <c r="AN29" s="327">
        <f t="shared" si="68"/>
        <v>1</v>
      </c>
      <c r="AO29" s="327">
        <f t="shared" si="69"/>
        <v>1</v>
      </c>
      <c r="AP29" s="327">
        <f t="shared" si="70"/>
        <v>1</v>
      </c>
      <c r="AQ29" s="327">
        <f t="shared" si="71"/>
        <v>1</v>
      </c>
      <c r="AR29" s="327">
        <f t="shared" si="72"/>
        <v>1</v>
      </c>
      <c r="AS29" s="327">
        <f t="shared" si="73"/>
        <v>1</v>
      </c>
      <c r="AT29" s="327">
        <f t="shared" si="74"/>
        <v>1</v>
      </c>
      <c r="AU29" s="328">
        <f t="shared" si="75"/>
        <v>1</v>
      </c>
      <c r="AV29" s="327">
        <f t="shared" si="76"/>
        <v>1</v>
      </c>
      <c r="AW29" s="327">
        <f t="shared" si="77"/>
        <v>1</v>
      </c>
      <c r="AX29" s="327">
        <f t="shared" si="78"/>
        <v>1</v>
      </c>
      <c r="AY29" s="327">
        <f t="shared" si="79"/>
        <v>1</v>
      </c>
      <c r="AZ29" s="327">
        <f t="shared" si="80"/>
        <v>1</v>
      </c>
      <c r="BA29" s="327">
        <f t="shared" si="81"/>
        <v>1</v>
      </c>
      <c r="BB29" s="327">
        <f t="shared" si="82"/>
        <v>1</v>
      </c>
      <c r="BC29" s="328">
        <f t="shared" si="83"/>
        <v>1</v>
      </c>
      <c r="BD29" s="488">
        <f t="shared" si="84"/>
        <v>16</v>
      </c>
      <c r="BE29" s="486">
        <f t="shared" si="85"/>
        <v>8</v>
      </c>
      <c r="BF29" s="489">
        <f t="shared" si="86"/>
        <v>24</v>
      </c>
      <c r="BG29" s="565">
        <f t="shared" si="114"/>
        <v>0.99996249377727509</v>
      </c>
      <c r="BH29" s="562">
        <f t="shared" si="115"/>
        <v>1.0000000074505806</v>
      </c>
      <c r="BJ29" s="323">
        <v>11</v>
      </c>
      <c r="BK29" s="326">
        <f t="shared" si="87"/>
        <v>1</v>
      </c>
      <c r="BL29" s="327">
        <f t="shared" si="88"/>
        <v>1</v>
      </c>
      <c r="BM29" s="327">
        <f t="shared" si="89"/>
        <v>1</v>
      </c>
      <c r="BN29" s="327">
        <f t="shared" si="90"/>
        <v>1</v>
      </c>
      <c r="BO29" s="327">
        <f t="shared" si="91"/>
        <v>1</v>
      </c>
      <c r="BP29" s="327">
        <f t="shared" si="92"/>
        <v>1</v>
      </c>
      <c r="BQ29" s="327">
        <f t="shared" si="93"/>
        <v>1</v>
      </c>
      <c r="BR29" s="327">
        <f t="shared" si="94"/>
        <v>1</v>
      </c>
      <c r="BS29" s="327">
        <f t="shared" si="95"/>
        <v>1</v>
      </c>
      <c r="BT29" s="327">
        <f t="shared" si="96"/>
        <v>1</v>
      </c>
      <c r="BU29" s="327">
        <f t="shared" si="97"/>
        <v>1</v>
      </c>
      <c r="BV29" s="327">
        <f t="shared" si="98"/>
        <v>1</v>
      </c>
      <c r="BW29" s="327">
        <f t="shared" si="99"/>
        <v>1</v>
      </c>
      <c r="BX29" s="327">
        <f t="shared" si="100"/>
        <v>1</v>
      </c>
      <c r="BY29" s="327">
        <f t="shared" si="101"/>
        <v>1</v>
      </c>
      <c r="BZ29" s="328">
        <f t="shared" si="102"/>
        <v>1</v>
      </c>
      <c r="CA29" s="327">
        <f t="shared" si="103"/>
        <v>1</v>
      </c>
      <c r="CB29" s="327">
        <f t="shared" si="104"/>
        <v>1</v>
      </c>
      <c r="CC29" s="327">
        <f t="shared" si="105"/>
        <v>1</v>
      </c>
      <c r="CD29" s="327">
        <f t="shared" si="106"/>
        <v>1</v>
      </c>
      <c r="CE29" s="327">
        <f t="shared" si="107"/>
        <v>1</v>
      </c>
      <c r="CF29" s="327">
        <f t="shared" si="108"/>
        <v>1</v>
      </c>
      <c r="CG29" s="327">
        <f t="shared" si="109"/>
        <v>1</v>
      </c>
      <c r="CH29" s="328">
        <f t="shared" si="110"/>
        <v>1</v>
      </c>
      <c r="CI29" s="488">
        <f t="shared" si="111"/>
        <v>16</v>
      </c>
      <c r="CJ29" s="486">
        <f t="shared" si="112"/>
        <v>8</v>
      </c>
      <c r="CK29" s="489">
        <f t="shared" si="113"/>
        <v>24</v>
      </c>
      <c r="CL29" s="565">
        <f t="shared" si="116"/>
        <v>0.99996249377727509</v>
      </c>
      <c r="CM29" s="562">
        <f t="shared" si="117"/>
        <v>1.0000000074505806</v>
      </c>
    </row>
    <row r="30" spans="3:91" ht="13.8" thickBot="1" x14ac:dyDescent="0.3">
      <c r="C30" s="143"/>
      <c r="D30" s="143"/>
      <c r="E30" s="323">
        <v>10</v>
      </c>
      <c r="F30" s="339">
        <v>1.2094999551773071</v>
      </c>
      <c r="G30" s="340">
        <v>1.2000999450683594</v>
      </c>
      <c r="H30" s="340">
        <v>1.1567000150680542</v>
      </c>
      <c r="I30" s="340">
        <v>1.132599949836731</v>
      </c>
      <c r="J30" s="340">
        <v>1.12909996509552</v>
      </c>
      <c r="K30" s="340">
        <v>1.1226999759674072</v>
      </c>
      <c r="L30" s="340">
        <v>1.0688999891281128</v>
      </c>
      <c r="M30" s="340">
        <v>1.0614999532699585</v>
      </c>
      <c r="N30" s="340">
        <v>0.94739997386932373</v>
      </c>
      <c r="O30" s="340">
        <v>0.88990002870559692</v>
      </c>
      <c r="P30" s="340">
        <v>0.88959997892379761</v>
      </c>
      <c r="Q30" s="340">
        <v>0.88669997453689575</v>
      </c>
      <c r="R30" s="340">
        <v>0.8651999831199646</v>
      </c>
      <c r="S30" s="340">
        <v>0.84509998559951782</v>
      </c>
      <c r="T30" s="340">
        <v>0.83929997682571411</v>
      </c>
      <c r="U30" s="341">
        <v>0.75599998235702515</v>
      </c>
      <c r="V30" s="340">
        <v>1.3760000467300415</v>
      </c>
      <c r="W30" s="340">
        <v>1.0643999576568604</v>
      </c>
      <c r="X30" s="340">
        <v>1.0505000352859497</v>
      </c>
      <c r="Y30" s="340">
        <v>0.94950002431869507</v>
      </c>
      <c r="Z30" s="340">
        <v>0.92650002241134644</v>
      </c>
      <c r="AA30" s="340">
        <v>0.90119999647140503</v>
      </c>
      <c r="AB30" s="340">
        <v>0.86619997024536133</v>
      </c>
      <c r="AC30" s="341">
        <v>0.86570000648498535</v>
      </c>
      <c r="AD30" s="143"/>
      <c r="AE30" s="334">
        <v>12</v>
      </c>
      <c r="AF30" s="335">
        <f t="shared" si="60"/>
        <v>1</v>
      </c>
      <c r="AG30" s="336">
        <f t="shared" si="61"/>
        <v>1</v>
      </c>
      <c r="AH30" s="336">
        <f t="shared" si="62"/>
        <v>1</v>
      </c>
      <c r="AI30" s="336">
        <f t="shared" si="63"/>
        <v>1</v>
      </c>
      <c r="AJ30" s="336">
        <f t="shared" si="64"/>
        <v>1</v>
      </c>
      <c r="AK30" s="336">
        <f t="shared" si="65"/>
        <v>1</v>
      </c>
      <c r="AL30" s="336">
        <f t="shared" si="66"/>
        <v>1</v>
      </c>
      <c r="AM30" s="336">
        <f t="shared" si="67"/>
        <v>1</v>
      </c>
      <c r="AN30" s="336">
        <f t="shared" si="68"/>
        <v>1</v>
      </c>
      <c r="AO30" s="336">
        <f t="shared" si="69"/>
        <v>1</v>
      </c>
      <c r="AP30" s="336">
        <f t="shared" si="70"/>
        <v>1</v>
      </c>
      <c r="AQ30" s="336">
        <f t="shared" si="71"/>
        <v>1</v>
      </c>
      <c r="AR30" s="336">
        <f t="shared" si="72"/>
        <v>1</v>
      </c>
      <c r="AS30" s="336">
        <f t="shared" si="73"/>
        <v>1</v>
      </c>
      <c r="AT30" s="336">
        <f t="shared" si="74"/>
        <v>1</v>
      </c>
      <c r="AU30" s="337">
        <f t="shared" si="75"/>
        <v>1</v>
      </c>
      <c r="AV30" s="336">
        <f t="shared" si="76"/>
        <v>1</v>
      </c>
      <c r="AW30" s="336">
        <f t="shared" si="77"/>
        <v>1</v>
      </c>
      <c r="AX30" s="336">
        <f t="shared" si="78"/>
        <v>1</v>
      </c>
      <c r="AY30" s="336">
        <f t="shared" si="79"/>
        <v>1</v>
      </c>
      <c r="AZ30" s="336">
        <f t="shared" si="80"/>
        <v>1</v>
      </c>
      <c r="BA30" s="336">
        <f t="shared" si="81"/>
        <v>1</v>
      </c>
      <c r="BB30" s="336">
        <f t="shared" si="82"/>
        <v>1</v>
      </c>
      <c r="BC30" s="337">
        <f t="shared" si="83"/>
        <v>1</v>
      </c>
      <c r="BD30" s="490">
        <f t="shared" si="84"/>
        <v>16</v>
      </c>
      <c r="BE30" s="487">
        <f t="shared" si="85"/>
        <v>8</v>
      </c>
      <c r="BF30" s="491">
        <f t="shared" si="86"/>
        <v>24</v>
      </c>
      <c r="BG30" s="566">
        <f t="shared" si="114"/>
        <v>0.9999692440032959</v>
      </c>
      <c r="BH30" s="563">
        <f t="shared" si="115"/>
        <v>1.0000000074505806</v>
      </c>
      <c r="BJ30" s="334">
        <v>12</v>
      </c>
      <c r="BK30" s="335">
        <f t="shared" si="87"/>
        <v>1</v>
      </c>
      <c r="BL30" s="336">
        <f t="shared" si="88"/>
        <v>1</v>
      </c>
      <c r="BM30" s="336">
        <f t="shared" si="89"/>
        <v>1</v>
      </c>
      <c r="BN30" s="336">
        <f t="shared" si="90"/>
        <v>1</v>
      </c>
      <c r="BO30" s="336">
        <f t="shared" si="91"/>
        <v>1</v>
      </c>
      <c r="BP30" s="336">
        <f t="shared" si="92"/>
        <v>1</v>
      </c>
      <c r="BQ30" s="336">
        <f t="shared" si="93"/>
        <v>1</v>
      </c>
      <c r="BR30" s="336">
        <f t="shared" si="94"/>
        <v>1</v>
      </c>
      <c r="BS30" s="336">
        <f t="shared" si="95"/>
        <v>1</v>
      </c>
      <c r="BT30" s="336">
        <f t="shared" si="96"/>
        <v>1</v>
      </c>
      <c r="BU30" s="336">
        <f t="shared" si="97"/>
        <v>1</v>
      </c>
      <c r="BV30" s="336">
        <f t="shared" si="98"/>
        <v>1</v>
      </c>
      <c r="BW30" s="336">
        <f t="shared" si="99"/>
        <v>1</v>
      </c>
      <c r="BX30" s="336">
        <f t="shared" si="100"/>
        <v>1</v>
      </c>
      <c r="BY30" s="336">
        <f t="shared" si="101"/>
        <v>1</v>
      </c>
      <c r="BZ30" s="337">
        <f t="shared" si="102"/>
        <v>1</v>
      </c>
      <c r="CA30" s="336">
        <f t="shared" si="103"/>
        <v>1</v>
      </c>
      <c r="CB30" s="336">
        <f t="shared" si="104"/>
        <v>1</v>
      </c>
      <c r="CC30" s="336">
        <f t="shared" si="105"/>
        <v>1</v>
      </c>
      <c r="CD30" s="336">
        <f t="shared" si="106"/>
        <v>1</v>
      </c>
      <c r="CE30" s="336">
        <f t="shared" si="107"/>
        <v>1</v>
      </c>
      <c r="CF30" s="336">
        <f t="shared" si="108"/>
        <v>1</v>
      </c>
      <c r="CG30" s="336">
        <f t="shared" si="109"/>
        <v>1</v>
      </c>
      <c r="CH30" s="337">
        <f t="shared" si="110"/>
        <v>1</v>
      </c>
      <c r="CI30" s="490">
        <f t="shared" si="111"/>
        <v>16</v>
      </c>
      <c r="CJ30" s="487">
        <f t="shared" si="112"/>
        <v>8</v>
      </c>
      <c r="CK30" s="491">
        <f t="shared" si="113"/>
        <v>24</v>
      </c>
      <c r="CL30" s="566">
        <f t="shared" si="116"/>
        <v>0.9999692440032959</v>
      </c>
      <c r="CM30" s="563">
        <f t="shared" si="117"/>
        <v>1.0000000074505806</v>
      </c>
    </row>
    <row r="31" spans="3:91" ht="16.2" thickBot="1" x14ac:dyDescent="0.35">
      <c r="C31" s="143"/>
      <c r="D31" s="143"/>
      <c r="E31" s="323">
        <v>11</v>
      </c>
      <c r="F31" s="339">
        <v>1.2268999814987183</v>
      </c>
      <c r="G31" s="340">
        <v>1.2171000242233276</v>
      </c>
      <c r="H31" s="340">
        <v>1.1766999959945679</v>
      </c>
      <c r="I31" s="340">
        <v>1.1426000595092773</v>
      </c>
      <c r="J31" s="340">
        <v>1.135200023651123</v>
      </c>
      <c r="K31" s="340">
        <v>1.1132999658584595</v>
      </c>
      <c r="L31" s="340">
        <v>1.0888999700546265</v>
      </c>
      <c r="M31" s="340">
        <v>1.0714999437332153</v>
      </c>
      <c r="N31" s="340">
        <v>0.93739998340606689</v>
      </c>
      <c r="O31" s="340">
        <v>0.88660001754760742</v>
      </c>
      <c r="P31" s="340">
        <v>0.88289999961853027</v>
      </c>
      <c r="Q31" s="340">
        <v>0.86619997024536133</v>
      </c>
      <c r="R31" s="340">
        <v>0.85920000076293945</v>
      </c>
      <c r="S31" s="340">
        <v>0.83910000324249268</v>
      </c>
      <c r="T31" s="340">
        <v>0.82529997825622559</v>
      </c>
      <c r="U31" s="341">
        <v>0.7304999828338623</v>
      </c>
      <c r="V31" s="340">
        <v>1.4960000514984131</v>
      </c>
      <c r="W31" s="340">
        <v>1.0505000352859497</v>
      </c>
      <c r="X31" s="340">
        <v>1.0443999767303467</v>
      </c>
      <c r="Y31" s="340">
        <v>0.92949998378753662</v>
      </c>
      <c r="Z31" s="340">
        <v>0.90649998188018799</v>
      </c>
      <c r="AA31" s="340">
        <v>0.88120001554489136</v>
      </c>
      <c r="AB31" s="340">
        <v>0.84619998931884766</v>
      </c>
      <c r="AC31" s="341">
        <v>0.84570002555847168</v>
      </c>
      <c r="AD31" s="143"/>
      <c r="AE31" s="352" t="s">
        <v>312</v>
      </c>
      <c r="AF31" s="320" t="s">
        <v>153</v>
      </c>
      <c r="AG31" s="321"/>
      <c r="AH31" s="321"/>
      <c r="AI31" s="321"/>
      <c r="AJ31" s="321"/>
      <c r="AK31" s="321"/>
      <c r="AL31" s="321"/>
      <c r="AM31" s="321"/>
      <c r="AN31" s="321"/>
      <c r="AO31" s="321"/>
      <c r="AP31" s="321"/>
      <c r="AQ31" s="321"/>
      <c r="AR31" s="321"/>
      <c r="AS31" s="321"/>
      <c r="AT31" s="321"/>
      <c r="AU31" s="322"/>
      <c r="AV31" s="321" t="s">
        <v>138</v>
      </c>
      <c r="AW31" s="321"/>
      <c r="AX31" s="321"/>
      <c r="AY31" s="321"/>
      <c r="AZ31" s="321"/>
      <c r="BA31" s="321"/>
      <c r="BB31" s="321"/>
      <c r="BC31" s="322"/>
      <c r="BD31" s="481"/>
      <c r="BE31" s="484" t="s">
        <v>304</v>
      </c>
      <c r="BF31" s="314"/>
      <c r="BG31" s="564"/>
      <c r="BH31" s="564"/>
      <c r="BJ31" s="352" t="s">
        <v>312</v>
      </c>
      <c r="BK31" s="320" t="s">
        <v>153</v>
      </c>
      <c r="BL31" s="321"/>
      <c r="BM31" s="321"/>
      <c r="BN31" s="321"/>
      <c r="BO31" s="321"/>
      <c r="BP31" s="321"/>
      <c r="BQ31" s="321"/>
      <c r="BR31" s="321"/>
      <c r="BS31" s="321"/>
      <c r="BT31" s="321"/>
      <c r="BU31" s="321"/>
      <c r="BV31" s="321"/>
      <c r="BW31" s="321"/>
      <c r="BX31" s="321"/>
      <c r="BY31" s="321"/>
      <c r="BZ31" s="322"/>
      <c r="CA31" s="321" t="s">
        <v>138</v>
      </c>
      <c r="CB31" s="321"/>
      <c r="CC31" s="321"/>
      <c r="CD31" s="321"/>
      <c r="CE31" s="321"/>
      <c r="CF31" s="321"/>
      <c r="CG31" s="321"/>
      <c r="CH31" s="322"/>
      <c r="CI31" s="481"/>
      <c r="CJ31" s="484" t="s">
        <v>304</v>
      </c>
      <c r="CK31" s="314"/>
      <c r="CL31" s="564"/>
      <c r="CM31" s="564"/>
    </row>
    <row r="32" spans="3:91" ht="13.8" thickBot="1" x14ac:dyDescent="0.3">
      <c r="C32" s="143"/>
      <c r="D32" s="143"/>
      <c r="E32" s="334">
        <v>12</v>
      </c>
      <c r="F32" s="342">
        <v>1.239659309387207</v>
      </c>
      <c r="G32" s="343">
        <v>1.2314000129699707</v>
      </c>
      <c r="H32" s="343">
        <v>1.1889963150024414</v>
      </c>
      <c r="I32" s="343">
        <v>1.1638000011444092</v>
      </c>
      <c r="J32" s="343">
        <v>1.1578999757766724</v>
      </c>
      <c r="K32" s="343">
        <v>1.1550524234771729</v>
      </c>
      <c r="L32" s="343">
        <v>1.1326999664306641</v>
      </c>
      <c r="M32" s="343">
        <v>1.0874999761581421</v>
      </c>
      <c r="N32" s="343">
        <v>0.92040002346038818</v>
      </c>
      <c r="O32" s="343">
        <v>0.87959998846054077</v>
      </c>
      <c r="P32" s="343">
        <v>0.87489998340606689</v>
      </c>
      <c r="Q32" s="343">
        <v>0.85149997472763062</v>
      </c>
      <c r="R32" s="343">
        <v>0.83719998598098755</v>
      </c>
      <c r="S32" s="343">
        <v>0.79509997367858887</v>
      </c>
      <c r="T32" s="343">
        <v>0.78130000829696655</v>
      </c>
      <c r="U32" s="344">
        <v>0.70249998569488525</v>
      </c>
      <c r="V32" s="343">
        <v>1.4960000514984131</v>
      </c>
      <c r="W32" s="343">
        <v>1.0505000352859497</v>
      </c>
      <c r="X32" s="343">
        <v>1.0443999767303467</v>
      </c>
      <c r="Y32" s="343">
        <v>0.92949998378753662</v>
      </c>
      <c r="Z32" s="343">
        <v>0.90649998188018799</v>
      </c>
      <c r="AA32" s="343">
        <v>0.88120001554489136</v>
      </c>
      <c r="AB32" s="343">
        <v>0.84619998931884766</v>
      </c>
      <c r="AC32" s="344">
        <v>0.84570002555847168</v>
      </c>
      <c r="AD32" s="143"/>
      <c r="AE32" s="323" t="s">
        <v>307</v>
      </c>
      <c r="AF32" s="323">
        <v>1</v>
      </c>
      <c r="AG32" s="217">
        <v>2</v>
      </c>
      <c r="AH32" s="217">
        <v>3</v>
      </c>
      <c r="AI32" s="217">
        <v>4</v>
      </c>
      <c r="AJ32" s="217">
        <v>5</v>
      </c>
      <c r="AK32" s="217">
        <v>6</v>
      </c>
      <c r="AL32" s="217">
        <v>7</v>
      </c>
      <c r="AM32" s="217">
        <v>8</v>
      </c>
      <c r="AN32" s="217">
        <v>9</v>
      </c>
      <c r="AO32" s="217">
        <v>10</v>
      </c>
      <c r="AP32" s="217">
        <v>11</v>
      </c>
      <c r="AQ32" s="217">
        <v>12</v>
      </c>
      <c r="AR32" s="217">
        <v>13</v>
      </c>
      <c r="AS32" s="217">
        <v>14</v>
      </c>
      <c r="AT32" s="217">
        <v>15</v>
      </c>
      <c r="AU32" s="324">
        <v>16</v>
      </c>
      <c r="AV32" s="217">
        <v>1</v>
      </c>
      <c r="AW32" s="217">
        <v>2</v>
      </c>
      <c r="AX32" s="217">
        <v>3</v>
      </c>
      <c r="AY32" s="217">
        <v>4</v>
      </c>
      <c r="AZ32" s="217">
        <v>5</v>
      </c>
      <c r="BA32" s="217">
        <v>6</v>
      </c>
      <c r="BB32" s="217">
        <v>7</v>
      </c>
      <c r="BC32" s="324">
        <v>8</v>
      </c>
      <c r="BD32" s="482" t="s">
        <v>153</v>
      </c>
      <c r="BE32" s="485" t="s">
        <v>153</v>
      </c>
      <c r="BF32" s="483" t="s">
        <v>257</v>
      </c>
      <c r="BG32" s="558" t="s">
        <v>153</v>
      </c>
      <c r="BH32" s="558" t="s">
        <v>138</v>
      </c>
      <c r="BJ32" s="323" t="s">
        <v>307</v>
      </c>
      <c r="BK32" s="323">
        <v>1</v>
      </c>
      <c r="BL32" s="217">
        <v>2</v>
      </c>
      <c r="BM32" s="217">
        <v>3</v>
      </c>
      <c r="BN32" s="217">
        <v>4</v>
      </c>
      <c r="BO32" s="217">
        <v>5</v>
      </c>
      <c r="BP32" s="217">
        <v>6</v>
      </c>
      <c r="BQ32" s="217">
        <v>7</v>
      </c>
      <c r="BR32" s="217">
        <v>8</v>
      </c>
      <c r="BS32" s="217">
        <v>9</v>
      </c>
      <c r="BT32" s="217">
        <v>10</v>
      </c>
      <c r="BU32" s="217">
        <v>11</v>
      </c>
      <c r="BV32" s="217">
        <v>12</v>
      </c>
      <c r="BW32" s="217">
        <v>13</v>
      </c>
      <c r="BX32" s="217">
        <v>14</v>
      </c>
      <c r="BY32" s="217">
        <v>15</v>
      </c>
      <c r="BZ32" s="324">
        <v>16</v>
      </c>
      <c r="CA32" s="217">
        <v>1</v>
      </c>
      <c r="CB32" s="217">
        <v>2</v>
      </c>
      <c r="CC32" s="217">
        <v>3</v>
      </c>
      <c r="CD32" s="217">
        <v>4</v>
      </c>
      <c r="CE32" s="217">
        <v>5</v>
      </c>
      <c r="CF32" s="217">
        <v>6</v>
      </c>
      <c r="CG32" s="217">
        <v>7</v>
      </c>
      <c r="CH32" s="324">
        <v>8</v>
      </c>
      <c r="CI32" s="482" t="s">
        <v>153</v>
      </c>
      <c r="CJ32" s="485" t="s">
        <v>153</v>
      </c>
      <c r="CK32" s="483" t="s">
        <v>257</v>
      </c>
      <c r="CL32" s="558" t="s">
        <v>153</v>
      </c>
      <c r="CM32" s="558" t="s">
        <v>138</v>
      </c>
    </row>
    <row r="33" spans="1:91" ht="13.8" thickBot="1" x14ac:dyDescent="0.3">
      <c r="C33" s="143"/>
      <c r="D33" s="143"/>
      <c r="AD33" s="143"/>
      <c r="AE33" s="323">
        <v>1</v>
      </c>
      <c r="AF33" s="329">
        <f t="shared" ref="AF33:AF44" si="118">IF(AND(WeekDef=8,CustomSuFlag,CustomSuPeriod=4),INDEX(VolumeHourlyOver,F5,3),IF(OR(WeekDef=1,WeekDef=3,WeekDef=5,WeekDef=6,AND(WeekDef=8,CustomSuFlag,OR(CustomSuPeriod=1,CustomSuPeriod=2))),IF(VolumeMonthlyOverFlag,INDEX(VolumeMonthlyOver,AE33),Volume),0))</f>
        <v>1</v>
      </c>
      <c r="AG33" s="330">
        <f t="shared" ref="AG33:AG44" si="119">IF(AND(WeekDef=8,CustomSuFlag,CustomSuPeriod=4),INDEX(VolumeHourlyOver,G5,3),IF(OR(WeekDef=1,WeekDef=3,WeekDef=5,WeekDef=6,AND(WeekDef=8,CustomSuFlag,OR(CustomSuPeriod=1,CustomSuPeriod=2))),IF(VolumeMonthlyOverFlag,INDEX(VolumeMonthlyOver,AE33),Volume),0))</f>
        <v>1</v>
      </c>
      <c r="AH33" s="330">
        <f t="shared" ref="AH33:AH44" si="120">IF(AND(WeekDef=8,CustomSuFlag,CustomSuPeriod=4),INDEX(VolumeHourlyOver,H5,3),IF(OR(WeekDef=1,WeekDef=3,WeekDef=5,WeekDef=6,AND(WeekDef=8,CustomSuFlag,OR(CustomSuPeriod=1,CustomSuPeriod=2))),IF(VolumeMonthlyOverFlag,INDEX(VolumeMonthlyOver,AE33),Volume),0))</f>
        <v>1</v>
      </c>
      <c r="AI33" s="330">
        <f t="shared" ref="AI33:AI44" si="121">IF(AND(WeekDef=8,CustomSuFlag,CustomSuPeriod=4),INDEX(VolumeHourlyOver,I5,3),IF(OR(WeekDef=1,WeekDef=3,WeekDef=5,WeekDef=6,AND(WeekDef=8,CustomSuFlag,OR(CustomSuPeriod=1,CustomSuPeriod=2))),IF(VolumeMonthlyOverFlag,INDEX(VolumeMonthlyOver,AE33),Volume),0))</f>
        <v>1</v>
      </c>
      <c r="AJ33" s="330">
        <f t="shared" ref="AJ33:AJ44" si="122">IF(AND(WeekDef=8,CustomSuFlag,CustomSuPeriod=4),INDEX(VolumeHourlyOver,J5,3),IF(OR(WeekDef=1,WeekDef=3,WeekDef=5,WeekDef=6,AND(WeekDef=8,CustomSuFlag,OR(CustomSuPeriod=1,CustomSuPeriod=2))),IF(VolumeMonthlyOverFlag,INDEX(VolumeMonthlyOver,AE33),Volume),0))</f>
        <v>1</v>
      </c>
      <c r="AK33" s="330">
        <f t="shared" ref="AK33:AK44" si="123">IF(AND(WeekDef=8,CustomSuFlag,CustomSuPeriod=4),INDEX(VolumeHourlyOver,K5,3),IF(OR(WeekDef=1,WeekDef=3,WeekDef=5,WeekDef=6,AND(WeekDef=8,CustomSuFlag,OR(CustomSuPeriod=1,CustomSuPeriod=2))),IF(VolumeMonthlyOverFlag,INDEX(VolumeMonthlyOver,AE33),Volume),0))</f>
        <v>1</v>
      </c>
      <c r="AL33" s="330">
        <f t="shared" ref="AL33:AL44" si="124">IF(AND(WeekDef=8,CustomSuFlag,CustomSuPeriod=4),INDEX(VolumeHourlyOver,L5,3),IF(OR(WeekDef=1,WeekDef=3,WeekDef=5,WeekDef=6,AND(WeekDef=8,CustomSuFlag,OR(CustomSuPeriod=1,CustomSuPeriod=2))),IF(VolumeMonthlyOverFlag,INDEX(VolumeMonthlyOver,AE33),Volume),0))</f>
        <v>1</v>
      </c>
      <c r="AM33" s="330">
        <f t="shared" ref="AM33:AM44" si="125">IF(AND(WeekDef=8,CustomSuFlag,CustomSuPeriod=4),INDEX(VolumeHourlyOver,M5,3),IF(OR(WeekDef=1,WeekDef=3,WeekDef=5,WeekDef=6,AND(WeekDef=8,CustomSuFlag,OR(CustomSuPeriod=1,CustomSuPeriod=2))),IF(VolumeMonthlyOverFlag,INDEX(VolumeMonthlyOver,AE33),Volume),0))</f>
        <v>1</v>
      </c>
      <c r="AN33" s="330">
        <f t="shared" ref="AN33:AN44" si="126">IF(AND(WeekDef=8,CustomSuFlag,CustomSuPeriod=4),INDEX(VolumeHourlyOver,N5,3),IF(OR(WeekDef=1,WeekDef=3,WeekDef=5,WeekDef=6,AND(WeekDef=8,CustomSuFlag,OR(CustomSuPeriod=1,CustomSuPeriod=2))),IF(VolumeMonthlyOverFlag,INDEX(VolumeMonthlyOver,AE33),Volume),0))</f>
        <v>1</v>
      </c>
      <c r="AO33" s="330">
        <f t="shared" ref="AO33:AO44" si="127">IF(AND(WeekDef=8,CustomSuFlag,CustomSuPeriod=4),INDEX(VolumeHourlyOver,O5,3),IF(OR(WeekDef=1,WeekDef=3,WeekDef=5,WeekDef=6,AND(WeekDef=8,CustomSuFlag,OR(CustomSuPeriod=1,CustomSuPeriod=2))),IF(VolumeMonthlyOverFlag,INDEX(VolumeMonthlyOver,AE33),Volume),0))</f>
        <v>1</v>
      </c>
      <c r="AP33" s="330">
        <f t="shared" ref="AP33:AP44" si="128">IF(AND(WeekDef=8,CustomSuFlag,CustomSuPeriod=4),INDEX(VolumeHourlyOver,P5,3),IF(OR(WeekDef=1,WeekDef=3,WeekDef=5,WeekDef=6,AND(WeekDef=8,CustomSuFlag,OR(CustomSuPeriod=1,CustomSuPeriod=2))),IF(VolumeMonthlyOverFlag,INDEX(VolumeMonthlyOver,AE33),Volume),0))</f>
        <v>1</v>
      </c>
      <c r="AQ33" s="330">
        <f t="shared" ref="AQ33:AQ44" si="129">IF(AND(WeekDef=8,CustomSuFlag,CustomSuPeriod=4),INDEX(VolumeHourlyOver,Q5,3),IF(OR(WeekDef=1,WeekDef=3,WeekDef=5,WeekDef=6,AND(WeekDef=8,CustomSuFlag,OR(CustomSuPeriod=1,CustomSuPeriod=2))),IF(VolumeMonthlyOverFlag,INDEX(VolumeMonthlyOver,AE33),Volume),0))</f>
        <v>1</v>
      </c>
      <c r="AR33" s="330">
        <f t="shared" ref="AR33:AR44" si="130">IF(AND(WeekDef=8,CustomSuFlag,CustomSuPeriod=4),INDEX(VolumeHourlyOver,R5,3),IF(OR(WeekDef=1,WeekDef=3,WeekDef=5,WeekDef=6,AND(WeekDef=8,CustomSuFlag,OR(CustomSuPeriod=1,CustomSuPeriod=2))),IF(VolumeMonthlyOverFlag,INDEX(VolumeMonthlyOver,AE33),Volume),0))</f>
        <v>1</v>
      </c>
      <c r="AS33" s="330">
        <f t="shared" ref="AS33:AS44" si="131">IF(AND(WeekDef=8,CustomSuFlag,CustomSuPeriod=4),INDEX(VolumeHourlyOver,S5,3),IF(OR(WeekDef=1,WeekDef=3,WeekDef=5,WeekDef=6,AND(WeekDef=8,CustomSuFlag,OR(CustomSuPeriod=1,CustomSuPeriod=2))),IF(VolumeMonthlyOverFlag,INDEX(VolumeMonthlyOver,AE33),Volume),0))</f>
        <v>1</v>
      </c>
      <c r="AT33" s="330">
        <f t="shared" ref="AT33:AT44" si="132">IF(AND(WeekDef=8,CustomSuFlag,CustomSuPeriod=4),INDEX(VolumeHourlyOver,T5,3),IF(OR(WeekDef=1,WeekDef=3,WeekDef=5,WeekDef=6,AND(WeekDef=8,CustomSuFlag,OR(CustomSuPeriod=1,CustomSuPeriod=2))),IF(VolumeMonthlyOverFlag,INDEX(VolumeMonthlyOver,AE33),Volume),0))</f>
        <v>1</v>
      </c>
      <c r="AU33" s="331">
        <f t="shared" ref="AU33:AU44" si="133">IF(AND(WeekDef=8,CustomSuFlag,CustomSuPeriod=4),INDEX(VolumeHourlyOver,U5,3),IF(OR(WeekDef=1,WeekDef=3,WeekDef=5,WeekDef=6,AND(WeekDef=8,CustomSuFlag,OR(CustomSuPeriod=1,CustomSuPeriod=2))),IF(VolumeMonthlyOverFlag,INDEX(VolumeMonthlyOver,AE33),Volume),0))</f>
        <v>1</v>
      </c>
      <c r="AV33" s="330">
        <f t="shared" ref="AV33:AV44" si="134">IF(AND(WeekDef=8,CustomSuFlag,CustomSuPeriod=4),INDEX(VolumeHourlyOver,V5,3),IF(OR(WeekDef=1,WeekDef=3,WeekDef=5,WeekDef=7,AND(WeekDef=8,CustomSuFlag,OR(CustomSuPeriod=1,CustomSuPeriod=3))),IF(VolumeMonthlyOverFlag,INDEX(VolumeMonthlyOver,AE33),Volume),0))</f>
        <v>1</v>
      </c>
      <c r="AW33" s="330">
        <f t="shared" ref="AW33:AW44" si="135">IF(AND(WeekDef=8,CustomSuFlag,CustomSuPeriod=4),INDEX(VolumeHourlyOver,W5,3),IF(OR(WeekDef=1,WeekDef=3,WeekDef=5,WeekDef=7,AND(WeekDef=8,CustomSuFlag,OR(CustomSuPeriod=1,CustomSuPeriod=3))),IF(VolumeMonthlyOverFlag,INDEX(VolumeMonthlyOver,AE33),Volume),0))</f>
        <v>1</v>
      </c>
      <c r="AX33" s="330">
        <f t="shared" ref="AX33:AX44" si="136">IF(AND(WeekDef=8,CustomSuFlag,CustomSuPeriod=4),INDEX(VolumeHourlyOver,X5,3),IF(OR(WeekDef=1,WeekDef=3,WeekDef=5,WeekDef=7,AND(WeekDef=8,CustomSuFlag,OR(CustomSuPeriod=1,CustomSuPeriod=3))),IF(VolumeMonthlyOverFlag,INDEX(VolumeMonthlyOver,AE33),Volume),0))</f>
        <v>1</v>
      </c>
      <c r="AY33" s="330">
        <f t="shared" ref="AY33:AY44" si="137">IF(AND(WeekDef=8,CustomSuFlag,CustomSuPeriod=4),INDEX(VolumeHourlyOver,Y5,3),IF(OR(WeekDef=1,WeekDef=3,WeekDef=5,WeekDef=7,AND(WeekDef=8,CustomSuFlag,OR(CustomSuPeriod=1,CustomSuPeriod=3))),IF(VolumeMonthlyOverFlag,INDEX(VolumeMonthlyOver,AE33),Volume),0))</f>
        <v>1</v>
      </c>
      <c r="AZ33" s="330">
        <f t="shared" ref="AZ33:AZ44" si="138">IF(AND(WeekDef=8,CustomSuFlag,CustomSuPeriod=4),INDEX(VolumeHourlyOver,Z5,3),IF(OR(WeekDef=1,WeekDef=3,WeekDef=5,WeekDef=7,AND(WeekDef=8,CustomSuFlag,OR(CustomSuPeriod=1,CustomSuPeriod=3))),IF(VolumeMonthlyOverFlag,INDEX(VolumeMonthlyOver,AE33),Volume),0))</f>
        <v>1</v>
      </c>
      <c r="BA33" s="330">
        <f t="shared" ref="BA33:BA44" si="139">IF(AND(WeekDef=8,CustomSuFlag,CustomSuPeriod=4),INDEX(VolumeHourlyOver,AA5,3),IF(OR(WeekDef=1,WeekDef=3,WeekDef=5,WeekDef=7,AND(WeekDef=8,CustomSuFlag,OR(CustomSuPeriod=1,CustomSuPeriod=3))),IF(VolumeMonthlyOverFlag,INDEX(VolumeMonthlyOver,AE33),Volume),0))</f>
        <v>1</v>
      </c>
      <c r="BB33" s="330">
        <f t="shared" ref="BB33:BB44" si="140">IF(AND(WeekDef=8,CustomSuFlag,CustomSuPeriod=4),INDEX(VolumeHourlyOver,AB5,3),IF(OR(WeekDef=1,WeekDef=3,WeekDef=5,WeekDef=7,AND(WeekDef=8,CustomSuFlag,OR(CustomSuPeriod=1,CustomSuPeriod=3))),IF(VolumeMonthlyOverFlag,INDEX(VolumeMonthlyOver,AE33),Volume),0))</f>
        <v>1</v>
      </c>
      <c r="BC33" s="331">
        <f t="shared" ref="BC33:BC44" si="141">IF(AND(WeekDef=8,CustomSuFlag,CustomSuPeriod=4),INDEX(VolumeHourlyOver,AC5,3),IF(OR(WeekDef=1,WeekDef=3,WeekDef=5,WeekDef=7,AND(WeekDef=8,CustomSuFlag,OR(CustomSuPeriod=1,CustomSuPeriod=3))),IF(VolumeMonthlyOverFlag,INDEX(VolumeMonthlyOver,AE33),Volume),0))</f>
        <v>1</v>
      </c>
      <c r="BD33" s="488">
        <f>SUM(AF33:AU33)</f>
        <v>16</v>
      </c>
      <c r="BE33" s="486">
        <f>SUM(AV33:BC33)</f>
        <v>8</v>
      </c>
      <c r="BF33" s="489">
        <f>BD33+BE33</f>
        <v>24</v>
      </c>
      <c r="BG33" s="565">
        <f>IF(BD33,SUMPRODUCT(AF33:AU33,F21:U21)/BD33,0)</f>
        <v>0.99998503923416138</v>
      </c>
      <c r="BH33" s="567">
        <f>IF(BE33,SUMPRODUCT(AV33:BC33,V21:AC21)/BE33,0)</f>
        <v>1.0000070855021477</v>
      </c>
      <c r="BJ33" s="323">
        <v>1</v>
      </c>
      <c r="BK33" s="329">
        <f t="shared" ref="BK33:BK44" si="142">IF(AND(WeekDef=8,CustomSuFlag,CustomSuPeriod=4),INDEX(IF(DiffOptVolumeFlag,DiffOptVolumeHourlyOver,VolumeHourlyOver),F5,3),IF(OR(WeekDef=1,WeekDef=3,WeekDef=5,WeekDef=6,AND(WeekDef=8,CustomSuFlag,OR(CustomSuPeriod=1,CustomSuPeriod=2))),IF(VolumeMonthlyOverFlag,INDEX(IF(DiffOptVolumeFlag,DiffOptVolumeMonthlyOver,VolumeMonthlyOver),BJ33),IF(DiffOptVolumeFlag,DiffOptVolume,Volume)),0))</f>
        <v>1</v>
      </c>
      <c r="BL33" s="330">
        <f t="shared" ref="BL33:BL44" si="143">IF(AND(WeekDef=8,CustomSuFlag,CustomSuPeriod=4),INDEX(IF(DiffOptVolumeFlag,DiffOptVolumeHourlyOver,VolumeHourlyOver),G5,3),IF(OR(WeekDef=1,WeekDef=3,WeekDef=5,WeekDef=6,AND(WeekDef=8,CustomSuFlag,OR(CustomSuPeriod=1,CustomSuPeriod=2))),IF(VolumeMonthlyOverFlag,INDEX(IF(DiffOptVolumeFlag,DiffOptVolumeMonthlyOver,VolumeMonthlyOver),BJ33),IF(DiffOptVolumeFlag,DiffOptVolume,Volume)),0))</f>
        <v>1</v>
      </c>
      <c r="BM33" s="330">
        <f t="shared" ref="BM33:BM44" si="144">IF(AND(WeekDef=8,CustomSuFlag,CustomSuPeriod=4),INDEX(IF(DiffOptVolumeFlag,DiffOptVolumeHourlyOver,VolumeHourlyOver),H5,3),IF(OR(WeekDef=1,WeekDef=3,WeekDef=5,WeekDef=6,AND(WeekDef=8,CustomSuFlag,OR(CustomSuPeriod=1,CustomSuPeriod=2))),IF(VolumeMonthlyOverFlag,INDEX(IF(DiffOptVolumeFlag,DiffOptVolumeMonthlyOver,VolumeMonthlyOver),BJ33),IF(DiffOptVolumeFlag,DiffOptVolume,Volume)),0))</f>
        <v>1</v>
      </c>
      <c r="BN33" s="330">
        <f t="shared" ref="BN33:BN44" si="145">IF(AND(WeekDef=8,CustomSuFlag,CustomSuPeriod=4),INDEX(IF(DiffOptVolumeFlag,DiffOptVolumeHourlyOver,VolumeHourlyOver),I5,3),IF(OR(WeekDef=1,WeekDef=3,WeekDef=5,WeekDef=6,AND(WeekDef=8,CustomSuFlag,OR(CustomSuPeriod=1,CustomSuPeriod=2))),IF(VolumeMonthlyOverFlag,INDEX(IF(DiffOptVolumeFlag,DiffOptVolumeMonthlyOver,VolumeMonthlyOver),BJ33),IF(DiffOptVolumeFlag,DiffOptVolume,Volume)),0))</f>
        <v>1</v>
      </c>
      <c r="BO33" s="330">
        <f t="shared" ref="BO33:BO44" si="146">IF(AND(WeekDef=8,CustomSuFlag,CustomSuPeriod=4),INDEX(IF(DiffOptVolumeFlag,DiffOptVolumeHourlyOver,VolumeHourlyOver),J5,3),IF(OR(WeekDef=1,WeekDef=3,WeekDef=5,WeekDef=6,AND(WeekDef=8,CustomSuFlag,OR(CustomSuPeriod=1,CustomSuPeriod=2))),IF(VolumeMonthlyOverFlag,INDEX(IF(DiffOptVolumeFlag,DiffOptVolumeMonthlyOver,VolumeMonthlyOver),BJ33),IF(DiffOptVolumeFlag,DiffOptVolume,Volume)),0))</f>
        <v>1</v>
      </c>
      <c r="BP33" s="330">
        <f t="shared" ref="BP33:BP44" si="147">IF(AND(WeekDef=8,CustomSuFlag,CustomSuPeriod=4),INDEX(IF(DiffOptVolumeFlag,DiffOptVolumeHourlyOver,VolumeHourlyOver),K5,3),IF(OR(WeekDef=1,WeekDef=3,WeekDef=5,WeekDef=6,AND(WeekDef=8,CustomSuFlag,OR(CustomSuPeriod=1,CustomSuPeriod=2))),IF(VolumeMonthlyOverFlag,INDEX(IF(DiffOptVolumeFlag,DiffOptVolumeMonthlyOver,VolumeMonthlyOver),BJ33),IF(DiffOptVolumeFlag,DiffOptVolume,Volume)),0))</f>
        <v>1</v>
      </c>
      <c r="BQ33" s="330">
        <f t="shared" ref="BQ33:BQ44" si="148">IF(AND(WeekDef=8,CustomSuFlag,CustomSuPeriod=4),INDEX(IF(DiffOptVolumeFlag,DiffOptVolumeHourlyOver,VolumeHourlyOver),L5,3),IF(OR(WeekDef=1,WeekDef=3,WeekDef=5,WeekDef=6,AND(WeekDef=8,CustomSuFlag,OR(CustomSuPeriod=1,CustomSuPeriod=2))),IF(VolumeMonthlyOverFlag,INDEX(IF(DiffOptVolumeFlag,DiffOptVolumeMonthlyOver,VolumeMonthlyOver),BJ33),IF(DiffOptVolumeFlag,DiffOptVolume,Volume)),0))</f>
        <v>1</v>
      </c>
      <c r="BR33" s="330">
        <f t="shared" ref="BR33:BR44" si="149">IF(AND(WeekDef=8,CustomSuFlag,CustomSuPeriod=4),INDEX(IF(DiffOptVolumeFlag,DiffOptVolumeHourlyOver,VolumeHourlyOver),M5,3),IF(OR(WeekDef=1,WeekDef=3,WeekDef=5,WeekDef=6,AND(WeekDef=8,CustomSuFlag,OR(CustomSuPeriod=1,CustomSuPeriod=2))),IF(VolumeMonthlyOverFlag,INDEX(IF(DiffOptVolumeFlag,DiffOptVolumeMonthlyOver,VolumeMonthlyOver),BJ33),IF(DiffOptVolumeFlag,DiffOptVolume,Volume)),0))</f>
        <v>1</v>
      </c>
      <c r="BS33" s="330">
        <f t="shared" ref="BS33:BS44" si="150">IF(AND(WeekDef=8,CustomSuFlag,CustomSuPeriod=4),INDEX(IF(DiffOptVolumeFlag,DiffOptVolumeHourlyOver,VolumeHourlyOver),N5,3),IF(OR(WeekDef=1,WeekDef=3,WeekDef=5,WeekDef=6,AND(WeekDef=8,CustomSuFlag,OR(CustomSuPeriod=1,CustomSuPeriod=2))),IF(VolumeMonthlyOverFlag,INDEX(IF(DiffOptVolumeFlag,DiffOptVolumeMonthlyOver,VolumeMonthlyOver),BJ33),IF(DiffOptVolumeFlag,DiffOptVolume,Volume)),0))</f>
        <v>1</v>
      </c>
      <c r="BT33" s="330">
        <f t="shared" ref="BT33:BT44" si="151">IF(AND(WeekDef=8,CustomSuFlag,CustomSuPeriod=4),INDEX(IF(DiffOptVolumeFlag,DiffOptVolumeHourlyOver,VolumeHourlyOver),O5,3),IF(OR(WeekDef=1,WeekDef=3,WeekDef=5,WeekDef=6,AND(WeekDef=8,CustomSuFlag,OR(CustomSuPeriod=1,CustomSuPeriod=2))),IF(VolumeMonthlyOverFlag,INDEX(IF(DiffOptVolumeFlag,DiffOptVolumeMonthlyOver,VolumeMonthlyOver),BJ33),IF(DiffOptVolumeFlag,DiffOptVolume,Volume)),0))</f>
        <v>1</v>
      </c>
      <c r="BU33" s="330">
        <f t="shared" ref="BU33:BU44" si="152">IF(AND(WeekDef=8,CustomSuFlag,CustomSuPeriod=4),INDEX(IF(DiffOptVolumeFlag,DiffOptVolumeHourlyOver,VolumeHourlyOver),P5,3),IF(OR(WeekDef=1,WeekDef=3,WeekDef=5,WeekDef=6,AND(WeekDef=8,CustomSuFlag,OR(CustomSuPeriod=1,CustomSuPeriod=2))),IF(VolumeMonthlyOverFlag,INDEX(IF(DiffOptVolumeFlag,DiffOptVolumeMonthlyOver,VolumeMonthlyOver),BJ33),IF(DiffOptVolumeFlag,DiffOptVolume,Volume)),0))</f>
        <v>1</v>
      </c>
      <c r="BV33" s="330">
        <f t="shared" ref="BV33:BV44" si="153">IF(AND(WeekDef=8,CustomSuFlag,CustomSuPeriod=4),INDEX(IF(DiffOptVolumeFlag,DiffOptVolumeHourlyOver,VolumeHourlyOver),Q5,3),IF(OR(WeekDef=1,WeekDef=3,WeekDef=5,WeekDef=6,AND(WeekDef=8,CustomSuFlag,OR(CustomSuPeriod=1,CustomSuPeriod=2))),IF(VolumeMonthlyOverFlag,INDEX(IF(DiffOptVolumeFlag,DiffOptVolumeMonthlyOver,VolumeMonthlyOver),BJ33),IF(DiffOptVolumeFlag,DiffOptVolume,Volume)),0))</f>
        <v>1</v>
      </c>
      <c r="BW33" s="330">
        <f t="shared" ref="BW33:BW44" si="154">IF(AND(WeekDef=8,CustomSuFlag,CustomSuPeriod=4),INDEX(IF(DiffOptVolumeFlag,DiffOptVolumeHourlyOver,VolumeHourlyOver),R5,3),IF(OR(WeekDef=1,WeekDef=3,WeekDef=5,WeekDef=6,AND(WeekDef=8,CustomSuFlag,OR(CustomSuPeriod=1,CustomSuPeriod=2))),IF(VolumeMonthlyOverFlag,INDEX(IF(DiffOptVolumeFlag,DiffOptVolumeMonthlyOver,VolumeMonthlyOver),BJ33),IF(DiffOptVolumeFlag,DiffOptVolume,Volume)),0))</f>
        <v>1</v>
      </c>
      <c r="BX33" s="330">
        <f t="shared" ref="BX33:BX44" si="155">IF(AND(WeekDef=8,CustomSuFlag,CustomSuPeriod=4),INDEX(IF(DiffOptVolumeFlag,DiffOptVolumeHourlyOver,VolumeHourlyOver),S5,3),IF(OR(WeekDef=1,WeekDef=3,WeekDef=5,WeekDef=6,AND(WeekDef=8,CustomSuFlag,OR(CustomSuPeriod=1,CustomSuPeriod=2))),IF(VolumeMonthlyOverFlag,INDEX(IF(DiffOptVolumeFlag,DiffOptVolumeMonthlyOver,VolumeMonthlyOver),BJ33),IF(DiffOptVolumeFlag,DiffOptVolume,Volume)),0))</f>
        <v>1</v>
      </c>
      <c r="BY33" s="330">
        <f t="shared" ref="BY33:BY44" si="156">IF(AND(WeekDef=8,CustomSuFlag,CustomSuPeriod=4),INDEX(IF(DiffOptVolumeFlag,DiffOptVolumeHourlyOver,VolumeHourlyOver),T5,3),IF(OR(WeekDef=1,WeekDef=3,WeekDef=5,WeekDef=6,AND(WeekDef=8,CustomSuFlag,OR(CustomSuPeriod=1,CustomSuPeriod=2))),IF(VolumeMonthlyOverFlag,INDEX(IF(DiffOptVolumeFlag,DiffOptVolumeMonthlyOver,VolumeMonthlyOver),BJ33),IF(DiffOptVolumeFlag,DiffOptVolume,Volume)),0))</f>
        <v>1</v>
      </c>
      <c r="BZ33" s="331">
        <f t="shared" ref="BZ33:BZ44" si="157">IF(AND(WeekDef=8,CustomSuFlag,CustomSuPeriod=4),INDEX(IF(DiffOptVolumeFlag,DiffOptVolumeHourlyOver,VolumeHourlyOver),U5,3),IF(OR(WeekDef=1,WeekDef=3,WeekDef=5,WeekDef=6,AND(WeekDef=8,CustomSuFlag,OR(CustomSuPeriod=1,CustomSuPeriod=2))),IF(VolumeMonthlyOverFlag,INDEX(IF(DiffOptVolumeFlag,DiffOptVolumeMonthlyOver,VolumeMonthlyOver),BJ33),IF(DiffOptVolumeFlag,DiffOptVolume,Volume)),0))</f>
        <v>1</v>
      </c>
      <c r="CA33" s="330">
        <f t="shared" ref="CA33:CA44" si="158">IF(AND(WeekDef=8,CustomSuFlag,CustomSuPeriod=4),INDEX(IF(DiffOptVolumeFlag,DiffOptVolumeHourlyOver,VolumeHourlyOver),V5,3),IF(OR(WeekDef=1,WeekDef=3,WeekDef=5,WeekDef=7,AND(WeekDef=8,CustomSuFlag,OR(CustomSuPeriod=1,CustomSuPeriod=3))),IF(VolumeMonthlyOverFlag,INDEX(IF(DiffOptVolumeFlag,DiffOptVolumeMonthlyOver,VolumeMonthlyOver),BJ33),IF(DiffOptVolumeFlag,DiffOptVolume,Volume)),0))</f>
        <v>1</v>
      </c>
      <c r="CB33" s="330">
        <f t="shared" ref="CB33:CB44" si="159">IF(AND(WeekDef=8,CustomSuFlag,CustomSuPeriod=4),INDEX(IF(DiffOptVolumeFlag,DiffOptVolumeHourlyOver,VolumeHourlyOver),W5,3),IF(OR(WeekDef=1,WeekDef=3,WeekDef=5,WeekDef=7,AND(WeekDef=8,CustomSuFlag,OR(CustomSuPeriod=1,CustomSuPeriod=3))),IF(VolumeMonthlyOverFlag,INDEX(IF(DiffOptVolumeFlag,DiffOptVolumeMonthlyOver,VolumeMonthlyOver),BJ33),IF(DiffOptVolumeFlag,DiffOptVolume,Volume)),0))</f>
        <v>1</v>
      </c>
      <c r="CC33" s="330">
        <f t="shared" ref="CC33:CC44" si="160">IF(AND(WeekDef=8,CustomSuFlag,CustomSuPeriod=4),INDEX(IF(DiffOptVolumeFlag,DiffOptVolumeHourlyOver,VolumeHourlyOver),X5,3),IF(OR(WeekDef=1,WeekDef=3,WeekDef=5,WeekDef=7,AND(WeekDef=8,CustomSuFlag,OR(CustomSuPeriod=1,CustomSuPeriod=3))),IF(VolumeMonthlyOverFlag,INDEX(IF(DiffOptVolumeFlag,DiffOptVolumeMonthlyOver,VolumeMonthlyOver),BJ33),IF(DiffOptVolumeFlag,DiffOptVolume,Volume)),0))</f>
        <v>1</v>
      </c>
      <c r="CD33" s="330">
        <f t="shared" ref="CD33:CD44" si="161">IF(AND(WeekDef=8,CustomSuFlag,CustomSuPeriod=4),INDEX(IF(DiffOptVolumeFlag,DiffOptVolumeHourlyOver,VolumeHourlyOver),Y5,3),IF(OR(WeekDef=1,WeekDef=3,WeekDef=5,WeekDef=7,AND(WeekDef=8,CustomSuFlag,OR(CustomSuPeriod=1,CustomSuPeriod=3))),IF(VolumeMonthlyOverFlag,INDEX(IF(DiffOptVolumeFlag,DiffOptVolumeMonthlyOver,VolumeMonthlyOver),BJ33),IF(DiffOptVolumeFlag,DiffOptVolume,Volume)),0))</f>
        <v>1</v>
      </c>
      <c r="CE33" s="330">
        <f t="shared" ref="CE33:CE44" si="162">IF(AND(WeekDef=8,CustomSuFlag,CustomSuPeriod=4),INDEX(IF(DiffOptVolumeFlag,DiffOptVolumeHourlyOver,VolumeHourlyOver),Z5,3),IF(OR(WeekDef=1,WeekDef=3,WeekDef=5,WeekDef=7,AND(WeekDef=8,CustomSuFlag,OR(CustomSuPeriod=1,CustomSuPeriod=3))),IF(VolumeMonthlyOverFlag,INDEX(IF(DiffOptVolumeFlag,DiffOptVolumeMonthlyOver,VolumeMonthlyOver),BJ33),IF(DiffOptVolumeFlag,DiffOptVolume,Volume)),0))</f>
        <v>1</v>
      </c>
      <c r="CF33" s="330">
        <f t="shared" ref="CF33:CF44" si="163">IF(AND(WeekDef=8,CustomSuFlag,CustomSuPeriod=4),INDEX(IF(DiffOptVolumeFlag,DiffOptVolumeHourlyOver,VolumeHourlyOver),AA5,3),IF(OR(WeekDef=1,WeekDef=3,WeekDef=5,WeekDef=7,AND(WeekDef=8,CustomSuFlag,OR(CustomSuPeriod=1,CustomSuPeriod=3))),IF(VolumeMonthlyOverFlag,INDEX(IF(DiffOptVolumeFlag,DiffOptVolumeMonthlyOver,VolumeMonthlyOver),BJ33),IF(DiffOptVolumeFlag,DiffOptVolume,Volume)),0))</f>
        <v>1</v>
      </c>
      <c r="CG33" s="330">
        <f t="shared" ref="CG33:CG44" si="164">IF(AND(WeekDef=8,CustomSuFlag,CustomSuPeriod=4),INDEX(IF(DiffOptVolumeFlag,DiffOptVolumeHourlyOver,VolumeHourlyOver),AB5,3),IF(OR(WeekDef=1,WeekDef=3,WeekDef=5,WeekDef=7,AND(WeekDef=8,CustomSuFlag,OR(CustomSuPeriod=1,CustomSuPeriod=3))),IF(VolumeMonthlyOverFlag,INDEX(IF(DiffOptVolumeFlag,DiffOptVolumeMonthlyOver,VolumeMonthlyOver),BJ33),IF(DiffOptVolumeFlag,DiffOptVolume,Volume)),0))</f>
        <v>1</v>
      </c>
      <c r="CH33" s="331">
        <f t="shared" ref="CH33:CH44" si="165">IF(AND(WeekDef=8,CustomSuFlag,CustomSuPeriod=4),INDEX(IF(DiffOptVolumeFlag,DiffOptVolumeHourlyOver,VolumeHourlyOver),AC5,3),IF(OR(WeekDef=1,WeekDef=3,WeekDef=5,WeekDef=7,AND(WeekDef=8,CustomSuFlag,OR(CustomSuPeriod=1,CustomSuPeriod=3))),IF(VolumeMonthlyOverFlag,INDEX(IF(DiffOptVolumeFlag,DiffOptVolumeMonthlyOver,VolumeMonthlyOver),BJ33),IF(DiffOptVolumeFlag,DiffOptVolume,Volume)),0))</f>
        <v>1</v>
      </c>
      <c r="CI33" s="488">
        <f>SUM(BK33:BZ33)</f>
        <v>16</v>
      </c>
      <c r="CJ33" s="486">
        <f>SUM(CA33:CH33)</f>
        <v>8</v>
      </c>
      <c r="CK33" s="489">
        <f>CI33+CJ33</f>
        <v>24</v>
      </c>
      <c r="CL33" s="565">
        <f>IF(CI33,SUMPRODUCT(BK33:BZ33,F21:U21)/CI33,0)</f>
        <v>0.99998503923416138</v>
      </c>
      <c r="CM33" s="567">
        <f>IF(CJ33,SUMPRODUCT(CA33:CH33,V21:AC21)/CJ33,0)</f>
        <v>1.0000070855021477</v>
      </c>
    </row>
    <row r="34" spans="1:91" ht="18" thickBot="1" x14ac:dyDescent="0.35">
      <c r="A34" s="217"/>
      <c r="B34" s="217"/>
      <c r="C34" s="217"/>
      <c r="D34"/>
      <c r="E34" s="345" t="s">
        <v>313</v>
      </c>
      <c r="F34" s="346"/>
      <c r="G34" s="346"/>
      <c r="H34" s="346"/>
      <c r="I34" s="346"/>
      <c r="J34" s="346"/>
      <c r="K34" s="346"/>
      <c r="L34" s="346"/>
      <c r="M34" s="346"/>
      <c r="N34" s="346"/>
      <c r="O34" s="346"/>
      <c r="P34" s="346"/>
      <c r="Q34" s="346"/>
      <c r="R34" s="346"/>
      <c r="S34" s="346"/>
      <c r="T34" s="346"/>
      <c r="U34" s="346"/>
      <c r="V34" s="346"/>
      <c r="W34" s="346"/>
      <c r="X34" s="346"/>
      <c r="Y34" s="346"/>
      <c r="Z34" s="346"/>
      <c r="AA34" s="346"/>
      <c r="AB34" s="346"/>
      <c r="AC34" s="347"/>
      <c r="AD34" s="143"/>
      <c r="AE34" s="323">
        <v>2</v>
      </c>
      <c r="AF34" s="326">
        <f t="shared" si="118"/>
        <v>1</v>
      </c>
      <c r="AG34" s="327">
        <f t="shared" si="119"/>
        <v>1</v>
      </c>
      <c r="AH34" s="327">
        <f t="shared" si="120"/>
        <v>1</v>
      </c>
      <c r="AI34" s="327">
        <f t="shared" si="121"/>
        <v>1</v>
      </c>
      <c r="AJ34" s="327">
        <f t="shared" si="122"/>
        <v>1</v>
      </c>
      <c r="AK34" s="327">
        <f t="shared" si="123"/>
        <v>1</v>
      </c>
      <c r="AL34" s="327">
        <f t="shared" si="124"/>
        <v>1</v>
      </c>
      <c r="AM34" s="327">
        <f t="shared" si="125"/>
        <v>1</v>
      </c>
      <c r="AN34" s="327">
        <f t="shared" si="126"/>
        <v>1</v>
      </c>
      <c r="AO34" s="327">
        <f t="shared" si="127"/>
        <v>1</v>
      </c>
      <c r="AP34" s="327">
        <f t="shared" si="128"/>
        <v>1</v>
      </c>
      <c r="AQ34" s="327">
        <f t="shared" si="129"/>
        <v>1</v>
      </c>
      <c r="AR34" s="327">
        <f t="shared" si="130"/>
        <v>1</v>
      </c>
      <c r="AS34" s="327">
        <f t="shared" si="131"/>
        <v>1</v>
      </c>
      <c r="AT34" s="327">
        <f t="shared" si="132"/>
        <v>1</v>
      </c>
      <c r="AU34" s="328">
        <f t="shared" si="133"/>
        <v>1</v>
      </c>
      <c r="AV34" s="327">
        <f t="shared" si="134"/>
        <v>1</v>
      </c>
      <c r="AW34" s="327">
        <f t="shared" si="135"/>
        <v>1</v>
      </c>
      <c r="AX34" s="327">
        <f t="shared" si="136"/>
        <v>1</v>
      </c>
      <c r="AY34" s="327">
        <f t="shared" si="137"/>
        <v>1</v>
      </c>
      <c r="AZ34" s="327">
        <f t="shared" si="138"/>
        <v>1</v>
      </c>
      <c r="BA34" s="327">
        <f t="shared" si="139"/>
        <v>1</v>
      </c>
      <c r="BB34" s="327">
        <f t="shared" si="140"/>
        <v>1</v>
      </c>
      <c r="BC34" s="328">
        <f t="shared" si="141"/>
        <v>1</v>
      </c>
      <c r="BD34" s="488">
        <f t="shared" si="84"/>
        <v>16</v>
      </c>
      <c r="BE34" s="486">
        <f t="shared" si="85"/>
        <v>8</v>
      </c>
      <c r="BF34" s="489">
        <f t="shared" si="86"/>
        <v>24</v>
      </c>
      <c r="BG34" s="565">
        <f t="shared" ref="BG34:BG44" si="166">IF(BD34,SUMPRODUCT(AF34:AU34,F22:U22)/BD34,0)</f>
        <v>0.99998503923416138</v>
      </c>
      <c r="BH34" s="562">
        <f t="shared" ref="BH34:BH44" si="167">IF(BE34,SUMPRODUCT(AV34:BC34,V22:AC22)/BE34,0)</f>
        <v>1.0000070855021477</v>
      </c>
      <c r="BJ34" s="323">
        <v>2</v>
      </c>
      <c r="BK34" s="326">
        <f t="shared" si="142"/>
        <v>1</v>
      </c>
      <c r="BL34" s="327">
        <f t="shared" si="143"/>
        <v>1</v>
      </c>
      <c r="BM34" s="327">
        <f t="shared" si="144"/>
        <v>1</v>
      </c>
      <c r="BN34" s="327">
        <f t="shared" si="145"/>
        <v>1</v>
      </c>
      <c r="BO34" s="327">
        <f t="shared" si="146"/>
        <v>1</v>
      </c>
      <c r="BP34" s="327">
        <f t="shared" si="147"/>
        <v>1</v>
      </c>
      <c r="BQ34" s="327">
        <f t="shared" si="148"/>
        <v>1</v>
      </c>
      <c r="BR34" s="327">
        <f t="shared" si="149"/>
        <v>1</v>
      </c>
      <c r="BS34" s="327">
        <f t="shared" si="150"/>
        <v>1</v>
      </c>
      <c r="BT34" s="327">
        <f t="shared" si="151"/>
        <v>1</v>
      </c>
      <c r="BU34" s="327">
        <f t="shared" si="152"/>
        <v>1</v>
      </c>
      <c r="BV34" s="327">
        <f t="shared" si="153"/>
        <v>1</v>
      </c>
      <c r="BW34" s="327">
        <f t="shared" si="154"/>
        <v>1</v>
      </c>
      <c r="BX34" s="327">
        <f t="shared" si="155"/>
        <v>1</v>
      </c>
      <c r="BY34" s="327">
        <f t="shared" si="156"/>
        <v>1</v>
      </c>
      <c r="BZ34" s="328">
        <f t="shared" si="157"/>
        <v>1</v>
      </c>
      <c r="CA34" s="327">
        <f t="shared" si="158"/>
        <v>1</v>
      </c>
      <c r="CB34" s="327">
        <f t="shared" si="159"/>
        <v>1</v>
      </c>
      <c r="CC34" s="327">
        <f t="shared" si="160"/>
        <v>1</v>
      </c>
      <c r="CD34" s="327">
        <f t="shared" si="161"/>
        <v>1</v>
      </c>
      <c r="CE34" s="327">
        <f t="shared" si="162"/>
        <v>1</v>
      </c>
      <c r="CF34" s="327">
        <f t="shared" si="163"/>
        <v>1</v>
      </c>
      <c r="CG34" s="327">
        <f t="shared" si="164"/>
        <v>1</v>
      </c>
      <c r="CH34" s="328">
        <f t="shared" si="165"/>
        <v>1</v>
      </c>
      <c r="CI34" s="488">
        <f t="shared" si="111"/>
        <v>16</v>
      </c>
      <c r="CJ34" s="486">
        <f t="shared" si="112"/>
        <v>8</v>
      </c>
      <c r="CK34" s="489">
        <f t="shared" si="113"/>
        <v>24</v>
      </c>
      <c r="CL34" s="565">
        <f t="shared" ref="CL34:CL44" si="168">IF(CI34,SUMPRODUCT(BK34:BZ34,F22:U22)/CI34,0)</f>
        <v>0.99998503923416138</v>
      </c>
      <c r="CM34" s="562">
        <f t="shared" ref="CM34:CM44" si="169">IF(CJ34,SUMPRODUCT(CA34:CH34,V22:AC22)/CJ34,0)</f>
        <v>1.0000070855021477</v>
      </c>
    </row>
    <row r="35" spans="1:91" ht="13.8" thickBot="1" x14ac:dyDescent="0.3">
      <c r="A35" s="351"/>
      <c r="B35" s="634" t="s">
        <v>314</v>
      </c>
      <c r="C35" s="471" t="s">
        <v>315</v>
      </c>
      <c r="D35" s="495"/>
      <c r="E35" s="351"/>
      <c r="F35" s="317" t="s">
        <v>153</v>
      </c>
      <c r="G35" s="318"/>
      <c r="H35" s="318"/>
      <c r="I35" s="318"/>
      <c r="J35" s="318"/>
      <c r="K35" s="318"/>
      <c r="L35" s="318"/>
      <c r="M35" s="318"/>
      <c r="N35" s="318"/>
      <c r="O35" s="318"/>
      <c r="P35" s="318"/>
      <c r="Q35" s="318"/>
      <c r="R35" s="318"/>
      <c r="S35" s="318"/>
      <c r="T35" s="318"/>
      <c r="U35" s="319"/>
      <c r="V35" s="317" t="s">
        <v>138</v>
      </c>
      <c r="W35" s="318"/>
      <c r="X35" s="318"/>
      <c r="Y35" s="318"/>
      <c r="Z35" s="318"/>
      <c r="AA35" s="318"/>
      <c r="AB35" s="318"/>
      <c r="AC35" s="319"/>
      <c r="AD35" s="143"/>
      <c r="AE35" s="323">
        <v>3</v>
      </c>
      <c r="AF35" s="326">
        <f t="shared" si="118"/>
        <v>1</v>
      </c>
      <c r="AG35" s="327">
        <f t="shared" si="119"/>
        <v>1</v>
      </c>
      <c r="AH35" s="327">
        <f t="shared" si="120"/>
        <v>1</v>
      </c>
      <c r="AI35" s="327">
        <f t="shared" si="121"/>
        <v>1</v>
      </c>
      <c r="AJ35" s="327">
        <f t="shared" si="122"/>
        <v>1</v>
      </c>
      <c r="AK35" s="327">
        <f t="shared" si="123"/>
        <v>1</v>
      </c>
      <c r="AL35" s="327">
        <f t="shared" si="124"/>
        <v>1</v>
      </c>
      <c r="AM35" s="327">
        <f t="shared" si="125"/>
        <v>1</v>
      </c>
      <c r="AN35" s="327">
        <f t="shared" si="126"/>
        <v>1</v>
      </c>
      <c r="AO35" s="327">
        <f t="shared" si="127"/>
        <v>1</v>
      </c>
      <c r="AP35" s="327">
        <f t="shared" si="128"/>
        <v>1</v>
      </c>
      <c r="AQ35" s="327">
        <f t="shared" si="129"/>
        <v>1</v>
      </c>
      <c r="AR35" s="327">
        <f t="shared" si="130"/>
        <v>1</v>
      </c>
      <c r="AS35" s="327">
        <f t="shared" si="131"/>
        <v>1</v>
      </c>
      <c r="AT35" s="327">
        <f t="shared" si="132"/>
        <v>1</v>
      </c>
      <c r="AU35" s="328">
        <f t="shared" si="133"/>
        <v>1</v>
      </c>
      <c r="AV35" s="327">
        <f t="shared" si="134"/>
        <v>1</v>
      </c>
      <c r="AW35" s="327">
        <f t="shared" si="135"/>
        <v>1</v>
      </c>
      <c r="AX35" s="327">
        <f t="shared" si="136"/>
        <v>1</v>
      </c>
      <c r="AY35" s="327">
        <f t="shared" si="137"/>
        <v>1</v>
      </c>
      <c r="AZ35" s="327">
        <f t="shared" si="138"/>
        <v>1</v>
      </c>
      <c r="BA35" s="327">
        <f t="shared" si="139"/>
        <v>1</v>
      </c>
      <c r="BB35" s="327">
        <f t="shared" si="140"/>
        <v>1</v>
      </c>
      <c r="BC35" s="328">
        <f t="shared" si="141"/>
        <v>1</v>
      </c>
      <c r="BD35" s="488">
        <f t="shared" ref="BD35:BD50" si="170">SUM(AF35:AU35)</f>
        <v>16</v>
      </c>
      <c r="BE35" s="486">
        <f t="shared" ref="BE35:BE50" si="171">SUM(AV35:BC35)</f>
        <v>8</v>
      </c>
      <c r="BF35" s="489">
        <f t="shared" ref="BF35:BF50" si="172">BD35+BE35</f>
        <v>24</v>
      </c>
      <c r="BG35" s="565">
        <f t="shared" si="166"/>
        <v>0.99999375641345978</v>
      </c>
      <c r="BH35" s="562">
        <f t="shared" si="167"/>
        <v>0.99999988824129105</v>
      </c>
      <c r="BJ35" s="323">
        <v>3</v>
      </c>
      <c r="BK35" s="326">
        <f t="shared" si="142"/>
        <v>1</v>
      </c>
      <c r="BL35" s="327">
        <f t="shared" si="143"/>
        <v>1</v>
      </c>
      <c r="BM35" s="327">
        <f t="shared" si="144"/>
        <v>1</v>
      </c>
      <c r="BN35" s="327">
        <f t="shared" si="145"/>
        <v>1</v>
      </c>
      <c r="BO35" s="327">
        <f t="shared" si="146"/>
        <v>1</v>
      </c>
      <c r="BP35" s="327">
        <f t="shared" si="147"/>
        <v>1</v>
      </c>
      <c r="BQ35" s="327">
        <f t="shared" si="148"/>
        <v>1</v>
      </c>
      <c r="BR35" s="327">
        <f t="shared" si="149"/>
        <v>1</v>
      </c>
      <c r="BS35" s="327">
        <f t="shared" si="150"/>
        <v>1</v>
      </c>
      <c r="BT35" s="327">
        <f t="shared" si="151"/>
        <v>1</v>
      </c>
      <c r="BU35" s="327">
        <f t="shared" si="152"/>
        <v>1</v>
      </c>
      <c r="BV35" s="327">
        <f t="shared" si="153"/>
        <v>1</v>
      </c>
      <c r="BW35" s="327">
        <f t="shared" si="154"/>
        <v>1</v>
      </c>
      <c r="BX35" s="327">
        <f t="shared" si="155"/>
        <v>1</v>
      </c>
      <c r="BY35" s="327">
        <f t="shared" si="156"/>
        <v>1</v>
      </c>
      <c r="BZ35" s="328">
        <f t="shared" si="157"/>
        <v>1</v>
      </c>
      <c r="CA35" s="327">
        <f t="shared" si="158"/>
        <v>1</v>
      </c>
      <c r="CB35" s="327">
        <f t="shared" si="159"/>
        <v>1</v>
      </c>
      <c r="CC35" s="327">
        <f t="shared" si="160"/>
        <v>1</v>
      </c>
      <c r="CD35" s="327">
        <f t="shared" si="161"/>
        <v>1</v>
      </c>
      <c r="CE35" s="327">
        <f t="shared" si="162"/>
        <v>1</v>
      </c>
      <c r="CF35" s="327">
        <f t="shared" si="163"/>
        <v>1</v>
      </c>
      <c r="CG35" s="327">
        <f t="shared" si="164"/>
        <v>1</v>
      </c>
      <c r="CH35" s="328">
        <f t="shared" si="165"/>
        <v>1</v>
      </c>
      <c r="CI35" s="488">
        <f t="shared" ref="CI35:CI50" si="173">SUM(BK35:BZ35)</f>
        <v>16</v>
      </c>
      <c r="CJ35" s="486">
        <f t="shared" ref="CJ35:CJ50" si="174">SUM(CA35:CH35)</f>
        <v>8</v>
      </c>
      <c r="CK35" s="489">
        <f t="shared" ref="CK35:CK50" si="175">CI35+CJ35</f>
        <v>24</v>
      </c>
      <c r="CL35" s="565">
        <f t="shared" si="168"/>
        <v>0.99999375641345978</v>
      </c>
      <c r="CM35" s="562">
        <f t="shared" si="169"/>
        <v>0.99999988824129105</v>
      </c>
    </row>
    <row r="36" spans="1:91" ht="13.8" thickBot="1" x14ac:dyDescent="0.3">
      <c r="A36" s="584" t="s">
        <v>15</v>
      </c>
      <c r="B36" s="635" t="s">
        <v>316</v>
      </c>
      <c r="C36" s="496" t="s">
        <v>153</v>
      </c>
      <c r="D36" s="496" t="s">
        <v>138</v>
      </c>
      <c r="E36" s="320" t="s">
        <v>307</v>
      </c>
      <c r="F36" s="320">
        <v>1</v>
      </c>
      <c r="G36" s="321">
        <v>2</v>
      </c>
      <c r="H36" s="321">
        <v>3</v>
      </c>
      <c r="I36" s="321">
        <v>4</v>
      </c>
      <c r="J36" s="321">
        <v>5</v>
      </c>
      <c r="K36" s="321">
        <v>6</v>
      </c>
      <c r="L36" s="321">
        <v>7</v>
      </c>
      <c r="M36" s="321">
        <v>8</v>
      </c>
      <c r="N36" s="321">
        <v>9</v>
      </c>
      <c r="O36" s="321">
        <v>10</v>
      </c>
      <c r="P36" s="321">
        <v>11</v>
      </c>
      <c r="Q36" s="321">
        <v>12</v>
      </c>
      <c r="R36" s="321">
        <v>13</v>
      </c>
      <c r="S36" s="321">
        <v>14</v>
      </c>
      <c r="T36" s="321">
        <v>15</v>
      </c>
      <c r="U36" s="322">
        <v>16</v>
      </c>
      <c r="V36" s="321">
        <v>1</v>
      </c>
      <c r="W36" s="321">
        <v>2</v>
      </c>
      <c r="X36" s="321">
        <v>3</v>
      </c>
      <c r="Y36" s="321">
        <v>4</v>
      </c>
      <c r="Z36" s="321">
        <v>5</v>
      </c>
      <c r="AA36" s="321">
        <v>6</v>
      </c>
      <c r="AB36" s="321">
        <v>7</v>
      </c>
      <c r="AC36" s="322">
        <v>8</v>
      </c>
      <c r="AD36" s="143"/>
      <c r="AE36" s="323">
        <v>4</v>
      </c>
      <c r="AF36" s="326">
        <f t="shared" si="118"/>
        <v>1</v>
      </c>
      <c r="AG36" s="327">
        <f t="shared" si="119"/>
        <v>1</v>
      </c>
      <c r="AH36" s="327">
        <f t="shared" si="120"/>
        <v>1</v>
      </c>
      <c r="AI36" s="327">
        <f t="shared" si="121"/>
        <v>1</v>
      </c>
      <c r="AJ36" s="327">
        <f t="shared" si="122"/>
        <v>1</v>
      </c>
      <c r="AK36" s="327">
        <f t="shared" si="123"/>
        <v>1</v>
      </c>
      <c r="AL36" s="327">
        <f t="shared" si="124"/>
        <v>1</v>
      </c>
      <c r="AM36" s="327">
        <f t="shared" si="125"/>
        <v>1</v>
      </c>
      <c r="AN36" s="327">
        <f t="shared" si="126"/>
        <v>1</v>
      </c>
      <c r="AO36" s="327">
        <f t="shared" si="127"/>
        <v>1</v>
      </c>
      <c r="AP36" s="327">
        <f t="shared" si="128"/>
        <v>1</v>
      </c>
      <c r="AQ36" s="327">
        <f t="shared" si="129"/>
        <v>1</v>
      </c>
      <c r="AR36" s="327">
        <f t="shared" si="130"/>
        <v>1</v>
      </c>
      <c r="AS36" s="327">
        <f t="shared" si="131"/>
        <v>1</v>
      </c>
      <c r="AT36" s="327">
        <f t="shared" si="132"/>
        <v>1</v>
      </c>
      <c r="AU36" s="328">
        <f t="shared" si="133"/>
        <v>1</v>
      </c>
      <c r="AV36" s="327">
        <f t="shared" si="134"/>
        <v>1</v>
      </c>
      <c r="AW36" s="327">
        <f t="shared" si="135"/>
        <v>1</v>
      </c>
      <c r="AX36" s="327">
        <f t="shared" si="136"/>
        <v>1</v>
      </c>
      <c r="AY36" s="327">
        <f t="shared" si="137"/>
        <v>1</v>
      </c>
      <c r="AZ36" s="327">
        <f t="shared" si="138"/>
        <v>1</v>
      </c>
      <c r="BA36" s="327">
        <f t="shared" si="139"/>
        <v>1</v>
      </c>
      <c r="BB36" s="327">
        <f t="shared" si="140"/>
        <v>1</v>
      </c>
      <c r="BC36" s="328">
        <f t="shared" si="141"/>
        <v>1</v>
      </c>
      <c r="BD36" s="488">
        <f t="shared" si="170"/>
        <v>16</v>
      </c>
      <c r="BE36" s="486">
        <f t="shared" si="171"/>
        <v>8</v>
      </c>
      <c r="BF36" s="489">
        <f t="shared" si="172"/>
        <v>24</v>
      </c>
      <c r="BG36" s="565">
        <f t="shared" si="166"/>
        <v>1.0000000074505806</v>
      </c>
      <c r="BH36" s="562">
        <f t="shared" si="167"/>
        <v>0.99995028972625732</v>
      </c>
      <c r="BJ36" s="323">
        <v>4</v>
      </c>
      <c r="BK36" s="326">
        <f t="shared" si="142"/>
        <v>1</v>
      </c>
      <c r="BL36" s="327">
        <f t="shared" si="143"/>
        <v>1</v>
      </c>
      <c r="BM36" s="327">
        <f t="shared" si="144"/>
        <v>1</v>
      </c>
      <c r="BN36" s="327">
        <f t="shared" si="145"/>
        <v>1</v>
      </c>
      <c r="BO36" s="327">
        <f t="shared" si="146"/>
        <v>1</v>
      </c>
      <c r="BP36" s="327">
        <f t="shared" si="147"/>
        <v>1</v>
      </c>
      <c r="BQ36" s="327">
        <f t="shared" si="148"/>
        <v>1</v>
      </c>
      <c r="BR36" s="327">
        <f t="shared" si="149"/>
        <v>1</v>
      </c>
      <c r="BS36" s="327">
        <f t="shared" si="150"/>
        <v>1</v>
      </c>
      <c r="BT36" s="327">
        <f t="shared" si="151"/>
        <v>1</v>
      </c>
      <c r="BU36" s="327">
        <f t="shared" si="152"/>
        <v>1</v>
      </c>
      <c r="BV36" s="327">
        <f t="shared" si="153"/>
        <v>1</v>
      </c>
      <c r="BW36" s="327">
        <f t="shared" si="154"/>
        <v>1</v>
      </c>
      <c r="BX36" s="327">
        <f t="shared" si="155"/>
        <v>1</v>
      </c>
      <c r="BY36" s="327">
        <f t="shared" si="156"/>
        <v>1</v>
      </c>
      <c r="BZ36" s="328">
        <f t="shared" si="157"/>
        <v>1</v>
      </c>
      <c r="CA36" s="327">
        <f t="shared" si="158"/>
        <v>1</v>
      </c>
      <c r="CB36" s="327">
        <f t="shared" si="159"/>
        <v>1</v>
      </c>
      <c r="CC36" s="327">
        <f t="shared" si="160"/>
        <v>1</v>
      </c>
      <c r="CD36" s="327">
        <f t="shared" si="161"/>
        <v>1</v>
      </c>
      <c r="CE36" s="327">
        <f t="shared" si="162"/>
        <v>1</v>
      </c>
      <c r="CF36" s="327">
        <f t="shared" si="163"/>
        <v>1</v>
      </c>
      <c r="CG36" s="327">
        <f t="shared" si="164"/>
        <v>1</v>
      </c>
      <c r="CH36" s="328">
        <f t="shared" si="165"/>
        <v>1</v>
      </c>
      <c r="CI36" s="488">
        <f t="shared" si="173"/>
        <v>16</v>
      </c>
      <c r="CJ36" s="486">
        <f t="shared" si="174"/>
        <v>8</v>
      </c>
      <c r="CK36" s="489">
        <f t="shared" si="175"/>
        <v>24</v>
      </c>
      <c r="CL36" s="565">
        <f t="shared" si="168"/>
        <v>1.0000000074505806</v>
      </c>
      <c r="CM36" s="562">
        <f t="shared" si="169"/>
        <v>0.99995028972625732</v>
      </c>
    </row>
    <row r="37" spans="1:91" x14ac:dyDescent="0.25">
      <c r="A37" s="492">
        <v>1</v>
      </c>
      <c r="B37" s="636">
        <f t="shared" ref="B37:B48" ca="1" si="176">IF(A37=MONTH(CurveDate+32),EOMONTH(CurveDate+32,0),EOMONTH(CurveDate+32,MOD(A37-MONTH(CurveDate+32),12)-1)+1)</f>
        <v>36892</v>
      </c>
      <c r="C37" s="332">
        <f ca="1">VLOOKUP(B37,PriceTable,3,0)+IF(BasisNumber&lt;&gt;1,VLOOKUP(B37,BasisTable,2,0),0)</f>
        <v>37.5</v>
      </c>
      <c r="D37" s="332">
        <f ca="1">VLOOKUP(B37,PriceTable,7,0)+IF(BasisNumber&lt;&gt;1,VLOOKUP(B37,BasisTable,3,0),0)</f>
        <v>20.840000152587891</v>
      </c>
      <c r="E37" s="323">
        <v>1</v>
      </c>
      <c r="F37" s="472">
        <f t="shared" ref="F37:F48" ca="1" si="177">C37*F21</f>
        <v>48.071220517158508</v>
      </c>
      <c r="G37" s="473">
        <f t="shared" ref="G37:G48" ca="1" si="178">C37*G21</f>
        <v>46.012499928474426</v>
      </c>
      <c r="H37" s="473">
        <f t="shared" ref="H37:H48" ca="1" si="179">C37*H21</f>
        <v>44.992943108081818</v>
      </c>
      <c r="I37" s="473">
        <f t="shared" ref="I37:I48" ca="1" si="180">C37*I21</f>
        <v>44.855998456478119</v>
      </c>
      <c r="J37" s="473">
        <f t="shared" ref="J37:J48" ca="1" si="181">C37*J21</f>
        <v>44.073204696178436</v>
      </c>
      <c r="K37" s="473">
        <f t="shared" ref="K37:K48" ca="1" si="182">C37*K21</f>
        <v>43.810008466243744</v>
      </c>
      <c r="L37" s="473">
        <f t="shared" ref="L37:L48" ca="1" si="183">C37*L21</f>
        <v>43.314465880393982</v>
      </c>
      <c r="M37" s="473">
        <f t="shared" ref="M37:M48" ca="1" si="184">C37*M21</f>
        <v>42.970682680606842</v>
      </c>
      <c r="N37" s="473">
        <f t="shared" ref="N37:N48" ca="1" si="185">C37*N21</f>
        <v>33.015000075101852</v>
      </c>
      <c r="O37" s="473">
        <f t="shared" ref="O37:O48" ca="1" si="186">C37*O21</f>
        <v>32.054999470710754</v>
      </c>
      <c r="P37" s="473">
        <f t="shared" ref="P37:P48" ca="1" si="187">C37*P21</f>
        <v>31.485000997781754</v>
      </c>
      <c r="Q37" s="473">
        <f t="shared" ref="Q37:Q48" ca="1" si="188">C37*Q21</f>
        <v>31.019999831914902</v>
      </c>
      <c r="R37" s="473">
        <f t="shared" ref="R37:R48" ca="1" si="189">C37*R21</f>
        <v>30.806250125169754</v>
      </c>
      <c r="S37" s="473">
        <f t="shared" ref="S37:S48" ca="1" si="190">C37*S21</f>
        <v>29.441249370574951</v>
      </c>
      <c r="T37" s="473">
        <f t="shared" ref="T37:T48" ca="1" si="191">C37*T21</f>
        <v>28.848749399185181</v>
      </c>
      <c r="U37" s="474">
        <f t="shared" ref="U37:V48" ca="1" si="192">C37*U21</f>
        <v>25.218750536441803</v>
      </c>
      <c r="V37" s="473">
        <f t="shared" ca="1" si="192"/>
        <v>36.053200661468509</v>
      </c>
      <c r="W37" s="473">
        <f t="shared" ref="W37:W48" ca="1" si="193">D37*W21</f>
        <v>21.777799265098565</v>
      </c>
      <c r="X37" s="473">
        <f t="shared" ref="X37:X48" ca="1" si="194">D37*X21</f>
        <v>19.174704720701811</v>
      </c>
      <c r="Y37" s="473">
        <f t="shared" ref="Y37:Y48" ca="1" si="195">D37*Y21</f>
        <v>18.826856219333649</v>
      </c>
      <c r="Z37" s="473">
        <f t="shared" ref="Z37:Z48" ca="1" si="196">D37*Z21</f>
        <v>18.801128584715343</v>
      </c>
      <c r="AA37" s="473">
        <f t="shared" ref="AA37:AA48" ca="1" si="197">D37*AA21</f>
        <v>17.641059701862332</v>
      </c>
      <c r="AB37" s="473">
        <f t="shared" ref="AB37:AB48" ca="1" si="198">D37*AB21</f>
        <v>17.228425061485268</v>
      </c>
      <c r="AC37" s="474">
        <f t="shared" ref="AC37:AC48" ca="1" si="199">D37*AC21</f>
        <v>17.218008300964357</v>
      </c>
      <c r="AD37" s="143"/>
      <c r="AE37" s="323">
        <v>5</v>
      </c>
      <c r="AF37" s="326">
        <f t="shared" si="118"/>
        <v>1</v>
      </c>
      <c r="AG37" s="327">
        <f t="shared" si="119"/>
        <v>1</v>
      </c>
      <c r="AH37" s="327">
        <f t="shared" si="120"/>
        <v>1</v>
      </c>
      <c r="AI37" s="327">
        <f t="shared" si="121"/>
        <v>1</v>
      </c>
      <c r="AJ37" s="327">
        <f t="shared" si="122"/>
        <v>1</v>
      </c>
      <c r="AK37" s="327">
        <f t="shared" si="123"/>
        <v>1</v>
      </c>
      <c r="AL37" s="327">
        <f t="shared" si="124"/>
        <v>1</v>
      </c>
      <c r="AM37" s="327">
        <f t="shared" si="125"/>
        <v>1</v>
      </c>
      <c r="AN37" s="327">
        <f t="shared" si="126"/>
        <v>1</v>
      </c>
      <c r="AO37" s="327">
        <f t="shared" si="127"/>
        <v>1</v>
      </c>
      <c r="AP37" s="327">
        <f t="shared" si="128"/>
        <v>1</v>
      </c>
      <c r="AQ37" s="327">
        <f t="shared" si="129"/>
        <v>1</v>
      </c>
      <c r="AR37" s="327">
        <f t="shared" si="130"/>
        <v>1</v>
      </c>
      <c r="AS37" s="327">
        <f t="shared" si="131"/>
        <v>1</v>
      </c>
      <c r="AT37" s="327">
        <f t="shared" si="132"/>
        <v>1</v>
      </c>
      <c r="AU37" s="328">
        <f t="shared" si="133"/>
        <v>1</v>
      </c>
      <c r="AV37" s="327">
        <f t="shared" si="134"/>
        <v>1</v>
      </c>
      <c r="AW37" s="327">
        <f t="shared" si="135"/>
        <v>1</v>
      </c>
      <c r="AX37" s="327">
        <f t="shared" si="136"/>
        <v>1</v>
      </c>
      <c r="AY37" s="327">
        <f t="shared" si="137"/>
        <v>1</v>
      </c>
      <c r="AZ37" s="327">
        <f t="shared" si="138"/>
        <v>1</v>
      </c>
      <c r="BA37" s="327">
        <f t="shared" si="139"/>
        <v>1</v>
      </c>
      <c r="BB37" s="327">
        <f t="shared" si="140"/>
        <v>1</v>
      </c>
      <c r="BC37" s="328">
        <f t="shared" si="141"/>
        <v>1</v>
      </c>
      <c r="BD37" s="488">
        <f t="shared" si="170"/>
        <v>16</v>
      </c>
      <c r="BE37" s="486">
        <f t="shared" si="171"/>
        <v>8</v>
      </c>
      <c r="BF37" s="489">
        <f t="shared" si="172"/>
        <v>24</v>
      </c>
      <c r="BG37" s="565">
        <f t="shared" si="166"/>
        <v>0.9999999925494194</v>
      </c>
      <c r="BH37" s="562">
        <f t="shared" si="167"/>
        <v>1</v>
      </c>
      <c r="BJ37" s="323">
        <v>5</v>
      </c>
      <c r="BK37" s="326">
        <f t="shared" si="142"/>
        <v>1</v>
      </c>
      <c r="BL37" s="327">
        <f t="shared" si="143"/>
        <v>1</v>
      </c>
      <c r="BM37" s="327">
        <f t="shared" si="144"/>
        <v>1</v>
      </c>
      <c r="BN37" s="327">
        <f t="shared" si="145"/>
        <v>1</v>
      </c>
      <c r="BO37" s="327">
        <f t="shared" si="146"/>
        <v>1</v>
      </c>
      <c r="BP37" s="327">
        <f t="shared" si="147"/>
        <v>1</v>
      </c>
      <c r="BQ37" s="327">
        <f t="shared" si="148"/>
        <v>1</v>
      </c>
      <c r="BR37" s="327">
        <f t="shared" si="149"/>
        <v>1</v>
      </c>
      <c r="BS37" s="327">
        <f t="shared" si="150"/>
        <v>1</v>
      </c>
      <c r="BT37" s="327">
        <f t="shared" si="151"/>
        <v>1</v>
      </c>
      <c r="BU37" s="327">
        <f t="shared" si="152"/>
        <v>1</v>
      </c>
      <c r="BV37" s="327">
        <f t="shared" si="153"/>
        <v>1</v>
      </c>
      <c r="BW37" s="327">
        <f t="shared" si="154"/>
        <v>1</v>
      </c>
      <c r="BX37" s="327">
        <f t="shared" si="155"/>
        <v>1</v>
      </c>
      <c r="BY37" s="327">
        <f t="shared" si="156"/>
        <v>1</v>
      </c>
      <c r="BZ37" s="328">
        <f t="shared" si="157"/>
        <v>1</v>
      </c>
      <c r="CA37" s="327">
        <f t="shared" si="158"/>
        <v>1</v>
      </c>
      <c r="CB37" s="327">
        <f t="shared" si="159"/>
        <v>1</v>
      </c>
      <c r="CC37" s="327">
        <f t="shared" si="160"/>
        <v>1</v>
      </c>
      <c r="CD37" s="327">
        <f t="shared" si="161"/>
        <v>1</v>
      </c>
      <c r="CE37" s="327">
        <f t="shared" si="162"/>
        <v>1</v>
      </c>
      <c r="CF37" s="327">
        <f t="shared" si="163"/>
        <v>1</v>
      </c>
      <c r="CG37" s="327">
        <f t="shared" si="164"/>
        <v>1</v>
      </c>
      <c r="CH37" s="328">
        <f t="shared" si="165"/>
        <v>1</v>
      </c>
      <c r="CI37" s="488">
        <f t="shared" si="173"/>
        <v>16</v>
      </c>
      <c r="CJ37" s="486">
        <f t="shared" si="174"/>
        <v>8</v>
      </c>
      <c r="CK37" s="489">
        <f t="shared" si="175"/>
        <v>24</v>
      </c>
      <c r="CL37" s="565">
        <f t="shared" si="168"/>
        <v>0.9999999925494194</v>
      </c>
      <c r="CM37" s="562">
        <f t="shared" si="169"/>
        <v>1</v>
      </c>
    </row>
    <row r="38" spans="1:91" x14ac:dyDescent="0.25">
      <c r="A38" s="493">
        <v>2</v>
      </c>
      <c r="B38" s="637">
        <f t="shared" ca="1" si="176"/>
        <v>36923</v>
      </c>
      <c r="C38" s="333">
        <f t="shared" ref="C38:C48" ca="1" si="200">VLOOKUP(B38,PriceTable,3,0)+IF(BasisNumber&lt;&gt;1,VLOOKUP(B38,BasisTable,2,0),0)</f>
        <v>37.5</v>
      </c>
      <c r="D38" s="333">
        <f t="shared" ref="D38:D48" ca="1" si="201">VLOOKUP(B38,PriceTable,7,0)+IF(BasisNumber&lt;&gt;1,VLOOKUP(B38,BasisTable,3,0),0)</f>
        <v>20.649997711181641</v>
      </c>
      <c r="E38" s="323">
        <v>2</v>
      </c>
      <c r="F38" s="472">
        <f t="shared" ca="1" si="177"/>
        <v>48.071220517158508</v>
      </c>
      <c r="G38" s="473">
        <f t="shared" ca="1" si="178"/>
        <v>46.012499928474426</v>
      </c>
      <c r="H38" s="473">
        <f t="shared" ca="1" si="179"/>
        <v>44.992943108081818</v>
      </c>
      <c r="I38" s="473">
        <f t="shared" ca="1" si="180"/>
        <v>44.855998456478119</v>
      </c>
      <c r="J38" s="473">
        <f t="shared" ca="1" si="181"/>
        <v>44.073204696178436</v>
      </c>
      <c r="K38" s="473">
        <f t="shared" ca="1" si="182"/>
        <v>43.810008466243744</v>
      </c>
      <c r="L38" s="473">
        <f t="shared" ca="1" si="183"/>
        <v>43.314465880393982</v>
      </c>
      <c r="M38" s="473">
        <f t="shared" ca="1" si="184"/>
        <v>42.970682680606842</v>
      </c>
      <c r="N38" s="473">
        <f t="shared" ca="1" si="185"/>
        <v>33.015000075101852</v>
      </c>
      <c r="O38" s="473">
        <f t="shared" ca="1" si="186"/>
        <v>32.054999470710754</v>
      </c>
      <c r="P38" s="473">
        <f t="shared" ca="1" si="187"/>
        <v>31.485000997781754</v>
      </c>
      <c r="Q38" s="473">
        <f t="shared" ca="1" si="188"/>
        <v>31.019999831914902</v>
      </c>
      <c r="R38" s="473">
        <f t="shared" ca="1" si="189"/>
        <v>30.806250125169754</v>
      </c>
      <c r="S38" s="473">
        <f t="shared" ca="1" si="190"/>
        <v>29.441249370574951</v>
      </c>
      <c r="T38" s="473">
        <f t="shared" ca="1" si="191"/>
        <v>28.848749399185181</v>
      </c>
      <c r="U38" s="474">
        <f t="shared" ca="1" si="192"/>
        <v>25.218750536441803</v>
      </c>
      <c r="V38" s="473">
        <f t="shared" ca="1" si="192"/>
        <v>35.724496434211687</v>
      </c>
      <c r="W38" s="473">
        <f t="shared" ca="1" si="193"/>
        <v>21.579246721983054</v>
      </c>
      <c r="X38" s="473">
        <f t="shared" ca="1" si="194"/>
        <v>18.999885110169089</v>
      </c>
      <c r="Y38" s="473">
        <f t="shared" ca="1" si="195"/>
        <v>18.655208013024321</v>
      </c>
      <c r="Z38" s="473">
        <f t="shared" ca="1" si="196"/>
        <v>18.629714942386499</v>
      </c>
      <c r="AA38" s="473">
        <f t="shared" ca="1" si="197"/>
        <v>17.480222639107751</v>
      </c>
      <c r="AB38" s="473">
        <f t="shared" ca="1" si="198"/>
        <v>17.07135007111583</v>
      </c>
      <c r="AC38" s="474">
        <f t="shared" ca="1" si="199"/>
        <v>17.061028282279949</v>
      </c>
      <c r="AD38" s="143"/>
      <c r="AE38" s="323">
        <v>6</v>
      </c>
      <c r="AF38" s="326">
        <f t="shared" si="118"/>
        <v>1</v>
      </c>
      <c r="AG38" s="327">
        <f t="shared" si="119"/>
        <v>1</v>
      </c>
      <c r="AH38" s="327">
        <f t="shared" si="120"/>
        <v>1</v>
      </c>
      <c r="AI38" s="327">
        <f t="shared" si="121"/>
        <v>1</v>
      </c>
      <c r="AJ38" s="327">
        <f t="shared" si="122"/>
        <v>1</v>
      </c>
      <c r="AK38" s="327">
        <f t="shared" si="123"/>
        <v>1</v>
      </c>
      <c r="AL38" s="327">
        <f t="shared" si="124"/>
        <v>1</v>
      </c>
      <c r="AM38" s="327">
        <f t="shared" si="125"/>
        <v>1</v>
      </c>
      <c r="AN38" s="327">
        <f t="shared" si="126"/>
        <v>1</v>
      </c>
      <c r="AO38" s="327">
        <f t="shared" si="127"/>
        <v>1</v>
      </c>
      <c r="AP38" s="327">
        <f t="shared" si="128"/>
        <v>1</v>
      </c>
      <c r="AQ38" s="327">
        <f t="shared" si="129"/>
        <v>1</v>
      </c>
      <c r="AR38" s="327">
        <f t="shared" si="130"/>
        <v>1</v>
      </c>
      <c r="AS38" s="327">
        <f t="shared" si="131"/>
        <v>1</v>
      </c>
      <c r="AT38" s="327">
        <f t="shared" si="132"/>
        <v>1</v>
      </c>
      <c r="AU38" s="328">
        <f t="shared" si="133"/>
        <v>1</v>
      </c>
      <c r="AV38" s="327">
        <f t="shared" si="134"/>
        <v>1</v>
      </c>
      <c r="AW38" s="327">
        <f t="shared" si="135"/>
        <v>1</v>
      </c>
      <c r="AX38" s="327">
        <f t="shared" si="136"/>
        <v>1</v>
      </c>
      <c r="AY38" s="327">
        <f t="shared" si="137"/>
        <v>1</v>
      </c>
      <c r="AZ38" s="327">
        <f t="shared" si="138"/>
        <v>1</v>
      </c>
      <c r="BA38" s="327">
        <f t="shared" si="139"/>
        <v>1</v>
      </c>
      <c r="BB38" s="327">
        <f t="shared" si="140"/>
        <v>1</v>
      </c>
      <c r="BC38" s="328">
        <f t="shared" si="141"/>
        <v>1</v>
      </c>
      <c r="BD38" s="488">
        <f t="shared" si="170"/>
        <v>16</v>
      </c>
      <c r="BE38" s="486">
        <f t="shared" si="171"/>
        <v>8</v>
      </c>
      <c r="BF38" s="489">
        <f t="shared" si="172"/>
        <v>24</v>
      </c>
      <c r="BG38" s="565">
        <f t="shared" si="166"/>
        <v>1.0000000037252903</v>
      </c>
      <c r="BH38" s="562">
        <f t="shared" si="167"/>
        <v>1</v>
      </c>
      <c r="BJ38" s="323">
        <v>6</v>
      </c>
      <c r="BK38" s="326">
        <f t="shared" si="142"/>
        <v>1</v>
      </c>
      <c r="BL38" s="327">
        <f t="shared" si="143"/>
        <v>1</v>
      </c>
      <c r="BM38" s="327">
        <f t="shared" si="144"/>
        <v>1</v>
      </c>
      <c r="BN38" s="327">
        <f t="shared" si="145"/>
        <v>1</v>
      </c>
      <c r="BO38" s="327">
        <f t="shared" si="146"/>
        <v>1</v>
      </c>
      <c r="BP38" s="327">
        <f t="shared" si="147"/>
        <v>1</v>
      </c>
      <c r="BQ38" s="327">
        <f t="shared" si="148"/>
        <v>1</v>
      </c>
      <c r="BR38" s="327">
        <f t="shared" si="149"/>
        <v>1</v>
      </c>
      <c r="BS38" s="327">
        <f t="shared" si="150"/>
        <v>1</v>
      </c>
      <c r="BT38" s="327">
        <f t="shared" si="151"/>
        <v>1</v>
      </c>
      <c r="BU38" s="327">
        <f t="shared" si="152"/>
        <v>1</v>
      </c>
      <c r="BV38" s="327">
        <f t="shared" si="153"/>
        <v>1</v>
      </c>
      <c r="BW38" s="327">
        <f t="shared" si="154"/>
        <v>1</v>
      </c>
      <c r="BX38" s="327">
        <f t="shared" si="155"/>
        <v>1</v>
      </c>
      <c r="BY38" s="327">
        <f t="shared" si="156"/>
        <v>1</v>
      </c>
      <c r="BZ38" s="328">
        <f t="shared" si="157"/>
        <v>1</v>
      </c>
      <c r="CA38" s="327">
        <f t="shared" si="158"/>
        <v>1</v>
      </c>
      <c r="CB38" s="327">
        <f t="shared" si="159"/>
        <v>1</v>
      </c>
      <c r="CC38" s="327">
        <f t="shared" si="160"/>
        <v>1</v>
      </c>
      <c r="CD38" s="327">
        <f t="shared" si="161"/>
        <v>1</v>
      </c>
      <c r="CE38" s="327">
        <f t="shared" si="162"/>
        <v>1</v>
      </c>
      <c r="CF38" s="327">
        <f t="shared" si="163"/>
        <v>1</v>
      </c>
      <c r="CG38" s="327">
        <f t="shared" si="164"/>
        <v>1</v>
      </c>
      <c r="CH38" s="328">
        <f t="shared" si="165"/>
        <v>1</v>
      </c>
      <c r="CI38" s="488">
        <f t="shared" si="173"/>
        <v>16</v>
      </c>
      <c r="CJ38" s="486">
        <f t="shared" si="174"/>
        <v>8</v>
      </c>
      <c r="CK38" s="489">
        <f t="shared" si="175"/>
        <v>24</v>
      </c>
      <c r="CL38" s="565">
        <f t="shared" si="168"/>
        <v>1.0000000037252903</v>
      </c>
      <c r="CM38" s="562">
        <f t="shared" si="169"/>
        <v>1</v>
      </c>
    </row>
    <row r="39" spans="1:91" x14ac:dyDescent="0.25">
      <c r="A39" s="493">
        <v>3</v>
      </c>
      <c r="B39" s="637">
        <f t="shared" ca="1" si="176"/>
        <v>36951</v>
      </c>
      <c r="C39" s="333">
        <f t="shared" ca="1" si="200"/>
        <v>33.75</v>
      </c>
      <c r="D39" s="333">
        <f t="shared" ca="1" si="201"/>
        <v>19.649999618530273</v>
      </c>
      <c r="E39" s="323">
        <v>3</v>
      </c>
      <c r="F39" s="472">
        <f t="shared" ca="1" si="177"/>
        <v>42.926626950502396</v>
      </c>
      <c r="G39" s="473">
        <f t="shared" ca="1" si="178"/>
        <v>41.073750257492065</v>
      </c>
      <c r="H39" s="473">
        <f t="shared" ca="1" si="179"/>
        <v>40.155750811100006</v>
      </c>
      <c r="I39" s="473">
        <f t="shared" ca="1" si="180"/>
        <v>40.034250766038895</v>
      </c>
      <c r="J39" s="473">
        <f t="shared" ca="1" si="181"/>
        <v>39.3288753926754</v>
      </c>
      <c r="K39" s="473">
        <f t="shared" ca="1" si="182"/>
        <v>39.092626422643661</v>
      </c>
      <c r="L39" s="473">
        <f t="shared" ca="1" si="183"/>
        <v>38.647124916315079</v>
      </c>
      <c r="M39" s="473">
        <f t="shared" ca="1" si="184"/>
        <v>38.336625695228577</v>
      </c>
      <c r="N39" s="473">
        <f t="shared" ca="1" si="185"/>
        <v>30.050999745726585</v>
      </c>
      <c r="O39" s="473">
        <f t="shared" ca="1" si="186"/>
        <v>29.186999201774597</v>
      </c>
      <c r="P39" s="473">
        <f t="shared" ca="1" si="187"/>
        <v>28.674000576138496</v>
      </c>
      <c r="Q39" s="473">
        <f t="shared" ca="1" si="188"/>
        <v>28.25549952685833</v>
      </c>
      <c r="R39" s="473">
        <f t="shared" ca="1" si="189"/>
        <v>28.063124790787697</v>
      </c>
      <c r="S39" s="473">
        <f t="shared" ca="1" si="190"/>
        <v>26.834624111652374</v>
      </c>
      <c r="T39" s="473">
        <f t="shared" ca="1" si="191"/>
        <v>26.301374137401581</v>
      </c>
      <c r="U39" s="474">
        <f t="shared" ca="1" si="192"/>
        <v>23.034375160932541</v>
      </c>
      <c r="V39" s="473">
        <f t="shared" ca="1" si="192"/>
        <v>35.291399389839171</v>
      </c>
      <c r="W39" s="473">
        <f t="shared" ca="1" si="193"/>
        <v>20.534248758077638</v>
      </c>
      <c r="X39" s="473">
        <f t="shared" ca="1" si="194"/>
        <v>19.558667005881489</v>
      </c>
      <c r="Y39" s="473">
        <f t="shared" ca="1" si="195"/>
        <v>17.293796239341191</v>
      </c>
      <c r="Z39" s="473">
        <f t="shared" ca="1" si="196"/>
        <v>16.849686432603676</v>
      </c>
      <c r="AA39" s="473">
        <f t="shared" ca="1" si="197"/>
        <v>16.352051357873734</v>
      </c>
      <c r="AB39" s="473">
        <f t="shared" ca="1" si="198"/>
        <v>15.664978998775496</v>
      </c>
      <c r="AC39" s="474">
        <f t="shared" ca="1" si="199"/>
        <v>15.655151197381088</v>
      </c>
      <c r="AD39" s="143"/>
      <c r="AE39" s="323">
        <v>7</v>
      </c>
      <c r="AF39" s="326">
        <f t="shared" si="118"/>
        <v>1</v>
      </c>
      <c r="AG39" s="327">
        <f t="shared" si="119"/>
        <v>1</v>
      </c>
      <c r="AH39" s="327">
        <f t="shared" si="120"/>
        <v>1</v>
      </c>
      <c r="AI39" s="327">
        <f t="shared" si="121"/>
        <v>1</v>
      </c>
      <c r="AJ39" s="327">
        <f t="shared" si="122"/>
        <v>1</v>
      </c>
      <c r="AK39" s="327">
        <f t="shared" si="123"/>
        <v>1</v>
      </c>
      <c r="AL39" s="327">
        <f t="shared" si="124"/>
        <v>1</v>
      </c>
      <c r="AM39" s="327">
        <f t="shared" si="125"/>
        <v>1</v>
      </c>
      <c r="AN39" s="327">
        <f t="shared" si="126"/>
        <v>1</v>
      </c>
      <c r="AO39" s="327">
        <f t="shared" si="127"/>
        <v>1</v>
      </c>
      <c r="AP39" s="327">
        <f t="shared" si="128"/>
        <v>1</v>
      </c>
      <c r="AQ39" s="327">
        <f t="shared" si="129"/>
        <v>1</v>
      </c>
      <c r="AR39" s="327">
        <f t="shared" si="130"/>
        <v>1</v>
      </c>
      <c r="AS39" s="327">
        <f t="shared" si="131"/>
        <v>1</v>
      </c>
      <c r="AT39" s="327">
        <f t="shared" si="132"/>
        <v>1</v>
      </c>
      <c r="AU39" s="328">
        <f t="shared" si="133"/>
        <v>1</v>
      </c>
      <c r="AV39" s="327">
        <f t="shared" si="134"/>
        <v>1</v>
      </c>
      <c r="AW39" s="327">
        <f t="shared" si="135"/>
        <v>1</v>
      </c>
      <c r="AX39" s="327">
        <f t="shared" si="136"/>
        <v>1</v>
      </c>
      <c r="AY39" s="327">
        <f t="shared" si="137"/>
        <v>1</v>
      </c>
      <c r="AZ39" s="327">
        <f t="shared" si="138"/>
        <v>1</v>
      </c>
      <c r="BA39" s="327">
        <f t="shared" si="139"/>
        <v>1</v>
      </c>
      <c r="BB39" s="327">
        <f t="shared" si="140"/>
        <v>1</v>
      </c>
      <c r="BC39" s="328">
        <f t="shared" si="141"/>
        <v>1</v>
      </c>
      <c r="BD39" s="488">
        <f t="shared" si="170"/>
        <v>16</v>
      </c>
      <c r="BE39" s="486">
        <f t="shared" si="171"/>
        <v>8</v>
      </c>
      <c r="BF39" s="489">
        <f t="shared" si="172"/>
        <v>24</v>
      </c>
      <c r="BG39" s="565">
        <f t="shared" si="166"/>
        <v>1.0000000111758709</v>
      </c>
      <c r="BH39" s="562">
        <f t="shared" si="167"/>
        <v>1.0000000149011612</v>
      </c>
      <c r="BJ39" s="323">
        <v>7</v>
      </c>
      <c r="BK39" s="326">
        <f t="shared" si="142"/>
        <v>1</v>
      </c>
      <c r="BL39" s="327">
        <f t="shared" si="143"/>
        <v>1</v>
      </c>
      <c r="BM39" s="327">
        <f t="shared" si="144"/>
        <v>1</v>
      </c>
      <c r="BN39" s="327">
        <f t="shared" si="145"/>
        <v>1</v>
      </c>
      <c r="BO39" s="327">
        <f t="shared" si="146"/>
        <v>1</v>
      </c>
      <c r="BP39" s="327">
        <f t="shared" si="147"/>
        <v>1</v>
      </c>
      <c r="BQ39" s="327">
        <f t="shared" si="148"/>
        <v>1</v>
      </c>
      <c r="BR39" s="327">
        <f t="shared" si="149"/>
        <v>1</v>
      </c>
      <c r="BS39" s="327">
        <f t="shared" si="150"/>
        <v>1</v>
      </c>
      <c r="BT39" s="327">
        <f t="shared" si="151"/>
        <v>1</v>
      </c>
      <c r="BU39" s="327">
        <f t="shared" si="152"/>
        <v>1</v>
      </c>
      <c r="BV39" s="327">
        <f t="shared" si="153"/>
        <v>1</v>
      </c>
      <c r="BW39" s="327">
        <f t="shared" si="154"/>
        <v>1</v>
      </c>
      <c r="BX39" s="327">
        <f t="shared" si="155"/>
        <v>1</v>
      </c>
      <c r="BY39" s="327">
        <f t="shared" si="156"/>
        <v>1</v>
      </c>
      <c r="BZ39" s="328">
        <f t="shared" si="157"/>
        <v>1</v>
      </c>
      <c r="CA39" s="327">
        <f t="shared" si="158"/>
        <v>1</v>
      </c>
      <c r="CB39" s="327">
        <f t="shared" si="159"/>
        <v>1</v>
      </c>
      <c r="CC39" s="327">
        <f t="shared" si="160"/>
        <v>1</v>
      </c>
      <c r="CD39" s="327">
        <f t="shared" si="161"/>
        <v>1</v>
      </c>
      <c r="CE39" s="327">
        <f t="shared" si="162"/>
        <v>1</v>
      </c>
      <c r="CF39" s="327">
        <f t="shared" si="163"/>
        <v>1</v>
      </c>
      <c r="CG39" s="327">
        <f t="shared" si="164"/>
        <v>1</v>
      </c>
      <c r="CH39" s="328">
        <f t="shared" si="165"/>
        <v>1</v>
      </c>
      <c r="CI39" s="488">
        <f t="shared" si="173"/>
        <v>16</v>
      </c>
      <c r="CJ39" s="486">
        <f t="shared" si="174"/>
        <v>8</v>
      </c>
      <c r="CK39" s="489">
        <f t="shared" si="175"/>
        <v>24</v>
      </c>
      <c r="CL39" s="565">
        <f t="shared" si="168"/>
        <v>1.0000000111758709</v>
      </c>
      <c r="CM39" s="562">
        <f t="shared" si="169"/>
        <v>1.0000000149011612</v>
      </c>
    </row>
    <row r="40" spans="1:91" x14ac:dyDescent="0.25">
      <c r="A40" s="493">
        <v>4</v>
      </c>
      <c r="B40" s="637">
        <f t="shared" ca="1" si="176"/>
        <v>36646</v>
      </c>
      <c r="C40" s="333" t="e">
        <f t="shared" ca="1" si="200"/>
        <v>#N/A</v>
      </c>
      <c r="D40" s="333" t="e">
        <f t="shared" ca="1" si="201"/>
        <v>#N/A</v>
      </c>
      <c r="E40" s="323">
        <v>4</v>
      </c>
      <c r="F40" s="472" t="e">
        <f t="shared" ca="1" si="177"/>
        <v>#N/A</v>
      </c>
      <c r="G40" s="473" t="e">
        <f t="shared" ca="1" si="178"/>
        <v>#N/A</v>
      </c>
      <c r="H40" s="473" t="e">
        <f t="shared" ca="1" si="179"/>
        <v>#N/A</v>
      </c>
      <c r="I40" s="473" t="e">
        <f t="shared" ca="1" si="180"/>
        <v>#N/A</v>
      </c>
      <c r="J40" s="473" t="e">
        <f t="shared" ca="1" si="181"/>
        <v>#N/A</v>
      </c>
      <c r="K40" s="473" t="e">
        <f t="shared" ca="1" si="182"/>
        <v>#N/A</v>
      </c>
      <c r="L40" s="473" t="e">
        <f t="shared" ca="1" si="183"/>
        <v>#N/A</v>
      </c>
      <c r="M40" s="473" t="e">
        <f t="shared" ca="1" si="184"/>
        <v>#N/A</v>
      </c>
      <c r="N40" s="473" t="e">
        <f t="shared" ca="1" si="185"/>
        <v>#N/A</v>
      </c>
      <c r="O40" s="473" t="e">
        <f t="shared" ca="1" si="186"/>
        <v>#N/A</v>
      </c>
      <c r="P40" s="473" t="e">
        <f t="shared" ca="1" si="187"/>
        <v>#N/A</v>
      </c>
      <c r="Q40" s="473" t="e">
        <f t="shared" ca="1" si="188"/>
        <v>#N/A</v>
      </c>
      <c r="R40" s="473" t="e">
        <f t="shared" ca="1" si="189"/>
        <v>#N/A</v>
      </c>
      <c r="S40" s="473" t="e">
        <f t="shared" ca="1" si="190"/>
        <v>#N/A</v>
      </c>
      <c r="T40" s="473" t="e">
        <f t="shared" ca="1" si="191"/>
        <v>#N/A</v>
      </c>
      <c r="U40" s="474" t="e">
        <f t="shared" ca="1" si="192"/>
        <v>#N/A</v>
      </c>
      <c r="V40" s="473" t="e">
        <f t="shared" ca="1" si="192"/>
        <v>#N/A</v>
      </c>
      <c r="W40" s="473" t="e">
        <f t="shared" ca="1" si="193"/>
        <v>#N/A</v>
      </c>
      <c r="X40" s="473" t="e">
        <f t="shared" ca="1" si="194"/>
        <v>#N/A</v>
      </c>
      <c r="Y40" s="473" t="e">
        <f t="shared" ca="1" si="195"/>
        <v>#N/A</v>
      </c>
      <c r="Z40" s="473" t="e">
        <f t="shared" ca="1" si="196"/>
        <v>#N/A</v>
      </c>
      <c r="AA40" s="473" t="e">
        <f t="shared" ca="1" si="197"/>
        <v>#N/A</v>
      </c>
      <c r="AB40" s="473" t="e">
        <f t="shared" ca="1" si="198"/>
        <v>#N/A</v>
      </c>
      <c r="AC40" s="474" t="e">
        <f t="shared" ca="1" si="199"/>
        <v>#N/A</v>
      </c>
      <c r="AD40" s="143"/>
      <c r="AE40" s="323">
        <v>8</v>
      </c>
      <c r="AF40" s="326">
        <f t="shared" si="118"/>
        <v>1</v>
      </c>
      <c r="AG40" s="327">
        <f t="shared" si="119"/>
        <v>1</v>
      </c>
      <c r="AH40" s="327">
        <f t="shared" si="120"/>
        <v>1</v>
      </c>
      <c r="AI40" s="327">
        <f t="shared" si="121"/>
        <v>1</v>
      </c>
      <c r="AJ40" s="327">
        <f t="shared" si="122"/>
        <v>1</v>
      </c>
      <c r="AK40" s="327">
        <f t="shared" si="123"/>
        <v>1</v>
      </c>
      <c r="AL40" s="327">
        <f t="shared" si="124"/>
        <v>1</v>
      </c>
      <c r="AM40" s="327">
        <f t="shared" si="125"/>
        <v>1</v>
      </c>
      <c r="AN40" s="327">
        <f t="shared" si="126"/>
        <v>1</v>
      </c>
      <c r="AO40" s="327">
        <f t="shared" si="127"/>
        <v>1</v>
      </c>
      <c r="AP40" s="327">
        <f t="shared" si="128"/>
        <v>1</v>
      </c>
      <c r="AQ40" s="327">
        <f t="shared" si="129"/>
        <v>1</v>
      </c>
      <c r="AR40" s="327">
        <f t="shared" si="130"/>
        <v>1</v>
      </c>
      <c r="AS40" s="327">
        <f t="shared" si="131"/>
        <v>1</v>
      </c>
      <c r="AT40" s="327">
        <f t="shared" si="132"/>
        <v>1</v>
      </c>
      <c r="AU40" s="328">
        <f t="shared" si="133"/>
        <v>1</v>
      </c>
      <c r="AV40" s="327">
        <f t="shared" si="134"/>
        <v>1</v>
      </c>
      <c r="AW40" s="327">
        <f t="shared" si="135"/>
        <v>1</v>
      </c>
      <c r="AX40" s="327">
        <f t="shared" si="136"/>
        <v>1</v>
      </c>
      <c r="AY40" s="327">
        <f t="shared" si="137"/>
        <v>1</v>
      </c>
      <c r="AZ40" s="327">
        <f t="shared" si="138"/>
        <v>1</v>
      </c>
      <c r="BA40" s="327">
        <f t="shared" si="139"/>
        <v>1</v>
      </c>
      <c r="BB40" s="327">
        <f t="shared" si="140"/>
        <v>1</v>
      </c>
      <c r="BC40" s="328">
        <f t="shared" si="141"/>
        <v>1</v>
      </c>
      <c r="BD40" s="488">
        <f t="shared" si="170"/>
        <v>16</v>
      </c>
      <c r="BE40" s="486">
        <f t="shared" si="171"/>
        <v>8</v>
      </c>
      <c r="BF40" s="489">
        <f t="shared" si="172"/>
        <v>24</v>
      </c>
      <c r="BG40" s="565">
        <f t="shared" si="166"/>
        <v>1</v>
      </c>
      <c r="BH40" s="562">
        <f t="shared" si="167"/>
        <v>1.0000000074505806</v>
      </c>
      <c r="BJ40" s="323">
        <v>8</v>
      </c>
      <c r="BK40" s="326">
        <f t="shared" si="142"/>
        <v>1</v>
      </c>
      <c r="BL40" s="327">
        <f t="shared" si="143"/>
        <v>1</v>
      </c>
      <c r="BM40" s="327">
        <f t="shared" si="144"/>
        <v>1</v>
      </c>
      <c r="BN40" s="327">
        <f t="shared" si="145"/>
        <v>1</v>
      </c>
      <c r="BO40" s="327">
        <f t="shared" si="146"/>
        <v>1</v>
      </c>
      <c r="BP40" s="327">
        <f t="shared" si="147"/>
        <v>1</v>
      </c>
      <c r="BQ40" s="327">
        <f t="shared" si="148"/>
        <v>1</v>
      </c>
      <c r="BR40" s="327">
        <f t="shared" si="149"/>
        <v>1</v>
      </c>
      <c r="BS40" s="327">
        <f t="shared" si="150"/>
        <v>1</v>
      </c>
      <c r="BT40" s="327">
        <f t="shared" si="151"/>
        <v>1</v>
      </c>
      <c r="BU40" s="327">
        <f t="shared" si="152"/>
        <v>1</v>
      </c>
      <c r="BV40" s="327">
        <f t="shared" si="153"/>
        <v>1</v>
      </c>
      <c r="BW40" s="327">
        <f t="shared" si="154"/>
        <v>1</v>
      </c>
      <c r="BX40" s="327">
        <f t="shared" si="155"/>
        <v>1</v>
      </c>
      <c r="BY40" s="327">
        <f t="shared" si="156"/>
        <v>1</v>
      </c>
      <c r="BZ40" s="328">
        <f t="shared" si="157"/>
        <v>1</v>
      </c>
      <c r="CA40" s="327">
        <f t="shared" si="158"/>
        <v>1</v>
      </c>
      <c r="CB40" s="327">
        <f t="shared" si="159"/>
        <v>1</v>
      </c>
      <c r="CC40" s="327">
        <f t="shared" si="160"/>
        <v>1</v>
      </c>
      <c r="CD40" s="327">
        <f t="shared" si="161"/>
        <v>1</v>
      </c>
      <c r="CE40" s="327">
        <f t="shared" si="162"/>
        <v>1</v>
      </c>
      <c r="CF40" s="327">
        <f t="shared" si="163"/>
        <v>1</v>
      </c>
      <c r="CG40" s="327">
        <f t="shared" si="164"/>
        <v>1</v>
      </c>
      <c r="CH40" s="328">
        <f t="shared" si="165"/>
        <v>1</v>
      </c>
      <c r="CI40" s="488">
        <f t="shared" si="173"/>
        <v>16</v>
      </c>
      <c r="CJ40" s="486">
        <f t="shared" si="174"/>
        <v>8</v>
      </c>
      <c r="CK40" s="489">
        <f t="shared" si="175"/>
        <v>24</v>
      </c>
      <c r="CL40" s="565">
        <f t="shared" si="168"/>
        <v>1</v>
      </c>
      <c r="CM40" s="562">
        <f t="shared" si="169"/>
        <v>1.0000000074505806</v>
      </c>
    </row>
    <row r="41" spans="1:91" x14ac:dyDescent="0.25">
      <c r="A41" s="493">
        <v>5</v>
      </c>
      <c r="B41" s="637">
        <f t="shared" ca="1" si="176"/>
        <v>36647</v>
      </c>
      <c r="C41" s="333">
        <f t="shared" ca="1" si="200"/>
        <v>35</v>
      </c>
      <c r="D41" s="333">
        <f t="shared" ca="1" si="201"/>
        <v>19.499998092651367</v>
      </c>
      <c r="E41" s="323">
        <v>5</v>
      </c>
      <c r="F41" s="472">
        <f t="shared" ca="1" si="177"/>
        <v>39.392494559288025</v>
      </c>
      <c r="G41" s="473">
        <f t="shared" ca="1" si="178"/>
        <v>39.094673991203308</v>
      </c>
      <c r="H41" s="473">
        <f t="shared" ca="1" si="179"/>
        <v>38.069483637809753</v>
      </c>
      <c r="I41" s="473">
        <f t="shared" ca="1" si="180"/>
        <v>37.135930061340332</v>
      </c>
      <c r="J41" s="473">
        <f t="shared" ca="1" si="181"/>
        <v>37.015658617019653</v>
      </c>
      <c r="K41" s="473">
        <f t="shared" ca="1" si="182"/>
        <v>36.838109493255615</v>
      </c>
      <c r="L41" s="473">
        <f t="shared" ca="1" si="183"/>
        <v>36.488744020462036</v>
      </c>
      <c r="M41" s="473">
        <f t="shared" ca="1" si="184"/>
        <v>36.311199069023132</v>
      </c>
      <c r="N41" s="473">
        <f t="shared" ca="1" si="185"/>
        <v>35.904560089111328</v>
      </c>
      <c r="O41" s="473">
        <f t="shared" ca="1" si="186"/>
        <v>34.976733028888702</v>
      </c>
      <c r="P41" s="473">
        <f t="shared" ca="1" si="187"/>
        <v>34.50709193944931</v>
      </c>
      <c r="Q41" s="473">
        <f t="shared" ca="1" si="188"/>
        <v>33.61363023519516</v>
      </c>
      <c r="R41" s="473">
        <f t="shared" ca="1" si="189"/>
        <v>33.350175023078918</v>
      </c>
      <c r="S41" s="473">
        <f t="shared" ca="1" si="190"/>
        <v>29.129140079021454</v>
      </c>
      <c r="T41" s="473">
        <f t="shared" ca="1" si="191"/>
        <v>29.123413562774658</v>
      </c>
      <c r="U41" s="474">
        <f t="shared" ca="1" si="192"/>
        <v>29.048958420753479</v>
      </c>
      <c r="V41" s="473">
        <f t="shared" ca="1" si="192"/>
        <v>25.180839161729409</v>
      </c>
      <c r="W41" s="473">
        <f t="shared" ca="1" si="193"/>
        <v>22.970385867655523</v>
      </c>
      <c r="X41" s="473">
        <f t="shared" ca="1" si="194"/>
        <v>21.045151678583807</v>
      </c>
      <c r="Y41" s="473">
        <f t="shared" ca="1" si="195"/>
        <v>19.400043437721024</v>
      </c>
      <c r="Z41" s="473">
        <f t="shared" ca="1" si="196"/>
        <v>17.474809248649308</v>
      </c>
      <c r="AA41" s="473">
        <f t="shared" ca="1" si="197"/>
        <v>17.357665480114406</v>
      </c>
      <c r="AB41" s="473">
        <f t="shared" ca="1" si="198"/>
        <v>16.537659100370092</v>
      </c>
      <c r="AC41" s="474">
        <f t="shared" ca="1" si="199"/>
        <v>16.033430766387369</v>
      </c>
      <c r="AE41" s="323">
        <v>9</v>
      </c>
      <c r="AF41" s="326">
        <f t="shared" si="118"/>
        <v>1</v>
      </c>
      <c r="AG41" s="327">
        <f t="shared" si="119"/>
        <v>1</v>
      </c>
      <c r="AH41" s="327">
        <f t="shared" si="120"/>
        <v>1</v>
      </c>
      <c r="AI41" s="327">
        <f t="shared" si="121"/>
        <v>1</v>
      </c>
      <c r="AJ41" s="327">
        <f t="shared" si="122"/>
        <v>1</v>
      </c>
      <c r="AK41" s="327">
        <f t="shared" si="123"/>
        <v>1</v>
      </c>
      <c r="AL41" s="327">
        <f t="shared" si="124"/>
        <v>1</v>
      </c>
      <c r="AM41" s="327">
        <f t="shared" si="125"/>
        <v>1</v>
      </c>
      <c r="AN41" s="327">
        <f t="shared" si="126"/>
        <v>1</v>
      </c>
      <c r="AO41" s="327">
        <f t="shared" si="127"/>
        <v>1</v>
      </c>
      <c r="AP41" s="327">
        <f t="shared" si="128"/>
        <v>1</v>
      </c>
      <c r="AQ41" s="327">
        <f t="shared" si="129"/>
        <v>1</v>
      </c>
      <c r="AR41" s="327">
        <f t="shared" si="130"/>
        <v>1</v>
      </c>
      <c r="AS41" s="327">
        <f t="shared" si="131"/>
        <v>1</v>
      </c>
      <c r="AT41" s="327">
        <f t="shared" si="132"/>
        <v>1</v>
      </c>
      <c r="AU41" s="328">
        <f t="shared" si="133"/>
        <v>1</v>
      </c>
      <c r="AV41" s="327">
        <f t="shared" si="134"/>
        <v>1</v>
      </c>
      <c r="AW41" s="327">
        <f t="shared" si="135"/>
        <v>1</v>
      </c>
      <c r="AX41" s="327">
        <f t="shared" si="136"/>
        <v>1</v>
      </c>
      <c r="AY41" s="327">
        <f t="shared" si="137"/>
        <v>1</v>
      </c>
      <c r="AZ41" s="327">
        <f t="shared" si="138"/>
        <v>1</v>
      </c>
      <c r="BA41" s="327">
        <f t="shared" si="139"/>
        <v>1</v>
      </c>
      <c r="BB41" s="327">
        <f t="shared" si="140"/>
        <v>1</v>
      </c>
      <c r="BC41" s="328">
        <f t="shared" si="141"/>
        <v>1</v>
      </c>
      <c r="BD41" s="488">
        <f t="shared" si="170"/>
        <v>16</v>
      </c>
      <c r="BE41" s="486">
        <f t="shared" si="171"/>
        <v>8</v>
      </c>
      <c r="BF41" s="489">
        <f t="shared" si="172"/>
        <v>24</v>
      </c>
      <c r="BG41" s="565">
        <f t="shared" si="166"/>
        <v>1.0000000074505806</v>
      </c>
      <c r="BH41" s="562">
        <f t="shared" si="167"/>
        <v>1.0000000149011612</v>
      </c>
      <c r="BJ41" s="323">
        <v>9</v>
      </c>
      <c r="BK41" s="326">
        <f t="shared" si="142"/>
        <v>1</v>
      </c>
      <c r="BL41" s="327">
        <f t="shared" si="143"/>
        <v>1</v>
      </c>
      <c r="BM41" s="327">
        <f t="shared" si="144"/>
        <v>1</v>
      </c>
      <c r="BN41" s="327">
        <f t="shared" si="145"/>
        <v>1</v>
      </c>
      <c r="BO41" s="327">
        <f t="shared" si="146"/>
        <v>1</v>
      </c>
      <c r="BP41" s="327">
        <f t="shared" si="147"/>
        <v>1</v>
      </c>
      <c r="BQ41" s="327">
        <f t="shared" si="148"/>
        <v>1</v>
      </c>
      <c r="BR41" s="327">
        <f t="shared" si="149"/>
        <v>1</v>
      </c>
      <c r="BS41" s="327">
        <f t="shared" si="150"/>
        <v>1</v>
      </c>
      <c r="BT41" s="327">
        <f t="shared" si="151"/>
        <v>1</v>
      </c>
      <c r="BU41" s="327">
        <f t="shared" si="152"/>
        <v>1</v>
      </c>
      <c r="BV41" s="327">
        <f t="shared" si="153"/>
        <v>1</v>
      </c>
      <c r="BW41" s="327">
        <f t="shared" si="154"/>
        <v>1</v>
      </c>
      <c r="BX41" s="327">
        <f t="shared" si="155"/>
        <v>1</v>
      </c>
      <c r="BY41" s="327">
        <f t="shared" si="156"/>
        <v>1</v>
      </c>
      <c r="BZ41" s="328">
        <f t="shared" si="157"/>
        <v>1</v>
      </c>
      <c r="CA41" s="327">
        <f t="shared" si="158"/>
        <v>1</v>
      </c>
      <c r="CB41" s="327">
        <f t="shared" si="159"/>
        <v>1</v>
      </c>
      <c r="CC41" s="327">
        <f t="shared" si="160"/>
        <v>1</v>
      </c>
      <c r="CD41" s="327">
        <f t="shared" si="161"/>
        <v>1</v>
      </c>
      <c r="CE41" s="327">
        <f t="shared" si="162"/>
        <v>1</v>
      </c>
      <c r="CF41" s="327">
        <f t="shared" si="163"/>
        <v>1</v>
      </c>
      <c r="CG41" s="327">
        <f t="shared" si="164"/>
        <v>1</v>
      </c>
      <c r="CH41" s="328">
        <f t="shared" si="165"/>
        <v>1</v>
      </c>
      <c r="CI41" s="488">
        <f t="shared" si="173"/>
        <v>16</v>
      </c>
      <c r="CJ41" s="486">
        <f t="shared" si="174"/>
        <v>8</v>
      </c>
      <c r="CK41" s="489">
        <f t="shared" si="175"/>
        <v>24</v>
      </c>
      <c r="CL41" s="565">
        <f t="shared" si="168"/>
        <v>1.0000000074505806</v>
      </c>
      <c r="CM41" s="562">
        <f t="shared" si="169"/>
        <v>1.0000000149011612</v>
      </c>
    </row>
    <row r="42" spans="1:91" x14ac:dyDescent="0.25">
      <c r="A42" s="493">
        <v>6</v>
      </c>
      <c r="B42" s="637">
        <f t="shared" ca="1" si="176"/>
        <v>36678</v>
      </c>
      <c r="C42" s="333">
        <f t="shared" ca="1" si="200"/>
        <v>74</v>
      </c>
      <c r="D42" s="333">
        <f t="shared" ca="1" si="201"/>
        <v>19.504999160766602</v>
      </c>
      <c r="E42" s="323">
        <v>6</v>
      </c>
      <c r="F42" s="472">
        <f t="shared" ca="1" si="177"/>
        <v>92.672098398208618</v>
      </c>
      <c r="G42" s="473">
        <f t="shared" ca="1" si="178"/>
        <v>91.192285060882568</v>
      </c>
      <c r="H42" s="473">
        <f t="shared" ca="1" si="179"/>
        <v>91.043307781219482</v>
      </c>
      <c r="I42" s="473">
        <f t="shared" ca="1" si="180"/>
        <v>90.348095178604126</v>
      </c>
      <c r="J42" s="473">
        <f t="shared" ca="1" si="181"/>
        <v>89.921029329299927</v>
      </c>
      <c r="K42" s="473">
        <f t="shared" ca="1" si="182"/>
        <v>81.697638750076294</v>
      </c>
      <c r="L42" s="473">
        <f t="shared" ca="1" si="183"/>
        <v>78.618833780288696</v>
      </c>
      <c r="M42" s="473">
        <f t="shared" ca="1" si="184"/>
        <v>76.781476736068726</v>
      </c>
      <c r="N42" s="473">
        <f t="shared" ca="1" si="185"/>
        <v>72.898209452629089</v>
      </c>
      <c r="O42" s="473">
        <f t="shared" ca="1" si="186"/>
        <v>67.982047438621521</v>
      </c>
      <c r="P42" s="473">
        <f t="shared" ca="1" si="187"/>
        <v>66.720733523368835</v>
      </c>
      <c r="Q42" s="473">
        <f t="shared" ca="1" si="188"/>
        <v>63.37376856803894</v>
      </c>
      <c r="R42" s="473">
        <f t="shared" ca="1" si="189"/>
        <v>61.39737606048584</v>
      </c>
      <c r="S42" s="473">
        <f t="shared" ca="1" si="190"/>
        <v>56.659985899925232</v>
      </c>
      <c r="T42" s="473">
        <f t="shared" ca="1" si="191"/>
        <v>54.514750123023987</v>
      </c>
      <c r="U42" s="474">
        <f t="shared" ca="1" si="192"/>
        <v>48.178368330001831</v>
      </c>
      <c r="V42" s="473">
        <f t="shared" ca="1" si="192"/>
        <v>27.236554794839094</v>
      </c>
      <c r="W42" s="473">
        <f t="shared" ca="1" si="193"/>
        <v>22.559512226882589</v>
      </c>
      <c r="X42" s="473">
        <f t="shared" ca="1" si="194"/>
        <v>22.132226058452943</v>
      </c>
      <c r="Y42" s="473">
        <f t="shared" ca="1" si="195"/>
        <v>19.302905231170939</v>
      </c>
      <c r="Z42" s="473">
        <f t="shared" ca="1" si="196"/>
        <v>18.690847702485826</v>
      </c>
      <c r="AA42" s="473">
        <f t="shared" ca="1" si="197"/>
        <v>15.821105996625306</v>
      </c>
      <c r="AB42" s="473">
        <f t="shared" ca="1" si="198"/>
        <v>15.711398328451651</v>
      </c>
      <c r="AC42" s="474">
        <f t="shared" ca="1" si="199"/>
        <v>14.585442947224465</v>
      </c>
      <c r="AE42" s="323">
        <v>10</v>
      </c>
      <c r="AF42" s="326">
        <f t="shared" si="118"/>
        <v>1</v>
      </c>
      <c r="AG42" s="327">
        <f t="shared" si="119"/>
        <v>1</v>
      </c>
      <c r="AH42" s="327">
        <f t="shared" si="120"/>
        <v>1</v>
      </c>
      <c r="AI42" s="327">
        <f t="shared" si="121"/>
        <v>1</v>
      </c>
      <c r="AJ42" s="327">
        <f t="shared" si="122"/>
        <v>1</v>
      </c>
      <c r="AK42" s="327">
        <f t="shared" si="123"/>
        <v>1</v>
      </c>
      <c r="AL42" s="327">
        <f t="shared" si="124"/>
        <v>1</v>
      </c>
      <c r="AM42" s="327">
        <f t="shared" si="125"/>
        <v>1</v>
      </c>
      <c r="AN42" s="327">
        <f t="shared" si="126"/>
        <v>1</v>
      </c>
      <c r="AO42" s="327">
        <f t="shared" si="127"/>
        <v>1</v>
      </c>
      <c r="AP42" s="327">
        <f t="shared" si="128"/>
        <v>1</v>
      </c>
      <c r="AQ42" s="327">
        <f t="shared" si="129"/>
        <v>1</v>
      </c>
      <c r="AR42" s="327">
        <f t="shared" si="130"/>
        <v>1</v>
      </c>
      <c r="AS42" s="327">
        <f t="shared" si="131"/>
        <v>1</v>
      </c>
      <c r="AT42" s="327">
        <f t="shared" si="132"/>
        <v>1</v>
      </c>
      <c r="AU42" s="328">
        <f t="shared" si="133"/>
        <v>1</v>
      </c>
      <c r="AV42" s="327">
        <f t="shared" si="134"/>
        <v>1</v>
      </c>
      <c r="AW42" s="327">
        <f t="shared" si="135"/>
        <v>1</v>
      </c>
      <c r="AX42" s="327">
        <f t="shared" si="136"/>
        <v>1</v>
      </c>
      <c r="AY42" s="327">
        <f t="shared" si="137"/>
        <v>1</v>
      </c>
      <c r="AZ42" s="327">
        <f t="shared" si="138"/>
        <v>1</v>
      </c>
      <c r="BA42" s="327">
        <f t="shared" si="139"/>
        <v>1</v>
      </c>
      <c r="BB42" s="327">
        <f t="shared" si="140"/>
        <v>1</v>
      </c>
      <c r="BC42" s="328">
        <f t="shared" si="141"/>
        <v>1</v>
      </c>
      <c r="BD42" s="488">
        <f t="shared" si="170"/>
        <v>16</v>
      </c>
      <c r="BE42" s="486">
        <f t="shared" si="171"/>
        <v>8</v>
      </c>
      <c r="BF42" s="489">
        <f t="shared" si="172"/>
        <v>24</v>
      </c>
      <c r="BG42" s="565">
        <f t="shared" si="166"/>
        <v>1.0000187270343304</v>
      </c>
      <c r="BH42" s="562">
        <f t="shared" si="167"/>
        <v>1.0000000074505806</v>
      </c>
      <c r="BJ42" s="323">
        <v>10</v>
      </c>
      <c r="BK42" s="326">
        <f t="shared" si="142"/>
        <v>1</v>
      </c>
      <c r="BL42" s="327">
        <f t="shared" si="143"/>
        <v>1</v>
      </c>
      <c r="BM42" s="327">
        <f t="shared" si="144"/>
        <v>1</v>
      </c>
      <c r="BN42" s="327">
        <f t="shared" si="145"/>
        <v>1</v>
      </c>
      <c r="BO42" s="327">
        <f t="shared" si="146"/>
        <v>1</v>
      </c>
      <c r="BP42" s="327">
        <f t="shared" si="147"/>
        <v>1</v>
      </c>
      <c r="BQ42" s="327">
        <f t="shared" si="148"/>
        <v>1</v>
      </c>
      <c r="BR42" s="327">
        <f t="shared" si="149"/>
        <v>1</v>
      </c>
      <c r="BS42" s="327">
        <f t="shared" si="150"/>
        <v>1</v>
      </c>
      <c r="BT42" s="327">
        <f t="shared" si="151"/>
        <v>1</v>
      </c>
      <c r="BU42" s="327">
        <f t="shared" si="152"/>
        <v>1</v>
      </c>
      <c r="BV42" s="327">
        <f t="shared" si="153"/>
        <v>1</v>
      </c>
      <c r="BW42" s="327">
        <f t="shared" si="154"/>
        <v>1</v>
      </c>
      <c r="BX42" s="327">
        <f t="shared" si="155"/>
        <v>1</v>
      </c>
      <c r="BY42" s="327">
        <f t="shared" si="156"/>
        <v>1</v>
      </c>
      <c r="BZ42" s="328">
        <f t="shared" si="157"/>
        <v>1</v>
      </c>
      <c r="CA42" s="327">
        <f t="shared" si="158"/>
        <v>1</v>
      </c>
      <c r="CB42" s="327">
        <f t="shared" si="159"/>
        <v>1</v>
      </c>
      <c r="CC42" s="327">
        <f t="shared" si="160"/>
        <v>1</v>
      </c>
      <c r="CD42" s="327">
        <f t="shared" si="161"/>
        <v>1</v>
      </c>
      <c r="CE42" s="327">
        <f t="shared" si="162"/>
        <v>1</v>
      </c>
      <c r="CF42" s="327">
        <f t="shared" si="163"/>
        <v>1</v>
      </c>
      <c r="CG42" s="327">
        <f t="shared" si="164"/>
        <v>1</v>
      </c>
      <c r="CH42" s="328">
        <f t="shared" si="165"/>
        <v>1</v>
      </c>
      <c r="CI42" s="488">
        <f t="shared" si="173"/>
        <v>16</v>
      </c>
      <c r="CJ42" s="486">
        <f t="shared" si="174"/>
        <v>8</v>
      </c>
      <c r="CK42" s="489">
        <f t="shared" si="175"/>
        <v>24</v>
      </c>
      <c r="CL42" s="565">
        <f t="shared" si="168"/>
        <v>1.0000187270343304</v>
      </c>
      <c r="CM42" s="562">
        <f t="shared" si="169"/>
        <v>1.0000000074505806</v>
      </c>
    </row>
    <row r="43" spans="1:91" x14ac:dyDescent="0.25">
      <c r="A43" s="493">
        <v>7</v>
      </c>
      <c r="B43" s="637">
        <f t="shared" ca="1" si="176"/>
        <v>36708</v>
      </c>
      <c r="C43" s="333">
        <f t="shared" ca="1" si="200"/>
        <v>110</v>
      </c>
      <c r="D43" s="333">
        <f t="shared" ca="1" si="201"/>
        <v>24.999998092651367</v>
      </c>
      <c r="E43" s="323">
        <v>7</v>
      </c>
      <c r="F43" s="472">
        <f t="shared" ca="1" si="177"/>
        <v>148.92777562141418</v>
      </c>
      <c r="G43" s="473">
        <f t="shared" ca="1" si="178"/>
        <v>146.00742697715759</v>
      </c>
      <c r="H43" s="473">
        <f t="shared" ca="1" si="179"/>
        <v>145.23732542991638</v>
      </c>
      <c r="I43" s="473">
        <f t="shared" ca="1" si="180"/>
        <v>137.57640957832336</v>
      </c>
      <c r="J43" s="473">
        <f t="shared" ca="1" si="181"/>
        <v>132.07575917243958</v>
      </c>
      <c r="K43" s="473">
        <f t="shared" ca="1" si="182"/>
        <v>127.77525186538696</v>
      </c>
      <c r="L43" s="473">
        <f t="shared" ca="1" si="183"/>
        <v>121.30447387695313</v>
      </c>
      <c r="M43" s="473">
        <f t="shared" ca="1" si="184"/>
        <v>115.9338390827179</v>
      </c>
      <c r="N43" s="473">
        <f t="shared" ca="1" si="185"/>
        <v>105.20255506038666</v>
      </c>
      <c r="O43" s="473">
        <f t="shared" ca="1" si="186"/>
        <v>99.281848669052124</v>
      </c>
      <c r="P43" s="473">
        <f t="shared" ca="1" si="187"/>
        <v>96.971570253372192</v>
      </c>
      <c r="Q43" s="473">
        <f t="shared" ca="1" si="188"/>
        <v>89.76071298122406</v>
      </c>
      <c r="R43" s="473">
        <f t="shared" ca="1" si="189"/>
        <v>85.220165252685547</v>
      </c>
      <c r="S43" s="473">
        <f t="shared" ca="1" si="190"/>
        <v>73.058716058731079</v>
      </c>
      <c r="T43" s="473">
        <f t="shared" ca="1" si="191"/>
        <v>71.178492307662964</v>
      </c>
      <c r="U43" s="474">
        <f t="shared" ca="1" si="192"/>
        <v>64.48769748210907</v>
      </c>
      <c r="V43" s="473">
        <f t="shared" ca="1" si="192"/>
        <v>31.541470266992746</v>
      </c>
      <c r="W43" s="473">
        <f t="shared" ca="1" si="193"/>
        <v>27.878029007680425</v>
      </c>
      <c r="X43" s="473">
        <f t="shared" ca="1" si="194"/>
        <v>25.464723551580391</v>
      </c>
      <c r="Y43" s="473">
        <f t="shared" ca="1" si="195"/>
        <v>25.394062250590196</v>
      </c>
      <c r="Z43" s="473">
        <f t="shared" ca="1" si="196"/>
        <v>24.263505276603155</v>
      </c>
      <c r="AA43" s="473">
        <f t="shared" ca="1" si="197"/>
        <v>22.866613908453701</v>
      </c>
      <c r="AB43" s="473">
        <f t="shared" ca="1" si="198"/>
        <v>21.850199820503121</v>
      </c>
      <c r="AC43" s="474">
        <f t="shared" ca="1" si="199"/>
        <v>20.741383639039213</v>
      </c>
      <c r="AE43" s="323">
        <v>11</v>
      </c>
      <c r="AF43" s="326">
        <f t="shared" si="118"/>
        <v>1</v>
      </c>
      <c r="AG43" s="327">
        <f t="shared" si="119"/>
        <v>1</v>
      </c>
      <c r="AH43" s="327">
        <f t="shared" si="120"/>
        <v>1</v>
      </c>
      <c r="AI43" s="327">
        <f t="shared" si="121"/>
        <v>1</v>
      </c>
      <c r="AJ43" s="327">
        <f t="shared" si="122"/>
        <v>1</v>
      </c>
      <c r="AK43" s="327">
        <f t="shared" si="123"/>
        <v>1</v>
      </c>
      <c r="AL43" s="327">
        <f t="shared" si="124"/>
        <v>1</v>
      </c>
      <c r="AM43" s="327">
        <f t="shared" si="125"/>
        <v>1</v>
      </c>
      <c r="AN43" s="327">
        <f t="shared" si="126"/>
        <v>1</v>
      </c>
      <c r="AO43" s="327">
        <f t="shared" si="127"/>
        <v>1</v>
      </c>
      <c r="AP43" s="327">
        <f t="shared" si="128"/>
        <v>1</v>
      </c>
      <c r="AQ43" s="327">
        <f t="shared" si="129"/>
        <v>1</v>
      </c>
      <c r="AR43" s="327">
        <f t="shared" si="130"/>
        <v>1</v>
      </c>
      <c r="AS43" s="327">
        <f t="shared" si="131"/>
        <v>1</v>
      </c>
      <c r="AT43" s="327">
        <f t="shared" si="132"/>
        <v>1</v>
      </c>
      <c r="AU43" s="328">
        <f t="shared" si="133"/>
        <v>1</v>
      </c>
      <c r="AV43" s="327">
        <f t="shared" si="134"/>
        <v>1</v>
      </c>
      <c r="AW43" s="327">
        <f t="shared" si="135"/>
        <v>1</v>
      </c>
      <c r="AX43" s="327">
        <f t="shared" si="136"/>
        <v>1</v>
      </c>
      <c r="AY43" s="327">
        <f t="shared" si="137"/>
        <v>1</v>
      </c>
      <c r="AZ43" s="327">
        <f t="shared" si="138"/>
        <v>1</v>
      </c>
      <c r="BA43" s="327">
        <f t="shared" si="139"/>
        <v>1</v>
      </c>
      <c r="BB43" s="327">
        <f t="shared" si="140"/>
        <v>1</v>
      </c>
      <c r="BC43" s="328">
        <f t="shared" si="141"/>
        <v>1</v>
      </c>
      <c r="BD43" s="488">
        <f t="shared" si="170"/>
        <v>16</v>
      </c>
      <c r="BE43" s="486">
        <f t="shared" si="171"/>
        <v>8</v>
      </c>
      <c r="BF43" s="489">
        <f t="shared" si="172"/>
        <v>24</v>
      </c>
      <c r="BG43" s="565">
        <f t="shared" si="166"/>
        <v>0.99996249377727509</v>
      </c>
      <c r="BH43" s="562">
        <f t="shared" si="167"/>
        <v>1.0000000074505806</v>
      </c>
      <c r="BJ43" s="323">
        <v>11</v>
      </c>
      <c r="BK43" s="326">
        <f t="shared" si="142"/>
        <v>1</v>
      </c>
      <c r="BL43" s="327">
        <f t="shared" si="143"/>
        <v>1</v>
      </c>
      <c r="BM43" s="327">
        <f t="shared" si="144"/>
        <v>1</v>
      </c>
      <c r="BN43" s="327">
        <f t="shared" si="145"/>
        <v>1</v>
      </c>
      <c r="BO43" s="327">
        <f t="shared" si="146"/>
        <v>1</v>
      </c>
      <c r="BP43" s="327">
        <f t="shared" si="147"/>
        <v>1</v>
      </c>
      <c r="BQ43" s="327">
        <f t="shared" si="148"/>
        <v>1</v>
      </c>
      <c r="BR43" s="327">
        <f t="shared" si="149"/>
        <v>1</v>
      </c>
      <c r="BS43" s="327">
        <f t="shared" si="150"/>
        <v>1</v>
      </c>
      <c r="BT43" s="327">
        <f t="shared" si="151"/>
        <v>1</v>
      </c>
      <c r="BU43" s="327">
        <f t="shared" si="152"/>
        <v>1</v>
      </c>
      <c r="BV43" s="327">
        <f t="shared" si="153"/>
        <v>1</v>
      </c>
      <c r="BW43" s="327">
        <f t="shared" si="154"/>
        <v>1</v>
      </c>
      <c r="BX43" s="327">
        <f t="shared" si="155"/>
        <v>1</v>
      </c>
      <c r="BY43" s="327">
        <f t="shared" si="156"/>
        <v>1</v>
      </c>
      <c r="BZ43" s="328">
        <f t="shared" si="157"/>
        <v>1</v>
      </c>
      <c r="CA43" s="327">
        <f t="shared" si="158"/>
        <v>1</v>
      </c>
      <c r="CB43" s="327">
        <f t="shared" si="159"/>
        <v>1</v>
      </c>
      <c r="CC43" s="327">
        <f t="shared" si="160"/>
        <v>1</v>
      </c>
      <c r="CD43" s="327">
        <f t="shared" si="161"/>
        <v>1</v>
      </c>
      <c r="CE43" s="327">
        <f t="shared" si="162"/>
        <v>1</v>
      </c>
      <c r="CF43" s="327">
        <f t="shared" si="163"/>
        <v>1</v>
      </c>
      <c r="CG43" s="327">
        <f t="shared" si="164"/>
        <v>1</v>
      </c>
      <c r="CH43" s="328">
        <f t="shared" si="165"/>
        <v>1</v>
      </c>
      <c r="CI43" s="488">
        <f t="shared" si="173"/>
        <v>16</v>
      </c>
      <c r="CJ43" s="486">
        <f t="shared" si="174"/>
        <v>8</v>
      </c>
      <c r="CK43" s="489">
        <f t="shared" si="175"/>
        <v>24</v>
      </c>
      <c r="CL43" s="565">
        <f t="shared" si="168"/>
        <v>0.99996249377727509</v>
      </c>
      <c r="CM43" s="562">
        <f t="shared" si="169"/>
        <v>1.0000000074505806</v>
      </c>
    </row>
    <row r="44" spans="1:91" ht="13.8" thickBot="1" x14ac:dyDescent="0.3">
      <c r="A44" s="493">
        <v>8</v>
      </c>
      <c r="B44" s="637">
        <f t="shared" ca="1" si="176"/>
        <v>36739</v>
      </c>
      <c r="C44" s="333">
        <f t="shared" ca="1" si="200"/>
        <v>97.5</v>
      </c>
      <c r="D44" s="333">
        <f t="shared" ca="1" si="201"/>
        <v>24.999998092651367</v>
      </c>
      <c r="E44" s="323">
        <v>8</v>
      </c>
      <c r="F44" s="472">
        <f t="shared" ca="1" si="177"/>
        <v>122.90589362382889</v>
      </c>
      <c r="G44" s="473">
        <f t="shared" ca="1" si="178"/>
        <v>121.19356065988541</v>
      </c>
      <c r="H44" s="473">
        <f t="shared" ca="1" si="179"/>
        <v>118.46701294183731</v>
      </c>
      <c r="I44" s="473">
        <f t="shared" ca="1" si="180"/>
        <v>116.09609127044678</v>
      </c>
      <c r="J44" s="473">
        <f t="shared" ca="1" si="181"/>
        <v>109.70777034759521</v>
      </c>
      <c r="K44" s="473">
        <f t="shared" ca="1" si="182"/>
        <v>106.59923583269119</v>
      </c>
      <c r="L44" s="473">
        <f t="shared" ca="1" si="183"/>
        <v>105.7562381029129</v>
      </c>
      <c r="M44" s="473">
        <f t="shared" ca="1" si="184"/>
        <v>102.43694543838501</v>
      </c>
      <c r="N44" s="473">
        <f t="shared" ca="1" si="185"/>
        <v>102.26571679115295</v>
      </c>
      <c r="O44" s="473">
        <f t="shared" ca="1" si="186"/>
        <v>90.608686208724976</v>
      </c>
      <c r="P44" s="473">
        <f t="shared" ca="1" si="187"/>
        <v>89.423225373029709</v>
      </c>
      <c r="Q44" s="473">
        <f t="shared" ca="1" si="188"/>
        <v>87.104996144771576</v>
      </c>
      <c r="R44" s="473">
        <f t="shared" ca="1" si="189"/>
        <v>81.414781808853149</v>
      </c>
      <c r="S44" s="473">
        <f t="shared" ca="1" si="190"/>
        <v>70.653441399335861</v>
      </c>
      <c r="T44" s="473">
        <f t="shared" ca="1" si="191"/>
        <v>70.534893572330475</v>
      </c>
      <c r="U44" s="474">
        <f t="shared" ca="1" si="192"/>
        <v>64.831510484218597</v>
      </c>
      <c r="V44" s="473">
        <f t="shared" ca="1" si="192"/>
        <v>31.590426538243946</v>
      </c>
      <c r="W44" s="473">
        <f t="shared" ca="1" si="193"/>
        <v>27.932191744255533</v>
      </c>
      <c r="X44" s="473">
        <f t="shared" ca="1" si="194"/>
        <v>27.290288512017014</v>
      </c>
      <c r="Y44" s="473">
        <f t="shared" ca="1" si="195"/>
        <v>24.635421840349295</v>
      </c>
      <c r="Z44" s="473">
        <f t="shared" ca="1" si="196"/>
        <v>24.005980448266428</v>
      </c>
      <c r="AA44" s="473">
        <f t="shared" ca="1" si="197"/>
        <v>22.123892407501671</v>
      </c>
      <c r="AB44" s="473">
        <f t="shared" ca="1" si="198"/>
        <v>21.606629928559755</v>
      </c>
      <c r="AC44" s="474">
        <f t="shared" ca="1" si="199"/>
        <v>20.815154812133301</v>
      </c>
      <c r="AE44" s="334">
        <v>12</v>
      </c>
      <c r="AF44" s="335">
        <f t="shared" si="118"/>
        <v>1</v>
      </c>
      <c r="AG44" s="336">
        <f t="shared" si="119"/>
        <v>1</v>
      </c>
      <c r="AH44" s="336">
        <f t="shared" si="120"/>
        <v>1</v>
      </c>
      <c r="AI44" s="336">
        <f t="shared" si="121"/>
        <v>1</v>
      </c>
      <c r="AJ44" s="336">
        <f t="shared" si="122"/>
        <v>1</v>
      </c>
      <c r="AK44" s="336">
        <f t="shared" si="123"/>
        <v>1</v>
      </c>
      <c r="AL44" s="336">
        <f t="shared" si="124"/>
        <v>1</v>
      </c>
      <c r="AM44" s="336">
        <f t="shared" si="125"/>
        <v>1</v>
      </c>
      <c r="AN44" s="336">
        <f t="shared" si="126"/>
        <v>1</v>
      </c>
      <c r="AO44" s="336">
        <f t="shared" si="127"/>
        <v>1</v>
      </c>
      <c r="AP44" s="336">
        <f t="shared" si="128"/>
        <v>1</v>
      </c>
      <c r="AQ44" s="336">
        <f t="shared" si="129"/>
        <v>1</v>
      </c>
      <c r="AR44" s="336">
        <f t="shared" si="130"/>
        <v>1</v>
      </c>
      <c r="AS44" s="336">
        <f t="shared" si="131"/>
        <v>1</v>
      </c>
      <c r="AT44" s="336">
        <f t="shared" si="132"/>
        <v>1</v>
      </c>
      <c r="AU44" s="337">
        <f t="shared" si="133"/>
        <v>1</v>
      </c>
      <c r="AV44" s="336">
        <f t="shared" si="134"/>
        <v>1</v>
      </c>
      <c r="AW44" s="336">
        <f t="shared" si="135"/>
        <v>1</v>
      </c>
      <c r="AX44" s="336">
        <f t="shared" si="136"/>
        <v>1</v>
      </c>
      <c r="AY44" s="336">
        <f t="shared" si="137"/>
        <v>1</v>
      </c>
      <c r="AZ44" s="336">
        <f t="shared" si="138"/>
        <v>1</v>
      </c>
      <c r="BA44" s="336">
        <f t="shared" si="139"/>
        <v>1</v>
      </c>
      <c r="BB44" s="336">
        <f t="shared" si="140"/>
        <v>1</v>
      </c>
      <c r="BC44" s="337">
        <f t="shared" si="141"/>
        <v>1</v>
      </c>
      <c r="BD44" s="490">
        <f t="shared" si="170"/>
        <v>16</v>
      </c>
      <c r="BE44" s="487">
        <f t="shared" si="171"/>
        <v>8</v>
      </c>
      <c r="BF44" s="491">
        <f t="shared" si="172"/>
        <v>24</v>
      </c>
      <c r="BG44" s="566">
        <f t="shared" si="166"/>
        <v>0.9999692440032959</v>
      </c>
      <c r="BH44" s="563">
        <f t="shared" si="167"/>
        <v>1.0000000074505806</v>
      </c>
      <c r="BJ44" s="334">
        <v>12</v>
      </c>
      <c r="BK44" s="335">
        <f t="shared" si="142"/>
        <v>1</v>
      </c>
      <c r="BL44" s="336">
        <f t="shared" si="143"/>
        <v>1</v>
      </c>
      <c r="BM44" s="336">
        <f t="shared" si="144"/>
        <v>1</v>
      </c>
      <c r="BN44" s="336">
        <f t="shared" si="145"/>
        <v>1</v>
      </c>
      <c r="BO44" s="336">
        <f t="shared" si="146"/>
        <v>1</v>
      </c>
      <c r="BP44" s="336">
        <f t="shared" si="147"/>
        <v>1</v>
      </c>
      <c r="BQ44" s="336">
        <f t="shared" si="148"/>
        <v>1</v>
      </c>
      <c r="BR44" s="336">
        <f t="shared" si="149"/>
        <v>1</v>
      </c>
      <c r="BS44" s="336">
        <f t="shared" si="150"/>
        <v>1</v>
      </c>
      <c r="BT44" s="336">
        <f t="shared" si="151"/>
        <v>1</v>
      </c>
      <c r="BU44" s="336">
        <f t="shared" si="152"/>
        <v>1</v>
      </c>
      <c r="BV44" s="336">
        <f t="shared" si="153"/>
        <v>1</v>
      </c>
      <c r="BW44" s="336">
        <f t="shared" si="154"/>
        <v>1</v>
      </c>
      <c r="BX44" s="336">
        <f t="shared" si="155"/>
        <v>1</v>
      </c>
      <c r="BY44" s="336">
        <f t="shared" si="156"/>
        <v>1</v>
      </c>
      <c r="BZ44" s="337">
        <f t="shared" si="157"/>
        <v>1</v>
      </c>
      <c r="CA44" s="336">
        <f t="shared" si="158"/>
        <v>1</v>
      </c>
      <c r="CB44" s="336">
        <f t="shared" si="159"/>
        <v>1</v>
      </c>
      <c r="CC44" s="336">
        <f t="shared" si="160"/>
        <v>1</v>
      </c>
      <c r="CD44" s="336">
        <f t="shared" si="161"/>
        <v>1</v>
      </c>
      <c r="CE44" s="336">
        <f t="shared" si="162"/>
        <v>1</v>
      </c>
      <c r="CF44" s="336">
        <f t="shared" si="163"/>
        <v>1</v>
      </c>
      <c r="CG44" s="336">
        <f t="shared" si="164"/>
        <v>1</v>
      </c>
      <c r="CH44" s="337">
        <f t="shared" si="165"/>
        <v>1</v>
      </c>
      <c r="CI44" s="490">
        <f t="shared" si="173"/>
        <v>16</v>
      </c>
      <c r="CJ44" s="487">
        <f t="shared" si="174"/>
        <v>8</v>
      </c>
      <c r="CK44" s="491">
        <f t="shared" si="175"/>
        <v>24</v>
      </c>
      <c r="CL44" s="566">
        <f t="shared" si="168"/>
        <v>0.9999692440032959</v>
      </c>
      <c r="CM44" s="563">
        <f t="shared" si="169"/>
        <v>1.0000000074505806</v>
      </c>
    </row>
    <row r="45" spans="1:91" ht="16.2" thickBot="1" x14ac:dyDescent="0.35">
      <c r="A45" s="493">
        <v>9</v>
      </c>
      <c r="B45" s="637">
        <f t="shared" ca="1" si="176"/>
        <v>36770</v>
      </c>
      <c r="C45" s="333">
        <f t="shared" ca="1" si="200"/>
        <v>34</v>
      </c>
      <c r="D45" s="333">
        <f t="shared" ca="1" si="201"/>
        <v>19.499998092651367</v>
      </c>
      <c r="E45" s="323">
        <v>9</v>
      </c>
      <c r="F45" s="472">
        <f t="shared" ca="1" si="177"/>
        <v>40.610988616943359</v>
      </c>
      <c r="G45" s="473">
        <f t="shared" ca="1" si="178"/>
        <v>40.277295589447021</v>
      </c>
      <c r="H45" s="473">
        <f t="shared" ca="1" si="179"/>
        <v>38.573965549468994</v>
      </c>
      <c r="I45" s="473">
        <f t="shared" ca="1" si="180"/>
        <v>37.627672433853149</v>
      </c>
      <c r="J45" s="473">
        <f t="shared" ca="1" si="181"/>
        <v>37.562923908233643</v>
      </c>
      <c r="K45" s="473">
        <f t="shared" ca="1" si="182"/>
        <v>36.970244884490967</v>
      </c>
      <c r="L45" s="473">
        <f t="shared" ca="1" si="183"/>
        <v>36.696319103240967</v>
      </c>
      <c r="M45" s="473">
        <f t="shared" ca="1" si="184"/>
        <v>35.814770460128784</v>
      </c>
      <c r="N45" s="473">
        <f t="shared" ca="1" si="185"/>
        <v>34.699138164520264</v>
      </c>
      <c r="O45" s="473">
        <f t="shared" ca="1" si="186"/>
        <v>34.440152168273926</v>
      </c>
      <c r="P45" s="473">
        <f t="shared" ca="1" si="187"/>
        <v>32.248731732368469</v>
      </c>
      <c r="Q45" s="473">
        <f t="shared" ca="1" si="188"/>
        <v>30.908978343009949</v>
      </c>
      <c r="R45" s="473">
        <f t="shared" ca="1" si="189"/>
        <v>30.819329500198364</v>
      </c>
      <c r="S45" s="473">
        <f t="shared" ca="1" si="190"/>
        <v>26.421548843383789</v>
      </c>
      <c r="T45" s="473">
        <f t="shared" ca="1" si="191"/>
        <v>25.83384907245636</v>
      </c>
      <c r="U45" s="474">
        <f t="shared" ca="1" si="192"/>
        <v>24.494095683097839</v>
      </c>
      <c r="V45" s="473">
        <f t="shared" ca="1" si="192"/>
        <v>27.569771454172951</v>
      </c>
      <c r="W45" s="473">
        <f t="shared" ca="1" si="193"/>
        <v>21.937344431892143</v>
      </c>
      <c r="X45" s="473">
        <f t="shared" ca="1" si="194"/>
        <v>20.27377901853356</v>
      </c>
      <c r="Y45" s="473">
        <f t="shared" ca="1" si="195"/>
        <v>19.434591359337219</v>
      </c>
      <c r="Z45" s="473">
        <f t="shared" ca="1" si="196"/>
        <v>17.51926918330355</v>
      </c>
      <c r="AA45" s="473">
        <f t="shared" ca="1" si="197"/>
        <v>17.050311715602788</v>
      </c>
      <c r="AB45" s="473">
        <f t="shared" ca="1" si="198"/>
        <v>16.225933961440546</v>
      </c>
      <c r="AC45" s="474">
        <f t="shared" ca="1" si="199"/>
        <v>15.9889859415091</v>
      </c>
      <c r="AE45" s="352" t="s">
        <v>73</v>
      </c>
      <c r="AF45" s="320" t="s">
        <v>153</v>
      </c>
      <c r="AG45" s="321"/>
      <c r="AH45" s="321"/>
      <c r="AI45" s="321"/>
      <c r="AJ45" s="321"/>
      <c r="AK45" s="321"/>
      <c r="AL45" s="321"/>
      <c r="AM45" s="321"/>
      <c r="AN45" s="321"/>
      <c r="AO45" s="321"/>
      <c r="AP45" s="321"/>
      <c r="AQ45" s="321"/>
      <c r="AR45" s="321"/>
      <c r="AS45" s="321"/>
      <c r="AT45" s="321"/>
      <c r="AU45" s="322"/>
      <c r="AV45" s="321" t="s">
        <v>138</v>
      </c>
      <c r="AW45" s="321"/>
      <c r="AX45" s="321"/>
      <c r="AY45" s="321"/>
      <c r="AZ45" s="321"/>
      <c r="BA45" s="321"/>
      <c r="BB45" s="321"/>
      <c r="BC45" s="322"/>
      <c r="BD45" s="481"/>
      <c r="BE45" s="484" t="s">
        <v>304</v>
      </c>
      <c r="BF45" s="314"/>
      <c r="BG45" s="564"/>
      <c r="BH45" s="564"/>
      <c r="BJ45" s="352" t="s">
        <v>73</v>
      </c>
      <c r="BK45" s="320" t="s">
        <v>153</v>
      </c>
      <c r="BL45" s="321"/>
      <c r="BM45" s="321"/>
      <c r="BN45" s="321"/>
      <c r="BO45" s="321"/>
      <c r="BP45" s="321"/>
      <c r="BQ45" s="321"/>
      <c r="BR45" s="321"/>
      <c r="BS45" s="321"/>
      <c r="BT45" s="321"/>
      <c r="BU45" s="321"/>
      <c r="BV45" s="321"/>
      <c r="BW45" s="321"/>
      <c r="BX45" s="321"/>
      <c r="BY45" s="321"/>
      <c r="BZ45" s="322"/>
      <c r="CA45" s="321" t="s">
        <v>138</v>
      </c>
      <c r="CB45" s="321"/>
      <c r="CC45" s="321"/>
      <c r="CD45" s="321"/>
      <c r="CE45" s="321"/>
      <c r="CF45" s="321"/>
      <c r="CG45" s="321"/>
      <c r="CH45" s="322"/>
      <c r="CI45" s="481"/>
      <c r="CJ45" s="484" t="s">
        <v>304</v>
      </c>
      <c r="CK45" s="314"/>
      <c r="CL45" s="564"/>
      <c r="CM45" s="564"/>
    </row>
    <row r="46" spans="1:91" ht="13.8" thickBot="1" x14ac:dyDescent="0.3">
      <c r="A46" s="493">
        <v>10</v>
      </c>
      <c r="B46" s="637">
        <f t="shared" ca="1" si="176"/>
        <v>36800</v>
      </c>
      <c r="C46" s="333">
        <f t="shared" ca="1" si="200"/>
        <v>31.5</v>
      </c>
      <c r="D46" s="333">
        <f t="shared" ca="1" si="201"/>
        <v>19.499998092651367</v>
      </c>
      <c r="E46" s="323">
        <v>10</v>
      </c>
      <c r="F46" s="472">
        <f t="shared" ca="1" si="177"/>
        <v>38.099248588085175</v>
      </c>
      <c r="G46" s="473">
        <f t="shared" ca="1" si="178"/>
        <v>37.80314826965332</v>
      </c>
      <c r="H46" s="473">
        <f t="shared" ca="1" si="179"/>
        <v>36.436050474643707</v>
      </c>
      <c r="I46" s="473">
        <f t="shared" ca="1" si="180"/>
        <v>35.676898419857025</v>
      </c>
      <c r="J46" s="473">
        <f t="shared" ca="1" si="181"/>
        <v>35.566648900508881</v>
      </c>
      <c r="K46" s="473">
        <f t="shared" ca="1" si="182"/>
        <v>35.365049242973328</v>
      </c>
      <c r="L46" s="473">
        <f t="shared" ca="1" si="183"/>
        <v>33.670349657535553</v>
      </c>
      <c r="M46" s="473">
        <f t="shared" ca="1" si="184"/>
        <v>33.437248528003693</v>
      </c>
      <c r="N46" s="473">
        <f t="shared" ca="1" si="185"/>
        <v>29.843099176883698</v>
      </c>
      <c r="O46" s="473">
        <f t="shared" ca="1" si="186"/>
        <v>28.031850904226303</v>
      </c>
      <c r="P46" s="473">
        <f t="shared" ca="1" si="187"/>
        <v>28.022399336099625</v>
      </c>
      <c r="Q46" s="473">
        <f t="shared" ca="1" si="188"/>
        <v>27.931049197912216</v>
      </c>
      <c r="R46" s="473">
        <f t="shared" ca="1" si="189"/>
        <v>27.253799468278885</v>
      </c>
      <c r="S46" s="473">
        <f t="shared" ca="1" si="190"/>
        <v>26.620649546384811</v>
      </c>
      <c r="T46" s="473">
        <f t="shared" ca="1" si="191"/>
        <v>26.437949270009995</v>
      </c>
      <c r="U46" s="474">
        <f t="shared" ca="1" si="192"/>
        <v>23.813999444246292</v>
      </c>
      <c r="V46" s="473">
        <f t="shared" ca="1" si="192"/>
        <v>26.831998286724001</v>
      </c>
      <c r="W46" s="473">
        <f t="shared" ca="1" si="193"/>
        <v>20.755797144126973</v>
      </c>
      <c r="X46" s="473">
        <f t="shared" ca="1" si="194"/>
        <v>20.484748684406213</v>
      </c>
      <c r="Y46" s="473">
        <f t="shared" ca="1" si="195"/>
        <v>18.515248663186981</v>
      </c>
      <c r="Z46" s="473">
        <f t="shared" ca="1" si="196"/>
        <v>18.066748669862704</v>
      </c>
      <c r="AA46" s="473">
        <f t="shared" ca="1" si="197"/>
        <v>17.573398212289817</v>
      </c>
      <c r="AB46" s="473">
        <f t="shared" ca="1" si="198"/>
        <v>16.890897767639217</v>
      </c>
      <c r="AC46" s="474">
        <f t="shared" ca="1" si="199"/>
        <v>16.881148475265491</v>
      </c>
      <c r="AE46" s="323" t="s">
        <v>307</v>
      </c>
      <c r="AF46" s="323">
        <v>1</v>
      </c>
      <c r="AG46" s="217">
        <v>2</v>
      </c>
      <c r="AH46" s="217">
        <v>3</v>
      </c>
      <c r="AI46" s="217">
        <v>4</v>
      </c>
      <c r="AJ46" s="217">
        <v>5</v>
      </c>
      <c r="AK46" s="217">
        <v>6</v>
      </c>
      <c r="AL46" s="217">
        <v>7</v>
      </c>
      <c r="AM46" s="217">
        <v>8</v>
      </c>
      <c r="AN46" s="217">
        <v>9</v>
      </c>
      <c r="AO46" s="217">
        <v>10</v>
      </c>
      <c r="AP46" s="217">
        <v>11</v>
      </c>
      <c r="AQ46" s="217">
        <v>12</v>
      </c>
      <c r="AR46" s="217">
        <v>13</v>
      </c>
      <c r="AS46" s="217">
        <v>14</v>
      </c>
      <c r="AT46" s="217">
        <v>15</v>
      </c>
      <c r="AU46" s="324">
        <v>16</v>
      </c>
      <c r="AV46" s="217">
        <v>1</v>
      </c>
      <c r="AW46" s="217">
        <v>2</v>
      </c>
      <c r="AX46" s="217">
        <v>3</v>
      </c>
      <c r="AY46" s="217">
        <v>4</v>
      </c>
      <c r="AZ46" s="217">
        <v>5</v>
      </c>
      <c r="BA46" s="217">
        <v>6</v>
      </c>
      <c r="BB46" s="217">
        <v>7</v>
      </c>
      <c r="BC46" s="324">
        <v>8</v>
      </c>
      <c r="BD46" s="482" t="s">
        <v>153</v>
      </c>
      <c r="BE46" s="485" t="s">
        <v>153</v>
      </c>
      <c r="BF46" s="483" t="s">
        <v>257</v>
      </c>
      <c r="BG46" s="558" t="s">
        <v>153</v>
      </c>
      <c r="BH46" s="558" t="s">
        <v>138</v>
      </c>
      <c r="BJ46" s="323" t="s">
        <v>307</v>
      </c>
      <c r="BK46" s="323">
        <v>1</v>
      </c>
      <c r="BL46" s="217">
        <v>2</v>
      </c>
      <c r="BM46" s="217">
        <v>3</v>
      </c>
      <c r="BN46" s="217">
        <v>4</v>
      </c>
      <c r="BO46" s="217">
        <v>5</v>
      </c>
      <c r="BP46" s="217">
        <v>6</v>
      </c>
      <c r="BQ46" s="217">
        <v>7</v>
      </c>
      <c r="BR46" s="217">
        <v>8</v>
      </c>
      <c r="BS46" s="217">
        <v>9</v>
      </c>
      <c r="BT46" s="217">
        <v>10</v>
      </c>
      <c r="BU46" s="217">
        <v>11</v>
      </c>
      <c r="BV46" s="217">
        <v>12</v>
      </c>
      <c r="BW46" s="217">
        <v>13</v>
      </c>
      <c r="BX46" s="217">
        <v>14</v>
      </c>
      <c r="BY46" s="217">
        <v>15</v>
      </c>
      <c r="BZ46" s="324">
        <v>16</v>
      </c>
      <c r="CA46" s="217">
        <v>1</v>
      </c>
      <c r="CB46" s="217">
        <v>2</v>
      </c>
      <c r="CC46" s="217">
        <v>3</v>
      </c>
      <c r="CD46" s="217">
        <v>4</v>
      </c>
      <c r="CE46" s="217">
        <v>5</v>
      </c>
      <c r="CF46" s="217">
        <v>6</v>
      </c>
      <c r="CG46" s="217">
        <v>7</v>
      </c>
      <c r="CH46" s="324">
        <v>8</v>
      </c>
      <c r="CI46" s="482" t="s">
        <v>153</v>
      </c>
      <c r="CJ46" s="485" t="s">
        <v>153</v>
      </c>
      <c r="CK46" s="483" t="s">
        <v>257</v>
      </c>
      <c r="CL46" s="558" t="s">
        <v>153</v>
      </c>
      <c r="CM46" s="558" t="s">
        <v>138</v>
      </c>
    </row>
    <row r="47" spans="1:91" x14ac:dyDescent="0.25">
      <c r="A47" s="493">
        <v>11</v>
      </c>
      <c r="B47" s="637">
        <f t="shared" ca="1" si="176"/>
        <v>36831</v>
      </c>
      <c r="C47" s="333">
        <f t="shared" ca="1" si="200"/>
        <v>32</v>
      </c>
      <c r="D47" s="333">
        <f t="shared" ca="1" si="201"/>
        <v>19.499998092651367</v>
      </c>
      <c r="E47" s="323">
        <v>11</v>
      </c>
      <c r="F47" s="472">
        <f t="shared" ca="1" si="177"/>
        <v>39.260799407958984</v>
      </c>
      <c r="G47" s="473">
        <f t="shared" ca="1" si="178"/>
        <v>38.947200775146484</v>
      </c>
      <c r="H47" s="473">
        <f t="shared" ca="1" si="179"/>
        <v>37.654399871826172</v>
      </c>
      <c r="I47" s="473">
        <f t="shared" ca="1" si="180"/>
        <v>36.563201904296875</v>
      </c>
      <c r="J47" s="473">
        <f t="shared" ca="1" si="181"/>
        <v>36.326400756835938</v>
      </c>
      <c r="K47" s="473">
        <f t="shared" ca="1" si="182"/>
        <v>35.625598907470703</v>
      </c>
      <c r="L47" s="473">
        <f t="shared" ca="1" si="183"/>
        <v>34.844799041748047</v>
      </c>
      <c r="M47" s="473">
        <f t="shared" ca="1" si="184"/>
        <v>34.287998199462891</v>
      </c>
      <c r="N47" s="473">
        <f t="shared" ca="1" si="185"/>
        <v>29.996799468994141</v>
      </c>
      <c r="O47" s="473">
        <f t="shared" ca="1" si="186"/>
        <v>28.371200561523438</v>
      </c>
      <c r="P47" s="473">
        <f t="shared" ca="1" si="187"/>
        <v>28.252799987792969</v>
      </c>
      <c r="Q47" s="473">
        <f t="shared" ca="1" si="188"/>
        <v>27.718399047851563</v>
      </c>
      <c r="R47" s="473">
        <f t="shared" ca="1" si="189"/>
        <v>27.494400024414063</v>
      </c>
      <c r="S47" s="473">
        <f t="shared" ca="1" si="190"/>
        <v>26.851200103759766</v>
      </c>
      <c r="T47" s="473">
        <f t="shared" ca="1" si="191"/>
        <v>26.409599304199219</v>
      </c>
      <c r="U47" s="474">
        <f t="shared" ca="1" si="192"/>
        <v>23.375999450683594</v>
      </c>
      <c r="V47" s="473">
        <f t="shared" ca="1" si="192"/>
        <v>29.171998150825402</v>
      </c>
      <c r="W47" s="473">
        <f t="shared" ca="1" si="193"/>
        <v>20.484748684406213</v>
      </c>
      <c r="X47" s="473">
        <f t="shared" ca="1" si="194"/>
        <v>20.365797554206893</v>
      </c>
      <c r="Y47" s="473">
        <f t="shared" ca="1" si="195"/>
        <v>18.125247910976441</v>
      </c>
      <c r="Z47" s="473">
        <f t="shared" ca="1" si="196"/>
        <v>17.676747917652165</v>
      </c>
      <c r="AA47" s="473">
        <f t="shared" ca="1" si="197"/>
        <v>17.183398622369737</v>
      </c>
      <c r="AB47" s="473">
        <f t="shared" ca="1" si="198"/>
        <v>16.500898177719137</v>
      </c>
      <c r="AC47" s="474">
        <f t="shared" ca="1" si="199"/>
        <v>16.49114888534541</v>
      </c>
      <c r="AE47" s="323">
        <v>1</v>
      </c>
      <c r="AF47" s="329">
        <f t="shared" ref="AF47:AF58" si="202">IF(WeekDef=8,IF(CustomHoFlag,IF(CustomHoPeriod=4,INDEX(VolumeHourlyOver,F5,4),IF(OR(CustomHoPeriod=1,CustomHoPeriod=2),IF(VolumeMonthlyOverFlag,INDEX(VolumeMonthlyOver,AE47),Volume),0)),0),AF33)</f>
        <v>1</v>
      </c>
      <c r="AG47" s="330">
        <f t="shared" ref="AG47:AG58" si="203">IF(WeekDef=8,IF(CustomHoFlag,IF(CustomHoPeriod=4,INDEX(VolumeHourlyOver,G5,4),IF(OR(CustomHoPeriod=1,CustomHoPeriod=2),IF(VolumeMonthlyOverFlag,INDEX(VolumeMonthlyOver,AE47),Volume),0)),0),AG33)</f>
        <v>1</v>
      </c>
      <c r="AH47" s="330">
        <f t="shared" ref="AH47:AH58" si="204">IF(WeekDef=8,IF(CustomHoFlag,IF(CustomHoPeriod=4,INDEX(VolumeHourlyOver,H5,4),IF(OR(CustomHoPeriod=1,CustomHoPeriod=2),IF(VolumeMonthlyOverFlag,INDEX(VolumeMonthlyOver,AE47),Volume),0)),0),AH33)</f>
        <v>1</v>
      </c>
      <c r="AI47" s="330">
        <f t="shared" ref="AI47:AI58" si="205">IF(WeekDef=8,IF(CustomHoFlag,IF(CustomHoPeriod=4,INDEX(VolumeHourlyOver,I5,4),IF(OR(CustomHoPeriod=1,CustomHoPeriod=2),IF(VolumeMonthlyOverFlag,INDEX(VolumeMonthlyOver,AE47),Volume),0)),0),AI33)</f>
        <v>1</v>
      </c>
      <c r="AJ47" s="330">
        <f t="shared" ref="AJ47:AJ58" si="206">IF(WeekDef=8,IF(CustomHoFlag,IF(CustomHoPeriod=4,INDEX(VolumeHourlyOver,J5,4),IF(OR(CustomHoPeriod=1,CustomHoPeriod=2),IF(VolumeMonthlyOverFlag,INDEX(VolumeMonthlyOver,AE47),Volume),0)),0),AJ33)</f>
        <v>1</v>
      </c>
      <c r="AK47" s="330">
        <f t="shared" ref="AK47:AK58" si="207">IF(WeekDef=8,IF(CustomHoFlag,IF(CustomHoPeriod=4,INDEX(VolumeHourlyOver,K5,4),IF(OR(CustomHoPeriod=1,CustomHoPeriod=2),IF(VolumeMonthlyOverFlag,INDEX(VolumeMonthlyOver,AE47),Volume),0)),0),AK33)</f>
        <v>1</v>
      </c>
      <c r="AL47" s="330">
        <f t="shared" ref="AL47:AL58" si="208">IF(WeekDef=8,IF(CustomHoFlag,IF(CustomHoPeriod=4,INDEX(VolumeHourlyOver,L5,4),IF(OR(CustomHoPeriod=1,CustomHoPeriod=2),IF(VolumeMonthlyOverFlag,INDEX(VolumeMonthlyOver,AE47),Volume),0)),0),AL33)</f>
        <v>1</v>
      </c>
      <c r="AM47" s="330">
        <f t="shared" ref="AM47:AM58" si="209">IF(WeekDef=8,IF(CustomHoFlag,IF(CustomHoPeriod=4,INDEX(VolumeHourlyOver,M5,4),IF(OR(CustomHoPeriod=1,CustomHoPeriod=2),IF(VolumeMonthlyOverFlag,INDEX(VolumeMonthlyOver,AE47),Volume),0)),0),AM33)</f>
        <v>1</v>
      </c>
      <c r="AN47" s="330">
        <f t="shared" ref="AN47:AN58" si="210">IF(WeekDef=8,IF(CustomHoFlag,IF(CustomHoPeriod=4,INDEX(VolumeHourlyOver,N5,4),IF(OR(CustomHoPeriod=1,CustomHoPeriod=2),IF(VolumeMonthlyOverFlag,INDEX(VolumeMonthlyOver,AE47),Volume),0)),0),AN33)</f>
        <v>1</v>
      </c>
      <c r="AO47" s="330">
        <f t="shared" ref="AO47:AO58" si="211">IF(WeekDef=8,IF(CustomHoFlag,IF(CustomHoPeriod=4,INDEX(VolumeHourlyOver,O5,4),IF(OR(CustomHoPeriod=1,CustomHoPeriod=2),IF(VolumeMonthlyOverFlag,INDEX(VolumeMonthlyOver,AE47),Volume),0)),0),AO33)</f>
        <v>1</v>
      </c>
      <c r="AP47" s="330">
        <f t="shared" ref="AP47:AP58" si="212">IF(WeekDef=8,IF(CustomHoFlag,IF(CustomHoPeriod=4,INDEX(VolumeHourlyOver,P5,4),IF(OR(CustomHoPeriod=1,CustomHoPeriod=2),IF(VolumeMonthlyOverFlag,INDEX(VolumeMonthlyOver,AE47),Volume),0)),0),AP33)</f>
        <v>1</v>
      </c>
      <c r="AQ47" s="330">
        <f t="shared" ref="AQ47:AQ58" si="213">IF(WeekDef=8,IF(CustomHoFlag,IF(CustomHoPeriod=4,INDEX(VolumeHourlyOver,Q5,4),IF(OR(CustomHoPeriod=1,CustomHoPeriod=2),IF(VolumeMonthlyOverFlag,INDEX(VolumeMonthlyOver,AE47),Volume),0)),0),AQ33)</f>
        <v>1</v>
      </c>
      <c r="AR47" s="330">
        <f t="shared" ref="AR47:AR58" si="214">IF(WeekDef=8,IF(CustomHoFlag,IF(CustomHoPeriod=4,INDEX(VolumeHourlyOver,R5,4),IF(OR(CustomHoPeriod=1,CustomHoPeriod=2),IF(VolumeMonthlyOverFlag,INDEX(VolumeMonthlyOver,AE47),Volume),0)),0),AR33)</f>
        <v>1</v>
      </c>
      <c r="AS47" s="330">
        <f t="shared" ref="AS47:AS58" si="215">IF(WeekDef=8,IF(CustomHoFlag,IF(CustomHoPeriod=4,INDEX(VolumeHourlyOver,S5,4),IF(OR(CustomHoPeriod=1,CustomHoPeriod=2),IF(VolumeMonthlyOverFlag,INDEX(VolumeMonthlyOver,AE47),Volume),0)),0),AS33)</f>
        <v>1</v>
      </c>
      <c r="AT47" s="330">
        <f t="shared" ref="AT47:AT58" si="216">IF(WeekDef=8,IF(CustomHoFlag,IF(CustomHoPeriod=4,INDEX(VolumeHourlyOver,T5,4),IF(OR(CustomHoPeriod=1,CustomHoPeriod=2),IF(VolumeMonthlyOverFlag,INDEX(VolumeMonthlyOver,AE47),Volume),0)),0),AT33)</f>
        <v>1</v>
      </c>
      <c r="AU47" s="331">
        <f t="shared" ref="AU47:AU58" si="217">IF(WeekDef=8,IF(CustomHoFlag,IF(CustomHoPeriod=4,INDEX(VolumeHourlyOver,U5,4),IF(OR(CustomHoPeriod=1,CustomHoPeriod=2),IF(VolumeMonthlyOverFlag,INDEX(VolumeMonthlyOver,AE47),Volume),0)),0),AU33)</f>
        <v>1</v>
      </c>
      <c r="AV47" s="330">
        <f t="shared" ref="AV47:AV58" si="218">IF(WeekDef=8,IF(CustomHoFlag,IF(CustomHoPeriod=4,INDEX(VolumeHourlyOver,V5,4),IF(OR(CustomHoPeriod=1,CustomHoPeriod=3),IF(VolumeMonthlyOverFlag,INDEX(VolumeMonthlyOver,AE47),Volume),0)),0),AV33)</f>
        <v>1</v>
      </c>
      <c r="AW47" s="330">
        <f t="shared" ref="AW47:AW58" si="219">IF(WeekDef=8,IF(CustomHoFlag,IF(CustomHoPeriod=4,INDEX(VolumeHourlyOver,W5,4),IF(OR(CustomHoPeriod=1,CustomHoPeriod=3),IF(VolumeMonthlyOverFlag,INDEX(VolumeMonthlyOver,AE47),Volume),0)),0),AW33)</f>
        <v>1</v>
      </c>
      <c r="AX47" s="330">
        <f t="shared" ref="AX47:AX58" si="220">IF(WeekDef=8,IF(CustomHoFlag,IF(CustomHoPeriod=4,INDEX(VolumeHourlyOver,X5,4),IF(OR(CustomHoPeriod=1,CustomHoPeriod=3),IF(VolumeMonthlyOverFlag,INDEX(VolumeMonthlyOver,AE47),Volume),0)),0),AX33)</f>
        <v>1</v>
      </c>
      <c r="AY47" s="330">
        <f t="shared" ref="AY47:AY58" si="221">IF(WeekDef=8,IF(CustomHoFlag,IF(CustomHoPeriod=4,INDEX(VolumeHourlyOver,Y5,4),IF(OR(CustomHoPeriod=1,CustomHoPeriod=3),IF(VolumeMonthlyOverFlag,INDEX(VolumeMonthlyOver,AE47),Volume),0)),0),AY33)</f>
        <v>1</v>
      </c>
      <c r="AZ47" s="330">
        <f t="shared" ref="AZ47:AZ58" si="222">IF(WeekDef=8,IF(CustomHoFlag,IF(CustomHoPeriod=4,INDEX(VolumeHourlyOver,Z5,4),IF(OR(CustomHoPeriod=1,CustomHoPeriod=3),IF(VolumeMonthlyOverFlag,INDEX(VolumeMonthlyOver,AE47),Volume),0)),0),AZ33)</f>
        <v>1</v>
      </c>
      <c r="BA47" s="330">
        <f t="shared" ref="BA47:BA58" si="223">IF(WeekDef=8,IF(CustomHoFlag,IF(CustomHoPeriod=4,INDEX(VolumeHourlyOver,AA5,4),IF(OR(CustomHoPeriod=1,CustomHoPeriod=3),IF(VolumeMonthlyOverFlag,INDEX(VolumeMonthlyOver,AE47),Volume),0)),0),BA33)</f>
        <v>1</v>
      </c>
      <c r="BB47" s="330">
        <f t="shared" ref="BB47:BB58" si="224">IF(WeekDef=8,IF(CustomHoFlag,IF(CustomHoPeriod=4,INDEX(VolumeHourlyOver,AB5,4),IF(OR(CustomHoPeriod=1,CustomHoPeriod=3),IF(VolumeMonthlyOverFlag,INDEX(VolumeMonthlyOver,AE47),Volume),0)),0),BB33)</f>
        <v>1</v>
      </c>
      <c r="BC47" s="331">
        <f t="shared" ref="BC47:BC58" si="225">IF(WeekDef=8,IF(CustomHoFlag,IF(CustomHoPeriod=4,INDEX(VolumeHourlyOver,AC5,4),IF(OR(CustomHoPeriod=1,CustomHoPeriod=3),IF(VolumeMonthlyOverFlag,INDEX(VolumeMonthlyOver,AE47),Volume),0)),0),BC33)</f>
        <v>1</v>
      </c>
      <c r="BD47" s="488">
        <f>SUM(AF47:AU47)</f>
        <v>16</v>
      </c>
      <c r="BE47" s="486">
        <f>SUM(AV47:BC47)</f>
        <v>8</v>
      </c>
      <c r="BF47" s="489">
        <f>BD47+BE47</f>
        <v>24</v>
      </c>
      <c r="BG47" s="565">
        <f>IF(BD47,SUMPRODUCT(AF47:AU47,F21:U21)/BD47,0)</f>
        <v>0.99998503923416138</v>
      </c>
      <c r="BH47" s="567">
        <f>IF(BE47,SUMPRODUCT(AV47:BC47,V21:AC21)/BE47,0)</f>
        <v>1.0000070855021477</v>
      </c>
      <c r="BJ47" s="323">
        <v>1</v>
      </c>
      <c r="BK47" s="329">
        <f t="shared" ref="BK47:BK58" si="226">IF(WeekDef=8,IF(CustomHoFlag,IF(CustomHoPeriod=4,INDEX(IF(DiffOptVolumeFlag,DiffOptVolumeHourlyOver,VolumeHourlyOver),F5,4),IF(OR(CustomHoPeriod=1,CustomHoPeriod=2),IF(VolumeMonthlyOverFlag,INDEX(IF(DiffOptVolumeFlag,DiffOptVolumeMonthlyOver,VolumeMonthlyOver),BJ47),IF(DiffOptVolumeFlag,DiffOptVolume,Volume)),0)),0),BK33)</f>
        <v>1</v>
      </c>
      <c r="BL47" s="330">
        <f t="shared" ref="BL47:BL58" si="227">IF(WeekDef=8,IF(CustomHoFlag,IF(CustomHoPeriod=4,INDEX(IF(DiffOptVolumeFlag,DiffOptVolumeHourlyOver,VolumeHourlyOver),G5,4),IF(OR(CustomHoPeriod=1,CustomHoPeriod=2),IF(VolumeMonthlyOverFlag,INDEX(IF(DiffOptVolumeFlag,DiffOptVolumeMonthlyOver,VolumeMonthlyOver),BJ47),IF(DiffOptVolumeFlag,DiffOptVolume,Volume)),0)),0),BL33)</f>
        <v>1</v>
      </c>
      <c r="BM47" s="330">
        <f t="shared" ref="BM47:BM58" si="228">IF(WeekDef=8,IF(CustomHoFlag,IF(CustomHoPeriod=4,INDEX(IF(DiffOptVolumeFlag,DiffOptVolumeHourlyOver,VolumeHourlyOver),H5,4),IF(OR(CustomHoPeriod=1,CustomHoPeriod=2),IF(VolumeMonthlyOverFlag,INDEX(IF(DiffOptVolumeFlag,DiffOptVolumeMonthlyOver,VolumeMonthlyOver),BJ47),IF(DiffOptVolumeFlag,DiffOptVolume,Volume)),0)),0),BM33)</f>
        <v>1</v>
      </c>
      <c r="BN47" s="330">
        <f t="shared" ref="BN47:BN58" si="229">IF(WeekDef=8,IF(CustomHoFlag,IF(CustomHoPeriod=4,INDEX(IF(DiffOptVolumeFlag,DiffOptVolumeHourlyOver,VolumeHourlyOver),I5,4),IF(OR(CustomHoPeriod=1,CustomHoPeriod=2),IF(VolumeMonthlyOverFlag,INDEX(IF(DiffOptVolumeFlag,DiffOptVolumeMonthlyOver,VolumeMonthlyOver),BJ47),IF(DiffOptVolumeFlag,DiffOptVolume,Volume)),0)),0),BN33)</f>
        <v>1</v>
      </c>
      <c r="BO47" s="330">
        <f t="shared" ref="BO47:BO58" si="230">IF(WeekDef=8,IF(CustomHoFlag,IF(CustomHoPeriod=4,INDEX(IF(DiffOptVolumeFlag,DiffOptVolumeHourlyOver,VolumeHourlyOver),J5,4),IF(OR(CustomHoPeriod=1,CustomHoPeriod=2),IF(VolumeMonthlyOverFlag,INDEX(IF(DiffOptVolumeFlag,DiffOptVolumeMonthlyOver,VolumeMonthlyOver),BJ47),IF(DiffOptVolumeFlag,DiffOptVolume,Volume)),0)),0),BO33)</f>
        <v>1</v>
      </c>
      <c r="BP47" s="330">
        <f t="shared" ref="BP47:BP58" si="231">IF(WeekDef=8,IF(CustomHoFlag,IF(CustomHoPeriod=4,INDEX(IF(DiffOptVolumeFlag,DiffOptVolumeHourlyOver,VolumeHourlyOver),K5,4),IF(OR(CustomHoPeriod=1,CustomHoPeriod=2),IF(VolumeMonthlyOverFlag,INDEX(IF(DiffOptVolumeFlag,DiffOptVolumeMonthlyOver,VolumeMonthlyOver),BJ47),IF(DiffOptVolumeFlag,DiffOptVolume,Volume)),0)),0),BP33)</f>
        <v>1</v>
      </c>
      <c r="BQ47" s="330">
        <f t="shared" ref="BQ47:BQ58" si="232">IF(WeekDef=8,IF(CustomHoFlag,IF(CustomHoPeriod=4,INDEX(IF(DiffOptVolumeFlag,DiffOptVolumeHourlyOver,VolumeHourlyOver),L5,4),IF(OR(CustomHoPeriod=1,CustomHoPeriod=2),IF(VolumeMonthlyOverFlag,INDEX(IF(DiffOptVolumeFlag,DiffOptVolumeMonthlyOver,VolumeMonthlyOver),BJ47),IF(DiffOptVolumeFlag,DiffOptVolume,Volume)),0)),0),BQ33)</f>
        <v>1</v>
      </c>
      <c r="BR47" s="330">
        <f t="shared" ref="BR47:BR58" si="233">IF(WeekDef=8,IF(CustomHoFlag,IF(CustomHoPeriod=4,INDEX(IF(DiffOptVolumeFlag,DiffOptVolumeHourlyOver,VolumeHourlyOver),M5,4),IF(OR(CustomHoPeriod=1,CustomHoPeriod=2),IF(VolumeMonthlyOverFlag,INDEX(IF(DiffOptVolumeFlag,DiffOptVolumeMonthlyOver,VolumeMonthlyOver),BJ47),IF(DiffOptVolumeFlag,DiffOptVolume,Volume)),0)),0),BR33)</f>
        <v>1</v>
      </c>
      <c r="BS47" s="330">
        <f t="shared" ref="BS47:BS58" si="234">IF(WeekDef=8,IF(CustomHoFlag,IF(CustomHoPeriod=4,INDEX(IF(DiffOptVolumeFlag,DiffOptVolumeHourlyOver,VolumeHourlyOver),N5,4),IF(OR(CustomHoPeriod=1,CustomHoPeriod=2),IF(VolumeMonthlyOverFlag,INDEX(IF(DiffOptVolumeFlag,DiffOptVolumeMonthlyOver,VolumeMonthlyOver),BJ47),IF(DiffOptVolumeFlag,DiffOptVolume,Volume)),0)),0),BS33)</f>
        <v>1</v>
      </c>
      <c r="BT47" s="330">
        <f t="shared" ref="BT47:BT58" si="235">IF(WeekDef=8,IF(CustomHoFlag,IF(CustomHoPeriod=4,INDEX(IF(DiffOptVolumeFlag,DiffOptVolumeHourlyOver,VolumeHourlyOver),O5,4),IF(OR(CustomHoPeriod=1,CustomHoPeriod=2),IF(VolumeMonthlyOverFlag,INDEX(IF(DiffOptVolumeFlag,DiffOptVolumeMonthlyOver,VolumeMonthlyOver),BJ47),IF(DiffOptVolumeFlag,DiffOptVolume,Volume)),0)),0),BT33)</f>
        <v>1</v>
      </c>
      <c r="BU47" s="330">
        <f t="shared" ref="BU47:BU58" si="236">IF(WeekDef=8,IF(CustomHoFlag,IF(CustomHoPeriod=4,INDEX(IF(DiffOptVolumeFlag,DiffOptVolumeHourlyOver,VolumeHourlyOver),P5,4),IF(OR(CustomHoPeriod=1,CustomHoPeriod=2),IF(VolumeMonthlyOverFlag,INDEX(IF(DiffOptVolumeFlag,DiffOptVolumeMonthlyOver,VolumeMonthlyOver),BJ47),IF(DiffOptVolumeFlag,DiffOptVolume,Volume)),0)),0),BU33)</f>
        <v>1</v>
      </c>
      <c r="BV47" s="330">
        <f t="shared" ref="BV47:BV58" si="237">IF(WeekDef=8,IF(CustomHoFlag,IF(CustomHoPeriod=4,INDEX(IF(DiffOptVolumeFlag,DiffOptVolumeHourlyOver,VolumeHourlyOver),Q5,4),IF(OR(CustomHoPeriod=1,CustomHoPeriod=2),IF(VolumeMonthlyOverFlag,INDEX(IF(DiffOptVolumeFlag,DiffOptVolumeMonthlyOver,VolumeMonthlyOver),BJ47),IF(DiffOptVolumeFlag,DiffOptVolume,Volume)),0)),0),BV33)</f>
        <v>1</v>
      </c>
      <c r="BW47" s="330">
        <f t="shared" ref="BW47:BW58" si="238">IF(WeekDef=8,IF(CustomHoFlag,IF(CustomHoPeriod=4,INDEX(IF(DiffOptVolumeFlag,DiffOptVolumeHourlyOver,VolumeHourlyOver),R5,4),IF(OR(CustomHoPeriod=1,CustomHoPeriod=2),IF(VolumeMonthlyOverFlag,INDEX(IF(DiffOptVolumeFlag,DiffOptVolumeMonthlyOver,VolumeMonthlyOver),BJ47),IF(DiffOptVolumeFlag,DiffOptVolume,Volume)),0)),0),BW33)</f>
        <v>1</v>
      </c>
      <c r="BX47" s="330">
        <f t="shared" ref="BX47:BX58" si="239">IF(WeekDef=8,IF(CustomHoFlag,IF(CustomHoPeriod=4,INDEX(IF(DiffOptVolumeFlag,DiffOptVolumeHourlyOver,VolumeHourlyOver),S5,4),IF(OR(CustomHoPeriod=1,CustomHoPeriod=2),IF(VolumeMonthlyOverFlag,INDEX(IF(DiffOptVolumeFlag,DiffOptVolumeMonthlyOver,VolumeMonthlyOver),BJ47),IF(DiffOptVolumeFlag,DiffOptVolume,Volume)),0)),0),BX33)</f>
        <v>1</v>
      </c>
      <c r="BY47" s="330">
        <f t="shared" ref="BY47:BY58" si="240">IF(WeekDef=8,IF(CustomHoFlag,IF(CustomHoPeriod=4,INDEX(IF(DiffOptVolumeFlag,DiffOptVolumeHourlyOver,VolumeHourlyOver),T5,4),IF(OR(CustomHoPeriod=1,CustomHoPeriod=2),IF(VolumeMonthlyOverFlag,INDEX(IF(DiffOptVolumeFlag,DiffOptVolumeMonthlyOver,VolumeMonthlyOver),BJ47),IF(DiffOptVolumeFlag,DiffOptVolume,Volume)),0)),0),BY33)</f>
        <v>1</v>
      </c>
      <c r="BZ47" s="331">
        <f t="shared" ref="BZ47:BZ58" si="241">IF(WeekDef=8,IF(CustomHoFlag,IF(CustomHoPeriod=4,INDEX(IF(DiffOptVolumeFlag,DiffOptVolumeHourlyOver,VolumeHourlyOver),U5,4),IF(OR(CustomHoPeriod=1,CustomHoPeriod=2),IF(VolumeMonthlyOverFlag,INDEX(IF(DiffOptVolumeFlag,DiffOptVolumeMonthlyOver,VolumeMonthlyOver),BJ47),IF(DiffOptVolumeFlag,DiffOptVolume,Volume)),0)),0),BZ33)</f>
        <v>1</v>
      </c>
      <c r="CA47" s="330">
        <f t="shared" ref="CA47:CA58" si="242">IF(WeekDef=8,IF(CustomHoFlag,IF(CustomHoPeriod=4,INDEX(IF(DiffOptVolumeFlag,DiffOptVolumeHourlyOver,VolumeHourlyOver),V5,4),IF(OR(CustomHoPeriod=1,CustomHoPeriod=3),IF(VolumeMonthlyOverFlag,INDEX(IF(DiffOptVolumeFlag,DiffOptVolumeMonthlyOver,VolumeMonthlyOver),BJ47),IF(DiffOptVolumeFlag,DiffOptVolume,Volume)),0)),0),CA33)</f>
        <v>1</v>
      </c>
      <c r="CB47" s="330">
        <f t="shared" ref="CB47:CB58" si="243">IF(WeekDef=8,IF(CustomHoFlag,IF(CustomHoPeriod=4,INDEX(IF(DiffOptVolumeFlag,DiffOptVolumeHourlyOver,VolumeHourlyOver),W5,4),IF(OR(CustomHoPeriod=1,CustomHoPeriod=3),IF(VolumeMonthlyOverFlag,INDEX(IF(DiffOptVolumeFlag,DiffOptVolumeMonthlyOver,VolumeMonthlyOver),BJ47),IF(DiffOptVolumeFlag,DiffOptVolume,Volume)),0)),0),CB33)</f>
        <v>1</v>
      </c>
      <c r="CC47" s="330">
        <f t="shared" ref="CC47:CC58" si="244">IF(WeekDef=8,IF(CustomHoFlag,IF(CustomHoPeriod=4,INDEX(IF(DiffOptVolumeFlag,DiffOptVolumeHourlyOver,VolumeHourlyOver),X5,4),IF(OR(CustomHoPeriod=1,CustomHoPeriod=3),IF(VolumeMonthlyOverFlag,INDEX(IF(DiffOptVolumeFlag,DiffOptVolumeMonthlyOver,VolumeMonthlyOver),BJ47),IF(DiffOptVolumeFlag,DiffOptVolume,Volume)),0)),0),CC33)</f>
        <v>1</v>
      </c>
      <c r="CD47" s="330">
        <f t="shared" ref="CD47:CD58" si="245">IF(WeekDef=8,IF(CustomHoFlag,IF(CustomHoPeriod=4,INDEX(IF(DiffOptVolumeFlag,DiffOptVolumeHourlyOver,VolumeHourlyOver),Y5,4),IF(OR(CustomHoPeriod=1,CustomHoPeriod=3),IF(VolumeMonthlyOverFlag,INDEX(IF(DiffOptVolumeFlag,DiffOptVolumeMonthlyOver,VolumeMonthlyOver),BJ47),IF(DiffOptVolumeFlag,DiffOptVolume,Volume)),0)),0),CD33)</f>
        <v>1</v>
      </c>
      <c r="CE47" s="330">
        <f t="shared" ref="CE47:CE58" si="246">IF(WeekDef=8,IF(CustomHoFlag,IF(CustomHoPeriod=4,INDEX(IF(DiffOptVolumeFlag,DiffOptVolumeHourlyOver,VolumeHourlyOver),Z5,4),IF(OR(CustomHoPeriod=1,CustomHoPeriod=3),IF(VolumeMonthlyOverFlag,INDEX(IF(DiffOptVolumeFlag,DiffOptVolumeMonthlyOver,VolumeMonthlyOver),BJ47),IF(DiffOptVolumeFlag,DiffOptVolume,Volume)),0)),0),CE33)</f>
        <v>1</v>
      </c>
      <c r="CF47" s="330">
        <f t="shared" ref="CF47:CF58" si="247">IF(WeekDef=8,IF(CustomHoFlag,IF(CustomHoPeriod=4,INDEX(IF(DiffOptVolumeFlag,DiffOptVolumeHourlyOver,VolumeHourlyOver),AA5,4),IF(OR(CustomHoPeriod=1,CustomHoPeriod=3),IF(VolumeMonthlyOverFlag,INDEX(IF(DiffOptVolumeFlag,DiffOptVolumeMonthlyOver,VolumeMonthlyOver),BJ47),IF(DiffOptVolumeFlag,DiffOptVolume,Volume)),0)),0),CF33)</f>
        <v>1</v>
      </c>
      <c r="CG47" s="330">
        <f t="shared" ref="CG47:CG58" si="248">IF(WeekDef=8,IF(CustomHoFlag,IF(CustomHoPeriod=4,INDEX(IF(DiffOptVolumeFlag,DiffOptVolumeHourlyOver,VolumeHourlyOver),AB5,4),IF(OR(CustomHoPeriod=1,CustomHoPeriod=3),IF(VolumeMonthlyOverFlag,INDEX(IF(DiffOptVolumeFlag,DiffOptVolumeMonthlyOver,VolumeMonthlyOver),BJ47),IF(DiffOptVolumeFlag,DiffOptVolume,Volume)),0)),0),CG33)</f>
        <v>1</v>
      </c>
      <c r="CH47" s="331">
        <f t="shared" ref="CH47:CH58" si="249">IF(WeekDef=8,IF(CustomHoFlag,IF(CustomHoPeriod=4,INDEX(IF(DiffOptVolumeFlag,DiffOptVolumeHourlyOver,VolumeHourlyOver),AC5,4),IF(OR(CustomHoPeriod=1,CustomHoPeriod=3),IF(VolumeMonthlyOverFlag,INDEX(IF(DiffOptVolumeFlag,DiffOptVolumeMonthlyOver,VolumeMonthlyOver),BJ47),IF(DiffOptVolumeFlag,DiffOptVolume,Volume)),0)),0),CH33)</f>
        <v>1</v>
      </c>
      <c r="CI47" s="488">
        <f>SUM(BK47:BZ47)</f>
        <v>16</v>
      </c>
      <c r="CJ47" s="486">
        <f>SUM(CA47:CH47)</f>
        <v>8</v>
      </c>
      <c r="CK47" s="489">
        <f>CI47+CJ47</f>
        <v>24</v>
      </c>
      <c r="CL47" s="565">
        <f>IF(CI47,SUMPRODUCT(BK47:BZ47,F21:U21)/CI47,0)</f>
        <v>0.99998503923416138</v>
      </c>
      <c r="CM47" s="567">
        <f>IF(CJ47,SUMPRODUCT(CA47:CH47,V21:AC21)/CJ47,0)</f>
        <v>1.0000070855021477</v>
      </c>
    </row>
    <row r="48" spans="1:91" ht="13.8" thickBot="1" x14ac:dyDescent="0.3">
      <c r="A48" s="494">
        <v>12</v>
      </c>
      <c r="B48" s="638">
        <f t="shared" ca="1" si="176"/>
        <v>36861</v>
      </c>
      <c r="C48" s="338">
        <f t="shared" ca="1" si="200"/>
        <v>32.5</v>
      </c>
      <c r="D48" s="338">
        <f t="shared" ca="1" si="201"/>
        <v>21.049999237060547</v>
      </c>
      <c r="E48" s="334">
        <v>12</v>
      </c>
      <c r="F48" s="475">
        <f t="shared" ca="1" si="177"/>
        <v>40.288927555084229</v>
      </c>
      <c r="G48" s="476">
        <f t="shared" ca="1" si="178"/>
        <v>40.020500421524048</v>
      </c>
      <c r="H48" s="476">
        <f t="shared" ca="1" si="179"/>
        <v>38.642380237579346</v>
      </c>
      <c r="I48" s="476">
        <f t="shared" ca="1" si="180"/>
        <v>37.823500037193298</v>
      </c>
      <c r="J48" s="476">
        <f t="shared" ca="1" si="181"/>
        <v>37.631749212741852</v>
      </c>
      <c r="K48" s="476">
        <f t="shared" ca="1" si="182"/>
        <v>37.539203763008118</v>
      </c>
      <c r="L48" s="476">
        <f t="shared" ca="1" si="183"/>
        <v>36.812748908996582</v>
      </c>
      <c r="M48" s="476">
        <f t="shared" ca="1" si="184"/>
        <v>35.343749225139618</v>
      </c>
      <c r="N48" s="476">
        <f t="shared" ca="1" si="185"/>
        <v>29.913000762462616</v>
      </c>
      <c r="O48" s="476">
        <f t="shared" ca="1" si="186"/>
        <v>28.586999624967575</v>
      </c>
      <c r="P48" s="476">
        <f t="shared" ca="1" si="187"/>
        <v>28.434249460697174</v>
      </c>
      <c r="Q48" s="476">
        <f t="shared" ca="1" si="188"/>
        <v>27.673749178647995</v>
      </c>
      <c r="R48" s="476">
        <f t="shared" ca="1" si="189"/>
        <v>27.208999544382095</v>
      </c>
      <c r="S48" s="476">
        <f t="shared" ca="1" si="190"/>
        <v>25.840749144554138</v>
      </c>
      <c r="T48" s="476">
        <f t="shared" ca="1" si="191"/>
        <v>25.392250269651413</v>
      </c>
      <c r="U48" s="477">
        <f t="shared" ca="1" si="192"/>
        <v>22.831249535083771</v>
      </c>
      <c r="V48" s="476">
        <f t="shared" ca="1" si="192"/>
        <v>31.490799942684134</v>
      </c>
      <c r="W48" s="476">
        <f t="shared" ca="1" si="193"/>
        <v>22.113024941301319</v>
      </c>
      <c r="X48" s="476">
        <f t="shared" ca="1" si="194"/>
        <v>21.984618713359851</v>
      </c>
      <c r="Y48" s="476">
        <f t="shared" ca="1" si="195"/>
        <v>19.565973949575437</v>
      </c>
      <c r="Z48" s="476">
        <f t="shared" ca="1" si="196"/>
        <v>19.081823926973357</v>
      </c>
      <c r="AA48" s="476">
        <f t="shared" ca="1" si="197"/>
        <v>18.549259654917705</v>
      </c>
      <c r="AB48" s="476">
        <f t="shared" ca="1" si="198"/>
        <v>17.812509129562386</v>
      </c>
      <c r="AC48" s="477">
        <f t="shared" ca="1" si="199"/>
        <v>17.801984892787914</v>
      </c>
      <c r="AE48" s="323">
        <v>2</v>
      </c>
      <c r="AF48" s="326">
        <f t="shared" si="202"/>
        <v>1</v>
      </c>
      <c r="AG48" s="327">
        <f t="shared" si="203"/>
        <v>1</v>
      </c>
      <c r="AH48" s="327">
        <f t="shared" si="204"/>
        <v>1</v>
      </c>
      <c r="AI48" s="327">
        <f t="shared" si="205"/>
        <v>1</v>
      </c>
      <c r="AJ48" s="327">
        <f t="shared" si="206"/>
        <v>1</v>
      </c>
      <c r="AK48" s="327">
        <f t="shared" si="207"/>
        <v>1</v>
      </c>
      <c r="AL48" s="327">
        <f t="shared" si="208"/>
        <v>1</v>
      </c>
      <c r="AM48" s="327">
        <f t="shared" si="209"/>
        <v>1</v>
      </c>
      <c r="AN48" s="327">
        <f t="shared" si="210"/>
        <v>1</v>
      </c>
      <c r="AO48" s="327">
        <f t="shared" si="211"/>
        <v>1</v>
      </c>
      <c r="AP48" s="327">
        <f t="shared" si="212"/>
        <v>1</v>
      </c>
      <c r="AQ48" s="327">
        <f t="shared" si="213"/>
        <v>1</v>
      </c>
      <c r="AR48" s="327">
        <f t="shared" si="214"/>
        <v>1</v>
      </c>
      <c r="AS48" s="327">
        <f t="shared" si="215"/>
        <v>1</v>
      </c>
      <c r="AT48" s="327">
        <f t="shared" si="216"/>
        <v>1</v>
      </c>
      <c r="AU48" s="328">
        <f t="shared" si="217"/>
        <v>1</v>
      </c>
      <c r="AV48" s="327">
        <f t="shared" si="218"/>
        <v>1</v>
      </c>
      <c r="AW48" s="327">
        <f t="shared" si="219"/>
        <v>1</v>
      </c>
      <c r="AX48" s="327">
        <f t="shared" si="220"/>
        <v>1</v>
      </c>
      <c r="AY48" s="327">
        <f t="shared" si="221"/>
        <v>1</v>
      </c>
      <c r="AZ48" s="327">
        <f t="shared" si="222"/>
        <v>1</v>
      </c>
      <c r="BA48" s="327">
        <f t="shared" si="223"/>
        <v>1</v>
      </c>
      <c r="BB48" s="327">
        <f t="shared" si="224"/>
        <v>1</v>
      </c>
      <c r="BC48" s="328">
        <f t="shared" si="225"/>
        <v>1</v>
      </c>
      <c r="BD48" s="488">
        <f t="shared" si="170"/>
        <v>16</v>
      </c>
      <c r="BE48" s="486">
        <f t="shared" si="171"/>
        <v>8</v>
      </c>
      <c r="BF48" s="489">
        <f t="shared" si="172"/>
        <v>24</v>
      </c>
      <c r="BG48" s="565">
        <f t="shared" ref="BG48:BG58" si="250">IF(BD48,SUMPRODUCT(AF48:AU48,F22:U22)/BD48,0)</f>
        <v>0.99998503923416138</v>
      </c>
      <c r="BH48" s="562">
        <f t="shared" ref="BH48:BH58" si="251">IF(BE48,SUMPRODUCT(AV48:BC48,V22:AC22)/BE48,0)</f>
        <v>1.0000070855021477</v>
      </c>
      <c r="BJ48" s="323">
        <v>2</v>
      </c>
      <c r="BK48" s="326">
        <f t="shared" si="226"/>
        <v>1</v>
      </c>
      <c r="BL48" s="327">
        <f t="shared" si="227"/>
        <v>1</v>
      </c>
      <c r="BM48" s="327">
        <f t="shared" si="228"/>
        <v>1</v>
      </c>
      <c r="BN48" s="327">
        <f t="shared" si="229"/>
        <v>1</v>
      </c>
      <c r="BO48" s="327">
        <f t="shared" si="230"/>
        <v>1</v>
      </c>
      <c r="BP48" s="327">
        <f t="shared" si="231"/>
        <v>1</v>
      </c>
      <c r="BQ48" s="327">
        <f t="shared" si="232"/>
        <v>1</v>
      </c>
      <c r="BR48" s="327">
        <f t="shared" si="233"/>
        <v>1</v>
      </c>
      <c r="BS48" s="327">
        <f t="shared" si="234"/>
        <v>1</v>
      </c>
      <c r="BT48" s="327">
        <f t="shared" si="235"/>
        <v>1</v>
      </c>
      <c r="BU48" s="327">
        <f t="shared" si="236"/>
        <v>1</v>
      </c>
      <c r="BV48" s="327">
        <f t="shared" si="237"/>
        <v>1</v>
      </c>
      <c r="BW48" s="327">
        <f t="shared" si="238"/>
        <v>1</v>
      </c>
      <c r="BX48" s="327">
        <f t="shared" si="239"/>
        <v>1</v>
      </c>
      <c r="BY48" s="327">
        <f t="shared" si="240"/>
        <v>1</v>
      </c>
      <c r="BZ48" s="328">
        <f t="shared" si="241"/>
        <v>1</v>
      </c>
      <c r="CA48" s="327">
        <f t="shared" si="242"/>
        <v>1</v>
      </c>
      <c r="CB48" s="327">
        <f t="shared" si="243"/>
        <v>1</v>
      </c>
      <c r="CC48" s="327">
        <f t="shared" si="244"/>
        <v>1</v>
      </c>
      <c r="CD48" s="327">
        <f t="shared" si="245"/>
        <v>1</v>
      </c>
      <c r="CE48" s="327">
        <f t="shared" si="246"/>
        <v>1</v>
      </c>
      <c r="CF48" s="327">
        <f t="shared" si="247"/>
        <v>1</v>
      </c>
      <c r="CG48" s="327">
        <f t="shared" si="248"/>
        <v>1</v>
      </c>
      <c r="CH48" s="328">
        <f t="shared" si="249"/>
        <v>1</v>
      </c>
      <c r="CI48" s="488">
        <f t="shared" si="173"/>
        <v>16</v>
      </c>
      <c r="CJ48" s="486">
        <f t="shared" si="174"/>
        <v>8</v>
      </c>
      <c r="CK48" s="489">
        <f t="shared" si="175"/>
        <v>24</v>
      </c>
      <c r="CL48" s="565">
        <f t="shared" ref="CL48:CL58" si="252">IF(CI48,SUMPRODUCT(BK48:BZ48,F22:U22)/CI48,0)</f>
        <v>0.99998503923416138</v>
      </c>
      <c r="CM48" s="562">
        <f t="shared" ref="CM48:CM58" si="253">IF(CJ48,SUMPRODUCT(CA48:CH48,V22:AC22)/CJ48,0)</f>
        <v>1.0000070855021477</v>
      </c>
    </row>
    <row r="49" spans="1:91" ht="13.8" thickBot="1" x14ac:dyDescent="0.3">
      <c r="Z49"/>
      <c r="AE49" s="323">
        <v>3</v>
      </c>
      <c r="AF49" s="326">
        <f t="shared" si="202"/>
        <v>1</v>
      </c>
      <c r="AG49" s="327">
        <f t="shared" si="203"/>
        <v>1</v>
      </c>
      <c r="AH49" s="327">
        <f t="shared" si="204"/>
        <v>1</v>
      </c>
      <c r="AI49" s="327">
        <f t="shared" si="205"/>
        <v>1</v>
      </c>
      <c r="AJ49" s="327">
        <f t="shared" si="206"/>
        <v>1</v>
      </c>
      <c r="AK49" s="327">
        <f t="shared" si="207"/>
        <v>1</v>
      </c>
      <c r="AL49" s="327">
        <f t="shared" si="208"/>
        <v>1</v>
      </c>
      <c r="AM49" s="327">
        <f t="shared" si="209"/>
        <v>1</v>
      </c>
      <c r="AN49" s="327">
        <f t="shared" si="210"/>
        <v>1</v>
      </c>
      <c r="AO49" s="327">
        <f t="shared" si="211"/>
        <v>1</v>
      </c>
      <c r="AP49" s="327">
        <f t="shared" si="212"/>
        <v>1</v>
      </c>
      <c r="AQ49" s="327">
        <f t="shared" si="213"/>
        <v>1</v>
      </c>
      <c r="AR49" s="327">
        <f t="shared" si="214"/>
        <v>1</v>
      </c>
      <c r="AS49" s="327">
        <f t="shared" si="215"/>
        <v>1</v>
      </c>
      <c r="AT49" s="327">
        <f t="shared" si="216"/>
        <v>1</v>
      </c>
      <c r="AU49" s="328">
        <f t="shared" si="217"/>
        <v>1</v>
      </c>
      <c r="AV49" s="327">
        <f t="shared" si="218"/>
        <v>1</v>
      </c>
      <c r="AW49" s="327">
        <f t="shared" si="219"/>
        <v>1</v>
      </c>
      <c r="AX49" s="327">
        <f t="shared" si="220"/>
        <v>1</v>
      </c>
      <c r="AY49" s="327">
        <f t="shared" si="221"/>
        <v>1</v>
      </c>
      <c r="AZ49" s="327">
        <f t="shared" si="222"/>
        <v>1</v>
      </c>
      <c r="BA49" s="327">
        <f t="shared" si="223"/>
        <v>1</v>
      </c>
      <c r="BB49" s="327">
        <f t="shared" si="224"/>
        <v>1</v>
      </c>
      <c r="BC49" s="328">
        <f t="shared" si="225"/>
        <v>1</v>
      </c>
      <c r="BD49" s="488">
        <f t="shared" si="170"/>
        <v>16</v>
      </c>
      <c r="BE49" s="486">
        <f t="shared" si="171"/>
        <v>8</v>
      </c>
      <c r="BF49" s="489">
        <f t="shared" si="172"/>
        <v>24</v>
      </c>
      <c r="BG49" s="565">
        <f t="shared" si="250"/>
        <v>0.99999375641345978</v>
      </c>
      <c r="BH49" s="562">
        <f t="shared" si="251"/>
        <v>0.99999988824129105</v>
      </c>
      <c r="BJ49" s="323">
        <v>3</v>
      </c>
      <c r="BK49" s="326">
        <f t="shared" si="226"/>
        <v>1</v>
      </c>
      <c r="BL49" s="327">
        <f t="shared" si="227"/>
        <v>1</v>
      </c>
      <c r="BM49" s="327">
        <f t="shared" si="228"/>
        <v>1</v>
      </c>
      <c r="BN49" s="327">
        <f t="shared" si="229"/>
        <v>1</v>
      </c>
      <c r="BO49" s="327">
        <f t="shared" si="230"/>
        <v>1</v>
      </c>
      <c r="BP49" s="327">
        <f t="shared" si="231"/>
        <v>1</v>
      </c>
      <c r="BQ49" s="327">
        <f t="shared" si="232"/>
        <v>1</v>
      </c>
      <c r="BR49" s="327">
        <f t="shared" si="233"/>
        <v>1</v>
      </c>
      <c r="BS49" s="327">
        <f t="shared" si="234"/>
        <v>1</v>
      </c>
      <c r="BT49" s="327">
        <f t="shared" si="235"/>
        <v>1</v>
      </c>
      <c r="BU49" s="327">
        <f t="shared" si="236"/>
        <v>1</v>
      </c>
      <c r="BV49" s="327">
        <f t="shared" si="237"/>
        <v>1</v>
      </c>
      <c r="BW49" s="327">
        <f t="shared" si="238"/>
        <v>1</v>
      </c>
      <c r="BX49" s="327">
        <f t="shared" si="239"/>
        <v>1</v>
      </c>
      <c r="BY49" s="327">
        <f t="shared" si="240"/>
        <v>1</v>
      </c>
      <c r="BZ49" s="328">
        <f t="shared" si="241"/>
        <v>1</v>
      </c>
      <c r="CA49" s="327">
        <f t="shared" si="242"/>
        <v>1</v>
      </c>
      <c r="CB49" s="327">
        <f t="shared" si="243"/>
        <v>1</v>
      </c>
      <c r="CC49" s="327">
        <f t="shared" si="244"/>
        <v>1</v>
      </c>
      <c r="CD49" s="327">
        <f t="shared" si="245"/>
        <v>1</v>
      </c>
      <c r="CE49" s="327">
        <f t="shared" si="246"/>
        <v>1</v>
      </c>
      <c r="CF49" s="327">
        <f t="shared" si="247"/>
        <v>1</v>
      </c>
      <c r="CG49" s="327">
        <f t="shared" si="248"/>
        <v>1</v>
      </c>
      <c r="CH49" s="328">
        <f t="shared" si="249"/>
        <v>1</v>
      </c>
      <c r="CI49" s="488">
        <f t="shared" si="173"/>
        <v>16</v>
      </c>
      <c r="CJ49" s="486">
        <f t="shared" si="174"/>
        <v>8</v>
      </c>
      <c r="CK49" s="489">
        <f t="shared" si="175"/>
        <v>24</v>
      </c>
      <c r="CL49" s="565">
        <f t="shared" si="252"/>
        <v>0.99999375641345978</v>
      </c>
      <c r="CM49" s="562">
        <f t="shared" si="253"/>
        <v>0.99999988824129105</v>
      </c>
    </row>
    <row r="50" spans="1:91" ht="18" thickBot="1" x14ac:dyDescent="0.35">
      <c r="A50" s="217"/>
      <c r="B50" s="217"/>
      <c r="C50" s="217"/>
      <c r="D50"/>
      <c r="E50" s="345" t="s">
        <v>428</v>
      </c>
      <c r="F50" s="346"/>
      <c r="G50" s="346"/>
      <c r="H50" s="346"/>
      <c r="I50" s="346"/>
      <c r="J50" s="346"/>
      <c r="K50" s="346"/>
      <c r="L50" s="346"/>
      <c r="M50" s="346"/>
      <c r="N50" s="346"/>
      <c r="O50" s="346"/>
      <c r="P50" s="346"/>
      <c r="Q50" s="346"/>
      <c r="R50" s="346"/>
      <c r="S50" s="346"/>
      <c r="T50" s="346"/>
      <c r="U50" s="346"/>
      <c r="V50" s="346"/>
      <c r="W50" s="346"/>
      <c r="X50" s="346"/>
      <c r="Y50" s="346"/>
      <c r="Z50" s="346"/>
      <c r="AA50" s="346"/>
      <c r="AB50" s="346"/>
      <c r="AC50" s="347"/>
      <c r="AE50" s="323">
        <v>4</v>
      </c>
      <c r="AF50" s="326">
        <f t="shared" si="202"/>
        <v>1</v>
      </c>
      <c r="AG50" s="327">
        <f t="shared" si="203"/>
        <v>1</v>
      </c>
      <c r="AH50" s="327">
        <f t="shared" si="204"/>
        <v>1</v>
      </c>
      <c r="AI50" s="327">
        <f t="shared" si="205"/>
        <v>1</v>
      </c>
      <c r="AJ50" s="327">
        <f t="shared" si="206"/>
        <v>1</v>
      </c>
      <c r="AK50" s="327">
        <f t="shared" si="207"/>
        <v>1</v>
      </c>
      <c r="AL50" s="327">
        <f t="shared" si="208"/>
        <v>1</v>
      </c>
      <c r="AM50" s="327">
        <f t="shared" si="209"/>
        <v>1</v>
      </c>
      <c r="AN50" s="327">
        <f t="shared" si="210"/>
        <v>1</v>
      </c>
      <c r="AO50" s="327">
        <f t="shared" si="211"/>
        <v>1</v>
      </c>
      <c r="AP50" s="327">
        <f t="shared" si="212"/>
        <v>1</v>
      </c>
      <c r="AQ50" s="327">
        <f t="shared" si="213"/>
        <v>1</v>
      </c>
      <c r="AR50" s="327">
        <f t="shared" si="214"/>
        <v>1</v>
      </c>
      <c r="AS50" s="327">
        <f t="shared" si="215"/>
        <v>1</v>
      </c>
      <c r="AT50" s="327">
        <f t="shared" si="216"/>
        <v>1</v>
      </c>
      <c r="AU50" s="328">
        <f t="shared" si="217"/>
        <v>1</v>
      </c>
      <c r="AV50" s="327">
        <f t="shared" si="218"/>
        <v>1</v>
      </c>
      <c r="AW50" s="327">
        <f t="shared" si="219"/>
        <v>1</v>
      </c>
      <c r="AX50" s="327">
        <f t="shared" si="220"/>
        <v>1</v>
      </c>
      <c r="AY50" s="327">
        <f t="shared" si="221"/>
        <v>1</v>
      </c>
      <c r="AZ50" s="327">
        <f t="shared" si="222"/>
        <v>1</v>
      </c>
      <c r="BA50" s="327">
        <f t="shared" si="223"/>
        <v>1</v>
      </c>
      <c r="BB50" s="327">
        <f t="shared" si="224"/>
        <v>1</v>
      </c>
      <c r="BC50" s="328">
        <f t="shared" si="225"/>
        <v>1</v>
      </c>
      <c r="BD50" s="488">
        <f t="shared" si="170"/>
        <v>16</v>
      </c>
      <c r="BE50" s="486">
        <f t="shared" si="171"/>
        <v>8</v>
      </c>
      <c r="BF50" s="489">
        <f t="shared" si="172"/>
        <v>24</v>
      </c>
      <c r="BG50" s="565">
        <f t="shared" si="250"/>
        <v>1.0000000074505806</v>
      </c>
      <c r="BH50" s="562">
        <f t="shared" si="251"/>
        <v>0.99995028972625732</v>
      </c>
      <c r="BJ50" s="323">
        <v>4</v>
      </c>
      <c r="BK50" s="326">
        <f t="shared" si="226"/>
        <v>1</v>
      </c>
      <c r="BL50" s="327">
        <f t="shared" si="227"/>
        <v>1</v>
      </c>
      <c r="BM50" s="327">
        <f t="shared" si="228"/>
        <v>1</v>
      </c>
      <c r="BN50" s="327">
        <f t="shared" si="229"/>
        <v>1</v>
      </c>
      <c r="BO50" s="327">
        <f t="shared" si="230"/>
        <v>1</v>
      </c>
      <c r="BP50" s="327">
        <f t="shared" si="231"/>
        <v>1</v>
      </c>
      <c r="BQ50" s="327">
        <f t="shared" si="232"/>
        <v>1</v>
      </c>
      <c r="BR50" s="327">
        <f t="shared" si="233"/>
        <v>1</v>
      </c>
      <c r="BS50" s="327">
        <f t="shared" si="234"/>
        <v>1</v>
      </c>
      <c r="BT50" s="327">
        <f t="shared" si="235"/>
        <v>1</v>
      </c>
      <c r="BU50" s="327">
        <f t="shared" si="236"/>
        <v>1</v>
      </c>
      <c r="BV50" s="327">
        <f t="shared" si="237"/>
        <v>1</v>
      </c>
      <c r="BW50" s="327">
        <f t="shared" si="238"/>
        <v>1</v>
      </c>
      <c r="BX50" s="327">
        <f t="shared" si="239"/>
        <v>1</v>
      </c>
      <c r="BY50" s="327">
        <f t="shared" si="240"/>
        <v>1</v>
      </c>
      <c r="BZ50" s="328">
        <f t="shared" si="241"/>
        <v>1</v>
      </c>
      <c r="CA50" s="327">
        <f t="shared" si="242"/>
        <v>1</v>
      </c>
      <c r="CB50" s="327">
        <f t="shared" si="243"/>
        <v>1</v>
      </c>
      <c r="CC50" s="327">
        <f t="shared" si="244"/>
        <v>1</v>
      </c>
      <c r="CD50" s="327">
        <f t="shared" si="245"/>
        <v>1</v>
      </c>
      <c r="CE50" s="327">
        <f t="shared" si="246"/>
        <v>1</v>
      </c>
      <c r="CF50" s="327">
        <f t="shared" si="247"/>
        <v>1</v>
      </c>
      <c r="CG50" s="327">
        <f t="shared" si="248"/>
        <v>1</v>
      </c>
      <c r="CH50" s="328">
        <f t="shared" si="249"/>
        <v>1</v>
      </c>
      <c r="CI50" s="488">
        <f t="shared" si="173"/>
        <v>16</v>
      </c>
      <c r="CJ50" s="486">
        <f t="shared" si="174"/>
        <v>8</v>
      </c>
      <c r="CK50" s="489">
        <f t="shared" si="175"/>
        <v>24</v>
      </c>
      <c r="CL50" s="565">
        <f t="shared" si="252"/>
        <v>1.0000000074505806</v>
      </c>
      <c r="CM50" s="562">
        <f t="shared" si="253"/>
        <v>0.99995028972625732</v>
      </c>
    </row>
    <row r="51" spans="1:91" ht="13.8" thickBot="1" x14ac:dyDescent="0.3">
      <c r="A51" s="351"/>
      <c r="B51" s="634" t="s">
        <v>314</v>
      </c>
      <c r="C51" s="471" t="s">
        <v>315</v>
      </c>
      <c r="D51" s="495"/>
      <c r="E51" s="351"/>
      <c r="F51" s="317" t="s">
        <v>153</v>
      </c>
      <c r="G51" s="318"/>
      <c r="H51" s="318"/>
      <c r="I51" s="318"/>
      <c r="J51" s="318"/>
      <c r="K51" s="318"/>
      <c r="L51" s="318"/>
      <c r="M51" s="318"/>
      <c r="N51" s="318"/>
      <c r="O51" s="318"/>
      <c r="P51" s="318"/>
      <c r="Q51" s="318"/>
      <c r="R51" s="318"/>
      <c r="S51" s="318"/>
      <c r="T51" s="318"/>
      <c r="U51" s="319"/>
      <c r="V51" s="317" t="s">
        <v>138</v>
      </c>
      <c r="W51" s="318"/>
      <c r="X51" s="318"/>
      <c r="Y51" s="318"/>
      <c r="Z51" s="318"/>
      <c r="AA51" s="318"/>
      <c r="AB51" s="318"/>
      <c r="AC51" s="319"/>
      <c r="AE51" s="323">
        <v>5</v>
      </c>
      <c r="AF51" s="326">
        <f t="shared" si="202"/>
        <v>1</v>
      </c>
      <c r="AG51" s="327">
        <f t="shared" si="203"/>
        <v>1</v>
      </c>
      <c r="AH51" s="327">
        <f t="shared" si="204"/>
        <v>1</v>
      </c>
      <c r="AI51" s="327">
        <f t="shared" si="205"/>
        <v>1</v>
      </c>
      <c r="AJ51" s="327">
        <f t="shared" si="206"/>
        <v>1</v>
      </c>
      <c r="AK51" s="327">
        <f t="shared" si="207"/>
        <v>1</v>
      </c>
      <c r="AL51" s="327">
        <f t="shared" si="208"/>
        <v>1</v>
      </c>
      <c r="AM51" s="327">
        <f t="shared" si="209"/>
        <v>1</v>
      </c>
      <c r="AN51" s="327">
        <f t="shared" si="210"/>
        <v>1</v>
      </c>
      <c r="AO51" s="327">
        <f t="shared" si="211"/>
        <v>1</v>
      </c>
      <c r="AP51" s="327">
        <f t="shared" si="212"/>
        <v>1</v>
      </c>
      <c r="AQ51" s="327">
        <f t="shared" si="213"/>
        <v>1</v>
      </c>
      <c r="AR51" s="327">
        <f t="shared" si="214"/>
        <v>1</v>
      </c>
      <c r="AS51" s="327">
        <f t="shared" si="215"/>
        <v>1</v>
      </c>
      <c r="AT51" s="327">
        <f t="shared" si="216"/>
        <v>1</v>
      </c>
      <c r="AU51" s="328">
        <f t="shared" si="217"/>
        <v>1</v>
      </c>
      <c r="AV51" s="327">
        <f t="shared" si="218"/>
        <v>1</v>
      </c>
      <c r="AW51" s="327">
        <f t="shared" si="219"/>
        <v>1</v>
      </c>
      <c r="AX51" s="327">
        <f t="shared" si="220"/>
        <v>1</v>
      </c>
      <c r="AY51" s="327">
        <f t="shared" si="221"/>
        <v>1</v>
      </c>
      <c r="AZ51" s="327">
        <f t="shared" si="222"/>
        <v>1</v>
      </c>
      <c r="BA51" s="327">
        <f t="shared" si="223"/>
        <v>1</v>
      </c>
      <c r="BB51" s="327">
        <f t="shared" si="224"/>
        <v>1</v>
      </c>
      <c r="BC51" s="328">
        <f t="shared" si="225"/>
        <v>1</v>
      </c>
      <c r="BD51" s="488">
        <f t="shared" ref="BD51:BD58" si="254">SUM(AF51:AU51)</f>
        <v>16</v>
      </c>
      <c r="BE51" s="486">
        <f t="shared" ref="BE51:BE58" si="255">SUM(AV51:BC51)</f>
        <v>8</v>
      </c>
      <c r="BF51" s="489">
        <f t="shared" ref="BF51:BF58" si="256">BD51+BE51</f>
        <v>24</v>
      </c>
      <c r="BG51" s="565">
        <f t="shared" si="250"/>
        <v>0.9999999925494194</v>
      </c>
      <c r="BH51" s="562">
        <f t="shared" si="251"/>
        <v>1</v>
      </c>
      <c r="BJ51" s="323">
        <v>5</v>
      </c>
      <c r="BK51" s="326">
        <f t="shared" si="226"/>
        <v>1</v>
      </c>
      <c r="BL51" s="327">
        <f t="shared" si="227"/>
        <v>1</v>
      </c>
      <c r="BM51" s="327">
        <f t="shared" si="228"/>
        <v>1</v>
      </c>
      <c r="BN51" s="327">
        <f t="shared" si="229"/>
        <v>1</v>
      </c>
      <c r="BO51" s="327">
        <f t="shared" si="230"/>
        <v>1</v>
      </c>
      <c r="BP51" s="327">
        <f t="shared" si="231"/>
        <v>1</v>
      </c>
      <c r="BQ51" s="327">
        <f t="shared" si="232"/>
        <v>1</v>
      </c>
      <c r="BR51" s="327">
        <f t="shared" si="233"/>
        <v>1</v>
      </c>
      <c r="BS51" s="327">
        <f t="shared" si="234"/>
        <v>1</v>
      </c>
      <c r="BT51" s="327">
        <f t="shared" si="235"/>
        <v>1</v>
      </c>
      <c r="BU51" s="327">
        <f t="shared" si="236"/>
        <v>1</v>
      </c>
      <c r="BV51" s="327">
        <f t="shared" si="237"/>
        <v>1</v>
      </c>
      <c r="BW51" s="327">
        <f t="shared" si="238"/>
        <v>1</v>
      </c>
      <c r="BX51" s="327">
        <f t="shared" si="239"/>
        <v>1</v>
      </c>
      <c r="BY51" s="327">
        <f t="shared" si="240"/>
        <v>1</v>
      </c>
      <c r="BZ51" s="328">
        <f t="shared" si="241"/>
        <v>1</v>
      </c>
      <c r="CA51" s="327">
        <f t="shared" si="242"/>
        <v>1</v>
      </c>
      <c r="CB51" s="327">
        <f t="shared" si="243"/>
        <v>1</v>
      </c>
      <c r="CC51" s="327">
        <f t="shared" si="244"/>
        <v>1</v>
      </c>
      <c r="CD51" s="327">
        <f t="shared" si="245"/>
        <v>1</v>
      </c>
      <c r="CE51" s="327">
        <f t="shared" si="246"/>
        <v>1</v>
      </c>
      <c r="CF51" s="327">
        <f t="shared" si="247"/>
        <v>1</v>
      </c>
      <c r="CG51" s="327">
        <f t="shared" si="248"/>
        <v>1</v>
      </c>
      <c r="CH51" s="328">
        <f t="shared" si="249"/>
        <v>1</v>
      </c>
      <c r="CI51" s="488">
        <f t="shared" ref="CI51:CI58" si="257">SUM(BK51:BZ51)</f>
        <v>16</v>
      </c>
      <c r="CJ51" s="486">
        <f t="shared" ref="CJ51:CJ58" si="258">SUM(CA51:CH51)</f>
        <v>8</v>
      </c>
      <c r="CK51" s="489">
        <f t="shared" ref="CK51:CK58" si="259">CI51+CJ51</f>
        <v>24</v>
      </c>
      <c r="CL51" s="565">
        <f t="shared" si="252"/>
        <v>0.9999999925494194</v>
      </c>
      <c r="CM51" s="562">
        <f t="shared" si="253"/>
        <v>1</v>
      </c>
    </row>
    <row r="52" spans="1:91" ht="13.8" thickBot="1" x14ac:dyDescent="0.3">
      <c r="A52" s="584" t="s">
        <v>15</v>
      </c>
      <c r="B52" s="635" t="s">
        <v>316</v>
      </c>
      <c r="C52" s="496" t="s">
        <v>153</v>
      </c>
      <c r="D52" s="496" t="s">
        <v>138</v>
      </c>
      <c r="E52" s="320" t="s">
        <v>307</v>
      </c>
      <c r="F52" s="320">
        <v>1</v>
      </c>
      <c r="G52" s="321">
        <v>2</v>
      </c>
      <c r="H52" s="321">
        <v>3</v>
      </c>
      <c r="I52" s="321">
        <v>4</v>
      </c>
      <c r="J52" s="321">
        <v>5</v>
      </c>
      <c r="K52" s="321">
        <v>6</v>
      </c>
      <c r="L52" s="321">
        <v>7</v>
      </c>
      <c r="M52" s="321">
        <v>8</v>
      </c>
      <c r="N52" s="321">
        <v>9</v>
      </c>
      <c r="O52" s="321">
        <v>10</v>
      </c>
      <c r="P52" s="321">
        <v>11</v>
      </c>
      <c r="Q52" s="321">
        <v>12</v>
      </c>
      <c r="R52" s="321">
        <v>13</v>
      </c>
      <c r="S52" s="321">
        <v>14</v>
      </c>
      <c r="T52" s="321">
        <v>15</v>
      </c>
      <c r="U52" s="322">
        <v>16</v>
      </c>
      <c r="V52" s="321">
        <v>1</v>
      </c>
      <c r="W52" s="321">
        <v>2</v>
      </c>
      <c r="X52" s="321">
        <v>3</v>
      </c>
      <c r="Y52" s="321">
        <v>4</v>
      </c>
      <c r="Z52" s="321">
        <v>5</v>
      </c>
      <c r="AA52" s="321">
        <v>6</v>
      </c>
      <c r="AB52" s="321">
        <v>7</v>
      </c>
      <c r="AC52" s="322">
        <v>8</v>
      </c>
      <c r="AE52" s="323">
        <v>6</v>
      </c>
      <c r="AF52" s="326">
        <f t="shared" si="202"/>
        <v>1</v>
      </c>
      <c r="AG52" s="327">
        <f t="shared" si="203"/>
        <v>1</v>
      </c>
      <c r="AH52" s="327">
        <f t="shared" si="204"/>
        <v>1</v>
      </c>
      <c r="AI52" s="327">
        <f t="shared" si="205"/>
        <v>1</v>
      </c>
      <c r="AJ52" s="327">
        <f t="shared" si="206"/>
        <v>1</v>
      </c>
      <c r="AK52" s="327">
        <f t="shared" si="207"/>
        <v>1</v>
      </c>
      <c r="AL52" s="327">
        <f t="shared" si="208"/>
        <v>1</v>
      </c>
      <c r="AM52" s="327">
        <f t="shared" si="209"/>
        <v>1</v>
      </c>
      <c r="AN52" s="327">
        <f t="shared" si="210"/>
        <v>1</v>
      </c>
      <c r="AO52" s="327">
        <f t="shared" si="211"/>
        <v>1</v>
      </c>
      <c r="AP52" s="327">
        <f t="shared" si="212"/>
        <v>1</v>
      </c>
      <c r="AQ52" s="327">
        <f t="shared" si="213"/>
        <v>1</v>
      </c>
      <c r="AR52" s="327">
        <f t="shared" si="214"/>
        <v>1</v>
      </c>
      <c r="AS52" s="327">
        <f t="shared" si="215"/>
        <v>1</v>
      </c>
      <c r="AT52" s="327">
        <f t="shared" si="216"/>
        <v>1</v>
      </c>
      <c r="AU52" s="328">
        <f t="shared" si="217"/>
        <v>1</v>
      </c>
      <c r="AV52" s="327">
        <f t="shared" si="218"/>
        <v>1</v>
      </c>
      <c r="AW52" s="327">
        <f t="shared" si="219"/>
        <v>1</v>
      </c>
      <c r="AX52" s="327">
        <f t="shared" si="220"/>
        <v>1</v>
      </c>
      <c r="AY52" s="327">
        <f t="shared" si="221"/>
        <v>1</v>
      </c>
      <c r="AZ52" s="327">
        <f t="shared" si="222"/>
        <v>1</v>
      </c>
      <c r="BA52" s="327">
        <f t="shared" si="223"/>
        <v>1</v>
      </c>
      <c r="BB52" s="327">
        <f t="shared" si="224"/>
        <v>1</v>
      </c>
      <c r="BC52" s="328">
        <f t="shared" si="225"/>
        <v>1</v>
      </c>
      <c r="BD52" s="488">
        <f t="shared" si="254"/>
        <v>16</v>
      </c>
      <c r="BE52" s="486">
        <f t="shared" si="255"/>
        <v>8</v>
      </c>
      <c r="BF52" s="489">
        <f t="shared" si="256"/>
        <v>24</v>
      </c>
      <c r="BG52" s="565">
        <f t="shared" si="250"/>
        <v>1.0000000037252903</v>
      </c>
      <c r="BH52" s="562">
        <f t="shared" si="251"/>
        <v>1</v>
      </c>
      <c r="BJ52" s="323">
        <v>6</v>
      </c>
      <c r="BK52" s="326">
        <f t="shared" si="226"/>
        <v>1</v>
      </c>
      <c r="BL52" s="327">
        <f t="shared" si="227"/>
        <v>1</v>
      </c>
      <c r="BM52" s="327">
        <f t="shared" si="228"/>
        <v>1</v>
      </c>
      <c r="BN52" s="327">
        <f t="shared" si="229"/>
        <v>1</v>
      </c>
      <c r="BO52" s="327">
        <f t="shared" si="230"/>
        <v>1</v>
      </c>
      <c r="BP52" s="327">
        <f t="shared" si="231"/>
        <v>1</v>
      </c>
      <c r="BQ52" s="327">
        <f t="shared" si="232"/>
        <v>1</v>
      </c>
      <c r="BR52" s="327">
        <f t="shared" si="233"/>
        <v>1</v>
      </c>
      <c r="BS52" s="327">
        <f t="shared" si="234"/>
        <v>1</v>
      </c>
      <c r="BT52" s="327">
        <f t="shared" si="235"/>
        <v>1</v>
      </c>
      <c r="BU52" s="327">
        <f t="shared" si="236"/>
        <v>1</v>
      </c>
      <c r="BV52" s="327">
        <f t="shared" si="237"/>
        <v>1</v>
      </c>
      <c r="BW52" s="327">
        <f t="shared" si="238"/>
        <v>1</v>
      </c>
      <c r="BX52" s="327">
        <f t="shared" si="239"/>
        <v>1</v>
      </c>
      <c r="BY52" s="327">
        <f t="shared" si="240"/>
        <v>1</v>
      </c>
      <c r="BZ52" s="328">
        <f t="shared" si="241"/>
        <v>1</v>
      </c>
      <c r="CA52" s="327">
        <f t="shared" si="242"/>
        <v>1</v>
      </c>
      <c r="CB52" s="327">
        <f t="shared" si="243"/>
        <v>1</v>
      </c>
      <c r="CC52" s="327">
        <f t="shared" si="244"/>
        <v>1</v>
      </c>
      <c r="CD52" s="327">
        <f t="shared" si="245"/>
        <v>1</v>
      </c>
      <c r="CE52" s="327">
        <f t="shared" si="246"/>
        <v>1</v>
      </c>
      <c r="CF52" s="327">
        <f t="shared" si="247"/>
        <v>1</v>
      </c>
      <c r="CG52" s="327">
        <f t="shared" si="248"/>
        <v>1</v>
      </c>
      <c r="CH52" s="328">
        <f t="shared" si="249"/>
        <v>1</v>
      </c>
      <c r="CI52" s="488">
        <f t="shared" si="257"/>
        <v>16</v>
      </c>
      <c r="CJ52" s="486">
        <f t="shared" si="258"/>
        <v>8</v>
      </c>
      <c r="CK52" s="489">
        <f t="shared" si="259"/>
        <v>24</v>
      </c>
      <c r="CL52" s="565">
        <f t="shared" si="252"/>
        <v>1.0000000037252903</v>
      </c>
      <c r="CM52" s="562">
        <f t="shared" si="253"/>
        <v>1</v>
      </c>
    </row>
    <row r="53" spans="1:91" x14ac:dyDescent="0.25">
      <c r="A53" s="492">
        <v>1</v>
      </c>
      <c r="B53" s="636">
        <f t="shared" ref="B53:B64" ca="1" si="260">EOMONTH(CurveDate+32,MOD(A37-MONTH(CurveDate+32),12)-1)+1</f>
        <v>36892</v>
      </c>
      <c r="C53" s="332">
        <f ca="1">VLOOKUP(B53,BigTable,3,0)+IF(BasisNumber&lt;&gt;1,VLOOKUP(B37,BasisTable,2,0),0)</f>
        <v>28.748748779296875</v>
      </c>
      <c r="D53" s="332">
        <f ca="1">VLOOKUP(B37,PriceTable,7,0)+IF(BasisNumber&lt;&gt;1,VLOOKUP(B37,BasisTable,3,0),0)</f>
        <v>20.840000152587891</v>
      </c>
      <c r="E53" s="323">
        <v>1</v>
      </c>
      <c r="F53" s="472">
        <f t="shared" ref="F53:F64" ca="1" si="261">C53*F21</f>
        <v>36.852998457652575</v>
      </c>
      <c r="G53" s="473">
        <f t="shared" ref="G53:G64" ca="1" si="262">C53*G21</f>
        <v>35.274714697363379</v>
      </c>
      <c r="H53" s="473">
        <f t="shared" ref="H53:H64" ca="1" si="263">C53*H21</f>
        <v>34.493088486811757</v>
      </c>
      <c r="I53" s="473">
        <f t="shared" ref="I53:I64" ca="1" si="264">C53*I21</f>
        <v>34.388102156528475</v>
      </c>
      <c r="J53" s="473">
        <f t="shared" ref="J53:J64" ca="1" si="265">C53*J21</f>
        <v>33.787986392238963</v>
      </c>
      <c r="K53" s="473">
        <f t="shared" ref="K53:K64" ca="1" si="266">C53*K21</f>
        <v>33.586211397730949</v>
      </c>
      <c r="L53" s="473">
        <f t="shared" ref="L53:L64" ca="1" si="267">C53*L21</f>
        <v>33.20631194946327</v>
      </c>
      <c r="M53" s="473">
        <f t="shared" ref="M53:M64" ca="1" si="268">C53*M21</f>
        <v>32.942756300257315</v>
      </c>
      <c r="N53" s="473">
        <f t="shared" ref="N53:N64" ca="1" si="269">C53*N21</f>
        <v>25.31039848286855</v>
      </c>
      <c r="O53" s="473">
        <f t="shared" ref="O53:O64" ca="1" si="270">C53*O21</f>
        <v>24.574430050772207</v>
      </c>
      <c r="P53" s="473">
        <f t="shared" ref="P53:P64" ca="1" si="271">C53*P21</f>
        <v>24.137450240030375</v>
      </c>
      <c r="Q53" s="473">
        <f t="shared" ref="Q53:Q64" ca="1" si="272">C53*Q21</f>
        <v>23.780964861374741</v>
      </c>
      <c r="R53" s="473">
        <f t="shared" ref="R53:R64" ca="1" si="273">C53*R21</f>
        <v>23.617097218151685</v>
      </c>
      <c r="S53" s="473">
        <f t="shared" ref="S53:S64" ca="1" si="274">C53*S21</f>
        <v>22.570642184087774</v>
      </c>
      <c r="T53" s="473">
        <f t="shared" ref="T53:T64" ca="1" si="275">C53*T21</f>
        <v>22.116411975308438</v>
      </c>
      <c r="U53" s="474">
        <f t="shared" ref="U53:U64" ca="1" si="276">C53*U21</f>
        <v>19.333533965331299</v>
      </c>
      <c r="V53" s="473">
        <f t="shared" ref="V53:V64" ca="1" si="277">D53*V21</f>
        <v>36.053200661468509</v>
      </c>
      <c r="W53" s="473">
        <f t="shared" ref="W53:W64" ca="1" si="278">D53*W21</f>
        <v>21.777799265098565</v>
      </c>
      <c r="X53" s="473">
        <f t="shared" ref="X53:X64" ca="1" si="279">D53*X21</f>
        <v>19.174704720701811</v>
      </c>
      <c r="Y53" s="473">
        <f t="shared" ref="Y53:Y64" ca="1" si="280">D53*Y21</f>
        <v>18.826856219333649</v>
      </c>
      <c r="Z53" s="473">
        <f t="shared" ref="Z53:Z64" ca="1" si="281">D53*Z21</f>
        <v>18.801128584715343</v>
      </c>
      <c r="AA53" s="473">
        <f t="shared" ref="AA53:AA64" ca="1" si="282">D53*AA21</f>
        <v>17.641059701862332</v>
      </c>
      <c r="AB53" s="473">
        <f t="shared" ref="AB53:AB64" ca="1" si="283">D53*AB21</f>
        <v>17.228425061485268</v>
      </c>
      <c r="AC53" s="474">
        <f t="shared" ref="AC53:AC64" ca="1" si="284">D53*AC21</f>
        <v>17.218008300964357</v>
      </c>
      <c r="AE53" s="323">
        <v>7</v>
      </c>
      <c r="AF53" s="326">
        <f t="shared" si="202"/>
        <v>1</v>
      </c>
      <c r="AG53" s="327">
        <f t="shared" si="203"/>
        <v>1</v>
      </c>
      <c r="AH53" s="327">
        <f t="shared" si="204"/>
        <v>1</v>
      </c>
      <c r="AI53" s="327">
        <f t="shared" si="205"/>
        <v>1</v>
      </c>
      <c r="AJ53" s="327">
        <f t="shared" si="206"/>
        <v>1</v>
      </c>
      <c r="AK53" s="327">
        <f t="shared" si="207"/>
        <v>1</v>
      </c>
      <c r="AL53" s="327">
        <f t="shared" si="208"/>
        <v>1</v>
      </c>
      <c r="AM53" s="327">
        <f t="shared" si="209"/>
        <v>1</v>
      </c>
      <c r="AN53" s="327">
        <f t="shared" si="210"/>
        <v>1</v>
      </c>
      <c r="AO53" s="327">
        <f t="shared" si="211"/>
        <v>1</v>
      </c>
      <c r="AP53" s="327">
        <f t="shared" si="212"/>
        <v>1</v>
      </c>
      <c r="AQ53" s="327">
        <f t="shared" si="213"/>
        <v>1</v>
      </c>
      <c r="AR53" s="327">
        <f t="shared" si="214"/>
        <v>1</v>
      </c>
      <c r="AS53" s="327">
        <f t="shared" si="215"/>
        <v>1</v>
      </c>
      <c r="AT53" s="327">
        <f t="shared" si="216"/>
        <v>1</v>
      </c>
      <c r="AU53" s="328">
        <f t="shared" si="217"/>
        <v>1</v>
      </c>
      <c r="AV53" s="327">
        <f t="shared" si="218"/>
        <v>1</v>
      </c>
      <c r="AW53" s="327">
        <f t="shared" si="219"/>
        <v>1</v>
      </c>
      <c r="AX53" s="327">
        <f t="shared" si="220"/>
        <v>1</v>
      </c>
      <c r="AY53" s="327">
        <f t="shared" si="221"/>
        <v>1</v>
      </c>
      <c r="AZ53" s="327">
        <f t="shared" si="222"/>
        <v>1</v>
      </c>
      <c r="BA53" s="327">
        <f t="shared" si="223"/>
        <v>1</v>
      </c>
      <c r="BB53" s="327">
        <f t="shared" si="224"/>
        <v>1</v>
      </c>
      <c r="BC53" s="328">
        <f t="shared" si="225"/>
        <v>1</v>
      </c>
      <c r="BD53" s="488">
        <f t="shared" si="254"/>
        <v>16</v>
      </c>
      <c r="BE53" s="486">
        <f t="shared" si="255"/>
        <v>8</v>
      </c>
      <c r="BF53" s="489">
        <f t="shared" si="256"/>
        <v>24</v>
      </c>
      <c r="BG53" s="565">
        <f t="shared" si="250"/>
        <v>1.0000000111758709</v>
      </c>
      <c r="BH53" s="562">
        <f t="shared" si="251"/>
        <v>1.0000000149011612</v>
      </c>
      <c r="BJ53" s="323">
        <v>7</v>
      </c>
      <c r="BK53" s="326">
        <f t="shared" si="226"/>
        <v>1</v>
      </c>
      <c r="BL53" s="327">
        <f t="shared" si="227"/>
        <v>1</v>
      </c>
      <c r="BM53" s="327">
        <f t="shared" si="228"/>
        <v>1</v>
      </c>
      <c r="BN53" s="327">
        <f t="shared" si="229"/>
        <v>1</v>
      </c>
      <c r="BO53" s="327">
        <f t="shared" si="230"/>
        <v>1</v>
      </c>
      <c r="BP53" s="327">
        <f t="shared" si="231"/>
        <v>1</v>
      </c>
      <c r="BQ53" s="327">
        <f t="shared" si="232"/>
        <v>1</v>
      </c>
      <c r="BR53" s="327">
        <f t="shared" si="233"/>
        <v>1</v>
      </c>
      <c r="BS53" s="327">
        <f t="shared" si="234"/>
        <v>1</v>
      </c>
      <c r="BT53" s="327">
        <f t="shared" si="235"/>
        <v>1</v>
      </c>
      <c r="BU53" s="327">
        <f t="shared" si="236"/>
        <v>1</v>
      </c>
      <c r="BV53" s="327">
        <f t="shared" si="237"/>
        <v>1</v>
      </c>
      <c r="BW53" s="327">
        <f t="shared" si="238"/>
        <v>1</v>
      </c>
      <c r="BX53" s="327">
        <f t="shared" si="239"/>
        <v>1</v>
      </c>
      <c r="BY53" s="327">
        <f t="shared" si="240"/>
        <v>1</v>
      </c>
      <c r="BZ53" s="328">
        <f t="shared" si="241"/>
        <v>1</v>
      </c>
      <c r="CA53" s="327">
        <f t="shared" si="242"/>
        <v>1</v>
      </c>
      <c r="CB53" s="327">
        <f t="shared" si="243"/>
        <v>1</v>
      </c>
      <c r="CC53" s="327">
        <f t="shared" si="244"/>
        <v>1</v>
      </c>
      <c r="CD53" s="327">
        <f t="shared" si="245"/>
        <v>1</v>
      </c>
      <c r="CE53" s="327">
        <f t="shared" si="246"/>
        <v>1</v>
      </c>
      <c r="CF53" s="327">
        <f t="shared" si="247"/>
        <v>1</v>
      </c>
      <c r="CG53" s="327">
        <f t="shared" si="248"/>
        <v>1</v>
      </c>
      <c r="CH53" s="328">
        <f t="shared" si="249"/>
        <v>1</v>
      </c>
      <c r="CI53" s="488">
        <f t="shared" si="257"/>
        <v>16</v>
      </c>
      <c r="CJ53" s="486">
        <f t="shared" si="258"/>
        <v>8</v>
      </c>
      <c r="CK53" s="489">
        <f t="shared" si="259"/>
        <v>24</v>
      </c>
      <c r="CL53" s="565">
        <f t="shared" si="252"/>
        <v>1.0000000111758709</v>
      </c>
      <c r="CM53" s="562">
        <f t="shared" si="253"/>
        <v>1.0000000149011612</v>
      </c>
    </row>
    <row r="54" spans="1:91" x14ac:dyDescent="0.25">
      <c r="A54" s="493">
        <v>2</v>
      </c>
      <c r="B54" s="637">
        <f t="shared" ca="1" si="260"/>
        <v>36923</v>
      </c>
      <c r="C54" s="333">
        <f t="shared" ref="C54:C64" ca="1" si="285">VLOOKUP(B54,BigTable,3,0)+IF(BasisNumber&lt;&gt;1,VLOOKUP(B38,BasisTable,2,0),0)</f>
        <v>27.746250152587891</v>
      </c>
      <c r="D54" s="333">
        <f t="shared" ref="D54:D64" ca="1" si="286">VLOOKUP(B38,PriceTable,7,0)+IF(BasisNumber&lt;&gt;1,VLOOKUP(B38,BasisTable,3,0),0)</f>
        <v>20.649997711181641</v>
      </c>
      <c r="E54" s="323">
        <v>2</v>
      </c>
      <c r="F54" s="472">
        <f t="shared" ca="1" si="261"/>
        <v>35.567896256247877</v>
      </c>
      <c r="G54" s="473">
        <f t="shared" ca="1" si="262"/>
        <v>34.04464888430357</v>
      </c>
      <c r="H54" s="473">
        <f t="shared" ca="1" si="263"/>
        <v>33.290278788746491</v>
      </c>
      <c r="I54" s="473">
        <f t="shared" ca="1" si="264"/>
        <v>33.188953440467685</v>
      </c>
      <c r="J54" s="473">
        <f t="shared" ca="1" si="265"/>
        <v>32.609764334036754</v>
      </c>
      <c r="K54" s="473">
        <f t="shared" ca="1" si="266"/>
        <v>32.415025442437127</v>
      </c>
      <c r="L54" s="473">
        <f t="shared" ca="1" si="267"/>
        <v>32.04837348115052</v>
      </c>
      <c r="M54" s="473">
        <f t="shared" ca="1" si="268"/>
        <v>31.794008290229158</v>
      </c>
      <c r="N54" s="473">
        <f t="shared" ca="1" si="269"/>
        <v>24.42779868990624</v>
      </c>
      <c r="O54" s="473">
        <f t="shared" ca="1" si="270"/>
        <v>23.717494238811014</v>
      </c>
      <c r="P54" s="473">
        <f t="shared" ca="1" si="271"/>
        <v>23.295752366371516</v>
      </c>
      <c r="Q54" s="473">
        <f t="shared" ca="1" si="272"/>
        <v>22.951698001854538</v>
      </c>
      <c r="R54" s="473">
        <f t="shared" ca="1" si="273"/>
        <v>22.793544592964054</v>
      </c>
      <c r="S54" s="473">
        <f t="shared" ca="1" si="274"/>
        <v>21.783580529085157</v>
      </c>
      <c r="T54" s="473">
        <f t="shared" ca="1" si="275"/>
        <v>21.345189797842977</v>
      </c>
      <c r="U54" s="474">
        <f t="shared" ca="1" si="276"/>
        <v>18.659353624528649</v>
      </c>
      <c r="V54" s="473">
        <f t="shared" ca="1" si="277"/>
        <v>35.724496434211687</v>
      </c>
      <c r="W54" s="473">
        <f t="shared" ca="1" si="278"/>
        <v>21.579246721983054</v>
      </c>
      <c r="X54" s="473">
        <f t="shared" ca="1" si="279"/>
        <v>18.999885110169089</v>
      </c>
      <c r="Y54" s="473">
        <f t="shared" ca="1" si="280"/>
        <v>18.655208013024321</v>
      </c>
      <c r="Z54" s="473">
        <f t="shared" ca="1" si="281"/>
        <v>18.629714942386499</v>
      </c>
      <c r="AA54" s="473">
        <f t="shared" ca="1" si="282"/>
        <v>17.480222639107751</v>
      </c>
      <c r="AB54" s="473">
        <f t="shared" ca="1" si="283"/>
        <v>17.07135007111583</v>
      </c>
      <c r="AC54" s="474">
        <f t="shared" ca="1" si="284"/>
        <v>17.061028282279949</v>
      </c>
      <c r="AE54" s="323">
        <v>8</v>
      </c>
      <c r="AF54" s="326">
        <f t="shared" si="202"/>
        <v>1</v>
      </c>
      <c r="AG54" s="327">
        <f t="shared" si="203"/>
        <v>1</v>
      </c>
      <c r="AH54" s="327">
        <f t="shared" si="204"/>
        <v>1</v>
      </c>
      <c r="AI54" s="327">
        <f t="shared" si="205"/>
        <v>1</v>
      </c>
      <c r="AJ54" s="327">
        <f t="shared" si="206"/>
        <v>1</v>
      </c>
      <c r="AK54" s="327">
        <f t="shared" si="207"/>
        <v>1</v>
      </c>
      <c r="AL54" s="327">
        <f t="shared" si="208"/>
        <v>1</v>
      </c>
      <c r="AM54" s="327">
        <f t="shared" si="209"/>
        <v>1</v>
      </c>
      <c r="AN54" s="327">
        <f t="shared" si="210"/>
        <v>1</v>
      </c>
      <c r="AO54" s="327">
        <f t="shared" si="211"/>
        <v>1</v>
      </c>
      <c r="AP54" s="327">
        <f t="shared" si="212"/>
        <v>1</v>
      </c>
      <c r="AQ54" s="327">
        <f t="shared" si="213"/>
        <v>1</v>
      </c>
      <c r="AR54" s="327">
        <f t="shared" si="214"/>
        <v>1</v>
      </c>
      <c r="AS54" s="327">
        <f t="shared" si="215"/>
        <v>1</v>
      </c>
      <c r="AT54" s="327">
        <f t="shared" si="216"/>
        <v>1</v>
      </c>
      <c r="AU54" s="328">
        <f t="shared" si="217"/>
        <v>1</v>
      </c>
      <c r="AV54" s="327">
        <f t="shared" si="218"/>
        <v>1</v>
      </c>
      <c r="AW54" s="327">
        <f t="shared" si="219"/>
        <v>1</v>
      </c>
      <c r="AX54" s="327">
        <f t="shared" si="220"/>
        <v>1</v>
      </c>
      <c r="AY54" s="327">
        <f t="shared" si="221"/>
        <v>1</v>
      </c>
      <c r="AZ54" s="327">
        <f t="shared" si="222"/>
        <v>1</v>
      </c>
      <c r="BA54" s="327">
        <f t="shared" si="223"/>
        <v>1</v>
      </c>
      <c r="BB54" s="327">
        <f t="shared" si="224"/>
        <v>1</v>
      </c>
      <c r="BC54" s="328">
        <f t="shared" si="225"/>
        <v>1</v>
      </c>
      <c r="BD54" s="488">
        <f t="shared" si="254"/>
        <v>16</v>
      </c>
      <c r="BE54" s="486">
        <f t="shared" si="255"/>
        <v>8</v>
      </c>
      <c r="BF54" s="489">
        <f t="shared" si="256"/>
        <v>24</v>
      </c>
      <c r="BG54" s="565">
        <f t="shared" si="250"/>
        <v>1</v>
      </c>
      <c r="BH54" s="562">
        <f t="shared" si="251"/>
        <v>1.0000000074505806</v>
      </c>
      <c r="BJ54" s="323">
        <v>8</v>
      </c>
      <c r="BK54" s="326">
        <f t="shared" si="226"/>
        <v>1</v>
      </c>
      <c r="BL54" s="327">
        <f t="shared" si="227"/>
        <v>1</v>
      </c>
      <c r="BM54" s="327">
        <f t="shared" si="228"/>
        <v>1</v>
      </c>
      <c r="BN54" s="327">
        <f t="shared" si="229"/>
        <v>1</v>
      </c>
      <c r="BO54" s="327">
        <f t="shared" si="230"/>
        <v>1</v>
      </c>
      <c r="BP54" s="327">
        <f t="shared" si="231"/>
        <v>1</v>
      </c>
      <c r="BQ54" s="327">
        <f t="shared" si="232"/>
        <v>1</v>
      </c>
      <c r="BR54" s="327">
        <f t="shared" si="233"/>
        <v>1</v>
      </c>
      <c r="BS54" s="327">
        <f t="shared" si="234"/>
        <v>1</v>
      </c>
      <c r="BT54" s="327">
        <f t="shared" si="235"/>
        <v>1</v>
      </c>
      <c r="BU54" s="327">
        <f t="shared" si="236"/>
        <v>1</v>
      </c>
      <c r="BV54" s="327">
        <f t="shared" si="237"/>
        <v>1</v>
      </c>
      <c r="BW54" s="327">
        <f t="shared" si="238"/>
        <v>1</v>
      </c>
      <c r="BX54" s="327">
        <f t="shared" si="239"/>
        <v>1</v>
      </c>
      <c r="BY54" s="327">
        <f t="shared" si="240"/>
        <v>1</v>
      </c>
      <c r="BZ54" s="328">
        <f t="shared" si="241"/>
        <v>1</v>
      </c>
      <c r="CA54" s="327">
        <f t="shared" si="242"/>
        <v>1</v>
      </c>
      <c r="CB54" s="327">
        <f t="shared" si="243"/>
        <v>1</v>
      </c>
      <c r="CC54" s="327">
        <f t="shared" si="244"/>
        <v>1</v>
      </c>
      <c r="CD54" s="327">
        <f t="shared" si="245"/>
        <v>1</v>
      </c>
      <c r="CE54" s="327">
        <f t="shared" si="246"/>
        <v>1</v>
      </c>
      <c r="CF54" s="327">
        <f t="shared" si="247"/>
        <v>1</v>
      </c>
      <c r="CG54" s="327">
        <f t="shared" si="248"/>
        <v>1</v>
      </c>
      <c r="CH54" s="328">
        <f t="shared" si="249"/>
        <v>1</v>
      </c>
      <c r="CI54" s="488">
        <f t="shared" si="257"/>
        <v>16</v>
      </c>
      <c r="CJ54" s="486">
        <f t="shared" si="258"/>
        <v>8</v>
      </c>
      <c r="CK54" s="489">
        <f t="shared" si="259"/>
        <v>24</v>
      </c>
      <c r="CL54" s="565">
        <f t="shared" si="252"/>
        <v>1</v>
      </c>
      <c r="CM54" s="562">
        <f t="shared" si="253"/>
        <v>1.0000000074505806</v>
      </c>
    </row>
    <row r="55" spans="1:91" x14ac:dyDescent="0.25">
      <c r="A55" s="493">
        <v>3</v>
      </c>
      <c r="B55" s="637">
        <f t="shared" ca="1" si="260"/>
        <v>36951</v>
      </c>
      <c r="C55" s="333">
        <f t="shared" ca="1" si="285"/>
        <v>20.934749603271484</v>
      </c>
      <c r="D55" s="333">
        <f t="shared" ca="1" si="286"/>
        <v>19.649999618530273</v>
      </c>
      <c r="E55" s="323">
        <v>3</v>
      </c>
      <c r="F55" s="472">
        <f t="shared" ca="1" si="261"/>
        <v>26.626909230275942</v>
      </c>
      <c r="G55" s="473">
        <f t="shared" ca="1" si="262"/>
        <v>25.477590426900861</v>
      </c>
      <c r="H55" s="473">
        <f t="shared" ca="1" si="263"/>
        <v>24.908165581088724</v>
      </c>
      <c r="I55" s="473">
        <f t="shared" ca="1" si="264"/>
        <v>24.832800454566041</v>
      </c>
      <c r="J55" s="473">
        <f t="shared" ca="1" si="265"/>
        <v>24.395263956264444</v>
      </c>
      <c r="K55" s="473">
        <f t="shared" ca="1" si="266"/>
        <v>24.2487213479194</v>
      </c>
      <c r="L55" s="473">
        <f t="shared" ca="1" si="267"/>
        <v>23.972381718797351</v>
      </c>
      <c r="M55" s="473">
        <f t="shared" ca="1" si="268"/>
        <v>23.779782505598632</v>
      </c>
      <c r="N55" s="473">
        <f t="shared" ca="1" si="269"/>
        <v>18.640300889029959</v>
      </c>
      <c r="O55" s="473">
        <f t="shared" ca="1" si="270"/>
        <v>18.104370961778841</v>
      </c>
      <c r="P55" s="473">
        <f t="shared" ca="1" si="271"/>
        <v>17.786163620311754</v>
      </c>
      <c r="Q55" s="473">
        <f t="shared" ca="1" si="272"/>
        <v>17.526572074374371</v>
      </c>
      <c r="R55" s="473">
        <f t="shared" ca="1" si="273"/>
        <v>17.407244165348175</v>
      </c>
      <c r="S55" s="473">
        <f t="shared" ca="1" si="274"/>
        <v>16.645218858529006</v>
      </c>
      <c r="T55" s="473">
        <f t="shared" ca="1" si="275"/>
        <v>16.314449830769263</v>
      </c>
      <c r="U55" s="474">
        <f t="shared" ca="1" si="276"/>
        <v>14.287966704057453</v>
      </c>
      <c r="V55" s="473">
        <f t="shared" ca="1" si="277"/>
        <v>35.291399389839171</v>
      </c>
      <c r="W55" s="473">
        <f t="shared" ca="1" si="278"/>
        <v>20.534248758077638</v>
      </c>
      <c r="X55" s="473">
        <f t="shared" ca="1" si="279"/>
        <v>19.558667005881489</v>
      </c>
      <c r="Y55" s="473">
        <f t="shared" ca="1" si="280"/>
        <v>17.293796239341191</v>
      </c>
      <c r="Z55" s="473">
        <f t="shared" ca="1" si="281"/>
        <v>16.849686432603676</v>
      </c>
      <c r="AA55" s="473">
        <f t="shared" ca="1" si="282"/>
        <v>16.352051357873734</v>
      </c>
      <c r="AB55" s="473">
        <f t="shared" ca="1" si="283"/>
        <v>15.664978998775496</v>
      </c>
      <c r="AC55" s="474">
        <f t="shared" ca="1" si="284"/>
        <v>15.655151197381088</v>
      </c>
      <c r="AE55" s="323">
        <v>9</v>
      </c>
      <c r="AF55" s="326">
        <f t="shared" si="202"/>
        <v>1</v>
      </c>
      <c r="AG55" s="327">
        <f t="shared" si="203"/>
        <v>1</v>
      </c>
      <c r="AH55" s="327">
        <f t="shared" si="204"/>
        <v>1</v>
      </c>
      <c r="AI55" s="327">
        <f t="shared" si="205"/>
        <v>1</v>
      </c>
      <c r="AJ55" s="327">
        <f t="shared" si="206"/>
        <v>1</v>
      </c>
      <c r="AK55" s="327">
        <f t="shared" si="207"/>
        <v>1</v>
      </c>
      <c r="AL55" s="327">
        <f t="shared" si="208"/>
        <v>1</v>
      </c>
      <c r="AM55" s="327">
        <f t="shared" si="209"/>
        <v>1</v>
      </c>
      <c r="AN55" s="327">
        <f t="shared" si="210"/>
        <v>1</v>
      </c>
      <c r="AO55" s="327">
        <f t="shared" si="211"/>
        <v>1</v>
      </c>
      <c r="AP55" s="327">
        <f t="shared" si="212"/>
        <v>1</v>
      </c>
      <c r="AQ55" s="327">
        <f t="shared" si="213"/>
        <v>1</v>
      </c>
      <c r="AR55" s="327">
        <f t="shared" si="214"/>
        <v>1</v>
      </c>
      <c r="AS55" s="327">
        <f t="shared" si="215"/>
        <v>1</v>
      </c>
      <c r="AT55" s="327">
        <f t="shared" si="216"/>
        <v>1</v>
      </c>
      <c r="AU55" s="328">
        <f t="shared" si="217"/>
        <v>1</v>
      </c>
      <c r="AV55" s="327">
        <f t="shared" si="218"/>
        <v>1</v>
      </c>
      <c r="AW55" s="327">
        <f t="shared" si="219"/>
        <v>1</v>
      </c>
      <c r="AX55" s="327">
        <f t="shared" si="220"/>
        <v>1</v>
      </c>
      <c r="AY55" s="327">
        <f t="shared" si="221"/>
        <v>1</v>
      </c>
      <c r="AZ55" s="327">
        <f t="shared" si="222"/>
        <v>1</v>
      </c>
      <c r="BA55" s="327">
        <f t="shared" si="223"/>
        <v>1</v>
      </c>
      <c r="BB55" s="327">
        <f t="shared" si="224"/>
        <v>1</v>
      </c>
      <c r="BC55" s="328">
        <f t="shared" si="225"/>
        <v>1</v>
      </c>
      <c r="BD55" s="488">
        <f t="shared" si="254"/>
        <v>16</v>
      </c>
      <c r="BE55" s="486">
        <f t="shared" si="255"/>
        <v>8</v>
      </c>
      <c r="BF55" s="489">
        <f t="shared" si="256"/>
        <v>24</v>
      </c>
      <c r="BG55" s="565">
        <f t="shared" si="250"/>
        <v>1.0000000074505806</v>
      </c>
      <c r="BH55" s="562">
        <f t="shared" si="251"/>
        <v>1.0000000149011612</v>
      </c>
      <c r="BJ55" s="323">
        <v>9</v>
      </c>
      <c r="BK55" s="326">
        <f t="shared" si="226"/>
        <v>1</v>
      </c>
      <c r="BL55" s="327">
        <f t="shared" si="227"/>
        <v>1</v>
      </c>
      <c r="BM55" s="327">
        <f t="shared" si="228"/>
        <v>1</v>
      </c>
      <c r="BN55" s="327">
        <f t="shared" si="229"/>
        <v>1</v>
      </c>
      <c r="BO55" s="327">
        <f t="shared" si="230"/>
        <v>1</v>
      </c>
      <c r="BP55" s="327">
        <f t="shared" si="231"/>
        <v>1</v>
      </c>
      <c r="BQ55" s="327">
        <f t="shared" si="232"/>
        <v>1</v>
      </c>
      <c r="BR55" s="327">
        <f t="shared" si="233"/>
        <v>1</v>
      </c>
      <c r="BS55" s="327">
        <f t="shared" si="234"/>
        <v>1</v>
      </c>
      <c r="BT55" s="327">
        <f t="shared" si="235"/>
        <v>1</v>
      </c>
      <c r="BU55" s="327">
        <f t="shared" si="236"/>
        <v>1</v>
      </c>
      <c r="BV55" s="327">
        <f t="shared" si="237"/>
        <v>1</v>
      </c>
      <c r="BW55" s="327">
        <f t="shared" si="238"/>
        <v>1</v>
      </c>
      <c r="BX55" s="327">
        <f t="shared" si="239"/>
        <v>1</v>
      </c>
      <c r="BY55" s="327">
        <f t="shared" si="240"/>
        <v>1</v>
      </c>
      <c r="BZ55" s="328">
        <f t="shared" si="241"/>
        <v>1</v>
      </c>
      <c r="CA55" s="327">
        <f t="shared" si="242"/>
        <v>1</v>
      </c>
      <c r="CB55" s="327">
        <f t="shared" si="243"/>
        <v>1</v>
      </c>
      <c r="CC55" s="327">
        <f t="shared" si="244"/>
        <v>1</v>
      </c>
      <c r="CD55" s="327">
        <f t="shared" si="245"/>
        <v>1</v>
      </c>
      <c r="CE55" s="327">
        <f t="shared" si="246"/>
        <v>1</v>
      </c>
      <c r="CF55" s="327">
        <f t="shared" si="247"/>
        <v>1</v>
      </c>
      <c r="CG55" s="327">
        <f t="shared" si="248"/>
        <v>1</v>
      </c>
      <c r="CH55" s="328">
        <f t="shared" si="249"/>
        <v>1</v>
      </c>
      <c r="CI55" s="488">
        <f t="shared" si="257"/>
        <v>16</v>
      </c>
      <c r="CJ55" s="486">
        <f t="shared" si="258"/>
        <v>8</v>
      </c>
      <c r="CK55" s="489">
        <f t="shared" si="259"/>
        <v>24</v>
      </c>
      <c r="CL55" s="565">
        <f t="shared" si="252"/>
        <v>1.0000000074505806</v>
      </c>
      <c r="CM55" s="562">
        <f t="shared" si="253"/>
        <v>1.0000000149011612</v>
      </c>
    </row>
    <row r="56" spans="1:91" x14ac:dyDescent="0.25">
      <c r="A56" s="493">
        <v>4</v>
      </c>
      <c r="B56" s="637">
        <f t="shared" ca="1" si="260"/>
        <v>36617</v>
      </c>
      <c r="C56" s="333">
        <f t="shared" ca="1" si="285"/>
        <v>22.754999160766602</v>
      </c>
      <c r="D56" s="333" t="e">
        <f t="shared" ca="1" si="286"/>
        <v>#N/A</v>
      </c>
      <c r="E56" s="323">
        <v>4</v>
      </c>
      <c r="F56" s="472">
        <f t="shared" ca="1" si="261"/>
        <v>26.266927720125977</v>
      </c>
      <c r="G56" s="473">
        <f t="shared" ca="1" si="262"/>
        <v>25.9706323391365</v>
      </c>
      <c r="H56" s="473">
        <f t="shared" ca="1" si="263"/>
        <v>25.560068376321851</v>
      </c>
      <c r="I56" s="473">
        <f t="shared" ca="1" si="264"/>
        <v>25.452025228212733</v>
      </c>
      <c r="J56" s="473">
        <f t="shared" ca="1" si="265"/>
        <v>25.402216333269735</v>
      </c>
      <c r="K56" s="473">
        <f t="shared" ca="1" si="266"/>
        <v>24.889102252095427</v>
      </c>
      <c r="L56" s="473">
        <f t="shared" ca="1" si="267"/>
        <v>23.153820246650184</v>
      </c>
      <c r="M56" s="473">
        <f t="shared" ca="1" si="268"/>
        <v>23.128915799178685</v>
      </c>
      <c r="N56" s="473">
        <f t="shared" ca="1" si="269"/>
        <v>22.381403966317635</v>
      </c>
      <c r="O56" s="473">
        <f t="shared" ca="1" si="270"/>
        <v>21.716663275807264</v>
      </c>
      <c r="P56" s="473">
        <f t="shared" ca="1" si="271"/>
        <v>21.317086728795175</v>
      </c>
      <c r="Q56" s="473">
        <f t="shared" ca="1" si="272"/>
        <v>20.296720510786599</v>
      </c>
      <c r="R56" s="473">
        <f t="shared" ca="1" si="273"/>
        <v>19.797158615601575</v>
      </c>
      <c r="S56" s="473">
        <f t="shared" ca="1" si="274"/>
        <v>19.772620370113373</v>
      </c>
      <c r="T56" s="473">
        <f t="shared" ca="1" si="275"/>
        <v>19.539687426359819</v>
      </c>
      <c r="U56" s="474">
        <f t="shared" ca="1" si="276"/>
        <v>19.434940096100377</v>
      </c>
      <c r="V56" s="473" t="e">
        <f t="shared" ca="1" si="277"/>
        <v>#N/A</v>
      </c>
      <c r="W56" s="473" t="e">
        <f t="shared" ca="1" si="278"/>
        <v>#N/A</v>
      </c>
      <c r="X56" s="473" t="e">
        <f t="shared" ca="1" si="279"/>
        <v>#N/A</v>
      </c>
      <c r="Y56" s="473" t="e">
        <f t="shared" ca="1" si="280"/>
        <v>#N/A</v>
      </c>
      <c r="Z56" s="473" t="e">
        <f t="shared" ca="1" si="281"/>
        <v>#N/A</v>
      </c>
      <c r="AA56" s="473" t="e">
        <f t="shared" ca="1" si="282"/>
        <v>#N/A</v>
      </c>
      <c r="AB56" s="473" t="e">
        <f t="shared" ca="1" si="283"/>
        <v>#N/A</v>
      </c>
      <c r="AC56" s="474" t="e">
        <f t="shared" ca="1" si="284"/>
        <v>#N/A</v>
      </c>
      <c r="AE56" s="323">
        <v>10</v>
      </c>
      <c r="AF56" s="326">
        <f t="shared" si="202"/>
        <v>1</v>
      </c>
      <c r="AG56" s="327">
        <f t="shared" si="203"/>
        <v>1</v>
      </c>
      <c r="AH56" s="327">
        <f t="shared" si="204"/>
        <v>1</v>
      </c>
      <c r="AI56" s="327">
        <f t="shared" si="205"/>
        <v>1</v>
      </c>
      <c r="AJ56" s="327">
        <f t="shared" si="206"/>
        <v>1</v>
      </c>
      <c r="AK56" s="327">
        <f t="shared" si="207"/>
        <v>1</v>
      </c>
      <c r="AL56" s="327">
        <f t="shared" si="208"/>
        <v>1</v>
      </c>
      <c r="AM56" s="327">
        <f t="shared" si="209"/>
        <v>1</v>
      </c>
      <c r="AN56" s="327">
        <f t="shared" si="210"/>
        <v>1</v>
      </c>
      <c r="AO56" s="327">
        <f t="shared" si="211"/>
        <v>1</v>
      </c>
      <c r="AP56" s="327">
        <f t="shared" si="212"/>
        <v>1</v>
      </c>
      <c r="AQ56" s="327">
        <f t="shared" si="213"/>
        <v>1</v>
      </c>
      <c r="AR56" s="327">
        <f t="shared" si="214"/>
        <v>1</v>
      </c>
      <c r="AS56" s="327">
        <f t="shared" si="215"/>
        <v>1</v>
      </c>
      <c r="AT56" s="327">
        <f t="shared" si="216"/>
        <v>1</v>
      </c>
      <c r="AU56" s="328">
        <f t="shared" si="217"/>
        <v>1</v>
      </c>
      <c r="AV56" s="327">
        <f t="shared" si="218"/>
        <v>1</v>
      </c>
      <c r="AW56" s="327">
        <f t="shared" si="219"/>
        <v>1</v>
      </c>
      <c r="AX56" s="327">
        <f t="shared" si="220"/>
        <v>1</v>
      </c>
      <c r="AY56" s="327">
        <f t="shared" si="221"/>
        <v>1</v>
      </c>
      <c r="AZ56" s="327">
        <f t="shared" si="222"/>
        <v>1</v>
      </c>
      <c r="BA56" s="327">
        <f t="shared" si="223"/>
        <v>1</v>
      </c>
      <c r="BB56" s="327">
        <f t="shared" si="224"/>
        <v>1</v>
      </c>
      <c r="BC56" s="328">
        <f t="shared" si="225"/>
        <v>1</v>
      </c>
      <c r="BD56" s="488">
        <f t="shared" si="254"/>
        <v>16</v>
      </c>
      <c r="BE56" s="486">
        <f t="shared" si="255"/>
        <v>8</v>
      </c>
      <c r="BF56" s="489">
        <f t="shared" si="256"/>
        <v>24</v>
      </c>
      <c r="BG56" s="565">
        <f t="shared" si="250"/>
        <v>1.0000187270343304</v>
      </c>
      <c r="BH56" s="562">
        <f t="shared" si="251"/>
        <v>1.0000000074505806</v>
      </c>
      <c r="BJ56" s="323">
        <v>10</v>
      </c>
      <c r="BK56" s="326">
        <f t="shared" si="226"/>
        <v>1</v>
      </c>
      <c r="BL56" s="327">
        <f t="shared" si="227"/>
        <v>1</v>
      </c>
      <c r="BM56" s="327">
        <f t="shared" si="228"/>
        <v>1</v>
      </c>
      <c r="BN56" s="327">
        <f t="shared" si="229"/>
        <v>1</v>
      </c>
      <c r="BO56" s="327">
        <f t="shared" si="230"/>
        <v>1</v>
      </c>
      <c r="BP56" s="327">
        <f t="shared" si="231"/>
        <v>1</v>
      </c>
      <c r="BQ56" s="327">
        <f t="shared" si="232"/>
        <v>1</v>
      </c>
      <c r="BR56" s="327">
        <f t="shared" si="233"/>
        <v>1</v>
      </c>
      <c r="BS56" s="327">
        <f t="shared" si="234"/>
        <v>1</v>
      </c>
      <c r="BT56" s="327">
        <f t="shared" si="235"/>
        <v>1</v>
      </c>
      <c r="BU56" s="327">
        <f t="shared" si="236"/>
        <v>1</v>
      </c>
      <c r="BV56" s="327">
        <f t="shared" si="237"/>
        <v>1</v>
      </c>
      <c r="BW56" s="327">
        <f t="shared" si="238"/>
        <v>1</v>
      </c>
      <c r="BX56" s="327">
        <f t="shared" si="239"/>
        <v>1</v>
      </c>
      <c r="BY56" s="327">
        <f t="shared" si="240"/>
        <v>1</v>
      </c>
      <c r="BZ56" s="328">
        <f t="shared" si="241"/>
        <v>1</v>
      </c>
      <c r="CA56" s="327">
        <f t="shared" si="242"/>
        <v>1</v>
      </c>
      <c r="CB56" s="327">
        <f t="shared" si="243"/>
        <v>1</v>
      </c>
      <c r="CC56" s="327">
        <f t="shared" si="244"/>
        <v>1</v>
      </c>
      <c r="CD56" s="327">
        <f t="shared" si="245"/>
        <v>1</v>
      </c>
      <c r="CE56" s="327">
        <f t="shared" si="246"/>
        <v>1</v>
      </c>
      <c r="CF56" s="327">
        <f t="shared" si="247"/>
        <v>1</v>
      </c>
      <c r="CG56" s="327">
        <f t="shared" si="248"/>
        <v>1</v>
      </c>
      <c r="CH56" s="328">
        <f t="shared" si="249"/>
        <v>1</v>
      </c>
      <c r="CI56" s="488">
        <f t="shared" si="257"/>
        <v>16</v>
      </c>
      <c r="CJ56" s="486">
        <f t="shared" si="258"/>
        <v>8</v>
      </c>
      <c r="CK56" s="489">
        <f t="shared" si="259"/>
        <v>24</v>
      </c>
      <c r="CL56" s="565">
        <f t="shared" si="252"/>
        <v>1.0000187270343304</v>
      </c>
      <c r="CM56" s="562">
        <f t="shared" si="253"/>
        <v>1.0000000074505806</v>
      </c>
    </row>
    <row r="57" spans="1:91" x14ac:dyDescent="0.25">
      <c r="A57" s="493">
        <v>5</v>
      </c>
      <c r="B57" s="637">
        <f t="shared" ca="1" si="260"/>
        <v>36647</v>
      </c>
      <c r="C57" s="333">
        <f t="shared" ca="1" si="285"/>
        <v>26.75</v>
      </c>
      <c r="D57" s="333">
        <f t="shared" ca="1" si="286"/>
        <v>19.499998092651367</v>
      </c>
      <c r="E57" s="323">
        <v>5</v>
      </c>
      <c r="F57" s="472">
        <f t="shared" ca="1" si="261"/>
        <v>30.107120841741562</v>
      </c>
      <c r="G57" s="473">
        <f t="shared" ca="1" si="262"/>
        <v>29.879500836133957</v>
      </c>
      <c r="H57" s="473">
        <f t="shared" ca="1" si="263"/>
        <v>29.09596249461174</v>
      </c>
      <c r="I57" s="473">
        <f t="shared" ca="1" si="264"/>
        <v>28.382460832595825</v>
      </c>
      <c r="J57" s="473">
        <f t="shared" ca="1" si="265"/>
        <v>28.290539085865021</v>
      </c>
      <c r="K57" s="473">
        <f t="shared" ca="1" si="266"/>
        <v>28.15484082698822</v>
      </c>
      <c r="L57" s="473">
        <f t="shared" ca="1" si="267"/>
        <v>27.887825787067413</v>
      </c>
      <c r="M57" s="473">
        <f t="shared" ca="1" si="268"/>
        <v>27.752130717039108</v>
      </c>
      <c r="N57" s="473">
        <f t="shared" ca="1" si="269"/>
        <v>27.441342353820801</v>
      </c>
      <c r="O57" s="473">
        <f t="shared" ca="1" si="270"/>
        <v>26.732217386364937</v>
      </c>
      <c r="P57" s="473">
        <f t="shared" ca="1" si="271"/>
        <v>26.37327741086483</v>
      </c>
      <c r="Q57" s="473">
        <f t="shared" ca="1" si="272"/>
        <v>25.690417394042015</v>
      </c>
      <c r="R57" s="473">
        <f t="shared" ca="1" si="273"/>
        <v>25.489062339067459</v>
      </c>
      <c r="S57" s="473">
        <f t="shared" ca="1" si="274"/>
        <v>22.26298563182354</v>
      </c>
      <c r="T57" s="473">
        <f t="shared" ca="1" si="275"/>
        <v>22.258608937263489</v>
      </c>
      <c r="U57" s="474">
        <f t="shared" ca="1" si="276"/>
        <v>22.201703935861588</v>
      </c>
      <c r="V57" s="473">
        <f t="shared" ca="1" si="277"/>
        <v>25.180839161729409</v>
      </c>
      <c r="W57" s="473">
        <f t="shared" ca="1" si="278"/>
        <v>22.970385867655523</v>
      </c>
      <c r="X57" s="473">
        <f t="shared" ca="1" si="279"/>
        <v>21.045151678583807</v>
      </c>
      <c r="Y57" s="473">
        <f t="shared" ca="1" si="280"/>
        <v>19.400043437721024</v>
      </c>
      <c r="Z57" s="473">
        <f t="shared" ca="1" si="281"/>
        <v>17.474809248649308</v>
      </c>
      <c r="AA57" s="473">
        <f t="shared" ca="1" si="282"/>
        <v>17.357665480114406</v>
      </c>
      <c r="AB57" s="473">
        <f t="shared" ca="1" si="283"/>
        <v>16.537659100370092</v>
      </c>
      <c r="AC57" s="474">
        <f t="shared" ca="1" si="284"/>
        <v>16.033430766387369</v>
      </c>
      <c r="AE57" s="323">
        <v>11</v>
      </c>
      <c r="AF57" s="326">
        <f t="shared" si="202"/>
        <v>1</v>
      </c>
      <c r="AG57" s="327">
        <f t="shared" si="203"/>
        <v>1</v>
      </c>
      <c r="AH57" s="327">
        <f t="shared" si="204"/>
        <v>1</v>
      </c>
      <c r="AI57" s="327">
        <f t="shared" si="205"/>
        <v>1</v>
      </c>
      <c r="AJ57" s="327">
        <f t="shared" si="206"/>
        <v>1</v>
      </c>
      <c r="AK57" s="327">
        <f t="shared" si="207"/>
        <v>1</v>
      </c>
      <c r="AL57" s="327">
        <f t="shared" si="208"/>
        <v>1</v>
      </c>
      <c r="AM57" s="327">
        <f t="shared" si="209"/>
        <v>1</v>
      </c>
      <c r="AN57" s="327">
        <f t="shared" si="210"/>
        <v>1</v>
      </c>
      <c r="AO57" s="327">
        <f t="shared" si="211"/>
        <v>1</v>
      </c>
      <c r="AP57" s="327">
        <f t="shared" si="212"/>
        <v>1</v>
      </c>
      <c r="AQ57" s="327">
        <f t="shared" si="213"/>
        <v>1</v>
      </c>
      <c r="AR57" s="327">
        <f t="shared" si="214"/>
        <v>1</v>
      </c>
      <c r="AS57" s="327">
        <f t="shared" si="215"/>
        <v>1</v>
      </c>
      <c r="AT57" s="327">
        <f t="shared" si="216"/>
        <v>1</v>
      </c>
      <c r="AU57" s="328">
        <f t="shared" si="217"/>
        <v>1</v>
      </c>
      <c r="AV57" s="327">
        <f t="shared" si="218"/>
        <v>1</v>
      </c>
      <c r="AW57" s="327">
        <f t="shared" si="219"/>
        <v>1</v>
      </c>
      <c r="AX57" s="327">
        <f t="shared" si="220"/>
        <v>1</v>
      </c>
      <c r="AY57" s="327">
        <f t="shared" si="221"/>
        <v>1</v>
      </c>
      <c r="AZ57" s="327">
        <f t="shared" si="222"/>
        <v>1</v>
      </c>
      <c r="BA57" s="327">
        <f t="shared" si="223"/>
        <v>1</v>
      </c>
      <c r="BB57" s="327">
        <f t="shared" si="224"/>
        <v>1</v>
      </c>
      <c r="BC57" s="328">
        <f t="shared" si="225"/>
        <v>1</v>
      </c>
      <c r="BD57" s="488">
        <f t="shared" si="254"/>
        <v>16</v>
      </c>
      <c r="BE57" s="486">
        <f t="shared" si="255"/>
        <v>8</v>
      </c>
      <c r="BF57" s="489">
        <f t="shared" si="256"/>
        <v>24</v>
      </c>
      <c r="BG57" s="565">
        <f t="shared" si="250"/>
        <v>0.99996249377727509</v>
      </c>
      <c r="BH57" s="562">
        <f t="shared" si="251"/>
        <v>1.0000000074505806</v>
      </c>
      <c r="BJ57" s="323">
        <v>11</v>
      </c>
      <c r="BK57" s="326">
        <f t="shared" si="226"/>
        <v>1</v>
      </c>
      <c r="BL57" s="327">
        <f t="shared" si="227"/>
        <v>1</v>
      </c>
      <c r="BM57" s="327">
        <f t="shared" si="228"/>
        <v>1</v>
      </c>
      <c r="BN57" s="327">
        <f t="shared" si="229"/>
        <v>1</v>
      </c>
      <c r="BO57" s="327">
        <f t="shared" si="230"/>
        <v>1</v>
      </c>
      <c r="BP57" s="327">
        <f t="shared" si="231"/>
        <v>1</v>
      </c>
      <c r="BQ57" s="327">
        <f t="shared" si="232"/>
        <v>1</v>
      </c>
      <c r="BR57" s="327">
        <f t="shared" si="233"/>
        <v>1</v>
      </c>
      <c r="BS57" s="327">
        <f t="shared" si="234"/>
        <v>1</v>
      </c>
      <c r="BT57" s="327">
        <f t="shared" si="235"/>
        <v>1</v>
      </c>
      <c r="BU57" s="327">
        <f t="shared" si="236"/>
        <v>1</v>
      </c>
      <c r="BV57" s="327">
        <f t="shared" si="237"/>
        <v>1</v>
      </c>
      <c r="BW57" s="327">
        <f t="shared" si="238"/>
        <v>1</v>
      </c>
      <c r="BX57" s="327">
        <f t="shared" si="239"/>
        <v>1</v>
      </c>
      <c r="BY57" s="327">
        <f t="shared" si="240"/>
        <v>1</v>
      </c>
      <c r="BZ57" s="328">
        <f t="shared" si="241"/>
        <v>1</v>
      </c>
      <c r="CA57" s="327">
        <f t="shared" si="242"/>
        <v>1</v>
      </c>
      <c r="CB57" s="327">
        <f t="shared" si="243"/>
        <v>1</v>
      </c>
      <c r="CC57" s="327">
        <f t="shared" si="244"/>
        <v>1</v>
      </c>
      <c r="CD57" s="327">
        <f t="shared" si="245"/>
        <v>1</v>
      </c>
      <c r="CE57" s="327">
        <f t="shared" si="246"/>
        <v>1</v>
      </c>
      <c r="CF57" s="327">
        <f t="shared" si="247"/>
        <v>1</v>
      </c>
      <c r="CG57" s="327">
        <f t="shared" si="248"/>
        <v>1</v>
      </c>
      <c r="CH57" s="328">
        <f t="shared" si="249"/>
        <v>1</v>
      </c>
      <c r="CI57" s="488">
        <f t="shared" si="257"/>
        <v>16</v>
      </c>
      <c r="CJ57" s="486">
        <f t="shared" si="258"/>
        <v>8</v>
      </c>
      <c r="CK57" s="489">
        <f t="shared" si="259"/>
        <v>24</v>
      </c>
      <c r="CL57" s="565">
        <f t="shared" si="252"/>
        <v>0.99996249377727509</v>
      </c>
      <c r="CM57" s="562">
        <f t="shared" si="253"/>
        <v>1.0000000074505806</v>
      </c>
    </row>
    <row r="58" spans="1:91" ht="13.8" thickBot="1" x14ac:dyDescent="0.3">
      <c r="A58" s="493">
        <v>6</v>
      </c>
      <c r="B58" s="637">
        <f t="shared" ca="1" si="260"/>
        <v>36678</v>
      </c>
      <c r="C58" s="333">
        <f t="shared" ca="1" si="285"/>
        <v>27.75</v>
      </c>
      <c r="D58" s="333">
        <f t="shared" ca="1" si="286"/>
        <v>19.504999160766602</v>
      </c>
      <c r="E58" s="323">
        <v>6</v>
      </c>
      <c r="F58" s="472">
        <f t="shared" ca="1" si="261"/>
        <v>34.752036899328232</v>
      </c>
      <c r="G58" s="473">
        <f t="shared" ca="1" si="262"/>
        <v>34.197106897830963</v>
      </c>
      <c r="H58" s="473">
        <f t="shared" ca="1" si="263"/>
        <v>34.141240417957306</v>
      </c>
      <c r="I58" s="473">
        <f t="shared" ca="1" si="264"/>
        <v>33.880535691976547</v>
      </c>
      <c r="J58" s="473">
        <f t="shared" ca="1" si="265"/>
        <v>33.720385998487473</v>
      </c>
      <c r="K58" s="473">
        <f t="shared" ca="1" si="266"/>
        <v>30.63661453127861</v>
      </c>
      <c r="L58" s="473">
        <f t="shared" ca="1" si="267"/>
        <v>29.482062667608261</v>
      </c>
      <c r="M58" s="473">
        <f t="shared" ca="1" si="268"/>
        <v>28.793053776025772</v>
      </c>
      <c r="N58" s="473">
        <f t="shared" ca="1" si="269"/>
        <v>27.336828544735909</v>
      </c>
      <c r="O58" s="473">
        <f t="shared" ca="1" si="270"/>
        <v>25.49326778948307</v>
      </c>
      <c r="P58" s="473">
        <f t="shared" ca="1" si="271"/>
        <v>25.020275071263313</v>
      </c>
      <c r="Q58" s="473">
        <f t="shared" ca="1" si="272"/>
        <v>23.765163213014603</v>
      </c>
      <c r="R58" s="473">
        <f t="shared" ca="1" si="273"/>
        <v>23.02401602268219</v>
      </c>
      <c r="S58" s="473">
        <f t="shared" ca="1" si="274"/>
        <v>21.247494712471962</v>
      </c>
      <c r="T58" s="473">
        <f t="shared" ca="1" si="275"/>
        <v>20.443031296133995</v>
      </c>
      <c r="U58" s="474">
        <f t="shared" ca="1" si="276"/>
        <v>18.066888123750687</v>
      </c>
      <c r="V58" s="473">
        <f t="shared" ca="1" si="277"/>
        <v>27.236554794839094</v>
      </c>
      <c r="W58" s="473">
        <f t="shared" ca="1" si="278"/>
        <v>22.559512226882589</v>
      </c>
      <c r="X58" s="473">
        <f t="shared" ca="1" si="279"/>
        <v>22.132226058452943</v>
      </c>
      <c r="Y58" s="473">
        <f t="shared" ca="1" si="280"/>
        <v>19.302905231170939</v>
      </c>
      <c r="Z58" s="473">
        <f t="shared" ca="1" si="281"/>
        <v>18.690847702485826</v>
      </c>
      <c r="AA58" s="473">
        <f t="shared" ca="1" si="282"/>
        <v>15.821105996625306</v>
      </c>
      <c r="AB58" s="473">
        <f t="shared" ca="1" si="283"/>
        <v>15.711398328451651</v>
      </c>
      <c r="AC58" s="474">
        <f t="shared" ca="1" si="284"/>
        <v>14.585442947224465</v>
      </c>
      <c r="AE58" s="334">
        <v>12</v>
      </c>
      <c r="AF58" s="335">
        <f t="shared" si="202"/>
        <v>1</v>
      </c>
      <c r="AG58" s="336">
        <f t="shared" si="203"/>
        <v>1</v>
      </c>
      <c r="AH58" s="336">
        <f t="shared" si="204"/>
        <v>1</v>
      </c>
      <c r="AI58" s="336">
        <f t="shared" si="205"/>
        <v>1</v>
      </c>
      <c r="AJ58" s="336">
        <f t="shared" si="206"/>
        <v>1</v>
      </c>
      <c r="AK58" s="336">
        <f t="shared" si="207"/>
        <v>1</v>
      </c>
      <c r="AL58" s="336">
        <f t="shared" si="208"/>
        <v>1</v>
      </c>
      <c r="AM58" s="336">
        <f t="shared" si="209"/>
        <v>1</v>
      </c>
      <c r="AN58" s="336">
        <f t="shared" si="210"/>
        <v>1</v>
      </c>
      <c r="AO58" s="336">
        <f t="shared" si="211"/>
        <v>1</v>
      </c>
      <c r="AP58" s="336">
        <f t="shared" si="212"/>
        <v>1</v>
      </c>
      <c r="AQ58" s="336">
        <f t="shared" si="213"/>
        <v>1</v>
      </c>
      <c r="AR58" s="336">
        <f t="shared" si="214"/>
        <v>1</v>
      </c>
      <c r="AS58" s="336">
        <f t="shared" si="215"/>
        <v>1</v>
      </c>
      <c r="AT58" s="336">
        <f t="shared" si="216"/>
        <v>1</v>
      </c>
      <c r="AU58" s="337">
        <f t="shared" si="217"/>
        <v>1</v>
      </c>
      <c r="AV58" s="336">
        <f t="shared" si="218"/>
        <v>1</v>
      </c>
      <c r="AW58" s="336">
        <f t="shared" si="219"/>
        <v>1</v>
      </c>
      <c r="AX58" s="336">
        <f t="shared" si="220"/>
        <v>1</v>
      </c>
      <c r="AY58" s="336">
        <f t="shared" si="221"/>
        <v>1</v>
      </c>
      <c r="AZ58" s="336">
        <f t="shared" si="222"/>
        <v>1</v>
      </c>
      <c r="BA58" s="336">
        <f t="shared" si="223"/>
        <v>1</v>
      </c>
      <c r="BB58" s="336">
        <f t="shared" si="224"/>
        <v>1</v>
      </c>
      <c r="BC58" s="337">
        <f t="shared" si="225"/>
        <v>1</v>
      </c>
      <c r="BD58" s="490">
        <f t="shared" si="254"/>
        <v>16</v>
      </c>
      <c r="BE58" s="487">
        <f t="shared" si="255"/>
        <v>8</v>
      </c>
      <c r="BF58" s="491">
        <f t="shared" si="256"/>
        <v>24</v>
      </c>
      <c r="BG58" s="566">
        <f t="shared" si="250"/>
        <v>0.9999692440032959</v>
      </c>
      <c r="BH58" s="563">
        <f t="shared" si="251"/>
        <v>1.0000000074505806</v>
      </c>
      <c r="BJ58" s="334">
        <v>12</v>
      </c>
      <c r="BK58" s="335">
        <f t="shared" si="226"/>
        <v>1</v>
      </c>
      <c r="BL58" s="336">
        <f t="shared" si="227"/>
        <v>1</v>
      </c>
      <c r="BM58" s="336">
        <f t="shared" si="228"/>
        <v>1</v>
      </c>
      <c r="BN58" s="336">
        <f t="shared" si="229"/>
        <v>1</v>
      </c>
      <c r="BO58" s="336">
        <f t="shared" si="230"/>
        <v>1</v>
      </c>
      <c r="BP58" s="336">
        <f t="shared" si="231"/>
        <v>1</v>
      </c>
      <c r="BQ58" s="336">
        <f t="shared" si="232"/>
        <v>1</v>
      </c>
      <c r="BR58" s="336">
        <f t="shared" si="233"/>
        <v>1</v>
      </c>
      <c r="BS58" s="336">
        <f t="shared" si="234"/>
        <v>1</v>
      </c>
      <c r="BT58" s="336">
        <f t="shared" si="235"/>
        <v>1</v>
      </c>
      <c r="BU58" s="336">
        <f t="shared" si="236"/>
        <v>1</v>
      </c>
      <c r="BV58" s="336">
        <f t="shared" si="237"/>
        <v>1</v>
      </c>
      <c r="BW58" s="336">
        <f t="shared" si="238"/>
        <v>1</v>
      </c>
      <c r="BX58" s="336">
        <f t="shared" si="239"/>
        <v>1</v>
      </c>
      <c r="BY58" s="336">
        <f t="shared" si="240"/>
        <v>1</v>
      </c>
      <c r="BZ58" s="337">
        <f t="shared" si="241"/>
        <v>1</v>
      </c>
      <c r="CA58" s="336">
        <f t="shared" si="242"/>
        <v>1</v>
      </c>
      <c r="CB58" s="336">
        <f t="shared" si="243"/>
        <v>1</v>
      </c>
      <c r="CC58" s="336">
        <f t="shared" si="244"/>
        <v>1</v>
      </c>
      <c r="CD58" s="336">
        <f t="shared" si="245"/>
        <v>1</v>
      </c>
      <c r="CE58" s="336">
        <f t="shared" si="246"/>
        <v>1</v>
      </c>
      <c r="CF58" s="336">
        <f t="shared" si="247"/>
        <v>1</v>
      </c>
      <c r="CG58" s="336">
        <f t="shared" si="248"/>
        <v>1</v>
      </c>
      <c r="CH58" s="337">
        <f t="shared" si="249"/>
        <v>1</v>
      </c>
      <c r="CI58" s="490">
        <f t="shared" si="257"/>
        <v>16</v>
      </c>
      <c r="CJ58" s="487">
        <f t="shared" si="258"/>
        <v>8</v>
      </c>
      <c r="CK58" s="491">
        <f t="shared" si="259"/>
        <v>24</v>
      </c>
      <c r="CL58" s="566">
        <f t="shared" si="252"/>
        <v>0.9999692440032959</v>
      </c>
      <c r="CM58" s="563">
        <f t="shared" si="253"/>
        <v>1.0000000074505806</v>
      </c>
    </row>
    <row r="59" spans="1:91" x14ac:dyDescent="0.25">
      <c r="A59" s="493">
        <v>7</v>
      </c>
      <c r="B59" s="637">
        <f t="shared" ca="1" si="260"/>
        <v>36708</v>
      </c>
      <c r="C59" s="333">
        <f t="shared" ca="1" si="285"/>
        <v>32.747501373291016</v>
      </c>
      <c r="D59" s="333">
        <f t="shared" ca="1" si="286"/>
        <v>24.999998092651367</v>
      </c>
      <c r="E59" s="323">
        <v>7</v>
      </c>
      <c r="F59" s="472">
        <f t="shared" ca="1" si="261"/>
        <v>44.336477606213066</v>
      </c>
      <c r="G59" s="473">
        <f t="shared" ca="1" si="262"/>
        <v>43.467076504046872</v>
      </c>
      <c r="H59" s="473">
        <f t="shared" ca="1" si="263"/>
        <v>43.237813763357281</v>
      </c>
      <c r="I59" s="473">
        <f t="shared" ca="1" si="264"/>
        <v>40.957124196350833</v>
      </c>
      <c r="J59" s="473">
        <f t="shared" ca="1" si="265"/>
        <v>39.319555498890168</v>
      </c>
      <c r="K59" s="473">
        <f t="shared" ca="1" si="266"/>
        <v>38.039274872130591</v>
      </c>
      <c r="L59" s="473">
        <f t="shared" ca="1" si="267"/>
        <v>36.112894771562424</v>
      </c>
      <c r="M59" s="473">
        <f t="shared" ca="1" si="268"/>
        <v>34.514032314292763</v>
      </c>
      <c r="N59" s="473">
        <f t="shared" ca="1" si="269"/>
        <v>31.319280148306689</v>
      </c>
      <c r="O59" s="473">
        <f t="shared" ca="1" si="270"/>
        <v>29.556658869387775</v>
      </c>
      <c r="P59" s="473">
        <f t="shared" ca="1" si="271"/>
        <v>28.868878454931746</v>
      </c>
      <c r="Q59" s="473">
        <f t="shared" ca="1" si="272"/>
        <v>26.722173378365596</v>
      </c>
      <c r="R59" s="473">
        <f t="shared" ca="1" si="273"/>
        <v>25.370431624040066</v>
      </c>
      <c r="S59" s="473">
        <f t="shared" ca="1" si="274"/>
        <v>21.749912767856131</v>
      </c>
      <c r="T59" s="473">
        <f t="shared" ca="1" si="275"/>
        <v>21.190161587217972</v>
      </c>
      <c r="U59" s="474">
        <f t="shared" ca="1" si="276"/>
        <v>19.198281471415839</v>
      </c>
      <c r="V59" s="473">
        <f t="shared" ca="1" si="277"/>
        <v>31.541470266992746</v>
      </c>
      <c r="W59" s="473">
        <f t="shared" ca="1" si="278"/>
        <v>27.878029007680425</v>
      </c>
      <c r="X59" s="473">
        <f t="shared" ca="1" si="279"/>
        <v>25.464723551580391</v>
      </c>
      <c r="Y59" s="473">
        <f t="shared" ca="1" si="280"/>
        <v>25.394062250590196</v>
      </c>
      <c r="Z59" s="473">
        <f t="shared" ca="1" si="281"/>
        <v>24.263505276603155</v>
      </c>
      <c r="AA59" s="473">
        <f t="shared" ca="1" si="282"/>
        <v>22.866613908453701</v>
      </c>
      <c r="AB59" s="473">
        <f t="shared" ca="1" si="283"/>
        <v>21.850199820503121</v>
      </c>
      <c r="AC59" s="474">
        <f t="shared" ca="1" si="284"/>
        <v>20.741383639039213</v>
      </c>
    </row>
    <row r="60" spans="1:91" x14ac:dyDescent="0.25">
      <c r="A60" s="493">
        <v>8</v>
      </c>
      <c r="B60" s="637">
        <f t="shared" ca="1" si="260"/>
        <v>36739</v>
      </c>
      <c r="C60" s="333">
        <f t="shared" ca="1" si="285"/>
        <v>32.747501373291016</v>
      </c>
      <c r="D60" s="333">
        <f t="shared" ca="1" si="286"/>
        <v>24.999998092651367</v>
      </c>
      <c r="E60" s="323">
        <v>8</v>
      </c>
      <c r="F60" s="472">
        <f t="shared" ca="1" si="261"/>
        <v>41.280624822891241</v>
      </c>
      <c r="G60" s="473">
        <f t="shared" ca="1" si="262"/>
        <v>40.705500452755132</v>
      </c>
      <c r="H60" s="473">
        <f t="shared" ca="1" si="263"/>
        <v>39.789729938487199</v>
      </c>
      <c r="I60" s="473">
        <f t="shared" ca="1" si="264"/>
        <v>38.993404187822307</v>
      </c>
      <c r="J60" s="473">
        <f t="shared" ca="1" si="265"/>
        <v>36.847747283267381</v>
      </c>
      <c r="K60" s="473">
        <f t="shared" ca="1" si="266"/>
        <v>35.803678172541822</v>
      </c>
      <c r="L60" s="473">
        <f t="shared" ca="1" si="267"/>
        <v>35.520539000094686</v>
      </c>
      <c r="M60" s="473">
        <f t="shared" ca="1" si="268"/>
        <v>34.405682168402564</v>
      </c>
      <c r="N60" s="473">
        <f t="shared" ca="1" si="269"/>
        <v>34.348171292911502</v>
      </c>
      <c r="O60" s="473">
        <f t="shared" ca="1" si="270"/>
        <v>30.432903344126316</v>
      </c>
      <c r="P60" s="473">
        <f t="shared" ca="1" si="271"/>
        <v>30.034740468793871</v>
      </c>
      <c r="Q60" s="473">
        <f t="shared" ca="1" si="272"/>
        <v>29.256112624322213</v>
      </c>
      <c r="R60" s="473">
        <f t="shared" ca="1" si="273"/>
        <v>27.344930041965199</v>
      </c>
      <c r="S60" s="473">
        <f t="shared" ca="1" si="274"/>
        <v>23.730499171820384</v>
      </c>
      <c r="T60" s="473">
        <f t="shared" ca="1" si="275"/>
        <v>23.690682298716183</v>
      </c>
      <c r="U60" s="474">
        <f t="shared" ca="1" si="276"/>
        <v>21.77507670373825</v>
      </c>
      <c r="V60" s="473">
        <f t="shared" ca="1" si="277"/>
        <v>31.590426538243946</v>
      </c>
      <c r="W60" s="473">
        <f t="shared" ca="1" si="278"/>
        <v>27.932191744255533</v>
      </c>
      <c r="X60" s="473">
        <f t="shared" ca="1" si="279"/>
        <v>27.290288512017014</v>
      </c>
      <c r="Y60" s="473">
        <f t="shared" ca="1" si="280"/>
        <v>24.635421840349295</v>
      </c>
      <c r="Z60" s="473">
        <f t="shared" ca="1" si="281"/>
        <v>24.005980448266428</v>
      </c>
      <c r="AA60" s="473">
        <f t="shared" ca="1" si="282"/>
        <v>22.123892407501671</v>
      </c>
      <c r="AB60" s="473">
        <f t="shared" ca="1" si="283"/>
        <v>21.606629928559755</v>
      </c>
      <c r="AC60" s="474">
        <f t="shared" ca="1" si="284"/>
        <v>20.815154812133301</v>
      </c>
    </row>
    <row r="61" spans="1:91" x14ac:dyDescent="0.25">
      <c r="A61" s="493">
        <v>9</v>
      </c>
      <c r="B61" s="637">
        <f t="shared" ca="1" si="260"/>
        <v>36770</v>
      </c>
      <c r="C61" s="333">
        <f t="shared" ca="1" si="285"/>
        <v>23.254999160766602</v>
      </c>
      <c r="D61" s="333">
        <f t="shared" ca="1" si="286"/>
        <v>19.499998092651367</v>
      </c>
      <c r="E61" s="323">
        <v>9</v>
      </c>
      <c r="F61" s="472">
        <f t="shared" ca="1" si="261"/>
        <v>27.776720770732936</v>
      </c>
      <c r="G61" s="473">
        <f t="shared" ca="1" si="262"/>
        <v>27.548484562662907</v>
      </c>
      <c r="H61" s="473">
        <f t="shared" ca="1" si="263"/>
        <v>26.383456955304155</v>
      </c>
      <c r="I61" s="473">
        <f t="shared" ca="1" si="264"/>
        <v>25.736220319731046</v>
      </c>
      <c r="J61" s="473">
        <f t="shared" ca="1" si="265"/>
        <v>25.691934234173914</v>
      </c>
      <c r="K61" s="473">
        <f t="shared" ca="1" si="266"/>
        <v>25.286559228299211</v>
      </c>
      <c r="L61" s="473">
        <f t="shared" ca="1" si="267"/>
        <v>25.099202057326238</v>
      </c>
      <c r="M61" s="473">
        <f t="shared" ca="1" si="268"/>
        <v>24.496248735098334</v>
      </c>
      <c r="N61" s="473">
        <f t="shared" ca="1" si="269"/>
        <v>23.733189085154208</v>
      </c>
      <c r="O61" s="473">
        <f t="shared" ca="1" si="270"/>
        <v>23.556050287349535</v>
      </c>
      <c r="P61" s="473">
        <f t="shared" ca="1" si="271"/>
        <v>22.057183216824001</v>
      </c>
      <c r="Q61" s="473">
        <f t="shared" ca="1" si="272"/>
        <v>21.140831336083806</v>
      </c>
      <c r="R61" s="473">
        <f t="shared" ca="1" si="273"/>
        <v>21.079514166544186</v>
      </c>
      <c r="S61" s="473">
        <f t="shared" ca="1" si="274"/>
        <v>18.071561652324817</v>
      </c>
      <c r="T61" s="473">
        <f t="shared" ca="1" si="275"/>
        <v>17.669592308804226</v>
      </c>
      <c r="U61" s="474">
        <f t="shared" ca="1" si="276"/>
        <v>16.753240428064032</v>
      </c>
      <c r="V61" s="473">
        <f t="shared" ca="1" si="277"/>
        <v>27.569771454172951</v>
      </c>
      <c r="W61" s="473">
        <f t="shared" ca="1" si="278"/>
        <v>21.937344431892143</v>
      </c>
      <c r="X61" s="473">
        <f t="shared" ca="1" si="279"/>
        <v>20.27377901853356</v>
      </c>
      <c r="Y61" s="473">
        <f t="shared" ca="1" si="280"/>
        <v>19.434591359337219</v>
      </c>
      <c r="Z61" s="473">
        <f t="shared" ca="1" si="281"/>
        <v>17.51926918330355</v>
      </c>
      <c r="AA61" s="473">
        <f t="shared" ca="1" si="282"/>
        <v>17.050311715602788</v>
      </c>
      <c r="AB61" s="473">
        <f t="shared" ca="1" si="283"/>
        <v>16.225933961440546</v>
      </c>
      <c r="AC61" s="474">
        <f t="shared" ca="1" si="284"/>
        <v>15.9889859415091</v>
      </c>
    </row>
    <row r="62" spans="1:91" x14ac:dyDescent="0.25">
      <c r="A62" s="493">
        <v>10</v>
      </c>
      <c r="B62" s="637">
        <f t="shared" ca="1" si="260"/>
        <v>36800</v>
      </c>
      <c r="C62" s="333">
        <f t="shared" ca="1" si="285"/>
        <v>22.750499725341797</v>
      </c>
      <c r="D62" s="333">
        <f t="shared" ca="1" si="286"/>
        <v>19.499998092651367</v>
      </c>
      <c r="E62" s="323">
        <v>10</v>
      </c>
      <c r="F62" s="472">
        <f t="shared" ca="1" si="261"/>
        <v>27.516728398062241</v>
      </c>
      <c r="G62" s="473">
        <f t="shared" ca="1" si="262"/>
        <v>27.302873470660415</v>
      </c>
      <c r="H62" s="473">
        <f t="shared" ca="1" si="263"/>
        <v>26.315503375108619</v>
      </c>
      <c r="I62" s="473">
        <f t="shared" ca="1" si="264"/>
        <v>25.767214847682681</v>
      </c>
      <c r="J62" s="473">
        <f t="shared" ca="1" si="265"/>
        <v>25.687588445789061</v>
      </c>
      <c r="K62" s="473">
        <f t="shared" ca="1" si="266"/>
        <v>25.54198549488774</v>
      </c>
      <c r="L62" s="473">
        <f t="shared" ca="1" si="267"/>
        <v>24.31800890907698</v>
      </c>
      <c r="M62" s="473">
        <f t="shared" ca="1" si="268"/>
        <v>24.149654395318521</v>
      </c>
      <c r="N62" s="473">
        <f t="shared" ca="1" si="269"/>
        <v>21.553822845302875</v>
      </c>
      <c r="O62" s="473">
        <f t="shared" ca="1" si="270"/>
        <v>20.24567035864834</v>
      </c>
      <c r="P62" s="473">
        <f t="shared" ca="1" si="271"/>
        <v>20.238844076169926</v>
      </c>
      <c r="Q62" s="473">
        <f t="shared" ca="1" si="272"/>
        <v>20.172867527162225</v>
      </c>
      <c r="R62" s="473">
        <f t="shared" ca="1" si="273"/>
        <v>19.683731978336482</v>
      </c>
      <c r="S62" s="473">
        <f t="shared" ca="1" si="274"/>
        <v>19.226446990268187</v>
      </c>
      <c r="T62" s="473">
        <f t="shared" ca="1" si="275"/>
        <v>19.094493892252785</v>
      </c>
      <c r="U62" s="474">
        <f t="shared" ca="1" si="276"/>
        <v>17.199377390971904</v>
      </c>
      <c r="V62" s="473">
        <f t="shared" ca="1" si="277"/>
        <v>26.831998286724001</v>
      </c>
      <c r="W62" s="473">
        <f t="shared" ca="1" si="278"/>
        <v>20.755797144126973</v>
      </c>
      <c r="X62" s="473">
        <f t="shared" ca="1" si="279"/>
        <v>20.484748684406213</v>
      </c>
      <c r="Y62" s="473">
        <f t="shared" ca="1" si="280"/>
        <v>18.515248663186981</v>
      </c>
      <c r="Z62" s="473">
        <f t="shared" ca="1" si="281"/>
        <v>18.066748669862704</v>
      </c>
      <c r="AA62" s="473">
        <f t="shared" ca="1" si="282"/>
        <v>17.573398212289817</v>
      </c>
      <c r="AB62" s="473">
        <f t="shared" ca="1" si="283"/>
        <v>16.890897767639217</v>
      </c>
      <c r="AC62" s="474">
        <f t="shared" ca="1" si="284"/>
        <v>16.881148475265491</v>
      </c>
    </row>
    <row r="63" spans="1:91" x14ac:dyDescent="0.25">
      <c r="A63" s="493">
        <v>11</v>
      </c>
      <c r="B63" s="637">
        <f t="shared" ca="1" si="260"/>
        <v>36831</v>
      </c>
      <c r="C63" s="333">
        <f t="shared" ca="1" si="285"/>
        <v>23.754751205444336</v>
      </c>
      <c r="D63" s="333">
        <f t="shared" ca="1" si="286"/>
        <v>19.499998092651367</v>
      </c>
      <c r="E63" s="323">
        <v>11</v>
      </c>
      <c r="F63" s="472">
        <f t="shared" ca="1" si="261"/>
        <v>29.144703814466311</v>
      </c>
      <c r="G63" s="473">
        <f t="shared" ca="1" si="262"/>
        <v>28.911908267565423</v>
      </c>
      <c r="H63" s="473">
        <f t="shared" ca="1" si="263"/>
        <v>27.952215648298306</v>
      </c>
      <c r="I63" s="473">
        <f t="shared" ca="1" si="264"/>
        <v>27.142180140968776</v>
      </c>
      <c r="J63" s="473">
        <f t="shared" ca="1" si="265"/>
        <v>26.966394130246954</v>
      </c>
      <c r="K63" s="473">
        <f t="shared" ca="1" si="266"/>
        <v>26.446163705997378</v>
      </c>
      <c r="L63" s="473">
        <f t="shared" ca="1" si="267"/>
        <v>25.866547876263439</v>
      </c>
      <c r="M63" s="473">
        <f t="shared" ca="1" si="268"/>
        <v>25.453214580030135</v>
      </c>
      <c r="N63" s="473">
        <f t="shared" ca="1" si="269"/>
        <v>22.267703385798768</v>
      </c>
      <c r="O63" s="473">
        <f t="shared" ca="1" si="270"/>
        <v>21.060962835585997</v>
      </c>
      <c r="P63" s="473">
        <f t="shared" ca="1" si="271"/>
        <v>20.973069830225086</v>
      </c>
      <c r="Q63" s="473">
        <f t="shared" ca="1" si="272"/>
        <v>20.576364787341845</v>
      </c>
      <c r="R63" s="473">
        <f t="shared" ca="1" si="273"/>
        <v>20.41008225384121</v>
      </c>
      <c r="S63" s="473">
        <f t="shared" ca="1" si="274"/>
        <v>19.932611813512949</v>
      </c>
      <c r="T63" s="473">
        <f t="shared" ca="1" si="275"/>
        <v>19.604795653335259</v>
      </c>
      <c r="U63" s="474">
        <f t="shared" ca="1" si="276"/>
        <v>17.352845347799757</v>
      </c>
      <c r="V63" s="473">
        <f t="shared" ca="1" si="277"/>
        <v>29.171998150825402</v>
      </c>
      <c r="W63" s="473">
        <f t="shared" ca="1" si="278"/>
        <v>20.484748684406213</v>
      </c>
      <c r="X63" s="473">
        <f t="shared" ca="1" si="279"/>
        <v>20.365797554206893</v>
      </c>
      <c r="Y63" s="473">
        <f t="shared" ca="1" si="280"/>
        <v>18.125247910976441</v>
      </c>
      <c r="Z63" s="473">
        <f t="shared" ca="1" si="281"/>
        <v>17.676747917652165</v>
      </c>
      <c r="AA63" s="473">
        <f t="shared" ca="1" si="282"/>
        <v>17.183398622369737</v>
      </c>
      <c r="AB63" s="473">
        <f t="shared" ca="1" si="283"/>
        <v>16.500898177719137</v>
      </c>
      <c r="AC63" s="474">
        <f t="shared" ca="1" si="284"/>
        <v>16.49114888534541</v>
      </c>
    </row>
    <row r="64" spans="1:91" ht="13.8" thickBot="1" x14ac:dyDescent="0.3">
      <c r="A64" s="494">
        <v>12</v>
      </c>
      <c r="B64" s="638">
        <f t="shared" ca="1" si="260"/>
        <v>36861</v>
      </c>
      <c r="C64" s="338">
        <f t="shared" ca="1" si="285"/>
        <v>25.254999160766602</v>
      </c>
      <c r="D64" s="338">
        <f t="shared" ca="1" si="286"/>
        <v>21.049999237060547</v>
      </c>
      <c r="E64" s="334">
        <v>12</v>
      </c>
      <c r="F64" s="475">
        <f t="shared" ca="1" si="261"/>
        <v>31.307594818210418</v>
      </c>
      <c r="G64" s="476">
        <f t="shared" ca="1" si="262"/>
        <v>31.099006294124592</v>
      </c>
      <c r="H64" s="476">
        <f t="shared" ca="1" si="263"/>
        <v>30.02810093754124</v>
      </c>
      <c r="I64" s="476">
        <f t="shared" ca="1" si="264"/>
        <v>29.391768052202224</v>
      </c>
      <c r="J64" s="476">
        <f t="shared" ca="1" si="265"/>
        <v>29.242762916491529</v>
      </c>
      <c r="K64" s="476">
        <f t="shared" ca="1" si="266"/>
        <v>29.17084798555743</v>
      </c>
      <c r="L64" s="476">
        <f t="shared" ca="1" si="267"/>
        <v>28.606336701606779</v>
      </c>
      <c r="M64" s="476">
        <f t="shared" ca="1" si="268"/>
        <v>27.464810985207578</v>
      </c>
      <c r="N64" s="476">
        <f t="shared" ca="1" si="269"/>
        <v>23.244701820061664</v>
      </c>
      <c r="O64" s="476">
        <f t="shared" ca="1" si="270"/>
        <v>22.21429697038127</v>
      </c>
      <c r="P64" s="476">
        <f t="shared" ca="1" si="271"/>
        <v>22.095598346674933</v>
      </c>
      <c r="Q64" s="476">
        <f t="shared" ca="1" si="272"/>
        <v>21.504631147139094</v>
      </c>
      <c r="R64" s="476">
        <f t="shared" ca="1" si="273"/>
        <v>21.143484943343651</v>
      </c>
      <c r="S64" s="476">
        <f t="shared" ca="1" si="274"/>
        <v>20.080249167978309</v>
      </c>
      <c r="T64" s="476">
        <f t="shared" ca="1" si="275"/>
        <v>19.731731053846829</v>
      </c>
      <c r="U64" s="477">
        <f t="shared" ca="1" si="276"/>
        <v>17.741636549162877</v>
      </c>
      <c r="V64" s="476">
        <f t="shared" ca="1" si="277"/>
        <v>31.490799942684134</v>
      </c>
      <c r="W64" s="476">
        <f t="shared" ca="1" si="278"/>
        <v>22.113024941301319</v>
      </c>
      <c r="X64" s="476">
        <f t="shared" ca="1" si="279"/>
        <v>21.984618713359851</v>
      </c>
      <c r="Y64" s="476">
        <f t="shared" ca="1" si="280"/>
        <v>19.565973949575437</v>
      </c>
      <c r="Z64" s="476">
        <f t="shared" ca="1" si="281"/>
        <v>19.081823926973357</v>
      </c>
      <c r="AA64" s="476">
        <f t="shared" ca="1" si="282"/>
        <v>18.549259654917705</v>
      </c>
      <c r="AB64" s="476">
        <f t="shared" ca="1" si="283"/>
        <v>17.812509129562386</v>
      </c>
      <c r="AC64" s="477">
        <f t="shared" ca="1" si="284"/>
        <v>17.801984892787914</v>
      </c>
    </row>
    <row r="65" spans="1:29" ht="13.8" thickBot="1" x14ac:dyDescent="0.3"/>
    <row r="66" spans="1:29" ht="18" thickBot="1" x14ac:dyDescent="0.35">
      <c r="A66" s="217"/>
      <c r="B66" s="217"/>
      <c r="C66" s="217"/>
      <c r="D66"/>
      <c r="E66" s="345" t="s">
        <v>429</v>
      </c>
      <c r="F66" s="346"/>
      <c r="G66" s="346"/>
      <c r="H66" s="346"/>
      <c r="I66" s="346"/>
      <c r="J66" s="346"/>
      <c r="K66" s="346"/>
      <c r="L66" s="346"/>
      <c r="M66" s="346"/>
      <c r="N66" s="346"/>
      <c r="O66" s="346"/>
      <c r="P66" s="346"/>
      <c r="Q66" s="346"/>
      <c r="R66" s="346"/>
      <c r="S66" s="346"/>
      <c r="T66" s="346"/>
      <c r="U66" s="346"/>
      <c r="V66" s="346"/>
      <c r="W66" s="346"/>
      <c r="X66" s="346"/>
      <c r="Y66" s="346"/>
      <c r="Z66" s="346"/>
      <c r="AA66" s="346"/>
      <c r="AB66" s="346"/>
      <c r="AC66" s="347"/>
    </row>
    <row r="67" spans="1:29" ht="13.8" thickBot="1" x14ac:dyDescent="0.3">
      <c r="A67" s="351"/>
      <c r="B67" s="634" t="s">
        <v>314</v>
      </c>
      <c r="C67" s="471" t="s">
        <v>315</v>
      </c>
      <c r="D67" s="495"/>
      <c r="E67" s="351"/>
      <c r="F67" s="317" t="s">
        <v>153</v>
      </c>
      <c r="G67" s="318"/>
      <c r="H67" s="318"/>
      <c r="I67" s="318"/>
      <c r="J67" s="318"/>
      <c r="K67" s="318"/>
      <c r="L67" s="318"/>
      <c r="M67" s="318"/>
      <c r="N67" s="318"/>
      <c r="O67" s="318"/>
      <c r="P67" s="318"/>
      <c r="Q67" s="318"/>
      <c r="R67" s="318"/>
      <c r="S67" s="318"/>
      <c r="T67" s="318"/>
      <c r="U67" s="319"/>
      <c r="V67" s="317" t="s">
        <v>138</v>
      </c>
      <c r="W67" s="318"/>
      <c r="X67" s="318"/>
      <c r="Y67" s="318"/>
      <c r="Z67" s="318"/>
      <c r="AA67" s="318"/>
      <c r="AB67" s="318"/>
      <c r="AC67" s="319"/>
    </row>
    <row r="68" spans="1:29" ht="13.8" thickBot="1" x14ac:dyDescent="0.3">
      <c r="A68" s="584" t="s">
        <v>15</v>
      </c>
      <c r="B68" s="635" t="s">
        <v>316</v>
      </c>
      <c r="C68" s="496" t="s">
        <v>153</v>
      </c>
      <c r="D68" s="496" t="s">
        <v>138</v>
      </c>
      <c r="E68" s="320" t="s">
        <v>307</v>
      </c>
      <c r="F68" s="320">
        <v>1</v>
      </c>
      <c r="G68" s="321">
        <v>2</v>
      </c>
      <c r="H68" s="321">
        <v>3</v>
      </c>
      <c r="I68" s="321">
        <v>4</v>
      </c>
      <c r="J68" s="321">
        <v>5</v>
      </c>
      <c r="K68" s="321">
        <v>6</v>
      </c>
      <c r="L68" s="321">
        <v>7</v>
      </c>
      <c r="M68" s="321">
        <v>8</v>
      </c>
      <c r="N68" s="321">
        <v>9</v>
      </c>
      <c r="O68" s="321">
        <v>10</v>
      </c>
      <c r="P68" s="321">
        <v>11</v>
      </c>
      <c r="Q68" s="321">
        <v>12</v>
      </c>
      <c r="R68" s="321">
        <v>13</v>
      </c>
      <c r="S68" s="321">
        <v>14</v>
      </c>
      <c r="T68" s="321">
        <v>15</v>
      </c>
      <c r="U68" s="322">
        <v>16</v>
      </c>
      <c r="V68" s="321">
        <v>1</v>
      </c>
      <c r="W68" s="321">
        <v>2</v>
      </c>
      <c r="X68" s="321">
        <v>3</v>
      </c>
      <c r="Y68" s="321">
        <v>4</v>
      </c>
      <c r="Z68" s="321">
        <v>5</v>
      </c>
      <c r="AA68" s="321">
        <v>6</v>
      </c>
      <c r="AB68" s="321">
        <v>7</v>
      </c>
      <c r="AC68" s="322">
        <v>8</v>
      </c>
    </row>
    <row r="69" spans="1:29" x14ac:dyDescent="0.25">
      <c r="A69" s="492">
        <v>1</v>
      </c>
      <c r="B69" s="636">
        <f t="shared" ref="B69:B80" ca="1" si="287">EOMONTH(CurveDate+32,MOD(A37-MONTH(CurveDate+32),12)-1)+1</f>
        <v>36892</v>
      </c>
      <c r="C69" s="332">
        <f ca="1">VLOOKUP(B69,BigTable,7,0)+IF(BasisNumber&lt;&gt;1,VLOOKUP(B37,BasisTable,2,0),0)</f>
        <v>27.252500534057617</v>
      </c>
      <c r="D69" s="332">
        <f ca="1">VLOOKUP(B37,PriceTable,7,0)+IF(BasisNumber&lt;&gt;1,VLOOKUP(B37,BasisTable,3,0),0)</f>
        <v>20.840000152587891</v>
      </c>
      <c r="E69" s="323">
        <v>1</v>
      </c>
      <c r="F69" s="472">
        <f t="shared" ref="F69:F80" ca="1" si="288">C69*F21</f>
        <v>34.934959008444366</v>
      </c>
      <c r="G69" s="473">
        <f t="shared" ref="G69:G80" ca="1" si="289">C69*G21</f>
        <v>33.438818103308677</v>
      </c>
      <c r="H69" s="473">
        <f t="shared" ref="H69:H80" ca="1" si="290">C69*H21</f>
        <v>32.697872162181966</v>
      </c>
      <c r="I69" s="473">
        <f t="shared" ref="I69:I80" ca="1" si="291">C69*I21</f>
        <v>32.598349917089536</v>
      </c>
      <c r="J69" s="473">
        <f t="shared" ref="J69:J80" ca="1" si="292">C69*J21</f>
        <v>32.029467587206227</v>
      </c>
      <c r="K69" s="473">
        <f t="shared" ref="K69:K80" ca="1" si="293">C69*K21</f>
        <v>31.838194109956703</v>
      </c>
      <c r="L69" s="473">
        <f t="shared" ref="L69:L80" ca="1" si="294">C69*L21</f>
        <v>31.478066787676198</v>
      </c>
      <c r="M69" s="473">
        <f t="shared" ref="M69:M80" ca="1" si="295">C69*M21</f>
        <v>31.22822807205489</v>
      </c>
      <c r="N69" s="473">
        <f t="shared" ref="N69:N80" ca="1" si="296">C69*N21</f>
        <v>23.993101524763347</v>
      </c>
      <c r="O69" s="473">
        <f t="shared" ref="O69:O80" ca="1" si="297">C69*O21</f>
        <v>23.295437071860306</v>
      </c>
      <c r="P69" s="473">
        <f t="shared" ref="P69:P80" ca="1" si="298">C69*P21</f>
        <v>22.881200173516049</v>
      </c>
      <c r="Q69" s="473">
        <f t="shared" ref="Q69:Q80" ca="1" si="299">C69*Q21</f>
        <v>22.543268319619415</v>
      </c>
      <c r="R69" s="473">
        <f t="shared" ref="R69:R80" ca="1" si="300">C69*R21</f>
        <v>22.387929279693367</v>
      </c>
      <c r="S69" s="473">
        <f t="shared" ref="S69:S80" ca="1" si="301">C69*S21</f>
        <v>21.395937711864462</v>
      </c>
      <c r="T69" s="473">
        <f t="shared" ref="T69:T80" ca="1" si="302">C69*T21</f>
        <v>20.96534822421836</v>
      </c>
      <c r="U69" s="474">
        <f t="shared" ref="U69:U80" ca="1" si="303">C69*U21</f>
        <v>18.327306999003895</v>
      </c>
      <c r="V69" s="473">
        <f t="shared" ref="V69:V80" ca="1" si="304">D69*V21</f>
        <v>36.053200661468509</v>
      </c>
      <c r="W69" s="473">
        <f t="shared" ref="W69:W80" ca="1" si="305">D69*W21</f>
        <v>21.777799265098565</v>
      </c>
      <c r="X69" s="473">
        <f t="shared" ref="X69:X80" ca="1" si="306">D69*X21</f>
        <v>19.174704720701811</v>
      </c>
      <c r="Y69" s="473">
        <f t="shared" ref="Y69:Y80" ca="1" si="307">D69*Y21</f>
        <v>18.826856219333649</v>
      </c>
      <c r="Z69" s="473">
        <f t="shared" ref="Z69:Z80" ca="1" si="308">D69*Z21</f>
        <v>18.801128584715343</v>
      </c>
      <c r="AA69" s="473">
        <f t="shared" ref="AA69:AA80" ca="1" si="309">D69*AA21</f>
        <v>17.641059701862332</v>
      </c>
      <c r="AB69" s="473">
        <f t="shared" ref="AB69:AB80" ca="1" si="310">D69*AB21</f>
        <v>17.228425061485268</v>
      </c>
      <c r="AC69" s="474">
        <f t="shared" ref="AC69:AC80" ca="1" si="311">D69*AC21</f>
        <v>17.218008300964357</v>
      </c>
    </row>
    <row r="70" spans="1:29" x14ac:dyDescent="0.25">
      <c r="A70" s="493">
        <v>2</v>
      </c>
      <c r="B70" s="637">
        <f t="shared" ca="1" si="287"/>
        <v>36923</v>
      </c>
      <c r="C70" s="333">
        <f t="shared" ref="C70:C80" ca="1" si="312">VLOOKUP(B70,BigTable,7,0)+IF(BasisNumber&lt;&gt;1,VLOOKUP(B38,BasisTable,2,0),0)</f>
        <v>25.247499465942383</v>
      </c>
      <c r="D70" s="333">
        <f t="shared" ref="D70:D80" ca="1" si="313">VLOOKUP(B38,PriceTable,7,0)+IF(BasisNumber&lt;&gt;1,VLOOKUP(B38,BasisTable,3,0),0)</f>
        <v>20.649997711181641</v>
      </c>
      <c r="E70" s="323">
        <v>2</v>
      </c>
      <c r="F70" s="472">
        <f t="shared" ca="1" si="288"/>
        <v>32.364749715577545</v>
      </c>
      <c r="G70" s="473">
        <f t="shared" ca="1" si="289"/>
        <v>30.97868179655552</v>
      </c>
      <c r="H70" s="473">
        <f t="shared" ca="1" si="290"/>
        <v>30.292248189132579</v>
      </c>
      <c r="I70" s="473">
        <f t="shared" ca="1" si="291"/>
        <v>30.200047921979831</v>
      </c>
      <c r="J70" s="473">
        <f t="shared" ca="1" si="292"/>
        <v>29.673018987443584</v>
      </c>
      <c r="K70" s="473">
        <f t="shared" ca="1" si="293"/>
        <v>29.495817742784538</v>
      </c>
      <c r="L70" s="473">
        <f t="shared" ca="1" si="294"/>
        <v>29.162185444875377</v>
      </c>
      <c r="M70" s="473">
        <f t="shared" ca="1" si="295"/>
        <v>28.930727680794689</v>
      </c>
      <c r="N70" s="473">
        <f t="shared" ca="1" si="296"/>
        <v>22.227898580379247</v>
      </c>
      <c r="O70" s="473">
        <f t="shared" ca="1" si="297"/>
        <v>21.58156218713475</v>
      </c>
      <c r="P70" s="473">
        <f t="shared" ca="1" si="298"/>
        <v>21.197801223378406</v>
      </c>
      <c r="Q70" s="473">
        <f t="shared" ca="1" si="299"/>
        <v>20.884731445061448</v>
      </c>
      <c r="R70" s="473">
        <f t="shared" ca="1" si="300"/>
        <v>20.740820895544289</v>
      </c>
      <c r="S70" s="473">
        <f t="shared" ca="1" si="301"/>
        <v>19.821811406940469</v>
      </c>
      <c r="T70" s="473">
        <f t="shared" ca="1" si="302"/>
        <v>19.422900934640893</v>
      </c>
      <c r="U70" s="474">
        <f t="shared" ca="1" si="303"/>
        <v>16.978943752014629</v>
      </c>
      <c r="V70" s="473">
        <f t="shared" ca="1" si="304"/>
        <v>35.724496434211687</v>
      </c>
      <c r="W70" s="473">
        <f t="shared" ca="1" si="305"/>
        <v>21.579246721983054</v>
      </c>
      <c r="X70" s="473">
        <f t="shared" ca="1" si="306"/>
        <v>18.999885110169089</v>
      </c>
      <c r="Y70" s="473">
        <f t="shared" ca="1" si="307"/>
        <v>18.655208013024321</v>
      </c>
      <c r="Z70" s="473">
        <f t="shared" ca="1" si="308"/>
        <v>18.629714942386499</v>
      </c>
      <c r="AA70" s="473">
        <f t="shared" ca="1" si="309"/>
        <v>17.480222639107751</v>
      </c>
      <c r="AB70" s="473">
        <f t="shared" ca="1" si="310"/>
        <v>17.07135007111583</v>
      </c>
      <c r="AC70" s="474">
        <f t="shared" ca="1" si="311"/>
        <v>17.061028282279949</v>
      </c>
    </row>
    <row r="71" spans="1:29" x14ac:dyDescent="0.25">
      <c r="A71" s="493">
        <v>3</v>
      </c>
      <c r="B71" s="637">
        <f t="shared" ca="1" si="287"/>
        <v>36951</v>
      </c>
      <c r="C71" s="333">
        <f t="shared" ca="1" si="312"/>
        <v>20.564498901367188</v>
      </c>
      <c r="D71" s="333">
        <f t="shared" ca="1" si="313"/>
        <v>19.649999618530273</v>
      </c>
      <c r="E71" s="323">
        <v>3</v>
      </c>
      <c r="F71" s="472">
        <f t="shared" ca="1" si="288"/>
        <v>26.155987341126092</v>
      </c>
      <c r="G71" s="473">
        <f t="shared" ca="1" si="289"/>
        <v>25.026995319858543</v>
      </c>
      <c r="H71" s="473">
        <f t="shared" ca="1" si="290"/>
        <v>24.467641287064907</v>
      </c>
      <c r="I71" s="473">
        <f t="shared" ca="1" si="291"/>
        <v>24.393609063563417</v>
      </c>
      <c r="J71" s="473">
        <f t="shared" ca="1" si="292"/>
        <v>23.963810809027564</v>
      </c>
      <c r="K71" s="473">
        <f t="shared" ca="1" si="293"/>
        <v>23.819859944296695</v>
      </c>
      <c r="L71" s="473">
        <f t="shared" ca="1" si="294"/>
        <v>23.548407640964797</v>
      </c>
      <c r="M71" s="473">
        <f t="shared" ca="1" si="295"/>
        <v>23.359214725678612</v>
      </c>
      <c r="N71" s="473">
        <f t="shared" ca="1" si="296"/>
        <v>18.310629666843852</v>
      </c>
      <c r="O71" s="473">
        <f t="shared" ca="1" si="297"/>
        <v>17.78417816352885</v>
      </c>
      <c r="P71" s="473">
        <f t="shared" ca="1" si="298"/>
        <v>17.471598617653399</v>
      </c>
      <c r="Q71" s="473">
        <f t="shared" ca="1" si="299"/>
        <v>17.216598191930643</v>
      </c>
      <c r="R71" s="473">
        <f t="shared" ca="1" si="300"/>
        <v>17.099380709009893</v>
      </c>
      <c r="S71" s="473">
        <f t="shared" ca="1" si="301"/>
        <v>16.35083253519042</v>
      </c>
      <c r="T71" s="473">
        <f t="shared" ca="1" si="302"/>
        <v>16.025913468238286</v>
      </c>
      <c r="U71" s="474">
        <f t="shared" ca="1" si="303"/>
        <v>14.035270598242278</v>
      </c>
      <c r="V71" s="473">
        <f t="shared" ca="1" si="304"/>
        <v>35.291399389839171</v>
      </c>
      <c r="W71" s="473">
        <f t="shared" ca="1" si="305"/>
        <v>20.534248758077638</v>
      </c>
      <c r="X71" s="473">
        <f t="shared" ca="1" si="306"/>
        <v>19.558667005881489</v>
      </c>
      <c r="Y71" s="473">
        <f t="shared" ca="1" si="307"/>
        <v>17.293796239341191</v>
      </c>
      <c r="Z71" s="473">
        <f t="shared" ca="1" si="308"/>
        <v>16.849686432603676</v>
      </c>
      <c r="AA71" s="473">
        <f t="shared" ca="1" si="309"/>
        <v>16.352051357873734</v>
      </c>
      <c r="AB71" s="473">
        <f t="shared" ca="1" si="310"/>
        <v>15.664978998775496</v>
      </c>
      <c r="AC71" s="474">
        <f t="shared" ca="1" si="311"/>
        <v>15.655151197381088</v>
      </c>
    </row>
    <row r="72" spans="1:29" x14ac:dyDescent="0.25">
      <c r="A72" s="493">
        <v>4</v>
      </c>
      <c r="B72" s="637">
        <f t="shared" ca="1" si="287"/>
        <v>36617</v>
      </c>
      <c r="C72" s="333">
        <f t="shared" ca="1" si="312"/>
        <v>20.253749847412109</v>
      </c>
      <c r="D72" s="333" t="e">
        <f t="shared" ca="1" si="313"/>
        <v>#N/A</v>
      </c>
      <c r="E72" s="323">
        <v>4</v>
      </c>
      <c r="F72" s="472">
        <f t="shared" ca="1" si="288"/>
        <v>23.379644162797831</v>
      </c>
      <c r="G72" s="473">
        <f t="shared" ca="1" si="289"/>
        <v>23.115917827977682</v>
      </c>
      <c r="H72" s="473">
        <f t="shared" ca="1" si="290"/>
        <v>22.75048341330421</v>
      </c>
      <c r="I72" s="473">
        <f t="shared" ca="1" si="291"/>
        <v>22.654316462074348</v>
      </c>
      <c r="J72" s="473">
        <f t="shared" ca="1" si="292"/>
        <v>22.609982604216384</v>
      </c>
      <c r="K72" s="473">
        <f t="shared" ca="1" si="293"/>
        <v>22.1532704694514</v>
      </c>
      <c r="L72" s="473">
        <f t="shared" ca="1" si="294"/>
        <v>20.608732172407599</v>
      </c>
      <c r="M72" s="473">
        <f t="shared" ca="1" si="295"/>
        <v>20.586565243478617</v>
      </c>
      <c r="N72" s="473">
        <f t="shared" ca="1" si="296"/>
        <v>19.921220561908513</v>
      </c>
      <c r="O72" s="473">
        <f t="shared" ca="1" si="297"/>
        <v>19.329548746679166</v>
      </c>
      <c r="P72" s="473">
        <f t="shared" ca="1" si="298"/>
        <v>18.973894001499957</v>
      </c>
      <c r="Q72" s="473">
        <f t="shared" ca="1" si="299"/>
        <v>18.065687326286024</v>
      </c>
      <c r="R72" s="473">
        <f t="shared" ca="1" si="300"/>
        <v>17.621037709430766</v>
      </c>
      <c r="S72" s="473">
        <f t="shared" ca="1" si="301"/>
        <v>17.599196729244341</v>
      </c>
      <c r="T72" s="473">
        <f t="shared" ca="1" si="302"/>
        <v>17.391867977409447</v>
      </c>
      <c r="U72" s="474">
        <f t="shared" ca="1" si="303"/>
        <v>17.298634564862596</v>
      </c>
      <c r="V72" s="473" t="e">
        <f t="shared" ca="1" si="304"/>
        <v>#N/A</v>
      </c>
      <c r="W72" s="473" t="e">
        <f t="shared" ca="1" si="305"/>
        <v>#N/A</v>
      </c>
      <c r="X72" s="473" t="e">
        <f t="shared" ca="1" si="306"/>
        <v>#N/A</v>
      </c>
      <c r="Y72" s="473" t="e">
        <f t="shared" ca="1" si="307"/>
        <v>#N/A</v>
      </c>
      <c r="Z72" s="473" t="e">
        <f t="shared" ca="1" si="308"/>
        <v>#N/A</v>
      </c>
      <c r="AA72" s="473" t="e">
        <f t="shared" ca="1" si="309"/>
        <v>#N/A</v>
      </c>
      <c r="AB72" s="473" t="e">
        <f t="shared" ca="1" si="310"/>
        <v>#N/A</v>
      </c>
      <c r="AC72" s="474" t="e">
        <f t="shared" ca="1" si="311"/>
        <v>#N/A</v>
      </c>
    </row>
    <row r="73" spans="1:29" x14ac:dyDescent="0.25">
      <c r="A73" s="493">
        <v>5</v>
      </c>
      <c r="B73" s="637">
        <f t="shared" ca="1" si="287"/>
        <v>36647</v>
      </c>
      <c r="C73" s="333">
        <f t="shared" ca="1" si="312"/>
        <v>24.75</v>
      </c>
      <c r="D73" s="333">
        <f t="shared" ca="1" si="313"/>
        <v>19.499998092651367</v>
      </c>
      <c r="E73" s="323">
        <v>5</v>
      </c>
      <c r="F73" s="472">
        <f t="shared" ca="1" si="288"/>
        <v>27.856121152639389</v>
      </c>
      <c r="G73" s="473">
        <f t="shared" ca="1" si="289"/>
        <v>27.645519465208054</v>
      </c>
      <c r="H73" s="473">
        <f t="shared" ca="1" si="290"/>
        <v>26.92056342959404</v>
      </c>
      <c r="I73" s="473">
        <f t="shared" ca="1" si="291"/>
        <v>26.260407686233521</v>
      </c>
      <c r="J73" s="473">
        <f t="shared" ca="1" si="292"/>
        <v>26.175358593463898</v>
      </c>
      <c r="K73" s="473">
        <f t="shared" ca="1" si="293"/>
        <v>26.049805998802185</v>
      </c>
      <c r="L73" s="473">
        <f t="shared" ca="1" si="294"/>
        <v>25.802754700183868</v>
      </c>
      <c r="M73" s="473">
        <f t="shared" ca="1" si="295"/>
        <v>25.677205055952072</v>
      </c>
      <c r="N73" s="473">
        <f t="shared" ca="1" si="296"/>
        <v>25.389653205871582</v>
      </c>
      <c r="O73" s="473">
        <f t="shared" ca="1" si="297"/>
        <v>24.733546927571297</v>
      </c>
      <c r="P73" s="473">
        <f t="shared" ca="1" si="298"/>
        <v>24.401443585753441</v>
      </c>
      <c r="Q73" s="473">
        <f t="shared" ca="1" si="299"/>
        <v>23.769638523459435</v>
      </c>
      <c r="R73" s="473">
        <f t="shared" ca="1" si="300"/>
        <v>23.583338052034378</v>
      </c>
      <c r="S73" s="473">
        <f t="shared" ca="1" si="301"/>
        <v>20.598463341593742</v>
      </c>
      <c r="T73" s="473">
        <f t="shared" ca="1" si="302"/>
        <v>20.594413876533508</v>
      </c>
      <c r="U73" s="474">
        <f t="shared" ca="1" si="303"/>
        <v>20.541763454675674</v>
      </c>
      <c r="V73" s="473">
        <f t="shared" ca="1" si="304"/>
        <v>25.180839161729409</v>
      </c>
      <c r="W73" s="473">
        <f t="shared" ca="1" si="305"/>
        <v>22.970385867655523</v>
      </c>
      <c r="X73" s="473">
        <f t="shared" ca="1" si="306"/>
        <v>21.045151678583807</v>
      </c>
      <c r="Y73" s="473">
        <f t="shared" ca="1" si="307"/>
        <v>19.400043437721024</v>
      </c>
      <c r="Z73" s="473">
        <f t="shared" ca="1" si="308"/>
        <v>17.474809248649308</v>
      </c>
      <c r="AA73" s="473">
        <f t="shared" ca="1" si="309"/>
        <v>17.357665480114406</v>
      </c>
      <c r="AB73" s="473">
        <f t="shared" ca="1" si="310"/>
        <v>16.537659100370092</v>
      </c>
      <c r="AC73" s="474">
        <f t="shared" ca="1" si="311"/>
        <v>16.033430766387369</v>
      </c>
    </row>
    <row r="74" spans="1:29" x14ac:dyDescent="0.25">
      <c r="A74" s="493">
        <v>6</v>
      </c>
      <c r="B74" s="637">
        <f t="shared" ca="1" si="287"/>
        <v>36678</v>
      </c>
      <c r="C74" s="333">
        <f t="shared" ca="1" si="312"/>
        <v>22.75</v>
      </c>
      <c r="D74" s="333">
        <f t="shared" ca="1" si="313"/>
        <v>19.504999160766602</v>
      </c>
      <c r="E74" s="323">
        <v>6</v>
      </c>
      <c r="F74" s="472">
        <f t="shared" ca="1" si="288"/>
        <v>28.490408629179001</v>
      </c>
      <c r="G74" s="473">
        <f t="shared" ca="1" si="289"/>
        <v>28.035466015338898</v>
      </c>
      <c r="H74" s="473">
        <f t="shared" ca="1" si="290"/>
        <v>27.989665567874908</v>
      </c>
      <c r="I74" s="473">
        <f t="shared" ca="1" si="291"/>
        <v>27.775934666395187</v>
      </c>
      <c r="J74" s="473">
        <f t="shared" ca="1" si="292"/>
        <v>27.644640773534775</v>
      </c>
      <c r="K74" s="473">
        <f t="shared" ca="1" si="293"/>
        <v>25.116503804922104</v>
      </c>
      <c r="L74" s="473">
        <f t="shared" ca="1" si="294"/>
        <v>24.169979304075241</v>
      </c>
      <c r="M74" s="473">
        <f t="shared" ca="1" si="295"/>
        <v>23.605116158723831</v>
      </c>
      <c r="N74" s="473">
        <f t="shared" ca="1" si="296"/>
        <v>22.4112738519907</v>
      </c>
      <c r="O74" s="473">
        <f t="shared" ca="1" si="297"/>
        <v>20.899886205792427</v>
      </c>
      <c r="P74" s="473">
        <f t="shared" ca="1" si="298"/>
        <v>20.512117400765419</v>
      </c>
      <c r="Q74" s="473">
        <f t="shared" ca="1" si="299"/>
        <v>19.483151823282242</v>
      </c>
      <c r="R74" s="473">
        <f t="shared" ca="1" si="300"/>
        <v>18.875544667243958</v>
      </c>
      <c r="S74" s="473">
        <f t="shared" ca="1" si="301"/>
        <v>17.419117286801338</v>
      </c>
      <c r="T74" s="473">
        <f t="shared" ca="1" si="302"/>
        <v>16.759602233767509</v>
      </c>
      <c r="U74" s="474">
        <f t="shared" ca="1" si="303"/>
        <v>14.81159296631813</v>
      </c>
      <c r="V74" s="473">
        <f t="shared" ca="1" si="304"/>
        <v>27.236554794839094</v>
      </c>
      <c r="W74" s="473">
        <f t="shared" ca="1" si="305"/>
        <v>22.559512226882589</v>
      </c>
      <c r="X74" s="473">
        <f t="shared" ca="1" si="306"/>
        <v>22.132226058452943</v>
      </c>
      <c r="Y74" s="473">
        <f t="shared" ca="1" si="307"/>
        <v>19.302905231170939</v>
      </c>
      <c r="Z74" s="473">
        <f t="shared" ca="1" si="308"/>
        <v>18.690847702485826</v>
      </c>
      <c r="AA74" s="473">
        <f t="shared" ca="1" si="309"/>
        <v>15.821105996625306</v>
      </c>
      <c r="AB74" s="473">
        <f t="shared" ca="1" si="310"/>
        <v>15.711398328451651</v>
      </c>
      <c r="AC74" s="474">
        <f t="shared" ca="1" si="311"/>
        <v>14.585442947224465</v>
      </c>
    </row>
    <row r="75" spans="1:29" x14ac:dyDescent="0.25">
      <c r="A75" s="493">
        <v>7</v>
      </c>
      <c r="B75" s="637">
        <f t="shared" ca="1" si="287"/>
        <v>36708</v>
      </c>
      <c r="C75" s="333">
        <f t="shared" ca="1" si="312"/>
        <v>26.752498626708984</v>
      </c>
      <c r="D75" s="333">
        <f t="shared" ca="1" si="313"/>
        <v>24.999998092651367</v>
      </c>
      <c r="E75" s="323">
        <v>7</v>
      </c>
      <c r="F75" s="472">
        <f t="shared" ca="1" si="288"/>
        <v>36.219910116279152</v>
      </c>
      <c r="G75" s="473">
        <f t="shared" ca="1" si="289"/>
        <v>35.509668088142917</v>
      </c>
      <c r="H75" s="473">
        <f t="shared" ca="1" si="290"/>
        <v>35.322375901006581</v>
      </c>
      <c r="I75" s="473">
        <f t="shared" ca="1" si="291"/>
        <v>33.459206439196805</v>
      </c>
      <c r="J75" s="473">
        <f t="shared" ca="1" si="292"/>
        <v>32.121423326202148</v>
      </c>
      <c r="K75" s="473">
        <f t="shared" ca="1" si="293"/>
        <v>31.075520455055994</v>
      </c>
      <c r="L75" s="473">
        <f t="shared" ca="1" si="294"/>
        <v>29.501797916425858</v>
      </c>
      <c r="M75" s="473">
        <f t="shared" ca="1" si="295"/>
        <v>28.195635189541008</v>
      </c>
      <c r="N75" s="473">
        <f t="shared" ca="1" si="296"/>
        <v>25.58573827072064</v>
      </c>
      <c r="O75" s="473">
        <f t="shared" ca="1" si="297"/>
        <v>24.145795637963147</v>
      </c>
      <c r="P75" s="473">
        <f t="shared" ca="1" si="298"/>
        <v>23.583925454846849</v>
      </c>
      <c r="Q75" s="473">
        <f t="shared" ca="1" si="299"/>
        <v>21.830212279660145</v>
      </c>
      <c r="R75" s="473">
        <f t="shared" ca="1" si="300"/>
        <v>20.725930489912571</v>
      </c>
      <c r="S75" s="473">
        <f t="shared" ca="1" si="301"/>
        <v>17.768210918457498</v>
      </c>
      <c r="T75" s="473">
        <f t="shared" ca="1" si="302"/>
        <v>17.310931979199722</v>
      </c>
      <c r="U75" s="474">
        <f t="shared" ca="1" si="303"/>
        <v>15.683700348452248</v>
      </c>
      <c r="V75" s="473">
        <f t="shared" ca="1" si="304"/>
        <v>31.541470266992746</v>
      </c>
      <c r="W75" s="473">
        <f t="shared" ca="1" si="305"/>
        <v>27.878029007680425</v>
      </c>
      <c r="X75" s="473">
        <f t="shared" ca="1" si="306"/>
        <v>25.464723551580391</v>
      </c>
      <c r="Y75" s="473">
        <f t="shared" ca="1" si="307"/>
        <v>25.394062250590196</v>
      </c>
      <c r="Z75" s="473">
        <f t="shared" ca="1" si="308"/>
        <v>24.263505276603155</v>
      </c>
      <c r="AA75" s="473">
        <f t="shared" ca="1" si="309"/>
        <v>22.866613908453701</v>
      </c>
      <c r="AB75" s="473">
        <f t="shared" ca="1" si="310"/>
        <v>21.850199820503121</v>
      </c>
      <c r="AC75" s="474">
        <f t="shared" ca="1" si="311"/>
        <v>20.741383639039213</v>
      </c>
    </row>
    <row r="76" spans="1:29" x14ac:dyDescent="0.25">
      <c r="A76" s="493">
        <v>8</v>
      </c>
      <c r="B76" s="637">
        <f t="shared" ca="1" si="287"/>
        <v>36739</v>
      </c>
      <c r="C76" s="333">
        <f t="shared" ca="1" si="312"/>
        <v>26.75</v>
      </c>
      <c r="D76" s="333">
        <f t="shared" ca="1" si="313"/>
        <v>24.999998092651367</v>
      </c>
      <c r="E76" s="323">
        <v>8</v>
      </c>
      <c r="F76" s="472">
        <f t="shared" ca="1" si="288"/>
        <v>33.7203349173069</v>
      </c>
      <c r="G76" s="473">
        <f t="shared" ca="1" si="289"/>
        <v>33.250541001558304</v>
      </c>
      <c r="H76" s="473">
        <f t="shared" ca="1" si="290"/>
        <v>32.502488166093826</v>
      </c>
      <c r="I76" s="473">
        <f t="shared" ca="1" si="291"/>
        <v>31.852004528045654</v>
      </c>
      <c r="J76" s="473">
        <f t="shared" ca="1" si="292"/>
        <v>30.099311351776123</v>
      </c>
      <c r="K76" s="473">
        <f t="shared" ca="1" si="293"/>
        <v>29.246457010507584</v>
      </c>
      <c r="L76" s="473">
        <f t="shared" ca="1" si="294"/>
        <v>29.015173017978668</v>
      </c>
      <c r="M76" s="473">
        <f t="shared" ca="1" si="295"/>
        <v>28.104495286941528</v>
      </c>
      <c r="N76" s="473">
        <f t="shared" ca="1" si="296"/>
        <v>28.057517170906067</v>
      </c>
      <c r="O76" s="473">
        <f t="shared" ca="1" si="297"/>
        <v>24.859306216239929</v>
      </c>
      <c r="P76" s="473">
        <f t="shared" ca="1" si="298"/>
        <v>24.534064397215843</v>
      </c>
      <c r="Q76" s="473">
        <f t="shared" ca="1" si="299"/>
        <v>23.898037403821945</v>
      </c>
      <c r="R76" s="473">
        <f t="shared" ca="1" si="300"/>
        <v>22.336876034736633</v>
      </c>
      <c r="S76" s="473">
        <f t="shared" ca="1" si="301"/>
        <v>19.384405717253685</v>
      </c>
      <c r="T76" s="473">
        <f t="shared" ca="1" si="302"/>
        <v>19.351881057024002</v>
      </c>
      <c r="U76" s="474">
        <f t="shared" ca="1" si="303"/>
        <v>17.787106722593307</v>
      </c>
      <c r="V76" s="473">
        <f t="shared" ca="1" si="304"/>
        <v>31.590426538243946</v>
      </c>
      <c r="W76" s="473">
        <f t="shared" ca="1" si="305"/>
        <v>27.932191744255533</v>
      </c>
      <c r="X76" s="473">
        <f t="shared" ca="1" si="306"/>
        <v>27.290288512017014</v>
      </c>
      <c r="Y76" s="473">
        <f t="shared" ca="1" si="307"/>
        <v>24.635421840349295</v>
      </c>
      <c r="Z76" s="473">
        <f t="shared" ca="1" si="308"/>
        <v>24.005980448266428</v>
      </c>
      <c r="AA76" s="473">
        <f t="shared" ca="1" si="309"/>
        <v>22.123892407501671</v>
      </c>
      <c r="AB76" s="473">
        <f t="shared" ca="1" si="310"/>
        <v>21.606629928559755</v>
      </c>
      <c r="AC76" s="474">
        <f t="shared" ca="1" si="311"/>
        <v>20.815154812133301</v>
      </c>
    </row>
    <row r="77" spans="1:29" x14ac:dyDescent="0.25">
      <c r="A77" s="493">
        <v>9</v>
      </c>
      <c r="B77" s="637">
        <f t="shared" ca="1" si="287"/>
        <v>36770</v>
      </c>
      <c r="C77" s="333">
        <f t="shared" ca="1" si="312"/>
        <v>23.75</v>
      </c>
      <c r="D77" s="333">
        <f t="shared" ca="1" si="313"/>
        <v>19.499998092651367</v>
      </c>
      <c r="E77" s="323">
        <v>9</v>
      </c>
      <c r="F77" s="472">
        <f t="shared" ca="1" si="288"/>
        <v>28.367969989776611</v>
      </c>
      <c r="G77" s="473">
        <f t="shared" ca="1" si="289"/>
        <v>28.134875595569611</v>
      </c>
      <c r="H77" s="473">
        <f t="shared" ca="1" si="290"/>
        <v>26.945049464702606</v>
      </c>
      <c r="I77" s="473">
        <f t="shared" ca="1" si="291"/>
        <v>26.284035891294479</v>
      </c>
      <c r="J77" s="473">
        <f t="shared" ca="1" si="292"/>
        <v>26.238807141780853</v>
      </c>
      <c r="K77" s="473">
        <f t="shared" ca="1" si="293"/>
        <v>25.824803411960602</v>
      </c>
      <c r="L77" s="473">
        <f t="shared" ca="1" si="294"/>
        <v>25.633458197116852</v>
      </c>
      <c r="M77" s="473">
        <f t="shared" ca="1" si="295"/>
        <v>25.017670542001724</v>
      </c>
      <c r="N77" s="473">
        <f t="shared" ca="1" si="296"/>
        <v>24.238368570804596</v>
      </c>
      <c r="O77" s="473">
        <f t="shared" ca="1" si="297"/>
        <v>24.057459235191345</v>
      </c>
      <c r="P77" s="473">
        <f t="shared" ca="1" si="298"/>
        <v>22.526687607169151</v>
      </c>
      <c r="Q77" s="473">
        <f t="shared" ca="1" si="299"/>
        <v>21.590830460190773</v>
      </c>
      <c r="R77" s="473">
        <f t="shared" ca="1" si="300"/>
        <v>21.52820810675621</v>
      </c>
      <c r="S77" s="473">
        <f t="shared" ca="1" si="301"/>
        <v>18.456228971481323</v>
      </c>
      <c r="T77" s="473">
        <f t="shared" ca="1" si="302"/>
        <v>18.045703396201134</v>
      </c>
      <c r="U77" s="474">
        <f t="shared" ca="1" si="303"/>
        <v>17.109846249222755</v>
      </c>
      <c r="V77" s="473">
        <f t="shared" ca="1" si="304"/>
        <v>27.569771454172951</v>
      </c>
      <c r="W77" s="473">
        <f t="shared" ca="1" si="305"/>
        <v>21.937344431892143</v>
      </c>
      <c r="X77" s="473">
        <f t="shared" ca="1" si="306"/>
        <v>20.27377901853356</v>
      </c>
      <c r="Y77" s="473">
        <f t="shared" ca="1" si="307"/>
        <v>19.434591359337219</v>
      </c>
      <c r="Z77" s="473">
        <f t="shared" ca="1" si="308"/>
        <v>17.51926918330355</v>
      </c>
      <c r="AA77" s="473">
        <f t="shared" ca="1" si="309"/>
        <v>17.050311715602788</v>
      </c>
      <c r="AB77" s="473">
        <f t="shared" ca="1" si="310"/>
        <v>16.225933961440546</v>
      </c>
      <c r="AC77" s="474">
        <f t="shared" ca="1" si="311"/>
        <v>15.9889859415091</v>
      </c>
    </row>
    <row r="78" spans="1:29" x14ac:dyDescent="0.25">
      <c r="A78" s="493">
        <v>10</v>
      </c>
      <c r="B78" s="637">
        <f t="shared" ca="1" si="287"/>
        <v>36800</v>
      </c>
      <c r="C78" s="333">
        <f t="shared" ca="1" si="312"/>
        <v>20.750999450683594</v>
      </c>
      <c r="D78" s="333">
        <f t="shared" ca="1" si="313"/>
        <v>19.499998092651367</v>
      </c>
      <c r="E78" s="323">
        <v>10</v>
      </c>
      <c r="F78" s="472">
        <f t="shared" ca="1" si="288"/>
        <v>25.098332905486131</v>
      </c>
      <c r="G78" s="473">
        <f t="shared" ca="1" si="289"/>
        <v>24.903273300878936</v>
      </c>
      <c r="H78" s="473">
        <f t="shared" ca="1" si="290"/>
        <v>24.002681377282897</v>
      </c>
      <c r="I78" s="473">
        <f t="shared" ca="1" si="291"/>
        <v>23.50258093690627</v>
      </c>
      <c r="J78" s="473">
        <f t="shared" ca="1" si="292"/>
        <v>23.429952755464001</v>
      </c>
      <c r="K78" s="473">
        <f t="shared" ca="1" si="293"/>
        <v>23.297146584582151</v>
      </c>
      <c r="L78" s="473">
        <f t="shared" ca="1" si="294"/>
        <v>22.180743087233168</v>
      </c>
      <c r="M78" s="473">
        <f t="shared" ca="1" si="295"/>
        <v>22.027184947205569</v>
      </c>
      <c r="N78" s="473">
        <f t="shared" ca="1" si="296"/>
        <v>19.659496337339988</v>
      </c>
      <c r="O78" s="473">
        <f t="shared" ca="1" si="297"/>
        <v>18.466315006833156</v>
      </c>
      <c r="P78" s="473">
        <f t="shared" ca="1" si="298"/>
        <v>18.460088673975861</v>
      </c>
      <c r="Q78" s="473">
        <f t="shared" ca="1" si="299"/>
        <v>18.39991068453628</v>
      </c>
      <c r="R78" s="473">
        <f t="shared" ca="1" si="300"/>
        <v>17.95376437445384</v>
      </c>
      <c r="S78" s="473">
        <f t="shared" ca="1" si="301"/>
        <v>17.536669336948307</v>
      </c>
      <c r="T78" s="473">
        <f t="shared" ca="1" si="302"/>
        <v>17.416313358069146</v>
      </c>
      <c r="U78" s="474">
        <f t="shared" ca="1" si="303"/>
        <v>15.687755218607435</v>
      </c>
      <c r="V78" s="473">
        <f t="shared" ca="1" si="304"/>
        <v>26.831998286724001</v>
      </c>
      <c r="W78" s="473">
        <f t="shared" ca="1" si="305"/>
        <v>20.755797144126973</v>
      </c>
      <c r="X78" s="473">
        <f t="shared" ca="1" si="306"/>
        <v>20.484748684406213</v>
      </c>
      <c r="Y78" s="473">
        <f t="shared" ca="1" si="307"/>
        <v>18.515248663186981</v>
      </c>
      <c r="Z78" s="473">
        <f t="shared" ca="1" si="308"/>
        <v>18.066748669862704</v>
      </c>
      <c r="AA78" s="473">
        <f t="shared" ca="1" si="309"/>
        <v>17.573398212289817</v>
      </c>
      <c r="AB78" s="473">
        <f t="shared" ca="1" si="310"/>
        <v>16.890897767639217</v>
      </c>
      <c r="AC78" s="474">
        <f t="shared" ca="1" si="311"/>
        <v>16.881148475265491</v>
      </c>
    </row>
    <row r="79" spans="1:29" x14ac:dyDescent="0.25">
      <c r="A79" s="493">
        <v>11</v>
      </c>
      <c r="B79" s="637">
        <f t="shared" ca="1" si="287"/>
        <v>36831</v>
      </c>
      <c r="C79" s="333">
        <f t="shared" ca="1" si="312"/>
        <v>21.754499435424805</v>
      </c>
      <c r="D79" s="333">
        <f t="shared" ca="1" si="313"/>
        <v>19.499998092651367</v>
      </c>
      <c r="E79" s="323">
        <v>11</v>
      </c>
      <c r="F79" s="472">
        <f t="shared" ca="1" si="288"/>
        <v>26.69059495483657</v>
      </c>
      <c r="G79" s="473">
        <f t="shared" ca="1" si="289"/>
        <v>26.477401789821897</v>
      </c>
      <c r="H79" s="473">
        <f t="shared" ca="1" si="290"/>
        <v>25.598519398528197</v>
      </c>
      <c r="I79" s="473">
        <f t="shared" ca="1" si="291"/>
        <v>24.856692349510922</v>
      </c>
      <c r="J79" s="473">
        <f t="shared" ca="1" si="292"/>
        <v>24.695708273612581</v>
      </c>
      <c r="K79" s="473">
        <f t="shared" ca="1" si="293"/>
        <v>24.219283478726311</v>
      </c>
      <c r="L79" s="473">
        <f t="shared" ca="1" si="294"/>
        <v>23.688473783787458</v>
      </c>
      <c r="M79" s="473">
        <f t="shared" ca="1" si="295"/>
        <v>23.309944921001943</v>
      </c>
      <c r="N79" s="473">
        <f t="shared" ca="1" si="296"/>
        <v>20.392667409774504</v>
      </c>
      <c r="O79" s="473">
        <f t="shared" ca="1" si="297"/>
        <v>19.287539581187048</v>
      </c>
      <c r="P79" s="473">
        <f t="shared" ca="1" si="298"/>
        <v>19.207047543237877</v>
      </c>
      <c r="Q79" s="473">
        <f t="shared" ca="1" si="299"/>
        <v>18.843746763667696</v>
      </c>
      <c r="R79" s="473">
        <f t="shared" ca="1" si="300"/>
        <v>18.691465931514358</v>
      </c>
      <c r="S79" s="473">
        <f t="shared" ca="1" si="301"/>
        <v>18.254200546803759</v>
      </c>
      <c r="T79" s="473">
        <f t="shared" ca="1" si="302"/>
        <v>17.953987911031163</v>
      </c>
      <c r="U79" s="474">
        <f t="shared" ca="1" si="303"/>
        <v>15.891661464137087</v>
      </c>
      <c r="V79" s="473">
        <f t="shared" ca="1" si="304"/>
        <v>29.171998150825402</v>
      </c>
      <c r="W79" s="473">
        <f t="shared" ca="1" si="305"/>
        <v>20.484748684406213</v>
      </c>
      <c r="X79" s="473">
        <f t="shared" ca="1" si="306"/>
        <v>20.365797554206893</v>
      </c>
      <c r="Y79" s="473">
        <f t="shared" ca="1" si="307"/>
        <v>18.125247910976441</v>
      </c>
      <c r="Z79" s="473">
        <f t="shared" ca="1" si="308"/>
        <v>17.676747917652165</v>
      </c>
      <c r="AA79" s="473">
        <f t="shared" ca="1" si="309"/>
        <v>17.183398622369737</v>
      </c>
      <c r="AB79" s="473">
        <f t="shared" ca="1" si="310"/>
        <v>16.500898177719137</v>
      </c>
      <c r="AC79" s="474">
        <f t="shared" ca="1" si="311"/>
        <v>16.49114888534541</v>
      </c>
    </row>
    <row r="80" spans="1:29" ht="13.8" thickBot="1" x14ac:dyDescent="0.3">
      <c r="A80" s="494">
        <v>12</v>
      </c>
      <c r="B80" s="638">
        <f t="shared" ca="1" si="287"/>
        <v>36861</v>
      </c>
      <c r="C80" s="338">
        <f t="shared" ca="1" si="312"/>
        <v>21.75</v>
      </c>
      <c r="D80" s="338">
        <f t="shared" ca="1" si="313"/>
        <v>21.049999237060547</v>
      </c>
      <c r="E80" s="334">
        <v>12</v>
      </c>
      <c r="F80" s="475">
        <f t="shared" ca="1" si="288"/>
        <v>26.962589979171753</v>
      </c>
      <c r="G80" s="476">
        <f t="shared" ca="1" si="289"/>
        <v>26.782950282096863</v>
      </c>
      <c r="H80" s="476">
        <f t="shared" ca="1" si="290"/>
        <v>25.860669851303101</v>
      </c>
      <c r="I80" s="476">
        <f t="shared" ca="1" si="291"/>
        <v>25.3126500248909</v>
      </c>
      <c r="J80" s="476">
        <f t="shared" ca="1" si="292"/>
        <v>25.184324473142624</v>
      </c>
      <c r="K80" s="476">
        <f t="shared" ca="1" si="293"/>
        <v>25.12239021062851</v>
      </c>
      <c r="L80" s="476">
        <f t="shared" ca="1" si="294"/>
        <v>24.636224269866943</v>
      </c>
      <c r="M80" s="476">
        <f t="shared" ca="1" si="295"/>
        <v>23.65312448143959</v>
      </c>
      <c r="N80" s="476">
        <f t="shared" ca="1" si="296"/>
        <v>20.018700510263443</v>
      </c>
      <c r="O80" s="476">
        <f t="shared" ca="1" si="297"/>
        <v>19.131299749016762</v>
      </c>
      <c r="P80" s="476">
        <f t="shared" ca="1" si="298"/>
        <v>19.029074639081955</v>
      </c>
      <c r="Q80" s="476">
        <f t="shared" ca="1" si="299"/>
        <v>18.520124450325966</v>
      </c>
      <c r="R80" s="476">
        <f t="shared" ca="1" si="300"/>
        <v>18.209099695086479</v>
      </c>
      <c r="S80" s="476">
        <f t="shared" ca="1" si="301"/>
        <v>17.293424427509308</v>
      </c>
      <c r="T80" s="476">
        <f t="shared" ca="1" si="302"/>
        <v>16.993275180459023</v>
      </c>
      <c r="U80" s="477">
        <f t="shared" ca="1" si="303"/>
        <v>15.279374688863754</v>
      </c>
      <c r="V80" s="476">
        <f t="shared" ca="1" si="304"/>
        <v>31.490799942684134</v>
      </c>
      <c r="W80" s="476">
        <f t="shared" ca="1" si="305"/>
        <v>22.113024941301319</v>
      </c>
      <c r="X80" s="476">
        <f t="shared" ca="1" si="306"/>
        <v>21.984618713359851</v>
      </c>
      <c r="Y80" s="476">
        <f t="shared" ca="1" si="307"/>
        <v>19.565973949575437</v>
      </c>
      <c r="Z80" s="476">
        <f t="shared" ca="1" si="308"/>
        <v>19.081823926973357</v>
      </c>
      <c r="AA80" s="476">
        <f t="shared" ca="1" si="309"/>
        <v>18.549259654917705</v>
      </c>
      <c r="AB80" s="476">
        <f t="shared" ca="1" si="310"/>
        <v>17.812509129562386</v>
      </c>
      <c r="AC80" s="477">
        <f t="shared" ca="1" si="311"/>
        <v>17.801984892787914</v>
      </c>
    </row>
  </sheetData>
  <pageMargins left="0.75" right="0.75" top="1" bottom="1" header="0.5" footer="0.5"/>
  <pageSetup scale="88" orientation="landscape" horizontalDpi="0" r:id="rId1"/>
  <headerFooter alignWithMargins="0">
    <oddHeader>&amp;A</oddHeader>
    <oddFooter>Page &amp;P</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J500"/>
  <sheetViews>
    <sheetView showGridLines="0" zoomScale="70" workbookViewId="0">
      <pane xSplit="1" ySplit="5" topLeftCell="CY105" activePane="bottomRight" state="frozenSplit"/>
      <selection sqref="A1:IV65536"/>
      <selection pane="topRight" sqref="A1:IV65536"/>
      <selection pane="bottomLeft" sqref="A1:IV65536"/>
      <selection pane="bottomRight" activeCell="DI146" sqref="DI146"/>
    </sheetView>
  </sheetViews>
  <sheetFormatPr defaultRowHeight="13.2" x14ac:dyDescent="0.25"/>
  <cols>
    <col min="1" max="1" width="19" customWidth="1"/>
    <col min="2" max="6" width="5.44140625" customWidth="1"/>
    <col min="7" max="7" width="2.88671875" customWidth="1"/>
    <col min="8" max="106" width="11.88671875" customWidth="1"/>
    <col min="107" max="107" width="0" hidden="1" customWidth="1"/>
    <col min="111" max="111" width="0" hidden="1" customWidth="1"/>
    <col min="112" max="112" width="25.109375" style="1032" customWidth="1"/>
    <col min="113" max="113" width="16.109375" customWidth="1"/>
    <col min="114" max="114" width="25.5546875" customWidth="1"/>
    <col min="115" max="115" width="7.5546875" customWidth="1"/>
  </cols>
  <sheetData>
    <row r="1" spans="1:114" x14ac:dyDescent="0.25">
      <c r="A1" s="1016" t="s">
        <v>363</v>
      </c>
      <c r="B1" s="192" t="s">
        <v>367</v>
      </c>
      <c r="C1" s="298"/>
      <c r="D1" s="298"/>
      <c r="E1" s="298"/>
      <c r="F1" s="242"/>
      <c r="H1" s="192" t="s">
        <v>601</v>
      </c>
      <c r="I1" s="298"/>
      <c r="J1" s="298"/>
      <c r="K1" s="298"/>
      <c r="L1" s="298"/>
      <c r="M1" s="298"/>
      <c r="N1" s="298"/>
      <c r="O1" s="298"/>
      <c r="P1" s="298"/>
      <c r="Q1" s="298"/>
      <c r="R1" s="298"/>
      <c r="S1" s="298"/>
      <c r="T1" s="298"/>
      <c r="U1" s="298"/>
      <c r="V1" s="298"/>
      <c r="W1" s="298"/>
      <c r="X1" s="298"/>
      <c r="Y1" s="298"/>
      <c r="Z1" s="298"/>
      <c r="AA1" s="298"/>
      <c r="AB1" s="298"/>
      <c r="AC1" s="298"/>
      <c r="AD1" s="298"/>
      <c r="AE1" s="242"/>
      <c r="AG1" s="192" t="s">
        <v>574</v>
      </c>
      <c r="AH1" s="298"/>
      <c r="AI1" s="298"/>
      <c r="AJ1" s="298"/>
      <c r="AK1" s="298"/>
      <c r="AL1" s="298"/>
      <c r="AM1" s="298"/>
      <c r="AN1" s="298"/>
      <c r="AO1" s="298"/>
      <c r="AP1" s="298"/>
      <c r="AQ1" s="298"/>
      <c r="AR1" s="298"/>
      <c r="AS1" s="298"/>
      <c r="AT1" s="298"/>
      <c r="AU1" s="298"/>
      <c r="AV1" s="298"/>
      <c r="AW1" s="298"/>
      <c r="AX1" s="298"/>
      <c r="AY1" s="298"/>
      <c r="AZ1" s="298"/>
      <c r="BA1" s="298"/>
      <c r="BB1" s="298"/>
      <c r="BC1" s="298"/>
      <c r="BD1" s="242"/>
      <c r="BF1" s="192" t="s">
        <v>575</v>
      </c>
      <c r="BG1" s="298"/>
      <c r="BH1" s="298"/>
      <c r="BI1" s="298"/>
      <c r="BJ1" s="298"/>
      <c r="BK1" s="298"/>
      <c r="BL1" s="298"/>
      <c r="BM1" s="298"/>
      <c r="BN1" s="298"/>
      <c r="BO1" s="298"/>
      <c r="BP1" s="298"/>
      <c r="BQ1" s="298"/>
      <c r="BR1" s="298"/>
      <c r="BS1" s="298"/>
      <c r="BT1" s="298"/>
      <c r="BU1" s="298"/>
      <c r="BV1" s="298"/>
      <c r="BW1" s="298"/>
      <c r="BX1" s="298"/>
      <c r="BY1" s="298"/>
      <c r="BZ1" s="298"/>
      <c r="CA1" s="298"/>
      <c r="CB1" s="298"/>
      <c r="CC1" s="242"/>
      <c r="CE1" s="192" t="s">
        <v>602</v>
      </c>
      <c r="CF1" s="298"/>
      <c r="CG1" s="298"/>
      <c r="CH1" s="298"/>
      <c r="CI1" s="298"/>
      <c r="CJ1" s="298"/>
      <c r="CK1" s="298"/>
      <c r="CL1" s="298"/>
      <c r="CM1" s="298"/>
      <c r="CN1" s="298"/>
      <c r="CO1" s="298"/>
      <c r="CP1" s="298"/>
      <c r="CQ1" s="298"/>
      <c r="CR1" s="298"/>
      <c r="CS1" s="298"/>
      <c r="CT1" s="298"/>
      <c r="CU1" s="298"/>
      <c r="CV1" s="298"/>
      <c r="CW1" s="298"/>
      <c r="CX1" s="298"/>
      <c r="CY1" s="298"/>
      <c r="CZ1" s="298"/>
      <c r="DA1" s="298"/>
      <c r="DB1" s="242"/>
    </row>
    <row r="2" spans="1:114" x14ac:dyDescent="0.25">
      <c r="A2" s="249"/>
      <c r="B2" s="257" t="s">
        <v>374</v>
      </c>
      <c r="C2" s="258"/>
      <c r="D2" s="258"/>
      <c r="E2" s="258"/>
      <c r="F2" s="259"/>
      <c r="H2" s="257" t="s">
        <v>600</v>
      </c>
      <c r="I2" s="258"/>
      <c r="J2" s="258"/>
      <c r="K2" s="258"/>
      <c r="L2" s="258"/>
      <c r="M2" s="258"/>
      <c r="N2" s="258"/>
      <c r="O2" s="258"/>
      <c r="P2" s="258"/>
      <c r="Q2" s="258"/>
      <c r="R2" s="258"/>
      <c r="S2" s="258"/>
      <c r="T2" s="258"/>
      <c r="U2" s="258"/>
      <c r="V2" s="258"/>
      <c r="W2" s="258"/>
      <c r="X2" s="258"/>
      <c r="Y2" s="258"/>
      <c r="Z2" s="258"/>
      <c r="AA2" s="258"/>
      <c r="AB2" s="258"/>
      <c r="AC2" s="258"/>
      <c r="AD2" s="258"/>
      <c r="AE2" s="259"/>
      <c r="AG2" s="257" t="s">
        <v>573</v>
      </c>
      <c r="AH2" s="258"/>
      <c r="AI2" s="258"/>
      <c r="AJ2" s="258"/>
      <c r="AK2" s="258"/>
      <c r="AL2" s="258"/>
      <c r="AM2" s="258"/>
      <c r="AN2" s="258"/>
      <c r="AO2" s="258"/>
      <c r="AP2" s="258"/>
      <c r="AQ2" s="258"/>
      <c r="AR2" s="258"/>
      <c r="AS2" s="258"/>
      <c r="AT2" s="258"/>
      <c r="AU2" s="258"/>
      <c r="AV2" s="258"/>
      <c r="AW2" s="258"/>
      <c r="AX2" s="258"/>
      <c r="AY2" s="258"/>
      <c r="AZ2" s="258"/>
      <c r="BA2" s="258"/>
      <c r="BB2" s="258"/>
      <c r="BC2" s="258"/>
      <c r="BD2" s="259"/>
      <c r="BF2" s="257" t="s">
        <v>573</v>
      </c>
      <c r="BG2" s="258"/>
      <c r="BH2" s="258"/>
      <c r="BI2" s="258"/>
      <c r="BJ2" s="258"/>
      <c r="BK2" s="258"/>
      <c r="BL2" s="258"/>
      <c r="BM2" s="258"/>
      <c r="BN2" s="258"/>
      <c r="BO2" s="258"/>
      <c r="BP2" s="258"/>
      <c r="BQ2" s="258"/>
      <c r="BR2" s="258"/>
      <c r="BS2" s="258"/>
      <c r="BT2" s="258"/>
      <c r="BU2" s="258"/>
      <c r="BV2" s="258"/>
      <c r="BW2" s="258"/>
      <c r="BX2" s="258"/>
      <c r="BY2" s="258"/>
      <c r="BZ2" s="258"/>
      <c r="CA2" s="258"/>
      <c r="CB2" s="258"/>
      <c r="CC2" s="259"/>
      <c r="CE2" s="257" t="s">
        <v>573</v>
      </c>
      <c r="CF2" s="258"/>
      <c r="CG2" s="258"/>
      <c r="CH2" s="258"/>
      <c r="CI2" s="258"/>
      <c r="CJ2" s="258"/>
      <c r="CK2" s="258"/>
      <c r="CL2" s="258"/>
      <c r="CM2" s="258"/>
      <c r="CN2" s="258"/>
      <c r="CO2" s="258"/>
      <c r="CP2" s="258"/>
      <c r="CQ2" s="258"/>
      <c r="CR2" s="258"/>
      <c r="CS2" s="258"/>
      <c r="CT2" s="258"/>
      <c r="CU2" s="258"/>
      <c r="CV2" s="258"/>
      <c r="CW2" s="258"/>
      <c r="CX2" s="258"/>
      <c r="CY2" s="258"/>
      <c r="CZ2" s="258"/>
      <c r="DA2" s="258"/>
      <c r="DB2" s="259"/>
    </row>
    <row r="3" spans="1:114" x14ac:dyDescent="0.25">
      <c r="A3" s="262" t="s">
        <v>394</v>
      </c>
      <c r="B3" s="269" t="s">
        <v>400</v>
      </c>
      <c r="C3" s="267"/>
      <c r="D3" s="267"/>
      <c r="E3" s="267"/>
      <c r="F3" s="268"/>
      <c r="H3" s="269">
        <v>1</v>
      </c>
      <c r="I3" s="267">
        <v>1</v>
      </c>
      <c r="J3" s="267">
        <v>1</v>
      </c>
      <c r="K3" s="267">
        <v>1</v>
      </c>
      <c r="L3" s="267">
        <v>2</v>
      </c>
      <c r="M3" s="267">
        <v>2</v>
      </c>
      <c r="N3" s="267">
        <v>2</v>
      </c>
      <c r="O3" s="267">
        <v>2</v>
      </c>
      <c r="P3" s="267">
        <v>3</v>
      </c>
      <c r="Q3" s="267">
        <v>3</v>
      </c>
      <c r="R3" s="267">
        <v>3</v>
      </c>
      <c r="S3" s="267">
        <v>3</v>
      </c>
      <c r="T3" s="267">
        <v>4</v>
      </c>
      <c r="U3" s="267">
        <v>4</v>
      </c>
      <c r="V3" s="267">
        <v>4</v>
      </c>
      <c r="W3" s="267">
        <v>4</v>
      </c>
      <c r="X3" s="267">
        <v>5</v>
      </c>
      <c r="Y3" s="267">
        <v>5</v>
      </c>
      <c r="Z3" s="267">
        <v>5</v>
      </c>
      <c r="AA3" s="267">
        <v>5</v>
      </c>
      <c r="AB3" s="267">
        <v>6</v>
      </c>
      <c r="AC3" s="267">
        <v>6</v>
      </c>
      <c r="AD3" s="267">
        <v>6</v>
      </c>
      <c r="AE3" s="268">
        <v>6</v>
      </c>
      <c r="AG3" s="269">
        <v>1</v>
      </c>
      <c r="AH3" s="267">
        <v>1</v>
      </c>
      <c r="AI3" s="267">
        <v>1</v>
      </c>
      <c r="AJ3" s="267">
        <v>1</v>
      </c>
      <c r="AK3" s="267">
        <v>2</v>
      </c>
      <c r="AL3" s="267">
        <v>2</v>
      </c>
      <c r="AM3" s="267">
        <v>2</v>
      </c>
      <c r="AN3" s="267">
        <v>2</v>
      </c>
      <c r="AO3" s="267">
        <v>3</v>
      </c>
      <c r="AP3" s="267">
        <v>3</v>
      </c>
      <c r="AQ3" s="267">
        <v>3</v>
      </c>
      <c r="AR3" s="267">
        <v>3</v>
      </c>
      <c r="AS3" s="267">
        <v>4</v>
      </c>
      <c r="AT3" s="267">
        <v>4</v>
      </c>
      <c r="AU3" s="267">
        <v>4</v>
      </c>
      <c r="AV3" s="267">
        <v>4</v>
      </c>
      <c r="AW3" s="267">
        <v>5</v>
      </c>
      <c r="AX3" s="267">
        <v>5</v>
      </c>
      <c r="AY3" s="267">
        <v>5</v>
      </c>
      <c r="AZ3" s="267">
        <v>5</v>
      </c>
      <c r="BA3" s="267">
        <v>6</v>
      </c>
      <c r="BB3" s="267">
        <v>6</v>
      </c>
      <c r="BC3" s="267">
        <v>6</v>
      </c>
      <c r="BD3" s="268">
        <v>6</v>
      </c>
      <c r="BF3" s="269">
        <v>1</v>
      </c>
      <c r="BG3" s="267">
        <v>1</v>
      </c>
      <c r="BH3" s="267">
        <v>1</v>
      </c>
      <c r="BI3" s="267">
        <v>1</v>
      </c>
      <c r="BJ3" s="267">
        <v>2</v>
      </c>
      <c r="BK3" s="267">
        <v>2</v>
      </c>
      <c r="BL3" s="267">
        <v>2</v>
      </c>
      <c r="BM3" s="267">
        <v>2</v>
      </c>
      <c r="BN3" s="267">
        <v>3</v>
      </c>
      <c r="BO3" s="267">
        <v>3</v>
      </c>
      <c r="BP3" s="267">
        <v>3</v>
      </c>
      <c r="BQ3" s="267">
        <v>3</v>
      </c>
      <c r="BR3" s="267">
        <v>4</v>
      </c>
      <c r="BS3" s="267">
        <v>4</v>
      </c>
      <c r="BT3" s="267">
        <v>4</v>
      </c>
      <c r="BU3" s="267">
        <v>4</v>
      </c>
      <c r="BV3" s="267">
        <v>5</v>
      </c>
      <c r="BW3" s="267">
        <v>5</v>
      </c>
      <c r="BX3" s="267">
        <v>5</v>
      </c>
      <c r="BY3" s="267">
        <v>5</v>
      </c>
      <c r="BZ3" s="267">
        <v>6</v>
      </c>
      <c r="CA3" s="267">
        <v>6</v>
      </c>
      <c r="CB3" s="267">
        <v>6</v>
      </c>
      <c r="CC3" s="268">
        <v>6</v>
      </c>
      <c r="CE3" s="269">
        <v>1</v>
      </c>
      <c r="CF3" s="267">
        <v>1</v>
      </c>
      <c r="CG3" s="267">
        <v>1</v>
      </c>
      <c r="CH3" s="267">
        <v>1</v>
      </c>
      <c r="CI3" s="267">
        <v>2</v>
      </c>
      <c r="CJ3" s="267">
        <v>2</v>
      </c>
      <c r="CK3" s="267">
        <v>2</v>
      </c>
      <c r="CL3" s="267">
        <v>2</v>
      </c>
      <c r="CM3" s="267">
        <v>3</v>
      </c>
      <c r="CN3" s="267">
        <v>3</v>
      </c>
      <c r="CO3" s="267">
        <v>3</v>
      </c>
      <c r="CP3" s="267">
        <v>3</v>
      </c>
      <c r="CQ3" s="267">
        <v>4</v>
      </c>
      <c r="CR3" s="267">
        <v>4</v>
      </c>
      <c r="CS3" s="267">
        <v>4</v>
      </c>
      <c r="CT3" s="267">
        <v>4</v>
      </c>
      <c r="CU3" s="267">
        <v>5</v>
      </c>
      <c r="CV3" s="267">
        <v>5</v>
      </c>
      <c r="CW3" s="267">
        <v>5</v>
      </c>
      <c r="CX3" s="267">
        <v>5</v>
      </c>
      <c r="CY3" s="267">
        <v>6</v>
      </c>
      <c r="CZ3" s="267">
        <v>6</v>
      </c>
      <c r="DA3" s="267">
        <v>6</v>
      </c>
      <c r="DB3" s="268">
        <v>6</v>
      </c>
      <c r="DH3" s="1033" t="s">
        <v>604</v>
      </c>
      <c r="DI3" s="1015" t="s">
        <v>398</v>
      </c>
      <c r="DJ3" s="1015" t="s">
        <v>605</v>
      </c>
    </row>
    <row r="4" spans="1:114" x14ac:dyDescent="0.25">
      <c r="A4" s="262" t="s">
        <v>15</v>
      </c>
      <c r="B4" s="262" t="s">
        <v>420</v>
      </c>
      <c r="C4" s="246" t="s">
        <v>21</v>
      </c>
      <c r="D4" s="246" t="s">
        <v>22</v>
      </c>
      <c r="E4" s="246" t="s">
        <v>23</v>
      </c>
      <c r="F4" s="263" t="s">
        <v>257</v>
      </c>
      <c r="H4" s="262" t="s">
        <v>558</v>
      </c>
      <c r="I4" s="246" t="s">
        <v>558</v>
      </c>
      <c r="J4" s="246" t="s">
        <v>558</v>
      </c>
      <c r="K4" s="246" t="s">
        <v>558</v>
      </c>
      <c r="L4" s="246" t="s">
        <v>559</v>
      </c>
      <c r="M4" s="246" t="s">
        <v>559</v>
      </c>
      <c r="N4" s="246" t="s">
        <v>559</v>
      </c>
      <c r="O4" s="246" t="s">
        <v>559</v>
      </c>
      <c r="P4" s="246" t="s">
        <v>560</v>
      </c>
      <c r="Q4" s="246" t="s">
        <v>560</v>
      </c>
      <c r="R4" s="246" t="s">
        <v>560</v>
      </c>
      <c r="S4" s="246" t="s">
        <v>560</v>
      </c>
      <c r="T4" s="246" t="s">
        <v>561</v>
      </c>
      <c r="U4" s="246" t="s">
        <v>561</v>
      </c>
      <c r="V4" s="246" t="s">
        <v>561</v>
      </c>
      <c r="W4" s="246" t="s">
        <v>561</v>
      </c>
      <c r="X4" s="246" t="s">
        <v>562</v>
      </c>
      <c r="Y4" s="246" t="s">
        <v>562</v>
      </c>
      <c r="Z4" s="246" t="s">
        <v>562</v>
      </c>
      <c r="AA4" s="246" t="s">
        <v>562</v>
      </c>
      <c r="AB4" s="246" t="s">
        <v>563</v>
      </c>
      <c r="AC4" s="246" t="s">
        <v>563</v>
      </c>
      <c r="AD4" s="246" t="s">
        <v>563</v>
      </c>
      <c r="AE4" s="263" t="s">
        <v>563</v>
      </c>
      <c r="AG4" s="262" t="s">
        <v>564</v>
      </c>
      <c r="AH4" s="246" t="s">
        <v>564</v>
      </c>
      <c r="AI4" s="246" t="s">
        <v>564</v>
      </c>
      <c r="AJ4" s="246" t="s">
        <v>564</v>
      </c>
      <c r="AK4" s="246" t="s">
        <v>565</v>
      </c>
      <c r="AL4" s="246" t="s">
        <v>565</v>
      </c>
      <c r="AM4" s="246" t="s">
        <v>565</v>
      </c>
      <c r="AN4" s="246" t="s">
        <v>565</v>
      </c>
      <c r="AO4" s="246" t="s">
        <v>566</v>
      </c>
      <c r="AP4" s="246" t="s">
        <v>566</v>
      </c>
      <c r="AQ4" s="246" t="s">
        <v>566</v>
      </c>
      <c r="AR4" s="246" t="s">
        <v>566</v>
      </c>
      <c r="AS4" s="246" t="s">
        <v>567</v>
      </c>
      <c r="AT4" s="246" t="s">
        <v>567</v>
      </c>
      <c r="AU4" s="246" t="s">
        <v>567</v>
      </c>
      <c r="AV4" s="246" t="s">
        <v>567</v>
      </c>
      <c r="AW4" s="246" t="s">
        <v>568</v>
      </c>
      <c r="AX4" s="246" t="s">
        <v>568</v>
      </c>
      <c r="AY4" s="246" t="s">
        <v>568</v>
      </c>
      <c r="AZ4" s="246" t="s">
        <v>568</v>
      </c>
      <c r="BA4" s="246" t="s">
        <v>569</v>
      </c>
      <c r="BB4" s="246" t="s">
        <v>569</v>
      </c>
      <c r="BC4" s="246" t="s">
        <v>569</v>
      </c>
      <c r="BD4" s="263" t="s">
        <v>569</v>
      </c>
      <c r="BF4" s="262" t="s">
        <v>564</v>
      </c>
      <c r="BG4" s="246" t="s">
        <v>564</v>
      </c>
      <c r="BH4" s="246" t="s">
        <v>564</v>
      </c>
      <c r="BI4" s="246" t="s">
        <v>564</v>
      </c>
      <c r="BJ4" s="246" t="s">
        <v>565</v>
      </c>
      <c r="BK4" s="246" t="s">
        <v>565</v>
      </c>
      <c r="BL4" s="246" t="s">
        <v>565</v>
      </c>
      <c r="BM4" s="246" t="s">
        <v>565</v>
      </c>
      <c r="BN4" s="246" t="s">
        <v>566</v>
      </c>
      <c r="BO4" s="246" t="s">
        <v>566</v>
      </c>
      <c r="BP4" s="246" t="s">
        <v>566</v>
      </c>
      <c r="BQ4" s="246" t="s">
        <v>566</v>
      </c>
      <c r="BR4" s="246" t="s">
        <v>567</v>
      </c>
      <c r="BS4" s="246" t="s">
        <v>567</v>
      </c>
      <c r="BT4" s="246" t="s">
        <v>567</v>
      </c>
      <c r="BU4" s="246" t="s">
        <v>567</v>
      </c>
      <c r="BV4" s="246" t="s">
        <v>568</v>
      </c>
      <c r="BW4" s="246" t="s">
        <v>568</v>
      </c>
      <c r="BX4" s="246" t="s">
        <v>568</v>
      </c>
      <c r="BY4" s="246" t="s">
        <v>568</v>
      </c>
      <c r="BZ4" s="246" t="s">
        <v>569</v>
      </c>
      <c r="CA4" s="246" t="s">
        <v>569</v>
      </c>
      <c r="CB4" s="246" t="s">
        <v>569</v>
      </c>
      <c r="CC4" s="263" t="s">
        <v>569</v>
      </c>
      <c r="CE4" s="262" t="s">
        <v>564</v>
      </c>
      <c r="CF4" s="246" t="s">
        <v>564</v>
      </c>
      <c r="CG4" s="246" t="s">
        <v>564</v>
      </c>
      <c r="CH4" s="246" t="s">
        <v>564</v>
      </c>
      <c r="CI4" s="246" t="s">
        <v>565</v>
      </c>
      <c r="CJ4" s="246" t="s">
        <v>565</v>
      </c>
      <c r="CK4" s="246" t="s">
        <v>565</v>
      </c>
      <c r="CL4" s="246" t="s">
        <v>565</v>
      </c>
      <c r="CM4" s="246" t="s">
        <v>566</v>
      </c>
      <c r="CN4" s="246" t="s">
        <v>566</v>
      </c>
      <c r="CO4" s="246" t="s">
        <v>566</v>
      </c>
      <c r="CP4" s="246" t="s">
        <v>566</v>
      </c>
      <c r="CQ4" s="246" t="s">
        <v>567</v>
      </c>
      <c r="CR4" s="246" t="s">
        <v>567</v>
      </c>
      <c r="CS4" s="246" t="s">
        <v>567</v>
      </c>
      <c r="CT4" s="246" t="s">
        <v>567</v>
      </c>
      <c r="CU4" s="246" t="s">
        <v>568</v>
      </c>
      <c r="CV4" s="246" t="s">
        <v>568</v>
      </c>
      <c r="CW4" s="246" t="s">
        <v>568</v>
      </c>
      <c r="CX4" s="246" t="s">
        <v>568</v>
      </c>
      <c r="CY4" s="246" t="s">
        <v>569</v>
      </c>
      <c r="CZ4" s="246" t="s">
        <v>569</v>
      </c>
      <c r="DA4" s="246" t="s">
        <v>569</v>
      </c>
      <c r="DB4" s="263" t="s">
        <v>569</v>
      </c>
      <c r="DH4" s="1033" t="s">
        <v>603</v>
      </c>
      <c r="DI4" s="1015" t="s">
        <v>418</v>
      </c>
      <c r="DJ4" s="1015" t="s">
        <v>603</v>
      </c>
    </row>
    <row r="5" spans="1:114" ht="13.8" thickBot="1" x14ac:dyDescent="0.3">
      <c r="A5" s="277"/>
      <c r="B5" s="292" t="s">
        <v>426</v>
      </c>
      <c r="C5" s="291" t="s">
        <v>426</v>
      </c>
      <c r="D5" s="291" t="s">
        <v>426</v>
      </c>
      <c r="E5" s="291"/>
      <c r="F5" s="952"/>
      <c r="H5" s="292" t="s">
        <v>576</v>
      </c>
      <c r="I5" s="291" t="s">
        <v>577</v>
      </c>
      <c r="J5" s="291" t="s">
        <v>578</v>
      </c>
      <c r="K5" s="291" t="s">
        <v>579</v>
      </c>
      <c r="L5" s="291" t="s">
        <v>580</v>
      </c>
      <c r="M5" s="291" t="s">
        <v>581</v>
      </c>
      <c r="N5" s="291" t="s">
        <v>582</v>
      </c>
      <c r="O5" s="291" t="s">
        <v>583</v>
      </c>
      <c r="P5" s="291" t="s">
        <v>584</v>
      </c>
      <c r="Q5" s="291" t="s">
        <v>585</v>
      </c>
      <c r="R5" s="291" t="s">
        <v>586</v>
      </c>
      <c r="S5" s="291" t="s">
        <v>587</v>
      </c>
      <c r="T5" s="291" t="s">
        <v>588</v>
      </c>
      <c r="U5" s="291" t="s">
        <v>589</v>
      </c>
      <c r="V5" s="291" t="s">
        <v>590</v>
      </c>
      <c r="W5" s="291" t="s">
        <v>591</v>
      </c>
      <c r="X5" s="291" t="s">
        <v>592</v>
      </c>
      <c r="Y5" s="291" t="s">
        <v>593</v>
      </c>
      <c r="Z5" s="291" t="s">
        <v>594</v>
      </c>
      <c r="AA5" s="291" t="s">
        <v>595</v>
      </c>
      <c r="AB5" s="291" t="s">
        <v>596</v>
      </c>
      <c r="AC5" s="291" t="s">
        <v>597</v>
      </c>
      <c r="AD5" s="291" t="s">
        <v>598</v>
      </c>
      <c r="AE5" s="952" t="s">
        <v>599</v>
      </c>
      <c r="AG5" s="292" t="s">
        <v>576</v>
      </c>
      <c r="AH5" s="291" t="s">
        <v>577</v>
      </c>
      <c r="AI5" s="291" t="s">
        <v>578</v>
      </c>
      <c r="AJ5" s="291" t="s">
        <v>579</v>
      </c>
      <c r="AK5" s="291" t="s">
        <v>580</v>
      </c>
      <c r="AL5" s="291" t="s">
        <v>581</v>
      </c>
      <c r="AM5" s="291" t="s">
        <v>582</v>
      </c>
      <c r="AN5" s="291" t="s">
        <v>583</v>
      </c>
      <c r="AO5" s="291" t="s">
        <v>584</v>
      </c>
      <c r="AP5" s="291" t="s">
        <v>585</v>
      </c>
      <c r="AQ5" s="291" t="s">
        <v>586</v>
      </c>
      <c r="AR5" s="291" t="s">
        <v>587</v>
      </c>
      <c r="AS5" s="291" t="s">
        <v>588</v>
      </c>
      <c r="AT5" s="291" t="s">
        <v>589</v>
      </c>
      <c r="AU5" s="291" t="s">
        <v>590</v>
      </c>
      <c r="AV5" s="291" t="s">
        <v>591</v>
      </c>
      <c r="AW5" s="291" t="s">
        <v>592</v>
      </c>
      <c r="AX5" s="291" t="s">
        <v>593</v>
      </c>
      <c r="AY5" s="291" t="s">
        <v>594</v>
      </c>
      <c r="AZ5" s="291" t="s">
        <v>595</v>
      </c>
      <c r="BA5" s="291" t="s">
        <v>596</v>
      </c>
      <c r="BB5" s="291" t="s">
        <v>597</v>
      </c>
      <c r="BC5" s="291" t="s">
        <v>598</v>
      </c>
      <c r="BD5" s="952" t="s">
        <v>599</v>
      </c>
      <c r="BF5" s="292" t="s">
        <v>576</v>
      </c>
      <c r="BG5" s="291" t="s">
        <v>577</v>
      </c>
      <c r="BH5" s="291" t="s">
        <v>578</v>
      </c>
      <c r="BI5" s="291" t="s">
        <v>579</v>
      </c>
      <c r="BJ5" s="291" t="s">
        <v>580</v>
      </c>
      <c r="BK5" s="291" t="s">
        <v>581</v>
      </c>
      <c r="BL5" s="291" t="s">
        <v>582</v>
      </c>
      <c r="BM5" s="291" t="s">
        <v>583</v>
      </c>
      <c r="BN5" s="291" t="s">
        <v>584</v>
      </c>
      <c r="BO5" s="291" t="s">
        <v>585</v>
      </c>
      <c r="BP5" s="291" t="s">
        <v>586</v>
      </c>
      <c r="BQ5" s="291" t="s">
        <v>587</v>
      </c>
      <c r="BR5" s="291" t="s">
        <v>588</v>
      </c>
      <c r="BS5" s="291" t="s">
        <v>589</v>
      </c>
      <c r="BT5" s="291" t="s">
        <v>590</v>
      </c>
      <c r="BU5" s="291" t="s">
        <v>591</v>
      </c>
      <c r="BV5" s="291" t="s">
        <v>592</v>
      </c>
      <c r="BW5" s="291" t="s">
        <v>593</v>
      </c>
      <c r="BX5" s="291" t="s">
        <v>594</v>
      </c>
      <c r="BY5" s="291" t="s">
        <v>595</v>
      </c>
      <c r="BZ5" s="291" t="s">
        <v>596</v>
      </c>
      <c r="CA5" s="291" t="s">
        <v>597</v>
      </c>
      <c r="CB5" s="291" t="s">
        <v>598</v>
      </c>
      <c r="CC5" s="952" t="s">
        <v>599</v>
      </c>
      <c r="CE5" s="292" t="s">
        <v>576</v>
      </c>
      <c r="CF5" s="291" t="s">
        <v>577</v>
      </c>
      <c r="CG5" s="291" t="s">
        <v>578</v>
      </c>
      <c r="CH5" s="291" t="s">
        <v>579</v>
      </c>
      <c r="CI5" s="291" t="s">
        <v>580</v>
      </c>
      <c r="CJ5" s="291" t="s">
        <v>581</v>
      </c>
      <c r="CK5" s="291" t="s">
        <v>582</v>
      </c>
      <c r="CL5" s="291" t="s">
        <v>583</v>
      </c>
      <c r="CM5" s="291" t="s">
        <v>584</v>
      </c>
      <c r="CN5" s="291" t="s">
        <v>585</v>
      </c>
      <c r="CO5" s="291" t="s">
        <v>586</v>
      </c>
      <c r="CP5" s="291" t="s">
        <v>587</v>
      </c>
      <c r="CQ5" s="291" t="s">
        <v>588</v>
      </c>
      <c r="CR5" s="291" t="s">
        <v>589</v>
      </c>
      <c r="CS5" s="291" t="s">
        <v>590</v>
      </c>
      <c r="CT5" s="291" t="s">
        <v>591</v>
      </c>
      <c r="CU5" s="291" t="s">
        <v>592</v>
      </c>
      <c r="CV5" s="291" t="s">
        <v>593</v>
      </c>
      <c r="CW5" s="291" t="s">
        <v>594</v>
      </c>
      <c r="CX5" s="291" t="s">
        <v>595</v>
      </c>
      <c r="CY5" s="291" t="s">
        <v>596</v>
      </c>
      <c r="CZ5" s="291" t="s">
        <v>597</v>
      </c>
      <c r="DA5" s="291" t="s">
        <v>598</v>
      </c>
      <c r="DB5" s="952" t="s">
        <v>599</v>
      </c>
      <c r="DE5" t="s">
        <v>606</v>
      </c>
    </row>
    <row r="6" spans="1:114" x14ac:dyDescent="0.25">
      <c r="A6" s="244">
        <v>36892</v>
      </c>
      <c r="B6" s="13">
        <v>22</v>
      </c>
      <c r="C6" s="210">
        <v>4</v>
      </c>
      <c r="D6" s="210">
        <v>4</v>
      </c>
      <c r="E6" s="210">
        <v>1</v>
      </c>
      <c r="F6" s="13">
        <v>31</v>
      </c>
      <c r="H6" s="1021">
        <f>(VLOOKUP(YEAR($A6),'NY East Load Projections'!$A$4:$EO$14,((MONTH($A6)-1)*12)+VLOOKUP(H$4,$DE$6:$DF$17,2)+1))*(VLOOKUP($A6,CURVES!$D$9:$K$261,7))*(INDEX(DailyScalarsTable,H$5/100,MONTH($A6)))*$B6</f>
        <v>-2272.3669779496504</v>
      </c>
      <c r="I6" s="1021">
        <f>(VLOOKUP(YEAR($A6),'NY East Load Projections'!$A$4:$EO$14,((MONTH($A6)-1)*12)+VLOOKUP(I$4,$DE$6:$DF$17,2)+1))*(VLOOKUP($A6,CURVES!$D$9:$K$261,7))*(INDEX(DailyScalarsTable,I$5/100,MONTH($A6)))*$B6</f>
        <v>-2228.0949383661541</v>
      </c>
      <c r="J6" s="1021">
        <f>(VLOOKUP(YEAR($A6),'NY East Load Projections'!$A$4:$EO$14,((MONTH($A6)-1)*12)+VLOOKUP(J$4,$DE$6:$DF$17,2)+1))*(VLOOKUP($A6,CURVES!$D$9:$K$261,7))*(INDEX(DailyScalarsTable,J$5/100,MONTH($A6)))*$B6</f>
        <v>-2041.7160725340025</v>
      </c>
      <c r="K6" s="1021">
        <f>(VLOOKUP(YEAR($A6),'NY East Load Projections'!$A$4:$EO$14,((MONTH($A6)-1)*12)+VLOOKUP(K$4,$DE$6:$DF$17,2)+1))*(VLOOKUP($A6,CURVES!$D$9:$K$261,7))*(INDEX(DailyScalarsTable,K$5/100,MONTH($A6)))*$B6</f>
        <v>-2040.4816193464362</v>
      </c>
      <c r="L6" s="1021">
        <f>(VLOOKUP(YEAR($A6),'NY East Load Projections'!$A$4:$EO$14,((MONTH($A6)-1)*12)+VLOOKUP(L$4,$DE$6:$DF$17,2)+1))*(VLOOKUP($A6,CURVES!$D$9:$K$261,7))*(INDEX(DailyScalarsTable,L$5/100,MONTH($A6)))*$B6</f>
        <v>-4160.9026438310157</v>
      </c>
      <c r="M6" s="1021">
        <f>(VLOOKUP(YEAR($A6),'NY East Load Projections'!$A$4:$EO$14,((MONTH($A6)-1)*12)+VLOOKUP(M$4,$DE$6:$DF$17,2)+1))*(VLOOKUP($A6,CURVES!$D$9:$K$261,7))*(INDEX(DailyScalarsTable,M$5/100,MONTH($A6)))*$B6</f>
        <v>-4440.5900158735258</v>
      </c>
      <c r="N6" s="1021">
        <f>(VLOOKUP(YEAR($A6),'NY East Load Projections'!$A$4:$EO$14,((MONTH($A6)-1)*12)+VLOOKUP(N$4,$DE$6:$DF$17,2)+1))*(VLOOKUP($A6,CURVES!$D$9:$K$261,7))*(INDEX(DailyScalarsTable,N$5/100,MONTH($A6)))*$B6</f>
        <v>-8503.6758107828191</v>
      </c>
      <c r="O6" s="1021">
        <f>(VLOOKUP(YEAR($A6),'NY East Load Projections'!$A$4:$EO$14,((MONTH($A6)-1)*12)+VLOOKUP(O$4,$DE$6:$DF$17,2)+1))*(VLOOKUP($A6,CURVES!$D$9:$K$261,3))*(INDEX(DailyScalarsTable,O$5/100,MONTH($A6)))*$B6</f>
        <v>-10135.264935846288</v>
      </c>
      <c r="P6" s="1021">
        <f>(VLOOKUP(YEAR($A6),'NY East Load Projections'!$A$4:$EO$14,((MONTH($A6)-1)*12)+VLOOKUP(P$4,$DE$6:$DF$17,2)+1))*(VLOOKUP($A6,CURVES!$D$9:$K$261,3))*(INDEX(DailyScalarsTable,P$5/100,MONTH($A6)))*$B6</f>
        <v>-10690.155549426765</v>
      </c>
      <c r="Q6" s="1021">
        <f>(VLOOKUP(YEAR($A6),'NY East Load Projections'!$A$4:$EO$14,((MONTH($A6)-1)*12)+VLOOKUP(Q$4,$DE$6:$DF$17,2)+1))*(VLOOKUP($A6,CURVES!$D$9:$K$261,3))*(INDEX(DailyScalarsTable,Q$5/100,MONTH($A6)))*$B6</f>
        <v>-10657.619009862899</v>
      </c>
      <c r="R6" s="1021">
        <f>(VLOOKUP(YEAR($A6),'NY East Load Projections'!$A$4:$EO$14,((MONTH($A6)-1)*12)+VLOOKUP(R$4,$DE$6:$DF$17,2)+1))*(VLOOKUP($A6,CURVES!$D$9:$K$261,3))*(INDEX(DailyScalarsTable,R$5/100,MONTH($A6)))*$B6</f>
        <v>-10471.629579549844</v>
      </c>
      <c r="S6" s="1021">
        <f>(VLOOKUP(YEAR($A6),'NY East Load Projections'!$A$4:$EO$14,((MONTH($A6)-1)*12)+VLOOKUP(S$4,$DE$6:$DF$17,2)+1))*(VLOOKUP($A6,CURVES!$D$9:$K$261,3))*(INDEX(DailyScalarsTable,S$5/100,MONTH($A6)))*$B6</f>
        <v>-7844.2413101822631</v>
      </c>
      <c r="T6" s="1021">
        <f>(VLOOKUP(YEAR($A6),'NY East Load Projections'!$A$4:$EO$14,((MONTH($A6)-1)*12)+VLOOKUP(T$4,$DE$6:$DF$17,2)+1))*(VLOOKUP($A6,CURVES!$D$9:$K$261,3))*(INDEX(DailyScalarsTable,T$5/100,MONTH($A6)))*$B6</f>
        <v>-7540.2100393009141</v>
      </c>
      <c r="U6" s="1021">
        <f>(VLOOKUP(YEAR($A6),'NY East Load Projections'!$A$4:$EO$14,((MONTH($A6)-1)*12)+VLOOKUP(U$4,$DE$6:$DF$17,2)+1))*(VLOOKUP($A6,CURVES!$D$9:$K$261,3))*(INDEX(DailyScalarsTable,U$5/100,MONTH($A6)))*$B6</f>
        <v>-7296.749818097469</v>
      </c>
      <c r="V6" s="1021">
        <f>(VLOOKUP(YEAR($A6),'NY East Load Projections'!$A$4:$EO$14,((MONTH($A6)-1)*12)+VLOOKUP(V$4,$DE$6:$DF$17,2)+1))*(VLOOKUP($A6,CURVES!$D$9:$K$261,3))*(INDEX(DailyScalarsTable,V$5/100,MONTH($A6)))*$B6</f>
        <v>-6925.3847705371409</v>
      </c>
      <c r="W6" s="1021">
        <f>(VLOOKUP(YEAR($A6),'NY East Load Projections'!$A$4:$EO$14,((MONTH($A6)-1)*12)+VLOOKUP(W$4,$DE$6:$DF$17,2)+1))*(VLOOKUP($A6,CURVES!$D$9:$K$261,3))*(INDEX(DailyScalarsTable,W$5/100,MONTH($A6)))*$B6</f>
        <v>-6786.0126149206744</v>
      </c>
      <c r="X6" s="1021">
        <f>(VLOOKUP(YEAR($A6),'NY East Load Projections'!$A$4:$EO$14,((MONTH($A6)-1)*12)+VLOOKUP(X$4,$DE$6:$DF$17,2)+1))*(VLOOKUP($A6,CURVES!$D$9:$K$261,3))*(INDEX(DailyScalarsTable,X$5/100,MONTH($A6)))*$B6</f>
        <v>-6536.5946547509493</v>
      </c>
      <c r="Y6" s="1021">
        <f>(VLOOKUP(YEAR($A6),'NY East Load Projections'!$A$4:$EO$14,((MONTH($A6)-1)*12)+VLOOKUP(Y$4,$DE$6:$DF$17,2)+1))*(VLOOKUP($A6,CURVES!$D$9:$K$261,3))*(INDEX(DailyScalarsTable,Y$5/100,MONTH($A6)))*$B6</f>
        <v>-9095.3874838574284</v>
      </c>
      <c r="Z6" s="1021">
        <f>(VLOOKUP(YEAR($A6),'NY East Load Projections'!$A$4:$EO$14,((MONTH($A6)-1)*12)+VLOOKUP(Z$4,$DE$6:$DF$17,2)+1))*(VLOOKUP($A6,CURVES!$D$9:$K$261,3))*(INDEX(DailyScalarsTable,Z$5/100,MONTH($A6)))*$B6</f>
        <v>-9980.0567506449752</v>
      </c>
      <c r="AA6" s="1021">
        <f>(VLOOKUP(YEAR($A6),'NY East Load Projections'!$A$4:$EO$14,((MONTH($A6)-1)*12)+VLOOKUP(AA$4,$DE$6:$DF$17,2)+1))*(VLOOKUP($A6,CURVES!$D$9:$K$261,3))*(INDEX(DailyScalarsTable,AA$5/100,MONTH($A6)))*$B6</f>
        <v>-9552.6460711998752</v>
      </c>
      <c r="AB6" s="1021">
        <f>(VLOOKUP(YEAR($A6),'NY East Load Projections'!$A$4:$EO$14,((MONTH($A6)-1)*12)+VLOOKUP(AB$4,$DE$6:$DF$17,2)+1))*(VLOOKUP($A6,CURVES!$D$9:$K$261,3))*(INDEX(DailyScalarsTable,AB$5/100,MONTH($A6)))*$B6</f>
        <v>-6639.5426057769637</v>
      </c>
      <c r="AC6" s="1021">
        <f>(VLOOKUP(YEAR($A6),'NY East Load Projections'!$A$4:$EO$14,((MONTH($A6)-1)*12)+VLOOKUP(AC$4,$DE$6:$DF$17,2)+1))*(VLOOKUP($A6,CURVES!$D$9:$K$261,3))*(INDEX(DailyScalarsTable,AC$5/100,MONTH($A6)))*$B6</f>
        <v>-4722.1964794471915</v>
      </c>
      <c r="AD6" s="1021">
        <f>(VLOOKUP(YEAR($A6),'NY East Load Projections'!$A$4:$EO$14,((MONTH($A6)-1)*12)+VLOOKUP(AD$4,$DE$6:$DF$17,2)+1))*(VLOOKUP($A6,CURVES!$D$9:$K$261,3))*(INDEX(DailyScalarsTable,AD$5/100,MONTH($A6)))*$B6</f>
        <v>-3865.7055781232334</v>
      </c>
      <c r="AE6" s="1021">
        <f>(VLOOKUP(YEAR($A6),'NY East Load Projections'!$A$4:$EO$14,((MONTH($A6)-1)*12)+VLOOKUP(AE$4,$DE$6:$DF$17,2)+1))*(VLOOKUP($A6,CURVES!$D$9:$K$261,7))*(INDEX(DailyScalarsTable,AE$5/100,MONTH($A6)))*$B6</f>
        <v>-3338.2528299640426</v>
      </c>
      <c r="AF6" s="1021"/>
      <c r="AG6" s="1021">
        <f>(VLOOKUP(YEAR($A6),'NY East Load Projections'!$A$4:$EO$14,((MONTH($A6)-1)*12)+VLOOKUP(AG$4,$DE$6:$DF$17,2)+1))*(VLOOKUP($A6,CURVES!$D$9:$T$261,7))*(INDEX(DailyScalarsTable,AG$5/100,MONTH($A6)))*$C6</f>
        <v>-1011.7261004814903</v>
      </c>
      <c r="AH6" s="1021">
        <f>(VLOOKUP(YEAR($A6),'NY East Load Projections'!$A$4:$EO$14,((MONTH($A6)-1)*12)+VLOOKUP(AH$4,$DE$6:$DF$17,2)+1))*(VLOOKUP($A6,CURVES!$D$9:$T$261,7))*(INDEX(DailyScalarsTable,AH$5/100,MONTH($A6)))*$C6</f>
        <v>-992.01485735799281</v>
      </c>
      <c r="AI6" s="1021">
        <f>(VLOOKUP(YEAR($A6),'NY East Load Projections'!$A$4:$EO$14,((MONTH($A6)-1)*12)+VLOOKUP(AI$4,$DE$6:$DF$17,2)+1))*(VLOOKUP($A6,CURVES!$D$9:$T$261,7))*(INDEX(DailyScalarsTable,AI$5/100,MONTH($A6)))*$C6</f>
        <v>-909.0333825476755</v>
      </c>
      <c r="AJ6" s="1021">
        <f>(VLOOKUP(YEAR($A6),'NY East Load Projections'!$A$4:$EO$14,((MONTH($A6)-1)*12)+VLOOKUP(AJ$4,$DE$6:$DF$17,2)+1))*(VLOOKUP($A6,CURVES!$D$9:$T$261,7))*(INDEX(DailyScalarsTable,AJ$5/100,MONTH($A6)))*$C6</f>
        <v>-908.48376687300561</v>
      </c>
      <c r="AK6" s="1021">
        <f>(VLOOKUP(YEAR($A6),'NY East Load Projections'!$A$4:$EO$14,((MONTH($A6)-1)*12)+VLOOKUP(AK$4,$DE$6:$DF$17,2)+1))*(VLOOKUP($A6,CURVES!$D$9:$T$261,7))*(INDEX(DailyScalarsTable,AK$5/100,MONTH($A6)))*$C6</f>
        <v>-995.17607149754781</v>
      </c>
      <c r="AL6" s="1021">
        <f>(VLOOKUP(YEAR($A6),'NY East Load Projections'!$A$4:$EO$14,((MONTH($A6)-1)*12)+VLOOKUP(AL$4,$DE$6:$DF$17,2)+1))*(VLOOKUP($A6,CURVES!$D$9:$T$261,7))*(INDEX(DailyScalarsTable,AL$5/100,MONTH($A6)))*$C6</f>
        <v>-1062.0697731729292</v>
      </c>
      <c r="AM6" s="1021">
        <f>(VLOOKUP(YEAR($A6),'NY East Load Projections'!$A$4:$EO$14,((MONTH($A6)-1)*12)+VLOOKUP(AM$4,$DE$6:$DF$17,2)+1))*(VLOOKUP($A6,CURVES!$D$9:$T$261,7))*(INDEX(DailyScalarsTable,AM$5/100,MONTH($A6)))*$C6</f>
        <v>-2033.8506836275931</v>
      </c>
      <c r="AN6" s="1021">
        <f>(VLOOKUP(YEAR($A6),'NY East Load Projections'!$A$4:$EO$14,((MONTH($A6)-1)*12)+VLOOKUP(AN$4,$DE$6:$DF$17,2)+1))*(VLOOKUP($A6,SatSunCurve,3))*(INDEX(DailyScalarsTable,AN$5/100,MONTH($A6)))*$C6</f>
        <v>-1858.3827109164072</v>
      </c>
      <c r="AO6" s="1021">
        <f>(VLOOKUP(YEAR($A6),'NY East Load Projections'!$A$4:$EO$14,((MONTH($A6)-1)*12)+VLOOKUP(AO$4,$DE$6:$DF$17,2)+1))*(VLOOKUP($A6,SatSunCurve,3))*(INDEX(DailyScalarsTable,AO$5/100,MONTH($A6)))*$C6</f>
        <v>-2321.1133375310424</v>
      </c>
      <c r="AP6" s="1021">
        <f>(VLOOKUP(YEAR($A6),'NY East Load Projections'!$A$4:$EO$14,((MONTH($A6)-1)*12)+VLOOKUP(AP$4,$DE$6:$DF$17,2)+1))*(VLOOKUP($A6,SatSunCurve,3))*(INDEX(DailyScalarsTable,AP$5/100,MONTH($A6)))*$C6</f>
        <v>-2314.0488008561906</v>
      </c>
      <c r="AQ6" s="1021">
        <f>(VLOOKUP(YEAR($A6),'NY East Load Projections'!$A$4:$EO$14,((MONTH($A6)-1)*12)+VLOOKUP(AQ$4,$DE$6:$DF$17,2)+1))*(VLOOKUP($A6,SatSunCurve,3))*(INDEX(DailyScalarsTable,AQ$5/100,MONTH($A6)))*$C6</f>
        <v>-2273.6656141622811</v>
      </c>
      <c r="AR6" s="1021">
        <f>(VLOOKUP(YEAR($A6),'NY East Load Projections'!$A$4:$EO$14,((MONTH($A6)-1)*12)+VLOOKUP(AR$4,$DE$6:$DF$17,2)+1))*(VLOOKUP($A6,SatSunCurve,3))*(INDEX(DailyScalarsTable,AR$5/100,MONTH($A6)))*$C6</f>
        <v>-1703.1906639424303</v>
      </c>
      <c r="AS6" s="1021">
        <f>(VLOOKUP(YEAR($A6),'NY East Load Projections'!$A$4:$EO$14,((MONTH($A6)-1)*12)+VLOOKUP(AS$4,$DE$6:$DF$17,2)+1))*(VLOOKUP($A6,SatSunCurve,3))*(INDEX(DailyScalarsTable,AS$5/100,MONTH($A6)))*$C6</f>
        <v>-1414.9609077488622</v>
      </c>
      <c r="AT6" s="1021">
        <f>(VLOOKUP(YEAR($A6),'NY East Load Projections'!$A$4:$EO$14,((MONTH($A6)-1)*12)+VLOOKUP(AT$4,$DE$6:$DF$17,2)+1))*(VLOOKUP($A6,SatSunCurve,3))*(INDEX(DailyScalarsTable,AT$5/100,MONTH($A6)))*$C6</f>
        <v>-1369.2742897635223</v>
      </c>
      <c r="AU6" s="1021">
        <f>(VLOOKUP(YEAR($A6),'NY East Load Projections'!$A$4:$EO$14,((MONTH($A6)-1)*12)+VLOOKUP(AU$4,$DE$6:$DF$17,2)+1))*(VLOOKUP($A6,SatSunCurve,3))*(INDEX(DailyScalarsTable,AU$5/100,MONTH($A6)))*$C6</f>
        <v>-1299.5856442134204</v>
      </c>
      <c r="AV6" s="1021">
        <f>(VLOOKUP(YEAR($A6),'NY East Load Projections'!$A$4:$EO$14,((MONTH($A6)-1)*12)+VLOOKUP(AV$4,$DE$6:$DF$17,2)+1))*(VLOOKUP($A6,SatSunCurve,3))*(INDEX(DailyScalarsTable,AV$5/100,MONTH($A6)))*$C6</f>
        <v>-1273.4317107290592</v>
      </c>
      <c r="AW6" s="1021">
        <f>(VLOOKUP(YEAR($A6),'NY East Load Projections'!$A$4:$EO$14,((MONTH($A6)-1)*12)+VLOOKUP(AW$4,$DE$6:$DF$17,2)+1))*(VLOOKUP($A6,SatSunCurve,3))*(INDEX(DailyScalarsTable,AW$5/100,MONTH($A6)))*$C6</f>
        <v>-1291.2085797609927</v>
      </c>
      <c r="AX6" s="1021">
        <f>(VLOOKUP(YEAR($A6),'NY East Load Projections'!$A$4:$EO$14,((MONTH($A6)-1)*12)+VLOOKUP(AX$4,$DE$6:$DF$17,2)+1))*(VLOOKUP($A6,SatSunCurve,3))*(INDEX(DailyScalarsTable,AX$5/100,MONTH($A6)))*$C6</f>
        <v>-1796.6606429957556</v>
      </c>
      <c r="AY6" s="1021">
        <f>(VLOOKUP(YEAR($A6),'NY East Load Projections'!$A$4:$EO$14,((MONTH($A6)-1)*12)+VLOOKUP(AY$4,$DE$6:$DF$17,2)+1))*(VLOOKUP($A6,SatSunCurve,3))*(INDEX(DailyScalarsTable,AY$5/100,MONTH($A6)))*$C6</f>
        <v>-1971.4141052892605</v>
      </c>
      <c r="AZ6" s="1021">
        <f>(VLOOKUP(YEAR($A6),'NY East Load Projections'!$A$4:$EO$14,((MONTH($A6)-1)*12)+VLOOKUP(AZ$4,$DE$6:$DF$17,2)+1))*(VLOOKUP($A6,SatSunCurve,3))*(INDEX(DailyScalarsTable,AZ$5/100,MONTH($A6)))*$C6</f>
        <v>-1886.9853827617176</v>
      </c>
      <c r="BA6" s="1021">
        <f>(VLOOKUP(YEAR($A6),'NY East Load Projections'!$A$4:$EO$14,((MONTH($A6)-1)*12)+VLOOKUP(BA$4,$DE$6:$DF$17,2)+1))*(VLOOKUP($A6,SatSunCurve,3))*(INDEX(DailyScalarsTable,BA$5/100,MONTH($A6)))*$C6</f>
        <v>-1806.0003908950355</v>
      </c>
      <c r="BB6" s="1021">
        <f>(VLOOKUP(YEAR($A6),'NY East Load Projections'!$A$4:$EO$14,((MONTH($A6)-1)*12)+VLOOKUP(BB$4,$DE$6:$DF$17,2)+1))*(VLOOKUP($A6,SatSunCurve,3))*(INDEX(DailyScalarsTable,BB$5/100,MONTH($A6)))*$C6</f>
        <v>-1284.4693067176731</v>
      </c>
      <c r="BC6" s="1021">
        <f>(VLOOKUP(YEAR($A6),'NY East Load Projections'!$A$4:$EO$14,((MONTH($A6)-1)*12)+VLOOKUP(BC$4,$DE$6:$DF$17,2)+1))*(VLOOKUP($A6,SatSunCurve,3))*(INDEX(DailyScalarsTable,BC$5/100,MONTH($A6)))*$C6</f>
        <v>-1051.4980021517165</v>
      </c>
      <c r="BD6" s="1021">
        <f>(VLOOKUP(YEAR($A6),'NY East Load Projections'!$A$4:$EO$14,((MONTH($A6)-1)*12)+VLOOKUP(BD$4,$DE$6:$DF$17,2)+1))*(VLOOKUP($A6,CURVES!$D$9:$T$261,7))*(INDEX(DailyScalarsTable,BD$5/100,MONTH($A6)))*$C6</f>
        <v>-1184.434976403807</v>
      </c>
      <c r="BE6" s="1021"/>
      <c r="BF6" s="1021">
        <f>(VLOOKUP(YEAR($A6),'NY East Load Projections'!$A$4:$EO$14,((MONTH($A6)-1)*12)+VLOOKUP(BF$4,$DE$6:$DF$17,2)+1))*(VLOOKUP($A6,CURVES!$D$9:$T$261,7))*(INDEX(DailyScalarsTable,BF$5/100,MONTH($A6)))*$D6</f>
        <v>-1011.7261004814903</v>
      </c>
      <c r="BG6" s="1021">
        <f>(VLOOKUP(YEAR($A6),'NY East Load Projections'!$A$4:$EO$14,((MONTH($A6)-1)*12)+VLOOKUP(BG$4,$DE$6:$DF$17,2)+1))*(VLOOKUP($A6,CURVES!$D$9:$T$261,7))*(INDEX(DailyScalarsTable,BG$5/100,MONTH($A6)))*$D6</f>
        <v>-992.01485735799281</v>
      </c>
      <c r="BH6" s="1021">
        <f>(VLOOKUP(YEAR($A6),'NY East Load Projections'!$A$4:$EO$14,((MONTH($A6)-1)*12)+VLOOKUP(BH$4,$DE$6:$DF$17,2)+1))*(VLOOKUP($A6,CURVES!$D$9:$T$261,7))*(INDEX(DailyScalarsTable,BH$5/100,MONTH($A6)))*$D6</f>
        <v>-909.0333825476755</v>
      </c>
      <c r="BI6" s="1021">
        <f>(VLOOKUP(YEAR($A6),'NY East Load Projections'!$A$4:$EO$14,((MONTH($A6)-1)*12)+VLOOKUP(BI$4,$DE$6:$DF$17,2)+1))*(VLOOKUP($A6,CURVES!$D$9:$T$261,7))*(INDEX(DailyScalarsTable,BI$5/100,MONTH($A6)))*$D6</f>
        <v>-908.48376687300561</v>
      </c>
      <c r="BJ6" s="1021">
        <f>(VLOOKUP(YEAR($A6),'NY East Load Projections'!$A$4:$EO$14,((MONTH($A6)-1)*12)+VLOOKUP(BJ$4,$DE$6:$DF$17,2)+1))*(VLOOKUP($A6,CURVES!$D$9:$T$261,7))*(INDEX(DailyScalarsTable,BJ$5/100,MONTH($A6)))*$D6</f>
        <v>-995.17607149754781</v>
      </c>
      <c r="BK6" s="1021">
        <f>(VLOOKUP(YEAR($A6),'NY East Load Projections'!$A$4:$EO$14,((MONTH($A6)-1)*12)+VLOOKUP(BK$4,$DE$6:$DF$17,2)+1))*(VLOOKUP($A6,CURVES!$D$9:$T$261,7))*(INDEX(DailyScalarsTable,BK$5/100,MONTH($A6)))*$D6</f>
        <v>-1062.0697731729292</v>
      </c>
      <c r="BL6" s="1021">
        <f>(VLOOKUP(YEAR($A6),'NY East Load Projections'!$A$4:$EO$14,((MONTH($A6)-1)*12)+VLOOKUP(BL$4,$DE$6:$DF$17,2)+1))*(VLOOKUP($A6,CURVES!$D$9:$T$261,7))*(INDEX(DailyScalarsTable,BL$5/100,MONTH($A6)))*$D6</f>
        <v>-2033.8506836275931</v>
      </c>
      <c r="BM6" s="1021">
        <f>(VLOOKUP(YEAR($A6),'NY East Load Projections'!$A$4:$EO$14,((MONTH($A6)-1)*12)+VLOOKUP(BM$4,$DE$6:$DF$17,2)+1))*(VLOOKUP($A6,SatSunCurve,7))*(INDEX(DailyScalarsTable,BM$5/100,MONTH($A6)))*$D6</f>
        <v>-1761.6619147684348</v>
      </c>
      <c r="BN6" s="1021">
        <f>(VLOOKUP(YEAR($A6),'NY East Load Projections'!$A$4:$EO$14,((MONTH($A6)-1)*12)+VLOOKUP(BN$4,$DE$6:$DF$17,2)+1))*(VLOOKUP($A6,SatSunCurve,7))*(INDEX(DailyScalarsTable,BN$5/100,MONTH($A6)))*$D6</f>
        <v>-2200.3094102038372</v>
      </c>
      <c r="BO6" s="1021">
        <f>(VLOOKUP(YEAR($A6),'NY East Load Projections'!$A$4:$EO$14,((MONTH($A6)-1)*12)+VLOOKUP(BO$4,$DE$6:$DF$17,2)+1))*(VLOOKUP($A6,SatSunCurve,7))*(INDEX(DailyScalarsTable,BO$5/100,MONTH($A6)))*$D6</f>
        <v>-2193.6125521602999</v>
      </c>
      <c r="BP6" s="1021">
        <f>(VLOOKUP(YEAR($A6),'NY East Load Projections'!$A$4:$EO$14,((MONTH($A6)-1)*12)+VLOOKUP(BP$4,$DE$6:$DF$17,2)+1))*(VLOOKUP($A6,SatSunCurve,7))*(INDEX(DailyScalarsTable,BP$5/100,MONTH($A6)))*$D6</f>
        <v>-2155.3311359709714</v>
      </c>
      <c r="BQ6" s="1021">
        <f>(VLOOKUP(YEAR($A6),'NY East Load Projections'!$A$4:$EO$14,((MONTH($A6)-1)*12)+VLOOKUP(BQ$4,$DE$6:$DF$17,2)+1))*(VLOOKUP($A6,SatSunCurve,7))*(INDEX(DailyScalarsTable,BQ$5/100,MONTH($A6)))*$D6</f>
        <v>-1614.5469437653996</v>
      </c>
      <c r="BR6" s="1021">
        <f>(VLOOKUP(YEAR($A6),'NY East Load Projections'!$A$4:$EO$14,((MONTH($A6)-1)*12)+VLOOKUP(BR$4,$DE$6:$DF$17,2)+1))*(VLOOKUP($A6,SatSunCurve,7))*(INDEX(DailyScalarsTable,BR$5/100,MONTH($A6)))*$D6</f>
        <v>-1341.3183018895766</v>
      </c>
      <c r="BS6" s="1021">
        <f>(VLOOKUP(YEAR($A6),'NY East Load Projections'!$A$4:$EO$14,((MONTH($A6)-1)*12)+VLOOKUP(BS$4,$DE$6:$DF$17,2)+1))*(VLOOKUP($A6,SatSunCurve,7))*(INDEX(DailyScalarsTable,BS$5/100,MONTH($A6)))*$D6</f>
        <v>-1298.009475108865</v>
      </c>
      <c r="BT6" s="1021">
        <f>(VLOOKUP(YEAR($A6),'NY East Load Projections'!$A$4:$EO$14,((MONTH($A6)-1)*12)+VLOOKUP(BT$4,$DE$6:$DF$17,2)+1))*(VLOOKUP($A6,SatSunCurve,7))*(INDEX(DailyScalarsTable,BT$5/100,MONTH($A6)))*$D6</f>
        <v>-1231.9478226643737</v>
      </c>
      <c r="BU6" s="1021">
        <f>(VLOOKUP(YEAR($A6),'NY East Load Projections'!$A$4:$EO$14,((MONTH($A6)-1)*12)+VLOOKUP(BU$4,$DE$6:$DF$17,2)+1))*(VLOOKUP($A6,SatSunCurve,7))*(INDEX(DailyScalarsTable,BU$5/100,MONTH($A6)))*$D6</f>
        <v>-1207.1550884928067</v>
      </c>
      <c r="BV6" s="1021">
        <f>(VLOOKUP(YEAR($A6),'NY East Load Projections'!$A$4:$EO$14,((MONTH($A6)-1)*12)+VLOOKUP(BV$4,$DE$6:$DF$17,2)+1))*(VLOOKUP($A6,SatSunCurve,7))*(INDEX(DailyScalarsTable,BV$5/100,MONTH($A6)))*$D6</f>
        <v>-1224.0067482469703</v>
      </c>
      <c r="BW6" s="1021">
        <f>(VLOOKUP(YEAR($A6),'NY East Load Projections'!$A$4:$EO$14,((MONTH($A6)-1)*12)+VLOOKUP(BW$4,$DE$6:$DF$17,2)+1))*(VLOOKUP($A6,SatSunCurve,7))*(INDEX(DailyScalarsTable,BW$5/100,MONTH($A6)))*$D6</f>
        <v>-1703.1522139851422</v>
      </c>
      <c r="BX6" s="1021">
        <f>(VLOOKUP(YEAR($A6),'NY East Load Projections'!$A$4:$EO$14,((MONTH($A6)-1)*12)+VLOOKUP(BX$4,$DE$6:$DF$17,2)+1))*(VLOOKUP($A6,SatSunCurve,7))*(INDEX(DailyScalarsTable,BX$5/100,MONTH($A6)))*$D6</f>
        <v>-1868.8105131008174</v>
      </c>
      <c r="BY6" s="1021">
        <f>(VLOOKUP(YEAR($A6),'NY East Load Projections'!$A$4:$EO$14,((MONTH($A6)-1)*12)+VLOOKUP(BY$4,$DE$6:$DF$17,2)+1))*(VLOOKUP($A6,SatSunCurve,7))*(INDEX(DailyScalarsTable,BY$5/100,MONTH($A6)))*$D6</f>
        <v>-1788.775941042202</v>
      </c>
      <c r="BZ6" s="1021">
        <f>(VLOOKUP(YEAR($A6),'NY East Load Projections'!$A$4:$EO$14,((MONTH($A6)-1)*12)+VLOOKUP(BZ$4,$DE$6:$DF$17,2)+1))*(VLOOKUP($A6,SatSunCurve,7))*(INDEX(DailyScalarsTable,BZ$5/100,MONTH($A6)))*$D6</f>
        <v>-1712.0058683325753</v>
      </c>
      <c r="CA6" s="1021">
        <f>(VLOOKUP(YEAR($A6),'NY East Load Projections'!$A$4:$EO$14,((MONTH($A6)-1)*12)+VLOOKUP(CA$4,$DE$6:$DF$17,2)+1))*(VLOOKUP($A6,SatSunCurve,7))*(INDEX(DailyScalarsTable,CA$5/100,MONTH($A6)))*$D6</f>
        <v>-1217.6182252673377</v>
      </c>
      <c r="CB6" s="1021">
        <f>(VLOOKUP(YEAR($A6),'NY East Load Projections'!$A$4:$EO$14,((MONTH($A6)-1)*12)+VLOOKUP(CB$4,$DE$6:$DF$17,2)+1))*(VLOOKUP($A6,SatSunCurve,7))*(INDEX(DailyScalarsTable,CB$5/100,MONTH($A6)))*$D6</f>
        <v>-996.77207120180719</v>
      </c>
      <c r="CC6" s="1021">
        <f>(VLOOKUP(YEAR($A6),'NY East Load Projections'!$A$4:$EO$14,((MONTH($A6)-1)*12)+VLOOKUP(CC$4,$DE$6:$DF$17,2)+1))*(VLOOKUP($A6,CURVES!$D$9:$T$261,7))*(INDEX(DailyScalarsTable,CC$5/100,MONTH($A6)))*$D6</f>
        <v>-1184.434976403807</v>
      </c>
      <c r="CE6" s="1021">
        <f>(VLOOKUP(YEAR($A6),'NY East Load Projections'!$A$4:$EO$14,((MONTH($A6)-1)*12)+VLOOKUP(CE$4,$DE$6:$DF$17,2)+1))*(VLOOKUP($A6,CURVES!$D$9:$T$261,7))*(INDEX(DailyScalarsTable,CE$5/100,MONTH($A6)))*$E6</f>
        <v>-252.93152512037258</v>
      </c>
      <c r="CF6" s="1021">
        <f>(VLOOKUP(YEAR($A6),'NY East Load Projections'!$A$4:$EO$14,((MONTH($A6)-1)*12)+VLOOKUP(CF$4,$DE$6:$DF$17,2)+1))*(VLOOKUP($A6,CURVES!$D$9:$T$261,7))*(INDEX(DailyScalarsTable,CF$5/100,MONTH($A6)))*$E6</f>
        <v>-248.0037143394982</v>
      </c>
      <c r="CG6" s="1021">
        <f>(VLOOKUP(YEAR($A6),'NY East Load Projections'!$A$4:$EO$14,((MONTH($A6)-1)*12)+VLOOKUP(CG$4,$DE$6:$DF$17,2)+1))*(VLOOKUP($A6,CURVES!$D$9:$T$261,7))*(INDEX(DailyScalarsTable,CG$5/100,MONTH($A6)))*$E6</f>
        <v>-227.25834563691888</v>
      </c>
      <c r="CH6" s="1021">
        <f>(VLOOKUP(YEAR($A6),'NY East Load Projections'!$A$4:$EO$14,((MONTH($A6)-1)*12)+VLOOKUP(CH$4,$DE$6:$DF$17,2)+1))*(VLOOKUP($A6,CURVES!$D$9:$T$261,7))*(INDEX(DailyScalarsTable,CH$5/100,MONTH($A6)))*$E6</f>
        <v>-227.1209417182514</v>
      </c>
      <c r="CI6" s="1021">
        <f>(VLOOKUP(YEAR($A6),'NY East Load Projections'!$A$4:$EO$14,((MONTH($A6)-1)*12)+VLOOKUP(CI$4,$DE$6:$DF$17,2)+1))*(VLOOKUP($A6,CURVES!$D$9:$T$261,7))*(INDEX(DailyScalarsTable,CI$5/100,MONTH($A6)))*$E6</f>
        <v>-248.79401787438695</v>
      </c>
      <c r="CJ6" s="1021">
        <f>(VLOOKUP(YEAR($A6),'NY East Load Projections'!$A$4:$EO$14,((MONTH($A6)-1)*12)+VLOOKUP(CJ$4,$DE$6:$DF$17,2)+1))*(VLOOKUP($A6,CURVES!$D$9:$T$261,7))*(INDEX(DailyScalarsTable,CJ$5/100,MONTH($A6)))*$E6</f>
        <v>-265.5174432932323</v>
      </c>
      <c r="CK6" s="1021">
        <f>(VLOOKUP(YEAR($A6),'NY East Load Projections'!$A$4:$EO$14,((MONTH($A6)-1)*12)+VLOOKUP(CK$4,$DE$6:$DF$17,2)+1))*(VLOOKUP($A6,CURVES!$D$9:$T$261,7))*(INDEX(DailyScalarsTable,CK$5/100,MONTH($A6)))*$E6</f>
        <v>-508.46267090689827</v>
      </c>
      <c r="CL6" s="1021">
        <f>(VLOOKUP(YEAR($A6),'NY East Load Projections'!$A$4:$EO$14,((MONTH($A6)-1)*12)+VLOOKUP(CL$4,$DE$6:$DF$17,2)+1))*(VLOOKUP($A6,SatSunCurve,7))*(INDEX(DailyScalarsTable,CL$5/100,MONTH($A6)))*$E6</f>
        <v>-440.41547869210871</v>
      </c>
      <c r="CM6" s="1021">
        <f>(VLOOKUP(YEAR($A6),'NY East Load Projections'!$A$4:$EO$14,((MONTH($A6)-1)*12)+VLOOKUP(CM$4,$DE$6:$DF$17,2)+1))*(VLOOKUP($A6,SatSunCurve,7))*(INDEX(DailyScalarsTable,CM$5/100,MONTH($A6)))*$E6</f>
        <v>-550.07735255095929</v>
      </c>
      <c r="CN6" s="1021">
        <f>(VLOOKUP(YEAR($A6),'NY East Load Projections'!$A$4:$EO$14,((MONTH($A6)-1)*12)+VLOOKUP(CN$4,$DE$6:$DF$17,2)+1))*(VLOOKUP($A6,SatSunCurve,7))*(INDEX(DailyScalarsTable,CN$5/100,MONTH($A6)))*$E6</f>
        <v>-548.40313804007496</v>
      </c>
      <c r="CO6" s="1021">
        <f>(VLOOKUP(YEAR($A6),'NY East Load Projections'!$A$4:$EO$14,((MONTH($A6)-1)*12)+VLOOKUP(CO$4,$DE$6:$DF$17,2)+1))*(VLOOKUP($A6,SatSunCurve,7))*(INDEX(DailyScalarsTable,CO$5/100,MONTH($A6)))*$E6</f>
        <v>-538.83278399274286</v>
      </c>
      <c r="CP6" s="1021">
        <f>(VLOOKUP(YEAR($A6),'NY East Load Projections'!$A$4:$EO$14,((MONTH($A6)-1)*12)+VLOOKUP(CP$4,$DE$6:$DF$17,2)+1))*(VLOOKUP($A6,SatSunCurve,7))*(INDEX(DailyScalarsTable,CP$5/100,MONTH($A6)))*$E6</f>
        <v>-403.63673594134991</v>
      </c>
      <c r="CQ6" s="1021">
        <f>(VLOOKUP(YEAR($A6),'NY East Load Projections'!$A$4:$EO$14,((MONTH($A6)-1)*12)+VLOOKUP(CQ$4,$DE$6:$DF$17,2)+1))*(VLOOKUP($A6,SatSunCurve,7))*(INDEX(DailyScalarsTable,CQ$5/100,MONTH($A6)))*$E6</f>
        <v>-335.32957547239414</v>
      </c>
      <c r="CR6" s="1021">
        <f>(VLOOKUP(YEAR($A6),'NY East Load Projections'!$A$4:$EO$14,((MONTH($A6)-1)*12)+VLOOKUP(CR$4,$DE$6:$DF$17,2)+1))*(VLOOKUP($A6,SatSunCurve,7))*(INDEX(DailyScalarsTable,CR$5/100,MONTH($A6)))*$E6</f>
        <v>-324.50236877721625</v>
      </c>
      <c r="CS6" s="1021">
        <f>(VLOOKUP(YEAR($A6),'NY East Load Projections'!$A$4:$EO$14,((MONTH($A6)-1)*12)+VLOOKUP(CS$4,$DE$6:$DF$17,2)+1))*(VLOOKUP($A6,SatSunCurve,7))*(INDEX(DailyScalarsTable,CS$5/100,MONTH($A6)))*$E6</f>
        <v>-307.98695566609342</v>
      </c>
      <c r="CT6" s="1021">
        <f>(VLOOKUP(YEAR($A6),'NY East Load Projections'!$A$4:$EO$14,((MONTH($A6)-1)*12)+VLOOKUP(CT$4,$DE$6:$DF$17,2)+1))*(VLOOKUP($A6,SatSunCurve,7))*(INDEX(DailyScalarsTable,CT$5/100,MONTH($A6)))*$E6</f>
        <v>-301.78877212320168</v>
      </c>
      <c r="CU6" s="1021">
        <f>(VLOOKUP(YEAR($A6),'NY East Load Projections'!$A$4:$EO$14,((MONTH($A6)-1)*12)+VLOOKUP(CU$4,$DE$6:$DF$17,2)+1))*(VLOOKUP($A6,SatSunCurve,7))*(INDEX(DailyScalarsTable,CU$5/100,MONTH($A6)))*$E6</f>
        <v>-306.00168706174259</v>
      </c>
      <c r="CV6" s="1021">
        <f>(VLOOKUP(YEAR($A6),'NY East Load Projections'!$A$4:$EO$14,((MONTH($A6)-1)*12)+VLOOKUP(CV$4,$DE$6:$DF$17,2)+1))*(VLOOKUP($A6,SatSunCurve,7))*(INDEX(DailyScalarsTable,CV$5/100,MONTH($A6)))*$E6</f>
        <v>-425.78805349628556</v>
      </c>
      <c r="CW6" s="1021">
        <f>(VLOOKUP(YEAR($A6),'NY East Load Projections'!$A$4:$EO$14,((MONTH($A6)-1)*12)+VLOOKUP(CW$4,$DE$6:$DF$17,2)+1))*(VLOOKUP($A6,SatSunCurve,7))*(INDEX(DailyScalarsTable,CW$5/100,MONTH($A6)))*$E6</f>
        <v>-467.20262827520435</v>
      </c>
      <c r="CX6" s="1021">
        <f>(VLOOKUP(YEAR($A6),'NY East Load Projections'!$A$4:$EO$14,((MONTH($A6)-1)*12)+VLOOKUP(CX$4,$DE$6:$DF$17,2)+1))*(VLOOKUP($A6,SatSunCurve,7))*(INDEX(DailyScalarsTable,CX$5/100,MONTH($A6)))*$E6</f>
        <v>-447.19398526055051</v>
      </c>
      <c r="CY6" s="1021">
        <f>(VLOOKUP(YEAR($A6),'NY East Load Projections'!$A$4:$EO$14,((MONTH($A6)-1)*12)+VLOOKUP(CY$4,$DE$6:$DF$17,2)+1))*(VLOOKUP($A6,SatSunCurve,7))*(INDEX(DailyScalarsTable,CY$5/100,MONTH($A6)))*$E6</f>
        <v>-428.00146708314384</v>
      </c>
      <c r="CZ6" s="1021">
        <f>(VLOOKUP(YEAR($A6),'NY East Load Projections'!$A$4:$EO$14,((MONTH($A6)-1)*12)+VLOOKUP(CZ$4,$DE$6:$DF$17,2)+1))*(VLOOKUP($A6,SatSunCurve,7))*(INDEX(DailyScalarsTable,CZ$5/100,MONTH($A6)))*$E6</f>
        <v>-304.40455631683443</v>
      </c>
      <c r="DA6" s="1021">
        <f>(VLOOKUP(YEAR($A6),'NY East Load Projections'!$A$4:$EO$14,((MONTH($A6)-1)*12)+VLOOKUP(DA$4,$DE$6:$DF$17,2)+1))*(VLOOKUP($A6,SatSunCurve,7))*(INDEX(DailyScalarsTable,DA$5/100,MONTH($A6)))*$E6</f>
        <v>-249.1930178004518</v>
      </c>
      <c r="DB6" s="1021">
        <f>(VLOOKUP(YEAR($A6),'NY East Load Projections'!$A$4:$EO$14,((MONTH($A6)-1)*12)+VLOOKUP(DB$4,$DE$6:$DF$17,2)+1))*(VLOOKUP($A6,CURVES!$D$9:$T$261,7))*(INDEX(DailyScalarsTable,DB$5/100,MONTH($A6)))*$E6</f>
        <v>-296.10874410095175</v>
      </c>
      <c r="DE6" s="1017" t="s">
        <v>558</v>
      </c>
      <c r="DF6" s="1018">
        <v>1</v>
      </c>
      <c r="DH6" s="1032">
        <f>SUM(H6:DB6)</f>
        <v>-237042.93766027427</v>
      </c>
      <c r="DI6">
        <f ca="1">CALC!J26</f>
        <v>0.93842508713442885</v>
      </c>
      <c r="DJ6" s="1029">
        <f ca="1">DH6*DI6</f>
        <v>-222447.03942844388</v>
      </c>
    </row>
    <row r="7" spans="1:114" x14ac:dyDescent="0.25">
      <c r="A7" s="244">
        <v>36923</v>
      </c>
      <c r="B7" s="13">
        <v>20</v>
      </c>
      <c r="C7" s="210">
        <v>4</v>
      </c>
      <c r="D7" s="210">
        <v>4</v>
      </c>
      <c r="E7" s="210">
        <v>0</v>
      </c>
      <c r="F7" s="13">
        <v>28</v>
      </c>
      <c r="H7" s="1021">
        <f>(VLOOKUP(YEAR($A7),'NY East Load Projections'!$A$4:$EO$14,((MONTH($A7)-1)*12)+VLOOKUP(H$4,$DE$6:$DF$17,2)+1))*(VLOOKUP($A7,CURVES!$D$9:$K$261,7))*(INDEX(DailyScalarsTable,H$5/100,MONTH($A7)))*$B7</f>
        <v>-2430.5977467287357</v>
      </c>
      <c r="I7" s="1021">
        <f>(VLOOKUP(YEAR($A7),'NY East Load Projections'!$A$4:$EO$14,((MONTH($A7)-1)*12)+VLOOKUP(I$4,$DE$6:$DF$17,2)+1))*(VLOOKUP($A7,CURVES!$D$9:$K$261,7))*(INDEX(DailyScalarsTable,I$5/100,MONTH($A7)))*$B7</f>
        <v>-2383.2429309358108</v>
      </c>
      <c r="J7" s="1021">
        <f>(VLOOKUP(YEAR($A7),'NY East Load Projections'!$A$4:$EO$14,((MONTH($A7)-1)*12)+VLOOKUP(J$4,$DE$6:$DF$17,2)+1))*(VLOOKUP($A7,CURVES!$D$9:$K$261,7))*(INDEX(DailyScalarsTable,J$5/100,MONTH($A7)))*$B7</f>
        <v>-2183.8860243598156</v>
      </c>
      <c r="K7" s="1021">
        <f>(VLOOKUP(YEAR($A7),'NY East Load Projections'!$A$4:$EO$14,((MONTH($A7)-1)*12)+VLOOKUP(K$4,$DE$6:$DF$17,2)+1))*(VLOOKUP($A7,CURVES!$D$9:$K$261,7))*(INDEX(DailyScalarsTable,K$5/100,MONTH($A7)))*$B7</f>
        <v>-2182.5656130154962</v>
      </c>
      <c r="L7" s="1021">
        <f>(VLOOKUP(YEAR($A7),'NY East Load Projections'!$A$4:$EO$14,((MONTH($A7)-1)*12)+VLOOKUP(L$4,$DE$6:$DF$17,2)+1))*(VLOOKUP($A7,CURVES!$D$9:$K$261,7))*(INDEX(DailyScalarsTable,L$5/100,MONTH($A7)))*$B7</f>
        <v>-4114.7814323071443</v>
      </c>
      <c r="M7" s="1021">
        <f>(VLOOKUP(YEAR($A7),'NY East Load Projections'!$A$4:$EO$14,((MONTH($A7)-1)*12)+VLOOKUP(M$4,$DE$6:$DF$17,2)+1))*(VLOOKUP($A7,CURVES!$D$9:$K$261,7))*(INDEX(DailyScalarsTable,M$5/100,MONTH($A7)))*$B7</f>
        <v>-4391.3686307693733</v>
      </c>
      <c r="N7" s="1021">
        <f>(VLOOKUP(YEAR($A7),'NY East Load Projections'!$A$4:$EO$14,((MONTH($A7)-1)*12)+VLOOKUP(N$4,$DE$6:$DF$17,2)+1))*(VLOOKUP($A7,CURVES!$D$9:$K$261,7))*(INDEX(DailyScalarsTable,N$5/100,MONTH($A7)))*$B7</f>
        <v>-8409.417457638936</v>
      </c>
      <c r="O7" s="1021">
        <f>(VLOOKUP(YEAR($A7),'NY East Load Projections'!$A$4:$EO$14,((MONTH($A7)-1)*12)+VLOOKUP(O$4,$DE$6:$DF$17,2)+1))*(VLOOKUP($A7,CURVES!$D$9:$K$261,3))*(INDEX(DailyScalarsTable,O$5/100,MONTH($A7)))*$B7</f>
        <v>-10115.143135223321</v>
      </c>
      <c r="P7" s="1021">
        <f>(VLOOKUP(YEAR($A7),'NY East Load Projections'!$A$4:$EO$14,((MONTH($A7)-1)*12)+VLOOKUP(P$4,$DE$6:$DF$17,2)+1))*(VLOOKUP($A7,CURVES!$D$9:$K$261,3))*(INDEX(DailyScalarsTable,P$5/100,MONTH($A7)))*$B7</f>
        <v>-10702.625001081356</v>
      </c>
      <c r="Q7" s="1021">
        <f>(VLOOKUP(YEAR($A7),'NY East Load Projections'!$A$4:$EO$14,((MONTH($A7)-1)*12)+VLOOKUP(Q$4,$DE$6:$DF$17,2)+1))*(VLOOKUP($A7,CURVES!$D$9:$K$261,3))*(INDEX(DailyScalarsTable,Q$5/100,MONTH($A7)))*$B7</f>
        <v>-10670.050509515275</v>
      </c>
      <c r="R7" s="1021">
        <f>(VLOOKUP(YEAR($A7),'NY East Load Projections'!$A$4:$EO$14,((MONTH($A7)-1)*12)+VLOOKUP(R$4,$DE$6:$DF$17,2)+1))*(VLOOKUP($A7,CURVES!$D$9:$K$261,3))*(INDEX(DailyScalarsTable,R$5/100,MONTH($A7)))*$B7</f>
        <v>-10483.844133228065</v>
      </c>
      <c r="S7" s="1021">
        <f>(VLOOKUP(YEAR($A7),'NY East Load Projections'!$A$4:$EO$14,((MONTH($A7)-1)*12)+VLOOKUP(S$4,$DE$6:$DF$17,2)+1))*(VLOOKUP($A7,CURVES!$D$9:$K$261,3))*(INDEX(DailyScalarsTable,S$5/100,MONTH($A7)))*$B7</f>
        <v>-7853.3911665460937</v>
      </c>
      <c r="T7" s="1021">
        <f>(VLOOKUP(YEAR($A7),'NY East Load Projections'!$A$4:$EO$14,((MONTH($A7)-1)*12)+VLOOKUP(T$4,$DE$6:$DF$17,2)+1))*(VLOOKUP($A7,CURVES!$D$9:$K$261,3))*(INDEX(DailyScalarsTable,T$5/100,MONTH($A7)))*$B7</f>
        <v>-7542.8738359758563</v>
      </c>
      <c r="U7" s="1021">
        <f>(VLOOKUP(YEAR($A7),'NY East Load Projections'!$A$4:$EO$14,((MONTH($A7)-1)*12)+VLOOKUP(U$4,$DE$6:$DF$17,2)+1))*(VLOOKUP($A7,CURVES!$D$9:$K$261,3))*(INDEX(DailyScalarsTable,U$5/100,MONTH($A7)))*$B7</f>
        <v>-7299.3276054272683</v>
      </c>
      <c r="V7" s="1021">
        <f>(VLOOKUP(YEAR($A7),'NY East Load Projections'!$A$4:$EO$14,((MONTH($A7)-1)*12)+VLOOKUP(V$4,$DE$6:$DF$17,2)+1))*(VLOOKUP($A7,CURVES!$D$9:$K$261,3))*(INDEX(DailyScalarsTable,V$5/100,MONTH($A7)))*$B7</f>
        <v>-6927.83136245279</v>
      </c>
      <c r="W7" s="1021">
        <f>(VLOOKUP(YEAR($A7),'NY East Load Projections'!$A$4:$EO$14,((MONTH($A7)-1)*12)+VLOOKUP(W$4,$DE$6:$DF$17,2)+1))*(VLOOKUP($A7,CURVES!$D$9:$K$261,3))*(INDEX(DailyScalarsTable,W$5/100,MONTH($A7)))*$B7</f>
        <v>-6788.4099696025096</v>
      </c>
      <c r="X7" s="1021">
        <f>(VLOOKUP(YEAR($A7),'NY East Load Projections'!$A$4:$EO$14,((MONTH($A7)-1)*12)+VLOOKUP(X$4,$DE$6:$DF$17,2)+1))*(VLOOKUP($A7,CURVES!$D$9:$K$261,3))*(INDEX(DailyScalarsTable,X$5/100,MONTH($A7)))*$B7</f>
        <v>-6391.4601961954886</v>
      </c>
      <c r="Y7" s="1021">
        <f>(VLOOKUP(YEAR($A7),'NY East Load Projections'!$A$4:$EO$14,((MONTH($A7)-1)*12)+VLOOKUP(Y$4,$DE$6:$DF$17,2)+1))*(VLOOKUP($A7,CURVES!$D$9:$K$261,3))*(INDEX(DailyScalarsTable,Y$5/100,MONTH($A7)))*$B7</f>
        <v>-8893.4391900524388</v>
      </c>
      <c r="Z7" s="1021">
        <f>(VLOOKUP(YEAR($A7),'NY East Load Projections'!$A$4:$EO$14,((MONTH($A7)-1)*12)+VLOOKUP(Z$4,$DE$6:$DF$17,2)+1))*(VLOOKUP($A7,CURVES!$D$9:$K$261,3))*(INDEX(DailyScalarsTable,Z$5/100,MONTH($A7)))*$B7</f>
        <v>-9758.4658138710602</v>
      </c>
      <c r="AA7" s="1021">
        <f>(VLOOKUP(YEAR($A7),'NY East Load Projections'!$A$4:$EO$14,((MONTH($A7)-1)*12)+VLOOKUP(AA$4,$DE$6:$DF$17,2)+1))*(VLOOKUP($A7,CURVES!$D$9:$K$261,3))*(INDEX(DailyScalarsTable,AA$5/100,MONTH($A7)))*$B7</f>
        <v>-9340.5450937730639</v>
      </c>
      <c r="AB7" s="1021">
        <f>(VLOOKUP(YEAR($A7),'NY East Load Projections'!$A$4:$EO$14,((MONTH($A7)-1)*12)+VLOOKUP(AB$4,$DE$6:$DF$17,2)+1))*(VLOOKUP($A7,CURVES!$D$9:$K$261,3))*(INDEX(DailyScalarsTable,AB$5/100,MONTH($A7)))*$B7</f>
        <v>-6670.4040460134629</v>
      </c>
      <c r="AC7" s="1021">
        <f>(VLOOKUP(YEAR($A7),'NY East Load Projections'!$A$4:$EO$14,((MONTH($A7)-1)*12)+VLOOKUP(AC$4,$DE$6:$DF$17,2)+1))*(VLOOKUP($A7,CURVES!$D$9:$K$261,3))*(INDEX(DailyScalarsTable,AC$5/100,MONTH($A7)))*$B7</f>
        <v>-4744.145850524149</v>
      </c>
      <c r="AD7" s="1021">
        <f>(VLOOKUP(YEAR($A7),'NY East Load Projections'!$A$4:$EO$14,((MONTH($A7)-1)*12)+VLOOKUP(AD$4,$DE$6:$DF$17,2)+1))*(VLOOKUP($A7,CURVES!$D$9:$K$261,3))*(INDEX(DailyScalarsTable,AD$5/100,MONTH($A7)))*$B7</f>
        <v>-3883.6738703316987</v>
      </c>
      <c r="AE7" s="1021">
        <f>(VLOOKUP(YEAR($A7),'NY East Load Projections'!$A$4:$EO$14,((MONTH($A7)-1)*12)+VLOOKUP(AE$4,$DE$6:$DF$17,2)+1))*(VLOOKUP($A7,CURVES!$D$9:$K$261,7))*(INDEX(DailyScalarsTable,AE$5/100,MONTH($A7)))*$B7</f>
        <v>-3323.1924689893499</v>
      </c>
      <c r="AF7" s="1021"/>
      <c r="AG7" s="1021">
        <f>(VLOOKUP(YEAR($A7),'NY East Load Projections'!$A$4:$EO$14,((MONTH($A7)-1)*12)+VLOOKUP(AG$4,$DE$6:$DF$17,2)+1))*(VLOOKUP($A7,CURVES!$D$9:$T$261,7))*(INDEX(DailyScalarsTable,AG$5/100,MONTH($A7)))*$C7</f>
        <v>-1202.9520677325877</v>
      </c>
      <c r="AH7" s="1021">
        <f>(VLOOKUP(YEAR($A7),'NY East Load Projections'!$A$4:$EO$14,((MONTH($A7)-1)*12)+VLOOKUP(AH$4,$DE$6:$DF$17,2)+1))*(VLOOKUP($A7,CURVES!$D$9:$T$261,7))*(INDEX(DailyScalarsTable,AH$5/100,MONTH($A7)))*$C7</f>
        <v>-1179.5152100082428</v>
      </c>
      <c r="AI7" s="1021">
        <f>(VLOOKUP(YEAR($A7),'NY East Load Projections'!$A$4:$EO$14,((MONTH($A7)-1)*12)+VLOOKUP(AI$4,$DE$6:$DF$17,2)+1))*(VLOOKUP($A7,CURVES!$D$9:$T$261,7))*(INDEX(DailyScalarsTable,AI$5/100,MONTH($A7)))*$C7</f>
        <v>-1080.8494380576483</v>
      </c>
      <c r="AJ7" s="1021">
        <f>(VLOOKUP(YEAR($A7),'NY East Load Projections'!$A$4:$EO$14,((MONTH($A7)-1)*12)+VLOOKUP(AJ$4,$DE$6:$DF$17,2)+1))*(VLOOKUP($A7,CURVES!$D$9:$T$261,7))*(INDEX(DailyScalarsTable,AJ$5/100,MONTH($A7)))*$C7</f>
        <v>-1080.1959397323726</v>
      </c>
      <c r="AK7" s="1021">
        <f>(VLOOKUP(YEAR($A7),'NY East Load Projections'!$A$4:$EO$14,((MONTH($A7)-1)*12)+VLOOKUP(AK$4,$DE$6:$DF$17,2)+1))*(VLOOKUP($A7,CURVES!$D$9:$T$261,7))*(INDEX(DailyScalarsTable,AK$5/100,MONTH($A7)))*$C7</f>
        <v>-1140.075804123273</v>
      </c>
      <c r="AL7" s="1021">
        <f>(VLOOKUP(YEAR($A7),'NY East Load Projections'!$A$4:$EO$14,((MONTH($A7)-1)*12)+VLOOKUP(AL$4,$DE$6:$DF$17,2)+1))*(VLOOKUP($A7,CURVES!$D$9:$T$261,7))*(INDEX(DailyScalarsTable,AL$5/100,MONTH($A7)))*$C7</f>
        <v>-1216.7093696928114</v>
      </c>
      <c r="AM7" s="1021">
        <f>(VLOOKUP(YEAR($A7),'NY East Load Projections'!$A$4:$EO$14,((MONTH($A7)-1)*12)+VLOOKUP(AM$4,$DE$6:$DF$17,2)+1))*(VLOOKUP($A7,CURVES!$D$9:$T$261,7))*(INDEX(DailyScalarsTable,AM$5/100,MONTH($A7)))*$C7</f>
        <v>-2329.9836280369313</v>
      </c>
      <c r="AN7" s="1021">
        <f>(VLOOKUP(YEAR($A7),'NY East Load Projections'!$A$4:$EO$14,((MONTH($A7)-1)*12)+VLOOKUP(AN$4,$DE$6:$DF$17,2)+1))*(VLOOKUP($A7,SatSunCurve,3))*(INDEX(DailyScalarsTable,AN$5/100,MONTH($A7)))*$C7</f>
        <v>-2073.6335921230425</v>
      </c>
      <c r="AO7" s="1021">
        <f>(VLOOKUP(YEAR($A7),'NY East Load Projections'!$A$4:$EO$14,((MONTH($A7)-1)*12)+VLOOKUP(AO$4,$DE$6:$DF$17,2)+1))*(VLOOKUP($A7,SatSunCurve,3))*(INDEX(DailyScalarsTable,AO$5/100,MONTH($A7)))*$C7</f>
        <v>-2587.9604278100824</v>
      </c>
      <c r="AP7" s="1021">
        <f>(VLOOKUP(YEAR($A7),'NY East Load Projections'!$A$4:$EO$14,((MONTH($A7)-1)*12)+VLOOKUP(AP$4,$DE$6:$DF$17,2)+1))*(VLOOKUP($A7,SatSunCurve,3))*(INDEX(DailyScalarsTable,AP$5/100,MONTH($A7)))*$C7</f>
        <v>-2580.0837157772366</v>
      </c>
      <c r="AQ7" s="1021">
        <f>(VLOOKUP(YEAR($A7),'NY East Load Projections'!$A$4:$EO$14,((MONTH($A7)-1)*12)+VLOOKUP(AQ$4,$DE$6:$DF$17,2)+1))*(VLOOKUP($A7,SatSunCurve,3))*(INDEX(DailyScalarsTable,AQ$5/100,MONTH($A7)))*$C7</f>
        <v>-2535.0578708851167</v>
      </c>
      <c r="AR7" s="1021">
        <f>(VLOOKUP(YEAR($A7),'NY East Load Projections'!$A$4:$EO$14,((MONTH($A7)-1)*12)+VLOOKUP(AR$4,$DE$6:$DF$17,2)+1))*(VLOOKUP($A7,SatSunCurve,3))*(INDEX(DailyScalarsTable,AR$5/100,MONTH($A7)))*$C7</f>
        <v>-1898.9981954035629</v>
      </c>
      <c r="AS7" s="1021">
        <f>(VLOOKUP(YEAR($A7),'NY East Load Projections'!$A$4:$EO$14,((MONTH($A7)-1)*12)+VLOOKUP(AS$4,$DE$6:$DF$17,2)+1))*(VLOOKUP($A7,SatSunCurve,3))*(INDEX(DailyScalarsTable,AS$5/100,MONTH($A7)))*$C7</f>
        <v>-1586.92530318336</v>
      </c>
      <c r="AT7" s="1021">
        <f>(VLOOKUP(YEAR($A7),'NY East Load Projections'!$A$4:$EO$14,((MONTH($A7)-1)*12)+VLOOKUP(AT$4,$DE$6:$DF$17,2)+1))*(VLOOKUP($A7,SatSunCurve,3))*(INDEX(DailyScalarsTable,AT$5/100,MONTH($A7)))*$C7</f>
        <v>-1535.6862550225496</v>
      </c>
      <c r="AU7" s="1021">
        <f>(VLOOKUP(YEAR($A7),'NY East Load Projections'!$A$4:$EO$14,((MONTH($A7)-1)*12)+VLOOKUP(AU$4,$DE$6:$DF$17,2)+1))*(VLOOKUP($A7,SatSunCurve,3))*(INDEX(DailyScalarsTable,AU$5/100,MONTH($A7)))*$C7</f>
        <v>-1457.5281417047918</v>
      </c>
      <c r="AV7" s="1021">
        <f>(VLOOKUP(YEAR($A7),'NY East Load Projections'!$A$4:$EO$14,((MONTH($A7)-1)*12)+VLOOKUP(AV$4,$DE$6:$DF$17,2)+1))*(VLOOKUP($A7,SatSunCurve,3))*(INDEX(DailyScalarsTable,AV$5/100,MONTH($A7)))*$C7</f>
        <v>-1428.1956431199799</v>
      </c>
      <c r="AW7" s="1021">
        <f>(VLOOKUP(YEAR($A7),'NY East Load Projections'!$A$4:$EO$14,((MONTH($A7)-1)*12)+VLOOKUP(AW$4,$DE$6:$DF$17,2)+1))*(VLOOKUP($A7,SatSunCurve,3))*(INDEX(DailyScalarsTable,AW$5/100,MONTH($A7)))*$C7</f>
        <v>-1432.5762359975722</v>
      </c>
      <c r="AX7" s="1021">
        <f>(VLOOKUP(YEAR($A7),'NY East Load Projections'!$A$4:$EO$14,((MONTH($A7)-1)*12)+VLOOKUP(AX$4,$DE$6:$DF$17,2)+1))*(VLOOKUP($A7,SatSunCurve,3))*(INDEX(DailyScalarsTable,AX$5/100,MONTH($A7)))*$C7</f>
        <v>-1993.3675950203697</v>
      </c>
      <c r="AY7" s="1021">
        <f>(VLOOKUP(YEAR($A7),'NY East Load Projections'!$A$4:$EO$14,((MONTH($A7)-1)*12)+VLOOKUP(AY$4,$DE$6:$DF$17,2)+1))*(VLOOKUP($A7,SatSunCurve,3))*(INDEX(DailyScalarsTable,AY$5/100,MONTH($A7)))*$C7</f>
        <v>-2187.2538974846184</v>
      </c>
      <c r="AZ7" s="1021">
        <f>(VLOOKUP(YEAR($A7),'NY East Load Projections'!$A$4:$EO$14,((MONTH($A7)-1)*12)+VLOOKUP(AZ$4,$DE$6:$DF$17,2)+1))*(VLOOKUP($A7,SatSunCurve,3))*(INDEX(DailyScalarsTable,AZ$5/100,MONTH($A7)))*$C7</f>
        <v>-2093.5815168759186</v>
      </c>
      <c r="BA7" s="1021">
        <f>(VLOOKUP(YEAR($A7),'NY East Load Projections'!$A$4:$EO$14,((MONTH($A7)-1)*12)+VLOOKUP(BA$4,$DE$6:$DF$17,2)+1))*(VLOOKUP($A7,SatSunCurve,3))*(INDEX(DailyScalarsTable,BA$5/100,MONTH($A7)))*$C7</f>
        <v>-2070.6116047791029</v>
      </c>
      <c r="BB7" s="1021">
        <f>(VLOOKUP(YEAR($A7),'NY East Load Projections'!$A$4:$EO$14,((MONTH($A7)-1)*12)+VLOOKUP(BB$4,$DE$6:$DF$17,2)+1))*(VLOOKUP($A7,SatSunCurve,3))*(INDEX(DailyScalarsTable,BB$5/100,MONTH($A7)))*$C7</f>
        <v>-1472.666930683273</v>
      </c>
      <c r="BC7" s="1021">
        <f>(VLOOKUP(YEAR($A7),'NY East Load Projections'!$A$4:$EO$14,((MONTH($A7)-1)*12)+VLOOKUP(BC$4,$DE$6:$DF$17,2)+1))*(VLOOKUP($A7,SatSunCurve,3))*(INDEX(DailyScalarsTable,BC$5/100,MONTH($A7)))*$C7</f>
        <v>-1205.5611818435802</v>
      </c>
      <c r="BD7" s="1021">
        <f>(VLOOKUP(YEAR($A7),'NY East Load Projections'!$A$4:$EO$14,((MONTH($A7)-1)*12)+VLOOKUP(BD$4,$DE$6:$DF$17,2)+1))*(VLOOKUP($A7,CURVES!$D$9:$T$261,7))*(INDEX(DailyScalarsTable,BD$5/100,MONTH($A7)))*$C7</f>
        <v>-1394.2124859567405</v>
      </c>
      <c r="BE7" s="1021"/>
      <c r="BF7" s="1021">
        <f>(VLOOKUP(YEAR($A7),'NY East Load Projections'!$A$4:$EO$14,((MONTH($A7)-1)*12)+VLOOKUP(BF$4,$DE$6:$DF$17,2)+1))*(VLOOKUP($A7,CURVES!$D$9:$T$261,7))*(INDEX(DailyScalarsTable,BF$5/100,MONTH($A7)))*$D7</f>
        <v>-1202.9520677325877</v>
      </c>
      <c r="BG7" s="1021">
        <f>(VLOOKUP(YEAR($A7),'NY East Load Projections'!$A$4:$EO$14,((MONTH($A7)-1)*12)+VLOOKUP(BG$4,$DE$6:$DF$17,2)+1))*(VLOOKUP($A7,CURVES!$D$9:$T$261,7))*(INDEX(DailyScalarsTable,BG$5/100,MONTH($A7)))*$D7</f>
        <v>-1179.5152100082428</v>
      </c>
      <c r="BH7" s="1021">
        <f>(VLOOKUP(YEAR($A7),'NY East Load Projections'!$A$4:$EO$14,((MONTH($A7)-1)*12)+VLOOKUP(BH$4,$DE$6:$DF$17,2)+1))*(VLOOKUP($A7,CURVES!$D$9:$T$261,7))*(INDEX(DailyScalarsTable,BH$5/100,MONTH($A7)))*$D7</f>
        <v>-1080.8494380576483</v>
      </c>
      <c r="BI7" s="1021">
        <f>(VLOOKUP(YEAR($A7),'NY East Load Projections'!$A$4:$EO$14,((MONTH($A7)-1)*12)+VLOOKUP(BI$4,$DE$6:$DF$17,2)+1))*(VLOOKUP($A7,CURVES!$D$9:$T$261,7))*(INDEX(DailyScalarsTable,BI$5/100,MONTH($A7)))*$D7</f>
        <v>-1080.1959397323726</v>
      </c>
      <c r="BJ7" s="1021">
        <f>(VLOOKUP(YEAR($A7),'NY East Load Projections'!$A$4:$EO$14,((MONTH($A7)-1)*12)+VLOOKUP(BJ$4,$DE$6:$DF$17,2)+1))*(VLOOKUP($A7,CURVES!$D$9:$T$261,7))*(INDEX(DailyScalarsTable,BJ$5/100,MONTH($A7)))*$D7</f>
        <v>-1140.075804123273</v>
      </c>
      <c r="BK7" s="1021">
        <f>(VLOOKUP(YEAR($A7),'NY East Load Projections'!$A$4:$EO$14,((MONTH($A7)-1)*12)+VLOOKUP(BK$4,$DE$6:$DF$17,2)+1))*(VLOOKUP($A7,CURVES!$D$9:$T$261,7))*(INDEX(DailyScalarsTable,BK$5/100,MONTH($A7)))*$D7</f>
        <v>-1216.7093696928114</v>
      </c>
      <c r="BL7" s="1021">
        <f>(VLOOKUP(YEAR($A7),'NY East Load Projections'!$A$4:$EO$14,((MONTH($A7)-1)*12)+VLOOKUP(BL$4,$DE$6:$DF$17,2)+1))*(VLOOKUP($A7,CURVES!$D$9:$T$261,7))*(INDEX(DailyScalarsTable,BL$5/100,MONTH($A7)))*$D7</f>
        <v>-2329.9836280369313</v>
      </c>
      <c r="BM7" s="1021">
        <f>(VLOOKUP(YEAR($A7),'NY East Load Projections'!$A$4:$EO$14,((MONTH($A7)-1)*12)+VLOOKUP(BM$4,$DE$6:$DF$17,2)+1))*(VLOOKUP($A7,SatSunCurve,7))*(INDEX(DailyScalarsTable,BM$5/100,MONTH($A7)))*$D7</f>
        <v>-1886.8878757226819</v>
      </c>
      <c r="BN7" s="1021">
        <f>(VLOOKUP(YEAR($A7),'NY East Load Projections'!$A$4:$EO$14,((MONTH($A7)-1)*12)+VLOOKUP(BN$4,$DE$6:$DF$17,2)+1))*(VLOOKUP($A7,SatSunCurve,7))*(INDEX(DailyScalarsTable,BN$5/100,MONTH($A7)))*$D7</f>
        <v>-2354.8958565458929</v>
      </c>
      <c r="BO7" s="1021">
        <f>(VLOOKUP(YEAR($A7),'NY East Load Projections'!$A$4:$EO$14,((MONTH($A7)-1)*12)+VLOOKUP(BO$4,$DE$6:$DF$17,2)+1))*(VLOOKUP($A7,SatSunCurve,7))*(INDEX(DailyScalarsTable,BO$5/100,MONTH($A7)))*$D7</f>
        <v>-2347.7284994526281</v>
      </c>
      <c r="BP7" s="1021">
        <f>(VLOOKUP(YEAR($A7),'NY East Load Projections'!$A$4:$EO$14,((MONTH($A7)-1)*12)+VLOOKUP(BP$4,$DE$6:$DF$17,2)+1))*(VLOOKUP($A7,SatSunCurve,7))*(INDEX(DailyScalarsTable,BP$5/100,MONTH($A7)))*$D7</f>
        <v>-2306.7575578437354</v>
      </c>
      <c r="BQ7" s="1021">
        <f>(VLOOKUP(YEAR($A7),'NY East Load Projections'!$A$4:$EO$14,((MONTH($A7)-1)*12)+VLOOKUP(BQ$4,$DE$6:$DF$17,2)+1))*(VLOOKUP($A7,SatSunCurve,7))*(INDEX(DailyScalarsTable,BQ$5/100,MONTH($A7)))*$D7</f>
        <v>-1727.9796606967873</v>
      </c>
      <c r="BR7" s="1021">
        <f>(VLOOKUP(YEAR($A7),'NY East Load Projections'!$A$4:$EO$14,((MONTH($A7)-1)*12)+VLOOKUP(BR$4,$DE$6:$DF$17,2)+1))*(VLOOKUP($A7,SatSunCurve,7))*(INDEX(DailyScalarsTable,BR$5/100,MONTH($A7)))*$D7</f>
        <v>-1444.011191576293</v>
      </c>
      <c r="BS7" s="1021">
        <f>(VLOOKUP(YEAR($A7),'NY East Load Projections'!$A$4:$EO$14,((MONTH($A7)-1)*12)+VLOOKUP(BS$4,$DE$6:$DF$17,2)+1))*(VLOOKUP($A7,SatSunCurve,7))*(INDEX(DailyScalarsTable,BS$5/100,MONTH($A7)))*$D7</f>
        <v>-1397.3865906316209</v>
      </c>
      <c r="BT7" s="1021">
        <f>(VLOOKUP(YEAR($A7),'NY East Load Projections'!$A$4:$EO$14,((MONTH($A7)-1)*12)+VLOOKUP(BT$4,$DE$6:$DF$17,2)+1))*(VLOOKUP($A7,SatSunCurve,7))*(INDEX(DailyScalarsTable,BT$5/100,MONTH($A7)))*$D7</f>
        <v>-1326.2671812196393</v>
      </c>
      <c r="BU7" s="1021">
        <f>(VLOOKUP(YEAR($A7),'NY East Load Projections'!$A$4:$EO$14,((MONTH($A7)-1)*12)+VLOOKUP(BU$4,$DE$6:$DF$17,2)+1))*(VLOOKUP($A7,SatSunCurve,7))*(INDEX(DailyScalarsTable,BU$5/100,MONTH($A7)))*$D7</f>
        <v>-1299.5762864759502</v>
      </c>
      <c r="BV7" s="1021">
        <f>(VLOOKUP(YEAR($A7),'NY East Load Projections'!$A$4:$EO$14,((MONTH($A7)-1)*12)+VLOOKUP(BV$4,$DE$6:$DF$17,2)+1))*(VLOOKUP($A7,SatSunCurve,7))*(INDEX(DailyScalarsTable,BV$5/100,MONTH($A7)))*$D7</f>
        <v>-1303.5623752529664</v>
      </c>
      <c r="BW7" s="1021">
        <f>(VLOOKUP(YEAR($A7),'NY East Load Projections'!$A$4:$EO$14,((MONTH($A7)-1)*12)+VLOOKUP(BW$4,$DE$6:$DF$17,2)+1))*(VLOOKUP($A7,SatSunCurve,7))*(INDEX(DailyScalarsTable,BW$5/100,MONTH($A7)))*$D7</f>
        <v>-1813.8504127199903</v>
      </c>
      <c r="BX7" s="1021">
        <f>(VLOOKUP(YEAR($A7),'NY East Load Projections'!$A$4:$EO$14,((MONTH($A7)-1)*12)+VLOOKUP(BX$4,$DE$6:$DF$17,2)+1))*(VLOOKUP($A7,SatSunCurve,7))*(INDEX(DailyScalarsTable,BX$5/100,MONTH($A7)))*$D7</f>
        <v>-1990.2758500673538</v>
      </c>
      <c r="BY7" s="1021">
        <f>(VLOOKUP(YEAR($A7),'NY East Load Projections'!$A$4:$EO$14,((MONTH($A7)-1)*12)+VLOOKUP(BY$4,$DE$6:$DF$17,2)+1))*(VLOOKUP($A7,SatSunCurve,7))*(INDEX(DailyScalarsTable,BY$5/100,MONTH($A7)))*$D7</f>
        <v>-1905.0393454447237</v>
      </c>
      <c r="BZ7" s="1021">
        <f>(VLOOKUP(YEAR($A7),'NY East Load Projections'!$A$4:$EO$14,((MONTH($A7)-1)*12)+VLOOKUP(BZ$4,$DE$6:$DF$17,2)+1))*(VLOOKUP($A7,SatSunCurve,7))*(INDEX(DailyScalarsTable,BZ$5/100,MONTH($A7)))*$D7</f>
        <v>-1884.1380402158077</v>
      </c>
      <c r="CA7" s="1021">
        <f>(VLOOKUP(YEAR($A7),'NY East Load Projections'!$A$4:$EO$14,((MONTH($A7)-1)*12)+VLOOKUP(CA$4,$DE$6:$DF$17,2)+1))*(VLOOKUP($A7,SatSunCurve,7))*(INDEX(DailyScalarsTable,CA$5/100,MONTH($A7)))*$D7</f>
        <v>-1340.042612658023</v>
      </c>
      <c r="CB7" s="1021">
        <f>(VLOOKUP(YEAR($A7),'NY East Load Projections'!$A$4:$EO$14,((MONTH($A7)-1)*12)+VLOOKUP(CB$4,$DE$6:$DF$17,2)+1))*(VLOOKUP($A7,SatSunCurve,7))*(INDEX(DailyScalarsTable,CB$5/100,MONTH($A7)))*$D7</f>
        <v>-1096.991670130883</v>
      </c>
      <c r="CC7" s="1021">
        <f>(VLOOKUP(YEAR($A7),'NY East Load Projections'!$A$4:$EO$14,((MONTH($A7)-1)*12)+VLOOKUP(CC$4,$DE$6:$DF$17,2)+1))*(VLOOKUP($A7,CURVES!$D$9:$T$261,7))*(INDEX(DailyScalarsTable,CC$5/100,MONTH($A7)))*$D7</f>
        <v>-1394.2124859567405</v>
      </c>
      <c r="CE7" s="1021">
        <f>(VLOOKUP(YEAR($A7),'NY East Load Projections'!$A$4:$EO$14,((MONTH($A7)-1)*12)+VLOOKUP(CE$4,$DE$6:$DF$17,2)+1))*(VLOOKUP($A7,CURVES!$D$9:$T$261,7))*(INDEX(DailyScalarsTable,CE$5/100,MONTH($A7)))*$E7</f>
        <v>0</v>
      </c>
      <c r="CF7" s="1021">
        <f>(VLOOKUP(YEAR($A7),'NY East Load Projections'!$A$4:$EO$14,((MONTH($A7)-1)*12)+VLOOKUP(CF$4,$DE$6:$DF$17,2)+1))*(VLOOKUP($A7,CURVES!$D$9:$T$261,7))*(INDEX(DailyScalarsTable,CF$5/100,MONTH($A7)))*$E7</f>
        <v>0</v>
      </c>
      <c r="CG7" s="1021">
        <f>(VLOOKUP(YEAR($A7),'NY East Load Projections'!$A$4:$EO$14,((MONTH($A7)-1)*12)+VLOOKUP(CG$4,$DE$6:$DF$17,2)+1))*(VLOOKUP($A7,CURVES!$D$9:$T$261,7))*(INDEX(DailyScalarsTable,CG$5/100,MONTH($A7)))*$E7</f>
        <v>0</v>
      </c>
      <c r="CH7" s="1021">
        <f>(VLOOKUP(YEAR($A7),'NY East Load Projections'!$A$4:$EO$14,((MONTH($A7)-1)*12)+VLOOKUP(CH$4,$DE$6:$DF$17,2)+1))*(VLOOKUP($A7,CURVES!$D$9:$T$261,7))*(INDEX(DailyScalarsTable,CH$5/100,MONTH($A7)))*$E7</f>
        <v>0</v>
      </c>
      <c r="CI7" s="1021">
        <f>(VLOOKUP(YEAR($A7),'NY East Load Projections'!$A$4:$EO$14,((MONTH($A7)-1)*12)+VLOOKUP(CI$4,$DE$6:$DF$17,2)+1))*(VLOOKUP($A7,CURVES!$D$9:$T$261,7))*(INDEX(DailyScalarsTable,CI$5/100,MONTH($A7)))*$E7</f>
        <v>0</v>
      </c>
      <c r="CJ7" s="1021">
        <f>(VLOOKUP(YEAR($A7),'NY East Load Projections'!$A$4:$EO$14,((MONTH($A7)-1)*12)+VLOOKUP(CJ$4,$DE$6:$DF$17,2)+1))*(VLOOKUP($A7,CURVES!$D$9:$T$261,7))*(INDEX(DailyScalarsTable,CJ$5/100,MONTH($A7)))*$E7</f>
        <v>0</v>
      </c>
      <c r="CK7" s="1021">
        <f>(VLOOKUP(YEAR($A7),'NY East Load Projections'!$A$4:$EO$14,((MONTH($A7)-1)*12)+VLOOKUP(CK$4,$DE$6:$DF$17,2)+1))*(VLOOKUP($A7,CURVES!$D$9:$T$261,7))*(INDEX(DailyScalarsTable,CK$5/100,MONTH($A7)))*$E7</f>
        <v>0</v>
      </c>
      <c r="CL7" s="1021">
        <f>(VLOOKUP(YEAR($A7),'NY East Load Projections'!$A$4:$EO$14,((MONTH($A7)-1)*12)+VLOOKUP(CL$4,$DE$6:$DF$17,2)+1))*(VLOOKUP($A7,SatSunCurve,7))*(INDEX(DailyScalarsTable,CL$5/100,MONTH($A7)))*$E7</f>
        <v>0</v>
      </c>
      <c r="CM7" s="1021">
        <f>(VLOOKUP(YEAR($A7),'NY East Load Projections'!$A$4:$EO$14,((MONTH($A7)-1)*12)+VLOOKUP(CM$4,$DE$6:$DF$17,2)+1))*(VLOOKUP($A7,SatSunCurve,7))*(INDEX(DailyScalarsTable,CM$5/100,MONTH($A7)))*$E7</f>
        <v>0</v>
      </c>
      <c r="CN7" s="1021">
        <f>(VLOOKUP(YEAR($A7),'NY East Load Projections'!$A$4:$EO$14,((MONTH($A7)-1)*12)+VLOOKUP(CN$4,$DE$6:$DF$17,2)+1))*(VLOOKUP($A7,SatSunCurve,7))*(INDEX(DailyScalarsTable,CN$5/100,MONTH($A7)))*$E7</f>
        <v>0</v>
      </c>
      <c r="CO7" s="1021">
        <f>(VLOOKUP(YEAR($A7),'NY East Load Projections'!$A$4:$EO$14,((MONTH($A7)-1)*12)+VLOOKUP(CO$4,$DE$6:$DF$17,2)+1))*(VLOOKUP($A7,SatSunCurve,7))*(INDEX(DailyScalarsTable,CO$5/100,MONTH($A7)))*$E7</f>
        <v>0</v>
      </c>
      <c r="CP7" s="1021">
        <f>(VLOOKUP(YEAR($A7),'NY East Load Projections'!$A$4:$EO$14,((MONTH($A7)-1)*12)+VLOOKUP(CP$4,$DE$6:$DF$17,2)+1))*(VLOOKUP($A7,SatSunCurve,7))*(INDEX(DailyScalarsTable,CP$5/100,MONTH($A7)))*$E7</f>
        <v>0</v>
      </c>
      <c r="CQ7" s="1021">
        <f>(VLOOKUP(YEAR($A7),'NY East Load Projections'!$A$4:$EO$14,((MONTH($A7)-1)*12)+VLOOKUP(CQ$4,$DE$6:$DF$17,2)+1))*(VLOOKUP($A7,SatSunCurve,7))*(INDEX(DailyScalarsTable,CQ$5/100,MONTH($A7)))*$E7</f>
        <v>0</v>
      </c>
      <c r="CR7" s="1021">
        <f>(VLOOKUP(YEAR($A7),'NY East Load Projections'!$A$4:$EO$14,((MONTH($A7)-1)*12)+VLOOKUP(CR$4,$DE$6:$DF$17,2)+1))*(VLOOKUP($A7,SatSunCurve,7))*(INDEX(DailyScalarsTable,CR$5/100,MONTH($A7)))*$E7</f>
        <v>0</v>
      </c>
      <c r="CS7" s="1021">
        <f>(VLOOKUP(YEAR($A7),'NY East Load Projections'!$A$4:$EO$14,((MONTH($A7)-1)*12)+VLOOKUP(CS$4,$DE$6:$DF$17,2)+1))*(VLOOKUP($A7,SatSunCurve,7))*(INDEX(DailyScalarsTable,CS$5/100,MONTH($A7)))*$E7</f>
        <v>0</v>
      </c>
      <c r="CT7" s="1021">
        <f>(VLOOKUP(YEAR($A7),'NY East Load Projections'!$A$4:$EO$14,((MONTH($A7)-1)*12)+VLOOKUP(CT$4,$DE$6:$DF$17,2)+1))*(VLOOKUP($A7,SatSunCurve,7))*(INDEX(DailyScalarsTable,CT$5/100,MONTH($A7)))*$E7</f>
        <v>0</v>
      </c>
      <c r="CU7" s="1021">
        <f>(VLOOKUP(YEAR($A7),'NY East Load Projections'!$A$4:$EO$14,((MONTH($A7)-1)*12)+VLOOKUP(CU$4,$DE$6:$DF$17,2)+1))*(VLOOKUP($A7,SatSunCurve,7))*(INDEX(DailyScalarsTable,CU$5/100,MONTH($A7)))*$E7</f>
        <v>0</v>
      </c>
      <c r="CV7" s="1021">
        <f>(VLOOKUP(YEAR($A7),'NY East Load Projections'!$A$4:$EO$14,((MONTH($A7)-1)*12)+VLOOKUP(CV$4,$DE$6:$DF$17,2)+1))*(VLOOKUP($A7,SatSunCurve,7))*(INDEX(DailyScalarsTable,CV$5/100,MONTH($A7)))*$E7</f>
        <v>0</v>
      </c>
      <c r="CW7" s="1021">
        <f>(VLOOKUP(YEAR($A7),'NY East Load Projections'!$A$4:$EO$14,((MONTH($A7)-1)*12)+VLOOKUP(CW$4,$DE$6:$DF$17,2)+1))*(VLOOKUP($A7,SatSunCurve,7))*(INDEX(DailyScalarsTable,CW$5/100,MONTH($A7)))*$E7</f>
        <v>0</v>
      </c>
      <c r="CX7" s="1021">
        <f>(VLOOKUP(YEAR($A7),'NY East Load Projections'!$A$4:$EO$14,((MONTH($A7)-1)*12)+VLOOKUP(CX$4,$DE$6:$DF$17,2)+1))*(VLOOKUP($A7,SatSunCurve,7))*(INDEX(DailyScalarsTable,CX$5/100,MONTH($A7)))*$E7</f>
        <v>0</v>
      </c>
      <c r="CY7" s="1021">
        <f>(VLOOKUP(YEAR($A7),'NY East Load Projections'!$A$4:$EO$14,((MONTH($A7)-1)*12)+VLOOKUP(CY$4,$DE$6:$DF$17,2)+1))*(VLOOKUP($A7,SatSunCurve,7))*(INDEX(DailyScalarsTable,CY$5/100,MONTH($A7)))*$E7</f>
        <v>0</v>
      </c>
      <c r="CZ7" s="1021">
        <f>(VLOOKUP(YEAR($A7),'NY East Load Projections'!$A$4:$EO$14,((MONTH($A7)-1)*12)+VLOOKUP(CZ$4,$DE$6:$DF$17,2)+1))*(VLOOKUP($A7,SatSunCurve,7))*(INDEX(DailyScalarsTable,CZ$5/100,MONTH($A7)))*$E7</f>
        <v>0</v>
      </c>
      <c r="DA7" s="1021">
        <f>(VLOOKUP(YEAR($A7),'NY East Load Projections'!$A$4:$EO$14,((MONTH($A7)-1)*12)+VLOOKUP(DA$4,$DE$6:$DF$17,2)+1))*(VLOOKUP($A7,SatSunCurve,7))*(INDEX(DailyScalarsTable,DA$5/100,MONTH($A7)))*$E7</f>
        <v>0</v>
      </c>
      <c r="DB7" s="1021">
        <f>(VLOOKUP(YEAR($A7),'NY East Load Projections'!$A$4:$EO$14,((MONTH($A7)-1)*12)+VLOOKUP(DB$4,$DE$6:$DF$17,2)+1))*(VLOOKUP($A7,CURVES!$D$9:$T$261,7))*(INDEX(DailyScalarsTable,DB$5/100,MONTH($A7)))*$E7</f>
        <v>0</v>
      </c>
      <c r="DE7" s="221" t="s">
        <v>559</v>
      </c>
      <c r="DF7" s="619">
        <v>2</v>
      </c>
      <c r="DH7" s="1032">
        <f t="shared" ref="DH7:DH70" si="0">SUM(H7:DB7)</f>
        <v>-236298.75008560892</v>
      </c>
      <c r="DI7">
        <f ca="1">CALC!J27</f>
        <v>0.93329821543014668</v>
      </c>
      <c r="DJ7" s="1029">
        <f t="shared" ref="DJ7:DJ70" ca="1" si="1">DH7*DI7</f>
        <v>-220537.20176327301</v>
      </c>
    </row>
    <row r="8" spans="1:114" x14ac:dyDescent="0.25">
      <c r="A8" s="244">
        <v>36951</v>
      </c>
      <c r="B8" s="13">
        <v>22</v>
      </c>
      <c r="C8" s="210">
        <v>5</v>
      </c>
      <c r="D8" s="210">
        <v>4</v>
      </c>
      <c r="E8" s="210">
        <v>0</v>
      </c>
      <c r="F8" s="13">
        <v>31</v>
      </c>
      <c r="H8" s="1021">
        <f>(VLOOKUP(YEAR($A8),'NY East Load Projections'!$A$4:$EO$14,((MONTH($A8)-1)*12)+VLOOKUP(H$4,$DE$6:$DF$17,2)+1))*(VLOOKUP($A8,CURVES!$D$9:$K$261,7))*(INDEX(DailyScalarsTable,H$5/100,MONTH($A8)))*$B8</f>
        <v>-1944.3368060287812</v>
      </c>
      <c r="I8" s="1021">
        <f>(VLOOKUP(YEAR($A8),'NY East Load Projections'!$A$4:$EO$14,((MONTH($A8)-1)*12)+VLOOKUP(I$4,$DE$6:$DF$17,2)+1))*(VLOOKUP($A8,CURVES!$D$9:$K$261,7))*(INDEX(DailyScalarsTable,I$5/100,MONTH($A8)))*$B8</f>
        <v>-1838.4566936112208</v>
      </c>
      <c r="J8" s="1021">
        <f>(VLOOKUP(YEAR($A8),'NY East Load Projections'!$A$4:$EO$14,((MONTH($A8)-1)*12)+VLOOKUP(J$4,$DE$6:$DF$17,2)+1))*(VLOOKUP($A8,CURVES!$D$9:$K$261,7))*(INDEX(DailyScalarsTable,J$5/100,MONTH($A8)))*$B8</f>
        <v>-1760.1044701015103</v>
      </c>
      <c r="K8" s="1021">
        <f>(VLOOKUP(YEAR($A8),'NY East Load Projections'!$A$4:$EO$14,((MONTH($A8)-1)*12)+VLOOKUP(K$4,$DE$6:$DF$17,2)+1))*(VLOOKUP($A8,CURVES!$D$9:$K$261,7))*(INDEX(DailyScalarsTable,K$5/100,MONTH($A8)))*$B8</f>
        <v>-1761.2093469406823</v>
      </c>
      <c r="L8" s="1021">
        <f>(VLOOKUP(YEAR($A8),'NY East Load Projections'!$A$4:$EO$14,((MONTH($A8)-1)*12)+VLOOKUP(L$4,$DE$6:$DF$17,2)+1))*(VLOOKUP($A8,CURVES!$D$9:$K$261,7))*(INDEX(DailyScalarsTable,L$5/100,MONTH($A8)))*$B8</f>
        <v>-3742.1196725568343</v>
      </c>
      <c r="M8" s="1021">
        <f>(VLOOKUP(YEAR($A8),'NY East Load Projections'!$A$4:$EO$14,((MONTH($A8)-1)*12)+VLOOKUP(M$4,$DE$6:$DF$17,2)+1))*(VLOOKUP($A8,CURVES!$D$9:$K$261,7))*(INDEX(DailyScalarsTable,M$5/100,MONTH($A8)))*$B8</f>
        <v>-4343.752623357509</v>
      </c>
      <c r="N8" s="1021">
        <f>(VLOOKUP(YEAR($A8),'NY East Load Projections'!$A$4:$EO$14,((MONTH($A8)-1)*12)+VLOOKUP(N$4,$DE$6:$DF$17,2)+1))*(VLOOKUP($A8,CURVES!$D$9:$K$261,7))*(INDEX(DailyScalarsTable,N$5/100,MONTH($A8)))*$B8</f>
        <v>-7837.8096794778658</v>
      </c>
      <c r="O8" s="1021">
        <f>(VLOOKUP(YEAR($A8),'NY East Load Projections'!$A$4:$EO$14,((MONTH($A8)-1)*12)+VLOOKUP(O$4,$DE$6:$DF$17,2)+1))*(VLOOKUP($A8,CURVES!$D$9:$K$261,3))*(INDEX(DailyScalarsTable,O$5/100,MONTH($A8)))*$B8</f>
        <v>-8514.1189166965087</v>
      </c>
      <c r="P8" s="1021">
        <f>(VLOOKUP(YEAR($A8),'NY East Load Projections'!$A$4:$EO$14,((MONTH($A8)-1)*12)+VLOOKUP(P$4,$DE$6:$DF$17,2)+1))*(VLOOKUP($A8,CURVES!$D$9:$K$261,3))*(INDEX(DailyScalarsTable,P$5/100,MONTH($A8)))*$B8</f>
        <v>-9202.8148072000622</v>
      </c>
      <c r="Q8" s="1021">
        <f>(VLOOKUP(YEAR($A8),'NY East Load Projections'!$A$4:$EO$14,((MONTH($A8)-1)*12)+VLOOKUP(Q$4,$DE$6:$DF$17,2)+1))*(VLOOKUP($A8,CURVES!$D$9:$K$261,3))*(INDEX(DailyScalarsTable,Q$5/100,MONTH($A8)))*$B8</f>
        <v>-9174.9696791903807</v>
      </c>
      <c r="R8" s="1021">
        <f>(VLOOKUP(YEAR($A8),'NY East Load Projections'!$A$4:$EO$14,((MONTH($A8)-1)*12)+VLOOKUP(R$4,$DE$6:$DF$17,2)+1))*(VLOOKUP($A8,CURVES!$D$9:$K$261,3))*(INDEX(DailyScalarsTable,R$5/100,MONTH($A8)))*$B8</f>
        <v>-9013.3132415786131</v>
      </c>
      <c r="S8" s="1021">
        <f>(VLOOKUP(YEAR($A8),'NY East Load Projections'!$A$4:$EO$14,((MONTH($A8)-1)*12)+VLOOKUP(S$4,$DE$6:$DF$17,2)+1))*(VLOOKUP($A8,CURVES!$D$9:$K$261,3))*(INDEX(DailyScalarsTable,S$5/100,MONTH($A8)))*$B8</f>
        <v>-6887.0283277281351</v>
      </c>
      <c r="T8" s="1021">
        <f>(VLOOKUP(YEAR($A8),'NY East Load Projections'!$A$4:$EO$14,((MONTH($A8)-1)*12)+VLOOKUP(T$4,$DE$6:$DF$17,2)+1))*(VLOOKUP($A8,CURVES!$D$9:$K$261,3))*(INDEX(DailyScalarsTable,T$5/100,MONTH($A8)))*$B8</f>
        <v>-6655.2900674503289</v>
      </c>
      <c r="U8" s="1021">
        <f>(VLOOKUP(YEAR($A8),'NY East Load Projections'!$A$4:$EO$14,((MONTH($A8)-1)*12)+VLOOKUP(U$4,$DE$6:$DF$17,2)+1))*(VLOOKUP($A8,CURVES!$D$9:$K$261,3))*(INDEX(DailyScalarsTable,U$5/100,MONTH($A8)))*$B8</f>
        <v>-6442.8871929572333</v>
      </c>
      <c r="V8" s="1021">
        <f>(VLOOKUP(YEAR($A8),'NY East Load Projections'!$A$4:$EO$14,((MONTH($A8)-1)*12)+VLOOKUP(V$4,$DE$6:$DF$17,2)+1))*(VLOOKUP($A8,CURVES!$D$9:$K$261,3))*(INDEX(DailyScalarsTable,V$5/100,MONTH($A8)))*$B8</f>
        <v>-6118.89585179204</v>
      </c>
      <c r="W8" s="1021">
        <f>(VLOOKUP(YEAR($A8),'NY East Load Projections'!$A$4:$EO$14,((MONTH($A8)-1)*12)+VLOOKUP(W$4,$DE$6:$DF$17,2)+1))*(VLOOKUP($A8,CURVES!$D$9:$K$261,3))*(INDEX(DailyScalarsTable,W$5/100,MONTH($A8)))*$B8</f>
        <v>-5997.3029019010646</v>
      </c>
      <c r="X8" s="1021">
        <f>(VLOOKUP(YEAR($A8),'NY East Load Projections'!$A$4:$EO$14,((MONTH($A8)-1)*12)+VLOOKUP(X$4,$DE$6:$DF$17,2)+1))*(VLOOKUP($A8,CURVES!$D$9:$K$261,3))*(INDEX(DailyScalarsTable,X$5/100,MONTH($A8)))*$B8</f>
        <v>-5661.4243337634898</v>
      </c>
      <c r="Y8" s="1021">
        <f>(VLOOKUP(YEAR($A8),'NY East Load Projections'!$A$4:$EO$14,((MONTH($A8)-1)*12)+VLOOKUP(Y$4,$DE$6:$DF$17,2)+1))*(VLOOKUP($A8,CURVES!$D$9:$K$261,3))*(INDEX(DailyScalarsTable,Y$5/100,MONTH($A8)))*$B8</f>
        <v>-7718.4884719847578</v>
      </c>
      <c r="Z8" s="1021">
        <f>(VLOOKUP(YEAR($A8),'NY East Load Projections'!$A$4:$EO$14,((MONTH($A8)-1)*12)+VLOOKUP(Z$4,$DE$6:$DF$17,2)+1))*(VLOOKUP($A8,CURVES!$D$9:$K$261,3))*(INDEX(DailyScalarsTable,Z$5/100,MONTH($A8)))*$B8</f>
        <v>-8475.477413034112</v>
      </c>
      <c r="AA8" s="1021">
        <f>(VLOOKUP(YEAR($A8),'NY East Load Projections'!$A$4:$EO$14,((MONTH($A8)-1)*12)+VLOOKUP(AA$4,$DE$6:$DF$17,2)+1))*(VLOOKUP($A8,CURVES!$D$9:$K$261,3))*(INDEX(DailyScalarsTable,AA$5/100,MONTH($A8)))*$B8</f>
        <v>-8109.6438490938872</v>
      </c>
      <c r="AB8" s="1021">
        <f>(VLOOKUP(YEAR($A8),'NY East Load Projections'!$A$4:$EO$14,((MONTH($A8)-1)*12)+VLOOKUP(AB$4,$DE$6:$DF$17,2)+1))*(VLOOKUP($A8,CURVES!$D$9:$K$261,3))*(INDEX(DailyScalarsTable,AB$5/100,MONTH($A8)))*$B8</f>
        <v>-5674.0108157600462</v>
      </c>
      <c r="AC8" s="1021">
        <f>(VLOOKUP(YEAR($A8),'NY East Load Projections'!$A$4:$EO$14,((MONTH($A8)-1)*12)+VLOOKUP(AC$4,$DE$6:$DF$17,2)+1))*(VLOOKUP($A8,CURVES!$D$9:$K$261,3))*(INDEX(DailyScalarsTable,AC$5/100,MONTH($A8)))*$B8</f>
        <v>-4120.111774783406</v>
      </c>
      <c r="AD8" s="1021">
        <f>(VLOOKUP(YEAR($A8),'NY East Load Projections'!$A$4:$EO$14,((MONTH($A8)-1)*12)+VLOOKUP(AD$4,$DE$6:$DF$17,2)+1))*(VLOOKUP($A8,CURVES!$D$9:$K$261,3))*(INDEX(DailyScalarsTable,AD$5/100,MONTH($A8)))*$B8</f>
        <v>-3381.8115289112143</v>
      </c>
      <c r="AE8" s="1021">
        <f>(VLOOKUP(YEAR($A8),'NY East Load Projections'!$A$4:$EO$14,((MONTH($A8)-1)*12)+VLOOKUP(AE$4,$DE$6:$DF$17,2)+1))*(VLOOKUP($A8,CURVES!$D$9:$K$261,7))*(INDEX(DailyScalarsTable,AE$5/100,MONTH($A8)))*$B8</f>
        <v>-3014.7534734254232</v>
      </c>
      <c r="AF8" s="1021"/>
      <c r="AG8" s="1021">
        <f>(VLOOKUP(YEAR($A8),'NY East Load Projections'!$A$4:$EO$14,((MONTH($A8)-1)*12)+VLOOKUP(AG$4,$DE$6:$DF$17,2)+1))*(VLOOKUP($A8,CURVES!$D$9:$T$261,7))*(INDEX(DailyScalarsTable,AG$5/100,MONTH($A8)))*$C8</f>
        <v>-1122.6052049848445</v>
      </c>
      <c r="AH8" s="1021">
        <f>(VLOOKUP(YEAR($A8),'NY East Load Projections'!$A$4:$EO$14,((MONTH($A8)-1)*12)+VLOOKUP(AH$4,$DE$6:$DF$17,2)+1))*(VLOOKUP($A8,CURVES!$D$9:$T$261,7))*(INDEX(DailyScalarsTable,AH$5/100,MONTH($A8)))*$C8</f>
        <v>-1061.4730158827399</v>
      </c>
      <c r="AI8" s="1021">
        <f>(VLOOKUP(YEAR($A8),'NY East Load Projections'!$A$4:$EO$14,((MONTH($A8)-1)*12)+VLOOKUP(AI$4,$DE$6:$DF$17,2)+1))*(VLOOKUP($A8,CURVES!$D$9:$T$261,7))*(INDEX(DailyScalarsTable,AI$5/100,MONTH($A8)))*$C8</f>
        <v>-1016.2346530325357</v>
      </c>
      <c r="AJ8" s="1021">
        <f>(VLOOKUP(YEAR($A8),'NY East Load Projections'!$A$4:$EO$14,((MONTH($A8)-1)*12)+VLOOKUP(AJ$4,$DE$6:$DF$17,2)+1))*(VLOOKUP($A8,CURVES!$D$9:$T$261,7))*(INDEX(DailyScalarsTable,AJ$5/100,MONTH($A8)))*$C8</f>
        <v>-1016.8725777411952</v>
      </c>
      <c r="AK8" s="1021">
        <f>(VLOOKUP(YEAR($A8),'NY East Load Projections'!$A$4:$EO$14,((MONTH($A8)-1)*12)+VLOOKUP(AK$4,$DE$6:$DF$17,2)+1))*(VLOOKUP($A8,CURVES!$D$9:$T$261,7))*(INDEX(DailyScalarsTable,AK$5/100,MONTH($A8)))*$C8</f>
        <v>-1098.3373372352394</v>
      </c>
      <c r="AL8" s="1021">
        <f>(VLOOKUP(YEAR($A8),'NY East Load Projections'!$A$4:$EO$14,((MONTH($A8)-1)*12)+VLOOKUP(AL$4,$DE$6:$DF$17,2)+1))*(VLOOKUP($A8,CURVES!$D$9:$T$261,7))*(INDEX(DailyScalarsTable,AL$5/100,MONTH($A8)))*$C8</f>
        <v>-1274.9206619272311</v>
      </c>
      <c r="AM8" s="1021">
        <f>(VLOOKUP(YEAR($A8),'NY East Load Projections'!$A$4:$EO$14,((MONTH($A8)-1)*12)+VLOOKUP(AM$4,$DE$6:$DF$17,2)+1))*(VLOOKUP($A8,CURVES!$D$9:$T$261,7))*(INDEX(DailyScalarsTable,AM$5/100,MONTH($A8)))*$C8</f>
        <v>-2300.4499498628907</v>
      </c>
      <c r="AN8" s="1021">
        <f>(VLOOKUP(YEAR($A8),'NY East Load Projections'!$A$4:$EO$14,((MONTH($A8)-1)*12)+VLOOKUP(AN$4,$DE$6:$DF$17,2)+1))*(VLOOKUP($A8,SatSunCurve,3))*(INDEX(DailyScalarsTable,AN$5/100,MONTH($A8)))*$C8</f>
        <v>-1550.071675895188</v>
      </c>
      <c r="AO8" s="1021">
        <f>(VLOOKUP(YEAR($A8),'NY East Load Projections'!$A$4:$EO$14,((MONTH($A8)-1)*12)+VLOOKUP(AO$4,$DE$6:$DF$17,2)+1))*(VLOOKUP($A8,SatSunCurve,3))*(INDEX(DailyScalarsTable,AO$5/100,MONTH($A8)))*$C8</f>
        <v>-1926.583739110263</v>
      </c>
      <c r="AP8" s="1021">
        <f>(VLOOKUP(YEAR($A8),'NY East Load Projections'!$A$4:$EO$14,((MONTH($A8)-1)*12)+VLOOKUP(AP$4,$DE$6:$DF$17,2)+1))*(VLOOKUP($A8,SatSunCurve,3))*(INDEX(DailyScalarsTable,AP$5/100,MONTH($A8)))*$C8</f>
        <v>-1920.7544388406402</v>
      </c>
      <c r="AQ8" s="1021">
        <f>(VLOOKUP(YEAR($A8),'NY East Load Projections'!$A$4:$EO$14,((MONTH($A8)-1)*12)+VLOOKUP(AQ$4,$DE$6:$DF$17,2)+1))*(VLOOKUP($A8,SatSunCurve,3))*(INDEX(DailyScalarsTable,AQ$5/100,MONTH($A8)))*$C8</f>
        <v>-1886.9121122753315</v>
      </c>
      <c r="AR8" s="1021">
        <f>(VLOOKUP(YEAR($A8),'NY East Load Projections'!$A$4:$EO$14,((MONTH($A8)-1)*12)+VLOOKUP(AR$4,$DE$6:$DF$17,2)+1))*(VLOOKUP($A8,SatSunCurve,3))*(INDEX(DailyScalarsTable,AR$5/100,MONTH($A8)))*$C8</f>
        <v>-1441.7802666866514</v>
      </c>
      <c r="AS8" s="1021">
        <f>(VLOOKUP(YEAR($A8),'NY East Load Projections'!$A$4:$EO$14,((MONTH($A8)-1)*12)+VLOOKUP(AS$4,$DE$6:$DF$17,2)+1))*(VLOOKUP($A8,SatSunCurve,3))*(INDEX(DailyScalarsTable,AS$5/100,MONTH($A8)))*$C8</f>
        <v>-1217.1723394989117</v>
      </c>
      <c r="AT8" s="1021">
        <f>(VLOOKUP(YEAR($A8),'NY East Load Projections'!$A$4:$EO$14,((MONTH($A8)-1)*12)+VLOOKUP(AT$4,$DE$6:$DF$17,2)+1))*(VLOOKUP($A8,SatSunCurve,3))*(INDEX(DailyScalarsTable,AT$5/100,MONTH($A8)))*$C8</f>
        <v>-1178.3264137702231</v>
      </c>
      <c r="AU8" s="1021">
        <f>(VLOOKUP(YEAR($A8),'NY East Load Projections'!$A$4:$EO$14,((MONTH($A8)-1)*12)+VLOOKUP(AU$4,$DE$6:$DF$17,2)+1))*(VLOOKUP($A8,SatSunCurve,3))*(INDEX(DailyScalarsTable,AU$5/100,MONTH($A8)))*$C8</f>
        <v>-1119.0723024232016</v>
      </c>
      <c r="AV8" s="1021">
        <f>(VLOOKUP(YEAR($A8),'NY East Load Projections'!$A$4:$EO$14,((MONTH($A8)-1)*12)+VLOOKUP(AV$4,$DE$6:$DF$17,2)+1))*(VLOOKUP($A8,SatSunCurve,3))*(INDEX(DailyScalarsTable,AV$5/100,MONTH($A8)))*$C8</f>
        <v>-1096.8344174046044</v>
      </c>
      <c r="AW8" s="1021">
        <f>(VLOOKUP(YEAR($A8),'NY East Load Projections'!$A$4:$EO$14,((MONTH($A8)-1)*12)+VLOOKUP(AW$4,$DE$6:$DF$17,2)+1))*(VLOOKUP($A8,SatSunCurve,3))*(INDEX(DailyScalarsTable,AW$5/100,MONTH($A8)))*$C8</f>
        <v>-1130.439136830769</v>
      </c>
      <c r="AX8" s="1021">
        <f>(VLOOKUP(YEAR($A8),'NY East Load Projections'!$A$4:$EO$14,((MONTH($A8)-1)*12)+VLOOKUP(AX$4,$DE$6:$DF$17,2)+1))*(VLOOKUP($A8,SatSunCurve,3))*(INDEX(DailyScalarsTable,AX$5/100,MONTH($A8)))*$C8</f>
        <v>-1541.1813232004235</v>
      </c>
      <c r="AY8" s="1021">
        <f>(VLOOKUP(YEAR($A8),'NY East Load Projections'!$A$4:$EO$14,((MONTH($A8)-1)*12)+VLOOKUP(AY$4,$DE$6:$DF$17,2)+1))*(VLOOKUP($A8,SatSunCurve,3))*(INDEX(DailyScalarsTable,AY$5/100,MONTH($A8)))*$C8</f>
        <v>-1692.3323188971929</v>
      </c>
      <c r="AZ8" s="1021">
        <f>(VLOOKUP(YEAR($A8),'NY East Load Projections'!$A$4:$EO$14,((MONTH($A8)-1)*12)+VLOOKUP(AZ$4,$DE$6:$DF$17,2)+1))*(VLOOKUP($A8,SatSunCurve,3))*(INDEX(DailyScalarsTable,AZ$5/100,MONTH($A8)))*$C8</f>
        <v>-1619.2848746740183</v>
      </c>
      <c r="BA8" s="1021">
        <f>(VLOOKUP(YEAR($A8),'NY East Load Projections'!$A$4:$EO$14,((MONTH($A8)-1)*12)+VLOOKUP(BA$4,$DE$6:$DF$17,2)+1))*(VLOOKUP($A8,SatSunCurve,3))*(INDEX(DailyScalarsTable,BA$5/100,MONTH($A8)))*$C8</f>
        <v>-1594.0903503648963</v>
      </c>
      <c r="BB8" s="1021">
        <f>(VLOOKUP(YEAR($A8),'NY East Load Projections'!$A$4:$EO$14,((MONTH($A8)-1)*12)+VLOOKUP(BB$4,$DE$6:$DF$17,2)+1))*(VLOOKUP($A8,SatSunCurve,3))*(INDEX(DailyScalarsTable,BB$5/100,MONTH($A8)))*$C8</f>
        <v>-1157.5287104431152</v>
      </c>
      <c r="BC8" s="1021">
        <f>(VLOOKUP(YEAR($A8),'NY East Load Projections'!$A$4:$EO$14,((MONTH($A8)-1)*12)+VLOOKUP(BC$4,$DE$6:$DF$17,2)+1))*(VLOOKUP($A8,SatSunCurve,3))*(INDEX(DailyScalarsTable,BC$5/100,MONTH($A8)))*$C8</f>
        <v>-950.10624759762607</v>
      </c>
      <c r="BD8" s="1021">
        <f>(VLOOKUP(YEAR($A8),'NY East Load Projections'!$A$4:$EO$14,((MONTH($A8)-1)*12)+VLOOKUP(BD$4,$DE$6:$DF$17,2)+1))*(VLOOKUP($A8,CURVES!$D$9:$T$261,7))*(INDEX(DailyScalarsTable,BD$5/100,MONTH($A8)))*$C8</f>
        <v>-1365.4650361658464</v>
      </c>
      <c r="BE8" s="1021"/>
      <c r="BF8" s="1021">
        <f>(VLOOKUP(YEAR($A8),'NY East Load Projections'!$A$4:$EO$14,((MONTH($A8)-1)*12)+VLOOKUP(BF$4,$DE$6:$DF$17,2)+1))*(VLOOKUP($A8,CURVES!$D$9:$T$261,7))*(INDEX(DailyScalarsTable,BF$5/100,MONTH($A8)))*$D8</f>
        <v>-898.08416398787563</v>
      </c>
      <c r="BG8" s="1021">
        <f>(VLOOKUP(YEAR($A8),'NY East Load Projections'!$A$4:$EO$14,((MONTH($A8)-1)*12)+VLOOKUP(BG$4,$DE$6:$DF$17,2)+1))*(VLOOKUP($A8,CURVES!$D$9:$T$261,7))*(INDEX(DailyScalarsTable,BG$5/100,MONTH($A8)))*$D8</f>
        <v>-849.17841270619192</v>
      </c>
      <c r="BH8" s="1021">
        <f>(VLOOKUP(YEAR($A8),'NY East Load Projections'!$A$4:$EO$14,((MONTH($A8)-1)*12)+VLOOKUP(BH$4,$DE$6:$DF$17,2)+1))*(VLOOKUP($A8,CURVES!$D$9:$T$261,7))*(INDEX(DailyScalarsTable,BH$5/100,MONTH($A8)))*$D8</f>
        <v>-812.98772242602854</v>
      </c>
      <c r="BI8" s="1021">
        <f>(VLOOKUP(YEAR($A8),'NY East Load Projections'!$A$4:$EO$14,((MONTH($A8)-1)*12)+VLOOKUP(BI$4,$DE$6:$DF$17,2)+1))*(VLOOKUP($A8,CURVES!$D$9:$T$261,7))*(INDEX(DailyScalarsTable,BI$5/100,MONTH($A8)))*$D8</f>
        <v>-813.49806219295613</v>
      </c>
      <c r="BJ8" s="1021">
        <f>(VLOOKUP(YEAR($A8),'NY East Load Projections'!$A$4:$EO$14,((MONTH($A8)-1)*12)+VLOOKUP(BJ$4,$DE$6:$DF$17,2)+1))*(VLOOKUP($A8,CURVES!$D$9:$T$261,7))*(INDEX(DailyScalarsTable,BJ$5/100,MONTH($A8)))*$D8</f>
        <v>-878.66986978819159</v>
      </c>
      <c r="BK8" s="1021">
        <f>(VLOOKUP(YEAR($A8),'NY East Load Projections'!$A$4:$EO$14,((MONTH($A8)-1)*12)+VLOOKUP(BK$4,$DE$6:$DF$17,2)+1))*(VLOOKUP($A8,CURVES!$D$9:$T$261,7))*(INDEX(DailyScalarsTable,BK$5/100,MONTH($A8)))*$D8</f>
        <v>-1019.9365295417849</v>
      </c>
      <c r="BL8" s="1021">
        <f>(VLOOKUP(YEAR($A8),'NY East Load Projections'!$A$4:$EO$14,((MONTH($A8)-1)*12)+VLOOKUP(BL$4,$DE$6:$DF$17,2)+1))*(VLOOKUP($A8,CURVES!$D$9:$T$261,7))*(INDEX(DailyScalarsTable,BL$5/100,MONTH($A8)))*$D8</f>
        <v>-1840.3599598903124</v>
      </c>
      <c r="BM8" s="1021">
        <f>(VLOOKUP(YEAR($A8),'NY East Load Projections'!$A$4:$EO$14,((MONTH($A8)-1)*12)+VLOOKUP(BM$4,$DE$6:$DF$17,2)+1))*(VLOOKUP($A8,SatSunCurve,7))*(INDEX(DailyScalarsTable,BM$5/100,MONTH($A8)))*$D8</f>
        <v>-1218.1257623833492</v>
      </c>
      <c r="BN8" s="1021">
        <f>(VLOOKUP(YEAR($A8),'NY East Load Projections'!$A$4:$EO$14,((MONTH($A8)-1)*12)+VLOOKUP(BN$4,$DE$6:$DF$17,2)+1))*(VLOOKUP($A8,SatSunCurve,7))*(INDEX(DailyScalarsTable,BN$5/100,MONTH($A8)))*$D8</f>
        <v>-1514.0082374860053</v>
      </c>
      <c r="BO8" s="1021">
        <f>(VLOOKUP(YEAR($A8),'NY East Load Projections'!$A$4:$EO$14,((MONTH($A8)-1)*12)+VLOOKUP(BO$4,$DE$6:$DF$17,2)+1))*(VLOOKUP($A8,SatSunCurve,7))*(INDEX(DailyScalarsTable,BO$5/100,MONTH($A8)))*$D8</f>
        <v>-1509.427274588922</v>
      </c>
      <c r="BP8" s="1021">
        <f>(VLOOKUP(YEAR($A8),'NY East Load Projections'!$A$4:$EO$14,((MONTH($A8)-1)*12)+VLOOKUP(BP$4,$DE$6:$DF$17,2)+1))*(VLOOKUP($A8,SatSunCurve,7))*(INDEX(DailyScalarsTable,BP$5/100,MONTH($A8)))*$D8</f>
        <v>-1482.8322399919668</v>
      </c>
      <c r="BQ8" s="1021">
        <f>(VLOOKUP(YEAR($A8),'NY East Load Projections'!$A$4:$EO$14,((MONTH($A8)-1)*12)+VLOOKUP(BQ$4,$DE$6:$DF$17,2)+1))*(VLOOKUP($A8,SatSunCurve,7))*(INDEX(DailyScalarsTable,BQ$5/100,MONTH($A8)))*$D8</f>
        <v>-1133.0248232119172</v>
      </c>
      <c r="BR8" s="1021">
        <f>(VLOOKUP(YEAR($A8),'NY East Load Projections'!$A$4:$EO$14,((MONTH($A8)-1)*12)+VLOOKUP(BR$4,$DE$6:$DF$17,2)+1))*(VLOOKUP($A8,SatSunCurve,7))*(INDEX(DailyScalarsTable,BR$5/100,MONTH($A8)))*$D8</f>
        <v>-956.51640311908454</v>
      </c>
      <c r="BS8" s="1021">
        <f>(VLOOKUP(YEAR($A8),'NY East Load Projections'!$A$4:$EO$14,((MONTH($A8)-1)*12)+VLOOKUP(BS$4,$DE$6:$DF$17,2)+1))*(VLOOKUP($A8,SatSunCurve,7))*(INDEX(DailyScalarsTable,BS$5/100,MONTH($A8)))*$D8</f>
        <v>-925.98928387060312</v>
      </c>
      <c r="BT8" s="1021">
        <f>(VLOOKUP(YEAR($A8),'NY East Load Projections'!$A$4:$EO$14,((MONTH($A8)-1)*12)+VLOOKUP(BT$4,$DE$6:$DF$17,2)+1))*(VLOOKUP($A8,SatSunCurve,7))*(INDEX(DailyScalarsTable,BT$5/100,MONTH($A8)))*$D8</f>
        <v>-879.42436646621661</v>
      </c>
      <c r="BU8" s="1021">
        <f>(VLOOKUP(YEAR($A8),'NY East Load Projections'!$A$4:$EO$14,((MONTH($A8)-1)*12)+VLOOKUP(BU$4,$DE$6:$DF$17,2)+1))*(VLOOKUP($A8,SatSunCurve,7))*(INDEX(DailyScalarsTable,BU$5/100,MONTH($A8)))*$D8</f>
        <v>-861.94869675150619</v>
      </c>
      <c r="BV8" s="1021">
        <f>(VLOOKUP(YEAR($A8),'NY East Load Projections'!$A$4:$EO$14,((MONTH($A8)-1)*12)+VLOOKUP(BV$4,$DE$6:$DF$17,2)+1))*(VLOOKUP($A8,SatSunCurve,7))*(INDEX(DailyScalarsTable,BV$5/100,MONTH($A8)))*$D8</f>
        <v>-888.35700748141778</v>
      </c>
      <c r="BW8" s="1021">
        <f>(VLOOKUP(YEAR($A8),'NY East Load Projections'!$A$4:$EO$14,((MONTH($A8)-1)*12)+VLOOKUP(BW$4,$DE$6:$DF$17,2)+1))*(VLOOKUP($A8,SatSunCurve,7))*(INDEX(DailyScalarsTable,BW$5/100,MONTH($A8)))*$D8</f>
        <v>-1211.1392676150263</v>
      </c>
      <c r="BX8" s="1021">
        <f>(VLOOKUP(YEAR($A8),'NY East Load Projections'!$A$4:$EO$14,((MONTH($A8)-1)*12)+VLOOKUP(BX$4,$DE$6:$DF$17,2)+1))*(VLOOKUP($A8,SatSunCurve,7))*(INDEX(DailyScalarsTable,BX$5/100,MONTH($A8)))*$D8</f>
        <v>-1329.9214663554794</v>
      </c>
      <c r="BY8" s="1021">
        <f>(VLOOKUP(YEAR($A8),'NY East Load Projections'!$A$4:$EO$14,((MONTH($A8)-1)*12)+VLOOKUP(BY$4,$DE$6:$DF$17,2)+1))*(VLOOKUP($A8,SatSunCurve,7))*(INDEX(DailyScalarsTable,BY$5/100,MONTH($A8)))*$D8</f>
        <v>-1272.5170410839048</v>
      </c>
      <c r="BZ8" s="1021">
        <f>(VLOOKUP(YEAR($A8),'NY East Load Projections'!$A$4:$EO$14,((MONTH($A8)-1)*12)+VLOOKUP(BZ$4,$DE$6:$DF$17,2)+1))*(VLOOKUP($A8,SatSunCurve,7))*(INDEX(DailyScalarsTable,BZ$5/100,MONTH($A8)))*$D8</f>
        <v>-1252.7178926901952</v>
      </c>
      <c r="CA8" s="1021">
        <f>(VLOOKUP(YEAR($A8),'NY East Load Projections'!$A$4:$EO$14,((MONTH($A8)-1)*12)+VLOOKUP(CA$4,$DE$6:$DF$17,2)+1))*(VLOOKUP($A8,SatSunCurve,7))*(INDEX(DailyScalarsTable,CA$5/100,MONTH($A8)))*$D8</f>
        <v>-909.64538273678932</v>
      </c>
      <c r="CB8" s="1021">
        <f>(VLOOKUP(YEAR($A8),'NY East Load Projections'!$A$4:$EO$14,((MONTH($A8)-1)*12)+VLOOKUP(CB$4,$DE$6:$DF$17,2)+1))*(VLOOKUP($A8,SatSunCurve,7))*(INDEX(DailyScalarsTable,CB$5/100,MONTH($A8)))*$D8</f>
        <v>-746.64218126020285</v>
      </c>
      <c r="CC8" s="1021">
        <f>(VLOOKUP(YEAR($A8),'NY East Load Projections'!$A$4:$EO$14,((MONTH($A8)-1)*12)+VLOOKUP(CC$4,$DE$6:$DF$17,2)+1))*(VLOOKUP($A8,CURVES!$D$9:$T$261,7))*(INDEX(DailyScalarsTable,CC$5/100,MONTH($A8)))*$D8</f>
        <v>-1092.372028932677</v>
      </c>
      <c r="CE8" s="1021">
        <f>(VLOOKUP(YEAR($A8),'NY East Load Projections'!$A$4:$EO$14,((MONTH($A8)-1)*12)+VLOOKUP(CE$4,$DE$6:$DF$17,2)+1))*(VLOOKUP($A8,CURVES!$D$9:$T$261,7))*(INDEX(DailyScalarsTable,CE$5/100,MONTH($A8)))*$E8</f>
        <v>0</v>
      </c>
      <c r="CF8" s="1021">
        <f>(VLOOKUP(YEAR($A8),'NY East Load Projections'!$A$4:$EO$14,((MONTH($A8)-1)*12)+VLOOKUP(CF$4,$DE$6:$DF$17,2)+1))*(VLOOKUP($A8,CURVES!$D$9:$T$261,7))*(INDEX(DailyScalarsTable,CF$5/100,MONTH($A8)))*$E8</f>
        <v>0</v>
      </c>
      <c r="CG8" s="1021">
        <f>(VLOOKUP(YEAR($A8),'NY East Load Projections'!$A$4:$EO$14,((MONTH($A8)-1)*12)+VLOOKUP(CG$4,$DE$6:$DF$17,2)+1))*(VLOOKUP($A8,CURVES!$D$9:$T$261,7))*(INDEX(DailyScalarsTable,CG$5/100,MONTH($A8)))*$E8</f>
        <v>0</v>
      </c>
      <c r="CH8" s="1021">
        <f>(VLOOKUP(YEAR($A8),'NY East Load Projections'!$A$4:$EO$14,((MONTH($A8)-1)*12)+VLOOKUP(CH$4,$DE$6:$DF$17,2)+1))*(VLOOKUP($A8,CURVES!$D$9:$T$261,7))*(INDEX(DailyScalarsTable,CH$5/100,MONTH($A8)))*$E8</f>
        <v>0</v>
      </c>
      <c r="CI8" s="1021">
        <f>(VLOOKUP(YEAR($A8),'NY East Load Projections'!$A$4:$EO$14,((MONTH($A8)-1)*12)+VLOOKUP(CI$4,$DE$6:$DF$17,2)+1))*(VLOOKUP($A8,CURVES!$D$9:$T$261,7))*(INDEX(DailyScalarsTable,CI$5/100,MONTH($A8)))*$E8</f>
        <v>0</v>
      </c>
      <c r="CJ8" s="1021">
        <f>(VLOOKUP(YEAR($A8),'NY East Load Projections'!$A$4:$EO$14,((MONTH($A8)-1)*12)+VLOOKUP(CJ$4,$DE$6:$DF$17,2)+1))*(VLOOKUP($A8,CURVES!$D$9:$T$261,7))*(INDEX(DailyScalarsTable,CJ$5/100,MONTH($A8)))*$E8</f>
        <v>0</v>
      </c>
      <c r="CK8" s="1021">
        <f>(VLOOKUP(YEAR($A8),'NY East Load Projections'!$A$4:$EO$14,((MONTH($A8)-1)*12)+VLOOKUP(CK$4,$DE$6:$DF$17,2)+1))*(VLOOKUP($A8,CURVES!$D$9:$T$261,7))*(INDEX(DailyScalarsTable,CK$5/100,MONTH($A8)))*$E8</f>
        <v>0</v>
      </c>
      <c r="CL8" s="1021">
        <f>(VLOOKUP(YEAR($A8),'NY East Load Projections'!$A$4:$EO$14,((MONTH($A8)-1)*12)+VLOOKUP(CL$4,$DE$6:$DF$17,2)+1))*(VLOOKUP($A8,SatSunCurve,7))*(INDEX(DailyScalarsTable,CL$5/100,MONTH($A8)))*$E8</f>
        <v>0</v>
      </c>
      <c r="CM8" s="1021">
        <f>(VLOOKUP(YEAR($A8),'NY East Load Projections'!$A$4:$EO$14,((MONTH($A8)-1)*12)+VLOOKUP(CM$4,$DE$6:$DF$17,2)+1))*(VLOOKUP($A8,SatSunCurve,7))*(INDEX(DailyScalarsTable,CM$5/100,MONTH($A8)))*$E8</f>
        <v>0</v>
      </c>
      <c r="CN8" s="1021">
        <f>(VLOOKUP(YEAR($A8),'NY East Load Projections'!$A$4:$EO$14,((MONTH($A8)-1)*12)+VLOOKUP(CN$4,$DE$6:$DF$17,2)+1))*(VLOOKUP($A8,SatSunCurve,7))*(INDEX(DailyScalarsTable,CN$5/100,MONTH($A8)))*$E8</f>
        <v>0</v>
      </c>
      <c r="CO8" s="1021">
        <f>(VLOOKUP(YEAR($A8),'NY East Load Projections'!$A$4:$EO$14,((MONTH($A8)-1)*12)+VLOOKUP(CO$4,$DE$6:$DF$17,2)+1))*(VLOOKUP($A8,SatSunCurve,7))*(INDEX(DailyScalarsTable,CO$5/100,MONTH($A8)))*$E8</f>
        <v>0</v>
      </c>
      <c r="CP8" s="1021">
        <f>(VLOOKUP(YEAR($A8),'NY East Load Projections'!$A$4:$EO$14,((MONTH($A8)-1)*12)+VLOOKUP(CP$4,$DE$6:$DF$17,2)+1))*(VLOOKUP($A8,SatSunCurve,7))*(INDEX(DailyScalarsTable,CP$5/100,MONTH($A8)))*$E8</f>
        <v>0</v>
      </c>
      <c r="CQ8" s="1021">
        <f>(VLOOKUP(YEAR($A8),'NY East Load Projections'!$A$4:$EO$14,((MONTH($A8)-1)*12)+VLOOKUP(CQ$4,$DE$6:$DF$17,2)+1))*(VLOOKUP($A8,SatSunCurve,7))*(INDEX(DailyScalarsTable,CQ$5/100,MONTH($A8)))*$E8</f>
        <v>0</v>
      </c>
      <c r="CR8" s="1021">
        <f>(VLOOKUP(YEAR($A8),'NY East Load Projections'!$A$4:$EO$14,((MONTH($A8)-1)*12)+VLOOKUP(CR$4,$DE$6:$DF$17,2)+1))*(VLOOKUP($A8,SatSunCurve,7))*(INDEX(DailyScalarsTable,CR$5/100,MONTH($A8)))*$E8</f>
        <v>0</v>
      </c>
      <c r="CS8" s="1021">
        <f>(VLOOKUP(YEAR($A8),'NY East Load Projections'!$A$4:$EO$14,((MONTH($A8)-1)*12)+VLOOKUP(CS$4,$DE$6:$DF$17,2)+1))*(VLOOKUP($A8,SatSunCurve,7))*(INDEX(DailyScalarsTable,CS$5/100,MONTH($A8)))*$E8</f>
        <v>0</v>
      </c>
      <c r="CT8" s="1021">
        <f>(VLOOKUP(YEAR($A8),'NY East Load Projections'!$A$4:$EO$14,((MONTH($A8)-1)*12)+VLOOKUP(CT$4,$DE$6:$DF$17,2)+1))*(VLOOKUP($A8,SatSunCurve,7))*(INDEX(DailyScalarsTable,CT$5/100,MONTH($A8)))*$E8</f>
        <v>0</v>
      </c>
      <c r="CU8" s="1021">
        <f>(VLOOKUP(YEAR($A8),'NY East Load Projections'!$A$4:$EO$14,((MONTH($A8)-1)*12)+VLOOKUP(CU$4,$DE$6:$DF$17,2)+1))*(VLOOKUP($A8,SatSunCurve,7))*(INDEX(DailyScalarsTable,CU$5/100,MONTH($A8)))*$E8</f>
        <v>0</v>
      </c>
      <c r="CV8" s="1021">
        <f>(VLOOKUP(YEAR($A8),'NY East Load Projections'!$A$4:$EO$14,((MONTH($A8)-1)*12)+VLOOKUP(CV$4,$DE$6:$DF$17,2)+1))*(VLOOKUP($A8,SatSunCurve,7))*(INDEX(DailyScalarsTable,CV$5/100,MONTH($A8)))*$E8</f>
        <v>0</v>
      </c>
      <c r="CW8" s="1021">
        <f>(VLOOKUP(YEAR($A8),'NY East Load Projections'!$A$4:$EO$14,((MONTH($A8)-1)*12)+VLOOKUP(CW$4,$DE$6:$DF$17,2)+1))*(VLOOKUP($A8,SatSunCurve,7))*(INDEX(DailyScalarsTable,CW$5/100,MONTH($A8)))*$E8</f>
        <v>0</v>
      </c>
      <c r="CX8" s="1021">
        <f>(VLOOKUP(YEAR($A8),'NY East Load Projections'!$A$4:$EO$14,((MONTH($A8)-1)*12)+VLOOKUP(CX$4,$DE$6:$DF$17,2)+1))*(VLOOKUP($A8,SatSunCurve,7))*(INDEX(DailyScalarsTable,CX$5/100,MONTH($A8)))*$E8</f>
        <v>0</v>
      </c>
      <c r="CY8" s="1021">
        <f>(VLOOKUP(YEAR($A8),'NY East Load Projections'!$A$4:$EO$14,((MONTH($A8)-1)*12)+VLOOKUP(CY$4,$DE$6:$DF$17,2)+1))*(VLOOKUP($A8,SatSunCurve,7))*(INDEX(DailyScalarsTable,CY$5/100,MONTH($A8)))*$E8</f>
        <v>0</v>
      </c>
      <c r="CZ8" s="1021">
        <f>(VLOOKUP(YEAR($A8),'NY East Load Projections'!$A$4:$EO$14,((MONTH($A8)-1)*12)+VLOOKUP(CZ$4,$DE$6:$DF$17,2)+1))*(VLOOKUP($A8,SatSunCurve,7))*(INDEX(DailyScalarsTable,CZ$5/100,MONTH($A8)))*$E8</f>
        <v>0</v>
      </c>
      <c r="DA8" s="1021">
        <f>(VLOOKUP(YEAR($A8),'NY East Load Projections'!$A$4:$EO$14,((MONTH($A8)-1)*12)+VLOOKUP(DA$4,$DE$6:$DF$17,2)+1))*(VLOOKUP($A8,SatSunCurve,7))*(INDEX(DailyScalarsTable,DA$5/100,MONTH($A8)))*$E8</f>
        <v>0</v>
      </c>
      <c r="DB8" s="1021">
        <f>(VLOOKUP(YEAR($A8),'NY East Load Projections'!$A$4:$EO$14,((MONTH($A8)-1)*12)+VLOOKUP(DB$4,$DE$6:$DF$17,2)+1))*(VLOOKUP($A8,CURVES!$D$9:$T$261,7))*(INDEX(DailyScalarsTable,DB$5/100,MONTH($A8)))*$E8</f>
        <v>0</v>
      </c>
      <c r="DE8" s="221" t="s">
        <v>560</v>
      </c>
      <c r="DF8" s="619">
        <v>3</v>
      </c>
      <c r="DH8" s="1032">
        <f t="shared" si="0"/>
        <v>-196966.28512062927</v>
      </c>
      <c r="DI8">
        <f ca="1">CALC!J28</f>
        <v>0.92767633406505923</v>
      </c>
      <c r="DJ8" s="1029">
        <f t="shared" ca="1" si="1"/>
        <v>-182720.96131511859</v>
      </c>
    </row>
    <row r="9" spans="1:114" x14ac:dyDescent="0.25">
      <c r="A9" s="244">
        <v>36982</v>
      </c>
      <c r="B9" s="13">
        <v>21</v>
      </c>
      <c r="C9" s="210">
        <v>4</v>
      </c>
      <c r="D9" s="210">
        <v>5</v>
      </c>
      <c r="E9" s="210">
        <v>0</v>
      </c>
      <c r="F9" s="13">
        <v>30</v>
      </c>
      <c r="H9" s="1021">
        <f>(VLOOKUP(YEAR($A9),'NY East Load Projections'!$A$4:$EO$14,((MONTH($A9)-1)*12)+VLOOKUP(H$4,$DE$6:$DF$17,2)+1))*(VLOOKUP($A9,CURVES!$D$9:$K$261,7))*(INDEX(DailyScalarsTable,H$5/100,MONTH($A9)))*$B9</f>
        <v>-1560.018329387836</v>
      </c>
      <c r="I9" s="1021">
        <f>(VLOOKUP(YEAR($A9),'NY East Load Projections'!$A$4:$EO$14,((MONTH($A9)-1)*12)+VLOOKUP(I$4,$DE$6:$DF$17,2)+1))*(VLOOKUP($A9,CURVES!$D$9:$K$261,7))*(INDEX(DailyScalarsTable,I$5/100,MONTH($A9)))*$B9</f>
        <v>-1479.6333793732704</v>
      </c>
      <c r="J9" s="1021">
        <f>(VLOOKUP(YEAR($A9),'NY East Load Projections'!$A$4:$EO$14,((MONTH($A9)-1)*12)+VLOOKUP(J$4,$DE$6:$DF$17,2)+1))*(VLOOKUP($A9,CURVES!$D$9:$K$261,7))*(INDEX(DailyScalarsTable,J$5/100,MONTH($A9)))*$B9</f>
        <v>-1420.1478024641776</v>
      </c>
      <c r="K9" s="1021">
        <f>(VLOOKUP(YEAR($A9),'NY East Load Projections'!$A$4:$EO$14,((MONTH($A9)-1)*12)+VLOOKUP(K$4,$DE$6:$DF$17,2)+1))*(VLOOKUP($A9,CURVES!$D$9:$K$261,7))*(INDEX(DailyScalarsTable,K$5/100,MONTH($A9)))*$B9</f>
        <v>-1420.9866329816484</v>
      </c>
      <c r="L9" s="1021">
        <f>(VLOOKUP(YEAR($A9),'NY East Load Projections'!$A$4:$EO$14,((MONTH($A9)-1)*12)+VLOOKUP(L$4,$DE$6:$DF$17,2)+1))*(VLOOKUP($A9,CURVES!$D$9:$K$261,7))*(INDEX(DailyScalarsTable,L$5/100,MONTH($A9)))*$B9</f>
        <v>-2869.8095083431203</v>
      </c>
      <c r="M9" s="1021">
        <f>(VLOOKUP(YEAR($A9),'NY East Load Projections'!$A$4:$EO$14,((MONTH($A9)-1)*12)+VLOOKUP(M$4,$DE$6:$DF$17,2)+1))*(VLOOKUP($A9,CURVES!$D$9:$K$261,7))*(INDEX(DailyScalarsTable,M$5/100,MONTH($A9)))*$B9</f>
        <v>-3305.7771342751303</v>
      </c>
      <c r="N9" s="1021">
        <f>(VLOOKUP(YEAR($A9),'NY East Load Projections'!$A$4:$EO$14,((MONTH($A9)-1)*12)+VLOOKUP(N$4,$DE$6:$DF$17,2)+1))*(VLOOKUP($A9,CURVES!$D$9:$K$261,7))*(INDEX(DailyScalarsTable,N$5/100,MONTH($A9)))*$B9</f>
        <v>-4714.9985952600618</v>
      </c>
      <c r="O9" s="1021">
        <f>(VLOOKUP(YEAR($A9),'NY East Load Projections'!$A$4:$EO$14,((MONTH($A9)-1)*12)+VLOOKUP(O$4,$DE$6:$DF$17,2)+1))*(VLOOKUP($A9,CURVES!$D$9:$K$261,3))*(INDEX(DailyScalarsTable,O$5/100,MONTH($A9)))*$B9</f>
        <v>-5875.124166858116</v>
      </c>
      <c r="P9" s="1021">
        <f>(VLOOKUP(YEAR($A9),'NY East Load Projections'!$A$4:$EO$14,((MONTH($A9)-1)*12)+VLOOKUP(P$4,$DE$6:$DF$17,2)+1))*(VLOOKUP($A9,CURVES!$D$9:$K$261,3))*(INDEX(DailyScalarsTable,P$5/100,MONTH($A9)))*$B9</f>
        <v>-6506.9476722520994</v>
      </c>
      <c r="Q9" s="1021">
        <f>(VLOOKUP(YEAR($A9),'NY East Load Projections'!$A$4:$EO$14,((MONTH($A9)-1)*12)+VLOOKUP(Q$4,$DE$6:$DF$17,2)+1))*(VLOOKUP($A9,CURVES!$D$9:$K$261,3))*(INDEX(DailyScalarsTable,Q$5/100,MONTH($A9)))*$B9</f>
        <v>-6235.9701447360858</v>
      </c>
      <c r="R9" s="1021">
        <f>(VLOOKUP(YEAR($A9),'NY East Load Projections'!$A$4:$EO$14,((MONTH($A9)-1)*12)+VLOOKUP(R$4,$DE$6:$DF$17,2)+1))*(VLOOKUP($A9,CURVES!$D$9:$K$261,3))*(INDEX(DailyScalarsTable,R$5/100,MONTH($A9)))*$B9</f>
        <v>-6364.5307664935981</v>
      </c>
      <c r="S9" s="1021">
        <f>(VLOOKUP(YEAR($A9),'NY East Load Projections'!$A$4:$EO$14,((MONTH($A9)-1)*12)+VLOOKUP(S$4,$DE$6:$DF$17,2)+1))*(VLOOKUP($A9,CURVES!$D$9:$K$261,3))*(INDEX(DailyScalarsTable,S$5/100,MONTH($A9)))*$B9</f>
        <v>-6377.0105984415095</v>
      </c>
      <c r="T9" s="1021">
        <f>(VLOOKUP(YEAR($A9),'NY East Load Projections'!$A$4:$EO$14,((MONTH($A9)-1)*12)+VLOOKUP(T$4,$DE$6:$DF$17,2)+1))*(VLOOKUP($A9,CURVES!$D$9:$K$261,3))*(INDEX(DailyScalarsTable,T$5/100,MONTH($A9)))*$B9</f>
        <v>-5974.7519255783282</v>
      </c>
      <c r="U9" s="1021">
        <f>(VLOOKUP(YEAR($A9),'NY East Load Projections'!$A$4:$EO$14,((MONTH($A9)-1)*12)+VLOOKUP(U$4,$DE$6:$DF$17,2)+1))*(VLOOKUP($A9,CURVES!$D$9:$K$261,3))*(INDEX(DailyScalarsTable,U$5/100,MONTH($A9)))*$B9</f>
        <v>-5981.1854441439764</v>
      </c>
      <c r="V9" s="1021">
        <f>(VLOOKUP(YEAR($A9),'NY East Load Projections'!$A$4:$EO$14,((MONTH($A9)-1)*12)+VLOOKUP(V$4,$DE$6:$DF$17,2)+1))*(VLOOKUP($A9,CURVES!$D$9:$K$261,3))*(INDEX(DailyScalarsTable,V$5/100,MONTH($A9)))*$B9</f>
        <v>-5609.933578679148</v>
      </c>
      <c r="W9" s="1021">
        <f>(VLOOKUP(YEAR($A9),'NY East Load Projections'!$A$4:$EO$14,((MONTH($A9)-1)*12)+VLOOKUP(W$4,$DE$6:$DF$17,2)+1))*(VLOOKUP($A9,CURVES!$D$9:$K$261,3))*(INDEX(DailyScalarsTable,W$5/100,MONTH($A9)))*$B9</f>
        <v>-5243.1284098699907</v>
      </c>
      <c r="X9" s="1021">
        <f>(VLOOKUP(YEAR($A9),'NY East Load Projections'!$A$4:$EO$14,((MONTH($A9)-1)*12)+VLOOKUP(X$4,$DE$6:$DF$17,2)+1))*(VLOOKUP($A9,CURVES!$D$9:$K$261,3))*(INDEX(DailyScalarsTable,X$5/100,MONTH($A9)))*$B9</f>
        <v>-4250.8746132217584</v>
      </c>
      <c r="Y9" s="1021">
        <f>(VLOOKUP(YEAR($A9),'NY East Load Projections'!$A$4:$EO$14,((MONTH($A9)-1)*12)+VLOOKUP(Y$4,$DE$6:$DF$17,2)+1))*(VLOOKUP($A9,CURVES!$D$9:$K$261,3))*(INDEX(DailyScalarsTable,Y$5/100,MONTH($A9)))*$B9</f>
        <v>-4195.5898081546984</v>
      </c>
      <c r="Z9" s="1021">
        <f>(VLOOKUP(YEAR($A9),'NY East Load Projections'!$A$4:$EO$14,((MONTH($A9)-1)*12)+VLOOKUP(Z$4,$DE$6:$DF$17,2)+1))*(VLOOKUP($A9,CURVES!$D$9:$K$261,3))*(INDEX(DailyScalarsTable,Z$5/100,MONTH($A9)))*$B9</f>
        <v>-4173.0984080847429</v>
      </c>
      <c r="AA9" s="1021">
        <f>(VLOOKUP(YEAR($A9),'NY East Load Projections'!$A$4:$EO$14,((MONTH($A9)-1)*12)+VLOOKUP(AA$4,$DE$6:$DF$17,2)+1))*(VLOOKUP($A9,CURVES!$D$9:$K$261,3))*(INDEX(DailyScalarsTable,AA$5/100,MONTH($A9)))*$B9</f>
        <v>-4577.2358380130854</v>
      </c>
      <c r="AB9" s="1021">
        <f>(VLOOKUP(YEAR($A9),'NY East Load Projections'!$A$4:$EO$14,((MONTH($A9)-1)*12)+VLOOKUP(AB$4,$DE$6:$DF$17,2)+1))*(VLOOKUP($A9,CURVES!$D$9:$K$261,3))*(INDEX(DailyScalarsTable,AB$5/100,MONTH($A9)))*$B9</f>
        <v>-4058.1982753184002</v>
      </c>
      <c r="AC9" s="1021">
        <f>(VLOOKUP(YEAR($A9),'NY East Load Projections'!$A$4:$EO$14,((MONTH($A9)-1)*12)+VLOOKUP(AC$4,$DE$6:$DF$17,2)+1))*(VLOOKUP($A9,CURVES!$D$9:$K$261,3))*(INDEX(DailyScalarsTable,AC$5/100,MONTH($A9)))*$B9</f>
        <v>-3457.8911669809581</v>
      </c>
      <c r="AD9" s="1021">
        <f>(VLOOKUP(YEAR($A9),'NY East Load Projections'!$A$4:$EO$14,((MONTH($A9)-1)*12)+VLOOKUP(AD$4,$DE$6:$DF$17,2)+1))*(VLOOKUP($A9,CURVES!$D$9:$K$261,3))*(INDEX(DailyScalarsTable,AD$5/100,MONTH($A9)))*$B9</f>
        <v>-3054.8383313991339</v>
      </c>
      <c r="AE9" s="1021">
        <f>(VLOOKUP(YEAR($A9),'NY East Load Projections'!$A$4:$EO$14,((MONTH($A9)-1)*12)+VLOOKUP(AE$4,$DE$6:$DF$17,2)+1))*(VLOOKUP($A9,CURVES!$D$9:$K$261,7))*(INDEX(DailyScalarsTable,AE$5/100,MONTH($A9)))*$B9</f>
        <v>-2231.0801315182007</v>
      </c>
      <c r="AF9" s="1021"/>
      <c r="AG9" s="1021">
        <f>(VLOOKUP(YEAR($A9),'NY East Load Projections'!$A$4:$EO$14,((MONTH($A9)-1)*12)+VLOOKUP(AG$4,$DE$6:$DF$17,2)+1))*(VLOOKUP($A9,CURVES!$D$9:$T$261,7))*(INDEX(DailyScalarsTable,AG$5/100,MONTH($A9)))*$C9</f>
        <v>-707.73705118076509</v>
      </c>
      <c r="AH9" s="1021">
        <f>(VLOOKUP(YEAR($A9),'NY East Load Projections'!$A$4:$EO$14,((MONTH($A9)-1)*12)+VLOOKUP(AH$4,$DE$6:$DF$17,2)+1))*(VLOOKUP($A9,CURVES!$D$9:$T$261,7))*(INDEX(DailyScalarsTable,AH$5/100,MONTH($A9)))*$C9</f>
        <v>-671.26862872001971</v>
      </c>
      <c r="AI9" s="1021">
        <f>(VLOOKUP(YEAR($A9),'NY East Load Projections'!$A$4:$EO$14,((MONTH($A9)-1)*12)+VLOOKUP(AI$4,$DE$6:$DF$17,2)+1))*(VLOOKUP($A9,CURVES!$D$9:$T$261,7))*(INDEX(DailyScalarsTable,AI$5/100,MONTH($A9)))*$C9</f>
        <v>-644.28167222320189</v>
      </c>
      <c r="AJ9" s="1021">
        <f>(VLOOKUP(YEAR($A9),'NY East Load Projections'!$A$4:$EO$14,((MONTH($A9)-1)*12)+VLOOKUP(AJ$4,$DE$6:$DF$17,2)+1))*(VLOOKUP($A9,CURVES!$D$9:$T$261,7))*(INDEX(DailyScalarsTable,AJ$5/100,MONTH($A9)))*$C9</f>
        <v>-644.66222636522161</v>
      </c>
      <c r="AK9" s="1021">
        <f>(VLOOKUP(YEAR($A9),'NY East Load Projections'!$A$4:$EO$14,((MONTH($A9)-1)*12)+VLOOKUP(AK$4,$DE$6:$DF$17,2)+1))*(VLOOKUP($A9,CURVES!$D$9:$T$261,7))*(INDEX(DailyScalarsTable,AK$5/100,MONTH($A9)))*$C9</f>
        <v>-701.61912405315798</v>
      </c>
      <c r="AL9" s="1021">
        <f>(VLOOKUP(YEAR($A9),'NY East Load Projections'!$A$4:$EO$14,((MONTH($A9)-1)*12)+VLOOKUP(AL$4,$DE$6:$DF$17,2)+1))*(VLOOKUP($A9,CURVES!$D$9:$T$261,7))*(INDEX(DailyScalarsTable,AL$5/100,MONTH($A9)))*$C9</f>
        <v>-808.2057190632753</v>
      </c>
      <c r="AM9" s="1021">
        <f>(VLOOKUP(YEAR($A9),'NY East Load Projections'!$A$4:$EO$14,((MONTH($A9)-1)*12)+VLOOKUP(AM$4,$DE$6:$DF$17,2)+1))*(VLOOKUP($A9,CURVES!$D$9:$T$261,7))*(INDEX(DailyScalarsTable,AM$5/100,MONTH($A9)))*$C9</f>
        <v>-1152.7361571215158</v>
      </c>
      <c r="AN9" s="1021">
        <f>(VLOOKUP(YEAR($A9),'NY East Load Projections'!$A$4:$EO$14,((MONTH($A9)-1)*12)+VLOOKUP(AN$4,$DE$6:$DF$17,2)+1))*(VLOOKUP($A9,SatSunCurve,3))*(INDEX(DailyScalarsTable,AN$5/100,MONTH($A9)))*$C9</f>
        <v>-955.40500111080632</v>
      </c>
      <c r="AO9" s="1021">
        <f>(VLOOKUP(YEAR($A9),'NY East Load Projections'!$A$4:$EO$14,((MONTH($A9)-1)*12)+VLOOKUP(AO$4,$DE$6:$DF$17,2)+1))*(VLOOKUP($A9,SatSunCurve,3))*(INDEX(DailyScalarsTable,AO$5/100,MONTH($A9)))*$C9</f>
        <v>-1202.8270712637614</v>
      </c>
      <c r="AP9" s="1021">
        <f>(VLOOKUP(YEAR($A9),'NY East Load Projections'!$A$4:$EO$14,((MONTH($A9)-1)*12)+VLOOKUP(AP$4,$DE$6:$DF$17,2)+1))*(VLOOKUP($A9,SatSunCurve,3))*(INDEX(DailyScalarsTable,AP$5/100,MONTH($A9)))*$C9</f>
        <v>-1152.7361342810807</v>
      </c>
      <c r="AQ9" s="1021">
        <f>(VLOOKUP(YEAR($A9),'NY East Load Projections'!$A$4:$EO$14,((MONTH($A9)-1)*12)+VLOOKUP(AQ$4,$DE$6:$DF$17,2)+1))*(VLOOKUP($A9,SatSunCurve,3))*(INDEX(DailyScalarsTable,AQ$5/100,MONTH($A9)))*$C9</f>
        <v>-1176.5009167777739</v>
      </c>
      <c r="AR9" s="1021">
        <f>(VLOOKUP(YEAR($A9),'NY East Load Projections'!$A$4:$EO$14,((MONTH($A9)-1)*12)+VLOOKUP(AR$4,$DE$6:$DF$17,2)+1))*(VLOOKUP($A9,SatSunCurve,3))*(INDEX(DailyScalarsTable,AR$5/100,MONTH($A9)))*$C9</f>
        <v>-1178.8078478409795</v>
      </c>
      <c r="AS9" s="1021">
        <f>(VLOOKUP(YEAR($A9),'NY East Load Projections'!$A$4:$EO$14,((MONTH($A9)-1)*12)+VLOOKUP(AS$4,$DE$6:$DF$17,2)+1))*(VLOOKUP($A9,SatSunCurve,3))*(INDEX(DailyScalarsTable,AS$5/100,MONTH($A9)))*$C9</f>
        <v>-942.65106383328578</v>
      </c>
      <c r="AT9" s="1021">
        <f>(VLOOKUP(YEAR($A9),'NY East Load Projections'!$A$4:$EO$14,((MONTH($A9)-1)*12)+VLOOKUP(AT$4,$DE$6:$DF$17,2)+1))*(VLOOKUP($A9,SatSunCurve,3))*(INDEX(DailyScalarsTable,AT$5/100,MONTH($A9)))*$C9</f>
        <v>-943.66609561964935</v>
      </c>
      <c r="AU9" s="1021">
        <f>(VLOOKUP(YEAR($A9),'NY East Load Projections'!$A$4:$EO$14,((MONTH($A9)-1)*12)+VLOOKUP(AU$4,$DE$6:$DF$17,2)+1))*(VLOOKUP($A9,SatSunCurve,3))*(INDEX(DailyScalarsTable,AU$5/100,MONTH($A9)))*$C9</f>
        <v>-885.0927907712412</v>
      </c>
      <c r="AV9" s="1021">
        <f>(VLOOKUP(YEAR($A9),'NY East Load Projections'!$A$4:$EO$14,((MONTH($A9)-1)*12)+VLOOKUP(AV$4,$DE$6:$DF$17,2)+1))*(VLOOKUP($A9,SatSunCurve,3))*(INDEX(DailyScalarsTable,AV$5/100,MONTH($A9)))*$C9</f>
        <v>-827.22105201046725</v>
      </c>
      <c r="AW9" s="1021">
        <f>(VLOOKUP(YEAR($A9),'NY East Load Projections'!$A$4:$EO$14,((MONTH($A9)-1)*12)+VLOOKUP(AW$4,$DE$6:$DF$17,2)+1))*(VLOOKUP($A9,SatSunCurve,3))*(INDEX(DailyScalarsTable,AW$5/100,MONTH($A9)))*$C9</f>
        <v>-675.33090284159164</v>
      </c>
      <c r="AX9" s="1021">
        <f>(VLOOKUP(YEAR($A9),'NY East Load Projections'!$A$4:$EO$14,((MONTH($A9)-1)*12)+VLOOKUP(AX$4,$DE$6:$DF$17,2)+1))*(VLOOKUP($A9,SatSunCurve,3))*(INDEX(DailyScalarsTable,AX$5/100,MONTH($A9)))*$C9</f>
        <v>-666.54787800166059</v>
      </c>
      <c r="AY9" s="1021">
        <f>(VLOOKUP(YEAR($A9),'NY East Load Projections'!$A$4:$EO$14,((MONTH($A9)-1)*12)+VLOOKUP(AY$4,$DE$6:$DF$17,2)+1))*(VLOOKUP($A9,SatSunCurve,3))*(INDEX(DailyScalarsTable,AY$5/100,MONTH($A9)))*$C9</f>
        <v>-662.97469862154639</v>
      </c>
      <c r="AZ9" s="1021">
        <f>(VLOOKUP(YEAR($A9),'NY East Load Projections'!$A$4:$EO$14,((MONTH($A9)-1)*12)+VLOOKUP(AZ$4,$DE$6:$DF$17,2)+1))*(VLOOKUP($A9,SatSunCurve,3))*(INDEX(DailyScalarsTable,AZ$5/100,MONTH($A9)))*$C9</f>
        <v>-727.17948475583694</v>
      </c>
      <c r="BA9" s="1021">
        <f>(VLOOKUP(YEAR($A9),'NY East Load Projections'!$A$4:$EO$14,((MONTH($A9)-1)*12)+VLOOKUP(BA$4,$DE$6:$DF$17,2)+1))*(VLOOKUP($A9,SatSunCurve,3))*(INDEX(DailyScalarsTable,BA$5/100,MONTH($A9)))*$C9</f>
        <v>-980.35141979090861</v>
      </c>
      <c r="BB9" s="1021">
        <f>(VLOOKUP(YEAR($A9),'NY East Load Projections'!$A$4:$EO$14,((MONTH($A9)-1)*12)+VLOOKUP(BB$4,$DE$6:$DF$17,2)+1))*(VLOOKUP($A9,SatSunCurve,3))*(INDEX(DailyScalarsTable,BB$5/100,MONTH($A9)))*$C9</f>
        <v>-835.33338813176977</v>
      </c>
      <c r="BC9" s="1021">
        <f>(VLOOKUP(YEAR($A9),'NY East Load Projections'!$A$4:$EO$14,((MONTH($A9)-1)*12)+VLOOKUP(BC$4,$DE$6:$DF$17,2)+1))*(VLOOKUP($A9,SatSunCurve,3))*(INDEX(DailyScalarsTable,BC$5/100,MONTH($A9)))*$C9</f>
        <v>-737.96667689526873</v>
      </c>
      <c r="BD9" s="1021">
        <f>(VLOOKUP(YEAR($A9),'NY East Load Projections'!$A$4:$EO$14,((MONTH($A9)-1)*12)+VLOOKUP(BD$4,$DE$6:$DF$17,2)+1))*(VLOOKUP($A9,CURVES!$D$9:$T$261,7))*(INDEX(DailyScalarsTable,BD$5/100,MONTH($A9)))*$C9</f>
        <v>-810.292046506666</v>
      </c>
      <c r="BE9" s="1021"/>
      <c r="BF9" s="1021">
        <f>(VLOOKUP(YEAR($A9),'NY East Load Projections'!$A$4:$EO$14,((MONTH($A9)-1)*12)+VLOOKUP(BF$4,$DE$6:$DF$17,2)+1))*(VLOOKUP($A9,CURVES!$D$9:$T$261,7))*(INDEX(DailyScalarsTable,BF$5/100,MONTH($A9)))*$D9</f>
        <v>-884.67131397595631</v>
      </c>
      <c r="BG9" s="1021">
        <f>(VLOOKUP(YEAR($A9),'NY East Load Projections'!$A$4:$EO$14,((MONTH($A9)-1)*12)+VLOOKUP(BG$4,$DE$6:$DF$17,2)+1))*(VLOOKUP($A9,CURVES!$D$9:$T$261,7))*(INDEX(DailyScalarsTable,BG$5/100,MONTH($A9)))*$D9</f>
        <v>-839.08578590002458</v>
      </c>
      <c r="BH9" s="1021">
        <f>(VLOOKUP(YEAR($A9),'NY East Load Projections'!$A$4:$EO$14,((MONTH($A9)-1)*12)+VLOOKUP(BH$4,$DE$6:$DF$17,2)+1))*(VLOOKUP($A9,CURVES!$D$9:$T$261,7))*(INDEX(DailyScalarsTable,BH$5/100,MONTH($A9)))*$D9</f>
        <v>-805.35209027900237</v>
      </c>
      <c r="BI9" s="1021">
        <f>(VLOOKUP(YEAR($A9),'NY East Load Projections'!$A$4:$EO$14,((MONTH($A9)-1)*12)+VLOOKUP(BI$4,$DE$6:$DF$17,2)+1))*(VLOOKUP($A9,CURVES!$D$9:$T$261,7))*(INDEX(DailyScalarsTable,BI$5/100,MONTH($A9)))*$D9</f>
        <v>-805.82778295652702</v>
      </c>
      <c r="BJ9" s="1021">
        <f>(VLOOKUP(YEAR($A9),'NY East Load Projections'!$A$4:$EO$14,((MONTH($A9)-1)*12)+VLOOKUP(BJ$4,$DE$6:$DF$17,2)+1))*(VLOOKUP($A9,CURVES!$D$9:$T$261,7))*(INDEX(DailyScalarsTable,BJ$5/100,MONTH($A9)))*$D9</f>
        <v>-877.02390506644747</v>
      </c>
      <c r="BK9" s="1021">
        <f>(VLOOKUP(YEAR($A9),'NY East Load Projections'!$A$4:$EO$14,((MONTH($A9)-1)*12)+VLOOKUP(BK$4,$DE$6:$DF$17,2)+1))*(VLOOKUP($A9,CURVES!$D$9:$T$261,7))*(INDEX(DailyScalarsTable,BK$5/100,MONTH($A9)))*$D9</f>
        <v>-1010.2571488290941</v>
      </c>
      <c r="BL9" s="1021">
        <f>(VLOOKUP(YEAR($A9),'NY East Load Projections'!$A$4:$EO$14,((MONTH($A9)-1)*12)+VLOOKUP(BL$4,$DE$6:$DF$17,2)+1))*(VLOOKUP($A9,CURVES!$D$9:$T$261,7))*(INDEX(DailyScalarsTable,BL$5/100,MONTH($A9)))*$D9</f>
        <v>-1440.9201964018948</v>
      </c>
      <c r="BM9" s="1021">
        <f>(VLOOKUP(YEAR($A9),'NY East Load Projections'!$A$4:$EO$14,((MONTH($A9)-1)*12)+VLOOKUP(BM$4,$DE$6:$DF$17,2)+1))*(VLOOKUP($A9,SatSunCurve,7))*(INDEX(DailyScalarsTable,BM$5/100,MONTH($A9)))*$D9</f>
        <v>-1123.404622910844</v>
      </c>
      <c r="BN9" s="1021">
        <f>(VLOOKUP(YEAR($A9),'NY East Load Projections'!$A$4:$EO$14,((MONTH($A9)-1)*12)+VLOOKUP(BN$4,$DE$6:$DF$17,2)+1))*(VLOOKUP($A9,SatSunCurve,7))*(INDEX(DailyScalarsTable,BN$5/100,MONTH($A9)))*$D9</f>
        <v>-1414.3337023031804</v>
      </c>
      <c r="BO9" s="1021">
        <f>(VLOOKUP(YEAR($A9),'NY East Load Projections'!$A$4:$EO$14,((MONTH($A9)-1)*12)+VLOOKUP(BO$4,$DE$6:$DF$17,2)+1))*(VLOOKUP($A9,SatSunCurve,7))*(INDEX(DailyScalarsTable,BO$5/100,MONTH($A9)))*$D9</f>
        <v>-1355.4347117108623</v>
      </c>
      <c r="BP9" s="1021">
        <f>(VLOOKUP(YEAR($A9),'NY East Load Projections'!$A$4:$EO$14,((MONTH($A9)-1)*12)+VLOOKUP(BP$4,$DE$6:$DF$17,2)+1))*(VLOOKUP($A9,SatSunCurve,7))*(INDEX(DailyScalarsTable,BP$5/100,MONTH($A9)))*$D9</f>
        <v>-1383.3783235699334</v>
      </c>
      <c r="BQ9" s="1021">
        <f>(VLOOKUP(YEAR($A9),'NY East Load Projections'!$A$4:$EO$14,((MONTH($A9)-1)*12)+VLOOKUP(BQ$4,$DE$6:$DF$17,2)+1))*(VLOOKUP($A9,SatSunCurve,7))*(INDEX(DailyScalarsTable,BQ$5/100,MONTH($A9)))*$D9</f>
        <v>-1386.0909083042905</v>
      </c>
      <c r="BR9" s="1021">
        <f>(VLOOKUP(YEAR($A9),'NY East Load Projections'!$A$4:$EO$14,((MONTH($A9)-1)*12)+VLOOKUP(BR$4,$DE$6:$DF$17,2)+1))*(VLOOKUP($A9,SatSunCurve,7))*(INDEX(DailyScalarsTable,BR$5/100,MONTH($A9)))*$D9</f>
        <v>-1108.4080171978499</v>
      </c>
      <c r="BS9" s="1021">
        <f>(VLOOKUP(YEAR($A9),'NY East Load Projections'!$A$4:$EO$14,((MONTH($A9)-1)*12)+VLOOKUP(BS$4,$DE$6:$DF$17,2)+1))*(VLOOKUP($A9,SatSunCurve,7))*(INDEX(DailyScalarsTable,BS$5/100,MONTH($A9)))*$D9</f>
        <v>-1109.6015334552239</v>
      </c>
      <c r="BT9" s="1021">
        <f>(VLOOKUP(YEAR($A9),'NY East Load Projections'!$A$4:$EO$14,((MONTH($A9)-1)*12)+VLOOKUP(BT$4,$DE$6:$DF$17,2)+1))*(VLOOKUP($A9,SatSunCurve,7))*(INDEX(DailyScalarsTable,BT$5/100,MONTH($A9)))*$D9</f>
        <v>-1040.7286247208513</v>
      </c>
      <c r="BU9" s="1021">
        <f>(VLOOKUP(YEAR($A9),'NY East Load Projections'!$A$4:$EO$14,((MONTH($A9)-1)*12)+VLOOKUP(BU$4,$DE$6:$DF$17,2)+1))*(VLOOKUP($A9,SatSunCurve,7))*(INDEX(DailyScalarsTable,BU$5/100,MONTH($A9)))*$D9</f>
        <v>-972.68064634084067</v>
      </c>
      <c r="BV9" s="1021">
        <f>(VLOOKUP(YEAR($A9),'NY East Load Projections'!$A$4:$EO$14,((MONTH($A9)-1)*12)+VLOOKUP(BV$4,$DE$6:$DF$17,2)+1))*(VLOOKUP($A9,SatSunCurve,7))*(INDEX(DailyScalarsTable,BV$5/100,MONTH($A9)))*$D9</f>
        <v>-794.08194154806267</v>
      </c>
      <c r="BW9" s="1021">
        <f>(VLOOKUP(YEAR($A9),'NY East Load Projections'!$A$4:$EO$14,((MONTH($A9)-1)*12)+VLOOKUP(BW$4,$DE$6:$DF$17,2)+1))*(VLOOKUP($A9,SatSunCurve,7))*(INDEX(DailyScalarsTable,BW$5/100,MONTH($A9)))*$D9</f>
        <v>-783.75449852981649</v>
      </c>
      <c r="BX9" s="1021">
        <f>(VLOOKUP(YEAR($A9),'NY East Load Projections'!$A$4:$EO$14,((MONTH($A9)-1)*12)+VLOOKUP(BX$4,$DE$6:$DF$17,2)+1))*(VLOOKUP($A9,SatSunCurve,7))*(INDEX(DailyScalarsTable,BX$5/100,MONTH($A9)))*$D9</f>
        <v>-779.55300677559399</v>
      </c>
      <c r="BY9" s="1021">
        <f>(VLOOKUP(YEAR($A9),'NY East Load Projections'!$A$4:$EO$14,((MONTH($A9)-1)*12)+VLOOKUP(BY$4,$DE$6:$DF$17,2)+1))*(VLOOKUP($A9,SatSunCurve,7))*(INDEX(DailyScalarsTable,BY$5/100,MONTH($A9)))*$D9</f>
        <v>-855.04764357611748</v>
      </c>
      <c r="BZ9" s="1021">
        <f>(VLOOKUP(YEAR($A9),'NY East Load Projections'!$A$4:$EO$14,((MONTH($A9)-1)*12)+VLOOKUP(BZ$4,$DE$6:$DF$17,2)+1))*(VLOOKUP($A9,SatSunCurve,7))*(INDEX(DailyScalarsTable,BZ$5/100,MONTH($A9)))*$D9</f>
        <v>-1152.7376513518855</v>
      </c>
      <c r="CA9" s="1021">
        <f>(VLOOKUP(YEAR($A9),'NY East Load Projections'!$A$4:$EO$14,((MONTH($A9)-1)*12)+VLOOKUP(CA$4,$DE$6:$DF$17,2)+1))*(VLOOKUP($A9,SatSunCurve,7))*(INDEX(DailyScalarsTable,CA$5/100,MONTH($A9)))*$D9</f>
        <v>-982.21946588928574</v>
      </c>
      <c r="CB9" s="1021">
        <f>(VLOOKUP(YEAR($A9),'NY East Load Projections'!$A$4:$EO$14,((MONTH($A9)-1)*12)+VLOOKUP(CB$4,$DE$6:$DF$17,2)+1))*(VLOOKUP($A9,SatSunCurve,7))*(INDEX(DailyScalarsTable,CB$5/100,MONTH($A9)))*$D9</f>
        <v>-867.73166920250196</v>
      </c>
      <c r="CC9" s="1021">
        <f>(VLOOKUP(YEAR($A9),'NY East Load Projections'!$A$4:$EO$14,((MONTH($A9)-1)*12)+VLOOKUP(CC$4,$DE$6:$DF$17,2)+1))*(VLOOKUP($A9,CURVES!$D$9:$T$261,7))*(INDEX(DailyScalarsTable,CC$5/100,MONTH($A9)))*$D9</f>
        <v>-1012.8650581333325</v>
      </c>
      <c r="CE9" s="1021">
        <f>(VLOOKUP(YEAR($A9),'NY East Load Projections'!$A$4:$EO$14,((MONTH($A9)-1)*12)+VLOOKUP(CE$4,$DE$6:$DF$17,2)+1))*(VLOOKUP($A9,CURVES!$D$9:$T$261,7))*(INDEX(DailyScalarsTable,CE$5/100,MONTH($A9)))*$E9</f>
        <v>0</v>
      </c>
      <c r="CF9" s="1021">
        <f>(VLOOKUP(YEAR($A9),'NY East Load Projections'!$A$4:$EO$14,((MONTH($A9)-1)*12)+VLOOKUP(CF$4,$DE$6:$DF$17,2)+1))*(VLOOKUP($A9,CURVES!$D$9:$T$261,7))*(INDEX(DailyScalarsTable,CF$5/100,MONTH($A9)))*$E9</f>
        <v>0</v>
      </c>
      <c r="CG9" s="1021">
        <f>(VLOOKUP(YEAR($A9),'NY East Load Projections'!$A$4:$EO$14,((MONTH($A9)-1)*12)+VLOOKUP(CG$4,$DE$6:$DF$17,2)+1))*(VLOOKUP($A9,CURVES!$D$9:$T$261,7))*(INDEX(DailyScalarsTable,CG$5/100,MONTH($A9)))*$E9</f>
        <v>0</v>
      </c>
      <c r="CH9" s="1021">
        <f>(VLOOKUP(YEAR($A9),'NY East Load Projections'!$A$4:$EO$14,((MONTH($A9)-1)*12)+VLOOKUP(CH$4,$DE$6:$DF$17,2)+1))*(VLOOKUP($A9,CURVES!$D$9:$T$261,7))*(INDEX(DailyScalarsTable,CH$5/100,MONTH($A9)))*$E9</f>
        <v>0</v>
      </c>
      <c r="CI9" s="1021">
        <f>(VLOOKUP(YEAR($A9),'NY East Load Projections'!$A$4:$EO$14,((MONTH($A9)-1)*12)+VLOOKUP(CI$4,$DE$6:$DF$17,2)+1))*(VLOOKUP($A9,CURVES!$D$9:$T$261,7))*(INDEX(DailyScalarsTable,CI$5/100,MONTH($A9)))*$E9</f>
        <v>0</v>
      </c>
      <c r="CJ9" s="1021">
        <f>(VLOOKUP(YEAR($A9),'NY East Load Projections'!$A$4:$EO$14,((MONTH($A9)-1)*12)+VLOOKUP(CJ$4,$DE$6:$DF$17,2)+1))*(VLOOKUP($A9,CURVES!$D$9:$T$261,7))*(INDEX(DailyScalarsTable,CJ$5/100,MONTH($A9)))*$E9</f>
        <v>0</v>
      </c>
      <c r="CK9" s="1021">
        <f>(VLOOKUP(YEAR($A9),'NY East Load Projections'!$A$4:$EO$14,((MONTH($A9)-1)*12)+VLOOKUP(CK$4,$DE$6:$DF$17,2)+1))*(VLOOKUP($A9,CURVES!$D$9:$T$261,7))*(INDEX(DailyScalarsTable,CK$5/100,MONTH($A9)))*$E9</f>
        <v>0</v>
      </c>
      <c r="CL9" s="1021">
        <f>(VLOOKUP(YEAR($A9),'NY East Load Projections'!$A$4:$EO$14,((MONTH($A9)-1)*12)+VLOOKUP(CL$4,$DE$6:$DF$17,2)+1))*(VLOOKUP($A9,SatSunCurve,7))*(INDEX(DailyScalarsTable,CL$5/100,MONTH($A9)))*$E9</f>
        <v>0</v>
      </c>
      <c r="CM9" s="1021">
        <f>(VLOOKUP(YEAR($A9),'NY East Load Projections'!$A$4:$EO$14,((MONTH($A9)-1)*12)+VLOOKUP(CM$4,$DE$6:$DF$17,2)+1))*(VLOOKUP($A9,SatSunCurve,7))*(INDEX(DailyScalarsTable,CM$5/100,MONTH($A9)))*$E9</f>
        <v>0</v>
      </c>
      <c r="CN9" s="1021">
        <f>(VLOOKUP(YEAR($A9),'NY East Load Projections'!$A$4:$EO$14,((MONTH($A9)-1)*12)+VLOOKUP(CN$4,$DE$6:$DF$17,2)+1))*(VLOOKUP($A9,SatSunCurve,7))*(INDEX(DailyScalarsTable,CN$5/100,MONTH($A9)))*$E9</f>
        <v>0</v>
      </c>
      <c r="CO9" s="1021">
        <f>(VLOOKUP(YEAR($A9),'NY East Load Projections'!$A$4:$EO$14,((MONTH($A9)-1)*12)+VLOOKUP(CO$4,$DE$6:$DF$17,2)+1))*(VLOOKUP($A9,SatSunCurve,7))*(INDEX(DailyScalarsTable,CO$5/100,MONTH($A9)))*$E9</f>
        <v>0</v>
      </c>
      <c r="CP9" s="1021">
        <f>(VLOOKUP(YEAR($A9),'NY East Load Projections'!$A$4:$EO$14,((MONTH($A9)-1)*12)+VLOOKUP(CP$4,$DE$6:$DF$17,2)+1))*(VLOOKUP($A9,SatSunCurve,7))*(INDEX(DailyScalarsTable,CP$5/100,MONTH($A9)))*$E9</f>
        <v>0</v>
      </c>
      <c r="CQ9" s="1021">
        <f>(VLOOKUP(YEAR($A9),'NY East Load Projections'!$A$4:$EO$14,((MONTH($A9)-1)*12)+VLOOKUP(CQ$4,$DE$6:$DF$17,2)+1))*(VLOOKUP($A9,SatSunCurve,7))*(INDEX(DailyScalarsTable,CQ$5/100,MONTH($A9)))*$E9</f>
        <v>0</v>
      </c>
      <c r="CR9" s="1021">
        <f>(VLOOKUP(YEAR($A9),'NY East Load Projections'!$A$4:$EO$14,((MONTH($A9)-1)*12)+VLOOKUP(CR$4,$DE$6:$DF$17,2)+1))*(VLOOKUP($A9,SatSunCurve,7))*(INDEX(DailyScalarsTable,CR$5/100,MONTH($A9)))*$E9</f>
        <v>0</v>
      </c>
      <c r="CS9" s="1021">
        <f>(VLOOKUP(YEAR($A9),'NY East Load Projections'!$A$4:$EO$14,((MONTH($A9)-1)*12)+VLOOKUP(CS$4,$DE$6:$DF$17,2)+1))*(VLOOKUP($A9,SatSunCurve,7))*(INDEX(DailyScalarsTable,CS$5/100,MONTH($A9)))*$E9</f>
        <v>0</v>
      </c>
      <c r="CT9" s="1021">
        <f>(VLOOKUP(YEAR($A9),'NY East Load Projections'!$A$4:$EO$14,((MONTH($A9)-1)*12)+VLOOKUP(CT$4,$DE$6:$DF$17,2)+1))*(VLOOKUP($A9,SatSunCurve,7))*(INDEX(DailyScalarsTable,CT$5/100,MONTH($A9)))*$E9</f>
        <v>0</v>
      </c>
      <c r="CU9" s="1021">
        <f>(VLOOKUP(YEAR($A9),'NY East Load Projections'!$A$4:$EO$14,((MONTH($A9)-1)*12)+VLOOKUP(CU$4,$DE$6:$DF$17,2)+1))*(VLOOKUP($A9,SatSunCurve,7))*(INDEX(DailyScalarsTable,CU$5/100,MONTH($A9)))*$E9</f>
        <v>0</v>
      </c>
      <c r="CV9" s="1021">
        <f>(VLOOKUP(YEAR($A9),'NY East Load Projections'!$A$4:$EO$14,((MONTH($A9)-1)*12)+VLOOKUP(CV$4,$DE$6:$DF$17,2)+1))*(VLOOKUP($A9,SatSunCurve,7))*(INDEX(DailyScalarsTable,CV$5/100,MONTH($A9)))*$E9</f>
        <v>0</v>
      </c>
      <c r="CW9" s="1021">
        <f>(VLOOKUP(YEAR($A9),'NY East Load Projections'!$A$4:$EO$14,((MONTH($A9)-1)*12)+VLOOKUP(CW$4,$DE$6:$DF$17,2)+1))*(VLOOKUP($A9,SatSunCurve,7))*(INDEX(DailyScalarsTable,CW$5/100,MONTH($A9)))*$E9</f>
        <v>0</v>
      </c>
      <c r="CX9" s="1021">
        <f>(VLOOKUP(YEAR($A9),'NY East Load Projections'!$A$4:$EO$14,((MONTH($A9)-1)*12)+VLOOKUP(CX$4,$DE$6:$DF$17,2)+1))*(VLOOKUP($A9,SatSunCurve,7))*(INDEX(DailyScalarsTable,CX$5/100,MONTH($A9)))*$E9</f>
        <v>0</v>
      </c>
      <c r="CY9" s="1021">
        <f>(VLOOKUP(YEAR($A9),'NY East Load Projections'!$A$4:$EO$14,((MONTH($A9)-1)*12)+VLOOKUP(CY$4,$DE$6:$DF$17,2)+1))*(VLOOKUP($A9,SatSunCurve,7))*(INDEX(DailyScalarsTable,CY$5/100,MONTH($A9)))*$E9</f>
        <v>0</v>
      </c>
      <c r="CZ9" s="1021">
        <f>(VLOOKUP(YEAR($A9),'NY East Load Projections'!$A$4:$EO$14,((MONTH($A9)-1)*12)+VLOOKUP(CZ$4,$DE$6:$DF$17,2)+1))*(VLOOKUP($A9,SatSunCurve,7))*(INDEX(DailyScalarsTable,CZ$5/100,MONTH($A9)))*$E9</f>
        <v>0</v>
      </c>
      <c r="DA9" s="1021">
        <f>(VLOOKUP(YEAR($A9),'NY East Load Projections'!$A$4:$EO$14,((MONTH($A9)-1)*12)+VLOOKUP(DA$4,$DE$6:$DF$17,2)+1))*(VLOOKUP($A9,SatSunCurve,7))*(INDEX(DailyScalarsTable,DA$5/100,MONTH($A9)))*$E9</f>
        <v>0</v>
      </c>
      <c r="DB9" s="1021">
        <f>(VLOOKUP(YEAR($A9),'NY East Load Projections'!$A$4:$EO$14,((MONTH($A9)-1)*12)+VLOOKUP(DB$4,$DE$6:$DF$17,2)+1))*(VLOOKUP($A9,CURVES!$D$9:$T$261,7))*(INDEX(DailyScalarsTable,DB$5/100,MONTH($A9)))*$E9</f>
        <v>0</v>
      </c>
      <c r="DE9" s="221" t="s">
        <v>561</v>
      </c>
      <c r="DF9" s="619">
        <v>4</v>
      </c>
      <c r="DH9" s="1032">
        <f t="shared" si="0"/>
        <v>-146415.34595854001</v>
      </c>
      <c r="DI9">
        <f ca="1">CALC!J29</f>
        <v>0.92218873460327666</v>
      </c>
      <c r="DJ9" s="1029">
        <f t="shared" ca="1" si="1"/>
        <v>-135022.58261600698</v>
      </c>
    </row>
    <row r="10" spans="1:114" x14ac:dyDescent="0.25">
      <c r="A10" s="244">
        <v>37012</v>
      </c>
      <c r="B10" s="13">
        <v>22</v>
      </c>
      <c r="C10" s="210">
        <v>4</v>
      </c>
      <c r="D10" s="210">
        <v>4</v>
      </c>
      <c r="E10" s="210">
        <v>1</v>
      </c>
      <c r="F10" s="13">
        <v>31</v>
      </c>
      <c r="H10" s="1021">
        <f>(VLOOKUP(YEAR($A10),'NY East Load Projections'!$A$4:$EO$14,((MONTH($A10)-1)*12)+VLOOKUP(H$4,$DE$6:$DF$17,2)+1))*(VLOOKUP($A10,CURVES!$D$9:$K$261,7))*(INDEX(DailyScalarsTable,H$5/100,MONTH($A10)))*$B10</f>
        <v>-1403.8357564612543</v>
      </c>
      <c r="I10" s="1021">
        <f>(VLOOKUP(YEAR($A10),'NY East Load Projections'!$A$4:$EO$14,((MONTH($A10)-1)*12)+VLOOKUP(I$4,$DE$6:$DF$17,2)+1))*(VLOOKUP($A10,CURVES!$D$9:$K$261,7))*(INDEX(DailyScalarsTable,I$5/100,MONTH($A10)))*$B10</f>
        <v>-1264.5209977470629</v>
      </c>
      <c r="J10" s="1021">
        <f>(VLOOKUP(YEAR($A10),'NY East Load Projections'!$A$4:$EO$14,((MONTH($A10)-1)*12)+VLOOKUP(J$4,$DE$6:$DF$17,2)+1))*(VLOOKUP($A10,CURVES!$D$9:$K$261,7))*(INDEX(DailyScalarsTable,J$5/100,MONTH($A10)))*$B10</f>
        <v>-1196.7064062036475</v>
      </c>
      <c r="K10" s="1021">
        <f>(VLOOKUP(YEAR($A10),'NY East Load Projections'!$A$4:$EO$14,((MONTH($A10)-1)*12)+VLOOKUP(K$4,$DE$6:$DF$17,2)+1))*(VLOOKUP($A10,CURVES!$D$9:$K$261,7))*(INDEX(DailyScalarsTable,K$5/100,MONTH($A10)))*$B10</f>
        <v>-1160.2192074927873</v>
      </c>
      <c r="L10" s="1021">
        <f>(VLOOKUP(YEAR($A10),'NY East Load Projections'!$A$4:$EO$14,((MONTH($A10)-1)*12)+VLOOKUP(L$4,$DE$6:$DF$17,2)+1))*(VLOOKUP($A10,CURVES!$D$9:$K$261,7))*(INDEX(DailyScalarsTable,L$5/100,MONTH($A10)))*$B10</f>
        <v>-2720.4205603295563</v>
      </c>
      <c r="M10" s="1021">
        <f>(VLOOKUP(YEAR($A10),'NY East Load Projections'!$A$4:$EO$14,((MONTH($A10)-1)*12)+VLOOKUP(M$4,$DE$6:$DF$17,2)+1))*(VLOOKUP($A10,CURVES!$D$9:$K$261,7))*(INDEX(DailyScalarsTable,M$5/100,MONTH($A10)))*$B10</f>
        <v>-3298.3502803056699</v>
      </c>
      <c r="N10" s="1021">
        <f>(VLOOKUP(YEAR($A10),'NY East Load Projections'!$A$4:$EO$14,((MONTH($A10)-1)*12)+VLOOKUP(N$4,$DE$6:$DF$17,2)+1))*(VLOOKUP($A10,CURVES!$D$9:$K$261,7))*(INDEX(DailyScalarsTable,N$5/100,MONTH($A10)))*$B10</f>
        <v>-3946.5256016048497</v>
      </c>
      <c r="O10" s="1021">
        <f>(VLOOKUP(YEAR($A10),'NY East Load Projections'!$A$4:$EO$14,((MONTH($A10)-1)*12)+VLOOKUP(O$4,$DE$6:$DF$17,2)+1))*(VLOOKUP($A10,CURVES!$D$9:$K$261,3))*(INDEX(DailyScalarsTable,O$5/100,MONTH($A10)))*$B10</f>
        <v>-5112.8841085071763</v>
      </c>
      <c r="P10" s="1021">
        <f>(VLOOKUP(YEAR($A10),'NY East Load Projections'!$A$4:$EO$14,((MONTH($A10)-1)*12)+VLOOKUP(P$4,$DE$6:$DF$17,2)+1))*(VLOOKUP($A10,CURVES!$D$9:$K$261,3))*(INDEX(DailyScalarsTable,P$5/100,MONTH($A10)))*$B10</f>
        <v>-6676.6684139676272</v>
      </c>
      <c r="Q10" s="1021">
        <f>(VLOOKUP(YEAR($A10),'NY East Load Projections'!$A$4:$EO$14,((MONTH($A10)-1)*12)+VLOOKUP(Q$4,$DE$6:$DF$17,2)+1))*(VLOOKUP($A10,CURVES!$D$9:$K$261,3))*(INDEX(DailyScalarsTable,Q$5/100,MONTH($A10)))*$B10</f>
        <v>-6795.089938183346</v>
      </c>
      <c r="R10" s="1021">
        <f>(VLOOKUP(YEAR($A10),'NY East Load Projections'!$A$4:$EO$14,((MONTH($A10)-1)*12)+VLOOKUP(R$4,$DE$6:$DF$17,2)+1))*(VLOOKUP($A10,CURVES!$D$9:$K$261,3))*(INDEX(DailyScalarsTable,R$5/100,MONTH($A10)))*$B10</f>
        <v>-7207.9933058027555</v>
      </c>
      <c r="S10" s="1021">
        <f>(VLOOKUP(YEAR($A10),'NY East Load Projections'!$A$4:$EO$14,((MONTH($A10)-1)*12)+VLOOKUP(S$4,$DE$6:$DF$17,2)+1))*(VLOOKUP($A10,CURVES!$D$9:$K$261,3))*(INDEX(DailyScalarsTable,S$5/100,MONTH($A10)))*$B10</f>
        <v>-7153.4984451017135</v>
      </c>
      <c r="T10" s="1021">
        <f>(VLOOKUP(YEAR($A10),'NY East Load Projections'!$A$4:$EO$14,((MONTH($A10)-1)*12)+VLOOKUP(T$4,$DE$6:$DF$17,2)+1))*(VLOOKUP($A10,CURVES!$D$9:$K$261,3))*(INDEX(DailyScalarsTable,T$5/100,MONTH($A10)))*$B10</f>
        <v>-6958.8903418665404</v>
      </c>
      <c r="U10" s="1021">
        <f>(VLOOKUP(YEAR($A10),'NY East Load Projections'!$A$4:$EO$14,((MONTH($A10)-1)*12)+VLOOKUP(U$4,$DE$6:$DF$17,2)+1))*(VLOOKUP($A10,CURVES!$D$9:$K$261,3))*(INDEX(DailyScalarsTable,U$5/100,MONTH($A10)))*$B10</f>
        <v>-6992.429769820189</v>
      </c>
      <c r="V10" s="1021">
        <f>(VLOOKUP(YEAR($A10),'NY East Load Projections'!$A$4:$EO$14,((MONTH($A10)-1)*12)+VLOOKUP(V$4,$DE$6:$DF$17,2)+1))*(VLOOKUP($A10,CURVES!$D$9:$K$261,3))*(INDEX(DailyScalarsTable,V$5/100,MONTH($A10)))*$B10</f>
        <v>-6782.5378658522004</v>
      </c>
      <c r="W10" s="1021">
        <f>(VLOOKUP(YEAR($A10),'NY East Load Projections'!$A$4:$EO$14,((MONTH($A10)-1)*12)+VLOOKUP(W$4,$DE$6:$DF$17,2)+1))*(VLOOKUP($A10,CURVES!$D$9:$K$261,3))*(INDEX(DailyScalarsTable,W$5/100,MONTH($A10)))*$B10</f>
        <v>-6518.5501103460674</v>
      </c>
      <c r="X10" s="1021">
        <f>(VLOOKUP(YEAR($A10),'NY East Load Projections'!$A$4:$EO$14,((MONTH($A10)-1)*12)+VLOOKUP(X$4,$DE$6:$DF$17,2)+1))*(VLOOKUP($A10,CURVES!$D$9:$K$261,3))*(INDEX(DailyScalarsTable,X$5/100,MONTH($A10)))*$B10</f>
        <v>-5641.1197817827178</v>
      </c>
      <c r="Y10" s="1021">
        <f>(VLOOKUP(YEAR($A10),'NY East Load Projections'!$A$4:$EO$14,((MONTH($A10)-1)*12)+VLOOKUP(Y$4,$DE$6:$DF$17,2)+1))*(VLOOKUP($A10,CURVES!$D$9:$K$261,3))*(INDEX(DailyScalarsTable,Y$5/100,MONTH($A10)))*$B10</f>
        <v>-5421.2759127694053</v>
      </c>
      <c r="Z10" s="1021">
        <f>(VLOOKUP(YEAR($A10),'NY East Load Projections'!$A$4:$EO$14,((MONTH($A10)-1)*12)+VLOOKUP(Z$4,$DE$6:$DF$17,2)+1))*(VLOOKUP($A10,CURVES!$D$9:$K$261,3))*(INDEX(DailyScalarsTable,Z$5/100,MONTH($A10)))*$B10</f>
        <v>-4697.0843442549722</v>
      </c>
      <c r="AA10" s="1021">
        <f>(VLOOKUP(YEAR($A10),'NY East Load Projections'!$A$4:$EO$14,((MONTH($A10)-1)*12)+VLOOKUP(AA$4,$DE$6:$DF$17,2)+1))*(VLOOKUP($A10,CURVES!$D$9:$K$261,3))*(INDEX(DailyScalarsTable,AA$5/100,MONTH($A10)))*$B10</f>
        <v>-4685.0760656954235</v>
      </c>
      <c r="AB10" s="1021">
        <f>(VLOOKUP(YEAR($A10),'NY East Load Projections'!$A$4:$EO$14,((MONTH($A10)-1)*12)+VLOOKUP(AB$4,$DE$6:$DF$17,2)+1))*(VLOOKUP($A10,CURVES!$D$9:$K$261,3))*(INDEX(DailyScalarsTable,AB$5/100,MONTH($A10)))*$B10</f>
        <v>-3620.4042757727325</v>
      </c>
      <c r="AC10" s="1021">
        <f>(VLOOKUP(YEAR($A10),'NY East Load Projections'!$A$4:$EO$14,((MONTH($A10)-1)*12)+VLOOKUP(AC$4,$DE$6:$DF$17,2)+1))*(VLOOKUP($A10,CURVES!$D$9:$K$261,3))*(INDEX(DailyScalarsTable,AC$5/100,MONTH($A10)))*$B10</f>
        <v>-3453.1913808333265</v>
      </c>
      <c r="AD10" s="1021">
        <f>(VLOOKUP(YEAR($A10),'NY East Load Projections'!$A$4:$EO$14,((MONTH($A10)-1)*12)+VLOOKUP(AD$4,$DE$6:$DF$17,2)+1))*(VLOOKUP($A10,CURVES!$D$9:$K$261,3))*(INDEX(DailyScalarsTable,AD$5/100,MONTH($A10)))*$B10</f>
        <v>-2770.1784484098257</v>
      </c>
      <c r="AE10" s="1021">
        <f>(VLOOKUP(YEAR($A10),'NY East Load Projections'!$A$4:$EO$14,((MONTH($A10)-1)*12)+VLOOKUP(AE$4,$DE$6:$DF$17,2)+1))*(VLOOKUP($A10,CURVES!$D$9:$K$261,7))*(INDEX(DailyScalarsTable,AE$5/100,MONTH($A10)))*$B10</f>
        <v>-2233.1877447017378</v>
      </c>
      <c r="AF10" s="1021"/>
      <c r="AG10" s="1021">
        <f>(VLOOKUP(YEAR($A10),'NY East Load Projections'!$A$4:$EO$14,((MONTH($A10)-1)*12)+VLOOKUP(AG$4,$DE$6:$DF$17,2)+1))*(VLOOKUP($A10,CURVES!$D$9:$T$261,7))*(INDEX(DailyScalarsTable,AG$5/100,MONTH($A10)))*$C10</f>
        <v>-688.74185369291524</v>
      </c>
      <c r="AH10" s="1021">
        <f>(VLOOKUP(YEAR($A10),'NY East Load Projections'!$A$4:$EO$14,((MONTH($A10)-1)*12)+VLOOKUP(AH$4,$DE$6:$DF$17,2)+1))*(VLOOKUP($A10,CURVES!$D$9:$T$261,7))*(INDEX(DailyScalarsTable,AH$5/100,MONTH($A10)))*$C10</f>
        <v>-620.39204516156258</v>
      </c>
      <c r="AI10" s="1021">
        <f>(VLOOKUP(YEAR($A10),'NY East Load Projections'!$A$4:$EO$14,((MONTH($A10)-1)*12)+VLOOKUP(AI$4,$DE$6:$DF$17,2)+1))*(VLOOKUP($A10,CURVES!$D$9:$T$261,7))*(INDEX(DailyScalarsTable,AI$5/100,MONTH($A10)))*$C10</f>
        <v>-587.12123889233294</v>
      </c>
      <c r="AJ10" s="1021">
        <f>(VLOOKUP(YEAR($A10),'NY East Load Projections'!$A$4:$EO$14,((MONTH($A10)-1)*12)+VLOOKUP(AJ$4,$DE$6:$DF$17,2)+1))*(VLOOKUP($A10,CURVES!$D$9:$T$261,7))*(INDEX(DailyScalarsTable,AJ$5/100,MONTH($A10)))*$C10</f>
        <v>-569.22009856269267</v>
      </c>
      <c r="AK10" s="1021">
        <f>(VLOOKUP(YEAR($A10),'NY East Load Projections'!$A$4:$EO$14,((MONTH($A10)-1)*12)+VLOOKUP(AK$4,$DE$6:$DF$17,2)+1))*(VLOOKUP($A10,CURVES!$D$9:$T$261,7))*(INDEX(DailyScalarsTable,AK$5/100,MONTH($A10)))*$C10</f>
        <v>-622.91515665172335</v>
      </c>
      <c r="AL10" s="1021">
        <f>(VLOOKUP(YEAR($A10),'NY East Load Projections'!$A$4:$EO$14,((MONTH($A10)-1)*12)+VLOOKUP(AL$4,$DE$6:$DF$17,2)+1))*(VLOOKUP($A10,CURVES!$D$9:$T$261,7))*(INDEX(DailyScalarsTable,AL$5/100,MONTH($A10)))*$C10</f>
        <v>-755.24807138642029</v>
      </c>
      <c r="AM10" s="1021">
        <f>(VLOOKUP(YEAR($A10),'NY East Load Projections'!$A$4:$EO$14,((MONTH($A10)-1)*12)+VLOOKUP(AM$4,$DE$6:$DF$17,2)+1))*(VLOOKUP($A10,CURVES!$D$9:$T$261,7))*(INDEX(DailyScalarsTable,AM$5/100,MONTH($A10)))*$C10</f>
        <v>-903.66564979052839</v>
      </c>
      <c r="AN10" s="1021">
        <f>(VLOOKUP(YEAR($A10),'NY East Load Projections'!$A$4:$EO$14,((MONTH($A10)-1)*12)+VLOOKUP(AN$4,$DE$6:$DF$17,2)+1))*(VLOOKUP($A10,SatSunCurve,3))*(INDEX(DailyScalarsTable,AN$5/100,MONTH($A10)))*$C10</f>
        <v>-737.47855031994516</v>
      </c>
      <c r="AO10" s="1021">
        <f>(VLOOKUP(YEAR($A10),'NY East Load Projections'!$A$4:$EO$14,((MONTH($A10)-1)*12)+VLOOKUP(AO$4,$DE$6:$DF$17,2)+1))*(VLOOKUP($A10,SatSunCurve,3))*(INDEX(DailyScalarsTable,AO$5/100,MONTH($A10)))*$C10</f>
        <v>-1301.0298132911162</v>
      </c>
      <c r="AP10" s="1021">
        <f>(VLOOKUP(YEAR($A10),'NY East Load Projections'!$A$4:$EO$14,((MONTH($A10)-1)*12)+VLOOKUP(AP$4,$DE$6:$DF$17,2)+1))*(VLOOKUP($A10,SatSunCurve,3))*(INDEX(DailyScalarsTable,AP$5/100,MONTH($A10)))*$C10</f>
        <v>-1324.1056834687804</v>
      </c>
      <c r="AQ10" s="1021">
        <f>(VLOOKUP(YEAR($A10),'NY East Load Projections'!$A$4:$EO$14,((MONTH($A10)-1)*12)+VLOOKUP(AQ$4,$DE$6:$DF$17,2)+1))*(VLOOKUP($A10,SatSunCurve,3))*(INDEX(DailyScalarsTable,AQ$5/100,MONTH($A10)))*$C10</f>
        <v>-1404.5649122298385</v>
      </c>
      <c r="AR10" s="1021">
        <f>(VLOOKUP(YEAR($A10),'NY East Load Projections'!$A$4:$EO$14,((MONTH($A10)-1)*12)+VLOOKUP(AR$4,$DE$6:$DF$17,2)+1))*(VLOOKUP($A10,SatSunCurve,3))*(INDEX(DailyScalarsTable,AR$5/100,MONTH($A10)))*$C10</f>
        <v>-1393.9459277233022</v>
      </c>
      <c r="AS10" s="1021">
        <f>(VLOOKUP(YEAR($A10),'NY East Load Projections'!$A$4:$EO$14,((MONTH($A10)-1)*12)+VLOOKUP(AS$4,$DE$6:$DF$17,2)+1))*(VLOOKUP($A10,SatSunCurve,3))*(INDEX(DailyScalarsTable,AS$5/100,MONTH($A10)))*$C10</f>
        <v>-1094.0263402012006</v>
      </c>
      <c r="AT10" s="1021">
        <f>(VLOOKUP(YEAR($A10),'NY East Load Projections'!$A$4:$EO$14,((MONTH($A10)-1)*12)+VLOOKUP(AT$4,$DE$6:$DF$17,2)+1))*(VLOOKUP($A10,SatSunCurve,3))*(INDEX(DailyScalarsTable,AT$5/100,MONTH($A10)))*$C10</f>
        <v>-1099.2991661567723</v>
      </c>
      <c r="AU10" s="1021">
        <f>(VLOOKUP(YEAR($A10),'NY East Load Projections'!$A$4:$EO$14,((MONTH($A10)-1)*12)+VLOOKUP(AU$4,$DE$6:$DF$17,2)+1))*(VLOOKUP($A10,SatSunCurve,3))*(INDEX(DailyScalarsTable,AU$5/100,MONTH($A10)))*$C10</f>
        <v>-1066.301481144485</v>
      </c>
      <c r="AV10" s="1021">
        <f>(VLOOKUP(YEAR($A10),'NY East Load Projections'!$A$4:$EO$14,((MONTH($A10)-1)*12)+VLOOKUP(AV$4,$DE$6:$DF$17,2)+1))*(VLOOKUP($A10,SatSunCurve,3))*(INDEX(DailyScalarsTable,AV$5/100,MONTH($A10)))*$C10</f>
        <v>-1024.7992381393399</v>
      </c>
      <c r="AW10" s="1021">
        <f>(VLOOKUP(YEAR($A10),'NY East Load Projections'!$A$4:$EO$14,((MONTH($A10)-1)*12)+VLOOKUP(AW$4,$DE$6:$DF$17,2)+1))*(VLOOKUP($A10,SatSunCurve,3))*(INDEX(DailyScalarsTable,AW$5/100,MONTH($A10)))*$C10</f>
        <v>-696.26261018070488</v>
      </c>
      <c r="AX10" s="1021">
        <f>(VLOOKUP(YEAR($A10),'NY East Load Projections'!$A$4:$EO$14,((MONTH($A10)-1)*12)+VLOOKUP(AX$4,$DE$6:$DF$17,2)+1))*(VLOOKUP($A10,SatSunCurve,3))*(INDEX(DailyScalarsTable,AX$5/100,MONTH($A10)))*$C10</f>
        <v>-669.128092213944</v>
      </c>
      <c r="AY10" s="1021">
        <f>(VLOOKUP(YEAR($A10),'NY East Load Projections'!$A$4:$EO$14,((MONTH($A10)-1)*12)+VLOOKUP(AY$4,$DE$6:$DF$17,2)+1))*(VLOOKUP($A10,SatSunCurve,3))*(INDEX(DailyScalarsTable,AY$5/100,MONTH($A10)))*$C10</f>
        <v>-579.74379773520286</v>
      </c>
      <c r="AZ10" s="1021">
        <f>(VLOOKUP(YEAR($A10),'NY East Load Projections'!$A$4:$EO$14,((MONTH($A10)-1)*12)+VLOOKUP(AZ$4,$DE$6:$DF$17,2)+1))*(VLOOKUP($A10,SatSunCurve,3))*(INDEX(DailyScalarsTable,AZ$5/100,MONTH($A10)))*$C10</f>
        <v>-578.26166019920345</v>
      </c>
      <c r="BA10" s="1021">
        <f>(VLOOKUP(YEAR($A10),'NY East Load Projections'!$A$4:$EO$14,((MONTH($A10)-1)*12)+VLOOKUP(BA$4,$DE$6:$DF$17,2)+1))*(VLOOKUP($A10,SatSunCurve,3))*(INDEX(DailyScalarsTable,BA$5/100,MONTH($A10)))*$C10</f>
        <v>-847.96686903222042</v>
      </c>
      <c r="BB10" s="1021">
        <f>(VLOOKUP(YEAR($A10),'NY East Load Projections'!$A$4:$EO$14,((MONTH($A10)-1)*12)+VLOOKUP(BB$4,$DE$6:$DF$17,2)+1))*(VLOOKUP($A10,SatSunCurve,3))*(INDEX(DailyScalarsTable,BB$5/100,MONTH($A10)))*$C10</f>
        <v>-808.80245970577357</v>
      </c>
      <c r="BC10" s="1021">
        <f>(VLOOKUP(YEAR($A10),'NY East Load Projections'!$A$4:$EO$14,((MONTH($A10)-1)*12)+VLOOKUP(BC$4,$DE$6:$DF$17,2)+1))*(VLOOKUP($A10,SatSunCurve,3))*(INDEX(DailyScalarsTable,BC$5/100,MONTH($A10)))*$C10</f>
        <v>-648.8279668869975</v>
      </c>
      <c r="BD10" s="1021">
        <f>(VLOOKUP(YEAR($A10),'NY East Load Projections'!$A$4:$EO$14,((MONTH($A10)-1)*12)+VLOOKUP(BD$4,$DE$6:$DF$17,2)+1))*(VLOOKUP($A10,CURVES!$D$9:$T$261,7))*(INDEX(DailyScalarsTable,BD$5/100,MONTH($A10)))*$C10</f>
        <v>-830.34094928921149</v>
      </c>
      <c r="BE10" s="1021"/>
      <c r="BF10" s="1021">
        <f>(VLOOKUP(YEAR($A10),'NY East Load Projections'!$A$4:$EO$14,((MONTH($A10)-1)*12)+VLOOKUP(BF$4,$DE$6:$DF$17,2)+1))*(VLOOKUP($A10,CURVES!$D$9:$T$261,7))*(INDEX(DailyScalarsTable,BF$5/100,MONTH($A10)))*$D10</f>
        <v>-688.74185369291524</v>
      </c>
      <c r="BG10" s="1021">
        <f>(VLOOKUP(YEAR($A10),'NY East Load Projections'!$A$4:$EO$14,((MONTH($A10)-1)*12)+VLOOKUP(BG$4,$DE$6:$DF$17,2)+1))*(VLOOKUP($A10,CURVES!$D$9:$T$261,7))*(INDEX(DailyScalarsTable,BG$5/100,MONTH($A10)))*$D10</f>
        <v>-620.39204516156258</v>
      </c>
      <c r="BH10" s="1021">
        <f>(VLOOKUP(YEAR($A10),'NY East Load Projections'!$A$4:$EO$14,((MONTH($A10)-1)*12)+VLOOKUP(BH$4,$DE$6:$DF$17,2)+1))*(VLOOKUP($A10,CURVES!$D$9:$T$261,7))*(INDEX(DailyScalarsTable,BH$5/100,MONTH($A10)))*$D10</f>
        <v>-587.12123889233294</v>
      </c>
      <c r="BI10" s="1021">
        <f>(VLOOKUP(YEAR($A10),'NY East Load Projections'!$A$4:$EO$14,((MONTH($A10)-1)*12)+VLOOKUP(BI$4,$DE$6:$DF$17,2)+1))*(VLOOKUP($A10,CURVES!$D$9:$T$261,7))*(INDEX(DailyScalarsTable,BI$5/100,MONTH($A10)))*$D10</f>
        <v>-569.22009856269267</v>
      </c>
      <c r="BJ10" s="1021">
        <f>(VLOOKUP(YEAR($A10),'NY East Load Projections'!$A$4:$EO$14,((MONTH($A10)-1)*12)+VLOOKUP(BJ$4,$DE$6:$DF$17,2)+1))*(VLOOKUP($A10,CURVES!$D$9:$T$261,7))*(INDEX(DailyScalarsTable,BJ$5/100,MONTH($A10)))*$D10</f>
        <v>-622.91515665172335</v>
      </c>
      <c r="BK10" s="1021">
        <f>(VLOOKUP(YEAR($A10),'NY East Load Projections'!$A$4:$EO$14,((MONTH($A10)-1)*12)+VLOOKUP(BK$4,$DE$6:$DF$17,2)+1))*(VLOOKUP($A10,CURVES!$D$9:$T$261,7))*(INDEX(DailyScalarsTable,BK$5/100,MONTH($A10)))*$D10</f>
        <v>-755.24807138642029</v>
      </c>
      <c r="BL10" s="1021">
        <f>(VLOOKUP(YEAR($A10),'NY East Load Projections'!$A$4:$EO$14,((MONTH($A10)-1)*12)+VLOOKUP(BL$4,$DE$6:$DF$17,2)+1))*(VLOOKUP($A10,CURVES!$D$9:$T$261,7))*(INDEX(DailyScalarsTable,BL$5/100,MONTH($A10)))*$D10</f>
        <v>-903.66564979052839</v>
      </c>
      <c r="BM10" s="1021">
        <f>(VLOOKUP(YEAR($A10),'NY East Load Projections'!$A$4:$EO$14,((MONTH($A10)-1)*12)+VLOOKUP(BM$4,$DE$6:$DF$17,2)+1))*(VLOOKUP($A10,SatSunCurve,7))*(INDEX(DailyScalarsTable,BM$5/100,MONTH($A10)))*$D10</f>
        <v>-708.04047990847857</v>
      </c>
      <c r="BN10" s="1021">
        <f>(VLOOKUP(YEAR($A10),'NY East Load Projections'!$A$4:$EO$14,((MONTH($A10)-1)*12)+VLOOKUP(BN$4,$DE$6:$DF$17,2)+1))*(VLOOKUP($A10,SatSunCurve,7))*(INDEX(DailyScalarsTable,BN$5/100,MONTH($A10)))*$D10</f>
        <v>-1249.0963608070197</v>
      </c>
      <c r="BO10" s="1021">
        <f>(VLOOKUP(YEAR($A10),'NY East Load Projections'!$A$4:$EO$14,((MONTH($A10)-1)*12)+VLOOKUP(BO$4,$DE$6:$DF$17,2)+1))*(VLOOKUP($A10,SatSunCurve,7))*(INDEX(DailyScalarsTable,BO$5/100,MONTH($A10)))*$D10</f>
        <v>-1271.2511071217577</v>
      </c>
      <c r="BP10" s="1021">
        <f>(VLOOKUP(YEAR($A10),'NY East Load Projections'!$A$4:$EO$14,((MONTH($A10)-1)*12)+VLOOKUP(BP$4,$DE$6:$DF$17,2)+1))*(VLOOKUP($A10,SatSunCurve,7))*(INDEX(DailyScalarsTable,BP$5/100,MONTH($A10)))*$D10</f>
        <v>-1348.498629670489</v>
      </c>
      <c r="BQ10" s="1021">
        <f>(VLOOKUP(YEAR($A10),'NY East Load Projections'!$A$4:$EO$14,((MONTH($A10)-1)*12)+VLOOKUP(BQ$4,$DE$6:$DF$17,2)+1))*(VLOOKUP($A10,SatSunCurve,7))*(INDEX(DailyScalarsTable,BQ$5/100,MONTH($A10)))*$D10</f>
        <v>-1338.3035251716713</v>
      </c>
      <c r="BR10" s="1021">
        <f>(VLOOKUP(YEAR($A10),'NY East Load Projections'!$A$4:$EO$14,((MONTH($A10)-1)*12)+VLOOKUP(BR$4,$DE$6:$DF$17,2)+1))*(VLOOKUP($A10,SatSunCurve,7))*(INDEX(DailyScalarsTable,BR$5/100,MONTH($A10)))*$D10</f>
        <v>-1050.3558844016793</v>
      </c>
      <c r="BS10" s="1021">
        <f>(VLOOKUP(YEAR($A10),'NY East Load Projections'!$A$4:$EO$14,((MONTH($A10)-1)*12)+VLOOKUP(BS$4,$DE$6:$DF$17,2)+1))*(VLOOKUP($A10,SatSunCurve,7))*(INDEX(DailyScalarsTable,BS$5/100,MONTH($A10)))*$D10</f>
        <v>-1055.4182339689141</v>
      </c>
      <c r="BT10" s="1021">
        <f>(VLOOKUP(YEAR($A10),'NY East Load Projections'!$A$4:$EO$14,((MONTH($A10)-1)*12)+VLOOKUP(BT$4,$DE$6:$DF$17,2)+1))*(VLOOKUP($A10,SatSunCurve,7))*(INDEX(DailyScalarsTable,BT$5/100,MONTH($A10)))*$D10</f>
        <v>-1023.7377237739629</v>
      </c>
      <c r="BU10" s="1021">
        <f>(VLOOKUP(YEAR($A10),'NY East Load Projections'!$A$4:$EO$14,((MONTH($A10)-1)*12)+VLOOKUP(BU$4,$DE$6:$DF$17,2)+1))*(VLOOKUP($A10,SatSunCurve,7))*(INDEX(DailyScalarsTable,BU$5/100,MONTH($A10)))*$D10</f>
        <v>-983.89213363185922</v>
      </c>
      <c r="BV10" s="1021">
        <f>(VLOOKUP(YEAR($A10),'NY East Load Projections'!$A$4:$EO$14,((MONTH($A10)-1)*12)+VLOOKUP(BV$4,$DE$6:$DF$17,2)+1))*(VLOOKUP($A10,SatSunCurve,7))*(INDEX(DailyScalarsTable,BV$5/100,MONTH($A10)))*$D10</f>
        <v>-668.46976422677312</v>
      </c>
      <c r="BW10" s="1021">
        <f>(VLOOKUP(YEAR($A10),'NY East Load Projections'!$A$4:$EO$14,((MONTH($A10)-1)*12)+VLOOKUP(BW$4,$DE$6:$DF$17,2)+1))*(VLOOKUP($A10,SatSunCurve,7))*(INDEX(DailyScalarsTable,BW$5/100,MONTH($A10)))*$D10</f>
        <v>-642.41837993236129</v>
      </c>
      <c r="BX10" s="1021">
        <f>(VLOOKUP(YEAR($A10),'NY East Load Projections'!$A$4:$EO$14,((MONTH($A10)-1)*12)+VLOOKUP(BX$4,$DE$6:$DF$17,2)+1))*(VLOOKUP($A10,SatSunCurve,7))*(INDEX(DailyScalarsTable,BX$5/100,MONTH($A10)))*$D10</f>
        <v>-556.6020551978288</v>
      </c>
      <c r="BY10" s="1021">
        <f>(VLOOKUP(YEAR($A10),'NY East Load Projections'!$A$4:$EO$14,((MONTH($A10)-1)*12)+VLOOKUP(BY$4,$DE$6:$DF$17,2)+1))*(VLOOKUP($A10,SatSunCurve,7))*(INDEX(DailyScalarsTable,BY$5/100,MONTH($A10)))*$D10</f>
        <v>-555.17908042544525</v>
      </c>
      <c r="BZ10" s="1021">
        <f>(VLOOKUP(YEAR($A10),'NY East Load Projections'!$A$4:$EO$14,((MONTH($A10)-1)*12)+VLOOKUP(BZ$4,$DE$6:$DF$17,2)+1))*(VLOOKUP($A10,SatSunCurve,7))*(INDEX(DailyScalarsTable,BZ$5/100,MONTH($A10)))*$D10</f>
        <v>-814.11841556014076</v>
      </c>
      <c r="CA10" s="1021">
        <f>(VLOOKUP(YEAR($A10),'NY East Load Projections'!$A$4:$EO$14,((MONTH($A10)-1)*12)+VLOOKUP(CA$4,$DE$6:$DF$17,2)+1))*(VLOOKUP($A10,SatSunCurve,7))*(INDEX(DailyScalarsTable,CA$5/100,MONTH($A10)))*$D10</f>
        <v>-776.51733934877268</v>
      </c>
      <c r="CB10" s="1021">
        <f>(VLOOKUP(YEAR($A10),'NY East Load Projections'!$A$4:$EO$14,((MONTH($A10)-1)*12)+VLOOKUP(CB$4,$DE$6:$DF$17,2)+1))*(VLOOKUP($A10,SatSunCurve,7))*(INDEX(DailyScalarsTable,CB$5/100,MONTH($A10)))*$D10</f>
        <v>-622.92857853751696</v>
      </c>
      <c r="CC10" s="1021">
        <f>(VLOOKUP(YEAR($A10),'NY East Load Projections'!$A$4:$EO$14,((MONTH($A10)-1)*12)+VLOOKUP(CC$4,$DE$6:$DF$17,2)+1))*(VLOOKUP($A10,CURVES!$D$9:$T$261,7))*(INDEX(DailyScalarsTable,CC$5/100,MONTH($A10)))*$D10</f>
        <v>-830.34094928921149</v>
      </c>
      <c r="CE10" s="1021">
        <f>(VLOOKUP(YEAR($A10),'NY East Load Projections'!$A$4:$EO$14,((MONTH($A10)-1)*12)+VLOOKUP(CE$4,$DE$6:$DF$17,2)+1))*(VLOOKUP($A10,CURVES!$D$9:$T$261,7))*(INDEX(DailyScalarsTable,CE$5/100,MONTH($A10)))*$E10</f>
        <v>-172.18546342322881</v>
      </c>
      <c r="CF10" s="1021">
        <f>(VLOOKUP(YEAR($A10),'NY East Load Projections'!$A$4:$EO$14,((MONTH($A10)-1)*12)+VLOOKUP(CF$4,$DE$6:$DF$17,2)+1))*(VLOOKUP($A10,CURVES!$D$9:$T$261,7))*(INDEX(DailyScalarsTable,CF$5/100,MONTH($A10)))*$E10</f>
        <v>-155.09801129039064</v>
      </c>
      <c r="CG10" s="1021">
        <f>(VLOOKUP(YEAR($A10),'NY East Load Projections'!$A$4:$EO$14,((MONTH($A10)-1)*12)+VLOOKUP(CG$4,$DE$6:$DF$17,2)+1))*(VLOOKUP($A10,CURVES!$D$9:$T$261,7))*(INDEX(DailyScalarsTable,CG$5/100,MONTH($A10)))*$E10</f>
        <v>-146.78030972308323</v>
      </c>
      <c r="CH10" s="1021">
        <f>(VLOOKUP(YEAR($A10),'NY East Load Projections'!$A$4:$EO$14,((MONTH($A10)-1)*12)+VLOOKUP(CH$4,$DE$6:$DF$17,2)+1))*(VLOOKUP($A10,CURVES!$D$9:$T$261,7))*(INDEX(DailyScalarsTable,CH$5/100,MONTH($A10)))*$E10</f>
        <v>-142.30502464067317</v>
      </c>
      <c r="CI10" s="1021">
        <f>(VLOOKUP(YEAR($A10),'NY East Load Projections'!$A$4:$EO$14,((MONTH($A10)-1)*12)+VLOOKUP(CI$4,$DE$6:$DF$17,2)+1))*(VLOOKUP($A10,CURVES!$D$9:$T$261,7))*(INDEX(DailyScalarsTable,CI$5/100,MONTH($A10)))*$E10</f>
        <v>-155.72878916293084</v>
      </c>
      <c r="CJ10" s="1021">
        <f>(VLOOKUP(YEAR($A10),'NY East Load Projections'!$A$4:$EO$14,((MONTH($A10)-1)*12)+VLOOKUP(CJ$4,$DE$6:$DF$17,2)+1))*(VLOOKUP($A10,CURVES!$D$9:$T$261,7))*(INDEX(DailyScalarsTable,CJ$5/100,MONTH($A10)))*$E10</f>
        <v>-188.81201784660507</v>
      </c>
      <c r="CK10" s="1021">
        <f>(VLOOKUP(YEAR($A10),'NY East Load Projections'!$A$4:$EO$14,((MONTH($A10)-1)*12)+VLOOKUP(CK$4,$DE$6:$DF$17,2)+1))*(VLOOKUP($A10,CURVES!$D$9:$T$261,7))*(INDEX(DailyScalarsTable,CK$5/100,MONTH($A10)))*$E10</f>
        <v>-225.9164124476321</v>
      </c>
      <c r="CL10" s="1021">
        <f>(VLOOKUP(YEAR($A10),'NY East Load Projections'!$A$4:$EO$14,((MONTH($A10)-1)*12)+VLOOKUP(CL$4,$DE$6:$DF$17,2)+1))*(VLOOKUP($A10,SatSunCurve,7))*(INDEX(DailyScalarsTable,CL$5/100,MONTH($A10)))*$E10</f>
        <v>-177.01011997711964</v>
      </c>
      <c r="CM10" s="1021">
        <f>(VLOOKUP(YEAR($A10),'NY East Load Projections'!$A$4:$EO$14,((MONTH($A10)-1)*12)+VLOOKUP(CM$4,$DE$6:$DF$17,2)+1))*(VLOOKUP($A10,SatSunCurve,7))*(INDEX(DailyScalarsTable,CM$5/100,MONTH($A10)))*$E10</f>
        <v>-312.27409020175492</v>
      </c>
      <c r="CN10" s="1021">
        <f>(VLOOKUP(YEAR($A10),'NY East Load Projections'!$A$4:$EO$14,((MONTH($A10)-1)*12)+VLOOKUP(CN$4,$DE$6:$DF$17,2)+1))*(VLOOKUP($A10,SatSunCurve,7))*(INDEX(DailyScalarsTable,CN$5/100,MONTH($A10)))*$E10</f>
        <v>-317.81277678043944</v>
      </c>
      <c r="CO10" s="1021">
        <f>(VLOOKUP(YEAR($A10),'NY East Load Projections'!$A$4:$EO$14,((MONTH($A10)-1)*12)+VLOOKUP(CO$4,$DE$6:$DF$17,2)+1))*(VLOOKUP($A10,SatSunCurve,7))*(INDEX(DailyScalarsTable,CO$5/100,MONTH($A10)))*$E10</f>
        <v>-337.12465741762225</v>
      </c>
      <c r="CP10" s="1021">
        <f>(VLOOKUP(YEAR($A10),'NY East Load Projections'!$A$4:$EO$14,((MONTH($A10)-1)*12)+VLOOKUP(CP$4,$DE$6:$DF$17,2)+1))*(VLOOKUP($A10,SatSunCurve,7))*(INDEX(DailyScalarsTable,CP$5/100,MONTH($A10)))*$E10</f>
        <v>-334.57588129291781</v>
      </c>
      <c r="CQ10" s="1021">
        <f>(VLOOKUP(YEAR($A10),'NY East Load Projections'!$A$4:$EO$14,((MONTH($A10)-1)*12)+VLOOKUP(CQ$4,$DE$6:$DF$17,2)+1))*(VLOOKUP($A10,SatSunCurve,7))*(INDEX(DailyScalarsTable,CQ$5/100,MONTH($A10)))*$E10</f>
        <v>-262.58897110041983</v>
      </c>
      <c r="CR10" s="1021">
        <f>(VLOOKUP(YEAR($A10),'NY East Load Projections'!$A$4:$EO$14,((MONTH($A10)-1)*12)+VLOOKUP(CR$4,$DE$6:$DF$17,2)+1))*(VLOOKUP($A10,SatSunCurve,7))*(INDEX(DailyScalarsTable,CR$5/100,MONTH($A10)))*$E10</f>
        <v>-263.85455849222853</v>
      </c>
      <c r="CS10" s="1021">
        <f>(VLOOKUP(YEAR($A10),'NY East Load Projections'!$A$4:$EO$14,((MONTH($A10)-1)*12)+VLOOKUP(CS$4,$DE$6:$DF$17,2)+1))*(VLOOKUP($A10,SatSunCurve,7))*(INDEX(DailyScalarsTable,CS$5/100,MONTH($A10)))*$E10</f>
        <v>-255.93443094349072</v>
      </c>
      <c r="CT10" s="1021">
        <f>(VLOOKUP(YEAR($A10),'NY East Load Projections'!$A$4:$EO$14,((MONTH($A10)-1)*12)+VLOOKUP(CT$4,$DE$6:$DF$17,2)+1))*(VLOOKUP($A10,SatSunCurve,7))*(INDEX(DailyScalarsTable,CT$5/100,MONTH($A10)))*$E10</f>
        <v>-245.97303340796481</v>
      </c>
      <c r="CU10" s="1021">
        <f>(VLOOKUP(YEAR($A10),'NY East Load Projections'!$A$4:$EO$14,((MONTH($A10)-1)*12)+VLOOKUP(CU$4,$DE$6:$DF$17,2)+1))*(VLOOKUP($A10,SatSunCurve,7))*(INDEX(DailyScalarsTable,CU$5/100,MONTH($A10)))*$E10</f>
        <v>-167.11744105669328</v>
      </c>
      <c r="CV10" s="1021">
        <f>(VLOOKUP(YEAR($A10),'NY East Load Projections'!$A$4:$EO$14,((MONTH($A10)-1)*12)+VLOOKUP(CV$4,$DE$6:$DF$17,2)+1))*(VLOOKUP($A10,SatSunCurve,7))*(INDEX(DailyScalarsTable,CV$5/100,MONTH($A10)))*$E10</f>
        <v>-160.60459498309032</v>
      </c>
      <c r="CW10" s="1021">
        <f>(VLOOKUP(YEAR($A10),'NY East Load Projections'!$A$4:$EO$14,((MONTH($A10)-1)*12)+VLOOKUP(CW$4,$DE$6:$DF$17,2)+1))*(VLOOKUP($A10,SatSunCurve,7))*(INDEX(DailyScalarsTable,CW$5/100,MONTH($A10)))*$E10</f>
        <v>-139.1505137994572</v>
      </c>
      <c r="CX10" s="1021">
        <f>(VLOOKUP(YEAR($A10),'NY East Load Projections'!$A$4:$EO$14,((MONTH($A10)-1)*12)+VLOOKUP(CX$4,$DE$6:$DF$17,2)+1))*(VLOOKUP($A10,SatSunCurve,7))*(INDEX(DailyScalarsTable,CX$5/100,MONTH($A10)))*$E10</f>
        <v>-138.79477010636131</v>
      </c>
      <c r="CY10" s="1021">
        <f>(VLOOKUP(YEAR($A10),'NY East Load Projections'!$A$4:$EO$14,((MONTH($A10)-1)*12)+VLOOKUP(CY$4,$DE$6:$DF$17,2)+1))*(VLOOKUP($A10,SatSunCurve,7))*(INDEX(DailyScalarsTable,CY$5/100,MONTH($A10)))*$E10</f>
        <v>-203.52960389003519</v>
      </c>
      <c r="CZ10" s="1021">
        <f>(VLOOKUP(YEAR($A10),'NY East Load Projections'!$A$4:$EO$14,((MONTH($A10)-1)*12)+VLOOKUP(CZ$4,$DE$6:$DF$17,2)+1))*(VLOOKUP($A10,SatSunCurve,7))*(INDEX(DailyScalarsTable,CZ$5/100,MONTH($A10)))*$E10</f>
        <v>-194.12933483719317</v>
      </c>
      <c r="DA10" s="1021">
        <f>(VLOOKUP(YEAR($A10),'NY East Load Projections'!$A$4:$EO$14,((MONTH($A10)-1)*12)+VLOOKUP(DA$4,$DE$6:$DF$17,2)+1))*(VLOOKUP($A10,SatSunCurve,7))*(INDEX(DailyScalarsTable,DA$5/100,MONTH($A10)))*$E10</f>
        <v>-155.73214463437924</v>
      </c>
      <c r="DB10" s="1021">
        <f>(VLOOKUP(YEAR($A10),'NY East Load Projections'!$A$4:$EO$14,((MONTH($A10)-1)*12)+VLOOKUP(DB$4,$DE$6:$DF$17,2)+1))*(VLOOKUP($A10,CURVES!$D$9:$T$261,7))*(INDEX(DailyScalarsTable,DB$5/100,MONTH($A10)))*$E10</f>
        <v>-207.58523732230287</v>
      </c>
      <c r="DE10" s="221" t="s">
        <v>562</v>
      </c>
      <c r="DF10" s="619">
        <v>5</v>
      </c>
      <c r="DH10" s="1032">
        <f t="shared" si="0"/>
        <v>-153865.91963975879</v>
      </c>
      <c r="DI10">
        <f ca="1">CALC!J30</f>
        <v>0.91660266916426358</v>
      </c>
      <c r="DJ10" s="1029">
        <f t="shared" ca="1" si="1"/>
        <v>-141033.91263521698</v>
      </c>
    </row>
    <row r="11" spans="1:114" x14ac:dyDescent="0.25">
      <c r="A11" s="244">
        <v>37043</v>
      </c>
      <c r="B11" s="13">
        <v>21</v>
      </c>
      <c r="C11" s="210">
        <v>5</v>
      </c>
      <c r="D11" s="210">
        <v>4</v>
      </c>
      <c r="E11" s="210">
        <v>0</v>
      </c>
      <c r="F11" s="13">
        <v>30</v>
      </c>
      <c r="H11" s="1021">
        <f>(VLOOKUP(YEAR($A11),'NY East Load Projections'!$A$4:$EO$14,((MONTH($A11)-1)*12)+VLOOKUP(H$4,$DE$6:$DF$17,2)+1))*(VLOOKUP($A11,CURVES!$D$9:$K$261,7))*(INDEX(DailyScalarsTable,H$5/100,MONTH($A11)))*$B11</f>
        <v>-892.91439903277717</v>
      </c>
      <c r="I11" s="1021">
        <f>(VLOOKUP(YEAR($A11),'NY East Load Projections'!$A$4:$EO$14,((MONTH($A11)-1)*12)+VLOOKUP(I$4,$DE$6:$DF$17,2)+1))*(VLOOKUP($A11,CURVES!$D$9:$K$261,7))*(INDEX(DailyScalarsTable,I$5/100,MONTH($A11)))*$B11</f>
        <v>-739.79112098006124</v>
      </c>
      <c r="J11" s="1021">
        <f>(VLOOKUP(YEAR($A11),'NY East Load Projections'!$A$4:$EO$14,((MONTH($A11)-1)*12)+VLOOKUP(J$4,$DE$6:$DF$17,2)+1))*(VLOOKUP($A11,CURVES!$D$9:$K$261,7))*(INDEX(DailyScalarsTable,J$5/100,MONTH($A11)))*$B11</f>
        <v>-621.86334265886512</v>
      </c>
      <c r="K11" s="1021">
        <f>(VLOOKUP(YEAR($A11),'NY East Load Projections'!$A$4:$EO$14,((MONTH($A11)-1)*12)+VLOOKUP(K$4,$DE$6:$DF$17,2)+1))*(VLOOKUP($A11,CURVES!$D$9:$K$261,7))*(INDEX(DailyScalarsTable,K$5/100,MONTH($A11)))*$B11</f>
        <v>-577.29761247934346</v>
      </c>
      <c r="L11" s="1021">
        <f>(VLOOKUP(YEAR($A11),'NY East Load Projections'!$A$4:$EO$14,((MONTH($A11)-1)*12)+VLOOKUP(L$4,$DE$6:$DF$17,2)+1))*(VLOOKUP($A11,CURVES!$D$9:$K$261,7))*(INDEX(DailyScalarsTable,L$5/100,MONTH($A11)))*$B11</f>
        <v>-914.64518065163679</v>
      </c>
      <c r="M11" s="1021">
        <f>(VLOOKUP(YEAR($A11),'NY East Load Projections'!$A$4:$EO$14,((MONTH($A11)-1)*12)+VLOOKUP(M$4,$DE$6:$DF$17,2)+1))*(VLOOKUP($A11,CURVES!$D$9:$K$261,7))*(INDEX(DailyScalarsTable,M$5/100,MONTH($A11)))*$B11</f>
        <v>-1115.9338828169421</v>
      </c>
      <c r="N11" s="1021">
        <f>(VLOOKUP(YEAR($A11),'NY East Load Projections'!$A$4:$EO$14,((MONTH($A11)-1)*12)+VLOOKUP(N$4,$DE$6:$DF$17,2)+1))*(VLOOKUP($A11,CURVES!$D$9:$K$261,7))*(INDEX(DailyScalarsTable,N$5/100,MONTH($A11)))*$B11</f>
        <v>-1279.5018165831107</v>
      </c>
      <c r="O11" s="1021">
        <f>(VLOOKUP(YEAR($A11),'NY East Load Projections'!$A$4:$EO$14,((MONTH($A11)-1)*12)+VLOOKUP(O$4,$DE$6:$DF$17,2)+1))*(VLOOKUP($A11,CURVES!$D$9:$K$261,3))*(INDEX(DailyScalarsTable,O$5/100,MONTH($A11)))*$B11</f>
        <v>-1904.9309671080889</v>
      </c>
      <c r="P11" s="1021">
        <f>(VLOOKUP(YEAR($A11),'NY East Load Projections'!$A$4:$EO$14,((MONTH($A11)-1)*12)+VLOOKUP(P$4,$DE$6:$DF$17,2)+1))*(VLOOKUP($A11,CURVES!$D$9:$K$261,3))*(INDEX(DailyScalarsTable,P$5/100,MONTH($A11)))*$B11</f>
        <v>-2509.492919208159</v>
      </c>
      <c r="Q11" s="1021">
        <f>(VLOOKUP(YEAR($A11),'NY East Load Projections'!$A$4:$EO$14,((MONTH($A11)-1)*12)+VLOOKUP(Q$4,$DE$6:$DF$17,2)+1))*(VLOOKUP($A11,CURVES!$D$9:$K$261,3))*(INDEX(DailyScalarsTable,Q$5/100,MONTH($A11)))*$B11</f>
        <v>-2806.8491354017979</v>
      </c>
      <c r="R11" s="1021">
        <f>(VLOOKUP(YEAR($A11),'NY East Load Projections'!$A$4:$EO$14,((MONTH($A11)-1)*12)+VLOOKUP(R$4,$DE$6:$DF$17,2)+1))*(VLOOKUP($A11,CURVES!$D$9:$K$261,3))*(INDEX(DailyScalarsTable,R$5/100,MONTH($A11)))*$B11</f>
        <v>-3228.6902764220654</v>
      </c>
      <c r="S11" s="1021">
        <f>(VLOOKUP(YEAR($A11),'NY East Load Projections'!$A$4:$EO$14,((MONTH($A11)-1)*12)+VLOOKUP(S$4,$DE$6:$DF$17,2)+1))*(VLOOKUP($A11,CURVES!$D$9:$K$261,3))*(INDEX(DailyScalarsTable,S$5/100,MONTH($A11)))*$B11</f>
        <v>-3482.0588866699009</v>
      </c>
      <c r="T11" s="1021">
        <f>(VLOOKUP(YEAR($A11),'NY East Load Projections'!$A$4:$EO$14,((MONTH($A11)-1)*12)+VLOOKUP(T$4,$DE$6:$DF$17,2)+1))*(VLOOKUP($A11,CURVES!$D$9:$K$261,3))*(INDEX(DailyScalarsTable,T$5/100,MONTH($A11)))*$B11</f>
        <v>-3810.2739459930767</v>
      </c>
      <c r="U11" s="1021">
        <f>(VLOOKUP(YEAR($A11),'NY East Load Projections'!$A$4:$EO$14,((MONTH($A11)-1)*12)+VLOOKUP(U$4,$DE$6:$DF$17,2)+1))*(VLOOKUP($A11,CURVES!$D$9:$K$261,3))*(INDEX(DailyScalarsTable,U$5/100,MONTH($A11)))*$B11</f>
        <v>-4213.7201661438148</v>
      </c>
      <c r="V11" s="1021">
        <f>(VLOOKUP(YEAR($A11),'NY East Load Projections'!$A$4:$EO$14,((MONTH($A11)-1)*12)+VLOOKUP(V$4,$DE$6:$DF$17,2)+1))*(VLOOKUP($A11,CURVES!$D$9:$K$261,3))*(INDEX(DailyScalarsTable,V$5/100,MONTH($A11)))*$B11</f>
        <v>-4246.1440873958836</v>
      </c>
      <c r="W11" s="1021">
        <f>(VLOOKUP(YEAR($A11),'NY East Load Projections'!$A$4:$EO$14,((MONTH($A11)-1)*12)+VLOOKUP(W$4,$DE$6:$DF$17,2)+1))*(VLOOKUP($A11,CURVES!$D$9:$K$261,3))*(INDEX(DailyScalarsTable,W$5/100,MONTH($A11)))*$B11</f>
        <v>-4253.0920705213257</v>
      </c>
      <c r="X11" s="1021">
        <f>(VLOOKUP(YEAR($A11),'NY East Load Projections'!$A$4:$EO$14,((MONTH($A11)-1)*12)+VLOOKUP(X$4,$DE$6:$DF$17,2)+1))*(VLOOKUP($A11,CURVES!$D$9:$K$261,3))*(INDEX(DailyScalarsTable,X$5/100,MONTH($A11)))*$B11</f>
        <v>-4126.5796860894889</v>
      </c>
      <c r="Y11" s="1021">
        <f>(VLOOKUP(YEAR($A11),'NY East Load Projections'!$A$4:$EO$14,((MONTH($A11)-1)*12)+VLOOKUP(Y$4,$DE$6:$DF$17,2)+1))*(VLOOKUP($A11,CURVES!$D$9:$K$261,3))*(INDEX(DailyScalarsTable,Y$5/100,MONTH($A11)))*$B11</f>
        <v>-4004.0780707163458</v>
      </c>
      <c r="Z11" s="1021">
        <f>(VLOOKUP(YEAR($A11),'NY East Load Projections'!$A$4:$EO$14,((MONTH($A11)-1)*12)+VLOOKUP(Z$4,$DE$6:$DF$17,2)+1))*(VLOOKUP($A11,CURVES!$D$9:$K$261,3))*(INDEX(DailyScalarsTable,Z$5/100,MONTH($A11)))*$B11</f>
        <v>-3418.9891279774765</v>
      </c>
      <c r="AA11" s="1021">
        <f>(VLOOKUP(YEAR($A11),'NY East Load Projections'!$A$4:$EO$14,((MONTH($A11)-1)*12)+VLOOKUP(AA$4,$DE$6:$DF$17,2)+1))*(VLOOKUP($A11,CURVES!$D$9:$K$261,3))*(INDEX(DailyScalarsTable,AA$5/100,MONTH($A11)))*$B11</f>
        <v>-2733.9530189052857</v>
      </c>
      <c r="AB11" s="1021">
        <f>(VLOOKUP(YEAR($A11),'NY East Load Projections'!$A$4:$EO$14,((MONTH($A11)-1)*12)+VLOOKUP(AB$4,$DE$6:$DF$17,2)+1))*(VLOOKUP($A11,CURVES!$D$9:$K$261,3))*(INDEX(DailyScalarsTable,AB$5/100,MONTH($A11)))*$B11</f>
        <v>-2384.4203010565116</v>
      </c>
      <c r="AC11" s="1021">
        <f>(VLOOKUP(YEAR($A11),'NY East Load Projections'!$A$4:$EO$14,((MONTH($A11)-1)*12)+VLOOKUP(AC$4,$DE$6:$DF$17,2)+1))*(VLOOKUP($A11,CURVES!$D$9:$K$261,3))*(INDEX(DailyScalarsTable,AC$5/100,MONTH($A11)))*$B11</f>
        <v>-2429.4964216629687</v>
      </c>
      <c r="AD11" s="1021">
        <f>(VLOOKUP(YEAR($A11),'NY East Load Projections'!$A$4:$EO$14,((MONTH($A11)-1)*12)+VLOOKUP(AD$4,$DE$6:$DF$17,2)+1))*(VLOOKUP($A11,CURVES!$D$9:$K$261,3))*(INDEX(DailyScalarsTable,AD$5/100,MONTH($A11)))*$B11</f>
        <v>-1948.2112284160751</v>
      </c>
      <c r="AE11" s="1021">
        <f>(VLOOKUP(YEAR($A11),'NY East Load Projections'!$A$4:$EO$14,((MONTH($A11)-1)*12)+VLOOKUP(AE$4,$DE$6:$DF$17,2)+1))*(VLOOKUP($A11,CURVES!$D$9:$K$261,7))*(INDEX(DailyScalarsTable,AE$5/100,MONTH($A11)))*$B11</f>
        <v>-1423.1897519198255</v>
      </c>
      <c r="AF11" s="1021"/>
      <c r="AG11" s="1021">
        <f>(VLOOKUP(YEAR($A11),'NY East Load Projections'!$A$4:$EO$14,((MONTH($A11)-1)*12)+VLOOKUP(AG$4,$DE$6:$DF$17,2)+1))*(VLOOKUP($A11,CURVES!$D$9:$T$261,7))*(INDEX(DailyScalarsTable,AG$5/100,MONTH($A11)))*$C11</f>
        <v>-251.42572965913945</v>
      </c>
      <c r="AH11" s="1021">
        <f>(VLOOKUP(YEAR($A11),'NY East Load Projections'!$A$4:$EO$14,((MONTH($A11)-1)*12)+VLOOKUP(AH$4,$DE$6:$DF$17,2)+1))*(VLOOKUP($A11,CURVES!$D$9:$T$261,7))*(INDEX(DailyScalarsTable,AH$5/100,MONTH($A11)))*$C11</f>
        <v>-208.30946683046693</v>
      </c>
      <c r="AI11" s="1021">
        <f>(VLOOKUP(YEAR($A11),'NY East Load Projections'!$A$4:$EO$14,((MONTH($A11)-1)*12)+VLOOKUP(AI$4,$DE$6:$DF$17,2)+1))*(VLOOKUP($A11,CURVES!$D$9:$T$261,7))*(INDEX(DailyScalarsTable,AI$5/100,MONTH($A11)))*$C11</f>
        <v>-175.10350918928037</v>
      </c>
      <c r="AJ11" s="1021">
        <f>(VLOOKUP(YEAR($A11),'NY East Load Projections'!$A$4:$EO$14,((MONTH($A11)-1)*12)+VLOOKUP(AJ$4,$DE$6:$DF$17,2)+1))*(VLOOKUP($A11,CURVES!$D$9:$T$261,7))*(INDEX(DailyScalarsTable,AJ$5/100,MONTH($A11)))*$C11</f>
        <v>-162.55474612720406</v>
      </c>
      <c r="AK11" s="1021">
        <f>(VLOOKUP(YEAR($A11),'NY East Load Projections'!$A$4:$EO$14,((MONTH($A11)-1)*12)+VLOOKUP(AK$4,$DE$6:$DF$17,2)+1))*(VLOOKUP($A11,CURVES!$D$9:$T$261,7))*(INDEX(DailyScalarsTable,AK$5/100,MONTH($A11)))*$C11</f>
        <v>-188.04175195286723</v>
      </c>
      <c r="AL11" s="1021">
        <f>(VLOOKUP(YEAR($A11),'NY East Load Projections'!$A$4:$EO$14,((MONTH($A11)-1)*12)+VLOOKUP(AL$4,$DE$6:$DF$17,2)+1))*(VLOOKUP($A11,CURVES!$D$9:$T$261,7))*(INDEX(DailyScalarsTable,AL$5/100,MONTH($A11)))*$C11</f>
        <v>-229.42466305782304</v>
      </c>
      <c r="AM11" s="1021">
        <f>(VLOOKUP(YEAR($A11),'NY East Load Projections'!$A$4:$EO$14,((MONTH($A11)-1)*12)+VLOOKUP(AM$4,$DE$6:$DF$17,2)+1))*(VLOOKUP($A11,CURVES!$D$9:$T$261,7))*(INDEX(DailyScalarsTable,AM$5/100,MONTH($A11)))*$C11</f>
        <v>-263.05256760413874</v>
      </c>
      <c r="AN11" s="1021">
        <f>(VLOOKUP(YEAR($A11),'NY East Load Projections'!$A$4:$EO$14,((MONTH($A11)-1)*12)+VLOOKUP(AN$4,$DE$6:$DF$17,2)+1))*(VLOOKUP($A11,SatSunCurve,3))*(INDEX(DailyScalarsTable,AN$5/100,MONTH($A11)))*$C11</f>
        <v>-202.02770053892277</v>
      </c>
      <c r="AO11" s="1021">
        <f>(VLOOKUP(YEAR($A11),'NY East Load Projections'!$A$4:$EO$14,((MONTH($A11)-1)*12)+VLOOKUP(AO$4,$DE$6:$DF$17,2)+1))*(VLOOKUP($A11,SatSunCurve,3))*(INDEX(DailyScalarsTable,AO$5/100,MONTH($A11)))*$C11</f>
        <v>-297.15421909745316</v>
      </c>
      <c r="AP11" s="1021">
        <f>(VLOOKUP(YEAR($A11),'NY East Load Projections'!$A$4:$EO$14,((MONTH($A11)-1)*12)+VLOOKUP(AP$4,$DE$6:$DF$17,2)+1))*(VLOOKUP($A11,SatSunCurve,3))*(INDEX(DailyScalarsTable,AP$5/100,MONTH($A11)))*$C11</f>
        <v>-332.3647803787639</v>
      </c>
      <c r="AQ11" s="1021">
        <f>(VLOOKUP(YEAR($A11),'NY East Load Projections'!$A$4:$EO$14,((MONTH($A11)-1)*12)+VLOOKUP(AQ$4,$DE$6:$DF$17,2)+1))*(VLOOKUP($A11,SatSunCurve,3))*(INDEX(DailyScalarsTable,AQ$5/100,MONTH($A11)))*$C11</f>
        <v>-382.31585769944002</v>
      </c>
      <c r="AR11" s="1021">
        <f>(VLOOKUP(YEAR($A11),'NY East Load Projections'!$A$4:$EO$14,((MONTH($A11)-1)*12)+VLOOKUP(AR$4,$DE$6:$DF$17,2)+1))*(VLOOKUP($A11,SatSunCurve,3))*(INDEX(DailyScalarsTable,AR$5/100,MONTH($A11)))*$C11</f>
        <v>-412.31775606931444</v>
      </c>
      <c r="AS11" s="1021">
        <f>(VLOOKUP(YEAR($A11),'NY East Load Projections'!$A$4:$EO$14,((MONTH($A11)-1)*12)+VLOOKUP(AS$4,$DE$6:$DF$17,2)+1))*(VLOOKUP($A11,SatSunCurve,3))*(INDEX(DailyScalarsTable,AS$5/100,MONTH($A11)))*$C11</f>
        <v>-425.71496413919141</v>
      </c>
      <c r="AT11" s="1021">
        <f>(VLOOKUP(YEAR($A11),'NY East Load Projections'!$A$4:$EO$14,((MONTH($A11)-1)*12)+VLOOKUP(AT$4,$DE$6:$DF$17,2)+1))*(VLOOKUP($A11,SatSunCurve,3))*(INDEX(DailyScalarsTable,AT$5/100,MONTH($A11)))*$C11</f>
        <v>-470.79127507588441</v>
      </c>
      <c r="AU11" s="1021">
        <f>(VLOOKUP(YEAR($A11),'NY East Load Projections'!$A$4:$EO$14,((MONTH($A11)-1)*12)+VLOOKUP(AU$4,$DE$6:$DF$17,2)+1))*(VLOOKUP($A11,SatSunCurve,3))*(INDEX(DailyScalarsTable,AU$5/100,MONTH($A11)))*$C11</f>
        <v>-474.41394070799527</v>
      </c>
      <c r="AV11" s="1021">
        <f>(VLOOKUP(YEAR($A11),'NY East Load Projections'!$A$4:$EO$14,((MONTH($A11)-1)*12)+VLOOKUP(AV$4,$DE$6:$DF$17,2)+1))*(VLOOKUP($A11,SatSunCurve,3))*(INDEX(DailyScalarsTable,AV$5/100,MONTH($A11)))*$C11</f>
        <v>-475.19022620059025</v>
      </c>
      <c r="AW11" s="1021">
        <f>(VLOOKUP(YEAR($A11),'NY East Load Projections'!$A$4:$EO$14,((MONTH($A11)-1)*12)+VLOOKUP(AW$4,$DE$6:$DF$17,2)+1))*(VLOOKUP($A11,SatSunCurve,3))*(INDEX(DailyScalarsTable,AW$5/100,MONTH($A11)))*$C11</f>
        <v>-411.76547868206052</v>
      </c>
      <c r="AX11" s="1021">
        <f>(VLOOKUP(YEAR($A11),'NY East Load Projections'!$A$4:$EO$14,((MONTH($A11)-1)*12)+VLOOKUP(AX$4,$DE$6:$DF$17,2)+1))*(VLOOKUP($A11,SatSunCurve,3))*(INDEX(DailyScalarsTable,AX$5/100,MONTH($A11)))*$C11</f>
        <v>-399.5418115944031</v>
      </c>
      <c r="AY11" s="1021">
        <f>(VLOOKUP(YEAR($A11),'NY East Load Projections'!$A$4:$EO$14,((MONTH($A11)-1)*12)+VLOOKUP(AY$4,$DE$6:$DF$17,2)+1))*(VLOOKUP($A11,SatSunCurve,3))*(INDEX(DailyScalarsTable,AY$5/100,MONTH($A11)))*$C11</f>
        <v>-341.15945940317323</v>
      </c>
      <c r="AZ11" s="1021">
        <f>(VLOOKUP(YEAR($A11),'NY East Load Projections'!$A$4:$EO$14,((MONTH($A11)-1)*12)+VLOOKUP(AZ$4,$DE$6:$DF$17,2)+1))*(VLOOKUP($A11,SatSunCurve,3))*(INDEX(DailyScalarsTable,AZ$5/100,MONTH($A11)))*$C11</f>
        <v>-272.80400698880061</v>
      </c>
      <c r="BA11" s="1021">
        <f>(VLOOKUP(YEAR($A11),'NY East Load Projections'!$A$4:$EO$14,((MONTH($A11)-1)*12)+VLOOKUP(BA$4,$DE$6:$DF$17,2)+1))*(VLOOKUP($A11,SatSunCurve,3))*(INDEX(DailyScalarsTable,BA$5/100,MONTH($A11)))*$C11</f>
        <v>-280.32454675460207</v>
      </c>
      <c r="BB11" s="1021">
        <f>(VLOOKUP(YEAR($A11),'NY East Load Projections'!$A$4:$EO$14,((MONTH($A11)-1)*12)+VLOOKUP(BB$4,$DE$6:$DF$17,2)+1))*(VLOOKUP($A11,SatSunCurve,3))*(INDEX(DailyScalarsTable,BB$5/100,MONTH($A11)))*$C11</f>
        <v>-285.62392416422318</v>
      </c>
      <c r="BC11" s="1021">
        <f>(VLOOKUP(YEAR($A11),'NY East Load Projections'!$A$4:$EO$14,((MONTH($A11)-1)*12)+VLOOKUP(BC$4,$DE$6:$DF$17,2)+1))*(VLOOKUP($A11,SatSunCurve,3))*(INDEX(DailyScalarsTable,BC$5/100,MONTH($A11)))*$C11</f>
        <v>-229.04159528669408</v>
      </c>
      <c r="BD11" s="1021">
        <f>(VLOOKUP(YEAR($A11),'NY East Load Projections'!$A$4:$EO$14,((MONTH($A11)-1)*12)+VLOOKUP(BD$4,$DE$6:$DF$17,2)+1))*(VLOOKUP($A11,CURVES!$D$9:$T$261,7))*(INDEX(DailyScalarsTable,BD$5/100,MONTH($A11)))*$C11</f>
        <v>-324.34789609527638</v>
      </c>
      <c r="BE11" s="1021"/>
      <c r="BF11" s="1021">
        <f>(VLOOKUP(YEAR($A11),'NY East Load Projections'!$A$4:$EO$14,((MONTH($A11)-1)*12)+VLOOKUP(BF$4,$DE$6:$DF$17,2)+1))*(VLOOKUP($A11,CURVES!$D$9:$T$261,7))*(INDEX(DailyScalarsTable,BF$5/100,MONTH($A11)))*$D11</f>
        <v>-201.14058372731157</v>
      </c>
      <c r="BG11" s="1021">
        <f>(VLOOKUP(YEAR($A11),'NY East Load Projections'!$A$4:$EO$14,((MONTH($A11)-1)*12)+VLOOKUP(BG$4,$DE$6:$DF$17,2)+1))*(VLOOKUP($A11,CURVES!$D$9:$T$261,7))*(INDEX(DailyScalarsTable,BG$5/100,MONTH($A11)))*$D11</f>
        <v>-166.64757346437355</v>
      </c>
      <c r="BH11" s="1021">
        <f>(VLOOKUP(YEAR($A11),'NY East Load Projections'!$A$4:$EO$14,((MONTH($A11)-1)*12)+VLOOKUP(BH$4,$DE$6:$DF$17,2)+1))*(VLOOKUP($A11,CURVES!$D$9:$T$261,7))*(INDEX(DailyScalarsTable,BH$5/100,MONTH($A11)))*$D11</f>
        <v>-140.08280735142429</v>
      </c>
      <c r="BI11" s="1021">
        <f>(VLOOKUP(YEAR($A11),'NY East Load Projections'!$A$4:$EO$14,((MONTH($A11)-1)*12)+VLOOKUP(BI$4,$DE$6:$DF$17,2)+1))*(VLOOKUP($A11,CURVES!$D$9:$T$261,7))*(INDEX(DailyScalarsTable,BI$5/100,MONTH($A11)))*$D11</f>
        <v>-130.04379690176324</v>
      </c>
      <c r="BJ11" s="1021">
        <f>(VLOOKUP(YEAR($A11),'NY East Load Projections'!$A$4:$EO$14,((MONTH($A11)-1)*12)+VLOOKUP(BJ$4,$DE$6:$DF$17,2)+1))*(VLOOKUP($A11,CURVES!$D$9:$T$261,7))*(INDEX(DailyScalarsTable,BJ$5/100,MONTH($A11)))*$D11</f>
        <v>-150.4334015622938</v>
      </c>
      <c r="BK11" s="1021">
        <f>(VLOOKUP(YEAR($A11),'NY East Load Projections'!$A$4:$EO$14,((MONTH($A11)-1)*12)+VLOOKUP(BK$4,$DE$6:$DF$17,2)+1))*(VLOOKUP($A11,CURVES!$D$9:$T$261,7))*(INDEX(DailyScalarsTable,BK$5/100,MONTH($A11)))*$D11</f>
        <v>-183.53973044625843</v>
      </c>
      <c r="BL11" s="1021">
        <f>(VLOOKUP(YEAR($A11),'NY East Load Projections'!$A$4:$EO$14,((MONTH($A11)-1)*12)+VLOOKUP(BL$4,$DE$6:$DF$17,2)+1))*(VLOOKUP($A11,CURVES!$D$9:$T$261,7))*(INDEX(DailyScalarsTable,BL$5/100,MONTH($A11)))*$D11</f>
        <v>-210.44205408331098</v>
      </c>
      <c r="BM11" s="1021">
        <f>(VLOOKUP(YEAR($A11),'NY East Load Projections'!$A$4:$EO$14,((MONTH($A11)-1)*12)+VLOOKUP(BM$4,$DE$6:$DF$17,2)+1))*(VLOOKUP($A11,SatSunCurve,7))*(INDEX(DailyScalarsTable,BM$5/100,MONTH($A11)))*$D11</f>
        <v>-121.59097326156656</v>
      </c>
      <c r="BN11" s="1021">
        <f>(VLOOKUP(YEAR($A11),'NY East Load Projections'!$A$4:$EO$14,((MONTH($A11)-1)*12)+VLOOKUP(BN$4,$DE$6:$DF$17,2)+1))*(VLOOKUP($A11,SatSunCurve,7))*(INDEX(DailyScalarsTable,BN$5/100,MONTH($A11)))*$D11</f>
        <v>-178.84315176808664</v>
      </c>
      <c r="BO11" s="1021">
        <f>(VLOOKUP(YEAR($A11),'NY East Load Projections'!$A$4:$EO$14,((MONTH($A11)-1)*12)+VLOOKUP(BO$4,$DE$6:$DF$17,2)+1))*(VLOOKUP($A11,SatSunCurve,7))*(INDEX(DailyScalarsTable,BO$5/100,MONTH($A11)))*$D11</f>
        <v>-200.03473294165826</v>
      </c>
      <c r="BP11" s="1021">
        <f>(VLOOKUP(YEAR($A11),'NY East Load Projections'!$A$4:$EO$14,((MONTH($A11)-1)*12)+VLOOKUP(BP$4,$DE$6:$DF$17,2)+1))*(VLOOKUP($A11,SatSunCurve,7))*(INDEX(DailyScalarsTable,BP$5/100,MONTH($A11)))*$D11</f>
        <v>-230.09793759469858</v>
      </c>
      <c r="BQ11" s="1021">
        <f>(VLOOKUP(YEAR($A11),'NY East Load Projections'!$A$4:$EO$14,((MONTH($A11)-1)*12)+VLOOKUP(BQ$4,$DE$6:$DF$17,2)+1))*(VLOOKUP($A11,SatSunCurve,7))*(INDEX(DailyScalarsTable,BQ$5/100,MONTH($A11)))*$D11</f>
        <v>-248.154669482239</v>
      </c>
      <c r="BR11" s="1021">
        <f>(VLOOKUP(YEAR($A11),'NY East Load Projections'!$A$4:$EO$14,((MONTH($A11)-1)*12)+VLOOKUP(BR$4,$DE$6:$DF$17,2)+1))*(VLOOKUP($A11,SatSunCurve,7))*(INDEX(DailyScalarsTable,BR$5/100,MONTH($A11)))*$D11</f>
        <v>-256.21781905954276</v>
      </c>
      <c r="BS11" s="1021">
        <f>(VLOOKUP(YEAR($A11),'NY East Load Projections'!$A$4:$EO$14,((MONTH($A11)-1)*12)+VLOOKUP(BS$4,$DE$6:$DF$17,2)+1))*(VLOOKUP($A11,SatSunCurve,7))*(INDEX(DailyScalarsTable,BS$5/100,MONTH($A11)))*$D11</f>
        <v>-283.34713104603213</v>
      </c>
      <c r="BT11" s="1021">
        <f>(VLOOKUP(YEAR($A11),'NY East Load Projections'!$A$4:$EO$14,((MONTH($A11)-1)*12)+VLOOKUP(BT$4,$DE$6:$DF$17,2)+1))*(VLOOKUP($A11,SatSunCurve,7))*(INDEX(DailyScalarsTable,BT$5/100,MONTH($A11)))*$D11</f>
        <v>-285.5274431459797</v>
      </c>
      <c r="BU11" s="1021">
        <f>(VLOOKUP(YEAR($A11),'NY East Load Projections'!$A$4:$EO$14,((MONTH($A11)-1)*12)+VLOOKUP(BU$4,$DE$6:$DF$17,2)+1))*(VLOOKUP($A11,SatSunCurve,7))*(INDEX(DailyScalarsTable,BU$5/100,MONTH($A11)))*$D11</f>
        <v>-285.99465288168261</v>
      </c>
      <c r="BV11" s="1021">
        <f>(VLOOKUP(YEAR($A11),'NY East Load Projections'!$A$4:$EO$14,((MONTH($A11)-1)*12)+VLOOKUP(BV$4,$DE$6:$DF$17,2)+1))*(VLOOKUP($A11,SatSunCurve,7))*(INDEX(DailyScalarsTable,BV$5/100,MONTH($A11)))*$D11</f>
        <v>-247.82227969189128</v>
      </c>
      <c r="BW11" s="1021">
        <f>(VLOOKUP(YEAR($A11),'NY East Load Projections'!$A$4:$EO$14,((MONTH($A11)-1)*12)+VLOOKUP(BW$4,$DE$6:$DF$17,2)+1))*(VLOOKUP($A11,SatSunCurve,7))*(INDEX(DailyScalarsTable,BW$5/100,MONTH($A11)))*$D11</f>
        <v>-240.46542924985354</v>
      </c>
      <c r="BX11" s="1021">
        <f>(VLOOKUP(YEAR($A11),'NY East Load Projections'!$A$4:$EO$14,((MONTH($A11)-1)*12)+VLOOKUP(BX$4,$DE$6:$DF$17,2)+1))*(VLOOKUP($A11,SatSunCurve,7))*(INDEX(DailyScalarsTable,BX$5/100,MONTH($A11)))*$D11</f>
        <v>-205.32783670539183</v>
      </c>
      <c r="BY11" s="1021">
        <f>(VLOOKUP(YEAR($A11),'NY East Load Projections'!$A$4:$EO$14,((MONTH($A11)-1)*12)+VLOOKUP(BY$4,$DE$6:$DF$17,2)+1))*(VLOOKUP($A11,SatSunCurve,7))*(INDEX(DailyScalarsTable,BY$5/100,MONTH($A11)))*$D11</f>
        <v>-164.18790408908714</v>
      </c>
      <c r="BZ11" s="1021">
        <f>(VLOOKUP(YEAR($A11),'NY East Load Projections'!$A$4:$EO$14,((MONTH($A11)-1)*12)+VLOOKUP(BZ$4,$DE$6:$DF$17,2)+1))*(VLOOKUP($A11,SatSunCurve,7))*(INDEX(DailyScalarsTable,BZ$5/100,MONTH($A11)))*$D11</f>
        <v>-168.71416334530204</v>
      </c>
      <c r="CA11" s="1021">
        <f>(VLOOKUP(YEAR($A11),'NY East Load Projections'!$A$4:$EO$14,((MONTH($A11)-1)*12)+VLOOKUP(CA$4,$DE$6:$DF$17,2)+1))*(VLOOKUP($A11,SatSunCurve,7))*(INDEX(DailyScalarsTable,CA$5/100,MONTH($A11)))*$D11</f>
        <v>-171.90360942223768</v>
      </c>
      <c r="CB11" s="1021">
        <f>(VLOOKUP(YEAR($A11),'NY East Load Projections'!$A$4:$EO$14,((MONTH($A11)-1)*12)+VLOOKUP(CB$4,$DE$6:$DF$17,2)+1))*(VLOOKUP($A11,SatSunCurve,7))*(INDEX(DailyScalarsTable,CB$5/100,MONTH($A11)))*$D11</f>
        <v>-137.84936627007488</v>
      </c>
      <c r="CC11" s="1021">
        <f>(VLOOKUP(YEAR($A11),'NY East Load Projections'!$A$4:$EO$14,((MONTH($A11)-1)*12)+VLOOKUP(CC$4,$DE$6:$DF$17,2)+1))*(VLOOKUP($A11,CURVES!$D$9:$T$261,7))*(INDEX(DailyScalarsTable,CC$5/100,MONTH($A11)))*$D11</f>
        <v>-259.47831687622113</v>
      </c>
      <c r="CE11" s="1021">
        <f>(VLOOKUP(YEAR($A11),'NY East Load Projections'!$A$4:$EO$14,((MONTH($A11)-1)*12)+VLOOKUP(CE$4,$DE$6:$DF$17,2)+1))*(VLOOKUP($A11,CURVES!$D$9:$T$261,7))*(INDEX(DailyScalarsTable,CE$5/100,MONTH($A11)))*$E11</f>
        <v>0</v>
      </c>
      <c r="CF11" s="1021">
        <f>(VLOOKUP(YEAR($A11),'NY East Load Projections'!$A$4:$EO$14,((MONTH($A11)-1)*12)+VLOOKUP(CF$4,$DE$6:$DF$17,2)+1))*(VLOOKUP($A11,CURVES!$D$9:$T$261,7))*(INDEX(DailyScalarsTable,CF$5/100,MONTH($A11)))*$E11</f>
        <v>0</v>
      </c>
      <c r="CG11" s="1021">
        <f>(VLOOKUP(YEAR($A11),'NY East Load Projections'!$A$4:$EO$14,((MONTH($A11)-1)*12)+VLOOKUP(CG$4,$DE$6:$DF$17,2)+1))*(VLOOKUP($A11,CURVES!$D$9:$T$261,7))*(INDEX(DailyScalarsTable,CG$5/100,MONTH($A11)))*$E11</f>
        <v>0</v>
      </c>
      <c r="CH11" s="1021">
        <f>(VLOOKUP(YEAR($A11),'NY East Load Projections'!$A$4:$EO$14,((MONTH($A11)-1)*12)+VLOOKUP(CH$4,$DE$6:$DF$17,2)+1))*(VLOOKUP($A11,CURVES!$D$9:$T$261,7))*(INDEX(DailyScalarsTable,CH$5/100,MONTH($A11)))*$E11</f>
        <v>0</v>
      </c>
      <c r="CI11" s="1021">
        <f>(VLOOKUP(YEAR($A11),'NY East Load Projections'!$A$4:$EO$14,((MONTH($A11)-1)*12)+VLOOKUP(CI$4,$DE$6:$DF$17,2)+1))*(VLOOKUP($A11,CURVES!$D$9:$T$261,7))*(INDEX(DailyScalarsTable,CI$5/100,MONTH($A11)))*$E11</f>
        <v>0</v>
      </c>
      <c r="CJ11" s="1021">
        <f>(VLOOKUP(YEAR($A11),'NY East Load Projections'!$A$4:$EO$14,((MONTH($A11)-1)*12)+VLOOKUP(CJ$4,$DE$6:$DF$17,2)+1))*(VLOOKUP($A11,CURVES!$D$9:$T$261,7))*(INDEX(DailyScalarsTable,CJ$5/100,MONTH($A11)))*$E11</f>
        <v>0</v>
      </c>
      <c r="CK11" s="1021">
        <f>(VLOOKUP(YEAR($A11),'NY East Load Projections'!$A$4:$EO$14,((MONTH($A11)-1)*12)+VLOOKUP(CK$4,$DE$6:$DF$17,2)+1))*(VLOOKUP($A11,CURVES!$D$9:$T$261,7))*(INDEX(DailyScalarsTable,CK$5/100,MONTH($A11)))*$E11</f>
        <v>0</v>
      </c>
      <c r="CL11" s="1021">
        <f>(VLOOKUP(YEAR($A11),'NY East Load Projections'!$A$4:$EO$14,((MONTH($A11)-1)*12)+VLOOKUP(CL$4,$DE$6:$DF$17,2)+1))*(VLOOKUP($A11,SatSunCurve,7))*(INDEX(DailyScalarsTable,CL$5/100,MONTH($A11)))*$E11</f>
        <v>0</v>
      </c>
      <c r="CM11" s="1021">
        <f>(VLOOKUP(YEAR($A11),'NY East Load Projections'!$A$4:$EO$14,((MONTH($A11)-1)*12)+VLOOKUP(CM$4,$DE$6:$DF$17,2)+1))*(VLOOKUP($A11,SatSunCurve,7))*(INDEX(DailyScalarsTable,CM$5/100,MONTH($A11)))*$E11</f>
        <v>0</v>
      </c>
      <c r="CN11" s="1021">
        <f>(VLOOKUP(YEAR($A11),'NY East Load Projections'!$A$4:$EO$14,((MONTH($A11)-1)*12)+VLOOKUP(CN$4,$DE$6:$DF$17,2)+1))*(VLOOKUP($A11,SatSunCurve,7))*(INDEX(DailyScalarsTable,CN$5/100,MONTH($A11)))*$E11</f>
        <v>0</v>
      </c>
      <c r="CO11" s="1021">
        <f>(VLOOKUP(YEAR($A11),'NY East Load Projections'!$A$4:$EO$14,((MONTH($A11)-1)*12)+VLOOKUP(CO$4,$DE$6:$DF$17,2)+1))*(VLOOKUP($A11,SatSunCurve,7))*(INDEX(DailyScalarsTable,CO$5/100,MONTH($A11)))*$E11</f>
        <v>0</v>
      </c>
      <c r="CP11" s="1021">
        <f>(VLOOKUP(YEAR($A11),'NY East Load Projections'!$A$4:$EO$14,((MONTH($A11)-1)*12)+VLOOKUP(CP$4,$DE$6:$DF$17,2)+1))*(VLOOKUP($A11,SatSunCurve,7))*(INDEX(DailyScalarsTable,CP$5/100,MONTH($A11)))*$E11</f>
        <v>0</v>
      </c>
      <c r="CQ11" s="1021">
        <f>(VLOOKUP(YEAR($A11),'NY East Load Projections'!$A$4:$EO$14,((MONTH($A11)-1)*12)+VLOOKUP(CQ$4,$DE$6:$DF$17,2)+1))*(VLOOKUP($A11,SatSunCurve,7))*(INDEX(DailyScalarsTable,CQ$5/100,MONTH($A11)))*$E11</f>
        <v>0</v>
      </c>
      <c r="CR11" s="1021">
        <f>(VLOOKUP(YEAR($A11),'NY East Load Projections'!$A$4:$EO$14,((MONTH($A11)-1)*12)+VLOOKUP(CR$4,$DE$6:$DF$17,2)+1))*(VLOOKUP($A11,SatSunCurve,7))*(INDEX(DailyScalarsTable,CR$5/100,MONTH($A11)))*$E11</f>
        <v>0</v>
      </c>
      <c r="CS11" s="1021">
        <f>(VLOOKUP(YEAR($A11),'NY East Load Projections'!$A$4:$EO$14,((MONTH($A11)-1)*12)+VLOOKUP(CS$4,$DE$6:$DF$17,2)+1))*(VLOOKUP($A11,SatSunCurve,7))*(INDEX(DailyScalarsTable,CS$5/100,MONTH($A11)))*$E11</f>
        <v>0</v>
      </c>
      <c r="CT11" s="1021">
        <f>(VLOOKUP(YEAR($A11),'NY East Load Projections'!$A$4:$EO$14,((MONTH($A11)-1)*12)+VLOOKUP(CT$4,$DE$6:$DF$17,2)+1))*(VLOOKUP($A11,SatSunCurve,7))*(INDEX(DailyScalarsTable,CT$5/100,MONTH($A11)))*$E11</f>
        <v>0</v>
      </c>
      <c r="CU11" s="1021">
        <f>(VLOOKUP(YEAR($A11),'NY East Load Projections'!$A$4:$EO$14,((MONTH($A11)-1)*12)+VLOOKUP(CU$4,$DE$6:$DF$17,2)+1))*(VLOOKUP($A11,SatSunCurve,7))*(INDEX(DailyScalarsTable,CU$5/100,MONTH($A11)))*$E11</f>
        <v>0</v>
      </c>
      <c r="CV11" s="1021">
        <f>(VLOOKUP(YEAR($A11),'NY East Load Projections'!$A$4:$EO$14,((MONTH($A11)-1)*12)+VLOOKUP(CV$4,$DE$6:$DF$17,2)+1))*(VLOOKUP($A11,SatSunCurve,7))*(INDEX(DailyScalarsTable,CV$5/100,MONTH($A11)))*$E11</f>
        <v>0</v>
      </c>
      <c r="CW11" s="1021">
        <f>(VLOOKUP(YEAR($A11),'NY East Load Projections'!$A$4:$EO$14,((MONTH($A11)-1)*12)+VLOOKUP(CW$4,$DE$6:$DF$17,2)+1))*(VLOOKUP($A11,SatSunCurve,7))*(INDEX(DailyScalarsTable,CW$5/100,MONTH($A11)))*$E11</f>
        <v>0</v>
      </c>
      <c r="CX11" s="1021">
        <f>(VLOOKUP(YEAR($A11),'NY East Load Projections'!$A$4:$EO$14,((MONTH($A11)-1)*12)+VLOOKUP(CX$4,$DE$6:$DF$17,2)+1))*(VLOOKUP($A11,SatSunCurve,7))*(INDEX(DailyScalarsTable,CX$5/100,MONTH($A11)))*$E11</f>
        <v>0</v>
      </c>
      <c r="CY11" s="1021">
        <f>(VLOOKUP(YEAR($A11),'NY East Load Projections'!$A$4:$EO$14,((MONTH($A11)-1)*12)+VLOOKUP(CY$4,$DE$6:$DF$17,2)+1))*(VLOOKUP($A11,SatSunCurve,7))*(INDEX(DailyScalarsTable,CY$5/100,MONTH($A11)))*$E11</f>
        <v>0</v>
      </c>
      <c r="CZ11" s="1021">
        <f>(VLOOKUP(YEAR($A11),'NY East Load Projections'!$A$4:$EO$14,((MONTH($A11)-1)*12)+VLOOKUP(CZ$4,$DE$6:$DF$17,2)+1))*(VLOOKUP($A11,SatSunCurve,7))*(INDEX(DailyScalarsTable,CZ$5/100,MONTH($A11)))*$E11</f>
        <v>0</v>
      </c>
      <c r="DA11" s="1021">
        <f>(VLOOKUP(YEAR($A11),'NY East Load Projections'!$A$4:$EO$14,((MONTH($A11)-1)*12)+VLOOKUP(DA$4,$DE$6:$DF$17,2)+1))*(VLOOKUP($A11,SatSunCurve,7))*(INDEX(DailyScalarsTable,DA$5/100,MONTH($A11)))*$E11</f>
        <v>0</v>
      </c>
      <c r="DB11" s="1021">
        <f>(VLOOKUP(YEAR($A11),'NY East Load Projections'!$A$4:$EO$14,((MONTH($A11)-1)*12)+VLOOKUP(DB$4,$DE$6:$DF$17,2)+1))*(VLOOKUP($A11,CURVES!$D$9:$T$261,7))*(INDEX(DailyScalarsTable,DB$5/100,MONTH($A11)))*$E11</f>
        <v>0</v>
      </c>
      <c r="DE11" s="221" t="s">
        <v>563</v>
      </c>
      <c r="DF11" s="619">
        <v>6</v>
      </c>
      <c r="DH11" s="1032">
        <f t="shared" si="0"/>
        <v>-71428.816654476774</v>
      </c>
      <c r="DI11">
        <f ca="1">CALC!J31</f>
        <v>0.91115483222267024</v>
      </c>
      <c r="DJ11" s="1029">
        <f t="shared" ca="1" si="1"/>
        <v>-65082.711454673656</v>
      </c>
    </row>
    <row r="12" spans="1:114" x14ac:dyDescent="0.25">
      <c r="A12" s="244">
        <v>37073</v>
      </c>
      <c r="B12" s="13">
        <v>21</v>
      </c>
      <c r="C12" s="210">
        <v>4</v>
      </c>
      <c r="D12" s="210">
        <v>5</v>
      </c>
      <c r="E12" s="210">
        <v>1</v>
      </c>
      <c r="F12" s="13">
        <v>31</v>
      </c>
      <c r="H12" s="1021">
        <f>(VLOOKUP(YEAR($A12),'NY East Load Projections'!$A$4:$EO$14,((MONTH($A12)-1)*12)+VLOOKUP(H$4,$DE$6:$DF$17,2)+1))*(VLOOKUP($A12,CURVES!$D$9:$K$261,7))*(INDEX(DailyScalarsTable,H$5/100,MONTH($A12)))*$B12</f>
        <v>-50190.907136091184</v>
      </c>
      <c r="I12" s="1021">
        <f>(VLOOKUP(YEAR($A12),'NY East Load Projections'!$A$4:$EO$14,((MONTH($A12)-1)*12)+VLOOKUP(I$4,$DE$6:$DF$17,2)+1))*(VLOOKUP($A12,CURVES!$D$9:$K$261,7))*(INDEX(DailyScalarsTable,I$5/100,MONTH($A12)))*$B12</f>
        <v>-45846.051848817922</v>
      </c>
      <c r="J12" s="1021">
        <f>(VLOOKUP(YEAR($A12),'NY East Load Projections'!$A$4:$EO$14,((MONTH($A12)-1)*12)+VLOOKUP(J$4,$DE$6:$DF$17,2)+1))*(VLOOKUP($A12,CURVES!$D$9:$K$261,7))*(INDEX(DailyScalarsTable,J$5/100,MONTH($A12)))*$B12</f>
        <v>-43683.409915287782</v>
      </c>
      <c r="K12" s="1021">
        <f>(VLOOKUP(YEAR($A12),'NY East Load Projections'!$A$4:$EO$14,((MONTH($A12)-1)*12)+VLOOKUP(K$4,$DE$6:$DF$17,2)+1))*(VLOOKUP($A12,CURVES!$D$9:$K$261,7))*(INDEX(DailyScalarsTable,K$5/100,MONTH($A12)))*$B12</f>
        <v>-39338.554628014521</v>
      </c>
      <c r="L12" s="1021">
        <f>(VLOOKUP(YEAR($A12),'NY East Load Projections'!$A$4:$EO$14,((MONTH($A12)-1)*12)+VLOOKUP(L$4,$DE$6:$DF$17,2)+1))*(VLOOKUP($A12,CURVES!$D$9:$K$261,7))*(INDEX(DailyScalarsTable,L$5/100,MONTH($A12)))*$B12</f>
        <v>-38632.746393658686</v>
      </c>
      <c r="M12" s="1021">
        <f>(VLOOKUP(YEAR($A12),'NY East Load Projections'!$A$4:$EO$14,((MONTH($A12)-1)*12)+VLOOKUP(M$4,$DE$6:$DF$17,2)+1))*(VLOOKUP($A12,CURVES!$D$9:$K$261,7))*(INDEX(DailyScalarsTable,M$5/100,MONTH($A12)))*$B12</f>
        <v>-42591.185555063428</v>
      </c>
      <c r="N12" s="1021">
        <f>(VLOOKUP(YEAR($A12),'NY East Load Projections'!$A$4:$EO$14,((MONTH($A12)-1)*12)+VLOOKUP(N$4,$DE$6:$DF$17,2)+1))*(VLOOKUP($A12,CURVES!$D$9:$K$261,7))*(INDEX(DailyScalarsTable,N$5/100,MONTH($A12)))*$B12</f>
        <v>-47298.792230391336</v>
      </c>
      <c r="O12" s="1021">
        <f>(VLOOKUP(YEAR($A12),'NY East Load Projections'!$A$4:$EO$14,((MONTH($A12)-1)*12)+VLOOKUP(O$4,$DE$6:$DF$17,2)+1))*(VLOOKUP($A12,CURVES!$D$9:$K$261,3))*(INDEX(DailyScalarsTable,O$5/100,MONTH($A12)))*$B12</f>
        <v>-84778.5873510237</v>
      </c>
      <c r="P12" s="1021">
        <f>(VLOOKUP(YEAR($A12),'NY East Load Projections'!$A$4:$EO$14,((MONTH($A12)-1)*12)+VLOOKUP(P$4,$DE$6:$DF$17,2)+1))*(VLOOKUP($A12,CURVES!$D$9:$K$261,3))*(INDEX(DailyScalarsTable,P$5/100,MONTH($A12)))*$B12</f>
        <v>-99369.787506415072</v>
      </c>
      <c r="Q12" s="1021">
        <f>(VLOOKUP(YEAR($A12),'NY East Load Projections'!$A$4:$EO$14,((MONTH($A12)-1)*12)+VLOOKUP(Q$4,$DE$6:$DF$17,2)+1))*(VLOOKUP($A12,CURVES!$D$9:$K$261,3))*(INDEX(DailyScalarsTable,Q$5/100,MONTH($A12)))*$B12</f>
        <v>-118972.87611945522</v>
      </c>
      <c r="R12" s="1021">
        <f>(VLOOKUP(YEAR($A12),'NY East Load Projections'!$A$4:$EO$14,((MONTH($A12)-1)*12)+VLOOKUP(R$4,$DE$6:$DF$17,2)+1))*(VLOOKUP($A12,CURVES!$D$9:$K$261,3))*(INDEX(DailyScalarsTable,R$5/100,MONTH($A12)))*$B12</f>
        <v>-135378.59486612346</v>
      </c>
      <c r="S12" s="1021">
        <f>(VLOOKUP(YEAR($A12),'NY East Load Projections'!$A$4:$EO$14,((MONTH($A12)-1)*12)+VLOOKUP(S$4,$DE$6:$DF$17,2)+1))*(VLOOKUP($A12,CURVES!$D$9:$K$261,3))*(INDEX(DailyScalarsTable,S$5/100,MONTH($A12)))*$B12</f>
        <v>-161851.14188202386</v>
      </c>
      <c r="T12" s="1021">
        <f>(VLOOKUP(YEAR($A12),'NY East Load Projections'!$A$4:$EO$14,((MONTH($A12)-1)*12)+VLOOKUP(T$4,$DE$6:$DF$17,2)+1))*(VLOOKUP($A12,CURVES!$D$9:$K$261,3))*(INDEX(DailyScalarsTable,T$5/100,MONTH($A12)))*$B12</f>
        <v>-179040.43449290941</v>
      </c>
      <c r="U12" s="1021">
        <f>(VLOOKUP(YEAR($A12),'NY East Load Projections'!$A$4:$EO$14,((MONTH($A12)-1)*12)+VLOOKUP(U$4,$DE$6:$DF$17,2)+1))*(VLOOKUP($A12,CURVES!$D$9:$K$261,3))*(INDEX(DailyScalarsTable,U$5/100,MONTH($A12)))*$B12</f>
        <v>-185066.37272333761</v>
      </c>
      <c r="V12" s="1021">
        <f>(VLOOKUP(YEAR($A12),'NY East Load Projections'!$A$4:$EO$14,((MONTH($A12)-1)*12)+VLOOKUP(V$4,$DE$6:$DF$17,2)+1))*(VLOOKUP($A12,CURVES!$D$9:$K$261,3))*(INDEX(DailyScalarsTable,V$5/100,MONTH($A12)))*$B12</f>
        <v>-192773.96813435043</v>
      </c>
      <c r="W12" s="1021">
        <f>(VLOOKUP(YEAR($A12),'NY East Load Projections'!$A$4:$EO$14,((MONTH($A12)-1)*12)+VLOOKUP(W$4,$DE$6:$DF$17,2)+1))*(VLOOKUP($A12,CURVES!$D$9:$K$261,3))*(INDEX(DailyScalarsTable,W$5/100,MONTH($A12)))*$B12</f>
        <v>-204587.60982795744</v>
      </c>
      <c r="X12" s="1021">
        <f>(VLOOKUP(YEAR($A12),'NY East Load Projections'!$A$4:$EO$14,((MONTH($A12)-1)*12)+VLOOKUP(X$4,$DE$6:$DF$17,2)+1))*(VLOOKUP($A12,CURVES!$D$9:$K$261,3))*(INDEX(DailyScalarsTable,X$5/100,MONTH($A12)))*$B12</f>
        <v>-202997.96258852386</v>
      </c>
      <c r="Y12" s="1021">
        <f>(VLOOKUP(YEAR($A12),'NY East Load Projections'!$A$4:$EO$14,((MONTH($A12)-1)*12)+VLOOKUP(Y$4,$DE$6:$DF$17,2)+1))*(VLOOKUP($A12,CURVES!$D$9:$K$261,3))*(INDEX(DailyScalarsTable,Y$5/100,MONTH($A12)))*$B12</f>
        <v>-197967.65917067646</v>
      </c>
      <c r="Z12" s="1021">
        <f>(VLOOKUP(YEAR($A12),'NY East Load Projections'!$A$4:$EO$14,((MONTH($A12)-1)*12)+VLOOKUP(Z$4,$DE$6:$DF$17,2)+1))*(VLOOKUP($A12,CURVES!$D$9:$K$261,3))*(INDEX(DailyScalarsTable,Z$5/100,MONTH($A12)))*$B12</f>
        <v>-165345.66437688575</v>
      </c>
      <c r="AA12" s="1021">
        <f>(VLOOKUP(YEAR($A12),'NY East Load Projections'!$A$4:$EO$14,((MONTH($A12)-1)*12)+VLOOKUP(AA$4,$DE$6:$DF$17,2)+1))*(VLOOKUP($A12,CURVES!$D$9:$K$261,3))*(INDEX(DailyScalarsTable,AA$5/100,MONTH($A12)))*$B12</f>
        <v>-122349.5207999464</v>
      </c>
      <c r="AB12" s="1021">
        <f>(VLOOKUP(YEAR($A12),'NY East Load Projections'!$A$4:$EO$14,((MONTH($A12)-1)*12)+VLOOKUP(AB$4,$DE$6:$DF$17,2)+1))*(VLOOKUP($A12,CURVES!$D$9:$K$261,3))*(INDEX(DailyScalarsTable,AB$5/100,MONTH($A12)))*$B12</f>
        <v>-129793.65111698449</v>
      </c>
      <c r="AC12" s="1021">
        <f>(VLOOKUP(YEAR($A12),'NY East Load Projections'!$A$4:$EO$14,((MONTH($A12)-1)*12)+VLOOKUP(AC$4,$DE$6:$DF$17,2)+1))*(VLOOKUP($A12,CURVES!$D$9:$K$261,3))*(INDEX(DailyScalarsTable,AC$5/100,MONTH($A12)))*$B12</f>
        <v>-137533.93936733756</v>
      </c>
      <c r="AD12" s="1021">
        <f>(VLOOKUP(YEAR($A12),'NY East Load Projections'!$A$4:$EO$14,((MONTH($A12)-1)*12)+VLOOKUP(AD$4,$DE$6:$DF$17,2)+1))*(VLOOKUP($A12,CURVES!$D$9:$K$261,3))*(INDEX(DailyScalarsTable,AD$5/100,MONTH($A12)))*$B12</f>
        <v>-95511.496062211299</v>
      </c>
      <c r="AE12" s="1021">
        <f>(VLOOKUP(YEAR($A12),'NY East Load Projections'!$A$4:$EO$14,((MONTH($A12)-1)*12)+VLOOKUP(AE$4,$DE$6:$DF$17,2)+1))*(VLOOKUP($A12,CURVES!$D$9:$K$261,7))*(INDEX(DailyScalarsTable,AE$5/100,MONTH($A12)))*$B12</f>
        <v>-58421.683586572821</v>
      </c>
      <c r="AF12" s="1021"/>
      <c r="AG12" s="1021">
        <f>(VLOOKUP(YEAR($A12),'NY East Load Projections'!$A$4:$EO$14,((MONTH($A12)-1)*12)+VLOOKUP(AG$4,$DE$6:$DF$17,2)+1))*(VLOOKUP($A12,CURVES!$D$9:$T$261,7))*(INDEX(DailyScalarsTable,AG$5/100,MONTH($A12)))*$C12</f>
        <v>-9243.599281967543</v>
      </c>
      <c r="AH12" s="1021">
        <f>(VLOOKUP(YEAR($A12),'NY East Load Projections'!$A$4:$EO$14,((MONTH($A12)-1)*12)+VLOOKUP(AH$4,$DE$6:$DF$17,2)+1))*(VLOOKUP($A12,CURVES!$D$9:$T$261,7))*(INDEX(DailyScalarsTable,AH$5/100,MONTH($A12)))*$C12</f>
        <v>-8443.4124850883072</v>
      </c>
      <c r="AI12" s="1021">
        <f>(VLOOKUP(YEAR($A12),'NY East Load Projections'!$A$4:$EO$14,((MONTH($A12)-1)*12)+VLOOKUP(AI$4,$DE$6:$DF$17,2)+1))*(VLOOKUP($A12,CURVES!$D$9:$T$261,7))*(INDEX(DailyScalarsTable,AI$5/100,MONTH($A12)))*$C12</f>
        <v>-8045.1213091641857</v>
      </c>
      <c r="AJ12" s="1021">
        <f>(VLOOKUP(YEAR($A12),'NY East Load Projections'!$A$4:$EO$14,((MONTH($A12)-1)*12)+VLOOKUP(AJ$4,$DE$6:$DF$17,2)+1))*(VLOOKUP($A12,CURVES!$D$9:$T$261,7))*(INDEX(DailyScalarsTable,AJ$5/100,MONTH($A12)))*$C12</f>
        <v>-7244.93451228495</v>
      </c>
      <c r="AK12" s="1021">
        <f>(VLOOKUP(YEAR($A12),'NY East Load Projections'!$A$4:$EO$14,((MONTH($A12)-1)*12)+VLOOKUP(AK$4,$DE$6:$DF$17,2)+1))*(VLOOKUP($A12,CURVES!$D$9:$T$261,7))*(INDEX(DailyScalarsTable,AK$5/100,MONTH($A12)))*$C12</f>
        <v>-6981.8232307570252</v>
      </c>
      <c r="AL12" s="1021">
        <f>(VLOOKUP(YEAR($A12),'NY East Load Projections'!$A$4:$EO$14,((MONTH($A12)-1)*12)+VLOOKUP(AL$4,$DE$6:$DF$17,2)+1))*(VLOOKUP($A12,CURVES!$D$9:$T$261,7))*(INDEX(DailyScalarsTable,AL$5/100,MONTH($A12)))*$C12</f>
        <v>-7697.203965355031</v>
      </c>
      <c r="AM12" s="1021">
        <f>(VLOOKUP(YEAR($A12),'NY East Load Projections'!$A$4:$EO$14,((MONTH($A12)-1)*12)+VLOOKUP(AM$4,$DE$6:$DF$17,2)+1))*(VLOOKUP($A12,CURVES!$D$9:$T$261,7))*(INDEX(DailyScalarsTable,AM$5/100,MONTH($A12)))*$C12</f>
        <v>-8547.9764502350154</v>
      </c>
      <c r="AN12" s="1021">
        <f>(VLOOKUP(YEAR($A12),'NY East Load Projections'!$A$4:$EO$14,((MONTH($A12)-1)*12)+VLOOKUP(AN$4,$DE$6:$DF$17,2)+1))*(VLOOKUP($A12,SatSunCurve,3))*(INDEX(DailyScalarsTable,AN$5/100,MONTH($A12)))*$C12</f>
        <v>-8326.944442139451</v>
      </c>
      <c r="AO12" s="1021">
        <f>(VLOOKUP(YEAR($A12),'NY East Load Projections'!$A$4:$EO$14,((MONTH($A12)-1)*12)+VLOOKUP(AO$4,$DE$6:$DF$17,2)+1))*(VLOOKUP($A12,SatSunCurve,3))*(INDEX(DailyScalarsTable,AO$5/100,MONTH($A12)))*$C12</f>
        <v>-9824.2424034417618</v>
      </c>
      <c r="AP12" s="1021">
        <f>(VLOOKUP(YEAR($A12),'NY East Load Projections'!$A$4:$EO$14,((MONTH($A12)-1)*12)+VLOOKUP(AP$4,$DE$6:$DF$17,2)+1))*(VLOOKUP($A12,SatSunCurve,3))*(INDEX(DailyScalarsTable,AP$5/100,MONTH($A12)))*$C12</f>
        <v>-11762.311299666608</v>
      </c>
      <c r="AQ12" s="1021">
        <f>(VLOOKUP(YEAR($A12),'NY East Load Projections'!$A$4:$EO$14,((MONTH($A12)-1)*12)+VLOOKUP(AQ$4,$DE$6:$DF$17,2)+1))*(VLOOKUP($A12,SatSunCurve,3))*(INDEX(DailyScalarsTable,AQ$5/100,MONTH($A12)))*$C12</f>
        <v>-13384.27066794595</v>
      </c>
      <c r="AR12" s="1021">
        <f>(VLOOKUP(YEAR($A12),'NY East Load Projections'!$A$4:$EO$14,((MONTH($A12)-1)*12)+VLOOKUP(AR$4,$DE$6:$DF$17,2)+1))*(VLOOKUP($A12,SatSunCurve,3))*(INDEX(DailyScalarsTable,AR$5/100,MONTH($A12)))*$C12</f>
        <v>-16001.491912420533</v>
      </c>
      <c r="AS12" s="1021">
        <f>(VLOOKUP(YEAR($A12),'NY East Load Projections'!$A$4:$EO$14,((MONTH($A12)-1)*12)+VLOOKUP(AS$4,$DE$6:$DF$17,2)+1))*(VLOOKUP($A12,SatSunCurve,3))*(INDEX(DailyScalarsTable,AS$5/100,MONTH($A12)))*$C12</f>
        <v>-17830.837977380223</v>
      </c>
      <c r="AT12" s="1021">
        <f>(VLOOKUP(YEAR($A12),'NY East Load Projections'!$A$4:$EO$14,((MONTH($A12)-1)*12)+VLOOKUP(AT$4,$DE$6:$DF$17,2)+1))*(VLOOKUP($A12,SatSunCurve,3))*(INDEX(DailyScalarsTable,AT$5/100,MONTH($A12)))*$C12</f>
        <v>-18430.967934352157</v>
      </c>
      <c r="AU12" s="1021">
        <f>(VLOOKUP(YEAR($A12),'NY East Load Projections'!$A$4:$EO$14,((MONTH($A12)-1)*12)+VLOOKUP(AU$4,$DE$6:$DF$17,2)+1))*(VLOOKUP($A12,SatSunCurve,3))*(INDEX(DailyScalarsTable,AU$5/100,MONTH($A12)))*$C12</f>
        <v>-19198.576018851145</v>
      </c>
      <c r="AV12" s="1021">
        <f>(VLOOKUP(YEAR($A12),'NY East Load Projections'!$A$4:$EO$14,((MONTH($A12)-1)*12)+VLOOKUP(AV$4,$DE$6:$DF$17,2)+1))*(VLOOKUP($A12,SatSunCurve,3))*(INDEX(DailyScalarsTable,AV$5/100,MONTH($A12)))*$C12</f>
        <v>-20375.109864728696</v>
      </c>
      <c r="AW12" s="1021">
        <f>(VLOOKUP(YEAR($A12),'NY East Load Projections'!$A$4:$EO$14,((MONTH($A12)-1)*12)+VLOOKUP(AW$4,$DE$6:$DF$17,2)+1))*(VLOOKUP($A12,SatSunCurve,3))*(INDEX(DailyScalarsTable,AW$5/100,MONTH($A12)))*$C12</f>
        <v>-20197.577280482259</v>
      </c>
      <c r="AX12" s="1021">
        <f>(VLOOKUP(YEAR($A12),'NY East Load Projections'!$A$4:$EO$14,((MONTH($A12)-1)*12)+VLOOKUP(AX$4,$DE$6:$DF$17,2)+1))*(VLOOKUP($A12,SatSunCurve,3))*(INDEX(DailyScalarsTable,AX$5/100,MONTH($A12)))*$C12</f>
        <v>-19697.079931983302</v>
      </c>
      <c r="AY12" s="1021">
        <f>(VLOOKUP(YEAR($A12),'NY East Load Projections'!$A$4:$EO$14,((MONTH($A12)-1)*12)+VLOOKUP(AY$4,$DE$6:$DF$17,2)+1))*(VLOOKUP($A12,SatSunCurve,3))*(INDEX(DailyScalarsTable,AY$5/100,MONTH($A12)))*$C12</f>
        <v>-16451.30715431934</v>
      </c>
      <c r="AZ12" s="1021">
        <f>(VLOOKUP(YEAR($A12),'NY East Load Projections'!$A$4:$EO$14,((MONTH($A12)-1)*12)+VLOOKUP(AZ$4,$DE$6:$DF$17,2)+1))*(VLOOKUP($A12,SatSunCurve,3))*(INDEX(DailyScalarsTable,AZ$5/100,MONTH($A12)))*$C12</f>
        <v>-12173.343367962414</v>
      </c>
      <c r="BA12" s="1021">
        <f>(VLOOKUP(YEAR($A12),'NY East Load Projections'!$A$4:$EO$14,((MONTH($A12)-1)*12)+VLOOKUP(BA$4,$DE$6:$DF$17,2)+1))*(VLOOKUP($A12,SatSunCurve,3))*(INDEX(DailyScalarsTable,BA$5/100,MONTH($A12)))*$C12</f>
        <v>-13036.477241408556</v>
      </c>
      <c r="BB12" s="1021">
        <f>(VLOOKUP(YEAR($A12),'NY East Load Projections'!$A$4:$EO$14,((MONTH($A12)-1)*12)+VLOOKUP(BB$4,$DE$6:$DF$17,2)+1))*(VLOOKUP($A12,SatSunCurve,3))*(INDEX(DailyScalarsTable,BB$5/100,MONTH($A12)))*$C12</f>
        <v>-13813.911967601151</v>
      </c>
      <c r="BC12" s="1021">
        <f>(VLOOKUP(YEAR($A12),'NY East Load Projections'!$A$4:$EO$14,((MONTH($A12)-1)*12)+VLOOKUP(BC$4,$DE$6:$DF$17,2)+1))*(VLOOKUP($A12,SatSunCurve,3))*(INDEX(DailyScalarsTable,BC$5/100,MONTH($A12)))*$C12</f>
        <v>-9593.176815602852</v>
      </c>
      <c r="BD12" s="1021">
        <f>(VLOOKUP(YEAR($A12),'NY East Load Projections'!$A$4:$EO$14,((MONTH($A12)-1)*12)+VLOOKUP(BD$4,$DE$6:$DF$17,2)+1))*(VLOOKUP($A12,CURVES!$D$9:$T$261,7))*(INDEX(DailyScalarsTable,BD$5/100,MONTH($A12)))*$C12</f>
        <v>-10796.789747204055</v>
      </c>
      <c r="BE12" s="1021"/>
      <c r="BF12" s="1021">
        <f>(VLOOKUP(YEAR($A12),'NY East Load Projections'!$A$4:$EO$14,((MONTH($A12)-1)*12)+VLOOKUP(BF$4,$DE$6:$DF$17,2)+1))*(VLOOKUP($A12,CURVES!$D$9:$T$261,7))*(INDEX(DailyScalarsTable,BF$5/100,MONTH($A12)))*$D12</f>
        <v>-11554.499102459429</v>
      </c>
      <c r="BG12" s="1021">
        <f>(VLOOKUP(YEAR($A12),'NY East Load Projections'!$A$4:$EO$14,((MONTH($A12)-1)*12)+VLOOKUP(BG$4,$DE$6:$DF$17,2)+1))*(VLOOKUP($A12,CURVES!$D$9:$T$261,7))*(INDEX(DailyScalarsTable,BG$5/100,MONTH($A12)))*$D12</f>
        <v>-10554.265606360384</v>
      </c>
      <c r="BH12" s="1021">
        <f>(VLOOKUP(YEAR($A12),'NY East Load Projections'!$A$4:$EO$14,((MONTH($A12)-1)*12)+VLOOKUP(BH$4,$DE$6:$DF$17,2)+1))*(VLOOKUP($A12,CURVES!$D$9:$T$261,7))*(INDEX(DailyScalarsTable,BH$5/100,MONTH($A12)))*$D12</f>
        <v>-10056.401636455232</v>
      </c>
      <c r="BI12" s="1021">
        <f>(VLOOKUP(YEAR($A12),'NY East Load Projections'!$A$4:$EO$14,((MONTH($A12)-1)*12)+VLOOKUP(BI$4,$DE$6:$DF$17,2)+1))*(VLOOKUP($A12,CURVES!$D$9:$T$261,7))*(INDEX(DailyScalarsTable,BI$5/100,MONTH($A12)))*$D12</f>
        <v>-9056.168140356187</v>
      </c>
      <c r="BJ12" s="1021">
        <f>(VLOOKUP(YEAR($A12),'NY East Load Projections'!$A$4:$EO$14,((MONTH($A12)-1)*12)+VLOOKUP(BJ$4,$DE$6:$DF$17,2)+1))*(VLOOKUP($A12,CURVES!$D$9:$T$261,7))*(INDEX(DailyScalarsTable,BJ$5/100,MONTH($A12)))*$D12</f>
        <v>-8727.2790384462824</v>
      </c>
      <c r="BK12" s="1021">
        <f>(VLOOKUP(YEAR($A12),'NY East Load Projections'!$A$4:$EO$14,((MONTH($A12)-1)*12)+VLOOKUP(BK$4,$DE$6:$DF$17,2)+1))*(VLOOKUP($A12,CURVES!$D$9:$T$261,7))*(INDEX(DailyScalarsTable,BK$5/100,MONTH($A12)))*$D12</f>
        <v>-9621.5049566937887</v>
      </c>
      <c r="BL12" s="1021">
        <f>(VLOOKUP(YEAR($A12),'NY East Load Projections'!$A$4:$EO$14,((MONTH($A12)-1)*12)+VLOOKUP(BL$4,$DE$6:$DF$17,2)+1))*(VLOOKUP($A12,CURVES!$D$9:$T$261,7))*(INDEX(DailyScalarsTable,BL$5/100,MONTH($A12)))*$D12</f>
        <v>-10684.970562793769</v>
      </c>
      <c r="BM12" s="1021">
        <f>(VLOOKUP(YEAR($A12),'NY East Load Projections'!$A$4:$EO$14,((MONTH($A12)-1)*12)+VLOOKUP(BM$4,$DE$6:$DF$17,2)+1))*(VLOOKUP($A12,SatSunCurve,7))*(INDEX(DailyScalarsTable,BM$5/100,MONTH($A12)))*$D12</f>
        <v>-7723.9182555468815</v>
      </c>
      <c r="BN12" s="1021">
        <f>(VLOOKUP(YEAR($A12),'NY East Load Projections'!$A$4:$EO$14,((MONTH($A12)-1)*12)+VLOOKUP(BN$4,$DE$6:$DF$17,2)+1))*(VLOOKUP($A12,SatSunCurve,7))*(INDEX(DailyScalarsTable,BN$5/100,MONTH($A12)))*$D12</f>
        <v>-9112.7838998004936</v>
      </c>
      <c r="BO12" s="1021">
        <f>(VLOOKUP(YEAR($A12),'NY East Load Projections'!$A$4:$EO$14,((MONTH($A12)-1)*12)+VLOOKUP(BO$4,$DE$6:$DF$17,2)+1))*(VLOOKUP($A12,SatSunCurve,7))*(INDEX(DailyScalarsTable,BO$5/100,MONTH($A12)))*$D12</f>
        <v>-10910.500437009978</v>
      </c>
      <c r="BP12" s="1021">
        <f>(VLOOKUP(YEAR($A12),'NY East Load Projections'!$A$4:$EO$14,((MONTH($A12)-1)*12)+VLOOKUP(BP$4,$DE$6:$DF$17,2)+1))*(VLOOKUP($A12,SatSunCurve,7))*(INDEX(DailyScalarsTable,BP$5/100,MONTH($A12)))*$D12</f>
        <v>-12414.999675771476</v>
      </c>
      <c r="BQ12" s="1021">
        <f>(VLOOKUP(YEAR($A12),'NY East Load Projections'!$A$4:$EO$14,((MONTH($A12)-1)*12)+VLOOKUP(BQ$4,$DE$6:$DF$17,2)+1))*(VLOOKUP($A12,SatSunCurve,7))*(INDEX(DailyScalarsTable,BQ$5/100,MONTH($A12)))*$D12</f>
        <v>-14842.685255934713</v>
      </c>
      <c r="BR12" s="1021">
        <f>(VLOOKUP(YEAR($A12),'NY East Load Projections'!$A$4:$EO$14,((MONTH($A12)-1)*12)+VLOOKUP(BR$4,$DE$6:$DF$17,2)+1))*(VLOOKUP($A12,SatSunCurve,7))*(INDEX(DailyScalarsTable,BR$5/100,MONTH($A12)))*$D12</f>
        <v>-16539.552523998846</v>
      </c>
      <c r="BS12" s="1021">
        <f>(VLOOKUP(YEAR($A12),'NY East Load Projections'!$A$4:$EO$14,((MONTH($A12)-1)*12)+VLOOKUP(BS$4,$DE$6:$DF$17,2)+1))*(VLOOKUP($A12,SatSunCurve,7))*(INDEX(DailyScalarsTable,BS$5/100,MONTH($A12)))*$D12</f>
        <v>-17096.221871628735</v>
      </c>
      <c r="BT12" s="1021">
        <f>(VLOOKUP(YEAR($A12),'NY East Load Projections'!$A$4:$EO$14,((MONTH($A12)-1)*12)+VLOOKUP(BT$4,$DE$6:$DF$17,2)+1))*(VLOOKUP($A12,SatSunCurve,7))*(INDEX(DailyScalarsTable,BT$5/100,MONTH($A12)))*$D12</f>
        <v>-17808.240804643712</v>
      </c>
      <c r="BU12" s="1021">
        <f>(VLOOKUP(YEAR($A12),'NY East Load Projections'!$A$4:$EO$14,((MONTH($A12)-1)*12)+VLOOKUP(BU$4,$DE$6:$DF$17,2)+1))*(VLOOKUP($A12,SatSunCurve,7))*(INDEX(DailyScalarsTable,BU$5/100,MONTH($A12)))*$D12</f>
        <v>-18899.571641973947</v>
      </c>
      <c r="BV12" s="1021">
        <f>(VLOOKUP(YEAR($A12),'NY East Load Projections'!$A$4:$EO$14,((MONTH($A12)-1)*12)+VLOOKUP(BV$4,$DE$6:$DF$17,2)+1))*(VLOOKUP($A12,SatSunCurve,7))*(INDEX(DailyScalarsTable,BV$5/100,MONTH($A12)))*$D12</f>
        <v>-18734.895730186174</v>
      </c>
      <c r="BW12" s="1021">
        <f>(VLOOKUP(YEAR($A12),'NY East Load Projections'!$A$4:$EO$14,((MONTH($A12)-1)*12)+VLOOKUP(BW$4,$DE$6:$DF$17,2)+1))*(VLOOKUP($A12,SatSunCurve,7))*(INDEX(DailyScalarsTable,BW$5/100,MONTH($A12)))*$D12</f>
        <v>-18270.643730693948</v>
      </c>
      <c r="BX12" s="1021">
        <f>(VLOOKUP(YEAR($A12),'NY East Load Projections'!$A$4:$EO$14,((MONTH($A12)-1)*12)+VLOOKUP(BX$4,$DE$6:$DF$17,2)+1))*(VLOOKUP($A12,SatSunCurve,7))*(INDEX(DailyScalarsTable,BX$5/100,MONTH($A12)))*$D12</f>
        <v>-15259.925479244379</v>
      </c>
      <c r="BY12" s="1021">
        <f>(VLOOKUP(YEAR($A12),'NY East Load Projections'!$A$4:$EO$14,((MONTH($A12)-1)*12)+VLOOKUP(BY$4,$DE$6:$DF$17,2)+1))*(VLOOKUP($A12,SatSunCurve,7))*(INDEX(DailyScalarsTable,BY$5/100,MONTH($A12)))*$D12</f>
        <v>-11291.766112310854</v>
      </c>
      <c r="BZ12" s="1021">
        <f>(VLOOKUP(YEAR($A12),'NY East Load Projections'!$A$4:$EO$14,((MONTH($A12)-1)*12)+VLOOKUP(BZ$4,$DE$6:$DF$17,2)+1))*(VLOOKUP($A12,SatSunCurve,7))*(INDEX(DailyScalarsTable,BZ$5/100,MONTH($A12)))*$D12</f>
        <v>-12092.3929843185</v>
      </c>
      <c r="CA12" s="1021">
        <f>(VLOOKUP(YEAR($A12),'NY East Load Projections'!$A$4:$EO$14,((MONTH($A12)-1)*12)+VLOOKUP(CA$4,$DE$6:$DF$17,2)+1))*(VLOOKUP($A12,SatSunCurve,7))*(INDEX(DailyScalarsTable,CA$5/100,MONTH($A12)))*$D12</f>
        <v>-12813.526926770053</v>
      </c>
      <c r="CB12" s="1021">
        <f>(VLOOKUP(YEAR($A12),'NY East Load Projections'!$A$4:$EO$14,((MONTH($A12)-1)*12)+VLOOKUP(CB$4,$DE$6:$DF$17,2)+1))*(VLOOKUP($A12,SatSunCurve,7))*(INDEX(DailyScalarsTable,CB$5/100,MONTH($A12)))*$D12</f>
        <v>-8898.4517729874715</v>
      </c>
      <c r="CC12" s="1021">
        <f>(VLOOKUP(YEAR($A12),'NY East Load Projections'!$A$4:$EO$14,((MONTH($A12)-1)*12)+VLOOKUP(CC$4,$DE$6:$DF$17,2)+1))*(VLOOKUP($A12,CURVES!$D$9:$T$261,7))*(INDEX(DailyScalarsTable,CC$5/100,MONTH($A12)))*$D12</f>
        <v>-13495.987184005069</v>
      </c>
      <c r="CE12" s="1021">
        <f>(VLOOKUP(YEAR($A12),'NY East Load Projections'!$A$4:$EO$14,((MONTH($A12)-1)*12)+VLOOKUP(CE$4,$DE$6:$DF$17,2)+1))*(VLOOKUP($A12,CURVES!$D$9:$T$261,7))*(INDEX(DailyScalarsTable,CE$5/100,MONTH($A12)))*$E12</f>
        <v>-2310.8998204918857</v>
      </c>
      <c r="CF12" s="1021">
        <f>(VLOOKUP(YEAR($A12),'NY East Load Projections'!$A$4:$EO$14,((MONTH($A12)-1)*12)+VLOOKUP(CF$4,$DE$6:$DF$17,2)+1))*(VLOOKUP($A12,CURVES!$D$9:$T$261,7))*(INDEX(DailyScalarsTable,CF$5/100,MONTH($A12)))*$E12</f>
        <v>-2110.8531212720768</v>
      </c>
      <c r="CG12" s="1021">
        <f>(VLOOKUP(YEAR($A12),'NY East Load Projections'!$A$4:$EO$14,((MONTH($A12)-1)*12)+VLOOKUP(CG$4,$DE$6:$DF$17,2)+1))*(VLOOKUP($A12,CURVES!$D$9:$T$261,7))*(INDEX(DailyScalarsTable,CG$5/100,MONTH($A12)))*$E12</f>
        <v>-2011.2803272910464</v>
      </c>
      <c r="CH12" s="1021">
        <f>(VLOOKUP(YEAR($A12),'NY East Load Projections'!$A$4:$EO$14,((MONTH($A12)-1)*12)+VLOOKUP(CH$4,$DE$6:$DF$17,2)+1))*(VLOOKUP($A12,CURVES!$D$9:$T$261,7))*(INDEX(DailyScalarsTable,CH$5/100,MONTH($A12)))*$E12</f>
        <v>-1811.2336280712375</v>
      </c>
      <c r="CI12" s="1021">
        <f>(VLOOKUP(YEAR($A12),'NY East Load Projections'!$A$4:$EO$14,((MONTH($A12)-1)*12)+VLOOKUP(CI$4,$DE$6:$DF$17,2)+1))*(VLOOKUP($A12,CURVES!$D$9:$T$261,7))*(INDEX(DailyScalarsTable,CI$5/100,MONTH($A12)))*$E12</f>
        <v>-1745.4558076892563</v>
      </c>
      <c r="CJ12" s="1021">
        <f>(VLOOKUP(YEAR($A12),'NY East Load Projections'!$A$4:$EO$14,((MONTH($A12)-1)*12)+VLOOKUP(CJ$4,$DE$6:$DF$17,2)+1))*(VLOOKUP($A12,CURVES!$D$9:$T$261,7))*(INDEX(DailyScalarsTable,CJ$5/100,MONTH($A12)))*$E12</f>
        <v>-1924.3009913387577</v>
      </c>
      <c r="CK12" s="1021">
        <f>(VLOOKUP(YEAR($A12),'NY East Load Projections'!$A$4:$EO$14,((MONTH($A12)-1)*12)+VLOOKUP(CK$4,$DE$6:$DF$17,2)+1))*(VLOOKUP($A12,CURVES!$D$9:$T$261,7))*(INDEX(DailyScalarsTable,CK$5/100,MONTH($A12)))*$E12</f>
        <v>-2136.9941125587538</v>
      </c>
      <c r="CL12" s="1021">
        <f>(VLOOKUP(YEAR($A12),'NY East Load Projections'!$A$4:$EO$14,((MONTH($A12)-1)*12)+VLOOKUP(CL$4,$DE$6:$DF$17,2)+1))*(VLOOKUP($A12,SatSunCurve,7))*(INDEX(DailyScalarsTable,CL$5/100,MONTH($A12)))*$E12</f>
        <v>-1544.7836511093763</v>
      </c>
      <c r="CM12" s="1021">
        <f>(VLOOKUP(YEAR($A12),'NY East Load Projections'!$A$4:$EO$14,((MONTH($A12)-1)*12)+VLOOKUP(CM$4,$DE$6:$DF$17,2)+1))*(VLOOKUP($A12,SatSunCurve,7))*(INDEX(DailyScalarsTable,CM$5/100,MONTH($A12)))*$E12</f>
        <v>-1822.5567799600988</v>
      </c>
      <c r="CN12" s="1021">
        <f>(VLOOKUP(YEAR($A12),'NY East Load Projections'!$A$4:$EO$14,((MONTH($A12)-1)*12)+VLOOKUP(CN$4,$DE$6:$DF$17,2)+1))*(VLOOKUP($A12,SatSunCurve,7))*(INDEX(DailyScalarsTable,CN$5/100,MONTH($A12)))*$E12</f>
        <v>-2182.1000874019956</v>
      </c>
      <c r="CO12" s="1021">
        <f>(VLOOKUP(YEAR($A12),'NY East Load Projections'!$A$4:$EO$14,((MONTH($A12)-1)*12)+VLOOKUP(CO$4,$DE$6:$DF$17,2)+1))*(VLOOKUP($A12,SatSunCurve,7))*(INDEX(DailyScalarsTable,CO$5/100,MONTH($A12)))*$E12</f>
        <v>-2482.9999351542951</v>
      </c>
      <c r="CP12" s="1021">
        <f>(VLOOKUP(YEAR($A12),'NY East Load Projections'!$A$4:$EO$14,((MONTH($A12)-1)*12)+VLOOKUP(CP$4,$DE$6:$DF$17,2)+1))*(VLOOKUP($A12,SatSunCurve,7))*(INDEX(DailyScalarsTable,CP$5/100,MONTH($A12)))*$E12</f>
        <v>-2968.5370511869428</v>
      </c>
      <c r="CQ12" s="1021">
        <f>(VLOOKUP(YEAR($A12),'NY East Load Projections'!$A$4:$EO$14,((MONTH($A12)-1)*12)+VLOOKUP(CQ$4,$DE$6:$DF$17,2)+1))*(VLOOKUP($A12,SatSunCurve,7))*(INDEX(DailyScalarsTable,CQ$5/100,MONTH($A12)))*$E12</f>
        <v>-3307.9105047997691</v>
      </c>
      <c r="CR12" s="1021">
        <f>(VLOOKUP(YEAR($A12),'NY East Load Projections'!$A$4:$EO$14,((MONTH($A12)-1)*12)+VLOOKUP(CR$4,$DE$6:$DF$17,2)+1))*(VLOOKUP($A12,SatSunCurve,7))*(INDEX(DailyScalarsTable,CR$5/100,MONTH($A12)))*$E12</f>
        <v>-3419.2443743257472</v>
      </c>
      <c r="CS12" s="1021">
        <f>(VLOOKUP(YEAR($A12),'NY East Load Projections'!$A$4:$EO$14,((MONTH($A12)-1)*12)+VLOOKUP(CS$4,$DE$6:$DF$17,2)+1))*(VLOOKUP($A12,SatSunCurve,7))*(INDEX(DailyScalarsTable,CS$5/100,MONTH($A12)))*$E12</f>
        <v>-3561.6481609287421</v>
      </c>
      <c r="CT12" s="1021">
        <f>(VLOOKUP(YEAR($A12),'NY East Load Projections'!$A$4:$EO$14,((MONTH($A12)-1)*12)+VLOOKUP(CT$4,$DE$6:$DF$17,2)+1))*(VLOOKUP($A12,SatSunCurve,7))*(INDEX(DailyScalarsTable,CT$5/100,MONTH($A12)))*$E12</f>
        <v>-3779.9143283947892</v>
      </c>
      <c r="CU12" s="1021">
        <f>(VLOOKUP(YEAR($A12),'NY East Load Projections'!$A$4:$EO$14,((MONTH($A12)-1)*12)+VLOOKUP(CU$4,$DE$6:$DF$17,2)+1))*(VLOOKUP($A12,SatSunCurve,7))*(INDEX(DailyScalarsTable,CU$5/100,MONTH($A12)))*$E12</f>
        <v>-3746.9791460372344</v>
      </c>
      <c r="CV12" s="1021">
        <f>(VLOOKUP(YEAR($A12),'NY East Load Projections'!$A$4:$EO$14,((MONTH($A12)-1)*12)+VLOOKUP(CV$4,$DE$6:$DF$17,2)+1))*(VLOOKUP($A12,SatSunCurve,7))*(INDEX(DailyScalarsTable,CV$5/100,MONTH($A12)))*$E12</f>
        <v>-3654.1287461387897</v>
      </c>
      <c r="CW12" s="1021">
        <f>(VLOOKUP(YEAR($A12),'NY East Load Projections'!$A$4:$EO$14,((MONTH($A12)-1)*12)+VLOOKUP(CW$4,$DE$6:$DF$17,2)+1))*(VLOOKUP($A12,SatSunCurve,7))*(INDEX(DailyScalarsTable,CW$5/100,MONTH($A12)))*$E12</f>
        <v>-3051.985095848876</v>
      </c>
      <c r="CX12" s="1021">
        <f>(VLOOKUP(YEAR($A12),'NY East Load Projections'!$A$4:$EO$14,((MONTH($A12)-1)*12)+VLOOKUP(CX$4,$DE$6:$DF$17,2)+1))*(VLOOKUP($A12,SatSunCurve,7))*(INDEX(DailyScalarsTable,CX$5/100,MONTH($A12)))*$E12</f>
        <v>-2258.3532224621708</v>
      </c>
      <c r="CY12" s="1021">
        <f>(VLOOKUP(YEAR($A12),'NY East Load Projections'!$A$4:$EO$14,((MONTH($A12)-1)*12)+VLOOKUP(CY$4,$DE$6:$DF$17,2)+1))*(VLOOKUP($A12,SatSunCurve,7))*(INDEX(DailyScalarsTable,CY$5/100,MONTH($A12)))*$E12</f>
        <v>-2418.4785968636997</v>
      </c>
      <c r="CZ12" s="1021">
        <f>(VLOOKUP(YEAR($A12),'NY East Load Projections'!$A$4:$EO$14,((MONTH($A12)-1)*12)+VLOOKUP(CZ$4,$DE$6:$DF$17,2)+1))*(VLOOKUP($A12,SatSunCurve,7))*(INDEX(DailyScalarsTable,CZ$5/100,MONTH($A12)))*$E12</f>
        <v>-2562.7053853540106</v>
      </c>
      <c r="DA12" s="1021">
        <f>(VLOOKUP(YEAR($A12),'NY East Load Projections'!$A$4:$EO$14,((MONTH($A12)-1)*12)+VLOOKUP(DA$4,$DE$6:$DF$17,2)+1))*(VLOOKUP($A12,SatSunCurve,7))*(INDEX(DailyScalarsTable,DA$5/100,MONTH($A12)))*$E12</f>
        <v>-1779.6903545974944</v>
      </c>
      <c r="DB12" s="1021">
        <f>(VLOOKUP(YEAR($A12),'NY East Load Projections'!$A$4:$EO$14,((MONTH($A12)-1)*12)+VLOOKUP(DB$4,$DE$6:$DF$17,2)+1))*(VLOOKUP($A12,CURVES!$D$9:$T$261,7))*(INDEX(DailyScalarsTable,DB$5/100,MONTH($A12)))*$E12</f>
        <v>-2699.1974368010137</v>
      </c>
      <c r="DE12" s="221" t="s">
        <v>564</v>
      </c>
      <c r="DF12" s="619">
        <v>7</v>
      </c>
      <c r="DH12" s="1032">
        <f t="shared" si="0"/>
        <v>-3454174.4689388718</v>
      </c>
      <c r="DI12">
        <f ca="1">CALC!J32</f>
        <v>0.90556180920885243</v>
      </c>
      <c r="DJ12" s="1029">
        <f t="shared" ca="1" si="1"/>
        <v>-3127968.4814153118</v>
      </c>
    </row>
    <row r="13" spans="1:114" x14ac:dyDescent="0.25">
      <c r="A13" s="244">
        <v>37104</v>
      </c>
      <c r="B13" s="13">
        <v>23</v>
      </c>
      <c r="C13" s="210">
        <v>4</v>
      </c>
      <c r="D13" s="210">
        <v>4</v>
      </c>
      <c r="E13" s="210">
        <v>0</v>
      </c>
      <c r="F13" s="13">
        <v>31</v>
      </c>
      <c r="H13" s="1021">
        <f>(VLOOKUP(YEAR($A13),'NY East Load Projections'!$A$4:$EO$14,((MONTH($A13)-1)*12)+VLOOKUP(H$4,$DE$6:$DF$17,2)+1))*(VLOOKUP($A13,CURVES!$D$9:$K$261,7))*(INDEX(DailyScalarsTable,H$5/100,MONTH($A13)))*$B13</f>
        <v>-55813.687526467482</v>
      </c>
      <c r="I13" s="1021">
        <f>(VLOOKUP(YEAR($A13),'NY East Load Projections'!$A$4:$EO$14,((MONTH($A13)-1)*12)+VLOOKUP(I$4,$DE$6:$DF$17,2)+1))*(VLOOKUP($A13,CURVES!$D$9:$K$261,7))*(INDEX(DailyScalarsTable,I$5/100,MONTH($A13)))*$B13</f>
        <v>-50383.993330012781</v>
      </c>
      <c r="J13" s="1021">
        <f>(VLOOKUP(YEAR($A13),'NY East Load Projections'!$A$4:$EO$14,((MONTH($A13)-1)*12)+VLOOKUP(J$4,$DE$6:$DF$17,2)+1))*(VLOOKUP($A13,CURVES!$D$9:$K$261,7))*(INDEX(DailyScalarsTable,J$5/100,MONTH($A13)))*$B13</f>
        <v>-45247.451637122547</v>
      </c>
      <c r="K13" s="1021">
        <f>(VLOOKUP(YEAR($A13),'NY East Load Projections'!$A$4:$EO$14,((MONTH($A13)-1)*12)+VLOOKUP(K$4,$DE$6:$DF$17,2)+1))*(VLOOKUP($A13,CURVES!$D$9:$K$261,7))*(INDEX(DailyScalarsTable,K$5/100,MONTH($A13)))*$B13</f>
        <v>-42570.84182196881</v>
      </c>
      <c r="L13" s="1021">
        <f>(VLOOKUP(YEAR($A13),'NY East Load Projections'!$A$4:$EO$14,((MONTH($A13)-1)*12)+VLOOKUP(L$4,$DE$6:$DF$17,2)+1))*(VLOOKUP($A13,CURVES!$D$9:$K$261,7))*(INDEX(DailyScalarsTable,L$5/100,MONTH($A13)))*$B13</f>
        <v>-45757.907877233643</v>
      </c>
      <c r="M13" s="1021">
        <f>(VLOOKUP(YEAR($A13),'NY East Load Projections'!$A$4:$EO$14,((MONTH($A13)-1)*12)+VLOOKUP(M$4,$DE$6:$DF$17,2)+1))*(VLOOKUP($A13,CURVES!$D$9:$K$261,7))*(INDEX(DailyScalarsTable,M$5/100,MONTH($A13)))*$B13</f>
        <v>-50839.186946381335</v>
      </c>
      <c r="N13" s="1021">
        <f>(VLOOKUP(YEAR($A13),'NY East Load Projections'!$A$4:$EO$14,((MONTH($A13)-1)*12)+VLOOKUP(N$4,$DE$6:$DF$17,2)+1))*(VLOOKUP($A13,CURVES!$D$9:$K$261,7))*(INDEX(DailyScalarsTable,N$5/100,MONTH($A13)))*$B13</f>
        <v>-59154.007241350235</v>
      </c>
      <c r="O13" s="1021">
        <f>(VLOOKUP(YEAR($A13),'NY East Load Projections'!$A$4:$EO$14,((MONTH($A13)-1)*12)+VLOOKUP(O$4,$DE$6:$DF$17,2)+1))*(VLOOKUP($A13,CURVES!$D$9:$K$261,3))*(INDEX(DailyScalarsTable,O$5/100,MONTH($A13)))*$B13</f>
        <v>-101303.32697627824</v>
      </c>
      <c r="P13" s="1021">
        <f>(VLOOKUP(YEAR($A13),'NY East Load Projections'!$A$4:$EO$14,((MONTH($A13)-1)*12)+VLOOKUP(P$4,$DE$6:$DF$17,2)+1))*(VLOOKUP($A13,CURVES!$D$9:$K$261,3))*(INDEX(DailyScalarsTable,P$5/100,MONTH($A13)))*$B13</f>
        <v>-117891.04970972148</v>
      </c>
      <c r="Q13" s="1021">
        <f>(VLOOKUP(YEAR($A13),'NY East Load Projections'!$A$4:$EO$14,((MONTH($A13)-1)*12)+VLOOKUP(Q$4,$DE$6:$DF$17,2)+1))*(VLOOKUP($A13,CURVES!$D$9:$K$261,3))*(INDEX(DailyScalarsTable,Q$5/100,MONTH($A13)))*$B13</f>
        <v>-151188.01844764617</v>
      </c>
      <c r="R13" s="1021">
        <f>(VLOOKUP(YEAR($A13),'NY East Load Projections'!$A$4:$EO$14,((MONTH($A13)-1)*12)+VLOOKUP(R$4,$DE$6:$DF$17,2)+1))*(VLOOKUP($A13,CURVES!$D$9:$K$261,3))*(INDEX(DailyScalarsTable,R$5/100,MONTH($A13)))*$B13</f>
        <v>-170638.72295791897</v>
      </c>
      <c r="S13" s="1021">
        <f>(VLOOKUP(YEAR($A13),'NY East Load Projections'!$A$4:$EO$14,((MONTH($A13)-1)*12)+VLOOKUP(S$4,$DE$6:$DF$17,2)+1))*(VLOOKUP($A13,CURVES!$D$9:$K$261,3))*(INDEX(DailyScalarsTable,S$5/100,MONTH($A13)))*$B13</f>
        <v>-177869.54983235936</v>
      </c>
      <c r="T13" s="1021">
        <f>(VLOOKUP(YEAR($A13),'NY East Load Projections'!$A$4:$EO$14,((MONTH($A13)-1)*12)+VLOOKUP(T$4,$DE$6:$DF$17,2)+1))*(VLOOKUP($A13,CURVES!$D$9:$K$261,3))*(INDEX(DailyScalarsTable,T$5/100,MONTH($A13)))*$B13</f>
        <v>-178548.45231605571</v>
      </c>
      <c r="U13" s="1021">
        <f>(VLOOKUP(YEAR($A13),'NY East Load Projections'!$A$4:$EO$14,((MONTH($A13)-1)*12)+VLOOKUP(U$4,$DE$6:$DF$17,2)+1))*(VLOOKUP($A13,CURVES!$D$9:$K$261,3))*(INDEX(DailyScalarsTable,U$5/100,MONTH($A13)))*$B13</f>
        <v>-196005.23835019491</v>
      </c>
      <c r="V13" s="1021">
        <f>(VLOOKUP(YEAR($A13),'NY East Load Projections'!$A$4:$EO$14,((MONTH($A13)-1)*12)+VLOOKUP(V$4,$DE$6:$DF$17,2)+1))*(VLOOKUP($A13,CURVES!$D$9:$K$261,3))*(INDEX(DailyScalarsTable,V$5/100,MONTH($A13)))*$B13</f>
        <v>-207502.25539433502</v>
      </c>
      <c r="W13" s="1021">
        <f>(VLOOKUP(YEAR($A13),'NY East Load Projections'!$A$4:$EO$14,((MONTH($A13)-1)*12)+VLOOKUP(W$4,$DE$6:$DF$17,2)+1))*(VLOOKUP($A13,CURVES!$D$9:$K$261,3))*(INDEX(DailyScalarsTable,W$5/100,MONTH($A13)))*$B13</f>
        <v>-204611.32267530562</v>
      </c>
      <c r="X13" s="1021">
        <f>(VLOOKUP(YEAR($A13),'NY East Load Projections'!$A$4:$EO$14,((MONTH($A13)-1)*12)+VLOOKUP(X$4,$DE$6:$DF$17,2)+1))*(VLOOKUP($A13,CURVES!$D$9:$K$261,3))*(INDEX(DailyScalarsTable,X$5/100,MONTH($A13)))*$B13</f>
        <v>-193355.90345713182</v>
      </c>
      <c r="Y13" s="1021">
        <f>(VLOOKUP(YEAR($A13),'NY East Load Projections'!$A$4:$EO$14,((MONTH($A13)-1)*12)+VLOOKUP(Y$4,$DE$6:$DF$17,2)+1))*(VLOOKUP($A13,CURVES!$D$9:$K$261,3))*(INDEX(DailyScalarsTable,Y$5/100,MONTH($A13)))*$B13</f>
        <v>-179059.51966805107</v>
      </c>
      <c r="Z13" s="1021">
        <f>(VLOOKUP(YEAR($A13),'NY East Load Projections'!$A$4:$EO$14,((MONTH($A13)-1)*12)+VLOOKUP(Z$4,$DE$6:$DF$17,2)+1))*(VLOOKUP($A13,CURVES!$D$9:$K$261,3))*(INDEX(DailyScalarsTable,Z$5/100,MONTH($A13)))*$B13</f>
        <v>-145952.10457754819</v>
      </c>
      <c r="AA13" s="1021">
        <f>(VLOOKUP(YEAR($A13),'NY East Load Projections'!$A$4:$EO$14,((MONTH($A13)-1)*12)+VLOOKUP(AA$4,$DE$6:$DF$17,2)+1))*(VLOOKUP($A13,CURVES!$D$9:$K$261,3))*(INDEX(DailyScalarsTable,AA$5/100,MONTH($A13)))*$B13</f>
        <v>-132881.12511324574</v>
      </c>
      <c r="AB13" s="1021">
        <f>(VLOOKUP(YEAR($A13),'NY East Load Projections'!$A$4:$EO$14,((MONTH($A13)-1)*12)+VLOOKUP(AB$4,$DE$6:$DF$17,2)+1))*(VLOOKUP($A13,CURVES!$D$9:$K$261,3))*(INDEX(DailyScalarsTable,AB$5/100,MONTH($A13)))*$B13</f>
        <v>-159230.25935688204</v>
      </c>
      <c r="AC13" s="1021">
        <f>(VLOOKUP(YEAR($A13),'NY East Load Projections'!$A$4:$EO$14,((MONTH($A13)-1)*12)+VLOOKUP(AC$4,$DE$6:$DF$17,2)+1))*(VLOOKUP($A13,CURVES!$D$9:$K$261,3))*(INDEX(DailyScalarsTable,AC$5/100,MONTH($A13)))*$B13</f>
        <v>-135397.93045223883</v>
      </c>
      <c r="AD13" s="1021">
        <f>(VLOOKUP(YEAR($A13),'NY East Load Projections'!$A$4:$EO$14,((MONTH($A13)-1)*12)+VLOOKUP(AD$4,$DE$6:$DF$17,2)+1))*(VLOOKUP($A13,CURVES!$D$9:$K$261,3))*(INDEX(DailyScalarsTable,AD$5/100,MONTH($A13)))*$B13</f>
        <v>-109640.99766697998</v>
      </c>
      <c r="AE13" s="1021">
        <f>(VLOOKUP(YEAR($A13),'NY East Load Projections'!$A$4:$EO$14,((MONTH($A13)-1)*12)+VLOOKUP(AE$4,$DE$6:$DF$17,2)+1))*(VLOOKUP($A13,CURVES!$D$9:$K$261,7))*(INDEX(DailyScalarsTable,AE$5/100,MONTH($A13)))*$B13</f>
        <v>-66552.751229021233</v>
      </c>
      <c r="AF13" s="1021"/>
      <c r="AG13" s="1021">
        <f>(VLOOKUP(YEAR($A13),'NY East Load Projections'!$A$4:$EO$14,((MONTH($A13)-1)*12)+VLOOKUP(AG$4,$DE$6:$DF$17,2)+1))*(VLOOKUP($A13,CURVES!$D$9:$T$261,7))*(INDEX(DailyScalarsTable,AG$5/100,MONTH($A13)))*$C13</f>
        <v>-9662.1378846994103</v>
      </c>
      <c r="AH13" s="1021">
        <f>(VLOOKUP(YEAR($A13),'NY East Load Projections'!$A$4:$EO$14,((MONTH($A13)-1)*12)+VLOOKUP(AH$4,$DE$6:$DF$17,2)+1))*(VLOOKUP($A13,CURVES!$D$9:$T$261,7))*(INDEX(DailyScalarsTable,AH$5/100,MONTH($A13)))*$C13</f>
        <v>-8722.1811048679538</v>
      </c>
      <c r="AI13" s="1021">
        <f>(VLOOKUP(YEAR($A13),'NY East Load Projections'!$A$4:$EO$14,((MONTH($A13)-1)*12)+VLOOKUP(AI$4,$DE$6:$DF$17,2)+1))*(VLOOKUP($A13,CURVES!$D$9:$T$261,7))*(INDEX(DailyScalarsTable,AI$5/100,MONTH($A13)))*$C13</f>
        <v>-7832.9731652621413</v>
      </c>
      <c r="AJ13" s="1021">
        <f>(VLOOKUP(YEAR($A13),'NY East Load Projections'!$A$4:$EO$14,((MONTH($A13)-1)*12)+VLOOKUP(AJ$4,$DE$6:$DF$17,2)+1))*(VLOOKUP($A13,CURVES!$D$9:$T$261,7))*(INDEX(DailyScalarsTable,AJ$5/100,MONTH($A13)))*$C13</f>
        <v>-7369.6141892888854</v>
      </c>
      <c r="AK13" s="1021">
        <f>(VLOOKUP(YEAR($A13),'NY East Load Projections'!$A$4:$EO$14,((MONTH($A13)-1)*12)+VLOOKUP(AK$4,$DE$6:$DF$17,2)+1))*(VLOOKUP($A13,CURVES!$D$9:$T$261,7))*(INDEX(DailyScalarsTable,AK$5/100,MONTH($A13)))*$C13</f>
        <v>-7785.3411735292793</v>
      </c>
      <c r="AL13" s="1021">
        <f>(VLOOKUP(YEAR($A13),'NY East Load Projections'!$A$4:$EO$14,((MONTH($A13)-1)*12)+VLOOKUP(AL$4,$DE$6:$DF$17,2)+1))*(VLOOKUP($A13,CURVES!$D$9:$T$261,7))*(INDEX(DailyScalarsTable,AL$5/100,MONTH($A13)))*$C13</f>
        <v>-8649.8800693495232</v>
      </c>
      <c r="AM13" s="1021">
        <f>(VLOOKUP(YEAR($A13),'NY East Load Projections'!$A$4:$EO$14,((MONTH($A13)-1)*12)+VLOOKUP(AM$4,$DE$6:$DF$17,2)+1))*(VLOOKUP($A13,CURVES!$D$9:$T$261,7))*(INDEX(DailyScalarsTable,AM$5/100,MONTH($A13)))*$C13</f>
        <v>-10064.580080691732</v>
      </c>
      <c r="AN13" s="1021">
        <f>(VLOOKUP(YEAR($A13),'NY East Load Projections'!$A$4:$EO$14,((MONTH($A13)-1)*12)+VLOOKUP(AN$4,$DE$6:$DF$17,2)+1))*(VLOOKUP($A13,SatSunCurve,3))*(INDEX(DailyScalarsTable,AN$5/100,MONTH($A13)))*$C13</f>
        <v>-10518.207039951012</v>
      </c>
      <c r="AO13" s="1021">
        <f>(VLOOKUP(YEAR($A13),'NY East Load Projections'!$A$4:$EO$14,((MONTH($A13)-1)*12)+VLOOKUP(AO$4,$DE$6:$DF$17,2)+1))*(VLOOKUP($A13,SatSunCurve,3))*(INDEX(DailyScalarsTable,AO$5/100,MONTH($A13)))*$C13</f>
        <v>-12443.381471407545</v>
      </c>
      <c r="AP13" s="1021">
        <f>(VLOOKUP(YEAR($A13),'NY East Load Projections'!$A$4:$EO$14,((MONTH($A13)-1)*12)+VLOOKUP(AP$4,$DE$6:$DF$17,2)+1))*(VLOOKUP($A13,SatSunCurve,3))*(INDEX(DailyScalarsTable,AP$5/100,MONTH($A13)))*$C13</f>
        <v>-15957.871204663033</v>
      </c>
      <c r="AQ13" s="1021">
        <f>(VLOOKUP(YEAR($A13),'NY East Load Projections'!$A$4:$EO$14,((MONTH($A13)-1)*12)+VLOOKUP(AQ$4,$DE$6:$DF$17,2)+1))*(VLOOKUP($A13,SatSunCurve,3))*(INDEX(DailyScalarsTable,AQ$5/100,MONTH($A13)))*$C13</f>
        <v>-18010.889959733064</v>
      </c>
      <c r="AR13" s="1021">
        <f>(VLOOKUP(YEAR($A13),'NY East Load Projections'!$A$4:$EO$14,((MONTH($A13)-1)*12)+VLOOKUP(AR$4,$DE$6:$DF$17,2)+1))*(VLOOKUP($A13,SatSunCurve,3))*(INDEX(DailyScalarsTable,AR$5/100,MONTH($A13)))*$C13</f>
        <v>-18774.102581674357</v>
      </c>
      <c r="AS13" s="1021">
        <f>(VLOOKUP(YEAR($A13),'NY East Load Projections'!$A$4:$EO$14,((MONTH($A13)-1)*12)+VLOOKUP(AS$4,$DE$6:$DF$17,2)+1))*(VLOOKUP($A13,SatSunCurve,3))*(INDEX(DailyScalarsTable,AS$5/100,MONTH($A13)))*$C13</f>
        <v>-18874.928660105517</v>
      </c>
      <c r="AT13" s="1021">
        <f>(VLOOKUP(YEAR($A13),'NY East Load Projections'!$A$4:$EO$14,((MONTH($A13)-1)*12)+VLOOKUP(AT$4,$DE$6:$DF$17,2)+1))*(VLOOKUP($A13,SatSunCurve,3))*(INDEX(DailyScalarsTable,AT$5/100,MONTH($A13)))*$C13</f>
        <v>-20720.341413646784</v>
      </c>
      <c r="AU13" s="1021">
        <f>(VLOOKUP(YEAR($A13),'NY East Load Projections'!$A$4:$EO$14,((MONTH($A13)-1)*12)+VLOOKUP(AU$4,$DE$6:$DF$17,2)+1))*(VLOOKUP($A13,SatSunCurve,3))*(INDEX(DailyScalarsTable,AU$5/100,MONTH($A13)))*$C13</f>
        <v>-21935.727902284791</v>
      </c>
      <c r="AV13" s="1021">
        <f>(VLOOKUP(YEAR($A13),'NY East Load Projections'!$A$4:$EO$14,((MONTH($A13)-1)*12)+VLOOKUP(AV$4,$DE$6:$DF$17,2)+1))*(VLOOKUP($A13,SatSunCurve,3))*(INDEX(DailyScalarsTable,AV$5/100,MONTH($A13)))*$C13</f>
        <v>-21630.118146921272</v>
      </c>
      <c r="AW13" s="1021">
        <f>(VLOOKUP(YEAR($A13),'NY East Load Projections'!$A$4:$EO$14,((MONTH($A13)-1)*12)+VLOOKUP(AW$4,$DE$6:$DF$17,2)+1))*(VLOOKUP($A13,SatSunCurve,3))*(INDEX(DailyScalarsTable,AW$5/100,MONTH($A13)))*$C13</f>
        <v>-20415.775322136833</v>
      </c>
      <c r="AX13" s="1021">
        <f>(VLOOKUP(YEAR($A13),'NY East Load Projections'!$A$4:$EO$14,((MONTH($A13)-1)*12)+VLOOKUP(AX$4,$DE$6:$DF$17,2)+1))*(VLOOKUP($A13,SatSunCurve,3))*(INDEX(DailyScalarsTable,AX$5/100,MONTH($A13)))*$C13</f>
        <v>-18906.270030918135</v>
      </c>
      <c r="AY13" s="1021">
        <f>(VLOOKUP(YEAR($A13),'NY East Load Projections'!$A$4:$EO$14,((MONTH($A13)-1)*12)+VLOOKUP(AY$4,$DE$6:$DF$17,2)+1))*(VLOOKUP($A13,SatSunCurve,3))*(INDEX(DailyScalarsTable,AY$5/100,MONTH($A13)))*$C13</f>
        <v>-15410.57356704325</v>
      </c>
      <c r="AZ13" s="1021">
        <f>(VLOOKUP(YEAR($A13),'NY East Load Projections'!$A$4:$EO$14,((MONTH($A13)-1)*12)+VLOOKUP(AZ$4,$DE$6:$DF$17,2)+1))*(VLOOKUP($A13,SatSunCurve,3))*(INDEX(DailyScalarsTable,AZ$5/100,MONTH($A13)))*$C13</f>
        <v>-14030.454443643295</v>
      </c>
      <c r="BA13" s="1021">
        <f>(VLOOKUP(YEAR($A13),'NY East Load Projections'!$A$4:$EO$14,((MONTH($A13)-1)*12)+VLOOKUP(BA$4,$DE$6:$DF$17,2)+1))*(VLOOKUP($A13,SatSunCurve,3))*(INDEX(DailyScalarsTable,BA$5/100,MONTH($A13)))*$C13</f>
        <v>-16990.996814885177</v>
      </c>
      <c r="BB13" s="1021">
        <f>(VLOOKUP(YEAR($A13),'NY East Load Projections'!$A$4:$EO$14,((MONTH($A13)-1)*12)+VLOOKUP(BB$4,$DE$6:$DF$17,2)+1))*(VLOOKUP($A13,SatSunCurve,3))*(INDEX(DailyScalarsTable,BB$5/100,MONTH($A13)))*$C13</f>
        <v>-14447.918469440108</v>
      </c>
      <c r="BC13" s="1021">
        <f>(VLOOKUP(YEAR($A13),'NY East Load Projections'!$A$4:$EO$14,((MONTH($A13)-1)*12)+VLOOKUP(BC$4,$DE$6:$DF$17,2)+1))*(VLOOKUP($A13,SatSunCurve,3))*(INDEX(DailyScalarsTable,BC$5/100,MONTH($A13)))*$C13</f>
        <v>-11699.471254173863</v>
      </c>
      <c r="BD13" s="1021">
        <f>(VLOOKUP(YEAR($A13),'NY East Load Projections'!$A$4:$EO$14,((MONTH($A13)-1)*12)+VLOOKUP(BD$4,$DE$6:$DF$17,2)+1))*(VLOOKUP($A13,CURVES!$D$9:$T$261,7))*(INDEX(DailyScalarsTable,BD$5/100,MONTH($A13)))*$C13</f>
        <v>-11637.313994262395</v>
      </c>
      <c r="BE13" s="1021"/>
      <c r="BF13" s="1021">
        <f>(VLOOKUP(YEAR($A13),'NY East Load Projections'!$A$4:$EO$14,((MONTH($A13)-1)*12)+VLOOKUP(BF$4,$DE$6:$DF$17,2)+1))*(VLOOKUP($A13,CURVES!$D$9:$T$261,7))*(INDEX(DailyScalarsTable,BF$5/100,MONTH($A13)))*$D13</f>
        <v>-9662.1378846994103</v>
      </c>
      <c r="BG13" s="1021">
        <f>(VLOOKUP(YEAR($A13),'NY East Load Projections'!$A$4:$EO$14,((MONTH($A13)-1)*12)+VLOOKUP(BG$4,$DE$6:$DF$17,2)+1))*(VLOOKUP($A13,CURVES!$D$9:$T$261,7))*(INDEX(DailyScalarsTable,BG$5/100,MONTH($A13)))*$D13</f>
        <v>-8722.1811048679538</v>
      </c>
      <c r="BH13" s="1021">
        <f>(VLOOKUP(YEAR($A13),'NY East Load Projections'!$A$4:$EO$14,((MONTH($A13)-1)*12)+VLOOKUP(BH$4,$DE$6:$DF$17,2)+1))*(VLOOKUP($A13,CURVES!$D$9:$T$261,7))*(INDEX(DailyScalarsTable,BH$5/100,MONTH($A13)))*$D13</f>
        <v>-7832.9731652621413</v>
      </c>
      <c r="BI13" s="1021">
        <f>(VLOOKUP(YEAR($A13),'NY East Load Projections'!$A$4:$EO$14,((MONTH($A13)-1)*12)+VLOOKUP(BI$4,$DE$6:$DF$17,2)+1))*(VLOOKUP($A13,CURVES!$D$9:$T$261,7))*(INDEX(DailyScalarsTable,BI$5/100,MONTH($A13)))*$D13</f>
        <v>-7369.6141892888854</v>
      </c>
      <c r="BJ13" s="1021">
        <f>(VLOOKUP(YEAR($A13),'NY East Load Projections'!$A$4:$EO$14,((MONTH($A13)-1)*12)+VLOOKUP(BJ$4,$DE$6:$DF$17,2)+1))*(VLOOKUP($A13,CURVES!$D$9:$T$261,7))*(INDEX(DailyScalarsTable,BJ$5/100,MONTH($A13)))*$D13</f>
        <v>-7785.3411735292793</v>
      </c>
      <c r="BK13" s="1021">
        <f>(VLOOKUP(YEAR($A13),'NY East Load Projections'!$A$4:$EO$14,((MONTH($A13)-1)*12)+VLOOKUP(BK$4,$DE$6:$DF$17,2)+1))*(VLOOKUP($A13,CURVES!$D$9:$T$261,7))*(INDEX(DailyScalarsTable,BK$5/100,MONTH($A13)))*$D13</f>
        <v>-8649.8800693495232</v>
      </c>
      <c r="BL13" s="1021">
        <f>(VLOOKUP(YEAR($A13),'NY East Load Projections'!$A$4:$EO$14,((MONTH($A13)-1)*12)+VLOOKUP(BL$4,$DE$6:$DF$17,2)+1))*(VLOOKUP($A13,CURVES!$D$9:$T$261,7))*(INDEX(DailyScalarsTable,BL$5/100,MONTH($A13)))*$D13</f>
        <v>-10064.580080691732</v>
      </c>
      <c r="BM13" s="1021">
        <f>(VLOOKUP(YEAR($A13),'NY East Load Projections'!$A$4:$EO$14,((MONTH($A13)-1)*12)+VLOOKUP(BM$4,$DE$6:$DF$17,2)+1))*(VLOOKUP($A13,SatSunCurve,7))*(INDEX(DailyScalarsTable,BM$5/100,MONTH($A13)))*$D13</f>
        <v>-7761.0668467881787</v>
      </c>
      <c r="BN13" s="1021">
        <f>(VLOOKUP(YEAR($A13),'NY East Load Projections'!$A$4:$EO$14,((MONTH($A13)-1)*12)+VLOOKUP(BN$4,$DE$6:$DF$17,2)+1))*(VLOOKUP($A13,SatSunCurve,7))*(INDEX(DailyScalarsTable,BN$5/100,MONTH($A13)))*$D13</f>
        <v>-9181.5948319771051</v>
      </c>
      <c r="BO13" s="1021">
        <f>(VLOOKUP(YEAR($A13),'NY East Load Projections'!$A$4:$EO$14,((MONTH($A13)-1)*12)+VLOOKUP(BO$4,$DE$6:$DF$17,2)+1))*(VLOOKUP($A13,SatSunCurve,7))*(INDEX(DailyScalarsTable,BO$5/100,MONTH($A13)))*$D13</f>
        <v>-11774.830508793906</v>
      </c>
      <c r="BP13" s="1021">
        <f>(VLOOKUP(YEAR($A13),'NY East Load Projections'!$A$4:$EO$14,((MONTH($A13)-1)*12)+VLOOKUP(BP$4,$DE$6:$DF$17,2)+1))*(VLOOKUP($A13,SatSunCurve,7))*(INDEX(DailyScalarsTable,BP$5/100,MONTH($A13)))*$D13</f>
        <v>-13289.690953667083</v>
      </c>
      <c r="BQ13" s="1021">
        <f>(VLOOKUP(YEAR($A13),'NY East Load Projections'!$A$4:$EO$14,((MONTH($A13)-1)*12)+VLOOKUP(BQ$4,$DE$6:$DF$17,2)+1))*(VLOOKUP($A13,SatSunCurve,7))*(INDEX(DailyScalarsTable,BQ$5/100,MONTH($A13)))*$D13</f>
        <v>-13852.842463682084</v>
      </c>
      <c r="BR13" s="1021">
        <f>(VLOOKUP(YEAR($A13),'NY East Load Projections'!$A$4:$EO$14,((MONTH($A13)-1)*12)+VLOOKUP(BR$4,$DE$6:$DF$17,2)+1))*(VLOOKUP($A13,SatSunCurve,7))*(INDEX(DailyScalarsTable,BR$5/100,MONTH($A13)))*$D13</f>
        <v>-13927.238977425493</v>
      </c>
      <c r="BS13" s="1021">
        <f>(VLOOKUP(YEAR($A13),'NY East Load Projections'!$A$4:$EO$14,((MONTH($A13)-1)*12)+VLOOKUP(BS$4,$DE$6:$DF$17,2)+1))*(VLOOKUP($A13,SatSunCurve,7))*(INDEX(DailyScalarsTable,BS$5/100,MONTH($A13)))*$D13</f>
        <v>-15288.913232909241</v>
      </c>
      <c r="BT13" s="1021">
        <f>(VLOOKUP(YEAR($A13),'NY East Load Projections'!$A$4:$EO$14,((MONTH($A13)-1)*12)+VLOOKUP(BT$4,$DE$6:$DF$17,2)+1))*(VLOOKUP($A13,SatSunCurve,7))*(INDEX(DailyScalarsTable,BT$5/100,MONTH($A13)))*$D13</f>
        <v>-16185.710162953952</v>
      </c>
      <c r="BU13" s="1021">
        <f>(VLOOKUP(YEAR($A13),'NY East Load Projections'!$A$4:$EO$14,((MONTH($A13)-1)*12)+VLOOKUP(BU$4,$DE$6:$DF$17,2)+1))*(VLOOKUP($A13,SatSunCurve,7))*(INDEX(DailyScalarsTable,BU$5/100,MONTH($A13)))*$D13</f>
        <v>-15960.209967778301</v>
      </c>
      <c r="BV13" s="1021">
        <f>(VLOOKUP(YEAR($A13),'NY East Load Projections'!$A$4:$EO$14,((MONTH($A13)-1)*12)+VLOOKUP(BV$4,$DE$6:$DF$17,2)+1))*(VLOOKUP($A13,SatSunCurve,7))*(INDEX(DailyScalarsTable,BV$5/100,MONTH($A13)))*$D13</f>
        <v>-15064.183125725047</v>
      </c>
      <c r="BW13" s="1021">
        <f>(VLOOKUP(YEAR($A13),'NY East Load Projections'!$A$4:$EO$14,((MONTH($A13)-1)*12)+VLOOKUP(BW$4,$DE$6:$DF$17,2)+1))*(VLOOKUP($A13,SatSunCurve,7))*(INDEX(DailyScalarsTable,BW$5/100,MONTH($A13)))*$D13</f>
        <v>-13950.364827014004</v>
      </c>
      <c r="BX13" s="1021">
        <f>(VLOOKUP(YEAR($A13),'NY East Load Projections'!$A$4:$EO$14,((MONTH($A13)-1)*12)+VLOOKUP(BX$4,$DE$6:$DF$17,2)+1))*(VLOOKUP($A13,SatSunCurve,7))*(INDEX(DailyScalarsTable,BX$5/100,MONTH($A13)))*$D13</f>
        <v>-11370.996135262105</v>
      </c>
      <c r="BY13" s="1021">
        <f>(VLOOKUP(YEAR($A13),'NY East Load Projections'!$A$4:$EO$14,((MONTH($A13)-1)*12)+VLOOKUP(BY$4,$DE$6:$DF$17,2)+1))*(VLOOKUP($A13,SatSunCurve,7))*(INDEX(DailyScalarsTable,BY$5/100,MONTH($A13)))*$D13</f>
        <v>-10352.647976440578</v>
      </c>
      <c r="BZ13" s="1021">
        <f>(VLOOKUP(YEAR($A13),'NY East Load Projections'!$A$4:$EO$14,((MONTH($A13)-1)*12)+VLOOKUP(BZ$4,$DE$6:$DF$17,2)+1))*(VLOOKUP($A13,SatSunCurve,7))*(INDEX(DailyScalarsTable,BZ$5/100,MONTH($A13)))*$D13</f>
        <v>-12537.142649219335</v>
      </c>
      <c r="CA13" s="1021">
        <f>(VLOOKUP(YEAR($A13),'NY East Load Projections'!$A$4:$EO$14,((MONTH($A13)-1)*12)+VLOOKUP(CA$4,$DE$6:$DF$17,2)+1))*(VLOOKUP($A13,SatSunCurve,7))*(INDEX(DailyScalarsTable,CA$5/100,MONTH($A13)))*$D13</f>
        <v>-10660.682054685289</v>
      </c>
      <c r="CB13" s="1021">
        <f>(VLOOKUP(YEAR($A13),'NY East Load Projections'!$A$4:$EO$14,((MONTH($A13)-1)*12)+VLOOKUP(CB$4,$DE$6:$DF$17,2)+1))*(VLOOKUP($A13,SatSunCurve,7))*(INDEX(DailyScalarsTable,CB$5/100,MONTH($A13)))*$D13</f>
        <v>-8632.68598258577</v>
      </c>
      <c r="CC13" s="1021">
        <f>(VLOOKUP(YEAR($A13),'NY East Load Projections'!$A$4:$EO$14,((MONTH($A13)-1)*12)+VLOOKUP(CC$4,$DE$6:$DF$17,2)+1))*(VLOOKUP($A13,CURVES!$D$9:$T$261,7))*(INDEX(DailyScalarsTable,CC$5/100,MONTH($A13)))*$D13</f>
        <v>-11637.313994262395</v>
      </c>
      <c r="CE13" s="1021">
        <f>(VLOOKUP(YEAR($A13),'NY East Load Projections'!$A$4:$EO$14,((MONTH($A13)-1)*12)+VLOOKUP(CE$4,$DE$6:$DF$17,2)+1))*(VLOOKUP($A13,CURVES!$D$9:$T$261,7))*(INDEX(DailyScalarsTable,CE$5/100,MONTH($A13)))*$E13</f>
        <v>0</v>
      </c>
      <c r="CF13" s="1021">
        <f>(VLOOKUP(YEAR($A13),'NY East Load Projections'!$A$4:$EO$14,((MONTH($A13)-1)*12)+VLOOKUP(CF$4,$DE$6:$DF$17,2)+1))*(VLOOKUP($A13,CURVES!$D$9:$T$261,7))*(INDEX(DailyScalarsTable,CF$5/100,MONTH($A13)))*$E13</f>
        <v>0</v>
      </c>
      <c r="CG13" s="1021">
        <f>(VLOOKUP(YEAR($A13),'NY East Load Projections'!$A$4:$EO$14,((MONTH($A13)-1)*12)+VLOOKUP(CG$4,$DE$6:$DF$17,2)+1))*(VLOOKUP($A13,CURVES!$D$9:$T$261,7))*(INDEX(DailyScalarsTable,CG$5/100,MONTH($A13)))*$E13</f>
        <v>0</v>
      </c>
      <c r="CH13" s="1021">
        <f>(VLOOKUP(YEAR($A13),'NY East Load Projections'!$A$4:$EO$14,((MONTH($A13)-1)*12)+VLOOKUP(CH$4,$DE$6:$DF$17,2)+1))*(VLOOKUP($A13,CURVES!$D$9:$T$261,7))*(INDEX(DailyScalarsTable,CH$5/100,MONTH($A13)))*$E13</f>
        <v>0</v>
      </c>
      <c r="CI13" s="1021">
        <f>(VLOOKUP(YEAR($A13),'NY East Load Projections'!$A$4:$EO$14,((MONTH($A13)-1)*12)+VLOOKUP(CI$4,$DE$6:$DF$17,2)+1))*(VLOOKUP($A13,CURVES!$D$9:$T$261,7))*(INDEX(DailyScalarsTable,CI$5/100,MONTH($A13)))*$E13</f>
        <v>0</v>
      </c>
      <c r="CJ13" s="1021">
        <f>(VLOOKUP(YEAR($A13),'NY East Load Projections'!$A$4:$EO$14,((MONTH($A13)-1)*12)+VLOOKUP(CJ$4,$DE$6:$DF$17,2)+1))*(VLOOKUP($A13,CURVES!$D$9:$T$261,7))*(INDEX(DailyScalarsTable,CJ$5/100,MONTH($A13)))*$E13</f>
        <v>0</v>
      </c>
      <c r="CK13" s="1021">
        <f>(VLOOKUP(YEAR($A13),'NY East Load Projections'!$A$4:$EO$14,((MONTH($A13)-1)*12)+VLOOKUP(CK$4,$DE$6:$DF$17,2)+1))*(VLOOKUP($A13,CURVES!$D$9:$T$261,7))*(INDEX(DailyScalarsTable,CK$5/100,MONTH($A13)))*$E13</f>
        <v>0</v>
      </c>
      <c r="CL13" s="1021">
        <f>(VLOOKUP(YEAR($A13),'NY East Load Projections'!$A$4:$EO$14,((MONTH($A13)-1)*12)+VLOOKUP(CL$4,$DE$6:$DF$17,2)+1))*(VLOOKUP($A13,SatSunCurve,7))*(INDEX(DailyScalarsTable,CL$5/100,MONTH($A13)))*$E13</f>
        <v>0</v>
      </c>
      <c r="CM13" s="1021">
        <f>(VLOOKUP(YEAR($A13),'NY East Load Projections'!$A$4:$EO$14,((MONTH($A13)-1)*12)+VLOOKUP(CM$4,$DE$6:$DF$17,2)+1))*(VLOOKUP($A13,SatSunCurve,7))*(INDEX(DailyScalarsTable,CM$5/100,MONTH($A13)))*$E13</f>
        <v>0</v>
      </c>
      <c r="CN13" s="1021">
        <f>(VLOOKUP(YEAR($A13),'NY East Load Projections'!$A$4:$EO$14,((MONTH($A13)-1)*12)+VLOOKUP(CN$4,$DE$6:$DF$17,2)+1))*(VLOOKUP($A13,SatSunCurve,7))*(INDEX(DailyScalarsTable,CN$5/100,MONTH($A13)))*$E13</f>
        <v>0</v>
      </c>
      <c r="CO13" s="1021">
        <f>(VLOOKUP(YEAR($A13),'NY East Load Projections'!$A$4:$EO$14,((MONTH($A13)-1)*12)+VLOOKUP(CO$4,$DE$6:$DF$17,2)+1))*(VLOOKUP($A13,SatSunCurve,7))*(INDEX(DailyScalarsTable,CO$5/100,MONTH($A13)))*$E13</f>
        <v>0</v>
      </c>
      <c r="CP13" s="1021">
        <f>(VLOOKUP(YEAR($A13),'NY East Load Projections'!$A$4:$EO$14,((MONTH($A13)-1)*12)+VLOOKUP(CP$4,$DE$6:$DF$17,2)+1))*(VLOOKUP($A13,SatSunCurve,7))*(INDEX(DailyScalarsTable,CP$5/100,MONTH($A13)))*$E13</f>
        <v>0</v>
      </c>
      <c r="CQ13" s="1021">
        <f>(VLOOKUP(YEAR($A13),'NY East Load Projections'!$A$4:$EO$14,((MONTH($A13)-1)*12)+VLOOKUP(CQ$4,$DE$6:$DF$17,2)+1))*(VLOOKUP($A13,SatSunCurve,7))*(INDEX(DailyScalarsTable,CQ$5/100,MONTH($A13)))*$E13</f>
        <v>0</v>
      </c>
      <c r="CR13" s="1021">
        <f>(VLOOKUP(YEAR($A13),'NY East Load Projections'!$A$4:$EO$14,((MONTH($A13)-1)*12)+VLOOKUP(CR$4,$DE$6:$DF$17,2)+1))*(VLOOKUP($A13,SatSunCurve,7))*(INDEX(DailyScalarsTable,CR$5/100,MONTH($A13)))*$E13</f>
        <v>0</v>
      </c>
      <c r="CS13" s="1021">
        <f>(VLOOKUP(YEAR($A13),'NY East Load Projections'!$A$4:$EO$14,((MONTH($A13)-1)*12)+VLOOKUP(CS$4,$DE$6:$DF$17,2)+1))*(VLOOKUP($A13,SatSunCurve,7))*(INDEX(DailyScalarsTable,CS$5/100,MONTH($A13)))*$E13</f>
        <v>0</v>
      </c>
      <c r="CT13" s="1021">
        <f>(VLOOKUP(YEAR($A13),'NY East Load Projections'!$A$4:$EO$14,((MONTH($A13)-1)*12)+VLOOKUP(CT$4,$DE$6:$DF$17,2)+1))*(VLOOKUP($A13,SatSunCurve,7))*(INDEX(DailyScalarsTable,CT$5/100,MONTH($A13)))*$E13</f>
        <v>0</v>
      </c>
      <c r="CU13" s="1021">
        <f>(VLOOKUP(YEAR($A13),'NY East Load Projections'!$A$4:$EO$14,((MONTH($A13)-1)*12)+VLOOKUP(CU$4,$DE$6:$DF$17,2)+1))*(VLOOKUP($A13,SatSunCurve,7))*(INDEX(DailyScalarsTable,CU$5/100,MONTH($A13)))*$E13</f>
        <v>0</v>
      </c>
      <c r="CV13" s="1021">
        <f>(VLOOKUP(YEAR($A13),'NY East Load Projections'!$A$4:$EO$14,((MONTH($A13)-1)*12)+VLOOKUP(CV$4,$DE$6:$DF$17,2)+1))*(VLOOKUP($A13,SatSunCurve,7))*(INDEX(DailyScalarsTable,CV$5/100,MONTH($A13)))*$E13</f>
        <v>0</v>
      </c>
      <c r="CW13" s="1021">
        <f>(VLOOKUP(YEAR($A13),'NY East Load Projections'!$A$4:$EO$14,((MONTH($A13)-1)*12)+VLOOKUP(CW$4,$DE$6:$DF$17,2)+1))*(VLOOKUP($A13,SatSunCurve,7))*(INDEX(DailyScalarsTable,CW$5/100,MONTH($A13)))*$E13</f>
        <v>0</v>
      </c>
      <c r="CX13" s="1021">
        <f>(VLOOKUP(YEAR($A13),'NY East Load Projections'!$A$4:$EO$14,((MONTH($A13)-1)*12)+VLOOKUP(CX$4,$DE$6:$DF$17,2)+1))*(VLOOKUP($A13,SatSunCurve,7))*(INDEX(DailyScalarsTable,CX$5/100,MONTH($A13)))*$E13</f>
        <v>0</v>
      </c>
      <c r="CY13" s="1021">
        <f>(VLOOKUP(YEAR($A13),'NY East Load Projections'!$A$4:$EO$14,((MONTH($A13)-1)*12)+VLOOKUP(CY$4,$DE$6:$DF$17,2)+1))*(VLOOKUP($A13,SatSunCurve,7))*(INDEX(DailyScalarsTable,CY$5/100,MONTH($A13)))*$E13</f>
        <v>0</v>
      </c>
      <c r="CZ13" s="1021">
        <f>(VLOOKUP(YEAR($A13),'NY East Load Projections'!$A$4:$EO$14,((MONTH($A13)-1)*12)+VLOOKUP(CZ$4,$DE$6:$DF$17,2)+1))*(VLOOKUP($A13,SatSunCurve,7))*(INDEX(DailyScalarsTable,CZ$5/100,MONTH($A13)))*$E13</f>
        <v>0</v>
      </c>
      <c r="DA13" s="1021">
        <f>(VLOOKUP(YEAR($A13),'NY East Load Projections'!$A$4:$EO$14,((MONTH($A13)-1)*12)+VLOOKUP(DA$4,$DE$6:$DF$17,2)+1))*(VLOOKUP($A13,SatSunCurve,7))*(INDEX(DailyScalarsTable,DA$5/100,MONTH($A13)))*$E13</f>
        <v>0</v>
      </c>
      <c r="DB13" s="1021">
        <f>(VLOOKUP(YEAR($A13),'NY East Load Projections'!$A$4:$EO$14,((MONTH($A13)-1)*12)+VLOOKUP(DB$4,$DE$6:$DF$17,2)+1))*(VLOOKUP($A13,CURVES!$D$9:$T$261,7))*(INDEX(DailyScalarsTable,DB$5/100,MONTH($A13)))*$E13</f>
        <v>0</v>
      </c>
      <c r="DE13" s="221" t="s">
        <v>565</v>
      </c>
      <c r="DF13" s="619">
        <v>8</v>
      </c>
      <c r="DH13" s="1032">
        <f t="shared" si="0"/>
        <v>-3591401.4768648888</v>
      </c>
      <c r="DI13">
        <f ca="1">CALC!J33</f>
        <v>0.89999310122749387</v>
      </c>
      <c r="DJ13" s="1029">
        <f t="shared" ca="1" si="1"/>
        <v>-3232236.552916633</v>
      </c>
    </row>
    <row r="14" spans="1:114" x14ac:dyDescent="0.25">
      <c r="A14" s="244">
        <v>37135</v>
      </c>
      <c r="B14" s="13">
        <v>19</v>
      </c>
      <c r="C14" s="210">
        <v>5</v>
      </c>
      <c r="D14" s="210">
        <v>5</v>
      </c>
      <c r="E14" s="210">
        <v>1</v>
      </c>
      <c r="F14" s="13">
        <v>30</v>
      </c>
      <c r="H14" s="1021">
        <f>(VLOOKUP(YEAR($A14),'NY East Load Projections'!$A$4:$EO$14,((MONTH($A14)-1)*12)+VLOOKUP(H$4,$DE$6:$DF$17,2)+1))*(VLOOKUP($A14,CURVES!$D$9:$K$261,7))*(INDEX(DailyScalarsTable,H$5/100,MONTH($A14)))*$B14</f>
        <v>-34221.610562312831</v>
      </c>
      <c r="I14" s="1021">
        <f>(VLOOKUP(YEAR($A14),'NY East Load Projections'!$A$4:$EO$14,((MONTH($A14)-1)*12)+VLOOKUP(I$4,$DE$6:$DF$17,2)+1))*(VLOOKUP($A14,CURVES!$D$9:$K$261,7))*(INDEX(DailyScalarsTable,I$5/100,MONTH($A14)))*$B14</f>
        <v>-30023.226538539118</v>
      </c>
      <c r="J14" s="1021">
        <f>(VLOOKUP(YEAR($A14),'NY East Load Projections'!$A$4:$EO$14,((MONTH($A14)-1)*12)+VLOOKUP(J$4,$DE$6:$DF$17,2)+1))*(VLOOKUP($A14,CURVES!$D$9:$K$261,7))*(INDEX(DailyScalarsTable,J$5/100,MONTH($A14)))*$B14</f>
        <v>-28154.380648039438</v>
      </c>
      <c r="K14" s="1021">
        <f>(VLOOKUP(YEAR($A14),'NY East Load Projections'!$A$4:$EO$14,((MONTH($A14)-1)*12)+VLOOKUP(K$4,$DE$6:$DF$17,2)+1))*(VLOOKUP($A14,CURVES!$D$9:$K$261,7))*(INDEX(DailyScalarsTable,K$5/100,MONTH($A14)))*$B14</f>
        <v>-28571.611358476584</v>
      </c>
      <c r="L14" s="1021">
        <f>(VLOOKUP(YEAR($A14),'NY East Load Projections'!$A$4:$EO$14,((MONTH($A14)-1)*12)+VLOOKUP(L$4,$DE$6:$DF$17,2)+1))*(VLOOKUP($A14,CURVES!$D$9:$K$261,7))*(INDEX(DailyScalarsTable,L$5/100,MONTH($A14)))*$B14</f>
        <v>-31858.454196150335</v>
      </c>
      <c r="M14" s="1021">
        <f>(VLOOKUP(YEAR($A14),'NY East Load Projections'!$A$4:$EO$14,((MONTH($A14)-1)*12)+VLOOKUP(M$4,$DE$6:$DF$17,2)+1))*(VLOOKUP($A14,CURVES!$D$9:$K$261,7))*(INDEX(DailyScalarsTable,M$5/100,MONTH($A14)))*$B14</f>
        <v>-36867.475735020962</v>
      </c>
      <c r="N14" s="1021">
        <f>(VLOOKUP(YEAR($A14),'NY East Load Projections'!$A$4:$EO$14,((MONTH($A14)-1)*12)+VLOOKUP(N$4,$DE$6:$DF$17,2)+1))*(VLOOKUP($A14,CURVES!$D$9:$K$261,7))*(INDEX(DailyScalarsTable,N$5/100,MONTH($A14)))*$B14</f>
        <v>-50135.099094251782</v>
      </c>
      <c r="O14" s="1021">
        <f>(VLOOKUP(YEAR($A14),'NY East Load Projections'!$A$4:$EO$14,((MONTH($A14)-1)*12)+VLOOKUP(O$4,$DE$6:$DF$17,2)+1))*(VLOOKUP($A14,CURVES!$D$9:$K$261,3))*(INDEX(DailyScalarsTable,O$5/100,MONTH($A14)))*$B14</f>
        <v>-46156.989616464241</v>
      </c>
      <c r="P14" s="1021">
        <f>(VLOOKUP(YEAR($A14),'NY East Load Projections'!$A$4:$EO$14,((MONTH($A14)-1)*12)+VLOOKUP(P$4,$DE$6:$DF$17,2)+1))*(VLOOKUP($A14,CURVES!$D$9:$K$261,3))*(INDEX(DailyScalarsTable,P$5/100,MONTH($A14)))*$B14</f>
        <v>-47749.057436120362</v>
      </c>
      <c r="Q14" s="1021">
        <f>(VLOOKUP(YEAR($A14),'NY East Load Projections'!$A$4:$EO$14,((MONTH($A14)-1)*12)+VLOOKUP(Q$4,$DE$6:$DF$17,2)+1))*(VLOOKUP($A14,CURVES!$D$9:$K$261,3))*(INDEX(DailyScalarsTable,Q$5/100,MONTH($A14)))*$B14</f>
        <v>-59605.773452646856</v>
      </c>
      <c r="R14" s="1021">
        <f>(VLOOKUP(YEAR($A14),'NY East Load Projections'!$A$4:$EO$14,((MONTH($A14)-1)*12)+VLOOKUP(R$4,$DE$6:$DF$17,2)+1))*(VLOOKUP($A14,CURVES!$D$9:$K$261,3))*(INDEX(DailyScalarsTable,R$5/100,MONTH($A14)))*$B14</f>
        <v>-63656.204389969585</v>
      </c>
      <c r="S14" s="1021">
        <f>(VLOOKUP(YEAR($A14),'NY East Load Projections'!$A$4:$EO$14,((MONTH($A14)-1)*12)+VLOOKUP(S$4,$DE$6:$DF$17,2)+1))*(VLOOKUP($A14,CURVES!$D$9:$K$261,3))*(INDEX(DailyScalarsTable,S$5/100,MONTH($A14)))*$B14</f>
        <v>-67826.30715044048</v>
      </c>
      <c r="T14" s="1021">
        <f>(VLOOKUP(YEAR($A14),'NY East Load Projections'!$A$4:$EO$14,((MONTH($A14)-1)*12)+VLOOKUP(T$4,$DE$6:$DF$17,2)+1))*(VLOOKUP($A14,CURVES!$D$9:$K$261,3))*(INDEX(DailyScalarsTable,T$5/100,MONTH($A14)))*$B14</f>
        <v>-64668.453324090406</v>
      </c>
      <c r="U14" s="1021">
        <f>(VLOOKUP(YEAR($A14),'NY East Load Projections'!$A$4:$EO$14,((MONTH($A14)-1)*12)+VLOOKUP(U$4,$DE$6:$DF$17,2)+1))*(VLOOKUP($A14,CURVES!$D$9:$K$261,3))*(INDEX(DailyScalarsTable,U$5/100,MONTH($A14)))*$B14</f>
        <v>-70005.665992577837</v>
      </c>
      <c r="V14" s="1021">
        <f>(VLOOKUP(YEAR($A14),'NY East Load Projections'!$A$4:$EO$14,((MONTH($A14)-1)*12)+VLOOKUP(V$4,$DE$6:$DF$17,2)+1))*(VLOOKUP($A14,CURVES!$D$9:$K$261,3))*(INDEX(DailyScalarsTable,V$5/100,MONTH($A14)))*$B14</f>
        <v>-68901.0950229257</v>
      </c>
      <c r="W14" s="1021">
        <f>(VLOOKUP(YEAR($A14),'NY East Load Projections'!$A$4:$EO$14,((MONTH($A14)-1)*12)+VLOOKUP(W$4,$DE$6:$DF$17,2)+1))*(VLOOKUP($A14,CURVES!$D$9:$K$261,3))*(INDEX(DailyScalarsTable,W$5/100,MONTH($A14)))*$B14</f>
        <v>-66747.64573755335</v>
      </c>
      <c r="X14" s="1021">
        <f>(VLOOKUP(YEAR($A14),'NY East Load Projections'!$A$4:$EO$14,((MONTH($A14)-1)*12)+VLOOKUP(X$4,$DE$6:$DF$17,2)+1))*(VLOOKUP($A14,CURVES!$D$9:$K$261,3))*(INDEX(DailyScalarsTable,X$5/100,MONTH($A14)))*$B14</f>
        <v>-69422.564482950125</v>
      </c>
      <c r="Y14" s="1021">
        <f>(VLOOKUP(YEAR($A14),'NY East Load Projections'!$A$4:$EO$14,((MONTH($A14)-1)*12)+VLOOKUP(Y$4,$DE$6:$DF$17,2)+1))*(VLOOKUP($A14,CURVES!$D$9:$K$261,3))*(INDEX(DailyScalarsTable,Y$5/100,MONTH($A14)))*$B14</f>
        <v>-67719.493178655655</v>
      </c>
      <c r="Z14" s="1021">
        <f>(VLOOKUP(YEAR($A14),'NY East Load Projections'!$A$4:$EO$14,((MONTH($A14)-1)*12)+VLOOKUP(Z$4,$DE$6:$DF$17,2)+1))*(VLOOKUP($A14,CURVES!$D$9:$K$261,3))*(INDEX(DailyScalarsTable,Z$5/100,MONTH($A14)))*$B14</f>
        <v>-55466.343320916101</v>
      </c>
      <c r="AA14" s="1021">
        <f>(VLOOKUP(YEAR($A14),'NY East Load Projections'!$A$4:$EO$14,((MONTH($A14)-1)*12)+VLOOKUP(AA$4,$DE$6:$DF$17,2)+1))*(VLOOKUP($A14,CURVES!$D$9:$K$261,3))*(INDEX(DailyScalarsTable,AA$5/100,MONTH($A14)))*$B14</f>
        <v>-72488.092830680122</v>
      </c>
      <c r="AB14" s="1021">
        <f>(VLOOKUP(YEAR($A14),'NY East Load Projections'!$A$4:$EO$14,((MONTH($A14)-1)*12)+VLOOKUP(AB$4,$DE$6:$DF$17,2)+1))*(VLOOKUP($A14,CURVES!$D$9:$K$261,3))*(INDEX(DailyScalarsTable,AB$5/100,MONTH($A14)))*$B14</f>
        <v>-69796.684608330324</v>
      </c>
      <c r="AC14" s="1021">
        <f>(VLOOKUP(YEAR($A14),'NY East Load Projections'!$A$4:$EO$14,((MONTH($A14)-1)*12)+VLOOKUP(AC$4,$DE$6:$DF$17,2)+1))*(VLOOKUP($A14,CURVES!$D$9:$K$261,3))*(INDEX(DailyScalarsTable,AC$5/100,MONTH($A14)))*$B14</f>
        <v>-53122.176193193256</v>
      </c>
      <c r="AD14" s="1021">
        <f>(VLOOKUP(YEAR($A14),'NY East Load Projections'!$A$4:$EO$14,((MONTH($A14)-1)*12)+VLOOKUP(AD$4,$DE$6:$DF$17,2)+1))*(VLOOKUP($A14,CURVES!$D$9:$K$261,3))*(INDEX(DailyScalarsTable,AD$5/100,MONTH($A14)))*$B14</f>
        <v>-42097.141881747433</v>
      </c>
      <c r="AE14" s="1021">
        <f>(VLOOKUP(YEAR($A14),'NY East Load Projections'!$A$4:$EO$14,((MONTH($A14)-1)*12)+VLOOKUP(AE$4,$DE$6:$DF$17,2)+1))*(VLOOKUP($A14,CURVES!$D$9:$K$261,7))*(INDEX(DailyScalarsTable,AE$5/100,MONTH($A14)))*$B14</f>
        <v>-39246.844922118027</v>
      </c>
      <c r="AF14" s="1021"/>
      <c r="AG14" s="1021">
        <f>(VLOOKUP(YEAR($A14),'NY East Load Projections'!$A$4:$EO$14,((MONTH($A14)-1)*12)+VLOOKUP(AG$4,$DE$6:$DF$17,2)+1))*(VLOOKUP($A14,CURVES!$D$9:$T$261,7))*(INDEX(DailyScalarsTable,AG$5/100,MONTH($A14)))*$C14</f>
        <v>-9135.3858640261224</v>
      </c>
      <c r="AH14" s="1021">
        <f>(VLOOKUP(YEAR($A14),'NY East Load Projections'!$A$4:$EO$14,((MONTH($A14)-1)*12)+VLOOKUP(AH$4,$DE$6:$DF$17,2)+1))*(VLOOKUP($A14,CURVES!$D$9:$T$261,7))*(INDEX(DailyScalarsTable,AH$5/100,MONTH($A14)))*$C14</f>
        <v>-8014.636213956368</v>
      </c>
      <c r="AI14" s="1021">
        <f>(VLOOKUP(YEAR($A14),'NY East Load Projections'!$A$4:$EO$14,((MONTH($A14)-1)*12)+VLOOKUP(AI$4,$DE$6:$DF$17,2)+1))*(VLOOKUP($A14,CURVES!$D$9:$T$261,7))*(INDEX(DailyScalarsTable,AI$5/100,MONTH($A14)))*$C14</f>
        <v>-7515.7517941530641</v>
      </c>
      <c r="AJ14" s="1021">
        <f>(VLOOKUP(YEAR($A14),'NY East Load Projections'!$A$4:$EO$14,((MONTH($A14)-1)*12)+VLOOKUP(AJ$4,$DE$6:$DF$17,2)+1))*(VLOOKUP($A14,CURVES!$D$9:$T$261,7))*(INDEX(DailyScalarsTable,AJ$5/100,MONTH($A14)))*$C14</f>
        <v>-7627.1306413649663</v>
      </c>
      <c r="AK14" s="1021">
        <f>(VLOOKUP(YEAR($A14),'NY East Load Projections'!$A$4:$EO$14,((MONTH($A14)-1)*12)+VLOOKUP(AK$4,$DE$6:$DF$17,2)+1))*(VLOOKUP($A14,CURVES!$D$9:$T$261,7))*(INDEX(DailyScalarsTable,AK$5/100,MONTH($A14)))*$C14</f>
        <v>-8312.1958617130094</v>
      </c>
      <c r="AL14" s="1021">
        <f>(VLOOKUP(YEAR($A14),'NY East Load Projections'!$A$4:$EO$14,((MONTH($A14)-1)*12)+VLOOKUP(AL$4,$DE$6:$DF$17,2)+1))*(VLOOKUP($A14,CURVES!$D$9:$T$261,7))*(INDEX(DailyScalarsTable,AL$5/100,MONTH($A14)))*$C14</f>
        <v>-9619.1007055664504</v>
      </c>
      <c r="AM14" s="1021">
        <f>(VLOOKUP(YEAR($A14),'NY East Load Projections'!$A$4:$EO$14,((MONTH($A14)-1)*12)+VLOOKUP(AM$4,$DE$6:$DF$17,2)+1))*(VLOOKUP($A14,CURVES!$D$9:$T$261,7))*(INDEX(DailyScalarsTable,AM$5/100,MONTH($A14)))*$C14</f>
        <v>-13080.75905541481</v>
      </c>
      <c r="AN14" s="1021">
        <f>(VLOOKUP(YEAR($A14),'NY East Load Projections'!$A$4:$EO$14,((MONTH($A14)-1)*12)+VLOOKUP(AN$4,$DE$6:$DF$17,2)+1))*(VLOOKUP($A14,SatSunCurve,3))*(INDEX(DailyScalarsTable,AN$5/100,MONTH($A14)))*$C14</f>
        <v>-8270.0085647052656</v>
      </c>
      <c r="AO14" s="1021">
        <f>(VLOOKUP(YEAR($A14),'NY East Load Projections'!$A$4:$EO$14,((MONTH($A14)-1)*12)+VLOOKUP(AO$4,$DE$6:$DF$17,2)+1))*(VLOOKUP($A14,SatSunCurve,3))*(INDEX(DailyScalarsTable,AO$5/100,MONTH($A14)))*$C14</f>
        <v>-8728.3305599258674</v>
      </c>
      <c r="AP14" s="1021">
        <f>(VLOOKUP(YEAR($A14),'NY East Load Projections'!$A$4:$EO$14,((MONTH($A14)-1)*12)+VLOOKUP(AP$4,$DE$6:$DF$17,2)+1))*(VLOOKUP($A14,SatSunCurve,3))*(INDEX(DailyScalarsTable,AP$5/100,MONTH($A14)))*$C14</f>
        <v>-10895.689295454014</v>
      </c>
      <c r="AQ14" s="1021">
        <f>(VLOOKUP(YEAR($A14),'NY East Load Projections'!$A$4:$EO$14,((MONTH($A14)-1)*12)+VLOOKUP(AQ$4,$DE$6:$DF$17,2)+1))*(VLOOKUP($A14,SatSunCurve,3))*(INDEX(DailyScalarsTable,AQ$5/100,MONTH($A14)))*$C14</f>
        <v>-11636.091347963631</v>
      </c>
      <c r="AR14" s="1021">
        <f>(VLOOKUP(YEAR($A14),'NY East Load Projections'!$A$4:$EO$14,((MONTH($A14)-1)*12)+VLOOKUP(AR$4,$DE$6:$DF$17,2)+1))*(VLOOKUP($A14,SatSunCurve,3))*(INDEX(DailyScalarsTable,AR$5/100,MONTH($A14)))*$C14</f>
        <v>-12398.368915661033</v>
      </c>
      <c r="AS14" s="1021">
        <f>(VLOOKUP(YEAR($A14),'NY East Load Projections'!$A$4:$EO$14,((MONTH($A14)-1)*12)+VLOOKUP(AS$4,$DE$6:$DF$17,2)+1))*(VLOOKUP($A14,SatSunCurve,3))*(INDEX(DailyScalarsTable,AS$5/100,MONTH($A14)))*$C14</f>
        <v>-11932.565036432643</v>
      </c>
      <c r="AT14" s="1021">
        <f>(VLOOKUP(YEAR($A14),'NY East Load Projections'!$A$4:$EO$14,((MONTH($A14)-1)*12)+VLOOKUP(AT$4,$DE$6:$DF$17,2)+1))*(VLOOKUP($A14,SatSunCurve,3))*(INDEX(DailyScalarsTable,AT$5/100,MONTH($A14)))*$C14</f>
        <v>-12917.382733568966</v>
      </c>
      <c r="AU14" s="1021">
        <f>(VLOOKUP(YEAR($A14),'NY East Load Projections'!$A$4:$EO$14,((MONTH($A14)-1)*12)+VLOOKUP(AU$4,$DE$6:$DF$17,2)+1))*(VLOOKUP($A14,SatSunCurve,3))*(INDEX(DailyScalarsTable,AU$5/100,MONTH($A14)))*$C14</f>
        <v>-12713.568288422499</v>
      </c>
      <c r="AV14" s="1021">
        <f>(VLOOKUP(YEAR($A14),'NY East Load Projections'!$A$4:$EO$14,((MONTH($A14)-1)*12)+VLOOKUP(AV$4,$DE$6:$DF$17,2)+1))*(VLOOKUP($A14,SatSunCurve,3))*(INDEX(DailyScalarsTable,AV$5/100,MONTH($A14)))*$C14</f>
        <v>-12316.215756708361</v>
      </c>
      <c r="AW14" s="1021">
        <f>(VLOOKUP(YEAR($A14),'NY East Load Projections'!$A$4:$EO$14,((MONTH($A14)-1)*12)+VLOOKUP(AW$4,$DE$6:$DF$17,2)+1))*(VLOOKUP($A14,SatSunCurve,3))*(INDEX(DailyScalarsTable,AW$5/100,MONTH($A14)))*$C14</f>
        <v>-12848.450224072203</v>
      </c>
      <c r="AX14" s="1021">
        <f>(VLOOKUP(YEAR($A14),'NY East Load Projections'!$A$4:$EO$14,((MONTH($A14)-1)*12)+VLOOKUP(AX$4,$DE$6:$DF$17,2)+1))*(VLOOKUP($A14,SatSunCurve,3))*(INDEX(DailyScalarsTable,AX$5/100,MONTH($A14)))*$C14</f>
        <v>-12533.252607213104</v>
      </c>
      <c r="AY14" s="1021">
        <f>(VLOOKUP(YEAR($A14),'NY East Load Projections'!$A$4:$EO$14,((MONTH($A14)-1)*12)+VLOOKUP(AY$4,$DE$6:$DF$17,2)+1))*(VLOOKUP($A14,SatSunCurve,3))*(INDEX(DailyScalarsTable,AY$5/100,MONTH($A14)))*$C14</f>
        <v>-10265.488700653166</v>
      </c>
      <c r="AZ14" s="1021">
        <f>(VLOOKUP(YEAR($A14),'NY East Load Projections'!$A$4:$EO$14,((MONTH($A14)-1)*12)+VLOOKUP(AZ$4,$DE$6:$DF$17,2)+1))*(VLOOKUP($A14,SatSunCurve,3))*(INDEX(DailyScalarsTable,AZ$5/100,MONTH($A14)))*$C14</f>
        <v>-13415.805934418579</v>
      </c>
      <c r="BA14" s="1021">
        <f>(VLOOKUP(YEAR($A14),'NY East Load Projections'!$A$4:$EO$14,((MONTH($A14)-1)*12)+VLOOKUP(BA$4,$DE$6:$DF$17,2)+1))*(VLOOKUP($A14,SatSunCurve,3))*(INDEX(DailyScalarsTable,BA$5/100,MONTH($A14)))*$C14</f>
        <v>-13112.837567045701</v>
      </c>
      <c r="BB14" s="1021">
        <f>(VLOOKUP(YEAR($A14),'NY East Load Projections'!$A$4:$EO$14,((MONTH($A14)-1)*12)+VLOOKUP(BB$4,$DE$6:$DF$17,2)+1))*(VLOOKUP($A14,SatSunCurve,3))*(INDEX(DailyScalarsTable,BB$5/100,MONTH($A14)))*$C14</f>
        <v>-9980.1655556886926</v>
      </c>
      <c r="BC14" s="1021">
        <f>(VLOOKUP(YEAR($A14),'NY East Load Projections'!$A$4:$EO$14,((MONTH($A14)-1)*12)+VLOOKUP(BC$4,$DE$6:$DF$17,2)+1))*(VLOOKUP($A14,SatSunCurve,3))*(INDEX(DailyScalarsTable,BC$5/100,MONTH($A14)))*$C14</f>
        <v>-7908.8711251816003</v>
      </c>
      <c r="BD14" s="1021">
        <f>(VLOOKUP(YEAR($A14),'NY East Load Projections'!$A$4:$EO$14,((MONTH($A14)-1)*12)+VLOOKUP(BD$4,$DE$6:$DF$17,2)+1))*(VLOOKUP($A14,CURVES!$D$9:$T$261,7))*(INDEX(DailyScalarsTable,BD$5/100,MONTH($A14)))*$C14</f>
        <v>-10737.154991972891</v>
      </c>
      <c r="BE14" s="1021"/>
      <c r="BF14" s="1021">
        <f>(VLOOKUP(YEAR($A14),'NY East Load Projections'!$A$4:$EO$14,((MONTH($A14)-1)*12)+VLOOKUP(BF$4,$DE$6:$DF$17,2)+1))*(VLOOKUP($A14,CURVES!$D$9:$T$261,7))*(INDEX(DailyScalarsTable,BF$5/100,MONTH($A14)))*$D14</f>
        <v>-9135.3858640261224</v>
      </c>
      <c r="BG14" s="1021">
        <f>(VLOOKUP(YEAR($A14),'NY East Load Projections'!$A$4:$EO$14,((MONTH($A14)-1)*12)+VLOOKUP(BG$4,$DE$6:$DF$17,2)+1))*(VLOOKUP($A14,CURVES!$D$9:$T$261,7))*(INDEX(DailyScalarsTable,BG$5/100,MONTH($A14)))*$D14</f>
        <v>-8014.636213956368</v>
      </c>
      <c r="BH14" s="1021">
        <f>(VLOOKUP(YEAR($A14),'NY East Load Projections'!$A$4:$EO$14,((MONTH($A14)-1)*12)+VLOOKUP(BH$4,$DE$6:$DF$17,2)+1))*(VLOOKUP($A14,CURVES!$D$9:$T$261,7))*(INDEX(DailyScalarsTable,BH$5/100,MONTH($A14)))*$D14</f>
        <v>-7515.7517941530641</v>
      </c>
      <c r="BI14" s="1021">
        <f>(VLOOKUP(YEAR($A14),'NY East Load Projections'!$A$4:$EO$14,((MONTH($A14)-1)*12)+VLOOKUP(BI$4,$DE$6:$DF$17,2)+1))*(VLOOKUP($A14,CURVES!$D$9:$T$261,7))*(INDEX(DailyScalarsTable,BI$5/100,MONTH($A14)))*$D14</f>
        <v>-7627.1306413649663</v>
      </c>
      <c r="BJ14" s="1021">
        <f>(VLOOKUP(YEAR($A14),'NY East Load Projections'!$A$4:$EO$14,((MONTH($A14)-1)*12)+VLOOKUP(BJ$4,$DE$6:$DF$17,2)+1))*(VLOOKUP($A14,CURVES!$D$9:$T$261,7))*(INDEX(DailyScalarsTable,BJ$5/100,MONTH($A14)))*$D14</f>
        <v>-8312.1958617130094</v>
      </c>
      <c r="BK14" s="1021">
        <f>(VLOOKUP(YEAR($A14),'NY East Load Projections'!$A$4:$EO$14,((MONTH($A14)-1)*12)+VLOOKUP(BK$4,$DE$6:$DF$17,2)+1))*(VLOOKUP($A14,CURVES!$D$9:$T$261,7))*(INDEX(DailyScalarsTable,BK$5/100,MONTH($A14)))*$D14</f>
        <v>-9619.1007055664504</v>
      </c>
      <c r="BL14" s="1021">
        <f>(VLOOKUP(YEAR($A14),'NY East Load Projections'!$A$4:$EO$14,((MONTH($A14)-1)*12)+VLOOKUP(BL$4,$DE$6:$DF$17,2)+1))*(VLOOKUP($A14,CURVES!$D$9:$T$261,7))*(INDEX(DailyScalarsTable,BL$5/100,MONTH($A14)))*$D14</f>
        <v>-13080.75905541481</v>
      </c>
      <c r="BM14" s="1021">
        <f>(VLOOKUP(YEAR($A14),'NY East Load Projections'!$A$4:$EO$14,((MONTH($A14)-1)*12)+VLOOKUP(BM$4,$DE$6:$DF$17,2)+1))*(VLOOKUP($A14,SatSunCurve,7))*(INDEX(DailyScalarsTable,BM$5/100,MONTH($A14)))*$D14</f>
        <v>-8447.9551558521998</v>
      </c>
      <c r="BN14" s="1021">
        <f>(VLOOKUP(YEAR($A14),'NY East Load Projections'!$A$4:$EO$14,((MONTH($A14)-1)*12)+VLOOKUP(BN$4,$DE$6:$DF$17,2)+1))*(VLOOKUP($A14,SatSunCurve,7))*(INDEX(DailyScalarsTable,BN$5/100,MONTH($A14)))*$D14</f>
        <v>-8916.1389107141695</v>
      </c>
      <c r="BO14" s="1021">
        <f>(VLOOKUP(YEAR($A14),'NY East Load Projections'!$A$4:$EO$14,((MONTH($A14)-1)*12)+VLOOKUP(BO$4,$DE$6:$DF$17,2)+1))*(VLOOKUP($A14,SatSunCurve,7))*(INDEX(DailyScalarsTable,BO$5/100,MONTH($A14)))*$D14</f>
        <v>-11130.132918232935</v>
      </c>
      <c r="BP14" s="1021">
        <f>(VLOOKUP(YEAR($A14),'NY East Load Projections'!$A$4:$EO$14,((MONTH($A14)-1)*12)+VLOOKUP(BP$4,$DE$6:$DF$17,2)+1))*(VLOOKUP($A14,SatSunCurve,7))*(INDEX(DailyScalarsTable,BP$5/100,MONTH($A14)))*$D14</f>
        <v>-11886.466274838724</v>
      </c>
      <c r="BQ14" s="1021">
        <f>(VLOOKUP(YEAR($A14),'NY East Load Projections'!$A$4:$EO$14,((MONTH($A14)-1)*12)+VLOOKUP(BQ$4,$DE$6:$DF$17,2)+1))*(VLOOKUP($A14,SatSunCurve,7))*(INDEX(DailyScalarsTable,BQ$5/100,MONTH($A14)))*$D14</f>
        <v>-12665.145844253322</v>
      </c>
      <c r="BR14" s="1021">
        <f>(VLOOKUP(YEAR($A14),'NY East Load Projections'!$A$4:$EO$14,((MONTH($A14)-1)*12)+VLOOKUP(BR$4,$DE$6:$DF$17,2)+1))*(VLOOKUP($A14,SatSunCurve,7))*(INDEX(DailyScalarsTable,BR$5/100,MONTH($A14)))*$D14</f>
        <v>-12189.319216946355</v>
      </c>
      <c r="BS14" s="1021">
        <f>(VLOOKUP(YEAR($A14),'NY East Load Projections'!$A$4:$EO$14,((MONTH($A14)-1)*12)+VLOOKUP(BS$4,$DE$6:$DF$17,2)+1))*(VLOOKUP($A14,SatSunCurve,7))*(INDEX(DailyScalarsTable,BS$5/100,MONTH($A14)))*$D14</f>
        <v>-13195.327333746145</v>
      </c>
      <c r="BT14" s="1021">
        <f>(VLOOKUP(YEAR($A14),'NY East Load Projections'!$A$4:$EO$14,((MONTH($A14)-1)*12)+VLOOKUP(BT$4,$DE$6:$DF$17,2)+1))*(VLOOKUP($A14,SatSunCurve,7))*(INDEX(DailyScalarsTable,BT$5/100,MONTH($A14)))*$D14</f>
        <v>-12987.127393051935</v>
      </c>
      <c r="BU14" s="1021">
        <f>(VLOOKUP(YEAR($A14),'NY East Load Projections'!$A$4:$EO$14,((MONTH($A14)-1)*12)+VLOOKUP(BU$4,$DE$6:$DF$17,2)+1))*(VLOOKUP($A14,SatSunCurve,7))*(INDEX(DailyScalarsTable,BU$5/100,MONTH($A14)))*$D14</f>
        <v>-12581.224987664886</v>
      </c>
      <c r="BV14" s="1021">
        <f>(VLOOKUP(YEAR($A14),'NY East Load Projections'!$A$4:$EO$14,((MONTH($A14)-1)*12)+VLOOKUP(BV$4,$DE$6:$DF$17,2)+1))*(VLOOKUP($A14,SatSunCurve,7))*(INDEX(DailyScalarsTable,BV$5/100,MONTH($A14)))*$D14</f>
        <v>-13124.911596633818</v>
      </c>
      <c r="BW14" s="1021">
        <f>(VLOOKUP(YEAR($A14),'NY East Load Projections'!$A$4:$EO$14,((MONTH($A14)-1)*12)+VLOOKUP(BW$4,$DE$6:$DF$17,2)+1))*(VLOOKUP($A14,SatSunCurve,7))*(INDEX(DailyScalarsTable,BW$5/100,MONTH($A14)))*$D14</f>
        <v>-12802.931841519494</v>
      </c>
      <c r="BX14" s="1021">
        <f>(VLOOKUP(YEAR($A14),'NY East Load Projections'!$A$4:$EO$14,((MONTH($A14)-1)*12)+VLOOKUP(BX$4,$DE$6:$DF$17,2)+1))*(VLOOKUP($A14,SatSunCurve,7))*(INDEX(DailyScalarsTable,BX$5/100,MONTH($A14)))*$D14</f>
        <v>-10486.372234986447</v>
      </c>
      <c r="BY14" s="1021">
        <f>(VLOOKUP(YEAR($A14),'NY East Load Projections'!$A$4:$EO$14,((MONTH($A14)-1)*12)+VLOOKUP(BY$4,$DE$6:$DF$17,2)+1))*(VLOOKUP($A14,SatSunCurve,7))*(INDEX(DailyScalarsTable,BY$5/100,MONTH($A14)))*$D14</f>
        <v>-13704.475155839595</v>
      </c>
      <c r="BZ14" s="1021">
        <f>(VLOOKUP(YEAR($A14),'NY East Load Projections'!$A$4:$EO$14,((MONTH($A14)-1)*12)+VLOOKUP(BZ$4,$DE$6:$DF$17,2)+1))*(VLOOKUP($A14,SatSunCurve,7))*(INDEX(DailyScalarsTable,BZ$5/100,MONTH($A14)))*$D14</f>
        <v>-13394.987788180617</v>
      </c>
      <c r="CA14" s="1021">
        <f>(VLOOKUP(YEAR($A14),'NY East Load Projections'!$A$4:$EO$14,((MONTH($A14)-1)*12)+VLOOKUP(CA$4,$DE$6:$DF$17,2)+1))*(VLOOKUP($A14,SatSunCurve,7))*(INDEX(DailyScalarsTable,CA$5/100,MONTH($A14)))*$D14</f>
        <v>-10194.909763729322</v>
      </c>
      <c r="CB14" s="1021">
        <f>(VLOOKUP(YEAR($A14),'NY East Load Projections'!$A$4:$EO$14,((MONTH($A14)-1)*12)+VLOOKUP(CB$4,$DE$6:$DF$17,2)+1))*(VLOOKUP($A14,SatSunCurve,7))*(INDEX(DailyScalarsTable,CB$5/100,MONTH($A14)))*$D14</f>
        <v>-8079.0470863713872</v>
      </c>
      <c r="CC14" s="1021">
        <f>(VLOOKUP(YEAR($A14),'NY East Load Projections'!$A$4:$EO$14,((MONTH($A14)-1)*12)+VLOOKUP(CC$4,$DE$6:$DF$17,2)+1))*(VLOOKUP($A14,CURVES!$D$9:$T$261,7))*(INDEX(DailyScalarsTable,CC$5/100,MONTH($A14)))*$D14</f>
        <v>-10737.154991972891</v>
      </c>
      <c r="CE14" s="1021">
        <f>(VLOOKUP(YEAR($A14),'NY East Load Projections'!$A$4:$EO$14,((MONTH($A14)-1)*12)+VLOOKUP(CE$4,$DE$6:$DF$17,2)+1))*(VLOOKUP($A14,CURVES!$D$9:$T$261,7))*(INDEX(DailyScalarsTable,CE$5/100,MONTH($A14)))*$E14</f>
        <v>-1827.0771728052243</v>
      </c>
      <c r="CF14" s="1021">
        <f>(VLOOKUP(YEAR($A14),'NY East Load Projections'!$A$4:$EO$14,((MONTH($A14)-1)*12)+VLOOKUP(CF$4,$DE$6:$DF$17,2)+1))*(VLOOKUP($A14,CURVES!$D$9:$T$261,7))*(INDEX(DailyScalarsTable,CF$5/100,MONTH($A14)))*$E14</f>
        <v>-1602.9272427912736</v>
      </c>
      <c r="CG14" s="1021">
        <f>(VLOOKUP(YEAR($A14),'NY East Load Projections'!$A$4:$EO$14,((MONTH($A14)-1)*12)+VLOOKUP(CG$4,$DE$6:$DF$17,2)+1))*(VLOOKUP($A14,CURVES!$D$9:$T$261,7))*(INDEX(DailyScalarsTable,CG$5/100,MONTH($A14)))*$E14</f>
        <v>-1503.1503588306127</v>
      </c>
      <c r="CH14" s="1021">
        <f>(VLOOKUP(YEAR($A14),'NY East Load Projections'!$A$4:$EO$14,((MONTH($A14)-1)*12)+VLOOKUP(CH$4,$DE$6:$DF$17,2)+1))*(VLOOKUP($A14,CURVES!$D$9:$T$261,7))*(INDEX(DailyScalarsTable,CH$5/100,MONTH($A14)))*$E14</f>
        <v>-1525.4261282729933</v>
      </c>
      <c r="CI14" s="1021">
        <f>(VLOOKUP(YEAR($A14),'NY East Load Projections'!$A$4:$EO$14,((MONTH($A14)-1)*12)+VLOOKUP(CI$4,$DE$6:$DF$17,2)+1))*(VLOOKUP($A14,CURVES!$D$9:$T$261,7))*(INDEX(DailyScalarsTable,CI$5/100,MONTH($A14)))*$E14</f>
        <v>-1662.439172342602</v>
      </c>
      <c r="CJ14" s="1021">
        <f>(VLOOKUP(YEAR($A14),'NY East Load Projections'!$A$4:$EO$14,((MONTH($A14)-1)*12)+VLOOKUP(CJ$4,$DE$6:$DF$17,2)+1))*(VLOOKUP($A14,CURVES!$D$9:$T$261,7))*(INDEX(DailyScalarsTable,CJ$5/100,MONTH($A14)))*$E14</f>
        <v>-1923.82014111329</v>
      </c>
      <c r="CK14" s="1021">
        <f>(VLOOKUP(YEAR($A14),'NY East Load Projections'!$A$4:$EO$14,((MONTH($A14)-1)*12)+VLOOKUP(CK$4,$DE$6:$DF$17,2)+1))*(VLOOKUP($A14,CURVES!$D$9:$T$261,7))*(INDEX(DailyScalarsTable,CK$5/100,MONTH($A14)))*$E14</f>
        <v>-2616.151811082962</v>
      </c>
      <c r="CL14" s="1021">
        <f>(VLOOKUP(YEAR($A14),'NY East Load Projections'!$A$4:$EO$14,((MONTH($A14)-1)*12)+VLOOKUP(CL$4,$DE$6:$DF$17,2)+1))*(VLOOKUP($A14,SatSunCurve,7))*(INDEX(DailyScalarsTable,CL$5/100,MONTH($A14)))*$E14</f>
        <v>-1689.5910311704401</v>
      </c>
      <c r="CM14" s="1021">
        <f>(VLOOKUP(YEAR($A14),'NY East Load Projections'!$A$4:$EO$14,((MONTH($A14)-1)*12)+VLOOKUP(CM$4,$DE$6:$DF$17,2)+1))*(VLOOKUP($A14,SatSunCurve,7))*(INDEX(DailyScalarsTable,CM$5/100,MONTH($A14)))*$E14</f>
        <v>-1783.2277821428338</v>
      </c>
      <c r="CN14" s="1021">
        <f>(VLOOKUP(YEAR($A14),'NY East Load Projections'!$A$4:$EO$14,((MONTH($A14)-1)*12)+VLOOKUP(CN$4,$DE$6:$DF$17,2)+1))*(VLOOKUP($A14,SatSunCurve,7))*(INDEX(DailyScalarsTable,CN$5/100,MONTH($A14)))*$E14</f>
        <v>-2226.0265836465869</v>
      </c>
      <c r="CO14" s="1021">
        <f>(VLOOKUP(YEAR($A14),'NY East Load Projections'!$A$4:$EO$14,((MONTH($A14)-1)*12)+VLOOKUP(CO$4,$DE$6:$DF$17,2)+1))*(VLOOKUP($A14,SatSunCurve,7))*(INDEX(DailyScalarsTable,CO$5/100,MONTH($A14)))*$E14</f>
        <v>-2377.2932549677448</v>
      </c>
      <c r="CP14" s="1021">
        <f>(VLOOKUP(YEAR($A14),'NY East Load Projections'!$A$4:$EO$14,((MONTH($A14)-1)*12)+VLOOKUP(CP$4,$DE$6:$DF$17,2)+1))*(VLOOKUP($A14,SatSunCurve,7))*(INDEX(DailyScalarsTable,CP$5/100,MONTH($A14)))*$E14</f>
        <v>-2533.0291688506645</v>
      </c>
      <c r="CQ14" s="1021">
        <f>(VLOOKUP(YEAR($A14),'NY East Load Projections'!$A$4:$EO$14,((MONTH($A14)-1)*12)+VLOOKUP(CQ$4,$DE$6:$DF$17,2)+1))*(VLOOKUP($A14,SatSunCurve,7))*(INDEX(DailyScalarsTable,CQ$5/100,MONTH($A14)))*$E14</f>
        <v>-2437.8638433892711</v>
      </c>
      <c r="CR14" s="1021">
        <f>(VLOOKUP(YEAR($A14),'NY East Load Projections'!$A$4:$EO$14,((MONTH($A14)-1)*12)+VLOOKUP(CR$4,$DE$6:$DF$17,2)+1))*(VLOOKUP($A14,SatSunCurve,7))*(INDEX(DailyScalarsTable,CR$5/100,MONTH($A14)))*$E14</f>
        <v>-2639.065466749229</v>
      </c>
      <c r="CS14" s="1021">
        <f>(VLOOKUP(YEAR($A14),'NY East Load Projections'!$A$4:$EO$14,((MONTH($A14)-1)*12)+VLOOKUP(CS$4,$DE$6:$DF$17,2)+1))*(VLOOKUP($A14,SatSunCurve,7))*(INDEX(DailyScalarsTable,CS$5/100,MONTH($A14)))*$E14</f>
        <v>-2597.425478610387</v>
      </c>
      <c r="CT14" s="1021">
        <f>(VLOOKUP(YEAR($A14),'NY East Load Projections'!$A$4:$EO$14,((MONTH($A14)-1)*12)+VLOOKUP(CT$4,$DE$6:$DF$17,2)+1))*(VLOOKUP($A14,SatSunCurve,7))*(INDEX(DailyScalarsTable,CT$5/100,MONTH($A14)))*$E14</f>
        <v>-2516.2449975329773</v>
      </c>
      <c r="CU14" s="1021">
        <f>(VLOOKUP(YEAR($A14),'NY East Load Projections'!$A$4:$EO$14,((MONTH($A14)-1)*12)+VLOOKUP(CU$4,$DE$6:$DF$17,2)+1))*(VLOOKUP($A14,SatSunCurve,7))*(INDEX(DailyScalarsTable,CU$5/100,MONTH($A14)))*$E14</f>
        <v>-2624.9823193267634</v>
      </c>
      <c r="CV14" s="1021">
        <f>(VLOOKUP(YEAR($A14),'NY East Load Projections'!$A$4:$EO$14,((MONTH($A14)-1)*12)+VLOOKUP(CV$4,$DE$6:$DF$17,2)+1))*(VLOOKUP($A14,SatSunCurve,7))*(INDEX(DailyScalarsTable,CV$5/100,MONTH($A14)))*$E14</f>
        <v>-2560.5863683038988</v>
      </c>
      <c r="CW14" s="1021">
        <f>(VLOOKUP(YEAR($A14),'NY East Load Projections'!$A$4:$EO$14,((MONTH($A14)-1)*12)+VLOOKUP(CW$4,$DE$6:$DF$17,2)+1))*(VLOOKUP($A14,SatSunCurve,7))*(INDEX(DailyScalarsTable,CW$5/100,MONTH($A14)))*$E14</f>
        <v>-2097.2744469972895</v>
      </c>
      <c r="CX14" s="1021">
        <f>(VLOOKUP(YEAR($A14),'NY East Load Projections'!$A$4:$EO$14,((MONTH($A14)-1)*12)+VLOOKUP(CX$4,$DE$6:$DF$17,2)+1))*(VLOOKUP($A14,SatSunCurve,7))*(INDEX(DailyScalarsTable,CX$5/100,MONTH($A14)))*$E14</f>
        <v>-2740.8950311679191</v>
      </c>
      <c r="CY14" s="1021">
        <f>(VLOOKUP(YEAR($A14),'NY East Load Projections'!$A$4:$EO$14,((MONTH($A14)-1)*12)+VLOOKUP(CY$4,$DE$6:$DF$17,2)+1))*(VLOOKUP($A14,SatSunCurve,7))*(INDEX(DailyScalarsTable,CY$5/100,MONTH($A14)))*$E14</f>
        <v>-2678.9975576361235</v>
      </c>
      <c r="CZ14" s="1021">
        <f>(VLOOKUP(YEAR($A14),'NY East Load Projections'!$A$4:$EO$14,((MONTH($A14)-1)*12)+VLOOKUP(CZ$4,$DE$6:$DF$17,2)+1))*(VLOOKUP($A14,SatSunCurve,7))*(INDEX(DailyScalarsTable,CZ$5/100,MONTH($A14)))*$E14</f>
        <v>-2038.9819527458642</v>
      </c>
      <c r="DA14" s="1021">
        <f>(VLOOKUP(YEAR($A14),'NY East Load Projections'!$A$4:$EO$14,((MONTH($A14)-1)*12)+VLOOKUP(DA$4,$DE$6:$DF$17,2)+1))*(VLOOKUP($A14,SatSunCurve,7))*(INDEX(DailyScalarsTable,DA$5/100,MONTH($A14)))*$E14</f>
        <v>-1615.8094172742774</v>
      </c>
      <c r="DB14" s="1021">
        <f>(VLOOKUP(YEAR($A14),'NY East Load Projections'!$A$4:$EO$14,((MONTH($A14)-1)*12)+VLOOKUP(DB$4,$DE$6:$DF$17,2)+1))*(VLOOKUP($A14,CURVES!$D$9:$T$261,7))*(INDEX(DailyScalarsTable,DB$5/100,MONTH($A14)))*$E14</f>
        <v>-2147.4309983945782</v>
      </c>
      <c r="DE14" s="221" t="s">
        <v>566</v>
      </c>
      <c r="DF14" s="619">
        <v>9</v>
      </c>
      <c r="DH14" s="1032">
        <f t="shared" si="0"/>
        <v>-1832217.9053723293</v>
      </c>
      <c r="DI14">
        <f ca="1">CALC!J34</f>
        <v>0.89458343599949186</v>
      </c>
      <c r="DJ14" s="1029">
        <f t="shared" ca="1" si="1"/>
        <v>-1639071.7892877702</v>
      </c>
    </row>
    <row r="15" spans="1:114" x14ac:dyDescent="0.25">
      <c r="A15" s="244">
        <v>37165</v>
      </c>
      <c r="B15" s="13">
        <v>23</v>
      </c>
      <c r="C15" s="210">
        <v>4</v>
      </c>
      <c r="D15" s="210">
        <v>4</v>
      </c>
      <c r="E15" s="210">
        <v>0</v>
      </c>
      <c r="F15" s="13">
        <v>31</v>
      </c>
      <c r="H15" s="1021">
        <f>(VLOOKUP(YEAR($A15),'NY East Load Projections'!$A$4:$EO$14,((MONTH($A15)-1)*12)+VLOOKUP(H$4,$DE$6:$DF$17,2)+1))*(VLOOKUP($A15,CURVES!$D$9:$K$261,7))*(INDEX(DailyScalarsTable,H$5/100,MONTH($A15)))*$B15</f>
        <v>-37278.487041453744</v>
      </c>
      <c r="I15" s="1021">
        <f>(VLOOKUP(YEAR($A15),'NY East Load Projections'!$A$4:$EO$14,((MONTH($A15)-1)*12)+VLOOKUP(I$4,$DE$6:$DF$17,2)+1))*(VLOOKUP($A15,CURVES!$D$9:$K$261,7))*(INDEX(DailyScalarsTable,I$5/100,MONTH($A15)))*$B15</f>
        <v>-35382.172218807907</v>
      </c>
      <c r="J15" s="1021">
        <f>(VLOOKUP(YEAR($A15),'NY East Load Projections'!$A$4:$EO$14,((MONTH($A15)-1)*12)+VLOOKUP(J$4,$DE$6:$DF$17,2)+1))*(VLOOKUP($A15,CURVES!$D$9:$K$261,7))*(INDEX(DailyScalarsTable,J$5/100,MONTH($A15)))*$B15</f>
        <v>-33988.400454751456</v>
      </c>
      <c r="K15" s="1021">
        <f>(VLOOKUP(YEAR($A15),'NY East Load Projections'!$A$4:$EO$14,((MONTH($A15)-1)*12)+VLOOKUP(K$4,$DE$6:$DF$17,2)+1))*(VLOOKUP($A15,CURVES!$D$9:$K$261,7))*(INDEX(DailyScalarsTable,K$5/100,MONTH($A15)))*$B15</f>
        <v>-34008.0310429776</v>
      </c>
      <c r="L15" s="1021">
        <f>(VLOOKUP(YEAR($A15),'NY East Load Projections'!$A$4:$EO$14,((MONTH($A15)-1)*12)+VLOOKUP(L$4,$DE$6:$DF$17,2)+1))*(VLOOKUP($A15,CURVES!$D$9:$K$261,7))*(INDEX(DailyScalarsTable,L$5/100,MONTH($A15)))*$B15</f>
        <v>-39060.488967489371</v>
      </c>
      <c r="M15" s="1021">
        <f>(VLOOKUP(YEAR($A15),'NY East Load Projections'!$A$4:$EO$14,((MONTH($A15)-1)*12)+VLOOKUP(M$4,$DE$6:$DF$17,2)+1))*(VLOOKUP($A15,CURVES!$D$9:$K$261,7))*(INDEX(DailyScalarsTable,M$5/100,MONTH($A15)))*$B15</f>
        <v>-44874.241184021252</v>
      </c>
      <c r="N15" s="1021">
        <f>(VLOOKUP(YEAR($A15),'NY East Load Projections'!$A$4:$EO$14,((MONTH($A15)-1)*12)+VLOOKUP(N$4,$DE$6:$DF$17,2)+1))*(VLOOKUP($A15,CURVES!$D$9:$K$261,7))*(INDEX(DailyScalarsTable,N$5/100,MONTH($A15)))*$B15</f>
        <v>-58011.04459715636</v>
      </c>
      <c r="O15" s="1021">
        <f>(VLOOKUP(YEAR($A15),'NY East Load Projections'!$A$4:$EO$14,((MONTH($A15)-1)*12)+VLOOKUP(O$4,$DE$6:$DF$17,2)+1))*(VLOOKUP($A15,CURVES!$D$9:$K$261,3))*(INDEX(DailyScalarsTable,O$5/100,MONTH($A15)))*$B15</f>
        <v>-70989.819375828723</v>
      </c>
      <c r="P15" s="1021">
        <f>(VLOOKUP(YEAR($A15),'NY East Load Projections'!$A$4:$EO$14,((MONTH($A15)-1)*12)+VLOOKUP(P$4,$DE$6:$DF$17,2)+1))*(VLOOKUP($A15,CURVES!$D$9:$K$261,3))*(INDEX(DailyScalarsTable,P$5/100,MONTH($A15)))*$B15</f>
        <v>-80047.869973008754</v>
      </c>
      <c r="Q15" s="1021">
        <f>(VLOOKUP(YEAR($A15),'NY East Load Projections'!$A$4:$EO$14,((MONTH($A15)-1)*12)+VLOOKUP(Q$4,$DE$6:$DF$17,2)+1))*(VLOOKUP($A15,CURVES!$D$9:$K$261,3))*(INDEX(DailyScalarsTable,Q$5/100,MONTH($A15)))*$B15</f>
        <v>-79800.503254921568</v>
      </c>
      <c r="R15" s="1021">
        <f>(VLOOKUP(YEAR($A15),'NY East Load Projections'!$A$4:$EO$14,((MONTH($A15)-1)*12)+VLOOKUP(R$4,$DE$6:$DF$17,2)+1))*(VLOOKUP($A15,CURVES!$D$9:$K$261,3))*(INDEX(DailyScalarsTable,R$5/100,MONTH($A15)))*$B15</f>
        <v>-79348.175541847872</v>
      </c>
      <c r="S15" s="1021">
        <f>(VLOOKUP(YEAR($A15),'NY East Load Projections'!$A$4:$EO$14,((MONTH($A15)-1)*12)+VLOOKUP(S$4,$DE$6:$DF$17,2)+1))*(VLOOKUP($A15,CURVES!$D$9:$K$261,3))*(INDEX(DailyScalarsTable,S$5/100,MONTH($A15)))*$B15</f>
        <v>-66958.636775938983</v>
      </c>
      <c r="T15" s="1021">
        <f>(VLOOKUP(YEAR($A15),'NY East Load Projections'!$A$4:$EO$14,((MONTH($A15)-1)*12)+VLOOKUP(T$4,$DE$6:$DF$17,2)+1))*(VLOOKUP($A15,CURVES!$D$9:$K$261,3))*(INDEX(DailyScalarsTable,T$5/100,MONTH($A15)))*$B15</f>
        <v>-63382.553245060306</v>
      </c>
      <c r="U15" s="1021">
        <f>(VLOOKUP(YEAR($A15),'NY East Load Projections'!$A$4:$EO$14,((MONTH($A15)-1)*12)+VLOOKUP(U$4,$DE$6:$DF$17,2)+1))*(VLOOKUP($A15,CURVES!$D$9:$K$261,3))*(INDEX(DailyScalarsTable,U$5/100,MONTH($A15)))*$B15</f>
        <v>-61623.311684038854</v>
      </c>
      <c r="V15" s="1021">
        <f>(VLOOKUP(YEAR($A15),'NY East Load Projections'!$A$4:$EO$14,((MONTH($A15)-1)*12)+VLOOKUP(V$4,$DE$6:$DF$17,2)+1))*(VLOOKUP($A15,CURVES!$D$9:$K$261,3))*(INDEX(DailyScalarsTable,V$5/100,MONTH($A15)))*$B15</f>
        <v>-60191.702154624625</v>
      </c>
      <c r="W15" s="1021">
        <f>(VLOOKUP(YEAR($A15),'NY East Load Projections'!$A$4:$EO$14,((MONTH($A15)-1)*12)+VLOOKUP(W$4,$DE$6:$DF$17,2)+1))*(VLOOKUP($A15,CURVES!$D$9:$K$261,3))*(INDEX(DailyScalarsTable,W$5/100,MONTH($A15)))*$B15</f>
        <v>-59778.600897380733</v>
      </c>
      <c r="X15" s="1021">
        <f>(VLOOKUP(YEAR($A15),'NY East Load Projections'!$A$4:$EO$14,((MONTH($A15)-1)*12)+VLOOKUP(X$4,$DE$6:$DF$17,2)+1))*(VLOOKUP($A15,CURVES!$D$9:$K$261,3))*(INDEX(DailyScalarsTable,X$5/100,MONTH($A15)))*$B15</f>
        <v>-60564.063166916625</v>
      </c>
      <c r="Y15" s="1021">
        <f>(VLOOKUP(YEAR($A15),'NY East Load Projections'!$A$4:$EO$14,((MONTH($A15)-1)*12)+VLOOKUP(Y$4,$DE$6:$DF$17,2)+1))*(VLOOKUP($A15,CURVES!$D$9:$K$261,3))*(INDEX(DailyScalarsTable,Y$5/100,MONTH($A15)))*$B15</f>
        <v>-81702.936383337044</v>
      </c>
      <c r="Z15" s="1021">
        <f>(VLOOKUP(YEAR($A15),'NY East Load Projections'!$A$4:$EO$14,((MONTH($A15)-1)*12)+VLOOKUP(Z$4,$DE$6:$DF$17,2)+1))*(VLOOKUP($A15,CURVES!$D$9:$K$261,3))*(INDEX(DailyScalarsTable,Z$5/100,MONTH($A15)))*$B15</f>
        <v>-82342.889388922733</v>
      </c>
      <c r="AA15" s="1021">
        <f>(VLOOKUP(YEAR($A15),'NY East Load Projections'!$A$4:$EO$14,((MONTH($A15)-1)*12)+VLOOKUP(AA$4,$DE$6:$DF$17,2)+1))*(VLOOKUP($A15,CURVES!$D$9:$K$261,3))*(INDEX(DailyScalarsTable,AA$5/100,MONTH($A15)))*$B15</f>
        <v>-78748.259740526599</v>
      </c>
      <c r="AB15" s="1021">
        <f>(VLOOKUP(YEAR($A15),'NY East Load Projections'!$A$4:$EO$14,((MONTH($A15)-1)*12)+VLOOKUP(AB$4,$DE$6:$DF$17,2)+1))*(VLOOKUP($A15,CURVES!$D$9:$K$261,3))*(INDEX(DailyScalarsTable,AB$5/100,MONTH($A15)))*$B15</f>
        <v>-68264.531267344617</v>
      </c>
      <c r="AC15" s="1021">
        <f>(VLOOKUP(YEAR($A15),'NY East Load Projections'!$A$4:$EO$14,((MONTH($A15)-1)*12)+VLOOKUP(AC$4,$DE$6:$DF$17,2)+1))*(VLOOKUP($A15,CURVES!$D$9:$K$261,3))*(INDEX(DailyScalarsTable,AC$5/100,MONTH($A15)))*$B15</f>
        <v>-56628.459046453805</v>
      </c>
      <c r="AD15" s="1021">
        <f>(VLOOKUP(YEAR($A15),'NY East Load Projections'!$A$4:$EO$14,((MONTH($A15)-1)*12)+VLOOKUP(AD$4,$DE$6:$DF$17,2)+1))*(VLOOKUP($A15,CURVES!$D$9:$K$261,3))*(INDEX(DailyScalarsTable,AD$5/100,MONTH($A15)))*$B15</f>
        <v>-48281.397360007984</v>
      </c>
      <c r="AE15" s="1021">
        <f>(VLOOKUP(YEAR($A15),'NY East Load Projections'!$A$4:$EO$14,((MONTH($A15)-1)*12)+VLOOKUP(AE$4,$DE$6:$DF$17,2)+1))*(VLOOKUP($A15,CURVES!$D$9:$K$261,7))*(INDEX(DailyScalarsTable,AE$5/100,MONTH($A15)))*$B15</f>
        <v>-42293.173253408517</v>
      </c>
      <c r="AF15" s="1021"/>
      <c r="AG15" s="1021">
        <f>(VLOOKUP(YEAR($A15),'NY East Load Projections'!$A$4:$EO$14,((MONTH($A15)-1)*12)+VLOOKUP(AG$4,$DE$6:$DF$17,2)+1))*(VLOOKUP($A15,CURVES!$D$9:$T$261,7))*(INDEX(DailyScalarsTable,AG$5/100,MONTH($A15)))*$C15</f>
        <v>-7114.9539316885966</v>
      </c>
      <c r="AH15" s="1021">
        <f>(VLOOKUP(YEAR($A15),'NY East Load Projections'!$A$4:$EO$14,((MONTH($A15)-1)*12)+VLOOKUP(AH$4,$DE$6:$DF$17,2)+1))*(VLOOKUP($A15,CURVES!$D$9:$T$261,7))*(INDEX(DailyScalarsTable,AH$5/100,MONTH($A15)))*$C15</f>
        <v>-6753.0242056216566</v>
      </c>
      <c r="AI15" s="1021">
        <f>(VLOOKUP(YEAR($A15),'NY East Load Projections'!$A$4:$EO$14,((MONTH($A15)-1)*12)+VLOOKUP(AI$4,$DE$6:$DF$17,2)+1))*(VLOOKUP($A15,CURVES!$D$9:$T$261,7))*(INDEX(DailyScalarsTable,AI$5/100,MONTH($A15)))*$C15</f>
        <v>-6487.0096036469913</v>
      </c>
      <c r="AJ15" s="1021">
        <f>(VLOOKUP(YEAR($A15),'NY East Load Projections'!$A$4:$EO$14,((MONTH($A15)-1)*12)+VLOOKUP(AJ$4,$DE$6:$DF$17,2)+1))*(VLOOKUP($A15,CURVES!$D$9:$T$261,7))*(INDEX(DailyScalarsTable,AJ$5/100,MONTH($A15)))*$C15</f>
        <v>-6490.7562881818458</v>
      </c>
      <c r="AK15" s="1021">
        <f>(VLOOKUP(YEAR($A15),'NY East Load Projections'!$A$4:$EO$14,((MONTH($A15)-1)*12)+VLOOKUP(AK$4,$DE$6:$DF$17,2)+1))*(VLOOKUP($A15,CURVES!$D$9:$T$261,7))*(INDEX(DailyScalarsTable,AK$5/100,MONTH($A15)))*$C15</f>
        <v>-7060.502305624399</v>
      </c>
      <c r="AL15" s="1021">
        <f>(VLOOKUP(YEAR($A15),'NY East Load Projections'!$A$4:$EO$14,((MONTH($A15)-1)*12)+VLOOKUP(AL$4,$DE$6:$DF$17,2)+1))*(VLOOKUP($A15,CURVES!$D$9:$T$261,7))*(INDEX(DailyScalarsTable,AL$5/100,MONTH($A15)))*$C15</f>
        <v>-8111.3854874329309</v>
      </c>
      <c r="AM15" s="1021">
        <f>(VLOOKUP(YEAR($A15),'NY East Load Projections'!$A$4:$EO$14,((MONTH($A15)-1)*12)+VLOOKUP(AM$4,$DE$6:$DF$17,2)+1))*(VLOOKUP($A15,CURVES!$D$9:$T$261,7))*(INDEX(DailyScalarsTable,AM$5/100,MONTH($A15)))*$C15</f>
        <v>-10485.969964964028</v>
      </c>
      <c r="AN15" s="1021">
        <f>(VLOOKUP(YEAR($A15),'NY East Load Projections'!$A$4:$EO$14,((MONTH($A15)-1)*12)+VLOOKUP(AN$4,$DE$6:$DF$17,2)+1))*(VLOOKUP($A15,SatSunCurve,3))*(INDEX(DailyScalarsTable,AN$5/100,MONTH($A15)))*$C15</f>
        <v>-9485.6119767411546</v>
      </c>
      <c r="AO15" s="1021">
        <f>(VLOOKUP(YEAR($A15),'NY East Load Projections'!$A$4:$EO$14,((MONTH($A15)-1)*12)+VLOOKUP(AO$4,$DE$6:$DF$17,2)+1))*(VLOOKUP($A15,SatSunCurve,3))*(INDEX(DailyScalarsTable,AO$5/100,MONTH($A15)))*$C15</f>
        <v>-11272.236845832625</v>
      </c>
      <c r="AP15" s="1021">
        <f>(VLOOKUP(YEAR($A15),'NY East Load Projections'!$A$4:$EO$14,((MONTH($A15)-1)*12)+VLOOKUP(AP$4,$DE$6:$DF$17,2)+1))*(VLOOKUP($A15,SatSunCurve,3))*(INDEX(DailyScalarsTable,AP$5/100,MONTH($A15)))*$C15</f>
        <v>-11237.402986605701</v>
      </c>
      <c r="AQ15" s="1021">
        <f>(VLOOKUP(YEAR($A15),'NY East Load Projections'!$A$4:$EO$14,((MONTH($A15)-1)*12)+VLOOKUP(AQ$4,$DE$6:$DF$17,2)+1))*(VLOOKUP($A15,SatSunCurve,3))*(INDEX(DailyScalarsTable,AQ$5/100,MONTH($A15)))*$C15</f>
        <v>-11173.706786876468</v>
      </c>
      <c r="AR15" s="1021">
        <f>(VLOOKUP(YEAR($A15),'NY East Load Projections'!$A$4:$EO$14,((MONTH($A15)-1)*12)+VLOOKUP(AR$4,$DE$6:$DF$17,2)+1))*(VLOOKUP($A15,SatSunCurve,3))*(INDEX(DailyScalarsTable,AR$5/100,MONTH($A15)))*$C15</f>
        <v>-9429.0280661679571</v>
      </c>
      <c r="AS15" s="1021">
        <f>(VLOOKUP(YEAR($A15),'NY East Load Projections'!$A$4:$EO$14,((MONTH($A15)-1)*12)+VLOOKUP(AS$4,$DE$6:$DF$17,2)+1))*(VLOOKUP($A15,SatSunCurve,3))*(INDEX(DailyScalarsTable,AS$5/100,MONTH($A15)))*$C15</f>
        <v>-8761.8407880684335</v>
      </c>
      <c r="AT15" s="1021">
        <f>(VLOOKUP(YEAR($A15),'NY East Load Projections'!$A$4:$EO$14,((MONTH($A15)-1)*12)+VLOOKUP(AT$4,$DE$6:$DF$17,2)+1))*(VLOOKUP($A15,SatSunCurve,3))*(INDEX(DailyScalarsTable,AT$5/100,MONTH($A15)))*$C15</f>
        <v>-8518.6477692289118</v>
      </c>
      <c r="AU15" s="1021">
        <f>(VLOOKUP(YEAR($A15),'NY East Load Projections'!$A$4:$EO$14,((MONTH($A15)-1)*12)+VLOOKUP(AU$4,$DE$6:$DF$17,2)+1))*(VLOOKUP($A15,SatSunCurve,3))*(INDEX(DailyScalarsTable,AU$5/100,MONTH($A15)))*$C15</f>
        <v>-8320.7457579465481</v>
      </c>
      <c r="AV15" s="1021">
        <f>(VLOOKUP(YEAR($A15),'NY East Load Projections'!$A$4:$EO$14,((MONTH($A15)-1)*12)+VLOOKUP(AV$4,$DE$6:$DF$17,2)+1))*(VLOOKUP($A15,SatSunCurve,3))*(INDEX(DailyScalarsTable,AV$5/100,MONTH($A15)))*$C15</f>
        <v>-8263.6397049396965</v>
      </c>
      <c r="AW15" s="1021">
        <f>(VLOOKUP(YEAR($A15),'NY East Load Projections'!$A$4:$EO$14,((MONTH($A15)-1)*12)+VLOOKUP(AW$4,$DE$6:$DF$17,2)+1))*(VLOOKUP($A15,SatSunCurve,3))*(INDEX(DailyScalarsTable,AW$5/100,MONTH($A15)))*$C15</f>
        <v>-8180.8803217656032</v>
      </c>
      <c r="AX15" s="1021">
        <f>(VLOOKUP(YEAR($A15),'NY East Load Projections'!$A$4:$EO$14,((MONTH($A15)-1)*12)+VLOOKUP(AX$4,$DE$6:$DF$17,2)+1))*(VLOOKUP($A15,SatSunCurve,3))*(INDEX(DailyScalarsTable,AX$5/100,MONTH($A15)))*$C15</f>
        <v>-11036.279759612074</v>
      </c>
      <c r="AY15" s="1021">
        <f>(VLOOKUP(YEAR($A15),'NY East Load Projections'!$A$4:$EO$14,((MONTH($A15)-1)*12)+VLOOKUP(AY$4,$DE$6:$DF$17,2)+1))*(VLOOKUP($A15,SatSunCurve,3))*(INDEX(DailyScalarsTable,AY$5/100,MONTH($A15)))*$C15</f>
        <v>-11122.723414091162</v>
      </c>
      <c r="AZ15" s="1021">
        <f>(VLOOKUP(YEAR($A15),'NY East Load Projections'!$A$4:$EO$14,((MONTH($A15)-1)*12)+VLOOKUP(AZ$4,$DE$6:$DF$17,2)+1))*(VLOOKUP($A15,SatSunCurve,3))*(INDEX(DailyScalarsTable,AZ$5/100,MONTH($A15)))*$C15</f>
        <v>-10637.167567655435</v>
      </c>
      <c r="BA15" s="1021">
        <f>(VLOOKUP(YEAR($A15),'NY East Load Projections'!$A$4:$EO$14,((MONTH($A15)-1)*12)+VLOOKUP(BA$4,$DE$6:$DF$17,2)+1))*(VLOOKUP($A15,SatSunCurve,3))*(INDEX(DailyScalarsTable,BA$5/100,MONTH($A15)))*$C15</f>
        <v>-9586.5506607377047</v>
      </c>
      <c r="BB15" s="1021">
        <f>(VLOOKUP(YEAR($A15),'NY East Load Projections'!$A$4:$EO$14,((MONTH($A15)-1)*12)+VLOOKUP(BB$4,$DE$6:$DF$17,2)+1))*(VLOOKUP($A15,SatSunCurve,3))*(INDEX(DailyScalarsTable,BB$5/100,MONTH($A15)))*$C15</f>
        <v>-7952.4693337787658</v>
      </c>
      <c r="BC15" s="1021">
        <f>(VLOOKUP(YEAR($A15),'NY East Load Projections'!$A$4:$EO$14,((MONTH($A15)-1)*12)+VLOOKUP(BC$4,$DE$6:$DF$17,2)+1))*(VLOOKUP($A15,SatSunCurve,3))*(INDEX(DailyScalarsTable,BC$5/100,MONTH($A15)))*$C15</f>
        <v>-6780.2715871622277</v>
      </c>
      <c r="BD15" s="1021">
        <f>(VLOOKUP(YEAR($A15),'NY East Load Projections'!$A$4:$EO$14,((MONTH($A15)-1)*12)+VLOOKUP(BD$4,$DE$6:$DF$17,2)+1))*(VLOOKUP($A15,CURVES!$D$9:$T$261,7))*(INDEX(DailyScalarsTable,BD$5/100,MONTH($A15)))*$C15</f>
        <v>-8034.6353308241869</v>
      </c>
      <c r="BE15" s="1021"/>
      <c r="BF15" s="1021">
        <f>(VLOOKUP(YEAR($A15),'NY East Load Projections'!$A$4:$EO$14,((MONTH($A15)-1)*12)+VLOOKUP(BF$4,$DE$6:$DF$17,2)+1))*(VLOOKUP($A15,CURVES!$D$9:$T$261,7))*(INDEX(DailyScalarsTable,BF$5/100,MONTH($A15)))*$D15</f>
        <v>-7114.9539316885966</v>
      </c>
      <c r="BG15" s="1021">
        <f>(VLOOKUP(YEAR($A15),'NY East Load Projections'!$A$4:$EO$14,((MONTH($A15)-1)*12)+VLOOKUP(BG$4,$DE$6:$DF$17,2)+1))*(VLOOKUP($A15,CURVES!$D$9:$T$261,7))*(INDEX(DailyScalarsTable,BG$5/100,MONTH($A15)))*$D15</f>
        <v>-6753.0242056216566</v>
      </c>
      <c r="BH15" s="1021">
        <f>(VLOOKUP(YEAR($A15),'NY East Load Projections'!$A$4:$EO$14,((MONTH($A15)-1)*12)+VLOOKUP(BH$4,$DE$6:$DF$17,2)+1))*(VLOOKUP($A15,CURVES!$D$9:$T$261,7))*(INDEX(DailyScalarsTable,BH$5/100,MONTH($A15)))*$D15</f>
        <v>-6487.0096036469913</v>
      </c>
      <c r="BI15" s="1021">
        <f>(VLOOKUP(YEAR($A15),'NY East Load Projections'!$A$4:$EO$14,((MONTH($A15)-1)*12)+VLOOKUP(BI$4,$DE$6:$DF$17,2)+1))*(VLOOKUP($A15,CURVES!$D$9:$T$261,7))*(INDEX(DailyScalarsTable,BI$5/100,MONTH($A15)))*$D15</f>
        <v>-6490.7562881818458</v>
      </c>
      <c r="BJ15" s="1021">
        <f>(VLOOKUP(YEAR($A15),'NY East Load Projections'!$A$4:$EO$14,((MONTH($A15)-1)*12)+VLOOKUP(BJ$4,$DE$6:$DF$17,2)+1))*(VLOOKUP($A15,CURVES!$D$9:$T$261,7))*(INDEX(DailyScalarsTable,BJ$5/100,MONTH($A15)))*$D15</f>
        <v>-7060.502305624399</v>
      </c>
      <c r="BK15" s="1021">
        <f>(VLOOKUP(YEAR($A15),'NY East Load Projections'!$A$4:$EO$14,((MONTH($A15)-1)*12)+VLOOKUP(BK$4,$DE$6:$DF$17,2)+1))*(VLOOKUP($A15,CURVES!$D$9:$T$261,7))*(INDEX(DailyScalarsTable,BK$5/100,MONTH($A15)))*$D15</f>
        <v>-8111.3854874329309</v>
      </c>
      <c r="BL15" s="1021">
        <f>(VLOOKUP(YEAR($A15),'NY East Load Projections'!$A$4:$EO$14,((MONTH($A15)-1)*12)+VLOOKUP(BL$4,$DE$6:$DF$17,2)+1))*(VLOOKUP($A15,CURVES!$D$9:$T$261,7))*(INDEX(DailyScalarsTable,BL$5/100,MONTH($A15)))*$D15</f>
        <v>-10485.969964964028</v>
      </c>
      <c r="BM15" s="1021">
        <f>(VLOOKUP(YEAR($A15),'NY East Load Projections'!$A$4:$EO$14,((MONTH($A15)-1)*12)+VLOOKUP(BM$4,$DE$6:$DF$17,2)+1))*(VLOOKUP($A15,SatSunCurve,7))*(INDEX(DailyScalarsTable,BM$5/100,MONTH($A15)))*$D15</f>
        <v>-8664.5698492937699</v>
      </c>
      <c r="BN15" s="1021">
        <f>(VLOOKUP(YEAR($A15),'NY East Load Projections'!$A$4:$EO$14,((MONTH($A15)-1)*12)+VLOOKUP(BN$4,$DE$6:$DF$17,2)+1))*(VLOOKUP($A15,SatSunCurve,7))*(INDEX(DailyScalarsTable,BN$5/100,MONTH($A15)))*$D15</f>
        <v>-10296.550580814981</v>
      </c>
      <c r="BO15" s="1021">
        <f>(VLOOKUP(YEAR($A15),'NY East Load Projections'!$A$4:$EO$14,((MONTH($A15)-1)*12)+VLOOKUP(BO$4,$DE$6:$DF$17,2)+1))*(VLOOKUP($A15,SatSunCurve,7))*(INDEX(DailyScalarsTable,BO$5/100,MONTH($A15)))*$D15</f>
        <v>-10264.731821294539</v>
      </c>
      <c r="BP15" s="1021">
        <f>(VLOOKUP(YEAR($A15),'NY East Load Projections'!$A$4:$EO$14,((MONTH($A15)-1)*12)+VLOOKUP(BP$4,$DE$6:$DF$17,2)+1))*(VLOOKUP($A15,SatSunCurve,7))*(INDEX(DailyScalarsTable,BP$5/100,MONTH($A15)))*$D15</f>
        <v>-10206.548946742874</v>
      </c>
      <c r="BQ15" s="1021">
        <f>(VLOOKUP(YEAR($A15),'NY East Load Projections'!$A$4:$EO$14,((MONTH($A15)-1)*12)+VLOOKUP(BQ$4,$DE$6:$DF$17,2)+1))*(VLOOKUP($A15,SatSunCurve,7))*(INDEX(DailyScalarsTable,BQ$5/100,MONTH($A15)))*$D15</f>
        <v>-8612.8836484761723</v>
      </c>
      <c r="BR15" s="1021">
        <f>(VLOOKUP(YEAR($A15),'NY East Load Projections'!$A$4:$EO$14,((MONTH($A15)-1)*12)+VLOOKUP(BR$4,$DE$6:$DF$17,2)+1))*(VLOOKUP($A15,SatSunCurve,7))*(INDEX(DailyScalarsTable,BR$5/100,MONTH($A15)))*$D15</f>
        <v>-8003.4458190743017</v>
      </c>
      <c r="BS15" s="1021">
        <f>(VLOOKUP(YEAR($A15),'NY East Load Projections'!$A$4:$EO$14,((MONTH($A15)-1)*12)+VLOOKUP(BS$4,$DE$6:$DF$17,2)+1))*(VLOOKUP($A15,SatSunCurve,7))*(INDEX(DailyScalarsTable,BS$5/100,MONTH($A15)))*$D15</f>
        <v>-7781.3027561108947</v>
      </c>
      <c r="BT15" s="1021">
        <f>(VLOOKUP(YEAR($A15),'NY East Load Projections'!$A$4:$EO$14,((MONTH($A15)-1)*12)+VLOOKUP(BT$4,$DE$6:$DF$17,2)+1))*(VLOOKUP($A15,SatSunCurve,7))*(INDEX(DailyScalarsTable,BT$5/100,MONTH($A15)))*$D15</f>
        <v>-7600.5304660070697</v>
      </c>
      <c r="BU15" s="1021">
        <f>(VLOOKUP(YEAR($A15),'NY East Load Projections'!$A$4:$EO$14,((MONTH($A15)-1)*12)+VLOOKUP(BU$4,$DE$6:$DF$17,2)+1))*(VLOOKUP($A15,SatSunCurve,7))*(INDEX(DailyScalarsTable,BU$5/100,MONTH($A15)))*$D15</f>
        <v>-7548.3673176189022</v>
      </c>
      <c r="BV15" s="1021">
        <f>(VLOOKUP(YEAR($A15),'NY East Load Projections'!$A$4:$EO$14,((MONTH($A15)-1)*12)+VLOOKUP(BV$4,$DE$6:$DF$17,2)+1))*(VLOOKUP($A15,SatSunCurve,7))*(INDEX(DailyScalarsTable,BV$5/100,MONTH($A15)))*$D15</f>
        <v>-7472.7713035762999</v>
      </c>
      <c r="BW15" s="1021">
        <f>(VLOOKUP(YEAR($A15),'NY East Load Projections'!$A$4:$EO$14,((MONTH($A15)-1)*12)+VLOOKUP(BW$4,$DE$6:$DF$17,2)+1))*(VLOOKUP($A15,SatSunCurve,7))*(INDEX(DailyScalarsTable,BW$5/100,MONTH($A15)))*$D15</f>
        <v>-10081.017132893343</v>
      </c>
      <c r="BX15" s="1021">
        <f>(VLOOKUP(YEAR($A15),'NY East Load Projections'!$A$4:$EO$14,((MONTH($A15)-1)*12)+VLOOKUP(BX$4,$DE$6:$DF$17,2)+1))*(VLOOKUP($A15,SatSunCurve,7))*(INDEX(DailyScalarsTable,BX$5/100,MONTH($A15)))*$D15</f>
        <v>-10159.978520318722</v>
      </c>
      <c r="BY15" s="1021">
        <f>(VLOOKUP(YEAR($A15),'NY East Load Projections'!$A$4:$EO$14,((MONTH($A15)-1)*12)+VLOOKUP(BY$4,$DE$6:$DF$17,2)+1))*(VLOOKUP($A15,SatSunCurve,7))*(INDEX(DailyScalarsTable,BY$5/100,MONTH($A15)))*$D15</f>
        <v>-9716.4507271208495</v>
      </c>
      <c r="BZ15" s="1021">
        <f>(VLOOKUP(YEAR($A15),'NY East Load Projections'!$A$4:$EO$14,((MONTH($A15)-1)*12)+VLOOKUP(BZ$4,$DE$6:$DF$17,2)+1))*(VLOOKUP($A15,SatSunCurve,7))*(INDEX(DailyScalarsTable,BZ$5/100,MONTH($A15)))*$D15</f>
        <v>-8756.7716260614052</v>
      </c>
      <c r="CA15" s="1021">
        <f>(VLOOKUP(YEAR($A15),'NY East Load Projections'!$A$4:$EO$14,((MONTH($A15)-1)*12)+VLOOKUP(CA$4,$DE$6:$DF$17,2)+1))*(VLOOKUP($A15,SatSunCurve,7))*(INDEX(DailyScalarsTable,CA$5/100,MONTH($A15)))*$D15</f>
        <v>-7264.1307894364754</v>
      </c>
      <c r="CB15" s="1021">
        <f>(VLOOKUP(YEAR($A15),'NY East Load Projections'!$A$4:$EO$14,((MONTH($A15)-1)*12)+VLOOKUP(CB$4,$DE$6:$DF$17,2)+1))*(VLOOKUP($A15,SatSunCurve,7))*(INDEX(DailyScalarsTable,CB$5/100,MONTH($A15)))*$D15</f>
        <v>-6193.3944702988329</v>
      </c>
      <c r="CC15" s="1021">
        <f>(VLOOKUP(YEAR($A15),'NY East Load Projections'!$A$4:$EO$14,((MONTH($A15)-1)*12)+VLOOKUP(CC$4,$DE$6:$DF$17,2)+1))*(VLOOKUP($A15,CURVES!$D$9:$T$261,7))*(INDEX(DailyScalarsTable,CC$5/100,MONTH($A15)))*$D15</f>
        <v>-8034.6353308241869</v>
      </c>
      <c r="CE15" s="1021">
        <f>(VLOOKUP(YEAR($A15),'NY East Load Projections'!$A$4:$EO$14,((MONTH($A15)-1)*12)+VLOOKUP(CE$4,$DE$6:$DF$17,2)+1))*(VLOOKUP($A15,CURVES!$D$9:$T$261,7))*(INDEX(DailyScalarsTable,CE$5/100,MONTH($A15)))*$E15</f>
        <v>0</v>
      </c>
      <c r="CF15" s="1021">
        <f>(VLOOKUP(YEAR($A15),'NY East Load Projections'!$A$4:$EO$14,((MONTH($A15)-1)*12)+VLOOKUP(CF$4,$DE$6:$DF$17,2)+1))*(VLOOKUP($A15,CURVES!$D$9:$T$261,7))*(INDEX(DailyScalarsTable,CF$5/100,MONTH($A15)))*$E15</f>
        <v>0</v>
      </c>
      <c r="CG15" s="1021">
        <f>(VLOOKUP(YEAR($A15),'NY East Load Projections'!$A$4:$EO$14,((MONTH($A15)-1)*12)+VLOOKUP(CG$4,$DE$6:$DF$17,2)+1))*(VLOOKUP($A15,CURVES!$D$9:$T$261,7))*(INDEX(DailyScalarsTable,CG$5/100,MONTH($A15)))*$E15</f>
        <v>0</v>
      </c>
      <c r="CH15" s="1021">
        <f>(VLOOKUP(YEAR($A15),'NY East Load Projections'!$A$4:$EO$14,((MONTH($A15)-1)*12)+VLOOKUP(CH$4,$DE$6:$DF$17,2)+1))*(VLOOKUP($A15,CURVES!$D$9:$T$261,7))*(INDEX(DailyScalarsTable,CH$5/100,MONTH($A15)))*$E15</f>
        <v>0</v>
      </c>
      <c r="CI15" s="1021">
        <f>(VLOOKUP(YEAR($A15),'NY East Load Projections'!$A$4:$EO$14,((MONTH($A15)-1)*12)+VLOOKUP(CI$4,$DE$6:$DF$17,2)+1))*(VLOOKUP($A15,CURVES!$D$9:$T$261,7))*(INDEX(DailyScalarsTable,CI$5/100,MONTH($A15)))*$E15</f>
        <v>0</v>
      </c>
      <c r="CJ15" s="1021">
        <f>(VLOOKUP(YEAR($A15),'NY East Load Projections'!$A$4:$EO$14,((MONTH($A15)-1)*12)+VLOOKUP(CJ$4,$DE$6:$DF$17,2)+1))*(VLOOKUP($A15,CURVES!$D$9:$T$261,7))*(INDEX(DailyScalarsTable,CJ$5/100,MONTH($A15)))*$E15</f>
        <v>0</v>
      </c>
      <c r="CK15" s="1021">
        <f>(VLOOKUP(YEAR($A15),'NY East Load Projections'!$A$4:$EO$14,((MONTH($A15)-1)*12)+VLOOKUP(CK$4,$DE$6:$DF$17,2)+1))*(VLOOKUP($A15,CURVES!$D$9:$T$261,7))*(INDEX(DailyScalarsTable,CK$5/100,MONTH($A15)))*$E15</f>
        <v>0</v>
      </c>
      <c r="CL15" s="1021">
        <f>(VLOOKUP(YEAR($A15),'NY East Load Projections'!$A$4:$EO$14,((MONTH($A15)-1)*12)+VLOOKUP(CL$4,$DE$6:$DF$17,2)+1))*(VLOOKUP($A15,SatSunCurve,7))*(INDEX(DailyScalarsTable,CL$5/100,MONTH($A15)))*$E15</f>
        <v>0</v>
      </c>
      <c r="CM15" s="1021">
        <f>(VLOOKUP(YEAR($A15),'NY East Load Projections'!$A$4:$EO$14,((MONTH($A15)-1)*12)+VLOOKUP(CM$4,$DE$6:$DF$17,2)+1))*(VLOOKUP($A15,SatSunCurve,7))*(INDEX(DailyScalarsTable,CM$5/100,MONTH($A15)))*$E15</f>
        <v>0</v>
      </c>
      <c r="CN15" s="1021">
        <f>(VLOOKUP(YEAR($A15),'NY East Load Projections'!$A$4:$EO$14,((MONTH($A15)-1)*12)+VLOOKUP(CN$4,$DE$6:$DF$17,2)+1))*(VLOOKUP($A15,SatSunCurve,7))*(INDEX(DailyScalarsTable,CN$5/100,MONTH($A15)))*$E15</f>
        <v>0</v>
      </c>
      <c r="CO15" s="1021">
        <f>(VLOOKUP(YEAR($A15),'NY East Load Projections'!$A$4:$EO$14,((MONTH($A15)-1)*12)+VLOOKUP(CO$4,$DE$6:$DF$17,2)+1))*(VLOOKUP($A15,SatSunCurve,7))*(INDEX(DailyScalarsTable,CO$5/100,MONTH($A15)))*$E15</f>
        <v>0</v>
      </c>
      <c r="CP15" s="1021">
        <f>(VLOOKUP(YEAR($A15),'NY East Load Projections'!$A$4:$EO$14,((MONTH($A15)-1)*12)+VLOOKUP(CP$4,$DE$6:$DF$17,2)+1))*(VLOOKUP($A15,SatSunCurve,7))*(INDEX(DailyScalarsTable,CP$5/100,MONTH($A15)))*$E15</f>
        <v>0</v>
      </c>
      <c r="CQ15" s="1021">
        <f>(VLOOKUP(YEAR($A15),'NY East Load Projections'!$A$4:$EO$14,((MONTH($A15)-1)*12)+VLOOKUP(CQ$4,$DE$6:$DF$17,2)+1))*(VLOOKUP($A15,SatSunCurve,7))*(INDEX(DailyScalarsTable,CQ$5/100,MONTH($A15)))*$E15</f>
        <v>0</v>
      </c>
      <c r="CR15" s="1021">
        <f>(VLOOKUP(YEAR($A15),'NY East Load Projections'!$A$4:$EO$14,((MONTH($A15)-1)*12)+VLOOKUP(CR$4,$DE$6:$DF$17,2)+1))*(VLOOKUP($A15,SatSunCurve,7))*(INDEX(DailyScalarsTable,CR$5/100,MONTH($A15)))*$E15</f>
        <v>0</v>
      </c>
      <c r="CS15" s="1021">
        <f>(VLOOKUP(YEAR($A15),'NY East Load Projections'!$A$4:$EO$14,((MONTH($A15)-1)*12)+VLOOKUP(CS$4,$DE$6:$DF$17,2)+1))*(VLOOKUP($A15,SatSunCurve,7))*(INDEX(DailyScalarsTable,CS$5/100,MONTH($A15)))*$E15</f>
        <v>0</v>
      </c>
      <c r="CT15" s="1021">
        <f>(VLOOKUP(YEAR($A15),'NY East Load Projections'!$A$4:$EO$14,((MONTH($A15)-1)*12)+VLOOKUP(CT$4,$DE$6:$DF$17,2)+1))*(VLOOKUP($A15,SatSunCurve,7))*(INDEX(DailyScalarsTable,CT$5/100,MONTH($A15)))*$E15</f>
        <v>0</v>
      </c>
      <c r="CU15" s="1021">
        <f>(VLOOKUP(YEAR($A15),'NY East Load Projections'!$A$4:$EO$14,((MONTH($A15)-1)*12)+VLOOKUP(CU$4,$DE$6:$DF$17,2)+1))*(VLOOKUP($A15,SatSunCurve,7))*(INDEX(DailyScalarsTable,CU$5/100,MONTH($A15)))*$E15</f>
        <v>0</v>
      </c>
      <c r="CV15" s="1021">
        <f>(VLOOKUP(YEAR($A15),'NY East Load Projections'!$A$4:$EO$14,((MONTH($A15)-1)*12)+VLOOKUP(CV$4,$DE$6:$DF$17,2)+1))*(VLOOKUP($A15,SatSunCurve,7))*(INDEX(DailyScalarsTable,CV$5/100,MONTH($A15)))*$E15</f>
        <v>0</v>
      </c>
      <c r="CW15" s="1021">
        <f>(VLOOKUP(YEAR($A15),'NY East Load Projections'!$A$4:$EO$14,((MONTH($A15)-1)*12)+VLOOKUP(CW$4,$DE$6:$DF$17,2)+1))*(VLOOKUP($A15,SatSunCurve,7))*(INDEX(DailyScalarsTable,CW$5/100,MONTH($A15)))*$E15</f>
        <v>0</v>
      </c>
      <c r="CX15" s="1021">
        <f>(VLOOKUP(YEAR($A15),'NY East Load Projections'!$A$4:$EO$14,((MONTH($A15)-1)*12)+VLOOKUP(CX$4,$DE$6:$DF$17,2)+1))*(VLOOKUP($A15,SatSunCurve,7))*(INDEX(DailyScalarsTable,CX$5/100,MONTH($A15)))*$E15</f>
        <v>0</v>
      </c>
      <c r="CY15" s="1021">
        <f>(VLOOKUP(YEAR($A15),'NY East Load Projections'!$A$4:$EO$14,((MONTH($A15)-1)*12)+VLOOKUP(CY$4,$DE$6:$DF$17,2)+1))*(VLOOKUP($A15,SatSunCurve,7))*(INDEX(DailyScalarsTable,CY$5/100,MONTH($A15)))*$E15</f>
        <v>0</v>
      </c>
      <c r="CZ15" s="1021">
        <f>(VLOOKUP(YEAR($A15),'NY East Load Projections'!$A$4:$EO$14,((MONTH($A15)-1)*12)+VLOOKUP(CZ$4,$DE$6:$DF$17,2)+1))*(VLOOKUP($A15,SatSunCurve,7))*(INDEX(DailyScalarsTable,CZ$5/100,MONTH($A15)))*$E15</f>
        <v>0</v>
      </c>
      <c r="DA15" s="1021">
        <f>(VLOOKUP(YEAR($A15),'NY East Load Projections'!$A$4:$EO$14,((MONTH($A15)-1)*12)+VLOOKUP(DA$4,$DE$6:$DF$17,2)+1))*(VLOOKUP($A15,SatSunCurve,7))*(INDEX(DailyScalarsTable,DA$5/100,MONTH($A15)))*$E15</f>
        <v>0</v>
      </c>
      <c r="DB15" s="1021">
        <f>(VLOOKUP(YEAR($A15),'NY East Load Projections'!$A$4:$EO$14,((MONTH($A15)-1)*12)+VLOOKUP(DB$4,$DE$6:$DF$17,2)+1))*(VLOOKUP($A15,CURVES!$D$9:$T$261,7))*(INDEX(DailyScalarsTable,DB$5/100,MONTH($A15)))*$E15</f>
        <v>0</v>
      </c>
      <c r="DE15" s="221" t="s">
        <v>567</v>
      </c>
      <c r="DF15" s="619">
        <v>10</v>
      </c>
      <c r="DH15" s="1032">
        <f t="shared" si="0"/>
        <v>-1835008.8713545445</v>
      </c>
      <c r="DI15">
        <f ca="1">CALC!J35</f>
        <v>0.88904496730260629</v>
      </c>
      <c r="DJ15" s="1029">
        <f t="shared" ca="1" si="1"/>
        <v>-1631405.4020333935</v>
      </c>
    </row>
    <row r="16" spans="1:114" x14ac:dyDescent="0.25">
      <c r="A16" s="244">
        <v>37196</v>
      </c>
      <c r="B16" s="13">
        <v>21</v>
      </c>
      <c r="C16" s="210">
        <v>4</v>
      </c>
      <c r="D16" s="210">
        <v>4</v>
      </c>
      <c r="E16" s="210">
        <v>1</v>
      </c>
      <c r="F16" s="13">
        <v>30</v>
      </c>
      <c r="H16" s="1021">
        <f>(VLOOKUP(YEAR($A16),'NY East Load Projections'!$A$4:$EO$14,((MONTH($A16)-1)*12)+VLOOKUP(H$4,$DE$6:$DF$17,2)+1))*(VLOOKUP($A16,CURVES!$D$9:$K$261,7))*(INDEX(DailyScalarsTable,H$5/100,MONTH($A16)))*$B16</f>
        <v>-31866.447764784451</v>
      </c>
      <c r="I16" s="1021">
        <f>(VLOOKUP(YEAR($A16),'NY East Load Projections'!$A$4:$EO$14,((MONTH($A16)-1)*12)+VLOOKUP(I$4,$DE$6:$DF$17,2)+1))*(VLOOKUP($A16,CURVES!$D$9:$K$261,7))*(INDEX(DailyScalarsTable,I$5/100,MONTH($A16)))*$B16</f>
        <v>-30210.55811762029</v>
      </c>
      <c r="J16" s="1021">
        <f>(VLOOKUP(YEAR($A16),'NY East Load Projections'!$A$4:$EO$14,((MONTH($A16)-1)*12)+VLOOKUP(J$4,$DE$6:$DF$17,2)+1))*(VLOOKUP($A16,CURVES!$D$9:$K$261,7))*(INDEX(DailyScalarsTable,J$5/100,MONTH($A16)))*$B16</f>
        <v>-28993.496368669406</v>
      </c>
      <c r="K16" s="1021">
        <f>(VLOOKUP(YEAR($A16),'NY East Load Projections'!$A$4:$EO$14,((MONTH($A16)-1)*12)+VLOOKUP(K$4,$DE$6:$DF$17,2)+1))*(VLOOKUP($A16,CURVES!$D$9:$K$261,7))*(INDEX(DailyScalarsTable,K$5/100,MONTH($A16)))*$B16</f>
        <v>-29010.638083443358</v>
      </c>
      <c r="L16" s="1021">
        <f>(VLOOKUP(YEAR($A16),'NY East Load Projections'!$A$4:$EO$14,((MONTH($A16)-1)*12)+VLOOKUP(L$4,$DE$6:$DF$17,2)+1))*(VLOOKUP($A16,CURVES!$D$9:$K$261,7))*(INDEX(DailyScalarsTable,L$5/100,MONTH($A16)))*$B16</f>
        <v>-32888.871557915081</v>
      </c>
      <c r="M16" s="1021">
        <f>(VLOOKUP(YEAR($A16),'NY East Load Projections'!$A$4:$EO$14,((MONTH($A16)-1)*12)+VLOOKUP(M$4,$DE$6:$DF$17,2)+1))*(VLOOKUP($A16,CURVES!$D$9:$K$261,7))*(INDEX(DailyScalarsTable,M$5/100,MONTH($A16)))*$B16</f>
        <v>-37892.043524640387</v>
      </c>
      <c r="N16" s="1021">
        <f>(VLOOKUP(YEAR($A16),'NY East Load Projections'!$A$4:$EO$14,((MONTH($A16)-1)*12)+VLOOKUP(N$4,$DE$6:$DF$17,2)+1))*(VLOOKUP($A16,CURVES!$D$9:$K$261,7))*(INDEX(DailyScalarsTable,N$5/100,MONTH($A16)))*$B16</f>
        <v>-54276.615389565311</v>
      </c>
      <c r="O16" s="1021">
        <f>(VLOOKUP(YEAR($A16),'NY East Load Projections'!$A$4:$EO$14,((MONTH($A16)-1)*12)+VLOOKUP(O$4,$DE$6:$DF$17,2)+1))*(VLOOKUP($A16,CURVES!$D$9:$K$261,3))*(INDEX(DailyScalarsTable,O$5/100,MONTH($A16)))*$B16</f>
        <v>-62646.130478226805</v>
      </c>
      <c r="P16" s="1021">
        <f>(VLOOKUP(YEAR($A16),'NY East Load Projections'!$A$4:$EO$14,((MONTH($A16)-1)*12)+VLOOKUP(P$4,$DE$6:$DF$17,2)+1))*(VLOOKUP($A16,CURVES!$D$9:$K$261,3))*(INDEX(DailyScalarsTable,P$5/100,MONTH($A16)))*$B16</f>
        <v>-69502.369950430788</v>
      </c>
      <c r="Q16" s="1021">
        <f>(VLOOKUP(YEAR($A16),'NY East Load Projections'!$A$4:$EO$14,((MONTH($A16)-1)*12)+VLOOKUP(Q$4,$DE$6:$DF$17,2)+1))*(VLOOKUP($A16,CURVES!$D$9:$K$261,3))*(INDEX(DailyScalarsTable,Q$5/100,MONTH($A16)))*$B16</f>
        <v>-69052.240825948727</v>
      </c>
      <c r="R16" s="1021">
        <f>(VLOOKUP(YEAR($A16),'NY East Load Projections'!$A$4:$EO$14,((MONTH($A16)-1)*12)+VLOOKUP(R$4,$DE$6:$DF$17,2)+1))*(VLOOKUP($A16,CURVES!$D$9:$K$261,3))*(INDEX(DailyScalarsTable,R$5/100,MONTH($A16)))*$B16</f>
        <v>-67720.101930522127</v>
      </c>
      <c r="S16" s="1021">
        <f>(VLOOKUP(YEAR($A16),'NY East Load Projections'!$A$4:$EO$14,((MONTH($A16)-1)*12)+VLOOKUP(S$4,$DE$6:$DF$17,2)+1))*(VLOOKUP($A16,CURVES!$D$9:$K$261,3))*(INDEX(DailyScalarsTable,S$5/100,MONTH($A16)))*$B16</f>
        <v>-57020.410985063725</v>
      </c>
      <c r="T16" s="1021">
        <f>(VLOOKUP(YEAR($A16),'NY East Load Projections'!$A$4:$EO$14,((MONTH($A16)-1)*12)+VLOOKUP(T$4,$DE$6:$DF$17,2)+1))*(VLOOKUP($A16,CURVES!$D$9:$K$261,3))*(INDEX(DailyScalarsTable,T$5/100,MONTH($A16)))*$B16</f>
        <v>-54095.191753187341</v>
      </c>
      <c r="U16" s="1021">
        <f>(VLOOKUP(YEAR($A16),'NY East Load Projections'!$A$4:$EO$14,((MONTH($A16)-1)*12)+VLOOKUP(U$4,$DE$6:$DF$17,2)+1))*(VLOOKUP($A16,CURVES!$D$9:$K$261,3))*(INDEX(DailyScalarsTable,U$5/100,MONTH($A16)))*$B16</f>
        <v>-52643.095202558114</v>
      </c>
      <c r="V16" s="1021">
        <f>(VLOOKUP(YEAR($A16),'NY East Load Projections'!$A$4:$EO$14,((MONTH($A16)-1)*12)+VLOOKUP(V$4,$DE$6:$DF$17,2)+1))*(VLOOKUP($A16,CURVES!$D$9:$K$261,3))*(INDEX(DailyScalarsTable,V$5/100,MONTH($A16)))*$B16</f>
        <v>-51411.570279872569</v>
      </c>
      <c r="W16" s="1021">
        <f>(VLOOKUP(YEAR($A16),'NY East Load Projections'!$A$4:$EO$14,((MONTH($A16)-1)*12)+VLOOKUP(W$4,$DE$6:$DF$17,2)+1))*(VLOOKUP($A16,CURVES!$D$9:$K$261,3))*(INDEX(DailyScalarsTable,W$5/100,MONTH($A16)))*$B16</f>
        <v>-50566.045706088466</v>
      </c>
      <c r="X16" s="1021">
        <f>(VLOOKUP(YEAR($A16),'NY East Load Projections'!$A$4:$EO$14,((MONTH($A16)-1)*12)+VLOOKUP(X$4,$DE$6:$DF$17,2)+1))*(VLOOKUP($A16,CURVES!$D$9:$K$261,3))*(INDEX(DailyScalarsTable,X$5/100,MONTH($A16)))*$B16</f>
        <v>-52550.334074899671</v>
      </c>
      <c r="Y16" s="1021">
        <f>(VLOOKUP(YEAR($A16),'NY East Load Projections'!$A$4:$EO$14,((MONTH($A16)-1)*12)+VLOOKUP(Y$4,$DE$6:$DF$17,2)+1))*(VLOOKUP($A16,CURVES!$D$9:$K$261,3))*(INDEX(DailyScalarsTable,Y$5/100,MONTH($A16)))*$B16</f>
        <v>-72139.647645567777</v>
      </c>
      <c r="Z16" s="1021">
        <f>(VLOOKUP(YEAR($A16),'NY East Load Projections'!$A$4:$EO$14,((MONTH($A16)-1)*12)+VLOOKUP(Z$4,$DE$6:$DF$17,2)+1))*(VLOOKUP($A16,CURVES!$D$9:$K$261,3))*(INDEX(DailyScalarsTable,Z$5/100,MONTH($A16)))*$B16</f>
        <v>-72720.510801369732</v>
      </c>
      <c r="AA16" s="1021">
        <f>(VLOOKUP(YEAR($A16),'NY East Load Projections'!$A$4:$EO$14,((MONTH($A16)-1)*12)+VLOOKUP(AA$4,$DE$6:$DF$17,2)+1))*(VLOOKUP($A16,CURVES!$D$9:$K$261,3))*(INDEX(DailyScalarsTable,AA$5/100,MONTH($A16)))*$B16</f>
        <v>-69745.068921649494</v>
      </c>
      <c r="AB16" s="1021">
        <f>(VLOOKUP(YEAR($A16),'NY East Load Projections'!$A$4:$EO$14,((MONTH($A16)-1)*12)+VLOOKUP(AB$4,$DE$6:$DF$17,2)+1))*(VLOOKUP($A16,CURVES!$D$9:$K$261,3))*(INDEX(DailyScalarsTable,AB$5/100,MONTH($A16)))*$B16</f>
        <v>-61550.581935413</v>
      </c>
      <c r="AC16" s="1021">
        <f>(VLOOKUP(YEAR($A16),'NY East Load Projections'!$A$4:$EO$14,((MONTH($A16)-1)*12)+VLOOKUP(AC$4,$DE$6:$DF$17,2)+1))*(VLOOKUP($A16,CURVES!$D$9:$K$261,3))*(INDEX(DailyScalarsTable,AC$5/100,MONTH($A16)))*$B16</f>
        <v>-48962.360246537552</v>
      </c>
      <c r="AD16" s="1021">
        <f>(VLOOKUP(YEAR($A16),'NY East Load Projections'!$A$4:$EO$14,((MONTH($A16)-1)*12)+VLOOKUP(AD$4,$DE$6:$DF$17,2)+1))*(VLOOKUP($A16,CURVES!$D$9:$K$261,3))*(INDEX(DailyScalarsTable,AD$5/100,MONTH($A16)))*$B16</f>
        <v>-41291.85426009661</v>
      </c>
      <c r="AE16" s="1021">
        <f>(VLOOKUP(YEAR($A16),'NY East Load Projections'!$A$4:$EO$14,((MONTH($A16)-1)*12)+VLOOKUP(AE$4,$DE$6:$DF$17,2)+1))*(VLOOKUP($A16,CURVES!$D$9:$K$261,7))*(INDEX(DailyScalarsTable,AE$5/100,MONTH($A16)))*$B16</f>
        <v>-36848.457380452674</v>
      </c>
      <c r="AF16" s="1021"/>
      <c r="AG16" s="1021">
        <f>(VLOOKUP(YEAR($A16),'NY East Load Projections'!$A$4:$EO$14,((MONTH($A16)-1)*12)+VLOOKUP(AG$4,$DE$6:$DF$17,2)+1))*(VLOOKUP($A16,CURVES!$D$9:$T$261,7))*(INDEX(DailyScalarsTable,AG$5/100,MONTH($A16)))*$C16</f>
        <v>-6416.9585685218753</v>
      </c>
      <c r="AH16" s="1021">
        <f>(VLOOKUP(YEAR($A16),'NY East Load Projections'!$A$4:$EO$14,((MONTH($A16)-1)*12)+VLOOKUP(AH$4,$DE$6:$DF$17,2)+1))*(VLOOKUP($A16,CURVES!$D$9:$T$261,7))*(INDEX(DailyScalarsTable,AH$5/100,MONTH($A16)))*$C16</f>
        <v>-6083.5114476401041</v>
      </c>
      <c r="AI16" s="1021">
        <f>(VLOOKUP(YEAR($A16),'NY East Load Projections'!$A$4:$EO$14,((MONTH($A16)-1)*12)+VLOOKUP(AI$4,$DE$6:$DF$17,2)+1))*(VLOOKUP($A16,CURVES!$D$9:$T$261,7))*(INDEX(DailyScalarsTable,AI$5/100,MONTH($A16)))*$C16</f>
        <v>-5838.4312656255515</v>
      </c>
      <c r="AJ16" s="1021">
        <f>(VLOOKUP(YEAR($A16),'NY East Load Projections'!$A$4:$EO$14,((MONTH($A16)-1)*12)+VLOOKUP(AJ$4,$DE$6:$DF$17,2)+1))*(VLOOKUP($A16,CURVES!$D$9:$T$261,7))*(INDEX(DailyScalarsTable,AJ$5/100,MONTH($A16)))*$C16</f>
        <v>-5841.8830991750519</v>
      </c>
      <c r="AK16" s="1021">
        <f>(VLOOKUP(YEAR($A16),'NY East Load Projections'!$A$4:$EO$14,((MONTH($A16)-1)*12)+VLOOKUP(AK$4,$DE$6:$DF$17,2)+1))*(VLOOKUP($A16,CURVES!$D$9:$T$261,7))*(INDEX(DailyScalarsTable,AK$5/100,MONTH($A16)))*$C16</f>
        <v>-6359.4950889584607</v>
      </c>
      <c r="AL16" s="1021">
        <f>(VLOOKUP(YEAR($A16),'NY East Load Projections'!$A$4:$EO$14,((MONTH($A16)-1)*12)+VLOOKUP(AL$4,$DE$6:$DF$17,2)+1))*(VLOOKUP($A16,CURVES!$D$9:$T$261,7))*(INDEX(DailyScalarsTable,AL$5/100,MONTH($A16)))*$C16</f>
        <v>-7326.9240716031072</v>
      </c>
      <c r="AM16" s="1021">
        <f>(VLOOKUP(YEAR($A16),'NY East Load Projections'!$A$4:$EO$14,((MONTH($A16)-1)*12)+VLOOKUP(AM$4,$DE$6:$DF$17,2)+1))*(VLOOKUP($A16,CURVES!$D$9:$T$261,7))*(INDEX(DailyScalarsTable,AM$5/100,MONTH($A16)))*$C16</f>
        <v>-10495.096142395872</v>
      </c>
      <c r="AN16" s="1021">
        <f>(VLOOKUP(YEAR($A16),'NY East Load Projections'!$A$4:$EO$14,((MONTH($A16)-1)*12)+VLOOKUP(AN$4,$DE$6:$DF$17,2)+1))*(VLOOKUP($A16,SatSunCurve,3))*(INDEX(DailyScalarsTable,AN$5/100,MONTH($A16)))*$C16</f>
        <v>-9232.9405716837009</v>
      </c>
      <c r="AO16" s="1021">
        <f>(VLOOKUP(YEAR($A16),'NY East Load Projections'!$A$4:$EO$14,((MONTH($A16)-1)*12)+VLOOKUP(AO$4,$DE$6:$DF$17,2)+1))*(VLOOKUP($A16,SatSunCurve,3))*(INDEX(DailyScalarsTable,AO$5/100,MONTH($A16)))*$C16</f>
        <v>-10365.19492386172</v>
      </c>
      <c r="AP16" s="1021">
        <f>(VLOOKUP(YEAR($A16),'NY East Load Projections'!$A$4:$EO$14,((MONTH($A16)-1)*12)+VLOOKUP(AP$4,$DE$6:$DF$17,2)+1))*(VLOOKUP($A16,SatSunCurve,3))*(INDEX(DailyScalarsTable,AP$5/100,MONTH($A16)))*$C16</f>
        <v>-10298.065182537917</v>
      </c>
      <c r="AQ16" s="1021">
        <f>(VLOOKUP(YEAR($A16),'NY East Load Projections'!$A$4:$EO$14,((MONTH($A16)-1)*12)+VLOOKUP(AQ$4,$DE$6:$DF$17,2)+1))*(VLOOKUP($A16,SatSunCurve,3))*(INDEX(DailyScalarsTable,AQ$5/100,MONTH($A16)))*$C16</f>
        <v>-10099.397434566123</v>
      </c>
      <c r="AR16" s="1021">
        <f>(VLOOKUP(YEAR($A16),'NY East Load Projections'!$A$4:$EO$14,((MONTH($A16)-1)*12)+VLOOKUP(AR$4,$DE$6:$DF$17,2)+1))*(VLOOKUP($A16,SatSunCurve,3))*(INDEX(DailyScalarsTable,AR$5/100,MONTH($A16)))*$C16</f>
        <v>-8503.7053401260073</v>
      </c>
      <c r="AS16" s="1021">
        <f>(VLOOKUP(YEAR($A16),'NY East Load Projections'!$A$4:$EO$14,((MONTH($A16)-1)*12)+VLOOKUP(AS$4,$DE$6:$DF$17,2)+1))*(VLOOKUP($A16,SatSunCurve,3))*(INDEX(DailyScalarsTable,AS$5/100,MONTH($A16)))*$C16</f>
        <v>-8047.4902690532181</v>
      </c>
      <c r="AT16" s="1021">
        <f>(VLOOKUP(YEAR($A16),'NY East Load Projections'!$A$4:$EO$14,((MONTH($A16)-1)*12)+VLOOKUP(AT$4,$DE$6:$DF$17,2)+1))*(VLOOKUP($A16,SatSunCurve,3))*(INDEX(DailyScalarsTable,AT$5/100,MONTH($A16)))*$C16</f>
        <v>-7831.4686138526722</v>
      </c>
      <c r="AU16" s="1021">
        <f>(VLOOKUP(YEAR($A16),'NY East Load Projections'!$A$4:$EO$14,((MONTH($A16)-1)*12)+VLOOKUP(AU$4,$DE$6:$DF$17,2)+1))*(VLOOKUP($A16,SatSunCurve,3))*(INDEX(DailyScalarsTable,AU$5/100,MONTH($A16)))*$C16</f>
        <v>-7648.2603746319564</v>
      </c>
      <c r="AV16" s="1021">
        <f>(VLOOKUP(YEAR($A16),'NY East Load Projections'!$A$4:$EO$14,((MONTH($A16)-1)*12)+VLOOKUP(AV$4,$DE$6:$DF$17,2)+1))*(VLOOKUP($A16,SatSunCurve,3))*(INDEX(DailyScalarsTable,AV$5/100,MONTH($A16)))*$C16</f>
        <v>-7522.4756133759438</v>
      </c>
      <c r="AW16" s="1021">
        <f>(VLOOKUP(YEAR($A16),'NY East Load Projections'!$A$4:$EO$14,((MONTH($A16)-1)*12)+VLOOKUP(AW$4,$DE$6:$DF$17,2)+1))*(VLOOKUP($A16,SatSunCurve,3))*(INDEX(DailyScalarsTable,AW$5/100,MONTH($A16)))*$C16</f>
        <v>-7830.16237185501</v>
      </c>
      <c r="AX16" s="1021">
        <f>(VLOOKUP(YEAR($A16),'NY East Load Projections'!$A$4:$EO$14,((MONTH($A16)-1)*12)+VLOOKUP(AX$4,$DE$6:$DF$17,2)+1))*(VLOOKUP($A16,SatSunCurve,3))*(INDEX(DailyScalarsTable,AX$5/100,MONTH($A16)))*$C16</f>
        <v>-10749.030704697419</v>
      </c>
      <c r="AY16" s="1021">
        <f>(VLOOKUP(YEAR($A16),'NY East Load Projections'!$A$4:$EO$14,((MONTH($A16)-1)*12)+VLOOKUP(AY$4,$DE$6:$DF$17,2)+1))*(VLOOKUP($A16,SatSunCurve,3))*(INDEX(DailyScalarsTable,AY$5/100,MONTH($A16)))*$C16</f>
        <v>-10835.581112146301</v>
      </c>
      <c r="AZ16" s="1021">
        <f>(VLOOKUP(YEAR($A16),'NY East Load Projections'!$A$4:$EO$14,((MONTH($A16)-1)*12)+VLOOKUP(AZ$4,$DE$6:$DF$17,2)+1))*(VLOOKUP($A16,SatSunCurve,3))*(INDEX(DailyScalarsTable,AZ$5/100,MONTH($A16)))*$C16</f>
        <v>-10392.231065826516</v>
      </c>
      <c r="BA16" s="1021">
        <f>(VLOOKUP(YEAR($A16),'NY East Load Projections'!$A$4:$EO$14,((MONTH($A16)-1)*12)+VLOOKUP(BA$4,$DE$6:$DF$17,2)+1))*(VLOOKUP($A16,SatSunCurve,3))*(INDEX(DailyScalarsTable,BA$5/100,MONTH($A16)))*$C16</f>
        <v>-9365.5734838860844</v>
      </c>
      <c r="BB16" s="1021">
        <f>(VLOOKUP(YEAR($A16),'NY East Load Projections'!$A$4:$EO$14,((MONTH($A16)-1)*12)+VLOOKUP(BB$4,$DE$6:$DF$17,2)+1))*(VLOOKUP($A16,SatSunCurve,3))*(INDEX(DailyScalarsTable,BB$5/100,MONTH($A16)))*$C16</f>
        <v>-7450.1421174966727</v>
      </c>
      <c r="BC16" s="1021">
        <f>(VLOOKUP(YEAR($A16),'NY East Load Projections'!$A$4:$EO$14,((MONTH($A16)-1)*12)+VLOOKUP(BC$4,$DE$6:$DF$17,2)+1))*(VLOOKUP($A16,SatSunCurve,3))*(INDEX(DailyScalarsTable,BC$5/100,MONTH($A16)))*$C16</f>
        <v>-6282.9933235180324</v>
      </c>
      <c r="BD16" s="1021">
        <f>(VLOOKUP(YEAR($A16),'NY East Load Projections'!$A$4:$EO$14,((MONTH($A16)-1)*12)+VLOOKUP(BD$4,$DE$6:$DF$17,2)+1))*(VLOOKUP($A16,CURVES!$D$9:$T$261,7))*(INDEX(DailyScalarsTable,BD$5/100,MONTH($A16)))*$C16</f>
        <v>-7356.1300352146363</v>
      </c>
      <c r="BE16" s="1021"/>
      <c r="BF16" s="1021">
        <f>(VLOOKUP(YEAR($A16),'NY East Load Projections'!$A$4:$EO$14,((MONTH($A16)-1)*12)+VLOOKUP(BF$4,$DE$6:$DF$17,2)+1))*(VLOOKUP($A16,CURVES!$D$9:$T$261,7))*(INDEX(DailyScalarsTable,BF$5/100,MONTH($A16)))*$D16</f>
        <v>-6416.9585685218753</v>
      </c>
      <c r="BG16" s="1021">
        <f>(VLOOKUP(YEAR($A16),'NY East Load Projections'!$A$4:$EO$14,((MONTH($A16)-1)*12)+VLOOKUP(BG$4,$DE$6:$DF$17,2)+1))*(VLOOKUP($A16,CURVES!$D$9:$T$261,7))*(INDEX(DailyScalarsTable,BG$5/100,MONTH($A16)))*$D16</f>
        <v>-6083.5114476401041</v>
      </c>
      <c r="BH16" s="1021">
        <f>(VLOOKUP(YEAR($A16),'NY East Load Projections'!$A$4:$EO$14,((MONTH($A16)-1)*12)+VLOOKUP(BH$4,$DE$6:$DF$17,2)+1))*(VLOOKUP($A16,CURVES!$D$9:$T$261,7))*(INDEX(DailyScalarsTable,BH$5/100,MONTH($A16)))*$D16</f>
        <v>-5838.4312656255515</v>
      </c>
      <c r="BI16" s="1021">
        <f>(VLOOKUP(YEAR($A16),'NY East Load Projections'!$A$4:$EO$14,((MONTH($A16)-1)*12)+VLOOKUP(BI$4,$DE$6:$DF$17,2)+1))*(VLOOKUP($A16,CURVES!$D$9:$T$261,7))*(INDEX(DailyScalarsTable,BI$5/100,MONTH($A16)))*$D16</f>
        <v>-5841.8830991750519</v>
      </c>
      <c r="BJ16" s="1021">
        <f>(VLOOKUP(YEAR($A16),'NY East Load Projections'!$A$4:$EO$14,((MONTH($A16)-1)*12)+VLOOKUP(BJ$4,$DE$6:$DF$17,2)+1))*(VLOOKUP($A16,CURVES!$D$9:$T$261,7))*(INDEX(DailyScalarsTable,BJ$5/100,MONTH($A16)))*$D16</f>
        <v>-6359.4950889584607</v>
      </c>
      <c r="BK16" s="1021">
        <f>(VLOOKUP(YEAR($A16),'NY East Load Projections'!$A$4:$EO$14,((MONTH($A16)-1)*12)+VLOOKUP(BK$4,$DE$6:$DF$17,2)+1))*(VLOOKUP($A16,CURVES!$D$9:$T$261,7))*(INDEX(DailyScalarsTable,BK$5/100,MONTH($A16)))*$D16</f>
        <v>-7326.9240716031072</v>
      </c>
      <c r="BL16" s="1021">
        <f>(VLOOKUP(YEAR($A16),'NY East Load Projections'!$A$4:$EO$14,((MONTH($A16)-1)*12)+VLOOKUP(BL$4,$DE$6:$DF$17,2)+1))*(VLOOKUP($A16,CURVES!$D$9:$T$261,7))*(INDEX(DailyScalarsTable,BL$5/100,MONTH($A16)))*$D16</f>
        <v>-10495.096142395872</v>
      </c>
      <c r="BM16" s="1021">
        <f>(VLOOKUP(YEAR($A16),'NY East Load Projections'!$A$4:$EO$14,((MONTH($A16)-1)*12)+VLOOKUP(BM$4,$DE$6:$DF$17,2)+1))*(VLOOKUP($A16,SatSunCurve,7))*(INDEX(DailyScalarsTable,BM$5/100,MONTH($A16)))*$D16</f>
        <v>-8466.7760395828409</v>
      </c>
      <c r="BN16" s="1021">
        <f>(VLOOKUP(YEAR($A16),'NY East Load Projections'!$A$4:$EO$14,((MONTH($A16)-1)*12)+VLOOKUP(BN$4,$DE$6:$DF$17,2)+1))*(VLOOKUP($A16,SatSunCurve,7))*(INDEX(DailyScalarsTable,BN$5/100,MONTH($A16)))*$D16</f>
        <v>-9505.0740709960392</v>
      </c>
      <c r="BO16" s="1021">
        <f>(VLOOKUP(YEAR($A16),'NY East Load Projections'!$A$4:$EO$14,((MONTH($A16)-1)*12)+VLOOKUP(BO$4,$DE$6:$DF$17,2)+1))*(VLOOKUP($A16,SatSunCurve,7))*(INDEX(DailyScalarsTable,BO$5/100,MONTH($A16)))*$D16</f>
        <v>-9443.5148655651174</v>
      </c>
      <c r="BP16" s="1021">
        <f>(VLOOKUP(YEAR($A16),'NY East Load Projections'!$A$4:$EO$14,((MONTH($A16)-1)*12)+VLOOKUP(BP$4,$DE$6:$DF$17,2)+1))*(VLOOKUP($A16,SatSunCurve,7))*(INDEX(DailyScalarsTable,BP$5/100,MONTH($A16)))*$D16</f>
        <v>-9261.3328927357688</v>
      </c>
      <c r="BQ16" s="1021">
        <f>(VLOOKUP(YEAR($A16),'NY East Load Projections'!$A$4:$EO$14,((MONTH($A16)-1)*12)+VLOOKUP(BQ$4,$DE$6:$DF$17,2)+1))*(VLOOKUP($A16,SatSunCurve,7))*(INDEX(DailyScalarsTable,BQ$5/100,MONTH($A16)))*$D16</f>
        <v>-7798.0539420196801</v>
      </c>
      <c r="BR16" s="1021">
        <f>(VLOOKUP(YEAR($A16),'NY East Load Projections'!$A$4:$EO$14,((MONTH($A16)-1)*12)+VLOOKUP(BR$4,$DE$6:$DF$17,2)+1))*(VLOOKUP($A16,SatSunCurve,7))*(INDEX(DailyScalarsTable,BR$5/100,MONTH($A16)))*$D16</f>
        <v>-7379.6963448201486</v>
      </c>
      <c r="BS16" s="1021">
        <f>(VLOOKUP(YEAR($A16),'NY East Load Projections'!$A$4:$EO$14,((MONTH($A16)-1)*12)+VLOOKUP(BS$4,$DE$6:$DF$17,2)+1))*(VLOOKUP($A16,SatSunCurve,7))*(INDEX(DailyScalarsTable,BS$5/100,MONTH($A16)))*$D16</f>
        <v>-7181.6005204094135</v>
      </c>
      <c r="BT16" s="1021">
        <f>(VLOOKUP(YEAR($A16),'NY East Load Projections'!$A$4:$EO$14,((MONTH($A16)-1)*12)+VLOOKUP(BT$4,$DE$6:$DF$17,2)+1))*(VLOOKUP($A16,SatSunCurve,7))*(INDEX(DailyScalarsTable,BT$5/100,MONTH($A16)))*$D16</f>
        <v>-7013.5952009724615</v>
      </c>
      <c r="BU16" s="1021">
        <f>(VLOOKUP(YEAR($A16),'NY East Load Projections'!$A$4:$EO$14,((MONTH($A16)-1)*12)+VLOOKUP(BU$4,$DE$6:$DF$17,2)+1))*(VLOOKUP($A16,SatSunCurve,7))*(INDEX(DailyScalarsTable,BU$5/100,MONTH($A16)))*$D16</f>
        <v>-6898.2482652396293</v>
      </c>
      <c r="BV16" s="1021">
        <f>(VLOOKUP(YEAR($A16),'NY East Load Projections'!$A$4:$EO$14,((MONTH($A16)-1)*12)+VLOOKUP(BV$4,$DE$6:$DF$17,2)+1))*(VLOOKUP($A16,SatSunCurve,7))*(INDEX(DailyScalarsTable,BV$5/100,MONTH($A16)))*$D16</f>
        <v>-7180.4026725123276</v>
      </c>
      <c r="BW16" s="1021">
        <f>(VLOOKUP(YEAR($A16),'NY East Load Projections'!$A$4:$EO$14,((MONTH($A16)-1)*12)+VLOOKUP(BW$4,$DE$6:$DF$17,2)+1))*(VLOOKUP($A16,SatSunCurve,7))*(INDEX(DailyScalarsTable,BW$5/100,MONTH($A16)))*$D16</f>
        <v>-9857.0585300188959</v>
      </c>
      <c r="BX16" s="1021">
        <f>(VLOOKUP(YEAR($A16),'NY East Load Projections'!$A$4:$EO$14,((MONTH($A16)-1)*12)+VLOOKUP(BX$4,$DE$6:$DF$17,2)+1))*(VLOOKUP($A16,SatSunCurve,7))*(INDEX(DailyScalarsTable,BX$5/100,MONTH($A16)))*$D16</f>
        <v>-9936.4268428889864</v>
      </c>
      <c r="BY16" s="1021">
        <f>(VLOOKUP(YEAR($A16),'NY East Load Projections'!$A$4:$EO$14,((MONTH($A16)-1)*12)+VLOOKUP(BY$4,$DE$6:$DF$17,2)+1))*(VLOOKUP($A16,SatSunCurve,7))*(INDEX(DailyScalarsTable,BY$5/100,MONTH($A16)))*$D16</f>
        <v>-9529.8667096156732</v>
      </c>
      <c r="BZ16" s="1021">
        <f>(VLOOKUP(YEAR($A16),'NY East Load Projections'!$A$4:$EO$14,((MONTH($A16)-1)*12)+VLOOKUP(BZ$4,$DE$6:$DF$17,2)+1))*(VLOOKUP($A16,SatSunCurve,7))*(INDEX(DailyScalarsTable,BZ$5/100,MONTH($A16)))*$D16</f>
        <v>-8588.4028554793131</v>
      </c>
      <c r="CA16" s="1021">
        <f>(VLOOKUP(YEAR($A16),'NY East Load Projections'!$A$4:$EO$14,((MONTH($A16)-1)*12)+VLOOKUP(CA$4,$DE$6:$DF$17,2)+1))*(VLOOKUP($A16,SatSunCurve,7))*(INDEX(DailyScalarsTable,CA$5/100,MONTH($A16)))*$D16</f>
        <v>-6831.9171213299487</v>
      </c>
      <c r="CB16" s="1021">
        <f>(VLOOKUP(YEAR($A16),'NY East Load Projections'!$A$4:$EO$14,((MONTH($A16)-1)*12)+VLOOKUP(CB$4,$DE$6:$DF$17,2)+1))*(VLOOKUP($A16,SatSunCurve,7))*(INDEX(DailyScalarsTable,CB$5/100,MONTH($A16)))*$D16</f>
        <v>-5761.6202460534842</v>
      </c>
      <c r="CC16" s="1021">
        <f>(VLOOKUP(YEAR($A16),'NY East Load Projections'!$A$4:$EO$14,((MONTH($A16)-1)*12)+VLOOKUP(CC$4,$DE$6:$DF$17,2)+1))*(VLOOKUP($A16,CURVES!$D$9:$T$261,7))*(INDEX(DailyScalarsTable,CC$5/100,MONTH($A16)))*$D16</f>
        <v>-7356.1300352146363</v>
      </c>
      <c r="CE16" s="1021">
        <f>(VLOOKUP(YEAR($A16),'NY East Load Projections'!$A$4:$EO$14,((MONTH($A16)-1)*12)+VLOOKUP(CE$4,$DE$6:$DF$17,2)+1))*(VLOOKUP($A16,CURVES!$D$9:$T$261,7))*(INDEX(DailyScalarsTable,CE$5/100,MONTH($A16)))*$E16</f>
        <v>-1604.2396421304688</v>
      </c>
      <c r="CF16" s="1021">
        <f>(VLOOKUP(YEAR($A16),'NY East Load Projections'!$A$4:$EO$14,((MONTH($A16)-1)*12)+VLOOKUP(CF$4,$DE$6:$DF$17,2)+1))*(VLOOKUP($A16,CURVES!$D$9:$T$261,7))*(INDEX(DailyScalarsTable,CF$5/100,MONTH($A16)))*$E16</f>
        <v>-1520.877861910026</v>
      </c>
      <c r="CG16" s="1021">
        <f>(VLOOKUP(YEAR($A16),'NY East Load Projections'!$A$4:$EO$14,((MONTH($A16)-1)*12)+VLOOKUP(CG$4,$DE$6:$DF$17,2)+1))*(VLOOKUP($A16,CURVES!$D$9:$T$261,7))*(INDEX(DailyScalarsTable,CG$5/100,MONTH($A16)))*$E16</f>
        <v>-1459.6078164063879</v>
      </c>
      <c r="CH16" s="1021">
        <f>(VLOOKUP(YEAR($A16),'NY East Load Projections'!$A$4:$EO$14,((MONTH($A16)-1)*12)+VLOOKUP(CH$4,$DE$6:$DF$17,2)+1))*(VLOOKUP($A16,CURVES!$D$9:$T$261,7))*(INDEX(DailyScalarsTable,CH$5/100,MONTH($A16)))*$E16</f>
        <v>-1460.470774793763</v>
      </c>
      <c r="CI16" s="1021">
        <f>(VLOOKUP(YEAR($A16),'NY East Load Projections'!$A$4:$EO$14,((MONTH($A16)-1)*12)+VLOOKUP(CI$4,$DE$6:$DF$17,2)+1))*(VLOOKUP($A16,CURVES!$D$9:$T$261,7))*(INDEX(DailyScalarsTable,CI$5/100,MONTH($A16)))*$E16</f>
        <v>-1589.8737722396152</v>
      </c>
      <c r="CJ16" s="1021">
        <f>(VLOOKUP(YEAR($A16),'NY East Load Projections'!$A$4:$EO$14,((MONTH($A16)-1)*12)+VLOOKUP(CJ$4,$DE$6:$DF$17,2)+1))*(VLOOKUP($A16,CURVES!$D$9:$T$261,7))*(INDEX(DailyScalarsTable,CJ$5/100,MONTH($A16)))*$E16</f>
        <v>-1831.7310179007768</v>
      </c>
      <c r="CK16" s="1021">
        <f>(VLOOKUP(YEAR($A16),'NY East Load Projections'!$A$4:$EO$14,((MONTH($A16)-1)*12)+VLOOKUP(CK$4,$DE$6:$DF$17,2)+1))*(VLOOKUP($A16,CURVES!$D$9:$T$261,7))*(INDEX(DailyScalarsTable,CK$5/100,MONTH($A16)))*$E16</f>
        <v>-2623.7740355989681</v>
      </c>
      <c r="CL16" s="1021">
        <f>(VLOOKUP(YEAR($A16),'NY East Load Projections'!$A$4:$EO$14,((MONTH($A16)-1)*12)+VLOOKUP(CL$4,$DE$6:$DF$17,2)+1))*(VLOOKUP($A16,SatSunCurve,7))*(INDEX(DailyScalarsTable,CL$5/100,MONTH($A16)))*$E16</f>
        <v>-2116.6940098957102</v>
      </c>
      <c r="CM16" s="1021">
        <f>(VLOOKUP(YEAR($A16),'NY East Load Projections'!$A$4:$EO$14,((MONTH($A16)-1)*12)+VLOOKUP(CM$4,$DE$6:$DF$17,2)+1))*(VLOOKUP($A16,SatSunCurve,7))*(INDEX(DailyScalarsTable,CM$5/100,MONTH($A16)))*$E16</f>
        <v>-2376.2685177490098</v>
      </c>
      <c r="CN16" s="1021">
        <f>(VLOOKUP(YEAR($A16),'NY East Load Projections'!$A$4:$EO$14,((MONTH($A16)-1)*12)+VLOOKUP(CN$4,$DE$6:$DF$17,2)+1))*(VLOOKUP($A16,SatSunCurve,7))*(INDEX(DailyScalarsTable,CN$5/100,MONTH($A16)))*$E16</f>
        <v>-2360.8787163912793</v>
      </c>
      <c r="CO16" s="1021">
        <f>(VLOOKUP(YEAR($A16),'NY East Load Projections'!$A$4:$EO$14,((MONTH($A16)-1)*12)+VLOOKUP(CO$4,$DE$6:$DF$17,2)+1))*(VLOOKUP($A16,SatSunCurve,7))*(INDEX(DailyScalarsTable,CO$5/100,MONTH($A16)))*$E16</f>
        <v>-2315.3332231839422</v>
      </c>
      <c r="CP16" s="1021">
        <f>(VLOOKUP(YEAR($A16),'NY East Load Projections'!$A$4:$EO$14,((MONTH($A16)-1)*12)+VLOOKUP(CP$4,$DE$6:$DF$17,2)+1))*(VLOOKUP($A16,SatSunCurve,7))*(INDEX(DailyScalarsTable,CP$5/100,MONTH($A16)))*$E16</f>
        <v>-1949.51348550492</v>
      </c>
      <c r="CQ16" s="1021">
        <f>(VLOOKUP(YEAR($A16),'NY East Load Projections'!$A$4:$EO$14,((MONTH($A16)-1)*12)+VLOOKUP(CQ$4,$DE$6:$DF$17,2)+1))*(VLOOKUP($A16,SatSunCurve,7))*(INDEX(DailyScalarsTable,CQ$5/100,MONTH($A16)))*$E16</f>
        <v>-1844.9240862050372</v>
      </c>
      <c r="CR16" s="1021">
        <f>(VLOOKUP(YEAR($A16),'NY East Load Projections'!$A$4:$EO$14,((MONTH($A16)-1)*12)+VLOOKUP(CR$4,$DE$6:$DF$17,2)+1))*(VLOOKUP($A16,SatSunCurve,7))*(INDEX(DailyScalarsTable,CR$5/100,MONTH($A16)))*$E16</f>
        <v>-1795.4001301023534</v>
      </c>
      <c r="CS16" s="1021">
        <f>(VLOOKUP(YEAR($A16),'NY East Load Projections'!$A$4:$EO$14,((MONTH($A16)-1)*12)+VLOOKUP(CS$4,$DE$6:$DF$17,2)+1))*(VLOOKUP($A16,SatSunCurve,7))*(INDEX(DailyScalarsTable,CS$5/100,MONTH($A16)))*$E16</f>
        <v>-1753.3988002431154</v>
      </c>
      <c r="CT16" s="1021">
        <f>(VLOOKUP(YEAR($A16),'NY East Load Projections'!$A$4:$EO$14,((MONTH($A16)-1)*12)+VLOOKUP(CT$4,$DE$6:$DF$17,2)+1))*(VLOOKUP($A16,SatSunCurve,7))*(INDEX(DailyScalarsTable,CT$5/100,MONTH($A16)))*$E16</f>
        <v>-1724.5620663099073</v>
      </c>
      <c r="CU16" s="1021">
        <f>(VLOOKUP(YEAR($A16),'NY East Load Projections'!$A$4:$EO$14,((MONTH($A16)-1)*12)+VLOOKUP(CU$4,$DE$6:$DF$17,2)+1))*(VLOOKUP($A16,SatSunCurve,7))*(INDEX(DailyScalarsTable,CU$5/100,MONTH($A16)))*$E16</f>
        <v>-1795.1006681280819</v>
      </c>
      <c r="CV16" s="1021">
        <f>(VLOOKUP(YEAR($A16),'NY East Load Projections'!$A$4:$EO$14,((MONTH($A16)-1)*12)+VLOOKUP(CV$4,$DE$6:$DF$17,2)+1))*(VLOOKUP($A16,SatSunCurve,7))*(INDEX(DailyScalarsTable,CV$5/100,MONTH($A16)))*$E16</f>
        <v>-2464.264632504724</v>
      </c>
      <c r="CW16" s="1021">
        <f>(VLOOKUP(YEAR($A16),'NY East Load Projections'!$A$4:$EO$14,((MONTH($A16)-1)*12)+VLOOKUP(CW$4,$DE$6:$DF$17,2)+1))*(VLOOKUP($A16,SatSunCurve,7))*(INDEX(DailyScalarsTable,CW$5/100,MONTH($A16)))*$E16</f>
        <v>-2484.1067107222466</v>
      </c>
      <c r="CX16" s="1021">
        <f>(VLOOKUP(YEAR($A16),'NY East Load Projections'!$A$4:$EO$14,((MONTH($A16)-1)*12)+VLOOKUP(CX$4,$DE$6:$DF$17,2)+1))*(VLOOKUP($A16,SatSunCurve,7))*(INDEX(DailyScalarsTable,CX$5/100,MONTH($A16)))*$E16</f>
        <v>-2382.4666774039183</v>
      </c>
      <c r="CY16" s="1021">
        <f>(VLOOKUP(YEAR($A16),'NY East Load Projections'!$A$4:$EO$14,((MONTH($A16)-1)*12)+VLOOKUP(CY$4,$DE$6:$DF$17,2)+1))*(VLOOKUP($A16,SatSunCurve,7))*(INDEX(DailyScalarsTable,CY$5/100,MONTH($A16)))*$E16</f>
        <v>-2147.1007138698283</v>
      </c>
      <c r="CZ16" s="1021">
        <f>(VLOOKUP(YEAR($A16),'NY East Load Projections'!$A$4:$EO$14,((MONTH($A16)-1)*12)+VLOOKUP(CZ$4,$DE$6:$DF$17,2)+1))*(VLOOKUP($A16,SatSunCurve,7))*(INDEX(DailyScalarsTable,CZ$5/100,MONTH($A16)))*$E16</f>
        <v>-1707.9792803324872</v>
      </c>
      <c r="DA16" s="1021">
        <f>(VLOOKUP(YEAR($A16),'NY East Load Projections'!$A$4:$EO$14,((MONTH($A16)-1)*12)+VLOOKUP(DA$4,$DE$6:$DF$17,2)+1))*(VLOOKUP($A16,SatSunCurve,7))*(INDEX(DailyScalarsTable,DA$5/100,MONTH($A16)))*$E16</f>
        <v>-1440.405061513371</v>
      </c>
      <c r="DB16" s="1021">
        <f>(VLOOKUP(YEAR($A16),'NY East Load Projections'!$A$4:$EO$14,((MONTH($A16)-1)*12)+VLOOKUP(DB$4,$DE$6:$DF$17,2)+1))*(VLOOKUP($A16,CURVES!$D$9:$T$261,7))*(INDEX(DailyScalarsTable,DB$5/100,MONTH($A16)))*$E16</f>
        <v>-1839.0325088036591</v>
      </c>
      <c r="DE16" s="221" t="s">
        <v>568</v>
      </c>
      <c r="DF16" s="619">
        <v>11</v>
      </c>
      <c r="DH16" s="1032">
        <f t="shared" si="0"/>
        <v>-1666717.8064559915</v>
      </c>
      <c r="DI16">
        <f ca="1">CALC!J36</f>
        <v>0.88371150556546374</v>
      </c>
      <c r="DJ16" s="1029">
        <f t="shared" ca="1" si="1"/>
        <v>-1472897.7020959915</v>
      </c>
    </row>
    <row r="17" spans="1:114" x14ac:dyDescent="0.25">
      <c r="A17" s="244">
        <v>37226</v>
      </c>
      <c r="B17" s="13">
        <v>20</v>
      </c>
      <c r="C17" s="210">
        <v>5</v>
      </c>
      <c r="D17" s="210">
        <v>5</v>
      </c>
      <c r="E17" s="210">
        <v>1</v>
      </c>
      <c r="F17" s="13">
        <v>31</v>
      </c>
      <c r="H17" s="1021">
        <f>(VLOOKUP(YEAR($A17),'NY East Load Projections'!$A$4:$EO$14,((MONTH($A17)-1)*12)+VLOOKUP(H$4,$DE$6:$DF$17,2)+1))*(VLOOKUP($A17,CURVES!$D$9:$K$261,7))*(INDEX(DailyScalarsTable,H$5/100,MONTH($A17)))*$B17</f>
        <v>-31558.02678935702</v>
      </c>
      <c r="I17" s="1021">
        <f>(VLOOKUP(YEAR($A17),'NY East Load Projections'!$A$4:$EO$14,((MONTH($A17)-1)*12)+VLOOKUP(I$4,$DE$6:$DF$17,2)+1))*(VLOOKUP($A17,CURVES!$D$9:$K$261,7))*(INDEX(DailyScalarsTable,I$5/100,MONTH($A17)))*$B17</f>
        <v>-29918.163751244116</v>
      </c>
      <c r="J17" s="1021">
        <f>(VLOOKUP(YEAR($A17),'NY East Load Projections'!$A$4:$EO$14,((MONTH($A17)-1)*12)+VLOOKUP(J$4,$DE$6:$DF$17,2)+1))*(VLOOKUP($A17,CURVES!$D$9:$K$261,7))*(INDEX(DailyScalarsTable,J$5/100,MONTH($A17)))*$B17</f>
        <v>-28712.881394038977</v>
      </c>
      <c r="K17" s="1021">
        <f>(VLOOKUP(YEAR($A17),'NY East Load Projections'!$A$4:$EO$14,((MONTH($A17)-1)*12)+VLOOKUP(K$4,$DE$6:$DF$17,2)+1))*(VLOOKUP($A17,CURVES!$D$9:$K$261,7))*(INDEX(DailyScalarsTable,K$5/100,MONTH($A17)))*$B17</f>
        <v>-28729.857201886934</v>
      </c>
      <c r="L17" s="1021">
        <f>(VLOOKUP(YEAR($A17),'NY East Load Projections'!$A$4:$EO$14,((MONTH($A17)-1)*12)+VLOOKUP(L$4,$DE$6:$DF$17,2)+1))*(VLOOKUP($A17,CURVES!$D$9:$K$261,7))*(INDEX(DailyScalarsTable,L$5/100,MONTH($A17)))*$B17</f>
        <v>-32807.946867409039</v>
      </c>
      <c r="M17" s="1021">
        <f>(VLOOKUP(YEAR($A17),'NY East Load Projections'!$A$4:$EO$14,((MONTH($A17)-1)*12)+VLOOKUP(M$4,$DE$6:$DF$17,2)+1))*(VLOOKUP($A17,CURVES!$D$9:$K$261,7))*(INDEX(DailyScalarsTable,M$5/100,MONTH($A17)))*$B17</f>
        <v>-37798.808282760067</v>
      </c>
      <c r="N17" s="1021">
        <f>(VLOOKUP(YEAR($A17),'NY East Load Projections'!$A$4:$EO$14,((MONTH($A17)-1)*12)+VLOOKUP(N$4,$DE$6:$DF$17,2)+1))*(VLOOKUP($A17,CURVES!$D$9:$K$261,7))*(INDEX(DailyScalarsTable,N$5/100,MONTH($A17)))*$B17</f>
        <v>-54143.06510054486</v>
      </c>
      <c r="O17" s="1021">
        <f>(VLOOKUP(YEAR($A17),'NY East Load Projections'!$A$4:$EO$14,((MONTH($A17)-1)*12)+VLOOKUP(O$4,$DE$6:$DF$17,2)+1))*(VLOOKUP($A17,CURVES!$D$9:$K$261,3))*(INDEX(DailyScalarsTable,O$5/100,MONTH($A17)))*$B17</f>
        <v>-58897.787324360332</v>
      </c>
      <c r="P17" s="1021">
        <f>(VLOOKUP(YEAR($A17),'NY East Load Projections'!$A$4:$EO$14,((MONTH($A17)-1)*12)+VLOOKUP(P$4,$DE$6:$DF$17,2)+1))*(VLOOKUP($A17,CURVES!$D$9:$K$261,3))*(INDEX(DailyScalarsTable,P$5/100,MONTH($A17)))*$B17</f>
        <v>-65614.533071452664</v>
      </c>
      <c r="Q17" s="1021">
        <f>(VLOOKUP(YEAR($A17),'NY East Load Projections'!$A$4:$EO$14,((MONTH($A17)-1)*12)+VLOOKUP(Q$4,$DE$6:$DF$17,2)+1))*(VLOOKUP($A17,CURVES!$D$9:$K$261,3))*(INDEX(DailyScalarsTable,Q$5/100,MONTH($A17)))*$B17</f>
        <v>-65281.893661655813</v>
      </c>
      <c r="R17" s="1021">
        <f>(VLOOKUP(YEAR($A17),'NY East Load Projections'!$A$4:$EO$14,((MONTH($A17)-1)*12)+VLOOKUP(R$4,$DE$6:$DF$17,2)+1))*(VLOOKUP($A17,CURVES!$D$9:$K$261,3))*(INDEX(DailyScalarsTable,R$5/100,MONTH($A17)))*$B17</f>
        <v>-63861.128724896407</v>
      </c>
      <c r="S17" s="1021">
        <f>(VLOOKUP(YEAR($A17),'NY East Load Projections'!$A$4:$EO$14,((MONTH($A17)-1)*12)+VLOOKUP(S$4,$DE$6:$DF$17,2)+1))*(VLOOKUP($A17,CURVES!$D$9:$K$261,3))*(INDEX(DailyScalarsTable,S$5/100,MONTH($A17)))*$B17</f>
        <v>-51891.747928308163</v>
      </c>
      <c r="T17" s="1021">
        <f>(VLOOKUP(YEAR($A17),'NY East Load Projections'!$A$4:$EO$14,((MONTH($A17)-1)*12)+VLOOKUP(T$4,$DE$6:$DF$17,2)+1))*(VLOOKUP($A17,CURVES!$D$9:$K$261,3))*(INDEX(DailyScalarsTable,T$5/100,MONTH($A17)))*$B17</f>
        <v>-49220.048252497072</v>
      </c>
      <c r="U17" s="1021">
        <f>(VLOOKUP(YEAR($A17),'NY East Load Projections'!$A$4:$EO$14,((MONTH($A17)-1)*12)+VLOOKUP(U$4,$DE$6:$DF$17,2)+1))*(VLOOKUP($A17,CURVES!$D$9:$K$261,3))*(INDEX(DailyScalarsTable,U$5/100,MONTH($A17)))*$B17</f>
        <v>-47099.124925123506</v>
      </c>
      <c r="V17" s="1021">
        <f>(VLOOKUP(YEAR($A17),'NY East Load Projections'!$A$4:$EO$14,((MONTH($A17)-1)*12)+VLOOKUP(V$4,$DE$6:$DF$17,2)+1))*(VLOOKUP($A17,CURVES!$D$9:$K$261,3))*(INDEX(DailyScalarsTable,V$5/100,MONTH($A17)))*$B17</f>
        <v>-44730.666779701023</v>
      </c>
      <c r="W17" s="1021">
        <f>(VLOOKUP(YEAR($A17),'NY East Load Projections'!$A$4:$EO$14,((MONTH($A17)-1)*12)+VLOOKUP(W$4,$DE$6:$DF$17,2)+1))*(VLOOKUP($A17,CURVES!$D$9:$K$261,3))*(INDEX(DailyScalarsTable,W$5/100,MONTH($A17)))*$B17</f>
        <v>-43954.307577638545</v>
      </c>
      <c r="X17" s="1021">
        <f>(VLOOKUP(YEAR($A17),'NY East Load Projections'!$A$4:$EO$14,((MONTH($A17)-1)*12)+VLOOKUP(X$4,$DE$6:$DF$17,2)+1))*(VLOOKUP($A17,CURVES!$D$9:$K$261,3))*(INDEX(DailyScalarsTable,X$5/100,MONTH($A17)))*$B17</f>
        <v>-47835.35725068039</v>
      </c>
      <c r="Y17" s="1021">
        <f>(VLOOKUP(YEAR($A17),'NY East Load Projections'!$A$4:$EO$14,((MONTH($A17)-1)*12)+VLOOKUP(Y$4,$DE$6:$DF$17,2)+1))*(VLOOKUP($A17,CURVES!$D$9:$K$261,3))*(INDEX(DailyScalarsTable,Y$5/100,MONTH($A17)))*$B17</f>
        <v>-67416.488437724198</v>
      </c>
      <c r="Z17" s="1021">
        <f>(VLOOKUP(YEAR($A17),'NY East Load Projections'!$A$4:$EO$14,((MONTH($A17)-1)*12)+VLOOKUP(Z$4,$DE$6:$DF$17,2)+1))*(VLOOKUP($A17,CURVES!$D$9:$K$261,3))*(INDEX(DailyScalarsTable,Z$5/100,MONTH($A17)))*$B17</f>
        <v>-66967.324827748787</v>
      </c>
      <c r="AA17" s="1021">
        <f>(VLOOKUP(YEAR($A17),'NY East Load Projections'!$A$4:$EO$14,((MONTH($A17)-1)*12)+VLOOKUP(AA$4,$DE$6:$DF$17,2)+1))*(VLOOKUP($A17,CURVES!$D$9:$K$261,3))*(INDEX(DailyScalarsTable,AA$5/100,MONTH($A17)))*$B17</f>
        <v>-64661.281466536668</v>
      </c>
      <c r="AB17" s="1021">
        <f>(VLOOKUP(YEAR($A17),'NY East Load Projections'!$A$4:$EO$14,((MONTH($A17)-1)*12)+VLOOKUP(AB$4,$DE$6:$DF$17,2)+1))*(VLOOKUP($A17,CURVES!$D$9:$K$261,3))*(INDEX(DailyScalarsTable,AB$5/100,MONTH($A17)))*$B17</f>
        <v>-60270.58429327367</v>
      </c>
      <c r="AC17" s="1021">
        <f>(VLOOKUP(YEAR($A17),'NY East Load Projections'!$A$4:$EO$14,((MONTH($A17)-1)*12)+VLOOKUP(AC$4,$DE$6:$DF$17,2)+1))*(VLOOKUP($A17,CURVES!$D$9:$K$261,3))*(INDEX(DailyScalarsTable,AC$5/100,MONTH($A17)))*$B17</f>
        <v>-44431.234213483796</v>
      </c>
      <c r="AD17" s="1021">
        <f>(VLOOKUP(YEAR($A17),'NY East Load Projections'!$A$4:$EO$14,((MONTH($A17)-1)*12)+VLOOKUP(AD$4,$DE$6:$DF$17,2)+1))*(VLOOKUP($A17,CURVES!$D$9:$K$261,3))*(INDEX(DailyScalarsTable,AD$5/100,MONTH($A17)))*$B17</f>
        <v>-36656.420475598781</v>
      </c>
      <c r="AE17" s="1021">
        <f>(VLOOKUP(YEAR($A17),'NY East Load Projections'!$A$4:$EO$14,((MONTH($A17)-1)*12)+VLOOKUP(AE$4,$DE$6:$DF$17,2)+1))*(VLOOKUP($A17,CURVES!$D$9:$K$261,7))*(INDEX(DailyScalarsTable,AE$5/100,MONTH($A17)))*$B17</f>
        <v>-36630.370581640789</v>
      </c>
      <c r="AF17" s="1021"/>
      <c r="AG17" s="1021">
        <f>(VLOOKUP(YEAR($A17),'NY East Load Projections'!$A$4:$EO$14,((MONTH($A17)-1)*12)+VLOOKUP(AG$4,$DE$6:$DF$17,2)+1))*(VLOOKUP($A17,CURVES!$D$9:$T$261,7))*(INDEX(DailyScalarsTable,AG$5/100,MONTH($A17)))*$C17</f>
        <v>-8052.9783547118595</v>
      </c>
      <c r="AH17" s="1021">
        <f>(VLOOKUP(YEAR($A17),'NY East Load Projections'!$A$4:$EO$14,((MONTH($A17)-1)*12)+VLOOKUP(AH$4,$DE$6:$DF$17,2)+1))*(VLOOKUP($A17,CURVES!$D$9:$T$261,7))*(INDEX(DailyScalarsTable,AH$5/100,MONTH($A17)))*$C17</f>
        <v>-7634.5180485982673</v>
      </c>
      <c r="AI17" s="1021">
        <f>(VLOOKUP(YEAR($A17),'NY East Load Projections'!$A$4:$EO$14,((MONTH($A17)-1)*12)+VLOOKUP(AI$4,$DE$6:$DF$17,2)+1))*(VLOOKUP($A17,CURVES!$D$9:$T$261,7))*(INDEX(DailyScalarsTable,AI$5/100,MONTH($A17)))*$C17</f>
        <v>-7326.9540554920059</v>
      </c>
      <c r="AJ17" s="1021">
        <f>(VLOOKUP(YEAR($A17),'NY East Load Projections'!$A$4:$EO$14,((MONTH($A17)-1)*12)+VLOOKUP(AJ$4,$DE$6:$DF$17,2)+1))*(VLOOKUP($A17,CURVES!$D$9:$T$261,7))*(INDEX(DailyScalarsTable,AJ$5/100,MONTH($A17)))*$C17</f>
        <v>-7331.2859427188541</v>
      </c>
      <c r="AK17" s="1021">
        <f>(VLOOKUP(YEAR($A17),'NY East Load Projections'!$A$4:$EO$14,((MONTH($A17)-1)*12)+VLOOKUP(AK$4,$DE$6:$DF$17,2)+1))*(VLOOKUP($A17,CURVES!$D$9:$T$261,7))*(INDEX(DailyScalarsTable,AK$5/100,MONTH($A17)))*$C17</f>
        <v>-8033.3104279090912</v>
      </c>
      <c r="AL17" s="1021">
        <f>(VLOOKUP(YEAR($A17),'NY East Load Projections'!$A$4:$EO$14,((MONTH($A17)-1)*12)+VLOOKUP(AL$4,$DE$6:$DF$17,2)+1))*(VLOOKUP($A17,CURVES!$D$9:$T$261,7))*(INDEX(DailyScalarsTable,AL$5/100,MONTH($A17)))*$C17</f>
        <v>-9255.3661455137953</v>
      </c>
      <c r="AM17" s="1021">
        <f>(VLOOKUP(YEAR($A17),'NY East Load Projections'!$A$4:$EO$14,((MONTH($A17)-1)*12)+VLOOKUP(AM$4,$DE$6:$DF$17,2)+1))*(VLOOKUP($A17,CURVES!$D$9:$T$261,7))*(INDEX(DailyScalarsTable,AM$5/100,MONTH($A17)))*$C17</f>
        <v>-13257.399227966907</v>
      </c>
      <c r="AN17" s="1021">
        <f>(VLOOKUP(YEAR($A17),'NY East Load Projections'!$A$4:$EO$14,((MONTH($A17)-1)*12)+VLOOKUP(AN$4,$DE$6:$DF$17,2)+1))*(VLOOKUP($A17,SatSunCurve,3))*(INDEX(DailyScalarsTable,AN$5/100,MONTH($A17)))*$C17</f>
        <v>-11699.836167590955</v>
      </c>
      <c r="AO17" s="1021">
        <f>(VLOOKUP(YEAR($A17),'NY East Load Projections'!$A$4:$EO$14,((MONTH($A17)-1)*12)+VLOOKUP(AO$4,$DE$6:$DF$17,2)+1))*(VLOOKUP($A17,SatSunCurve,3))*(INDEX(DailyScalarsTable,AO$5/100,MONTH($A17)))*$C17</f>
        <v>-13086.676171315852</v>
      </c>
      <c r="AP17" s="1021">
        <f>(VLOOKUP(YEAR($A17),'NY East Load Projections'!$A$4:$EO$14,((MONTH($A17)-1)*12)+VLOOKUP(AP$4,$DE$6:$DF$17,2)+1))*(VLOOKUP($A17,SatSunCurve,3))*(INDEX(DailyScalarsTable,AP$5/100,MONTH($A17)))*$C17</f>
        <v>-13020.331963195244</v>
      </c>
      <c r="AQ17" s="1021">
        <f>(VLOOKUP(YEAR($A17),'NY East Load Projections'!$A$4:$EO$14,((MONTH($A17)-1)*12)+VLOOKUP(AQ$4,$DE$6:$DF$17,2)+1))*(VLOOKUP($A17,SatSunCurve,3))*(INDEX(DailyScalarsTable,AQ$5/100,MONTH($A17)))*$C17</f>
        <v>-12736.963481052988</v>
      </c>
      <c r="AR17" s="1021">
        <f>(VLOOKUP(YEAR($A17),'NY East Load Projections'!$A$4:$EO$14,((MONTH($A17)-1)*12)+VLOOKUP(AR$4,$DE$6:$DF$17,2)+1))*(VLOOKUP($A17,SatSunCurve,3))*(INDEX(DailyScalarsTable,AR$5/100,MONTH($A17)))*$C17</f>
        <v>-10349.696466814841</v>
      </c>
      <c r="AS17" s="1021">
        <f>(VLOOKUP(YEAR($A17),'NY East Load Projections'!$A$4:$EO$14,((MONTH($A17)-1)*12)+VLOOKUP(AS$4,$DE$6:$DF$17,2)+1))*(VLOOKUP($A17,SatSunCurve,3))*(INDEX(DailyScalarsTable,AS$5/100,MONTH($A17)))*$C17</f>
        <v>-9796.9732601828164</v>
      </c>
      <c r="AT17" s="1021">
        <f>(VLOOKUP(YEAR($A17),'NY East Load Projections'!$A$4:$EO$14,((MONTH($A17)-1)*12)+VLOOKUP(AT$4,$DE$6:$DF$17,2)+1))*(VLOOKUP($A17,SatSunCurve,3))*(INDEX(DailyScalarsTable,AT$5/100,MONTH($A17)))*$C17</f>
        <v>-9374.8154228198127</v>
      </c>
      <c r="AU17" s="1021">
        <f>(VLOOKUP(YEAR($A17),'NY East Load Projections'!$A$4:$EO$14,((MONTH($A17)-1)*12)+VLOOKUP(AU$4,$DE$6:$DF$17,2)+1))*(VLOOKUP($A17,SatSunCurve,3))*(INDEX(DailyScalarsTable,AU$5/100,MONTH($A17)))*$C17</f>
        <v>-8903.3871747300909</v>
      </c>
      <c r="AV17" s="1021">
        <f>(VLOOKUP(YEAR($A17),'NY East Load Projections'!$A$4:$EO$14,((MONTH($A17)-1)*12)+VLOOKUP(AV$4,$DE$6:$DF$17,2)+1))*(VLOOKUP($A17,SatSunCurve,3))*(INDEX(DailyScalarsTable,AV$5/100,MONTH($A17)))*$C17</f>
        <v>-8748.8572501781164</v>
      </c>
      <c r="AW17" s="1021">
        <f>(VLOOKUP(YEAR($A17),'NY East Load Projections'!$A$4:$EO$14,((MONTH($A17)-1)*12)+VLOOKUP(AW$4,$DE$6:$DF$17,2)+1))*(VLOOKUP($A17,SatSunCurve,3))*(INDEX(DailyScalarsTable,AW$5/100,MONTH($A17)))*$C17</f>
        <v>-9628.7215301310498</v>
      </c>
      <c r="AX17" s="1021">
        <f>(VLOOKUP(YEAR($A17),'NY East Load Projections'!$A$4:$EO$14,((MONTH($A17)-1)*12)+VLOOKUP(AX$4,$DE$6:$DF$17,2)+1))*(VLOOKUP($A17,SatSunCurve,3))*(INDEX(DailyScalarsTable,AX$5/100,MONTH($A17)))*$C17</f>
        <v>-13570.183876841704</v>
      </c>
      <c r="AY17" s="1021">
        <f>(VLOOKUP(YEAR($A17),'NY East Load Projections'!$A$4:$EO$14,((MONTH($A17)-1)*12)+VLOOKUP(AY$4,$DE$6:$DF$17,2)+1))*(VLOOKUP($A17,SatSunCurve,3))*(INDEX(DailyScalarsTable,AY$5/100,MONTH($A17)))*$C17</f>
        <v>-13479.772273992012</v>
      </c>
      <c r="AZ17" s="1021">
        <f>(VLOOKUP(YEAR($A17),'NY East Load Projections'!$A$4:$EO$14,((MONTH($A17)-1)*12)+VLOOKUP(AZ$4,$DE$6:$DF$17,2)+1))*(VLOOKUP($A17,SatSunCurve,3))*(INDEX(DailyScalarsTable,AZ$5/100,MONTH($A17)))*$C17</f>
        <v>-13015.591579256987</v>
      </c>
      <c r="BA17" s="1021">
        <f>(VLOOKUP(YEAR($A17),'NY East Load Projections'!$A$4:$EO$14,((MONTH($A17)-1)*12)+VLOOKUP(BA$4,$DE$6:$DF$17,2)+1))*(VLOOKUP($A17,SatSunCurve,3))*(INDEX(DailyScalarsTable,BA$5/100,MONTH($A17)))*$C17</f>
        <v>-12407.101098983658</v>
      </c>
      <c r="BB17" s="1021">
        <f>(VLOOKUP(YEAR($A17),'NY East Load Projections'!$A$4:$EO$14,((MONTH($A17)-1)*12)+VLOOKUP(BB$4,$DE$6:$DF$17,2)+1))*(VLOOKUP($A17,SatSunCurve,3))*(INDEX(DailyScalarsTable,BB$5/100,MONTH($A17)))*$C17</f>
        <v>-9146.4654159796683</v>
      </c>
      <c r="BC17" s="1021">
        <f>(VLOOKUP(YEAR($A17),'NY East Load Projections'!$A$4:$EO$14,((MONTH($A17)-1)*12)+VLOOKUP(BC$4,$DE$6:$DF$17,2)+1))*(VLOOKUP($A17,SatSunCurve,3))*(INDEX(DailyScalarsTable,BC$5/100,MONTH($A17)))*$C17</f>
        <v>-7545.9682380807008</v>
      </c>
      <c r="BD17" s="1021">
        <f>(VLOOKUP(YEAR($A17),'NY East Load Projections'!$A$4:$EO$14,((MONTH($A17)-1)*12)+VLOOKUP(BD$4,$DE$6:$DF$17,2)+1))*(VLOOKUP($A17,CURVES!$D$9:$T$261,7))*(INDEX(DailyScalarsTable,BD$5/100,MONTH($A17)))*$C17</f>
        <v>-9294.8187928540101</v>
      </c>
      <c r="BE17" s="1021"/>
      <c r="BF17" s="1021">
        <f>(VLOOKUP(YEAR($A17),'NY East Load Projections'!$A$4:$EO$14,((MONTH($A17)-1)*12)+VLOOKUP(BF$4,$DE$6:$DF$17,2)+1))*(VLOOKUP($A17,CURVES!$D$9:$T$261,7))*(INDEX(DailyScalarsTable,BF$5/100,MONTH($A17)))*$D17</f>
        <v>-8052.9783547118595</v>
      </c>
      <c r="BG17" s="1021">
        <f>(VLOOKUP(YEAR($A17),'NY East Load Projections'!$A$4:$EO$14,((MONTH($A17)-1)*12)+VLOOKUP(BG$4,$DE$6:$DF$17,2)+1))*(VLOOKUP($A17,CURVES!$D$9:$T$261,7))*(INDEX(DailyScalarsTable,BG$5/100,MONTH($A17)))*$D17</f>
        <v>-7634.5180485982673</v>
      </c>
      <c r="BH17" s="1021">
        <f>(VLOOKUP(YEAR($A17),'NY East Load Projections'!$A$4:$EO$14,((MONTH($A17)-1)*12)+VLOOKUP(BH$4,$DE$6:$DF$17,2)+1))*(VLOOKUP($A17,CURVES!$D$9:$T$261,7))*(INDEX(DailyScalarsTable,BH$5/100,MONTH($A17)))*$D17</f>
        <v>-7326.9540554920059</v>
      </c>
      <c r="BI17" s="1021">
        <f>(VLOOKUP(YEAR($A17),'NY East Load Projections'!$A$4:$EO$14,((MONTH($A17)-1)*12)+VLOOKUP(BI$4,$DE$6:$DF$17,2)+1))*(VLOOKUP($A17,CURVES!$D$9:$T$261,7))*(INDEX(DailyScalarsTable,BI$5/100,MONTH($A17)))*$D17</f>
        <v>-7331.2859427188541</v>
      </c>
      <c r="BJ17" s="1021">
        <f>(VLOOKUP(YEAR($A17),'NY East Load Projections'!$A$4:$EO$14,((MONTH($A17)-1)*12)+VLOOKUP(BJ$4,$DE$6:$DF$17,2)+1))*(VLOOKUP($A17,CURVES!$D$9:$T$261,7))*(INDEX(DailyScalarsTable,BJ$5/100,MONTH($A17)))*$D17</f>
        <v>-8033.3104279090912</v>
      </c>
      <c r="BK17" s="1021">
        <f>(VLOOKUP(YEAR($A17),'NY East Load Projections'!$A$4:$EO$14,((MONTH($A17)-1)*12)+VLOOKUP(BK$4,$DE$6:$DF$17,2)+1))*(VLOOKUP($A17,CURVES!$D$9:$T$261,7))*(INDEX(DailyScalarsTable,BK$5/100,MONTH($A17)))*$D17</f>
        <v>-9255.3661455137953</v>
      </c>
      <c r="BL17" s="1021">
        <f>(VLOOKUP(YEAR($A17),'NY East Load Projections'!$A$4:$EO$14,((MONTH($A17)-1)*12)+VLOOKUP(BL$4,$DE$6:$DF$17,2)+1))*(VLOOKUP($A17,CURVES!$D$9:$T$261,7))*(INDEX(DailyScalarsTable,BL$5/100,MONTH($A17)))*$D17</f>
        <v>-13257.399227966907</v>
      </c>
      <c r="BM17" s="1021">
        <f>(VLOOKUP(YEAR($A17),'NY East Load Projections'!$A$4:$EO$14,((MONTH($A17)-1)*12)+VLOOKUP(BM$4,$DE$6:$DF$17,2)+1))*(VLOOKUP($A17,SatSunCurve,7))*(INDEX(DailyScalarsTable,BM$5/100,MONTH($A17)))*$D17</f>
        <v>-10095.143601771824</v>
      </c>
      <c r="BN17" s="1021">
        <f>(VLOOKUP(YEAR($A17),'NY East Load Projections'!$A$4:$EO$14,((MONTH($A17)-1)*12)+VLOOKUP(BN$4,$DE$6:$DF$17,2)+1))*(VLOOKUP($A17,SatSunCurve,7))*(INDEX(DailyScalarsTable,BN$5/100,MONTH($A17)))*$D17</f>
        <v>-11291.771382686071</v>
      </c>
      <c r="BO17" s="1021">
        <f>(VLOOKUP(YEAR($A17),'NY East Load Projections'!$A$4:$EO$14,((MONTH($A17)-1)*12)+VLOOKUP(BO$4,$DE$6:$DF$17,2)+1))*(VLOOKUP($A17,SatSunCurve,7))*(INDEX(DailyScalarsTable,BO$5/100,MONTH($A17)))*$D17</f>
        <v>-11234.526623141606</v>
      </c>
      <c r="BP17" s="1021">
        <f>(VLOOKUP(YEAR($A17),'NY East Load Projections'!$A$4:$EO$14,((MONTH($A17)-1)*12)+VLOOKUP(BP$4,$DE$6:$DF$17,2)+1))*(VLOOKUP($A17,SatSunCurve,7))*(INDEX(DailyScalarsTable,BP$5/100,MONTH($A17)))*$D17</f>
        <v>-10990.023582375419</v>
      </c>
      <c r="BQ17" s="1021">
        <f>(VLOOKUP(YEAR($A17),'NY East Load Projections'!$A$4:$EO$14,((MONTH($A17)-1)*12)+VLOOKUP(BQ$4,$DE$6:$DF$17,2)+1))*(VLOOKUP($A17,SatSunCurve,7))*(INDEX(DailyScalarsTable,BQ$5/100,MONTH($A17)))*$D17</f>
        <v>-8930.1824889364652</v>
      </c>
      <c r="BR17" s="1021">
        <f>(VLOOKUP(YEAR($A17),'NY East Load Projections'!$A$4:$EO$14,((MONTH($A17)-1)*12)+VLOOKUP(BR$4,$DE$6:$DF$17,2)+1))*(VLOOKUP($A17,SatSunCurve,7))*(INDEX(DailyScalarsTable,BR$5/100,MONTH($A17)))*$D17</f>
        <v>-8453.2681062856718</v>
      </c>
      <c r="BS17" s="1021">
        <f>(VLOOKUP(YEAR($A17),'NY East Load Projections'!$A$4:$EO$14,((MONTH($A17)-1)*12)+VLOOKUP(BS$4,$DE$6:$DF$17,2)+1))*(VLOOKUP($A17,SatSunCurve,7))*(INDEX(DailyScalarsTable,BS$5/100,MONTH($A17)))*$D17</f>
        <v>-8089.0113825378503</v>
      </c>
      <c r="BT17" s="1021">
        <f>(VLOOKUP(YEAR($A17),'NY East Load Projections'!$A$4:$EO$14,((MONTH($A17)-1)*12)+VLOOKUP(BT$4,$DE$6:$DF$17,2)+1))*(VLOOKUP($A17,SatSunCurve,7))*(INDEX(DailyScalarsTable,BT$5/100,MONTH($A17)))*$D17</f>
        <v>-7682.2419377160113</v>
      </c>
      <c r="BU17" s="1021">
        <f>(VLOOKUP(YEAR($A17),'NY East Load Projections'!$A$4:$EO$14,((MONTH($A17)-1)*12)+VLOOKUP(BU$4,$DE$6:$DF$17,2)+1))*(VLOOKUP($A17,SatSunCurve,7))*(INDEX(DailyScalarsTable,BU$5/100,MONTH($A17)))*$D17</f>
        <v>-7548.9065852565955</v>
      </c>
      <c r="BV17" s="1021">
        <f>(VLOOKUP(YEAR($A17),'NY East Load Projections'!$A$4:$EO$14,((MONTH($A17)-1)*12)+VLOOKUP(BV$4,$DE$6:$DF$17,2)+1))*(VLOOKUP($A17,SatSunCurve,7))*(INDEX(DailyScalarsTable,BV$5/100,MONTH($A17)))*$D17</f>
        <v>-8308.0929643615364</v>
      </c>
      <c r="BW17" s="1021">
        <f>(VLOOKUP(YEAR($A17),'NY East Load Projections'!$A$4:$EO$14,((MONTH($A17)-1)*12)+VLOOKUP(BW$4,$DE$6:$DF$17,2)+1))*(VLOOKUP($A17,SatSunCurve,7))*(INDEX(DailyScalarsTable,BW$5/100,MONTH($A17)))*$D17</f>
        <v>-11708.963525373289</v>
      </c>
      <c r="BX17" s="1021">
        <f>(VLOOKUP(YEAR($A17),'NY East Load Projections'!$A$4:$EO$14,((MONTH($A17)-1)*12)+VLOOKUP(BX$4,$DE$6:$DF$17,2)+1))*(VLOOKUP($A17,SatSunCurve,7))*(INDEX(DailyScalarsTable,BX$5/100,MONTH($A17)))*$D17</f>
        <v>-11630.952337783987</v>
      </c>
      <c r="BY17" s="1021">
        <f>(VLOOKUP(YEAR($A17),'NY East Load Projections'!$A$4:$EO$14,((MONTH($A17)-1)*12)+VLOOKUP(BY$4,$DE$6:$DF$17,2)+1))*(VLOOKUP($A17,SatSunCurve,7))*(INDEX(DailyScalarsTable,BY$5/100,MONTH($A17)))*$D17</f>
        <v>-11230.436407184839</v>
      </c>
      <c r="BZ17" s="1021">
        <f>(VLOOKUP(YEAR($A17),'NY East Load Projections'!$A$4:$EO$14,((MONTH($A17)-1)*12)+VLOOKUP(BZ$4,$DE$6:$DF$17,2)+1))*(VLOOKUP($A17,SatSunCurve,7))*(INDEX(DailyScalarsTable,BZ$5/100,MONTH($A17)))*$D17</f>
        <v>-10705.403518631563</v>
      </c>
      <c r="CA17" s="1021">
        <f>(VLOOKUP(YEAR($A17),'NY East Load Projections'!$A$4:$EO$14,((MONTH($A17)-1)*12)+VLOOKUP(CA$4,$DE$6:$DF$17,2)+1))*(VLOOKUP($A17,SatSunCurve,7))*(INDEX(DailyScalarsTable,CA$5/100,MONTH($A17)))*$D17</f>
        <v>-7891.9807508694839</v>
      </c>
      <c r="CB17" s="1021">
        <f>(VLOOKUP(YEAR($A17),'NY East Load Projections'!$A$4:$EO$14,((MONTH($A17)-1)*12)+VLOOKUP(CB$4,$DE$6:$DF$17,2)+1))*(VLOOKUP($A17,SatSunCurve,7))*(INDEX(DailyScalarsTable,CB$5/100,MONTH($A17)))*$D17</f>
        <v>-6510.999973559381</v>
      </c>
      <c r="CC17" s="1021">
        <f>(VLOOKUP(YEAR($A17),'NY East Load Projections'!$A$4:$EO$14,((MONTH($A17)-1)*12)+VLOOKUP(CC$4,$DE$6:$DF$17,2)+1))*(VLOOKUP($A17,CURVES!$D$9:$T$261,7))*(INDEX(DailyScalarsTable,CC$5/100,MONTH($A17)))*$D17</f>
        <v>-9294.8187928540101</v>
      </c>
      <c r="CE17" s="1021">
        <f>(VLOOKUP(YEAR($A17),'NY East Load Projections'!$A$4:$EO$14,((MONTH($A17)-1)*12)+VLOOKUP(CE$4,$DE$6:$DF$17,2)+1))*(VLOOKUP($A17,CURVES!$D$9:$T$261,7))*(INDEX(DailyScalarsTable,CE$5/100,MONTH($A17)))*$E17</f>
        <v>-1610.595670942372</v>
      </c>
      <c r="CF17" s="1021">
        <f>(VLOOKUP(YEAR($A17),'NY East Load Projections'!$A$4:$EO$14,((MONTH($A17)-1)*12)+VLOOKUP(CF$4,$DE$6:$DF$17,2)+1))*(VLOOKUP($A17,CURVES!$D$9:$T$261,7))*(INDEX(DailyScalarsTable,CF$5/100,MONTH($A17)))*$E17</f>
        <v>-1526.9036097196536</v>
      </c>
      <c r="CG17" s="1021">
        <f>(VLOOKUP(YEAR($A17),'NY East Load Projections'!$A$4:$EO$14,((MONTH($A17)-1)*12)+VLOOKUP(CG$4,$DE$6:$DF$17,2)+1))*(VLOOKUP($A17,CURVES!$D$9:$T$261,7))*(INDEX(DailyScalarsTable,CG$5/100,MONTH($A17)))*$E17</f>
        <v>-1465.3908110984012</v>
      </c>
      <c r="CH17" s="1021">
        <f>(VLOOKUP(YEAR($A17),'NY East Load Projections'!$A$4:$EO$14,((MONTH($A17)-1)*12)+VLOOKUP(CH$4,$DE$6:$DF$17,2)+1))*(VLOOKUP($A17,CURVES!$D$9:$T$261,7))*(INDEX(DailyScalarsTable,CH$5/100,MONTH($A17)))*$E17</f>
        <v>-1466.2571885437708</v>
      </c>
      <c r="CI17" s="1021">
        <f>(VLOOKUP(YEAR($A17),'NY East Load Projections'!$A$4:$EO$14,((MONTH($A17)-1)*12)+VLOOKUP(CI$4,$DE$6:$DF$17,2)+1))*(VLOOKUP($A17,CURVES!$D$9:$T$261,7))*(INDEX(DailyScalarsTable,CI$5/100,MONTH($A17)))*$E17</f>
        <v>-1606.6620855818182</v>
      </c>
      <c r="CJ17" s="1021">
        <f>(VLOOKUP(YEAR($A17),'NY East Load Projections'!$A$4:$EO$14,((MONTH($A17)-1)*12)+VLOOKUP(CJ$4,$DE$6:$DF$17,2)+1))*(VLOOKUP($A17,CURVES!$D$9:$T$261,7))*(INDEX(DailyScalarsTable,CJ$5/100,MONTH($A17)))*$E17</f>
        <v>-1851.0732291027589</v>
      </c>
      <c r="CK17" s="1021">
        <f>(VLOOKUP(YEAR($A17),'NY East Load Projections'!$A$4:$EO$14,((MONTH($A17)-1)*12)+VLOOKUP(CK$4,$DE$6:$DF$17,2)+1))*(VLOOKUP($A17,CURVES!$D$9:$T$261,7))*(INDEX(DailyScalarsTable,CK$5/100,MONTH($A17)))*$E17</f>
        <v>-2651.4798455933815</v>
      </c>
      <c r="CL17" s="1021">
        <f>(VLOOKUP(YEAR($A17),'NY East Load Projections'!$A$4:$EO$14,((MONTH($A17)-1)*12)+VLOOKUP(CL$4,$DE$6:$DF$17,2)+1))*(VLOOKUP($A17,SatSunCurve,7))*(INDEX(DailyScalarsTable,CL$5/100,MONTH($A17)))*$E17</f>
        <v>-2019.0287203543649</v>
      </c>
      <c r="CM17" s="1021">
        <f>(VLOOKUP(YEAR($A17),'NY East Load Projections'!$A$4:$EO$14,((MONTH($A17)-1)*12)+VLOOKUP(CM$4,$DE$6:$DF$17,2)+1))*(VLOOKUP($A17,SatSunCurve,7))*(INDEX(DailyScalarsTable,CM$5/100,MONTH($A17)))*$E17</f>
        <v>-2258.354276537214</v>
      </c>
      <c r="CN17" s="1021">
        <f>(VLOOKUP(YEAR($A17),'NY East Load Projections'!$A$4:$EO$14,((MONTH($A17)-1)*12)+VLOOKUP(CN$4,$DE$6:$DF$17,2)+1))*(VLOOKUP($A17,SatSunCurve,7))*(INDEX(DailyScalarsTable,CN$5/100,MONTH($A17)))*$E17</f>
        <v>-2246.9053246283211</v>
      </c>
      <c r="CO17" s="1021">
        <f>(VLOOKUP(YEAR($A17),'NY East Load Projections'!$A$4:$EO$14,((MONTH($A17)-1)*12)+VLOOKUP(CO$4,$DE$6:$DF$17,2)+1))*(VLOOKUP($A17,SatSunCurve,7))*(INDEX(DailyScalarsTable,CO$5/100,MONTH($A17)))*$E17</f>
        <v>-2198.004716475084</v>
      </c>
      <c r="CP17" s="1021">
        <f>(VLOOKUP(YEAR($A17),'NY East Load Projections'!$A$4:$EO$14,((MONTH($A17)-1)*12)+VLOOKUP(CP$4,$DE$6:$DF$17,2)+1))*(VLOOKUP($A17,SatSunCurve,7))*(INDEX(DailyScalarsTable,CP$5/100,MONTH($A17)))*$E17</f>
        <v>-1786.0364977872932</v>
      </c>
      <c r="CQ17" s="1021">
        <f>(VLOOKUP(YEAR($A17),'NY East Load Projections'!$A$4:$EO$14,((MONTH($A17)-1)*12)+VLOOKUP(CQ$4,$DE$6:$DF$17,2)+1))*(VLOOKUP($A17,SatSunCurve,7))*(INDEX(DailyScalarsTable,CQ$5/100,MONTH($A17)))*$E17</f>
        <v>-1690.6536212571343</v>
      </c>
      <c r="CR17" s="1021">
        <f>(VLOOKUP(YEAR($A17),'NY East Load Projections'!$A$4:$EO$14,((MONTH($A17)-1)*12)+VLOOKUP(CR$4,$DE$6:$DF$17,2)+1))*(VLOOKUP($A17,SatSunCurve,7))*(INDEX(DailyScalarsTable,CR$5/100,MONTH($A17)))*$E17</f>
        <v>-1617.80227650757</v>
      </c>
      <c r="CS17" s="1021">
        <f>(VLOOKUP(YEAR($A17),'NY East Load Projections'!$A$4:$EO$14,((MONTH($A17)-1)*12)+VLOOKUP(CS$4,$DE$6:$DF$17,2)+1))*(VLOOKUP($A17,SatSunCurve,7))*(INDEX(DailyScalarsTable,CS$5/100,MONTH($A17)))*$E17</f>
        <v>-1536.4483875432022</v>
      </c>
      <c r="CT17" s="1021">
        <f>(VLOOKUP(YEAR($A17),'NY East Load Projections'!$A$4:$EO$14,((MONTH($A17)-1)*12)+VLOOKUP(CT$4,$DE$6:$DF$17,2)+1))*(VLOOKUP($A17,SatSunCurve,7))*(INDEX(DailyScalarsTable,CT$5/100,MONTH($A17)))*$E17</f>
        <v>-1509.7813170513191</v>
      </c>
      <c r="CU17" s="1021">
        <f>(VLOOKUP(YEAR($A17),'NY East Load Projections'!$A$4:$EO$14,((MONTH($A17)-1)*12)+VLOOKUP(CU$4,$DE$6:$DF$17,2)+1))*(VLOOKUP($A17,SatSunCurve,7))*(INDEX(DailyScalarsTable,CU$5/100,MONTH($A17)))*$E17</f>
        <v>-1661.6185928723073</v>
      </c>
      <c r="CV17" s="1021">
        <f>(VLOOKUP(YEAR($A17),'NY East Load Projections'!$A$4:$EO$14,((MONTH($A17)-1)*12)+VLOOKUP(CV$4,$DE$6:$DF$17,2)+1))*(VLOOKUP($A17,SatSunCurve,7))*(INDEX(DailyScalarsTable,CV$5/100,MONTH($A17)))*$E17</f>
        <v>-2341.7927050746575</v>
      </c>
      <c r="CW17" s="1021">
        <f>(VLOOKUP(YEAR($A17),'NY East Load Projections'!$A$4:$EO$14,((MONTH($A17)-1)*12)+VLOOKUP(CW$4,$DE$6:$DF$17,2)+1))*(VLOOKUP($A17,SatSunCurve,7))*(INDEX(DailyScalarsTable,CW$5/100,MONTH($A17)))*$E17</f>
        <v>-2326.1904675567976</v>
      </c>
      <c r="CX17" s="1021">
        <f>(VLOOKUP(YEAR($A17),'NY East Load Projections'!$A$4:$EO$14,((MONTH($A17)-1)*12)+VLOOKUP(CX$4,$DE$6:$DF$17,2)+1))*(VLOOKUP($A17,SatSunCurve,7))*(INDEX(DailyScalarsTable,CX$5/100,MONTH($A17)))*$E17</f>
        <v>-2246.0872814369677</v>
      </c>
      <c r="CY17" s="1021">
        <f>(VLOOKUP(YEAR($A17),'NY East Load Projections'!$A$4:$EO$14,((MONTH($A17)-1)*12)+VLOOKUP(CY$4,$DE$6:$DF$17,2)+1))*(VLOOKUP($A17,SatSunCurve,7))*(INDEX(DailyScalarsTable,CY$5/100,MONTH($A17)))*$E17</f>
        <v>-2141.0807037263125</v>
      </c>
      <c r="CZ17" s="1021">
        <f>(VLOOKUP(YEAR($A17),'NY East Load Projections'!$A$4:$EO$14,((MONTH($A17)-1)*12)+VLOOKUP(CZ$4,$DE$6:$DF$17,2)+1))*(VLOOKUP($A17,SatSunCurve,7))*(INDEX(DailyScalarsTable,CZ$5/100,MONTH($A17)))*$E17</f>
        <v>-1578.3961501738968</v>
      </c>
      <c r="DA17" s="1021">
        <f>(VLOOKUP(YEAR($A17),'NY East Load Projections'!$A$4:$EO$14,((MONTH($A17)-1)*12)+VLOOKUP(DA$4,$DE$6:$DF$17,2)+1))*(VLOOKUP($A17,SatSunCurve,7))*(INDEX(DailyScalarsTable,DA$5/100,MONTH($A17)))*$E17</f>
        <v>-1302.1999947118761</v>
      </c>
      <c r="DB17" s="1021">
        <f>(VLOOKUP(YEAR($A17),'NY East Load Projections'!$A$4:$EO$14,((MONTH($A17)-1)*12)+VLOOKUP(DB$4,$DE$6:$DF$17,2)+1))*(VLOOKUP($A17,CURVES!$D$9:$T$261,7))*(INDEX(DailyScalarsTable,DB$5/100,MONTH($A17)))*$E17</f>
        <v>-1858.9637585708019</v>
      </c>
      <c r="DE17" s="1019" t="s">
        <v>569</v>
      </c>
      <c r="DF17" s="1020">
        <v>12</v>
      </c>
      <c r="DH17" s="1032">
        <f t="shared" si="0"/>
        <v>-1672773.2649435559</v>
      </c>
      <c r="DI17">
        <f ca="1">CALC!J37</f>
        <v>0.87822441142858754</v>
      </c>
      <c r="DJ17" s="1029">
        <f t="shared" ca="1" si="1"/>
        <v>-1469070.3160585312</v>
      </c>
    </row>
    <row r="18" spans="1:114" x14ac:dyDescent="0.25">
      <c r="A18" s="244">
        <v>37257</v>
      </c>
      <c r="B18" s="13">
        <v>22</v>
      </c>
      <c r="C18" s="210">
        <v>4</v>
      </c>
      <c r="D18" s="210">
        <v>4</v>
      </c>
      <c r="E18" s="210">
        <v>1</v>
      </c>
      <c r="F18" s="13">
        <v>31</v>
      </c>
      <c r="H18" s="1021">
        <f>(VLOOKUP(YEAR($A18),'NY East Load Projections'!$A$4:$EO$14,((MONTH($A18)-1)*12)+VLOOKUP(H$4,$DE$6:$DF$17,2)+1))*(VLOOKUP($A18,CURVES!$D$9:$K$261,7))*(INDEX(DailyScalarsTable,H$5/100,MONTH($A18)))*$B18</f>
        <v>-32060.051720293595</v>
      </c>
      <c r="I18" s="1021">
        <f>(VLOOKUP(YEAR($A18),'NY East Load Projections'!$A$4:$EO$14,((MONTH($A18)-1)*12)+VLOOKUP(I$4,$DE$6:$DF$17,2)+1))*(VLOOKUP($A18,CURVES!$D$9:$K$261,7))*(INDEX(DailyScalarsTable,I$5/100,MONTH($A18)))*$B18</f>
        <v>-31435.432592933077</v>
      </c>
      <c r="J18" s="1021">
        <f>(VLOOKUP(YEAR($A18),'NY East Load Projections'!$A$4:$EO$14,((MONTH($A18)-1)*12)+VLOOKUP(J$4,$DE$6:$DF$17,2)+1))*(VLOOKUP($A18,CURVES!$D$9:$K$261,7))*(INDEX(DailyScalarsTable,J$5/100,MONTH($A18)))*$B18</f>
        <v>-28805.876655828251</v>
      </c>
      <c r="K18" s="1021">
        <f>(VLOOKUP(YEAR($A18),'NY East Load Projections'!$A$4:$EO$14,((MONTH($A18)-1)*12)+VLOOKUP(K$4,$DE$6:$DF$17,2)+1))*(VLOOKUP($A18,CURVES!$D$9:$K$261,7))*(INDEX(DailyScalarsTable,K$5/100,MONTH($A18)))*$B18</f>
        <v>-28788.460176261484</v>
      </c>
      <c r="L18" s="1021">
        <f>(VLOOKUP(YEAR($A18),'NY East Load Projections'!$A$4:$EO$14,((MONTH($A18)-1)*12)+VLOOKUP(L$4,$DE$6:$DF$17,2)+1))*(VLOOKUP($A18,CURVES!$D$9:$K$261,7))*(INDEX(DailyScalarsTable,L$5/100,MONTH($A18)))*$B18</f>
        <v>-32000.997718248229</v>
      </c>
      <c r="M18" s="1021">
        <f>(VLOOKUP(YEAR($A18),'NY East Load Projections'!$A$4:$EO$14,((MONTH($A18)-1)*12)+VLOOKUP(M$4,$DE$6:$DF$17,2)+1))*(VLOOKUP($A18,CURVES!$D$9:$K$261,7))*(INDEX(DailyScalarsTable,M$5/100,MONTH($A18)))*$B18</f>
        <v>-34152.03938412929</v>
      </c>
      <c r="N18" s="1021">
        <f>(VLOOKUP(YEAR($A18),'NY East Load Projections'!$A$4:$EO$14,((MONTH($A18)-1)*12)+VLOOKUP(N$4,$DE$6:$DF$17,2)+1))*(VLOOKUP($A18,CURVES!$D$9:$K$261,7))*(INDEX(DailyScalarsTable,N$5/100,MONTH($A18)))*$B18</f>
        <v>-65400.739577754794</v>
      </c>
      <c r="O18" s="1021">
        <f>(VLOOKUP(YEAR($A18),'NY East Load Projections'!$A$4:$EO$14,((MONTH($A18)-1)*12)+VLOOKUP(O$4,$DE$6:$DF$17,2)+1))*(VLOOKUP($A18,CURVES!$D$9:$K$261,3))*(INDEX(DailyScalarsTable,O$5/100,MONTH($A18)))*$B18</f>
        <v>-77094.740643034136</v>
      </c>
      <c r="P18" s="1021">
        <f>(VLOOKUP(YEAR($A18),'NY East Load Projections'!$A$4:$EO$14,((MONTH($A18)-1)*12)+VLOOKUP(P$4,$DE$6:$DF$17,2)+1))*(VLOOKUP($A18,CURVES!$D$9:$K$261,3))*(INDEX(DailyScalarsTable,P$5/100,MONTH($A18)))*$B18</f>
        <v>-84014.957980475592</v>
      </c>
      <c r="Q18" s="1021">
        <f>(VLOOKUP(YEAR($A18),'NY East Load Projections'!$A$4:$EO$14,((MONTH($A18)-1)*12)+VLOOKUP(Q$4,$DE$6:$DF$17,2)+1))*(VLOOKUP($A18,CURVES!$D$9:$K$261,3))*(INDEX(DailyScalarsTable,Q$5/100,MONTH($A18)))*$B18</f>
        <v>-83759.250194779728</v>
      </c>
      <c r="R18" s="1021">
        <f>(VLOOKUP(YEAR($A18),'NY East Load Projections'!$A$4:$EO$14,((MONTH($A18)-1)*12)+VLOOKUP(R$4,$DE$6:$DF$17,2)+1))*(VLOOKUP($A18,CURVES!$D$9:$K$261,3))*(INDEX(DailyScalarsTable,R$5/100,MONTH($A18)))*$B18</f>
        <v>-82297.54141979359</v>
      </c>
      <c r="S18" s="1021">
        <f>(VLOOKUP(YEAR($A18),'NY East Load Projections'!$A$4:$EO$14,((MONTH($A18)-1)*12)+VLOOKUP(S$4,$DE$6:$DF$17,2)+1))*(VLOOKUP($A18,CURVES!$D$9:$K$261,3))*(INDEX(DailyScalarsTable,S$5/100,MONTH($A18)))*$B18</f>
        <v>-61648.644962795959</v>
      </c>
      <c r="T18" s="1021">
        <f>(VLOOKUP(YEAR($A18),'NY East Load Projections'!$A$4:$EO$14,((MONTH($A18)-1)*12)+VLOOKUP(T$4,$DE$6:$DF$17,2)+1))*(VLOOKUP($A18,CURVES!$D$9:$K$261,3))*(INDEX(DailyScalarsTable,T$5/100,MONTH($A18)))*$B18</f>
        <v>-59765.334929914039</v>
      </c>
      <c r="U18" s="1021">
        <f>(VLOOKUP(YEAR($A18),'NY East Load Projections'!$A$4:$EO$14,((MONTH($A18)-1)*12)+VLOOKUP(U$4,$DE$6:$DF$17,2)+1))*(VLOOKUP($A18,CURVES!$D$9:$K$261,3))*(INDEX(DailyScalarsTable,U$5/100,MONTH($A18)))*$B18</f>
        <v>-57835.616581685652</v>
      </c>
      <c r="V18" s="1021">
        <f>(VLOOKUP(YEAR($A18),'NY East Load Projections'!$A$4:$EO$14,((MONTH($A18)-1)*12)+VLOOKUP(V$4,$DE$6:$DF$17,2)+1))*(VLOOKUP($A18,CURVES!$D$9:$K$261,3))*(INDEX(DailyScalarsTable,V$5/100,MONTH($A18)))*$B18</f>
        <v>-54892.096927322782</v>
      </c>
      <c r="W18" s="1021">
        <f>(VLOOKUP(YEAR($A18),'NY East Load Projections'!$A$4:$EO$14,((MONTH($A18)-1)*12)+VLOOKUP(W$4,$DE$6:$DF$17,2)+1))*(VLOOKUP($A18,CURVES!$D$9:$K$261,3))*(INDEX(DailyScalarsTable,W$5/100,MONTH($A18)))*$B18</f>
        <v>-53787.403090293483</v>
      </c>
      <c r="X18" s="1021">
        <f>(VLOOKUP(YEAR($A18),'NY East Load Projections'!$A$4:$EO$14,((MONTH($A18)-1)*12)+VLOOKUP(X$4,$DE$6:$DF$17,2)+1))*(VLOOKUP($A18,CURVES!$D$9:$K$261,3))*(INDEX(DailyScalarsTable,X$5/100,MONTH($A18)))*$B18</f>
        <v>-56376.890331125658</v>
      </c>
      <c r="Y18" s="1021">
        <f>(VLOOKUP(YEAR($A18),'NY East Load Projections'!$A$4:$EO$14,((MONTH($A18)-1)*12)+VLOOKUP(Y$4,$DE$6:$DF$17,2)+1))*(VLOOKUP($A18,CURVES!$D$9:$K$261,3))*(INDEX(DailyScalarsTable,Y$5/100,MONTH($A18)))*$B18</f>
        <v>-78445.993637349107</v>
      </c>
      <c r="Z18" s="1021">
        <f>(VLOOKUP(YEAR($A18),'NY East Load Projections'!$A$4:$EO$14,((MONTH($A18)-1)*12)+VLOOKUP(Z$4,$DE$6:$DF$17,2)+1))*(VLOOKUP($A18,CURVES!$D$9:$K$261,3))*(INDEX(DailyScalarsTable,Z$5/100,MONTH($A18)))*$B18</f>
        <v>-86076.098434615167</v>
      </c>
      <c r="AA18" s="1021">
        <f>(VLOOKUP(YEAR($A18),'NY East Load Projections'!$A$4:$EO$14,((MONTH($A18)-1)*12)+VLOOKUP(AA$4,$DE$6:$DF$17,2)+1))*(VLOOKUP($A18,CURVES!$D$9:$K$261,3))*(INDEX(DailyScalarsTable,AA$5/100,MONTH($A18)))*$B18</f>
        <v>-82389.762310970924</v>
      </c>
      <c r="AB18" s="1021">
        <f>(VLOOKUP(YEAR($A18),'NY East Load Projections'!$A$4:$EO$14,((MONTH($A18)-1)*12)+VLOOKUP(AB$4,$DE$6:$DF$17,2)+1))*(VLOOKUP($A18,CURVES!$D$9:$K$261,3))*(INDEX(DailyScalarsTable,AB$5/100,MONTH($A18)))*$B18</f>
        <v>-73777.309026866526</v>
      </c>
      <c r="AC18" s="1021">
        <f>(VLOOKUP(YEAR($A18),'NY East Load Projections'!$A$4:$EO$14,((MONTH($A18)-1)*12)+VLOOKUP(AC$4,$DE$6:$DF$17,2)+1))*(VLOOKUP($A18,CURVES!$D$9:$K$261,3))*(INDEX(DailyScalarsTable,AC$5/100,MONTH($A18)))*$B18</f>
        <v>-52472.130933631946</v>
      </c>
      <c r="AD18" s="1021">
        <f>(VLOOKUP(YEAR($A18),'NY East Load Projections'!$A$4:$EO$14,((MONTH($A18)-1)*12)+VLOOKUP(AD$4,$DE$6:$DF$17,2)+1))*(VLOOKUP($A18,CURVES!$D$9:$K$261,3))*(INDEX(DailyScalarsTable,AD$5/100,MONTH($A18)))*$B18</f>
        <v>-42954.970240861207</v>
      </c>
      <c r="AE18" s="1021">
        <f>(VLOOKUP(YEAR($A18),'NY East Load Projections'!$A$4:$EO$14,((MONTH($A18)-1)*12)+VLOOKUP(AE$4,$DE$6:$DF$17,2)+1))*(VLOOKUP($A18,CURVES!$D$9:$K$261,7))*(INDEX(DailyScalarsTable,AE$5/100,MONTH($A18)))*$B18</f>
        <v>-37505.088337815687</v>
      </c>
      <c r="AF18" s="1021"/>
      <c r="AG18" s="1021">
        <f>(VLOOKUP(YEAR($A18),'NY East Load Projections'!$A$4:$EO$14,((MONTH($A18)-1)*12)+VLOOKUP(AG$4,$DE$6:$DF$17,2)+1))*(VLOOKUP($A18,CURVES!$D$9:$T$261,7))*(INDEX(DailyScalarsTable,AG$5/100,MONTH($A18)))*$C18</f>
        <v>-6321.7343028399073</v>
      </c>
      <c r="AH18" s="1021">
        <f>(VLOOKUP(YEAR($A18),'NY East Load Projections'!$A$4:$EO$14,((MONTH($A18)-1)*12)+VLOOKUP(AH$4,$DE$6:$DF$17,2)+1))*(VLOOKUP($A18,CURVES!$D$9:$T$261,7))*(INDEX(DailyScalarsTable,AH$5/100,MONTH($A18)))*$C18</f>
        <v>-6198.569306161332</v>
      </c>
      <c r="AI18" s="1021">
        <f>(VLOOKUP(YEAR($A18),'NY East Load Projections'!$A$4:$EO$14,((MONTH($A18)-1)*12)+VLOOKUP(AI$4,$DE$6:$DF$17,2)+1))*(VLOOKUP($A18,CURVES!$D$9:$T$261,7))*(INDEX(DailyScalarsTable,AI$5/100,MONTH($A18)))*$C18</f>
        <v>-5680.0625328765736</v>
      </c>
      <c r="AJ18" s="1021">
        <f>(VLOOKUP(YEAR($A18),'NY East Load Projections'!$A$4:$EO$14,((MONTH($A18)-1)*12)+VLOOKUP(AJ$4,$DE$6:$DF$17,2)+1))*(VLOOKUP($A18,CURVES!$D$9:$T$261,7))*(INDEX(DailyScalarsTable,AJ$5/100,MONTH($A18)))*$C18</f>
        <v>-5676.6282790184532</v>
      </c>
      <c r="AK18" s="1021">
        <f>(VLOOKUP(YEAR($A18),'NY East Load Projections'!$A$4:$EO$14,((MONTH($A18)-1)*12)+VLOOKUP(AK$4,$DE$6:$DF$17,2)+1))*(VLOOKUP($A18,CURVES!$D$9:$T$261,7))*(INDEX(DailyScalarsTable,AK$5/100,MONTH($A18)))*$C18</f>
        <v>-5978.4480035001634</v>
      </c>
      <c r="AL18" s="1021">
        <f>(VLOOKUP(YEAR($A18),'NY East Load Projections'!$A$4:$EO$14,((MONTH($A18)-1)*12)+VLOOKUP(AL$4,$DE$6:$DF$17,2)+1))*(VLOOKUP($A18,CURVES!$D$9:$T$261,7))*(INDEX(DailyScalarsTable,AL$5/100,MONTH($A18)))*$C18</f>
        <v>-6380.3070600851124</v>
      </c>
      <c r="AM18" s="1021">
        <f>(VLOOKUP(YEAR($A18),'NY East Load Projections'!$A$4:$EO$14,((MONTH($A18)-1)*12)+VLOOKUP(AM$4,$DE$6:$DF$17,2)+1))*(VLOOKUP($A18,CURVES!$D$9:$T$261,7))*(INDEX(DailyScalarsTable,AM$5/100,MONTH($A18)))*$C18</f>
        <v>-12218.210332020417</v>
      </c>
      <c r="AN18" s="1021">
        <f>(VLOOKUP(YEAR($A18),'NY East Load Projections'!$A$4:$EO$14,((MONTH($A18)-1)*12)+VLOOKUP(AN$4,$DE$6:$DF$17,2)+1))*(VLOOKUP($A18,SatSunCurve,3))*(INDEX(DailyScalarsTable,AN$5/100,MONTH($A18)))*$C18</f>
        <v>-11152.022175751667</v>
      </c>
      <c r="AO18" s="1021">
        <f>(VLOOKUP(YEAR($A18),'NY East Load Projections'!$A$4:$EO$14,((MONTH($A18)-1)*12)+VLOOKUP(AO$4,$DE$6:$DF$17,2)+1))*(VLOOKUP($A18,SatSunCurve,3))*(INDEX(DailyScalarsTable,AO$5/100,MONTH($A18)))*$C18</f>
        <v>-12411.258639598072</v>
      </c>
      <c r="AP18" s="1021">
        <f>(VLOOKUP(YEAR($A18),'NY East Load Projections'!$A$4:$EO$14,((MONTH($A18)-1)*12)+VLOOKUP(AP$4,$DE$6:$DF$17,2)+1))*(VLOOKUP($A18,SatSunCurve,3))*(INDEX(DailyScalarsTable,AP$5/100,MONTH($A18)))*$C18</f>
        <v>-12373.483753545428</v>
      </c>
      <c r="AQ18" s="1021">
        <f>(VLOOKUP(YEAR($A18),'NY East Load Projections'!$A$4:$EO$14,((MONTH($A18)-1)*12)+VLOOKUP(AQ$4,$DE$6:$DF$17,2)+1))*(VLOOKUP($A18,SatSunCurve,3))*(INDEX(DailyScalarsTable,AQ$5/100,MONTH($A18)))*$C18</f>
        <v>-12157.550232917602</v>
      </c>
      <c r="AR18" s="1021">
        <f>(VLOOKUP(YEAR($A18),'NY East Load Projections'!$A$4:$EO$14,((MONTH($A18)-1)*12)+VLOOKUP(AR$4,$DE$6:$DF$17,2)+1))*(VLOOKUP($A18,SatSunCurve,3))*(INDEX(DailyScalarsTable,AR$5/100,MONTH($A18)))*$C18</f>
        <v>-9107.1553900178988</v>
      </c>
      <c r="AS18" s="1021">
        <f>(VLOOKUP(YEAR($A18),'NY East Load Projections'!$A$4:$EO$14,((MONTH($A18)-1)*12)+VLOOKUP(AS$4,$DE$6:$DF$17,2)+1))*(VLOOKUP($A18,SatSunCurve,3))*(INDEX(DailyScalarsTable,AS$5/100,MONTH($A18)))*$C18</f>
        <v>-8665.8825049673669</v>
      </c>
      <c r="AT18" s="1021">
        <f>(VLOOKUP(YEAR($A18),'NY East Load Projections'!$A$4:$EO$14,((MONTH($A18)-1)*12)+VLOOKUP(AT$4,$DE$6:$DF$17,2)+1))*(VLOOKUP($A18,SatSunCurve,3))*(INDEX(DailyScalarsTable,AT$5/100,MONTH($A18)))*$C18</f>
        <v>-8386.0762846385187</v>
      </c>
      <c r="AU18" s="1021">
        <f>(VLOOKUP(YEAR($A18),'NY East Load Projections'!$A$4:$EO$14,((MONTH($A18)-1)*12)+VLOOKUP(AU$4,$DE$6:$DF$17,2)+1))*(VLOOKUP($A18,SatSunCurve,3))*(INDEX(DailyScalarsTable,AU$5/100,MONTH($A18)))*$C18</f>
        <v>-7959.2704195716888</v>
      </c>
      <c r="AV18" s="1021">
        <f>(VLOOKUP(YEAR($A18),'NY East Load Projections'!$A$4:$EO$14,((MONTH($A18)-1)*12)+VLOOKUP(AV$4,$DE$6:$DF$17,2)+1))*(VLOOKUP($A18,SatSunCurve,3))*(INDEX(DailyScalarsTable,AV$5/100,MONTH($A18)))*$C18</f>
        <v>-7799.0914963399564</v>
      </c>
      <c r="AW18" s="1021">
        <f>(VLOOKUP(YEAR($A18),'NY East Load Projections'!$A$4:$EO$14,((MONTH($A18)-1)*12)+VLOOKUP(AW$4,$DE$6:$DF$17,2)+1))*(VLOOKUP($A18,SatSunCurve,3))*(INDEX(DailyScalarsTable,AW$5/100,MONTH($A18)))*$C18</f>
        <v>-8208.1154306903009</v>
      </c>
      <c r="AX18" s="1021">
        <f>(VLOOKUP(YEAR($A18),'NY East Load Projections'!$A$4:$EO$14,((MONTH($A18)-1)*12)+VLOOKUP(AX$4,$DE$6:$DF$17,2)+1))*(VLOOKUP($A18,SatSunCurve,3))*(INDEX(DailyScalarsTable,AX$5/100,MONTH($A18)))*$C18</f>
        <v>-11421.236025412081</v>
      </c>
      <c r="AY18" s="1021">
        <f>(VLOOKUP(YEAR($A18),'NY East Load Projections'!$A$4:$EO$14,((MONTH($A18)-1)*12)+VLOOKUP(AY$4,$DE$6:$DF$17,2)+1))*(VLOOKUP($A18,SatSunCurve,3))*(INDEX(DailyScalarsTable,AY$5/100,MONTH($A18)))*$C18</f>
        <v>-12532.130587995754</v>
      </c>
      <c r="AZ18" s="1021">
        <f>(VLOOKUP(YEAR($A18),'NY East Load Projections'!$A$4:$EO$14,((MONTH($A18)-1)*12)+VLOOKUP(AZ$4,$DE$6:$DF$17,2)+1))*(VLOOKUP($A18,SatSunCurve,3))*(INDEX(DailyScalarsTable,AZ$5/100,MONTH($A18)))*$C18</f>
        <v>-11995.423574865412</v>
      </c>
      <c r="BA18" s="1021">
        <f>(VLOOKUP(YEAR($A18),'NY East Load Projections'!$A$4:$EO$14,((MONTH($A18)-1)*12)+VLOOKUP(BA$4,$DE$6:$DF$17,2)+1))*(VLOOKUP($A18,SatSunCurve,3))*(INDEX(DailyScalarsTable,BA$5/100,MONTH($A18)))*$C18</f>
        <v>-11057.908018625329</v>
      </c>
      <c r="BB18" s="1021">
        <f>(VLOOKUP(YEAR($A18),'NY East Load Projections'!$A$4:$EO$14,((MONTH($A18)-1)*12)+VLOOKUP(BB$4,$DE$6:$DF$17,2)+1))*(VLOOKUP($A18,SatSunCurve,3))*(INDEX(DailyScalarsTable,BB$5/100,MONTH($A18)))*$C18</f>
        <v>-7864.6402946747658</v>
      </c>
      <c r="BC18" s="1021">
        <f>(VLOOKUP(YEAR($A18),'NY East Load Projections'!$A$4:$EO$14,((MONTH($A18)-1)*12)+VLOOKUP(BC$4,$DE$6:$DF$17,2)+1))*(VLOOKUP($A18,SatSunCurve,3))*(INDEX(DailyScalarsTable,BC$5/100,MONTH($A18)))*$C18</f>
        <v>-6438.1869728165302</v>
      </c>
      <c r="BD18" s="1021">
        <f>(VLOOKUP(YEAR($A18),'NY East Load Projections'!$A$4:$EO$14,((MONTH($A18)-1)*12)+VLOOKUP(BD$4,$DE$6:$DF$17,2)+1))*(VLOOKUP($A18,CURVES!$D$9:$T$261,7))*(INDEX(DailyScalarsTable,BD$5/100,MONTH($A18)))*$C18</f>
        <v>-7259.9966475771598</v>
      </c>
      <c r="BE18" s="1021"/>
      <c r="BF18" s="1021">
        <f>(VLOOKUP(YEAR($A18),'NY East Load Projections'!$A$4:$EO$14,((MONTH($A18)-1)*12)+VLOOKUP(BF$4,$DE$6:$DF$17,2)+1))*(VLOOKUP($A18,CURVES!$D$9:$T$261,7))*(INDEX(DailyScalarsTable,BF$5/100,MONTH($A18)))*$D18</f>
        <v>-6321.7343028399073</v>
      </c>
      <c r="BG18" s="1021">
        <f>(VLOOKUP(YEAR($A18),'NY East Load Projections'!$A$4:$EO$14,((MONTH($A18)-1)*12)+VLOOKUP(BG$4,$DE$6:$DF$17,2)+1))*(VLOOKUP($A18,CURVES!$D$9:$T$261,7))*(INDEX(DailyScalarsTable,BG$5/100,MONTH($A18)))*$D18</f>
        <v>-6198.569306161332</v>
      </c>
      <c r="BH18" s="1021">
        <f>(VLOOKUP(YEAR($A18),'NY East Load Projections'!$A$4:$EO$14,((MONTH($A18)-1)*12)+VLOOKUP(BH$4,$DE$6:$DF$17,2)+1))*(VLOOKUP($A18,CURVES!$D$9:$T$261,7))*(INDEX(DailyScalarsTable,BH$5/100,MONTH($A18)))*$D18</f>
        <v>-5680.0625328765736</v>
      </c>
      <c r="BI18" s="1021">
        <f>(VLOOKUP(YEAR($A18),'NY East Load Projections'!$A$4:$EO$14,((MONTH($A18)-1)*12)+VLOOKUP(BI$4,$DE$6:$DF$17,2)+1))*(VLOOKUP($A18,CURVES!$D$9:$T$261,7))*(INDEX(DailyScalarsTable,BI$5/100,MONTH($A18)))*$D18</f>
        <v>-5676.6282790184532</v>
      </c>
      <c r="BJ18" s="1021">
        <f>(VLOOKUP(YEAR($A18),'NY East Load Projections'!$A$4:$EO$14,((MONTH($A18)-1)*12)+VLOOKUP(BJ$4,$DE$6:$DF$17,2)+1))*(VLOOKUP($A18,CURVES!$D$9:$T$261,7))*(INDEX(DailyScalarsTable,BJ$5/100,MONTH($A18)))*$D18</f>
        <v>-5978.4480035001634</v>
      </c>
      <c r="BK18" s="1021">
        <f>(VLOOKUP(YEAR($A18),'NY East Load Projections'!$A$4:$EO$14,((MONTH($A18)-1)*12)+VLOOKUP(BK$4,$DE$6:$DF$17,2)+1))*(VLOOKUP($A18,CURVES!$D$9:$T$261,7))*(INDEX(DailyScalarsTable,BK$5/100,MONTH($A18)))*$D18</f>
        <v>-6380.3070600851124</v>
      </c>
      <c r="BL18" s="1021">
        <f>(VLOOKUP(YEAR($A18),'NY East Load Projections'!$A$4:$EO$14,((MONTH($A18)-1)*12)+VLOOKUP(BL$4,$DE$6:$DF$17,2)+1))*(VLOOKUP($A18,CURVES!$D$9:$T$261,7))*(INDEX(DailyScalarsTable,BL$5/100,MONTH($A18)))*$D18</f>
        <v>-12218.210332020417</v>
      </c>
      <c r="BM18" s="1021">
        <f>(VLOOKUP(YEAR($A18),'NY East Load Projections'!$A$4:$EO$14,((MONTH($A18)-1)*12)+VLOOKUP(BM$4,$DE$6:$DF$17,2)+1))*(VLOOKUP($A18,SatSunCurve,7))*(INDEX(DailyScalarsTable,BM$5/100,MONTH($A18)))*$D18</f>
        <v>-10569.581604266881</v>
      </c>
      <c r="BN18" s="1021">
        <f>(VLOOKUP(YEAR($A18),'NY East Load Projections'!$A$4:$EO$14,((MONTH($A18)-1)*12)+VLOOKUP(BN$4,$DE$6:$DF$17,2)+1))*(VLOOKUP($A18,SatSunCurve,7))*(INDEX(DailyScalarsTable,BN$5/100,MONTH($A18)))*$D18</f>
        <v>-11763.051483893976</v>
      </c>
      <c r="BO18" s="1021">
        <f>(VLOOKUP(YEAR($A18),'NY East Load Projections'!$A$4:$EO$14,((MONTH($A18)-1)*12)+VLOOKUP(BO$4,$DE$6:$DF$17,2)+1))*(VLOOKUP($A18,SatSunCurve,7))*(INDEX(DailyScalarsTable,BO$5/100,MONTH($A18)))*$D18</f>
        <v>-11727.249480057089</v>
      </c>
      <c r="BP18" s="1021">
        <f>(VLOOKUP(YEAR($A18),'NY East Load Projections'!$A$4:$EO$14,((MONTH($A18)-1)*12)+VLOOKUP(BP$4,$DE$6:$DF$17,2)+1))*(VLOOKUP($A18,SatSunCurve,7))*(INDEX(DailyScalarsTable,BP$5/100,MONTH($A18)))*$D18</f>
        <v>-11522.593595106015</v>
      </c>
      <c r="BQ18" s="1021">
        <f>(VLOOKUP(YEAR($A18),'NY East Load Projections'!$A$4:$EO$14,((MONTH($A18)-1)*12)+VLOOKUP(BQ$4,$DE$6:$DF$17,2)+1))*(VLOOKUP($A18,SatSunCurve,7))*(INDEX(DailyScalarsTable,BQ$5/100,MONTH($A18)))*$D18</f>
        <v>-8631.5127929742612</v>
      </c>
      <c r="BR18" s="1021">
        <f>(VLOOKUP(YEAR($A18),'NY East Load Projections'!$A$4:$EO$14,((MONTH($A18)-1)*12)+VLOOKUP(BR$4,$DE$6:$DF$17,2)+1))*(VLOOKUP($A18,SatSunCurve,7))*(INDEX(DailyScalarsTable,BR$5/100,MONTH($A18)))*$D18</f>
        <v>-8213.2864215783029</v>
      </c>
      <c r="BS18" s="1021">
        <f>(VLOOKUP(YEAR($A18),'NY East Load Projections'!$A$4:$EO$14,((MONTH($A18)-1)*12)+VLOOKUP(BS$4,$DE$6:$DF$17,2)+1))*(VLOOKUP($A18,SatSunCurve,7))*(INDEX(DailyScalarsTable,BS$5/100,MONTH($A18)))*$D18</f>
        <v>-7948.0937388038983</v>
      </c>
      <c r="BT18" s="1021">
        <f>(VLOOKUP(YEAR($A18),'NY East Load Projections'!$A$4:$EO$14,((MONTH($A18)-1)*12)+VLOOKUP(BT$4,$DE$6:$DF$17,2)+1))*(VLOOKUP($A18,SatSunCurve,7))*(INDEX(DailyScalarsTable,BT$5/100,MONTH($A18)))*$D18</f>
        <v>-7543.578813267578</v>
      </c>
      <c r="BU18" s="1021">
        <f>(VLOOKUP(YEAR($A18),'NY East Load Projections'!$A$4:$EO$14,((MONTH($A18)-1)*12)+VLOOKUP(BU$4,$DE$6:$DF$17,2)+1))*(VLOOKUP($A18,SatSunCurve,7))*(INDEX(DailyScalarsTable,BU$5/100,MONTH($A18)))*$D18</f>
        <v>-7391.7656108097663</v>
      </c>
      <c r="BV18" s="1021">
        <f>(VLOOKUP(YEAR($A18),'NY East Load Projections'!$A$4:$EO$14,((MONTH($A18)-1)*12)+VLOOKUP(BV$4,$DE$6:$DF$17,2)+1))*(VLOOKUP($A18,SatSunCurve,7))*(INDEX(DailyScalarsTable,BV$5/100,MONTH($A18)))*$D18</f>
        <v>-7779.4273087585398</v>
      </c>
      <c r="BW18" s="1021">
        <f>(VLOOKUP(YEAR($A18),'NY East Load Projections'!$A$4:$EO$14,((MONTH($A18)-1)*12)+VLOOKUP(BW$4,$DE$6:$DF$17,2)+1))*(VLOOKUP($A18,SatSunCurve,7))*(INDEX(DailyScalarsTable,BW$5/100,MONTH($A18)))*$D18</f>
        <v>-10824.735127828881</v>
      </c>
      <c r="BX18" s="1021">
        <f>(VLOOKUP(YEAR($A18),'NY East Load Projections'!$A$4:$EO$14,((MONTH($A18)-1)*12)+VLOOKUP(BX$4,$DE$6:$DF$17,2)+1))*(VLOOKUP($A18,SatSunCurve,7))*(INDEX(DailyScalarsTable,BX$5/100,MONTH($A18)))*$D18</f>
        <v>-11877.610610671354</v>
      </c>
      <c r="BY18" s="1021">
        <f>(VLOOKUP(YEAR($A18),'NY East Load Projections'!$A$4:$EO$14,((MONTH($A18)-1)*12)+VLOOKUP(BY$4,$DE$6:$DF$17,2)+1))*(VLOOKUP($A18,SatSunCurve,7))*(INDEX(DailyScalarsTable,BY$5/100,MONTH($A18)))*$D18</f>
        <v>-11368.934382856989</v>
      </c>
      <c r="BZ18" s="1021">
        <f>(VLOOKUP(YEAR($A18),'NY East Load Projections'!$A$4:$EO$14,((MONTH($A18)-1)*12)+VLOOKUP(BZ$4,$DE$6:$DF$17,2)+1))*(VLOOKUP($A18,SatSunCurve,7))*(INDEX(DailyScalarsTable,BZ$5/100,MONTH($A18)))*$D18</f>
        <v>-10480.382780216249</v>
      </c>
      <c r="CA18" s="1021">
        <f>(VLOOKUP(YEAR($A18),'NY East Load Projections'!$A$4:$EO$14,((MONTH($A18)-1)*12)+VLOOKUP(CA$4,$DE$6:$DF$17,2)+1))*(VLOOKUP($A18,SatSunCurve,7))*(INDEX(DailyScalarsTable,CA$5/100,MONTH($A18)))*$D18</f>
        <v>-7453.8909690759856</v>
      </c>
      <c r="CB18" s="1021">
        <f>(VLOOKUP(YEAR($A18),'NY East Load Projections'!$A$4:$EO$14,((MONTH($A18)-1)*12)+VLOOKUP(CB$4,$DE$6:$DF$17,2)+1))*(VLOOKUP($A18,SatSunCurve,7))*(INDEX(DailyScalarsTable,CB$5/100,MONTH($A18)))*$D18</f>
        <v>-6101.9375248978695</v>
      </c>
      <c r="CC18" s="1021">
        <f>(VLOOKUP(YEAR($A18),'NY East Load Projections'!$A$4:$EO$14,((MONTH($A18)-1)*12)+VLOOKUP(CC$4,$DE$6:$DF$17,2)+1))*(VLOOKUP($A18,CURVES!$D$9:$T$261,7))*(INDEX(DailyScalarsTable,CC$5/100,MONTH($A18)))*$D18</f>
        <v>-7259.9966475771598</v>
      </c>
      <c r="CE18" s="1021">
        <f>(VLOOKUP(YEAR($A18),'NY East Load Projections'!$A$4:$EO$14,((MONTH($A18)-1)*12)+VLOOKUP(CE$4,$DE$6:$DF$17,2)+1))*(VLOOKUP($A18,CURVES!$D$9:$T$261,7))*(INDEX(DailyScalarsTable,CE$5/100,MONTH($A18)))*$E18</f>
        <v>-1580.4335757099768</v>
      </c>
      <c r="CF18" s="1021">
        <f>(VLOOKUP(YEAR($A18),'NY East Load Projections'!$A$4:$EO$14,((MONTH($A18)-1)*12)+VLOOKUP(CF$4,$DE$6:$DF$17,2)+1))*(VLOOKUP($A18,CURVES!$D$9:$T$261,7))*(INDEX(DailyScalarsTable,CF$5/100,MONTH($A18)))*$E18</f>
        <v>-1549.642326540333</v>
      </c>
      <c r="CG18" s="1021">
        <f>(VLOOKUP(YEAR($A18),'NY East Load Projections'!$A$4:$EO$14,((MONTH($A18)-1)*12)+VLOOKUP(CG$4,$DE$6:$DF$17,2)+1))*(VLOOKUP($A18,CURVES!$D$9:$T$261,7))*(INDEX(DailyScalarsTable,CG$5/100,MONTH($A18)))*$E18</f>
        <v>-1420.0156332191434</v>
      </c>
      <c r="CH18" s="1021">
        <f>(VLOOKUP(YEAR($A18),'NY East Load Projections'!$A$4:$EO$14,((MONTH($A18)-1)*12)+VLOOKUP(CH$4,$DE$6:$DF$17,2)+1))*(VLOOKUP($A18,CURVES!$D$9:$T$261,7))*(INDEX(DailyScalarsTable,CH$5/100,MONTH($A18)))*$E18</f>
        <v>-1419.1570697546133</v>
      </c>
      <c r="CI18" s="1021">
        <f>(VLOOKUP(YEAR($A18),'NY East Load Projections'!$A$4:$EO$14,((MONTH($A18)-1)*12)+VLOOKUP(CI$4,$DE$6:$DF$17,2)+1))*(VLOOKUP($A18,CURVES!$D$9:$T$261,7))*(INDEX(DailyScalarsTable,CI$5/100,MONTH($A18)))*$E18</f>
        <v>-1494.6120008750408</v>
      </c>
      <c r="CJ18" s="1021">
        <f>(VLOOKUP(YEAR($A18),'NY East Load Projections'!$A$4:$EO$14,((MONTH($A18)-1)*12)+VLOOKUP(CJ$4,$DE$6:$DF$17,2)+1))*(VLOOKUP($A18,CURVES!$D$9:$T$261,7))*(INDEX(DailyScalarsTable,CJ$5/100,MONTH($A18)))*$E18</f>
        <v>-1595.0767650212781</v>
      </c>
      <c r="CK18" s="1021">
        <f>(VLOOKUP(YEAR($A18),'NY East Load Projections'!$A$4:$EO$14,((MONTH($A18)-1)*12)+VLOOKUP(CK$4,$DE$6:$DF$17,2)+1))*(VLOOKUP($A18,CURVES!$D$9:$T$261,7))*(INDEX(DailyScalarsTable,CK$5/100,MONTH($A18)))*$E18</f>
        <v>-3054.5525830051042</v>
      </c>
      <c r="CL18" s="1021">
        <f>(VLOOKUP(YEAR($A18),'NY East Load Projections'!$A$4:$EO$14,((MONTH($A18)-1)*12)+VLOOKUP(CL$4,$DE$6:$DF$17,2)+1))*(VLOOKUP($A18,SatSunCurve,7))*(INDEX(DailyScalarsTable,CL$5/100,MONTH($A18)))*$E18</f>
        <v>-2642.3954010667203</v>
      </c>
      <c r="CM18" s="1021">
        <f>(VLOOKUP(YEAR($A18),'NY East Load Projections'!$A$4:$EO$14,((MONTH($A18)-1)*12)+VLOOKUP(CM$4,$DE$6:$DF$17,2)+1))*(VLOOKUP($A18,SatSunCurve,7))*(INDEX(DailyScalarsTable,CM$5/100,MONTH($A18)))*$E18</f>
        <v>-2940.762870973494</v>
      </c>
      <c r="CN18" s="1021">
        <f>(VLOOKUP(YEAR($A18),'NY East Load Projections'!$A$4:$EO$14,((MONTH($A18)-1)*12)+VLOOKUP(CN$4,$DE$6:$DF$17,2)+1))*(VLOOKUP($A18,SatSunCurve,7))*(INDEX(DailyScalarsTable,CN$5/100,MONTH($A18)))*$E18</f>
        <v>-2931.8123700142723</v>
      </c>
      <c r="CO18" s="1021">
        <f>(VLOOKUP(YEAR($A18),'NY East Load Projections'!$A$4:$EO$14,((MONTH($A18)-1)*12)+VLOOKUP(CO$4,$DE$6:$DF$17,2)+1))*(VLOOKUP($A18,SatSunCurve,7))*(INDEX(DailyScalarsTable,CO$5/100,MONTH($A18)))*$E18</f>
        <v>-2880.6483987765037</v>
      </c>
      <c r="CP18" s="1021">
        <f>(VLOOKUP(YEAR($A18),'NY East Load Projections'!$A$4:$EO$14,((MONTH($A18)-1)*12)+VLOOKUP(CP$4,$DE$6:$DF$17,2)+1))*(VLOOKUP($A18,SatSunCurve,7))*(INDEX(DailyScalarsTable,CP$5/100,MONTH($A18)))*$E18</f>
        <v>-2157.8781982435653</v>
      </c>
      <c r="CQ18" s="1021">
        <f>(VLOOKUP(YEAR($A18),'NY East Load Projections'!$A$4:$EO$14,((MONTH($A18)-1)*12)+VLOOKUP(CQ$4,$DE$6:$DF$17,2)+1))*(VLOOKUP($A18,SatSunCurve,7))*(INDEX(DailyScalarsTable,CQ$5/100,MONTH($A18)))*$E18</f>
        <v>-2053.3216053945757</v>
      </c>
      <c r="CR18" s="1021">
        <f>(VLOOKUP(YEAR($A18),'NY East Load Projections'!$A$4:$EO$14,((MONTH($A18)-1)*12)+VLOOKUP(CR$4,$DE$6:$DF$17,2)+1))*(VLOOKUP($A18,SatSunCurve,7))*(INDEX(DailyScalarsTable,CR$5/100,MONTH($A18)))*$E18</f>
        <v>-1987.0234347009746</v>
      </c>
      <c r="CS18" s="1021">
        <f>(VLOOKUP(YEAR($A18),'NY East Load Projections'!$A$4:$EO$14,((MONTH($A18)-1)*12)+VLOOKUP(CS$4,$DE$6:$DF$17,2)+1))*(VLOOKUP($A18,SatSunCurve,7))*(INDEX(DailyScalarsTable,CS$5/100,MONTH($A18)))*$E18</f>
        <v>-1885.8947033168945</v>
      </c>
      <c r="CT18" s="1021">
        <f>(VLOOKUP(YEAR($A18),'NY East Load Projections'!$A$4:$EO$14,((MONTH($A18)-1)*12)+VLOOKUP(CT$4,$DE$6:$DF$17,2)+1))*(VLOOKUP($A18,SatSunCurve,7))*(INDEX(DailyScalarsTable,CT$5/100,MONTH($A18)))*$E18</f>
        <v>-1847.9414027024416</v>
      </c>
      <c r="CU18" s="1021">
        <f>(VLOOKUP(YEAR($A18),'NY East Load Projections'!$A$4:$EO$14,((MONTH($A18)-1)*12)+VLOOKUP(CU$4,$DE$6:$DF$17,2)+1))*(VLOOKUP($A18,SatSunCurve,7))*(INDEX(DailyScalarsTable,CU$5/100,MONTH($A18)))*$E18</f>
        <v>-1944.8568271896349</v>
      </c>
      <c r="CV18" s="1021">
        <f>(VLOOKUP(YEAR($A18),'NY East Load Projections'!$A$4:$EO$14,((MONTH($A18)-1)*12)+VLOOKUP(CV$4,$DE$6:$DF$17,2)+1))*(VLOOKUP($A18,SatSunCurve,7))*(INDEX(DailyScalarsTable,CV$5/100,MONTH($A18)))*$E18</f>
        <v>-2706.1837819572202</v>
      </c>
      <c r="CW18" s="1021">
        <f>(VLOOKUP(YEAR($A18),'NY East Load Projections'!$A$4:$EO$14,((MONTH($A18)-1)*12)+VLOOKUP(CW$4,$DE$6:$DF$17,2)+1))*(VLOOKUP($A18,SatSunCurve,7))*(INDEX(DailyScalarsTable,CW$5/100,MONTH($A18)))*$E18</f>
        <v>-2969.4026526678385</v>
      </c>
      <c r="CX18" s="1021">
        <f>(VLOOKUP(YEAR($A18),'NY East Load Projections'!$A$4:$EO$14,((MONTH($A18)-1)*12)+VLOOKUP(CX$4,$DE$6:$DF$17,2)+1))*(VLOOKUP($A18,SatSunCurve,7))*(INDEX(DailyScalarsTable,CX$5/100,MONTH($A18)))*$E18</f>
        <v>-2842.2335957142473</v>
      </c>
      <c r="CY18" s="1021">
        <f>(VLOOKUP(YEAR($A18),'NY East Load Projections'!$A$4:$EO$14,((MONTH($A18)-1)*12)+VLOOKUP(CY$4,$DE$6:$DF$17,2)+1))*(VLOOKUP($A18,SatSunCurve,7))*(INDEX(DailyScalarsTable,CY$5/100,MONTH($A18)))*$E18</f>
        <v>-2620.0956950540622</v>
      </c>
      <c r="CZ18" s="1021">
        <f>(VLOOKUP(YEAR($A18),'NY East Load Projections'!$A$4:$EO$14,((MONTH($A18)-1)*12)+VLOOKUP(CZ$4,$DE$6:$DF$17,2)+1))*(VLOOKUP($A18,SatSunCurve,7))*(INDEX(DailyScalarsTable,CZ$5/100,MONTH($A18)))*$E18</f>
        <v>-1863.4727422689964</v>
      </c>
      <c r="DA18" s="1021">
        <f>(VLOOKUP(YEAR($A18),'NY East Load Projections'!$A$4:$EO$14,((MONTH($A18)-1)*12)+VLOOKUP(DA$4,$DE$6:$DF$17,2)+1))*(VLOOKUP($A18,SatSunCurve,7))*(INDEX(DailyScalarsTable,DA$5/100,MONTH($A18)))*$E18</f>
        <v>-1525.4843812244674</v>
      </c>
      <c r="DB18" s="1021">
        <f>(VLOOKUP(YEAR($A18),'NY East Load Projections'!$A$4:$EO$14,((MONTH($A18)-1)*12)+VLOOKUP(DB$4,$DE$6:$DF$17,2)+1))*(VLOOKUP($A18,CURVES!$D$9:$T$261,7))*(INDEX(DailyScalarsTable,DB$5/100,MONTH($A18)))*$E18</f>
        <v>-1814.99916189429</v>
      </c>
      <c r="DH18" s="1032">
        <f t="shared" si="0"/>
        <v>-1851620.3019617153</v>
      </c>
      <c r="DI18">
        <f ca="1">CALC!J38</f>
        <v>0.87274717553579284</v>
      </c>
      <c r="DJ18" s="1029">
        <f t="shared" ca="1" si="1"/>
        <v>-1615996.3887018189</v>
      </c>
    </row>
    <row r="19" spans="1:114" x14ac:dyDescent="0.25">
      <c r="A19" s="244">
        <v>37288</v>
      </c>
      <c r="B19" s="13">
        <v>20</v>
      </c>
      <c r="C19" s="210">
        <v>4</v>
      </c>
      <c r="D19" s="210">
        <v>4</v>
      </c>
      <c r="E19" s="210">
        <v>0</v>
      </c>
      <c r="F19" s="13">
        <v>28</v>
      </c>
      <c r="H19" s="1021">
        <f>(VLOOKUP(YEAR($A19),'NY East Load Projections'!$A$4:$EO$14,((MONTH($A19)-1)*12)+VLOOKUP(H$4,$DE$6:$DF$17,2)+1))*(VLOOKUP($A19,CURVES!$D$9:$K$261,7))*(INDEX(DailyScalarsTable,H$5/100,MONTH($A19)))*$B19</f>
        <v>-28523.177163966353</v>
      </c>
      <c r="I19" s="1021">
        <f>(VLOOKUP(YEAR($A19),'NY East Load Projections'!$A$4:$EO$14,((MONTH($A19)-1)*12)+VLOOKUP(I$4,$DE$6:$DF$17,2)+1))*(VLOOKUP($A19,CURVES!$D$9:$K$261,7))*(INDEX(DailyScalarsTable,I$5/100,MONTH($A19)))*$B19</f>
        <v>-27967.46620675574</v>
      </c>
      <c r="J19" s="1021">
        <f>(VLOOKUP(YEAR($A19),'NY East Load Projections'!$A$4:$EO$14,((MONTH($A19)-1)*12)+VLOOKUP(J$4,$DE$6:$DF$17,2)+1))*(VLOOKUP($A19,CURVES!$D$9:$K$261,7))*(INDEX(DailyScalarsTable,J$5/100,MONTH($A19)))*$B19</f>
        <v>-25628.003672167113</v>
      </c>
      <c r="K19" s="1021">
        <f>(VLOOKUP(YEAR($A19),'NY East Load Projections'!$A$4:$EO$14,((MONTH($A19)-1)*12)+VLOOKUP(K$4,$DE$6:$DF$17,2)+1))*(VLOOKUP($A19,CURVES!$D$9:$K$261,7))*(INDEX(DailyScalarsTable,K$5/100,MONTH($A19)))*$B19</f>
        <v>-25612.50858386877</v>
      </c>
      <c r="L19" s="1021">
        <f>(VLOOKUP(YEAR($A19),'NY East Load Projections'!$A$4:$EO$14,((MONTH($A19)-1)*12)+VLOOKUP(L$4,$DE$6:$DF$17,2)+1))*(VLOOKUP($A19,CURVES!$D$9:$K$261,7))*(INDEX(DailyScalarsTable,L$5/100,MONTH($A19)))*$B19</f>
        <v>-28419.628592500863</v>
      </c>
      <c r="M19" s="1021">
        <f>(VLOOKUP(YEAR($A19),'NY East Load Projections'!$A$4:$EO$14,((MONTH($A19)-1)*12)+VLOOKUP(M$4,$DE$6:$DF$17,2)+1))*(VLOOKUP($A19,CURVES!$D$9:$K$261,7))*(INDEX(DailyScalarsTable,M$5/100,MONTH($A19)))*$B19</f>
        <v>-30329.937945026908</v>
      </c>
      <c r="N19" s="1021">
        <f>(VLOOKUP(YEAR($A19),'NY East Load Projections'!$A$4:$EO$14,((MONTH($A19)-1)*12)+VLOOKUP(N$4,$DE$6:$DF$17,2)+1))*(VLOOKUP($A19,CURVES!$D$9:$K$261,7))*(INDEX(DailyScalarsTable,N$5/100,MONTH($A19)))*$B19</f>
        <v>-58081.461860633775</v>
      </c>
      <c r="O19" s="1021">
        <f>(VLOOKUP(YEAR($A19),'NY East Load Projections'!$A$4:$EO$14,((MONTH($A19)-1)*12)+VLOOKUP(O$4,$DE$6:$DF$17,2)+1))*(VLOOKUP($A19,CURVES!$D$9:$K$261,3))*(INDEX(DailyScalarsTable,O$5/100,MONTH($A19)))*$B19</f>
        <v>-69098.234537787488</v>
      </c>
      <c r="P19" s="1021">
        <f>(VLOOKUP(YEAR($A19),'NY East Load Projections'!$A$4:$EO$14,((MONTH($A19)-1)*12)+VLOOKUP(P$4,$DE$6:$DF$17,2)+1))*(VLOOKUP($A19,CURVES!$D$9:$K$261,3))*(INDEX(DailyScalarsTable,P$5/100,MONTH($A19)))*$B19</f>
        <v>-75010.796126567599</v>
      </c>
      <c r="Q19" s="1021">
        <f>(VLOOKUP(YEAR($A19),'NY East Load Projections'!$A$4:$EO$14,((MONTH($A19)-1)*12)+VLOOKUP(Q$4,$DE$6:$DF$17,2)+1))*(VLOOKUP($A19,CURVES!$D$9:$K$261,3))*(INDEX(DailyScalarsTable,Q$5/100,MONTH($A19)))*$B19</f>
        <v>-74782.493392841716</v>
      </c>
      <c r="R19" s="1021">
        <f>(VLOOKUP(YEAR($A19),'NY East Load Projections'!$A$4:$EO$14,((MONTH($A19)-1)*12)+VLOOKUP(R$4,$DE$6:$DF$17,2)+1))*(VLOOKUP($A19,CURVES!$D$9:$K$261,3))*(INDEX(DailyScalarsTable,R$5/100,MONTH($A19)))*$B19</f>
        <v>-73477.440798012351</v>
      </c>
      <c r="S19" s="1021">
        <f>(VLOOKUP(YEAR($A19),'NY East Load Projections'!$A$4:$EO$14,((MONTH($A19)-1)*12)+VLOOKUP(S$4,$DE$6:$DF$17,2)+1))*(VLOOKUP($A19,CURVES!$D$9:$K$261,3))*(INDEX(DailyScalarsTable,S$5/100,MONTH($A19)))*$B19</f>
        <v>-55041.555098534845</v>
      </c>
      <c r="T19" s="1021">
        <f>(VLOOKUP(YEAR($A19),'NY East Load Projections'!$A$4:$EO$14,((MONTH($A19)-1)*12)+VLOOKUP(T$4,$DE$6:$DF$17,2)+1))*(VLOOKUP($A19,CURVES!$D$9:$K$261,3))*(INDEX(DailyScalarsTable,T$5/100,MONTH($A19)))*$B19</f>
        <v>-53124.27029721468</v>
      </c>
      <c r="U19" s="1021">
        <f>(VLOOKUP(YEAR($A19),'NY East Load Projections'!$A$4:$EO$14,((MONTH($A19)-1)*12)+VLOOKUP(U$4,$DE$6:$DF$17,2)+1))*(VLOOKUP($A19,CURVES!$D$9:$K$261,3))*(INDEX(DailyScalarsTable,U$5/100,MONTH($A19)))*$B19</f>
        <v>-51408.980334412707</v>
      </c>
      <c r="V19" s="1021">
        <f>(VLOOKUP(YEAR($A19),'NY East Load Projections'!$A$4:$EO$14,((MONTH($A19)-1)*12)+VLOOKUP(V$4,$DE$6:$DF$17,2)+1))*(VLOOKUP($A19,CURVES!$D$9:$K$261,3))*(INDEX(DailyScalarsTable,V$5/100,MONTH($A19)))*$B19</f>
        <v>-48792.541659269118</v>
      </c>
      <c r="W19" s="1021">
        <f>(VLOOKUP(YEAR($A19),'NY East Load Projections'!$A$4:$EO$14,((MONTH($A19)-1)*12)+VLOOKUP(W$4,$DE$6:$DF$17,2)+1))*(VLOOKUP($A19,CURVES!$D$9:$K$261,3))*(INDEX(DailyScalarsTable,W$5/100,MONTH($A19)))*$B19</f>
        <v>-47810.600303752042</v>
      </c>
      <c r="X19" s="1021">
        <f>(VLOOKUP(YEAR($A19),'NY East Load Projections'!$A$4:$EO$14,((MONTH($A19)-1)*12)+VLOOKUP(X$4,$DE$6:$DF$17,2)+1))*(VLOOKUP($A19,CURVES!$D$9:$K$261,3))*(INDEX(DailyScalarsTable,X$5/100,MONTH($A19)))*$B19</f>
        <v>-50027.895871849978</v>
      </c>
      <c r="Y19" s="1021">
        <f>(VLOOKUP(YEAR($A19),'NY East Load Projections'!$A$4:$EO$14,((MONTH($A19)-1)*12)+VLOOKUP(Y$4,$DE$6:$DF$17,2)+1))*(VLOOKUP($A19,CURVES!$D$9:$K$261,3))*(INDEX(DailyScalarsTable,Y$5/100,MONTH($A19)))*$B19</f>
        <v>-69611.643675323459</v>
      </c>
      <c r="Z19" s="1021">
        <f>(VLOOKUP(YEAR($A19),'NY East Load Projections'!$A$4:$EO$14,((MONTH($A19)-1)*12)+VLOOKUP(Z$4,$DE$6:$DF$17,2)+1))*(VLOOKUP($A19,CURVES!$D$9:$K$261,3))*(INDEX(DailyScalarsTable,Z$5/100,MONTH($A19)))*$B19</f>
        <v>-76382.469204133842</v>
      </c>
      <c r="AA19" s="1021">
        <f>(VLOOKUP(YEAR($A19),'NY East Load Projections'!$A$4:$EO$14,((MONTH($A19)-1)*12)+VLOOKUP(AA$4,$DE$6:$DF$17,2)+1))*(VLOOKUP($A19,CURVES!$D$9:$K$261,3))*(INDEX(DailyScalarsTable,AA$5/100,MONTH($A19)))*$B19</f>
        <v>-73111.27707808472</v>
      </c>
      <c r="AB19" s="1021">
        <f>(VLOOKUP(YEAR($A19),'NY East Load Projections'!$A$4:$EO$14,((MONTH($A19)-1)*12)+VLOOKUP(AB$4,$DE$6:$DF$17,2)+1))*(VLOOKUP($A19,CURVES!$D$9:$K$261,3))*(INDEX(DailyScalarsTable,AB$5/100,MONTH($A19)))*$B19</f>
        <v>-65599.373875191828</v>
      </c>
      <c r="AC19" s="1021">
        <f>(VLOOKUP(YEAR($A19),'NY East Load Projections'!$A$4:$EO$14,((MONTH($A19)-1)*12)+VLOOKUP(AC$4,$DE$6:$DF$17,2)+1))*(VLOOKUP($A19,CURVES!$D$9:$K$261,3))*(INDEX(DailyScalarsTable,AC$5/100,MONTH($A19)))*$B19</f>
        <v>-46655.794044885275</v>
      </c>
      <c r="AD19" s="1021">
        <f>(VLOOKUP(YEAR($A19),'NY East Load Projections'!$A$4:$EO$14,((MONTH($A19)-1)*12)+VLOOKUP(AD$4,$DE$6:$DF$17,2)+1))*(VLOOKUP($A19,CURVES!$D$9:$K$261,3))*(INDEX(DailyScalarsTable,AD$5/100,MONTH($A19)))*$B19</f>
        <v>-38193.574552873222</v>
      </c>
      <c r="AE19" s="1021">
        <f>(VLOOKUP(YEAR($A19),'NY East Load Projections'!$A$4:$EO$14,((MONTH($A19)-1)*12)+VLOOKUP(AE$4,$DE$6:$DF$17,2)+1))*(VLOOKUP($A19,CURVES!$D$9:$K$261,7))*(INDEX(DailyScalarsTable,AE$5/100,MONTH($A19)))*$B19</f>
        <v>-33043.021724012062</v>
      </c>
      <c r="AF19" s="1021"/>
      <c r="AG19" s="1021">
        <f>(VLOOKUP(YEAR($A19),'NY East Load Projections'!$A$4:$EO$14,((MONTH($A19)-1)*12)+VLOOKUP(AG$4,$DE$6:$DF$17,2)+1))*(VLOOKUP($A19,CURVES!$D$9:$T$261,7))*(INDEX(DailyScalarsTable,AG$5/100,MONTH($A19)))*$C19</f>
        <v>-6255.6284333336671</v>
      </c>
      <c r="AH19" s="1021">
        <f>(VLOOKUP(YEAR($A19),'NY East Load Projections'!$A$4:$EO$14,((MONTH($A19)-1)*12)+VLOOKUP(AH$4,$DE$6:$DF$17,2)+1))*(VLOOKUP($A19,CURVES!$D$9:$T$261,7))*(INDEX(DailyScalarsTable,AH$5/100,MONTH($A19)))*$C19</f>
        <v>-6133.7513631651491</v>
      </c>
      <c r="AI19" s="1021">
        <f>(VLOOKUP(YEAR($A19),'NY East Load Projections'!$A$4:$EO$14,((MONTH($A19)-1)*12)+VLOOKUP(AI$4,$DE$6:$DF$17,2)+1))*(VLOOKUP($A19,CURVES!$D$9:$T$261,7))*(INDEX(DailyScalarsTable,AI$5/100,MONTH($A19)))*$C19</f>
        <v>-5620.666573698576</v>
      </c>
      <c r="AJ19" s="1021">
        <f>(VLOOKUP(YEAR($A19),'NY East Load Projections'!$A$4:$EO$14,((MONTH($A19)-1)*12)+VLOOKUP(AJ$4,$DE$6:$DF$17,2)+1))*(VLOOKUP($A19,CURVES!$D$9:$T$261,7))*(INDEX(DailyScalarsTable,AJ$5/100,MONTH($A19)))*$C19</f>
        <v>-5617.2682315581151</v>
      </c>
      <c r="AK19" s="1021">
        <f>(VLOOKUP(YEAR($A19),'NY East Load Projections'!$A$4:$EO$14,((MONTH($A19)-1)*12)+VLOOKUP(AK$4,$DE$6:$DF$17,2)+1))*(VLOOKUP($A19,CURVES!$D$9:$T$261,7))*(INDEX(DailyScalarsTable,AK$5/100,MONTH($A19)))*$C19</f>
        <v>-5869.9776972981253</v>
      </c>
      <c r="AL19" s="1021">
        <f>(VLOOKUP(YEAR($A19),'NY East Load Projections'!$A$4:$EO$14,((MONTH($A19)-1)*12)+VLOOKUP(AL$4,$DE$6:$DF$17,2)+1))*(VLOOKUP($A19,CURVES!$D$9:$T$261,7))*(INDEX(DailyScalarsTable,AL$5/100,MONTH($A19)))*$C19</f>
        <v>-6264.5456015819564</v>
      </c>
      <c r="AM19" s="1021">
        <f>(VLOOKUP(YEAR($A19),'NY East Load Projections'!$A$4:$EO$14,((MONTH($A19)-1)*12)+VLOOKUP(AM$4,$DE$6:$DF$17,2)+1))*(VLOOKUP($A19,CURVES!$D$9:$T$261,7))*(INDEX(DailyScalarsTable,AM$5/100,MONTH($A19)))*$C19</f>
        <v>-11996.528548524224</v>
      </c>
      <c r="AN19" s="1021">
        <f>(VLOOKUP(YEAR($A19),'NY East Load Projections'!$A$4:$EO$14,((MONTH($A19)-1)*12)+VLOOKUP(AN$4,$DE$6:$DF$17,2)+1))*(VLOOKUP($A19,SatSunCurve,3))*(INDEX(DailyScalarsTable,AN$5/100,MONTH($A19)))*$C19</f>
        <v>-10663.984711062398</v>
      </c>
      <c r="AO19" s="1021">
        <f>(VLOOKUP(YEAR($A19),'NY East Load Projections'!$A$4:$EO$14,((MONTH($A19)-1)*12)+VLOOKUP(AO$4,$DE$6:$DF$17,2)+1))*(VLOOKUP($A19,SatSunCurve,3))*(INDEX(DailyScalarsTable,AO$5/100,MONTH($A19)))*$C19</f>
        <v>-11850.431508950658</v>
      </c>
      <c r="AP19" s="1021">
        <f>(VLOOKUP(YEAR($A19),'NY East Load Projections'!$A$4:$EO$14,((MONTH($A19)-1)*12)+VLOOKUP(AP$4,$DE$6:$DF$17,2)+1))*(VLOOKUP($A19,SatSunCurve,3))*(INDEX(DailyScalarsTable,AP$5/100,MONTH($A19)))*$C19</f>
        <v>-11814.363555415544</v>
      </c>
      <c r="AQ19" s="1021">
        <f>(VLOOKUP(YEAR($A19),'NY East Load Projections'!$A$4:$EO$14,((MONTH($A19)-1)*12)+VLOOKUP(AQ$4,$DE$6:$DF$17,2)+1))*(VLOOKUP($A19,SatSunCurve,3))*(INDEX(DailyScalarsTable,AQ$5/100,MONTH($A19)))*$C19</f>
        <v>-11608.187415590171</v>
      </c>
      <c r="AR19" s="1021">
        <f>(VLOOKUP(YEAR($A19),'NY East Load Projections'!$A$4:$EO$14,((MONTH($A19)-1)*12)+VLOOKUP(AR$4,$DE$6:$DF$17,2)+1))*(VLOOKUP($A19,SatSunCurve,3))*(INDEX(DailyScalarsTable,AR$5/100,MONTH($A19)))*$C19</f>
        <v>-8695.6306628279999</v>
      </c>
      <c r="AS19" s="1021">
        <f>(VLOOKUP(YEAR($A19),'NY East Load Projections'!$A$4:$EO$14,((MONTH($A19)-1)*12)+VLOOKUP(AS$4,$DE$6:$DF$17,2)+1))*(VLOOKUP($A19,SatSunCurve,3))*(INDEX(DailyScalarsTable,AS$5/100,MONTH($A19)))*$C19</f>
        <v>-8220.5950036603808</v>
      </c>
      <c r="AT19" s="1021">
        <f>(VLOOKUP(YEAR($A19),'NY East Load Projections'!$A$4:$EO$14,((MONTH($A19)-1)*12)+VLOOKUP(AT$4,$DE$6:$DF$17,2)+1))*(VLOOKUP($A19,SatSunCurve,3))*(INDEX(DailyScalarsTable,AT$5/100,MONTH($A19)))*$C19</f>
        <v>-7955.1663395272199</v>
      </c>
      <c r="AU19" s="1021">
        <f>(VLOOKUP(YEAR($A19),'NY East Load Projections'!$A$4:$EO$14,((MONTH($A19)-1)*12)+VLOOKUP(AU$4,$DE$6:$DF$17,2)+1))*(VLOOKUP($A19,SatSunCurve,3))*(INDEX(DailyScalarsTable,AU$5/100,MONTH($A19)))*$C19</f>
        <v>-7550.2914569183031</v>
      </c>
      <c r="AV19" s="1021">
        <f>(VLOOKUP(YEAR($A19),'NY East Load Projections'!$A$4:$EO$14,((MONTH($A19)-1)*12)+VLOOKUP(AV$4,$DE$6:$DF$17,2)+1))*(VLOOKUP($A19,SatSunCurve,3))*(INDEX(DailyScalarsTable,AV$5/100,MONTH($A19)))*$C19</f>
        <v>-7398.3431636826526</v>
      </c>
      <c r="AW19" s="1021">
        <f>(VLOOKUP(YEAR($A19),'NY East Load Projections'!$A$4:$EO$14,((MONTH($A19)-1)*12)+VLOOKUP(AW$4,$DE$6:$DF$17,2)+1))*(VLOOKUP($A19,SatSunCurve,3))*(INDEX(DailyScalarsTable,AW$5/100,MONTH($A19)))*$C19</f>
        <v>-7830.4299482752713</v>
      </c>
      <c r="AX19" s="1021">
        <f>(VLOOKUP(YEAR($A19),'NY East Load Projections'!$A$4:$EO$14,((MONTH($A19)-1)*12)+VLOOKUP(AX$4,$DE$6:$DF$17,2)+1))*(VLOOKUP($A19,SatSunCurve,3))*(INDEX(DailyScalarsTable,AX$5/100,MONTH($A19)))*$C19</f>
        <v>-10895.703084938934</v>
      </c>
      <c r="AY19" s="1021">
        <f>(VLOOKUP(YEAR($A19),'NY East Load Projections'!$A$4:$EO$14,((MONTH($A19)-1)*12)+VLOOKUP(AY$4,$DE$6:$DF$17,2)+1))*(VLOOKUP($A19,SatSunCurve,3))*(INDEX(DailyScalarsTable,AY$5/100,MONTH($A19)))*$C19</f>
        <v>-11955.481316091295</v>
      </c>
      <c r="AZ19" s="1021">
        <f>(VLOOKUP(YEAR($A19),'NY East Load Projections'!$A$4:$EO$14,((MONTH($A19)-1)*12)+VLOOKUP(AZ$4,$DE$6:$DF$17,2)+1))*(VLOOKUP($A19,SatSunCurve,3))*(INDEX(DailyScalarsTable,AZ$5/100,MONTH($A19)))*$C19</f>
        <v>-11443.470160235538</v>
      </c>
      <c r="BA19" s="1021">
        <f>(VLOOKUP(YEAR($A19),'NY East Load Projections'!$A$4:$EO$14,((MONTH($A19)-1)*12)+VLOOKUP(BA$4,$DE$6:$DF$17,2)+1))*(VLOOKUP($A19,SatSunCurve,3))*(INDEX(DailyScalarsTable,BA$5/100,MONTH($A19)))*$C19</f>
        <v>-10654.960779766385</v>
      </c>
      <c r="BB19" s="1021">
        <f>(VLOOKUP(YEAR($A19),'NY East Load Projections'!$A$4:$EO$14,((MONTH($A19)-1)*12)+VLOOKUP(BB$4,$DE$6:$DF$17,2)+1))*(VLOOKUP($A19,SatSunCurve,3))*(INDEX(DailyScalarsTable,BB$5/100,MONTH($A19)))*$C19</f>
        <v>-7578.0548857511039</v>
      </c>
      <c r="BC19" s="1021">
        <f>(VLOOKUP(YEAR($A19),'NY East Load Projections'!$A$4:$EO$14,((MONTH($A19)-1)*12)+VLOOKUP(BC$4,$DE$6:$DF$17,2)+1))*(VLOOKUP($A19,SatSunCurve,3))*(INDEX(DailyScalarsTable,BC$5/100,MONTH($A19)))*$C19</f>
        <v>-6203.5811450610072</v>
      </c>
      <c r="BD19" s="1021">
        <f>(VLOOKUP(YEAR($A19),'NY East Load Projections'!$A$4:$EO$14,((MONTH($A19)-1)*12)+VLOOKUP(BD$4,$DE$6:$DF$17,2)+1))*(VLOOKUP($A19,CURVES!$D$9:$T$261,7))*(INDEX(DailyScalarsTable,BD$5/100,MONTH($A19)))*$C19</f>
        <v>-7182.8601012472564</v>
      </c>
      <c r="BE19" s="1021"/>
      <c r="BF19" s="1021">
        <f>(VLOOKUP(YEAR($A19),'NY East Load Projections'!$A$4:$EO$14,((MONTH($A19)-1)*12)+VLOOKUP(BF$4,$DE$6:$DF$17,2)+1))*(VLOOKUP($A19,CURVES!$D$9:$T$261,7))*(INDEX(DailyScalarsTable,BF$5/100,MONTH($A19)))*$D19</f>
        <v>-6255.6284333336671</v>
      </c>
      <c r="BG19" s="1021">
        <f>(VLOOKUP(YEAR($A19),'NY East Load Projections'!$A$4:$EO$14,((MONTH($A19)-1)*12)+VLOOKUP(BG$4,$DE$6:$DF$17,2)+1))*(VLOOKUP($A19,CURVES!$D$9:$T$261,7))*(INDEX(DailyScalarsTable,BG$5/100,MONTH($A19)))*$D19</f>
        <v>-6133.7513631651491</v>
      </c>
      <c r="BH19" s="1021">
        <f>(VLOOKUP(YEAR($A19),'NY East Load Projections'!$A$4:$EO$14,((MONTH($A19)-1)*12)+VLOOKUP(BH$4,$DE$6:$DF$17,2)+1))*(VLOOKUP($A19,CURVES!$D$9:$T$261,7))*(INDEX(DailyScalarsTable,BH$5/100,MONTH($A19)))*$D19</f>
        <v>-5620.666573698576</v>
      </c>
      <c r="BI19" s="1021">
        <f>(VLOOKUP(YEAR($A19),'NY East Load Projections'!$A$4:$EO$14,((MONTH($A19)-1)*12)+VLOOKUP(BI$4,$DE$6:$DF$17,2)+1))*(VLOOKUP($A19,CURVES!$D$9:$T$261,7))*(INDEX(DailyScalarsTable,BI$5/100,MONTH($A19)))*$D19</f>
        <v>-5617.2682315581151</v>
      </c>
      <c r="BJ19" s="1021">
        <f>(VLOOKUP(YEAR($A19),'NY East Load Projections'!$A$4:$EO$14,((MONTH($A19)-1)*12)+VLOOKUP(BJ$4,$DE$6:$DF$17,2)+1))*(VLOOKUP($A19,CURVES!$D$9:$T$261,7))*(INDEX(DailyScalarsTable,BJ$5/100,MONTH($A19)))*$D19</f>
        <v>-5869.9776972981253</v>
      </c>
      <c r="BK19" s="1021">
        <f>(VLOOKUP(YEAR($A19),'NY East Load Projections'!$A$4:$EO$14,((MONTH($A19)-1)*12)+VLOOKUP(BK$4,$DE$6:$DF$17,2)+1))*(VLOOKUP($A19,CURVES!$D$9:$T$261,7))*(INDEX(DailyScalarsTable,BK$5/100,MONTH($A19)))*$D19</f>
        <v>-6264.5456015819564</v>
      </c>
      <c r="BL19" s="1021">
        <f>(VLOOKUP(YEAR($A19),'NY East Load Projections'!$A$4:$EO$14,((MONTH($A19)-1)*12)+VLOOKUP(BL$4,$DE$6:$DF$17,2)+1))*(VLOOKUP($A19,CURVES!$D$9:$T$261,7))*(INDEX(DailyScalarsTable,BL$5/100,MONTH($A19)))*$D19</f>
        <v>-11996.528548524224</v>
      </c>
      <c r="BM19" s="1021">
        <f>(VLOOKUP(YEAR($A19),'NY East Load Projections'!$A$4:$EO$14,((MONTH($A19)-1)*12)+VLOOKUP(BM$4,$DE$6:$DF$17,2)+1))*(VLOOKUP($A19,SatSunCurve,7))*(INDEX(DailyScalarsTable,BM$5/100,MONTH($A19)))*$D19</f>
        <v>-9700.1419124161548</v>
      </c>
      <c r="BN19" s="1021">
        <f>(VLOOKUP(YEAR($A19),'NY East Load Projections'!$A$4:$EO$14,((MONTH($A19)-1)*12)+VLOOKUP(BN$4,$DE$6:$DF$17,2)+1))*(VLOOKUP($A19,SatSunCurve,7))*(INDEX(DailyScalarsTable,BN$5/100,MONTH($A19)))*$D19</f>
        <v>-10779.354104000526</v>
      </c>
      <c r="BO19" s="1021">
        <f>(VLOOKUP(YEAR($A19),'NY East Load Projections'!$A$4:$EO$14,((MONTH($A19)-1)*12)+VLOOKUP(BO$4,$DE$6:$DF$17,2)+1))*(VLOOKUP($A19,SatSunCurve,7))*(INDEX(DailyScalarsTable,BO$5/100,MONTH($A19)))*$D19</f>
        <v>-10746.546079865035</v>
      </c>
      <c r="BP19" s="1021">
        <f>(VLOOKUP(YEAR($A19),'NY East Load Projections'!$A$4:$EO$14,((MONTH($A19)-1)*12)+VLOOKUP(BP$4,$DE$6:$DF$17,2)+1))*(VLOOKUP($A19,SatSunCurve,7))*(INDEX(DailyScalarsTable,BP$5/100,MONTH($A19)))*$D19</f>
        <v>-10559.004755543216</v>
      </c>
      <c r="BQ19" s="1021">
        <f>(VLOOKUP(YEAR($A19),'NY East Load Projections'!$A$4:$EO$14,((MONTH($A19)-1)*12)+VLOOKUP(BQ$4,$DE$6:$DF$17,2)+1))*(VLOOKUP($A19,SatSunCurve,7))*(INDEX(DailyScalarsTable,BQ$5/100,MONTH($A19)))*$D19</f>
        <v>-7909.6935838522713</v>
      </c>
      <c r="BR19" s="1021">
        <f>(VLOOKUP(YEAR($A19),'NY East Load Projections'!$A$4:$EO$14,((MONTH($A19)-1)*12)+VLOOKUP(BR$4,$DE$6:$DF$17,2)+1))*(VLOOKUP($A19,SatSunCurve,7))*(INDEX(DailyScalarsTable,BR$5/100,MONTH($A19)))*$D19</f>
        <v>-7477.5930668097071</v>
      </c>
      <c r="BS19" s="1021">
        <f>(VLOOKUP(YEAR($A19),'NY East Load Projections'!$A$4:$EO$14,((MONTH($A19)-1)*12)+VLOOKUP(BS$4,$DE$6:$DF$17,2)+1))*(VLOOKUP($A19,SatSunCurve,7))*(INDEX(DailyScalarsTable,BS$5/100,MONTH($A19)))*$D19</f>
        <v>-7236.154638353989</v>
      </c>
      <c r="BT19" s="1021">
        <f>(VLOOKUP(YEAR($A19),'NY East Load Projections'!$A$4:$EO$14,((MONTH($A19)-1)*12)+VLOOKUP(BT$4,$DE$6:$DF$17,2)+1))*(VLOOKUP($A19,SatSunCurve,7))*(INDEX(DailyScalarsTable,BT$5/100,MONTH($A19)))*$D19</f>
        <v>-6867.8735572675496</v>
      </c>
      <c r="BU19" s="1021">
        <f>(VLOOKUP(YEAR($A19),'NY East Load Projections'!$A$4:$EO$14,((MONTH($A19)-1)*12)+VLOOKUP(BU$4,$DE$6:$DF$17,2)+1))*(VLOOKUP($A19,SatSunCurve,7))*(INDEX(DailyScalarsTable,BU$5/100,MONTH($A19)))*$D19</f>
        <v>-6729.6588047457972</v>
      </c>
      <c r="BV19" s="1021">
        <f>(VLOOKUP(YEAR($A19),'NY East Load Projections'!$A$4:$EO$14,((MONTH($A19)-1)*12)+VLOOKUP(BV$4,$DE$6:$DF$17,2)+1))*(VLOOKUP($A19,SatSunCurve,7))*(INDEX(DailyScalarsTable,BV$5/100,MONTH($A19)))*$D19</f>
        <v>-7122.6922948144875</v>
      </c>
      <c r="BW19" s="1021">
        <f>(VLOOKUP(YEAR($A19),'NY East Load Projections'!$A$4:$EO$14,((MONTH($A19)-1)*12)+VLOOKUP(BW$4,$DE$6:$DF$17,2)+1))*(VLOOKUP($A19,SatSunCurve,7))*(INDEX(DailyScalarsTable,BW$5/100,MONTH($A19)))*$D19</f>
        <v>-9910.9168873638464</v>
      </c>
      <c r="BX19" s="1021">
        <f>(VLOOKUP(YEAR($A19),'NY East Load Projections'!$A$4:$EO$14,((MONTH($A19)-1)*12)+VLOOKUP(BX$4,$DE$6:$DF$17,2)+1))*(VLOOKUP($A19,SatSunCurve,7))*(INDEX(DailyScalarsTable,BX$5/100,MONTH($A19)))*$D19</f>
        <v>-10874.909195717702</v>
      </c>
      <c r="BY19" s="1021">
        <f>(VLOOKUP(YEAR($A19),'NY East Load Projections'!$A$4:$EO$14,((MONTH($A19)-1)*12)+VLOOKUP(BY$4,$DE$6:$DF$17,2)+1))*(VLOOKUP($A19,SatSunCurve,7))*(INDEX(DailyScalarsTable,BY$5/100,MONTH($A19)))*$D19</f>
        <v>-10409.175137848233</v>
      </c>
      <c r="BZ19" s="1021">
        <f>(VLOOKUP(YEAR($A19),'NY East Load Projections'!$A$4:$EO$14,((MONTH($A19)-1)*12)+VLOOKUP(BZ$4,$DE$6:$DF$17,2)+1))*(VLOOKUP($A19,SatSunCurve,7))*(INDEX(DailyScalarsTable,BZ$5/100,MONTH($A19)))*$D19</f>
        <v>-9691.9335909912006</v>
      </c>
      <c r="CA19" s="1021">
        <f>(VLOOKUP(YEAR($A19),'NY East Load Projections'!$A$4:$EO$14,((MONTH($A19)-1)*12)+VLOOKUP(CA$4,$DE$6:$DF$17,2)+1))*(VLOOKUP($A19,SatSunCurve,7))*(INDEX(DailyScalarsTable,CA$5/100,MONTH($A19)))*$D19</f>
        <v>-6893.1276444544965</v>
      </c>
      <c r="CB19" s="1021">
        <f>(VLOOKUP(YEAR($A19),'NY East Load Projections'!$A$4:$EO$14,((MONTH($A19)-1)*12)+VLOOKUP(CB$4,$DE$6:$DF$17,2)+1))*(VLOOKUP($A19,SatSunCurve,7))*(INDEX(DailyScalarsTable,CB$5/100,MONTH($A19)))*$D19</f>
        <v>-5642.8829469210568</v>
      </c>
      <c r="CC19" s="1021">
        <f>(VLOOKUP(YEAR($A19),'NY East Load Projections'!$A$4:$EO$14,((MONTH($A19)-1)*12)+VLOOKUP(CC$4,$DE$6:$DF$17,2)+1))*(VLOOKUP($A19,CURVES!$D$9:$T$261,7))*(INDEX(DailyScalarsTable,CC$5/100,MONTH($A19)))*$D19</f>
        <v>-7182.8601012472564</v>
      </c>
      <c r="CE19" s="1021">
        <f>(VLOOKUP(YEAR($A19),'NY East Load Projections'!$A$4:$EO$14,((MONTH($A19)-1)*12)+VLOOKUP(CE$4,$DE$6:$DF$17,2)+1))*(VLOOKUP($A19,CURVES!$D$9:$T$261,7))*(INDEX(DailyScalarsTable,CE$5/100,MONTH($A19)))*$E19</f>
        <v>0</v>
      </c>
      <c r="CF19" s="1021">
        <f>(VLOOKUP(YEAR($A19),'NY East Load Projections'!$A$4:$EO$14,((MONTH($A19)-1)*12)+VLOOKUP(CF$4,$DE$6:$DF$17,2)+1))*(VLOOKUP($A19,CURVES!$D$9:$T$261,7))*(INDEX(DailyScalarsTable,CF$5/100,MONTH($A19)))*$E19</f>
        <v>0</v>
      </c>
      <c r="CG19" s="1021">
        <f>(VLOOKUP(YEAR($A19),'NY East Load Projections'!$A$4:$EO$14,((MONTH($A19)-1)*12)+VLOOKUP(CG$4,$DE$6:$DF$17,2)+1))*(VLOOKUP($A19,CURVES!$D$9:$T$261,7))*(INDEX(DailyScalarsTable,CG$5/100,MONTH($A19)))*$E19</f>
        <v>0</v>
      </c>
      <c r="CH19" s="1021">
        <f>(VLOOKUP(YEAR($A19),'NY East Load Projections'!$A$4:$EO$14,((MONTH($A19)-1)*12)+VLOOKUP(CH$4,$DE$6:$DF$17,2)+1))*(VLOOKUP($A19,CURVES!$D$9:$T$261,7))*(INDEX(DailyScalarsTable,CH$5/100,MONTH($A19)))*$E19</f>
        <v>0</v>
      </c>
      <c r="CI19" s="1021">
        <f>(VLOOKUP(YEAR($A19),'NY East Load Projections'!$A$4:$EO$14,((MONTH($A19)-1)*12)+VLOOKUP(CI$4,$DE$6:$DF$17,2)+1))*(VLOOKUP($A19,CURVES!$D$9:$T$261,7))*(INDEX(DailyScalarsTable,CI$5/100,MONTH($A19)))*$E19</f>
        <v>0</v>
      </c>
      <c r="CJ19" s="1021">
        <f>(VLOOKUP(YEAR($A19),'NY East Load Projections'!$A$4:$EO$14,((MONTH($A19)-1)*12)+VLOOKUP(CJ$4,$DE$6:$DF$17,2)+1))*(VLOOKUP($A19,CURVES!$D$9:$T$261,7))*(INDEX(DailyScalarsTable,CJ$5/100,MONTH($A19)))*$E19</f>
        <v>0</v>
      </c>
      <c r="CK19" s="1021">
        <f>(VLOOKUP(YEAR($A19),'NY East Load Projections'!$A$4:$EO$14,((MONTH($A19)-1)*12)+VLOOKUP(CK$4,$DE$6:$DF$17,2)+1))*(VLOOKUP($A19,CURVES!$D$9:$T$261,7))*(INDEX(DailyScalarsTable,CK$5/100,MONTH($A19)))*$E19</f>
        <v>0</v>
      </c>
      <c r="CL19" s="1021">
        <f>(VLOOKUP(YEAR($A19),'NY East Load Projections'!$A$4:$EO$14,((MONTH($A19)-1)*12)+VLOOKUP(CL$4,$DE$6:$DF$17,2)+1))*(VLOOKUP($A19,SatSunCurve,7))*(INDEX(DailyScalarsTable,CL$5/100,MONTH($A19)))*$E19</f>
        <v>0</v>
      </c>
      <c r="CM19" s="1021">
        <f>(VLOOKUP(YEAR($A19),'NY East Load Projections'!$A$4:$EO$14,((MONTH($A19)-1)*12)+VLOOKUP(CM$4,$DE$6:$DF$17,2)+1))*(VLOOKUP($A19,SatSunCurve,7))*(INDEX(DailyScalarsTable,CM$5/100,MONTH($A19)))*$E19</f>
        <v>0</v>
      </c>
      <c r="CN19" s="1021">
        <f>(VLOOKUP(YEAR($A19),'NY East Load Projections'!$A$4:$EO$14,((MONTH($A19)-1)*12)+VLOOKUP(CN$4,$DE$6:$DF$17,2)+1))*(VLOOKUP($A19,SatSunCurve,7))*(INDEX(DailyScalarsTable,CN$5/100,MONTH($A19)))*$E19</f>
        <v>0</v>
      </c>
      <c r="CO19" s="1021">
        <f>(VLOOKUP(YEAR($A19),'NY East Load Projections'!$A$4:$EO$14,((MONTH($A19)-1)*12)+VLOOKUP(CO$4,$DE$6:$DF$17,2)+1))*(VLOOKUP($A19,SatSunCurve,7))*(INDEX(DailyScalarsTable,CO$5/100,MONTH($A19)))*$E19</f>
        <v>0</v>
      </c>
      <c r="CP19" s="1021">
        <f>(VLOOKUP(YEAR($A19),'NY East Load Projections'!$A$4:$EO$14,((MONTH($A19)-1)*12)+VLOOKUP(CP$4,$DE$6:$DF$17,2)+1))*(VLOOKUP($A19,SatSunCurve,7))*(INDEX(DailyScalarsTable,CP$5/100,MONTH($A19)))*$E19</f>
        <v>0</v>
      </c>
      <c r="CQ19" s="1021">
        <f>(VLOOKUP(YEAR($A19),'NY East Load Projections'!$A$4:$EO$14,((MONTH($A19)-1)*12)+VLOOKUP(CQ$4,$DE$6:$DF$17,2)+1))*(VLOOKUP($A19,SatSunCurve,7))*(INDEX(DailyScalarsTable,CQ$5/100,MONTH($A19)))*$E19</f>
        <v>0</v>
      </c>
      <c r="CR19" s="1021">
        <f>(VLOOKUP(YEAR($A19),'NY East Load Projections'!$A$4:$EO$14,((MONTH($A19)-1)*12)+VLOOKUP(CR$4,$DE$6:$DF$17,2)+1))*(VLOOKUP($A19,SatSunCurve,7))*(INDEX(DailyScalarsTable,CR$5/100,MONTH($A19)))*$E19</f>
        <v>0</v>
      </c>
      <c r="CS19" s="1021">
        <f>(VLOOKUP(YEAR($A19),'NY East Load Projections'!$A$4:$EO$14,((MONTH($A19)-1)*12)+VLOOKUP(CS$4,$DE$6:$DF$17,2)+1))*(VLOOKUP($A19,SatSunCurve,7))*(INDEX(DailyScalarsTable,CS$5/100,MONTH($A19)))*$E19</f>
        <v>0</v>
      </c>
      <c r="CT19" s="1021">
        <f>(VLOOKUP(YEAR($A19),'NY East Load Projections'!$A$4:$EO$14,((MONTH($A19)-1)*12)+VLOOKUP(CT$4,$DE$6:$DF$17,2)+1))*(VLOOKUP($A19,SatSunCurve,7))*(INDEX(DailyScalarsTable,CT$5/100,MONTH($A19)))*$E19</f>
        <v>0</v>
      </c>
      <c r="CU19" s="1021">
        <f>(VLOOKUP(YEAR($A19),'NY East Load Projections'!$A$4:$EO$14,((MONTH($A19)-1)*12)+VLOOKUP(CU$4,$DE$6:$DF$17,2)+1))*(VLOOKUP($A19,SatSunCurve,7))*(INDEX(DailyScalarsTable,CU$5/100,MONTH($A19)))*$E19</f>
        <v>0</v>
      </c>
      <c r="CV19" s="1021">
        <f>(VLOOKUP(YEAR($A19),'NY East Load Projections'!$A$4:$EO$14,((MONTH($A19)-1)*12)+VLOOKUP(CV$4,$DE$6:$DF$17,2)+1))*(VLOOKUP($A19,SatSunCurve,7))*(INDEX(DailyScalarsTable,CV$5/100,MONTH($A19)))*$E19</f>
        <v>0</v>
      </c>
      <c r="CW19" s="1021">
        <f>(VLOOKUP(YEAR($A19),'NY East Load Projections'!$A$4:$EO$14,((MONTH($A19)-1)*12)+VLOOKUP(CW$4,$DE$6:$DF$17,2)+1))*(VLOOKUP($A19,SatSunCurve,7))*(INDEX(DailyScalarsTable,CW$5/100,MONTH($A19)))*$E19</f>
        <v>0</v>
      </c>
      <c r="CX19" s="1021">
        <f>(VLOOKUP(YEAR($A19),'NY East Load Projections'!$A$4:$EO$14,((MONTH($A19)-1)*12)+VLOOKUP(CX$4,$DE$6:$DF$17,2)+1))*(VLOOKUP($A19,SatSunCurve,7))*(INDEX(DailyScalarsTable,CX$5/100,MONTH($A19)))*$E19</f>
        <v>0</v>
      </c>
      <c r="CY19" s="1021">
        <f>(VLOOKUP(YEAR($A19),'NY East Load Projections'!$A$4:$EO$14,((MONTH($A19)-1)*12)+VLOOKUP(CY$4,$DE$6:$DF$17,2)+1))*(VLOOKUP($A19,SatSunCurve,7))*(INDEX(DailyScalarsTable,CY$5/100,MONTH($A19)))*$E19</f>
        <v>0</v>
      </c>
      <c r="CZ19" s="1021">
        <f>(VLOOKUP(YEAR($A19),'NY East Load Projections'!$A$4:$EO$14,((MONTH($A19)-1)*12)+VLOOKUP(CZ$4,$DE$6:$DF$17,2)+1))*(VLOOKUP($A19,SatSunCurve,7))*(INDEX(DailyScalarsTable,CZ$5/100,MONTH($A19)))*$E19</f>
        <v>0</v>
      </c>
      <c r="DA19" s="1021">
        <f>(VLOOKUP(YEAR($A19),'NY East Load Projections'!$A$4:$EO$14,((MONTH($A19)-1)*12)+VLOOKUP(DA$4,$DE$6:$DF$17,2)+1))*(VLOOKUP($A19,SatSunCurve,7))*(INDEX(DailyScalarsTable,DA$5/100,MONTH($A19)))*$E19</f>
        <v>0</v>
      </c>
      <c r="DB19" s="1021">
        <f>(VLOOKUP(YEAR($A19),'NY East Load Projections'!$A$4:$EO$14,((MONTH($A19)-1)*12)+VLOOKUP(DB$4,$DE$6:$DF$17,2)+1))*(VLOOKUP($A19,CURVES!$D$9:$T$261,7))*(INDEX(DailyScalarsTable,DB$5/100,MONTH($A19)))*$E19</f>
        <v>0</v>
      </c>
      <c r="DH19" s="1032">
        <f t="shared" si="0"/>
        <v>-1626486.9330392005</v>
      </c>
      <c r="DI19">
        <f ca="1">CALC!J39</f>
        <v>0.86779501339320064</v>
      </c>
      <c r="DJ19" s="1029">
        <f t="shared" ca="1" si="1"/>
        <v>-1411457.2498406188</v>
      </c>
    </row>
    <row r="20" spans="1:114" x14ac:dyDescent="0.25">
      <c r="A20" s="244">
        <v>37316</v>
      </c>
      <c r="B20" s="13">
        <v>21</v>
      </c>
      <c r="C20" s="210">
        <v>5</v>
      </c>
      <c r="D20" s="210">
        <v>5</v>
      </c>
      <c r="E20" s="210">
        <v>0</v>
      </c>
      <c r="F20" s="13">
        <v>31</v>
      </c>
      <c r="H20" s="1021">
        <f>(VLOOKUP(YEAR($A20),'NY East Load Projections'!$A$4:$EO$14,((MONTH($A20)-1)*12)+VLOOKUP(H$4,$DE$6:$DF$17,2)+1))*(VLOOKUP($A20,CURVES!$D$9:$K$261,7))*(INDEX(DailyScalarsTable,H$5/100,MONTH($A20)))*$B20</f>
        <v>-25559.621280744497</v>
      </c>
      <c r="I20" s="1021">
        <f>(VLOOKUP(YEAR($A20),'NY East Load Projections'!$A$4:$EO$14,((MONTH($A20)-1)*12)+VLOOKUP(I$4,$DE$6:$DF$17,2)+1))*(VLOOKUP($A20,CURVES!$D$9:$K$261,7))*(INDEX(DailyScalarsTable,I$5/100,MONTH($A20)))*$B20</f>
        <v>-24167.755650178722</v>
      </c>
      <c r="J20" s="1021">
        <f>(VLOOKUP(YEAR($A20),'NY East Load Projections'!$A$4:$EO$14,((MONTH($A20)-1)*12)+VLOOKUP(J$4,$DE$6:$DF$17,2)+1))*(VLOOKUP($A20,CURVES!$D$9:$K$261,7))*(INDEX(DailyScalarsTable,J$5/100,MONTH($A20)))*$B20</f>
        <v>-23137.762722408777</v>
      </c>
      <c r="K20" s="1021">
        <f>(VLOOKUP(YEAR($A20),'NY East Load Projections'!$A$4:$EO$14,((MONTH($A20)-1)*12)+VLOOKUP(K$4,$DE$6:$DF$17,2)+1))*(VLOOKUP($A20,CURVES!$D$9:$K$261,7))*(INDEX(DailyScalarsTable,K$5/100,MONTH($A20)))*$B20</f>
        <v>-23152.28707512562</v>
      </c>
      <c r="L20" s="1021">
        <f>(VLOOKUP(YEAR($A20),'NY East Load Projections'!$A$4:$EO$14,((MONTH($A20)-1)*12)+VLOOKUP(L$4,$DE$6:$DF$17,2)+1))*(VLOOKUP($A20,CURVES!$D$9:$K$261,7))*(INDEX(DailyScalarsTable,L$5/100,MONTH($A20)))*$B20</f>
        <v>-26822.901545065171</v>
      </c>
      <c r="M20" s="1021">
        <f>(VLOOKUP(YEAR($A20),'NY East Load Projections'!$A$4:$EO$14,((MONTH($A20)-1)*12)+VLOOKUP(M$4,$DE$6:$DF$17,2)+1))*(VLOOKUP($A20,CURVES!$D$9:$K$261,7))*(INDEX(DailyScalarsTable,M$5/100,MONTH($A20)))*$B20</f>
        <v>-31135.30810008254</v>
      </c>
      <c r="N20" s="1021">
        <f>(VLOOKUP(YEAR($A20),'NY East Load Projections'!$A$4:$EO$14,((MONTH($A20)-1)*12)+VLOOKUP(N$4,$DE$6:$DF$17,2)+1))*(VLOOKUP($A20,CURVES!$D$9:$K$261,7))*(INDEX(DailyScalarsTable,N$5/100,MONTH($A20)))*$B20</f>
        <v>-56180.137397356499</v>
      </c>
      <c r="O20" s="1021">
        <f>(VLOOKUP(YEAR($A20),'NY East Load Projections'!$A$4:$EO$14,((MONTH($A20)-1)*12)+VLOOKUP(O$4,$DE$6:$DF$17,2)+1))*(VLOOKUP($A20,CURVES!$D$9:$K$261,3))*(INDEX(DailyScalarsTable,O$5/100,MONTH($A20)))*$B20</f>
        <v>-60277.072409012908</v>
      </c>
      <c r="P20" s="1021">
        <f>(VLOOKUP(YEAR($A20),'NY East Load Projections'!$A$4:$EO$14,((MONTH($A20)-1)*12)+VLOOKUP(P$4,$DE$6:$DF$17,2)+1))*(VLOOKUP($A20,CURVES!$D$9:$K$261,3))*(INDEX(DailyScalarsTable,P$5/100,MONTH($A20)))*$B20</f>
        <v>-66519.652692174364</v>
      </c>
      <c r="Q20" s="1021">
        <f>(VLOOKUP(YEAR($A20),'NY East Load Projections'!$A$4:$EO$14,((MONTH($A20)-1)*12)+VLOOKUP(Q$4,$DE$6:$DF$17,2)+1))*(VLOOKUP($A20,CURVES!$D$9:$K$261,3))*(INDEX(DailyScalarsTable,Q$5/100,MONTH($A20)))*$B20</f>
        <v>-66318.382941214673</v>
      </c>
      <c r="R20" s="1021">
        <f>(VLOOKUP(YEAR($A20),'NY East Load Projections'!$A$4:$EO$14,((MONTH($A20)-1)*12)+VLOOKUP(R$4,$DE$6:$DF$17,2)+1))*(VLOOKUP($A20,CURVES!$D$9:$K$261,3))*(INDEX(DailyScalarsTable,R$5/100,MONTH($A20)))*$B20</f>
        <v>-65149.900220365424</v>
      </c>
      <c r="S20" s="1021">
        <f>(VLOOKUP(YEAR($A20),'NY East Load Projections'!$A$4:$EO$14,((MONTH($A20)-1)*12)+VLOOKUP(S$4,$DE$6:$DF$17,2)+1))*(VLOOKUP($A20,CURVES!$D$9:$K$261,3))*(INDEX(DailyScalarsTable,S$5/100,MONTH($A20)))*$B20</f>
        <v>-49780.718404027604</v>
      </c>
      <c r="T20" s="1021">
        <f>(VLOOKUP(YEAR($A20),'NY East Load Projections'!$A$4:$EO$14,((MONTH($A20)-1)*12)+VLOOKUP(T$4,$DE$6:$DF$17,2)+1))*(VLOOKUP($A20,CURVES!$D$9:$K$261,3))*(INDEX(DailyScalarsTable,T$5/100,MONTH($A20)))*$B20</f>
        <v>-48940.742004394029</v>
      </c>
      <c r="U20" s="1021">
        <f>(VLOOKUP(YEAR($A20),'NY East Load Projections'!$A$4:$EO$14,((MONTH($A20)-1)*12)+VLOOKUP(U$4,$DE$6:$DF$17,2)+1))*(VLOOKUP($A20,CURVES!$D$9:$K$261,3))*(INDEX(DailyScalarsTable,U$5/100,MONTH($A20)))*$B20</f>
        <v>-47378.803429785708</v>
      </c>
      <c r="V20" s="1021">
        <f>(VLOOKUP(YEAR($A20),'NY East Load Projections'!$A$4:$EO$14,((MONTH($A20)-1)*12)+VLOOKUP(V$4,$DE$6:$DF$17,2)+1))*(VLOOKUP($A20,CURVES!$D$9:$K$261,3))*(INDEX(DailyScalarsTable,V$5/100,MONTH($A20)))*$B20</f>
        <v>-44996.281183734609</v>
      </c>
      <c r="W20" s="1021">
        <f>(VLOOKUP(YEAR($A20),'NY East Load Projections'!$A$4:$EO$14,((MONTH($A20)-1)*12)+VLOOKUP(W$4,$DE$6:$DF$17,2)+1))*(VLOOKUP($A20,CURVES!$D$9:$K$261,3))*(INDEX(DailyScalarsTable,W$5/100,MONTH($A20)))*$B20</f>
        <v>-44102.12794174868</v>
      </c>
      <c r="X20" s="1021">
        <f>(VLOOKUP(YEAR($A20),'NY East Load Projections'!$A$4:$EO$14,((MONTH($A20)-1)*12)+VLOOKUP(X$4,$DE$6:$DF$17,2)+1))*(VLOOKUP($A20,CURVES!$D$9:$K$261,3))*(INDEX(DailyScalarsTable,X$5/100,MONTH($A20)))*$B20</f>
        <v>-46229.530193803948</v>
      </c>
      <c r="Y20" s="1021">
        <f>(VLOOKUP(YEAR($A20),'NY East Load Projections'!$A$4:$EO$14,((MONTH($A20)-1)*12)+VLOOKUP(Y$4,$DE$6:$DF$17,2)+1))*(VLOOKUP($A20,CURVES!$D$9:$K$261,3))*(INDEX(DailyScalarsTable,Y$5/100,MONTH($A20)))*$B20</f>
        <v>-63026.912457018734</v>
      </c>
      <c r="Z20" s="1021">
        <f>(VLOOKUP(YEAR($A20),'NY East Load Projections'!$A$4:$EO$14,((MONTH($A20)-1)*12)+VLOOKUP(Z$4,$DE$6:$DF$17,2)+1))*(VLOOKUP($A20,CURVES!$D$9:$K$261,3))*(INDEX(DailyScalarsTable,Z$5/100,MONTH($A20)))*$B20</f>
        <v>-69208.262068619631</v>
      </c>
      <c r="AA20" s="1021">
        <f>(VLOOKUP(YEAR($A20),'NY East Load Projections'!$A$4:$EO$14,((MONTH($A20)-1)*12)+VLOOKUP(AA$4,$DE$6:$DF$17,2)+1))*(VLOOKUP($A20,CURVES!$D$9:$K$261,3))*(INDEX(DailyScalarsTable,AA$5/100,MONTH($A20)))*$B20</f>
        <v>-66220.972511604763</v>
      </c>
      <c r="AB20" s="1021">
        <f>(VLOOKUP(YEAR($A20),'NY East Load Projections'!$A$4:$EO$14,((MONTH($A20)-1)*12)+VLOOKUP(AB$4,$DE$6:$DF$17,2)+1))*(VLOOKUP($A20,CURVES!$D$9:$K$261,3))*(INDEX(DailyScalarsTable,AB$5/100,MONTH($A20)))*$B20</f>
        <v>-59314.300921632472</v>
      </c>
      <c r="AC20" s="1021">
        <f>(VLOOKUP(YEAR($A20),'NY East Load Projections'!$A$4:$EO$14,((MONTH($A20)-1)*12)+VLOOKUP(AC$4,$DE$6:$DF$17,2)+1))*(VLOOKUP($A20,CURVES!$D$9:$K$261,3))*(INDEX(DailyScalarsTable,AC$5/100,MONTH($A20)))*$B20</f>
        <v>-43070.335530815995</v>
      </c>
      <c r="AD20" s="1021">
        <f>(VLOOKUP(YEAR($A20),'NY East Load Projections'!$A$4:$EO$14,((MONTH($A20)-1)*12)+VLOOKUP(AD$4,$DE$6:$DF$17,2)+1))*(VLOOKUP($A20,CURVES!$D$9:$K$261,3))*(INDEX(DailyScalarsTable,AD$5/100,MONTH($A20)))*$B20</f>
        <v>-35352.380035817099</v>
      </c>
      <c r="AE20" s="1021">
        <f>(VLOOKUP(YEAR($A20),'NY East Load Projections'!$A$4:$EO$14,((MONTH($A20)-1)*12)+VLOOKUP(AE$4,$DE$6:$DF$17,2)+1))*(VLOOKUP($A20,CURVES!$D$9:$K$261,7))*(INDEX(DailyScalarsTable,AE$5/100,MONTH($A20)))*$B20</f>
        <v>-31907.788539519315</v>
      </c>
      <c r="AF20" s="1021"/>
      <c r="AG20" s="1021">
        <f>(VLOOKUP(YEAR($A20),'NY East Load Projections'!$A$4:$EO$14,((MONTH($A20)-1)*12)+VLOOKUP(AG$4,$DE$6:$DF$17,2)+1))*(VLOOKUP($A20,CURVES!$D$9:$T$261,7))*(INDEX(DailyScalarsTable,AG$5/100,MONTH($A20)))*$C20</f>
        <v>-6716.5464195241339</v>
      </c>
      <c r="AH20" s="1021">
        <f>(VLOOKUP(YEAR($A20),'NY East Load Projections'!$A$4:$EO$14,((MONTH($A20)-1)*12)+VLOOKUP(AH$4,$DE$6:$DF$17,2)+1))*(VLOOKUP($A20,CURVES!$D$9:$T$261,7))*(INDEX(DailyScalarsTable,AH$5/100,MONTH($A20)))*$C20</f>
        <v>-6350.7925605466526</v>
      </c>
      <c r="AI20" s="1021">
        <f>(VLOOKUP(YEAR($A20),'NY East Load Projections'!$A$4:$EO$14,((MONTH($A20)-1)*12)+VLOOKUP(AI$4,$DE$6:$DF$17,2)+1))*(VLOOKUP($A20,CURVES!$D$9:$T$261,7))*(INDEX(DailyScalarsTable,AI$5/100,MONTH($A20)))*$C20</f>
        <v>-6080.1314566452384</v>
      </c>
      <c r="AJ20" s="1021">
        <f>(VLOOKUP(YEAR($A20),'NY East Load Projections'!$A$4:$EO$14,((MONTH($A20)-1)*12)+VLOOKUP(AJ$4,$DE$6:$DF$17,2)+1))*(VLOOKUP($A20,CURVES!$D$9:$T$261,7))*(INDEX(DailyScalarsTable,AJ$5/100,MONTH($A20)))*$C20</f>
        <v>-6083.9481598805751</v>
      </c>
      <c r="AK20" s="1021">
        <f>(VLOOKUP(YEAR($A20),'NY East Load Projections'!$A$4:$EO$14,((MONTH($A20)-1)*12)+VLOOKUP(AK$4,$DE$6:$DF$17,2)+1))*(VLOOKUP($A20,CURVES!$D$9:$T$261,7))*(INDEX(DailyScalarsTable,AK$5/100,MONTH($A20)))*$C20</f>
        <v>-6633.4347756945417</v>
      </c>
      <c r="AL20" s="1021">
        <f>(VLOOKUP(YEAR($A20),'NY East Load Projections'!$A$4:$EO$14,((MONTH($A20)-1)*12)+VLOOKUP(AL$4,$DE$6:$DF$17,2)+1))*(VLOOKUP($A20,CURVES!$D$9:$T$261,7))*(INDEX(DailyScalarsTable,AL$5/100,MONTH($A20)))*$C20</f>
        <v>-7699.9140140023073</v>
      </c>
      <c r="AM20" s="1021">
        <f>(VLOOKUP(YEAR($A20),'NY East Load Projections'!$A$4:$EO$14,((MONTH($A20)-1)*12)+VLOOKUP(AM$4,$DE$6:$DF$17,2)+1))*(VLOOKUP($A20,CURVES!$D$9:$T$261,7))*(INDEX(DailyScalarsTable,AM$5/100,MONTH($A20)))*$C20</f>
        <v>-13893.622824093191</v>
      </c>
      <c r="AN20" s="1021">
        <f>(VLOOKUP(YEAR($A20),'NY East Load Projections'!$A$4:$EO$14,((MONTH($A20)-1)*12)+VLOOKUP(AN$4,$DE$6:$DF$17,2)+1))*(VLOOKUP($A20,SatSunCurve,3))*(INDEX(DailyScalarsTable,AN$5/100,MONTH($A20)))*$C20</f>
        <v>-9340.7445332932148</v>
      </c>
      <c r="AO20" s="1021">
        <f>(VLOOKUP(YEAR($A20),'NY East Load Projections'!$A$4:$EO$14,((MONTH($A20)-1)*12)+VLOOKUP(AO$4,$DE$6:$DF$17,2)+1))*(VLOOKUP($A20,SatSunCurve,3))*(INDEX(DailyScalarsTable,AO$5/100,MONTH($A20)))*$C20</f>
        <v>-10306.623906839315</v>
      </c>
      <c r="AP20" s="1021">
        <f>(VLOOKUP(YEAR($A20),'NY East Load Projections'!$A$4:$EO$14,((MONTH($A20)-1)*12)+VLOOKUP(AP$4,$DE$6:$DF$17,2)+1))*(VLOOKUP($A20,SatSunCurve,3))*(INDEX(DailyScalarsTable,AP$5/100,MONTH($A20)))*$C20</f>
        <v>-10275.438963096987</v>
      </c>
      <c r="AQ20" s="1021">
        <f>(VLOOKUP(YEAR($A20),'NY East Load Projections'!$A$4:$EO$14,((MONTH($A20)-1)*12)+VLOOKUP(AQ$4,$DE$6:$DF$17,2)+1))*(VLOOKUP($A20,SatSunCurve,3))*(INDEX(DailyScalarsTable,AQ$5/100,MONTH($A20)))*$C20</f>
        <v>-10094.393039704029</v>
      </c>
      <c r="AR20" s="1021">
        <f>(VLOOKUP(YEAR($A20),'NY East Load Projections'!$A$4:$EO$14,((MONTH($A20)-1)*12)+VLOOKUP(AR$4,$DE$6:$DF$17,2)+1))*(VLOOKUP($A20,SatSunCurve,3))*(INDEX(DailyScalarsTable,AR$5/100,MONTH($A20)))*$C20</f>
        <v>-7713.0760856023917</v>
      </c>
      <c r="AS20" s="1021">
        <f>(VLOOKUP(YEAR($A20),'NY East Load Projections'!$A$4:$EO$14,((MONTH($A20)-1)*12)+VLOOKUP(AS$4,$DE$6:$DF$17,2)+1))*(VLOOKUP($A20,SatSunCurve,3))*(INDEX(DailyScalarsTable,AS$5/100,MONTH($A20)))*$C20</f>
        <v>-7372.8694549107558</v>
      </c>
      <c r="AT20" s="1021">
        <f>(VLOOKUP(YEAR($A20),'NY East Load Projections'!$A$4:$EO$14,((MONTH($A20)-1)*12)+VLOOKUP(AT$4,$DE$6:$DF$17,2)+1))*(VLOOKUP($A20,SatSunCurve,3))*(INDEX(DailyScalarsTable,AT$5/100,MONTH($A20)))*$C20</f>
        <v>-7137.5651106050937</v>
      </c>
      <c r="AU20" s="1021">
        <f>(VLOOKUP(YEAR($A20),'NY East Load Projections'!$A$4:$EO$14,((MONTH($A20)-1)*12)+VLOOKUP(AU$4,$DE$6:$DF$17,2)+1))*(VLOOKUP($A20,SatSunCurve,3))*(INDEX(DailyScalarsTable,AU$5/100,MONTH($A20)))*$C20</f>
        <v>-6778.6407303417454</v>
      </c>
      <c r="AV20" s="1021">
        <f>(VLOOKUP(YEAR($A20),'NY East Load Projections'!$A$4:$EO$14,((MONTH($A20)-1)*12)+VLOOKUP(AV$4,$DE$6:$DF$17,2)+1))*(VLOOKUP($A20,SatSunCurve,3))*(INDEX(DailyScalarsTable,AV$5/100,MONTH($A20)))*$C20</f>
        <v>-6643.9375187464748</v>
      </c>
      <c r="AW20" s="1021">
        <f>(VLOOKUP(YEAR($A20),'NY East Load Projections'!$A$4:$EO$14,((MONTH($A20)-1)*12)+VLOOKUP(AW$4,$DE$6:$DF$17,2)+1))*(VLOOKUP($A20,SatSunCurve,3))*(INDEX(DailyScalarsTable,AW$5/100,MONTH($A20)))*$C20</f>
        <v>-7070.1233879495139</v>
      </c>
      <c r="AX20" s="1021">
        <f>(VLOOKUP(YEAR($A20),'NY East Load Projections'!$A$4:$EO$14,((MONTH($A20)-1)*12)+VLOOKUP(AX$4,$DE$6:$DF$17,2)+1))*(VLOOKUP($A20,SatSunCurve,3))*(INDEX(DailyScalarsTable,AX$5/100,MONTH($A20)))*$C20</f>
        <v>-9639.034746071</v>
      </c>
      <c r="AY20" s="1021">
        <f>(VLOOKUP(YEAR($A20),'NY East Load Projections'!$A$4:$EO$14,((MONTH($A20)-1)*12)+VLOOKUP(AY$4,$DE$6:$DF$17,2)+1))*(VLOOKUP($A20,SatSunCurve,3))*(INDEX(DailyScalarsTable,AY$5/100,MONTH($A20)))*$C20</f>
        <v>-10584.380811126395</v>
      </c>
      <c r="AZ20" s="1021">
        <f>(VLOOKUP(YEAR($A20),'NY East Load Projections'!$A$4:$EO$14,((MONTH($A20)-1)*12)+VLOOKUP(AZ$4,$DE$6:$DF$17,2)+1))*(VLOOKUP($A20,SatSunCurve,3))*(INDEX(DailyScalarsTable,AZ$5/100,MONTH($A20)))*$C20</f>
        <v>-10127.519024405083</v>
      </c>
      <c r="BA20" s="1021">
        <f>(VLOOKUP(YEAR($A20),'NY East Load Projections'!$A$4:$EO$14,((MONTH($A20)-1)*12)+VLOOKUP(BA$4,$DE$6:$DF$17,2)+1))*(VLOOKUP($A20,SatSunCurve,3))*(INDEX(DailyScalarsTable,BA$5/100,MONTH($A20)))*$C20</f>
        <v>-9361.1451146486907</v>
      </c>
      <c r="BB20" s="1021">
        <f>(VLOOKUP(YEAR($A20),'NY East Load Projections'!$A$4:$EO$14,((MONTH($A20)-1)*12)+VLOOKUP(BB$4,$DE$6:$DF$17,2)+1))*(VLOOKUP($A20,SatSunCurve,3))*(INDEX(DailyScalarsTable,BB$5/100,MONTH($A20)))*$C20</f>
        <v>-6797.478091721583</v>
      </c>
      <c r="BC20" s="1021">
        <f>(VLOOKUP(YEAR($A20),'NY East Load Projections'!$A$4:$EO$14,((MONTH($A20)-1)*12)+VLOOKUP(BC$4,$DE$6:$DF$17,2)+1))*(VLOOKUP($A20,SatSunCurve,3))*(INDEX(DailyScalarsTable,BC$5/100,MONTH($A20)))*$C20</f>
        <v>-5579.409257486448</v>
      </c>
      <c r="BD20" s="1021">
        <f>(VLOOKUP(YEAR($A20),'NY East Load Projections'!$A$4:$EO$14,((MONTH($A20)-1)*12)+VLOOKUP(BD$4,$DE$6:$DF$17,2)+1))*(VLOOKUP($A20,CURVES!$D$9:$T$261,7))*(INDEX(DailyScalarsTable,BD$5/100,MONTH($A20)))*$C20</f>
        <v>-8036.5496281176083</v>
      </c>
      <c r="BE20" s="1021"/>
      <c r="BF20" s="1021">
        <f>(VLOOKUP(YEAR($A20),'NY East Load Projections'!$A$4:$EO$14,((MONTH($A20)-1)*12)+VLOOKUP(BF$4,$DE$6:$DF$17,2)+1))*(VLOOKUP($A20,CURVES!$D$9:$T$261,7))*(INDEX(DailyScalarsTable,BF$5/100,MONTH($A20)))*$D20</f>
        <v>-6716.5464195241339</v>
      </c>
      <c r="BG20" s="1021">
        <f>(VLOOKUP(YEAR($A20),'NY East Load Projections'!$A$4:$EO$14,((MONTH($A20)-1)*12)+VLOOKUP(BG$4,$DE$6:$DF$17,2)+1))*(VLOOKUP($A20,CURVES!$D$9:$T$261,7))*(INDEX(DailyScalarsTable,BG$5/100,MONTH($A20)))*$D20</f>
        <v>-6350.7925605466526</v>
      </c>
      <c r="BH20" s="1021">
        <f>(VLOOKUP(YEAR($A20),'NY East Load Projections'!$A$4:$EO$14,((MONTH($A20)-1)*12)+VLOOKUP(BH$4,$DE$6:$DF$17,2)+1))*(VLOOKUP($A20,CURVES!$D$9:$T$261,7))*(INDEX(DailyScalarsTable,BH$5/100,MONTH($A20)))*$D20</f>
        <v>-6080.1314566452384</v>
      </c>
      <c r="BI20" s="1021">
        <f>(VLOOKUP(YEAR($A20),'NY East Load Projections'!$A$4:$EO$14,((MONTH($A20)-1)*12)+VLOOKUP(BI$4,$DE$6:$DF$17,2)+1))*(VLOOKUP($A20,CURVES!$D$9:$T$261,7))*(INDEX(DailyScalarsTable,BI$5/100,MONTH($A20)))*$D20</f>
        <v>-6083.9481598805751</v>
      </c>
      <c r="BJ20" s="1021">
        <f>(VLOOKUP(YEAR($A20),'NY East Load Projections'!$A$4:$EO$14,((MONTH($A20)-1)*12)+VLOOKUP(BJ$4,$DE$6:$DF$17,2)+1))*(VLOOKUP($A20,CURVES!$D$9:$T$261,7))*(INDEX(DailyScalarsTable,BJ$5/100,MONTH($A20)))*$D20</f>
        <v>-6633.4347756945417</v>
      </c>
      <c r="BK20" s="1021">
        <f>(VLOOKUP(YEAR($A20),'NY East Load Projections'!$A$4:$EO$14,((MONTH($A20)-1)*12)+VLOOKUP(BK$4,$DE$6:$DF$17,2)+1))*(VLOOKUP($A20,CURVES!$D$9:$T$261,7))*(INDEX(DailyScalarsTable,BK$5/100,MONTH($A20)))*$D20</f>
        <v>-7699.9140140023073</v>
      </c>
      <c r="BL20" s="1021">
        <f>(VLOOKUP(YEAR($A20),'NY East Load Projections'!$A$4:$EO$14,((MONTH($A20)-1)*12)+VLOOKUP(BL$4,$DE$6:$DF$17,2)+1))*(VLOOKUP($A20,CURVES!$D$9:$T$261,7))*(INDEX(DailyScalarsTable,BL$5/100,MONTH($A20)))*$D20</f>
        <v>-13893.622824093191</v>
      </c>
      <c r="BM20" s="1021">
        <f>(VLOOKUP(YEAR($A20),'NY East Load Projections'!$A$4:$EO$14,((MONTH($A20)-1)*12)+VLOOKUP(BM$4,$DE$6:$DF$17,2)+1))*(VLOOKUP($A20,SatSunCurve,7))*(INDEX(DailyScalarsTable,BM$5/100,MONTH($A20)))*$D20</f>
        <v>-9174.7517910901843</v>
      </c>
      <c r="BN20" s="1021">
        <f>(VLOOKUP(YEAR($A20),'NY East Load Projections'!$A$4:$EO$14,((MONTH($A20)-1)*12)+VLOOKUP(BN$4,$DE$6:$DF$17,2)+1))*(VLOOKUP($A20,SatSunCurve,7))*(INDEX(DailyScalarsTable,BN$5/100,MONTH($A20)))*$D20</f>
        <v>-10123.466690725152</v>
      </c>
      <c r="BO20" s="1021">
        <f>(VLOOKUP(YEAR($A20),'NY East Load Projections'!$A$4:$EO$14,((MONTH($A20)-1)*12)+VLOOKUP(BO$4,$DE$6:$DF$17,2)+1))*(VLOOKUP($A20,SatSunCurve,7))*(INDEX(DailyScalarsTable,BO$5/100,MONTH($A20)))*$D20</f>
        <v>-10092.835929179841</v>
      </c>
      <c r="BP20" s="1021">
        <f>(VLOOKUP(YEAR($A20),'NY East Load Projections'!$A$4:$EO$14,((MONTH($A20)-1)*12)+VLOOKUP(BP$4,$DE$6:$DF$17,2)+1))*(VLOOKUP($A20,SatSunCurve,7))*(INDEX(DailyScalarsTable,BP$5/100,MONTH($A20)))*$D20</f>
        <v>-9915.0073413195678</v>
      </c>
      <c r="BQ20" s="1021">
        <f>(VLOOKUP(YEAR($A20),'NY East Load Projections'!$A$4:$EO$14,((MONTH($A20)-1)*12)+VLOOKUP(BQ$4,$DE$6:$DF$17,2)+1))*(VLOOKUP($A20,SatSunCurve,7))*(INDEX(DailyScalarsTable,BQ$5/100,MONTH($A20)))*$D20</f>
        <v>-7576.0083555401543</v>
      </c>
      <c r="BR20" s="1021">
        <f>(VLOOKUP(YEAR($A20),'NY East Load Projections'!$A$4:$EO$14,((MONTH($A20)-1)*12)+VLOOKUP(BR$4,$DE$6:$DF$17,2)+1))*(VLOOKUP($A20,SatSunCurve,7))*(INDEX(DailyScalarsTable,BR$5/100,MONTH($A20)))*$D20</f>
        <v>-7241.8474775551549</v>
      </c>
      <c r="BS20" s="1021">
        <f>(VLOOKUP(YEAR($A20),'NY East Load Projections'!$A$4:$EO$14,((MONTH($A20)-1)*12)+VLOOKUP(BS$4,$DE$6:$DF$17,2)+1))*(VLOOKUP($A20,SatSunCurve,7))*(INDEX(DailyScalarsTable,BS$5/100,MONTH($A20)))*$D20</f>
        <v>-7010.7246857182881</v>
      </c>
      <c r="BT20" s="1021">
        <f>(VLOOKUP(YEAR($A20),'NY East Load Projections'!$A$4:$EO$14,((MONTH($A20)-1)*12)+VLOOKUP(BT$4,$DE$6:$DF$17,2)+1))*(VLOOKUP($A20,SatSunCurve,7))*(INDEX(DailyScalarsTable,BT$5/100,MONTH($A20)))*$D20</f>
        <v>-6658.1786880250957</v>
      </c>
      <c r="BU20" s="1021">
        <f>(VLOOKUP(YEAR($A20),'NY East Load Projections'!$A$4:$EO$14,((MONTH($A20)-1)*12)+VLOOKUP(BU$4,$DE$6:$DF$17,2)+1))*(VLOOKUP($A20,SatSunCurve,7))*(INDEX(DailyScalarsTable,BU$5/100,MONTH($A20)))*$D20</f>
        <v>-6525.869263712686</v>
      </c>
      <c r="BV20" s="1021">
        <f>(VLOOKUP(YEAR($A20),'NY East Load Projections'!$A$4:$EO$14,((MONTH($A20)-1)*12)+VLOOKUP(BV$4,$DE$6:$DF$17,2)+1))*(VLOOKUP($A20,SatSunCurve,7))*(INDEX(DailyScalarsTable,BV$5/100,MONTH($A20)))*$D20</f>
        <v>-6944.4814581551063</v>
      </c>
      <c r="BW20" s="1021">
        <f>(VLOOKUP(YEAR($A20),'NY East Load Projections'!$A$4:$EO$14,((MONTH($A20)-1)*12)+VLOOKUP(BW$4,$DE$6:$DF$17,2)+1))*(VLOOKUP($A20,SatSunCurve,7))*(INDEX(DailyScalarsTable,BW$5/100,MONTH($A20)))*$D20</f>
        <v>-9467.7411405144303</v>
      </c>
      <c r="BX20" s="1021">
        <f>(VLOOKUP(YEAR($A20),'NY East Load Projections'!$A$4:$EO$14,((MONTH($A20)-1)*12)+VLOOKUP(BX$4,$DE$6:$DF$17,2)+1))*(VLOOKUP($A20,SatSunCurve,7))*(INDEX(DailyScalarsTable,BX$5/100,MONTH($A20)))*$D20</f>
        <v>-10396.287625503153</v>
      </c>
      <c r="BY20" s="1021">
        <f>(VLOOKUP(YEAR($A20),'NY East Load Projections'!$A$4:$EO$14,((MONTH($A20)-1)*12)+VLOOKUP(BY$4,$DE$6:$DF$17,2)+1))*(VLOOKUP($A20,SatSunCurve,7))*(INDEX(DailyScalarsTable,BY$5/100,MONTH($A20)))*$D20</f>
        <v>-9947.5446499232166</v>
      </c>
      <c r="BZ20" s="1021">
        <f>(VLOOKUP(YEAR($A20),'NY East Load Projections'!$A$4:$EO$14,((MONTH($A20)-1)*12)+VLOOKUP(BZ$4,$DE$6:$DF$17,2)+1))*(VLOOKUP($A20,SatSunCurve,7))*(INDEX(DailyScalarsTable,BZ$5/100,MONTH($A20)))*$D20</f>
        <v>-9194.7898372719737</v>
      </c>
      <c r="CA20" s="1021">
        <f>(VLOOKUP(YEAR($A20),'NY East Load Projections'!$A$4:$EO$14,((MONTH($A20)-1)*12)+VLOOKUP(CA$4,$DE$6:$DF$17,2)+1))*(VLOOKUP($A20,SatSunCurve,7))*(INDEX(DailyScalarsTable,CA$5/100,MONTH($A20)))*$D20</f>
        <v>-6676.6812939408319</v>
      </c>
      <c r="CB20" s="1021">
        <f>(VLOOKUP(YEAR($A20),'NY East Load Projections'!$A$4:$EO$14,((MONTH($A20)-1)*12)+VLOOKUP(CB$4,$DE$6:$DF$17,2)+1))*(VLOOKUP($A20,SatSunCurve,7))*(INDEX(DailyScalarsTable,CB$5/100,MONTH($A20)))*$D20</f>
        <v>-5480.2585485443387</v>
      </c>
      <c r="CC20" s="1021">
        <f>(VLOOKUP(YEAR($A20),'NY East Load Projections'!$A$4:$EO$14,((MONTH($A20)-1)*12)+VLOOKUP(CC$4,$DE$6:$DF$17,2)+1))*(VLOOKUP($A20,CURVES!$D$9:$T$261,7))*(INDEX(DailyScalarsTable,CC$5/100,MONTH($A20)))*$D20</f>
        <v>-8036.5496281176083</v>
      </c>
      <c r="CE20" s="1021">
        <f>(VLOOKUP(YEAR($A20),'NY East Load Projections'!$A$4:$EO$14,((MONTH($A20)-1)*12)+VLOOKUP(CE$4,$DE$6:$DF$17,2)+1))*(VLOOKUP($A20,CURVES!$D$9:$T$261,7))*(INDEX(DailyScalarsTable,CE$5/100,MONTH($A20)))*$E20</f>
        <v>0</v>
      </c>
      <c r="CF20" s="1021">
        <f>(VLOOKUP(YEAR($A20),'NY East Load Projections'!$A$4:$EO$14,((MONTH($A20)-1)*12)+VLOOKUP(CF$4,$DE$6:$DF$17,2)+1))*(VLOOKUP($A20,CURVES!$D$9:$T$261,7))*(INDEX(DailyScalarsTable,CF$5/100,MONTH($A20)))*$E20</f>
        <v>0</v>
      </c>
      <c r="CG20" s="1021">
        <f>(VLOOKUP(YEAR($A20),'NY East Load Projections'!$A$4:$EO$14,((MONTH($A20)-1)*12)+VLOOKUP(CG$4,$DE$6:$DF$17,2)+1))*(VLOOKUP($A20,CURVES!$D$9:$T$261,7))*(INDEX(DailyScalarsTable,CG$5/100,MONTH($A20)))*$E20</f>
        <v>0</v>
      </c>
      <c r="CH20" s="1021">
        <f>(VLOOKUP(YEAR($A20),'NY East Load Projections'!$A$4:$EO$14,((MONTH($A20)-1)*12)+VLOOKUP(CH$4,$DE$6:$DF$17,2)+1))*(VLOOKUP($A20,CURVES!$D$9:$T$261,7))*(INDEX(DailyScalarsTable,CH$5/100,MONTH($A20)))*$E20</f>
        <v>0</v>
      </c>
      <c r="CI20" s="1021">
        <f>(VLOOKUP(YEAR($A20),'NY East Load Projections'!$A$4:$EO$14,((MONTH($A20)-1)*12)+VLOOKUP(CI$4,$DE$6:$DF$17,2)+1))*(VLOOKUP($A20,CURVES!$D$9:$T$261,7))*(INDEX(DailyScalarsTable,CI$5/100,MONTH($A20)))*$E20</f>
        <v>0</v>
      </c>
      <c r="CJ20" s="1021">
        <f>(VLOOKUP(YEAR($A20),'NY East Load Projections'!$A$4:$EO$14,((MONTH($A20)-1)*12)+VLOOKUP(CJ$4,$DE$6:$DF$17,2)+1))*(VLOOKUP($A20,CURVES!$D$9:$T$261,7))*(INDEX(DailyScalarsTable,CJ$5/100,MONTH($A20)))*$E20</f>
        <v>0</v>
      </c>
      <c r="CK20" s="1021">
        <f>(VLOOKUP(YEAR($A20),'NY East Load Projections'!$A$4:$EO$14,((MONTH($A20)-1)*12)+VLOOKUP(CK$4,$DE$6:$DF$17,2)+1))*(VLOOKUP($A20,CURVES!$D$9:$T$261,7))*(INDEX(DailyScalarsTable,CK$5/100,MONTH($A20)))*$E20</f>
        <v>0</v>
      </c>
      <c r="CL20" s="1021">
        <f>(VLOOKUP(YEAR($A20),'NY East Load Projections'!$A$4:$EO$14,((MONTH($A20)-1)*12)+VLOOKUP(CL$4,$DE$6:$DF$17,2)+1))*(VLOOKUP($A20,SatSunCurve,7))*(INDEX(DailyScalarsTable,CL$5/100,MONTH($A20)))*$E20</f>
        <v>0</v>
      </c>
      <c r="CM20" s="1021">
        <f>(VLOOKUP(YEAR($A20),'NY East Load Projections'!$A$4:$EO$14,((MONTH($A20)-1)*12)+VLOOKUP(CM$4,$DE$6:$DF$17,2)+1))*(VLOOKUP($A20,SatSunCurve,7))*(INDEX(DailyScalarsTable,CM$5/100,MONTH($A20)))*$E20</f>
        <v>0</v>
      </c>
      <c r="CN20" s="1021">
        <f>(VLOOKUP(YEAR($A20),'NY East Load Projections'!$A$4:$EO$14,((MONTH($A20)-1)*12)+VLOOKUP(CN$4,$DE$6:$DF$17,2)+1))*(VLOOKUP($A20,SatSunCurve,7))*(INDEX(DailyScalarsTable,CN$5/100,MONTH($A20)))*$E20</f>
        <v>0</v>
      </c>
      <c r="CO20" s="1021">
        <f>(VLOOKUP(YEAR($A20),'NY East Load Projections'!$A$4:$EO$14,((MONTH($A20)-1)*12)+VLOOKUP(CO$4,$DE$6:$DF$17,2)+1))*(VLOOKUP($A20,SatSunCurve,7))*(INDEX(DailyScalarsTable,CO$5/100,MONTH($A20)))*$E20</f>
        <v>0</v>
      </c>
      <c r="CP20" s="1021">
        <f>(VLOOKUP(YEAR($A20),'NY East Load Projections'!$A$4:$EO$14,((MONTH($A20)-1)*12)+VLOOKUP(CP$4,$DE$6:$DF$17,2)+1))*(VLOOKUP($A20,SatSunCurve,7))*(INDEX(DailyScalarsTable,CP$5/100,MONTH($A20)))*$E20</f>
        <v>0</v>
      </c>
      <c r="CQ20" s="1021">
        <f>(VLOOKUP(YEAR($A20),'NY East Load Projections'!$A$4:$EO$14,((MONTH($A20)-1)*12)+VLOOKUP(CQ$4,$DE$6:$DF$17,2)+1))*(VLOOKUP($A20,SatSunCurve,7))*(INDEX(DailyScalarsTable,CQ$5/100,MONTH($A20)))*$E20</f>
        <v>0</v>
      </c>
      <c r="CR20" s="1021">
        <f>(VLOOKUP(YEAR($A20),'NY East Load Projections'!$A$4:$EO$14,((MONTH($A20)-1)*12)+VLOOKUP(CR$4,$DE$6:$DF$17,2)+1))*(VLOOKUP($A20,SatSunCurve,7))*(INDEX(DailyScalarsTable,CR$5/100,MONTH($A20)))*$E20</f>
        <v>0</v>
      </c>
      <c r="CS20" s="1021">
        <f>(VLOOKUP(YEAR($A20),'NY East Load Projections'!$A$4:$EO$14,((MONTH($A20)-1)*12)+VLOOKUP(CS$4,$DE$6:$DF$17,2)+1))*(VLOOKUP($A20,SatSunCurve,7))*(INDEX(DailyScalarsTable,CS$5/100,MONTH($A20)))*$E20</f>
        <v>0</v>
      </c>
      <c r="CT20" s="1021">
        <f>(VLOOKUP(YEAR($A20),'NY East Load Projections'!$A$4:$EO$14,((MONTH($A20)-1)*12)+VLOOKUP(CT$4,$DE$6:$DF$17,2)+1))*(VLOOKUP($A20,SatSunCurve,7))*(INDEX(DailyScalarsTable,CT$5/100,MONTH($A20)))*$E20</f>
        <v>0</v>
      </c>
      <c r="CU20" s="1021">
        <f>(VLOOKUP(YEAR($A20),'NY East Load Projections'!$A$4:$EO$14,((MONTH($A20)-1)*12)+VLOOKUP(CU$4,$DE$6:$DF$17,2)+1))*(VLOOKUP($A20,SatSunCurve,7))*(INDEX(DailyScalarsTable,CU$5/100,MONTH($A20)))*$E20</f>
        <v>0</v>
      </c>
      <c r="CV20" s="1021">
        <f>(VLOOKUP(YEAR($A20),'NY East Load Projections'!$A$4:$EO$14,((MONTH($A20)-1)*12)+VLOOKUP(CV$4,$DE$6:$DF$17,2)+1))*(VLOOKUP($A20,SatSunCurve,7))*(INDEX(DailyScalarsTable,CV$5/100,MONTH($A20)))*$E20</f>
        <v>0</v>
      </c>
      <c r="CW20" s="1021">
        <f>(VLOOKUP(YEAR($A20),'NY East Load Projections'!$A$4:$EO$14,((MONTH($A20)-1)*12)+VLOOKUP(CW$4,$DE$6:$DF$17,2)+1))*(VLOOKUP($A20,SatSunCurve,7))*(INDEX(DailyScalarsTable,CW$5/100,MONTH($A20)))*$E20</f>
        <v>0</v>
      </c>
      <c r="CX20" s="1021">
        <f>(VLOOKUP(YEAR($A20),'NY East Load Projections'!$A$4:$EO$14,((MONTH($A20)-1)*12)+VLOOKUP(CX$4,$DE$6:$DF$17,2)+1))*(VLOOKUP($A20,SatSunCurve,7))*(INDEX(DailyScalarsTable,CX$5/100,MONTH($A20)))*$E20</f>
        <v>0</v>
      </c>
      <c r="CY20" s="1021">
        <f>(VLOOKUP(YEAR($A20),'NY East Load Projections'!$A$4:$EO$14,((MONTH($A20)-1)*12)+VLOOKUP(CY$4,$DE$6:$DF$17,2)+1))*(VLOOKUP($A20,SatSunCurve,7))*(INDEX(DailyScalarsTable,CY$5/100,MONTH($A20)))*$E20</f>
        <v>0</v>
      </c>
      <c r="CZ20" s="1021">
        <f>(VLOOKUP(YEAR($A20),'NY East Load Projections'!$A$4:$EO$14,((MONTH($A20)-1)*12)+VLOOKUP(CZ$4,$DE$6:$DF$17,2)+1))*(VLOOKUP($A20,SatSunCurve,7))*(INDEX(DailyScalarsTable,CZ$5/100,MONTH($A20)))*$E20</f>
        <v>0</v>
      </c>
      <c r="DA20" s="1021">
        <f>(VLOOKUP(YEAR($A20),'NY East Load Projections'!$A$4:$EO$14,((MONTH($A20)-1)*12)+VLOOKUP(DA$4,$DE$6:$DF$17,2)+1))*(VLOOKUP($A20,SatSunCurve,7))*(INDEX(DailyScalarsTable,DA$5/100,MONTH($A20)))*$E20</f>
        <v>0</v>
      </c>
      <c r="DB20" s="1021">
        <f>(VLOOKUP(YEAR($A20),'NY East Load Projections'!$A$4:$EO$14,((MONTH($A20)-1)*12)+VLOOKUP(DB$4,$DE$6:$DF$17,2)+1))*(VLOOKUP($A20,CURVES!$D$9:$T$261,7))*(INDEX(DailyScalarsTable,DB$5/100,MONTH($A20)))*$E20</f>
        <v>0</v>
      </c>
      <c r="DH20" s="1032">
        <f t="shared" si="0"/>
        <v>-1508188.6714865277</v>
      </c>
      <c r="DI20">
        <f ca="1">CALC!J40</f>
        <v>0.86238789707049279</v>
      </c>
      <c r="DJ20" s="1029">
        <f t="shared" ca="1" si="1"/>
        <v>-1300643.6567888069</v>
      </c>
    </row>
    <row r="21" spans="1:114" x14ac:dyDescent="0.25">
      <c r="A21" s="244">
        <v>37347</v>
      </c>
      <c r="B21" s="13">
        <v>22</v>
      </c>
      <c r="C21" s="210">
        <v>4</v>
      </c>
      <c r="D21" s="210">
        <v>4</v>
      </c>
      <c r="E21" s="210">
        <v>0</v>
      </c>
      <c r="F21" s="13">
        <v>30</v>
      </c>
      <c r="H21" s="1021">
        <f>(VLOOKUP(YEAR($A21),'NY East Load Projections'!$A$4:$EO$14,((MONTH($A21)-1)*12)+VLOOKUP(H$4,$DE$6:$DF$17,2)+1))*(VLOOKUP($A21,CURVES!$D$9:$K$261,7))*(INDEX(DailyScalarsTable,H$5/100,MONTH($A21)))*$B21</f>
        <v>-31447.329127226571</v>
      </c>
      <c r="I21" s="1021">
        <f>(VLOOKUP(YEAR($A21),'NY East Load Projections'!$A$4:$EO$14,((MONTH($A21)-1)*12)+VLOOKUP(I$4,$DE$6:$DF$17,2)+1))*(VLOOKUP($A21,CURVES!$D$9:$K$261,7))*(INDEX(DailyScalarsTable,I$5/100,MONTH($A21)))*$B21</f>
        <v>-29826.904589666381</v>
      </c>
      <c r="J21" s="1021">
        <f>(VLOOKUP(YEAR($A21),'NY East Load Projections'!$A$4:$EO$14,((MONTH($A21)-1)*12)+VLOOKUP(J$4,$DE$6:$DF$17,2)+1))*(VLOOKUP($A21,CURVES!$D$9:$K$261,7))*(INDEX(DailyScalarsTable,J$5/100,MONTH($A21)))*$B21</f>
        <v>-28627.77604089013</v>
      </c>
      <c r="K21" s="1021">
        <f>(VLOOKUP(YEAR($A21),'NY East Load Projections'!$A$4:$EO$14,((MONTH($A21)-1)*12)+VLOOKUP(K$4,$DE$6:$DF$17,2)+1))*(VLOOKUP($A21,CURVES!$D$9:$K$261,7))*(INDEX(DailyScalarsTable,K$5/100,MONTH($A21)))*$B21</f>
        <v>-28644.685444368242</v>
      </c>
      <c r="L21" s="1021">
        <f>(VLOOKUP(YEAR($A21),'NY East Load Projections'!$A$4:$EO$14,((MONTH($A21)-1)*12)+VLOOKUP(L$4,$DE$6:$DF$17,2)+1))*(VLOOKUP($A21,CURVES!$D$9:$K$261,7))*(INDEX(DailyScalarsTable,L$5/100,MONTH($A21)))*$B21</f>
        <v>-32924.478105917573</v>
      </c>
      <c r="M21" s="1021">
        <f>(VLOOKUP(YEAR($A21),'NY East Load Projections'!$A$4:$EO$14,((MONTH($A21)-1)*12)+VLOOKUP(M$4,$DE$6:$DF$17,2)+1))*(VLOOKUP($A21,CURVES!$D$9:$K$261,7))*(INDEX(DailyScalarsTable,M$5/100,MONTH($A21)))*$B21</f>
        <v>-37926.206099764313</v>
      </c>
      <c r="N21" s="1021">
        <f>(VLOOKUP(YEAR($A21),'NY East Load Projections'!$A$4:$EO$14,((MONTH($A21)-1)*12)+VLOOKUP(N$4,$DE$6:$DF$17,2)+1))*(VLOOKUP($A21,CURVES!$D$9:$K$261,7))*(INDEX(DailyScalarsTable,N$5/100,MONTH($A21)))*$B21</f>
        <v>-54093.788304680515</v>
      </c>
      <c r="O21" s="1021">
        <f>(VLOOKUP(YEAR($A21),'NY East Load Projections'!$A$4:$EO$14,((MONTH($A21)-1)*12)+VLOOKUP(O$4,$DE$6:$DF$17,2)+1))*(VLOOKUP($A21,CURVES!$D$9:$K$261,3))*(INDEX(DailyScalarsTable,O$5/100,MONTH($A21)))*$B21</f>
        <v>-66535.891426793751</v>
      </c>
      <c r="P21" s="1021">
        <f>(VLOOKUP(YEAR($A21),'NY East Load Projections'!$A$4:$EO$14,((MONTH($A21)-1)*12)+VLOOKUP(P$4,$DE$6:$DF$17,2)+1))*(VLOOKUP($A21,CURVES!$D$9:$K$261,3))*(INDEX(DailyScalarsTable,P$5/100,MONTH($A21)))*$B21</f>
        <v>-71464.39343303896</v>
      </c>
      <c r="Q21" s="1021">
        <f>(VLOOKUP(YEAR($A21),'NY East Load Projections'!$A$4:$EO$14,((MONTH($A21)-1)*12)+VLOOKUP(Q$4,$DE$6:$DF$17,2)+1))*(VLOOKUP($A21,CURVES!$D$9:$K$261,3))*(INDEX(DailyScalarsTable,Q$5/100,MONTH($A21)))*$B21</f>
        <v>-68488.306085587785</v>
      </c>
      <c r="R21" s="1021">
        <f>(VLOOKUP(YEAR($A21),'NY East Load Projections'!$A$4:$EO$14,((MONTH($A21)-1)*12)+VLOOKUP(R$4,$DE$6:$DF$17,2)+1))*(VLOOKUP($A21,CURVES!$D$9:$K$261,3))*(INDEX(DailyScalarsTable,R$5/100,MONTH($A21)))*$B21</f>
        <v>-69900.259480027016</v>
      </c>
      <c r="S21" s="1021">
        <f>(VLOOKUP(YEAR($A21),'NY East Load Projections'!$A$4:$EO$14,((MONTH($A21)-1)*12)+VLOOKUP(S$4,$DE$6:$DF$17,2)+1))*(VLOOKUP($A21,CURVES!$D$9:$K$261,3))*(INDEX(DailyScalarsTable,S$5/100,MONTH($A21)))*$B21</f>
        <v>-70037.322764569326</v>
      </c>
      <c r="T21" s="1021">
        <f>(VLOOKUP(YEAR($A21),'NY East Load Projections'!$A$4:$EO$14,((MONTH($A21)-1)*12)+VLOOKUP(T$4,$DE$6:$DF$17,2)+1))*(VLOOKUP($A21,CURVES!$D$9:$K$261,3))*(INDEX(DailyScalarsTable,T$5/100,MONTH($A21)))*$B21</f>
        <v>-64589.542246025048</v>
      </c>
      <c r="U21" s="1021">
        <f>(VLOOKUP(YEAR($A21),'NY East Load Projections'!$A$4:$EO$14,((MONTH($A21)-1)*12)+VLOOKUP(U$4,$DE$6:$DF$17,2)+1))*(VLOOKUP($A21,CURVES!$D$9:$K$261,3))*(INDEX(DailyScalarsTable,U$5/100,MONTH($A21)))*$B21</f>
        <v>-64659.091245609037</v>
      </c>
      <c r="V21" s="1021">
        <f>(VLOOKUP(YEAR($A21),'NY East Load Projections'!$A$4:$EO$14,((MONTH($A21)-1)*12)+VLOOKUP(V$4,$DE$6:$DF$17,2)+1))*(VLOOKUP($A21,CURVES!$D$9:$K$261,3))*(INDEX(DailyScalarsTable,V$5/100,MONTH($A21)))*$B21</f>
        <v>-60645.704857849494</v>
      </c>
      <c r="W21" s="1021">
        <f>(VLOOKUP(YEAR($A21),'NY East Load Projections'!$A$4:$EO$14,((MONTH($A21)-1)*12)+VLOOKUP(W$4,$DE$6:$DF$17,2)+1))*(VLOOKUP($A21,CURVES!$D$9:$K$261,3))*(INDEX(DailyScalarsTable,W$5/100,MONTH($A21)))*$B21</f>
        <v>-56680.389102155394</v>
      </c>
      <c r="X21" s="1021">
        <f>(VLOOKUP(YEAR($A21),'NY East Load Projections'!$A$4:$EO$14,((MONTH($A21)-1)*12)+VLOOKUP(X$4,$DE$6:$DF$17,2)+1))*(VLOOKUP($A21,CURVES!$D$9:$K$261,3))*(INDEX(DailyScalarsTable,X$5/100,MONTH($A21)))*$B21</f>
        <v>-52723.370260793272</v>
      </c>
      <c r="Y21" s="1021">
        <f>(VLOOKUP(YEAR($A21),'NY East Load Projections'!$A$4:$EO$14,((MONTH($A21)-1)*12)+VLOOKUP(Y$4,$DE$6:$DF$17,2)+1))*(VLOOKUP($A21,CURVES!$D$9:$K$261,3))*(INDEX(DailyScalarsTable,Y$5/100,MONTH($A21)))*$B21</f>
        <v>-52037.675783172046</v>
      </c>
      <c r="Z21" s="1021">
        <f>(VLOOKUP(YEAR($A21),'NY East Load Projections'!$A$4:$EO$14,((MONTH($A21)-1)*12)+VLOOKUP(Z$4,$DE$6:$DF$17,2)+1))*(VLOOKUP($A21,CURVES!$D$9:$K$261,3))*(INDEX(DailyScalarsTable,Z$5/100,MONTH($A21)))*$B21</f>
        <v>-51758.716152162575</v>
      </c>
      <c r="AA21" s="1021">
        <f>(VLOOKUP(YEAR($A21),'NY East Load Projections'!$A$4:$EO$14,((MONTH($A21)-1)*12)+VLOOKUP(AA$4,$DE$6:$DF$17,2)+1))*(VLOOKUP($A21,CURVES!$D$9:$K$261,3))*(INDEX(DailyScalarsTable,AA$5/100,MONTH($A21)))*$B21</f>
        <v>-56771.211060406495</v>
      </c>
      <c r="AB21" s="1021">
        <f>(VLOOKUP(YEAR($A21),'NY East Load Projections'!$A$4:$EO$14,((MONTH($A21)-1)*12)+VLOOKUP(AB$4,$DE$6:$DF$17,2)+1))*(VLOOKUP($A21,CURVES!$D$9:$K$261,3))*(INDEX(DailyScalarsTable,AB$5/100,MONTH($A21)))*$B21</f>
        <v>-65805.241936275765</v>
      </c>
      <c r="AC21" s="1021">
        <f>(VLOOKUP(YEAR($A21),'NY East Load Projections'!$A$4:$EO$14,((MONTH($A21)-1)*12)+VLOOKUP(AC$4,$DE$6:$DF$17,2)+1))*(VLOOKUP($A21,CURVES!$D$9:$K$261,3))*(INDEX(DailyScalarsTable,AC$5/100,MONTH($A21)))*$B21</f>
        <v>-56071.031870575585</v>
      </c>
      <c r="AD21" s="1021">
        <f>(VLOOKUP(YEAR($A21),'NY East Load Projections'!$A$4:$EO$14,((MONTH($A21)-1)*12)+VLOOKUP(AD$4,$DE$6:$DF$17,2)+1))*(VLOOKUP($A21,CURVES!$D$9:$K$261,3))*(INDEX(DailyScalarsTable,AD$5/100,MONTH($A21)))*$B21</f>
        <v>-49535.375512956402</v>
      </c>
      <c r="AE21" s="1021">
        <f>(VLOOKUP(YEAR($A21),'NY East Load Projections'!$A$4:$EO$14,((MONTH($A21)-1)*12)+VLOOKUP(AE$4,$DE$6:$DF$17,2)+1))*(VLOOKUP($A21,CURVES!$D$9:$K$261,7))*(INDEX(DailyScalarsTable,AE$5/100,MONTH($A21)))*$B21</f>
        <v>-36649.604813293518</v>
      </c>
      <c r="AF21" s="1021"/>
      <c r="AG21" s="1021">
        <f>(VLOOKUP(YEAR($A21),'NY East Load Projections'!$A$4:$EO$14,((MONTH($A21)-1)*12)+VLOOKUP(AG$4,$DE$6:$DF$17,2)+1))*(VLOOKUP($A21,CURVES!$D$9:$T$261,7))*(INDEX(DailyScalarsTable,AG$5/100,MONTH($A21)))*$C21</f>
        <v>-6238.3985266312602</v>
      </c>
      <c r="AH21" s="1021">
        <f>(VLOOKUP(YEAR($A21),'NY East Load Projections'!$A$4:$EO$14,((MONTH($A21)-1)*12)+VLOOKUP(AH$4,$DE$6:$DF$17,2)+1))*(VLOOKUP($A21,CURVES!$D$9:$T$261,7))*(INDEX(DailyScalarsTable,AH$5/100,MONTH($A21)))*$C21</f>
        <v>-5916.9450255490156</v>
      </c>
      <c r="AI21" s="1021">
        <f>(VLOOKUP(YEAR($A21),'NY East Load Projections'!$A$4:$EO$14,((MONTH($A21)-1)*12)+VLOOKUP(AI$4,$DE$6:$DF$17,2)+1))*(VLOOKUP($A21,CURVES!$D$9:$T$261,7))*(INDEX(DailyScalarsTable,AI$5/100,MONTH($A21)))*$C21</f>
        <v>-5679.0665799213193</v>
      </c>
      <c r="AJ21" s="1021">
        <f>(VLOOKUP(YEAR($A21),'NY East Load Projections'!$A$4:$EO$14,((MONTH($A21)-1)*12)+VLOOKUP(AJ$4,$DE$6:$DF$17,2)+1))*(VLOOKUP($A21,CURVES!$D$9:$T$261,7))*(INDEX(DailyScalarsTable,AJ$5/100,MONTH($A21)))*$C21</f>
        <v>-5682.4210014468254</v>
      </c>
      <c r="AK21" s="1021">
        <f>(VLOOKUP(YEAR($A21),'NY East Load Projections'!$A$4:$EO$14,((MONTH($A21)-1)*12)+VLOOKUP(AK$4,$DE$6:$DF$17,2)+1))*(VLOOKUP($A21,CURVES!$D$9:$T$261,7))*(INDEX(DailyScalarsTable,AK$5/100,MONTH($A21)))*$C21</f>
        <v>-6178.1573345963416</v>
      </c>
      <c r="AL21" s="1021">
        <f>(VLOOKUP(YEAR($A21),'NY East Load Projections'!$A$4:$EO$14,((MONTH($A21)-1)*12)+VLOOKUP(AL$4,$DE$6:$DF$17,2)+1))*(VLOOKUP($A21,CURVES!$D$9:$T$261,7))*(INDEX(DailyScalarsTable,AL$5/100,MONTH($A21)))*$C21</f>
        <v>-7116.7132136426408</v>
      </c>
      <c r="AM21" s="1021">
        <f>(VLOOKUP(YEAR($A21),'NY East Load Projections'!$A$4:$EO$14,((MONTH($A21)-1)*12)+VLOOKUP(AM$4,$DE$6:$DF$17,2)+1))*(VLOOKUP($A21,CURVES!$D$9:$T$261,7))*(INDEX(DailyScalarsTable,AM$5/100,MONTH($A21)))*$C21</f>
        <v>-10150.500606131018</v>
      </c>
      <c r="AN21" s="1021">
        <f>(VLOOKUP(YEAR($A21),'NY East Load Projections'!$A$4:$EO$14,((MONTH($A21)-1)*12)+VLOOKUP(AN$4,$DE$6:$DF$17,2)+1))*(VLOOKUP($A21,SatSunCurve,3))*(INDEX(DailyScalarsTable,AN$5/100,MONTH($A21)))*$C21</f>
        <v>-8395.3321609871746</v>
      </c>
      <c r="AO21" s="1021">
        <f>(VLOOKUP(YEAR($A21),'NY East Load Projections'!$A$4:$EO$14,((MONTH($A21)-1)*12)+VLOOKUP(AO$4,$DE$6:$DF$17,2)+1))*(VLOOKUP($A21,SatSunCurve,3))*(INDEX(DailyScalarsTable,AO$5/100,MONTH($A21)))*$C21</f>
        <v>-9128.8792452290418</v>
      </c>
      <c r="AP21" s="1021">
        <f>(VLOOKUP(YEAR($A21),'NY East Load Projections'!$A$4:$EO$14,((MONTH($A21)-1)*12)+VLOOKUP(AP$4,$DE$6:$DF$17,2)+1))*(VLOOKUP($A21,SatSunCurve,3))*(INDEX(DailyScalarsTable,AP$5/100,MONTH($A21)))*$C21</f>
        <v>-8748.7131133553794</v>
      </c>
      <c r="AQ21" s="1021">
        <f>(VLOOKUP(YEAR($A21),'NY East Load Projections'!$A$4:$EO$14,((MONTH($A21)-1)*12)+VLOOKUP(AQ$4,$DE$6:$DF$17,2)+1))*(VLOOKUP($A21,SatSunCurve,3))*(INDEX(DailyScalarsTable,AQ$5/100,MONTH($A21)))*$C21</f>
        <v>-8929.0763882470146</v>
      </c>
      <c r="AR21" s="1021">
        <f>(VLOOKUP(YEAR($A21),'NY East Load Projections'!$A$4:$EO$14,((MONTH($A21)-1)*12)+VLOOKUP(AR$4,$DE$6:$DF$17,2)+1))*(VLOOKUP($A21,SatSunCurve,3))*(INDEX(DailyScalarsTable,AR$5/100,MONTH($A21)))*$C21</f>
        <v>-8946.5848860237929</v>
      </c>
      <c r="AS21" s="1021">
        <f>(VLOOKUP(YEAR($A21),'NY East Load Projections'!$A$4:$EO$14,((MONTH($A21)-1)*12)+VLOOKUP(AS$4,$DE$6:$DF$17,2)+1))*(VLOOKUP($A21,SatSunCurve,3))*(INDEX(DailyScalarsTable,AS$5/100,MONTH($A21)))*$C21</f>
        <v>-7964.9653711206856</v>
      </c>
      <c r="AT21" s="1021">
        <f>(VLOOKUP(YEAR($A21),'NY East Load Projections'!$A$4:$EO$14,((MONTH($A21)-1)*12)+VLOOKUP(AT$4,$DE$6:$DF$17,2)+1))*(VLOOKUP($A21,SatSunCurve,3))*(INDEX(DailyScalarsTable,AT$5/100,MONTH($A21)))*$C21</f>
        <v>-7973.5419201101886</v>
      </c>
      <c r="AU21" s="1021">
        <f>(VLOOKUP(YEAR($A21),'NY East Load Projections'!$A$4:$EO$14,((MONTH($A21)-1)*12)+VLOOKUP(AU$4,$DE$6:$DF$17,2)+1))*(VLOOKUP($A21,SatSunCurve,3))*(INDEX(DailyScalarsTable,AU$5/100,MONTH($A21)))*$C21</f>
        <v>-7478.6245931275962</v>
      </c>
      <c r="AV21" s="1021">
        <f>(VLOOKUP(YEAR($A21),'NY East Load Projections'!$A$4:$EO$14,((MONTH($A21)-1)*12)+VLOOKUP(AV$4,$DE$6:$DF$17,2)+1))*(VLOOKUP($A21,SatSunCurve,3))*(INDEX(DailyScalarsTable,AV$5/100,MONTH($A21)))*$C21</f>
        <v>-6989.6351750054009</v>
      </c>
      <c r="AW21" s="1021">
        <f>(VLOOKUP(YEAR($A21),'NY East Load Projections'!$A$4:$EO$14,((MONTH($A21)-1)*12)+VLOOKUP(AW$4,$DE$6:$DF$17,2)+1))*(VLOOKUP($A21,SatSunCurve,3))*(INDEX(DailyScalarsTable,AW$5/100,MONTH($A21)))*$C21</f>
        <v>-6530.2079457017126</v>
      </c>
      <c r="AX21" s="1021">
        <f>(VLOOKUP(YEAR($A21),'NY East Load Projections'!$A$4:$EO$14,((MONTH($A21)-1)*12)+VLOOKUP(AX$4,$DE$6:$DF$17,2)+1))*(VLOOKUP($A21,SatSunCurve,3))*(INDEX(DailyScalarsTable,AX$5/100,MONTH($A21)))*$C21</f>
        <v>-6445.2792413351845</v>
      </c>
      <c r="AY21" s="1021">
        <f>(VLOOKUP(YEAR($A21),'NY East Load Projections'!$A$4:$EO$14,((MONTH($A21)-1)*12)+VLOOKUP(AY$4,$DE$6:$DF$17,2)+1))*(VLOOKUP($A21,SatSunCurve,3))*(INDEX(DailyScalarsTable,AY$5/100,MONTH($A21)))*$C21</f>
        <v>-6410.7278765431129</v>
      </c>
      <c r="AZ21" s="1021">
        <f>(VLOOKUP(YEAR($A21),'NY East Load Projections'!$A$4:$EO$14,((MONTH($A21)-1)*12)+VLOOKUP(AZ$4,$DE$6:$DF$17,2)+1))*(VLOOKUP($A21,SatSunCurve,3))*(INDEX(DailyScalarsTable,AZ$5/100,MONTH($A21)))*$C21</f>
        <v>-7031.565162090179</v>
      </c>
      <c r="BA21" s="1021">
        <f>(VLOOKUP(YEAR($A21),'NY East Load Projections'!$A$4:$EO$14,((MONTH($A21)-1)*12)+VLOOKUP(BA$4,$DE$6:$DF$17,2)+1))*(VLOOKUP($A21,SatSunCurve,3))*(INDEX(DailyScalarsTable,BA$5/100,MONTH($A21)))*$C21</f>
        <v>-8552.5239183529702</v>
      </c>
      <c r="BB21" s="1021">
        <f>(VLOOKUP(YEAR($A21),'NY East Load Projections'!$A$4:$EO$14,((MONTH($A21)-1)*12)+VLOOKUP(BB$4,$DE$6:$DF$17,2)+1))*(VLOOKUP($A21,SatSunCurve,3))*(INDEX(DailyScalarsTable,BB$5/100,MONTH($A21)))*$C21</f>
        <v>-7287.3957619396515</v>
      </c>
      <c r="BC21" s="1021">
        <f>(VLOOKUP(YEAR($A21),'NY East Load Projections'!$A$4:$EO$14,((MONTH($A21)-1)*12)+VLOOKUP(BC$4,$DE$6:$DF$17,2)+1))*(VLOOKUP($A21,SatSunCurve,3))*(INDEX(DailyScalarsTable,BC$5/100,MONTH($A21)))*$C21</f>
        <v>-6437.9747177194586</v>
      </c>
      <c r="BD21" s="1021">
        <f>(VLOOKUP(YEAR($A21),'NY East Load Projections'!$A$4:$EO$14,((MONTH($A21)-1)*12)+VLOOKUP(BD$4,$DE$6:$DF$17,2)+1))*(VLOOKUP($A21,CURVES!$D$9:$T$261,7))*(INDEX(DailyScalarsTable,BD$5/100,MONTH($A21)))*$C21</f>
        <v>-7083.7180013624175</v>
      </c>
      <c r="BE21" s="1021"/>
      <c r="BF21" s="1021">
        <f>(VLOOKUP(YEAR($A21),'NY East Load Projections'!$A$4:$EO$14,((MONTH($A21)-1)*12)+VLOOKUP(BF$4,$DE$6:$DF$17,2)+1))*(VLOOKUP($A21,CURVES!$D$9:$T$261,7))*(INDEX(DailyScalarsTable,BF$5/100,MONTH($A21)))*$D21</f>
        <v>-6238.3985266312602</v>
      </c>
      <c r="BG21" s="1021">
        <f>(VLOOKUP(YEAR($A21),'NY East Load Projections'!$A$4:$EO$14,((MONTH($A21)-1)*12)+VLOOKUP(BG$4,$DE$6:$DF$17,2)+1))*(VLOOKUP($A21,CURVES!$D$9:$T$261,7))*(INDEX(DailyScalarsTable,BG$5/100,MONTH($A21)))*$D21</f>
        <v>-5916.9450255490156</v>
      </c>
      <c r="BH21" s="1021">
        <f>(VLOOKUP(YEAR($A21),'NY East Load Projections'!$A$4:$EO$14,((MONTH($A21)-1)*12)+VLOOKUP(BH$4,$DE$6:$DF$17,2)+1))*(VLOOKUP($A21,CURVES!$D$9:$T$261,7))*(INDEX(DailyScalarsTable,BH$5/100,MONTH($A21)))*$D21</f>
        <v>-5679.0665799213193</v>
      </c>
      <c r="BI21" s="1021">
        <f>(VLOOKUP(YEAR($A21),'NY East Load Projections'!$A$4:$EO$14,((MONTH($A21)-1)*12)+VLOOKUP(BI$4,$DE$6:$DF$17,2)+1))*(VLOOKUP($A21,CURVES!$D$9:$T$261,7))*(INDEX(DailyScalarsTable,BI$5/100,MONTH($A21)))*$D21</f>
        <v>-5682.4210014468254</v>
      </c>
      <c r="BJ21" s="1021">
        <f>(VLOOKUP(YEAR($A21),'NY East Load Projections'!$A$4:$EO$14,((MONTH($A21)-1)*12)+VLOOKUP(BJ$4,$DE$6:$DF$17,2)+1))*(VLOOKUP($A21,CURVES!$D$9:$T$261,7))*(INDEX(DailyScalarsTable,BJ$5/100,MONTH($A21)))*$D21</f>
        <v>-6178.1573345963416</v>
      </c>
      <c r="BK21" s="1021">
        <f>(VLOOKUP(YEAR($A21),'NY East Load Projections'!$A$4:$EO$14,((MONTH($A21)-1)*12)+VLOOKUP(BK$4,$DE$6:$DF$17,2)+1))*(VLOOKUP($A21,CURVES!$D$9:$T$261,7))*(INDEX(DailyScalarsTable,BK$5/100,MONTH($A21)))*$D21</f>
        <v>-7116.7132136426408</v>
      </c>
      <c r="BL21" s="1021">
        <f>(VLOOKUP(YEAR($A21),'NY East Load Projections'!$A$4:$EO$14,((MONTH($A21)-1)*12)+VLOOKUP(BL$4,$DE$6:$DF$17,2)+1))*(VLOOKUP($A21,CURVES!$D$9:$T$261,7))*(INDEX(DailyScalarsTable,BL$5/100,MONTH($A21)))*$D21</f>
        <v>-10150.500606131018</v>
      </c>
      <c r="BM21" s="1021">
        <f>(VLOOKUP(YEAR($A21),'NY East Load Projections'!$A$4:$EO$14,((MONTH($A21)-1)*12)+VLOOKUP(BM$4,$DE$6:$DF$17,2)+1))*(VLOOKUP($A21,SatSunCurve,7))*(INDEX(DailyScalarsTable,BM$5/100,MONTH($A21)))*$D21</f>
        <v>-7894.9476557254557</v>
      </c>
      <c r="BN21" s="1021">
        <f>(VLOOKUP(YEAR($A21),'NY East Load Projections'!$A$4:$EO$14,((MONTH($A21)-1)*12)+VLOOKUP(BN$4,$DE$6:$DF$17,2)+1))*(VLOOKUP($A21,SatSunCurve,7))*(INDEX(DailyScalarsTable,BN$5/100,MONTH($A21)))*$D21</f>
        <v>-8584.7733495808625</v>
      </c>
      <c r="BO21" s="1021">
        <f>(VLOOKUP(YEAR($A21),'NY East Load Projections'!$A$4:$EO$14,((MONTH($A21)-1)*12)+VLOOKUP(BO$4,$DE$6:$DF$17,2)+1))*(VLOOKUP($A21,SatSunCurve,7))*(INDEX(DailyScalarsTable,BO$5/100,MONTH($A21)))*$D21</f>
        <v>-8227.2661474752022</v>
      </c>
      <c r="BP21" s="1021">
        <f>(VLOOKUP(YEAR($A21),'NY East Load Projections'!$A$4:$EO$14,((MONTH($A21)-1)*12)+VLOOKUP(BP$4,$DE$6:$DF$17,2)+1))*(VLOOKUP($A21,SatSunCurve,7))*(INDEX(DailyScalarsTable,BP$5/100,MONTH($A21)))*$D21</f>
        <v>-8396.8792833201151</v>
      </c>
      <c r="BQ21" s="1021">
        <f>(VLOOKUP(YEAR($A21),'NY East Load Projections'!$A$4:$EO$14,((MONTH($A21)-1)*12)+VLOOKUP(BQ$4,$DE$6:$DF$17,2)+1))*(VLOOKUP($A21,SatSunCurve,7))*(INDEX(DailyScalarsTable,BQ$5/100,MONTH($A21)))*$D21</f>
        <v>-8413.3442272708016</v>
      </c>
      <c r="BR21" s="1021">
        <f>(VLOOKUP(YEAR($A21),'NY East Load Projections'!$A$4:$EO$14,((MONTH($A21)-1)*12)+VLOOKUP(BR$4,$DE$6:$DF$17,2)+1))*(VLOOKUP($A21,SatSunCurve,7))*(INDEX(DailyScalarsTable,BR$5/100,MONTH($A21)))*$D21</f>
        <v>-7490.2318906307009</v>
      </c>
      <c r="BS21" s="1021">
        <f>(VLOOKUP(YEAR($A21),'NY East Load Projections'!$A$4:$EO$14,((MONTH($A21)-1)*12)+VLOOKUP(BS$4,$DE$6:$DF$17,2)+1))*(VLOOKUP($A21,SatSunCurve,7))*(INDEX(DailyScalarsTable,BS$5/100,MONTH($A21)))*$D21</f>
        <v>-7498.2972541017907</v>
      </c>
      <c r="BT21" s="1021">
        <f>(VLOOKUP(YEAR($A21),'NY East Load Projections'!$A$4:$EO$14,((MONTH($A21)-1)*12)+VLOOKUP(BT$4,$DE$6:$DF$17,2)+1))*(VLOOKUP($A21,SatSunCurve,7))*(INDEX(DailyScalarsTable,BT$5/100,MONTH($A21)))*$D21</f>
        <v>-7032.8783385052848</v>
      </c>
      <c r="BU21" s="1021">
        <f>(VLOOKUP(YEAR($A21),'NY East Load Projections'!$A$4:$EO$14,((MONTH($A21)-1)*12)+VLOOKUP(BU$4,$DE$6:$DF$17,2)+1))*(VLOOKUP($A21,SatSunCurve,7))*(INDEX(DailyScalarsTable,BU$5/100,MONTH($A21)))*$D21</f>
        <v>-6573.034012366742</v>
      </c>
      <c r="BV21" s="1021">
        <f>(VLOOKUP(YEAR($A21),'NY East Load Projections'!$A$4:$EO$14,((MONTH($A21)-1)*12)+VLOOKUP(BV$4,$DE$6:$DF$17,2)+1))*(VLOOKUP($A21,SatSunCurve,7))*(INDEX(DailyScalarsTable,BV$5/100,MONTH($A21)))*$D21</f>
        <v>-6140.9898886305946</v>
      </c>
      <c r="BW21" s="1021">
        <f>(VLOOKUP(YEAR($A21),'NY East Load Projections'!$A$4:$EO$14,((MONTH($A21)-1)*12)+VLOOKUP(BW$4,$DE$6:$DF$17,2)+1))*(VLOOKUP($A21,SatSunCurve,7))*(INDEX(DailyScalarsTable,BW$5/100,MONTH($A21)))*$D21</f>
        <v>-6061.1231647672857</v>
      </c>
      <c r="BX21" s="1021">
        <f>(VLOOKUP(YEAR($A21),'NY East Load Projections'!$A$4:$EO$14,((MONTH($A21)-1)*12)+VLOOKUP(BX$4,$DE$6:$DF$17,2)+1))*(VLOOKUP($A21,SatSunCurve,7))*(INDEX(DailyScalarsTable,BX$5/100,MONTH($A21)))*$D21</f>
        <v>-6028.6311547745327</v>
      </c>
      <c r="BY21" s="1021">
        <f>(VLOOKUP(YEAR($A21),'NY East Load Projections'!$A$4:$EO$14,((MONTH($A21)-1)*12)+VLOOKUP(BY$4,$DE$6:$DF$17,2)+1))*(VLOOKUP($A21,SatSunCurve,7))*(INDEX(DailyScalarsTable,BY$5/100,MONTH($A21)))*$D21</f>
        <v>-6612.4648588051805</v>
      </c>
      <c r="BZ21" s="1021">
        <f>(VLOOKUP(YEAR($A21),'NY East Load Projections'!$A$4:$EO$14,((MONTH($A21)-1)*12)+VLOOKUP(BZ$4,$DE$6:$DF$17,2)+1))*(VLOOKUP($A21,SatSunCurve,7))*(INDEX(DailyScalarsTable,BZ$5/100,MONTH($A21)))*$D21</f>
        <v>-8042.7703591655227</v>
      </c>
      <c r="CA21" s="1021">
        <f>(VLOOKUP(YEAR($A21),'NY East Load Projections'!$A$4:$EO$14,((MONTH($A21)-1)*12)+VLOOKUP(CA$4,$DE$6:$DF$17,2)+1))*(VLOOKUP($A21,SatSunCurve,7))*(INDEX(DailyScalarsTable,CA$5/100,MONTH($A21)))*$D21</f>
        <v>-6853.0472629094784</v>
      </c>
      <c r="CB21" s="1021">
        <f>(VLOOKUP(YEAR($A21),'NY East Load Projections'!$A$4:$EO$14,((MONTH($A21)-1)*12)+VLOOKUP(CB$4,$DE$6:$DF$17,2)+1))*(VLOOKUP($A21,SatSunCurve,7))*(INDEX(DailyScalarsTable,CB$5/100,MONTH($A21)))*$D21</f>
        <v>-6054.2540105170056</v>
      </c>
      <c r="CC21" s="1021">
        <f>(VLOOKUP(YEAR($A21),'NY East Load Projections'!$A$4:$EO$14,((MONTH($A21)-1)*12)+VLOOKUP(CC$4,$DE$6:$DF$17,2)+1))*(VLOOKUP($A21,CURVES!$D$9:$T$261,7))*(INDEX(DailyScalarsTable,CC$5/100,MONTH($A21)))*$D21</f>
        <v>-7083.7180013624175</v>
      </c>
      <c r="CE21" s="1021">
        <f>(VLOOKUP(YEAR($A21),'NY East Load Projections'!$A$4:$EO$14,((MONTH($A21)-1)*12)+VLOOKUP(CE$4,$DE$6:$DF$17,2)+1))*(VLOOKUP($A21,CURVES!$D$9:$T$261,7))*(INDEX(DailyScalarsTable,CE$5/100,MONTH($A21)))*$E21</f>
        <v>0</v>
      </c>
      <c r="CF21" s="1021">
        <f>(VLOOKUP(YEAR($A21),'NY East Load Projections'!$A$4:$EO$14,((MONTH($A21)-1)*12)+VLOOKUP(CF$4,$DE$6:$DF$17,2)+1))*(VLOOKUP($A21,CURVES!$D$9:$T$261,7))*(INDEX(DailyScalarsTable,CF$5/100,MONTH($A21)))*$E21</f>
        <v>0</v>
      </c>
      <c r="CG21" s="1021">
        <f>(VLOOKUP(YEAR($A21),'NY East Load Projections'!$A$4:$EO$14,((MONTH($A21)-1)*12)+VLOOKUP(CG$4,$DE$6:$DF$17,2)+1))*(VLOOKUP($A21,CURVES!$D$9:$T$261,7))*(INDEX(DailyScalarsTable,CG$5/100,MONTH($A21)))*$E21</f>
        <v>0</v>
      </c>
      <c r="CH21" s="1021">
        <f>(VLOOKUP(YEAR($A21),'NY East Load Projections'!$A$4:$EO$14,((MONTH($A21)-1)*12)+VLOOKUP(CH$4,$DE$6:$DF$17,2)+1))*(VLOOKUP($A21,CURVES!$D$9:$T$261,7))*(INDEX(DailyScalarsTable,CH$5/100,MONTH($A21)))*$E21</f>
        <v>0</v>
      </c>
      <c r="CI21" s="1021">
        <f>(VLOOKUP(YEAR($A21),'NY East Load Projections'!$A$4:$EO$14,((MONTH($A21)-1)*12)+VLOOKUP(CI$4,$DE$6:$DF$17,2)+1))*(VLOOKUP($A21,CURVES!$D$9:$T$261,7))*(INDEX(DailyScalarsTable,CI$5/100,MONTH($A21)))*$E21</f>
        <v>0</v>
      </c>
      <c r="CJ21" s="1021">
        <f>(VLOOKUP(YEAR($A21),'NY East Load Projections'!$A$4:$EO$14,((MONTH($A21)-1)*12)+VLOOKUP(CJ$4,$DE$6:$DF$17,2)+1))*(VLOOKUP($A21,CURVES!$D$9:$T$261,7))*(INDEX(DailyScalarsTable,CJ$5/100,MONTH($A21)))*$E21</f>
        <v>0</v>
      </c>
      <c r="CK21" s="1021">
        <f>(VLOOKUP(YEAR($A21),'NY East Load Projections'!$A$4:$EO$14,((MONTH($A21)-1)*12)+VLOOKUP(CK$4,$DE$6:$DF$17,2)+1))*(VLOOKUP($A21,CURVES!$D$9:$T$261,7))*(INDEX(DailyScalarsTable,CK$5/100,MONTH($A21)))*$E21</f>
        <v>0</v>
      </c>
      <c r="CL21" s="1021">
        <f>(VLOOKUP(YEAR($A21),'NY East Load Projections'!$A$4:$EO$14,((MONTH($A21)-1)*12)+VLOOKUP(CL$4,$DE$6:$DF$17,2)+1))*(VLOOKUP($A21,SatSunCurve,7))*(INDEX(DailyScalarsTable,CL$5/100,MONTH($A21)))*$E21</f>
        <v>0</v>
      </c>
      <c r="CM21" s="1021">
        <f>(VLOOKUP(YEAR($A21),'NY East Load Projections'!$A$4:$EO$14,((MONTH($A21)-1)*12)+VLOOKUP(CM$4,$DE$6:$DF$17,2)+1))*(VLOOKUP($A21,SatSunCurve,7))*(INDEX(DailyScalarsTable,CM$5/100,MONTH($A21)))*$E21</f>
        <v>0</v>
      </c>
      <c r="CN21" s="1021">
        <f>(VLOOKUP(YEAR($A21),'NY East Load Projections'!$A$4:$EO$14,((MONTH($A21)-1)*12)+VLOOKUP(CN$4,$DE$6:$DF$17,2)+1))*(VLOOKUP($A21,SatSunCurve,7))*(INDEX(DailyScalarsTable,CN$5/100,MONTH($A21)))*$E21</f>
        <v>0</v>
      </c>
      <c r="CO21" s="1021">
        <f>(VLOOKUP(YEAR($A21),'NY East Load Projections'!$A$4:$EO$14,((MONTH($A21)-1)*12)+VLOOKUP(CO$4,$DE$6:$DF$17,2)+1))*(VLOOKUP($A21,SatSunCurve,7))*(INDEX(DailyScalarsTable,CO$5/100,MONTH($A21)))*$E21</f>
        <v>0</v>
      </c>
      <c r="CP21" s="1021">
        <f>(VLOOKUP(YEAR($A21),'NY East Load Projections'!$A$4:$EO$14,((MONTH($A21)-1)*12)+VLOOKUP(CP$4,$DE$6:$DF$17,2)+1))*(VLOOKUP($A21,SatSunCurve,7))*(INDEX(DailyScalarsTable,CP$5/100,MONTH($A21)))*$E21</f>
        <v>0</v>
      </c>
      <c r="CQ21" s="1021">
        <f>(VLOOKUP(YEAR($A21),'NY East Load Projections'!$A$4:$EO$14,((MONTH($A21)-1)*12)+VLOOKUP(CQ$4,$DE$6:$DF$17,2)+1))*(VLOOKUP($A21,SatSunCurve,7))*(INDEX(DailyScalarsTable,CQ$5/100,MONTH($A21)))*$E21</f>
        <v>0</v>
      </c>
      <c r="CR21" s="1021">
        <f>(VLOOKUP(YEAR($A21),'NY East Load Projections'!$A$4:$EO$14,((MONTH($A21)-1)*12)+VLOOKUP(CR$4,$DE$6:$DF$17,2)+1))*(VLOOKUP($A21,SatSunCurve,7))*(INDEX(DailyScalarsTable,CR$5/100,MONTH($A21)))*$E21</f>
        <v>0</v>
      </c>
      <c r="CS21" s="1021">
        <f>(VLOOKUP(YEAR($A21),'NY East Load Projections'!$A$4:$EO$14,((MONTH($A21)-1)*12)+VLOOKUP(CS$4,$DE$6:$DF$17,2)+1))*(VLOOKUP($A21,SatSunCurve,7))*(INDEX(DailyScalarsTable,CS$5/100,MONTH($A21)))*$E21</f>
        <v>0</v>
      </c>
      <c r="CT21" s="1021">
        <f>(VLOOKUP(YEAR($A21),'NY East Load Projections'!$A$4:$EO$14,((MONTH($A21)-1)*12)+VLOOKUP(CT$4,$DE$6:$DF$17,2)+1))*(VLOOKUP($A21,SatSunCurve,7))*(INDEX(DailyScalarsTable,CT$5/100,MONTH($A21)))*$E21</f>
        <v>0</v>
      </c>
      <c r="CU21" s="1021">
        <f>(VLOOKUP(YEAR($A21),'NY East Load Projections'!$A$4:$EO$14,((MONTH($A21)-1)*12)+VLOOKUP(CU$4,$DE$6:$DF$17,2)+1))*(VLOOKUP($A21,SatSunCurve,7))*(INDEX(DailyScalarsTable,CU$5/100,MONTH($A21)))*$E21</f>
        <v>0</v>
      </c>
      <c r="CV21" s="1021">
        <f>(VLOOKUP(YEAR($A21),'NY East Load Projections'!$A$4:$EO$14,((MONTH($A21)-1)*12)+VLOOKUP(CV$4,$DE$6:$DF$17,2)+1))*(VLOOKUP($A21,SatSunCurve,7))*(INDEX(DailyScalarsTable,CV$5/100,MONTH($A21)))*$E21</f>
        <v>0</v>
      </c>
      <c r="CW21" s="1021">
        <f>(VLOOKUP(YEAR($A21),'NY East Load Projections'!$A$4:$EO$14,((MONTH($A21)-1)*12)+VLOOKUP(CW$4,$DE$6:$DF$17,2)+1))*(VLOOKUP($A21,SatSunCurve,7))*(INDEX(DailyScalarsTable,CW$5/100,MONTH($A21)))*$E21</f>
        <v>0</v>
      </c>
      <c r="CX21" s="1021">
        <f>(VLOOKUP(YEAR($A21),'NY East Load Projections'!$A$4:$EO$14,((MONTH($A21)-1)*12)+VLOOKUP(CX$4,$DE$6:$DF$17,2)+1))*(VLOOKUP($A21,SatSunCurve,7))*(INDEX(DailyScalarsTable,CX$5/100,MONTH($A21)))*$E21</f>
        <v>0</v>
      </c>
      <c r="CY21" s="1021">
        <f>(VLOOKUP(YEAR($A21),'NY East Load Projections'!$A$4:$EO$14,((MONTH($A21)-1)*12)+VLOOKUP(CY$4,$DE$6:$DF$17,2)+1))*(VLOOKUP($A21,SatSunCurve,7))*(INDEX(DailyScalarsTable,CY$5/100,MONTH($A21)))*$E21</f>
        <v>0</v>
      </c>
      <c r="CZ21" s="1021">
        <f>(VLOOKUP(YEAR($A21),'NY East Load Projections'!$A$4:$EO$14,((MONTH($A21)-1)*12)+VLOOKUP(CZ$4,$DE$6:$DF$17,2)+1))*(VLOOKUP($A21,SatSunCurve,7))*(INDEX(DailyScalarsTable,CZ$5/100,MONTH($A21)))*$E21</f>
        <v>0</v>
      </c>
      <c r="DA21" s="1021">
        <f>(VLOOKUP(YEAR($A21),'NY East Load Projections'!$A$4:$EO$14,((MONTH($A21)-1)*12)+VLOOKUP(DA$4,$DE$6:$DF$17,2)+1))*(VLOOKUP($A21,SatSunCurve,7))*(INDEX(DailyScalarsTable,DA$5/100,MONTH($A21)))*$E21</f>
        <v>0</v>
      </c>
      <c r="DB21" s="1021">
        <f>(VLOOKUP(YEAR($A21),'NY East Load Projections'!$A$4:$EO$14,((MONTH($A21)-1)*12)+VLOOKUP(DB$4,$DE$6:$DF$17,2)+1))*(VLOOKUP($A21,CURVES!$D$9:$T$261,7))*(INDEX(DailyScalarsTable,DB$5/100,MONTH($A21)))*$E21</f>
        <v>0</v>
      </c>
      <c r="DH21" s="1032">
        <f t="shared" si="0"/>
        <v>-1605092.0966578024</v>
      </c>
      <c r="DI21">
        <f ca="1">CALC!J41</f>
        <v>0.85715940312422123</v>
      </c>
      <c r="DJ21" s="1029">
        <f t="shared" ca="1" si="1"/>
        <v>-1375819.7835306067</v>
      </c>
    </row>
    <row r="22" spans="1:114" x14ac:dyDescent="0.25">
      <c r="A22" s="244">
        <v>37377</v>
      </c>
      <c r="B22" s="13">
        <v>22</v>
      </c>
      <c r="C22" s="210">
        <v>4</v>
      </c>
      <c r="D22" s="210">
        <v>4</v>
      </c>
      <c r="E22" s="210">
        <v>1</v>
      </c>
      <c r="F22" s="13">
        <v>31</v>
      </c>
      <c r="H22" s="1021">
        <f>(VLOOKUP(YEAR($A22),'NY East Load Projections'!$A$4:$EO$14,((MONTH($A22)-1)*12)+VLOOKUP(H$4,$DE$6:$DF$17,2)+1))*(VLOOKUP($A22,CURVES!$D$9:$K$261,7))*(INDEX(DailyScalarsTable,H$5/100,MONTH($A22)))*$B22</f>
        <v>-36057.222076937083</v>
      </c>
      <c r="I22" s="1021">
        <f>(VLOOKUP(YEAR($A22),'NY East Load Projections'!$A$4:$EO$14,((MONTH($A22)-1)*12)+VLOOKUP(I$4,$DE$6:$DF$17,2)+1))*(VLOOKUP($A22,CURVES!$D$9:$K$261,7))*(INDEX(DailyScalarsTable,I$5/100,MONTH($A22)))*$B22</f>
        <v>-32478.952204245499</v>
      </c>
      <c r="J22" s="1021">
        <f>(VLOOKUP(YEAR($A22),'NY East Load Projections'!$A$4:$EO$14,((MONTH($A22)-1)*12)+VLOOKUP(J$4,$DE$6:$DF$17,2)+1))*(VLOOKUP($A22,CURVES!$D$9:$K$261,7))*(INDEX(DailyScalarsTable,J$5/100,MONTH($A22)))*$B22</f>
        <v>-30737.148879972359</v>
      </c>
      <c r="K22" s="1021">
        <f>(VLOOKUP(YEAR($A22),'NY East Load Projections'!$A$4:$EO$14,((MONTH($A22)-1)*12)+VLOOKUP(K$4,$DE$6:$DF$17,2)+1))*(VLOOKUP($A22,CURVES!$D$9:$K$261,7))*(INDEX(DailyScalarsTable,K$5/100,MONTH($A22)))*$B22</f>
        <v>-29799.982960934078</v>
      </c>
      <c r="L22" s="1021">
        <f>(VLOOKUP(YEAR($A22),'NY East Load Projections'!$A$4:$EO$14,((MONTH($A22)-1)*12)+VLOOKUP(L$4,$DE$6:$DF$17,2)+1))*(VLOOKUP($A22,CURVES!$D$9:$K$261,7))*(INDEX(DailyScalarsTable,L$5/100,MONTH($A22)))*$B22</f>
        <v>-34725.9900148046</v>
      </c>
      <c r="M22" s="1021">
        <f>(VLOOKUP(YEAR($A22),'NY East Load Projections'!$A$4:$EO$14,((MONTH($A22)-1)*12)+VLOOKUP(M$4,$DE$6:$DF$17,2)+1))*(VLOOKUP($A22,CURVES!$D$9:$K$261,7))*(INDEX(DailyScalarsTable,M$5/100,MONTH($A22)))*$B22</f>
        <v>-42103.224982738429</v>
      </c>
      <c r="N22" s="1021">
        <f>(VLOOKUP(YEAR($A22),'NY East Load Projections'!$A$4:$EO$14,((MONTH($A22)-1)*12)+VLOOKUP(N$4,$DE$6:$DF$17,2)+1))*(VLOOKUP($A22,CURVES!$D$9:$K$261,7))*(INDEX(DailyScalarsTable,N$5/100,MONTH($A22)))*$B22</f>
        <v>-50377.140444012315</v>
      </c>
      <c r="O22" s="1021">
        <f>(VLOOKUP(YEAR($A22),'NY East Load Projections'!$A$4:$EO$14,((MONTH($A22)-1)*12)+VLOOKUP(O$4,$DE$6:$DF$17,2)+1))*(VLOOKUP($A22,CURVES!$D$9:$K$261,3))*(INDEX(DailyScalarsTable,O$5/100,MONTH($A22)))*$B22</f>
        <v>-64483.832599213158</v>
      </c>
      <c r="P22" s="1021">
        <f>(VLOOKUP(YEAR($A22),'NY East Load Projections'!$A$4:$EO$14,((MONTH($A22)-1)*12)+VLOOKUP(P$4,$DE$6:$DF$17,2)+1))*(VLOOKUP($A22,CURVES!$D$9:$K$261,3))*(INDEX(DailyScalarsTable,P$5/100,MONTH($A22)))*$B22</f>
        <v>-75497.273198009847</v>
      </c>
      <c r="Q22" s="1021">
        <f>(VLOOKUP(YEAR($A22),'NY East Load Projections'!$A$4:$EO$14,((MONTH($A22)-1)*12)+VLOOKUP(Q$4,$DE$6:$DF$17,2)+1))*(VLOOKUP($A22,CURVES!$D$9:$K$261,3))*(INDEX(DailyScalarsTable,Q$5/100,MONTH($A22)))*$B22</f>
        <v>-76836.33957242129</v>
      </c>
      <c r="R22" s="1021">
        <f>(VLOOKUP(YEAR($A22),'NY East Load Projections'!$A$4:$EO$14,((MONTH($A22)-1)*12)+VLOOKUP(R$4,$DE$6:$DF$17,2)+1))*(VLOOKUP($A22,CURVES!$D$9:$K$261,3))*(INDEX(DailyScalarsTable,R$5/100,MONTH($A22)))*$B22</f>
        <v>-81505.296665501795</v>
      </c>
      <c r="S22" s="1021">
        <f>(VLOOKUP(YEAR($A22),'NY East Load Projections'!$A$4:$EO$14,((MONTH($A22)-1)*12)+VLOOKUP(S$4,$DE$6:$DF$17,2)+1))*(VLOOKUP($A22,CURVES!$D$9:$K$261,3))*(INDEX(DailyScalarsTable,S$5/100,MONTH($A22)))*$B22</f>
        <v>-80889.089130374385</v>
      </c>
      <c r="T22" s="1021">
        <f>(VLOOKUP(YEAR($A22),'NY East Load Projections'!$A$4:$EO$14,((MONTH($A22)-1)*12)+VLOOKUP(T$4,$DE$6:$DF$17,2)+1))*(VLOOKUP($A22,CURVES!$D$9:$K$261,3))*(INDEX(DailyScalarsTable,T$5/100,MONTH($A22)))*$B22</f>
        <v>-77175.366276360699</v>
      </c>
      <c r="U22" s="1021">
        <f>(VLOOKUP(YEAR($A22),'NY East Load Projections'!$A$4:$EO$14,((MONTH($A22)-1)*12)+VLOOKUP(U$4,$DE$6:$DF$17,2)+1))*(VLOOKUP($A22,CURVES!$D$9:$K$261,3))*(INDEX(DailyScalarsTable,U$5/100,MONTH($A22)))*$B22</f>
        <v>-77547.324664819549</v>
      </c>
      <c r="V22" s="1021">
        <f>(VLOOKUP(YEAR($A22),'NY East Load Projections'!$A$4:$EO$14,((MONTH($A22)-1)*12)+VLOOKUP(V$4,$DE$6:$DF$17,2)+1))*(VLOOKUP($A22,CURVES!$D$9:$K$261,3))*(INDEX(DailyScalarsTable,V$5/100,MONTH($A22)))*$B22</f>
        <v>-75219.585072528804</v>
      </c>
      <c r="W22" s="1021">
        <f>(VLOOKUP(YEAR($A22),'NY East Load Projections'!$A$4:$EO$14,((MONTH($A22)-1)*12)+VLOOKUP(W$4,$DE$6:$DF$17,2)+1))*(VLOOKUP($A22,CURVES!$D$9:$K$261,3))*(INDEX(DailyScalarsTable,W$5/100,MONTH($A22)))*$B22</f>
        <v>-72291.912595627073</v>
      </c>
      <c r="X22" s="1021">
        <f>(VLOOKUP(YEAR($A22),'NY East Load Projections'!$A$4:$EO$14,((MONTH($A22)-1)*12)+VLOOKUP(X$4,$DE$6:$DF$17,2)+1))*(VLOOKUP($A22,CURVES!$D$9:$K$261,3))*(INDEX(DailyScalarsTable,X$5/100,MONTH($A22)))*$B22</f>
        <v>-70056.064704739707</v>
      </c>
      <c r="Y22" s="1021">
        <f>(VLOOKUP(YEAR($A22),'NY East Load Projections'!$A$4:$EO$14,((MONTH($A22)-1)*12)+VLOOKUP(Y$4,$DE$6:$DF$17,2)+1))*(VLOOKUP($A22,CURVES!$D$9:$K$261,3))*(INDEX(DailyScalarsTable,Y$5/100,MONTH($A22)))*$B22</f>
        <v>-67325.86273982597</v>
      </c>
      <c r="Z22" s="1021">
        <f>(VLOOKUP(YEAR($A22),'NY East Load Projections'!$A$4:$EO$14,((MONTH($A22)-1)*12)+VLOOKUP(Z$4,$DE$6:$DF$17,2)+1))*(VLOOKUP($A22,CURVES!$D$9:$K$261,3))*(INDEX(DailyScalarsTable,Z$5/100,MONTH($A22)))*$B22</f>
        <v>-58332.256267169039</v>
      </c>
      <c r="AA22" s="1021">
        <f>(VLOOKUP(YEAR($A22),'NY East Load Projections'!$A$4:$EO$14,((MONTH($A22)-1)*12)+VLOOKUP(AA$4,$DE$6:$DF$17,2)+1))*(VLOOKUP($A22,CURVES!$D$9:$K$261,3))*(INDEX(DailyScalarsTable,AA$5/100,MONTH($A22)))*$B22</f>
        <v>-58183.12758841327</v>
      </c>
      <c r="AB22" s="1021">
        <f>(VLOOKUP(YEAR($A22),'NY East Load Projections'!$A$4:$EO$14,((MONTH($A22)-1)*12)+VLOOKUP(AB$4,$DE$6:$DF$17,2)+1))*(VLOOKUP($A22,CURVES!$D$9:$K$261,3))*(INDEX(DailyScalarsTable,AB$5/100,MONTH($A22)))*$B22</f>
        <v>-70939.412242944396</v>
      </c>
      <c r="AC22" s="1021">
        <f>(VLOOKUP(YEAR($A22),'NY East Load Projections'!$A$4:$EO$14,((MONTH($A22)-1)*12)+VLOOKUP(AC$4,$DE$6:$DF$17,2)+1))*(VLOOKUP($A22,CURVES!$D$9:$K$261,3))*(INDEX(DailyScalarsTable,AC$5/100,MONTH($A22)))*$B22</f>
        <v>-67662.986854260176</v>
      </c>
      <c r="AD22" s="1021">
        <f>(VLOOKUP(YEAR($A22),'NY East Load Projections'!$A$4:$EO$14,((MONTH($A22)-1)*12)+VLOOKUP(AD$4,$DE$6:$DF$17,2)+1))*(VLOOKUP($A22,CURVES!$D$9:$K$261,3))*(INDEX(DailyScalarsTable,AD$5/100,MONTH($A22)))*$B22</f>
        <v>-54279.803019048464</v>
      </c>
      <c r="AE22" s="1021">
        <f>(VLOOKUP(YEAR($A22),'NY East Load Projections'!$A$4:$EO$14,((MONTH($A22)-1)*12)+VLOOKUP(AE$4,$DE$6:$DF$17,2)+1))*(VLOOKUP($A22,CURVES!$D$9:$K$261,7))*(INDEX(DailyScalarsTable,AE$5/100,MONTH($A22)))*$B22</f>
        <v>-44288.344551491296</v>
      </c>
      <c r="AF22" s="1021"/>
      <c r="AG22" s="1021">
        <f>(VLOOKUP(YEAR($A22),'NY East Load Projections'!$A$4:$EO$14,((MONTH($A22)-1)*12)+VLOOKUP(AG$4,$DE$6:$DF$17,2)+1))*(VLOOKUP($A22,CURVES!$D$9:$T$261,7))*(INDEX(DailyScalarsTable,AG$5/100,MONTH($A22)))*$C22</f>
        <v>-7182.948616207118</v>
      </c>
      <c r="AH22" s="1021">
        <f>(VLOOKUP(YEAR($A22),'NY East Load Projections'!$A$4:$EO$14,((MONTH($A22)-1)*12)+VLOOKUP(AH$4,$DE$6:$DF$17,2)+1))*(VLOOKUP($A22,CURVES!$D$9:$T$261,7))*(INDEX(DailyScalarsTable,AH$5/100,MONTH($A22)))*$C22</f>
        <v>-6470.1225261765867</v>
      </c>
      <c r="AI22" s="1021">
        <f>(VLOOKUP(YEAR($A22),'NY East Load Projections'!$A$4:$EO$14,((MONTH($A22)-1)*12)+VLOOKUP(AI$4,$DE$6:$DF$17,2)+1))*(VLOOKUP($A22,CURVES!$D$9:$T$261,7))*(INDEX(DailyScalarsTable,AI$5/100,MONTH($A22)))*$C22</f>
        <v>-6123.1383976961188</v>
      </c>
      <c r="AJ22" s="1021">
        <f>(VLOOKUP(YEAR($A22),'NY East Load Projections'!$A$4:$EO$14,((MONTH($A22)-1)*12)+VLOOKUP(AJ$4,$DE$6:$DF$17,2)+1))*(VLOOKUP($A22,CURVES!$D$9:$T$261,7))*(INDEX(DailyScalarsTable,AJ$5/100,MONTH($A22)))*$C22</f>
        <v>-5936.4458503071673</v>
      </c>
      <c r="AK22" s="1021">
        <f>(VLOOKUP(YEAR($A22),'NY East Load Projections'!$A$4:$EO$14,((MONTH($A22)-1)*12)+VLOOKUP(AK$4,$DE$6:$DF$17,2)+1))*(VLOOKUP($A22,CURVES!$D$9:$T$261,7))*(INDEX(DailyScalarsTable,AK$5/100,MONTH($A22)))*$C22</f>
        <v>-6524.4214963047107</v>
      </c>
      <c r="AL22" s="1021">
        <f>(VLOOKUP(YEAR($A22),'NY East Load Projections'!$A$4:$EO$14,((MONTH($A22)-1)*12)+VLOOKUP(AL$4,$DE$6:$DF$17,2)+1))*(VLOOKUP($A22,CURVES!$D$9:$T$261,7))*(INDEX(DailyScalarsTable,AL$5/100,MONTH($A22)))*$C22</f>
        <v>-7910.4781756839966</v>
      </c>
      <c r="AM22" s="1021">
        <f>(VLOOKUP(YEAR($A22),'NY East Load Projections'!$A$4:$EO$14,((MONTH($A22)-1)*12)+VLOOKUP(AM$4,$DE$6:$DF$17,2)+1))*(VLOOKUP($A22,CURVES!$D$9:$T$261,7))*(INDEX(DailyScalarsTable,AM$5/100,MONTH($A22)))*$C22</f>
        <v>-9465.0058326673989</v>
      </c>
      <c r="AN22" s="1021">
        <f>(VLOOKUP(YEAR($A22),'NY East Load Projections'!$A$4:$EO$14,((MONTH($A22)-1)*12)+VLOOKUP(AN$4,$DE$6:$DF$17,2)+1))*(VLOOKUP($A22,SatSunCurve,3))*(INDEX(DailyScalarsTable,AN$5/100,MONTH($A22)))*$C22</f>
        <v>-7708.4314148905351</v>
      </c>
      <c r="AO22" s="1021">
        <f>(VLOOKUP(YEAR($A22),'NY East Load Projections'!$A$4:$EO$14,((MONTH($A22)-1)*12)+VLOOKUP(AO$4,$DE$6:$DF$17,2)+1))*(VLOOKUP($A22,SatSunCurve,3))*(INDEX(DailyScalarsTable,AO$5/100,MONTH($A22)))*$C22</f>
        <v>-9439.2836816083782</v>
      </c>
      <c r="AP22" s="1021">
        <f>(VLOOKUP(YEAR($A22),'NY East Load Projections'!$A$4:$EO$14,((MONTH($A22)-1)*12)+VLOOKUP(AP$4,$DE$6:$DF$17,2)+1))*(VLOOKUP($A22,SatSunCurve,3))*(INDEX(DailyScalarsTable,AP$5/100,MONTH($A22)))*$C22</f>
        <v>-9606.7046604220286</v>
      </c>
      <c r="AQ22" s="1021">
        <f>(VLOOKUP(YEAR($A22),'NY East Load Projections'!$A$4:$EO$14,((MONTH($A22)-1)*12)+VLOOKUP(AQ$4,$DE$6:$DF$17,2)+1))*(VLOOKUP($A22,SatSunCurve,3))*(INDEX(DailyScalarsTable,AQ$5/100,MONTH($A22)))*$C22</f>
        <v>-10190.455683896162</v>
      </c>
      <c r="AR22" s="1021">
        <f>(VLOOKUP(YEAR($A22),'NY East Load Projections'!$A$4:$EO$14,((MONTH($A22)-1)*12)+VLOOKUP(AR$4,$DE$6:$DF$17,2)+1))*(VLOOKUP($A22,SatSunCurve,3))*(INDEX(DailyScalarsTable,AR$5/100,MONTH($A22)))*$C22</f>
        <v>-10113.412401610232</v>
      </c>
      <c r="AS22" s="1021">
        <f>(VLOOKUP(YEAR($A22),'NY East Load Projections'!$A$4:$EO$14,((MONTH($A22)-1)*12)+VLOOKUP(AS$4,$DE$6:$DF$17,2)+1))*(VLOOKUP($A22,SatSunCurve,3))*(INDEX(DailyScalarsTable,AS$5/100,MONTH($A22)))*$C22</f>
        <v>-9324.5815314897573</v>
      </c>
      <c r="AT22" s="1021">
        <f>(VLOOKUP(YEAR($A22),'NY East Load Projections'!$A$4:$EO$14,((MONTH($A22)-1)*12)+VLOOKUP(AT$4,$DE$6:$DF$17,2)+1))*(VLOOKUP($A22,SatSunCurve,3))*(INDEX(DailyScalarsTable,AT$5/100,MONTH($A22)))*$C22</f>
        <v>-9369.5227671048378</v>
      </c>
      <c r="AU22" s="1021">
        <f>(VLOOKUP(YEAR($A22),'NY East Load Projections'!$A$4:$EO$14,((MONTH($A22)-1)*12)+VLOOKUP(AU$4,$DE$6:$DF$17,2)+1))*(VLOOKUP($A22,SatSunCurve,3))*(INDEX(DailyScalarsTable,AU$5/100,MONTH($A22)))*$C22</f>
        <v>-9088.2776151911221</v>
      </c>
      <c r="AV22" s="1021">
        <f>(VLOOKUP(YEAR($A22),'NY East Load Projections'!$A$4:$EO$14,((MONTH($A22)-1)*12)+VLOOKUP(AV$4,$DE$6:$DF$17,2)+1))*(VLOOKUP($A22,SatSunCurve,3))*(INDEX(DailyScalarsTable,AV$5/100,MONTH($A22)))*$C22</f>
        <v>-8734.5465993821199</v>
      </c>
      <c r="AW22" s="1021">
        <f>(VLOOKUP(YEAR($A22),'NY East Load Projections'!$A$4:$EO$14,((MONTH($A22)-1)*12)+VLOOKUP(AW$4,$DE$6:$DF$17,2)+1))*(VLOOKUP($A22,SatSunCurve,3))*(INDEX(DailyScalarsTable,AW$5/100,MONTH($A22)))*$C22</f>
        <v>-8265.2913851822705</v>
      </c>
      <c r="AX22" s="1021">
        <f>(VLOOKUP(YEAR($A22),'NY East Load Projections'!$A$4:$EO$14,((MONTH($A22)-1)*12)+VLOOKUP(AX$4,$DE$6:$DF$17,2)+1))*(VLOOKUP($A22,SatSunCurve,3))*(INDEX(DailyScalarsTable,AX$5/100,MONTH($A22)))*$C22</f>
        <v>-7943.1791615580041</v>
      </c>
      <c r="AY22" s="1021">
        <f>(VLOOKUP(YEAR($A22),'NY East Load Projections'!$A$4:$EO$14,((MONTH($A22)-1)*12)+VLOOKUP(AY$4,$DE$6:$DF$17,2)+1))*(VLOOKUP($A22,SatSunCurve,3))*(INDEX(DailyScalarsTable,AY$5/100,MONTH($A22)))*$C22</f>
        <v>-6882.1036013839584</v>
      </c>
      <c r="AZ22" s="1021">
        <f>(VLOOKUP(YEAR($A22),'NY East Load Projections'!$A$4:$EO$14,((MONTH($A22)-1)*12)+VLOOKUP(AZ$4,$DE$6:$DF$17,2)+1))*(VLOOKUP($A22,SatSunCurve,3))*(INDEX(DailyScalarsTable,AZ$5/100,MONTH($A22)))*$C22</f>
        <v>-6864.5092362280138</v>
      </c>
      <c r="BA22" s="1021">
        <f>(VLOOKUP(YEAR($A22),'NY East Load Projections'!$A$4:$EO$14,((MONTH($A22)-1)*12)+VLOOKUP(BA$4,$DE$6:$DF$17,2)+1))*(VLOOKUP($A22,SatSunCurve,3))*(INDEX(DailyScalarsTable,BA$5/100,MONTH($A22)))*$C22</f>
        <v>-8844.979330955246</v>
      </c>
      <c r="BB22" s="1021">
        <f>(VLOOKUP(YEAR($A22),'NY East Load Projections'!$A$4:$EO$14,((MONTH($A22)-1)*12)+VLOOKUP(BB$4,$DE$6:$DF$17,2)+1))*(VLOOKUP($A22,SatSunCurve,3))*(INDEX(DailyScalarsTable,BB$5/100,MONTH($A22)))*$C22</f>
        <v>-8436.4629093209351</v>
      </c>
      <c r="BC22" s="1021">
        <f>(VLOOKUP(YEAR($A22),'NY East Load Projections'!$A$4:$EO$14,((MONTH($A22)-1)*12)+VLOOKUP(BC$4,$DE$6:$DF$17,2)+1))*(VLOOKUP($A22,SatSunCurve,3))*(INDEX(DailyScalarsTable,BC$5/100,MONTH($A22)))*$C22</f>
        <v>-6767.7997408211786</v>
      </c>
      <c r="BD22" s="1021">
        <f>(VLOOKUP(YEAR($A22),'NY East Load Projections'!$A$4:$EO$14,((MONTH($A22)-1)*12)+VLOOKUP(BD$4,$DE$6:$DF$17,2)+1))*(VLOOKUP($A22,CURVES!$D$9:$T$261,7))*(INDEX(DailyScalarsTable,BD$5/100,MONTH($A22)))*$C22</f>
        <v>-8679.0239492928613</v>
      </c>
      <c r="BE22" s="1021"/>
      <c r="BF22" s="1021">
        <f>(VLOOKUP(YEAR($A22),'NY East Load Projections'!$A$4:$EO$14,((MONTH($A22)-1)*12)+VLOOKUP(BF$4,$DE$6:$DF$17,2)+1))*(VLOOKUP($A22,CURVES!$D$9:$T$261,7))*(INDEX(DailyScalarsTable,BF$5/100,MONTH($A22)))*$D22</f>
        <v>-7182.948616207118</v>
      </c>
      <c r="BG22" s="1021">
        <f>(VLOOKUP(YEAR($A22),'NY East Load Projections'!$A$4:$EO$14,((MONTH($A22)-1)*12)+VLOOKUP(BG$4,$DE$6:$DF$17,2)+1))*(VLOOKUP($A22,CURVES!$D$9:$T$261,7))*(INDEX(DailyScalarsTable,BG$5/100,MONTH($A22)))*$D22</f>
        <v>-6470.1225261765867</v>
      </c>
      <c r="BH22" s="1021">
        <f>(VLOOKUP(YEAR($A22),'NY East Load Projections'!$A$4:$EO$14,((MONTH($A22)-1)*12)+VLOOKUP(BH$4,$DE$6:$DF$17,2)+1))*(VLOOKUP($A22,CURVES!$D$9:$T$261,7))*(INDEX(DailyScalarsTable,BH$5/100,MONTH($A22)))*$D22</f>
        <v>-6123.1383976961188</v>
      </c>
      <c r="BI22" s="1021">
        <f>(VLOOKUP(YEAR($A22),'NY East Load Projections'!$A$4:$EO$14,((MONTH($A22)-1)*12)+VLOOKUP(BI$4,$DE$6:$DF$17,2)+1))*(VLOOKUP($A22,CURVES!$D$9:$T$261,7))*(INDEX(DailyScalarsTable,BI$5/100,MONTH($A22)))*$D22</f>
        <v>-5936.4458503071673</v>
      </c>
      <c r="BJ22" s="1021">
        <f>(VLOOKUP(YEAR($A22),'NY East Load Projections'!$A$4:$EO$14,((MONTH($A22)-1)*12)+VLOOKUP(BJ$4,$DE$6:$DF$17,2)+1))*(VLOOKUP($A22,CURVES!$D$9:$T$261,7))*(INDEX(DailyScalarsTable,BJ$5/100,MONTH($A22)))*$D22</f>
        <v>-6524.4214963047107</v>
      </c>
      <c r="BK22" s="1021">
        <f>(VLOOKUP(YEAR($A22),'NY East Load Projections'!$A$4:$EO$14,((MONTH($A22)-1)*12)+VLOOKUP(BK$4,$DE$6:$DF$17,2)+1))*(VLOOKUP($A22,CURVES!$D$9:$T$261,7))*(INDEX(DailyScalarsTable,BK$5/100,MONTH($A22)))*$D22</f>
        <v>-7910.4781756839966</v>
      </c>
      <c r="BL22" s="1021">
        <f>(VLOOKUP(YEAR($A22),'NY East Load Projections'!$A$4:$EO$14,((MONTH($A22)-1)*12)+VLOOKUP(BL$4,$DE$6:$DF$17,2)+1))*(VLOOKUP($A22,CURVES!$D$9:$T$261,7))*(INDEX(DailyScalarsTable,BL$5/100,MONTH($A22)))*$D22</f>
        <v>-9465.0058326673989</v>
      </c>
      <c r="BM22" s="1021">
        <f>(VLOOKUP(YEAR($A22),'NY East Load Projections'!$A$4:$EO$14,((MONTH($A22)-1)*12)+VLOOKUP(BM$4,$DE$6:$DF$17,2)+1))*(VLOOKUP($A22,SatSunCurve,7))*(INDEX(DailyScalarsTable,BM$5/100,MONTH($A22)))*$D22</f>
        <v>-7399.3101121626933</v>
      </c>
      <c r="BN22" s="1021">
        <f>(VLOOKUP(YEAR($A22),'NY East Load Projections'!$A$4:$EO$14,((MONTH($A22)-1)*12)+VLOOKUP(BN$4,$DE$6:$DF$17,2)+1))*(VLOOKUP($A22,SatSunCurve,7))*(INDEX(DailyScalarsTable,BN$5/100,MONTH($A22)))*$D22</f>
        <v>-9060.7522383837677</v>
      </c>
      <c r="BO22" s="1021">
        <f>(VLOOKUP(YEAR($A22),'NY East Load Projections'!$A$4:$EO$14,((MONTH($A22)-1)*12)+VLOOKUP(BO$4,$DE$6:$DF$17,2)+1))*(VLOOKUP($A22,SatSunCurve,7))*(INDEX(DailyScalarsTable,BO$5/100,MONTH($A22)))*$D22</f>
        <v>-9221.459349188568</v>
      </c>
      <c r="BP22" s="1021">
        <f>(VLOOKUP(YEAR($A22),'NY East Load Projections'!$A$4:$EO$14,((MONTH($A22)-1)*12)+VLOOKUP(BP$4,$DE$6:$DF$17,2)+1))*(VLOOKUP($A22,SatSunCurve,7))*(INDEX(DailyScalarsTable,BP$5/100,MONTH($A22)))*$D22</f>
        <v>-9781.8009567734389</v>
      </c>
      <c r="BQ22" s="1021">
        <f>(VLOOKUP(YEAR($A22),'NY East Load Projections'!$A$4:$EO$14,((MONTH($A22)-1)*12)+VLOOKUP(BQ$4,$DE$6:$DF$17,2)+1))*(VLOOKUP($A22,SatSunCurve,7))*(INDEX(DailyScalarsTable,BQ$5/100,MONTH($A22)))*$D22</f>
        <v>-9707.847242066804</v>
      </c>
      <c r="BR22" s="1021">
        <f>(VLOOKUP(YEAR($A22),'NY East Load Projections'!$A$4:$EO$14,((MONTH($A22)-1)*12)+VLOOKUP(BR$4,$DE$6:$DF$17,2)+1))*(VLOOKUP($A22,SatSunCurve,7))*(INDEX(DailyScalarsTable,BR$5/100,MONTH($A22)))*$D22</f>
        <v>-8950.6498409465894</v>
      </c>
      <c r="BS22" s="1021">
        <f>(VLOOKUP(YEAR($A22),'NY East Load Projections'!$A$4:$EO$14,((MONTH($A22)-1)*12)+VLOOKUP(BS$4,$DE$6:$DF$17,2)+1))*(VLOOKUP($A22,SatSunCurve,7))*(INDEX(DailyScalarsTable,BS$5/100,MONTH($A22)))*$D22</f>
        <v>-8993.788856038218</v>
      </c>
      <c r="BT22" s="1021">
        <f>(VLOOKUP(YEAR($A22),'NY East Load Projections'!$A$4:$EO$14,((MONTH($A22)-1)*12)+VLOOKUP(BT$4,$DE$6:$DF$17,2)+1))*(VLOOKUP($A22,SatSunCurve,7))*(INDEX(DailyScalarsTable,BT$5/100,MONTH($A22)))*$D22</f>
        <v>-8723.8221164325532</v>
      </c>
      <c r="BU22" s="1021">
        <f>(VLOOKUP(YEAR($A22),'NY East Load Projections'!$A$4:$EO$14,((MONTH($A22)-1)*12)+VLOOKUP(BU$4,$DE$6:$DF$17,2)+1))*(VLOOKUP($A22,SatSunCurve,7))*(INDEX(DailyScalarsTable,BU$5/100,MONTH($A22)))*$D22</f>
        <v>-8384.2763202274891</v>
      </c>
      <c r="BV22" s="1021">
        <f>(VLOOKUP(YEAR($A22),'NY East Load Projections'!$A$4:$EO$14,((MONTH($A22)-1)*12)+VLOOKUP(BV$4,$DE$6:$DF$17,2)+1))*(VLOOKUP($A22,SatSunCurve,7))*(INDEX(DailyScalarsTable,BV$5/100,MONTH($A22)))*$D22</f>
        <v>-7933.8390438567376</v>
      </c>
      <c r="BW22" s="1021">
        <f>(VLOOKUP(YEAR($A22),'NY East Load Projections'!$A$4:$EO$14,((MONTH($A22)-1)*12)+VLOOKUP(BW$4,$DE$6:$DF$17,2)+1))*(VLOOKUP($A22,SatSunCurve,7))*(INDEX(DailyScalarsTable,BW$5/100,MONTH($A22)))*$D22</f>
        <v>-7624.6440721131794</v>
      </c>
      <c r="BX22" s="1021">
        <f>(VLOOKUP(YEAR($A22),'NY East Load Projections'!$A$4:$EO$14,((MONTH($A22)-1)*12)+VLOOKUP(BX$4,$DE$6:$DF$17,2)+1))*(VLOOKUP($A22,SatSunCurve,7))*(INDEX(DailyScalarsTable,BX$5/100,MONTH($A22)))*$D22</f>
        <v>-6606.1194593108739</v>
      </c>
      <c r="BY22" s="1021">
        <f>(VLOOKUP(YEAR($A22),'NY East Load Projections'!$A$4:$EO$14,((MONTH($A22)-1)*12)+VLOOKUP(BY$4,$DE$6:$DF$17,2)+1))*(VLOOKUP($A22,SatSunCurve,7))*(INDEX(DailyScalarsTable,BY$5/100,MONTH($A22)))*$D22</f>
        <v>-6589.2306583332866</v>
      </c>
      <c r="BZ22" s="1021">
        <f>(VLOOKUP(YEAR($A22),'NY East Load Projections'!$A$4:$EO$14,((MONTH($A22)-1)*12)+VLOOKUP(BZ$4,$DE$6:$DF$17,2)+1))*(VLOOKUP($A22,SatSunCurve,7))*(INDEX(DailyScalarsTable,BZ$5/100,MONTH($A22)))*$D22</f>
        <v>-8490.2805101155009</v>
      </c>
      <c r="CA22" s="1021">
        <f>(VLOOKUP(YEAR($A22),'NY East Load Projections'!$A$4:$EO$14,((MONTH($A22)-1)*12)+VLOOKUP(CA$4,$DE$6:$DF$17,2)+1))*(VLOOKUP($A22,SatSunCurve,7))*(INDEX(DailyScalarsTable,CA$5/100,MONTH($A22)))*$D22</f>
        <v>-8098.1462966950921</v>
      </c>
      <c r="CB22" s="1021">
        <f>(VLOOKUP(YEAR($A22),'NY East Load Projections'!$A$4:$EO$14,((MONTH($A22)-1)*12)+VLOOKUP(CB$4,$DE$6:$DF$17,2)+1))*(VLOOKUP($A22,SatSunCurve,7))*(INDEX(DailyScalarsTable,CB$5/100,MONTH($A22)))*$D22</f>
        <v>-6496.399379336156</v>
      </c>
      <c r="CC22" s="1021">
        <f>(VLOOKUP(YEAR($A22),'NY East Load Projections'!$A$4:$EO$14,((MONTH($A22)-1)*12)+VLOOKUP(CC$4,$DE$6:$DF$17,2)+1))*(VLOOKUP($A22,CURVES!$D$9:$T$261,7))*(INDEX(DailyScalarsTable,CC$5/100,MONTH($A22)))*$D22</f>
        <v>-8679.0239492928613</v>
      </c>
      <c r="CE22" s="1021">
        <f>(VLOOKUP(YEAR($A22),'NY East Load Projections'!$A$4:$EO$14,((MONTH($A22)-1)*12)+VLOOKUP(CE$4,$DE$6:$DF$17,2)+1))*(VLOOKUP($A22,CURVES!$D$9:$T$261,7))*(INDEX(DailyScalarsTable,CE$5/100,MONTH($A22)))*$E22</f>
        <v>-1795.7371540517795</v>
      </c>
      <c r="CF22" s="1021">
        <f>(VLOOKUP(YEAR($A22),'NY East Load Projections'!$A$4:$EO$14,((MONTH($A22)-1)*12)+VLOOKUP(CF$4,$DE$6:$DF$17,2)+1))*(VLOOKUP($A22,CURVES!$D$9:$T$261,7))*(INDEX(DailyScalarsTable,CF$5/100,MONTH($A22)))*$E22</f>
        <v>-1617.5306315441467</v>
      </c>
      <c r="CG22" s="1021">
        <f>(VLOOKUP(YEAR($A22),'NY East Load Projections'!$A$4:$EO$14,((MONTH($A22)-1)*12)+VLOOKUP(CG$4,$DE$6:$DF$17,2)+1))*(VLOOKUP($A22,CURVES!$D$9:$T$261,7))*(INDEX(DailyScalarsTable,CG$5/100,MONTH($A22)))*$E22</f>
        <v>-1530.7845994240297</v>
      </c>
      <c r="CH22" s="1021">
        <f>(VLOOKUP(YEAR($A22),'NY East Load Projections'!$A$4:$EO$14,((MONTH($A22)-1)*12)+VLOOKUP(CH$4,$DE$6:$DF$17,2)+1))*(VLOOKUP($A22,CURVES!$D$9:$T$261,7))*(INDEX(DailyScalarsTable,CH$5/100,MONTH($A22)))*$E22</f>
        <v>-1484.1114625767918</v>
      </c>
      <c r="CI22" s="1021">
        <f>(VLOOKUP(YEAR($A22),'NY East Load Projections'!$A$4:$EO$14,((MONTH($A22)-1)*12)+VLOOKUP(CI$4,$DE$6:$DF$17,2)+1))*(VLOOKUP($A22,CURVES!$D$9:$T$261,7))*(INDEX(DailyScalarsTable,CI$5/100,MONTH($A22)))*$E22</f>
        <v>-1631.1053740761777</v>
      </c>
      <c r="CJ22" s="1021">
        <f>(VLOOKUP(YEAR($A22),'NY East Load Projections'!$A$4:$EO$14,((MONTH($A22)-1)*12)+VLOOKUP(CJ$4,$DE$6:$DF$17,2)+1))*(VLOOKUP($A22,CURVES!$D$9:$T$261,7))*(INDEX(DailyScalarsTable,CJ$5/100,MONTH($A22)))*$E22</f>
        <v>-1977.6195439209991</v>
      </c>
      <c r="CK22" s="1021">
        <f>(VLOOKUP(YEAR($A22),'NY East Load Projections'!$A$4:$EO$14,((MONTH($A22)-1)*12)+VLOOKUP(CK$4,$DE$6:$DF$17,2)+1))*(VLOOKUP($A22,CURVES!$D$9:$T$261,7))*(INDEX(DailyScalarsTable,CK$5/100,MONTH($A22)))*$E22</f>
        <v>-2366.2514581668497</v>
      </c>
      <c r="CL22" s="1021">
        <f>(VLOOKUP(YEAR($A22),'NY East Load Projections'!$A$4:$EO$14,((MONTH($A22)-1)*12)+VLOOKUP(CL$4,$DE$6:$DF$17,2)+1))*(VLOOKUP($A22,SatSunCurve,7))*(INDEX(DailyScalarsTable,CL$5/100,MONTH($A22)))*$E22</f>
        <v>-1849.8275280406733</v>
      </c>
      <c r="CM22" s="1021">
        <f>(VLOOKUP(YEAR($A22),'NY East Load Projections'!$A$4:$EO$14,((MONTH($A22)-1)*12)+VLOOKUP(CM$4,$DE$6:$DF$17,2)+1))*(VLOOKUP($A22,SatSunCurve,7))*(INDEX(DailyScalarsTable,CM$5/100,MONTH($A22)))*$E22</f>
        <v>-2265.1880595959419</v>
      </c>
      <c r="CN22" s="1021">
        <f>(VLOOKUP(YEAR($A22),'NY East Load Projections'!$A$4:$EO$14,((MONTH($A22)-1)*12)+VLOOKUP(CN$4,$DE$6:$DF$17,2)+1))*(VLOOKUP($A22,SatSunCurve,7))*(INDEX(DailyScalarsTable,CN$5/100,MONTH($A22)))*$E22</f>
        <v>-2305.364837297142</v>
      </c>
      <c r="CO22" s="1021">
        <f>(VLOOKUP(YEAR($A22),'NY East Load Projections'!$A$4:$EO$14,((MONTH($A22)-1)*12)+VLOOKUP(CO$4,$DE$6:$DF$17,2)+1))*(VLOOKUP($A22,SatSunCurve,7))*(INDEX(DailyScalarsTable,CO$5/100,MONTH($A22)))*$E22</f>
        <v>-2445.4502391933597</v>
      </c>
      <c r="CP22" s="1021">
        <f>(VLOOKUP(YEAR($A22),'NY East Load Projections'!$A$4:$EO$14,((MONTH($A22)-1)*12)+VLOOKUP(CP$4,$DE$6:$DF$17,2)+1))*(VLOOKUP($A22,SatSunCurve,7))*(INDEX(DailyScalarsTable,CP$5/100,MONTH($A22)))*$E22</f>
        <v>-2426.961810516701</v>
      </c>
      <c r="CQ22" s="1021">
        <f>(VLOOKUP(YEAR($A22),'NY East Load Projections'!$A$4:$EO$14,((MONTH($A22)-1)*12)+VLOOKUP(CQ$4,$DE$6:$DF$17,2)+1))*(VLOOKUP($A22,SatSunCurve,7))*(INDEX(DailyScalarsTable,CQ$5/100,MONTH($A22)))*$E22</f>
        <v>-2237.6624602366473</v>
      </c>
      <c r="CR22" s="1021">
        <f>(VLOOKUP(YEAR($A22),'NY East Load Projections'!$A$4:$EO$14,((MONTH($A22)-1)*12)+VLOOKUP(CR$4,$DE$6:$DF$17,2)+1))*(VLOOKUP($A22,SatSunCurve,7))*(INDEX(DailyScalarsTable,CR$5/100,MONTH($A22)))*$E22</f>
        <v>-2248.4472140095545</v>
      </c>
      <c r="CS22" s="1021">
        <f>(VLOOKUP(YEAR($A22),'NY East Load Projections'!$A$4:$EO$14,((MONTH($A22)-1)*12)+VLOOKUP(CS$4,$DE$6:$DF$17,2)+1))*(VLOOKUP($A22,SatSunCurve,7))*(INDEX(DailyScalarsTable,CS$5/100,MONTH($A22)))*$E22</f>
        <v>-2180.9555291081383</v>
      </c>
      <c r="CT22" s="1021">
        <f>(VLOOKUP(YEAR($A22),'NY East Load Projections'!$A$4:$EO$14,((MONTH($A22)-1)*12)+VLOOKUP(CT$4,$DE$6:$DF$17,2)+1))*(VLOOKUP($A22,SatSunCurve,7))*(INDEX(DailyScalarsTable,CT$5/100,MONTH($A22)))*$E22</f>
        <v>-2096.0690800568723</v>
      </c>
      <c r="CU22" s="1021">
        <f>(VLOOKUP(YEAR($A22),'NY East Load Projections'!$A$4:$EO$14,((MONTH($A22)-1)*12)+VLOOKUP(CU$4,$DE$6:$DF$17,2)+1))*(VLOOKUP($A22,SatSunCurve,7))*(INDEX(DailyScalarsTable,CU$5/100,MONTH($A22)))*$E22</f>
        <v>-1983.4597609641844</v>
      </c>
      <c r="CV22" s="1021">
        <f>(VLOOKUP(YEAR($A22),'NY East Load Projections'!$A$4:$EO$14,((MONTH($A22)-1)*12)+VLOOKUP(CV$4,$DE$6:$DF$17,2)+1))*(VLOOKUP($A22,SatSunCurve,7))*(INDEX(DailyScalarsTable,CV$5/100,MONTH($A22)))*$E22</f>
        <v>-1906.1610180282948</v>
      </c>
      <c r="CW22" s="1021">
        <f>(VLOOKUP(YEAR($A22),'NY East Load Projections'!$A$4:$EO$14,((MONTH($A22)-1)*12)+VLOOKUP(CW$4,$DE$6:$DF$17,2)+1))*(VLOOKUP($A22,SatSunCurve,7))*(INDEX(DailyScalarsTable,CW$5/100,MONTH($A22)))*$E22</f>
        <v>-1651.5298648277185</v>
      </c>
      <c r="CX22" s="1021">
        <f>(VLOOKUP(YEAR($A22),'NY East Load Projections'!$A$4:$EO$14,((MONTH($A22)-1)*12)+VLOOKUP(CX$4,$DE$6:$DF$17,2)+1))*(VLOOKUP($A22,SatSunCurve,7))*(INDEX(DailyScalarsTable,CX$5/100,MONTH($A22)))*$E22</f>
        <v>-1647.3076645833216</v>
      </c>
      <c r="CY22" s="1021">
        <f>(VLOOKUP(YEAR($A22),'NY East Load Projections'!$A$4:$EO$14,((MONTH($A22)-1)*12)+VLOOKUP(CY$4,$DE$6:$DF$17,2)+1))*(VLOOKUP($A22,SatSunCurve,7))*(INDEX(DailyScalarsTable,CY$5/100,MONTH($A22)))*$E22</f>
        <v>-2122.5701275288752</v>
      </c>
      <c r="CZ22" s="1021">
        <f>(VLOOKUP(YEAR($A22),'NY East Load Projections'!$A$4:$EO$14,((MONTH($A22)-1)*12)+VLOOKUP(CZ$4,$DE$6:$DF$17,2)+1))*(VLOOKUP($A22,SatSunCurve,7))*(INDEX(DailyScalarsTable,CZ$5/100,MONTH($A22)))*$E22</f>
        <v>-2024.536574173773</v>
      </c>
      <c r="DA22" s="1021">
        <f>(VLOOKUP(YEAR($A22),'NY East Load Projections'!$A$4:$EO$14,((MONTH($A22)-1)*12)+VLOOKUP(DA$4,$DE$6:$DF$17,2)+1))*(VLOOKUP($A22,SatSunCurve,7))*(INDEX(DailyScalarsTable,DA$5/100,MONTH($A22)))*$E22</f>
        <v>-1624.099844834039</v>
      </c>
      <c r="DB22" s="1021">
        <f>(VLOOKUP(YEAR($A22),'NY East Load Projections'!$A$4:$EO$14,((MONTH($A22)-1)*12)+VLOOKUP(DB$4,$DE$6:$DF$17,2)+1))*(VLOOKUP($A22,CURVES!$D$9:$T$261,7))*(INDEX(DailyScalarsTable,DB$5/100,MONTH($A22)))*$E22</f>
        <v>-2169.7559873232153</v>
      </c>
      <c r="DH22" s="1032">
        <f t="shared" si="0"/>
        <v>-1862607.1049921692</v>
      </c>
      <c r="DI22">
        <f ca="1">CALC!J42</f>
        <v>0.85185231085675739</v>
      </c>
      <c r="DJ22" s="1029">
        <f t="shared" ca="1" si="1"/>
        <v>-1586666.1666057943</v>
      </c>
    </row>
    <row r="23" spans="1:114" x14ac:dyDescent="0.25">
      <c r="A23" s="244">
        <v>37408</v>
      </c>
      <c r="B23" s="13">
        <v>20</v>
      </c>
      <c r="C23" s="210">
        <v>5</v>
      </c>
      <c r="D23" s="210">
        <v>5</v>
      </c>
      <c r="E23" s="210">
        <v>0</v>
      </c>
      <c r="F23" s="13">
        <v>30</v>
      </c>
      <c r="H23" s="1021">
        <f>(VLOOKUP(YEAR($A23),'NY East Load Projections'!$A$4:$EO$14,((MONTH($A23)-1)*12)+VLOOKUP(H$4,$DE$6:$DF$17,2)+1))*(VLOOKUP($A23,CURVES!$D$9:$K$261,7))*(INDEX(DailyScalarsTable,H$5/100,MONTH($A23)))*$B23</f>
        <v>-39328.202556475197</v>
      </c>
      <c r="I23" s="1021">
        <f>(VLOOKUP(YEAR($A23),'NY East Load Projections'!$A$4:$EO$14,((MONTH($A23)-1)*12)+VLOOKUP(I$4,$DE$6:$DF$17,2)+1))*(VLOOKUP($A23,CURVES!$D$9:$K$261,7))*(INDEX(DailyScalarsTable,I$5/100,MONTH($A23)))*$B23</f>
        <v>-32583.924155441568</v>
      </c>
      <c r="J23" s="1021">
        <f>(VLOOKUP(YEAR($A23),'NY East Load Projections'!$A$4:$EO$14,((MONTH($A23)-1)*12)+VLOOKUP(J$4,$DE$6:$DF$17,2)+1))*(VLOOKUP($A23,CURVES!$D$9:$K$261,7))*(INDEX(DailyScalarsTable,J$5/100,MONTH($A23)))*$B23</f>
        <v>-27389.823177929098</v>
      </c>
      <c r="K23" s="1021">
        <f>(VLOOKUP(YEAR($A23),'NY East Load Projections'!$A$4:$EO$14,((MONTH($A23)-1)*12)+VLOOKUP(K$4,$DE$6:$DF$17,2)+1))*(VLOOKUP($A23,CURVES!$D$9:$K$261,7))*(INDEX(DailyScalarsTable,K$5/100,MONTH($A23)))*$B23</f>
        <v>-25426.936180613346</v>
      </c>
      <c r="L23" s="1021">
        <f>(VLOOKUP(YEAR($A23),'NY East Load Projections'!$A$4:$EO$14,((MONTH($A23)-1)*12)+VLOOKUP(L$4,$DE$6:$DF$17,2)+1))*(VLOOKUP($A23,CURVES!$D$9:$K$261,7))*(INDEX(DailyScalarsTable,L$5/100,MONTH($A23)))*$B23</f>
        <v>-28548.037393718179</v>
      </c>
      <c r="M23" s="1021">
        <f>(VLOOKUP(YEAR($A23),'NY East Load Projections'!$A$4:$EO$14,((MONTH($A23)-1)*12)+VLOOKUP(M$4,$DE$6:$DF$17,2)+1))*(VLOOKUP($A23,CURVES!$D$9:$K$261,7))*(INDEX(DailyScalarsTable,M$5/100,MONTH($A23)))*$B23</f>
        <v>-34830.689418686081</v>
      </c>
      <c r="N23" s="1021">
        <f>(VLOOKUP(YEAR($A23),'NY East Load Projections'!$A$4:$EO$14,((MONTH($A23)-1)*12)+VLOOKUP(N$4,$DE$6:$DF$17,2)+1))*(VLOOKUP($A23,CURVES!$D$9:$K$261,7))*(INDEX(DailyScalarsTable,N$5/100,MONTH($A23)))*$B23</f>
        <v>-39935.995375956845</v>
      </c>
      <c r="O23" s="1021">
        <f>(VLOOKUP(YEAR($A23),'NY East Load Projections'!$A$4:$EO$14,((MONTH($A23)-1)*12)+VLOOKUP(O$4,$DE$6:$DF$17,2)+1))*(VLOOKUP($A23,CURVES!$D$9:$K$261,3))*(INDEX(DailyScalarsTable,O$5/100,MONTH($A23)))*$B23</f>
        <v>-58296.299191202917</v>
      </c>
      <c r="P23" s="1021">
        <f>(VLOOKUP(YEAR($A23),'NY East Load Projections'!$A$4:$EO$14,((MONTH($A23)-1)*12)+VLOOKUP(P$4,$DE$6:$DF$17,2)+1))*(VLOOKUP($A23,CURVES!$D$9:$K$261,3))*(INDEX(DailyScalarsTable,P$5/100,MONTH($A23)))*$B23</f>
        <v>-72334.855700325061</v>
      </c>
      <c r="Q23" s="1021">
        <f>(VLOOKUP(YEAR($A23),'NY East Load Projections'!$A$4:$EO$14,((MONTH($A23)-1)*12)+VLOOKUP(Q$4,$DE$6:$DF$17,2)+1))*(VLOOKUP($A23,CURVES!$D$9:$K$261,3))*(INDEX(DailyScalarsTable,Q$5/100,MONTH($A23)))*$B23</f>
        <v>-80905.997234666793</v>
      </c>
      <c r="R23" s="1021">
        <f>(VLOOKUP(YEAR($A23),'NY East Load Projections'!$A$4:$EO$14,((MONTH($A23)-1)*12)+VLOOKUP(R$4,$DE$6:$DF$17,2)+1))*(VLOOKUP($A23,CURVES!$D$9:$K$261,3))*(INDEX(DailyScalarsTable,R$5/100,MONTH($A23)))*$B23</f>
        <v>-93065.353346255157</v>
      </c>
      <c r="S23" s="1021">
        <f>(VLOOKUP(YEAR($A23),'NY East Load Projections'!$A$4:$EO$14,((MONTH($A23)-1)*12)+VLOOKUP(S$4,$DE$6:$DF$17,2)+1))*(VLOOKUP($A23,CURVES!$D$9:$K$261,3))*(INDEX(DailyScalarsTable,S$5/100,MONTH($A23)))*$B23</f>
        <v>-100368.57453528012</v>
      </c>
      <c r="T23" s="1021">
        <f>(VLOOKUP(YEAR($A23),'NY East Load Projections'!$A$4:$EO$14,((MONTH($A23)-1)*12)+VLOOKUP(T$4,$DE$6:$DF$17,2)+1))*(VLOOKUP($A23,CURVES!$D$9:$K$261,3))*(INDEX(DailyScalarsTable,T$5/100,MONTH($A23)))*$B23</f>
        <v>-104907.32117585419</v>
      </c>
      <c r="U23" s="1021">
        <f>(VLOOKUP(YEAR($A23),'NY East Load Projections'!$A$4:$EO$14,((MONTH($A23)-1)*12)+VLOOKUP(U$4,$DE$6:$DF$17,2)+1))*(VLOOKUP($A23,CURVES!$D$9:$K$261,3))*(INDEX(DailyScalarsTable,U$5/100,MONTH($A23)))*$B23</f>
        <v>-116015.30521963841</v>
      </c>
      <c r="V23" s="1021">
        <f>(VLOOKUP(YEAR($A23),'NY East Load Projections'!$A$4:$EO$14,((MONTH($A23)-1)*12)+VLOOKUP(V$4,$DE$6:$DF$17,2)+1))*(VLOOKUP($A23,CURVES!$D$9:$K$261,3))*(INDEX(DailyScalarsTable,V$5/100,MONTH($A23)))*$B23</f>
        <v>-116908.02494761192</v>
      </c>
      <c r="W23" s="1021">
        <f>(VLOOKUP(YEAR($A23),'NY East Load Projections'!$A$4:$EO$14,((MONTH($A23)-1)*12)+VLOOKUP(W$4,$DE$6:$DF$17,2)+1))*(VLOOKUP($A23,CURVES!$D$9:$K$261,3))*(INDEX(DailyScalarsTable,W$5/100,MONTH($A23)))*$B23</f>
        <v>-117099.32203217762</v>
      </c>
      <c r="X23" s="1021">
        <f>(VLOOKUP(YEAR($A23),'NY East Load Projections'!$A$4:$EO$14,((MONTH($A23)-1)*12)+VLOOKUP(X$4,$DE$6:$DF$17,2)+1))*(VLOOKUP($A23,CURVES!$D$9:$K$261,3))*(INDEX(DailyScalarsTable,X$5/100,MONTH($A23)))*$B23</f>
        <v>-115589.13766383046</v>
      </c>
      <c r="Y23" s="1021">
        <f>(VLOOKUP(YEAR($A23),'NY East Load Projections'!$A$4:$EO$14,((MONTH($A23)-1)*12)+VLOOKUP(Y$4,$DE$6:$DF$17,2)+1))*(VLOOKUP($A23,CURVES!$D$9:$K$261,3))*(INDEX(DailyScalarsTable,Y$5/100,MONTH($A23)))*$B23</f>
        <v>-112157.75934072668</v>
      </c>
      <c r="Z23" s="1021">
        <f>(VLOOKUP(YEAR($A23),'NY East Load Projections'!$A$4:$EO$14,((MONTH($A23)-1)*12)+VLOOKUP(Z$4,$DE$6:$DF$17,2)+1))*(VLOOKUP($A23,CURVES!$D$9:$K$261,3))*(INDEX(DailyScalarsTable,Z$5/100,MONTH($A23)))*$B23</f>
        <v>-95768.90186250917</v>
      </c>
      <c r="AA23" s="1021">
        <f>(VLOOKUP(YEAR($A23),'NY East Load Projections'!$A$4:$EO$14,((MONTH($A23)-1)*12)+VLOOKUP(AA$4,$DE$6:$DF$17,2)+1))*(VLOOKUP($A23,CURVES!$D$9:$K$261,3))*(INDEX(DailyScalarsTable,AA$5/100,MONTH($A23)))*$B23</f>
        <v>-76580.436077355043</v>
      </c>
      <c r="AB23" s="1021">
        <f>(VLOOKUP(YEAR($A23),'NY East Load Projections'!$A$4:$EO$14,((MONTH($A23)-1)*12)+VLOOKUP(AB$4,$DE$6:$DF$17,2)+1))*(VLOOKUP($A23,CURVES!$D$9:$K$261,3))*(INDEX(DailyScalarsTable,AB$5/100,MONTH($A23)))*$B23</f>
        <v>-80340.248185310658</v>
      </c>
      <c r="AC23" s="1021">
        <f>(VLOOKUP(YEAR($A23),'NY East Load Projections'!$A$4:$EO$14,((MONTH($A23)-1)*12)+VLOOKUP(AC$4,$DE$6:$DF$17,2)+1))*(VLOOKUP($A23,CURVES!$D$9:$K$261,3))*(INDEX(DailyScalarsTable,AC$5/100,MONTH($A23)))*$B23</f>
        <v>-81859.035252821021</v>
      </c>
      <c r="AD23" s="1021">
        <f>(VLOOKUP(YEAR($A23),'NY East Load Projections'!$A$4:$EO$14,((MONTH($A23)-1)*12)+VLOOKUP(AD$4,$DE$6:$DF$17,2)+1))*(VLOOKUP($A23,CURVES!$D$9:$K$261,3))*(INDEX(DailyScalarsTable,AD$5/100,MONTH($A23)))*$B23</f>
        <v>-65642.694594994085</v>
      </c>
      <c r="AE23" s="1021">
        <f>(VLOOKUP(YEAR($A23),'NY East Load Projections'!$A$4:$EO$14,((MONTH($A23)-1)*12)+VLOOKUP(AE$4,$DE$6:$DF$17,2)+1))*(VLOOKUP($A23,CURVES!$D$9:$K$261,7))*(INDEX(DailyScalarsTable,AE$5/100,MONTH($A23)))*$B23</f>
        <v>-48907.451066415568</v>
      </c>
      <c r="AF23" s="1021"/>
      <c r="AG23" s="1021">
        <f>(VLOOKUP(YEAR($A23),'NY East Load Projections'!$A$4:$EO$14,((MONTH($A23)-1)*12)+VLOOKUP(AG$4,$DE$6:$DF$17,2)+1))*(VLOOKUP($A23,CURVES!$D$9:$T$261,7))*(INDEX(DailyScalarsTable,AG$5/100,MONTH($A23)))*$C23</f>
        <v>-10003.491945891983</v>
      </c>
      <c r="AH23" s="1021">
        <f>(VLOOKUP(YEAR($A23),'NY East Load Projections'!$A$4:$EO$14,((MONTH($A23)-1)*12)+VLOOKUP(AH$4,$DE$6:$DF$17,2)+1))*(VLOOKUP($A23,CURVES!$D$9:$T$261,7))*(INDEX(DailyScalarsTable,AH$5/100,MONTH($A23)))*$C23</f>
        <v>-8288.0223774897222</v>
      </c>
      <c r="AI23" s="1021">
        <f>(VLOOKUP(YEAR($A23),'NY East Load Projections'!$A$4:$EO$14,((MONTH($A23)-1)*12)+VLOOKUP(AI$4,$DE$6:$DF$17,2)+1))*(VLOOKUP($A23,CURVES!$D$9:$T$261,7))*(INDEX(DailyScalarsTable,AI$5/100,MONTH($A23)))*$C23</f>
        <v>-6966.8547695858924</v>
      </c>
      <c r="AJ23" s="1021">
        <f>(VLOOKUP(YEAR($A23),'NY East Load Projections'!$A$4:$EO$14,((MONTH($A23)-1)*12)+VLOOKUP(AJ$4,$DE$6:$DF$17,2)+1))*(VLOOKUP($A23,CURVES!$D$9:$T$261,7))*(INDEX(DailyScalarsTable,AJ$5/100,MONTH($A23)))*$C23</f>
        <v>-6467.5763131106087</v>
      </c>
      <c r="AK23" s="1021">
        <f>(VLOOKUP(YEAR($A23),'NY East Load Projections'!$A$4:$EO$14,((MONTH($A23)-1)*12)+VLOOKUP(AK$4,$DE$6:$DF$17,2)+1))*(VLOOKUP($A23,CURVES!$D$9:$T$261,7))*(INDEX(DailyScalarsTable,AK$5/100,MONTH($A23)))*$C23</f>
        <v>-7091.4754909765907</v>
      </c>
      <c r="AL23" s="1021">
        <f>(VLOOKUP(YEAR($A23),'NY East Load Projections'!$A$4:$EO$14,((MONTH($A23)-1)*12)+VLOOKUP(AL$4,$DE$6:$DF$17,2)+1))*(VLOOKUP($A23,CURVES!$D$9:$T$261,7))*(INDEX(DailyScalarsTable,AL$5/100,MONTH($A23)))*$C23</f>
        <v>-8652.117724939686</v>
      </c>
      <c r="AM23" s="1021">
        <f>(VLOOKUP(YEAR($A23),'NY East Load Projections'!$A$4:$EO$14,((MONTH($A23)-1)*12)+VLOOKUP(AM$4,$DE$6:$DF$17,2)+1))*(VLOOKUP($A23,CURVES!$D$9:$T$261,7))*(INDEX(DailyScalarsTable,AM$5/100,MONTH($A23)))*$C23</f>
        <v>-9920.3012981435277</v>
      </c>
      <c r="AN23" s="1021">
        <f>(VLOOKUP(YEAR($A23),'NY East Load Projections'!$A$4:$EO$14,((MONTH($A23)-1)*12)+VLOOKUP(AN$4,$DE$6:$DF$17,2)+1))*(VLOOKUP($A23,SatSunCurve,3))*(INDEX(DailyScalarsTable,AN$5/100,MONTH($A23)))*$C23</f>
        <v>-7585.1090963561783</v>
      </c>
      <c r="AO23" s="1021">
        <f>(VLOOKUP(YEAR($A23),'NY East Load Projections'!$A$4:$EO$14,((MONTH($A23)-1)*12)+VLOOKUP(AO$4,$DE$6:$DF$17,2)+1))*(VLOOKUP($A23,SatSunCurve,3))*(INDEX(DailyScalarsTable,AO$5/100,MONTH($A23)))*$C23</f>
        <v>-9378.8340015170215</v>
      </c>
      <c r="AP23" s="1021">
        <f>(VLOOKUP(YEAR($A23),'NY East Load Projections'!$A$4:$EO$14,((MONTH($A23)-1)*12)+VLOOKUP(AP$4,$DE$6:$DF$17,2)+1))*(VLOOKUP($A23,SatSunCurve,3))*(INDEX(DailyScalarsTable,AP$5/100,MONTH($A23)))*$C23</f>
        <v>-10490.155962082399</v>
      </c>
      <c r="AQ23" s="1021">
        <f>(VLOOKUP(YEAR($A23),'NY East Load Projections'!$A$4:$EO$14,((MONTH($A23)-1)*12)+VLOOKUP(AQ$4,$DE$6:$DF$17,2)+1))*(VLOOKUP($A23,SatSunCurve,3))*(INDEX(DailyScalarsTable,AQ$5/100,MONTH($A23)))*$C23</f>
        <v>-12066.720696079738</v>
      </c>
      <c r="AR23" s="1021">
        <f>(VLOOKUP(YEAR($A23),'NY East Load Projections'!$A$4:$EO$14,((MONTH($A23)-1)*12)+VLOOKUP(AR$4,$DE$6:$DF$17,2)+1))*(VLOOKUP($A23,SatSunCurve,3))*(INDEX(DailyScalarsTable,AR$5/100,MONTH($A23)))*$C23</f>
        <v>-13013.645916916517</v>
      </c>
      <c r="AS23" s="1021">
        <f>(VLOOKUP(YEAR($A23),'NY East Load Projections'!$A$4:$EO$14,((MONTH($A23)-1)*12)+VLOOKUP(AS$4,$DE$6:$DF$17,2)+1))*(VLOOKUP($A23,SatSunCurve,3))*(INDEX(DailyScalarsTable,AS$5/100,MONTH($A23)))*$C23</f>
        <v>-13644.539589447942</v>
      </c>
      <c r="AT23" s="1021">
        <f>(VLOOKUP(YEAR($A23),'NY East Load Projections'!$A$4:$EO$14,((MONTH($A23)-1)*12)+VLOOKUP(AT$4,$DE$6:$DF$17,2)+1))*(VLOOKUP($A23,SatSunCurve,3))*(INDEX(DailyScalarsTable,AT$5/100,MONTH($A23)))*$C23</f>
        <v>-15089.275060200333</v>
      </c>
      <c r="AU23" s="1021">
        <f>(VLOOKUP(YEAR($A23),'NY East Load Projections'!$A$4:$EO$14,((MONTH($A23)-1)*12)+VLOOKUP(AU$4,$DE$6:$DF$17,2)+1))*(VLOOKUP($A23,SatSunCurve,3))*(INDEX(DailyScalarsTable,AU$5/100,MONTH($A23)))*$C23</f>
        <v>-15205.384684715453</v>
      </c>
      <c r="AV23" s="1021">
        <f>(VLOOKUP(YEAR($A23),'NY East Load Projections'!$A$4:$EO$14,((MONTH($A23)-1)*12)+VLOOKUP(AV$4,$DE$6:$DF$17,2)+1))*(VLOOKUP($A23,SatSunCurve,3))*(INDEX(DailyScalarsTable,AV$5/100,MONTH($A23)))*$C23</f>
        <v>-15230.265318540116</v>
      </c>
      <c r="AW23" s="1021">
        <f>(VLOOKUP(YEAR($A23),'NY East Load Projections'!$A$4:$EO$14,((MONTH($A23)-1)*12)+VLOOKUP(AW$4,$DE$6:$DF$17,2)+1))*(VLOOKUP($A23,SatSunCurve,3))*(INDEX(DailyScalarsTable,AW$5/100,MONTH($A23)))*$C23</f>
        <v>-15114.973590823723</v>
      </c>
      <c r="AX23" s="1021">
        <f>(VLOOKUP(YEAR($A23),'NY East Load Projections'!$A$4:$EO$14,((MONTH($A23)-1)*12)+VLOOKUP(AX$4,$DE$6:$DF$17,2)+1))*(VLOOKUP($A23,SatSunCurve,3))*(INDEX(DailyScalarsTable,AX$5/100,MONTH($A23)))*$C23</f>
        <v>-14666.270591717712</v>
      </c>
      <c r="AY23" s="1021">
        <f>(VLOOKUP(YEAR($A23),'NY East Load Projections'!$A$4:$EO$14,((MONTH($A23)-1)*12)+VLOOKUP(AY$4,$DE$6:$DF$17,2)+1))*(VLOOKUP($A23,SatSunCurve,3))*(INDEX(DailyScalarsTable,AY$5/100,MONTH($A23)))*$C23</f>
        <v>-12523.18731439912</v>
      </c>
      <c r="AZ23" s="1021">
        <f>(VLOOKUP(YEAR($A23),'NY East Load Projections'!$A$4:$EO$14,((MONTH($A23)-1)*12)+VLOOKUP(AZ$4,$DE$6:$DF$17,2)+1))*(VLOOKUP($A23,SatSunCurve,3))*(INDEX(DailyScalarsTable,AZ$5/100,MONTH($A23)))*$C23</f>
        <v>-10014.014225535555</v>
      </c>
      <c r="BA23" s="1021">
        <f>(VLOOKUP(YEAR($A23),'NY East Load Projections'!$A$4:$EO$14,((MONTH($A23)-1)*12)+VLOOKUP(BA$4,$DE$6:$DF$17,2)+1))*(VLOOKUP($A23,SatSunCurve,3))*(INDEX(DailyScalarsTable,BA$5/100,MONTH($A23)))*$C23</f>
        <v>-10538.180230878766</v>
      </c>
      <c r="BB23" s="1021">
        <f>(VLOOKUP(YEAR($A23),'NY East Load Projections'!$A$4:$EO$14,((MONTH($A23)-1)*12)+VLOOKUP(BB$4,$DE$6:$DF$17,2)+1))*(VLOOKUP($A23,SatSunCurve,3))*(INDEX(DailyScalarsTable,BB$5/100,MONTH($A23)))*$C23</f>
        <v>-10737.398582965936</v>
      </c>
      <c r="BC23" s="1021">
        <f>(VLOOKUP(YEAR($A23),'NY East Load Projections'!$A$4:$EO$14,((MONTH($A23)-1)*12)+VLOOKUP(BC$4,$DE$6:$DF$17,2)+1))*(VLOOKUP($A23,SatSunCurve,3))*(INDEX(DailyScalarsTable,BC$5/100,MONTH($A23)))*$C23</f>
        <v>-8610.3112961139541</v>
      </c>
      <c r="BD23" s="1021">
        <f>(VLOOKUP(YEAR($A23),'NY East Load Projections'!$A$4:$EO$14,((MONTH($A23)-1)*12)+VLOOKUP(BD$4,$DE$6:$DF$17,2)+1))*(VLOOKUP($A23,CURVES!$D$9:$T$261,7))*(INDEX(DailyScalarsTable,BD$5/100,MONTH($A23)))*$C23</f>
        <v>-12247.486941720017</v>
      </c>
      <c r="BE23" s="1021"/>
      <c r="BF23" s="1021">
        <f>(VLOOKUP(YEAR($A23),'NY East Load Projections'!$A$4:$EO$14,((MONTH($A23)-1)*12)+VLOOKUP(BF$4,$DE$6:$DF$17,2)+1))*(VLOOKUP($A23,CURVES!$D$9:$T$261,7))*(INDEX(DailyScalarsTable,BF$5/100,MONTH($A23)))*$D23</f>
        <v>-10003.491945891983</v>
      </c>
      <c r="BG23" s="1021">
        <f>(VLOOKUP(YEAR($A23),'NY East Load Projections'!$A$4:$EO$14,((MONTH($A23)-1)*12)+VLOOKUP(BG$4,$DE$6:$DF$17,2)+1))*(VLOOKUP($A23,CURVES!$D$9:$T$261,7))*(INDEX(DailyScalarsTable,BG$5/100,MONTH($A23)))*$D23</f>
        <v>-8288.0223774897222</v>
      </c>
      <c r="BH23" s="1021">
        <f>(VLOOKUP(YEAR($A23),'NY East Load Projections'!$A$4:$EO$14,((MONTH($A23)-1)*12)+VLOOKUP(BH$4,$DE$6:$DF$17,2)+1))*(VLOOKUP($A23,CURVES!$D$9:$T$261,7))*(INDEX(DailyScalarsTable,BH$5/100,MONTH($A23)))*$D23</f>
        <v>-6966.8547695858924</v>
      </c>
      <c r="BI23" s="1021">
        <f>(VLOOKUP(YEAR($A23),'NY East Load Projections'!$A$4:$EO$14,((MONTH($A23)-1)*12)+VLOOKUP(BI$4,$DE$6:$DF$17,2)+1))*(VLOOKUP($A23,CURVES!$D$9:$T$261,7))*(INDEX(DailyScalarsTable,BI$5/100,MONTH($A23)))*$D23</f>
        <v>-6467.5763131106087</v>
      </c>
      <c r="BJ23" s="1021">
        <f>(VLOOKUP(YEAR($A23),'NY East Load Projections'!$A$4:$EO$14,((MONTH($A23)-1)*12)+VLOOKUP(BJ$4,$DE$6:$DF$17,2)+1))*(VLOOKUP($A23,CURVES!$D$9:$T$261,7))*(INDEX(DailyScalarsTable,BJ$5/100,MONTH($A23)))*$D23</f>
        <v>-7091.4754909765907</v>
      </c>
      <c r="BK23" s="1021">
        <f>(VLOOKUP(YEAR($A23),'NY East Load Projections'!$A$4:$EO$14,((MONTH($A23)-1)*12)+VLOOKUP(BK$4,$DE$6:$DF$17,2)+1))*(VLOOKUP($A23,CURVES!$D$9:$T$261,7))*(INDEX(DailyScalarsTable,BK$5/100,MONTH($A23)))*$D23</f>
        <v>-8652.117724939686</v>
      </c>
      <c r="BL23" s="1021">
        <f>(VLOOKUP(YEAR($A23),'NY East Load Projections'!$A$4:$EO$14,((MONTH($A23)-1)*12)+VLOOKUP(BL$4,$DE$6:$DF$17,2)+1))*(VLOOKUP($A23,CURVES!$D$9:$T$261,7))*(INDEX(DailyScalarsTable,BL$5/100,MONTH($A23)))*$D23</f>
        <v>-9920.3012981435277</v>
      </c>
      <c r="BM23" s="1021">
        <f>(VLOOKUP(YEAR($A23),'NY East Load Projections'!$A$4:$EO$14,((MONTH($A23)-1)*12)+VLOOKUP(BM$4,$DE$6:$DF$17,2)+1))*(VLOOKUP($A23,SatSunCurve,7))*(INDEX(DailyScalarsTable,BM$5/100,MONTH($A23)))*$D23</f>
        <v>-5688.3768475224551</v>
      </c>
      <c r="BN23" s="1021">
        <f>(VLOOKUP(YEAR($A23),'NY East Load Projections'!$A$4:$EO$14,((MONTH($A23)-1)*12)+VLOOKUP(BN$4,$DE$6:$DF$17,2)+1))*(VLOOKUP($A23,SatSunCurve,7))*(INDEX(DailyScalarsTable,BN$5/100,MONTH($A23)))*$D23</f>
        <v>-7033.5629340670748</v>
      </c>
      <c r="BO23" s="1021">
        <f>(VLOOKUP(YEAR($A23),'NY East Load Projections'!$A$4:$EO$14,((MONTH($A23)-1)*12)+VLOOKUP(BO$4,$DE$6:$DF$17,2)+1))*(VLOOKUP($A23,SatSunCurve,7))*(INDEX(DailyScalarsTable,BO$5/100,MONTH($A23)))*$D23</f>
        <v>-7866.987744484135</v>
      </c>
      <c r="BP23" s="1021">
        <f>(VLOOKUP(YEAR($A23),'NY East Load Projections'!$A$4:$EO$14,((MONTH($A23)-1)*12)+VLOOKUP(BP$4,$DE$6:$DF$17,2)+1))*(VLOOKUP($A23,SatSunCurve,7))*(INDEX(DailyScalarsTable,BP$5/100,MONTH($A23)))*$D23</f>
        <v>-9049.316728492955</v>
      </c>
      <c r="BQ23" s="1021">
        <f>(VLOOKUP(YEAR($A23),'NY East Load Projections'!$A$4:$EO$14,((MONTH($A23)-1)*12)+VLOOKUP(BQ$4,$DE$6:$DF$17,2)+1))*(VLOOKUP($A23,SatSunCurve,7))*(INDEX(DailyScalarsTable,BQ$5/100,MONTH($A23)))*$D23</f>
        <v>-9759.4538450613418</v>
      </c>
      <c r="BR23" s="1021">
        <f>(VLOOKUP(YEAR($A23),'NY East Load Projections'!$A$4:$EO$14,((MONTH($A23)-1)*12)+VLOOKUP(BR$4,$DE$6:$DF$17,2)+1))*(VLOOKUP($A23,SatSunCurve,7))*(INDEX(DailyScalarsTable,BR$5/100,MONTH($A23)))*$D23</f>
        <v>-10232.586256802153</v>
      </c>
      <c r="BS23" s="1021">
        <f>(VLOOKUP(YEAR($A23),'NY East Load Projections'!$A$4:$EO$14,((MONTH($A23)-1)*12)+VLOOKUP(BS$4,$DE$6:$DF$17,2)+1))*(VLOOKUP($A23,SatSunCurve,7))*(INDEX(DailyScalarsTable,BS$5/100,MONTH($A23)))*$D23</f>
        <v>-11316.051200842354</v>
      </c>
      <c r="BT23" s="1021">
        <f>(VLOOKUP(YEAR($A23),'NY East Load Projections'!$A$4:$EO$14,((MONTH($A23)-1)*12)+VLOOKUP(BT$4,$DE$6:$DF$17,2)+1))*(VLOOKUP($A23,SatSunCurve,7))*(INDEX(DailyScalarsTable,BT$5/100,MONTH($A23)))*$D23</f>
        <v>-11403.126454668778</v>
      </c>
      <c r="BU23" s="1021">
        <f>(VLOOKUP(YEAR($A23),'NY East Load Projections'!$A$4:$EO$14,((MONTH($A23)-1)*12)+VLOOKUP(BU$4,$DE$6:$DF$17,2)+1))*(VLOOKUP($A23,SatSunCurve,7))*(INDEX(DailyScalarsTable,BU$5/100,MONTH($A23)))*$D23</f>
        <v>-11421.785437631579</v>
      </c>
      <c r="BV23" s="1021">
        <f>(VLOOKUP(YEAR($A23),'NY East Load Projections'!$A$4:$EO$14,((MONTH($A23)-1)*12)+VLOOKUP(BV$4,$DE$6:$DF$17,2)+1))*(VLOOKUP($A23,SatSunCurve,7))*(INDEX(DailyScalarsTable,BV$5/100,MONTH($A23)))*$D23</f>
        <v>-11335.323557344604</v>
      </c>
      <c r="BW23" s="1021">
        <f>(VLOOKUP(YEAR($A23),'NY East Load Projections'!$A$4:$EO$14,((MONTH($A23)-1)*12)+VLOOKUP(BW$4,$DE$6:$DF$17,2)+1))*(VLOOKUP($A23,SatSunCurve,7))*(INDEX(DailyScalarsTable,BW$5/100,MONTH($A23)))*$D23</f>
        <v>-10998.823222398245</v>
      </c>
      <c r="BX23" s="1021">
        <f>(VLOOKUP(YEAR($A23),'NY East Load Projections'!$A$4:$EO$14,((MONTH($A23)-1)*12)+VLOOKUP(BX$4,$DE$6:$DF$17,2)+1))*(VLOOKUP($A23,SatSunCurve,7))*(INDEX(DailyScalarsTable,BX$5/100,MONTH($A23)))*$D23</f>
        <v>-9391.6393121670917</v>
      </c>
      <c r="BY23" s="1021">
        <f>(VLOOKUP(YEAR($A23),'NY East Load Projections'!$A$4:$EO$14,((MONTH($A23)-1)*12)+VLOOKUP(BY$4,$DE$6:$DF$17,2)+1))*(VLOOKUP($A23,SatSunCurve,7))*(INDEX(DailyScalarsTable,BY$5/100,MONTH($A23)))*$D23</f>
        <v>-7509.910002304614</v>
      </c>
      <c r="BZ23" s="1021">
        <f>(VLOOKUP(YEAR($A23),'NY East Load Projections'!$A$4:$EO$14,((MONTH($A23)-1)*12)+VLOOKUP(BZ$4,$DE$6:$DF$17,2)+1))*(VLOOKUP($A23,SatSunCurve,7))*(INDEX(DailyScalarsTable,BZ$5/100,MONTH($A23)))*$D23</f>
        <v>-7903.0030654597622</v>
      </c>
      <c r="CA23" s="1021">
        <f>(VLOOKUP(YEAR($A23),'NY East Load Projections'!$A$4:$EO$14,((MONTH($A23)-1)*12)+VLOOKUP(CA$4,$DE$6:$DF$17,2)+1))*(VLOOKUP($A23,SatSunCurve,7))*(INDEX(DailyScalarsTable,CA$5/100,MONTH($A23)))*$D23</f>
        <v>-8052.4048798856929</v>
      </c>
      <c r="CB23" s="1021">
        <f>(VLOOKUP(YEAR($A23),'NY East Load Projections'!$A$4:$EO$14,((MONTH($A23)-1)*12)+VLOOKUP(CB$4,$DE$6:$DF$17,2)+1))*(VLOOKUP($A23,SatSunCurve,7))*(INDEX(DailyScalarsTable,CB$5/100,MONTH($A23)))*$D23</f>
        <v>-6457.2170030230191</v>
      </c>
      <c r="CC23" s="1021">
        <f>(VLOOKUP(YEAR($A23),'NY East Load Projections'!$A$4:$EO$14,((MONTH($A23)-1)*12)+VLOOKUP(CC$4,$DE$6:$DF$17,2)+1))*(VLOOKUP($A23,CURVES!$D$9:$T$261,7))*(INDEX(DailyScalarsTable,CC$5/100,MONTH($A23)))*$D23</f>
        <v>-12247.486941720017</v>
      </c>
      <c r="CE23" s="1021">
        <f>(VLOOKUP(YEAR($A23),'NY East Load Projections'!$A$4:$EO$14,((MONTH($A23)-1)*12)+VLOOKUP(CE$4,$DE$6:$DF$17,2)+1))*(VLOOKUP($A23,CURVES!$D$9:$T$261,7))*(INDEX(DailyScalarsTable,CE$5/100,MONTH($A23)))*$E23</f>
        <v>0</v>
      </c>
      <c r="CF23" s="1021">
        <f>(VLOOKUP(YEAR($A23),'NY East Load Projections'!$A$4:$EO$14,((MONTH($A23)-1)*12)+VLOOKUP(CF$4,$DE$6:$DF$17,2)+1))*(VLOOKUP($A23,CURVES!$D$9:$T$261,7))*(INDEX(DailyScalarsTable,CF$5/100,MONTH($A23)))*$E23</f>
        <v>0</v>
      </c>
      <c r="CG23" s="1021">
        <f>(VLOOKUP(YEAR($A23),'NY East Load Projections'!$A$4:$EO$14,((MONTH($A23)-1)*12)+VLOOKUP(CG$4,$DE$6:$DF$17,2)+1))*(VLOOKUP($A23,CURVES!$D$9:$T$261,7))*(INDEX(DailyScalarsTable,CG$5/100,MONTH($A23)))*$E23</f>
        <v>0</v>
      </c>
      <c r="CH23" s="1021">
        <f>(VLOOKUP(YEAR($A23),'NY East Load Projections'!$A$4:$EO$14,((MONTH($A23)-1)*12)+VLOOKUP(CH$4,$DE$6:$DF$17,2)+1))*(VLOOKUP($A23,CURVES!$D$9:$T$261,7))*(INDEX(DailyScalarsTable,CH$5/100,MONTH($A23)))*$E23</f>
        <v>0</v>
      </c>
      <c r="CI23" s="1021">
        <f>(VLOOKUP(YEAR($A23),'NY East Load Projections'!$A$4:$EO$14,((MONTH($A23)-1)*12)+VLOOKUP(CI$4,$DE$6:$DF$17,2)+1))*(VLOOKUP($A23,CURVES!$D$9:$T$261,7))*(INDEX(DailyScalarsTable,CI$5/100,MONTH($A23)))*$E23</f>
        <v>0</v>
      </c>
      <c r="CJ23" s="1021">
        <f>(VLOOKUP(YEAR($A23),'NY East Load Projections'!$A$4:$EO$14,((MONTH($A23)-1)*12)+VLOOKUP(CJ$4,$DE$6:$DF$17,2)+1))*(VLOOKUP($A23,CURVES!$D$9:$T$261,7))*(INDEX(DailyScalarsTable,CJ$5/100,MONTH($A23)))*$E23</f>
        <v>0</v>
      </c>
      <c r="CK23" s="1021">
        <f>(VLOOKUP(YEAR($A23),'NY East Load Projections'!$A$4:$EO$14,((MONTH($A23)-1)*12)+VLOOKUP(CK$4,$DE$6:$DF$17,2)+1))*(VLOOKUP($A23,CURVES!$D$9:$T$261,7))*(INDEX(DailyScalarsTable,CK$5/100,MONTH($A23)))*$E23</f>
        <v>0</v>
      </c>
      <c r="CL23" s="1021">
        <f>(VLOOKUP(YEAR($A23),'NY East Load Projections'!$A$4:$EO$14,((MONTH($A23)-1)*12)+VLOOKUP(CL$4,$DE$6:$DF$17,2)+1))*(VLOOKUP($A23,SatSunCurve,7))*(INDEX(DailyScalarsTable,CL$5/100,MONTH($A23)))*$E23</f>
        <v>0</v>
      </c>
      <c r="CM23" s="1021">
        <f>(VLOOKUP(YEAR($A23),'NY East Load Projections'!$A$4:$EO$14,((MONTH($A23)-1)*12)+VLOOKUP(CM$4,$DE$6:$DF$17,2)+1))*(VLOOKUP($A23,SatSunCurve,7))*(INDEX(DailyScalarsTable,CM$5/100,MONTH($A23)))*$E23</f>
        <v>0</v>
      </c>
      <c r="CN23" s="1021">
        <f>(VLOOKUP(YEAR($A23),'NY East Load Projections'!$A$4:$EO$14,((MONTH($A23)-1)*12)+VLOOKUP(CN$4,$DE$6:$DF$17,2)+1))*(VLOOKUP($A23,SatSunCurve,7))*(INDEX(DailyScalarsTable,CN$5/100,MONTH($A23)))*$E23</f>
        <v>0</v>
      </c>
      <c r="CO23" s="1021">
        <f>(VLOOKUP(YEAR($A23),'NY East Load Projections'!$A$4:$EO$14,((MONTH($A23)-1)*12)+VLOOKUP(CO$4,$DE$6:$DF$17,2)+1))*(VLOOKUP($A23,SatSunCurve,7))*(INDEX(DailyScalarsTable,CO$5/100,MONTH($A23)))*$E23</f>
        <v>0</v>
      </c>
      <c r="CP23" s="1021">
        <f>(VLOOKUP(YEAR($A23),'NY East Load Projections'!$A$4:$EO$14,((MONTH($A23)-1)*12)+VLOOKUP(CP$4,$DE$6:$DF$17,2)+1))*(VLOOKUP($A23,SatSunCurve,7))*(INDEX(DailyScalarsTable,CP$5/100,MONTH($A23)))*$E23</f>
        <v>0</v>
      </c>
      <c r="CQ23" s="1021">
        <f>(VLOOKUP(YEAR($A23),'NY East Load Projections'!$A$4:$EO$14,((MONTH($A23)-1)*12)+VLOOKUP(CQ$4,$DE$6:$DF$17,2)+1))*(VLOOKUP($A23,SatSunCurve,7))*(INDEX(DailyScalarsTable,CQ$5/100,MONTH($A23)))*$E23</f>
        <v>0</v>
      </c>
      <c r="CR23" s="1021">
        <f>(VLOOKUP(YEAR($A23),'NY East Load Projections'!$A$4:$EO$14,((MONTH($A23)-1)*12)+VLOOKUP(CR$4,$DE$6:$DF$17,2)+1))*(VLOOKUP($A23,SatSunCurve,7))*(INDEX(DailyScalarsTable,CR$5/100,MONTH($A23)))*$E23</f>
        <v>0</v>
      </c>
      <c r="CS23" s="1021">
        <f>(VLOOKUP(YEAR($A23),'NY East Load Projections'!$A$4:$EO$14,((MONTH($A23)-1)*12)+VLOOKUP(CS$4,$DE$6:$DF$17,2)+1))*(VLOOKUP($A23,SatSunCurve,7))*(INDEX(DailyScalarsTable,CS$5/100,MONTH($A23)))*$E23</f>
        <v>0</v>
      </c>
      <c r="CT23" s="1021">
        <f>(VLOOKUP(YEAR($A23),'NY East Load Projections'!$A$4:$EO$14,((MONTH($A23)-1)*12)+VLOOKUP(CT$4,$DE$6:$DF$17,2)+1))*(VLOOKUP($A23,SatSunCurve,7))*(INDEX(DailyScalarsTable,CT$5/100,MONTH($A23)))*$E23</f>
        <v>0</v>
      </c>
      <c r="CU23" s="1021">
        <f>(VLOOKUP(YEAR($A23),'NY East Load Projections'!$A$4:$EO$14,((MONTH($A23)-1)*12)+VLOOKUP(CU$4,$DE$6:$DF$17,2)+1))*(VLOOKUP($A23,SatSunCurve,7))*(INDEX(DailyScalarsTable,CU$5/100,MONTH($A23)))*$E23</f>
        <v>0</v>
      </c>
      <c r="CV23" s="1021">
        <f>(VLOOKUP(YEAR($A23),'NY East Load Projections'!$A$4:$EO$14,((MONTH($A23)-1)*12)+VLOOKUP(CV$4,$DE$6:$DF$17,2)+1))*(VLOOKUP($A23,SatSunCurve,7))*(INDEX(DailyScalarsTable,CV$5/100,MONTH($A23)))*$E23</f>
        <v>0</v>
      </c>
      <c r="CW23" s="1021">
        <f>(VLOOKUP(YEAR($A23),'NY East Load Projections'!$A$4:$EO$14,((MONTH($A23)-1)*12)+VLOOKUP(CW$4,$DE$6:$DF$17,2)+1))*(VLOOKUP($A23,SatSunCurve,7))*(INDEX(DailyScalarsTable,CW$5/100,MONTH($A23)))*$E23</f>
        <v>0</v>
      </c>
      <c r="CX23" s="1021">
        <f>(VLOOKUP(YEAR($A23),'NY East Load Projections'!$A$4:$EO$14,((MONTH($A23)-1)*12)+VLOOKUP(CX$4,$DE$6:$DF$17,2)+1))*(VLOOKUP($A23,SatSunCurve,7))*(INDEX(DailyScalarsTable,CX$5/100,MONTH($A23)))*$E23</f>
        <v>0</v>
      </c>
      <c r="CY23" s="1021">
        <f>(VLOOKUP(YEAR($A23),'NY East Load Projections'!$A$4:$EO$14,((MONTH($A23)-1)*12)+VLOOKUP(CY$4,$DE$6:$DF$17,2)+1))*(VLOOKUP($A23,SatSunCurve,7))*(INDEX(DailyScalarsTable,CY$5/100,MONTH($A23)))*$E23</f>
        <v>0</v>
      </c>
      <c r="CZ23" s="1021">
        <f>(VLOOKUP(YEAR($A23),'NY East Load Projections'!$A$4:$EO$14,((MONTH($A23)-1)*12)+VLOOKUP(CZ$4,$DE$6:$DF$17,2)+1))*(VLOOKUP($A23,SatSunCurve,7))*(INDEX(DailyScalarsTable,CZ$5/100,MONTH($A23)))*$E23</f>
        <v>0</v>
      </c>
      <c r="DA23" s="1021">
        <f>(VLOOKUP(YEAR($A23),'NY East Load Projections'!$A$4:$EO$14,((MONTH($A23)-1)*12)+VLOOKUP(DA$4,$DE$6:$DF$17,2)+1))*(VLOOKUP($A23,SatSunCurve,7))*(INDEX(DailyScalarsTable,DA$5/100,MONTH($A23)))*$E23</f>
        <v>0</v>
      </c>
      <c r="DB23" s="1021">
        <f>(VLOOKUP(YEAR($A23),'NY East Load Projections'!$A$4:$EO$14,((MONTH($A23)-1)*12)+VLOOKUP(DB$4,$DE$6:$DF$17,2)+1))*(VLOOKUP($A23,CURVES!$D$9:$T$261,7))*(INDEX(DailyScalarsTable,DB$5/100,MONTH($A23)))*$E23</f>
        <v>0</v>
      </c>
      <c r="DH23" s="1032">
        <f t="shared" si="0"/>
        <v>-2243392.8140599574</v>
      </c>
      <c r="DI23">
        <f ca="1">CALC!J43</f>
        <v>0.84671207670571935</v>
      </c>
      <c r="DJ23" s="1029">
        <f t="shared" ca="1" si="1"/>
        <v>-1899507.7884593941</v>
      </c>
    </row>
    <row r="24" spans="1:114" x14ac:dyDescent="0.25">
      <c r="A24" s="244">
        <v>37438</v>
      </c>
      <c r="B24" s="13">
        <v>22</v>
      </c>
      <c r="C24" s="210">
        <v>4</v>
      </c>
      <c r="D24" s="210">
        <v>4</v>
      </c>
      <c r="E24" s="210">
        <v>1</v>
      </c>
      <c r="F24" s="13">
        <v>31</v>
      </c>
      <c r="H24" s="1021">
        <f>(VLOOKUP(YEAR($A24),'NY East Load Projections'!$A$4:$EO$14,((MONTH($A24)-1)*12)+VLOOKUP(H$4,$DE$6:$DF$17,2)+1))*(VLOOKUP($A24,CURVES!$D$9:$K$261,7))*(INDEX(DailyScalarsTable,H$5/100,MONTH($A24)))*$B24</f>
        <v>-52387.932112476905</v>
      </c>
      <c r="I24" s="1021">
        <f>(VLOOKUP(YEAR($A24),'NY East Load Projections'!$A$4:$EO$14,((MONTH($A24)-1)*12)+VLOOKUP(I$4,$DE$6:$DF$17,2)+1))*(VLOOKUP($A24,CURVES!$D$9:$K$261,7))*(INDEX(DailyScalarsTable,I$5/100,MONTH($A24)))*$B24</f>
        <v>-47852.88788203436</v>
      </c>
      <c r="J24" s="1021">
        <f>(VLOOKUP(YEAR($A24),'NY East Load Projections'!$A$4:$EO$14,((MONTH($A24)-1)*12)+VLOOKUP(J$4,$DE$6:$DF$17,2)+1))*(VLOOKUP($A24,CURVES!$D$9:$K$261,7))*(INDEX(DailyScalarsTable,J$5/100,MONTH($A24)))*$B24</f>
        <v>-45595.579830395181</v>
      </c>
      <c r="K24" s="1021">
        <f>(VLOOKUP(YEAR($A24),'NY East Load Projections'!$A$4:$EO$14,((MONTH($A24)-1)*12)+VLOOKUP(K$4,$DE$6:$DF$17,2)+1))*(VLOOKUP($A24,CURVES!$D$9:$K$261,7))*(INDEX(DailyScalarsTable,K$5/100,MONTH($A24)))*$B24</f>
        <v>-41060.535599952644</v>
      </c>
      <c r="L24" s="1021">
        <f>(VLOOKUP(YEAR($A24),'NY East Load Projections'!$A$4:$EO$14,((MONTH($A24)-1)*12)+VLOOKUP(L$4,$DE$6:$DF$17,2)+1))*(VLOOKUP($A24,CURVES!$D$9:$K$261,7))*(INDEX(DailyScalarsTable,L$5/100,MONTH($A24)))*$B24</f>
        <v>-40369.795500532047</v>
      </c>
      <c r="M24" s="1021">
        <f>(VLOOKUP(YEAR($A24),'NY East Load Projections'!$A$4:$EO$14,((MONTH($A24)-1)*12)+VLOOKUP(M$4,$DE$6:$DF$17,2)+1))*(VLOOKUP($A24,CURVES!$D$9:$K$261,7))*(INDEX(DailyScalarsTable,M$5/100,MONTH($A24)))*$B24</f>
        <v>-44506.2184671746</v>
      </c>
      <c r="N24" s="1021">
        <f>(VLOOKUP(YEAR($A24),'NY East Load Projections'!$A$4:$EO$14,((MONTH($A24)-1)*12)+VLOOKUP(N$4,$DE$6:$DF$17,2)+1))*(VLOOKUP($A24,CURVES!$D$9:$K$261,7))*(INDEX(DailyScalarsTable,N$5/100,MONTH($A24)))*$B24</f>
        <v>-49425.493862286603</v>
      </c>
      <c r="O24" s="1021">
        <f>(VLOOKUP(YEAR($A24),'NY East Load Projections'!$A$4:$EO$14,((MONTH($A24)-1)*12)+VLOOKUP(O$4,$DE$6:$DF$17,2)+1))*(VLOOKUP($A24,CURVES!$D$9:$K$261,3))*(INDEX(DailyScalarsTable,O$5/100,MONTH($A24)))*$B24</f>
        <v>-85993.56223820243</v>
      </c>
      <c r="P24" s="1021">
        <f>(VLOOKUP(YEAR($A24),'NY East Load Projections'!$A$4:$EO$14,((MONTH($A24)-1)*12)+VLOOKUP(P$4,$DE$6:$DF$17,2)+1))*(VLOOKUP($A24,CURVES!$D$9:$K$261,3))*(INDEX(DailyScalarsTable,P$5/100,MONTH($A24)))*$B24</f>
        <v>-100829.88045851584</v>
      </c>
      <c r="Q24" s="1021">
        <f>(VLOOKUP(YEAR($A24),'NY East Load Projections'!$A$4:$EO$14,((MONTH($A24)-1)*12)+VLOOKUP(Q$4,$DE$6:$DF$17,2)+1))*(VLOOKUP($A24,CURVES!$D$9:$K$261,3))*(INDEX(DailyScalarsTable,Q$5/100,MONTH($A24)))*$B24</f>
        <v>-120721.00764184535</v>
      </c>
      <c r="R24" s="1021">
        <f>(VLOOKUP(YEAR($A24),'NY East Load Projections'!$A$4:$EO$14,((MONTH($A24)-1)*12)+VLOOKUP(R$4,$DE$6:$DF$17,2)+1))*(VLOOKUP($A24,CURVES!$D$9:$K$261,3))*(INDEX(DailyScalarsTable,R$5/100,MONTH($A24)))*$B24</f>
        <v>-137367.78430880563</v>
      </c>
      <c r="S24" s="1021">
        <f>(VLOOKUP(YEAR($A24),'NY East Load Projections'!$A$4:$EO$14,((MONTH($A24)-1)*12)+VLOOKUP(S$4,$DE$6:$DF$17,2)+1))*(VLOOKUP($A24,CURVES!$D$9:$K$261,3))*(INDEX(DailyScalarsTable,S$5/100,MONTH($A24)))*$B24</f>
        <v>-164229.3064880028</v>
      </c>
      <c r="T24" s="1021">
        <f>(VLOOKUP(YEAR($A24),'NY East Load Projections'!$A$4:$EO$14,((MONTH($A24)-1)*12)+VLOOKUP(T$4,$DE$6:$DF$17,2)+1))*(VLOOKUP($A24,CURVES!$D$9:$K$261,3))*(INDEX(DailyScalarsTable,T$5/100,MONTH($A24)))*$B24</f>
        <v>-181680.9260495982</v>
      </c>
      <c r="U24" s="1021">
        <f>(VLOOKUP(YEAR($A24),'NY East Load Projections'!$A$4:$EO$14,((MONTH($A24)-1)*12)+VLOOKUP(U$4,$DE$6:$DF$17,2)+1))*(VLOOKUP($A24,CURVES!$D$9:$K$261,3))*(INDEX(DailyScalarsTable,U$5/100,MONTH($A24)))*$B24</f>
        <v>-187795.73492571959</v>
      </c>
      <c r="V24" s="1021">
        <f>(VLOOKUP(YEAR($A24),'NY East Load Projections'!$A$4:$EO$14,((MONTH($A24)-1)*12)+VLOOKUP(V$4,$DE$6:$DF$17,2)+1))*(VLOOKUP($A24,CURVES!$D$9:$K$261,3))*(INDEX(DailyScalarsTable,V$5/100,MONTH($A24)))*$B24</f>
        <v>-195617.00209285162</v>
      </c>
      <c r="W24" s="1021">
        <f>(VLOOKUP(YEAR($A24),'NY East Load Projections'!$A$4:$EO$14,((MONTH($A24)-1)*12)+VLOOKUP(W$4,$DE$6:$DF$17,2)+1))*(VLOOKUP($A24,CURVES!$D$9:$K$261,3))*(INDEX(DailyScalarsTable,W$5/100,MONTH($A24)))*$B24</f>
        <v>-207604.87158720134</v>
      </c>
      <c r="X24" s="1021">
        <f>(VLOOKUP(YEAR($A24),'NY East Load Projections'!$A$4:$EO$14,((MONTH($A24)-1)*12)+VLOOKUP(X$4,$DE$6:$DF$17,2)+1))*(VLOOKUP($A24,CURVES!$D$9:$K$261,3))*(INDEX(DailyScalarsTable,X$5/100,MONTH($A24)))*$B24</f>
        <v>-205924.60532189603</v>
      </c>
      <c r="Y24" s="1021">
        <f>(VLOOKUP(YEAR($A24),'NY East Load Projections'!$A$4:$EO$14,((MONTH($A24)-1)*12)+VLOOKUP(Y$4,$DE$6:$DF$17,2)+1))*(VLOOKUP($A24,CURVES!$D$9:$K$261,3))*(INDEX(DailyScalarsTable,Y$5/100,MONTH($A24)))*$B24</f>
        <v>-200821.77949664721</v>
      </c>
      <c r="Z24" s="1021">
        <f>(VLOOKUP(YEAR($A24),'NY East Load Projections'!$A$4:$EO$14,((MONTH($A24)-1)*12)+VLOOKUP(Z$4,$DE$6:$DF$17,2)+1))*(VLOOKUP($A24,CURVES!$D$9:$K$261,3))*(INDEX(DailyScalarsTable,Z$5/100,MONTH($A24)))*$B24</f>
        <v>-167729.47001203924</v>
      </c>
      <c r="AA24" s="1021">
        <f>(VLOOKUP(YEAR($A24),'NY East Load Projections'!$A$4:$EO$14,((MONTH($A24)-1)*12)+VLOOKUP(AA$4,$DE$6:$DF$17,2)+1))*(VLOOKUP($A24,CURVES!$D$9:$K$261,3))*(INDEX(DailyScalarsTable,AA$5/100,MONTH($A24)))*$B24</f>
        <v>-124113.44656262285</v>
      </c>
      <c r="AB24" s="1021">
        <f>(VLOOKUP(YEAR($A24),'NY East Load Projections'!$A$4:$EO$14,((MONTH($A24)-1)*12)+VLOOKUP(AB$4,$DE$6:$DF$17,2)+1))*(VLOOKUP($A24,CURVES!$D$9:$K$261,3))*(INDEX(DailyScalarsTable,AB$5/100,MONTH($A24)))*$B24</f>
        <v>-131521.80415832417</v>
      </c>
      <c r="AC24" s="1021">
        <f>(VLOOKUP(YEAR($A24),'NY East Load Projections'!$A$4:$EO$14,((MONTH($A24)-1)*12)+VLOOKUP(AC$4,$DE$6:$DF$17,2)+1))*(VLOOKUP($A24,CURVES!$D$9:$K$261,3))*(INDEX(DailyScalarsTable,AC$5/100,MONTH($A24)))*$B24</f>
        <v>-139365.15139935652</v>
      </c>
      <c r="AD24" s="1021">
        <f>(VLOOKUP(YEAR($A24),'NY East Load Projections'!$A$4:$EO$14,((MONTH($A24)-1)*12)+VLOOKUP(AD$4,$DE$6:$DF$17,2)+1))*(VLOOKUP($A24,CURVES!$D$9:$K$261,3))*(INDEX(DailyScalarsTable,AD$5/100,MONTH($A24)))*$B24</f>
        <v>-96783.195263076283</v>
      </c>
      <c r="AE24" s="1021">
        <f>(VLOOKUP(YEAR($A24),'NY East Load Projections'!$A$4:$EO$14,((MONTH($A24)-1)*12)+VLOOKUP(AE$4,$DE$6:$DF$17,2)+1))*(VLOOKUP($A24,CURVES!$D$9:$K$261,7))*(INDEX(DailyScalarsTable,AE$5/100,MONTH($A24)))*$B24</f>
        <v>-60987.32414316319</v>
      </c>
      <c r="AF24" s="1021"/>
      <c r="AG24" s="1021">
        <f>(VLOOKUP(YEAR($A24),'NY East Load Projections'!$A$4:$EO$14,((MONTH($A24)-1)*12)+VLOOKUP(AG$4,$DE$6:$DF$17,2)+1))*(VLOOKUP($A24,CURVES!$D$9:$T$261,7))*(INDEX(DailyScalarsTable,AG$5/100,MONTH($A24)))*$C24</f>
        <v>-9244.6437033256825</v>
      </c>
      <c r="AH24" s="1021">
        <f>(VLOOKUP(YEAR($A24),'NY East Load Projections'!$A$4:$EO$14,((MONTH($A24)-1)*12)+VLOOKUP(AH$4,$DE$6:$DF$17,2)+1))*(VLOOKUP($A24,CURVES!$D$9:$T$261,7))*(INDEX(DailyScalarsTable,AH$5/100,MONTH($A24)))*$C24</f>
        <v>-8444.3664944591183</v>
      </c>
      <c r="AI24" s="1021">
        <f>(VLOOKUP(YEAR($A24),'NY East Load Projections'!$A$4:$EO$14,((MONTH($A24)-1)*12)+VLOOKUP(AI$4,$DE$6:$DF$17,2)+1))*(VLOOKUP($A24,CURVES!$D$9:$T$261,7))*(INDEX(DailyScalarsTable,AI$5/100,MONTH($A24)))*$C24</f>
        <v>-8046.0303161719339</v>
      </c>
      <c r="AJ24" s="1021">
        <f>(VLOOKUP(YEAR($A24),'NY East Load Projections'!$A$4:$EO$14,((MONTH($A24)-1)*12)+VLOOKUP(AJ$4,$DE$6:$DF$17,2)+1))*(VLOOKUP($A24,CURVES!$D$9:$T$261,7))*(INDEX(DailyScalarsTable,AJ$5/100,MONTH($A24)))*$C24</f>
        <v>-7245.7531073053678</v>
      </c>
      <c r="AK24" s="1021">
        <f>(VLOOKUP(YEAR($A24),'NY East Load Projections'!$A$4:$EO$14,((MONTH($A24)-1)*12)+VLOOKUP(AK$4,$DE$6:$DF$17,2)+1))*(VLOOKUP($A24,CURVES!$D$9:$T$261,7))*(INDEX(DailyScalarsTable,AK$5/100,MONTH($A24)))*$C24</f>
        <v>-6981.5978911666116</v>
      </c>
      <c r="AL24" s="1021">
        <f>(VLOOKUP(YEAR($A24),'NY East Load Projections'!$A$4:$EO$14,((MONTH($A24)-1)*12)+VLOOKUP(AL$4,$DE$6:$DF$17,2)+1))*(VLOOKUP($A24,CURVES!$D$9:$T$261,7))*(INDEX(DailyScalarsTable,AL$5/100,MONTH($A24)))*$C24</f>
        <v>-7696.9555367237763</v>
      </c>
      <c r="AM24" s="1021">
        <f>(VLOOKUP(YEAR($A24),'NY East Load Projections'!$A$4:$EO$14,((MONTH($A24)-1)*12)+VLOOKUP(AM$4,$DE$6:$DF$17,2)+1))*(VLOOKUP($A24,CURVES!$D$9:$T$261,7))*(INDEX(DailyScalarsTable,AM$5/100,MONTH($A24)))*$C24</f>
        <v>-8547.7005627700219</v>
      </c>
      <c r="AN24" s="1021">
        <f>(VLOOKUP(YEAR($A24),'NY East Load Projections'!$A$4:$EO$14,((MONTH($A24)-1)*12)+VLOOKUP(AN$4,$DE$6:$DF$17,2)+1))*(VLOOKUP($A24,SatSunCurve,3))*(INDEX(DailyScalarsTable,AN$5/100,MONTH($A24)))*$C24</f>
        <v>-8156.1694441704431</v>
      </c>
      <c r="AO24" s="1021">
        <f>(VLOOKUP(YEAR($A24),'NY East Load Projections'!$A$4:$EO$14,((MONTH($A24)-1)*12)+VLOOKUP(AO$4,$DE$6:$DF$17,2)+1))*(VLOOKUP($A24,SatSunCurve,3))*(INDEX(DailyScalarsTable,AO$5/100,MONTH($A24)))*$C24</f>
        <v>-9666.6475377110255</v>
      </c>
      <c r="AP24" s="1021">
        <f>(VLOOKUP(YEAR($A24),'NY East Load Projections'!$A$4:$EO$14,((MONTH($A24)-1)*12)+VLOOKUP(AP$4,$DE$6:$DF$17,2)+1))*(VLOOKUP($A24,SatSunCurve,3))*(INDEX(DailyScalarsTable,AP$5/100,MONTH($A24)))*$C24</f>
        <v>-11573.627043534585</v>
      </c>
      <c r="AQ24" s="1021">
        <f>(VLOOKUP(YEAR($A24),'NY East Load Projections'!$A$4:$EO$14,((MONTH($A24)-1)*12)+VLOOKUP(AQ$4,$DE$6:$DF$17,2)+1))*(VLOOKUP($A24,SatSunCurve,3))*(INDEX(DailyScalarsTable,AQ$5/100,MONTH($A24)))*$C24</f>
        <v>-13169.567869277238</v>
      </c>
      <c r="AR24" s="1021">
        <f>(VLOOKUP(YEAR($A24),'NY East Load Projections'!$A$4:$EO$14,((MONTH($A24)-1)*12)+VLOOKUP(AR$4,$DE$6:$DF$17,2)+1))*(VLOOKUP($A24,SatSunCurve,3))*(INDEX(DailyScalarsTable,AR$5/100,MONTH($A24)))*$C24</f>
        <v>-15744.80515064581</v>
      </c>
      <c r="AS24" s="1021">
        <f>(VLOOKUP(YEAR($A24),'NY East Load Projections'!$A$4:$EO$14,((MONTH($A24)-1)*12)+VLOOKUP(AS$4,$DE$6:$DF$17,2)+1))*(VLOOKUP($A24,SatSunCurve,3))*(INDEX(DailyScalarsTable,AS$5/100,MONTH($A24)))*$C24</f>
        <v>-17507.200870652756</v>
      </c>
      <c r="AT24" s="1021">
        <f>(VLOOKUP(YEAR($A24),'NY East Load Projections'!$A$4:$EO$14,((MONTH($A24)-1)*12)+VLOOKUP(AT$4,$DE$6:$DF$17,2)+1))*(VLOOKUP($A24,SatSunCurve,3))*(INDEX(DailyScalarsTable,AT$5/100,MONTH($A24)))*$C24</f>
        <v>-18096.43821993114</v>
      </c>
      <c r="AU24" s="1021">
        <f>(VLOOKUP(YEAR($A24),'NY East Load Projections'!$A$4:$EO$14,((MONTH($A24)-1)*12)+VLOOKUP(AU$4,$DE$6:$DF$17,2)+1))*(VLOOKUP($A24,SatSunCurve,3))*(INDEX(DailyScalarsTable,AU$5/100,MONTH($A24)))*$C24</f>
        <v>-18850.113899240707</v>
      </c>
      <c r="AV24" s="1021">
        <f>(VLOOKUP(YEAR($A24),'NY East Load Projections'!$A$4:$EO$14,((MONTH($A24)-1)*12)+VLOOKUP(AV$4,$DE$6:$DF$17,2)+1))*(VLOOKUP($A24,SatSunCurve,3))*(INDEX(DailyScalarsTable,AV$5/100,MONTH($A24)))*$C24</f>
        <v>-20005.293167709737</v>
      </c>
      <c r="AW24" s="1021">
        <f>(VLOOKUP(YEAR($A24),'NY East Load Projections'!$A$4:$EO$14,((MONTH($A24)-1)*12)+VLOOKUP(AW$4,$DE$6:$DF$17,2)+1))*(VLOOKUP($A24,SatSunCurve,3))*(INDEX(DailyScalarsTable,AW$5/100,MONTH($A24)))*$C24</f>
        <v>-19767.150923029381</v>
      </c>
      <c r="AX24" s="1021">
        <f>(VLOOKUP(YEAR($A24),'NY East Load Projections'!$A$4:$EO$14,((MONTH($A24)-1)*12)+VLOOKUP(AX$4,$DE$6:$DF$17,2)+1))*(VLOOKUP($A24,SatSunCurve,3))*(INDEX(DailyScalarsTable,AX$5/100,MONTH($A24)))*$C24</f>
        <v>-19277.319569151347</v>
      </c>
      <c r="AY24" s="1021">
        <f>(VLOOKUP(YEAR($A24),'NY East Load Projections'!$A$4:$EO$14,((MONTH($A24)-1)*12)+VLOOKUP(AY$4,$DE$6:$DF$17,2)+1))*(VLOOKUP($A24,SatSunCurve,3))*(INDEX(DailyScalarsTable,AY$5/100,MONTH($A24)))*$C24</f>
        <v>-16100.716778283753</v>
      </c>
      <c r="AZ24" s="1021">
        <f>(VLOOKUP(YEAR($A24),'NY East Load Projections'!$A$4:$EO$14,((MONTH($A24)-1)*12)+VLOOKUP(AZ$4,$DE$6:$DF$17,2)+1))*(VLOOKUP($A24,SatSunCurve,3))*(INDEX(DailyScalarsTable,AZ$5/100,MONTH($A24)))*$C24</f>
        <v>-11913.919786057935</v>
      </c>
      <c r="BA24" s="1021">
        <f>(VLOOKUP(YEAR($A24),'NY East Load Projections'!$A$4:$EO$14,((MONTH($A24)-1)*12)+VLOOKUP(BA$4,$DE$6:$DF$17,2)+1))*(VLOOKUP($A24,SatSunCurve,3))*(INDEX(DailyScalarsTable,BA$5/100,MONTH($A24)))*$C24</f>
        <v>-12768.939751499507</v>
      </c>
      <c r="BB24" s="1021">
        <f>(VLOOKUP(YEAR($A24),'NY East Load Projections'!$A$4:$EO$14,((MONTH($A24)-1)*12)+VLOOKUP(BB$4,$DE$6:$DF$17,2)+1))*(VLOOKUP($A24,SatSunCurve,3))*(INDEX(DailyScalarsTable,BB$5/100,MONTH($A24)))*$C24</f>
        <v>-13530.419789062489</v>
      </c>
      <c r="BC24" s="1021">
        <f>(VLOOKUP(YEAR($A24),'NY East Load Projections'!$A$4:$EO$14,((MONTH($A24)-1)*12)+VLOOKUP(BC$4,$DE$6:$DF$17,2)+1))*(VLOOKUP($A24,SatSunCurve,3))*(INDEX(DailyScalarsTable,BC$5/100,MONTH($A24)))*$C24</f>
        <v>-9396.3035040499544</v>
      </c>
      <c r="BD24" s="1021">
        <f>(VLOOKUP(YEAR($A24),'NY East Load Projections'!$A$4:$EO$14,((MONTH($A24)-1)*12)+VLOOKUP(BD$4,$DE$6:$DF$17,2)+1))*(VLOOKUP($A24,CURVES!$D$9:$T$261,7))*(INDEX(DailyScalarsTable,BD$5/100,MONTH($A24)))*$C24</f>
        <v>-10796.292479122561</v>
      </c>
      <c r="BE24" s="1021"/>
      <c r="BF24" s="1021">
        <f>(VLOOKUP(YEAR($A24),'NY East Load Projections'!$A$4:$EO$14,((MONTH($A24)-1)*12)+VLOOKUP(BF$4,$DE$6:$DF$17,2)+1))*(VLOOKUP($A24,CURVES!$D$9:$T$261,7))*(INDEX(DailyScalarsTable,BF$5/100,MONTH($A24)))*$D24</f>
        <v>-9244.6437033256825</v>
      </c>
      <c r="BG24" s="1021">
        <f>(VLOOKUP(YEAR($A24),'NY East Load Projections'!$A$4:$EO$14,((MONTH($A24)-1)*12)+VLOOKUP(BG$4,$DE$6:$DF$17,2)+1))*(VLOOKUP($A24,CURVES!$D$9:$T$261,7))*(INDEX(DailyScalarsTable,BG$5/100,MONTH($A24)))*$D24</f>
        <v>-8444.3664944591183</v>
      </c>
      <c r="BH24" s="1021">
        <f>(VLOOKUP(YEAR($A24),'NY East Load Projections'!$A$4:$EO$14,((MONTH($A24)-1)*12)+VLOOKUP(BH$4,$DE$6:$DF$17,2)+1))*(VLOOKUP($A24,CURVES!$D$9:$T$261,7))*(INDEX(DailyScalarsTable,BH$5/100,MONTH($A24)))*$D24</f>
        <v>-8046.0303161719339</v>
      </c>
      <c r="BI24" s="1021">
        <f>(VLOOKUP(YEAR($A24),'NY East Load Projections'!$A$4:$EO$14,((MONTH($A24)-1)*12)+VLOOKUP(BI$4,$DE$6:$DF$17,2)+1))*(VLOOKUP($A24,CURVES!$D$9:$T$261,7))*(INDEX(DailyScalarsTable,BI$5/100,MONTH($A24)))*$D24</f>
        <v>-7245.7531073053678</v>
      </c>
      <c r="BJ24" s="1021">
        <f>(VLOOKUP(YEAR($A24),'NY East Load Projections'!$A$4:$EO$14,((MONTH($A24)-1)*12)+VLOOKUP(BJ$4,$DE$6:$DF$17,2)+1))*(VLOOKUP($A24,CURVES!$D$9:$T$261,7))*(INDEX(DailyScalarsTable,BJ$5/100,MONTH($A24)))*$D24</f>
        <v>-6981.5978911666116</v>
      </c>
      <c r="BK24" s="1021">
        <f>(VLOOKUP(YEAR($A24),'NY East Load Projections'!$A$4:$EO$14,((MONTH($A24)-1)*12)+VLOOKUP(BK$4,$DE$6:$DF$17,2)+1))*(VLOOKUP($A24,CURVES!$D$9:$T$261,7))*(INDEX(DailyScalarsTable,BK$5/100,MONTH($A24)))*$D24</f>
        <v>-7696.9555367237763</v>
      </c>
      <c r="BL24" s="1021">
        <f>(VLOOKUP(YEAR($A24),'NY East Load Projections'!$A$4:$EO$14,((MONTH($A24)-1)*12)+VLOOKUP(BL$4,$DE$6:$DF$17,2)+1))*(VLOOKUP($A24,CURVES!$D$9:$T$261,7))*(INDEX(DailyScalarsTable,BL$5/100,MONTH($A24)))*$D24</f>
        <v>-8547.7005627700219</v>
      </c>
      <c r="BM24" s="1021">
        <f>(VLOOKUP(YEAR($A24),'NY East Load Projections'!$A$4:$EO$14,((MONTH($A24)-1)*12)+VLOOKUP(BM$4,$DE$6:$DF$17,2)+1))*(VLOOKUP($A24,SatSunCurve,7))*(INDEX(DailyScalarsTable,BM$5/100,MONTH($A24)))*$D24</f>
        <v>-5999.4986125653277</v>
      </c>
      <c r="BN24" s="1021">
        <f>(VLOOKUP(YEAR($A24),'NY East Load Projections'!$A$4:$EO$14,((MONTH($A24)-1)*12)+VLOOKUP(BN$4,$DE$6:$DF$17,2)+1))*(VLOOKUP($A24,SatSunCurve,7))*(INDEX(DailyScalarsTable,BN$5/100,MONTH($A24)))*$D24</f>
        <v>-7110.5730315726623</v>
      </c>
      <c r="BO24" s="1021">
        <f>(VLOOKUP(YEAR($A24),'NY East Load Projections'!$A$4:$EO$14,((MONTH($A24)-1)*12)+VLOOKUP(BO$4,$DE$6:$DF$17,2)+1))*(VLOOKUP($A24,SatSunCurve,7))*(INDEX(DailyScalarsTable,BO$5/100,MONTH($A24)))*$D24</f>
        <v>-8513.3051569524596</v>
      </c>
      <c r="BP24" s="1021">
        <f>(VLOOKUP(YEAR($A24),'NY East Load Projections'!$A$4:$EO$14,((MONTH($A24)-1)*12)+VLOOKUP(BP$4,$DE$6:$DF$17,2)+1))*(VLOOKUP($A24,SatSunCurve,7))*(INDEX(DailyScalarsTable,BP$5/100,MONTH($A24)))*$D24</f>
        <v>-9687.2440795459497</v>
      </c>
      <c r="BQ24" s="1021">
        <f>(VLOOKUP(YEAR($A24),'NY East Load Projections'!$A$4:$EO$14,((MONTH($A24)-1)*12)+VLOOKUP(BQ$4,$DE$6:$DF$17,2)+1))*(VLOOKUP($A24,SatSunCurve,7))*(INDEX(DailyScalarsTable,BQ$5/100,MONTH($A24)))*$D24</f>
        <v>-11581.53190698192</v>
      </c>
      <c r="BR24" s="1021">
        <f>(VLOOKUP(YEAR($A24),'NY East Load Projections'!$A$4:$EO$14,((MONTH($A24)-1)*12)+VLOOKUP(BR$4,$DE$6:$DF$17,2)+1))*(VLOOKUP($A24,SatSunCurve,7))*(INDEX(DailyScalarsTable,BR$5/100,MONTH($A24)))*$D24</f>
        <v>-12877.911383812192</v>
      </c>
      <c r="BS24" s="1021">
        <f>(VLOOKUP(YEAR($A24),'NY East Load Projections'!$A$4:$EO$14,((MONTH($A24)-1)*12)+VLOOKUP(BS$4,$DE$6:$DF$17,2)+1))*(VLOOKUP($A24,SatSunCurve,7))*(INDEX(DailyScalarsTable,BS$5/100,MONTH($A24)))*$D24</f>
        <v>-13311.341400643689</v>
      </c>
      <c r="BT24" s="1021">
        <f>(VLOOKUP(YEAR($A24),'NY East Load Projections'!$A$4:$EO$14,((MONTH($A24)-1)*12)+VLOOKUP(BT$4,$DE$6:$DF$17,2)+1))*(VLOOKUP($A24,SatSunCurve,7))*(INDEX(DailyScalarsTable,BT$5/100,MONTH($A24)))*$D24</f>
        <v>-13865.728631474674</v>
      </c>
      <c r="BU24" s="1021">
        <f>(VLOOKUP(YEAR($A24),'NY East Load Projections'!$A$4:$EO$14,((MONTH($A24)-1)*12)+VLOOKUP(BU$4,$DE$6:$DF$17,2)+1))*(VLOOKUP($A24,SatSunCurve,7))*(INDEX(DailyScalarsTable,BU$5/100,MONTH($A24)))*$D24</f>
        <v>-14715.453059821084</v>
      </c>
      <c r="BV24" s="1021">
        <f>(VLOOKUP(YEAR($A24),'NY East Load Projections'!$A$4:$EO$14,((MONTH($A24)-1)*12)+VLOOKUP(BV$4,$DE$6:$DF$17,2)+1))*(VLOOKUP($A24,SatSunCurve,7))*(INDEX(DailyScalarsTable,BV$5/100,MONTH($A24)))*$D24</f>
        <v>-14540.280869452463</v>
      </c>
      <c r="BW24" s="1021">
        <f>(VLOOKUP(YEAR($A24),'NY East Load Projections'!$A$4:$EO$14,((MONTH($A24)-1)*12)+VLOOKUP(BW$4,$DE$6:$DF$17,2)+1))*(VLOOKUP($A24,SatSunCurve,7))*(INDEX(DailyScalarsTable,BW$5/100,MONTH($A24)))*$D24</f>
        <v>-14179.9717135309</v>
      </c>
      <c r="BX24" s="1021">
        <f>(VLOOKUP(YEAR($A24),'NY East Load Projections'!$A$4:$EO$14,((MONTH($A24)-1)*12)+VLOOKUP(BX$4,$DE$6:$DF$17,2)+1))*(VLOOKUP($A24,SatSunCurve,7))*(INDEX(DailyScalarsTable,BX$5/100,MONTH($A24)))*$D24</f>
        <v>-11843.332661714385</v>
      </c>
      <c r="BY24" s="1021">
        <f>(VLOOKUP(YEAR($A24),'NY East Load Projections'!$A$4:$EO$14,((MONTH($A24)-1)*12)+VLOOKUP(BY$4,$DE$6:$DF$17,2)+1))*(VLOOKUP($A24,SatSunCurve,7))*(INDEX(DailyScalarsTable,BY$5/100,MONTH($A24)))*$D24</f>
        <v>-8763.6170037832162</v>
      </c>
      <c r="BZ24" s="1021">
        <f>(VLOOKUP(YEAR($A24),'NY East Load Projections'!$A$4:$EO$14,((MONTH($A24)-1)*12)+VLOOKUP(BZ$4,$DE$6:$DF$17,2)+1))*(VLOOKUP($A24,SatSunCurve,7))*(INDEX(DailyScalarsTable,BZ$5/100,MONTH($A24)))*$D24</f>
        <v>-9392.5508594976473</v>
      </c>
      <c r="CA24" s="1021">
        <f>(VLOOKUP(YEAR($A24),'NY East Load Projections'!$A$4:$EO$14,((MONTH($A24)-1)*12)+VLOOKUP(CA$4,$DE$6:$DF$17,2)+1))*(VLOOKUP($A24,SatSunCurve,7))*(INDEX(DailyScalarsTable,CA$5/100,MONTH($A24)))*$D24</f>
        <v>-9952.6788043775323</v>
      </c>
      <c r="CB24" s="1021">
        <f>(VLOOKUP(YEAR($A24),'NY East Load Projections'!$A$4:$EO$14,((MONTH($A24)-1)*12)+VLOOKUP(CB$4,$DE$6:$DF$17,2)+1))*(VLOOKUP($A24,SatSunCurve,7))*(INDEX(DailyScalarsTable,CB$5/100,MONTH($A24)))*$D24</f>
        <v>-6911.7139144384319</v>
      </c>
      <c r="CC24" s="1021">
        <f>(VLOOKUP(YEAR($A24),'NY East Load Projections'!$A$4:$EO$14,((MONTH($A24)-1)*12)+VLOOKUP(CC$4,$DE$6:$DF$17,2)+1))*(VLOOKUP($A24,CURVES!$D$9:$T$261,7))*(INDEX(DailyScalarsTable,CC$5/100,MONTH($A24)))*$D24</f>
        <v>-10796.292479122561</v>
      </c>
      <c r="CE24" s="1021">
        <f>(VLOOKUP(YEAR($A24),'NY East Load Projections'!$A$4:$EO$14,((MONTH($A24)-1)*12)+VLOOKUP(CE$4,$DE$6:$DF$17,2)+1))*(VLOOKUP($A24,CURVES!$D$9:$T$261,7))*(INDEX(DailyScalarsTable,CE$5/100,MONTH($A24)))*$E24</f>
        <v>-2311.1609258314206</v>
      </c>
      <c r="CF24" s="1021">
        <f>(VLOOKUP(YEAR($A24),'NY East Load Projections'!$A$4:$EO$14,((MONTH($A24)-1)*12)+VLOOKUP(CF$4,$DE$6:$DF$17,2)+1))*(VLOOKUP($A24,CURVES!$D$9:$T$261,7))*(INDEX(DailyScalarsTable,CF$5/100,MONTH($A24)))*$E24</f>
        <v>-2111.0916236147796</v>
      </c>
      <c r="CG24" s="1021">
        <f>(VLOOKUP(YEAR($A24),'NY East Load Projections'!$A$4:$EO$14,((MONTH($A24)-1)*12)+VLOOKUP(CG$4,$DE$6:$DF$17,2)+1))*(VLOOKUP($A24,CURVES!$D$9:$T$261,7))*(INDEX(DailyScalarsTable,CG$5/100,MONTH($A24)))*$E24</f>
        <v>-2011.5075790429835</v>
      </c>
      <c r="CH24" s="1021">
        <f>(VLOOKUP(YEAR($A24),'NY East Load Projections'!$A$4:$EO$14,((MONTH($A24)-1)*12)+VLOOKUP(CH$4,$DE$6:$DF$17,2)+1))*(VLOOKUP($A24,CURVES!$D$9:$T$261,7))*(INDEX(DailyScalarsTable,CH$5/100,MONTH($A24)))*$E24</f>
        <v>-1811.438276826342</v>
      </c>
      <c r="CI24" s="1021">
        <f>(VLOOKUP(YEAR($A24),'NY East Load Projections'!$A$4:$EO$14,((MONTH($A24)-1)*12)+VLOOKUP(CI$4,$DE$6:$DF$17,2)+1))*(VLOOKUP($A24,CURVES!$D$9:$T$261,7))*(INDEX(DailyScalarsTable,CI$5/100,MONTH($A24)))*$E24</f>
        <v>-1745.3994727916529</v>
      </c>
      <c r="CJ24" s="1021">
        <f>(VLOOKUP(YEAR($A24),'NY East Load Projections'!$A$4:$EO$14,((MONTH($A24)-1)*12)+VLOOKUP(CJ$4,$DE$6:$DF$17,2)+1))*(VLOOKUP($A24,CURVES!$D$9:$T$261,7))*(INDEX(DailyScalarsTable,CJ$5/100,MONTH($A24)))*$E24</f>
        <v>-1924.2388841809441</v>
      </c>
      <c r="CK24" s="1021">
        <f>(VLOOKUP(YEAR($A24),'NY East Load Projections'!$A$4:$EO$14,((MONTH($A24)-1)*12)+VLOOKUP(CK$4,$DE$6:$DF$17,2)+1))*(VLOOKUP($A24,CURVES!$D$9:$T$261,7))*(INDEX(DailyScalarsTable,CK$5/100,MONTH($A24)))*$E24</f>
        <v>-2136.9251406925055</v>
      </c>
      <c r="CL24" s="1021">
        <f>(VLOOKUP(YEAR($A24),'NY East Load Projections'!$A$4:$EO$14,((MONTH($A24)-1)*12)+VLOOKUP(CL$4,$DE$6:$DF$17,2)+1))*(VLOOKUP($A24,SatSunCurve,7))*(INDEX(DailyScalarsTable,CL$5/100,MONTH($A24)))*$E24</f>
        <v>-1499.8746531413319</v>
      </c>
      <c r="CM24" s="1021">
        <f>(VLOOKUP(YEAR($A24),'NY East Load Projections'!$A$4:$EO$14,((MONTH($A24)-1)*12)+VLOOKUP(CM$4,$DE$6:$DF$17,2)+1))*(VLOOKUP($A24,SatSunCurve,7))*(INDEX(DailyScalarsTable,CM$5/100,MONTH($A24)))*$E24</f>
        <v>-1777.6432578931656</v>
      </c>
      <c r="CN24" s="1021">
        <f>(VLOOKUP(YEAR($A24),'NY East Load Projections'!$A$4:$EO$14,((MONTH($A24)-1)*12)+VLOOKUP(CN$4,$DE$6:$DF$17,2)+1))*(VLOOKUP($A24,SatSunCurve,7))*(INDEX(DailyScalarsTable,CN$5/100,MONTH($A24)))*$E24</f>
        <v>-2128.3262892381149</v>
      </c>
      <c r="CO24" s="1021">
        <f>(VLOOKUP(YEAR($A24),'NY East Load Projections'!$A$4:$EO$14,((MONTH($A24)-1)*12)+VLOOKUP(CO$4,$DE$6:$DF$17,2)+1))*(VLOOKUP($A24,SatSunCurve,7))*(INDEX(DailyScalarsTable,CO$5/100,MONTH($A24)))*$E24</f>
        <v>-2421.8110198864874</v>
      </c>
      <c r="CP24" s="1021">
        <f>(VLOOKUP(YEAR($A24),'NY East Load Projections'!$A$4:$EO$14,((MONTH($A24)-1)*12)+VLOOKUP(CP$4,$DE$6:$DF$17,2)+1))*(VLOOKUP($A24,SatSunCurve,7))*(INDEX(DailyScalarsTable,CP$5/100,MONTH($A24)))*$E24</f>
        <v>-2895.3829767454799</v>
      </c>
      <c r="CQ24" s="1021">
        <f>(VLOOKUP(YEAR($A24),'NY East Load Projections'!$A$4:$EO$14,((MONTH($A24)-1)*12)+VLOOKUP(CQ$4,$DE$6:$DF$17,2)+1))*(VLOOKUP($A24,SatSunCurve,7))*(INDEX(DailyScalarsTable,CQ$5/100,MONTH($A24)))*$E24</f>
        <v>-3219.477845953048</v>
      </c>
      <c r="CR24" s="1021">
        <f>(VLOOKUP(YEAR($A24),'NY East Load Projections'!$A$4:$EO$14,((MONTH($A24)-1)*12)+VLOOKUP(CR$4,$DE$6:$DF$17,2)+1))*(VLOOKUP($A24,SatSunCurve,7))*(INDEX(DailyScalarsTable,CR$5/100,MONTH($A24)))*$E24</f>
        <v>-3327.8353501609222</v>
      </c>
      <c r="CS24" s="1021">
        <f>(VLOOKUP(YEAR($A24),'NY East Load Projections'!$A$4:$EO$14,((MONTH($A24)-1)*12)+VLOOKUP(CS$4,$DE$6:$DF$17,2)+1))*(VLOOKUP($A24,SatSunCurve,7))*(INDEX(DailyScalarsTable,CS$5/100,MONTH($A24)))*$E24</f>
        <v>-3466.4321578686686</v>
      </c>
      <c r="CT24" s="1021">
        <f>(VLOOKUP(YEAR($A24),'NY East Load Projections'!$A$4:$EO$14,((MONTH($A24)-1)*12)+VLOOKUP(CT$4,$DE$6:$DF$17,2)+1))*(VLOOKUP($A24,SatSunCurve,7))*(INDEX(DailyScalarsTable,CT$5/100,MONTH($A24)))*$E24</f>
        <v>-3678.863264955271</v>
      </c>
      <c r="CU24" s="1021">
        <f>(VLOOKUP(YEAR($A24),'NY East Load Projections'!$A$4:$EO$14,((MONTH($A24)-1)*12)+VLOOKUP(CU$4,$DE$6:$DF$17,2)+1))*(VLOOKUP($A24,SatSunCurve,7))*(INDEX(DailyScalarsTable,CU$5/100,MONTH($A24)))*$E24</f>
        <v>-3635.0702173631157</v>
      </c>
      <c r="CV24" s="1021">
        <f>(VLOOKUP(YEAR($A24),'NY East Load Projections'!$A$4:$EO$14,((MONTH($A24)-1)*12)+VLOOKUP(CV$4,$DE$6:$DF$17,2)+1))*(VLOOKUP($A24,SatSunCurve,7))*(INDEX(DailyScalarsTable,CV$5/100,MONTH($A24)))*$E24</f>
        <v>-3544.992928382725</v>
      </c>
      <c r="CW24" s="1021">
        <f>(VLOOKUP(YEAR($A24),'NY East Load Projections'!$A$4:$EO$14,((MONTH($A24)-1)*12)+VLOOKUP(CW$4,$DE$6:$DF$17,2)+1))*(VLOOKUP($A24,SatSunCurve,7))*(INDEX(DailyScalarsTable,CW$5/100,MONTH($A24)))*$E24</f>
        <v>-2960.8331654285962</v>
      </c>
      <c r="CX24" s="1021">
        <f>(VLOOKUP(YEAR($A24),'NY East Load Projections'!$A$4:$EO$14,((MONTH($A24)-1)*12)+VLOOKUP(CX$4,$DE$6:$DF$17,2)+1))*(VLOOKUP($A24,SatSunCurve,7))*(INDEX(DailyScalarsTable,CX$5/100,MONTH($A24)))*$E24</f>
        <v>-2190.9042509458041</v>
      </c>
      <c r="CY24" s="1021">
        <f>(VLOOKUP(YEAR($A24),'NY East Load Projections'!$A$4:$EO$14,((MONTH($A24)-1)*12)+VLOOKUP(CY$4,$DE$6:$DF$17,2)+1))*(VLOOKUP($A24,SatSunCurve,7))*(INDEX(DailyScalarsTable,CY$5/100,MONTH($A24)))*$E24</f>
        <v>-2348.1377148744118</v>
      </c>
      <c r="CZ24" s="1021">
        <f>(VLOOKUP(YEAR($A24),'NY East Load Projections'!$A$4:$EO$14,((MONTH($A24)-1)*12)+VLOOKUP(CZ$4,$DE$6:$DF$17,2)+1))*(VLOOKUP($A24,SatSunCurve,7))*(INDEX(DailyScalarsTable,CZ$5/100,MONTH($A24)))*$E24</f>
        <v>-2488.1697010943831</v>
      </c>
      <c r="DA24" s="1021">
        <f>(VLOOKUP(YEAR($A24),'NY East Load Projections'!$A$4:$EO$14,((MONTH($A24)-1)*12)+VLOOKUP(DA$4,$DE$6:$DF$17,2)+1))*(VLOOKUP($A24,SatSunCurve,7))*(INDEX(DailyScalarsTable,DA$5/100,MONTH($A24)))*$E24</f>
        <v>-1727.928478609608</v>
      </c>
      <c r="DB24" s="1021">
        <f>(VLOOKUP(YEAR($A24),'NY East Load Projections'!$A$4:$EO$14,((MONTH($A24)-1)*12)+VLOOKUP(DB$4,$DE$6:$DF$17,2)+1))*(VLOOKUP($A24,CURVES!$D$9:$T$261,7))*(INDEX(DailyScalarsTable,DB$5/100,MONTH($A24)))*$E24</f>
        <v>-2699.0731197806404</v>
      </c>
      <c r="DH24" s="1032">
        <f t="shared" si="0"/>
        <v>-3433125.8602742837</v>
      </c>
      <c r="DI24">
        <f ca="1">CALC!J44</f>
        <v>0.84145367162451279</v>
      </c>
      <c r="DJ24" s="1029">
        <f t="shared" ca="1" si="1"/>
        <v>-2888816.3602768602</v>
      </c>
    </row>
    <row r="25" spans="1:114" x14ac:dyDescent="0.25">
      <c r="A25" s="244">
        <v>37469</v>
      </c>
      <c r="B25" s="13">
        <v>22</v>
      </c>
      <c r="C25" s="210">
        <v>5</v>
      </c>
      <c r="D25" s="210">
        <v>4</v>
      </c>
      <c r="E25" s="210">
        <v>0</v>
      </c>
      <c r="F25" s="13">
        <v>31</v>
      </c>
      <c r="H25" s="1021">
        <f>(VLOOKUP(YEAR($A25),'NY East Load Projections'!$A$4:$EO$14,((MONTH($A25)-1)*12)+VLOOKUP(H$4,$DE$6:$DF$17,2)+1))*(VLOOKUP($A25,CURVES!$D$9:$K$261,7))*(INDEX(DailyScalarsTable,H$5/100,MONTH($A25)))*$B25</f>
        <v>-53168.007687705904</v>
      </c>
      <c r="I25" s="1021">
        <f>(VLOOKUP(YEAR($A25),'NY East Load Projections'!$A$4:$EO$14,((MONTH($A25)-1)*12)+VLOOKUP(I$4,$DE$6:$DF$17,2)+1))*(VLOOKUP($A25,CURVES!$D$9:$K$261,7))*(INDEX(DailyScalarsTable,I$5/100,MONTH($A25)))*$B25</f>
        <v>-47995.691799383749</v>
      </c>
      <c r="J25" s="1021">
        <f>(VLOOKUP(YEAR($A25),'NY East Load Projections'!$A$4:$EO$14,((MONTH($A25)-1)*12)+VLOOKUP(J$4,$DE$6:$DF$17,2)+1))*(VLOOKUP($A25,CURVES!$D$9:$K$261,7))*(INDEX(DailyScalarsTable,J$5/100,MONTH($A25)))*$B25</f>
        <v>-43102.632402684627</v>
      </c>
      <c r="K25" s="1021">
        <f>(VLOOKUP(YEAR($A25),'NY East Load Projections'!$A$4:$EO$14,((MONTH($A25)-1)*12)+VLOOKUP(K$4,$DE$6:$DF$17,2)+1))*(VLOOKUP($A25,CURVES!$D$9:$K$261,7))*(INDEX(DailyScalarsTable,K$5/100,MONTH($A25)))*$B25</f>
        <v>-40552.899218300459</v>
      </c>
      <c r="L25" s="1021">
        <f>(VLOOKUP(YEAR($A25),'NY East Load Projections'!$A$4:$EO$14,((MONTH($A25)-1)*12)+VLOOKUP(L$4,$DE$6:$DF$17,2)+1))*(VLOOKUP($A25,CURVES!$D$9:$K$261,7))*(INDEX(DailyScalarsTable,L$5/100,MONTH($A25)))*$B25</f>
        <v>-43590.911224696443</v>
      </c>
      <c r="M25" s="1021">
        <f>(VLOOKUP(YEAR($A25),'NY East Load Projections'!$A$4:$EO$14,((MONTH($A25)-1)*12)+VLOOKUP(M$4,$DE$6:$DF$17,2)+1))*(VLOOKUP($A25,CURVES!$D$9:$K$261,7))*(INDEX(DailyScalarsTable,M$5/100,MONTH($A25)))*$B25</f>
        <v>-48431.551784693045</v>
      </c>
      <c r="N25" s="1021">
        <f>(VLOOKUP(YEAR($A25),'NY East Load Projections'!$A$4:$EO$14,((MONTH($A25)-1)*12)+VLOOKUP(N$4,$DE$6:$DF$17,2)+1))*(VLOOKUP($A25,CURVES!$D$9:$K$261,7))*(INDEX(DailyScalarsTable,N$5/100,MONTH($A25)))*$B25</f>
        <v>-56352.599973778342</v>
      </c>
      <c r="O25" s="1021">
        <f>(VLOOKUP(YEAR($A25),'NY East Load Projections'!$A$4:$EO$14,((MONTH($A25)-1)*12)+VLOOKUP(O$4,$DE$6:$DF$17,2)+1))*(VLOOKUP($A25,CURVES!$D$9:$K$261,3))*(INDEX(DailyScalarsTable,O$5/100,MONTH($A25)))*$B25</f>
        <v>-93465.116242574746</v>
      </c>
      <c r="P25" s="1021">
        <f>(VLOOKUP(YEAR($A25),'NY East Load Projections'!$A$4:$EO$14,((MONTH($A25)-1)*12)+VLOOKUP(P$4,$DE$6:$DF$17,2)+1))*(VLOOKUP($A25,CURVES!$D$9:$K$261,3))*(INDEX(DailyScalarsTable,P$5/100,MONTH($A25)))*$B25</f>
        <v>-108767.86233005456</v>
      </c>
      <c r="Q25" s="1021">
        <f>(VLOOKUP(YEAR($A25),'NY East Load Projections'!$A$4:$EO$14,((MONTH($A25)-1)*12)+VLOOKUP(Q$4,$DE$6:$DF$17,2)+1))*(VLOOKUP($A25,CURVES!$D$9:$K$261,3))*(INDEX(DailyScalarsTable,Q$5/100,MONTH($A25)))*$B25</f>
        <v>-139488.09190314042</v>
      </c>
      <c r="R25" s="1021">
        <f>(VLOOKUP(YEAR($A25),'NY East Load Projections'!$A$4:$EO$14,((MONTH($A25)-1)*12)+VLOOKUP(R$4,$DE$6:$DF$17,2)+1))*(VLOOKUP($A25,CURVES!$D$9:$K$261,3))*(INDEX(DailyScalarsTable,R$5/100,MONTH($A25)))*$B25</f>
        <v>-157433.57254484404</v>
      </c>
      <c r="S25" s="1021">
        <f>(VLOOKUP(YEAR($A25),'NY East Load Projections'!$A$4:$EO$14,((MONTH($A25)-1)*12)+VLOOKUP(S$4,$DE$6:$DF$17,2)+1))*(VLOOKUP($A25,CURVES!$D$9:$K$261,3))*(INDEX(DailyScalarsTable,S$5/100,MONTH($A25)))*$B25</f>
        <v>-164104.83032012143</v>
      </c>
      <c r="T25" s="1021">
        <f>(VLOOKUP(YEAR($A25),'NY East Load Projections'!$A$4:$EO$14,((MONTH($A25)-1)*12)+VLOOKUP(T$4,$DE$6:$DF$17,2)+1))*(VLOOKUP($A25,CURVES!$D$9:$K$261,3))*(INDEX(DailyScalarsTable,T$5/100,MONTH($A25)))*$B25</f>
        <v>-164729.88220248488</v>
      </c>
      <c r="U25" s="1021">
        <f>(VLOOKUP(YEAR($A25),'NY East Load Projections'!$A$4:$EO$14,((MONTH($A25)-1)*12)+VLOOKUP(U$4,$DE$6:$DF$17,2)+1))*(VLOOKUP($A25,CURVES!$D$9:$K$261,3))*(INDEX(DailyScalarsTable,U$5/100,MONTH($A25)))*$B25</f>
        <v>-180835.61859916575</v>
      </c>
      <c r="V25" s="1021">
        <f>(VLOOKUP(YEAR($A25),'NY East Load Projections'!$A$4:$EO$14,((MONTH($A25)-1)*12)+VLOOKUP(V$4,$DE$6:$DF$17,2)+1))*(VLOOKUP($A25,CURVES!$D$9:$K$261,3))*(INDEX(DailyScalarsTable,V$5/100,MONTH($A25)))*$B25</f>
        <v>-191442.83607315811</v>
      </c>
      <c r="W25" s="1021">
        <f>(VLOOKUP(YEAR($A25),'NY East Load Projections'!$A$4:$EO$14,((MONTH($A25)-1)*12)+VLOOKUP(W$4,$DE$6:$DF$17,2)+1))*(VLOOKUP($A25,CURVES!$D$9:$K$261,3))*(INDEX(DailyScalarsTable,W$5/100,MONTH($A25)))*$B25</f>
        <v>-188775.64405842114</v>
      </c>
      <c r="X25" s="1021">
        <f>(VLOOKUP(YEAR($A25),'NY East Load Projections'!$A$4:$EO$14,((MONTH($A25)-1)*12)+VLOOKUP(X$4,$DE$6:$DF$17,2)+1))*(VLOOKUP($A25,CURVES!$D$9:$K$261,3))*(INDEX(DailyScalarsTable,X$5/100,MONTH($A25)))*$B25</f>
        <v>-178389.07838397045</v>
      </c>
      <c r="Y25" s="1021">
        <f>(VLOOKUP(YEAR($A25),'NY East Load Projections'!$A$4:$EO$14,((MONTH($A25)-1)*12)+VLOOKUP(Y$4,$DE$6:$DF$17,2)+1))*(VLOOKUP($A25,CURVES!$D$9:$K$261,3))*(INDEX(DailyScalarsTable,Y$5/100,MONTH($A25)))*$B25</f>
        <v>-165199.31441628755</v>
      </c>
      <c r="Z25" s="1021">
        <f>(VLOOKUP(YEAR($A25),'NY East Load Projections'!$A$4:$EO$14,((MONTH($A25)-1)*12)+VLOOKUP(Z$4,$DE$6:$DF$17,2)+1))*(VLOOKUP($A25,CURVES!$D$9:$K$261,3))*(INDEX(DailyScalarsTable,Z$5/100,MONTH($A25)))*$B25</f>
        <v>-134654.59785954811</v>
      </c>
      <c r="AA25" s="1021">
        <f>(VLOOKUP(YEAR($A25),'NY East Load Projections'!$A$4:$EO$14,((MONTH($A25)-1)*12)+VLOOKUP(AA$4,$DE$6:$DF$17,2)+1))*(VLOOKUP($A25,CURVES!$D$9:$K$261,3))*(INDEX(DailyScalarsTable,AA$5/100,MONTH($A25)))*$B25</f>
        <v>-122595.38508909513</v>
      </c>
      <c r="AB25" s="1021">
        <f>(VLOOKUP(YEAR($A25),'NY East Load Projections'!$A$4:$EO$14,((MONTH($A25)-1)*12)+VLOOKUP(AB$4,$DE$6:$DF$17,2)+1))*(VLOOKUP($A25,CURVES!$D$9:$K$261,3))*(INDEX(DailyScalarsTable,AB$5/100,MONTH($A25)))*$B25</f>
        <v>-146902.99267581906</v>
      </c>
      <c r="AC25" s="1021">
        <f>(VLOOKUP(YEAR($A25),'NY East Load Projections'!$A$4:$EO$14,((MONTH($A25)-1)*12)+VLOOKUP(AC$4,$DE$6:$DF$17,2)+1))*(VLOOKUP($A25,CURVES!$D$9:$K$261,3))*(INDEX(DailyScalarsTable,AC$5/100,MONTH($A25)))*$B25</f>
        <v>-124915.71178670331</v>
      </c>
      <c r="AD25" s="1021">
        <f>(VLOOKUP(YEAR($A25),'NY East Load Projections'!$A$4:$EO$14,((MONTH($A25)-1)*12)+VLOOKUP(AD$4,$DE$6:$DF$17,2)+1))*(VLOOKUP($A25,CURVES!$D$9:$K$261,3))*(INDEX(DailyScalarsTable,AD$5/100,MONTH($A25)))*$B25</f>
        <v>-101152.82573987539</v>
      </c>
      <c r="AE25" s="1021">
        <f>(VLOOKUP(YEAR($A25),'NY East Load Projections'!$A$4:$EO$14,((MONTH($A25)-1)*12)+VLOOKUP(AE$4,$DE$6:$DF$17,2)+1))*(VLOOKUP($A25,CURVES!$D$9:$K$261,7))*(INDEX(DailyScalarsTable,AE$5/100,MONTH($A25)))*$B25</f>
        <v>-63397.918667975391</v>
      </c>
      <c r="AF25" s="1021"/>
      <c r="AG25" s="1021">
        <f>(VLOOKUP(YEAR($A25),'NY East Load Projections'!$A$4:$EO$14,((MONTH($A25)-1)*12)+VLOOKUP(AG$4,$DE$6:$DF$17,2)+1))*(VLOOKUP($A25,CURVES!$D$9:$T$261,7))*(INDEX(DailyScalarsTable,AG$5/100,MONTH($A25)))*$C25</f>
        <v>-11998.596281484657</v>
      </c>
      <c r="AH25" s="1021">
        <f>(VLOOKUP(YEAR($A25),'NY East Load Projections'!$A$4:$EO$14,((MONTH($A25)-1)*12)+VLOOKUP(AH$4,$DE$6:$DF$17,2)+1))*(VLOOKUP($A25,CURVES!$D$9:$T$261,7))*(INDEX(DailyScalarsTable,AH$5/100,MONTH($A25)))*$C25</f>
        <v>-10831.343023683228</v>
      </c>
      <c r="AI25" s="1021">
        <f>(VLOOKUP(YEAR($A25),'NY East Load Projections'!$A$4:$EO$14,((MONTH($A25)-1)*12)+VLOOKUP(AI$4,$DE$6:$DF$17,2)+1))*(VLOOKUP($A25,CURVES!$D$9:$T$261,7))*(INDEX(DailyScalarsTable,AI$5/100,MONTH($A25)))*$C25</f>
        <v>-9727.1104816785901</v>
      </c>
      <c r="AJ25" s="1021">
        <f>(VLOOKUP(YEAR($A25),'NY East Load Projections'!$A$4:$EO$14,((MONTH($A25)-1)*12)+VLOOKUP(AJ$4,$DE$6:$DF$17,2)+1))*(VLOOKUP($A25,CURVES!$D$9:$T$261,7))*(INDEX(DailyScalarsTable,AJ$5/100,MONTH($A25)))*$C25</f>
        <v>-9151.7039461426702</v>
      </c>
      <c r="AK25" s="1021">
        <f>(VLOOKUP(YEAR($A25),'NY East Load Projections'!$A$4:$EO$14,((MONTH($A25)-1)*12)+VLOOKUP(AK$4,$DE$6:$DF$17,2)+1))*(VLOOKUP($A25,CURVES!$D$9:$T$261,7))*(INDEX(DailyScalarsTable,AK$5/100,MONTH($A25)))*$C25</f>
        <v>-9668.7833731374558</v>
      </c>
      <c r="AL25" s="1021">
        <f>(VLOOKUP(YEAR($A25),'NY East Load Projections'!$A$4:$EO$14,((MONTH($A25)-1)*12)+VLOOKUP(AL$4,$DE$6:$DF$17,2)+1))*(VLOOKUP($A25,CURVES!$D$9:$T$261,7))*(INDEX(DailyScalarsTable,AL$5/100,MONTH($A25)))*$C25</f>
        <v>-10742.472902603258</v>
      </c>
      <c r="AM25" s="1021">
        <f>(VLOOKUP(YEAR($A25),'NY East Load Projections'!$A$4:$EO$14,((MONTH($A25)-1)*12)+VLOOKUP(AM$4,$DE$6:$DF$17,2)+1))*(VLOOKUP($A25,CURVES!$D$9:$T$261,7))*(INDEX(DailyScalarsTable,AM$5/100,MONTH($A25)))*$C25</f>
        <v>-12499.41940536547</v>
      </c>
      <c r="AN25" s="1021">
        <f>(VLOOKUP(YEAR($A25),'NY East Load Projections'!$A$4:$EO$14,((MONTH($A25)-1)*12)+VLOOKUP(AN$4,$DE$6:$DF$17,2)+1))*(VLOOKUP($A25,SatSunCurve,3))*(INDEX(DailyScalarsTable,AN$5/100,MONTH($A25)))*$C25</f>
        <v>-12811.453263262065</v>
      </c>
      <c r="AO25" s="1021">
        <f>(VLOOKUP(YEAR($A25),'NY East Load Projections'!$A$4:$EO$14,((MONTH($A25)-1)*12)+VLOOKUP(AO$4,$DE$6:$DF$17,2)+1))*(VLOOKUP($A25,SatSunCurve,3))*(INDEX(DailyScalarsTable,AO$5/100,MONTH($A25)))*$C25</f>
        <v>-15127.186312247755</v>
      </c>
      <c r="AP25" s="1021">
        <f>(VLOOKUP(YEAR($A25),'NY East Load Projections'!$A$4:$EO$14,((MONTH($A25)-1)*12)+VLOOKUP(AP$4,$DE$6:$DF$17,2)+1))*(VLOOKUP($A25,SatSunCurve,3))*(INDEX(DailyScalarsTable,AP$5/100,MONTH($A25)))*$C25</f>
        <v>-19399.685802004529</v>
      </c>
      <c r="AQ25" s="1021">
        <f>(VLOOKUP(YEAR($A25),'NY East Load Projections'!$A$4:$EO$14,((MONTH($A25)-1)*12)+VLOOKUP(AQ$4,$DE$6:$DF$17,2)+1))*(VLOOKUP($A25,SatSunCurve,3))*(INDEX(DailyScalarsTable,AQ$5/100,MONTH($A25)))*$C25</f>
        <v>-21895.50233562482</v>
      </c>
      <c r="AR25" s="1021">
        <f>(VLOOKUP(YEAR($A25),'NY East Load Projections'!$A$4:$EO$14,((MONTH($A25)-1)*12)+VLOOKUP(AR$4,$DE$6:$DF$17,2)+1))*(VLOOKUP($A25,SatSunCurve,3))*(INDEX(DailyScalarsTable,AR$5/100,MONTH($A25)))*$C25</f>
        <v>-22823.325657162757</v>
      </c>
      <c r="AS25" s="1021">
        <f>(VLOOKUP(YEAR($A25),'NY East Load Projections'!$A$4:$EO$14,((MONTH($A25)-1)*12)+VLOOKUP(AS$4,$DE$6:$DF$17,2)+1))*(VLOOKUP($A25,SatSunCurve,3))*(INDEX(DailyScalarsTable,AS$5/100,MONTH($A25)))*$C25</f>
        <v>-22965.461421548243</v>
      </c>
      <c r="AT25" s="1021">
        <f>(VLOOKUP(YEAR($A25),'NY East Load Projections'!$A$4:$EO$14,((MONTH($A25)-1)*12)+VLOOKUP(AT$4,$DE$6:$DF$17,2)+1))*(VLOOKUP($A25,SatSunCurve,3))*(INDEX(DailyScalarsTable,AT$5/100,MONTH($A25)))*$C25</f>
        <v>-25210.80794239958</v>
      </c>
      <c r="AU25" s="1021">
        <f>(VLOOKUP(YEAR($A25),'NY East Load Projections'!$A$4:$EO$14,((MONTH($A25)-1)*12)+VLOOKUP(AU$4,$DE$6:$DF$17,2)+1))*(VLOOKUP($A25,SatSunCurve,3))*(INDEX(DailyScalarsTable,AU$5/100,MONTH($A25)))*$C25</f>
        <v>-26689.590300718231</v>
      </c>
      <c r="AV25" s="1021">
        <f>(VLOOKUP(YEAR($A25),'NY East Load Projections'!$A$4:$EO$14,((MONTH($A25)-1)*12)+VLOOKUP(AV$4,$DE$6:$DF$17,2)+1))*(VLOOKUP($A25,SatSunCurve,3))*(INDEX(DailyScalarsTable,AV$5/100,MONTH($A25)))*$C25</f>
        <v>-26317.749475609093</v>
      </c>
      <c r="AW25" s="1021">
        <f>(VLOOKUP(YEAR($A25),'NY East Load Projections'!$A$4:$EO$14,((MONTH($A25)-1)*12)+VLOOKUP(AW$4,$DE$6:$DF$17,2)+1))*(VLOOKUP($A25,SatSunCurve,3))*(INDEX(DailyScalarsTable,AW$5/100,MONTH($A25)))*$C25</f>
        <v>-24878.407070475714</v>
      </c>
      <c r="AX25" s="1021">
        <f>(VLOOKUP(YEAR($A25),'NY East Load Projections'!$A$4:$EO$14,((MONTH($A25)-1)*12)+VLOOKUP(AX$4,$DE$6:$DF$17,2)+1))*(VLOOKUP($A25,SatSunCurve,3))*(INDEX(DailyScalarsTable,AX$5/100,MONTH($A25)))*$C25</f>
        <v>-23038.942905269319</v>
      </c>
      <c r="AY25" s="1021">
        <f>(VLOOKUP(YEAR($A25),'NY East Load Projections'!$A$4:$EO$14,((MONTH($A25)-1)*12)+VLOOKUP(AY$4,$DE$6:$DF$17,2)+1))*(VLOOKUP($A25,SatSunCurve,3))*(INDEX(DailyScalarsTable,AY$5/100,MONTH($A25)))*$C25</f>
        <v>-18779.131154265026</v>
      </c>
      <c r="AZ25" s="1021">
        <f>(VLOOKUP(YEAR($A25),'NY East Load Projections'!$A$4:$EO$14,((MONTH($A25)-1)*12)+VLOOKUP(AZ$4,$DE$6:$DF$17,2)+1))*(VLOOKUP($A25,SatSunCurve,3))*(INDEX(DailyScalarsTable,AZ$5/100,MONTH($A25)))*$C25</f>
        <v>-17097.335346076321</v>
      </c>
      <c r="BA25" s="1021">
        <f>(VLOOKUP(YEAR($A25),'NY East Load Projections'!$A$4:$EO$14,((MONTH($A25)-1)*12)+VLOOKUP(BA$4,$DE$6:$DF$17,2)+1))*(VLOOKUP($A25,SatSunCurve,3))*(INDEX(DailyScalarsTable,BA$5/100,MONTH($A25)))*$C25</f>
        <v>-20695.881246370391</v>
      </c>
      <c r="BB25" s="1021">
        <f>(VLOOKUP(YEAR($A25),'NY East Load Projections'!$A$4:$EO$14,((MONTH($A25)-1)*12)+VLOOKUP(BB$4,$DE$6:$DF$17,2)+1))*(VLOOKUP($A25,SatSunCurve,3))*(INDEX(DailyScalarsTable,BB$5/100,MONTH($A25)))*$C25</f>
        <v>-17598.285030506293</v>
      </c>
      <c r="BC25" s="1021">
        <f>(VLOOKUP(YEAR($A25),'NY East Load Projections'!$A$4:$EO$14,((MONTH($A25)-1)*12)+VLOOKUP(BC$4,$DE$6:$DF$17,2)+1))*(VLOOKUP($A25,SatSunCurve,3))*(INDEX(DailyScalarsTable,BC$5/100,MONTH($A25)))*$C25</f>
        <v>-14250.539292055219</v>
      </c>
      <c r="BD25" s="1021">
        <f>(VLOOKUP(YEAR($A25),'NY East Load Projections'!$A$4:$EO$14,((MONTH($A25)-1)*12)+VLOOKUP(BD$4,$DE$6:$DF$17,2)+1))*(VLOOKUP($A25,CURVES!$D$9:$T$261,7))*(INDEX(DailyScalarsTable,BD$5/100,MONTH($A25)))*$C25</f>
        <v>-14452.910628595091</v>
      </c>
      <c r="BE25" s="1021"/>
      <c r="BF25" s="1021">
        <f>(VLOOKUP(YEAR($A25),'NY East Load Projections'!$A$4:$EO$14,((MONTH($A25)-1)*12)+VLOOKUP(BF$4,$DE$6:$DF$17,2)+1))*(VLOOKUP($A25,CURVES!$D$9:$T$261,7))*(INDEX(DailyScalarsTable,BF$5/100,MONTH($A25)))*$D25</f>
        <v>-9598.8770251877249</v>
      </c>
      <c r="BG25" s="1021">
        <f>(VLOOKUP(YEAR($A25),'NY East Load Projections'!$A$4:$EO$14,((MONTH($A25)-1)*12)+VLOOKUP(BG$4,$DE$6:$DF$17,2)+1))*(VLOOKUP($A25,CURVES!$D$9:$T$261,7))*(INDEX(DailyScalarsTable,BG$5/100,MONTH($A25)))*$D25</f>
        <v>-8665.0744189465822</v>
      </c>
      <c r="BH25" s="1021">
        <f>(VLOOKUP(YEAR($A25),'NY East Load Projections'!$A$4:$EO$14,((MONTH($A25)-1)*12)+VLOOKUP(BH$4,$DE$6:$DF$17,2)+1))*(VLOOKUP($A25,CURVES!$D$9:$T$261,7))*(INDEX(DailyScalarsTable,BH$5/100,MONTH($A25)))*$D25</f>
        <v>-7781.6883853428717</v>
      </c>
      <c r="BI25" s="1021">
        <f>(VLOOKUP(YEAR($A25),'NY East Load Projections'!$A$4:$EO$14,((MONTH($A25)-1)*12)+VLOOKUP(BI$4,$DE$6:$DF$17,2)+1))*(VLOOKUP($A25,CURVES!$D$9:$T$261,7))*(INDEX(DailyScalarsTable,BI$5/100,MONTH($A25)))*$D25</f>
        <v>-7321.3631569141362</v>
      </c>
      <c r="BJ25" s="1021">
        <f>(VLOOKUP(YEAR($A25),'NY East Load Projections'!$A$4:$EO$14,((MONTH($A25)-1)*12)+VLOOKUP(BJ$4,$DE$6:$DF$17,2)+1))*(VLOOKUP($A25,CURVES!$D$9:$T$261,7))*(INDEX(DailyScalarsTable,BJ$5/100,MONTH($A25)))*$D25</f>
        <v>-7735.0266985099643</v>
      </c>
      <c r="BK25" s="1021">
        <f>(VLOOKUP(YEAR($A25),'NY East Load Projections'!$A$4:$EO$14,((MONTH($A25)-1)*12)+VLOOKUP(BK$4,$DE$6:$DF$17,2)+1))*(VLOOKUP($A25,CURVES!$D$9:$T$261,7))*(INDEX(DailyScalarsTable,BK$5/100,MONTH($A25)))*$D25</f>
        <v>-8593.9783220826066</v>
      </c>
      <c r="BL25" s="1021">
        <f>(VLOOKUP(YEAR($A25),'NY East Load Projections'!$A$4:$EO$14,((MONTH($A25)-1)*12)+VLOOKUP(BL$4,$DE$6:$DF$17,2)+1))*(VLOOKUP($A25,CURVES!$D$9:$T$261,7))*(INDEX(DailyScalarsTable,BL$5/100,MONTH($A25)))*$D25</f>
        <v>-9999.5355242923761</v>
      </c>
      <c r="BM25" s="1021">
        <f>(VLOOKUP(YEAR($A25),'NY East Load Projections'!$A$4:$EO$14,((MONTH($A25)-1)*12)+VLOOKUP(BM$4,$DE$6:$DF$17,2)+1))*(VLOOKUP($A25,SatSunCurve,7))*(INDEX(DailyScalarsTable,BM$5/100,MONTH($A25)))*$D25</f>
        <v>-7498.6143120904217</v>
      </c>
      <c r="BN25" s="1021">
        <f>(VLOOKUP(YEAR($A25),'NY East Load Projections'!$A$4:$EO$14,((MONTH($A25)-1)*12)+VLOOKUP(BN$4,$DE$6:$DF$17,2)+1))*(VLOOKUP($A25,SatSunCurve,7))*(INDEX(DailyScalarsTable,BN$5/100,MONTH($A25)))*$D25</f>
        <v>-8854.0256481251781</v>
      </c>
      <c r="BO25" s="1021">
        <f>(VLOOKUP(YEAR($A25),'NY East Load Projections'!$A$4:$EO$14,((MONTH($A25)-1)*12)+VLOOKUP(BO$4,$DE$6:$DF$17,2)+1))*(VLOOKUP($A25,SatSunCurve,7))*(INDEX(DailyScalarsTable,BO$5/100,MONTH($A25)))*$D25</f>
        <v>-11354.743182970376</v>
      </c>
      <c r="BP25" s="1021">
        <f>(VLOOKUP(YEAR($A25),'NY East Load Projections'!$A$4:$EO$14,((MONTH($A25)-1)*12)+VLOOKUP(BP$4,$DE$6:$DF$17,2)+1))*(VLOOKUP($A25,SatSunCurve,7))*(INDEX(DailyScalarsTable,BP$5/100,MONTH($A25)))*$D25</f>
        <v>-12815.558376592817</v>
      </c>
      <c r="BQ25" s="1021">
        <f>(VLOOKUP(YEAR($A25),'NY East Load Projections'!$A$4:$EO$14,((MONTH($A25)-1)*12)+VLOOKUP(BQ$4,$DE$6:$DF$17,2)+1))*(VLOOKUP($A25,SatSunCurve,7))*(INDEX(DailyScalarsTable,BQ$5/100,MONTH($A25)))*$D25</f>
        <v>-13358.618488120255</v>
      </c>
      <c r="BR25" s="1021">
        <f>(VLOOKUP(YEAR($A25),'NY East Load Projections'!$A$4:$EO$14,((MONTH($A25)-1)*12)+VLOOKUP(BR$4,$DE$6:$DF$17,2)+1))*(VLOOKUP($A25,SatSunCurve,7))*(INDEX(DailyScalarsTable,BR$5/100,MONTH($A25)))*$D25</f>
        <v>-13441.811335580993</v>
      </c>
      <c r="BS25" s="1021">
        <f>(VLOOKUP(YEAR($A25),'NY East Load Projections'!$A$4:$EO$14,((MONTH($A25)-1)*12)+VLOOKUP(BS$4,$DE$6:$DF$17,2)+1))*(VLOOKUP($A25,SatSunCurve,7))*(INDEX(DailyScalarsTable,BS$5/100,MONTH($A25)))*$D25</f>
        <v>-14756.025048176718</v>
      </c>
      <c r="BT25" s="1021">
        <f>(VLOOKUP(YEAR($A25),'NY East Load Projections'!$A$4:$EO$14,((MONTH($A25)-1)*12)+VLOOKUP(BT$4,$DE$6:$DF$17,2)+1))*(VLOOKUP($A25,SatSunCurve,7))*(INDEX(DailyScalarsTable,BT$5/100,MONTH($A25)))*$D25</f>
        <v>-15621.564525134669</v>
      </c>
      <c r="BU25" s="1021">
        <f>(VLOOKUP(YEAR($A25),'NY East Load Projections'!$A$4:$EO$14,((MONTH($A25)-1)*12)+VLOOKUP(BU$4,$DE$6:$DF$17,2)+1))*(VLOOKUP($A25,SatSunCurve,7))*(INDEX(DailyScalarsTable,BU$5/100,MONTH($A25)))*$D25</f>
        <v>-15403.924037698433</v>
      </c>
      <c r="BV25" s="1021">
        <f>(VLOOKUP(YEAR($A25),'NY East Load Projections'!$A$4:$EO$14,((MONTH($A25)-1)*12)+VLOOKUP(BV$4,$DE$6:$DF$17,2)+1))*(VLOOKUP($A25,SatSunCurve,7))*(INDEX(DailyScalarsTable,BV$5/100,MONTH($A25)))*$D25</f>
        <v>-14561.468983041839</v>
      </c>
      <c r="BW25" s="1021">
        <f>(VLOOKUP(YEAR($A25),'NY East Load Projections'!$A$4:$EO$14,((MONTH($A25)-1)*12)+VLOOKUP(BW$4,$DE$6:$DF$17,2)+1))*(VLOOKUP($A25,SatSunCurve,7))*(INDEX(DailyScalarsTable,BW$5/100,MONTH($A25)))*$D25</f>
        <v>-13484.820453608572</v>
      </c>
      <c r="BX25" s="1021">
        <f>(VLOOKUP(YEAR($A25),'NY East Load Projections'!$A$4:$EO$14,((MONTH($A25)-1)*12)+VLOOKUP(BX$4,$DE$6:$DF$17,2)+1))*(VLOOKUP($A25,SatSunCurve,7))*(INDEX(DailyScalarsTable,BX$5/100,MONTH($A25)))*$D25</f>
        <v>-10991.529122289423</v>
      </c>
      <c r="BY25" s="1021">
        <f>(VLOOKUP(YEAR($A25),'NY East Load Projections'!$A$4:$EO$14,((MONTH($A25)-1)*12)+VLOOKUP(BY$4,$DE$6:$DF$17,2)+1))*(VLOOKUP($A25,SatSunCurve,7))*(INDEX(DailyScalarsTable,BY$5/100,MONTH($A25)))*$D25</f>
        <v>-10007.164752521863</v>
      </c>
      <c r="BZ25" s="1021">
        <f>(VLOOKUP(YEAR($A25),'NY East Load Projections'!$A$4:$EO$14,((MONTH($A25)-1)*12)+VLOOKUP(BZ$4,$DE$6:$DF$17,2)+1))*(VLOOKUP($A25,SatSunCurve,7))*(INDEX(DailyScalarsTable,BZ$5/100,MONTH($A25)))*$D25</f>
        <v>-12113.41353134219</v>
      </c>
      <c r="CA25" s="1021">
        <f>(VLOOKUP(YEAR($A25),'NY East Load Projections'!$A$4:$EO$14,((MONTH($A25)-1)*12)+VLOOKUP(CA$4,$DE$6:$DF$17,2)+1))*(VLOOKUP($A25,SatSunCurve,7))*(INDEX(DailyScalarsTable,CA$5/100,MONTH($A25)))*$D25</f>
        <v>-10300.373367978133</v>
      </c>
      <c r="CB25" s="1021">
        <f>(VLOOKUP(YEAR($A25),'NY East Load Projections'!$A$4:$EO$14,((MONTH($A25)-1)*12)+VLOOKUP(CB$4,$DE$6:$DF$17,2)+1))*(VLOOKUP($A25,SatSunCurve,7))*(INDEX(DailyScalarsTable,CB$5/100,MONTH($A25)))*$D25</f>
        <v>-8340.9193082599249</v>
      </c>
      <c r="CC25" s="1021">
        <f>(VLOOKUP(YEAR($A25),'NY East Load Projections'!$A$4:$EO$14,((MONTH($A25)-1)*12)+VLOOKUP(CC$4,$DE$6:$DF$17,2)+1))*(VLOOKUP($A25,CURVES!$D$9:$T$261,7))*(INDEX(DailyScalarsTable,CC$5/100,MONTH($A25)))*$D25</f>
        <v>-11562.328502876073</v>
      </c>
      <c r="CE25" s="1021">
        <f>(VLOOKUP(YEAR($A25),'NY East Load Projections'!$A$4:$EO$14,((MONTH($A25)-1)*12)+VLOOKUP(CE$4,$DE$6:$DF$17,2)+1))*(VLOOKUP($A25,CURVES!$D$9:$T$261,7))*(INDEX(DailyScalarsTable,CE$5/100,MONTH($A25)))*$E25</f>
        <v>0</v>
      </c>
      <c r="CF25" s="1021">
        <f>(VLOOKUP(YEAR($A25),'NY East Load Projections'!$A$4:$EO$14,((MONTH($A25)-1)*12)+VLOOKUP(CF$4,$DE$6:$DF$17,2)+1))*(VLOOKUP($A25,CURVES!$D$9:$T$261,7))*(INDEX(DailyScalarsTable,CF$5/100,MONTH($A25)))*$E25</f>
        <v>0</v>
      </c>
      <c r="CG25" s="1021">
        <f>(VLOOKUP(YEAR($A25),'NY East Load Projections'!$A$4:$EO$14,((MONTH($A25)-1)*12)+VLOOKUP(CG$4,$DE$6:$DF$17,2)+1))*(VLOOKUP($A25,CURVES!$D$9:$T$261,7))*(INDEX(DailyScalarsTable,CG$5/100,MONTH($A25)))*$E25</f>
        <v>0</v>
      </c>
      <c r="CH25" s="1021">
        <f>(VLOOKUP(YEAR($A25),'NY East Load Projections'!$A$4:$EO$14,((MONTH($A25)-1)*12)+VLOOKUP(CH$4,$DE$6:$DF$17,2)+1))*(VLOOKUP($A25,CURVES!$D$9:$T$261,7))*(INDEX(DailyScalarsTable,CH$5/100,MONTH($A25)))*$E25</f>
        <v>0</v>
      </c>
      <c r="CI25" s="1021">
        <f>(VLOOKUP(YEAR($A25),'NY East Load Projections'!$A$4:$EO$14,((MONTH($A25)-1)*12)+VLOOKUP(CI$4,$DE$6:$DF$17,2)+1))*(VLOOKUP($A25,CURVES!$D$9:$T$261,7))*(INDEX(DailyScalarsTable,CI$5/100,MONTH($A25)))*$E25</f>
        <v>0</v>
      </c>
      <c r="CJ25" s="1021">
        <f>(VLOOKUP(YEAR($A25),'NY East Load Projections'!$A$4:$EO$14,((MONTH($A25)-1)*12)+VLOOKUP(CJ$4,$DE$6:$DF$17,2)+1))*(VLOOKUP($A25,CURVES!$D$9:$T$261,7))*(INDEX(DailyScalarsTable,CJ$5/100,MONTH($A25)))*$E25</f>
        <v>0</v>
      </c>
      <c r="CK25" s="1021">
        <f>(VLOOKUP(YEAR($A25),'NY East Load Projections'!$A$4:$EO$14,((MONTH($A25)-1)*12)+VLOOKUP(CK$4,$DE$6:$DF$17,2)+1))*(VLOOKUP($A25,CURVES!$D$9:$T$261,7))*(INDEX(DailyScalarsTable,CK$5/100,MONTH($A25)))*$E25</f>
        <v>0</v>
      </c>
      <c r="CL25" s="1021">
        <f>(VLOOKUP(YEAR($A25),'NY East Load Projections'!$A$4:$EO$14,((MONTH($A25)-1)*12)+VLOOKUP(CL$4,$DE$6:$DF$17,2)+1))*(VLOOKUP($A25,SatSunCurve,7))*(INDEX(DailyScalarsTable,CL$5/100,MONTH($A25)))*$E25</f>
        <v>0</v>
      </c>
      <c r="CM25" s="1021">
        <f>(VLOOKUP(YEAR($A25),'NY East Load Projections'!$A$4:$EO$14,((MONTH($A25)-1)*12)+VLOOKUP(CM$4,$DE$6:$DF$17,2)+1))*(VLOOKUP($A25,SatSunCurve,7))*(INDEX(DailyScalarsTable,CM$5/100,MONTH($A25)))*$E25</f>
        <v>0</v>
      </c>
      <c r="CN25" s="1021">
        <f>(VLOOKUP(YEAR($A25),'NY East Load Projections'!$A$4:$EO$14,((MONTH($A25)-1)*12)+VLOOKUP(CN$4,$DE$6:$DF$17,2)+1))*(VLOOKUP($A25,SatSunCurve,7))*(INDEX(DailyScalarsTable,CN$5/100,MONTH($A25)))*$E25</f>
        <v>0</v>
      </c>
      <c r="CO25" s="1021">
        <f>(VLOOKUP(YEAR($A25),'NY East Load Projections'!$A$4:$EO$14,((MONTH($A25)-1)*12)+VLOOKUP(CO$4,$DE$6:$DF$17,2)+1))*(VLOOKUP($A25,SatSunCurve,7))*(INDEX(DailyScalarsTable,CO$5/100,MONTH($A25)))*$E25</f>
        <v>0</v>
      </c>
      <c r="CP25" s="1021">
        <f>(VLOOKUP(YEAR($A25),'NY East Load Projections'!$A$4:$EO$14,((MONTH($A25)-1)*12)+VLOOKUP(CP$4,$DE$6:$DF$17,2)+1))*(VLOOKUP($A25,SatSunCurve,7))*(INDEX(DailyScalarsTable,CP$5/100,MONTH($A25)))*$E25</f>
        <v>0</v>
      </c>
      <c r="CQ25" s="1021">
        <f>(VLOOKUP(YEAR($A25),'NY East Load Projections'!$A$4:$EO$14,((MONTH($A25)-1)*12)+VLOOKUP(CQ$4,$DE$6:$DF$17,2)+1))*(VLOOKUP($A25,SatSunCurve,7))*(INDEX(DailyScalarsTable,CQ$5/100,MONTH($A25)))*$E25</f>
        <v>0</v>
      </c>
      <c r="CR25" s="1021">
        <f>(VLOOKUP(YEAR($A25),'NY East Load Projections'!$A$4:$EO$14,((MONTH($A25)-1)*12)+VLOOKUP(CR$4,$DE$6:$DF$17,2)+1))*(VLOOKUP($A25,SatSunCurve,7))*(INDEX(DailyScalarsTable,CR$5/100,MONTH($A25)))*$E25</f>
        <v>0</v>
      </c>
      <c r="CS25" s="1021">
        <f>(VLOOKUP(YEAR($A25),'NY East Load Projections'!$A$4:$EO$14,((MONTH($A25)-1)*12)+VLOOKUP(CS$4,$DE$6:$DF$17,2)+1))*(VLOOKUP($A25,SatSunCurve,7))*(INDEX(DailyScalarsTable,CS$5/100,MONTH($A25)))*$E25</f>
        <v>0</v>
      </c>
      <c r="CT25" s="1021">
        <f>(VLOOKUP(YEAR($A25),'NY East Load Projections'!$A$4:$EO$14,((MONTH($A25)-1)*12)+VLOOKUP(CT$4,$DE$6:$DF$17,2)+1))*(VLOOKUP($A25,SatSunCurve,7))*(INDEX(DailyScalarsTable,CT$5/100,MONTH($A25)))*$E25</f>
        <v>0</v>
      </c>
      <c r="CU25" s="1021">
        <f>(VLOOKUP(YEAR($A25),'NY East Load Projections'!$A$4:$EO$14,((MONTH($A25)-1)*12)+VLOOKUP(CU$4,$DE$6:$DF$17,2)+1))*(VLOOKUP($A25,SatSunCurve,7))*(INDEX(DailyScalarsTable,CU$5/100,MONTH($A25)))*$E25</f>
        <v>0</v>
      </c>
      <c r="CV25" s="1021">
        <f>(VLOOKUP(YEAR($A25),'NY East Load Projections'!$A$4:$EO$14,((MONTH($A25)-1)*12)+VLOOKUP(CV$4,$DE$6:$DF$17,2)+1))*(VLOOKUP($A25,SatSunCurve,7))*(INDEX(DailyScalarsTable,CV$5/100,MONTH($A25)))*$E25</f>
        <v>0</v>
      </c>
      <c r="CW25" s="1021">
        <f>(VLOOKUP(YEAR($A25),'NY East Load Projections'!$A$4:$EO$14,((MONTH($A25)-1)*12)+VLOOKUP(CW$4,$DE$6:$DF$17,2)+1))*(VLOOKUP($A25,SatSunCurve,7))*(INDEX(DailyScalarsTable,CW$5/100,MONTH($A25)))*$E25</f>
        <v>0</v>
      </c>
      <c r="CX25" s="1021">
        <f>(VLOOKUP(YEAR($A25),'NY East Load Projections'!$A$4:$EO$14,((MONTH($A25)-1)*12)+VLOOKUP(CX$4,$DE$6:$DF$17,2)+1))*(VLOOKUP($A25,SatSunCurve,7))*(INDEX(DailyScalarsTable,CX$5/100,MONTH($A25)))*$E25</f>
        <v>0</v>
      </c>
      <c r="CY25" s="1021">
        <f>(VLOOKUP(YEAR($A25),'NY East Load Projections'!$A$4:$EO$14,((MONTH($A25)-1)*12)+VLOOKUP(CY$4,$DE$6:$DF$17,2)+1))*(VLOOKUP($A25,SatSunCurve,7))*(INDEX(DailyScalarsTable,CY$5/100,MONTH($A25)))*$E25</f>
        <v>0</v>
      </c>
      <c r="CZ25" s="1021">
        <f>(VLOOKUP(YEAR($A25),'NY East Load Projections'!$A$4:$EO$14,((MONTH($A25)-1)*12)+VLOOKUP(CZ$4,$DE$6:$DF$17,2)+1))*(VLOOKUP($A25,SatSunCurve,7))*(INDEX(DailyScalarsTable,CZ$5/100,MONTH($A25)))*$E25</f>
        <v>0</v>
      </c>
      <c r="DA25" s="1021">
        <f>(VLOOKUP(YEAR($A25),'NY East Load Projections'!$A$4:$EO$14,((MONTH($A25)-1)*12)+VLOOKUP(DA$4,$DE$6:$DF$17,2)+1))*(VLOOKUP($A25,SatSunCurve,7))*(INDEX(DailyScalarsTable,DA$5/100,MONTH($A25)))*$E25</f>
        <v>0</v>
      </c>
      <c r="DB25" s="1021">
        <f>(VLOOKUP(YEAR($A25),'NY East Load Projections'!$A$4:$EO$14,((MONTH($A25)-1)*12)+VLOOKUP(DB$4,$DE$6:$DF$17,2)+1))*(VLOOKUP($A25,CURVES!$D$9:$T$261,7))*(INDEX(DailyScalarsTable,DB$5/100,MONTH($A25)))*$E25</f>
        <v>0</v>
      </c>
      <c r="DH25" s="1032">
        <f t="shared" si="0"/>
        <v>-3442259.6440904518</v>
      </c>
      <c r="DI25">
        <f ca="1">CALC!J45</f>
        <v>0.83623893173036756</v>
      </c>
      <c r="DJ25" s="1029">
        <f t="shared" ca="1" si="1"/>
        <v>-2878551.5275127548</v>
      </c>
    </row>
    <row r="26" spans="1:114" x14ac:dyDescent="0.25">
      <c r="A26" s="244">
        <v>37500</v>
      </c>
      <c r="B26" s="13">
        <v>20</v>
      </c>
      <c r="C26" s="210">
        <v>4</v>
      </c>
      <c r="D26" s="210">
        <v>5</v>
      </c>
      <c r="E26" s="210">
        <v>1</v>
      </c>
      <c r="F26" s="13">
        <v>30</v>
      </c>
      <c r="H26" s="1021">
        <f>(VLOOKUP(YEAR($A26),'NY East Load Projections'!$A$4:$EO$14,((MONTH($A26)-1)*12)+VLOOKUP(H$4,$DE$6:$DF$17,2)+1))*(VLOOKUP($A26,CURVES!$D$9:$K$261,7))*(INDEX(DailyScalarsTable,H$5/100,MONTH($A26)))*$B26</f>
        <v>-36052.525269103782</v>
      </c>
      <c r="I26" s="1021">
        <f>(VLOOKUP(YEAR($A26),'NY East Load Projections'!$A$4:$EO$14,((MONTH($A26)-1)*12)+VLOOKUP(I$4,$DE$6:$DF$17,2)+1))*(VLOOKUP($A26,CURVES!$D$9:$K$261,7))*(INDEX(DailyScalarsTable,I$5/100,MONTH($A26)))*$B26</f>
        <v>-31629.520518030084</v>
      </c>
      <c r="J26" s="1021">
        <f>(VLOOKUP(YEAR($A26),'NY East Load Projections'!$A$4:$EO$14,((MONTH($A26)-1)*12)+VLOOKUP(J$4,$DE$6:$DF$17,2)+1))*(VLOOKUP($A26,CURVES!$D$9:$K$261,7))*(INDEX(DailyScalarsTable,J$5/100,MONTH($A26)))*$B26</f>
        <v>-29660.688175419651</v>
      </c>
      <c r="K26" s="1021">
        <f>(VLOOKUP(YEAR($A26),'NY East Load Projections'!$A$4:$EO$14,((MONTH($A26)-1)*12)+VLOOKUP(K$4,$DE$6:$DF$17,2)+1))*(VLOOKUP($A26,CURVES!$D$9:$K$261,7))*(INDEX(DailyScalarsTable,K$5/100,MONTH($A26)))*$B26</f>
        <v>-30100.241442607105</v>
      </c>
      <c r="L26" s="1021">
        <f>(VLOOKUP(YEAR($A26),'NY East Load Projections'!$A$4:$EO$14,((MONTH($A26)-1)*12)+VLOOKUP(L$4,$DE$6:$DF$17,2)+1))*(VLOOKUP($A26,CURVES!$D$9:$K$261,7))*(INDEX(DailyScalarsTable,L$5/100,MONTH($A26)))*$B26</f>
        <v>-33777.471258038582</v>
      </c>
      <c r="M26" s="1021">
        <f>(VLOOKUP(YEAR($A26),'NY East Load Projections'!$A$4:$EO$14,((MONTH($A26)-1)*12)+VLOOKUP(M$4,$DE$6:$DF$17,2)+1))*(VLOOKUP($A26,CURVES!$D$9:$K$261,7))*(INDEX(DailyScalarsTable,M$5/100,MONTH($A26)))*$B26</f>
        <v>-39088.214837070853</v>
      </c>
      <c r="N26" s="1021">
        <f>(VLOOKUP(YEAR($A26),'NY East Load Projections'!$A$4:$EO$14,((MONTH($A26)-1)*12)+VLOOKUP(N$4,$DE$6:$DF$17,2)+1))*(VLOOKUP($A26,CURVES!$D$9:$K$261,7))*(INDEX(DailyScalarsTable,N$5/100,MONTH($A26)))*$B26</f>
        <v>-53155.023098378544</v>
      </c>
      <c r="O26" s="1021">
        <f>(VLOOKUP(YEAR($A26),'NY East Load Projections'!$A$4:$EO$14,((MONTH($A26)-1)*12)+VLOOKUP(O$4,$DE$6:$DF$17,2)+1))*(VLOOKUP($A26,CURVES!$D$9:$K$261,3))*(INDEX(DailyScalarsTable,O$5/100,MONTH($A26)))*$B26</f>
        <v>-48327.701276567183</v>
      </c>
      <c r="P26" s="1021">
        <f>(VLOOKUP(YEAR($A26),'NY East Load Projections'!$A$4:$EO$14,((MONTH($A26)-1)*12)+VLOOKUP(P$4,$DE$6:$DF$17,2)+1))*(VLOOKUP($A26,CURVES!$D$9:$K$261,3))*(INDEX(DailyScalarsTable,P$5/100,MONTH($A26)))*$B26</f>
        <v>-50062.111729817036</v>
      </c>
      <c r="Q26" s="1021">
        <f>(VLOOKUP(YEAR($A26),'NY East Load Projections'!$A$4:$EO$14,((MONTH($A26)-1)*12)+VLOOKUP(Q$4,$DE$6:$DF$17,2)+1))*(VLOOKUP($A26,CURVES!$D$9:$K$261,3))*(INDEX(DailyScalarsTable,Q$5/100,MONTH($A26)))*$B26</f>
        <v>-62493.189406316786</v>
      </c>
      <c r="R26" s="1021">
        <f>(VLOOKUP(YEAR($A26),'NY East Load Projections'!$A$4:$EO$14,((MONTH($A26)-1)*12)+VLOOKUP(R$4,$DE$6:$DF$17,2)+1))*(VLOOKUP($A26,CURVES!$D$9:$K$261,3))*(INDEX(DailyScalarsTable,R$5/100,MONTH($A26)))*$B26</f>
        <v>-66739.830848599318</v>
      </c>
      <c r="S26" s="1021">
        <f>(VLOOKUP(YEAR($A26),'NY East Load Projections'!$A$4:$EO$14,((MONTH($A26)-1)*12)+VLOOKUP(S$4,$DE$6:$DF$17,2)+1))*(VLOOKUP($A26,CURVES!$D$9:$K$261,3))*(INDEX(DailyScalarsTable,S$5/100,MONTH($A26)))*$B26</f>
        <v>-71111.941242585657</v>
      </c>
      <c r="T26" s="1021">
        <f>(VLOOKUP(YEAR($A26),'NY East Load Projections'!$A$4:$EO$14,((MONTH($A26)-1)*12)+VLOOKUP(T$4,$DE$6:$DF$17,2)+1))*(VLOOKUP($A26,CURVES!$D$9:$K$261,3))*(INDEX(DailyScalarsTable,T$5/100,MONTH($A26)))*$B26</f>
        <v>-67820.669528552171</v>
      </c>
      <c r="U26" s="1021">
        <f>(VLOOKUP(YEAR($A26),'NY East Load Projections'!$A$4:$EO$14,((MONTH($A26)-1)*12)+VLOOKUP(U$4,$DE$6:$DF$17,2)+1))*(VLOOKUP($A26,CURVES!$D$9:$K$261,3))*(INDEX(DailyScalarsTable,U$5/100,MONTH($A26)))*$B26</f>
        <v>-73418.040703938619</v>
      </c>
      <c r="V26" s="1021">
        <f>(VLOOKUP(YEAR($A26),'NY East Load Projections'!$A$4:$EO$14,((MONTH($A26)-1)*12)+VLOOKUP(V$4,$DE$6:$DF$17,2)+1))*(VLOOKUP($A26,CURVES!$D$9:$K$261,3))*(INDEX(DailyScalarsTable,V$5/100,MONTH($A26)))*$B26</f>
        <v>-72259.628234597825</v>
      </c>
      <c r="W26" s="1021">
        <f>(VLOOKUP(YEAR($A26),'NY East Load Projections'!$A$4:$EO$14,((MONTH($A26)-1)*12)+VLOOKUP(W$4,$DE$6:$DF$17,2)+1))*(VLOOKUP($A26,CURVES!$D$9:$K$261,3))*(INDEX(DailyScalarsTable,W$5/100,MONTH($A26)))*$B26</f>
        <v>-70001.21064731144</v>
      </c>
      <c r="X26" s="1021">
        <f>(VLOOKUP(YEAR($A26),'NY East Load Projections'!$A$4:$EO$14,((MONTH($A26)-1)*12)+VLOOKUP(X$4,$DE$6:$DF$17,2)+1))*(VLOOKUP($A26,CURVES!$D$9:$K$261,3))*(INDEX(DailyScalarsTable,X$5/100,MONTH($A26)))*$B26</f>
        <v>-72684.998639013909</v>
      </c>
      <c r="Y26" s="1021">
        <f>(VLOOKUP(YEAR($A26),'NY East Load Projections'!$A$4:$EO$14,((MONTH($A26)-1)*12)+VLOOKUP(Y$4,$DE$6:$DF$17,2)+1))*(VLOOKUP($A26,CURVES!$D$9:$K$261,3))*(INDEX(DailyScalarsTable,Y$5/100,MONTH($A26)))*$B26</f>
        <v>-70901.89344322143</v>
      </c>
      <c r="Z26" s="1021">
        <f>(VLOOKUP(YEAR($A26),'NY East Load Projections'!$A$4:$EO$14,((MONTH($A26)-1)*12)+VLOOKUP(Z$4,$DE$6:$DF$17,2)+1))*(VLOOKUP($A26,CURVES!$D$9:$K$261,3))*(INDEX(DailyScalarsTable,Z$5/100,MONTH($A26)))*$B26</f>
        <v>-58072.920797704057</v>
      </c>
      <c r="AA26" s="1021">
        <f>(VLOOKUP(YEAR($A26),'NY East Load Projections'!$A$4:$EO$14,((MONTH($A26)-1)*12)+VLOOKUP(AA$4,$DE$6:$DF$17,2)+1))*(VLOOKUP($A26,CURVES!$D$9:$K$261,3))*(INDEX(DailyScalarsTable,AA$5/100,MONTH($A26)))*$B26</f>
        <v>-75894.587991440334</v>
      </c>
      <c r="AB26" s="1021">
        <f>(VLOOKUP(YEAR($A26),'NY East Load Projections'!$A$4:$EO$14,((MONTH($A26)-1)*12)+VLOOKUP(AB$4,$DE$6:$DF$17,2)+1))*(VLOOKUP($A26,CURVES!$D$9:$K$261,3))*(INDEX(DailyScalarsTable,AB$5/100,MONTH($A26)))*$B26</f>
        <v>-72677.140299637889</v>
      </c>
      <c r="AC26" s="1021">
        <f>(VLOOKUP(YEAR($A26),'NY East Load Projections'!$A$4:$EO$14,((MONTH($A26)-1)*12)+VLOOKUP(AC$4,$DE$6:$DF$17,2)+1))*(VLOOKUP($A26,CURVES!$D$9:$K$261,3))*(INDEX(DailyScalarsTable,AC$5/100,MONTH($A26)))*$B26</f>
        <v>-55314.487699233825</v>
      </c>
      <c r="AD26" s="1021">
        <f>(VLOOKUP(YEAR($A26),'NY East Load Projections'!$A$4:$EO$14,((MONTH($A26)-1)*12)+VLOOKUP(AD$4,$DE$6:$DF$17,2)+1))*(VLOOKUP($A26,CURVES!$D$9:$K$261,3))*(INDEX(DailyScalarsTable,AD$5/100,MONTH($A26)))*$B26</f>
        <v>-43834.458669808584</v>
      </c>
      <c r="AE26" s="1021">
        <f>(VLOOKUP(YEAR($A26),'NY East Load Projections'!$A$4:$EO$14,((MONTH($A26)-1)*12)+VLOOKUP(AE$4,$DE$6:$DF$17,2)+1))*(VLOOKUP($A26,CURVES!$D$9:$K$261,7))*(INDEX(DailyScalarsTable,AE$5/100,MONTH($A26)))*$B26</f>
        <v>-41382.0077046765</v>
      </c>
      <c r="AF26" s="1021"/>
      <c r="AG26" s="1021">
        <f>(VLOOKUP(YEAR($A26),'NY East Load Projections'!$A$4:$EO$14,((MONTH($A26)-1)*12)+VLOOKUP(AG$4,$DE$6:$DF$17,2)+1))*(VLOOKUP($A26,CURVES!$D$9:$T$261,7))*(INDEX(DailyScalarsTable,AG$5/100,MONTH($A26)))*$C26</f>
        <v>-7402.7036318758319</v>
      </c>
      <c r="AH26" s="1021">
        <f>(VLOOKUP(YEAR($A26),'NY East Load Projections'!$A$4:$EO$14,((MONTH($A26)-1)*12)+VLOOKUP(AH$4,$DE$6:$DF$17,2)+1))*(VLOOKUP($A26,CURVES!$D$9:$T$261,7))*(INDEX(DailyScalarsTable,AH$5/100,MONTH($A26)))*$C26</f>
        <v>-6494.5233285494342</v>
      </c>
      <c r="AI26" s="1021">
        <f>(VLOOKUP(YEAR($A26),'NY East Load Projections'!$A$4:$EO$14,((MONTH($A26)-1)*12)+VLOOKUP(AI$4,$DE$6:$DF$17,2)+1))*(VLOOKUP($A26,CURVES!$D$9:$T$261,7))*(INDEX(DailyScalarsTable,AI$5/100,MONTH($A26)))*$C26</f>
        <v>-6090.2608746877886</v>
      </c>
      <c r="AJ26" s="1021">
        <f>(VLOOKUP(YEAR($A26),'NY East Load Projections'!$A$4:$EO$14,((MONTH($A26)-1)*12)+VLOOKUP(AJ$4,$DE$6:$DF$17,2)+1))*(VLOOKUP($A26,CURVES!$D$9:$T$261,7))*(INDEX(DailyScalarsTable,AJ$5/100,MONTH($A26)))*$C26</f>
        <v>-6180.5148178755062</v>
      </c>
      <c r="AK26" s="1021">
        <f>(VLOOKUP(YEAR($A26),'NY East Load Projections'!$A$4:$EO$14,((MONTH($A26)-1)*12)+VLOOKUP(AK$4,$DE$6:$DF$17,2)+1))*(VLOOKUP($A26,CURVES!$D$9:$T$261,7))*(INDEX(DailyScalarsTable,AK$5/100,MONTH($A26)))*$C26</f>
        <v>-6736.3801696912806</v>
      </c>
      <c r="AL26" s="1021">
        <f>(VLOOKUP(YEAR($A26),'NY East Load Projections'!$A$4:$EO$14,((MONTH($A26)-1)*12)+VLOOKUP(AL$4,$DE$6:$DF$17,2)+1))*(VLOOKUP($A26,CURVES!$D$9:$T$261,7))*(INDEX(DailyScalarsTable,AL$5/100,MONTH($A26)))*$C26</f>
        <v>-7795.5236283240602</v>
      </c>
      <c r="AM26" s="1021">
        <f>(VLOOKUP(YEAR($A26),'NY East Load Projections'!$A$4:$EO$14,((MONTH($A26)-1)*12)+VLOOKUP(AM$4,$DE$6:$DF$17,2)+1))*(VLOOKUP($A26,CURVES!$D$9:$T$261,7))*(INDEX(DailyScalarsTable,AM$5/100,MONTH($A26)))*$C26</f>
        <v>-10600.925119111243</v>
      </c>
      <c r="AN26" s="1021">
        <f>(VLOOKUP(YEAR($A26),'NY East Load Projections'!$A$4:$EO$14,((MONTH($A26)-1)*12)+VLOOKUP(AN$4,$DE$6:$DF$17,2)+1))*(VLOOKUP($A26,SatSunCurve,3))*(INDEX(DailyScalarsTable,AN$5/100,MONTH($A26)))*$C26</f>
        <v>-6689.7815158766916</v>
      </c>
      <c r="AO26" s="1021">
        <f>(VLOOKUP(YEAR($A26),'NY East Load Projections'!$A$4:$EO$14,((MONTH($A26)-1)*12)+VLOOKUP(AO$4,$DE$6:$DF$17,2)+1))*(VLOOKUP($A26,SatSunCurve,3))*(INDEX(DailyScalarsTable,AO$5/100,MONTH($A26)))*$C26</f>
        <v>-7133.4777441898996</v>
      </c>
      <c r="AP26" s="1021">
        <f>(VLOOKUP(YEAR($A26),'NY East Load Projections'!$A$4:$EO$14,((MONTH($A26)-1)*12)+VLOOKUP(AP$4,$DE$6:$DF$17,2)+1))*(VLOOKUP($A26,SatSunCurve,3))*(INDEX(DailyScalarsTable,AP$5/100,MONTH($A26)))*$C26</f>
        <v>-8904.8136482802347</v>
      </c>
      <c r="AQ26" s="1021">
        <f>(VLOOKUP(YEAR($A26),'NY East Load Projections'!$A$4:$EO$14,((MONTH($A26)-1)*12)+VLOOKUP(AQ$4,$DE$6:$DF$17,2)+1))*(VLOOKUP($A26,SatSunCurve,3))*(INDEX(DailyScalarsTable,AQ$5/100,MONTH($A26)))*$C26</f>
        <v>-9509.9283981247609</v>
      </c>
      <c r="AR26" s="1021">
        <f>(VLOOKUP(YEAR($A26),'NY East Load Projections'!$A$4:$EO$14,((MONTH($A26)-1)*12)+VLOOKUP(AR$4,$DE$6:$DF$17,2)+1))*(VLOOKUP($A26,SatSunCurve,3))*(INDEX(DailyScalarsTable,AR$5/100,MONTH($A26)))*$C26</f>
        <v>-10132.921538305603</v>
      </c>
      <c r="AS26" s="1021">
        <f>(VLOOKUP(YEAR($A26),'NY East Load Projections'!$A$4:$EO$14,((MONTH($A26)-1)*12)+VLOOKUP(AS$4,$DE$6:$DF$17,2)+1))*(VLOOKUP($A26,SatSunCurve,3))*(INDEX(DailyScalarsTable,AS$5/100,MONTH($A26)))*$C26</f>
        <v>-9695.7848455597341</v>
      </c>
      <c r="AT26" s="1021">
        <f>(VLOOKUP(YEAR($A26),'NY East Load Projections'!$A$4:$EO$14,((MONTH($A26)-1)*12)+VLOOKUP(AT$4,$DE$6:$DF$17,2)+1))*(VLOOKUP($A26,SatSunCurve,3))*(INDEX(DailyScalarsTable,AT$5/100,MONTH($A26)))*$C26</f>
        <v>-10495.996742530719</v>
      </c>
      <c r="AU26" s="1021">
        <f>(VLOOKUP(YEAR($A26),'NY East Load Projections'!$A$4:$EO$14,((MONTH($A26)-1)*12)+VLOOKUP(AU$4,$DE$6:$DF$17,2)+1))*(VLOOKUP($A26,SatSunCurve,3))*(INDEX(DailyScalarsTable,AU$5/100,MONTH($A26)))*$C26</f>
        <v>-10330.387671679338</v>
      </c>
      <c r="AV26" s="1021">
        <f>(VLOOKUP(YEAR($A26),'NY East Load Projections'!$A$4:$EO$14,((MONTH($A26)-1)*12)+VLOOKUP(AV$4,$DE$6:$DF$17,2)+1))*(VLOOKUP($A26,SatSunCurve,3))*(INDEX(DailyScalarsTable,AV$5/100,MONTH($A26)))*$C26</f>
        <v>-10007.519567162346</v>
      </c>
      <c r="AW26" s="1021">
        <f>(VLOOKUP(YEAR($A26),'NY East Load Projections'!$A$4:$EO$14,((MONTH($A26)-1)*12)+VLOOKUP(AW$4,$DE$6:$DF$17,2)+1))*(VLOOKUP($A26,SatSunCurve,3))*(INDEX(DailyScalarsTable,AW$5/100,MONTH($A26)))*$C26</f>
        <v>-10361.478513475598</v>
      </c>
      <c r="AX26" s="1021">
        <f>(VLOOKUP(YEAR($A26),'NY East Load Projections'!$A$4:$EO$14,((MONTH($A26)-1)*12)+VLOOKUP(AX$4,$DE$6:$DF$17,2)+1))*(VLOOKUP($A26,SatSunCurve,3))*(INDEX(DailyScalarsTable,AX$5/100,MONTH($A26)))*$C26</f>
        <v>-10107.291177444562</v>
      </c>
      <c r="AY26" s="1021">
        <f>(VLOOKUP(YEAR($A26),'NY East Load Projections'!$A$4:$EO$14,((MONTH($A26)-1)*12)+VLOOKUP(AY$4,$DE$6:$DF$17,2)+1))*(VLOOKUP($A26,SatSunCurve,3))*(INDEX(DailyScalarsTable,AY$5/100,MONTH($A26)))*$C26</f>
        <v>-8278.4801861054839</v>
      </c>
      <c r="AZ26" s="1021">
        <f>(VLOOKUP(YEAR($A26),'NY East Load Projections'!$A$4:$EO$14,((MONTH($A26)-1)*12)+VLOOKUP(AZ$4,$DE$6:$DF$17,2)+1))*(VLOOKUP($A26,SatSunCurve,3))*(INDEX(DailyScalarsTable,AZ$5/100,MONTH($A26)))*$C26</f>
        <v>-10819.015718331459</v>
      </c>
      <c r="BA26" s="1021">
        <f>(VLOOKUP(YEAR($A26),'NY East Load Projections'!$A$4:$EO$14,((MONTH($A26)-1)*12)+VLOOKUP(BA$4,$DE$6:$DF$17,2)+1))*(VLOOKUP($A26,SatSunCurve,3))*(INDEX(DailyScalarsTable,BA$5/100,MONTH($A26)))*$C26</f>
        <v>-10599.551578706343</v>
      </c>
      <c r="BB26" s="1021">
        <f>(VLOOKUP(YEAR($A26),'NY East Load Projections'!$A$4:$EO$14,((MONTH($A26)-1)*12)+VLOOKUP(BB$4,$DE$6:$DF$17,2)+1))*(VLOOKUP($A26,SatSunCurve,3))*(INDEX(DailyScalarsTable,BB$5/100,MONTH($A26)))*$C26</f>
        <v>-8067.3064873009016</v>
      </c>
      <c r="BC26" s="1021">
        <f>(VLOOKUP(YEAR($A26),'NY East Load Projections'!$A$4:$EO$14,((MONTH($A26)-1)*12)+VLOOKUP(BC$4,$DE$6:$DF$17,2)+1))*(VLOOKUP($A26,SatSunCurve,3))*(INDEX(DailyScalarsTable,BC$5/100,MONTH($A26)))*$C26</f>
        <v>-6393.0089114640432</v>
      </c>
      <c r="BD26" s="1021">
        <f>(VLOOKUP(YEAR($A26),'NY East Load Projections'!$A$4:$EO$14,((MONTH($A26)-1)*12)+VLOOKUP(BD$4,$DE$6:$DF$17,2)+1))*(VLOOKUP($A26,CURVES!$D$9:$T$261,7))*(INDEX(DailyScalarsTable,BD$5/100,MONTH($A26)))*$C26</f>
        <v>-8695.3061811351199</v>
      </c>
      <c r="BE26" s="1021"/>
      <c r="BF26" s="1021">
        <f>(VLOOKUP(YEAR($A26),'NY East Load Projections'!$A$4:$EO$14,((MONTH($A26)-1)*12)+VLOOKUP(BF$4,$DE$6:$DF$17,2)+1))*(VLOOKUP($A26,CURVES!$D$9:$T$261,7))*(INDEX(DailyScalarsTable,BF$5/100,MONTH($A26)))*$D26</f>
        <v>-9253.3795398447892</v>
      </c>
      <c r="BG26" s="1021">
        <f>(VLOOKUP(YEAR($A26),'NY East Load Projections'!$A$4:$EO$14,((MONTH($A26)-1)*12)+VLOOKUP(BG$4,$DE$6:$DF$17,2)+1))*(VLOOKUP($A26,CURVES!$D$9:$T$261,7))*(INDEX(DailyScalarsTable,BG$5/100,MONTH($A26)))*$D26</f>
        <v>-8118.1541606867922</v>
      </c>
      <c r="BH26" s="1021">
        <f>(VLOOKUP(YEAR($A26),'NY East Load Projections'!$A$4:$EO$14,((MONTH($A26)-1)*12)+VLOOKUP(BH$4,$DE$6:$DF$17,2)+1))*(VLOOKUP($A26,CURVES!$D$9:$T$261,7))*(INDEX(DailyScalarsTable,BH$5/100,MONTH($A26)))*$D26</f>
        <v>-7612.8260933597358</v>
      </c>
      <c r="BI26" s="1021">
        <f>(VLOOKUP(YEAR($A26),'NY East Load Projections'!$A$4:$EO$14,((MONTH($A26)-1)*12)+VLOOKUP(BI$4,$DE$6:$DF$17,2)+1))*(VLOOKUP($A26,CURVES!$D$9:$T$261,7))*(INDEX(DailyScalarsTable,BI$5/100,MONTH($A26)))*$D26</f>
        <v>-7725.6435223443823</v>
      </c>
      <c r="BJ26" s="1021">
        <f>(VLOOKUP(YEAR($A26),'NY East Load Projections'!$A$4:$EO$14,((MONTH($A26)-1)*12)+VLOOKUP(BJ$4,$DE$6:$DF$17,2)+1))*(VLOOKUP($A26,CURVES!$D$9:$T$261,7))*(INDEX(DailyScalarsTable,BJ$5/100,MONTH($A26)))*$D26</f>
        <v>-8420.4752121141009</v>
      </c>
      <c r="BK26" s="1021">
        <f>(VLOOKUP(YEAR($A26),'NY East Load Projections'!$A$4:$EO$14,((MONTH($A26)-1)*12)+VLOOKUP(BK$4,$DE$6:$DF$17,2)+1))*(VLOOKUP($A26,CURVES!$D$9:$T$261,7))*(INDEX(DailyScalarsTable,BK$5/100,MONTH($A26)))*$D26</f>
        <v>-9744.4045354050759</v>
      </c>
      <c r="BL26" s="1021">
        <f>(VLOOKUP(YEAR($A26),'NY East Load Projections'!$A$4:$EO$14,((MONTH($A26)-1)*12)+VLOOKUP(BL$4,$DE$6:$DF$17,2)+1))*(VLOOKUP($A26,CURVES!$D$9:$T$261,7))*(INDEX(DailyScalarsTable,BL$5/100,MONTH($A26)))*$D26</f>
        <v>-13251.156398889054</v>
      </c>
      <c r="BM26" s="1021">
        <f>(VLOOKUP(YEAR($A26),'NY East Load Projections'!$A$4:$EO$14,((MONTH($A26)-1)*12)+VLOOKUP(BM$4,$DE$6:$DF$17,2)+1))*(VLOOKUP($A26,SatSunCurve,7))*(INDEX(DailyScalarsTable,BM$5/100,MONTH($A26)))*$D26</f>
        <v>-8542.9433097103956</v>
      </c>
      <c r="BN26" s="1021">
        <f>(VLOOKUP(YEAR($A26),'NY East Load Projections'!$A$4:$EO$14,((MONTH($A26)-1)*12)+VLOOKUP(BN$4,$DE$6:$DF$17,2)+1))*(VLOOKUP($A26,SatSunCurve,7))*(INDEX(DailyScalarsTable,BN$5/100,MONTH($A26)))*$D26</f>
        <v>-9109.5495159394359</v>
      </c>
      <c r="BO26" s="1021">
        <f>(VLOOKUP(YEAR($A26),'NY East Load Projections'!$A$4:$EO$14,((MONTH($A26)-1)*12)+VLOOKUP(BO$4,$DE$6:$DF$17,2)+1))*(VLOOKUP($A26,SatSunCurve,7))*(INDEX(DailyScalarsTable,BO$5/100,MONTH($A26)))*$D26</f>
        <v>-11371.569908561369</v>
      </c>
      <c r="BP26" s="1021">
        <f>(VLOOKUP(YEAR($A26),'NY East Load Projections'!$A$4:$EO$14,((MONTH($A26)-1)*12)+VLOOKUP(BP$4,$DE$6:$DF$17,2)+1))*(VLOOKUP($A26,SatSunCurve,7))*(INDEX(DailyScalarsTable,BP$5/100,MONTH($A26)))*$D26</f>
        <v>-12144.309794239671</v>
      </c>
      <c r="BQ26" s="1021">
        <f>(VLOOKUP(YEAR($A26),'NY East Load Projections'!$A$4:$EO$14,((MONTH($A26)-1)*12)+VLOOKUP(BQ$4,$DE$6:$DF$17,2)+1))*(VLOOKUP($A26,SatSunCurve,7))*(INDEX(DailyScalarsTable,BQ$5/100,MONTH($A26)))*$D26</f>
        <v>-12939.880631085744</v>
      </c>
      <c r="BR26" s="1021">
        <f>(VLOOKUP(YEAR($A26),'NY East Load Projections'!$A$4:$EO$14,((MONTH($A26)-1)*12)+VLOOKUP(BR$4,$DE$6:$DF$17,2)+1))*(VLOOKUP($A26,SatSunCurve,7))*(INDEX(DailyScalarsTable,BR$5/100,MONTH($A26)))*$D26</f>
        <v>-12381.651042292833</v>
      </c>
      <c r="BS26" s="1021">
        <f>(VLOOKUP(YEAR($A26),'NY East Load Projections'!$A$4:$EO$14,((MONTH($A26)-1)*12)+VLOOKUP(BS$4,$DE$6:$DF$17,2)+1))*(VLOOKUP($A26,SatSunCurve,7))*(INDEX(DailyScalarsTable,BS$5/100,MONTH($A26)))*$D26</f>
        <v>-13403.532677045005</v>
      </c>
      <c r="BT26" s="1021">
        <f>(VLOOKUP(YEAR($A26),'NY East Load Projections'!$A$4:$EO$14,((MONTH($A26)-1)*12)+VLOOKUP(BT$4,$DE$6:$DF$17,2)+1))*(VLOOKUP($A26,SatSunCurve,7))*(INDEX(DailyScalarsTable,BT$5/100,MONTH($A26)))*$D26</f>
        <v>-13192.047608287605</v>
      </c>
      <c r="BU26" s="1021">
        <f>(VLOOKUP(YEAR($A26),'NY East Load Projections'!$A$4:$EO$14,((MONTH($A26)-1)*12)+VLOOKUP(BU$4,$DE$6:$DF$17,2)+1))*(VLOOKUP($A26,SatSunCurve,7))*(INDEX(DailyScalarsTable,BU$5/100,MONTH($A26)))*$D26</f>
        <v>-12779.74058348325</v>
      </c>
      <c r="BV26" s="1021">
        <f>(VLOOKUP(YEAR($A26),'NY East Load Projections'!$A$4:$EO$14,((MONTH($A26)-1)*12)+VLOOKUP(BV$4,$DE$6:$DF$17,2)+1))*(VLOOKUP($A26,SatSunCurve,7))*(INDEX(DailyScalarsTable,BV$5/100,MONTH($A26)))*$D26</f>
        <v>-13231.75104229158</v>
      </c>
      <c r="BW26" s="1021">
        <f>(VLOOKUP(YEAR($A26),'NY East Load Projections'!$A$4:$EO$14,((MONTH($A26)-1)*12)+VLOOKUP(BW$4,$DE$6:$DF$17,2)+1))*(VLOOKUP($A26,SatSunCurve,7))*(INDEX(DailyScalarsTable,BW$5/100,MONTH($A26)))*$D26</f>
        <v>-12907.150306586555</v>
      </c>
      <c r="BX26" s="1021">
        <f>(VLOOKUP(YEAR($A26),'NY East Load Projections'!$A$4:$EO$14,((MONTH($A26)-1)*12)+VLOOKUP(BX$4,$DE$6:$DF$17,2)+1))*(VLOOKUP($A26,SatSunCurve,7))*(INDEX(DailyScalarsTable,BX$5/100,MONTH($A26)))*$D26</f>
        <v>-10571.733434435153</v>
      </c>
      <c r="BY26" s="1021">
        <f>(VLOOKUP(YEAR($A26),'NY East Load Projections'!$A$4:$EO$14,((MONTH($A26)-1)*12)+VLOOKUP(BY$4,$DE$6:$DF$17,2)+1))*(VLOOKUP($A26,SatSunCurve,7))*(INDEX(DailyScalarsTable,BY$5/100,MONTH($A26)))*$D26</f>
        <v>-13816.032366560619</v>
      </c>
      <c r="BZ26" s="1021">
        <f>(VLOOKUP(YEAR($A26),'NY East Load Projections'!$A$4:$EO$14,((MONTH($A26)-1)*12)+VLOOKUP(BZ$4,$DE$6:$DF$17,2)+1))*(VLOOKUP($A26,SatSunCurve,7))*(INDEX(DailyScalarsTable,BZ$5/100,MONTH($A26)))*$D26</f>
        <v>-13535.773631819862</v>
      </c>
      <c r="CA26" s="1021">
        <f>(VLOOKUP(YEAR($A26),'NY East Load Projections'!$A$4:$EO$14,((MONTH($A26)-1)*12)+VLOOKUP(CA$4,$DE$6:$DF$17,2)+1))*(VLOOKUP($A26,SatSunCurve,7))*(INDEX(DailyScalarsTable,CA$5/100,MONTH($A26)))*$D26</f>
        <v>-10302.061707024041</v>
      </c>
      <c r="CB26" s="1021">
        <f>(VLOOKUP(YEAR($A26),'NY East Load Projections'!$A$4:$EO$14,((MONTH($A26)-1)*12)+VLOOKUP(CB$4,$DE$6:$DF$17,2)+1))*(VLOOKUP($A26,SatSunCurve,7))*(INDEX(DailyScalarsTable,CB$5/100,MONTH($A26)))*$D26</f>
        <v>-8163.9605986374881</v>
      </c>
      <c r="CC26" s="1021">
        <f>(VLOOKUP(YEAR($A26),'NY East Load Projections'!$A$4:$EO$14,((MONTH($A26)-1)*12)+VLOOKUP(CC$4,$DE$6:$DF$17,2)+1))*(VLOOKUP($A26,CURVES!$D$9:$T$261,7))*(INDEX(DailyScalarsTable,CC$5/100,MONTH($A26)))*$D26</f>
        <v>-10869.1327264189</v>
      </c>
      <c r="CE26" s="1021">
        <f>(VLOOKUP(YEAR($A26),'NY East Load Projections'!$A$4:$EO$14,((MONTH($A26)-1)*12)+VLOOKUP(CE$4,$DE$6:$DF$17,2)+1))*(VLOOKUP($A26,CURVES!$D$9:$T$261,7))*(INDEX(DailyScalarsTable,CE$5/100,MONTH($A26)))*$E26</f>
        <v>-1850.675907968958</v>
      </c>
      <c r="CF26" s="1021">
        <f>(VLOOKUP(YEAR($A26),'NY East Load Projections'!$A$4:$EO$14,((MONTH($A26)-1)*12)+VLOOKUP(CF$4,$DE$6:$DF$17,2)+1))*(VLOOKUP($A26,CURVES!$D$9:$T$261,7))*(INDEX(DailyScalarsTable,CF$5/100,MONTH($A26)))*$E26</f>
        <v>-1623.6308321373585</v>
      </c>
      <c r="CG26" s="1021">
        <f>(VLOOKUP(YEAR($A26),'NY East Load Projections'!$A$4:$EO$14,((MONTH($A26)-1)*12)+VLOOKUP(CG$4,$DE$6:$DF$17,2)+1))*(VLOOKUP($A26,CURVES!$D$9:$T$261,7))*(INDEX(DailyScalarsTable,CG$5/100,MONTH($A26)))*$E26</f>
        <v>-1522.5652186719472</v>
      </c>
      <c r="CH26" s="1021">
        <f>(VLOOKUP(YEAR($A26),'NY East Load Projections'!$A$4:$EO$14,((MONTH($A26)-1)*12)+VLOOKUP(CH$4,$DE$6:$DF$17,2)+1))*(VLOOKUP($A26,CURVES!$D$9:$T$261,7))*(INDEX(DailyScalarsTable,CH$5/100,MONTH($A26)))*$E26</f>
        <v>-1545.1287044688765</v>
      </c>
      <c r="CI26" s="1021">
        <f>(VLOOKUP(YEAR($A26),'NY East Load Projections'!$A$4:$EO$14,((MONTH($A26)-1)*12)+VLOOKUP(CI$4,$DE$6:$DF$17,2)+1))*(VLOOKUP($A26,CURVES!$D$9:$T$261,7))*(INDEX(DailyScalarsTable,CI$5/100,MONTH($A26)))*$E26</f>
        <v>-1684.0950424228201</v>
      </c>
      <c r="CJ26" s="1021">
        <f>(VLOOKUP(YEAR($A26),'NY East Load Projections'!$A$4:$EO$14,((MONTH($A26)-1)*12)+VLOOKUP(CJ$4,$DE$6:$DF$17,2)+1))*(VLOOKUP($A26,CURVES!$D$9:$T$261,7))*(INDEX(DailyScalarsTable,CJ$5/100,MONTH($A26)))*$E26</f>
        <v>-1948.880907081015</v>
      </c>
      <c r="CK26" s="1021">
        <f>(VLOOKUP(YEAR($A26),'NY East Load Projections'!$A$4:$EO$14,((MONTH($A26)-1)*12)+VLOOKUP(CK$4,$DE$6:$DF$17,2)+1))*(VLOOKUP($A26,CURVES!$D$9:$T$261,7))*(INDEX(DailyScalarsTable,CK$5/100,MONTH($A26)))*$E26</f>
        <v>-2650.2312797778109</v>
      </c>
      <c r="CL26" s="1021">
        <f>(VLOOKUP(YEAR($A26),'NY East Load Projections'!$A$4:$EO$14,((MONTH($A26)-1)*12)+VLOOKUP(CL$4,$DE$6:$DF$17,2)+1))*(VLOOKUP($A26,SatSunCurve,7))*(INDEX(DailyScalarsTable,CL$5/100,MONTH($A26)))*$E26</f>
        <v>-1708.5886619420792</v>
      </c>
      <c r="CM26" s="1021">
        <f>(VLOOKUP(YEAR($A26),'NY East Load Projections'!$A$4:$EO$14,((MONTH($A26)-1)*12)+VLOOKUP(CM$4,$DE$6:$DF$17,2)+1))*(VLOOKUP($A26,SatSunCurve,7))*(INDEX(DailyScalarsTable,CM$5/100,MONTH($A26)))*$E26</f>
        <v>-1821.909903187887</v>
      </c>
      <c r="CN26" s="1021">
        <f>(VLOOKUP(YEAR($A26),'NY East Load Projections'!$A$4:$EO$14,((MONTH($A26)-1)*12)+VLOOKUP(CN$4,$DE$6:$DF$17,2)+1))*(VLOOKUP($A26,SatSunCurve,7))*(INDEX(DailyScalarsTable,CN$5/100,MONTH($A26)))*$E26</f>
        <v>-2274.3139817122737</v>
      </c>
      <c r="CO26" s="1021">
        <f>(VLOOKUP(YEAR($A26),'NY East Load Projections'!$A$4:$EO$14,((MONTH($A26)-1)*12)+VLOOKUP(CO$4,$DE$6:$DF$17,2)+1))*(VLOOKUP($A26,SatSunCurve,7))*(INDEX(DailyScalarsTable,CO$5/100,MONTH($A26)))*$E26</f>
        <v>-2428.8619588479341</v>
      </c>
      <c r="CP26" s="1021">
        <f>(VLOOKUP(YEAR($A26),'NY East Load Projections'!$A$4:$EO$14,((MONTH($A26)-1)*12)+VLOOKUP(CP$4,$DE$6:$DF$17,2)+1))*(VLOOKUP($A26,SatSunCurve,7))*(INDEX(DailyScalarsTable,CP$5/100,MONTH($A26)))*$E26</f>
        <v>-2587.9761262171487</v>
      </c>
      <c r="CQ26" s="1021">
        <f>(VLOOKUP(YEAR($A26),'NY East Load Projections'!$A$4:$EO$14,((MONTH($A26)-1)*12)+VLOOKUP(CQ$4,$DE$6:$DF$17,2)+1))*(VLOOKUP($A26,SatSunCurve,7))*(INDEX(DailyScalarsTable,CQ$5/100,MONTH($A26)))*$E26</f>
        <v>-2476.3302084585666</v>
      </c>
      <c r="CR26" s="1021">
        <f>(VLOOKUP(YEAR($A26),'NY East Load Projections'!$A$4:$EO$14,((MONTH($A26)-1)*12)+VLOOKUP(CR$4,$DE$6:$DF$17,2)+1))*(VLOOKUP($A26,SatSunCurve,7))*(INDEX(DailyScalarsTable,CR$5/100,MONTH($A26)))*$E26</f>
        <v>-2680.7065354090009</v>
      </c>
      <c r="CS26" s="1021">
        <f>(VLOOKUP(YEAR($A26),'NY East Load Projections'!$A$4:$EO$14,((MONTH($A26)-1)*12)+VLOOKUP(CS$4,$DE$6:$DF$17,2)+1))*(VLOOKUP($A26,SatSunCurve,7))*(INDEX(DailyScalarsTable,CS$5/100,MONTH($A26)))*$E26</f>
        <v>-2638.4095216575211</v>
      </c>
      <c r="CT26" s="1021">
        <f>(VLOOKUP(YEAR($A26),'NY East Load Projections'!$A$4:$EO$14,((MONTH($A26)-1)*12)+VLOOKUP(CT$4,$DE$6:$DF$17,2)+1))*(VLOOKUP($A26,SatSunCurve,7))*(INDEX(DailyScalarsTable,CT$5/100,MONTH($A26)))*$E26</f>
        <v>-2555.9481166966498</v>
      </c>
      <c r="CU26" s="1021">
        <f>(VLOOKUP(YEAR($A26),'NY East Load Projections'!$A$4:$EO$14,((MONTH($A26)-1)*12)+VLOOKUP(CU$4,$DE$6:$DF$17,2)+1))*(VLOOKUP($A26,SatSunCurve,7))*(INDEX(DailyScalarsTable,CU$5/100,MONTH($A26)))*$E26</f>
        <v>-2646.350208458316</v>
      </c>
      <c r="CV26" s="1021">
        <f>(VLOOKUP(YEAR($A26),'NY East Load Projections'!$A$4:$EO$14,((MONTH($A26)-1)*12)+VLOOKUP(CV$4,$DE$6:$DF$17,2)+1))*(VLOOKUP($A26,SatSunCurve,7))*(INDEX(DailyScalarsTable,CV$5/100,MONTH($A26)))*$E26</f>
        <v>-2581.4300613173109</v>
      </c>
      <c r="CW26" s="1021">
        <f>(VLOOKUP(YEAR($A26),'NY East Load Projections'!$A$4:$EO$14,((MONTH($A26)-1)*12)+VLOOKUP(CW$4,$DE$6:$DF$17,2)+1))*(VLOOKUP($A26,SatSunCurve,7))*(INDEX(DailyScalarsTable,CW$5/100,MONTH($A26)))*$E26</f>
        <v>-2114.3466868870305</v>
      </c>
      <c r="CX26" s="1021">
        <f>(VLOOKUP(YEAR($A26),'NY East Load Projections'!$A$4:$EO$14,((MONTH($A26)-1)*12)+VLOOKUP(CX$4,$DE$6:$DF$17,2)+1))*(VLOOKUP($A26,SatSunCurve,7))*(INDEX(DailyScalarsTable,CX$5/100,MONTH($A26)))*$E26</f>
        <v>-2763.2064733121238</v>
      </c>
      <c r="CY26" s="1021">
        <f>(VLOOKUP(YEAR($A26),'NY East Load Projections'!$A$4:$EO$14,((MONTH($A26)-1)*12)+VLOOKUP(CY$4,$DE$6:$DF$17,2)+1))*(VLOOKUP($A26,SatSunCurve,7))*(INDEX(DailyScalarsTable,CY$5/100,MONTH($A26)))*$E26</f>
        <v>-2707.1547263639723</v>
      </c>
      <c r="CZ26" s="1021">
        <f>(VLOOKUP(YEAR($A26),'NY East Load Projections'!$A$4:$EO$14,((MONTH($A26)-1)*12)+VLOOKUP(CZ$4,$DE$6:$DF$17,2)+1))*(VLOOKUP($A26,SatSunCurve,7))*(INDEX(DailyScalarsTable,CZ$5/100,MONTH($A26)))*$E26</f>
        <v>-2060.4123414048081</v>
      </c>
      <c r="DA26" s="1021">
        <f>(VLOOKUP(YEAR($A26),'NY East Load Projections'!$A$4:$EO$14,((MONTH($A26)-1)*12)+VLOOKUP(DA$4,$DE$6:$DF$17,2)+1))*(VLOOKUP($A26,SatSunCurve,7))*(INDEX(DailyScalarsTable,DA$5/100,MONTH($A26)))*$E26</f>
        <v>-1632.7921197274977</v>
      </c>
      <c r="DB26" s="1021">
        <f>(VLOOKUP(YEAR($A26),'NY East Load Projections'!$A$4:$EO$14,((MONTH($A26)-1)*12)+VLOOKUP(DB$4,$DE$6:$DF$17,2)+1))*(VLOOKUP($A26,CURVES!$D$9:$T$261,7))*(INDEX(DailyScalarsTable,DB$5/100,MONTH($A26)))*$E26</f>
        <v>-2173.82654528378</v>
      </c>
      <c r="DH26" s="1032">
        <f t="shared" si="0"/>
        <v>-1850050.0178739359</v>
      </c>
      <c r="DI26">
        <f ca="1">CALC!J46</f>
        <v>0.8312009259670522</v>
      </c>
      <c r="DJ26" s="1029">
        <f t="shared" ca="1" si="1"/>
        <v>-1537763.2879421769</v>
      </c>
    </row>
    <row r="27" spans="1:114" x14ac:dyDescent="0.25">
      <c r="A27" s="244">
        <v>37530</v>
      </c>
      <c r="B27" s="13">
        <v>23</v>
      </c>
      <c r="C27" s="210">
        <v>4</v>
      </c>
      <c r="D27" s="210">
        <v>4</v>
      </c>
      <c r="E27" s="210">
        <v>0</v>
      </c>
      <c r="F27" s="13">
        <v>31</v>
      </c>
      <c r="H27" s="1021">
        <f>(VLOOKUP(YEAR($A27),'NY East Load Projections'!$A$4:$EO$14,((MONTH($A27)-1)*12)+VLOOKUP(H$4,$DE$6:$DF$17,2)+1))*(VLOOKUP($A27,CURVES!$D$9:$K$261,7))*(INDEX(DailyScalarsTable,H$5/100,MONTH($A27)))*$B27</f>
        <v>-36996.057583138157</v>
      </c>
      <c r="I27" s="1021">
        <f>(VLOOKUP(YEAR($A27),'NY East Load Projections'!$A$4:$EO$14,((MONTH($A27)-1)*12)+VLOOKUP(I$4,$DE$6:$DF$17,2)+1))*(VLOOKUP($A27,CURVES!$D$9:$K$261,7))*(INDEX(DailyScalarsTable,I$5/100,MONTH($A27)))*$B27</f>
        <v>-35114.10963025182</v>
      </c>
      <c r="J27" s="1021">
        <f>(VLOOKUP(YEAR($A27),'NY East Load Projections'!$A$4:$EO$14,((MONTH($A27)-1)*12)+VLOOKUP(J$4,$DE$6:$DF$17,2)+1))*(VLOOKUP($A27,CURVES!$D$9:$K$261,7))*(INDEX(DailyScalarsTable,J$5/100,MONTH($A27)))*$B27</f>
        <v>-33730.897366743229</v>
      </c>
      <c r="K27" s="1021">
        <f>(VLOOKUP(YEAR($A27),'NY East Load Projections'!$A$4:$EO$14,((MONTH($A27)-1)*12)+VLOOKUP(K$4,$DE$6:$DF$17,2)+1))*(VLOOKUP($A27,CURVES!$D$9:$K$261,7))*(INDEX(DailyScalarsTable,K$5/100,MONTH($A27)))*$B27</f>
        <v>-33750.379229609549</v>
      </c>
      <c r="L27" s="1021">
        <f>(VLOOKUP(YEAR($A27),'NY East Load Projections'!$A$4:$EO$14,((MONTH($A27)-1)*12)+VLOOKUP(L$4,$DE$6:$DF$17,2)+1))*(VLOOKUP($A27,CURVES!$D$9:$K$261,7))*(INDEX(DailyScalarsTable,L$5/100,MONTH($A27)))*$B27</f>
        <v>-38474.66012055819</v>
      </c>
      <c r="M27" s="1021">
        <f>(VLOOKUP(YEAR($A27),'NY East Load Projections'!$A$4:$EO$14,((MONTH($A27)-1)*12)+VLOOKUP(M$4,$DE$6:$DF$17,2)+1))*(VLOOKUP($A27,CURVES!$D$9:$K$261,7))*(INDEX(DailyScalarsTable,M$5/100,MONTH($A27)))*$B27</f>
        <v>-44201.217735911647</v>
      </c>
      <c r="N27" s="1021">
        <f>(VLOOKUP(YEAR($A27),'NY East Load Projections'!$A$4:$EO$14,((MONTH($A27)-1)*12)+VLOOKUP(N$4,$DE$6:$DF$17,2)+1))*(VLOOKUP($A27,CURVES!$D$9:$K$261,7))*(INDEX(DailyScalarsTable,N$5/100,MONTH($A27)))*$B27</f>
        <v>-57140.995494752366</v>
      </c>
      <c r="O27" s="1021">
        <f>(VLOOKUP(YEAR($A27),'NY East Load Projections'!$A$4:$EO$14,((MONTH($A27)-1)*12)+VLOOKUP(O$4,$DE$6:$DF$17,2)+1))*(VLOOKUP($A27,CURVES!$D$9:$K$261,3))*(INDEX(DailyScalarsTable,O$5/100,MONTH($A27)))*$B27</f>
        <v>-68981.392582184344</v>
      </c>
      <c r="P27" s="1021">
        <f>(VLOOKUP(YEAR($A27),'NY East Load Projections'!$A$4:$EO$14,((MONTH($A27)-1)*12)+VLOOKUP(P$4,$DE$6:$DF$17,2)+1))*(VLOOKUP($A27,CURVES!$D$9:$K$261,3))*(INDEX(DailyScalarsTable,P$5/100,MONTH($A27)))*$B27</f>
        <v>-77716.605746936475</v>
      </c>
      <c r="Q27" s="1021">
        <f>(VLOOKUP(YEAR($A27),'NY East Load Projections'!$A$4:$EO$14,((MONTH($A27)-1)*12)+VLOOKUP(Q$4,$DE$6:$DF$17,2)+1))*(VLOOKUP($A27,CURVES!$D$9:$K$261,3))*(INDEX(DailyScalarsTable,Q$5/100,MONTH($A27)))*$B27</f>
        <v>-77476.443182823568</v>
      </c>
      <c r="R27" s="1021">
        <f>(VLOOKUP(YEAR($A27),'NY East Load Projections'!$A$4:$EO$14,((MONTH($A27)-1)*12)+VLOOKUP(R$4,$DE$6:$DF$17,2)+1))*(VLOOKUP($A27,CURVES!$D$9:$K$261,3))*(INDEX(DailyScalarsTable,R$5/100,MONTH($A27)))*$B27</f>
        <v>-77037.288779874259</v>
      </c>
      <c r="S27" s="1021">
        <f>(VLOOKUP(YEAR($A27),'NY East Load Projections'!$A$4:$EO$14,((MONTH($A27)-1)*12)+VLOOKUP(S$4,$DE$6:$DF$17,2)+1))*(VLOOKUP($A27,CURVES!$D$9:$K$261,3))*(INDEX(DailyScalarsTable,S$5/100,MONTH($A27)))*$B27</f>
        <v>-65008.575211590694</v>
      </c>
      <c r="T27" s="1021">
        <f>(VLOOKUP(YEAR($A27),'NY East Load Projections'!$A$4:$EO$14,((MONTH($A27)-1)*12)+VLOOKUP(T$4,$DE$6:$DF$17,2)+1))*(VLOOKUP($A27,CURVES!$D$9:$K$261,3))*(INDEX(DailyScalarsTable,T$5/100,MONTH($A27)))*$B27</f>
        <v>-61526.985807711382</v>
      </c>
      <c r="U27" s="1021">
        <f>(VLOOKUP(YEAR($A27),'NY East Load Projections'!$A$4:$EO$14,((MONTH($A27)-1)*12)+VLOOKUP(U$4,$DE$6:$DF$17,2)+1))*(VLOOKUP($A27,CURVES!$D$9:$K$261,3))*(INDEX(DailyScalarsTable,U$5/100,MONTH($A27)))*$B27</f>
        <v>-59819.247242197867</v>
      </c>
      <c r="V27" s="1021">
        <f>(VLOOKUP(YEAR($A27),'NY East Load Projections'!$A$4:$EO$14,((MONTH($A27)-1)*12)+VLOOKUP(V$4,$DE$6:$DF$17,2)+1))*(VLOOKUP($A27,CURVES!$D$9:$K$261,3))*(INDEX(DailyScalarsTable,V$5/100,MONTH($A27)))*$B27</f>
        <v>-58429.549057306314</v>
      </c>
      <c r="W27" s="1021">
        <f>(VLOOKUP(YEAR($A27),'NY East Load Projections'!$A$4:$EO$14,((MONTH($A27)-1)*12)+VLOOKUP(W$4,$DE$6:$DF$17,2)+1))*(VLOOKUP($A27,CURVES!$D$9:$K$261,3))*(INDEX(DailyScalarsTable,W$5/100,MONTH($A27)))*$B27</f>
        <v>-58028.541620869946</v>
      </c>
      <c r="X27" s="1021">
        <f>(VLOOKUP(YEAR($A27),'NY East Load Projections'!$A$4:$EO$14,((MONTH($A27)-1)*12)+VLOOKUP(X$4,$DE$6:$DF$17,2)+1))*(VLOOKUP($A27,CURVES!$D$9:$K$261,3))*(INDEX(DailyScalarsTable,X$5/100,MONTH($A27)))*$B27</f>
        <v>-58921.430289887343</v>
      </c>
      <c r="Y27" s="1021">
        <f>(VLOOKUP(YEAR($A27),'NY East Load Projections'!$A$4:$EO$14,((MONTH($A27)-1)*12)+VLOOKUP(Y$4,$DE$6:$DF$17,2)+1))*(VLOOKUP($A27,CURVES!$D$9:$K$261,3))*(INDEX(DailyScalarsTable,Y$5/100,MONTH($A27)))*$B27</f>
        <v>-79486.9699762745</v>
      </c>
      <c r="Z27" s="1021">
        <f>(VLOOKUP(YEAR($A27),'NY East Load Projections'!$A$4:$EO$14,((MONTH($A27)-1)*12)+VLOOKUP(Z$4,$DE$6:$DF$17,2)+1))*(VLOOKUP($A27,CURVES!$D$9:$K$261,3))*(INDEX(DailyScalarsTable,Z$5/100,MONTH($A27)))*$B27</f>
        <v>-80109.566024751271</v>
      </c>
      <c r="AA27" s="1021">
        <f>(VLOOKUP(YEAR($A27),'NY East Load Projections'!$A$4:$EO$14,((MONTH($A27)-1)*12)+VLOOKUP(AA$4,$DE$6:$DF$17,2)+1))*(VLOOKUP($A27,CURVES!$D$9:$K$261,3))*(INDEX(DailyScalarsTable,AA$5/100,MONTH($A27)))*$B27</f>
        <v>-76612.430773732791</v>
      </c>
      <c r="AB27" s="1021">
        <f>(VLOOKUP(YEAR($A27),'NY East Load Projections'!$A$4:$EO$14,((MONTH($A27)-1)*12)+VLOOKUP(AB$4,$DE$6:$DF$17,2)+1))*(VLOOKUP($A27,CURVES!$D$9:$K$261,3))*(INDEX(DailyScalarsTable,AB$5/100,MONTH($A27)))*$B27</f>
        <v>-66766.714729703832</v>
      </c>
      <c r="AC27" s="1021">
        <f>(VLOOKUP(YEAR($A27),'NY East Load Projections'!$A$4:$EO$14,((MONTH($A27)-1)*12)+VLOOKUP(AC$4,$DE$6:$DF$17,2)+1))*(VLOOKUP($A27,CURVES!$D$9:$K$261,3))*(INDEX(DailyScalarsTable,AC$5/100,MONTH($A27)))*$B27</f>
        <v>-55385.953738262127</v>
      </c>
      <c r="AD27" s="1021">
        <f>(VLOOKUP(YEAR($A27),'NY East Load Projections'!$A$4:$EO$14,((MONTH($A27)-1)*12)+VLOOKUP(AD$4,$DE$6:$DF$17,2)+1))*(VLOOKUP($A27,CURVES!$D$9:$K$261,3))*(INDEX(DailyScalarsTable,AD$5/100,MONTH($A27)))*$B27</f>
        <v>-47222.037922776777</v>
      </c>
      <c r="AE27" s="1021">
        <f>(VLOOKUP(YEAR($A27),'NY East Load Projections'!$A$4:$EO$14,((MONTH($A27)-1)*12)+VLOOKUP(AE$4,$DE$6:$DF$17,2)+1))*(VLOOKUP($A27,CURVES!$D$9:$K$261,7))*(INDEX(DailyScalarsTable,AE$5/100,MONTH($A27)))*$B27</f>
        <v>-41931.113571379617</v>
      </c>
      <c r="AF27" s="1021"/>
      <c r="AG27" s="1021">
        <f>(VLOOKUP(YEAR($A27),'NY East Load Projections'!$A$4:$EO$14,((MONTH($A27)-1)*12)+VLOOKUP(AG$4,$DE$6:$DF$17,2)+1))*(VLOOKUP($A27,CURVES!$D$9:$T$261,7))*(INDEX(DailyScalarsTable,AG$5/100,MONTH($A27)))*$C27</f>
        <v>-6947.9750723608313</v>
      </c>
      <c r="AH27" s="1021">
        <f>(VLOOKUP(YEAR($A27),'NY East Load Projections'!$A$4:$EO$14,((MONTH($A27)-1)*12)+VLOOKUP(AH$4,$DE$6:$DF$17,2)+1))*(VLOOKUP($A27,CURVES!$D$9:$T$261,7))*(INDEX(DailyScalarsTable,AH$5/100,MONTH($A27)))*$C27</f>
        <v>-6594.5393735772313</v>
      </c>
      <c r="AI27" s="1021">
        <f>(VLOOKUP(YEAR($A27),'NY East Load Projections'!$A$4:$EO$14,((MONTH($A27)-1)*12)+VLOOKUP(AI$4,$DE$6:$DF$17,2)+1))*(VLOOKUP($A27,CURVES!$D$9:$T$261,7))*(INDEX(DailyScalarsTable,AI$5/100,MONTH($A27)))*$C27</f>
        <v>-6334.7677937259314</v>
      </c>
      <c r="AJ27" s="1021">
        <f>(VLOOKUP(YEAR($A27),'NY East Load Projections'!$A$4:$EO$14,((MONTH($A27)-1)*12)+VLOOKUP(AJ$4,$DE$6:$DF$17,2)+1))*(VLOOKUP($A27,CURVES!$D$9:$T$261,7))*(INDEX(DailyScalarsTable,AJ$5/100,MONTH($A27)))*$C27</f>
        <v>-6338.4265483717245</v>
      </c>
      <c r="AK27" s="1021">
        <f>(VLOOKUP(YEAR($A27),'NY East Load Projections'!$A$4:$EO$14,((MONTH($A27)-1)*12)+VLOOKUP(AK$4,$DE$6:$DF$17,2)+1))*(VLOOKUP($A27,CURVES!$D$9:$T$261,7))*(INDEX(DailyScalarsTable,AK$5/100,MONTH($A27)))*$C27</f>
        <v>-6889.4615496568604</v>
      </c>
      <c r="AL27" s="1021">
        <f>(VLOOKUP(YEAR($A27),'NY East Load Projections'!$A$4:$EO$14,((MONTH($A27)-1)*12)+VLOOKUP(AL$4,$DE$6:$DF$17,2)+1))*(VLOOKUP($A27,CURVES!$D$9:$T$261,7))*(INDEX(DailyScalarsTable,AL$5/100,MONTH($A27)))*$C27</f>
        <v>-7914.8870733456697</v>
      </c>
      <c r="AM27" s="1021">
        <f>(VLOOKUP(YEAR($A27),'NY East Load Projections'!$A$4:$EO$14,((MONTH($A27)-1)*12)+VLOOKUP(AM$4,$DE$6:$DF$17,2)+1))*(VLOOKUP($A27,CURVES!$D$9:$T$261,7))*(INDEX(DailyScalarsTable,AM$5/100,MONTH($A27)))*$C27</f>
        <v>-10231.947212442352</v>
      </c>
      <c r="AN27" s="1021">
        <f>(VLOOKUP(YEAR($A27),'NY East Load Projections'!$A$4:$EO$14,((MONTH($A27)-1)*12)+VLOOKUP(AN$4,$DE$6:$DF$17,2)+1))*(VLOOKUP($A27,SatSunCurve,3))*(INDEX(DailyScalarsTable,AN$5/100,MONTH($A27)))*$C27</f>
        <v>-9239.2050392516048</v>
      </c>
      <c r="AO27" s="1021">
        <f>(VLOOKUP(YEAR($A27),'NY East Load Projections'!$A$4:$EO$14,((MONTH($A27)-1)*12)+VLOOKUP(AO$4,$DE$6:$DF$17,2)+1))*(VLOOKUP($A27,SatSunCurve,3))*(INDEX(DailyScalarsTable,AO$5/100,MONTH($A27)))*$C27</f>
        <v>-10880.453266557975</v>
      </c>
      <c r="AP27" s="1021">
        <f>(VLOOKUP(YEAR($A27),'NY East Load Projections'!$A$4:$EO$14,((MONTH($A27)-1)*12)+VLOOKUP(AP$4,$DE$6:$DF$17,2)+1))*(VLOOKUP($A27,SatSunCurve,3))*(INDEX(DailyScalarsTable,AP$5/100,MONTH($A27)))*$C27</f>
        <v>-10846.830110604458</v>
      </c>
      <c r="AQ27" s="1021">
        <f>(VLOOKUP(YEAR($A27),'NY East Load Projections'!$A$4:$EO$14,((MONTH($A27)-1)*12)+VLOOKUP(AQ$4,$DE$6:$DF$17,2)+1))*(VLOOKUP($A27,SatSunCurve,3))*(INDEX(DailyScalarsTable,AQ$5/100,MONTH($A27)))*$C27</f>
        <v>-10785.347768289455</v>
      </c>
      <c r="AR27" s="1021">
        <f>(VLOOKUP(YEAR($A27),'NY East Load Projections'!$A$4:$EO$14,((MONTH($A27)-1)*12)+VLOOKUP(AR$4,$DE$6:$DF$17,2)+1))*(VLOOKUP($A27,SatSunCurve,3))*(INDEX(DailyScalarsTable,AR$5/100,MONTH($A27)))*$C27</f>
        <v>-9101.3079858176097</v>
      </c>
      <c r="AS27" s="1021">
        <f>(VLOOKUP(YEAR($A27),'NY East Load Projections'!$A$4:$EO$14,((MONTH($A27)-1)*12)+VLOOKUP(AS$4,$DE$6:$DF$17,2)+1))*(VLOOKUP($A27,SatSunCurve,3))*(INDEX(DailyScalarsTable,AS$5/100,MONTH($A27)))*$C27</f>
        <v>-8506.1276180013938</v>
      </c>
      <c r="AT27" s="1021">
        <f>(VLOOKUP(YEAR($A27),'NY East Load Projections'!$A$4:$EO$14,((MONTH($A27)-1)*12)+VLOOKUP(AT$4,$DE$6:$DF$17,2)+1))*(VLOOKUP($A27,SatSunCurve,3))*(INDEX(DailyScalarsTable,AT$5/100,MONTH($A27)))*$C27</f>
        <v>-8270.0321554048842</v>
      </c>
      <c r="AU27" s="1021">
        <f>(VLOOKUP(YEAR($A27),'NY East Load Projections'!$A$4:$EO$14,((MONTH($A27)-1)*12)+VLOOKUP(AU$4,$DE$6:$DF$17,2)+1))*(VLOOKUP($A27,SatSunCurve,3))*(INDEX(DailyScalarsTable,AU$5/100,MONTH($A27)))*$C27</f>
        <v>-8077.9058882716918</v>
      </c>
      <c r="AV27" s="1021">
        <f>(VLOOKUP(YEAR($A27),'NY East Load Projections'!$A$4:$EO$14,((MONTH($A27)-1)*12)+VLOOKUP(AV$4,$DE$6:$DF$17,2)+1))*(VLOOKUP($A27,SatSunCurve,3))*(INDEX(DailyScalarsTable,AV$5/100,MONTH($A27)))*$C27</f>
        <v>-8022.4664679049001</v>
      </c>
      <c r="AW27" s="1021">
        <f>(VLOOKUP(YEAR($A27),'NY East Load Projections'!$A$4:$EO$14,((MONTH($A27)-1)*12)+VLOOKUP(AW$4,$DE$6:$DF$17,2)+1))*(VLOOKUP($A27,SatSunCurve,3))*(INDEX(DailyScalarsTable,AW$5/100,MONTH($A27)))*$C27</f>
        <v>-7997.585258461233</v>
      </c>
      <c r="AX27" s="1021">
        <f>(VLOOKUP(YEAR($A27),'NY East Load Projections'!$A$4:$EO$14,((MONTH($A27)-1)*12)+VLOOKUP(AX$4,$DE$6:$DF$17,2)+1))*(VLOOKUP($A27,SatSunCurve,3))*(INDEX(DailyScalarsTable,AX$5/100,MONTH($A27)))*$C27</f>
        <v>-10789.008620367948</v>
      </c>
      <c r="AY27" s="1021">
        <f>(VLOOKUP(YEAR($A27),'NY East Load Projections'!$A$4:$EO$14,((MONTH($A27)-1)*12)+VLOOKUP(AY$4,$DE$6:$DF$17,2)+1))*(VLOOKUP($A27,SatSunCurve,3))*(INDEX(DailyScalarsTable,AY$5/100,MONTH($A27)))*$C27</f>
        <v>-10873.515478989279</v>
      </c>
      <c r="AZ27" s="1021">
        <f>(VLOOKUP(YEAR($A27),'NY East Load Projections'!$A$4:$EO$14,((MONTH($A27)-1)*12)+VLOOKUP(AZ$4,$DE$6:$DF$17,2)+1))*(VLOOKUP($A27,SatSunCurve,3))*(INDEX(DailyScalarsTable,AZ$5/100,MONTH($A27)))*$C27</f>
        <v>-10398.838656094997</v>
      </c>
      <c r="BA27" s="1021">
        <f>(VLOOKUP(YEAR($A27),'NY East Load Projections'!$A$4:$EO$14,((MONTH($A27)-1)*12)+VLOOKUP(BA$4,$DE$6:$DF$17,2)+1))*(VLOOKUP($A27,SatSunCurve,3))*(INDEX(DailyScalarsTable,BA$5/100,MONTH($A27)))*$C27</f>
        <v>-9348.0644819933586</v>
      </c>
      <c r="BB27" s="1021">
        <f>(VLOOKUP(YEAR($A27),'NY East Load Projections'!$A$4:$EO$14,((MONTH($A27)-1)*12)+VLOOKUP(BB$4,$DE$6:$DF$17,2)+1))*(VLOOKUP($A27,SatSunCurve,3))*(INDEX(DailyScalarsTable,BB$5/100,MONTH($A27)))*$C27</f>
        <v>-7754.6344617677169</v>
      </c>
      <c r="BC27" s="1021">
        <f>(VLOOKUP(YEAR($A27),'NY East Load Projections'!$A$4:$EO$14,((MONTH($A27)-1)*12)+VLOOKUP(BC$4,$DE$6:$DF$17,2)+1))*(VLOOKUP($A27,SatSunCurve,3))*(INDEX(DailyScalarsTable,BC$5/100,MONTH($A27)))*$C27</f>
        <v>-6611.5976689933386</v>
      </c>
      <c r="BD27" s="1021">
        <f>(VLOOKUP(YEAR($A27),'NY East Load Projections'!$A$4:$EO$14,((MONTH($A27)-1)*12)+VLOOKUP(BD$4,$DE$6:$DF$17,2)+1))*(VLOOKUP($A27,CURVES!$D$9:$T$261,7))*(INDEX(DailyScalarsTable,BD$5/100,MONTH($A27)))*$C27</f>
        <v>-7848.848194485844</v>
      </c>
      <c r="BE27" s="1021"/>
      <c r="BF27" s="1021">
        <f>(VLOOKUP(YEAR($A27),'NY East Load Projections'!$A$4:$EO$14,((MONTH($A27)-1)*12)+VLOOKUP(BF$4,$DE$6:$DF$17,2)+1))*(VLOOKUP($A27,CURVES!$D$9:$T$261,7))*(INDEX(DailyScalarsTable,BF$5/100,MONTH($A27)))*$D27</f>
        <v>-6947.9750723608313</v>
      </c>
      <c r="BG27" s="1021">
        <f>(VLOOKUP(YEAR($A27),'NY East Load Projections'!$A$4:$EO$14,((MONTH($A27)-1)*12)+VLOOKUP(BG$4,$DE$6:$DF$17,2)+1))*(VLOOKUP($A27,CURVES!$D$9:$T$261,7))*(INDEX(DailyScalarsTable,BG$5/100,MONTH($A27)))*$D27</f>
        <v>-6594.5393735772313</v>
      </c>
      <c r="BH27" s="1021">
        <f>(VLOOKUP(YEAR($A27),'NY East Load Projections'!$A$4:$EO$14,((MONTH($A27)-1)*12)+VLOOKUP(BH$4,$DE$6:$DF$17,2)+1))*(VLOOKUP($A27,CURVES!$D$9:$T$261,7))*(INDEX(DailyScalarsTable,BH$5/100,MONTH($A27)))*$D27</f>
        <v>-6334.7677937259314</v>
      </c>
      <c r="BI27" s="1021">
        <f>(VLOOKUP(YEAR($A27),'NY East Load Projections'!$A$4:$EO$14,((MONTH($A27)-1)*12)+VLOOKUP(BI$4,$DE$6:$DF$17,2)+1))*(VLOOKUP($A27,CURVES!$D$9:$T$261,7))*(INDEX(DailyScalarsTable,BI$5/100,MONTH($A27)))*$D27</f>
        <v>-6338.4265483717245</v>
      </c>
      <c r="BJ27" s="1021">
        <f>(VLOOKUP(YEAR($A27),'NY East Load Projections'!$A$4:$EO$14,((MONTH($A27)-1)*12)+VLOOKUP(BJ$4,$DE$6:$DF$17,2)+1))*(VLOOKUP($A27,CURVES!$D$9:$T$261,7))*(INDEX(DailyScalarsTable,BJ$5/100,MONTH($A27)))*$D27</f>
        <v>-6889.4615496568604</v>
      </c>
      <c r="BK27" s="1021">
        <f>(VLOOKUP(YEAR($A27),'NY East Load Projections'!$A$4:$EO$14,((MONTH($A27)-1)*12)+VLOOKUP(BK$4,$DE$6:$DF$17,2)+1))*(VLOOKUP($A27,CURVES!$D$9:$T$261,7))*(INDEX(DailyScalarsTable,BK$5/100,MONTH($A27)))*$D27</f>
        <v>-7914.8870733456697</v>
      </c>
      <c r="BL27" s="1021">
        <f>(VLOOKUP(YEAR($A27),'NY East Load Projections'!$A$4:$EO$14,((MONTH($A27)-1)*12)+VLOOKUP(BL$4,$DE$6:$DF$17,2)+1))*(VLOOKUP($A27,CURVES!$D$9:$T$261,7))*(INDEX(DailyScalarsTable,BL$5/100,MONTH($A27)))*$D27</f>
        <v>-10231.947212442352</v>
      </c>
      <c r="BM27" s="1021">
        <f>(VLOOKUP(YEAR($A27),'NY East Load Projections'!$A$4:$EO$14,((MONTH($A27)-1)*12)+VLOOKUP(BM$4,$DE$6:$DF$17,2)+1))*(VLOOKUP($A27,SatSunCurve,7))*(INDEX(DailyScalarsTable,BM$5/100,MONTH($A27)))*$D27</f>
        <v>-8436.014111757986</v>
      </c>
      <c r="BN27" s="1021">
        <f>(VLOOKUP(YEAR($A27),'NY East Load Projections'!$A$4:$EO$14,((MONTH($A27)-1)*12)+VLOOKUP(BN$4,$DE$6:$DF$17,2)+1))*(VLOOKUP($A27,SatSunCurve,7))*(INDEX(DailyScalarsTable,BN$5/100,MONTH($A27)))*$D27</f>
        <v>-9934.5838639859157</v>
      </c>
      <c r="BO27" s="1021">
        <f>(VLOOKUP(YEAR($A27),'NY East Load Projections'!$A$4:$EO$14,((MONTH($A27)-1)*12)+VLOOKUP(BO$4,$DE$6:$DF$17,2)+1))*(VLOOKUP($A27,SatSunCurve,7))*(INDEX(DailyScalarsTable,BO$5/100,MONTH($A27)))*$D27</f>
        <v>-9903.8836666311981</v>
      </c>
      <c r="BP27" s="1021">
        <f>(VLOOKUP(YEAR($A27),'NY East Load Projections'!$A$4:$EO$14,((MONTH($A27)-1)*12)+VLOOKUP(BP$4,$DE$6:$DF$17,2)+1))*(VLOOKUP($A27,SatSunCurve,7))*(INDEX(DailyScalarsTable,BP$5/100,MONTH($A27)))*$D27</f>
        <v>-9847.7461628968631</v>
      </c>
      <c r="BQ27" s="1021">
        <f>(VLOOKUP(YEAR($A27),'NY East Load Projections'!$A$4:$EO$14,((MONTH($A27)-1)*12)+VLOOKUP(BQ$4,$DE$6:$DF$17,2)+1))*(VLOOKUP($A27,SatSunCurve,7))*(INDEX(DailyScalarsTable,BQ$5/100,MONTH($A27)))*$D27</f>
        <v>-8310.1048496735439</v>
      </c>
      <c r="BR27" s="1021">
        <f>(VLOOKUP(YEAR($A27),'NY East Load Projections'!$A$4:$EO$14,((MONTH($A27)-1)*12)+VLOOKUP(BR$4,$DE$6:$DF$17,2)+1))*(VLOOKUP($A27,SatSunCurve,7))*(INDEX(DailyScalarsTable,BR$5/100,MONTH($A27)))*$D27</f>
        <v>-7766.665239814467</v>
      </c>
      <c r="BS27" s="1021">
        <f>(VLOOKUP(YEAR($A27),'NY East Load Projections'!$A$4:$EO$14,((MONTH($A27)-1)*12)+VLOOKUP(BS$4,$DE$6:$DF$17,2)+1))*(VLOOKUP($A27,SatSunCurve,7))*(INDEX(DailyScalarsTable,BS$5/100,MONTH($A27)))*$D27</f>
        <v>-7551.0942414737347</v>
      </c>
      <c r="BT27" s="1021">
        <f>(VLOOKUP(YEAR($A27),'NY East Load Projections'!$A$4:$EO$14,((MONTH($A27)-1)*12)+VLOOKUP(BT$4,$DE$6:$DF$17,2)+1))*(VLOOKUP($A27,SatSunCurve,7))*(INDEX(DailyScalarsTable,BT$5/100,MONTH($A27)))*$D27</f>
        <v>-7375.6700687349203</v>
      </c>
      <c r="BU27" s="1021">
        <f>(VLOOKUP(YEAR($A27),'NY East Load Projections'!$A$4:$EO$14,((MONTH($A27)-1)*12)+VLOOKUP(BU$4,$DE$6:$DF$17,2)+1))*(VLOOKUP($A27,SatSunCurve,7))*(INDEX(DailyScalarsTable,BU$5/100,MONTH($A27)))*$D27</f>
        <v>-7325.0501581933722</v>
      </c>
      <c r="BV27" s="1021">
        <f>(VLOOKUP(YEAR($A27),'NY East Load Projections'!$A$4:$EO$14,((MONTH($A27)-1)*12)+VLOOKUP(BV$4,$DE$6:$DF$17,2)+1))*(VLOOKUP($A27,SatSunCurve,7))*(INDEX(DailyScalarsTable,BV$5/100,MONTH($A27)))*$D27</f>
        <v>-7302.3319445491625</v>
      </c>
      <c r="BW27" s="1021">
        <f>(VLOOKUP(YEAR($A27),'NY East Load Projections'!$A$4:$EO$14,((MONTH($A27)-1)*12)+VLOOKUP(BW$4,$DE$6:$DF$17,2)+1))*(VLOOKUP($A27,SatSunCurve,7))*(INDEX(DailyScalarsTable,BW$5/100,MONTH($A27)))*$D27</f>
        <v>-9851.0887664719539</v>
      </c>
      <c r="BX27" s="1021">
        <f>(VLOOKUP(YEAR($A27),'NY East Load Projections'!$A$4:$EO$14,((MONTH($A27)-1)*12)+VLOOKUP(BX$4,$DE$6:$DF$17,2)+1))*(VLOOKUP($A27,SatSunCurve,7))*(INDEX(DailyScalarsTable,BX$5/100,MONTH($A27)))*$D27</f>
        <v>-9928.2491984399876</v>
      </c>
      <c r="BY27" s="1021">
        <f>(VLOOKUP(YEAR($A27),'NY East Load Projections'!$A$4:$EO$14,((MONTH($A27)-1)*12)+VLOOKUP(BY$4,$DE$6:$DF$17,2)+1))*(VLOOKUP($A27,SatSunCurve,7))*(INDEX(DailyScalarsTable,BY$5/100,MONTH($A27)))*$D27</f>
        <v>-9494.8374103642291</v>
      </c>
      <c r="BZ27" s="1021">
        <f>(VLOOKUP(YEAR($A27),'NY East Load Projections'!$A$4:$EO$14,((MONTH($A27)-1)*12)+VLOOKUP(BZ$4,$DE$6:$DF$17,2)+1))*(VLOOKUP($A27,SatSunCurve,7))*(INDEX(DailyScalarsTable,BZ$5/100,MONTH($A27)))*$D27</f>
        <v>-8535.410086981623</v>
      </c>
      <c r="CA27" s="1021">
        <f>(VLOOKUP(YEAR($A27),'NY East Load Projections'!$A$4:$EO$14,((MONTH($A27)-1)*12)+VLOOKUP(CA$4,$DE$6:$DF$17,2)+1))*(VLOOKUP($A27,SatSunCurve,7))*(INDEX(DailyScalarsTable,CA$5/100,MONTH($A27)))*$D27</f>
        <v>-7080.5015662144306</v>
      </c>
      <c r="CB27" s="1021">
        <f>(VLOOKUP(YEAR($A27),'NY East Load Projections'!$A$4:$EO$14,((MONTH($A27)-1)*12)+VLOOKUP(CB$4,$DE$6:$DF$17,2)+1))*(VLOOKUP($A27,SatSunCurve,7))*(INDEX(DailyScalarsTable,CB$5/100,MONTH($A27)))*$D27</f>
        <v>-6036.8322815587117</v>
      </c>
      <c r="CC27" s="1021">
        <f>(VLOOKUP(YEAR($A27),'NY East Load Projections'!$A$4:$EO$14,((MONTH($A27)-1)*12)+VLOOKUP(CC$4,$DE$6:$DF$17,2)+1))*(VLOOKUP($A27,CURVES!$D$9:$T$261,7))*(INDEX(DailyScalarsTable,CC$5/100,MONTH($A27)))*$D27</f>
        <v>-7848.848194485844</v>
      </c>
      <c r="CE27" s="1021">
        <f>(VLOOKUP(YEAR($A27),'NY East Load Projections'!$A$4:$EO$14,((MONTH($A27)-1)*12)+VLOOKUP(CE$4,$DE$6:$DF$17,2)+1))*(VLOOKUP($A27,CURVES!$D$9:$T$261,7))*(INDEX(DailyScalarsTable,CE$5/100,MONTH($A27)))*$E27</f>
        <v>0</v>
      </c>
      <c r="CF27" s="1021">
        <f>(VLOOKUP(YEAR($A27),'NY East Load Projections'!$A$4:$EO$14,((MONTH($A27)-1)*12)+VLOOKUP(CF$4,$DE$6:$DF$17,2)+1))*(VLOOKUP($A27,CURVES!$D$9:$T$261,7))*(INDEX(DailyScalarsTable,CF$5/100,MONTH($A27)))*$E27</f>
        <v>0</v>
      </c>
      <c r="CG27" s="1021">
        <f>(VLOOKUP(YEAR($A27),'NY East Load Projections'!$A$4:$EO$14,((MONTH($A27)-1)*12)+VLOOKUP(CG$4,$DE$6:$DF$17,2)+1))*(VLOOKUP($A27,CURVES!$D$9:$T$261,7))*(INDEX(DailyScalarsTable,CG$5/100,MONTH($A27)))*$E27</f>
        <v>0</v>
      </c>
      <c r="CH27" s="1021">
        <f>(VLOOKUP(YEAR($A27),'NY East Load Projections'!$A$4:$EO$14,((MONTH($A27)-1)*12)+VLOOKUP(CH$4,$DE$6:$DF$17,2)+1))*(VLOOKUP($A27,CURVES!$D$9:$T$261,7))*(INDEX(DailyScalarsTable,CH$5/100,MONTH($A27)))*$E27</f>
        <v>0</v>
      </c>
      <c r="CI27" s="1021">
        <f>(VLOOKUP(YEAR($A27),'NY East Load Projections'!$A$4:$EO$14,((MONTH($A27)-1)*12)+VLOOKUP(CI$4,$DE$6:$DF$17,2)+1))*(VLOOKUP($A27,CURVES!$D$9:$T$261,7))*(INDEX(DailyScalarsTable,CI$5/100,MONTH($A27)))*$E27</f>
        <v>0</v>
      </c>
      <c r="CJ27" s="1021">
        <f>(VLOOKUP(YEAR($A27),'NY East Load Projections'!$A$4:$EO$14,((MONTH($A27)-1)*12)+VLOOKUP(CJ$4,$DE$6:$DF$17,2)+1))*(VLOOKUP($A27,CURVES!$D$9:$T$261,7))*(INDEX(DailyScalarsTable,CJ$5/100,MONTH($A27)))*$E27</f>
        <v>0</v>
      </c>
      <c r="CK27" s="1021">
        <f>(VLOOKUP(YEAR($A27),'NY East Load Projections'!$A$4:$EO$14,((MONTH($A27)-1)*12)+VLOOKUP(CK$4,$DE$6:$DF$17,2)+1))*(VLOOKUP($A27,CURVES!$D$9:$T$261,7))*(INDEX(DailyScalarsTable,CK$5/100,MONTH($A27)))*$E27</f>
        <v>0</v>
      </c>
      <c r="CL27" s="1021">
        <f>(VLOOKUP(YEAR($A27),'NY East Load Projections'!$A$4:$EO$14,((MONTH($A27)-1)*12)+VLOOKUP(CL$4,$DE$6:$DF$17,2)+1))*(VLOOKUP($A27,SatSunCurve,7))*(INDEX(DailyScalarsTable,CL$5/100,MONTH($A27)))*$E27</f>
        <v>0</v>
      </c>
      <c r="CM27" s="1021">
        <f>(VLOOKUP(YEAR($A27),'NY East Load Projections'!$A$4:$EO$14,((MONTH($A27)-1)*12)+VLOOKUP(CM$4,$DE$6:$DF$17,2)+1))*(VLOOKUP($A27,SatSunCurve,7))*(INDEX(DailyScalarsTable,CM$5/100,MONTH($A27)))*$E27</f>
        <v>0</v>
      </c>
      <c r="CN27" s="1021">
        <f>(VLOOKUP(YEAR($A27),'NY East Load Projections'!$A$4:$EO$14,((MONTH($A27)-1)*12)+VLOOKUP(CN$4,$DE$6:$DF$17,2)+1))*(VLOOKUP($A27,SatSunCurve,7))*(INDEX(DailyScalarsTable,CN$5/100,MONTH($A27)))*$E27</f>
        <v>0</v>
      </c>
      <c r="CO27" s="1021">
        <f>(VLOOKUP(YEAR($A27),'NY East Load Projections'!$A$4:$EO$14,((MONTH($A27)-1)*12)+VLOOKUP(CO$4,$DE$6:$DF$17,2)+1))*(VLOOKUP($A27,SatSunCurve,7))*(INDEX(DailyScalarsTable,CO$5/100,MONTH($A27)))*$E27</f>
        <v>0</v>
      </c>
      <c r="CP27" s="1021">
        <f>(VLOOKUP(YEAR($A27),'NY East Load Projections'!$A$4:$EO$14,((MONTH($A27)-1)*12)+VLOOKUP(CP$4,$DE$6:$DF$17,2)+1))*(VLOOKUP($A27,SatSunCurve,7))*(INDEX(DailyScalarsTable,CP$5/100,MONTH($A27)))*$E27</f>
        <v>0</v>
      </c>
      <c r="CQ27" s="1021">
        <f>(VLOOKUP(YEAR($A27),'NY East Load Projections'!$A$4:$EO$14,((MONTH($A27)-1)*12)+VLOOKUP(CQ$4,$DE$6:$DF$17,2)+1))*(VLOOKUP($A27,SatSunCurve,7))*(INDEX(DailyScalarsTable,CQ$5/100,MONTH($A27)))*$E27</f>
        <v>0</v>
      </c>
      <c r="CR27" s="1021">
        <f>(VLOOKUP(YEAR($A27),'NY East Load Projections'!$A$4:$EO$14,((MONTH($A27)-1)*12)+VLOOKUP(CR$4,$DE$6:$DF$17,2)+1))*(VLOOKUP($A27,SatSunCurve,7))*(INDEX(DailyScalarsTable,CR$5/100,MONTH($A27)))*$E27</f>
        <v>0</v>
      </c>
      <c r="CS27" s="1021">
        <f>(VLOOKUP(YEAR($A27),'NY East Load Projections'!$A$4:$EO$14,((MONTH($A27)-1)*12)+VLOOKUP(CS$4,$DE$6:$DF$17,2)+1))*(VLOOKUP($A27,SatSunCurve,7))*(INDEX(DailyScalarsTable,CS$5/100,MONTH($A27)))*$E27</f>
        <v>0</v>
      </c>
      <c r="CT27" s="1021">
        <f>(VLOOKUP(YEAR($A27),'NY East Load Projections'!$A$4:$EO$14,((MONTH($A27)-1)*12)+VLOOKUP(CT$4,$DE$6:$DF$17,2)+1))*(VLOOKUP($A27,SatSunCurve,7))*(INDEX(DailyScalarsTable,CT$5/100,MONTH($A27)))*$E27</f>
        <v>0</v>
      </c>
      <c r="CU27" s="1021">
        <f>(VLOOKUP(YEAR($A27),'NY East Load Projections'!$A$4:$EO$14,((MONTH($A27)-1)*12)+VLOOKUP(CU$4,$DE$6:$DF$17,2)+1))*(VLOOKUP($A27,SatSunCurve,7))*(INDEX(DailyScalarsTable,CU$5/100,MONTH($A27)))*$E27</f>
        <v>0</v>
      </c>
      <c r="CV27" s="1021">
        <f>(VLOOKUP(YEAR($A27),'NY East Load Projections'!$A$4:$EO$14,((MONTH($A27)-1)*12)+VLOOKUP(CV$4,$DE$6:$DF$17,2)+1))*(VLOOKUP($A27,SatSunCurve,7))*(INDEX(DailyScalarsTable,CV$5/100,MONTH($A27)))*$E27</f>
        <v>0</v>
      </c>
      <c r="CW27" s="1021">
        <f>(VLOOKUP(YEAR($A27),'NY East Load Projections'!$A$4:$EO$14,((MONTH($A27)-1)*12)+VLOOKUP(CW$4,$DE$6:$DF$17,2)+1))*(VLOOKUP($A27,SatSunCurve,7))*(INDEX(DailyScalarsTable,CW$5/100,MONTH($A27)))*$E27</f>
        <v>0</v>
      </c>
      <c r="CX27" s="1021">
        <f>(VLOOKUP(YEAR($A27),'NY East Load Projections'!$A$4:$EO$14,((MONTH($A27)-1)*12)+VLOOKUP(CX$4,$DE$6:$DF$17,2)+1))*(VLOOKUP($A27,SatSunCurve,7))*(INDEX(DailyScalarsTable,CX$5/100,MONTH($A27)))*$E27</f>
        <v>0</v>
      </c>
      <c r="CY27" s="1021">
        <f>(VLOOKUP(YEAR($A27),'NY East Load Projections'!$A$4:$EO$14,((MONTH($A27)-1)*12)+VLOOKUP(CY$4,$DE$6:$DF$17,2)+1))*(VLOOKUP($A27,SatSunCurve,7))*(INDEX(DailyScalarsTable,CY$5/100,MONTH($A27)))*$E27</f>
        <v>0</v>
      </c>
      <c r="CZ27" s="1021">
        <f>(VLOOKUP(YEAR($A27),'NY East Load Projections'!$A$4:$EO$14,((MONTH($A27)-1)*12)+VLOOKUP(CZ$4,$DE$6:$DF$17,2)+1))*(VLOOKUP($A27,SatSunCurve,7))*(INDEX(DailyScalarsTable,CZ$5/100,MONTH($A27)))*$E27</f>
        <v>0</v>
      </c>
      <c r="DA27" s="1021">
        <f>(VLOOKUP(YEAR($A27),'NY East Load Projections'!$A$4:$EO$14,((MONTH($A27)-1)*12)+VLOOKUP(DA$4,$DE$6:$DF$17,2)+1))*(VLOOKUP($A27,SatSunCurve,7))*(INDEX(DailyScalarsTable,DA$5/100,MONTH($A27)))*$E27</f>
        <v>0</v>
      </c>
      <c r="DB27" s="1021">
        <f>(VLOOKUP(YEAR($A27),'NY East Load Projections'!$A$4:$EO$14,((MONTH($A27)-1)*12)+VLOOKUP(DB$4,$DE$6:$DF$17,2)+1))*(VLOOKUP($A27,CURVES!$D$9:$T$261,7))*(INDEX(DailyScalarsTable,DB$5/100,MONTH($A27)))*$E27</f>
        <v>0</v>
      </c>
      <c r="DH27" s="1032">
        <f t="shared" si="0"/>
        <v>-1790253.8535996757</v>
      </c>
      <c r="DI27">
        <f ca="1">CALC!J47</f>
        <v>0.8260475313611404</v>
      </c>
      <c r="DJ27" s="1029">
        <f t="shared" ca="1" si="1"/>
        <v>-1478834.7762757805</v>
      </c>
    </row>
    <row r="28" spans="1:114" x14ac:dyDescent="0.25">
      <c r="A28" s="244">
        <v>37561</v>
      </c>
      <c r="B28" s="13">
        <v>20</v>
      </c>
      <c r="C28" s="210">
        <v>5</v>
      </c>
      <c r="D28" s="210">
        <v>4</v>
      </c>
      <c r="E28" s="210">
        <v>1</v>
      </c>
      <c r="F28" s="13">
        <v>30</v>
      </c>
      <c r="H28" s="1021">
        <f>(VLOOKUP(YEAR($A28),'NY East Load Projections'!$A$4:$EO$14,((MONTH($A28)-1)*12)+VLOOKUP(H$4,$DE$6:$DF$17,2)+1))*(VLOOKUP($A28,CURVES!$D$9:$K$261,7))*(INDEX(DailyScalarsTable,H$5/100,MONTH($A28)))*$B28</f>
        <v>-30272.720515033594</v>
      </c>
      <c r="I28" s="1021">
        <f>(VLOOKUP(YEAR($A28),'NY East Load Projections'!$A$4:$EO$14,((MONTH($A28)-1)*12)+VLOOKUP(I$4,$DE$6:$DF$17,2)+1))*(VLOOKUP($A28,CURVES!$D$9:$K$261,7))*(INDEX(DailyScalarsTable,I$5/100,MONTH($A28)))*$B28</f>
        <v>-28699.646388216894</v>
      </c>
      <c r="J28" s="1021">
        <f>(VLOOKUP(YEAR($A28),'NY East Load Projections'!$A$4:$EO$14,((MONTH($A28)-1)*12)+VLOOKUP(J$4,$DE$6:$DF$17,2)+1))*(VLOOKUP($A28,CURVES!$D$9:$K$261,7))*(INDEX(DailyScalarsTable,J$5/100,MONTH($A28)))*$B28</f>
        <v>-27543.453189417869</v>
      </c>
      <c r="K28" s="1021">
        <f>(VLOOKUP(YEAR($A28),'NY East Load Projections'!$A$4:$EO$14,((MONTH($A28)-1)*12)+VLOOKUP(K$4,$DE$6:$DF$17,2)+1))*(VLOOKUP($A28,CURVES!$D$9:$K$261,7))*(INDEX(DailyScalarsTable,K$5/100,MONTH($A28)))*$B28</f>
        <v>-27559.737600668559</v>
      </c>
      <c r="L28" s="1021">
        <f>(VLOOKUP(YEAR($A28),'NY East Load Projections'!$A$4:$EO$14,((MONTH($A28)-1)*12)+VLOOKUP(L$4,$DE$6:$DF$17,2)+1))*(VLOOKUP($A28,CURVES!$D$9:$K$261,7))*(INDEX(DailyScalarsTable,L$5/100,MONTH($A28)))*$B28</f>
        <v>-31245.696459526076</v>
      </c>
      <c r="M28" s="1021">
        <f>(VLOOKUP(YEAR($A28),'NY East Load Projections'!$A$4:$EO$14,((MONTH($A28)-1)*12)+VLOOKUP(M$4,$DE$6:$DF$17,2)+1))*(VLOOKUP($A28,CURVES!$D$9:$K$261,7))*(INDEX(DailyScalarsTable,M$5/100,MONTH($A28)))*$B28</f>
        <v>-35998.902793523477</v>
      </c>
      <c r="N28" s="1021">
        <f>(VLOOKUP(YEAR($A28),'NY East Load Projections'!$A$4:$EO$14,((MONTH($A28)-1)*12)+VLOOKUP(N$4,$DE$6:$DF$17,2)+1))*(VLOOKUP($A28,CURVES!$D$9:$K$261,7))*(INDEX(DailyScalarsTable,N$5/100,MONTH($A28)))*$B28</f>
        <v>-51564.87799608495</v>
      </c>
      <c r="O28" s="1021">
        <f>(VLOOKUP(YEAR($A28),'NY East Load Projections'!$A$4:$EO$14,((MONTH($A28)-1)*12)+VLOOKUP(O$4,$DE$6:$DF$17,2)+1))*(VLOOKUP($A28,CURVES!$D$9:$K$261,3))*(INDEX(DailyScalarsTable,O$5/100,MONTH($A28)))*$B28</f>
        <v>-58724.889475170145</v>
      </c>
      <c r="P28" s="1021">
        <f>(VLOOKUP(YEAR($A28),'NY East Load Projections'!$A$4:$EO$14,((MONTH($A28)-1)*12)+VLOOKUP(P$4,$DE$6:$DF$17,2)+1))*(VLOOKUP($A28,CURVES!$D$9:$K$261,3))*(INDEX(DailyScalarsTable,P$5/100,MONTH($A28)))*$B28</f>
        <v>-65149.092057228991</v>
      </c>
      <c r="Q28" s="1021">
        <f>(VLOOKUP(YEAR($A28),'NY East Load Projections'!$A$4:$EO$14,((MONTH($A28)-1)*12)+VLOOKUP(Q$4,$DE$6:$DF$17,2)+1))*(VLOOKUP($A28,CURVES!$D$9:$K$261,3))*(INDEX(DailyScalarsTable,Q$5/100,MONTH($A28)))*$B28</f>
        <v>-64727.156750714465</v>
      </c>
      <c r="R28" s="1021">
        <f>(VLOOKUP(YEAR($A28),'NY East Load Projections'!$A$4:$EO$14,((MONTH($A28)-1)*12)+VLOOKUP(R$4,$DE$6:$DF$17,2)+1))*(VLOOKUP($A28,CURVES!$D$9:$K$261,3))*(INDEX(DailyScalarsTable,R$5/100,MONTH($A28)))*$B28</f>
        <v>-63478.456316570126</v>
      </c>
      <c r="S28" s="1021">
        <f>(VLOOKUP(YEAR($A28),'NY East Load Projections'!$A$4:$EO$14,((MONTH($A28)-1)*12)+VLOOKUP(S$4,$DE$6:$DF$17,2)+1))*(VLOOKUP($A28,CURVES!$D$9:$K$261,3))*(INDEX(DailyScalarsTable,S$5/100,MONTH($A28)))*$B28</f>
        <v>-53448.940044150586</v>
      </c>
      <c r="T28" s="1021">
        <f>(VLOOKUP(YEAR($A28),'NY East Load Projections'!$A$4:$EO$14,((MONTH($A28)-1)*12)+VLOOKUP(T$4,$DE$6:$DF$17,2)+1))*(VLOOKUP($A28,CURVES!$D$9:$K$261,3))*(INDEX(DailyScalarsTable,T$5/100,MONTH($A28)))*$B28</f>
        <v>-50706.064285004242</v>
      </c>
      <c r="U28" s="1021">
        <f>(VLOOKUP(YEAR($A28),'NY East Load Projections'!$A$4:$EO$14,((MONTH($A28)-1)*12)+VLOOKUP(U$4,$DE$6:$DF$17,2)+1))*(VLOOKUP($A28,CURVES!$D$9:$K$261,3))*(INDEX(DailyScalarsTable,U$5/100,MONTH($A28)))*$B28</f>
        <v>-49344.943293323871</v>
      </c>
      <c r="V28" s="1021">
        <f>(VLOOKUP(YEAR($A28),'NY East Load Projections'!$A$4:$EO$14,((MONTH($A28)-1)*12)+VLOOKUP(V$4,$DE$6:$DF$17,2)+1))*(VLOOKUP($A28,CURVES!$D$9:$K$261,3))*(INDEX(DailyScalarsTable,V$5/100,MONTH($A28)))*$B28</f>
        <v>-48190.57485734178</v>
      </c>
      <c r="W28" s="1021">
        <f>(VLOOKUP(YEAR($A28),'NY East Load Projections'!$A$4:$EO$14,((MONTH($A28)-1)*12)+VLOOKUP(W$4,$DE$6:$DF$17,2)+1))*(VLOOKUP($A28,CURVES!$D$9:$K$261,3))*(INDEX(DailyScalarsTable,W$5/100,MONTH($A28)))*$B28</f>
        <v>-47398.023393831689</v>
      </c>
      <c r="X28" s="1021">
        <f>(VLOOKUP(YEAR($A28),'NY East Load Projections'!$A$4:$EO$14,((MONTH($A28)-1)*12)+VLOOKUP(X$4,$DE$6:$DF$17,2)+1))*(VLOOKUP($A28,CURVES!$D$9:$K$261,3))*(INDEX(DailyScalarsTable,X$5/100,MONTH($A28)))*$B28</f>
        <v>-49257.349239038384</v>
      </c>
      <c r="Y28" s="1021">
        <f>(VLOOKUP(YEAR($A28),'NY East Load Projections'!$A$4:$EO$14,((MONTH($A28)-1)*12)+VLOOKUP(Y$4,$DE$6:$DF$17,2)+1))*(VLOOKUP($A28,CURVES!$D$9:$K$261,3))*(INDEX(DailyScalarsTable,Y$5/100,MONTH($A28)))*$B28</f>
        <v>-67619.128985826319</v>
      </c>
      <c r="Z28" s="1021">
        <f>(VLOOKUP(YEAR($A28),'NY East Load Projections'!$A$4:$EO$14,((MONTH($A28)-1)*12)+VLOOKUP(Z$4,$DE$6:$DF$17,2)+1))*(VLOOKUP($A28,CURVES!$D$9:$K$261,3))*(INDEX(DailyScalarsTable,Z$5/100,MONTH($A28)))*$B28</f>
        <v>-68163.59325668418</v>
      </c>
      <c r="AA28" s="1021">
        <f>(VLOOKUP(YEAR($A28),'NY East Load Projections'!$A$4:$EO$14,((MONTH($A28)-1)*12)+VLOOKUP(AA$4,$DE$6:$DF$17,2)+1))*(VLOOKUP($A28,CURVES!$D$9:$K$261,3))*(INDEX(DailyScalarsTable,AA$5/100,MONTH($A28)))*$B28</f>
        <v>-65374.602808004136</v>
      </c>
      <c r="AB28" s="1021">
        <f>(VLOOKUP(YEAR($A28),'NY East Load Projections'!$A$4:$EO$14,((MONTH($A28)-1)*12)+VLOOKUP(AB$4,$DE$6:$DF$17,2)+1))*(VLOOKUP($A28,CURVES!$D$9:$K$261,3))*(INDEX(DailyScalarsTable,AB$5/100,MONTH($A28)))*$B28</f>
        <v>-57694.850077700896</v>
      </c>
      <c r="AC28" s="1021">
        <f>(VLOOKUP(YEAR($A28),'NY East Load Projections'!$A$4:$EO$14,((MONTH($A28)-1)*12)+VLOOKUP(AC$4,$DE$6:$DF$17,2)+1))*(VLOOKUP($A28,CURVES!$D$9:$K$261,3))*(INDEX(DailyScalarsTable,AC$5/100,MONTH($A28)))*$B28</f>
        <v>-45895.196195522556</v>
      </c>
      <c r="AD28" s="1021">
        <f>(VLOOKUP(YEAR($A28),'NY East Load Projections'!$A$4:$EO$14,((MONTH($A28)-1)*12)+VLOOKUP(AD$4,$DE$6:$DF$17,2)+1))*(VLOOKUP($A28,CURVES!$D$9:$K$261,3))*(INDEX(DailyScalarsTable,AD$5/100,MONTH($A28)))*$B28</f>
        <v>-38705.196052677478</v>
      </c>
      <c r="AE28" s="1021">
        <f>(VLOOKUP(YEAR($A28),'NY East Load Projections'!$A$4:$EO$14,((MONTH($A28)-1)*12)+VLOOKUP(AE$4,$DE$6:$DF$17,2)+1))*(VLOOKUP($A28,CURVES!$D$9:$K$261,7))*(INDEX(DailyScalarsTable,AE$5/100,MONTH($A28)))*$B28</f>
        <v>-35005.596009627778</v>
      </c>
      <c r="AF28" s="1021"/>
      <c r="AG28" s="1021">
        <f>(VLOOKUP(YEAR($A28),'NY East Load Projections'!$A$4:$EO$14,((MONTH($A28)-1)*12)+VLOOKUP(AG$4,$DE$6:$DF$17,2)+1))*(VLOOKUP($A28,CURVES!$D$9:$T$261,7))*(INDEX(DailyScalarsTable,AG$5/100,MONTH($A28)))*$C28</f>
        <v>-7905.1309126447577</v>
      </c>
      <c r="AH28" s="1021">
        <f>(VLOOKUP(YEAR($A28),'NY East Load Projections'!$A$4:$EO$14,((MONTH($A28)-1)*12)+VLOOKUP(AH$4,$DE$6:$DF$17,2)+1))*(VLOOKUP($A28,CURVES!$D$9:$T$261,7))*(INDEX(DailyScalarsTable,AH$5/100,MONTH($A28)))*$C28</f>
        <v>-7494.3532654357832</v>
      </c>
      <c r="AI28" s="1021">
        <f>(VLOOKUP(YEAR($A28),'NY East Load Projections'!$A$4:$EO$14,((MONTH($A28)-1)*12)+VLOOKUP(AI$4,$DE$6:$DF$17,2)+1))*(VLOOKUP($A28,CURVES!$D$9:$T$261,7))*(INDEX(DailyScalarsTable,AI$5/100,MONTH($A28)))*$C28</f>
        <v>-7192.4359470937834</v>
      </c>
      <c r="AJ28" s="1021">
        <f>(VLOOKUP(YEAR($A28),'NY East Load Projections'!$A$4:$EO$14,((MONTH($A28)-1)*12)+VLOOKUP(AJ$4,$DE$6:$DF$17,2)+1))*(VLOOKUP($A28,CURVES!$D$9:$T$261,7))*(INDEX(DailyScalarsTable,AJ$5/100,MONTH($A28)))*$C28</f>
        <v>-7196.688303690149</v>
      </c>
      <c r="AK28" s="1021">
        <f>(VLOOKUP(YEAR($A28),'NY East Load Projections'!$A$4:$EO$14,((MONTH($A28)-1)*12)+VLOOKUP(AK$4,$DE$6:$DF$17,2)+1))*(VLOOKUP($A28,CURVES!$D$9:$T$261,7))*(INDEX(DailyScalarsTable,AK$5/100,MONTH($A28)))*$C28</f>
        <v>-7835.4759991729234</v>
      </c>
      <c r="AL28" s="1021">
        <f>(VLOOKUP(YEAR($A28),'NY East Load Projections'!$A$4:$EO$14,((MONTH($A28)-1)*12)+VLOOKUP(AL$4,$DE$6:$DF$17,2)+1))*(VLOOKUP($A28,CURVES!$D$9:$T$261,7))*(INDEX(DailyScalarsTable,AL$5/100,MONTH($A28)))*$C28</f>
        <v>-9027.436440745947</v>
      </c>
      <c r="AM28" s="1021">
        <f>(VLOOKUP(YEAR($A28),'NY East Load Projections'!$A$4:$EO$14,((MONTH($A28)-1)*12)+VLOOKUP(AM$4,$DE$6:$DF$17,2)+1))*(VLOOKUP($A28,CURVES!$D$9:$T$261,7))*(INDEX(DailyScalarsTable,AM$5/100,MONTH($A28)))*$C28</f>
        <v>-12930.912404592051</v>
      </c>
      <c r="AN28" s="1021">
        <f>(VLOOKUP(YEAR($A28),'NY East Load Projections'!$A$4:$EO$14,((MONTH($A28)-1)*12)+VLOOKUP(AN$4,$DE$6:$DF$17,2)+1))*(VLOOKUP($A28,SatSunCurve,3))*(INDEX(DailyScalarsTable,AN$5/100,MONTH($A28)))*$C28</f>
        <v>-11357.565215596947</v>
      </c>
      <c r="AO28" s="1021">
        <f>(VLOOKUP(YEAR($A28),'NY East Load Projections'!$A$4:$EO$14,((MONTH($A28)-1)*12)+VLOOKUP(AO$4,$DE$6:$DF$17,2)+1))*(VLOOKUP($A28,SatSunCurve,3))*(INDEX(DailyScalarsTable,AO$5/100,MONTH($A28)))*$C28</f>
        <v>-12734.345518413051</v>
      </c>
      <c r="AP28" s="1021">
        <f>(VLOOKUP(YEAR($A28),'NY East Load Projections'!$A$4:$EO$14,((MONTH($A28)-1)*12)+VLOOKUP(AP$4,$DE$6:$DF$17,2)+1))*(VLOOKUP($A28,SatSunCurve,3))*(INDEX(DailyScalarsTable,AP$5/100,MONTH($A28)))*$C28</f>
        <v>-12651.872074656483</v>
      </c>
      <c r="AQ28" s="1021">
        <f>(VLOOKUP(YEAR($A28),'NY East Load Projections'!$A$4:$EO$14,((MONTH($A28)-1)*12)+VLOOKUP(AQ$4,$DE$6:$DF$17,2)+1))*(VLOOKUP($A28,SatSunCurve,3))*(INDEX(DailyScalarsTable,AQ$5/100,MONTH($A28)))*$C28</f>
        <v>-12407.795261376903</v>
      </c>
      <c r="AR28" s="1021">
        <f>(VLOOKUP(YEAR($A28),'NY East Load Projections'!$A$4:$EO$14,((MONTH($A28)-1)*12)+VLOOKUP(AR$4,$DE$6:$DF$17,2)+1))*(VLOOKUP($A28,SatSunCurve,3))*(INDEX(DailyScalarsTable,AR$5/100,MONTH($A28)))*$C28</f>
        <v>-10447.379213163309</v>
      </c>
      <c r="AS28" s="1021">
        <f>(VLOOKUP(YEAR($A28),'NY East Load Projections'!$A$4:$EO$14,((MONTH($A28)-1)*12)+VLOOKUP(AS$4,$DE$6:$DF$17,2)+1))*(VLOOKUP($A28,SatSunCurve,3))*(INDEX(DailyScalarsTable,AS$5/100,MONTH($A28)))*$C28</f>
        <v>-9906.0975779381679</v>
      </c>
      <c r="AT28" s="1021">
        <f>(VLOOKUP(YEAR($A28),'NY East Load Projections'!$A$4:$EO$14,((MONTH($A28)-1)*12)+VLOOKUP(AT$4,$DE$6:$DF$17,2)+1))*(VLOOKUP($A28,SatSunCurve,3))*(INDEX(DailyScalarsTable,AT$5/100,MONTH($A28)))*$C28</f>
        <v>-9640.1846630020082</v>
      </c>
      <c r="AU28" s="1021">
        <f>(VLOOKUP(YEAR($A28),'NY East Load Projections'!$A$4:$EO$14,((MONTH($A28)-1)*12)+VLOOKUP(AU$4,$DE$6:$DF$17,2)+1))*(VLOOKUP($A28,SatSunCurve,3))*(INDEX(DailyScalarsTable,AU$5/100,MONTH($A28)))*$C28</f>
        <v>-9414.6635832460252</v>
      </c>
      <c r="AV28" s="1021">
        <f>(VLOOKUP(YEAR($A28),'NY East Load Projections'!$A$4:$EO$14,((MONTH($A28)-1)*12)+VLOOKUP(AV$4,$DE$6:$DF$17,2)+1))*(VLOOKUP($A28,SatSunCurve,3))*(INDEX(DailyScalarsTable,AV$5/100,MONTH($A28)))*$C28</f>
        <v>-9259.8282150553514</v>
      </c>
      <c r="AW28" s="1021">
        <f>(VLOOKUP(YEAR($A28),'NY East Load Projections'!$A$4:$EO$14,((MONTH($A28)-1)*12)+VLOOKUP(AW$4,$DE$6:$DF$17,2)+1))*(VLOOKUP($A28,SatSunCurve,3))*(INDEX(DailyScalarsTable,AW$5/100,MONTH($A28)))*$C28</f>
        <v>-9639.1184396033805</v>
      </c>
      <c r="AX28" s="1021">
        <f>(VLOOKUP(YEAR($A28),'NY East Load Projections'!$A$4:$EO$14,((MONTH($A28)-1)*12)+VLOOKUP(AX$4,$DE$6:$DF$17,2)+1))*(VLOOKUP($A28,SatSunCurve,3))*(INDEX(DailyScalarsTable,AX$5/100,MONTH($A28)))*$C28</f>
        <v>-13232.315647238072</v>
      </c>
      <c r="AY28" s="1021">
        <f>(VLOOKUP(YEAR($A28),'NY East Load Projections'!$A$4:$EO$14,((MONTH($A28)-1)*12)+VLOOKUP(AY$4,$DE$6:$DF$17,2)+1))*(VLOOKUP($A28,SatSunCurve,3))*(INDEX(DailyScalarsTable,AY$5/100,MONTH($A28)))*$C28</f>
        <v>-13338.861283046906</v>
      </c>
      <c r="AZ28" s="1021">
        <f>(VLOOKUP(YEAR($A28),'NY East Load Projections'!$A$4:$EO$14,((MONTH($A28)-1)*12)+VLOOKUP(AZ$4,$DE$6:$DF$17,2)+1))*(VLOOKUP($A28,SatSunCurve,3))*(INDEX(DailyScalarsTable,AZ$5/100,MONTH($A28)))*$C28</f>
        <v>-12793.086699617978</v>
      </c>
      <c r="BA28" s="1021">
        <f>(VLOOKUP(YEAR($A28),'NY East Load Projections'!$A$4:$EO$14,((MONTH($A28)-1)*12)+VLOOKUP(BA$4,$DE$6:$DF$17,2)+1))*(VLOOKUP($A28,SatSunCurve,3))*(INDEX(DailyScalarsTable,BA$5/100,MONTH($A28)))*$C28</f>
        <v>-11520.61965757902</v>
      </c>
      <c r="BB28" s="1021">
        <f>(VLOOKUP(YEAR($A28),'NY East Load Projections'!$A$4:$EO$14,((MONTH($A28)-1)*12)+VLOOKUP(BB$4,$DE$6:$DF$17,2)+1))*(VLOOKUP($A28,SatSunCurve,3))*(INDEX(DailyScalarsTable,BB$5/100,MONTH($A28)))*$C28</f>
        <v>-9164.441865547753</v>
      </c>
      <c r="BC28" s="1021">
        <f>(VLOOKUP(YEAR($A28),'NY East Load Projections'!$A$4:$EO$14,((MONTH($A28)-1)*12)+VLOOKUP(BC$4,$DE$6:$DF$17,2)+1))*(VLOOKUP($A28,SatSunCurve,3))*(INDEX(DailyScalarsTable,BC$5/100,MONTH($A28)))*$C28</f>
        <v>-7728.7286801923728</v>
      </c>
      <c r="BD28" s="1021">
        <f>(VLOOKUP(YEAR($A28),'NY East Load Projections'!$A$4:$EO$14,((MONTH($A28)-1)*12)+VLOOKUP(BD$4,$DE$6:$DF$17,2)+1))*(VLOOKUP($A28,CURVES!$D$9:$T$261,7))*(INDEX(DailyScalarsTable,BD$5/100,MONTH($A28)))*$C28</f>
        <v>-9063.3428806278534</v>
      </c>
      <c r="BE28" s="1021"/>
      <c r="BF28" s="1021">
        <f>(VLOOKUP(YEAR($A28),'NY East Load Projections'!$A$4:$EO$14,((MONTH($A28)-1)*12)+VLOOKUP(BF$4,$DE$6:$DF$17,2)+1))*(VLOOKUP($A28,CURVES!$D$9:$T$261,7))*(INDEX(DailyScalarsTable,BF$5/100,MONTH($A28)))*$D28</f>
        <v>-6324.104730115806</v>
      </c>
      <c r="BG28" s="1021">
        <f>(VLOOKUP(YEAR($A28),'NY East Load Projections'!$A$4:$EO$14,((MONTH($A28)-1)*12)+VLOOKUP(BG$4,$DE$6:$DF$17,2)+1))*(VLOOKUP($A28,CURVES!$D$9:$T$261,7))*(INDEX(DailyScalarsTable,BG$5/100,MONTH($A28)))*$D28</f>
        <v>-5995.4826123486264</v>
      </c>
      <c r="BH28" s="1021">
        <f>(VLOOKUP(YEAR($A28),'NY East Load Projections'!$A$4:$EO$14,((MONTH($A28)-1)*12)+VLOOKUP(BH$4,$DE$6:$DF$17,2)+1))*(VLOOKUP($A28,CURVES!$D$9:$T$261,7))*(INDEX(DailyScalarsTable,BH$5/100,MONTH($A28)))*$D28</f>
        <v>-5753.9487576750271</v>
      </c>
      <c r="BI28" s="1021">
        <f>(VLOOKUP(YEAR($A28),'NY East Load Projections'!$A$4:$EO$14,((MONTH($A28)-1)*12)+VLOOKUP(BI$4,$DE$6:$DF$17,2)+1))*(VLOOKUP($A28,CURVES!$D$9:$T$261,7))*(INDEX(DailyScalarsTable,BI$5/100,MONTH($A28)))*$D28</f>
        <v>-5757.3506429521194</v>
      </c>
      <c r="BJ28" s="1021">
        <f>(VLOOKUP(YEAR($A28),'NY East Load Projections'!$A$4:$EO$14,((MONTH($A28)-1)*12)+VLOOKUP(BJ$4,$DE$6:$DF$17,2)+1))*(VLOOKUP($A28,CURVES!$D$9:$T$261,7))*(INDEX(DailyScalarsTable,BJ$5/100,MONTH($A28)))*$D28</f>
        <v>-6268.3807993383389</v>
      </c>
      <c r="BK28" s="1021">
        <f>(VLOOKUP(YEAR($A28),'NY East Load Projections'!$A$4:$EO$14,((MONTH($A28)-1)*12)+VLOOKUP(BK$4,$DE$6:$DF$17,2)+1))*(VLOOKUP($A28,CURVES!$D$9:$T$261,7))*(INDEX(DailyScalarsTable,BK$5/100,MONTH($A28)))*$D28</f>
        <v>-7221.9491525967578</v>
      </c>
      <c r="BL28" s="1021">
        <f>(VLOOKUP(YEAR($A28),'NY East Load Projections'!$A$4:$EO$14,((MONTH($A28)-1)*12)+VLOOKUP(BL$4,$DE$6:$DF$17,2)+1))*(VLOOKUP($A28,CURVES!$D$9:$T$261,7))*(INDEX(DailyScalarsTable,BL$5/100,MONTH($A28)))*$D28</f>
        <v>-10344.72992367364</v>
      </c>
      <c r="BM28" s="1021">
        <f>(VLOOKUP(YEAR($A28),'NY East Load Projections'!$A$4:$EO$14,((MONTH($A28)-1)*12)+VLOOKUP(BM$4,$DE$6:$DF$17,2)+1))*(VLOOKUP($A28,SatSunCurve,7))*(INDEX(DailyScalarsTable,BM$5/100,MONTH($A28)))*$D28</f>
        <v>-8328.9357376465632</v>
      </c>
      <c r="BN28" s="1021">
        <f>(VLOOKUP(YEAR($A28),'NY East Load Projections'!$A$4:$EO$14,((MONTH($A28)-1)*12)+VLOOKUP(BN$4,$DE$6:$DF$17,2)+1))*(VLOOKUP($A28,SatSunCurve,7))*(INDEX(DailyScalarsTable,BN$5/100,MONTH($A28)))*$D28</f>
        <v>-9338.5812425885488</v>
      </c>
      <c r="BO28" s="1021">
        <f>(VLOOKUP(YEAR($A28),'NY East Load Projections'!$A$4:$EO$14,((MONTH($A28)-1)*12)+VLOOKUP(BO$4,$DE$6:$DF$17,2)+1))*(VLOOKUP($A28,SatSunCurve,7))*(INDEX(DailyScalarsTable,BO$5/100,MONTH($A28)))*$D28</f>
        <v>-9278.1003208353923</v>
      </c>
      <c r="BP28" s="1021">
        <f>(VLOOKUP(YEAR($A28),'NY East Load Projections'!$A$4:$EO$14,((MONTH($A28)-1)*12)+VLOOKUP(BP$4,$DE$6:$DF$17,2)+1))*(VLOOKUP($A28,SatSunCurve,7))*(INDEX(DailyScalarsTable,BP$5/100,MONTH($A28)))*$D28</f>
        <v>-9099.1094848361899</v>
      </c>
      <c r="BQ28" s="1021">
        <f>(VLOOKUP(YEAR($A28),'NY East Load Projections'!$A$4:$EO$14,((MONTH($A28)-1)*12)+VLOOKUP(BQ$4,$DE$6:$DF$17,2)+1))*(VLOOKUP($A28,SatSunCurve,7))*(INDEX(DailyScalarsTable,BQ$5/100,MONTH($A28)))*$D28</f>
        <v>-7661.4616285686197</v>
      </c>
      <c r="BR28" s="1021">
        <f>(VLOOKUP(YEAR($A28),'NY East Load Projections'!$A$4:$EO$14,((MONTH($A28)-1)*12)+VLOOKUP(BR$4,$DE$6:$DF$17,2)+1))*(VLOOKUP($A28,SatSunCurve,7))*(INDEX(DailyScalarsTable,BR$5/100,MONTH($A28)))*$D28</f>
        <v>-7264.5191615716149</v>
      </c>
      <c r="BS28" s="1021">
        <f>(VLOOKUP(YEAR($A28),'NY East Load Projections'!$A$4:$EO$14,((MONTH($A28)-1)*12)+VLOOKUP(BS$4,$DE$6:$DF$17,2)+1))*(VLOOKUP($A28,SatSunCurve,7))*(INDEX(DailyScalarsTable,BS$5/100,MONTH($A28)))*$D28</f>
        <v>-7069.5150794227329</v>
      </c>
      <c r="BT28" s="1021">
        <f>(VLOOKUP(YEAR($A28),'NY East Load Projections'!$A$4:$EO$14,((MONTH($A28)-1)*12)+VLOOKUP(BT$4,$DE$6:$DF$17,2)+1))*(VLOOKUP($A28,SatSunCurve,7))*(INDEX(DailyScalarsTable,BT$5/100,MONTH($A28)))*$D28</f>
        <v>-6904.1318705116564</v>
      </c>
      <c r="BU28" s="1021">
        <f>(VLOOKUP(YEAR($A28),'NY East Load Projections'!$A$4:$EO$14,((MONTH($A28)-1)*12)+VLOOKUP(BU$4,$DE$6:$DF$17,2)+1))*(VLOOKUP($A28,SatSunCurve,7))*(INDEX(DailyScalarsTable,BU$5/100,MONTH($A28)))*$D28</f>
        <v>-6790.5851897667389</v>
      </c>
      <c r="BV28" s="1021">
        <f>(VLOOKUP(YEAR($A28),'NY East Load Projections'!$A$4:$EO$14,((MONTH($A28)-1)*12)+VLOOKUP(BV$4,$DE$6:$DF$17,2)+1))*(VLOOKUP($A28,SatSunCurve,7))*(INDEX(DailyScalarsTable,BV$5/100,MONTH($A28)))*$D28</f>
        <v>-7068.7331771399304</v>
      </c>
      <c r="BW28" s="1021">
        <f>(VLOOKUP(YEAR($A28),'NY East Load Projections'!$A$4:$EO$14,((MONTH($A28)-1)*12)+VLOOKUP(BW$4,$DE$6:$DF$17,2)+1))*(VLOOKUP($A28,SatSunCurve,7))*(INDEX(DailyScalarsTable,BW$5/100,MONTH($A28)))*$D28</f>
        <v>-9703.7617300891143</v>
      </c>
      <c r="BX28" s="1021">
        <f>(VLOOKUP(YEAR($A28),'NY East Load Projections'!$A$4:$EO$14,((MONTH($A28)-1)*12)+VLOOKUP(BX$4,$DE$6:$DF$17,2)+1))*(VLOOKUP($A28,SatSunCurve,7))*(INDEX(DailyScalarsTable,BX$5/100,MONTH($A28)))*$D28</f>
        <v>-9781.8957083611331</v>
      </c>
      <c r="BY28" s="1021">
        <f>(VLOOKUP(YEAR($A28),'NY East Load Projections'!$A$4:$EO$14,((MONTH($A28)-1)*12)+VLOOKUP(BY$4,$DE$6:$DF$17,2)+1))*(VLOOKUP($A28,SatSunCurve,7))*(INDEX(DailyScalarsTable,BY$5/100,MONTH($A28)))*$D28</f>
        <v>-9381.6583910901827</v>
      </c>
      <c r="BZ28" s="1021">
        <f>(VLOOKUP(YEAR($A28),'NY East Load Projections'!$A$4:$EO$14,((MONTH($A28)-1)*12)+VLOOKUP(BZ$4,$DE$6:$DF$17,2)+1))*(VLOOKUP($A28,SatSunCurve,7))*(INDEX(DailyScalarsTable,BZ$5/100,MONTH($A28)))*$D28</f>
        <v>-8448.5097786691513</v>
      </c>
      <c r="CA28" s="1021">
        <f>(VLOOKUP(YEAR($A28),'NY East Load Projections'!$A$4:$EO$14,((MONTH($A28)-1)*12)+VLOOKUP(CA$4,$DE$6:$DF$17,2)+1))*(VLOOKUP($A28,SatSunCurve,7))*(INDEX(DailyScalarsTable,CA$5/100,MONTH($A28)))*$D28</f>
        <v>-6720.6347417423258</v>
      </c>
      <c r="CB28" s="1021">
        <f>(VLOOKUP(YEAR($A28),'NY East Load Projections'!$A$4:$EO$14,((MONTH($A28)-1)*12)+VLOOKUP(CB$4,$DE$6:$DF$17,2)+1))*(VLOOKUP($A28,SatSunCurve,7))*(INDEX(DailyScalarsTable,CB$5/100,MONTH($A28)))*$D28</f>
        <v>-5667.771506398949</v>
      </c>
      <c r="CC28" s="1021">
        <f>(VLOOKUP(YEAR($A28),'NY East Load Projections'!$A$4:$EO$14,((MONTH($A28)-1)*12)+VLOOKUP(CC$4,$DE$6:$DF$17,2)+1))*(VLOOKUP($A28,CURVES!$D$9:$T$261,7))*(INDEX(DailyScalarsTable,CC$5/100,MONTH($A28)))*$D28</f>
        <v>-7250.6743045022822</v>
      </c>
      <c r="CE28" s="1021">
        <f>(VLOOKUP(YEAR($A28),'NY East Load Projections'!$A$4:$EO$14,((MONTH($A28)-1)*12)+VLOOKUP(CE$4,$DE$6:$DF$17,2)+1))*(VLOOKUP($A28,CURVES!$D$9:$T$261,7))*(INDEX(DailyScalarsTable,CE$5/100,MONTH($A28)))*$E28</f>
        <v>-1581.0261825289515</v>
      </c>
      <c r="CF28" s="1021">
        <f>(VLOOKUP(YEAR($A28),'NY East Load Projections'!$A$4:$EO$14,((MONTH($A28)-1)*12)+VLOOKUP(CF$4,$DE$6:$DF$17,2)+1))*(VLOOKUP($A28,CURVES!$D$9:$T$261,7))*(INDEX(DailyScalarsTable,CF$5/100,MONTH($A28)))*$E28</f>
        <v>-1498.8706530871566</v>
      </c>
      <c r="CG28" s="1021">
        <f>(VLOOKUP(YEAR($A28),'NY East Load Projections'!$A$4:$EO$14,((MONTH($A28)-1)*12)+VLOOKUP(CG$4,$DE$6:$DF$17,2)+1))*(VLOOKUP($A28,CURVES!$D$9:$T$261,7))*(INDEX(DailyScalarsTable,CG$5/100,MONTH($A28)))*$E28</f>
        <v>-1438.4871894187568</v>
      </c>
      <c r="CH28" s="1021">
        <f>(VLOOKUP(YEAR($A28),'NY East Load Projections'!$A$4:$EO$14,((MONTH($A28)-1)*12)+VLOOKUP(CH$4,$DE$6:$DF$17,2)+1))*(VLOOKUP($A28,CURVES!$D$9:$T$261,7))*(INDEX(DailyScalarsTable,CH$5/100,MONTH($A28)))*$E28</f>
        <v>-1439.3376607380299</v>
      </c>
      <c r="CI28" s="1021">
        <f>(VLOOKUP(YEAR($A28),'NY East Load Projections'!$A$4:$EO$14,((MONTH($A28)-1)*12)+VLOOKUP(CI$4,$DE$6:$DF$17,2)+1))*(VLOOKUP($A28,CURVES!$D$9:$T$261,7))*(INDEX(DailyScalarsTable,CI$5/100,MONTH($A28)))*$E28</f>
        <v>-1567.0951998345847</v>
      </c>
      <c r="CJ28" s="1021">
        <f>(VLOOKUP(YEAR($A28),'NY East Load Projections'!$A$4:$EO$14,((MONTH($A28)-1)*12)+VLOOKUP(CJ$4,$DE$6:$DF$17,2)+1))*(VLOOKUP($A28,CURVES!$D$9:$T$261,7))*(INDEX(DailyScalarsTable,CJ$5/100,MONTH($A28)))*$E28</f>
        <v>-1805.4872881491895</v>
      </c>
      <c r="CK28" s="1021">
        <f>(VLOOKUP(YEAR($A28),'NY East Load Projections'!$A$4:$EO$14,((MONTH($A28)-1)*12)+VLOOKUP(CK$4,$DE$6:$DF$17,2)+1))*(VLOOKUP($A28,CURVES!$D$9:$T$261,7))*(INDEX(DailyScalarsTable,CK$5/100,MONTH($A28)))*$E28</f>
        <v>-2586.18248091841</v>
      </c>
      <c r="CL28" s="1021">
        <f>(VLOOKUP(YEAR($A28),'NY East Load Projections'!$A$4:$EO$14,((MONTH($A28)-1)*12)+VLOOKUP(CL$4,$DE$6:$DF$17,2)+1))*(VLOOKUP($A28,SatSunCurve,7))*(INDEX(DailyScalarsTable,CL$5/100,MONTH($A28)))*$E28</f>
        <v>-2082.2339344116408</v>
      </c>
      <c r="CM28" s="1021">
        <f>(VLOOKUP(YEAR($A28),'NY East Load Projections'!$A$4:$EO$14,((MONTH($A28)-1)*12)+VLOOKUP(CM$4,$DE$6:$DF$17,2)+1))*(VLOOKUP($A28,SatSunCurve,7))*(INDEX(DailyScalarsTable,CM$5/100,MONTH($A28)))*$E28</f>
        <v>-2334.6453106471372</v>
      </c>
      <c r="CN28" s="1021">
        <f>(VLOOKUP(YEAR($A28),'NY East Load Projections'!$A$4:$EO$14,((MONTH($A28)-1)*12)+VLOOKUP(CN$4,$DE$6:$DF$17,2)+1))*(VLOOKUP($A28,SatSunCurve,7))*(INDEX(DailyScalarsTable,CN$5/100,MONTH($A28)))*$E28</f>
        <v>-2319.5250802088481</v>
      </c>
      <c r="CO28" s="1021">
        <f>(VLOOKUP(YEAR($A28),'NY East Load Projections'!$A$4:$EO$14,((MONTH($A28)-1)*12)+VLOOKUP(CO$4,$DE$6:$DF$17,2)+1))*(VLOOKUP($A28,SatSunCurve,7))*(INDEX(DailyScalarsTable,CO$5/100,MONTH($A28)))*$E28</f>
        <v>-2274.7773712090475</v>
      </c>
      <c r="CP28" s="1021">
        <f>(VLOOKUP(YEAR($A28),'NY East Load Projections'!$A$4:$EO$14,((MONTH($A28)-1)*12)+VLOOKUP(CP$4,$DE$6:$DF$17,2)+1))*(VLOOKUP($A28,SatSunCurve,7))*(INDEX(DailyScalarsTable,CP$5/100,MONTH($A28)))*$E28</f>
        <v>-1915.3654071421549</v>
      </c>
      <c r="CQ28" s="1021">
        <f>(VLOOKUP(YEAR($A28),'NY East Load Projections'!$A$4:$EO$14,((MONTH($A28)-1)*12)+VLOOKUP(CQ$4,$DE$6:$DF$17,2)+1))*(VLOOKUP($A28,SatSunCurve,7))*(INDEX(DailyScalarsTable,CQ$5/100,MONTH($A28)))*$E28</f>
        <v>-1816.1297903929037</v>
      </c>
      <c r="CR28" s="1021">
        <f>(VLOOKUP(YEAR($A28),'NY East Load Projections'!$A$4:$EO$14,((MONTH($A28)-1)*12)+VLOOKUP(CR$4,$DE$6:$DF$17,2)+1))*(VLOOKUP($A28,SatSunCurve,7))*(INDEX(DailyScalarsTable,CR$5/100,MONTH($A28)))*$E28</f>
        <v>-1767.3787698556832</v>
      </c>
      <c r="CS28" s="1021">
        <f>(VLOOKUP(YEAR($A28),'NY East Load Projections'!$A$4:$EO$14,((MONTH($A28)-1)*12)+VLOOKUP(CS$4,$DE$6:$DF$17,2)+1))*(VLOOKUP($A28,SatSunCurve,7))*(INDEX(DailyScalarsTable,CS$5/100,MONTH($A28)))*$E28</f>
        <v>-1726.0329676279141</v>
      </c>
      <c r="CT28" s="1021">
        <f>(VLOOKUP(YEAR($A28),'NY East Load Projections'!$A$4:$EO$14,((MONTH($A28)-1)*12)+VLOOKUP(CT$4,$DE$6:$DF$17,2)+1))*(VLOOKUP($A28,SatSunCurve,7))*(INDEX(DailyScalarsTable,CT$5/100,MONTH($A28)))*$E28</f>
        <v>-1697.6462974416847</v>
      </c>
      <c r="CU28" s="1021">
        <f>(VLOOKUP(YEAR($A28),'NY East Load Projections'!$A$4:$EO$14,((MONTH($A28)-1)*12)+VLOOKUP(CU$4,$DE$6:$DF$17,2)+1))*(VLOOKUP($A28,SatSunCurve,7))*(INDEX(DailyScalarsTable,CU$5/100,MONTH($A28)))*$E28</f>
        <v>-1767.1832942849826</v>
      </c>
      <c r="CV28" s="1021">
        <f>(VLOOKUP(YEAR($A28),'NY East Load Projections'!$A$4:$EO$14,((MONTH($A28)-1)*12)+VLOOKUP(CV$4,$DE$6:$DF$17,2)+1))*(VLOOKUP($A28,SatSunCurve,7))*(INDEX(DailyScalarsTable,CV$5/100,MONTH($A28)))*$E28</f>
        <v>-2425.9404325222786</v>
      </c>
      <c r="CW28" s="1021">
        <f>(VLOOKUP(YEAR($A28),'NY East Load Projections'!$A$4:$EO$14,((MONTH($A28)-1)*12)+VLOOKUP(CW$4,$DE$6:$DF$17,2)+1))*(VLOOKUP($A28,SatSunCurve,7))*(INDEX(DailyScalarsTable,CW$5/100,MONTH($A28)))*$E28</f>
        <v>-2445.4739270902833</v>
      </c>
      <c r="CX28" s="1021">
        <f>(VLOOKUP(YEAR($A28),'NY East Load Projections'!$A$4:$EO$14,((MONTH($A28)-1)*12)+VLOOKUP(CX$4,$DE$6:$DF$17,2)+1))*(VLOOKUP($A28,SatSunCurve,7))*(INDEX(DailyScalarsTable,CX$5/100,MONTH($A28)))*$E28</f>
        <v>-2345.4145977725457</v>
      </c>
      <c r="CY28" s="1021">
        <f>(VLOOKUP(YEAR($A28),'NY East Load Projections'!$A$4:$EO$14,((MONTH($A28)-1)*12)+VLOOKUP(CY$4,$DE$6:$DF$17,2)+1))*(VLOOKUP($A28,SatSunCurve,7))*(INDEX(DailyScalarsTable,CY$5/100,MONTH($A28)))*$E28</f>
        <v>-2112.1274446672878</v>
      </c>
      <c r="CZ28" s="1021">
        <f>(VLOOKUP(YEAR($A28),'NY East Load Projections'!$A$4:$EO$14,((MONTH($A28)-1)*12)+VLOOKUP(CZ$4,$DE$6:$DF$17,2)+1))*(VLOOKUP($A28,SatSunCurve,7))*(INDEX(DailyScalarsTable,CZ$5/100,MONTH($A28)))*$E28</f>
        <v>-1680.1586854355814</v>
      </c>
      <c r="DA28" s="1021">
        <f>(VLOOKUP(YEAR($A28),'NY East Load Projections'!$A$4:$EO$14,((MONTH($A28)-1)*12)+VLOOKUP(DA$4,$DE$6:$DF$17,2)+1))*(VLOOKUP($A28,SatSunCurve,7))*(INDEX(DailyScalarsTable,DA$5/100,MONTH($A28)))*$E28</f>
        <v>-1416.9428765997372</v>
      </c>
      <c r="DB28" s="1021">
        <f>(VLOOKUP(YEAR($A28),'NY East Load Projections'!$A$4:$EO$14,((MONTH($A28)-1)*12)+VLOOKUP(DB$4,$DE$6:$DF$17,2)+1))*(VLOOKUP($A28,CURVES!$D$9:$T$261,7))*(INDEX(DailyScalarsTable,DB$5/100,MONTH($A28)))*$E28</f>
        <v>-1812.6685761255706</v>
      </c>
      <c r="DH28" s="1032">
        <f t="shared" si="0"/>
        <v>-1634932.024880718</v>
      </c>
      <c r="DI28">
        <f ca="1">CALC!J48</f>
        <v>0.82109316755121442</v>
      </c>
      <c r="DJ28" s="1029">
        <f t="shared" ca="1" si="1"/>
        <v>-1342431.5150402295</v>
      </c>
    </row>
    <row r="29" spans="1:114" x14ac:dyDescent="0.25">
      <c r="A29" s="244">
        <v>37591</v>
      </c>
      <c r="B29" s="13">
        <v>21</v>
      </c>
      <c r="C29" s="210">
        <v>4</v>
      </c>
      <c r="D29" s="210">
        <v>5</v>
      </c>
      <c r="E29" s="210">
        <v>1</v>
      </c>
      <c r="F29" s="13">
        <v>31</v>
      </c>
      <c r="H29" s="1021">
        <f>(VLOOKUP(YEAR($A29),'NY East Load Projections'!$A$4:$EO$14,((MONTH($A29)-1)*12)+VLOOKUP(H$4,$DE$6:$DF$17,2)+1))*(VLOOKUP($A29,CURVES!$D$9:$K$261,7))*(INDEX(DailyScalarsTable,H$5/100,MONTH($A29)))*$B29</f>
        <v>-33200.809708789639</v>
      </c>
      <c r="I29" s="1021">
        <f>(VLOOKUP(YEAR($A29),'NY East Load Projections'!$A$4:$EO$14,((MONTH($A29)-1)*12)+VLOOKUP(I$4,$DE$6:$DF$17,2)+1))*(VLOOKUP($A29,CURVES!$D$9:$K$261,7))*(INDEX(DailyScalarsTable,I$5/100,MONTH($A29)))*$B29</f>
        <v>-31475.582049903634</v>
      </c>
      <c r="J29" s="1021">
        <f>(VLOOKUP(YEAR($A29),'NY East Load Projections'!$A$4:$EO$14,((MONTH($A29)-1)*12)+VLOOKUP(J$4,$DE$6:$DF$17,2)+1))*(VLOOKUP($A29,CURVES!$D$9:$K$261,7))*(INDEX(DailyScalarsTable,J$5/100,MONTH($A29)))*$B29</f>
        <v>-30207.557580121997</v>
      </c>
      <c r="K29" s="1021">
        <f>(VLOOKUP(YEAR($A29),'NY East Load Projections'!$A$4:$EO$14,((MONTH($A29)-1)*12)+VLOOKUP(K$4,$DE$6:$DF$17,2)+1))*(VLOOKUP($A29,CURVES!$D$9:$K$261,7))*(INDEX(DailyScalarsTable,K$5/100,MONTH($A29)))*$B29</f>
        <v>-30225.417079696384</v>
      </c>
      <c r="L29" s="1021">
        <f>(VLOOKUP(YEAR($A29),'NY East Load Projections'!$A$4:$EO$14,((MONTH($A29)-1)*12)+VLOOKUP(L$4,$DE$6:$DF$17,2)+1))*(VLOOKUP($A29,CURVES!$D$9:$K$261,7))*(INDEX(DailyScalarsTable,L$5/100,MONTH($A29)))*$B29</f>
        <v>-34649.414248555258</v>
      </c>
      <c r="M29" s="1021">
        <f>(VLOOKUP(YEAR($A29),'NY East Load Projections'!$A$4:$EO$14,((MONTH($A29)-1)*12)+VLOOKUP(M$4,$DE$6:$DF$17,2)+1))*(VLOOKUP($A29,CURVES!$D$9:$K$261,7))*(INDEX(DailyScalarsTable,M$5/100,MONTH($A29)))*$B29</f>
        <v>-39920.406223045902</v>
      </c>
      <c r="N29" s="1021">
        <f>(VLOOKUP(YEAR($A29),'NY East Load Projections'!$A$4:$EO$14,((MONTH($A29)-1)*12)+VLOOKUP(N$4,$DE$6:$DF$17,2)+1))*(VLOOKUP($A29,CURVES!$D$9:$K$261,7))*(INDEX(DailyScalarsTable,N$5/100,MONTH($A29)))*$B29</f>
        <v>-57182.044915431514</v>
      </c>
      <c r="O29" s="1021">
        <f>(VLOOKUP(YEAR($A29),'NY East Load Projections'!$A$4:$EO$14,((MONTH($A29)-1)*12)+VLOOKUP(O$4,$DE$6:$DF$17,2)+1))*(VLOOKUP($A29,CURVES!$D$9:$K$261,3))*(INDEX(DailyScalarsTable,O$5/100,MONTH($A29)))*$B29</f>
        <v>-61362.037154555037</v>
      </c>
      <c r="P29" s="1021">
        <f>(VLOOKUP(YEAR($A29),'NY East Load Projections'!$A$4:$EO$14,((MONTH($A29)-1)*12)+VLOOKUP(P$4,$DE$6:$DF$17,2)+1))*(VLOOKUP($A29,CURVES!$D$9:$K$261,3))*(INDEX(DailyScalarsTable,P$5/100,MONTH($A29)))*$B29</f>
        <v>-68328.648820787566</v>
      </c>
      <c r="Q29" s="1021">
        <f>(VLOOKUP(YEAR($A29),'NY East Load Projections'!$A$4:$EO$14,((MONTH($A29)-1)*12)+VLOOKUP(Q$4,$DE$6:$DF$17,2)+1))*(VLOOKUP($A29,CURVES!$D$9:$K$261,3))*(INDEX(DailyScalarsTable,Q$5/100,MONTH($A29)))*$B29</f>
        <v>-67982.249930907317</v>
      </c>
      <c r="R29" s="1021">
        <f>(VLOOKUP(YEAR($A29),'NY East Load Projections'!$A$4:$EO$14,((MONTH($A29)-1)*12)+VLOOKUP(R$4,$DE$6:$DF$17,2)+1))*(VLOOKUP($A29,CURVES!$D$9:$K$261,3))*(INDEX(DailyScalarsTable,R$5/100,MONTH($A29)))*$B29</f>
        <v>-66502.715689384844</v>
      </c>
      <c r="S29" s="1021">
        <f>(VLOOKUP(YEAR($A29),'NY East Load Projections'!$A$4:$EO$14,((MONTH($A29)-1)*12)+VLOOKUP(S$4,$DE$6:$DF$17,2)+1))*(VLOOKUP($A29,CURVES!$D$9:$K$261,3))*(INDEX(DailyScalarsTable,S$5/100,MONTH($A29)))*$B29</f>
        <v>-54038.226821320575</v>
      </c>
      <c r="T29" s="1021">
        <f>(VLOOKUP(YEAR($A29),'NY East Load Projections'!$A$4:$EO$14,((MONTH($A29)-1)*12)+VLOOKUP(T$4,$DE$6:$DF$17,2)+1))*(VLOOKUP($A29,CURVES!$D$9:$K$261,3))*(INDEX(DailyScalarsTable,T$5/100,MONTH($A29)))*$B29</f>
        <v>-51244.651319393481</v>
      </c>
      <c r="U29" s="1021">
        <f>(VLOOKUP(YEAR($A29),'NY East Load Projections'!$A$4:$EO$14,((MONTH($A29)-1)*12)+VLOOKUP(U$4,$DE$6:$DF$17,2)+1))*(VLOOKUP($A29,CURVES!$D$9:$K$261,3))*(INDEX(DailyScalarsTable,U$5/100,MONTH($A29)))*$B29</f>
        <v>-49036.486552287373</v>
      </c>
      <c r="V29" s="1021">
        <f>(VLOOKUP(YEAR($A29),'NY East Load Projections'!$A$4:$EO$14,((MONTH($A29)-1)*12)+VLOOKUP(V$4,$DE$6:$DF$17,2)+1))*(VLOOKUP($A29,CURVES!$D$9:$K$261,3))*(INDEX(DailyScalarsTable,V$5/100,MONTH($A29)))*$B29</f>
        <v>-46570.604942335995</v>
      </c>
      <c r="W29" s="1021">
        <f>(VLOOKUP(YEAR($A29),'NY East Load Projections'!$A$4:$EO$14,((MONTH($A29)-1)*12)+VLOOKUP(W$4,$DE$6:$DF$17,2)+1))*(VLOOKUP($A29,CURVES!$D$9:$K$261,3))*(INDEX(DailyScalarsTable,W$5/100,MONTH($A29)))*$B29</f>
        <v>-45762.311207957624</v>
      </c>
      <c r="X29" s="1021">
        <f>(VLOOKUP(YEAR($A29),'NY East Load Projections'!$A$4:$EO$14,((MONTH($A29)-1)*12)+VLOOKUP(X$4,$DE$6:$DF$17,2)+1))*(VLOOKUP($A29,CURVES!$D$9:$K$261,3))*(INDEX(DailyScalarsTable,X$5/100,MONTH($A29)))*$B29</f>
        <v>-49752.949009020827</v>
      </c>
      <c r="Y29" s="1021">
        <f>(VLOOKUP(YEAR($A29),'NY East Load Projections'!$A$4:$EO$14,((MONTH($A29)-1)*12)+VLOOKUP(Y$4,$DE$6:$DF$17,2)+1))*(VLOOKUP($A29,CURVES!$D$9:$K$261,3))*(INDEX(DailyScalarsTable,Y$5/100,MONTH($A29)))*$B29</f>
        <v>-70119.0354664201</v>
      </c>
      <c r="Z29" s="1021">
        <f>(VLOOKUP(YEAR($A29),'NY East Load Projections'!$A$4:$EO$14,((MONTH($A29)-1)*12)+VLOOKUP(Z$4,$DE$6:$DF$17,2)+1))*(VLOOKUP($A29,CURVES!$D$9:$K$261,3))*(INDEX(DailyScalarsTable,Z$5/100,MONTH($A29)))*$B29</f>
        <v>-69651.866086525974</v>
      </c>
      <c r="AA29" s="1021">
        <f>(VLOOKUP(YEAR($A29),'NY East Load Projections'!$A$4:$EO$14,((MONTH($A29)-1)*12)+VLOOKUP(AA$4,$DE$6:$DF$17,2)+1))*(VLOOKUP($A29,CURVES!$D$9:$K$261,3))*(INDEX(DailyScalarsTable,AA$5/100,MONTH($A29)))*$B29</f>
        <v>-67253.379603782174</v>
      </c>
      <c r="AB29" s="1021">
        <f>(VLOOKUP(YEAR($A29),'NY East Load Projections'!$A$4:$EO$14,((MONTH($A29)-1)*12)+VLOOKUP(AB$4,$DE$6:$DF$17,2)+1))*(VLOOKUP($A29,CURVES!$D$9:$K$261,3))*(INDEX(DailyScalarsTable,AB$5/100,MONTH($A29)))*$B29</f>
        <v>-62574.061072536933</v>
      </c>
      <c r="AC29" s="1021">
        <f>(VLOOKUP(YEAR($A29),'NY East Load Projections'!$A$4:$EO$14,((MONTH($A29)-1)*12)+VLOOKUP(AC$4,$DE$6:$DF$17,2)+1))*(VLOOKUP($A29,CURVES!$D$9:$K$261,3))*(INDEX(DailyScalarsTable,AC$5/100,MONTH($A29)))*$B29</f>
        <v>-46129.348102454162</v>
      </c>
      <c r="AD29" s="1021">
        <f>(VLOOKUP(YEAR($A29),'NY East Load Projections'!$A$4:$EO$14,((MONTH($A29)-1)*12)+VLOOKUP(AD$4,$DE$6:$DF$17,2)+1))*(VLOOKUP($A29,CURVES!$D$9:$K$261,3))*(INDEX(DailyScalarsTable,AD$5/100,MONTH($A29)))*$B29</f>
        <v>-38057.389362271344</v>
      </c>
      <c r="AE29" s="1021">
        <f>(VLOOKUP(YEAR($A29),'NY East Load Projections'!$A$4:$EO$14,((MONTH($A29)-1)*12)+VLOOKUP(AE$4,$DE$6:$DF$17,2)+1))*(VLOOKUP($A29,CURVES!$D$9:$K$261,7))*(INDEX(DailyScalarsTable,AE$5/100,MONTH($A29)))*$B29</f>
        <v>-38551.94616115767</v>
      </c>
      <c r="AF29" s="1021"/>
      <c r="AG29" s="1021">
        <f>(VLOOKUP(YEAR($A29),'NY East Load Projections'!$A$4:$EO$14,((MONTH($A29)-1)*12)+VLOOKUP(AG$4,$DE$6:$DF$17,2)+1))*(VLOOKUP($A29,CURVES!$D$9:$T$261,7))*(INDEX(DailyScalarsTable,AG$5/100,MONTH($A29)))*$C29</f>
        <v>-6554.1105101824878</v>
      </c>
      <c r="AH29" s="1021">
        <f>(VLOOKUP(YEAR($A29),'NY East Load Projections'!$A$4:$EO$14,((MONTH($A29)-1)*12)+VLOOKUP(AH$4,$DE$6:$DF$17,2)+1))*(VLOOKUP($A29,CURVES!$D$9:$T$261,7))*(INDEX(DailyScalarsTable,AH$5/100,MONTH($A29)))*$C29</f>
        <v>-6213.5365051886047</v>
      </c>
      <c r="AI29" s="1021">
        <f>(VLOOKUP(YEAR($A29),'NY East Load Projections'!$A$4:$EO$14,((MONTH($A29)-1)*12)+VLOOKUP(AI$4,$DE$6:$DF$17,2)+1))*(VLOOKUP($A29,CURVES!$D$9:$T$261,7))*(INDEX(DailyScalarsTable,AI$5/100,MONTH($A29)))*$C29</f>
        <v>-5963.2181371289189</v>
      </c>
      <c r="AJ29" s="1021">
        <f>(VLOOKUP(YEAR($A29),'NY East Load Projections'!$A$4:$EO$14,((MONTH($A29)-1)*12)+VLOOKUP(AJ$4,$DE$6:$DF$17,2)+1))*(VLOOKUP($A29,CURVES!$D$9:$T$261,7))*(INDEX(DailyScalarsTable,AJ$5/100,MONTH($A29)))*$C29</f>
        <v>-5966.7437479466607</v>
      </c>
      <c r="AK29" s="1021">
        <f>(VLOOKUP(YEAR($A29),'NY East Load Projections'!$A$4:$EO$14,((MONTH($A29)-1)*12)+VLOOKUP(AK$4,$DE$6:$DF$17,2)+1))*(VLOOKUP($A29,CURVES!$D$9:$T$261,7))*(INDEX(DailyScalarsTable,AK$5/100,MONTH($A29)))*$C29</f>
        <v>-6538.6536262829677</v>
      </c>
      <c r="AL29" s="1021">
        <f>(VLOOKUP(YEAR($A29),'NY East Load Projections'!$A$4:$EO$14,((MONTH($A29)-1)*12)+VLOOKUP(AL$4,$DE$6:$DF$17,2)+1))*(VLOOKUP($A29,CURVES!$D$9:$T$261,7))*(INDEX(DailyScalarsTable,AL$5/100,MONTH($A29)))*$C29</f>
        <v>-7533.336842018678</v>
      </c>
      <c r="AM29" s="1021">
        <f>(VLOOKUP(YEAR($A29),'NY East Load Projections'!$A$4:$EO$14,((MONTH($A29)-1)*12)+VLOOKUP(AM$4,$DE$6:$DF$17,2)+1))*(VLOOKUP($A29,CURVES!$D$9:$T$261,7))*(INDEX(DailyScalarsTable,AM$5/100,MONTH($A29)))*$C29</f>
        <v>-10790.762079337363</v>
      </c>
      <c r="AN29" s="1021">
        <f>(VLOOKUP(YEAR($A29),'NY East Load Projections'!$A$4:$EO$14,((MONTH($A29)-1)*12)+VLOOKUP(AN$4,$DE$6:$DF$17,2)+1))*(VLOOKUP($A29,SatSunCurve,3))*(INDEX(DailyScalarsTable,AN$5/100,MONTH($A29)))*$C29</f>
        <v>-9508.3155094324156</v>
      </c>
      <c r="AO29" s="1021">
        <f>(VLOOKUP(YEAR($A29),'NY East Load Projections'!$A$4:$EO$14,((MONTH($A29)-1)*12)+VLOOKUP(AO$4,$DE$6:$DF$17,2)+1))*(VLOOKUP($A29,SatSunCurve,3))*(INDEX(DailyScalarsTable,AO$5/100,MONTH($A29)))*$C29</f>
        <v>-10663.706271288591</v>
      </c>
      <c r="AP29" s="1021">
        <f>(VLOOKUP(YEAR($A29),'NY East Load Projections'!$A$4:$EO$14,((MONTH($A29)-1)*12)+VLOOKUP(AP$4,$DE$6:$DF$17,2)+1))*(VLOOKUP($A29,SatSunCurve,3))*(INDEX(DailyScalarsTable,AP$5/100,MONTH($A29)))*$C29</f>
        <v>-10609.645550373827</v>
      </c>
      <c r="AQ29" s="1021">
        <f>(VLOOKUP(YEAR($A29),'NY East Load Projections'!$A$4:$EO$14,((MONTH($A29)-1)*12)+VLOOKUP(AQ$4,$DE$6:$DF$17,2)+1))*(VLOOKUP($A29,SatSunCurve,3))*(INDEX(DailyScalarsTable,AQ$5/100,MONTH($A29)))*$C29</f>
        <v>-10378.74213222941</v>
      </c>
      <c r="AR29" s="1021">
        <f>(VLOOKUP(YEAR($A29),'NY East Load Projections'!$A$4:$EO$14,((MONTH($A29)-1)*12)+VLOOKUP(AR$4,$DE$6:$DF$17,2)+1))*(VLOOKUP($A29,SatSunCurve,3))*(INDEX(DailyScalarsTable,AR$5/100,MONTH($A29)))*$C29</f>
        <v>-8433.4724627032301</v>
      </c>
      <c r="AS29" s="1021">
        <f>(VLOOKUP(YEAR($A29),'NY East Load Projections'!$A$4:$EO$14,((MONTH($A29)-1)*12)+VLOOKUP(AS$4,$DE$6:$DF$17,2)+1))*(VLOOKUP($A29,SatSunCurve,3))*(INDEX(DailyScalarsTable,AS$5/100,MONTH($A29)))*$C29</f>
        <v>-7955.1401903652759</v>
      </c>
      <c r="AT29" s="1021">
        <f>(VLOOKUP(YEAR($A29),'NY East Load Projections'!$A$4:$EO$14,((MONTH($A29)-1)*12)+VLOOKUP(AT$4,$DE$6:$DF$17,2)+1))*(VLOOKUP($A29,SatSunCurve,3))*(INDEX(DailyScalarsTable,AT$5/100,MONTH($A29)))*$C29</f>
        <v>-7612.3481167834143</v>
      </c>
      <c r="AU29" s="1021">
        <f>(VLOOKUP(YEAR($A29),'NY East Load Projections'!$A$4:$EO$14,((MONTH($A29)-1)*12)+VLOOKUP(AU$4,$DE$6:$DF$17,2)+1))*(VLOOKUP($A29,SatSunCurve,3))*(INDEX(DailyScalarsTable,AU$5/100,MONTH($A29)))*$C29</f>
        <v>-7229.5484802370911</v>
      </c>
      <c r="AV29" s="1021">
        <f>(VLOOKUP(YEAR($A29),'NY East Load Projections'!$A$4:$EO$14,((MONTH($A29)-1)*12)+VLOOKUP(AV$4,$DE$6:$DF$17,2)+1))*(VLOOKUP($A29,SatSunCurve,3))*(INDEX(DailyScalarsTable,AV$5/100,MONTH($A29)))*$C29</f>
        <v>-7104.070214575826</v>
      </c>
      <c r="AW29" s="1021">
        <f>(VLOOKUP(YEAR($A29),'NY East Load Projections'!$A$4:$EO$14,((MONTH($A29)-1)*12)+VLOOKUP(AW$4,$DE$6:$DF$17,2)+1))*(VLOOKUP($A29,SatSunCurve,3))*(INDEX(DailyScalarsTable,AW$5/100,MONTH($A29)))*$C29</f>
        <v>-7812.4579892539441</v>
      </c>
      <c r="AX29" s="1021">
        <f>(VLOOKUP(YEAR($A29),'NY East Load Projections'!$A$4:$EO$14,((MONTH($A29)-1)*12)+VLOOKUP(AX$4,$DE$6:$DF$17,2)+1))*(VLOOKUP($A29,SatSunCurve,3))*(INDEX(DailyScalarsTable,AX$5/100,MONTH($A29)))*$C29</f>
        <v>-11010.44319461528</v>
      </c>
      <c r="AY29" s="1021">
        <f>(VLOOKUP(YEAR($A29),'NY East Load Projections'!$A$4:$EO$14,((MONTH($A29)-1)*12)+VLOOKUP(AY$4,$DE$6:$DF$17,2)+1))*(VLOOKUP($A29,SatSunCurve,3))*(INDEX(DailyScalarsTable,AY$5/100,MONTH($A29)))*$C29</f>
        <v>-10937.085911740913</v>
      </c>
      <c r="AZ29" s="1021">
        <f>(VLOOKUP(YEAR($A29),'NY East Load Projections'!$A$4:$EO$14,((MONTH($A29)-1)*12)+VLOOKUP(AZ$4,$DE$6:$DF$17,2)+1))*(VLOOKUP($A29,SatSunCurve,3))*(INDEX(DailyScalarsTable,AZ$5/100,MONTH($A29)))*$C29</f>
        <v>-10560.463515331165</v>
      </c>
      <c r="BA29" s="1021">
        <f>(VLOOKUP(YEAR($A29),'NY East Load Projections'!$A$4:$EO$14,((MONTH($A29)-1)*12)+VLOOKUP(BA$4,$DE$6:$DF$17,2)+1))*(VLOOKUP($A29,SatSunCurve,3))*(INDEX(DailyScalarsTable,BA$5/100,MONTH($A29)))*$C29</f>
        <v>-10078.137041401978</v>
      </c>
      <c r="BB29" s="1021">
        <f>(VLOOKUP(YEAR($A29),'NY East Load Projections'!$A$4:$EO$14,((MONTH($A29)-1)*12)+VLOOKUP(BB$4,$DE$6:$DF$17,2)+1))*(VLOOKUP($A29,SatSunCurve,3))*(INDEX(DailyScalarsTable,BB$5/100,MONTH($A29)))*$C29</f>
        <v>-7429.562407147454</v>
      </c>
      <c r="BC29" s="1021">
        <f>(VLOOKUP(YEAR($A29),'NY East Load Projections'!$A$4:$EO$14,((MONTH($A29)-1)*12)+VLOOKUP(BC$4,$DE$6:$DF$17,2)+1))*(VLOOKUP($A29,SatSunCurve,3))*(INDEX(DailyScalarsTable,BC$5/100,MONTH($A29)))*$C29</f>
        <v>-6129.4980516982814</v>
      </c>
      <c r="BD29" s="1021">
        <f>(VLOOKUP(YEAR($A29),'NY East Load Projections'!$A$4:$EO$14,((MONTH($A29)-1)*12)+VLOOKUP(BD$4,$DE$6:$DF$17,2)+1))*(VLOOKUP($A29,CURVES!$D$9:$T$261,7))*(INDEX(DailyScalarsTable,BD$5/100,MONTH($A29)))*$C29</f>
        <v>-7561.7243949619942</v>
      </c>
      <c r="BE29" s="1021"/>
      <c r="BF29" s="1021">
        <f>(VLOOKUP(YEAR($A29),'NY East Load Projections'!$A$4:$EO$14,((MONTH($A29)-1)*12)+VLOOKUP(BF$4,$DE$6:$DF$17,2)+1))*(VLOOKUP($A29,CURVES!$D$9:$T$261,7))*(INDEX(DailyScalarsTable,BF$5/100,MONTH($A29)))*$D29</f>
        <v>-8192.6381377281105</v>
      </c>
      <c r="BG29" s="1021">
        <f>(VLOOKUP(YEAR($A29),'NY East Load Projections'!$A$4:$EO$14,((MONTH($A29)-1)*12)+VLOOKUP(BG$4,$DE$6:$DF$17,2)+1))*(VLOOKUP($A29,CURVES!$D$9:$T$261,7))*(INDEX(DailyScalarsTable,BG$5/100,MONTH($A29)))*$D29</f>
        <v>-7766.9206314857556</v>
      </c>
      <c r="BH29" s="1021">
        <f>(VLOOKUP(YEAR($A29),'NY East Load Projections'!$A$4:$EO$14,((MONTH($A29)-1)*12)+VLOOKUP(BH$4,$DE$6:$DF$17,2)+1))*(VLOOKUP($A29,CURVES!$D$9:$T$261,7))*(INDEX(DailyScalarsTable,BH$5/100,MONTH($A29)))*$D29</f>
        <v>-7454.0226714111486</v>
      </c>
      <c r="BI29" s="1021">
        <f>(VLOOKUP(YEAR($A29),'NY East Load Projections'!$A$4:$EO$14,((MONTH($A29)-1)*12)+VLOOKUP(BI$4,$DE$6:$DF$17,2)+1))*(VLOOKUP($A29,CURVES!$D$9:$T$261,7))*(INDEX(DailyScalarsTable,BI$5/100,MONTH($A29)))*$D29</f>
        <v>-7458.4296849333259</v>
      </c>
      <c r="BJ29" s="1021">
        <f>(VLOOKUP(YEAR($A29),'NY East Load Projections'!$A$4:$EO$14,((MONTH($A29)-1)*12)+VLOOKUP(BJ$4,$DE$6:$DF$17,2)+1))*(VLOOKUP($A29,CURVES!$D$9:$T$261,7))*(INDEX(DailyScalarsTable,BJ$5/100,MONTH($A29)))*$D29</f>
        <v>-8173.3170328537099</v>
      </c>
      <c r="BK29" s="1021">
        <f>(VLOOKUP(YEAR($A29),'NY East Load Projections'!$A$4:$EO$14,((MONTH($A29)-1)*12)+VLOOKUP(BK$4,$DE$6:$DF$17,2)+1))*(VLOOKUP($A29,CURVES!$D$9:$T$261,7))*(INDEX(DailyScalarsTable,BK$5/100,MONTH($A29)))*$D29</f>
        <v>-9416.6710525233466</v>
      </c>
      <c r="BL29" s="1021">
        <f>(VLOOKUP(YEAR($A29),'NY East Load Projections'!$A$4:$EO$14,((MONTH($A29)-1)*12)+VLOOKUP(BL$4,$DE$6:$DF$17,2)+1))*(VLOOKUP($A29,CURVES!$D$9:$T$261,7))*(INDEX(DailyScalarsTable,BL$5/100,MONTH($A29)))*$D29</f>
        <v>-13488.452599171704</v>
      </c>
      <c r="BM29" s="1021">
        <f>(VLOOKUP(YEAR($A29),'NY East Load Projections'!$A$4:$EO$14,((MONTH($A29)-1)*12)+VLOOKUP(BM$4,$DE$6:$DF$17,2)+1))*(VLOOKUP($A29,SatSunCurve,7))*(INDEX(DailyScalarsTable,BM$5/100,MONTH($A29)))*$D29</f>
        <v>-10248.847540469098</v>
      </c>
      <c r="BN29" s="1021">
        <f>(VLOOKUP(YEAR($A29),'NY East Load Projections'!$A$4:$EO$14,((MONTH($A29)-1)*12)+VLOOKUP(BN$4,$DE$6:$DF$17,2)+1))*(VLOOKUP($A29,SatSunCurve,7))*(INDEX(DailyScalarsTable,BN$5/100,MONTH($A29)))*$D29</f>
        <v>-11494.223102121789</v>
      </c>
      <c r="BO29" s="1021">
        <f>(VLOOKUP(YEAR($A29),'NY East Load Projections'!$A$4:$EO$14,((MONTH($A29)-1)*12)+VLOOKUP(BO$4,$DE$6:$DF$17,2)+1))*(VLOOKUP($A29,SatSunCurve,7))*(INDEX(DailyScalarsTable,BO$5/100,MONTH($A29)))*$D29</f>
        <v>-11435.951993423972</v>
      </c>
      <c r="BP29" s="1021">
        <f>(VLOOKUP(YEAR($A29),'NY East Load Projections'!$A$4:$EO$14,((MONTH($A29)-1)*12)+VLOOKUP(BP$4,$DE$6:$DF$17,2)+1))*(VLOOKUP($A29,SatSunCurve,7))*(INDEX(DailyScalarsTable,BP$5/100,MONTH($A29)))*$D29</f>
        <v>-11187.065224070589</v>
      </c>
      <c r="BQ29" s="1021">
        <f>(VLOOKUP(YEAR($A29),'NY East Load Projections'!$A$4:$EO$14,((MONTH($A29)-1)*12)+VLOOKUP(BQ$4,$DE$6:$DF$17,2)+1))*(VLOOKUP($A29,SatSunCurve,7))*(INDEX(DailyScalarsTable,BQ$5/100,MONTH($A29)))*$D29</f>
        <v>-9090.2929568593354</v>
      </c>
      <c r="BR29" s="1021">
        <f>(VLOOKUP(YEAR($A29),'NY East Load Projections'!$A$4:$EO$14,((MONTH($A29)-1)*12)+VLOOKUP(BR$4,$DE$6:$DF$17,2)+1))*(VLOOKUP($A29,SatSunCurve,7))*(INDEX(DailyScalarsTable,BR$5/100,MONTH($A29)))*$D29</f>
        <v>-8574.706938703479</v>
      </c>
      <c r="BS29" s="1021">
        <f>(VLOOKUP(YEAR($A29),'NY East Load Projections'!$A$4:$EO$14,((MONTH($A29)-1)*12)+VLOOKUP(BS$4,$DE$6:$DF$17,2)+1))*(VLOOKUP($A29,SatSunCurve,7))*(INDEX(DailyScalarsTable,BS$5/100,MONTH($A29)))*$D29</f>
        <v>-8205.2173380758395</v>
      </c>
      <c r="BT29" s="1021">
        <f>(VLOOKUP(YEAR($A29),'NY East Load Projections'!$A$4:$EO$14,((MONTH($A29)-1)*12)+VLOOKUP(BT$4,$DE$6:$DF$17,2)+1))*(VLOOKUP($A29,SatSunCurve,7))*(INDEX(DailyScalarsTable,BT$5/100,MONTH($A29)))*$D29</f>
        <v>-7792.6042827330384</v>
      </c>
      <c r="BU29" s="1021">
        <f>(VLOOKUP(YEAR($A29),'NY East Load Projections'!$A$4:$EO$14,((MONTH($A29)-1)*12)+VLOOKUP(BU$4,$DE$6:$DF$17,2)+1))*(VLOOKUP($A29,SatSunCurve,7))*(INDEX(DailyScalarsTable,BU$5/100,MONTH($A29)))*$D29</f>
        <v>-7657.3534474900307</v>
      </c>
      <c r="BV29" s="1021">
        <f>(VLOOKUP(YEAR($A29),'NY East Load Projections'!$A$4:$EO$14,((MONTH($A29)-1)*12)+VLOOKUP(BV$4,$DE$6:$DF$17,2)+1))*(VLOOKUP($A29,SatSunCurve,7))*(INDEX(DailyScalarsTable,BV$5/100,MONTH($A29)))*$D29</f>
        <v>-8420.9122813345748</v>
      </c>
      <c r="BW29" s="1021">
        <f>(VLOOKUP(YEAR($A29),'NY East Load Projections'!$A$4:$EO$14,((MONTH($A29)-1)*12)+VLOOKUP(BW$4,$DE$6:$DF$17,2)+1))*(VLOOKUP($A29,SatSunCurve,7))*(INDEX(DailyScalarsTable,BW$5/100,MONTH($A29)))*$D29</f>
        <v>-11867.964787523504</v>
      </c>
      <c r="BX29" s="1021">
        <f>(VLOOKUP(YEAR($A29),'NY East Load Projections'!$A$4:$EO$14,((MONTH($A29)-1)*12)+VLOOKUP(BX$4,$DE$6:$DF$17,2)+1))*(VLOOKUP($A29,SatSunCurve,7))*(INDEX(DailyScalarsTable,BX$5/100,MONTH($A29)))*$D29</f>
        <v>-11788.894251063432</v>
      </c>
      <c r="BY29" s="1021">
        <f>(VLOOKUP(YEAR($A29),'NY East Load Projections'!$A$4:$EO$14,((MONTH($A29)-1)*12)+VLOOKUP(BY$4,$DE$6:$DF$17,2)+1))*(VLOOKUP($A29,SatSunCurve,7))*(INDEX(DailyScalarsTable,BY$5/100,MONTH($A29)))*$D29</f>
        <v>-11382.939535183368</v>
      </c>
      <c r="BZ29" s="1021">
        <f>(VLOOKUP(YEAR($A29),'NY East Load Projections'!$A$4:$EO$14,((MONTH($A29)-1)*12)+VLOOKUP(BZ$4,$DE$6:$DF$17,2)+1))*(VLOOKUP($A29,SatSunCurve,7))*(INDEX(DailyScalarsTable,BZ$5/100,MONTH($A29)))*$D29</f>
        <v>-10863.048236758486</v>
      </c>
      <c r="CA29" s="1021">
        <f>(VLOOKUP(YEAR($A29),'NY East Load Projections'!$A$4:$EO$14,((MONTH($A29)-1)*12)+VLOOKUP(CA$4,$DE$6:$DF$17,2)+1))*(VLOOKUP($A29,SatSunCurve,7))*(INDEX(DailyScalarsTable,CA$5/100,MONTH($A29)))*$D29</f>
        <v>-8008.1958079449751</v>
      </c>
      <c r="CB29" s="1021">
        <f>(VLOOKUP(YEAR($A29),'NY East Load Projections'!$A$4:$EO$14,((MONTH($A29)-1)*12)+VLOOKUP(CB$4,$DE$6:$DF$17,2)+1))*(VLOOKUP($A29,SatSunCurve,7))*(INDEX(DailyScalarsTable,CB$5/100,MONTH($A29)))*$D29</f>
        <v>-6606.8791016809691</v>
      </c>
      <c r="CC29" s="1021">
        <f>(VLOOKUP(YEAR($A29),'NY East Load Projections'!$A$4:$EO$14,((MONTH($A29)-1)*12)+VLOOKUP(CC$4,$DE$6:$DF$17,2)+1))*(VLOOKUP($A29,CURVES!$D$9:$T$261,7))*(INDEX(DailyScalarsTable,CC$5/100,MONTH($A29)))*$D29</f>
        <v>-9452.1554937024921</v>
      </c>
      <c r="CE29" s="1021">
        <f>(VLOOKUP(YEAR($A29),'NY East Load Projections'!$A$4:$EO$14,((MONTH($A29)-1)*12)+VLOOKUP(CE$4,$DE$6:$DF$17,2)+1))*(VLOOKUP($A29,CURVES!$D$9:$T$261,7))*(INDEX(DailyScalarsTable,CE$5/100,MONTH($A29)))*$E29</f>
        <v>-1638.527627545622</v>
      </c>
      <c r="CF29" s="1021">
        <f>(VLOOKUP(YEAR($A29),'NY East Load Projections'!$A$4:$EO$14,((MONTH($A29)-1)*12)+VLOOKUP(CF$4,$DE$6:$DF$17,2)+1))*(VLOOKUP($A29,CURVES!$D$9:$T$261,7))*(INDEX(DailyScalarsTable,CF$5/100,MONTH($A29)))*$E29</f>
        <v>-1553.3841262971512</v>
      </c>
      <c r="CG29" s="1021">
        <f>(VLOOKUP(YEAR($A29),'NY East Load Projections'!$A$4:$EO$14,((MONTH($A29)-1)*12)+VLOOKUP(CG$4,$DE$6:$DF$17,2)+1))*(VLOOKUP($A29,CURVES!$D$9:$T$261,7))*(INDEX(DailyScalarsTable,CG$5/100,MONTH($A29)))*$E29</f>
        <v>-1490.8045342822297</v>
      </c>
      <c r="CH29" s="1021">
        <f>(VLOOKUP(YEAR($A29),'NY East Load Projections'!$A$4:$EO$14,((MONTH($A29)-1)*12)+VLOOKUP(CH$4,$DE$6:$DF$17,2)+1))*(VLOOKUP($A29,CURVES!$D$9:$T$261,7))*(INDEX(DailyScalarsTable,CH$5/100,MONTH($A29)))*$E29</f>
        <v>-1491.6859369866652</v>
      </c>
      <c r="CI29" s="1021">
        <f>(VLOOKUP(YEAR($A29),'NY East Load Projections'!$A$4:$EO$14,((MONTH($A29)-1)*12)+VLOOKUP(CI$4,$DE$6:$DF$17,2)+1))*(VLOOKUP($A29,CURVES!$D$9:$T$261,7))*(INDEX(DailyScalarsTable,CI$5/100,MONTH($A29)))*$E29</f>
        <v>-1634.6634065707419</v>
      </c>
      <c r="CJ29" s="1021">
        <f>(VLOOKUP(YEAR($A29),'NY East Load Projections'!$A$4:$EO$14,((MONTH($A29)-1)*12)+VLOOKUP(CJ$4,$DE$6:$DF$17,2)+1))*(VLOOKUP($A29,CURVES!$D$9:$T$261,7))*(INDEX(DailyScalarsTable,CJ$5/100,MONTH($A29)))*$E29</f>
        <v>-1883.3342105046695</v>
      </c>
      <c r="CK29" s="1021">
        <f>(VLOOKUP(YEAR($A29),'NY East Load Projections'!$A$4:$EO$14,((MONTH($A29)-1)*12)+VLOOKUP(CK$4,$DE$6:$DF$17,2)+1))*(VLOOKUP($A29,CURVES!$D$9:$T$261,7))*(INDEX(DailyScalarsTable,CK$5/100,MONTH($A29)))*$E29</f>
        <v>-2697.6905198343406</v>
      </c>
      <c r="CL29" s="1021">
        <f>(VLOOKUP(YEAR($A29),'NY East Load Projections'!$A$4:$EO$14,((MONTH($A29)-1)*12)+VLOOKUP(CL$4,$DE$6:$DF$17,2)+1))*(VLOOKUP($A29,SatSunCurve,7))*(INDEX(DailyScalarsTable,CL$5/100,MONTH($A29)))*$E29</f>
        <v>-2049.7695080938197</v>
      </c>
      <c r="CM29" s="1021">
        <f>(VLOOKUP(YEAR($A29),'NY East Load Projections'!$A$4:$EO$14,((MONTH($A29)-1)*12)+VLOOKUP(CM$4,$DE$6:$DF$17,2)+1))*(VLOOKUP($A29,SatSunCurve,7))*(INDEX(DailyScalarsTable,CM$5/100,MONTH($A29)))*$E29</f>
        <v>-2298.8446204243578</v>
      </c>
      <c r="CN29" s="1021">
        <f>(VLOOKUP(YEAR($A29),'NY East Load Projections'!$A$4:$EO$14,((MONTH($A29)-1)*12)+VLOOKUP(CN$4,$DE$6:$DF$17,2)+1))*(VLOOKUP($A29,SatSunCurve,7))*(INDEX(DailyScalarsTable,CN$5/100,MONTH($A29)))*$E29</f>
        <v>-2287.1903986847947</v>
      </c>
      <c r="CO29" s="1021">
        <f>(VLOOKUP(YEAR($A29),'NY East Load Projections'!$A$4:$EO$14,((MONTH($A29)-1)*12)+VLOOKUP(CO$4,$DE$6:$DF$17,2)+1))*(VLOOKUP($A29,SatSunCurve,7))*(INDEX(DailyScalarsTable,CO$5/100,MONTH($A29)))*$E29</f>
        <v>-2237.4130448141177</v>
      </c>
      <c r="CP29" s="1021">
        <f>(VLOOKUP(YEAR($A29),'NY East Load Projections'!$A$4:$EO$14,((MONTH($A29)-1)*12)+VLOOKUP(CP$4,$DE$6:$DF$17,2)+1))*(VLOOKUP($A29,SatSunCurve,7))*(INDEX(DailyScalarsTable,CP$5/100,MONTH($A29)))*$E29</f>
        <v>-1818.0585913718671</v>
      </c>
      <c r="CQ29" s="1021">
        <f>(VLOOKUP(YEAR($A29),'NY East Load Projections'!$A$4:$EO$14,((MONTH($A29)-1)*12)+VLOOKUP(CQ$4,$DE$6:$DF$17,2)+1))*(VLOOKUP($A29,SatSunCurve,7))*(INDEX(DailyScalarsTable,CQ$5/100,MONTH($A29)))*$E29</f>
        <v>-1714.9413877406957</v>
      </c>
      <c r="CR29" s="1021">
        <f>(VLOOKUP(YEAR($A29),'NY East Load Projections'!$A$4:$EO$14,((MONTH($A29)-1)*12)+VLOOKUP(CR$4,$DE$6:$DF$17,2)+1))*(VLOOKUP($A29,SatSunCurve,7))*(INDEX(DailyScalarsTable,CR$5/100,MONTH($A29)))*$E29</f>
        <v>-1641.0434676151681</v>
      </c>
      <c r="CS29" s="1021">
        <f>(VLOOKUP(YEAR($A29),'NY East Load Projections'!$A$4:$EO$14,((MONTH($A29)-1)*12)+VLOOKUP(CS$4,$DE$6:$DF$17,2)+1))*(VLOOKUP($A29,SatSunCurve,7))*(INDEX(DailyScalarsTable,CS$5/100,MONTH($A29)))*$E29</f>
        <v>-1558.5208565466078</v>
      </c>
      <c r="CT29" s="1021">
        <f>(VLOOKUP(YEAR($A29),'NY East Load Projections'!$A$4:$EO$14,((MONTH($A29)-1)*12)+VLOOKUP(CT$4,$DE$6:$DF$17,2)+1))*(VLOOKUP($A29,SatSunCurve,7))*(INDEX(DailyScalarsTable,CT$5/100,MONTH($A29)))*$E29</f>
        <v>-1531.4706894980061</v>
      </c>
      <c r="CU29" s="1021">
        <f>(VLOOKUP(YEAR($A29),'NY East Load Projections'!$A$4:$EO$14,((MONTH($A29)-1)*12)+VLOOKUP(CU$4,$DE$6:$DF$17,2)+1))*(VLOOKUP($A29,SatSunCurve,7))*(INDEX(DailyScalarsTable,CU$5/100,MONTH($A29)))*$E29</f>
        <v>-1684.1824562669149</v>
      </c>
      <c r="CV29" s="1021">
        <f>(VLOOKUP(YEAR($A29),'NY East Load Projections'!$A$4:$EO$14,((MONTH($A29)-1)*12)+VLOOKUP(CV$4,$DE$6:$DF$17,2)+1))*(VLOOKUP($A29,SatSunCurve,7))*(INDEX(DailyScalarsTable,CV$5/100,MONTH($A29)))*$E29</f>
        <v>-2373.5929575047007</v>
      </c>
      <c r="CW29" s="1021">
        <f>(VLOOKUP(YEAR($A29),'NY East Load Projections'!$A$4:$EO$14,((MONTH($A29)-1)*12)+VLOOKUP(CW$4,$DE$6:$DF$17,2)+1))*(VLOOKUP($A29,SatSunCurve,7))*(INDEX(DailyScalarsTable,CW$5/100,MONTH($A29)))*$E29</f>
        <v>-2357.7788502126864</v>
      </c>
      <c r="CX29" s="1021">
        <f>(VLOOKUP(YEAR($A29),'NY East Load Projections'!$A$4:$EO$14,((MONTH($A29)-1)*12)+VLOOKUP(CX$4,$DE$6:$DF$17,2)+1))*(VLOOKUP($A29,SatSunCurve,7))*(INDEX(DailyScalarsTable,CX$5/100,MONTH($A29)))*$E29</f>
        <v>-2276.5879070366736</v>
      </c>
      <c r="CY29" s="1021">
        <f>(VLOOKUP(YEAR($A29),'NY East Load Projections'!$A$4:$EO$14,((MONTH($A29)-1)*12)+VLOOKUP(CY$4,$DE$6:$DF$17,2)+1))*(VLOOKUP($A29,SatSunCurve,7))*(INDEX(DailyScalarsTable,CY$5/100,MONTH($A29)))*$E29</f>
        <v>-2172.6096473516973</v>
      </c>
      <c r="CZ29" s="1021">
        <f>(VLOOKUP(YEAR($A29),'NY East Load Projections'!$A$4:$EO$14,((MONTH($A29)-1)*12)+VLOOKUP(CZ$4,$DE$6:$DF$17,2)+1))*(VLOOKUP($A29,SatSunCurve,7))*(INDEX(DailyScalarsTable,CZ$5/100,MONTH($A29)))*$E29</f>
        <v>-1601.639161588995</v>
      </c>
      <c r="DA29" s="1021">
        <f>(VLOOKUP(YEAR($A29),'NY East Load Projections'!$A$4:$EO$14,((MONTH($A29)-1)*12)+VLOOKUP(DA$4,$DE$6:$DF$17,2)+1))*(VLOOKUP($A29,SatSunCurve,7))*(INDEX(DailyScalarsTable,DA$5/100,MONTH($A29)))*$E29</f>
        <v>-1321.3758203361938</v>
      </c>
      <c r="DB29" s="1021">
        <f>(VLOOKUP(YEAR($A29),'NY East Load Projections'!$A$4:$EO$14,((MONTH($A29)-1)*12)+VLOOKUP(DB$4,$DE$6:$DF$17,2)+1))*(VLOOKUP($A29,CURVES!$D$9:$T$261,7))*(INDEX(DailyScalarsTable,DB$5/100,MONTH($A29)))*$E29</f>
        <v>-1890.4310987404986</v>
      </c>
      <c r="DH29" s="1032">
        <f t="shared" si="0"/>
        <v>-1681587.1069459661</v>
      </c>
      <c r="DI29">
        <f ca="1">CALC!J49</f>
        <v>0.8160060600948037</v>
      </c>
      <c r="DJ29" s="1029">
        <f t="shared" ca="1" si="1"/>
        <v>-1372185.2698451972</v>
      </c>
    </row>
    <row r="30" spans="1:114" x14ac:dyDescent="0.25">
      <c r="A30" s="244">
        <v>37622</v>
      </c>
      <c r="B30" s="13">
        <v>22</v>
      </c>
      <c r="C30" s="210">
        <v>4</v>
      </c>
      <c r="D30" s="210">
        <v>4</v>
      </c>
      <c r="E30" s="210">
        <v>1</v>
      </c>
      <c r="F30" s="13">
        <v>31</v>
      </c>
      <c r="H30" s="1021">
        <f>(VLOOKUP(YEAR($A30),'NY East Load Projections'!$A$4:$EO$14,((MONTH($A30)-1)*12)+VLOOKUP(H$4,$DE$6:$DF$17,2)+1))*(VLOOKUP($A30,CURVES!$D$9:$K$261,7))*(INDEX(DailyScalarsTable,H$5/100,MONTH($A30)))*$B30</f>
        <v>-31875.871626016629</v>
      </c>
      <c r="I30" s="1021">
        <f>(VLOOKUP(YEAR($A30),'NY East Load Projections'!$A$4:$EO$14,((MONTH($A30)-1)*12)+VLOOKUP(I$4,$DE$6:$DF$17,2)+1))*(VLOOKUP($A30,CURVES!$D$9:$K$261,7))*(INDEX(DailyScalarsTable,I$5/100,MONTH($A30)))*$B30</f>
        <v>-31254.840840021501</v>
      </c>
      <c r="J30" s="1021">
        <f>(VLOOKUP(YEAR($A30),'NY East Load Projections'!$A$4:$EO$14,((MONTH($A30)-1)*12)+VLOOKUP(J$4,$DE$6:$DF$17,2)+1))*(VLOOKUP($A30,CURVES!$D$9:$K$261,7))*(INDEX(DailyScalarsTable,J$5/100,MONTH($A30)))*$B30</f>
        <v>-28640.39129964454</v>
      </c>
      <c r="K30" s="1021">
        <f>(VLOOKUP(YEAR($A30),'NY East Load Projections'!$A$4:$EO$14,((MONTH($A30)-1)*12)+VLOOKUP(K$4,$DE$6:$DF$17,2)+1))*(VLOOKUP($A30,CURVES!$D$9:$K$261,7))*(INDEX(DailyScalarsTable,K$5/100,MONTH($A30)))*$B30</f>
        <v>-28623.074875089427</v>
      </c>
      <c r="L30" s="1021">
        <f>(VLOOKUP(YEAR($A30),'NY East Load Projections'!$A$4:$EO$14,((MONTH($A30)-1)*12)+VLOOKUP(L$4,$DE$6:$DF$17,2)+1))*(VLOOKUP($A30,CURVES!$D$9:$K$261,7))*(INDEX(DailyScalarsTable,L$5/100,MONTH($A30)))*$B30</f>
        <v>-31652.561223447916</v>
      </c>
      <c r="M30" s="1021">
        <f>(VLOOKUP(YEAR($A30),'NY East Load Projections'!$A$4:$EO$14,((MONTH($A30)-1)*12)+VLOOKUP(M$4,$DE$6:$DF$17,2)+1))*(VLOOKUP($A30,CURVES!$D$9:$K$261,7))*(INDEX(DailyScalarsTable,M$5/100,MONTH($A30)))*$B30</f>
        <v>-33780.181700251444</v>
      </c>
      <c r="N30" s="1021">
        <f>(VLOOKUP(YEAR($A30),'NY East Load Projections'!$A$4:$EO$14,((MONTH($A30)-1)*12)+VLOOKUP(N$4,$DE$6:$DF$17,2)+1))*(VLOOKUP($A30,CURVES!$D$9:$K$261,7))*(INDEX(DailyScalarsTable,N$5/100,MONTH($A30)))*$B30</f>
        <v>-64688.636640950848</v>
      </c>
      <c r="O30" s="1021">
        <f>(VLOOKUP(YEAR($A30),'NY East Load Projections'!$A$4:$EO$14,((MONTH($A30)-1)*12)+VLOOKUP(O$4,$DE$6:$DF$17,2)+1))*(VLOOKUP($A30,CURVES!$D$9:$K$261,3))*(INDEX(DailyScalarsTable,O$5/100,MONTH($A30)))*$B30</f>
        <v>-75533.975890381189</v>
      </c>
      <c r="P30" s="1021">
        <f>(VLOOKUP(YEAR($A30),'NY East Load Projections'!$A$4:$EO$14,((MONTH($A30)-1)*12)+VLOOKUP(P$4,$DE$6:$DF$17,2)+1))*(VLOOKUP($A30,CURVES!$D$9:$K$261,3))*(INDEX(DailyScalarsTable,P$5/100,MONTH($A30)))*$B30</f>
        <v>-82362.665577889988</v>
      </c>
      <c r="Q30" s="1021">
        <f>(VLOOKUP(YEAR($A30),'NY East Load Projections'!$A$4:$EO$14,((MONTH($A30)-1)*12)+VLOOKUP(Q$4,$DE$6:$DF$17,2)+1))*(VLOOKUP($A30,CURVES!$D$9:$K$261,3))*(INDEX(DailyScalarsTable,Q$5/100,MONTH($A30)))*$B30</f>
        <v>-82111.986706589159</v>
      </c>
      <c r="R30" s="1021">
        <f>(VLOOKUP(YEAR($A30),'NY East Load Projections'!$A$4:$EO$14,((MONTH($A30)-1)*12)+VLOOKUP(R$4,$DE$6:$DF$17,2)+1))*(VLOOKUP($A30,CURVES!$D$9:$K$261,3))*(INDEX(DailyScalarsTable,R$5/100,MONTH($A30)))*$B30</f>
        <v>-80679.024840031678</v>
      </c>
      <c r="S30" s="1021">
        <f>(VLOOKUP(YEAR($A30),'NY East Load Projections'!$A$4:$EO$14,((MONTH($A30)-1)*12)+VLOOKUP(S$4,$DE$6:$DF$17,2)+1))*(VLOOKUP($A30,CURVES!$D$9:$K$261,3))*(INDEX(DailyScalarsTable,S$5/100,MONTH($A30)))*$B30</f>
        <v>-60436.222911410805</v>
      </c>
      <c r="T30" s="1021">
        <f>(VLOOKUP(YEAR($A30),'NY East Load Projections'!$A$4:$EO$14,((MONTH($A30)-1)*12)+VLOOKUP(T$4,$DE$6:$DF$17,2)+1))*(VLOOKUP($A30,CURVES!$D$9:$K$261,3))*(INDEX(DailyScalarsTable,T$5/100,MONTH($A30)))*$B30</f>
        <v>-58604.821655819491</v>
      </c>
      <c r="U30" s="1021">
        <f>(VLOOKUP(YEAR($A30),'NY East Load Projections'!$A$4:$EO$14,((MONTH($A30)-1)*12)+VLOOKUP(U$4,$DE$6:$DF$17,2)+1))*(VLOOKUP($A30,CURVES!$D$9:$K$261,3))*(INDEX(DailyScalarsTable,U$5/100,MONTH($A30)))*$B30</f>
        <v>-56712.574255608197</v>
      </c>
      <c r="V30" s="1021">
        <f>(VLOOKUP(YEAR($A30),'NY East Load Projections'!$A$4:$EO$14,((MONTH($A30)-1)*12)+VLOOKUP(V$4,$DE$6:$DF$17,2)+1))*(VLOOKUP($A30,CURVES!$D$9:$K$261,3))*(INDEX(DailyScalarsTable,V$5/100,MONTH($A30)))*$B30</f>
        <v>-53826.211373401828</v>
      </c>
      <c r="W30" s="1021">
        <f>(VLOOKUP(YEAR($A30),'NY East Load Projections'!$A$4:$EO$14,((MONTH($A30)-1)*12)+VLOOKUP(W$4,$DE$6:$DF$17,2)+1))*(VLOOKUP($A30,CURVES!$D$9:$K$261,3))*(INDEX(DailyScalarsTable,W$5/100,MONTH($A30)))*$B30</f>
        <v>-52742.968296469277</v>
      </c>
      <c r="X30" s="1021">
        <f>(VLOOKUP(YEAR($A30),'NY East Load Projections'!$A$4:$EO$14,((MONTH($A30)-1)*12)+VLOOKUP(X$4,$DE$6:$DF$17,2)+1))*(VLOOKUP($A30,CURVES!$D$9:$K$261,3))*(INDEX(DailyScalarsTable,X$5/100,MONTH($A30)))*$B30</f>
        <v>-55360.55073852199</v>
      </c>
      <c r="Y30" s="1021">
        <f>(VLOOKUP(YEAR($A30),'NY East Load Projections'!$A$4:$EO$14,((MONTH($A30)-1)*12)+VLOOKUP(Y$4,$DE$6:$DF$17,2)+1))*(VLOOKUP($A30,CURVES!$D$9:$K$261,3))*(INDEX(DailyScalarsTable,Y$5/100,MONTH($A30)))*$B30</f>
        <v>-77031.801248473144</v>
      </c>
      <c r="Z30" s="1021">
        <f>(VLOOKUP(YEAR($A30),'NY East Load Projections'!$A$4:$EO$14,((MONTH($A30)-1)*12)+VLOOKUP(Z$4,$DE$6:$DF$17,2)+1))*(VLOOKUP($A30,CURVES!$D$9:$K$261,3))*(INDEX(DailyScalarsTable,Z$5/100,MONTH($A30)))*$B30</f>
        <v>-84524.353627441029</v>
      </c>
      <c r="AA30" s="1021">
        <f>(VLOOKUP(YEAR($A30),'NY East Load Projections'!$A$4:$EO$14,((MONTH($A30)-1)*12)+VLOOKUP(AA$4,$DE$6:$DF$17,2)+1))*(VLOOKUP($A30,CURVES!$D$9:$K$261,3))*(INDEX(DailyScalarsTable,AA$5/100,MONTH($A30)))*$B30</f>
        <v>-80904.473268421265</v>
      </c>
      <c r="AB30" s="1021">
        <f>(VLOOKUP(YEAR($A30),'NY East Load Projections'!$A$4:$EO$14,((MONTH($A30)-1)*12)+VLOOKUP(AB$4,$DE$6:$DF$17,2)+1))*(VLOOKUP($A30,CURVES!$D$9:$K$261,3))*(INDEX(DailyScalarsTable,AB$5/100,MONTH($A30)))*$B30</f>
        <v>-72623.909711168162</v>
      </c>
      <c r="AC30" s="1021">
        <f>(VLOOKUP(YEAR($A30),'NY East Load Projections'!$A$4:$EO$14,((MONTH($A30)-1)*12)+VLOOKUP(AC$4,$DE$6:$DF$17,2)+1))*(VLOOKUP($A30,CURVES!$D$9:$K$261,3))*(INDEX(DailyScalarsTable,AC$5/100,MONTH($A30)))*$B30</f>
        <v>-51651.806626465266</v>
      </c>
      <c r="AD30" s="1021">
        <f>(VLOOKUP(YEAR($A30),'NY East Load Projections'!$A$4:$EO$14,((MONTH($A30)-1)*12)+VLOOKUP(AD$4,$DE$6:$DF$17,2)+1))*(VLOOKUP($A30,CURVES!$D$9:$K$261,3))*(INDEX(DailyScalarsTable,AD$5/100,MONTH($A30)))*$B30</f>
        <v>-42283.432691780748</v>
      </c>
      <c r="AE30" s="1021">
        <f>(VLOOKUP(YEAR($A30),'NY East Load Projections'!$A$4:$EO$14,((MONTH($A30)-1)*12)+VLOOKUP(AE$4,$DE$6:$DF$17,2)+1))*(VLOOKUP($A30,CURVES!$D$9:$K$261,7))*(INDEX(DailyScalarsTable,AE$5/100,MONTH($A30)))*$B30</f>
        <v>-37271.318170342158</v>
      </c>
      <c r="AF30" s="1021"/>
      <c r="AG30" s="1021">
        <f>(VLOOKUP(YEAR($A30),'NY East Load Projections'!$A$4:$EO$14,((MONTH($A30)-1)*12)+VLOOKUP(AG$4,$DE$6:$DF$17,2)+1))*(VLOOKUP($A30,CURVES!$D$9:$T$261,7))*(INDEX(DailyScalarsTable,AG$5/100,MONTH($A30)))*$C30</f>
        <v>-6216.641018500879</v>
      </c>
      <c r="AH30" s="1021">
        <f>(VLOOKUP(YEAR($A30),'NY East Load Projections'!$A$4:$EO$14,((MONTH($A30)-1)*12)+VLOOKUP(AH$4,$DE$6:$DF$17,2)+1))*(VLOOKUP($A30,CURVES!$D$9:$T$261,7))*(INDEX(DailyScalarsTable,AH$5/100,MONTH($A30)))*$C30</f>
        <v>-6095.5235317929046</v>
      </c>
      <c r="AI30" s="1021">
        <f>(VLOOKUP(YEAR($A30),'NY East Load Projections'!$A$4:$EO$14,((MONTH($A30)-1)*12)+VLOOKUP(AI$4,$DE$6:$DF$17,2)+1))*(VLOOKUP($A30,CURVES!$D$9:$T$261,7))*(INDEX(DailyScalarsTable,AI$5/100,MONTH($A30)))*$C30</f>
        <v>-5585.6364785321357</v>
      </c>
      <c r="AJ30" s="1021">
        <f>(VLOOKUP(YEAR($A30),'NY East Load Projections'!$A$4:$EO$14,((MONTH($A30)-1)*12)+VLOOKUP(AJ$4,$DE$6:$DF$17,2)+1))*(VLOOKUP($A30,CURVES!$D$9:$T$261,7))*(INDEX(DailyScalarsTable,AJ$5/100,MONTH($A30)))*$C30</f>
        <v>-5582.2593161302384</v>
      </c>
      <c r="AK30" s="1021">
        <f>(VLOOKUP(YEAR($A30),'NY East Load Projections'!$A$4:$EO$14,((MONTH($A30)-1)*12)+VLOOKUP(AK$4,$DE$6:$DF$17,2)+1))*(VLOOKUP($A30,CURVES!$D$9:$T$261,7))*(INDEX(DailyScalarsTable,AK$5/100,MONTH($A30)))*$C30</f>
        <v>-5877.9384144521146</v>
      </c>
      <c r="AL30" s="1021">
        <f>(VLOOKUP(YEAR($A30),'NY East Load Projections'!$A$4:$EO$14,((MONTH($A30)-1)*12)+VLOOKUP(AL$4,$DE$6:$DF$17,2)+1))*(VLOOKUP($A30,CURVES!$D$9:$T$261,7))*(INDEX(DailyScalarsTable,AL$5/100,MONTH($A30)))*$C30</f>
        <v>-6273.0414218736441</v>
      </c>
      <c r="AM30" s="1021">
        <f>(VLOOKUP(YEAR($A30),'NY East Load Projections'!$A$4:$EO$14,((MONTH($A30)-1)*12)+VLOOKUP(AM$4,$DE$6:$DF$17,2)+1))*(VLOOKUP($A30,CURVES!$D$9:$T$261,7))*(INDEX(DailyScalarsTable,AM$5/100,MONTH($A30)))*$C30</f>
        <v>-12012.797940935803</v>
      </c>
      <c r="AN30" s="1021">
        <f>(VLOOKUP(YEAR($A30),'NY East Load Projections'!$A$4:$EO$14,((MONTH($A30)-1)*12)+VLOOKUP(AN$4,$DE$6:$DF$17,2)+1))*(VLOOKUP($A30,SatSunCurve,3))*(INDEX(DailyScalarsTable,AN$5/100,MONTH($A30)))*$C30</f>
        <v>-10964.534525899517</v>
      </c>
      <c r="AO30" s="1021">
        <f>(VLOOKUP(YEAR($A30),'NY East Load Projections'!$A$4:$EO$14,((MONTH($A30)-1)*12)+VLOOKUP(AO$4,$DE$6:$DF$17,2)+1))*(VLOOKUP($A30,SatSunCurve,3))*(INDEX(DailyScalarsTable,AO$5/100,MONTH($A30)))*$C30</f>
        <v>-12174.190401597802</v>
      </c>
      <c r="AP30" s="1021">
        <f>(VLOOKUP(YEAR($A30),'NY East Load Projections'!$A$4:$EO$14,((MONTH($A30)-1)*12)+VLOOKUP(AP$4,$DE$6:$DF$17,2)+1))*(VLOOKUP($A30,SatSunCurve,3))*(INDEX(DailyScalarsTable,AP$5/100,MONTH($A30)))*$C30</f>
        <v>-12137.137056038122</v>
      </c>
      <c r="AQ30" s="1021">
        <f>(VLOOKUP(YEAR($A30),'NY East Load Projections'!$A$4:$EO$14,((MONTH($A30)-1)*12)+VLOOKUP(AQ$4,$DE$6:$DF$17,2)+1))*(VLOOKUP($A30,SatSunCurve,3))*(INDEX(DailyScalarsTable,AQ$5/100,MONTH($A30)))*$C30</f>
        <v>-11925.32809527541</v>
      </c>
      <c r="AR30" s="1021">
        <f>(VLOOKUP(YEAR($A30),'NY East Load Projections'!$A$4:$EO$14,((MONTH($A30)-1)*12)+VLOOKUP(AR$4,$DE$6:$DF$17,2)+1))*(VLOOKUP($A30,SatSunCurve,3))*(INDEX(DailyScalarsTable,AR$5/100,MONTH($A30)))*$C30</f>
        <v>-8933.1990376284739</v>
      </c>
      <c r="AS30" s="1021">
        <f>(VLOOKUP(YEAR($A30),'NY East Load Projections'!$A$4:$EO$14,((MONTH($A30)-1)*12)+VLOOKUP(AS$4,$DE$6:$DF$17,2)+1))*(VLOOKUP($A30,SatSunCurve,3))*(INDEX(DailyScalarsTable,AS$5/100,MONTH($A30)))*$C30</f>
        <v>-8525.8850292369516</v>
      </c>
      <c r="AT30" s="1021">
        <f>(VLOOKUP(YEAR($A30),'NY East Load Projections'!$A$4:$EO$14,((MONTH($A30)-1)*12)+VLOOKUP(AT$4,$DE$6:$DF$17,2)+1))*(VLOOKUP($A30,SatSunCurve,3))*(INDEX(DailyScalarsTable,AT$5/100,MONTH($A30)))*$C30</f>
        <v>-8250.5990830425926</v>
      </c>
      <c r="AU30" s="1021">
        <f>(VLOOKUP(YEAR($A30),'NY East Load Projections'!$A$4:$EO$14,((MONTH($A30)-1)*12)+VLOOKUP(AU$4,$DE$6:$DF$17,2)+1))*(VLOOKUP($A30,SatSunCurve,3))*(INDEX(DailyScalarsTable,AU$5/100,MONTH($A30)))*$C30</f>
        <v>-7830.6882738113381</v>
      </c>
      <c r="AV30" s="1021">
        <f>(VLOOKUP(YEAR($A30),'NY East Load Projections'!$A$4:$EO$14,((MONTH($A30)-1)*12)+VLOOKUP(AV$4,$DE$6:$DF$17,2)+1))*(VLOOKUP($A30,SatSunCurve,3))*(INDEX(DailyScalarsTable,AV$5/100,MONTH($A30)))*$C30</f>
        <v>-7673.0970437435508</v>
      </c>
      <c r="AW30" s="1021">
        <f>(VLOOKUP(YEAR($A30),'NY East Load Projections'!$A$4:$EO$14,((MONTH($A30)-1)*12)+VLOOKUP(AW$4,$DE$6:$DF$17,2)+1))*(VLOOKUP($A30,SatSunCurve,3))*(INDEX(DailyScalarsTable,AW$5/100,MONTH($A30)))*$C30</f>
        <v>-8080.779239330589</v>
      </c>
      <c r="AX30" s="1021">
        <f>(VLOOKUP(YEAR($A30),'NY East Load Projections'!$A$4:$EO$14,((MONTH($A30)-1)*12)+VLOOKUP(AX$4,$DE$6:$DF$17,2)+1))*(VLOOKUP($A30,SatSunCurve,3))*(INDEX(DailyScalarsTable,AX$5/100,MONTH($A30)))*$C30</f>
        <v>-11244.053247175494</v>
      </c>
      <c r="AY30" s="1021">
        <f>(VLOOKUP(YEAR($A30),'NY East Load Projections'!$A$4:$EO$14,((MONTH($A30)-1)*12)+VLOOKUP(AY$4,$DE$6:$DF$17,2)+1))*(VLOOKUP($A30,SatSunCurve,3))*(INDEX(DailyScalarsTable,AY$5/100,MONTH($A30)))*$C30</f>
        <v>-12337.714002096973</v>
      </c>
      <c r="AZ30" s="1021">
        <f>(VLOOKUP(YEAR($A30),'NY East Load Projections'!$A$4:$EO$14,((MONTH($A30)-1)*12)+VLOOKUP(AZ$4,$DE$6:$DF$17,2)+1))*(VLOOKUP($A30,SatSunCurve,3))*(INDEX(DailyScalarsTable,AZ$5/100,MONTH($A30)))*$C30</f>
        <v>-11809.333166577695</v>
      </c>
      <c r="BA30" s="1021">
        <f>(VLOOKUP(YEAR($A30),'NY East Load Projections'!$A$4:$EO$14,((MONTH($A30)-1)*12)+VLOOKUP(BA$4,$DE$6:$DF$17,2)+1))*(VLOOKUP($A30,SatSunCurve,3))*(INDEX(DailyScalarsTable,BA$5/100,MONTH($A30)))*$C30</f>
        <v>-10874.9399057509</v>
      </c>
      <c r="BB30" s="1021">
        <f>(VLOOKUP(YEAR($A30),'NY East Load Projections'!$A$4:$EO$14,((MONTH($A30)-1)*12)+VLOOKUP(BB$4,$DE$6:$DF$17,2)+1))*(VLOOKUP($A30,SatSunCurve,3))*(INDEX(DailyScalarsTable,BB$5/100,MONTH($A30)))*$C30</f>
        <v>-7734.509135080285</v>
      </c>
      <c r="BC30" s="1021">
        <f>(VLOOKUP(YEAR($A30),'NY East Load Projections'!$A$4:$EO$14,((MONTH($A30)-1)*12)+VLOOKUP(BC$4,$DE$6:$DF$17,2)+1))*(VLOOKUP($A30,SatSunCurve,3))*(INDEX(DailyScalarsTable,BC$5/100,MONTH($A30)))*$C30</f>
        <v>-6331.6584215964594</v>
      </c>
      <c r="BD30" s="1021">
        <f>(VLOOKUP(YEAR($A30),'NY East Load Projections'!$A$4:$EO$14,((MONTH($A30)-1)*12)+VLOOKUP(BD$4,$DE$6:$DF$17,2)+1))*(VLOOKUP($A30,CURVES!$D$9:$T$261,7))*(INDEX(DailyScalarsTable,BD$5/100,MONTH($A30)))*$C30</f>
        <v>-7139.8701386710927</v>
      </c>
      <c r="BE30" s="1021"/>
      <c r="BF30" s="1021">
        <f>(VLOOKUP(YEAR($A30),'NY East Load Projections'!$A$4:$EO$14,((MONTH($A30)-1)*12)+VLOOKUP(BF$4,$DE$6:$DF$17,2)+1))*(VLOOKUP($A30,CURVES!$D$9:$T$261,7))*(INDEX(DailyScalarsTable,BF$5/100,MONTH($A30)))*$D30</f>
        <v>-6216.641018500879</v>
      </c>
      <c r="BG30" s="1021">
        <f>(VLOOKUP(YEAR($A30),'NY East Load Projections'!$A$4:$EO$14,((MONTH($A30)-1)*12)+VLOOKUP(BG$4,$DE$6:$DF$17,2)+1))*(VLOOKUP($A30,CURVES!$D$9:$T$261,7))*(INDEX(DailyScalarsTable,BG$5/100,MONTH($A30)))*$D30</f>
        <v>-6095.5235317929046</v>
      </c>
      <c r="BH30" s="1021">
        <f>(VLOOKUP(YEAR($A30),'NY East Load Projections'!$A$4:$EO$14,((MONTH($A30)-1)*12)+VLOOKUP(BH$4,$DE$6:$DF$17,2)+1))*(VLOOKUP($A30,CURVES!$D$9:$T$261,7))*(INDEX(DailyScalarsTable,BH$5/100,MONTH($A30)))*$D30</f>
        <v>-5585.6364785321357</v>
      </c>
      <c r="BI30" s="1021">
        <f>(VLOOKUP(YEAR($A30),'NY East Load Projections'!$A$4:$EO$14,((MONTH($A30)-1)*12)+VLOOKUP(BI$4,$DE$6:$DF$17,2)+1))*(VLOOKUP($A30,CURVES!$D$9:$T$261,7))*(INDEX(DailyScalarsTable,BI$5/100,MONTH($A30)))*$D30</f>
        <v>-5582.2593161302384</v>
      </c>
      <c r="BJ30" s="1021">
        <f>(VLOOKUP(YEAR($A30),'NY East Load Projections'!$A$4:$EO$14,((MONTH($A30)-1)*12)+VLOOKUP(BJ$4,$DE$6:$DF$17,2)+1))*(VLOOKUP($A30,CURVES!$D$9:$T$261,7))*(INDEX(DailyScalarsTable,BJ$5/100,MONTH($A30)))*$D30</f>
        <v>-5877.9384144521146</v>
      </c>
      <c r="BK30" s="1021">
        <f>(VLOOKUP(YEAR($A30),'NY East Load Projections'!$A$4:$EO$14,((MONTH($A30)-1)*12)+VLOOKUP(BK$4,$DE$6:$DF$17,2)+1))*(VLOOKUP($A30,CURVES!$D$9:$T$261,7))*(INDEX(DailyScalarsTable,BK$5/100,MONTH($A30)))*$D30</f>
        <v>-6273.0414218736441</v>
      </c>
      <c r="BL30" s="1021">
        <f>(VLOOKUP(YEAR($A30),'NY East Load Projections'!$A$4:$EO$14,((MONTH($A30)-1)*12)+VLOOKUP(BL$4,$DE$6:$DF$17,2)+1))*(VLOOKUP($A30,CURVES!$D$9:$T$261,7))*(INDEX(DailyScalarsTable,BL$5/100,MONTH($A30)))*$D30</f>
        <v>-12012.797940935803</v>
      </c>
      <c r="BM30" s="1021">
        <f>(VLOOKUP(YEAR($A30),'NY East Load Projections'!$A$4:$EO$14,((MONTH($A30)-1)*12)+VLOOKUP(BM$4,$DE$6:$DF$17,2)+1))*(VLOOKUP($A30,SatSunCurve,7))*(INDEX(DailyScalarsTable,BM$5/100,MONTH($A30)))*$D30</f>
        <v>-10391.885937626856</v>
      </c>
      <c r="BN30" s="1021">
        <f>(VLOOKUP(YEAR($A30),'NY East Load Projections'!$A$4:$EO$14,((MONTH($A30)-1)*12)+VLOOKUP(BN$4,$DE$6:$DF$17,2)+1))*(VLOOKUP($A30,SatSunCurve,7))*(INDEX(DailyScalarsTable,BN$5/100,MONTH($A30)))*$D30</f>
        <v>-11538.364691863389</v>
      </c>
      <c r="BO30" s="1021">
        <f>(VLOOKUP(YEAR($A30),'NY East Load Projections'!$A$4:$EO$14,((MONTH($A30)-1)*12)+VLOOKUP(BO$4,$DE$6:$DF$17,2)+1))*(VLOOKUP($A30,SatSunCurve,7))*(INDEX(DailyScalarsTable,BO$5/100,MONTH($A30)))*$D30</f>
        <v>-11503.246544371208</v>
      </c>
      <c r="BP30" s="1021">
        <f>(VLOOKUP(YEAR($A30),'NY East Load Projections'!$A$4:$EO$14,((MONTH($A30)-1)*12)+VLOOKUP(BP$4,$DE$6:$DF$17,2)+1))*(VLOOKUP($A30,SatSunCurve,7))*(INDEX(DailyScalarsTable,BP$5/100,MONTH($A30)))*$D30</f>
        <v>-11302.49980445132</v>
      </c>
      <c r="BQ30" s="1021">
        <f>(VLOOKUP(YEAR($A30),'NY East Load Projections'!$A$4:$EO$14,((MONTH($A30)-1)*12)+VLOOKUP(BQ$4,$DE$6:$DF$17,2)+1))*(VLOOKUP($A30,SatSunCurve,7))*(INDEX(DailyScalarsTable,BQ$5/100,MONTH($A30)))*$D30</f>
        <v>-8466.6417199810166</v>
      </c>
      <c r="BR30" s="1021">
        <f>(VLOOKUP(YEAR($A30),'NY East Load Projections'!$A$4:$EO$14,((MONTH($A30)-1)*12)+VLOOKUP(BR$4,$DE$6:$DF$17,2)+1))*(VLOOKUP($A30,SatSunCurve,7))*(INDEX(DailyScalarsTable,BR$5/100,MONTH($A30)))*$D30</f>
        <v>-8080.6006430886036</v>
      </c>
      <c r="BS30" s="1021">
        <f>(VLOOKUP(YEAR($A30),'NY East Load Projections'!$A$4:$EO$14,((MONTH($A30)-1)*12)+VLOOKUP(BS$4,$DE$6:$DF$17,2)+1))*(VLOOKUP($A30,SatSunCurve,7))*(INDEX(DailyScalarsTable,BS$5/100,MONTH($A30)))*$D30</f>
        <v>-7819.6921525068947</v>
      </c>
      <c r="BT30" s="1021">
        <f>(VLOOKUP(YEAR($A30),'NY East Load Projections'!$A$4:$EO$14,((MONTH($A30)-1)*12)+VLOOKUP(BT$4,$DE$6:$DF$17,2)+1))*(VLOOKUP($A30,SatSunCurve,7))*(INDEX(DailyScalarsTable,BT$5/100,MONTH($A30)))*$D30</f>
        <v>-7421.7121723079817</v>
      </c>
      <c r="BU30" s="1021">
        <f>(VLOOKUP(YEAR($A30),'NY East Load Projections'!$A$4:$EO$14,((MONTH($A30)-1)*12)+VLOOKUP(BU$4,$DE$6:$DF$17,2)+1))*(VLOOKUP($A30,SatSunCurve,7))*(INDEX(DailyScalarsTable,BU$5/100,MONTH($A30)))*$D30</f>
        <v>-7272.3515146561331</v>
      </c>
      <c r="BV30" s="1021">
        <f>(VLOOKUP(YEAR($A30),'NY East Load Projections'!$A$4:$EO$14,((MONTH($A30)-1)*12)+VLOOKUP(BV$4,$DE$6:$DF$17,2)+1))*(VLOOKUP($A30,SatSunCurve,7))*(INDEX(DailyScalarsTable,BV$5/100,MONTH($A30)))*$D30</f>
        <v>-7658.7415493023354</v>
      </c>
      <c r="BW30" s="1021">
        <f>(VLOOKUP(YEAR($A30),'NY East Load Projections'!$A$4:$EO$14,((MONTH($A30)-1)*12)+VLOOKUP(BW$4,$DE$6:$DF$17,2)+1))*(VLOOKUP($A30,SatSunCurve,7))*(INDEX(DailyScalarsTable,BW$5/100,MONTH($A30)))*$D30</f>
        <v>-10656.80613666221</v>
      </c>
      <c r="BX30" s="1021">
        <f>(VLOOKUP(YEAR($A30),'NY East Load Projections'!$A$4:$EO$14,((MONTH($A30)-1)*12)+VLOOKUP(BX$4,$DE$6:$DF$17,2)+1))*(VLOOKUP($A30,SatSunCurve,7))*(INDEX(DailyScalarsTable,BX$5/100,MONTH($A30)))*$D30</f>
        <v>-11693.347887956525</v>
      </c>
      <c r="BY30" s="1021">
        <f>(VLOOKUP(YEAR($A30),'NY East Load Projections'!$A$4:$EO$14,((MONTH($A30)-1)*12)+VLOOKUP(BY$4,$DE$6:$DF$17,2)+1))*(VLOOKUP($A30,SatSunCurve,7))*(INDEX(DailyScalarsTable,BY$5/100,MONTH($A30)))*$D30</f>
        <v>-11192.562983556414</v>
      </c>
      <c r="BZ30" s="1021">
        <f>(VLOOKUP(YEAR($A30),'NY East Load Projections'!$A$4:$EO$14,((MONTH($A30)-1)*12)+VLOOKUP(BZ$4,$DE$6:$DF$17,2)+1))*(VLOOKUP($A30,SatSunCurve,7))*(INDEX(DailyScalarsTable,BZ$5/100,MONTH($A30)))*$D30</f>
        <v>-10306.9706071119</v>
      </c>
      <c r="CA30" s="1021">
        <f>(VLOOKUP(YEAR($A30),'NY East Load Projections'!$A$4:$EO$14,((MONTH($A30)-1)*12)+VLOOKUP(CA$4,$DE$6:$DF$17,2)+1))*(VLOOKUP($A30,SatSunCurve,7))*(INDEX(DailyScalarsTable,CA$5/100,MONTH($A30)))*$D30</f>
        <v>-7330.5562151707782</v>
      </c>
      <c r="CB30" s="1021">
        <f>(VLOOKUP(YEAR($A30),'NY East Load Projections'!$A$4:$EO$14,((MONTH($A30)-1)*12)+VLOOKUP(CB$4,$DE$6:$DF$17,2)+1))*(VLOOKUP($A30,SatSunCurve,7))*(INDEX(DailyScalarsTable,CB$5/100,MONTH($A30)))*$D30</f>
        <v>-6000.9726776656698</v>
      </c>
      <c r="CC30" s="1021">
        <f>(VLOOKUP(YEAR($A30),'NY East Load Projections'!$A$4:$EO$14,((MONTH($A30)-1)*12)+VLOOKUP(CC$4,$DE$6:$DF$17,2)+1))*(VLOOKUP($A30,CURVES!$D$9:$T$261,7))*(INDEX(DailyScalarsTable,CC$5/100,MONTH($A30)))*$D30</f>
        <v>-7139.8701386710927</v>
      </c>
      <c r="CE30" s="1021">
        <f>(VLOOKUP(YEAR($A30),'NY East Load Projections'!$A$4:$EO$14,((MONTH($A30)-1)*12)+VLOOKUP(CE$4,$DE$6:$DF$17,2)+1))*(VLOOKUP($A30,CURVES!$D$9:$T$261,7))*(INDEX(DailyScalarsTable,CE$5/100,MONTH($A30)))*$E30</f>
        <v>-1554.1602546252197</v>
      </c>
      <c r="CF30" s="1021">
        <f>(VLOOKUP(YEAR($A30),'NY East Load Projections'!$A$4:$EO$14,((MONTH($A30)-1)*12)+VLOOKUP(CF$4,$DE$6:$DF$17,2)+1))*(VLOOKUP($A30,CURVES!$D$9:$T$261,7))*(INDEX(DailyScalarsTable,CF$5/100,MONTH($A30)))*$E30</f>
        <v>-1523.8808829482261</v>
      </c>
      <c r="CG30" s="1021">
        <f>(VLOOKUP(YEAR($A30),'NY East Load Projections'!$A$4:$EO$14,((MONTH($A30)-1)*12)+VLOOKUP(CG$4,$DE$6:$DF$17,2)+1))*(VLOOKUP($A30,CURVES!$D$9:$T$261,7))*(INDEX(DailyScalarsTable,CG$5/100,MONTH($A30)))*$E30</f>
        <v>-1396.4091196330339</v>
      </c>
      <c r="CH30" s="1021">
        <f>(VLOOKUP(YEAR($A30),'NY East Load Projections'!$A$4:$EO$14,((MONTH($A30)-1)*12)+VLOOKUP(CH$4,$DE$6:$DF$17,2)+1))*(VLOOKUP($A30,CURVES!$D$9:$T$261,7))*(INDEX(DailyScalarsTable,CH$5/100,MONTH($A30)))*$E30</f>
        <v>-1395.5648290325596</v>
      </c>
      <c r="CI30" s="1021">
        <f>(VLOOKUP(YEAR($A30),'NY East Load Projections'!$A$4:$EO$14,((MONTH($A30)-1)*12)+VLOOKUP(CI$4,$DE$6:$DF$17,2)+1))*(VLOOKUP($A30,CURVES!$D$9:$T$261,7))*(INDEX(DailyScalarsTable,CI$5/100,MONTH($A30)))*$E30</f>
        <v>-1469.4846036130286</v>
      </c>
      <c r="CJ30" s="1021">
        <f>(VLOOKUP(YEAR($A30),'NY East Load Projections'!$A$4:$EO$14,((MONTH($A30)-1)*12)+VLOOKUP(CJ$4,$DE$6:$DF$17,2)+1))*(VLOOKUP($A30,CURVES!$D$9:$T$261,7))*(INDEX(DailyScalarsTable,CJ$5/100,MONTH($A30)))*$E30</f>
        <v>-1568.260355468411</v>
      </c>
      <c r="CK30" s="1021">
        <f>(VLOOKUP(YEAR($A30),'NY East Load Projections'!$A$4:$EO$14,((MONTH($A30)-1)*12)+VLOOKUP(CK$4,$DE$6:$DF$17,2)+1))*(VLOOKUP($A30,CURVES!$D$9:$T$261,7))*(INDEX(DailyScalarsTable,CK$5/100,MONTH($A30)))*$E30</f>
        <v>-3003.1994852339508</v>
      </c>
      <c r="CL30" s="1021">
        <f>(VLOOKUP(YEAR($A30),'NY East Load Projections'!$A$4:$EO$14,((MONTH($A30)-1)*12)+VLOOKUP(CL$4,$DE$6:$DF$17,2)+1))*(VLOOKUP($A30,SatSunCurve,7))*(INDEX(DailyScalarsTable,CL$5/100,MONTH($A30)))*$E30</f>
        <v>-2597.9714844067139</v>
      </c>
      <c r="CM30" s="1021">
        <f>(VLOOKUP(YEAR($A30),'NY East Load Projections'!$A$4:$EO$14,((MONTH($A30)-1)*12)+VLOOKUP(CM$4,$DE$6:$DF$17,2)+1))*(VLOOKUP($A30,SatSunCurve,7))*(INDEX(DailyScalarsTable,CM$5/100,MONTH($A30)))*$E30</f>
        <v>-2884.5911729658474</v>
      </c>
      <c r="CN30" s="1021">
        <f>(VLOOKUP(YEAR($A30),'NY East Load Projections'!$A$4:$EO$14,((MONTH($A30)-1)*12)+VLOOKUP(CN$4,$DE$6:$DF$17,2)+1))*(VLOOKUP($A30,SatSunCurve,7))*(INDEX(DailyScalarsTable,CN$5/100,MONTH($A30)))*$E30</f>
        <v>-2875.811636092802</v>
      </c>
      <c r="CO30" s="1021">
        <f>(VLOOKUP(YEAR($A30),'NY East Load Projections'!$A$4:$EO$14,((MONTH($A30)-1)*12)+VLOOKUP(CO$4,$DE$6:$DF$17,2)+1))*(VLOOKUP($A30,SatSunCurve,7))*(INDEX(DailyScalarsTable,CO$5/100,MONTH($A30)))*$E30</f>
        <v>-2825.6249511128299</v>
      </c>
      <c r="CP30" s="1021">
        <f>(VLOOKUP(YEAR($A30),'NY East Load Projections'!$A$4:$EO$14,((MONTH($A30)-1)*12)+VLOOKUP(CP$4,$DE$6:$DF$17,2)+1))*(VLOOKUP($A30,SatSunCurve,7))*(INDEX(DailyScalarsTable,CP$5/100,MONTH($A30)))*$E30</f>
        <v>-2116.6604299952542</v>
      </c>
      <c r="CQ30" s="1021">
        <f>(VLOOKUP(YEAR($A30),'NY East Load Projections'!$A$4:$EO$14,((MONTH($A30)-1)*12)+VLOOKUP(CQ$4,$DE$6:$DF$17,2)+1))*(VLOOKUP($A30,SatSunCurve,7))*(INDEX(DailyScalarsTable,CQ$5/100,MONTH($A30)))*$E30</f>
        <v>-2020.1501607721509</v>
      </c>
      <c r="CR30" s="1021">
        <f>(VLOOKUP(YEAR($A30),'NY East Load Projections'!$A$4:$EO$14,((MONTH($A30)-1)*12)+VLOOKUP(CR$4,$DE$6:$DF$17,2)+1))*(VLOOKUP($A30,SatSunCurve,7))*(INDEX(DailyScalarsTable,CR$5/100,MONTH($A30)))*$E30</f>
        <v>-1954.9230381267237</v>
      </c>
      <c r="CS30" s="1021">
        <f>(VLOOKUP(YEAR($A30),'NY East Load Projections'!$A$4:$EO$14,((MONTH($A30)-1)*12)+VLOOKUP(CS$4,$DE$6:$DF$17,2)+1))*(VLOOKUP($A30,SatSunCurve,7))*(INDEX(DailyScalarsTable,CS$5/100,MONTH($A30)))*$E30</f>
        <v>-1855.4280430769954</v>
      </c>
      <c r="CT30" s="1021">
        <f>(VLOOKUP(YEAR($A30),'NY East Load Projections'!$A$4:$EO$14,((MONTH($A30)-1)*12)+VLOOKUP(CT$4,$DE$6:$DF$17,2)+1))*(VLOOKUP($A30,SatSunCurve,7))*(INDEX(DailyScalarsTable,CT$5/100,MONTH($A30)))*$E30</f>
        <v>-1818.0878786640333</v>
      </c>
      <c r="CU30" s="1021">
        <f>(VLOOKUP(YEAR($A30),'NY East Load Projections'!$A$4:$EO$14,((MONTH($A30)-1)*12)+VLOOKUP(CU$4,$DE$6:$DF$17,2)+1))*(VLOOKUP($A30,SatSunCurve,7))*(INDEX(DailyScalarsTable,CU$5/100,MONTH($A30)))*$E30</f>
        <v>-1914.6853873255839</v>
      </c>
      <c r="CV30" s="1021">
        <f>(VLOOKUP(YEAR($A30),'NY East Load Projections'!$A$4:$EO$14,((MONTH($A30)-1)*12)+VLOOKUP(CV$4,$DE$6:$DF$17,2)+1))*(VLOOKUP($A30,SatSunCurve,7))*(INDEX(DailyScalarsTable,CV$5/100,MONTH($A30)))*$E30</f>
        <v>-2664.2015341655524</v>
      </c>
      <c r="CW30" s="1021">
        <f>(VLOOKUP(YEAR($A30),'NY East Load Projections'!$A$4:$EO$14,((MONTH($A30)-1)*12)+VLOOKUP(CW$4,$DE$6:$DF$17,2)+1))*(VLOOKUP($A30,SatSunCurve,7))*(INDEX(DailyScalarsTable,CW$5/100,MONTH($A30)))*$E30</f>
        <v>-2923.3369719891311</v>
      </c>
      <c r="CX30" s="1021">
        <f>(VLOOKUP(YEAR($A30),'NY East Load Projections'!$A$4:$EO$14,((MONTH($A30)-1)*12)+VLOOKUP(CX$4,$DE$6:$DF$17,2)+1))*(VLOOKUP($A30,SatSunCurve,7))*(INDEX(DailyScalarsTable,CX$5/100,MONTH($A30)))*$E30</f>
        <v>-2798.1407458891035</v>
      </c>
      <c r="CY30" s="1021">
        <f>(VLOOKUP(YEAR($A30),'NY East Load Projections'!$A$4:$EO$14,((MONTH($A30)-1)*12)+VLOOKUP(CY$4,$DE$6:$DF$17,2)+1))*(VLOOKUP($A30,SatSunCurve,7))*(INDEX(DailyScalarsTable,CY$5/100,MONTH($A30)))*$E30</f>
        <v>-2576.742651777975</v>
      </c>
      <c r="CZ30" s="1021">
        <f>(VLOOKUP(YEAR($A30),'NY East Load Projections'!$A$4:$EO$14,((MONTH($A30)-1)*12)+VLOOKUP(CZ$4,$DE$6:$DF$17,2)+1))*(VLOOKUP($A30,SatSunCurve,7))*(INDEX(DailyScalarsTable,CZ$5/100,MONTH($A30)))*$E30</f>
        <v>-1832.6390537926945</v>
      </c>
      <c r="DA30" s="1021">
        <f>(VLOOKUP(YEAR($A30),'NY East Load Projections'!$A$4:$EO$14,((MONTH($A30)-1)*12)+VLOOKUP(DA$4,$DE$6:$DF$17,2)+1))*(VLOOKUP($A30,SatSunCurve,7))*(INDEX(DailyScalarsTable,DA$5/100,MONTH($A30)))*$E30</f>
        <v>-1500.2431694164175</v>
      </c>
      <c r="DB30" s="1021">
        <f>(VLOOKUP(YEAR($A30),'NY East Load Projections'!$A$4:$EO$14,((MONTH($A30)-1)*12)+VLOOKUP(DB$4,$DE$6:$DF$17,2)+1))*(VLOOKUP($A30,CURVES!$D$9:$T$261,7))*(INDEX(DailyScalarsTable,DB$5/100,MONTH($A30)))*$E30</f>
        <v>-1784.9675346677732</v>
      </c>
      <c r="DH30" s="1032">
        <f t="shared" si="0"/>
        <v>-1821064.8365943686</v>
      </c>
      <c r="DI30">
        <f ca="1">CALC!J50</f>
        <v>0.81093241220215584</v>
      </c>
      <c r="DJ30" s="1029">
        <f t="shared" ca="1" si="1"/>
        <v>-1476760.5007159961</v>
      </c>
    </row>
    <row r="31" spans="1:114" x14ac:dyDescent="0.25">
      <c r="A31" s="244">
        <v>37653</v>
      </c>
      <c r="B31" s="13">
        <v>20</v>
      </c>
      <c r="C31" s="210">
        <v>4</v>
      </c>
      <c r="D31" s="210">
        <v>4</v>
      </c>
      <c r="E31" s="210">
        <v>0</v>
      </c>
      <c r="F31" s="13">
        <v>28</v>
      </c>
      <c r="H31" s="1021">
        <f>(VLOOKUP(YEAR($A31),'NY East Load Projections'!$A$4:$EO$14,((MONTH($A31)-1)*12)+VLOOKUP(H$4,$DE$6:$DF$17,2)+1))*(VLOOKUP($A31,CURVES!$D$9:$K$261,7))*(INDEX(DailyScalarsTable,H$5/100,MONTH($A31)))*$B31</f>
        <v>-28203.122630298963</v>
      </c>
      <c r="I31" s="1021">
        <f>(VLOOKUP(YEAR($A31),'NY East Load Projections'!$A$4:$EO$14,((MONTH($A31)-1)*12)+VLOOKUP(I$4,$DE$6:$DF$17,2)+1))*(VLOOKUP($A31,CURVES!$D$9:$K$261,7))*(INDEX(DailyScalarsTable,I$5/100,MONTH($A31)))*$B31</f>
        <v>-27653.647227081561</v>
      </c>
      <c r="J31" s="1021">
        <f>(VLOOKUP(YEAR($A31),'NY East Load Projections'!$A$4:$EO$14,((MONTH($A31)-1)*12)+VLOOKUP(J$4,$DE$6:$DF$17,2)+1))*(VLOOKUP($A31,CURVES!$D$9:$K$261,7))*(INDEX(DailyScalarsTable,J$5/100,MONTH($A31)))*$B31</f>
        <v>-25340.435470456268</v>
      </c>
      <c r="K31" s="1021">
        <f>(VLOOKUP(YEAR($A31),'NY East Load Projections'!$A$4:$EO$14,((MONTH($A31)-1)*12)+VLOOKUP(K$4,$DE$6:$DF$17,2)+1))*(VLOOKUP($A31,CURVES!$D$9:$K$261,7))*(INDEX(DailyScalarsTable,K$5/100,MONTH($A31)))*$B31</f>
        <v>-25325.114250350482</v>
      </c>
      <c r="L31" s="1021">
        <f>(VLOOKUP(YEAR($A31),'NY East Load Projections'!$A$4:$EO$14,((MONTH($A31)-1)*12)+VLOOKUP(L$4,$DE$6:$DF$17,2)+1))*(VLOOKUP($A31,CURVES!$D$9:$K$261,7))*(INDEX(DailyScalarsTable,L$5/100,MONTH($A31)))*$B31</f>
        <v>-27821.864856862012</v>
      </c>
      <c r="M31" s="1021">
        <f>(VLOOKUP(YEAR($A31),'NY East Load Projections'!$A$4:$EO$14,((MONTH($A31)-1)*12)+VLOOKUP(M$4,$DE$6:$DF$17,2)+1))*(VLOOKUP($A31,CURVES!$D$9:$K$261,7))*(INDEX(DailyScalarsTable,M$5/100,MONTH($A31)))*$B31</f>
        <v>-29691.993752733775</v>
      </c>
      <c r="N31" s="1021">
        <f>(VLOOKUP(YEAR($A31),'NY East Load Projections'!$A$4:$EO$14,((MONTH($A31)-1)*12)+VLOOKUP(N$4,$DE$6:$DF$17,2)+1))*(VLOOKUP($A31,CURVES!$D$9:$K$261,7))*(INDEX(DailyScalarsTable,N$5/100,MONTH($A31)))*$B31</f>
        <v>-56859.806500143277</v>
      </c>
      <c r="O31" s="1021">
        <f>(VLOOKUP(YEAR($A31),'NY East Load Projections'!$A$4:$EO$14,((MONTH($A31)-1)*12)+VLOOKUP(O$4,$DE$6:$DF$17,2)+1))*(VLOOKUP($A31,CURVES!$D$9:$K$261,3))*(INDEX(DailyScalarsTable,O$5/100,MONTH($A31)))*$B31</f>
        <v>-67004.974298924571</v>
      </c>
      <c r="P31" s="1021">
        <f>(VLOOKUP(YEAR($A31),'NY East Load Projections'!$A$4:$EO$14,((MONTH($A31)-1)*12)+VLOOKUP(P$4,$DE$6:$DF$17,2)+1))*(VLOOKUP($A31,CURVES!$D$9:$K$261,3))*(INDEX(DailyScalarsTable,P$5/100,MONTH($A31)))*$B31</f>
        <v>-72803.601543456403</v>
      </c>
      <c r="Q31" s="1021">
        <f>(VLOOKUP(YEAR($A31),'NY East Load Projections'!$A$4:$EO$14,((MONTH($A31)-1)*12)+VLOOKUP(Q$4,$DE$6:$DF$17,2)+1))*(VLOOKUP($A31,CURVES!$D$9:$K$261,3))*(INDEX(DailyScalarsTable,Q$5/100,MONTH($A31)))*$B31</f>
        <v>-72582.016623474789</v>
      </c>
      <c r="R31" s="1021">
        <f>(VLOOKUP(YEAR($A31),'NY East Load Projections'!$A$4:$EO$14,((MONTH($A31)-1)*12)+VLOOKUP(R$4,$DE$6:$DF$17,2)+1))*(VLOOKUP($A31,CURVES!$D$9:$K$261,3))*(INDEX(DailyScalarsTable,R$5/100,MONTH($A31)))*$B31</f>
        <v>-71315.365234428158</v>
      </c>
      <c r="S31" s="1021">
        <f>(VLOOKUP(YEAR($A31),'NY East Load Projections'!$A$4:$EO$14,((MONTH($A31)-1)*12)+VLOOKUP(S$4,$DE$6:$DF$17,2)+1))*(VLOOKUP($A31,CURVES!$D$9:$K$261,3))*(INDEX(DailyScalarsTable,S$5/100,MONTH($A31)))*$B31</f>
        <v>-53421.955940374799</v>
      </c>
      <c r="T31" s="1021">
        <f>(VLOOKUP(YEAR($A31),'NY East Load Projections'!$A$4:$EO$14,((MONTH($A31)-1)*12)+VLOOKUP(T$4,$DE$6:$DF$17,2)+1))*(VLOOKUP($A31,CURVES!$D$9:$K$261,3))*(INDEX(DailyScalarsTable,T$5/100,MONTH($A31)))*$B31</f>
        <v>-51578.540108589572</v>
      </c>
      <c r="U31" s="1021">
        <f>(VLOOKUP(YEAR($A31),'NY East Load Projections'!$A$4:$EO$14,((MONTH($A31)-1)*12)+VLOOKUP(U$4,$DE$6:$DF$17,2)+1))*(VLOOKUP($A31,CURVES!$D$9:$K$261,3))*(INDEX(DailyScalarsTable,U$5/100,MONTH($A31)))*$B31</f>
        <v>-49913.159075602816</v>
      </c>
      <c r="V31" s="1021">
        <f>(VLOOKUP(YEAR($A31),'NY East Load Projections'!$A$4:$EO$14,((MONTH($A31)-1)*12)+VLOOKUP(V$4,$DE$6:$DF$17,2)+1))*(VLOOKUP($A31,CURVES!$D$9:$K$261,3))*(INDEX(DailyScalarsTable,V$5/100,MONTH($A31)))*$B31</f>
        <v>-47372.849601373033</v>
      </c>
      <c r="W31" s="1021">
        <f>(VLOOKUP(YEAR($A31),'NY East Load Projections'!$A$4:$EO$14,((MONTH($A31)-1)*12)+VLOOKUP(W$4,$DE$6:$DF$17,2)+1))*(VLOOKUP($A31,CURVES!$D$9:$K$261,3))*(INDEX(DailyScalarsTable,W$5/100,MONTH($A31)))*$B31</f>
        <v>-46419.479299880615</v>
      </c>
      <c r="X31" s="1021">
        <f>(VLOOKUP(YEAR($A31),'NY East Load Projections'!$A$4:$EO$14,((MONTH($A31)-1)*12)+VLOOKUP(X$4,$DE$6:$DF$17,2)+1))*(VLOOKUP($A31,CURVES!$D$9:$K$261,3))*(INDEX(DailyScalarsTable,X$5/100,MONTH($A31)))*$B31</f>
        <v>-48728.570960363999</v>
      </c>
      <c r="Y31" s="1021">
        <f>(VLOOKUP(YEAR($A31),'NY East Load Projections'!$A$4:$EO$14,((MONTH($A31)-1)*12)+VLOOKUP(Y$4,$DE$6:$DF$17,2)+1))*(VLOOKUP($A31,CURVES!$D$9:$K$261,3))*(INDEX(DailyScalarsTable,Y$5/100,MONTH($A31)))*$B31</f>
        <v>-67803.689509341275</v>
      </c>
      <c r="Z31" s="1021">
        <f>(VLOOKUP(YEAR($A31),'NY East Load Projections'!$A$4:$EO$14,((MONTH($A31)-1)*12)+VLOOKUP(Z$4,$DE$6:$DF$17,2)+1))*(VLOOKUP($A31,CURVES!$D$9:$K$261,3))*(INDEX(DailyScalarsTable,Z$5/100,MONTH($A31)))*$B31</f>
        <v>-74398.663103394225</v>
      </c>
      <c r="AA31" s="1021">
        <f>(VLOOKUP(YEAR($A31),'NY East Load Projections'!$A$4:$EO$14,((MONTH($A31)-1)*12)+VLOOKUP(AA$4,$DE$6:$DF$17,2)+1))*(VLOOKUP($A31,CURVES!$D$9:$K$261,3))*(INDEX(DailyScalarsTable,AA$5/100,MONTH($A31)))*$B31</f>
        <v>-71212.430405391409</v>
      </c>
      <c r="AB31" s="1021">
        <f>(VLOOKUP(YEAR($A31),'NY East Load Projections'!$A$4:$EO$14,((MONTH($A31)-1)*12)+VLOOKUP(AB$4,$DE$6:$DF$17,2)+1))*(VLOOKUP($A31,CURVES!$D$9:$K$261,3))*(INDEX(DailyScalarsTable,AB$5/100,MONTH($A31)))*$B31</f>
        <v>-64180.375977374119</v>
      </c>
      <c r="AC31" s="1021">
        <f>(VLOOKUP(YEAR($A31),'NY East Load Projections'!$A$4:$EO$14,((MONTH($A31)-1)*12)+VLOOKUP(AC$4,$DE$6:$DF$17,2)+1))*(VLOOKUP($A31,CURVES!$D$9:$K$261,3))*(INDEX(DailyScalarsTable,AC$5/100,MONTH($A31)))*$B31</f>
        <v>-45646.569874595669</v>
      </c>
      <c r="AD31" s="1021">
        <f>(VLOOKUP(YEAR($A31),'NY East Load Projections'!$A$4:$EO$14,((MONTH($A31)-1)*12)+VLOOKUP(AD$4,$DE$6:$DF$17,2)+1))*(VLOOKUP($A31,CURVES!$D$9:$K$261,3))*(INDEX(DailyScalarsTable,AD$5/100,MONTH($A31)))*$B31</f>
        <v>-37367.398953944728</v>
      </c>
      <c r="AE31" s="1021">
        <f>(VLOOKUP(YEAR($A31),'NY East Load Projections'!$A$4:$EO$14,((MONTH($A31)-1)*12)+VLOOKUP(AE$4,$DE$6:$DF$17,2)+1))*(VLOOKUP($A31,CURVES!$D$9:$K$261,7))*(INDEX(DailyScalarsTable,AE$5/100,MONTH($A31)))*$B31</f>
        <v>-32636.987393282412</v>
      </c>
      <c r="AF31" s="1021"/>
      <c r="AG31" s="1021">
        <f>(VLOOKUP(YEAR($A31),'NY East Load Projections'!$A$4:$EO$14,((MONTH($A31)-1)*12)+VLOOKUP(AG$4,$DE$6:$DF$17,2)+1))*(VLOOKUP($A31,CURVES!$D$9:$T$261,7))*(INDEX(DailyScalarsTable,AG$5/100,MONTH($A31)))*$C31</f>
        <v>-6048.7735816818176</v>
      </c>
      <c r="AH31" s="1021">
        <f>(VLOOKUP(YEAR($A31),'NY East Load Projections'!$A$4:$EO$14,((MONTH($A31)-1)*12)+VLOOKUP(AH$4,$DE$6:$DF$17,2)+1))*(VLOOKUP($A31,CURVES!$D$9:$T$261,7))*(INDEX(DailyScalarsTable,AH$5/100,MONTH($A31)))*$C31</f>
        <v>-5930.9266203246116</v>
      </c>
      <c r="AI31" s="1021">
        <f>(VLOOKUP(YEAR($A31),'NY East Load Projections'!$A$4:$EO$14,((MONTH($A31)-1)*12)+VLOOKUP(AI$4,$DE$6:$DF$17,2)+1))*(VLOOKUP($A31,CURVES!$D$9:$T$261,7))*(INDEX(DailyScalarsTable,AI$5/100,MONTH($A31)))*$C31</f>
        <v>-5434.808004463297</v>
      </c>
      <c r="AJ31" s="1021">
        <f>(VLOOKUP(YEAR($A31),'NY East Load Projections'!$A$4:$EO$14,((MONTH($A31)-1)*12)+VLOOKUP(AJ$4,$DE$6:$DF$17,2)+1))*(VLOOKUP($A31,CURVES!$D$9:$T$261,7))*(INDEX(DailyScalarsTable,AJ$5/100,MONTH($A31)))*$C31</f>
        <v>-5431.5220352949227</v>
      </c>
      <c r="AK31" s="1021">
        <f>(VLOOKUP(YEAR($A31),'NY East Load Projections'!$A$4:$EO$14,((MONTH($A31)-1)*12)+VLOOKUP(AK$4,$DE$6:$DF$17,2)+1))*(VLOOKUP($A31,CURVES!$D$9:$T$261,7))*(INDEX(DailyScalarsTable,AK$5/100,MONTH($A31)))*$C31</f>
        <v>-5677.0071210311362</v>
      </c>
      <c r="AL31" s="1021">
        <f>(VLOOKUP(YEAR($A31),'NY East Load Projections'!$A$4:$EO$14,((MONTH($A31)-1)*12)+VLOOKUP(AL$4,$DE$6:$DF$17,2)+1))*(VLOOKUP($A31,CURVES!$D$9:$T$261,7))*(INDEX(DailyScalarsTable,AL$5/100,MONTH($A31)))*$C31</f>
        <v>-6058.6039375540795</v>
      </c>
      <c r="AM31" s="1021">
        <f>(VLOOKUP(YEAR($A31),'NY East Load Projections'!$A$4:$EO$14,((MONTH($A31)-1)*12)+VLOOKUP(AM$4,$DE$6:$DF$17,2)+1))*(VLOOKUP($A31,CURVES!$D$9:$T$261,7))*(INDEX(DailyScalarsTable,AM$5/100,MONTH($A31)))*$C31</f>
        <v>-11602.1527695025</v>
      </c>
      <c r="AN31" s="1021">
        <f>(VLOOKUP(YEAR($A31),'NY East Load Projections'!$A$4:$EO$14,((MONTH($A31)-1)*12)+VLOOKUP(AN$4,$DE$6:$DF$17,2)+1))*(VLOOKUP($A31,SatSunCurve,3))*(INDEX(DailyScalarsTable,AN$5/100,MONTH($A31)))*$C31</f>
        <v>-10313.415189146961</v>
      </c>
      <c r="AO31" s="1021">
        <f>(VLOOKUP(YEAR($A31),'NY East Load Projections'!$A$4:$EO$14,((MONTH($A31)-1)*12)+VLOOKUP(AO$4,$DE$6:$DF$17,2)+1))*(VLOOKUP($A31,SatSunCurve,3))*(INDEX(DailyScalarsTable,AO$5/100,MONTH($A31)))*$C31</f>
        <v>-11405.800486433529</v>
      </c>
      <c r="AP31" s="1021">
        <f>(VLOOKUP(YEAR($A31),'NY East Load Projections'!$A$4:$EO$14,((MONTH($A31)-1)*12)+VLOOKUP(AP$4,$DE$6:$DF$17,2)+1))*(VLOOKUP($A31,SatSunCurve,3))*(INDEX(DailyScalarsTable,AP$5/100,MONTH($A31)))*$C31</f>
        <v>-11371.085811135439</v>
      </c>
      <c r="AQ31" s="1021">
        <f>(VLOOKUP(YEAR($A31),'NY East Load Projections'!$A$4:$EO$14,((MONTH($A31)-1)*12)+VLOOKUP(AQ$4,$DE$6:$DF$17,2)+1))*(VLOOKUP($A31,SatSunCurve,3))*(INDEX(DailyScalarsTable,AQ$5/100,MONTH($A31)))*$C31</f>
        <v>-11172.645449353251</v>
      </c>
      <c r="AR31" s="1021">
        <f>(VLOOKUP(YEAR($A31),'NY East Load Projections'!$A$4:$EO$14,((MONTH($A31)-1)*12)+VLOOKUP(AR$4,$DE$6:$DF$17,2)+1))*(VLOOKUP($A31,SatSunCurve,3))*(INDEX(DailyScalarsTable,AR$5/100,MONTH($A31)))*$C31</f>
        <v>-8369.368522067618</v>
      </c>
      <c r="AS31" s="1021">
        <f>(VLOOKUP(YEAR($A31),'NY East Load Projections'!$A$4:$EO$14,((MONTH($A31)-1)*12)+VLOOKUP(AS$4,$DE$6:$DF$17,2)+1))*(VLOOKUP($A31,SatSunCurve,3))*(INDEX(DailyScalarsTable,AS$5/100,MONTH($A31)))*$C31</f>
        <v>-7955.7666245461314</v>
      </c>
      <c r="AT31" s="1021">
        <f>(VLOOKUP(YEAR($A31),'NY East Load Projections'!$A$4:$EO$14,((MONTH($A31)-1)*12)+VLOOKUP(AT$4,$DE$6:$DF$17,2)+1))*(VLOOKUP($A31,SatSunCurve,3))*(INDEX(DailyScalarsTable,AT$5/100,MONTH($A31)))*$C31</f>
        <v>-7698.8888065331776</v>
      </c>
      <c r="AU31" s="1021">
        <f>(VLOOKUP(YEAR($A31),'NY East Load Projections'!$A$4:$EO$14,((MONTH($A31)-1)*12)+VLOOKUP(AU$4,$DE$6:$DF$17,2)+1))*(VLOOKUP($A31,SatSunCurve,3))*(INDEX(DailyScalarsTable,AU$5/100,MONTH($A31)))*$C31</f>
        <v>-7307.0570623902295</v>
      </c>
      <c r="AV31" s="1021">
        <f>(VLOOKUP(YEAR($A31),'NY East Load Projections'!$A$4:$EO$14,((MONTH($A31)-1)*12)+VLOOKUP(AV$4,$DE$6:$DF$17,2)+1))*(VLOOKUP($A31,SatSunCurve,3))*(INDEX(DailyScalarsTable,AV$5/100,MONTH($A31)))*$C31</f>
        <v>-7160.0038187451319</v>
      </c>
      <c r="AW31" s="1021">
        <f>(VLOOKUP(YEAR($A31),'NY East Load Projections'!$A$4:$EO$14,((MONTH($A31)-1)*12)+VLOOKUP(AW$4,$DE$6:$DF$17,2)+1))*(VLOOKUP($A31,SatSunCurve,3))*(INDEX(DailyScalarsTable,AW$5/100,MONTH($A31)))*$C31</f>
        <v>-7592.9807279119696</v>
      </c>
      <c r="AX31" s="1021">
        <f>(VLOOKUP(YEAR($A31),'NY East Load Projections'!$A$4:$EO$14,((MONTH($A31)-1)*12)+VLOOKUP(AX$4,$DE$6:$DF$17,2)+1))*(VLOOKUP($A31,SatSunCurve,3))*(INDEX(DailyScalarsTable,AX$5/100,MONTH($A31)))*$C31</f>
        <v>-10565.302810634888</v>
      </c>
      <c r="AY31" s="1021">
        <f>(VLOOKUP(YEAR($A31),'NY East Load Projections'!$A$4:$EO$14,((MONTH($A31)-1)*12)+VLOOKUP(AY$4,$DE$6:$DF$17,2)+1))*(VLOOKUP($A31,SatSunCurve,3))*(INDEX(DailyScalarsTable,AY$5/100,MONTH($A31)))*$C31</f>
        <v>-11592.944426504642</v>
      </c>
      <c r="AZ31" s="1021">
        <f>(VLOOKUP(YEAR($A31),'NY East Load Projections'!$A$4:$EO$14,((MONTH($A31)-1)*12)+VLOOKUP(AZ$4,$DE$6:$DF$17,2)+1))*(VLOOKUP($A31,SatSunCurve,3))*(INDEX(DailyScalarsTable,AZ$5/100,MONTH($A31)))*$C31</f>
        <v>-11096.459448723186</v>
      </c>
      <c r="BA31" s="1021">
        <f>(VLOOKUP(YEAR($A31),'NY East Load Projections'!$A$4:$EO$14,((MONTH($A31)-1)*12)+VLOOKUP(BA$4,$DE$6:$DF$17,2)+1))*(VLOOKUP($A31,SatSunCurve,3))*(INDEX(DailyScalarsTable,BA$5/100,MONTH($A31)))*$C31</f>
        <v>-10303.965152662717</v>
      </c>
      <c r="BB31" s="1021">
        <f>(VLOOKUP(YEAR($A31),'NY East Load Projections'!$A$4:$EO$14,((MONTH($A31)-1)*12)+VLOOKUP(BB$4,$DE$6:$DF$17,2)+1))*(VLOOKUP($A31,SatSunCurve,3))*(INDEX(DailyScalarsTable,BB$5/100,MONTH($A31)))*$C31</f>
        <v>-7328.4186663572918</v>
      </c>
      <c r="BC31" s="1021">
        <f>(VLOOKUP(YEAR($A31),'NY East Load Projections'!$A$4:$EO$14,((MONTH($A31)-1)*12)+VLOOKUP(BC$4,$DE$6:$DF$17,2)+1))*(VLOOKUP($A31,SatSunCurve,3))*(INDEX(DailyScalarsTable,BC$5/100,MONTH($A31)))*$C31</f>
        <v>-5999.2228279066085</v>
      </c>
      <c r="BD31" s="1021">
        <f>(VLOOKUP(YEAR($A31),'NY East Load Projections'!$A$4:$EO$14,((MONTH($A31)-1)*12)+VLOOKUP(BD$4,$DE$6:$DF$17,2)+1))*(VLOOKUP($A31,CURVES!$D$9:$T$261,7))*(INDEX(DailyScalarsTable,BD$5/100,MONTH($A31)))*$C31</f>
        <v>-6946.2423850729447</v>
      </c>
      <c r="BE31" s="1021"/>
      <c r="BF31" s="1021">
        <f>(VLOOKUP(YEAR($A31),'NY East Load Projections'!$A$4:$EO$14,((MONTH($A31)-1)*12)+VLOOKUP(BF$4,$DE$6:$DF$17,2)+1))*(VLOOKUP($A31,CURVES!$D$9:$T$261,7))*(INDEX(DailyScalarsTable,BF$5/100,MONTH($A31)))*$D31</f>
        <v>-6048.7735816818176</v>
      </c>
      <c r="BG31" s="1021">
        <f>(VLOOKUP(YEAR($A31),'NY East Load Projections'!$A$4:$EO$14,((MONTH($A31)-1)*12)+VLOOKUP(BG$4,$DE$6:$DF$17,2)+1))*(VLOOKUP($A31,CURVES!$D$9:$T$261,7))*(INDEX(DailyScalarsTable,BG$5/100,MONTH($A31)))*$D31</f>
        <v>-5930.9266203246116</v>
      </c>
      <c r="BH31" s="1021">
        <f>(VLOOKUP(YEAR($A31),'NY East Load Projections'!$A$4:$EO$14,((MONTH($A31)-1)*12)+VLOOKUP(BH$4,$DE$6:$DF$17,2)+1))*(VLOOKUP($A31,CURVES!$D$9:$T$261,7))*(INDEX(DailyScalarsTable,BH$5/100,MONTH($A31)))*$D31</f>
        <v>-5434.808004463297</v>
      </c>
      <c r="BI31" s="1021">
        <f>(VLOOKUP(YEAR($A31),'NY East Load Projections'!$A$4:$EO$14,((MONTH($A31)-1)*12)+VLOOKUP(BI$4,$DE$6:$DF$17,2)+1))*(VLOOKUP($A31,CURVES!$D$9:$T$261,7))*(INDEX(DailyScalarsTable,BI$5/100,MONTH($A31)))*$D31</f>
        <v>-5431.5220352949227</v>
      </c>
      <c r="BJ31" s="1021">
        <f>(VLOOKUP(YEAR($A31),'NY East Load Projections'!$A$4:$EO$14,((MONTH($A31)-1)*12)+VLOOKUP(BJ$4,$DE$6:$DF$17,2)+1))*(VLOOKUP($A31,CURVES!$D$9:$T$261,7))*(INDEX(DailyScalarsTable,BJ$5/100,MONTH($A31)))*$D31</f>
        <v>-5677.0071210311362</v>
      </c>
      <c r="BK31" s="1021">
        <f>(VLOOKUP(YEAR($A31),'NY East Load Projections'!$A$4:$EO$14,((MONTH($A31)-1)*12)+VLOOKUP(BK$4,$DE$6:$DF$17,2)+1))*(VLOOKUP($A31,CURVES!$D$9:$T$261,7))*(INDEX(DailyScalarsTable,BK$5/100,MONTH($A31)))*$D31</f>
        <v>-6058.6039375540795</v>
      </c>
      <c r="BL31" s="1021">
        <f>(VLOOKUP(YEAR($A31),'NY East Load Projections'!$A$4:$EO$14,((MONTH($A31)-1)*12)+VLOOKUP(BL$4,$DE$6:$DF$17,2)+1))*(VLOOKUP($A31,CURVES!$D$9:$T$261,7))*(INDEX(DailyScalarsTable,BL$5/100,MONTH($A31)))*$D31</f>
        <v>-11602.1527695025</v>
      </c>
      <c r="BM31" s="1021">
        <f>(VLOOKUP(YEAR($A31),'NY East Load Projections'!$A$4:$EO$14,((MONTH($A31)-1)*12)+VLOOKUP(BM$4,$DE$6:$DF$17,2)+1))*(VLOOKUP($A31,SatSunCurve,7))*(INDEX(DailyScalarsTable,BM$5/100,MONTH($A31)))*$D31</f>
        <v>-9381.2579112772582</v>
      </c>
      <c r="BN31" s="1021">
        <f>(VLOOKUP(YEAR($A31),'NY East Load Projections'!$A$4:$EO$14,((MONTH($A31)-1)*12)+VLOOKUP(BN$4,$DE$6:$DF$17,2)+1))*(VLOOKUP($A31,SatSunCurve,7))*(INDEX(DailyScalarsTable,BN$5/100,MONTH($A31)))*$D31</f>
        <v>-10374.91016170898</v>
      </c>
      <c r="BO31" s="1021">
        <f>(VLOOKUP(YEAR($A31),'NY East Load Projections'!$A$4:$EO$14,((MONTH($A31)-1)*12)+VLOOKUP(BO$4,$DE$6:$DF$17,2)+1))*(VLOOKUP($A31,SatSunCurve,7))*(INDEX(DailyScalarsTable,BO$5/100,MONTH($A31)))*$D31</f>
        <v>-10343.333102480305</v>
      </c>
      <c r="BP31" s="1021">
        <f>(VLOOKUP(YEAR($A31),'NY East Load Projections'!$A$4:$EO$14,((MONTH($A31)-1)*12)+VLOOKUP(BP$4,$DE$6:$DF$17,2)+1))*(VLOOKUP($A31,SatSunCurve,7))*(INDEX(DailyScalarsTable,BP$5/100,MONTH($A31)))*$D31</f>
        <v>-10162.82837347018</v>
      </c>
      <c r="BQ31" s="1021">
        <f>(VLOOKUP(YEAR($A31),'NY East Load Projections'!$A$4:$EO$14,((MONTH($A31)-1)*12)+VLOOKUP(BQ$4,$DE$6:$DF$17,2)+1))*(VLOOKUP($A31,SatSunCurve,7))*(INDEX(DailyScalarsTable,BQ$5/100,MONTH($A31)))*$D31</f>
        <v>-7612.9199901372176</v>
      </c>
      <c r="BR31" s="1021">
        <f>(VLOOKUP(YEAR($A31),'NY East Load Projections'!$A$4:$EO$14,((MONTH($A31)-1)*12)+VLOOKUP(BR$4,$DE$6:$DF$17,2)+1))*(VLOOKUP($A31,SatSunCurve,7))*(INDEX(DailyScalarsTable,BR$5/100,MONTH($A31)))*$D31</f>
        <v>-7236.7006678194402</v>
      </c>
      <c r="BS31" s="1021">
        <f>(VLOOKUP(YEAR($A31),'NY East Load Projections'!$A$4:$EO$14,((MONTH($A31)-1)*12)+VLOOKUP(BS$4,$DE$6:$DF$17,2)+1))*(VLOOKUP($A31,SatSunCurve,7))*(INDEX(DailyScalarsTable,BS$5/100,MONTH($A31)))*$D31</f>
        <v>-7003.0402344644845</v>
      </c>
      <c r="BT31" s="1021">
        <f>(VLOOKUP(YEAR($A31),'NY East Load Projections'!$A$4:$EO$14,((MONTH($A31)-1)*12)+VLOOKUP(BT$4,$DE$6:$DF$17,2)+1))*(VLOOKUP($A31,SatSunCurve,7))*(INDEX(DailyScalarsTable,BT$5/100,MONTH($A31)))*$D31</f>
        <v>-6646.6234140208735</v>
      </c>
      <c r="BU31" s="1021">
        <f>(VLOOKUP(YEAR($A31),'NY East Load Projections'!$A$4:$EO$14,((MONTH($A31)-1)*12)+VLOOKUP(BU$4,$DE$6:$DF$17,2)+1))*(VLOOKUP($A31,SatSunCurve,7))*(INDEX(DailyScalarsTable,BU$5/100,MONTH($A31)))*$D31</f>
        <v>-6512.8612818828906</v>
      </c>
      <c r="BV31" s="1021">
        <f>(VLOOKUP(YEAR($A31),'NY East Load Projections'!$A$4:$EO$14,((MONTH($A31)-1)*12)+VLOOKUP(BV$4,$DE$6:$DF$17,2)+1))*(VLOOKUP($A31,SatSunCurve,7))*(INDEX(DailyScalarsTable,BV$5/100,MONTH($A31)))*$D31</f>
        <v>-6906.7044444073836</v>
      </c>
      <c r="BW31" s="1021">
        <f>(VLOOKUP(YEAR($A31),'NY East Load Projections'!$A$4:$EO$14,((MONTH($A31)-1)*12)+VLOOKUP(BW$4,$DE$6:$DF$17,2)+1))*(VLOOKUP($A31,SatSunCurve,7))*(INDEX(DailyScalarsTable,BW$5/100,MONTH($A31)))*$D31</f>
        <v>-9610.3791769781783</v>
      </c>
      <c r="BX31" s="1021">
        <f>(VLOOKUP(YEAR($A31),'NY East Load Projections'!$A$4:$EO$14,((MONTH($A31)-1)*12)+VLOOKUP(BX$4,$DE$6:$DF$17,2)+1))*(VLOOKUP($A31,SatSunCurve,7))*(INDEX(DailyScalarsTable,BX$5/100,MONTH($A31)))*$D31</f>
        <v>-10545.13947335225</v>
      </c>
      <c r="BY31" s="1021">
        <f>(VLOOKUP(YEAR($A31),'NY East Load Projections'!$A$4:$EO$14,((MONTH($A31)-1)*12)+VLOOKUP(BY$4,$DE$6:$DF$17,2)+1))*(VLOOKUP($A31,SatSunCurve,7))*(INDEX(DailyScalarsTable,BY$5/100,MONTH($A31)))*$D31</f>
        <v>-10093.52829119564</v>
      </c>
      <c r="BZ31" s="1021">
        <f>(VLOOKUP(YEAR($A31),'NY East Load Projections'!$A$4:$EO$14,((MONTH($A31)-1)*12)+VLOOKUP(BZ$4,$DE$6:$DF$17,2)+1))*(VLOOKUP($A31,SatSunCurve,7))*(INDEX(DailyScalarsTable,BZ$5/100,MONTH($A31)))*$D31</f>
        <v>-9372.6619973240449</v>
      </c>
      <c r="CA31" s="1021">
        <f>(VLOOKUP(YEAR($A31),'NY East Load Projections'!$A$4:$EO$14,((MONTH($A31)-1)*12)+VLOOKUP(CA$4,$DE$6:$DF$17,2)+1))*(VLOOKUP($A31,SatSunCurve,7))*(INDEX(DailyScalarsTable,CA$5/100,MONTH($A31)))*$D31</f>
        <v>-6666.0542923999828</v>
      </c>
      <c r="CB31" s="1021">
        <f>(VLOOKUP(YEAR($A31),'NY East Load Projections'!$A$4:$EO$14,((MONTH($A31)-1)*12)+VLOOKUP(CB$4,$DE$6:$DF$17,2)+1))*(VLOOKUP($A31,SatSunCurve,7))*(INDEX(DailyScalarsTable,CB$5/100,MONTH($A31)))*$D31</f>
        <v>-5456.9951450261569</v>
      </c>
      <c r="CC31" s="1021">
        <f>(VLOOKUP(YEAR($A31),'NY East Load Projections'!$A$4:$EO$14,((MONTH($A31)-1)*12)+VLOOKUP(CC$4,$DE$6:$DF$17,2)+1))*(VLOOKUP($A31,CURVES!$D$9:$T$261,7))*(INDEX(DailyScalarsTable,CC$5/100,MONTH($A31)))*$D31</f>
        <v>-6946.2423850729447</v>
      </c>
      <c r="CE31" s="1021">
        <f>(VLOOKUP(YEAR($A31),'NY East Load Projections'!$A$4:$EO$14,((MONTH($A31)-1)*12)+VLOOKUP(CE$4,$DE$6:$DF$17,2)+1))*(VLOOKUP($A31,CURVES!$D$9:$T$261,7))*(INDEX(DailyScalarsTable,CE$5/100,MONTH($A31)))*$E31</f>
        <v>0</v>
      </c>
      <c r="CF31" s="1021">
        <f>(VLOOKUP(YEAR($A31),'NY East Load Projections'!$A$4:$EO$14,((MONTH($A31)-1)*12)+VLOOKUP(CF$4,$DE$6:$DF$17,2)+1))*(VLOOKUP($A31,CURVES!$D$9:$T$261,7))*(INDEX(DailyScalarsTable,CF$5/100,MONTH($A31)))*$E31</f>
        <v>0</v>
      </c>
      <c r="CG31" s="1021">
        <f>(VLOOKUP(YEAR($A31),'NY East Load Projections'!$A$4:$EO$14,((MONTH($A31)-1)*12)+VLOOKUP(CG$4,$DE$6:$DF$17,2)+1))*(VLOOKUP($A31,CURVES!$D$9:$T$261,7))*(INDEX(DailyScalarsTable,CG$5/100,MONTH($A31)))*$E31</f>
        <v>0</v>
      </c>
      <c r="CH31" s="1021">
        <f>(VLOOKUP(YEAR($A31),'NY East Load Projections'!$A$4:$EO$14,((MONTH($A31)-1)*12)+VLOOKUP(CH$4,$DE$6:$DF$17,2)+1))*(VLOOKUP($A31,CURVES!$D$9:$T$261,7))*(INDEX(DailyScalarsTable,CH$5/100,MONTH($A31)))*$E31</f>
        <v>0</v>
      </c>
      <c r="CI31" s="1021">
        <f>(VLOOKUP(YEAR($A31),'NY East Load Projections'!$A$4:$EO$14,((MONTH($A31)-1)*12)+VLOOKUP(CI$4,$DE$6:$DF$17,2)+1))*(VLOOKUP($A31,CURVES!$D$9:$T$261,7))*(INDEX(DailyScalarsTable,CI$5/100,MONTH($A31)))*$E31</f>
        <v>0</v>
      </c>
      <c r="CJ31" s="1021">
        <f>(VLOOKUP(YEAR($A31),'NY East Load Projections'!$A$4:$EO$14,((MONTH($A31)-1)*12)+VLOOKUP(CJ$4,$DE$6:$DF$17,2)+1))*(VLOOKUP($A31,CURVES!$D$9:$T$261,7))*(INDEX(DailyScalarsTable,CJ$5/100,MONTH($A31)))*$E31</f>
        <v>0</v>
      </c>
      <c r="CK31" s="1021">
        <f>(VLOOKUP(YEAR($A31),'NY East Load Projections'!$A$4:$EO$14,((MONTH($A31)-1)*12)+VLOOKUP(CK$4,$DE$6:$DF$17,2)+1))*(VLOOKUP($A31,CURVES!$D$9:$T$261,7))*(INDEX(DailyScalarsTable,CK$5/100,MONTH($A31)))*$E31</f>
        <v>0</v>
      </c>
      <c r="CL31" s="1021">
        <f>(VLOOKUP(YEAR($A31),'NY East Load Projections'!$A$4:$EO$14,((MONTH($A31)-1)*12)+VLOOKUP(CL$4,$DE$6:$DF$17,2)+1))*(VLOOKUP($A31,SatSunCurve,7))*(INDEX(DailyScalarsTable,CL$5/100,MONTH($A31)))*$E31</f>
        <v>0</v>
      </c>
      <c r="CM31" s="1021">
        <f>(VLOOKUP(YEAR($A31),'NY East Load Projections'!$A$4:$EO$14,((MONTH($A31)-1)*12)+VLOOKUP(CM$4,$DE$6:$DF$17,2)+1))*(VLOOKUP($A31,SatSunCurve,7))*(INDEX(DailyScalarsTable,CM$5/100,MONTH($A31)))*$E31</f>
        <v>0</v>
      </c>
      <c r="CN31" s="1021">
        <f>(VLOOKUP(YEAR($A31),'NY East Load Projections'!$A$4:$EO$14,((MONTH($A31)-1)*12)+VLOOKUP(CN$4,$DE$6:$DF$17,2)+1))*(VLOOKUP($A31,SatSunCurve,7))*(INDEX(DailyScalarsTable,CN$5/100,MONTH($A31)))*$E31</f>
        <v>0</v>
      </c>
      <c r="CO31" s="1021">
        <f>(VLOOKUP(YEAR($A31),'NY East Load Projections'!$A$4:$EO$14,((MONTH($A31)-1)*12)+VLOOKUP(CO$4,$DE$6:$DF$17,2)+1))*(VLOOKUP($A31,SatSunCurve,7))*(INDEX(DailyScalarsTable,CO$5/100,MONTH($A31)))*$E31</f>
        <v>0</v>
      </c>
      <c r="CP31" s="1021">
        <f>(VLOOKUP(YEAR($A31),'NY East Load Projections'!$A$4:$EO$14,((MONTH($A31)-1)*12)+VLOOKUP(CP$4,$DE$6:$DF$17,2)+1))*(VLOOKUP($A31,SatSunCurve,7))*(INDEX(DailyScalarsTable,CP$5/100,MONTH($A31)))*$E31</f>
        <v>0</v>
      </c>
      <c r="CQ31" s="1021">
        <f>(VLOOKUP(YEAR($A31),'NY East Load Projections'!$A$4:$EO$14,((MONTH($A31)-1)*12)+VLOOKUP(CQ$4,$DE$6:$DF$17,2)+1))*(VLOOKUP($A31,SatSunCurve,7))*(INDEX(DailyScalarsTable,CQ$5/100,MONTH($A31)))*$E31</f>
        <v>0</v>
      </c>
      <c r="CR31" s="1021">
        <f>(VLOOKUP(YEAR($A31),'NY East Load Projections'!$A$4:$EO$14,((MONTH($A31)-1)*12)+VLOOKUP(CR$4,$DE$6:$DF$17,2)+1))*(VLOOKUP($A31,SatSunCurve,7))*(INDEX(DailyScalarsTable,CR$5/100,MONTH($A31)))*$E31</f>
        <v>0</v>
      </c>
      <c r="CS31" s="1021">
        <f>(VLOOKUP(YEAR($A31),'NY East Load Projections'!$A$4:$EO$14,((MONTH($A31)-1)*12)+VLOOKUP(CS$4,$DE$6:$DF$17,2)+1))*(VLOOKUP($A31,SatSunCurve,7))*(INDEX(DailyScalarsTable,CS$5/100,MONTH($A31)))*$E31</f>
        <v>0</v>
      </c>
      <c r="CT31" s="1021">
        <f>(VLOOKUP(YEAR($A31),'NY East Load Projections'!$A$4:$EO$14,((MONTH($A31)-1)*12)+VLOOKUP(CT$4,$DE$6:$DF$17,2)+1))*(VLOOKUP($A31,SatSunCurve,7))*(INDEX(DailyScalarsTable,CT$5/100,MONTH($A31)))*$E31</f>
        <v>0</v>
      </c>
      <c r="CU31" s="1021">
        <f>(VLOOKUP(YEAR($A31),'NY East Load Projections'!$A$4:$EO$14,((MONTH($A31)-1)*12)+VLOOKUP(CU$4,$DE$6:$DF$17,2)+1))*(VLOOKUP($A31,SatSunCurve,7))*(INDEX(DailyScalarsTable,CU$5/100,MONTH($A31)))*$E31</f>
        <v>0</v>
      </c>
      <c r="CV31" s="1021">
        <f>(VLOOKUP(YEAR($A31),'NY East Load Projections'!$A$4:$EO$14,((MONTH($A31)-1)*12)+VLOOKUP(CV$4,$DE$6:$DF$17,2)+1))*(VLOOKUP($A31,SatSunCurve,7))*(INDEX(DailyScalarsTable,CV$5/100,MONTH($A31)))*$E31</f>
        <v>0</v>
      </c>
      <c r="CW31" s="1021">
        <f>(VLOOKUP(YEAR($A31),'NY East Load Projections'!$A$4:$EO$14,((MONTH($A31)-1)*12)+VLOOKUP(CW$4,$DE$6:$DF$17,2)+1))*(VLOOKUP($A31,SatSunCurve,7))*(INDEX(DailyScalarsTable,CW$5/100,MONTH($A31)))*$E31</f>
        <v>0</v>
      </c>
      <c r="CX31" s="1021">
        <f>(VLOOKUP(YEAR($A31),'NY East Load Projections'!$A$4:$EO$14,((MONTH($A31)-1)*12)+VLOOKUP(CX$4,$DE$6:$DF$17,2)+1))*(VLOOKUP($A31,SatSunCurve,7))*(INDEX(DailyScalarsTable,CX$5/100,MONTH($A31)))*$E31</f>
        <v>0</v>
      </c>
      <c r="CY31" s="1021">
        <f>(VLOOKUP(YEAR($A31),'NY East Load Projections'!$A$4:$EO$14,((MONTH($A31)-1)*12)+VLOOKUP(CY$4,$DE$6:$DF$17,2)+1))*(VLOOKUP($A31,SatSunCurve,7))*(INDEX(DailyScalarsTable,CY$5/100,MONTH($A31)))*$E31</f>
        <v>0</v>
      </c>
      <c r="CZ31" s="1021">
        <f>(VLOOKUP(YEAR($A31),'NY East Load Projections'!$A$4:$EO$14,((MONTH($A31)-1)*12)+VLOOKUP(CZ$4,$DE$6:$DF$17,2)+1))*(VLOOKUP($A31,SatSunCurve,7))*(INDEX(DailyScalarsTable,CZ$5/100,MONTH($A31)))*$E31</f>
        <v>0</v>
      </c>
      <c r="DA31" s="1021">
        <f>(VLOOKUP(YEAR($A31),'NY East Load Projections'!$A$4:$EO$14,((MONTH($A31)-1)*12)+VLOOKUP(DA$4,$DE$6:$DF$17,2)+1))*(VLOOKUP($A31,SatSunCurve,7))*(INDEX(DailyScalarsTable,DA$5/100,MONTH($A31)))*$E31</f>
        <v>0</v>
      </c>
      <c r="DB31" s="1021">
        <f>(VLOOKUP(YEAR($A31),'NY East Load Projections'!$A$4:$EO$14,((MONTH($A31)-1)*12)+VLOOKUP(DB$4,$DE$6:$DF$17,2)+1))*(VLOOKUP($A31,CURVES!$D$9:$T$261,7))*(INDEX(DailyScalarsTable,DB$5/100,MONTH($A31)))*$E31</f>
        <v>0</v>
      </c>
      <c r="DH31" s="1032">
        <f t="shared" si="0"/>
        <v>-1582701.9492905673</v>
      </c>
      <c r="DI31">
        <f ca="1">CALC!J51</f>
        <v>0.80634639570016642</v>
      </c>
      <c r="DJ31" s="1029">
        <f t="shared" ca="1" si="1"/>
        <v>-1276206.0122780765</v>
      </c>
    </row>
    <row r="32" spans="1:114" x14ac:dyDescent="0.25">
      <c r="A32" s="244">
        <v>37681</v>
      </c>
      <c r="B32" s="13">
        <v>21</v>
      </c>
      <c r="C32" s="210">
        <v>5</v>
      </c>
      <c r="D32" s="210">
        <v>5</v>
      </c>
      <c r="E32" s="210">
        <v>0</v>
      </c>
      <c r="F32" s="13">
        <v>31</v>
      </c>
      <c r="H32" s="1021">
        <f>(VLOOKUP(YEAR($A32),'NY East Load Projections'!$A$4:$EO$14,((MONTH($A32)-1)*12)+VLOOKUP(H$4,$DE$6:$DF$17,2)+1))*(VLOOKUP($A32,CURVES!$D$9:$K$261,7))*(INDEX(DailyScalarsTable,H$5/100,MONTH($A32)))*$B32</f>
        <v>-25404.425534580005</v>
      </c>
      <c r="I32" s="1021">
        <f>(VLOOKUP(YEAR($A32),'NY East Load Projections'!$A$4:$EO$14,((MONTH($A32)-1)*12)+VLOOKUP(I$4,$DE$6:$DF$17,2)+1))*(VLOOKUP($A32,CURVES!$D$9:$K$261,7))*(INDEX(DailyScalarsTable,I$5/100,MONTH($A32)))*$B32</f>
        <v>-24021.01118827716</v>
      </c>
      <c r="J32" s="1021">
        <f>(VLOOKUP(YEAR($A32),'NY East Load Projections'!$A$4:$EO$14,((MONTH($A32)-1)*12)+VLOOKUP(J$4,$DE$6:$DF$17,2)+1))*(VLOOKUP($A32,CURVES!$D$9:$K$261,7))*(INDEX(DailyScalarsTable,J$5/100,MONTH($A32)))*$B32</f>
        <v>-22997.272285917592</v>
      </c>
      <c r="K32" s="1021">
        <f>(VLOOKUP(YEAR($A32),'NY East Load Projections'!$A$4:$EO$14,((MONTH($A32)-1)*12)+VLOOKUP(K$4,$DE$6:$DF$17,2)+1))*(VLOOKUP($A32,CURVES!$D$9:$K$261,7))*(INDEX(DailyScalarsTable,K$5/100,MONTH($A32)))*$B32</f>
        <v>-23011.708448057092</v>
      </c>
      <c r="L32" s="1021">
        <f>(VLOOKUP(YEAR($A32),'NY East Load Projections'!$A$4:$EO$14,((MONTH($A32)-1)*12)+VLOOKUP(L$4,$DE$6:$DF$17,2)+1))*(VLOOKUP($A32,CURVES!$D$9:$K$261,7))*(INDEX(DailyScalarsTable,L$5/100,MONTH($A32)))*$B32</f>
        <v>-26512.585662213078</v>
      </c>
      <c r="M32" s="1021">
        <f>(VLOOKUP(YEAR($A32),'NY East Load Projections'!$A$4:$EO$14,((MONTH($A32)-1)*12)+VLOOKUP(M$4,$DE$6:$DF$17,2)+1))*(VLOOKUP($A32,CURVES!$D$9:$K$261,7))*(INDEX(DailyScalarsTable,M$5/100,MONTH($A32)))*$B32</f>
        <v>-30775.101706873502</v>
      </c>
      <c r="N32" s="1021">
        <f>(VLOOKUP(YEAR($A32),'NY East Load Projections'!$A$4:$EO$14,((MONTH($A32)-1)*12)+VLOOKUP(N$4,$DE$6:$DF$17,2)+1))*(VLOOKUP($A32,CURVES!$D$9:$K$261,7))*(INDEX(DailyScalarsTable,N$5/100,MONTH($A32)))*$B32</f>
        <v>-55530.185754133905</v>
      </c>
      <c r="O32" s="1021">
        <f>(VLOOKUP(YEAR($A32),'NY East Load Projections'!$A$4:$EO$14,((MONTH($A32)-1)*12)+VLOOKUP(O$4,$DE$6:$DF$17,2)+1))*(VLOOKUP($A32,CURVES!$D$9:$K$261,3))*(INDEX(DailyScalarsTable,O$5/100,MONTH($A32)))*$B32</f>
        <v>-58952.568080079684</v>
      </c>
      <c r="P32" s="1021">
        <f>(VLOOKUP(YEAR($A32),'NY East Load Projections'!$A$4:$EO$14,((MONTH($A32)-1)*12)+VLOOKUP(P$4,$DE$6:$DF$17,2)+1))*(VLOOKUP($A32,CURVES!$D$9:$K$261,3))*(INDEX(DailyScalarsTable,P$5/100,MONTH($A32)))*$B32</f>
        <v>-65086.427887090445</v>
      </c>
      <c r="Q32" s="1021">
        <f>(VLOOKUP(YEAR($A32),'NY East Load Projections'!$A$4:$EO$14,((MONTH($A32)-1)*12)+VLOOKUP(Q$4,$DE$6:$DF$17,2)+1))*(VLOOKUP($A32,CURVES!$D$9:$K$261,3))*(INDEX(DailyScalarsTable,Q$5/100,MONTH($A32)))*$B32</f>
        <v>-64889.494671093191</v>
      </c>
      <c r="R32" s="1021">
        <f>(VLOOKUP(YEAR($A32),'NY East Load Projections'!$A$4:$EO$14,((MONTH($A32)-1)*12)+VLOOKUP(R$4,$DE$6:$DF$17,2)+1))*(VLOOKUP($A32,CURVES!$D$9:$K$261,3))*(INDEX(DailyScalarsTable,R$5/100,MONTH($A32)))*$B32</f>
        <v>-63746.187944886951</v>
      </c>
      <c r="S32" s="1021">
        <f>(VLOOKUP(YEAR($A32),'NY East Load Projections'!$A$4:$EO$14,((MONTH($A32)-1)*12)+VLOOKUP(S$4,$DE$6:$DF$17,2)+1))*(VLOOKUP($A32,CURVES!$D$9:$K$261,3))*(INDEX(DailyScalarsTable,S$5/100,MONTH($A32)))*$B32</f>
        <v>-48708.148756652656</v>
      </c>
      <c r="T32" s="1021">
        <f>(VLOOKUP(YEAR($A32),'NY East Load Projections'!$A$4:$EO$14,((MONTH($A32)-1)*12)+VLOOKUP(T$4,$DE$6:$DF$17,2)+1))*(VLOOKUP($A32,CURVES!$D$9:$K$261,3))*(INDEX(DailyScalarsTable,T$5/100,MONTH($A32)))*$B32</f>
        <v>-47903.525814506414</v>
      </c>
      <c r="U32" s="1021">
        <f>(VLOOKUP(YEAR($A32),'NY East Load Projections'!$A$4:$EO$14,((MONTH($A32)-1)*12)+VLOOKUP(U$4,$DE$6:$DF$17,2)+1))*(VLOOKUP($A32,CURVES!$D$9:$K$261,3))*(INDEX(DailyScalarsTable,U$5/100,MONTH($A32)))*$B32</f>
        <v>-46374.689884256208</v>
      </c>
      <c r="V32" s="1021">
        <f>(VLOOKUP(YEAR($A32),'NY East Load Projections'!$A$4:$EO$14,((MONTH($A32)-1)*12)+VLOOKUP(V$4,$DE$6:$DF$17,2)+1))*(VLOOKUP($A32,CURVES!$D$9:$K$261,3))*(INDEX(DailyScalarsTable,V$5/100,MONTH($A32)))*$B32</f>
        <v>-44042.66116456296</v>
      </c>
      <c r="W32" s="1021">
        <f>(VLOOKUP(YEAR($A32),'NY East Load Projections'!$A$4:$EO$14,((MONTH($A32)-1)*12)+VLOOKUP(W$4,$DE$6:$DF$17,2)+1))*(VLOOKUP($A32,CURVES!$D$9:$K$261,3))*(INDEX(DailyScalarsTable,W$5/100,MONTH($A32)))*$B32</f>
        <v>-43167.457987100883</v>
      </c>
      <c r="X32" s="1021">
        <f>(VLOOKUP(YEAR($A32),'NY East Load Projections'!$A$4:$EO$14,((MONTH($A32)-1)*12)+VLOOKUP(X$4,$DE$6:$DF$17,2)+1))*(VLOOKUP($A32,CURVES!$D$9:$K$261,3))*(INDEX(DailyScalarsTable,X$5/100,MONTH($A32)))*$B32</f>
        <v>-45330.767733950001</v>
      </c>
      <c r="Y32" s="1021">
        <f>(VLOOKUP(YEAR($A32),'NY East Load Projections'!$A$4:$EO$14,((MONTH($A32)-1)*12)+VLOOKUP(Y$4,$DE$6:$DF$17,2)+1))*(VLOOKUP($A32,CURVES!$D$9:$K$261,3))*(INDEX(DailyScalarsTable,Y$5/100,MONTH($A32)))*$B32</f>
        <v>-61801.586942366157</v>
      </c>
      <c r="Z32" s="1021">
        <f>(VLOOKUP(YEAR($A32),'NY East Load Projections'!$A$4:$EO$14,((MONTH($A32)-1)*12)+VLOOKUP(Z$4,$DE$6:$DF$17,2)+1))*(VLOOKUP($A32,CURVES!$D$9:$K$261,3))*(INDEX(DailyScalarsTable,Z$5/100,MONTH($A32)))*$B32</f>
        <v>-67862.763042385835</v>
      </c>
      <c r="AA32" s="1021">
        <f>(VLOOKUP(YEAR($A32),'NY East Load Projections'!$A$4:$EO$14,((MONTH($A32)-1)*12)+VLOOKUP(AA$4,$DE$6:$DF$17,2)+1))*(VLOOKUP($A32,CURVES!$D$9:$K$261,3))*(INDEX(DailyScalarsTable,AA$5/100,MONTH($A32)))*$B32</f>
        <v>-64933.55029686576</v>
      </c>
      <c r="AB32" s="1021">
        <f>(VLOOKUP(YEAR($A32),'NY East Load Projections'!$A$4:$EO$14,((MONTH($A32)-1)*12)+VLOOKUP(AB$4,$DE$6:$DF$17,2)+1))*(VLOOKUP($A32,CURVES!$D$9:$K$261,3))*(INDEX(DailyScalarsTable,AB$5/100,MONTH($A32)))*$B32</f>
        <v>-58307.639637255656</v>
      </c>
      <c r="AC32" s="1021">
        <f>(VLOOKUP(YEAR($A32),'NY East Load Projections'!$A$4:$EO$14,((MONTH($A32)-1)*12)+VLOOKUP(AC$4,$DE$6:$DF$17,2)+1))*(VLOOKUP($A32,CURVES!$D$9:$K$261,3))*(INDEX(DailyScalarsTable,AC$5/100,MONTH($A32)))*$B32</f>
        <v>-42339.361067485879</v>
      </c>
      <c r="AD32" s="1021">
        <f>(VLOOKUP(YEAR($A32),'NY East Load Projections'!$A$4:$EO$14,((MONTH($A32)-1)*12)+VLOOKUP(AD$4,$DE$6:$DF$17,2)+1))*(VLOOKUP($A32,CURVES!$D$9:$K$261,3))*(INDEX(DailyScalarsTable,AD$5/100,MONTH($A32)))*$B32</f>
        <v>-34752.391976619496</v>
      </c>
      <c r="AE32" s="1021">
        <f>(VLOOKUP(YEAR($A32),'NY East Load Projections'!$A$4:$EO$14,((MONTH($A32)-1)*12)+VLOOKUP(AE$4,$DE$6:$DF$17,2)+1))*(VLOOKUP($A32,CURVES!$D$9:$K$261,7))*(INDEX(DailyScalarsTable,AE$5/100,MONTH($A32)))*$B32</f>
        <v>-31699.944492092625</v>
      </c>
      <c r="AF32" s="1021"/>
      <c r="AG32" s="1021">
        <f>(VLOOKUP(YEAR($A32),'NY East Load Projections'!$A$4:$EO$14,((MONTH($A32)-1)*12)+VLOOKUP(AG$4,$DE$6:$DF$17,2)+1))*(VLOOKUP($A32,CURVES!$D$9:$T$261,7))*(INDEX(DailyScalarsTable,AG$5/100,MONTH($A32)))*$C32</f>
        <v>-6611.4575827689168</v>
      </c>
      <c r="AH32" s="1021">
        <f>(VLOOKUP(YEAR($A32),'NY East Load Projections'!$A$4:$EO$14,((MONTH($A32)-1)*12)+VLOOKUP(AH$4,$DE$6:$DF$17,2)+1))*(VLOOKUP($A32,CURVES!$D$9:$T$261,7))*(INDEX(DailyScalarsTable,AH$5/100,MONTH($A32)))*$C32</f>
        <v>-6251.4264040467142</v>
      </c>
      <c r="AI32" s="1021">
        <f>(VLOOKUP(YEAR($A32),'NY East Load Projections'!$A$4:$EO$14,((MONTH($A32)-1)*12)+VLOOKUP(AI$4,$DE$6:$DF$17,2)+1))*(VLOOKUP($A32,CURVES!$D$9:$T$261,7))*(INDEX(DailyScalarsTable,AI$5/100,MONTH($A32)))*$C32</f>
        <v>-5985.0001343572985</v>
      </c>
      <c r="AJ32" s="1021">
        <f>(VLOOKUP(YEAR($A32),'NY East Load Projections'!$A$4:$EO$14,((MONTH($A32)-1)*12)+VLOOKUP(AJ$4,$DE$6:$DF$17,2)+1))*(VLOOKUP($A32,CURVES!$D$9:$T$261,7))*(INDEX(DailyScalarsTable,AJ$5/100,MONTH($A32)))*$C32</f>
        <v>-5988.7571204585329</v>
      </c>
      <c r="AK32" s="1021">
        <f>(VLOOKUP(YEAR($A32),'NY East Load Projections'!$A$4:$EO$14,((MONTH($A32)-1)*12)+VLOOKUP(AK$4,$DE$6:$DF$17,2)+1))*(VLOOKUP($A32,CURVES!$D$9:$T$261,7))*(INDEX(DailyScalarsTable,AK$5/100,MONTH($A32)))*$C32</f>
        <v>-6533.5775518460368</v>
      </c>
      <c r="AL32" s="1021">
        <f>(VLOOKUP(YEAR($A32),'NY East Load Projections'!$A$4:$EO$14,((MONTH($A32)-1)*12)+VLOOKUP(AL$4,$DE$6:$DF$17,2)+1))*(VLOOKUP($A32,CURVES!$D$9:$T$261,7))*(INDEX(DailyScalarsTable,AL$5/100,MONTH($A32)))*$C32</f>
        <v>-7584.0024141584745</v>
      </c>
      <c r="AM32" s="1021">
        <f>(VLOOKUP(YEAR($A32),'NY East Load Projections'!$A$4:$EO$14,((MONTH($A32)-1)*12)+VLOOKUP(AM$4,$DE$6:$DF$17,2)+1))*(VLOOKUP($A32,CURVES!$D$9:$T$261,7))*(INDEX(DailyScalarsTable,AM$5/100,MONTH($A32)))*$C32</f>
        <v>-13684.473469147297</v>
      </c>
      <c r="AN32" s="1021">
        <f>(VLOOKUP(YEAR($A32),'NY East Load Projections'!$A$4:$EO$14,((MONTH($A32)-1)*12)+VLOOKUP(AN$4,$DE$6:$DF$17,2)+1))*(VLOOKUP($A32,SatSunCurve,3))*(INDEX(DailyScalarsTable,AN$5/100,MONTH($A32)))*$C32</f>
        <v>-9200.1324900135551</v>
      </c>
      <c r="AO32" s="1021">
        <f>(VLOOKUP(YEAR($A32),'NY East Load Projections'!$A$4:$EO$14,((MONTH($A32)-1)*12)+VLOOKUP(AO$4,$DE$6:$DF$17,2)+1))*(VLOOKUP($A32,SatSunCurve,3))*(INDEX(DailyScalarsTable,AO$5/100,MONTH($A32)))*$C32</f>
        <v>-10130.190061243331</v>
      </c>
      <c r="AP32" s="1021">
        <f>(VLOOKUP(YEAR($A32),'NY East Load Projections'!$A$4:$EO$14,((MONTH($A32)-1)*12)+VLOOKUP(AP$4,$DE$6:$DF$17,2)+1))*(VLOOKUP($A32,SatSunCurve,3))*(INDEX(DailyScalarsTable,AP$5/100,MONTH($A32)))*$C32</f>
        <v>-10099.538956670733</v>
      </c>
      <c r="AQ32" s="1021">
        <f>(VLOOKUP(YEAR($A32),'NY East Load Projections'!$A$4:$EO$14,((MONTH($A32)-1)*12)+VLOOKUP(AQ$4,$DE$6:$DF$17,2)+1))*(VLOOKUP($A32,SatSunCurve,3))*(INDEX(DailyScalarsTable,AQ$5/100,MONTH($A32)))*$C32</f>
        <v>-9921.5922662353769</v>
      </c>
      <c r="AR32" s="1021">
        <f>(VLOOKUP(YEAR($A32),'NY East Load Projections'!$A$4:$EO$14,((MONTH($A32)-1)*12)+VLOOKUP(AR$4,$DE$6:$DF$17,2)+1))*(VLOOKUP($A32,SatSunCurve,3))*(INDEX(DailyScalarsTable,AR$5/100,MONTH($A32)))*$C32</f>
        <v>-7581.0398642890068</v>
      </c>
      <c r="AS32" s="1021">
        <f>(VLOOKUP(YEAR($A32),'NY East Load Projections'!$A$4:$EO$14,((MONTH($A32)-1)*12)+VLOOKUP(AS$4,$DE$6:$DF$17,2)+1))*(VLOOKUP($A32,SatSunCurve,3))*(INDEX(DailyScalarsTable,AS$5/100,MONTH($A32)))*$C32</f>
        <v>-7264.7566288187536</v>
      </c>
      <c r="AT32" s="1021">
        <f>(VLOOKUP(YEAR($A32),'NY East Load Projections'!$A$4:$EO$14,((MONTH($A32)-1)*12)+VLOOKUP(AT$4,$DE$6:$DF$17,2)+1))*(VLOOKUP($A32,SatSunCurve,3))*(INDEX(DailyScalarsTable,AT$5/100,MONTH($A32)))*$C32</f>
        <v>-7032.9026938564539</v>
      </c>
      <c r="AU32" s="1021">
        <f>(VLOOKUP(YEAR($A32),'NY East Load Projections'!$A$4:$EO$14,((MONTH($A32)-1)*12)+VLOOKUP(AU$4,$DE$6:$DF$17,2)+1))*(VLOOKUP($A32,SatSunCurve,3))*(INDEX(DailyScalarsTable,AU$5/100,MONTH($A32)))*$C32</f>
        <v>-6679.2414379900456</v>
      </c>
      <c r="AV32" s="1021">
        <f>(VLOOKUP(YEAR($A32),'NY East Load Projections'!$A$4:$EO$14,((MONTH($A32)-1)*12)+VLOOKUP(AV$4,$DE$6:$DF$17,2)+1))*(VLOOKUP($A32,SatSunCurve,3))*(INDEX(DailyScalarsTable,AV$5/100,MONTH($A32)))*$C32</f>
        <v>-6546.5134607290183</v>
      </c>
      <c r="AW32" s="1021">
        <f>(VLOOKUP(YEAR($A32),'NY East Load Projections'!$A$4:$EO$14,((MONTH($A32)-1)*12)+VLOOKUP(AW$4,$DE$6:$DF$17,2)+1))*(VLOOKUP($A32,SatSunCurve,3))*(INDEX(DailyScalarsTable,AW$5/100,MONTH($A32)))*$C32</f>
        <v>-6969.6668903688724</v>
      </c>
      <c r="AX32" s="1021">
        <f>(VLOOKUP(YEAR($A32),'NY East Load Projections'!$A$4:$EO$14,((MONTH($A32)-1)*12)+VLOOKUP(AX$4,$DE$6:$DF$17,2)+1))*(VLOOKUP($A32,SatSunCurve,3))*(INDEX(DailyScalarsTable,AX$5/100,MONTH($A32)))*$C32</f>
        <v>-9502.0776354923091</v>
      </c>
      <c r="AY32" s="1021">
        <f>(VLOOKUP(YEAR($A32),'NY East Load Projections'!$A$4:$EO$14,((MONTH($A32)-1)*12)+VLOOKUP(AY$4,$DE$6:$DF$17,2)+1))*(VLOOKUP($A32,SatSunCurve,3))*(INDEX(DailyScalarsTable,AY$5/100,MONTH($A32)))*$C32</f>
        <v>-10433.991664148034</v>
      </c>
      <c r="AZ32" s="1021">
        <f>(VLOOKUP(YEAR($A32),'NY East Load Projections'!$A$4:$EO$14,((MONTH($A32)-1)*12)+VLOOKUP(AZ$4,$DE$6:$DF$17,2)+1))*(VLOOKUP($A32,SatSunCurve,3))*(INDEX(DailyScalarsTable,AZ$5/100,MONTH($A32)))*$C32</f>
        <v>-9983.6212400881814</v>
      </c>
      <c r="BA32" s="1021">
        <f>(VLOOKUP(YEAR($A32),'NY East Load Projections'!$A$4:$EO$14,((MONTH($A32)-1)*12)+VLOOKUP(BA$4,$DE$6:$DF$17,2)+1))*(VLOOKUP($A32,SatSunCurve,3))*(INDEX(DailyScalarsTable,BA$5/100,MONTH($A32)))*$C32</f>
        <v>-9215.6422621294805</v>
      </c>
      <c r="BB32" s="1021">
        <f>(VLOOKUP(YEAR($A32),'NY East Load Projections'!$A$4:$EO$14,((MONTH($A32)-1)*12)+VLOOKUP(BB$4,$DE$6:$DF$17,2)+1))*(VLOOKUP($A32,SatSunCurve,3))*(INDEX(DailyScalarsTable,BB$5/100,MONTH($A32)))*$C32</f>
        <v>-6691.8230206625312</v>
      </c>
      <c r="BC32" s="1021">
        <f>(VLOOKUP(YEAR($A32),'NY East Load Projections'!$A$4:$EO$14,((MONTH($A32)-1)*12)+VLOOKUP(BC$4,$DE$6:$DF$17,2)+1))*(VLOOKUP($A32,SatSunCurve,3))*(INDEX(DailyScalarsTable,BC$5/100,MONTH($A32)))*$C32</f>
        <v>-5492.6869652461537</v>
      </c>
      <c r="BD32" s="1021">
        <f>(VLOOKUP(YEAR($A32),'NY East Load Projections'!$A$4:$EO$14,((MONTH($A32)-1)*12)+VLOOKUP(BD$4,$DE$6:$DF$17,2)+1))*(VLOOKUP($A32,CURVES!$D$9:$T$261,7))*(INDEX(DailyScalarsTable,BD$5/100,MONTH($A32)))*$C32</f>
        <v>-7911.6353274650655</v>
      </c>
      <c r="BE32" s="1021"/>
      <c r="BF32" s="1021">
        <f>(VLOOKUP(YEAR($A32),'NY East Load Projections'!$A$4:$EO$14,((MONTH($A32)-1)*12)+VLOOKUP(BF$4,$DE$6:$DF$17,2)+1))*(VLOOKUP($A32,CURVES!$D$9:$T$261,7))*(INDEX(DailyScalarsTable,BF$5/100,MONTH($A32)))*$D32</f>
        <v>-6611.4575827689168</v>
      </c>
      <c r="BG32" s="1021">
        <f>(VLOOKUP(YEAR($A32),'NY East Load Projections'!$A$4:$EO$14,((MONTH($A32)-1)*12)+VLOOKUP(BG$4,$DE$6:$DF$17,2)+1))*(VLOOKUP($A32,CURVES!$D$9:$T$261,7))*(INDEX(DailyScalarsTable,BG$5/100,MONTH($A32)))*$D32</f>
        <v>-6251.4264040467142</v>
      </c>
      <c r="BH32" s="1021">
        <f>(VLOOKUP(YEAR($A32),'NY East Load Projections'!$A$4:$EO$14,((MONTH($A32)-1)*12)+VLOOKUP(BH$4,$DE$6:$DF$17,2)+1))*(VLOOKUP($A32,CURVES!$D$9:$T$261,7))*(INDEX(DailyScalarsTable,BH$5/100,MONTH($A32)))*$D32</f>
        <v>-5985.0001343572985</v>
      </c>
      <c r="BI32" s="1021">
        <f>(VLOOKUP(YEAR($A32),'NY East Load Projections'!$A$4:$EO$14,((MONTH($A32)-1)*12)+VLOOKUP(BI$4,$DE$6:$DF$17,2)+1))*(VLOOKUP($A32,CURVES!$D$9:$T$261,7))*(INDEX(DailyScalarsTable,BI$5/100,MONTH($A32)))*$D32</f>
        <v>-5988.7571204585329</v>
      </c>
      <c r="BJ32" s="1021">
        <f>(VLOOKUP(YEAR($A32),'NY East Load Projections'!$A$4:$EO$14,((MONTH($A32)-1)*12)+VLOOKUP(BJ$4,$DE$6:$DF$17,2)+1))*(VLOOKUP($A32,CURVES!$D$9:$T$261,7))*(INDEX(DailyScalarsTable,BJ$5/100,MONTH($A32)))*$D32</f>
        <v>-6533.5775518460368</v>
      </c>
      <c r="BK32" s="1021">
        <f>(VLOOKUP(YEAR($A32),'NY East Load Projections'!$A$4:$EO$14,((MONTH($A32)-1)*12)+VLOOKUP(BK$4,$DE$6:$DF$17,2)+1))*(VLOOKUP($A32,CURVES!$D$9:$T$261,7))*(INDEX(DailyScalarsTable,BK$5/100,MONTH($A32)))*$D32</f>
        <v>-7584.0024141584745</v>
      </c>
      <c r="BL32" s="1021">
        <f>(VLOOKUP(YEAR($A32),'NY East Load Projections'!$A$4:$EO$14,((MONTH($A32)-1)*12)+VLOOKUP(BL$4,$DE$6:$DF$17,2)+1))*(VLOOKUP($A32,CURVES!$D$9:$T$261,7))*(INDEX(DailyScalarsTable,BL$5/100,MONTH($A32)))*$D32</f>
        <v>-13684.473469147297</v>
      </c>
      <c r="BM32" s="1021">
        <f>(VLOOKUP(YEAR($A32),'NY East Load Projections'!$A$4:$EO$14,((MONTH($A32)-1)*12)+VLOOKUP(BM$4,$DE$6:$DF$17,2)+1))*(VLOOKUP($A32,SatSunCurve,7))*(INDEX(DailyScalarsTable,BM$5/100,MONTH($A32)))*$D32</f>
        <v>-9036.6385399108294</v>
      </c>
      <c r="BN32" s="1021">
        <f>(VLOOKUP(YEAR($A32),'NY East Load Projections'!$A$4:$EO$14,((MONTH($A32)-1)*12)+VLOOKUP(BN$4,$DE$6:$DF$17,2)+1))*(VLOOKUP($A32,SatSunCurve,7))*(INDEX(DailyScalarsTable,BN$5/100,MONTH($A32)))*$D32</f>
        <v>-9950.1682202316042</v>
      </c>
      <c r="BO32" s="1021">
        <f>(VLOOKUP(YEAR($A32),'NY East Load Projections'!$A$4:$EO$14,((MONTH($A32)-1)*12)+VLOOKUP(BO$4,$DE$6:$DF$17,2)+1))*(VLOOKUP($A32,SatSunCurve,7))*(INDEX(DailyScalarsTable,BO$5/100,MONTH($A32)))*$D32</f>
        <v>-9920.0618110932319</v>
      </c>
      <c r="BP32" s="1021">
        <f>(VLOOKUP(YEAR($A32),'NY East Load Projections'!$A$4:$EO$14,((MONTH($A32)-1)*12)+VLOOKUP(BP$4,$DE$6:$DF$17,2)+1))*(VLOOKUP($A32,SatSunCurve,7))*(INDEX(DailyScalarsTable,BP$5/100,MONTH($A32)))*$D32</f>
        <v>-9745.2773802621341</v>
      </c>
      <c r="BQ32" s="1021">
        <f>(VLOOKUP(YEAR($A32),'NY East Load Projections'!$A$4:$EO$14,((MONTH($A32)-1)*12)+VLOOKUP(BQ$4,$DE$6:$DF$17,2)+1))*(VLOOKUP($A32,SatSunCurve,7))*(INDEX(DailyScalarsTable,BQ$5/100,MONTH($A32)))*$D32</f>
        <v>-7446.3185268904181</v>
      </c>
      <c r="BR32" s="1021">
        <f>(VLOOKUP(YEAR($A32),'NY East Load Projections'!$A$4:$EO$14,((MONTH($A32)-1)*12)+VLOOKUP(BR$4,$DE$6:$DF$17,2)+1))*(VLOOKUP($A32,SatSunCurve,7))*(INDEX(DailyScalarsTable,BR$5/100,MONTH($A32)))*$D32</f>
        <v>-7135.6559056422348</v>
      </c>
      <c r="BS32" s="1021">
        <f>(VLOOKUP(YEAR($A32),'NY East Load Projections'!$A$4:$EO$14,((MONTH($A32)-1)*12)+VLOOKUP(BS$4,$DE$6:$DF$17,2)+1))*(VLOOKUP($A32,SatSunCurve,7))*(INDEX(DailyScalarsTable,BS$5/100,MONTH($A32)))*$D32</f>
        <v>-6907.9222065259946</v>
      </c>
      <c r="BT32" s="1021">
        <f>(VLOOKUP(YEAR($A32),'NY East Load Projections'!$A$4:$EO$14,((MONTH($A32)-1)*12)+VLOOKUP(BT$4,$DE$6:$DF$17,2)+1))*(VLOOKUP($A32,SatSunCurve,7))*(INDEX(DailyScalarsTable,BT$5/100,MONTH($A32)))*$D32</f>
        <v>-6560.5458031639009</v>
      </c>
      <c r="BU32" s="1021">
        <f>(VLOOKUP(YEAR($A32),'NY East Load Projections'!$A$4:$EO$14,((MONTH($A32)-1)*12)+VLOOKUP(BU$4,$DE$6:$DF$17,2)+1))*(VLOOKUP($A32,SatSunCurve,7))*(INDEX(DailyScalarsTable,BU$5/100,MONTH($A32)))*$D32</f>
        <v>-6430.1765116408342</v>
      </c>
      <c r="BV32" s="1021">
        <f>(VLOOKUP(YEAR($A32),'NY East Load Projections'!$A$4:$EO$14,((MONTH($A32)-1)*12)+VLOOKUP(BV$4,$DE$6:$DF$17,2)+1))*(VLOOKUP($A32,SatSunCurve,7))*(INDEX(DailyScalarsTable,BV$5/100,MONTH($A32)))*$D32</f>
        <v>-6845.8101554747318</v>
      </c>
      <c r="BW32" s="1021">
        <f>(VLOOKUP(YEAR($A32),'NY East Load Projections'!$A$4:$EO$14,((MONTH($A32)-1)*12)+VLOOKUP(BW$4,$DE$6:$DF$17,2)+1))*(VLOOKUP($A32,SatSunCurve,7))*(INDEX(DailyScalarsTable,BW$5/100,MONTH($A32)))*$D32</f>
        <v>-9333.217870864386</v>
      </c>
      <c r="BX32" s="1021">
        <f>(VLOOKUP(YEAR($A32),'NY East Load Projections'!$A$4:$EO$14,((MONTH($A32)-1)*12)+VLOOKUP(BX$4,$DE$6:$DF$17,2)+1))*(VLOOKUP($A32,SatSunCurve,7))*(INDEX(DailyScalarsTable,BX$5/100,MONTH($A32)))*$D32</f>
        <v>-10248.571017829934</v>
      </c>
      <c r="BY32" s="1021">
        <f>(VLOOKUP(YEAR($A32),'NY East Load Projections'!$A$4:$EO$14,((MONTH($A32)-1)*12)+VLOOKUP(BY$4,$DE$6:$DF$17,2)+1))*(VLOOKUP($A32,SatSunCurve,7))*(INDEX(DailyScalarsTable,BY$5/100,MONTH($A32)))*$D32</f>
        <v>-9806.2040480376054</v>
      </c>
      <c r="BZ32" s="1021">
        <f>(VLOOKUP(YEAR($A32),'NY East Load Projections'!$A$4:$EO$14,((MONTH($A32)-1)*12)+VLOOKUP(BZ$4,$DE$6:$DF$17,2)+1))*(VLOOKUP($A32,SatSunCurve,7))*(INDEX(DailyScalarsTable,BZ$5/100,MONTH($A32)))*$D32</f>
        <v>-9051.8726905711774</v>
      </c>
      <c r="CA32" s="1021">
        <f>(VLOOKUP(YEAR($A32),'NY East Load Projections'!$A$4:$EO$14,((MONTH($A32)-1)*12)+VLOOKUP(CA$4,$DE$6:$DF$17,2)+1))*(VLOOKUP($A32,SatSunCurve,7))*(INDEX(DailyScalarsTable,CA$5/100,MONTH($A32)))*$D32</f>
        <v>-6572.90380072477</v>
      </c>
      <c r="CB32" s="1021">
        <f>(VLOOKUP(YEAR($A32),'NY East Load Projections'!$A$4:$EO$14,((MONTH($A32)-1)*12)+VLOOKUP(CB$4,$DE$6:$DF$17,2)+1))*(VLOOKUP($A32,SatSunCurve,7))*(INDEX(DailyScalarsTable,CB$5/100,MONTH($A32)))*$D32</f>
        <v>-5395.0773830362668</v>
      </c>
      <c r="CC32" s="1021">
        <f>(VLOOKUP(YEAR($A32),'NY East Load Projections'!$A$4:$EO$14,((MONTH($A32)-1)*12)+VLOOKUP(CC$4,$DE$6:$DF$17,2)+1))*(VLOOKUP($A32,CURVES!$D$9:$T$261,7))*(INDEX(DailyScalarsTable,CC$5/100,MONTH($A32)))*$D32</f>
        <v>-7911.6353274650655</v>
      </c>
      <c r="CE32" s="1021">
        <f>(VLOOKUP(YEAR($A32),'NY East Load Projections'!$A$4:$EO$14,((MONTH($A32)-1)*12)+VLOOKUP(CE$4,$DE$6:$DF$17,2)+1))*(VLOOKUP($A32,CURVES!$D$9:$T$261,7))*(INDEX(DailyScalarsTable,CE$5/100,MONTH($A32)))*$E32</f>
        <v>0</v>
      </c>
      <c r="CF32" s="1021">
        <f>(VLOOKUP(YEAR($A32),'NY East Load Projections'!$A$4:$EO$14,((MONTH($A32)-1)*12)+VLOOKUP(CF$4,$DE$6:$DF$17,2)+1))*(VLOOKUP($A32,CURVES!$D$9:$T$261,7))*(INDEX(DailyScalarsTable,CF$5/100,MONTH($A32)))*$E32</f>
        <v>0</v>
      </c>
      <c r="CG32" s="1021">
        <f>(VLOOKUP(YEAR($A32),'NY East Load Projections'!$A$4:$EO$14,((MONTH($A32)-1)*12)+VLOOKUP(CG$4,$DE$6:$DF$17,2)+1))*(VLOOKUP($A32,CURVES!$D$9:$T$261,7))*(INDEX(DailyScalarsTable,CG$5/100,MONTH($A32)))*$E32</f>
        <v>0</v>
      </c>
      <c r="CH32" s="1021">
        <f>(VLOOKUP(YEAR($A32),'NY East Load Projections'!$A$4:$EO$14,((MONTH($A32)-1)*12)+VLOOKUP(CH$4,$DE$6:$DF$17,2)+1))*(VLOOKUP($A32,CURVES!$D$9:$T$261,7))*(INDEX(DailyScalarsTable,CH$5/100,MONTH($A32)))*$E32</f>
        <v>0</v>
      </c>
      <c r="CI32" s="1021">
        <f>(VLOOKUP(YEAR($A32),'NY East Load Projections'!$A$4:$EO$14,((MONTH($A32)-1)*12)+VLOOKUP(CI$4,$DE$6:$DF$17,2)+1))*(VLOOKUP($A32,CURVES!$D$9:$T$261,7))*(INDEX(DailyScalarsTable,CI$5/100,MONTH($A32)))*$E32</f>
        <v>0</v>
      </c>
      <c r="CJ32" s="1021">
        <f>(VLOOKUP(YEAR($A32),'NY East Load Projections'!$A$4:$EO$14,((MONTH($A32)-1)*12)+VLOOKUP(CJ$4,$DE$6:$DF$17,2)+1))*(VLOOKUP($A32,CURVES!$D$9:$T$261,7))*(INDEX(DailyScalarsTable,CJ$5/100,MONTH($A32)))*$E32</f>
        <v>0</v>
      </c>
      <c r="CK32" s="1021">
        <f>(VLOOKUP(YEAR($A32),'NY East Load Projections'!$A$4:$EO$14,((MONTH($A32)-1)*12)+VLOOKUP(CK$4,$DE$6:$DF$17,2)+1))*(VLOOKUP($A32,CURVES!$D$9:$T$261,7))*(INDEX(DailyScalarsTable,CK$5/100,MONTH($A32)))*$E32</f>
        <v>0</v>
      </c>
      <c r="CL32" s="1021">
        <f>(VLOOKUP(YEAR($A32),'NY East Load Projections'!$A$4:$EO$14,((MONTH($A32)-1)*12)+VLOOKUP(CL$4,$DE$6:$DF$17,2)+1))*(VLOOKUP($A32,SatSunCurve,7))*(INDEX(DailyScalarsTable,CL$5/100,MONTH($A32)))*$E32</f>
        <v>0</v>
      </c>
      <c r="CM32" s="1021">
        <f>(VLOOKUP(YEAR($A32),'NY East Load Projections'!$A$4:$EO$14,((MONTH($A32)-1)*12)+VLOOKUP(CM$4,$DE$6:$DF$17,2)+1))*(VLOOKUP($A32,SatSunCurve,7))*(INDEX(DailyScalarsTable,CM$5/100,MONTH($A32)))*$E32</f>
        <v>0</v>
      </c>
      <c r="CN32" s="1021">
        <f>(VLOOKUP(YEAR($A32),'NY East Load Projections'!$A$4:$EO$14,((MONTH($A32)-1)*12)+VLOOKUP(CN$4,$DE$6:$DF$17,2)+1))*(VLOOKUP($A32,SatSunCurve,7))*(INDEX(DailyScalarsTable,CN$5/100,MONTH($A32)))*$E32</f>
        <v>0</v>
      </c>
      <c r="CO32" s="1021">
        <f>(VLOOKUP(YEAR($A32),'NY East Load Projections'!$A$4:$EO$14,((MONTH($A32)-1)*12)+VLOOKUP(CO$4,$DE$6:$DF$17,2)+1))*(VLOOKUP($A32,SatSunCurve,7))*(INDEX(DailyScalarsTable,CO$5/100,MONTH($A32)))*$E32</f>
        <v>0</v>
      </c>
      <c r="CP32" s="1021">
        <f>(VLOOKUP(YEAR($A32),'NY East Load Projections'!$A$4:$EO$14,((MONTH($A32)-1)*12)+VLOOKUP(CP$4,$DE$6:$DF$17,2)+1))*(VLOOKUP($A32,SatSunCurve,7))*(INDEX(DailyScalarsTable,CP$5/100,MONTH($A32)))*$E32</f>
        <v>0</v>
      </c>
      <c r="CQ32" s="1021">
        <f>(VLOOKUP(YEAR($A32),'NY East Load Projections'!$A$4:$EO$14,((MONTH($A32)-1)*12)+VLOOKUP(CQ$4,$DE$6:$DF$17,2)+1))*(VLOOKUP($A32,SatSunCurve,7))*(INDEX(DailyScalarsTable,CQ$5/100,MONTH($A32)))*$E32</f>
        <v>0</v>
      </c>
      <c r="CR32" s="1021">
        <f>(VLOOKUP(YEAR($A32),'NY East Load Projections'!$A$4:$EO$14,((MONTH($A32)-1)*12)+VLOOKUP(CR$4,$DE$6:$DF$17,2)+1))*(VLOOKUP($A32,SatSunCurve,7))*(INDEX(DailyScalarsTable,CR$5/100,MONTH($A32)))*$E32</f>
        <v>0</v>
      </c>
      <c r="CS32" s="1021">
        <f>(VLOOKUP(YEAR($A32),'NY East Load Projections'!$A$4:$EO$14,((MONTH($A32)-1)*12)+VLOOKUP(CS$4,$DE$6:$DF$17,2)+1))*(VLOOKUP($A32,SatSunCurve,7))*(INDEX(DailyScalarsTable,CS$5/100,MONTH($A32)))*$E32</f>
        <v>0</v>
      </c>
      <c r="CT32" s="1021">
        <f>(VLOOKUP(YEAR($A32),'NY East Load Projections'!$A$4:$EO$14,((MONTH($A32)-1)*12)+VLOOKUP(CT$4,$DE$6:$DF$17,2)+1))*(VLOOKUP($A32,SatSunCurve,7))*(INDEX(DailyScalarsTable,CT$5/100,MONTH($A32)))*$E32</f>
        <v>0</v>
      </c>
      <c r="CU32" s="1021">
        <f>(VLOOKUP(YEAR($A32),'NY East Load Projections'!$A$4:$EO$14,((MONTH($A32)-1)*12)+VLOOKUP(CU$4,$DE$6:$DF$17,2)+1))*(VLOOKUP($A32,SatSunCurve,7))*(INDEX(DailyScalarsTable,CU$5/100,MONTH($A32)))*$E32</f>
        <v>0</v>
      </c>
      <c r="CV32" s="1021">
        <f>(VLOOKUP(YEAR($A32),'NY East Load Projections'!$A$4:$EO$14,((MONTH($A32)-1)*12)+VLOOKUP(CV$4,$DE$6:$DF$17,2)+1))*(VLOOKUP($A32,SatSunCurve,7))*(INDEX(DailyScalarsTable,CV$5/100,MONTH($A32)))*$E32</f>
        <v>0</v>
      </c>
      <c r="CW32" s="1021">
        <f>(VLOOKUP(YEAR($A32),'NY East Load Projections'!$A$4:$EO$14,((MONTH($A32)-1)*12)+VLOOKUP(CW$4,$DE$6:$DF$17,2)+1))*(VLOOKUP($A32,SatSunCurve,7))*(INDEX(DailyScalarsTable,CW$5/100,MONTH($A32)))*$E32</f>
        <v>0</v>
      </c>
      <c r="CX32" s="1021">
        <f>(VLOOKUP(YEAR($A32),'NY East Load Projections'!$A$4:$EO$14,((MONTH($A32)-1)*12)+VLOOKUP(CX$4,$DE$6:$DF$17,2)+1))*(VLOOKUP($A32,SatSunCurve,7))*(INDEX(DailyScalarsTable,CX$5/100,MONTH($A32)))*$E32</f>
        <v>0</v>
      </c>
      <c r="CY32" s="1021">
        <f>(VLOOKUP(YEAR($A32),'NY East Load Projections'!$A$4:$EO$14,((MONTH($A32)-1)*12)+VLOOKUP(CY$4,$DE$6:$DF$17,2)+1))*(VLOOKUP($A32,SatSunCurve,7))*(INDEX(DailyScalarsTable,CY$5/100,MONTH($A32)))*$E32</f>
        <v>0</v>
      </c>
      <c r="CZ32" s="1021">
        <f>(VLOOKUP(YEAR($A32),'NY East Load Projections'!$A$4:$EO$14,((MONTH($A32)-1)*12)+VLOOKUP(CZ$4,$DE$6:$DF$17,2)+1))*(VLOOKUP($A32,SatSunCurve,7))*(INDEX(DailyScalarsTable,CZ$5/100,MONTH($A32)))*$E32</f>
        <v>0</v>
      </c>
      <c r="DA32" s="1021">
        <f>(VLOOKUP(YEAR($A32),'NY East Load Projections'!$A$4:$EO$14,((MONTH($A32)-1)*12)+VLOOKUP(DA$4,$DE$6:$DF$17,2)+1))*(VLOOKUP($A32,SatSunCurve,7))*(INDEX(DailyScalarsTable,DA$5/100,MONTH($A32)))*$E32</f>
        <v>0</v>
      </c>
      <c r="DB32" s="1021">
        <f>(VLOOKUP(YEAR($A32),'NY East Load Projections'!$A$4:$EO$14,((MONTH($A32)-1)*12)+VLOOKUP(DB$4,$DE$6:$DF$17,2)+1))*(VLOOKUP($A32,CURVES!$D$9:$T$261,7))*(INDEX(DailyScalarsTable,DB$5/100,MONTH($A32)))*$E32</f>
        <v>0</v>
      </c>
      <c r="DH32" s="1032">
        <f t="shared" si="0"/>
        <v>-1482383.9573776822</v>
      </c>
      <c r="DI32">
        <f ca="1">CALC!J52</f>
        <v>0.8013310793992765</v>
      </c>
      <c r="DJ32" s="1029">
        <f t="shared" ca="1" si="1"/>
        <v>-1187880.3366496293</v>
      </c>
    </row>
    <row r="33" spans="1:114" x14ac:dyDescent="0.25">
      <c r="A33" s="244">
        <v>37712</v>
      </c>
      <c r="B33" s="13">
        <v>22</v>
      </c>
      <c r="C33" s="210">
        <v>4</v>
      </c>
      <c r="D33" s="210">
        <v>4</v>
      </c>
      <c r="E33" s="210">
        <v>0</v>
      </c>
      <c r="F33" s="13">
        <v>30</v>
      </c>
      <c r="H33" s="1021">
        <f>(VLOOKUP(YEAR($A33),'NY East Load Projections'!$A$4:$EO$14,((MONTH($A33)-1)*12)+VLOOKUP(H$4,$DE$6:$DF$17,2)+1))*(VLOOKUP($A33,CURVES!$D$9:$K$261,7))*(INDEX(DailyScalarsTable,H$5/100,MONTH($A33)))*$B33</f>
        <v>-33900.340822072794</v>
      </c>
      <c r="I33" s="1021">
        <f>(VLOOKUP(YEAR($A33),'NY East Load Projections'!$A$4:$EO$14,((MONTH($A33)-1)*12)+VLOOKUP(I$4,$DE$6:$DF$17,2)+1))*(VLOOKUP($A33,CURVES!$D$9:$K$261,7))*(INDEX(DailyScalarsTable,I$5/100,MONTH($A33)))*$B33</f>
        <v>-32153.516986016715</v>
      </c>
      <c r="J33" s="1021">
        <f>(VLOOKUP(YEAR($A33),'NY East Load Projections'!$A$4:$EO$14,((MONTH($A33)-1)*12)+VLOOKUP(J$4,$DE$6:$DF$17,2)+1))*(VLOOKUP($A33,CURVES!$D$9:$K$261,7))*(INDEX(DailyScalarsTable,J$5/100,MONTH($A33)))*$B33</f>
        <v>-30860.851833802004</v>
      </c>
      <c r="K33" s="1021">
        <f>(VLOOKUP(YEAR($A33),'NY East Load Projections'!$A$4:$EO$14,((MONTH($A33)-1)*12)+VLOOKUP(K$4,$DE$6:$DF$17,2)+1))*(VLOOKUP($A33,CURVES!$D$9:$K$261,7))*(INDEX(DailyScalarsTable,K$5/100,MONTH($A33)))*$B33</f>
        <v>-30879.080235288398</v>
      </c>
      <c r="L33" s="1021">
        <f>(VLOOKUP(YEAR($A33),'NY East Load Projections'!$A$4:$EO$14,((MONTH($A33)-1)*12)+VLOOKUP(L$4,$DE$6:$DF$17,2)+1))*(VLOOKUP($A33,CURVES!$D$9:$K$261,7))*(INDEX(DailyScalarsTable,L$5/100,MONTH($A33)))*$B33</f>
        <v>-36302.761903277373</v>
      </c>
      <c r="M33" s="1021">
        <f>(VLOOKUP(YEAR($A33),'NY East Load Projections'!$A$4:$EO$14,((MONTH($A33)-1)*12)+VLOOKUP(M$4,$DE$6:$DF$17,2)+1))*(VLOOKUP($A33,CURVES!$D$9:$K$261,7))*(INDEX(DailyScalarsTable,M$5/100,MONTH($A33)))*$B33</f>
        <v>-41817.702485826514</v>
      </c>
      <c r="N33" s="1021">
        <f>(VLOOKUP(YEAR($A33),'NY East Load Projections'!$A$4:$EO$14,((MONTH($A33)-1)*12)+VLOOKUP(N$4,$DE$6:$DF$17,2)+1))*(VLOOKUP($A33,CURVES!$D$9:$K$261,7))*(INDEX(DailyScalarsTable,N$5/100,MONTH($A33)))*$B33</f>
        <v>-59644.192717458995</v>
      </c>
      <c r="O33" s="1021">
        <f>(VLOOKUP(YEAR($A33),'NY East Load Projections'!$A$4:$EO$14,((MONTH($A33)-1)*12)+VLOOKUP(O$4,$DE$6:$DF$17,2)+1))*(VLOOKUP($A33,CURVES!$D$9:$K$261,3))*(INDEX(DailyScalarsTable,O$5/100,MONTH($A33)))*$B33</f>
        <v>-72560.536228499084</v>
      </c>
      <c r="P33" s="1021">
        <f>(VLOOKUP(YEAR($A33),'NY East Load Projections'!$A$4:$EO$14,((MONTH($A33)-1)*12)+VLOOKUP(P$4,$DE$6:$DF$17,2)+1))*(VLOOKUP($A33,CURVES!$D$9:$K$261,3))*(INDEX(DailyScalarsTable,P$5/100,MONTH($A33)))*$B33</f>
        <v>-81619.903408587081</v>
      </c>
      <c r="Q33" s="1021">
        <f>(VLOOKUP(YEAR($A33),'NY East Load Projections'!$A$4:$EO$14,((MONTH($A33)-1)*12)+VLOOKUP(Q$4,$DE$6:$DF$17,2)+1))*(VLOOKUP($A33,CURVES!$D$9:$K$261,3))*(INDEX(DailyScalarsTable,Q$5/100,MONTH($A33)))*$B33</f>
        <v>-78220.896572237383</v>
      </c>
      <c r="R33" s="1021">
        <f>(VLOOKUP(YEAR($A33),'NY East Load Projections'!$A$4:$EO$14,((MONTH($A33)-1)*12)+VLOOKUP(R$4,$DE$6:$DF$17,2)+1))*(VLOOKUP($A33,CURVES!$D$9:$K$261,3))*(INDEX(DailyScalarsTable,R$5/100,MONTH($A33)))*$B33</f>
        <v>-79833.496835605445</v>
      </c>
      <c r="S33" s="1021">
        <f>(VLOOKUP(YEAR($A33),'NY East Load Projections'!$A$4:$EO$14,((MONTH($A33)-1)*12)+VLOOKUP(S$4,$DE$6:$DF$17,2)+1))*(VLOOKUP($A33,CURVES!$D$9:$K$261,3))*(INDEX(DailyScalarsTable,S$5/100,MONTH($A33)))*$B33</f>
        <v>-79990.037617773967</v>
      </c>
      <c r="T33" s="1021">
        <f>(VLOOKUP(YEAR($A33),'NY East Load Projections'!$A$4:$EO$14,((MONTH($A33)-1)*12)+VLOOKUP(T$4,$DE$6:$DF$17,2)+1))*(VLOOKUP($A33,CURVES!$D$9:$K$261,3))*(INDEX(DailyScalarsTable,T$5/100,MONTH($A33)))*$B33</f>
        <v>-74439.753161935849</v>
      </c>
      <c r="U33" s="1021">
        <f>(VLOOKUP(YEAR($A33),'NY East Load Projections'!$A$4:$EO$14,((MONTH($A33)-1)*12)+VLOOKUP(U$4,$DE$6:$DF$17,2)+1))*(VLOOKUP($A33,CURVES!$D$9:$K$261,3))*(INDEX(DailyScalarsTable,U$5/100,MONTH($A33)))*$B33</f>
        <v>-74519.908713154524</v>
      </c>
      <c r="V33" s="1021">
        <f>(VLOOKUP(YEAR($A33),'NY East Load Projections'!$A$4:$EO$14,((MONTH($A33)-1)*12)+VLOOKUP(V$4,$DE$6:$DF$17,2)+1))*(VLOOKUP($A33,CURVES!$D$9:$K$261,3))*(INDEX(DailyScalarsTable,V$5/100,MONTH($A33)))*$B33</f>
        <v>-69894.461904593496</v>
      </c>
      <c r="W33" s="1021">
        <f>(VLOOKUP(YEAR($A33),'NY East Load Projections'!$A$4:$EO$14,((MONTH($A33)-1)*12)+VLOOKUP(W$4,$DE$6:$DF$17,2)+1))*(VLOOKUP($A33,CURVES!$D$9:$K$261,3))*(INDEX(DailyScalarsTable,W$5/100,MONTH($A33)))*$B33</f>
        <v>-65324.416727021897</v>
      </c>
      <c r="X33" s="1021">
        <f>(VLOOKUP(YEAR($A33),'NY East Load Projections'!$A$4:$EO$14,((MONTH($A33)-1)*12)+VLOOKUP(X$4,$DE$6:$DF$17,2)+1))*(VLOOKUP($A33,CURVES!$D$9:$K$261,3))*(INDEX(DailyScalarsTable,X$5/100,MONTH($A33)))*$B33</f>
        <v>-59584.907621904749</v>
      </c>
      <c r="Y33" s="1021">
        <f>(VLOOKUP(YEAR($A33),'NY East Load Projections'!$A$4:$EO$14,((MONTH($A33)-1)*12)+VLOOKUP(Y$4,$DE$6:$DF$17,2)+1))*(VLOOKUP($A33,CURVES!$D$9:$K$261,3))*(INDEX(DailyScalarsTable,Y$5/100,MONTH($A33)))*$B33</f>
        <v>-58809.975330895788</v>
      </c>
      <c r="Z33" s="1021">
        <f>(VLOOKUP(YEAR($A33),'NY East Load Projections'!$A$4:$EO$14,((MONTH($A33)-1)*12)+VLOOKUP(Z$4,$DE$6:$DF$17,2)+1))*(VLOOKUP($A33,CURVES!$D$9:$K$261,3))*(INDEX(DailyScalarsTable,Z$5/100,MONTH($A33)))*$B33</f>
        <v>-58494.71126940423</v>
      </c>
      <c r="AA33" s="1021">
        <f>(VLOOKUP(YEAR($A33),'NY East Load Projections'!$A$4:$EO$14,((MONTH($A33)-1)*12)+VLOOKUP(AA$4,$DE$6:$DF$17,2)+1))*(VLOOKUP($A33,CURVES!$D$9:$K$261,3))*(INDEX(DailyScalarsTable,AA$5/100,MONTH($A33)))*$B33</f>
        <v>-64159.543479212363</v>
      </c>
      <c r="AB33" s="1021">
        <f>(VLOOKUP(YEAR($A33),'NY East Load Projections'!$A$4:$EO$14,((MONTH($A33)-1)*12)+VLOOKUP(AB$4,$DE$6:$DF$17,2)+1))*(VLOOKUP($A33,CURVES!$D$9:$K$261,3))*(INDEX(DailyScalarsTable,AB$5/100,MONTH($A33)))*$B33</f>
        <v>-71106.716074141717</v>
      </c>
      <c r="AC33" s="1021">
        <f>(VLOOKUP(YEAR($A33),'NY East Load Projections'!$A$4:$EO$14,((MONTH($A33)-1)*12)+VLOOKUP(AC$4,$DE$6:$DF$17,2)+1))*(VLOOKUP($A33,CURVES!$D$9:$K$261,3))*(INDEX(DailyScalarsTable,AC$5/100,MONTH($A33)))*$B33</f>
        <v>-60588.287891504318</v>
      </c>
      <c r="AD33" s="1021">
        <f>(VLOOKUP(YEAR($A33),'NY East Load Projections'!$A$4:$EO$14,((MONTH($A33)-1)*12)+VLOOKUP(AD$4,$DE$6:$DF$17,2)+1))*(VLOOKUP($A33,CURVES!$D$9:$K$261,3))*(INDEX(DailyScalarsTable,AD$5/100,MONTH($A33)))*$B33</f>
        <v>-53526.098811956232</v>
      </c>
      <c r="AE33" s="1021">
        <f>(VLOOKUP(YEAR($A33),'NY East Load Projections'!$A$4:$EO$14,((MONTH($A33)-1)*12)+VLOOKUP(AE$4,$DE$6:$DF$17,2)+1))*(VLOOKUP($A33,CURVES!$D$9:$K$261,7))*(INDEX(DailyScalarsTable,AE$5/100,MONTH($A33)))*$B33</f>
        <v>-40040.149644710102</v>
      </c>
      <c r="AF33" s="1021"/>
      <c r="AG33" s="1021">
        <f>(VLOOKUP(YEAR($A33),'NY East Load Projections'!$A$4:$EO$14,((MONTH($A33)-1)*12)+VLOOKUP(AG$4,$DE$6:$DF$17,2)+1))*(VLOOKUP($A33,CURVES!$D$9:$T$261,7))*(INDEX(DailyScalarsTable,AG$5/100,MONTH($A33)))*$C33</f>
        <v>-6532.8509121758525</v>
      </c>
      <c r="AH33" s="1021">
        <f>(VLOOKUP(YEAR($A33),'NY East Load Projections'!$A$4:$EO$14,((MONTH($A33)-1)*12)+VLOOKUP(AH$4,$DE$6:$DF$17,2)+1))*(VLOOKUP($A33,CURVES!$D$9:$T$261,7))*(INDEX(DailyScalarsTable,AH$5/100,MONTH($A33)))*$C33</f>
        <v>-6196.2248071262175</v>
      </c>
      <c r="AI33" s="1021">
        <f>(VLOOKUP(YEAR($A33),'NY East Load Projections'!$A$4:$EO$14,((MONTH($A33)-1)*12)+VLOOKUP(AI$4,$DE$6:$DF$17,2)+1))*(VLOOKUP($A33,CURVES!$D$9:$T$261,7))*(INDEX(DailyScalarsTable,AI$5/100,MONTH($A33)))*$C33</f>
        <v>-5947.1184998148365</v>
      </c>
      <c r="AJ33" s="1021">
        <f>(VLOOKUP(YEAR($A33),'NY East Load Projections'!$A$4:$EO$14,((MONTH($A33)-1)*12)+VLOOKUP(AJ$4,$DE$6:$DF$17,2)+1))*(VLOOKUP($A33,CURVES!$D$9:$T$261,7))*(INDEX(DailyScalarsTable,AJ$5/100,MONTH($A33)))*$C33</f>
        <v>-5950.6312500229515</v>
      </c>
      <c r="AK33" s="1021">
        <f>(VLOOKUP(YEAR($A33),'NY East Load Projections'!$A$4:$EO$14,((MONTH($A33)-1)*12)+VLOOKUP(AK$4,$DE$6:$DF$17,2)+1))*(VLOOKUP($A33,CURVES!$D$9:$T$261,7))*(INDEX(DailyScalarsTable,AK$5/100,MONTH($A33)))*$C33</f>
        <v>-6477.779433073164</v>
      </c>
      <c r="AL33" s="1021">
        <f>(VLOOKUP(YEAR($A33),'NY East Load Projections'!$A$4:$EO$14,((MONTH($A33)-1)*12)+VLOOKUP(AL$4,$DE$6:$DF$17,2)+1))*(VLOOKUP($A33,CURVES!$D$9:$T$261,7))*(INDEX(DailyScalarsTable,AL$5/100,MONTH($A33)))*$C33</f>
        <v>-7461.8524569229594</v>
      </c>
      <c r="AM33" s="1021">
        <f>(VLOOKUP(YEAR($A33),'NY East Load Projections'!$A$4:$EO$14,((MONTH($A33)-1)*12)+VLOOKUP(AM$4,$DE$6:$DF$17,2)+1))*(VLOOKUP($A33,CURVES!$D$9:$T$261,7))*(INDEX(DailyScalarsTable,AM$5/100,MONTH($A33)))*$C33</f>
        <v>-10642.769437675421</v>
      </c>
      <c r="AN33" s="1021">
        <f>(VLOOKUP(YEAR($A33),'NY East Load Projections'!$A$4:$EO$14,((MONTH($A33)-1)*12)+VLOOKUP(AN$4,$DE$6:$DF$17,2)+1))*(VLOOKUP($A33,SatSunCurve,3))*(INDEX(DailyScalarsTable,AN$5/100,MONTH($A33)))*$C33</f>
        <v>-8802.4805878164952</v>
      </c>
      <c r="AO33" s="1021">
        <f>(VLOOKUP(YEAR($A33),'NY East Load Projections'!$A$4:$EO$14,((MONTH($A33)-1)*12)+VLOOKUP(AO$4,$DE$6:$DF$17,2)+1))*(VLOOKUP($A33,SatSunCurve,3))*(INDEX(DailyScalarsTable,AO$5/100,MONTH($A33)))*$C33</f>
        <v>-9606.3864828967235</v>
      </c>
      <c r="AP33" s="1021">
        <f>(VLOOKUP(YEAR($A33),'NY East Load Projections'!$A$4:$EO$14,((MONTH($A33)-1)*12)+VLOOKUP(AP$4,$DE$6:$DF$17,2)+1))*(VLOOKUP($A33,SatSunCurve,3))*(INDEX(DailyScalarsTable,AP$5/100,MONTH($A33)))*$C33</f>
        <v>-9206.3348782712274</v>
      </c>
      <c r="AQ33" s="1021">
        <f>(VLOOKUP(YEAR($A33),'NY East Load Projections'!$A$4:$EO$14,((MONTH($A33)-1)*12)+VLOOKUP(AQ$4,$DE$6:$DF$17,2)+1))*(VLOOKUP($A33,SatSunCurve,3))*(INDEX(DailyScalarsTable,AQ$5/100,MONTH($A33)))*$C33</f>
        <v>-9396.1324732865723</v>
      </c>
      <c r="AR33" s="1021">
        <f>(VLOOKUP(YEAR($A33),'NY East Load Projections'!$A$4:$EO$14,((MONTH($A33)-1)*12)+VLOOKUP(AR$4,$DE$6:$DF$17,2)+1))*(VLOOKUP($A33,SatSunCurve,3))*(INDEX(DailyScalarsTable,AR$5/100,MONTH($A33)))*$C33</f>
        <v>-9414.5567937163323</v>
      </c>
      <c r="AS33" s="1021">
        <f>(VLOOKUP(YEAR($A33),'NY East Load Projections'!$A$4:$EO$14,((MONTH($A33)-1)*12)+VLOOKUP(AS$4,$DE$6:$DF$17,2)+1))*(VLOOKUP($A33,SatSunCurve,3))*(INDEX(DailyScalarsTable,AS$5/100,MONTH($A33)))*$C33</f>
        <v>-8475.5021037230199</v>
      </c>
      <c r="AT33" s="1021">
        <f>(VLOOKUP(YEAR($A33),'NY East Load Projections'!$A$4:$EO$14,((MONTH($A33)-1)*12)+VLOOKUP(AT$4,$DE$6:$DF$17,2)+1))*(VLOOKUP($A33,SatSunCurve,3))*(INDEX(DailyScalarsTable,AT$5/100,MONTH($A33)))*$C33</f>
        <v>-8484.6283906076787</v>
      </c>
      <c r="AU33" s="1021">
        <f>(VLOOKUP(YEAR($A33),'NY East Load Projections'!$A$4:$EO$14,((MONTH($A33)-1)*12)+VLOOKUP(AU$4,$DE$6:$DF$17,2)+1))*(VLOOKUP($A33,SatSunCurve,3))*(INDEX(DailyScalarsTable,AU$5/100,MONTH($A33)))*$C33</f>
        <v>-7957.9879533222947</v>
      </c>
      <c r="AV33" s="1021">
        <f>(VLOOKUP(YEAR($A33),'NY East Load Projections'!$A$4:$EO$14,((MONTH($A33)-1)*12)+VLOOKUP(AV$4,$DE$6:$DF$17,2)+1))*(VLOOKUP($A33,SatSunCurve,3))*(INDEX(DailyScalarsTable,AV$5/100,MONTH($A33)))*$C33</f>
        <v>-7437.6553907954303</v>
      </c>
      <c r="AW33" s="1021">
        <f>(VLOOKUP(YEAR($A33),'NY East Load Projections'!$A$4:$EO$14,((MONTH($A33)-1)*12)+VLOOKUP(AW$4,$DE$6:$DF$17,2)+1))*(VLOOKUP($A33,SatSunCurve,3))*(INDEX(DailyScalarsTable,AW$5/100,MONTH($A33)))*$C33</f>
        <v>-6894.556877678222</v>
      </c>
      <c r="AX33" s="1021">
        <f>(VLOOKUP(YEAR($A33),'NY East Load Projections'!$A$4:$EO$14,((MONTH($A33)-1)*12)+VLOOKUP(AX$4,$DE$6:$DF$17,2)+1))*(VLOOKUP($A33,SatSunCurve,3))*(INDEX(DailyScalarsTable,AX$5/100,MONTH($A33)))*$C33</f>
        <v>-6804.8896285383298</v>
      </c>
      <c r="AY33" s="1021">
        <f>(VLOOKUP(YEAR($A33),'NY East Load Projections'!$A$4:$EO$14,((MONTH($A33)-1)*12)+VLOOKUP(AY$4,$DE$6:$DF$17,2)+1))*(VLOOKUP($A33,SatSunCurve,3))*(INDEX(DailyScalarsTable,AY$5/100,MONTH($A33)))*$C33</f>
        <v>-6768.4104916193983</v>
      </c>
      <c r="AZ33" s="1021">
        <f>(VLOOKUP(YEAR($A33),'NY East Load Projections'!$A$4:$EO$14,((MONTH($A33)-1)*12)+VLOOKUP(AZ$4,$DE$6:$DF$17,2)+1))*(VLOOKUP($A33,SatSunCurve,3))*(INDEX(DailyScalarsTable,AZ$5/100,MONTH($A33)))*$C33</f>
        <v>-7423.8870112921031</v>
      </c>
      <c r="BA33" s="1021">
        <f>(VLOOKUP(YEAR($A33),'NY East Load Projections'!$A$4:$EO$14,((MONTH($A33)-1)*12)+VLOOKUP(BA$4,$DE$6:$DF$17,2)+1))*(VLOOKUP($A33,SatSunCurve,3))*(INDEX(DailyScalarsTable,BA$5/100,MONTH($A33)))*$C33</f>
        <v>-8974.8529606660795</v>
      </c>
      <c r="BB33" s="1021">
        <f>(VLOOKUP(YEAR($A33),'NY East Load Projections'!$A$4:$EO$14,((MONTH($A33)-1)*12)+VLOOKUP(BB$4,$DE$6:$DF$17,2)+1))*(VLOOKUP($A33,SatSunCurve,3))*(INDEX(DailyScalarsTable,BB$5/100,MONTH($A33)))*$C33</f>
        <v>-7647.2519754361319</v>
      </c>
      <c r="BC33" s="1021">
        <f>(VLOOKUP(YEAR($A33),'NY East Load Projections'!$A$4:$EO$14,((MONTH($A33)-1)*12)+VLOOKUP(BC$4,$DE$6:$DF$17,2)+1))*(VLOOKUP($A33,SatSunCurve,3))*(INDEX(DailyScalarsTable,BC$5/100,MONTH($A33)))*$C33</f>
        <v>-6755.8859826193848</v>
      </c>
      <c r="BD33" s="1021">
        <f>(VLOOKUP(YEAR($A33),'NY East Load Projections'!$A$4:$EO$14,((MONTH($A33)-1)*12)+VLOOKUP(BD$4,$DE$6:$DF$17,2)+1))*(VLOOKUP($A33,CURVES!$D$9:$T$261,7))*(INDEX(DailyScalarsTable,BD$5/100,MONTH($A33)))*$C33</f>
        <v>-7433.5164781736512</v>
      </c>
      <c r="BE33" s="1021"/>
      <c r="BF33" s="1021">
        <f>(VLOOKUP(YEAR($A33),'NY East Load Projections'!$A$4:$EO$14,((MONTH($A33)-1)*12)+VLOOKUP(BF$4,$DE$6:$DF$17,2)+1))*(VLOOKUP($A33,CURVES!$D$9:$T$261,7))*(INDEX(DailyScalarsTable,BF$5/100,MONTH($A33)))*$D33</f>
        <v>-6532.8509121758525</v>
      </c>
      <c r="BG33" s="1021">
        <f>(VLOOKUP(YEAR($A33),'NY East Load Projections'!$A$4:$EO$14,((MONTH($A33)-1)*12)+VLOOKUP(BG$4,$DE$6:$DF$17,2)+1))*(VLOOKUP($A33,CURVES!$D$9:$T$261,7))*(INDEX(DailyScalarsTable,BG$5/100,MONTH($A33)))*$D33</f>
        <v>-6196.2248071262175</v>
      </c>
      <c r="BH33" s="1021">
        <f>(VLOOKUP(YEAR($A33),'NY East Load Projections'!$A$4:$EO$14,((MONTH($A33)-1)*12)+VLOOKUP(BH$4,$DE$6:$DF$17,2)+1))*(VLOOKUP($A33,CURVES!$D$9:$T$261,7))*(INDEX(DailyScalarsTable,BH$5/100,MONTH($A33)))*$D33</f>
        <v>-5947.1184998148365</v>
      </c>
      <c r="BI33" s="1021">
        <f>(VLOOKUP(YEAR($A33),'NY East Load Projections'!$A$4:$EO$14,((MONTH($A33)-1)*12)+VLOOKUP(BI$4,$DE$6:$DF$17,2)+1))*(VLOOKUP($A33,CURVES!$D$9:$T$261,7))*(INDEX(DailyScalarsTable,BI$5/100,MONTH($A33)))*$D33</f>
        <v>-5950.6312500229515</v>
      </c>
      <c r="BJ33" s="1021">
        <f>(VLOOKUP(YEAR($A33),'NY East Load Projections'!$A$4:$EO$14,((MONTH($A33)-1)*12)+VLOOKUP(BJ$4,$DE$6:$DF$17,2)+1))*(VLOOKUP($A33,CURVES!$D$9:$T$261,7))*(INDEX(DailyScalarsTable,BJ$5/100,MONTH($A33)))*$D33</f>
        <v>-6477.779433073164</v>
      </c>
      <c r="BK33" s="1021">
        <f>(VLOOKUP(YEAR($A33),'NY East Load Projections'!$A$4:$EO$14,((MONTH($A33)-1)*12)+VLOOKUP(BK$4,$DE$6:$DF$17,2)+1))*(VLOOKUP($A33,CURVES!$D$9:$T$261,7))*(INDEX(DailyScalarsTable,BK$5/100,MONTH($A33)))*$D33</f>
        <v>-7461.8524569229594</v>
      </c>
      <c r="BL33" s="1021">
        <f>(VLOOKUP(YEAR($A33),'NY East Load Projections'!$A$4:$EO$14,((MONTH($A33)-1)*12)+VLOOKUP(BL$4,$DE$6:$DF$17,2)+1))*(VLOOKUP($A33,CURVES!$D$9:$T$261,7))*(INDEX(DailyScalarsTable,BL$5/100,MONTH($A33)))*$D33</f>
        <v>-10642.769437675421</v>
      </c>
      <c r="BM33" s="1021">
        <f>(VLOOKUP(YEAR($A33),'NY East Load Projections'!$A$4:$EO$14,((MONTH($A33)-1)*12)+VLOOKUP(BM$4,$DE$6:$DF$17,2)+1))*(VLOOKUP($A33,SatSunCurve,7))*(INDEX(DailyScalarsTable,BM$5/100,MONTH($A33)))*$D33</f>
        <v>-8277.8289350232226</v>
      </c>
      <c r="BN33" s="1021">
        <f>(VLOOKUP(YEAR($A33),'NY East Load Projections'!$A$4:$EO$14,((MONTH($A33)-1)*12)+VLOOKUP(BN$4,$DE$6:$DF$17,2)+1))*(VLOOKUP($A33,SatSunCurve,7))*(INDEX(DailyScalarsTable,BN$5/100,MONTH($A33)))*$D33</f>
        <v>-9033.8198642780389</v>
      </c>
      <c r="BO33" s="1021">
        <f>(VLOOKUP(YEAR($A33),'NY East Load Projections'!$A$4:$EO$14,((MONTH($A33)-1)*12)+VLOOKUP(BO$4,$DE$6:$DF$17,2)+1))*(VLOOKUP($A33,SatSunCurve,7))*(INDEX(DailyScalarsTable,BO$5/100,MONTH($A33)))*$D33</f>
        <v>-8657.6124173846092</v>
      </c>
      <c r="BP33" s="1021">
        <f>(VLOOKUP(YEAR($A33),'NY East Load Projections'!$A$4:$EO$14,((MONTH($A33)-1)*12)+VLOOKUP(BP$4,$DE$6:$DF$17,2)+1))*(VLOOKUP($A33,SatSunCurve,7))*(INDEX(DailyScalarsTable,BP$5/100,MONTH($A33)))*$D33</f>
        <v>-8836.0975623550421</v>
      </c>
      <c r="BQ33" s="1021">
        <f>(VLOOKUP(YEAR($A33),'NY East Load Projections'!$A$4:$EO$14,((MONTH($A33)-1)*12)+VLOOKUP(BQ$4,$DE$6:$DF$17,2)+1))*(VLOOKUP($A33,SatSunCurve,7))*(INDEX(DailyScalarsTable,BQ$5/100,MONTH($A33)))*$D33</f>
        <v>-8853.4237434513907</v>
      </c>
      <c r="BR33" s="1021">
        <f>(VLOOKUP(YEAR($A33),'NY East Load Projections'!$A$4:$EO$14,((MONTH($A33)-1)*12)+VLOOKUP(BR$4,$DE$6:$DF$17,2)+1))*(VLOOKUP($A33,SatSunCurve,7))*(INDEX(DailyScalarsTable,BR$5/100,MONTH($A33)))*$D33</f>
        <v>-7970.3392530232077</v>
      </c>
      <c r="BS33" s="1021">
        <f>(VLOOKUP(YEAR($A33),'NY East Load Projections'!$A$4:$EO$14,((MONTH($A33)-1)*12)+VLOOKUP(BS$4,$DE$6:$DF$17,2)+1))*(VLOOKUP($A33,SatSunCurve,7))*(INDEX(DailyScalarsTable,BS$5/100,MONTH($A33)))*$D33</f>
        <v>-7978.92158852392</v>
      </c>
      <c r="BT33" s="1021">
        <f>(VLOOKUP(YEAR($A33),'NY East Load Projections'!$A$4:$EO$14,((MONTH($A33)-1)*12)+VLOOKUP(BT$4,$DE$6:$DF$17,2)+1))*(VLOOKUP($A33,SatSunCurve,7))*(INDEX(DailyScalarsTable,BT$5/100,MONTH($A33)))*$D33</f>
        <v>-7483.6703458062566</v>
      </c>
      <c r="BU33" s="1021">
        <f>(VLOOKUP(YEAR($A33),'NY East Load Projections'!$A$4:$EO$14,((MONTH($A33)-1)*12)+VLOOKUP(BU$4,$DE$6:$DF$17,2)+1))*(VLOOKUP($A33,SatSunCurve,7))*(INDEX(DailyScalarsTable,BU$5/100,MONTH($A33)))*$D33</f>
        <v>-6994.3510114493838</v>
      </c>
      <c r="BV33" s="1021">
        <f>(VLOOKUP(YEAR($A33),'NY East Load Projections'!$A$4:$EO$14,((MONTH($A33)-1)*12)+VLOOKUP(BV$4,$DE$6:$DF$17,2)+1))*(VLOOKUP($A33,SatSunCurve,7))*(INDEX(DailyScalarsTable,BV$5/100,MONTH($A33)))*$D33</f>
        <v>-6483.6226387367897</v>
      </c>
      <c r="BW33" s="1021">
        <f>(VLOOKUP(YEAR($A33),'NY East Load Projections'!$A$4:$EO$14,((MONTH($A33)-1)*12)+VLOOKUP(BW$4,$DE$6:$DF$17,2)+1))*(VLOOKUP($A33,SatSunCurve,7))*(INDEX(DailyScalarsTable,BW$5/100,MONTH($A33)))*$D33</f>
        <v>-6399.2998001858605</v>
      </c>
      <c r="BX33" s="1021">
        <f>(VLOOKUP(YEAR($A33),'NY East Load Projections'!$A$4:$EO$14,((MONTH($A33)-1)*12)+VLOOKUP(BX$4,$DE$6:$DF$17,2)+1))*(VLOOKUP($A33,SatSunCurve,7))*(INDEX(DailyScalarsTable,BX$5/100,MONTH($A33)))*$D33</f>
        <v>-6364.994918499423</v>
      </c>
      <c r="BY33" s="1021">
        <f>(VLOOKUP(YEAR($A33),'NY East Load Projections'!$A$4:$EO$14,((MONTH($A33)-1)*12)+VLOOKUP(BY$4,$DE$6:$DF$17,2)+1))*(VLOOKUP($A33,SatSunCurve,7))*(INDEX(DailyScalarsTable,BY$5/100,MONTH($A33)))*$D33</f>
        <v>-6981.4032646064343</v>
      </c>
      <c r="BZ33" s="1021">
        <f>(VLOOKUP(YEAR($A33),'NY East Load Projections'!$A$4:$EO$14,((MONTH($A33)-1)*12)+VLOOKUP(BZ$4,$DE$6:$DF$17,2)+1))*(VLOOKUP($A33,SatSunCurve,7))*(INDEX(DailyScalarsTable,BZ$5/100,MONTH($A33)))*$D33</f>
        <v>-8439.9274482023175</v>
      </c>
      <c r="CA33" s="1021">
        <f>(VLOOKUP(YEAR($A33),'NY East Load Projections'!$A$4:$EO$14,((MONTH($A33)-1)*12)+VLOOKUP(CA$4,$DE$6:$DF$17,2)+1))*(VLOOKUP($A33,SatSunCurve,7))*(INDEX(DailyScalarsTable,CA$5/100,MONTH($A33)))*$D33</f>
        <v>-7191.455072709372</v>
      </c>
      <c r="CB33" s="1021">
        <f>(VLOOKUP(YEAR($A33),'NY East Load Projections'!$A$4:$EO$14,((MONTH($A33)-1)*12)+VLOOKUP(CB$4,$DE$6:$DF$17,2)+1))*(VLOOKUP($A33,SatSunCurve,7))*(INDEX(DailyScalarsTable,CB$5/100,MONTH($A33)))*$D33</f>
        <v>-6353.2169041132547</v>
      </c>
      <c r="CC33" s="1021">
        <f>(VLOOKUP(YEAR($A33),'NY East Load Projections'!$A$4:$EO$14,((MONTH($A33)-1)*12)+VLOOKUP(CC$4,$DE$6:$DF$17,2)+1))*(VLOOKUP($A33,CURVES!$D$9:$T$261,7))*(INDEX(DailyScalarsTable,CC$5/100,MONTH($A33)))*$D33</f>
        <v>-7433.5164781736512</v>
      </c>
      <c r="CE33" s="1021">
        <f>(VLOOKUP(YEAR($A33),'NY East Load Projections'!$A$4:$EO$14,((MONTH($A33)-1)*12)+VLOOKUP(CE$4,$DE$6:$DF$17,2)+1))*(VLOOKUP($A33,CURVES!$D$9:$T$261,7))*(INDEX(DailyScalarsTable,CE$5/100,MONTH($A33)))*$E33</f>
        <v>0</v>
      </c>
      <c r="CF33" s="1021">
        <f>(VLOOKUP(YEAR($A33),'NY East Load Projections'!$A$4:$EO$14,((MONTH($A33)-1)*12)+VLOOKUP(CF$4,$DE$6:$DF$17,2)+1))*(VLOOKUP($A33,CURVES!$D$9:$T$261,7))*(INDEX(DailyScalarsTable,CF$5/100,MONTH($A33)))*$E33</f>
        <v>0</v>
      </c>
      <c r="CG33" s="1021">
        <f>(VLOOKUP(YEAR($A33),'NY East Load Projections'!$A$4:$EO$14,((MONTH($A33)-1)*12)+VLOOKUP(CG$4,$DE$6:$DF$17,2)+1))*(VLOOKUP($A33,CURVES!$D$9:$T$261,7))*(INDEX(DailyScalarsTable,CG$5/100,MONTH($A33)))*$E33</f>
        <v>0</v>
      </c>
      <c r="CH33" s="1021">
        <f>(VLOOKUP(YEAR($A33),'NY East Load Projections'!$A$4:$EO$14,((MONTH($A33)-1)*12)+VLOOKUP(CH$4,$DE$6:$DF$17,2)+1))*(VLOOKUP($A33,CURVES!$D$9:$T$261,7))*(INDEX(DailyScalarsTable,CH$5/100,MONTH($A33)))*$E33</f>
        <v>0</v>
      </c>
      <c r="CI33" s="1021">
        <f>(VLOOKUP(YEAR($A33),'NY East Load Projections'!$A$4:$EO$14,((MONTH($A33)-1)*12)+VLOOKUP(CI$4,$DE$6:$DF$17,2)+1))*(VLOOKUP($A33,CURVES!$D$9:$T$261,7))*(INDEX(DailyScalarsTable,CI$5/100,MONTH($A33)))*$E33</f>
        <v>0</v>
      </c>
      <c r="CJ33" s="1021">
        <f>(VLOOKUP(YEAR($A33),'NY East Load Projections'!$A$4:$EO$14,((MONTH($A33)-1)*12)+VLOOKUP(CJ$4,$DE$6:$DF$17,2)+1))*(VLOOKUP($A33,CURVES!$D$9:$T$261,7))*(INDEX(DailyScalarsTable,CJ$5/100,MONTH($A33)))*$E33</f>
        <v>0</v>
      </c>
      <c r="CK33" s="1021">
        <f>(VLOOKUP(YEAR($A33),'NY East Load Projections'!$A$4:$EO$14,((MONTH($A33)-1)*12)+VLOOKUP(CK$4,$DE$6:$DF$17,2)+1))*(VLOOKUP($A33,CURVES!$D$9:$T$261,7))*(INDEX(DailyScalarsTable,CK$5/100,MONTH($A33)))*$E33</f>
        <v>0</v>
      </c>
      <c r="CL33" s="1021">
        <f>(VLOOKUP(YEAR($A33),'NY East Load Projections'!$A$4:$EO$14,((MONTH($A33)-1)*12)+VLOOKUP(CL$4,$DE$6:$DF$17,2)+1))*(VLOOKUP($A33,SatSunCurve,7))*(INDEX(DailyScalarsTable,CL$5/100,MONTH($A33)))*$E33</f>
        <v>0</v>
      </c>
      <c r="CM33" s="1021">
        <f>(VLOOKUP(YEAR($A33),'NY East Load Projections'!$A$4:$EO$14,((MONTH($A33)-1)*12)+VLOOKUP(CM$4,$DE$6:$DF$17,2)+1))*(VLOOKUP($A33,SatSunCurve,7))*(INDEX(DailyScalarsTable,CM$5/100,MONTH($A33)))*$E33</f>
        <v>0</v>
      </c>
      <c r="CN33" s="1021">
        <f>(VLOOKUP(YEAR($A33),'NY East Load Projections'!$A$4:$EO$14,((MONTH($A33)-1)*12)+VLOOKUP(CN$4,$DE$6:$DF$17,2)+1))*(VLOOKUP($A33,SatSunCurve,7))*(INDEX(DailyScalarsTable,CN$5/100,MONTH($A33)))*$E33</f>
        <v>0</v>
      </c>
      <c r="CO33" s="1021">
        <f>(VLOOKUP(YEAR($A33),'NY East Load Projections'!$A$4:$EO$14,((MONTH($A33)-1)*12)+VLOOKUP(CO$4,$DE$6:$DF$17,2)+1))*(VLOOKUP($A33,SatSunCurve,7))*(INDEX(DailyScalarsTable,CO$5/100,MONTH($A33)))*$E33</f>
        <v>0</v>
      </c>
      <c r="CP33" s="1021">
        <f>(VLOOKUP(YEAR($A33),'NY East Load Projections'!$A$4:$EO$14,((MONTH($A33)-1)*12)+VLOOKUP(CP$4,$DE$6:$DF$17,2)+1))*(VLOOKUP($A33,SatSunCurve,7))*(INDEX(DailyScalarsTable,CP$5/100,MONTH($A33)))*$E33</f>
        <v>0</v>
      </c>
      <c r="CQ33" s="1021">
        <f>(VLOOKUP(YEAR($A33),'NY East Load Projections'!$A$4:$EO$14,((MONTH($A33)-1)*12)+VLOOKUP(CQ$4,$DE$6:$DF$17,2)+1))*(VLOOKUP($A33,SatSunCurve,7))*(INDEX(DailyScalarsTable,CQ$5/100,MONTH($A33)))*$E33</f>
        <v>0</v>
      </c>
      <c r="CR33" s="1021">
        <f>(VLOOKUP(YEAR($A33),'NY East Load Projections'!$A$4:$EO$14,((MONTH($A33)-1)*12)+VLOOKUP(CR$4,$DE$6:$DF$17,2)+1))*(VLOOKUP($A33,SatSunCurve,7))*(INDEX(DailyScalarsTable,CR$5/100,MONTH($A33)))*$E33</f>
        <v>0</v>
      </c>
      <c r="CS33" s="1021">
        <f>(VLOOKUP(YEAR($A33),'NY East Load Projections'!$A$4:$EO$14,((MONTH($A33)-1)*12)+VLOOKUP(CS$4,$DE$6:$DF$17,2)+1))*(VLOOKUP($A33,SatSunCurve,7))*(INDEX(DailyScalarsTable,CS$5/100,MONTH($A33)))*$E33</f>
        <v>0</v>
      </c>
      <c r="CT33" s="1021">
        <f>(VLOOKUP(YEAR($A33),'NY East Load Projections'!$A$4:$EO$14,((MONTH($A33)-1)*12)+VLOOKUP(CT$4,$DE$6:$DF$17,2)+1))*(VLOOKUP($A33,SatSunCurve,7))*(INDEX(DailyScalarsTable,CT$5/100,MONTH($A33)))*$E33</f>
        <v>0</v>
      </c>
      <c r="CU33" s="1021">
        <f>(VLOOKUP(YEAR($A33),'NY East Load Projections'!$A$4:$EO$14,((MONTH($A33)-1)*12)+VLOOKUP(CU$4,$DE$6:$DF$17,2)+1))*(VLOOKUP($A33,SatSunCurve,7))*(INDEX(DailyScalarsTable,CU$5/100,MONTH($A33)))*$E33</f>
        <v>0</v>
      </c>
      <c r="CV33" s="1021">
        <f>(VLOOKUP(YEAR($A33),'NY East Load Projections'!$A$4:$EO$14,((MONTH($A33)-1)*12)+VLOOKUP(CV$4,$DE$6:$DF$17,2)+1))*(VLOOKUP($A33,SatSunCurve,7))*(INDEX(DailyScalarsTable,CV$5/100,MONTH($A33)))*$E33</f>
        <v>0</v>
      </c>
      <c r="CW33" s="1021">
        <f>(VLOOKUP(YEAR($A33),'NY East Load Projections'!$A$4:$EO$14,((MONTH($A33)-1)*12)+VLOOKUP(CW$4,$DE$6:$DF$17,2)+1))*(VLOOKUP($A33,SatSunCurve,7))*(INDEX(DailyScalarsTable,CW$5/100,MONTH($A33)))*$E33</f>
        <v>0</v>
      </c>
      <c r="CX33" s="1021">
        <f>(VLOOKUP(YEAR($A33),'NY East Load Projections'!$A$4:$EO$14,((MONTH($A33)-1)*12)+VLOOKUP(CX$4,$DE$6:$DF$17,2)+1))*(VLOOKUP($A33,SatSunCurve,7))*(INDEX(DailyScalarsTable,CX$5/100,MONTH($A33)))*$E33</f>
        <v>0</v>
      </c>
      <c r="CY33" s="1021">
        <f>(VLOOKUP(YEAR($A33),'NY East Load Projections'!$A$4:$EO$14,((MONTH($A33)-1)*12)+VLOOKUP(CY$4,$DE$6:$DF$17,2)+1))*(VLOOKUP($A33,SatSunCurve,7))*(INDEX(DailyScalarsTable,CY$5/100,MONTH($A33)))*$E33</f>
        <v>0</v>
      </c>
      <c r="CZ33" s="1021">
        <f>(VLOOKUP(YEAR($A33),'NY East Load Projections'!$A$4:$EO$14,((MONTH($A33)-1)*12)+VLOOKUP(CZ$4,$DE$6:$DF$17,2)+1))*(VLOOKUP($A33,SatSunCurve,7))*(INDEX(DailyScalarsTable,CZ$5/100,MONTH($A33)))*$E33</f>
        <v>0</v>
      </c>
      <c r="DA33" s="1021">
        <f>(VLOOKUP(YEAR($A33),'NY East Load Projections'!$A$4:$EO$14,((MONTH($A33)-1)*12)+VLOOKUP(DA$4,$DE$6:$DF$17,2)+1))*(VLOOKUP($A33,SatSunCurve,7))*(INDEX(DailyScalarsTable,DA$5/100,MONTH($A33)))*$E33</f>
        <v>0</v>
      </c>
      <c r="DB33" s="1021">
        <f>(VLOOKUP(YEAR($A33),'NY East Load Projections'!$A$4:$EO$14,((MONTH($A33)-1)*12)+VLOOKUP(DB$4,$DE$6:$DF$17,2)+1))*(VLOOKUP($A33,CURVES!$D$9:$T$261,7))*(INDEX(DailyScalarsTable,DB$5/100,MONTH($A33)))*$E33</f>
        <v>0</v>
      </c>
      <c r="DH33" s="1032">
        <f t="shared" si="0"/>
        <v>-1773909.1195774851</v>
      </c>
      <c r="DI33">
        <f ca="1">CALC!J53</f>
        <v>0.79649788221559004</v>
      </c>
      <c r="DJ33" s="1029">
        <f t="shared" ca="1" si="1"/>
        <v>-1412914.8569863888</v>
      </c>
    </row>
    <row r="34" spans="1:114" x14ac:dyDescent="0.25">
      <c r="A34" s="244">
        <v>37742</v>
      </c>
      <c r="B34" s="13">
        <v>21</v>
      </c>
      <c r="C34" s="210">
        <v>5</v>
      </c>
      <c r="D34" s="210">
        <v>4</v>
      </c>
      <c r="E34" s="210">
        <v>1</v>
      </c>
      <c r="F34" s="13">
        <v>31</v>
      </c>
      <c r="H34" s="1021">
        <f>(VLOOKUP(YEAR($A34),'NY East Load Projections'!$A$4:$EO$14,((MONTH($A34)-1)*12)+VLOOKUP(H$4,$DE$6:$DF$17,2)+1))*(VLOOKUP($A34,CURVES!$D$9:$K$261,7))*(INDEX(DailyScalarsTable,H$5/100,MONTH($A34)))*$B34</f>
        <v>-37000.688850330574</v>
      </c>
      <c r="I34" s="1021">
        <f>(VLOOKUP(YEAR($A34),'NY East Load Projections'!$A$4:$EO$14,((MONTH($A34)-1)*12)+VLOOKUP(I$4,$DE$6:$DF$17,2)+1))*(VLOOKUP($A34,CURVES!$D$9:$K$261,7))*(INDEX(DailyScalarsTable,I$5/100,MONTH($A34)))*$B34</f>
        <v>-33328.790613148907</v>
      </c>
      <c r="J34" s="1021">
        <f>(VLOOKUP(YEAR($A34),'NY East Load Projections'!$A$4:$EO$14,((MONTH($A34)-1)*12)+VLOOKUP(J$4,$DE$6:$DF$17,2)+1))*(VLOOKUP($A34,CURVES!$D$9:$K$261,7))*(INDEX(DailyScalarsTable,J$5/100,MONTH($A34)))*$B34</f>
        <v>-31541.411577060484</v>
      </c>
      <c r="K34" s="1021">
        <f>(VLOOKUP(YEAR($A34),'NY East Load Projections'!$A$4:$EO$14,((MONTH($A34)-1)*12)+VLOOKUP(K$4,$DE$6:$DF$17,2)+1))*(VLOOKUP($A34,CURVES!$D$9:$K$261,7))*(INDEX(DailyScalarsTable,K$5/100,MONTH($A34)))*$B34</f>
        <v>-30579.723943512898</v>
      </c>
      <c r="L34" s="1021">
        <f>(VLOOKUP(YEAR($A34),'NY East Load Projections'!$A$4:$EO$14,((MONTH($A34)-1)*12)+VLOOKUP(L$4,$DE$6:$DF$17,2)+1))*(VLOOKUP($A34,CURVES!$D$9:$K$261,7))*(INDEX(DailyScalarsTable,L$5/100,MONTH($A34)))*$B34</f>
        <v>-36737.245046389973</v>
      </c>
      <c r="M34" s="1021">
        <f>(VLOOKUP(YEAR($A34),'NY East Load Projections'!$A$4:$EO$14,((MONTH($A34)-1)*12)+VLOOKUP(M$4,$DE$6:$DF$17,2)+1))*(VLOOKUP($A34,CURVES!$D$9:$K$261,7))*(INDEX(DailyScalarsTable,M$5/100,MONTH($A34)))*$B34</f>
        <v>-44541.753677137138</v>
      </c>
      <c r="N34" s="1021">
        <f>(VLOOKUP(YEAR($A34),'NY East Load Projections'!$A$4:$EO$14,((MONTH($A34)-1)*12)+VLOOKUP(N$4,$DE$6:$DF$17,2)+1))*(VLOOKUP($A34,CURVES!$D$9:$K$261,7))*(INDEX(DailyScalarsTable,N$5/100,MONTH($A34)))*$B34</f>
        <v>-53294.876616593916</v>
      </c>
      <c r="O34" s="1021">
        <f>(VLOOKUP(YEAR($A34),'NY East Load Projections'!$A$4:$EO$14,((MONTH($A34)-1)*12)+VLOOKUP(O$4,$DE$6:$DF$17,2)+1))*(VLOOKUP($A34,CURVES!$D$9:$K$261,3))*(INDEX(DailyScalarsTable,O$5/100,MONTH($A34)))*$B34</f>
        <v>-67516.347919011416</v>
      </c>
      <c r="P34" s="1021">
        <f>(VLOOKUP(YEAR($A34),'NY East Load Projections'!$A$4:$EO$14,((MONTH($A34)-1)*12)+VLOOKUP(P$4,$DE$6:$DF$17,2)+1))*(VLOOKUP($A34,CURVES!$D$9:$K$261,3))*(INDEX(DailyScalarsTable,P$5/100,MONTH($A34)))*$B34</f>
        <v>-82926.920818712824</v>
      </c>
      <c r="Q34" s="1021">
        <f>(VLOOKUP(YEAR($A34),'NY East Load Projections'!$A$4:$EO$14,((MONTH($A34)-1)*12)+VLOOKUP(Q$4,$DE$6:$DF$17,2)+1))*(VLOOKUP($A34,CURVES!$D$9:$K$261,3))*(INDEX(DailyScalarsTable,Q$5/100,MONTH($A34)))*$B34</f>
        <v>-84397.764022686257</v>
      </c>
      <c r="R34" s="1021">
        <f>(VLOOKUP(YEAR($A34),'NY East Load Projections'!$A$4:$EO$14,((MONTH($A34)-1)*12)+VLOOKUP(R$4,$DE$6:$DF$17,2)+1))*(VLOOKUP($A34,CURVES!$D$9:$K$261,3))*(INDEX(DailyScalarsTable,R$5/100,MONTH($A34)))*$B34</f>
        <v>-89526.190769283785</v>
      </c>
      <c r="S34" s="1021">
        <f>(VLOOKUP(YEAR($A34),'NY East Load Projections'!$A$4:$EO$14,((MONTH($A34)-1)*12)+VLOOKUP(S$4,$DE$6:$DF$17,2)+1))*(VLOOKUP($A34,CURVES!$D$9:$K$261,3))*(INDEX(DailyScalarsTable,S$5/100,MONTH($A34)))*$B34</f>
        <v>-88849.342569225206</v>
      </c>
      <c r="T34" s="1021">
        <f>(VLOOKUP(YEAR($A34),'NY East Load Projections'!$A$4:$EO$14,((MONTH($A34)-1)*12)+VLOOKUP(T$4,$DE$6:$DF$17,2)+1))*(VLOOKUP($A34,CURVES!$D$9:$K$261,3))*(INDEX(DailyScalarsTable,T$5/100,MONTH($A34)))*$B34</f>
        <v>-85635.951107474146</v>
      </c>
      <c r="U34" s="1021">
        <f>(VLOOKUP(YEAR($A34),'NY East Load Projections'!$A$4:$EO$14,((MONTH($A34)-1)*12)+VLOOKUP(U$4,$DE$6:$DF$17,2)+1))*(VLOOKUP($A34,CURVES!$D$9:$K$261,3))*(INDEX(DailyScalarsTable,U$5/100,MONTH($A34)))*$B34</f>
        <v>-86048.686568346646</v>
      </c>
      <c r="V34" s="1021">
        <f>(VLOOKUP(YEAR($A34),'NY East Load Projections'!$A$4:$EO$14,((MONTH($A34)-1)*12)+VLOOKUP(V$4,$DE$6:$DF$17,2)+1))*(VLOOKUP($A34,CURVES!$D$9:$K$261,3))*(INDEX(DailyScalarsTable,V$5/100,MONTH($A34)))*$B34</f>
        <v>-83465.761426112498</v>
      </c>
      <c r="W34" s="1021">
        <f>(VLOOKUP(YEAR($A34),'NY East Load Projections'!$A$4:$EO$14,((MONTH($A34)-1)*12)+VLOOKUP(W$4,$DE$6:$DF$17,2)+1))*(VLOOKUP($A34,CURVES!$D$9:$K$261,3))*(INDEX(DailyScalarsTable,W$5/100,MONTH($A34)))*$B34</f>
        <v>-80217.133927632443</v>
      </c>
      <c r="X34" s="1021">
        <f>(VLOOKUP(YEAR($A34),'NY East Load Projections'!$A$4:$EO$14,((MONTH($A34)-1)*12)+VLOOKUP(X$4,$DE$6:$DF$17,2)+1))*(VLOOKUP($A34,CURVES!$D$9:$K$261,3))*(INDEX(DailyScalarsTable,X$5/100,MONTH($A34)))*$B34</f>
        <v>-76054.85805140117</v>
      </c>
      <c r="Y34" s="1021">
        <f>(VLOOKUP(YEAR($A34),'NY East Load Projections'!$A$4:$EO$14,((MONTH($A34)-1)*12)+VLOOKUP(Y$4,$DE$6:$DF$17,2)+1))*(VLOOKUP($A34,CURVES!$D$9:$K$261,3))*(INDEX(DailyScalarsTable,Y$5/100,MONTH($A34)))*$B34</f>
        <v>-73090.873080673555</v>
      </c>
      <c r="Z34" s="1021">
        <f>(VLOOKUP(YEAR($A34),'NY East Load Projections'!$A$4:$EO$14,((MONTH($A34)-1)*12)+VLOOKUP(Z$4,$DE$6:$DF$17,2)+1))*(VLOOKUP($A34,CURVES!$D$9:$K$261,3))*(INDEX(DailyScalarsTable,Z$5/100,MONTH($A34)))*$B34</f>
        <v>-63327.157882982632</v>
      </c>
      <c r="AA34" s="1021">
        <f>(VLOOKUP(YEAR($A34),'NY East Load Projections'!$A$4:$EO$14,((MONTH($A34)-1)*12)+VLOOKUP(AA$4,$DE$6:$DF$17,2)+1))*(VLOOKUP($A34,CURVES!$D$9:$K$261,3))*(INDEX(DailyScalarsTable,AA$5/100,MONTH($A34)))*$B34</f>
        <v>-63165.259544245433</v>
      </c>
      <c r="AB34" s="1021">
        <f>(VLOOKUP(YEAR($A34),'NY East Load Projections'!$A$4:$EO$14,((MONTH($A34)-1)*12)+VLOOKUP(AB$4,$DE$6:$DF$17,2)+1))*(VLOOKUP($A34,CURVES!$D$9:$K$261,3))*(INDEX(DailyScalarsTable,AB$5/100,MONTH($A34)))*$B34</f>
        <v>-73071.269064914901</v>
      </c>
      <c r="AC34" s="1021">
        <f>(VLOOKUP(YEAR($A34),'NY East Load Projections'!$A$4:$EO$14,((MONTH($A34)-1)*12)+VLOOKUP(AC$4,$DE$6:$DF$17,2)+1))*(VLOOKUP($A34,CURVES!$D$9:$K$261,3))*(INDEX(DailyScalarsTable,AC$5/100,MONTH($A34)))*$B34</f>
        <v>-69696.381205289668</v>
      </c>
      <c r="AD34" s="1021">
        <f>(VLOOKUP(YEAR($A34),'NY East Load Projections'!$A$4:$EO$14,((MONTH($A34)-1)*12)+VLOOKUP(AD$4,$DE$6:$DF$17,2)+1))*(VLOOKUP($A34,CURVES!$D$9:$K$261,3))*(INDEX(DailyScalarsTable,AD$5/100,MONTH($A34)))*$B34</f>
        <v>-55911.008645126683</v>
      </c>
      <c r="AE34" s="1021">
        <f>(VLOOKUP(YEAR($A34),'NY East Load Projections'!$A$4:$EO$14,((MONTH($A34)-1)*12)+VLOOKUP(AE$4,$DE$6:$DF$17,2)+1))*(VLOOKUP($A34,CURVES!$D$9:$K$261,7))*(INDEX(DailyScalarsTable,AE$5/100,MONTH($A34)))*$B34</f>
        <v>-46093.783727621281</v>
      </c>
      <c r="AF34" s="1021"/>
      <c r="AG34" s="1021">
        <f>(VLOOKUP(YEAR($A34),'NY East Load Projections'!$A$4:$EO$14,((MONTH($A34)-1)*12)+VLOOKUP(AG$4,$DE$6:$DF$17,2)+1))*(VLOOKUP($A34,CURVES!$D$9:$T$261,7))*(INDEX(DailyScalarsTable,AG$5/100,MONTH($A34)))*$C34</f>
        <v>-9378.0640803784627</v>
      </c>
      <c r="AH34" s="1021">
        <f>(VLOOKUP(YEAR($A34),'NY East Load Projections'!$A$4:$EO$14,((MONTH($A34)-1)*12)+VLOOKUP(AH$4,$DE$6:$DF$17,2)+1))*(VLOOKUP($A34,CURVES!$D$9:$T$261,7))*(INDEX(DailyScalarsTable,AH$5/100,MONTH($A34)))*$C34</f>
        <v>-8447.3977053763447</v>
      </c>
      <c r="AI34" s="1021">
        <f>(VLOOKUP(YEAR($A34),'NY East Load Projections'!$A$4:$EO$14,((MONTH($A34)-1)*12)+VLOOKUP(AI$4,$DE$6:$DF$17,2)+1))*(VLOOKUP($A34,CURVES!$D$9:$T$261,7))*(INDEX(DailyScalarsTable,AI$5/100,MONTH($A34)))*$C34</f>
        <v>-7994.3749196610324</v>
      </c>
      <c r="AJ34" s="1021">
        <f>(VLOOKUP(YEAR($A34),'NY East Load Projections'!$A$4:$EO$14,((MONTH($A34)-1)*12)+VLOOKUP(AJ$4,$DE$6:$DF$17,2)+1))*(VLOOKUP($A34,CURVES!$D$9:$T$261,7))*(INDEX(DailyScalarsTable,AJ$5/100,MONTH($A34)))*$C34</f>
        <v>-7750.6289643033324</v>
      </c>
      <c r="AK34" s="1021">
        <f>(VLOOKUP(YEAR($A34),'NY East Load Projections'!$A$4:$EO$14,((MONTH($A34)-1)*12)+VLOOKUP(AK$4,$DE$6:$DF$17,2)+1))*(VLOOKUP($A34,CURVES!$D$9:$T$261,7))*(INDEX(DailyScalarsTable,AK$5/100,MONTH($A34)))*$C34</f>
        <v>-8517.2563972095923</v>
      </c>
      <c r="AL34" s="1021">
        <f>(VLOOKUP(YEAR($A34),'NY East Load Projections'!$A$4:$EO$14,((MONTH($A34)-1)*12)+VLOOKUP(AL$4,$DE$6:$DF$17,2)+1))*(VLOOKUP($A34,CURVES!$D$9:$T$261,7))*(INDEX(DailyScalarsTable,AL$5/100,MONTH($A34)))*$C34</f>
        <v>-10326.673542626184</v>
      </c>
      <c r="AM34" s="1021">
        <f>(VLOOKUP(YEAR($A34),'NY East Load Projections'!$A$4:$EO$14,((MONTH($A34)-1)*12)+VLOOKUP(AM$4,$DE$6:$DF$17,2)+1))*(VLOOKUP($A34,CURVES!$D$9:$T$261,7))*(INDEX(DailyScalarsTable,AM$5/100,MONTH($A34)))*$C34</f>
        <v>-12356.019843839273</v>
      </c>
      <c r="AN34" s="1021">
        <f>(VLOOKUP(YEAR($A34),'NY East Load Projections'!$A$4:$EO$14,((MONTH($A34)-1)*12)+VLOOKUP(AN$4,$DE$6:$DF$17,2)+1))*(VLOOKUP($A34,SatSunCurve,3))*(INDEX(DailyScalarsTable,AN$5/100,MONTH($A34)))*$C34</f>
        <v>-10062.913136147501</v>
      </c>
      <c r="AO34" s="1021">
        <f>(VLOOKUP(YEAR($A34),'NY East Load Projections'!$A$4:$EO$14,((MONTH($A34)-1)*12)+VLOOKUP(AO$4,$DE$6:$DF$17,2)+1))*(VLOOKUP($A34,SatSunCurve,3))*(INDEX(DailyScalarsTable,AO$5/100,MONTH($A34)))*$C34</f>
        <v>-12340.17255484741</v>
      </c>
      <c r="AP34" s="1021">
        <f>(VLOOKUP(YEAR($A34),'NY East Load Projections'!$A$4:$EO$14,((MONTH($A34)-1)*12)+VLOOKUP(AP$4,$DE$6:$DF$17,2)+1))*(VLOOKUP($A34,SatSunCurve,3))*(INDEX(DailyScalarsTable,AP$5/100,MONTH($A34)))*$C34</f>
        <v>-12559.045494526858</v>
      </c>
      <c r="AQ34" s="1021">
        <f>(VLOOKUP(YEAR($A34),'NY East Load Projections'!$A$4:$EO$14,((MONTH($A34)-1)*12)+VLOOKUP(AQ$4,$DE$6:$DF$17,2)+1))*(VLOOKUP($A34,SatSunCurve,3))*(INDEX(DailyScalarsTable,AQ$5/100,MONTH($A34)))*$C34</f>
        <v>-13322.195390400331</v>
      </c>
      <c r="AR34" s="1021">
        <f>(VLOOKUP(YEAR($A34),'NY East Load Projections'!$A$4:$EO$14,((MONTH($A34)-1)*12)+VLOOKUP(AR$4,$DE$6:$DF$17,2)+1))*(VLOOKUP($A34,SatSunCurve,3))*(INDEX(DailyScalarsTable,AR$5/100,MONTH($A34)))*$C34</f>
        <v>-13221.475099574385</v>
      </c>
      <c r="AS34" s="1021">
        <f>(VLOOKUP(YEAR($A34),'NY East Load Projections'!$A$4:$EO$14,((MONTH($A34)-1)*12)+VLOOKUP(AS$4,$DE$6:$DF$17,2)+1))*(VLOOKUP($A34,SatSunCurve,3))*(INDEX(DailyScalarsTable,AS$5/100,MONTH($A34)))*$C34</f>
        <v>-12368.92021086621</v>
      </c>
      <c r="AT34" s="1021">
        <f>(VLOOKUP(YEAR($A34),'NY East Load Projections'!$A$4:$EO$14,((MONTH($A34)-1)*12)+VLOOKUP(AT$4,$DE$6:$DF$17,2)+1))*(VLOOKUP($A34,SatSunCurve,3))*(INDEX(DailyScalarsTable,AT$5/100,MONTH($A34)))*$C34</f>
        <v>-12428.534098698436</v>
      </c>
      <c r="AU34" s="1021">
        <f>(VLOOKUP(YEAR($A34),'NY East Load Projections'!$A$4:$EO$14,((MONTH($A34)-1)*12)+VLOOKUP(AU$4,$DE$6:$DF$17,2)+1))*(VLOOKUP($A34,SatSunCurve,3))*(INDEX(DailyScalarsTable,AU$5/100,MONTH($A34)))*$C34</f>
        <v>-12055.46654258711</v>
      </c>
      <c r="AV34" s="1021">
        <f>(VLOOKUP(YEAR($A34),'NY East Load Projections'!$A$4:$EO$14,((MONTH($A34)-1)*12)+VLOOKUP(AV$4,$DE$6:$DF$17,2)+1))*(VLOOKUP($A34,SatSunCurve,3))*(INDEX(DailyScalarsTable,AV$5/100,MONTH($A34)))*$C34</f>
        <v>-11586.247554488329</v>
      </c>
      <c r="AW34" s="1021">
        <f>(VLOOKUP(YEAR($A34),'NY East Load Projections'!$A$4:$EO$14,((MONTH($A34)-1)*12)+VLOOKUP(AW$4,$DE$6:$DF$17,2)+1))*(VLOOKUP($A34,SatSunCurve,3))*(INDEX(DailyScalarsTable,AW$5/100,MONTH($A34)))*$C34</f>
        <v>-10887.541865799414</v>
      </c>
      <c r="AX34" s="1021">
        <f>(VLOOKUP(YEAR($A34),'NY East Load Projections'!$A$4:$EO$14,((MONTH($A34)-1)*12)+VLOOKUP(AX$4,$DE$6:$DF$17,2)+1))*(VLOOKUP($A34,SatSunCurve,3))*(INDEX(DailyScalarsTable,AX$5/100,MONTH($A34)))*$C34</f>
        <v>-10463.236156930856</v>
      </c>
      <c r="AY34" s="1021">
        <f>(VLOOKUP(YEAR($A34),'NY East Load Projections'!$A$4:$EO$14,((MONTH($A34)-1)*12)+VLOOKUP(AY$4,$DE$6:$DF$17,2)+1))*(VLOOKUP($A34,SatSunCurve,3))*(INDEX(DailyScalarsTable,AY$5/100,MONTH($A34)))*$C34</f>
        <v>-9065.5232335991514</v>
      </c>
      <c r="AZ34" s="1021">
        <f>(VLOOKUP(YEAR($A34),'NY East Load Projections'!$A$4:$EO$14,((MONTH($A34)-1)*12)+VLOOKUP(AZ$4,$DE$6:$DF$17,2)+1))*(VLOOKUP($A34,SatSunCurve,3))*(INDEX(DailyScalarsTable,AZ$5/100,MONTH($A34)))*$C34</f>
        <v>-9042.3468713500315</v>
      </c>
      <c r="BA34" s="1021">
        <f>(VLOOKUP(YEAR($A34),'NY East Load Projections'!$A$4:$EO$14,((MONTH($A34)-1)*12)+VLOOKUP(BA$4,$DE$6:$DF$17,2)+1))*(VLOOKUP($A34,SatSunCurve,3))*(INDEX(DailyScalarsTable,BA$5/100,MONTH($A34)))*$C34</f>
        <v>-11562.407730657078</v>
      </c>
      <c r="BB34" s="1021">
        <f>(VLOOKUP(YEAR($A34),'NY East Load Projections'!$A$4:$EO$14,((MONTH($A34)-1)*12)+VLOOKUP(BB$4,$DE$6:$DF$17,2)+1))*(VLOOKUP($A34,SatSunCurve,3))*(INDEX(DailyScalarsTable,BB$5/100,MONTH($A34)))*$C34</f>
        <v>-11028.383483130114</v>
      </c>
      <c r="BC34" s="1021">
        <f>(VLOOKUP(YEAR($A34),'NY East Load Projections'!$A$4:$EO$14,((MONTH($A34)-1)*12)+VLOOKUP(BC$4,$DE$6:$DF$17,2)+1))*(VLOOKUP($A34,SatSunCurve,3))*(INDEX(DailyScalarsTable,BC$5/100,MONTH($A34)))*$C34</f>
        <v>-8847.05968378545</v>
      </c>
      <c r="BD34" s="1021">
        <f>(VLOOKUP(YEAR($A34),'NY East Load Projections'!$A$4:$EO$14,((MONTH($A34)-1)*12)+VLOOKUP(BD$4,$DE$6:$DF$17,2)+1))*(VLOOKUP($A34,CURVES!$D$9:$T$261,7))*(INDEX(DailyScalarsTable,BD$5/100,MONTH($A34)))*$C34</f>
        <v>-11345.466151024229</v>
      </c>
      <c r="BE34" s="1021"/>
      <c r="BF34" s="1021">
        <f>(VLOOKUP(YEAR($A34),'NY East Load Projections'!$A$4:$EO$14,((MONTH($A34)-1)*12)+VLOOKUP(BF$4,$DE$6:$DF$17,2)+1))*(VLOOKUP($A34,CURVES!$D$9:$T$261,7))*(INDEX(DailyScalarsTable,BF$5/100,MONTH($A34)))*$D34</f>
        <v>-7502.4512643027701</v>
      </c>
      <c r="BG34" s="1021">
        <f>(VLOOKUP(YEAR($A34),'NY East Load Projections'!$A$4:$EO$14,((MONTH($A34)-1)*12)+VLOOKUP(BG$4,$DE$6:$DF$17,2)+1))*(VLOOKUP($A34,CURVES!$D$9:$T$261,7))*(INDEX(DailyScalarsTable,BG$5/100,MONTH($A34)))*$D34</f>
        <v>-6757.9181643010761</v>
      </c>
      <c r="BH34" s="1021">
        <f>(VLOOKUP(YEAR($A34),'NY East Load Projections'!$A$4:$EO$14,((MONTH($A34)-1)*12)+VLOOKUP(BH$4,$DE$6:$DF$17,2)+1))*(VLOOKUP($A34,CURVES!$D$9:$T$261,7))*(INDEX(DailyScalarsTable,BH$5/100,MONTH($A34)))*$D34</f>
        <v>-6395.4999357288261</v>
      </c>
      <c r="BI34" s="1021">
        <f>(VLOOKUP(YEAR($A34),'NY East Load Projections'!$A$4:$EO$14,((MONTH($A34)-1)*12)+VLOOKUP(BI$4,$DE$6:$DF$17,2)+1))*(VLOOKUP($A34,CURVES!$D$9:$T$261,7))*(INDEX(DailyScalarsTable,BI$5/100,MONTH($A34)))*$D34</f>
        <v>-6200.5031714426659</v>
      </c>
      <c r="BJ34" s="1021">
        <f>(VLOOKUP(YEAR($A34),'NY East Load Projections'!$A$4:$EO$14,((MONTH($A34)-1)*12)+VLOOKUP(BJ$4,$DE$6:$DF$17,2)+1))*(VLOOKUP($A34,CURVES!$D$9:$T$261,7))*(INDEX(DailyScalarsTable,BJ$5/100,MONTH($A34)))*$D34</f>
        <v>-6813.8051177676743</v>
      </c>
      <c r="BK34" s="1021">
        <f>(VLOOKUP(YEAR($A34),'NY East Load Projections'!$A$4:$EO$14,((MONTH($A34)-1)*12)+VLOOKUP(BK$4,$DE$6:$DF$17,2)+1))*(VLOOKUP($A34,CURVES!$D$9:$T$261,7))*(INDEX(DailyScalarsTable,BK$5/100,MONTH($A34)))*$D34</f>
        <v>-8261.3388341009468</v>
      </c>
      <c r="BL34" s="1021">
        <f>(VLOOKUP(YEAR($A34),'NY East Load Projections'!$A$4:$EO$14,((MONTH($A34)-1)*12)+VLOOKUP(BL$4,$DE$6:$DF$17,2)+1))*(VLOOKUP($A34,CURVES!$D$9:$T$261,7))*(INDEX(DailyScalarsTable,BL$5/100,MONTH($A34)))*$D34</f>
        <v>-9884.8158750714174</v>
      </c>
      <c r="BM34" s="1021">
        <f>(VLOOKUP(YEAR($A34),'NY East Load Projections'!$A$4:$EO$14,((MONTH($A34)-1)*12)+VLOOKUP(BM$4,$DE$6:$DF$17,2)+1))*(VLOOKUP($A34,SatSunCurve,7))*(INDEX(DailyScalarsTable,BM$5/100,MONTH($A34)))*$D34</f>
        <v>-7727.4984669153582</v>
      </c>
      <c r="BN34" s="1021">
        <f>(VLOOKUP(YEAR($A34),'NY East Load Projections'!$A$4:$EO$14,((MONTH($A34)-1)*12)+VLOOKUP(BN$4,$DE$6:$DF$17,2)+1))*(VLOOKUP($A34,SatSunCurve,7))*(INDEX(DailyScalarsTable,BN$5/100,MONTH($A34)))*$D34</f>
        <v>-9476.248399333952</v>
      </c>
      <c r="BO34" s="1021">
        <f>(VLOOKUP(YEAR($A34),'NY East Load Projections'!$A$4:$EO$14,((MONTH($A34)-1)*12)+VLOOKUP(BO$4,$DE$6:$DF$17,2)+1))*(VLOOKUP($A34,SatSunCurve,7))*(INDEX(DailyScalarsTable,BO$5/100,MONTH($A34)))*$D34</f>
        <v>-9644.3250072643805</v>
      </c>
      <c r="BP34" s="1021">
        <f>(VLOOKUP(YEAR($A34),'NY East Load Projections'!$A$4:$EO$14,((MONTH($A34)-1)*12)+VLOOKUP(BP$4,$DE$6:$DF$17,2)+1))*(VLOOKUP($A34,SatSunCurve,7))*(INDEX(DailyScalarsTable,BP$5/100,MONTH($A34)))*$D34</f>
        <v>-10230.362029605862</v>
      </c>
      <c r="BQ34" s="1021">
        <f>(VLOOKUP(YEAR($A34),'NY East Load Projections'!$A$4:$EO$14,((MONTH($A34)-1)*12)+VLOOKUP(BQ$4,$DE$6:$DF$17,2)+1))*(VLOOKUP($A34,SatSunCurve,7))*(INDEX(DailyScalarsTable,BQ$5/100,MONTH($A34)))*$D34</f>
        <v>-10153.017041885663</v>
      </c>
      <c r="BR34" s="1021">
        <f>(VLOOKUP(YEAR($A34),'NY East Load Projections'!$A$4:$EO$14,((MONTH($A34)-1)*12)+VLOOKUP(BR$4,$DE$6:$DF$17,2)+1))*(VLOOKUP($A34,SatSunCurve,7))*(INDEX(DailyScalarsTable,BR$5/100,MONTH($A34)))*$D34</f>
        <v>-9498.324259952753</v>
      </c>
      <c r="BS34" s="1021">
        <f>(VLOOKUP(YEAR($A34),'NY East Load Projections'!$A$4:$EO$14,((MONTH($A34)-1)*12)+VLOOKUP(BS$4,$DE$6:$DF$17,2)+1))*(VLOOKUP($A34,SatSunCurve,7))*(INDEX(DailyScalarsTable,BS$5/100,MONTH($A34)))*$D34</f>
        <v>-9544.1028750116056</v>
      </c>
      <c r="BT34" s="1021">
        <f>(VLOOKUP(YEAR($A34),'NY East Load Projections'!$A$4:$EO$14,((MONTH($A34)-1)*12)+VLOOKUP(BT$4,$DE$6:$DF$17,2)+1))*(VLOOKUP($A34,SatSunCurve,7))*(INDEX(DailyScalarsTable,BT$5/100,MONTH($A34)))*$D34</f>
        <v>-9257.6173485142754</v>
      </c>
      <c r="BU34" s="1021">
        <f>(VLOOKUP(YEAR($A34),'NY East Load Projections'!$A$4:$EO$14,((MONTH($A34)-1)*12)+VLOOKUP(BU$4,$DE$6:$DF$17,2)+1))*(VLOOKUP($A34,SatSunCurve,7))*(INDEX(DailyScalarsTable,BU$5/100,MONTH($A34)))*$D34</f>
        <v>-8897.2953461155685</v>
      </c>
      <c r="BV34" s="1021">
        <f>(VLOOKUP(YEAR($A34),'NY East Load Projections'!$A$4:$EO$14,((MONTH($A34)-1)*12)+VLOOKUP(BV$4,$DE$6:$DF$17,2)+1))*(VLOOKUP($A34,SatSunCurve,7))*(INDEX(DailyScalarsTable,BV$5/100,MONTH($A34)))*$D34</f>
        <v>-8360.7462310512929</v>
      </c>
      <c r="BW34" s="1021">
        <f>(VLOOKUP(YEAR($A34),'NY East Load Projections'!$A$4:$EO$14,((MONTH($A34)-1)*12)+VLOOKUP(BW$4,$DE$6:$DF$17,2)+1))*(VLOOKUP($A34,SatSunCurve,7))*(INDEX(DailyScalarsTable,BW$5/100,MONTH($A34)))*$D34</f>
        <v>-8034.9139724971392</v>
      </c>
      <c r="BX34" s="1021">
        <f>(VLOOKUP(YEAR($A34),'NY East Load Projections'!$A$4:$EO$14,((MONTH($A34)-1)*12)+VLOOKUP(BX$4,$DE$6:$DF$17,2)+1))*(VLOOKUP($A34,SatSunCurve,7))*(INDEX(DailyScalarsTable,BX$5/100,MONTH($A34)))*$D34</f>
        <v>-6961.5841796128734</v>
      </c>
      <c r="BY34" s="1021">
        <f>(VLOOKUP(YEAR($A34),'NY East Load Projections'!$A$4:$EO$14,((MONTH($A34)-1)*12)+VLOOKUP(BY$4,$DE$6:$DF$17,2)+1))*(VLOOKUP($A34,SatSunCurve,7))*(INDEX(DailyScalarsTable,BY$5/100,MONTH($A34)))*$D34</f>
        <v>-6943.7866192716829</v>
      </c>
      <c r="BZ34" s="1021">
        <f>(VLOOKUP(YEAR($A34),'NY East Load Projections'!$A$4:$EO$14,((MONTH($A34)-1)*12)+VLOOKUP(BZ$4,$DE$6:$DF$17,2)+1))*(VLOOKUP($A34,SatSunCurve,7))*(INDEX(DailyScalarsTable,BZ$5/100,MONTH($A34)))*$D34</f>
        <v>-8878.9883012653299</v>
      </c>
      <c r="CA34" s="1021">
        <f>(VLOOKUP(YEAR($A34),'NY East Load Projections'!$A$4:$EO$14,((MONTH($A34)-1)*12)+VLOOKUP(CA$4,$DE$6:$DF$17,2)+1))*(VLOOKUP($A34,SatSunCurve,7))*(INDEX(DailyScalarsTable,CA$5/100,MONTH($A34)))*$D34</f>
        <v>-8468.9011328452216</v>
      </c>
      <c r="CB34" s="1021">
        <f>(VLOOKUP(YEAR($A34),'NY East Load Projections'!$A$4:$EO$14,((MONTH($A34)-1)*12)+VLOOKUP(CB$4,$DE$6:$DF$17,2)+1))*(VLOOKUP($A34,SatSunCurve,7))*(INDEX(DailyScalarsTable,CB$5/100,MONTH($A34)))*$D34</f>
        <v>-6793.8219497871905</v>
      </c>
      <c r="CC34" s="1021">
        <f>(VLOOKUP(YEAR($A34),'NY East Load Projections'!$A$4:$EO$14,((MONTH($A34)-1)*12)+VLOOKUP(CC$4,$DE$6:$DF$17,2)+1))*(VLOOKUP($A34,CURVES!$D$9:$T$261,7))*(INDEX(DailyScalarsTable,CC$5/100,MONTH($A34)))*$D34</f>
        <v>-9076.3729208193836</v>
      </c>
      <c r="CE34" s="1021">
        <f>(VLOOKUP(YEAR($A34),'NY East Load Projections'!$A$4:$EO$14,((MONTH($A34)-1)*12)+VLOOKUP(CE$4,$DE$6:$DF$17,2)+1))*(VLOOKUP($A34,CURVES!$D$9:$T$261,7))*(INDEX(DailyScalarsTable,CE$5/100,MONTH($A34)))*$E34</f>
        <v>-1875.6128160756925</v>
      </c>
      <c r="CF34" s="1021">
        <f>(VLOOKUP(YEAR($A34),'NY East Load Projections'!$A$4:$EO$14,((MONTH($A34)-1)*12)+VLOOKUP(CF$4,$DE$6:$DF$17,2)+1))*(VLOOKUP($A34,CURVES!$D$9:$T$261,7))*(INDEX(DailyScalarsTable,CF$5/100,MONTH($A34)))*$E34</f>
        <v>-1689.479541075269</v>
      </c>
      <c r="CG34" s="1021">
        <f>(VLOOKUP(YEAR($A34),'NY East Load Projections'!$A$4:$EO$14,((MONTH($A34)-1)*12)+VLOOKUP(CG$4,$DE$6:$DF$17,2)+1))*(VLOOKUP($A34,CURVES!$D$9:$T$261,7))*(INDEX(DailyScalarsTable,CG$5/100,MONTH($A34)))*$E34</f>
        <v>-1598.8749839322065</v>
      </c>
      <c r="CH34" s="1021">
        <f>(VLOOKUP(YEAR($A34),'NY East Load Projections'!$A$4:$EO$14,((MONTH($A34)-1)*12)+VLOOKUP(CH$4,$DE$6:$DF$17,2)+1))*(VLOOKUP($A34,CURVES!$D$9:$T$261,7))*(INDEX(DailyScalarsTable,CH$5/100,MONTH($A34)))*$E34</f>
        <v>-1550.1257928606665</v>
      </c>
      <c r="CI34" s="1021">
        <f>(VLOOKUP(YEAR($A34),'NY East Load Projections'!$A$4:$EO$14,((MONTH($A34)-1)*12)+VLOOKUP(CI$4,$DE$6:$DF$17,2)+1))*(VLOOKUP($A34,CURVES!$D$9:$T$261,7))*(INDEX(DailyScalarsTable,CI$5/100,MONTH($A34)))*$E34</f>
        <v>-1703.4512794419186</v>
      </c>
      <c r="CJ34" s="1021">
        <f>(VLOOKUP(YEAR($A34),'NY East Load Projections'!$A$4:$EO$14,((MONTH($A34)-1)*12)+VLOOKUP(CJ$4,$DE$6:$DF$17,2)+1))*(VLOOKUP($A34,CURVES!$D$9:$T$261,7))*(INDEX(DailyScalarsTable,CJ$5/100,MONTH($A34)))*$E34</f>
        <v>-2065.3347085252367</v>
      </c>
      <c r="CK34" s="1021">
        <f>(VLOOKUP(YEAR($A34),'NY East Load Projections'!$A$4:$EO$14,((MONTH($A34)-1)*12)+VLOOKUP(CK$4,$DE$6:$DF$17,2)+1))*(VLOOKUP($A34,CURVES!$D$9:$T$261,7))*(INDEX(DailyScalarsTable,CK$5/100,MONTH($A34)))*$E34</f>
        <v>-2471.2039687678543</v>
      </c>
      <c r="CL34" s="1021">
        <f>(VLOOKUP(YEAR($A34),'NY East Load Projections'!$A$4:$EO$14,((MONTH($A34)-1)*12)+VLOOKUP(CL$4,$DE$6:$DF$17,2)+1))*(VLOOKUP($A34,SatSunCurve,7))*(INDEX(DailyScalarsTable,CL$5/100,MONTH($A34)))*$E34</f>
        <v>-1931.8746167288396</v>
      </c>
      <c r="CM34" s="1021">
        <f>(VLOOKUP(YEAR($A34),'NY East Load Projections'!$A$4:$EO$14,((MONTH($A34)-1)*12)+VLOOKUP(CM$4,$DE$6:$DF$17,2)+1))*(VLOOKUP($A34,SatSunCurve,7))*(INDEX(DailyScalarsTable,CM$5/100,MONTH($A34)))*$E34</f>
        <v>-2369.062099833488</v>
      </c>
      <c r="CN34" s="1021">
        <f>(VLOOKUP(YEAR($A34),'NY East Load Projections'!$A$4:$EO$14,((MONTH($A34)-1)*12)+VLOOKUP(CN$4,$DE$6:$DF$17,2)+1))*(VLOOKUP($A34,SatSunCurve,7))*(INDEX(DailyScalarsTable,CN$5/100,MONTH($A34)))*$E34</f>
        <v>-2411.0812518160951</v>
      </c>
      <c r="CO34" s="1021">
        <f>(VLOOKUP(YEAR($A34),'NY East Load Projections'!$A$4:$EO$14,((MONTH($A34)-1)*12)+VLOOKUP(CO$4,$DE$6:$DF$17,2)+1))*(VLOOKUP($A34,SatSunCurve,7))*(INDEX(DailyScalarsTable,CO$5/100,MONTH($A34)))*$E34</f>
        <v>-2557.5905074014654</v>
      </c>
      <c r="CP34" s="1021">
        <f>(VLOOKUP(YEAR($A34),'NY East Load Projections'!$A$4:$EO$14,((MONTH($A34)-1)*12)+VLOOKUP(CP$4,$DE$6:$DF$17,2)+1))*(VLOOKUP($A34,SatSunCurve,7))*(INDEX(DailyScalarsTable,CP$5/100,MONTH($A34)))*$E34</f>
        <v>-2538.2542604714158</v>
      </c>
      <c r="CQ34" s="1021">
        <f>(VLOOKUP(YEAR($A34),'NY East Load Projections'!$A$4:$EO$14,((MONTH($A34)-1)*12)+VLOOKUP(CQ$4,$DE$6:$DF$17,2)+1))*(VLOOKUP($A34,SatSunCurve,7))*(INDEX(DailyScalarsTable,CQ$5/100,MONTH($A34)))*$E34</f>
        <v>-2374.5810649881882</v>
      </c>
      <c r="CR34" s="1021">
        <f>(VLOOKUP(YEAR($A34),'NY East Load Projections'!$A$4:$EO$14,((MONTH($A34)-1)*12)+VLOOKUP(CR$4,$DE$6:$DF$17,2)+1))*(VLOOKUP($A34,SatSunCurve,7))*(INDEX(DailyScalarsTable,CR$5/100,MONTH($A34)))*$E34</f>
        <v>-2386.0257187529014</v>
      </c>
      <c r="CS34" s="1021">
        <f>(VLOOKUP(YEAR($A34),'NY East Load Projections'!$A$4:$EO$14,((MONTH($A34)-1)*12)+VLOOKUP(CS$4,$DE$6:$DF$17,2)+1))*(VLOOKUP($A34,SatSunCurve,7))*(INDEX(DailyScalarsTable,CS$5/100,MONTH($A34)))*$E34</f>
        <v>-2314.4043371285688</v>
      </c>
      <c r="CT34" s="1021">
        <f>(VLOOKUP(YEAR($A34),'NY East Load Projections'!$A$4:$EO$14,((MONTH($A34)-1)*12)+VLOOKUP(CT$4,$DE$6:$DF$17,2)+1))*(VLOOKUP($A34,SatSunCurve,7))*(INDEX(DailyScalarsTable,CT$5/100,MONTH($A34)))*$E34</f>
        <v>-2224.3238365288921</v>
      </c>
      <c r="CU34" s="1021">
        <f>(VLOOKUP(YEAR($A34),'NY East Load Projections'!$A$4:$EO$14,((MONTH($A34)-1)*12)+VLOOKUP(CU$4,$DE$6:$DF$17,2)+1))*(VLOOKUP($A34,SatSunCurve,7))*(INDEX(DailyScalarsTable,CU$5/100,MONTH($A34)))*$E34</f>
        <v>-2090.1865577628232</v>
      </c>
      <c r="CV34" s="1021">
        <f>(VLOOKUP(YEAR($A34),'NY East Load Projections'!$A$4:$EO$14,((MONTH($A34)-1)*12)+VLOOKUP(CV$4,$DE$6:$DF$17,2)+1))*(VLOOKUP($A34,SatSunCurve,7))*(INDEX(DailyScalarsTable,CV$5/100,MONTH($A34)))*$E34</f>
        <v>-2008.7284931242848</v>
      </c>
      <c r="CW34" s="1021">
        <f>(VLOOKUP(YEAR($A34),'NY East Load Projections'!$A$4:$EO$14,((MONTH($A34)-1)*12)+VLOOKUP(CW$4,$DE$6:$DF$17,2)+1))*(VLOOKUP($A34,SatSunCurve,7))*(INDEX(DailyScalarsTable,CW$5/100,MONTH($A34)))*$E34</f>
        <v>-1740.3960449032184</v>
      </c>
      <c r="CX34" s="1021">
        <f>(VLOOKUP(YEAR($A34),'NY East Load Projections'!$A$4:$EO$14,((MONTH($A34)-1)*12)+VLOOKUP(CX$4,$DE$6:$DF$17,2)+1))*(VLOOKUP($A34,SatSunCurve,7))*(INDEX(DailyScalarsTable,CX$5/100,MONTH($A34)))*$E34</f>
        <v>-1735.9466548179207</v>
      </c>
      <c r="CY34" s="1021">
        <f>(VLOOKUP(YEAR($A34),'NY East Load Projections'!$A$4:$EO$14,((MONTH($A34)-1)*12)+VLOOKUP(CY$4,$DE$6:$DF$17,2)+1))*(VLOOKUP($A34,SatSunCurve,7))*(INDEX(DailyScalarsTable,CY$5/100,MONTH($A34)))*$E34</f>
        <v>-2219.7470753163325</v>
      </c>
      <c r="CZ34" s="1021">
        <f>(VLOOKUP(YEAR($A34),'NY East Load Projections'!$A$4:$EO$14,((MONTH($A34)-1)*12)+VLOOKUP(CZ$4,$DE$6:$DF$17,2)+1))*(VLOOKUP($A34,SatSunCurve,7))*(INDEX(DailyScalarsTable,CZ$5/100,MONTH($A34)))*$E34</f>
        <v>-2117.2252832113054</v>
      </c>
      <c r="DA34" s="1021">
        <f>(VLOOKUP(YEAR($A34),'NY East Load Projections'!$A$4:$EO$14,((MONTH($A34)-1)*12)+VLOOKUP(DA$4,$DE$6:$DF$17,2)+1))*(VLOOKUP($A34,SatSunCurve,7))*(INDEX(DailyScalarsTable,DA$5/100,MONTH($A34)))*$E34</f>
        <v>-1698.4554874467976</v>
      </c>
      <c r="DB34" s="1021">
        <f>(VLOOKUP(YEAR($A34),'NY East Load Projections'!$A$4:$EO$14,((MONTH($A34)-1)*12)+VLOOKUP(DB$4,$DE$6:$DF$17,2)+1))*(VLOOKUP($A34,CURVES!$D$9:$T$261,7))*(INDEX(DailyScalarsTable,DB$5/100,MONTH($A34)))*$E34</f>
        <v>-2269.0932302048459</v>
      </c>
      <c r="DH34" s="1032">
        <f t="shared" si="0"/>
        <v>-2042681.8294223023</v>
      </c>
      <c r="DI34">
        <f ca="1">CALC!J54</f>
        <v>0.79157518043313924</v>
      </c>
      <c r="DJ34" s="1029">
        <f t="shared" ca="1" si="1"/>
        <v>-1616936.2376924539</v>
      </c>
    </row>
    <row r="35" spans="1:114" x14ac:dyDescent="0.25">
      <c r="A35" s="244">
        <v>37773</v>
      </c>
      <c r="B35" s="13">
        <v>21</v>
      </c>
      <c r="C35" s="210">
        <v>4</v>
      </c>
      <c r="D35" s="210">
        <v>5</v>
      </c>
      <c r="E35" s="210">
        <v>0</v>
      </c>
      <c r="F35" s="13">
        <v>30</v>
      </c>
      <c r="H35" s="1021">
        <f>(VLOOKUP(YEAR($A35),'NY East Load Projections'!$A$4:$EO$14,((MONTH($A35)-1)*12)+VLOOKUP(H$4,$DE$6:$DF$17,2)+1))*(VLOOKUP($A35,CURVES!$D$9:$K$261,7))*(INDEX(DailyScalarsTable,H$5/100,MONTH($A35)))*$B35</f>
        <v>-44313.612128169174</v>
      </c>
      <c r="I35" s="1021">
        <f>(VLOOKUP(YEAR($A35),'NY East Load Projections'!$A$4:$EO$14,((MONTH($A35)-1)*12)+VLOOKUP(I$4,$DE$6:$DF$17,2)+1))*(VLOOKUP($A35,CURVES!$D$9:$K$261,7))*(INDEX(DailyScalarsTable,I$5/100,MONTH($A35)))*$B35</f>
        <v>-36714.400424592677</v>
      </c>
      <c r="J35" s="1021">
        <f>(VLOOKUP(YEAR($A35),'NY East Load Projections'!$A$4:$EO$14,((MONTH($A35)-1)*12)+VLOOKUP(J$4,$DE$6:$DF$17,2)+1))*(VLOOKUP($A35,CURVES!$D$9:$K$261,7))*(INDEX(DailyScalarsTable,J$5/100,MONTH($A35)))*$B35</f>
        <v>-30861.87320213675</v>
      </c>
      <c r="K35" s="1021">
        <f>(VLOOKUP(YEAR($A35),'NY East Load Projections'!$A$4:$EO$14,((MONTH($A35)-1)*12)+VLOOKUP(K$4,$DE$6:$DF$17,2)+1))*(VLOOKUP($A35,CURVES!$D$9:$K$261,7))*(INDEX(DailyScalarsTable,K$5/100,MONTH($A35)))*$B35</f>
        <v>-28650.162333185392</v>
      </c>
      <c r="L35" s="1021">
        <f>(VLOOKUP(YEAR($A35),'NY East Load Projections'!$A$4:$EO$14,((MONTH($A35)-1)*12)+VLOOKUP(L$4,$DE$6:$DF$17,2)+1))*(VLOOKUP($A35,CURVES!$D$9:$K$261,7))*(INDEX(DailyScalarsTable,L$5/100,MONTH($A35)))*$B35</f>
        <v>-34125.312462871363</v>
      </c>
      <c r="M35" s="1021">
        <f>(VLOOKUP(YEAR($A35),'NY East Load Projections'!$A$4:$EO$14,((MONTH($A35)-1)*12)+VLOOKUP(M$4,$DE$6:$DF$17,2)+1))*(VLOOKUP($A35,CURVES!$D$9:$K$261,7))*(INDEX(DailyScalarsTable,M$5/100,MONTH($A35)))*$B35</f>
        <v>-41635.372103422967</v>
      </c>
      <c r="N35" s="1021">
        <f>(VLOOKUP(YEAR($A35),'NY East Load Projections'!$A$4:$EO$14,((MONTH($A35)-1)*12)+VLOOKUP(N$4,$DE$6:$DF$17,2)+1))*(VLOOKUP($A35,CURVES!$D$9:$K$261,7))*(INDEX(DailyScalarsTable,N$5/100,MONTH($A35)))*$B35</f>
        <v>-47738.073967221128</v>
      </c>
      <c r="O35" s="1021">
        <f>(VLOOKUP(YEAR($A35),'NY East Load Projections'!$A$4:$EO$14,((MONTH($A35)-1)*12)+VLOOKUP(O$4,$DE$6:$DF$17,2)+1))*(VLOOKUP($A35,CURVES!$D$9:$K$261,3))*(INDEX(DailyScalarsTable,O$5/100,MONTH($A35)))*$B35</f>
        <v>-68634.798031931918</v>
      </c>
      <c r="P35" s="1021">
        <f>(VLOOKUP(YEAR($A35),'NY East Load Projections'!$A$4:$EO$14,((MONTH($A35)-1)*12)+VLOOKUP(P$4,$DE$6:$DF$17,2)+1))*(VLOOKUP($A35,CURVES!$D$9:$K$261,3))*(INDEX(DailyScalarsTable,P$5/100,MONTH($A35)))*$B35</f>
        <v>-90651.663267971147</v>
      </c>
      <c r="Q35" s="1021">
        <f>(VLOOKUP(YEAR($A35),'NY East Load Projections'!$A$4:$EO$14,((MONTH($A35)-1)*12)+VLOOKUP(Q$4,$DE$6:$DF$17,2)+1))*(VLOOKUP($A35,CURVES!$D$9:$K$261,3))*(INDEX(DailyScalarsTable,Q$5/100,MONTH($A35)))*$B35</f>
        <v>-101393.21004608655</v>
      </c>
      <c r="R35" s="1021">
        <f>(VLOOKUP(YEAR($A35),'NY East Load Projections'!$A$4:$EO$14,((MONTH($A35)-1)*12)+VLOOKUP(R$4,$DE$6:$DF$17,2)+1))*(VLOOKUP($A35,CURVES!$D$9:$K$261,3))*(INDEX(DailyScalarsTable,R$5/100,MONTH($A35)))*$B35</f>
        <v>-116631.58779788045</v>
      </c>
      <c r="S35" s="1021">
        <f>(VLOOKUP(YEAR($A35),'NY East Load Projections'!$A$4:$EO$14,((MONTH($A35)-1)*12)+VLOOKUP(S$4,$DE$6:$DF$17,2)+1))*(VLOOKUP($A35,CURVES!$D$9:$K$261,3))*(INDEX(DailyScalarsTable,S$5/100,MONTH($A35)))*$B35</f>
        <v>-125784.14836621551</v>
      </c>
      <c r="T35" s="1021">
        <f>(VLOOKUP(YEAR($A35),'NY East Load Projections'!$A$4:$EO$14,((MONTH($A35)-1)*12)+VLOOKUP(T$4,$DE$6:$DF$17,2)+1))*(VLOOKUP($A35,CURVES!$D$9:$K$261,3))*(INDEX(DailyScalarsTable,T$5/100,MONTH($A35)))*$B35</f>
        <v>-132652.96209144508</v>
      </c>
      <c r="U35" s="1021">
        <f>(VLOOKUP(YEAR($A35),'NY East Load Projections'!$A$4:$EO$14,((MONTH($A35)-1)*12)+VLOOKUP(U$4,$DE$6:$DF$17,2)+1))*(VLOOKUP($A35,CURVES!$D$9:$K$261,3))*(INDEX(DailyScalarsTable,U$5/100,MONTH($A35)))*$B35</f>
        <v>-146698.75956064623</v>
      </c>
      <c r="V35" s="1021">
        <f>(VLOOKUP(YEAR($A35),'NY East Load Projections'!$A$4:$EO$14,((MONTH($A35)-1)*12)+VLOOKUP(V$4,$DE$6:$DF$17,2)+1))*(VLOOKUP($A35,CURVES!$D$9:$K$261,3))*(INDEX(DailyScalarsTable,V$5/100,MONTH($A35)))*$B35</f>
        <v>-147827.58369709182</v>
      </c>
      <c r="W35" s="1021">
        <f>(VLOOKUP(YEAR($A35),'NY East Load Projections'!$A$4:$EO$14,((MONTH($A35)-1)*12)+VLOOKUP(W$4,$DE$6:$DF$17,2)+1))*(VLOOKUP($A35,CURVES!$D$9:$K$261,3))*(INDEX(DailyScalarsTable,W$5/100,MONTH($A35)))*$B35</f>
        <v>-148069.47458347294</v>
      </c>
      <c r="X35" s="1021">
        <f>(VLOOKUP(YEAR($A35),'NY East Load Projections'!$A$4:$EO$14,((MONTH($A35)-1)*12)+VLOOKUP(X$4,$DE$6:$DF$17,2)+1))*(VLOOKUP($A35,CURVES!$D$9:$K$261,3))*(INDEX(DailyScalarsTable,X$5/100,MONTH($A35)))*$B35</f>
        <v>-141570.75357120932</v>
      </c>
      <c r="Y35" s="1021">
        <f>(VLOOKUP(YEAR($A35),'NY East Load Projections'!$A$4:$EO$14,((MONTH($A35)-1)*12)+VLOOKUP(Y$4,$DE$6:$DF$17,2)+1))*(VLOOKUP($A35,CURVES!$D$9:$K$261,3))*(INDEX(DailyScalarsTable,Y$5/100,MONTH($A35)))*$B35</f>
        <v>-137368.08518205219</v>
      </c>
      <c r="Z35" s="1021">
        <f>(VLOOKUP(YEAR($A35),'NY East Load Projections'!$A$4:$EO$14,((MONTH($A35)-1)*12)+VLOOKUP(Z$4,$DE$6:$DF$17,2)+1))*(VLOOKUP($A35,CURVES!$D$9:$K$261,3))*(INDEX(DailyScalarsTable,Z$5/100,MONTH($A35)))*$B35</f>
        <v>-117295.41269521156</v>
      </c>
      <c r="AA35" s="1021">
        <f>(VLOOKUP(YEAR($A35),'NY East Load Projections'!$A$4:$EO$14,((MONTH($A35)-1)*12)+VLOOKUP(AA$4,$DE$6:$DF$17,2)+1))*(VLOOKUP($A35,CURVES!$D$9:$K$261,3))*(INDEX(DailyScalarsTable,AA$5/100,MONTH($A35)))*$B35</f>
        <v>-93793.848309636291</v>
      </c>
      <c r="AB35" s="1021">
        <f>(VLOOKUP(YEAR($A35),'NY East Load Projections'!$A$4:$EO$14,((MONTH($A35)-1)*12)+VLOOKUP(AB$4,$DE$6:$DF$17,2)+1))*(VLOOKUP($A35,CURVES!$D$9:$K$261,3))*(INDEX(DailyScalarsTable,AB$5/100,MONTH($A35)))*$B35</f>
        <v>-90840.400355930833</v>
      </c>
      <c r="AC35" s="1021">
        <f>(VLOOKUP(YEAR($A35),'NY East Load Projections'!$A$4:$EO$14,((MONTH($A35)-1)*12)+VLOOKUP(AC$4,$DE$6:$DF$17,2)+1))*(VLOOKUP($A35,CURVES!$D$9:$K$261,3))*(INDEX(DailyScalarsTable,AC$5/100,MONTH($A35)))*$B35</f>
        <v>-92557.686876502921</v>
      </c>
      <c r="AD35" s="1021">
        <f>(VLOOKUP(YEAR($A35),'NY East Load Projections'!$A$4:$EO$14,((MONTH($A35)-1)*12)+VLOOKUP(AD$4,$DE$6:$DF$17,2)+1))*(VLOOKUP($A35,CURVES!$D$9:$K$261,3))*(INDEX(DailyScalarsTable,AD$5/100,MONTH($A35)))*$B35</f>
        <v>-74221.934735591596</v>
      </c>
      <c r="AE35" s="1021">
        <f>(VLOOKUP(YEAR($A35),'NY East Load Projections'!$A$4:$EO$14,((MONTH($A35)-1)*12)+VLOOKUP(AE$4,$DE$6:$DF$17,2)+1))*(VLOOKUP($A35,CURVES!$D$9:$K$261,7))*(INDEX(DailyScalarsTable,AE$5/100,MONTH($A35)))*$B35</f>
        <v>-56145.881498447918</v>
      </c>
      <c r="AF35" s="1021"/>
      <c r="AG35" s="1021">
        <f>(VLOOKUP(YEAR($A35),'NY East Load Projections'!$A$4:$EO$14,((MONTH($A35)-1)*12)+VLOOKUP(AG$4,$DE$6:$DF$17,2)+1))*(VLOOKUP($A35,CURVES!$D$9:$T$261,7))*(INDEX(DailyScalarsTable,AG$5/100,MONTH($A35)))*$C35</f>
        <v>-8581.534884548124</v>
      </c>
      <c r="AH35" s="1021">
        <f>(VLOOKUP(YEAR($A35),'NY East Load Projections'!$A$4:$EO$14,((MONTH($A35)-1)*12)+VLOOKUP(AH$4,$DE$6:$DF$17,2)+1))*(VLOOKUP($A35,CURVES!$D$9:$T$261,7))*(INDEX(DailyScalarsTable,AH$5/100,MONTH($A35)))*$C35</f>
        <v>-7109.9125726343163</v>
      </c>
      <c r="AI35" s="1021">
        <f>(VLOOKUP(YEAR($A35),'NY East Load Projections'!$A$4:$EO$14,((MONTH($A35)-1)*12)+VLOOKUP(AI$4,$DE$6:$DF$17,2)+1))*(VLOOKUP($A35,CURVES!$D$9:$T$261,7))*(INDEX(DailyScalarsTable,AI$5/100,MONTH($A35)))*$C35</f>
        <v>-5976.5437473395041</v>
      </c>
      <c r="AJ35" s="1021">
        <f>(VLOOKUP(YEAR($A35),'NY East Load Projections'!$A$4:$EO$14,((MONTH($A35)-1)*12)+VLOOKUP(AJ$4,$DE$6:$DF$17,2)+1))*(VLOOKUP($A35,CURVES!$D$9:$T$261,7))*(INDEX(DailyScalarsTable,AJ$5/100,MONTH($A35)))*$C35</f>
        <v>-5548.2357610362324</v>
      </c>
      <c r="AK35" s="1021">
        <f>(VLOOKUP(YEAR($A35),'NY East Load Projections'!$A$4:$EO$14,((MONTH($A35)-1)*12)+VLOOKUP(AK$4,$DE$6:$DF$17,2)+1))*(VLOOKUP($A35,CURVES!$D$9:$T$261,7))*(INDEX(DailyScalarsTable,AK$5/100,MONTH($A35)))*$C35</f>
        <v>-6076.5411157269946</v>
      </c>
      <c r="AL35" s="1021">
        <f>(VLOOKUP(YEAR($A35),'NY East Load Projections'!$A$4:$EO$14,((MONTH($A35)-1)*12)+VLOOKUP(AL$4,$DE$6:$DF$17,2)+1))*(VLOOKUP($A35,CURVES!$D$9:$T$261,7))*(INDEX(DailyScalarsTable,AL$5/100,MONTH($A35)))*$C35</f>
        <v>-7413.823704334066</v>
      </c>
      <c r="AM35" s="1021">
        <f>(VLOOKUP(YEAR($A35),'NY East Load Projections'!$A$4:$EO$14,((MONTH($A35)-1)*12)+VLOOKUP(AM$4,$DE$6:$DF$17,2)+1))*(VLOOKUP($A35,CURVES!$D$9:$T$261,7))*(INDEX(DailyScalarsTable,AM$5/100,MONTH($A35)))*$C35</f>
        <v>-8500.50441481079</v>
      </c>
      <c r="AN35" s="1021">
        <f>(VLOOKUP(YEAR($A35),'NY East Load Projections'!$A$4:$EO$14,((MONTH($A35)-1)*12)+VLOOKUP(AN$4,$DE$6:$DF$17,2)+1))*(VLOOKUP($A35,SatSunCurve,3))*(INDEX(DailyScalarsTable,AN$5/100,MONTH($A35)))*$C35</f>
        <v>-6499.5257122345029</v>
      </c>
      <c r="AO35" s="1021">
        <f>(VLOOKUP(YEAR($A35),'NY East Load Projections'!$A$4:$EO$14,((MONTH($A35)-1)*12)+VLOOKUP(AO$4,$DE$6:$DF$17,2)+1))*(VLOOKUP($A35,SatSunCurve,3))*(INDEX(DailyScalarsTable,AO$5/100,MONTH($A35)))*$C35</f>
        <v>-8256.5889584927354</v>
      </c>
      <c r="AP35" s="1021">
        <f>(VLOOKUP(YEAR($A35),'NY East Load Projections'!$A$4:$EO$14,((MONTH($A35)-1)*12)+VLOOKUP(AP$4,$DE$6:$DF$17,2)+1))*(VLOOKUP($A35,SatSunCurve,3))*(INDEX(DailyScalarsTable,AP$5/100,MONTH($A35)))*$C35</f>
        <v>-9234.9332417427031</v>
      </c>
      <c r="AQ35" s="1021">
        <f>(VLOOKUP(YEAR($A35),'NY East Load Projections'!$A$4:$EO$14,((MONTH($A35)-1)*12)+VLOOKUP(AQ$4,$DE$6:$DF$17,2)+1))*(VLOOKUP($A35,SatSunCurve,3))*(INDEX(DailyScalarsTable,AQ$5/100,MONTH($A35)))*$C35</f>
        <v>-10622.850649489334</v>
      </c>
      <c r="AR35" s="1021">
        <f>(VLOOKUP(YEAR($A35),'NY East Load Projections'!$A$4:$EO$14,((MONTH($A35)-1)*12)+VLOOKUP(AR$4,$DE$6:$DF$17,2)+1))*(VLOOKUP($A35,SatSunCurve,3))*(INDEX(DailyScalarsTable,AR$5/100,MONTH($A35)))*$C35</f>
        <v>-11456.469447051442</v>
      </c>
      <c r="AS35" s="1021">
        <f>(VLOOKUP(YEAR($A35),'NY East Load Projections'!$A$4:$EO$14,((MONTH($A35)-1)*12)+VLOOKUP(AS$4,$DE$6:$DF$17,2)+1))*(VLOOKUP($A35,SatSunCurve,3))*(INDEX(DailyScalarsTable,AS$5/100,MONTH($A35)))*$C35</f>
        <v>-12042.326170857687</v>
      </c>
      <c r="AT35" s="1021">
        <f>(VLOOKUP(YEAR($A35),'NY East Load Projections'!$A$4:$EO$14,((MONTH($A35)-1)*12)+VLOOKUP(AT$4,$DE$6:$DF$17,2)+1))*(VLOOKUP($A35,SatSunCurve,3))*(INDEX(DailyScalarsTable,AT$5/100,MONTH($A35)))*$C35</f>
        <v>-13317.413223473424</v>
      </c>
      <c r="AU35" s="1021">
        <f>(VLOOKUP(YEAR($A35),'NY East Load Projections'!$A$4:$EO$14,((MONTH($A35)-1)*12)+VLOOKUP(AU$4,$DE$6:$DF$17,2)+1))*(VLOOKUP($A35,SatSunCurve,3))*(INDEX(DailyScalarsTable,AU$5/100,MONTH($A35)))*$C35</f>
        <v>-13419.888646760568</v>
      </c>
      <c r="AV35" s="1021">
        <f>(VLOOKUP(YEAR($A35),'NY East Load Projections'!$A$4:$EO$14,((MONTH($A35)-1)*12)+VLOOKUP(AV$4,$DE$6:$DF$17,2)+1))*(VLOOKUP($A35,SatSunCurve,3))*(INDEX(DailyScalarsTable,AV$5/100,MONTH($A35)))*$C35</f>
        <v>-13441.847666036381</v>
      </c>
      <c r="AW35" s="1021">
        <f>(VLOOKUP(YEAR($A35),'NY East Load Projections'!$A$4:$EO$14,((MONTH($A35)-1)*12)+VLOOKUP(AW$4,$DE$6:$DF$17,2)+1))*(VLOOKUP($A35,SatSunCurve,3))*(INDEX(DailyScalarsTable,AW$5/100,MONTH($A35)))*$C35</f>
        <v>-13049.601500145205</v>
      </c>
      <c r="AX35" s="1021">
        <f>(VLOOKUP(YEAR($A35),'NY East Load Projections'!$A$4:$EO$14,((MONTH($A35)-1)*12)+VLOOKUP(AX$4,$DE$6:$DF$17,2)+1))*(VLOOKUP($A35,SatSunCurve,3))*(INDEX(DailyScalarsTable,AX$5/100,MONTH($A35)))*$C35</f>
        <v>-12662.211122314293</v>
      </c>
      <c r="AY35" s="1021">
        <f>(VLOOKUP(YEAR($A35),'NY East Load Projections'!$A$4:$EO$14,((MONTH($A35)-1)*12)+VLOOKUP(AY$4,$DE$6:$DF$17,2)+1))*(VLOOKUP($A35,SatSunCurve,3))*(INDEX(DailyScalarsTable,AY$5/100,MONTH($A35)))*$C35</f>
        <v>-10811.967548775327</v>
      </c>
      <c r="AZ35" s="1021">
        <f>(VLOOKUP(YEAR($A35),'NY East Load Projections'!$A$4:$EO$14,((MONTH($A35)-1)*12)+VLOOKUP(AZ$4,$DE$6:$DF$17,2)+1))*(VLOOKUP($A35,SatSunCurve,3))*(INDEX(DailyScalarsTable,AZ$5/100,MONTH($A35)))*$C35</f>
        <v>-8645.658179605367</v>
      </c>
      <c r="BA35" s="1021">
        <f>(VLOOKUP(YEAR($A35),'NY East Load Projections'!$A$4:$EO$14,((MONTH($A35)-1)*12)+VLOOKUP(BA$4,$DE$6:$DF$17,2)+1))*(VLOOKUP($A35,SatSunCurve,3))*(INDEX(DailyScalarsTable,BA$5/100,MONTH($A35)))*$C35</f>
        <v>-9064.3444840647244</v>
      </c>
      <c r="BB35" s="1021">
        <f>(VLOOKUP(YEAR($A35),'NY East Load Projections'!$A$4:$EO$14,((MONTH($A35)-1)*12)+VLOOKUP(BB$4,$DE$6:$DF$17,2)+1))*(VLOOKUP($A35,SatSunCurve,3))*(INDEX(DailyScalarsTable,BB$5/100,MONTH($A35)))*$C35</f>
        <v>-9235.7008028316541</v>
      </c>
      <c r="BC35" s="1021">
        <f>(VLOOKUP(YEAR($A35),'NY East Load Projections'!$A$4:$EO$14,((MONTH($A35)-1)*12)+VLOOKUP(BC$4,$DE$6:$DF$17,2)+1))*(VLOOKUP($A35,SatSunCurve,3))*(INDEX(DailyScalarsTable,BC$5/100,MONTH($A35)))*$C35</f>
        <v>-7406.1010528477645</v>
      </c>
      <c r="BD35" s="1021">
        <f>(VLOOKUP(YEAR($A35),'NY East Load Projections'!$A$4:$EO$14,((MONTH($A35)-1)*12)+VLOOKUP(BD$4,$DE$6:$DF$17,2)+1))*(VLOOKUP($A35,CURVES!$D$9:$T$261,7))*(INDEX(DailyScalarsTable,BD$5/100,MONTH($A35)))*$C35</f>
        <v>-10534.593095925555</v>
      </c>
      <c r="BE35" s="1021"/>
      <c r="BF35" s="1021">
        <f>(VLOOKUP(YEAR($A35),'NY East Load Projections'!$A$4:$EO$14,((MONTH($A35)-1)*12)+VLOOKUP(BF$4,$DE$6:$DF$17,2)+1))*(VLOOKUP($A35,CURVES!$D$9:$T$261,7))*(INDEX(DailyScalarsTable,BF$5/100,MONTH($A35)))*$D35</f>
        <v>-10726.918605685154</v>
      </c>
      <c r="BG35" s="1021">
        <f>(VLOOKUP(YEAR($A35),'NY East Load Projections'!$A$4:$EO$14,((MONTH($A35)-1)*12)+VLOOKUP(BG$4,$DE$6:$DF$17,2)+1))*(VLOOKUP($A35,CURVES!$D$9:$T$261,7))*(INDEX(DailyScalarsTable,BG$5/100,MONTH($A35)))*$D35</f>
        <v>-8887.3907157928952</v>
      </c>
      <c r="BH35" s="1021">
        <f>(VLOOKUP(YEAR($A35),'NY East Load Projections'!$A$4:$EO$14,((MONTH($A35)-1)*12)+VLOOKUP(BH$4,$DE$6:$DF$17,2)+1))*(VLOOKUP($A35,CURVES!$D$9:$T$261,7))*(INDEX(DailyScalarsTable,BH$5/100,MONTH($A35)))*$D35</f>
        <v>-7470.6796841743799</v>
      </c>
      <c r="BI35" s="1021">
        <f>(VLOOKUP(YEAR($A35),'NY East Load Projections'!$A$4:$EO$14,((MONTH($A35)-1)*12)+VLOOKUP(BI$4,$DE$6:$DF$17,2)+1))*(VLOOKUP($A35,CURVES!$D$9:$T$261,7))*(INDEX(DailyScalarsTable,BI$5/100,MONTH($A35)))*$D35</f>
        <v>-6935.29470129529</v>
      </c>
      <c r="BJ35" s="1021">
        <f>(VLOOKUP(YEAR($A35),'NY East Load Projections'!$A$4:$EO$14,((MONTH($A35)-1)*12)+VLOOKUP(BJ$4,$DE$6:$DF$17,2)+1))*(VLOOKUP($A35,CURVES!$D$9:$T$261,7))*(INDEX(DailyScalarsTable,BJ$5/100,MONTH($A35)))*$D35</f>
        <v>-7595.6763946587434</v>
      </c>
      <c r="BK35" s="1021">
        <f>(VLOOKUP(YEAR($A35),'NY East Load Projections'!$A$4:$EO$14,((MONTH($A35)-1)*12)+VLOOKUP(BK$4,$DE$6:$DF$17,2)+1))*(VLOOKUP($A35,CURVES!$D$9:$T$261,7))*(INDEX(DailyScalarsTable,BK$5/100,MONTH($A35)))*$D35</f>
        <v>-9267.2796304175827</v>
      </c>
      <c r="BL35" s="1021">
        <f>(VLOOKUP(YEAR($A35),'NY East Load Projections'!$A$4:$EO$14,((MONTH($A35)-1)*12)+VLOOKUP(BL$4,$DE$6:$DF$17,2)+1))*(VLOOKUP($A35,CURVES!$D$9:$T$261,7))*(INDEX(DailyScalarsTable,BL$5/100,MONTH($A35)))*$D35</f>
        <v>-10625.630518513488</v>
      </c>
      <c r="BM35" s="1021">
        <f>(VLOOKUP(YEAR($A35),'NY East Load Projections'!$A$4:$EO$14,((MONTH($A35)-1)*12)+VLOOKUP(BM$4,$DE$6:$DF$17,2)+1))*(VLOOKUP($A35,SatSunCurve,7))*(INDEX(DailyScalarsTable,BM$5/100,MONTH($A35)))*$D35</f>
        <v>-6092.8180319635348</v>
      </c>
      <c r="BN35" s="1021">
        <f>(VLOOKUP(YEAR($A35),'NY East Load Projections'!$A$4:$EO$14,((MONTH($A35)-1)*12)+VLOOKUP(BN$4,$DE$6:$DF$17,2)+1))*(VLOOKUP($A35,SatSunCurve,7))*(INDEX(DailyScalarsTable,BN$5/100,MONTH($A35)))*$D35</f>
        <v>-7739.9330837512225</v>
      </c>
      <c r="BO35" s="1021">
        <f>(VLOOKUP(YEAR($A35),'NY East Load Projections'!$A$4:$EO$14,((MONTH($A35)-1)*12)+VLOOKUP(BO$4,$DE$6:$DF$17,2)+1))*(VLOOKUP($A35,SatSunCurve,7))*(INDEX(DailyScalarsTable,BO$5/100,MONTH($A35)))*$D35</f>
        <v>-8657.0574947268251</v>
      </c>
      <c r="BP35" s="1021">
        <f>(VLOOKUP(YEAR($A35),'NY East Load Projections'!$A$4:$EO$14,((MONTH($A35)-1)*12)+VLOOKUP(BP$4,$DE$6:$DF$17,2)+1))*(VLOOKUP($A35,SatSunCurve,7))*(INDEX(DailyScalarsTable,BP$5/100,MONTH($A35)))*$D35</f>
        <v>-9958.1260008297904</v>
      </c>
      <c r="BQ35" s="1021">
        <f>(VLOOKUP(YEAR($A35),'NY East Load Projections'!$A$4:$EO$14,((MONTH($A35)-1)*12)+VLOOKUP(BQ$4,$DE$6:$DF$17,2)+1))*(VLOOKUP($A35,SatSunCurve,7))*(INDEX(DailyScalarsTable,BQ$5/100,MONTH($A35)))*$D35</f>
        <v>-10739.58112024096</v>
      </c>
      <c r="BR35" s="1021">
        <f>(VLOOKUP(YEAR($A35),'NY East Load Projections'!$A$4:$EO$14,((MONTH($A35)-1)*12)+VLOOKUP(BR$4,$DE$6:$DF$17,2)+1))*(VLOOKUP($A35,SatSunCurve,7))*(INDEX(DailyScalarsTable,BR$5/100,MONTH($A35)))*$D35</f>
        <v>-11288.777872280052</v>
      </c>
      <c r="BS35" s="1021">
        <f>(VLOOKUP(YEAR($A35),'NY East Load Projections'!$A$4:$EO$14,((MONTH($A35)-1)*12)+VLOOKUP(BS$4,$DE$6:$DF$17,2)+1))*(VLOOKUP($A35,SatSunCurve,7))*(INDEX(DailyScalarsTable,BS$5/100,MONTH($A35)))*$D35</f>
        <v>-12484.076380273724</v>
      </c>
      <c r="BT35" s="1021">
        <f>(VLOOKUP(YEAR($A35),'NY East Load Projections'!$A$4:$EO$14,((MONTH($A35)-1)*12)+VLOOKUP(BT$4,$DE$6:$DF$17,2)+1))*(VLOOKUP($A35,SatSunCurve,7))*(INDEX(DailyScalarsTable,BT$5/100,MONTH($A35)))*$D35</f>
        <v>-12580.139406174478</v>
      </c>
      <c r="BU35" s="1021">
        <f>(VLOOKUP(YEAR($A35),'NY East Load Projections'!$A$4:$EO$14,((MONTH($A35)-1)*12)+VLOOKUP(BU$4,$DE$6:$DF$17,2)+1))*(VLOOKUP($A35,SatSunCurve,7))*(INDEX(DailyScalarsTable,BU$5/100,MONTH($A35)))*$D35</f>
        <v>-12600.724340296065</v>
      </c>
      <c r="BV35" s="1021">
        <f>(VLOOKUP(YEAR($A35),'NY East Load Projections'!$A$4:$EO$14,((MONTH($A35)-1)*12)+VLOOKUP(BV$4,$DE$6:$DF$17,2)+1))*(VLOOKUP($A35,SatSunCurve,7))*(INDEX(DailyScalarsTable,BV$5/100,MONTH($A35)))*$D35</f>
        <v>-12233.022969715799</v>
      </c>
      <c r="BW35" s="1021">
        <f>(VLOOKUP(YEAR($A35),'NY East Load Projections'!$A$4:$EO$14,((MONTH($A35)-1)*12)+VLOOKUP(BW$4,$DE$6:$DF$17,2)+1))*(VLOOKUP($A35,SatSunCurve,7))*(INDEX(DailyScalarsTable,BW$5/100,MONTH($A35)))*$D35</f>
        <v>-11869.873536363393</v>
      </c>
      <c r="BX35" s="1021">
        <f>(VLOOKUP(YEAR($A35),'NY East Load Projections'!$A$4:$EO$14,((MONTH($A35)-1)*12)+VLOOKUP(BX$4,$DE$6:$DF$17,2)+1))*(VLOOKUP($A35,SatSunCurve,7))*(INDEX(DailyScalarsTable,BX$5/100,MONTH($A35)))*$D35</f>
        <v>-10135.408914250651</v>
      </c>
      <c r="BY35" s="1021">
        <f>(VLOOKUP(YEAR($A35),'NY East Load Projections'!$A$4:$EO$14,((MONTH($A35)-1)*12)+VLOOKUP(BY$4,$DE$6:$DF$17,2)+1))*(VLOOKUP($A35,SatSunCurve,7))*(INDEX(DailyScalarsTable,BY$5/100,MONTH($A35)))*$D35</f>
        <v>-8104.6563068034584</v>
      </c>
      <c r="BZ35" s="1021">
        <f>(VLOOKUP(YEAR($A35),'NY East Load Projections'!$A$4:$EO$14,((MONTH($A35)-1)*12)+VLOOKUP(BZ$4,$DE$6:$DF$17,2)+1))*(VLOOKUP($A35,SatSunCurve,7))*(INDEX(DailyScalarsTable,BZ$5/100,MONTH($A35)))*$D35</f>
        <v>-8497.1433248552948</v>
      </c>
      <c r="CA35" s="1021">
        <f>(VLOOKUP(YEAR($A35),'NY East Load Projections'!$A$4:$EO$14,((MONTH($A35)-1)*12)+VLOOKUP(CA$4,$DE$6:$DF$17,2)+1))*(VLOOKUP($A35,SatSunCurve,7))*(INDEX(DailyScalarsTable,CA$5/100,MONTH($A35)))*$D35</f>
        <v>-8657.7770256973072</v>
      </c>
      <c r="CB35" s="1021">
        <f>(VLOOKUP(YEAR($A35),'NY East Load Projections'!$A$4:$EO$14,((MONTH($A35)-1)*12)+VLOOKUP(CB$4,$DE$6:$DF$17,2)+1))*(VLOOKUP($A35,SatSunCurve,7))*(INDEX(DailyScalarsTable,CB$5/100,MONTH($A35)))*$D35</f>
        <v>-6942.6644403290738</v>
      </c>
      <c r="CC35" s="1021">
        <f>(VLOOKUP(YEAR($A35),'NY East Load Projections'!$A$4:$EO$14,((MONTH($A35)-1)*12)+VLOOKUP(CC$4,$DE$6:$DF$17,2)+1))*(VLOOKUP($A35,CURVES!$D$9:$T$261,7))*(INDEX(DailyScalarsTable,CC$5/100,MONTH($A35)))*$D35</f>
        <v>-13168.241369906944</v>
      </c>
      <c r="CE35" s="1021">
        <f>(VLOOKUP(YEAR($A35),'NY East Load Projections'!$A$4:$EO$14,((MONTH($A35)-1)*12)+VLOOKUP(CE$4,$DE$6:$DF$17,2)+1))*(VLOOKUP($A35,CURVES!$D$9:$T$261,7))*(INDEX(DailyScalarsTable,CE$5/100,MONTH($A35)))*$E35</f>
        <v>0</v>
      </c>
      <c r="CF35" s="1021">
        <f>(VLOOKUP(YEAR($A35),'NY East Load Projections'!$A$4:$EO$14,((MONTH($A35)-1)*12)+VLOOKUP(CF$4,$DE$6:$DF$17,2)+1))*(VLOOKUP($A35,CURVES!$D$9:$T$261,7))*(INDEX(DailyScalarsTable,CF$5/100,MONTH($A35)))*$E35</f>
        <v>0</v>
      </c>
      <c r="CG35" s="1021">
        <f>(VLOOKUP(YEAR($A35),'NY East Load Projections'!$A$4:$EO$14,((MONTH($A35)-1)*12)+VLOOKUP(CG$4,$DE$6:$DF$17,2)+1))*(VLOOKUP($A35,CURVES!$D$9:$T$261,7))*(INDEX(DailyScalarsTable,CG$5/100,MONTH($A35)))*$E35</f>
        <v>0</v>
      </c>
      <c r="CH35" s="1021">
        <f>(VLOOKUP(YEAR($A35),'NY East Load Projections'!$A$4:$EO$14,((MONTH($A35)-1)*12)+VLOOKUP(CH$4,$DE$6:$DF$17,2)+1))*(VLOOKUP($A35,CURVES!$D$9:$T$261,7))*(INDEX(DailyScalarsTable,CH$5/100,MONTH($A35)))*$E35</f>
        <v>0</v>
      </c>
      <c r="CI35" s="1021">
        <f>(VLOOKUP(YEAR($A35),'NY East Load Projections'!$A$4:$EO$14,((MONTH($A35)-1)*12)+VLOOKUP(CI$4,$DE$6:$DF$17,2)+1))*(VLOOKUP($A35,CURVES!$D$9:$T$261,7))*(INDEX(DailyScalarsTable,CI$5/100,MONTH($A35)))*$E35</f>
        <v>0</v>
      </c>
      <c r="CJ35" s="1021">
        <f>(VLOOKUP(YEAR($A35),'NY East Load Projections'!$A$4:$EO$14,((MONTH($A35)-1)*12)+VLOOKUP(CJ$4,$DE$6:$DF$17,2)+1))*(VLOOKUP($A35,CURVES!$D$9:$T$261,7))*(INDEX(DailyScalarsTable,CJ$5/100,MONTH($A35)))*$E35</f>
        <v>0</v>
      </c>
      <c r="CK35" s="1021">
        <f>(VLOOKUP(YEAR($A35),'NY East Load Projections'!$A$4:$EO$14,((MONTH($A35)-1)*12)+VLOOKUP(CK$4,$DE$6:$DF$17,2)+1))*(VLOOKUP($A35,CURVES!$D$9:$T$261,7))*(INDEX(DailyScalarsTable,CK$5/100,MONTH($A35)))*$E35</f>
        <v>0</v>
      </c>
      <c r="CL35" s="1021">
        <f>(VLOOKUP(YEAR($A35),'NY East Load Projections'!$A$4:$EO$14,((MONTH($A35)-1)*12)+VLOOKUP(CL$4,$DE$6:$DF$17,2)+1))*(VLOOKUP($A35,SatSunCurve,7))*(INDEX(DailyScalarsTable,CL$5/100,MONTH($A35)))*$E35</f>
        <v>0</v>
      </c>
      <c r="CM35" s="1021">
        <f>(VLOOKUP(YEAR($A35),'NY East Load Projections'!$A$4:$EO$14,((MONTH($A35)-1)*12)+VLOOKUP(CM$4,$DE$6:$DF$17,2)+1))*(VLOOKUP($A35,SatSunCurve,7))*(INDEX(DailyScalarsTable,CM$5/100,MONTH($A35)))*$E35</f>
        <v>0</v>
      </c>
      <c r="CN35" s="1021">
        <f>(VLOOKUP(YEAR($A35),'NY East Load Projections'!$A$4:$EO$14,((MONTH($A35)-1)*12)+VLOOKUP(CN$4,$DE$6:$DF$17,2)+1))*(VLOOKUP($A35,SatSunCurve,7))*(INDEX(DailyScalarsTable,CN$5/100,MONTH($A35)))*$E35</f>
        <v>0</v>
      </c>
      <c r="CO35" s="1021">
        <f>(VLOOKUP(YEAR($A35),'NY East Load Projections'!$A$4:$EO$14,((MONTH($A35)-1)*12)+VLOOKUP(CO$4,$DE$6:$DF$17,2)+1))*(VLOOKUP($A35,SatSunCurve,7))*(INDEX(DailyScalarsTable,CO$5/100,MONTH($A35)))*$E35</f>
        <v>0</v>
      </c>
      <c r="CP35" s="1021">
        <f>(VLOOKUP(YEAR($A35),'NY East Load Projections'!$A$4:$EO$14,((MONTH($A35)-1)*12)+VLOOKUP(CP$4,$DE$6:$DF$17,2)+1))*(VLOOKUP($A35,SatSunCurve,7))*(INDEX(DailyScalarsTable,CP$5/100,MONTH($A35)))*$E35</f>
        <v>0</v>
      </c>
      <c r="CQ35" s="1021">
        <f>(VLOOKUP(YEAR($A35),'NY East Load Projections'!$A$4:$EO$14,((MONTH($A35)-1)*12)+VLOOKUP(CQ$4,$DE$6:$DF$17,2)+1))*(VLOOKUP($A35,SatSunCurve,7))*(INDEX(DailyScalarsTable,CQ$5/100,MONTH($A35)))*$E35</f>
        <v>0</v>
      </c>
      <c r="CR35" s="1021">
        <f>(VLOOKUP(YEAR($A35),'NY East Load Projections'!$A$4:$EO$14,((MONTH($A35)-1)*12)+VLOOKUP(CR$4,$DE$6:$DF$17,2)+1))*(VLOOKUP($A35,SatSunCurve,7))*(INDEX(DailyScalarsTable,CR$5/100,MONTH($A35)))*$E35</f>
        <v>0</v>
      </c>
      <c r="CS35" s="1021">
        <f>(VLOOKUP(YEAR($A35),'NY East Load Projections'!$A$4:$EO$14,((MONTH($A35)-1)*12)+VLOOKUP(CS$4,$DE$6:$DF$17,2)+1))*(VLOOKUP($A35,SatSunCurve,7))*(INDEX(DailyScalarsTable,CS$5/100,MONTH($A35)))*$E35</f>
        <v>0</v>
      </c>
      <c r="CT35" s="1021">
        <f>(VLOOKUP(YEAR($A35),'NY East Load Projections'!$A$4:$EO$14,((MONTH($A35)-1)*12)+VLOOKUP(CT$4,$DE$6:$DF$17,2)+1))*(VLOOKUP($A35,SatSunCurve,7))*(INDEX(DailyScalarsTable,CT$5/100,MONTH($A35)))*$E35</f>
        <v>0</v>
      </c>
      <c r="CU35" s="1021">
        <f>(VLOOKUP(YEAR($A35),'NY East Load Projections'!$A$4:$EO$14,((MONTH($A35)-1)*12)+VLOOKUP(CU$4,$DE$6:$DF$17,2)+1))*(VLOOKUP($A35,SatSunCurve,7))*(INDEX(DailyScalarsTable,CU$5/100,MONTH($A35)))*$E35</f>
        <v>0</v>
      </c>
      <c r="CV35" s="1021">
        <f>(VLOOKUP(YEAR($A35),'NY East Load Projections'!$A$4:$EO$14,((MONTH($A35)-1)*12)+VLOOKUP(CV$4,$DE$6:$DF$17,2)+1))*(VLOOKUP($A35,SatSunCurve,7))*(INDEX(DailyScalarsTable,CV$5/100,MONTH($A35)))*$E35</f>
        <v>0</v>
      </c>
      <c r="CW35" s="1021">
        <f>(VLOOKUP(YEAR($A35),'NY East Load Projections'!$A$4:$EO$14,((MONTH($A35)-1)*12)+VLOOKUP(CW$4,$DE$6:$DF$17,2)+1))*(VLOOKUP($A35,SatSunCurve,7))*(INDEX(DailyScalarsTable,CW$5/100,MONTH($A35)))*$E35</f>
        <v>0</v>
      </c>
      <c r="CX35" s="1021">
        <f>(VLOOKUP(YEAR($A35),'NY East Load Projections'!$A$4:$EO$14,((MONTH($A35)-1)*12)+VLOOKUP(CX$4,$DE$6:$DF$17,2)+1))*(VLOOKUP($A35,SatSunCurve,7))*(INDEX(DailyScalarsTable,CX$5/100,MONTH($A35)))*$E35</f>
        <v>0</v>
      </c>
      <c r="CY35" s="1021">
        <f>(VLOOKUP(YEAR($A35),'NY East Load Projections'!$A$4:$EO$14,((MONTH($A35)-1)*12)+VLOOKUP(CY$4,$DE$6:$DF$17,2)+1))*(VLOOKUP($A35,SatSunCurve,7))*(INDEX(DailyScalarsTable,CY$5/100,MONTH($A35)))*$E35</f>
        <v>0</v>
      </c>
      <c r="CZ35" s="1021">
        <f>(VLOOKUP(YEAR($A35),'NY East Load Projections'!$A$4:$EO$14,((MONTH($A35)-1)*12)+VLOOKUP(CZ$4,$DE$6:$DF$17,2)+1))*(VLOOKUP($A35,SatSunCurve,7))*(INDEX(DailyScalarsTable,CZ$5/100,MONTH($A35)))*$E35</f>
        <v>0</v>
      </c>
      <c r="DA35" s="1021">
        <f>(VLOOKUP(YEAR($A35),'NY East Load Projections'!$A$4:$EO$14,((MONTH($A35)-1)*12)+VLOOKUP(DA$4,$DE$6:$DF$17,2)+1))*(VLOOKUP($A35,SatSunCurve,7))*(INDEX(DailyScalarsTable,DA$5/100,MONTH($A35)))*$E35</f>
        <v>0</v>
      </c>
      <c r="DB35" s="1021">
        <f>(VLOOKUP(YEAR($A35),'NY East Load Projections'!$A$4:$EO$14,((MONTH($A35)-1)*12)+VLOOKUP(DB$4,$DE$6:$DF$17,2)+1))*(VLOOKUP($A35,CURVES!$D$9:$T$261,7))*(INDEX(DailyScalarsTable,DB$5/100,MONTH($A35)))*$E35</f>
        <v>0</v>
      </c>
      <c r="DH35" s="1032">
        <f t="shared" si="0"/>
        <v>-2608345.006860998</v>
      </c>
      <c r="DI35">
        <f ca="1">CALC!J55</f>
        <v>0.78682273410589021</v>
      </c>
      <c r="DJ35" s="1029">
        <f t="shared" ca="1" si="1"/>
        <v>-2052305.1497898174</v>
      </c>
    </row>
    <row r="36" spans="1:114" x14ac:dyDescent="0.25">
      <c r="A36" s="244">
        <v>37803</v>
      </c>
      <c r="B36" s="13">
        <v>22</v>
      </c>
      <c r="C36" s="210">
        <v>4</v>
      </c>
      <c r="D36" s="210">
        <v>4</v>
      </c>
      <c r="E36" s="210">
        <v>1</v>
      </c>
      <c r="F36" s="13">
        <v>31</v>
      </c>
      <c r="H36" s="1021">
        <f>(VLOOKUP(YEAR($A36),'NY East Load Projections'!$A$4:$EO$14,((MONTH($A36)-1)*12)+VLOOKUP(H$4,$DE$6:$DF$17,2)+1))*(VLOOKUP($A36,CURVES!$D$9:$K$261,7))*(INDEX(DailyScalarsTable,H$5/100,MONTH($A36)))*$B36</f>
        <v>-56454.055576778395</v>
      </c>
      <c r="I36" s="1021">
        <f>(VLOOKUP(YEAR($A36),'NY East Load Projections'!$A$4:$EO$14,((MONTH($A36)-1)*12)+VLOOKUP(I$4,$DE$6:$DF$17,2)+1))*(VLOOKUP($A36,CURVES!$D$9:$K$261,7))*(INDEX(DailyScalarsTable,I$5/100,MONTH($A36)))*$B36</f>
        <v>-51567.020935310342</v>
      </c>
      <c r="J36" s="1021">
        <f>(VLOOKUP(YEAR($A36),'NY East Load Projections'!$A$4:$EO$14,((MONTH($A36)-1)*12)+VLOOKUP(J$4,$DE$6:$DF$17,2)+1))*(VLOOKUP($A36,CURVES!$D$9:$K$261,7))*(INDEX(DailyScalarsTable,J$5/100,MONTH($A36)))*$B36</f>
        <v>-49134.510449354406</v>
      </c>
      <c r="K36" s="1021">
        <f>(VLOOKUP(YEAR($A36),'NY East Load Projections'!$A$4:$EO$14,((MONTH($A36)-1)*12)+VLOOKUP(K$4,$DE$6:$DF$17,2)+1))*(VLOOKUP($A36,CURVES!$D$9:$K$261,7))*(INDEX(DailyScalarsTable,K$5/100,MONTH($A36)))*$B36</f>
        <v>-44247.475807886345</v>
      </c>
      <c r="L36" s="1021">
        <f>(VLOOKUP(YEAR($A36),'NY East Load Projections'!$A$4:$EO$14,((MONTH($A36)-1)*12)+VLOOKUP(L$4,$DE$6:$DF$17,2)+1))*(VLOOKUP($A36,CURVES!$D$9:$K$261,7))*(INDEX(DailyScalarsTable,L$5/100,MONTH($A36)))*$B36</f>
        <v>-46092.02292423202</v>
      </c>
      <c r="M36" s="1021">
        <f>(VLOOKUP(YEAR($A36),'NY East Load Projections'!$A$4:$EO$14,((MONTH($A36)-1)*12)+VLOOKUP(M$4,$DE$6:$DF$17,2)+1))*(VLOOKUP($A36,CURVES!$D$9:$K$261,7))*(INDEX(DailyScalarsTable,M$5/100,MONTH($A36)))*$B36</f>
        <v>-50814.764266835438</v>
      </c>
      <c r="N36" s="1021">
        <f>(VLOOKUP(YEAR($A36),'NY East Load Projections'!$A$4:$EO$14,((MONTH($A36)-1)*12)+VLOOKUP(N$4,$DE$6:$DF$17,2)+1))*(VLOOKUP($A36,CURVES!$D$9:$K$261,7))*(INDEX(DailyScalarsTable,N$5/100,MONTH($A36)))*$B36</f>
        <v>-56431.323664049254</v>
      </c>
      <c r="O36" s="1021">
        <f>(VLOOKUP(YEAR($A36),'NY East Load Projections'!$A$4:$EO$14,((MONTH($A36)-1)*12)+VLOOKUP(O$4,$DE$6:$DF$17,2)+1))*(VLOOKUP($A36,CURVES!$D$9:$K$261,3))*(INDEX(DailyScalarsTable,O$5/100,MONTH($A36)))*$B36</f>
        <v>-95474.253186933027</v>
      </c>
      <c r="P36" s="1021">
        <f>(VLOOKUP(YEAR($A36),'NY East Load Projections'!$A$4:$EO$14,((MONTH($A36)-1)*12)+VLOOKUP(P$4,$DE$6:$DF$17,2)+1))*(VLOOKUP($A36,CURVES!$D$9:$K$261,3))*(INDEX(DailyScalarsTable,P$5/100,MONTH($A36)))*$B36</f>
        <v>-118235.84288841022</v>
      </c>
      <c r="Q36" s="1021">
        <f>(VLOOKUP(YEAR($A36),'NY East Load Projections'!$A$4:$EO$14,((MONTH($A36)-1)*12)+VLOOKUP(Q$4,$DE$6:$DF$17,2)+1))*(VLOOKUP($A36,CURVES!$D$9:$K$261,3))*(INDEX(DailyScalarsTable,Q$5/100,MONTH($A36)))*$B36</f>
        <v>-141560.71620797293</v>
      </c>
      <c r="R36" s="1021">
        <f>(VLOOKUP(YEAR($A36),'NY East Load Projections'!$A$4:$EO$14,((MONTH($A36)-1)*12)+VLOOKUP(R$4,$DE$6:$DF$17,2)+1))*(VLOOKUP($A36,CURVES!$D$9:$K$261,3))*(INDEX(DailyScalarsTable,R$5/100,MONTH($A36)))*$B36</f>
        <v>-161081.17642911695</v>
      </c>
      <c r="S36" s="1021">
        <f>(VLOOKUP(YEAR($A36),'NY East Load Projections'!$A$4:$EO$14,((MONTH($A36)-1)*12)+VLOOKUP(S$4,$DE$6:$DF$17,2)+1))*(VLOOKUP($A36,CURVES!$D$9:$K$261,3))*(INDEX(DailyScalarsTable,S$5/100,MONTH($A36)))*$B36</f>
        <v>-192579.72330510771</v>
      </c>
      <c r="T36" s="1021">
        <f>(VLOOKUP(YEAR($A36),'NY East Load Projections'!$A$4:$EO$14,((MONTH($A36)-1)*12)+VLOOKUP(T$4,$DE$6:$DF$17,2)+1))*(VLOOKUP($A36,CURVES!$D$9:$K$261,3))*(INDEX(DailyScalarsTable,T$5/100,MONTH($A36)))*$B36</f>
        <v>-214418.48719464213</v>
      </c>
      <c r="U36" s="1021">
        <f>(VLOOKUP(YEAR($A36),'NY East Load Projections'!$A$4:$EO$14,((MONTH($A36)-1)*12)+VLOOKUP(U$4,$DE$6:$DF$17,2)+1))*(VLOOKUP($A36,CURVES!$D$9:$K$261,3))*(INDEX(DailyScalarsTable,U$5/100,MONTH($A36)))*$B36</f>
        <v>-221635.13947185691</v>
      </c>
      <c r="V36" s="1021">
        <f>(VLOOKUP(YEAR($A36),'NY East Load Projections'!$A$4:$EO$14,((MONTH($A36)-1)*12)+VLOOKUP(V$4,$DE$6:$DF$17,2)+1))*(VLOOKUP($A36,CURVES!$D$9:$K$261,3))*(INDEX(DailyScalarsTable,V$5/100,MONTH($A36)))*$B36</f>
        <v>-230865.74122178275</v>
      </c>
      <c r="W36" s="1021">
        <f>(VLOOKUP(YEAR($A36),'NY East Load Projections'!$A$4:$EO$14,((MONTH($A36)-1)*12)+VLOOKUP(W$4,$DE$6:$DF$17,2)+1))*(VLOOKUP($A36,CURVES!$D$9:$K$261,3))*(INDEX(DailyScalarsTable,W$5/100,MONTH($A36)))*$B36</f>
        <v>-245013.73626757835</v>
      </c>
      <c r="X36" s="1021">
        <f>(VLOOKUP(YEAR($A36),'NY East Load Projections'!$A$4:$EO$14,((MONTH($A36)-1)*12)+VLOOKUP(X$4,$DE$6:$DF$17,2)+1))*(VLOOKUP($A36,CURVES!$D$9:$K$261,3))*(INDEX(DailyScalarsTable,X$5/100,MONTH($A36)))*$B36</f>
        <v>-236082.77005253779</v>
      </c>
      <c r="Y36" s="1021">
        <f>(VLOOKUP(YEAR($A36),'NY East Load Projections'!$A$4:$EO$14,((MONTH($A36)-1)*12)+VLOOKUP(Y$4,$DE$6:$DF$17,2)+1))*(VLOOKUP($A36,CURVES!$D$9:$K$261,3))*(INDEX(DailyScalarsTable,Y$5/100,MONTH($A36)))*$B36</f>
        <v>-230232.62283949726</v>
      </c>
      <c r="Z36" s="1021">
        <f>(VLOOKUP(YEAR($A36),'NY East Load Projections'!$A$4:$EO$14,((MONTH($A36)-1)*12)+VLOOKUP(Z$4,$DE$6:$DF$17,2)+1))*(VLOOKUP($A36,CURVES!$D$9:$K$261,3))*(INDEX(DailyScalarsTable,Z$5/100,MONTH($A36)))*$B36</f>
        <v>-192293.86327091738</v>
      </c>
      <c r="AA36" s="1021">
        <f>(VLOOKUP(YEAR($A36),'NY East Load Projections'!$A$4:$EO$14,((MONTH($A36)-1)*12)+VLOOKUP(AA$4,$DE$6:$DF$17,2)+1))*(VLOOKUP($A36,CURVES!$D$9:$K$261,3))*(INDEX(DailyScalarsTable,AA$5/100,MONTH($A36)))*$B36</f>
        <v>-142290.16595403446</v>
      </c>
      <c r="AB36" s="1021">
        <f>(VLOOKUP(YEAR($A36),'NY East Load Projections'!$A$4:$EO$14,((MONTH($A36)-1)*12)+VLOOKUP(AB$4,$DE$6:$DF$17,2)+1))*(VLOOKUP($A36,CURVES!$D$9:$K$261,3))*(INDEX(DailyScalarsTable,AB$5/100,MONTH($A36)))*$B36</f>
        <v>-140137.89744515115</v>
      </c>
      <c r="AC36" s="1021">
        <f>(VLOOKUP(YEAR($A36),'NY East Load Projections'!$A$4:$EO$14,((MONTH($A36)-1)*12)+VLOOKUP(AC$4,$DE$6:$DF$17,2)+1))*(VLOOKUP($A36,CURVES!$D$9:$K$261,3))*(INDEX(DailyScalarsTable,AC$5/100,MONTH($A36)))*$B36</f>
        <v>-148495.0683213</v>
      </c>
      <c r="AD36" s="1021">
        <f>(VLOOKUP(YEAR($A36),'NY East Load Projections'!$A$4:$EO$14,((MONTH($A36)-1)*12)+VLOOKUP(AD$4,$DE$6:$DF$17,2)+1))*(VLOOKUP($A36,CURVES!$D$9:$K$261,3))*(INDEX(DailyScalarsTable,AD$5/100,MONTH($A36)))*$B36</f>
        <v>-103123.5358957217</v>
      </c>
      <c r="AE36" s="1021">
        <f>(VLOOKUP(YEAR($A36),'NY East Load Projections'!$A$4:$EO$14,((MONTH($A36)-1)*12)+VLOOKUP(AE$4,$DE$6:$DF$17,2)+1))*(VLOOKUP($A36,CURVES!$D$9:$K$261,7))*(INDEX(DailyScalarsTable,AE$5/100,MONTH($A36)))*$B36</f>
        <v>-66826.129504870638</v>
      </c>
      <c r="AF36" s="1021"/>
      <c r="AG36" s="1021">
        <f>(VLOOKUP(YEAR($A36),'NY East Load Projections'!$A$4:$EO$14,((MONTH($A36)-1)*12)+VLOOKUP(AG$4,$DE$6:$DF$17,2)+1))*(VLOOKUP($A36,CURVES!$D$9:$T$261,7))*(INDEX(DailyScalarsTable,AG$5/100,MONTH($A36)))*$C36</f>
        <v>-9875.8059258957728</v>
      </c>
      <c r="AH36" s="1021">
        <f>(VLOOKUP(YEAR($A36),'NY East Load Projections'!$A$4:$EO$14,((MONTH($A36)-1)*12)+VLOOKUP(AH$4,$DE$6:$DF$17,2)+1))*(VLOOKUP($A36,CURVES!$D$9:$T$261,7))*(INDEX(DailyScalarsTable,AH$5/100,MONTH($A36)))*$C36</f>
        <v>-9020.8911606203328</v>
      </c>
      <c r="AI36" s="1021">
        <f>(VLOOKUP(YEAR($A36),'NY East Load Projections'!$A$4:$EO$14,((MONTH($A36)-1)*12)+VLOOKUP(AI$4,$DE$6:$DF$17,2)+1))*(VLOOKUP($A36,CURVES!$D$9:$T$261,7))*(INDEX(DailyScalarsTable,AI$5/100,MONTH($A36)))*$C36</f>
        <v>-8595.3592616881906</v>
      </c>
      <c r="AJ36" s="1021">
        <f>(VLOOKUP(YEAR($A36),'NY East Load Projections'!$A$4:$EO$14,((MONTH($A36)-1)*12)+VLOOKUP(AJ$4,$DE$6:$DF$17,2)+1))*(VLOOKUP($A36,CURVES!$D$9:$T$261,7))*(INDEX(DailyScalarsTable,AJ$5/100,MONTH($A36)))*$C36</f>
        <v>-7740.4444964127497</v>
      </c>
      <c r="AK36" s="1021">
        <f>(VLOOKUP(YEAR($A36),'NY East Load Projections'!$A$4:$EO$14,((MONTH($A36)-1)*12)+VLOOKUP(AK$4,$DE$6:$DF$17,2)+1))*(VLOOKUP($A36,CURVES!$D$9:$T$261,7))*(INDEX(DailyScalarsTable,AK$5/100,MONTH($A36)))*$C36</f>
        <v>-7450.5153204453218</v>
      </c>
      <c r="AL36" s="1021">
        <f>(VLOOKUP(YEAR($A36),'NY East Load Projections'!$A$4:$EO$14,((MONTH($A36)-1)*12)+VLOOKUP(AL$4,$DE$6:$DF$17,2)+1))*(VLOOKUP($A36,CURVES!$D$9:$T$261,7))*(INDEX(DailyScalarsTable,AL$5/100,MONTH($A36)))*$C36</f>
        <v>-8213.9197990339253</v>
      </c>
      <c r="AM36" s="1021">
        <f>(VLOOKUP(YEAR($A36),'NY East Load Projections'!$A$4:$EO$14,((MONTH($A36)-1)*12)+VLOOKUP(AM$4,$DE$6:$DF$17,2)+1))*(VLOOKUP($A36,CURVES!$D$9:$T$261,7))*(INDEX(DailyScalarsTable,AM$5/100,MONTH($A36)))*$C36</f>
        <v>-9121.8049206290725</v>
      </c>
      <c r="AN36" s="1021">
        <f>(VLOOKUP(YEAR($A36),'NY East Load Projections'!$A$4:$EO$14,((MONTH($A36)-1)*12)+VLOOKUP(AN$4,$DE$6:$DF$17,2)+1))*(VLOOKUP($A36,SatSunCurve,3))*(INDEX(DailyScalarsTable,AN$5/100,MONTH($A36)))*$C36</f>
        <v>-8594.5236960998664</v>
      </c>
      <c r="AO36" s="1021">
        <f>(VLOOKUP(YEAR($A36),'NY East Load Projections'!$A$4:$EO$14,((MONTH($A36)-1)*12)+VLOOKUP(AO$4,$DE$6:$DF$17,2)+1))*(VLOOKUP($A36,SatSunCurve,3))*(INDEX(DailyScalarsTable,AO$5/100,MONTH($A36)))*$C36</f>
        <v>-10370.897326216213</v>
      </c>
      <c r="AP36" s="1021">
        <f>(VLOOKUP(YEAR($A36),'NY East Load Projections'!$A$4:$EO$14,((MONTH($A36)-1)*12)+VLOOKUP(AP$4,$DE$6:$DF$17,2)+1))*(VLOOKUP($A36,SatSunCurve,3))*(INDEX(DailyScalarsTable,AP$5/100,MONTH($A36)))*$C36</f>
        <v>-12416.80709803124</v>
      </c>
      <c r="AQ36" s="1021">
        <f>(VLOOKUP(YEAR($A36),'NY East Load Projections'!$A$4:$EO$14,((MONTH($A36)-1)*12)+VLOOKUP(AQ$4,$DE$6:$DF$17,2)+1))*(VLOOKUP($A36,SatSunCurve,3))*(INDEX(DailyScalarsTable,AQ$5/100,MONTH($A36)))*$C36</f>
        <v>-14129.017911337978</v>
      </c>
      <c r="AR36" s="1021">
        <f>(VLOOKUP(YEAR($A36),'NY East Load Projections'!$A$4:$EO$14,((MONTH($A36)-1)*12)+VLOOKUP(AR$4,$DE$6:$DF$17,2)+1))*(VLOOKUP($A36,SatSunCurve,3))*(INDEX(DailyScalarsTable,AR$5/100,MONTH($A36)))*$C36</f>
        <v>-16891.870423703578</v>
      </c>
      <c r="AS36" s="1021">
        <f>(VLOOKUP(YEAR($A36),'NY East Load Projections'!$A$4:$EO$14,((MONTH($A36)-1)*12)+VLOOKUP(AS$4,$DE$6:$DF$17,2)+1))*(VLOOKUP($A36,SatSunCurve,3))*(INDEX(DailyScalarsTable,AS$5/100,MONTH($A36)))*$C36</f>
        <v>-18901.524984378586</v>
      </c>
      <c r="AT36" s="1021">
        <f>(VLOOKUP(YEAR($A36),'NY East Load Projections'!$A$4:$EO$14,((MONTH($A36)-1)*12)+VLOOKUP(AT$4,$DE$6:$DF$17,2)+1))*(VLOOKUP($A36,SatSunCurve,3))*(INDEX(DailyScalarsTable,AT$5/100,MONTH($A36)))*$C36</f>
        <v>-19537.69090041512</v>
      </c>
      <c r="AU36" s="1021">
        <f>(VLOOKUP(YEAR($A36),'NY East Load Projections'!$A$4:$EO$14,((MONTH($A36)-1)*12)+VLOOKUP(AU$4,$DE$6:$DF$17,2)+1))*(VLOOKUP($A36,SatSunCurve,3))*(INDEX(DailyScalarsTable,AU$5/100,MONTH($A36)))*$C36</f>
        <v>-20351.391490694408</v>
      </c>
      <c r="AV36" s="1021">
        <f>(VLOOKUP(YEAR($A36),'NY East Load Projections'!$A$4:$EO$14,((MONTH($A36)-1)*12)+VLOOKUP(AV$4,$DE$6:$DF$17,2)+1))*(VLOOKUP($A36,SatSunCurve,3))*(INDEX(DailyScalarsTable,AV$5/100,MONTH($A36)))*$C36</f>
        <v>-21598.572577249764</v>
      </c>
      <c r="AW36" s="1021">
        <f>(VLOOKUP(YEAR($A36),'NY East Load Projections'!$A$4:$EO$14,((MONTH($A36)-1)*12)+VLOOKUP(AW$4,$DE$6:$DF$17,2)+1))*(VLOOKUP($A36,SatSunCurve,3))*(INDEX(DailyScalarsTable,AW$5/100,MONTH($A36)))*$C36</f>
        <v>-20946.706982101139</v>
      </c>
      <c r="AX36" s="1021">
        <f>(VLOOKUP(YEAR($A36),'NY East Load Projections'!$A$4:$EO$14,((MONTH($A36)-1)*12)+VLOOKUP(AX$4,$DE$6:$DF$17,2)+1))*(VLOOKUP($A36,SatSunCurve,3))*(INDEX(DailyScalarsTable,AX$5/100,MONTH($A36)))*$C36</f>
        <v>-20427.646148282365</v>
      </c>
      <c r="AY36" s="1021">
        <f>(VLOOKUP(YEAR($A36),'NY East Load Projections'!$A$4:$EO$14,((MONTH($A36)-1)*12)+VLOOKUP(AY$4,$DE$6:$DF$17,2)+1))*(VLOOKUP($A36,SatSunCurve,3))*(INDEX(DailyScalarsTable,AY$5/100,MONTH($A36)))*$C36</f>
        <v>-17061.487407555214</v>
      </c>
      <c r="AZ36" s="1021">
        <f>(VLOOKUP(YEAR($A36),'NY East Load Projections'!$A$4:$EO$14,((MONTH($A36)-1)*12)+VLOOKUP(AZ$4,$DE$6:$DF$17,2)+1))*(VLOOKUP($A36,SatSunCurve,3))*(INDEX(DailyScalarsTable,AZ$5/100,MONTH($A36)))*$C36</f>
        <v>-12624.853613884745</v>
      </c>
      <c r="BA36" s="1021">
        <f>(VLOOKUP(YEAR($A36),'NY East Load Projections'!$A$4:$EO$14,((MONTH($A36)-1)*12)+VLOOKUP(BA$4,$DE$6:$DF$17,2)+1))*(VLOOKUP($A36,SatSunCurve,3))*(INDEX(DailyScalarsTable,BA$5/100,MONTH($A36)))*$C36</f>
        <v>-13470.373130060956</v>
      </c>
      <c r="BB36" s="1021">
        <f>(VLOOKUP(YEAR($A36),'NY East Load Projections'!$A$4:$EO$14,((MONTH($A36)-1)*12)+VLOOKUP(BB$4,$DE$6:$DF$17,2)+1))*(VLOOKUP($A36,SatSunCurve,3))*(INDEX(DailyScalarsTable,BB$5/100,MONTH($A36)))*$C36</f>
        <v>-14273.683384215898</v>
      </c>
      <c r="BC36" s="1021">
        <f>(VLOOKUP(YEAR($A36),'NY East Load Projections'!$A$4:$EO$14,((MONTH($A36)-1)*12)+VLOOKUP(BC$4,$DE$6:$DF$17,2)+1))*(VLOOKUP($A36,SatSunCurve,3))*(INDEX(DailyScalarsTable,BC$5/100,MONTH($A36)))*$C36</f>
        <v>-9912.4685922328281</v>
      </c>
      <c r="BD36" s="1021">
        <f>(VLOOKUP(YEAR($A36),'NY East Load Projections'!$A$4:$EO$14,((MONTH($A36)-1)*12)+VLOOKUP(BD$4,$DE$6:$DF$17,2)+1))*(VLOOKUP($A36,CURVES!$D$9:$T$261,7))*(INDEX(DailyScalarsTable,BD$5/100,MONTH($A36)))*$C36</f>
        <v>-11534.408708863237</v>
      </c>
      <c r="BE36" s="1021"/>
      <c r="BF36" s="1021">
        <f>(VLOOKUP(YEAR($A36),'NY East Load Projections'!$A$4:$EO$14,((MONTH($A36)-1)*12)+VLOOKUP(BF$4,$DE$6:$DF$17,2)+1))*(VLOOKUP($A36,CURVES!$D$9:$T$261,7))*(INDEX(DailyScalarsTable,BF$5/100,MONTH($A36)))*$D36</f>
        <v>-9875.8059258957728</v>
      </c>
      <c r="BG36" s="1021">
        <f>(VLOOKUP(YEAR($A36),'NY East Load Projections'!$A$4:$EO$14,((MONTH($A36)-1)*12)+VLOOKUP(BG$4,$DE$6:$DF$17,2)+1))*(VLOOKUP($A36,CURVES!$D$9:$T$261,7))*(INDEX(DailyScalarsTable,BG$5/100,MONTH($A36)))*$D36</f>
        <v>-9020.8911606203328</v>
      </c>
      <c r="BH36" s="1021">
        <f>(VLOOKUP(YEAR($A36),'NY East Load Projections'!$A$4:$EO$14,((MONTH($A36)-1)*12)+VLOOKUP(BH$4,$DE$6:$DF$17,2)+1))*(VLOOKUP($A36,CURVES!$D$9:$T$261,7))*(INDEX(DailyScalarsTable,BH$5/100,MONTH($A36)))*$D36</f>
        <v>-8595.3592616881906</v>
      </c>
      <c r="BI36" s="1021">
        <f>(VLOOKUP(YEAR($A36),'NY East Load Projections'!$A$4:$EO$14,((MONTH($A36)-1)*12)+VLOOKUP(BI$4,$DE$6:$DF$17,2)+1))*(VLOOKUP($A36,CURVES!$D$9:$T$261,7))*(INDEX(DailyScalarsTable,BI$5/100,MONTH($A36)))*$D36</f>
        <v>-7740.4444964127497</v>
      </c>
      <c r="BJ36" s="1021">
        <f>(VLOOKUP(YEAR($A36),'NY East Load Projections'!$A$4:$EO$14,((MONTH($A36)-1)*12)+VLOOKUP(BJ$4,$DE$6:$DF$17,2)+1))*(VLOOKUP($A36,CURVES!$D$9:$T$261,7))*(INDEX(DailyScalarsTable,BJ$5/100,MONTH($A36)))*$D36</f>
        <v>-7450.5153204453218</v>
      </c>
      <c r="BK36" s="1021">
        <f>(VLOOKUP(YEAR($A36),'NY East Load Projections'!$A$4:$EO$14,((MONTH($A36)-1)*12)+VLOOKUP(BK$4,$DE$6:$DF$17,2)+1))*(VLOOKUP($A36,CURVES!$D$9:$T$261,7))*(INDEX(DailyScalarsTable,BK$5/100,MONTH($A36)))*$D36</f>
        <v>-8213.9197990339253</v>
      </c>
      <c r="BL36" s="1021">
        <f>(VLOOKUP(YEAR($A36),'NY East Load Projections'!$A$4:$EO$14,((MONTH($A36)-1)*12)+VLOOKUP(BL$4,$DE$6:$DF$17,2)+1))*(VLOOKUP($A36,CURVES!$D$9:$T$261,7))*(INDEX(DailyScalarsTable,BL$5/100,MONTH($A36)))*$D36</f>
        <v>-9121.8049206290725</v>
      </c>
      <c r="BM36" s="1021">
        <f>(VLOOKUP(YEAR($A36),'NY East Load Projections'!$A$4:$EO$14,((MONTH($A36)-1)*12)+VLOOKUP(BM$4,$DE$6:$DF$17,2)+1))*(VLOOKUP($A36,SatSunCurve,7))*(INDEX(DailyScalarsTable,BM$5/100,MONTH($A36)))*$D36</f>
        <v>-6293.0005602054716</v>
      </c>
      <c r="BN36" s="1021">
        <f>(VLOOKUP(YEAR($A36),'NY East Load Projections'!$A$4:$EO$14,((MONTH($A36)-1)*12)+VLOOKUP(BN$4,$DE$6:$DF$17,2)+1))*(VLOOKUP($A36,SatSunCurve,7))*(INDEX(DailyScalarsTable,BN$5/100,MONTH($A36)))*$D36</f>
        <v>-7593.6799980350779</v>
      </c>
      <c r="BO36" s="1021">
        <f>(VLOOKUP(YEAR($A36),'NY East Load Projections'!$A$4:$EO$14,((MONTH($A36)-1)*12)+VLOOKUP(BO$4,$DE$6:$DF$17,2)+1))*(VLOOKUP($A36,SatSunCurve,7))*(INDEX(DailyScalarsTable,BO$5/100,MONTH($A36)))*$D36</f>
        <v>-9091.7166310604043</v>
      </c>
      <c r="BP36" s="1021">
        <f>(VLOOKUP(YEAR($A36),'NY East Load Projections'!$A$4:$EO$14,((MONTH($A36)-1)*12)+VLOOKUP(BP$4,$DE$6:$DF$17,2)+1))*(VLOOKUP($A36,SatSunCurve,7))*(INDEX(DailyScalarsTable,BP$5/100,MONTH($A36)))*$D36</f>
        <v>-10345.415380209093</v>
      </c>
      <c r="BQ36" s="1021">
        <f>(VLOOKUP(YEAR($A36),'NY East Load Projections'!$A$4:$EO$14,((MONTH($A36)-1)*12)+VLOOKUP(BQ$4,$DE$6:$DF$17,2)+1))*(VLOOKUP($A36,SatSunCurve,7))*(INDEX(DailyScalarsTable,BQ$5/100,MONTH($A36)))*$D36</f>
        <v>-12368.405021388597</v>
      </c>
      <c r="BR36" s="1021">
        <f>(VLOOKUP(YEAR($A36),'NY East Load Projections'!$A$4:$EO$14,((MONTH($A36)-1)*12)+VLOOKUP(BR$4,$DE$6:$DF$17,2)+1))*(VLOOKUP($A36,SatSunCurve,7))*(INDEX(DailyScalarsTable,BR$5/100,MONTH($A36)))*$D36</f>
        <v>-13839.895207853067</v>
      </c>
      <c r="BS36" s="1021">
        <f>(VLOOKUP(YEAR($A36),'NY East Load Projections'!$A$4:$EO$14,((MONTH($A36)-1)*12)+VLOOKUP(BS$4,$DE$6:$DF$17,2)+1))*(VLOOKUP($A36,SatSunCurve,7))*(INDEX(DailyScalarsTable,BS$5/100,MONTH($A36)))*$D36</f>
        <v>-14305.702576307731</v>
      </c>
      <c r="BT36" s="1021">
        <f>(VLOOKUP(YEAR($A36),'NY East Load Projections'!$A$4:$EO$14,((MONTH($A36)-1)*12)+VLOOKUP(BT$4,$DE$6:$DF$17,2)+1))*(VLOOKUP($A36,SatSunCurve,7))*(INDEX(DailyScalarsTable,BT$5/100,MONTH($A36)))*$D36</f>
        <v>-14901.502698749744</v>
      </c>
      <c r="BU36" s="1021">
        <f>(VLOOKUP(YEAR($A36),'NY East Load Projections'!$A$4:$EO$14,((MONTH($A36)-1)*12)+VLOOKUP(BU$4,$DE$6:$DF$17,2)+1))*(VLOOKUP($A36,SatSunCurve,7))*(INDEX(DailyScalarsTable,BU$5/100,MONTH($A36)))*$D36</f>
        <v>-15814.701795510873</v>
      </c>
      <c r="BV36" s="1021">
        <f>(VLOOKUP(YEAR($A36),'NY East Load Projections'!$A$4:$EO$14,((MONTH($A36)-1)*12)+VLOOKUP(BV$4,$DE$6:$DF$17,2)+1))*(VLOOKUP($A36,SatSunCurve,7))*(INDEX(DailyScalarsTable,BV$5/100,MONTH($A36)))*$D36</f>
        <v>-15337.398957040545</v>
      </c>
      <c r="BW36" s="1021">
        <f>(VLOOKUP(YEAR($A36),'NY East Load Projections'!$A$4:$EO$14,((MONTH($A36)-1)*12)+VLOOKUP(BW$4,$DE$6:$DF$17,2)+1))*(VLOOKUP($A36,SatSunCurve,7))*(INDEX(DailyScalarsTable,BW$5/100,MONTH($A36)))*$D36</f>
        <v>-14957.337160307754</v>
      </c>
      <c r="BX36" s="1021">
        <f>(VLOOKUP(YEAR($A36),'NY East Load Projections'!$A$4:$EO$14,((MONTH($A36)-1)*12)+VLOOKUP(BX$4,$DE$6:$DF$17,2)+1))*(VLOOKUP($A36,SatSunCurve,7))*(INDEX(DailyScalarsTable,BX$5/100,MONTH($A36)))*$D36</f>
        <v>-12492.600359273705</v>
      </c>
      <c r="BY36" s="1021">
        <f>(VLOOKUP(YEAR($A36),'NY East Load Projections'!$A$4:$EO$14,((MONTH($A36)-1)*12)+VLOOKUP(BY$4,$DE$6:$DF$17,2)+1))*(VLOOKUP($A36,SatSunCurve,7))*(INDEX(DailyScalarsTable,BY$5/100,MONTH($A36)))*$D36</f>
        <v>-9244.050476088838</v>
      </c>
      <c r="BZ36" s="1021">
        <f>(VLOOKUP(YEAR($A36),'NY East Load Projections'!$A$4:$EO$14,((MONTH($A36)-1)*12)+VLOOKUP(BZ$4,$DE$6:$DF$17,2)+1))*(VLOOKUP($A36,SatSunCurve,7))*(INDEX(DailyScalarsTable,BZ$5/100,MONTH($A36)))*$D36</f>
        <v>-9863.1487504209163</v>
      </c>
      <c r="CA36" s="1021">
        <f>(VLOOKUP(YEAR($A36),'NY East Load Projections'!$A$4:$EO$14,((MONTH($A36)-1)*12)+VLOOKUP(CA$4,$DE$6:$DF$17,2)+1))*(VLOOKUP($A36,SatSunCurve,7))*(INDEX(DailyScalarsTable,CA$5/100,MONTH($A36)))*$D36</f>
        <v>-10451.340959572643</v>
      </c>
      <c r="CB36" s="1021">
        <f>(VLOOKUP(YEAR($A36),'NY East Load Projections'!$A$4:$EO$14,((MONTH($A36)-1)*12)+VLOOKUP(CB$4,$DE$6:$DF$17,2)+1))*(VLOOKUP($A36,SatSunCurve,7))*(INDEX(DailyScalarsTable,CB$5/100,MONTH($A36)))*$D36</f>
        <v>-7258.0136619144541</v>
      </c>
      <c r="CC36" s="1021">
        <f>(VLOOKUP(YEAR($A36),'NY East Load Projections'!$A$4:$EO$14,((MONTH($A36)-1)*12)+VLOOKUP(CC$4,$DE$6:$DF$17,2)+1))*(VLOOKUP($A36,CURVES!$D$9:$T$261,7))*(INDEX(DailyScalarsTable,CC$5/100,MONTH($A36)))*$D36</f>
        <v>-11534.408708863237</v>
      </c>
      <c r="CE36" s="1021">
        <f>(VLOOKUP(YEAR($A36),'NY East Load Projections'!$A$4:$EO$14,((MONTH($A36)-1)*12)+VLOOKUP(CE$4,$DE$6:$DF$17,2)+1))*(VLOOKUP($A36,CURVES!$D$9:$T$261,7))*(INDEX(DailyScalarsTable,CE$5/100,MONTH($A36)))*$E36</f>
        <v>-2468.9514814739432</v>
      </c>
      <c r="CF36" s="1021">
        <f>(VLOOKUP(YEAR($A36),'NY East Load Projections'!$A$4:$EO$14,((MONTH($A36)-1)*12)+VLOOKUP(CF$4,$DE$6:$DF$17,2)+1))*(VLOOKUP($A36,CURVES!$D$9:$T$261,7))*(INDEX(DailyScalarsTable,CF$5/100,MONTH($A36)))*$E36</f>
        <v>-2255.2227901550832</v>
      </c>
      <c r="CG36" s="1021">
        <f>(VLOOKUP(YEAR($A36),'NY East Load Projections'!$A$4:$EO$14,((MONTH($A36)-1)*12)+VLOOKUP(CG$4,$DE$6:$DF$17,2)+1))*(VLOOKUP($A36,CURVES!$D$9:$T$261,7))*(INDEX(DailyScalarsTable,CG$5/100,MONTH($A36)))*$E36</f>
        <v>-2148.8398154220476</v>
      </c>
      <c r="CH36" s="1021">
        <f>(VLOOKUP(YEAR($A36),'NY East Load Projections'!$A$4:$EO$14,((MONTH($A36)-1)*12)+VLOOKUP(CH$4,$DE$6:$DF$17,2)+1))*(VLOOKUP($A36,CURVES!$D$9:$T$261,7))*(INDEX(DailyScalarsTable,CH$5/100,MONTH($A36)))*$E36</f>
        <v>-1935.1111241031874</v>
      </c>
      <c r="CI36" s="1021">
        <f>(VLOOKUP(YEAR($A36),'NY East Load Projections'!$A$4:$EO$14,((MONTH($A36)-1)*12)+VLOOKUP(CI$4,$DE$6:$DF$17,2)+1))*(VLOOKUP($A36,CURVES!$D$9:$T$261,7))*(INDEX(DailyScalarsTable,CI$5/100,MONTH($A36)))*$E36</f>
        <v>-1862.6288301113304</v>
      </c>
      <c r="CJ36" s="1021">
        <f>(VLOOKUP(YEAR($A36),'NY East Load Projections'!$A$4:$EO$14,((MONTH($A36)-1)*12)+VLOOKUP(CJ$4,$DE$6:$DF$17,2)+1))*(VLOOKUP($A36,CURVES!$D$9:$T$261,7))*(INDEX(DailyScalarsTable,CJ$5/100,MONTH($A36)))*$E36</f>
        <v>-2053.4799497584813</v>
      </c>
      <c r="CK36" s="1021">
        <f>(VLOOKUP(YEAR($A36),'NY East Load Projections'!$A$4:$EO$14,((MONTH($A36)-1)*12)+VLOOKUP(CK$4,$DE$6:$DF$17,2)+1))*(VLOOKUP($A36,CURVES!$D$9:$T$261,7))*(INDEX(DailyScalarsTable,CK$5/100,MONTH($A36)))*$E36</f>
        <v>-2280.4512301572681</v>
      </c>
      <c r="CL36" s="1021">
        <f>(VLOOKUP(YEAR($A36),'NY East Load Projections'!$A$4:$EO$14,((MONTH($A36)-1)*12)+VLOOKUP(CL$4,$DE$6:$DF$17,2)+1))*(VLOOKUP($A36,SatSunCurve,7))*(INDEX(DailyScalarsTable,CL$5/100,MONTH($A36)))*$E36</f>
        <v>-1573.2501400513679</v>
      </c>
      <c r="CM36" s="1021">
        <f>(VLOOKUP(YEAR($A36),'NY East Load Projections'!$A$4:$EO$14,((MONTH($A36)-1)*12)+VLOOKUP(CM$4,$DE$6:$DF$17,2)+1))*(VLOOKUP($A36,SatSunCurve,7))*(INDEX(DailyScalarsTable,CM$5/100,MONTH($A36)))*$E36</f>
        <v>-1898.4199995087695</v>
      </c>
      <c r="CN36" s="1021">
        <f>(VLOOKUP(YEAR($A36),'NY East Load Projections'!$A$4:$EO$14,((MONTH($A36)-1)*12)+VLOOKUP(CN$4,$DE$6:$DF$17,2)+1))*(VLOOKUP($A36,SatSunCurve,7))*(INDEX(DailyScalarsTable,CN$5/100,MONTH($A36)))*$E36</f>
        <v>-2272.9291577651011</v>
      </c>
      <c r="CO36" s="1021">
        <f>(VLOOKUP(YEAR($A36),'NY East Load Projections'!$A$4:$EO$14,((MONTH($A36)-1)*12)+VLOOKUP(CO$4,$DE$6:$DF$17,2)+1))*(VLOOKUP($A36,SatSunCurve,7))*(INDEX(DailyScalarsTable,CO$5/100,MONTH($A36)))*$E36</f>
        <v>-2586.3538450522733</v>
      </c>
      <c r="CP36" s="1021">
        <f>(VLOOKUP(YEAR($A36),'NY East Load Projections'!$A$4:$EO$14,((MONTH($A36)-1)*12)+VLOOKUP(CP$4,$DE$6:$DF$17,2)+1))*(VLOOKUP($A36,SatSunCurve,7))*(INDEX(DailyScalarsTable,CP$5/100,MONTH($A36)))*$E36</f>
        <v>-3092.1012553471492</v>
      </c>
      <c r="CQ36" s="1021">
        <f>(VLOOKUP(YEAR($A36),'NY East Load Projections'!$A$4:$EO$14,((MONTH($A36)-1)*12)+VLOOKUP(CQ$4,$DE$6:$DF$17,2)+1))*(VLOOKUP($A36,SatSunCurve,7))*(INDEX(DailyScalarsTable,CQ$5/100,MONTH($A36)))*$E36</f>
        <v>-3459.9738019632669</v>
      </c>
      <c r="CR36" s="1021">
        <f>(VLOOKUP(YEAR($A36),'NY East Load Projections'!$A$4:$EO$14,((MONTH($A36)-1)*12)+VLOOKUP(CR$4,$DE$6:$DF$17,2)+1))*(VLOOKUP($A36,SatSunCurve,7))*(INDEX(DailyScalarsTable,CR$5/100,MONTH($A36)))*$E36</f>
        <v>-3576.4256440769327</v>
      </c>
      <c r="CS36" s="1021">
        <f>(VLOOKUP(YEAR($A36),'NY East Load Projections'!$A$4:$EO$14,((MONTH($A36)-1)*12)+VLOOKUP(CS$4,$DE$6:$DF$17,2)+1))*(VLOOKUP($A36,SatSunCurve,7))*(INDEX(DailyScalarsTable,CS$5/100,MONTH($A36)))*$E36</f>
        <v>-3725.375674687436</v>
      </c>
      <c r="CT36" s="1021">
        <f>(VLOOKUP(YEAR($A36),'NY East Load Projections'!$A$4:$EO$14,((MONTH($A36)-1)*12)+VLOOKUP(CT$4,$DE$6:$DF$17,2)+1))*(VLOOKUP($A36,SatSunCurve,7))*(INDEX(DailyScalarsTable,CT$5/100,MONTH($A36)))*$E36</f>
        <v>-3953.6754488777183</v>
      </c>
      <c r="CU36" s="1021">
        <f>(VLOOKUP(YEAR($A36),'NY East Load Projections'!$A$4:$EO$14,((MONTH($A36)-1)*12)+VLOOKUP(CU$4,$DE$6:$DF$17,2)+1))*(VLOOKUP($A36,SatSunCurve,7))*(INDEX(DailyScalarsTable,CU$5/100,MONTH($A36)))*$E36</f>
        <v>-3834.3497392601362</v>
      </c>
      <c r="CV36" s="1021">
        <f>(VLOOKUP(YEAR($A36),'NY East Load Projections'!$A$4:$EO$14,((MONTH($A36)-1)*12)+VLOOKUP(CV$4,$DE$6:$DF$17,2)+1))*(VLOOKUP($A36,SatSunCurve,7))*(INDEX(DailyScalarsTable,CV$5/100,MONTH($A36)))*$E36</f>
        <v>-3739.3342900769385</v>
      </c>
      <c r="CW36" s="1021">
        <f>(VLOOKUP(YEAR($A36),'NY East Load Projections'!$A$4:$EO$14,((MONTH($A36)-1)*12)+VLOOKUP(CW$4,$DE$6:$DF$17,2)+1))*(VLOOKUP($A36,SatSunCurve,7))*(INDEX(DailyScalarsTable,CW$5/100,MONTH($A36)))*$E36</f>
        <v>-3123.1500898184263</v>
      </c>
      <c r="CX36" s="1021">
        <f>(VLOOKUP(YEAR($A36),'NY East Load Projections'!$A$4:$EO$14,((MONTH($A36)-1)*12)+VLOOKUP(CX$4,$DE$6:$DF$17,2)+1))*(VLOOKUP($A36,SatSunCurve,7))*(INDEX(DailyScalarsTable,CX$5/100,MONTH($A36)))*$E36</f>
        <v>-2311.0126190222095</v>
      </c>
      <c r="CY36" s="1021">
        <f>(VLOOKUP(YEAR($A36),'NY East Load Projections'!$A$4:$EO$14,((MONTH($A36)-1)*12)+VLOOKUP(CY$4,$DE$6:$DF$17,2)+1))*(VLOOKUP($A36,SatSunCurve,7))*(INDEX(DailyScalarsTable,CY$5/100,MONTH($A36)))*$E36</f>
        <v>-2465.7871876052291</v>
      </c>
      <c r="CZ36" s="1021">
        <f>(VLOOKUP(YEAR($A36),'NY East Load Projections'!$A$4:$EO$14,((MONTH($A36)-1)*12)+VLOOKUP(CZ$4,$DE$6:$DF$17,2)+1))*(VLOOKUP($A36,SatSunCurve,7))*(INDEX(DailyScalarsTable,CZ$5/100,MONTH($A36)))*$E36</f>
        <v>-2612.8352398931606</v>
      </c>
      <c r="DA36" s="1021">
        <f>(VLOOKUP(YEAR($A36),'NY East Load Projections'!$A$4:$EO$14,((MONTH($A36)-1)*12)+VLOOKUP(DA$4,$DE$6:$DF$17,2)+1))*(VLOOKUP($A36,SatSunCurve,7))*(INDEX(DailyScalarsTable,DA$5/100,MONTH($A36)))*$E36</f>
        <v>-1814.5034154786135</v>
      </c>
      <c r="DB36" s="1021">
        <f>(VLOOKUP(YEAR($A36),'NY East Load Projections'!$A$4:$EO$14,((MONTH($A36)-1)*12)+VLOOKUP(DB$4,$DE$6:$DF$17,2)+1))*(VLOOKUP($A36,CURVES!$D$9:$T$261,7))*(INDEX(DailyScalarsTable,DB$5/100,MONTH($A36)))*$E36</f>
        <v>-2883.6021772158092</v>
      </c>
      <c r="DH36" s="1032">
        <f t="shared" si="0"/>
        <v>-3877789.5330763361</v>
      </c>
      <c r="DI36">
        <f ca="1">CALC!J56</f>
        <v>0.78195449781268733</v>
      </c>
      <c r="DJ36" s="1029">
        <f t="shared" ca="1" si="1"/>
        <v>-3032254.9669600017</v>
      </c>
    </row>
    <row r="37" spans="1:114" x14ac:dyDescent="0.25">
      <c r="A37" s="244">
        <v>37834</v>
      </c>
      <c r="B37" s="13">
        <v>21</v>
      </c>
      <c r="C37" s="210">
        <v>5</v>
      </c>
      <c r="D37" s="210">
        <v>5</v>
      </c>
      <c r="E37" s="210">
        <v>0</v>
      </c>
      <c r="F37" s="13">
        <v>31</v>
      </c>
      <c r="H37" s="1021">
        <f>(VLOOKUP(YEAR($A37),'NY East Load Projections'!$A$4:$EO$14,((MONTH($A37)-1)*12)+VLOOKUP(H$4,$DE$6:$DF$17,2)+1))*(VLOOKUP($A37,CURVES!$D$9:$K$261,7))*(INDEX(DailyScalarsTable,H$5/100,MONTH($A37)))*$B37</f>
        <v>-54601.085018255682</v>
      </c>
      <c r="I37" s="1021">
        <f>(VLOOKUP(YEAR($A37),'NY East Load Projections'!$A$4:$EO$14,((MONTH($A37)-1)*12)+VLOOKUP(I$4,$DE$6:$DF$17,2)+1))*(VLOOKUP($A37,CURVES!$D$9:$K$261,7))*(INDEX(DailyScalarsTable,I$5/100,MONTH($A37)))*$B37</f>
        <v>-49289.355806614461</v>
      </c>
      <c r="J37" s="1021">
        <f>(VLOOKUP(YEAR($A37),'NY East Load Projections'!$A$4:$EO$14,((MONTH($A37)-1)*12)+VLOOKUP(J$4,$DE$6:$DF$17,2)+1))*(VLOOKUP($A37,CURVES!$D$9:$K$261,7))*(INDEX(DailyScalarsTable,J$5/100,MONTH($A37)))*$B37</f>
        <v>-44264.410097010223</v>
      </c>
      <c r="K37" s="1021">
        <f>(VLOOKUP(YEAR($A37),'NY East Load Projections'!$A$4:$EO$14,((MONTH($A37)-1)*12)+VLOOKUP(K$4,$DE$6:$DF$17,2)+1))*(VLOOKUP($A37,CURVES!$D$9:$K$261,7))*(INDEX(DailyScalarsTable,K$5/100,MONTH($A37)))*$B37</f>
        <v>-41645.952034933551</v>
      </c>
      <c r="L37" s="1021">
        <f>(VLOOKUP(YEAR($A37),'NY East Load Projections'!$A$4:$EO$14,((MONTH($A37)-1)*12)+VLOOKUP(L$4,$DE$6:$DF$17,2)+1))*(VLOOKUP($A37,CURVES!$D$9:$K$261,7))*(INDEX(DailyScalarsTable,L$5/100,MONTH($A37)))*$B37</f>
        <v>-47303.655820199652</v>
      </c>
      <c r="M37" s="1021">
        <f>(VLOOKUP(YEAR($A37),'NY East Load Projections'!$A$4:$EO$14,((MONTH($A37)-1)*12)+VLOOKUP(M$4,$DE$6:$DF$17,2)+1))*(VLOOKUP($A37,CURVES!$D$9:$K$261,7))*(INDEX(DailyScalarsTable,M$5/100,MONTH($A37)))*$B37</f>
        <v>-52556.585583908025</v>
      </c>
      <c r="N37" s="1021">
        <f>(VLOOKUP(YEAR($A37),'NY East Load Projections'!$A$4:$EO$14,((MONTH($A37)-1)*12)+VLOOKUP(N$4,$DE$6:$DF$17,2)+1))*(VLOOKUP($A37,CURVES!$D$9:$K$261,7))*(INDEX(DailyScalarsTable,N$5/100,MONTH($A37)))*$B37</f>
        <v>-61152.288833612598</v>
      </c>
      <c r="O37" s="1021">
        <f>(VLOOKUP(YEAR($A37),'NY East Load Projections'!$A$4:$EO$14,((MONTH($A37)-1)*12)+VLOOKUP(O$4,$DE$6:$DF$17,2)+1))*(VLOOKUP($A37,CURVES!$D$9:$K$261,3))*(INDEX(DailyScalarsTable,O$5/100,MONTH($A37)))*$B37</f>
        <v>-98442.658092688769</v>
      </c>
      <c r="P37" s="1021">
        <f>(VLOOKUP(YEAR($A37),'NY East Load Projections'!$A$4:$EO$14,((MONTH($A37)-1)*12)+VLOOKUP(P$4,$DE$6:$DF$17,2)+1))*(VLOOKUP($A37,CURVES!$D$9:$K$261,3))*(INDEX(DailyScalarsTable,P$5/100,MONTH($A37)))*$B37</f>
        <v>-121099.3885592588</v>
      </c>
      <c r="Q37" s="1021">
        <f>(VLOOKUP(YEAR($A37),'NY East Load Projections'!$A$4:$EO$14,((MONTH($A37)-1)*12)+VLOOKUP(Q$4,$DE$6:$DF$17,2)+1))*(VLOOKUP($A37,CURVES!$D$9:$K$261,3))*(INDEX(DailyScalarsTable,Q$5/100,MONTH($A37)))*$B37</f>
        <v>-155302.51564115236</v>
      </c>
      <c r="R37" s="1021">
        <f>(VLOOKUP(YEAR($A37),'NY East Load Projections'!$A$4:$EO$14,((MONTH($A37)-1)*12)+VLOOKUP(R$4,$DE$6:$DF$17,2)+1))*(VLOOKUP($A37,CURVES!$D$9:$K$261,3))*(INDEX(DailyScalarsTable,R$5/100,MONTH($A37)))*$B37</f>
        <v>-175282.56017413965</v>
      </c>
      <c r="S37" s="1021">
        <f>(VLOOKUP(YEAR($A37),'NY East Load Projections'!$A$4:$EO$14,((MONTH($A37)-1)*12)+VLOOKUP(S$4,$DE$6:$DF$17,2)+1))*(VLOOKUP($A37,CURVES!$D$9:$K$261,3))*(INDEX(DailyScalarsTable,S$5/100,MONTH($A37)))*$B37</f>
        <v>-182710.16994967958</v>
      </c>
      <c r="T37" s="1021">
        <f>(VLOOKUP(YEAR($A37),'NY East Load Projections'!$A$4:$EO$14,((MONTH($A37)-1)*12)+VLOOKUP(T$4,$DE$6:$DF$17,2)+1))*(VLOOKUP($A37,CURVES!$D$9:$K$261,3))*(INDEX(DailyScalarsTable,T$5/100,MONTH($A37)))*$B37</f>
        <v>-184470.77647342588</v>
      </c>
      <c r="U37" s="1021">
        <f>(VLOOKUP(YEAR($A37),'NY East Load Projections'!$A$4:$EO$14,((MONTH($A37)-1)*12)+VLOOKUP(U$4,$DE$6:$DF$17,2)+1))*(VLOOKUP($A37,CURVES!$D$9:$K$261,3))*(INDEX(DailyScalarsTable,U$5/100,MONTH($A37)))*$B37</f>
        <v>-202506.59158510101</v>
      </c>
      <c r="V37" s="1021">
        <f>(VLOOKUP(YEAR($A37),'NY East Load Projections'!$A$4:$EO$14,((MONTH($A37)-1)*12)+VLOOKUP(V$4,$DE$6:$DF$17,2)+1))*(VLOOKUP($A37,CURVES!$D$9:$K$261,3))*(INDEX(DailyScalarsTable,V$5/100,MONTH($A37)))*$B37</f>
        <v>-214384.95644208958</v>
      </c>
      <c r="W37" s="1021">
        <f>(VLOOKUP(YEAR($A37),'NY East Load Projections'!$A$4:$EO$14,((MONTH($A37)-1)*12)+VLOOKUP(W$4,$DE$6:$DF$17,2)+1))*(VLOOKUP($A37,CURVES!$D$9:$K$261,3))*(INDEX(DailyScalarsTable,W$5/100,MONTH($A37)))*$B37</f>
        <v>-211398.13355735355</v>
      </c>
      <c r="X37" s="1021">
        <f>(VLOOKUP(YEAR($A37),'NY East Load Projections'!$A$4:$EO$14,((MONTH($A37)-1)*12)+VLOOKUP(X$4,$DE$6:$DF$17,2)+1))*(VLOOKUP($A37,CURVES!$D$9:$K$261,3))*(INDEX(DailyScalarsTable,X$5/100,MONTH($A37)))*$B37</f>
        <v>-194106.4920857877</v>
      </c>
      <c r="Y37" s="1021">
        <f>(VLOOKUP(YEAR($A37),'NY East Load Projections'!$A$4:$EO$14,((MONTH($A37)-1)*12)+VLOOKUP(Y$4,$DE$6:$DF$17,2)+1))*(VLOOKUP($A37,CURVES!$D$9:$K$261,3))*(INDEX(DailyScalarsTable,Y$5/100,MONTH($A37)))*$B37</f>
        <v>-179754.61113881768</v>
      </c>
      <c r="Z37" s="1021">
        <f>(VLOOKUP(YEAR($A37),'NY East Load Projections'!$A$4:$EO$14,((MONTH($A37)-1)*12)+VLOOKUP(Z$4,$DE$6:$DF$17,2)+1))*(VLOOKUP($A37,CURVES!$D$9:$K$261,3))*(INDEX(DailyScalarsTable,Z$5/100,MONTH($A37)))*$B37</f>
        <v>-146518.6763142554</v>
      </c>
      <c r="AA37" s="1021">
        <f>(VLOOKUP(YEAR($A37),'NY East Load Projections'!$A$4:$EO$14,((MONTH($A37)-1)*12)+VLOOKUP(AA$4,$DE$6:$DF$17,2)+1))*(VLOOKUP($A37,CURVES!$D$9:$K$261,3))*(INDEX(DailyScalarsTable,AA$5/100,MONTH($A37)))*$B37</f>
        <v>-133396.95659131135</v>
      </c>
      <c r="AB37" s="1021">
        <f>(VLOOKUP(YEAR($A37),'NY East Load Projections'!$A$4:$EO$14,((MONTH($A37)-1)*12)+VLOOKUP(AB$4,$DE$6:$DF$17,2)+1))*(VLOOKUP($A37,CURVES!$D$9:$K$261,3))*(INDEX(DailyScalarsTable,AB$5/100,MONTH($A37)))*$B37</f>
        <v>-148865.13945414848</v>
      </c>
      <c r="AC37" s="1021">
        <f>(VLOOKUP(YEAR($A37),'NY East Load Projections'!$A$4:$EO$14,((MONTH($A37)-1)*12)+VLOOKUP(AC$4,$DE$6:$DF$17,2)+1))*(VLOOKUP($A37,CURVES!$D$9:$K$261,3))*(INDEX(DailyScalarsTable,AC$5/100,MONTH($A37)))*$B37</f>
        <v>-126584.17991645675</v>
      </c>
      <c r="AD37" s="1021">
        <f>(VLOOKUP(YEAR($A37),'NY East Load Projections'!$A$4:$EO$14,((MONTH($A37)-1)*12)+VLOOKUP(AD$4,$DE$6:$DF$17,2)+1))*(VLOOKUP($A37,CURVES!$D$9:$K$261,3))*(INDEX(DailyScalarsTable,AD$5/100,MONTH($A37)))*$B37</f>
        <v>-102503.89890407164</v>
      </c>
      <c r="AE37" s="1021">
        <f>(VLOOKUP(YEAR($A37),'NY East Load Projections'!$A$4:$EO$14,((MONTH($A37)-1)*12)+VLOOKUP(AE$4,$DE$6:$DF$17,2)+1))*(VLOOKUP($A37,CURVES!$D$9:$K$261,7))*(INDEX(DailyScalarsTable,AE$5/100,MONTH($A37)))*$B37</f>
        <v>-66191.518278939984</v>
      </c>
      <c r="AF37" s="1021"/>
      <c r="AG37" s="1021">
        <f>(VLOOKUP(YEAR($A37),'NY East Load Projections'!$A$4:$EO$14,((MONTH($A37)-1)*12)+VLOOKUP(AG$4,$DE$6:$DF$17,2)+1))*(VLOOKUP($A37,CURVES!$D$9:$T$261,7))*(INDEX(DailyScalarsTable,AG$5/100,MONTH($A37)))*$C37</f>
        <v>-12787.228877164218</v>
      </c>
      <c r="AH37" s="1021">
        <f>(VLOOKUP(YEAR($A37),'NY East Load Projections'!$A$4:$EO$14,((MONTH($A37)-1)*12)+VLOOKUP(AH$4,$DE$6:$DF$17,2)+1))*(VLOOKUP($A37,CURVES!$D$9:$T$261,7))*(INDEX(DailyScalarsTable,AH$5/100,MONTH($A37)))*$C37</f>
        <v>-11543.255481029953</v>
      </c>
      <c r="AI37" s="1021">
        <f>(VLOOKUP(YEAR($A37),'NY East Load Projections'!$A$4:$EO$14,((MONTH($A37)-1)*12)+VLOOKUP(AI$4,$DE$6:$DF$17,2)+1))*(VLOOKUP($A37,CURVES!$D$9:$T$261,7))*(INDEX(DailyScalarsTable,AI$5/100,MONTH($A37)))*$C37</f>
        <v>-10366.444967785566</v>
      </c>
      <c r="AJ37" s="1021">
        <f>(VLOOKUP(YEAR($A37),'NY East Load Projections'!$A$4:$EO$14,((MONTH($A37)-1)*12)+VLOOKUP(AJ$4,$DE$6:$DF$17,2)+1))*(VLOOKUP($A37,CURVES!$D$9:$T$261,7))*(INDEX(DailyScalarsTable,AJ$5/100,MONTH($A37)))*$C37</f>
        <v>-9753.2186457475436</v>
      </c>
      <c r="AK37" s="1021">
        <f>(VLOOKUP(YEAR($A37),'NY East Load Projections'!$A$4:$EO$14,((MONTH($A37)-1)*12)+VLOOKUP(AK$4,$DE$6:$DF$17,2)+1))*(VLOOKUP($A37,CURVES!$D$9:$T$261,7))*(INDEX(DailyScalarsTable,AK$5/100,MONTH($A37)))*$C37</f>
        <v>-10297.469965117343</v>
      </c>
      <c r="AL37" s="1021">
        <f>(VLOOKUP(YEAR($A37),'NY East Load Projections'!$A$4:$EO$14,((MONTH($A37)-1)*12)+VLOOKUP(AL$4,$DE$6:$DF$17,2)+1))*(VLOOKUP($A37,CURVES!$D$9:$T$261,7))*(INDEX(DailyScalarsTable,AL$5/100,MONTH($A37)))*$C37</f>
        <v>-11440.973263810794</v>
      </c>
      <c r="AM37" s="1021">
        <f>(VLOOKUP(YEAR($A37),'NY East Load Projections'!$A$4:$EO$14,((MONTH($A37)-1)*12)+VLOOKUP(AM$4,$DE$6:$DF$17,2)+1))*(VLOOKUP($A37,CURVES!$D$9:$T$261,7))*(INDEX(DailyScalarsTable,AM$5/100,MONTH($A37)))*$C37</f>
        <v>-13312.160479854612</v>
      </c>
      <c r="AN37" s="1021">
        <f>(VLOOKUP(YEAR($A37),'NY East Load Projections'!$A$4:$EO$14,((MONTH($A37)-1)*12)+VLOOKUP(AN$4,$DE$6:$DF$17,2)+1))*(VLOOKUP($A37,SatSunCurve,3))*(INDEX(DailyScalarsTable,AN$5/100,MONTH($A37)))*$C37</f>
        <v>-13482.136139663289</v>
      </c>
      <c r="AO37" s="1021">
        <f>(VLOOKUP(YEAR($A37),'NY East Load Projections'!$A$4:$EO$14,((MONTH($A37)-1)*12)+VLOOKUP(AO$4,$DE$6:$DF$17,2)+1))*(VLOOKUP($A37,SatSunCurve,3))*(INDEX(DailyScalarsTable,AO$5/100,MONTH($A37)))*$C37</f>
        <v>-16184.403754112438</v>
      </c>
      <c r="AP37" s="1021">
        <f>(VLOOKUP(YEAR($A37),'NY East Load Projections'!$A$4:$EO$14,((MONTH($A37)-1)*12)+VLOOKUP(AP$4,$DE$6:$DF$17,2)+1))*(VLOOKUP($A37,SatSunCurve,3))*(INDEX(DailyScalarsTable,AP$5/100,MONTH($A37)))*$C37</f>
        <v>-20755.502129854485</v>
      </c>
      <c r="AQ37" s="1021">
        <f>(VLOOKUP(YEAR($A37),'NY East Load Projections'!$A$4:$EO$14,((MONTH($A37)-1)*12)+VLOOKUP(AQ$4,$DE$6:$DF$17,2)+1))*(VLOOKUP($A37,SatSunCurve,3))*(INDEX(DailyScalarsTable,AQ$5/100,MONTH($A37)))*$C37</f>
        <v>-23425.747715683992</v>
      </c>
      <c r="AR37" s="1021">
        <f>(VLOOKUP(YEAR($A37),'NY East Load Projections'!$A$4:$EO$14,((MONTH($A37)-1)*12)+VLOOKUP(AR$4,$DE$6:$DF$17,2)+1))*(VLOOKUP($A37,SatSunCurve,3))*(INDEX(DailyScalarsTable,AR$5/100,MONTH($A37)))*$C37</f>
        <v>-24418.415283749426</v>
      </c>
      <c r="AS37" s="1021">
        <f>(VLOOKUP(YEAR($A37),'NY East Load Projections'!$A$4:$EO$14,((MONTH($A37)-1)*12)+VLOOKUP(AS$4,$DE$6:$DF$17,2)+1))*(VLOOKUP($A37,SatSunCurve,3))*(INDEX(DailyScalarsTable,AS$5/100,MONTH($A37)))*$C37</f>
        <v>-24690.082130468487</v>
      </c>
      <c r="AT37" s="1021">
        <f>(VLOOKUP(YEAR($A37),'NY East Load Projections'!$A$4:$EO$14,((MONTH($A37)-1)*12)+VLOOKUP(AT$4,$DE$6:$DF$17,2)+1))*(VLOOKUP($A37,SatSunCurve,3))*(INDEX(DailyScalarsTable,AT$5/100,MONTH($A37)))*$C37</f>
        <v>-27104.045821142012</v>
      </c>
      <c r="AU37" s="1021">
        <f>(VLOOKUP(YEAR($A37),'NY East Load Projections'!$A$4:$EO$14,((MONTH($A37)-1)*12)+VLOOKUP(AU$4,$DE$6:$DF$17,2)+1))*(VLOOKUP($A37,SatSunCurve,3))*(INDEX(DailyScalarsTable,AU$5/100,MONTH($A37)))*$C37</f>
        <v>-28693.879232706618</v>
      </c>
      <c r="AV37" s="1021">
        <f>(VLOOKUP(YEAR($A37),'NY East Load Projections'!$A$4:$EO$14,((MONTH($A37)-1)*12)+VLOOKUP(AV$4,$DE$6:$DF$17,2)+1))*(VLOOKUP($A37,SatSunCurve,3))*(INDEX(DailyScalarsTable,AV$5/100,MONTH($A37)))*$C37</f>
        <v>-28294.114545079156</v>
      </c>
      <c r="AW37" s="1021">
        <f>(VLOOKUP(YEAR($A37),'NY East Load Projections'!$A$4:$EO$14,((MONTH($A37)-1)*12)+VLOOKUP(AW$4,$DE$6:$DF$17,2)+1))*(VLOOKUP($A37,SatSunCurve,3))*(INDEX(DailyScalarsTable,AW$5/100,MONTH($A37)))*$C37</f>
        <v>-26296.057393810661</v>
      </c>
      <c r="AX37" s="1021">
        <f>(VLOOKUP(YEAR($A37),'NY East Load Projections'!$A$4:$EO$14,((MONTH($A37)-1)*12)+VLOOKUP(AX$4,$DE$6:$DF$17,2)+1))*(VLOOKUP($A37,SatSunCurve,3))*(INDEX(DailyScalarsTable,AX$5/100,MONTH($A37)))*$C37</f>
        <v>-24351.774742389262</v>
      </c>
      <c r="AY37" s="1021">
        <f>(VLOOKUP(YEAR($A37),'NY East Load Projections'!$A$4:$EO$14,((MONTH($A37)-1)*12)+VLOOKUP(AY$4,$DE$6:$DF$17,2)+1))*(VLOOKUP($A37,SatSunCurve,3))*(INDEX(DailyScalarsTable,AY$5/100,MONTH($A37)))*$C37</f>
        <v>-19849.225444360753</v>
      </c>
      <c r="AZ37" s="1021">
        <f>(VLOOKUP(YEAR($A37),'NY East Load Projections'!$A$4:$EO$14,((MONTH($A37)-1)*12)+VLOOKUP(AZ$4,$DE$6:$DF$17,2)+1))*(VLOOKUP($A37,SatSunCurve,3))*(INDEX(DailyScalarsTable,AZ$5/100,MONTH($A37)))*$C37</f>
        <v>-18071.595591632617</v>
      </c>
      <c r="BA37" s="1021">
        <f>(VLOOKUP(YEAR($A37),'NY East Load Projections'!$A$4:$EO$14,((MONTH($A37)-1)*12)+VLOOKUP(BA$4,$DE$6:$DF$17,2)+1))*(VLOOKUP($A37,SatSunCurve,3))*(INDEX(DailyScalarsTable,BA$5/100,MONTH($A37)))*$C37</f>
        <v>-21813.297120334777</v>
      </c>
      <c r="BB37" s="1021">
        <f>(VLOOKUP(YEAR($A37),'NY East Load Projections'!$A$4:$EO$14,((MONTH($A37)-1)*12)+VLOOKUP(BB$4,$DE$6:$DF$17,2)+1))*(VLOOKUP($A37,SatSunCurve,3))*(INDEX(DailyScalarsTable,BB$5/100,MONTH($A37)))*$C37</f>
        <v>-18548.454912790785</v>
      </c>
      <c r="BC37" s="1021">
        <f>(VLOOKUP(YEAR($A37),'NY East Load Projections'!$A$4:$EO$14,((MONTH($A37)-1)*12)+VLOOKUP(BC$4,$DE$6:$DF$17,2)+1))*(VLOOKUP($A37,SatSunCurve,3))*(INDEX(DailyScalarsTable,BC$5/100,MONTH($A37)))*$C37</f>
        <v>-15019.9570630568</v>
      </c>
      <c r="BD37" s="1021">
        <f>(VLOOKUP(YEAR($A37),'NY East Load Projections'!$A$4:$EO$14,((MONTH($A37)-1)*12)+VLOOKUP(BD$4,$DE$6:$DF$17,2)+1))*(VLOOKUP($A37,CURVES!$D$9:$T$261,7))*(INDEX(DailyScalarsTable,BD$5/100,MONTH($A37)))*$C37</f>
        <v>-15416.688613709895</v>
      </c>
      <c r="BE37" s="1021"/>
      <c r="BF37" s="1021">
        <f>(VLOOKUP(YEAR($A37),'NY East Load Projections'!$A$4:$EO$14,((MONTH($A37)-1)*12)+VLOOKUP(BF$4,$DE$6:$DF$17,2)+1))*(VLOOKUP($A37,CURVES!$D$9:$T$261,7))*(INDEX(DailyScalarsTable,BF$5/100,MONTH($A37)))*$D37</f>
        <v>-12787.228877164218</v>
      </c>
      <c r="BG37" s="1021">
        <f>(VLOOKUP(YEAR($A37),'NY East Load Projections'!$A$4:$EO$14,((MONTH($A37)-1)*12)+VLOOKUP(BG$4,$DE$6:$DF$17,2)+1))*(VLOOKUP($A37,CURVES!$D$9:$T$261,7))*(INDEX(DailyScalarsTable,BG$5/100,MONTH($A37)))*$D37</f>
        <v>-11543.255481029953</v>
      </c>
      <c r="BH37" s="1021">
        <f>(VLOOKUP(YEAR($A37),'NY East Load Projections'!$A$4:$EO$14,((MONTH($A37)-1)*12)+VLOOKUP(BH$4,$DE$6:$DF$17,2)+1))*(VLOOKUP($A37,CURVES!$D$9:$T$261,7))*(INDEX(DailyScalarsTable,BH$5/100,MONTH($A37)))*$D37</f>
        <v>-10366.444967785566</v>
      </c>
      <c r="BI37" s="1021">
        <f>(VLOOKUP(YEAR($A37),'NY East Load Projections'!$A$4:$EO$14,((MONTH($A37)-1)*12)+VLOOKUP(BI$4,$DE$6:$DF$17,2)+1))*(VLOOKUP($A37,CURVES!$D$9:$T$261,7))*(INDEX(DailyScalarsTable,BI$5/100,MONTH($A37)))*$D37</f>
        <v>-9753.2186457475436</v>
      </c>
      <c r="BJ37" s="1021">
        <f>(VLOOKUP(YEAR($A37),'NY East Load Projections'!$A$4:$EO$14,((MONTH($A37)-1)*12)+VLOOKUP(BJ$4,$DE$6:$DF$17,2)+1))*(VLOOKUP($A37,CURVES!$D$9:$T$261,7))*(INDEX(DailyScalarsTable,BJ$5/100,MONTH($A37)))*$D37</f>
        <v>-10297.469965117343</v>
      </c>
      <c r="BK37" s="1021">
        <f>(VLOOKUP(YEAR($A37),'NY East Load Projections'!$A$4:$EO$14,((MONTH($A37)-1)*12)+VLOOKUP(BK$4,$DE$6:$DF$17,2)+1))*(VLOOKUP($A37,CURVES!$D$9:$T$261,7))*(INDEX(DailyScalarsTable,BK$5/100,MONTH($A37)))*$D37</f>
        <v>-11440.973263810794</v>
      </c>
      <c r="BL37" s="1021">
        <f>(VLOOKUP(YEAR($A37),'NY East Load Projections'!$A$4:$EO$14,((MONTH($A37)-1)*12)+VLOOKUP(BL$4,$DE$6:$DF$17,2)+1))*(VLOOKUP($A37,CURVES!$D$9:$T$261,7))*(INDEX(DailyScalarsTable,BL$5/100,MONTH($A37)))*$D37</f>
        <v>-13312.160479854612</v>
      </c>
      <c r="BM37" s="1021">
        <f>(VLOOKUP(YEAR($A37),'NY East Load Projections'!$A$4:$EO$14,((MONTH($A37)-1)*12)+VLOOKUP(BM$4,$DE$6:$DF$17,2)+1))*(VLOOKUP($A37,SatSunCurve,7))*(INDEX(DailyScalarsTable,BM$5/100,MONTH($A37)))*$D37</f>
        <v>-9820.3920247964961</v>
      </c>
      <c r="BN37" s="1021">
        <f>(VLOOKUP(YEAR($A37),'NY East Load Projections'!$A$4:$EO$14,((MONTH($A37)-1)*12)+VLOOKUP(BN$4,$DE$6:$DF$17,2)+1))*(VLOOKUP($A37,SatSunCurve,7))*(INDEX(DailyScalarsTable,BN$5/100,MONTH($A37)))*$D37</f>
        <v>-11788.724569053466</v>
      </c>
      <c r="BO37" s="1021">
        <f>(VLOOKUP(YEAR($A37),'NY East Load Projections'!$A$4:$EO$14,((MONTH($A37)-1)*12)+VLOOKUP(BO$4,$DE$6:$DF$17,2)+1))*(VLOOKUP($A37,SatSunCurve,7))*(INDEX(DailyScalarsTable,BO$5/100,MONTH($A37)))*$D37</f>
        <v>-15118.314002706709</v>
      </c>
      <c r="BP37" s="1021">
        <f>(VLOOKUP(YEAR($A37),'NY East Load Projections'!$A$4:$EO$14,((MONTH($A37)-1)*12)+VLOOKUP(BP$4,$DE$6:$DF$17,2)+1))*(VLOOKUP($A37,SatSunCurve,7))*(INDEX(DailyScalarsTable,BP$5/100,MONTH($A37)))*$D37</f>
        <v>-17063.321691672463</v>
      </c>
      <c r="BQ37" s="1021">
        <f>(VLOOKUP(YEAR($A37),'NY East Load Projections'!$A$4:$EO$14,((MONTH($A37)-1)*12)+VLOOKUP(BQ$4,$DE$6:$DF$17,2)+1))*(VLOOKUP($A37,SatSunCurve,7))*(INDEX(DailyScalarsTable,BQ$5/100,MONTH($A37)))*$D37</f>
        <v>-17786.381047231484</v>
      </c>
      <c r="BR37" s="1021">
        <f>(VLOOKUP(YEAR($A37),'NY East Load Projections'!$A$4:$EO$14,((MONTH($A37)-1)*12)+VLOOKUP(BR$4,$DE$6:$DF$17,2)+1))*(VLOOKUP($A37,SatSunCurve,7))*(INDEX(DailyScalarsTable,BR$5/100,MONTH($A37)))*$D37</f>
        <v>-17984.263260204603</v>
      </c>
      <c r="BS37" s="1021">
        <f>(VLOOKUP(YEAR($A37),'NY East Load Projections'!$A$4:$EO$14,((MONTH($A37)-1)*12)+VLOOKUP(BS$4,$DE$6:$DF$17,2)+1))*(VLOOKUP($A37,SatSunCurve,7))*(INDEX(DailyScalarsTable,BS$5/100,MONTH($A37)))*$D37</f>
        <v>-19742.595139549554</v>
      </c>
      <c r="BT37" s="1021">
        <f>(VLOOKUP(YEAR($A37),'NY East Load Projections'!$A$4:$EO$14,((MONTH($A37)-1)*12)+VLOOKUP(BT$4,$DE$6:$DF$17,2)+1))*(VLOOKUP($A37,SatSunCurve,7))*(INDEX(DailyScalarsTable,BT$5/100,MONTH($A37)))*$D37</f>
        <v>-20900.630275372918</v>
      </c>
      <c r="BU37" s="1021">
        <f>(VLOOKUP(YEAR($A37),'NY East Load Projections'!$A$4:$EO$14,((MONTH($A37)-1)*12)+VLOOKUP(BU$4,$DE$6:$DF$17,2)+1))*(VLOOKUP($A37,SatSunCurve,7))*(INDEX(DailyScalarsTable,BU$5/100,MONTH($A37)))*$D37</f>
        <v>-20609.441556500504</v>
      </c>
      <c r="BV37" s="1021">
        <f>(VLOOKUP(YEAR($A37),'NY East Load Projections'!$A$4:$EO$14,((MONTH($A37)-1)*12)+VLOOKUP(BV$4,$DE$6:$DF$17,2)+1))*(VLOOKUP($A37,SatSunCurve,7))*(INDEX(DailyScalarsTable,BV$5/100,MONTH($A37)))*$D37</f>
        <v>-19154.056125724492</v>
      </c>
      <c r="BW37" s="1021">
        <f>(VLOOKUP(YEAR($A37),'NY East Load Projections'!$A$4:$EO$14,((MONTH($A37)-1)*12)+VLOOKUP(BW$4,$DE$6:$DF$17,2)+1))*(VLOOKUP($A37,SatSunCurve,7))*(INDEX(DailyScalarsTable,BW$5/100,MONTH($A37)))*$D37</f>
        <v>-17737.840056833367</v>
      </c>
      <c r="BX37" s="1021">
        <f>(VLOOKUP(YEAR($A37),'NY East Load Projections'!$A$4:$EO$14,((MONTH($A37)-1)*12)+VLOOKUP(BX$4,$DE$6:$DF$17,2)+1))*(VLOOKUP($A37,SatSunCurve,7))*(INDEX(DailyScalarsTable,BX$5/100,MONTH($A37)))*$D37</f>
        <v>-14458.181792032867</v>
      </c>
      <c r="BY37" s="1021">
        <f>(VLOOKUP(YEAR($A37),'NY East Load Projections'!$A$4:$EO$14,((MONTH($A37)-1)*12)+VLOOKUP(BY$4,$DE$6:$DF$17,2)+1))*(VLOOKUP($A37,SatSunCurve,7))*(INDEX(DailyScalarsTable,BY$5/100,MONTH($A37)))*$D37</f>
        <v>-13163.355671903837</v>
      </c>
      <c r="BZ37" s="1021">
        <f>(VLOOKUP(YEAR($A37),'NY East Load Projections'!$A$4:$EO$14,((MONTH($A37)-1)*12)+VLOOKUP(BZ$4,$DE$6:$DF$17,2)+1))*(VLOOKUP($A37,SatSunCurve,7))*(INDEX(DailyScalarsTable,BZ$5/100,MONTH($A37)))*$D37</f>
        <v>-15888.812192368352</v>
      </c>
      <c r="CA37" s="1021">
        <f>(VLOOKUP(YEAR($A37),'NY East Load Projections'!$A$4:$EO$14,((MONTH($A37)-1)*12)+VLOOKUP(CA$4,$DE$6:$DF$17,2)+1))*(VLOOKUP($A37,SatSunCurve,7))*(INDEX(DailyScalarsTable,CA$5/100,MONTH($A37)))*$D37</f>
        <v>-13510.700145060044</v>
      </c>
      <c r="CB37" s="1021">
        <f>(VLOOKUP(YEAR($A37),'NY East Load Projections'!$A$4:$EO$14,((MONTH($A37)-1)*12)+VLOOKUP(CB$4,$DE$6:$DF$17,2)+1))*(VLOOKUP($A37,SatSunCurve,7))*(INDEX(DailyScalarsTable,CB$5/100,MONTH($A37)))*$D37</f>
        <v>-10940.541248570469</v>
      </c>
      <c r="CC37" s="1021">
        <f>(VLOOKUP(YEAR($A37),'NY East Load Projections'!$A$4:$EO$14,((MONTH($A37)-1)*12)+VLOOKUP(CC$4,$DE$6:$DF$17,2)+1))*(VLOOKUP($A37,CURVES!$D$9:$T$261,7))*(INDEX(DailyScalarsTable,CC$5/100,MONTH($A37)))*$D37</f>
        <v>-15416.688613709895</v>
      </c>
      <c r="CE37" s="1021">
        <f>(VLOOKUP(YEAR($A37),'NY East Load Projections'!$A$4:$EO$14,((MONTH($A37)-1)*12)+VLOOKUP(CE$4,$DE$6:$DF$17,2)+1))*(VLOOKUP($A37,CURVES!$D$9:$T$261,7))*(INDEX(DailyScalarsTable,CE$5/100,MONTH($A37)))*$E37</f>
        <v>0</v>
      </c>
      <c r="CF37" s="1021">
        <f>(VLOOKUP(YEAR($A37),'NY East Load Projections'!$A$4:$EO$14,((MONTH($A37)-1)*12)+VLOOKUP(CF$4,$DE$6:$DF$17,2)+1))*(VLOOKUP($A37,CURVES!$D$9:$T$261,7))*(INDEX(DailyScalarsTable,CF$5/100,MONTH($A37)))*$E37</f>
        <v>0</v>
      </c>
      <c r="CG37" s="1021">
        <f>(VLOOKUP(YEAR($A37),'NY East Load Projections'!$A$4:$EO$14,((MONTH($A37)-1)*12)+VLOOKUP(CG$4,$DE$6:$DF$17,2)+1))*(VLOOKUP($A37,CURVES!$D$9:$T$261,7))*(INDEX(DailyScalarsTable,CG$5/100,MONTH($A37)))*$E37</f>
        <v>0</v>
      </c>
      <c r="CH37" s="1021">
        <f>(VLOOKUP(YEAR($A37),'NY East Load Projections'!$A$4:$EO$14,((MONTH($A37)-1)*12)+VLOOKUP(CH$4,$DE$6:$DF$17,2)+1))*(VLOOKUP($A37,CURVES!$D$9:$T$261,7))*(INDEX(DailyScalarsTable,CH$5/100,MONTH($A37)))*$E37</f>
        <v>0</v>
      </c>
      <c r="CI37" s="1021">
        <f>(VLOOKUP(YEAR($A37),'NY East Load Projections'!$A$4:$EO$14,((MONTH($A37)-1)*12)+VLOOKUP(CI$4,$DE$6:$DF$17,2)+1))*(VLOOKUP($A37,CURVES!$D$9:$T$261,7))*(INDEX(DailyScalarsTable,CI$5/100,MONTH($A37)))*$E37</f>
        <v>0</v>
      </c>
      <c r="CJ37" s="1021">
        <f>(VLOOKUP(YEAR($A37),'NY East Load Projections'!$A$4:$EO$14,((MONTH($A37)-1)*12)+VLOOKUP(CJ$4,$DE$6:$DF$17,2)+1))*(VLOOKUP($A37,CURVES!$D$9:$T$261,7))*(INDEX(DailyScalarsTable,CJ$5/100,MONTH($A37)))*$E37</f>
        <v>0</v>
      </c>
      <c r="CK37" s="1021">
        <f>(VLOOKUP(YEAR($A37),'NY East Load Projections'!$A$4:$EO$14,((MONTH($A37)-1)*12)+VLOOKUP(CK$4,$DE$6:$DF$17,2)+1))*(VLOOKUP($A37,CURVES!$D$9:$T$261,7))*(INDEX(DailyScalarsTable,CK$5/100,MONTH($A37)))*$E37</f>
        <v>0</v>
      </c>
      <c r="CL37" s="1021">
        <f>(VLOOKUP(YEAR($A37),'NY East Load Projections'!$A$4:$EO$14,((MONTH($A37)-1)*12)+VLOOKUP(CL$4,$DE$6:$DF$17,2)+1))*(VLOOKUP($A37,SatSunCurve,7))*(INDEX(DailyScalarsTable,CL$5/100,MONTH($A37)))*$E37</f>
        <v>0</v>
      </c>
      <c r="CM37" s="1021">
        <f>(VLOOKUP(YEAR($A37),'NY East Load Projections'!$A$4:$EO$14,((MONTH($A37)-1)*12)+VLOOKUP(CM$4,$DE$6:$DF$17,2)+1))*(VLOOKUP($A37,SatSunCurve,7))*(INDEX(DailyScalarsTable,CM$5/100,MONTH($A37)))*$E37</f>
        <v>0</v>
      </c>
      <c r="CN37" s="1021">
        <f>(VLOOKUP(YEAR($A37),'NY East Load Projections'!$A$4:$EO$14,((MONTH($A37)-1)*12)+VLOOKUP(CN$4,$DE$6:$DF$17,2)+1))*(VLOOKUP($A37,SatSunCurve,7))*(INDEX(DailyScalarsTable,CN$5/100,MONTH($A37)))*$E37</f>
        <v>0</v>
      </c>
      <c r="CO37" s="1021">
        <f>(VLOOKUP(YEAR($A37),'NY East Load Projections'!$A$4:$EO$14,((MONTH($A37)-1)*12)+VLOOKUP(CO$4,$DE$6:$DF$17,2)+1))*(VLOOKUP($A37,SatSunCurve,7))*(INDEX(DailyScalarsTable,CO$5/100,MONTH($A37)))*$E37</f>
        <v>0</v>
      </c>
      <c r="CP37" s="1021">
        <f>(VLOOKUP(YEAR($A37),'NY East Load Projections'!$A$4:$EO$14,((MONTH($A37)-1)*12)+VLOOKUP(CP$4,$DE$6:$DF$17,2)+1))*(VLOOKUP($A37,SatSunCurve,7))*(INDEX(DailyScalarsTable,CP$5/100,MONTH($A37)))*$E37</f>
        <v>0</v>
      </c>
      <c r="CQ37" s="1021">
        <f>(VLOOKUP(YEAR($A37),'NY East Load Projections'!$A$4:$EO$14,((MONTH($A37)-1)*12)+VLOOKUP(CQ$4,$DE$6:$DF$17,2)+1))*(VLOOKUP($A37,SatSunCurve,7))*(INDEX(DailyScalarsTable,CQ$5/100,MONTH($A37)))*$E37</f>
        <v>0</v>
      </c>
      <c r="CR37" s="1021">
        <f>(VLOOKUP(YEAR($A37),'NY East Load Projections'!$A$4:$EO$14,((MONTH($A37)-1)*12)+VLOOKUP(CR$4,$DE$6:$DF$17,2)+1))*(VLOOKUP($A37,SatSunCurve,7))*(INDEX(DailyScalarsTable,CR$5/100,MONTH($A37)))*$E37</f>
        <v>0</v>
      </c>
      <c r="CS37" s="1021">
        <f>(VLOOKUP(YEAR($A37),'NY East Load Projections'!$A$4:$EO$14,((MONTH($A37)-1)*12)+VLOOKUP(CS$4,$DE$6:$DF$17,2)+1))*(VLOOKUP($A37,SatSunCurve,7))*(INDEX(DailyScalarsTable,CS$5/100,MONTH($A37)))*$E37</f>
        <v>0</v>
      </c>
      <c r="CT37" s="1021">
        <f>(VLOOKUP(YEAR($A37),'NY East Load Projections'!$A$4:$EO$14,((MONTH($A37)-1)*12)+VLOOKUP(CT$4,$DE$6:$DF$17,2)+1))*(VLOOKUP($A37,SatSunCurve,7))*(INDEX(DailyScalarsTable,CT$5/100,MONTH($A37)))*$E37</f>
        <v>0</v>
      </c>
      <c r="CU37" s="1021">
        <f>(VLOOKUP(YEAR($A37),'NY East Load Projections'!$A$4:$EO$14,((MONTH($A37)-1)*12)+VLOOKUP(CU$4,$DE$6:$DF$17,2)+1))*(VLOOKUP($A37,SatSunCurve,7))*(INDEX(DailyScalarsTable,CU$5/100,MONTH($A37)))*$E37</f>
        <v>0</v>
      </c>
      <c r="CV37" s="1021">
        <f>(VLOOKUP(YEAR($A37),'NY East Load Projections'!$A$4:$EO$14,((MONTH($A37)-1)*12)+VLOOKUP(CV$4,$DE$6:$DF$17,2)+1))*(VLOOKUP($A37,SatSunCurve,7))*(INDEX(DailyScalarsTable,CV$5/100,MONTH($A37)))*$E37</f>
        <v>0</v>
      </c>
      <c r="CW37" s="1021">
        <f>(VLOOKUP(YEAR($A37),'NY East Load Projections'!$A$4:$EO$14,((MONTH($A37)-1)*12)+VLOOKUP(CW$4,$DE$6:$DF$17,2)+1))*(VLOOKUP($A37,SatSunCurve,7))*(INDEX(DailyScalarsTable,CW$5/100,MONTH($A37)))*$E37</f>
        <v>0</v>
      </c>
      <c r="CX37" s="1021">
        <f>(VLOOKUP(YEAR($A37),'NY East Load Projections'!$A$4:$EO$14,((MONTH($A37)-1)*12)+VLOOKUP(CX$4,$DE$6:$DF$17,2)+1))*(VLOOKUP($A37,SatSunCurve,7))*(INDEX(DailyScalarsTable,CX$5/100,MONTH($A37)))*$E37</f>
        <v>0</v>
      </c>
      <c r="CY37" s="1021">
        <f>(VLOOKUP(YEAR($A37),'NY East Load Projections'!$A$4:$EO$14,((MONTH($A37)-1)*12)+VLOOKUP(CY$4,$DE$6:$DF$17,2)+1))*(VLOOKUP($A37,SatSunCurve,7))*(INDEX(DailyScalarsTable,CY$5/100,MONTH($A37)))*$E37</f>
        <v>0</v>
      </c>
      <c r="CZ37" s="1021">
        <f>(VLOOKUP(YEAR($A37),'NY East Load Projections'!$A$4:$EO$14,((MONTH($A37)-1)*12)+VLOOKUP(CZ$4,$DE$6:$DF$17,2)+1))*(VLOOKUP($A37,SatSunCurve,7))*(INDEX(DailyScalarsTable,CZ$5/100,MONTH($A37)))*$E37</f>
        <v>0</v>
      </c>
      <c r="DA37" s="1021">
        <f>(VLOOKUP(YEAR($A37),'NY East Load Projections'!$A$4:$EO$14,((MONTH($A37)-1)*12)+VLOOKUP(DA$4,$DE$6:$DF$17,2)+1))*(VLOOKUP($A37,SatSunCurve,7))*(INDEX(DailyScalarsTable,DA$5/100,MONTH($A37)))*$E37</f>
        <v>0</v>
      </c>
      <c r="DB37" s="1021">
        <f>(VLOOKUP(YEAR($A37),'NY East Load Projections'!$A$4:$EO$14,((MONTH($A37)-1)*12)+VLOOKUP(DB$4,$DE$6:$DF$17,2)+1))*(VLOOKUP($A37,CURVES!$D$9:$T$261,7))*(INDEX(DailyScalarsTable,DB$5/100,MONTH($A37)))*$E37</f>
        <v>0</v>
      </c>
      <c r="DH37" s="1032">
        <f t="shared" si="0"/>
        <v>-3790833.6767620714</v>
      </c>
      <c r="DI37">
        <f ca="1">CALC!J57</f>
        <v>0.77711898090809006</v>
      </c>
      <c r="DJ37" s="1029">
        <f t="shared" ca="1" si="1"/>
        <v>-2945928.803677409</v>
      </c>
    </row>
    <row r="38" spans="1:114" x14ac:dyDescent="0.25">
      <c r="A38" s="244">
        <v>37865</v>
      </c>
      <c r="B38" s="13">
        <v>21</v>
      </c>
      <c r="C38" s="210">
        <v>4</v>
      </c>
      <c r="D38" s="210">
        <v>4</v>
      </c>
      <c r="E38" s="210">
        <v>1</v>
      </c>
      <c r="F38" s="13">
        <v>30</v>
      </c>
      <c r="H38" s="1021">
        <f>(VLOOKUP(YEAR($A38),'NY East Load Projections'!$A$4:$EO$14,((MONTH($A38)-1)*12)+VLOOKUP(H$4,$DE$6:$DF$17,2)+1))*(VLOOKUP($A38,CURVES!$D$9:$K$261,7))*(INDEX(DailyScalarsTable,H$5/100,MONTH($A38)))*$B38</f>
        <v>-41293.706381562079</v>
      </c>
      <c r="I38" s="1021">
        <f>(VLOOKUP(YEAR($A38),'NY East Load Projections'!$A$4:$EO$14,((MONTH($A38)-1)*12)+VLOOKUP(I$4,$DE$6:$DF$17,2)+1))*(VLOOKUP($A38,CURVES!$D$9:$K$261,7))*(INDEX(DailyScalarsTable,I$5/100,MONTH($A38)))*$B38</f>
        <v>-36227.701763250043</v>
      </c>
      <c r="J38" s="1021">
        <f>(VLOOKUP(YEAR($A38),'NY East Load Projections'!$A$4:$EO$14,((MONTH($A38)-1)*12)+VLOOKUP(J$4,$DE$6:$DF$17,2)+1))*(VLOOKUP($A38,CURVES!$D$9:$K$261,7))*(INDEX(DailyScalarsTable,J$5/100,MONTH($A38)))*$B38</f>
        <v>-33972.64794764531</v>
      </c>
      <c r="K38" s="1021">
        <f>(VLOOKUP(YEAR($A38),'NY East Load Projections'!$A$4:$EO$14,((MONTH($A38)-1)*12)+VLOOKUP(K$4,$DE$6:$DF$17,2)+1))*(VLOOKUP($A38,CURVES!$D$9:$K$261,7))*(INDEX(DailyScalarsTable,K$5/100,MONTH($A38)))*$B38</f>
        <v>-34476.101822757075</v>
      </c>
      <c r="L38" s="1021">
        <f>(VLOOKUP(YEAR($A38),'NY East Load Projections'!$A$4:$EO$14,((MONTH($A38)-1)*12)+VLOOKUP(L$4,$DE$6:$DF$17,2)+1))*(VLOOKUP($A38,CURVES!$D$9:$K$261,7))*(INDEX(DailyScalarsTable,L$5/100,MONTH($A38)))*$B38</f>
        <v>-40757.329257050369</v>
      </c>
      <c r="M38" s="1021">
        <f>(VLOOKUP(YEAR($A38),'NY East Load Projections'!$A$4:$EO$14,((MONTH($A38)-1)*12)+VLOOKUP(M$4,$DE$6:$DF$17,2)+1))*(VLOOKUP($A38,CURVES!$D$9:$K$261,7))*(INDEX(DailyScalarsTable,M$5/100,MONTH($A38)))*$B38</f>
        <v>-47165.497677854561</v>
      </c>
      <c r="N38" s="1021">
        <f>(VLOOKUP(YEAR($A38),'NY East Load Projections'!$A$4:$EO$14,((MONTH($A38)-1)*12)+VLOOKUP(N$4,$DE$6:$DF$17,2)+1))*(VLOOKUP($A38,CURVES!$D$9:$K$261,7))*(INDEX(DailyScalarsTable,N$5/100,MONTH($A38)))*$B38</f>
        <v>-64139.105072027698</v>
      </c>
      <c r="O38" s="1021">
        <f>(VLOOKUP(YEAR($A38),'NY East Load Projections'!$A$4:$EO$14,((MONTH($A38)-1)*12)+VLOOKUP(O$4,$DE$6:$DF$17,2)+1))*(VLOOKUP($A38,CURVES!$D$9:$K$261,3))*(INDEX(DailyScalarsTable,O$5/100,MONTH($A38)))*$B38</f>
        <v>-57695.769333994569</v>
      </c>
      <c r="P38" s="1021">
        <f>(VLOOKUP(YEAR($A38),'NY East Load Projections'!$A$4:$EO$14,((MONTH($A38)-1)*12)+VLOOKUP(P$4,$DE$6:$DF$17,2)+1))*(VLOOKUP($A38,CURVES!$D$9:$K$261,3))*(INDEX(DailyScalarsTable,P$5/100,MONTH($A38)))*$B38</f>
        <v>-62944.619696911526</v>
      </c>
      <c r="Q38" s="1021">
        <f>(VLOOKUP(YEAR($A38),'NY East Load Projections'!$A$4:$EO$14,((MONTH($A38)-1)*12)+VLOOKUP(Q$4,$DE$6:$DF$17,2)+1))*(VLOOKUP($A38,CURVES!$D$9:$K$261,3))*(INDEX(DailyScalarsTable,Q$5/100,MONTH($A38)))*$B38</f>
        <v>-78574.592739059575</v>
      </c>
      <c r="R38" s="1021">
        <f>(VLOOKUP(YEAR($A38),'NY East Load Projections'!$A$4:$EO$14,((MONTH($A38)-1)*12)+VLOOKUP(R$4,$DE$6:$DF$17,2)+1))*(VLOOKUP($A38,CURVES!$D$9:$K$261,3))*(INDEX(DailyScalarsTable,R$5/100,MONTH($A38)))*$B38</f>
        <v>-83914.02452364433</v>
      </c>
      <c r="S38" s="1021">
        <f>(VLOOKUP(YEAR($A38),'NY East Load Projections'!$A$4:$EO$14,((MONTH($A38)-1)*12)+VLOOKUP(S$4,$DE$6:$DF$17,2)+1))*(VLOOKUP($A38,CURVES!$D$9:$K$261,3))*(INDEX(DailyScalarsTable,S$5/100,MONTH($A38)))*$B38</f>
        <v>-89411.212247319083</v>
      </c>
      <c r="T38" s="1021">
        <f>(VLOOKUP(YEAR($A38),'NY East Load Projections'!$A$4:$EO$14,((MONTH($A38)-1)*12)+VLOOKUP(T$4,$DE$6:$DF$17,2)+1))*(VLOOKUP($A38,CURVES!$D$9:$K$261,3))*(INDEX(DailyScalarsTable,T$5/100,MONTH($A38)))*$B38</f>
        <v>-85996.397937180111</v>
      </c>
      <c r="U38" s="1021">
        <f>(VLOOKUP(YEAR($A38),'NY East Load Projections'!$A$4:$EO$14,((MONTH($A38)-1)*12)+VLOOKUP(U$4,$DE$6:$DF$17,2)+1))*(VLOOKUP($A38,CURVES!$D$9:$K$261,3))*(INDEX(DailyScalarsTable,U$5/100,MONTH($A38)))*$B38</f>
        <v>-93093.847171266301</v>
      </c>
      <c r="V38" s="1021">
        <f>(VLOOKUP(YEAR($A38),'NY East Load Projections'!$A$4:$EO$14,((MONTH($A38)-1)*12)+VLOOKUP(V$4,$DE$6:$DF$17,2)+1))*(VLOOKUP($A38,CURVES!$D$9:$K$261,3))*(INDEX(DailyScalarsTable,V$5/100,MONTH($A38)))*$B38</f>
        <v>-91624.983764559816</v>
      </c>
      <c r="W38" s="1021">
        <f>(VLOOKUP(YEAR($A38),'NY East Load Projections'!$A$4:$EO$14,((MONTH($A38)-1)*12)+VLOOKUP(W$4,$DE$6:$DF$17,2)+1))*(VLOOKUP($A38,CURVES!$D$9:$K$261,3))*(INDEX(DailyScalarsTable,W$5/100,MONTH($A38)))*$B38</f>
        <v>-88761.317290980674</v>
      </c>
      <c r="X38" s="1021">
        <f>(VLOOKUP(YEAR($A38),'NY East Load Projections'!$A$4:$EO$14,((MONTH($A38)-1)*12)+VLOOKUP(X$4,$DE$6:$DF$17,2)+1))*(VLOOKUP($A38,CURVES!$D$9:$K$261,3))*(INDEX(DailyScalarsTable,X$5/100,MONTH($A38)))*$B38</f>
        <v>-89702.09779327306</v>
      </c>
      <c r="Y38" s="1021">
        <f>(VLOOKUP(YEAR($A38),'NY East Load Projections'!$A$4:$EO$14,((MONTH($A38)-1)*12)+VLOOKUP(Y$4,$DE$6:$DF$17,2)+1))*(VLOOKUP($A38,CURVES!$D$9:$K$261,3))*(INDEX(DailyScalarsTable,Y$5/100,MONTH($A38)))*$B38</f>
        <v>-87501.529868066849</v>
      </c>
      <c r="Z38" s="1021">
        <f>(VLOOKUP(YEAR($A38),'NY East Load Projections'!$A$4:$EO$14,((MONTH($A38)-1)*12)+VLOOKUP(Z$4,$DE$6:$DF$17,2)+1))*(VLOOKUP($A38,CURVES!$D$9:$K$261,3))*(INDEX(DailyScalarsTable,Z$5/100,MONTH($A38)))*$B38</f>
        <v>-71669.022743030786</v>
      </c>
      <c r="AA38" s="1021">
        <f>(VLOOKUP(YEAR($A38),'NY East Load Projections'!$A$4:$EO$14,((MONTH($A38)-1)*12)+VLOOKUP(AA$4,$DE$6:$DF$17,2)+1))*(VLOOKUP($A38,CURVES!$D$9:$K$261,3))*(INDEX(DailyScalarsTable,AA$5/100,MONTH($A38)))*$B38</f>
        <v>-93663.12005864417</v>
      </c>
      <c r="AB38" s="1021">
        <f>(VLOOKUP(YEAR($A38),'NY East Load Projections'!$A$4:$EO$14,((MONTH($A38)-1)*12)+VLOOKUP(AB$4,$DE$6:$DF$17,2)+1))*(VLOOKUP($A38,CURVES!$D$9:$K$261,3))*(INDEX(DailyScalarsTable,AB$5/100,MONTH($A38)))*$B38</f>
        <v>-83851.709292631902</v>
      </c>
      <c r="AC38" s="1021">
        <f>(VLOOKUP(YEAR($A38),'NY East Load Projections'!$A$4:$EO$14,((MONTH($A38)-1)*12)+VLOOKUP(AC$4,$DE$6:$DF$17,2)+1))*(VLOOKUP($A38,CURVES!$D$9:$K$261,3))*(INDEX(DailyScalarsTable,AC$5/100,MONTH($A38)))*$B38</f>
        <v>-63819.439277664147</v>
      </c>
      <c r="AD38" s="1021">
        <f>(VLOOKUP(YEAR($A38),'NY East Load Projections'!$A$4:$EO$14,((MONTH($A38)-1)*12)+VLOOKUP(AD$4,$DE$6:$DF$17,2)+1))*(VLOOKUP($A38,CURVES!$D$9:$K$261,3))*(INDEX(DailyScalarsTable,AD$5/100,MONTH($A38)))*$B38</f>
        <v>-50574.283333476058</v>
      </c>
      <c r="AE38" s="1021">
        <f>(VLOOKUP(YEAR($A38),'NY East Load Projections'!$A$4:$EO$14,((MONTH($A38)-1)*12)+VLOOKUP(AE$4,$DE$6:$DF$17,2)+1))*(VLOOKUP($A38,CURVES!$D$9:$K$261,7))*(INDEX(DailyScalarsTable,AE$5/100,MONTH($A38)))*$B38</f>
        <v>-48256.564603644329</v>
      </c>
      <c r="AF38" s="1021"/>
      <c r="AG38" s="1021">
        <f>(VLOOKUP(YEAR($A38),'NY East Load Projections'!$A$4:$EO$14,((MONTH($A38)-1)*12)+VLOOKUP(AG$4,$DE$6:$DF$17,2)+1))*(VLOOKUP($A38,CURVES!$D$9:$T$261,7))*(INDEX(DailyScalarsTable,AG$5/100,MONTH($A38)))*$C38</f>
        <v>-8273.1771521281953</v>
      </c>
      <c r="AH38" s="1021">
        <f>(VLOOKUP(YEAR($A38),'NY East Load Projections'!$A$4:$EO$14,((MONTH($A38)-1)*12)+VLOOKUP(AH$4,$DE$6:$DF$17,2)+1))*(VLOOKUP($A38,CURVES!$D$9:$T$261,7))*(INDEX(DailyScalarsTable,AH$5/100,MONTH($A38)))*$C38</f>
        <v>-7258.2052028069056</v>
      </c>
      <c r="AI38" s="1021">
        <f>(VLOOKUP(YEAR($A38),'NY East Load Projections'!$A$4:$EO$14,((MONTH($A38)-1)*12)+VLOOKUP(AI$4,$DE$6:$DF$17,2)+1))*(VLOOKUP($A38,CURVES!$D$9:$T$261,7))*(INDEX(DailyScalarsTable,AI$5/100,MONTH($A38)))*$C38</f>
        <v>-6806.4060949309705</v>
      </c>
      <c r="AJ38" s="1021">
        <f>(VLOOKUP(YEAR($A38),'NY East Load Projections'!$A$4:$EO$14,((MONTH($A38)-1)*12)+VLOOKUP(AJ$4,$DE$6:$DF$17,2)+1))*(VLOOKUP($A38,CURVES!$D$9:$T$261,7))*(INDEX(DailyScalarsTable,AJ$5/100,MONTH($A38)))*$C38</f>
        <v>-6907.2728725032739</v>
      </c>
      <c r="AK38" s="1021">
        <f>(VLOOKUP(YEAR($A38),'NY East Load Projections'!$A$4:$EO$14,((MONTH($A38)-1)*12)+VLOOKUP(AK$4,$DE$6:$DF$17,2)+1))*(VLOOKUP($A38,CURVES!$D$9:$T$261,7))*(INDEX(DailyScalarsTable,AK$5/100,MONTH($A38)))*$C38</f>
        <v>-7521.3499860602096</v>
      </c>
      <c r="AL38" s="1021">
        <f>(VLOOKUP(YEAR($A38),'NY East Load Projections'!$A$4:$EO$14,((MONTH($A38)-1)*12)+VLOOKUP(AL$4,$DE$6:$DF$17,2)+1))*(VLOOKUP($A38,CURVES!$D$9:$T$261,7))*(INDEX(DailyScalarsTable,AL$5/100,MONTH($A38)))*$C38</f>
        <v>-8703.9121985768616</v>
      </c>
      <c r="AM38" s="1021">
        <f>(VLOOKUP(YEAR($A38),'NY East Load Projections'!$A$4:$EO$14,((MONTH($A38)-1)*12)+VLOOKUP(AM$4,$DE$6:$DF$17,2)+1))*(VLOOKUP($A38,CURVES!$D$9:$T$261,7))*(INDEX(DailyScalarsTable,AM$5/100,MONTH($A38)))*$C38</f>
        <v>-11836.218560762543</v>
      </c>
      <c r="AN38" s="1021">
        <f>(VLOOKUP(YEAR($A38),'NY East Load Projections'!$A$4:$EO$14,((MONTH($A38)-1)*12)+VLOOKUP(AN$4,$DE$6:$DF$17,2)+1))*(VLOOKUP($A38,SatSunCurve,3))*(INDEX(DailyScalarsTable,AN$5/100,MONTH($A38)))*$C38</f>
        <v>-7469.3213333728645</v>
      </c>
      <c r="AO38" s="1021">
        <f>(VLOOKUP(YEAR($A38),'NY East Load Projections'!$A$4:$EO$14,((MONTH($A38)-1)*12)+VLOOKUP(AO$4,$DE$6:$DF$17,2)+1))*(VLOOKUP($A38,SatSunCurve,3))*(INDEX(DailyScalarsTable,AO$5/100,MONTH($A38)))*$C38</f>
        <v>-8254.0518318720096</v>
      </c>
      <c r="AP38" s="1021">
        <f>(VLOOKUP(YEAR($A38),'NY East Load Projections'!$A$4:$EO$14,((MONTH($A38)-1)*12)+VLOOKUP(AP$4,$DE$6:$DF$17,2)+1))*(VLOOKUP($A38,SatSunCurve,3))*(INDEX(DailyScalarsTable,AP$5/100,MONTH($A38)))*$C38</f>
        <v>-10303.640950717418</v>
      </c>
      <c r="AQ38" s="1021">
        <f>(VLOOKUP(YEAR($A38),'NY East Load Projections'!$A$4:$EO$14,((MONTH($A38)-1)*12)+VLOOKUP(AQ$4,$DE$6:$DF$17,2)+1))*(VLOOKUP($A38,SatSunCurve,3))*(INDEX(DailyScalarsTable,AQ$5/100,MONTH($A38)))*$C38</f>
        <v>-11003.811146596285</v>
      </c>
      <c r="AR38" s="1021">
        <f>(VLOOKUP(YEAR($A38),'NY East Load Projections'!$A$4:$EO$14,((MONTH($A38)-1)*12)+VLOOKUP(AR$4,$DE$6:$DF$17,2)+1))*(VLOOKUP($A38,SatSunCurve,3))*(INDEX(DailyScalarsTable,AR$5/100,MONTH($A38)))*$C38</f>
        <v>-11724.668189171574</v>
      </c>
      <c r="AS38" s="1021">
        <f>(VLOOKUP(YEAR($A38),'NY East Load Projections'!$A$4:$EO$14,((MONTH($A38)-1)*12)+VLOOKUP(AS$4,$DE$6:$DF$17,2)+1))*(VLOOKUP($A38,SatSunCurve,3))*(INDEX(DailyScalarsTable,AS$5/100,MONTH($A38)))*$C38</f>
        <v>-11135.211960901755</v>
      </c>
      <c r="AT38" s="1021">
        <f>(VLOOKUP(YEAR($A38),'NY East Load Projections'!$A$4:$EO$14,((MONTH($A38)-1)*12)+VLOOKUP(AT$4,$DE$6:$DF$17,2)+1))*(VLOOKUP($A38,SatSunCurve,3))*(INDEX(DailyScalarsTable,AT$5/100,MONTH($A38)))*$C38</f>
        <v>-12054.222564822883</v>
      </c>
      <c r="AU38" s="1021">
        <f>(VLOOKUP(YEAR($A38),'NY East Load Projections'!$A$4:$EO$14,((MONTH($A38)-1)*12)+VLOOKUP(AU$4,$DE$6:$DF$17,2)+1))*(VLOOKUP($A38,SatSunCurve,3))*(INDEX(DailyScalarsTable,AU$5/100,MONTH($A38)))*$C38</f>
        <v>-11864.027326793996</v>
      </c>
      <c r="AV38" s="1021">
        <f>(VLOOKUP(YEAR($A38),'NY East Load Projections'!$A$4:$EO$14,((MONTH($A38)-1)*12)+VLOOKUP(AV$4,$DE$6:$DF$17,2)+1))*(VLOOKUP($A38,SatSunCurve,3))*(INDEX(DailyScalarsTable,AV$5/100,MONTH($A38)))*$C38</f>
        <v>-11493.226526603206</v>
      </c>
      <c r="AW38" s="1021">
        <f>(VLOOKUP(YEAR($A38),'NY East Load Projections'!$A$4:$EO$14,((MONTH($A38)-1)*12)+VLOOKUP(AW$4,$DE$6:$DF$17,2)+1))*(VLOOKUP($A38,SatSunCurve,3))*(INDEX(DailyScalarsTable,AW$5/100,MONTH($A38)))*$C38</f>
        <v>-11526.698038597888</v>
      </c>
      <c r="AX38" s="1021">
        <f>(VLOOKUP(YEAR($A38),'NY East Load Projections'!$A$4:$EO$14,((MONTH($A38)-1)*12)+VLOOKUP(AX$4,$DE$6:$DF$17,2)+1))*(VLOOKUP($A38,SatSunCurve,3))*(INDEX(DailyScalarsTable,AX$5/100,MONTH($A38)))*$C38</f>
        <v>-11243.925588328861</v>
      </c>
      <c r="AY38" s="1021">
        <f>(VLOOKUP(YEAR($A38),'NY East Load Projections'!$A$4:$EO$14,((MONTH($A38)-1)*12)+VLOOKUP(AY$4,$DE$6:$DF$17,2)+1))*(VLOOKUP($A38,SatSunCurve,3))*(INDEX(DailyScalarsTable,AY$5/100,MONTH($A38)))*$C38</f>
        <v>-9209.452222445927</v>
      </c>
      <c r="AZ38" s="1021">
        <f>(VLOOKUP(YEAR($A38),'NY East Load Projections'!$A$4:$EO$14,((MONTH($A38)-1)*12)+VLOOKUP(AZ$4,$DE$6:$DF$17,2)+1))*(VLOOKUP($A38,SatSunCurve,3))*(INDEX(DailyScalarsTable,AZ$5/100,MONTH($A38)))*$C38</f>
        <v>-12035.688449082132</v>
      </c>
      <c r="BA38" s="1021">
        <f>(VLOOKUP(YEAR($A38),'NY East Load Projections'!$A$4:$EO$14,((MONTH($A38)-1)*12)+VLOOKUP(BA$4,$DE$6:$DF$17,2)+1))*(VLOOKUP($A38,SatSunCurve,3))*(INDEX(DailyScalarsTable,BA$5/100,MONTH($A38)))*$C38</f>
        <v>-11821.387142607675</v>
      </c>
      <c r="BB38" s="1021">
        <f>(VLOOKUP(YEAR($A38),'NY East Load Projections'!$A$4:$EO$14,((MONTH($A38)-1)*12)+VLOOKUP(BB$4,$DE$6:$DF$17,2)+1))*(VLOOKUP($A38,SatSunCurve,3))*(INDEX(DailyScalarsTable,BB$5/100,MONTH($A38)))*$C38</f>
        <v>-8997.2441264438567</v>
      </c>
      <c r="BC38" s="1021">
        <f>(VLOOKUP(YEAR($A38),'NY East Load Projections'!$A$4:$EO$14,((MONTH($A38)-1)*12)+VLOOKUP(BC$4,$DE$6:$DF$17,2)+1))*(VLOOKUP($A38,SatSunCurve,3))*(INDEX(DailyScalarsTable,BC$5/100,MONTH($A38)))*$C38</f>
        <v>-7129.9462800275396</v>
      </c>
      <c r="BD38" s="1021">
        <f>(VLOOKUP(YEAR($A38),'NY East Load Projections'!$A$4:$EO$14,((MONTH($A38)-1)*12)+VLOOKUP(BD$4,$DE$6:$DF$17,2)+1))*(VLOOKUP($A38,CURVES!$D$9:$T$261,7))*(INDEX(DailyScalarsTable,BD$5/100,MONTH($A38)))*$C38</f>
        <v>-9697.6348411951549</v>
      </c>
      <c r="BE38" s="1021"/>
      <c r="BF38" s="1021">
        <f>(VLOOKUP(YEAR($A38),'NY East Load Projections'!$A$4:$EO$14,((MONTH($A38)-1)*12)+VLOOKUP(BF$4,$DE$6:$DF$17,2)+1))*(VLOOKUP($A38,CURVES!$D$9:$T$261,7))*(INDEX(DailyScalarsTable,BF$5/100,MONTH($A38)))*$D38</f>
        <v>-8273.1771521281953</v>
      </c>
      <c r="BG38" s="1021">
        <f>(VLOOKUP(YEAR($A38),'NY East Load Projections'!$A$4:$EO$14,((MONTH($A38)-1)*12)+VLOOKUP(BG$4,$DE$6:$DF$17,2)+1))*(VLOOKUP($A38,CURVES!$D$9:$T$261,7))*(INDEX(DailyScalarsTable,BG$5/100,MONTH($A38)))*$D38</f>
        <v>-7258.2052028069056</v>
      </c>
      <c r="BH38" s="1021">
        <f>(VLOOKUP(YEAR($A38),'NY East Load Projections'!$A$4:$EO$14,((MONTH($A38)-1)*12)+VLOOKUP(BH$4,$DE$6:$DF$17,2)+1))*(VLOOKUP($A38,CURVES!$D$9:$T$261,7))*(INDEX(DailyScalarsTable,BH$5/100,MONTH($A38)))*$D38</f>
        <v>-6806.4060949309705</v>
      </c>
      <c r="BI38" s="1021">
        <f>(VLOOKUP(YEAR($A38),'NY East Load Projections'!$A$4:$EO$14,((MONTH($A38)-1)*12)+VLOOKUP(BI$4,$DE$6:$DF$17,2)+1))*(VLOOKUP($A38,CURVES!$D$9:$T$261,7))*(INDEX(DailyScalarsTable,BI$5/100,MONTH($A38)))*$D38</f>
        <v>-6907.2728725032739</v>
      </c>
      <c r="BJ38" s="1021">
        <f>(VLOOKUP(YEAR($A38),'NY East Load Projections'!$A$4:$EO$14,((MONTH($A38)-1)*12)+VLOOKUP(BJ$4,$DE$6:$DF$17,2)+1))*(VLOOKUP($A38,CURVES!$D$9:$T$261,7))*(INDEX(DailyScalarsTable,BJ$5/100,MONTH($A38)))*$D38</f>
        <v>-7521.3499860602096</v>
      </c>
      <c r="BK38" s="1021">
        <f>(VLOOKUP(YEAR($A38),'NY East Load Projections'!$A$4:$EO$14,((MONTH($A38)-1)*12)+VLOOKUP(BK$4,$DE$6:$DF$17,2)+1))*(VLOOKUP($A38,CURVES!$D$9:$T$261,7))*(INDEX(DailyScalarsTable,BK$5/100,MONTH($A38)))*$D38</f>
        <v>-8703.9121985768616</v>
      </c>
      <c r="BL38" s="1021">
        <f>(VLOOKUP(YEAR($A38),'NY East Load Projections'!$A$4:$EO$14,((MONTH($A38)-1)*12)+VLOOKUP(BL$4,$DE$6:$DF$17,2)+1))*(VLOOKUP($A38,CURVES!$D$9:$T$261,7))*(INDEX(DailyScalarsTable,BL$5/100,MONTH($A38)))*$D38</f>
        <v>-11836.218560762543</v>
      </c>
      <c r="BM38" s="1021">
        <f>(VLOOKUP(YEAR($A38),'NY East Load Projections'!$A$4:$EO$14,((MONTH($A38)-1)*12)+VLOOKUP(BM$4,$DE$6:$DF$17,2)+1))*(VLOOKUP($A38,SatSunCurve,7))*(INDEX(DailyScalarsTable,BM$5/100,MONTH($A38)))*$D38</f>
        <v>-7630.7411309713088</v>
      </c>
      <c r="BN38" s="1021">
        <f>(VLOOKUP(YEAR($A38),'NY East Load Projections'!$A$4:$EO$14,((MONTH($A38)-1)*12)+VLOOKUP(BN$4,$DE$6:$DF$17,2)+1))*(VLOOKUP($A38,SatSunCurve,7))*(INDEX(DailyScalarsTable,BN$5/100,MONTH($A38)))*$D38</f>
        <v>-8432.4304711889235</v>
      </c>
      <c r="BO38" s="1021">
        <f>(VLOOKUP(YEAR($A38),'NY East Load Projections'!$A$4:$EO$14,((MONTH($A38)-1)*12)+VLOOKUP(BO$4,$DE$6:$DF$17,2)+1))*(VLOOKUP($A38,SatSunCurve,7))*(INDEX(DailyScalarsTable,BO$5/100,MONTH($A38)))*$D38</f>
        <v>-10526.313341227735</v>
      </c>
      <c r="BP38" s="1021">
        <f>(VLOOKUP(YEAR($A38),'NY East Load Projections'!$A$4:$EO$14,((MONTH($A38)-1)*12)+VLOOKUP(BP$4,$DE$6:$DF$17,2)+1))*(VLOOKUP($A38,SatSunCurve,7))*(INDEX(DailyScalarsTable,BP$5/100,MONTH($A38)))*$D38</f>
        <v>-11241.614942793789</v>
      </c>
      <c r="BQ38" s="1021">
        <f>(VLOOKUP(YEAR($A38),'NY East Load Projections'!$A$4:$EO$14,((MONTH($A38)-1)*12)+VLOOKUP(BQ$4,$DE$6:$DF$17,2)+1))*(VLOOKUP($A38,SatSunCurve,7))*(INDEX(DailyScalarsTable,BQ$5/100,MONTH($A38)))*$D38</f>
        <v>-11978.050455315206</v>
      </c>
      <c r="BR38" s="1021">
        <f>(VLOOKUP(YEAR($A38),'NY East Load Projections'!$A$4:$EO$14,((MONTH($A38)-1)*12)+VLOOKUP(BR$4,$DE$6:$DF$17,2)+1))*(VLOOKUP($A38,SatSunCurve,7))*(INDEX(DailyScalarsTable,BR$5/100,MONTH($A38)))*$D38</f>
        <v>-11375.855465273909</v>
      </c>
      <c r="BS38" s="1021">
        <f>(VLOOKUP(YEAR($A38),'NY East Load Projections'!$A$4:$EO$14,((MONTH($A38)-1)*12)+VLOOKUP(BS$4,$DE$6:$DF$17,2)+1))*(VLOOKUP($A38,SatSunCurve,7))*(INDEX(DailyScalarsTable,BS$5/100,MONTH($A38)))*$D38</f>
        <v>-12314.726843561908</v>
      </c>
      <c r="BT38" s="1021">
        <f>(VLOOKUP(YEAR($A38),'NY East Load Projections'!$A$4:$EO$14,((MONTH($A38)-1)*12)+VLOOKUP(BT$4,$DE$6:$DF$17,2)+1))*(VLOOKUP($A38,SatSunCurve,7))*(INDEX(DailyScalarsTable,BT$5/100,MONTH($A38)))*$D38</f>
        <v>-12120.421288751008</v>
      </c>
      <c r="BU38" s="1021">
        <f>(VLOOKUP(YEAR($A38),'NY East Load Projections'!$A$4:$EO$14,((MONTH($A38)-1)*12)+VLOOKUP(BU$4,$DE$6:$DF$17,2)+1))*(VLOOKUP($A38,SatSunCurve,7))*(INDEX(DailyScalarsTable,BU$5/100,MONTH($A38)))*$D38</f>
        <v>-11741.607097859151</v>
      </c>
      <c r="BV38" s="1021">
        <f>(VLOOKUP(YEAR($A38),'NY East Load Projections'!$A$4:$EO$14,((MONTH($A38)-1)*12)+VLOOKUP(BV$4,$DE$6:$DF$17,2)+1))*(VLOOKUP($A38,SatSunCurve,7))*(INDEX(DailyScalarsTable,BV$5/100,MONTH($A38)))*$D38</f>
        <v>-11775.801964018201</v>
      </c>
      <c r="BW38" s="1021">
        <f>(VLOOKUP(YEAR($A38),'NY East Load Projections'!$A$4:$EO$14,((MONTH($A38)-1)*12)+VLOOKUP(BW$4,$DE$6:$DF$17,2)+1))*(VLOOKUP($A38,SatSunCurve,7))*(INDEX(DailyScalarsTable,BW$5/100,MONTH($A38)))*$D38</f>
        <v>-11486.918507186248</v>
      </c>
      <c r="BX38" s="1021">
        <f>(VLOOKUP(YEAR($A38),'NY East Load Projections'!$A$4:$EO$14,((MONTH($A38)-1)*12)+VLOOKUP(BX$4,$DE$6:$DF$17,2)+1))*(VLOOKUP($A38,SatSunCurve,7))*(INDEX(DailyScalarsTable,BX$5/100,MONTH($A38)))*$D38</f>
        <v>-9408.4780572426844</v>
      </c>
      <c r="BY38" s="1021">
        <f>(VLOOKUP(YEAR($A38),'NY East Load Projections'!$A$4:$EO$14,((MONTH($A38)-1)*12)+VLOOKUP(BY$4,$DE$6:$DF$17,2)+1))*(VLOOKUP($A38,SatSunCurve,7))*(INDEX(DailyScalarsTable,BY$5/100,MONTH($A38)))*$D38</f>
        <v>-12295.79218631571</v>
      </c>
      <c r="BZ38" s="1021">
        <f>(VLOOKUP(YEAR($A38),'NY East Load Projections'!$A$4:$EO$14,((MONTH($A38)-1)*12)+VLOOKUP(BZ$4,$DE$6:$DF$17,2)+1))*(VLOOKUP($A38,SatSunCurve,7))*(INDEX(DailyScalarsTable,BZ$5/100,MONTH($A38)))*$D38</f>
        <v>-12076.859605864376</v>
      </c>
      <c r="CA38" s="1021">
        <f>(VLOOKUP(YEAR($A38),'NY East Load Projections'!$A$4:$EO$14,((MONTH($A38)-1)*12)+VLOOKUP(CA$4,$DE$6:$DF$17,2)+1))*(VLOOKUP($A38,SatSunCurve,7))*(INDEX(DailyScalarsTable,CA$5/100,MONTH($A38)))*$D38</f>
        <v>-9191.683923717721</v>
      </c>
      <c r="CB38" s="1021">
        <f>(VLOOKUP(YEAR($A38),'NY East Load Projections'!$A$4:$EO$14,((MONTH($A38)-1)*12)+VLOOKUP(CB$4,$DE$6:$DF$17,2)+1))*(VLOOKUP($A38,SatSunCurve,7))*(INDEX(DailyScalarsTable,CB$5/100,MONTH($A38)))*$D38</f>
        <v>-7284.0318299780492</v>
      </c>
      <c r="CC38" s="1021">
        <f>(VLOOKUP(YEAR($A38),'NY East Load Projections'!$A$4:$EO$14,((MONTH($A38)-1)*12)+VLOOKUP(CC$4,$DE$6:$DF$17,2)+1))*(VLOOKUP($A38,CURVES!$D$9:$T$261,7))*(INDEX(DailyScalarsTable,CC$5/100,MONTH($A38)))*$D38</f>
        <v>-9697.6348411951549</v>
      </c>
      <c r="CE38" s="1021">
        <f>(VLOOKUP(YEAR($A38),'NY East Load Projections'!$A$4:$EO$14,((MONTH($A38)-1)*12)+VLOOKUP(CE$4,$DE$6:$DF$17,2)+1))*(VLOOKUP($A38,CURVES!$D$9:$T$261,7))*(INDEX(DailyScalarsTable,CE$5/100,MONTH($A38)))*$E38</f>
        <v>-2068.2942880320488</v>
      </c>
      <c r="CF38" s="1021">
        <f>(VLOOKUP(YEAR($A38),'NY East Load Projections'!$A$4:$EO$14,((MONTH($A38)-1)*12)+VLOOKUP(CF$4,$DE$6:$DF$17,2)+1))*(VLOOKUP($A38,CURVES!$D$9:$T$261,7))*(INDEX(DailyScalarsTable,CF$5/100,MONTH($A38)))*$E38</f>
        <v>-1814.5513007017264</v>
      </c>
      <c r="CG38" s="1021">
        <f>(VLOOKUP(YEAR($A38),'NY East Load Projections'!$A$4:$EO$14,((MONTH($A38)-1)*12)+VLOOKUP(CG$4,$DE$6:$DF$17,2)+1))*(VLOOKUP($A38,CURVES!$D$9:$T$261,7))*(INDEX(DailyScalarsTable,CG$5/100,MONTH($A38)))*$E38</f>
        <v>-1701.6015237327426</v>
      </c>
      <c r="CH38" s="1021">
        <f>(VLOOKUP(YEAR($A38),'NY East Load Projections'!$A$4:$EO$14,((MONTH($A38)-1)*12)+VLOOKUP(CH$4,$DE$6:$DF$17,2)+1))*(VLOOKUP($A38,CURVES!$D$9:$T$261,7))*(INDEX(DailyScalarsTable,CH$5/100,MONTH($A38)))*$E38</f>
        <v>-1726.8182181258185</v>
      </c>
      <c r="CI38" s="1021">
        <f>(VLOOKUP(YEAR($A38),'NY East Load Projections'!$A$4:$EO$14,((MONTH($A38)-1)*12)+VLOOKUP(CI$4,$DE$6:$DF$17,2)+1))*(VLOOKUP($A38,CURVES!$D$9:$T$261,7))*(INDEX(DailyScalarsTable,CI$5/100,MONTH($A38)))*$E38</f>
        <v>-1880.3374965150524</v>
      </c>
      <c r="CJ38" s="1021">
        <f>(VLOOKUP(YEAR($A38),'NY East Load Projections'!$A$4:$EO$14,((MONTH($A38)-1)*12)+VLOOKUP(CJ$4,$DE$6:$DF$17,2)+1))*(VLOOKUP($A38,CURVES!$D$9:$T$261,7))*(INDEX(DailyScalarsTable,CJ$5/100,MONTH($A38)))*$E38</f>
        <v>-2175.9780496442154</v>
      </c>
      <c r="CK38" s="1021">
        <f>(VLOOKUP(YEAR($A38),'NY East Load Projections'!$A$4:$EO$14,((MONTH($A38)-1)*12)+VLOOKUP(CK$4,$DE$6:$DF$17,2)+1))*(VLOOKUP($A38,CURVES!$D$9:$T$261,7))*(INDEX(DailyScalarsTable,CK$5/100,MONTH($A38)))*$E38</f>
        <v>-2959.0546401906358</v>
      </c>
      <c r="CL38" s="1021">
        <f>(VLOOKUP(YEAR($A38),'NY East Load Projections'!$A$4:$EO$14,((MONTH($A38)-1)*12)+VLOOKUP(CL$4,$DE$6:$DF$17,2)+1))*(VLOOKUP($A38,SatSunCurve,7))*(INDEX(DailyScalarsTable,CL$5/100,MONTH($A38)))*$E38</f>
        <v>-1907.6852827428272</v>
      </c>
      <c r="CM38" s="1021">
        <f>(VLOOKUP(YEAR($A38),'NY East Load Projections'!$A$4:$EO$14,((MONTH($A38)-1)*12)+VLOOKUP(CM$4,$DE$6:$DF$17,2)+1))*(VLOOKUP($A38,SatSunCurve,7))*(INDEX(DailyScalarsTable,CM$5/100,MONTH($A38)))*$E38</f>
        <v>-2108.1076177972309</v>
      </c>
      <c r="CN38" s="1021">
        <f>(VLOOKUP(YEAR($A38),'NY East Load Projections'!$A$4:$EO$14,((MONTH($A38)-1)*12)+VLOOKUP(CN$4,$DE$6:$DF$17,2)+1))*(VLOOKUP($A38,SatSunCurve,7))*(INDEX(DailyScalarsTable,CN$5/100,MONTH($A38)))*$E38</f>
        <v>-2631.5783353069337</v>
      </c>
      <c r="CO38" s="1021">
        <f>(VLOOKUP(YEAR($A38),'NY East Load Projections'!$A$4:$EO$14,((MONTH($A38)-1)*12)+VLOOKUP(CO$4,$DE$6:$DF$17,2)+1))*(VLOOKUP($A38,SatSunCurve,7))*(INDEX(DailyScalarsTable,CO$5/100,MONTH($A38)))*$E38</f>
        <v>-2810.4037356984472</v>
      </c>
      <c r="CP38" s="1021">
        <f>(VLOOKUP(YEAR($A38),'NY East Load Projections'!$A$4:$EO$14,((MONTH($A38)-1)*12)+VLOOKUP(CP$4,$DE$6:$DF$17,2)+1))*(VLOOKUP($A38,SatSunCurve,7))*(INDEX(DailyScalarsTable,CP$5/100,MONTH($A38)))*$E38</f>
        <v>-2994.5126138288015</v>
      </c>
      <c r="CQ38" s="1021">
        <f>(VLOOKUP(YEAR($A38),'NY East Load Projections'!$A$4:$EO$14,((MONTH($A38)-1)*12)+VLOOKUP(CQ$4,$DE$6:$DF$17,2)+1))*(VLOOKUP($A38,SatSunCurve,7))*(INDEX(DailyScalarsTable,CQ$5/100,MONTH($A38)))*$E38</f>
        <v>-2843.9638663184774</v>
      </c>
      <c r="CR38" s="1021">
        <f>(VLOOKUP(YEAR($A38),'NY East Load Projections'!$A$4:$EO$14,((MONTH($A38)-1)*12)+VLOOKUP(CR$4,$DE$6:$DF$17,2)+1))*(VLOOKUP($A38,SatSunCurve,7))*(INDEX(DailyScalarsTable,CR$5/100,MONTH($A38)))*$E38</f>
        <v>-3078.681710890477</v>
      </c>
      <c r="CS38" s="1021">
        <f>(VLOOKUP(YEAR($A38),'NY East Load Projections'!$A$4:$EO$14,((MONTH($A38)-1)*12)+VLOOKUP(CS$4,$DE$6:$DF$17,2)+1))*(VLOOKUP($A38,SatSunCurve,7))*(INDEX(DailyScalarsTable,CS$5/100,MONTH($A38)))*$E38</f>
        <v>-3030.1053221877519</v>
      </c>
      <c r="CT38" s="1021">
        <f>(VLOOKUP(YEAR($A38),'NY East Load Projections'!$A$4:$EO$14,((MONTH($A38)-1)*12)+VLOOKUP(CT$4,$DE$6:$DF$17,2)+1))*(VLOOKUP($A38,SatSunCurve,7))*(INDEX(DailyScalarsTable,CT$5/100,MONTH($A38)))*$E38</f>
        <v>-2935.4017744647876</v>
      </c>
      <c r="CU38" s="1021">
        <f>(VLOOKUP(YEAR($A38),'NY East Load Projections'!$A$4:$EO$14,((MONTH($A38)-1)*12)+VLOOKUP(CU$4,$DE$6:$DF$17,2)+1))*(VLOOKUP($A38,SatSunCurve,7))*(INDEX(DailyScalarsTable,CU$5/100,MONTH($A38)))*$E38</f>
        <v>-2943.9504910045503</v>
      </c>
      <c r="CV38" s="1021">
        <f>(VLOOKUP(YEAR($A38),'NY East Load Projections'!$A$4:$EO$14,((MONTH($A38)-1)*12)+VLOOKUP(CV$4,$DE$6:$DF$17,2)+1))*(VLOOKUP($A38,SatSunCurve,7))*(INDEX(DailyScalarsTable,CV$5/100,MONTH($A38)))*$E38</f>
        <v>-2871.7296267965621</v>
      </c>
      <c r="CW38" s="1021">
        <f>(VLOOKUP(YEAR($A38),'NY East Load Projections'!$A$4:$EO$14,((MONTH($A38)-1)*12)+VLOOKUP(CW$4,$DE$6:$DF$17,2)+1))*(VLOOKUP($A38,SatSunCurve,7))*(INDEX(DailyScalarsTable,CW$5/100,MONTH($A38)))*$E38</f>
        <v>-2352.1195143106711</v>
      </c>
      <c r="CX38" s="1021">
        <f>(VLOOKUP(YEAR($A38),'NY East Load Projections'!$A$4:$EO$14,((MONTH($A38)-1)*12)+VLOOKUP(CX$4,$DE$6:$DF$17,2)+1))*(VLOOKUP($A38,SatSunCurve,7))*(INDEX(DailyScalarsTable,CX$5/100,MONTH($A38)))*$E38</f>
        <v>-3073.9480465789275</v>
      </c>
      <c r="CY38" s="1021">
        <f>(VLOOKUP(YEAR($A38),'NY East Load Projections'!$A$4:$EO$14,((MONTH($A38)-1)*12)+VLOOKUP(CY$4,$DE$6:$DF$17,2)+1))*(VLOOKUP($A38,SatSunCurve,7))*(INDEX(DailyScalarsTable,CY$5/100,MONTH($A38)))*$E38</f>
        <v>-3019.214901466094</v>
      </c>
      <c r="CZ38" s="1021">
        <f>(VLOOKUP(YEAR($A38),'NY East Load Projections'!$A$4:$EO$14,((MONTH($A38)-1)*12)+VLOOKUP(CZ$4,$DE$6:$DF$17,2)+1))*(VLOOKUP($A38,SatSunCurve,7))*(INDEX(DailyScalarsTable,CZ$5/100,MONTH($A38)))*$E38</f>
        <v>-2297.9209809294302</v>
      </c>
      <c r="DA38" s="1021">
        <f>(VLOOKUP(YEAR($A38),'NY East Load Projections'!$A$4:$EO$14,((MONTH($A38)-1)*12)+VLOOKUP(DA$4,$DE$6:$DF$17,2)+1))*(VLOOKUP($A38,SatSunCurve,7))*(INDEX(DailyScalarsTable,DA$5/100,MONTH($A38)))*$E38</f>
        <v>-1821.0079574945123</v>
      </c>
      <c r="DB38" s="1021">
        <f>(VLOOKUP(YEAR($A38),'NY East Load Projections'!$A$4:$EO$14,((MONTH($A38)-1)*12)+VLOOKUP(DB$4,$DE$6:$DF$17,2)+1))*(VLOOKUP($A38,CURVES!$D$9:$T$261,7))*(INDEX(DailyScalarsTable,DB$5/100,MONTH($A38)))*$E38</f>
        <v>-2424.4087102987887</v>
      </c>
      <c r="DH38" s="1032">
        <f t="shared" si="0"/>
        <v>-2150714.2022101325</v>
      </c>
      <c r="DI38">
        <f ca="1">CALC!J58</f>
        <v>0.77245698322183542</v>
      </c>
      <c r="DJ38" s="1029">
        <f t="shared" ca="1" si="1"/>
        <v>-1661334.2044115956</v>
      </c>
    </row>
    <row r="39" spans="1:114" x14ac:dyDescent="0.25">
      <c r="A39" s="244">
        <v>37895</v>
      </c>
      <c r="B39" s="13">
        <v>23</v>
      </c>
      <c r="C39" s="210">
        <v>4</v>
      </c>
      <c r="D39" s="210">
        <v>4</v>
      </c>
      <c r="E39" s="210">
        <v>0</v>
      </c>
      <c r="F39" s="13">
        <v>31</v>
      </c>
      <c r="H39" s="1021">
        <f>(VLOOKUP(YEAR($A39),'NY East Load Projections'!$A$4:$EO$14,((MONTH($A39)-1)*12)+VLOOKUP(H$4,$DE$6:$DF$17,2)+1))*(VLOOKUP($A39,CURVES!$D$9:$K$261,7))*(INDEX(DailyScalarsTable,H$5/100,MONTH($A39)))*$B39</f>
        <v>-39634.416742923269</v>
      </c>
      <c r="I39" s="1021">
        <f>(VLOOKUP(YEAR($A39),'NY East Load Projections'!$A$4:$EO$14,((MONTH($A39)-1)*12)+VLOOKUP(I$4,$DE$6:$DF$17,2)+1))*(VLOOKUP($A39,CURVES!$D$9:$K$261,7))*(INDEX(DailyScalarsTable,I$5/100,MONTH($A39)))*$B39</f>
        <v>-37618.258418875666</v>
      </c>
      <c r="J39" s="1021">
        <f>(VLOOKUP(YEAR($A39),'NY East Load Projections'!$A$4:$EO$14,((MONTH($A39)-1)*12)+VLOOKUP(J$4,$DE$6:$DF$17,2)+1))*(VLOOKUP($A39,CURVES!$D$9:$K$261,7))*(INDEX(DailyScalarsTable,J$5/100,MONTH($A39)))*$B39</f>
        <v>-36136.402921904868</v>
      </c>
      <c r="K39" s="1021">
        <f>(VLOOKUP(YEAR($A39),'NY East Load Projections'!$A$4:$EO$14,((MONTH($A39)-1)*12)+VLOOKUP(K$4,$DE$6:$DF$17,2)+1))*(VLOOKUP($A39,CURVES!$D$9:$K$261,7))*(INDEX(DailyScalarsTable,K$5/100,MONTH($A39)))*$B39</f>
        <v>-36157.274126087555</v>
      </c>
      <c r="L39" s="1021">
        <f>(VLOOKUP(YEAR($A39),'NY East Load Projections'!$A$4:$EO$14,((MONTH($A39)-1)*12)+VLOOKUP(L$4,$DE$6:$DF$17,2)+1))*(VLOOKUP($A39,CURVES!$D$9:$K$261,7))*(INDEX(DailyScalarsTable,L$5/100,MONTH($A39)))*$B39</f>
        <v>-42805.288078899815</v>
      </c>
      <c r="M39" s="1021">
        <f>(VLOOKUP(YEAR($A39),'NY East Load Projections'!$A$4:$EO$14,((MONTH($A39)-1)*12)+VLOOKUP(M$4,$DE$6:$DF$17,2)+1))*(VLOOKUP($A39,CURVES!$D$9:$K$261,7))*(INDEX(DailyScalarsTable,M$5/100,MONTH($A39)))*$B39</f>
        <v>-49176.415144285987</v>
      </c>
      <c r="N39" s="1021">
        <f>(VLOOKUP(YEAR($A39),'NY East Load Projections'!$A$4:$EO$14,((MONTH($A39)-1)*12)+VLOOKUP(N$4,$DE$6:$DF$17,2)+1))*(VLOOKUP($A39,CURVES!$D$9:$K$261,7))*(INDEX(DailyScalarsTable,N$5/100,MONTH($A39)))*$B39</f>
        <v>-63572.667454469658</v>
      </c>
      <c r="O39" s="1021">
        <f>(VLOOKUP(YEAR($A39),'NY East Load Projections'!$A$4:$EO$14,((MONTH($A39)-1)*12)+VLOOKUP(O$4,$DE$6:$DF$17,2)+1))*(VLOOKUP($A39,CURVES!$D$9:$K$261,3))*(INDEX(DailyScalarsTable,O$5/100,MONTH($A39)))*$B39</f>
        <v>-75872.265709707121</v>
      </c>
      <c r="P39" s="1021">
        <f>(VLOOKUP(YEAR($A39),'NY East Load Projections'!$A$4:$EO$14,((MONTH($A39)-1)*12)+VLOOKUP(P$4,$DE$6:$DF$17,2)+1))*(VLOOKUP($A39,CURVES!$D$9:$K$261,3))*(INDEX(DailyScalarsTable,P$5/100,MONTH($A39)))*$B39</f>
        <v>-89922.1593154289</v>
      </c>
      <c r="Q39" s="1021">
        <f>(VLOOKUP(YEAR($A39),'NY East Load Projections'!$A$4:$EO$14,((MONTH($A39)-1)*12)+VLOOKUP(Q$4,$DE$6:$DF$17,2)+1))*(VLOOKUP($A39,CURVES!$D$9:$K$261,3))*(INDEX(DailyScalarsTable,Q$5/100,MONTH($A39)))*$B39</f>
        <v>-89644.278724219286</v>
      </c>
      <c r="R39" s="1021">
        <f>(VLOOKUP(YEAR($A39),'NY East Load Projections'!$A$4:$EO$14,((MONTH($A39)-1)*12)+VLOOKUP(R$4,$DE$6:$DF$17,2)+1))*(VLOOKUP($A39,CURVES!$D$9:$K$261,3))*(INDEX(DailyScalarsTable,R$5/100,MONTH($A39)))*$B39</f>
        <v>-89136.154214578855</v>
      </c>
      <c r="S39" s="1021">
        <f>(VLOOKUP(YEAR($A39),'NY East Load Projections'!$A$4:$EO$14,((MONTH($A39)-1)*12)+VLOOKUP(S$4,$DE$6:$DF$17,2)+1))*(VLOOKUP($A39,CURVES!$D$9:$K$261,3))*(INDEX(DailyScalarsTable,S$5/100,MONTH($A39)))*$B39</f>
        <v>-75218.30631770911</v>
      </c>
      <c r="T39" s="1021">
        <f>(VLOOKUP(YEAR($A39),'NY East Load Projections'!$A$4:$EO$14,((MONTH($A39)-1)*12)+VLOOKUP(T$4,$DE$6:$DF$17,2)+1))*(VLOOKUP($A39,CURVES!$D$9:$K$261,3))*(INDEX(DailyScalarsTable,T$5/100,MONTH($A39)))*$B39</f>
        <v>-71938.160015399277</v>
      </c>
      <c r="U39" s="1021">
        <f>(VLOOKUP(YEAR($A39),'NY East Load Projections'!$A$4:$EO$14,((MONTH($A39)-1)*12)+VLOOKUP(U$4,$DE$6:$DF$17,2)+1))*(VLOOKUP($A39,CURVES!$D$9:$K$261,3))*(INDEX(DailyScalarsTable,U$5/100,MONTH($A39)))*$B39</f>
        <v>-69941.449652009716</v>
      </c>
      <c r="V39" s="1021">
        <f>(VLOOKUP(YEAR($A39),'NY East Load Projections'!$A$4:$EO$14,((MONTH($A39)-1)*12)+VLOOKUP(V$4,$DE$6:$DF$17,2)+1))*(VLOOKUP($A39,CURVES!$D$9:$K$261,3))*(INDEX(DailyScalarsTable,V$5/100,MONTH($A39)))*$B39</f>
        <v>-68316.596279372869</v>
      </c>
      <c r="W39" s="1021">
        <f>(VLOOKUP(YEAR($A39),'NY East Load Projections'!$A$4:$EO$14,((MONTH($A39)-1)*12)+VLOOKUP(W$4,$DE$6:$DF$17,2)+1))*(VLOOKUP($A39,CURVES!$D$9:$K$261,3))*(INDEX(DailyScalarsTable,W$5/100,MONTH($A39)))*$B39</f>
        <v>-67847.733117119467</v>
      </c>
      <c r="X39" s="1021">
        <f>(VLOOKUP(YEAR($A39),'NY East Load Projections'!$A$4:$EO$14,((MONTH($A39)-1)*12)+VLOOKUP(X$4,$DE$6:$DF$17,2)+1))*(VLOOKUP($A39,CURVES!$D$9:$K$261,3))*(INDEX(DailyScalarsTable,X$5/100,MONTH($A39)))*$B39</f>
        <v>-67267.914163308742</v>
      </c>
      <c r="Y39" s="1021">
        <f>(VLOOKUP(YEAR($A39),'NY East Load Projections'!$A$4:$EO$14,((MONTH($A39)-1)*12)+VLOOKUP(Y$4,$DE$6:$DF$17,2)+1))*(VLOOKUP($A39,CURVES!$D$9:$K$261,3))*(INDEX(DailyScalarsTable,Y$5/100,MONTH($A39)))*$B39</f>
        <v>-90746.654437260382</v>
      </c>
      <c r="Z39" s="1021">
        <f>(VLOOKUP(YEAR($A39),'NY East Load Projections'!$A$4:$EO$14,((MONTH($A39)-1)*12)+VLOOKUP(Z$4,$DE$6:$DF$17,2)+1))*(VLOOKUP($A39,CURVES!$D$9:$K$261,3))*(INDEX(DailyScalarsTable,Z$5/100,MONTH($A39)))*$B39</f>
        <v>-91457.443997888869</v>
      </c>
      <c r="AA39" s="1021">
        <f>(VLOOKUP(YEAR($A39),'NY East Load Projections'!$A$4:$EO$14,((MONTH($A39)-1)*12)+VLOOKUP(AA$4,$DE$6:$DF$17,2)+1))*(VLOOKUP($A39,CURVES!$D$9:$K$261,3))*(INDEX(DailyScalarsTable,AA$5/100,MONTH($A39)))*$B39</f>
        <v>-87464.923912656523</v>
      </c>
      <c r="AB39" s="1021">
        <f>(VLOOKUP(YEAR($A39),'NY East Load Projections'!$A$4:$EO$14,((MONTH($A39)-1)*12)+VLOOKUP(AB$4,$DE$6:$DF$17,2)+1))*(VLOOKUP($A39,CURVES!$D$9:$K$261,3))*(INDEX(DailyScalarsTable,AB$5/100,MONTH($A39)))*$B39</f>
        <v>-71915.14099316248</v>
      </c>
      <c r="AC39" s="1021">
        <f>(VLOOKUP(YEAR($A39),'NY East Load Projections'!$A$4:$EO$14,((MONTH($A39)-1)*12)+VLOOKUP(AC$4,$DE$6:$DF$17,2)+1))*(VLOOKUP($A39,CURVES!$D$9:$K$261,3))*(INDEX(DailyScalarsTable,AC$5/100,MONTH($A39)))*$B39</f>
        <v>-59656.801869807445</v>
      </c>
      <c r="AD39" s="1021">
        <f>(VLOOKUP(YEAR($A39),'NY East Load Projections'!$A$4:$EO$14,((MONTH($A39)-1)*12)+VLOOKUP(AD$4,$DE$6:$DF$17,2)+1))*(VLOOKUP($A39,CURVES!$D$9:$K$261,3))*(INDEX(DailyScalarsTable,AD$5/100,MONTH($A39)))*$B39</f>
        <v>-50863.361016775038</v>
      </c>
      <c r="AE39" s="1021">
        <f>(VLOOKUP(YEAR($A39),'NY East Load Projections'!$A$4:$EO$14,((MONTH($A39)-1)*12)+VLOOKUP(AE$4,$DE$6:$DF$17,2)+1))*(VLOOKUP($A39,CURVES!$D$9:$K$261,7))*(INDEX(DailyScalarsTable,AE$5/100,MONTH($A39)))*$B39</f>
        <v>-45684.435374572466</v>
      </c>
      <c r="AF39" s="1021"/>
      <c r="AG39" s="1021">
        <f>(VLOOKUP(YEAR($A39),'NY East Load Projections'!$A$4:$EO$14,((MONTH($A39)-1)*12)+VLOOKUP(AG$4,$DE$6:$DF$17,2)+1))*(VLOOKUP($A39,CURVES!$D$9:$T$261,7))*(INDEX(DailyScalarsTable,AG$5/100,MONTH($A39)))*$C39</f>
        <v>-7363.1221854690139</v>
      </c>
      <c r="AH39" s="1021">
        <f>(VLOOKUP(YEAR($A39),'NY East Load Projections'!$A$4:$EO$14,((MONTH($A39)-1)*12)+VLOOKUP(AH$4,$DE$6:$DF$17,2)+1))*(VLOOKUP($A39,CURVES!$D$9:$T$261,7))*(INDEX(DailyScalarsTable,AH$5/100,MONTH($A39)))*$C39</f>
        <v>-6988.5684186884419</v>
      </c>
      <c r="AI39" s="1021">
        <f>(VLOOKUP(YEAR($A39),'NY East Load Projections'!$A$4:$EO$14,((MONTH($A39)-1)*12)+VLOOKUP(AI$4,$DE$6:$DF$17,2)+1))*(VLOOKUP($A39,CURVES!$D$9:$T$261,7))*(INDEX(DailyScalarsTable,AI$5/100,MONTH($A39)))*$C39</f>
        <v>-6713.275277472907</v>
      </c>
      <c r="AJ39" s="1021">
        <f>(VLOOKUP(YEAR($A39),'NY East Load Projections'!$A$4:$EO$14,((MONTH($A39)-1)*12)+VLOOKUP(AJ$4,$DE$6:$DF$17,2)+1))*(VLOOKUP($A39,CURVES!$D$9:$T$261,7))*(INDEX(DailyScalarsTable,AJ$5/100,MONTH($A39)))*$C39</f>
        <v>-6717.1526456590409</v>
      </c>
      <c r="AK39" s="1021">
        <f>(VLOOKUP(YEAR($A39),'NY East Load Projections'!$A$4:$EO$14,((MONTH($A39)-1)*12)+VLOOKUP(AK$4,$DE$6:$DF$17,2)+1))*(VLOOKUP($A39,CURVES!$D$9:$T$261,7))*(INDEX(DailyScalarsTable,AK$5/100,MONTH($A39)))*$C39</f>
        <v>-7294.833520287274</v>
      </c>
      <c r="AL39" s="1021">
        <f>(VLOOKUP(YEAR($A39),'NY East Load Projections'!$A$4:$EO$14,((MONTH($A39)-1)*12)+VLOOKUP(AL$4,$DE$6:$DF$17,2)+1))*(VLOOKUP($A39,CURVES!$D$9:$T$261,7))*(INDEX(DailyScalarsTable,AL$5/100,MONTH($A39)))*$C39</f>
        <v>-8380.5944943267932</v>
      </c>
      <c r="AM39" s="1021">
        <f>(VLOOKUP(YEAR($A39),'NY East Load Projections'!$A$4:$EO$14,((MONTH($A39)-1)*12)+VLOOKUP(AM$4,$DE$6:$DF$17,2)+1))*(VLOOKUP($A39,CURVES!$D$9:$T$261,7))*(INDEX(DailyScalarsTable,AM$5/100,MONTH($A39)))*$C39</f>
        <v>-10833.989124571277</v>
      </c>
      <c r="AN39" s="1021">
        <f>(VLOOKUP(YEAR($A39),'NY East Load Projections'!$A$4:$EO$14,((MONTH($A39)-1)*12)+VLOOKUP(AN$4,$DE$6:$DF$17,2)+1))*(VLOOKUP($A39,SatSunCurve,3))*(INDEX(DailyScalarsTable,AN$5/100,MONTH($A39)))*$C39</f>
        <v>-9782.8345706489326</v>
      </c>
      <c r="AO39" s="1021">
        <f>(VLOOKUP(YEAR($A39),'NY East Load Projections'!$A$4:$EO$14,((MONTH($A39)-1)*12)+VLOOKUP(AO$4,$DE$6:$DF$17,2)+1))*(VLOOKUP($A39,SatSunCurve,3))*(INDEX(DailyScalarsTable,AO$5/100,MONTH($A39)))*$C39</f>
        <v>-11643.568605487058</v>
      </c>
      <c r="AP39" s="1021">
        <f>(VLOOKUP(YEAR($A39),'NY East Load Projections'!$A$4:$EO$14,((MONTH($A39)-1)*12)+VLOOKUP(AP$4,$DE$6:$DF$17,2)+1))*(VLOOKUP($A39,SatSunCurve,3))*(INDEX(DailyScalarsTable,AP$5/100,MONTH($A39)))*$C39</f>
        <v>-11607.587243912621</v>
      </c>
      <c r="AQ39" s="1021">
        <f>(VLOOKUP(YEAR($A39),'NY East Load Projections'!$A$4:$EO$14,((MONTH($A39)-1)*12)+VLOOKUP(AQ$4,$DE$6:$DF$17,2)+1))*(VLOOKUP($A39,SatSunCurve,3))*(INDEX(DailyScalarsTable,AQ$5/100,MONTH($A39)))*$C39</f>
        <v>-11541.792754176513</v>
      </c>
      <c r="AR39" s="1021">
        <f>(VLOOKUP(YEAR($A39),'NY East Load Projections'!$A$4:$EO$14,((MONTH($A39)-1)*12)+VLOOKUP(AR$4,$DE$6:$DF$17,2)+1))*(VLOOKUP($A39,SatSunCurve,3))*(INDEX(DailyScalarsTable,AR$5/100,MONTH($A39)))*$C39</f>
        <v>-9739.6405587484005</v>
      </c>
      <c r="AS39" s="1021">
        <f>(VLOOKUP(YEAR($A39),'NY East Load Projections'!$A$4:$EO$14,((MONTH($A39)-1)*12)+VLOOKUP(AS$4,$DE$6:$DF$17,2)+1))*(VLOOKUP($A39,SatSunCurve,3))*(INDEX(DailyScalarsTable,AS$5/100,MONTH($A39)))*$C39</f>
        <v>-9159.9162557889013</v>
      </c>
      <c r="AT39" s="1021">
        <f>(VLOOKUP(YEAR($A39),'NY East Load Projections'!$A$4:$EO$14,((MONTH($A39)-1)*12)+VLOOKUP(AT$4,$DE$6:$DF$17,2)+1))*(VLOOKUP($A39,SatSunCurve,3))*(INDEX(DailyScalarsTable,AT$5/100,MONTH($A39)))*$C39</f>
        <v>-8905.6742830751282</v>
      </c>
      <c r="AU39" s="1021">
        <f>(VLOOKUP(YEAR($A39),'NY East Load Projections'!$A$4:$EO$14,((MONTH($A39)-1)*12)+VLOOKUP(AU$4,$DE$6:$DF$17,2)+1))*(VLOOKUP($A39,SatSunCurve,3))*(INDEX(DailyScalarsTable,AU$5/100,MONTH($A39)))*$C39</f>
        <v>-8698.7810178303171</v>
      </c>
      <c r="AV39" s="1021">
        <f>(VLOOKUP(YEAR($A39),'NY East Load Projections'!$A$4:$EO$14,((MONTH($A39)-1)*12)+VLOOKUP(AV$4,$DE$6:$DF$17,2)+1))*(VLOOKUP($A39,SatSunCurve,3))*(INDEX(DailyScalarsTable,AV$5/100,MONTH($A39)))*$C39</f>
        <v>-8639.0804736303235</v>
      </c>
      <c r="AW39" s="1021">
        <f>(VLOOKUP(YEAR($A39),'NY East Load Projections'!$A$4:$EO$14,((MONTH($A39)-1)*12)+VLOOKUP(AW$4,$DE$6:$DF$17,2)+1))*(VLOOKUP($A39,SatSunCurve,3))*(INDEX(DailyScalarsTable,AW$5/100,MONTH($A39)))*$C39</f>
        <v>-8512.8281964160724</v>
      </c>
      <c r="AX39" s="1021">
        <f>(VLOOKUP(YEAR($A39),'NY East Load Projections'!$A$4:$EO$14,((MONTH($A39)-1)*12)+VLOOKUP(AX$4,$DE$6:$DF$17,2)+1))*(VLOOKUP($A39,SatSunCurve,3))*(INDEX(DailyScalarsTable,AX$5/100,MONTH($A39)))*$C39</f>
        <v>-11484.08848754376</v>
      </c>
      <c r="AY39" s="1021">
        <f>(VLOOKUP(YEAR($A39),'NY East Load Projections'!$A$4:$EO$14,((MONTH($A39)-1)*12)+VLOOKUP(AY$4,$DE$6:$DF$17,2)+1))*(VLOOKUP($A39,SatSunCurve,3))*(INDEX(DailyScalarsTable,AY$5/100,MONTH($A39)))*$C39</f>
        <v>-11574.039684763085</v>
      </c>
      <c r="AZ39" s="1021">
        <f>(VLOOKUP(YEAR($A39),'NY East Load Projections'!$A$4:$EO$14,((MONTH($A39)-1)*12)+VLOOKUP(AZ$4,$DE$6:$DF$17,2)+1))*(VLOOKUP($A39,SatSunCurve,3))*(INDEX(DailyScalarsTable,AZ$5/100,MONTH($A39)))*$C39</f>
        <v>-11068.78189612688</v>
      </c>
      <c r="BA39" s="1021">
        <f>(VLOOKUP(YEAR($A39),'NY East Load Projections'!$A$4:$EO$14,((MONTH($A39)-1)*12)+VLOOKUP(BA$4,$DE$6:$DF$17,2)+1))*(VLOOKUP($A39,SatSunCurve,3))*(INDEX(DailyScalarsTable,BA$5/100,MONTH($A39)))*$C39</f>
        <v>-9916.633426710674</v>
      </c>
      <c r="BB39" s="1021">
        <f>(VLOOKUP(YEAR($A39),'NY East Load Projections'!$A$4:$EO$14,((MONTH($A39)-1)*12)+VLOOKUP(BB$4,$DE$6:$DF$17,2)+1))*(VLOOKUP($A39,SatSunCurve,3))*(INDEX(DailyScalarsTable,BB$5/100,MONTH($A39)))*$C39</f>
        <v>-8226.2876409994897</v>
      </c>
      <c r="BC39" s="1021">
        <f>(VLOOKUP(YEAR($A39),'NY East Load Projections'!$A$4:$EO$14,((MONTH($A39)-1)*12)+VLOOKUP(BC$4,$DE$6:$DF$17,2)+1))*(VLOOKUP($A39,SatSunCurve,3))*(INDEX(DailyScalarsTable,BC$5/100,MONTH($A39)))*$C39</f>
        <v>-7013.7289462000836</v>
      </c>
      <c r="BD39" s="1021">
        <f>(VLOOKUP(YEAR($A39),'NY East Load Projections'!$A$4:$EO$14,((MONTH($A39)-1)*12)+VLOOKUP(BD$4,$DE$6:$DF$17,2)+1))*(VLOOKUP($A39,CURVES!$D$9:$T$261,7))*(INDEX(DailyScalarsTable,BD$5/100,MONTH($A39)))*$C39</f>
        <v>-8326.2316511127501</v>
      </c>
      <c r="BE39" s="1021"/>
      <c r="BF39" s="1021">
        <f>(VLOOKUP(YEAR($A39),'NY East Load Projections'!$A$4:$EO$14,((MONTH($A39)-1)*12)+VLOOKUP(BF$4,$DE$6:$DF$17,2)+1))*(VLOOKUP($A39,CURVES!$D$9:$T$261,7))*(INDEX(DailyScalarsTable,BF$5/100,MONTH($A39)))*$D39</f>
        <v>-7363.1221854690139</v>
      </c>
      <c r="BG39" s="1021">
        <f>(VLOOKUP(YEAR($A39),'NY East Load Projections'!$A$4:$EO$14,((MONTH($A39)-1)*12)+VLOOKUP(BG$4,$DE$6:$DF$17,2)+1))*(VLOOKUP($A39,CURVES!$D$9:$T$261,7))*(INDEX(DailyScalarsTable,BG$5/100,MONTH($A39)))*$D39</f>
        <v>-6988.5684186884419</v>
      </c>
      <c r="BH39" s="1021">
        <f>(VLOOKUP(YEAR($A39),'NY East Load Projections'!$A$4:$EO$14,((MONTH($A39)-1)*12)+VLOOKUP(BH$4,$DE$6:$DF$17,2)+1))*(VLOOKUP($A39,CURVES!$D$9:$T$261,7))*(INDEX(DailyScalarsTable,BH$5/100,MONTH($A39)))*$D39</f>
        <v>-6713.275277472907</v>
      </c>
      <c r="BI39" s="1021">
        <f>(VLOOKUP(YEAR($A39),'NY East Load Projections'!$A$4:$EO$14,((MONTH($A39)-1)*12)+VLOOKUP(BI$4,$DE$6:$DF$17,2)+1))*(VLOOKUP($A39,CURVES!$D$9:$T$261,7))*(INDEX(DailyScalarsTable,BI$5/100,MONTH($A39)))*$D39</f>
        <v>-6717.1526456590409</v>
      </c>
      <c r="BJ39" s="1021">
        <f>(VLOOKUP(YEAR($A39),'NY East Load Projections'!$A$4:$EO$14,((MONTH($A39)-1)*12)+VLOOKUP(BJ$4,$DE$6:$DF$17,2)+1))*(VLOOKUP($A39,CURVES!$D$9:$T$261,7))*(INDEX(DailyScalarsTable,BJ$5/100,MONTH($A39)))*$D39</f>
        <v>-7294.833520287274</v>
      </c>
      <c r="BK39" s="1021">
        <f>(VLOOKUP(YEAR($A39),'NY East Load Projections'!$A$4:$EO$14,((MONTH($A39)-1)*12)+VLOOKUP(BK$4,$DE$6:$DF$17,2)+1))*(VLOOKUP($A39,CURVES!$D$9:$T$261,7))*(INDEX(DailyScalarsTable,BK$5/100,MONTH($A39)))*$D39</f>
        <v>-8380.5944943267932</v>
      </c>
      <c r="BL39" s="1021">
        <f>(VLOOKUP(YEAR($A39),'NY East Load Projections'!$A$4:$EO$14,((MONTH($A39)-1)*12)+VLOOKUP(BL$4,$DE$6:$DF$17,2)+1))*(VLOOKUP($A39,CURVES!$D$9:$T$261,7))*(INDEX(DailyScalarsTable,BL$5/100,MONTH($A39)))*$D39</f>
        <v>-10833.989124571277</v>
      </c>
      <c r="BM39" s="1021">
        <f>(VLOOKUP(YEAR($A39),'NY East Load Projections'!$A$4:$EO$14,((MONTH($A39)-1)*12)+VLOOKUP(BM$4,$DE$6:$DF$17,2)+1))*(VLOOKUP($A39,SatSunCurve,7))*(INDEX(DailyScalarsTable,BM$5/100,MONTH($A39)))*$D39</f>
        <v>-8932.3843491272073</v>
      </c>
      <c r="BN39" s="1021">
        <f>(VLOOKUP(YEAR($A39),'NY East Load Projections'!$A$4:$EO$14,((MONTH($A39)-1)*12)+VLOOKUP(BN$4,$DE$6:$DF$17,2)+1))*(VLOOKUP($A39,SatSunCurve,7))*(INDEX(DailyScalarsTable,BN$5/100,MONTH($A39)))*$D39</f>
        <v>-10631.359370185328</v>
      </c>
      <c r="BO39" s="1021">
        <f>(VLOOKUP(YEAR($A39),'NY East Load Projections'!$A$4:$EO$14,((MONTH($A39)-1)*12)+VLOOKUP(BO$4,$DE$6:$DF$17,2)+1))*(VLOOKUP($A39,SatSunCurve,7))*(INDEX(DailyScalarsTable,BO$5/100,MONTH($A39)))*$D39</f>
        <v>-10598.505972873259</v>
      </c>
      <c r="BP39" s="1021">
        <f>(VLOOKUP(YEAR($A39),'NY East Load Projections'!$A$4:$EO$14,((MONTH($A39)-1)*12)+VLOOKUP(BP$4,$DE$6:$DF$17,2)+1))*(VLOOKUP($A39,SatSunCurve,7))*(INDEX(DailyScalarsTable,BP$5/100,MONTH($A39)))*$D39</f>
        <v>-10538.431189216906</v>
      </c>
      <c r="BQ39" s="1021">
        <f>(VLOOKUP(YEAR($A39),'NY East Load Projections'!$A$4:$EO$14,((MONTH($A39)-1)*12)+VLOOKUP(BQ$4,$DE$6:$DF$17,2)+1))*(VLOOKUP($A39,SatSunCurve,7))*(INDEX(DailyScalarsTable,BQ$5/100,MONTH($A39)))*$D39</f>
        <v>-8892.9453181295958</v>
      </c>
      <c r="BR39" s="1021">
        <f>(VLOOKUP(YEAR($A39),'NY East Load Projections'!$A$4:$EO$14,((MONTH($A39)-1)*12)+VLOOKUP(BR$4,$DE$6:$DF$17,2)+1))*(VLOOKUP($A39,SatSunCurve,7))*(INDEX(DailyScalarsTable,BR$5/100,MONTH($A39)))*$D39</f>
        <v>-8363.6181325201796</v>
      </c>
      <c r="BS39" s="1021">
        <f>(VLOOKUP(YEAR($A39),'NY East Load Projections'!$A$4:$EO$14,((MONTH($A39)-1)*12)+VLOOKUP(BS$4,$DE$6:$DF$17,2)+1))*(VLOOKUP($A39,SatSunCurve,7))*(INDEX(DailyScalarsTable,BS$5/100,MONTH($A39)))*$D39</f>
        <v>-8131.4781528896046</v>
      </c>
      <c r="BT39" s="1021">
        <f>(VLOOKUP(YEAR($A39),'NY East Load Projections'!$A$4:$EO$14,((MONTH($A39)-1)*12)+VLOOKUP(BT$4,$DE$6:$DF$17,2)+1))*(VLOOKUP($A39,SatSunCurve,7))*(INDEX(DailyScalarsTable,BT$5/100,MONTH($A39)))*$D39</f>
        <v>-7942.5707200728211</v>
      </c>
      <c r="BU39" s="1021">
        <f>(VLOOKUP(YEAR($A39),'NY East Load Projections'!$A$4:$EO$14,((MONTH($A39)-1)*12)+VLOOKUP(BU$4,$DE$6:$DF$17,2)+1))*(VLOOKUP($A39,SatSunCurve,7))*(INDEX(DailyScalarsTable,BU$5/100,MONTH($A39)))*$D39</f>
        <v>-7888.060117568476</v>
      </c>
      <c r="BV39" s="1021">
        <f>(VLOOKUP(YEAR($A39),'NY East Load Projections'!$A$4:$EO$14,((MONTH($A39)-1)*12)+VLOOKUP(BV$4,$DE$6:$DF$17,2)+1))*(VLOOKUP($A39,SatSunCurve,7))*(INDEX(DailyScalarsTable,BV$5/100,MONTH($A39)))*$D39</f>
        <v>-7772.783317487063</v>
      </c>
      <c r="BW39" s="1021">
        <f>(VLOOKUP(YEAR($A39),'NY East Load Projections'!$A$4:$EO$14,((MONTH($A39)-1)*12)+VLOOKUP(BW$4,$DE$6:$DF$17,2)+1))*(VLOOKUP($A39,SatSunCurve,7))*(INDEX(DailyScalarsTable,BW$5/100,MONTH($A39)))*$D39</f>
        <v>-10485.743322073095</v>
      </c>
      <c r="BX39" s="1021">
        <f>(VLOOKUP(YEAR($A39),'NY East Load Projections'!$A$4:$EO$14,((MONTH($A39)-1)*12)+VLOOKUP(BX$4,$DE$6:$DF$17,2)+1))*(VLOOKUP($A39,SatSunCurve,7))*(INDEX(DailyScalarsTable,BX$5/100,MONTH($A39)))*$D39</f>
        <v>-10567.8748004728</v>
      </c>
      <c r="BY39" s="1021">
        <f>(VLOOKUP(YEAR($A39),'NY East Load Projections'!$A$4:$EO$14,((MONTH($A39)-1)*12)+VLOOKUP(BY$4,$DE$6:$DF$17,2)+1))*(VLOOKUP($A39,SatSunCurve,7))*(INDEX(DailyScalarsTable,BY$5/100,MONTH($A39)))*$D39</f>
        <v>-10106.540538823388</v>
      </c>
      <c r="BZ39" s="1021">
        <f>(VLOOKUP(YEAR($A39),'NY East Load Projections'!$A$4:$EO$14,((MONTH($A39)-1)*12)+VLOOKUP(BZ$4,$DE$6:$DF$17,2)+1))*(VLOOKUP($A39,SatSunCurve,7))*(INDEX(DailyScalarsTable,BZ$5/100,MONTH($A39)))*$D39</f>
        <v>-9054.5516820393641</v>
      </c>
      <c r="CA39" s="1021">
        <f>(VLOOKUP(YEAR($A39),'NY East Load Projections'!$A$4:$EO$14,((MONTH($A39)-1)*12)+VLOOKUP(CA$4,$DE$6:$DF$17,2)+1))*(VLOOKUP($A39,SatSunCurve,7))*(INDEX(DailyScalarsTable,CA$5/100,MONTH($A39)))*$D39</f>
        <v>-7511.1525647528351</v>
      </c>
      <c r="CB39" s="1021">
        <f>(VLOOKUP(YEAR($A39),'NY East Load Projections'!$A$4:$EO$14,((MONTH($A39)-1)*12)+VLOOKUP(CB$4,$DE$6:$DF$17,2)+1))*(VLOOKUP($A39,SatSunCurve,7))*(INDEX(DailyScalarsTable,CB$5/100,MONTH($A39)))*$D39</f>
        <v>-6404.0051189276455</v>
      </c>
      <c r="CC39" s="1021">
        <f>(VLOOKUP(YEAR($A39),'NY East Load Projections'!$A$4:$EO$14,((MONTH($A39)-1)*12)+VLOOKUP(CC$4,$DE$6:$DF$17,2)+1))*(VLOOKUP($A39,CURVES!$D$9:$T$261,7))*(INDEX(DailyScalarsTable,CC$5/100,MONTH($A39)))*$D39</f>
        <v>-8326.2316511127501</v>
      </c>
      <c r="CE39" s="1021">
        <f>(VLOOKUP(YEAR($A39),'NY East Load Projections'!$A$4:$EO$14,((MONTH($A39)-1)*12)+VLOOKUP(CE$4,$DE$6:$DF$17,2)+1))*(VLOOKUP($A39,CURVES!$D$9:$T$261,7))*(INDEX(DailyScalarsTable,CE$5/100,MONTH($A39)))*$E39</f>
        <v>0</v>
      </c>
      <c r="CF39" s="1021">
        <f>(VLOOKUP(YEAR($A39),'NY East Load Projections'!$A$4:$EO$14,((MONTH($A39)-1)*12)+VLOOKUP(CF$4,$DE$6:$DF$17,2)+1))*(VLOOKUP($A39,CURVES!$D$9:$T$261,7))*(INDEX(DailyScalarsTable,CF$5/100,MONTH($A39)))*$E39</f>
        <v>0</v>
      </c>
      <c r="CG39" s="1021">
        <f>(VLOOKUP(YEAR($A39),'NY East Load Projections'!$A$4:$EO$14,((MONTH($A39)-1)*12)+VLOOKUP(CG$4,$DE$6:$DF$17,2)+1))*(VLOOKUP($A39,CURVES!$D$9:$T$261,7))*(INDEX(DailyScalarsTable,CG$5/100,MONTH($A39)))*$E39</f>
        <v>0</v>
      </c>
      <c r="CH39" s="1021">
        <f>(VLOOKUP(YEAR($A39),'NY East Load Projections'!$A$4:$EO$14,((MONTH($A39)-1)*12)+VLOOKUP(CH$4,$DE$6:$DF$17,2)+1))*(VLOOKUP($A39,CURVES!$D$9:$T$261,7))*(INDEX(DailyScalarsTable,CH$5/100,MONTH($A39)))*$E39</f>
        <v>0</v>
      </c>
      <c r="CI39" s="1021">
        <f>(VLOOKUP(YEAR($A39),'NY East Load Projections'!$A$4:$EO$14,((MONTH($A39)-1)*12)+VLOOKUP(CI$4,$DE$6:$DF$17,2)+1))*(VLOOKUP($A39,CURVES!$D$9:$T$261,7))*(INDEX(DailyScalarsTable,CI$5/100,MONTH($A39)))*$E39</f>
        <v>0</v>
      </c>
      <c r="CJ39" s="1021">
        <f>(VLOOKUP(YEAR($A39),'NY East Load Projections'!$A$4:$EO$14,((MONTH($A39)-1)*12)+VLOOKUP(CJ$4,$DE$6:$DF$17,2)+1))*(VLOOKUP($A39,CURVES!$D$9:$T$261,7))*(INDEX(DailyScalarsTable,CJ$5/100,MONTH($A39)))*$E39</f>
        <v>0</v>
      </c>
      <c r="CK39" s="1021">
        <f>(VLOOKUP(YEAR($A39),'NY East Load Projections'!$A$4:$EO$14,((MONTH($A39)-1)*12)+VLOOKUP(CK$4,$DE$6:$DF$17,2)+1))*(VLOOKUP($A39,CURVES!$D$9:$T$261,7))*(INDEX(DailyScalarsTable,CK$5/100,MONTH($A39)))*$E39</f>
        <v>0</v>
      </c>
      <c r="CL39" s="1021">
        <f>(VLOOKUP(YEAR($A39),'NY East Load Projections'!$A$4:$EO$14,((MONTH($A39)-1)*12)+VLOOKUP(CL$4,$DE$6:$DF$17,2)+1))*(VLOOKUP($A39,SatSunCurve,7))*(INDEX(DailyScalarsTable,CL$5/100,MONTH($A39)))*$E39</f>
        <v>0</v>
      </c>
      <c r="CM39" s="1021">
        <f>(VLOOKUP(YEAR($A39),'NY East Load Projections'!$A$4:$EO$14,((MONTH($A39)-1)*12)+VLOOKUP(CM$4,$DE$6:$DF$17,2)+1))*(VLOOKUP($A39,SatSunCurve,7))*(INDEX(DailyScalarsTable,CM$5/100,MONTH($A39)))*$E39</f>
        <v>0</v>
      </c>
      <c r="CN39" s="1021">
        <f>(VLOOKUP(YEAR($A39),'NY East Load Projections'!$A$4:$EO$14,((MONTH($A39)-1)*12)+VLOOKUP(CN$4,$DE$6:$DF$17,2)+1))*(VLOOKUP($A39,SatSunCurve,7))*(INDEX(DailyScalarsTable,CN$5/100,MONTH($A39)))*$E39</f>
        <v>0</v>
      </c>
      <c r="CO39" s="1021">
        <f>(VLOOKUP(YEAR($A39),'NY East Load Projections'!$A$4:$EO$14,((MONTH($A39)-1)*12)+VLOOKUP(CO$4,$DE$6:$DF$17,2)+1))*(VLOOKUP($A39,SatSunCurve,7))*(INDEX(DailyScalarsTable,CO$5/100,MONTH($A39)))*$E39</f>
        <v>0</v>
      </c>
      <c r="CP39" s="1021">
        <f>(VLOOKUP(YEAR($A39),'NY East Load Projections'!$A$4:$EO$14,((MONTH($A39)-1)*12)+VLOOKUP(CP$4,$DE$6:$DF$17,2)+1))*(VLOOKUP($A39,SatSunCurve,7))*(INDEX(DailyScalarsTable,CP$5/100,MONTH($A39)))*$E39</f>
        <v>0</v>
      </c>
      <c r="CQ39" s="1021">
        <f>(VLOOKUP(YEAR($A39),'NY East Load Projections'!$A$4:$EO$14,((MONTH($A39)-1)*12)+VLOOKUP(CQ$4,$DE$6:$DF$17,2)+1))*(VLOOKUP($A39,SatSunCurve,7))*(INDEX(DailyScalarsTable,CQ$5/100,MONTH($A39)))*$E39</f>
        <v>0</v>
      </c>
      <c r="CR39" s="1021">
        <f>(VLOOKUP(YEAR($A39),'NY East Load Projections'!$A$4:$EO$14,((MONTH($A39)-1)*12)+VLOOKUP(CR$4,$DE$6:$DF$17,2)+1))*(VLOOKUP($A39,SatSunCurve,7))*(INDEX(DailyScalarsTable,CR$5/100,MONTH($A39)))*$E39</f>
        <v>0</v>
      </c>
      <c r="CS39" s="1021">
        <f>(VLOOKUP(YEAR($A39),'NY East Load Projections'!$A$4:$EO$14,((MONTH($A39)-1)*12)+VLOOKUP(CS$4,$DE$6:$DF$17,2)+1))*(VLOOKUP($A39,SatSunCurve,7))*(INDEX(DailyScalarsTable,CS$5/100,MONTH($A39)))*$E39</f>
        <v>0</v>
      </c>
      <c r="CT39" s="1021">
        <f>(VLOOKUP(YEAR($A39),'NY East Load Projections'!$A$4:$EO$14,((MONTH($A39)-1)*12)+VLOOKUP(CT$4,$DE$6:$DF$17,2)+1))*(VLOOKUP($A39,SatSunCurve,7))*(INDEX(DailyScalarsTable,CT$5/100,MONTH($A39)))*$E39</f>
        <v>0</v>
      </c>
      <c r="CU39" s="1021">
        <f>(VLOOKUP(YEAR($A39),'NY East Load Projections'!$A$4:$EO$14,((MONTH($A39)-1)*12)+VLOOKUP(CU$4,$DE$6:$DF$17,2)+1))*(VLOOKUP($A39,SatSunCurve,7))*(INDEX(DailyScalarsTable,CU$5/100,MONTH($A39)))*$E39</f>
        <v>0</v>
      </c>
      <c r="CV39" s="1021">
        <f>(VLOOKUP(YEAR($A39),'NY East Load Projections'!$A$4:$EO$14,((MONTH($A39)-1)*12)+VLOOKUP(CV$4,$DE$6:$DF$17,2)+1))*(VLOOKUP($A39,SatSunCurve,7))*(INDEX(DailyScalarsTable,CV$5/100,MONTH($A39)))*$E39</f>
        <v>0</v>
      </c>
      <c r="CW39" s="1021">
        <f>(VLOOKUP(YEAR($A39),'NY East Load Projections'!$A$4:$EO$14,((MONTH($A39)-1)*12)+VLOOKUP(CW$4,$DE$6:$DF$17,2)+1))*(VLOOKUP($A39,SatSunCurve,7))*(INDEX(DailyScalarsTable,CW$5/100,MONTH($A39)))*$E39</f>
        <v>0</v>
      </c>
      <c r="CX39" s="1021">
        <f>(VLOOKUP(YEAR($A39),'NY East Load Projections'!$A$4:$EO$14,((MONTH($A39)-1)*12)+VLOOKUP(CX$4,$DE$6:$DF$17,2)+1))*(VLOOKUP($A39,SatSunCurve,7))*(INDEX(DailyScalarsTable,CX$5/100,MONTH($A39)))*$E39</f>
        <v>0</v>
      </c>
      <c r="CY39" s="1021">
        <f>(VLOOKUP(YEAR($A39),'NY East Load Projections'!$A$4:$EO$14,((MONTH($A39)-1)*12)+VLOOKUP(CY$4,$DE$6:$DF$17,2)+1))*(VLOOKUP($A39,SatSunCurve,7))*(INDEX(DailyScalarsTable,CY$5/100,MONTH($A39)))*$E39</f>
        <v>0</v>
      </c>
      <c r="CZ39" s="1021">
        <f>(VLOOKUP(YEAR($A39),'NY East Load Projections'!$A$4:$EO$14,((MONTH($A39)-1)*12)+VLOOKUP(CZ$4,$DE$6:$DF$17,2)+1))*(VLOOKUP($A39,SatSunCurve,7))*(INDEX(DailyScalarsTable,CZ$5/100,MONTH($A39)))*$E39</f>
        <v>0</v>
      </c>
      <c r="DA39" s="1021">
        <f>(VLOOKUP(YEAR($A39),'NY East Load Projections'!$A$4:$EO$14,((MONTH($A39)-1)*12)+VLOOKUP(DA$4,$DE$6:$DF$17,2)+1))*(VLOOKUP($A39,SatSunCurve,7))*(INDEX(DailyScalarsTable,DA$5/100,MONTH($A39)))*$E39</f>
        <v>0</v>
      </c>
      <c r="DB39" s="1021">
        <f>(VLOOKUP(YEAR($A39),'NY East Load Projections'!$A$4:$EO$14,((MONTH($A39)-1)*12)+VLOOKUP(DB$4,$DE$6:$DF$17,2)+1))*(VLOOKUP($A39,CURVES!$D$9:$T$261,7))*(INDEX(DailyScalarsTable,DB$5/100,MONTH($A39)))*$E39</f>
        <v>0</v>
      </c>
      <c r="DH39" s="1032">
        <f t="shared" si="0"/>
        <v>-1994567.3053428151</v>
      </c>
      <c r="DI39">
        <f ca="1">CALC!J59</f>
        <v>0.7676804069152684</v>
      </c>
      <c r="DJ39" s="1029">
        <f t="shared" ca="1" si="1"/>
        <v>-1531190.2405854627</v>
      </c>
    </row>
    <row r="40" spans="1:114" x14ac:dyDescent="0.25">
      <c r="A40" s="244">
        <v>37926</v>
      </c>
      <c r="B40" s="13">
        <v>19</v>
      </c>
      <c r="C40" s="210">
        <v>5</v>
      </c>
      <c r="D40" s="210">
        <v>5</v>
      </c>
      <c r="E40" s="210">
        <v>1</v>
      </c>
      <c r="F40" s="13">
        <v>30</v>
      </c>
      <c r="H40" s="1021">
        <f>(VLOOKUP(YEAR($A40),'NY East Load Projections'!$A$4:$EO$14,((MONTH($A40)-1)*12)+VLOOKUP(H$4,$DE$6:$DF$17,2)+1))*(VLOOKUP($A40,CURVES!$D$9:$K$261,7))*(INDEX(DailyScalarsTable,H$5/100,MONTH($A40)))*$B40</f>
        <v>-31411.624775899974</v>
      </c>
      <c r="I40" s="1021">
        <f>(VLOOKUP(YEAR($A40),'NY East Load Projections'!$A$4:$EO$14,((MONTH($A40)-1)*12)+VLOOKUP(I$4,$DE$6:$DF$17,2)+1))*(VLOOKUP($A40,CURVES!$D$9:$K$261,7))*(INDEX(DailyScalarsTable,I$5/100,MONTH($A40)))*$B40</f>
        <v>-29779.369287276015</v>
      </c>
      <c r="J40" s="1021">
        <f>(VLOOKUP(YEAR($A40),'NY East Load Projections'!$A$4:$EO$14,((MONTH($A40)-1)*12)+VLOOKUP(J$4,$DE$6:$DF$17,2)+1))*(VLOOKUP($A40,CURVES!$D$9:$K$261,7))*(INDEX(DailyScalarsTable,J$5/100,MONTH($A40)))*$B40</f>
        <v>-28579.678400192155</v>
      </c>
      <c r="K40" s="1021">
        <f>(VLOOKUP(YEAR($A40),'NY East Load Projections'!$A$4:$EO$14,((MONTH($A40)-1)*12)+VLOOKUP(K$4,$DE$6:$DF$17,2)+1))*(VLOOKUP($A40,CURVES!$D$9:$K$261,7))*(INDEX(DailyScalarsTable,K$5/100,MONTH($A40)))*$B40</f>
        <v>-28596.575454939812</v>
      </c>
      <c r="L40" s="1021">
        <f>(VLOOKUP(YEAR($A40),'NY East Load Projections'!$A$4:$EO$14,((MONTH($A40)-1)*12)+VLOOKUP(L$4,$DE$6:$DF$17,2)+1))*(VLOOKUP($A40,CURVES!$D$9:$K$261,7))*(INDEX(DailyScalarsTable,L$5/100,MONTH($A40)))*$B40</f>
        <v>-33689.05682236034</v>
      </c>
      <c r="M40" s="1021">
        <f>(VLOOKUP(YEAR($A40),'NY East Load Projections'!$A$4:$EO$14,((MONTH($A40)-1)*12)+VLOOKUP(M$4,$DE$6:$DF$17,2)+1))*(VLOOKUP($A40,CURVES!$D$9:$K$261,7))*(INDEX(DailyScalarsTable,M$5/100,MONTH($A40)))*$B40</f>
        <v>-38813.955813869979</v>
      </c>
      <c r="N40" s="1021">
        <f>(VLOOKUP(YEAR($A40),'NY East Load Projections'!$A$4:$EO$14,((MONTH($A40)-1)*12)+VLOOKUP(N$4,$DE$6:$DF$17,2)+1))*(VLOOKUP($A40,CURVES!$D$9:$K$261,7))*(INDEX(DailyScalarsTable,N$5/100,MONTH($A40)))*$B40</f>
        <v>-55597.163823773932</v>
      </c>
      <c r="O40" s="1021">
        <f>(VLOOKUP(YEAR($A40),'NY East Load Projections'!$A$4:$EO$14,((MONTH($A40)-1)*12)+VLOOKUP(O$4,$DE$6:$DF$17,2)+1))*(VLOOKUP($A40,CURVES!$D$9:$K$261,3))*(INDEX(DailyScalarsTable,O$5/100,MONTH($A40)))*$B40</f>
        <v>-62605.076783929391</v>
      </c>
      <c r="P40" s="1021">
        <f>(VLOOKUP(YEAR($A40),'NY East Load Projections'!$A$4:$EO$14,((MONTH($A40)-1)*12)+VLOOKUP(P$4,$DE$6:$DF$17,2)+1))*(VLOOKUP($A40,CURVES!$D$9:$K$261,3))*(INDEX(DailyScalarsTable,P$5/100,MONTH($A40)))*$B40</f>
        <v>-72397.697540956549</v>
      </c>
      <c r="Q40" s="1021">
        <f>(VLOOKUP(YEAR($A40),'NY East Load Projections'!$A$4:$EO$14,((MONTH($A40)-1)*12)+VLOOKUP(Q$4,$DE$6:$DF$17,2)+1))*(VLOOKUP($A40,CURVES!$D$9:$K$261,3))*(INDEX(DailyScalarsTable,Q$5/100,MONTH($A40)))*$B40</f>
        <v>-71928.816951246161</v>
      </c>
      <c r="R40" s="1021">
        <f>(VLOOKUP(YEAR($A40),'NY East Load Projections'!$A$4:$EO$14,((MONTH($A40)-1)*12)+VLOOKUP(R$4,$DE$6:$DF$17,2)+1))*(VLOOKUP($A40,CURVES!$D$9:$K$261,3))*(INDEX(DailyScalarsTable,R$5/100,MONTH($A40)))*$B40</f>
        <v>-70541.183854670846</v>
      </c>
      <c r="S40" s="1021">
        <f>(VLOOKUP(YEAR($A40),'NY East Load Projections'!$A$4:$EO$14,((MONTH($A40)-1)*12)+VLOOKUP(S$4,$DE$6:$DF$17,2)+1))*(VLOOKUP($A40,CURVES!$D$9:$K$261,3))*(INDEX(DailyScalarsTable,S$5/100,MONTH($A40)))*$B40</f>
        <v>-59395.765512771446</v>
      </c>
      <c r="T40" s="1021">
        <f>(VLOOKUP(YEAR($A40),'NY East Load Projections'!$A$4:$EO$14,((MONTH($A40)-1)*12)+VLOOKUP(T$4,$DE$6:$DF$17,2)+1))*(VLOOKUP($A40,CURVES!$D$9:$K$261,3))*(INDEX(DailyScalarsTable,T$5/100,MONTH($A40)))*$B40</f>
        <v>-56675.40644924331</v>
      </c>
      <c r="U40" s="1021">
        <f>(VLOOKUP(YEAR($A40),'NY East Load Projections'!$A$4:$EO$14,((MONTH($A40)-1)*12)+VLOOKUP(U$4,$DE$6:$DF$17,2)+1))*(VLOOKUP($A40,CURVES!$D$9:$K$261,3))*(INDEX(DailyScalarsTable,U$5/100,MONTH($A40)))*$B40</f>
        <v>-55154.048274085224</v>
      </c>
      <c r="V40" s="1021">
        <f>(VLOOKUP(YEAR($A40),'NY East Load Projections'!$A$4:$EO$14,((MONTH($A40)-1)*12)+VLOOKUP(V$4,$DE$6:$DF$17,2)+1))*(VLOOKUP($A40,CURVES!$D$9:$K$261,3))*(INDEX(DailyScalarsTable,V$5/100,MONTH($A40)))*$B40</f>
        <v>-53863.782479963818</v>
      </c>
      <c r="W40" s="1021">
        <f>(VLOOKUP(YEAR($A40),'NY East Load Projections'!$A$4:$EO$14,((MONTH($A40)-1)*12)+VLOOKUP(W$4,$DE$6:$DF$17,2)+1))*(VLOOKUP($A40,CURVES!$D$9:$K$261,3))*(INDEX(DailyScalarsTable,W$5/100,MONTH($A40)))*$B40</f>
        <v>-52977.928352656592</v>
      </c>
      <c r="X40" s="1021">
        <f>(VLOOKUP(YEAR($A40),'NY East Load Projections'!$A$4:$EO$14,((MONTH($A40)-1)*12)+VLOOKUP(X$4,$DE$6:$DF$17,2)+1))*(VLOOKUP($A40,CURVES!$D$9:$K$261,3))*(INDEX(DailyScalarsTable,X$5/100,MONTH($A40)))*$B40</f>
        <v>-53764.799159408729</v>
      </c>
      <c r="Y40" s="1021">
        <f>(VLOOKUP(YEAR($A40),'NY East Load Projections'!$A$4:$EO$14,((MONTH($A40)-1)*12)+VLOOKUP(Y$4,$DE$6:$DF$17,2)+1))*(VLOOKUP($A40,CURVES!$D$9:$K$261,3))*(INDEX(DailyScalarsTable,Y$5/100,MONTH($A40)))*$B40</f>
        <v>-73806.831780866632</v>
      </c>
      <c r="Z40" s="1021">
        <f>(VLOOKUP(YEAR($A40),'NY East Load Projections'!$A$4:$EO$14,((MONTH($A40)-1)*12)+VLOOKUP(Z$4,$DE$6:$DF$17,2)+1))*(VLOOKUP($A40,CURVES!$D$9:$K$261,3))*(INDEX(DailyScalarsTable,Z$5/100,MONTH($A40)))*$B40</f>
        <v>-74401.118981139836</v>
      </c>
      <c r="AA40" s="1021">
        <f>(VLOOKUP(YEAR($A40),'NY East Load Projections'!$A$4:$EO$14,((MONTH($A40)-1)*12)+VLOOKUP(AA$4,$DE$6:$DF$17,2)+1))*(VLOOKUP($A40,CURVES!$D$9:$K$261,3))*(INDEX(DailyScalarsTable,AA$5/100,MONTH($A40)))*$B40</f>
        <v>-71356.913118515964</v>
      </c>
      <c r="AB40" s="1021">
        <f>(VLOOKUP(YEAR($A40),'NY East Load Projections'!$A$4:$EO$14,((MONTH($A40)-1)*12)+VLOOKUP(AB$4,$DE$6:$DF$17,2)+1))*(VLOOKUP($A40,CURVES!$D$9:$K$261,3))*(INDEX(DailyScalarsTable,AB$5/100,MONTH($A40)))*$B40</f>
        <v>-60086.404338259032</v>
      </c>
      <c r="AC40" s="1021">
        <f>(VLOOKUP(YEAR($A40),'NY East Load Projections'!$A$4:$EO$14,((MONTH($A40)-1)*12)+VLOOKUP(AC$4,$DE$6:$DF$17,2)+1))*(VLOOKUP($A40,CURVES!$D$9:$K$261,3))*(INDEX(DailyScalarsTable,AC$5/100,MONTH($A40)))*$B40</f>
        <v>-47797.633793553105</v>
      </c>
      <c r="AD40" s="1021">
        <f>(VLOOKUP(YEAR($A40),'NY East Load Projections'!$A$4:$EO$14,((MONTH($A40)-1)*12)+VLOOKUP(AD$4,$DE$6:$DF$17,2)+1))*(VLOOKUP($A40,CURVES!$D$9:$K$261,3))*(INDEX(DailyScalarsTable,AD$5/100,MONTH($A40)))*$B40</f>
        <v>-40309.595343096917</v>
      </c>
      <c r="AE40" s="1021">
        <f>(VLOOKUP(YEAR($A40),'NY East Load Projections'!$A$4:$EO$14,((MONTH($A40)-1)*12)+VLOOKUP(AE$4,$DE$6:$DF$17,2)+1))*(VLOOKUP($A40,CURVES!$D$9:$K$261,7))*(INDEX(DailyScalarsTable,AE$5/100,MONTH($A40)))*$B40</f>
        <v>-36871.256833889398</v>
      </c>
      <c r="AF40" s="1021"/>
      <c r="AG40" s="1021">
        <f>(VLOOKUP(YEAR($A40),'NY East Load Projections'!$A$4:$EO$14,((MONTH($A40)-1)*12)+VLOOKUP(AG$4,$DE$6:$DF$17,2)+1))*(VLOOKUP($A40,CURVES!$D$9:$T$261,7))*(INDEX(DailyScalarsTable,AG$5/100,MONTH($A40)))*$C40</f>
        <v>-8568.8609907916871</v>
      </c>
      <c r="AH40" s="1021">
        <f>(VLOOKUP(YEAR($A40),'NY East Load Projections'!$A$4:$EO$14,((MONTH($A40)-1)*12)+VLOOKUP(AH$4,$DE$6:$DF$17,2)+1))*(VLOOKUP($A40,CURVES!$D$9:$T$261,7))*(INDEX(DailyScalarsTable,AH$5/100,MONTH($A40)))*$C40</f>
        <v>-8123.5936579727104</v>
      </c>
      <c r="AI40" s="1021">
        <f>(VLOOKUP(YEAR($A40),'NY East Load Projections'!$A$4:$EO$14,((MONTH($A40)-1)*12)+VLOOKUP(AI$4,$DE$6:$DF$17,2)+1))*(VLOOKUP($A40,CURVES!$D$9:$T$261,7))*(INDEX(DailyScalarsTable,AI$5/100,MONTH($A40)))*$C40</f>
        <v>-7796.3267777434421</v>
      </c>
      <c r="AJ40" s="1021">
        <f>(VLOOKUP(YEAR($A40),'NY East Load Projections'!$A$4:$EO$14,((MONTH($A40)-1)*12)+VLOOKUP(AJ$4,$DE$6:$DF$17,2)+1))*(VLOOKUP($A40,CURVES!$D$9:$T$261,7))*(INDEX(DailyScalarsTable,AJ$5/100,MONTH($A40)))*$C40</f>
        <v>-7800.9361704227276</v>
      </c>
      <c r="AK40" s="1021">
        <f>(VLOOKUP(YEAR($A40),'NY East Load Projections'!$A$4:$EO$14,((MONTH($A40)-1)*12)+VLOOKUP(AK$4,$DE$6:$DF$17,2)+1))*(VLOOKUP($A40,CURVES!$D$9:$T$261,7))*(INDEX(DailyScalarsTable,AK$5/100,MONTH($A40)))*$C40</f>
        <v>-8482.4359922025942</v>
      </c>
      <c r="AL40" s="1021">
        <f>(VLOOKUP(YEAR($A40),'NY East Load Projections'!$A$4:$EO$14,((MONTH($A40)-1)*12)+VLOOKUP(AL$4,$DE$6:$DF$17,2)+1))*(VLOOKUP($A40,CURVES!$D$9:$T$261,7))*(INDEX(DailyScalarsTable,AL$5/100,MONTH($A40)))*$C40</f>
        <v>-9772.8142859971194</v>
      </c>
      <c r="AM40" s="1021">
        <f>(VLOOKUP(YEAR($A40),'NY East Load Projections'!$A$4:$EO$14,((MONTH($A40)-1)*12)+VLOOKUP(AM$4,$DE$6:$DF$17,2)+1))*(VLOOKUP($A40,CURVES!$D$9:$T$261,7))*(INDEX(DailyScalarsTable,AM$5/100,MONTH($A40)))*$C40</f>
        <v>-13998.592657843441</v>
      </c>
      <c r="AN40" s="1021">
        <f>(VLOOKUP(YEAR($A40),'NY East Load Projections'!$A$4:$EO$14,((MONTH($A40)-1)*12)+VLOOKUP(AN$4,$DE$6:$DF$17,2)+1))*(VLOOKUP($A40,SatSunCurve,3))*(INDEX(DailyScalarsTable,AN$5/100,MONTH($A40)))*$C40</f>
        <v>-12295.337255673674</v>
      </c>
      <c r="AO40" s="1021">
        <f>(VLOOKUP(YEAR($A40),'NY East Load Projections'!$A$4:$EO$14,((MONTH($A40)-1)*12)+VLOOKUP(AO$4,$DE$6:$DF$17,2)+1))*(VLOOKUP($A40,SatSunCurve,3))*(INDEX(DailyScalarsTable,AO$5/100,MONTH($A40)))*$C40</f>
        <v>-13940.456428593068</v>
      </c>
      <c r="AP40" s="1021">
        <f>(VLOOKUP(YEAR($A40),'NY East Load Projections'!$A$4:$EO$14,((MONTH($A40)-1)*12)+VLOOKUP(AP$4,$DE$6:$DF$17,2)+1))*(VLOOKUP($A40,SatSunCurve,3))*(INDEX(DailyScalarsTable,AP$5/100,MONTH($A40)))*$C40</f>
        <v>-13850.1716591448</v>
      </c>
      <c r="AQ40" s="1021">
        <f>(VLOOKUP(YEAR($A40),'NY East Load Projections'!$A$4:$EO$14,((MONTH($A40)-1)*12)+VLOOKUP(AQ$4,$DE$6:$DF$17,2)+1))*(VLOOKUP($A40,SatSunCurve,3))*(INDEX(DailyScalarsTable,AQ$5/100,MONTH($A40)))*$C40</f>
        <v>-13582.977544156012</v>
      </c>
      <c r="AR40" s="1021">
        <f>(VLOOKUP(YEAR($A40),'NY East Load Projections'!$A$4:$EO$14,((MONTH($A40)-1)*12)+VLOOKUP(AR$4,$DE$6:$DF$17,2)+1))*(VLOOKUP($A40,SatSunCurve,3))*(INDEX(DailyScalarsTable,AR$5/100,MONTH($A40)))*$C40</f>
        <v>-11436.884173081691</v>
      </c>
      <c r="AS40" s="1021">
        <f>(VLOOKUP(YEAR($A40),'NY East Load Projections'!$A$4:$EO$14,((MONTH($A40)-1)*12)+VLOOKUP(AS$4,$DE$6:$DF$17,2)+1))*(VLOOKUP($A40,SatSunCurve,3))*(INDEX(DailyScalarsTable,AS$5/100,MONTH($A40)))*$C40</f>
        <v>-10871.001336209445</v>
      </c>
      <c r="AT40" s="1021">
        <f>(VLOOKUP(YEAR($A40),'NY East Load Projections'!$A$4:$EO$14,((MONTH($A40)-1)*12)+VLOOKUP(AT$4,$DE$6:$DF$17,2)+1))*(VLOOKUP($A40,SatSunCurve,3))*(INDEX(DailyScalarsTable,AT$5/100,MONTH($A40)))*$C40</f>
        <v>-10579.187165104942</v>
      </c>
      <c r="AU40" s="1021">
        <f>(VLOOKUP(YEAR($A40),'NY East Load Projections'!$A$4:$EO$14,((MONTH($A40)-1)*12)+VLOOKUP(AU$4,$DE$6:$DF$17,2)+1))*(VLOOKUP($A40,SatSunCurve,3))*(INDEX(DailyScalarsTable,AU$5/100,MONTH($A40)))*$C40</f>
        <v>-10331.699197206188</v>
      </c>
      <c r="AV40" s="1021">
        <f>(VLOOKUP(YEAR($A40),'NY East Load Projections'!$A$4:$EO$14,((MONTH($A40)-1)*12)+VLOOKUP(AV$4,$DE$6:$DF$17,2)+1))*(VLOOKUP($A40,SatSunCurve,3))*(INDEX(DailyScalarsTable,AV$5/100,MONTH($A40)))*$C40</f>
        <v>-10161.782084917493</v>
      </c>
      <c r="AW40" s="1021">
        <f>(VLOOKUP(YEAR($A40),'NY East Load Projections'!$A$4:$EO$14,((MONTH($A40)-1)*12)+VLOOKUP(AW$4,$DE$6:$DF$17,2)+1))*(VLOOKUP($A40,SatSunCurve,3))*(INDEX(DailyScalarsTable,AW$5/100,MONTH($A40)))*$C40</f>
        <v>-10471.514132454633</v>
      </c>
      <c r="AX40" s="1021">
        <f>(VLOOKUP(YEAR($A40),'NY East Load Projections'!$A$4:$EO$14,((MONTH($A40)-1)*12)+VLOOKUP(AX$4,$DE$6:$DF$17,2)+1))*(VLOOKUP($A40,SatSunCurve,3))*(INDEX(DailyScalarsTable,AX$5/100,MONTH($A40)))*$C40</f>
        <v>-14375.00547102474</v>
      </c>
      <c r="AY40" s="1021">
        <f>(VLOOKUP(YEAR($A40),'NY East Load Projections'!$A$4:$EO$14,((MONTH($A40)-1)*12)+VLOOKUP(AY$4,$DE$6:$DF$17,2)+1))*(VLOOKUP($A40,SatSunCurve,3))*(INDEX(DailyScalarsTable,AY$5/100,MONTH($A40)))*$C40</f>
        <v>-14490.751961548151</v>
      </c>
      <c r="AZ40" s="1021">
        <f>(VLOOKUP(YEAR($A40),'NY East Load Projections'!$A$4:$EO$14,((MONTH($A40)-1)*12)+VLOOKUP(AZ$4,$DE$6:$DF$17,2)+1))*(VLOOKUP($A40,SatSunCurve,3))*(INDEX(DailyScalarsTable,AZ$5/100,MONTH($A40)))*$C40</f>
        <v>-13897.846469275173</v>
      </c>
      <c r="BA40" s="1021">
        <f>(VLOOKUP(YEAR($A40),'NY East Load Projections'!$A$4:$EO$14,((MONTH($A40)-1)*12)+VLOOKUP(BA$4,$DE$6:$DF$17,2)+1))*(VLOOKUP($A40,SatSunCurve,3))*(INDEX(DailyScalarsTable,BA$5/100,MONTH($A40)))*$C40</f>
        <v>-12490.326385603576</v>
      </c>
      <c r="BB40" s="1021">
        <f>(VLOOKUP(YEAR($A40),'NY East Load Projections'!$A$4:$EO$14,((MONTH($A40)-1)*12)+VLOOKUP(BB$4,$DE$6:$DF$17,2)+1))*(VLOOKUP($A40,SatSunCurve,3))*(INDEX(DailyScalarsTable,BB$5/100,MONTH($A40)))*$C40</f>
        <v>-9935.8258014600215</v>
      </c>
      <c r="BC40" s="1021">
        <f>(VLOOKUP(YEAR($A40),'NY East Load Projections'!$A$4:$EO$14,((MONTH($A40)-1)*12)+VLOOKUP(BC$4,$DE$6:$DF$17,2)+1))*(VLOOKUP($A40,SatSunCurve,3))*(INDEX(DailyScalarsTable,BC$5/100,MONTH($A40)))*$C40</f>
        <v>-8379.2666219886232</v>
      </c>
      <c r="BD40" s="1021">
        <f>(VLOOKUP(YEAR($A40),'NY East Load Projections'!$A$4:$EO$14,((MONTH($A40)-1)*12)+VLOOKUP(BD$4,$DE$6:$DF$17,2)+1))*(VLOOKUP($A40,CURVES!$D$9:$T$261,7))*(INDEX(DailyScalarsTable,BD$5/100,MONTH($A40)))*$C40</f>
        <v>-9826.2171730671871</v>
      </c>
      <c r="BE40" s="1021"/>
      <c r="BF40" s="1021">
        <f>(VLOOKUP(YEAR($A40),'NY East Load Projections'!$A$4:$EO$14,((MONTH($A40)-1)*12)+VLOOKUP(BF$4,$DE$6:$DF$17,2)+1))*(VLOOKUP($A40,CURVES!$D$9:$T$261,7))*(INDEX(DailyScalarsTable,BF$5/100,MONTH($A40)))*$D40</f>
        <v>-8568.8609907916871</v>
      </c>
      <c r="BG40" s="1021">
        <f>(VLOOKUP(YEAR($A40),'NY East Load Projections'!$A$4:$EO$14,((MONTH($A40)-1)*12)+VLOOKUP(BG$4,$DE$6:$DF$17,2)+1))*(VLOOKUP($A40,CURVES!$D$9:$T$261,7))*(INDEX(DailyScalarsTable,BG$5/100,MONTH($A40)))*$D40</f>
        <v>-8123.5936579727104</v>
      </c>
      <c r="BH40" s="1021">
        <f>(VLOOKUP(YEAR($A40),'NY East Load Projections'!$A$4:$EO$14,((MONTH($A40)-1)*12)+VLOOKUP(BH$4,$DE$6:$DF$17,2)+1))*(VLOOKUP($A40,CURVES!$D$9:$T$261,7))*(INDEX(DailyScalarsTable,BH$5/100,MONTH($A40)))*$D40</f>
        <v>-7796.3267777434421</v>
      </c>
      <c r="BI40" s="1021">
        <f>(VLOOKUP(YEAR($A40),'NY East Load Projections'!$A$4:$EO$14,((MONTH($A40)-1)*12)+VLOOKUP(BI$4,$DE$6:$DF$17,2)+1))*(VLOOKUP($A40,CURVES!$D$9:$T$261,7))*(INDEX(DailyScalarsTable,BI$5/100,MONTH($A40)))*$D40</f>
        <v>-7800.9361704227276</v>
      </c>
      <c r="BJ40" s="1021">
        <f>(VLOOKUP(YEAR($A40),'NY East Load Projections'!$A$4:$EO$14,((MONTH($A40)-1)*12)+VLOOKUP(BJ$4,$DE$6:$DF$17,2)+1))*(VLOOKUP($A40,CURVES!$D$9:$T$261,7))*(INDEX(DailyScalarsTable,BJ$5/100,MONTH($A40)))*$D40</f>
        <v>-8482.4359922025942</v>
      </c>
      <c r="BK40" s="1021">
        <f>(VLOOKUP(YEAR($A40),'NY East Load Projections'!$A$4:$EO$14,((MONTH($A40)-1)*12)+VLOOKUP(BK$4,$DE$6:$DF$17,2)+1))*(VLOOKUP($A40,CURVES!$D$9:$T$261,7))*(INDEX(DailyScalarsTable,BK$5/100,MONTH($A40)))*$D40</f>
        <v>-9772.8142859971194</v>
      </c>
      <c r="BL40" s="1021">
        <f>(VLOOKUP(YEAR($A40),'NY East Load Projections'!$A$4:$EO$14,((MONTH($A40)-1)*12)+VLOOKUP(BL$4,$DE$6:$DF$17,2)+1))*(VLOOKUP($A40,CURVES!$D$9:$T$261,7))*(INDEX(DailyScalarsTable,BL$5/100,MONTH($A40)))*$D40</f>
        <v>-13998.592657843441</v>
      </c>
      <c r="BM40" s="1021">
        <f>(VLOOKUP(YEAR($A40),'NY East Load Projections'!$A$4:$EO$14,((MONTH($A40)-1)*12)+VLOOKUP(BM$4,$DE$6:$DF$17,2)+1))*(VLOOKUP($A40,SatSunCurve,7))*(INDEX(DailyScalarsTable,BM$5/100,MONTH($A40)))*$D40</f>
        <v>-11270.799675286655</v>
      </c>
      <c r="BN40" s="1021">
        <f>(VLOOKUP(YEAR($A40),'NY East Load Projections'!$A$4:$EO$14,((MONTH($A40)-1)*12)+VLOOKUP(BN$4,$DE$6:$DF$17,2)+1))*(VLOOKUP($A40,SatSunCurve,7))*(INDEX(DailyScalarsTable,BN$5/100,MONTH($A40)))*$D40</f>
        <v>-12778.83546595939</v>
      </c>
      <c r="BO40" s="1021">
        <f>(VLOOKUP(YEAR($A40),'NY East Load Projections'!$A$4:$EO$14,((MONTH($A40)-1)*12)+VLOOKUP(BO$4,$DE$6:$DF$17,2)+1))*(VLOOKUP($A40,SatSunCurve,7))*(INDEX(DailyScalarsTable,BO$5/100,MONTH($A40)))*$D40</f>
        <v>-12696.073884961577</v>
      </c>
      <c r="BP40" s="1021">
        <f>(VLOOKUP(YEAR($A40),'NY East Load Projections'!$A$4:$EO$14,((MONTH($A40)-1)*12)+VLOOKUP(BP$4,$DE$6:$DF$17,2)+1))*(VLOOKUP($A40,SatSunCurve,7))*(INDEX(DailyScalarsTable,BP$5/100,MONTH($A40)))*$D40</f>
        <v>-12451.144341197782</v>
      </c>
      <c r="BQ40" s="1021">
        <f>(VLOOKUP(YEAR($A40),'NY East Load Projections'!$A$4:$EO$14,((MONTH($A40)-1)*12)+VLOOKUP(BQ$4,$DE$6:$DF$17,2)+1))*(VLOOKUP($A40,SatSunCurve,7))*(INDEX(DailyScalarsTable,BQ$5/100,MONTH($A40)))*$D40</f>
        <v>-10483.879192884939</v>
      </c>
      <c r="BR40" s="1021">
        <f>(VLOOKUP(YEAR($A40),'NY East Load Projections'!$A$4:$EO$14,((MONTH($A40)-1)*12)+VLOOKUP(BR$4,$DE$6:$DF$17,2)+1))*(VLOOKUP($A40,SatSunCurve,7))*(INDEX(DailyScalarsTable,BR$5/100,MONTH($A40)))*$D40</f>
        <v>-9965.149859850424</v>
      </c>
      <c r="BS40" s="1021">
        <f>(VLOOKUP(YEAR($A40),'NY East Load Projections'!$A$4:$EO$14,((MONTH($A40)-1)*12)+VLOOKUP(BS$4,$DE$6:$DF$17,2)+1))*(VLOOKUP($A40,SatSunCurve,7))*(INDEX(DailyScalarsTable,BS$5/100,MONTH($A40)))*$D40</f>
        <v>-9697.6517834222268</v>
      </c>
      <c r="BT40" s="1021">
        <f>(VLOOKUP(YEAR($A40),'NY East Load Projections'!$A$4:$EO$14,((MONTH($A40)-1)*12)+VLOOKUP(BT$4,$DE$6:$DF$17,2)+1))*(VLOOKUP($A40,SatSunCurve,7))*(INDEX(DailyScalarsTable,BT$5/100,MONTH($A40)))*$D40</f>
        <v>-9470.786326198313</v>
      </c>
      <c r="BU40" s="1021">
        <f>(VLOOKUP(YEAR($A40),'NY East Load Projections'!$A$4:$EO$14,((MONTH($A40)-1)*12)+VLOOKUP(BU$4,$DE$6:$DF$17,2)+1))*(VLOOKUP($A40,SatSunCurve,7))*(INDEX(DailyScalarsTable,BU$5/100,MONTH($A40)))*$D40</f>
        <v>-9315.0279525818951</v>
      </c>
      <c r="BV40" s="1021">
        <f>(VLOOKUP(YEAR($A40),'NY East Load Projections'!$A$4:$EO$14,((MONTH($A40)-1)*12)+VLOOKUP(BV$4,$DE$6:$DF$17,2)+1))*(VLOOKUP($A40,SatSunCurve,7))*(INDEX(DailyScalarsTable,BV$5/100,MONTH($A40)))*$D40</f>
        <v>-9598.9508567052926</v>
      </c>
      <c r="BW40" s="1021">
        <f>(VLOOKUP(YEAR($A40),'NY East Load Projections'!$A$4:$EO$14,((MONTH($A40)-1)*12)+VLOOKUP(BW$4,$DE$6:$DF$17,2)+1))*(VLOOKUP($A40,SatSunCurve,7))*(INDEX(DailyScalarsTable,BW$5/100,MONTH($A40)))*$D40</f>
        <v>-13177.174698506667</v>
      </c>
      <c r="BX40" s="1021">
        <f>(VLOOKUP(YEAR($A40),'NY East Load Projections'!$A$4:$EO$14,((MONTH($A40)-1)*12)+VLOOKUP(BX$4,$DE$6:$DF$17,2)+1))*(VLOOKUP($A40,SatSunCurve,7))*(INDEX(DailyScalarsTable,BX$5/100,MONTH($A40)))*$D40</f>
        <v>-13283.276343437541</v>
      </c>
      <c r="BY40" s="1021">
        <f>(VLOOKUP(YEAR($A40),'NY East Load Projections'!$A$4:$EO$14,((MONTH($A40)-1)*12)+VLOOKUP(BY$4,$DE$6:$DF$17,2)+1))*(VLOOKUP($A40,SatSunCurve,7))*(INDEX(DailyScalarsTable,BY$5/100,MONTH($A40)))*$D40</f>
        <v>-12739.776080628377</v>
      </c>
      <c r="BZ40" s="1021">
        <f>(VLOOKUP(YEAR($A40),'NY East Load Projections'!$A$4:$EO$14,((MONTH($A40)-1)*12)+VLOOKUP(BZ$4,$DE$6:$DF$17,2)+1))*(VLOOKUP($A40,SatSunCurve,7))*(INDEX(DailyScalarsTable,BZ$5/100,MONTH($A40)))*$D40</f>
        <v>-11449.540882347426</v>
      </c>
      <c r="CA40" s="1021">
        <f>(VLOOKUP(YEAR($A40),'NY East Load Projections'!$A$4:$EO$14,((MONTH($A40)-1)*12)+VLOOKUP(CA$4,$DE$6:$DF$17,2)+1))*(VLOOKUP($A40,SatSunCurve,7))*(INDEX(DailyScalarsTable,CA$5/100,MONTH($A40)))*$D40</f>
        <v>-9107.9000021024331</v>
      </c>
      <c r="CB40" s="1021">
        <f>(VLOOKUP(YEAR($A40),'NY East Load Projections'!$A$4:$EO$14,((MONTH($A40)-1)*12)+VLOOKUP(CB$4,$DE$6:$DF$17,2)+1))*(VLOOKUP($A40,SatSunCurve,7))*(INDEX(DailyScalarsTable,CB$5/100,MONTH($A40)))*$D40</f>
        <v>-7681.0447373999395</v>
      </c>
      <c r="CC40" s="1021">
        <f>(VLOOKUP(YEAR($A40),'NY East Load Projections'!$A$4:$EO$14,((MONTH($A40)-1)*12)+VLOOKUP(CC$4,$DE$6:$DF$17,2)+1))*(VLOOKUP($A40,CURVES!$D$9:$T$261,7))*(INDEX(DailyScalarsTable,CC$5/100,MONTH($A40)))*$D40</f>
        <v>-9826.2171730671871</v>
      </c>
      <c r="CE40" s="1021">
        <f>(VLOOKUP(YEAR($A40),'NY East Load Projections'!$A$4:$EO$14,((MONTH($A40)-1)*12)+VLOOKUP(CE$4,$DE$6:$DF$17,2)+1))*(VLOOKUP($A40,CURVES!$D$9:$T$261,7))*(INDEX(DailyScalarsTable,CE$5/100,MONTH($A40)))*$E40</f>
        <v>-1713.7721981583372</v>
      </c>
      <c r="CF40" s="1021">
        <f>(VLOOKUP(YEAR($A40),'NY East Load Projections'!$A$4:$EO$14,((MONTH($A40)-1)*12)+VLOOKUP(CF$4,$DE$6:$DF$17,2)+1))*(VLOOKUP($A40,CURVES!$D$9:$T$261,7))*(INDEX(DailyScalarsTable,CF$5/100,MONTH($A40)))*$E40</f>
        <v>-1624.7187315945421</v>
      </c>
      <c r="CG40" s="1021">
        <f>(VLOOKUP(YEAR($A40),'NY East Load Projections'!$A$4:$EO$14,((MONTH($A40)-1)*12)+VLOOKUP(CG$4,$DE$6:$DF$17,2)+1))*(VLOOKUP($A40,CURVES!$D$9:$T$261,7))*(INDEX(DailyScalarsTable,CG$5/100,MONTH($A40)))*$E40</f>
        <v>-1559.2653555486884</v>
      </c>
      <c r="CH40" s="1021">
        <f>(VLOOKUP(YEAR($A40),'NY East Load Projections'!$A$4:$EO$14,((MONTH($A40)-1)*12)+VLOOKUP(CH$4,$DE$6:$DF$17,2)+1))*(VLOOKUP($A40,CURVES!$D$9:$T$261,7))*(INDEX(DailyScalarsTable,CH$5/100,MONTH($A40)))*$E40</f>
        <v>-1560.1872340845455</v>
      </c>
      <c r="CI40" s="1021">
        <f>(VLOOKUP(YEAR($A40),'NY East Load Projections'!$A$4:$EO$14,((MONTH($A40)-1)*12)+VLOOKUP(CI$4,$DE$6:$DF$17,2)+1))*(VLOOKUP($A40,CURVES!$D$9:$T$261,7))*(INDEX(DailyScalarsTable,CI$5/100,MONTH($A40)))*$E40</f>
        <v>-1696.4871984405188</v>
      </c>
      <c r="CJ40" s="1021">
        <f>(VLOOKUP(YEAR($A40),'NY East Load Projections'!$A$4:$EO$14,((MONTH($A40)-1)*12)+VLOOKUP(CJ$4,$DE$6:$DF$17,2)+1))*(VLOOKUP($A40,CURVES!$D$9:$T$261,7))*(INDEX(DailyScalarsTable,CJ$5/100,MONTH($A40)))*$E40</f>
        <v>-1954.5628571994239</v>
      </c>
      <c r="CK40" s="1021">
        <f>(VLOOKUP(YEAR($A40),'NY East Load Projections'!$A$4:$EO$14,((MONTH($A40)-1)*12)+VLOOKUP(CK$4,$DE$6:$DF$17,2)+1))*(VLOOKUP($A40,CURVES!$D$9:$T$261,7))*(INDEX(DailyScalarsTable,CK$5/100,MONTH($A40)))*$E40</f>
        <v>-2799.7185315686884</v>
      </c>
      <c r="CL40" s="1021">
        <f>(VLOOKUP(YEAR($A40),'NY East Load Projections'!$A$4:$EO$14,((MONTH($A40)-1)*12)+VLOOKUP(CL$4,$DE$6:$DF$17,2)+1))*(VLOOKUP($A40,SatSunCurve,7))*(INDEX(DailyScalarsTable,CL$5/100,MONTH($A40)))*$E40</f>
        <v>-2254.159935057331</v>
      </c>
      <c r="CM40" s="1021">
        <f>(VLOOKUP(YEAR($A40),'NY East Load Projections'!$A$4:$EO$14,((MONTH($A40)-1)*12)+VLOOKUP(CM$4,$DE$6:$DF$17,2)+1))*(VLOOKUP($A40,SatSunCurve,7))*(INDEX(DailyScalarsTable,CM$5/100,MONTH($A40)))*$E40</f>
        <v>-2555.7670931918778</v>
      </c>
      <c r="CN40" s="1021">
        <f>(VLOOKUP(YEAR($A40),'NY East Load Projections'!$A$4:$EO$14,((MONTH($A40)-1)*12)+VLOOKUP(CN$4,$DE$6:$DF$17,2)+1))*(VLOOKUP($A40,SatSunCurve,7))*(INDEX(DailyScalarsTable,CN$5/100,MONTH($A40)))*$E40</f>
        <v>-2539.2147769923154</v>
      </c>
      <c r="CO40" s="1021">
        <f>(VLOOKUP(YEAR($A40),'NY East Load Projections'!$A$4:$EO$14,((MONTH($A40)-1)*12)+VLOOKUP(CO$4,$DE$6:$DF$17,2)+1))*(VLOOKUP($A40,SatSunCurve,7))*(INDEX(DailyScalarsTable,CO$5/100,MONTH($A40)))*$E40</f>
        <v>-2490.2288682395565</v>
      </c>
      <c r="CP40" s="1021">
        <f>(VLOOKUP(YEAR($A40),'NY East Load Projections'!$A$4:$EO$14,((MONTH($A40)-1)*12)+VLOOKUP(CP$4,$DE$6:$DF$17,2)+1))*(VLOOKUP($A40,SatSunCurve,7))*(INDEX(DailyScalarsTable,CP$5/100,MONTH($A40)))*$E40</f>
        <v>-2096.7758385769876</v>
      </c>
      <c r="CQ40" s="1021">
        <f>(VLOOKUP(YEAR($A40),'NY East Load Projections'!$A$4:$EO$14,((MONTH($A40)-1)*12)+VLOOKUP(CQ$4,$DE$6:$DF$17,2)+1))*(VLOOKUP($A40,SatSunCurve,7))*(INDEX(DailyScalarsTable,CQ$5/100,MONTH($A40)))*$E40</f>
        <v>-1993.0299719700847</v>
      </c>
      <c r="CR40" s="1021">
        <f>(VLOOKUP(YEAR($A40),'NY East Load Projections'!$A$4:$EO$14,((MONTH($A40)-1)*12)+VLOOKUP(CR$4,$DE$6:$DF$17,2)+1))*(VLOOKUP($A40,SatSunCurve,7))*(INDEX(DailyScalarsTable,CR$5/100,MONTH($A40)))*$E40</f>
        <v>-1939.5303566844452</v>
      </c>
      <c r="CS40" s="1021">
        <f>(VLOOKUP(YEAR($A40),'NY East Load Projections'!$A$4:$EO$14,((MONTH($A40)-1)*12)+VLOOKUP(CS$4,$DE$6:$DF$17,2)+1))*(VLOOKUP($A40,SatSunCurve,7))*(INDEX(DailyScalarsTable,CS$5/100,MONTH($A40)))*$E40</f>
        <v>-1894.1572652396626</v>
      </c>
      <c r="CT40" s="1021">
        <f>(VLOOKUP(YEAR($A40),'NY East Load Projections'!$A$4:$EO$14,((MONTH($A40)-1)*12)+VLOOKUP(CT$4,$DE$6:$DF$17,2)+1))*(VLOOKUP($A40,SatSunCurve,7))*(INDEX(DailyScalarsTable,CT$5/100,MONTH($A40)))*$E40</f>
        <v>-1863.005590516379</v>
      </c>
      <c r="CU40" s="1021">
        <f>(VLOOKUP(YEAR($A40),'NY East Load Projections'!$A$4:$EO$14,((MONTH($A40)-1)*12)+VLOOKUP(CU$4,$DE$6:$DF$17,2)+1))*(VLOOKUP($A40,SatSunCurve,7))*(INDEX(DailyScalarsTable,CU$5/100,MONTH($A40)))*$E40</f>
        <v>-1919.7901713410586</v>
      </c>
      <c r="CV40" s="1021">
        <f>(VLOOKUP(YEAR($A40),'NY East Load Projections'!$A$4:$EO$14,((MONTH($A40)-1)*12)+VLOOKUP(CV$4,$DE$6:$DF$17,2)+1))*(VLOOKUP($A40,SatSunCurve,7))*(INDEX(DailyScalarsTable,CV$5/100,MONTH($A40)))*$E40</f>
        <v>-2635.4349397013334</v>
      </c>
      <c r="CW40" s="1021">
        <f>(VLOOKUP(YEAR($A40),'NY East Load Projections'!$A$4:$EO$14,((MONTH($A40)-1)*12)+VLOOKUP(CW$4,$DE$6:$DF$17,2)+1))*(VLOOKUP($A40,SatSunCurve,7))*(INDEX(DailyScalarsTable,CW$5/100,MONTH($A40)))*$E40</f>
        <v>-2656.6552686875084</v>
      </c>
      <c r="CX40" s="1021">
        <f>(VLOOKUP(YEAR($A40),'NY East Load Projections'!$A$4:$EO$14,((MONTH($A40)-1)*12)+VLOOKUP(CX$4,$DE$6:$DF$17,2)+1))*(VLOOKUP($A40,SatSunCurve,7))*(INDEX(DailyScalarsTable,CX$5/100,MONTH($A40)))*$E40</f>
        <v>-2547.9552161256752</v>
      </c>
      <c r="CY40" s="1021">
        <f>(VLOOKUP(YEAR($A40),'NY East Load Projections'!$A$4:$EO$14,((MONTH($A40)-1)*12)+VLOOKUP(CY$4,$DE$6:$DF$17,2)+1))*(VLOOKUP($A40,SatSunCurve,7))*(INDEX(DailyScalarsTable,CY$5/100,MONTH($A40)))*$E40</f>
        <v>-2289.9081764694852</v>
      </c>
      <c r="CZ40" s="1021">
        <f>(VLOOKUP(YEAR($A40),'NY East Load Projections'!$A$4:$EO$14,((MONTH($A40)-1)*12)+VLOOKUP(CZ$4,$DE$6:$DF$17,2)+1))*(VLOOKUP($A40,SatSunCurve,7))*(INDEX(DailyScalarsTable,CZ$5/100,MONTH($A40)))*$E40</f>
        <v>-1821.5800004204866</v>
      </c>
      <c r="DA40" s="1021">
        <f>(VLOOKUP(YEAR($A40),'NY East Load Projections'!$A$4:$EO$14,((MONTH($A40)-1)*12)+VLOOKUP(DA$4,$DE$6:$DF$17,2)+1))*(VLOOKUP($A40,SatSunCurve,7))*(INDEX(DailyScalarsTable,DA$5/100,MONTH($A40)))*$E40</f>
        <v>-1536.208947479988</v>
      </c>
      <c r="DB40" s="1021">
        <f>(VLOOKUP(YEAR($A40),'NY East Load Projections'!$A$4:$EO$14,((MONTH($A40)-1)*12)+VLOOKUP(DB$4,$DE$6:$DF$17,2)+1))*(VLOOKUP($A40,CURVES!$D$9:$T$261,7))*(INDEX(DailyScalarsTable,DB$5/100,MONTH($A40)))*$E40</f>
        <v>-1965.2434346134373</v>
      </c>
      <c r="DH40" s="1032">
        <f t="shared" si="0"/>
        <v>-1825305.6430674619</v>
      </c>
      <c r="DI40">
        <f ca="1">CALC!J60</f>
        <v>0.76308263577695024</v>
      </c>
      <c r="DJ40" s="1029">
        <f t="shared" ca="1" si="1"/>
        <v>-1392859.04121046</v>
      </c>
    </row>
    <row r="41" spans="1:114" x14ac:dyDescent="0.25">
      <c r="A41" s="244">
        <v>37956</v>
      </c>
      <c r="B41" s="13">
        <v>22</v>
      </c>
      <c r="C41" s="210">
        <v>4</v>
      </c>
      <c r="D41" s="210">
        <v>4</v>
      </c>
      <c r="E41" s="210">
        <v>1</v>
      </c>
      <c r="F41" s="13">
        <v>31</v>
      </c>
      <c r="H41" s="1021">
        <f>(VLOOKUP(YEAR($A41),'NY East Load Projections'!$A$4:$EO$14,((MONTH($A41)-1)*12)+VLOOKUP(H$4,$DE$6:$DF$17,2)+1))*(VLOOKUP($A41,CURVES!$D$9:$K$261,7))*(INDEX(DailyScalarsTable,H$5/100,MONTH($A41)))*$B41</f>
        <v>-37730.215426501942</v>
      </c>
      <c r="I41" s="1021">
        <f>(VLOOKUP(YEAR($A41),'NY East Load Projections'!$A$4:$EO$14,((MONTH($A41)-1)*12)+VLOOKUP(I$4,$DE$6:$DF$17,2)+1))*(VLOOKUP($A41,CURVES!$D$9:$K$261,7))*(INDEX(DailyScalarsTable,I$5/100,MONTH($A41)))*$B41</f>
        <v>-35769.624350547077</v>
      </c>
      <c r="J41" s="1021">
        <f>(VLOOKUP(YEAR($A41),'NY East Load Projections'!$A$4:$EO$14,((MONTH($A41)-1)*12)+VLOOKUP(J$4,$DE$6:$DF$17,2)+1))*(VLOOKUP($A41,CURVES!$D$9:$K$261,7))*(INDEX(DailyScalarsTable,J$5/100,MONTH($A41)))*$B41</f>
        <v>-34328.610205694131</v>
      </c>
      <c r="K41" s="1021">
        <f>(VLOOKUP(YEAR($A41),'NY East Load Projections'!$A$4:$EO$14,((MONTH($A41)-1)*12)+VLOOKUP(K$4,$DE$6:$DF$17,2)+1))*(VLOOKUP($A41,CURVES!$D$9:$K$261,7))*(INDEX(DailyScalarsTable,K$5/100,MONTH($A41)))*$B41</f>
        <v>-34348.906179565296</v>
      </c>
      <c r="L41" s="1021">
        <f>(VLOOKUP(YEAR($A41),'NY East Load Projections'!$A$4:$EO$14,((MONTH($A41)-1)*12)+VLOOKUP(L$4,$DE$6:$DF$17,2)+1))*(VLOOKUP($A41,CURVES!$D$9:$K$261,7))*(INDEX(DailyScalarsTable,L$5/100,MONTH($A41)))*$B41</f>
        <v>-41018.307713822716</v>
      </c>
      <c r="M41" s="1021">
        <f>(VLOOKUP(YEAR($A41),'NY East Load Projections'!$A$4:$EO$14,((MONTH($A41)-1)*12)+VLOOKUP(M$4,$DE$6:$DF$17,2)+1))*(VLOOKUP($A41,CURVES!$D$9:$K$261,7))*(INDEX(DailyScalarsTable,M$5/100,MONTH($A41)))*$B41</f>
        <v>-47258.158385346331</v>
      </c>
      <c r="N41" s="1021">
        <f>(VLOOKUP(YEAR($A41),'NY East Load Projections'!$A$4:$EO$14,((MONTH($A41)-1)*12)+VLOOKUP(N$4,$DE$6:$DF$17,2)+1))*(VLOOKUP($A41,CURVES!$D$9:$K$261,7))*(INDEX(DailyScalarsTable,N$5/100,MONTH($A41)))*$B41</f>
        <v>-67692.651229871801</v>
      </c>
      <c r="O41" s="1021">
        <f>(VLOOKUP(YEAR($A41),'NY East Load Projections'!$A$4:$EO$14,((MONTH($A41)-1)*12)+VLOOKUP(O$4,$DE$6:$DF$17,2)+1))*(VLOOKUP($A41,CURVES!$D$9:$K$261,3))*(INDEX(DailyScalarsTable,O$5/100,MONTH($A41)))*$B41</f>
        <v>-71820.826049971845</v>
      </c>
      <c r="P41" s="1021">
        <f>(VLOOKUP(YEAR($A41),'NY East Load Projections'!$A$4:$EO$14,((MONTH($A41)-1)*12)+VLOOKUP(P$4,$DE$6:$DF$17,2)+1))*(VLOOKUP($A41,CURVES!$D$9:$K$261,3))*(INDEX(DailyScalarsTable,P$5/100,MONTH($A41)))*$B41</f>
        <v>-83398.991250082836</v>
      </c>
      <c r="Q41" s="1021">
        <f>(VLOOKUP(YEAR($A41),'NY East Load Projections'!$A$4:$EO$14,((MONTH($A41)-1)*12)+VLOOKUP(Q$4,$DE$6:$DF$17,2)+1))*(VLOOKUP($A41,CURVES!$D$9:$K$261,3))*(INDEX(DailyScalarsTable,Q$5/100,MONTH($A41)))*$B41</f>
        <v>-82976.191758438668</v>
      </c>
      <c r="R41" s="1021">
        <f>(VLOOKUP(YEAR($A41),'NY East Load Projections'!$A$4:$EO$14,((MONTH($A41)-1)*12)+VLOOKUP(R$4,$DE$6:$DF$17,2)+1))*(VLOOKUP($A41,CURVES!$D$9:$K$261,3))*(INDEX(DailyScalarsTable,R$5/100,MONTH($A41)))*$B41</f>
        <v>-81170.336302602547</v>
      </c>
      <c r="S41" s="1021">
        <f>(VLOOKUP(YEAR($A41),'NY East Load Projections'!$A$4:$EO$14,((MONTH($A41)-1)*12)+VLOOKUP(S$4,$DE$6:$DF$17,2)+1))*(VLOOKUP($A41,CURVES!$D$9:$K$261,3))*(INDEX(DailyScalarsTable,S$5/100,MONTH($A41)))*$B41</f>
        <v>-65956.720696491029</v>
      </c>
      <c r="T41" s="1021">
        <f>(VLOOKUP(YEAR($A41),'NY East Load Projections'!$A$4:$EO$14,((MONTH($A41)-1)*12)+VLOOKUP(T$4,$DE$6:$DF$17,2)+1))*(VLOOKUP($A41,CURVES!$D$9:$K$261,3))*(INDEX(DailyScalarsTable,T$5/100,MONTH($A41)))*$B41</f>
        <v>-62920.061050665565</v>
      </c>
      <c r="U41" s="1021">
        <f>(VLOOKUP(YEAR($A41),'NY East Load Projections'!$A$4:$EO$14,((MONTH($A41)-1)*12)+VLOOKUP(U$4,$DE$6:$DF$17,2)+1))*(VLOOKUP($A41,CURVES!$D$9:$K$261,3))*(INDEX(DailyScalarsTable,U$5/100,MONTH($A41)))*$B41</f>
        <v>-60208.795418467504</v>
      </c>
      <c r="V41" s="1021">
        <f>(VLOOKUP(YEAR($A41),'NY East Load Projections'!$A$4:$EO$14,((MONTH($A41)-1)*12)+VLOOKUP(V$4,$DE$6:$DF$17,2)+1))*(VLOOKUP($A41,CURVES!$D$9:$K$261,3))*(INDEX(DailyScalarsTable,V$5/100,MONTH($A41)))*$B41</f>
        <v>-57181.0956010792</v>
      </c>
      <c r="W41" s="1021">
        <f>(VLOOKUP(YEAR($A41),'NY East Load Projections'!$A$4:$EO$14,((MONTH($A41)-1)*12)+VLOOKUP(W$4,$DE$6:$DF$17,2)+1))*(VLOOKUP($A41,CURVES!$D$9:$K$261,3))*(INDEX(DailyScalarsTable,W$5/100,MONTH($A41)))*$B41</f>
        <v>-56188.642929346213</v>
      </c>
      <c r="X41" s="1021">
        <f>(VLOOKUP(YEAR($A41),'NY East Load Projections'!$A$4:$EO$14,((MONTH($A41)-1)*12)+VLOOKUP(X$4,$DE$6:$DF$17,2)+1))*(VLOOKUP($A41,CURVES!$D$9:$K$261,3))*(INDEX(DailyScalarsTable,X$5/100,MONTH($A41)))*$B41</f>
        <v>-59648.504770532032</v>
      </c>
      <c r="Y41" s="1021">
        <f>(VLOOKUP(YEAR($A41),'NY East Load Projections'!$A$4:$EO$14,((MONTH($A41)-1)*12)+VLOOKUP(Y$4,$DE$6:$DF$17,2)+1))*(VLOOKUP($A41,CURVES!$D$9:$K$261,3))*(INDEX(DailyScalarsTable,Y$5/100,MONTH($A41)))*$B41</f>
        <v>-84065.280648299376</v>
      </c>
      <c r="Z41" s="1021">
        <f>(VLOOKUP(YEAR($A41),'NY East Load Projections'!$A$4:$EO$14,((MONTH($A41)-1)*12)+VLOOKUP(Z$4,$DE$6:$DF$17,2)+1))*(VLOOKUP($A41,CURVES!$D$9:$K$261,3))*(INDEX(DailyScalarsTable,Z$5/100,MONTH($A41)))*$B41</f>
        <v>-83505.19415010589</v>
      </c>
      <c r="AA41" s="1021">
        <f>(VLOOKUP(YEAR($A41),'NY East Load Projections'!$A$4:$EO$14,((MONTH($A41)-1)*12)+VLOOKUP(AA$4,$DE$6:$DF$17,2)+1))*(VLOOKUP($A41,CURVES!$D$9:$K$261,3))*(INDEX(DailyScalarsTable,AA$5/100,MONTH($A41)))*$B41</f>
        <v>-80629.663447753745</v>
      </c>
      <c r="AB41" s="1021">
        <f>(VLOOKUP(YEAR($A41),'NY East Load Projections'!$A$4:$EO$14,((MONTH($A41)-1)*12)+VLOOKUP(AB$4,$DE$6:$DF$17,2)+1))*(VLOOKUP($A41,CURVES!$D$9:$K$261,3))*(INDEX(DailyScalarsTable,AB$5/100,MONTH($A41)))*$B41</f>
        <v>-71423.655929130487</v>
      </c>
      <c r="AC41" s="1021">
        <f>(VLOOKUP(YEAR($A41),'NY East Load Projections'!$A$4:$EO$14,((MONTH($A41)-1)*12)+VLOOKUP(AC$4,$DE$6:$DF$17,2)+1))*(VLOOKUP($A41,CURVES!$D$9:$K$261,3))*(INDEX(DailyScalarsTable,AC$5/100,MONTH($A41)))*$B41</f>
        <v>-52653.234113820261</v>
      </c>
      <c r="AD41" s="1021">
        <f>(VLOOKUP(YEAR($A41),'NY East Load Projections'!$A$4:$EO$14,((MONTH($A41)-1)*12)+VLOOKUP(AD$4,$DE$6:$DF$17,2)+1))*(VLOOKUP($A41,CURVES!$D$9:$K$261,3))*(INDEX(DailyScalarsTable,AD$5/100,MONTH($A41)))*$B41</f>
        <v>-43439.691092141788</v>
      </c>
      <c r="AE41" s="1021">
        <f>(VLOOKUP(YEAR($A41),'NY East Load Projections'!$A$4:$EO$14,((MONTH($A41)-1)*12)+VLOOKUP(AE$4,$DE$6:$DF$17,2)+1))*(VLOOKUP($A41,CURVES!$D$9:$K$261,7))*(INDEX(DailyScalarsTable,AE$5/100,MONTH($A41)))*$B41</f>
        <v>-44506.685887510866</v>
      </c>
      <c r="AF41" s="1021"/>
      <c r="AG41" s="1021">
        <f>(VLOOKUP(YEAR($A41),'NY East Load Projections'!$A$4:$EO$14,((MONTH($A41)-1)*12)+VLOOKUP(AG$4,$DE$6:$DF$17,2)+1))*(VLOOKUP($A41,CURVES!$D$9:$T$261,7))*(INDEX(DailyScalarsTable,AG$5/100,MONTH($A41)))*$C41</f>
        <v>-7199.2141446999813</v>
      </c>
      <c r="AH41" s="1021">
        <f>(VLOOKUP(YEAR($A41),'NY East Load Projections'!$A$4:$EO$14,((MONTH($A41)-1)*12)+VLOOKUP(AH$4,$DE$6:$DF$17,2)+1))*(VLOOKUP($A41,CURVES!$D$9:$T$261,7))*(INDEX(DailyScalarsTable,AH$5/100,MONTH($A41)))*$C41</f>
        <v>-6825.1183478317625</v>
      </c>
      <c r="AI41" s="1021">
        <f>(VLOOKUP(YEAR($A41),'NY East Load Projections'!$A$4:$EO$14,((MONTH($A41)-1)*12)+VLOOKUP(AI$4,$DE$6:$DF$17,2)+1))*(VLOOKUP($A41,CURVES!$D$9:$T$261,7))*(INDEX(DailyScalarsTable,AI$5/100,MONTH($A41)))*$C41</f>
        <v>-6550.1618097609189</v>
      </c>
      <c r="AJ41" s="1021">
        <f>(VLOOKUP(YEAR($A41),'NY East Load Projections'!$A$4:$EO$14,((MONTH($A41)-1)*12)+VLOOKUP(AJ$4,$DE$6:$DF$17,2)+1))*(VLOOKUP($A41,CURVES!$D$9:$T$261,7))*(INDEX(DailyScalarsTable,AJ$5/100,MONTH($A41)))*$C41</f>
        <v>-6554.0344370576904</v>
      </c>
      <c r="AK41" s="1021">
        <f>(VLOOKUP(YEAR($A41),'NY East Load Projections'!$A$4:$EO$14,((MONTH($A41)-1)*12)+VLOOKUP(AK$4,$DE$6:$DF$17,2)+1))*(VLOOKUP($A41,CURVES!$D$9:$T$261,7))*(INDEX(DailyScalarsTable,AK$5/100,MONTH($A41)))*$C41</f>
        <v>-7177.2722007607999</v>
      </c>
      <c r="AL41" s="1021">
        <f>(VLOOKUP(YEAR($A41),'NY East Load Projections'!$A$4:$EO$14,((MONTH($A41)-1)*12)+VLOOKUP(AL$4,$DE$6:$DF$17,2)+1))*(VLOOKUP($A41,CURVES!$D$9:$T$261,7))*(INDEX(DailyScalarsTable,AL$5/100,MONTH($A41)))*$C41</f>
        <v>-8269.1043424981563</v>
      </c>
      <c r="AM41" s="1021">
        <f>(VLOOKUP(YEAR($A41),'NY East Load Projections'!$A$4:$EO$14,((MONTH($A41)-1)*12)+VLOOKUP(AM$4,$DE$6:$DF$17,2)+1))*(VLOOKUP($A41,CURVES!$D$9:$T$261,7))*(INDEX(DailyScalarsTable,AM$5/100,MONTH($A41)))*$C41</f>
        <v>-11844.67646148721</v>
      </c>
      <c r="AN41" s="1021">
        <f>(VLOOKUP(YEAR($A41),'NY East Load Projections'!$A$4:$EO$14,((MONTH($A41)-1)*12)+VLOOKUP(AN$4,$DE$6:$DF$17,2)+1))*(VLOOKUP($A41,SatSunCurve,3))*(INDEX(DailyScalarsTable,AN$5/100,MONTH($A41)))*$C41</f>
        <v>-10436.975634800008</v>
      </c>
      <c r="AO41" s="1021">
        <f>(VLOOKUP(YEAR($A41),'NY East Load Projections'!$A$4:$EO$14,((MONTH($A41)-1)*12)+VLOOKUP(AO$4,$DE$6:$DF$17,2)+1))*(VLOOKUP($A41,SatSunCurve,3))*(INDEX(DailyScalarsTable,AO$5/100,MONTH($A41)))*$C41</f>
        <v>-11890.938236525122</v>
      </c>
      <c r="AP41" s="1021">
        <f>(VLOOKUP(YEAR($A41),'NY East Load Projections'!$A$4:$EO$14,((MONTH($A41)-1)*12)+VLOOKUP(AP$4,$DE$6:$DF$17,2)+1))*(VLOOKUP($A41,SatSunCurve,3))*(INDEX(DailyScalarsTable,AP$5/100,MONTH($A41)))*$C41</f>
        <v>-11830.655940945557</v>
      </c>
      <c r="AQ41" s="1021">
        <f>(VLOOKUP(YEAR($A41),'NY East Load Projections'!$A$4:$EO$14,((MONTH($A41)-1)*12)+VLOOKUP(AQ$4,$DE$6:$DF$17,2)+1))*(VLOOKUP($A41,SatSunCurve,3))*(INDEX(DailyScalarsTable,AQ$5/100,MONTH($A41)))*$C41</f>
        <v>-11573.179017453178</v>
      </c>
      <c r="AR41" s="1021">
        <f>(VLOOKUP(YEAR($A41),'NY East Load Projections'!$A$4:$EO$14,((MONTH($A41)-1)*12)+VLOOKUP(AR$4,$DE$6:$DF$17,2)+1))*(VLOOKUP($A41,SatSunCurve,3))*(INDEX(DailyScalarsTable,AR$5/100,MONTH($A41)))*$C41</f>
        <v>-9404.0381104122043</v>
      </c>
      <c r="AS41" s="1021">
        <f>(VLOOKUP(YEAR($A41),'NY East Load Projections'!$A$4:$EO$14,((MONTH($A41)-1)*12)+VLOOKUP(AS$4,$DE$6:$DF$17,2)+1))*(VLOOKUP($A41,SatSunCurve,3))*(INDEX(DailyScalarsTable,AS$5/100,MONTH($A41)))*$C41</f>
        <v>-8852.8556507596295</v>
      </c>
      <c r="AT41" s="1021">
        <f>(VLOOKUP(YEAR($A41),'NY East Load Projections'!$A$4:$EO$14,((MONTH($A41)-1)*12)+VLOOKUP(AT$4,$DE$6:$DF$17,2)+1))*(VLOOKUP($A41,SatSunCurve,3))*(INDEX(DailyScalarsTable,AT$5/100,MONTH($A41)))*$C41</f>
        <v>-8471.3804444118905</v>
      </c>
      <c r="AU41" s="1021">
        <f>(VLOOKUP(YEAR($A41),'NY East Load Projections'!$A$4:$EO$14,((MONTH($A41)-1)*12)+VLOOKUP(AU$4,$DE$6:$DF$17,2)+1))*(VLOOKUP($A41,SatSunCurve,3))*(INDEX(DailyScalarsTable,AU$5/100,MONTH($A41)))*$C41</f>
        <v>-8045.3829328140155</v>
      </c>
      <c r="AV41" s="1021">
        <f>(VLOOKUP(YEAR($A41),'NY East Load Projections'!$A$4:$EO$14,((MONTH($A41)-1)*12)+VLOOKUP(AV$4,$DE$6:$DF$17,2)+1))*(VLOOKUP($A41,SatSunCurve,3))*(INDEX(DailyScalarsTable,AV$5/100,MONTH($A41)))*$C41</f>
        <v>-7905.7447936204126</v>
      </c>
      <c r="AW41" s="1021">
        <f>(VLOOKUP(YEAR($A41),'NY East Load Projections'!$A$4:$EO$14,((MONTH($A41)-1)*12)+VLOOKUP(AW$4,$DE$6:$DF$17,2)+1))*(VLOOKUP($A41,SatSunCurve,3))*(INDEX(DailyScalarsTable,AW$5/100,MONTH($A41)))*$C41</f>
        <v>-8589.0411756781159</v>
      </c>
      <c r="AX41" s="1021">
        <f>(VLOOKUP(YEAR($A41),'NY East Load Projections'!$A$4:$EO$14,((MONTH($A41)-1)*12)+VLOOKUP(AX$4,$DE$6:$DF$17,2)+1))*(VLOOKUP($A41,SatSunCurve,3))*(INDEX(DailyScalarsTable,AX$5/100,MONTH($A41)))*$C41</f>
        <v>-12104.916287690203</v>
      </c>
      <c r="AY41" s="1021">
        <f>(VLOOKUP(YEAR($A41),'NY East Load Projections'!$A$4:$EO$14,((MONTH($A41)-1)*12)+VLOOKUP(AY$4,$DE$6:$DF$17,2)+1))*(VLOOKUP($A41,SatSunCurve,3))*(INDEX(DailyScalarsTable,AY$5/100,MONTH($A41)))*$C41</f>
        <v>-12024.267057446601</v>
      </c>
      <c r="AZ41" s="1021">
        <f>(VLOOKUP(YEAR($A41),'NY East Load Projections'!$A$4:$EO$14,((MONTH($A41)-1)*12)+VLOOKUP(AZ$4,$DE$6:$DF$17,2)+1))*(VLOOKUP($A41,SatSunCurve,3))*(INDEX(DailyScalarsTable,AZ$5/100,MONTH($A41)))*$C41</f>
        <v>-11610.207196274177</v>
      </c>
      <c r="BA41" s="1021">
        <f>(VLOOKUP(YEAR($A41),'NY East Load Projections'!$A$4:$EO$14,((MONTH($A41)-1)*12)+VLOOKUP(BA$4,$DE$6:$DF$17,2)+1))*(VLOOKUP($A41,SatSunCurve,3))*(INDEX(DailyScalarsTable,BA$5/100,MONTH($A41)))*$C41</f>
        <v>-11062.588659734671</v>
      </c>
      <c r="BB41" s="1021">
        <f>(VLOOKUP(YEAR($A41),'NY East Load Projections'!$A$4:$EO$14,((MONTH($A41)-1)*12)+VLOOKUP(BB$4,$DE$6:$DF$17,2)+1))*(VLOOKUP($A41,SatSunCurve,3))*(INDEX(DailyScalarsTable,BB$5/100,MONTH($A41)))*$C41</f>
        <v>-8155.2962114381908</v>
      </c>
      <c r="BC41" s="1021">
        <f>(VLOOKUP(YEAR($A41),'NY East Load Projections'!$A$4:$EO$14,((MONTH($A41)-1)*12)+VLOOKUP(BC$4,$DE$6:$DF$17,2)+1))*(VLOOKUP($A41,SatSunCurve,3))*(INDEX(DailyScalarsTable,BC$5/100,MONTH($A41)))*$C41</f>
        <v>-6728.2390939933393</v>
      </c>
      <c r="BD41" s="1021">
        <f>(VLOOKUP(YEAR($A41),'NY East Load Projections'!$A$4:$EO$14,((MONTH($A41)-1)*12)+VLOOKUP(BD$4,$DE$6:$DF$17,2)+1))*(VLOOKUP($A41,CURVES!$D$9:$T$261,7))*(INDEX(DailyScalarsTable,BD$5/100,MONTH($A41)))*$C41</f>
        <v>-8300.3680339028833</v>
      </c>
      <c r="BE41" s="1021"/>
      <c r="BF41" s="1021">
        <f>(VLOOKUP(YEAR($A41),'NY East Load Projections'!$A$4:$EO$14,((MONTH($A41)-1)*12)+VLOOKUP(BF$4,$DE$6:$DF$17,2)+1))*(VLOOKUP($A41,CURVES!$D$9:$T$261,7))*(INDEX(DailyScalarsTable,BF$5/100,MONTH($A41)))*$D41</f>
        <v>-7199.2141446999813</v>
      </c>
      <c r="BG41" s="1021">
        <f>(VLOOKUP(YEAR($A41),'NY East Load Projections'!$A$4:$EO$14,((MONTH($A41)-1)*12)+VLOOKUP(BG$4,$DE$6:$DF$17,2)+1))*(VLOOKUP($A41,CURVES!$D$9:$T$261,7))*(INDEX(DailyScalarsTable,BG$5/100,MONTH($A41)))*$D41</f>
        <v>-6825.1183478317625</v>
      </c>
      <c r="BH41" s="1021">
        <f>(VLOOKUP(YEAR($A41),'NY East Load Projections'!$A$4:$EO$14,((MONTH($A41)-1)*12)+VLOOKUP(BH$4,$DE$6:$DF$17,2)+1))*(VLOOKUP($A41,CURVES!$D$9:$T$261,7))*(INDEX(DailyScalarsTable,BH$5/100,MONTH($A41)))*$D41</f>
        <v>-6550.1618097609189</v>
      </c>
      <c r="BI41" s="1021">
        <f>(VLOOKUP(YEAR($A41),'NY East Load Projections'!$A$4:$EO$14,((MONTH($A41)-1)*12)+VLOOKUP(BI$4,$DE$6:$DF$17,2)+1))*(VLOOKUP($A41,CURVES!$D$9:$T$261,7))*(INDEX(DailyScalarsTable,BI$5/100,MONTH($A41)))*$D41</f>
        <v>-6554.0344370576904</v>
      </c>
      <c r="BJ41" s="1021">
        <f>(VLOOKUP(YEAR($A41),'NY East Load Projections'!$A$4:$EO$14,((MONTH($A41)-1)*12)+VLOOKUP(BJ$4,$DE$6:$DF$17,2)+1))*(VLOOKUP($A41,CURVES!$D$9:$T$261,7))*(INDEX(DailyScalarsTable,BJ$5/100,MONTH($A41)))*$D41</f>
        <v>-7177.2722007607999</v>
      </c>
      <c r="BK41" s="1021">
        <f>(VLOOKUP(YEAR($A41),'NY East Load Projections'!$A$4:$EO$14,((MONTH($A41)-1)*12)+VLOOKUP(BK$4,$DE$6:$DF$17,2)+1))*(VLOOKUP($A41,CURVES!$D$9:$T$261,7))*(INDEX(DailyScalarsTable,BK$5/100,MONTH($A41)))*$D41</f>
        <v>-8269.1043424981563</v>
      </c>
      <c r="BL41" s="1021">
        <f>(VLOOKUP(YEAR($A41),'NY East Load Projections'!$A$4:$EO$14,((MONTH($A41)-1)*12)+VLOOKUP(BL$4,$DE$6:$DF$17,2)+1))*(VLOOKUP($A41,CURVES!$D$9:$T$261,7))*(INDEX(DailyScalarsTable,BL$5/100,MONTH($A41)))*$D41</f>
        <v>-11844.67646148721</v>
      </c>
      <c r="BM41" s="1021">
        <f>(VLOOKUP(YEAR($A41),'NY East Load Projections'!$A$4:$EO$14,((MONTH($A41)-1)*12)+VLOOKUP(BM$4,$DE$6:$DF$17,2)+1))*(VLOOKUP($A41,SatSunCurve,7))*(INDEX(DailyScalarsTable,BM$5/100,MONTH($A41)))*$D41</f>
        <v>-8999.8672811008728</v>
      </c>
      <c r="BN41" s="1021">
        <f>(VLOOKUP(YEAR($A41),'NY East Load Projections'!$A$4:$EO$14,((MONTH($A41)-1)*12)+VLOOKUP(BN$4,$DE$6:$DF$17,2)+1))*(VLOOKUP($A41,SatSunCurve,7))*(INDEX(DailyScalarsTable,BN$5/100,MONTH($A41)))*$D41</f>
        <v>-10253.628035660773</v>
      </c>
      <c r="BO41" s="1021">
        <f>(VLOOKUP(YEAR($A41),'NY East Load Projections'!$A$4:$EO$14,((MONTH($A41)-1)*12)+VLOOKUP(BO$4,$DE$6:$DF$17,2)+1))*(VLOOKUP($A41,SatSunCurve,7))*(INDEX(DailyScalarsTable,BO$5/100,MONTH($A41)))*$D41</f>
        <v>-10201.646247200215</v>
      </c>
      <c r="BP41" s="1021">
        <f>(VLOOKUP(YEAR($A41),'NY East Load Projections'!$A$4:$EO$14,((MONTH($A41)-1)*12)+VLOOKUP(BP$4,$DE$6:$DF$17,2)+1))*(VLOOKUP($A41,SatSunCurve,7))*(INDEX(DailyScalarsTable,BP$5/100,MONTH($A41)))*$D41</f>
        <v>-9979.622337165285</v>
      </c>
      <c r="BQ41" s="1021">
        <f>(VLOOKUP(YEAR($A41),'NY East Load Projections'!$A$4:$EO$14,((MONTH($A41)-1)*12)+VLOOKUP(BQ$4,$DE$6:$DF$17,2)+1))*(VLOOKUP($A41,SatSunCurve,7))*(INDEX(DailyScalarsTable,BQ$5/100,MONTH($A41)))*$D41</f>
        <v>-8109.1589998472045</v>
      </c>
      <c r="BR41" s="1021">
        <f>(VLOOKUP(YEAR($A41),'NY East Load Projections'!$A$4:$EO$14,((MONTH($A41)-1)*12)+VLOOKUP(BR$4,$DE$6:$DF$17,2)+1))*(VLOOKUP($A41,SatSunCurve,7))*(INDEX(DailyScalarsTable,BR$5/100,MONTH($A41)))*$D41</f>
        <v>-7633.871027725866</v>
      </c>
      <c r="BS41" s="1021">
        <f>(VLOOKUP(YEAR($A41),'NY East Load Projections'!$A$4:$EO$14,((MONTH($A41)-1)*12)+VLOOKUP(BS$4,$DE$6:$DF$17,2)+1))*(VLOOKUP($A41,SatSunCurve,7))*(INDEX(DailyScalarsTable,BS$5/100,MONTH($A41)))*$D41</f>
        <v>-7304.9226476306958</v>
      </c>
      <c r="BT41" s="1021">
        <f>(VLOOKUP(YEAR($A41),'NY East Load Projections'!$A$4:$EO$14,((MONTH($A41)-1)*12)+VLOOKUP(BT$4,$DE$6:$DF$17,2)+1))*(VLOOKUP($A41,SatSunCurve,7))*(INDEX(DailyScalarsTable,BT$5/100,MONTH($A41)))*$D41</f>
        <v>-6937.5824141557168</v>
      </c>
      <c r="BU41" s="1021">
        <f>(VLOOKUP(YEAR($A41),'NY East Load Projections'!$A$4:$EO$14,((MONTH($A41)-1)*12)+VLOOKUP(BU$4,$DE$6:$DF$17,2)+1))*(VLOOKUP($A41,SatSunCurve,7))*(INDEX(DailyScalarsTable,BU$5/100,MONTH($A41)))*$D41</f>
        <v>-6817.1716012826828</v>
      </c>
      <c r="BV41" s="1021">
        <f>(VLOOKUP(YEAR($A41),'NY East Load Projections'!$A$4:$EO$14,((MONTH($A41)-1)*12)+VLOOKUP(BV$4,$DE$6:$DF$17,2)+1))*(VLOOKUP($A41,SatSunCurve,7))*(INDEX(DailyScalarsTable,BV$5/100,MONTH($A41)))*$D41</f>
        <v>-7406.3822085845904</v>
      </c>
      <c r="BW41" s="1021">
        <f>(VLOOKUP(YEAR($A41),'NY East Load Projections'!$A$4:$EO$14,((MONTH($A41)-1)*12)+VLOOKUP(BW$4,$DE$6:$DF$17,2)+1))*(VLOOKUP($A41,SatSunCurve,7))*(INDEX(DailyScalarsTable,BW$5/100,MONTH($A41)))*$D41</f>
        <v>-10438.142604721685</v>
      </c>
      <c r="BX41" s="1021">
        <f>(VLOOKUP(YEAR($A41),'NY East Load Projections'!$A$4:$EO$14,((MONTH($A41)-1)*12)+VLOOKUP(BX$4,$DE$6:$DF$17,2)+1))*(VLOOKUP($A41,SatSunCurve,7))*(INDEX(DailyScalarsTable,BX$5/100,MONTH($A41)))*$D41</f>
        <v>-10368.59828518766</v>
      </c>
      <c r="BY41" s="1021">
        <f>(VLOOKUP(YEAR($A41),'NY East Load Projections'!$A$4:$EO$14,((MONTH($A41)-1)*12)+VLOOKUP(BY$4,$DE$6:$DF$17,2)+1))*(VLOOKUP($A41,SatSunCurve,7))*(INDEX(DailyScalarsTable,BY$5/100,MONTH($A41)))*$D41</f>
        <v>-10011.551959951672</v>
      </c>
      <c r="BZ41" s="1021">
        <f>(VLOOKUP(YEAR($A41),'NY East Load Projections'!$A$4:$EO$14,((MONTH($A41)-1)*12)+VLOOKUP(BZ$4,$DE$6:$DF$17,2)+1))*(VLOOKUP($A41,SatSunCurve,7))*(INDEX(DailyScalarsTable,BZ$5/100,MONTH($A41)))*$D41</f>
        <v>-9539.3371803086902</v>
      </c>
      <c r="CA41" s="1021">
        <f>(VLOOKUP(YEAR($A41),'NY East Load Projections'!$A$4:$EO$14,((MONTH($A41)-1)*12)+VLOOKUP(CA$4,$DE$6:$DF$17,2)+1))*(VLOOKUP($A41,SatSunCurve,7))*(INDEX(DailyScalarsTable,CA$5/100,MONTH($A41)))*$D41</f>
        <v>-7032.3612997890159</v>
      </c>
      <c r="CB41" s="1021">
        <f>(VLOOKUP(YEAR($A41),'NY East Load Projections'!$A$4:$EO$14,((MONTH($A41)-1)*12)+VLOOKUP(CB$4,$DE$6:$DF$17,2)+1))*(VLOOKUP($A41,SatSunCurve,7))*(INDEX(DailyScalarsTable,CB$5/100,MONTH($A41)))*$D41</f>
        <v>-5801.8013072246431</v>
      </c>
      <c r="CC41" s="1021">
        <f>(VLOOKUP(YEAR($A41),'NY East Load Projections'!$A$4:$EO$14,((MONTH($A41)-1)*12)+VLOOKUP(CC$4,$DE$6:$DF$17,2)+1))*(VLOOKUP($A41,CURVES!$D$9:$T$261,7))*(INDEX(DailyScalarsTable,CC$5/100,MONTH($A41)))*$D41</f>
        <v>-8300.3680339028833</v>
      </c>
      <c r="CE41" s="1021">
        <f>(VLOOKUP(YEAR($A41),'NY East Load Projections'!$A$4:$EO$14,((MONTH($A41)-1)*12)+VLOOKUP(CE$4,$DE$6:$DF$17,2)+1))*(VLOOKUP($A41,CURVES!$D$9:$T$261,7))*(INDEX(DailyScalarsTable,CE$5/100,MONTH($A41)))*$E41</f>
        <v>-1799.8035361749953</v>
      </c>
      <c r="CF41" s="1021">
        <f>(VLOOKUP(YEAR($A41),'NY East Load Projections'!$A$4:$EO$14,((MONTH($A41)-1)*12)+VLOOKUP(CF$4,$DE$6:$DF$17,2)+1))*(VLOOKUP($A41,CURVES!$D$9:$T$261,7))*(INDEX(DailyScalarsTable,CF$5/100,MONTH($A41)))*$E41</f>
        <v>-1706.2795869579406</v>
      </c>
      <c r="CG41" s="1021">
        <f>(VLOOKUP(YEAR($A41),'NY East Load Projections'!$A$4:$EO$14,((MONTH($A41)-1)*12)+VLOOKUP(CG$4,$DE$6:$DF$17,2)+1))*(VLOOKUP($A41,CURVES!$D$9:$T$261,7))*(INDEX(DailyScalarsTable,CG$5/100,MONTH($A41)))*$E41</f>
        <v>-1637.5404524402297</v>
      </c>
      <c r="CH41" s="1021">
        <f>(VLOOKUP(YEAR($A41),'NY East Load Projections'!$A$4:$EO$14,((MONTH($A41)-1)*12)+VLOOKUP(CH$4,$DE$6:$DF$17,2)+1))*(VLOOKUP($A41,CURVES!$D$9:$T$261,7))*(INDEX(DailyScalarsTable,CH$5/100,MONTH($A41)))*$E41</f>
        <v>-1638.5086092644226</v>
      </c>
      <c r="CI41" s="1021">
        <f>(VLOOKUP(YEAR($A41),'NY East Load Projections'!$A$4:$EO$14,((MONTH($A41)-1)*12)+VLOOKUP(CI$4,$DE$6:$DF$17,2)+1))*(VLOOKUP($A41,CURVES!$D$9:$T$261,7))*(INDEX(DailyScalarsTable,CI$5/100,MONTH($A41)))*$E41</f>
        <v>-1794.3180501902</v>
      </c>
      <c r="CJ41" s="1021">
        <f>(VLOOKUP(YEAR($A41),'NY East Load Projections'!$A$4:$EO$14,((MONTH($A41)-1)*12)+VLOOKUP(CJ$4,$DE$6:$DF$17,2)+1))*(VLOOKUP($A41,CURVES!$D$9:$T$261,7))*(INDEX(DailyScalarsTable,CJ$5/100,MONTH($A41)))*$E41</f>
        <v>-2067.2760856245391</v>
      </c>
      <c r="CK41" s="1021">
        <f>(VLOOKUP(YEAR($A41),'NY East Load Projections'!$A$4:$EO$14,((MONTH($A41)-1)*12)+VLOOKUP(CK$4,$DE$6:$DF$17,2)+1))*(VLOOKUP($A41,CURVES!$D$9:$T$261,7))*(INDEX(DailyScalarsTable,CK$5/100,MONTH($A41)))*$E41</f>
        <v>-2961.1691153718025</v>
      </c>
      <c r="CL41" s="1021">
        <f>(VLOOKUP(YEAR($A41),'NY East Load Projections'!$A$4:$EO$14,((MONTH($A41)-1)*12)+VLOOKUP(CL$4,$DE$6:$DF$17,2)+1))*(VLOOKUP($A41,SatSunCurve,7))*(INDEX(DailyScalarsTable,CL$5/100,MONTH($A41)))*$E41</f>
        <v>-2249.9668202752182</v>
      </c>
      <c r="CM41" s="1021">
        <f>(VLOOKUP(YEAR($A41),'NY East Load Projections'!$A$4:$EO$14,((MONTH($A41)-1)*12)+VLOOKUP(CM$4,$DE$6:$DF$17,2)+1))*(VLOOKUP($A41,SatSunCurve,7))*(INDEX(DailyScalarsTable,CM$5/100,MONTH($A41)))*$E41</f>
        <v>-2563.4070089151933</v>
      </c>
      <c r="CN41" s="1021">
        <f>(VLOOKUP(YEAR($A41),'NY East Load Projections'!$A$4:$EO$14,((MONTH($A41)-1)*12)+VLOOKUP(CN$4,$DE$6:$DF$17,2)+1))*(VLOOKUP($A41,SatSunCurve,7))*(INDEX(DailyScalarsTable,CN$5/100,MONTH($A41)))*$E41</f>
        <v>-2550.4115618000537</v>
      </c>
      <c r="CO41" s="1021">
        <f>(VLOOKUP(YEAR($A41),'NY East Load Projections'!$A$4:$EO$14,((MONTH($A41)-1)*12)+VLOOKUP(CO$4,$DE$6:$DF$17,2)+1))*(VLOOKUP($A41,SatSunCurve,7))*(INDEX(DailyScalarsTable,CO$5/100,MONTH($A41)))*$E41</f>
        <v>-2494.9055842913212</v>
      </c>
      <c r="CP41" s="1021">
        <f>(VLOOKUP(YEAR($A41),'NY East Load Projections'!$A$4:$EO$14,((MONTH($A41)-1)*12)+VLOOKUP(CP$4,$DE$6:$DF$17,2)+1))*(VLOOKUP($A41,SatSunCurve,7))*(INDEX(DailyScalarsTable,CP$5/100,MONTH($A41)))*$E41</f>
        <v>-2027.2897499618011</v>
      </c>
      <c r="CQ41" s="1021">
        <f>(VLOOKUP(YEAR($A41),'NY East Load Projections'!$A$4:$EO$14,((MONTH($A41)-1)*12)+VLOOKUP(CQ$4,$DE$6:$DF$17,2)+1))*(VLOOKUP($A41,SatSunCurve,7))*(INDEX(DailyScalarsTable,CQ$5/100,MONTH($A41)))*$E41</f>
        <v>-1908.4677569314665</v>
      </c>
      <c r="CR41" s="1021">
        <f>(VLOOKUP(YEAR($A41),'NY East Load Projections'!$A$4:$EO$14,((MONTH($A41)-1)*12)+VLOOKUP(CR$4,$DE$6:$DF$17,2)+1))*(VLOOKUP($A41,SatSunCurve,7))*(INDEX(DailyScalarsTable,CR$5/100,MONTH($A41)))*$E41</f>
        <v>-1826.2306619076739</v>
      </c>
      <c r="CS41" s="1021">
        <f>(VLOOKUP(YEAR($A41),'NY East Load Projections'!$A$4:$EO$14,((MONTH($A41)-1)*12)+VLOOKUP(CS$4,$DE$6:$DF$17,2)+1))*(VLOOKUP($A41,SatSunCurve,7))*(INDEX(DailyScalarsTable,CS$5/100,MONTH($A41)))*$E41</f>
        <v>-1734.3956035389292</v>
      </c>
      <c r="CT41" s="1021">
        <f>(VLOOKUP(YEAR($A41),'NY East Load Projections'!$A$4:$EO$14,((MONTH($A41)-1)*12)+VLOOKUP(CT$4,$DE$6:$DF$17,2)+1))*(VLOOKUP($A41,SatSunCurve,7))*(INDEX(DailyScalarsTable,CT$5/100,MONTH($A41)))*$E41</f>
        <v>-1704.2929003206707</v>
      </c>
      <c r="CU41" s="1021">
        <f>(VLOOKUP(YEAR($A41),'NY East Load Projections'!$A$4:$EO$14,((MONTH($A41)-1)*12)+VLOOKUP(CU$4,$DE$6:$DF$17,2)+1))*(VLOOKUP($A41,SatSunCurve,7))*(INDEX(DailyScalarsTable,CU$5/100,MONTH($A41)))*$E41</f>
        <v>-1851.5955521461476</v>
      </c>
      <c r="CV41" s="1021">
        <f>(VLOOKUP(YEAR($A41),'NY East Load Projections'!$A$4:$EO$14,((MONTH($A41)-1)*12)+VLOOKUP(CV$4,$DE$6:$DF$17,2)+1))*(VLOOKUP($A41,SatSunCurve,7))*(INDEX(DailyScalarsTable,CV$5/100,MONTH($A41)))*$E41</f>
        <v>-2609.5356511804212</v>
      </c>
      <c r="CW41" s="1021">
        <f>(VLOOKUP(YEAR($A41),'NY East Load Projections'!$A$4:$EO$14,((MONTH($A41)-1)*12)+VLOOKUP(CW$4,$DE$6:$DF$17,2)+1))*(VLOOKUP($A41,SatSunCurve,7))*(INDEX(DailyScalarsTable,CW$5/100,MONTH($A41)))*$E41</f>
        <v>-2592.1495712969149</v>
      </c>
      <c r="CX41" s="1021">
        <f>(VLOOKUP(YEAR($A41),'NY East Load Projections'!$A$4:$EO$14,((MONTH($A41)-1)*12)+VLOOKUP(CX$4,$DE$6:$DF$17,2)+1))*(VLOOKUP($A41,SatSunCurve,7))*(INDEX(DailyScalarsTable,CX$5/100,MONTH($A41)))*$E41</f>
        <v>-2502.887989987918</v>
      </c>
      <c r="CY41" s="1021">
        <f>(VLOOKUP(YEAR($A41),'NY East Load Projections'!$A$4:$EO$14,((MONTH($A41)-1)*12)+VLOOKUP(CY$4,$DE$6:$DF$17,2)+1))*(VLOOKUP($A41,SatSunCurve,7))*(INDEX(DailyScalarsTable,CY$5/100,MONTH($A41)))*$E41</f>
        <v>-2384.8342950771726</v>
      </c>
      <c r="CZ41" s="1021">
        <f>(VLOOKUP(YEAR($A41),'NY East Load Projections'!$A$4:$EO$14,((MONTH($A41)-1)*12)+VLOOKUP(CZ$4,$DE$6:$DF$17,2)+1))*(VLOOKUP($A41,SatSunCurve,7))*(INDEX(DailyScalarsTable,CZ$5/100,MONTH($A41)))*$E41</f>
        <v>-1758.090324947254</v>
      </c>
      <c r="DA41" s="1021">
        <f>(VLOOKUP(YEAR($A41),'NY East Load Projections'!$A$4:$EO$14,((MONTH($A41)-1)*12)+VLOOKUP(DA$4,$DE$6:$DF$17,2)+1))*(VLOOKUP($A41,SatSunCurve,7))*(INDEX(DailyScalarsTable,DA$5/100,MONTH($A41)))*$E41</f>
        <v>-1450.4503268061608</v>
      </c>
      <c r="DB41" s="1021">
        <f>(VLOOKUP(YEAR($A41),'NY East Load Projections'!$A$4:$EO$14,((MONTH($A41)-1)*12)+VLOOKUP(DB$4,$DE$6:$DF$17,2)+1))*(VLOOKUP($A41,CURVES!$D$9:$T$261,7))*(INDEX(DailyScalarsTable,DB$5/100,MONTH($A41)))*$E41</f>
        <v>-2075.0920084757208</v>
      </c>
      <c r="DH41" s="1032">
        <f t="shared" si="0"/>
        <v>-1910690.1948292076</v>
      </c>
      <c r="DI41">
        <f ca="1">CALC!J61</f>
        <v>0.7583632705034653</v>
      </c>
      <c r="DJ41" s="1029">
        <f t="shared" ca="1" si="1"/>
        <v>-1448997.2650695811</v>
      </c>
    </row>
    <row r="42" spans="1:114" x14ac:dyDescent="0.25">
      <c r="A42" s="244">
        <v>37987</v>
      </c>
      <c r="B42" s="13">
        <v>21</v>
      </c>
      <c r="C42" s="210">
        <v>5</v>
      </c>
      <c r="D42" s="210">
        <v>4</v>
      </c>
      <c r="E42" s="210">
        <v>1</v>
      </c>
      <c r="F42" s="13">
        <v>31</v>
      </c>
      <c r="H42" s="1021">
        <f>(VLOOKUP(YEAR($A42),'NY East Load Projections'!$A$4:$EO$14,((MONTH($A42)-1)*12)+VLOOKUP(H$4,$DE$6:$DF$17,2)+1))*(VLOOKUP($A42,CURVES!$D$9:$K$261,7))*(INDEX(DailyScalarsTable,H$5/100,MONTH($A42)))*$B42</f>
        <v>-33724.164040919582</v>
      </c>
      <c r="I42" s="1021">
        <f>(VLOOKUP(YEAR($A42),'NY East Load Projections'!$A$4:$EO$14,((MONTH($A42)-1)*12)+VLOOKUP(I$4,$DE$6:$DF$17,2)+1))*(VLOOKUP($A42,CURVES!$D$9:$K$261,7))*(INDEX(DailyScalarsTable,I$5/100,MONTH($A42)))*$B42</f>
        <v>-33067.123369308043</v>
      </c>
      <c r="J42" s="1021">
        <f>(VLOOKUP(YEAR($A42),'NY East Load Projections'!$A$4:$EO$14,((MONTH($A42)-1)*12)+VLOOKUP(J$4,$DE$6:$DF$17,2)+1))*(VLOOKUP($A42,CURVES!$D$9:$K$261,7))*(INDEX(DailyScalarsTable,J$5/100,MONTH($A42)))*$B42</f>
        <v>-30301.077433032653</v>
      </c>
      <c r="K42" s="1021">
        <f>(VLOOKUP(YEAR($A42),'NY East Load Projections'!$A$4:$EO$14,((MONTH($A42)-1)*12)+VLOOKUP(K$4,$DE$6:$DF$17,2)+1))*(VLOOKUP($A42,CURVES!$D$9:$K$261,7))*(INDEX(DailyScalarsTable,K$5/100,MONTH($A42)))*$B42</f>
        <v>-30282.756931897802</v>
      </c>
      <c r="L42" s="1021">
        <f>(VLOOKUP(YEAR($A42),'NY East Load Projections'!$A$4:$EO$14,((MONTH($A42)-1)*12)+VLOOKUP(L$4,$DE$6:$DF$17,2)+1))*(VLOOKUP($A42,CURVES!$D$9:$K$261,7))*(INDEX(DailyScalarsTable,L$5/100,MONTH($A42)))*$B42</f>
        <v>-34830.038166504091</v>
      </c>
      <c r="M42" s="1021">
        <f>(VLOOKUP(YEAR($A42),'NY East Load Projections'!$A$4:$EO$14,((MONTH($A42)-1)*12)+VLOOKUP(M$4,$DE$6:$DF$17,2)+1))*(VLOOKUP($A42,CURVES!$D$9:$K$261,7))*(INDEX(DailyScalarsTable,M$5/100,MONTH($A42)))*$B42</f>
        <v>-37171.242149580379</v>
      </c>
      <c r="N42" s="1021">
        <f>(VLOOKUP(YEAR($A42),'NY East Load Projections'!$A$4:$EO$14,((MONTH($A42)-1)*12)+VLOOKUP(N$4,$DE$6:$DF$17,2)+1))*(VLOOKUP($A42,CURVES!$D$9:$K$261,7))*(INDEX(DailyScalarsTable,N$5/100,MONTH($A42)))*$B42</f>
        <v>-71182.476111106997</v>
      </c>
      <c r="O42" s="1021">
        <f>(VLOOKUP(YEAR($A42),'NY East Load Projections'!$A$4:$EO$14,((MONTH($A42)-1)*12)+VLOOKUP(O$4,$DE$6:$DF$17,2)+1))*(VLOOKUP($A42,CURVES!$D$9:$K$261,3))*(INDEX(DailyScalarsTable,O$5/100,MONTH($A42)))*$B42</f>
        <v>-83116.536591069511</v>
      </c>
      <c r="P42" s="1021">
        <f>(VLOOKUP(YEAR($A42),'NY East Load Projections'!$A$4:$EO$14,((MONTH($A42)-1)*12)+VLOOKUP(P$4,$DE$6:$DF$17,2)+1))*(VLOOKUP($A42,CURVES!$D$9:$K$261,3))*(INDEX(DailyScalarsTable,P$5/100,MONTH($A42)))*$B42</f>
        <v>-95132.1914778356</v>
      </c>
      <c r="Q42" s="1021">
        <f>(VLOOKUP(YEAR($A42),'NY East Load Projections'!$A$4:$EO$14,((MONTH($A42)-1)*12)+VLOOKUP(Q$4,$DE$6:$DF$17,2)+1))*(VLOOKUP($A42,CURVES!$D$9:$K$261,3))*(INDEX(DailyScalarsTable,Q$5/100,MONTH($A42)))*$B42</f>
        <v>-94842.647298847311</v>
      </c>
      <c r="R42" s="1021">
        <f>(VLOOKUP(YEAR($A42),'NY East Load Projections'!$A$4:$EO$14,((MONTH($A42)-1)*12)+VLOOKUP(R$4,$DE$6:$DF$17,2)+1))*(VLOOKUP($A42,CURVES!$D$9:$K$261,3))*(INDEX(DailyScalarsTable,R$5/100,MONTH($A42)))*$B42</f>
        <v>-93187.518707351381</v>
      </c>
      <c r="S42" s="1021">
        <f>(VLOOKUP(YEAR($A42),'NY East Load Projections'!$A$4:$EO$14,((MONTH($A42)-1)*12)+VLOOKUP(S$4,$DE$6:$DF$17,2)+1))*(VLOOKUP($A42,CURVES!$D$9:$K$261,3))*(INDEX(DailyScalarsTable,S$5/100,MONTH($A42)))*$B42</f>
        <v>-69806.268287520143</v>
      </c>
      <c r="T42" s="1021">
        <f>(VLOOKUP(YEAR($A42),'NY East Load Projections'!$A$4:$EO$14,((MONTH($A42)-1)*12)+VLOOKUP(T$4,$DE$6:$DF$17,2)+1))*(VLOOKUP($A42,CURVES!$D$9:$K$261,3))*(INDEX(DailyScalarsTable,T$5/100,MONTH($A42)))*$B42</f>
        <v>-68887.343845027295</v>
      </c>
      <c r="U42" s="1021">
        <f>(VLOOKUP(YEAR($A42),'NY East Load Projections'!$A$4:$EO$14,((MONTH($A42)-1)*12)+VLOOKUP(U$4,$DE$6:$DF$17,2)+1))*(VLOOKUP($A42,CURVES!$D$9:$K$261,3))*(INDEX(DailyScalarsTable,U$5/100,MONTH($A42)))*$B42</f>
        <v>-66663.091750826599</v>
      </c>
      <c r="V42" s="1021">
        <f>(VLOOKUP(YEAR($A42),'NY East Load Projections'!$A$4:$EO$14,((MONTH($A42)-1)*12)+VLOOKUP(V$4,$DE$6:$DF$17,2)+1))*(VLOOKUP($A42,CURVES!$D$9:$K$261,3))*(INDEX(DailyScalarsTable,V$5/100,MONTH($A42)))*$B42</f>
        <v>-63270.301418730618</v>
      </c>
      <c r="W42" s="1021">
        <f>(VLOOKUP(YEAR($A42),'NY East Load Projections'!$A$4:$EO$14,((MONTH($A42)-1)*12)+VLOOKUP(W$4,$DE$6:$DF$17,2)+1))*(VLOOKUP($A42,CURVES!$D$9:$K$261,3))*(INDEX(DailyScalarsTable,W$5/100,MONTH($A42)))*$B42</f>
        <v>-61996.997683644709</v>
      </c>
      <c r="X42" s="1021">
        <f>(VLOOKUP(YEAR($A42),'NY East Load Projections'!$A$4:$EO$14,((MONTH($A42)-1)*12)+VLOOKUP(X$4,$DE$6:$DF$17,2)+1))*(VLOOKUP($A42,CURVES!$D$9:$K$261,3))*(INDEX(DailyScalarsTable,X$5/100,MONTH($A42)))*$B42</f>
        <v>-63633.68076343571</v>
      </c>
      <c r="Y42" s="1021">
        <f>(VLOOKUP(YEAR($A42),'NY East Load Projections'!$A$4:$EO$14,((MONTH($A42)-1)*12)+VLOOKUP(Y$4,$DE$6:$DF$17,2)+1))*(VLOOKUP($A42,CURVES!$D$9:$K$261,3))*(INDEX(DailyScalarsTable,Y$5/100,MONTH($A42)))*$B42</f>
        <v>-88543.502257229105</v>
      </c>
      <c r="Z42" s="1021">
        <f>(VLOOKUP(YEAR($A42),'NY East Load Projections'!$A$4:$EO$14,((MONTH($A42)-1)*12)+VLOOKUP(Z$4,$DE$6:$DF$17,2)+1))*(VLOOKUP($A42,CURVES!$D$9:$K$261,3))*(INDEX(DailyScalarsTable,Z$5/100,MONTH($A42)))*$B42</f>
        <v>-97155.748339073121</v>
      </c>
      <c r="AA42" s="1021">
        <f>(VLOOKUP(YEAR($A42),'NY East Load Projections'!$A$4:$EO$14,((MONTH($A42)-1)*12)+VLOOKUP(AA$4,$DE$6:$DF$17,2)+1))*(VLOOKUP($A42,CURVES!$D$9:$K$261,3))*(INDEX(DailyScalarsTable,AA$5/100,MONTH($A42)))*$B42</f>
        <v>-92994.909834130085</v>
      </c>
      <c r="AB42" s="1021">
        <f>(VLOOKUP(YEAR($A42),'NY East Load Projections'!$A$4:$EO$14,((MONTH($A42)-1)*12)+VLOOKUP(AB$4,$DE$6:$DF$17,2)+1))*(VLOOKUP($A42,CURVES!$D$9:$K$261,3))*(INDEX(DailyScalarsTable,AB$5/100,MONTH($A42)))*$B42</f>
        <v>-78581.285750658542</v>
      </c>
      <c r="AC42" s="1021">
        <f>(VLOOKUP(YEAR($A42),'NY East Load Projections'!$A$4:$EO$14,((MONTH($A42)-1)*12)+VLOOKUP(AC$4,$DE$6:$DF$17,2)+1))*(VLOOKUP($A42,CURVES!$D$9:$K$261,3))*(INDEX(DailyScalarsTable,AC$5/100,MONTH($A42)))*$B42</f>
        <v>-55888.830444332998</v>
      </c>
      <c r="AD42" s="1021">
        <f>(VLOOKUP(YEAR($A42),'NY East Load Projections'!$A$4:$EO$14,((MONTH($A42)-1)*12)+VLOOKUP(AD$4,$DE$6:$DF$17,2)+1))*(VLOOKUP($A42,CURVES!$D$9:$K$261,3))*(INDEX(DailyScalarsTable,AD$5/100,MONTH($A42)))*$B42</f>
        <v>-45751.964058203208</v>
      </c>
      <c r="AE42" s="1021">
        <f>(VLOOKUP(YEAR($A42),'NY East Load Projections'!$A$4:$EO$14,((MONTH($A42)-1)*12)+VLOOKUP(AE$4,$DE$6:$DF$17,2)+1))*(VLOOKUP($A42,CURVES!$D$9:$K$261,7))*(INDEX(DailyScalarsTable,AE$5/100,MONTH($A42)))*$B42</f>
        <v>-40328.703247946622</v>
      </c>
      <c r="AF42" s="1021"/>
      <c r="AG42" s="1021">
        <f>(VLOOKUP(YEAR($A42),'NY East Load Projections'!$A$4:$EO$14,((MONTH($A42)-1)*12)+VLOOKUP(AG$4,$DE$6:$DF$17,2)+1))*(VLOOKUP($A42,CURVES!$D$9:$T$261,7))*(INDEX(DailyScalarsTable,AG$5/100,MONTH($A42)))*$C42</f>
        <v>-8432.2391020883788</v>
      </c>
      <c r="AH42" s="1021">
        <f>(VLOOKUP(YEAR($A42),'NY East Load Projections'!$A$4:$EO$14,((MONTH($A42)-1)*12)+VLOOKUP(AH$4,$DE$6:$DF$17,2)+1))*(VLOOKUP($A42,CURVES!$D$9:$T$261,7))*(INDEX(DailyScalarsTable,AH$5/100,MONTH($A42)))*$C42</f>
        <v>-8267.9555920181865</v>
      </c>
      <c r="AI42" s="1021">
        <f>(VLOOKUP(YEAR($A42),'NY East Load Projections'!$A$4:$EO$14,((MONTH($A42)-1)*12)+VLOOKUP(AI$4,$DE$6:$DF$17,2)+1))*(VLOOKUP($A42,CURVES!$D$9:$T$261,7))*(INDEX(DailyScalarsTable,AI$5/100,MONTH($A42)))*$C42</f>
        <v>-7576.3458408103097</v>
      </c>
      <c r="AJ42" s="1021">
        <f>(VLOOKUP(YEAR($A42),'NY East Load Projections'!$A$4:$EO$14,((MONTH($A42)-1)*12)+VLOOKUP(AJ$4,$DE$6:$DF$17,2)+1))*(VLOOKUP($A42,CURVES!$D$9:$T$261,7))*(INDEX(DailyScalarsTable,AJ$5/100,MONTH($A42)))*$C42</f>
        <v>-7571.7650646685597</v>
      </c>
      <c r="AK42" s="1021">
        <f>(VLOOKUP(YEAR($A42),'NY East Load Projections'!$A$4:$EO$14,((MONTH($A42)-1)*12)+VLOOKUP(AK$4,$DE$6:$DF$17,2)+1))*(VLOOKUP($A42,CURVES!$D$9:$T$261,7))*(INDEX(DailyScalarsTable,AK$5/100,MONTH($A42)))*$C42</f>
        <v>-7959.5562618184013</v>
      </c>
      <c r="AL42" s="1021">
        <f>(VLOOKUP(YEAR($A42),'NY East Load Projections'!$A$4:$EO$14,((MONTH($A42)-1)*12)+VLOOKUP(AL$4,$DE$6:$DF$17,2)+1))*(VLOOKUP($A42,CURVES!$D$9:$T$261,7))*(INDEX(DailyScalarsTable,AL$5/100,MONTH($A42)))*$C42</f>
        <v>-8494.5813667179482</v>
      </c>
      <c r="AM42" s="1021">
        <f>(VLOOKUP(YEAR($A42),'NY East Load Projections'!$A$4:$EO$14,((MONTH($A42)-1)*12)+VLOOKUP(AM$4,$DE$6:$DF$17,2)+1))*(VLOOKUP($A42,CURVES!$D$9:$T$261,7))*(INDEX(DailyScalarsTable,AM$5/100,MONTH($A42)))*$C42</f>
        <v>-16267.019885346526</v>
      </c>
      <c r="AN42" s="1021">
        <f>(VLOOKUP(YEAR($A42),'NY East Load Projections'!$A$4:$EO$14,((MONTH($A42)-1)*12)+VLOOKUP(AN$4,$DE$6:$DF$17,2)+1))*(VLOOKUP($A42,SatSunCurve,3))*(INDEX(DailyScalarsTable,AN$5/100,MONTH($A42)))*$C42</f>
        <v>-14951.17578077591</v>
      </c>
      <c r="AO42" s="1021">
        <f>(VLOOKUP(YEAR($A42),'NY East Load Projections'!$A$4:$EO$14,((MONTH($A42)-1)*12)+VLOOKUP(AO$4,$DE$6:$DF$17,2)+1))*(VLOOKUP($A42,SatSunCurve,3))*(INDEX(DailyScalarsTable,AO$5/100,MONTH($A42)))*$C42</f>
        <v>-16856.413812926327</v>
      </c>
      <c r="AP42" s="1021">
        <f>(VLOOKUP(YEAR($A42),'NY East Load Projections'!$A$4:$EO$14,((MONTH($A42)-1)*12)+VLOOKUP(AP$4,$DE$6:$DF$17,2)+1))*(VLOOKUP($A42,SatSunCurve,3))*(INDEX(DailyScalarsTable,AP$5/100,MONTH($A42)))*$C42</f>
        <v>-16805.10966001729</v>
      </c>
      <c r="AQ42" s="1021">
        <f>(VLOOKUP(YEAR($A42),'NY East Load Projections'!$A$4:$EO$14,((MONTH($A42)-1)*12)+VLOOKUP(AQ$4,$DE$6:$DF$17,2)+1))*(VLOOKUP($A42,SatSunCurve,3))*(INDEX(DailyScalarsTable,AQ$5/100,MONTH($A42)))*$C42</f>
        <v>-16511.838454776935</v>
      </c>
      <c r="AR42" s="1021">
        <f>(VLOOKUP(YEAR($A42),'NY East Load Projections'!$A$4:$EO$14,((MONTH($A42)-1)*12)+VLOOKUP(AR$4,$DE$6:$DF$17,2)+1))*(VLOOKUP($A42,SatSunCurve,3))*(INDEX(DailyScalarsTable,AR$5/100,MONTH($A42)))*$C42</f>
        <v>-12368.929241630531</v>
      </c>
      <c r="AS42" s="1021">
        <f>(VLOOKUP(YEAR($A42),'NY East Load Projections'!$A$4:$EO$14,((MONTH($A42)-1)*12)+VLOOKUP(AS$4,$DE$6:$DF$17,2)+1))*(VLOOKUP($A42,SatSunCurve,3))*(INDEX(DailyScalarsTable,AS$5/100,MONTH($A42)))*$C42</f>
        <v>-12062.324130554542</v>
      </c>
      <c r="AT42" s="1021">
        <f>(VLOOKUP(YEAR($A42),'NY East Load Projections'!$A$4:$EO$14,((MONTH($A42)-1)*12)+VLOOKUP(AT$4,$DE$6:$DF$17,2)+1))*(VLOOKUP($A42,SatSunCurve,3))*(INDEX(DailyScalarsTable,AT$5/100,MONTH($A42)))*$C42</f>
        <v>-11672.852738412163</v>
      </c>
      <c r="AU42" s="1021">
        <f>(VLOOKUP(YEAR($A42),'NY East Load Projections'!$A$4:$EO$14,((MONTH($A42)-1)*12)+VLOOKUP(AU$4,$DE$6:$DF$17,2)+1))*(VLOOKUP($A42,SatSunCurve,3))*(INDEX(DailyScalarsTable,AU$5/100,MONTH($A42)))*$C42</f>
        <v>-11078.767752571794</v>
      </c>
      <c r="AV42" s="1021">
        <f>(VLOOKUP(YEAR($A42),'NY East Load Projections'!$A$4:$EO$14,((MONTH($A42)-1)*12)+VLOOKUP(AV$4,$DE$6:$DF$17,2)+1))*(VLOOKUP($A42,SatSunCurve,3))*(INDEX(DailyScalarsTable,AV$5/100,MONTH($A42)))*$C42</f>
        <v>-10855.809491852606</v>
      </c>
      <c r="AW42" s="1021">
        <f>(VLOOKUP(YEAR($A42),'NY East Load Projections'!$A$4:$EO$14,((MONTH($A42)-1)*12)+VLOOKUP(AW$4,$DE$6:$DF$17,2)+1))*(VLOOKUP($A42,SatSunCurve,3))*(INDEX(DailyScalarsTable,AW$5/100,MONTH($A42)))*$C42</f>
        <v>-11236.525695153212</v>
      </c>
      <c r="AX42" s="1021">
        <f>(VLOOKUP(YEAR($A42),'NY East Load Projections'!$A$4:$EO$14,((MONTH($A42)-1)*12)+VLOOKUP(AX$4,$DE$6:$DF$17,2)+1))*(VLOOKUP($A42,SatSunCurve,3))*(INDEX(DailyScalarsTable,AX$5/100,MONTH($A42)))*$C42</f>
        <v>-15635.137341039981</v>
      </c>
      <c r="AY42" s="1021">
        <f>(VLOOKUP(YEAR($A42),'NY East Load Projections'!$A$4:$EO$14,((MONTH($A42)-1)*12)+VLOOKUP(AY$4,$DE$6:$DF$17,2)+1))*(VLOOKUP($A42,SatSunCurve,3))*(INDEX(DailyScalarsTable,AY$5/100,MONTH($A42)))*$C42</f>
        <v>-17155.899981682775</v>
      </c>
      <c r="AZ42" s="1021">
        <f>(VLOOKUP(YEAR($A42),'NY East Load Projections'!$A$4:$EO$14,((MONTH($A42)-1)*12)+VLOOKUP(AZ$4,$DE$6:$DF$17,2)+1))*(VLOOKUP($A42,SatSunCurve,3))*(INDEX(DailyScalarsTable,AZ$5/100,MONTH($A42)))*$C42</f>
        <v>-16421.173210996894</v>
      </c>
      <c r="BA42" s="1021">
        <f>(VLOOKUP(YEAR($A42),'NY East Load Projections'!$A$4:$EO$14,((MONTH($A42)-1)*12)+VLOOKUP(BA$4,$DE$6:$DF$17,2)+1))*(VLOOKUP($A42,SatSunCurve,3))*(INDEX(DailyScalarsTable,BA$5/100,MONTH($A42)))*$C42</f>
        <v>-14866.575476590768</v>
      </c>
      <c r="BB42" s="1021">
        <f>(VLOOKUP(YEAR($A42),'NY East Load Projections'!$A$4:$EO$14,((MONTH($A42)-1)*12)+VLOOKUP(BB$4,$DE$6:$DF$17,2)+1))*(VLOOKUP($A42,SatSunCurve,3))*(INDEX(DailyScalarsTable,BB$5/100,MONTH($A42)))*$C42</f>
        <v>-10573.452803196178</v>
      </c>
      <c r="BC42" s="1021">
        <f>(VLOOKUP(YEAR($A42),'NY East Load Projections'!$A$4:$EO$14,((MONTH($A42)-1)*12)+VLOOKUP(BC$4,$DE$6:$DF$17,2)+1))*(VLOOKUP($A42,SatSunCurve,3))*(INDEX(DailyScalarsTable,BC$5/100,MONTH($A42)))*$C42</f>
        <v>-8655.687169993218</v>
      </c>
      <c r="BD42" s="1021">
        <f>(VLOOKUP(YEAR($A42),'NY East Load Projections'!$A$4:$EO$14,((MONTH($A42)-1)*12)+VLOOKUP(BD$4,$DE$6:$DF$17,2)+1))*(VLOOKUP($A42,CURVES!$D$9:$T$261,7))*(INDEX(DailyScalarsTable,BD$5/100,MONTH($A42)))*$C42</f>
        <v>-9692.8850967317649</v>
      </c>
      <c r="BE42" s="1021"/>
      <c r="BF42" s="1021">
        <f>(VLOOKUP(YEAR($A42),'NY East Load Projections'!$A$4:$EO$14,((MONTH($A42)-1)*12)+VLOOKUP(BF$4,$DE$6:$DF$17,2)+1))*(VLOOKUP($A42,CURVES!$D$9:$T$261,7))*(INDEX(DailyScalarsTable,BF$5/100,MONTH($A42)))*$D42</f>
        <v>-6745.791281670703</v>
      </c>
      <c r="BG42" s="1021">
        <f>(VLOOKUP(YEAR($A42),'NY East Load Projections'!$A$4:$EO$14,((MONTH($A42)-1)*12)+VLOOKUP(BG$4,$DE$6:$DF$17,2)+1))*(VLOOKUP($A42,CURVES!$D$9:$T$261,7))*(INDEX(DailyScalarsTable,BG$5/100,MONTH($A42)))*$D42</f>
        <v>-6614.3644736145498</v>
      </c>
      <c r="BH42" s="1021">
        <f>(VLOOKUP(YEAR($A42),'NY East Load Projections'!$A$4:$EO$14,((MONTH($A42)-1)*12)+VLOOKUP(BH$4,$DE$6:$DF$17,2)+1))*(VLOOKUP($A42,CURVES!$D$9:$T$261,7))*(INDEX(DailyScalarsTable,BH$5/100,MONTH($A42)))*$D42</f>
        <v>-6061.0766726482479</v>
      </c>
      <c r="BI42" s="1021">
        <f>(VLOOKUP(YEAR($A42),'NY East Load Projections'!$A$4:$EO$14,((MONTH($A42)-1)*12)+VLOOKUP(BI$4,$DE$6:$DF$17,2)+1))*(VLOOKUP($A42,CURVES!$D$9:$T$261,7))*(INDEX(DailyScalarsTable,BI$5/100,MONTH($A42)))*$D42</f>
        <v>-6057.4120517348474</v>
      </c>
      <c r="BJ42" s="1021">
        <f>(VLOOKUP(YEAR($A42),'NY East Load Projections'!$A$4:$EO$14,((MONTH($A42)-1)*12)+VLOOKUP(BJ$4,$DE$6:$DF$17,2)+1))*(VLOOKUP($A42,CURVES!$D$9:$T$261,7))*(INDEX(DailyScalarsTable,BJ$5/100,MONTH($A42)))*$D42</f>
        <v>-6367.6450094547208</v>
      </c>
      <c r="BK42" s="1021">
        <f>(VLOOKUP(YEAR($A42),'NY East Load Projections'!$A$4:$EO$14,((MONTH($A42)-1)*12)+VLOOKUP(BK$4,$DE$6:$DF$17,2)+1))*(VLOOKUP($A42,CURVES!$D$9:$T$261,7))*(INDEX(DailyScalarsTable,BK$5/100,MONTH($A42)))*$D42</f>
        <v>-6795.6650933743585</v>
      </c>
      <c r="BL42" s="1021">
        <f>(VLOOKUP(YEAR($A42),'NY East Load Projections'!$A$4:$EO$14,((MONTH($A42)-1)*12)+VLOOKUP(BL$4,$DE$6:$DF$17,2)+1))*(VLOOKUP($A42,CURVES!$D$9:$T$261,7))*(INDEX(DailyScalarsTable,BL$5/100,MONTH($A42)))*$D42</f>
        <v>-13013.615908277221</v>
      </c>
      <c r="BM42" s="1021">
        <f>(VLOOKUP(YEAR($A42),'NY East Load Projections'!$A$4:$EO$14,((MONTH($A42)-1)*12)+VLOOKUP(BM$4,$DE$6:$DF$17,2)+1))*(VLOOKUP($A42,SatSunCurve,7))*(INDEX(DailyScalarsTable,BM$5/100,MONTH($A42)))*$D42</f>
        <v>-11340.583167945064</v>
      </c>
      <c r="BN42" s="1021">
        <f>(VLOOKUP(YEAR($A42),'NY East Load Projections'!$A$4:$EO$14,((MONTH($A42)-1)*12)+VLOOKUP(BN$4,$DE$6:$DF$17,2)+1))*(VLOOKUP($A42,SatSunCurve,7))*(INDEX(DailyScalarsTable,BN$5/100,MONTH($A42)))*$D42</f>
        <v>-12785.721040386861</v>
      </c>
      <c r="BO42" s="1021">
        <f>(VLOOKUP(YEAR($A42),'NY East Load Projections'!$A$4:$EO$14,((MONTH($A42)-1)*12)+VLOOKUP(BO$4,$DE$6:$DF$17,2)+1))*(VLOOKUP($A42,SatSunCurve,7))*(INDEX(DailyScalarsTable,BO$5/100,MONTH($A42)))*$D42</f>
        <v>-12746.80644119701</v>
      </c>
      <c r="BP42" s="1021">
        <f>(VLOOKUP(YEAR($A42),'NY East Load Projections'!$A$4:$EO$14,((MONTH($A42)-1)*12)+VLOOKUP(BP$4,$DE$6:$DF$17,2)+1))*(VLOOKUP($A42,SatSunCurve,7))*(INDEX(DailyScalarsTable,BP$5/100,MONTH($A42)))*$D42</f>
        <v>-12524.3579500176</v>
      </c>
      <c r="BQ42" s="1021">
        <f>(VLOOKUP(YEAR($A42),'NY East Load Projections'!$A$4:$EO$14,((MONTH($A42)-1)*12)+VLOOKUP(BQ$4,$DE$6:$DF$17,2)+1))*(VLOOKUP($A42,SatSunCurve,7))*(INDEX(DailyScalarsTable,BQ$5/100,MONTH($A42)))*$D42</f>
        <v>-9381.9290750027685</v>
      </c>
      <c r="BR42" s="1021">
        <f>(VLOOKUP(YEAR($A42),'NY East Load Projections'!$A$4:$EO$14,((MONTH($A42)-1)*12)+VLOOKUP(BR$4,$DE$6:$DF$17,2)+1))*(VLOOKUP($A42,SatSunCurve,7))*(INDEX(DailyScalarsTable,BR$5/100,MONTH($A42)))*$D42</f>
        <v>-9149.366712493118</v>
      </c>
      <c r="BS42" s="1021">
        <f>(VLOOKUP(YEAR($A42),'NY East Load Projections'!$A$4:$EO$14,((MONTH($A42)-1)*12)+VLOOKUP(BS$4,$DE$6:$DF$17,2)+1))*(VLOOKUP($A42,SatSunCurve,7))*(INDEX(DailyScalarsTable,BS$5/100,MONTH($A42)))*$D42</f>
        <v>-8853.9496309947444</v>
      </c>
      <c r="BT42" s="1021">
        <f>(VLOOKUP(YEAR($A42),'NY East Load Projections'!$A$4:$EO$14,((MONTH($A42)-1)*12)+VLOOKUP(BT$4,$DE$6:$DF$17,2)+1))*(VLOOKUP($A42,SatSunCurve,7))*(INDEX(DailyScalarsTable,BT$5/100,MONTH($A42)))*$D42</f>
        <v>-8403.331546535268</v>
      </c>
      <c r="BU42" s="1021">
        <f>(VLOOKUP(YEAR($A42),'NY East Load Projections'!$A$4:$EO$14,((MONTH($A42)-1)*12)+VLOOKUP(BU$4,$DE$6:$DF$17,2)+1))*(VLOOKUP($A42,SatSunCurve,7))*(INDEX(DailyScalarsTable,BU$5/100,MONTH($A42)))*$D42</f>
        <v>-8234.2159708948948</v>
      </c>
      <c r="BV42" s="1021">
        <f>(VLOOKUP(YEAR($A42),'NY East Load Projections'!$A$4:$EO$14,((MONTH($A42)-1)*12)+VLOOKUP(BV$4,$DE$6:$DF$17,2)+1))*(VLOOKUP($A42,SatSunCurve,7))*(INDEX(DailyScalarsTable,BV$5/100,MONTH($A42)))*$D42</f>
        <v>-8522.9921735308289</v>
      </c>
      <c r="BW42" s="1021">
        <f>(VLOOKUP(YEAR($A42),'NY East Load Projections'!$A$4:$EO$14,((MONTH($A42)-1)*12)+VLOOKUP(BW$4,$DE$6:$DF$17,2)+1))*(VLOOKUP($A42,SatSunCurve,7))*(INDEX(DailyScalarsTable,BW$5/100,MONTH($A42)))*$D42</f>
        <v>-11859.37333345335</v>
      </c>
      <c r="BX42" s="1021">
        <f>(VLOOKUP(YEAR($A42),'NY East Load Projections'!$A$4:$EO$14,((MONTH($A42)-1)*12)+VLOOKUP(BX$4,$DE$6:$DF$17,2)+1))*(VLOOKUP($A42,SatSunCurve,7))*(INDEX(DailyScalarsTable,BX$5/100,MONTH($A42)))*$D42</f>
        <v>-13012.88362975316</v>
      </c>
      <c r="BY42" s="1021">
        <f>(VLOOKUP(YEAR($A42),'NY East Load Projections'!$A$4:$EO$14,((MONTH($A42)-1)*12)+VLOOKUP(BY$4,$DE$6:$DF$17,2)+1))*(VLOOKUP($A42,SatSunCurve,7))*(INDEX(DailyScalarsTable,BY$5/100,MONTH($A42)))*$D42</f>
        <v>-12455.587657125212</v>
      </c>
      <c r="BZ42" s="1021">
        <f>(VLOOKUP(YEAR($A42),'NY East Load Projections'!$A$4:$EO$14,((MONTH($A42)-1)*12)+VLOOKUP(BZ$4,$DE$6:$DF$17,2)+1))*(VLOOKUP($A42,SatSunCurve,7))*(INDEX(DailyScalarsTable,BZ$5/100,MONTH($A42)))*$D42</f>
        <v>-11276.413178927969</v>
      </c>
      <c r="CA42" s="1021">
        <f>(VLOOKUP(YEAR($A42),'NY East Load Projections'!$A$4:$EO$14,((MONTH($A42)-1)*12)+VLOOKUP(CA$4,$DE$6:$DF$17,2)+1))*(VLOOKUP($A42,SatSunCurve,7))*(INDEX(DailyScalarsTable,CA$5/100,MONTH($A42)))*$D42</f>
        <v>-8020.0462254725298</v>
      </c>
      <c r="CB42" s="1021">
        <f>(VLOOKUP(YEAR($A42),'NY East Load Projections'!$A$4:$EO$14,((MONTH($A42)-1)*12)+VLOOKUP(CB$4,$DE$6:$DF$17,2)+1))*(VLOOKUP($A42,SatSunCurve,7))*(INDEX(DailyScalarsTable,CB$5/100,MONTH($A42)))*$D42</f>
        <v>-6565.4060701524968</v>
      </c>
      <c r="CC42" s="1021">
        <f>(VLOOKUP(YEAR($A42),'NY East Load Projections'!$A$4:$EO$14,((MONTH($A42)-1)*12)+VLOOKUP(CC$4,$DE$6:$DF$17,2)+1))*(VLOOKUP($A42,CURVES!$D$9:$T$261,7))*(INDEX(DailyScalarsTable,CC$5/100,MONTH($A42)))*$D42</f>
        <v>-7754.3080773854117</v>
      </c>
      <c r="CE42" s="1021">
        <f>(VLOOKUP(YEAR($A42),'NY East Load Projections'!$A$4:$EO$14,((MONTH($A42)-1)*12)+VLOOKUP(CE$4,$DE$6:$DF$17,2)+1))*(VLOOKUP($A42,CURVES!$D$9:$T$261,7))*(INDEX(DailyScalarsTable,CE$5/100,MONTH($A42)))*$E42</f>
        <v>-1686.4478204176758</v>
      </c>
      <c r="CF42" s="1021">
        <f>(VLOOKUP(YEAR($A42),'NY East Load Projections'!$A$4:$EO$14,((MONTH($A42)-1)*12)+VLOOKUP(CF$4,$DE$6:$DF$17,2)+1))*(VLOOKUP($A42,CURVES!$D$9:$T$261,7))*(INDEX(DailyScalarsTable,CF$5/100,MONTH($A42)))*$E42</f>
        <v>-1653.5911184036374</v>
      </c>
      <c r="CG42" s="1021">
        <f>(VLOOKUP(YEAR($A42),'NY East Load Projections'!$A$4:$EO$14,((MONTH($A42)-1)*12)+VLOOKUP(CG$4,$DE$6:$DF$17,2)+1))*(VLOOKUP($A42,CURVES!$D$9:$T$261,7))*(INDEX(DailyScalarsTable,CG$5/100,MONTH($A42)))*$E42</f>
        <v>-1515.269168162062</v>
      </c>
      <c r="CH42" s="1021">
        <f>(VLOOKUP(YEAR($A42),'NY East Load Projections'!$A$4:$EO$14,((MONTH($A42)-1)*12)+VLOOKUP(CH$4,$DE$6:$DF$17,2)+1))*(VLOOKUP($A42,CURVES!$D$9:$T$261,7))*(INDEX(DailyScalarsTable,CH$5/100,MONTH($A42)))*$E42</f>
        <v>-1514.3530129337119</v>
      </c>
      <c r="CI42" s="1021">
        <f>(VLOOKUP(YEAR($A42),'NY East Load Projections'!$A$4:$EO$14,((MONTH($A42)-1)*12)+VLOOKUP(CI$4,$DE$6:$DF$17,2)+1))*(VLOOKUP($A42,CURVES!$D$9:$T$261,7))*(INDEX(DailyScalarsTable,CI$5/100,MONTH($A42)))*$E42</f>
        <v>-1591.9112523636802</v>
      </c>
      <c r="CJ42" s="1021">
        <f>(VLOOKUP(YEAR($A42),'NY East Load Projections'!$A$4:$EO$14,((MONTH($A42)-1)*12)+VLOOKUP(CJ$4,$DE$6:$DF$17,2)+1))*(VLOOKUP($A42,CURVES!$D$9:$T$261,7))*(INDEX(DailyScalarsTable,CJ$5/100,MONTH($A42)))*$E42</f>
        <v>-1698.9162733435896</v>
      </c>
      <c r="CK42" s="1021">
        <f>(VLOOKUP(YEAR($A42),'NY East Load Projections'!$A$4:$EO$14,((MONTH($A42)-1)*12)+VLOOKUP(CK$4,$DE$6:$DF$17,2)+1))*(VLOOKUP($A42,CURVES!$D$9:$T$261,7))*(INDEX(DailyScalarsTable,CK$5/100,MONTH($A42)))*$E42</f>
        <v>-3253.4039770693053</v>
      </c>
      <c r="CL42" s="1021">
        <f>(VLOOKUP(YEAR($A42),'NY East Load Projections'!$A$4:$EO$14,((MONTH($A42)-1)*12)+VLOOKUP(CL$4,$DE$6:$DF$17,2)+1))*(VLOOKUP($A42,SatSunCurve,7))*(INDEX(DailyScalarsTable,CL$5/100,MONTH($A42)))*$E42</f>
        <v>-2835.145791986266</v>
      </c>
      <c r="CM42" s="1021">
        <f>(VLOOKUP(YEAR($A42),'NY East Load Projections'!$A$4:$EO$14,((MONTH($A42)-1)*12)+VLOOKUP(CM$4,$DE$6:$DF$17,2)+1))*(VLOOKUP($A42,SatSunCurve,7))*(INDEX(DailyScalarsTable,CM$5/100,MONTH($A42)))*$E42</f>
        <v>-3196.4302600967153</v>
      </c>
      <c r="CN42" s="1021">
        <f>(VLOOKUP(YEAR($A42),'NY East Load Projections'!$A$4:$EO$14,((MONTH($A42)-1)*12)+VLOOKUP(CN$4,$DE$6:$DF$17,2)+1))*(VLOOKUP($A42,SatSunCurve,7))*(INDEX(DailyScalarsTable,CN$5/100,MONTH($A42)))*$E42</f>
        <v>-3186.7016102992525</v>
      </c>
      <c r="CO42" s="1021">
        <f>(VLOOKUP(YEAR($A42),'NY East Load Projections'!$A$4:$EO$14,((MONTH($A42)-1)*12)+VLOOKUP(CO$4,$DE$6:$DF$17,2)+1))*(VLOOKUP($A42,SatSunCurve,7))*(INDEX(DailyScalarsTable,CO$5/100,MONTH($A42)))*$E42</f>
        <v>-3131.0894875044</v>
      </c>
      <c r="CP42" s="1021">
        <f>(VLOOKUP(YEAR($A42),'NY East Load Projections'!$A$4:$EO$14,((MONTH($A42)-1)*12)+VLOOKUP(CP$4,$DE$6:$DF$17,2)+1))*(VLOOKUP($A42,SatSunCurve,7))*(INDEX(DailyScalarsTable,CP$5/100,MONTH($A42)))*$E42</f>
        <v>-2345.4822687506921</v>
      </c>
      <c r="CQ42" s="1021">
        <f>(VLOOKUP(YEAR($A42),'NY East Load Projections'!$A$4:$EO$14,((MONTH($A42)-1)*12)+VLOOKUP(CQ$4,$DE$6:$DF$17,2)+1))*(VLOOKUP($A42,SatSunCurve,7))*(INDEX(DailyScalarsTable,CQ$5/100,MONTH($A42)))*$E42</f>
        <v>-2287.3416781232795</v>
      </c>
      <c r="CR42" s="1021">
        <f>(VLOOKUP(YEAR($A42),'NY East Load Projections'!$A$4:$EO$14,((MONTH($A42)-1)*12)+VLOOKUP(CR$4,$DE$6:$DF$17,2)+1))*(VLOOKUP($A42,SatSunCurve,7))*(INDEX(DailyScalarsTable,CR$5/100,MONTH($A42)))*$E42</f>
        <v>-2213.4874077486861</v>
      </c>
      <c r="CS42" s="1021">
        <f>(VLOOKUP(YEAR($A42),'NY East Load Projections'!$A$4:$EO$14,((MONTH($A42)-1)*12)+VLOOKUP(CS$4,$DE$6:$DF$17,2)+1))*(VLOOKUP($A42,SatSunCurve,7))*(INDEX(DailyScalarsTable,CS$5/100,MONTH($A42)))*$E42</f>
        <v>-2100.832886633817</v>
      </c>
      <c r="CT42" s="1021">
        <f>(VLOOKUP(YEAR($A42),'NY East Load Projections'!$A$4:$EO$14,((MONTH($A42)-1)*12)+VLOOKUP(CT$4,$DE$6:$DF$17,2)+1))*(VLOOKUP($A42,SatSunCurve,7))*(INDEX(DailyScalarsTable,CT$5/100,MONTH($A42)))*$E42</f>
        <v>-2058.5539927237237</v>
      </c>
      <c r="CU42" s="1021">
        <f>(VLOOKUP(YEAR($A42),'NY East Load Projections'!$A$4:$EO$14,((MONTH($A42)-1)*12)+VLOOKUP(CU$4,$DE$6:$DF$17,2)+1))*(VLOOKUP($A42,SatSunCurve,7))*(INDEX(DailyScalarsTable,CU$5/100,MONTH($A42)))*$E42</f>
        <v>-2130.7480433827072</v>
      </c>
      <c r="CV42" s="1021">
        <f>(VLOOKUP(YEAR($A42),'NY East Load Projections'!$A$4:$EO$14,((MONTH($A42)-1)*12)+VLOOKUP(CV$4,$DE$6:$DF$17,2)+1))*(VLOOKUP($A42,SatSunCurve,7))*(INDEX(DailyScalarsTable,CV$5/100,MONTH($A42)))*$E42</f>
        <v>-2964.8433333633375</v>
      </c>
      <c r="CW42" s="1021">
        <f>(VLOOKUP(YEAR($A42),'NY East Load Projections'!$A$4:$EO$14,((MONTH($A42)-1)*12)+VLOOKUP(CW$4,$DE$6:$DF$17,2)+1))*(VLOOKUP($A42,SatSunCurve,7))*(INDEX(DailyScalarsTable,CW$5/100,MONTH($A42)))*$E42</f>
        <v>-3253.2209074382899</v>
      </c>
      <c r="CX42" s="1021">
        <f>(VLOOKUP(YEAR($A42),'NY East Load Projections'!$A$4:$EO$14,((MONTH($A42)-1)*12)+VLOOKUP(CX$4,$DE$6:$DF$17,2)+1))*(VLOOKUP($A42,SatSunCurve,7))*(INDEX(DailyScalarsTable,CX$5/100,MONTH($A42)))*$E42</f>
        <v>-3113.896914281303</v>
      </c>
      <c r="CY42" s="1021">
        <f>(VLOOKUP(YEAR($A42),'NY East Load Projections'!$A$4:$EO$14,((MONTH($A42)-1)*12)+VLOOKUP(CY$4,$DE$6:$DF$17,2)+1))*(VLOOKUP($A42,SatSunCurve,7))*(INDEX(DailyScalarsTable,CY$5/100,MONTH($A42)))*$E42</f>
        <v>-2819.1032947319923</v>
      </c>
      <c r="CZ42" s="1021">
        <f>(VLOOKUP(YEAR($A42),'NY East Load Projections'!$A$4:$EO$14,((MONTH($A42)-1)*12)+VLOOKUP(CZ$4,$DE$6:$DF$17,2)+1))*(VLOOKUP($A42,SatSunCurve,7))*(INDEX(DailyScalarsTable,CZ$5/100,MONTH($A42)))*$E42</f>
        <v>-2005.0115563681325</v>
      </c>
      <c r="DA42" s="1021">
        <f>(VLOOKUP(YEAR($A42),'NY East Load Projections'!$A$4:$EO$14,((MONTH($A42)-1)*12)+VLOOKUP(DA$4,$DE$6:$DF$17,2)+1))*(VLOOKUP($A42,SatSunCurve,7))*(INDEX(DailyScalarsTable,DA$5/100,MONTH($A42)))*$E42</f>
        <v>-1641.3515175381242</v>
      </c>
      <c r="DB42" s="1021">
        <f>(VLOOKUP(YEAR($A42),'NY East Load Projections'!$A$4:$EO$14,((MONTH($A42)-1)*12)+VLOOKUP(DB$4,$DE$6:$DF$17,2)+1))*(VLOOKUP($A42,CURVES!$D$9:$T$261,7))*(INDEX(DailyScalarsTable,DB$5/100,MONTH($A42)))*$E42</f>
        <v>-1938.5770193463529</v>
      </c>
      <c r="DH42" s="1032">
        <f t="shared" si="0"/>
        <v>-2102988.9738756372</v>
      </c>
      <c r="DI42">
        <f ca="1">CALC!J62</f>
        <v>0.75365243967713424</v>
      </c>
      <c r="DJ42" s="1029">
        <f t="shared" ca="1" si="1"/>
        <v>-1584922.7707754872</v>
      </c>
    </row>
    <row r="43" spans="1:114" x14ac:dyDescent="0.25">
      <c r="A43" s="244">
        <v>38018</v>
      </c>
      <c r="B43" s="13">
        <v>20</v>
      </c>
      <c r="C43" s="210">
        <v>4</v>
      </c>
      <c r="D43" s="210">
        <v>5</v>
      </c>
      <c r="E43" s="210">
        <v>0</v>
      </c>
      <c r="F43" s="13">
        <v>29</v>
      </c>
      <c r="H43" s="1021">
        <f>(VLOOKUP(YEAR($A43),'NY East Load Projections'!$A$4:$EO$14,((MONTH($A43)-1)*12)+VLOOKUP(H$4,$DE$6:$DF$17,2)+1))*(VLOOKUP($A43,CURVES!$D$9:$K$261,7))*(INDEX(DailyScalarsTable,H$5/100,MONTH($A43)))*$B43</f>
        <v>-31303.755622064054</v>
      </c>
      <c r="I43" s="1021">
        <f>(VLOOKUP(YEAR($A43),'NY East Load Projections'!$A$4:$EO$14,((MONTH($A43)-1)*12)+VLOOKUP(I$4,$DE$6:$DF$17,2)+1))*(VLOOKUP($A43,CURVES!$D$9:$K$261,7))*(INDEX(DailyScalarsTable,I$5/100,MONTH($A43)))*$B43</f>
        <v>-30693.871249750831</v>
      </c>
      <c r="J43" s="1021">
        <f>(VLOOKUP(YEAR($A43),'NY East Load Projections'!$A$4:$EO$14,((MONTH($A43)-1)*12)+VLOOKUP(J$4,$DE$6:$DF$17,2)+1))*(VLOOKUP($A43,CURVES!$D$9:$K$261,7))*(INDEX(DailyScalarsTable,J$5/100,MONTH($A43)))*$B43</f>
        <v>-28126.34649440015</v>
      </c>
      <c r="K43" s="1021">
        <f>(VLOOKUP(YEAR($A43),'NY East Load Projections'!$A$4:$EO$14,((MONTH($A43)-1)*12)+VLOOKUP(K$4,$DE$6:$DF$17,2)+1))*(VLOOKUP($A43,CURVES!$D$9:$K$261,7))*(INDEX(DailyScalarsTable,K$5/100,MONTH($A43)))*$B43</f>
        <v>-28109.340869302869</v>
      </c>
      <c r="L43" s="1021">
        <f>(VLOOKUP(YEAR($A43),'NY East Load Projections'!$A$4:$EO$14,((MONTH($A43)-1)*12)+VLOOKUP(L$4,$DE$6:$DF$17,2)+1))*(VLOOKUP($A43,CURVES!$D$9:$K$261,7))*(INDEX(DailyScalarsTable,L$5/100,MONTH($A43)))*$B43</f>
        <v>-32231.56386781835</v>
      </c>
      <c r="M43" s="1021">
        <f>(VLOOKUP(YEAR($A43),'NY East Load Projections'!$A$4:$EO$14,((MONTH($A43)-1)*12)+VLOOKUP(M$4,$DE$6:$DF$17,2)+1))*(VLOOKUP($A43,CURVES!$D$9:$K$261,7))*(INDEX(DailyScalarsTable,M$5/100,MONTH($A43)))*$B43</f>
        <v>-34398.103719063314</v>
      </c>
      <c r="N43" s="1021">
        <f>(VLOOKUP(YEAR($A43),'NY East Load Projections'!$A$4:$EO$14,((MONTH($A43)-1)*12)+VLOOKUP(N$4,$DE$6:$DF$17,2)+1))*(VLOOKUP($A43,CURVES!$D$9:$K$261,7))*(INDEX(DailyScalarsTable,N$5/100,MONTH($A43)))*$B43</f>
        <v>-65871.949783019198</v>
      </c>
      <c r="O43" s="1021">
        <f>(VLOOKUP(YEAR($A43),'NY East Load Projections'!$A$4:$EO$14,((MONTH($A43)-1)*12)+VLOOKUP(O$4,$DE$6:$DF$17,2)+1))*(VLOOKUP($A43,CURVES!$D$9:$K$261,3))*(INDEX(DailyScalarsTable,O$5/100,MONTH($A43)))*$B43</f>
        <v>-77625.102403753859</v>
      </c>
      <c r="P43" s="1021">
        <f>(VLOOKUP(YEAR($A43),'NY East Load Projections'!$A$4:$EO$14,((MONTH($A43)-1)*12)+VLOOKUP(P$4,$DE$6:$DF$17,2)+1))*(VLOOKUP($A43,CURVES!$D$9:$K$261,3))*(INDEX(DailyScalarsTable,P$5/100,MONTH($A43)))*$B43</f>
        <v>-88858.898666269815</v>
      </c>
      <c r="Q43" s="1021">
        <f>(VLOOKUP(YEAR($A43),'NY East Load Projections'!$A$4:$EO$14,((MONTH($A43)-1)*12)+VLOOKUP(Q$4,$DE$6:$DF$17,2)+1))*(VLOOKUP($A43,CURVES!$D$9:$K$261,3))*(INDEX(DailyScalarsTable,Q$5/100,MONTH($A43)))*$B43</f>
        <v>-88588.447870798293</v>
      </c>
      <c r="R43" s="1021">
        <f>(VLOOKUP(YEAR($A43),'NY East Load Projections'!$A$4:$EO$14,((MONTH($A43)-1)*12)+VLOOKUP(R$4,$DE$6:$DF$17,2)+1))*(VLOOKUP($A43,CURVES!$D$9:$K$261,3))*(INDEX(DailyScalarsTable,R$5/100,MONTH($A43)))*$B43</f>
        <v>-87042.463262363759</v>
      </c>
      <c r="S43" s="1021">
        <f>(VLOOKUP(YEAR($A43),'NY East Load Projections'!$A$4:$EO$14,((MONTH($A43)-1)*12)+VLOOKUP(S$4,$DE$6:$DF$17,2)+1))*(VLOOKUP($A43,CURVES!$D$9:$K$261,3))*(INDEX(DailyScalarsTable,S$5/100,MONTH($A43)))*$B43</f>
        <v>-65203.040355444595</v>
      </c>
      <c r="T43" s="1021">
        <f>(VLOOKUP(YEAR($A43),'NY East Load Projections'!$A$4:$EO$14,((MONTH($A43)-1)*12)+VLOOKUP(T$4,$DE$6:$DF$17,2)+1))*(VLOOKUP($A43,CURVES!$D$9:$K$261,3))*(INDEX(DailyScalarsTable,T$5/100,MONTH($A43)))*$B43</f>
        <v>-64170.828566722419</v>
      </c>
      <c r="U43" s="1021">
        <f>(VLOOKUP(YEAR($A43),'NY East Load Projections'!$A$4:$EO$14,((MONTH($A43)-1)*12)+VLOOKUP(U$4,$DE$6:$DF$17,2)+1))*(VLOOKUP($A43,CURVES!$D$9:$K$261,3))*(INDEX(DailyScalarsTable,U$5/100,MONTH($A43)))*$B43</f>
        <v>-62098.86451847542</v>
      </c>
      <c r="V43" s="1021">
        <f>(VLOOKUP(YEAR($A43),'NY East Load Projections'!$A$4:$EO$14,((MONTH($A43)-1)*12)+VLOOKUP(V$4,$DE$6:$DF$17,2)+1))*(VLOOKUP($A43,CURVES!$D$9:$K$261,3))*(INDEX(DailyScalarsTable,V$5/100,MONTH($A43)))*$B43</f>
        <v>-58938.368633287057</v>
      </c>
      <c r="W43" s="1021">
        <f>(VLOOKUP(YEAR($A43),'NY East Load Projections'!$A$4:$EO$14,((MONTH($A43)-1)*12)+VLOOKUP(W$4,$DE$6:$DF$17,2)+1))*(VLOOKUP($A43,CURVES!$D$9:$K$261,3))*(INDEX(DailyScalarsTable,W$5/100,MONTH($A43)))*$B43</f>
        <v>-57752.244286826812</v>
      </c>
      <c r="X43" s="1021">
        <f>(VLOOKUP(YEAR($A43),'NY East Load Projections'!$A$4:$EO$14,((MONTH($A43)-1)*12)+VLOOKUP(X$4,$DE$6:$DF$17,2)+1))*(VLOOKUP($A43,CURVES!$D$9:$K$261,3))*(INDEX(DailyScalarsTable,X$5/100,MONTH($A43)))*$B43</f>
        <v>-59265.559623074216</v>
      </c>
      <c r="Y43" s="1021">
        <f>(VLOOKUP(YEAR($A43),'NY East Load Projections'!$A$4:$EO$14,((MONTH($A43)-1)*12)+VLOOKUP(Y$4,$DE$6:$DF$17,2)+1))*(VLOOKUP($A43,CURVES!$D$9:$K$261,3))*(INDEX(DailyScalarsTable,Y$5/100,MONTH($A43)))*$B43</f>
        <v>-82465.451460681637</v>
      </c>
      <c r="Z43" s="1021">
        <f>(VLOOKUP(YEAR($A43),'NY East Load Projections'!$A$4:$EO$14,((MONTH($A43)-1)*12)+VLOOKUP(Z$4,$DE$6:$DF$17,2)+1))*(VLOOKUP($A43,CURVES!$D$9:$K$261,3))*(INDEX(DailyScalarsTable,Z$5/100,MONTH($A43)))*$B43</f>
        <v>-90486.511652840112</v>
      </c>
      <c r="AA43" s="1021">
        <f>(VLOOKUP(YEAR($A43),'NY East Load Projections'!$A$4:$EO$14,((MONTH($A43)-1)*12)+VLOOKUP(AA$4,$DE$6:$DF$17,2)+1))*(VLOOKUP($A43,CURVES!$D$9:$K$261,3))*(INDEX(DailyScalarsTable,AA$5/100,MONTH($A43)))*$B43</f>
        <v>-86611.293065164442</v>
      </c>
      <c r="AB43" s="1021">
        <f>(VLOOKUP(YEAR($A43),'NY East Load Projections'!$A$4:$EO$14,((MONTH($A43)-1)*12)+VLOOKUP(AB$4,$DE$6:$DF$17,2)+1))*(VLOOKUP($A43,CURVES!$D$9:$K$261,3))*(INDEX(DailyScalarsTable,AB$5/100,MONTH($A43)))*$B43</f>
        <v>-73086.030982222743</v>
      </c>
      <c r="AC43" s="1021">
        <f>(VLOOKUP(YEAR($A43),'NY East Load Projections'!$A$4:$EO$14,((MONTH($A43)-1)*12)+VLOOKUP(AC$4,$DE$6:$DF$17,2)+1))*(VLOOKUP($A43,CURVES!$D$9:$K$261,3))*(INDEX(DailyScalarsTable,AC$5/100,MONTH($A43)))*$B43</f>
        <v>-51980.477977614202</v>
      </c>
      <c r="AD43" s="1021">
        <f>(VLOOKUP(YEAR($A43),'NY East Load Projections'!$A$4:$EO$14,((MONTH($A43)-1)*12)+VLOOKUP(AD$4,$DE$6:$DF$17,2)+1))*(VLOOKUP($A43,CURVES!$D$9:$K$261,3))*(INDEX(DailyScalarsTable,AD$5/100,MONTH($A43)))*$B43</f>
        <v>-42552.491101577049</v>
      </c>
      <c r="AE43" s="1021">
        <f>(VLOOKUP(YEAR($A43),'NY East Load Projections'!$A$4:$EO$14,((MONTH($A43)-1)*12)+VLOOKUP(AE$4,$DE$6:$DF$17,2)+1))*(VLOOKUP($A43,CURVES!$D$9:$K$261,7))*(INDEX(DailyScalarsTable,AE$5/100,MONTH($A43)))*$B43</f>
        <v>-37165.688662103785</v>
      </c>
      <c r="AF43" s="1021"/>
      <c r="AG43" s="1021">
        <f>(VLOOKUP(YEAR($A43),'NY East Load Projections'!$A$4:$EO$14,((MONTH($A43)-1)*12)+VLOOKUP(AG$4,$DE$6:$DF$17,2)+1))*(VLOOKUP($A43,CURVES!$D$9:$T$261,7))*(INDEX(DailyScalarsTable,AG$5/100,MONTH($A43)))*$C43</f>
        <v>-6605.2362326257835</v>
      </c>
      <c r="AH43" s="1021">
        <f>(VLOOKUP(YEAR($A43),'NY East Load Projections'!$A$4:$EO$14,((MONTH($A43)-1)*12)+VLOOKUP(AH$4,$DE$6:$DF$17,2)+1))*(VLOOKUP($A43,CURVES!$D$9:$T$261,7))*(INDEX(DailyScalarsTable,AH$5/100,MONTH($A43)))*$C43</f>
        <v>-6476.5478285137824</v>
      </c>
      <c r="AI43" s="1021">
        <f>(VLOOKUP(YEAR($A43),'NY East Load Projections'!$A$4:$EO$14,((MONTH($A43)-1)*12)+VLOOKUP(AI$4,$DE$6:$DF$17,2)+1))*(VLOOKUP($A43,CURVES!$D$9:$T$261,7))*(INDEX(DailyScalarsTable,AI$5/100,MONTH($A43)))*$C43</f>
        <v>-5934.7883109991308</v>
      </c>
      <c r="AJ43" s="1021">
        <f>(VLOOKUP(YEAR($A43),'NY East Load Projections'!$A$4:$EO$14,((MONTH($A43)-1)*12)+VLOOKUP(AJ$4,$DE$6:$DF$17,2)+1))*(VLOOKUP($A43,CURVES!$D$9:$T$261,7))*(INDEX(DailyScalarsTable,AJ$5/100,MONTH($A43)))*$C43</f>
        <v>-5931.2000459868705</v>
      </c>
      <c r="AK43" s="1021">
        <f>(VLOOKUP(YEAR($A43),'NY East Load Projections'!$A$4:$EO$14,((MONTH($A43)-1)*12)+VLOOKUP(AK$4,$DE$6:$DF$17,2)+1))*(VLOOKUP($A43,CURVES!$D$9:$T$261,7))*(INDEX(DailyScalarsTable,AK$5/100,MONTH($A43)))*$C43</f>
        <v>-6190.2163543272109</v>
      </c>
      <c r="AL43" s="1021">
        <f>(VLOOKUP(YEAR($A43),'NY East Load Projections'!$A$4:$EO$14,((MONTH($A43)-1)*12)+VLOOKUP(AL$4,$DE$6:$DF$17,2)+1))*(VLOOKUP($A43,CURVES!$D$9:$T$261,7))*(INDEX(DailyScalarsTable,AL$5/100,MONTH($A43)))*$C43</f>
        <v>-6606.3100466617861</v>
      </c>
      <c r="AM43" s="1021">
        <f>(VLOOKUP(YEAR($A43),'NY East Load Projections'!$A$4:$EO$14,((MONTH($A43)-1)*12)+VLOOKUP(AM$4,$DE$6:$DF$17,2)+1))*(VLOOKUP($A43,CURVES!$D$9:$T$261,7))*(INDEX(DailyScalarsTable,AM$5/100,MONTH($A43)))*$C43</f>
        <v>-12651.00329945195</v>
      </c>
      <c r="AN43" s="1021">
        <f>(VLOOKUP(YEAR($A43),'NY East Load Projections'!$A$4:$EO$14,((MONTH($A43)-1)*12)+VLOOKUP(AN$4,$DE$6:$DF$17,2)+1))*(VLOOKUP($A43,SatSunCurve,3))*(INDEX(DailyScalarsTable,AN$5/100,MONTH($A43)))*$C43</f>
        <v>-11327.116774516837</v>
      </c>
      <c r="AO43" s="1021">
        <f>(VLOOKUP(YEAR($A43),'NY East Load Projections'!$A$4:$EO$14,((MONTH($A43)-1)*12)+VLOOKUP(AO$4,$DE$6:$DF$17,2)+1))*(VLOOKUP($A43,SatSunCurve,3))*(INDEX(DailyScalarsTable,AO$5/100,MONTH($A43)))*$C43</f>
        <v>-12722.820776383436</v>
      </c>
      <c r="AP43" s="1021">
        <f>(VLOOKUP(YEAR($A43),'NY East Load Projections'!$A$4:$EO$14,((MONTH($A43)-1)*12)+VLOOKUP(AP$4,$DE$6:$DF$17,2)+1))*(VLOOKUP($A43,SatSunCurve,3))*(INDEX(DailyScalarsTable,AP$5/100,MONTH($A43)))*$C43</f>
        <v>-12684.097620331982</v>
      </c>
      <c r="AQ43" s="1021">
        <f>(VLOOKUP(YEAR($A43),'NY East Load Projections'!$A$4:$EO$14,((MONTH($A43)-1)*12)+VLOOKUP(AQ$4,$DE$6:$DF$17,2)+1))*(VLOOKUP($A43,SatSunCurve,3))*(INDEX(DailyScalarsTable,AQ$5/100,MONTH($A43)))*$C43</f>
        <v>-12462.743480325897</v>
      </c>
      <c r="AR43" s="1021">
        <f>(VLOOKUP(YEAR($A43),'NY East Load Projections'!$A$4:$EO$14,((MONTH($A43)-1)*12)+VLOOKUP(AR$4,$DE$6:$DF$17,2)+1))*(VLOOKUP($A43,SatSunCurve,3))*(INDEX(DailyScalarsTable,AR$5/100,MONTH($A43)))*$C43</f>
        <v>-9335.7740076573282</v>
      </c>
      <c r="AS43" s="1021">
        <f>(VLOOKUP(YEAR($A43),'NY East Load Projections'!$A$4:$EO$14,((MONTH($A43)-1)*12)+VLOOKUP(AS$4,$DE$6:$DF$17,2)+1))*(VLOOKUP($A43,SatSunCurve,3))*(INDEX(DailyScalarsTable,AS$5/100,MONTH($A43)))*$C43</f>
        <v>-9082.1424545711398</v>
      </c>
      <c r="AT43" s="1021">
        <f>(VLOOKUP(YEAR($A43),'NY East Load Projections'!$A$4:$EO$14,((MONTH($A43)-1)*12)+VLOOKUP(AT$4,$DE$6:$DF$17,2)+1))*(VLOOKUP($A43,SatSunCurve,3))*(INDEX(DailyScalarsTable,AT$5/100,MONTH($A43)))*$C43</f>
        <v>-8788.8959270253254</v>
      </c>
      <c r="AU43" s="1021">
        <f>(VLOOKUP(YEAR($A43),'NY East Load Projections'!$A$4:$EO$14,((MONTH($A43)-1)*12)+VLOOKUP(AU$4,$DE$6:$DF$17,2)+1))*(VLOOKUP($A43,SatSunCurve,3))*(INDEX(DailyScalarsTable,AU$5/100,MONTH($A43)))*$C43</f>
        <v>-8341.5887237760908</v>
      </c>
      <c r="AV43" s="1021">
        <f>(VLOOKUP(YEAR($A43),'NY East Load Projections'!$A$4:$EO$14,((MONTH($A43)-1)*12)+VLOOKUP(AV$4,$DE$6:$DF$17,2)+1))*(VLOOKUP($A43,SatSunCurve,3))*(INDEX(DailyScalarsTable,AV$5/100,MONTH($A43)))*$C43</f>
        <v>-8173.7157116302969</v>
      </c>
      <c r="AW43" s="1021">
        <f>(VLOOKUP(YEAR($A43),'NY East Load Projections'!$A$4:$EO$14,((MONTH($A43)-1)*12)+VLOOKUP(AW$4,$DE$6:$DF$17,2)+1))*(VLOOKUP($A43,SatSunCurve,3))*(INDEX(DailyScalarsTable,AW$5/100,MONTH($A43)))*$C43</f>
        <v>-8515.3917484525937</v>
      </c>
      <c r="AX43" s="1021">
        <f>(VLOOKUP(YEAR($A43),'NY East Load Projections'!$A$4:$EO$14,((MONTH($A43)-1)*12)+VLOOKUP(AX$4,$DE$6:$DF$17,2)+1))*(VLOOKUP($A43,SatSunCurve,3))*(INDEX(DailyScalarsTable,AX$5/100,MONTH($A43)))*$C43</f>
        <v>-11848.797672152657</v>
      </c>
      <c r="AY43" s="1021">
        <f>(VLOOKUP(YEAR($A43),'NY East Load Projections'!$A$4:$EO$14,((MONTH($A43)-1)*12)+VLOOKUP(AY$4,$DE$6:$DF$17,2)+1))*(VLOOKUP($A43,SatSunCurve,3))*(INDEX(DailyScalarsTable,AY$5/100,MONTH($A43)))*$C43</f>
        <v>-13001.27931931077</v>
      </c>
      <c r="AZ43" s="1021">
        <f>(VLOOKUP(YEAR($A43),'NY East Load Projections'!$A$4:$EO$14,((MONTH($A43)-1)*12)+VLOOKUP(AZ$4,$DE$6:$DF$17,2)+1))*(VLOOKUP($A43,SatSunCurve,3))*(INDEX(DailyScalarsTable,AZ$5/100,MONTH($A43)))*$C43</f>
        <v>-12444.480318427029</v>
      </c>
      <c r="BA43" s="1021">
        <f>(VLOOKUP(YEAR($A43),'NY East Load Projections'!$A$4:$EO$14,((MONTH($A43)-1)*12)+VLOOKUP(BA$4,$DE$6:$DF$17,2)+1))*(VLOOKUP($A43,SatSunCurve,3))*(INDEX(DailyScalarsTable,BA$5/100,MONTH($A43)))*$C43</f>
        <v>-11333.073019079933</v>
      </c>
      <c r="BB43" s="1021">
        <f>(VLOOKUP(YEAR($A43),'NY East Load Projections'!$A$4:$EO$14,((MONTH($A43)-1)*12)+VLOOKUP(BB$4,$DE$6:$DF$17,2)+1))*(VLOOKUP($A43,SatSunCurve,3))*(INDEX(DailyScalarsTable,BB$5/100,MONTH($A43)))*$C43</f>
        <v>-8060.3440160852206</v>
      </c>
      <c r="BC43" s="1021">
        <f>(VLOOKUP(YEAR($A43),'NY East Load Projections'!$A$4:$EO$14,((MONTH($A43)-1)*12)+VLOOKUP(BC$4,$DE$6:$DF$17,2)+1))*(VLOOKUP($A43,SatSunCurve,3))*(INDEX(DailyScalarsTable,BC$5/100,MONTH($A43)))*$C43</f>
        <v>-6598.3948275317234</v>
      </c>
      <c r="BD43" s="1021">
        <f>(VLOOKUP(YEAR($A43),'NY East Load Projections'!$A$4:$EO$14,((MONTH($A43)-1)*12)+VLOOKUP(BD$4,$DE$6:$DF$17,2)+1))*(VLOOKUP($A43,CURVES!$D$9:$T$261,7))*(INDEX(DailyScalarsTable,BD$5/100,MONTH($A43)))*$C43</f>
        <v>-7585.125179598429</v>
      </c>
      <c r="BE43" s="1021"/>
      <c r="BF43" s="1021">
        <f>(VLOOKUP(YEAR($A43),'NY East Load Projections'!$A$4:$EO$14,((MONTH($A43)-1)*12)+VLOOKUP(BF$4,$DE$6:$DF$17,2)+1))*(VLOOKUP($A43,CURVES!$D$9:$T$261,7))*(INDEX(DailyScalarsTable,BF$5/100,MONTH($A43)))*$D43</f>
        <v>-8256.5452907822291</v>
      </c>
      <c r="BG43" s="1021">
        <f>(VLOOKUP(YEAR($A43),'NY East Load Projections'!$A$4:$EO$14,((MONTH($A43)-1)*12)+VLOOKUP(BG$4,$DE$6:$DF$17,2)+1))*(VLOOKUP($A43,CURVES!$D$9:$T$261,7))*(INDEX(DailyScalarsTable,BG$5/100,MONTH($A43)))*$D43</f>
        <v>-8095.6847856422282</v>
      </c>
      <c r="BH43" s="1021">
        <f>(VLOOKUP(YEAR($A43),'NY East Load Projections'!$A$4:$EO$14,((MONTH($A43)-1)*12)+VLOOKUP(BH$4,$DE$6:$DF$17,2)+1))*(VLOOKUP($A43,CURVES!$D$9:$T$261,7))*(INDEX(DailyScalarsTable,BH$5/100,MONTH($A43)))*$D43</f>
        <v>-7418.4853887489135</v>
      </c>
      <c r="BI43" s="1021">
        <f>(VLOOKUP(YEAR($A43),'NY East Load Projections'!$A$4:$EO$14,((MONTH($A43)-1)*12)+VLOOKUP(BI$4,$DE$6:$DF$17,2)+1))*(VLOOKUP($A43,CURVES!$D$9:$T$261,7))*(INDEX(DailyScalarsTable,BI$5/100,MONTH($A43)))*$D43</f>
        <v>-7414.0000574835885</v>
      </c>
      <c r="BJ43" s="1021">
        <f>(VLOOKUP(YEAR($A43),'NY East Load Projections'!$A$4:$EO$14,((MONTH($A43)-1)*12)+VLOOKUP(BJ$4,$DE$6:$DF$17,2)+1))*(VLOOKUP($A43,CURVES!$D$9:$T$261,7))*(INDEX(DailyScalarsTable,BJ$5/100,MONTH($A43)))*$D43</f>
        <v>-7737.7704429090136</v>
      </c>
      <c r="BK43" s="1021">
        <f>(VLOOKUP(YEAR($A43),'NY East Load Projections'!$A$4:$EO$14,((MONTH($A43)-1)*12)+VLOOKUP(BK$4,$DE$6:$DF$17,2)+1))*(VLOOKUP($A43,CURVES!$D$9:$T$261,7))*(INDEX(DailyScalarsTable,BK$5/100,MONTH($A43)))*$D43</f>
        <v>-8257.8875583272329</v>
      </c>
      <c r="BL43" s="1021">
        <f>(VLOOKUP(YEAR($A43),'NY East Load Projections'!$A$4:$EO$14,((MONTH($A43)-1)*12)+VLOOKUP(BL$4,$DE$6:$DF$17,2)+1))*(VLOOKUP($A43,CURVES!$D$9:$T$261,7))*(INDEX(DailyScalarsTable,BL$5/100,MONTH($A43)))*$D43</f>
        <v>-15813.754124314937</v>
      </c>
      <c r="BM43" s="1021">
        <f>(VLOOKUP(YEAR($A43),'NY East Load Projections'!$A$4:$EO$14,((MONTH($A43)-1)*12)+VLOOKUP(BM$4,$DE$6:$DF$17,2)+1))*(VLOOKUP($A43,SatSunCurve,7))*(INDEX(DailyScalarsTable,BM$5/100,MONTH($A43)))*$D43</f>
        <v>-12888.363999616013</v>
      </c>
      <c r="BN43" s="1021">
        <f>(VLOOKUP(YEAR($A43),'NY East Load Projections'!$A$4:$EO$14,((MONTH($A43)-1)*12)+VLOOKUP(BN$4,$DE$6:$DF$17,2)+1))*(VLOOKUP($A43,SatSunCurve,7))*(INDEX(DailyScalarsTable,BN$5/100,MONTH($A43)))*$D43</f>
        <v>-14476.44166932334</v>
      </c>
      <c r="BO43" s="1021">
        <f>(VLOOKUP(YEAR($A43),'NY East Load Projections'!$A$4:$EO$14,((MONTH($A43)-1)*12)+VLOOKUP(BO$4,$DE$6:$DF$17,2)+1))*(VLOOKUP($A43,SatSunCurve,7))*(INDEX(DailyScalarsTable,BO$5/100,MONTH($A43)))*$D43</f>
        <v>-14432.381195652946</v>
      </c>
      <c r="BP43" s="1021">
        <f>(VLOOKUP(YEAR($A43),'NY East Load Projections'!$A$4:$EO$14,((MONTH($A43)-1)*12)+VLOOKUP(BP$4,$DE$6:$DF$17,2)+1))*(VLOOKUP($A43,SatSunCurve,7))*(INDEX(DailyScalarsTable,BP$5/100,MONTH($A43)))*$D43</f>
        <v>-14180.517214199283</v>
      </c>
      <c r="BQ43" s="1021">
        <f>(VLOOKUP(YEAR($A43),'NY East Load Projections'!$A$4:$EO$14,((MONTH($A43)-1)*12)+VLOOKUP(BQ$4,$DE$6:$DF$17,2)+1))*(VLOOKUP($A43,SatSunCurve,7))*(INDEX(DailyScalarsTable,BQ$5/100,MONTH($A43)))*$D43</f>
        <v>-10622.549058515733</v>
      </c>
      <c r="BR43" s="1021">
        <f>(VLOOKUP(YEAR($A43),'NY East Load Projections'!$A$4:$EO$14,((MONTH($A43)-1)*12)+VLOOKUP(BR$4,$DE$6:$DF$17,2)+1))*(VLOOKUP($A43,SatSunCurve,7))*(INDEX(DailyScalarsTable,BR$5/100,MONTH($A43)))*$D43</f>
        <v>-10333.958780598152</v>
      </c>
      <c r="BS43" s="1021">
        <f>(VLOOKUP(YEAR($A43),'NY East Load Projections'!$A$4:$EO$14,((MONTH($A43)-1)*12)+VLOOKUP(BS$4,$DE$6:$DF$17,2)+1))*(VLOOKUP($A43,SatSunCurve,7))*(INDEX(DailyScalarsTable,BS$5/100,MONTH($A43)))*$D43</f>
        <v>-10000.293288852119</v>
      </c>
      <c r="BT43" s="1021">
        <f>(VLOOKUP(YEAR($A43),'NY East Load Projections'!$A$4:$EO$14,((MONTH($A43)-1)*12)+VLOOKUP(BT$4,$DE$6:$DF$17,2)+1))*(VLOOKUP($A43,SatSunCurve,7))*(INDEX(DailyScalarsTable,BT$5/100,MONTH($A43)))*$D43</f>
        <v>-9491.3325206453083</v>
      </c>
      <c r="BU43" s="1021">
        <f>(VLOOKUP(YEAR($A43),'NY East Load Projections'!$A$4:$EO$14,((MONTH($A43)-1)*12)+VLOOKUP(BU$4,$DE$6:$DF$17,2)+1))*(VLOOKUP($A43,SatSunCurve,7))*(INDEX(DailyScalarsTable,BU$5/100,MONTH($A43)))*$D43</f>
        <v>-9300.3211159501152</v>
      </c>
      <c r="BV43" s="1021">
        <f>(VLOOKUP(YEAR($A43),'NY East Load Projections'!$A$4:$EO$14,((MONTH($A43)-1)*12)+VLOOKUP(BV$4,$DE$6:$DF$17,2)+1))*(VLOOKUP($A43,SatSunCurve,7))*(INDEX(DailyScalarsTable,BV$5/100,MONTH($A43)))*$D43</f>
        <v>-9689.0912875809991</v>
      </c>
      <c r="BW43" s="1021">
        <f>(VLOOKUP(YEAR($A43),'NY East Load Projections'!$A$4:$EO$14,((MONTH($A43)-1)*12)+VLOOKUP(BW$4,$DE$6:$DF$17,2)+1))*(VLOOKUP($A43,SatSunCurve,7))*(INDEX(DailyScalarsTable,BW$5/100,MONTH($A43)))*$D43</f>
        <v>-13481.949590214259</v>
      </c>
      <c r="BX43" s="1021">
        <f>(VLOOKUP(YEAR($A43),'NY East Load Projections'!$A$4:$EO$14,((MONTH($A43)-1)*12)+VLOOKUP(BX$4,$DE$6:$DF$17,2)+1))*(VLOOKUP($A43,SatSunCurve,7))*(INDEX(DailyScalarsTable,BX$5/100,MONTH($A43)))*$D43</f>
        <v>-14793.280908424702</v>
      </c>
      <c r="BY43" s="1021">
        <f>(VLOOKUP(YEAR($A43),'NY East Load Projections'!$A$4:$EO$14,((MONTH($A43)-1)*12)+VLOOKUP(BY$4,$DE$6:$DF$17,2)+1))*(VLOOKUP($A43,SatSunCurve,7))*(INDEX(DailyScalarsTable,BY$5/100,MONTH($A43)))*$D43</f>
        <v>-14159.736791164705</v>
      </c>
      <c r="BZ43" s="1021">
        <f>(VLOOKUP(YEAR($A43),'NY East Load Projections'!$A$4:$EO$14,((MONTH($A43)-1)*12)+VLOOKUP(BZ$4,$DE$6:$DF$17,2)+1))*(VLOOKUP($A43,SatSunCurve,7))*(INDEX(DailyScalarsTable,BZ$5/100,MONTH($A43)))*$D43</f>
        <v>-12895.14120952106</v>
      </c>
      <c r="CA43" s="1021">
        <f>(VLOOKUP(YEAR($A43),'NY East Load Projections'!$A$4:$EO$14,((MONTH($A43)-1)*12)+VLOOKUP(CA$4,$DE$6:$DF$17,2)+1))*(VLOOKUP($A43,SatSunCurve,7))*(INDEX(DailyScalarsTable,CA$5/100,MONTH($A43)))*$D43</f>
        <v>-9171.323092134744</v>
      </c>
      <c r="CB43" s="1021">
        <f>(VLOOKUP(YEAR($A43),'NY East Load Projections'!$A$4:$EO$14,((MONTH($A43)-1)*12)+VLOOKUP(CB$4,$DE$6:$DF$17,2)+1))*(VLOOKUP($A43,SatSunCurve,7))*(INDEX(DailyScalarsTable,CB$5/100,MONTH($A43)))*$D43</f>
        <v>-7507.869481997097</v>
      </c>
      <c r="CC43" s="1021">
        <f>(VLOOKUP(YEAR($A43),'NY East Load Projections'!$A$4:$EO$14,((MONTH($A43)-1)*12)+VLOOKUP(CC$4,$DE$6:$DF$17,2)+1))*(VLOOKUP($A43,CURVES!$D$9:$T$261,7))*(INDEX(DailyScalarsTable,CC$5/100,MONTH($A43)))*$D43</f>
        <v>-9481.4064744980369</v>
      </c>
      <c r="CE43" s="1021">
        <f>(VLOOKUP(YEAR($A43),'NY East Load Projections'!$A$4:$EO$14,((MONTH($A43)-1)*12)+VLOOKUP(CE$4,$DE$6:$DF$17,2)+1))*(VLOOKUP($A43,CURVES!$D$9:$T$261,7))*(INDEX(DailyScalarsTable,CE$5/100,MONTH($A43)))*$E43</f>
        <v>0</v>
      </c>
      <c r="CF43" s="1021">
        <f>(VLOOKUP(YEAR($A43),'NY East Load Projections'!$A$4:$EO$14,((MONTH($A43)-1)*12)+VLOOKUP(CF$4,$DE$6:$DF$17,2)+1))*(VLOOKUP($A43,CURVES!$D$9:$T$261,7))*(INDEX(DailyScalarsTable,CF$5/100,MONTH($A43)))*$E43</f>
        <v>0</v>
      </c>
      <c r="CG43" s="1021">
        <f>(VLOOKUP(YEAR($A43),'NY East Load Projections'!$A$4:$EO$14,((MONTH($A43)-1)*12)+VLOOKUP(CG$4,$DE$6:$DF$17,2)+1))*(VLOOKUP($A43,CURVES!$D$9:$T$261,7))*(INDEX(DailyScalarsTable,CG$5/100,MONTH($A43)))*$E43</f>
        <v>0</v>
      </c>
      <c r="CH43" s="1021">
        <f>(VLOOKUP(YEAR($A43),'NY East Load Projections'!$A$4:$EO$14,((MONTH($A43)-1)*12)+VLOOKUP(CH$4,$DE$6:$DF$17,2)+1))*(VLOOKUP($A43,CURVES!$D$9:$T$261,7))*(INDEX(DailyScalarsTable,CH$5/100,MONTH($A43)))*$E43</f>
        <v>0</v>
      </c>
      <c r="CI43" s="1021">
        <f>(VLOOKUP(YEAR($A43),'NY East Load Projections'!$A$4:$EO$14,((MONTH($A43)-1)*12)+VLOOKUP(CI$4,$DE$6:$DF$17,2)+1))*(VLOOKUP($A43,CURVES!$D$9:$T$261,7))*(INDEX(DailyScalarsTable,CI$5/100,MONTH($A43)))*$E43</f>
        <v>0</v>
      </c>
      <c r="CJ43" s="1021">
        <f>(VLOOKUP(YEAR($A43),'NY East Load Projections'!$A$4:$EO$14,((MONTH($A43)-1)*12)+VLOOKUP(CJ$4,$DE$6:$DF$17,2)+1))*(VLOOKUP($A43,CURVES!$D$9:$T$261,7))*(INDEX(DailyScalarsTable,CJ$5/100,MONTH($A43)))*$E43</f>
        <v>0</v>
      </c>
      <c r="CK43" s="1021">
        <f>(VLOOKUP(YEAR($A43),'NY East Load Projections'!$A$4:$EO$14,((MONTH($A43)-1)*12)+VLOOKUP(CK$4,$DE$6:$DF$17,2)+1))*(VLOOKUP($A43,CURVES!$D$9:$T$261,7))*(INDEX(DailyScalarsTable,CK$5/100,MONTH($A43)))*$E43</f>
        <v>0</v>
      </c>
      <c r="CL43" s="1021">
        <f>(VLOOKUP(YEAR($A43),'NY East Load Projections'!$A$4:$EO$14,((MONTH($A43)-1)*12)+VLOOKUP(CL$4,$DE$6:$DF$17,2)+1))*(VLOOKUP($A43,SatSunCurve,7))*(INDEX(DailyScalarsTable,CL$5/100,MONTH($A43)))*$E43</f>
        <v>0</v>
      </c>
      <c r="CM43" s="1021">
        <f>(VLOOKUP(YEAR($A43),'NY East Load Projections'!$A$4:$EO$14,((MONTH($A43)-1)*12)+VLOOKUP(CM$4,$DE$6:$DF$17,2)+1))*(VLOOKUP($A43,SatSunCurve,7))*(INDEX(DailyScalarsTable,CM$5/100,MONTH($A43)))*$E43</f>
        <v>0</v>
      </c>
      <c r="CN43" s="1021">
        <f>(VLOOKUP(YEAR($A43),'NY East Load Projections'!$A$4:$EO$14,((MONTH($A43)-1)*12)+VLOOKUP(CN$4,$DE$6:$DF$17,2)+1))*(VLOOKUP($A43,SatSunCurve,7))*(INDEX(DailyScalarsTable,CN$5/100,MONTH($A43)))*$E43</f>
        <v>0</v>
      </c>
      <c r="CO43" s="1021">
        <f>(VLOOKUP(YEAR($A43),'NY East Load Projections'!$A$4:$EO$14,((MONTH($A43)-1)*12)+VLOOKUP(CO$4,$DE$6:$DF$17,2)+1))*(VLOOKUP($A43,SatSunCurve,7))*(INDEX(DailyScalarsTable,CO$5/100,MONTH($A43)))*$E43</f>
        <v>0</v>
      </c>
      <c r="CP43" s="1021">
        <f>(VLOOKUP(YEAR($A43),'NY East Load Projections'!$A$4:$EO$14,((MONTH($A43)-1)*12)+VLOOKUP(CP$4,$DE$6:$DF$17,2)+1))*(VLOOKUP($A43,SatSunCurve,7))*(INDEX(DailyScalarsTable,CP$5/100,MONTH($A43)))*$E43</f>
        <v>0</v>
      </c>
      <c r="CQ43" s="1021">
        <f>(VLOOKUP(YEAR($A43),'NY East Load Projections'!$A$4:$EO$14,((MONTH($A43)-1)*12)+VLOOKUP(CQ$4,$DE$6:$DF$17,2)+1))*(VLOOKUP($A43,SatSunCurve,7))*(INDEX(DailyScalarsTable,CQ$5/100,MONTH($A43)))*$E43</f>
        <v>0</v>
      </c>
      <c r="CR43" s="1021">
        <f>(VLOOKUP(YEAR($A43),'NY East Load Projections'!$A$4:$EO$14,((MONTH($A43)-1)*12)+VLOOKUP(CR$4,$DE$6:$DF$17,2)+1))*(VLOOKUP($A43,SatSunCurve,7))*(INDEX(DailyScalarsTable,CR$5/100,MONTH($A43)))*$E43</f>
        <v>0</v>
      </c>
      <c r="CS43" s="1021">
        <f>(VLOOKUP(YEAR($A43),'NY East Load Projections'!$A$4:$EO$14,((MONTH($A43)-1)*12)+VLOOKUP(CS$4,$DE$6:$DF$17,2)+1))*(VLOOKUP($A43,SatSunCurve,7))*(INDEX(DailyScalarsTable,CS$5/100,MONTH($A43)))*$E43</f>
        <v>0</v>
      </c>
      <c r="CT43" s="1021">
        <f>(VLOOKUP(YEAR($A43),'NY East Load Projections'!$A$4:$EO$14,((MONTH($A43)-1)*12)+VLOOKUP(CT$4,$DE$6:$DF$17,2)+1))*(VLOOKUP($A43,SatSunCurve,7))*(INDEX(DailyScalarsTable,CT$5/100,MONTH($A43)))*$E43</f>
        <v>0</v>
      </c>
      <c r="CU43" s="1021">
        <f>(VLOOKUP(YEAR($A43),'NY East Load Projections'!$A$4:$EO$14,((MONTH($A43)-1)*12)+VLOOKUP(CU$4,$DE$6:$DF$17,2)+1))*(VLOOKUP($A43,SatSunCurve,7))*(INDEX(DailyScalarsTable,CU$5/100,MONTH($A43)))*$E43</f>
        <v>0</v>
      </c>
      <c r="CV43" s="1021">
        <f>(VLOOKUP(YEAR($A43),'NY East Load Projections'!$A$4:$EO$14,((MONTH($A43)-1)*12)+VLOOKUP(CV$4,$DE$6:$DF$17,2)+1))*(VLOOKUP($A43,SatSunCurve,7))*(INDEX(DailyScalarsTable,CV$5/100,MONTH($A43)))*$E43</f>
        <v>0</v>
      </c>
      <c r="CW43" s="1021">
        <f>(VLOOKUP(YEAR($A43),'NY East Load Projections'!$A$4:$EO$14,((MONTH($A43)-1)*12)+VLOOKUP(CW$4,$DE$6:$DF$17,2)+1))*(VLOOKUP($A43,SatSunCurve,7))*(INDEX(DailyScalarsTable,CW$5/100,MONTH($A43)))*$E43</f>
        <v>0</v>
      </c>
      <c r="CX43" s="1021">
        <f>(VLOOKUP(YEAR($A43),'NY East Load Projections'!$A$4:$EO$14,((MONTH($A43)-1)*12)+VLOOKUP(CX$4,$DE$6:$DF$17,2)+1))*(VLOOKUP($A43,SatSunCurve,7))*(INDEX(DailyScalarsTable,CX$5/100,MONTH($A43)))*$E43</f>
        <v>0</v>
      </c>
      <c r="CY43" s="1021">
        <f>(VLOOKUP(YEAR($A43),'NY East Load Projections'!$A$4:$EO$14,((MONTH($A43)-1)*12)+VLOOKUP(CY$4,$DE$6:$DF$17,2)+1))*(VLOOKUP($A43,SatSunCurve,7))*(INDEX(DailyScalarsTable,CY$5/100,MONTH($A43)))*$E43</f>
        <v>0</v>
      </c>
      <c r="CZ43" s="1021">
        <f>(VLOOKUP(YEAR($A43),'NY East Load Projections'!$A$4:$EO$14,((MONTH($A43)-1)*12)+VLOOKUP(CZ$4,$DE$6:$DF$17,2)+1))*(VLOOKUP($A43,SatSunCurve,7))*(INDEX(DailyScalarsTable,CZ$5/100,MONTH($A43)))*$E43</f>
        <v>0</v>
      </c>
      <c r="DA43" s="1021">
        <f>(VLOOKUP(YEAR($A43),'NY East Load Projections'!$A$4:$EO$14,((MONTH($A43)-1)*12)+VLOOKUP(DA$4,$DE$6:$DF$17,2)+1))*(VLOOKUP($A43,SatSunCurve,7))*(INDEX(DailyScalarsTable,DA$5/100,MONTH($A43)))*$E43</f>
        <v>0</v>
      </c>
      <c r="DB43" s="1021">
        <f>(VLOOKUP(YEAR($A43),'NY East Load Projections'!$A$4:$EO$14,((MONTH($A43)-1)*12)+VLOOKUP(DB$4,$DE$6:$DF$17,2)+1))*(VLOOKUP($A43,CURVES!$D$9:$T$261,7))*(INDEX(DailyScalarsTable,DB$5/100,MONTH($A43)))*$E43</f>
        <v>0</v>
      </c>
      <c r="DH43" s="1032">
        <f t="shared" si="0"/>
        <v>-1907227.8637171583</v>
      </c>
      <c r="DI43">
        <f ca="1">CALC!J63</f>
        <v>0.74924536597621894</v>
      </c>
      <c r="DJ43" s="1029">
        <f t="shared" ca="1" si="1"/>
        <v>-1428981.6387508046</v>
      </c>
    </row>
    <row r="44" spans="1:114" x14ac:dyDescent="0.25">
      <c r="A44" s="244">
        <v>38047</v>
      </c>
      <c r="B44" s="13">
        <v>23</v>
      </c>
      <c r="C44" s="210">
        <v>4</v>
      </c>
      <c r="D44" s="210">
        <v>4</v>
      </c>
      <c r="E44" s="210">
        <v>0</v>
      </c>
      <c r="F44" s="13">
        <v>31</v>
      </c>
      <c r="H44" s="1021">
        <f>(VLOOKUP(YEAR($A44),'NY East Load Projections'!$A$4:$EO$14,((MONTH($A44)-1)*12)+VLOOKUP(H$4,$DE$6:$DF$17,2)+1))*(VLOOKUP($A44,CURVES!$D$9:$K$261,7))*(INDEX(DailyScalarsTable,H$5/100,MONTH($A44)))*$B44</f>
        <v>-31034.512838260507</v>
      </c>
      <c r="I44" s="1021">
        <f>(VLOOKUP(YEAR($A44),'NY East Load Projections'!$A$4:$EO$14,((MONTH($A44)-1)*12)+VLOOKUP(I$4,$DE$6:$DF$17,2)+1))*(VLOOKUP($A44,CURVES!$D$9:$K$261,7))*(INDEX(DailyScalarsTable,I$5/100,MONTH($A44)))*$B44</f>
        <v>-29344.508463529455</v>
      </c>
      <c r="J44" s="1021">
        <f>(VLOOKUP(YEAR($A44),'NY East Load Projections'!$A$4:$EO$14,((MONTH($A44)-1)*12)+VLOOKUP(J$4,$DE$6:$DF$17,2)+1))*(VLOOKUP($A44,CURVES!$D$9:$K$261,7))*(INDEX(DailyScalarsTable,J$5/100,MONTH($A44)))*$B44</f>
        <v>-28093.890217308606</v>
      </c>
      <c r="K44" s="1021">
        <f>(VLOOKUP(YEAR($A44),'NY East Load Projections'!$A$4:$EO$14,((MONTH($A44)-1)*12)+VLOOKUP(K$4,$DE$6:$DF$17,2)+1))*(VLOOKUP($A44,CURVES!$D$9:$K$261,7))*(INDEX(DailyScalarsTable,K$5/100,MONTH($A44)))*$B44</f>
        <v>-28111.525698128418</v>
      </c>
      <c r="L44" s="1021">
        <f>(VLOOKUP(YEAR($A44),'NY East Load Projections'!$A$4:$EO$14,((MONTH($A44)-1)*12)+VLOOKUP(L$4,$DE$6:$DF$17,2)+1))*(VLOOKUP($A44,CURVES!$D$9:$K$261,7))*(INDEX(DailyScalarsTable,L$5/100,MONTH($A44)))*$B44</f>
        <v>-33459.368013515537</v>
      </c>
      <c r="M44" s="1021">
        <f>(VLOOKUP(YEAR($A44),'NY East Load Projections'!$A$4:$EO$14,((MONTH($A44)-1)*12)+VLOOKUP(M$4,$DE$6:$DF$17,2)+1))*(VLOOKUP($A44,CURVES!$D$9:$K$261,7))*(INDEX(DailyScalarsTable,M$5/100,MONTH($A44)))*$B44</f>
        <v>-38838.74122210747</v>
      </c>
      <c r="N44" s="1021">
        <f>(VLOOKUP(YEAR($A44),'NY East Load Projections'!$A$4:$EO$14,((MONTH($A44)-1)*12)+VLOOKUP(N$4,$DE$6:$DF$17,2)+1))*(VLOOKUP($A44,CURVES!$D$9:$K$261,7))*(INDEX(DailyScalarsTable,N$5/100,MONTH($A44)))*$B44</f>
        <v>-70080.110053338023</v>
      </c>
      <c r="O44" s="1021">
        <f>(VLOOKUP(YEAR($A44),'NY East Load Projections'!$A$4:$EO$14,((MONTH($A44)-1)*12)+VLOOKUP(O$4,$DE$6:$DF$17,2)+1))*(VLOOKUP($A44,CURVES!$D$9:$K$261,3))*(INDEX(DailyScalarsTable,O$5/100,MONTH($A44)))*$B44</f>
        <v>-74399.219143100505</v>
      </c>
      <c r="P44" s="1021">
        <f>(VLOOKUP(YEAR($A44),'NY East Load Projections'!$A$4:$EO$14,((MONTH($A44)-1)*12)+VLOOKUP(P$4,$DE$6:$DF$17,2)+1))*(VLOOKUP($A44,CURVES!$D$9:$K$261,3))*(INDEX(DailyScalarsTable,P$5/100,MONTH($A44)))*$B44</f>
        <v>-86922.855497715456</v>
      </c>
      <c r="Q44" s="1021">
        <f>(VLOOKUP(YEAR($A44),'NY East Load Projections'!$A$4:$EO$14,((MONTH($A44)-1)*12)+VLOOKUP(Q$4,$DE$6:$DF$17,2)+1))*(VLOOKUP($A44,CURVES!$D$9:$K$261,3))*(INDEX(DailyScalarsTable,Q$5/100,MONTH($A44)))*$B44</f>
        <v>-86659.851396360798</v>
      </c>
      <c r="R44" s="1021">
        <f>(VLOOKUP(YEAR($A44),'NY East Load Projections'!$A$4:$EO$14,((MONTH($A44)-1)*12)+VLOOKUP(R$4,$DE$6:$DF$17,2)+1))*(VLOOKUP($A44,CURVES!$D$9:$K$261,3))*(INDEX(DailyScalarsTable,R$5/100,MONTH($A44)))*$B44</f>
        <v>-85132.966474607354</v>
      </c>
      <c r="S44" s="1021">
        <f>(VLOOKUP(YEAR($A44),'NY East Load Projections'!$A$4:$EO$14,((MONTH($A44)-1)*12)+VLOOKUP(S$4,$DE$6:$DF$17,2)+1))*(VLOOKUP($A44,CURVES!$D$9:$K$261,3))*(INDEX(DailyScalarsTable,S$5/100,MONTH($A44)))*$B44</f>
        <v>-65049.681068386162</v>
      </c>
      <c r="T44" s="1021">
        <f>(VLOOKUP(YEAR($A44),'NY East Load Projections'!$A$4:$EO$14,((MONTH($A44)-1)*12)+VLOOKUP(T$4,$DE$6:$DF$17,2)+1))*(VLOOKUP($A44,CURVES!$D$9:$K$261,3))*(INDEX(DailyScalarsTable,T$5/100,MONTH($A44)))*$B44</f>
        <v>-65238.733097275574</v>
      </c>
      <c r="U44" s="1021">
        <f>(VLOOKUP(YEAR($A44),'NY East Load Projections'!$A$4:$EO$14,((MONTH($A44)-1)*12)+VLOOKUP(U$4,$DE$6:$DF$17,2)+1))*(VLOOKUP($A44,CURVES!$D$9:$K$261,3))*(INDEX(DailyScalarsTable,U$5/100,MONTH($A44)))*$B44</f>
        <v>-63156.645870766784</v>
      </c>
      <c r="V44" s="1021">
        <f>(VLOOKUP(YEAR($A44),'NY East Load Projections'!$A$4:$EO$14,((MONTH($A44)-1)*12)+VLOOKUP(V$4,$DE$6:$DF$17,2)+1))*(VLOOKUP($A44,CURVES!$D$9:$K$261,3))*(INDEX(DailyScalarsTable,V$5/100,MONTH($A44)))*$B44</f>
        <v>-59980.708470910977</v>
      </c>
      <c r="W44" s="1021">
        <f>(VLOOKUP(YEAR($A44),'NY East Load Projections'!$A$4:$EO$14,((MONTH($A44)-1)*12)+VLOOKUP(W$4,$DE$6:$DF$17,2)+1))*(VLOOKUP($A44,CURVES!$D$9:$K$261,3))*(INDEX(DailyScalarsTable,W$5/100,MONTH($A44)))*$B44</f>
        <v>-58788.788971677677</v>
      </c>
      <c r="X44" s="1021">
        <f>(VLOOKUP(YEAR($A44),'NY East Load Projections'!$A$4:$EO$14,((MONTH($A44)-1)*12)+VLOOKUP(X$4,$DE$6:$DF$17,2)+1))*(VLOOKUP($A44,CURVES!$D$9:$K$261,3))*(INDEX(DailyScalarsTable,X$5/100,MONTH($A44)))*$B44</f>
        <v>-60459.561424404012</v>
      </c>
      <c r="Y44" s="1021">
        <f>(VLOOKUP(YEAR($A44),'NY East Load Projections'!$A$4:$EO$14,((MONTH($A44)-1)*12)+VLOOKUP(Y$4,$DE$6:$DF$17,2)+1))*(VLOOKUP($A44,CURVES!$D$9:$K$261,3))*(INDEX(DailyScalarsTable,Y$5/100,MONTH($A44)))*$B44</f>
        <v>-82427.38935721184</v>
      </c>
      <c r="Z44" s="1021">
        <f>(VLOOKUP(YEAR($A44),'NY East Load Projections'!$A$4:$EO$14,((MONTH($A44)-1)*12)+VLOOKUP(Z$4,$DE$6:$DF$17,2)+1))*(VLOOKUP($A44,CURVES!$D$9:$K$261,3))*(INDEX(DailyScalarsTable,Z$5/100,MONTH($A44)))*$B44</f>
        <v>-90511.436176670744</v>
      </c>
      <c r="AA44" s="1021">
        <f>(VLOOKUP(YEAR($A44),'NY East Load Projections'!$A$4:$EO$14,((MONTH($A44)-1)*12)+VLOOKUP(AA$4,$DE$6:$DF$17,2)+1))*(VLOOKUP($A44,CURVES!$D$9:$K$261,3))*(INDEX(DailyScalarsTable,AA$5/100,MONTH($A44)))*$B44</f>
        <v>-86604.621296492085</v>
      </c>
      <c r="AB44" s="1021">
        <f>(VLOOKUP(YEAR($A44),'NY East Load Projections'!$A$4:$EO$14,((MONTH($A44)-1)*12)+VLOOKUP(AB$4,$DE$6:$DF$17,2)+1))*(VLOOKUP($A44,CURVES!$D$9:$K$261,3))*(INDEX(DailyScalarsTable,AB$5/100,MONTH($A44)))*$B44</f>
        <v>-72831.278085403552</v>
      </c>
      <c r="AC44" s="1021">
        <f>(VLOOKUP(YEAR($A44),'NY East Load Projections'!$A$4:$EO$14,((MONTH($A44)-1)*12)+VLOOKUP(AC$4,$DE$6:$DF$17,2)+1))*(VLOOKUP($A44,CURVES!$D$9:$K$261,3))*(INDEX(DailyScalarsTable,AC$5/100,MONTH($A44)))*$B44</f>
        <v>-52885.518931109116</v>
      </c>
      <c r="AD44" s="1021">
        <f>(VLOOKUP(YEAR($A44),'NY East Load Projections'!$A$4:$EO$14,((MONTH($A44)-1)*12)+VLOOKUP(AD$4,$DE$6:$DF$17,2)+1))*(VLOOKUP($A44,CURVES!$D$9:$K$261,3))*(INDEX(DailyScalarsTable,AD$5/100,MONTH($A44)))*$B44</f>
        <v>-43408.73923088632</v>
      </c>
      <c r="AE44" s="1021">
        <f>(VLOOKUP(YEAR($A44),'NY East Load Projections'!$A$4:$EO$14,((MONTH($A44)-1)*12)+VLOOKUP(AE$4,$DE$6:$DF$17,2)+1))*(VLOOKUP($A44,CURVES!$D$9:$K$261,7))*(INDEX(DailyScalarsTable,AE$5/100,MONTH($A44)))*$B44</f>
        <v>-39595.968675094169</v>
      </c>
      <c r="AF44" s="1021"/>
      <c r="AG44" s="1021">
        <f>(VLOOKUP(YEAR($A44),'NY East Load Projections'!$A$4:$EO$14,((MONTH($A44)-1)*12)+VLOOKUP(AG$4,$DE$6:$DF$17,2)+1))*(VLOOKUP($A44,CURVES!$D$9:$T$261,7))*(INDEX(DailyScalarsTable,AG$5/100,MONTH($A44)))*$C44</f>
        <v>-6037.1555082420437</v>
      </c>
      <c r="AH44" s="1021">
        <f>(VLOOKUP(YEAR($A44),'NY East Load Projections'!$A$4:$EO$14,((MONTH($A44)-1)*12)+VLOOKUP(AH$4,$DE$6:$DF$17,2)+1))*(VLOOKUP($A44,CURVES!$D$9:$T$261,7))*(INDEX(DailyScalarsTable,AH$5/100,MONTH($A44)))*$C44</f>
        <v>-5708.3983186887954</v>
      </c>
      <c r="AI44" s="1021">
        <f>(VLOOKUP(YEAR($A44),'NY East Load Projections'!$A$4:$EO$14,((MONTH($A44)-1)*12)+VLOOKUP(AI$4,$DE$6:$DF$17,2)+1))*(VLOOKUP($A44,CURVES!$D$9:$T$261,7))*(INDEX(DailyScalarsTable,AI$5/100,MONTH($A44)))*$C44</f>
        <v>-5465.1150787285378</v>
      </c>
      <c r="AJ44" s="1021">
        <f>(VLOOKUP(YEAR($A44),'NY East Load Projections'!$A$4:$EO$14,((MONTH($A44)-1)*12)+VLOOKUP(AJ$4,$DE$6:$DF$17,2)+1))*(VLOOKUP($A44,CURVES!$D$9:$T$261,7))*(INDEX(DailyScalarsTable,AJ$5/100,MONTH($A44)))*$C44</f>
        <v>-5468.5457154756559</v>
      </c>
      <c r="AK44" s="1021">
        <f>(VLOOKUP(YEAR($A44),'NY East Load Projections'!$A$4:$EO$14,((MONTH($A44)-1)*12)+VLOOKUP(AK$4,$DE$6:$DF$17,2)+1))*(VLOOKUP($A44,CURVES!$D$9:$T$261,7))*(INDEX(DailyScalarsTable,AK$5/100,MONTH($A44)))*$C44</f>
        <v>-5954.0241904033501</v>
      </c>
      <c r="AL44" s="1021">
        <f>(VLOOKUP(YEAR($A44),'NY East Load Projections'!$A$4:$EO$14,((MONTH($A44)-1)*12)+VLOOKUP(AL$4,$DE$6:$DF$17,2)+1))*(VLOOKUP($A44,CURVES!$D$9:$T$261,7))*(INDEX(DailyScalarsTable,AL$5/100,MONTH($A44)))*$C44</f>
        <v>-6911.2723428557911</v>
      </c>
      <c r="AM44" s="1021">
        <f>(VLOOKUP(YEAR($A44),'NY East Load Projections'!$A$4:$EO$14,((MONTH($A44)-1)*12)+VLOOKUP(AM$4,$DE$6:$DF$17,2)+1))*(VLOOKUP($A44,CURVES!$D$9:$T$261,7))*(INDEX(DailyScalarsTable,AM$5/100,MONTH($A44)))*$C44</f>
        <v>-12470.608242067114</v>
      </c>
      <c r="AN44" s="1021">
        <f>(VLOOKUP(YEAR($A44),'NY East Load Projections'!$A$4:$EO$14,((MONTH($A44)-1)*12)+VLOOKUP(AN$4,$DE$6:$DF$17,2)+1))*(VLOOKUP($A44,SatSunCurve,3))*(INDEX(DailyScalarsTable,AN$5/100,MONTH($A44)))*$C44</f>
        <v>-8464.5268544740757</v>
      </c>
      <c r="AO44" s="1021">
        <f>(VLOOKUP(YEAR($A44),'NY East Load Projections'!$A$4:$EO$14,((MONTH($A44)-1)*12)+VLOOKUP(AO$4,$DE$6:$DF$17,2)+1))*(VLOOKUP($A44,SatSunCurve,3))*(INDEX(DailyScalarsTable,AO$5/100,MONTH($A44)))*$C44</f>
        <v>-9503.4497413247627</v>
      </c>
      <c r="AP44" s="1021">
        <f>(VLOOKUP(YEAR($A44),'NY East Load Projections'!$A$4:$EO$14,((MONTH($A44)-1)*12)+VLOOKUP(AP$4,$DE$6:$DF$17,2)+1))*(VLOOKUP($A44,SatSunCurve,3))*(INDEX(DailyScalarsTable,AP$5/100,MONTH($A44)))*$C44</f>
        <v>-9474.6949766006328</v>
      </c>
      <c r="AQ44" s="1021">
        <f>(VLOOKUP(YEAR($A44),'NY East Load Projections'!$A$4:$EO$14,((MONTH($A44)-1)*12)+VLOOKUP(AQ$4,$DE$6:$DF$17,2)+1))*(VLOOKUP($A44,SatSunCurve,3))*(INDEX(DailyScalarsTable,AQ$5/100,MONTH($A44)))*$C44</f>
        <v>-9307.7575925077708</v>
      </c>
      <c r="AR44" s="1021">
        <f>(VLOOKUP(YEAR($A44),'NY East Load Projections'!$A$4:$EO$14,((MONTH($A44)-1)*12)+VLOOKUP(AR$4,$DE$6:$DF$17,2)+1))*(VLOOKUP($A44,SatSunCurve,3))*(INDEX(DailyScalarsTable,AR$5/100,MONTH($A44)))*$C44</f>
        <v>-7112.0118084346686</v>
      </c>
      <c r="AS44" s="1021">
        <f>(VLOOKUP(YEAR($A44),'NY East Load Projections'!$A$4:$EO$14,((MONTH($A44)-1)*12)+VLOOKUP(AS$4,$DE$6:$DF$17,2)+1))*(VLOOKUP($A44,SatSunCurve,3))*(INDEX(DailyScalarsTable,AS$5/100,MONTH($A44)))*$C44</f>
        <v>-6943.5341560630932</v>
      </c>
      <c r="AT44" s="1021">
        <f>(VLOOKUP(YEAR($A44),'NY East Load Projections'!$A$4:$EO$14,((MONTH($A44)-1)*12)+VLOOKUP(AT$4,$DE$6:$DF$17,2)+1))*(VLOOKUP($A44,SatSunCurve,3))*(INDEX(DailyScalarsTable,AT$5/100,MONTH($A44)))*$C44</f>
        <v>-6721.9320021461863</v>
      </c>
      <c r="AU44" s="1021">
        <f>(VLOOKUP(YEAR($A44),'NY East Load Projections'!$A$4:$EO$14,((MONTH($A44)-1)*12)+VLOOKUP(AU$4,$DE$6:$DF$17,2)+1))*(VLOOKUP($A44,SatSunCurve,3))*(INDEX(DailyScalarsTable,AU$5/100,MONTH($A44)))*$C44</f>
        <v>-6383.9084267874259</v>
      </c>
      <c r="AV44" s="1021">
        <f>(VLOOKUP(YEAR($A44),'NY East Load Projections'!$A$4:$EO$14,((MONTH($A44)-1)*12)+VLOOKUP(AV$4,$DE$6:$DF$17,2)+1))*(VLOOKUP($A44,SatSunCurve,3))*(INDEX(DailyScalarsTable,AV$5/100,MONTH($A44)))*$C44</f>
        <v>-6257.0492227335435</v>
      </c>
      <c r="AW44" s="1021">
        <f>(VLOOKUP(YEAR($A44),'NY East Load Projections'!$A$4:$EO$14,((MONTH($A44)-1)*12)+VLOOKUP(AW$4,$DE$6:$DF$17,2)+1))*(VLOOKUP($A44,SatSunCurve,3))*(INDEX(DailyScalarsTable,AW$5/100,MONTH($A44)))*$C44</f>
        <v>-6531.0106261468145</v>
      </c>
      <c r="AX44" s="1021">
        <f>(VLOOKUP(YEAR($A44),'NY East Load Projections'!$A$4:$EO$14,((MONTH($A44)-1)*12)+VLOOKUP(AX$4,$DE$6:$DF$17,2)+1))*(VLOOKUP($A44,SatSunCurve,3))*(INDEX(DailyScalarsTable,AX$5/100,MONTH($A44)))*$C44</f>
        <v>-8904.0367328929569</v>
      </c>
      <c r="AY44" s="1021">
        <f>(VLOOKUP(YEAR($A44),'NY East Load Projections'!$A$4:$EO$14,((MONTH($A44)-1)*12)+VLOOKUP(AY$4,$DE$6:$DF$17,2)+1))*(VLOOKUP($A44,SatSunCurve,3))*(INDEX(DailyScalarsTable,AY$5/100,MONTH($A44)))*$C44</f>
        <v>-9777.2980407204959</v>
      </c>
      <c r="AZ44" s="1021">
        <f>(VLOOKUP(YEAR($A44),'NY East Load Projections'!$A$4:$EO$14,((MONTH($A44)-1)*12)+VLOOKUP(AZ$4,$DE$6:$DF$17,2)+1))*(VLOOKUP($A44,SatSunCurve,3))*(INDEX(DailyScalarsTable,AZ$5/100,MONTH($A44)))*$C44</f>
        <v>-9355.2729896665187</v>
      </c>
      <c r="BA44" s="1021">
        <f>(VLOOKUP(YEAR($A44),'NY East Load Projections'!$A$4:$EO$14,((MONTH($A44)-1)*12)+VLOOKUP(BA$4,$DE$6:$DF$17,2)+1))*(VLOOKUP($A44,SatSunCurve,3))*(INDEX(DailyScalarsTable,BA$5/100,MONTH($A44)))*$C44</f>
        <v>-8503.4140222392289</v>
      </c>
      <c r="BB44" s="1021">
        <f>(VLOOKUP(YEAR($A44),'NY East Load Projections'!$A$4:$EO$14,((MONTH($A44)-1)*12)+VLOOKUP(BB$4,$DE$6:$DF$17,2)+1))*(VLOOKUP($A44,SatSunCurve,3))*(INDEX(DailyScalarsTable,BB$5/100,MONTH($A44)))*$C44</f>
        <v>-6174.6474189956507</v>
      </c>
      <c r="BC44" s="1021">
        <f>(VLOOKUP(YEAR($A44),'NY East Load Projections'!$A$4:$EO$14,((MONTH($A44)-1)*12)+VLOOKUP(BC$4,$DE$6:$DF$17,2)+1))*(VLOOKUP($A44,SatSunCurve,3))*(INDEX(DailyScalarsTable,BC$5/100,MONTH($A44)))*$C44</f>
        <v>-5068.1862458984142</v>
      </c>
      <c r="BD44" s="1021">
        <f>(VLOOKUP(YEAR($A44),'NY East Load Projections'!$A$4:$EO$14,((MONTH($A44)-1)*12)+VLOOKUP(BD$4,$DE$6:$DF$17,2)+1))*(VLOOKUP($A44,CURVES!$D$9:$T$261,7))*(INDEX(DailyScalarsTable,BD$5/100,MONTH($A44)))*$C44</f>
        <v>-7230.7761529262634</v>
      </c>
      <c r="BE44" s="1021"/>
      <c r="BF44" s="1021">
        <f>(VLOOKUP(YEAR($A44),'NY East Load Projections'!$A$4:$EO$14,((MONTH($A44)-1)*12)+VLOOKUP(BF$4,$DE$6:$DF$17,2)+1))*(VLOOKUP($A44,CURVES!$D$9:$T$261,7))*(INDEX(DailyScalarsTable,BF$5/100,MONTH($A44)))*$D44</f>
        <v>-6037.1555082420437</v>
      </c>
      <c r="BG44" s="1021">
        <f>(VLOOKUP(YEAR($A44),'NY East Load Projections'!$A$4:$EO$14,((MONTH($A44)-1)*12)+VLOOKUP(BG$4,$DE$6:$DF$17,2)+1))*(VLOOKUP($A44,CURVES!$D$9:$T$261,7))*(INDEX(DailyScalarsTable,BG$5/100,MONTH($A44)))*$D44</f>
        <v>-5708.3983186887954</v>
      </c>
      <c r="BH44" s="1021">
        <f>(VLOOKUP(YEAR($A44),'NY East Load Projections'!$A$4:$EO$14,((MONTH($A44)-1)*12)+VLOOKUP(BH$4,$DE$6:$DF$17,2)+1))*(VLOOKUP($A44,CURVES!$D$9:$T$261,7))*(INDEX(DailyScalarsTable,BH$5/100,MONTH($A44)))*$D44</f>
        <v>-5465.1150787285378</v>
      </c>
      <c r="BI44" s="1021">
        <f>(VLOOKUP(YEAR($A44),'NY East Load Projections'!$A$4:$EO$14,((MONTH($A44)-1)*12)+VLOOKUP(BI$4,$DE$6:$DF$17,2)+1))*(VLOOKUP($A44,CURVES!$D$9:$T$261,7))*(INDEX(DailyScalarsTable,BI$5/100,MONTH($A44)))*$D44</f>
        <v>-5468.5457154756559</v>
      </c>
      <c r="BJ44" s="1021">
        <f>(VLOOKUP(YEAR($A44),'NY East Load Projections'!$A$4:$EO$14,((MONTH($A44)-1)*12)+VLOOKUP(BJ$4,$DE$6:$DF$17,2)+1))*(VLOOKUP($A44,CURVES!$D$9:$T$261,7))*(INDEX(DailyScalarsTable,BJ$5/100,MONTH($A44)))*$D44</f>
        <v>-5954.0241904033501</v>
      </c>
      <c r="BK44" s="1021">
        <f>(VLOOKUP(YEAR($A44),'NY East Load Projections'!$A$4:$EO$14,((MONTH($A44)-1)*12)+VLOOKUP(BK$4,$DE$6:$DF$17,2)+1))*(VLOOKUP($A44,CURVES!$D$9:$T$261,7))*(INDEX(DailyScalarsTable,BK$5/100,MONTH($A44)))*$D44</f>
        <v>-6911.2723428557911</v>
      </c>
      <c r="BL44" s="1021">
        <f>(VLOOKUP(YEAR($A44),'NY East Load Projections'!$A$4:$EO$14,((MONTH($A44)-1)*12)+VLOOKUP(BL$4,$DE$6:$DF$17,2)+1))*(VLOOKUP($A44,CURVES!$D$9:$T$261,7))*(INDEX(DailyScalarsTable,BL$5/100,MONTH($A44)))*$D44</f>
        <v>-12470.608242067114</v>
      </c>
      <c r="BM44" s="1021">
        <f>(VLOOKUP(YEAR($A44),'NY East Load Projections'!$A$4:$EO$14,((MONTH($A44)-1)*12)+VLOOKUP(BM$4,$DE$6:$DF$17,2)+1))*(VLOOKUP($A44,SatSunCurve,7))*(INDEX(DailyScalarsTable,BM$5/100,MONTH($A44)))*$D44</f>
        <v>-8315.5354441523014</v>
      </c>
      <c r="BN44" s="1021">
        <f>(VLOOKUP(YEAR($A44),'NY East Load Projections'!$A$4:$EO$14,((MONTH($A44)-1)*12)+VLOOKUP(BN$4,$DE$6:$DF$17,2)+1))*(VLOOKUP($A44,SatSunCurve,7))*(INDEX(DailyScalarsTable,BN$5/100,MONTH($A44)))*$D44</f>
        <v>-9336.1713565756309</v>
      </c>
      <c r="BO44" s="1021">
        <f>(VLOOKUP(YEAR($A44),'NY East Load Projections'!$A$4:$EO$14,((MONTH($A44)-1)*12)+VLOOKUP(BO$4,$DE$6:$DF$17,2)+1))*(VLOOKUP($A44,SatSunCurve,7))*(INDEX(DailyScalarsTable,BO$5/100,MONTH($A44)))*$D44</f>
        <v>-9307.9227291729803</v>
      </c>
      <c r="BP44" s="1021">
        <f>(VLOOKUP(YEAR($A44),'NY East Load Projections'!$A$4:$EO$14,((MONTH($A44)-1)*12)+VLOOKUP(BP$4,$DE$6:$DF$17,2)+1))*(VLOOKUP($A44,SatSunCurve,7))*(INDEX(DailyScalarsTable,BP$5/100,MONTH($A44)))*$D44</f>
        <v>-9143.9237534187105</v>
      </c>
      <c r="BQ44" s="1021">
        <f>(VLOOKUP(YEAR($A44),'NY East Load Projections'!$A$4:$EO$14,((MONTH($A44)-1)*12)+VLOOKUP(BQ$4,$DE$6:$DF$17,2)+1))*(VLOOKUP($A44,SatSunCurve,7))*(INDEX(DailyScalarsTable,BQ$5/100,MONTH($A44)))*$D44</f>
        <v>-6986.8271775886205</v>
      </c>
      <c r="BR44" s="1021">
        <f>(VLOOKUP(YEAR($A44),'NY East Load Projections'!$A$4:$EO$14,((MONTH($A44)-1)*12)+VLOOKUP(BR$4,$DE$6:$DF$17,2)+1))*(VLOOKUP($A44,SatSunCurve,7))*(INDEX(DailyScalarsTable,BR$5/100,MONTH($A44)))*$D44</f>
        <v>-6821.3150451410893</v>
      </c>
      <c r="BS44" s="1021">
        <f>(VLOOKUP(YEAR($A44),'NY East Load Projections'!$A$4:$EO$14,((MONTH($A44)-1)*12)+VLOOKUP(BS$4,$DE$6:$DF$17,2)+1))*(VLOOKUP($A44,SatSunCurve,7))*(INDEX(DailyScalarsTable,BS$5/100,MONTH($A44)))*$D44</f>
        <v>-6603.6135011472243</v>
      </c>
      <c r="BT44" s="1021">
        <f>(VLOOKUP(YEAR($A44),'NY East Load Projections'!$A$4:$EO$14,((MONTH($A44)-1)*12)+VLOOKUP(BT$4,$DE$6:$DF$17,2)+1))*(VLOOKUP($A44,SatSunCurve,7))*(INDEX(DailyScalarsTable,BT$5/100,MONTH($A44)))*$D44</f>
        <v>-6271.5397691855687</v>
      </c>
      <c r="BU44" s="1021">
        <f>(VLOOKUP(YEAR($A44),'NY East Load Projections'!$A$4:$EO$14,((MONTH($A44)-1)*12)+VLOOKUP(BU$4,$DE$6:$DF$17,2)+1))*(VLOOKUP($A44,SatSunCurve,7))*(INDEX(DailyScalarsTable,BU$5/100,MONTH($A44)))*$D44</f>
        <v>-6146.9135229861822</v>
      </c>
      <c r="BV44" s="1021">
        <f>(VLOOKUP(YEAR($A44),'NY East Load Projections'!$A$4:$EO$14,((MONTH($A44)-1)*12)+VLOOKUP(BV$4,$DE$6:$DF$17,2)+1))*(VLOOKUP($A44,SatSunCurve,7))*(INDEX(DailyScalarsTable,BV$5/100,MONTH($A44)))*$D44</f>
        <v>-6416.0526963362699</v>
      </c>
      <c r="BW44" s="1021">
        <f>(VLOOKUP(YEAR($A44),'NY East Load Projections'!$A$4:$EO$14,((MONTH($A44)-1)*12)+VLOOKUP(BW$4,$DE$6:$DF$17,2)+1))*(VLOOKUP($A44,SatSunCurve,7))*(INDEX(DailyScalarsTable,BW$5/100,MONTH($A44)))*$D44</f>
        <v>-8747.309131551674</v>
      </c>
      <c r="BX44" s="1021">
        <f>(VLOOKUP(YEAR($A44),'NY East Load Projections'!$A$4:$EO$14,((MONTH($A44)-1)*12)+VLOOKUP(BX$4,$DE$6:$DF$17,2)+1))*(VLOOKUP($A44,SatSunCurve,7))*(INDEX(DailyScalarsTable,BX$5/100,MONTH($A44)))*$D44</f>
        <v>-9605.1994167491775</v>
      </c>
      <c r="BY44" s="1021">
        <f>(VLOOKUP(YEAR($A44),'NY East Load Projections'!$A$4:$EO$14,((MONTH($A44)-1)*12)+VLOOKUP(BY$4,$DE$6:$DF$17,2)+1))*(VLOOKUP($A44,SatSunCurve,7))*(INDEX(DailyScalarsTable,BY$5/100,MONTH($A44)))*$D44</f>
        <v>-9190.6027912443988</v>
      </c>
      <c r="BZ44" s="1021">
        <f>(VLOOKUP(YEAR($A44),'NY East Load Projections'!$A$4:$EO$14,((MONTH($A44)-1)*12)+VLOOKUP(BZ$4,$DE$6:$DF$17,2)+1))*(VLOOKUP($A44,SatSunCurve,7))*(INDEX(DailyScalarsTable,BZ$5/100,MONTH($A44)))*$D44</f>
        <v>-8353.7381254637694</v>
      </c>
      <c r="CA44" s="1021">
        <f>(VLOOKUP(YEAR($A44),'NY East Load Projections'!$A$4:$EO$14,((MONTH($A44)-1)*12)+VLOOKUP(CA$4,$DE$6:$DF$17,2)+1))*(VLOOKUP($A44,SatSunCurve,7))*(INDEX(DailyScalarsTable,CA$5/100,MONTH($A44)))*$D44</f>
        <v>-6065.9621441997415</v>
      </c>
      <c r="CB44" s="1021">
        <f>(VLOOKUP(YEAR($A44),'NY East Load Projections'!$A$4:$EO$14,((MONTH($A44)-1)*12)+VLOOKUP(CB$4,$DE$6:$DF$17,2)+1))*(VLOOKUP($A44,SatSunCurve,7))*(INDEX(DailyScalarsTable,CB$5/100,MONTH($A44)))*$D44</f>
        <v>-4978.9767449384526</v>
      </c>
      <c r="CC44" s="1021">
        <f>(VLOOKUP(YEAR($A44),'NY East Load Projections'!$A$4:$EO$14,((MONTH($A44)-1)*12)+VLOOKUP(CC$4,$DE$6:$DF$17,2)+1))*(VLOOKUP($A44,CURVES!$D$9:$T$261,7))*(INDEX(DailyScalarsTable,CC$5/100,MONTH($A44)))*$D44</f>
        <v>-7230.7761529262634</v>
      </c>
      <c r="CE44" s="1021">
        <f>(VLOOKUP(YEAR($A44),'NY East Load Projections'!$A$4:$EO$14,((MONTH($A44)-1)*12)+VLOOKUP(CE$4,$DE$6:$DF$17,2)+1))*(VLOOKUP($A44,CURVES!$D$9:$T$261,7))*(INDEX(DailyScalarsTable,CE$5/100,MONTH($A44)))*$E44</f>
        <v>0</v>
      </c>
      <c r="CF44" s="1021">
        <f>(VLOOKUP(YEAR($A44),'NY East Load Projections'!$A$4:$EO$14,((MONTH($A44)-1)*12)+VLOOKUP(CF$4,$DE$6:$DF$17,2)+1))*(VLOOKUP($A44,CURVES!$D$9:$T$261,7))*(INDEX(DailyScalarsTable,CF$5/100,MONTH($A44)))*$E44</f>
        <v>0</v>
      </c>
      <c r="CG44" s="1021">
        <f>(VLOOKUP(YEAR($A44),'NY East Load Projections'!$A$4:$EO$14,((MONTH($A44)-1)*12)+VLOOKUP(CG$4,$DE$6:$DF$17,2)+1))*(VLOOKUP($A44,CURVES!$D$9:$T$261,7))*(INDEX(DailyScalarsTable,CG$5/100,MONTH($A44)))*$E44</f>
        <v>0</v>
      </c>
      <c r="CH44" s="1021">
        <f>(VLOOKUP(YEAR($A44),'NY East Load Projections'!$A$4:$EO$14,((MONTH($A44)-1)*12)+VLOOKUP(CH$4,$DE$6:$DF$17,2)+1))*(VLOOKUP($A44,CURVES!$D$9:$T$261,7))*(INDEX(DailyScalarsTable,CH$5/100,MONTH($A44)))*$E44</f>
        <v>0</v>
      </c>
      <c r="CI44" s="1021">
        <f>(VLOOKUP(YEAR($A44),'NY East Load Projections'!$A$4:$EO$14,((MONTH($A44)-1)*12)+VLOOKUP(CI$4,$DE$6:$DF$17,2)+1))*(VLOOKUP($A44,CURVES!$D$9:$T$261,7))*(INDEX(DailyScalarsTable,CI$5/100,MONTH($A44)))*$E44</f>
        <v>0</v>
      </c>
      <c r="CJ44" s="1021">
        <f>(VLOOKUP(YEAR($A44),'NY East Load Projections'!$A$4:$EO$14,((MONTH($A44)-1)*12)+VLOOKUP(CJ$4,$DE$6:$DF$17,2)+1))*(VLOOKUP($A44,CURVES!$D$9:$T$261,7))*(INDEX(DailyScalarsTable,CJ$5/100,MONTH($A44)))*$E44</f>
        <v>0</v>
      </c>
      <c r="CK44" s="1021">
        <f>(VLOOKUP(YEAR($A44),'NY East Load Projections'!$A$4:$EO$14,((MONTH($A44)-1)*12)+VLOOKUP(CK$4,$DE$6:$DF$17,2)+1))*(VLOOKUP($A44,CURVES!$D$9:$T$261,7))*(INDEX(DailyScalarsTable,CK$5/100,MONTH($A44)))*$E44</f>
        <v>0</v>
      </c>
      <c r="CL44" s="1021">
        <f>(VLOOKUP(YEAR($A44),'NY East Load Projections'!$A$4:$EO$14,((MONTH($A44)-1)*12)+VLOOKUP(CL$4,$DE$6:$DF$17,2)+1))*(VLOOKUP($A44,SatSunCurve,7))*(INDEX(DailyScalarsTable,CL$5/100,MONTH($A44)))*$E44</f>
        <v>0</v>
      </c>
      <c r="CM44" s="1021">
        <f>(VLOOKUP(YEAR($A44),'NY East Load Projections'!$A$4:$EO$14,((MONTH($A44)-1)*12)+VLOOKUP(CM$4,$DE$6:$DF$17,2)+1))*(VLOOKUP($A44,SatSunCurve,7))*(INDEX(DailyScalarsTable,CM$5/100,MONTH($A44)))*$E44</f>
        <v>0</v>
      </c>
      <c r="CN44" s="1021">
        <f>(VLOOKUP(YEAR($A44),'NY East Load Projections'!$A$4:$EO$14,((MONTH($A44)-1)*12)+VLOOKUP(CN$4,$DE$6:$DF$17,2)+1))*(VLOOKUP($A44,SatSunCurve,7))*(INDEX(DailyScalarsTable,CN$5/100,MONTH($A44)))*$E44</f>
        <v>0</v>
      </c>
      <c r="CO44" s="1021">
        <f>(VLOOKUP(YEAR($A44),'NY East Load Projections'!$A$4:$EO$14,((MONTH($A44)-1)*12)+VLOOKUP(CO$4,$DE$6:$DF$17,2)+1))*(VLOOKUP($A44,SatSunCurve,7))*(INDEX(DailyScalarsTable,CO$5/100,MONTH($A44)))*$E44</f>
        <v>0</v>
      </c>
      <c r="CP44" s="1021">
        <f>(VLOOKUP(YEAR($A44),'NY East Load Projections'!$A$4:$EO$14,((MONTH($A44)-1)*12)+VLOOKUP(CP$4,$DE$6:$DF$17,2)+1))*(VLOOKUP($A44,SatSunCurve,7))*(INDEX(DailyScalarsTable,CP$5/100,MONTH($A44)))*$E44</f>
        <v>0</v>
      </c>
      <c r="CQ44" s="1021">
        <f>(VLOOKUP(YEAR($A44),'NY East Load Projections'!$A$4:$EO$14,((MONTH($A44)-1)*12)+VLOOKUP(CQ$4,$DE$6:$DF$17,2)+1))*(VLOOKUP($A44,SatSunCurve,7))*(INDEX(DailyScalarsTable,CQ$5/100,MONTH($A44)))*$E44</f>
        <v>0</v>
      </c>
      <c r="CR44" s="1021">
        <f>(VLOOKUP(YEAR($A44),'NY East Load Projections'!$A$4:$EO$14,((MONTH($A44)-1)*12)+VLOOKUP(CR$4,$DE$6:$DF$17,2)+1))*(VLOOKUP($A44,SatSunCurve,7))*(INDEX(DailyScalarsTable,CR$5/100,MONTH($A44)))*$E44</f>
        <v>0</v>
      </c>
      <c r="CS44" s="1021">
        <f>(VLOOKUP(YEAR($A44),'NY East Load Projections'!$A$4:$EO$14,((MONTH($A44)-1)*12)+VLOOKUP(CS$4,$DE$6:$DF$17,2)+1))*(VLOOKUP($A44,SatSunCurve,7))*(INDEX(DailyScalarsTable,CS$5/100,MONTH($A44)))*$E44</f>
        <v>0</v>
      </c>
      <c r="CT44" s="1021">
        <f>(VLOOKUP(YEAR($A44),'NY East Load Projections'!$A$4:$EO$14,((MONTH($A44)-1)*12)+VLOOKUP(CT$4,$DE$6:$DF$17,2)+1))*(VLOOKUP($A44,SatSunCurve,7))*(INDEX(DailyScalarsTable,CT$5/100,MONTH($A44)))*$E44</f>
        <v>0</v>
      </c>
      <c r="CU44" s="1021">
        <f>(VLOOKUP(YEAR($A44),'NY East Load Projections'!$A$4:$EO$14,((MONTH($A44)-1)*12)+VLOOKUP(CU$4,$DE$6:$DF$17,2)+1))*(VLOOKUP($A44,SatSunCurve,7))*(INDEX(DailyScalarsTable,CU$5/100,MONTH($A44)))*$E44</f>
        <v>0</v>
      </c>
      <c r="CV44" s="1021">
        <f>(VLOOKUP(YEAR($A44),'NY East Load Projections'!$A$4:$EO$14,((MONTH($A44)-1)*12)+VLOOKUP(CV$4,$DE$6:$DF$17,2)+1))*(VLOOKUP($A44,SatSunCurve,7))*(INDEX(DailyScalarsTable,CV$5/100,MONTH($A44)))*$E44</f>
        <v>0</v>
      </c>
      <c r="CW44" s="1021">
        <f>(VLOOKUP(YEAR($A44),'NY East Load Projections'!$A$4:$EO$14,((MONTH($A44)-1)*12)+VLOOKUP(CW$4,$DE$6:$DF$17,2)+1))*(VLOOKUP($A44,SatSunCurve,7))*(INDEX(DailyScalarsTable,CW$5/100,MONTH($A44)))*$E44</f>
        <v>0</v>
      </c>
      <c r="CX44" s="1021">
        <f>(VLOOKUP(YEAR($A44),'NY East Load Projections'!$A$4:$EO$14,((MONTH($A44)-1)*12)+VLOOKUP(CX$4,$DE$6:$DF$17,2)+1))*(VLOOKUP($A44,SatSunCurve,7))*(INDEX(DailyScalarsTable,CX$5/100,MONTH($A44)))*$E44</f>
        <v>0</v>
      </c>
      <c r="CY44" s="1021">
        <f>(VLOOKUP(YEAR($A44),'NY East Load Projections'!$A$4:$EO$14,((MONTH($A44)-1)*12)+VLOOKUP(CY$4,$DE$6:$DF$17,2)+1))*(VLOOKUP($A44,SatSunCurve,7))*(INDEX(DailyScalarsTable,CY$5/100,MONTH($A44)))*$E44</f>
        <v>0</v>
      </c>
      <c r="CZ44" s="1021">
        <f>(VLOOKUP(YEAR($A44),'NY East Load Projections'!$A$4:$EO$14,((MONTH($A44)-1)*12)+VLOOKUP(CZ$4,$DE$6:$DF$17,2)+1))*(VLOOKUP($A44,SatSunCurve,7))*(INDEX(DailyScalarsTable,CZ$5/100,MONTH($A44)))*$E44</f>
        <v>0</v>
      </c>
      <c r="DA44" s="1021">
        <f>(VLOOKUP(YEAR($A44),'NY East Load Projections'!$A$4:$EO$14,((MONTH($A44)-1)*12)+VLOOKUP(DA$4,$DE$6:$DF$17,2)+1))*(VLOOKUP($A44,SatSunCurve,7))*(INDEX(DailyScalarsTable,DA$5/100,MONTH($A44)))*$E44</f>
        <v>0</v>
      </c>
      <c r="DB44" s="1021">
        <f>(VLOOKUP(YEAR($A44),'NY East Load Projections'!$A$4:$EO$14,((MONTH($A44)-1)*12)+VLOOKUP(DB$4,$DE$6:$DF$17,2)+1))*(VLOOKUP($A44,CURVES!$D$9:$T$261,7))*(INDEX(DailyScalarsTable,DB$5/100,MONTH($A44)))*$E44</f>
        <v>0</v>
      </c>
      <c r="DH44" s="1032">
        <f t="shared" si="0"/>
        <v>-1790282.7449805213</v>
      </c>
      <c r="DI44">
        <f ca="1">CALC!J64</f>
        <v>0.74457726488595455</v>
      </c>
      <c r="DJ44" s="1029">
        <f t="shared" ca="1" si="1"/>
        <v>-1333003.8296301153</v>
      </c>
    </row>
    <row r="45" spans="1:114" x14ac:dyDescent="0.25">
      <c r="A45" s="244">
        <v>38078</v>
      </c>
      <c r="B45" s="13">
        <v>22</v>
      </c>
      <c r="C45" s="210">
        <v>4</v>
      </c>
      <c r="D45" s="210">
        <v>4</v>
      </c>
      <c r="E45" s="210">
        <v>0</v>
      </c>
      <c r="F45" s="13">
        <v>30</v>
      </c>
      <c r="H45" s="1021">
        <f>(VLOOKUP(YEAR($A45),'NY East Load Projections'!$A$4:$EO$14,((MONTH($A45)-1)*12)+VLOOKUP(H$4,$DE$6:$DF$17,2)+1))*(VLOOKUP($A45,CURVES!$D$9:$K$261,7))*(INDEX(DailyScalarsTable,H$5/100,MONTH($A45)))*$B45</f>
        <v>-34195.269055307603</v>
      </c>
      <c r="I45" s="1021">
        <f>(VLOOKUP(YEAR($A45),'NY East Load Projections'!$A$4:$EO$14,((MONTH($A45)-1)*12)+VLOOKUP(I$4,$DE$6:$DF$17,2)+1))*(VLOOKUP($A45,CURVES!$D$9:$K$261,7))*(INDEX(DailyScalarsTable,I$5/100,MONTH($A45)))*$B45</f>
        <v>-32433.24809570505</v>
      </c>
      <c r="J45" s="1021">
        <f>(VLOOKUP(YEAR($A45),'NY East Load Projections'!$A$4:$EO$14,((MONTH($A45)-1)*12)+VLOOKUP(J$4,$DE$6:$DF$17,2)+1))*(VLOOKUP($A45,CURVES!$D$9:$K$261,7))*(INDEX(DailyScalarsTable,J$5/100,MONTH($A45)))*$B45</f>
        <v>-31129.336937100379</v>
      </c>
      <c r="K45" s="1021">
        <f>(VLOOKUP(YEAR($A45),'NY East Load Projections'!$A$4:$EO$14,((MONTH($A45)-1)*12)+VLOOKUP(K$4,$DE$6:$DF$17,2)+1))*(VLOOKUP($A45,CURVES!$D$9:$K$261,7))*(INDEX(DailyScalarsTable,K$5/100,MONTH($A45)))*$B45</f>
        <v>-31147.723923135327</v>
      </c>
      <c r="L45" s="1021">
        <f>(VLOOKUP(YEAR($A45),'NY East Load Projections'!$A$4:$EO$14,((MONTH($A45)-1)*12)+VLOOKUP(L$4,$DE$6:$DF$17,2)+1))*(VLOOKUP($A45,CURVES!$D$9:$K$261,7))*(INDEX(DailyScalarsTable,L$5/100,MONTH($A45)))*$B45</f>
        <v>-36510.354097438998</v>
      </c>
      <c r="M45" s="1021">
        <f>(VLOOKUP(YEAR($A45),'NY East Load Projections'!$A$4:$EO$14,((MONTH($A45)-1)*12)+VLOOKUP(M$4,$DE$6:$DF$17,2)+1))*(VLOOKUP($A45,CURVES!$D$9:$K$261,7))*(INDEX(DailyScalarsTable,M$5/100,MONTH($A45)))*$B45</f>
        <v>-42056.831085379345</v>
      </c>
      <c r="N45" s="1021">
        <f>(VLOOKUP(YEAR($A45),'NY East Load Projections'!$A$4:$EO$14,((MONTH($A45)-1)*12)+VLOOKUP(N$4,$DE$6:$DF$17,2)+1))*(VLOOKUP($A45,CURVES!$D$9:$K$261,7))*(INDEX(DailyScalarsTable,N$5/100,MONTH($A45)))*$B45</f>
        <v>-59985.259572598137</v>
      </c>
      <c r="O45" s="1021">
        <f>(VLOOKUP(YEAR($A45),'NY East Load Projections'!$A$4:$EO$14,((MONTH($A45)-1)*12)+VLOOKUP(O$4,$DE$6:$DF$17,2)+1))*(VLOOKUP($A45,CURVES!$D$9:$K$261,3))*(INDEX(DailyScalarsTable,O$5/100,MONTH($A45)))*$B45</f>
        <v>-72975.463361738992</v>
      </c>
      <c r="P45" s="1021">
        <f>(VLOOKUP(YEAR($A45),'NY East Load Projections'!$A$4:$EO$14,((MONTH($A45)-1)*12)+VLOOKUP(P$4,$DE$6:$DF$17,2)+1))*(VLOOKUP($A45,CURVES!$D$9:$K$261,3))*(INDEX(DailyScalarsTable,P$5/100,MONTH($A45)))*$B45</f>
        <v>-82602.015066407315</v>
      </c>
      <c r="Q45" s="1021">
        <f>(VLOOKUP(YEAR($A45),'NY East Load Projections'!$A$4:$EO$14,((MONTH($A45)-1)*12)+VLOOKUP(Q$4,$DE$6:$DF$17,2)+1))*(VLOOKUP($A45,CURVES!$D$9:$K$261,3))*(INDEX(DailyScalarsTable,Q$5/100,MONTH($A45)))*$B45</f>
        <v>-79162.108840330577</v>
      </c>
      <c r="R45" s="1021">
        <f>(VLOOKUP(YEAR($A45),'NY East Load Projections'!$A$4:$EO$14,((MONTH($A45)-1)*12)+VLOOKUP(R$4,$DE$6:$DF$17,2)+1))*(VLOOKUP($A45,CURVES!$D$9:$K$261,3))*(INDEX(DailyScalarsTable,R$5/100,MONTH($A45)))*$B45</f>
        <v>-80794.11311487628</v>
      </c>
      <c r="S45" s="1021">
        <f>(VLOOKUP(YEAR($A45),'NY East Load Projections'!$A$4:$EO$14,((MONTH($A45)-1)*12)+VLOOKUP(S$4,$DE$6:$DF$17,2)+1))*(VLOOKUP($A45,CURVES!$D$9:$K$261,3))*(INDEX(DailyScalarsTable,S$5/100,MONTH($A45)))*$B45</f>
        <v>-80952.537512690891</v>
      </c>
      <c r="T45" s="1021">
        <f>(VLOOKUP(YEAR($A45),'NY East Load Projections'!$A$4:$EO$14,((MONTH($A45)-1)*12)+VLOOKUP(T$4,$DE$6:$DF$17,2)+1))*(VLOOKUP($A45,CURVES!$D$9:$K$261,3))*(INDEX(DailyScalarsTable,T$5/100,MONTH($A45)))*$B45</f>
        <v>-76314.379302124842</v>
      </c>
      <c r="U45" s="1021">
        <f>(VLOOKUP(YEAR($A45),'NY East Load Projections'!$A$4:$EO$14,((MONTH($A45)-1)*12)+VLOOKUP(U$4,$DE$6:$DF$17,2)+1))*(VLOOKUP($A45,CURVES!$D$9:$K$261,3))*(INDEX(DailyScalarsTable,U$5/100,MONTH($A45)))*$B45</f>
        <v>-76396.553421181437</v>
      </c>
      <c r="V45" s="1021">
        <f>(VLOOKUP(YEAR($A45),'NY East Load Projections'!$A$4:$EO$14,((MONTH($A45)-1)*12)+VLOOKUP(V$4,$DE$6:$DF$17,2)+1))*(VLOOKUP($A45,CURVES!$D$9:$K$261,3))*(INDEX(DailyScalarsTable,V$5/100,MONTH($A45)))*$B45</f>
        <v>-71654.623374443647</v>
      </c>
      <c r="W45" s="1021">
        <f>(VLOOKUP(YEAR($A45),'NY East Load Projections'!$A$4:$EO$14,((MONTH($A45)-1)*12)+VLOOKUP(W$4,$DE$6:$DF$17,2)+1))*(VLOOKUP($A45,CURVES!$D$9:$K$261,3))*(INDEX(DailyScalarsTable,W$5/100,MONTH($A45)))*$B45</f>
        <v>-66969.490145289135</v>
      </c>
      <c r="X45" s="1021">
        <f>(VLOOKUP(YEAR($A45),'NY East Load Projections'!$A$4:$EO$14,((MONTH($A45)-1)*12)+VLOOKUP(X$4,$DE$6:$DF$17,2)+1))*(VLOOKUP($A45,CURVES!$D$9:$K$261,3))*(INDEX(DailyScalarsTable,X$5/100,MONTH($A45)))*$B45</f>
        <v>-61265.603863968769</v>
      </c>
      <c r="Y45" s="1021">
        <f>(VLOOKUP(YEAR($A45),'NY East Load Projections'!$A$4:$EO$14,((MONTH($A45)-1)*12)+VLOOKUP(Y$4,$DE$6:$DF$17,2)+1))*(VLOOKUP($A45,CURVES!$D$9:$K$261,3))*(INDEX(DailyScalarsTable,Y$5/100,MONTH($A45)))*$B45</f>
        <v>-60468.813256125322</v>
      </c>
      <c r="Z45" s="1021">
        <f>(VLOOKUP(YEAR($A45),'NY East Load Projections'!$A$4:$EO$14,((MONTH($A45)-1)*12)+VLOOKUP(Z$4,$DE$6:$DF$17,2)+1))*(VLOOKUP($A45,CURVES!$D$9:$K$261,3))*(INDEX(DailyScalarsTable,Z$5/100,MONTH($A45)))*$B45</f>
        <v>-60144.656621924441</v>
      </c>
      <c r="AA45" s="1021">
        <f>(VLOOKUP(YEAR($A45),'NY East Load Projections'!$A$4:$EO$14,((MONTH($A45)-1)*12)+VLOOKUP(AA$4,$DE$6:$DF$17,2)+1))*(VLOOKUP($A45,CURVES!$D$9:$K$261,3))*(INDEX(DailyScalarsTable,AA$5/100,MONTH($A45)))*$B45</f>
        <v>-65969.275304296418</v>
      </c>
      <c r="AB45" s="1021">
        <f>(VLOOKUP(YEAR($A45),'NY East Load Projections'!$A$4:$EO$14,((MONTH($A45)-1)*12)+VLOOKUP(AB$4,$DE$6:$DF$17,2)+1))*(VLOOKUP($A45,CURVES!$D$9:$K$261,3))*(INDEX(DailyScalarsTable,AB$5/100,MONTH($A45)))*$B45</f>
        <v>-72298.117450487349</v>
      </c>
      <c r="AC45" s="1021">
        <f>(VLOOKUP(YEAR($A45),'NY East Load Projections'!$A$4:$EO$14,((MONTH($A45)-1)*12)+VLOOKUP(AC$4,$DE$6:$DF$17,2)+1))*(VLOOKUP($A45,CURVES!$D$9:$K$261,3))*(INDEX(DailyScalarsTable,AC$5/100,MONTH($A45)))*$B45</f>
        <v>-61603.451768698404</v>
      </c>
      <c r="AD45" s="1021">
        <f>(VLOOKUP(YEAR($A45),'NY East Load Projections'!$A$4:$EO$14,((MONTH($A45)-1)*12)+VLOOKUP(AD$4,$DE$6:$DF$17,2)+1))*(VLOOKUP($A45,CURVES!$D$9:$K$261,3))*(INDEX(DailyScalarsTable,AD$5/100,MONTH($A45)))*$B45</f>
        <v>-54422.934881962399</v>
      </c>
      <c r="AE45" s="1021">
        <f>(VLOOKUP(YEAR($A45),'NY East Load Projections'!$A$4:$EO$14,((MONTH($A45)-1)*12)+VLOOKUP(AE$4,$DE$6:$DF$17,2)+1))*(VLOOKUP($A45,CURVES!$D$9:$K$261,7))*(INDEX(DailyScalarsTable,AE$5/100,MONTH($A45)))*$B45</f>
        <v>-40711.02705305579</v>
      </c>
      <c r="AF45" s="1021"/>
      <c r="AG45" s="1021">
        <f>(VLOOKUP(YEAR($A45),'NY East Load Projections'!$A$4:$EO$14,((MONTH($A45)-1)*12)+VLOOKUP(AG$4,$DE$6:$DF$17,2)+1))*(VLOOKUP($A45,CURVES!$D$9:$T$261,7))*(INDEX(DailyScalarsTable,AG$5/100,MONTH($A45)))*$C45</f>
        <v>-6544.9638481900529</v>
      </c>
      <c r="AH45" s="1021">
        <f>(VLOOKUP(YEAR($A45),'NY East Load Projections'!$A$4:$EO$14,((MONTH($A45)-1)*12)+VLOOKUP(AH$4,$DE$6:$DF$17,2)+1))*(VLOOKUP($A45,CURVES!$D$9:$T$261,7))*(INDEX(DailyScalarsTable,AH$5/100,MONTH($A45)))*$C45</f>
        <v>-6207.7135852458032</v>
      </c>
      <c r="AI45" s="1021">
        <f>(VLOOKUP(YEAR($A45),'NY East Load Projections'!$A$4:$EO$14,((MONTH($A45)-1)*12)+VLOOKUP(AI$4,$DE$6:$DF$17,2)+1))*(VLOOKUP($A45,CURVES!$D$9:$T$261,7))*(INDEX(DailyScalarsTable,AI$5/100,MONTH($A45)))*$C45</f>
        <v>-5958.1453955492652</v>
      </c>
      <c r="AJ45" s="1021">
        <f>(VLOOKUP(YEAR($A45),'NY East Load Projections'!$A$4:$EO$14,((MONTH($A45)-1)*12)+VLOOKUP(AJ$4,$DE$6:$DF$17,2)+1))*(VLOOKUP($A45,CURVES!$D$9:$T$261,7))*(INDEX(DailyScalarsTable,AJ$5/100,MONTH($A45)))*$C45</f>
        <v>-5961.6646589503298</v>
      </c>
      <c r="AK45" s="1021">
        <f>(VLOOKUP(YEAR($A45),'NY East Load Projections'!$A$4:$EO$14,((MONTH($A45)-1)*12)+VLOOKUP(AK$4,$DE$6:$DF$17,2)+1))*(VLOOKUP($A45,CURVES!$D$9:$T$261,7))*(INDEX(DailyScalarsTable,AK$5/100,MONTH($A45)))*$C45</f>
        <v>-6492.3535939336844</v>
      </c>
      <c r="AL45" s="1021">
        <f>(VLOOKUP(YEAR($A45),'NY East Load Projections'!$A$4:$EO$14,((MONTH($A45)-1)*12)+VLOOKUP(AL$4,$DE$6:$DF$17,2)+1))*(VLOOKUP($A45,CURVES!$D$9:$T$261,7))*(INDEX(DailyScalarsTable,AL$5/100,MONTH($A45)))*$C45</f>
        <v>-7478.6406540433227</v>
      </c>
      <c r="AM45" s="1021">
        <f>(VLOOKUP(YEAR($A45),'NY East Load Projections'!$A$4:$EO$14,((MONTH($A45)-1)*12)+VLOOKUP(AM$4,$DE$6:$DF$17,2)+1))*(VLOOKUP($A45,CURVES!$D$9:$T$261,7))*(INDEX(DailyScalarsTable,AM$5/100,MONTH($A45)))*$C45</f>
        <v>-10666.714284113719</v>
      </c>
      <c r="AN45" s="1021">
        <f>(VLOOKUP(YEAR($A45),'NY East Load Projections'!$A$4:$EO$14,((MONTH($A45)-1)*12)+VLOOKUP(AN$4,$DE$6:$DF$17,2)+1))*(VLOOKUP($A45,SatSunCurve,3))*(INDEX(DailyScalarsTable,AN$5/100,MONTH($A45)))*$C45</f>
        <v>-8904.2860452757341</v>
      </c>
      <c r="AO45" s="1021">
        <f>(VLOOKUP(YEAR($A45),'NY East Load Projections'!$A$4:$EO$14,((MONTH($A45)-1)*12)+VLOOKUP(AO$4,$DE$6:$DF$17,2)+1))*(VLOOKUP($A45,SatSunCurve,3))*(INDEX(DailyScalarsTable,AO$5/100,MONTH($A45)))*$C45</f>
        <v>-9732.2987472560562</v>
      </c>
      <c r="AP45" s="1021">
        <f>(VLOOKUP(YEAR($A45),'NY East Load Projections'!$A$4:$EO$14,((MONTH($A45)-1)*12)+VLOOKUP(AP$4,$DE$6:$DF$17,2)+1))*(VLOOKUP($A45,SatSunCurve,3))*(INDEX(DailyScalarsTable,AP$5/100,MONTH($A45)))*$C45</f>
        <v>-9327.0036097486918</v>
      </c>
      <c r="AQ45" s="1021">
        <f>(VLOOKUP(YEAR($A45),'NY East Load Projections'!$A$4:$EO$14,((MONTH($A45)-1)*12)+VLOOKUP(AQ$4,$DE$6:$DF$17,2)+1))*(VLOOKUP($A45,SatSunCurve,3))*(INDEX(DailyScalarsTable,AQ$5/100,MONTH($A45)))*$C45</f>
        <v>-9519.2889086473751</v>
      </c>
      <c r="AR45" s="1021">
        <f>(VLOOKUP(YEAR($A45),'NY East Load Projections'!$A$4:$EO$14,((MONTH($A45)-1)*12)+VLOOKUP(AR$4,$DE$6:$DF$17,2)+1))*(VLOOKUP($A45,SatSunCurve,3))*(INDEX(DailyScalarsTable,AR$5/100,MONTH($A45)))*$C45</f>
        <v>-9537.9547192471091</v>
      </c>
      <c r="AS45" s="1021">
        <f>(VLOOKUP(YEAR($A45),'NY East Load Projections'!$A$4:$EO$14,((MONTH($A45)-1)*12)+VLOOKUP(AS$4,$DE$6:$DF$17,2)+1))*(VLOOKUP($A45,SatSunCurve,3))*(INDEX(DailyScalarsTable,AS$5/100,MONTH($A45)))*$C45</f>
        <v>-8756.5236767784936</v>
      </c>
      <c r="AT45" s="1021">
        <f>(VLOOKUP(YEAR($A45),'NY East Load Projections'!$A$4:$EO$14,((MONTH($A45)-1)*12)+VLOOKUP(AT$4,$DE$6:$DF$17,2)+1))*(VLOOKUP($A45,SatSunCurve,3))*(INDEX(DailyScalarsTable,AT$5/100,MONTH($A45)))*$C45</f>
        <v>-8765.9525632572622</v>
      </c>
      <c r="AU45" s="1021">
        <f>(VLOOKUP(YEAR($A45),'NY East Load Projections'!$A$4:$EO$14,((MONTH($A45)-1)*12)+VLOOKUP(AU$4,$DE$6:$DF$17,2)+1))*(VLOOKUP($A45,SatSunCurve,3))*(INDEX(DailyScalarsTable,AU$5/100,MONTH($A45)))*$C45</f>
        <v>-8221.8503493940007</v>
      </c>
      <c r="AV45" s="1021">
        <f>(VLOOKUP(YEAR($A45),'NY East Load Projections'!$A$4:$EO$14,((MONTH($A45)-1)*12)+VLOOKUP(AV$4,$DE$6:$DF$17,2)+1))*(VLOOKUP($A45,SatSunCurve,3))*(INDEX(DailyScalarsTable,AV$5/100,MONTH($A45)))*$C45</f>
        <v>-7684.2651600087165</v>
      </c>
      <c r="AW45" s="1021">
        <f>(VLOOKUP(YEAR($A45),'NY East Load Projections'!$A$4:$EO$14,((MONTH($A45)-1)*12)+VLOOKUP(AW$4,$DE$6:$DF$17,2)+1))*(VLOOKUP($A45,SatSunCurve,3))*(INDEX(DailyScalarsTable,AW$5/100,MONTH($A45)))*$C45</f>
        <v>-7095.3637756533108</v>
      </c>
      <c r="AX45" s="1021">
        <f>(VLOOKUP(YEAR($A45),'NY East Load Projections'!$A$4:$EO$14,((MONTH($A45)-1)*12)+VLOOKUP(AX$4,$DE$6:$DF$17,2)+1))*(VLOOKUP($A45,SatSunCurve,3))*(INDEX(DailyScalarsTable,AX$5/100,MONTH($A45)))*$C45</f>
        <v>-7003.0849297902059</v>
      </c>
      <c r="AY45" s="1021">
        <f>(VLOOKUP(YEAR($A45),'NY East Load Projections'!$A$4:$EO$14,((MONTH($A45)-1)*12)+VLOOKUP(AY$4,$DE$6:$DF$17,2)+1))*(VLOOKUP($A45,SatSunCurve,3))*(INDEX(DailyScalarsTable,AY$5/100,MONTH($A45)))*$C45</f>
        <v>-6965.5433225116176</v>
      </c>
      <c r="AZ45" s="1021">
        <f>(VLOOKUP(YEAR($A45),'NY East Load Projections'!$A$4:$EO$14,((MONTH($A45)-1)*12)+VLOOKUP(AZ$4,$DE$6:$DF$17,2)+1))*(VLOOKUP($A45,SatSunCurve,3))*(INDEX(DailyScalarsTable,AZ$5/100,MONTH($A45)))*$C45</f>
        <v>-7640.1108742761944</v>
      </c>
      <c r="BA45" s="1021">
        <f>(VLOOKUP(YEAR($A45),'NY East Load Projections'!$A$4:$EO$14,((MONTH($A45)-1)*12)+VLOOKUP(BA$4,$DE$6:$DF$17,2)+1))*(VLOOKUP($A45,SatSunCurve,3))*(INDEX(DailyScalarsTable,BA$5/100,MONTH($A45)))*$C45</f>
        <v>-9072.9409358528792</v>
      </c>
      <c r="BB45" s="1021">
        <f>(VLOOKUP(YEAR($A45),'NY East Load Projections'!$A$4:$EO$14,((MONTH($A45)-1)*12)+VLOOKUP(BB$4,$DE$6:$DF$17,2)+1))*(VLOOKUP($A45,SatSunCurve,3))*(INDEX(DailyScalarsTable,BB$5/100,MONTH($A45)))*$C45</f>
        <v>-7730.8303321291323</v>
      </c>
      <c r="BC45" s="1021">
        <f>(VLOOKUP(YEAR($A45),'NY East Load Projections'!$A$4:$EO$14,((MONTH($A45)-1)*12)+VLOOKUP(BC$4,$DE$6:$DF$17,2)+1))*(VLOOKUP($A45,SatSunCurve,3))*(INDEX(DailyScalarsTable,BC$5/100,MONTH($A45)))*$C45</f>
        <v>-6829.7224208911084</v>
      </c>
      <c r="BD45" s="1021">
        <f>(VLOOKUP(YEAR($A45),'NY East Load Projections'!$A$4:$EO$14,((MONTH($A45)-1)*12)+VLOOKUP(BD$4,$DE$6:$DF$17,2)+1))*(VLOOKUP($A45,CURVES!$D$9:$T$261,7))*(INDEX(DailyScalarsTable,BD$5/100,MONTH($A45)))*$C45</f>
        <v>-7445.5542372700711</v>
      </c>
      <c r="BE45" s="1021"/>
      <c r="BF45" s="1021">
        <f>(VLOOKUP(YEAR($A45),'NY East Load Projections'!$A$4:$EO$14,((MONTH($A45)-1)*12)+VLOOKUP(BF$4,$DE$6:$DF$17,2)+1))*(VLOOKUP($A45,CURVES!$D$9:$T$261,7))*(INDEX(DailyScalarsTable,BF$5/100,MONTH($A45)))*$D45</f>
        <v>-6544.9638481900529</v>
      </c>
      <c r="BG45" s="1021">
        <f>(VLOOKUP(YEAR($A45),'NY East Load Projections'!$A$4:$EO$14,((MONTH($A45)-1)*12)+VLOOKUP(BG$4,$DE$6:$DF$17,2)+1))*(VLOOKUP($A45,CURVES!$D$9:$T$261,7))*(INDEX(DailyScalarsTable,BG$5/100,MONTH($A45)))*$D45</f>
        <v>-6207.7135852458032</v>
      </c>
      <c r="BH45" s="1021">
        <f>(VLOOKUP(YEAR($A45),'NY East Load Projections'!$A$4:$EO$14,((MONTH($A45)-1)*12)+VLOOKUP(BH$4,$DE$6:$DF$17,2)+1))*(VLOOKUP($A45,CURVES!$D$9:$T$261,7))*(INDEX(DailyScalarsTable,BH$5/100,MONTH($A45)))*$D45</f>
        <v>-5958.1453955492652</v>
      </c>
      <c r="BI45" s="1021">
        <f>(VLOOKUP(YEAR($A45),'NY East Load Projections'!$A$4:$EO$14,((MONTH($A45)-1)*12)+VLOOKUP(BI$4,$DE$6:$DF$17,2)+1))*(VLOOKUP($A45,CURVES!$D$9:$T$261,7))*(INDEX(DailyScalarsTable,BI$5/100,MONTH($A45)))*$D45</f>
        <v>-5961.6646589503298</v>
      </c>
      <c r="BJ45" s="1021">
        <f>(VLOOKUP(YEAR($A45),'NY East Load Projections'!$A$4:$EO$14,((MONTH($A45)-1)*12)+VLOOKUP(BJ$4,$DE$6:$DF$17,2)+1))*(VLOOKUP($A45,CURVES!$D$9:$T$261,7))*(INDEX(DailyScalarsTable,BJ$5/100,MONTH($A45)))*$D45</f>
        <v>-6492.3535939336844</v>
      </c>
      <c r="BK45" s="1021">
        <f>(VLOOKUP(YEAR($A45),'NY East Load Projections'!$A$4:$EO$14,((MONTH($A45)-1)*12)+VLOOKUP(BK$4,$DE$6:$DF$17,2)+1))*(VLOOKUP($A45,CURVES!$D$9:$T$261,7))*(INDEX(DailyScalarsTable,BK$5/100,MONTH($A45)))*$D45</f>
        <v>-7478.6406540433227</v>
      </c>
      <c r="BL45" s="1021">
        <f>(VLOOKUP(YEAR($A45),'NY East Load Projections'!$A$4:$EO$14,((MONTH($A45)-1)*12)+VLOOKUP(BL$4,$DE$6:$DF$17,2)+1))*(VLOOKUP($A45,CURVES!$D$9:$T$261,7))*(INDEX(DailyScalarsTable,BL$5/100,MONTH($A45)))*$D45</f>
        <v>-10666.714284113719</v>
      </c>
      <c r="BM45" s="1021">
        <f>(VLOOKUP(YEAR($A45),'NY East Load Projections'!$A$4:$EO$14,((MONTH($A45)-1)*12)+VLOOKUP(BM$4,$DE$6:$DF$17,2)+1))*(VLOOKUP($A45,SatSunCurve,7))*(INDEX(DailyScalarsTable,BM$5/100,MONTH($A45)))*$D45</f>
        <v>-8378.4539945293436</v>
      </c>
      <c r="BN45" s="1021">
        <f>(VLOOKUP(YEAR($A45),'NY East Load Projections'!$A$4:$EO$14,((MONTH($A45)-1)*12)+VLOOKUP(BN$4,$DE$6:$DF$17,2)+1))*(VLOOKUP($A45,SatSunCurve,7))*(INDEX(DailyScalarsTable,BN$5/100,MONTH($A45)))*$D45</f>
        <v>-9157.5693885264645</v>
      </c>
      <c r="BO45" s="1021">
        <f>(VLOOKUP(YEAR($A45),'NY East Load Projections'!$A$4:$EO$14,((MONTH($A45)-1)*12)+VLOOKUP(BO$4,$DE$6:$DF$17,2)+1))*(VLOOKUP($A45,SatSunCurve,7))*(INDEX(DailyScalarsTable,BO$5/100,MONTH($A45)))*$D45</f>
        <v>-8776.2084746311248</v>
      </c>
      <c r="BP45" s="1021">
        <f>(VLOOKUP(YEAR($A45),'NY East Load Projections'!$A$4:$EO$14,((MONTH($A45)-1)*12)+VLOOKUP(BP$4,$DE$6:$DF$17,2)+1))*(VLOOKUP($A45,SatSunCurve,7))*(INDEX(DailyScalarsTable,BP$5/100,MONTH($A45)))*$D45</f>
        <v>-8957.1385932790636</v>
      </c>
      <c r="BQ45" s="1021">
        <f>(VLOOKUP(YEAR($A45),'NY East Load Projections'!$A$4:$EO$14,((MONTH($A45)-1)*12)+VLOOKUP(BQ$4,$DE$6:$DF$17,2)+1))*(VLOOKUP($A45,SatSunCurve,7))*(INDEX(DailyScalarsTable,BQ$5/100,MONTH($A45)))*$D45</f>
        <v>-8974.7021165739425</v>
      </c>
      <c r="BR45" s="1021">
        <f>(VLOOKUP(YEAR($A45),'NY East Load Projections'!$A$4:$EO$14,((MONTH($A45)-1)*12)+VLOOKUP(BR$4,$DE$6:$DF$17,2)+1))*(VLOOKUP($A45,SatSunCurve,7))*(INDEX(DailyScalarsTable,BR$5/100,MONTH($A45)))*$D45</f>
        <v>-8239.4175574380552</v>
      </c>
      <c r="BS45" s="1021">
        <f>(VLOOKUP(YEAR($A45),'NY East Load Projections'!$A$4:$EO$14,((MONTH($A45)-1)*12)+VLOOKUP(BS$4,$DE$6:$DF$17,2)+1))*(VLOOKUP($A45,SatSunCurve,7))*(INDEX(DailyScalarsTable,BS$5/100,MONTH($A45)))*$D45</f>
        <v>-8248.289632209724</v>
      </c>
      <c r="BT45" s="1021">
        <f>(VLOOKUP(YEAR($A45),'NY East Load Projections'!$A$4:$EO$14,((MONTH($A45)-1)*12)+VLOOKUP(BT$4,$DE$6:$DF$17,2)+1))*(VLOOKUP($A45,SatSunCurve,7))*(INDEX(DailyScalarsTable,BT$5/100,MONTH($A45)))*$D45</f>
        <v>-7736.3187292091852</v>
      </c>
      <c r="BU45" s="1021">
        <f>(VLOOKUP(YEAR($A45),'NY East Load Projections'!$A$4:$EO$14,((MONTH($A45)-1)*12)+VLOOKUP(BU$4,$DE$6:$DF$17,2)+1))*(VLOOKUP($A45,SatSunCurve,7))*(INDEX(DailyScalarsTable,BU$5/100,MONTH($A45)))*$D45</f>
        <v>-7230.4799955361286</v>
      </c>
      <c r="BV45" s="1021">
        <f>(VLOOKUP(YEAR($A45),'NY East Load Projections'!$A$4:$EO$14,((MONTH($A45)-1)*12)+VLOOKUP(BV$4,$DE$6:$DF$17,2)+1))*(VLOOKUP($A45,SatSunCurve,7))*(INDEX(DailyScalarsTable,BV$5/100,MONTH($A45)))*$D45</f>
        <v>-6676.3554839191365</v>
      </c>
      <c r="BW45" s="1021">
        <f>(VLOOKUP(YEAR($A45),'NY East Load Projections'!$A$4:$EO$14,((MONTH($A45)-1)*12)+VLOOKUP(BW$4,$DE$6:$DF$17,2)+1))*(VLOOKUP($A45,SatSunCurve,7))*(INDEX(DailyScalarsTable,BW$5/100,MONTH($A45)))*$D45</f>
        <v>-6589.5260558435984</v>
      </c>
      <c r="BX45" s="1021">
        <f>(VLOOKUP(YEAR($A45),'NY East Load Projections'!$A$4:$EO$14,((MONTH($A45)-1)*12)+VLOOKUP(BX$4,$DE$6:$DF$17,2)+1))*(VLOOKUP($A45,SatSunCurve,7))*(INDEX(DailyScalarsTable,BX$5/100,MONTH($A45)))*$D45</f>
        <v>-6554.2014236535506</v>
      </c>
      <c r="BY45" s="1021">
        <f>(VLOOKUP(YEAR($A45),'NY East Load Projections'!$A$4:$EO$14,((MONTH($A45)-1)*12)+VLOOKUP(BY$4,$DE$6:$DF$17,2)+1))*(VLOOKUP($A45,SatSunCurve,7))*(INDEX(DailyScalarsTable,BY$5/100,MONTH($A45)))*$D45</f>
        <v>-7188.9331887747348</v>
      </c>
      <c r="BZ45" s="1021">
        <f>(VLOOKUP(YEAR($A45),'NY East Load Projections'!$A$4:$EO$14,((MONTH($A45)-1)*12)+VLOOKUP(BZ$4,$DE$6:$DF$17,2)+1))*(VLOOKUP($A45,SatSunCurve,7))*(INDEX(DailyScalarsTable,BZ$5/100,MONTH($A45)))*$D45</f>
        <v>-8537.1491705903954</v>
      </c>
      <c r="CA45" s="1021">
        <f>(VLOOKUP(YEAR($A45),'NY East Load Projections'!$A$4:$EO$14,((MONTH($A45)-1)*12)+VLOOKUP(CA$4,$DE$6:$DF$17,2)+1))*(VLOOKUP($A45,SatSunCurve,7))*(INDEX(DailyScalarsTable,CA$5/100,MONTH($A45)))*$D45</f>
        <v>-7274.2953166494071</v>
      </c>
      <c r="CB45" s="1021">
        <f>(VLOOKUP(YEAR($A45),'NY East Load Projections'!$A$4:$EO$14,((MONTH($A45)-1)*12)+VLOOKUP(CB$4,$DE$6:$DF$17,2)+1))*(VLOOKUP($A45,SatSunCurve,7))*(INDEX(DailyScalarsTable,CB$5/100,MONTH($A45)))*$D45</f>
        <v>-6426.401264276742</v>
      </c>
      <c r="CC45" s="1021">
        <f>(VLOOKUP(YEAR($A45),'NY East Load Projections'!$A$4:$EO$14,((MONTH($A45)-1)*12)+VLOOKUP(CC$4,$DE$6:$DF$17,2)+1))*(VLOOKUP($A45,CURVES!$D$9:$T$261,7))*(INDEX(DailyScalarsTable,CC$5/100,MONTH($A45)))*$D45</f>
        <v>-7445.5542372700711</v>
      </c>
      <c r="CE45" s="1021">
        <f>(VLOOKUP(YEAR($A45),'NY East Load Projections'!$A$4:$EO$14,((MONTH($A45)-1)*12)+VLOOKUP(CE$4,$DE$6:$DF$17,2)+1))*(VLOOKUP($A45,CURVES!$D$9:$T$261,7))*(INDEX(DailyScalarsTable,CE$5/100,MONTH($A45)))*$E45</f>
        <v>0</v>
      </c>
      <c r="CF45" s="1021">
        <f>(VLOOKUP(YEAR($A45),'NY East Load Projections'!$A$4:$EO$14,((MONTH($A45)-1)*12)+VLOOKUP(CF$4,$DE$6:$DF$17,2)+1))*(VLOOKUP($A45,CURVES!$D$9:$T$261,7))*(INDEX(DailyScalarsTable,CF$5/100,MONTH($A45)))*$E45</f>
        <v>0</v>
      </c>
      <c r="CG45" s="1021">
        <f>(VLOOKUP(YEAR($A45),'NY East Load Projections'!$A$4:$EO$14,((MONTH($A45)-1)*12)+VLOOKUP(CG$4,$DE$6:$DF$17,2)+1))*(VLOOKUP($A45,CURVES!$D$9:$T$261,7))*(INDEX(DailyScalarsTable,CG$5/100,MONTH($A45)))*$E45</f>
        <v>0</v>
      </c>
      <c r="CH45" s="1021">
        <f>(VLOOKUP(YEAR($A45),'NY East Load Projections'!$A$4:$EO$14,((MONTH($A45)-1)*12)+VLOOKUP(CH$4,$DE$6:$DF$17,2)+1))*(VLOOKUP($A45,CURVES!$D$9:$T$261,7))*(INDEX(DailyScalarsTable,CH$5/100,MONTH($A45)))*$E45</f>
        <v>0</v>
      </c>
      <c r="CI45" s="1021">
        <f>(VLOOKUP(YEAR($A45),'NY East Load Projections'!$A$4:$EO$14,((MONTH($A45)-1)*12)+VLOOKUP(CI$4,$DE$6:$DF$17,2)+1))*(VLOOKUP($A45,CURVES!$D$9:$T$261,7))*(INDEX(DailyScalarsTable,CI$5/100,MONTH($A45)))*$E45</f>
        <v>0</v>
      </c>
      <c r="CJ45" s="1021">
        <f>(VLOOKUP(YEAR($A45),'NY East Load Projections'!$A$4:$EO$14,((MONTH($A45)-1)*12)+VLOOKUP(CJ$4,$DE$6:$DF$17,2)+1))*(VLOOKUP($A45,CURVES!$D$9:$T$261,7))*(INDEX(DailyScalarsTable,CJ$5/100,MONTH($A45)))*$E45</f>
        <v>0</v>
      </c>
      <c r="CK45" s="1021">
        <f>(VLOOKUP(YEAR($A45),'NY East Load Projections'!$A$4:$EO$14,((MONTH($A45)-1)*12)+VLOOKUP(CK$4,$DE$6:$DF$17,2)+1))*(VLOOKUP($A45,CURVES!$D$9:$T$261,7))*(INDEX(DailyScalarsTable,CK$5/100,MONTH($A45)))*$E45</f>
        <v>0</v>
      </c>
      <c r="CL45" s="1021">
        <f>(VLOOKUP(YEAR($A45),'NY East Load Projections'!$A$4:$EO$14,((MONTH($A45)-1)*12)+VLOOKUP(CL$4,$DE$6:$DF$17,2)+1))*(VLOOKUP($A45,SatSunCurve,7))*(INDEX(DailyScalarsTable,CL$5/100,MONTH($A45)))*$E45</f>
        <v>0</v>
      </c>
      <c r="CM45" s="1021">
        <f>(VLOOKUP(YEAR($A45),'NY East Load Projections'!$A$4:$EO$14,((MONTH($A45)-1)*12)+VLOOKUP(CM$4,$DE$6:$DF$17,2)+1))*(VLOOKUP($A45,SatSunCurve,7))*(INDEX(DailyScalarsTable,CM$5/100,MONTH($A45)))*$E45</f>
        <v>0</v>
      </c>
      <c r="CN45" s="1021">
        <f>(VLOOKUP(YEAR($A45),'NY East Load Projections'!$A$4:$EO$14,((MONTH($A45)-1)*12)+VLOOKUP(CN$4,$DE$6:$DF$17,2)+1))*(VLOOKUP($A45,SatSunCurve,7))*(INDEX(DailyScalarsTable,CN$5/100,MONTH($A45)))*$E45</f>
        <v>0</v>
      </c>
      <c r="CO45" s="1021">
        <f>(VLOOKUP(YEAR($A45),'NY East Load Projections'!$A$4:$EO$14,((MONTH($A45)-1)*12)+VLOOKUP(CO$4,$DE$6:$DF$17,2)+1))*(VLOOKUP($A45,SatSunCurve,7))*(INDEX(DailyScalarsTable,CO$5/100,MONTH($A45)))*$E45</f>
        <v>0</v>
      </c>
      <c r="CP45" s="1021">
        <f>(VLOOKUP(YEAR($A45),'NY East Load Projections'!$A$4:$EO$14,((MONTH($A45)-1)*12)+VLOOKUP(CP$4,$DE$6:$DF$17,2)+1))*(VLOOKUP($A45,SatSunCurve,7))*(INDEX(DailyScalarsTable,CP$5/100,MONTH($A45)))*$E45</f>
        <v>0</v>
      </c>
      <c r="CQ45" s="1021">
        <f>(VLOOKUP(YEAR($A45),'NY East Load Projections'!$A$4:$EO$14,((MONTH($A45)-1)*12)+VLOOKUP(CQ$4,$DE$6:$DF$17,2)+1))*(VLOOKUP($A45,SatSunCurve,7))*(INDEX(DailyScalarsTable,CQ$5/100,MONTH($A45)))*$E45</f>
        <v>0</v>
      </c>
      <c r="CR45" s="1021">
        <f>(VLOOKUP(YEAR($A45),'NY East Load Projections'!$A$4:$EO$14,((MONTH($A45)-1)*12)+VLOOKUP(CR$4,$DE$6:$DF$17,2)+1))*(VLOOKUP($A45,SatSunCurve,7))*(INDEX(DailyScalarsTable,CR$5/100,MONTH($A45)))*$E45</f>
        <v>0</v>
      </c>
      <c r="CS45" s="1021">
        <f>(VLOOKUP(YEAR($A45),'NY East Load Projections'!$A$4:$EO$14,((MONTH($A45)-1)*12)+VLOOKUP(CS$4,$DE$6:$DF$17,2)+1))*(VLOOKUP($A45,SatSunCurve,7))*(INDEX(DailyScalarsTable,CS$5/100,MONTH($A45)))*$E45</f>
        <v>0</v>
      </c>
      <c r="CT45" s="1021">
        <f>(VLOOKUP(YEAR($A45),'NY East Load Projections'!$A$4:$EO$14,((MONTH($A45)-1)*12)+VLOOKUP(CT$4,$DE$6:$DF$17,2)+1))*(VLOOKUP($A45,SatSunCurve,7))*(INDEX(DailyScalarsTable,CT$5/100,MONTH($A45)))*$E45</f>
        <v>0</v>
      </c>
      <c r="CU45" s="1021">
        <f>(VLOOKUP(YEAR($A45),'NY East Load Projections'!$A$4:$EO$14,((MONTH($A45)-1)*12)+VLOOKUP(CU$4,$DE$6:$DF$17,2)+1))*(VLOOKUP($A45,SatSunCurve,7))*(INDEX(DailyScalarsTable,CU$5/100,MONTH($A45)))*$E45</f>
        <v>0</v>
      </c>
      <c r="CV45" s="1021">
        <f>(VLOOKUP(YEAR($A45),'NY East Load Projections'!$A$4:$EO$14,((MONTH($A45)-1)*12)+VLOOKUP(CV$4,$DE$6:$DF$17,2)+1))*(VLOOKUP($A45,SatSunCurve,7))*(INDEX(DailyScalarsTable,CV$5/100,MONTH($A45)))*$E45</f>
        <v>0</v>
      </c>
      <c r="CW45" s="1021">
        <f>(VLOOKUP(YEAR($A45),'NY East Load Projections'!$A$4:$EO$14,((MONTH($A45)-1)*12)+VLOOKUP(CW$4,$DE$6:$DF$17,2)+1))*(VLOOKUP($A45,SatSunCurve,7))*(INDEX(DailyScalarsTable,CW$5/100,MONTH($A45)))*$E45</f>
        <v>0</v>
      </c>
      <c r="CX45" s="1021">
        <f>(VLOOKUP(YEAR($A45),'NY East Load Projections'!$A$4:$EO$14,((MONTH($A45)-1)*12)+VLOOKUP(CX$4,$DE$6:$DF$17,2)+1))*(VLOOKUP($A45,SatSunCurve,7))*(INDEX(DailyScalarsTable,CX$5/100,MONTH($A45)))*$E45</f>
        <v>0</v>
      </c>
      <c r="CY45" s="1021">
        <f>(VLOOKUP(YEAR($A45),'NY East Load Projections'!$A$4:$EO$14,((MONTH($A45)-1)*12)+VLOOKUP(CY$4,$DE$6:$DF$17,2)+1))*(VLOOKUP($A45,SatSunCurve,7))*(INDEX(DailyScalarsTable,CY$5/100,MONTH($A45)))*$E45</f>
        <v>0</v>
      </c>
      <c r="CZ45" s="1021">
        <f>(VLOOKUP(YEAR($A45),'NY East Load Projections'!$A$4:$EO$14,((MONTH($A45)-1)*12)+VLOOKUP(CZ$4,$DE$6:$DF$17,2)+1))*(VLOOKUP($A45,SatSunCurve,7))*(INDEX(DailyScalarsTable,CZ$5/100,MONTH($A45)))*$E45</f>
        <v>0</v>
      </c>
      <c r="DA45" s="1021">
        <f>(VLOOKUP(YEAR($A45),'NY East Load Projections'!$A$4:$EO$14,((MONTH($A45)-1)*12)+VLOOKUP(DA$4,$DE$6:$DF$17,2)+1))*(VLOOKUP($A45,SatSunCurve,7))*(INDEX(DailyScalarsTable,DA$5/100,MONTH($A45)))*$E45</f>
        <v>0</v>
      </c>
      <c r="DB45" s="1021">
        <f>(VLOOKUP(YEAR($A45),'NY East Load Projections'!$A$4:$EO$14,((MONTH($A45)-1)*12)+VLOOKUP(DB$4,$DE$6:$DF$17,2)+1))*(VLOOKUP($A45,CURVES!$D$9:$T$261,7))*(INDEX(DailyScalarsTable,DB$5/100,MONTH($A45)))*$E45</f>
        <v>0</v>
      </c>
      <c r="DH45" s="1032">
        <f t="shared" si="0"/>
        <v>-1803407.1483772178</v>
      </c>
      <c r="DI45">
        <f ca="1">CALC!J65</f>
        <v>0.7400899550175809</v>
      </c>
      <c r="DJ45" s="1029">
        <f t="shared" ca="1" si="1"/>
        <v>-1334683.5153208789</v>
      </c>
    </row>
    <row r="46" spans="1:114" x14ac:dyDescent="0.25">
      <c r="A46" s="244">
        <v>38108</v>
      </c>
      <c r="B46" s="13">
        <v>20</v>
      </c>
      <c r="C46" s="210">
        <v>5</v>
      </c>
      <c r="D46" s="210">
        <v>5</v>
      </c>
      <c r="E46" s="210">
        <v>1</v>
      </c>
      <c r="F46" s="13">
        <v>31</v>
      </c>
      <c r="H46" s="1021">
        <f>(VLOOKUP(YEAR($A46),'NY East Load Projections'!$A$4:$EO$14,((MONTH($A46)-1)*12)+VLOOKUP(H$4,$DE$6:$DF$17,2)+1))*(VLOOKUP($A46,CURVES!$D$9:$K$261,7))*(INDEX(DailyScalarsTable,H$5/100,MONTH($A46)))*$B46</f>
        <v>-35567.079600212979</v>
      </c>
      <c r="I46" s="1021">
        <f>(VLOOKUP(YEAR($A46),'NY East Load Projections'!$A$4:$EO$14,((MONTH($A46)-1)*12)+VLOOKUP(I$4,$DE$6:$DF$17,2)+1))*(VLOOKUP($A46,CURVES!$D$9:$K$261,7))*(INDEX(DailyScalarsTable,I$5/100,MONTH($A46)))*$B46</f>
        <v>-32037.450802922212</v>
      </c>
      <c r="J46" s="1021">
        <f>(VLOOKUP(YEAR($A46),'NY East Load Projections'!$A$4:$EO$14,((MONTH($A46)-1)*12)+VLOOKUP(J$4,$DE$6:$DF$17,2)+1))*(VLOOKUP($A46,CURVES!$D$9:$K$261,7))*(INDEX(DailyScalarsTable,J$5/100,MONTH($A46)))*$B46</f>
        <v>-30319.324615881218</v>
      </c>
      <c r="K46" s="1021">
        <f>(VLOOKUP(YEAR($A46),'NY East Load Projections'!$A$4:$EO$14,((MONTH($A46)-1)*12)+VLOOKUP(K$4,$DE$6:$DF$17,2)+1))*(VLOOKUP($A46,CURVES!$D$9:$K$261,7))*(INDEX(DailyScalarsTable,K$5/100,MONTH($A46)))*$B46</f>
        <v>-29394.898026114577</v>
      </c>
      <c r="L46" s="1021">
        <f>(VLOOKUP(YEAR($A46),'NY East Load Projections'!$A$4:$EO$14,((MONTH($A46)-1)*12)+VLOOKUP(L$4,$DE$6:$DF$17,2)+1))*(VLOOKUP($A46,CURVES!$D$9:$K$261,7))*(INDEX(DailyScalarsTable,L$5/100,MONTH($A46)))*$B46</f>
        <v>-35126.731174000684</v>
      </c>
      <c r="M46" s="1021">
        <f>(VLOOKUP(YEAR($A46),'NY East Load Projections'!$A$4:$EO$14,((MONTH($A46)-1)*12)+VLOOKUP(M$4,$DE$6:$DF$17,2)+1))*(VLOOKUP($A46,CURVES!$D$9:$K$261,7))*(INDEX(DailyScalarsTable,M$5/100,MONTH($A46)))*$B46</f>
        <v>-42589.100120590017</v>
      </c>
      <c r="N46" s="1021">
        <f>(VLOOKUP(YEAR($A46),'NY East Load Projections'!$A$4:$EO$14,((MONTH($A46)-1)*12)+VLOOKUP(N$4,$DE$6:$DF$17,2)+1))*(VLOOKUP($A46,CURVES!$D$9:$K$261,7))*(INDEX(DailyScalarsTable,N$5/100,MONTH($A46)))*$B46</f>
        <v>-50958.497336930581</v>
      </c>
      <c r="O46" s="1021">
        <f>(VLOOKUP(YEAR($A46),'NY East Load Projections'!$A$4:$EO$14,((MONTH($A46)-1)*12)+VLOOKUP(O$4,$DE$6:$DF$17,2)+1))*(VLOOKUP($A46,CURVES!$D$9:$K$261,3))*(INDEX(DailyScalarsTable,O$5/100,MONTH($A46)))*$B46</f>
        <v>-64556.517512585357</v>
      </c>
      <c r="P46" s="1021">
        <f>(VLOOKUP(YEAR($A46),'NY East Load Projections'!$A$4:$EO$14,((MONTH($A46)-1)*12)+VLOOKUP(P$4,$DE$6:$DF$17,2)+1))*(VLOOKUP($A46,CURVES!$D$9:$K$261,3))*(INDEX(DailyScalarsTable,P$5/100,MONTH($A46)))*$B46</f>
        <v>-79724.66333179365</v>
      </c>
      <c r="Q46" s="1021">
        <f>(VLOOKUP(YEAR($A46),'NY East Load Projections'!$A$4:$EO$14,((MONTH($A46)-1)*12)+VLOOKUP(Q$4,$DE$6:$DF$17,2)+1))*(VLOOKUP($A46,CURVES!$D$9:$K$261,3))*(INDEX(DailyScalarsTable,Q$5/100,MONTH($A46)))*$B46</f>
        <v>-81138.709314605279</v>
      </c>
      <c r="R46" s="1021">
        <f>(VLOOKUP(YEAR($A46),'NY East Load Projections'!$A$4:$EO$14,((MONTH($A46)-1)*12)+VLOOKUP(R$4,$DE$6:$DF$17,2)+1))*(VLOOKUP($A46,CURVES!$D$9:$K$261,3))*(INDEX(DailyScalarsTable,R$5/100,MONTH($A46)))*$B46</f>
        <v>-86069.099732550152</v>
      </c>
      <c r="S46" s="1021">
        <f>(VLOOKUP(YEAR($A46),'NY East Load Projections'!$A$4:$EO$14,((MONTH($A46)-1)*12)+VLOOKUP(S$4,$DE$6:$DF$17,2)+1))*(VLOOKUP($A46,CURVES!$D$9:$K$261,3))*(INDEX(DailyScalarsTable,S$5/100,MONTH($A46)))*$B46</f>
        <v>-85418.388306831504</v>
      </c>
      <c r="T46" s="1021">
        <f>(VLOOKUP(YEAR($A46),'NY East Load Projections'!$A$4:$EO$14,((MONTH($A46)-1)*12)+VLOOKUP(T$4,$DE$6:$DF$17,2)+1))*(VLOOKUP($A46,CURVES!$D$9:$K$261,3))*(INDEX(DailyScalarsTable,T$5/100,MONTH($A46)))*$B46</f>
        <v>-83377.218411133217</v>
      </c>
      <c r="U46" s="1021">
        <f>(VLOOKUP(YEAR($A46),'NY East Load Projections'!$A$4:$EO$14,((MONTH($A46)-1)*12)+VLOOKUP(U$4,$DE$6:$DF$17,2)+1))*(VLOOKUP($A46,CURVES!$D$9:$K$261,3))*(INDEX(DailyScalarsTable,U$5/100,MONTH($A46)))*$B46</f>
        <v>-83779.067567032645</v>
      </c>
      <c r="V46" s="1021">
        <f>(VLOOKUP(YEAR($A46),'NY East Load Projections'!$A$4:$EO$14,((MONTH($A46)-1)*12)+VLOOKUP(V$4,$DE$6:$DF$17,2)+1))*(VLOOKUP($A46,CURVES!$D$9:$K$261,3))*(INDEX(DailyScalarsTable,V$5/100,MONTH($A46)))*$B46</f>
        <v>-81264.269623662025</v>
      </c>
      <c r="W46" s="1021">
        <f>(VLOOKUP(YEAR($A46),'NY East Load Projections'!$A$4:$EO$14,((MONTH($A46)-1)*12)+VLOOKUP(W$4,$DE$6:$DF$17,2)+1))*(VLOOKUP($A46,CURVES!$D$9:$K$261,3))*(INDEX(DailyScalarsTable,W$5/100,MONTH($A46)))*$B46</f>
        <v>-78101.327880453609</v>
      </c>
      <c r="X46" s="1021">
        <f>(VLOOKUP(YEAR($A46),'NY East Load Projections'!$A$4:$EO$14,((MONTH($A46)-1)*12)+VLOOKUP(X$4,$DE$6:$DF$17,2)+1))*(VLOOKUP($A46,CURVES!$D$9:$K$261,3))*(INDEX(DailyScalarsTable,X$5/100,MONTH($A46)))*$B46</f>
        <v>-74278.195772790947</v>
      </c>
      <c r="Y46" s="1021">
        <f>(VLOOKUP(YEAR($A46),'NY East Load Projections'!$A$4:$EO$14,((MONTH($A46)-1)*12)+VLOOKUP(Y$4,$DE$6:$DF$17,2)+1))*(VLOOKUP($A46,CURVES!$D$9:$K$261,3))*(INDEX(DailyScalarsTable,Y$5/100,MONTH($A46)))*$B46</f>
        <v>-71383.450301377103</v>
      </c>
      <c r="Z46" s="1021">
        <f>(VLOOKUP(YEAR($A46),'NY East Load Projections'!$A$4:$EO$14,((MONTH($A46)-1)*12)+VLOOKUP(Z$4,$DE$6:$DF$17,2)+1))*(VLOOKUP($A46,CURVES!$D$9:$K$261,3))*(INDEX(DailyScalarsTable,Z$5/100,MONTH($A46)))*$B46</f>
        <v>-61847.818160249211</v>
      </c>
      <c r="AA46" s="1021">
        <f>(VLOOKUP(YEAR($A46),'NY East Load Projections'!$A$4:$EO$14,((MONTH($A46)-1)*12)+VLOOKUP(AA$4,$DE$6:$DF$17,2)+1))*(VLOOKUP($A46,CURVES!$D$9:$K$261,3))*(INDEX(DailyScalarsTable,AA$5/100,MONTH($A46)))*$B46</f>
        <v>-61689.70181097032</v>
      </c>
      <c r="AB46" s="1021">
        <f>(VLOOKUP(YEAR($A46),'NY East Load Projections'!$A$4:$EO$14,((MONTH($A46)-1)*12)+VLOOKUP(AB$4,$DE$6:$DF$17,2)+1))*(VLOOKUP($A46,CURVES!$D$9:$K$261,3))*(INDEX(DailyScalarsTable,AB$5/100,MONTH($A46)))*$B46</f>
        <v>-70797.161835768173</v>
      </c>
      <c r="AC46" s="1021">
        <f>(VLOOKUP(YEAR($A46),'NY East Load Projections'!$A$4:$EO$14,((MONTH($A46)-1)*12)+VLOOKUP(AC$4,$DE$6:$DF$17,2)+1))*(VLOOKUP($A46,CURVES!$D$9:$K$261,3))*(INDEX(DailyScalarsTable,AC$5/100,MONTH($A46)))*$B46</f>
        <v>-67527.306459872154</v>
      </c>
      <c r="AD46" s="1021">
        <f>(VLOOKUP(YEAR($A46),'NY East Load Projections'!$A$4:$EO$14,((MONTH($A46)-1)*12)+VLOOKUP(AD$4,$DE$6:$DF$17,2)+1))*(VLOOKUP($A46,CURVES!$D$9:$K$261,3))*(INDEX(DailyScalarsTable,AD$5/100,MONTH($A46)))*$B46</f>
        <v>-54170.959093834332</v>
      </c>
      <c r="AE46" s="1021">
        <f>(VLOOKUP(YEAR($A46),'NY East Load Projections'!$A$4:$EO$14,((MONTH($A46)-1)*12)+VLOOKUP(AE$4,$DE$6:$DF$17,2)+1))*(VLOOKUP($A46,CURVES!$D$9:$K$261,7))*(INDEX(DailyScalarsTable,AE$5/100,MONTH($A46)))*$B46</f>
        <v>-44659.263592209543</v>
      </c>
      <c r="AF46" s="1021"/>
      <c r="AG46" s="1021">
        <f>(VLOOKUP(YEAR($A46),'NY East Load Projections'!$A$4:$EO$14,((MONTH($A46)-1)*12)+VLOOKUP(AG$4,$DE$6:$DF$17,2)+1))*(VLOOKUP($A46,CURVES!$D$9:$T$261,7))*(INDEX(DailyScalarsTable,AG$5/100,MONTH($A46)))*$C46</f>
        <v>-9320.6757301039761</v>
      </c>
      <c r="AH46" s="1021">
        <f>(VLOOKUP(YEAR($A46),'NY East Load Projections'!$A$4:$EO$14,((MONTH($A46)-1)*12)+VLOOKUP(AH$4,$DE$6:$DF$17,2)+1))*(VLOOKUP($A46,CURVES!$D$9:$T$261,7))*(INDEX(DailyScalarsTable,AH$5/100,MONTH($A46)))*$C46</f>
        <v>-8395.7044972398908</v>
      </c>
      <c r="AI46" s="1021">
        <f>(VLOOKUP(YEAR($A46),'NY East Load Projections'!$A$4:$EO$14,((MONTH($A46)-1)*12)+VLOOKUP(AI$4,$DE$6:$DF$17,2)+1))*(VLOOKUP($A46,CURVES!$D$9:$T$261,7))*(INDEX(DailyScalarsTable,AI$5/100,MONTH($A46)))*$C46</f>
        <v>-7945.4539500256269</v>
      </c>
      <c r="AJ46" s="1021">
        <f>(VLOOKUP(YEAR($A46),'NY East Load Projections'!$A$4:$EO$14,((MONTH($A46)-1)*12)+VLOOKUP(AJ$4,$DE$6:$DF$17,2)+1))*(VLOOKUP($A46,CURVES!$D$9:$T$261,7))*(INDEX(DailyScalarsTable,AJ$5/100,MONTH($A46)))*$C46</f>
        <v>-7703.1995795136017</v>
      </c>
      <c r="AK46" s="1021">
        <f>(VLOOKUP(YEAR($A46),'NY East Load Projections'!$A$4:$EO$14,((MONTH($A46)-1)*12)+VLOOKUP(AK$4,$DE$6:$DF$17,2)+1))*(VLOOKUP($A46,CURVES!$D$9:$T$261,7))*(INDEX(DailyScalarsTable,AK$5/100,MONTH($A46)))*$C46</f>
        <v>-8465.4771822233306</v>
      </c>
      <c r="AL46" s="1021">
        <f>(VLOOKUP(YEAR($A46),'NY East Load Projections'!$A$4:$EO$14,((MONTH($A46)-1)*12)+VLOOKUP(AL$4,$DE$6:$DF$17,2)+1))*(VLOOKUP($A46,CURVES!$D$9:$T$261,7))*(INDEX(DailyScalarsTable,AL$5/100,MONTH($A46)))*$C46</f>
        <v>-10263.894283141664</v>
      </c>
      <c r="AM46" s="1021">
        <f>(VLOOKUP(YEAR($A46),'NY East Load Projections'!$A$4:$EO$14,((MONTH($A46)-1)*12)+VLOOKUP(AM$4,$DE$6:$DF$17,2)+1))*(VLOOKUP($A46,CURVES!$D$9:$T$261,7))*(INDEX(DailyScalarsTable,AM$5/100,MONTH($A46)))*$C46</f>
        <v>-12280.903517873285</v>
      </c>
      <c r="AN46" s="1021">
        <f>(VLOOKUP(YEAR($A46),'NY East Load Projections'!$A$4:$EO$14,((MONTH($A46)-1)*12)+VLOOKUP(AN$4,$DE$6:$DF$17,2)+1))*(VLOOKUP($A46,SatSunCurve,3))*(INDEX(DailyScalarsTable,AN$5/100,MONTH($A46)))*$C46</f>
        <v>-10094.206909840663</v>
      </c>
      <c r="AO46" s="1021">
        <f>(VLOOKUP(YEAR($A46),'NY East Load Projections'!$A$4:$EO$14,((MONTH($A46)-1)*12)+VLOOKUP(AO$4,$DE$6:$DF$17,2)+1))*(VLOOKUP($A46,SatSunCurve,3))*(INDEX(DailyScalarsTable,AO$5/100,MONTH($A46)))*$C46</f>
        <v>-12302.176247304236</v>
      </c>
      <c r="AP46" s="1021">
        <f>(VLOOKUP(YEAR($A46),'NY East Load Projections'!$A$4:$EO$14,((MONTH($A46)-1)*12)+VLOOKUP(AP$4,$DE$6:$DF$17,2)+1))*(VLOOKUP($A46,SatSunCurve,3))*(INDEX(DailyScalarsTable,AP$5/100,MONTH($A46)))*$C46</f>
        <v>-12520.375260951296</v>
      </c>
      <c r="AQ46" s="1021">
        <f>(VLOOKUP(YEAR($A46),'NY East Load Projections'!$A$4:$EO$14,((MONTH($A46)-1)*12)+VLOOKUP(AQ$4,$DE$6:$DF$17,2)+1))*(VLOOKUP($A46,SatSunCurve,3))*(INDEX(DailyScalarsTable,AQ$5/100,MONTH($A46)))*$C46</f>
        <v>-13281.175361632175</v>
      </c>
      <c r="AR46" s="1021">
        <f>(VLOOKUP(YEAR($A46),'NY East Load Projections'!$A$4:$EO$14,((MONTH($A46)-1)*12)+VLOOKUP(AR$4,$DE$6:$DF$17,2)+1))*(VLOOKUP($A46,SatSunCurve,3))*(INDEX(DailyScalarsTable,AR$5/100,MONTH($A46)))*$C46</f>
        <v>-13180.765196060074</v>
      </c>
      <c r="AS46" s="1021">
        <f>(VLOOKUP(YEAR($A46),'NY East Load Projections'!$A$4:$EO$14,((MONTH($A46)-1)*12)+VLOOKUP(AS$4,$DE$6:$DF$17,2)+1))*(VLOOKUP($A46,SatSunCurve,3))*(INDEX(DailyScalarsTable,AS$5/100,MONTH($A46)))*$C46</f>
        <v>-12605.738628903548</v>
      </c>
      <c r="AT46" s="1021">
        <f>(VLOOKUP(YEAR($A46),'NY East Load Projections'!$A$4:$EO$14,((MONTH($A46)-1)*12)+VLOOKUP(AT$4,$DE$6:$DF$17,2)+1))*(VLOOKUP($A46,SatSunCurve,3))*(INDEX(DailyScalarsTable,AT$5/100,MONTH($A46)))*$C46</f>
        <v>-12666.493899036635</v>
      </c>
      <c r="AU46" s="1021">
        <f>(VLOOKUP(YEAR($A46),'NY East Load Projections'!$A$4:$EO$14,((MONTH($A46)-1)*12)+VLOOKUP(AU$4,$DE$6:$DF$17,2)+1))*(VLOOKUP($A46,SatSunCurve,3))*(INDEX(DailyScalarsTable,AU$5/100,MONTH($A46)))*$C46</f>
        <v>-12286.283498848936</v>
      </c>
      <c r="AV46" s="1021">
        <f>(VLOOKUP(YEAR($A46),'NY East Load Projections'!$A$4:$EO$14,((MONTH($A46)-1)*12)+VLOOKUP(AV$4,$DE$6:$DF$17,2)+1))*(VLOOKUP($A46,SatSunCurve,3))*(INDEX(DailyScalarsTable,AV$5/100,MONTH($A46)))*$C46</f>
        <v>-11808.080727478837</v>
      </c>
      <c r="AW46" s="1021">
        <f>(VLOOKUP(YEAR($A46),'NY East Load Projections'!$A$4:$EO$14,((MONTH($A46)-1)*12)+VLOOKUP(AW$4,$DE$6:$DF$17,2)+1))*(VLOOKUP($A46,SatSunCurve,3))*(INDEX(DailyScalarsTable,AW$5/100,MONTH($A46)))*$C46</f>
        <v>-11147.938589588364</v>
      </c>
      <c r="AX46" s="1021">
        <f>(VLOOKUP(YEAR($A46),'NY East Load Projections'!$A$4:$EO$14,((MONTH($A46)-1)*12)+VLOOKUP(AX$4,$DE$6:$DF$17,2)+1))*(VLOOKUP($A46,SatSunCurve,3))*(INDEX(DailyScalarsTable,AX$5/100,MONTH($A46)))*$C46</f>
        <v>-10713.484785048975</v>
      </c>
      <c r="AY46" s="1021">
        <f>(VLOOKUP(YEAR($A46),'NY East Load Projections'!$A$4:$EO$14,((MONTH($A46)-1)*12)+VLOOKUP(AY$4,$DE$6:$DF$17,2)+1))*(VLOOKUP($A46,SatSunCurve,3))*(INDEX(DailyScalarsTable,AY$5/100,MONTH($A46)))*$C46</f>
        <v>-9282.3428406839394</v>
      </c>
      <c r="AZ46" s="1021">
        <f>(VLOOKUP(YEAR($A46),'NY East Load Projections'!$A$4:$EO$14,((MONTH($A46)-1)*12)+VLOOKUP(AZ$4,$DE$6:$DF$17,2)+1))*(VLOOKUP($A46,SatSunCurve,3))*(INDEX(DailyScalarsTable,AZ$5/100,MONTH($A46)))*$C46</f>
        <v>-9258.6121706880931</v>
      </c>
      <c r="BA46" s="1021">
        <f>(VLOOKUP(YEAR($A46),'NY East Load Projections'!$A$4:$EO$14,((MONTH($A46)-1)*12)+VLOOKUP(BA$4,$DE$6:$DF$17,2)+1))*(VLOOKUP($A46,SatSunCurve,3))*(INDEX(DailyScalarsTable,BA$5/100,MONTH($A46)))*$C46</f>
        <v>-11618.221833068768</v>
      </c>
      <c r="BB46" s="1021">
        <f>(VLOOKUP(YEAR($A46),'NY East Load Projections'!$A$4:$EO$14,((MONTH($A46)-1)*12)+VLOOKUP(BB$4,$DE$6:$DF$17,2)+1))*(VLOOKUP($A46,SatSunCurve,3))*(INDEX(DailyScalarsTable,BB$5/100,MONTH($A46)))*$C46</f>
        <v>-11081.619741485782</v>
      </c>
      <c r="BC46" s="1021">
        <f>(VLOOKUP(YEAR($A46),'NY East Load Projections'!$A$4:$EO$14,((MONTH($A46)-1)*12)+VLOOKUP(BC$4,$DE$6:$DF$17,2)+1))*(VLOOKUP($A46,SatSunCurve,3))*(INDEX(DailyScalarsTable,BC$5/100,MONTH($A46)))*$C46</f>
        <v>-8889.7662468764465</v>
      </c>
      <c r="BD46" s="1021">
        <f>(VLOOKUP(YEAR($A46),'NY East Load Projections'!$A$4:$EO$14,((MONTH($A46)-1)*12)+VLOOKUP(BD$4,$DE$6:$DF$17,2)+1))*(VLOOKUP($A46,CURVES!$D$9:$T$261,7))*(INDEX(DailyScalarsTable,BD$5/100,MONTH($A46)))*$C46</f>
        <v>-11295.799430933574</v>
      </c>
      <c r="BE46" s="1021"/>
      <c r="BF46" s="1021">
        <f>(VLOOKUP(YEAR($A46),'NY East Load Projections'!$A$4:$EO$14,((MONTH($A46)-1)*12)+VLOOKUP(BF$4,$DE$6:$DF$17,2)+1))*(VLOOKUP($A46,CURVES!$D$9:$T$261,7))*(INDEX(DailyScalarsTable,BF$5/100,MONTH($A46)))*$D46</f>
        <v>-9320.6757301039761</v>
      </c>
      <c r="BG46" s="1021">
        <f>(VLOOKUP(YEAR($A46),'NY East Load Projections'!$A$4:$EO$14,((MONTH($A46)-1)*12)+VLOOKUP(BG$4,$DE$6:$DF$17,2)+1))*(VLOOKUP($A46,CURVES!$D$9:$T$261,7))*(INDEX(DailyScalarsTable,BG$5/100,MONTH($A46)))*$D46</f>
        <v>-8395.7044972398908</v>
      </c>
      <c r="BH46" s="1021">
        <f>(VLOOKUP(YEAR($A46),'NY East Load Projections'!$A$4:$EO$14,((MONTH($A46)-1)*12)+VLOOKUP(BH$4,$DE$6:$DF$17,2)+1))*(VLOOKUP($A46,CURVES!$D$9:$T$261,7))*(INDEX(DailyScalarsTable,BH$5/100,MONTH($A46)))*$D46</f>
        <v>-7945.4539500256269</v>
      </c>
      <c r="BI46" s="1021">
        <f>(VLOOKUP(YEAR($A46),'NY East Load Projections'!$A$4:$EO$14,((MONTH($A46)-1)*12)+VLOOKUP(BI$4,$DE$6:$DF$17,2)+1))*(VLOOKUP($A46,CURVES!$D$9:$T$261,7))*(INDEX(DailyScalarsTable,BI$5/100,MONTH($A46)))*$D46</f>
        <v>-7703.1995795136017</v>
      </c>
      <c r="BJ46" s="1021">
        <f>(VLOOKUP(YEAR($A46),'NY East Load Projections'!$A$4:$EO$14,((MONTH($A46)-1)*12)+VLOOKUP(BJ$4,$DE$6:$DF$17,2)+1))*(VLOOKUP($A46,CURVES!$D$9:$T$261,7))*(INDEX(DailyScalarsTable,BJ$5/100,MONTH($A46)))*$D46</f>
        <v>-8465.4771822233306</v>
      </c>
      <c r="BK46" s="1021">
        <f>(VLOOKUP(YEAR($A46),'NY East Load Projections'!$A$4:$EO$14,((MONTH($A46)-1)*12)+VLOOKUP(BK$4,$DE$6:$DF$17,2)+1))*(VLOOKUP($A46,CURVES!$D$9:$T$261,7))*(INDEX(DailyScalarsTable,BK$5/100,MONTH($A46)))*$D46</f>
        <v>-10263.894283141664</v>
      </c>
      <c r="BL46" s="1021">
        <f>(VLOOKUP(YEAR($A46),'NY East Load Projections'!$A$4:$EO$14,((MONTH($A46)-1)*12)+VLOOKUP(BL$4,$DE$6:$DF$17,2)+1))*(VLOOKUP($A46,CURVES!$D$9:$T$261,7))*(INDEX(DailyScalarsTable,BL$5/100,MONTH($A46)))*$D46</f>
        <v>-12280.903517873285</v>
      </c>
      <c r="BM46" s="1021">
        <f>(VLOOKUP(YEAR($A46),'NY East Load Projections'!$A$4:$EO$14,((MONTH($A46)-1)*12)+VLOOKUP(BM$4,$DE$6:$DF$17,2)+1))*(VLOOKUP($A46,SatSunCurve,7))*(INDEX(DailyScalarsTable,BM$5/100,MONTH($A46)))*$D46</f>
        <v>-9693.1201106104436</v>
      </c>
      <c r="BN46" s="1021">
        <f>(VLOOKUP(YEAR($A46),'NY East Load Projections'!$A$4:$EO$14,((MONTH($A46)-1)*12)+VLOOKUP(BN$4,$DE$6:$DF$17,2)+1))*(VLOOKUP($A46,SatSunCurve,7))*(INDEX(DailyScalarsTable,BN$5/100,MONTH($A46)))*$D46</f>
        <v>-11813.357210933289</v>
      </c>
      <c r="BO46" s="1021">
        <f>(VLOOKUP(YEAR($A46),'NY East Load Projections'!$A$4:$EO$14,((MONTH($A46)-1)*12)+VLOOKUP(BO$4,$DE$6:$DF$17,2)+1))*(VLOOKUP($A46,SatSunCurve,7))*(INDEX(DailyScalarsTable,BO$5/100,MONTH($A46)))*$D46</f>
        <v>-12022.886227545358</v>
      </c>
      <c r="BP46" s="1021">
        <f>(VLOOKUP(YEAR($A46),'NY East Load Projections'!$A$4:$EO$14,((MONTH($A46)-1)*12)+VLOOKUP(BP$4,$DE$6:$DF$17,2)+1))*(VLOOKUP($A46,SatSunCurve,7))*(INDEX(DailyScalarsTable,BP$5/100,MONTH($A46)))*$D46</f>
        <v>-12753.456427059989</v>
      </c>
      <c r="BQ46" s="1021">
        <f>(VLOOKUP(YEAR($A46),'NY East Load Projections'!$A$4:$EO$14,((MONTH($A46)-1)*12)+VLOOKUP(BQ$4,$DE$6:$DF$17,2)+1))*(VLOOKUP($A46,SatSunCurve,7))*(INDEX(DailyScalarsTable,BQ$5/100,MONTH($A46)))*$D46</f>
        <v>-12657.035994636735</v>
      </c>
      <c r="BR46" s="1021">
        <f>(VLOOKUP(YEAR($A46),'NY East Load Projections'!$A$4:$EO$14,((MONTH($A46)-1)*12)+VLOOKUP(BR$4,$DE$6:$DF$17,2)+1))*(VLOOKUP($A46,SatSunCurve,7))*(INDEX(DailyScalarsTable,BR$5/100,MONTH($A46)))*$D46</f>
        <v>-12104.857737144666</v>
      </c>
      <c r="BS46" s="1021">
        <f>(VLOOKUP(YEAR($A46),'NY East Load Projections'!$A$4:$EO$14,((MONTH($A46)-1)*12)+VLOOKUP(BS$4,$DE$6:$DF$17,2)+1))*(VLOOKUP($A46,SatSunCurve,7))*(INDEX(DailyScalarsTable,BS$5/100,MONTH($A46)))*$D46</f>
        <v>-12163.198935815608</v>
      </c>
      <c r="BT46" s="1021">
        <f>(VLOOKUP(YEAR($A46),'NY East Load Projections'!$A$4:$EO$14,((MONTH($A46)-1)*12)+VLOOKUP(BT$4,$DE$6:$DF$17,2)+1))*(VLOOKUP($A46,SatSunCurve,7))*(INDEX(DailyScalarsTable,BT$5/100,MONTH($A46)))*$D46</f>
        <v>-11798.095950584566</v>
      </c>
      <c r="BU46" s="1021">
        <f>(VLOOKUP(YEAR($A46),'NY East Load Projections'!$A$4:$EO$14,((MONTH($A46)-1)*12)+VLOOKUP(BU$4,$DE$6:$DF$17,2)+1))*(VLOOKUP($A46,SatSunCurve,7))*(INDEX(DailyScalarsTable,BU$5/100,MONTH($A46)))*$D46</f>
        <v>-11338.894257819748</v>
      </c>
      <c r="BV46" s="1021">
        <f>(VLOOKUP(YEAR($A46),'NY East Load Projections'!$A$4:$EO$14,((MONTH($A46)-1)*12)+VLOOKUP(BV$4,$DE$6:$DF$17,2)+1))*(VLOOKUP($A46,SatSunCurve,7))*(INDEX(DailyScalarsTable,BV$5/100,MONTH($A46)))*$D46</f>
        <v>-10704.982441884074</v>
      </c>
      <c r="BW46" s="1021">
        <f>(VLOOKUP(YEAR($A46),'NY East Load Projections'!$A$4:$EO$14,((MONTH($A46)-1)*12)+VLOOKUP(BW$4,$DE$6:$DF$17,2)+1))*(VLOOKUP($A46,SatSunCurve,7))*(INDEX(DailyScalarsTable,BW$5/100,MONTH($A46)))*$D46</f>
        <v>-10287.791378977832</v>
      </c>
      <c r="BX46" s="1021">
        <f>(VLOOKUP(YEAR($A46),'NY East Load Projections'!$A$4:$EO$14,((MONTH($A46)-1)*12)+VLOOKUP(BX$4,$DE$6:$DF$17,2)+1))*(VLOOKUP($A46,SatSunCurve,7))*(INDEX(DailyScalarsTable,BX$5/100,MONTH($A46)))*$D46</f>
        <v>-8913.5149364631579</v>
      </c>
      <c r="BY46" s="1021">
        <f>(VLOOKUP(YEAR($A46),'NY East Load Projections'!$A$4:$EO$14,((MONTH($A46)-1)*12)+VLOOKUP(BY$4,$DE$6:$DF$17,2)+1))*(VLOOKUP($A46,SatSunCurve,7))*(INDEX(DailyScalarsTable,BY$5/100,MONTH($A46)))*$D46</f>
        <v>-8890.7271893296274</v>
      </c>
      <c r="BZ46" s="1021">
        <f>(VLOOKUP(YEAR($A46),'NY East Load Projections'!$A$4:$EO$14,((MONTH($A46)-1)*12)+VLOOKUP(BZ$4,$DE$6:$DF$17,2)+1))*(VLOOKUP($A46,SatSunCurve,7))*(INDEX(DailyScalarsTable,BZ$5/100,MONTH($A46)))*$D46</f>
        <v>-11156.579284090569</v>
      </c>
      <c r="CA46" s="1021">
        <f>(VLOOKUP(YEAR($A46),'NY East Load Projections'!$A$4:$EO$14,((MONTH($A46)-1)*12)+VLOOKUP(CA$4,$DE$6:$DF$17,2)+1))*(VLOOKUP($A46,SatSunCurve,7))*(INDEX(DailyScalarsTable,CA$5/100,MONTH($A46)))*$D46</f>
        <v>-10641.298730424885</v>
      </c>
      <c r="CB46" s="1021">
        <f>(VLOOKUP(YEAR($A46),'NY East Load Projections'!$A$4:$EO$14,((MONTH($A46)-1)*12)+VLOOKUP(CB$4,$DE$6:$DF$17,2)+1))*(VLOOKUP($A46,SatSunCurve,7))*(INDEX(DailyScalarsTable,CB$5/100,MONTH($A46)))*$D46</f>
        <v>-8536.5371203376908</v>
      </c>
      <c r="CC46" s="1021">
        <f>(VLOOKUP(YEAR($A46),'NY East Load Projections'!$A$4:$EO$14,((MONTH($A46)-1)*12)+VLOOKUP(CC$4,$DE$6:$DF$17,2)+1))*(VLOOKUP($A46,CURVES!$D$9:$T$261,7))*(INDEX(DailyScalarsTable,CC$5/100,MONTH($A46)))*$D46</f>
        <v>-11295.799430933574</v>
      </c>
      <c r="CE46" s="1021">
        <f>(VLOOKUP(YEAR($A46),'NY East Load Projections'!$A$4:$EO$14,((MONTH($A46)-1)*12)+VLOOKUP(CE$4,$DE$6:$DF$17,2)+1))*(VLOOKUP($A46,CURVES!$D$9:$T$261,7))*(INDEX(DailyScalarsTable,CE$5/100,MONTH($A46)))*$E46</f>
        <v>-1864.1351460207952</v>
      </c>
      <c r="CF46" s="1021">
        <f>(VLOOKUP(YEAR($A46),'NY East Load Projections'!$A$4:$EO$14,((MONTH($A46)-1)*12)+VLOOKUP(CF$4,$DE$6:$DF$17,2)+1))*(VLOOKUP($A46,CURVES!$D$9:$T$261,7))*(INDEX(DailyScalarsTable,CF$5/100,MONTH($A46)))*$E46</f>
        <v>-1679.140899447978</v>
      </c>
      <c r="CG46" s="1021">
        <f>(VLOOKUP(YEAR($A46),'NY East Load Projections'!$A$4:$EO$14,((MONTH($A46)-1)*12)+VLOOKUP(CG$4,$DE$6:$DF$17,2)+1))*(VLOOKUP($A46,CURVES!$D$9:$T$261,7))*(INDEX(DailyScalarsTable,CG$5/100,MONTH($A46)))*$E46</f>
        <v>-1589.0907900051254</v>
      </c>
      <c r="CH46" s="1021">
        <f>(VLOOKUP(YEAR($A46),'NY East Load Projections'!$A$4:$EO$14,((MONTH($A46)-1)*12)+VLOOKUP(CH$4,$DE$6:$DF$17,2)+1))*(VLOOKUP($A46,CURVES!$D$9:$T$261,7))*(INDEX(DailyScalarsTable,CH$5/100,MONTH($A46)))*$E46</f>
        <v>-1540.6399159027203</v>
      </c>
      <c r="CI46" s="1021">
        <f>(VLOOKUP(YEAR($A46),'NY East Load Projections'!$A$4:$EO$14,((MONTH($A46)-1)*12)+VLOOKUP(CI$4,$DE$6:$DF$17,2)+1))*(VLOOKUP($A46,CURVES!$D$9:$T$261,7))*(INDEX(DailyScalarsTable,CI$5/100,MONTH($A46)))*$E46</f>
        <v>-1693.0954364446661</v>
      </c>
      <c r="CJ46" s="1021">
        <f>(VLOOKUP(YEAR($A46),'NY East Load Projections'!$A$4:$EO$14,((MONTH($A46)-1)*12)+VLOOKUP(CJ$4,$DE$6:$DF$17,2)+1))*(VLOOKUP($A46,CURVES!$D$9:$T$261,7))*(INDEX(DailyScalarsTable,CJ$5/100,MONTH($A46)))*$E46</f>
        <v>-2052.778856628333</v>
      </c>
      <c r="CK46" s="1021">
        <f>(VLOOKUP(YEAR($A46),'NY East Load Projections'!$A$4:$EO$14,((MONTH($A46)-1)*12)+VLOOKUP(CK$4,$DE$6:$DF$17,2)+1))*(VLOOKUP($A46,CURVES!$D$9:$T$261,7))*(INDEX(DailyScalarsTable,CK$5/100,MONTH($A46)))*$E46</f>
        <v>-2456.1807035746569</v>
      </c>
      <c r="CL46" s="1021">
        <f>(VLOOKUP(YEAR($A46),'NY East Load Projections'!$A$4:$EO$14,((MONTH($A46)-1)*12)+VLOOKUP(CL$4,$DE$6:$DF$17,2)+1))*(VLOOKUP($A46,SatSunCurve,7))*(INDEX(DailyScalarsTable,CL$5/100,MONTH($A46)))*$E46</f>
        <v>-1938.6240221220887</v>
      </c>
      <c r="CM46" s="1021">
        <f>(VLOOKUP(YEAR($A46),'NY East Load Projections'!$A$4:$EO$14,((MONTH($A46)-1)*12)+VLOOKUP(CM$4,$DE$6:$DF$17,2)+1))*(VLOOKUP($A46,SatSunCurve,7))*(INDEX(DailyScalarsTable,CM$5/100,MONTH($A46)))*$E46</f>
        <v>-2362.6714421866577</v>
      </c>
      <c r="CN46" s="1021">
        <f>(VLOOKUP(YEAR($A46),'NY East Load Projections'!$A$4:$EO$14,((MONTH($A46)-1)*12)+VLOOKUP(CN$4,$DE$6:$DF$17,2)+1))*(VLOOKUP($A46,SatSunCurve,7))*(INDEX(DailyScalarsTable,CN$5/100,MONTH($A46)))*$E46</f>
        <v>-2404.5772455090714</v>
      </c>
      <c r="CO46" s="1021">
        <f>(VLOOKUP(YEAR($A46),'NY East Load Projections'!$A$4:$EO$14,((MONTH($A46)-1)*12)+VLOOKUP(CO$4,$DE$6:$DF$17,2)+1))*(VLOOKUP($A46,SatSunCurve,7))*(INDEX(DailyScalarsTable,CO$5/100,MONTH($A46)))*$E46</f>
        <v>-2550.6912854119978</v>
      </c>
      <c r="CP46" s="1021">
        <f>(VLOOKUP(YEAR($A46),'NY East Load Projections'!$A$4:$EO$14,((MONTH($A46)-1)*12)+VLOOKUP(CP$4,$DE$6:$DF$17,2)+1))*(VLOOKUP($A46,SatSunCurve,7))*(INDEX(DailyScalarsTable,CP$5/100,MONTH($A46)))*$E46</f>
        <v>-2531.4071989273471</v>
      </c>
      <c r="CQ46" s="1021">
        <f>(VLOOKUP(YEAR($A46),'NY East Load Projections'!$A$4:$EO$14,((MONTH($A46)-1)*12)+VLOOKUP(CQ$4,$DE$6:$DF$17,2)+1))*(VLOOKUP($A46,SatSunCurve,7))*(INDEX(DailyScalarsTable,CQ$5/100,MONTH($A46)))*$E46</f>
        <v>-2420.9715474289333</v>
      </c>
      <c r="CR46" s="1021">
        <f>(VLOOKUP(YEAR($A46),'NY East Load Projections'!$A$4:$EO$14,((MONTH($A46)-1)*12)+VLOOKUP(CR$4,$DE$6:$DF$17,2)+1))*(VLOOKUP($A46,SatSunCurve,7))*(INDEX(DailyScalarsTable,CR$5/100,MONTH($A46)))*$E46</f>
        <v>-2432.6397871631216</v>
      </c>
      <c r="CS46" s="1021">
        <f>(VLOOKUP(YEAR($A46),'NY East Load Projections'!$A$4:$EO$14,((MONTH($A46)-1)*12)+VLOOKUP(CS$4,$DE$6:$DF$17,2)+1))*(VLOOKUP($A46,SatSunCurve,7))*(INDEX(DailyScalarsTable,CS$5/100,MONTH($A46)))*$E46</f>
        <v>-2359.6191901169132</v>
      </c>
      <c r="CT46" s="1021">
        <f>(VLOOKUP(YEAR($A46),'NY East Load Projections'!$A$4:$EO$14,((MONTH($A46)-1)*12)+VLOOKUP(CT$4,$DE$6:$DF$17,2)+1))*(VLOOKUP($A46,SatSunCurve,7))*(INDEX(DailyScalarsTable,CT$5/100,MONTH($A46)))*$E46</f>
        <v>-2267.7788515639495</v>
      </c>
      <c r="CU46" s="1021">
        <f>(VLOOKUP(YEAR($A46),'NY East Load Projections'!$A$4:$EO$14,((MONTH($A46)-1)*12)+VLOOKUP(CU$4,$DE$6:$DF$17,2)+1))*(VLOOKUP($A46,SatSunCurve,7))*(INDEX(DailyScalarsTable,CU$5/100,MONTH($A46)))*$E46</f>
        <v>-2140.9964883768148</v>
      </c>
      <c r="CV46" s="1021">
        <f>(VLOOKUP(YEAR($A46),'NY East Load Projections'!$A$4:$EO$14,((MONTH($A46)-1)*12)+VLOOKUP(CV$4,$DE$6:$DF$17,2)+1))*(VLOOKUP($A46,SatSunCurve,7))*(INDEX(DailyScalarsTable,CV$5/100,MONTH($A46)))*$E46</f>
        <v>-2057.5582757955663</v>
      </c>
      <c r="CW46" s="1021">
        <f>(VLOOKUP(YEAR($A46),'NY East Load Projections'!$A$4:$EO$14,((MONTH($A46)-1)*12)+VLOOKUP(CW$4,$DE$6:$DF$17,2)+1))*(VLOOKUP($A46,SatSunCurve,7))*(INDEX(DailyScalarsTable,CW$5/100,MONTH($A46)))*$E46</f>
        <v>-1782.7029872926316</v>
      </c>
      <c r="CX46" s="1021">
        <f>(VLOOKUP(YEAR($A46),'NY East Load Projections'!$A$4:$EO$14,((MONTH($A46)-1)*12)+VLOOKUP(CX$4,$DE$6:$DF$17,2)+1))*(VLOOKUP($A46,SatSunCurve,7))*(INDEX(DailyScalarsTable,CX$5/100,MONTH($A46)))*$E46</f>
        <v>-1778.1454378659255</v>
      </c>
      <c r="CY46" s="1021">
        <f>(VLOOKUP(YEAR($A46),'NY East Load Projections'!$A$4:$EO$14,((MONTH($A46)-1)*12)+VLOOKUP(CY$4,$DE$6:$DF$17,2)+1))*(VLOOKUP($A46,SatSunCurve,7))*(INDEX(DailyScalarsTable,CY$5/100,MONTH($A46)))*$E46</f>
        <v>-2231.3158568181138</v>
      </c>
      <c r="CZ46" s="1021">
        <f>(VLOOKUP(YEAR($A46),'NY East Load Projections'!$A$4:$EO$14,((MONTH($A46)-1)*12)+VLOOKUP(CZ$4,$DE$6:$DF$17,2)+1))*(VLOOKUP($A46,SatSunCurve,7))*(INDEX(DailyScalarsTable,CZ$5/100,MONTH($A46)))*$E46</f>
        <v>-2128.259746084977</v>
      </c>
      <c r="DA46" s="1021">
        <f>(VLOOKUP(YEAR($A46),'NY East Load Projections'!$A$4:$EO$14,((MONTH($A46)-1)*12)+VLOOKUP(DA$4,$DE$6:$DF$17,2)+1))*(VLOOKUP($A46,SatSunCurve,7))*(INDEX(DailyScalarsTable,DA$5/100,MONTH($A46)))*$E46</f>
        <v>-1707.307424067538</v>
      </c>
      <c r="DB46" s="1021">
        <f>(VLOOKUP(YEAR($A46),'NY East Load Projections'!$A$4:$EO$14,((MONTH($A46)-1)*12)+VLOOKUP(DB$4,$DE$6:$DF$17,2)+1))*(VLOOKUP($A46,CURVES!$D$9:$T$261,7))*(INDEX(DailyScalarsTable,DB$5/100,MONTH($A46)))*$E46</f>
        <v>-2259.1598861867146</v>
      </c>
      <c r="DH46" s="1032">
        <f t="shared" si="0"/>
        <v>-2045561.521018578</v>
      </c>
      <c r="DI46">
        <f ca="1">CALC!J66</f>
        <v>0.73550957482072366</v>
      </c>
      <c r="DJ46" s="1029">
        <f t="shared" ca="1" si="1"/>
        <v>-1504530.0845940071</v>
      </c>
    </row>
    <row r="47" spans="1:114" x14ac:dyDescent="0.25">
      <c r="A47" s="244">
        <v>38139</v>
      </c>
      <c r="B47" s="13">
        <v>22</v>
      </c>
      <c r="C47" s="210">
        <v>4</v>
      </c>
      <c r="D47" s="210">
        <v>4</v>
      </c>
      <c r="E47" s="210">
        <v>0</v>
      </c>
      <c r="F47" s="13">
        <v>30</v>
      </c>
      <c r="H47" s="1021">
        <f>(VLOOKUP(YEAR($A47),'NY East Load Projections'!$A$4:$EO$14,((MONTH($A47)-1)*12)+VLOOKUP(H$4,$DE$6:$DF$17,2)+1))*(VLOOKUP($A47,CURVES!$D$9:$K$261,7))*(INDEX(DailyScalarsTable,H$5/100,MONTH($A47)))*$B47</f>
        <v>-47201.229554919715</v>
      </c>
      <c r="I47" s="1021">
        <f>(VLOOKUP(YEAR($A47),'NY East Load Projections'!$A$4:$EO$14,((MONTH($A47)-1)*12)+VLOOKUP(I$4,$DE$6:$DF$17,2)+1))*(VLOOKUP($A47,CURVES!$D$9:$K$261,7))*(INDEX(DailyScalarsTable,I$5/100,MONTH($A47)))*$B47</f>
        <v>-39106.828786607402</v>
      </c>
      <c r="J47" s="1021">
        <f>(VLOOKUP(YEAR($A47),'NY East Load Projections'!$A$4:$EO$14,((MONTH($A47)-1)*12)+VLOOKUP(J$4,$DE$6:$DF$17,2)+1))*(VLOOKUP($A47,CURVES!$D$9:$K$261,7))*(INDEX(DailyScalarsTable,J$5/100,MONTH($A47)))*$B47</f>
        <v>-32872.932075489254</v>
      </c>
      <c r="K47" s="1021">
        <f>(VLOOKUP(YEAR($A47),'NY East Load Projections'!$A$4:$EO$14,((MONTH($A47)-1)*12)+VLOOKUP(K$4,$DE$6:$DF$17,2)+1))*(VLOOKUP($A47,CURVES!$D$9:$K$261,7))*(INDEX(DailyScalarsTable,K$5/100,MONTH($A47)))*$B47</f>
        <v>-30517.099016055086</v>
      </c>
      <c r="L47" s="1021">
        <f>(VLOOKUP(YEAR($A47),'NY East Load Projections'!$A$4:$EO$14,((MONTH($A47)-1)*12)+VLOOKUP(L$4,$DE$6:$DF$17,2)+1))*(VLOOKUP($A47,CURVES!$D$9:$K$261,7))*(INDEX(DailyScalarsTable,L$5/100,MONTH($A47)))*$B47</f>
        <v>-36294.834952954392</v>
      </c>
      <c r="M47" s="1021">
        <f>(VLOOKUP(YEAR($A47),'NY East Load Projections'!$A$4:$EO$14,((MONTH($A47)-1)*12)+VLOOKUP(M$4,$DE$6:$DF$17,2)+1))*(VLOOKUP($A47,CURVES!$D$9:$K$261,7))*(INDEX(DailyScalarsTable,M$5/100,MONTH($A47)))*$B47</f>
        <v>-44282.347900630113</v>
      </c>
      <c r="N47" s="1021">
        <f>(VLOOKUP(YEAR($A47),'NY East Load Projections'!$A$4:$EO$14,((MONTH($A47)-1)*12)+VLOOKUP(N$4,$DE$6:$DF$17,2)+1))*(VLOOKUP($A47,CURVES!$D$9:$K$261,7))*(INDEX(DailyScalarsTable,N$5/100,MONTH($A47)))*$B47</f>
        <v>-50773.030063749691</v>
      </c>
      <c r="O47" s="1021">
        <f>(VLOOKUP(YEAR($A47),'NY East Load Projections'!$A$4:$EO$14,((MONTH($A47)-1)*12)+VLOOKUP(O$4,$DE$6:$DF$17,2)+1))*(VLOOKUP($A47,CURVES!$D$9:$K$261,3))*(INDEX(DailyScalarsTable,O$5/100,MONTH($A47)))*$B47</f>
        <v>-72625.826744905338</v>
      </c>
      <c r="P47" s="1021">
        <f>(VLOOKUP(YEAR($A47),'NY East Load Projections'!$A$4:$EO$14,((MONTH($A47)-1)*12)+VLOOKUP(P$4,$DE$6:$DF$17,2)+1))*(VLOOKUP($A47,CURVES!$D$9:$K$261,3))*(INDEX(DailyScalarsTable,P$5/100,MONTH($A47)))*$B47</f>
        <v>-96477.072597077073</v>
      </c>
      <c r="Q47" s="1021">
        <f>(VLOOKUP(YEAR($A47),'NY East Load Projections'!$A$4:$EO$14,((MONTH($A47)-1)*12)+VLOOKUP(Q$4,$DE$6:$DF$17,2)+1))*(VLOOKUP($A47,CURVES!$D$9:$K$261,3))*(INDEX(DailyScalarsTable,Q$5/100,MONTH($A47)))*$B47</f>
        <v>-107908.8869836895</v>
      </c>
      <c r="R47" s="1021">
        <f>(VLOOKUP(YEAR($A47),'NY East Load Projections'!$A$4:$EO$14,((MONTH($A47)-1)*12)+VLOOKUP(R$4,$DE$6:$DF$17,2)+1))*(VLOOKUP($A47,CURVES!$D$9:$K$261,3))*(INDEX(DailyScalarsTable,R$5/100,MONTH($A47)))*$B47</f>
        <v>-124126.50532209384</v>
      </c>
      <c r="S47" s="1021">
        <f>(VLOOKUP(YEAR($A47),'NY East Load Projections'!$A$4:$EO$14,((MONTH($A47)-1)*12)+VLOOKUP(S$4,$DE$6:$DF$17,2)+1))*(VLOOKUP($A47,CURVES!$D$9:$K$261,3))*(INDEX(DailyScalarsTable,S$5/100,MONTH($A47)))*$B47</f>
        <v>-133867.22290595304</v>
      </c>
      <c r="T47" s="1021">
        <f>(VLOOKUP(YEAR($A47),'NY East Load Projections'!$A$4:$EO$14,((MONTH($A47)-1)*12)+VLOOKUP(T$4,$DE$6:$DF$17,2)+1))*(VLOOKUP($A47,CURVES!$D$9:$K$261,3))*(INDEX(DailyScalarsTable,T$5/100,MONTH($A47)))*$B47</f>
        <v>-142668.00831075755</v>
      </c>
      <c r="U47" s="1021">
        <f>(VLOOKUP(YEAR($A47),'NY East Load Projections'!$A$4:$EO$14,((MONTH($A47)-1)*12)+VLOOKUP(U$4,$DE$6:$DF$17,2)+1))*(VLOOKUP($A47,CURVES!$D$9:$K$261,3))*(INDEX(DailyScalarsTable,U$5/100,MONTH($A47)))*$B47</f>
        <v>-157774.23676184798</v>
      </c>
      <c r="V47" s="1021">
        <f>(VLOOKUP(YEAR($A47),'NY East Load Projections'!$A$4:$EO$14,((MONTH($A47)-1)*12)+VLOOKUP(V$4,$DE$6:$DF$17,2)+1))*(VLOOKUP($A47,CURVES!$D$9:$K$261,3))*(INDEX(DailyScalarsTable,V$5/100,MONTH($A47)))*$B47</f>
        <v>-158988.28497261304</v>
      </c>
      <c r="W47" s="1021">
        <f>(VLOOKUP(YEAR($A47),'NY East Load Projections'!$A$4:$EO$14,((MONTH($A47)-1)*12)+VLOOKUP(W$4,$DE$6:$DF$17,2)+1))*(VLOOKUP($A47,CURVES!$D$9:$K$261,3))*(INDEX(DailyScalarsTable,W$5/100,MONTH($A47)))*$B47</f>
        <v>-159248.43816063405</v>
      </c>
      <c r="X47" s="1021">
        <f>(VLOOKUP(YEAR($A47),'NY East Load Projections'!$A$4:$EO$14,((MONTH($A47)-1)*12)+VLOOKUP(X$4,$DE$6:$DF$17,2)+1))*(VLOOKUP($A47,CURVES!$D$9:$K$261,3))*(INDEX(DailyScalarsTable,X$5/100,MONTH($A47)))*$B47</f>
        <v>-152672.58710615721</v>
      </c>
      <c r="Y47" s="1021">
        <f>(VLOOKUP(YEAR($A47),'NY East Load Projections'!$A$4:$EO$14,((MONTH($A47)-1)*12)+VLOOKUP(Y$4,$DE$6:$DF$17,2)+1))*(VLOOKUP($A47,CURVES!$D$9:$K$261,3))*(INDEX(DailyScalarsTable,Y$5/100,MONTH($A47)))*$B47</f>
        <v>-148140.34976520707</v>
      </c>
      <c r="Z47" s="1021">
        <f>(VLOOKUP(YEAR($A47),'NY East Load Projections'!$A$4:$EO$14,((MONTH($A47)-1)*12)+VLOOKUP(Z$4,$DE$6:$DF$17,2)+1))*(VLOOKUP($A47,CURVES!$D$9:$K$261,3))*(INDEX(DailyScalarsTable,Z$5/100,MONTH($A47)))*$B47</f>
        <v>-126493.59885518177</v>
      </c>
      <c r="AA47" s="1021">
        <f>(VLOOKUP(YEAR($A47),'NY East Load Projections'!$A$4:$EO$14,((MONTH($A47)-1)*12)+VLOOKUP(AA$4,$DE$6:$DF$17,2)+1))*(VLOOKUP($A47,CURVES!$D$9:$K$261,3))*(INDEX(DailyScalarsTable,AA$5/100,MONTH($A47)))*$B47</f>
        <v>-101149.06585470625</v>
      </c>
      <c r="AB47" s="1021">
        <f>(VLOOKUP(YEAR($A47),'NY East Load Projections'!$A$4:$EO$14,((MONTH($A47)-1)*12)+VLOOKUP(AB$4,$DE$6:$DF$17,2)+1))*(VLOOKUP($A47,CURVES!$D$9:$K$261,3))*(INDEX(DailyScalarsTable,AB$5/100,MONTH($A47)))*$B47</f>
        <v>-97072.175688196556</v>
      </c>
      <c r="AC47" s="1021">
        <f>(VLOOKUP(YEAR($A47),'NY East Load Projections'!$A$4:$EO$14,((MONTH($A47)-1)*12)+VLOOKUP(AC$4,$DE$6:$DF$17,2)+1))*(VLOOKUP($A47,CURVES!$D$9:$K$261,3))*(INDEX(DailyScalarsTable,AC$5/100,MONTH($A47)))*$B47</f>
        <v>-98907.270405731688</v>
      </c>
      <c r="AD47" s="1021">
        <f>(VLOOKUP(YEAR($A47),'NY East Load Projections'!$A$4:$EO$14,((MONTH($A47)-1)*12)+VLOOKUP(AD$4,$DE$6:$DF$17,2)+1))*(VLOOKUP($A47,CURVES!$D$9:$K$261,3))*(INDEX(DailyScalarsTable,AD$5/100,MONTH($A47)))*$B47</f>
        <v>-79313.660665750358</v>
      </c>
      <c r="AE47" s="1021">
        <f>(VLOOKUP(YEAR($A47),'NY East Load Projections'!$A$4:$EO$14,((MONTH($A47)-1)*12)+VLOOKUP(AE$4,$DE$6:$DF$17,2)+1))*(VLOOKUP($A47,CURVES!$D$9:$K$261,7))*(INDEX(DailyScalarsTable,AE$5/100,MONTH($A47)))*$B47</f>
        <v>-60305.245351677338</v>
      </c>
      <c r="AF47" s="1021"/>
      <c r="AG47" s="1021">
        <f>(VLOOKUP(YEAR($A47),'NY East Load Projections'!$A$4:$EO$14,((MONTH($A47)-1)*12)+VLOOKUP(AG$4,$DE$6:$DF$17,2)+1))*(VLOOKUP($A47,CURVES!$D$9:$T$261,7))*(INDEX(DailyScalarsTable,AG$5/100,MONTH($A47)))*$C47</f>
        <v>-8736.619687557295</v>
      </c>
      <c r="AH47" s="1021">
        <f>(VLOOKUP(YEAR($A47),'NY East Load Projections'!$A$4:$EO$14,((MONTH($A47)-1)*12)+VLOOKUP(AH$4,$DE$6:$DF$17,2)+1))*(VLOOKUP($A47,CURVES!$D$9:$T$261,7))*(INDEX(DailyScalarsTable,AH$5/100,MONTH($A47)))*$C47</f>
        <v>-7238.4023364788736</v>
      </c>
      <c r="AI47" s="1021">
        <f>(VLOOKUP(YEAR($A47),'NY East Load Projections'!$A$4:$EO$14,((MONTH($A47)-1)*12)+VLOOKUP(AI$4,$DE$6:$DF$17,2)+1))*(VLOOKUP($A47,CURVES!$D$9:$T$261,7))*(INDEX(DailyScalarsTable,AI$5/100,MONTH($A47)))*$C47</f>
        <v>-6084.551361618478</v>
      </c>
      <c r="AJ47" s="1021">
        <f>(VLOOKUP(YEAR($A47),'NY East Load Projections'!$A$4:$EO$14,((MONTH($A47)-1)*12)+VLOOKUP(AJ$4,$DE$6:$DF$17,2)+1))*(VLOOKUP($A47,CURVES!$D$9:$T$261,7))*(INDEX(DailyScalarsTable,AJ$5/100,MONTH($A47)))*$C47</f>
        <v>-5648.5030280956553</v>
      </c>
      <c r="AK47" s="1021">
        <f>(VLOOKUP(YEAR($A47),'NY East Load Projections'!$A$4:$EO$14,((MONTH($A47)-1)*12)+VLOOKUP(AK$4,$DE$6:$DF$17,2)+1))*(VLOOKUP($A47,CURVES!$D$9:$T$261,7))*(INDEX(DailyScalarsTable,AK$5/100,MONTH($A47)))*$C47</f>
        <v>-6183.7313139625003</v>
      </c>
      <c r="AL47" s="1021">
        <f>(VLOOKUP(YEAR($A47),'NY East Load Projections'!$A$4:$EO$14,((MONTH($A47)-1)*12)+VLOOKUP(AL$4,$DE$6:$DF$17,2)+1))*(VLOOKUP($A47,CURVES!$D$9:$T$261,7))*(INDEX(DailyScalarsTable,AL$5/100,MONTH($A47)))*$C47</f>
        <v>-7544.6035702834433</v>
      </c>
      <c r="AM47" s="1021">
        <f>(VLOOKUP(YEAR($A47),'NY East Load Projections'!$A$4:$EO$14,((MONTH($A47)-1)*12)+VLOOKUP(AM$4,$DE$6:$DF$17,2)+1))*(VLOOKUP($A47,CURVES!$D$9:$T$261,7))*(INDEX(DailyScalarsTable,AM$5/100,MONTH($A47)))*$C47</f>
        <v>-8650.4533308095833</v>
      </c>
      <c r="AN47" s="1021">
        <f>(VLOOKUP(YEAR($A47),'NY East Load Projections'!$A$4:$EO$14,((MONTH($A47)-1)*12)+VLOOKUP(AN$4,$DE$6:$DF$17,2)+1))*(VLOOKUP($A47,SatSunCurve,3))*(INDEX(DailyScalarsTable,AN$5/100,MONTH($A47)))*$C47</f>
        <v>-6664.940940569747</v>
      </c>
      <c r="AO47" s="1021">
        <f>(VLOOKUP(YEAR($A47),'NY East Load Projections'!$A$4:$EO$14,((MONTH($A47)-1)*12)+VLOOKUP(AO$4,$DE$6:$DF$17,2)+1))*(VLOOKUP($A47,SatSunCurve,3))*(INDEX(DailyScalarsTable,AO$5/100,MONTH($A47)))*$C47</f>
        <v>-8521.6655424126238</v>
      </c>
      <c r="AP47" s="1021">
        <f>(VLOOKUP(YEAR($A47),'NY East Load Projections'!$A$4:$EO$14,((MONTH($A47)-1)*12)+VLOOKUP(AP$4,$DE$6:$DF$17,2)+1))*(VLOOKUP($A47,SatSunCurve,3))*(INDEX(DailyScalarsTable,AP$5/100,MONTH($A47)))*$C47</f>
        <v>-9531.4194261410921</v>
      </c>
      <c r="AQ47" s="1021">
        <f>(VLOOKUP(YEAR($A47),'NY East Load Projections'!$A$4:$EO$14,((MONTH($A47)-1)*12)+VLOOKUP(AQ$4,$DE$6:$DF$17,2)+1))*(VLOOKUP($A47,SatSunCurve,3))*(INDEX(DailyScalarsTable,AQ$5/100,MONTH($A47)))*$C47</f>
        <v>-10963.895719773642</v>
      </c>
      <c r="AR47" s="1021">
        <f>(VLOOKUP(YEAR($A47),'NY East Load Projections'!$A$4:$EO$14,((MONTH($A47)-1)*12)+VLOOKUP(AR$4,$DE$6:$DF$17,2)+1))*(VLOOKUP($A47,SatSunCurve,3))*(INDEX(DailyScalarsTable,AR$5/100,MONTH($A47)))*$C47</f>
        <v>-11824.277727210923</v>
      </c>
      <c r="AS47" s="1021">
        <f>(VLOOKUP(YEAR($A47),'NY East Load Projections'!$A$4:$EO$14,((MONTH($A47)-1)*12)+VLOOKUP(AS$4,$DE$6:$DF$17,2)+1))*(VLOOKUP($A47,SatSunCurve,3))*(INDEX(DailyScalarsTable,AS$5/100,MONTH($A47)))*$C47</f>
        <v>-12615.16617324881</v>
      </c>
      <c r="AT47" s="1021">
        <f>(VLOOKUP(YEAR($A47),'NY East Load Projections'!$A$4:$EO$14,((MONTH($A47)-1)*12)+VLOOKUP(AT$4,$DE$6:$DF$17,2)+1))*(VLOOKUP($A47,SatSunCurve,3))*(INDEX(DailyScalarsTable,AT$5/100,MONTH($A47)))*$C47</f>
        <v>-13950.907692444011</v>
      </c>
      <c r="AU47" s="1021">
        <f>(VLOOKUP(YEAR($A47),'NY East Load Projections'!$A$4:$EO$14,((MONTH($A47)-1)*12)+VLOOKUP(AU$4,$DE$6:$DF$17,2)+1))*(VLOOKUP($A47,SatSunCurve,3))*(INDEX(DailyScalarsTable,AU$5/100,MONTH($A47)))*$C47</f>
        <v>-14058.257757132491</v>
      </c>
      <c r="AV47" s="1021">
        <f>(VLOOKUP(YEAR($A47),'NY East Load Projections'!$A$4:$EO$14,((MONTH($A47)-1)*12)+VLOOKUP(AV$4,$DE$6:$DF$17,2)+1))*(VLOOKUP($A47,SatSunCurve,3))*(INDEX(DailyScalarsTable,AV$5/100,MONTH($A47)))*$C47</f>
        <v>-14081.261342422875</v>
      </c>
      <c r="AW47" s="1021">
        <f>(VLOOKUP(YEAR($A47),'NY East Load Projections'!$A$4:$EO$14,((MONTH($A47)-1)*12)+VLOOKUP(AW$4,$DE$6:$DF$17,2)+1))*(VLOOKUP($A47,SatSunCurve,3))*(INDEX(DailyScalarsTable,AW$5/100,MONTH($A47)))*$C47</f>
        <v>-13633.224638173768</v>
      </c>
      <c r="AX47" s="1021">
        <f>(VLOOKUP(YEAR($A47),'NY East Load Projections'!$A$4:$EO$14,((MONTH($A47)-1)*12)+VLOOKUP(AX$4,$DE$6:$DF$17,2)+1))*(VLOOKUP($A47,SatSunCurve,3))*(INDEX(DailyScalarsTable,AX$5/100,MONTH($A47)))*$C47</f>
        <v>-13228.508827995422</v>
      </c>
      <c r="AY47" s="1021">
        <f>(VLOOKUP(YEAR($A47),'NY East Load Projections'!$A$4:$EO$14,((MONTH($A47)-1)*12)+VLOOKUP(AY$4,$DE$6:$DF$17,2)+1))*(VLOOKUP($A47,SatSunCurve,3))*(INDEX(DailyScalarsTable,AY$5/100,MONTH($A47)))*$C47</f>
        <v>-11295.515987324123</v>
      </c>
      <c r="AZ47" s="1021">
        <f>(VLOOKUP(YEAR($A47),'NY East Load Projections'!$A$4:$EO$14,((MONTH($A47)-1)*12)+VLOOKUP(AZ$4,$DE$6:$DF$17,2)+1))*(VLOOKUP($A47,SatSunCurve,3))*(INDEX(DailyScalarsTable,AZ$5/100,MONTH($A47)))*$C47</f>
        <v>-9032.3217997203137</v>
      </c>
      <c r="BA47" s="1021">
        <f>(VLOOKUP(YEAR($A47),'NY East Load Projections'!$A$4:$EO$14,((MONTH($A47)-1)*12)+VLOOKUP(BA$4,$DE$6:$DF$17,2)+1))*(VLOOKUP($A47,SatSunCurve,3))*(INDEX(DailyScalarsTable,BA$5/100,MONTH($A47)))*$C47</f>
        <v>-9336.5731280234704</v>
      </c>
      <c r="BB47" s="1021">
        <f>(VLOOKUP(YEAR($A47),'NY East Load Projections'!$A$4:$EO$14,((MONTH($A47)-1)*12)+VLOOKUP(BB$4,$DE$6:$DF$17,2)+1))*(VLOOKUP($A47,SatSunCurve,3))*(INDEX(DailyScalarsTable,BB$5/100,MONTH($A47)))*$C47</f>
        <v>-9513.0757757250176</v>
      </c>
      <c r="BC47" s="1021">
        <f>(VLOOKUP(YEAR($A47),'NY East Load Projections'!$A$4:$EO$14,((MONTH($A47)-1)*12)+VLOOKUP(BC$4,$DE$6:$DF$17,2)+1))*(VLOOKUP($A47,SatSunCurve,3))*(INDEX(DailyScalarsTable,BC$5/100,MONTH($A47)))*$C47</f>
        <v>-7628.5278207384381</v>
      </c>
      <c r="BD47" s="1021">
        <f>(VLOOKUP(YEAR($A47),'NY East Load Projections'!$A$4:$EO$14,((MONTH($A47)-1)*12)+VLOOKUP(BD$4,$DE$6:$DF$17,2)+1))*(VLOOKUP($A47,CURVES!$D$9:$T$261,7))*(INDEX(DailyScalarsTable,BD$5/100,MONTH($A47)))*$C47</f>
        <v>-10768.331018830278</v>
      </c>
      <c r="BE47" s="1021"/>
      <c r="BF47" s="1021">
        <f>(VLOOKUP(YEAR($A47),'NY East Load Projections'!$A$4:$EO$14,((MONTH($A47)-1)*12)+VLOOKUP(BF$4,$DE$6:$DF$17,2)+1))*(VLOOKUP($A47,CURVES!$D$9:$T$261,7))*(INDEX(DailyScalarsTable,BF$5/100,MONTH($A47)))*$D47</f>
        <v>-8736.619687557295</v>
      </c>
      <c r="BG47" s="1021">
        <f>(VLOOKUP(YEAR($A47),'NY East Load Projections'!$A$4:$EO$14,((MONTH($A47)-1)*12)+VLOOKUP(BG$4,$DE$6:$DF$17,2)+1))*(VLOOKUP($A47,CURVES!$D$9:$T$261,7))*(INDEX(DailyScalarsTable,BG$5/100,MONTH($A47)))*$D47</f>
        <v>-7238.4023364788736</v>
      </c>
      <c r="BH47" s="1021">
        <f>(VLOOKUP(YEAR($A47),'NY East Load Projections'!$A$4:$EO$14,((MONTH($A47)-1)*12)+VLOOKUP(BH$4,$DE$6:$DF$17,2)+1))*(VLOOKUP($A47,CURVES!$D$9:$T$261,7))*(INDEX(DailyScalarsTable,BH$5/100,MONTH($A47)))*$D47</f>
        <v>-6084.551361618478</v>
      </c>
      <c r="BI47" s="1021">
        <f>(VLOOKUP(YEAR($A47),'NY East Load Projections'!$A$4:$EO$14,((MONTH($A47)-1)*12)+VLOOKUP(BI$4,$DE$6:$DF$17,2)+1))*(VLOOKUP($A47,CURVES!$D$9:$T$261,7))*(INDEX(DailyScalarsTable,BI$5/100,MONTH($A47)))*$D47</f>
        <v>-5648.5030280956553</v>
      </c>
      <c r="BJ47" s="1021">
        <f>(VLOOKUP(YEAR($A47),'NY East Load Projections'!$A$4:$EO$14,((MONTH($A47)-1)*12)+VLOOKUP(BJ$4,$DE$6:$DF$17,2)+1))*(VLOOKUP($A47,CURVES!$D$9:$T$261,7))*(INDEX(DailyScalarsTable,BJ$5/100,MONTH($A47)))*$D47</f>
        <v>-6183.7313139625003</v>
      </c>
      <c r="BK47" s="1021">
        <f>(VLOOKUP(YEAR($A47),'NY East Load Projections'!$A$4:$EO$14,((MONTH($A47)-1)*12)+VLOOKUP(BK$4,$DE$6:$DF$17,2)+1))*(VLOOKUP($A47,CURVES!$D$9:$T$261,7))*(INDEX(DailyScalarsTable,BK$5/100,MONTH($A47)))*$D47</f>
        <v>-7544.6035702834433</v>
      </c>
      <c r="BL47" s="1021">
        <f>(VLOOKUP(YEAR($A47),'NY East Load Projections'!$A$4:$EO$14,((MONTH($A47)-1)*12)+VLOOKUP(BL$4,$DE$6:$DF$17,2)+1))*(VLOOKUP($A47,CURVES!$D$9:$T$261,7))*(INDEX(DailyScalarsTable,BL$5/100,MONTH($A47)))*$D47</f>
        <v>-8650.4533308095833</v>
      </c>
      <c r="BM47" s="1021">
        <f>(VLOOKUP(YEAR($A47),'NY East Load Projections'!$A$4:$EO$14,((MONTH($A47)-1)*12)+VLOOKUP(BM$4,$DE$6:$DF$17,2)+1))*(VLOOKUP($A47,SatSunCurve,7))*(INDEX(DailyScalarsTable,BM$5/100,MONTH($A47)))*$D47</f>
        <v>-5010.9998649445424</v>
      </c>
      <c r="BN47" s="1021">
        <f>(VLOOKUP(YEAR($A47),'NY East Load Projections'!$A$4:$EO$14,((MONTH($A47)-1)*12)+VLOOKUP(BN$4,$DE$6:$DF$17,2)+1))*(VLOOKUP($A47,SatSunCurve,7))*(INDEX(DailyScalarsTable,BN$5/100,MONTH($A47)))*$D47</f>
        <v>-6406.968233162147</v>
      </c>
      <c r="BO47" s="1021">
        <f>(VLOOKUP(YEAR($A47),'NY East Load Projections'!$A$4:$EO$14,((MONTH($A47)-1)*12)+VLOOKUP(BO$4,$DE$6:$DF$17,2)+1))*(VLOOKUP($A47,SatSunCurve,7))*(INDEX(DailyScalarsTable,BO$5/100,MONTH($A47)))*$D47</f>
        <v>-7166.1462394053724</v>
      </c>
      <c r="BP47" s="1021">
        <f>(VLOOKUP(YEAR($A47),'NY East Load Projections'!$A$4:$EO$14,((MONTH($A47)-1)*12)+VLOOKUP(BP$4,$DE$6:$DF$17,2)+1))*(VLOOKUP($A47,SatSunCurve,7))*(INDEX(DailyScalarsTable,BP$5/100,MONTH($A47)))*$D47</f>
        <v>-8243.1458074338552</v>
      </c>
      <c r="BQ47" s="1021">
        <f>(VLOOKUP(YEAR($A47),'NY East Load Projections'!$A$4:$EO$14,((MONTH($A47)-1)*12)+VLOOKUP(BQ$4,$DE$6:$DF$17,2)+1))*(VLOOKUP($A47,SatSunCurve,7))*(INDEX(DailyScalarsTable,BQ$5/100,MONTH($A47)))*$D47</f>
        <v>-8890.0193748837082</v>
      </c>
      <c r="BR47" s="1021">
        <f>(VLOOKUP(YEAR($A47),'NY East Load Projections'!$A$4:$EO$14,((MONTH($A47)-1)*12)+VLOOKUP(BR$4,$DE$6:$DF$17,2)+1))*(VLOOKUP($A47,SatSunCurve,7))*(INDEX(DailyScalarsTable,BR$5/100,MONTH($A47)))*$D47</f>
        <v>-9484.6445833620382</v>
      </c>
      <c r="BS47" s="1021">
        <f>(VLOOKUP(YEAR($A47),'NY East Load Projections'!$A$4:$EO$14,((MONTH($A47)-1)*12)+VLOOKUP(BS$4,$DE$6:$DF$17,2)+1))*(VLOOKUP($A47,SatSunCurve,7))*(INDEX(DailyScalarsTable,BS$5/100,MONTH($A47)))*$D47</f>
        <v>-10488.914633460305</v>
      </c>
      <c r="BT47" s="1021">
        <f>(VLOOKUP(YEAR($A47),'NY East Load Projections'!$A$4:$EO$14,((MONTH($A47)-1)*12)+VLOOKUP(BT$4,$DE$6:$DF$17,2)+1))*(VLOOKUP($A47,SatSunCurve,7))*(INDEX(DailyScalarsTable,BT$5/100,MONTH($A47)))*$D47</f>
        <v>-10569.625200058332</v>
      </c>
      <c r="BU47" s="1021">
        <f>(VLOOKUP(YEAR($A47),'NY East Load Projections'!$A$4:$EO$14,((MONTH($A47)-1)*12)+VLOOKUP(BU$4,$DE$6:$DF$17,2)+1))*(VLOOKUP($A47,SatSunCurve,7))*(INDEX(DailyScalarsTable,BU$5/100,MONTH($A47)))*$D47</f>
        <v>-10586.920321472191</v>
      </c>
      <c r="BV47" s="1021">
        <f>(VLOOKUP(YEAR($A47),'NY East Load Projections'!$A$4:$EO$14,((MONTH($A47)-1)*12)+VLOOKUP(BV$4,$DE$6:$DF$17,2)+1))*(VLOOKUP($A47,SatSunCurve,7))*(INDEX(DailyScalarsTable,BV$5/100,MONTH($A47)))*$D47</f>
        <v>-10250.066344144891</v>
      </c>
      <c r="BW47" s="1021">
        <f>(VLOOKUP(YEAR($A47),'NY East Load Projections'!$A$4:$EO$14,((MONTH($A47)-1)*12)+VLOOKUP(BW$4,$DE$6:$DF$17,2)+1))*(VLOOKUP($A47,SatSunCurve,7))*(INDEX(DailyScalarsTable,BW$5/100,MONTH($A47)))*$D47</f>
        <v>-9945.7829471533405</v>
      </c>
      <c r="BX47" s="1021">
        <f>(VLOOKUP(YEAR($A47),'NY East Load Projections'!$A$4:$EO$14,((MONTH($A47)-1)*12)+VLOOKUP(BX$4,$DE$6:$DF$17,2)+1))*(VLOOKUP($A47,SatSunCurve,7))*(INDEX(DailyScalarsTable,BX$5/100,MONTH($A47)))*$D47</f>
        <v>-8492.4727153128424</v>
      </c>
      <c r="BY47" s="1021">
        <f>(VLOOKUP(YEAR($A47),'NY East Load Projections'!$A$4:$EO$14,((MONTH($A47)-1)*12)+VLOOKUP(BY$4,$DE$6:$DF$17,2)+1))*(VLOOKUP($A47,SatSunCurve,7))*(INDEX(DailyScalarsTable,BY$5/100,MONTH($A47)))*$D47</f>
        <v>-6790.9023833998199</v>
      </c>
      <c r="BZ47" s="1021">
        <f>(VLOOKUP(YEAR($A47),'NY East Load Projections'!$A$4:$EO$14,((MONTH($A47)-1)*12)+VLOOKUP(BZ$4,$DE$6:$DF$17,2)+1))*(VLOOKUP($A47,SatSunCurve,7))*(INDEX(DailyScalarsTable,BZ$5/100,MONTH($A47)))*$D47</f>
        <v>-7019.6521020591408</v>
      </c>
      <c r="CA47" s="1021">
        <f>(VLOOKUP(YEAR($A47),'NY East Load Projections'!$A$4:$EO$14,((MONTH($A47)-1)*12)+VLOOKUP(CA$4,$DE$6:$DF$17,2)+1))*(VLOOKUP($A47,SatSunCurve,7))*(INDEX(DailyScalarsTable,CA$5/100,MONTH($A47)))*$D47</f>
        <v>-7152.3546648697275</v>
      </c>
      <c r="CB47" s="1021">
        <f>(VLOOKUP(YEAR($A47),'NY East Load Projections'!$A$4:$EO$14,((MONTH($A47)-1)*12)+VLOOKUP(CB$4,$DE$6:$DF$17,2)+1))*(VLOOKUP($A47,SatSunCurve,7))*(INDEX(DailyScalarsTable,CB$5/100,MONTH($A47)))*$D47</f>
        <v>-5735.4674587976515</v>
      </c>
      <c r="CC47" s="1021">
        <f>(VLOOKUP(YEAR($A47),'NY East Load Projections'!$A$4:$EO$14,((MONTH($A47)-1)*12)+VLOOKUP(CC$4,$DE$6:$DF$17,2)+1))*(VLOOKUP($A47,CURVES!$D$9:$T$261,7))*(INDEX(DailyScalarsTable,CC$5/100,MONTH($A47)))*$D47</f>
        <v>-10768.331018830278</v>
      </c>
      <c r="CE47" s="1021">
        <f>(VLOOKUP(YEAR($A47),'NY East Load Projections'!$A$4:$EO$14,((MONTH($A47)-1)*12)+VLOOKUP(CE$4,$DE$6:$DF$17,2)+1))*(VLOOKUP($A47,CURVES!$D$9:$T$261,7))*(INDEX(DailyScalarsTable,CE$5/100,MONTH($A47)))*$E47</f>
        <v>0</v>
      </c>
      <c r="CF47" s="1021">
        <f>(VLOOKUP(YEAR($A47),'NY East Load Projections'!$A$4:$EO$14,((MONTH($A47)-1)*12)+VLOOKUP(CF$4,$DE$6:$DF$17,2)+1))*(VLOOKUP($A47,CURVES!$D$9:$T$261,7))*(INDEX(DailyScalarsTable,CF$5/100,MONTH($A47)))*$E47</f>
        <v>0</v>
      </c>
      <c r="CG47" s="1021">
        <f>(VLOOKUP(YEAR($A47),'NY East Load Projections'!$A$4:$EO$14,((MONTH($A47)-1)*12)+VLOOKUP(CG$4,$DE$6:$DF$17,2)+1))*(VLOOKUP($A47,CURVES!$D$9:$T$261,7))*(INDEX(DailyScalarsTable,CG$5/100,MONTH($A47)))*$E47</f>
        <v>0</v>
      </c>
      <c r="CH47" s="1021">
        <f>(VLOOKUP(YEAR($A47),'NY East Load Projections'!$A$4:$EO$14,((MONTH($A47)-1)*12)+VLOOKUP(CH$4,$DE$6:$DF$17,2)+1))*(VLOOKUP($A47,CURVES!$D$9:$T$261,7))*(INDEX(DailyScalarsTable,CH$5/100,MONTH($A47)))*$E47</f>
        <v>0</v>
      </c>
      <c r="CI47" s="1021">
        <f>(VLOOKUP(YEAR($A47),'NY East Load Projections'!$A$4:$EO$14,((MONTH($A47)-1)*12)+VLOOKUP(CI$4,$DE$6:$DF$17,2)+1))*(VLOOKUP($A47,CURVES!$D$9:$T$261,7))*(INDEX(DailyScalarsTable,CI$5/100,MONTH($A47)))*$E47</f>
        <v>0</v>
      </c>
      <c r="CJ47" s="1021">
        <f>(VLOOKUP(YEAR($A47),'NY East Load Projections'!$A$4:$EO$14,((MONTH($A47)-1)*12)+VLOOKUP(CJ$4,$DE$6:$DF$17,2)+1))*(VLOOKUP($A47,CURVES!$D$9:$T$261,7))*(INDEX(DailyScalarsTable,CJ$5/100,MONTH($A47)))*$E47</f>
        <v>0</v>
      </c>
      <c r="CK47" s="1021">
        <f>(VLOOKUP(YEAR($A47),'NY East Load Projections'!$A$4:$EO$14,((MONTH($A47)-1)*12)+VLOOKUP(CK$4,$DE$6:$DF$17,2)+1))*(VLOOKUP($A47,CURVES!$D$9:$T$261,7))*(INDEX(DailyScalarsTable,CK$5/100,MONTH($A47)))*$E47</f>
        <v>0</v>
      </c>
      <c r="CL47" s="1021">
        <f>(VLOOKUP(YEAR($A47),'NY East Load Projections'!$A$4:$EO$14,((MONTH($A47)-1)*12)+VLOOKUP(CL$4,$DE$6:$DF$17,2)+1))*(VLOOKUP($A47,SatSunCurve,7))*(INDEX(DailyScalarsTable,CL$5/100,MONTH($A47)))*$E47</f>
        <v>0</v>
      </c>
      <c r="CM47" s="1021">
        <f>(VLOOKUP(YEAR($A47),'NY East Load Projections'!$A$4:$EO$14,((MONTH($A47)-1)*12)+VLOOKUP(CM$4,$DE$6:$DF$17,2)+1))*(VLOOKUP($A47,SatSunCurve,7))*(INDEX(DailyScalarsTable,CM$5/100,MONTH($A47)))*$E47</f>
        <v>0</v>
      </c>
      <c r="CN47" s="1021">
        <f>(VLOOKUP(YEAR($A47),'NY East Load Projections'!$A$4:$EO$14,((MONTH($A47)-1)*12)+VLOOKUP(CN$4,$DE$6:$DF$17,2)+1))*(VLOOKUP($A47,SatSunCurve,7))*(INDEX(DailyScalarsTable,CN$5/100,MONTH($A47)))*$E47</f>
        <v>0</v>
      </c>
      <c r="CO47" s="1021">
        <f>(VLOOKUP(YEAR($A47),'NY East Load Projections'!$A$4:$EO$14,((MONTH($A47)-1)*12)+VLOOKUP(CO$4,$DE$6:$DF$17,2)+1))*(VLOOKUP($A47,SatSunCurve,7))*(INDEX(DailyScalarsTable,CO$5/100,MONTH($A47)))*$E47</f>
        <v>0</v>
      </c>
      <c r="CP47" s="1021">
        <f>(VLOOKUP(YEAR($A47),'NY East Load Projections'!$A$4:$EO$14,((MONTH($A47)-1)*12)+VLOOKUP(CP$4,$DE$6:$DF$17,2)+1))*(VLOOKUP($A47,SatSunCurve,7))*(INDEX(DailyScalarsTable,CP$5/100,MONTH($A47)))*$E47</f>
        <v>0</v>
      </c>
      <c r="CQ47" s="1021">
        <f>(VLOOKUP(YEAR($A47),'NY East Load Projections'!$A$4:$EO$14,((MONTH($A47)-1)*12)+VLOOKUP(CQ$4,$DE$6:$DF$17,2)+1))*(VLOOKUP($A47,SatSunCurve,7))*(INDEX(DailyScalarsTable,CQ$5/100,MONTH($A47)))*$E47</f>
        <v>0</v>
      </c>
      <c r="CR47" s="1021">
        <f>(VLOOKUP(YEAR($A47),'NY East Load Projections'!$A$4:$EO$14,((MONTH($A47)-1)*12)+VLOOKUP(CR$4,$DE$6:$DF$17,2)+1))*(VLOOKUP($A47,SatSunCurve,7))*(INDEX(DailyScalarsTable,CR$5/100,MONTH($A47)))*$E47</f>
        <v>0</v>
      </c>
      <c r="CS47" s="1021">
        <f>(VLOOKUP(YEAR($A47),'NY East Load Projections'!$A$4:$EO$14,((MONTH($A47)-1)*12)+VLOOKUP(CS$4,$DE$6:$DF$17,2)+1))*(VLOOKUP($A47,SatSunCurve,7))*(INDEX(DailyScalarsTable,CS$5/100,MONTH($A47)))*$E47</f>
        <v>0</v>
      </c>
      <c r="CT47" s="1021">
        <f>(VLOOKUP(YEAR($A47),'NY East Load Projections'!$A$4:$EO$14,((MONTH($A47)-1)*12)+VLOOKUP(CT$4,$DE$6:$DF$17,2)+1))*(VLOOKUP($A47,SatSunCurve,7))*(INDEX(DailyScalarsTable,CT$5/100,MONTH($A47)))*$E47</f>
        <v>0</v>
      </c>
      <c r="CU47" s="1021">
        <f>(VLOOKUP(YEAR($A47),'NY East Load Projections'!$A$4:$EO$14,((MONTH($A47)-1)*12)+VLOOKUP(CU$4,$DE$6:$DF$17,2)+1))*(VLOOKUP($A47,SatSunCurve,7))*(INDEX(DailyScalarsTable,CU$5/100,MONTH($A47)))*$E47</f>
        <v>0</v>
      </c>
      <c r="CV47" s="1021">
        <f>(VLOOKUP(YEAR($A47),'NY East Load Projections'!$A$4:$EO$14,((MONTH($A47)-1)*12)+VLOOKUP(CV$4,$DE$6:$DF$17,2)+1))*(VLOOKUP($A47,SatSunCurve,7))*(INDEX(DailyScalarsTable,CV$5/100,MONTH($A47)))*$E47</f>
        <v>0</v>
      </c>
      <c r="CW47" s="1021">
        <f>(VLOOKUP(YEAR($A47),'NY East Load Projections'!$A$4:$EO$14,((MONTH($A47)-1)*12)+VLOOKUP(CW$4,$DE$6:$DF$17,2)+1))*(VLOOKUP($A47,SatSunCurve,7))*(INDEX(DailyScalarsTable,CW$5/100,MONTH($A47)))*$E47</f>
        <v>0</v>
      </c>
      <c r="CX47" s="1021">
        <f>(VLOOKUP(YEAR($A47),'NY East Load Projections'!$A$4:$EO$14,((MONTH($A47)-1)*12)+VLOOKUP(CX$4,$DE$6:$DF$17,2)+1))*(VLOOKUP($A47,SatSunCurve,7))*(INDEX(DailyScalarsTable,CX$5/100,MONTH($A47)))*$E47</f>
        <v>0</v>
      </c>
      <c r="CY47" s="1021">
        <f>(VLOOKUP(YEAR($A47),'NY East Load Projections'!$A$4:$EO$14,((MONTH($A47)-1)*12)+VLOOKUP(CY$4,$DE$6:$DF$17,2)+1))*(VLOOKUP($A47,SatSunCurve,7))*(INDEX(DailyScalarsTable,CY$5/100,MONTH($A47)))*$E47</f>
        <v>0</v>
      </c>
      <c r="CZ47" s="1021">
        <f>(VLOOKUP(YEAR($A47),'NY East Load Projections'!$A$4:$EO$14,((MONTH($A47)-1)*12)+VLOOKUP(CZ$4,$DE$6:$DF$17,2)+1))*(VLOOKUP($A47,SatSunCurve,7))*(INDEX(DailyScalarsTable,CZ$5/100,MONTH($A47)))*$E47</f>
        <v>0</v>
      </c>
      <c r="DA47" s="1021">
        <f>(VLOOKUP(YEAR($A47),'NY East Load Projections'!$A$4:$EO$14,((MONTH($A47)-1)*12)+VLOOKUP(DA$4,$DE$6:$DF$17,2)+1))*(VLOOKUP($A47,SatSunCurve,7))*(INDEX(DailyScalarsTable,DA$5/100,MONTH($A47)))*$E47</f>
        <v>0</v>
      </c>
      <c r="DB47" s="1021">
        <f>(VLOOKUP(YEAR($A47),'NY East Load Projections'!$A$4:$EO$14,((MONTH($A47)-1)*12)+VLOOKUP(DB$4,$DE$6:$DF$17,2)+1))*(VLOOKUP($A47,CURVES!$D$9:$T$261,7))*(INDEX(DailyScalarsTable,DB$5/100,MONTH($A47)))*$E47</f>
        <v>0</v>
      </c>
      <c r="DH47" s="1032">
        <f t="shared" si="0"/>
        <v>-2728610.7532708342</v>
      </c>
      <c r="DI47">
        <f ca="1">CALC!J67</f>
        <v>0.73109253639737004</v>
      </c>
      <c r="DJ47" s="1029">
        <f t="shared" ca="1" si="1"/>
        <v>-1994866.9564499126</v>
      </c>
    </row>
    <row r="48" spans="1:114" x14ac:dyDescent="0.25">
      <c r="A48" s="244">
        <v>38169</v>
      </c>
      <c r="B48" s="13">
        <v>21</v>
      </c>
      <c r="C48" s="210">
        <v>5</v>
      </c>
      <c r="D48" s="210">
        <v>4</v>
      </c>
      <c r="E48" s="210">
        <v>1</v>
      </c>
      <c r="F48" s="13">
        <v>31</v>
      </c>
      <c r="H48" s="1021">
        <f>(VLOOKUP(YEAR($A48),'NY East Load Projections'!$A$4:$EO$14,((MONTH($A48)-1)*12)+VLOOKUP(H$4,$DE$6:$DF$17,2)+1))*(VLOOKUP($A48,CURVES!$D$9:$K$261,7))*(INDEX(DailyScalarsTable,H$5/100,MONTH($A48)))*$B48</f>
        <v>-55003.6059663946</v>
      </c>
      <c r="I48" s="1021">
        <f>(VLOOKUP(YEAR($A48),'NY East Load Projections'!$A$4:$EO$14,((MONTH($A48)-1)*12)+VLOOKUP(I$4,$DE$6:$DF$17,2)+1))*(VLOOKUP($A48,CURVES!$D$9:$K$261,7))*(INDEX(DailyScalarsTable,I$5/100,MONTH($A48)))*$B48</f>
        <v>-50242.131790321429</v>
      </c>
      <c r="J48" s="1021">
        <f>(VLOOKUP(YEAR($A48),'NY East Load Projections'!$A$4:$EO$14,((MONTH($A48)-1)*12)+VLOOKUP(J$4,$DE$6:$DF$17,2)+1))*(VLOOKUP($A48,CURVES!$D$9:$K$261,7))*(INDEX(DailyScalarsTable,J$5/100,MONTH($A48)))*$B48</f>
        <v>-47872.118743221974</v>
      </c>
      <c r="K48" s="1021">
        <f>(VLOOKUP(YEAR($A48),'NY East Load Projections'!$A$4:$EO$14,((MONTH($A48)-1)*12)+VLOOKUP(K$4,$DE$6:$DF$17,2)+1))*(VLOOKUP($A48,CURVES!$D$9:$K$261,7))*(INDEX(DailyScalarsTable,K$5/100,MONTH($A48)))*$B48</f>
        <v>-43110.644567148796</v>
      </c>
      <c r="L48" s="1021">
        <f>(VLOOKUP(YEAR($A48),'NY East Load Projections'!$A$4:$EO$14,((MONTH($A48)-1)*12)+VLOOKUP(L$4,$DE$6:$DF$17,2)+1))*(VLOOKUP($A48,CURVES!$D$9:$K$261,7))*(INDEX(DailyScalarsTable,L$5/100,MONTH($A48)))*$B48</f>
        <v>-44835.645434268583</v>
      </c>
      <c r="M48" s="1021">
        <f>(VLOOKUP(YEAR($A48),'NY East Load Projections'!$A$4:$EO$14,((MONTH($A48)-1)*12)+VLOOKUP(M$4,$DE$6:$DF$17,2)+1))*(VLOOKUP($A48,CURVES!$D$9:$K$261,7))*(INDEX(DailyScalarsTable,M$5/100,MONTH($A48)))*$B48</f>
        <v>-49429.654177664539</v>
      </c>
      <c r="N48" s="1021">
        <f>(VLOOKUP(YEAR($A48),'NY East Load Projections'!$A$4:$EO$14,((MONTH($A48)-1)*12)+VLOOKUP(N$4,$DE$6:$DF$17,2)+1))*(VLOOKUP($A48,CURVES!$D$9:$K$261,7))*(INDEX(DailyScalarsTable,N$5/100,MONTH($A48)))*$B48</f>
        <v>-54893.117261242864</v>
      </c>
      <c r="O48" s="1021">
        <f>(VLOOKUP(YEAR($A48),'NY East Load Projections'!$A$4:$EO$14,((MONTH($A48)-1)*12)+VLOOKUP(O$4,$DE$6:$DF$17,2)+1))*(VLOOKUP($A48,CURVES!$D$9:$K$261,3))*(INDEX(DailyScalarsTable,O$5/100,MONTH($A48)))*$B48</f>
        <v>-91554.48296463686</v>
      </c>
      <c r="P48" s="1021">
        <f>(VLOOKUP(YEAR($A48),'NY East Load Projections'!$A$4:$EO$14,((MONTH($A48)-1)*12)+VLOOKUP(P$4,$DE$6:$DF$17,2)+1))*(VLOOKUP($A48,CURVES!$D$9:$K$261,3))*(INDEX(DailyScalarsTable,P$5/100,MONTH($A48)))*$B48</f>
        <v>-113957.21275708562</v>
      </c>
      <c r="Q48" s="1021">
        <f>(VLOOKUP(YEAR($A48),'NY East Load Projections'!$A$4:$EO$14,((MONTH($A48)-1)*12)+VLOOKUP(Q$4,$DE$6:$DF$17,2)+1))*(VLOOKUP($A48,CURVES!$D$9:$K$261,3))*(INDEX(DailyScalarsTable,Q$5/100,MONTH($A48)))*$B48</f>
        <v>-136438.02302980563</v>
      </c>
      <c r="R48" s="1021">
        <f>(VLOOKUP(YEAR($A48),'NY East Load Projections'!$A$4:$EO$14,((MONTH($A48)-1)*12)+VLOOKUP(R$4,$DE$6:$DF$17,2)+1))*(VLOOKUP($A48,CURVES!$D$9:$K$261,3))*(INDEX(DailyScalarsTable,R$5/100,MONTH($A48)))*$B48</f>
        <v>-155252.09145604921</v>
      </c>
      <c r="S48" s="1021">
        <f>(VLOOKUP(YEAR($A48),'NY East Load Projections'!$A$4:$EO$14,((MONTH($A48)-1)*12)+VLOOKUP(S$4,$DE$6:$DF$17,2)+1))*(VLOOKUP($A48,CURVES!$D$9:$K$261,3))*(INDEX(DailyScalarsTable,S$5/100,MONTH($A48)))*$B48</f>
        <v>-185610.7925080985</v>
      </c>
      <c r="T48" s="1021">
        <f>(VLOOKUP(YEAR($A48),'NY East Load Projections'!$A$4:$EO$14,((MONTH($A48)-1)*12)+VLOOKUP(T$4,$DE$6:$DF$17,2)+1))*(VLOOKUP($A48,CURVES!$D$9:$K$261,3))*(INDEX(DailyScalarsTable,T$5/100,MONTH($A48)))*$B48</f>
        <v>-208498.1117487452</v>
      </c>
      <c r="U48" s="1021">
        <f>(VLOOKUP(YEAR($A48),'NY East Load Projections'!$A$4:$EO$14,((MONTH($A48)-1)*12)+VLOOKUP(U$4,$DE$6:$DF$17,2)+1))*(VLOOKUP($A48,CURVES!$D$9:$K$261,3))*(INDEX(DailyScalarsTable,U$5/100,MONTH($A48)))*$B48</f>
        <v>-215515.50279852291</v>
      </c>
      <c r="V48" s="1021">
        <f>(VLOOKUP(YEAR($A48),'NY East Load Projections'!$A$4:$EO$14,((MONTH($A48)-1)*12)+VLOOKUP(V$4,$DE$6:$DF$17,2)+1))*(VLOOKUP($A48,CURVES!$D$9:$K$261,3))*(INDEX(DailyScalarsTable,V$5/100,MONTH($A48)))*$B48</f>
        <v>-224491.23553661068</v>
      </c>
      <c r="W48" s="1021">
        <f>(VLOOKUP(YEAR($A48),'NY East Load Projections'!$A$4:$EO$14,((MONTH($A48)-1)*12)+VLOOKUP(W$4,$DE$6:$DF$17,2)+1))*(VLOOKUP($A48,CURVES!$D$9:$K$261,3))*(INDEX(DailyScalarsTable,W$5/100,MONTH($A48)))*$B48</f>
        <v>-238248.58589698895</v>
      </c>
      <c r="X48" s="1021">
        <f>(VLOOKUP(YEAR($A48),'NY East Load Projections'!$A$4:$EO$14,((MONTH($A48)-1)*12)+VLOOKUP(X$4,$DE$6:$DF$17,2)+1))*(VLOOKUP($A48,CURVES!$D$9:$K$261,3))*(INDEX(DailyScalarsTable,X$5/100,MONTH($A48)))*$B48</f>
        <v>-230267.25268768295</v>
      </c>
      <c r="Y48" s="1021">
        <f>(VLOOKUP(YEAR($A48),'NY East Load Projections'!$A$4:$EO$14,((MONTH($A48)-1)*12)+VLOOKUP(Y$4,$DE$6:$DF$17,2)+1))*(VLOOKUP($A48,CURVES!$D$9:$K$261,3))*(INDEX(DailyScalarsTable,Y$5/100,MONTH($A48)))*$B48</f>
        <v>-224561.21439329334</v>
      </c>
      <c r="Z48" s="1021">
        <f>(VLOOKUP(YEAR($A48),'NY East Load Projections'!$A$4:$EO$14,((MONTH($A48)-1)*12)+VLOOKUP(Z$4,$DE$6:$DF$17,2)+1))*(VLOOKUP($A48,CURVES!$D$9:$K$261,3))*(INDEX(DailyScalarsTable,Z$5/100,MONTH($A48)))*$B48</f>
        <v>-187557.01483103257</v>
      </c>
      <c r="AA48" s="1021">
        <f>(VLOOKUP(YEAR($A48),'NY East Load Projections'!$A$4:$EO$14,((MONTH($A48)-1)*12)+VLOOKUP(AA$4,$DE$6:$DF$17,2)+1))*(VLOOKUP($A48,CURVES!$D$9:$K$261,3))*(INDEX(DailyScalarsTable,AA$5/100,MONTH($A48)))*$B48</f>
        <v>-138785.07775649417</v>
      </c>
      <c r="AB48" s="1021">
        <f>(VLOOKUP(YEAR($A48),'NY East Load Projections'!$A$4:$EO$14,((MONTH($A48)-1)*12)+VLOOKUP(AB$4,$DE$6:$DF$17,2)+1))*(VLOOKUP($A48,CURVES!$D$9:$K$261,3))*(INDEX(DailyScalarsTable,AB$5/100,MONTH($A48)))*$B48</f>
        <v>-135659.33731564632</v>
      </c>
      <c r="AC48" s="1021">
        <f>(VLOOKUP(YEAR($A48),'NY East Load Projections'!$A$4:$EO$14,((MONTH($A48)-1)*12)+VLOOKUP(AC$4,$DE$6:$DF$17,2)+1))*(VLOOKUP($A48,CURVES!$D$9:$K$261,3))*(INDEX(DailyScalarsTable,AC$5/100,MONTH($A48)))*$B48</f>
        <v>-143749.42774486591</v>
      </c>
      <c r="AD48" s="1021">
        <f>(VLOOKUP(YEAR($A48),'NY East Load Projections'!$A$4:$EO$14,((MONTH($A48)-1)*12)+VLOOKUP(AD$4,$DE$6:$DF$17,2)+1))*(VLOOKUP($A48,CURVES!$D$9:$K$261,3))*(INDEX(DailyScalarsTable,AD$5/100,MONTH($A48)))*$B48</f>
        <v>-99827.88950244752</v>
      </c>
      <c r="AE48" s="1021">
        <f>(VLOOKUP(YEAR($A48),'NY East Load Projections'!$A$4:$EO$14,((MONTH($A48)-1)*12)+VLOOKUP(AE$4,$DE$6:$DF$17,2)+1))*(VLOOKUP($A48,CURVES!$D$9:$K$261,7))*(INDEX(DailyScalarsTable,AE$5/100,MONTH($A48)))*$B48</f>
        <v>-65621.282559173327</v>
      </c>
      <c r="AF48" s="1021"/>
      <c r="AG48" s="1021">
        <f>(VLOOKUP(YEAR($A48),'NY East Load Projections'!$A$4:$EO$14,((MONTH($A48)-1)*12)+VLOOKUP(AG$4,$DE$6:$DF$17,2)+1))*(VLOOKUP($A48,CURVES!$D$9:$T$261,7))*(INDEX(DailyScalarsTable,AG$5/100,MONTH($A48)))*$C48</f>
        <v>-12567.574490997638</v>
      </c>
      <c r="AH48" s="1021">
        <f>(VLOOKUP(YEAR($A48),'NY East Load Projections'!$A$4:$EO$14,((MONTH($A48)-1)*12)+VLOOKUP(AH$4,$DE$6:$DF$17,2)+1))*(VLOOKUP($A48,CURVES!$D$9:$T$261,7))*(INDEX(DailyScalarsTable,AH$5/100,MONTH($A48)))*$C48</f>
        <v>-11479.642521022406</v>
      </c>
      <c r="AI48" s="1021">
        <f>(VLOOKUP(YEAR($A48),'NY East Load Projections'!$A$4:$EO$14,((MONTH($A48)-1)*12)+VLOOKUP(AI$4,$DE$6:$DF$17,2)+1))*(VLOOKUP($A48,CURVES!$D$9:$T$261,7))*(INDEX(DailyScalarsTable,AI$5/100,MONTH($A48)))*$C48</f>
        <v>-10938.126833264469</v>
      </c>
      <c r="AJ48" s="1021">
        <f>(VLOOKUP(YEAR($A48),'NY East Load Projections'!$A$4:$EO$14,((MONTH($A48)-1)*12)+VLOOKUP(AJ$4,$DE$6:$DF$17,2)+1))*(VLOOKUP($A48,CURVES!$D$9:$T$261,7))*(INDEX(DailyScalarsTable,AJ$5/100,MONTH($A48)))*$C48</f>
        <v>-9850.1948632892363</v>
      </c>
      <c r="AK48" s="1021">
        <f>(VLOOKUP(YEAR($A48),'NY East Load Projections'!$A$4:$EO$14,((MONTH($A48)-1)*12)+VLOOKUP(AK$4,$DE$6:$DF$17,2)+1))*(VLOOKUP($A48,CURVES!$D$9:$T$261,7))*(INDEX(DailyScalarsTable,AK$5/100,MONTH($A48)))*$C48</f>
        <v>-9478.3995650718134</v>
      </c>
      <c r="AL48" s="1021">
        <f>(VLOOKUP(YEAR($A48),'NY East Load Projections'!$A$4:$EO$14,((MONTH($A48)-1)*12)+VLOOKUP(AL$4,$DE$6:$DF$17,2)+1))*(VLOOKUP($A48,CURVES!$D$9:$T$261,7))*(INDEX(DailyScalarsTable,AL$5/100,MONTH($A48)))*$C48</f>
        <v>-10449.587780465699</v>
      </c>
      <c r="AM48" s="1021">
        <f>(VLOOKUP(YEAR($A48),'NY East Load Projections'!$A$4:$EO$14,((MONTH($A48)-1)*12)+VLOOKUP(AM$4,$DE$6:$DF$17,2)+1))*(VLOOKUP($A48,CURVES!$D$9:$T$261,7))*(INDEX(DailyScalarsTable,AM$5/100,MONTH($A48)))*$C48</f>
        <v>-11604.581438159199</v>
      </c>
      <c r="AN48" s="1021">
        <f>(VLOOKUP(YEAR($A48),'NY East Load Projections'!$A$4:$EO$14,((MONTH($A48)-1)*12)+VLOOKUP(AN$4,$DE$6:$DF$17,2)+1))*(VLOOKUP($A48,SatSunCurve,3))*(INDEX(DailyScalarsTable,AN$5/100,MONTH($A48)))*$C48</f>
        <v>-10989.482187174523</v>
      </c>
      <c r="AO48" s="1021">
        <f>(VLOOKUP(YEAR($A48),'NY East Load Projections'!$A$4:$EO$14,((MONTH($A48)-1)*12)+VLOOKUP(AO$4,$DE$6:$DF$17,2)+1))*(VLOOKUP($A48,SatSunCurve,3))*(INDEX(DailyScalarsTable,AO$5/100,MONTH($A48)))*$C48</f>
        <v>-13317.026259674774</v>
      </c>
      <c r="AP48" s="1021">
        <f>(VLOOKUP(YEAR($A48),'NY East Load Projections'!$A$4:$EO$14,((MONTH($A48)-1)*12)+VLOOKUP(AP$4,$DE$6:$DF$17,2)+1))*(VLOOKUP($A48,SatSunCurve,3))*(INDEX(DailyScalarsTable,AP$5/100,MONTH($A48)))*$C48</f>
        <v>-15944.131060655998</v>
      </c>
      <c r="AQ48" s="1021">
        <f>(VLOOKUP(YEAR($A48),'NY East Load Projections'!$A$4:$EO$14,((MONTH($A48)-1)*12)+VLOOKUP(AQ$4,$DE$6:$DF$17,2)+1))*(VLOOKUP($A48,SatSunCurve,3))*(INDEX(DailyScalarsTable,AQ$5/100,MONTH($A48)))*$C48</f>
        <v>-18142.740847801968</v>
      </c>
      <c r="AR48" s="1021">
        <f>(VLOOKUP(YEAR($A48),'NY East Load Projections'!$A$4:$EO$14,((MONTH($A48)-1)*12)+VLOOKUP(AR$4,$DE$6:$DF$17,2)+1))*(VLOOKUP($A48,SatSunCurve,3))*(INDEX(DailyScalarsTable,AR$5/100,MONTH($A48)))*$C48</f>
        <v>-21690.455023486025</v>
      </c>
      <c r="AS48" s="1021">
        <f>(VLOOKUP(YEAR($A48),'NY East Load Projections'!$A$4:$EO$14,((MONTH($A48)-1)*12)+VLOOKUP(AS$4,$DE$6:$DF$17,2)+1))*(VLOOKUP($A48,SatSunCurve,3))*(INDEX(DailyScalarsTable,AS$5/100,MONTH($A48)))*$C48</f>
        <v>-24619.006964235552</v>
      </c>
      <c r="AT48" s="1021">
        <f>(VLOOKUP(YEAR($A48),'NY East Load Projections'!$A$4:$EO$14,((MONTH($A48)-1)*12)+VLOOKUP(AT$4,$DE$6:$DF$17,2)+1))*(VLOOKUP($A48,SatSunCurve,3))*(INDEX(DailyScalarsTable,AT$5/100,MONTH($A48)))*$C48</f>
        <v>-25447.6053514163</v>
      </c>
      <c r="AU48" s="1021">
        <f>(VLOOKUP(YEAR($A48),'NY East Load Projections'!$A$4:$EO$14,((MONTH($A48)-1)*12)+VLOOKUP(AU$4,$DE$6:$DF$17,2)+1))*(VLOOKUP($A48,SatSunCurve,3))*(INDEX(DailyScalarsTable,AU$5/100,MONTH($A48)))*$C48</f>
        <v>-26507.440497810279</v>
      </c>
      <c r="AV48" s="1021">
        <f>(VLOOKUP(YEAR($A48),'NY East Load Projections'!$A$4:$EO$14,((MONTH($A48)-1)*12)+VLOOKUP(AV$4,$DE$6:$DF$17,2)+1))*(VLOOKUP($A48,SatSunCurve,3))*(INDEX(DailyScalarsTable,AV$5/100,MONTH($A48)))*$C48</f>
        <v>-28131.87873128325</v>
      </c>
      <c r="AW48" s="1021">
        <f>(VLOOKUP(YEAR($A48),'NY East Load Projections'!$A$4:$EO$14,((MONTH($A48)-1)*12)+VLOOKUP(AW$4,$DE$6:$DF$17,2)+1))*(VLOOKUP($A48,SatSunCurve,3))*(INDEX(DailyScalarsTable,AW$5/100,MONTH($A48)))*$C48</f>
        <v>-27233.676952473455</v>
      </c>
      <c r="AX48" s="1021">
        <f>(VLOOKUP(YEAR($A48),'NY East Load Projections'!$A$4:$EO$14,((MONTH($A48)-1)*12)+VLOOKUP(AX$4,$DE$6:$DF$17,2)+1))*(VLOOKUP($A48,SatSunCurve,3))*(INDEX(DailyScalarsTable,AX$5/100,MONTH($A48)))*$C48</f>
        <v>-26558.824572145553</v>
      </c>
      <c r="AY48" s="1021">
        <f>(VLOOKUP(YEAR($A48),'NY East Load Projections'!$A$4:$EO$14,((MONTH($A48)-1)*12)+VLOOKUP(AY$4,$DE$6:$DF$17,2)+1))*(VLOOKUP($A48,SatSunCurve,3))*(INDEX(DailyScalarsTable,AY$5/100,MONTH($A48)))*$C48</f>
        <v>-22182.342875330767</v>
      </c>
      <c r="AZ48" s="1021">
        <f>(VLOOKUP(YEAR($A48),'NY East Load Projections'!$A$4:$EO$14,((MONTH($A48)-1)*12)+VLOOKUP(AZ$4,$DE$6:$DF$17,2)+1))*(VLOOKUP($A48,SatSunCurve,3))*(INDEX(DailyScalarsTable,AZ$5/100,MONTH($A48)))*$C48</f>
        <v>-16414.092448354662</v>
      </c>
      <c r="BA48" s="1021">
        <f>(VLOOKUP(YEAR($A48),'NY East Load Projections'!$A$4:$EO$14,((MONTH($A48)-1)*12)+VLOOKUP(BA$4,$DE$6:$DF$17,2)+1))*(VLOOKUP($A48,SatSunCurve,3))*(INDEX(DailyScalarsTable,BA$5/100,MONTH($A48)))*$C48</f>
        <v>-17253.41522541306</v>
      </c>
      <c r="BB48" s="1021">
        <f>(VLOOKUP(YEAR($A48),'NY East Load Projections'!$A$4:$EO$14,((MONTH($A48)-1)*12)+VLOOKUP(BB$4,$DE$6:$DF$17,2)+1))*(VLOOKUP($A48,SatSunCurve,3))*(INDEX(DailyScalarsTable,BB$5/100,MONTH($A48)))*$C48</f>
        <v>-18282.328473468318</v>
      </c>
      <c r="BC48" s="1021">
        <f>(VLOOKUP(YEAR($A48),'NY East Load Projections'!$A$4:$EO$14,((MONTH($A48)-1)*12)+VLOOKUP(BC$4,$DE$6:$DF$17,2)+1))*(VLOOKUP($A48,SatSunCurve,3))*(INDEX(DailyScalarsTable,BC$5/100,MONTH($A48)))*$C48</f>
        <v>-12696.302832844001</v>
      </c>
      <c r="BD48" s="1021">
        <f>(VLOOKUP(YEAR($A48),'NY East Load Projections'!$A$4:$EO$14,((MONTH($A48)-1)*12)+VLOOKUP(BD$4,$DE$6:$DF$17,2)+1))*(VLOOKUP($A48,CURVES!$D$9:$T$261,7))*(INDEX(DailyScalarsTable,BD$5/100,MONTH($A48)))*$C48</f>
        <v>-14698.874061102335</v>
      </c>
      <c r="BE48" s="1021"/>
      <c r="BF48" s="1021">
        <f>(VLOOKUP(YEAR($A48),'NY East Load Projections'!$A$4:$EO$14,((MONTH($A48)-1)*12)+VLOOKUP(BF$4,$DE$6:$DF$17,2)+1))*(VLOOKUP($A48,CURVES!$D$9:$T$261,7))*(INDEX(DailyScalarsTable,BF$5/100,MONTH($A48)))*$D48</f>
        <v>-10054.05959279811</v>
      </c>
      <c r="BG48" s="1021">
        <f>(VLOOKUP(YEAR($A48),'NY East Load Projections'!$A$4:$EO$14,((MONTH($A48)-1)*12)+VLOOKUP(BG$4,$DE$6:$DF$17,2)+1))*(VLOOKUP($A48,CURVES!$D$9:$T$261,7))*(INDEX(DailyScalarsTable,BG$5/100,MONTH($A48)))*$D48</f>
        <v>-9183.7140168179249</v>
      </c>
      <c r="BH48" s="1021">
        <f>(VLOOKUP(YEAR($A48),'NY East Load Projections'!$A$4:$EO$14,((MONTH($A48)-1)*12)+VLOOKUP(BH$4,$DE$6:$DF$17,2)+1))*(VLOOKUP($A48,CURVES!$D$9:$T$261,7))*(INDEX(DailyScalarsTable,BH$5/100,MONTH($A48)))*$D48</f>
        <v>-8750.5014666115749</v>
      </c>
      <c r="BI48" s="1021">
        <f>(VLOOKUP(YEAR($A48),'NY East Load Projections'!$A$4:$EO$14,((MONTH($A48)-1)*12)+VLOOKUP(BI$4,$DE$6:$DF$17,2)+1))*(VLOOKUP($A48,CURVES!$D$9:$T$261,7))*(INDEX(DailyScalarsTable,BI$5/100,MONTH($A48)))*$D48</f>
        <v>-7880.1558906313885</v>
      </c>
      <c r="BJ48" s="1021">
        <f>(VLOOKUP(YEAR($A48),'NY East Load Projections'!$A$4:$EO$14,((MONTH($A48)-1)*12)+VLOOKUP(BJ$4,$DE$6:$DF$17,2)+1))*(VLOOKUP($A48,CURVES!$D$9:$T$261,7))*(INDEX(DailyScalarsTable,BJ$5/100,MONTH($A48)))*$D48</f>
        <v>-7582.7196520574507</v>
      </c>
      <c r="BK48" s="1021">
        <f>(VLOOKUP(YEAR($A48),'NY East Load Projections'!$A$4:$EO$14,((MONTH($A48)-1)*12)+VLOOKUP(BK$4,$DE$6:$DF$17,2)+1))*(VLOOKUP($A48,CURVES!$D$9:$T$261,7))*(INDEX(DailyScalarsTable,BK$5/100,MONTH($A48)))*$D48</f>
        <v>-8359.6702243725595</v>
      </c>
      <c r="BL48" s="1021">
        <f>(VLOOKUP(YEAR($A48),'NY East Load Projections'!$A$4:$EO$14,((MONTH($A48)-1)*12)+VLOOKUP(BL$4,$DE$6:$DF$17,2)+1))*(VLOOKUP($A48,CURVES!$D$9:$T$261,7))*(INDEX(DailyScalarsTable,BL$5/100,MONTH($A48)))*$D48</f>
        <v>-9283.6651505273585</v>
      </c>
      <c r="BM48" s="1021">
        <f>(VLOOKUP(YEAR($A48),'NY East Load Projections'!$A$4:$EO$14,((MONTH($A48)-1)*12)+VLOOKUP(BM$4,$DE$6:$DF$17,2)+1))*(VLOOKUP($A48,SatSunCurve,7))*(INDEX(DailyScalarsTable,BM$5/100,MONTH($A48)))*$D48</f>
        <v>-6449.2236497220565</v>
      </c>
      <c r="BN48" s="1021">
        <f>(VLOOKUP(YEAR($A48),'NY East Load Projections'!$A$4:$EO$14,((MONTH($A48)-1)*12)+VLOOKUP(BN$4,$DE$6:$DF$17,2)+1))*(VLOOKUP($A48,SatSunCurve,7))*(INDEX(DailyScalarsTable,BN$5/100,MONTH($A48)))*$D48</f>
        <v>-7815.1526373187344</v>
      </c>
      <c r="BO48" s="1021">
        <f>(VLOOKUP(YEAR($A48),'NY East Load Projections'!$A$4:$EO$14,((MONTH($A48)-1)*12)+VLOOKUP(BO$4,$DE$6:$DF$17,2)+1))*(VLOOKUP($A48,SatSunCurve,7))*(INDEX(DailyScalarsTable,BO$5/100,MONTH($A48)))*$D48</f>
        <v>-9356.8800931000333</v>
      </c>
      <c r="BP48" s="1021">
        <f>(VLOOKUP(YEAR($A48),'NY East Load Projections'!$A$4:$EO$14,((MONTH($A48)-1)*12)+VLOOKUP(BP$4,$DE$6:$DF$17,2)+1))*(VLOOKUP($A48,SatSunCurve,7))*(INDEX(DailyScalarsTable,BP$5/100,MONTH($A48)))*$D48</f>
        <v>-10647.143455310166</v>
      </c>
      <c r="BQ48" s="1021">
        <f>(VLOOKUP(YEAR($A48),'NY East Load Projections'!$A$4:$EO$14,((MONTH($A48)-1)*12)+VLOOKUP(BQ$4,$DE$6:$DF$17,2)+1))*(VLOOKUP($A48,SatSunCurve,7))*(INDEX(DailyScalarsTable,BQ$5/100,MONTH($A48)))*$D48</f>
        <v>-12729.134378502009</v>
      </c>
      <c r="BR48" s="1021">
        <f>(VLOOKUP(YEAR($A48),'NY East Load Projections'!$A$4:$EO$14,((MONTH($A48)-1)*12)+VLOOKUP(BR$4,$DE$6:$DF$17,2)+1))*(VLOOKUP($A48,SatSunCurve,7))*(INDEX(DailyScalarsTable,BR$5/100,MONTH($A48)))*$D48</f>
        <v>-14447.767350832914</v>
      </c>
      <c r="BS48" s="1021">
        <f>(VLOOKUP(YEAR($A48),'NY East Load Projections'!$A$4:$EO$14,((MONTH($A48)-1)*12)+VLOOKUP(BS$4,$DE$6:$DF$17,2)+1))*(VLOOKUP($A48,SatSunCurve,7))*(INDEX(DailyScalarsTable,BS$5/100,MONTH($A48)))*$D48</f>
        <v>-14934.033784838715</v>
      </c>
      <c r="BT48" s="1021">
        <f>(VLOOKUP(YEAR($A48),'NY East Load Projections'!$A$4:$EO$14,((MONTH($A48)-1)*12)+VLOOKUP(BT$4,$DE$6:$DF$17,2)+1))*(VLOOKUP($A48,SatSunCurve,7))*(INDEX(DailyScalarsTable,BT$5/100,MONTH($A48)))*$D48</f>
        <v>-15556.0024794973</v>
      </c>
      <c r="BU48" s="1021">
        <f>(VLOOKUP(YEAR($A48),'NY East Load Projections'!$A$4:$EO$14,((MONTH($A48)-1)*12)+VLOOKUP(BU$4,$DE$6:$DF$17,2)+1))*(VLOOKUP($A48,SatSunCurve,7))*(INDEX(DailyScalarsTable,BU$5/100,MONTH($A48)))*$D48</f>
        <v>-16509.3108605831</v>
      </c>
      <c r="BV48" s="1021">
        <f>(VLOOKUP(YEAR($A48),'NY East Load Projections'!$A$4:$EO$14,((MONTH($A48)-1)*12)+VLOOKUP(BV$4,$DE$6:$DF$17,2)+1))*(VLOOKUP($A48,SatSunCurve,7))*(INDEX(DailyScalarsTable,BV$5/100,MONTH($A48)))*$D48</f>
        <v>-15982.197384674013</v>
      </c>
      <c r="BW48" s="1021">
        <f>(VLOOKUP(YEAR($A48),'NY East Load Projections'!$A$4:$EO$14,((MONTH($A48)-1)*12)+VLOOKUP(BW$4,$DE$6:$DF$17,2)+1))*(VLOOKUP($A48,SatSunCurve,7))*(INDEX(DailyScalarsTable,BW$5/100,MONTH($A48)))*$D48</f>
        <v>-15586.157438737224</v>
      </c>
      <c r="BX48" s="1021">
        <f>(VLOOKUP(YEAR($A48),'NY East Load Projections'!$A$4:$EO$14,((MONTH($A48)-1)*12)+VLOOKUP(BX$4,$DE$6:$DF$17,2)+1))*(VLOOKUP($A48,SatSunCurve,7))*(INDEX(DailyScalarsTable,BX$5/100,MONTH($A48)))*$D48</f>
        <v>-13017.800824572634</v>
      </c>
      <c r="BY48" s="1021">
        <f>(VLOOKUP(YEAR($A48),'NY East Load Projections'!$A$4:$EO$14,((MONTH($A48)-1)*12)+VLOOKUP(BY$4,$DE$6:$DF$17,2)+1))*(VLOOKUP($A48,SatSunCurve,7))*(INDEX(DailyScalarsTable,BY$5/100,MONTH($A48)))*$D48</f>
        <v>-9632.6789018500622</v>
      </c>
      <c r="BZ48" s="1021">
        <f>(VLOOKUP(YEAR($A48),'NY East Load Projections'!$A$4:$EO$14,((MONTH($A48)-1)*12)+VLOOKUP(BZ$4,$DE$6:$DF$17,2)+1))*(VLOOKUP($A48,SatSunCurve,7))*(INDEX(DailyScalarsTable,BZ$5/100,MONTH($A48)))*$D48</f>
        <v>-10125.238988973433</v>
      </c>
      <c r="CA48" s="1021">
        <f>(VLOOKUP(YEAR($A48),'NY East Load Projections'!$A$4:$EO$14,((MONTH($A48)-1)*12)+VLOOKUP(CA$4,$DE$6:$DF$17,2)+1))*(VLOOKUP($A48,SatSunCurve,7))*(INDEX(DailyScalarsTable,CA$5/100,MONTH($A48)))*$D48</f>
        <v>-10729.061038079133</v>
      </c>
      <c r="CB48" s="1021">
        <f>(VLOOKUP(YEAR($A48),'NY East Load Projections'!$A$4:$EO$14,((MONTH($A48)-1)*12)+VLOOKUP(CB$4,$DE$6:$DF$17,2)+1))*(VLOOKUP($A48,SatSunCurve,7))*(INDEX(DailyScalarsTable,CB$5/100,MONTH($A48)))*$D48</f>
        <v>-7450.8784944546114</v>
      </c>
      <c r="CC48" s="1021">
        <f>(VLOOKUP(YEAR($A48),'NY East Load Projections'!$A$4:$EO$14,((MONTH($A48)-1)*12)+VLOOKUP(CC$4,$DE$6:$DF$17,2)+1))*(VLOOKUP($A48,CURVES!$D$9:$T$261,7))*(INDEX(DailyScalarsTable,CC$5/100,MONTH($A48)))*$D48</f>
        <v>-11759.099248881868</v>
      </c>
      <c r="CE48" s="1021">
        <f>(VLOOKUP(YEAR($A48),'NY East Load Projections'!$A$4:$EO$14,((MONTH($A48)-1)*12)+VLOOKUP(CE$4,$DE$6:$DF$17,2)+1))*(VLOOKUP($A48,CURVES!$D$9:$T$261,7))*(INDEX(DailyScalarsTable,CE$5/100,MONTH($A48)))*$E48</f>
        <v>-2513.5148981995276</v>
      </c>
      <c r="CF48" s="1021">
        <f>(VLOOKUP(YEAR($A48),'NY East Load Projections'!$A$4:$EO$14,((MONTH($A48)-1)*12)+VLOOKUP(CF$4,$DE$6:$DF$17,2)+1))*(VLOOKUP($A48,CURVES!$D$9:$T$261,7))*(INDEX(DailyScalarsTable,CF$5/100,MONTH($A48)))*$E48</f>
        <v>-2295.9285042044812</v>
      </c>
      <c r="CG48" s="1021">
        <f>(VLOOKUP(YEAR($A48),'NY East Load Projections'!$A$4:$EO$14,((MONTH($A48)-1)*12)+VLOOKUP(CG$4,$DE$6:$DF$17,2)+1))*(VLOOKUP($A48,CURVES!$D$9:$T$261,7))*(INDEX(DailyScalarsTable,CG$5/100,MONTH($A48)))*$E48</f>
        <v>-2187.6253666528937</v>
      </c>
      <c r="CH48" s="1021">
        <f>(VLOOKUP(YEAR($A48),'NY East Load Projections'!$A$4:$EO$14,((MONTH($A48)-1)*12)+VLOOKUP(CH$4,$DE$6:$DF$17,2)+1))*(VLOOKUP($A48,CURVES!$D$9:$T$261,7))*(INDEX(DailyScalarsTable,CH$5/100,MONTH($A48)))*$E48</f>
        <v>-1970.0389726578471</v>
      </c>
      <c r="CI48" s="1021">
        <f>(VLOOKUP(YEAR($A48),'NY East Load Projections'!$A$4:$EO$14,((MONTH($A48)-1)*12)+VLOOKUP(CI$4,$DE$6:$DF$17,2)+1))*(VLOOKUP($A48,CURVES!$D$9:$T$261,7))*(INDEX(DailyScalarsTable,CI$5/100,MONTH($A48)))*$E48</f>
        <v>-1895.6799130143627</v>
      </c>
      <c r="CJ48" s="1021">
        <f>(VLOOKUP(YEAR($A48),'NY East Load Projections'!$A$4:$EO$14,((MONTH($A48)-1)*12)+VLOOKUP(CJ$4,$DE$6:$DF$17,2)+1))*(VLOOKUP($A48,CURVES!$D$9:$T$261,7))*(INDEX(DailyScalarsTable,CJ$5/100,MONTH($A48)))*$E48</f>
        <v>-2089.9175560931399</v>
      </c>
      <c r="CK48" s="1021">
        <f>(VLOOKUP(YEAR($A48),'NY East Load Projections'!$A$4:$EO$14,((MONTH($A48)-1)*12)+VLOOKUP(CK$4,$DE$6:$DF$17,2)+1))*(VLOOKUP($A48,CURVES!$D$9:$T$261,7))*(INDEX(DailyScalarsTable,CK$5/100,MONTH($A48)))*$E48</f>
        <v>-2320.9162876318396</v>
      </c>
      <c r="CL48" s="1021">
        <f>(VLOOKUP(YEAR($A48),'NY East Load Projections'!$A$4:$EO$14,((MONTH($A48)-1)*12)+VLOOKUP(CL$4,$DE$6:$DF$17,2)+1))*(VLOOKUP($A48,SatSunCurve,7))*(INDEX(DailyScalarsTable,CL$5/100,MONTH($A48)))*$E48</f>
        <v>-1612.3059124305141</v>
      </c>
      <c r="CM48" s="1021">
        <f>(VLOOKUP(YEAR($A48),'NY East Load Projections'!$A$4:$EO$14,((MONTH($A48)-1)*12)+VLOOKUP(CM$4,$DE$6:$DF$17,2)+1))*(VLOOKUP($A48,SatSunCurve,7))*(INDEX(DailyScalarsTable,CM$5/100,MONTH($A48)))*$E48</f>
        <v>-1953.7881593296836</v>
      </c>
      <c r="CN48" s="1021">
        <f>(VLOOKUP(YEAR($A48),'NY East Load Projections'!$A$4:$EO$14,((MONTH($A48)-1)*12)+VLOOKUP(CN$4,$DE$6:$DF$17,2)+1))*(VLOOKUP($A48,SatSunCurve,7))*(INDEX(DailyScalarsTable,CN$5/100,MONTH($A48)))*$E48</f>
        <v>-2339.2200232750083</v>
      </c>
      <c r="CO48" s="1021">
        <f>(VLOOKUP(YEAR($A48),'NY East Load Projections'!$A$4:$EO$14,((MONTH($A48)-1)*12)+VLOOKUP(CO$4,$DE$6:$DF$17,2)+1))*(VLOOKUP($A48,SatSunCurve,7))*(INDEX(DailyScalarsTable,CO$5/100,MONTH($A48)))*$E48</f>
        <v>-2661.7858638275416</v>
      </c>
      <c r="CP48" s="1021">
        <f>(VLOOKUP(YEAR($A48),'NY East Load Projections'!$A$4:$EO$14,((MONTH($A48)-1)*12)+VLOOKUP(CP$4,$DE$6:$DF$17,2)+1))*(VLOOKUP($A48,SatSunCurve,7))*(INDEX(DailyScalarsTable,CP$5/100,MONTH($A48)))*$E48</f>
        <v>-3182.2835946255022</v>
      </c>
      <c r="CQ48" s="1021">
        <f>(VLOOKUP(YEAR($A48),'NY East Load Projections'!$A$4:$EO$14,((MONTH($A48)-1)*12)+VLOOKUP(CQ$4,$DE$6:$DF$17,2)+1))*(VLOOKUP($A48,SatSunCurve,7))*(INDEX(DailyScalarsTable,CQ$5/100,MONTH($A48)))*$E48</f>
        <v>-3611.9418377082284</v>
      </c>
      <c r="CR48" s="1021">
        <f>(VLOOKUP(YEAR($A48),'NY East Load Projections'!$A$4:$EO$14,((MONTH($A48)-1)*12)+VLOOKUP(CR$4,$DE$6:$DF$17,2)+1))*(VLOOKUP($A48,SatSunCurve,7))*(INDEX(DailyScalarsTable,CR$5/100,MONTH($A48)))*$E48</f>
        <v>-3733.5084462096788</v>
      </c>
      <c r="CS48" s="1021">
        <f>(VLOOKUP(YEAR($A48),'NY East Load Projections'!$A$4:$EO$14,((MONTH($A48)-1)*12)+VLOOKUP(CS$4,$DE$6:$DF$17,2)+1))*(VLOOKUP($A48,SatSunCurve,7))*(INDEX(DailyScalarsTable,CS$5/100,MONTH($A48)))*$E48</f>
        <v>-3889.0006198743249</v>
      </c>
      <c r="CT48" s="1021">
        <f>(VLOOKUP(YEAR($A48),'NY East Load Projections'!$A$4:$EO$14,((MONTH($A48)-1)*12)+VLOOKUP(CT$4,$DE$6:$DF$17,2)+1))*(VLOOKUP($A48,SatSunCurve,7))*(INDEX(DailyScalarsTable,CT$5/100,MONTH($A48)))*$E48</f>
        <v>-4127.3277151457751</v>
      </c>
      <c r="CU48" s="1021">
        <f>(VLOOKUP(YEAR($A48),'NY East Load Projections'!$A$4:$EO$14,((MONTH($A48)-1)*12)+VLOOKUP(CU$4,$DE$6:$DF$17,2)+1))*(VLOOKUP($A48,SatSunCurve,7))*(INDEX(DailyScalarsTable,CU$5/100,MONTH($A48)))*$E48</f>
        <v>-3995.5493461685032</v>
      </c>
      <c r="CV48" s="1021">
        <f>(VLOOKUP(YEAR($A48),'NY East Load Projections'!$A$4:$EO$14,((MONTH($A48)-1)*12)+VLOOKUP(CV$4,$DE$6:$DF$17,2)+1))*(VLOOKUP($A48,SatSunCurve,7))*(INDEX(DailyScalarsTable,CV$5/100,MONTH($A48)))*$E48</f>
        <v>-3896.539359684306</v>
      </c>
      <c r="CW48" s="1021">
        <f>(VLOOKUP(YEAR($A48),'NY East Load Projections'!$A$4:$EO$14,((MONTH($A48)-1)*12)+VLOOKUP(CW$4,$DE$6:$DF$17,2)+1))*(VLOOKUP($A48,SatSunCurve,7))*(INDEX(DailyScalarsTable,CW$5/100,MONTH($A48)))*$E48</f>
        <v>-3254.4502061431585</v>
      </c>
      <c r="CX48" s="1021">
        <f>(VLOOKUP(YEAR($A48),'NY East Load Projections'!$A$4:$EO$14,((MONTH($A48)-1)*12)+VLOOKUP(CX$4,$DE$6:$DF$17,2)+1))*(VLOOKUP($A48,SatSunCurve,7))*(INDEX(DailyScalarsTable,CX$5/100,MONTH($A48)))*$E48</f>
        <v>-2408.1697254625155</v>
      </c>
      <c r="CY48" s="1021">
        <f>(VLOOKUP(YEAR($A48),'NY East Load Projections'!$A$4:$EO$14,((MONTH($A48)-1)*12)+VLOOKUP(CY$4,$DE$6:$DF$17,2)+1))*(VLOOKUP($A48,SatSunCurve,7))*(INDEX(DailyScalarsTable,CY$5/100,MONTH($A48)))*$E48</f>
        <v>-2531.3097472433583</v>
      </c>
      <c r="CZ48" s="1021">
        <f>(VLOOKUP(YEAR($A48),'NY East Load Projections'!$A$4:$EO$14,((MONTH($A48)-1)*12)+VLOOKUP(CZ$4,$DE$6:$DF$17,2)+1))*(VLOOKUP($A48,SatSunCurve,7))*(INDEX(DailyScalarsTable,CZ$5/100,MONTH($A48)))*$E48</f>
        <v>-2682.2652595197833</v>
      </c>
      <c r="DA48" s="1021">
        <f>(VLOOKUP(YEAR($A48),'NY East Load Projections'!$A$4:$EO$14,((MONTH($A48)-1)*12)+VLOOKUP(DA$4,$DE$6:$DF$17,2)+1))*(VLOOKUP($A48,SatSunCurve,7))*(INDEX(DailyScalarsTable,DA$5/100,MONTH($A48)))*$E48</f>
        <v>-1862.7196236136529</v>
      </c>
      <c r="DB48" s="1021">
        <f>(VLOOKUP(YEAR($A48),'NY East Load Projections'!$A$4:$EO$14,((MONTH($A48)-1)*12)+VLOOKUP(DB$4,$DE$6:$DF$17,2)+1))*(VLOOKUP($A48,CURVES!$D$9:$T$261,7))*(INDEX(DailyScalarsTable,DB$5/100,MONTH($A48)))*$E48</f>
        <v>-2939.7748122204671</v>
      </c>
      <c r="DH48" s="1032">
        <f t="shared" si="0"/>
        <v>-3887236.9940390647</v>
      </c>
      <c r="DI48">
        <f ca="1">CALC!J68</f>
        <v>0.72655927342574345</v>
      </c>
      <c r="DJ48" s="1029">
        <f t="shared" ca="1" si="1"/>
        <v>-2824308.0860226937</v>
      </c>
    </row>
    <row r="49" spans="1:114" x14ac:dyDescent="0.25">
      <c r="A49" s="244">
        <v>38200</v>
      </c>
      <c r="B49" s="13">
        <v>22</v>
      </c>
      <c r="C49" s="210">
        <v>4</v>
      </c>
      <c r="D49" s="210">
        <v>5</v>
      </c>
      <c r="E49" s="210">
        <v>0</v>
      </c>
      <c r="F49" s="13">
        <v>31</v>
      </c>
      <c r="H49" s="1021">
        <f>(VLOOKUP(YEAR($A49),'NY East Load Projections'!$A$4:$EO$14,((MONTH($A49)-1)*12)+VLOOKUP(H$4,$DE$6:$DF$17,2)+1))*(VLOOKUP($A49,CURVES!$D$9:$K$261,7))*(INDEX(DailyScalarsTable,H$5/100,MONTH($A49)))*$B49</f>
        <v>-58273.878128613782</v>
      </c>
      <c r="I49" s="1021">
        <f>(VLOOKUP(YEAR($A49),'NY East Load Projections'!$A$4:$EO$14,((MONTH($A49)-1)*12)+VLOOKUP(I$4,$DE$6:$DF$17,2)+1))*(VLOOKUP($A49,CURVES!$D$9:$K$261,7))*(INDEX(DailyScalarsTable,I$5/100,MONTH($A49)))*$B49</f>
        <v>-52604.850477828346</v>
      </c>
      <c r="J49" s="1021">
        <f>(VLOOKUP(YEAR($A49),'NY East Load Projections'!$A$4:$EO$14,((MONTH($A49)-1)*12)+VLOOKUP(J$4,$DE$6:$DF$17,2)+1))*(VLOOKUP($A49,CURVES!$D$9:$K$261,7))*(INDEX(DailyScalarsTable,J$5/100,MONTH($A49)))*$B49</f>
        <v>-47241.897089878745</v>
      </c>
      <c r="K49" s="1021">
        <f>(VLOOKUP(YEAR($A49),'NY East Load Projections'!$A$4:$EO$14,((MONTH($A49)-1)*12)+VLOOKUP(K$4,$DE$6:$DF$17,2)+1))*(VLOOKUP($A49,CURVES!$D$9:$K$261,7))*(INDEX(DailyScalarsTable,K$5/100,MONTH($A49)))*$B49</f>
        <v>-44447.305994421113</v>
      </c>
      <c r="L49" s="1021">
        <f>(VLOOKUP(YEAR($A49),'NY East Load Projections'!$A$4:$EO$14,((MONTH($A49)-1)*12)+VLOOKUP(L$4,$DE$6:$DF$17,2)+1))*(VLOOKUP($A49,CURVES!$D$9:$K$261,7))*(INDEX(DailyScalarsTable,L$5/100,MONTH($A49)))*$B49</f>
        <v>-50396.048405107133</v>
      </c>
      <c r="M49" s="1021">
        <f>(VLOOKUP(YEAR($A49),'NY East Load Projections'!$A$4:$EO$14,((MONTH($A49)-1)*12)+VLOOKUP(M$4,$DE$6:$DF$17,2)+1))*(VLOOKUP($A49,CURVES!$D$9:$K$261,7))*(INDEX(DailyScalarsTable,M$5/100,MONTH($A49)))*$B49</f>
        <v>-55992.379133681221</v>
      </c>
      <c r="N49" s="1021">
        <f>(VLOOKUP(YEAR($A49),'NY East Load Projections'!$A$4:$EO$14,((MONTH($A49)-1)*12)+VLOOKUP(N$4,$DE$6:$DF$17,2)+1))*(VLOOKUP($A49,CURVES!$D$9:$K$261,7))*(INDEX(DailyScalarsTable,N$5/100,MONTH($A49)))*$B49</f>
        <v>-65150.011234984202</v>
      </c>
      <c r="O49" s="1021">
        <f>(VLOOKUP(YEAR($A49),'NY East Load Projections'!$A$4:$EO$14,((MONTH($A49)-1)*12)+VLOOKUP(O$4,$DE$6:$DF$17,2)+1))*(VLOOKUP($A49,CURVES!$D$9:$K$261,3))*(INDEX(DailyScalarsTable,O$5/100,MONTH($A49)))*$B49</f>
        <v>-103289.10901745471</v>
      </c>
      <c r="P49" s="1021">
        <f>(VLOOKUP(YEAR($A49),'NY East Load Projections'!$A$4:$EO$14,((MONTH($A49)-1)*12)+VLOOKUP(P$4,$DE$6:$DF$17,2)+1))*(VLOOKUP($A49,CURVES!$D$9:$K$261,3))*(INDEX(DailyScalarsTable,P$5/100,MONTH($A49)))*$B49</f>
        <v>-127805.35034413348</v>
      </c>
      <c r="Q49" s="1021">
        <f>(VLOOKUP(YEAR($A49),'NY East Load Projections'!$A$4:$EO$14,((MONTH($A49)-1)*12)+VLOOKUP(Q$4,$DE$6:$DF$17,2)+1))*(VLOOKUP($A49,CURVES!$D$9:$K$261,3))*(INDEX(DailyScalarsTable,Q$5/100,MONTH($A49)))*$B49</f>
        <v>-163902.4990710839</v>
      </c>
      <c r="R49" s="1021">
        <f>(VLOOKUP(YEAR($A49),'NY East Load Projections'!$A$4:$EO$14,((MONTH($A49)-1)*12)+VLOOKUP(R$4,$DE$6:$DF$17,2)+1))*(VLOOKUP($A49,CURVES!$D$9:$K$261,3))*(INDEX(DailyScalarsTable,R$5/100,MONTH($A49)))*$B49</f>
        <v>-184988.95228781729</v>
      </c>
      <c r="S49" s="1021">
        <f>(VLOOKUP(YEAR($A49),'NY East Load Projections'!$A$4:$EO$14,((MONTH($A49)-1)*12)+VLOOKUP(S$4,$DE$6:$DF$17,2)+1))*(VLOOKUP($A49,CURVES!$D$9:$K$261,3))*(INDEX(DailyScalarsTable,S$5/100,MONTH($A49)))*$B49</f>
        <v>-192827.87105426396</v>
      </c>
      <c r="T49" s="1021">
        <f>(VLOOKUP(YEAR($A49),'NY East Load Projections'!$A$4:$EO$14,((MONTH($A49)-1)*12)+VLOOKUP(T$4,$DE$6:$DF$17,2)+1))*(VLOOKUP($A49,CURVES!$D$9:$K$261,3))*(INDEX(DailyScalarsTable,T$5/100,MONTH($A49)))*$B49</f>
        <v>-196450.96498532718</v>
      </c>
      <c r="U49" s="1021">
        <f>(VLOOKUP(YEAR($A49),'NY East Load Projections'!$A$4:$EO$14,((MONTH($A49)-1)*12)+VLOOKUP(U$4,$DE$6:$DF$17,2)+1))*(VLOOKUP($A49,CURVES!$D$9:$K$261,3))*(INDEX(DailyScalarsTable,U$5/100,MONTH($A49)))*$B49</f>
        <v>-215658.09009598632</v>
      </c>
      <c r="V49" s="1021">
        <f>(VLOOKUP(YEAR($A49),'NY East Load Projections'!$A$4:$EO$14,((MONTH($A49)-1)*12)+VLOOKUP(V$4,$DE$6:$DF$17,2)+1))*(VLOOKUP($A49,CURVES!$D$9:$K$261,3))*(INDEX(DailyScalarsTable,V$5/100,MONTH($A49)))*$B49</f>
        <v>-228307.8782261911</v>
      </c>
      <c r="W49" s="1021">
        <f>(VLOOKUP(YEAR($A49),'NY East Load Projections'!$A$4:$EO$14,((MONTH($A49)-1)*12)+VLOOKUP(W$4,$DE$6:$DF$17,2)+1))*(VLOOKUP($A49,CURVES!$D$9:$K$261,3))*(INDEX(DailyScalarsTable,W$5/100,MONTH($A49)))*$B49</f>
        <v>-225127.08043716475</v>
      </c>
      <c r="X49" s="1021">
        <f>(VLOOKUP(YEAR($A49),'NY East Load Projections'!$A$4:$EO$14,((MONTH($A49)-1)*12)+VLOOKUP(X$4,$DE$6:$DF$17,2)+1))*(VLOOKUP($A49,CURVES!$D$9:$K$261,3))*(INDEX(DailyScalarsTable,X$5/100,MONTH($A49)))*$B49</f>
        <v>-207295.55579322772</v>
      </c>
      <c r="Y49" s="1021">
        <f>(VLOOKUP(YEAR($A49),'NY East Load Projections'!$A$4:$EO$14,((MONTH($A49)-1)*12)+VLOOKUP(Y$4,$DE$6:$DF$17,2)+1))*(VLOOKUP($A49,CURVES!$D$9:$K$261,3))*(INDEX(DailyScalarsTable,Y$5/100,MONTH($A49)))*$B49</f>
        <v>-191968.49946651031</v>
      </c>
      <c r="Z49" s="1021">
        <f>(VLOOKUP(YEAR($A49),'NY East Load Projections'!$A$4:$EO$14,((MONTH($A49)-1)*12)+VLOOKUP(Z$4,$DE$6:$DF$17,2)+1))*(VLOOKUP($A49,CURVES!$D$9:$K$261,3))*(INDEX(DailyScalarsTable,Z$5/100,MONTH($A49)))*$B49</f>
        <v>-156474.26376253314</v>
      </c>
      <c r="AA49" s="1021">
        <f>(VLOOKUP(YEAR($A49),'NY East Load Projections'!$A$4:$EO$14,((MONTH($A49)-1)*12)+VLOOKUP(AA$4,$DE$6:$DF$17,2)+1))*(VLOOKUP($A49,CURVES!$D$9:$K$261,3))*(INDEX(DailyScalarsTable,AA$5/100,MONTH($A49)))*$B49</f>
        <v>-142460.95512096296</v>
      </c>
      <c r="AB49" s="1021">
        <f>(VLOOKUP(YEAR($A49),'NY East Load Projections'!$A$4:$EO$14,((MONTH($A49)-1)*12)+VLOOKUP(AB$4,$DE$6:$DF$17,2)+1))*(VLOOKUP($A49,CURVES!$D$9:$K$261,3))*(INDEX(DailyScalarsTable,AB$5/100,MONTH($A49)))*$B49</f>
        <v>-157700.60551578173</v>
      </c>
      <c r="AC49" s="1021">
        <f>(VLOOKUP(YEAR($A49),'NY East Load Projections'!$A$4:$EO$14,((MONTH($A49)-1)*12)+VLOOKUP(AC$4,$DE$6:$DF$17,2)+1))*(VLOOKUP($A49,CURVES!$D$9:$K$261,3))*(INDEX(DailyScalarsTable,AC$5/100,MONTH($A49)))*$B49</f>
        <v>-134097.22312920986</v>
      </c>
      <c r="AD49" s="1021">
        <f>(VLOOKUP(YEAR($A49),'NY East Load Projections'!$A$4:$EO$14,((MONTH($A49)-1)*12)+VLOOKUP(AD$4,$DE$6:$DF$17,2)+1))*(VLOOKUP($A49,CURVES!$D$9:$K$261,3))*(INDEX(DailyScalarsTable,AD$5/100,MONTH($A49)))*$B49</f>
        <v>-108587.72567018276</v>
      </c>
      <c r="AE49" s="1021">
        <f>(VLOOKUP(YEAR($A49),'NY East Load Projections'!$A$4:$EO$14,((MONTH($A49)-1)*12)+VLOOKUP(AE$4,$DE$6:$DF$17,2)+1))*(VLOOKUP($A49,CURVES!$D$9:$K$261,7))*(INDEX(DailyScalarsTable,AE$5/100,MONTH($A49)))*$B49</f>
        <v>-71198.898376964091</v>
      </c>
      <c r="AF49" s="1021"/>
      <c r="AG49" s="1021">
        <f>(VLOOKUP(YEAR($A49),'NY East Load Projections'!$A$4:$EO$14,((MONTH($A49)-1)*12)+VLOOKUP(AG$4,$DE$6:$DF$17,2)+1))*(VLOOKUP($A49,CURVES!$D$9:$T$261,7))*(INDEX(DailyScalarsTable,AG$5/100,MONTH($A49)))*$C49</f>
        <v>-10423.187420352197</v>
      </c>
      <c r="AH49" s="1021">
        <f>(VLOOKUP(YEAR($A49),'NY East Load Projections'!$A$4:$EO$14,((MONTH($A49)-1)*12)+VLOOKUP(AH$4,$DE$6:$DF$17,2)+1))*(VLOOKUP($A49,CURVES!$D$9:$T$261,7))*(INDEX(DailyScalarsTable,AH$5/100,MONTH($A49)))*$C49</f>
        <v>-9409.1938507997802</v>
      </c>
      <c r="AI49" s="1021">
        <f>(VLOOKUP(YEAR($A49),'NY East Load Projections'!$A$4:$EO$14,((MONTH($A49)-1)*12)+VLOOKUP(AI$4,$DE$6:$DF$17,2)+1))*(VLOOKUP($A49,CURVES!$D$9:$T$261,7))*(INDEX(DailyScalarsTable,AI$5/100,MONTH($A49)))*$C49</f>
        <v>-8449.9464129368134</v>
      </c>
      <c r="AJ49" s="1021">
        <f>(VLOOKUP(YEAR($A49),'NY East Load Projections'!$A$4:$EO$14,((MONTH($A49)-1)*12)+VLOOKUP(AJ$4,$DE$6:$DF$17,2)+1))*(VLOOKUP($A49,CURVES!$D$9:$T$261,7))*(INDEX(DailyScalarsTable,AJ$5/100,MONTH($A49)))*$C49</f>
        <v>-7950.0904279461829</v>
      </c>
      <c r="AK49" s="1021">
        <f>(VLOOKUP(YEAR($A49),'NY East Load Projections'!$A$4:$EO$14,((MONTH($A49)-1)*12)+VLOOKUP(AK$4,$DE$6:$DF$17,2)+1))*(VLOOKUP($A49,CURVES!$D$9:$T$261,7))*(INDEX(DailyScalarsTable,AK$5/100,MONTH($A49)))*$C49</f>
        <v>-8383.344369968836</v>
      </c>
      <c r="AL49" s="1021">
        <f>(VLOOKUP(YEAR($A49),'NY East Load Projections'!$A$4:$EO$14,((MONTH($A49)-1)*12)+VLOOKUP(AL$4,$DE$6:$DF$17,2)+1))*(VLOOKUP($A49,CURVES!$D$9:$T$261,7))*(INDEX(DailyScalarsTable,AL$5/100,MONTH($A49)))*$C49</f>
        <v>-9314.2897355408059</v>
      </c>
      <c r="AM49" s="1021">
        <f>(VLOOKUP(YEAR($A49),'NY East Load Projections'!$A$4:$EO$14,((MONTH($A49)-1)*12)+VLOOKUP(AM$4,$DE$6:$DF$17,2)+1))*(VLOOKUP($A49,CURVES!$D$9:$T$261,7))*(INDEX(DailyScalarsTable,AM$5/100,MONTH($A49)))*$C49</f>
        <v>-10837.654879204019</v>
      </c>
      <c r="AN49" s="1021">
        <f>(VLOOKUP(YEAR($A49),'NY East Load Projections'!$A$4:$EO$14,((MONTH($A49)-1)*12)+VLOOKUP(AN$4,$DE$6:$DF$17,2)+1))*(VLOOKUP($A49,SatSunCurve,3))*(INDEX(DailyScalarsTable,AN$5/100,MONTH($A49)))*$C49</f>
        <v>-11028.902828936836</v>
      </c>
      <c r="AO49" s="1021">
        <f>(VLOOKUP(YEAR($A49),'NY East Load Projections'!$A$4:$EO$14,((MONTH($A49)-1)*12)+VLOOKUP(AO$4,$DE$6:$DF$17,2)+1))*(VLOOKUP($A49,SatSunCurve,3))*(INDEX(DailyScalarsTable,AO$5/100,MONTH($A49)))*$C49</f>
        <v>-13302.337970913919</v>
      </c>
      <c r="AP49" s="1021">
        <f>(VLOOKUP(YEAR($A49),'NY East Load Projections'!$A$4:$EO$14,((MONTH($A49)-1)*12)+VLOOKUP(AP$4,$DE$6:$DF$17,2)+1))*(VLOOKUP($A49,SatSunCurve,3))*(INDEX(DailyScalarsTable,AP$5/100,MONTH($A49)))*$C49</f>
        <v>-17059.430071200008</v>
      </c>
      <c r="AQ49" s="1021">
        <f>(VLOOKUP(YEAR($A49),'NY East Load Projections'!$A$4:$EO$14,((MONTH($A49)-1)*12)+VLOOKUP(AQ$4,$DE$6:$DF$17,2)+1))*(VLOOKUP($A49,SatSunCurve,3))*(INDEX(DailyScalarsTable,AQ$5/100,MONTH($A49)))*$C49</f>
        <v>-19254.167040674056</v>
      </c>
      <c r="AR49" s="1021">
        <f>(VLOOKUP(YEAR($A49),'NY East Load Projections'!$A$4:$EO$14,((MONTH($A49)-1)*12)+VLOOKUP(AR$4,$DE$6:$DF$17,2)+1))*(VLOOKUP($A49,SatSunCurve,3))*(INDEX(DailyScalarsTable,AR$5/100,MONTH($A49)))*$C49</f>
        <v>-20070.06360898701</v>
      </c>
      <c r="AS49" s="1021">
        <f>(VLOOKUP(YEAR($A49),'NY East Load Projections'!$A$4:$EO$14,((MONTH($A49)-1)*12)+VLOOKUP(AS$4,$DE$6:$DF$17,2)+1))*(VLOOKUP($A49,SatSunCurve,3))*(INDEX(DailyScalarsTable,AS$5/100,MONTH($A49)))*$C49</f>
        <v>-20561.230523929757</v>
      </c>
      <c r="AT49" s="1021">
        <f>(VLOOKUP(YEAR($A49),'NY East Load Projections'!$A$4:$EO$14,((MONTH($A49)-1)*12)+VLOOKUP(AT$4,$DE$6:$DF$17,2)+1))*(VLOOKUP($A49,SatSunCurve,3))*(INDEX(DailyScalarsTable,AT$5/100,MONTH($A49)))*$C49</f>
        <v>-22571.513991520347</v>
      </c>
      <c r="AU49" s="1021">
        <f>(VLOOKUP(YEAR($A49),'NY East Load Projections'!$A$4:$EO$14,((MONTH($A49)-1)*12)+VLOOKUP(AU$4,$DE$6:$DF$17,2)+1))*(VLOOKUP($A49,SatSunCurve,3))*(INDEX(DailyScalarsTable,AU$5/100,MONTH($A49)))*$C49</f>
        <v>-23895.484122404854</v>
      </c>
      <c r="AV49" s="1021">
        <f>(VLOOKUP(YEAR($A49),'NY East Load Projections'!$A$4:$EO$14,((MONTH($A49)-1)*12)+VLOOKUP(AV$4,$DE$6:$DF$17,2)+1))*(VLOOKUP($A49,SatSunCurve,3))*(INDEX(DailyScalarsTable,AV$5/100,MONTH($A49)))*$C49</f>
        <v>-23562.570936689215</v>
      </c>
      <c r="AW49" s="1021">
        <f>(VLOOKUP(YEAR($A49),'NY East Load Projections'!$A$4:$EO$14,((MONTH($A49)-1)*12)+VLOOKUP(AW$4,$DE$6:$DF$17,2)+1))*(VLOOKUP($A49,SatSunCurve,3))*(INDEX(DailyScalarsTable,AW$5/100,MONTH($A49)))*$C49</f>
        <v>-21834.808897220748</v>
      </c>
      <c r="AX49" s="1021">
        <f>(VLOOKUP(YEAR($A49),'NY East Load Projections'!$A$4:$EO$14,((MONTH($A49)-1)*12)+VLOOKUP(AX$4,$DE$6:$DF$17,2)+1))*(VLOOKUP($A49,SatSunCurve,3))*(INDEX(DailyScalarsTable,AX$5/100,MONTH($A49)))*$C49</f>
        <v>-20220.382844668849</v>
      </c>
      <c r="AY49" s="1021">
        <f>(VLOOKUP(YEAR($A49),'NY East Load Projections'!$A$4:$EO$14,((MONTH($A49)-1)*12)+VLOOKUP(AY$4,$DE$6:$DF$17,2)+1))*(VLOOKUP($A49,SatSunCurve,3))*(INDEX(DailyScalarsTable,AY$5/100,MONTH($A49)))*$C49</f>
        <v>-16481.711986127608</v>
      </c>
      <c r="AZ49" s="1021">
        <f>(VLOOKUP(YEAR($A49),'NY East Load Projections'!$A$4:$EO$14,((MONTH($A49)-1)*12)+VLOOKUP(AZ$4,$DE$6:$DF$17,2)+1))*(VLOOKUP($A49,SatSunCurve,3))*(INDEX(DailyScalarsTable,AZ$5/100,MONTH($A49)))*$C49</f>
        <v>-15005.665309508726</v>
      </c>
      <c r="BA49" s="1021">
        <f>(VLOOKUP(YEAR($A49),'NY East Load Projections'!$A$4:$EO$14,((MONTH($A49)-1)*12)+VLOOKUP(BA$4,$DE$6:$DF$17,2)+1))*(VLOOKUP($A49,SatSunCurve,3))*(INDEX(DailyScalarsTable,BA$5/100,MONTH($A49)))*$C49</f>
        <v>-17896.222323758771</v>
      </c>
      <c r="BB49" s="1021">
        <f>(VLOOKUP(YEAR($A49),'NY East Load Projections'!$A$4:$EO$14,((MONTH($A49)-1)*12)+VLOOKUP(BB$4,$DE$6:$DF$17,2)+1))*(VLOOKUP($A49,SatSunCurve,3))*(INDEX(DailyScalarsTable,BB$5/100,MONTH($A49)))*$C49</f>
        <v>-15217.656966313076</v>
      </c>
      <c r="BC49" s="1021">
        <f>(VLOOKUP(YEAR($A49),'NY East Load Projections'!$A$4:$EO$14,((MONTH($A49)-1)*12)+VLOOKUP(BC$4,$DE$6:$DF$17,2)+1))*(VLOOKUP($A49,SatSunCurve,3))*(INDEX(DailyScalarsTable,BC$5/100,MONTH($A49)))*$C49</f>
        <v>-12322.781348042719</v>
      </c>
      <c r="BD49" s="1021">
        <f>(VLOOKUP(YEAR($A49),'NY East Load Projections'!$A$4:$EO$14,((MONTH($A49)-1)*12)+VLOOKUP(BD$4,$DE$6:$DF$17,2)+1))*(VLOOKUP($A49,CURVES!$D$9:$T$261,7))*(INDEX(DailyScalarsTable,BD$5/100,MONTH($A49)))*$C49</f>
        <v>-12587.640248206015</v>
      </c>
      <c r="BE49" s="1021"/>
      <c r="BF49" s="1021">
        <f>(VLOOKUP(YEAR($A49),'NY East Load Projections'!$A$4:$EO$14,((MONTH($A49)-1)*12)+VLOOKUP(BF$4,$DE$6:$DF$17,2)+1))*(VLOOKUP($A49,CURVES!$D$9:$T$261,7))*(INDEX(DailyScalarsTable,BF$5/100,MONTH($A49)))*$D49</f>
        <v>-13028.984275440245</v>
      </c>
      <c r="BG49" s="1021">
        <f>(VLOOKUP(YEAR($A49),'NY East Load Projections'!$A$4:$EO$14,((MONTH($A49)-1)*12)+VLOOKUP(BG$4,$DE$6:$DF$17,2)+1))*(VLOOKUP($A49,CURVES!$D$9:$T$261,7))*(INDEX(DailyScalarsTable,BG$5/100,MONTH($A49)))*$D49</f>
        <v>-11761.492313499726</v>
      </c>
      <c r="BH49" s="1021">
        <f>(VLOOKUP(YEAR($A49),'NY East Load Projections'!$A$4:$EO$14,((MONTH($A49)-1)*12)+VLOOKUP(BH$4,$DE$6:$DF$17,2)+1))*(VLOOKUP($A49,CURVES!$D$9:$T$261,7))*(INDEX(DailyScalarsTable,BH$5/100,MONTH($A49)))*$D49</f>
        <v>-10562.433016171017</v>
      </c>
      <c r="BI49" s="1021">
        <f>(VLOOKUP(YEAR($A49),'NY East Load Projections'!$A$4:$EO$14,((MONTH($A49)-1)*12)+VLOOKUP(BI$4,$DE$6:$DF$17,2)+1))*(VLOOKUP($A49,CURVES!$D$9:$T$261,7))*(INDEX(DailyScalarsTable,BI$5/100,MONTH($A49)))*$D49</f>
        <v>-9937.6130349327286</v>
      </c>
      <c r="BJ49" s="1021">
        <f>(VLOOKUP(YEAR($A49),'NY East Load Projections'!$A$4:$EO$14,((MONTH($A49)-1)*12)+VLOOKUP(BJ$4,$DE$6:$DF$17,2)+1))*(VLOOKUP($A49,CURVES!$D$9:$T$261,7))*(INDEX(DailyScalarsTable,BJ$5/100,MONTH($A49)))*$D49</f>
        <v>-10479.180462461045</v>
      </c>
      <c r="BK49" s="1021">
        <f>(VLOOKUP(YEAR($A49),'NY East Load Projections'!$A$4:$EO$14,((MONTH($A49)-1)*12)+VLOOKUP(BK$4,$DE$6:$DF$17,2)+1))*(VLOOKUP($A49,CURVES!$D$9:$T$261,7))*(INDEX(DailyScalarsTable,BK$5/100,MONTH($A49)))*$D49</f>
        <v>-11642.862169426007</v>
      </c>
      <c r="BL49" s="1021">
        <f>(VLOOKUP(YEAR($A49),'NY East Load Projections'!$A$4:$EO$14,((MONTH($A49)-1)*12)+VLOOKUP(BL$4,$DE$6:$DF$17,2)+1))*(VLOOKUP($A49,CURVES!$D$9:$T$261,7))*(INDEX(DailyScalarsTable,BL$5/100,MONTH($A49)))*$D49</f>
        <v>-13547.068599005024</v>
      </c>
      <c r="BM49" s="1021">
        <f>(VLOOKUP(YEAR($A49),'NY East Load Projections'!$A$4:$EO$14,((MONTH($A49)-1)*12)+VLOOKUP(BM$4,$DE$6:$DF$17,2)+1))*(VLOOKUP($A49,SatSunCurve,7))*(INDEX(DailyScalarsTable,BM$5/100,MONTH($A49)))*$D49</f>
        <v>-10059.768807322196</v>
      </c>
      <c r="BN49" s="1021">
        <f>(VLOOKUP(YEAR($A49),'NY East Load Projections'!$A$4:$EO$14,((MONTH($A49)-1)*12)+VLOOKUP(BN$4,$DE$6:$DF$17,2)+1))*(VLOOKUP($A49,SatSunCurve,7))*(INDEX(DailyScalarsTable,BN$5/100,MONTH($A49)))*$D49</f>
        <v>-12133.432188118873</v>
      </c>
      <c r="BO49" s="1021">
        <f>(VLOOKUP(YEAR($A49),'NY East Load Projections'!$A$4:$EO$14,((MONTH($A49)-1)*12)+VLOOKUP(BO$4,$DE$6:$DF$17,2)+1))*(VLOOKUP($A49,SatSunCurve,7))*(INDEX(DailyScalarsTable,BO$5/100,MONTH($A49)))*$D49</f>
        <v>-15560.380317313518</v>
      </c>
      <c r="BP49" s="1021">
        <f>(VLOOKUP(YEAR($A49),'NY East Load Projections'!$A$4:$EO$14,((MONTH($A49)-1)*12)+VLOOKUP(BP$4,$DE$6:$DF$17,2)+1))*(VLOOKUP($A49,SatSunCurve,7))*(INDEX(DailyScalarsTable,BP$5/100,MONTH($A49)))*$D49</f>
        <v>-17562.26090763514</v>
      </c>
      <c r="BQ49" s="1021">
        <f>(VLOOKUP(YEAR($A49),'NY East Load Projections'!$A$4:$EO$14,((MONTH($A49)-1)*12)+VLOOKUP(BQ$4,$DE$6:$DF$17,2)+1))*(VLOOKUP($A49,SatSunCurve,7))*(INDEX(DailyScalarsTable,BQ$5/100,MONTH($A49)))*$D49</f>
        <v>-18306.462844602163</v>
      </c>
      <c r="BR49" s="1021">
        <f>(VLOOKUP(YEAR($A49),'NY East Load Projections'!$A$4:$EO$14,((MONTH($A49)-1)*12)+VLOOKUP(BR$4,$DE$6:$DF$17,2)+1))*(VLOOKUP($A49,SatSunCurve,7))*(INDEX(DailyScalarsTable,BR$5/100,MONTH($A49)))*$D49</f>
        <v>-18754.469839202371</v>
      </c>
      <c r="BS49" s="1021">
        <f>(VLOOKUP(YEAR($A49),'NY East Load Projections'!$A$4:$EO$14,((MONTH($A49)-1)*12)+VLOOKUP(BS$4,$DE$6:$DF$17,2)+1))*(VLOOKUP($A49,SatSunCurve,7))*(INDEX(DailyScalarsTable,BS$5/100,MONTH($A49)))*$D49</f>
        <v>-20588.105263760084</v>
      </c>
      <c r="BT49" s="1021">
        <f>(VLOOKUP(YEAR($A49),'NY East Load Projections'!$A$4:$EO$14,((MONTH($A49)-1)*12)+VLOOKUP(BT$4,$DE$6:$DF$17,2)+1))*(VLOOKUP($A49,SatSunCurve,7))*(INDEX(DailyScalarsTable,BT$5/100,MONTH($A49)))*$D49</f>
        <v>-21795.735218532493</v>
      </c>
      <c r="BU49" s="1021">
        <f>(VLOOKUP(YEAR($A49),'NY East Load Projections'!$A$4:$EO$14,((MONTH($A49)-1)*12)+VLOOKUP(BU$4,$DE$6:$DF$17,2)+1))*(VLOOKUP($A49,SatSunCurve,7))*(INDEX(DailyScalarsTable,BU$5/100,MONTH($A49)))*$D49</f>
        <v>-21492.075848860513</v>
      </c>
      <c r="BV49" s="1021">
        <f>(VLOOKUP(YEAR($A49),'NY East Load Projections'!$A$4:$EO$14,((MONTH($A49)-1)*12)+VLOOKUP(BV$4,$DE$6:$DF$17,2)+1))*(VLOOKUP($A49,SatSunCurve,7))*(INDEX(DailyScalarsTable,BV$5/100,MONTH($A49)))*$D49</f>
        <v>-19916.136071286484</v>
      </c>
      <c r="BW49" s="1021">
        <f>(VLOOKUP(YEAR($A49),'NY East Load Projections'!$A$4:$EO$14,((MONTH($A49)-1)*12)+VLOOKUP(BW$4,$DE$6:$DF$17,2)+1))*(VLOOKUP($A49,SatSunCurve,7))*(INDEX(DailyScalarsTable,BW$5/100,MONTH($A49)))*$D49</f>
        <v>-18443.573197436639</v>
      </c>
      <c r="BX49" s="1021">
        <f>(VLOOKUP(YEAR($A49),'NY East Load Projections'!$A$4:$EO$14,((MONTH($A49)-1)*12)+VLOOKUP(BX$4,$DE$6:$DF$17,2)+1))*(VLOOKUP($A49,SatSunCurve,7))*(INDEX(DailyScalarsTable,BX$5/100,MONTH($A49)))*$D49</f>
        <v>-15033.427594836998</v>
      </c>
      <c r="BY49" s="1021">
        <f>(VLOOKUP(YEAR($A49),'NY East Load Projections'!$A$4:$EO$14,((MONTH($A49)-1)*12)+VLOOKUP(BY$4,$DE$6:$DF$17,2)+1))*(VLOOKUP($A49,SatSunCurve,7))*(INDEX(DailyScalarsTable,BY$5/100,MONTH($A49)))*$D49</f>
        <v>-13687.084395888569</v>
      </c>
      <c r="BZ49" s="1021">
        <f>(VLOOKUP(YEAR($A49),'NY East Load Projections'!$A$4:$EO$14,((MONTH($A49)-1)*12)+VLOOKUP(BZ$4,$DE$6:$DF$17,2)+1))*(VLOOKUP($A49,SatSunCurve,7))*(INDEX(DailyScalarsTable,BZ$5/100,MONTH($A49)))*$D49</f>
        <v>-16323.641788655268</v>
      </c>
      <c r="CA49" s="1021">
        <f>(VLOOKUP(YEAR($A49),'NY East Load Projections'!$A$4:$EO$14,((MONTH($A49)-1)*12)+VLOOKUP(CA$4,$DE$6:$DF$17,2)+1))*(VLOOKUP($A49,SatSunCurve,7))*(INDEX(DailyScalarsTable,CA$5/100,MONTH($A49)))*$D49</f>
        <v>-13880.447878150615</v>
      </c>
      <c r="CB49" s="1021">
        <f>(VLOOKUP(YEAR($A49),'NY East Load Projections'!$A$4:$EO$14,((MONTH($A49)-1)*12)+VLOOKUP(CB$4,$DE$6:$DF$17,2)+1))*(VLOOKUP($A49,SatSunCurve,7))*(INDEX(DailyScalarsTable,CB$5/100,MONTH($A49)))*$D49</f>
        <v>-11239.951366625814</v>
      </c>
      <c r="CC49" s="1021">
        <f>(VLOOKUP(YEAR($A49),'NY East Load Projections'!$A$4:$EO$14,((MONTH($A49)-1)*12)+VLOOKUP(CC$4,$DE$6:$DF$17,2)+1))*(VLOOKUP($A49,CURVES!$D$9:$T$261,7))*(INDEX(DailyScalarsTable,CC$5/100,MONTH($A49)))*$D49</f>
        <v>-15734.550310257519</v>
      </c>
      <c r="CE49" s="1021">
        <f>(VLOOKUP(YEAR($A49),'NY East Load Projections'!$A$4:$EO$14,((MONTH($A49)-1)*12)+VLOOKUP(CE$4,$DE$6:$DF$17,2)+1))*(VLOOKUP($A49,CURVES!$D$9:$T$261,7))*(INDEX(DailyScalarsTable,CE$5/100,MONTH($A49)))*$E49</f>
        <v>0</v>
      </c>
      <c r="CF49" s="1021">
        <f>(VLOOKUP(YEAR($A49),'NY East Load Projections'!$A$4:$EO$14,((MONTH($A49)-1)*12)+VLOOKUP(CF$4,$DE$6:$DF$17,2)+1))*(VLOOKUP($A49,CURVES!$D$9:$T$261,7))*(INDEX(DailyScalarsTable,CF$5/100,MONTH($A49)))*$E49</f>
        <v>0</v>
      </c>
      <c r="CG49" s="1021">
        <f>(VLOOKUP(YEAR($A49),'NY East Load Projections'!$A$4:$EO$14,((MONTH($A49)-1)*12)+VLOOKUP(CG$4,$DE$6:$DF$17,2)+1))*(VLOOKUP($A49,CURVES!$D$9:$T$261,7))*(INDEX(DailyScalarsTable,CG$5/100,MONTH($A49)))*$E49</f>
        <v>0</v>
      </c>
      <c r="CH49" s="1021">
        <f>(VLOOKUP(YEAR($A49),'NY East Load Projections'!$A$4:$EO$14,((MONTH($A49)-1)*12)+VLOOKUP(CH$4,$DE$6:$DF$17,2)+1))*(VLOOKUP($A49,CURVES!$D$9:$T$261,7))*(INDEX(DailyScalarsTable,CH$5/100,MONTH($A49)))*$E49</f>
        <v>0</v>
      </c>
      <c r="CI49" s="1021">
        <f>(VLOOKUP(YEAR($A49),'NY East Load Projections'!$A$4:$EO$14,((MONTH($A49)-1)*12)+VLOOKUP(CI$4,$DE$6:$DF$17,2)+1))*(VLOOKUP($A49,CURVES!$D$9:$T$261,7))*(INDEX(DailyScalarsTable,CI$5/100,MONTH($A49)))*$E49</f>
        <v>0</v>
      </c>
      <c r="CJ49" s="1021">
        <f>(VLOOKUP(YEAR($A49),'NY East Load Projections'!$A$4:$EO$14,((MONTH($A49)-1)*12)+VLOOKUP(CJ$4,$DE$6:$DF$17,2)+1))*(VLOOKUP($A49,CURVES!$D$9:$T$261,7))*(INDEX(DailyScalarsTable,CJ$5/100,MONTH($A49)))*$E49</f>
        <v>0</v>
      </c>
      <c r="CK49" s="1021">
        <f>(VLOOKUP(YEAR($A49),'NY East Load Projections'!$A$4:$EO$14,((MONTH($A49)-1)*12)+VLOOKUP(CK$4,$DE$6:$DF$17,2)+1))*(VLOOKUP($A49,CURVES!$D$9:$T$261,7))*(INDEX(DailyScalarsTable,CK$5/100,MONTH($A49)))*$E49</f>
        <v>0</v>
      </c>
      <c r="CL49" s="1021">
        <f>(VLOOKUP(YEAR($A49),'NY East Load Projections'!$A$4:$EO$14,((MONTH($A49)-1)*12)+VLOOKUP(CL$4,$DE$6:$DF$17,2)+1))*(VLOOKUP($A49,SatSunCurve,7))*(INDEX(DailyScalarsTable,CL$5/100,MONTH($A49)))*$E49</f>
        <v>0</v>
      </c>
      <c r="CM49" s="1021">
        <f>(VLOOKUP(YEAR($A49),'NY East Load Projections'!$A$4:$EO$14,((MONTH($A49)-1)*12)+VLOOKUP(CM$4,$DE$6:$DF$17,2)+1))*(VLOOKUP($A49,SatSunCurve,7))*(INDEX(DailyScalarsTable,CM$5/100,MONTH($A49)))*$E49</f>
        <v>0</v>
      </c>
      <c r="CN49" s="1021">
        <f>(VLOOKUP(YEAR($A49),'NY East Load Projections'!$A$4:$EO$14,((MONTH($A49)-1)*12)+VLOOKUP(CN$4,$DE$6:$DF$17,2)+1))*(VLOOKUP($A49,SatSunCurve,7))*(INDEX(DailyScalarsTable,CN$5/100,MONTH($A49)))*$E49</f>
        <v>0</v>
      </c>
      <c r="CO49" s="1021">
        <f>(VLOOKUP(YEAR($A49),'NY East Load Projections'!$A$4:$EO$14,((MONTH($A49)-1)*12)+VLOOKUP(CO$4,$DE$6:$DF$17,2)+1))*(VLOOKUP($A49,SatSunCurve,7))*(INDEX(DailyScalarsTable,CO$5/100,MONTH($A49)))*$E49</f>
        <v>0</v>
      </c>
      <c r="CP49" s="1021">
        <f>(VLOOKUP(YEAR($A49),'NY East Load Projections'!$A$4:$EO$14,((MONTH($A49)-1)*12)+VLOOKUP(CP$4,$DE$6:$DF$17,2)+1))*(VLOOKUP($A49,SatSunCurve,7))*(INDEX(DailyScalarsTable,CP$5/100,MONTH($A49)))*$E49</f>
        <v>0</v>
      </c>
      <c r="CQ49" s="1021">
        <f>(VLOOKUP(YEAR($A49),'NY East Load Projections'!$A$4:$EO$14,((MONTH($A49)-1)*12)+VLOOKUP(CQ$4,$DE$6:$DF$17,2)+1))*(VLOOKUP($A49,SatSunCurve,7))*(INDEX(DailyScalarsTable,CQ$5/100,MONTH($A49)))*$E49</f>
        <v>0</v>
      </c>
      <c r="CR49" s="1021">
        <f>(VLOOKUP(YEAR($A49),'NY East Load Projections'!$A$4:$EO$14,((MONTH($A49)-1)*12)+VLOOKUP(CR$4,$DE$6:$DF$17,2)+1))*(VLOOKUP($A49,SatSunCurve,7))*(INDEX(DailyScalarsTable,CR$5/100,MONTH($A49)))*$E49</f>
        <v>0</v>
      </c>
      <c r="CS49" s="1021">
        <f>(VLOOKUP(YEAR($A49),'NY East Load Projections'!$A$4:$EO$14,((MONTH($A49)-1)*12)+VLOOKUP(CS$4,$DE$6:$DF$17,2)+1))*(VLOOKUP($A49,SatSunCurve,7))*(INDEX(DailyScalarsTable,CS$5/100,MONTH($A49)))*$E49</f>
        <v>0</v>
      </c>
      <c r="CT49" s="1021">
        <f>(VLOOKUP(YEAR($A49),'NY East Load Projections'!$A$4:$EO$14,((MONTH($A49)-1)*12)+VLOOKUP(CT$4,$DE$6:$DF$17,2)+1))*(VLOOKUP($A49,SatSunCurve,7))*(INDEX(DailyScalarsTable,CT$5/100,MONTH($A49)))*$E49</f>
        <v>0</v>
      </c>
      <c r="CU49" s="1021">
        <f>(VLOOKUP(YEAR($A49),'NY East Load Projections'!$A$4:$EO$14,((MONTH($A49)-1)*12)+VLOOKUP(CU$4,$DE$6:$DF$17,2)+1))*(VLOOKUP($A49,SatSunCurve,7))*(INDEX(DailyScalarsTable,CU$5/100,MONTH($A49)))*$E49</f>
        <v>0</v>
      </c>
      <c r="CV49" s="1021">
        <f>(VLOOKUP(YEAR($A49),'NY East Load Projections'!$A$4:$EO$14,((MONTH($A49)-1)*12)+VLOOKUP(CV$4,$DE$6:$DF$17,2)+1))*(VLOOKUP($A49,SatSunCurve,7))*(INDEX(DailyScalarsTable,CV$5/100,MONTH($A49)))*$E49</f>
        <v>0</v>
      </c>
      <c r="CW49" s="1021">
        <f>(VLOOKUP(YEAR($A49),'NY East Load Projections'!$A$4:$EO$14,((MONTH($A49)-1)*12)+VLOOKUP(CW$4,$DE$6:$DF$17,2)+1))*(VLOOKUP($A49,SatSunCurve,7))*(INDEX(DailyScalarsTable,CW$5/100,MONTH($A49)))*$E49</f>
        <v>0</v>
      </c>
      <c r="CX49" s="1021">
        <f>(VLOOKUP(YEAR($A49),'NY East Load Projections'!$A$4:$EO$14,((MONTH($A49)-1)*12)+VLOOKUP(CX$4,$DE$6:$DF$17,2)+1))*(VLOOKUP($A49,SatSunCurve,7))*(INDEX(DailyScalarsTable,CX$5/100,MONTH($A49)))*$E49</f>
        <v>0</v>
      </c>
      <c r="CY49" s="1021">
        <f>(VLOOKUP(YEAR($A49),'NY East Load Projections'!$A$4:$EO$14,((MONTH($A49)-1)*12)+VLOOKUP(CY$4,$DE$6:$DF$17,2)+1))*(VLOOKUP($A49,SatSunCurve,7))*(INDEX(DailyScalarsTable,CY$5/100,MONTH($A49)))*$E49</f>
        <v>0</v>
      </c>
      <c r="CZ49" s="1021">
        <f>(VLOOKUP(YEAR($A49),'NY East Load Projections'!$A$4:$EO$14,((MONTH($A49)-1)*12)+VLOOKUP(CZ$4,$DE$6:$DF$17,2)+1))*(VLOOKUP($A49,SatSunCurve,7))*(INDEX(DailyScalarsTable,CZ$5/100,MONTH($A49)))*$E49</f>
        <v>0</v>
      </c>
      <c r="DA49" s="1021">
        <f>(VLOOKUP(YEAR($A49),'NY East Load Projections'!$A$4:$EO$14,((MONTH($A49)-1)*12)+VLOOKUP(DA$4,$DE$6:$DF$17,2)+1))*(VLOOKUP($A49,SatSunCurve,7))*(INDEX(DailyScalarsTable,DA$5/100,MONTH($A49)))*$E49</f>
        <v>0</v>
      </c>
      <c r="DB49" s="1021">
        <f>(VLOOKUP(YEAR($A49),'NY East Load Projections'!$A$4:$EO$14,((MONTH($A49)-1)*12)+VLOOKUP(DB$4,$DE$6:$DF$17,2)+1))*(VLOOKUP($A49,CURVES!$D$9:$T$261,7))*(INDEX(DailyScalarsTable,DB$5/100,MONTH($A49)))*$E49</f>
        <v>0</v>
      </c>
      <c r="DH49" s="1032">
        <f t="shared" si="0"/>
        <v>-3911359.308644583</v>
      </c>
      <c r="DI49">
        <f ca="1">CALC!J69</f>
        <v>0.72204605721980342</v>
      </c>
      <c r="DJ49" s="1029">
        <f t="shared" ca="1" si="1"/>
        <v>-2824181.5671767974</v>
      </c>
    </row>
    <row r="50" spans="1:114" x14ac:dyDescent="0.25">
      <c r="A50" s="244">
        <v>38231</v>
      </c>
      <c r="B50" s="13">
        <v>21</v>
      </c>
      <c r="C50" s="210">
        <v>4</v>
      </c>
      <c r="D50" s="210">
        <v>4</v>
      </c>
      <c r="E50" s="210">
        <v>1</v>
      </c>
      <c r="F50" s="13">
        <v>30</v>
      </c>
      <c r="H50" s="1021">
        <f>(VLOOKUP(YEAR($A50),'NY East Load Projections'!$A$4:$EO$14,((MONTH($A50)-1)*12)+VLOOKUP(H$4,$DE$6:$DF$17,2)+1))*(VLOOKUP($A50,CURVES!$D$9:$K$261,7))*(INDEX(DailyScalarsTable,H$5/100,MONTH($A50)))*$B50</f>
        <v>-41800.33505286865</v>
      </c>
      <c r="I50" s="1021">
        <f>(VLOOKUP(YEAR($A50),'NY East Load Projections'!$A$4:$EO$14,((MONTH($A50)-1)*12)+VLOOKUP(I$4,$DE$6:$DF$17,2)+1))*(VLOOKUP($A50,CURVES!$D$9:$K$261,7))*(INDEX(DailyScalarsTable,I$5/100,MONTH($A50)))*$B50</f>
        <v>-36672.176091594694</v>
      </c>
      <c r="J50" s="1021">
        <f>(VLOOKUP(YEAR($A50),'NY East Load Projections'!$A$4:$EO$14,((MONTH($A50)-1)*12)+VLOOKUP(J$4,$DE$6:$DF$17,2)+1))*(VLOOKUP($A50,CURVES!$D$9:$K$261,7))*(INDEX(DailyScalarsTable,J$5/100,MONTH($A50)))*$B50</f>
        <v>-34389.455228915824</v>
      </c>
      <c r="K50" s="1021">
        <f>(VLOOKUP(YEAR($A50),'NY East Load Projections'!$A$4:$EO$14,((MONTH($A50)-1)*12)+VLOOKUP(K$4,$DE$6:$DF$17,2)+1))*(VLOOKUP($A50,CURVES!$D$9:$K$261,7))*(INDEX(DailyScalarsTable,K$5/100,MONTH($A50)))*$B50</f>
        <v>-34899.085933141811</v>
      </c>
      <c r="L50" s="1021">
        <f>(VLOOKUP(YEAR($A50),'NY East Load Projections'!$A$4:$EO$14,((MONTH($A50)-1)*12)+VLOOKUP(L$4,$DE$6:$DF$17,2)+1))*(VLOOKUP($A50,CURVES!$D$9:$K$261,7))*(INDEX(DailyScalarsTable,L$5/100,MONTH($A50)))*$B50</f>
        <v>-41082.028719519323</v>
      </c>
      <c r="M50" s="1021">
        <f>(VLOOKUP(YEAR($A50),'NY East Load Projections'!$A$4:$EO$14,((MONTH($A50)-1)*12)+VLOOKUP(M$4,$DE$6:$DF$17,2)+1))*(VLOOKUP($A50,CURVES!$D$9:$K$261,7))*(INDEX(DailyScalarsTable,M$5/100,MONTH($A50)))*$B50</f>
        <v>-47541.248788691417</v>
      </c>
      <c r="N50" s="1021">
        <f>(VLOOKUP(YEAR($A50),'NY East Load Projections'!$A$4:$EO$14,((MONTH($A50)-1)*12)+VLOOKUP(N$4,$DE$6:$DF$17,2)+1))*(VLOOKUP($A50,CURVES!$D$9:$K$261,7))*(INDEX(DailyScalarsTable,N$5/100,MONTH($A50)))*$B50</f>
        <v>-64650.079007752996</v>
      </c>
      <c r="O50" s="1021">
        <f>(VLOOKUP(YEAR($A50),'NY East Load Projections'!$A$4:$EO$14,((MONTH($A50)-1)*12)+VLOOKUP(O$4,$DE$6:$DF$17,2)+1))*(VLOOKUP($A50,CURVES!$D$9:$K$261,3))*(INDEX(DailyScalarsTable,O$5/100,MONTH($A50)))*$B50</f>
        <v>-58155.411455570538</v>
      </c>
      <c r="P50" s="1021">
        <f>(VLOOKUP(YEAR($A50),'NY East Load Projections'!$A$4:$EO$14,((MONTH($A50)-1)*12)+VLOOKUP(P$4,$DE$6:$DF$17,2)+1))*(VLOOKUP($A50,CURVES!$D$9:$K$261,3))*(INDEX(DailyScalarsTable,P$5/100,MONTH($A50)))*$B50</f>
        <v>-63763.392220164416</v>
      </c>
      <c r="Q50" s="1021">
        <f>(VLOOKUP(YEAR($A50),'NY East Load Projections'!$A$4:$EO$14,((MONTH($A50)-1)*12)+VLOOKUP(Q$4,$DE$6:$DF$17,2)+1))*(VLOOKUP($A50,CURVES!$D$9:$K$261,3))*(INDEX(DailyScalarsTable,Q$5/100,MONTH($A50)))*$B50</f>
        <v>-79596.67719791102</v>
      </c>
      <c r="R50" s="1021">
        <f>(VLOOKUP(YEAR($A50),'NY East Load Projections'!$A$4:$EO$14,((MONTH($A50)-1)*12)+VLOOKUP(R$4,$DE$6:$DF$17,2)+1))*(VLOOKUP($A50,CURVES!$D$9:$K$261,3))*(INDEX(DailyScalarsTable,R$5/100,MONTH($A50)))*$B50</f>
        <v>-85005.56337043317</v>
      </c>
      <c r="S50" s="1021">
        <f>(VLOOKUP(YEAR($A50),'NY East Load Projections'!$A$4:$EO$14,((MONTH($A50)-1)*12)+VLOOKUP(S$4,$DE$6:$DF$17,2)+1))*(VLOOKUP($A50,CURVES!$D$9:$K$261,3))*(INDEX(DailyScalarsTable,S$5/100,MONTH($A50)))*$B50</f>
        <v>-90574.257543507105</v>
      </c>
      <c r="T50" s="1021">
        <f>(VLOOKUP(YEAR($A50),'NY East Load Projections'!$A$4:$EO$14,((MONTH($A50)-1)*12)+VLOOKUP(T$4,$DE$6:$DF$17,2)+1))*(VLOOKUP($A50,CURVES!$D$9:$K$261,3))*(INDEX(DailyScalarsTable,T$5/100,MONTH($A50)))*$B50</f>
        <v>-88163.455203646998</v>
      </c>
      <c r="U50" s="1021">
        <f>(VLOOKUP(YEAR($A50),'NY East Load Projections'!$A$4:$EO$14,((MONTH($A50)-1)*12)+VLOOKUP(U$4,$DE$6:$DF$17,2)+1))*(VLOOKUP($A50,CURVES!$D$9:$K$261,3))*(INDEX(DailyScalarsTable,U$5/100,MONTH($A50)))*$B50</f>
        <v>-95439.755869944827</v>
      </c>
      <c r="V50" s="1021">
        <f>(VLOOKUP(YEAR($A50),'NY East Load Projections'!$A$4:$EO$14,((MONTH($A50)-1)*12)+VLOOKUP(V$4,$DE$6:$DF$17,2)+1))*(VLOOKUP($A50,CURVES!$D$9:$K$261,3))*(INDEX(DailyScalarsTable,V$5/100,MONTH($A50)))*$B50</f>
        <v>-93933.877992919748</v>
      </c>
      <c r="W50" s="1021">
        <f>(VLOOKUP(YEAR($A50),'NY East Load Projections'!$A$4:$EO$14,((MONTH($A50)-1)*12)+VLOOKUP(W$4,$DE$6:$DF$17,2)+1))*(VLOOKUP($A50,CURVES!$D$9:$K$261,3))*(INDEX(DailyScalarsTable,W$5/100,MONTH($A50)))*$B50</f>
        <v>-90998.048854517838</v>
      </c>
      <c r="X50" s="1021">
        <f>(VLOOKUP(YEAR($A50),'NY East Load Projections'!$A$4:$EO$14,((MONTH($A50)-1)*12)+VLOOKUP(X$4,$DE$6:$DF$17,2)+1))*(VLOOKUP($A50,CURVES!$D$9:$K$261,3))*(INDEX(DailyScalarsTable,X$5/100,MONTH($A50)))*$B50</f>
        <v>-92199.549817429477</v>
      </c>
      <c r="Y50" s="1021">
        <f>(VLOOKUP(YEAR($A50),'NY East Load Projections'!$A$4:$EO$14,((MONTH($A50)-1)*12)+VLOOKUP(Y$4,$DE$6:$DF$17,2)+1))*(VLOOKUP($A50,CURVES!$D$9:$K$261,3))*(INDEX(DailyScalarsTable,Y$5/100,MONTH($A50)))*$B50</f>
        <v>-89937.714508803037</v>
      </c>
      <c r="Z50" s="1021">
        <f>(VLOOKUP(YEAR($A50),'NY East Load Projections'!$A$4:$EO$14,((MONTH($A50)-1)*12)+VLOOKUP(Z$4,$DE$6:$DF$17,2)+1))*(VLOOKUP($A50,CURVES!$D$9:$K$261,3))*(INDEX(DailyScalarsTable,Z$5/100,MONTH($A50)))*$B50</f>
        <v>-73664.404683054017</v>
      </c>
      <c r="AA50" s="1021">
        <f>(VLOOKUP(YEAR($A50),'NY East Load Projections'!$A$4:$EO$14,((MONTH($A50)-1)*12)+VLOOKUP(AA$4,$DE$6:$DF$17,2)+1))*(VLOOKUP($A50,CURVES!$D$9:$K$261,3))*(INDEX(DailyScalarsTable,AA$5/100,MONTH($A50)))*$B50</f>
        <v>-96270.853372957019</v>
      </c>
      <c r="AB50" s="1021">
        <f>(VLOOKUP(YEAR($A50),'NY East Load Projections'!$A$4:$EO$14,((MONTH($A50)-1)*12)+VLOOKUP(AB$4,$DE$6:$DF$17,2)+1))*(VLOOKUP($A50,CURVES!$D$9:$K$261,3))*(INDEX(DailyScalarsTable,AB$5/100,MONTH($A50)))*$B50</f>
        <v>-85571.31763088025</v>
      </c>
      <c r="AC50" s="1021">
        <f>(VLOOKUP(YEAR($A50),'NY East Load Projections'!$A$4:$EO$14,((MONTH($A50)-1)*12)+VLOOKUP(AC$4,$DE$6:$DF$17,2)+1))*(VLOOKUP($A50,CURVES!$D$9:$K$261,3))*(INDEX(DailyScalarsTable,AC$5/100,MONTH($A50)))*$B50</f>
        <v>-65128.231201525959</v>
      </c>
      <c r="AD50" s="1021">
        <f>(VLOOKUP(YEAR($A50),'NY East Load Projections'!$A$4:$EO$14,((MONTH($A50)-1)*12)+VLOOKUP(AD$4,$DE$6:$DF$17,2)+1))*(VLOOKUP($A50,CURVES!$D$9:$K$261,3))*(INDEX(DailyScalarsTable,AD$5/100,MONTH($A50)))*$B50</f>
        <v>-51611.447155833848</v>
      </c>
      <c r="AE50" s="1021">
        <f>(VLOOKUP(YEAR($A50),'NY East Load Projections'!$A$4:$EO$14,((MONTH($A50)-1)*12)+VLOOKUP(AE$4,$DE$6:$DF$17,2)+1))*(VLOOKUP($A50,CURVES!$D$9:$K$261,7))*(INDEX(DailyScalarsTable,AE$5/100,MONTH($A50)))*$B50</f>
        <v>-49246.197272646321</v>
      </c>
      <c r="AF50" s="1021"/>
      <c r="AG50" s="1021">
        <f>(VLOOKUP(YEAR($A50),'NY East Load Projections'!$A$4:$EO$14,((MONTH($A50)-1)*12)+VLOOKUP(AG$4,$DE$6:$DF$17,2)+1))*(VLOOKUP($A50,CURVES!$D$9:$T$261,7))*(INDEX(DailyScalarsTable,AG$5/100,MONTH($A50)))*$C50</f>
        <v>-8326.1991520528591</v>
      </c>
      <c r="AH50" s="1021">
        <f>(VLOOKUP(YEAR($A50),'NY East Load Projections'!$A$4:$EO$14,((MONTH($A50)-1)*12)+VLOOKUP(AH$4,$DE$6:$DF$17,2)+1))*(VLOOKUP($A50,CURVES!$D$9:$T$261,7))*(INDEX(DailyScalarsTable,AH$5/100,MONTH($A50)))*$C50</f>
        <v>-7304.7223447270953</v>
      </c>
      <c r="AI50" s="1021">
        <f>(VLOOKUP(YEAR($A50),'NY East Load Projections'!$A$4:$EO$14,((MONTH($A50)-1)*12)+VLOOKUP(AI$4,$DE$6:$DF$17,2)+1))*(VLOOKUP($A50,CURVES!$D$9:$T$261,7))*(INDEX(DailyScalarsTable,AI$5/100,MONTH($A50)))*$C50</f>
        <v>-6850.0276996441999</v>
      </c>
      <c r="AJ50" s="1021">
        <f>(VLOOKUP(YEAR($A50),'NY East Load Projections'!$A$4:$EO$14,((MONTH($A50)-1)*12)+VLOOKUP(AJ$4,$DE$6:$DF$17,2)+1))*(VLOOKUP($A50,CURVES!$D$9:$T$261,7))*(INDEX(DailyScalarsTable,AJ$5/100,MONTH($A50)))*$C50</f>
        <v>-6951.5409227324762</v>
      </c>
      <c r="AK50" s="1021">
        <f>(VLOOKUP(YEAR($A50),'NY East Load Projections'!$A$4:$EO$14,((MONTH($A50)-1)*12)+VLOOKUP(AK$4,$DE$6:$DF$17,2)+1))*(VLOOKUP($A50,CURVES!$D$9:$T$261,7))*(INDEX(DailyScalarsTable,AK$5/100,MONTH($A50)))*$C50</f>
        <v>-7560.3181534476998</v>
      </c>
      <c r="AL50" s="1021">
        <f>(VLOOKUP(YEAR($A50),'NY East Load Projections'!$A$4:$EO$14,((MONTH($A50)-1)*12)+VLOOKUP(AL$4,$DE$6:$DF$17,2)+1))*(VLOOKUP($A50,CURVES!$D$9:$T$261,7))*(INDEX(DailyScalarsTable,AL$5/100,MONTH($A50)))*$C50</f>
        <v>-8749.0072291377019</v>
      </c>
      <c r="AM50" s="1021">
        <f>(VLOOKUP(YEAR($A50),'NY East Load Projections'!$A$4:$EO$14,((MONTH($A50)-1)*12)+VLOOKUP(AM$4,$DE$6:$DF$17,2)+1))*(VLOOKUP($A50,CURVES!$D$9:$T$261,7))*(INDEX(DailyScalarsTable,AM$5/100,MONTH($A50)))*$C50</f>
        <v>-11897.542092703692</v>
      </c>
      <c r="AN50" s="1021">
        <f>(VLOOKUP(YEAR($A50),'NY East Load Projections'!$A$4:$EO$14,((MONTH($A50)-1)*12)+VLOOKUP(AN$4,$DE$6:$DF$17,2)+1))*(VLOOKUP($A50,SatSunCurve,3))*(INDEX(DailyScalarsTable,AN$5/100,MONTH($A50)))*$C50</f>
        <v>-7573.5778549404313</v>
      </c>
      <c r="AO50" s="1021">
        <f>(VLOOKUP(YEAR($A50),'NY East Load Projections'!$A$4:$EO$14,((MONTH($A50)-1)*12)+VLOOKUP(AO$4,$DE$6:$DF$17,2)+1))*(VLOOKUP($A50,SatSunCurve,3))*(INDEX(DailyScalarsTable,AO$5/100,MONTH($A50)))*$C50</f>
        <v>-8355.7742652273064</v>
      </c>
      <c r="AP50" s="1021">
        <f>(VLOOKUP(YEAR($A50),'NY East Load Projections'!$A$4:$EO$14,((MONTH($A50)-1)*12)+VLOOKUP(AP$4,$DE$6:$DF$17,2)+1))*(VLOOKUP($A50,SatSunCurve,3))*(INDEX(DailyScalarsTable,AP$5/100,MONTH($A50)))*$C50</f>
        <v>-10430.622395864042</v>
      </c>
      <c r="AQ50" s="1021">
        <f>(VLOOKUP(YEAR($A50),'NY East Load Projections'!$A$4:$EO$14,((MONTH($A50)-1)*12)+VLOOKUP(AQ$4,$DE$6:$DF$17,2)+1))*(VLOOKUP($A50,SatSunCurve,3))*(INDEX(DailyScalarsTable,AQ$5/100,MONTH($A50)))*$C50</f>
        <v>-11139.42144670268</v>
      </c>
      <c r="AR50" s="1021">
        <f>(VLOOKUP(YEAR($A50),'NY East Load Projections'!$A$4:$EO$14,((MONTH($A50)-1)*12)+VLOOKUP(AR$4,$DE$6:$DF$17,2)+1))*(VLOOKUP($A50,SatSunCurve,3))*(INDEX(DailyScalarsTable,AR$5/100,MONTH($A50)))*$C50</f>
        <v>-11869.162287679734</v>
      </c>
      <c r="AS50" s="1021">
        <f>(VLOOKUP(YEAR($A50),'NY East Load Projections'!$A$4:$EO$14,((MONTH($A50)-1)*12)+VLOOKUP(AS$4,$DE$6:$DF$17,2)+1))*(VLOOKUP($A50,SatSunCurve,3))*(INDEX(DailyScalarsTable,AS$5/100,MONTH($A50)))*$C50</f>
        <v>-11471.543656774371</v>
      </c>
      <c r="AT50" s="1021">
        <f>(VLOOKUP(YEAR($A50),'NY East Load Projections'!$A$4:$EO$14,((MONTH($A50)-1)*12)+VLOOKUP(AT$4,$DE$6:$DF$17,2)+1))*(VLOOKUP($A50,SatSunCurve,3))*(INDEX(DailyScalarsTable,AT$5/100,MONTH($A50)))*$C50</f>
        <v>-12418.312366785172</v>
      </c>
      <c r="AU50" s="1021">
        <f>(VLOOKUP(YEAR($A50),'NY East Load Projections'!$A$4:$EO$14,((MONTH($A50)-1)*12)+VLOOKUP(AU$4,$DE$6:$DF$17,2)+1))*(VLOOKUP($A50,SatSunCurve,3))*(INDEX(DailyScalarsTable,AU$5/100,MONTH($A50)))*$C50</f>
        <v>-12222.3724076699</v>
      </c>
      <c r="AV50" s="1021">
        <f>(VLOOKUP(YEAR($A50),'NY East Load Projections'!$A$4:$EO$14,((MONTH($A50)-1)*12)+VLOOKUP(AV$4,$DE$6:$DF$17,2)+1))*(VLOOKUP($A50,SatSunCurve,3))*(INDEX(DailyScalarsTable,AV$5/100,MONTH($A50)))*$C50</f>
        <v>-11840.371815109018</v>
      </c>
      <c r="AW50" s="1021">
        <f>(VLOOKUP(YEAR($A50),'NY East Load Projections'!$A$4:$EO$14,((MONTH($A50)-1)*12)+VLOOKUP(AW$4,$DE$6:$DF$17,2)+1))*(VLOOKUP($A50,SatSunCurve,3))*(INDEX(DailyScalarsTable,AW$5/100,MONTH($A50)))*$C50</f>
        <v>-11875.592193349497</v>
      </c>
      <c r="AX50" s="1021">
        <f>(VLOOKUP(YEAR($A50),'NY East Load Projections'!$A$4:$EO$14,((MONTH($A50)-1)*12)+VLOOKUP(AX$4,$DE$6:$DF$17,2)+1))*(VLOOKUP($A50,SatSunCurve,3))*(INDEX(DailyScalarsTable,AX$5/100,MONTH($A50)))*$C50</f>
        <v>-11584.260686992309</v>
      </c>
      <c r="AY50" s="1021">
        <f>(VLOOKUP(YEAR($A50),'NY East Load Projections'!$A$4:$EO$14,((MONTH($A50)-1)*12)+VLOOKUP(AY$4,$DE$6:$DF$17,2)+1))*(VLOOKUP($A50,SatSunCurve,3))*(INDEX(DailyScalarsTable,AY$5/100,MONTH($A50)))*$C50</f>
        <v>-9488.2071649382397</v>
      </c>
      <c r="AZ50" s="1021">
        <f>(VLOOKUP(YEAR($A50),'NY East Load Projections'!$A$4:$EO$14,((MONTH($A50)-1)*12)+VLOOKUP(AZ$4,$DE$6:$DF$17,2)+1))*(VLOOKUP($A50,SatSunCurve,3))*(INDEX(DailyScalarsTable,AZ$5/100,MONTH($A50)))*$C50</f>
        <v>-12399.98890479243</v>
      </c>
      <c r="BA50" s="1021">
        <f>(VLOOKUP(YEAR($A50),'NY East Load Projections'!$A$4:$EO$14,((MONTH($A50)-1)*12)+VLOOKUP(BA$4,$DE$6:$DF$17,2)+1))*(VLOOKUP($A50,SatSunCurve,3))*(INDEX(DailyScalarsTable,BA$5/100,MONTH($A50)))*$C50</f>
        <v>-12006.759509923419</v>
      </c>
      <c r="BB50" s="1021">
        <f>(VLOOKUP(YEAR($A50),'NY East Load Projections'!$A$4:$EO$14,((MONTH($A50)-1)*12)+VLOOKUP(BB$4,$DE$6:$DF$17,2)+1))*(VLOOKUP($A50,SatSunCurve,3))*(INDEX(DailyScalarsTable,BB$5/100,MONTH($A50)))*$C50</f>
        <v>-9138.3308215090401</v>
      </c>
      <c r="BC50" s="1021">
        <f>(VLOOKUP(YEAR($A50),'NY East Load Projections'!$A$4:$EO$14,((MONTH($A50)-1)*12)+VLOOKUP(BC$4,$DE$6:$DF$17,2)+1))*(VLOOKUP($A50,SatSunCurve,3))*(INDEX(DailyScalarsTable,BC$5/100,MONTH($A50)))*$C50</f>
        <v>-7241.7516887176089</v>
      </c>
      <c r="BD50" s="1021">
        <f>(VLOOKUP(YEAR($A50),'NY East Load Projections'!$A$4:$EO$14,((MONTH($A50)-1)*12)+VLOOKUP(BD$4,$DE$6:$DF$17,2)+1))*(VLOOKUP($A50,CURVES!$D$9:$T$261,7))*(INDEX(DailyScalarsTable,BD$5/100,MONTH($A50)))*$C50</f>
        <v>-9764.4440591525417</v>
      </c>
      <c r="BE50" s="1021"/>
      <c r="BF50" s="1021">
        <f>(VLOOKUP(YEAR($A50),'NY East Load Projections'!$A$4:$EO$14,((MONTH($A50)-1)*12)+VLOOKUP(BF$4,$DE$6:$DF$17,2)+1))*(VLOOKUP($A50,CURVES!$D$9:$T$261,7))*(INDEX(DailyScalarsTable,BF$5/100,MONTH($A50)))*$D50</f>
        <v>-8326.1991520528591</v>
      </c>
      <c r="BG50" s="1021">
        <f>(VLOOKUP(YEAR($A50),'NY East Load Projections'!$A$4:$EO$14,((MONTH($A50)-1)*12)+VLOOKUP(BG$4,$DE$6:$DF$17,2)+1))*(VLOOKUP($A50,CURVES!$D$9:$T$261,7))*(INDEX(DailyScalarsTable,BG$5/100,MONTH($A50)))*$D50</f>
        <v>-7304.7223447270953</v>
      </c>
      <c r="BH50" s="1021">
        <f>(VLOOKUP(YEAR($A50),'NY East Load Projections'!$A$4:$EO$14,((MONTH($A50)-1)*12)+VLOOKUP(BH$4,$DE$6:$DF$17,2)+1))*(VLOOKUP($A50,CURVES!$D$9:$T$261,7))*(INDEX(DailyScalarsTable,BH$5/100,MONTH($A50)))*$D50</f>
        <v>-6850.0276996441999</v>
      </c>
      <c r="BI50" s="1021">
        <f>(VLOOKUP(YEAR($A50),'NY East Load Projections'!$A$4:$EO$14,((MONTH($A50)-1)*12)+VLOOKUP(BI$4,$DE$6:$DF$17,2)+1))*(VLOOKUP($A50,CURVES!$D$9:$T$261,7))*(INDEX(DailyScalarsTable,BI$5/100,MONTH($A50)))*$D50</f>
        <v>-6951.5409227324762</v>
      </c>
      <c r="BJ50" s="1021">
        <f>(VLOOKUP(YEAR($A50),'NY East Load Projections'!$A$4:$EO$14,((MONTH($A50)-1)*12)+VLOOKUP(BJ$4,$DE$6:$DF$17,2)+1))*(VLOOKUP($A50,CURVES!$D$9:$T$261,7))*(INDEX(DailyScalarsTable,BJ$5/100,MONTH($A50)))*$D50</f>
        <v>-7560.3181534476998</v>
      </c>
      <c r="BK50" s="1021">
        <f>(VLOOKUP(YEAR($A50),'NY East Load Projections'!$A$4:$EO$14,((MONTH($A50)-1)*12)+VLOOKUP(BK$4,$DE$6:$DF$17,2)+1))*(VLOOKUP($A50,CURVES!$D$9:$T$261,7))*(INDEX(DailyScalarsTable,BK$5/100,MONTH($A50)))*$D50</f>
        <v>-8749.0072291377019</v>
      </c>
      <c r="BL50" s="1021">
        <f>(VLOOKUP(YEAR($A50),'NY East Load Projections'!$A$4:$EO$14,((MONTH($A50)-1)*12)+VLOOKUP(BL$4,$DE$6:$DF$17,2)+1))*(VLOOKUP($A50,CURVES!$D$9:$T$261,7))*(INDEX(DailyScalarsTable,BL$5/100,MONTH($A50)))*$D50</f>
        <v>-11897.542092703692</v>
      </c>
      <c r="BM50" s="1021">
        <f>(VLOOKUP(YEAR($A50),'NY East Load Projections'!$A$4:$EO$14,((MONTH($A50)-1)*12)+VLOOKUP(BM$4,$DE$6:$DF$17,2)+1))*(VLOOKUP($A50,SatSunCurve,7))*(INDEX(DailyScalarsTable,BM$5/100,MONTH($A50)))*$D50</f>
        <v>-7735.8339696500507</v>
      </c>
      <c r="BN50" s="1021">
        <f>(VLOOKUP(YEAR($A50),'NY East Load Projections'!$A$4:$EO$14,((MONTH($A50)-1)*12)+VLOOKUP(BN$4,$DE$6:$DF$17,2)+1))*(VLOOKUP($A50,SatSunCurve,7))*(INDEX(DailyScalarsTable,BN$5/100,MONTH($A50)))*$D50</f>
        <v>-8534.7881333929308</v>
      </c>
      <c r="BO50" s="1021">
        <f>(VLOOKUP(YEAR($A50),'NY East Load Projections'!$A$4:$EO$14,((MONTH($A50)-1)*12)+VLOOKUP(BO$4,$DE$6:$DF$17,2)+1))*(VLOOKUP($A50,SatSunCurve,7))*(INDEX(DailyScalarsTable,BO$5/100,MONTH($A50)))*$D50</f>
        <v>-10654.087750861618</v>
      </c>
      <c r="BP50" s="1021">
        <f>(VLOOKUP(YEAR($A50),'NY East Load Projections'!$A$4:$EO$14,((MONTH($A50)-1)*12)+VLOOKUP(BP$4,$DE$6:$DF$17,2)+1))*(VLOOKUP($A50,SatSunCurve,7))*(INDEX(DailyScalarsTable,BP$5/100,MONTH($A50)))*$D50</f>
        <v>-11378.072092232911</v>
      </c>
      <c r="BQ50" s="1021">
        <f>(VLOOKUP(YEAR($A50),'NY East Load Projections'!$A$4:$EO$14,((MONTH($A50)-1)*12)+VLOOKUP(BQ$4,$DE$6:$DF$17,2)+1))*(VLOOKUP($A50,SatSunCurve,7))*(INDEX(DailyScalarsTable,BQ$5/100,MONTH($A50)))*$D50</f>
        <v>-12123.446880053809</v>
      </c>
      <c r="BR50" s="1021">
        <f>(VLOOKUP(YEAR($A50),'NY East Load Projections'!$A$4:$EO$14,((MONTH($A50)-1)*12)+VLOOKUP(BR$4,$DE$6:$DF$17,2)+1))*(VLOOKUP($A50,SatSunCurve,7))*(INDEX(DailyScalarsTable,BR$5/100,MONTH($A50)))*$D50</f>
        <v>-11717.309679005964</v>
      </c>
      <c r="BS50" s="1021">
        <f>(VLOOKUP(YEAR($A50),'NY East Load Projections'!$A$4:$EO$14,((MONTH($A50)-1)*12)+VLOOKUP(BS$4,$DE$6:$DF$17,2)+1))*(VLOOKUP($A50,SatSunCurve,7))*(INDEX(DailyScalarsTable,BS$5/100,MONTH($A50)))*$D50</f>
        <v>-12684.361934701159</v>
      </c>
      <c r="BT50" s="1021">
        <f>(VLOOKUP(YEAR($A50),'NY East Load Projections'!$A$4:$EO$14,((MONTH($A50)-1)*12)+VLOOKUP(BT$4,$DE$6:$DF$17,2)+1))*(VLOOKUP($A50,SatSunCurve,7))*(INDEX(DailyScalarsTable,BT$5/100,MONTH($A50)))*$D50</f>
        <v>-12484.224163522509</v>
      </c>
      <c r="BU50" s="1021">
        <f>(VLOOKUP(YEAR($A50),'NY East Load Projections'!$A$4:$EO$14,((MONTH($A50)-1)*12)+VLOOKUP(BU$4,$DE$6:$DF$17,2)+1))*(VLOOKUP($A50,SatSunCurve,7))*(INDEX(DailyScalarsTable,BU$5/100,MONTH($A50)))*$D50</f>
        <v>-12094.039601224618</v>
      </c>
      <c r="BV50" s="1021">
        <f>(VLOOKUP(YEAR($A50),'NY East Load Projections'!$A$4:$EO$14,((MONTH($A50)-1)*12)+VLOOKUP(BV$4,$DE$6:$DF$17,2)+1))*(VLOOKUP($A50,SatSunCurve,7))*(INDEX(DailyScalarsTable,BV$5/100,MONTH($A50)))*$D50</f>
        <v>-12130.014539838196</v>
      </c>
      <c r="BW50" s="1021">
        <f>(VLOOKUP(YEAR($A50),'NY East Load Projections'!$A$4:$EO$14,((MONTH($A50)-1)*12)+VLOOKUP(BW$4,$DE$6:$DF$17,2)+1))*(VLOOKUP($A50,SatSunCurve,7))*(INDEX(DailyScalarsTable,BW$5/100,MONTH($A50)))*$D50</f>
        <v>-11832.441555645908</v>
      </c>
      <c r="BX50" s="1021">
        <f>(VLOOKUP(YEAR($A50),'NY East Load Projections'!$A$4:$EO$14,((MONTH($A50)-1)*12)+VLOOKUP(BX$4,$DE$6:$DF$17,2)+1))*(VLOOKUP($A50,SatSunCurve,7))*(INDEX(DailyScalarsTable,BX$5/100,MONTH($A50)))*$D50</f>
        <v>-9691.4822430624572</v>
      </c>
      <c r="BY50" s="1021">
        <f>(VLOOKUP(YEAR($A50),'NY East Load Projections'!$A$4:$EO$14,((MONTH($A50)-1)*12)+VLOOKUP(BY$4,$DE$6:$DF$17,2)+1))*(VLOOKUP($A50,SatSunCurve,7))*(INDEX(DailyScalarsTable,BY$5/100,MONTH($A50)))*$D50</f>
        <v>-12665.64591138431</v>
      </c>
      <c r="BZ50" s="1021">
        <f>(VLOOKUP(YEAR($A50),'NY East Load Projections'!$A$4:$EO$14,((MONTH($A50)-1)*12)+VLOOKUP(BZ$4,$DE$6:$DF$17,2)+1))*(VLOOKUP($A50,SatSunCurve,7))*(INDEX(DailyScalarsTable,BZ$5/100,MONTH($A50)))*$D50</f>
        <v>-12263.991981239749</v>
      </c>
      <c r="CA50" s="1021">
        <f>(VLOOKUP(YEAR($A50),'NY East Load Projections'!$A$4:$EO$14,((MONTH($A50)-1)*12)+VLOOKUP(CA$4,$DE$6:$DF$17,2)+1))*(VLOOKUP($A50,SatSunCurve,7))*(INDEX(DailyScalarsTable,CA$5/100,MONTH($A50)))*$D50</f>
        <v>-9334.1101588881356</v>
      </c>
      <c r="CB50" s="1021">
        <f>(VLOOKUP(YEAR($A50),'NY East Load Projections'!$A$4:$EO$14,((MONTH($A50)-1)*12)+VLOOKUP(CB$4,$DE$6:$DF$17,2)+1))*(VLOOKUP($A50,SatSunCurve,7))*(INDEX(DailyScalarsTable,CB$5/100,MONTH($A50)))*$D50</f>
        <v>-7396.8987691607927</v>
      </c>
      <c r="CC50" s="1021">
        <f>(VLOOKUP(YEAR($A50),'NY East Load Projections'!$A$4:$EO$14,((MONTH($A50)-1)*12)+VLOOKUP(CC$4,$DE$6:$DF$17,2)+1))*(VLOOKUP($A50,CURVES!$D$9:$T$261,7))*(INDEX(DailyScalarsTable,CC$5/100,MONTH($A50)))*$D50</f>
        <v>-9764.4440591525417</v>
      </c>
      <c r="CE50" s="1021">
        <f>(VLOOKUP(YEAR($A50),'NY East Load Projections'!$A$4:$EO$14,((MONTH($A50)-1)*12)+VLOOKUP(CE$4,$DE$6:$DF$17,2)+1))*(VLOOKUP($A50,CURVES!$D$9:$T$261,7))*(INDEX(DailyScalarsTable,CE$5/100,MONTH($A50)))*$E50</f>
        <v>-2081.5497880132148</v>
      </c>
      <c r="CF50" s="1021">
        <f>(VLOOKUP(YEAR($A50),'NY East Load Projections'!$A$4:$EO$14,((MONTH($A50)-1)*12)+VLOOKUP(CF$4,$DE$6:$DF$17,2)+1))*(VLOOKUP($A50,CURVES!$D$9:$T$261,7))*(INDEX(DailyScalarsTable,CF$5/100,MONTH($A50)))*$E50</f>
        <v>-1826.1805861817738</v>
      </c>
      <c r="CG50" s="1021">
        <f>(VLOOKUP(YEAR($A50),'NY East Load Projections'!$A$4:$EO$14,((MONTH($A50)-1)*12)+VLOOKUP(CG$4,$DE$6:$DF$17,2)+1))*(VLOOKUP($A50,CURVES!$D$9:$T$261,7))*(INDEX(DailyScalarsTable,CG$5/100,MONTH($A50)))*$E50</f>
        <v>-1712.50692491105</v>
      </c>
      <c r="CH50" s="1021">
        <f>(VLOOKUP(YEAR($A50),'NY East Load Projections'!$A$4:$EO$14,((MONTH($A50)-1)*12)+VLOOKUP(CH$4,$DE$6:$DF$17,2)+1))*(VLOOKUP($A50,CURVES!$D$9:$T$261,7))*(INDEX(DailyScalarsTable,CH$5/100,MONTH($A50)))*$E50</f>
        <v>-1737.8852306831191</v>
      </c>
      <c r="CI50" s="1021">
        <f>(VLOOKUP(YEAR($A50),'NY East Load Projections'!$A$4:$EO$14,((MONTH($A50)-1)*12)+VLOOKUP(CI$4,$DE$6:$DF$17,2)+1))*(VLOOKUP($A50,CURVES!$D$9:$T$261,7))*(INDEX(DailyScalarsTable,CI$5/100,MONTH($A50)))*$E50</f>
        <v>-1890.079538361925</v>
      </c>
      <c r="CJ50" s="1021">
        <f>(VLOOKUP(YEAR($A50),'NY East Load Projections'!$A$4:$EO$14,((MONTH($A50)-1)*12)+VLOOKUP(CJ$4,$DE$6:$DF$17,2)+1))*(VLOOKUP($A50,CURVES!$D$9:$T$261,7))*(INDEX(DailyScalarsTable,CJ$5/100,MONTH($A50)))*$E50</f>
        <v>-2187.2518072844255</v>
      </c>
      <c r="CK50" s="1021">
        <f>(VLOOKUP(YEAR($A50),'NY East Load Projections'!$A$4:$EO$14,((MONTH($A50)-1)*12)+VLOOKUP(CK$4,$DE$6:$DF$17,2)+1))*(VLOOKUP($A50,CURVES!$D$9:$T$261,7))*(INDEX(DailyScalarsTable,CK$5/100,MONTH($A50)))*$E50</f>
        <v>-2974.385523175923</v>
      </c>
      <c r="CL50" s="1021">
        <f>(VLOOKUP(YEAR($A50),'NY East Load Projections'!$A$4:$EO$14,((MONTH($A50)-1)*12)+VLOOKUP(CL$4,$DE$6:$DF$17,2)+1))*(VLOOKUP($A50,SatSunCurve,7))*(INDEX(DailyScalarsTable,CL$5/100,MONTH($A50)))*$E50</f>
        <v>-1933.9584924125127</v>
      </c>
      <c r="CM50" s="1021">
        <f>(VLOOKUP(YEAR($A50),'NY East Load Projections'!$A$4:$EO$14,((MONTH($A50)-1)*12)+VLOOKUP(CM$4,$DE$6:$DF$17,2)+1))*(VLOOKUP($A50,SatSunCurve,7))*(INDEX(DailyScalarsTable,CM$5/100,MONTH($A50)))*$E50</f>
        <v>-2133.6970333482327</v>
      </c>
      <c r="CN50" s="1021">
        <f>(VLOOKUP(YEAR($A50),'NY East Load Projections'!$A$4:$EO$14,((MONTH($A50)-1)*12)+VLOOKUP(CN$4,$DE$6:$DF$17,2)+1))*(VLOOKUP($A50,SatSunCurve,7))*(INDEX(DailyScalarsTable,CN$5/100,MONTH($A50)))*$E50</f>
        <v>-2663.5219377154044</v>
      </c>
      <c r="CO50" s="1021">
        <f>(VLOOKUP(YEAR($A50),'NY East Load Projections'!$A$4:$EO$14,((MONTH($A50)-1)*12)+VLOOKUP(CO$4,$DE$6:$DF$17,2)+1))*(VLOOKUP($A50,SatSunCurve,7))*(INDEX(DailyScalarsTable,CO$5/100,MONTH($A50)))*$E50</f>
        <v>-2844.5180230582278</v>
      </c>
      <c r="CP50" s="1021">
        <f>(VLOOKUP(YEAR($A50),'NY East Load Projections'!$A$4:$EO$14,((MONTH($A50)-1)*12)+VLOOKUP(CP$4,$DE$6:$DF$17,2)+1))*(VLOOKUP($A50,SatSunCurve,7))*(INDEX(DailyScalarsTable,CP$5/100,MONTH($A50)))*$E50</f>
        <v>-3030.8617200134522</v>
      </c>
      <c r="CQ50" s="1021">
        <f>(VLOOKUP(YEAR($A50),'NY East Load Projections'!$A$4:$EO$14,((MONTH($A50)-1)*12)+VLOOKUP(CQ$4,$DE$6:$DF$17,2)+1))*(VLOOKUP($A50,SatSunCurve,7))*(INDEX(DailyScalarsTable,CQ$5/100,MONTH($A50)))*$E50</f>
        <v>-2929.3274197514911</v>
      </c>
      <c r="CR50" s="1021">
        <f>(VLOOKUP(YEAR($A50),'NY East Load Projections'!$A$4:$EO$14,((MONTH($A50)-1)*12)+VLOOKUP(CR$4,$DE$6:$DF$17,2)+1))*(VLOOKUP($A50,SatSunCurve,7))*(INDEX(DailyScalarsTable,CR$5/100,MONTH($A50)))*$E50</f>
        <v>-3171.0904836752898</v>
      </c>
      <c r="CS50" s="1021">
        <f>(VLOOKUP(YEAR($A50),'NY East Load Projections'!$A$4:$EO$14,((MONTH($A50)-1)*12)+VLOOKUP(CS$4,$DE$6:$DF$17,2)+1))*(VLOOKUP($A50,SatSunCurve,7))*(INDEX(DailyScalarsTable,CS$5/100,MONTH($A50)))*$E50</f>
        <v>-3121.0560408806273</v>
      </c>
      <c r="CT50" s="1021">
        <f>(VLOOKUP(YEAR($A50),'NY East Load Projections'!$A$4:$EO$14,((MONTH($A50)-1)*12)+VLOOKUP(CT$4,$DE$6:$DF$17,2)+1))*(VLOOKUP($A50,SatSunCurve,7))*(INDEX(DailyScalarsTable,CT$5/100,MONTH($A50)))*$E50</f>
        <v>-3023.5099003061546</v>
      </c>
      <c r="CU50" s="1021">
        <f>(VLOOKUP(YEAR($A50),'NY East Load Projections'!$A$4:$EO$14,((MONTH($A50)-1)*12)+VLOOKUP(CU$4,$DE$6:$DF$17,2)+1))*(VLOOKUP($A50,SatSunCurve,7))*(INDEX(DailyScalarsTable,CU$5/100,MONTH($A50)))*$E50</f>
        <v>-3032.5036349595489</v>
      </c>
      <c r="CV50" s="1021">
        <f>(VLOOKUP(YEAR($A50),'NY East Load Projections'!$A$4:$EO$14,((MONTH($A50)-1)*12)+VLOOKUP(CV$4,$DE$6:$DF$17,2)+1))*(VLOOKUP($A50,SatSunCurve,7))*(INDEX(DailyScalarsTable,CV$5/100,MONTH($A50)))*$E50</f>
        <v>-2958.110388911477</v>
      </c>
      <c r="CW50" s="1021">
        <f>(VLOOKUP(YEAR($A50),'NY East Load Projections'!$A$4:$EO$14,((MONTH($A50)-1)*12)+VLOOKUP(CW$4,$DE$6:$DF$17,2)+1))*(VLOOKUP($A50,SatSunCurve,7))*(INDEX(DailyScalarsTable,CW$5/100,MONTH($A50)))*$E50</f>
        <v>-2422.8705607656143</v>
      </c>
      <c r="CX50" s="1021">
        <f>(VLOOKUP(YEAR($A50),'NY East Load Projections'!$A$4:$EO$14,((MONTH($A50)-1)*12)+VLOOKUP(CX$4,$DE$6:$DF$17,2)+1))*(VLOOKUP($A50,SatSunCurve,7))*(INDEX(DailyScalarsTable,CX$5/100,MONTH($A50)))*$E50</f>
        <v>-3166.4114778460776</v>
      </c>
      <c r="CY50" s="1021">
        <f>(VLOOKUP(YEAR($A50),'NY East Load Projections'!$A$4:$EO$14,((MONTH($A50)-1)*12)+VLOOKUP(CY$4,$DE$6:$DF$17,2)+1))*(VLOOKUP($A50,SatSunCurve,7))*(INDEX(DailyScalarsTable,CY$5/100,MONTH($A50)))*$E50</f>
        <v>-3065.9979953099373</v>
      </c>
      <c r="CZ50" s="1021">
        <f>(VLOOKUP(YEAR($A50),'NY East Load Projections'!$A$4:$EO$14,((MONTH($A50)-1)*12)+VLOOKUP(CZ$4,$DE$6:$DF$17,2)+1))*(VLOOKUP($A50,SatSunCurve,7))*(INDEX(DailyScalarsTable,CZ$5/100,MONTH($A50)))*$E50</f>
        <v>-2333.5275397220339</v>
      </c>
      <c r="DA50" s="1021">
        <f>(VLOOKUP(YEAR($A50),'NY East Load Projections'!$A$4:$EO$14,((MONTH($A50)-1)*12)+VLOOKUP(DA$4,$DE$6:$DF$17,2)+1))*(VLOOKUP($A50,SatSunCurve,7))*(INDEX(DailyScalarsTable,DA$5/100,MONTH($A50)))*$E50</f>
        <v>-1849.2246922901982</v>
      </c>
      <c r="DB50" s="1021">
        <f>(VLOOKUP(YEAR($A50),'NY East Load Projections'!$A$4:$EO$14,((MONTH($A50)-1)*12)+VLOOKUP(DB$4,$DE$6:$DF$17,2)+1))*(VLOOKUP($A50,CURVES!$D$9:$T$261,7))*(INDEX(DailyScalarsTable,DB$5/100,MONTH($A50)))*$E50</f>
        <v>-2441.1110147881354</v>
      </c>
      <c r="DH50" s="1032">
        <f t="shared" si="0"/>
        <v>-2191410.1040666341</v>
      </c>
      <c r="DI50">
        <f ca="1">CALC!J70</f>
        <v>0.71769710979032808</v>
      </c>
      <c r="DJ50" s="1029">
        <f t="shared" ca="1" si="1"/>
        <v>-1572768.6980539453</v>
      </c>
    </row>
    <row r="51" spans="1:114" x14ac:dyDescent="0.25">
      <c r="A51" s="244">
        <v>38261</v>
      </c>
      <c r="B51" s="13">
        <v>21</v>
      </c>
      <c r="C51" s="210">
        <v>5</v>
      </c>
      <c r="D51" s="210">
        <v>5</v>
      </c>
      <c r="E51" s="210">
        <v>0</v>
      </c>
      <c r="F51" s="13">
        <v>31</v>
      </c>
      <c r="H51" s="1021">
        <f>(VLOOKUP(YEAR($A51),'NY East Load Projections'!$A$4:$EO$14,((MONTH($A51)-1)*12)+VLOOKUP(H$4,$DE$6:$DF$17,2)+1))*(VLOOKUP($A51,CURVES!$D$9:$K$261,7))*(INDEX(DailyScalarsTable,H$5/100,MONTH($A51)))*$B51</f>
        <v>-36569.984459999308</v>
      </c>
      <c r="I51" s="1021">
        <f>(VLOOKUP(YEAR($A51),'NY East Load Projections'!$A$4:$EO$14,((MONTH($A51)-1)*12)+VLOOKUP(I$4,$DE$6:$DF$17,2)+1))*(VLOOKUP($A51,CURVES!$D$9:$K$261,7))*(INDEX(DailyScalarsTable,I$5/100,MONTH($A51)))*$B51</f>
        <v>-34709.710368985128</v>
      </c>
      <c r="J51" s="1021">
        <f>(VLOOKUP(YEAR($A51),'NY East Load Projections'!$A$4:$EO$14,((MONTH($A51)-1)*12)+VLOOKUP(J$4,$DE$6:$DF$17,2)+1))*(VLOOKUP($A51,CURVES!$D$9:$K$261,7))*(INDEX(DailyScalarsTable,J$5/100,MONTH($A51)))*$B51</f>
        <v>-33342.428169585473</v>
      </c>
      <c r="K51" s="1021">
        <f>(VLOOKUP(YEAR($A51),'NY East Load Projections'!$A$4:$EO$14,((MONTH($A51)-1)*12)+VLOOKUP(K$4,$DE$6:$DF$17,2)+1))*(VLOOKUP($A51,CURVES!$D$9:$K$261,7))*(INDEX(DailyScalarsTable,K$5/100,MONTH($A51)))*$B51</f>
        <v>-33361.685665351666</v>
      </c>
      <c r="L51" s="1021">
        <f>(VLOOKUP(YEAR($A51),'NY East Load Projections'!$A$4:$EO$14,((MONTH($A51)-1)*12)+VLOOKUP(L$4,$DE$6:$DF$17,2)+1))*(VLOOKUP($A51,CURVES!$D$9:$K$261,7))*(INDEX(DailyScalarsTable,L$5/100,MONTH($A51)))*$B51</f>
        <v>-39478.68119214521</v>
      </c>
      <c r="M51" s="1021">
        <f>(VLOOKUP(YEAR($A51),'NY East Load Projections'!$A$4:$EO$14,((MONTH($A51)-1)*12)+VLOOKUP(M$4,$DE$6:$DF$17,2)+1))*(VLOOKUP($A51,CURVES!$D$9:$K$261,7))*(INDEX(DailyScalarsTable,M$5/100,MONTH($A51)))*$B51</f>
        <v>-45354.67702203925</v>
      </c>
      <c r="N51" s="1021">
        <f>(VLOOKUP(YEAR($A51),'NY East Load Projections'!$A$4:$EO$14,((MONTH($A51)-1)*12)+VLOOKUP(N$4,$DE$6:$DF$17,2)+1))*(VLOOKUP($A51,CURVES!$D$9:$K$261,7))*(INDEX(DailyScalarsTable,N$5/100,MONTH($A51)))*$B51</f>
        <v>-58632.126627514088</v>
      </c>
      <c r="O51" s="1021">
        <f>(VLOOKUP(YEAR($A51),'NY East Load Projections'!$A$4:$EO$14,((MONTH($A51)-1)*12)+VLOOKUP(O$4,$DE$6:$DF$17,2)+1))*(VLOOKUP($A51,CURVES!$D$9:$K$261,3))*(INDEX(DailyScalarsTable,O$5/100,MONTH($A51)))*$B51</f>
        <v>-69975.863350298576</v>
      </c>
      <c r="P51" s="1021">
        <f>(VLOOKUP(YEAR($A51),'NY East Load Projections'!$A$4:$EO$14,((MONTH($A51)-1)*12)+VLOOKUP(P$4,$DE$6:$DF$17,2)+1))*(VLOOKUP($A51,CURVES!$D$9:$K$261,3))*(INDEX(DailyScalarsTable,P$5/100,MONTH($A51)))*$B51</f>
        <v>-83432.673178292025</v>
      </c>
      <c r="Q51" s="1021">
        <f>(VLOOKUP(YEAR($A51),'NY East Load Projections'!$A$4:$EO$14,((MONTH($A51)-1)*12)+VLOOKUP(Q$4,$DE$6:$DF$17,2)+1))*(VLOOKUP($A51,CURVES!$D$9:$K$261,3))*(INDEX(DailyScalarsTable,Q$5/100,MONTH($A51)))*$B51</f>
        <v>-83174.846623352918</v>
      </c>
      <c r="R51" s="1021">
        <f>(VLOOKUP(YEAR($A51),'NY East Load Projections'!$A$4:$EO$14,((MONTH($A51)-1)*12)+VLOOKUP(R$4,$DE$6:$DF$17,2)+1))*(VLOOKUP($A51,CURVES!$D$9:$K$261,3))*(INDEX(DailyScalarsTable,R$5/100,MONTH($A51)))*$B51</f>
        <v>-82703.392351464281</v>
      </c>
      <c r="S51" s="1021">
        <f>(VLOOKUP(YEAR($A51),'NY East Load Projections'!$A$4:$EO$14,((MONTH($A51)-1)*12)+VLOOKUP(S$4,$DE$6:$DF$17,2)+1))*(VLOOKUP($A51,CURVES!$D$9:$K$261,3))*(INDEX(DailyScalarsTable,S$5/100,MONTH($A51)))*$B51</f>
        <v>-69789.965185514622</v>
      </c>
      <c r="T51" s="1021">
        <f>(VLOOKUP(YEAR($A51),'NY East Load Projections'!$A$4:$EO$14,((MONTH($A51)-1)*12)+VLOOKUP(T$4,$DE$6:$DF$17,2)+1))*(VLOOKUP($A51,CURVES!$D$9:$K$261,3))*(INDEX(DailyScalarsTable,T$5/100,MONTH($A51)))*$B51</f>
        <v>-67598.741921771856</v>
      </c>
      <c r="U51" s="1021">
        <f>(VLOOKUP(YEAR($A51),'NY East Load Projections'!$A$4:$EO$14,((MONTH($A51)-1)*12)+VLOOKUP(U$4,$DE$6:$DF$17,2)+1))*(VLOOKUP($A51,CURVES!$D$9:$K$261,3))*(INDEX(DailyScalarsTable,U$5/100,MONTH($A51)))*$B51</f>
        <v>-65722.476132955388</v>
      </c>
      <c r="V51" s="1021">
        <f>(VLOOKUP(YEAR($A51),'NY East Load Projections'!$A$4:$EO$14,((MONTH($A51)-1)*12)+VLOOKUP(V$4,$DE$6:$DF$17,2)+1))*(VLOOKUP($A51,CURVES!$D$9:$K$261,3))*(INDEX(DailyScalarsTable,V$5/100,MONTH($A51)))*$B51</f>
        <v>-64195.636361489371</v>
      </c>
      <c r="W51" s="1021">
        <f>(VLOOKUP(YEAR($A51),'NY East Load Projections'!$A$4:$EO$14,((MONTH($A51)-1)*12)+VLOOKUP(W$4,$DE$6:$DF$17,2)+1))*(VLOOKUP($A51,CURVES!$D$9:$K$261,3))*(INDEX(DailyScalarsTable,W$5/100,MONTH($A51)))*$B51</f>
        <v>-63755.055730917091</v>
      </c>
      <c r="X51" s="1021">
        <f>(VLOOKUP(YEAR($A51),'NY East Load Projections'!$A$4:$EO$14,((MONTH($A51)-1)*12)+VLOOKUP(X$4,$DE$6:$DF$17,2)+1))*(VLOOKUP($A51,CURVES!$D$9:$K$261,3))*(INDEX(DailyScalarsTable,X$5/100,MONTH($A51)))*$B51</f>
        <v>-63320.740644994657</v>
      </c>
      <c r="Y51" s="1021">
        <f>(VLOOKUP(YEAR($A51),'NY East Load Projections'!$A$4:$EO$14,((MONTH($A51)-1)*12)+VLOOKUP(Y$4,$DE$6:$DF$17,2)+1))*(VLOOKUP($A51,CURVES!$D$9:$K$261,3))*(INDEX(DailyScalarsTable,Y$5/100,MONTH($A51)))*$B51</f>
        <v>-85421.78602524515</v>
      </c>
      <c r="Z51" s="1021">
        <f>(VLOOKUP(YEAR($A51),'NY East Load Projections'!$A$4:$EO$14,((MONTH($A51)-1)*12)+VLOOKUP(Z$4,$DE$6:$DF$17,2)+1))*(VLOOKUP($A51,CURVES!$D$9:$K$261,3))*(INDEX(DailyScalarsTable,Z$5/100,MONTH($A51)))*$B51</f>
        <v>-86090.867592312337</v>
      </c>
      <c r="AA51" s="1021">
        <f>(VLOOKUP(YEAR($A51),'NY East Load Projections'!$A$4:$EO$14,((MONTH($A51)-1)*12)+VLOOKUP(AA$4,$DE$6:$DF$17,2)+1))*(VLOOKUP($A51,CURVES!$D$9:$K$261,3))*(INDEX(DailyScalarsTable,AA$5/100,MONTH($A51)))*$B51</f>
        <v>-82332.622194318043</v>
      </c>
      <c r="AB51" s="1021">
        <f>(VLOOKUP(YEAR($A51),'NY East Load Projections'!$A$4:$EO$14,((MONTH($A51)-1)*12)+VLOOKUP(AB$4,$DE$6:$DF$17,2)+1))*(VLOOKUP($A51,CURVES!$D$9:$K$261,3))*(INDEX(DailyScalarsTable,AB$5/100,MONTH($A51)))*$B51</f>
        <v>-66959.881670985211</v>
      </c>
      <c r="AC51" s="1021">
        <f>(VLOOKUP(YEAR($A51),'NY East Load Projections'!$A$4:$EO$14,((MONTH($A51)-1)*12)+VLOOKUP(AC$4,$DE$6:$DF$17,2)+1))*(VLOOKUP($A51,CURVES!$D$9:$K$261,3))*(INDEX(DailyScalarsTable,AC$5/100,MONTH($A51)))*$B51</f>
        <v>-55546.194291011874</v>
      </c>
      <c r="AD51" s="1021">
        <f>(VLOOKUP(YEAR($A51),'NY East Load Projections'!$A$4:$EO$14,((MONTH($A51)-1)*12)+VLOOKUP(AD$4,$DE$6:$DF$17,2)+1))*(VLOOKUP($A51,CURVES!$D$9:$K$261,3))*(INDEX(DailyScalarsTable,AD$5/100,MONTH($A51)))*$B51</f>
        <v>-47358.658942150636</v>
      </c>
      <c r="AE51" s="1021">
        <f>(VLOOKUP(YEAR($A51),'NY East Load Projections'!$A$4:$EO$14,((MONTH($A51)-1)*12)+VLOOKUP(AE$4,$DE$6:$DF$17,2)+1))*(VLOOKUP($A51,CURVES!$D$9:$K$261,7))*(INDEX(DailyScalarsTable,AE$5/100,MONTH($A51)))*$B51</f>
        <v>-42536.583320861289</v>
      </c>
      <c r="AF51" s="1021"/>
      <c r="AG51" s="1021">
        <f>(VLOOKUP(YEAR($A51),'NY East Load Projections'!$A$4:$EO$14,((MONTH($A51)-1)*12)+VLOOKUP(AG$4,$DE$6:$DF$17,2)+1))*(VLOOKUP($A51,CURVES!$D$9:$T$261,7))*(INDEX(DailyScalarsTable,AG$5/100,MONTH($A51)))*$C51</f>
        <v>-9090.7054248456079</v>
      </c>
      <c r="AH51" s="1021">
        <f>(VLOOKUP(YEAR($A51),'NY East Load Projections'!$A$4:$EO$14,((MONTH($A51)-1)*12)+VLOOKUP(AH$4,$DE$6:$DF$17,2)+1))*(VLOOKUP($A51,CURVES!$D$9:$T$261,7))*(INDEX(DailyScalarsTable,AH$5/100,MONTH($A51)))*$C51</f>
        <v>-8628.2714364095445</v>
      </c>
      <c r="AI51" s="1021">
        <f>(VLOOKUP(YEAR($A51),'NY East Load Projections'!$A$4:$EO$14,((MONTH($A51)-1)*12)+VLOOKUP(AI$4,$DE$6:$DF$17,2)+1))*(VLOOKUP($A51,CURVES!$D$9:$T$261,7))*(INDEX(DailyScalarsTable,AI$5/100,MONTH($A51)))*$C51</f>
        <v>-8288.3872420103671</v>
      </c>
      <c r="AJ51" s="1021">
        <f>(VLOOKUP(YEAR($A51),'NY East Load Projections'!$A$4:$EO$14,((MONTH($A51)-1)*12)+VLOOKUP(AJ$4,$DE$6:$DF$17,2)+1))*(VLOOKUP($A51,CURVES!$D$9:$T$261,7))*(INDEX(DailyScalarsTable,AJ$5/100,MONTH($A51)))*$C51</f>
        <v>-8293.1743433399315</v>
      </c>
      <c r="AK51" s="1021">
        <f>(VLOOKUP(YEAR($A51),'NY East Load Projections'!$A$4:$EO$14,((MONTH($A51)-1)*12)+VLOOKUP(AK$4,$DE$6:$DF$17,2)+1))*(VLOOKUP($A51,CURVES!$D$9:$T$261,7))*(INDEX(DailyScalarsTable,AK$5/100,MONTH($A51)))*$C51</f>
        <v>-8994.4664215929097</v>
      </c>
      <c r="AL51" s="1021">
        <f>(VLOOKUP(YEAR($A51),'NY East Load Projections'!$A$4:$EO$14,((MONTH($A51)-1)*12)+VLOOKUP(AL$4,$DE$6:$DF$17,2)+1))*(VLOOKUP($A51,CURVES!$D$9:$T$261,7))*(INDEX(DailyScalarsTable,AL$5/100,MONTH($A51)))*$C51</f>
        <v>-10333.200279701558</v>
      </c>
      <c r="AM51" s="1021">
        <f>(VLOOKUP(YEAR($A51),'NY East Load Projections'!$A$4:$EO$14,((MONTH($A51)-1)*12)+VLOOKUP(AM$4,$DE$6:$DF$17,2)+1))*(VLOOKUP($A51,CURVES!$D$9:$T$261,7))*(INDEX(DailyScalarsTable,AM$5/100,MONTH($A51)))*$C51</f>
        <v>-13358.214566769393</v>
      </c>
      <c r="AN51" s="1021">
        <f>(VLOOKUP(YEAR($A51),'NY East Load Projections'!$A$4:$EO$14,((MONTH($A51)-1)*12)+VLOOKUP(AN$4,$DE$6:$DF$17,2)+1))*(VLOOKUP($A51,SatSunCurve,3))*(INDEX(DailyScalarsTable,AN$5/100,MONTH($A51)))*$C51</f>
        <v>-12167.036105663621</v>
      </c>
      <c r="AO51" s="1021">
        <f>(VLOOKUP(YEAR($A51),'NY East Load Projections'!$A$4:$EO$14,((MONTH($A51)-1)*12)+VLOOKUP(AO$4,$DE$6:$DF$17,2)+1))*(VLOOKUP($A51,SatSunCurve,3))*(INDEX(DailyScalarsTable,AO$5/100,MONTH($A51)))*$C51</f>
        <v>-14382.424216981928</v>
      </c>
      <c r="AP51" s="1021">
        <f>(VLOOKUP(YEAR($A51),'NY East Load Projections'!$A$4:$EO$14,((MONTH($A51)-1)*12)+VLOOKUP(AP$4,$DE$6:$DF$17,2)+1))*(VLOOKUP($A51,SatSunCurve,3))*(INDEX(DailyScalarsTable,AP$5/100,MONTH($A51)))*$C51</f>
        <v>-14337.979148326234</v>
      </c>
      <c r="AQ51" s="1021">
        <f>(VLOOKUP(YEAR($A51),'NY East Load Projections'!$A$4:$EO$14,((MONTH($A51)-1)*12)+VLOOKUP(AQ$4,$DE$6:$DF$17,2)+1))*(VLOOKUP($A51,SatSunCurve,3))*(INDEX(DailyScalarsTable,AQ$5/100,MONTH($A51)))*$C51</f>
        <v>-14256.708165641541</v>
      </c>
      <c r="AR51" s="1021">
        <f>(VLOOKUP(YEAR($A51),'NY East Load Projections'!$A$4:$EO$14,((MONTH($A51)-1)*12)+VLOOKUP(AR$4,$DE$6:$DF$17,2)+1))*(VLOOKUP($A51,SatSunCurve,3))*(INDEX(DailyScalarsTable,AR$5/100,MONTH($A51)))*$C51</f>
        <v>-12030.645155543598</v>
      </c>
      <c r="AS51" s="1021">
        <f>(VLOOKUP(YEAR($A51),'NY East Load Projections'!$A$4:$EO$14,((MONTH($A51)-1)*12)+VLOOKUP(AS$4,$DE$6:$DF$17,2)+1))*(VLOOKUP($A51,SatSunCurve,3))*(INDEX(DailyScalarsTable,AS$5/100,MONTH($A51)))*$C51</f>
        <v>-11581.21415378942</v>
      </c>
      <c r="AT51" s="1021">
        <f>(VLOOKUP(YEAR($A51),'NY East Load Projections'!$A$4:$EO$14,((MONTH($A51)-1)*12)+VLOOKUP(AT$4,$DE$6:$DF$17,2)+1))*(VLOOKUP($A51,SatSunCurve,3))*(INDEX(DailyScalarsTable,AT$5/100,MONTH($A51)))*$C51</f>
        <v>-11259.766811842459</v>
      </c>
      <c r="AU51" s="1021">
        <f>(VLOOKUP(YEAR($A51),'NY East Load Projections'!$A$4:$EO$14,((MONTH($A51)-1)*12)+VLOOKUP(AU$4,$DE$6:$DF$17,2)+1))*(VLOOKUP($A51,SatSunCurve,3))*(INDEX(DailyScalarsTable,AU$5/100,MONTH($A51)))*$C51</f>
        <v>-10998.184157059713</v>
      </c>
      <c r="AV51" s="1021">
        <f>(VLOOKUP(YEAR($A51),'NY East Load Projections'!$A$4:$EO$14,((MONTH($A51)-1)*12)+VLOOKUP(AV$4,$DE$6:$DF$17,2)+1))*(VLOOKUP($A51,SatSunCurve,3))*(INDEX(DailyScalarsTable,AV$5/100,MONTH($A51)))*$C51</f>
        <v>-10922.7025949831</v>
      </c>
      <c r="AW51" s="1021">
        <f>(VLOOKUP(YEAR($A51),'NY East Load Projections'!$A$4:$EO$14,((MONTH($A51)-1)*12)+VLOOKUP(AW$4,$DE$6:$DF$17,2)+1))*(VLOOKUP($A51,SatSunCurve,3))*(INDEX(DailyScalarsTable,AW$5/100,MONTH($A51)))*$C51</f>
        <v>-10801.830380789728</v>
      </c>
      <c r="AX51" s="1021">
        <f>(VLOOKUP(YEAR($A51),'NY East Load Projections'!$A$4:$EO$14,((MONTH($A51)-1)*12)+VLOOKUP(AX$4,$DE$6:$DF$17,2)+1))*(VLOOKUP($A51,SatSunCurve,3))*(INDEX(DailyScalarsTable,AX$5/100,MONTH($A51)))*$C51</f>
        <v>-14572.028597106289</v>
      </c>
      <c r="AY51" s="1021">
        <f>(VLOOKUP(YEAR($A51),'NY East Load Projections'!$A$4:$EO$14,((MONTH($A51)-1)*12)+VLOOKUP(AY$4,$DE$6:$DF$17,2)+1))*(VLOOKUP($A51,SatSunCurve,3))*(INDEX(DailyScalarsTable,AY$5/100,MONTH($A51)))*$C51</f>
        <v>-14686.166642946471</v>
      </c>
      <c r="AZ51" s="1021">
        <f>(VLOOKUP(YEAR($A51),'NY East Load Projections'!$A$4:$EO$14,((MONTH($A51)-1)*12)+VLOOKUP(AZ$4,$DE$6:$DF$17,2)+1))*(VLOOKUP($A51,SatSunCurve,3))*(INDEX(DailyScalarsTable,AZ$5/100,MONTH($A51)))*$C51</f>
        <v>-14045.050810993123</v>
      </c>
      <c r="BA51" s="1021">
        <f>(VLOOKUP(YEAR($A51),'NY East Load Projections'!$A$4:$EO$14,((MONTH($A51)-1)*12)+VLOOKUP(BA$4,$DE$6:$DF$17,2)+1))*(VLOOKUP($A51,SatSunCurve,3))*(INDEX(DailyScalarsTable,BA$5/100,MONTH($A51)))*$C51</f>
        <v>-12368.657675085145</v>
      </c>
      <c r="BB51" s="1021">
        <f>(VLOOKUP(YEAR($A51),'NY East Load Projections'!$A$4:$EO$14,((MONTH($A51)-1)*12)+VLOOKUP(BB$4,$DE$6:$DF$17,2)+1))*(VLOOKUP($A51,SatSunCurve,3))*(INDEX(DailyScalarsTable,BB$5/100,MONTH($A51)))*$C51</f>
        <v>-10260.350603889981</v>
      </c>
      <c r="BC51" s="1021">
        <f>(VLOOKUP(YEAR($A51),'NY East Load Projections'!$A$4:$EO$14,((MONTH($A51)-1)*12)+VLOOKUP(BC$4,$DE$6:$DF$17,2)+1))*(VLOOKUP($A51,SatSunCurve,3))*(INDEX(DailyScalarsTable,BC$5/100,MONTH($A51)))*$C51</f>
        <v>-8747.9700648932285</v>
      </c>
      <c r="BD51" s="1021">
        <f>(VLOOKUP(YEAR($A51),'NY East Load Projections'!$A$4:$EO$14,((MONTH($A51)-1)*12)+VLOOKUP(BD$4,$DE$6:$DF$17,2)+1))*(VLOOKUP($A51,CURVES!$D$9:$T$261,7))*(INDEX(DailyScalarsTable,BD$5/100,MONTH($A51)))*$C51</f>
        <v>-10295.483153677707</v>
      </c>
      <c r="BE51" s="1021"/>
      <c r="BF51" s="1021">
        <f>(VLOOKUP(YEAR($A51),'NY East Load Projections'!$A$4:$EO$14,((MONTH($A51)-1)*12)+VLOOKUP(BF$4,$DE$6:$DF$17,2)+1))*(VLOOKUP($A51,CURVES!$D$9:$T$261,7))*(INDEX(DailyScalarsTable,BF$5/100,MONTH($A51)))*$D51</f>
        <v>-9090.7054248456079</v>
      </c>
      <c r="BG51" s="1021">
        <f>(VLOOKUP(YEAR($A51),'NY East Load Projections'!$A$4:$EO$14,((MONTH($A51)-1)*12)+VLOOKUP(BG$4,$DE$6:$DF$17,2)+1))*(VLOOKUP($A51,CURVES!$D$9:$T$261,7))*(INDEX(DailyScalarsTable,BG$5/100,MONTH($A51)))*$D51</f>
        <v>-8628.2714364095445</v>
      </c>
      <c r="BH51" s="1021">
        <f>(VLOOKUP(YEAR($A51),'NY East Load Projections'!$A$4:$EO$14,((MONTH($A51)-1)*12)+VLOOKUP(BH$4,$DE$6:$DF$17,2)+1))*(VLOOKUP($A51,CURVES!$D$9:$T$261,7))*(INDEX(DailyScalarsTable,BH$5/100,MONTH($A51)))*$D51</f>
        <v>-8288.3872420103671</v>
      </c>
      <c r="BI51" s="1021">
        <f>(VLOOKUP(YEAR($A51),'NY East Load Projections'!$A$4:$EO$14,((MONTH($A51)-1)*12)+VLOOKUP(BI$4,$DE$6:$DF$17,2)+1))*(VLOOKUP($A51,CURVES!$D$9:$T$261,7))*(INDEX(DailyScalarsTable,BI$5/100,MONTH($A51)))*$D51</f>
        <v>-8293.1743433399315</v>
      </c>
      <c r="BJ51" s="1021">
        <f>(VLOOKUP(YEAR($A51),'NY East Load Projections'!$A$4:$EO$14,((MONTH($A51)-1)*12)+VLOOKUP(BJ$4,$DE$6:$DF$17,2)+1))*(VLOOKUP($A51,CURVES!$D$9:$T$261,7))*(INDEX(DailyScalarsTable,BJ$5/100,MONTH($A51)))*$D51</f>
        <v>-8994.4664215929097</v>
      </c>
      <c r="BK51" s="1021">
        <f>(VLOOKUP(YEAR($A51),'NY East Load Projections'!$A$4:$EO$14,((MONTH($A51)-1)*12)+VLOOKUP(BK$4,$DE$6:$DF$17,2)+1))*(VLOOKUP($A51,CURVES!$D$9:$T$261,7))*(INDEX(DailyScalarsTable,BK$5/100,MONTH($A51)))*$D51</f>
        <v>-10333.200279701558</v>
      </c>
      <c r="BL51" s="1021">
        <f>(VLOOKUP(YEAR($A51),'NY East Load Projections'!$A$4:$EO$14,((MONTH($A51)-1)*12)+VLOOKUP(BL$4,$DE$6:$DF$17,2)+1))*(VLOOKUP($A51,CURVES!$D$9:$T$261,7))*(INDEX(DailyScalarsTable,BL$5/100,MONTH($A51)))*$D51</f>
        <v>-13358.214566769393</v>
      </c>
      <c r="BM51" s="1021">
        <f>(VLOOKUP(YEAR($A51),'NY East Load Projections'!$A$4:$EO$14,((MONTH($A51)-1)*12)+VLOOKUP(BM$4,$DE$6:$DF$17,2)+1))*(VLOOKUP($A51,SatSunCurve,7))*(INDEX(DailyScalarsTable,BM$5/100,MONTH($A51)))*$D51</f>
        <v>-11118.438363242194</v>
      </c>
      <c r="BN51" s="1021">
        <f>(VLOOKUP(YEAR($A51),'NY East Load Projections'!$A$4:$EO$14,((MONTH($A51)-1)*12)+VLOOKUP(BN$4,$DE$6:$DF$17,2)+1))*(VLOOKUP($A51,SatSunCurve,7))*(INDEX(DailyScalarsTable,BN$5/100,MONTH($A51)))*$D51</f>
        <v>-13142.896575779785</v>
      </c>
      <c r="BO51" s="1021">
        <f>(VLOOKUP(YEAR($A51),'NY East Load Projections'!$A$4:$EO$14,((MONTH($A51)-1)*12)+VLOOKUP(BO$4,$DE$6:$DF$17,2)+1))*(VLOOKUP($A51,SatSunCurve,7))*(INDEX(DailyScalarsTable,BO$5/100,MONTH($A51)))*$D51</f>
        <v>-13102.281938648202</v>
      </c>
      <c r="BP51" s="1021">
        <f>(VLOOKUP(YEAR($A51),'NY East Load Projections'!$A$4:$EO$14,((MONTH($A51)-1)*12)+VLOOKUP(BP$4,$DE$6:$DF$17,2)+1))*(VLOOKUP($A51,SatSunCurve,7))*(INDEX(DailyScalarsTable,BP$5/100,MONTH($A51)))*$D51</f>
        <v>-13028.015173607597</v>
      </c>
      <c r="BQ51" s="1021">
        <f>(VLOOKUP(YEAR($A51),'NY East Load Projections'!$A$4:$EO$14,((MONTH($A51)-1)*12)+VLOOKUP(BQ$4,$DE$6:$DF$17,2)+1))*(VLOOKUP($A51,SatSunCurve,7))*(INDEX(DailyScalarsTable,BQ$5/100,MONTH($A51)))*$D51</f>
        <v>-10993.802062417242</v>
      </c>
      <c r="BR51" s="1021">
        <f>(VLOOKUP(YEAR($A51),'NY East Load Projections'!$A$4:$EO$14,((MONTH($A51)-1)*12)+VLOOKUP(BR$4,$DE$6:$DF$17,2)+1))*(VLOOKUP($A51,SatSunCurve,7))*(INDEX(DailyScalarsTable,BR$5/100,MONTH($A51)))*$D51</f>
        <v>-10583.104596893327</v>
      </c>
      <c r="BS51" s="1021">
        <f>(VLOOKUP(YEAR($A51),'NY East Load Projections'!$A$4:$EO$14,((MONTH($A51)-1)*12)+VLOOKUP(BS$4,$DE$6:$DF$17,2)+1))*(VLOOKUP($A51,SatSunCurve,7))*(INDEX(DailyScalarsTable,BS$5/100,MONTH($A51)))*$D51</f>
        <v>-10289.360711576701</v>
      </c>
      <c r="BT51" s="1021">
        <f>(VLOOKUP(YEAR($A51),'NY East Load Projections'!$A$4:$EO$14,((MONTH($A51)-1)*12)+VLOOKUP(BT$4,$DE$6:$DF$17,2)+1))*(VLOOKUP($A51,SatSunCurve,7))*(INDEX(DailyScalarsTable,BT$5/100,MONTH($A51)))*$D51</f>
        <v>-10050.322165225924</v>
      </c>
      <c r="BU51" s="1021">
        <f>(VLOOKUP(YEAR($A51),'NY East Load Projections'!$A$4:$EO$14,((MONTH($A51)-1)*12)+VLOOKUP(BU$4,$DE$6:$DF$17,2)+1))*(VLOOKUP($A51,SatSunCurve,7))*(INDEX(DailyScalarsTable,BU$5/100,MONTH($A51)))*$D51</f>
        <v>-9981.3458682689852</v>
      </c>
      <c r="BV51" s="1021">
        <f>(VLOOKUP(YEAR($A51),'NY East Load Projections'!$A$4:$EO$14,((MONTH($A51)-1)*12)+VLOOKUP(BV$4,$DE$6:$DF$17,2)+1))*(VLOOKUP($A51,SatSunCurve,7))*(INDEX(DailyScalarsTable,BV$5/100,MONTH($A51)))*$D51</f>
        <v>-9870.8908444105437</v>
      </c>
      <c r="BW51" s="1021">
        <f>(VLOOKUP(YEAR($A51),'NY East Load Projections'!$A$4:$EO$14,((MONTH($A51)-1)*12)+VLOOKUP(BW$4,$DE$6:$DF$17,2)+1))*(VLOOKUP($A51,SatSunCurve,7))*(INDEX(DailyScalarsTable,BW$5/100,MONTH($A51)))*$D51</f>
        <v>-13316.160187024609</v>
      </c>
      <c r="BX51" s="1021">
        <f>(VLOOKUP(YEAR($A51),'NY East Load Projections'!$A$4:$EO$14,((MONTH($A51)-1)*12)+VLOOKUP(BX$4,$DE$6:$DF$17,2)+1))*(VLOOKUP($A51,SatSunCurve,7))*(INDEX(DailyScalarsTable,BX$5/100,MONTH($A51)))*$D51</f>
        <v>-13420.461416720496</v>
      </c>
      <c r="BY51" s="1021">
        <f>(VLOOKUP(YEAR($A51),'NY East Load Projections'!$A$4:$EO$14,((MONTH($A51)-1)*12)+VLOOKUP(BY$4,$DE$6:$DF$17,2)+1))*(VLOOKUP($A51,SatSunCurve,7))*(INDEX(DailyScalarsTable,BY$5/100,MONTH($A51)))*$D51</f>
        <v>-12834.599190343612</v>
      </c>
      <c r="BZ51" s="1021">
        <f>(VLOOKUP(YEAR($A51),'NY East Load Projections'!$A$4:$EO$14,((MONTH($A51)-1)*12)+VLOOKUP(BZ$4,$DE$6:$DF$17,2)+1))*(VLOOKUP($A51,SatSunCurve,7))*(INDEX(DailyScalarsTable,BZ$5/100,MONTH($A51)))*$D51</f>
        <v>-11302.68348036401</v>
      </c>
      <c r="CA51" s="1021">
        <f>(VLOOKUP(YEAR($A51),'NY East Load Projections'!$A$4:$EO$14,((MONTH($A51)-1)*12)+VLOOKUP(CA$4,$DE$6:$DF$17,2)+1))*(VLOOKUP($A51,SatSunCurve,7))*(INDEX(DailyScalarsTable,CA$5/100,MONTH($A51)))*$D51</f>
        <v>-9376.0776892494796</v>
      </c>
      <c r="CB51" s="1021">
        <f>(VLOOKUP(YEAR($A51),'NY East Load Projections'!$A$4:$EO$14,((MONTH($A51)-1)*12)+VLOOKUP(CB$4,$DE$6:$DF$17,2)+1))*(VLOOKUP($A51,SatSunCurve,7))*(INDEX(DailyScalarsTable,CB$5/100,MONTH($A51)))*$D51</f>
        <v>-7994.0393967211076</v>
      </c>
      <c r="CC51" s="1021">
        <f>(VLOOKUP(YEAR($A51),'NY East Load Projections'!$A$4:$EO$14,((MONTH($A51)-1)*12)+VLOOKUP(CC$4,$DE$6:$DF$17,2)+1))*(VLOOKUP($A51,CURVES!$D$9:$T$261,7))*(INDEX(DailyScalarsTable,CC$5/100,MONTH($A51)))*$D51</f>
        <v>-10295.483153677707</v>
      </c>
      <c r="CE51" s="1021">
        <f>(VLOOKUP(YEAR($A51),'NY East Load Projections'!$A$4:$EO$14,((MONTH($A51)-1)*12)+VLOOKUP(CE$4,$DE$6:$DF$17,2)+1))*(VLOOKUP($A51,CURVES!$D$9:$T$261,7))*(INDEX(DailyScalarsTable,CE$5/100,MONTH($A51)))*$E51</f>
        <v>0</v>
      </c>
      <c r="CF51" s="1021">
        <f>(VLOOKUP(YEAR($A51),'NY East Load Projections'!$A$4:$EO$14,((MONTH($A51)-1)*12)+VLOOKUP(CF$4,$DE$6:$DF$17,2)+1))*(VLOOKUP($A51,CURVES!$D$9:$T$261,7))*(INDEX(DailyScalarsTable,CF$5/100,MONTH($A51)))*$E51</f>
        <v>0</v>
      </c>
      <c r="CG51" s="1021">
        <f>(VLOOKUP(YEAR($A51),'NY East Load Projections'!$A$4:$EO$14,((MONTH($A51)-1)*12)+VLOOKUP(CG$4,$DE$6:$DF$17,2)+1))*(VLOOKUP($A51,CURVES!$D$9:$T$261,7))*(INDEX(DailyScalarsTable,CG$5/100,MONTH($A51)))*$E51</f>
        <v>0</v>
      </c>
      <c r="CH51" s="1021">
        <f>(VLOOKUP(YEAR($A51),'NY East Load Projections'!$A$4:$EO$14,((MONTH($A51)-1)*12)+VLOOKUP(CH$4,$DE$6:$DF$17,2)+1))*(VLOOKUP($A51,CURVES!$D$9:$T$261,7))*(INDEX(DailyScalarsTable,CH$5/100,MONTH($A51)))*$E51</f>
        <v>0</v>
      </c>
      <c r="CI51" s="1021">
        <f>(VLOOKUP(YEAR($A51),'NY East Load Projections'!$A$4:$EO$14,((MONTH($A51)-1)*12)+VLOOKUP(CI$4,$DE$6:$DF$17,2)+1))*(VLOOKUP($A51,CURVES!$D$9:$T$261,7))*(INDEX(DailyScalarsTable,CI$5/100,MONTH($A51)))*$E51</f>
        <v>0</v>
      </c>
      <c r="CJ51" s="1021">
        <f>(VLOOKUP(YEAR($A51),'NY East Load Projections'!$A$4:$EO$14,((MONTH($A51)-1)*12)+VLOOKUP(CJ$4,$DE$6:$DF$17,2)+1))*(VLOOKUP($A51,CURVES!$D$9:$T$261,7))*(INDEX(DailyScalarsTable,CJ$5/100,MONTH($A51)))*$E51</f>
        <v>0</v>
      </c>
      <c r="CK51" s="1021">
        <f>(VLOOKUP(YEAR($A51),'NY East Load Projections'!$A$4:$EO$14,((MONTH($A51)-1)*12)+VLOOKUP(CK$4,$DE$6:$DF$17,2)+1))*(VLOOKUP($A51,CURVES!$D$9:$T$261,7))*(INDEX(DailyScalarsTable,CK$5/100,MONTH($A51)))*$E51</f>
        <v>0</v>
      </c>
      <c r="CL51" s="1021">
        <f>(VLOOKUP(YEAR($A51),'NY East Load Projections'!$A$4:$EO$14,((MONTH($A51)-1)*12)+VLOOKUP(CL$4,$DE$6:$DF$17,2)+1))*(VLOOKUP($A51,SatSunCurve,7))*(INDEX(DailyScalarsTable,CL$5/100,MONTH($A51)))*$E51</f>
        <v>0</v>
      </c>
      <c r="CM51" s="1021">
        <f>(VLOOKUP(YEAR($A51),'NY East Load Projections'!$A$4:$EO$14,((MONTH($A51)-1)*12)+VLOOKUP(CM$4,$DE$6:$DF$17,2)+1))*(VLOOKUP($A51,SatSunCurve,7))*(INDEX(DailyScalarsTable,CM$5/100,MONTH($A51)))*$E51</f>
        <v>0</v>
      </c>
      <c r="CN51" s="1021">
        <f>(VLOOKUP(YEAR($A51),'NY East Load Projections'!$A$4:$EO$14,((MONTH($A51)-1)*12)+VLOOKUP(CN$4,$DE$6:$DF$17,2)+1))*(VLOOKUP($A51,SatSunCurve,7))*(INDEX(DailyScalarsTable,CN$5/100,MONTH($A51)))*$E51</f>
        <v>0</v>
      </c>
      <c r="CO51" s="1021">
        <f>(VLOOKUP(YEAR($A51),'NY East Load Projections'!$A$4:$EO$14,((MONTH($A51)-1)*12)+VLOOKUP(CO$4,$DE$6:$DF$17,2)+1))*(VLOOKUP($A51,SatSunCurve,7))*(INDEX(DailyScalarsTable,CO$5/100,MONTH($A51)))*$E51</f>
        <v>0</v>
      </c>
      <c r="CP51" s="1021">
        <f>(VLOOKUP(YEAR($A51),'NY East Load Projections'!$A$4:$EO$14,((MONTH($A51)-1)*12)+VLOOKUP(CP$4,$DE$6:$DF$17,2)+1))*(VLOOKUP($A51,SatSunCurve,7))*(INDEX(DailyScalarsTable,CP$5/100,MONTH($A51)))*$E51</f>
        <v>0</v>
      </c>
      <c r="CQ51" s="1021">
        <f>(VLOOKUP(YEAR($A51),'NY East Load Projections'!$A$4:$EO$14,((MONTH($A51)-1)*12)+VLOOKUP(CQ$4,$DE$6:$DF$17,2)+1))*(VLOOKUP($A51,SatSunCurve,7))*(INDEX(DailyScalarsTable,CQ$5/100,MONTH($A51)))*$E51</f>
        <v>0</v>
      </c>
      <c r="CR51" s="1021">
        <f>(VLOOKUP(YEAR($A51),'NY East Load Projections'!$A$4:$EO$14,((MONTH($A51)-1)*12)+VLOOKUP(CR$4,$DE$6:$DF$17,2)+1))*(VLOOKUP($A51,SatSunCurve,7))*(INDEX(DailyScalarsTable,CR$5/100,MONTH($A51)))*$E51</f>
        <v>0</v>
      </c>
      <c r="CS51" s="1021">
        <f>(VLOOKUP(YEAR($A51),'NY East Load Projections'!$A$4:$EO$14,((MONTH($A51)-1)*12)+VLOOKUP(CS$4,$DE$6:$DF$17,2)+1))*(VLOOKUP($A51,SatSunCurve,7))*(INDEX(DailyScalarsTable,CS$5/100,MONTH($A51)))*$E51</f>
        <v>0</v>
      </c>
      <c r="CT51" s="1021">
        <f>(VLOOKUP(YEAR($A51),'NY East Load Projections'!$A$4:$EO$14,((MONTH($A51)-1)*12)+VLOOKUP(CT$4,$DE$6:$DF$17,2)+1))*(VLOOKUP($A51,SatSunCurve,7))*(INDEX(DailyScalarsTable,CT$5/100,MONTH($A51)))*$E51</f>
        <v>0</v>
      </c>
      <c r="CU51" s="1021">
        <f>(VLOOKUP(YEAR($A51),'NY East Load Projections'!$A$4:$EO$14,((MONTH($A51)-1)*12)+VLOOKUP(CU$4,$DE$6:$DF$17,2)+1))*(VLOOKUP($A51,SatSunCurve,7))*(INDEX(DailyScalarsTable,CU$5/100,MONTH($A51)))*$E51</f>
        <v>0</v>
      </c>
      <c r="CV51" s="1021">
        <f>(VLOOKUP(YEAR($A51),'NY East Load Projections'!$A$4:$EO$14,((MONTH($A51)-1)*12)+VLOOKUP(CV$4,$DE$6:$DF$17,2)+1))*(VLOOKUP($A51,SatSunCurve,7))*(INDEX(DailyScalarsTable,CV$5/100,MONTH($A51)))*$E51</f>
        <v>0</v>
      </c>
      <c r="CW51" s="1021">
        <f>(VLOOKUP(YEAR($A51),'NY East Load Projections'!$A$4:$EO$14,((MONTH($A51)-1)*12)+VLOOKUP(CW$4,$DE$6:$DF$17,2)+1))*(VLOOKUP($A51,SatSunCurve,7))*(INDEX(DailyScalarsTable,CW$5/100,MONTH($A51)))*$E51</f>
        <v>0</v>
      </c>
      <c r="CX51" s="1021">
        <f>(VLOOKUP(YEAR($A51),'NY East Load Projections'!$A$4:$EO$14,((MONTH($A51)-1)*12)+VLOOKUP(CX$4,$DE$6:$DF$17,2)+1))*(VLOOKUP($A51,SatSunCurve,7))*(INDEX(DailyScalarsTable,CX$5/100,MONTH($A51)))*$E51</f>
        <v>0</v>
      </c>
      <c r="CY51" s="1021">
        <f>(VLOOKUP(YEAR($A51),'NY East Load Projections'!$A$4:$EO$14,((MONTH($A51)-1)*12)+VLOOKUP(CY$4,$DE$6:$DF$17,2)+1))*(VLOOKUP($A51,SatSunCurve,7))*(INDEX(DailyScalarsTable,CY$5/100,MONTH($A51)))*$E51</f>
        <v>0</v>
      </c>
      <c r="CZ51" s="1021">
        <f>(VLOOKUP(YEAR($A51),'NY East Load Projections'!$A$4:$EO$14,((MONTH($A51)-1)*12)+VLOOKUP(CZ$4,$DE$6:$DF$17,2)+1))*(VLOOKUP($A51,SatSunCurve,7))*(INDEX(DailyScalarsTable,CZ$5/100,MONTH($A51)))*$E51</f>
        <v>0</v>
      </c>
      <c r="DA51" s="1021">
        <f>(VLOOKUP(YEAR($A51),'NY East Load Projections'!$A$4:$EO$14,((MONTH($A51)-1)*12)+VLOOKUP(DA$4,$DE$6:$DF$17,2)+1))*(VLOOKUP($A51,SatSunCurve,7))*(INDEX(DailyScalarsTable,DA$5/100,MONTH($A51)))*$E51</f>
        <v>0</v>
      </c>
      <c r="DB51" s="1021">
        <f>(VLOOKUP(YEAR($A51),'NY East Load Projections'!$A$4:$EO$14,((MONTH($A51)-1)*12)+VLOOKUP(DB$4,$DE$6:$DF$17,2)+1))*(VLOOKUP($A51,CURVES!$D$9:$T$261,7))*(INDEX(DailyScalarsTable,DB$5/100,MONTH($A51)))*$E51</f>
        <v>0</v>
      </c>
      <c r="DH51" s="1032">
        <f t="shared" si="0"/>
        <v>-1993752.279706279</v>
      </c>
      <c r="DI51">
        <f ca="1">CALC!J71</f>
        <v>0.71323422394632896</v>
      </c>
      <c r="DJ51" s="1029">
        <f t="shared" ca="1" si="1"/>
        <v>-1422012.359957532</v>
      </c>
    </row>
    <row r="52" spans="1:114" x14ac:dyDescent="0.25">
      <c r="A52" s="244">
        <v>38292</v>
      </c>
      <c r="B52" s="13">
        <v>21</v>
      </c>
      <c r="C52" s="210">
        <v>4</v>
      </c>
      <c r="D52" s="210">
        <v>4</v>
      </c>
      <c r="E52" s="210">
        <v>1</v>
      </c>
      <c r="F52" s="13">
        <v>30</v>
      </c>
      <c r="H52" s="1021">
        <f>(VLOOKUP(YEAR($A52),'NY East Load Projections'!$A$4:$EO$14,((MONTH($A52)-1)*12)+VLOOKUP(H$4,$DE$6:$DF$17,2)+1))*(VLOOKUP($A52,CURVES!$D$9:$K$261,7))*(INDEX(DailyScalarsTable,H$5/100,MONTH($A52)))*$B52</f>
        <v>-34935.677892229403</v>
      </c>
      <c r="I52" s="1021">
        <f>(VLOOKUP(YEAR($A52),'NY East Load Projections'!$A$4:$EO$14,((MONTH($A52)-1)*12)+VLOOKUP(I$4,$DE$6:$DF$17,2)+1))*(VLOOKUP($A52,CURVES!$D$9:$K$261,7))*(INDEX(DailyScalarsTable,I$5/100,MONTH($A52)))*$B52</f>
        <v>-33120.300547210914</v>
      </c>
      <c r="J52" s="1021">
        <f>(VLOOKUP(YEAR($A52),'NY East Load Projections'!$A$4:$EO$14,((MONTH($A52)-1)*12)+VLOOKUP(J$4,$DE$6:$DF$17,2)+1))*(VLOOKUP($A52,CURVES!$D$9:$K$261,7))*(INDEX(DailyScalarsTable,J$5/100,MONTH($A52)))*$B52</f>
        <v>-31786.016991348471</v>
      </c>
      <c r="K52" s="1021">
        <f>(VLOOKUP(YEAR($A52),'NY East Load Projections'!$A$4:$EO$14,((MONTH($A52)-1)*12)+VLOOKUP(K$4,$DE$6:$DF$17,2)+1))*(VLOOKUP($A52,CURVES!$D$9:$K$261,7))*(INDEX(DailyScalarsTable,K$5/100,MONTH($A52)))*$B52</f>
        <v>-31804.809717487373</v>
      </c>
      <c r="L52" s="1021">
        <f>(VLOOKUP(YEAR($A52),'NY East Load Projections'!$A$4:$EO$14,((MONTH($A52)-1)*12)+VLOOKUP(L$4,$DE$6:$DF$17,2)+1))*(VLOOKUP($A52,CURVES!$D$9:$K$261,7))*(INDEX(DailyScalarsTable,L$5/100,MONTH($A52)))*$B52</f>
        <v>-37299.087939256853</v>
      </c>
      <c r="M52" s="1021">
        <f>(VLOOKUP(YEAR($A52),'NY East Load Projections'!$A$4:$EO$14,((MONTH($A52)-1)*12)+VLOOKUP(M$4,$DE$6:$DF$17,2)+1))*(VLOOKUP($A52,CURVES!$D$9:$K$261,7))*(INDEX(DailyScalarsTable,M$5/100,MONTH($A52)))*$B52</f>
        <v>-42973.157687545354</v>
      </c>
      <c r="N52" s="1021">
        <f>(VLOOKUP(YEAR($A52),'NY East Load Projections'!$A$4:$EO$14,((MONTH($A52)-1)*12)+VLOOKUP(N$4,$DE$6:$DF$17,2)+1))*(VLOOKUP($A52,CURVES!$D$9:$K$261,7))*(INDEX(DailyScalarsTable,N$5/100,MONTH($A52)))*$B52</f>
        <v>-61554.810322259524</v>
      </c>
      <c r="O52" s="1021">
        <f>(VLOOKUP(YEAR($A52),'NY East Load Projections'!$A$4:$EO$14,((MONTH($A52)-1)*12)+VLOOKUP(O$4,$DE$6:$DF$17,2)+1))*(VLOOKUP($A52,CURVES!$D$9:$K$261,3))*(INDEX(DailyScalarsTable,O$5/100,MONTH($A52)))*$B52</f>
        <v>-69313.67288554761</v>
      </c>
      <c r="P52" s="1021">
        <f>(VLOOKUP(YEAR($A52),'NY East Load Projections'!$A$4:$EO$14,((MONTH($A52)-1)*12)+VLOOKUP(P$4,$DE$6:$DF$17,2)+1))*(VLOOKUP($A52,CURVES!$D$9:$K$261,3))*(INDEX(DailyScalarsTable,P$5/100,MONTH($A52)))*$B52</f>
        <v>-80687.173992961616</v>
      </c>
      <c r="Q52" s="1021">
        <f>(VLOOKUP(YEAR($A52),'NY East Load Projections'!$A$4:$EO$14,((MONTH($A52)-1)*12)+VLOOKUP(Q$4,$DE$6:$DF$17,2)+1))*(VLOOKUP($A52,CURVES!$D$9:$K$261,3))*(INDEX(DailyScalarsTable,Q$5/100,MONTH($A52)))*$B52</f>
        <v>-80164.606963775615</v>
      </c>
      <c r="R52" s="1021">
        <f>(VLOOKUP(YEAR($A52),'NY East Load Projections'!$A$4:$EO$14,((MONTH($A52)-1)*12)+VLOOKUP(R$4,$DE$6:$DF$17,2)+1))*(VLOOKUP($A52,CURVES!$D$9:$K$261,3))*(INDEX(DailyScalarsTable,R$5/100,MONTH($A52)))*$B52</f>
        <v>-78618.0910260495</v>
      </c>
      <c r="S52" s="1021">
        <f>(VLOOKUP(YEAR($A52),'NY East Load Projections'!$A$4:$EO$14,((MONTH($A52)-1)*12)+VLOOKUP(S$4,$DE$6:$DF$17,2)+1))*(VLOOKUP($A52,CURVES!$D$9:$K$261,3))*(INDEX(DailyScalarsTable,S$5/100,MONTH($A52)))*$B52</f>
        <v>-66196.531507966225</v>
      </c>
      <c r="T52" s="1021">
        <f>(VLOOKUP(YEAR($A52),'NY East Load Projections'!$A$4:$EO$14,((MONTH($A52)-1)*12)+VLOOKUP(T$4,$DE$6:$DF$17,2)+1))*(VLOOKUP($A52,CURVES!$D$9:$K$261,3))*(INDEX(DailyScalarsTable,T$5/100,MONTH($A52)))*$B52</f>
        <v>-63961.940007793033</v>
      </c>
      <c r="U52" s="1021">
        <f>(VLOOKUP(YEAR($A52),'NY East Load Projections'!$A$4:$EO$14,((MONTH($A52)-1)*12)+VLOOKUP(U$4,$DE$6:$DF$17,2)+1))*(VLOOKUP($A52,CURVES!$D$9:$K$261,3))*(INDEX(DailyScalarsTable,U$5/100,MONTH($A52)))*$B52</f>
        <v>-62244.986810166236</v>
      </c>
      <c r="V52" s="1021">
        <f>(VLOOKUP(YEAR($A52),'NY East Load Projections'!$A$4:$EO$14,((MONTH($A52)-1)*12)+VLOOKUP(V$4,$DE$6:$DF$17,2)+1))*(VLOOKUP($A52,CURVES!$D$9:$K$261,3))*(INDEX(DailyScalarsTable,V$5/100,MONTH($A52)))*$B52</f>
        <v>-60788.836629900477</v>
      </c>
      <c r="W52" s="1021">
        <f>(VLOOKUP(YEAR($A52),'NY East Load Projections'!$A$4:$EO$14,((MONTH($A52)-1)*12)+VLOOKUP(W$4,$DE$6:$DF$17,2)+1))*(VLOOKUP($A52,CURVES!$D$9:$K$261,3))*(INDEX(DailyScalarsTable,W$5/100,MONTH($A52)))*$B52</f>
        <v>-59789.091730016531</v>
      </c>
      <c r="X52" s="1021">
        <f>(VLOOKUP(YEAR($A52),'NY East Load Projections'!$A$4:$EO$14,((MONTH($A52)-1)*12)+VLOOKUP(X$4,$DE$6:$DF$17,2)+1))*(VLOOKUP($A52,CURVES!$D$9:$K$261,3))*(INDEX(DailyScalarsTable,X$5/100,MONTH($A52)))*$B52</f>
        <v>-60875.309024914808</v>
      </c>
      <c r="Y52" s="1021">
        <f>(VLOOKUP(YEAR($A52),'NY East Load Projections'!$A$4:$EO$14,((MONTH($A52)-1)*12)+VLOOKUP(Y$4,$DE$6:$DF$17,2)+1))*(VLOOKUP($A52,CURVES!$D$9:$K$261,3))*(INDEX(DailyScalarsTable,Y$5/100,MONTH($A52)))*$B52</f>
        <v>-83567.94339524454</v>
      </c>
      <c r="Z52" s="1021">
        <f>(VLOOKUP(YEAR($A52),'NY East Load Projections'!$A$4:$EO$14,((MONTH($A52)-1)*12)+VLOOKUP(Z$4,$DE$6:$DF$17,2)+1))*(VLOOKUP($A52,CURVES!$D$9:$K$261,3))*(INDEX(DailyScalarsTable,Z$5/100,MONTH($A52)))*$B52</f>
        <v>-84240.826350854913</v>
      </c>
      <c r="AA52" s="1021">
        <f>(VLOOKUP(YEAR($A52),'NY East Load Projections'!$A$4:$EO$14,((MONTH($A52)-1)*12)+VLOOKUP(AA$4,$DE$6:$DF$17,2)+1))*(VLOOKUP($A52,CURVES!$D$9:$K$261,3))*(INDEX(DailyScalarsTable,AA$5/100,MONTH($A52)))*$B52</f>
        <v>-80794.017741503776</v>
      </c>
      <c r="AB52" s="1021">
        <f>(VLOOKUP(YEAR($A52),'NY East Load Projections'!$A$4:$EO$14,((MONTH($A52)-1)*12)+VLOOKUP(AB$4,$DE$6:$DF$17,2)+1))*(VLOOKUP($A52,CURVES!$D$9:$K$261,3))*(INDEX(DailyScalarsTable,AB$5/100,MONTH($A52)))*$B52</f>
        <v>-67349.453577256601</v>
      </c>
      <c r="AC52" s="1021">
        <f>(VLOOKUP(YEAR($A52),'NY East Load Projections'!$A$4:$EO$14,((MONTH($A52)-1)*12)+VLOOKUP(AC$4,$DE$6:$DF$17,2)+1))*(VLOOKUP($A52,CURVES!$D$9:$K$261,3))*(INDEX(DailyScalarsTable,AC$5/100,MONTH($A52)))*$B52</f>
        <v>-53575.256395095661</v>
      </c>
      <c r="AD52" s="1021">
        <f>(VLOOKUP(YEAR($A52),'NY East Load Projections'!$A$4:$EO$14,((MONTH($A52)-1)*12)+VLOOKUP(AD$4,$DE$6:$DF$17,2)+1))*(VLOOKUP($A52,CURVES!$D$9:$K$261,3))*(INDEX(DailyScalarsTable,AD$5/100,MONTH($A52)))*$B52</f>
        <v>-45182.088197434066</v>
      </c>
      <c r="AE52" s="1021">
        <f>(VLOOKUP(YEAR($A52),'NY East Load Projections'!$A$4:$EO$14,((MONTH($A52)-1)*12)+VLOOKUP(AE$4,$DE$6:$DF$17,2)+1))*(VLOOKUP($A52,CURVES!$D$9:$K$261,7))*(INDEX(DailyScalarsTable,AE$5/100,MONTH($A52)))*$B52</f>
        <v>-41328.134505927905</v>
      </c>
      <c r="AF52" s="1021"/>
      <c r="AG52" s="1021">
        <f>(VLOOKUP(YEAR($A52),'NY East Load Projections'!$A$4:$EO$14,((MONTH($A52)-1)*12)+VLOOKUP(AG$4,$DE$6:$DF$17,2)+1))*(VLOOKUP($A52,CURVES!$D$9:$T$261,7))*(INDEX(DailyScalarsTable,AG$5/100,MONTH($A52)))*$C52</f>
        <v>-7009.1341595663353</v>
      </c>
      <c r="AH52" s="1021">
        <f>(VLOOKUP(YEAR($A52),'NY East Load Projections'!$A$4:$EO$14,((MONTH($A52)-1)*12)+VLOOKUP(AH$4,$DE$6:$DF$17,2)+1))*(VLOOKUP($A52,CURVES!$D$9:$T$261,7))*(INDEX(DailyScalarsTable,AH$5/100,MONTH($A52)))*$C52</f>
        <v>-6644.9155690262014</v>
      </c>
      <c r="AI52" s="1021">
        <f>(VLOOKUP(YEAR($A52),'NY East Load Projections'!$A$4:$EO$14,((MONTH($A52)-1)*12)+VLOOKUP(AI$4,$DE$6:$DF$17,2)+1))*(VLOOKUP($A52,CURVES!$D$9:$T$261,7))*(INDEX(DailyScalarsTable,AI$5/100,MONTH($A52)))*$C52</f>
        <v>-6377.2186753579881</v>
      </c>
      <c r="AJ52" s="1021">
        <f>(VLOOKUP(YEAR($A52),'NY East Load Projections'!$A$4:$EO$14,((MONTH($A52)-1)*12)+VLOOKUP(AJ$4,$DE$6:$DF$17,2)+1))*(VLOOKUP($A52,CURVES!$D$9:$T$261,7))*(INDEX(DailyScalarsTable,AJ$5/100,MONTH($A52)))*$C52</f>
        <v>-6380.9890541420464</v>
      </c>
      <c r="AK52" s="1021">
        <f>(VLOOKUP(YEAR($A52),'NY East Load Projections'!$A$4:$EO$14,((MONTH($A52)-1)*12)+VLOOKUP(AK$4,$DE$6:$DF$17,2)+1))*(VLOOKUP($A52,CURVES!$D$9:$T$261,7))*(INDEX(DailyScalarsTable,AK$5/100,MONTH($A52)))*$C52</f>
        <v>-6936.2337704397441</v>
      </c>
      <c r="AL52" s="1021">
        <f>(VLOOKUP(YEAR($A52),'NY East Load Projections'!$A$4:$EO$14,((MONTH($A52)-1)*12)+VLOOKUP(AL$4,$DE$6:$DF$17,2)+1))*(VLOOKUP($A52,CURVES!$D$9:$T$261,7))*(INDEX(DailyScalarsTable,AL$5/100,MONTH($A52)))*$C52</f>
        <v>-7991.3982899583771</v>
      </c>
      <c r="AM52" s="1021">
        <f>(VLOOKUP(YEAR($A52),'NY East Load Projections'!$A$4:$EO$14,((MONTH($A52)-1)*12)+VLOOKUP(AM$4,$DE$6:$DF$17,2)+1))*(VLOOKUP($A52,CURVES!$D$9:$T$261,7))*(INDEX(DailyScalarsTable,AM$5/100,MONTH($A52)))*$C52</f>
        <v>-11446.889928933102</v>
      </c>
      <c r="AN52" s="1021">
        <f>(VLOOKUP(YEAR($A52),'NY East Load Projections'!$A$4:$EO$14,((MONTH($A52)-1)*12)+VLOOKUP(AN$4,$DE$6:$DF$17,2)+1))*(VLOOKUP($A52,SatSunCurve,3))*(INDEX(DailyScalarsTable,AN$5/100,MONTH($A52)))*$C52</f>
        <v>-10137.876352871655</v>
      </c>
      <c r="AO52" s="1021">
        <f>(VLOOKUP(YEAR($A52),'NY East Load Projections'!$A$4:$EO$14,((MONTH($A52)-1)*12)+VLOOKUP(AO$4,$DE$6:$DF$17,2)+1))*(VLOOKUP($A52,SatSunCurve,3))*(INDEX(DailyScalarsTable,AO$5/100,MONTH($A52)))*$C52</f>
        <v>-11534.497540640325</v>
      </c>
      <c r="AP52" s="1021">
        <f>(VLOOKUP(YEAR($A52),'NY East Load Projections'!$A$4:$EO$14,((MONTH($A52)-1)*12)+VLOOKUP(AP$4,$DE$6:$DF$17,2)+1))*(VLOOKUP($A52,SatSunCurve,3))*(INDEX(DailyScalarsTable,AP$5/100,MONTH($A52)))*$C52</f>
        <v>-11459.794860961749</v>
      </c>
      <c r="AQ52" s="1021">
        <f>(VLOOKUP(YEAR($A52),'NY East Load Projections'!$A$4:$EO$14,((MONTH($A52)-1)*12)+VLOOKUP(AQ$4,$DE$6:$DF$17,2)+1))*(VLOOKUP($A52,SatSunCurve,3))*(INDEX(DailyScalarsTable,AQ$5/100,MONTH($A52)))*$C52</f>
        <v>-11238.715308940024</v>
      </c>
      <c r="AR52" s="1021">
        <f>(VLOOKUP(YEAR($A52),'NY East Load Projections'!$A$4:$EO$14,((MONTH($A52)-1)*12)+VLOOKUP(AR$4,$DE$6:$DF$17,2)+1))*(VLOOKUP($A52,SatSunCurve,3))*(INDEX(DailyScalarsTable,AR$5/100,MONTH($A52)))*$C52</f>
        <v>-9463.0124230668989</v>
      </c>
      <c r="AS52" s="1021">
        <f>(VLOOKUP(YEAR($A52),'NY East Load Projections'!$A$4:$EO$14,((MONTH($A52)-1)*12)+VLOOKUP(AS$4,$DE$6:$DF$17,2)+1))*(VLOOKUP($A52,SatSunCurve,3))*(INDEX(DailyScalarsTable,AS$5/100,MONTH($A52)))*$C52</f>
        <v>-9125.7882699278998</v>
      </c>
      <c r="AT52" s="1021">
        <f>(VLOOKUP(YEAR($A52),'NY East Load Projections'!$A$4:$EO$14,((MONTH($A52)-1)*12)+VLOOKUP(AT$4,$DE$6:$DF$17,2)+1))*(VLOOKUP($A52,SatSunCurve,3))*(INDEX(DailyScalarsTable,AT$5/100,MONTH($A52)))*$C52</f>
        <v>-8880.8214764096174</v>
      </c>
      <c r="AU52" s="1021">
        <f>(VLOOKUP(YEAR($A52),'NY East Load Projections'!$A$4:$EO$14,((MONTH($A52)-1)*12)+VLOOKUP(AU$4,$DE$6:$DF$17,2)+1))*(VLOOKUP($A52,SatSunCurve,3))*(INDEX(DailyScalarsTable,AU$5/100,MONTH($A52)))*$C52</f>
        <v>-8673.0648287422136</v>
      </c>
      <c r="AV52" s="1021">
        <f>(VLOOKUP(YEAR($A52),'NY East Load Projections'!$A$4:$EO$14,((MONTH($A52)-1)*12)+VLOOKUP(AV$4,$DE$6:$DF$17,2)+1))*(VLOOKUP($A52,SatSunCurve,3))*(INDEX(DailyScalarsTable,AV$5/100,MONTH($A52)))*$C52</f>
        <v>-8530.4259363138481</v>
      </c>
      <c r="AW52" s="1021">
        <f>(VLOOKUP(YEAR($A52),'NY East Load Projections'!$A$4:$EO$14,((MONTH($A52)-1)*12)+VLOOKUP(AW$4,$DE$6:$DF$17,2)+1))*(VLOOKUP($A52,SatSunCurve,3))*(INDEX(DailyScalarsTable,AW$5/100,MONTH($A52)))*$C52</f>
        <v>-8752.2590355436514</v>
      </c>
      <c r="AX52" s="1021">
        <f>(VLOOKUP(YEAR($A52),'NY East Load Projections'!$A$4:$EO$14,((MONTH($A52)-1)*12)+VLOOKUP(AX$4,$DE$6:$DF$17,2)+1))*(VLOOKUP($A52,SatSunCurve,3))*(INDEX(DailyScalarsTable,AX$5/100,MONTH($A52)))*$C52</f>
        <v>-12014.859544507306</v>
      </c>
      <c r="AY52" s="1021">
        <f>(VLOOKUP(YEAR($A52),'NY East Load Projections'!$A$4:$EO$14,((MONTH($A52)-1)*12)+VLOOKUP(AY$4,$DE$6:$DF$17,2)+1))*(VLOOKUP($A52,SatSunCurve,3))*(INDEX(DailyScalarsTable,AY$5/100,MONTH($A52)))*$C52</f>
        <v>-12111.602313003052</v>
      </c>
      <c r="AZ52" s="1021">
        <f>(VLOOKUP(YEAR($A52),'NY East Load Projections'!$A$4:$EO$14,((MONTH($A52)-1)*12)+VLOOKUP(AZ$4,$DE$6:$DF$17,2)+1))*(VLOOKUP($A52,SatSunCurve,3))*(INDEX(DailyScalarsTable,AZ$5/100,MONTH($A52)))*$C52</f>
        <v>-11616.042417239132</v>
      </c>
      <c r="BA52" s="1021">
        <f>(VLOOKUP(YEAR($A52),'NY East Load Projections'!$A$4:$EO$14,((MONTH($A52)-1)*12)+VLOOKUP(BA$4,$DE$6:$DF$17,2)+1))*(VLOOKUP($A52,SatSunCurve,3))*(INDEX(DailyScalarsTable,BA$5/100,MONTH($A52)))*$C52</f>
        <v>-10301.320963190714</v>
      </c>
      <c r="BB52" s="1021">
        <f>(VLOOKUP(YEAR($A52),'NY East Load Projections'!$A$4:$EO$14,((MONTH($A52)-1)*12)+VLOOKUP(BB$4,$DE$6:$DF$17,2)+1))*(VLOOKUP($A52,SatSunCurve,3))*(INDEX(DailyScalarsTable,BB$5/100,MONTH($A52)))*$C52</f>
        <v>-8194.5120932278405</v>
      </c>
      <c r="BC52" s="1021">
        <f>(VLOOKUP(YEAR($A52),'NY East Load Projections'!$A$4:$EO$14,((MONTH($A52)-1)*12)+VLOOKUP(BC$4,$DE$6:$DF$17,2)+1))*(VLOOKUP($A52,SatSunCurve,3))*(INDEX(DailyScalarsTable,BC$5/100,MONTH($A52)))*$C52</f>
        <v>-6910.7493466900696</v>
      </c>
      <c r="BD52" s="1021">
        <f>(VLOOKUP(YEAR($A52),'NY East Load Projections'!$A$4:$EO$14,((MONTH($A52)-1)*12)+VLOOKUP(BD$4,$DE$6:$DF$17,2)+1))*(VLOOKUP($A52,CURVES!$D$9:$T$261,7))*(INDEX(DailyScalarsTable,BD$5/100,MONTH($A52)))*$C52</f>
        <v>-8037.1500485847428</v>
      </c>
      <c r="BE52" s="1021"/>
      <c r="BF52" s="1021">
        <f>(VLOOKUP(YEAR($A52),'NY East Load Projections'!$A$4:$EO$14,((MONTH($A52)-1)*12)+VLOOKUP(BF$4,$DE$6:$DF$17,2)+1))*(VLOOKUP($A52,CURVES!$D$9:$T$261,7))*(INDEX(DailyScalarsTable,BF$5/100,MONTH($A52)))*$D52</f>
        <v>-7009.1341595663353</v>
      </c>
      <c r="BG52" s="1021">
        <f>(VLOOKUP(YEAR($A52),'NY East Load Projections'!$A$4:$EO$14,((MONTH($A52)-1)*12)+VLOOKUP(BG$4,$DE$6:$DF$17,2)+1))*(VLOOKUP($A52,CURVES!$D$9:$T$261,7))*(INDEX(DailyScalarsTable,BG$5/100,MONTH($A52)))*$D52</f>
        <v>-6644.9155690262014</v>
      </c>
      <c r="BH52" s="1021">
        <f>(VLOOKUP(YEAR($A52),'NY East Load Projections'!$A$4:$EO$14,((MONTH($A52)-1)*12)+VLOOKUP(BH$4,$DE$6:$DF$17,2)+1))*(VLOOKUP($A52,CURVES!$D$9:$T$261,7))*(INDEX(DailyScalarsTable,BH$5/100,MONTH($A52)))*$D52</f>
        <v>-6377.2186753579881</v>
      </c>
      <c r="BI52" s="1021">
        <f>(VLOOKUP(YEAR($A52),'NY East Load Projections'!$A$4:$EO$14,((MONTH($A52)-1)*12)+VLOOKUP(BI$4,$DE$6:$DF$17,2)+1))*(VLOOKUP($A52,CURVES!$D$9:$T$261,7))*(INDEX(DailyScalarsTable,BI$5/100,MONTH($A52)))*$D52</f>
        <v>-6380.9890541420464</v>
      </c>
      <c r="BJ52" s="1021">
        <f>(VLOOKUP(YEAR($A52),'NY East Load Projections'!$A$4:$EO$14,((MONTH($A52)-1)*12)+VLOOKUP(BJ$4,$DE$6:$DF$17,2)+1))*(VLOOKUP($A52,CURVES!$D$9:$T$261,7))*(INDEX(DailyScalarsTable,BJ$5/100,MONTH($A52)))*$D52</f>
        <v>-6936.2337704397441</v>
      </c>
      <c r="BK52" s="1021">
        <f>(VLOOKUP(YEAR($A52),'NY East Load Projections'!$A$4:$EO$14,((MONTH($A52)-1)*12)+VLOOKUP(BK$4,$DE$6:$DF$17,2)+1))*(VLOOKUP($A52,CURVES!$D$9:$T$261,7))*(INDEX(DailyScalarsTable,BK$5/100,MONTH($A52)))*$D52</f>
        <v>-7991.3982899583771</v>
      </c>
      <c r="BL52" s="1021">
        <f>(VLOOKUP(YEAR($A52),'NY East Load Projections'!$A$4:$EO$14,((MONTH($A52)-1)*12)+VLOOKUP(BL$4,$DE$6:$DF$17,2)+1))*(VLOOKUP($A52,CURVES!$D$9:$T$261,7))*(INDEX(DailyScalarsTable,BL$5/100,MONTH($A52)))*$D52</f>
        <v>-11446.889928933102</v>
      </c>
      <c r="BM52" s="1021">
        <f>(VLOOKUP(YEAR($A52),'NY East Load Projections'!$A$4:$EO$14,((MONTH($A52)-1)*12)+VLOOKUP(BM$4,$DE$6:$DF$17,2)+1))*(VLOOKUP($A52,SatSunCurve,7))*(INDEX(DailyScalarsTable,BM$5/100,MONTH($A52)))*$D52</f>
        <v>-9300.0943559668067</v>
      </c>
      <c r="BN52" s="1021">
        <f>(VLOOKUP(YEAR($A52),'NY East Load Projections'!$A$4:$EO$14,((MONTH($A52)-1)*12)+VLOOKUP(BN$4,$DE$6:$DF$17,2)+1))*(VLOOKUP($A52,SatSunCurve,7))*(INDEX(DailyScalarsTable,BN$5/100,MONTH($A52)))*$D52</f>
        <v>-10581.300436381454</v>
      </c>
      <c r="BO52" s="1021">
        <f>(VLOOKUP(YEAR($A52),'NY East Load Projections'!$A$4:$EO$14,((MONTH($A52)-1)*12)+VLOOKUP(BO$4,$DE$6:$DF$17,2)+1))*(VLOOKUP($A52,SatSunCurve,7))*(INDEX(DailyScalarsTable,BO$5/100,MONTH($A52)))*$D52</f>
        <v>-10512.771096954513</v>
      </c>
      <c r="BP52" s="1021">
        <f>(VLOOKUP(YEAR($A52),'NY East Load Projections'!$A$4:$EO$14,((MONTH($A52)-1)*12)+VLOOKUP(BP$4,$DE$6:$DF$17,2)+1))*(VLOOKUP($A52,SatSunCurve,7))*(INDEX(DailyScalarsTable,BP$5/100,MONTH($A52)))*$D52</f>
        <v>-10309.961295136944</v>
      </c>
      <c r="BQ52" s="1021">
        <f>(VLOOKUP(YEAR($A52),'NY East Load Projections'!$A$4:$EO$14,((MONTH($A52)-1)*12)+VLOOKUP(BQ$4,$DE$6:$DF$17,2)+1))*(VLOOKUP($A52,SatSunCurve,7))*(INDEX(DailyScalarsTable,BQ$5/100,MONTH($A52)))*$D52</f>
        <v>-8681.0003755154685</v>
      </c>
      <c r="BR52" s="1021">
        <f>(VLOOKUP(YEAR($A52),'NY East Load Projections'!$A$4:$EO$14,((MONTH($A52)-1)*12)+VLOOKUP(BR$4,$DE$6:$DF$17,2)+1))*(VLOOKUP($A52,SatSunCurve,7))*(INDEX(DailyScalarsTable,BR$5/100,MONTH($A52)))*$D52</f>
        <v>-8371.644023737188</v>
      </c>
      <c r="BS52" s="1021">
        <f>(VLOOKUP(YEAR($A52),'NY East Load Projections'!$A$4:$EO$14,((MONTH($A52)-1)*12)+VLOOKUP(BS$4,$DE$6:$DF$17,2)+1))*(VLOOKUP($A52,SatSunCurve,7))*(INDEX(DailyScalarsTable,BS$5/100,MONTH($A52)))*$D52</f>
        <v>-8146.9209935383296</v>
      </c>
      <c r="BT52" s="1021">
        <f>(VLOOKUP(YEAR($A52),'NY East Load Projections'!$A$4:$EO$14,((MONTH($A52)-1)*12)+VLOOKUP(BT$4,$DE$6:$DF$17,2)+1))*(VLOOKUP($A52,SatSunCurve,7))*(INDEX(DailyScalarsTable,BT$5/100,MONTH($A52)))*$D52</f>
        <v>-7956.3331071671464</v>
      </c>
      <c r="BU52" s="1021">
        <f>(VLOOKUP(YEAR($A52),'NY East Load Projections'!$A$4:$EO$14,((MONTH($A52)-1)*12)+VLOOKUP(BU$4,$DE$6:$DF$17,2)+1))*(VLOOKUP($A52,SatSunCurve,7))*(INDEX(DailyScalarsTable,BU$5/100,MONTH($A52)))*$D52</f>
        <v>-7825.4817224943945</v>
      </c>
      <c r="BV52" s="1021">
        <f>(VLOOKUP(YEAR($A52),'NY East Load Projections'!$A$4:$EO$14,((MONTH($A52)-1)*12)+VLOOKUP(BV$4,$DE$6:$DF$17,2)+1))*(VLOOKUP($A52,SatSunCurve,7))*(INDEX(DailyScalarsTable,BV$5/100,MONTH($A52)))*$D52</f>
        <v>-8028.9827992785222</v>
      </c>
      <c r="BW52" s="1021">
        <f>(VLOOKUP(YEAR($A52),'NY East Load Projections'!$A$4:$EO$14,((MONTH($A52)-1)*12)+VLOOKUP(BW$4,$DE$6:$DF$17,2)+1))*(VLOOKUP($A52,SatSunCurve,7))*(INDEX(DailyScalarsTable,BW$5/100,MONTH($A52)))*$D52</f>
        <v>-11021.965897813996</v>
      </c>
      <c r="BX52" s="1021">
        <f>(VLOOKUP(YEAR($A52),'NY East Load Projections'!$A$4:$EO$14,((MONTH($A52)-1)*12)+VLOOKUP(BX$4,$DE$6:$DF$17,2)+1))*(VLOOKUP($A52,SatSunCurve,7))*(INDEX(DailyScalarsTable,BX$5/100,MONTH($A52)))*$D52</f>
        <v>-11110.713959434715</v>
      </c>
      <c r="BY52" s="1021">
        <f>(VLOOKUP(YEAR($A52),'NY East Load Projections'!$A$4:$EO$14,((MONTH($A52)-1)*12)+VLOOKUP(BY$4,$DE$6:$DF$17,2)+1))*(VLOOKUP($A52,SatSunCurve,7))*(INDEX(DailyScalarsTable,BY$5/100,MONTH($A52)))*$D52</f>
        <v>-10656.10654174491</v>
      </c>
      <c r="BZ52" s="1021">
        <f>(VLOOKUP(YEAR($A52),'NY East Load Projections'!$A$4:$EO$14,((MONTH($A52)-1)*12)+VLOOKUP(BZ$4,$DE$6:$DF$17,2)+1))*(VLOOKUP($A52,SatSunCurve,7))*(INDEX(DailyScalarsTable,BZ$5/100,MONTH($A52)))*$D52</f>
        <v>-9450.0320988463482</v>
      </c>
      <c r="CA52" s="1021">
        <f>(VLOOKUP(YEAR($A52),'NY East Load Projections'!$A$4:$EO$14,((MONTH($A52)-1)*12)+VLOOKUP(CA$4,$DE$6:$DF$17,2)+1))*(VLOOKUP($A52,SatSunCurve,7))*(INDEX(DailyScalarsTable,CA$5/100,MONTH($A52)))*$D52</f>
        <v>-7517.3273983108702</v>
      </c>
      <c r="CB52" s="1021">
        <f>(VLOOKUP(YEAR($A52),'NY East Load Projections'!$A$4:$EO$14,((MONTH($A52)-1)*12)+VLOOKUP(CB$4,$DE$6:$DF$17,2)+1))*(VLOOKUP($A52,SatSunCurve,7))*(INDEX(DailyScalarsTable,CB$5/100,MONTH($A52)))*$D52</f>
        <v>-6339.6532722998054</v>
      </c>
      <c r="CC52" s="1021">
        <f>(VLOOKUP(YEAR($A52),'NY East Load Projections'!$A$4:$EO$14,((MONTH($A52)-1)*12)+VLOOKUP(CC$4,$DE$6:$DF$17,2)+1))*(VLOOKUP($A52,CURVES!$D$9:$T$261,7))*(INDEX(DailyScalarsTable,CC$5/100,MONTH($A52)))*$D52</f>
        <v>-8037.1500485847428</v>
      </c>
      <c r="CE52" s="1021">
        <f>(VLOOKUP(YEAR($A52),'NY East Load Projections'!$A$4:$EO$14,((MONTH($A52)-1)*12)+VLOOKUP(CE$4,$DE$6:$DF$17,2)+1))*(VLOOKUP($A52,CURVES!$D$9:$T$261,7))*(INDEX(DailyScalarsTable,CE$5/100,MONTH($A52)))*$E52</f>
        <v>-1752.2835398915838</v>
      </c>
      <c r="CF52" s="1021">
        <f>(VLOOKUP(YEAR($A52),'NY East Load Projections'!$A$4:$EO$14,((MONTH($A52)-1)*12)+VLOOKUP(CF$4,$DE$6:$DF$17,2)+1))*(VLOOKUP($A52,CURVES!$D$9:$T$261,7))*(INDEX(DailyScalarsTable,CF$5/100,MONTH($A52)))*$E52</f>
        <v>-1661.2288922565504</v>
      </c>
      <c r="CG52" s="1021">
        <f>(VLOOKUP(YEAR($A52),'NY East Load Projections'!$A$4:$EO$14,((MONTH($A52)-1)*12)+VLOOKUP(CG$4,$DE$6:$DF$17,2)+1))*(VLOOKUP($A52,CURVES!$D$9:$T$261,7))*(INDEX(DailyScalarsTable,CG$5/100,MONTH($A52)))*$E52</f>
        <v>-1594.304668839497</v>
      </c>
      <c r="CH52" s="1021">
        <f>(VLOOKUP(YEAR($A52),'NY East Load Projections'!$A$4:$EO$14,((MONTH($A52)-1)*12)+VLOOKUP(CH$4,$DE$6:$DF$17,2)+1))*(VLOOKUP($A52,CURVES!$D$9:$T$261,7))*(INDEX(DailyScalarsTable,CH$5/100,MONTH($A52)))*$E52</f>
        <v>-1595.2472635355116</v>
      </c>
      <c r="CI52" s="1021">
        <f>(VLOOKUP(YEAR($A52),'NY East Load Projections'!$A$4:$EO$14,((MONTH($A52)-1)*12)+VLOOKUP(CI$4,$DE$6:$DF$17,2)+1))*(VLOOKUP($A52,CURVES!$D$9:$T$261,7))*(INDEX(DailyScalarsTable,CI$5/100,MONTH($A52)))*$E52</f>
        <v>-1734.058442609936</v>
      </c>
      <c r="CJ52" s="1021">
        <f>(VLOOKUP(YEAR($A52),'NY East Load Projections'!$A$4:$EO$14,((MONTH($A52)-1)*12)+VLOOKUP(CJ$4,$DE$6:$DF$17,2)+1))*(VLOOKUP($A52,CURVES!$D$9:$T$261,7))*(INDEX(DailyScalarsTable,CJ$5/100,MONTH($A52)))*$E52</f>
        <v>-1997.8495724895943</v>
      </c>
      <c r="CK52" s="1021">
        <f>(VLOOKUP(YEAR($A52),'NY East Load Projections'!$A$4:$EO$14,((MONTH($A52)-1)*12)+VLOOKUP(CK$4,$DE$6:$DF$17,2)+1))*(VLOOKUP($A52,CURVES!$D$9:$T$261,7))*(INDEX(DailyScalarsTable,CK$5/100,MONTH($A52)))*$E52</f>
        <v>-2861.7224822332755</v>
      </c>
      <c r="CL52" s="1021">
        <f>(VLOOKUP(YEAR($A52),'NY East Load Projections'!$A$4:$EO$14,((MONTH($A52)-1)*12)+VLOOKUP(CL$4,$DE$6:$DF$17,2)+1))*(VLOOKUP($A52,SatSunCurve,7))*(INDEX(DailyScalarsTable,CL$5/100,MONTH($A52)))*$E52</f>
        <v>-2325.0235889917017</v>
      </c>
      <c r="CM52" s="1021">
        <f>(VLOOKUP(YEAR($A52),'NY East Load Projections'!$A$4:$EO$14,((MONTH($A52)-1)*12)+VLOOKUP(CM$4,$DE$6:$DF$17,2)+1))*(VLOOKUP($A52,SatSunCurve,7))*(INDEX(DailyScalarsTable,CM$5/100,MONTH($A52)))*$E52</f>
        <v>-2645.3251090953636</v>
      </c>
      <c r="CN52" s="1021">
        <f>(VLOOKUP(YEAR($A52),'NY East Load Projections'!$A$4:$EO$14,((MONTH($A52)-1)*12)+VLOOKUP(CN$4,$DE$6:$DF$17,2)+1))*(VLOOKUP($A52,SatSunCurve,7))*(INDEX(DailyScalarsTable,CN$5/100,MONTH($A52)))*$E52</f>
        <v>-2628.1927742386283</v>
      </c>
      <c r="CO52" s="1021">
        <f>(VLOOKUP(YEAR($A52),'NY East Load Projections'!$A$4:$EO$14,((MONTH($A52)-1)*12)+VLOOKUP(CO$4,$DE$6:$DF$17,2)+1))*(VLOOKUP($A52,SatSunCurve,7))*(INDEX(DailyScalarsTable,CO$5/100,MONTH($A52)))*$E52</f>
        <v>-2577.4903237842359</v>
      </c>
      <c r="CP52" s="1021">
        <f>(VLOOKUP(YEAR($A52),'NY East Load Projections'!$A$4:$EO$14,((MONTH($A52)-1)*12)+VLOOKUP(CP$4,$DE$6:$DF$17,2)+1))*(VLOOKUP($A52,SatSunCurve,7))*(INDEX(DailyScalarsTable,CP$5/100,MONTH($A52)))*$E52</f>
        <v>-2170.2500938788671</v>
      </c>
      <c r="CQ52" s="1021">
        <f>(VLOOKUP(YEAR($A52),'NY East Load Projections'!$A$4:$EO$14,((MONTH($A52)-1)*12)+VLOOKUP(CQ$4,$DE$6:$DF$17,2)+1))*(VLOOKUP($A52,SatSunCurve,7))*(INDEX(DailyScalarsTable,CQ$5/100,MONTH($A52)))*$E52</f>
        <v>-2092.911005934297</v>
      </c>
      <c r="CR52" s="1021">
        <f>(VLOOKUP(YEAR($A52),'NY East Load Projections'!$A$4:$EO$14,((MONTH($A52)-1)*12)+VLOOKUP(CR$4,$DE$6:$DF$17,2)+1))*(VLOOKUP($A52,SatSunCurve,7))*(INDEX(DailyScalarsTable,CR$5/100,MONTH($A52)))*$E52</f>
        <v>-2036.7302483845824</v>
      </c>
      <c r="CS52" s="1021">
        <f>(VLOOKUP(YEAR($A52),'NY East Load Projections'!$A$4:$EO$14,((MONTH($A52)-1)*12)+VLOOKUP(CS$4,$DE$6:$DF$17,2)+1))*(VLOOKUP($A52,SatSunCurve,7))*(INDEX(DailyScalarsTable,CS$5/100,MONTH($A52)))*$E52</f>
        <v>-1989.0832767917866</v>
      </c>
      <c r="CT52" s="1021">
        <f>(VLOOKUP(YEAR($A52),'NY East Load Projections'!$A$4:$EO$14,((MONTH($A52)-1)*12)+VLOOKUP(CT$4,$DE$6:$DF$17,2)+1))*(VLOOKUP($A52,SatSunCurve,7))*(INDEX(DailyScalarsTable,CT$5/100,MONTH($A52)))*$E52</f>
        <v>-1956.3704306235986</v>
      </c>
      <c r="CU52" s="1021">
        <f>(VLOOKUP(YEAR($A52),'NY East Load Projections'!$A$4:$EO$14,((MONTH($A52)-1)*12)+VLOOKUP(CU$4,$DE$6:$DF$17,2)+1))*(VLOOKUP($A52,SatSunCurve,7))*(INDEX(DailyScalarsTable,CU$5/100,MONTH($A52)))*$E52</f>
        <v>-2007.2456998196305</v>
      </c>
      <c r="CV52" s="1021">
        <f>(VLOOKUP(YEAR($A52),'NY East Load Projections'!$A$4:$EO$14,((MONTH($A52)-1)*12)+VLOOKUP(CV$4,$DE$6:$DF$17,2)+1))*(VLOOKUP($A52,SatSunCurve,7))*(INDEX(DailyScalarsTable,CV$5/100,MONTH($A52)))*$E52</f>
        <v>-2755.491474453499</v>
      </c>
      <c r="CW52" s="1021">
        <f>(VLOOKUP(YEAR($A52),'NY East Load Projections'!$A$4:$EO$14,((MONTH($A52)-1)*12)+VLOOKUP(CW$4,$DE$6:$DF$17,2)+1))*(VLOOKUP($A52,SatSunCurve,7))*(INDEX(DailyScalarsTable,CW$5/100,MONTH($A52)))*$E52</f>
        <v>-2777.6784898586789</v>
      </c>
      <c r="CX52" s="1021">
        <f>(VLOOKUP(YEAR($A52),'NY East Load Projections'!$A$4:$EO$14,((MONTH($A52)-1)*12)+VLOOKUP(CX$4,$DE$6:$DF$17,2)+1))*(VLOOKUP($A52,SatSunCurve,7))*(INDEX(DailyScalarsTable,CX$5/100,MONTH($A52)))*$E52</f>
        <v>-2664.0266354362275</v>
      </c>
      <c r="CY52" s="1021">
        <f>(VLOOKUP(YEAR($A52),'NY East Load Projections'!$A$4:$EO$14,((MONTH($A52)-1)*12)+VLOOKUP(CY$4,$DE$6:$DF$17,2)+1))*(VLOOKUP($A52,SatSunCurve,7))*(INDEX(DailyScalarsTable,CY$5/100,MONTH($A52)))*$E52</f>
        <v>-2362.508024711587</v>
      </c>
      <c r="CZ52" s="1021">
        <f>(VLOOKUP(YEAR($A52),'NY East Load Projections'!$A$4:$EO$14,((MONTH($A52)-1)*12)+VLOOKUP(CZ$4,$DE$6:$DF$17,2)+1))*(VLOOKUP($A52,SatSunCurve,7))*(INDEX(DailyScalarsTable,CZ$5/100,MONTH($A52)))*$E52</f>
        <v>-1879.3318495777175</v>
      </c>
      <c r="DA52" s="1021">
        <f>(VLOOKUP(YEAR($A52),'NY East Load Projections'!$A$4:$EO$14,((MONTH($A52)-1)*12)+VLOOKUP(DA$4,$DE$6:$DF$17,2)+1))*(VLOOKUP($A52,SatSunCurve,7))*(INDEX(DailyScalarsTable,DA$5/100,MONTH($A52)))*$E52</f>
        <v>-1584.9133180749513</v>
      </c>
      <c r="DB52" s="1021">
        <f>(VLOOKUP(YEAR($A52),'NY East Load Projections'!$A$4:$EO$14,((MONTH($A52)-1)*12)+VLOOKUP(DB$4,$DE$6:$DF$17,2)+1))*(VLOOKUP($A52,CURVES!$D$9:$T$261,7))*(INDEX(DailyScalarsTable,DB$5/100,MONTH($A52)))*$E52</f>
        <v>-2009.2875121461857</v>
      </c>
      <c r="DH52" s="1032">
        <f t="shared" si="0"/>
        <v>-1890213.8676353192</v>
      </c>
      <c r="DI52">
        <f ca="1">CALC!J72</f>
        <v>0.70892999251362265</v>
      </c>
      <c r="DJ52" s="1029">
        <f t="shared" ca="1" si="1"/>
        <v>-1340029.3030318527</v>
      </c>
    </row>
    <row r="53" spans="1:114" x14ac:dyDescent="0.25">
      <c r="A53" s="244">
        <v>38322</v>
      </c>
      <c r="B53" s="13">
        <v>23</v>
      </c>
      <c r="C53" s="210">
        <v>3</v>
      </c>
      <c r="D53" s="210">
        <v>4</v>
      </c>
      <c r="E53" s="210">
        <v>1</v>
      </c>
      <c r="F53" s="13">
        <v>31</v>
      </c>
      <c r="H53" s="1021">
        <f>(VLOOKUP(YEAR($A53),'NY East Load Projections'!$A$4:$EO$14,((MONTH($A53)-1)*12)+VLOOKUP(H$4,$DE$6:$DF$17,2)+1))*(VLOOKUP($A53,CURVES!$D$9:$K$261,7))*(INDEX(DailyScalarsTable,H$5/100,MONTH($A53)))*$B53</f>
        <v>-39750.625244452123</v>
      </c>
      <c r="I53" s="1021">
        <f>(VLOOKUP(YEAR($A53),'NY East Load Projections'!$A$4:$EO$14,((MONTH($A53)-1)*12)+VLOOKUP(I$4,$DE$6:$DF$17,2)+1))*(VLOOKUP($A53,CURVES!$D$9:$K$261,7))*(INDEX(DailyScalarsTable,I$5/100,MONTH($A53)))*$B53</f>
        <v>-37685.046762142236</v>
      </c>
      <c r="J53" s="1021">
        <f>(VLOOKUP(YEAR($A53),'NY East Load Projections'!$A$4:$EO$14,((MONTH($A53)-1)*12)+VLOOKUP(J$4,$DE$6:$DF$17,2)+1))*(VLOOKUP($A53,CURVES!$D$9:$K$261,7))*(INDEX(DailyScalarsTable,J$5/100,MONTH($A53)))*$B53</f>
        <v>-36166.867960444499</v>
      </c>
      <c r="K53" s="1021">
        <f>(VLOOKUP(YEAR($A53),'NY East Load Projections'!$A$4:$EO$14,((MONTH($A53)-1)*12)+VLOOKUP(K$4,$DE$6:$DF$17,2)+1))*(VLOOKUP($A53,CURVES!$D$9:$K$261,7))*(INDEX(DailyScalarsTable,K$5/100,MONTH($A53)))*$B53</f>
        <v>-36188.250760468407</v>
      </c>
      <c r="L53" s="1021">
        <f>(VLOOKUP(YEAR($A53),'NY East Load Projections'!$A$4:$EO$14,((MONTH($A53)-1)*12)+VLOOKUP(L$4,$DE$6:$DF$17,2)+1))*(VLOOKUP($A53,CURVES!$D$9:$K$261,7))*(INDEX(DailyScalarsTable,L$5/100,MONTH($A53)))*$B53</f>
        <v>-43075.067597563866</v>
      </c>
      <c r="M53" s="1021">
        <f>(VLOOKUP(YEAR($A53),'NY East Load Projections'!$A$4:$EO$14,((MONTH($A53)-1)*12)+VLOOKUP(M$4,$DE$6:$DF$17,2)+1))*(VLOOKUP($A53,CURVES!$D$9:$K$261,7))*(INDEX(DailyScalarsTable,M$5/100,MONTH($A53)))*$B53</f>
        <v>-49627.799888467409</v>
      </c>
      <c r="N53" s="1021">
        <f>(VLOOKUP(YEAR($A53),'NY East Load Projections'!$A$4:$EO$14,((MONTH($A53)-1)*12)+VLOOKUP(N$4,$DE$6:$DF$17,2)+1))*(VLOOKUP($A53,CURVES!$D$9:$K$261,7))*(INDEX(DailyScalarsTable,N$5/100,MONTH($A53)))*$B53</f>
        <v>-71086.928986161656</v>
      </c>
      <c r="O53" s="1021">
        <f>(VLOOKUP(YEAR($A53),'NY East Load Projections'!$A$4:$EO$14,((MONTH($A53)-1)*12)+VLOOKUP(O$4,$DE$6:$DF$17,2)+1))*(VLOOKUP($A53,CURVES!$D$9:$K$261,3))*(INDEX(DailyScalarsTable,O$5/100,MONTH($A53)))*$B53</f>
        <v>-75422.100750706362</v>
      </c>
      <c r="P53" s="1021">
        <f>(VLOOKUP(YEAR($A53),'NY East Load Projections'!$A$4:$EO$14,((MONTH($A53)-1)*12)+VLOOKUP(P$4,$DE$6:$DF$17,2)+1))*(VLOOKUP($A53,CURVES!$D$9:$K$261,3))*(INDEX(DailyScalarsTable,P$5/100,MONTH($A53)))*$B53</f>
        <v>-88169.784394204617</v>
      </c>
      <c r="Q53" s="1021">
        <f>(VLOOKUP(YEAR($A53),'NY East Load Projections'!$A$4:$EO$14,((MONTH($A53)-1)*12)+VLOOKUP(Q$4,$DE$6:$DF$17,2)+1))*(VLOOKUP($A53,CURVES!$D$9:$K$261,3))*(INDEX(DailyScalarsTable,Q$5/100,MONTH($A53)))*$B53</f>
        <v>-87722.798891604674</v>
      </c>
      <c r="R53" s="1021">
        <f>(VLOOKUP(YEAR($A53),'NY East Load Projections'!$A$4:$EO$14,((MONTH($A53)-1)*12)+VLOOKUP(R$4,$DE$6:$DF$17,2)+1))*(VLOOKUP($A53,CURVES!$D$9:$K$261,3))*(INDEX(DailyScalarsTable,R$5/100,MONTH($A53)))*$B53</f>
        <v>-85813.64047372021</v>
      </c>
      <c r="S53" s="1021">
        <f>(VLOOKUP(YEAR($A53),'NY East Load Projections'!$A$4:$EO$14,((MONTH($A53)-1)*12)+VLOOKUP(S$4,$DE$6:$DF$17,2)+1))*(VLOOKUP($A53,CURVES!$D$9:$K$261,3))*(INDEX(DailyScalarsTable,S$5/100,MONTH($A53)))*$B53</f>
        <v>-69729.738405590251</v>
      </c>
      <c r="T53" s="1021">
        <f>(VLOOKUP(YEAR($A53),'NY East Load Projections'!$A$4:$EO$14,((MONTH($A53)-1)*12)+VLOOKUP(T$4,$DE$6:$DF$17,2)+1))*(VLOOKUP($A53,CURVES!$D$9:$K$261,3))*(INDEX(DailyScalarsTable,T$5/100,MONTH($A53)))*$B53</f>
        <v>-67257.884913820744</v>
      </c>
      <c r="U53" s="1021">
        <f>(VLOOKUP(YEAR($A53),'NY East Load Projections'!$A$4:$EO$14,((MONTH($A53)-1)*12)+VLOOKUP(U$4,$DE$6:$DF$17,2)+1))*(VLOOKUP($A53,CURVES!$D$9:$K$261,3))*(INDEX(DailyScalarsTable,U$5/100,MONTH($A53)))*$B53</f>
        <v>-64359.699679792808</v>
      </c>
      <c r="V53" s="1021">
        <f>(VLOOKUP(YEAR($A53),'NY East Load Projections'!$A$4:$EO$14,((MONTH($A53)-1)*12)+VLOOKUP(V$4,$DE$6:$DF$17,2)+1))*(VLOOKUP($A53,CURVES!$D$9:$K$261,3))*(INDEX(DailyScalarsTable,V$5/100,MONTH($A53)))*$B53</f>
        <v>-61123.264710228454</v>
      </c>
      <c r="W53" s="1021">
        <f>(VLOOKUP(YEAR($A53),'NY East Load Projections'!$A$4:$EO$14,((MONTH($A53)-1)*12)+VLOOKUP(W$4,$DE$6:$DF$17,2)+1))*(VLOOKUP($A53,CURVES!$D$9:$K$261,3))*(INDEX(DailyScalarsTable,W$5/100,MONTH($A53)))*$B53</f>
        <v>-60062.390539682412</v>
      </c>
      <c r="X53" s="1021">
        <f>(VLOOKUP(YEAR($A53),'NY East Load Projections'!$A$4:$EO$14,((MONTH($A53)-1)*12)+VLOOKUP(X$4,$DE$6:$DF$17,2)+1))*(VLOOKUP($A53,CURVES!$D$9:$K$261,3))*(INDEX(DailyScalarsTable,X$5/100,MONTH($A53)))*$B53</f>
        <v>-63957.97025161179</v>
      </c>
      <c r="Y53" s="1021">
        <f>(VLOOKUP(YEAR($A53),'NY East Load Projections'!$A$4:$EO$14,((MONTH($A53)-1)*12)+VLOOKUP(Y$4,$DE$6:$DF$17,2)+1))*(VLOOKUP($A53,CURVES!$D$9:$K$261,3))*(INDEX(DailyScalarsTable,Y$5/100,MONTH($A53)))*$B53</f>
        <v>-90138.801292359218</v>
      </c>
      <c r="Z53" s="1021">
        <f>(VLOOKUP(YEAR($A53),'NY East Load Projections'!$A$4:$EO$14,((MONTH($A53)-1)*12)+VLOOKUP(Z$4,$DE$6:$DF$17,2)+1))*(VLOOKUP($A53,CURVES!$D$9:$K$261,3))*(INDEX(DailyScalarsTable,Z$5/100,MONTH($A53)))*$B53</f>
        <v>-89538.249849743937</v>
      </c>
      <c r="AA53" s="1021">
        <f>(VLOOKUP(YEAR($A53),'NY East Load Projections'!$A$4:$EO$14,((MONTH($A53)-1)*12)+VLOOKUP(AA$4,$DE$6:$DF$17,2)+1))*(VLOOKUP($A53,CURVES!$D$9:$K$261,3))*(INDEX(DailyScalarsTable,AA$5/100,MONTH($A53)))*$B53</f>
        <v>-86454.96875449855</v>
      </c>
      <c r="AB53" s="1021">
        <f>(VLOOKUP(YEAR($A53),'NY East Load Projections'!$A$4:$EO$14,((MONTH($A53)-1)*12)+VLOOKUP(AB$4,$DE$6:$DF$17,2)+1))*(VLOOKUP($A53,CURVES!$D$9:$K$261,3))*(INDEX(DailyScalarsTable,AB$5/100,MONTH($A53)))*$B53</f>
        <v>-75869.328165188796</v>
      </c>
      <c r="AC53" s="1021">
        <f>(VLOOKUP(YEAR($A53),'NY East Load Projections'!$A$4:$EO$14,((MONTH($A53)-1)*12)+VLOOKUP(AC$4,$DE$6:$DF$17,2)+1))*(VLOOKUP($A53,CURVES!$D$9:$K$261,3))*(INDEX(DailyScalarsTable,AC$5/100,MONTH($A53)))*$B53</f>
        <v>-55930.565944478039</v>
      </c>
      <c r="AD53" s="1021">
        <f>(VLOOKUP(YEAR($A53),'NY East Load Projections'!$A$4:$EO$14,((MONTH($A53)-1)*12)+VLOOKUP(AD$4,$DE$6:$DF$17,2)+1))*(VLOOKUP($A53,CURVES!$D$9:$K$261,3))*(INDEX(DailyScalarsTable,AD$5/100,MONTH($A53)))*$B53</f>
        <v>-46143.537963588751</v>
      </c>
      <c r="AE53" s="1021">
        <f>(VLOOKUP(YEAR($A53),'NY East Load Projections'!$A$4:$EO$14,((MONTH($A53)-1)*12)+VLOOKUP(AE$4,$DE$6:$DF$17,2)+1))*(VLOOKUP($A53,CURVES!$D$9:$K$261,7))*(INDEX(DailyScalarsTable,AE$5/100,MONTH($A53)))*$B53</f>
        <v>-47276.946457277867</v>
      </c>
      <c r="AF53" s="1021"/>
      <c r="AG53" s="1021">
        <f>(VLOOKUP(YEAR($A53),'NY East Load Projections'!$A$4:$EO$14,((MONTH($A53)-1)*12)+VLOOKUP(AG$4,$DE$6:$DF$17,2)+1))*(VLOOKUP($A53,CURVES!$D$9:$T$261,7))*(INDEX(DailyScalarsTable,AG$5/100,MONTH($A53)))*$C53</f>
        <v>-5481.7294742133645</v>
      </c>
      <c r="AH53" s="1021">
        <f>(VLOOKUP(YEAR($A53),'NY East Load Projections'!$A$4:$EO$14,((MONTH($A53)-1)*12)+VLOOKUP(AH$4,$DE$6:$DF$17,2)+1))*(VLOOKUP($A53,CURVES!$D$9:$T$261,7))*(INDEX(DailyScalarsTable,AH$5/100,MONTH($A53)))*$C53</f>
        <v>-5196.8800566722075</v>
      </c>
      <c r="AI53" s="1021">
        <f>(VLOOKUP(YEAR($A53),'NY East Load Projections'!$A$4:$EO$14,((MONTH($A53)-1)*12)+VLOOKUP(AI$4,$DE$6:$DF$17,2)+1))*(VLOOKUP($A53,CURVES!$D$9:$T$261,7))*(INDEX(DailyScalarsTable,AI$5/100,MONTH($A53)))*$C53</f>
        <v>-4987.5186835311915</v>
      </c>
      <c r="AJ53" s="1021">
        <f>(VLOOKUP(YEAR($A53),'NY East Load Projections'!$A$4:$EO$14,((MONTH($A53)-1)*12)+VLOOKUP(AJ$4,$DE$6:$DF$17,2)+1))*(VLOOKUP($A53,CURVES!$D$9:$T$261,7))*(INDEX(DailyScalarsTable,AJ$5/100,MONTH($A53)))*$C53</f>
        <v>-4990.4674352655711</v>
      </c>
      <c r="AK53" s="1021">
        <f>(VLOOKUP(YEAR($A53),'NY East Load Projections'!$A$4:$EO$14,((MONTH($A53)-1)*12)+VLOOKUP(AK$4,$DE$6:$DF$17,2)+1))*(VLOOKUP($A53,CURVES!$D$9:$T$261,7))*(INDEX(DailyScalarsTable,AK$5/100,MONTH($A53)))*$C53</f>
        <v>-5464.480127572856</v>
      </c>
      <c r="AL53" s="1021">
        <f>(VLOOKUP(YEAR($A53),'NY East Load Projections'!$A$4:$EO$14,((MONTH($A53)-1)*12)+VLOOKUP(AL$4,$DE$6:$DF$17,2)+1))*(VLOOKUP($A53,CURVES!$D$9:$T$261,7))*(INDEX(DailyScalarsTable,AL$5/100,MONTH($A53)))*$C53</f>
        <v>-6295.756255087801</v>
      </c>
      <c r="AM53" s="1021">
        <f>(VLOOKUP(YEAR($A53),'NY East Load Projections'!$A$4:$EO$14,((MONTH($A53)-1)*12)+VLOOKUP(AM$4,$DE$6:$DF$17,2)+1))*(VLOOKUP($A53,CURVES!$D$9:$T$261,7))*(INDEX(DailyScalarsTable,AM$5/100,MONTH($A53)))*$C53</f>
        <v>-9018.0499402636451</v>
      </c>
      <c r="AN53" s="1021">
        <f>(VLOOKUP(YEAR($A53),'NY East Load Projections'!$A$4:$EO$14,((MONTH($A53)-1)*12)+VLOOKUP(AN$4,$DE$6:$DF$17,2)+1))*(VLOOKUP($A53,SatSunCurve,3))*(INDEX(DailyScalarsTable,AN$5/100,MONTH($A53)))*$C53</f>
        <v>-8008.7183561588245</v>
      </c>
      <c r="AO53" s="1021">
        <f>(VLOOKUP(YEAR($A53),'NY East Load Projections'!$A$4:$EO$14,((MONTH($A53)-1)*12)+VLOOKUP(AO$4,$DE$6:$DF$17,2)+1))*(VLOOKUP($A53,SatSunCurve,3))*(INDEX(DailyScalarsTable,AO$5/100,MONTH($A53)))*$C53</f>
        <v>-9152.0892525893778</v>
      </c>
      <c r="AP53" s="1021">
        <f>(VLOOKUP(YEAR($A53),'NY East Load Projections'!$A$4:$EO$14,((MONTH($A53)-1)*12)+VLOOKUP(AP$4,$DE$6:$DF$17,2)+1))*(VLOOKUP($A53,SatSunCurve,3))*(INDEX(DailyScalarsTable,AP$5/100,MONTH($A53)))*$C53</f>
        <v>-9105.6918246891582</v>
      </c>
      <c r="AQ53" s="1021">
        <f>(VLOOKUP(YEAR($A53),'NY East Load Projections'!$A$4:$EO$14,((MONTH($A53)-1)*12)+VLOOKUP(AQ$4,$DE$6:$DF$17,2)+1))*(VLOOKUP($A53,SatSunCurve,3))*(INDEX(DailyScalarsTable,AQ$5/100,MONTH($A53)))*$C53</f>
        <v>-8907.5197597593997</v>
      </c>
      <c r="AR53" s="1021">
        <f>(VLOOKUP(YEAR($A53),'NY East Load Projections'!$A$4:$EO$14,((MONTH($A53)-1)*12)+VLOOKUP(AR$4,$DE$6:$DF$17,2)+1))*(VLOOKUP($A53,SatSunCurve,3))*(INDEX(DailyScalarsTable,AR$5/100,MONTH($A53)))*$C53</f>
        <v>-7237.9987524344933</v>
      </c>
      <c r="AS53" s="1021">
        <f>(VLOOKUP(YEAR($A53),'NY East Load Projections'!$A$4:$EO$14,((MONTH($A53)-1)*12)+VLOOKUP(AS$4,$DE$6:$DF$17,2)+1))*(VLOOKUP($A53,SatSunCurve,3))*(INDEX(DailyScalarsTable,AS$5/100,MONTH($A53)))*$C53</f>
        <v>-6919.9856521120046</v>
      </c>
      <c r="AT53" s="1021">
        <f>(VLOOKUP(YEAR($A53),'NY East Load Projections'!$A$4:$EO$14,((MONTH($A53)-1)*12)+VLOOKUP(AT$4,$DE$6:$DF$17,2)+1))*(VLOOKUP($A53,SatSunCurve,3))*(INDEX(DailyScalarsTable,AT$5/100,MONTH($A53)))*$C53</f>
        <v>-6621.7990489749354</v>
      </c>
      <c r="AU53" s="1021">
        <f>(VLOOKUP(YEAR($A53),'NY East Load Projections'!$A$4:$EO$14,((MONTH($A53)-1)*12)+VLOOKUP(AU$4,$DE$6:$DF$17,2)+1))*(VLOOKUP($A53,SatSunCurve,3))*(INDEX(DailyScalarsTable,AU$5/100,MONTH($A53)))*$C53</f>
        <v>-6288.8108263735921</v>
      </c>
      <c r="AV53" s="1021">
        <f>(VLOOKUP(YEAR($A53),'NY East Load Projections'!$A$4:$EO$14,((MONTH($A53)-1)*12)+VLOOKUP(AV$4,$DE$6:$DF$17,2)+1))*(VLOOKUP($A53,SatSunCurve,3))*(INDEX(DailyScalarsTable,AV$5/100,MONTH($A53)))*$C53</f>
        <v>-6179.6602925992793</v>
      </c>
      <c r="AW53" s="1021">
        <f>(VLOOKUP(YEAR($A53),'NY East Load Projections'!$A$4:$EO$14,((MONTH($A53)-1)*12)+VLOOKUP(AW$4,$DE$6:$DF$17,2)+1))*(VLOOKUP($A53,SatSunCurve,3))*(INDEX(DailyScalarsTable,AW$5/100,MONTH($A53)))*$C53</f>
        <v>-6677.5698946139364</v>
      </c>
      <c r="AX53" s="1021">
        <f>(VLOOKUP(YEAR($A53),'NY East Load Projections'!$A$4:$EO$14,((MONTH($A53)-1)*12)+VLOOKUP(AX$4,$DE$6:$DF$17,2)+1))*(VLOOKUP($A53,SatSunCurve,3))*(INDEX(DailyScalarsTable,AX$5/100,MONTH($A53)))*$C53</f>
        <v>-9410.9951188026844</v>
      </c>
      <c r="AY53" s="1021">
        <f>(VLOOKUP(YEAR($A53),'NY East Load Projections'!$A$4:$EO$14,((MONTH($A53)-1)*12)+VLOOKUP(AY$4,$DE$6:$DF$17,2)+1))*(VLOOKUP($A53,SatSunCurve,3))*(INDEX(DailyScalarsTable,AY$5/100,MONTH($A53)))*$C53</f>
        <v>-9348.2941885261498</v>
      </c>
      <c r="AZ53" s="1021">
        <f>(VLOOKUP(YEAR($A53),'NY East Load Projections'!$A$4:$EO$14,((MONTH($A53)-1)*12)+VLOOKUP(AZ$4,$DE$6:$DF$17,2)+1))*(VLOOKUP($A53,SatSunCurve,3))*(INDEX(DailyScalarsTable,AZ$5/100,MONTH($A53)))*$C53</f>
        <v>-9026.382393369955</v>
      </c>
      <c r="BA53" s="1021">
        <f>(VLOOKUP(YEAR($A53),'NY East Load Projections'!$A$4:$EO$14,((MONTH($A53)-1)*12)+VLOOKUP(BA$4,$DE$6:$DF$17,2)+1))*(VLOOKUP($A53,SatSunCurve,3))*(INDEX(DailyScalarsTable,BA$5/100,MONTH($A53)))*$C53</f>
        <v>-8488.5548169844496</v>
      </c>
      <c r="BB53" s="1021">
        <f>(VLOOKUP(YEAR($A53),'NY East Load Projections'!$A$4:$EO$14,((MONTH($A53)-1)*12)+VLOOKUP(BB$4,$DE$6:$DF$17,2)+1))*(VLOOKUP($A53,SatSunCurve,3))*(INDEX(DailyScalarsTable,BB$5/100,MONTH($A53)))*$C53</f>
        <v>-6257.7287350028837</v>
      </c>
      <c r="BC53" s="1021">
        <f>(VLOOKUP(YEAR($A53),'NY East Load Projections'!$A$4:$EO$14,((MONTH($A53)-1)*12)+VLOOKUP(BC$4,$DE$6:$DF$17,2)+1))*(VLOOKUP($A53,SatSunCurve,3))*(INDEX(DailyScalarsTable,BC$5/100,MONTH($A53)))*$C53</f>
        <v>-5162.7180696882278</v>
      </c>
      <c r="BD53" s="1021">
        <f>(VLOOKUP(YEAR($A53),'NY East Load Projections'!$A$4:$EO$14,((MONTH($A53)-1)*12)+VLOOKUP(BD$4,$DE$6:$DF$17,2)+1))*(VLOOKUP($A53,CURVES!$D$9:$T$261,7))*(INDEX(DailyScalarsTable,BD$5/100,MONTH($A53)))*$C53</f>
        <v>-6319.3938706945191</v>
      </c>
      <c r="BE53" s="1021"/>
      <c r="BF53" s="1021">
        <f>(VLOOKUP(YEAR($A53),'NY East Load Projections'!$A$4:$EO$14,((MONTH($A53)-1)*12)+VLOOKUP(BF$4,$DE$6:$DF$17,2)+1))*(VLOOKUP($A53,CURVES!$D$9:$T$261,7))*(INDEX(DailyScalarsTable,BF$5/100,MONTH($A53)))*$D53</f>
        <v>-7308.9726322844863</v>
      </c>
      <c r="BG53" s="1021">
        <f>(VLOOKUP(YEAR($A53),'NY East Load Projections'!$A$4:$EO$14,((MONTH($A53)-1)*12)+VLOOKUP(BG$4,$DE$6:$DF$17,2)+1))*(VLOOKUP($A53,CURVES!$D$9:$T$261,7))*(INDEX(DailyScalarsTable,BG$5/100,MONTH($A53)))*$D53</f>
        <v>-6929.1734088962767</v>
      </c>
      <c r="BH53" s="1021">
        <f>(VLOOKUP(YEAR($A53),'NY East Load Projections'!$A$4:$EO$14,((MONTH($A53)-1)*12)+VLOOKUP(BH$4,$DE$6:$DF$17,2)+1))*(VLOOKUP($A53,CURVES!$D$9:$T$261,7))*(INDEX(DailyScalarsTable,BH$5/100,MONTH($A53)))*$D53</f>
        <v>-6650.0249113749223</v>
      </c>
      <c r="BI53" s="1021">
        <f>(VLOOKUP(YEAR($A53),'NY East Load Projections'!$A$4:$EO$14,((MONTH($A53)-1)*12)+VLOOKUP(BI$4,$DE$6:$DF$17,2)+1))*(VLOOKUP($A53,CURVES!$D$9:$T$261,7))*(INDEX(DailyScalarsTable,BI$5/100,MONTH($A53)))*$D53</f>
        <v>-6653.9565803540954</v>
      </c>
      <c r="BJ53" s="1021">
        <f>(VLOOKUP(YEAR($A53),'NY East Load Projections'!$A$4:$EO$14,((MONTH($A53)-1)*12)+VLOOKUP(BJ$4,$DE$6:$DF$17,2)+1))*(VLOOKUP($A53,CURVES!$D$9:$T$261,7))*(INDEX(DailyScalarsTable,BJ$5/100,MONTH($A53)))*$D53</f>
        <v>-7285.9735034304749</v>
      </c>
      <c r="BK53" s="1021">
        <f>(VLOOKUP(YEAR($A53),'NY East Load Projections'!$A$4:$EO$14,((MONTH($A53)-1)*12)+VLOOKUP(BK$4,$DE$6:$DF$17,2)+1))*(VLOOKUP($A53,CURVES!$D$9:$T$261,7))*(INDEX(DailyScalarsTable,BK$5/100,MONTH($A53)))*$D53</f>
        <v>-8394.3416734504008</v>
      </c>
      <c r="BL53" s="1021">
        <f>(VLOOKUP(YEAR($A53),'NY East Load Projections'!$A$4:$EO$14,((MONTH($A53)-1)*12)+VLOOKUP(BL$4,$DE$6:$DF$17,2)+1))*(VLOOKUP($A53,CURVES!$D$9:$T$261,7))*(INDEX(DailyScalarsTable,BL$5/100,MONTH($A53)))*$D53</f>
        <v>-12024.066587018193</v>
      </c>
      <c r="BM53" s="1021">
        <f>(VLOOKUP(YEAR($A53),'NY East Load Projections'!$A$4:$EO$14,((MONTH($A53)-1)*12)+VLOOKUP(BM$4,$DE$6:$DF$17,2)+1))*(VLOOKUP($A53,SatSunCurve,7))*(INDEX(DailyScalarsTable,BM$5/100,MONTH($A53)))*$D53</f>
        <v>-9219.417478442203</v>
      </c>
      <c r="BN53" s="1021">
        <f>(VLOOKUP(YEAR($A53),'NY East Load Projections'!$A$4:$EO$14,((MONTH($A53)-1)*12)+VLOOKUP(BN$4,$DE$6:$DF$17,2)+1))*(VLOOKUP($A53,SatSunCurve,7))*(INDEX(DailyScalarsTable,BN$5/100,MONTH($A53)))*$D53</f>
        <v>-10535.634775406785</v>
      </c>
      <c r="BO53" s="1021">
        <f>(VLOOKUP(YEAR($A53),'NY East Load Projections'!$A$4:$EO$14,((MONTH($A53)-1)*12)+VLOOKUP(BO$4,$DE$6:$DF$17,2)+1))*(VLOOKUP($A53,SatSunCurve,7))*(INDEX(DailyScalarsTable,BO$5/100,MONTH($A53)))*$D53</f>
        <v>-10482.22332569472</v>
      </c>
      <c r="BP53" s="1021">
        <f>(VLOOKUP(YEAR($A53),'NY East Load Projections'!$A$4:$EO$14,((MONTH($A53)-1)*12)+VLOOKUP(BP$4,$DE$6:$DF$17,2)+1))*(VLOOKUP($A53,SatSunCurve,7))*(INDEX(DailyScalarsTable,BP$5/100,MONTH($A53)))*$D53</f>
        <v>-10254.0930659076</v>
      </c>
      <c r="BQ53" s="1021">
        <f>(VLOOKUP(YEAR($A53),'NY East Load Projections'!$A$4:$EO$14,((MONTH($A53)-1)*12)+VLOOKUP(BQ$4,$DE$6:$DF$17,2)+1))*(VLOOKUP($A53,SatSunCurve,7))*(INDEX(DailyScalarsTable,BQ$5/100,MONTH($A53)))*$D53</f>
        <v>-8332.1861550819758</v>
      </c>
      <c r="BR53" s="1021">
        <f>(VLOOKUP(YEAR($A53),'NY East Load Projections'!$A$4:$EO$14,((MONTH($A53)-1)*12)+VLOOKUP(BR$4,$DE$6:$DF$17,2)+1))*(VLOOKUP($A53,SatSunCurve,7))*(INDEX(DailyScalarsTable,BR$5/100,MONTH($A53)))*$D53</f>
        <v>-7966.0981738218925</v>
      </c>
      <c r="BS53" s="1021">
        <f>(VLOOKUP(YEAR($A53),'NY East Load Projections'!$A$4:$EO$14,((MONTH($A53)-1)*12)+VLOOKUP(BS$4,$DE$6:$DF$17,2)+1))*(VLOOKUP($A53,SatSunCurve,7))*(INDEX(DailyScalarsTable,BS$5/100,MONTH($A53)))*$D53</f>
        <v>-7622.8339137314997</v>
      </c>
      <c r="BT53" s="1021">
        <f>(VLOOKUP(YEAR($A53),'NY East Load Projections'!$A$4:$EO$14,((MONTH($A53)-1)*12)+VLOOKUP(BT$4,$DE$6:$DF$17,2)+1))*(VLOOKUP($A53,SatSunCurve,7))*(INDEX(DailyScalarsTable,BT$5/100,MONTH($A53)))*$D53</f>
        <v>-7239.5069813759137</v>
      </c>
      <c r="BU53" s="1021">
        <f>(VLOOKUP(YEAR($A53),'NY East Load Projections'!$A$4:$EO$14,((MONTH($A53)-1)*12)+VLOOKUP(BU$4,$DE$6:$DF$17,2)+1))*(VLOOKUP($A53,SatSunCurve,7))*(INDEX(DailyScalarsTable,BU$5/100,MONTH($A53)))*$D53</f>
        <v>-7113.8558729078122</v>
      </c>
      <c r="BV53" s="1021">
        <f>(VLOOKUP(YEAR($A53),'NY East Load Projections'!$A$4:$EO$14,((MONTH($A53)-1)*12)+VLOOKUP(BV$4,$DE$6:$DF$17,2)+1))*(VLOOKUP($A53,SatSunCurve,7))*(INDEX(DailyScalarsTable,BV$5/100,MONTH($A53)))*$D53</f>
        <v>-7687.0357855174279</v>
      </c>
      <c r="BW53" s="1021">
        <f>(VLOOKUP(YEAR($A53),'NY East Load Projections'!$A$4:$EO$14,((MONTH($A53)-1)*12)+VLOOKUP(BW$4,$DE$6:$DF$17,2)+1))*(VLOOKUP($A53,SatSunCurve,7))*(INDEX(DailyScalarsTable,BW$5/100,MONTH($A53)))*$D53</f>
        <v>-10833.680125747085</v>
      </c>
      <c r="BX53" s="1021">
        <f>(VLOOKUP(YEAR($A53),'NY East Load Projections'!$A$4:$EO$14,((MONTH($A53)-1)*12)+VLOOKUP(BX$4,$DE$6:$DF$17,2)+1))*(VLOOKUP($A53,SatSunCurve,7))*(INDEX(DailyScalarsTable,BX$5/100,MONTH($A53)))*$D53</f>
        <v>-10761.500530111596</v>
      </c>
      <c r="BY53" s="1021">
        <f>(VLOOKUP(YEAR($A53),'NY East Load Projections'!$A$4:$EO$14,((MONTH($A53)-1)*12)+VLOOKUP(BY$4,$DE$6:$DF$17,2)+1))*(VLOOKUP($A53,SatSunCurve,7))*(INDEX(DailyScalarsTable,BY$5/100,MONTH($A53)))*$D53</f>
        <v>-10390.924478014895</v>
      </c>
      <c r="BZ53" s="1021">
        <f>(VLOOKUP(YEAR($A53),'NY East Load Projections'!$A$4:$EO$14,((MONTH($A53)-1)*12)+VLOOKUP(BZ$4,$DE$6:$DF$17,2)+1))*(VLOOKUP($A53,SatSunCurve,7))*(INDEX(DailyScalarsTable,BZ$5/100,MONTH($A53)))*$D53</f>
        <v>-9771.7920853389041</v>
      </c>
      <c r="CA53" s="1021">
        <f>(VLOOKUP(YEAR($A53),'NY East Load Projections'!$A$4:$EO$14,((MONTH($A53)-1)*12)+VLOOKUP(CA$4,$DE$6:$DF$17,2)+1))*(VLOOKUP($A53,SatSunCurve,7))*(INDEX(DailyScalarsTable,CA$5/100,MONTH($A53)))*$D53</f>
        <v>-7203.726128097529</v>
      </c>
      <c r="CB53" s="1021">
        <f>(VLOOKUP(YEAR($A53),'NY East Load Projections'!$A$4:$EO$14,((MONTH($A53)-1)*12)+VLOOKUP(CB$4,$DE$6:$DF$17,2)+1))*(VLOOKUP($A53,SatSunCurve,7))*(INDEX(DailyScalarsTable,CB$5/100,MONTH($A53)))*$D53</f>
        <v>-5943.179806210821</v>
      </c>
      <c r="CC53" s="1021">
        <f>(VLOOKUP(YEAR($A53),'NY East Load Projections'!$A$4:$EO$14,((MONTH($A53)-1)*12)+VLOOKUP(CC$4,$DE$6:$DF$17,2)+1))*(VLOOKUP($A53,CURVES!$D$9:$T$261,7))*(INDEX(DailyScalarsTable,CC$5/100,MONTH($A53)))*$D53</f>
        <v>-8425.8584942593588</v>
      </c>
      <c r="CE53" s="1021">
        <f>(VLOOKUP(YEAR($A53),'NY East Load Projections'!$A$4:$EO$14,((MONTH($A53)-1)*12)+VLOOKUP(CE$4,$DE$6:$DF$17,2)+1))*(VLOOKUP($A53,CURVES!$D$9:$T$261,7))*(INDEX(DailyScalarsTable,CE$5/100,MONTH($A53)))*$E53</f>
        <v>-1827.2431580711216</v>
      </c>
      <c r="CF53" s="1021">
        <f>(VLOOKUP(YEAR($A53),'NY East Load Projections'!$A$4:$EO$14,((MONTH($A53)-1)*12)+VLOOKUP(CF$4,$DE$6:$DF$17,2)+1))*(VLOOKUP($A53,CURVES!$D$9:$T$261,7))*(INDEX(DailyScalarsTable,CF$5/100,MONTH($A53)))*$E53</f>
        <v>-1732.2933522240692</v>
      </c>
      <c r="CG53" s="1021">
        <f>(VLOOKUP(YEAR($A53),'NY East Load Projections'!$A$4:$EO$14,((MONTH($A53)-1)*12)+VLOOKUP(CG$4,$DE$6:$DF$17,2)+1))*(VLOOKUP($A53,CURVES!$D$9:$T$261,7))*(INDEX(DailyScalarsTable,CG$5/100,MONTH($A53)))*$E53</f>
        <v>-1662.5062278437306</v>
      </c>
      <c r="CH53" s="1021">
        <f>(VLOOKUP(YEAR($A53),'NY East Load Projections'!$A$4:$EO$14,((MONTH($A53)-1)*12)+VLOOKUP(CH$4,$DE$6:$DF$17,2)+1))*(VLOOKUP($A53,CURVES!$D$9:$T$261,7))*(INDEX(DailyScalarsTable,CH$5/100,MONTH($A53)))*$E53</f>
        <v>-1663.4891450885239</v>
      </c>
      <c r="CI53" s="1021">
        <f>(VLOOKUP(YEAR($A53),'NY East Load Projections'!$A$4:$EO$14,((MONTH($A53)-1)*12)+VLOOKUP(CI$4,$DE$6:$DF$17,2)+1))*(VLOOKUP($A53,CURVES!$D$9:$T$261,7))*(INDEX(DailyScalarsTable,CI$5/100,MONTH($A53)))*$E53</f>
        <v>-1821.4933758576187</v>
      </c>
      <c r="CJ53" s="1021">
        <f>(VLOOKUP(YEAR($A53),'NY East Load Projections'!$A$4:$EO$14,((MONTH($A53)-1)*12)+VLOOKUP(CJ$4,$DE$6:$DF$17,2)+1))*(VLOOKUP($A53,CURVES!$D$9:$T$261,7))*(INDEX(DailyScalarsTable,CJ$5/100,MONTH($A53)))*$E53</f>
        <v>-2098.5854183626002</v>
      </c>
      <c r="CK53" s="1021">
        <f>(VLOOKUP(YEAR($A53),'NY East Load Projections'!$A$4:$EO$14,((MONTH($A53)-1)*12)+VLOOKUP(CK$4,$DE$6:$DF$17,2)+1))*(VLOOKUP($A53,CURVES!$D$9:$T$261,7))*(INDEX(DailyScalarsTable,CK$5/100,MONTH($A53)))*$E53</f>
        <v>-3006.0166467545482</v>
      </c>
      <c r="CL53" s="1021">
        <f>(VLOOKUP(YEAR($A53),'NY East Load Projections'!$A$4:$EO$14,((MONTH($A53)-1)*12)+VLOOKUP(CL$4,$DE$6:$DF$17,2)+1))*(VLOOKUP($A53,SatSunCurve,7))*(INDEX(DailyScalarsTable,CL$5/100,MONTH($A53)))*$E53</f>
        <v>-2304.8543696105507</v>
      </c>
      <c r="CM53" s="1021">
        <f>(VLOOKUP(YEAR($A53),'NY East Load Projections'!$A$4:$EO$14,((MONTH($A53)-1)*12)+VLOOKUP(CM$4,$DE$6:$DF$17,2)+1))*(VLOOKUP($A53,SatSunCurve,7))*(INDEX(DailyScalarsTable,CM$5/100,MONTH($A53)))*$E53</f>
        <v>-2633.9086938516962</v>
      </c>
      <c r="CN53" s="1021">
        <f>(VLOOKUP(YEAR($A53),'NY East Load Projections'!$A$4:$EO$14,((MONTH($A53)-1)*12)+VLOOKUP(CN$4,$DE$6:$DF$17,2)+1))*(VLOOKUP($A53,SatSunCurve,7))*(INDEX(DailyScalarsTable,CN$5/100,MONTH($A53)))*$E53</f>
        <v>-2620.55583142368</v>
      </c>
      <c r="CO53" s="1021">
        <f>(VLOOKUP(YEAR($A53),'NY East Load Projections'!$A$4:$EO$14,((MONTH($A53)-1)*12)+VLOOKUP(CO$4,$DE$6:$DF$17,2)+1))*(VLOOKUP($A53,SatSunCurve,7))*(INDEX(DailyScalarsTable,CO$5/100,MONTH($A53)))*$E53</f>
        <v>-2563.5232664769001</v>
      </c>
      <c r="CP53" s="1021">
        <f>(VLOOKUP(YEAR($A53),'NY East Load Projections'!$A$4:$EO$14,((MONTH($A53)-1)*12)+VLOOKUP(CP$4,$DE$6:$DF$17,2)+1))*(VLOOKUP($A53,SatSunCurve,7))*(INDEX(DailyScalarsTable,CP$5/100,MONTH($A53)))*$E53</f>
        <v>-2083.046538770494</v>
      </c>
      <c r="CQ53" s="1021">
        <f>(VLOOKUP(YEAR($A53),'NY East Load Projections'!$A$4:$EO$14,((MONTH($A53)-1)*12)+VLOOKUP(CQ$4,$DE$6:$DF$17,2)+1))*(VLOOKUP($A53,SatSunCurve,7))*(INDEX(DailyScalarsTable,CQ$5/100,MONTH($A53)))*$E53</f>
        <v>-1991.5245434554731</v>
      </c>
      <c r="CR53" s="1021">
        <f>(VLOOKUP(YEAR($A53),'NY East Load Projections'!$A$4:$EO$14,((MONTH($A53)-1)*12)+VLOOKUP(CR$4,$DE$6:$DF$17,2)+1))*(VLOOKUP($A53,SatSunCurve,7))*(INDEX(DailyScalarsTable,CR$5/100,MONTH($A53)))*$E53</f>
        <v>-1905.7084784328749</v>
      </c>
      <c r="CS53" s="1021">
        <f>(VLOOKUP(YEAR($A53),'NY East Load Projections'!$A$4:$EO$14,((MONTH($A53)-1)*12)+VLOOKUP(CS$4,$DE$6:$DF$17,2)+1))*(VLOOKUP($A53,SatSunCurve,7))*(INDEX(DailyScalarsTable,CS$5/100,MONTH($A53)))*$E53</f>
        <v>-1809.8767453439784</v>
      </c>
      <c r="CT53" s="1021">
        <f>(VLOOKUP(YEAR($A53),'NY East Load Projections'!$A$4:$EO$14,((MONTH($A53)-1)*12)+VLOOKUP(CT$4,$DE$6:$DF$17,2)+1))*(VLOOKUP($A53,SatSunCurve,7))*(INDEX(DailyScalarsTable,CT$5/100,MONTH($A53)))*$E53</f>
        <v>-1778.4639682269531</v>
      </c>
      <c r="CU53" s="1021">
        <f>(VLOOKUP(YEAR($A53),'NY East Load Projections'!$A$4:$EO$14,((MONTH($A53)-1)*12)+VLOOKUP(CU$4,$DE$6:$DF$17,2)+1))*(VLOOKUP($A53,SatSunCurve,7))*(INDEX(DailyScalarsTable,CU$5/100,MONTH($A53)))*$E53</f>
        <v>-1921.758946379357</v>
      </c>
      <c r="CV53" s="1021">
        <f>(VLOOKUP(YEAR($A53),'NY East Load Projections'!$A$4:$EO$14,((MONTH($A53)-1)*12)+VLOOKUP(CV$4,$DE$6:$DF$17,2)+1))*(VLOOKUP($A53,SatSunCurve,7))*(INDEX(DailyScalarsTable,CV$5/100,MONTH($A53)))*$E53</f>
        <v>-2708.4200314367713</v>
      </c>
      <c r="CW53" s="1021">
        <f>(VLOOKUP(YEAR($A53),'NY East Load Projections'!$A$4:$EO$14,((MONTH($A53)-1)*12)+VLOOKUP(CW$4,$DE$6:$DF$17,2)+1))*(VLOOKUP($A53,SatSunCurve,7))*(INDEX(DailyScalarsTable,CW$5/100,MONTH($A53)))*$E53</f>
        <v>-2690.375132527899</v>
      </c>
      <c r="CX53" s="1021">
        <f>(VLOOKUP(YEAR($A53),'NY East Load Projections'!$A$4:$EO$14,((MONTH($A53)-1)*12)+VLOOKUP(CX$4,$DE$6:$DF$17,2)+1))*(VLOOKUP($A53,SatSunCurve,7))*(INDEX(DailyScalarsTable,CX$5/100,MONTH($A53)))*$E53</f>
        <v>-2597.7311195037237</v>
      </c>
      <c r="CY53" s="1021">
        <f>(VLOOKUP(YEAR($A53),'NY East Load Projections'!$A$4:$EO$14,((MONTH($A53)-1)*12)+VLOOKUP(CY$4,$DE$6:$DF$17,2)+1))*(VLOOKUP($A53,SatSunCurve,7))*(INDEX(DailyScalarsTable,CY$5/100,MONTH($A53)))*$E53</f>
        <v>-2442.948021334726</v>
      </c>
      <c r="CZ53" s="1021">
        <f>(VLOOKUP(YEAR($A53),'NY East Load Projections'!$A$4:$EO$14,((MONTH($A53)-1)*12)+VLOOKUP(CZ$4,$DE$6:$DF$17,2)+1))*(VLOOKUP($A53,SatSunCurve,7))*(INDEX(DailyScalarsTable,CZ$5/100,MONTH($A53)))*$E53</f>
        <v>-1800.9315320243822</v>
      </c>
      <c r="DA53" s="1021">
        <f>(VLOOKUP(YEAR($A53),'NY East Load Projections'!$A$4:$EO$14,((MONTH($A53)-1)*12)+VLOOKUP(DA$4,$DE$6:$DF$17,2)+1))*(VLOOKUP($A53,SatSunCurve,7))*(INDEX(DailyScalarsTable,DA$5/100,MONTH($A53)))*$E53</f>
        <v>-1485.7949515527052</v>
      </c>
      <c r="DB53" s="1021">
        <f>(VLOOKUP(YEAR($A53),'NY East Load Projections'!$A$4:$EO$14,((MONTH($A53)-1)*12)+VLOOKUP(DB$4,$DE$6:$DF$17,2)+1))*(VLOOKUP($A53,CURVES!$D$9:$T$261,7))*(INDEX(DailyScalarsTable,DB$5/100,MONTH($A53)))*$E53</f>
        <v>-2106.4646235648397</v>
      </c>
      <c r="DH53" s="1032">
        <f t="shared" si="0"/>
        <v>-1955388.6220543741</v>
      </c>
      <c r="DI53">
        <f ca="1">CALC!J73</f>
        <v>0.70451331730150835</v>
      </c>
      <c r="DJ53" s="1029">
        <f t="shared" ca="1" si="1"/>
        <v>-1377597.3247371523</v>
      </c>
    </row>
    <row r="54" spans="1:114" x14ac:dyDescent="0.25">
      <c r="A54" s="244">
        <v>38353</v>
      </c>
      <c r="B54" s="13">
        <v>21</v>
      </c>
      <c r="C54" s="210">
        <v>4</v>
      </c>
      <c r="D54" s="210">
        <v>5</v>
      </c>
      <c r="E54" s="210">
        <v>1</v>
      </c>
      <c r="F54" s="13">
        <v>31</v>
      </c>
      <c r="H54" s="1021">
        <f>(VLOOKUP(YEAR($A54),'NY East Load Projections'!$A$4:$EO$14,((MONTH($A54)-1)*12)+VLOOKUP(H$4,$DE$6:$DF$17,2)+1))*(VLOOKUP($A54,CURVES!$D$9:$K$261,7))*(INDEX(DailyScalarsTable,H$5/100,MONTH($A54)))*$B54</f>
        <v>-33719.170973352841</v>
      </c>
      <c r="I54" s="1021">
        <f>(VLOOKUP(YEAR($A54),'NY East Load Projections'!$A$4:$EO$14,((MONTH($A54)-1)*12)+VLOOKUP(I$4,$DE$6:$DF$17,2)+1))*(VLOOKUP($A54,CURVES!$D$9:$K$261,7))*(INDEX(DailyScalarsTable,I$5/100,MONTH($A54)))*$B54</f>
        <v>-33062.227580608276</v>
      </c>
      <c r="J54" s="1021">
        <f>(VLOOKUP(YEAR($A54),'NY East Load Projections'!$A$4:$EO$14,((MONTH($A54)-1)*12)+VLOOKUP(J$4,$DE$6:$DF$17,2)+1))*(VLOOKUP($A54,CURVES!$D$9:$K$261,7))*(INDEX(DailyScalarsTable,J$5/100,MONTH($A54)))*$B54</f>
        <v>-30296.59117425439</v>
      </c>
      <c r="K54" s="1021">
        <f>(VLOOKUP(YEAR($A54),'NY East Load Projections'!$A$4:$EO$14,((MONTH($A54)-1)*12)+VLOOKUP(K$4,$DE$6:$DF$17,2)+1))*(VLOOKUP($A54,CURVES!$D$9:$K$261,7))*(INDEX(DailyScalarsTable,K$5/100,MONTH($A54)))*$B54</f>
        <v>-30278.273385581142</v>
      </c>
      <c r="L54" s="1021">
        <f>(VLOOKUP(YEAR($A54),'NY East Load Projections'!$A$4:$EO$14,((MONTH($A54)-1)*12)+VLOOKUP(L$4,$DE$6:$DF$17,2)+1))*(VLOOKUP($A54,CURVES!$D$9:$K$261,7))*(INDEX(DailyScalarsTable,L$5/100,MONTH($A54)))*$B54</f>
        <v>-34820.59273043798</v>
      </c>
      <c r="M54" s="1021">
        <f>(VLOOKUP(YEAR($A54),'NY East Load Projections'!$A$4:$EO$14,((MONTH($A54)-1)*12)+VLOOKUP(M$4,$DE$6:$DF$17,2)+1))*(VLOOKUP($A54,CURVES!$D$9:$K$261,7))*(INDEX(DailyScalarsTable,M$5/100,MONTH($A54)))*$B54</f>
        <v>-37161.161810605641</v>
      </c>
      <c r="N54" s="1021">
        <f>(VLOOKUP(YEAR($A54),'NY East Load Projections'!$A$4:$EO$14,((MONTH($A54)-1)*12)+VLOOKUP(N$4,$DE$6:$DF$17,2)+1))*(VLOOKUP($A54,CURVES!$D$9:$K$261,7))*(INDEX(DailyScalarsTable,N$5/100,MONTH($A54)))*$B54</f>
        <v>-71163.172384710822</v>
      </c>
      <c r="O54" s="1021">
        <f>(VLOOKUP(YEAR($A54),'NY East Load Projections'!$A$4:$EO$14,((MONTH($A54)-1)*12)+VLOOKUP(O$4,$DE$6:$DF$17,2)+1))*(VLOOKUP($A54,CURVES!$D$9:$K$261,3))*(INDEX(DailyScalarsTable,O$5/100,MONTH($A54)))*$B54</f>
        <v>-83320.719555016316</v>
      </c>
      <c r="P54" s="1021">
        <f>(VLOOKUP(YEAR($A54),'NY East Load Projections'!$A$4:$EO$14,((MONTH($A54)-1)*12)+VLOOKUP(P$4,$DE$6:$DF$17,2)+1))*(VLOOKUP($A54,CURVES!$D$9:$K$261,3))*(INDEX(DailyScalarsTable,P$5/100,MONTH($A54)))*$B54</f>
        <v>-95368.450285348052</v>
      </c>
      <c r="Q54" s="1021">
        <f>(VLOOKUP(YEAR($A54),'NY East Load Projections'!$A$4:$EO$14,((MONTH($A54)-1)*12)+VLOOKUP(Q$4,$DE$6:$DF$17,2)+1))*(VLOOKUP($A54,CURVES!$D$9:$K$261,3))*(INDEX(DailyScalarsTable,Q$5/100,MONTH($A54)))*$B54</f>
        <v>-95078.187029448061</v>
      </c>
      <c r="R54" s="1021">
        <f>(VLOOKUP(YEAR($A54),'NY East Load Projections'!$A$4:$EO$14,((MONTH($A54)-1)*12)+VLOOKUP(R$4,$DE$6:$DF$17,2)+1))*(VLOOKUP($A54,CURVES!$D$9:$K$261,3))*(INDEX(DailyScalarsTable,R$5/100,MONTH($A54)))*$B54</f>
        <v>-93418.947960717982</v>
      </c>
      <c r="S54" s="1021">
        <f>(VLOOKUP(YEAR($A54),'NY East Load Projections'!$A$4:$EO$14,((MONTH($A54)-1)*12)+VLOOKUP(S$4,$DE$6:$DF$17,2)+1))*(VLOOKUP($A54,CURVES!$D$9:$K$261,3))*(INDEX(DailyScalarsTable,S$5/100,MONTH($A54)))*$B54</f>
        <v>-69979.630694569758</v>
      </c>
      <c r="T54" s="1021">
        <f>(VLOOKUP(YEAR($A54),'NY East Load Projections'!$A$4:$EO$14,((MONTH($A54)-1)*12)+VLOOKUP(T$4,$DE$6:$DF$17,2)+1))*(VLOOKUP($A54,CURVES!$D$9:$K$261,3))*(INDEX(DailyScalarsTable,T$5/100,MONTH($A54)))*$B54</f>
        <v>-69059.130356207694</v>
      </c>
      <c r="U54" s="1021">
        <f>(VLOOKUP(YEAR($A54),'NY East Load Projections'!$A$4:$EO$14,((MONTH($A54)-1)*12)+VLOOKUP(U$4,$DE$6:$DF$17,2)+1))*(VLOOKUP($A54,CURVES!$D$9:$K$261,3))*(INDEX(DailyScalarsTable,U$5/100,MONTH($A54)))*$B54</f>
        <v>-66829.331575403616</v>
      </c>
      <c r="V54" s="1021">
        <f>(VLOOKUP(YEAR($A54),'NY East Load Projections'!$A$4:$EO$14,((MONTH($A54)-1)*12)+VLOOKUP(V$4,$DE$6:$DF$17,2)+1))*(VLOOKUP($A54,CURVES!$D$9:$K$261,3))*(INDEX(DailyScalarsTable,V$5/100,MONTH($A54)))*$B54</f>
        <v>-63428.080536568392</v>
      </c>
      <c r="W54" s="1021">
        <f>(VLOOKUP(YEAR($A54),'NY East Load Projections'!$A$4:$EO$14,((MONTH($A54)-1)*12)+VLOOKUP(W$4,$DE$6:$DF$17,2)+1))*(VLOOKUP($A54,CURVES!$D$9:$K$261,3))*(INDEX(DailyScalarsTable,W$5/100,MONTH($A54)))*$B54</f>
        <v>-62151.60152436894</v>
      </c>
      <c r="X54" s="1021">
        <f>(VLOOKUP(YEAR($A54),'NY East Load Projections'!$A$4:$EO$14,((MONTH($A54)-1)*12)+VLOOKUP(X$4,$DE$6:$DF$17,2)+1))*(VLOOKUP($A54,CURVES!$D$9:$K$261,3))*(INDEX(DailyScalarsTable,X$5/100,MONTH($A54)))*$B54</f>
        <v>-63794.1790183095</v>
      </c>
      <c r="Y54" s="1021">
        <f>(VLOOKUP(YEAR($A54),'NY East Load Projections'!$A$4:$EO$14,((MONTH($A54)-1)*12)+VLOOKUP(Y$4,$DE$6:$DF$17,2)+1))*(VLOOKUP($A54,CURVES!$D$9:$K$261,3))*(INDEX(DailyScalarsTable,Y$5/100,MONTH($A54)))*$B54</f>
        <v>-88766.828606140611</v>
      </c>
      <c r="Z54" s="1021">
        <f>(VLOOKUP(YEAR($A54),'NY East Load Projections'!$A$4:$EO$14,((MONTH($A54)-1)*12)+VLOOKUP(Z$4,$DE$6:$DF$17,2)+1))*(VLOOKUP($A54,CURVES!$D$9:$K$261,3))*(INDEX(DailyScalarsTable,Z$5/100,MONTH($A54)))*$B54</f>
        <v>-97400.796682533692</v>
      </c>
      <c r="AA54" s="1021">
        <f>(VLOOKUP(YEAR($A54),'NY East Load Projections'!$A$4:$EO$14,((MONTH($A54)-1)*12)+VLOOKUP(AA$4,$DE$6:$DF$17,2)+1))*(VLOOKUP($A54,CURVES!$D$9:$K$261,3))*(INDEX(DailyScalarsTable,AA$5/100,MONTH($A54)))*$B54</f>
        <v>-93229.463620135488</v>
      </c>
      <c r="AB54" s="1021">
        <f>(VLOOKUP(YEAR($A54),'NY East Load Projections'!$A$4:$EO$14,((MONTH($A54)-1)*12)+VLOOKUP(AB$4,$DE$6:$DF$17,2)+1))*(VLOOKUP($A54,CURVES!$D$9:$K$261,3))*(INDEX(DailyScalarsTable,AB$5/100,MONTH($A54)))*$B54</f>
        <v>-78783.315050949008</v>
      </c>
      <c r="AC54" s="1021">
        <f>(VLOOKUP(YEAR($A54),'NY East Load Projections'!$A$4:$EO$14,((MONTH($A54)-1)*12)+VLOOKUP(AC$4,$DE$6:$DF$17,2)+1))*(VLOOKUP($A54,CURVES!$D$9:$K$261,3))*(INDEX(DailyScalarsTable,AC$5/100,MONTH($A54)))*$B54</f>
        <v>-56032.518361893272</v>
      </c>
      <c r="AD54" s="1021">
        <f>(VLOOKUP(YEAR($A54),'NY East Load Projections'!$A$4:$EO$14,((MONTH($A54)-1)*12)+VLOOKUP(AD$4,$DE$6:$DF$17,2)+1))*(VLOOKUP($A54,CURVES!$D$9:$K$261,3))*(INDEX(DailyScalarsTable,AD$5/100,MONTH($A54)))*$B54</f>
        <v>-45869.590503193205</v>
      </c>
      <c r="AE54" s="1021">
        <f>(VLOOKUP(YEAR($A54),'NY East Load Projections'!$A$4:$EO$14,((MONTH($A54)-1)*12)+VLOOKUP(AE$4,$DE$6:$DF$17,2)+1))*(VLOOKUP($A54,CURVES!$D$9:$K$261,7))*(INDEX(DailyScalarsTable,AE$5/100,MONTH($A54)))*$B54</f>
        <v>-40322.366609341923</v>
      </c>
      <c r="AF54" s="1021"/>
      <c r="AG54" s="1021">
        <f>(VLOOKUP(YEAR($A54),'NY East Load Projections'!$A$4:$EO$14,((MONTH($A54)-1)*12)+VLOOKUP(AG$4,$DE$6:$DF$17,2)+1))*(VLOOKUP($A54,CURVES!$D$9:$T$261,7))*(INDEX(DailyScalarsTable,AG$5/100,MONTH($A54)))*$C54</f>
        <v>-6743.2278156889297</v>
      </c>
      <c r="AH54" s="1021">
        <f>(VLOOKUP(YEAR($A54),'NY East Load Projections'!$A$4:$EO$14,((MONTH($A54)-1)*12)+VLOOKUP(AH$4,$DE$6:$DF$17,2)+1))*(VLOOKUP($A54,CURVES!$D$9:$T$261,7))*(INDEX(DailyScalarsTable,AH$5/100,MONTH($A54)))*$C54</f>
        <v>-6611.8509510919621</v>
      </c>
      <c r="AI54" s="1021">
        <f>(VLOOKUP(YEAR($A54),'NY East Load Projections'!$A$4:$EO$14,((MONTH($A54)-1)*12)+VLOOKUP(AI$4,$DE$6:$DF$17,2)+1))*(VLOOKUP($A54,CURVES!$D$9:$T$261,7))*(INDEX(DailyScalarsTable,AI$5/100,MONTH($A54)))*$C54</f>
        <v>-6058.7734048454822</v>
      </c>
      <c r="AJ54" s="1021">
        <f>(VLOOKUP(YEAR($A54),'NY East Load Projections'!$A$4:$EO$14,((MONTH($A54)-1)*12)+VLOOKUP(AJ$4,$DE$6:$DF$17,2)+1))*(VLOOKUP($A54,CURVES!$D$9:$T$261,7))*(INDEX(DailyScalarsTable,AJ$5/100,MONTH($A54)))*$C54</f>
        <v>-6055.1101765234998</v>
      </c>
      <c r="AK54" s="1021">
        <f>(VLOOKUP(YEAR($A54),'NY East Load Projections'!$A$4:$EO$14,((MONTH($A54)-1)*12)+VLOOKUP(AK$4,$DE$6:$DF$17,2)+1))*(VLOOKUP($A54,CURVES!$D$9:$T$261,7))*(INDEX(DailyScalarsTable,AK$5/100,MONTH($A54)))*$C54</f>
        <v>-6365.1931018185196</v>
      </c>
      <c r="AL54" s="1021">
        <f>(VLOOKUP(YEAR($A54),'NY East Load Projections'!$A$4:$EO$14,((MONTH($A54)-1)*12)+VLOOKUP(AL$4,$DE$6:$DF$17,2)+1))*(VLOOKUP($A54,CURVES!$D$9:$T$261,7))*(INDEX(DailyScalarsTable,AL$5/100,MONTH($A54)))*$C54</f>
        <v>-6793.0483735178377</v>
      </c>
      <c r="AM54" s="1021">
        <f>(VLOOKUP(YEAR($A54),'NY East Load Projections'!$A$4:$EO$14,((MONTH($A54)-1)*12)+VLOOKUP(AM$4,$DE$6:$DF$17,2)+1))*(VLOOKUP($A54,CURVES!$D$9:$T$261,7))*(INDEX(DailyScalarsTable,AM$5/100,MONTH($A54)))*$C54</f>
        <v>-13008.604921613747</v>
      </c>
      <c r="AN54" s="1021">
        <f>(VLOOKUP(YEAR($A54),'NY East Load Projections'!$A$4:$EO$14,((MONTH($A54)-1)*12)+VLOOKUP(AN$4,$DE$6:$DF$17,2)+1))*(VLOOKUP($A54,SatSunCurve,3))*(INDEX(DailyScalarsTable,AN$5/100,MONTH($A54)))*$C54</f>
        <v>-12039.224777441827</v>
      </c>
      <c r="AO54" s="1021">
        <f>(VLOOKUP(YEAR($A54),'NY East Load Projections'!$A$4:$EO$14,((MONTH($A54)-1)*12)+VLOOKUP(AO$4,$DE$6:$DF$17,2)+1))*(VLOOKUP($A54,SatSunCurve,3))*(INDEX(DailyScalarsTable,AO$5/100,MONTH($A54)))*$C54</f>
        <v>-13572.755988839202</v>
      </c>
      <c r="AP54" s="1021">
        <f>(VLOOKUP(YEAR($A54),'NY East Load Projections'!$A$4:$EO$14,((MONTH($A54)-1)*12)+VLOOKUP(AP$4,$DE$6:$DF$17,2)+1))*(VLOOKUP($A54,SatSunCurve,3))*(INDEX(DailyScalarsTable,AP$5/100,MONTH($A54)))*$C54</f>
        <v>-13531.445971395608</v>
      </c>
      <c r="AQ54" s="1021">
        <f>(VLOOKUP(YEAR($A54),'NY East Load Projections'!$A$4:$EO$14,((MONTH($A54)-1)*12)+VLOOKUP(AQ$4,$DE$6:$DF$17,2)+1))*(VLOOKUP($A54,SatSunCurve,3))*(INDEX(DailyScalarsTable,AQ$5/100,MONTH($A54)))*$C54</f>
        <v>-13295.304491276765</v>
      </c>
      <c r="AR54" s="1021">
        <f>(VLOOKUP(YEAR($A54),'NY East Load Projections'!$A$4:$EO$14,((MONTH($A54)-1)*12)+VLOOKUP(AR$4,$DE$6:$DF$17,2)+1))*(VLOOKUP($A54,SatSunCurve,3))*(INDEX(DailyScalarsTable,AR$5/100,MONTH($A54)))*$C54</f>
        <v>-9959.4409761778716</v>
      </c>
      <c r="AS54" s="1021">
        <f>(VLOOKUP(YEAR($A54),'NY East Load Projections'!$A$4:$EO$14,((MONTH($A54)-1)*12)+VLOOKUP(AS$4,$DE$6:$DF$17,2)+1))*(VLOOKUP($A54,SatSunCurve,3))*(INDEX(DailyScalarsTable,AS$5/100,MONTH($A54)))*$C54</f>
        <v>-9713.2961171694005</v>
      </c>
      <c r="AT54" s="1021">
        <f>(VLOOKUP(YEAR($A54),'NY East Load Projections'!$A$4:$EO$14,((MONTH($A54)-1)*12)+VLOOKUP(AT$4,$DE$6:$DF$17,2)+1))*(VLOOKUP($A54,SatSunCurve,3))*(INDEX(DailyScalarsTable,AT$5/100,MONTH($A54)))*$C54</f>
        <v>-9399.6707394975765</v>
      </c>
      <c r="AU54" s="1021">
        <f>(VLOOKUP(YEAR($A54),'NY East Load Projections'!$A$4:$EO$14,((MONTH($A54)-1)*12)+VLOOKUP(AU$4,$DE$6:$DF$17,2)+1))*(VLOOKUP($A54,SatSunCurve,3))*(INDEX(DailyScalarsTable,AU$5/100,MONTH($A54)))*$C54</f>
        <v>-8921.2784061648308</v>
      </c>
      <c r="AV54" s="1021">
        <f>(VLOOKUP(YEAR($A54),'NY East Load Projections'!$A$4:$EO$14,((MONTH($A54)-1)*12)+VLOOKUP(AV$4,$DE$6:$DF$17,2)+1))*(VLOOKUP($A54,SatSunCurve,3))*(INDEX(DailyScalarsTable,AV$5/100,MONTH($A54)))*$C54</f>
        <v>-8741.7392406860326</v>
      </c>
      <c r="AW54" s="1021">
        <f>(VLOOKUP(YEAR($A54),'NY East Load Projections'!$A$4:$EO$14,((MONTH($A54)-1)*12)+VLOOKUP(AW$4,$DE$6:$DF$17,2)+1))*(VLOOKUP($A54,SatSunCurve,3))*(INDEX(DailyScalarsTable,AW$5/100,MONTH($A54)))*$C54</f>
        <v>-9048.3898932423945</v>
      </c>
      <c r="AX54" s="1021">
        <f>(VLOOKUP(YEAR($A54),'NY East Load Projections'!$A$4:$EO$14,((MONTH($A54)-1)*12)+VLOOKUP(AX$4,$DE$6:$DF$17,2)+1))*(VLOOKUP($A54,SatSunCurve,3))*(INDEX(DailyScalarsTable,AX$5/100,MONTH($A54)))*$C54</f>
        <v>-12590.44143485972</v>
      </c>
      <c r="AY54" s="1021">
        <f>(VLOOKUP(YEAR($A54),'NY East Load Projections'!$A$4:$EO$14,((MONTH($A54)-1)*12)+VLOOKUP(AY$4,$DE$6:$DF$17,2)+1))*(VLOOKUP($A54,SatSunCurve,3))*(INDEX(DailyScalarsTable,AY$5/100,MONTH($A54)))*$C54</f>
        <v>-13815.05958471616</v>
      </c>
      <c r="AZ54" s="1021">
        <f>(VLOOKUP(YEAR($A54),'NY East Load Projections'!$A$4:$EO$14,((MONTH($A54)-1)*12)+VLOOKUP(AZ$4,$DE$6:$DF$17,2)+1))*(VLOOKUP($A54,SatSunCurve,3))*(INDEX(DailyScalarsTable,AZ$5/100,MONTH($A54)))*$C54</f>
        <v>-13223.40924131541</v>
      </c>
      <c r="BA54" s="1021">
        <f>(VLOOKUP(YEAR($A54),'NY East Load Projections'!$A$4:$EO$14,((MONTH($A54)-1)*12)+VLOOKUP(BA$4,$DE$6:$DF$17,2)+1))*(VLOOKUP($A54,SatSunCurve,3))*(INDEX(DailyScalarsTable,BA$5/100,MONTH($A54)))*$C54</f>
        <v>-11971.187155588474</v>
      </c>
      <c r="BB54" s="1021">
        <f>(VLOOKUP(YEAR($A54),'NY East Load Projections'!$A$4:$EO$14,((MONTH($A54)-1)*12)+VLOOKUP(BB$4,$DE$6:$DF$17,2)+1))*(VLOOKUP($A54,SatSunCurve,3))*(INDEX(DailyScalarsTable,BB$5/100,MONTH($A54)))*$C54</f>
        <v>-8514.1855693097277</v>
      </c>
      <c r="BC54" s="1021">
        <f>(VLOOKUP(YEAR($A54),'NY East Load Projections'!$A$4:$EO$14,((MONTH($A54)-1)*12)+VLOOKUP(BC$4,$DE$6:$DF$17,2)+1))*(VLOOKUP($A54,SatSunCurve,3))*(INDEX(DailyScalarsTable,BC$5/100,MONTH($A54)))*$C54</f>
        <v>-6969.9206273411955</v>
      </c>
      <c r="BD54" s="1021">
        <f>(VLOOKUP(YEAR($A54),'NY East Load Projections'!$A$4:$EO$14,((MONTH($A54)-1)*12)+VLOOKUP(BD$4,$DE$6:$DF$17,2)+1))*(VLOOKUP($A54,CURVES!$D$9:$T$261,7))*(INDEX(DailyScalarsTable,BD$5/100,MONTH($A54)))*$C54</f>
        <v>-7751.377643305982</v>
      </c>
      <c r="BE54" s="1021"/>
      <c r="BF54" s="1021">
        <f>(VLOOKUP(YEAR($A54),'NY East Load Projections'!$A$4:$EO$14,((MONTH($A54)-1)*12)+VLOOKUP(BF$4,$DE$6:$DF$17,2)+1))*(VLOOKUP($A54,CURVES!$D$9:$T$261,7))*(INDEX(DailyScalarsTable,BF$5/100,MONTH($A54)))*$D54</f>
        <v>-8429.0347696111621</v>
      </c>
      <c r="BG54" s="1021">
        <f>(VLOOKUP(YEAR($A54),'NY East Load Projections'!$A$4:$EO$14,((MONTH($A54)-1)*12)+VLOOKUP(BG$4,$DE$6:$DF$17,2)+1))*(VLOOKUP($A54,CURVES!$D$9:$T$261,7))*(INDEX(DailyScalarsTable,BG$5/100,MONTH($A54)))*$D54</f>
        <v>-8264.8136888649533</v>
      </c>
      <c r="BH54" s="1021">
        <f>(VLOOKUP(YEAR($A54),'NY East Load Projections'!$A$4:$EO$14,((MONTH($A54)-1)*12)+VLOOKUP(BH$4,$DE$6:$DF$17,2)+1))*(VLOOKUP($A54,CURVES!$D$9:$T$261,7))*(INDEX(DailyScalarsTable,BH$5/100,MONTH($A54)))*$D54</f>
        <v>-7573.4667560568523</v>
      </c>
      <c r="BI54" s="1021">
        <f>(VLOOKUP(YEAR($A54),'NY East Load Projections'!$A$4:$EO$14,((MONTH($A54)-1)*12)+VLOOKUP(BI$4,$DE$6:$DF$17,2)+1))*(VLOOKUP($A54,CURVES!$D$9:$T$261,7))*(INDEX(DailyScalarsTable,BI$5/100,MONTH($A54)))*$D54</f>
        <v>-7568.8877206543748</v>
      </c>
      <c r="BJ54" s="1021">
        <f>(VLOOKUP(YEAR($A54),'NY East Load Projections'!$A$4:$EO$14,((MONTH($A54)-1)*12)+VLOOKUP(BJ$4,$DE$6:$DF$17,2)+1))*(VLOOKUP($A54,CURVES!$D$9:$T$261,7))*(INDEX(DailyScalarsTable,BJ$5/100,MONTH($A54)))*$D54</f>
        <v>-7956.4913772731497</v>
      </c>
      <c r="BK54" s="1021">
        <f>(VLOOKUP(YEAR($A54),'NY East Load Projections'!$A$4:$EO$14,((MONTH($A54)-1)*12)+VLOOKUP(BK$4,$DE$6:$DF$17,2)+1))*(VLOOKUP($A54,CURVES!$D$9:$T$261,7))*(INDEX(DailyScalarsTable,BK$5/100,MONTH($A54)))*$D54</f>
        <v>-8491.3104668972974</v>
      </c>
      <c r="BL54" s="1021">
        <f>(VLOOKUP(YEAR($A54),'NY East Load Projections'!$A$4:$EO$14,((MONTH($A54)-1)*12)+VLOOKUP(BL$4,$DE$6:$DF$17,2)+1))*(VLOOKUP($A54,CURVES!$D$9:$T$261,7))*(INDEX(DailyScalarsTable,BL$5/100,MONTH($A54)))*$D54</f>
        <v>-16260.756152017184</v>
      </c>
      <c r="BM54" s="1021">
        <f>(VLOOKUP(YEAR($A54),'NY East Load Projections'!$A$4:$EO$14,((MONTH($A54)-1)*12)+VLOOKUP(BM$4,$DE$6:$DF$17,2)+1))*(VLOOKUP($A54,SatSunCurve,7))*(INDEX(DailyScalarsTable,BM$5/100,MONTH($A54)))*$D54</f>
        <v>-14273.882742348818</v>
      </c>
      <c r="BN54" s="1021">
        <f>(VLOOKUP(YEAR($A54),'NY East Load Projections'!$A$4:$EO$14,((MONTH($A54)-1)*12)+VLOOKUP(BN$4,$DE$6:$DF$17,2)+1))*(VLOOKUP($A54,SatSunCurve,7))*(INDEX(DailyScalarsTable,BN$5/100,MONTH($A54)))*$D54</f>
        <v>-16092.0600002594</v>
      </c>
      <c r="BO54" s="1021">
        <f>(VLOOKUP(YEAR($A54),'NY East Load Projections'!$A$4:$EO$14,((MONTH($A54)-1)*12)+VLOOKUP(BO$4,$DE$6:$DF$17,2)+1))*(VLOOKUP($A54,SatSunCurve,7))*(INDEX(DailyScalarsTable,BO$5/100,MONTH($A54)))*$D54</f>
        <v>-16043.082233337138</v>
      </c>
      <c r="BP54" s="1021">
        <f>(VLOOKUP(YEAR($A54),'NY East Load Projections'!$A$4:$EO$14,((MONTH($A54)-1)*12)+VLOOKUP(BP$4,$DE$6:$DF$17,2)+1))*(VLOOKUP($A54,SatSunCurve,7))*(INDEX(DailyScalarsTable,BP$5/100,MONTH($A54)))*$D54</f>
        <v>-15763.109406171661</v>
      </c>
      <c r="BQ54" s="1021">
        <f>(VLOOKUP(YEAR($A54),'NY East Load Projections'!$A$4:$EO$14,((MONTH($A54)-1)*12)+VLOOKUP(BQ$4,$DE$6:$DF$17,2)+1))*(VLOOKUP($A54,SatSunCurve,7))*(INDEX(DailyScalarsTable,BQ$5/100,MONTH($A54)))*$D54</f>
        <v>-11808.060344522786</v>
      </c>
      <c r="BR54" s="1021">
        <f>(VLOOKUP(YEAR($A54),'NY East Load Projections'!$A$4:$EO$14,((MONTH($A54)-1)*12)+VLOOKUP(BR$4,$DE$6:$DF$17,2)+1))*(VLOOKUP($A54,SatSunCurve,7))*(INDEX(DailyScalarsTable,BR$5/100,MONTH($A54)))*$D54</f>
        <v>-11516.227363573542</v>
      </c>
      <c r="BS54" s="1021">
        <f>(VLOOKUP(YEAR($A54),'NY East Load Projections'!$A$4:$EO$14,((MONTH($A54)-1)*12)+VLOOKUP(BS$4,$DE$6:$DF$17,2)+1))*(VLOOKUP($A54,SatSunCurve,7))*(INDEX(DailyScalarsTable,BS$5/100,MONTH($A54)))*$D54</f>
        <v>-11144.388482859187</v>
      </c>
      <c r="BT54" s="1021">
        <f>(VLOOKUP(YEAR($A54),'NY East Load Projections'!$A$4:$EO$14,((MONTH($A54)-1)*12)+VLOOKUP(BT$4,$DE$6:$DF$17,2)+1))*(VLOOKUP($A54,SatSunCurve,7))*(INDEX(DailyScalarsTable,BT$5/100,MONTH($A54)))*$D54</f>
        <v>-10577.199465537653</v>
      </c>
      <c r="BU54" s="1021">
        <f>(VLOOKUP(YEAR($A54),'NY East Load Projections'!$A$4:$EO$14,((MONTH($A54)-1)*12)+VLOOKUP(BU$4,$DE$6:$DF$17,2)+1))*(VLOOKUP($A54,SatSunCurve,7))*(INDEX(DailyScalarsTable,BU$5/100,MONTH($A54)))*$D54</f>
        <v>-10364.3351787519</v>
      </c>
      <c r="BV54" s="1021">
        <f>(VLOOKUP(YEAR($A54),'NY East Load Projections'!$A$4:$EO$14,((MONTH($A54)-1)*12)+VLOOKUP(BV$4,$DE$6:$DF$17,2)+1))*(VLOOKUP($A54,SatSunCurve,7))*(INDEX(DailyScalarsTable,BV$5/100,MONTH($A54)))*$D54</f>
        <v>-10727.904722337107</v>
      </c>
      <c r="BW54" s="1021">
        <f>(VLOOKUP(YEAR($A54),'NY East Load Projections'!$A$4:$EO$14,((MONTH($A54)-1)*12)+VLOOKUP(BW$4,$DE$6:$DF$17,2)+1))*(VLOOKUP($A54,SatSunCurve,7))*(INDEX(DailyScalarsTable,BW$5/100,MONTH($A54)))*$D54</f>
        <v>-14927.413354083465</v>
      </c>
      <c r="BX54" s="1021">
        <f>(VLOOKUP(YEAR($A54),'NY East Load Projections'!$A$4:$EO$14,((MONTH($A54)-1)*12)+VLOOKUP(BX$4,$DE$6:$DF$17,2)+1))*(VLOOKUP($A54,SatSunCurve,7))*(INDEX(DailyScalarsTable,BX$5/100,MONTH($A54)))*$D54</f>
        <v>-16379.338722895896</v>
      </c>
      <c r="BY54" s="1021">
        <f>(VLOOKUP(YEAR($A54),'NY East Load Projections'!$A$4:$EO$14,((MONTH($A54)-1)*12)+VLOOKUP(BY$4,$DE$6:$DF$17,2)+1))*(VLOOKUP($A54,SatSunCurve,7))*(INDEX(DailyScalarsTable,BY$5/100,MONTH($A54)))*$D54</f>
        <v>-15677.86933576421</v>
      </c>
      <c r="BZ54" s="1021">
        <f>(VLOOKUP(YEAR($A54),'NY East Load Projections'!$A$4:$EO$14,((MONTH($A54)-1)*12)+VLOOKUP(BZ$4,$DE$6:$DF$17,2)+1))*(VLOOKUP($A54,SatSunCurve,7))*(INDEX(DailyScalarsTable,BZ$5/100,MONTH($A54)))*$D54</f>
        <v>-14193.216332811991</v>
      </c>
      <c r="CA54" s="1021">
        <f>(VLOOKUP(YEAR($A54),'NY East Load Projections'!$A$4:$EO$14,((MONTH($A54)-1)*12)+VLOOKUP(CA$4,$DE$6:$DF$17,2)+1))*(VLOOKUP($A54,SatSunCurve,7))*(INDEX(DailyScalarsTable,CA$5/100,MONTH($A54)))*$D54</f>
        <v>-10094.544184492674</v>
      </c>
      <c r="CB54" s="1021">
        <f>(VLOOKUP(YEAR($A54),'NY East Load Projections'!$A$4:$EO$14,((MONTH($A54)-1)*12)+VLOOKUP(CB$4,$DE$6:$DF$17,2)+1))*(VLOOKUP($A54,SatSunCurve,7))*(INDEX(DailyScalarsTable,CB$5/100,MONTH($A54)))*$D54</f>
        <v>-8263.6408570557778</v>
      </c>
      <c r="CC54" s="1021">
        <f>(VLOOKUP(YEAR($A54),'NY East Load Projections'!$A$4:$EO$14,((MONTH($A54)-1)*12)+VLOOKUP(CC$4,$DE$6:$DF$17,2)+1))*(VLOOKUP($A54,CURVES!$D$9:$T$261,7))*(INDEX(DailyScalarsTable,CC$5/100,MONTH($A54)))*$D54</f>
        <v>-9689.2220541324768</v>
      </c>
      <c r="CE54" s="1021">
        <f>(VLOOKUP(YEAR($A54),'NY East Load Projections'!$A$4:$EO$14,((MONTH($A54)-1)*12)+VLOOKUP(CE$4,$DE$6:$DF$17,2)+1))*(VLOOKUP($A54,CURVES!$D$9:$T$261,7))*(INDEX(DailyScalarsTable,CE$5/100,MONTH($A54)))*$E54</f>
        <v>-1685.8069539222324</v>
      </c>
      <c r="CF54" s="1021">
        <f>(VLOOKUP(YEAR($A54),'NY East Load Projections'!$A$4:$EO$14,((MONTH($A54)-1)*12)+VLOOKUP(CF$4,$DE$6:$DF$17,2)+1))*(VLOOKUP($A54,CURVES!$D$9:$T$261,7))*(INDEX(DailyScalarsTable,CF$5/100,MONTH($A54)))*$E54</f>
        <v>-1652.9627377729905</v>
      </c>
      <c r="CG54" s="1021">
        <f>(VLOOKUP(YEAR($A54),'NY East Load Projections'!$A$4:$EO$14,((MONTH($A54)-1)*12)+VLOOKUP(CG$4,$DE$6:$DF$17,2)+1))*(VLOOKUP($A54,CURVES!$D$9:$T$261,7))*(INDEX(DailyScalarsTable,CG$5/100,MONTH($A54)))*$E54</f>
        <v>-1514.6933512113706</v>
      </c>
      <c r="CH54" s="1021">
        <f>(VLOOKUP(YEAR($A54),'NY East Load Projections'!$A$4:$EO$14,((MONTH($A54)-1)*12)+VLOOKUP(CH$4,$DE$6:$DF$17,2)+1))*(VLOOKUP($A54,CURVES!$D$9:$T$261,7))*(INDEX(DailyScalarsTable,CH$5/100,MONTH($A54)))*$E54</f>
        <v>-1513.777544130875</v>
      </c>
      <c r="CI54" s="1021">
        <f>(VLOOKUP(YEAR($A54),'NY East Load Projections'!$A$4:$EO$14,((MONTH($A54)-1)*12)+VLOOKUP(CI$4,$DE$6:$DF$17,2)+1))*(VLOOKUP($A54,CURVES!$D$9:$T$261,7))*(INDEX(DailyScalarsTable,CI$5/100,MONTH($A54)))*$E54</f>
        <v>-1591.2982754546299</v>
      </c>
      <c r="CJ54" s="1021">
        <f>(VLOOKUP(YEAR($A54),'NY East Load Projections'!$A$4:$EO$14,((MONTH($A54)-1)*12)+VLOOKUP(CJ$4,$DE$6:$DF$17,2)+1))*(VLOOKUP($A54,CURVES!$D$9:$T$261,7))*(INDEX(DailyScalarsTable,CJ$5/100,MONTH($A54)))*$E54</f>
        <v>-1698.2620933794594</v>
      </c>
      <c r="CK54" s="1021">
        <f>(VLOOKUP(YEAR($A54),'NY East Load Projections'!$A$4:$EO$14,((MONTH($A54)-1)*12)+VLOOKUP(CK$4,$DE$6:$DF$17,2)+1))*(VLOOKUP($A54,CURVES!$D$9:$T$261,7))*(INDEX(DailyScalarsTable,CK$5/100,MONTH($A54)))*$E54</f>
        <v>-3252.1512304034368</v>
      </c>
      <c r="CL54" s="1021">
        <f>(VLOOKUP(YEAR($A54),'NY East Load Projections'!$A$4:$EO$14,((MONTH($A54)-1)*12)+VLOOKUP(CL$4,$DE$6:$DF$17,2)+1))*(VLOOKUP($A54,SatSunCurve,7))*(INDEX(DailyScalarsTable,CL$5/100,MONTH($A54)))*$E54</f>
        <v>-2854.7765484697638</v>
      </c>
      <c r="CM54" s="1021">
        <f>(VLOOKUP(YEAR($A54),'NY East Load Projections'!$A$4:$EO$14,((MONTH($A54)-1)*12)+VLOOKUP(CM$4,$DE$6:$DF$17,2)+1))*(VLOOKUP($A54,SatSunCurve,7))*(INDEX(DailyScalarsTable,CM$5/100,MONTH($A54)))*$E54</f>
        <v>-3218.4120000518801</v>
      </c>
      <c r="CN54" s="1021">
        <f>(VLOOKUP(YEAR($A54),'NY East Load Projections'!$A$4:$EO$14,((MONTH($A54)-1)*12)+VLOOKUP(CN$4,$DE$6:$DF$17,2)+1))*(VLOOKUP($A54,SatSunCurve,7))*(INDEX(DailyScalarsTable,CN$5/100,MONTH($A54)))*$E54</f>
        <v>-3208.6164466674277</v>
      </c>
      <c r="CO54" s="1021">
        <f>(VLOOKUP(YEAR($A54),'NY East Load Projections'!$A$4:$EO$14,((MONTH($A54)-1)*12)+VLOOKUP(CO$4,$DE$6:$DF$17,2)+1))*(VLOOKUP($A54,SatSunCurve,7))*(INDEX(DailyScalarsTable,CO$5/100,MONTH($A54)))*$E54</f>
        <v>-3152.6218812343322</v>
      </c>
      <c r="CP54" s="1021">
        <f>(VLOOKUP(YEAR($A54),'NY East Load Projections'!$A$4:$EO$14,((MONTH($A54)-1)*12)+VLOOKUP(CP$4,$DE$6:$DF$17,2)+1))*(VLOOKUP($A54,SatSunCurve,7))*(INDEX(DailyScalarsTable,CP$5/100,MONTH($A54)))*$E54</f>
        <v>-2361.6120689045574</v>
      </c>
      <c r="CQ54" s="1021">
        <f>(VLOOKUP(YEAR($A54),'NY East Load Projections'!$A$4:$EO$14,((MONTH($A54)-1)*12)+VLOOKUP(CQ$4,$DE$6:$DF$17,2)+1))*(VLOOKUP($A54,SatSunCurve,7))*(INDEX(DailyScalarsTable,CQ$5/100,MONTH($A54)))*$E54</f>
        <v>-2303.2454727147083</v>
      </c>
      <c r="CR54" s="1021">
        <f>(VLOOKUP(YEAR($A54),'NY East Load Projections'!$A$4:$EO$14,((MONTH($A54)-1)*12)+VLOOKUP(CR$4,$DE$6:$DF$17,2)+1))*(VLOOKUP($A54,SatSunCurve,7))*(INDEX(DailyScalarsTable,CR$5/100,MONTH($A54)))*$E54</f>
        <v>-2228.8776965718375</v>
      </c>
      <c r="CS54" s="1021">
        <f>(VLOOKUP(YEAR($A54),'NY East Load Projections'!$A$4:$EO$14,((MONTH($A54)-1)*12)+VLOOKUP(CS$4,$DE$6:$DF$17,2)+1))*(VLOOKUP($A54,SatSunCurve,7))*(INDEX(DailyScalarsTable,CS$5/100,MONTH($A54)))*$E54</f>
        <v>-2115.4398931075307</v>
      </c>
      <c r="CT54" s="1021">
        <f>(VLOOKUP(YEAR($A54),'NY East Load Projections'!$A$4:$EO$14,((MONTH($A54)-1)*12)+VLOOKUP(CT$4,$DE$6:$DF$17,2)+1))*(VLOOKUP($A54,SatSunCurve,7))*(INDEX(DailyScalarsTable,CT$5/100,MONTH($A54)))*$E54</f>
        <v>-2072.8670357503802</v>
      </c>
      <c r="CU54" s="1021">
        <f>(VLOOKUP(YEAR($A54),'NY East Load Projections'!$A$4:$EO$14,((MONTH($A54)-1)*12)+VLOOKUP(CU$4,$DE$6:$DF$17,2)+1))*(VLOOKUP($A54,SatSunCurve,7))*(INDEX(DailyScalarsTable,CU$5/100,MONTH($A54)))*$E54</f>
        <v>-2145.5809444674214</v>
      </c>
      <c r="CV54" s="1021">
        <f>(VLOOKUP(YEAR($A54),'NY East Load Projections'!$A$4:$EO$14,((MONTH($A54)-1)*12)+VLOOKUP(CV$4,$DE$6:$DF$17,2)+1))*(VLOOKUP($A54,SatSunCurve,7))*(INDEX(DailyScalarsTable,CV$5/100,MONTH($A54)))*$E54</f>
        <v>-2985.4826708166929</v>
      </c>
      <c r="CW54" s="1021">
        <f>(VLOOKUP(YEAR($A54),'NY East Load Projections'!$A$4:$EO$14,((MONTH($A54)-1)*12)+VLOOKUP(CW$4,$DE$6:$DF$17,2)+1))*(VLOOKUP($A54,SatSunCurve,7))*(INDEX(DailyScalarsTable,CW$5/100,MONTH($A54)))*$E54</f>
        <v>-3275.8677445791791</v>
      </c>
      <c r="CX54" s="1021">
        <f>(VLOOKUP(YEAR($A54),'NY East Load Projections'!$A$4:$EO$14,((MONTH($A54)-1)*12)+VLOOKUP(CX$4,$DE$6:$DF$17,2)+1))*(VLOOKUP($A54,SatSunCurve,7))*(INDEX(DailyScalarsTable,CX$5/100,MONTH($A54)))*$E54</f>
        <v>-3135.573867152842</v>
      </c>
      <c r="CY54" s="1021">
        <f>(VLOOKUP(YEAR($A54),'NY East Load Projections'!$A$4:$EO$14,((MONTH($A54)-1)*12)+VLOOKUP(CY$4,$DE$6:$DF$17,2)+1))*(VLOOKUP($A54,SatSunCurve,7))*(INDEX(DailyScalarsTable,CY$5/100,MONTH($A54)))*$E54</f>
        <v>-2838.6432665623984</v>
      </c>
      <c r="CZ54" s="1021">
        <f>(VLOOKUP(YEAR($A54),'NY East Load Projections'!$A$4:$EO$14,((MONTH($A54)-1)*12)+VLOOKUP(CZ$4,$DE$6:$DF$17,2)+1))*(VLOOKUP($A54,SatSunCurve,7))*(INDEX(DailyScalarsTable,CZ$5/100,MONTH($A54)))*$E54</f>
        <v>-2018.9088368985347</v>
      </c>
      <c r="DA54" s="1021">
        <f>(VLOOKUP(YEAR($A54),'NY East Load Projections'!$A$4:$EO$14,((MONTH($A54)-1)*12)+VLOOKUP(DA$4,$DE$6:$DF$17,2)+1))*(VLOOKUP($A54,SatSunCurve,7))*(INDEX(DailyScalarsTable,DA$5/100,MONTH($A54)))*$E54</f>
        <v>-1652.7281714111557</v>
      </c>
      <c r="DB54" s="1021">
        <f>(VLOOKUP(YEAR($A54),'NY East Load Projections'!$A$4:$EO$14,((MONTH($A54)-1)*12)+VLOOKUP(DB$4,$DE$6:$DF$17,2)+1))*(VLOOKUP($A54,CURVES!$D$9:$T$261,7))*(INDEX(DailyScalarsTable,DB$5/100,MONTH($A54)))*$E54</f>
        <v>-1937.8444108264955</v>
      </c>
      <c r="DH54" s="1032">
        <f t="shared" si="0"/>
        <v>-2106524.5714678969</v>
      </c>
      <c r="DI54">
        <f ca="1">CALC!J74</f>
        <v>0.70011600191744161</v>
      </c>
      <c r="DJ54" s="1029">
        <f t="shared" ca="1" si="1"/>
        <v>-1474811.560916956</v>
      </c>
    </row>
    <row r="55" spans="1:114" x14ac:dyDescent="0.25">
      <c r="A55" s="244">
        <v>38384</v>
      </c>
      <c r="B55" s="13">
        <v>20</v>
      </c>
      <c r="C55" s="210">
        <v>4</v>
      </c>
      <c r="D55" s="210">
        <v>4</v>
      </c>
      <c r="E55" s="210">
        <v>0</v>
      </c>
      <c r="F55" s="13">
        <v>28</v>
      </c>
      <c r="H55" s="1021">
        <f>(VLOOKUP(YEAR($A55),'NY East Load Projections'!$A$4:$EO$14,((MONTH($A55)-1)*12)+VLOOKUP(H$4,$DE$6:$DF$17,2)+1))*(VLOOKUP($A55,CURVES!$D$9:$K$261,7))*(INDEX(DailyScalarsTable,H$5/100,MONTH($A55)))*$B55</f>
        <v>-31211.73004379174</v>
      </c>
      <c r="I55" s="1021">
        <f>(VLOOKUP(YEAR($A55),'NY East Load Projections'!$A$4:$EO$14,((MONTH($A55)-1)*12)+VLOOKUP(I$4,$DE$6:$DF$17,2)+1))*(VLOOKUP($A55,CURVES!$D$9:$K$261,7))*(INDEX(DailyScalarsTable,I$5/100,MONTH($A55)))*$B55</f>
        <v>-30603.638586128091</v>
      </c>
      <c r="J55" s="1021">
        <f>(VLOOKUP(YEAR($A55),'NY East Load Projections'!$A$4:$EO$14,((MONTH($A55)-1)*12)+VLOOKUP(J$4,$DE$6:$DF$17,2)+1))*(VLOOKUP($A55,CURVES!$D$9:$K$261,7))*(INDEX(DailyScalarsTable,J$5/100,MONTH($A55)))*$B55</f>
        <v>-28043.661741424054</v>
      </c>
      <c r="K55" s="1021">
        <f>(VLOOKUP(YEAR($A55),'NY East Load Projections'!$A$4:$EO$14,((MONTH($A55)-1)*12)+VLOOKUP(K$4,$DE$6:$DF$17,2)+1))*(VLOOKUP($A55,CURVES!$D$9:$K$261,7))*(INDEX(DailyScalarsTable,K$5/100,MONTH($A55)))*$B55</f>
        <v>-28026.706108810176</v>
      </c>
      <c r="L55" s="1021">
        <f>(VLOOKUP(YEAR($A55),'NY East Load Projections'!$A$4:$EO$14,((MONTH($A55)-1)*12)+VLOOKUP(L$4,$DE$6:$DF$17,2)+1))*(VLOOKUP($A55,CURVES!$D$9:$K$261,7))*(INDEX(DailyScalarsTable,L$5/100,MONTH($A55)))*$B55</f>
        <v>-32064.919381182659</v>
      </c>
      <c r="M55" s="1021">
        <f>(VLOOKUP(YEAR($A55),'NY East Load Projections'!$A$4:$EO$14,((MONTH($A55)-1)*12)+VLOOKUP(M$4,$DE$6:$DF$17,2)+1))*(VLOOKUP($A55,CURVES!$D$9:$K$261,7))*(INDEX(DailyScalarsTable,M$5/100,MONTH($A55)))*$B55</f>
        <v>-34220.257730608871</v>
      </c>
      <c r="N55" s="1021">
        <f>(VLOOKUP(YEAR($A55),'NY East Load Projections'!$A$4:$EO$14,((MONTH($A55)-1)*12)+VLOOKUP(N$4,$DE$6:$DF$17,2)+1))*(VLOOKUP($A55,CURVES!$D$9:$K$261,7))*(INDEX(DailyScalarsTable,N$5/100,MONTH($A55)))*$B55</f>
        <v>-65531.376880621377</v>
      </c>
      <c r="O55" s="1021">
        <f>(VLOOKUP(YEAR($A55),'NY East Load Projections'!$A$4:$EO$14,((MONTH($A55)-1)*12)+VLOOKUP(O$4,$DE$6:$DF$17,2)+1))*(VLOOKUP($A55,CURVES!$D$9:$K$261,3))*(INDEX(DailyScalarsTable,O$5/100,MONTH($A55)))*$B55</f>
        <v>-77434.469078164766</v>
      </c>
      <c r="P55" s="1021">
        <f>(VLOOKUP(YEAR($A55),'NY East Load Projections'!$A$4:$EO$14,((MONTH($A55)-1)*12)+VLOOKUP(P$4,$DE$6:$DF$17,2)+1))*(VLOOKUP($A55,CURVES!$D$9:$K$261,3))*(INDEX(DailyScalarsTable,P$5/100,MONTH($A55)))*$B55</f>
        <v>-88681.083855871984</v>
      </c>
      <c r="Q55" s="1021">
        <f>(VLOOKUP(YEAR($A55),'NY East Load Projections'!$A$4:$EO$14,((MONTH($A55)-1)*12)+VLOOKUP(Q$4,$DE$6:$DF$17,2)+1))*(VLOOKUP($A55,CURVES!$D$9:$K$261,3))*(INDEX(DailyScalarsTable,Q$5/100,MONTH($A55)))*$B55</f>
        <v>-88411.174257260223</v>
      </c>
      <c r="R55" s="1021">
        <f>(VLOOKUP(YEAR($A55),'NY East Load Projections'!$A$4:$EO$14,((MONTH($A55)-1)*12)+VLOOKUP(R$4,$DE$6:$DF$17,2)+1))*(VLOOKUP($A55,CURVES!$D$9:$K$261,3))*(INDEX(DailyScalarsTable,R$5/100,MONTH($A55)))*$B55</f>
        <v>-86868.283305894947</v>
      </c>
      <c r="S55" s="1021">
        <f>(VLOOKUP(YEAR($A55),'NY East Load Projections'!$A$4:$EO$14,((MONTH($A55)-1)*12)+VLOOKUP(S$4,$DE$6:$DF$17,2)+1))*(VLOOKUP($A55,CURVES!$D$9:$K$261,3))*(INDEX(DailyScalarsTable,S$5/100,MONTH($A55)))*$B55</f>
        <v>-65072.563088314491</v>
      </c>
      <c r="T55" s="1021">
        <f>(VLOOKUP(YEAR($A55),'NY East Load Projections'!$A$4:$EO$14,((MONTH($A55)-1)*12)+VLOOKUP(T$4,$DE$6:$DF$17,2)+1))*(VLOOKUP($A55,CURVES!$D$9:$K$261,3))*(INDEX(DailyScalarsTable,T$5/100,MONTH($A55)))*$B55</f>
        <v>-64052.718125749707</v>
      </c>
      <c r="U55" s="1021">
        <f>(VLOOKUP(YEAR($A55),'NY East Load Projections'!$A$4:$EO$14,((MONTH($A55)-1)*12)+VLOOKUP(U$4,$DE$6:$DF$17,2)+1))*(VLOOKUP($A55,CURVES!$D$9:$K$261,3))*(INDEX(DailyScalarsTable,U$5/100,MONTH($A55)))*$B55</f>
        <v>-61984.567657487314</v>
      </c>
      <c r="V55" s="1021">
        <f>(VLOOKUP(YEAR($A55),'NY East Load Projections'!$A$4:$EO$14,((MONTH($A55)-1)*12)+VLOOKUP(V$4,$DE$6:$DF$17,2)+1))*(VLOOKUP($A55,CURVES!$D$9:$K$261,3))*(INDEX(DailyScalarsTable,V$5/100,MONTH($A55)))*$B55</f>
        <v>-58829.88886350736</v>
      </c>
      <c r="W55" s="1021">
        <f>(VLOOKUP(YEAR($A55),'NY East Load Projections'!$A$4:$EO$14,((MONTH($A55)-1)*12)+VLOOKUP(W$4,$DE$6:$DF$17,2)+1))*(VLOOKUP($A55,CURVES!$D$9:$K$261,3))*(INDEX(DailyScalarsTable,W$5/100,MONTH($A55)))*$B55</f>
        <v>-57645.947653415125</v>
      </c>
      <c r="X55" s="1021">
        <f>(VLOOKUP(YEAR($A55),'NY East Load Projections'!$A$4:$EO$14,((MONTH($A55)-1)*12)+VLOOKUP(X$4,$DE$6:$DF$17,2)+1))*(VLOOKUP($A55,CURVES!$D$9:$K$261,3))*(INDEX(DailyScalarsTable,X$5/100,MONTH($A55)))*$B55</f>
        <v>-59193.399051724526</v>
      </c>
      <c r="Y55" s="1021">
        <f>(VLOOKUP(YEAR($A55),'NY East Load Projections'!$A$4:$EO$14,((MONTH($A55)-1)*12)+VLOOKUP(Y$4,$DE$6:$DF$17,2)+1))*(VLOOKUP($A55,CURVES!$D$9:$K$261,3))*(INDEX(DailyScalarsTable,Y$5/100,MONTH($A55)))*$B55</f>
        <v>-82365.04316061901</v>
      </c>
      <c r="Z55" s="1021">
        <f>(VLOOKUP(YEAR($A55),'NY East Load Projections'!$A$4:$EO$14,((MONTH($A55)-1)*12)+VLOOKUP(Z$4,$DE$6:$DF$17,2)+1))*(VLOOKUP($A55,CURVES!$D$9:$K$261,3))*(INDEX(DailyScalarsTable,Z$5/100,MONTH($A55)))*$B55</f>
        <v>-90376.337068784254</v>
      </c>
      <c r="AA55" s="1021">
        <f>(VLOOKUP(YEAR($A55),'NY East Load Projections'!$A$4:$EO$14,((MONTH($A55)-1)*12)+VLOOKUP(AA$4,$DE$6:$DF$17,2)+1))*(VLOOKUP($A55,CURVES!$D$9:$K$261,3))*(INDEX(DailyScalarsTable,AA$5/100,MONTH($A55)))*$B55</f>
        <v>-86505.836870493091</v>
      </c>
      <c r="AB55" s="1021">
        <f>(VLOOKUP(YEAR($A55),'NY East Load Projections'!$A$4:$EO$14,((MONTH($A55)-1)*12)+VLOOKUP(AB$4,$DE$6:$DF$17,2)+1))*(VLOOKUP($A55,CURVES!$D$9:$K$261,3))*(INDEX(DailyScalarsTable,AB$5/100,MONTH($A55)))*$B55</f>
        <v>-73056.23983306413</v>
      </c>
      <c r="AC55" s="1021">
        <f>(VLOOKUP(YEAR($A55),'NY East Load Projections'!$A$4:$EO$14,((MONTH($A55)-1)*12)+VLOOKUP(AC$4,$DE$6:$DF$17,2)+1))*(VLOOKUP($A55,CURVES!$D$9:$K$261,3))*(INDEX(DailyScalarsTable,AC$5/100,MONTH($A55)))*$B55</f>
        <v>-51959.289822340805</v>
      </c>
      <c r="AD55" s="1021">
        <f>(VLOOKUP(YEAR($A55),'NY East Load Projections'!$A$4:$EO$14,((MONTH($A55)-1)*12)+VLOOKUP(AD$4,$DE$6:$DF$17,2)+1))*(VLOOKUP($A55,CURVES!$D$9:$K$261,3))*(INDEX(DailyScalarsTable,AD$5/100,MONTH($A55)))*$B55</f>
        <v>-42535.145959250382</v>
      </c>
      <c r="AE55" s="1021">
        <f>(VLOOKUP(YEAR($A55),'NY East Load Projections'!$A$4:$EO$14,((MONTH($A55)-1)*12)+VLOOKUP(AE$4,$DE$6:$DF$17,2)+1))*(VLOOKUP($A55,CURVES!$D$9:$K$261,7))*(INDEX(DailyScalarsTable,AE$5/100,MONTH($A55)))*$B55</f>
        <v>-37049.449372220617</v>
      </c>
      <c r="AF55" s="1021"/>
      <c r="AG55" s="1021">
        <f>(VLOOKUP(YEAR($A55),'NY East Load Projections'!$A$4:$EO$14,((MONTH($A55)-1)*12)+VLOOKUP(AG$4,$DE$6:$DF$17,2)+1))*(VLOOKUP($A55,CURVES!$D$9:$T$261,7))*(INDEX(DailyScalarsTable,AG$5/100,MONTH($A55)))*$C55</f>
        <v>-6634.3440146222492</v>
      </c>
      <c r="AH55" s="1021">
        <f>(VLOOKUP(YEAR($A55),'NY East Load Projections'!$A$4:$EO$14,((MONTH($A55)-1)*12)+VLOOKUP(AH$4,$DE$6:$DF$17,2)+1))*(VLOOKUP($A55,CURVES!$D$9:$T$261,7))*(INDEX(DailyScalarsTable,AH$5/100,MONTH($A55)))*$C55</f>
        <v>-6505.0885098221815</v>
      </c>
      <c r="AI55" s="1021">
        <f>(VLOOKUP(YEAR($A55),'NY East Load Projections'!$A$4:$EO$14,((MONTH($A55)-1)*12)+VLOOKUP(AI$4,$DE$6:$DF$17,2)+1))*(VLOOKUP($A55,CURVES!$D$9:$T$261,7))*(INDEX(DailyScalarsTable,AI$5/100,MONTH($A55)))*$C55</f>
        <v>-5960.9415806579</v>
      </c>
      <c r="AJ55" s="1021">
        <f>(VLOOKUP(YEAR($A55),'NY East Load Projections'!$A$4:$EO$14,((MONTH($A55)-1)*12)+VLOOKUP(AJ$4,$DE$6:$DF$17,2)+1))*(VLOOKUP($A55,CURVES!$D$9:$T$261,7))*(INDEX(DailyScalarsTable,AJ$5/100,MONTH($A55)))*$C55</f>
        <v>-5957.3375029733834</v>
      </c>
      <c r="AK55" s="1021">
        <f>(VLOOKUP(YEAR($A55),'NY East Load Projections'!$A$4:$EO$14,((MONTH($A55)-1)*12)+VLOOKUP(AK$4,$DE$6:$DF$17,2)+1))*(VLOOKUP($A55,CURVES!$D$9:$T$261,7))*(INDEX(DailyScalarsTable,AK$5/100,MONTH($A55)))*$C55</f>
        <v>-6217.3647133318336</v>
      </c>
      <c r="AL55" s="1021">
        <f>(VLOOKUP(YEAR($A55),'NY East Load Projections'!$A$4:$EO$14,((MONTH($A55)-1)*12)+VLOOKUP(AL$4,$DE$6:$DF$17,2)+1))*(VLOOKUP($A55,CURVES!$D$9:$T$261,7))*(INDEX(DailyScalarsTable,AL$5/100,MONTH($A55)))*$C55</f>
        <v>-6635.2832628753431</v>
      </c>
      <c r="AM55" s="1021">
        <f>(VLOOKUP(YEAR($A55),'NY East Load Projections'!$A$4:$EO$14,((MONTH($A55)-1)*12)+VLOOKUP(AM$4,$DE$6:$DF$17,2)+1))*(VLOOKUP($A55,CURVES!$D$9:$T$261,7))*(INDEX(DailyScalarsTable,AM$5/100,MONTH($A55)))*$C55</f>
        <v>-12706.486655716564</v>
      </c>
      <c r="AN55" s="1021">
        <f>(VLOOKUP(YEAR($A55),'NY East Load Projections'!$A$4:$EO$14,((MONTH($A55)-1)*12)+VLOOKUP(AN$4,$DE$6:$DF$17,2)+1))*(VLOOKUP($A55,SatSunCurve,3))*(INDEX(DailyScalarsTable,AN$5/100,MONTH($A55)))*$C55</f>
        <v>-11458.505474577807</v>
      </c>
      <c r="AO55" s="1021">
        <f>(VLOOKUP(YEAR($A55),'NY East Load Projections'!$A$4:$EO$14,((MONTH($A55)-1)*12)+VLOOKUP(AO$4,$DE$6:$DF$17,2)+1))*(VLOOKUP($A55,SatSunCurve,3))*(INDEX(DailyScalarsTable,AO$5/100,MONTH($A55)))*$C55</f>
        <v>-12877.989161855041</v>
      </c>
      <c r="AP55" s="1021">
        <f>(VLOOKUP(YEAR($A55),'NY East Load Projections'!$A$4:$EO$14,((MONTH($A55)-1)*12)+VLOOKUP(AP$4,$DE$6:$DF$17,2)+1))*(VLOOKUP($A55,SatSunCurve,3))*(INDEX(DailyScalarsTable,AP$5/100,MONTH($A55)))*$C55</f>
        <v>-12838.793735564897</v>
      </c>
      <c r="AQ55" s="1021">
        <f>(VLOOKUP(YEAR($A55),'NY East Load Projections'!$A$4:$EO$14,((MONTH($A55)-1)*12)+VLOOKUP(AQ$4,$DE$6:$DF$17,2)+1))*(VLOOKUP($A55,SatSunCurve,3))*(INDEX(DailyScalarsTable,AQ$5/100,MONTH($A55)))*$C55</f>
        <v>-12614.739945447733</v>
      </c>
      <c r="AR55" s="1021">
        <f>(VLOOKUP(YEAR($A55),'NY East Load Projections'!$A$4:$EO$14,((MONTH($A55)-1)*12)+VLOOKUP(AR$4,$DE$6:$DF$17,2)+1))*(VLOOKUP($A55,SatSunCurve,3))*(INDEX(DailyScalarsTable,AR$5/100,MONTH($A55)))*$C55</f>
        <v>-9449.633740915926</v>
      </c>
      <c r="AS55" s="1021">
        <f>(VLOOKUP(YEAR($A55),'NY East Load Projections'!$A$4:$EO$14,((MONTH($A55)-1)*12)+VLOOKUP(AS$4,$DE$6:$DF$17,2)+1))*(VLOOKUP($A55,SatSunCurve,3))*(INDEX(DailyScalarsTable,AS$5/100,MONTH($A55)))*$C55</f>
        <v>-9185.0646395345502</v>
      </c>
      <c r="AT55" s="1021">
        <f>(VLOOKUP(YEAR($A55),'NY East Load Projections'!$A$4:$EO$14,((MONTH($A55)-1)*12)+VLOOKUP(AT$4,$DE$6:$DF$17,2)+1))*(VLOOKUP($A55,SatSunCurve,3))*(INDEX(DailyScalarsTable,AT$5/100,MONTH($A55)))*$C55</f>
        <v>-8888.4949342805103</v>
      </c>
      <c r="AU55" s="1021">
        <f>(VLOOKUP(YEAR($A55),'NY East Load Projections'!$A$4:$EO$14,((MONTH($A55)-1)*12)+VLOOKUP(AU$4,$DE$6:$DF$17,2)+1))*(VLOOKUP($A55,SatSunCurve,3))*(INDEX(DailyScalarsTable,AU$5/100,MONTH($A55)))*$C55</f>
        <v>-8436.1186809763403</v>
      </c>
      <c r="AV55" s="1021">
        <f>(VLOOKUP(YEAR($A55),'NY East Load Projections'!$A$4:$EO$14,((MONTH($A55)-1)*12)+VLOOKUP(AV$4,$DE$6:$DF$17,2)+1))*(VLOOKUP($A55,SatSunCurve,3))*(INDEX(DailyScalarsTable,AV$5/100,MONTH($A55)))*$C55</f>
        <v>-8266.3432699975783</v>
      </c>
      <c r="AW55" s="1021">
        <f>(VLOOKUP(YEAR($A55),'NY East Load Projections'!$A$4:$EO$14,((MONTH($A55)-1)*12)+VLOOKUP(AW$4,$DE$6:$DF$17,2)+1))*(VLOOKUP($A55,SatSunCurve,3))*(INDEX(DailyScalarsTable,AW$5/100,MONTH($A55)))*$C55</f>
        <v>-8610.2714303808189</v>
      </c>
      <c r="AX55" s="1021">
        <f>(VLOOKUP(YEAR($A55),'NY East Load Projections'!$A$4:$EO$14,((MONTH($A55)-1)*12)+VLOOKUP(AX$4,$DE$6:$DF$17,2)+1))*(VLOOKUP($A55,SatSunCurve,3))*(INDEX(DailyScalarsTable,AX$5/100,MONTH($A55)))*$C55</f>
        <v>-11980.818627567895</v>
      </c>
      <c r="AY55" s="1021">
        <f>(VLOOKUP(YEAR($A55),'NY East Load Projections'!$A$4:$EO$14,((MONTH($A55)-1)*12)+VLOOKUP(AY$4,$DE$6:$DF$17,2)+1))*(VLOOKUP($A55,SatSunCurve,3))*(INDEX(DailyScalarsTable,AY$5/100,MONTH($A55)))*$C55</f>
        <v>-13146.141385897474</v>
      </c>
      <c r="AZ55" s="1021">
        <f>(VLOOKUP(YEAR($A55),'NY East Load Projections'!$A$4:$EO$14,((MONTH($A55)-1)*12)+VLOOKUP(AZ$4,$DE$6:$DF$17,2)+1))*(VLOOKUP($A55,SatSunCurve,3))*(INDEX(DailyScalarsTable,AZ$5/100,MONTH($A55)))*$C55</f>
        <v>-12583.138452926711</v>
      </c>
      <c r="BA55" s="1021">
        <f>(VLOOKUP(YEAR($A55),'NY East Load Projections'!$A$4:$EO$14,((MONTH($A55)-1)*12)+VLOOKUP(BA$4,$DE$6:$DF$17,2)+1))*(VLOOKUP($A55,SatSunCurve,3))*(INDEX(DailyScalarsTable,BA$5/100,MONTH($A55)))*$C55</f>
        <v>-11464.567143646429</v>
      </c>
      <c r="BB55" s="1021">
        <f>(VLOOKUP(YEAR($A55),'NY East Load Projections'!$A$4:$EO$14,((MONTH($A55)-1)*12)+VLOOKUP(BB$4,$DE$6:$DF$17,2)+1))*(VLOOKUP($A55,SatSunCurve,3))*(INDEX(DailyScalarsTable,BB$5/100,MONTH($A55)))*$C55</f>
        <v>-8153.8656830078235</v>
      </c>
      <c r="BC55" s="1021">
        <f>(VLOOKUP(YEAR($A55),'NY East Load Projections'!$A$4:$EO$14,((MONTH($A55)-1)*12)+VLOOKUP(BC$4,$DE$6:$DF$17,2)+1))*(VLOOKUP($A55,SatSunCurve,3))*(INDEX(DailyScalarsTable,BC$5/100,MONTH($A55)))*$C55</f>
        <v>-6674.9539523101166</v>
      </c>
      <c r="BD55" s="1021">
        <f>(VLOOKUP(YEAR($A55),'NY East Load Projections'!$A$4:$EO$14,((MONTH($A55)-1)*12)+VLOOKUP(BD$4,$DE$6:$DF$17,2)+1))*(VLOOKUP($A55,CURVES!$D$9:$T$261,7))*(INDEX(DailyScalarsTable,BD$5/100,MONTH($A55)))*$C55</f>
        <v>-7618.4153191918494</v>
      </c>
      <c r="BE55" s="1021"/>
      <c r="BF55" s="1021">
        <f>(VLOOKUP(YEAR($A55),'NY East Load Projections'!$A$4:$EO$14,((MONTH($A55)-1)*12)+VLOOKUP(BF$4,$DE$6:$DF$17,2)+1))*(VLOOKUP($A55,CURVES!$D$9:$T$261,7))*(INDEX(DailyScalarsTable,BF$5/100,MONTH($A55)))*$D55</f>
        <v>-6634.3440146222492</v>
      </c>
      <c r="BG55" s="1021">
        <f>(VLOOKUP(YEAR($A55),'NY East Load Projections'!$A$4:$EO$14,((MONTH($A55)-1)*12)+VLOOKUP(BG$4,$DE$6:$DF$17,2)+1))*(VLOOKUP($A55,CURVES!$D$9:$T$261,7))*(INDEX(DailyScalarsTable,BG$5/100,MONTH($A55)))*$D55</f>
        <v>-6505.0885098221815</v>
      </c>
      <c r="BH55" s="1021">
        <f>(VLOOKUP(YEAR($A55),'NY East Load Projections'!$A$4:$EO$14,((MONTH($A55)-1)*12)+VLOOKUP(BH$4,$DE$6:$DF$17,2)+1))*(VLOOKUP($A55,CURVES!$D$9:$T$261,7))*(INDEX(DailyScalarsTable,BH$5/100,MONTH($A55)))*$D55</f>
        <v>-5960.9415806579</v>
      </c>
      <c r="BI55" s="1021">
        <f>(VLOOKUP(YEAR($A55),'NY East Load Projections'!$A$4:$EO$14,((MONTH($A55)-1)*12)+VLOOKUP(BI$4,$DE$6:$DF$17,2)+1))*(VLOOKUP($A55,CURVES!$D$9:$T$261,7))*(INDEX(DailyScalarsTable,BI$5/100,MONTH($A55)))*$D55</f>
        <v>-5957.3375029733834</v>
      </c>
      <c r="BJ55" s="1021">
        <f>(VLOOKUP(YEAR($A55),'NY East Load Projections'!$A$4:$EO$14,((MONTH($A55)-1)*12)+VLOOKUP(BJ$4,$DE$6:$DF$17,2)+1))*(VLOOKUP($A55,CURVES!$D$9:$T$261,7))*(INDEX(DailyScalarsTable,BJ$5/100,MONTH($A55)))*$D55</f>
        <v>-6217.3647133318336</v>
      </c>
      <c r="BK55" s="1021">
        <f>(VLOOKUP(YEAR($A55),'NY East Load Projections'!$A$4:$EO$14,((MONTH($A55)-1)*12)+VLOOKUP(BK$4,$DE$6:$DF$17,2)+1))*(VLOOKUP($A55,CURVES!$D$9:$T$261,7))*(INDEX(DailyScalarsTable,BK$5/100,MONTH($A55)))*$D55</f>
        <v>-6635.2832628753431</v>
      </c>
      <c r="BL55" s="1021">
        <f>(VLOOKUP(YEAR($A55),'NY East Load Projections'!$A$4:$EO$14,((MONTH($A55)-1)*12)+VLOOKUP(BL$4,$DE$6:$DF$17,2)+1))*(VLOOKUP($A55,CURVES!$D$9:$T$261,7))*(INDEX(DailyScalarsTable,BL$5/100,MONTH($A55)))*$D55</f>
        <v>-12706.486655716564</v>
      </c>
      <c r="BM55" s="1021">
        <f>(VLOOKUP(YEAR($A55),'NY East Load Projections'!$A$4:$EO$14,((MONTH($A55)-1)*12)+VLOOKUP(BM$4,$DE$6:$DF$17,2)+1))*(VLOOKUP($A55,SatSunCurve,7))*(INDEX(DailyScalarsTable,BM$5/100,MONTH($A55)))*$D55</f>
        <v>-10437.622174073882</v>
      </c>
      <c r="BN55" s="1021">
        <f>(VLOOKUP(YEAR($A55),'NY East Load Projections'!$A$4:$EO$14,((MONTH($A55)-1)*12)+VLOOKUP(BN$4,$DE$6:$DF$17,2)+1))*(VLOOKUP($A55,SatSunCurve,7))*(INDEX(DailyScalarsTable,BN$5/100,MONTH($A55)))*$D55</f>
        <v>-11730.638479117531</v>
      </c>
      <c r="BO55" s="1021">
        <f>(VLOOKUP(YEAR($A55),'NY East Load Projections'!$A$4:$EO$14,((MONTH($A55)-1)*12)+VLOOKUP(BO$4,$DE$6:$DF$17,2)+1))*(VLOOKUP($A55,SatSunCurve,7))*(INDEX(DailyScalarsTable,BO$5/100,MONTH($A55)))*$D55</f>
        <v>-11694.935127447809</v>
      </c>
      <c r="BP55" s="1021">
        <f>(VLOOKUP(YEAR($A55),'NY East Load Projections'!$A$4:$EO$14,((MONTH($A55)-1)*12)+VLOOKUP(BP$4,$DE$6:$DF$17,2)+1))*(VLOOKUP($A55,SatSunCurve,7))*(INDEX(DailyScalarsTable,BP$5/100,MONTH($A55)))*$D55</f>
        <v>-11490.843170333448</v>
      </c>
      <c r="BQ55" s="1021">
        <f>(VLOOKUP(YEAR($A55),'NY East Load Projections'!$A$4:$EO$14,((MONTH($A55)-1)*12)+VLOOKUP(BQ$4,$DE$6:$DF$17,2)+1))*(VLOOKUP($A55,SatSunCurve,7))*(INDEX(DailyScalarsTable,BQ$5/100,MONTH($A55)))*$D55</f>
        <v>-8607.7287208081489</v>
      </c>
      <c r="BR55" s="1021">
        <f>(VLOOKUP(YEAR($A55),'NY East Load Projections'!$A$4:$EO$14,((MONTH($A55)-1)*12)+VLOOKUP(BR$4,$DE$6:$DF$17,2)+1))*(VLOOKUP($A55,SatSunCurve,7))*(INDEX(DailyScalarsTable,BR$5/100,MONTH($A55)))*$D55</f>
        <v>-8366.7311207913117</v>
      </c>
      <c r="BS55" s="1021">
        <f>(VLOOKUP(YEAR($A55),'NY East Load Projections'!$A$4:$EO$14,((MONTH($A55)-1)*12)+VLOOKUP(BS$4,$DE$6:$DF$17,2)+1))*(VLOOKUP($A55,SatSunCurve,7))*(INDEX(DailyScalarsTable,BS$5/100,MONTH($A55)))*$D55</f>
        <v>-8096.5839765074552</v>
      </c>
      <c r="BT55" s="1021">
        <f>(VLOOKUP(YEAR($A55),'NY East Load Projections'!$A$4:$EO$14,((MONTH($A55)-1)*12)+VLOOKUP(BT$4,$DE$6:$DF$17,2)+1))*(VLOOKUP($A55,SatSunCurve,7))*(INDEX(DailyScalarsTable,BT$5/100,MONTH($A55)))*$D55</f>
        <v>-7684.5117020744719</v>
      </c>
      <c r="BU55" s="1021">
        <f>(VLOOKUP(YEAR($A55),'NY East Load Projections'!$A$4:$EO$14,((MONTH($A55)-1)*12)+VLOOKUP(BU$4,$DE$6:$DF$17,2)+1))*(VLOOKUP($A55,SatSunCurve,7))*(INDEX(DailyScalarsTable,BU$5/100,MONTH($A55)))*$D55</f>
        <v>-7529.8622499119747</v>
      </c>
      <c r="BV55" s="1021">
        <f>(VLOOKUP(YEAR($A55),'NY East Load Projections'!$A$4:$EO$14,((MONTH($A55)-1)*12)+VLOOKUP(BV$4,$DE$6:$DF$17,2)+1))*(VLOOKUP($A55,SatSunCurve,7))*(INDEX(DailyScalarsTable,BV$5/100,MONTH($A55)))*$D55</f>
        <v>-7843.1484983733453</v>
      </c>
      <c r="BW55" s="1021">
        <f>(VLOOKUP(YEAR($A55),'NY East Load Projections'!$A$4:$EO$14,((MONTH($A55)-1)*12)+VLOOKUP(BW$4,$DE$6:$DF$17,2)+1))*(VLOOKUP($A55,SatSunCurve,7))*(INDEX(DailyScalarsTable,BW$5/100,MONTH($A55)))*$D55</f>
        <v>-10913.400394851025</v>
      </c>
      <c r="BX55" s="1021">
        <f>(VLOOKUP(YEAR($A55),'NY East Load Projections'!$A$4:$EO$14,((MONTH($A55)-1)*12)+VLOOKUP(BX$4,$DE$6:$DF$17,2)+1))*(VLOOKUP($A55,SatSunCurve,7))*(INDEX(DailyScalarsTable,BX$5/100,MONTH($A55)))*$D55</f>
        <v>-11974.899967310925</v>
      </c>
      <c r="BY55" s="1021">
        <f>(VLOOKUP(YEAR($A55),'NY East Load Projections'!$A$4:$EO$14,((MONTH($A55)-1)*12)+VLOOKUP(BY$4,$DE$6:$DF$17,2)+1))*(VLOOKUP($A55,SatSunCurve,7))*(INDEX(DailyScalarsTable,BY$5/100,MONTH($A55)))*$D55</f>
        <v>-11462.057179018693</v>
      </c>
      <c r="BZ55" s="1021">
        <f>(VLOOKUP(YEAR($A55),'NY East Load Projections'!$A$4:$EO$14,((MONTH($A55)-1)*12)+VLOOKUP(BZ$4,$DE$6:$DF$17,2)+1))*(VLOOKUP($A55,SatSunCurve,7))*(INDEX(DailyScalarsTable,BZ$5/100,MONTH($A55)))*$D55</f>
        <v>-10443.143785214439</v>
      </c>
      <c r="CA55" s="1021">
        <f>(VLOOKUP(YEAR($A55),'NY East Load Projections'!$A$4:$EO$14,((MONTH($A55)-1)*12)+VLOOKUP(CA$4,$DE$6:$DF$17,2)+1))*(VLOOKUP($A55,SatSunCurve,7))*(INDEX(DailyScalarsTable,CA$5/100,MONTH($A55)))*$D55</f>
        <v>-7427.4057333396122</v>
      </c>
      <c r="CB55" s="1021">
        <f>(VLOOKUP(YEAR($A55),'NY East Load Projections'!$A$4:$EO$14,((MONTH($A55)-1)*12)+VLOOKUP(CB$4,$DE$6:$DF$17,2)+1))*(VLOOKUP($A55,SatSunCurve,7))*(INDEX(DailyScalarsTable,CB$5/100,MONTH($A55)))*$D55</f>
        <v>-6080.2560628982219</v>
      </c>
      <c r="CC55" s="1021">
        <f>(VLOOKUP(YEAR($A55),'NY East Load Projections'!$A$4:$EO$14,((MONTH($A55)-1)*12)+VLOOKUP(CC$4,$DE$6:$DF$17,2)+1))*(VLOOKUP($A55,CURVES!$D$9:$T$261,7))*(INDEX(DailyScalarsTable,CC$5/100,MONTH($A55)))*$D55</f>
        <v>-7618.4153191918494</v>
      </c>
      <c r="CE55" s="1021">
        <f>(VLOOKUP(YEAR($A55),'NY East Load Projections'!$A$4:$EO$14,((MONTH($A55)-1)*12)+VLOOKUP(CE$4,$DE$6:$DF$17,2)+1))*(VLOOKUP($A55,CURVES!$D$9:$T$261,7))*(INDEX(DailyScalarsTable,CE$5/100,MONTH($A55)))*$E55</f>
        <v>0</v>
      </c>
      <c r="CF55" s="1021">
        <f>(VLOOKUP(YEAR($A55),'NY East Load Projections'!$A$4:$EO$14,((MONTH($A55)-1)*12)+VLOOKUP(CF$4,$DE$6:$DF$17,2)+1))*(VLOOKUP($A55,CURVES!$D$9:$T$261,7))*(INDEX(DailyScalarsTable,CF$5/100,MONTH($A55)))*$E55</f>
        <v>0</v>
      </c>
      <c r="CG55" s="1021">
        <f>(VLOOKUP(YEAR($A55),'NY East Load Projections'!$A$4:$EO$14,((MONTH($A55)-1)*12)+VLOOKUP(CG$4,$DE$6:$DF$17,2)+1))*(VLOOKUP($A55,CURVES!$D$9:$T$261,7))*(INDEX(DailyScalarsTable,CG$5/100,MONTH($A55)))*$E55</f>
        <v>0</v>
      </c>
      <c r="CH55" s="1021">
        <f>(VLOOKUP(YEAR($A55),'NY East Load Projections'!$A$4:$EO$14,((MONTH($A55)-1)*12)+VLOOKUP(CH$4,$DE$6:$DF$17,2)+1))*(VLOOKUP($A55,CURVES!$D$9:$T$261,7))*(INDEX(DailyScalarsTable,CH$5/100,MONTH($A55)))*$E55</f>
        <v>0</v>
      </c>
      <c r="CI55" s="1021">
        <f>(VLOOKUP(YEAR($A55),'NY East Load Projections'!$A$4:$EO$14,((MONTH($A55)-1)*12)+VLOOKUP(CI$4,$DE$6:$DF$17,2)+1))*(VLOOKUP($A55,CURVES!$D$9:$T$261,7))*(INDEX(DailyScalarsTable,CI$5/100,MONTH($A55)))*$E55</f>
        <v>0</v>
      </c>
      <c r="CJ55" s="1021">
        <f>(VLOOKUP(YEAR($A55),'NY East Load Projections'!$A$4:$EO$14,((MONTH($A55)-1)*12)+VLOOKUP(CJ$4,$DE$6:$DF$17,2)+1))*(VLOOKUP($A55,CURVES!$D$9:$T$261,7))*(INDEX(DailyScalarsTable,CJ$5/100,MONTH($A55)))*$E55</f>
        <v>0</v>
      </c>
      <c r="CK55" s="1021">
        <f>(VLOOKUP(YEAR($A55),'NY East Load Projections'!$A$4:$EO$14,((MONTH($A55)-1)*12)+VLOOKUP(CK$4,$DE$6:$DF$17,2)+1))*(VLOOKUP($A55,CURVES!$D$9:$T$261,7))*(INDEX(DailyScalarsTable,CK$5/100,MONTH($A55)))*$E55</f>
        <v>0</v>
      </c>
      <c r="CL55" s="1021">
        <f>(VLOOKUP(YEAR($A55),'NY East Load Projections'!$A$4:$EO$14,((MONTH($A55)-1)*12)+VLOOKUP(CL$4,$DE$6:$DF$17,2)+1))*(VLOOKUP($A55,SatSunCurve,7))*(INDEX(DailyScalarsTable,CL$5/100,MONTH($A55)))*$E55</f>
        <v>0</v>
      </c>
      <c r="CM55" s="1021">
        <f>(VLOOKUP(YEAR($A55),'NY East Load Projections'!$A$4:$EO$14,((MONTH($A55)-1)*12)+VLOOKUP(CM$4,$DE$6:$DF$17,2)+1))*(VLOOKUP($A55,SatSunCurve,7))*(INDEX(DailyScalarsTable,CM$5/100,MONTH($A55)))*$E55</f>
        <v>0</v>
      </c>
      <c r="CN55" s="1021">
        <f>(VLOOKUP(YEAR($A55),'NY East Load Projections'!$A$4:$EO$14,((MONTH($A55)-1)*12)+VLOOKUP(CN$4,$DE$6:$DF$17,2)+1))*(VLOOKUP($A55,SatSunCurve,7))*(INDEX(DailyScalarsTable,CN$5/100,MONTH($A55)))*$E55</f>
        <v>0</v>
      </c>
      <c r="CO55" s="1021">
        <f>(VLOOKUP(YEAR($A55),'NY East Load Projections'!$A$4:$EO$14,((MONTH($A55)-1)*12)+VLOOKUP(CO$4,$DE$6:$DF$17,2)+1))*(VLOOKUP($A55,SatSunCurve,7))*(INDEX(DailyScalarsTable,CO$5/100,MONTH($A55)))*$E55</f>
        <v>0</v>
      </c>
      <c r="CP55" s="1021">
        <f>(VLOOKUP(YEAR($A55),'NY East Load Projections'!$A$4:$EO$14,((MONTH($A55)-1)*12)+VLOOKUP(CP$4,$DE$6:$DF$17,2)+1))*(VLOOKUP($A55,SatSunCurve,7))*(INDEX(DailyScalarsTable,CP$5/100,MONTH($A55)))*$E55</f>
        <v>0</v>
      </c>
      <c r="CQ55" s="1021">
        <f>(VLOOKUP(YEAR($A55),'NY East Load Projections'!$A$4:$EO$14,((MONTH($A55)-1)*12)+VLOOKUP(CQ$4,$DE$6:$DF$17,2)+1))*(VLOOKUP($A55,SatSunCurve,7))*(INDEX(DailyScalarsTable,CQ$5/100,MONTH($A55)))*$E55</f>
        <v>0</v>
      </c>
      <c r="CR55" s="1021">
        <f>(VLOOKUP(YEAR($A55),'NY East Load Projections'!$A$4:$EO$14,((MONTH($A55)-1)*12)+VLOOKUP(CR$4,$DE$6:$DF$17,2)+1))*(VLOOKUP($A55,SatSunCurve,7))*(INDEX(DailyScalarsTable,CR$5/100,MONTH($A55)))*$E55</f>
        <v>0</v>
      </c>
      <c r="CS55" s="1021">
        <f>(VLOOKUP(YEAR($A55),'NY East Load Projections'!$A$4:$EO$14,((MONTH($A55)-1)*12)+VLOOKUP(CS$4,$DE$6:$DF$17,2)+1))*(VLOOKUP($A55,SatSunCurve,7))*(INDEX(DailyScalarsTable,CS$5/100,MONTH($A55)))*$E55</f>
        <v>0</v>
      </c>
      <c r="CT55" s="1021">
        <f>(VLOOKUP(YEAR($A55),'NY East Load Projections'!$A$4:$EO$14,((MONTH($A55)-1)*12)+VLOOKUP(CT$4,$DE$6:$DF$17,2)+1))*(VLOOKUP($A55,SatSunCurve,7))*(INDEX(DailyScalarsTable,CT$5/100,MONTH($A55)))*$E55</f>
        <v>0</v>
      </c>
      <c r="CU55" s="1021">
        <f>(VLOOKUP(YEAR($A55),'NY East Load Projections'!$A$4:$EO$14,((MONTH($A55)-1)*12)+VLOOKUP(CU$4,$DE$6:$DF$17,2)+1))*(VLOOKUP($A55,SatSunCurve,7))*(INDEX(DailyScalarsTable,CU$5/100,MONTH($A55)))*$E55</f>
        <v>0</v>
      </c>
      <c r="CV55" s="1021">
        <f>(VLOOKUP(YEAR($A55),'NY East Load Projections'!$A$4:$EO$14,((MONTH($A55)-1)*12)+VLOOKUP(CV$4,$DE$6:$DF$17,2)+1))*(VLOOKUP($A55,SatSunCurve,7))*(INDEX(DailyScalarsTable,CV$5/100,MONTH($A55)))*$E55</f>
        <v>0</v>
      </c>
      <c r="CW55" s="1021">
        <f>(VLOOKUP(YEAR($A55),'NY East Load Projections'!$A$4:$EO$14,((MONTH($A55)-1)*12)+VLOOKUP(CW$4,$DE$6:$DF$17,2)+1))*(VLOOKUP($A55,SatSunCurve,7))*(INDEX(DailyScalarsTable,CW$5/100,MONTH($A55)))*$E55</f>
        <v>0</v>
      </c>
      <c r="CX55" s="1021">
        <f>(VLOOKUP(YEAR($A55),'NY East Load Projections'!$A$4:$EO$14,((MONTH($A55)-1)*12)+VLOOKUP(CX$4,$DE$6:$DF$17,2)+1))*(VLOOKUP($A55,SatSunCurve,7))*(INDEX(DailyScalarsTable,CX$5/100,MONTH($A55)))*$E55</f>
        <v>0</v>
      </c>
      <c r="CY55" s="1021">
        <f>(VLOOKUP(YEAR($A55),'NY East Load Projections'!$A$4:$EO$14,((MONTH($A55)-1)*12)+VLOOKUP(CY$4,$DE$6:$DF$17,2)+1))*(VLOOKUP($A55,SatSunCurve,7))*(INDEX(DailyScalarsTable,CY$5/100,MONTH($A55)))*$E55</f>
        <v>0</v>
      </c>
      <c r="CZ55" s="1021">
        <f>(VLOOKUP(YEAR($A55),'NY East Load Projections'!$A$4:$EO$14,((MONTH($A55)-1)*12)+VLOOKUP(CZ$4,$DE$6:$DF$17,2)+1))*(VLOOKUP($A55,SatSunCurve,7))*(INDEX(DailyScalarsTable,CZ$5/100,MONTH($A55)))*$E55</f>
        <v>0</v>
      </c>
      <c r="DA55" s="1021">
        <f>(VLOOKUP(YEAR($A55),'NY East Load Projections'!$A$4:$EO$14,((MONTH($A55)-1)*12)+VLOOKUP(DA$4,$DE$6:$DF$17,2)+1))*(VLOOKUP($A55,SatSunCurve,7))*(INDEX(DailyScalarsTable,DA$5/100,MONTH($A55)))*$E55</f>
        <v>0</v>
      </c>
      <c r="DB55" s="1021">
        <f>(VLOOKUP(YEAR($A55),'NY East Load Projections'!$A$4:$EO$14,((MONTH($A55)-1)*12)+VLOOKUP(DB$4,$DE$6:$DF$17,2)+1))*(VLOOKUP($A55,CURVES!$D$9:$T$261,7))*(INDEX(DailyScalarsTable,DB$5/100,MONTH($A55)))*$E55</f>
        <v>0</v>
      </c>
      <c r="DH55" s="1032">
        <f t="shared" si="0"/>
        <v>-1856607.4592160729</v>
      </c>
      <c r="DI55">
        <f ca="1">CALC!J75</f>
        <v>0.69615197728927514</v>
      </c>
      <c r="DJ55" s="1029">
        <f t="shared" ca="1" si="1"/>
        <v>-1292480.9537832865</v>
      </c>
    </row>
    <row r="56" spans="1:114" x14ac:dyDescent="0.25">
      <c r="A56" s="244">
        <v>38412</v>
      </c>
      <c r="B56" s="13">
        <v>23</v>
      </c>
      <c r="C56" s="210">
        <v>4</v>
      </c>
      <c r="D56" s="210">
        <v>4</v>
      </c>
      <c r="E56" s="210">
        <v>0</v>
      </c>
      <c r="F56" s="13">
        <v>31</v>
      </c>
      <c r="H56" s="1021">
        <f>(VLOOKUP(YEAR($A56),'NY East Load Projections'!$A$4:$EO$14,((MONTH($A56)-1)*12)+VLOOKUP(H$4,$DE$6:$DF$17,2)+1))*(VLOOKUP($A56,CURVES!$D$9:$K$261,7))*(INDEX(DailyScalarsTable,H$5/100,MONTH($A56)))*$B56</f>
        <v>-31042.651905858893</v>
      </c>
      <c r="I56" s="1021">
        <f>(VLOOKUP(YEAR($A56),'NY East Load Projections'!$A$4:$EO$14,((MONTH($A56)-1)*12)+VLOOKUP(I$4,$DE$6:$DF$17,2)+1))*(VLOOKUP($A56,CURVES!$D$9:$K$261,7))*(INDEX(DailyScalarsTable,I$5/100,MONTH($A56)))*$B56</f>
        <v>-29352.204312962338</v>
      </c>
      <c r="J56" s="1021">
        <f>(VLOOKUP(YEAR($A56),'NY East Load Projections'!$A$4:$EO$14,((MONTH($A56)-1)*12)+VLOOKUP(J$4,$DE$6:$DF$17,2)+1))*(VLOOKUP($A56,CURVES!$D$9:$K$261,7))*(INDEX(DailyScalarsTable,J$5/100,MONTH($A56)))*$B56</f>
        <v>-28101.258081362794</v>
      </c>
      <c r="K56" s="1021">
        <f>(VLOOKUP(YEAR($A56),'NY East Load Projections'!$A$4:$EO$14,((MONTH($A56)-1)*12)+VLOOKUP(K$4,$DE$6:$DF$17,2)+1))*(VLOOKUP($A56,CURVES!$D$9:$K$261,7))*(INDEX(DailyScalarsTable,K$5/100,MONTH($A56)))*$B56</f>
        <v>-28118.898187238949</v>
      </c>
      <c r="L56" s="1021">
        <f>(VLOOKUP(YEAR($A56),'NY East Load Projections'!$A$4:$EO$14,((MONTH($A56)-1)*12)+VLOOKUP(L$4,$DE$6:$DF$17,2)+1))*(VLOOKUP($A56,CURVES!$D$9:$K$261,7))*(INDEX(DailyScalarsTable,L$5/100,MONTH($A56)))*$B56</f>
        <v>-33475.640613013318</v>
      </c>
      <c r="M56" s="1021">
        <f>(VLOOKUP(YEAR($A56),'NY East Load Projections'!$A$4:$EO$14,((MONTH($A56)-1)*12)+VLOOKUP(M$4,$DE$6:$DF$17,2)+1))*(VLOOKUP($A56,CURVES!$D$9:$K$261,7))*(INDEX(DailyScalarsTable,M$5/100,MONTH($A56)))*$B56</f>
        <v>-38857.630021221965</v>
      </c>
      <c r="N56" s="1021">
        <f>(VLOOKUP(YEAR($A56),'NY East Load Projections'!$A$4:$EO$14,((MONTH($A56)-1)*12)+VLOOKUP(N$4,$DE$6:$DF$17,2)+1))*(VLOOKUP($A56,CURVES!$D$9:$K$261,7))*(INDEX(DailyScalarsTable,N$5/100,MONTH($A56)))*$B56</f>
        <v>-70114.192752186296</v>
      </c>
      <c r="O56" s="1021">
        <f>(VLOOKUP(YEAR($A56),'NY East Load Projections'!$A$4:$EO$14,((MONTH($A56)-1)*12)+VLOOKUP(O$4,$DE$6:$DF$17,2)+1))*(VLOOKUP($A56,CURVES!$D$9:$K$261,3))*(INDEX(DailyScalarsTable,O$5/100,MONTH($A56)))*$B56</f>
        <v>-74661.64981733897</v>
      </c>
      <c r="P56" s="1021">
        <f>(VLOOKUP(YEAR($A56),'NY East Load Projections'!$A$4:$EO$14,((MONTH($A56)-1)*12)+VLOOKUP(P$4,$DE$6:$DF$17,2)+1))*(VLOOKUP($A56,CURVES!$D$9:$K$261,3))*(INDEX(DailyScalarsTable,P$5/100,MONTH($A56)))*$B56</f>
        <v>-87225.615738521796</v>
      </c>
      <c r="Q56" s="1021">
        <f>(VLOOKUP(YEAR($A56),'NY East Load Projections'!$A$4:$EO$14,((MONTH($A56)-1)*12)+VLOOKUP(Q$4,$DE$6:$DF$17,2)+1))*(VLOOKUP($A56,CURVES!$D$9:$K$261,3))*(INDEX(DailyScalarsTable,Q$5/100,MONTH($A56)))*$B56</f>
        <v>-86961.695569872711</v>
      </c>
      <c r="R56" s="1021">
        <f>(VLOOKUP(YEAR($A56),'NY East Load Projections'!$A$4:$EO$14,((MONTH($A56)-1)*12)+VLOOKUP(R$4,$DE$6:$DF$17,2)+1))*(VLOOKUP($A56,CURVES!$D$9:$K$261,3))*(INDEX(DailyScalarsTable,R$5/100,MONTH($A56)))*$B56</f>
        <v>-85429.492368548876</v>
      </c>
      <c r="S56" s="1021">
        <f>(VLOOKUP(YEAR($A56),'NY East Load Projections'!$A$4:$EO$14,((MONTH($A56)-1)*12)+VLOOKUP(S$4,$DE$6:$DF$17,2)+1))*(VLOOKUP($A56,CURVES!$D$9:$K$261,3))*(INDEX(DailyScalarsTable,S$5/100,MONTH($A56)))*$B56</f>
        <v>-65276.255045873098</v>
      </c>
      <c r="T56" s="1021">
        <f>(VLOOKUP(YEAR($A56),'NY East Load Projections'!$A$4:$EO$14,((MONTH($A56)-1)*12)+VLOOKUP(T$4,$DE$6:$DF$17,2)+1))*(VLOOKUP($A56,CURVES!$D$9:$K$261,3))*(INDEX(DailyScalarsTable,T$5/100,MONTH($A56)))*$B56</f>
        <v>-65464.484246005522</v>
      </c>
      <c r="U56" s="1021">
        <f>(VLOOKUP(YEAR($A56),'NY East Load Projections'!$A$4:$EO$14,((MONTH($A56)-1)*12)+VLOOKUP(U$4,$DE$6:$DF$17,2)+1))*(VLOOKUP($A56,CURVES!$D$9:$K$261,3))*(INDEX(DailyScalarsTable,U$5/100,MONTH($A56)))*$B56</f>
        <v>-63375.192195601107</v>
      </c>
      <c r="V56" s="1021">
        <f>(VLOOKUP(YEAR($A56),'NY East Load Projections'!$A$4:$EO$14,((MONTH($A56)-1)*12)+VLOOKUP(V$4,$DE$6:$DF$17,2)+1))*(VLOOKUP($A56,CURVES!$D$9:$K$261,3))*(INDEX(DailyScalarsTable,V$5/100,MONTH($A56)))*$B56</f>
        <v>-60188.264828861007</v>
      </c>
      <c r="W56" s="1021">
        <f>(VLOOKUP(YEAR($A56),'NY East Load Projections'!$A$4:$EO$14,((MONTH($A56)-1)*12)+VLOOKUP(W$4,$DE$6:$DF$17,2)+1))*(VLOOKUP($A56,CURVES!$D$9:$K$261,3))*(INDEX(DailyScalarsTable,W$5/100,MONTH($A56)))*$B56</f>
        <v>-58992.220828991798</v>
      </c>
      <c r="X56" s="1021">
        <f>(VLOOKUP(YEAR($A56),'NY East Load Projections'!$A$4:$EO$14,((MONTH($A56)-1)*12)+VLOOKUP(X$4,$DE$6:$DF$17,2)+1))*(VLOOKUP($A56,CURVES!$D$9:$K$261,3))*(INDEX(DailyScalarsTable,X$5/100,MONTH($A56)))*$B56</f>
        <v>-60665.007948652055</v>
      </c>
      <c r="Y56" s="1021">
        <f>(VLOOKUP(YEAR($A56),'NY East Load Projections'!$A$4:$EO$14,((MONTH($A56)-1)*12)+VLOOKUP(Y$4,$DE$6:$DF$17,2)+1))*(VLOOKUP($A56,CURVES!$D$9:$K$261,3))*(INDEX(DailyScalarsTable,Y$5/100,MONTH($A56)))*$B56</f>
        <v>-82707.484353723732</v>
      </c>
      <c r="Z56" s="1021">
        <f>(VLOOKUP(YEAR($A56),'NY East Load Projections'!$A$4:$EO$14,((MONTH($A56)-1)*12)+VLOOKUP(Z$4,$DE$6:$DF$17,2)+1))*(VLOOKUP($A56,CURVES!$D$9:$K$261,3))*(INDEX(DailyScalarsTable,Z$5/100,MONTH($A56)))*$B56</f>
        <v>-90819.001424070797</v>
      </c>
      <c r="AA56" s="1021">
        <f>(VLOOKUP(YEAR($A56),'NY East Load Projections'!$A$4:$EO$14,((MONTH($A56)-1)*12)+VLOOKUP(AA$4,$DE$6:$DF$17,2)+1))*(VLOOKUP($A56,CURVES!$D$9:$K$261,3))*(INDEX(DailyScalarsTable,AA$5/100,MONTH($A56)))*$B56</f>
        <v>-86898.9108680668</v>
      </c>
      <c r="AB56" s="1021">
        <f>(VLOOKUP(YEAR($A56),'NY East Load Projections'!$A$4:$EO$14,((MONTH($A56)-1)*12)+VLOOKUP(AB$4,$DE$6:$DF$17,2)+1))*(VLOOKUP($A56,CURVES!$D$9:$K$261,3))*(INDEX(DailyScalarsTable,AB$5/100,MONTH($A56)))*$B56</f>
        <v>-73072.763071575915</v>
      </c>
      <c r="AC56" s="1021">
        <f>(VLOOKUP(YEAR($A56),'NY East Load Projections'!$A$4:$EO$14,((MONTH($A56)-1)*12)+VLOOKUP(AC$4,$DE$6:$DF$17,2)+1))*(VLOOKUP($A56,CURVES!$D$9:$K$261,3))*(INDEX(DailyScalarsTable,AC$5/100,MONTH($A56)))*$B56</f>
        <v>-53060.870224447965</v>
      </c>
      <c r="AD56" s="1021">
        <f>(VLOOKUP(YEAR($A56),'NY East Load Projections'!$A$4:$EO$14,((MONTH($A56)-1)*12)+VLOOKUP(AD$4,$DE$6:$DF$17,2)+1))*(VLOOKUP($A56,CURVES!$D$9:$K$261,3))*(INDEX(DailyScalarsTable,AD$5/100,MONTH($A56)))*$B56</f>
        <v>-43552.668584709245</v>
      </c>
      <c r="AE56" s="1021">
        <f>(VLOOKUP(YEAR($A56),'NY East Load Projections'!$A$4:$EO$14,((MONTH($A56)-1)*12)+VLOOKUP(AE$4,$DE$6:$DF$17,2)+1))*(VLOOKUP($A56,CURVES!$D$9:$K$261,7))*(INDEX(DailyScalarsTable,AE$5/100,MONTH($A56)))*$B56</f>
        <v>-39606.87048908243</v>
      </c>
      <c r="AF56" s="1021"/>
      <c r="AG56" s="1021">
        <f>(VLOOKUP(YEAR($A56),'NY East Load Projections'!$A$4:$EO$14,((MONTH($A56)-1)*12)+VLOOKUP(AG$4,$DE$6:$DF$17,2)+1))*(VLOOKUP($A56,CURVES!$D$9:$T$261,7))*(INDEX(DailyScalarsTable,AG$5/100,MONTH($A56)))*$C56</f>
        <v>-6042.6668889952498</v>
      </c>
      <c r="AH56" s="1021">
        <f>(VLOOKUP(YEAR($A56),'NY East Load Projections'!$A$4:$EO$14,((MONTH($A56)-1)*12)+VLOOKUP(AH$4,$DE$6:$DF$17,2)+1))*(VLOOKUP($A56,CURVES!$D$9:$T$261,7))*(INDEX(DailyScalarsTable,AH$5/100,MONTH($A56)))*$C56</f>
        <v>-5713.6095736551952</v>
      </c>
      <c r="AI56" s="1021">
        <f>(VLOOKUP(YEAR($A56),'NY East Load Projections'!$A$4:$EO$14,((MONTH($A56)-1)*12)+VLOOKUP(AI$4,$DE$6:$DF$17,2)+1))*(VLOOKUP($A56,CURVES!$D$9:$T$261,7))*(INDEX(DailyScalarsTable,AI$5/100,MONTH($A56)))*$C56</f>
        <v>-5470.1042379472856</v>
      </c>
      <c r="AJ56" s="1021">
        <f>(VLOOKUP(YEAR($A56),'NY East Load Projections'!$A$4:$EO$14,((MONTH($A56)-1)*12)+VLOOKUP(AJ$4,$DE$6:$DF$17,2)+1))*(VLOOKUP($A56,CURVES!$D$9:$T$261,7))*(INDEX(DailyScalarsTable,AJ$5/100,MONTH($A56)))*$C56</f>
        <v>-5473.5380065576319</v>
      </c>
      <c r="AK56" s="1021">
        <f>(VLOOKUP(YEAR($A56),'NY East Load Projections'!$A$4:$EO$14,((MONTH($A56)-1)*12)+VLOOKUP(AK$4,$DE$6:$DF$17,2)+1))*(VLOOKUP($A56,CURVES!$D$9:$T$261,7))*(INDEX(DailyScalarsTable,AK$5/100,MONTH($A56)))*$C56</f>
        <v>-5959.2611591176101</v>
      </c>
      <c r="AL56" s="1021">
        <f>(VLOOKUP(YEAR($A56),'NY East Load Projections'!$A$4:$EO$14,((MONTH($A56)-1)*12)+VLOOKUP(AL$4,$DE$6:$DF$17,2)+1))*(VLOOKUP($A56,CURVES!$D$9:$T$261,7))*(INDEX(DailyScalarsTable,AL$5/100,MONTH($A56)))*$C56</f>
        <v>-6917.3512763430963</v>
      </c>
      <c r="AM56" s="1021">
        <f>(VLOOKUP(YEAR($A56),'NY East Load Projections'!$A$4:$EO$14,((MONTH($A56)-1)*12)+VLOOKUP(AM$4,$DE$6:$DF$17,2)+1))*(VLOOKUP($A56,CURVES!$D$9:$T$261,7))*(INDEX(DailyScalarsTable,AM$5/100,MONTH($A56)))*$C56</f>
        <v>-12481.576989106597</v>
      </c>
      <c r="AN56" s="1021">
        <f>(VLOOKUP(YEAR($A56),'NY East Load Projections'!$A$4:$EO$14,((MONTH($A56)-1)*12)+VLOOKUP(AN$4,$DE$6:$DF$17,2)+1))*(VLOOKUP($A56,SatSunCurve,3))*(INDEX(DailyScalarsTable,AN$5/100,MONTH($A56)))*$C56</f>
        <v>-8552.5241351339828</v>
      </c>
      <c r="AO56" s="1021">
        <f>(VLOOKUP(YEAR($A56),'NY East Load Projections'!$A$4:$EO$14,((MONTH($A56)-1)*12)+VLOOKUP(AO$4,$DE$6:$DF$17,2)+1))*(VLOOKUP($A56,SatSunCurve,3))*(INDEX(DailyScalarsTable,AO$5/100,MONTH($A56)))*$C56</f>
        <v>-9603.239710770873</v>
      </c>
      <c r="AP56" s="1021">
        <f>(VLOOKUP(YEAR($A56),'NY East Load Projections'!$A$4:$EO$14,((MONTH($A56)-1)*12)+VLOOKUP(AP$4,$DE$6:$DF$17,2)+1))*(VLOOKUP($A56,SatSunCurve,3))*(INDEX(DailyScalarsTable,AP$5/100,MONTH($A56)))*$C56</f>
        <v>-9574.1830096792819</v>
      </c>
      <c r="AQ56" s="1021">
        <f>(VLOOKUP(YEAR($A56),'NY East Load Projections'!$A$4:$EO$14,((MONTH($A56)-1)*12)+VLOOKUP(AQ$4,$DE$6:$DF$17,2)+1))*(VLOOKUP($A56,SatSunCurve,3))*(INDEX(DailyScalarsTable,AQ$5/100,MONTH($A56)))*$C56</f>
        <v>-9405.492717230878</v>
      </c>
      <c r="AR56" s="1021">
        <f>(VLOOKUP(YEAR($A56),'NY East Load Projections'!$A$4:$EO$14,((MONTH($A56)-1)*12)+VLOOKUP(AR$4,$DE$6:$DF$17,2)+1))*(VLOOKUP($A56,SatSunCurve,3))*(INDEX(DailyScalarsTable,AR$5/100,MONTH($A56)))*$C56</f>
        <v>-7186.6907366535434</v>
      </c>
      <c r="AS56" s="1021">
        <f>(VLOOKUP(YEAR($A56),'NY East Load Projections'!$A$4:$EO$14,((MONTH($A56)-1)*12)+VLOOKUP(AS$4,$DE$6:$DF$17,2)+1))*(VLOOKUP($A56,SatSunCurve,3))*(INDEX(DailyScalarsTable,AS$5/100,MONTH($A56)))*$C56</f>
        <v>-7015.3323991288307</v>
      </c>
      <c r="AT56" s="1021">
        <f>(VLOOKUP(YEAR($A56),'NY East Load Projections'!$A$4:$EO$14,((MONTH($A56)-1)*12)+VLOOKUP(AT$4,$DE$6:$DF$17,2)+1))*(VLOOKUP($A56,SatSunCurve,3))*(INDEX(DailyScalarsTable,AT$5/100,MONTH($A56)))*$C56</f>
        <v>-6791.4388119225923</v>
      </c>
      <c r="AU56" s="1021">
        <f>(VLOOKUP(YEAR($A56),'NY East Load Projections'!$A$4:$EO$14,((MONTH($A56)-1)*12)+VLOOKUP(AU$4,$DE$6:$DF$17,2)+1))*(VLOOKUP($A56,SatSunCurve,3))*(INDEX(DailyScalarsTable,AU$5/100,MONTH($A56)))*$C56</f>
        <v>-6449.9199705681476</v>
      </c>
      <c r="AV56" s="1021">
        <f>(VLOOKUP(YEAR($A56),'NY East Load Projections'!$A$4:$EO$14,((MONTH($A56)-1)*12)+VLOOKUP(AV$4,$DE$6:$DF$17,2)+1))*(VLOOKUP($A56,SatSunCurve,3))*(INDEX(DailyScalarsTable,AV$5/100,MONTH($A56)))*$C56</f>
        <v>-6321.7490039790682</v>
      </c>
      <c r="AW56" s="1021">
        <f>(VLOOKUP(YEAR($A56),'NY East Load Projections'!$A$4:$EO$14,((MONTH($A56)-1)*12)+VLOOKUP(AW$4,$DE$6:$DF$17,2)+1))*(VLOOKUP($A56,SatSunCurve,3))*(INDEX(DailyScalarsTable,AW$5/100,MONTH($A56)))*$C56</f>
        <v>-6598.4773704493582</v>
      </c>
      <c r="AX56" s="1021">
        <f>(VLOOKUP(YEAR($A56),'NY East Load Projections'!$A$4:$EO$14,((MONTH($A56)-1)*12)+VLOOKUP(AX$4,$DE$6:$DF$17,2)+1))*(VLOOKUP($A56,SatSunCurve,3))*(INDEX(DailyScalarsTable,AX$5/100,MONTH($A56)))*$C56</f>
        <v>-8996.0173472122078</v>
      </c>
      <c r="AY56" s="1021">
        <f>(VLOOKUP(YEAR($A56),'NY East Load Projections'!$A$4:$EO$14,((MONTH($A56)-1)*12)+VLOOKUP(AY$4,$DE$6:$DF$17,2)+1))*(VLOOKUP($A56,SatSunCurve,3))*(INDEX(DailyScalarsTable,AY$5/100,MONTH($A56)))*$C56</f>
        <v>-9878.2996321498813</v>
      </c>
      <c r="AZ56" s="1021">
        <f>(VLOOKUP(YEAR($A56),'NY East Load Projections'!$A$4:$EO$14,((MONTH($A56)-1)*12)+VLOOKUP(AZ$4,$DE$6:$DF$17,2)+1))*(VLOOKUP($A56,SatSunCurve,3))*(INDEX(DailyScalarsTable,AZ$5/100,MONTH($A56)))*$C56</f>
        <v>-9451.9149715594049</v>
      </c>
      <c r="BA56" s="1021">
        <f>(VLOOKUP(YEAR($A56),'NY East Load Projections'!$A$4:$EO$14,((MONTH($A56)-1)*12)+VLOOKUP(BA$4,$DE$6:$DF$17,2)+1))*(VLOOKUP($A56,SatSunCurve,3))*(INDEX(DailyScalarsTable,BA$5/100,MONTH($A56)))*$C56</f>
        <v>-8592.0423884091433</v>
      </c>
      <c r="BB56" s="1021">
        <f>(VLOOKUP(YEAR($A56),'NY East Load Projections'!$A$4:$EO$14,((MONTH($A56)-1)*12)+VLOOKUP(BB$4,$DE$6:$DF$17,2)+1))*(VLOOKUP($A56,SatSunCurve,3))*(INDEX(DailyScalarsTable,BB$5/100,MONTH($A56)))*$C56</f>
        <v>-6239.0037952687126</v>
      </c>
      <c r="BC56" s="1021">
        <f>(VLOOKUP(YEAR($A56),'NY East Load Projections'!$A$4:$EO$14,((MONTH($A56)-1)*12)+VLOOKUP(BC$4,$DE$6:$DF$17,2)+1))*(VLOOKUP($A56,SatSunCurve,3))*(INDEX(DailyScalarsTable,BC$5/100,MONTH($A56)))*$C56</f>
        <v>-5121.0103310533932</v>
      </c>
      <c r="BD56" s="1021">
        <f>(VLOOKUP(YEAR($A56),'NY East Load Projections'!$A$4:$EO$14,((MONTH($A56)-1)*12)+VLOOKUP(BD$4,$DE$6:$DF$17,2)+1))*(VLOOKUP($A56,CURVES!$D$9:$T$261,7))*(INDEX(DailyScalarsTable,BD$5/100,MONTH($A56)))*$C56</f>
        <v>-7237.32716394821</v>
      </c>
      <c r="BE56" s="1021"/>
      <c r="BF56" s="1021">
        <f>(VLOOKUP(YEAR($A56),'NY East Load Projections'!$A$4:$EO$14,((MONTH($A56)-1)*12)+VLOOKUP(BF$4,$DE$6:$DF$17,2)+1))*(VLOOKUP($A56,CURVES!$D$9:$T$261,7))*(INDEX(DailyScalarsTable,BF$5/100,MONTH($A56)))*$D56</f>
        <v>-6042.6668889952498</v>
      </c>
      <c r="BG56" s="1021">
        <f>(VLOOKUP(YEAR($A56),'NY East Load Projections'!$A$4:$EO$14,((MONTH($A56)-1)*12)+VLOOKUP(BG$4,$DE$6:$DF$17,2)+1))*(VLOOKUP($A56,CURVES!$D$9:$T$261,7))*(INDEX(DailyScalarsTable,BG$5/100,MONTH($A56)))*$D56</f>
        <v>-5713.6095736551952</v>
      </c>
      <c r="BH56" s="1021">
        <f>(VLOOKUP(YEAR($A56),'NY East Load Projections'!$A$4:$EO$14,((MONTH($A56)-1)*12)+VLOOKUP(BH$4,$DE$6:$DF$17,2)+1))*(VLOOKUP($A56,CURVES!$D$9:$T$261,7))*(INDEX(DailyScalarsTable,BH$5/100,MONTH($A56)))*$D56</f>
        <v>-5470.1042379472856</v>
      </c>
      <c r="BI56" s="1021">
        <f>(VLOOKUP(YEAR($A56),'NY East Load Projections'!$A$4:$EO$14,((MONTH($A56)-1)*12)+VLOOKUP(BI$4,$DE$6:$DF$17,2)+1))*(VLOOKUP($A56,CURVES!$D$9:$T$261,7))*(INDEX(DailyScalarsTable,BI$5/100,MONTH($A56)))*$D56</f>
        <v>-5473.5380065576319</v>
      </c>
      <c r="BJ56" s="1021">
        <f>(VLOOKUP(YEAR($A56),'NY East Load Projections'!$A$4:$EO$14,((MONTH($A56)-1)*12)+VLOOKUP(BJ$4,$DE$6:$DF$17,2)+1))*(VLOOKUP($A56,CURVES!$D$9:$T$261,7))*(INDEX(DailyScalarsTable,BJ$5/100,MONTH($A56)))*$D56</f>
        <v>-5959.2611591176101</v>
      </c>
      <c r="BK56" s="1021">
        <f>(VLOOKUP(YEAR($A56),'NY East Load Projections'!$A$4:$EO$14,((MONTH($A56)-1)*12)+VLOOKUP(BK$4,$DE$6:$DF$17,2)+1))*(VLOOKUP($A56,CURVES!$D$9:$T$261,7))*(INDEX(DailyScalarsTable,BK$5/100,MONTH($A56)))*$D56</f>
        <v>-6917.3512763430963</v>
      </c>
      <c r="BL56" s="1021">
        <f>(VLOOKUP(YEAR($A56),'NY East Load Projections'!$A$4:$EO$14,((MONTH($A56)-1)*12)+VLOOKUP(BL$4,$DE$6:$DF$17,2)+1))*(VLOOKUP($A56,CURVES!$D$9:$T$261,7))*(INDEX(DailyScalarsTable,BL$5/100,MONTH($A56)))*$D56</f>
        <v>-12481.576989106597</v>
      </c>
      <c r="BM56" s="1021">
        <f>(VLOOKUP(YEAR($A56),'NY East Load Projections'!$A$4:$EO$14,((MONTH($A56)-1)*12)+VLOOKUP(BM$4,$DE$6:$DF$17,2)+1))*(VLOOKUP($A56,SatSunCurve,7))*(INDEX(DailyScalarsTable,BM$5/100,MONTH($A56)))*$D56</f>
        <v>-8403.4016767462963</v>
      </c>
      <c r="BN56" s="1021">
        <f>(VLOOKUP(YEAR($A56),'NY East Load Projections'!$A$4:$EO$14,((MONTH($A56)-1)*12)+VLOOKUP(BN$4,$DE$6:$DF$17,2)+1))*(VLOOKUP($A56,SatSunCurve,7))*(INDEX(DailyScalarsTable,BN$5/100,MONTH($A56)))*$D56</f>
        <v>-9435.7968960498401</v>
      </c>
      <c r="BO56" s="1021">
        <f>(VLOOKUP(YEAR($A56),'NY East Load Projections'!$A$4:$EO$14,((MONTH($A56)-1)*12)+VLOOKUP(BO$4,$DE$6:$DF$17,2)+1))*(VLOOKUP($A56,SatSunCurve,7))*(INDEX(DailyScalarsTable,BO$5/100,MONTH($A56)))*$D56</f>
        <v>-9407.2468297985542</v>
      </c>
      <c r="BP56" s="1021">
        <f>(VLOOKUP(YEAR($A56),'NY East Load Projections'!$A$4:$EO$14,((MONTH($A56)-1)*12)+VLOOKUP(BP$4,$DE$6:$DF$17,2)+1))*(VLOOKUP($A56,SatSunCurve,7))*(INDEX(DailyScalarsTable,BP$5/100,MONTH($A56)))*$D56</f>
        <v>-9241.4978340619255</v>
      </c>
      <c r="BQ56" s="1021">
        <f>(VLOOKUP(YEAR($A56),'NY East Load Projections'!$A$4:$EO$14,((MONTH($A56)-1)*12)+VLOOKUP(BQ$4,$DE$6:$DF$17,2)+1))*(VLOOKUP($A56,SatSunCurve,7))*(INDEX(DailyScalarsTable,BQ$5/100,MONTH($A56)))*$D56</f>
        <v>-7061.3830528179333</v>
      </c>
      <c r="BR56" s="1021">
        <f>(VLOOKUP(YEAR($A56),'NY East Load Projections'!$A$4:$EO$14,((MONTH($A56)-1)*12)+VLOOKUP(BR$4,$DE$6:$DF$17,2)+1))*(VLOOKUP($A56,SatSunCurve,7))*(INDEX(DailyScalarsTable,BR$5/100,MONTH($A56)))*$D56</f>
        <v>-6893.0125322409622</v>
      </c>
      <c r="BS56" s="1021">
        <f>(VLOOKUP(YEAR($A56),'NY East Load Projections'!$A$4:$EO$14,((MONTH($A56)-1)*12)+VLOOKUP(BS$4,$DE$6:$DF$17,2)+1))*(VLOOKUP($A56,SatSunCurve,7))*(INDEX(DailyScalarsTable,BS$5/100,MONTH($A56)))*$D56</f>
        <v>-6673.0227705736979</v>
      </c>
      <c r="BT56" s="1021">
        <f>(VLOOKUP(YEAR($A56),'NY East Load Projections'!$A$4:$EO$14,((MONTH($A56)-1)*12)+VLOOKUP(BT$4,$DE$6:$DF$17,2)+1))*(VLOOKUP($A56,SatSunCurve,7))*(INDEX(DailyScalarsTable,BT$5/100,MONTH($A56)))*$D56</f>
        <v>-6337.4586775957323</v>
      </c>
      <c r="BU56" s="1021">
        <f>(VLOOKUP(YEAR($A56),'NY East Load Projections'!$A$4:$EO$14,((MONTH($A56)-1)*12)+VLOOKUP(BU$4,$DE$6:$DF$17,2)+1))*(VLOOKUP($A56,SatSunCurve,7))*(INDEX(DailyScalarsTable,BU$5/100,MONTH($A56)))*$D56</f>
        <v>-6211.5225096847616</v>
      </c>
      <c r="BV56" s="1021">
        <f>(VLOOKUP(YEAR($A56),'NY East Load Projections'!$A$4:$EO$14,((MONTH($A56)-1)*12)+VLOOKUP(BV$4,$DE$6:$DF$17,2)+1))*(VLOOKUP($A56,SatSunCurve,7))*(INDEX(DailyScalarsTable,BV$5/100,MONTH($A56)))*$D56</f>
        <v>-6483.4258194043623</v>
      </c>
      <c r="BW56" s="1021">
        <f>(VLOOKUP(YEAR($A56),'NY East Load Projections'!$A$4:$EO$14,((MONTH($A56)-1)*12)+VLOOKUP(BW$4,$DE$6:$DF$17,2)+1))*(VLOOKUP($A56,SatSunCurve,7))*(INDEX(DailyScalarsTable,BW$5/100,MONTH($A56)))*$D56</f>
        <v>-8839.1621075989569</v>
      </c>
      <c r="BX56" s="1021">
        <f>(VLOOKUP(YEAR($A56),'NY East Load Projections'!$A$4:$EO$14,((MONTH($A56)-1)*12)+VLOOKUP(BX$4,$DE$6:$DF$17,2)+1))*(VLOOKUP($A56,SatSunCurve,7))*(INDEX(DailyScalarsTable,BX$5/100,MONTH($A56)))*$D56</f>
        <v>-9706.0608518130994</v>
      </c>
      <c r="BY56" s="1021">
        <f>(VLOOKUP(YEAR($A56),'NY East Load Projections'!$A$4:$EO$14,((MONTH($A56)-1)*12)+VLOOKUP(BY$4,$DE$6:$DF$17,2)+1))*(VLOOKUP($A56,SatSunCurve,7))*(INDEX(DailyScalarsTable,BY$5/100,MONTH($A56)))*$D56</f>
        <v>-9287.1106664490453</v>
      </c>
      <c r="BZ56" s="1021">
        <f>(VLOOKUP(YEAR($A56),'NY East Load Projections'!$A$4:$EO$14,((MONTH($A56)-1)*12)+VLOOKUP(BZ$4,$DE$6:$DF$17,2)+1))*(VLOOKUP($A56,SatSunCurve,7))*(INDEX(DailyScalarsTable,BZ$5/100,MONTH($A56)))*$D56</f>
        <v>-8442.2308867651664</v>
      </c>
      <c r="CA56" s="1021">
        <f>(VLOOKUP(YEAR($A56),'NY East Load Projections'!$A$4:$EO$14,((MONTH($A56)-1)*12)+VLOOKUP(CA$4,$DE$6:$DF$17,2)+1))*(VLOOKUP($A56,SatSunCurve,7))*(INDEX(DailyScalarsTable,CA$5/100,MONTH($A56)))*$D56</f>
        <v>-6130.2200526986599</v>
      </c>
      <c r="CB56" s="1021">
        <f>(VLOOKUP(YEAR($A56),'NY East Load Projections'!$A$4:$EO$14,((MONTH($A56)-1)*12)+VLOOKUP(CB$4,$DE$6:$DF$17,2)+1))*(VLOOKUP($A56,SatSunCurve,7))*(INDEX(DailyScalarsTable,CB$5/100,MONTH($A56)))*$D56</f>
        <v>-5031.7200071759889</v>
      </c>
      <c r="CC56" s="1021">
        <f>(VLOOKUP(YEAR($A56),'NY East Load Projections'!$A$4:$EO$14,((MONTH($A56)-1)*12)+VLOOKUP(CC$4,$DE$6:$DF$17,2)+1))*(VLOOKUP($A56,CURVES!$D$9:$T$261,7))*(INDEX(DailyScalarsTable,CC$5/100,MONTH($A56)))*$D56</f>
        <v>-7237.32716394821</v>
      </c>
      <c r="CE56" s="1021">
        <f>(VLOOKUP(YEAR($A56),'NY East Load Projections'!$A$4:$EO$14,((MONTH($A56)-1)*12)+VLOOKUP(CE$4,$DE$6:$DF$17,2)+1))*(VLOOKUP($A56,CURVES!$D$9:$T$261,7))*(INDEX(DailyScalarsTable,CE$5/100,MONTH($A56)))*$E56</f>
        <v>0</v>
      </c>
      <c r="CF56" s="1021">
        <f>(VLOOKUP(YEAR($A56),'NY East Load Projections'!$A$4:$EO$14,((MONTH($A56)-1)*12)+VLOOKUP(CF$4,$DE$6:$DF$17,2)+1))*(VLOOKUP($A56,CURVES!$D$9:$T$261,7))*(INDEX(DailyScalarsTable,CF$5/100,MONTH($A56)))*$E56</f>
        <v>0</v>
      </c>
      <c r="CG56" s="1021">
        <f>(VLOOKUP(YEAR($A56),'NY East Load Projections'!$A$4:$EO$14,((MONTH($A56)-1)*12)+VLOOKUP(CG$4,$DE$6:$DF$17,2)+1))*(VLOOKUP($A56,CURVES!$D$9:$T$261,7))*(INDEX(DailyScalarsTable,CG$5/100,MONTH($A56)))*$E56</f>
        <v>0</v>
      </c>
      <c r="CH56" s="1021">
        <f>(VLOOKUP(YEAR($A56),'NY East Load Projections'!$A$4:$EO$14,((MONTH($A56)-1)*12)+VLOOKUP(CH$4,$DE$6:$DF$17,2)+1))*(VLOOKUP($A56,CURVES!$D$9:$T$261,7))*(INDEX(DailyScalarsTable,CH$5/100,MONTH($A56)))*$E56</f>
        <v>0</v>
      </c>
      <c r="CI56" s="1021">
        <f>(VLOOKUP(YEAR($A56),'NY East Load Projections'!$A$4:$EO$14,((MONTH($A56)-1)*12)+VLOOKUP(CI$4,$DE$6:$DF$17,2)+1))*(VLOOKUP($A56,CURVES!$D$9:$T$261,7))*(INDEX(DailyScalarsTable,CI$5/100,MONTH($A56)))*$E56</f>
        <v>0</v>
      </c>
      <c r="CJ56" s="1021">
        <f>(VLOOKUP(YEAR($A56),'NY East Load Projections'!$A$4:$EO$14,((MONTH($A56)-1)*12)+VLOOKUP(CJ$4,$DE$6:$DF$17,2)+1))*(VLOOKUP($A56,CURVES!$D$9:$T$261,7))*(INDEX(DailyScalarsTable,CJ$5/100,MONTH($A56)))*$E56</f>
        <v>0</v>
      </c>
      <c r="CK56" s="1021">
        <f>(VLOOKUP(YEAR($A56),'NY East Load Projections'!$A$4:$EO$14,((MONTH($A56)-1)*12)+VLOOKUP(CK$4,$DE$6:$DF$17,2)+1))*(VLOOKUP($A56,CURVES!$D$9:$T$261,7))*(INDEX(DailyScalarsTable,CK$5/100,MONTH($A56)))*$E56</f>
        <v>0</v>
      </c>
      <c r="CL56" s="1021">
        <f>(VLOOKUP(YEAR($A56),'NY East Load Projections'!$A$4:$EO$14,((MONTH($A56)-1)*12)+VLOOKUP(CL$4,$DE$6:$DF$17,2)+1))*(VLOOKUP($A56,SatSunCurve,7))*(INDEX(DailyScalarsTable,CL$5/100,MONTH($A56)))*$E56</f>
        <v>0</v>
      </c>
      <c r="CM56" s="1021">
        <f>(VLOOKUP(YEAR($A56),'NY East Load Projections'!$A$4:$EO$14,((MONTH($A56)-1)*12)+VLOOKUP(CM$4,$DE$6:$DF$17,2)+1))*(VLOOKUP($A56,SatSunCurve,7))*(INDEX(DailyScalarsTable,CM$5/100,MONTH($A56)))*$E56</f>
        <v>0</v>
      </c>
      <c r="CN56" s="1021">
        <f>(VLOOKUP(YEAR($A56),'NY East Load Projections'!$A$4:$EO$14,((MONTH($A56)-1)*12)+VLOOKUP(CN$4,$DE$6:$DF$17,2)+1))*(VLOOKUP($A56,SatSunCurve,7))*(INDEX(DailyScalarsTable,CN$5/100,MONTH($A56)))*$E56</f>
        <v>0</v>
      </c>
      <c r="CO56" s="1021">
        <f>(VLOOKUP(YEAR($A56),'NY East Load Projections'!$A$4:$EO$14,((MONTH($A56)-1)*12)+VLOOKUP(CO$4,$DE$6:$DF$17,2)+1))*(VLOOKUP($A56,SatSunCurve,7))*(INDEX(DailyScalarsTable,CO$5/100,MONTH($A56)))*$E56</f>
        <v>0</v>
      </c>
      <c r="CP56" s="1021">
        <f>(VLOOKUP(YEAR($A56),'NY East Load Projections'!$A$4:$EO$14,((MONTH($A56)-1)*12)+VLOOKUP(CP$4,$DE$6:$DF$17,2)+1))*(VLOOKUP($A56,SatSunCurve,7))*(INDEX(DailyScalarsTable,CP$5/100,MONTH($A56)))*$E56</f>
        <v>0</v>
      </c>
      <c r="CQ56" s="1021">
        <f>(VLOOKUP(YEAR($A56),'NY East Load Projections'!$A$4:$EO$14,((MONTH($A56)-1)*12)+VLOOKUP(CQ$4,$DE$6:$DF$17,2)+1))*(VLOOKUP($A56,SatSunCurve,7))*(INDEX(DailyScalarsTable,CQ$5/100,MONTH($A56)))*$E56</f>
        <v>0</v>
      </c>
      <c r="CR56" s="1021">
        <f>(VLOOKUP(YEAR($A56),'NY East Load Projections'!$A$4:$EO$14,((MONTH($A56)-1)*12)+VLOOKUP(CR$4,$DE$6:$DF$17,2)+1))*(VLOOKUP($A56,SatSunCurve,7))*(INDEX(DailyScalarsTable,CR$5/100,MONTH($A56)))*$E56</f>
        <v>0</v>
      </c>
      <c r="CS56" s="1021">
        <f>(VLOOKUP(YEAR($A56),'NY East Load Projections'!$A$4:$EO$14,((MONTH($A56)-1)*12)+VLOOKUP(CS$4,$DE$6:$DF$17,2)+1))*(VLOOKUP($A56,SatSunCurve,7))*(INDEX(DailyScalarsTable,CS$5/100,MONTH($A56)))*$E56</f>
        <v>0</v>
      </c>
      <c r="CT56" s="1021">
        <f>(VLOOKUP(YEAR($A56),'NY East Load Projections'!$A$4:$EO$14,((MONTH($A56)-1)*12)+VLOOKUP(CT$4,$DE$6:$DF$17,2)+1))*(VLOOKUP($A56,SatSunCurve,7))*(INDEX(DailyScalarsTable,CT$5/100,MONTH($A56)))*$E56</f>
        <v>0</v>
      </c>
      <c r="CU56" s="1021">
        <f>(VLOOKUP(YEAR($A56),'NY East Load Projections'!$A$4:$EO$14,((MONTH($A56)-1)*12)+VLOOKUP(CU$4,$DE$6:$DF$17,2)+1))*(VLOOKUP($A56,SatSunCurve,7))*(INDEX(DailyScalarsTable,CU$5/100,MONTH($A56)))*$E56</f>
        <v>0</v>
      </c>
      <c r="CV56" s="1021">
        <f>(VLOOKUP(YEAR($A56),'NY East Load Projections'!$A$4:$EO$14,((MONTH($A56)-1)*12)+VLOOKUP(CV$4,$DE$6:$DF$17,2)+1))*(VLOOKUP($A56,SatSunCurve,7))*(INDEX(DailyScalarsTable,CV$5/100,MONTH($A56)))*$E56</f>
        <v>0</v>
      </c>
      <c r="CW56" s="1021">
        <f>(VLOOKUP(YEAR($A56),'NY East Load Projections'!$A$4:$EO$14,((MONTH($A56)-1)*12)+VLOOKUP(CW$4,$DE$6:$DF$17,2)+1))*(VLOOKUP($A56,SatSunCurve,7))*(INDEX(DailyScalarsTable,CW$5/100,MONTH($A56)))*$E56</f>
        <v>0</v>
      </c>
      <c r="CX56" s="1021">
        <f>(VLOOKUP(YEAR($A56),'NY East Load Projections'!$A$4:$EO$14,((MONTH($A56)-1)*12)+VLOOKUP(CX$4,$DE$6:$DF$17,2)+1))*(VLOOKUP($A56,SatSunCurve,7))*(INDEX(DailyScalarsTable,CX$5/100,MONTH($A56)))*$E56</f>
        <v>0</v>
      </c>
      <c r="CY56" s="1021">
        <f>(VLOOKUP(YEAR($A56),'NY East Load Projections'!$A$4:$EO$14,((MONTH($A56)-1)*12)+VLOOKUP(CY$4,$DE$6:$DF$17,2)+1))*(VLOOKUP($A56,SatSunCurve,7))*(INDEX(DailyScalarsTable,CY$5/100,MONTH($A56)))*$E56</f>
        <v>0</v>
      </c>
      <c r="CZ56" s="1021">
        <f>(VLOOKUP(YEAR($A56),'NY East Load Projections'!$A$4:$EO$14,((MONTH($A56)-1)*12)+VLOOKUP(CZ$4,$DE$6:$DF$17,2)+1))*(VLOOKUP($A56,SatSunCurve,7))*(INDEX(DailyScalarsTable,CZ$5/100,MONTH($A56)))*$E56</f>
        <v>0</v>
      </c>
      <c r="DA56" s="1021">
        <f>(VLOOKUP(YEAR($A56),'NY East Load Projections'!$A$4:$EO$14,((MONTH($A56)-1)*12)+VLOOKUP(DA$4,$DE$6:$DF$17,2)+1))*(VLOOKUP($A56,SatSunCurve,7))*(INDEX(DailyScalarsTable,DA$5/100,MONTH($A56)))*$E56</f>
        <v>0</v>
      </c>
      <c r="DB56" s="1021">
        <f>(VLOOKUP(YEAR($A56),'NY East Load Projections'!$A$4:$EO$14,((MONTH($A56)-1)*12)+VLOOKUP(DB$4,$DE$6:$DF$17,2)+1))*(VLOOKUP($A56,CURVES!$D$9:$T$261,7))*(INDEX(DailyScalarsTable,DB$5/100,MONTH($A56)))*$E56</f>
        <v>0</v>
      </c>
      <c r="DH56" s="1032">
        <f t="shared" si="0"/>
        <v>-1796973.4035717745</v>
      </c>
      <c r="DI56">
        <f ca="1">CALC!J76</f>
        <v>0.69181096412255072</v>
      </c>
      <c r="DJ56" s="1029">
        <f t="shared" ca="1" si="1"/>
        <v>-1243165.9028275707</v>
      </c>
    </row>
    <row r="57" spans="1:114" x14ac:dyDescent="0.25">
      <c r="A57" s="244">
        <v>38443</v>
      </c>
      <c r="B57" s="13">
        <v>21</v>
      </c>
      <c r="C57" s="210">
        <v>5</v>
      </c>
      <c r="D57" s="210">
        <v>4</v>
      </c>
      <c r="E57" s="210">
        <v>0</v>
      </c>
      <c r="F57" s="13">
        <v>30</v>
      </c>
      <c r="H57" s="1021">
        <f>(VLOOKUP(YEAR($A57),'NY East Load Projections'!$A$4:$EO$14,((MONTH($A57)-1)*12)+VLOOKUP(H$4,$DE$6:$DF$17,2)+1))*(VLOOKUP($A57,CURVES!$D$9:$K$261,7))*(INDEX(DailyScalarsTable,H$5/100,MONTH($A57)))*$B57</f>
        <v>-32621.691805510502</v>
      </c>
      <c r="I57" s="1021">
        <f>(VLOOKUP(YEAR($A57),'NY East Load Projections'!$A$4:$EO$14,((MONTH($A57)-1)*12)+VLOOKUP(I$4,$DE$6:$DF$17,2)+1))*(VLOOKUP($A57,CURVES!$D$9:$K$261,7))*(INDEX(DailyScalarsTable,I$5/100,MONTH($A57)))*$B57</f>
        <v>-30940.754462802783</v>
      </c>
      <c r="J57" s="1021">
        <f>(VLOOKUP(YEAR($A57),'NY East Load Projections'!$A$4:$EO$14,((MONTH($A57)-1)*12)+VLOOKUP(J$4,$DE$6:$DF$17,2)+1))*(VLOOKUP($A57,CURVES!$D$9:$K$261,7))*(INDEX(DailyScalarsTable,J$5/100,MONTH($A57)))*$B57</f>
        <v>-29696.845900803459</v>
      </c>
      <c r="K57" s="1021">
        <f>(VLOOKUP(YEAR($A57),'NY East Load Projections'!$A$4:$EO$14,((MONTH($A57)-1)*12)+VLOOKUP(K$4,$DE$6:$DF$17,2)+1))*(VLOOKUP($A57,CURVES!$D$9:$K$261,7))*(INDEX(DailyScalarsTable,K$5/100,MONTH($A57)))*$B57</f>
        <v>-29714.386765614145</v>
      </c>
      <c r="L57" s="1021">
        <f>(VLOOKUP(YEAR($A57),'NY East Load Projections'!$A$4:$EO$14,((MONTH($A57)-1)*12)+VLOOKUP(L$4,$DE$6:$DF$17,2)+1))*(VLOOKUP($A57,CURVES!$D$9:$K$261,7))*(INDEX(DailyScalarsTable,L$5/100,MONTH($A57)))*$B57</f>
        <v>-34811.647638913033</v>
      </c>
      <c r="M57" s="1021">
        <f>(VLOOKUP(YEAR($A57),'NY East Load Projections'!$A$4:$EO$14,((MONTH($A57)-1)*12)+VLOOKUP(M$4,$DE$6:$DF$17,2)+1))*(VLOOKUP($A57,CURVES!$D$9:$K$261,7))*(INDEX(DailyScalarsTable,M$5/100,MONTH($A57)))*$B57</f>
        <v>-40100.065330678524</v>
      </c>
      <c r="N57" s="1021">
        <f>(VLOOKUP(YEAR($A57),'NY East Load Projections'!$A$4:$EO$14,((MONTH($A57)-1)*12)+VLOOKUP(N$4,$DE$6:$DF$17,2)+1))*(VLOOKUP($A57,CURVES!$D$9:$K$261,7))*(INDEX(DailyScalarsTable,N$5/100,MONTH($A57)))*$B57</f>
        <v>-57194.343122421167</v>
      </c>
      <c r="O57" s="1021">
        <f>(VLOOKUP(YEAR($A57),'NY East Load Projections'!$A$4:$EO$14,((MONTH($A57)-1)*12)+VLOOKUP(O$4,$DE$6:$DF$17,2)+1))*(VLOOKUP($A57,CURVES!$D$9:$K$261,3))*(INDEX(DailyScalarsTable,O$5/100,MONTH($A57)))*$B57</f>
        <v>-69799.998051218616</v>
      </c>
      <c r="P57" s="1021">
        <f>(VLOOKUP(YEAR($A57),'NY East Load Projections'!$A$4:$EO$14,((MONTH($A57)-1)*12)+VLOOKUP(P$4,$DE$6:$DF$17,2)+1))*(VLOOKUP($A57,CURVES!$D$9:$K$261,3))*(INDEX(DailyScalarsTable,P$5/100,MONTH($A57)))*$B57</f>
        <v>-79009.172617895223</v>
      </c>
      <c r="Q57" s="1021">
        <f>(VLOOKUP(YEAR($A57),'NY East Load Projections'!$A$4:$EO$14,((MONTH($A57)-1)*12)+VLOOKUP(Q$4,$DE$6:$DF$17,2)+1))*(VLOOKUP($A57,CURVES!$D$9:$K$261,3))*(INDEX(DailyScalarsTable,Q$5/100,MONTH($A57)))*$B57</f>
        <v>-75718.887936741026</v>
      </c>
      <c r="R57" s="1021">
        <f>(VLOOKUP(YEAR($A57),'NY East Load Projections'!$A$4:$EO$14,((MONTH($A57)-1)*12)+VLOOKUP(R$4,$DE$6:$DF$17,2)+1))*(VLOOKUP($A57,CURVES!$D$9:$K$261,3))*(INDEX(DailyScalarsTable,R$5/100,MONTH($A57)))*$B57</f>
        <v>-77279.906845747799</v>
      </c>
      <c r="S57" s="1021">
        <f>(VLOOKUP(YEAR($A57),'NY East Load Projections'!$A$4:$EO$14,((MONTH($A57)-1)*12)+VLOOKUP(S$4,$DE$6:$DF$17,2)+1))*(VLOOKUP($A57,CURVES!$D$9:$K$261,3))*(INDEX(DailyScalarsTable,S$5/100,MONTH($A57)))*$B57</f>
        <v>-77431.440444338063</v>
      </c>
      <c r="T57" s="1021">
        <f>(VLOOKUP(YEAR($A57),'NY East Load Projections'!$A$4:$EO$14,((MONTH($A57)-1)*12)+VLOOKUP(T$4,$DE$6:$DF$17,2)+1))*(VLOOKUP($A57,CURVES!$D$9:$K$261,3))*(INDEX(DailyScalarsTable,T$5/100,MONTH($A57)))*$B57</f>
        <v>-72996.008172745351</v>
      </c>
      <c r="U57" s="1021">
        <f>(VLOOKUP(YEAR($A57),'NY East Load Projections'!$A$4:$EO$14,((MONTH($A57)-1)*12)+VLOOKUP(U$4,$DE$6:$DF$17,2)+1))*(VLOOKUP($A57,CURVES!$D$9:$K$261,3))*(INDEX(DailyScalarsTable,U$5/100,MONTH($A57)))*$B57</f>
        <v>-73074.609122148293</v>
      </c>
      <c r="V57" s="1021">
        <f>(VLOOKUP(YEAR($A57),'NY East Load Projections'!$A$4:$EO$14,((MONTH($A57)-1)*12)+VLOOKUP(V$4,$DE$6:$DF$17,2)+1))*(VLOOKUP($A57,CURVES!$D$9:$K$261,3))*(INDEX(DailyScalarsTable,V$5/100,MONTH($A57)))*$B57</f>
        <v>-68538.871983071265</v>
      </c>
      <c r="W57" s="1021">
        <f>(VLOOKUP(YEAR($A57),'NY East Load Projections'!$A$4:$EO$14,((MONTH($A57)-1)*12)+VLOOKUP(W$4,$DE$6:$DF$17,2)+1))*(VLOOKUP($A57,CURVES!$D$9:$K$261,3))*(INDEX(DailyScalarsTable,W$5/100,MONTH($A57)))*$B57</f>
        <v>-64057.461970787488</v>
      </c>
      <c r="X57" s="1021">
        <f>(VLOOKUP(YEAR($A57),'NY East Load Projections'!$A$4:$EO$14,((MONTH($A57)-1)*12)+VLOOKUP(X$4,$DE$6:$DF$17,2)+1))*(VLOOKUP($A57,CURVES!$D$9:$K$261,3))*(INDEX(DailyScalarsTable,X$5/100,MONTH($A57)))*$B57</f>
        <v>-58613.662642279043</v>
      </c>
      <c r="Y57" s="1021">
        <f>(VLOOKUP(YEAR($A57),'NY East Load Projections'!$A$4:$EO$14,((MONTH($A57)-1)*12)+VLOOKUP(Y$4,$DE$6:$DF$17,2)+1))*(VLOOKUP($A57,CURVES!$D$9:$K$261,3))*(INDEX(DailyScalarsTable,Y$5/100,MONTH($A57)))*$B57</f>
        <v>-57851.361890484135</v>
      </c>
      <c r="Z57" s="1021">
        <f>(VLOOKUP(YEAR($A57),'NY East Load Projections'!$A$4:$EO$14,((MONTH($A57)-1)*12)+VLOOKUP(Z$4,$DE$6:$DF$17,2)+1))*(VLOOKUP($A57,CURVES!$D$9:$K$261,3))*(INDEX(DailyScalarsTable,Z$5/100,MONTH($A57)))*$B57</f>
        <v>-57541.236691318649</v>
      </c>
      <c r="AA57" s="1021">
        <f>(VLOOKUP(YEAR($A57),'NY East Load Projections'!$A$4:$EO$14,((MONTH($A57)-1)*12)+VLOOKUP(AA$4,$DE$6:$DF$17,2)+1))*(VLOOKUP($A57,CURVES!$D$9:$K$261,3))*(INDEX(DailyScalarsTable,AA$5/100,MONTH($A57)))*$B57</f>
        <v>-63113.731091708483</v>
      </c>
      <c r="AB57" s="1021">
        <f>(VLOOKUP(YEAR($A57),'NY East Load Projections'!$A$4:$EO$14,((MONTH($A57)-1)*12)+VLOOKUP(AB$4,$DE$6:$DF$17,2)+1))*(VLOOKUP($A57,CURVES!$D$9:$K$261,3))*(INDEX(DailyScalarsTable,AB$5/100,MONTH($A57)))*$B57</f>
        <v>-69185.814162933704</v>
      </c>
      <c r="AC57" s="1021">
        <f>(VLOOKUP(YEAR($A57),'NY East Load Projections'!$A$4:$EO$14,((MONTH($A57)-1)*12)+VLOOKUP(AC$4,$DE$6:$DF$17,2)+1))*(VLOOKUP($A57,CURVES!$D$9:$K$261,3))*(INDEX(DailyScalarsTable,AC$5/100,MONTH($A57)))*$B57</f>
        <v>-58951.534509640085</v>
      </c>
      <c r="AD57" s="1021">
        <f>(VLOOKUP(YEAR($A57),'NY East Load Projections'!$A$4:$EO$14,((MONTH($A57)-1)*12)+VLOOKUP(AD$4,$DE$6:$DF$17,2)+1))*(VLOOKUP($A57,CURVES!$D$9:$K$261,3))*(INDEX(DailyScalarsTable,AD$5/100,MONTH($A57)))*$B57</f>
        <v>-52080.125897102611</v>
      </c>
      <c r="AE57" s="1021">
        <f>(VLOOKUP(YEAR($A57),'NY East Load Projections'!$A$4:$EO$14,((MONTH($A57)-1)*12)+VLOOKUP(AE$4,$DE$6:$DF$17,2)+1))*(VLOOKUP($A57,CURVES!$D$9:$K$261,7))*(INDEX(DailyScalarsTable,AE$5/100,MONTH($A57)))*$B57</f>
        <v>-38835.787009480693</v>
      </c>
      <c r="AF57" s="1021"/>
      <c r="AG57" s="1021">
        <f>(VLOOKUP(YEAR($A57),'NY East Load Projections'!$A$4:$EO$14,((MONTH($A57)-1)*12)+VLOOKUP(AG$4,$DE$6:$DF$17,2)+1))*(VLOOKUP($A57,CURVES!$D$9:$T$261,7))*(INDEX(DailyScalarsTable,AG$5/100,MONTH($A57)))*$C57</f>
        <v>-8041.9654768007877</v>
      </c>
      <c r="AH57" s="1021">
        <f>(VLOOKUP(YEAR($A57),'NY East Load Projections'!$A$4:$EO$14,((MONTH($A57)-1)*12)+VLOOKUP(AH$4,$DE$6:$DF$17,2)+1))*(VLOOKUP($A57,CURVES!$D$9:$T$261,7))*(INDEX(DailyScalarsTable,AH$5/100,MONTH($A57)))*$C57</f>
        <v>-7627.5774015496681</v>
      </c>
      <c r="AI57" s="1021">
        <f>(VLOOKUP(YEAR($A57),'NY East Load Projections'!$A$4:$EO$14,((MONTH($A57)-1)*12)+VLOOKUP(AI$4,$DE$6:$DF$17,2)+1))*(VLOOKUP($A57,CURVES!$D$9:$T$261,7))*(INDEX(DailyScalarsTable,AI$5/100,MONTH($A57)))*$C57</f>
        <v>-7320.9265456855428</v>
      </c>
      <c r="AJ57" s="1021">
        <f>(VLOOKUP(YEAR($A57),'NY East Load Projections'!$A$4:$EO$14,((MONTH($A57)-1)*12)+VLOOKUP(AJ$4,$DE$6:$DF$17,2)+1))*(VLOOKUP($A57,CURVES!$D$9:$T$261,7))*(INDEX(DailyScalarsTable,AJ$5/100,MONTH($A57)))*$C57</f>
        <v>-7325.2507551741801</v>
      </c>
      <c r="AK57" s="1021">
        <f>(VLOOKUP(YEAR($A57),'NY East Load Projections'!$A$4:$EO$14,((MONTH($A57)-1)*12)+VLOOKUP(AK$4,$DE$6:$DF$17,2)+1))*(VLOOKUP($A57,CURVES!$D$9:$T$261,7))*(INDEX(DailyScalarsTable,AK$5/100,MONTH($A57)))*$C57</f>
        <v>-7981.194321953999</v>
      </c>
      <c r="AL57" s="1021">
        <f>(VLOOKUP(YEAR($A57),'NY East Load Projections'!$A$4:$EO$14,((MONTH($A57)-1)*12)+VLOOKUP(AL$4,$DE$6:$DF$17,2)+1))*(VLOOKUP($A57,CURVES!$D$9:$T$261,7))*(INDEX(DailyScalarsTable,AL$5/100,MONTH($A57)))*$C57</f>
        <v>-9193.6588881660027</v>
      </c>
      <c r="AM57" s="1021">
        <f>(VLOOKUP(YEAR($A57),'NY East Load Projections'!$A$4:$EO$14,((MONTH($A57)-1)*12)+VLOOKUP(AM$4,$DE$6:$DF$17,2)+1))*(VLOOKUP($A57,CURVES!$D$9:$T$261,7))*(INDEX(DailyScalarsTable,AM$5/100,MONTH($A57)))*$C57</f>
        <v>-13112.828536914656</v>
      </c>
      <c r="AN57" s="1021">
        <f>(VLOOKUP(YEAR($A57),'NY East Load Projections'!$A$4:$EO$14,((MONTH($A57)-1)*12)+VLOOKUP(AN$4,$DE$6:$DF$17,2)+1))*(VLOOKUP($A57,SatSunCurve,3))*(INDEX(DailyScalarsTable,AN$5/100,MONTH($A57)))*$C57</f>
        <v>-11047.042074182238</v>
      </c>
      <c r="AO57" s="1021">
        <f>(VLOOKUP(YEAR($A57),'NY East Load Projections'!$A$4:$EO$14,((MONTH($A57)-1)*12)+VLOOKUP(AO$4,$DE$6:$DF$17,2)+1))*(VLOOKUP($A57,SatSunCurve,3))*(INDEX(DailyScalarsTable,AO$5/100,MONTH($A57)))*$C57</f>
        <v>-12037.966676295198</v>
      </c>
      <c r="AP57" s="1021">
        <f>(VLOOKUP(YEAR($A57),'NY East Load Projections'!$A$4:$EO$14,((MONTH($A57)-1)*12)+VLOOKUP(AP$4,$DE$6:$DF$17,2)+1))*(VLOOKUP($A57,SatSunCurve,3))*(INDEX(DailyScalarsTable,AP$5/100,MONTH($A57)))*$C57</f>
        <v>-11536.653524481635</v>
      </c>
      <c r="AQ57" s="1021">
        <f>(VLOOKUP(YEAR($A57),'NY East Load Projections'!$A$4:$EO$14,((MONTH($A57)-1)*12)+VLOOKUP(AQ$4,$DE$6:$DF$17,2)+1))*(VLOOKUP($A57,SatSunCurve,3))*(INDEX(DailyScalarsTable,AQ$5/100,MONTH($A57)))*$C57</f>
        <v>-11774.492916859146</v>
      </c>
      <c r="AR57" s="1021">
        <f>(VLOOKUP(YEAR($A57),'NY East Load Projections'!$A$4:$EO$14,((MONTH($A57)-1)*12)+VLOOKUP(AR$4,$DE$6:$DF$17,2)+1))*(VLOOKUP($A57,SatSunCurve,3))*(INDEX(DailyScalarsTable,AR$5/100,MONTH($A57)))*$C57</f>
        <v>-11797.580823613858</v>
      </c>
      <c r="AS57" s="1021">
        <f>(VLOOKUP(YEAR($A57),'NY East Load Projections'!$A$4:$EO$14,((MONTH($A57)-1)*12)+VLOOKUP(AS$4,$DE$6:$DF$17,2)+1))*(VLOOKUP($A57,SatSunCurve,3))*(INDEX(DailyScalarsTable,AS$5/100,MONTH($A57)))*$C57</f>
        <v>-10866.0053466099</v>
      </c>
      <c r="AT57" s="1021">
        <f>(VLOOKUP(YEAR($A57),'NY East Load Projections'!$A$4:$EO$14,((MONTH($A57)-1)*12)+VLOOKUP(AT$4,$DE$6:$DF$17,2)+1))*(VLOOKUP($A57,SatSunCurve,3))*(INDEX(DailyScalarsTable,AT$5/100,MONTH($A57)))*$C57</f>
        <v>-10877.705689653863</v>
      </c>
      <c r="AU57" s="1021">
        <f>(VLOOKUP(YEAR($A57),'NY East Load Projections'!$A$4:$EO$14,((MONTH($A57)-1)*12)+VLOOKUP(AU$4,$DE$6:$DF$17,2)+1))*(VLOOKUP($A57,SatSunCurve,3))*(INDEX(DailyScalarsTable,AU$5/100,MONTH($A57)))*$C57</f>
        <v>-10202.527070469727</v>
      </c>
      <c r="AV57" s="1021">
        <f>(VLOOKUP(YEAR($A57),'NY East Load Projections'!$A$4:$EO$14,((MONTH($A57)-1)*12)+VLOOKUP(AV$4,$DE$6:$DF$17,2)+1))*(VLOOKUP($A57,SatSunCurve,3))*(INDEX(DailyScalarsTable,AV$5/100,MONTH($A57)))*$C57</f>
        <v>-9535.4354530953951</v>
      </c>
      <c r="AW57" s="1021">
        <f>(VLOOKUP(YEAR($A57),'NY East Load Projections'!$A$4:$EO$14,((MONTH($A57)-1)*12)+VLOOKUP(AW$4,$DE$6:$DF$17,2)+1))*(VLOOKUP($A57,SatSunCurve,3))*(INDEX(DailyScalarsTable,AW$5/100,MONTH($A57)))*$C57</f>
        <v>-8823.7727669469296</v>
      </c>
      <c r="AX57" s="1021">
        <f>(VLOOKUP(YEAR($A57),'NY East Load Projections'!$A$4:$EO$14,((MONTH($A57)-1)*12)+VLOOKUP(AX$4,$DE$6:$DF$17,2)+1))*(VLOOKUP($A57,SatSunCurve,3))*(INDEX(DailyScalarsTable,AX$5/100,MONTH($A57)))*$C57</f>
        <v>-8709.0150754687093</v>
      </c>
      <c r="AY57" s="1021">
        <f>(VLOOKUP(YEAR($A57),'NY East Load Projections'!$A$4:$EO$14,((MONTH($A57)-1)*12)+VLOOKUP(AY$4,$DE$6:$DF$17,2)+1))*(VLOOKUP($A57,SatSunCurve,3))*(INDEX(DailyScalarsTable,AY$5/100,MONTH($A57)))*$C57</f>
        <v>-8662.3284470721665</v>
      </c>
      <c r="AZ57" s="1021">
        <f>(VLOOKUP(YEAR($A57),'NY East Load Projections'!$A$4:$EO$14,((MONTH($A57)-1)*12)+VLOOKUP(AZ$4,$DE$6:$DF$17,2)+1))*(VLOOKUP($A57,SatSunCurve,3))*(INDEX(DailyScalarsTable,AZ$5/100,MONTH($A57)))*$C57</f>
        <v>-9501.218598575113</v>
      </c>
      <c r="BA57" s="1021">
        <f>(VLOOKUP(YEAR($A57),'NY East Load Projections'!$A$4:$EO$14,((MONTH($A57)-1)*12)+VLOOKUP(BA$4,$DE$6:$DF$17,2)+1))*(VLOOKUP($A57,SatSunCurve,3))*(INDEX(DailyScalarsTable,BA$5/100,MONTH($A57)))*$C57</f>
        <v>-11253.073873627525</v>
      </c>
      <c r="BB57" s="1021">
        <f>(VLOOKUP(YEAR($A57),'NY East Load Projections'!$A$4:$EO$14,((MONTH($A57)-1)*12)+VLOOKUP(BB$4,$DE$6:$DF$17,2)+1))*(VLOOKUP($A57,SatSunCurve,3))*(INDEX(DailyScalarsTable,BB$5/100,MONTH($A57)))*$C57</f>
        <v>-9588.4681105059717</v>
      </c>
      <c r="BC57" s="1021">
        <f>(VLOOKUP(YEAR($A57),'NY East Load Projections'!$A$4:$EO$14,((MONTH($A57)-1)*12)+VLOOKUP(BC$4,$DE$6:$DF$17,2)+1))*(VLOOKUP($A57,SatSunCurve,3))*(INDEX(DailyScalarsTable,BC$5/100,MONTH($A57)))*$C57</f>
        <v>-8470.8333804923277</v>
      </c>
      <c r="BD57" s="1021">
        <f>(VLOOKUP(YEAR($A57),'NY East Load Projections'!$A$4:$EO$14,((MONTH($A57)-1)*12)+VLOOKUP(BD$4,$DE$6:$DF$17,2)+1))*(VLOOKUP($A57,CURVES!$D$9:$T$261,7))*(INDEX(DailyScalarsTable,BD$5/100,MONTH($A57)))*$C57</f>
        <v>-9150.3758472537593</v>
      </c>
      <c r="BE57" s="1021"/>
      <c r="BF57" s="1021">
        <f>(VLOOKUP(YEAR($A57),'NY East Load Projections'!$A$4:$EO$14,((MONTH($A57)-1)*12)+VLOOKUP(BF$4,$DE$6:$DF$17,2)+1))*(VLOOKUP($A57,CURVES!$D$9:$T$261,7))*(INDEX(DailyScalarsTable,BF$5/100,MONTH($A57)))*$D57</f>
        <v>-6433.5723814406301</v>
      </c>
      <c r="BG57" s="1021">
        <f>(VLOOKUP(YEAR($A57),'NY East Load Projections'!$A$4:$EO$14,((MONTH($A57)-1)*12)+VLOOKUP(BG$4,$DE$6:$DF$17,2)+1))*(VLOOKUP($A57,CURVES!$D$9:$T$261,7))*(INDEX(DailyScalarsTable,BG$5/100,MONTH($A57)))*$D57</f>
        <v>-6102.0619212397341</v>
      </c>
      <c r="BH57" s="1021">
        <f>(VLOOKUP(YEAR($A57),'NY East Load Projections'!$A$4:$EO$14,((MONTH($A57)-1)*12)+VLOOKUP(BH$4,$DE$6:$DF$17,2)+1))*(VLOOKUP($A57,CURVES!$D$9:$T$261,7))*(INDEX(DailyScalarsTable,BH$5/100,MONTH($A57)))*$D57</f>
        <v>-5856.7412365484342</v>
      </c>
      <c r="BI57" s="1021">
        <f>(VLOOKUP(YEAR($A57),'NY East Load Projections'!$A$4:$EO$14,((MONTH($A57)-1)*12)+VLOOKUP(BI$4,$DE$6:$DF$17,2)+1))*(VLOOKUP($A57,CURVES!$D$9:$T$261,7))*(INDEX(DailyScalarsTable,BI$5/100,MONTH($A57)))*$D57</f>
        <v>-5860.2006041393443</v>
      </c>
      <c r="BJ57" s="1021">
        <f>(VLOOKUP(YEAR($A57),'NY East Load Projections'!$A$4:$EO$14,((MONTH($A57)-1)*12)+VLOOKUP(BJ$4,$DE$6:$DF$17,2)+1))*(VLOOKUP($A57,CURVES!$D$9:$T$261,7))*(INDEX(DailyScalarsTable,BJ$5/100,MONTH($A57)))*$D57</f>
        <v>-6384.9554575631992</v>
      </c>
      <c r="BK57" s="1021">
        <f>(VLOOKUP(YEAR($A57),'NY East Load Projections'!$A$4:$EO$14,((MONTH($A57)-1)*12)+VLOOKUP(BK$4,$DE$6:$DF$17,2)+1))*(VLOOKUP($A57,CURVES!$D$9:$T$261,7))*(INDEX(DailyScalarsTable,BK$5/100,MONTH($A57)))*$D57</f>
        <v>-7354.9271105328016</v>
      </c>
      <c r="BL57" s="1021">
        <f>(VLOOKUP(YEAR($A57),'NY East Load Projections'!$A$4:$EO$14,((MONTH($A57)-1)*12)+VLOOKUP(BL$4,$DE$6:$DF$17,2)+1))*(VLOOKUP($A57,CURVES!$D$9:$T$261,7))*(INDEX(DailyScalarsTable,BL$5/100,MONTH($A57)))*$D57</f>
        <v>-10490.262829531724</v>
      </c>
      <c r="BM57" s="1021">
        <f>(VLOOKUP(YEAR($A57),'NY East Load Projections'!$A$4:$EO$14,((MONTH($A57)-1)*12)+VLOOKUP(BM$4,$DE$6:$DF$17,2)+1))*(VLOOKUP($A57,SatSunCurve,7))*(INDEX(DailyScalarsTable,BM$5/100,MONTH($A57)))*$D57</f>
        <v>-8320.5000538514887</v>
      </c>
      <c r="BN57" s="1021">
        <f>(VLOOKUP(YEAR($A57),'NY East Load Projections'!$A$4:$EO$14,((MONTH($A57)-1)*12)+VLOOKUP(BN$4,$DE$6:$DF$17,2)+1))*(VLOOKUP($A57,SatSunCurve,7))*(INDEX(DailyScalarsTable,BN$5/100,MONTH($A57)))*$D57</f>
        <v>-9066.8526204369646</v>
      </c>
      <c r="BO57" s="1021">
        <f>(VLOOKUP(YEAR($A57),'NY East Load Projections'!$A$4:$EO$14,((MONTH($A57)-1)*12)+VLOOKUP(BO$4,$DE$6:$DF$17,2)+1))*(VLOOKUP($A57,SatSunCurve,7))*(INDEX(DailyScalarsTable,BO$5/100,MONTH($A57)))*$D57</f>
        <v>-8689.2695462845131</v>
      </c>
      <c r="BP57" s="1021">
        <f>(VLOOKUP(YEAR($A57),'NY East Load Projections'!$A$4:$EO$14,((MONTH($A57)-1)*12)+VLOOKUP(BP$4,$DE$6:$DF$17,2)+1))*(VLOOKUP($A57,SatSunCurve,7))*(INDEX(DailyScalarsTable,BP$5/100,MONTH($A57)))*$D57</f>
        <v>-8868.4073339199967</v>
      </c>
      <c r="BQ57" s="1021">
        <f>(VLOOKUP(YEAR($A57),'NY East Load Projections'!$A$4:$EO$14,((MONTH($A57)-1)*12)+VLOOKUP(BQ$4,$DE$6:$DF$17,2)+1))*(VLOOKUP($A57,SatSunCurve,7))*(INDEX(DailyScalarsTable,BQ$5/100,MONTH($A57)))*$D57</f>
        <v>-8885.7968693364346</v>
      </c>
      <c r="BR57" s="1021">
        <f>(VLOOKUP(YEAR($A57),'NY East Load Projections'!$A$4:$EO$14,((MONTH($A57)-1)*12)+VLOOKUP(BR$4,$DE$6:$DF$17,2)+1))*(VLOOKUP($A57,SatSunCurve,7))*(INDEX(DailyScalarsTable,BR$5/100,MONTH($A57)))*$D57</f>
        <v>-8184.145354430626</v>
      </c>
      <c r="BS57" s="1021">
        <f>(VLOOKUP(YEAR($A57),'NY East Load Projections'!$A$4:$EO$14,((MONTH($A57)-1)*12)+VLOOKUP(BS$4,$DE$6:$DF$17,2)+1))*(VLOOKUP($A57,SatSunCurve,7))*(INDEX(DailyScalarsTable,BS$5/100,MONTH($A57)))*$D57</f>
        <v>-8192.9579129665344</v>
      </c>
      <c r="BT57" s="1021">
        <f>(VLOOKUP(YEAR($A57),'NY East Load Projections'!$A$4:$EO$14,((MONTH($A57)-1)*12)+VLOOKUP(BT$4,$DE$6:$DF$17,2)+1))*(VLOOKUP($A57,SatSunCurve,7))*(INDEX(DailyScalarsTable,BT$5/100,MONTH($A57)))*$D57</f>
        <v>-7684.4214468648752</v>
      </c>
      <c r="BU57" s="1021">
        <f>(VLOOKUP(YEAR($A57),'NY East Load Projections'!$A$4:$EO$14,((MONTH($A57)-1)*12)+VLOOKUP(BU$4,$DE$6:$DF$17,2)+1))*(VLOOKUP($A57,SatSunCurve,7))*(INDEX(DailyScalarsTable,BU$5/100,MONTH($A57)))*$D57</f>
        <v>-7181.9760138689226</v>
      </c>
      <c r="BV57" s="1021">
        <f>(VLOOKUP(YEAR($A57),'NY East Load Projections'!$A$4:$EO$14,((MONTH($A57)-1)*12)+VLOOKUP(BV$4,$DE$6:$DF$17,2)+1))*(VLOOKUP($A57,SatSunCurve,7))*(INDEX(DailyScalarsTable,BV$5/100,MONTH($A57)))*$D57</f>
        <v>-6645.9601845944844</v>
      </c>
      <c r="BW57" s="1021">
        <f>(VLOOKUP(YEAR($A57),'NY East Load Projections'!$A$4:$EO$14,((MONTH($A57)-1)*12)+VLOOKUP(BW$4,$DE$6:$DF$17,2)+1))*(VLOOKUP($A57,SatSunCurve,7))*(INDEX(DailyScalarsTable,BW$5/100,MONTH($A57)))*$D57</f>
        <v>-6559.5260629796194</v>
      </c>
      <c r="BX57" s="1021">
        <f>(VLOOKUP(YEAR($A57),'NY East Load Projections'!$A$4:$EO$14,((MONTH($A57)-1)*12)+VLOOKUP(BX$4,$DE$6:$DF$17,2)+1))*(VLOOKUP($A57,SatSunCurve,7))*(INDEX(DailyScalarsTable,BX$5/100,MONTH($A57)))*$D57</f>
        <v>-6524.3622524791208</v>
      </c>
      <c r="BY57" s="1021">
        <f>(VLOOKUP(YEAR($A57),'NY East Load Projections'!$A$4:$EO$14,((MONTH($A57)-1)*12)+VLOOKUP(BY$4,$DE$6:$DF$17,2)+1))*(VLOOKUP($A57,SatSunCurve,7))*(INDEX(DailyScalarsTable,BY$5/100,MONTH($A57)))*$D57</f>
        <v>-7156.2042880108311</v>
      </c>
      <c r="BZ57" s="1021">
        <f>(VLOOKUP(YEAR($A57),'NY East Load Projections'!$A$4:$EO$14,((MONTH($A57)-1)*12)+VLOOKUP(BZ$4,$DE$6:$DF$17,2)+1))*(VLOOKUP($A57,SatSunCurve,7))*(INDEX(DailyScalarsTable,BZ$5/100,MONTH($A57)))*$D57</f>
        <v>-8475.6807426610339</v>
      </c>
      <c r="CA57" s="1021">
        <f>(VLOOKUP(YEAR($A57),'NY East Load Projections'!$A$4:$EO$14,((MONTH($A57)-1)*12)+VLOOKUP(CA$4,$DE$6:$DF$17,2)+1))*(VLOOKUP($A57,SatSunCurve,7))*(INDEX(DailyScalarsTable,CA$5/100,MONTH($A57)))*$D57</f>
        <v>-7221.9195775738035</v>
      </c>
      <c r="CB57" s="1021">
        <f>(VLOOKUP(YEAR($A57),'NY East Load Projections'!$A$4:$EO$14,((MONTH($A57)-1)*12)+VLOOKUP(CB$4,$DE$6:$DF$17,2)+1))*(VLOOKUP($A57,SatSunCurve,7))*(INDEX(DailyScalarsTable,CB$5/100,MONTH($A57)))*$D57</f>
        <v>-6380.1304571179362</v>
      </c>
      <c r="CC57" s="1021">
        <f>(VLOOKUP(YEAR($A57),'NY East Load Projections'!$A$4:$EO$14,((MONTH($A57)-1)*12)+VLOOKUP(CC$4,$DE$6:$DF$17,2)+1))*(VLOOKUP($A57,CURVES!$D$9:$T$261,7))*(INDEX(DailyScalarsTable,CC$5/100,MONTH($A57)))*$D57</f>
        <v>-7320.3006778030067</v>
      </c>
      <c r="CE57" s="1021">
        <f>(VLOOKUP(YEAR($A57),'NY East Load Projections'!$A$4:$EO$14,((MONTH($A57)-1)*12)+VLOOKUP(CE$4,$DE$6:$DF$17,2)+1))*(VLOOKUP($A57,CURVES!$D$9:$T$261,7))*(INDEX(DailyScalarsTable,CE$5/100,MONTH($A57)))*$E57</f>
        <v>0</v>
      </c>
      <c r="CF57" s="1021">
        <f>(VLOOKUP(YEAR($A57),'NY East Load Projections'!$A$4:$EO$14,((MONTH($A57)-1)*12)+VLOOKUP(CF$4,$DE$6:$DF$17,2)+1))*(VLOOKUP($A57,CURVES!$D$9:$T$261,7))*(INDEX(DailyScalarsTable,CF$5/100,MONTH($A57)))*$E57</f>
        <v>0</v>
      </c>
      <c r="CG57" s="1021">
        <f>(VLOOKUP(YEAR($A57),'NY East Load Projections'!$A$4:$EO$14,((MONTH($A57)-1)*12)+VLOOKUP(CG$4,$DE$6:$DF$17,2)+1))*(VLOOKUP($A57,CURVES!$D$9:$T$261,7))*(INDEX(DailyScalarsTable,CG$5/100,MONTH($A57)))*$E57</f>
        <v>0</v>
      </c>
      <c r="CH57" s="1021">
        <f>(VLOOKUP(YEAR($A57),'NY East Load Projections'!$A$4:$EO$14,((MONTH($A57)-1)*12)+VLOOKUP(CH$4,$DE$6:$DF$17,2)+1))*(VLOOKUP($A57,CURVES!$D$9:$T$261,7))*(INDEX(DailyScalarsTable,CH$5/100,MONTH($A57)))*$E57</f>
        <v>0</v>
      </c>
      <c r="CI57" s="1021">
        <f>(VLOOKUP(YEAR($A57),'NY East Load Projections'!$A$4:$EO$14,((MONTH($A57)-1)*12)+VLOOKUP(CI$4,$DE$6:$DF$17,2)+1))*(VLOOKUP($A57,CURVES!$D$9:$T$261,7))*(INDEX(DailyScalarsTable,CI$5/100,MONTH($A57)))*$E57</f>
        <v>0</v>
      </c>
      <c r="CJ57" s="1021">
        <f>(VLOOKUP(YEAR($A57),'NY East Load Projections'!$A$4:$EO$14,((MONTH($A57)-1)*12)+VLOOKUP(CJ$4,$DE$6:$DF$17,2)+1))*(VLOOKUP($A57,CURVES!$D$9:$T$261,7))*(INDEX(DailyScalarsTable,CJ$5/100,MONTH($A57)))*$E57</f>
        <v>0</v>
      </c>
      <c r="CK57" s="1021">
        <f>(VLOOKUP(YEAR($A57),'NY East Load Projections'!$A$4:$EO$14,((MONTH($A57)-1)*12)+VLOOKUP(CK$4,$DE$6:$DF$17,2)+1))*(VLOOKUP($A57,CURVES!$D$9:$T$261,7))*(INDEX(DailyScalarsTable,CK$5/100,MONTH($A57)))*$E57</f>
        <v>0</v>
      </c>
      <c r="CL57" s="1021">
        <f>(VLOOKUP(YEAR($A57),'NY East Load Projections'!$A$4:$EO$14,((MONTH($A57)-1)*12)+VLOOKUP(CL$4,$DE$6:$DF$17,2)+1))*(VLOOKUP($A57,SatSunCurve,7))*(INDEX(DailyScalarsTable,CL$5/100,MONTH($A57)))*$E57</f>
        <v>0</v>
      </c>
      <c r="CM57" s="1021">
        <f>(VLOOKUP(YEAR($A57),'NY East Load Projections'!$A$4:$EO$14,((MONTH($A57)-1)*12)+VLOOKUP(CM$4,$DE$6:$DF$17,2)+1))*(VLOOKUP($A57,SatSunCurve,7))*(INDEX(DailyScalarsTable,CM$5/100,MONTH($A57)))*$E57</f>
        <v>0</v>
      </c>
      <c r="CN57" s="1021">
        <f>(VLOOKUP(YEAR($A57),'NY East Load Projections'!$A$4:$EO$14,((MONTH($A57)-1)*12)+VLOOKUP(CN$4,$DE$6:$DF$17,2)+1))*(VLOOKUP($A57,SatSunCurve,7))*(INDEX(DailyScalarsTable,CN$5/100,MONTH($A57)))*$E57</f>
        <v>0</v>
      </c>
      <c r="CO57" s="1021">
        <f>(VLOOKUP(YEAR($A57),'NY East Load Projections'!$A$4:$EO$14,((MONTH($A57)-1)*12)+VLOOKUP(CO$4,$DE$6:$DF$17,2)+1))*(VLOOKUP($A57,SatSunCurve,7))*(INDEX(DailyScalarsTable,CO$5/100,MONTH($A57)))*$E57</f>
        <v>0</v>
      </c>
      <c r="CP57" s="1021">
        <f>(VLOOKUP(YEAR($A57),'NY East Load Projections'!$A$4:$EO$14,((MONTH($A57)-1)*12)+VLOOKUP(CP$4,$DE$6:$DF$17,2)+1))*(VLOOKUP($A57,SatSunCurve,7))*(INDEX(DailyScalarsTable,CP$5/100,MONTH($A57)))*$E57</f>
        <v>0</v>
      </c>
      <c r="CQ57" s="1021">
        <f>(VLOOKUP(YEAR($A57),'NY East Load Projections'!$A$4:$EO$14,((MONTH($A57)-1)*12)+VLOOKUP(CQ$4,$DE$6:$DF$17,2)+1))*(VLOOKUP($A57,SatSunCurve,7))*(INDEX(DailyScalarsTable,CQ$5/100,MONTH($A57)))*$E57</f>
        <v>0</v>
      </c>
      <c r="CR57" s="1021">
        <f>(VLOOKUP(YEAR($A57),'NY East Load Projections'!$A$4:$EO$14,((MONTH($A57)-1)*12)+VLOOKUP(CR$4,$DE$6:$DF$17,2)+1))*(VLOOKUP($A57,SatSunCurve,7))*(INDEX(DailyScalarsTable,CR$5/100,MONTH($A57)))*$E57</f>
        <v>0</v>
      </c>
      <c r="CS57" s="1021">
        <f>(VLOOKUP(YEAR($A57),'NY East Load Projections'!$A$4:$EO$14,((MONTH($A57)-1)*12)+VLOOKUP(CS$4,$DE$6:$DF$17,2)+1))*(VLOOKUP($A57,SatSunCurve,7))*(INDEX(DailyScalarsTable,CS$5/100,MONTH($A57)))*$E57</f>
        <v>0</v>
      </c>
      <c r="CT57" s="1021">
        <f>(VLOOKUP(YEAR($A57),'NY East Load Projections'!$A$4:$EO$14,((MONTH($A57)-1)*12)+VLOOKUP(CT$4,$DE$6:$DF$17,2)+1))*(VLOOKUP($A57,SatSunCurve,7))*(INDEX(DailyScalarsTable,CT$5/100,MONTH($A57)))*$E57</f>
        <v>0</v>
      </c>
      <c r="CU57" s="1021">
        <f>(VLOOKUP(YEAR($A57),'NY East Load Projections'!$A$4:$EO$14,((MONTH($A57)-1)*12)+VLOOKUP(CU$4,$DE$6:$DF$17,2)+1))*(VLOOKUP($A57,SatSunCurve,7))*(INDEX(DailyScalarsTable,CU$5/100,MONTH($A57)))*$E57</f>
        <v>0</v>
      </c>
      <c r="CV57" s="1021">
        <f>(VLOOKUP(YEAR($A57),'NY East Load Projections'!$A$4:$EO$14,((MONTH($A57)-1)*12)+VLOOKUP(CV$4,$DE$6:$DF$17,2)+1))*(VLOOKUP($A57,SatSunCurve,7))*(INDEX(DailyScalarsTable,CV$5/100,MONTH($A57)))*$E57</f>
        <v>0</v>
      </c>
      <c r="CW57" s="1021">
        <f>(VLOOKUP(YEAR($A57),'NY East Load Projections'!$A$4:$EO$14,((MONTH($A57)-1)*12)+VLOOKUP(CW$4,$DE$6:$DF$17,2)+1))*(VLOOKUP($A57,SatSunCurve,7))*(INDEX(DailyScalarsTable,CW$5/100,MONTH($A57)))*$E57</f>
        <v>0</v>
      </c>
      <c r="CX57" s="1021">
        <f>(VLOOKUP(YEAR($A57),'NY East Load Projections'!$A$4:$EO$14,((MONTH($A57)-1)*12)+VLOOKUP(CX$4,$DE$6:$DF$17,2)+1))*(VLOOKUP($A57,SatSunCurve,7))*(INDEX(DailyScalarsTable,CX$5/100,MONTH($A57)))*$E57</f>
        <v>0</v>
      </c>
      <c r="CY57" s="1021">
        <f>(VLOOKUP(YEAR($A57),'NY East Load Projections'!$A$4:$EO$14,((MONTH($A57)-1)*12)+VLOOKUP(CY$4,$DE$6:$DF$17,2)+1))*(VLOOKUP($A57,SatSunCurve,7))*(INDEX(DailyScalarsTable,CY$5/100,MONTH($A57)))*$E57</f>
        <v>0</v>
      </c>
      <c r="CZ57" s="1021">
        <f>(VLOOKUP(YEAR($A57),'NY East Load Projections'!$A$4:$EO$14,((MONTH($A57)-1)*12)+VLOOKUP(CZ$4,$DE$6:$DF$17,2)+1))*(VLOOKUP($A57,SatSunCurve,7))*(INDEX(DailyScalarsTable,CZ$5/100,MONTH($A57)))*$E57</f>
        <v>0</v>
      </c>
      <c r="DA57" s="1021">
        <f>(VLOOKUP(YEAR($A57),'NY East Load Projections'!$A$4:$EO$14,((MONTH($A57)-1)*12)+VLOOKUP(DA$4,$DE$6:$DF$17,2)+1))*(VLOOKUP($A57,SatSunCurve,7))*(INDEX(DailyScalarsTable,DA$5/100,MONTH($A57)))*$E57</f>
        <v>0</v>
      </c>
      <c r="DB57" s="1021">
        <f>(VLOOKUP(YEAR($A57),'NY East Load Projections'!$A$4:$EO$14,((MONTH($A57)-1)*12)+VLOOKUP(DB$4,$DE$6:$DF$17,2)+1))*(VLOOKUP($A57,CURVES!$D$9:$T$261,7))*(INDEX(DailyScalarsTable,DB$5/100,MONTH($A57)))*$E57</f>
        <v>0</v>
      </c>
      <c r="DH57" s="1032">
        <f t="shared" si="0"/>
        <v>-1783438.376604008</v>
      </c>
      <c r="DI57">
        <f ca="1">CALC!J77</f>
        <v>0.68765592276002041</v>
      </c>
      <c r="DJ57" s="1029">
        <f t="shared" ca="1" si="1"/>
        <v>-1226391.962549262</v>
      </c>
    </row>
    <row r="58" spans="1:114" x14ac:dyDescent="0.25">
      <c r="A58" s="244">
        <v>38473</v>
      </c>
      <c r="B58" s="13">
        <v>21</v>
      </c>
      <c r="C58" s="210">
        <v>4</v>
      </c>
      <c r="D58" s="210">
        <v>5</v>
      </c>
      <c r="E58" s="210">
        <v>1</v>
      </c>
      <c r="F58" s="13">
        <v>31</v>
      </c>
      <c r="H58" s="1021">
        <f>(VLOOKUP(YEAR($A58),'NY East Load Projections'!$A$4:$EO$14,((MONTH($A58)-1)*12)+VLOOKUP(H$4,$DE$6:$DF$17,2)+1))*(VLOOKUP($A58,CURVES!$D$9:$K$261,7))*(INDEX(DailyScalarsTable,H$5/100,MONTH($A58)))*$B58</f>
        <v>-37253.521551068938</v>
      </c>
      <c r="I58" s="1021">
        <f>(VLOOKUP(YEAR($A58),'NY East Load Projections'!$A$4:$EO$14,((MONTH($A58)-1)*12)+VLOOKUP(I$4,$DE$6:$DF$17,2)+1))*(VLOOKUP($A58,CURVES!$D$9:$K$261,7))*(INDEX(DailyScalarsTable,I$5/100,MONTH($A58)))*$B58</f>
        <v>-33556.532539174987</v>
      </c>
      <c r="J58" s="1021">
        <f>(VLOOKUP(YEAR($A58),'NY East Load Projections'!$A$4:$EO$14,((MONTH($A58)-1)*12)+VLOOKUP(J$4,$DE$6:$DF$17,2)+1))*(VLOOKUP($A58,CURVES!$D$9:$K$261,7))*(INDEX(DailyScalarsTable,J$5/100,MONTH($A58)))*$B58</f>
        <v>-31756.940004284817</v>
      </c>
      <c r="K58" s="1021">
        <f>(VLOOKUP(YEAR($A58),'NY East Load Projections'!$A$4:$EO$14,((MONTH($A58)-1)*12)+VLOOKUP(K$4,$DE$6:$DF$17,2)+1))*(VLOOKUP($A58,CURVES!$D$9:$K$261,7))*(INDEX(DailyScalarsTable,K$5/100,MONTH($A58)))*$B58</f>
        <v>-30788.680977360196</v>
      </c>
      <c r="L58" s="1021">
        <f>(VLOOKUP(YEAR($A58),'NY East Load Projections'!$A$4:$EO$14,((MONTH($A58)-1)*12)+VLOOKUP(L$4,$DE$6:$DF$17,2)+1))*(VLOOKUP($A58,CURVES!$D$9:$K$261,7))*(INDEX(DailyScalarsTable,L$5/100,MONTH($A58)))*$B58</f>
        <v>-36656.382126319848</v>
      </c>
      <c r="M58" s="1021">
        <f>(VLOOKUP(YEAR($A58),'NY East Load Projections'!$A$4:$EO$14,((MONTH($A58)-1)*12)+VLOOKUP(M$4,$DE$6:$DF$17,2)+1))*(VLOOKUP($A58,CURVES!$D$9:$K$261,7))*(INDEX(DailyScalarsTable,M$5/100,MONTH($A58)))*$B58</f>
        <v>-44443.712132028639</v>
      </c>
      <c r="N58" s="1021">
        <f>(VLOOKUP(YEAR($A58),'NY East Load Projections'!$A$4:$EO$14,((MONTH($A58)-1)*12)+VLOOKUP(N$4,$DE$6:$DF$17,2)+1))*(VLOOKUP($A58,CURVES!$D$9:$K$261,7))*(INDEX(DailyScalarsTable,N$5/100,MONTH($A58)))*$B58</f>
        <v>-53177.56843677388</v>
      </c>
      <c r="O58" s="1021">
        <f>(VLOOKUP(YEAR($A58),'NY East Load Projections'!$A$4:$EO$14,((MONTH($A58)-1)*12)+VLOOKUP(O$4,$DE$6:$DF$17,2)+1))*(VLOOKUP($A58,CURVES!$D$9:$K$261,3))*(INDEX(DailyScalarsTable,O$5/100,MONTH($A58)))*$B58</f>
        <v>-67567.937935640774</v>
      </c>
      <c r="P58" s="1021">
        <f>(VLOOKUP(YEAR($A58),'NY East Load Projections'!$A$4:$EO$14,((MONTH($A58)-1)*12)+VLOOKUP(P$4,$DE$6:$DF$17,2)+1))*(VLOOKUP($A58,CURVES!$D$9:$K$261,3))*(INDEX(DailyScalarsTable,P$5/100,MONTH($A58)))*$B58</f>
        <v>-83390.400697969628</v>
      </c>
      <c r="Q58" s="1021">
        <f>(VLOOKUP(YEAR($A58),'NY East Load Projections'!$A$4:$EO$14,((MONTH($A58)-1)*12)+VLOOKUP(Q$4,$DE$6:$DF$17,2)+1))*(VLOOKUP($A58,CURVES!$D$9:$K$261,3))*(INDEX(DailyScalarsTable,Q$5/100,MONTH($A58)))*$B58</f>
        <v>-84869.464468001126</v>
      </c>
      <c r="R58" s="1021">
        <f>(VLOOKUP(YEAR($A58),'NY East Load Projections'!$A$4:$EO$14,((MONTH($A58)-1)*12)+VLOOKUP(R$4,$DE$6:$DF$17,2)+1))*(VLOOKUP($A58,CURVES!$D$9:$K$261,3))*(INDEX(DailyScalarsTable,R$5/100,MONTH($A58)))*$B58</f>
        <v>-90026.554073243649</v>
      </c>
      <c r="S58" s="1021">
        <f>(VLOOKUP(YEAR($A58),'NY East Load Projections'!$A$4:$EO$14,((MONTH($A58)-1)*12)+VLOOKUP(S$4,$DE$6:$DF$17,2)+1))*(VLOOKUP($A58,CURVES!$D$9:$K$261,3))*(INDEX(DailyScalarsTable,S$5/100,MONTH($A58)))*$B58</f>
        <v>-89345.922957830902</v>
      </c>
      <c r="T58" s="1021">
        <f>(VLOOKUP(YEAR($A58),'NY East Load Projections'!$A$4:$EO$14,((MONTH($A58)-1)*12)+VLOOKUP(T$4,$DE$6:$DF$17,2)+1))*(VLOOKUP($A58,CURVES!$D$9:$K$261,3))*(INDEX(DailyScalarsTable,T$5/100,MONTH($A58)))*$B58</f>
        <v>-87219.357164432586</v>
      </c>
      <c r="U58" s="1021">
        <f>(VLOOKUP(YEAR($A58),'NY East Load Projections'!$A$4:$EO$14,((MONTH($A58)-1)*12)+VLOOKUP(U$4,$DE$6:$DF$17,2)+1))*(VLOOKUP($A58,CURVES!$D$9:$K$261,3))*(INDEX(DailyScalarsTable,U$5/100,MONTH($A58)))*$B58</f>
        <v>-87639.724091064665</v>
      </c>
      <c r="V58" s="1021">
        <f>(VLOOKUP(YEAR($A58),'NY East Load Projections'!$A$4:$EO$14,((MONTH($A58)-1)*12)+VLOOKUP(V$4,$DE$6:$DF$17,2)+1))*(VLOOKUP($A58,CURVES!$D$9:$K$261,3))*(INDEX(DailyScalarsTable,V$5/100,MONTH($A58)))*$B58</f>
        <v>-85009.040743754362</v>
      </c>
      <c r="W58" s="1021">
        <f>(VLOOKUP(YEAR($A58),'NY East Load Projections'!$A$4:$EO$14,((MONTH($A58)-1)*12)+VLOOKUP(W$4,$DE$6:$DF$17,2)+1))*(VLOOKUP($A58,CURVES!$D$9:$K$261,3))*(INDEX(DailyScalarsTable,W$5/100,MONTH($A58)))*$B58</f>
        <v>-81700.346224456851</v>
      </c>
      <c r="X58" s="1021">
        <f>(VLOOKUP(YEAR($A58),'NY East Load Projections'!$A$4:$EO$14,((MONTH($A58)-1)*12)+VLOOKUP(X$4,$DE$6:$DF$17,2)+1))*(VLOOKUP($A58,CURVES!$D$9:$K$261,3))*(INDEX(DailyScalarsTable,X$5/100,MONTH($A58)))*$B58</f>
        <v>-77780.196413135855</v>
      </c>
      <c r="Y58" s="1021">
        <f>(VLOOKUP(YEAR($A58),'NY East Load Projections'!$A$4:$EO$14,((MONTH($A58)-1)*12)+VLOOKUP(Y$4,$DE$6:$DF$17,2)+1))*(VLOOKUP($A58,CURVES!$D$9:$K$261,3))*(INDEX(DailyScalarsTable,Y$5/100,MONTH($A58)))*$B58</f>
        <v>-74748.972121941086</v>
      </c>
      <c r="Z58" s="1021">
        <f>(VLOOKUP(YEAR($A58),'NY East Load Projections'!$A$4:$EO$14,((MONTH($A58)-1)*12)+VLOOKUP(Z$4,$DE$6:$DF$17,2)+1))*(VLOOKUP($A58,CURVES!$D$9:$K$261,3))*(INDEX(DailyScalarsTable,Z$5/100,MONTH($A58)))*$B58</f>
        <v>-64763.762692123091</v>
      </c>
      <c r="AA58" s="1021">
        <f>(VLOOKUP(YEAR($A58),'NY East Load Projections'!$A$4:$EO$14,((MONTH($A58)-1)*12)+VLOOKUP(AA$4,$DE$6:$DF$17,2)+1))*(VLOOKUP($A58,CURVES!$D$9:$K$261,3))*(INDEX(DailyScalarsTable,AA$5/100,MONTH($A58)))*$B58</f>
        <v>-64598.191617393997</v>
      </c>
      <c r="AB58" s="1021">
        <f>(VLOOKUP(YEAR($A58),'NY East Load Projections'!$A$4:$EO$14,((MONTH($A58)-1)*12)+VLOOKUP(AB$4,$DE$6:$DF$17,2)+1))*(VLOOKUP($A58,CURVES!$D$9:$K$261,3))*(INDEX(DailyScalarsTable,AB$5/100,MONTH($A58)))*$B58</f>
        <v>-74342.3855018022</v>
      </c>
      <c r="AC58" s="1021">
        <f>(VLOOKUP(YEAR($A58),'NY East Load Projections'!$A$4:$EO$14,((MONTH($A58)-1)*12)+VLOOKUP(AC$4,$DE$6:$DF$17,2)+1))*(VLOOKUP($A58,CURVES!$D$9:$K$261,3))*(INDEX(DailyScalarsTable,AC$5/100,MONTH($A58)))*$B58</f>
        <v>-70908.789541360908</v>
      </c>
      <c r="AD58" s="1021">
        <f>(VLOOKUP(YEAR($A58),'NY East Load Projections'!$A$4:$EO$14,((MONTH($A58)-1)*12)+VLOOKUP(AD$4,$DE$6:$DF$17,2)+1))*(VLOOKUP($A58,CURVES!$D$9:$K$261,3))*(INDEX(DailyScalarsTable,AD$5/100,MONTH($A58)))*$B58</f>
        <v>-56883.612556366163</v>
      </c>
      <c r="AE58" s="1021">
        <f>(VLOOKUP(YEAR($A58),'NY East Load Projections'!$A$4:$EO$14,((MONTH($A58)-1)*12)+VLOOKUP(AE$4,$DE$6:$DF$17,2)+1))*(VLOOKUP($A58,CURVES!$D$9:$K$261,7))*(INDEX(DailyScalarsTable,AE$5/100,MONTH($A58)))*$B58</f>
        <v>-46756.661447697574</v>
      </c>
      <c r="AF58" s="1021"/>
      <c r="AG58" s="1021">
        <f>(VLOOKUP(YEAR($A58),'NY East Load Projections'!$A$4:$EO$14,((MONTH($A58)-1)*12)+VLOOKUP(AG$4,$DE$6:$DF$17,2)+1))*(VLOOKUP($A58,CURVES!$D$9:$T$261,7))*(INDEX(DailyScalarsTable,AG$5/100,MONTH($A58)))*$C58</f>
        <v>-7460.4113479928083</v>
      </c>
      <c r="AH58" s="1021">
        <f>(VLOOKUP(YEAR($A58),'NY East Load Projections'!$A$4:$EO$14,((MONTH($A58)-1)*12)+VLOOKUP(AH$4,$DE$6:$DF$17,2)+1))*(VLOOKUP($A58,CURVES!$D$9:$T$261,7))*(INDEX(DailyScalarsTable,AH$5/100,MONTH($A58)))*$C58</f>
        <v>-6720.0502323348182</v>
      </c>
      <c r="AI58" s="1021">
        <f>(VLOOKUP(YEAR($A58),'NY East Load Projections'!$A$4:$EO$14,((MONTH($A58)-1)*12)+VLOOKUP(AI$4,$DE$6:$DF$17,2)+1))*(VLOOKUP($A58,CURVES!$D$9:$T$261,7))*(INDEX(DailyScalarsTable,AI$5/100,MONTH($A58)))*$C58</f>
        <v>-6359.6628109563271</v>
      </c>
      <c r="AJ58" s="1021">
        <f>(VLOOKUP(YEAR($A58),'NY East Load Projections'!$A$4:$EO$14,((MONTH($A58)-1)*12)+VLOOKUP(AJ$4,$DE$6:$DF$17,2)+1))*(VLOOKUP($A58,CURVES!$D$9:$T$261,7))*(INDEX(DailyScalarsTable,AJ$5/100,MONTH($A58)))*$C58</f>
        <v>-6165.7587092363756</v>
      </c>
      <c r="AK58" s="1021">
        <f>(VLOOKUP(YEAR($A58),'NY East Load Projections'!$A$4:$EO$14,((MONTH($A58)-1)*12)+VLOOKUP(AK$4,$DE$6:$DF$17,2)+1))*(VLOOKUP($A58,CURVES!$D$9:$T$261,7))*(INDEX(DailyScalarsTable,AK$5/100,MONTH($A58)))*$C58</f>
        <v>-6775.7818249216743</v>
      </c>
      <c r="AL58" s="1021">
        <f>(VLOOKUP(YEAR($A58),'NY East Load Projections'!$A$4:$EO$14,((MONTH($A58)-1)*12)+VLOOKUP(AL$4,$DE$6:$DF$17,2)+1))*(VLOOKUP($A58,CURVES!$D$9:$T$261,7))*(INDEX(DailyScalarsTable,AL$5/100,MONTH($A58)))*$C58</f>
        <v>-8215.2378229390706</v>
      </c>
      <c r="AM58" s="1021">
        <f>(VLOOKUP(YEAR($A58),'NY East Load Projections'!$A$4:$EO$14,((MONTH($A58)-1)*12)+VLOOKUP(AM$4,$DE$6:$DF$17,2)+1))*(VLOOKUP($A58,CURVES!$D$9:$T$261,7))*(INDEX(DailyScalarsTable,AM$5/100,MONTH($A58)))*$C58</f>
        <v>-9829.655323477924</v>
      </c>
      <c r="AN58" s="1021">
        <f>(VLOOKUP(YEAR($A58),'NY East Load Projections'!$A$4:$EO$14,((MONTH($A58)-1)*12)+VLOOKUP(AN$4,$DE$6:$DF$17,2)+1))*(VLOOKUP($A58,SatSunCurve,3))*(INDEX(DailyScalarsTable,AN$5/100,MONTH($A58)))*$C58</f>
        <v>-8153.4325477206339</v>
      </c>
      <c r="AO58" s="1021">
        <f>(VLOOKUP(YEAR($A58),'NY East Load Projections'!$A$4:$EO$14,((MONTH($A58)-1)*12)+VLOOKUP(AO$4,$DE$6:$DF$17,2)+1))*(VLOOKUP($A58,SatSunCurve,3))*(INDEX(DailyScalarsTable,AO$5/100,MONTH($A58)))*$C58</f>
        <v>-9939.6067187457847</v>
      </c>
      <c r="AP58" s="1021">
        <f>(VLOOKUP(YEAR($A58),'NY East Load Projections'!$A$4:$EO$14,((MONTH($A58)-1)*12)+VLOOKUP(AP$4,$DE$6:$DF$17,2)+1))*(VLOOKUP($A58,SatSunCurve,3))*(INDEX(DailyScalarsTable,AP$5/100,MONTH($A58)))*$C58</f>
        <v>-10115.901736673628</v>
      </c>
      <c r="AQ58" s="1021">
        <f>(VLOOKUP(YEAR($A58),'NY East Load Projections'!$A$4:$EO$14,((MONTH($A58)-1)*12)+VLOOKUP(AQ$4,$DE$6:$DF$17,2)+1))*(VLOOKUP($A58,SatSunCurve,3))*(INDEX(DailyScalarsTable,AQ$5/100,MONTH($A58)))*$C58</f>
        <v>-10730.594100068049</v>
      </c>
      <c r="AR58" s="1021">
        <f>(VLOOKUP(YEAR($A58),'NY East Load Projections'!$A$4:$EO$14,((MONTH($A58)-1)*12)+VLOOKUP(AR$4,$DE$6:$DF$17,2)+1))*(VLOOKUP($A58,SatSunCurve,3))*(INDEX(DailyScalarsTable,AR$5/100,MONTH($A58)))*$C58</f>
        <v>-10649.467189163197</v>
      </c>
      <c r="AS58" s="1021">
        <f>(VLOOKUP(YEAR($A58),'NY East Load Projections'!$A$4:$EO$14,((MONTH($A58)-1)*12)+VLOOKUP(AS$4,$DE$6:$DF$17,2)+1))*(VLOOKUP($A58,SatSunCurve,3))*(INDEX(DailyScalarsTable,AS$5/100,MONTH($A58)))*$C58</f>
        <v>-10183.142876379196</v>
      </c>
      <c r="AT58" s="1021">
        <f>(VLOOKUP(YEAR($A58),'NY East Load Projections'!$A$4:$EO$14,((MONTH($A58)-1)*12)+VLOOKUP(AT$4,$DE$6:$DF$17,2)+1))*(VLOOKUP($A58,SatSunCurve,3))*(INDEX(DailyScalarsTable,AT$5/100,MONTH($A58)))*$C58</f>
        <v>-10232.222078675179</v>
      </c>
      <c r="AU58" s="1021">
        <f>(VLOOKUP(YEAR($A58),'NY East Load Projections'!$A$4:$EO$14,((MONTH($A58)-1)*12)+VLOOKUP(AU$4,$DE$6:$DF$17,2)+1))*(VLOOKUP($A58,SatSunCurve,3))*(INDEX(DailyScalarsTable,AU$5/100,MONTH($A58)))*$C58</f>
        <v>-9925.0812643067766</v>
      </c>
      <c r="AV58" s="1021">
        <f>(VLOOKUP(YEAR($A58),'NY East Load Projections'!$A$4:$EO$14,((MONTH($A58)-1)*12)+VLOOKUP(AV$4,$DE$6:$DF$17,2)+1))*(VLOOKUP($A58,SatSunCurve,3))*(INDEX(DailyScalarsTable,AV$5/100,MONTH($A58)))*$C58</f>
        <v>-9538.780446235176</v>
      </c>
      <c r="AW58" s="1021">
        <f>(VLOOKUP(YEAR($A58),'NY East Load Projections'!$A$4:$EO$14,((MONTH($A58)-1)*12)+VLOOKUP(AW$4,$DE$6:$DF$17,2)+1))*(VLOOKUP($A58,SatSunCurve,3))*(INDEX(DailyScalarsTable,AW$5/100,MONTH($A58)))*$C58</f>
        <v>-9003.6840855459704</v>
      </c>
      <c r="AX58" s="1021">
        <f>(VLOOKUP(YEAR($A58),'NY East Load Projections'!$A$4:$EO$14,((MONTH($A58)-1)*12)+VLOOKUP(AX$4,$DE$6:$DF$17,2)+1))*(VLOOKUP($A58,SatSunCurve,3))*(INDEX(DailyScalarsTable,AX$5/100,MONTH($A58)))*$C58</f>
        <v>-8652.7954639052386</v>
      </c>
      <c r="AY58" s="1021">
        <f>(VLOOKUP(YEAR($A58),'NY East Load Projections'!$A$4:$EO$14,((MONTH($A58)-1)*12)+VLOOKUP(AY$4,$DE$6:$DF$17,2)+1))*(VLOOKUP($A58,SatSunCurve,3))*(INDEX(DailyScalarsTable,AY$5/100,MONTH($A58)))*$C58</f>
        <v>-7496.9270632063617</v>
      </c>
      <c r="AZ58" s="1021">
        <f>(VLOOKUP(YEAR($A58),'NY East Load Projections'!$A$4:$EO$14,((MONTH($A58)-1)*12)+VLOOKUP(AZ$4,$DE$6:$DF$17,2)+1))*(VLOOKUP($A58,SatSunCurve,3))*(INDEX(DailyScalarsTable,AZ$5/100,MONTH($A58)))*$C58</f>
        <v>-7477.760877990695</v>
      </c>
      <c r="BA58" s="1021">
        <f>(VLOOKUP(YEAR($A58),'NY East Load Projections'!$A$4:$EO$14,((MONTH($A58)-1)*12)+VLOOKUP(BA$4,$DE$6:$DF$17,2)+1))*(VLOOKUP($A58,SatSunCurve,3))*(INDEX(DailyScalarsTable,BA$5/100,MONTH($A58)))*$C58</f>
        <v>-9384.4524483261903</v>
      </c>
      <c r="BB58" s="1021">
        <f>(VLOOKUP(YEAR($A58),'NY East Load Projections'!$A$4:$EO$14,((MONTH($A58)-1)*12)+VLOOKUP(BB$4,$DE$6:$DF$17,2)+1))*(VLOOKUP($A58,SatSunCurve,3))*(INDEX(DailyScalarsTable,BB$5/100,MONTH($A58)))*$C58</f>
        <v>-8951.0197867290572</v>
      </c>
      <c r="BC58" s="1021">
        <f>(VLOOKUP(YEAR($A58),'NY East Load Projections'!$A$4:$EO$14,((MONTH($A58)-1)*12)+VLOOKUP(BC$4,$DE$6:$DF$17,2)+1))*(VLOOKUP($A58,SatSunCurve,3))*(INDEX(DailyScalarsTable,BC$5/100,MONTH($A58)))*$C58</f>
        <v>-7180.5814882182931</v>
      </c>
      <c r="BD58" s="1021">
        <f>(VLOOKUP(YEAR($A58),'NY East Load Projections'!$A$4:$EO$14,((MONTH($A58)-1)*12)+VLOOKUP(BD$4,$DE$6:$DF$17,2)+1))*(VLOOKUP($A58,CURVES!$D$9:$T$261,7))*(INDEX(DailyScalarsTable,BD$5/100,MONTH($A58)))*$C58</f>
        <v>-9041.1970795032939</v>
      </c>
      <c r="BE58" s="1021"/>
      <c r="BF58" s="1021">
        <f>(VLOOKUP(YEAR($A58),'NY East Load Projections'!$A$4:$EO$14,((MONTH($A58)-1)*12)+VLOOKUP(BF$4,$DE$6:$DF$17,2)+1))*(VLOOKUP($A58,CURVES!$D$9:$T$261,7))*(INDEX(DailyScalarsTable,BF$5/100,MONTH($A58)))*$D58</f>
        <v>-9325.5141849910106</v>
      </c>
      <c r="BG58" s="1021">
        <f>(VLOOKUP(YEAR($A58),'NY East Load Projections'!$A$4:$EO$14,((MONTH($A58)-1)*12)+VLOOKUP(BG$4,$DE$6:$DF$17,2)+1))*(VLOOKUP($A58,CURVES!$D$9:$T$261,7))*(INDEX(DailyScalarsTable,BG$5/100,MONTH($A58)))*$D58</f>
        <v>-8400.0627904185221</v>
      </c>
      <c r="BH58" s="1021">
        <f>(VLOOKUP(YEAR($A58),'NY East Load Projections'!$A$4:$EO$14,((MONTH($A58)-1)*12)+VLOOKUP(BH$4,$DE$6:$DF$17,2)+1))*(VLOOKUP($A58,CURVES!$D$9:$T$261,7))*(INDEX(DailyScalarsTable,BH$5/100,MONTH($A58)))*$D58</f>
        <v>-7949.5785136954091</v>
      </c>
      <c r="BI58" s="1021">
        <f>(VLOOKUP(YEAR($A58),'NY East Load Projections'!$A$4:$EO$14,((MONTH($A58)-1)*12)+VLOOKUP(BI$4,$DE$6:$DF$17,2)+1))*(VLOOKUP($A58,CURVES!$D$9:$T$261,7))*(INDEX(DailyScalarsTable,BI$5/100,MONTH($A58)))*$D58</f>
        <v>-7707.1983865454695</v>
      </c>
      <c r="BJ58" s="1021">
        <f>(VLOOKUP(YEAR($A58),'NY East Load Projections'!$A$4:$EO$14,((MONTH($A58)-1)*12)+VLOOKUP(BJ$4,$DE$6:$DF$17,2)+1))*(VLOOKUP($A58,CURVES!$D$9:$T$261,7))*(INDEX(DailyScalarsTable,BJ$5/100,MONTH($A58)))*$D58</f>
        <v>-8469.7272811520925</v>
      </c>
      <c r="BK58" s="1021">
        <f>(VLOOKUP(YEAR($A58),'NY East Load Projections'!$A$4:$EO$14,((MONTH($A58)-1)*12)+VLOOKUP(BK$4,$DE$6:$DF$17,2)+1))*(VLOOKUP($A58,CURVES!$D$9:$T$261,7))*(INDEX(DailyScalarsTable,BK$5/100,MONTH($A58)))*$D58</f>
        <v>-10269.047278673839</v>
      </c>
      <c r="BL58" s="1021">
        <f>(VLOOKUP(YEAR($A58),'NY East Load Projections'!$A$4:$EO$14,((MONTH($A58)-1)*12)+VLOOKUP(BL$4,$DE$6:$DF$17,2)+1))*(VLOOKUP($A58,CURVES!$D$9:$T$261,7))*(INDEX(DailyScalarsTable,BL$5/100,MONTH($A58)))*$D58</f>
        <v>-12287.069154347406</v>
      </c>
      <c r="BM58" s="1021">
        <f>(VLOOKUP(YEAR($A58),'NY East Load Projections'!$A$4:$EO$14,((MONTH($A58)-1)*12)+VLOOKUP(BM$4,$DE$6:$DF$17,2)+1))*(VLOOKUP($A58,SatSunCurve,7))*(INDEX(DailyScalarsTable,BM$5/100,MONTH($A58)))*$D58</f>
        <v>-9790.5025195035596</v>
      </c>
      <c r="BN58" s="1021">
        <f>(VLOOKUP(YEAR($A58),'NY East Load Projections'!$A$4:$EO$14,((MONTH($A58)-1)*12)+VLOOKUP(BN$4,$DE$6:$DF$17,2)+1))*(VLOOKUP($A58,SatSunCurve,7))*(INDEX(DailyScalarsTable,BN$5/100,MONTH($A58)))*$D58</f>
        <v>-11935.309951139543</v>
      </c>
      <c r="BO58" s="1021">
        <f>(VLOOKUP(YEAR($A58),'NY East Load Projections'!$A$4:$EO$14,((MONTH($A58)-1)*12)+VLOOKUP(BO$4,$DE$6:$DF$17,2)+1))*(VLOOKUP($A58,SatSunCurve,7))*(INDEX(DailyScalarsTable,BO$5/100,MONTH($A58)))*$D58</f>
        <v>-12147.001997047373</v>
      </c>
      <c r="BP58" s="1021">
        <f>(VLOOKUP(YEAR($A58),'NY East Load Projections'!$A$4:$EO$14,((MONTH($A58)-1)*12)+VLOOKUP(BP$4,$DE$6:$DF$17,2)+1))*(VLOOKUP($A58,SatSunCurve,7))*(INDEX(DailyScalarsTable,BP$5/100,MONTH($A58)))*$D58</f>
        <v>-12885.114086318916</v>
      </c>
      <c r="BQ58" s="1021">
        <f>(VLOOKUP(YEAR($A58),'NY East Load Projections'!$A$4:$EO$14,((MONTH($A58)-1)*12)+VLOOKUP(BQ$4,$DE$6:$DF$17,2)+1))*(VLOOKUP($A58,SatSunCurve,7))*(INDEX(DailyScalarsTable,BQ$5/100,MONTH($A58)))*$D58</f>
        <v>-12787.698277582565</v>
      </c>
      <c r="BR58" s="1021">
        <f>(VLOOKUP(YEAR($A58),'NY East Load Projections'!$A$4:$EO$14,((MONTH($A58)-1)*12)+VLOOKUP(BR$4,$DE$6:$DF$17,2)+1))*(VLOOKUP($A58,SatSunCurve,7))*(INDEX(DailyScalarsTable,BR$5/100,MONTH($A58)))*$D58</f>
        <v>-12227.744008936059</v>
      </c>
      <c r="BS58" s="1021">
        <f>(VLOOKUP(YEAR($A58),'NY East Load Projections'!$A$4:$EO$14,((MONTH($A58)-1)*12)+VLOOKUP(BS$4,$DE$6:$DF$17,2)+1))*(VLOOKUP($A58,SatSunCurve,7))*(INDEX(DailyScalarsTable,BS$5/100,MONTH($A58)))*$D58</f>
        <v>-12286.67747664082</v>
      </c>
      <c r="BT58" s="1021">
        <f>(VLOOKUP(YEAR($A58),'NY East Load Projections'!$A$4:$EO$14,((MONTH($A58)-1)*12)+VLOOKUP(BT$4,$DE$6:$DF$17,2)+1))*(VLOOKUP($A58,SatSunCurve,7))*(INDEX(DailyScalarsTable,BT$5/100,MONTH($A58)))*$D58</f>
        <v>-11917.868033585222</v>
      </c>
      <c r="BU58" s="1021">
        <f>(VLOOKUP(YEAR($A58),'NY East Load Projections'!$A$4:$EO$14,((MONTH($A58)-1)*12)+VLOOKUP(BU$4,$DE$6:$DF$17,2)+1))*(VLOOKUP($A58,SatSunCurve,7))*(INDEX(DailyScalarsTable,BU$5/100,MONTH($A58)))*$D58</f>
        <v>-11454.004610360658</v>
      </c>
      <c r="BV58" s="1021">
        <f>(VLOOKUP(YEAR($A58),'NY East Load Projections'!$A$4:$EO$14,((MONTH($A58)-1)*12)+VLOOKUP(BV$4,$DE$6:$DF$17,2)+1))*(VLOOKUP($A58,SatSunCurve,7))*(INDEX(DailyScalarsTable,BV$5/100,MONTH($A58)))*$D58</f>
        <v>-10811.470041411605</v>
      </c>
      <c r="BW58" s="1021">
        <f>(VLOOKUP(YEAR($A58),'NY East Load Projections'!$A$4:$EO$14,((MONTH($A58)-1)*12)+VLOOKUP(BW$4,$DE$6:$DF$17,2)+1))*(VLOOKUP($A58,SatSunCurve,7))*(INDEX(DailyScalarsTable,BW$5/100,MONTH($A58)))*$D58</f>
        <v>-10390.128978720273</v>
      </c>
      <c r="BX58" s="1021">
        <f>(VLOOKUP(YEAR($A58),'NY East Load Projections'!$A$4:$EO$14,((MONTH($A58)-1)*12)+VLOOKUP(BX$4,$DE$6:$DF$17,2)+1))*(VLOOKUP($A58,SatSunCurve,7))*(INDEX(DailyScalarsTable,BX$5/100,MONTH($A58)))*$D58</f>
        <v>-9002.1819486782406</v>
      </c>
      <c r="BY58" s="1021">
        <f>(VLOOKUP(YEAR($A58),'NY East Load Projections'!$A$4:$EO$14,((MONTH($A58)-1)*12)+VLOOKUP(BY$4,$DE$6:$DF$17,2)+1))*(VLOOKUP($A58,SatSunCurve,7))*(INDEX(DailyScalarsTable,BY$5/100,MONTH($A58)))*$D58</f>
        <v>-8979.1675208841789</v>
      </c>
      <c r="BZ58" s="1021">
        <f>(VLOOKUP(YEAR($A58),'NY East Load Projections'!$A$4:$EO$14,((MONTH($A58)-1)*12)+VLOOKUP(BZ$4,$DE$6:$DF$17,2)+1))*(VLOOKUP($A58,SatSunCurve,7))*(INDEX(DailyScalarsTable,BZ$5/100,MONTH($A58)))*$D58</f>
        <v>-11268.69018683234</v>
      </c>
      <c r="CA58" s="1021">
        <f>(VLOOKUP(YEAR($A58),'NY East Load Projections'!$A$4:$EO$14,((MONTH($A58)-1)*12)+VLOOKUP(CA$4,$DE$6:$DF$17,2)+1))*(VLOOKUP($A58,SatSunCurve,7))*(INDEX(DailyScalarsTable,CA$5/100,MONTH($A58)))*$D58</f>
        <v>-10748.231651048147</v>
      </c>
      <c r="CB58" s="1021">
        <f>(VLOOKUP(YEAR($A58),'NY East Load Projections'!$A$4:$EO$14,((MONTH($A58)-1)*12)+VLOOKUP(CB$4,$DE$6:$DF$17,2)+1))*(VLOOKUP($A58,SatSunCurve,7))*(INDEX(DailyScalarsTable,CB$5/100,MONTH($A58)))*$D58</f>
        <v>-8622.3195863140172</v>
      </c>
      <c r="CC58" s="1021">
        <f>(VLOOKUP(YEAR($A58),'NY East Load Projections'!$A$4:$EO$14,((MONTH($A58)-1)*12)+VLOOKUP(CC$4,$DE$6:$DF$17,2)+1))*(VLOOKUP($A58,CURVES!$D$9:$T$261,7))*(INDEX(DailyScalarsTable,CC$5/100,MONTH($A58)))*$D58</f>
        <v>-11301.496349379118</v>
      </c>
      <c r="CE58" s="1021">
        <f>(VLOOKUP(YEAR($A58),'NY East Load Projections'!$A$4:$EO$14,((MONTH($A58)-1)*12)+VLOOKUP(CE$4,$DE$6:$DF$17,2)+1))*(VLOOKUP($A58,CURVES!$D$9:$T$261,7))*(INDEX(DailyScalarsTable,CE$5/100,MONTH($A58)))*$E58</f>
        <v>-1865.1028369982021</v>
      </c>
      <c r="CF58" s="1021">
        <f>(VLOOKUP(YEAR($A58),'NY East Load Projections'!$A$4:$EO$14,((MONTH($A58)-1)*12)+VLOOKUP(CF$4,$DE$6:$DF$17,2)+1))*(VLOOKUP($A58,CURVES!$D$9:$T$261,7))*(INDEX(DailyScalarsTable,CF$5/100,MONTH($A58)))*$E58</f>
        <v>-1680.0125580837046</v>
      </c>
      <c r="CG58" s="1021">
        <f>(VLOOKUP(YEAR($A58),'NY East Load Projections'!$A$4:$EO$14,((MONTH($A58)-1)*12)+VLOOKUP(CG$4,$DE$6:$DF$17,2)+1))*(VLOOKUP($A58,CURVES!$D$9:$T$261,7))*(INDEX(DailyScalarsTable,CG$5/100,MONTH($A58)))*$E58</f>
        <v>-1589.9157027390818</v>
      </c>
      <c r="CH58" s="1021">
        <f>(VLOOKUP(YEAR($A58),'NY East Load Projections'!$A$4:$EO$14,((MONTH($A58)-1)*12)+VLOOKUP(CH$4,$DE$6:$DF$17,2)+1))*(VLOOKUP($A58,CURVES!$D$9:$T$261,7))*(INDEX(DailyScalarsTable,CH$5/100,MONTH($A58)))*$E58</f>
        <v>-1541.4396773090939</v>
      </c>
      <c r="CI58" s="1021">
        <f>(VLOOKUP(YEAR($A58),'NY East Load Projections'!$A$4:$EO$14,((MONTH($A58)-1)*12)+VLOOKUP(CI$4,$DE$6:$DF$17,2)+1))*(VLOOKUP($A58,CURVES!$D$9:$T$261,7))*(INDEX(DailyScalarsTable,CI$5/100,MONTH($A58)))*$E58</f>
        <v>-1693.9454562304186</v>
      </c>
      <c r="CJ58" s="1021">
        <f>(VLOOKUP(YEAR($A58),'NY East Load Projections'!$A$4:$EO$14,((MONTH($A58)-1)*12)+VLOOKUP(CJ$4,$DE$6:$DF$17,2)+1))*(VLOOKUP($A58,CURVES!$D$9:$T$261,7))*(INDEX(DailyScalarsTable,CJ$5/100,MONTH($A58)))*$E58</f>
        <v>-2053.8094557347677</v>
      </c>
      <c r="CK58" s="1021">
        <f>(VLOOKUP(YEAR($A58),'NY East Load Projections'!$A$4:$EO$14,((MONTH($A58)-1)*12)+VLOOKUP(CK$4,$DE$6:$DF$17,2)+1))*(VLOOKUP($A58,CURVES!$D$9:$T$261,7))*(INDEX(DailyScalarsTable,CK$5/100,MONTH($A58)))*$E58</f>
        <v>-2457.413830869481</v>
      </c>
      <c r="CL58" s="1021">
        <f>(VLOOKUP(YEAR($A58),'NY East Load Projections'!$A$4:$EO$14,((MONTH($A58)-1)*12)+VLOOKUP(CL$4,$DE$6:$DF$17,2)+1))*(VLOOKUP($A58,SatSunCurve,7))*(INDEX(DailyScalarsTable,CL$5/100,MONTH($A58)))*$E58</f>
        <v>-1958.1005039007118</v>
      </c>
      <c r="CM58" s="1021">
        <f>(VLOOKUP(YEAR($A58),'NY East Load Projections'!$A$4:$EO$14,((MONTH($A58)-1)*12)+VLOOKUP(CM$4,$DE$6:$DF$17,2)+1))*(VLOOKUP($A58,SatSunCurve,7))*(INDEX(DailyScalarsTable,CM$5/100,MONTH($A58)))*$E58</f>
        <v>-2387.0619902279086</v>
      </c>
      <c r="CN58" s="1021">
        <f>(VLOOKUP(YEAR($A58),'NY East Load Projections'!$A$4:$EO$14,((MONTH($A58)-1)*12)+VLOOKUP(CN$4,$DE$6:$DF$17,2)+1))*(VLOOKUP($A58,SatSunCurve,7))*(INDEX(DailyScalarsTable,CN$5/100,MONTH($A58)))*$E58</f>
        <v>-2429.4003994094746</v>
      </c>
      <c r="CO58" s="1021">
        <f>(VLOOKUP(YEAR($A58),'NY East Load Projections'!$A$4:$EO$14,((MONTH($A58)-1)*12)+VLOOKUP(CO$4,$DE$6:$DF$17,2)+1))*(VLOOKUP($A58,SatSunCurve,7))*(INDEX(DailyScalarsTable,CO$5/100,MONTH($A58)))*$E58</f>
        <v>-2577.0228172637831</v>
      </c>
      <c r="CP58" s="1021">
        <f>(VLOOKUP(YEAR($A58),'NY East Load Projections'!$A$4:$EO$14,((MONTH($A58)-1)*12)+VLOOKUP(CP$4,$DE$6:$DF$17,2)+1))*(VLOOKUP($A58,SatSunCurve,7))*(INDEX(DailyScalarsTable,CP$5/100,MONTH($A58)))*$E58</f>
        <v>-2557.539655516513</v>
      </c>
      <c r="CQ58" s="1021">
        <f>(VLOOKUP(YEAR($A58),'NY East Load Projections'!$A$4:$EO$14,((MONTH($A58)-1)*12)+VLOOKUP(CQ$4,$DE$6:$DF$17,2)+1))*(VLOOKUP($A58,SatSunCurve,7))*(INDEX(DailyScalarsTable,CQ$5/100,MONTH($A58)))*$E58</f>
        <v>-2445.5488017872117</v>
      </c>
      <c r="CR58" s="1021">
        <f>(VLOOKUP(YEAR($A58),'NY East Load Projections'!$A$4:$EO$14,((MONTH($A58)-1)*12)+VLOOKUP(CR$4,$DE$6:$DF$17,2)+1))*(VLOOKUP($A58,SatSunCurve,7))*(INDEX(DailyScalarsTable,CR$5/100,MONTH($A58)))*$E58</f>
        <v>-2457.3354953281641</v>
      </c>
      <c r="CS58" s="1021">
        <f>(VLOOKUP(YEAR($A58),'NY East Load Projections'!$A$4:$EO$14,((MONTH($A58)-1)*12)+VLOOKUP(CS$4,$DE$6:$DF$17,2)+1))*(VLOOKUP($A58,SatSunCurve,7))*(INDEX(DailyScalarsTable,CS$5/100,MONTH($A58)))*$E58</f>
        <v>-2383.5736067170446</v>
      </c>
      <c r="CT58" s="1021">
        <f>(VLOOKUP(YEAR($A58),'NY East Load Projections'!$A$4:$EO$14,((MONTH($A58)-1)*12)+VLOOKUP(CT$4,$DE$6:$DF$17,2)+1))*(VLOOKUP($A58,SatSunCurve,7))*(INDEX(DailyScalarsTable,CT$5/100,MONTH($A58)))*$E58</f>
        <v>-2290.8009220721315</v>
      </c>
      <c r="CU58" s="1021">
        <f>(VLOOKUP(YEAR($A58),'NY East Load Projections'!$A$4:$EO$14,((MONTH($A58)-1)*12)+VLOOKUP(CU$4,$DE$6:$DF$17,2)+1))*(VLOOKUP($A58,SatSunCurve,7))*(INDEX(DailyScalarsTable,CU$5/100,MONTH($A58)))*$E58</f>
        <v>-2162.2940082823211</v>
      </c>
      <c r="CV58" s="1021">
        <f>(VLOOKUP(YEAR($A58),'NY East Load Projections'!$A$4:$EO$14,((MONTH($A58)-1)*12)+VLOOKUP(CV$4,$DE$6:$DF$17,2)+1))*(VLOOKUP($A58,SatSunCurve,7))*(INDEX(DailyScalarsTable,CV$5/100,MONTH($A58)))*$E58</f>
        <v>-2078.0257957440544</v>
      </c>
      <c r="CW58" s="1021">
        <f>(VLOOKUP(YEAR($A58),'NY East Load Projections'!$A$4:$EO$14,((MONTH($A58)-1)*12)+VLOOKUP(CW$4,$DE$6:$DF$17,2)+1))*(VLOOKUP($A58,SatSunCurve,7))*(INDEX(DailyScalarsTable,CW$5/100,MONTH($A58)))*$E58</f>
        <v>-1800.4363897356479</v>
      </c>
      <c r="CX58" s="1021">
        <f>(VLOOKUP(YEAR($A58),'NY East Load Projections'!$A$4:$EO$14,((MONTH($A58)-1)*12)+VLOOKUP(CX$4,$DE$6:$DF$17,2)+1))*(VLOOKUP($A58,SatSunCurve,7))*(INDEX(DailyScalarsTable,CX$5/100,MONTH($A58)))*$E58</f>
        <v>-1795.8335041768357</v>
      </c>
      <c r="CY58" s="1021">
        <f>(VLOOKUP(YEAR($A58),'NY East Load Projections'!$A$4:$EO$14,((MONTH($A58)-1)*12)+VLOOKUP(CY$4,$DE$6:$DF$17,2)+1))*(VLOOKUP($A58,SatSunCurve,7))*(INDEX(DailyScalarsTable,CY$5/100,MONTH($A58)))*$E58</f>
        <v>-2253.7380373664682</v>
      </c>
      <c r="CZ58" s="1021">
        <f>(VLOOKUP(YEAR($A58),'NY East Load Projections'!$A$4:$EO$14,((MONTH($A58)-1)*12)+VLOOKUP(CZ$4,$DE$6:$DF$17,2)+1))*(VLOOKUP($A58,SatSunCurve,7))*(INDEX(DailyScalarsTable,CZ$5/100,MONTH($A58)))*$E58</f>
        <v>-2149.6463302096295</v>
      </c>
      <c r="DA58" s="1021">
        <f>(VLOOKUP(YEAR($A58),'NY East Load Projections'!$A$4:$EO$14,((MONTH($A58)-1)*12)+VLOOKUP(DA$4,$DE$6:$DF$17,2)+1))*(VLOOKUP($A58,SatSunCurve,7))*(INDEX(DailyScalarsTable,DA$5/100,MONTH($A58)))*$E58</f>
        <v>-1724.4639172628035</v>
      </c>
      <c r="DB58" s="1021">
        <f>(VLOOKUP(YEAR($A58),'NY East Load Projections'!$A$4:$EO$14,((MONTH($A58)-1)*12)+VLOOKUP(DB$4,$DE$6:$DF$17,2)+1))*(VLOOKUP($A58,CURVES!$D$9:$T$261,7))*(INDEX(DailyScalarsTable,DB$5/100,MONTH($A58)))*$E58</f>
        <v>-2260.2992698758235</v>
      </c>
      <c r="DH58" s="1032">
        <f t="shared" si="0"/>
        <v>-2066924.4291155259</v>
      </c>
      <c r="DI58">
        <f ca="1">CALC!J78</f>
        <v>0.68339425162413847</v>
      </c>
      <c r="DJ58" s="1029">
        <f t="shared" ca="1" si="1"/>
        <v>-1412524.2733990545</v>
      </c>
    </row>
    <row r="59" spans="1:114" x14ac:dyDescent="0.25">
      <c r="A59" s="244">
        <v>38504</v>
      </c>
      <c r="B59" s="13">
        <v>22</v>
      </c>
      <c r="C59" s="210">
        <v>4</v>
      </c>
      <c r="D59" s="210">
        <v>4</v>
      </c>
      <c r="E59" s="210">
        <v>0</v>
      </c>
      <c r="F59" s="13">
        <v>30</v>
      </c>
      <c r="H59" s="1021">
        <f>(VLOOKUP(YEAR($A59),'NY East Load Projections'!$A$4:$EO$14,((MONTH($A59)-1)*12)+VLOOKUP(H$4,$DE$6:$DF$17,2)+1))*(VLOOKUP($A59,CURVES!$D$9:$K$261,7))*(INDEX(DailyScalarsTable,H$5/100,MONTH($A59)))*$B59</f>
        <v>-47195.074463677855</v>
      </c>
      <c r="I59" s="1021">
        <f>(VLOOKUP(YEAR($A59),'NY East Load Projections'!$A$4:$EO$14,((MONTH($A59)-1)*12)+VLOOKUP(I$4,$DE$6:$DF$17,2)+1))*(VLOOKUP($A59,CURVES!$D$9:$K$261,7))*(INDEX(DailyScalarsTable,I$5/100,MONTH($A59)))*$B59</f>
        <v>-39101.729213955776</v>
      </c>
      <c r="J59" s="1021">
        <f>(VLOOKUP(YEAR($A59),'NY East Load Projections'!$A$4:$EO$14,((MONTH($A59)-1)*12)+VLOOKUP(J$4,$DE$6:$DF$17,2)+1))*(VLOOKUP($A59,CURVES!$D$9:$K$261,7))*(INDEX(DailyScalarsTable,J$5/100,MONTH($A59)))*$B59</f>
        <v>-32868.645409692203</v>
      </c>
      <c r="K59" s="1021">
        <f>(VLOOKUP(YEAR($A59),'NY East Load Projections'!$A$4:$EO$14,((MONTH($A59)-1)*12)+VLOOKUP(K$4,$DE$6:$DF$17,2)+1))*(VLOOKUP($A59,CURVES!$D$9:$K$261,7))*(INDEX(DailyScalarsTable,K$5/100,MONTH($A59)))*$B59</f>
        <v>-30513.119553429809</v>
      </c>
      <c r="L59" s="1021">
        <f>(VLOOKUP(YEAR($A59),'NY East Load Projections'!$A$4:$EO$14,((MONTH($A59)-1)*12)+VLOOKUP(L$4,$DE$6:$DF$17,2)+1))*(VLOOKUP($A59,CURVES!$D$9:$K$261,7))*(INDEX(DailyScalarsTable,L$5/100,MONTH($A59)))*$B59</f>
        <v>-36280.337371002672</v>
      </c>
      <c r="M59" s="1021">
        <f>(VLOOKUP(YEAR($A59),'NY East Load Projections'!$A$4:$EO$14,((MONTH($A59)-1)*12)+VLOOKUP(M$4,$DE$6:$DF$17,2)+1))*(VLOOKUP($A59,CURVES!$D$9:$K$261,7))*(INDEX(DailyScalarsTable,M$5/100,MONTH($A59)))*$B59</f>
        <v>-44264.659792431354</v>
      </c>
      <c r="N59" s="1021">
        <f>(VLOOKUP(YEAR($A59),'NY East Load Projections'!$A$4:$EO$14,((MONTH($A59)-1)*12)+VLOOKUP(N$4,$DE$6:$DF$17,2)+1))*(VLOOKUP($A59,CURVES!$D$9:$K$261,7))*(INDEX(DailyScalarsTable,N$5/100,MONTH($A59)))*$B59</f>
        <v>-50752.749322282194</v>
      </c>
      <c r="O59" s="1021">
        <f>(VLOOKUP(YEAR($A59),'NY East Load Projections'!$A$4:$EO$14,((MONTH($A59)-1)*12)+VLOOKUP(O$4,$DE$6:$DF$17,2)+1))*(VLOOKUP($A59,CURVES!$D$9:$K$261,3))*(INDEX(DailyScalarsTable,O$5/100,MONTH($A59)))*$B59</f>
        <v>-72596.817138540951</v>
      </c>
      <c r="P59" s="1021">
        <f>(VLOOKUP(YEAR($A59),'NY East Load Projections'!$A$4:$EO$14,((MONTH($A59)-1)*12)+VLOOKUP(P$4,$DE$6:$DF$17,2)+1))*(VLOOKUP($A59,CURVES!$D$9:$K$261,3))*(INDEX(DailyScalarsTable,P$5/100,MONTH($A59)))*$B59</f>
        <v>-96432.213614618318</v>
      </c>
      <c r="Q59" s="1021">
        <f>(VLOOKUP(YEAR($A59),'NY East Load Projections'!$A$4:$EO$14,((MONTH($A59)-1)*12)+VLOOKUP(Q$4,$DE$6:$DF$17,2)+1))*(VLOOKUP($A59,CURVES!$D$9:$K$261,3))*(INDEX(DailyScalarsTable,Q$5/100,MONTH($A59)))*$B59</f>
        <v>-107858.71254599109</v>
      </c>
      <c r="R59" s="1021">
        <f>(VLOOKUP(YEAR($A59),'NY East Load Projections'!$A$4:$EO$14,((MONTH($A59)-1)*12)+VLOOKUP(R$4,$DE$6:$DF$17,2)+1))*(VLOOKUP($A59,CURVES!$D$9:$K$261,3))*(INDEX(DailyScalarsTable,R$5/100,MONTH($A59)))*$B59</f>
        <v>-124068.79017200669</v>
      </c>
      <c r="S59" s="1021">
        <f>(VLOOKUP(YEAR($A59),'NY East Load Projections'!$A$4:$EO$14,((MONTH($A59)-1)*12)+VLOOKUP(S$4,$DE$6:$DF$17,2)+1))*(VLOOKUP($A59,CURVES!$D$9:$K$261,3))*(INDEX(DailyScalarsTable,S$5/100,MONTH($A59)))*$B59</f>
        <v>-133804.9786105729</v>
      </c>
      <c r="T59" s="1021">
        <f>(VLOOKUP(YEAR($A59),'NY East Load Projections'!$A$4:$EO$14,((MONTH($A59)-1)*12)+VLOOKUP(T$4,$DE$6:$DF$17,2)+1))*(VLOOKUP($A59,CURVES!$D$9:$K$261,3))*(INDEX(DailyScalarsTable,T$5/100,MONTH($A59)))*$B59</f>
        <v>-142600.19344603881</v>
      </c>
      <c r="U59" s="1021">
        <f>(VLOOKUP(YEAR($A59),'NY East Load Projections'!$A$4:$EO$14,((MONTH($A59)-1)*12)+VLOOKUP(U$4,$DE$6:$DF$17,2)+1))*(VLOOKUP($A59,CURVES!$D$9:$K$261,3))*(INDEX(DailyScalarsTable,U$5/100,MONTH($A59)))*$B59</f>
        <v>-157699.2414027006</v>
      </c>
      <c r="V59" s="1021">
        <f>(VLOOKUP(YEAR($A59),'NY East Load Projections'!$A$4:$EO$14,((MONTH($A59)-1)*12)+VLOOKUP(V$4,$DE$6:$DF$17,2)+1))*(VLOOKUP($A59,CURVES!$D$9:$K$261,3))*(INDEX(DailyScalarsTable,V$5/100,MONTH($A59)))*$B59</f>
        <v>-158912.71253584221</v>
      </c>
      <c r="W59" s="1021">
        <f>(VLOOKUP(YEAR($A59),'NY East Load Projections'!$A$4:$EO$14,((MONTH($A59)-1)*12)+VLOOKUP(W$4,$DE$6:$DF$17,2)+1))*(VLOOKUP($A59,CURVES!$D$9:$K$261,3))*(INDEX(DailyScalarsTable,W$5/100,MONTH($A59)))*$B59</f>
        <v>-159172.74206437249</v>
      </c>
      <c r="X59" s="1021">
        <f>(VLOOKUP(YEAR($A59),'NY East Load Projections'!$A$4:$EO$14,((MONTH($A59)-1)*12)+VLOOKUP(X$4,$DE$6:$DF$17,2)+1))*(VLOOKUP($A59,CURVES!$D$9:$K$261,3))*(INDEX(DailyScalarsTable,X$5/100,MONTH($A59)))*$B59</f>
        <v>-152610.15272338517</v>
      </c>
      <c r="Y59" s="1021">
        <f>(VLOOKUP(YEAR($A59),'NY East Load Projections'!$A$4:$EO$14,((MONTH($A59)-1)*12)+VLOOKUP(Y$4,$DE$6:$DF$17,2)+1))*(VLOOKUP($A59,CURVES!$D$9:$K$261,3))*(INDEX(DailyScalarsTable,Y$5/100,MONTH($A59)))*$B59</f>
        <v>-148079.76880908039</v>
      </c>
      <c r="Z59" s="1021">
        <f>(VLOOKUP(YEAR($A59),'NY East Load Projections'!$A$4:$EO$14,((MONTH($A59)-1)*12)+VLOOKUP(Z$4,$DE$6:$DF$17,2)+1))*(VLOOKUP($A59,CURVES!$D$9:$K$261,3))*(INDEX(DailyScalarsTable,Z$5/100,MONTH($A59)))*$B59</f>
        <v>-126441.87018588475</v>
      </c>
      <c r="AA59" s="1021">
        <f>(VLOOKUP(YEAR($A59),'NY East Load Projections'!$A$4:$EO$14,((MONTH($A59)-1)*12)+VLOOKUP(AA$4,$DE$6:$DF$17,2)+1))*(VLOOKUP($A59,CURVES!$D$9:$K$261,3))*(INDEX(DailyScalarsTable,AA$5/100,MONTH($A59)))*$B59</f>
        <v>-101107.70165426719</v>
      </c>
      <c r="AB59" s="1021">
        <f>(VLOOKUP(YEAR($A59),'NY East Load Projections'!$A$4:$EO$14,((MONTH($A59)-1)*12)+VLOOKUP(AB$4,$DE$6:$DF$17,2)+1))*(VLOOKUP($A59,CURVES!$D$9:$K$261,3))*(INDEX(DailyScalarsTable,AB$5/100,MONTH($A59)))*$B59</f>
        <v>-97056.65870763913</v>
      </c>
      <c r="AC59" s="1021">
        <f>(VLOOKUP(YEAR($A59),'NY East Load Projections'!$A$4:$EO$14,((MONTH($A59)-1)*12)+VLOOKUP(AC$4,$DE$6:$DF$17,2)+1))*(VLOOKUP($A59,CURVES!$D$9:$K$261,3))*(INDEX(DailyScalarsTable,AC$5/100,MONTH($A59)))*$B59</f>
        <v>-98891.460085410828</v>
      </c>
      <c r="AD59" s="1021">
        <f>(VLOOKUP(YEAR($A59),'NY East Load Projections'!$A$4:$EO$14,((MONTH($A59)-1)*12)+VLOOKUP(AD$4,$DE$6:$DF$17,2)+1))*(VLOOKUP($A59,CURVES!$D$9:$K$261,3))*(INDEX(DailyScalarsTable,AD$5/100,MONTH($A59)))*$B59</f>
        <v>-79300.982382588758</v>
      </c>
      <c r="AE59" s="1021">
        <f>(VLOOKUP(YEAR($A59),'NY East Load Projections'!$A$4:$EO$14,((MONTH($A59)-1)*12)+VLOOKUP(AE$4,$DE$6:$DF$17,2)+1))*(VLOOKUP($A59,CURVES!$D$9:$K$261,7))*(INDEX(DailyScalarsTable,AE$5/100,MONTH($A59)))*$B59</f>
        <v>-60295.605562386547</v>
      </c>
      <c r="AF59" s="1021"/>
      <c r="AG59" s="1021">
        <f>(VLOOKUP(YEAR($A59),'NY East Load Projections'!$A$4:$EO$14,((MONTH($A59)-1)*12)+VLOOKUP(AG$4,$DE$6:$DF$17,2)+1))*(VLOOKUP($A59,CURVES!$D$9:$T$261,7))*(INDEX(DailyScalarsTable,AG$5/100,MONTH($A59)))*$C59</f>
        <v>-8729.5906073570914</v>
      </c>
      <c r="AH59" s="1021">
        <f>(VLOOKUP(YEAR($A59),'NY East Load Projections'!$A$4:$EO$14,((MONTH($A59)-1)*12)+VLOOKUP(AH$4,$DE$6:$DF$17,2)+1))*(VLOOKUP($A59,CURVES!$D$9:$T$261,7))*(INDEX(DailyScalarsTable,AH$5/100,MONTH($A59)))*$C59</f>
        <v>-7232.5786526785014</v>
      </c>
      <c r="AI59" s="1021">
        <f>(VLOOKUP(YEAR($A59),'NY East Load Projections'!$A$4:$EO$14,((MONTH($A59)-1)*12)+VLOOKUP(AI$4,$DE$6:$DF$17,2)+1))*(VLOOKUP($A59,CURVES!$D$9:$T$261,7))*(INDEX(DailyScalarsTable,AI$5/100,MONTH($A59)))*$C59</f>
        <v>-6079.6560129558848</v>
      </c>
      <c r="AJ59" s="1021">
        <f>(VLOOKUP(YEAR($A59),'NY East Load Projections'!$A$4:$EO$14,((MONTH($A59)-1)*12)+VLOOKUP(AJ$4,$DE$6:$DF$17,2)+1))*(VLOOKUP($A59,CURVES!$D$9:$T$261,7))*(INDEX(DailyScalarsTable,AJ$5/100,MONTH($A59)))*$C59</f>
        <v>-5643.9585037583856</v>
      </c>
      <c r="AK59" s="1021">
        <f>(VLOOKUP(YEAR($A59),'NY East Load Projections'!$A$4:$EO$14,((MONTH($A59)-1)*12)+VLOOKUP(AK$4,$DE$6:$DF$17,2)+1))*(VLOOKUP($A59,CURVES!$D$9:$T$261,7))*(INDEX(DailyScalarsTable,AK$5/100,MONTH($A59)))*$C59</f>
        <v>-6179.0839330109739</v>
      </c>
      <c r="AL59" s="1021">
        <f>(VLOOKUP(YEAR($A59),'NY East Load Projections'!$A$4:$EO$14,((MONTH($A59)-1)*12)+VLOOKUP(AL$4,$DE$6:$DF$17,2)+1))*(VLOOKUP($A59,CURVES!$D$9:$T$261,7))*(INDEX(DailyScalarsTable,AL$5/100,MONTH($A59)))*$C59</f>
        <v>-7538.9334262976945</v>
      </c>
      <c r="AM59" s="1021">
        <f>(VLOOKUP(YEAR($A59),'NY East Load Projections'!$A$4:$EO$14,((MONTH($A59)-1)*12)+VLOOKUP(AM$4,$DE$6:$DF$17,2)+1))*(VLOOKUP($A59,CURVES!$D$9:$T$261,7))*(INDEX(DailyScalarsTable,AM$5/100,MONTH($A59)))*$C59</f>
        <v>-8643.9520858507512</v>
      </c>
      <c r="AN59" s="1021">
        <f>(VLOOKUP(YEAR($A59),'NY East Load Projections'!$A$4:$EO$14,((MONTH($A59)-1)*12)+VLOOKUP(AN$4,$DE$6:$DF$17,2)+1))*(VLOOKUP($A59,SatSunCurve,3))*(INDEX(DailyScalarsTable,AN$5/100,MONTH($A59)))*$C59</f>
        <v>-6710.6573362690951</v>
      </c>
      <c r="AO59" s="1021">
        <f>(VLOOKUP(YEAR($A59),'NY East Load Projections'!$A$4:$EO$14,((MONTH($A59)-1)*12)+VLOOKUP(AO$4,$DE$6:$DF$17,2)+1))*(VLOOKUP($A59,SatSunCurve,3))*(INDEX(DailyScalarsTable,AO$5/100,MONTH($A59)))*$C59</f>
        <v>-8576.3761820638047</v>
      </c>
      <c r="AP59" s="1021">
        <f>(VLOOKUP(YEAR($A59),'NY East Load Projections'!$A$4:$EO$14,((MONTH($A59)-1)*12)+VLOOKUP(AP$4,$DE$6:$DF$17,2)+1))*(VLOOKUP($A59,SatSunCurve,3))*(INDEX(DailyScalarsTable,AP$5/100,MONTH($A59)))*$C59</f>
        <v>-9592.6128690182504</v>
      </c>
      <c r="AQ59" s="1021">
        <f>(VLOOKUP(YEAR($A59),'NY East Load Projections'!$A$4:$EO$14,((MONTH($A59)-1)*12)+VLOOKUP(AQ$4,$DE$6:$DF$17,2)+1))*(VLOOKUP($A59,SatSunCurve,3))*(INDEX(DailyScalarsTable,AQ$5/100,MONTH($A59)))*$C59</f>
        <v>-11034.285920481736</v>
      </c>
      <c r="AR59" s="1021">
        <f>(VLOOKUP(YEAR($A59),'NY East Load Projections'!$A$4:$EO$14,((MONTH($A59)-1)*12)+VLOOKUP(AR$4,$DE$6:$DF$17,2)+1))*(VLOOKUP($A59,SatSunCurve,3))*(INDEX(DailyScalarsTable,AR$5/100,MONTH($A59)))*$C59</f>
        <v>-11900.191736584939</v>
      </c>
      <c r="AS59" s="1021">
        <f>(VLOOKUP(YEAR($A59),'NY East Load Projections'!$A$4:$EO$14,((MONTH($A59)-1)*12)+VLOOKUP(AS$4,$DE$6:$DF$17,2)+1))*(VLOOKUP($A59,SatSunCurve,3))*(INDEX(DailyScalarsTable,AS$5/100,MONTH($A59)))*$C59</f>
        <v>-12699.243417281612</v>
      </c>
      <c r="AT59" s="1021">
        <f>(VLOOKUP(YEAR($A59),'NY East Load Projections'!$A$4:$EO$14,((MONTH($A59)-1)*12)+VLOOKUP(AT$4,$DE$6:$DF$17,2)+1))*(VLOOKUP($A59,SatSunCurve,3))*(INDEX(DailyScalarsTable,AT$5/100,MONTH($A59)))*$C59</f>
        <v>-14043.887353149868</v>
      </c>
      <c r="AU59" s="1021">
        <f>(VLOOKUP(YEAR($A59),'NY East Load Projections'!$A$4:$EO$14,((MONTH($A59)-1)*12)+VLOOKUP(AU$4,$DE$6:$DF$17,2)+1))*(VLOOKUP($A59,SatSunCurve,3))*(INDEX(DailyScalarsTable,AU$5/100,MONTH($A59)))*$C59</f>
        <v>-14151.952881864887</v>
      </c>
      <c r="AV59" s="1021">
        <f>(VLOOKUP(YEAR($A59),'NY East Load Projections'!$A$4:$EO$14,((MONTH($A59)-1)*12)+VLOOKUP(AV$4,$DE$6:$DF$17,2)+1))*(VLOOKUP($A59,SatSunCurve,3))*(INDEX(DailyScalarsTable,AV$5/100,MONTH($A59)))*$C59</f>
        <v>-14175.109780875242</v>
      </c>
      <c r="AW59" s="1021">
        <f>(VLOOKUP(YEAR($A59),'NY East Load Projections'!$A$4:$EO$14,((MONTH($A59)-1)*12)+VLOOKUP(AW$4,$DE$6:$DF$17,2)+1))*(VLOOKUP($A59,SatSunCurve,3))*(INDEX(DailyScalarsTable,AW$5/100,MONTH($A59)))*$C59</f>
        <v>-13728.54678187679</v>
      </c>
      <c r="AX59" s="1021">
        <f>(VLOOKUP(YEAR($A59),'NY East Load Projections'!$A$4:$EO$14,((MONTH($A59)-1)*12)+VLOOKUP(AX$4,$DE$6:$DF$17,2)+1))*(VLOOKUP($A59,SatSunCurve,3))*(INDEX(DailyScalarsTable,AX$5/100,MONTH($A59)))*$C59</f>
        <v>-13321.001239214707</v>
      </c>
      <c r="AY59" s="1021">
        <f>(VLOOKUP(YEAR($A59),'NY East Load Projections'!$A$4:$EO$14,((MONTH($A59)-1)*12)+VLOOKUP(AY$4,$DE$6:$DF$17,2)+1))*(VLOOKUP($A59,SatSunCurve,3))*(INDEX(DailyScalarsTable,AY$5/100,MONTH($A59)))*$C59</f>
        <v>-11374.493105850332</v>
      </c>
      <c r="AZ59" s="1021">
        <f>(VLOOKUP(YEAR($A59),'NY East Load Projections'!$A$4:$EO$14,((MONTH($A59)-1)*12)+VLOOKUP(AZ$4,$DE$6:$DF$17,2)+1))*(VLOOKUP($A59,SatSunCurve,3))*(INDEX(DailyScalarsTable,AZ$5/100,MONTH($A59)))*$C59</f>
        <v>-9095.4748907472222</v>
      </c>
      <c r="BA59" s="1021">
        <f>(VLOOKUP(YEAR($A59),'NY East Load Projections'!$A$4:$EO$14,((MONTH($A59)-1)*12)+VLOOKUP(BA$4,$DE$6:$DF$17,2)+1))*(VLOOKUP($A59,SatSunCurve,3))*(INDEX(DailyScalarsTable,BA$5/100,MONTH($A59)))*$C59</f>
        <v>-9400.5490172614846</v>
      </c>
      <c r="BB59" s="1021">
        <f>(VLOOKUP(YEAR($A59),'NY East Load Projections'!$A$4:$EO$14,((MONTH($A59)-1)*12)+VLOOKUP(BB$4,$DE$6:$DF$17,2)+1))*(VLOOKUP($A59,SatSunCurve,3))*(INDEX(DailyScalarsTable,BB$5/100,MONTH($A59)))*$C59</f>
        <v>-9578.2610930566934</v>
      </c>
      <c r="BC59" s="1021">
        <f>(VLOOKUP(YEAR($A59),'NY East Load Projections'!$A$4:$EO$14,((MONTH($A59)-1)*12)+VLOOKUP(BC$4,$DE$6:$DF$17,2)+1))*(VLOOKUP($A59,SatSunCurve,3))*(INDEX(DailyScalarsTable,BC$5/100,MONTH($A59)))*$C59</f>
        <v>-7680.7998743299031</v>
      </c>
      <c r="BD59" s="1021">
        <f>(VLOOKUP(YEAR($A59),'NY East Load Projections'!$A$4:$EO$14,((MONTH($A59)-1)*12)+VLOOKUP(BD$4,$DE$6:$DF$17,2)+1))*(VLOOKUP($A59,CURVES!$D$9:$T$261,7))*(INDEX(DailyScalarsTable,BD$5/100,MONTH($A59)))*$C59</f>
        <v>-10760.162699096214</v>
      </c>
      <c r="BE59" s="1021"/>
      <c r="BF59" s="1021">
        <f>(VLOOKUP(YEAR($A59),'NY East Load Projections'!$A$4:$EO$14,((MONTH($A59)-1)*12)+VLOOKUP(BF$4,$DE$6:$DF$17,2)+1))*(VLOOKUP($A59,CURVES!$D$9:$T$261,7))*(INDEX(DailyScalarsTable,BF$5/100,MONTH($A59)))*$D59</f>
        <v>-8729.5906073570914</v>
      </c>
      <c r="BG59" s="1021">
        <f>(VLOOKUP(YEAR($A59),'NY East Load Projections'!$A$4:$EO$14,((MONTH($A59)-1)*12)+VLOOKUP(BG$4,$DE$6:$DF$17,2)+1))*(VLOOKUP($A59,CURVES!$D$9:$T$261,7))*(INDEX(DailyScalarsTable,BG$5/100,MONTH($A59)))*$D59</f>
        <v>-7232.5786526785014</v>
      </c>
      <c r="BH59" s="1021">
        <f>(VLOOKUP(YEAR($A59),'NY East Load Projections'!$A$4:$EO$14,((MONTH($A59)-1)*12)+VLOOKUP(BH$4,$DE$6:$DF$17,2)+1))*(VLOOKUP($A59,CURVES!$D$9:$T$261,7))*(INDEX(DailyScalarsTable,BH$5/100,MONTH($A59)))*$D59</f>
        <v>-6079.6560129558848</v>
      </c>
      <c r="BI59" s="1021">
        <f>(VLOOKUP(YEAR($A59),'NY East Load Projections'!$A$4:$EO$14,((MONTH($A59)-1)*12)+VLOOKUP(BI$4,$DE$6:$DF$17,2)+1))*(VLOOKUP($A59,CURVES!$D$9:$T$261,7))*(INDEX(DailyScalarsTable,BI$5/100,MONTH($A59)))*$D59</f>
        <v>-5643.9585037583856</v>
      </c>
      <c r="BJ59" s="1021">
        <f>(VLOOKUP(YEAR($A59),'NY East Load Projections'!$A$4:$EO$14,((MONTH($A59)-1)*12)+VLOOKUP(BJ$4,$DE$6:$DF$17,2)+1))*(VLOOKUP($A59,CURVES!$D$9:$T$261,7))*(INDEX(DailyScalarsTable,BJ$5/100,MONTH($A59)))*$D59</f>
        <v>-6179.0839330109739</v>
      </c>
      <c r="BK59" s="1021">
        <f>(VLOOKUP(YEAR($A59),'NY East Load Projections'!$A$4:$EO$14,((MONTH($A59)-1)*12)+VLOOKUP(BK$4,$DE$6:$DF$17,2)+1))*(VLOOKUP($A59,CURVES!$D$9:$T$261,7))*(INDEX(DailyScalarsTable,BK$5/100,MONTH($A59)))*$D59</f>
        <v>-7538.9334262976945</v>
      </c>
      <c r="BL59" s="1021">
        <f>(VLOOKUP(YEAR($A59),'NY East Load Projections'!$A$4:$EO$14,((MONTH($A59)-1)*12)+VLOOKUP(BL$4,$DE$6:$DF$17,2)+1))*(VLOOKUP($A59,CURVES!$D$9:$T$261,7))*(INDEX(DailyScalarsTable,BL$5/100,MONTH($A59)))*$D59</f>
        <v>-8643.9520858507512</v>
      </c>
      <c r="BM59" s="1021">
        <f>(VLOOKUP(YEAR($A59),'NY East Load Projections'!$A$4:$EO$14,((MONTH($A59)-1)*12)+VLOOKUP(BM$4,$DE$6:$DF$17,2)+1))*(VLOOKUP($A59,SatSunCurve,7))*(INDEX(DailyScalarsTable,BM$5/100,MONTH($A59)))*$D59</f>
        <v>-5057.9592794394275</v>
      </c>
      <c r="BN59" s="1021">
        <f>(VLOOKUP(YEAR($A59),'NY East Load Projections'!$A$4:$EO$14,((MONTH($A59)-1)*12)+VLOOKUP(BN$4,$DE$6:$DF$17,2)+1))*(VLOOKUP($A59,SatSunCurve,7))*(INDEX(DailyScalarsTable,BN$5/100,MONTH($A59)))*$D59</f>
        <v>-6464.1896196342204</v>
      </c>
      <c r="BO59" s="1021">
        <f>(VLOOKUP(YEAR($A59),'NY East Load Projections'!$A$4:$EO$14,((MONTH($A59)-1)*12)+VLOOKUP(BO$4,$DE$6:$DF$17,2)+1))*(VLOOKUP($A59,SatSunCurve,7))*(INDEX(DailyScalarsTable,BO$5/100,MONTH($A59)))*$D59</f>
        <v>-7230.1479338976242</v>
      </c>
      <c r="BP59" s="1021">
        <f>(VLOOKUP(YEAR($A59),'NY East Load Projections'!$A$4:$EO$14,((MONTH($A59)-1)*12)+VLOOKUP(BP$4,$DE$6:$DF$17,2)+1))*(VLOOKUP($A59,SatSunCurve,7))*(INDEX(DailyScalarsTable,BP$5/100,MONTH($A59)))*$D59</f>
        <v>-8316.7663116766271</v>
      </c>
      <c r="BQ59" s="1021">
        <f>(VLOOKUP(YEAR($A59),'NY East Load Projections'!$A$4:$EO$14,((MONTH($A59)-1)*12)+VLOOKUP(BQ$4,$DE$6:$DF$17,2)+1))*(VLOOKUP($A59,SatSunCurve,7))*(INDEX(DailyScalarsTable,BQ$5/100,MONTH($A59)))*$D59</f>
        <v>-8969.4171830016621</v>
      </c>
      <c r="BR59" s="1021">
        <f>(VLOOKUP(YEAR($A59),'NY East Load Projections'!$A$4:$EO$14,((MONTH($A59)-1)*12)+VLOOKUP(BR$4,$DE$6:$DF$17,2)+1))*(VLOOKUP($A59,SatSunCurve,7))*(INDEX(DailyScalarsTable,BR$5/100,MONTH($A59)))*$D59</f>
        <v>-9571.6787291676283</v>
      </c>
      <c r="BS59" s="1021">
        <f>(VLOOKUP(YEAR($A59),'NY East Load Projections'!$A$4:$EO$14,((MONTH($A59)-1)*12)+VLOOKUP(BS$4,$DE$6:$DF$17,2)+1))*(VLOOKUP($A59,SatSunCurve,7))*(INDEX(DailyScalarsTable,BS$5/100,MONTH($A59)))*$D59</f>
        <v>-10585.164283884988</v>
      </c>
      <c r="BT59" s="1021">
        <f>(VLOOKUP(YEAR($A59),'NY East Load Projections'!$A$4:$EO$14,((MONTH($A59)-1)*12)+VLOOKUP(BT$4,$DE$6:$DF$17,2)+1))*(VLOOKUP($A59,SatSunCurve,7))*(INDEX(DailyScalarsTable,BT$5/100,MONTH($A59)))*$D59</f>
        <v>-10666.615476571804</v>
      </c>
      <c r="BU59" s="1021">
        <f>(VLOOKUP(YEAR($A59),'NY East Load Projections'!$A$4:$EO$14,((MONTH($A59)-1)*12)+VLOOKUP(BU$4,$DE$6:$DF$17,2)+1))*(VLOOKUP($A59,SatSunCurve,7))*(INDEX(DailyScalarsTable,BU$5/100,MONTH($A59)))*$D59</f>
        <v>-10684.069303576118</v>
      </c>
      <c r="BV59" s="1021">
        <f>(VLOOKUP(YEAR($A59),'NY East Load Projections'!$A$4:$EO$14,((MONTH($A59)-1)*12)+VLOOKUP(BV$4,$DE$6:$DF$17,2)+1))*(VLOOKUP($A59,SatSunCurve,7))*(INDEX(DailyScalarsTable,BV$5/100,MONTH($A59)))*$D59</f>
        <v>-10347.485664827209</v>
      </c>
      <c r="BW59" s="1021">
        <f>(VLOOKUP(YEAR($A59),'NY East Load Projections'!$A$4:$EO$14,((MONTH($A59)-1)*12)+VLOOKUP(BW$4,$DE$6:$DF$17,2)+1))*(VLOOKUP($A59,SatSunCurve,7))*(INDEX(DailyScalarsTable,BW$5/100,MONTH($A59)))*$D59</f>
        <v>-10040.310278570949</v>
      </c>
      <c r="BX59" s="1021">
        <f>(VLOOKUP(YEAR($A59),'NY East Load Projections'!$A$4:$EO$14,((MONTH($A59)-1)*12)+VLOOKUP(BX$4,$DE$6:$DF$17,2)+1))*(VLOOKUP($A59,SatSunCurve,7))*(INDEX(DailyScalarsTable,BX$5/100,MONTH($A59)))*$D59</f>
        <v>-8573.1874048632653</v>
      </c>
      <c r="BY59" s="1021">
        <f>(VLOOKUP(YEAR($A59),'NY East Load Projections'!$A$4:$EO$14,((MONTH($A59)-1)*12)+VLOOKUP(BY$4,$DE$6:$DF$17,2)+1))*(VLOOKUP($A59,SatSunCurve,7))*(INDEX(DailyScalarsTable,BY$5/100,MONTH($A59)))*$D59</f>
        <v>-6855.444901935678</v>
      </c>
      <c r="BZ59" s="1021">
        <f>(VLOOKUP(YEAR($A59),'NY East Load Projections'!$A$4:$EO$14,((MONTH($A59)-1)*12)+VLOOKUP(BZ$4,$DE$6:$DF$17,2)+1))*(VLOOKUP($A59,SatSunCurve,7))*(INDEX(DailyScalarsTable,BZ$5/100,MONTH($A59)))*$D59</f>
        <v>-7085.3854922233022</v>
      </c>
      <c r="CA59" s="1021">
        <f>(VLOOKUP(YEAR($A59),'NY East Load Projections'!$A$4:$EO$14,((MONTH($A59)-1)*12)+VLOOKUP(CA$4,$DE$6:$DF$17,2)+1))*(VLOOKUP($A59,SatSunCurve,7))*(INDEX(DailyScalarsTable,CA$5/100,MONTH($A59)))*$D59</f>
        <v>-7219.330707691056</v>
      </c>
      <c r="CB59" s="1021">
        <f>(VLOOKUP(YEAR($A59),'NY East Load Projections'!$A$4:$EO$14,((MONTH($A59)-1)*12)+VLOOKUP(CB$4,$DE$6:$DF$17,2)+1))*(VLOOKUP($A59,SatSunCurve,7))*(INDEX(DailyScalarsTable,CB$5/100,MONTH($A59)))*$D59</f>
        <v>-5789.1754937204087</v>
      </c>
      <c r="CC59" s="1021">
        <f>(VLOOKUP(YEAR($A59),'NY East Load Projections'!$A$4:$EO$14,((MONTH($A59)-1)*12)+VLOOKUP(CC$4,$DE$6:$DF$17,2)+1))*(VLOOKUP($A59,CURVES!$D$9:$T$261,7))*(INDEX(DailyScalarsTable,CC$5/100,MONTH($A59)))*$D59</f>
        <v>-10760.162699096214</v>
      </c>
      <c r="CE59" s="1021">
        <f>(VLOOKUP(YEAR($A59),'NY East Load Projections'!$A$4:$EO$14,((MONTH($A59)-1)*12)+VLOOKUP(CE$4,$DE$6:$DF$17,2)+1))*(VLOOKUP($A59,CURVES!$D$9:$T$261,7))*(INDEX(DailyScalarsTable,CE$5/100,MONTH($A59)))*$E59</f>
        <v>0</v>
      </c>
      <c r="CF59" s="1021">
        <f>(VLOOKUP(YEAR($A59),'NY East Load Projections'!$A$4:$EO$14,((MONTH($A59)-1)*12)+VLOOKUP(CF$4,$DE$6:$DF$17,2)+1))*(VLOOKUP($A59,CURVES!$D$9:$T$261,7))*(INDEX(DailyScalarsTable,CF$5/100,MONTH($A59)))*$E59</f>
        <v>0</v>
      </c>
      <c r="CG59" s="1021">
        <f>(VLOOKUP(YEAR($A59),'NY East Load Projections'!$A$4:$EO$14,((MONTH($A59)-1)*12)+VLOOKUP(CG$4,$DE$6:$DF$17,2)+1))*(VLOOKUP($A59,CURVES!$D$9:$T$261,7))*(INDEX(DailyScalarsTable,CG$5/100,MONTH($A59)))*$E59</f>
        <v>0</v>
      </c>
      <c r="CH59" s="1021">
        <f>(VLOOKUP(YEAR($A59),'NY East Load Projections'!$A$4:$EO$14,((MONTH($A59)-1)*12)+VLOOKUP(CH$4,$DE$6:$DF$17,2)+1))*(VLOOKUP($A59,CURVES!$D$9:$T$261,7))*(INDEX(DailyScalarsTable,CH$5/100,MONTH($A59)))*$E59</f>
        <v>0</v>
      </c>
      <c r="CI59" s="1021">
        <f>(VLOOKUP(YEAR($A59),'NY East Load Projections'!$A$4:$EO$14,((MONTH($A59)-1)*12)+VLOOKUP(CI$4,$DE$6:$DF$17,2)+1))*(VLOOKUP($A59,CURVES!$D$9:$T$261,7))*(INDEX(DailyScalarsTable,CI$5/100,MONTH($A59)))*$E59</f>
        <v>0</v>
      </c>
      <c r="CJ59" s="1021">
        <f>(VLOOKUP(YEAR($A59),'NY East Load Projections'!$A$4:$EO$14,((MONTH($A59)-1)*12)+VLOOKUP(CJ$4,$DE$6:$DF$17,2)+1))*(VLOOKUP($A59,CURVES!$D$9:$T$261,7))*(INDEX(DailyScalarsTable,CJ$5/100,MONTH($A59)))*$E59</f>
        <v>0</v>
      </c>
      <c r="CK59" s="1021">
        <f>(VLOOKUP(YEAR($A59),'NY East Load Projections'!$A$4:$EO$14,((MONTH($A59)-1)*12)+VLOOKUP(CK$4,$DE$6:$DF$17,2)+1))*(VLOOKUP($A59,CURVES!$D$9:$T$261,7))*(INDEX(DailyScalarsTable,CK$5/100,MONTH($A59)))*$E59</f>
        <v>0</v>
      </c>
      <c r="CL59" s="1021">
        <f>(VLOOKUP(YEAR($A59),'NY East Load Projections'!$A$4:$EO$14,((MONTH($A59)-1)*12)+VLOOKUP(CL$4,$DE$6:$DF$17,2)+1))*(VLOOKUP($A59,SatSunCurve,7))*(INDEX(DailyScalarsTable,CL$5/100,MONTH($A59)))*$E59</f>
        <v>0</v>
      </c>
      <c r="CM59" s="1021">
        <f>(VLOOKUP(YEAR($A59),'NY East Load Projections'!$A$4:$EO$14,((MONTH($A59)-1)*12)+VLOOKUP(CM$4,$DE$6:$DF$17,2)+1))*(VLOOKUP($A59,SatSunCurve,7))*(INDEX(DailyScalarsTable,CM$5/100,MONTH($A59)))*$E59</f>
        <v>0</v>
      </c>
      <c r="CN59" s="1021">
        <f>(VLOOKUP(YEAR($A59),'NY East Load Projections'!$A$4:$EO$14,((MONTH($A59)-1)*12)+VLOOKUP(CN$4,$DE$6:$DF$17,2)+1))*(VLOOKUP($A59,SatSunCurve,7))*(INDEX(DailyScalarsTable,CN$5/100,MONTH($A59)))*$E59</f>
        <v>0</v>
      </c>
      <c r="CO59" s="1021">
        <f>(VLOOKUP(YEAR($A59),'NY East Load Projections'!$A$4:$EO$14,((MONTH($A59)-1)*12)+VLOOKUP(CO$4,$DE$6:$DF$17,2)+1))*(VLOOKUP($A59,SatSunCurve,7))*(INDEX(DailyScalarsTable,CO$5/100,MONTH($A59)))*$E59</f>
        <v>0</v>
      </c>
      <c r="CP59" s="1021">
        <f>(VLOOKUP(YEAR($A59),'NY East Load Projections'!$A$4:$EO$14,((MONTH($A59)-1)*12)+VLOOKUP(CP$4,$DE$6:$DF$17,2)+1))*(VLOOKUP($A59,SatSunCurve,7))*(INDEX(DailyScalarsTable,CP$5/100,MONTH($A59)))*$E59</f>
        <v>0</v>
      </c>
      <c r="CQ59" s="1021">
        <f>(VLOOKUP(YEAR($A59),'NY East Load Projections'!$A$4:$EO$14,((MONTH($A59)-1)*12)+VLOOKUP(CQ$4,$DE$6:$DF$17,2)+1))*(VLOOKUP($A59,SatSunCurve,7))*(INDEX(DailyScalarsTable,CQ$5/100,MONTH($A59)))*$E59</f>
        <v>0</v>
      </c>
      <c r="CR59" s="1021">
        <f>(VLOOKUP(YEAR($A59),'NY East Load Projections'!$A$4:$EO$14,((MONTH($A59)-1)*12)+VLOOKUP(CR$4,$DE$6:$DF$17,2)+1))*(VLOOKUP($A59,SatSunCurve,7))*(INDEX(DailyScalarsTable,CR$5/100,MONTH($A59)))*$E59</f>
        <v>0</v>
      </c>
      <c r="CS59" s="1021">
        <f>(VLOOKUP(YEAR($A59),'NY East Load Projections'!$A$4:$EO$14,((MONTH($A59)-1)*12)+VLOOKUP(CS$4,$DE$6:$DF$17,2)+1))*(VLOOKUP($A59,SatSunCurve,7))*(INDEX(DailyScalarsTable,CS$5/100,MONTH($A59)))*$E59</f>
        <v>0</v>
      </c>
      <c r="CT59" s="1021">
        <f>(VLOOKUP(YEAR($A59),'NY East Load Projections'!$A$4:$EO$14,((MONTH($A59)-1)*12)+VLOOKUP(CT$4,$DE$6:$DF$17,2)+1))*(VLOOKUP($A59,SatSunCurve,7))*(INDEX(DailyScalarsTable,CT$5/100,MONTH($A59)))*$E59</f>
        <v>0</v>
      </c>
      <c r="CU59" s="1021">
        <f>(VLOOKUP(YEAR($A59),'NY East Load Projections'!$A$4:$EO$14,((MONTH($A59)-1)*12)+VLOOKUP(CU$4,$DE$6:$DF$17,2)+1))*(VLOOKUP($A59,SatSunCurve,7))*(INDEX(DailyScalarsTable,CU$5/100,MONTH($A59)))*$E59</f>
        <v>0</v>
      </c>
      <c r="CV59" s="1021">
        <f>(VLOOKUP(YEAR($A59),'NY East Load Projections'!$A$4:$EO$14,((MONTH($A59)-1)*12)+VLOOKUP(CV$4,$DE$6:$DF$17,2)+1))*(VLOOKUP($A59,SatSunCurve,7))*(INDEX(DailyScalarsTable,CV$5/100,MONTH($A59)))*$E59</f>
        <v>0</v>
      </c>
      <c r="CW59" s="1021">
        <f>(VLOOKUP(YEAR($A59),'NY East Load Projections'!$A$4:$EO$14,((MONTH($A59)-1)*12)+VLOOKUP(CW$4,$DE$6:$DF$17,2)+1))*(VLOOKUP($A59,SatSunCurve,7))*(INDEX(DailyScalarsTable,CW$5/100,MONTH($A59)))*$E59</f>
        <v>0</v>
      </c>
      <c r="CX59" s="1021">
        <f>(VLOOKUP(YEAR($A59),'NY East Load Projections'!$A$4:$EO$14,((MONTH($A59)-1)*12)+VLOOKUP(CX$4,$DE$6:$DF$17,2)+1))*(VLOOKUP($A59,SatSunCurve,7))*(INDEX(DailyScalarsTable,CX$5/100,MONTH($A59)))*$E59</f>
        <v>0</v>
      </c>
      <c r="CY59" s="1021">
        <f>(VLOOKUP(YEAR($A59),'NY East Load Projections'!$A$4:$EO$14,((MONTH($A59)-1)*12)+VLOOKUP(CY$4,$DE$6:$DF$17,2)+1))*(VLOOKUP($A59,SatSunCurve,7))*(INDEX(DailyScalarsTable,CY$5/100,MONTH($A59)))*$E59</f>
        <v>0</v>
      </c>
      <c r="CZ59" s="1021">
        <f>(VLOOKUP(YEAR($A59),'NY East Load Projections'!$A$4:$EO$14,((MONTH($A59)-1)*12)+VLOOKUP(CZ$4,$DE$6:$DF$17,2)+1))*(VLOOKUP($A59,SatSunCurve,7))*(INDEX(DailyScalarsTable,CZ$5/100,MONTH($A59)))*$E59</f>
        <v>0</v>
      </c>
      <c r="DA59" s="1021">
        <f>(VLOOKUP(YEAR($A59),'NY East Load Projections'!$A$4:$EO$14,((MONTH($A59)-1)*12)+VLOOKUP(DA$4,$DE$6:$DF$17,2)+1))*(VLOOKUP($A59,SatSunCurve,7))*(INDEX(DailyScalarsTable,DA$5/100,MONTH($A59)))*$E59</f>
        <v>0</v>
      </c>
      <c r="DB59" s="1021">
        <f>(VLOOKUP(YEAR($A59),'NY East Load Projections'!$A$4:$EO$14,((MONTH($A59)-1)*12)+VLOOKUP(DB$4,$DE$6:$DF$17,2)+1))*(VLOOKUP($A59,CURVES!$D$9:$T$261,7))*(INDEX(DailyScalarsTable,DB$5/100,MONTH($A59)))*$E59</f>
        <v>0</v>
      </c>
      <c r="DH59" s="1032">
        <f t="shared" si="0"/>
        <v>-2730042.5201544189</v>
      </c>
      <c r="DI59">
        <f ca="1">CALC!J79</f>
        <v>0.67928709125806674</v>
      </c>
      <c r="DJ59" s="1029">
        <f t="shared" ca="1" si="1"/>
        <v>-1854482.6425265372</v>
      </c>
    </row>
    <row r="60" spans="1:114" x14ac:dyDescent="0.25">
      <c r="A60" s="244">
        <v>38534</v>
      </c>
      <c r="B60" s="13">
        <v>20</v>
      </c>
      <c r="C60" s="210">
        <v>5</v>
      </c>
      <c r="D60" s="210">
        <v>5</v>
      </c>
      <c r="E60" s="210">
        <v>1</v>
      </c>
      <c r="F60" s="13">
        <v>31</v>
      </c>
      <c r="H60" s="1021">
        <f>(VLOOKUP(YEAR($A60),'NY East Load Projections'!$A$4:$EO$14,((MONTH($A60)-1)*12)+VLOOKUP(H$4,$DE$6:$DF$17,2)+1))*(VLOOKUP($A60,CURVES!$D$9:$K$261,7))*(INDEX(DailyScalarsTable,H$5/100,MONTH($A60)))*$B60</f>
        <v>-52366.348388642618</v>
      </c>
      <c r="I60" s="1021">
        <f>(VLOOKUP(YEAR($A60),'NY East Load Projections'!$A$4:$EO$14,((MONTH($A60)-1)*12)+VLOOKUP(I$4,$DE$6:$DF$17,2)+1))*(VLOOKUP($A60,CURVES!$D$9:$K$261,7))*(INDEX(DailyScalarsTable,I$5/100,MONTH($A60)))*$B60</f>
        <v>-47833.172587403111</v>
      </c>
      <c r="J60" s="1021">
        <f>(VLOOKUP(YEAR($A60),'NY East Load Projections'!$A$4:$EO$14,((MONTH($A60)-1)*12)+VLOOKUP(J$4,$DE$6:$DF$17,2)+1))*(VLOOKUP($A60,CURVES!$D$9:$K$261,7))*(INDEX(DailyScalarsTable,J$5/100,MONTH($A60)))*$B60</f>
        <v>-45576.794542191579</v>
      </c>
      <c r="K60" s="1021">
        <f>(VLOOKUP(YEAR($A60),'NY East Load Projections'!$A$4:$EO$14,((MONTH($A60)-1)*12)+VLOOKUP(K$4,$DE$6:$DF$17,2)+1))*(VLOOKUP($A60,CURVES!$D$9:$K$261,7))*(INDEX(DailyScalarsTable,K$5/100,MONTH($A60)))*$B60</f>
        <v>-41043.618740952086</v>
      </c>
      <c r="L60" s="1021">
        <f>(VLOOKUP(YEAR($A60),'NY East Load Projections'!$A$4:$EO$14,((MONTH($A60)-1)*12)+VLOOKUP(L$4,$DE$6:$DF$17,2)+1))*(VLOOKUP($A60,CURVES!$D$9:$K$261,7))*(INDEX(DailyScalarsTable,L$5/100,MONTH($A60)))*$B60</f>
        <v>-42656.092273958311</v>
      </c>
      <c r="M60" s="1021">
        <f>(VLOOKUP(YEAR($A60),'NY East Load Projections'!$A$4:$EO$14,((MONTH($A60)-1)*12)+VLOOKUP(M$4,$DE$6:$DF$17,2)+1))*(VLOOKUP($A60,CURVES!$D$9:$K$261,7))*(INDEX(DailyScalarsTable,M$5/100,MONTH($A60)))*$B60</f>
        <v>-47026.776781064611</v>
      </c>
      <c r="N60" s="1021">
        <f>(VLOOKUP(YEAR($A60),'NY East Load Projections'!$A$4:$EO$14,((MONTH($A60)-1)*12)+VLOOKUP(N$4,$DE$6:$DF$17,2)+1))*(VLOOKUP($A60,CURVES!$D$9:$K$261,7))*(INDEX(DailyScalarsTable,N$5/100,MONTH($A60)))*$B60</f>
        <v>-52224.64966035985</v>
      </c>
      <c r="O60" s="1021">
        <f>(VLOOKUP(YEAR($A60),'NY East Load Projections'!$A$4:$EO$14,((MONTH($A60)-1)*12)+VLOOKUP(O$4,$DE$6:$DF$17,2)+1))*(VLOOKUP($A60,CURVES!$D$9:$K$261,3))*(INDEX(DailyScalarsTable,O$5/100,MONTH($A60)))*$B60</f>
        <v>-87103.830793727553</v>
      </c>
      <c r="P60" s="1021">
        <f>(VLOOKUP(YEAR($A60),'NY East Load Projections'!$A$4:$EO$14,((MONTH($A60)-1)*12)+VLOOKUP(P$4,$DE$6:$DF$17,2)+1))*(VLOOKUP($A60,CURVES!$D$9:$K$261,3))*(INDEX(DailyScalarsTable,P$5/100,MONTH($A60)))*$B60</f>
        <v>-108399.32987300098</v>
      </c>
      <c r="Q60" s="1021">
        <f>(VLOOKUP(YEAR($A60),'NY East Load Projections'!$A$4:$EO$14,((MONTH($A60)-1)*12)+VLOOKUP(Q$4,$DE$6:$DF$17,2)+1))*(VLOOKUP($A60,CURVES!$D$9:$K$261,3))*(INDEX(DailyScalarsTable,Q$5/100,MONTH($A60)))*$B60</f>
        <v>-129783.71362200947</v>
      </c>
      <c r="R60" s="1021">
        <f>(VLOOKUP(YEAR($A60),'NY East Load Projections'!$A$4:$EO$14,((MONTH($A60)-1)*12)+VLOOKUP(R$4,$DE$6:$DF$17,2)+1))*(VLOOKUP($A60,CURVES!$D$9:$K$261,3))*(INDEX(DailyScalarsTable,R$5/100,MONTH($A60)))*$B60</f>
        <v>-147680.18862563124</v>
      </c>
      <c r="S60" s="1021">
        <f>(VLOOKUP(YEAR($A60),'NY East Load Projections'!$A$4:$EO$14,((MONTH($A60)-1)*12)+VLOOKUP(S$4,$DE$6:$DF$17,2)+1))*(VLOOKUP($A60,CURVES!$D$9:$K$261,3))*(INDEX(DailyScalarsTable,S$5/100,MONTH($A60)))*$B60</f>
        <v>-176558.24531232653</v>
      </c>
      <c r="T60" s="1021">
        <f>(VLOOKUP(YEAR($A60),'NY East Load Projections'!$A$4:$EO$14,((MONTH($A60)-1)*12)+VLOOKUP(T$4,$DE$6:$DF$17,2)+1))*(VLOOKUP($A60,CURVES!$D$9:$K$261,3))*(INDEX(DailyScalarsTable,T$5/100,MONTH($A60)))*$B60</f>
        <v>-198325.51106591112</v>
      </c>
      <c r="U60" s="1021">
        <f>(VLOOKUP(YEAR($A60),'NY East Load Projections'!$A$4:$EO$14,((MONTH($A60)-1)*12)+VLOOKUP(U$4,$DE$6:$DF$17,2)+1))*(VLOOKUP($A60,CURVES!$D$9:$K$261,3))*(INDEX(DailyScalarsTable,U$5/100,MONTH($A60)))*$B60</f>
        <v>-205000.52435319519</v>
      </c>
      <c r="V60" s="1021">
        <f>(VLOOKUP(YEAR($A60),'NY East Load Projections'!$A$4:$EO$14,((MONTH($A60)-1)*12)+VLOOKUP(V$4,$DE$6:$DF$17,2)+1))*(VLOOKUP($A60,CURVES!$D$9:$K$261,3))*(INDEX(DailyScalarsTable,V$5/100,MONTH($A60)))*$B60</f>
        <v>-213538.33204623297</v>
      </c>
      <c r="W60" s="1021">
        <f>(VLOOKUP(YEAR($A60),'NY East Load Projections'!$A$4:$EO$14,((MONTH($A60)-1)*12)+VLOOKUP(W$4,$DE$6:$DF$17,2)+1))*(VLOOKUP($A60,CURVES!$D$9:$K$261,3))*(INDEX(DailyScalarsTable,W$5/100,MONTH($A60)))*$B60</f>
        <v>-226624.46274665277</v>
      </c>
      <c r="X60" s="1021">
        <f>(VLOOKUP(YEAR($A60),'NY East Load Projections'!$A$4:$EO$14,((MONTH($A60)-1)*12)+VLOOKUP(X$4,$DE$6:$DF$17,2)+1))*(VLOOKUP($A60,CURVES!$D$9:$K$261,3))*(INDEX(DailyScalarsTable,X$5/100,MONTH($A60)))*$B60</f>
        <v>-219068.26856472879</v>
      </c>
      <c r="Y60" s="1021">
        <f>(VLOOKUP(YEAR($A60),'NY East Load Projections'!$A$4:$EO$14,((MONTH($A60)-1)*12)+VLOOKUP(Y$4,$DE$6:$DF$17,2)+1))*(VLOOKUP($A60,CURVES!$D$9:$K$261,3))*(INDEX(DailyScalarsTable,Y$5/100,MONTH($A60)))*$B60</f>
        <v>-213639.74186401122</v>
      </c>
      <c r="Z60" s="1021">
        <f>(VLOOKUP(YEAR($A60),'NY East Load Projections'!$A$4:$EO$14,((MONTH($A60)-1)*12)+VLOOKUP(Z$4,$DE$6:$DF$17,2)+1))*(VLOOKUP($A60,CURVES!$D$9:$K$261,3))*(INDEX(DailyScalarsTable,Z$5/100,MONTH($A60)))*$B60</f>
        <v>-178435.23130895139</v>
      </c>
      <c r="AA60" s="1021">
        <f>(VLOOKUP(YEAR($A60),'NY East Load Projections'!$A$4:$EO$14,((MONTH($A60)-1)*12)+VLOOKUP(AA$4,$DE$6:$DF$17,2)+1))*(VLOOKUP($A60,CURVES!$D$9:$K$261,3))*(INDEX(DailyScalarsTable,AA$5/100,MONTH($A60)))*$B60</f>
        <v>-132035.30389956624</v>
      </c>
      <c r="AB60" s="1021">
        <f>(VLOOKUP(YEAR($A60),'NY East Load Projections'!$A$4:$EO$14,((MONTH($A60)-1)*12)+VLOOKUP(AB$4,$DE$6:$DF$17,2)+1))*(VLOOKUP($A60,CURVES!$D$9:$K$261,3))*(INDEX(DailyScalarsTable,AB$5/100,MONTH($A60)))*$B60</f>
        <v>-129143.89112132706</v>
      </c>
      <c r="AC60" s="1021">
        <f>(VLOOKUP(YEAR($A60),'NY East Load Projections'!$A$4:$EO$14,((MONTH($A60)-1)*12)+VLOOKUP(AC$4,$DE$6:$DF$17,2)+1))*(VLOOKUP($A60,CURVES!$D$9:$K$261,3))*(INDEX(DailyScalarsTable,AC$5/100,MONTH($A60)))*$B60</f>
        <v>-136845.43071474158</v>
      </c>
      <c r="AD60" s="1021">
        <f>(VLOOKUP(YEAR($A60),'NY East Load Projections'!$A$4:$EO$14,((MONTH($A60)-1)*12)+VLOOKUP(AD$4,$DE$6:$DF$17,2)+1))*(VLOOKUP($A60,CURVES!$D$9:$K$261,3))*(INDEX(DailyScalarsTable,AD$5/100,MONTH($A60)))*$B60</f>
        <v>-95033.355962656817</v>
      </c>
      <c r="AE60" s="1021">
        <f>(VLOOKUP(YEAR($A60),'NY East Load Projections'!$A$4:$EO$14,((MONTH($A60)-1)*12)+VLOOKUP(AE$4,$DE$6:$DF$17,2)+1))*(VLOOKUP($A60,CURVES!$D$9:$K$261,7))*(INDEX(DailyScalarsTable,AE$5/100,MONTH($A60)))*$B60</f>
        <v>-62469.623822099413</v>
      </c>
      <c r="AF60" s="1021"/>
      <c r="AG60" s="1021">
        <f>(VLOOKUP(YEAR($A60),'NY East Load Projections'!$A$4:$EO$14,((MONTH($A60)-1)*12)+VLOOKUP(AG$4,$DE$6:$DF$17,2)+1))*(VLOOKUP($A60,CURVES!$D$9:$T$261,7))*(INDEX(DailyScalarsTable,AG$5/100,MONTH($A60)))*$C60</f>
        <v>-12541.81642426586</v>
      </c>
      <c r="AH60" s="1021">
        <f>(VLOOKUP(YEAR($A60),'NY East Load Projections'!$A$4:$EO$14,((MONTH($A60)-1)*12)+VLOOKUP(AH$4,$DE$6:$DF$17,2)+1))*(VLOOKUP($A60,CURVES!$D$9:$T$261,7))*(INDEX(DailyScalarsTable,AH$5/100,MONTH($A60)))*$C60</f>
        <v>-11456.114242091155</v>
      </c>
      <c r="AI60" s="1021">
        <f>(VLOOKUP(YEAR($A60),'NY East Load Projections'!$A$4:$EO$14,((MONTH($A60)-1)*12)+VLOOKUP(AI$4,$DE$6:$DF$17,2)+1))*(VLOOKUP($A60,CURVES!$D$9:$T$261,7))*(INDEX(DailyScalarsTable,AI$5/100,MONTH($A60)))*$C60</f>
        <v>-10915.708426188885</v>
      </c>
      <c r="AJ60" s="1021">
        <f>(VLOOKUP(YEAR($A60),'NY East Load Projections'!$A$4:$EO$14,((MONTH($A60)-1)*12)+VLOOKUP(AJ$4,$DE$6:$DF$17,2)+1))*(VLOOKUP($A60,CURVES!$D$9:$T$261,7))*(INDEX(DailyScalarsTable,AJ$5/100,MONTH($A60)))*$C60</f>
        <v>-9830.006244014181</v>
      </c>
      <c r="AK60" s="1021">
        <f>(VLOOKUP(YEAR($A60),'NY East Load Projections'!$A$4:$EO$14,((MONTH($A60)-1)*12)+VLOOKUP(AK$4,$DE$6:$DF$17,2)+1))*(VLOOKUP($A60,CURVES!$D$9:$T$261,7))*(INDEX(DailyScalarsTable,AK$5/100,MONTH($A60)))*$C60</f>
        <v>-9459.5876310717977</v>
      </c>
      <c r="AL60" s="1021">
        <f>(VLOOKUP(YEAR($A60),'NY East Load Projections'!$A$4:$EO$14,((MONTH($A60)-1)*12)+VLOOKUP(AL$4,$DE$6:$DF$17,2)+1))*(VLOOKUP($A60,CURVES!$D$9:$T$261,7))*(INDEX(DailyScalarsTable,AL$5/100,MONTH($A60)))*$C60</f>
        <v>-10428.848313395976</v>
      </c>
      <c r="AM60" s="1021">
        <f>(VLOOKUP(YEAR($A60),'NY East Load Projections'!$A$4:$EO$14,((MONTH($A60)-1)*12)+VLOOKUP(AM$4,$DE$6:$DF$17,2)+1))*(VLOOKUP($A60,CURVES!$D$9:$T$261,7))*(INDEX(DailyScalarsTable,AM$5/100,MONTH($A60)))*$C60</f>
        <v>-11581.549636364633</v>
      </c>
      <c r="AN60" s="1021">
        <f>(VLOOKUP(YEAR($A60),'NY East Load Projections'!$A$4:$EO$14,((MONTH($A60)-1)*12)+VLOOKUP(AN$4,$DE$6:$DF$17,2)+1))*(VLOOKUP($A60,SatSunCurve,3))*(INDEX(DailyScalarsTable,AN$5/100,MONTH($A60)))*$C60</f>
        <v>-11023.25822743899</v>
      </c>
      <c r="AO60" s="1021">
        <f>(VLOOKUP(YEAR($A60),'NY East Load Projections'!$A$4:$EO$14,((MONTH($A60)-1)*12)+VLOOKUP(AO$4,$DE$6:$DF$17,2)+1))*(VLOOKUP($A60,SatSunCurve,3))*(INDEX(DailyScalarsTable,AO$5/100,MONTH($A60)))*$C60</f>
        <v>-13330.083060941715</v>
      </c>
      <c r="AP60" s="1021">
        <f>(VLOOKUP(YEAR($A60),'NY East Load Projections'!$A$4:$EO$14,((MONTH($A60)-1)*12)+VLOOKUP(AP$4,$DE$6:$DF$17,2)+1))*(VLOOKUP($A60,SatSunCurve,3))*(INDEX(DailyScalarsTable,AP$5/100,MONTH($A60)))*$C60</f>
        <v>-15959.763631064263</v>
      </c>
      <c r="AQ60" s="1021">
        <f>(VLOOKUP(YEAR($A60),'NY East Load Projections'!$A$4:$EO$14,((MONTH($A60)-1)*12)+VLOOKUP(AQ$4,$DE$6:$DF$17,2)+1))*(VLOOKUP($A60,SatSunCurve,3))*(INDEX(DailyScalarsTable,AQ$5/100,MONTH($A60)))*$C60</f>
        <v>-18160.529065461695</v>
      </c>
      <c r="AR60" s="1021">
        <f>(VLOOKUP(YEAR($A60),'NY East Load Projections'!$A$4:$EO$14,((MONTH($A60)-1)*12)+VLOOKUP(AR$4,$DE$6:$DF$17,2)+1))*(VLOOKUP($A60,SatSunCurve,3))*(INDEX(DailyScalarsTable,AR$5/100,MONTH($A60)))*$C60</f>
        <v>-21711.721630242577</v>
      </c>
      <c r="AS60" s="1021">
        <f>(VLOOKUP(YEAR($A60),'NY East Load Projections'!$A$4:$EO$14,((MONTH($A60)-1)*12)+VLOOKUP(AS$4,$DE$6:$DF$17,2)+1))*(VLOOKUP($A60,SatSunCurve,3))*(INDEX(DailyScalarsTable,AS$5/100,MONTH($A60)))*$C60</f>
        <v>-24669.131655880403</v>
      </c>
      <c r="AT60" s="1021">
        <f>(VLOOKUP(YEAR($A60),'NY East Load Projections'!$A$4:$EO$14,((MONTH($A60)-1)*12)+VLOOKUP(AT$4,$DE$6:$DF$17,2)+1))*(VLOOKUP($A60,SatSunCurve,3))*(INDEX(DailyScalarsTable,AT$5/100,MONTH($A60)))*$C60</f>
        <v>-25499.417082620268</v>
      </c>
      <c r="AU60" s="1021">
        <f>(VLOOKUP(YEAR($A60),'NY East Load Projections'!$A$4:$EO$14,((MONTH($A60)-1)*12)+VLOOKUP(AU$4,$DE$6:$DF$17,2)+1))*(VLOOKUP($A60,SatSunCurve,3))*(INDEX(DailyScalarsTable,AU$5/100,MONTH($A60)))*$C60</f>
        <v>-26561.410070310794</v>
      </c>
      <c r="AV60" s="1021">
        <f>(VLOOKUP(YEAR($A60),'NY East Load Projections'!$A$4:$EO$14,((MONTH($A60)-1)*12)+VLOOKUP(AV$4,$DE$6:$DF$17,2)+1))*(VLOOKUP($A60,SatSunCurve,3))*(INDEX(DailyScalarsTable,AV$5/100,MONTH($A60)))*$C60</f>
        <v>-28189.155685989193</v>
      </c>
      <c r="AW60" s="1021">
        <f>(VLOOKUP(YEAR($A60),'NY East Load Projections'!$A$4:$EO$14,((MONTH($A60)-1)*12)+VLOOKUP(AW$4,$DE$6:$DF$17,2)+1))*(VLOOKUP($A60,SatSunCurve,3))*(INDEX(DailyScalarsTable,AW$5/100,MONTH($A60)))*$C60</f>
        <v>-27328.808946088458</v>
      </c>
      <c r="AX60" s="1021">
        <f>(VLOOKUP(YEAR($A60),'NY East Load Projections'!$A$4:$EO$14,((MONTH($A60)-1)*12)+VLOOKUP(AX$4,$DE$6:$DF$17,2)+1))*(VLOOKUP($A60,SatSunCurve,3))*(INDEX(DailyScalarsTable,AX$5/100,MONTH($A60)))*$C60</f>
        <v>-26651.599188442451</v>
      </c>
      <c r="AY60" s="1021">
        <f>(VLOOKUP(YEAR($A60),'NY East Load Projections'!$A$4:$EO$14,((MONTH($A60)-1)*12)+VLOOKUP(AY$4,$DE$6:$DF$17,2)+1))*(VLOOKUP($A60,SatSunCurve,3))*(INDEX(DailyScalarsTable,AY$5/100,MONTH($A60)))*$C60</f>
        <v>-22259.829676120262</v>
      </c>
      <c r="AZ60" s="1021">
        <f>(VLOOKUP(YEAR($A60),'NY East Load Projections'!$A$4:$EO$14,((MONTH($A60)-1)*12)+VLOOKUP(AZ$4,$DE$6:$DF$17,2)+1))*(VLOOKUP($A60,SatSunCurve,3))*(INDEX(DailyScalarsTable,AZ$5/100,MONTH($A60)))*$C60</f>
        <v>-16471.429742202934</v>
      </c>
      <c r="BA60" s="1021">
        <f>(VLOOKUP(YEAR($A60),'NY East Load Projections'!$A$4:$EO$14,((MONTH($A60)-1)*12)+VLOOKUP(BA$4,$DE$6:$DF$17,2)+1))*(VLOOKUP($A60,SatSunCurve,3))*(INDEX(DailyScalarsTable,BA$5/100,MONTH($A60)))*$C60</f>
        <v>-17306.66976513718</v>
      </c>
      <c r="BB60" s="1021">
        <f>(VLOOKUP(YEAR($A60),'NY East Load Projections'!$A$4:$EO$14,((MONTH($A60)-1)*12)+VLOOKUP(BB$4,$DE$6:$DF$17,2)+1))*(VLOOKUP($A60,SatSunCurve,3))*(INDEX(DailyScalarsTable,BB$5/100,MONTH($A60)))*$C60</f>
        <v>-18338.758865667172</v>
      </c>
      <c r="BC60" s="1021">
        <f>(VLOOKUP(YEAR($A60),'NY East Load Projections'!$A$4:$EO$14,((MONTH($A60)-1)*12)+VLOOKUP(BC$4,$DE$6:$DF$17,2)+1))*(VLOOKUP($A60,SatSunCurve,3))*(INDEX(DailyScalarsTable,BC$5/100,MONTH($A60)))*$C60</f>
        <v>-12735.491350289827</v>
      </c>
      <c r="BD60" s="1021">
        <f>(VLOOKUP(YEAR($A60),'NY East Load Projections'!$A$4:$EO$14,((MONTH($A60)-1)*12)+VLOOKUP(BD$4,$DE$6:$DF$17,2)+1))*(VLOOKUP($A60,CURVES!$D$9:$T$261,7))*(INDEX(DailyScalarsTable,BD$5/100,MONTH($A60)))*$C60</f>
        <v>-14669.892853599111</v>
      </c>
      <c r="BE60" s="1021"/>
      <c r="BF60" s="1021">
        <f>(VLOOKUP(YEAR($A60),'NY East Load Projections'!$A$4:$EO$14,((MONTH($A60)-1)*12)+VLOOKUP(BF$4,$DE$6:$DF$17,2)+1))*(VLOOKUP($A60,CURVES!$D$9:$T$261,7))*(INDEX(DailyScalarsTable,BF$5/100,MONTH($A60)))*$D60</f>
        <v>-12541.81642426586</v>
      </c>
      <c r="BG60" s="1021">
        <f>(VLOOKUP(YEAR($A60),'NY East Load Projections'!$A$4:$EO$14,((MONTH($A60)-1)*12)+VLOOKUP(BG$4,$DE$6:$DF$17,2)+1))*(VLOOKUP($A60,CURVES!$D$9:$T$261,7))*(INDEX(DailyScalarsTable,BG$5/100,MONTH($A60)))*$D60</f>
        <v>-11456.114242091155</v>
      </c>
      <c r="BH60" s="1021">
        <f>(VLOOKUP(YEAR($A60),'NY East Load Projections'!$A$4:$EO$14,((MONTH($A60)-1)*12)+VLOOKUP(BH$4,$DE$6:$DF$17,2)+1))*(VLOOKUP($A60,CURVES!$D$9:$T$261,7))*(INDEX(DailyScalarsTable,BH$5/100,MONTH($A60)))*$D60</f>
        <v>-10915.708426188885</v>
      </c>
      <c r="BI60" s="1021">
        <f>(VLOOKUP(YEAR($A60),'NY East Load Projections'!$A$4:$EO$14,((MONTH($A60)-1)*12)+VLOOKUP(BI$4,$DE$6:$DF$17,2)+1))*(VLOOKUP($A60,CURVES!$D$9:$T$261,7))*(INDEX(DailyScalarsTable,BI$5/100,MONTH($A60)))*$D60</f>
        <v>-9830.006244014181</v>
      </c>
      <c r="BJ60" s="1021">
        <f>(VLOOKUP(YEAR($A60),'NY East Load Projections'!$A$4:$EO$14,((MONTH($A60)-1)*12)+VLOOKUP(BJ$4,$DE$6:$DF$17,2)+1))*(VLOOKUP($A60,CURVES!$D$9:$T$261,7))*(INDEX(DailyScalarsTable,BJ$5/100,MONTH($A60)))*$D60</f>
        <v>-9459.5876310717977</v>
      </c>
      <c r="BK60" s="1021">
        <f>(VLOOKUP(YEAR($A60),'NY East Load Projections'!$A$4:$EO$14,((MONTH($A60)-1)*12)+VLOOKUP(BK$4,$DE$6:$DF$17,2)+1))*(VLOOKUP($A60,CURVES!$D$9:$T$261,7))*(INDEX(DailyScalarsTable,BK$5/100,MONTH($A60)))*$D60</f>
        <v>-10428.848313395976</v>
      </c>
      <c r="BL60" s="1021">
        <f>(VLOOKUP(YEAR($A60),'NY East Load Projections'!$A$4:$EO$14,((MONTH($A60)-1)*12)+VLOOKUP(BL$4,$DE$6:$DF$17,2)+1))*(VLOOKUP($A60,CURVES!$D$9:$T$261,7))*(INDEX(DailyScalarsTable,BL$5/100,MONTH($A60)))*$D60</f>
        <v>-11581.549636364633</v>
      </c>
      <c r="BM60" s="1021">
        <f>(VLOOKUP(YEAR($A60),'NY East Load Projections'!$A$4:$EO$14,((MONTH($A60)-1)*12)+VLOOKUP(BM$4,$DE$6:$DF$17,2)+1))*(VLOOKUP($A60,SatSunCurve,7))*(INDEX(DailyScalarsTable,BM$5/100,MONTH($A60)))*$D60</f>
        <v>-8101.1167576821163</v>
      </c>
      <c r="BN60" s="1021">
        <f>(VLOOKUP(YEAR($A60),'NY East Load Projections'!$A$4:$EO$14,((MONTH($A60)-1)*12)+VLOOKUP(BN$4,$DE$6:$DF$17,2)+1))*(VLOOKUP($A60,SatSunCurve,7))*(INDEX(DailyScalarsTable,BN$5/100,MONTH($A60)))*$D60</f>
        <v>-9796.4283370850699</v>
      </c>
      <c r="BO60" s="1021">
        <f>(VLOOKUP(YEAR($A60),'NY East Load Projections'!$A$4:$EO$14,((MONTH($A60)-1)*12)+VLOOKUP(BO$4,$DE$6:$DF$17,2)+1))*(VLOOKUP($A60,SatSunCurve,7))*(INDEX(DailyScalarsTable,BO$5/100,MONTH($A60)))*$D60</f>
        <v>-11729.010237502021</v>
      </c>
      <c r="BP60" s="1021">
        <f>(VLOOKUP(YEAR($A60),'NY East Load Projections'!$A$4:$EO$14,((MONTH($A60)-1)*12)+VLOOKUP(BP$4,$DE$6:$DF$17,2)+1))*(VLOOKUP($A60,SatSunCurve,7))*(INDEX(DailyScalarsTable,BP$5/100,MONTH($A60)))*$D60</f>
        <v>-13346.377568691421</v>
      </c>
      <c r="BQ60" s="1021">
        <f>(VLOOKUP(YEAR($A60),'NY East Load Projections'!$A$4:$EO$14,((MONTH($A60)-1)*12)+VLOOKUP(BQ$4,$DE$6:$DF$17,2)+1))*(VLOOKUP($A60,SatSunCurve,7))*(INDEX(DailyScalarsTable,BQ$5/100,MONTH($A60)))*$D60</f>
        <v>-15956.189023955341</v>
      </c>
      <c r="BR60" s="1021">
        <f>(VLOOKUP(YEAR($A60),'NY East Load Projections'!$A$4:$EO$14,((MONTH($A60)-1)*12)+VLOOKUP(BR$4,$DE$6:$DF$17,2)+1))*(VLOOKUP($A60,SatSunCurve,7))*(INDEX(DailyScalarsTable,BR$5/100,MONTH($A60)))*$D60</f>
        <v>-18129.622996353341</v>
      </c>
      <c r="BS60" s="1021">
        <f>(VLOOKUP(YEAR($A60),'NY East Load Projections'!$A$4:$EO$14,((MONTH($A60)-1)*12)+VLOOKUP(BS$4,$DE$6:$DF$17,2)+1))*(VLOOKUP($A60,SatSunCurve,7))*(INDEX(DailyScalarsTable,BS$5/100,MONTH($A60)))*$D60</f>
        <v>-18739.809117864919</v>
      </c>
      <c r="BT60" s="1021">
        <f>(VLOOKUP(YEAR($A60),'NY East Load Projections'!$A$4:$EO$14,((MONTH($A60)-1)*12)+VLOOKUP(BT$4,$DE$6:$DF$17,2)+1))*(VLOOKUP($A60,SatSunCurve,7))*(INDEX(DailyScalarsTable,BT$5/100,MONTH($A60)))*$D60</f>
        <v>-19520.279738402984</v>
      </c>
      <c r="BU60" s="1021">
        <f>(VLOOKUP(YEAR($A60),'NY East Load Projections'!$A$4:$EO$14,((MONTH($A60)-1)*12)+VLOOKUP(BU$4,$DE$6:$DF$17,2)+1))*(VLOOKUP($A60,SatSunCurve,7))*(INDEX(DailyScalarsTable,BU$5/100,MONTH($A60)))*$D60</f>
        <v>-20716.52834406406</v>
      </c>
      <c r="BV60" s="1021">
        <f>(VLOOKUP(YEAR($A60),'NY East Load Projections'!$A$4:$EO$14,((MONTH($A60)-1)*12)+VLOOKUP(BV$4,$DE$6:$DF$17,2)+1))*(VLOOKUP($A60,SatSunCurve,7))*(INDEX(DailyScalarsTable,BV$5/100,MONTH($A60)))*$D60</f>
        <v>-20084.249824571703</v>
      </c>
      <c r="BW60" s="1021">
        <f>(VLOOKUP(YEAR($A60),'NY East Load Projections'!$A$4:$EO$14,((MONTH($A60)-1)*12)+VLOOKUP(BW$4,$DE$6:$DF$17,2)+1))*(VLOOKUP($A60,SatSunCurve,7))*(INDEX(DailyScalarsTable,BW$5/100,MONTH($A60)))*$D60</f>
        <v>-19586.560738192886</v>
      </c>
      <c r="BX60" s="1021">
        <f>(VLOOKUP(YEAR($A60),'NY East Load Projections'!$A$4:$EO$14,((MONTH($A60)-1)*12)+VLOOKUP(BX$4,$DE$6:$DF$17,2)+1))*(VLOOKUP($A60,SatSunCurve,7))*(INDEX(DailyScalarsTable,BX$5/100,MONTH($A60)))*$D60</f>
        <v>-16358.999806744356</v>
      </c>
      <c r="BY60" s="1021">
        <f>(VLOOKUP(YEAR($A60),'NY East Load Projections'!$A$4:$EO$14,((MONTH($A60)-1)*12)+VLOOKUP(BY$4,$DE$6:$DF$17,2)+1))*(VLOOKUP($A60,SatSunCurve,7))*(INDEX(DailyScalarsTable,BY$5/100,MONTH($A60)))*$D60</f>
        <v>-12105.039431571491</v>
      </c>
      <c r="BZ60" s="1021">
        <f>(VLOOKUP(YEAR($A60),'NY East Load Projections'!$A$4:$EO$14,((MONTH($A60)-1)*12)+VLOOKUP(BZ$4,$DE$6:$DF$17,2)+1))*(VLOOKUP($A60,SatSunCurve,7))*(INDEX(DailyScalarsTable,BZ$5/100,MONTH($A60)))*$D60</f>
        <v>-12718.866741688984</v>
      </c>
      <c r="CA60" s="1021">
        <f>(VLOOKUP(YEAR($A60),'NY East Load Projections'!$A$4:$EO$14,((MONTH($A60)-1)*12)+VLOOKUP(CA$4,$DE$6:$DF$17,2)+1))*(VLOOKUP($A60,SatSunCurve,7))*(INDEX(DailyScalarsTable,CA$5/100,MONTH($A60)))*$D60</f>
        <v>-13477.360658388883</v>
      </c>
      <c r="CB60" s="1021">
        <f>(VLOOKUP(YEAR($A60),'NY East Load Projections'!$A$4:$EO$14,((MONTH($A60)-1)*12)+VLOOKUP(CB$4,$DE$6:$DF$17,2)+1))*(VLOOKUP($A60,SatSunCurve,7))*(INDEX(DailyScalarsTable,CB$5/100,MONTH($A60)))*$D60</f>
        <v>-9359.4561849539677</v>
      </c>
      <c r="CC60" s="1021">
        <f>(VLOOKUP(YEAR($A60),'NY East Load Projections'!$A$4:$EO$14,((MONTH($A60)-1)*12)+VLOOKUP(CC$4,$DE$6:$DF$17,2)+1))*(VLOOKUP($A60,CURVES!$D$9:$T$261,7))*(INDEX(DailyScalarsTable,CC$5/100,MONTH($A60)))*$D60</f>
        <v>-14669.892853599111</v>
      </c>
      <c r="CE60" s="1021">
        <f>(VLOOKUP(YEAR($A60),'NY East Load Projections'!$A$4:$EO$14,((MONTH($A60)-1)*12)+VLOOKUP(CE$4,$DE$6:$DF$17,2)+1))*(VLOOKUP($A60,CURVES!$D$9:$T$261,7))*(INDEX(DailyScalarsTable,CE$5/100,MONTH($A60)))*$E60</f>
        <v>-2508.363284853172</v>
      </c>
      <c r="CF60" s="1021">
        <f>(VLOOKUP(YEAR($A60),'NY East Load Projections'!$A$4:$EO$14,((MONTH($A60)-1)*12)+VLOOKUP(CF$4,$DE$6:$DF$17,2)+1))*(VLOOKUP($A60,CURVES!$D$9:$T$261,7))*(INDEX(DailyScalarsTable,CF$5/100,MONTH($A60)))*$E60</f>
        <v>-2291.222848418231</v>
      </c>
      <c r="CG60" s="1021">
        <f>(VLOOKUP(YEAR($A60),'NY East Load Projections'!$A$4:$EO$14,((MONTH($A60)-1)*12)+VLOOKUP(CG$4,$DE$6:$DF$17,2)+1))*(VLOOKUP($A60,CURVES!$D$9:$T$261,7))*(INDEX(DailyScalarsTable,CG$5/100,MONTH($A60)))*$E60</f>
        <v>-2183.141685237777</v>
      </c>
      <c r="CH60" s="1021">
        <f>(VLOOKUP(YEAR($A60),'NY East Load Projections'!$A$4:$EO$14,((MONTH($A60)-1)*12)+VLOOKUP(CH$4,$DE$6:$DF$17,2)+1))*(VLOOKUP($A60,CURVES!$D$9:$T$261,7))*(INDEX(DailyScalarsTable,CH$5/100,MONTH($A60)))*$E60</f>
        <v>-1966.0012488028362</v>
      </c>
      <c r="CI60" s="1021">
        <f>(VLOOKUP(YEAR($A60),'NY East Load Projections'!$A$4:$EO$14,((MONTH($A60)-1)*12)+VLOOKUP(CI$4,$DE$6:$DF$17,2)+1))*(VLOOKUP($A60,CURVES!$D$9:$T$261,7))*(INDEX(DailyScalarsTable,CI$5/100,MONTH($A60)))*$E60</f>
        <v>-1891.9175262143597</v>
      </c>
      <c r="CJ60" s="1021">
        <f>(VLOOKUP(YEAR($A60),'NY East Load Projections'!$A$4:$EO$14,((MONTH($A60)-1)*12)+VLOOKUP(CJ$4,$DE$6:$DF$17,2)+1))*(VLOOKUP($A60,CURVES!$D$9:$T$261,7))*(INDEX(DailyScalarsTable,CJ$5/100,MONTH($A60)))*$E60</f>
        <v>-2085.7696626791953</v>
      </c>
      <c r="CK60" s="1021">
        <f>(VLOOKUP(YEAR($A60),'NY East Load Projections'!$A$4:$EO$14,((MONTH($A60)-1)*12)+VLOOKUP(CK$4,$DE$6:$DF$17,2)+1))*(VLOOKUP($A60,CURVES!$D$9:$T$261,7))*(INDEX(DailyScalarsTable,CK$5/100,MONTH($A60)))*$E60</f>
        <v>-2316.3099272729264</v>
      </c>
      <c r="CL60" s="1021">
        <f>(VLOOKUP(YEAR($A60),'NY East Load Projections'!$A$4:$EO$14,((MONTH($A60)-1)*12)+VLOOKUP(CL$4,$DE$6:$DF$17,2)+1))*(VLOOKUP($A60,SatSunCurve,7))*(INDEX(DailyScalarsTable,CL$5/100,MONTH($A60)))*$E60</f>
        <v>-1620.2233515364233</v>
      </c>
      <c r="CM60" s="1021">
        <f>(VLOOKUP(YEAR($A60),'NY East Load Projections'!$A$4:$EO$14,((MONTH($A60)-1)*12)+VLOOKUP(CM$4,$DE$6:$DF$17,2)+1))*(VLOOKUP($A60,SatSunCurve,7))*(INDEX(DailyScalarsTable,CM$5/100,MONTH($A60)))*$E60</f>
        <v>-1959.2856674170141</v>
      </c>
      <c r="CN60" s="1021">
        <f>(VLOOKUP(YEAR($A60),'NY East Load Projections'!$A$4:$EO$14,((MONTH($A60)-1)*12)+VLOOKUP(CN$4,$DE$6:$DF$17,2)+1))*(VLOOKUP($A60,SatSunCurve,7))*(INDEX(DailyScalarsTable,CN$5/100,MONTH($A60)))*$E60</f>
        <v>-2345.8020475004041</v>
      </c>
      <c r="CO60" s="1021">
        <f>(VLOOKUP(YEAR($A60),'NY East Load Projections'!$A$4:$EO$14,((MONTH($A60)-1)*12)+VLOOKUP(CO$4,$DE$6:$DF$17,2)+1))*(VLOOKUP($A60,SatSunCurve,7))*(INDEX(DailyScalarsTable,CO$5/100,MONTH($A60)))*$E60</f>
        <v>-2669.2755137382842</v>
      </c>
      <c r="CP60" s="1021">
        <f>(VLOOKUP(YEAR($A60),'NY East Load Projections'!$A$4:$EO$14,((MONTH($A60)-1)*12)+VLOOKUP(CP$4,$DE$6:$DF$17,2)+1))*(VLOOKUP($A60,SatSunCurve,7))*(INDEX(DailyScalarsTable,CP$5/100,MONTH($A60)))*$E60</f>
        <v>-3191.2378047910684</v>
      </c>
      <c r="CQ60" s="1021">
        <f>(VLOOKUP(YEAR($A60),'NY East Load Projections'!$A$4:$EO$14,((MONTH($A60)-1)*12)+VLOOKUP(CQ$4,$DE$6:$DF$17,2)+1))*(VLOOKUP($A60,SatSunCurve,7))*(INDEX(DailyScalarsTable,CQ$5/100,MONTH($A60)))*$E60</f>
        <v>-3625.9245992706683</v>
      </c>
      <c r="CR60" s="1021">
        <f>(VLOOKUP(YEAR($A60),'NY East Load Projections'!$A$4:$EO$14,((MONTH($A60)-1)*12)+VLOOKUP(CR$4,$DE$6:$DF$17,2)+1))*(VLOOKUP($A60,SatSunCurve,7))*(INDEX(DailyScalarsTable,CR$5/100,MONTH($A60)))*$E60</f>
        <v>-3747.9618235729836</v>
      </c>
      <c r="CS60" s="1021">
        <f>(VLOOKUP(YEAR($A60),'NY East Load Projections'!$A$4:$EO$14,((MONTH($A60)-1)*12)+VLOOKUP(CS$4,$DE$6:$DF$17,2)+1))*(VLOOKUP($A60,SatSunCurve,7))*(INDEX(DailyScalarsTable,CS$5/100,MONTH($A60)))*$E60</f>
        <v>-3904.0559476805965</v>
      </c>
      <c r="CT60" s="1021">
        <f>(VLOOKUP(YEAR($A60),'NY East Load Projections'!$A$4:$EO$14,((MONTH($A60)-1)*12)+VLOOKUP(CT$4,$DE$6:$DF$17,2)+1))*(VLOOKUP($A60,SatSunCurve,7))*(INDEX(DailyScalarsTable,CT$5/100,MONTH($A60)))*$E60</f>
        <v>-4143.3056688128117</v>
      </c>
      <c r="CU60" s="1021">
        <f>(VLOOKUP(YEAR($A60),'NY East Load Projections'!$A$4:$EO$14,((MONTH($A60)-1)*12)+VLOOKUP(CU$4,$DE$6:$DF$17,2)+1))*(VLOOKUP($A60,SatSunCurve,7))*(INDEX(DailyScalarsTable,CU$5/100,MONTH($A60)))*$E60</f>
        <v>-4016.8499649143409</v>
      </c>
      <c r="CV60" s="1021">
        <f>(VLOOKUP(YEAR($A60),'NY East Load Projections'!$A$4:$EO$14,((MONTH($A60)-1)*12)+VLOOKUP(CV$4,$DE$6:$DF$17,2)+1))*(VLOOKUP($A60,SatSunCurve,7))*(INDEX(DailyScalarsTable,CV$5/100,MONTH($A60)))*$E60</f>
        <v>-3917.3121476385772</v>
      </c>
      <c r="CW60" s="1021">
        <f>(VLOOKUP(YEAR($A60),'NY East Load Projections'!$A$4:$EO$14,((MONTH($A60)-1)*12)+VLOOKUP(CW$4,$DE$6:$DF$17,2)+1))*(VLOOKUP($A60,SatSunCurve,7))*(INDEX(DailyScalarsTable,CW$5/100,MONTH($A60)))*$E60</f>
        <v>-3271.799961348871</v>
      </c>
      <c r="CX60" s="1021">
        <f>(VLOOKUP(YEAR($A60),'NY East Load Projections'!$A$4:$EO$14,((MONTH($A60)-1)*12)+VLOOKUP(CX$4,$DE$6:$DF$17,2)+1))*(VLOOKUP($A60,SatSunCurve,7))*(INDEX(DailyScalarsTable,CX$5/100,MONTH($A60)))*$E60</f>
        <v>-2421.007886314298</v>
      </c>
      <c r="CY60" s="1021">
        <f>(VLOOKUP(YEAR($A60),'NY East Load Projections'!$A$4:$EO$14,((MONTH($A60)-1)*12)+VLOOKUP(CY$4,$DE$6:$DF$17,2)+1))*(VLOOKUP($A60,SatSunCurve,7))*(INDEX(DailyScalarsTable,CY$5/100,MONTH($A60)))*$E60</f>
        <v>-2543.773348337797</v>
      </c>
      <c r="CZ60" s="1021">
        <f>(VLOOKUP(YEAR($A60),'NY East Load Projections'!$A$4:$EO$14,((MONTH($A60)-1)*12)+VLOOKUP(CZ$4,$DE$6:$DF$17,2)+1))*(VLOOKUP($A60,SatSunCurve,7))*(INDEX(DailyScalarsTable,CZ$5/100,MONTH($A60)))*$E60</f>
        <v>-2695.4721316777768</v>
      </c>
      <c r="DA60" s="1021">
        <f>(VLOOKUP(YEAR($A60),'NY East Load Projections'!$A$4:$EO$14,((MONTH($A60)-1)*12)+VLOOKUP(DA$4,$DE$6:$DF$17,2)+1))*(VLOOKUP($A60,SatSunCurve,7))*(INDEX(DailyScalarsTable,DA$5/100,MONTH($A60)))*$E60</f>
        <v>-1871.8912369907935</v>
      </c>
      <c r="DB60" s="1021">
        <f>(VLOOKUP(YEAR($A60),'NY East Load Projections'!$A$4:$EO$14,((MONTH($A60)-1)*12)+VLOOKUP(DB$4,$DE$6:$DF$17,2)+1))*(VLOOKUP($A60,CURVES!$D$9:$T$261,7))*(INDEX(DailyScalarsTable,DB$5/100,MONTH($A60)))*$E60</f>
        <v>-2933.9785707198221</v>
      </c>
      <c r="DH60" s="1032">
        <f t="shared" si="0"/>
        <v>-3802224.3232206786</v>
      </c>
      <c r="DI60">
        <f ca="1">CALC!J80</f>
        <v>0.67507196780665579</v>
      </c>
      <c r="DJ60" s="1029">
        <f t="shared" ca="1" si="1"/>
        <v>-2566775.0559189133</v>
      </c>
    </row>
    <row r="61" spans="1:114" x14ac:dyDescent="0.25">
      <c r="A61" s="244">
        <v>38565</v>
      </c>
      <c r="B61" s="13">
        <v>23</v>
      </c>
      <c r="C61" s="210">
        <v>4</v>
      </c>
      <c r="D61" s="210">
        <v>4</v>
      </c>
      <c r="E61" s="210">
        <v>0</v>
      </c>
      <c r="F61" s="13">
        <v>31</v>
      </c>
      <c r="H61" s="1021">
        <f>(VLOOKUP(YEAR($A61),'NY East Load Projections'!$A$4:$EO$14,((MONTH($A61)-1)*12)+VLOOKUP(H$4,$DE$6:$DF$17,2)+1))*(VLOOKUP($A61,CURVES!$D$9:$K$261,7))*(INDEX(DailyScalarsTable,H$5/100,MONTH($A61)))*$B61</f>
        <v>-60896.324612371296</v>
      </c>
      <c r="I61" s="1021">
        <f>(VLOOKUP(YEAR($A61),'NY East Load Projections'!$A$4:$EO$14,((MONTH($A61)-1)*12)+VLOOKUP(I$4,$DE$6:$DF$17,2)+1))*(VLOOKUP($A61,CURVES!$D$9:$K$261,7))*(INDEX(DailyScalarsTable,I$5/100,MONTH($A61)))*$B61</f>
        <v>-54972.178851953358</v>
      </c>
      <c r="J61" s="1021">
        <f>(VLOOKUP(YEAR($A61),'NY East Load Projections'!$A$4:$EO$14,((MONTH($A61)-1)*12)+VLOOKUP(J$4,$DE$6:$DF$17,2)+1))*(VLOOKUP($A61,CURVES!$D$9:$K$261,7))*(INDEX(DailyScalarsTable,J$5/100,MONTH($A61)))*$B61</f>
        <v>-49367.881336816201</v>
      </c>
      <c r="K61" s="1021">
        <f>(VLOOKUP(YEAR($A61),'NY East Load Projections'!$A$4:$EO$14,((MONTH($A61)-1)*12)+VLOOKUP(K$4,$DE$6:$DF$17,2)+1))*(VLOOKUP($A61,CURVES!$D$9:$K$261,7))*(INDEX(DailyScalarsTable,K$5/100,MONTH($A61)))*$B61</f>
        <v>-46447.527792948189</v>
      </c>
      <c r="L61" s="1021">
        <f>(VLOOKUP(YEAR($A61),'NY East Load Projections'!$A$4:$EO$14,((MONTH($A61)-1)*12)+VLOOKUP(L$4,$DE$6:$DF$17,2)+1))*(VLOOKUP($A61,CURVES!$D$9:$K$261,7))*(INDEX(DailyScalarsTable,L$5/100,MONTH($A61)))*$B61</f>
        <v>-52616.028450664155</v>
      </c>
      <c r="M61" s="1021">
        <f>(VLOOKUP(YEAR($A61),'NY East Load Projections'!$A$4:$EO$14,((MONTH($A61)-1)*12)+VLOOKUP(M$4,$DE$6:$DF$17,2)+1))*(VLOOKUP($A61,CURVES!$D$9:$K$261,7))*(INDEX(DailyScalarsTable,M$5/100,MONTH($A61)))*$B61</f>
        <v>-58458.881336013394</v>
      </c>
      <c r="N61" s="1021">
        <f>(VLOOKUP(YEAR($A61),'NY East Load Projections'!$A$4:$EO$14,((MONTH($A61)-1)*12)+VLOOKUP(N$4,$DE$6:$DF$17,2)+1))*(VLOOKUP($A61,CURVES!$D$9:$K$261,7))*(INDEX(DailyScalarsTable,N$5/100,MONTH($A61)))*$B61</f>
        <v>-68019.91333022117</v>
      </c>
      <c r="O61" s="1021">
        <f>(VLOOKUP(YEAR($A61),'NY East Load Projections'!$A$4:$EO$14,((MONTH($A61)-1)*12)+VLOOKUP(O$4,$DE$6:$DF$17,2)+1))*(VLOOKUP($A61,CURVES!$D$9:$K$261,3))*(INDEX(DailyScalarsTable,O$5/100,MONTH($A61)))*$B61</f>
        <v>-107839.0641865365</v>
      </c>
      <c r="P61" s="1021">
        <f>(VLOOKUP(YEAR($A61),'NY East Load Projections'!$A$4:$EO$14,((MONTH($A61)-1)*12)+VLOOKUP(P$4,$DE$6:$DF$17,2)+1))*(VLOOKUP($A61,CURVES!$D$9:$K$261,3))*(INDEX(DailyScalarsTable,P$5/100,MONTH($A61)))*$B61</f>
        <v>-133404.8062629386</v>
      </c>
      <c r="Q61" s="1021">
        <f>(VLOOKUP(YEAR($A61),'NY East Load Projections'!$A$4:$EO$14,((MONTH($A61)-1)*12)+VLOOKUP(Q$4,$DE$6:$DF$17,2)+1))*(VLOOKUP($A61,CURVES!$D$9:$K$261,3))*(INDEX(DailyScalarsTable,Q$5/100,MONTH($A61)))*$B61</f>
        <v>-171083.45680140841</v>
      </c>
      <c r="R61" s="1021">
        <f>(VLOOKUP(YEAR($A61),'NY East Load Projections'!$A$4:$EO$14,((MONTH($A61)-1)*12)+VLOOKUP(R$4,$DE$6:$DF$17,2)+1))*(VLOOKUP($A61,CURVES!$D$9:$K$261,3))*(INDEX(DailyScalarsTable,R$5/100,MONTH($A61)))*$B61</f>
        <v>-193093.7576110095</v>
      </c>
      <c r="S61" s="1021">
        <f>(VLOOKUP(YEAR($A61),'NY East Load Projections'!$A$4:$EO$14,((MONTH($A61)-1)*12)+VLOOKUP(S$4,$DE$6:$DF$17,2)+1))*(VLOOKUP($A61,CURVES!$D$9:$K$261,3))*(INDEX(DailyScalarsTable,S$5/100,MONTH($A61)))*$B61</f>
        <v>-201276.11802497425</v>
      </c>
      <c r="T61" s="1021">
        <f>(VLOOKUP(YEAR($A61),'NY East Load Projections'!$A$4:$EO$14,((MONTH($A61)-1)*12)+VLOOKUP(T$4,$DE$6:$DF$17,2)+1))*(VLOOKUP($A61,CURVES!$D$9:$K$261,3))*(INDEX(DailyScalarsTable,T$5/100,MONTH($A61)))*$B61</f>
        <v>-205054.50336499768</v>
      </c>
      <c r="U61" s="1021">
        <f>(VLOOKUP(YEAR($A61),'NY East Load Projections'!$A$4:$EO$14,((MONTH($A61)-1)*12)+VLOOKUP(U$4,$DE$6:$DF$17,2)+1))*(VLOOKUP($A61,CURVES!$D$9:$K$261,3))*(INDEX(DailyScalarsTable,U$5/100,MONTH($A61)))*$B61</f>
        <v>-225102.80142721257</v>
      </c>
      <c r="V61" s="1021">
        <f>(VLOOKUP(YEAR($A61),'NY East Load Projections'!$A$4:$EO$14,((MONTH($A61)-1)*12)+VLOOKUP(V$4,$DE$6:$DF$17,2)+1))*(VLOOKUP($A61,CURVES!$D$9:$K$261,3))*(INDEX(DailyScalarsTable,V$5/100,MONTH($A61)))*$B61</f>
        <v>-238306.58499175409</v>
      </c>
      <c r="W61" s="1021">
        <f>(VLOOKUP(YEAR($A61),'NY East Load Projections'!$A$4:$EO$14,((MONTH($A61)-1)*12)+VLOOKUP(W$4,$DE$6:$DF$17,2)+1))*(VLOOKUP($A61,CURVES!$D$9:$K$261,3))*(INDEX(DailyScalarsTable,W$5/100,MONTH($A61)))*$B61</f>
        <v>-234986.48467571847</v>
      </c>
      <c r="X61" s="1021">
        <f>(VLOOKUP(YEAR($A61),'NY East Load Projections'!$A$4:$EO$14,((MONTH($A61)-1)*12)+VLOOKUP(X$4,$DE$6:$DF$17,2)+1))*(VLOOKUP($A61,CURVES!$D$9:$K$261,3))*(INDEX(DailyScalarsTable,X$5/100,MONTH($A61)))*$B61</f>
        <v>-216422.64972738936</v>
      </c>
      <c r="Y61" s="1021">
        <f>(VLOOKUP(YEAR($A61),'NY East Load Projections'!$A$4:$EO$14,((MONTH($A61)-1)*12)+VLOOKUP(Y$4,$DE$6:$DF$17,2)+1))*(VLOOKUP($A61,CURVES!$D$9:$K$261,3))*(INDEX(DailyScalarsTable,Y$5/100,MONTH($A61)))*$B61</f>
        <v>-200420.75267727667</v>
      </c>
      <c r="Z61" s="1021">
        <f>(VLOOKUP(YEAR($A61),'NY East Load Projections'!$A$4:$EO$14,((MONTH($A61)-1)*12)+VLOOKUP(Z$4,$DE$6:$DF$17,2)+1))*(VLOOKUP($A61,CURVES!$D$9:$K$261,3))*(INDEX(DailyScalarsTable,Z$5/100,MONTH($A61)))*$B61</f>
        <v>-163363.72792964717</v>
      </c>
      <c r="AA61" s="1021">
        <f>(VLOOKUP(YEAR($A61),'NY East Load Projections'!$A$4:$EO$14,((MONTH($A61)-1)*12)+VLOOKUP(AA$4,$DE$6:$DF$17,2)+1))*(VLOOKUP($A61,CURVES!$D$9:$K$261,3))*(INDEX(DailyScalarsTable,AA$5/100,MONTH($A61)))*$B61</f>
        <v>-148733.42205525839</v>
      </c>
      <c r="AB61" s="1021">
        <f>(VLOOKUP(YEAR($A61),'NY East Load Projections'!$A$4:$EO$14,((MONTH($A61)-1)*12)+VLOOKUP(AB$4,$DE$6:$DF$17,2)+1))*(VLOOKUP($A61,CURVES!$D$9:$K$261,3))*(INDEX(DailyScalarsTable,AB$5/100,MONTH($A61)))*$B61</f>
        <v>-164779.05317597341</v>
      </c>
      <c r="AC61" s="1021">
        <f>(VLOOKUP(YEAR($A61),'NY East Load Projections'!$A$4:$EO$14,((MONTH($A61)-1)*12)+VLOOKUP(AC$4,$DE$6:$DF$17,2)+1))*(VLOOKUP($A61,CURVES!$D$9:$K$261,3))*(INDEX(DailyScalarsTable,AC$5/100,MONTH($A61)))*$B61</f>
        <v>-140116.2245920937</v>
      </c>
      <c r="AD61" s="1021">
        <f>(VLOOKUP(YEAR($A61),'NY East Load Projections'!$A$4:$EO$14,((MONTH($A61)-1)*12)+VLOOKUP(AD$4,$DE$6:$DF$17,2)+1))*(VLOOKUP($A61,CURVES!$D$9:$K$261,3))*(INDEX(DailyScalarsTable,AD$5/100,MONTH($A61)))*$B61</f>
        <v>-113461.7242840861</v>
      </c>
      <c r="AE61" s="1021">
        <f>(VLOOKUP(YEAR($A61),'NY East Load Projections'!$A$4:$EO$14,((MONTH($A61)-1)*12)+VLOOKUP(AE$4,$DE$6:$DF$17,2)+1))*(VLOOKUP($A61,CURVES!$D$9:$K$261,7))*(INDEX(DailyScalarsTable,AE$5/100,MONTH($A61)))*$B61</f>
        <v>-74394.686205275328</v>
      </c>
      <c r="AF61" s="1021"/>
      <c r="AG61" s="1021">
        <f>(VLOOKUP(YEAR($A61),'NY East Load Projections'!$A$4:$EO$14,((MONTH($A61)-1)*12)+VLOOKUP(AG$4,$DE$6:$DF$17,2)+1))*(VLOOKUP($A61,CURVES!$D$9:$T$261,7))*(INDEX(DailyScalarsTable,AG$5/100,MONTH($A61)))*$C61</f>
        <v>-10408.101403818442</v>
      </c>
      <c r="AH61" s="1021">
        <f>(VLOOKUP(YEAR($A61),'NY East Load Projections'!$A$4:$EO$14,((MONTH($A61)-1)*12)+VLOOKUP(AH$4,$DE$6:$DF$17,2)+1))*(VLOOKUP($A61,CURVES!$D$9:$T$261,7))*(INDEX(DailyScalarsTable,AH$5/100,MONTH($A61)))*$C61</f>
        <v>-9395.5754394369287</v>
      </c>
      <c r="AI61" s="1021">
        <f>(VLOOKUP(YEAR($A61),'NY East Load Projections'!$A$4:$EO$14,((MONTH($A61)-1)*12)+VLOOKUP(AI$4,$DE$6:$DF$17,2)+1))*(VLOOKUP($A61,CURVES!$D$9:$T$261,7))*(INDEX(DailyScalarsTable,AI$5/100,MONTH($A61)))*$C61</f>
        <v>-8437.7163698459663</v>
      </c>
      <c r="AJ61" s="1021">
        <f>(VLOOKUP(YEAR($A61),'NY East Load Projections'!$A$4:$EO$14,((MONTH($A61)-1)*12)+VLOOKUP(AJ$4,$DE$6:$DF$17,2)+1))*(VLOOKUP($A61,CURVES!$D$9:$T$261,7))*(INDEX(DailyScalarsTable,AJ$5/100,MONTH($A61)))*$C61</f>
        <v>-7938.5838521931037</v>
      </c>
      <c r="AK61" s="1021">
        <f>(VLOOKUP(YEAR($A61),'NY East Load Projections'!$A$4:$EO$14,((MONTH($A61)-1)*12)+VLOOKUP(AK$4,$DE$6:$DF$17,2)+1))*(VLOOKUP($A61,CURVES!$D$9:$T$261,7))*(INDEX(DailyScalarsTable,AK$5/100,MONTH($A61)))*$C61</f>
        <v>-8371.6193928579141</v>
      </c>
      <c r="AL61" s="1021">
        <f>(VLOOKUP(YEAR($A61),'NY East Load Projections'!$A$4:$EO$14,((MONTH($A61)-1)*12)+VLOOKUP(AL$4,$DE$6:$DF$17,2)+1))*(VLOOKUP($A61,CURVES!$D$9:$T$261,7))*(INDEX(DailyScalarsTable,AL$5/100,MONTH($A61)))*$C61</f>
        <v>-9301.2627347241705</v>
      </c>
      <c r="AM61" s="1021">
        <f>(VLOOKUP(YEAR($A61),'NY East Load Projections'!$A$4:$EO$14,((MONTH($A61)-1)*12)+VLOOKUP(AM$4,$DE$6:$DF$17,2)+1))*(VLOOKUP($A61,CURVES!$D$9:$T$261,7))*(INDEX(DailyScalarsTable,AM$5/100,MONTH($A61)))*$C61</f>
        <v>-10822.497294141673</v>
      </c>
      <c r="AN61" s="1021">
        <f>(VLOOKUP(YEAR($A61),'NY East Load Projections'!$A$4:$EO$14,((MONTH($A61)-1)*12)+VLOOKUP(AN$4,$DE$6:$DF$17,2)+1))*(VLOOKUP($A61,SatSunCurve,3))*(INDEX(DailyScalarsTable,AN$5/100,MONTH($A61)))*$C61</f>
        <v>-11066.271714301796</v>
      </c>
      <c r="AO61" s="1021">
        <f>(VLOOKUP(YEAR($A61),'NY East Load Projections'!$A$4:$EO$14,((MONTH($A61)-1)*12)+VLOOKUP(AO$4,$DE$6:$DF$17,2)+1))*(VLOOKUP($A61,SatSunCurve,3))*(INDEX(DailyScalarsTable,AO$5/100,MONTH($A61)))*$C61</f>
        <v>-13332.978313853304</v>
      </c>
      <c r="AP61" s="1021">
        <f>(VLOOKUP(YEAR($A61),'NY East Load Projections'!$A$4:$EO$14,((MONTH($A61)-1)*12)+VLOOKUP(AP$4,$DE$6:$DF$17,2)+1))*(VLOOKUP($A61,SatSunCurve,3))*(INDEX(DailyScalarsTable,AP$5/100,MONTH($A61)))*$C61</f>
        <v>-17098.724425987486</v>
      </c>
      <c r="AQ61" s="1021">
        <f>(VLOOKUP(YEAR($A61),'NY East Load Projections'!$A$4:$EO$14,((MONTH($A61)-1)*12)+VLOOKUP(AQ$4,$DE$6:$DF$17,2)+1))*(VLOOKUP($A61,SatSunCurve,3))*(INDEX(DailyScalarsTable,AQ$5/100,MONTH($A61)))*$C61</f>
        <v>-19298.51670931339</v>
      </c>
      <c r="AR61" s="1021">
        <f>(VLOOKUP(YEAR($A61),'NY East Load Projections'!$A$4:$EO$14,((MONTH($A61)-1)*12)+VLOOKUP(AR$4,$DE$6:$DF$17,2)+1))*(VLOOKUP($A61,SatSunCurve,3))*(INDEX(DailyScalarsTable,AR$5/100,MONTH($A61)))*$C61</f>
        <v>-20116.292597691045</v>
      </c>
      <c r="AS61" s="1021">
        <f>(VLOOKUP(YEAR($A61),'NY East Load Projections'!$A$4:$EO$14,((MONTH($A61)-1)*12)+VLOOKUP(AS$4,$DE$6:$DF$17,2)+1))*(VLOOKUP($A61,SatSunCurve,3))*(INDEX(DailyScalarsTable,AS$5/100,MONTH($A61)))*$C61</f>
        <v>-20619.787010673841</v>
      </c>
      <c r="AT61" s="1021">
        <f>(VLOOKUP(YEAR($A61),'NY East Load Projections'!$A$4:$EO$14,((MONTH($A61)-1)*12)+VLOOKUP(AT$4,$DE$6:$DF$17,2)+1))*(VLOOKUP($A61,SatSunCurve,3))*(INDEX(DailyScalarsTable,AT$5/100,MONTH($A61)))*$C61</f>
        <v>-22635.795580032289</v>
      </c>
      <c r="AU61" s="1021">
        <f>(VLOOKUP(YEAR($A61),'NY East Load Projections'!$A$4:$EO$14,((MONTH($A61)-1)*12)+VLOOKUP(AU$4,$DE$6:$DF$17,2)+1))*(VLOOKUP($A61,SatSunCurve,3))*(INDEX(DailyScalarsTable,AU$5/100,MONTH($A61)))*$C61</f>
        <v>-23963.536255647981</v>
      </c>
      <c r="AV61" s="1021">
        <f>(VLOOKUP(YEAR($A61),'NY East Load Projections'!$A$4:$EO$14,((MONTH($A61)-1)*12)+VLOOKUP(AV$4,$DE$6:$DF$17,2)+1))*(VLOOKUP($A61,SatSunCurve,3))*(INDEX(DailyScalarsTable,AV$5/100,MONTH($A61)))*$C61</f>
        <v>-23629.674963907091</v>
      </c>
      <c r="AW61" s="1021">
        <f>(VLOOKUP(YEAR($A61),'NY East Load Projections'!$A$4:$EO$14,((MONTH($A61)-1)*12)+VLOOKUP(AW$4,$DE$6:$DF$17,2)+1))*(VLOOKUP($A61,SatSunCurve,3))*(INDEX(DailyScalarsTable,AW$5/100,MONTH($A61)))*$C61</f>
        <v>-21915.479317612178</v>
      </c>
      <c r="AX61" s="1021">
        <f>(VLOOKUP(YEAR($A61),'NY East Load Projections'!$A$4:$EO$14,((MONTH($A61)-1)*12)+VLOOKUP(AX$4,$DE$6:$DF$17,2)+1))*(VLOOKUP($A61,SatSunCurve,3))*(INDEX(DailyScalarsTable,AX$5/100,MONTH($A61)))*$C61</f>
        <v>-20295.088640915263</v>
      </c>
      <c r="AY61" s="1021">
        <f>(VLOOKUP(YEAR($A61),'NY East Load Projections'!$A$4:$EO$14,((MONTH($A61)-1)*12)+VLOOKUP(AY$4,$DE$6:$DF$17,2)+1))*(VLOOKUP($A61,SatSunCurve,3))*(INDEX(DailyScalarsTable,AY$5/100,MONTH($A61)))*$C61</f>
        <v>-16542.604968564501</v>
      </c>
      <c r="AZ61" s="1021">
        <f>(VLOOKUP(YEAR($A61),'NY East Load Projections'!$A$4:$EO$14,((MONTH($A61)-1)*12)+VLOOKUP(AZ$4,$DE$6:$DF$17,2)+1))*(VLOOKUP($A61,SatSunCurve,3))*(INDEX(DailyScalarsTable,AZ$5/100,MONTH($A61)))*$C61</f>
        <v>-15061.104921298747</v>
      </c>
      <c r="BA61" s="1021">
        <f>(VLOOKUP(YEAR($A61),'NY East Load Projections'!$A$4:$EO$14,((MONTH($A61)-1)*12)+VLOOKUP(BA$4,$DE$6:$DF$17,2)+1))*(VLOOKUP($A61,SatSunCurve,3))*(INDEX(DailyScalarsTable,BA$5/100,MONTH($A61)))*$C61</f>
        <v>-17957.200327495175</v>
      </c>
      <c r="BB61" s="1021">
        <f>(VLOOKUP(YEAR($A61),'NY East Load Projections'!$A$4:$EO$14,((MONTH($A61)-1)*12)+VLOOKUP(BB$4,$DE$6:$DF$17,2)+1))*(VLOOKUP($A61,SatSunCurve,3))*(INDEX(DailyScalarsTable,BB$5/100,MONTH($A61)))*$C61</f>
        <v>-15269.508263562509</v>
      </c>
      <c r="BC61" s="1021">
        <f>(VLOOKUP(YEAR($A61),'NY East Load Projections'!$A$4:$EO$14,((MONTH($A61)-1)*12)+VLOOKUP(BC$4,$DE$6:$DF$17,2)+1))*(VLOOKUP($A61,SatSunCurve,3))*(INDEX(DailyScalarsTable,BC$5/100,MONTH($A61)))*$C61</f>
        <v>-12364.768902370666</v>
      </c>
      <c r="BD61" s="1021">
        <f>(VLOOKUP(YEAR($A61),'NY East Load Projections'!$A$4:$EO$14,((MONTH($A61)-1)*12)+VLOOKUP(BD$4,$DE$6:$DF$17,2)+1))*(VLOOKUP($A61,CURVES!$D$9:$T$261,7))*(INDEX(DailyScalarsTable,BD$5/100,MONTH($A61)))*$C61</f>
        <v>-12570.273688083176</v>
      </c>
      <c r="BE61" s="1021"/>
      <c r="BF61" s="1021">
        <f>(VLOOKUP(YEAR($A61),'NY East Load Projections'!$A$4:$EO$14,((MONTH($A61)-1)*12)+VLOOKUP(BF$4,$DE$6:$DF$17,2)+1))*(VLOOKUP($A61,CURVES!$D$9:$T$261,7))*(INDEX(DailyScalarsTable,BF$5/100,MONTH($A61)))*$D61</f>
        <v>-10408.101403818442</v>
      </c>
      <c r="BG61" s="1021">
        <f>(VLOOKUP(YEAR($A61),'NY East Load Projections'!$A$4:$EO$14,((MONTH($A61)-1)*12)+VLOOKUP(BG$4,$DE$6:$DF$17,2)+1))*(VLOOKUP($A61,CURVES!$D$9:$T$261,7))*(INDEX(DailyScalarsTable,BG$5/100,MONTH($A61)))*$D61</f>
        <v>-9395.5754394369287</v>
      </c>
      <c r="BH61" s="1021">
        <f>(VLOOKUP(YEAR($A61),'NY East Load Projections'!$A$4:$EO$14,((MONTH($A61)-1)*12)+VLOOKUP(BH$4,$DE$6:$DF$17,2)+1))*(VLOOKUP($A61,CURVES!$D$9:$T$261,7))*(INDEX(DailyScalarsTable,BH$5/100,MONTH($A61)))*$D61</f>
        <v>-8437.7163698459663</v>
      </c>
      <c r="BI61" s="1021">
        <f>(VLOOKUP(YEAR($A61),'NY East Load Projections'!$A$4:$EO$14,((MONTH($A61)-1)*12)+VLOOKUP(BI$4,$DE$6:$DF$17,2)+1))*(VLOOKUP($A61,CURVES!$D$9:$T$261,7))*(INDEX(DailyScalarsTable,BI$5/100,MONTH($A61)))*$D61</f>
        <v>-7938.5838521931037</v>
      </c>
      <c r="BJ61" s="1021">
        <f>(VLOOKUP(YEAR($A61),'NY East Load Projections'!$A$4:$EO$14,((MONTH($A61)-1)*12)+VLOOKUP(BJ$4,$DE$6:$DF$17,2)+1))*(VLOOKUP($A61,CURVES!$D$9:$T$261,7))*(INDEX(DailyScalarsTable,BJ$5/100,MONTH($A61)))*$D61</f>
        <v>-8371.6193928579141</v>
      </c>
      <c r="BK61" s="1021">
        <f>(VLOOKUP(YEAR($A61),'NY East Load Projections'!$A$4:$EO$14,((MONTH($A61)-1)*12)+VLOOKUP(BK$4,$DE$6:$DF$17,2)+1))*(VLOOKUP($A61,CURVES!$D$9:$T$261,7))*(INDEX(DailyScalarsTable,BK$5/100,MONTH($A61)))*$D61</f>
        <v>-9301.2627347241705</v>
      </c>
      <c r="BL61" s="1021">
        <f>(VLOOKUP(YEAR($A61),'NY East Load Projections'!$A$4:$EO$14,((MONTH($A61)-1)*12)+VLOOKUP(BL$4,$DE$6:$DF$17,2)+1))*(VLOOKUP($A61,CURVES!$D$9:$T$261,7))*(INDEX(DailyScalarsTable,BL$5/100,MONTH($A61)))*$D61</f>
        <v>-10822.497294141673</v>
      </c>
      <c r="BM61" s="1021">
        <f>(VLOOKUP(YEAR($A61),'NY East Load Projections'!$A$4:$EO$14,((MONTH($A61)-1)*12)+VLOOKUP(BM$4,$DE$6:$DF$17,2)+1))*(VLOOKUP($A61,SatSunCurve,7))*(INDEX(DailyScalarsTable,BM$5/100,MONTH($A61)))*$D61</f>
        <v>-8089.3532918596802</v>
      </c>
      <c r="BN61" s="1021">
        <f>(VLOOKUP(YEAR($A61),'NY East Load Projections'!$A$4:$EO$14,((MONTH($A61)-1)*12)+VLOOKUP(BN$4,$DE$6:$DF$17,2)+1))*(VLOOKUP($A61,SatSunCurve,7))*(INDEX(DailyScalarsTable,BN$5/100,MONTH($A61)))*$D61</f>
        <v>-9746.2971087248297</v>
      </c>
      <c r="BO61" s="1021">
        <f>(VLOOKUP(YEAR($A61),'NY East Load Projections'!$A$4:$EO$14,((MONTH($A61)-1)*12)+VLOOKUP(BO$4,$DE$6:$DF$17,2)+1))*(VLOOKUP($A61,SatSunCurve,7))*(INDEX(DailyScalarsTable,BO$5/100,MONTH($A61)))*$D61</f>
        <v>-12499.026437531338</v>
      </c>
      <c r="BP61" s="1021">
        <f>(VLOOKUP(YEAR($A61),'NY East Load Projections'!$A$4:$EO$14,((MONTH($A61)-1)*12)+VLOOKUP(BP$4,$DE$6:$DF$17,2)+1))*(VLOOKUP($A61,SatSunCurve,7))*(INDEX(DailyScalarsTable,BP$5/100,MONTH($A61)))*$D61</f>
        <v>-14107.056441487613</v>
      </c>
      <c r="BQ61" s="1021">
        <f>(VLOOKUP(YEAR($A61),'NY East Load Projections'!$A$4:$EO$14,((MONTH($A61)-1)*12)+VLOOKUP(BQ$4,$DE$6:$DF$17,2)+1))*(VLOOKUP($A61,SatSunCurve,7))*(INDEX(DailyScalarsTable,BQ$5/100,MONTH($A61)))*$D61</f>
        <v>-14704.843866687177</v>
      </c>
      <c r="BR61" s="1021">
        <f>(VLOOKUP(YEAR($A61),'NY East Load Projections'!$A$4:$EO$14,((MONTH($A61)-1)*12)+VLOOKUP(BR$4,$DE$6:$DF$17,2)+1))*(VLOOKUP($A61,SatSunCurve,7))*(INDEX(DailyScalarsTable,BR$5/100,MONTH($A61)))*$D61</f>
        <v>-15072.894127176585</v>
      </c>
      <c r="BS61" s="1021">
        <f>(VLOOKUP(YEAR($A61),'NY East Load Projections'!$A$4:$EO$14,((MONTH($A61)-1)*12)+VLOOKUP(BS$4,$DE$6:$DF$17,2)+1))*(VLOOKUP($A61,SatSunCurve,7))*(INDEX(DailyScalarsTable,BS$5/100,MONTH($A61)))*$D61</f>
        <v>-16546.579753012134</v>
      </c>
      <c r="BT61" s="1021">
        <f>(VLOOKUP(YEAR($A61),'NY East Load Projections'!$A$4:$EO$14,((MONTH($A61)-1)*12)+VLOOKUP(BT$4,$DE$6:$DF$17,2)+1))*(VLOOKUP($A61,SatSunCurve,7))*(INDEX(DailyScalarsTable,BT$5/100,MONTH($A61)))*$D61</f>
        <v>-17517.147228880898</v>
      </c>
      <c r="BU61" s="1021">
        <f>(VLOOKUP(YEAR($A61),'NY East Load Projections'!$A$4:$EO$14,((MONTH($A61)-1)*12)+VLOOKUP(BU$4,$DE$6:$DF$17,2)+1))*(VLOOKUP($A61,SatSunCurve,7))*(INDEX(DailyScalarsTable,BU$5/100,MONTH($A61)))*$D61</f>
        <v>-17273.097380016414</v>
      </c>
      <c r="BV61" s="1021">
        <f>(VLOOKUP(YEAR($A61),'NY East Load Projections'!$A$4:$EO$14,((MONTH($A61)-1)*12)+VLOOKUP(BV$4,$DE$6:$DF$17,2)+1))*(VLOOKUP($A61,SatSunCurve,7))*(INDEX(DailyScalarsTable,BV$5/100,MONTH($A61)))*$D61</f>
        <v>-16020.034510041316</v>
      </c>
      <c r="BW61" s="1021">
        <f>(VLOOKUP(YEAR($A61),'NY East Load Projections'!$A$4:$EO$14,((MONTH($A61)-1)*12)+VLOOKUP(BW$4,$DE$6:$DF$17,2)+1))*(VLOOKUP($A61,SatSunCurve,7))*(INDEX(DailyScalarsTable,BW$5/100,MONTH($A61)))*$D61</f>
        <v>-14835.542298658454</v>
      </c>
      <c r="BX61" s="1021">
        <f>(VLOOKUP(YEAR($A61),'NY East Load Projections'!$A$4:$EO$14,((MONTH($A61)-1)*12)+VLOOKUP(BX$4,$DE$6:$DF$17,2)+1))*(VLOOKUP($A61,SatSunCurve,7))*(INDEX(DailyScalarsTable,BX$5/100,MONTH($A61)))*$D61</f>
        <v>-12092.507703877087</v>
      </c>
      <c r="BY61" s="1021">
        <f>(VLOOKUP(YEAR($A61),'NY East Load Projections'!$A$4:$EO$14,((MONTH($A61)-1)*12)+VLOOKUP(BY$4,$DE$6:$DF$17,2)+1))*(VLOOKUP($A61,SatSunCurve,7))*(INDEX(DailyScalarsTable,BY$5/100,MONTH($A61)))*$D61</f>
        <v>-11009.543396327041</v>
      </c>
      <c r="BZ61" s="1021">
        <f>(VLOOKUP(YEAR($A61),'NY East Load Projections'!$A$4:$EO$14,((MONTH($A61)-1)*12)+VLOOKUP(BZ$4,$DE$6:$DF$17,2)+1))*(VLOOKUP($A61,SatSunCurve,7))*(INDEX(DailyScalarsTable,BZ$5/100,MONTH($A61)))*$D61</f>
        <v>-13126.565236426768</v>
      </c>
      <c r="CA61" s="1021">
        <f>(VLOOKUP(YEAR($A61),'NY East Load Projections'!$A$4:$EO$14,((MONTH($A61)-1)*12)+VLOOKUP(CA$4,$DE$6:$DF$17,2)+1))*(VLOOKUP($A61,SatSunCurve,7))*(INDEX(DailyScalarsTable,CA$5/100,MONTH($A61)))*$D61</f>
        <v>-11161.884519543557</v>
      </c>
      <c r="CB61" s="1021">
        <f>(VLOOKUP(YEAR($A61),'NY East Load Projections'!$A$4:$EO$14,((MONTH($A61)-1)*12)+VLOOKUP(CB$4,$DE$6:$DF$17,2)+1))*(VLOOKUP($A61,SatSunCurve,7))*(INDEX(DailyScalarsTable,CB$5/100,MONTH($A61)))*$D61</f>
        <v>-9038.5440196817981</v>
      </c>
      <c r="CC61" s="1021">
        <f>(VLOOKUP(YEAR($A61),'NY East Load Projections'!$A$4:$EO$14,((MONTH($A61)-1)*12)+VLOOKUP(CC$4,$DE$6:$DF$17,2)+1))*(VLOOKUP($A61,CURVES!$D$9:$T$261,7))*(INDEX(DailyScalarsTable,CC$5/100,MONTH($A61)))*$D61</f>
        <v>-12570.273688083176</v>
      </c>
      <c r="CE61" s="1021">
        <f>(VLOOKUP(YEAR($A61),'NY East Load Projections'!$A$4:$EO$14,((MONTH($A61)-1)*12)+VLOOKUP(CE$4,$DE$6:$DF$17,2)+1))*(VLOOKUP($A61,CURVES!$D$9:$T$261,7))*(INDEX(DailyScalarsTable,CE$5/100,MONTH($A61)))*$E61</f>
        <v>0</v>
      </c>
      <c r="CF61" s="1021">
        <f>(VLOOKUP(YEAR($A61),'NY East Load Projections'!$A$4:$EO$14,((MONTH($A61)-1)*12)+VLOOKUP(CF$4,$DE$6:$DF$17,2)+1))*(VLOOKUP($A61,CURVES!$D$9:$T$261,7))*(INDEX(DailyScalarsTable,CF$5/100,MONTH($A61)))*$E61</f>
        <v>0</v>
      </c>
      <c r="CG61" s="1021">
        <f>(VLOOKUP(YEAR($A61),'NY East Load Projections'!$A$4:$EO$14,((MONTH($A61)-1)*12)+VLOOKUP(CG$4,$DE$6:$DF$17,2)+1))*(VLOOKUP($A61,CURVES!$D$9:$T$261,7))*(INDEX(DailyScalarsTable,CG$5/100,MONTH($A61)))*$E61</f>
        <v>0</v>
      </c>
      <c r="CH61" s="1021">
        <f>(VLOOKUP(YEAR($A61),'NY East Load Projections'!$A$4:$EO$14,((MONTH($A61)-1)*12)+VLOOKUP(CH$4,$DE$6:$DF$17,2)+1))*(VLOOKUP($A61,CURVES!$D$9:$T$261,7))*(INDEX(DailyScalarsTable,CH$5/100,MONTH($A61)))*$E61</f>
        <v>0</v>
      </c>
      <c r="CI61" s="1021">
        <f>(VLOOKUP(YEAR($A61),'NY East Load Projections'!$A$4:$EO$14,((MONTH($A61)-1)*12)+VLOOKUP(CI$4,$DE$6:$DF$17,2)+1))*(VLOOKUP($A61,CURVES!$D$9:$T$261,7))*(INDEX(DailyScalarsTable,CI$5/100,MONTH($A61)))*$E61</f>
        <v>0</v>
      </c>
      <c r="CJ61" s="1021">
        <f>(VLOOKUP(YEAR($A61),'NY East Load Projections'!$A$4:$EO$14,((MONTH($A61)-1)*12)+VLOOKUP(CJ$4,$DE$6:$DF$17,2)+1))*(VLOOKUP($A61,CURVES!$D$9:$T$261,7))*(INDEX(DailyScalarsTable,CJ$5/100,MONTH($A61)))*$E61</f>
        <v>0</v>
      </c>
      <c r="CK61" s="1021">
        <f>(VLOOKUP(YEAR($A61),'NY East Load Projections'!$A$4:$EO$14,((MONTH($A61)-1)*12)+VLOOKUP(CK$4,$DE$6:$DF$17,2)+1))*(VLOOKUP($A61,CURVES!$D$9:$T$261,7))*(INDEX(DailyScalarsTable,CK$5/100,MONTH($A61)))*$E61</f>
        <v>0</v>
      </c>
      <c r="CL61" s="1021">
        <f>(VLOOKUP(YEAR($A61),'NY East Load Projections'!$A$4:$EO$14,((MONTH($A61)-1)*12)+VLOOKUP(CL$4,$DE$6:$DF$17,2)+1))*(VLOOKUP($A61,SatSunCurve,7))*(INDEX(DailyScalarsTable,CL$5/100,MONTH($A61)))*$E61</f>
        <v>0</v>
      </c>
      <c r="CM61" s="1021">
        <f>(VLOOKUP(YEAR($A61),'NY East Load Projections'!$A$4:$EO$14,((MONTH($A61)-1)*12)+VLOOKUP(CM$4,$DE$6:$DF$17,2)+1))*(VLOOKUP($A61,SatSunCurve,7))*(INDEX(DailyScalarsTable,CM$5/100,MONTH($A61)))*$E61</f>
        <v>0</v>
      </c>
      <c r="CN61" s="1021">
        <f>(VLOOKUP(YEAR($A61),'NY East Load Projections'!$A$4:$EO$14,((MONTH($A61)-1)*12)+VLOOKUP(CN$4,$DE$6:$DF$17,2)+1))*(VLOOKUP($A61,SatSunCurve,7))*(INDEX(DailyScalarsTable,CN$5/100,MONTH($A61)))*$E61</f>
        <v>0</v>
      </c>
      <c r="CO61" s="1021">
        <f>(VLOOKUP(YEAR($A61),'NY East Load Projections'!$A$4:$EO$14,((MONTH($A61)-1)*12)+VLOOKUP(CO$4,$DE$6:$DF$17,2)+1))*(VLOOKUP($A61,SatSunCurve,7))*(INDEX(DailyScalarsTable,CO$5/100,MONTH($A61)))*$E61</f>
        <v>0</v>
      </c>
      <c r="CP61" s="1021">
        <f>(VLOOKUP(YEAR($A61),'NY East Load Projections'!$A$4:$EO$14,((MONTH($A61)-1)*12)+VLOOKUP(CP$4,$DE$6:$DF$17,2)+1))*(VLOOKUP($A61,SatSunCurve,7))*(INDEX(DailyScalarsTable,CP$5/100,MONTH($A61)))*$E61</f>
        <v>0</v>
      </c>
      <c r="CQ61" s="1021">
        <f>(VLOOKUP(YEAR($A61),'NY East Load Projections'!$A$4:$EO$14,((MONTH($A61)-1)*12)+VLOOKUP(CQ$4,$DE$6:$DF$17,2)+1))*(VLOOKUP($A61,SatSunCurve,7))*(INDEX(DailyScalarsTable,CQ$5/100,MONTH($A61)))*$E61</f>
        <v>0</v>
      </c>
      <c r="CR61" s="1021">
        <f>(VLOOKUP(YEAR($A61),'NY East Load Projections'!$A$4:$EO$14,((MONTH($A61)-1)*12)+VLOOKUP(CR$4,$DE$6:$DF$17,2)+1))*(VLOOKUP($A61,SatSunCurve,7))*(INDEX(DailyScalarsTable,CR$5/100,MONTH($A61)))*$E61</f>
        <v>0</v>
      </c>
      <c r="CS61" s="1021">
        <f>(VLOOKUP(YEAR($A61),'NY East Load Projections'!$A$4:$EO$14,((MONTH($A61)-1)*12)+VLOOKUP(CS$4,$DE$6:$DF$17,2)+1))*(VLOOKUP($A61,SatSunCurve,7))*(INDEX(DailyScalarsTable,CS$5/100,MONTH($A61)))*$E61</f>
        <v>0</v>
      </c>
      <c r="CT61" s="1021">
        <f>(VLOOKUP(YEAR($A61),'NY East Load Projections'!$A$4:$EO$14,((MONTH($A61)-1)*12)+VLOOKUP(CT$4,$DE$6:$DF$17,2)+1))*(VLOOKUP($A61,SatSunCurve,7))*(INDEX(DailyScalarsTable,CT$5/100,MONTH($A61)))*$E61</f>
        <v>0</v>
      </c>
      <c r="CU61" s="1021">
        <f>(VLOOKUP(YEAR($A61),'NY East Load Projections'!$A$4:$EO$14,((MONTH($A61)-1)*12)+VLOOKUP(CU$4,$DE$6:$DF$17,2)+1))*(VLOOKUP($A61,SatSunCurve,7))*(INDEX(DailyScalarsTable,CU$5/100,MONTH($A61)))*$E61</f>
        <v>0</v>
      </c>
      <c r="CV61" s="1021">
        <f>(VLOOKUP(YEAR($A61),'NY East Load Projections'!$A$4:$EO$14,((MONTH($A61)-1)*12)+VLOOKUP(CV$4,$DE$6:$DF$17,2)+1))*(VLOOKUP($A61,SatSunCurve,7))*(INDEX(DailyScalarsTable,CV$5/100,MONTH($A61)))*$E61</f>
        <v>0</v>
      </c>
      <c r="CW61" s="1021">
        <f>(VLOOKUP(YEAR($A61),'NY East Load Projections'!$A$4:$EO$14,((MONTH($A61)-1)*12)+VLOOKUP(CW$4,$DE$6:$DF$17,2)+1))*(VLOOKUP($A61,SatSunCurve,7))*(INDEX(DailyScalarsTable,CW$5/100,MONTH($A61)))*$E61</f>
        <v>0</v>
      </c>
      <c r="CX61" s="1021">
        <f>(VLOOKUP(YEAR($A61),'NY East Load Projections'!$A$4:$EO$14,((MONTH($A61)-1)*12)+VLOOKUP(CX$4,$DE$6:$DF$17,2)+1))*(VLOOKUP($A61,SatSunCurve,7))*(INDEX(DailyScalarsTable,CX$5/100,MONTH($A61)))*$E61</f>
        <v>0</v>
      </c>
      <c r="CY61" s="1021">
        <f>(VLOOKUP(YEAR($A61),'NY East Load Projections'!$A$4:$EO$14,((MONTH($A61)-1)*12)+VLOOKUP(CY$4,$DE$6:$DF$17,2)+1))*(VLOOKUP($A61,SatSunCurve,7))*(INDEX(DailyScalarsTable,CY$5/100,MONTH($A61)))*$E61</f>
        <v>0</v>
      </c>
      <c r="CZ61" s="1021">
        <f>(VLOOKUP(YEAR($A61),'NY East Load Projections'!$A$4:$EO$14,((MONTH($A61)-1)*12)+VLOOKUP(CZ$4,$DE$6:$DF$17,2)+1))*(VLOOKUP($A61,SatSunCurve,7))*(INDEX(DailyScalarsTable,CZ$5/100,MONTH($A61)))*$E61</f>
        <v>0</v>
      </c>
      <c r="DA61" s="1021">
        <f>(VLOOKUP(YEAR($A61),'NY East Load Projections'!$A$4:$EO$14,((MONTH($A61)-1)*12)+VLOOKUP(DA$4,$DE$6:$DF$17,2)+1))*(VLOOKUP($A61,SatSunCurve,7))*(INDEX(DailyScalarsTable,DA$5/100,MONTH($A61)))*$E61</f>
        <v>0</v>
      </c>
      <c r="DB61" s="1021">
        <f>(VLOOKUP(YEAR($A61),'NY East Load Projections'!$A$4:$EO$14,((MONTH($A61)-1)*12)+VLOOKUP(DB$4,$DE$6:$DF$17,2)+1))*(VLOOKUP($A61,CURVES!$D$9:$T$261,7))*(INDEX(DailyScalarsTable,DB$5/100,MONTH($A61)))*$E61</f>
        <v>0</v>
      </c>
      <c r="DH61" s="1032">
        <f t="shared" si="0"/>
        <v>-3981118.0642878991</v>
      </c>
      <c r="DI61">
        <f ca="1">CALC!J81</f>
        <v>0.67087747784082374</v>
      </c>
      <c r="DJ61" s="1029">
        <f t="shared" ca="1" si="1"/>
        <v>-2670842.445956008</v>
      </c>
    </row>
    <row r="62" spans="1:114" x14ac:dyDescent="0.25">
      <c r="A62" s="244">
        <v>38596</v>
      </c>
      <c r="B62" s="13">
        <v>21</v>
      </c>
      <c r="C62" s="210">
        <v>4</v>
      </c>
      <c r="D62" s="210">
        <v>4</v>
      </c>
      <c r="E62" s="210">
        <v>1</v>
      </c>
      <c r="F62" s="13">
        <v>30</v>
      </c>
      <c r="H62" s="1021">
        <f>(VLOOKUP(YEAR($A62),'NY East Load Projections'!$A$4:$EO$14,((MONTH($A62)-1)*12)+VLOOKUP(H$4,$DE$6:$DF$17,2)+1))*(VLOOKUP($A62,CURVES!$D$9:$K$261,7))*(INDEX(DailyScalarsTable,H$5/100,MONTH($A62)))*$B62</f>
        <v>-41768.817187024804</v>
      </c>
      <c r="I62" s="1021">
        <f>(VLOOKUP(YEAR($A62),'NY East Load Projections'!$A$4:$EO$14,((MONTH($A62)-1)*12)+VLOOKUP(I$4,$DE$6:$DF$17,2)+1))*(VLOOKUP($A62,CURVES!$D$9:$K$261,7))*(INDEX(DailyScalarsTable,I$5/100,MONTH($A62)))*$B62</f>
        <v>-36644.524908301668</v>
      </c>
      <c r="J62" s="1021">
        <f>(VLOOKUP(YEAR($A62),'NY East Load Projections'!$A$4:$EO$14,((MONTH($A62)-1)*12)+VLOOKUP(J$4,$DE$6:$DF$17,2)+1))*(VLOOKUP($A62,CURVES!$D$9:$K$261,7))*(INDEX(DailyScalarsTable,J$5/100,MONTH($A62)))*$B62</f>
        <v>-34363.525239718918</v>
      </c>
      <c r="K62" s="1021">
        <f>(VLOOKUP(YEAR($A62),'NY East Load Projections'!$A$4:$EO$14,((MONTH($A62)-1)*12)+VLOOKUP(K$4,$DE$6:$DF$17,2)+1))*(VLOOKUP($A62,CURVES!$D$9:$K$261,7))*(INDEX(DailyScalarsTable,K$5/100,MONTH($A62)))*$B62</f>
        <v>-34872.771677356002</v>
      </c>
      <c r="L62" s="1021">
        <f>(VLOOKUP(YEAR($A62),'NY East Load Projections'!$A$4:$EO$14,((MONTH($A62)-1)*12)+VLOOKUP(L$4,$DE$6:$DF$17,2)+1))*(VLOOKUP($A62,CURVES!$D$9:$K$261,7))*(INDEX(DailyScalarsTable,L$5/100,MONTH($A62)))*$B62</f>
        <v>-40996.820239539345</v>
      </c>
      <c r="M62" s="1021">
        <f>(VLOOKUP(YEAR($A62),'NY East Load Projections'!$A$4:$EO$14,((MONTH($A62)-1)*12)+VLOOKUP(M$4,$DE$6:$DF$17,2)+1))*(VLOOKUP($A62,CURVES!$D$9:$K$261,7))*(INDEX(DailyScalarsTable,M$5/100,MONTH($A62)))*$B62</f>
        <v>-47442.643201969026</v>
      </c>
      <c r="N62" s="1021">
        <f>(VLOOKUP(YEAR($A62),'NY East Load Projections'!$A$4:$EO$14,((MONTH($A62)-1)*12)+VLOOKUP(N$4,$DE$6:$DF$17,2)+1))*(VLOOKUP($A62,CURVES!$D$9:$K$261,7))*(INDEX(DailyScalarsTable,N$5/100,MONTH($A62)))*$B62</f>
        <v>-64515.987894569516</v>
      </c>
      <c r="O62" s="1021">
        <f>(VLOOKUP(YEAR($A62),'NY East Load Projections'!$A$4:$EO$14,((MONTH($A62)-1)*12)+VLOOKUP(O$4,$DE$6:$DF$17,2)+1))*(VLOOKUP($A62,CURVES!$D$9:$K$261,3))*(INDEX(DailyScalarsTable,O$5/100,MONTH($A62)))*$B62</f>
        <v>-58212.539182208086</v>
      </c>
      <c r="P62" s="1021">
        <f>(VLOOKUP(YEAR($A62),'NY East Load Projections'!$A$4:$EO$14,((MONTH($A62)-1)*12)+VLOOKUP(P$4,$DE$6:$DF$17,2)+1))*(VLOOKUP($A62,CURVES!$D$9:$K$261,3))*(INDEX(DailyScalarsTable,P$5/100,MONTH($A62)))*$B62</f>
        <v>-63815.611055779373</v>
      </c>
      <c r="Q62" s="1021">
        <f>(VLOOKUP(YEAR($A62),'NY East Load Projections'!$A$4:$EO$14,((MONTH($A62)-1)*12)+VLOOKUP(Q$4,$DE$6:$DF$17,2)+1))*(VLOOKUP($A62,CURVES!$D$9:$K$261,3))*(INDEX(DailyScalarsTable,Q$5/100,MONTH($A62)))*$B62</f>
        <v>-79661.862653975579</v>
      </c>
      <c r="R62" s="1021">
        <f>(VLOOKUP(YEAR($A62),'NY East Load Projections'!$A$4:$EO$14,((MONTH($A62)-1)*12)+VLOOKUP(R$4,$DE$6:$DF$17,2)+1))*(VLOOKUP($A62,CURVES!$D$9:$K$261,3))*(INDEX(DailyScalarsTable,R$5/100,MONTH($A62)))*$B62</f>
        <v>-85075.178417334522</v>
      </c>
      <c r="S62" s="1021">
        <f>(VLOOKUP(YEAR($A62),'NY East Load Projections'!$A$4:$EO$14,((MONTH($A62)-1)*12)+VLOOKUP(S$4,$DE$6:$DF$17,2)+1))*(VLOOKUP($A62,CURVES!$D$9:$K$261,3))*(INDEX(DailyScalarsTable,S$5/100,MONTH($A62)))*$B62</f>
        <v>-90648.433055520014</v>
      </c>
      <c r="T62" s="1021">
        <f>(VLOOKUP(YEAR($A62),'NY East Load Projections'!$A$4:$EO$14,((MONTH($A62)-1)*12)+VLOOKUP(T$4,$DE$6:$DF$17,2)+1))*(VLOOKUP($A62,CURVES!$D$9:$K$261,3))*(INDEX(DailyScalarsTable,T$5/100,MONTH($A62)))*$B62</f>
        <v>-88234.379253474835</v>
      </c>
      <c r="U62" s="1021">
        <f>(VLOOKUP(YEAR($A62),'NY East Load Projections'!$A$4:$EO$14,((MONTH($A62)-1)*12)+VLOOKUP(U$4,$DE$6:$DF$17,2)+1))*(VLOOKUP($A62,CURVES!$D$9:$K$261,3))*(INDEX(DailyScalarsTable,U$5/100,MONTH($A62)))*$B62</f>
        <v>-95516.533418933133</v>
      </c>
      <c r="V62" s="1021">
        <f>(VLOOKUP(YEAR($A62),'NY East Load Projections'!$A$4:$EO$14,((MONTH($A62)-1)*12)+VLOOKUP(V$4,$DE$6:$DF$17,2)+1))*(VLOOKUP($A62,CURVES!$D$9:$K$261,3))*(INDEX(DailyScalarsTable,V$5/100,MONTH($A62)))*$B62</f>
        <v>-94009.444122081812</v>
      </c>
      <c r="W62" s="1021">
        <f>(VLOOKUP(YEAR($A62),'NY East Load Projections'!$A$4:$EO$14,((MONTH($A62)-1)*12)+VLOOKUP(W$4,$DE$6:$DF$17,2)+1))*(VLOOKUP($A62,CURVES!$D$9:$K$261,3))*(INDEX(DailyScalarsTable,W$5/100,MONTH($A62)))*$B62</f>
        <v>-91071.253224018612</v>
      </c>
      <c r="X62" s="1021">
        <f>(VLOOKUP(YEAR($A62),'NY East Load Projections'!$A$4:$EO$14,((MONTH($A62)-1)*12)+VLOOKUP(X$4,$DE$6:$DF$17,2)+1))*(VLOOKUP($A62,CURVES!$D$9:$K$261,3))*(INDEX(DailyScalarsTable,X$5/100,MONTH($A62)))*$B62</f>
        <v>-92299.684955805104</v>
      </c>
      <c r="Y62" s="1021">
        <f>(VLOOKUP(YEAR($A62),'NY East Load Projections'!$A$4:$EO$14,((MONTH($A62)-1)*12)+VLOOKUP(Y$4,$DE$6:$DF$17,2)+1))*(VLOOKUP($A62,CURVES!$D$9:$K$261,3))*(INDEX(DailyScalarsTable,Y$5/100,MONTH($A62)))*$B62</f>
        <v>-90035.393136359911</v>
      </c>
      <c r="Z62" s="1021">
        <f>(VLOOKUP(YEAR($A62),'NY East Load Projections'!$A$4:$EO$14,((MONTH($A62)-1)*12)+VLOOKUP(Z$4,$DE$6:$DF$17,2)+1))*(VLOOKUP($A62,CURVES!$D$9:$K$261,3))*(INDEX(DailyScalarsTable,Z$5/100,MONTH($A62)))*$B62</f>
        <v>-73744.409361720056</v>
      </c>
      <c r="AA62" s="1021">
        <f>(VLOOKUP(YEAR($A62),'NY East Load Projections'!$A$4:$EO$14,((MONTH($A62)-1)*12)+VLOOKUP(AA$4,$DE$6:$DF$17,2)+1))*(VLOOKUP($A62,CURVES!$D$9:$K$261,3))*(INDEX(DailyScalarsTable,AA$5/100,MONTH($A62)))*$B62</f>
        <v>-96375.410230806447</v>
      </c>
      <c r="AB62" s="1021">
        <f>(VLOOKUP(YEAR($A62),'NY East Load Projections'!$A$4:$EO$14,((MONTH($A62)-1)*12)+VLOOKUP(AB$4,$DE$6:$DF$17,2)+1))*(VLOOKUP($A62,CURVES!$D$9:$K$261,3))*(INDEX(DailyScalarsTable,AB$5/100,MONTH($A62)))*$B62</f>
        <v>-85754.182866009476</v>
      </c>
      <c r="AC62" s="1021">
        <f>(VLOOKUP(YEAR($A62),'NY East Load Projections'!$A$4:$EO$14,((MONTH($A62)-1)*12)+VLOOKUP(AC$4,$DE$6:$DF$17,2)+1))*(VLOOKUP($A62,CURVES!$D$9:$K$261,3))*(INDEX(DailyScalarsTable,AC$5/100,MONTH($A62)))*$B62</f>
        <v>-65267.409721174226</v>
      </c>
      <c r="AD62" s="1021">
        <f>(VLOOKUP(YEAR($A62),'NY East Load Projections'!$A$4:$EO$14,((MONTH($A62)-1)*12)+VLOOKUP(AD$4,$DE$6:$DF$17,2)+1))*(VLOOKUP($A62,CURVES!$D$9:$K$261,3))*(INDEX(DailyScalarsTable,AD$5/100,MONTH($A62)))*$B62</f>
        <v>-51721.740413911539</v>
      </c>
      <c r="AE62" s="1021">
        <f>(VLOOKUP(YEAR($A62),'NY East Load Projections'!$A$4:$EO$14,((MONTH($A62)-1)*12)+VLOOKUP(AE$4,$DE$6:$DF$17,2)+1))*(VLOOKUP($A62,CURVES!$D$9:$K$261,7))*(INDEX(DailyScalarsTable,AE$5/100,MONTH($A62)))*$B62</f>
        <v>-49200.744602595885</v>
      </c>
      <c r="AF62" s="1021"/>
      <c r="AG62" s="1021">
        <f>(VLOOKUP(YEAR($A62),'NY East Load Projections'!$A$4:$EO$14,((MONTH($A62)-1)*12)+VLOOKUP(AG$4,$DE$6:$DF$17,2)+1))*(VLOOKUP($A62,CURVES!$D$9:$T$261,7))*(INDEX(DailyScalarsTable,AG$5/100,MONTH($A62)))*$C62</f>
        <v>-8300.7644411118417</v>
      </c>
      <c r="AH62" s="1021">
        <f>(VLOOKUP(YEAR($A62),'NY East Load Projections'!$A$4:$EO$14,((MONTH($A62)-1)*12)+VLOOKUP(AH$4,$DE$6:$DF$17,2)+1))*(VLOOKUP($A62,CURVES!$D$9:$T$261,7))*(INDEX(DailyScalarsTable,AH$5/100,MONTH($A62)))*$C62</f>
        <v>-7282.4080212345179</v>
      </c>
      <c r="AI62" s="1021">
        <f>(VLOOKUP(YEAR($A62),'NY East Load Projections'!$A$4:$EO$14,((MONTH($A62)-1)*12)+VLOOKUP(AI$4,$DE$6:$DF$17,2)+1))*(VLOOKUP($A62,CURVES!$D$9:$T$261,7))*(INDEX(DailyScalarsTable,AI$5/100,MONTH($A62)))*$C62</f>
        <v>-6829.1023684940965</v>
      </c>
      <c r="AJ62" s="1021">
        <f>(VLOOKUP(YEAR($A62),'NY East Load Projections'!$A$4:$EO$14,((MONTH($A62)-1)*12)+VLOOKUP(AJ$4,$DE$6:$DF$17,2)+1))*(VLOOKUP($A62,CURVES!$D$9:$T$261,7))*(INDEX(DailyScalarsTable,AJ$5/100,MONTH($A62)))*$C62</f>
        <v>-6930.3054909663788</v>
      </c>
      <c r="AK62" s="1021">
        <f>(VLOOKUP(YEAR($A62),'NY East Load Projections'!$A$4:$EO$14,((MONTH($A62)-1)*12)+VLOOKUP(AK$4,$DE$6:$DF$17,2)+1))*(VLOOKUP($A62,CURVES!$D$9:$T$261,7))*(INDEX(DailyScalarsTable,AK$5/100,MONTH($A62)))*$C62</f>
        <v>-7537.0125197917359</v>
      </c>
      <c r="AL62" s="1021">
        <f>(VLOOKUP(YEAR($A62),'NY East Load Projections'!$A$4:$EO$14,((MONTH($A62)-1)*12)+VLOOKUP(AL$4,$DE$6:$DF$17,2)+1))*(VLOOKUP($A62,CURVES!$D$9:$T$261,7))*(INDEX(DailyScalarsTable,AL$5/100,MONTH($A62)))*$C62</f>
        <v>-8722.0373115764032</v>
      </c>
      <c r="AM62" s="1021">
        <f>(VLOOKUP(YEAR($A62),'NY East Load Projections'!$A$4:$EO$14,((MONTH($A62)-1)*12)+VLOOKUP(AM$4,$DE$6:$DF$17,2)+1))*(VLOOKUP($A62,CURVES!$D$9:$T$261,7))*(INDEX(DailyScalarsTable,AM$5/100,MONTH($A62)))*$C62</f>
        <v>-11860.866419565185</v>
      </c>
      <c r="AN62" s="1021">
        <f>(VLOOKUP(YEAR($A62),'NY East Load Projections'!$A$4:$EO$14,((MONTH($A62)-1)*12)+VLOOKUP(AN$4,$DE$6:$DF$17,2)+1))*(VLOOKUP($A62,SatSunCurve,3))*(INDEX(DailyScalarsTable,AN$5/100,MONTH($A62)))*$C62</f>
        <v>-7615.5871710440269</v>
      </c>
      <c r="AO62" s="1021">
        <f>(VLOOKUP(YEAR($A62),'NY East Load Projections'!$A$4:$EO$14,((MONTH($A62)-1)*12)+VLOOKUP(AO$4,$DE$6:$DF$17,2)+1))*(VLOOKUP($A62,SatSunCurve,3))*(INDEX(DailyScalarsTable,AO$5/100,MONTH($A62)))*$C62</f>
        <v>-8386.4840307463946</v>
      </c>
      <c r="AP62" s="1021">
        <f>(VLOOKUP(YEAR($A62),'NY East Load Projections'!$A$4:$EO$14,((MONTH($A62)-1)*12)+VLOOKUP(AP$4,$DE$6:$DF$17,2)+1))*(VLOOKUP($A62,SatSunCurve,3))*(INDEX(DailyScalarsTable,AP$5/100,MONTH($A62)))*$C62</f>
        <v>-10468.957798165198</v>
      </c>
      <c r="AQ62" s="1021">
        <f>(VLOOKUP(YEAR($A62),'NY East Load Projections'!$A$4:$EO$14,((MONTH($A62)-1)*12)+VLOOKUP(AQ$4,$DE$6:$DF$17,2)+1))*(VLOOKUP($A62,SatSunCurve,3))*(INDEX(DailyScalarsTable,AQ$5/100,MONTH($A62)))*$C62</f>
        <v>-11180.361880202679</v>
      </c>
      <c r="AR62" s="1021">
        <f>(VLOOKUP(YEAR($A62),'NY East Load Projections'!$A$4:$EO$14,((MONTH($A62)-1)*12)+VLOOKUP(AR$4,$DE$6:$DF$17,2)+1))*(VLOOKUP($A62,SatSunCurve,3))*(INDEX(DailyScalarsTable,AR$5/100,MONTH($A62)))*$C62</f>
        <v>-11912.78471920945</v>
      </c>
      <c r="AS62" s="1021">
        <f>(VLOOKUP(YEAR($A62),'NY East Load Projections'!$A$4:$EO$14,((MONTH($A62)-1)*12)+VLOOKUP(AS$4,$DE$6:$DF$17,2)+1))*(VLOOKUP($A62,SatSunCurve,3))*(INDEX(DailyScalarsTable,AS$5/100,MONTH($A62)))*$C62</f>
        <v>-11526.833197675896</v>
      </c>
      <c r="AT62" s="1021">
        <f>(VLOOKUP(YEAR($A62),'NY East Load Projections'!$A$4:$EO$14,((MONTH($A62)-1)*12)+VLOOKUP(AT$4,$DE$6:$DF$17,2)+1))*(VLOOKUP($A62,SatSunCurve,3))*(INDEX(DailyScalarsTable,AT$5/100,MONTH($A62)))*$C62</f>
        <v>-12478.165060552836</v>
      </c>
      <c r="AU62" s="1021">
        <f>(VLOOKUP(YEAR($A62),'NY East Load Projections'!$A$4:$EO$14,((MONTH($A62)-1)*12)+VLOOKUP(AU$4,$DE$6:$DF$17,2)+1))*(VLOOKUP($A62,SatSunCurve,3))*(INDEX(DailyScalarsTable,AU$5/100,MONTH($A62)))*$C62</f>
        <v>-12281.280727192225</v>
      </c>
      <c r="AV62" s="1021">
        <f>(VLOOKUP(YEAR($A62),'NY East Load Projections'!$A$4:$EO$14,((MONTH($A62)-1)*12)+VLOOKUP(AV$4,$DE$6:$DF$17,2)+1))*(VLOOKUP($A62,SatSunCurve,3))*(INDEX(DailyScalarsTable,AV$5/100,MONTH($A62)))*$C62</f>
        <v>-11897.439001648831</v>
      </c>
      <c r="AW62" s="1021">
        <f>(VLOOKUP(YEAR($A62),'NY East Load Projections'!$A$4:$EO$14,((MONTH($A62)-1)*12)+VLOOKUP(AW$4,$DE$6:$DF$17,2)+1))*(VLOOKUP($A62,SatSunCurve,3))*(INDEX(DailyScalarsTable,AW$5/100,MONTH($A62)))*$C62</f>
        <v>-11949.076574206767</v>
      </c>
      <c r="AX62" s="1021">
        <f>(VLOOKUP(YEAR($A62),'NY East Load Projections'!$A$4:$EO$14,((MONTH($A62)-1)*12)+VLOOKUP(AX$4,$DE$6:$DF$17,2)+1))*(VLOOKUP($A62,SatSunCurve,3))*(INDEX(DailyScalarsTable,AX$5/100,MONTH($A62)))*$C62</f>
        <v>-11655.942352244301</v>
      </c>
      <c r="AY62" s="1021">
        <f>(VLOOKUP(YEAR($A62),'NY East Load Projections'!$A$4:$EO$14,((MONTH($A62)-1)*12)+VLOOKUP(AY$4,$DE$6:$DF$17,2)+1))*(VLOOKUP($A62,SatSunCurve,3))*(INDEX(DailyScalarsTable,AY$5/100,MONTH($A62)))*$C62</f>
        <v>-9546.9187658090959</v>
      </c>
      <c r="AZ62" s="1021">
        <f>(VLOOKUP(YEAR($A62),'NY East Load Projections'!$A$4:$EO$14,((MONTH($A62)-1)*12)+VLOOKUP(AZ$4,$DE$6:$DF$17,2)+1))*(VLOOKUP($A62,SatSunCurve,3))*(INDEX(DailyScalarsTable,AZ$5/100,MONTH($A62)))*$C62</f>
        <v>-12476.718173739202</v>
      </c>
      <c r="BA62" s="1021">
        <f>(VLOOKUP(YEAR($A62),'NY East Load Projections'!$A$4:$EO$14,((MONTH($A62)-1)*12)+VLOOKUP(BA$4,$DE$6:$DF$17,2)+1))*(VLOOKUP($A62,SatSunCurve,3))*(INDEX(DailyScalarsTable,BA$5/100,MONTH($A62)))*$C62</f>
        <v>-12075.113026765874</v>
      </c>
      <c r="BB62" s="1021">
        <f>(VLOOKUP(YEAR($A62),'NY East Load Projections'!$A$4:$EO$14,((MONTH($A62)-1)*12)+VLOOKUP(BB$4,$DE$6:$DF$17,2)+1))*(VLOOKUP($A62,SatSunCurve,3))*(INDEX(DailyScalarsTable,BB$5/100,MONTH($A62)))*$C62</f>
        <v>-9190.3546043793212</v>
      </c>
      <c r="BC62" s="1021">
        <f>(VLOOKUP(YEAR($A62),'NY East Load Projections'!$A$4:$EO$14,((MONTH($A62)-1)*12)+VLOOKUP(BC$4,$DE$6:$DF$17,2)+1))*(VLOOKUP($A62,SatSunCurve,3))*(INDEX(DailyScalarsTable,BC$5/100,MONTH($A62)))*$C62</f>
        <v>-7282.9783990231272</v>
      </c>
      <c r="BD62" s="1021">
        <f>(VLOOKUP(YEAR($A62),'NY East Load Projections'!$A$4:$EO$14,((MONTH($A62)-1)*12)+VLOOKUP(BD$4,$DE$6:$DF$17,2)+1))*(VLOOKUP($A62,CURVES!$D$9:$T$261,7))*(INDEX(DailyScalarsTable,BD$5/100,MONTH($A62)))*$C62</f>
        <v>-9735.7582135283137</v>
      </c>
      <c r="BE62" s="1021"/>
      <c r="BF62" s="1021">
        <f>(VLOOKUP(YEAR($A62),'NY East Load Projections'!$A$4:$EO$14,((MONTH($A62)-1)*12)+VLOOKUP(BF$4,$DE$6:$DF$17,2)+1))*(VLOOKUP($A62,CURVES!$D$9:$T$261,7))*(INDEX(DailyScalarsTable,BF$5/100,MONTH($A62)))*$D62</f>
        <v>-8300.7644411118417</v>
      </c>
      <c r="BG62" s="1021">
        <f>(VLOOKUP(YEAR($A62),'NY East Load Projections'!$A$4:$EO$14,((MONTH($A62)-1)*12)+VLOOKUP(BG$4,$DE$6:$DF$17,2)+1))*(VLOOKUP($A62,CURVES!$D$9:$T$261,7))*(INDEX(DailyScalarsTable,BG$5/100,MONTH($A62)))*$D62</f>
        <v>-7282.4080212345179</v>
      </c>
      <c r="BH62" s="1021">
        <f>(VLOOKUP(YEAR($A62),'NY East Load Projections'!$A$4:$EO$14,((MONTH($A62)-1)*12)+VLOOKUP(BH$4,$DE$6:$DF$17,2)+1))*(VLOOKUP($A62,CURVES!$D$9:$T$261,7))*(INDEX(DailyScalarsTable,BH$5/100,MONTH($A62)))*$D62</f>
        <v>-6829.1023684940965</v>
      </c>
      <c r="BI62" s="1021">
        <f>(VLOOKUP(YEAR($A62),'NY East Load Projections'!$A$4:$EO$14,((MONTH($A62)-1)*12)+VLOOKUP(BI$4,$DE$6:$DF$17,2)+1))*(VLOOKUP($A62,CURVES!$D$9:$T$261,7))*(INDEX(DailyScalarsTable,BI$5/100,MONTH($A62)))*$D62</f>
        <v>-6930.3054909663788</v>
      </c>
      <c r="BJ62" s="1021">
        <f>(VLOOKUP(YEAR($A62),'NY East Load Projections'!$A$4:$EO$14,((MONTH($A62)-1)*12)+VLOOKUP(BJ$4,$DE$6:$DF$17,2)+1))*(VLOOKUP($A62,CURVES!$D$9:$T$261,7))*(INDEX(DailyScalarsTable,BJ$5/100,MONTH($A62)))*$D62</f>
        <v>-7537.0125197917359</v>
      </c>
      <c r="BK62" s="1021">
        <f>(VLOOKUP(YEAR($A62),'NY East Load Projections'!$A$4:$EO$14,((MONTH($A62)-1)*12)+VLOOKUP(BK$4,$DE$6:$DF$17,2)+1))*(VLOOKUP($A62,CURVES!$D$9:$T$261,7))*(INDEX(DailyScalarsTable,BK$5/100,MONTH($A62)))*$D62</f>
        <v>-8722.0373115764032</v>
      </c>
      <c r="BL62" s="1021">
        <f>(VLOOKUP(YEAR($A62),'NY East Load Projections'!$A$4:$EO$14,((MONTH($A62)-1)*12)+VLOOKUP(BL$4,$DE$6:$DF$17,2)+1))*(VLOOKUP($A62,CURVES!$D$9:$T$261,7))*(INDEX(DailyScalarsTable,BL$5/100,MONTH($A62)))*$D62</f>
        <v>-11860.866419565185</v>
      </c>
      <c r="BM62" s="1021">
        <f>(VLOOKUP(YEAR($A62),'NY East Load Projections'!$A$4:$EO$14,((MONTH($A62)-1)*12)+VLOOKUP(BM$4,$DE$6:$DF$17,2)+1))*(VLOOKUP($A62,SatSunCurve,7))*(INDEX(DailyScalarsTable,BM$5/100,MONTH($A62)))*$D62</f>
        <v>-7777.3431108283175</v>
      </c>
      <c r="BN62" s="1021">
        <f>(VLOOKUP(YEAR($A62),'NY East Load Projections'!$A$4:$EO$14,((MONTH($A62)-1)*12)+VLOOKUP(BN$4,$DE$6:$DF$17,2)+1))*(VLOOKUP($A62,SatSunCurve,7))*(INDEX(DailyScalarsTable,BN$5/100,MONTH($A62)))*$D62</f>
        <v>-8564.6139077225598</v>
      </c>
      <c r="BO62" s="1021">
        <f>(VLOOKUP(YEAR($A62),'NY East Load Projections'!$A$4:$EO$14,((MONTH($A62)-1)*12)+VLOOKUP(BO$4,$DE$6:$DF$17,2)+1))*(VLOOKUP($A62,SatSunCurve,7))*(INDEX(DailyScalarsTable,BO$5/100,MONTH($A62)))*$D62</f>
        <v>-10691.319655389156</v>
      </c>
      <c r="BP62" s="1021">
        <f>(VLOOKUP(YEAR($A62),'NY East Load Projections'!$A$4:$EO$14,((MONTH($A62)-1)*12)+VLOOKUP(BP$4,$DE$6:$DF$17,2)+1))*(VLOOKUP($A62,SatSunCurve,7))*(INDEX(DailyScalarsTable,BP$5/100,MONTH($A62)))*$D62</f>
        <v>-11417.834041237995</v>
      </c>
      <c r="BQ62" s="1021">
        <f>(VLOOKUP(YEAR($A62),'NY East Load Projections'!$A$4:$EO$14,((MONTH($A62)-1)*12)+VLOOKUP(BQ$4,$DE$6:$DF$17,2)+1))*(VLOOKUP($A62,SatSunCurve,7))*(INDEX(DailyScalarsTable,BQ$5/100,MONTH($A62)))*$D62</f>
        <v>-12165.813624850551</v>
      </c>
      <c r="BR62" s="1021">
        <f>(VLOOKUP(YEAR($A62),'NY East Load Projections'!$A$4:$EO$14,((MONTH($A62)-1)*12)+VLOOKUP(BR$4,$DE$6:$DF$17,2)+1))*(VLOOKUP($A62,SatSunCurve,7))*(INDEX(DailyScalarsTable,BR$5/100,MONTH($A62)))*$D62</f>
        <v>-11771.664448996367</v>
      </c>
      <c r="BS62" s="1021">
        <f>(VLOOKUP(YEAR($A62),'NY East Load Projections'!$A$4:$EO$14,((MONTH($A62)-1)*12)+VLOOKUP(BS$4,$DE$6:$DF$17,2)+1))*(VLOOKUP($A62,SatSunCurve,7))*(INDEX(DailyScalarsTable,BS$5/100,MONTH($A62)))*$D62</f>
        <v>-12743.202709104435</v>
      </c>
      <c r="BT62" s="1021">
        <f>(VLOOKUP(YEAR($A62),'NY East Load Projections'!$A$4:$EO$14,((MONTH($A62)-1)*12)+VLOOKUP(BT$4,$DE$6:$DF$17,2)+1))*(VLOOKUP($A62,SatSunCurve,7))*(INDEX(DailyScalarsTable,BT$5/100,MONTH($A62)))*$D62</f>
        <v>-12542.13653005599</v>
      </c>
      <c r="BU62" s="1021">
        <f>(VLOOKUP(YEAR($A62),'NY East Load Projections'!$A$4:$EO$14,((MONTH($A62)-1)*12)+VLOOKUP(BU$4,$DE$6:$DF$17,2)+1))*(VLOOKUP($A62,SatSunCurve,7))*(INDEX(DailyScalarsTable,BU$5/100,MONTH($A62)))*$D62</f>
        <v>-12150.141962499341</v>
      </c>
      <c r="BV62" s="1021">
        <f>(VLOOKUP(YEAR($A62),'NY East Load Projections'!$A$4:$EO$14,((MONTH($A62)-1)*12)+VLOOKUP(BV$4,$DE$6:$DF$17,2)+1))*(VLOOKUP($A62,SatSunCurve,7))*(INDEX(DailyScalarsTable,BV$5/100,MONTH($A62)))*$D62</f>
        <v>-12202.876322985732</v>
      </c>
      <c r="BW62" s="1021">
        <f>(VLOOKUP(YEAR($A62),'NY East Load Projections'!$A$4:$EO$14,((MONTH($A62)-1)*12)+VLOOKUP(BW$4,$DE$6:$DF$17,2)+1))*(VLOOKUP($A62,SatSunCurve,7))*(INDEX(DailyScalarsTable,BW$5/100,MONTH($A62)))*$D62</f>
        <v>-11903.515896727849</v>
      </c>
      <c r="BX62" s="1021">
        <f>(VLOOKUP(YEAR($A62),'NY East Load Projections'!$A$4:$EO$14,((MONTH($A62)-1)*12)+VLOOKUP(BX$4,$DE$6:$DF$17,2)+1))*(VLOOKUP($A62,SatSunCurve,7))*(INDEX(DailyScalarsTable,BX$5/100,MONTH($A62)))*$D62</f>
        <v>-9749.6964088619352</v>
      </c>
      <c r="BY62" s="1021">
        <f>(VLOOKUP(YEAR($A62),'NY East Load Projections'!$A$4:$EO$14,((MONTH($A62)-1)*12)+VLOOKUP(BY$4,$DE$6:$DF$17,2)+1))*(VLOOKUP($A62,SatSunCurve,7))*(INDEX(DailyScalarsTable,BY$5/100,MONTH($A62)))*$D62</f>
        <v>-12741.725090249916</v>
      </c>
      <c r="BZ62" s="1021">
        <f>(VLOOKUP(YEAR($A62),'NY East Load Projections'!$A$4:$EO$14,((MONTH($A62)-1)*12)+VLOOKUP(BZ$4,$DE$6:$DF$17,2)+1))*(VLOOKUP($A62,SatSunCurve,7))*(INDEX(DailyScalarsTable,BZ$5/100,MONTH($A62)))*$D62</f>
        <v>-12331.58980416691</v>
      </c>
      <c r="CA62" s="1021">
        <f>(VLOOKUP(YEAR($A62),'NY East Load Projections'!$A$4:$EO$14,((MONTH($A62)-1)*12)+VLOOKUP(CA$4,$DE$6:$DF$17,2)+1))*(VLOOKUP($A62,SatSunCurve,7))*(INDEX(DailyScalarsTable,CA$5/100,MONTH($A62)))*$D62</f>
        <v>-9385.5587839906566</v>
      </c>
      <c r="CB62" s="1021">
        <f>(VLOOKUP(YEAR($A62),'NY East Load Projections'!$A$4:$EO$14,((MONTH($A62)-1)*12)+VLOOKUP(CB$4,$DE$6:$DF$17,2)+1))*(VLOOKUP($A62,SatSunCurve,7))*(INDEX(DailyScalarsTable,CB$5/100,MONTH($A62)))*$D62</f>
        <v>-7437.669690568172</v>
      </c>
      <c r="CC62" s="1021">
        <f>(VLOOKUP(YEAR($A62),'NY East Load Projections'!$A$4:$EO$14,((MONTH($A62)-1)*12)+VLOOKUP(CC$4,$DE$6:$DF$17,2)+1))*(VLOOKUP($A62,CURVES!$D$9:$T$261,7))*(INDEX(DailyScalarsTable,CC$5/100,MONTH($A62)))*$D62</f>
        <v>-9735.7582135283137</v>
      </c>
      <c r="CE62" s="1021">
        <f>(VLOOKUP(YEAR($A62),'NY East Load Projections'!$A$4:$EO$14,((MONTH($A62)-1)*12)+VLOOKUP(CE$4,$DE$6:$DF$17,2)+1))*(VLOOKUP($A62,CURVES!$D$9:$T$261,7))*(INDEX(DailyScalarsTable,CE$5/100,MONTH($A62)))*$E62</f>
        <v>-2075.1911102779604</v>
      </c>
      <c r="CF62" s="1021">
        <f>(VLOOKUP(YEAR($A62),'NY East Load Projections'!$A$4:$EO$14,((MONTH($A62)-1)*12)+VLOOKUP(CF$4,$DE$6:$DF$17,2)+1))*(VLOOKUP($A62,CURVES!$D$9:$T$261,7))*(INDEX(DailyScalarsTable,CF$5/100,MONTH($A62)))*$E62</f>
        <v>-1820.6020053086295</v>
      </c>
      <c r="CG62" s="1021">
        <f>(VLOOKUP(YEAR($A62),'NY East Load Projections'!$A$4:$EO$14,((MONTH($A62)-1)*12)+VLOOKUP(CG$4,$DE$6:$DF$17,2)+1))*(VLOOKUP($A62,CURVES!$D$9:$T$261,7))*(INDEX(DailyScalarsTable,CG$5/100,MONTH($A62)))*$E62</f>
        <v>-1707.2755921235241</v>
      </c>
      <c r="CH62" s="1021">
        <f>(VLOOKUP(YEAR($A62),'NY East Load Projections'!$A$4:$EO$14,((MONTH($A62)-1)*12)+VLOOKUP(CH$4,$DE$6:$DF$17,2)+1))*(VLOOKUP($A62,CURVES!$D$9:$T$261,7))*(INDEX(DailyScalarsTable,CH$5/100,MONTH($A62)))*$E62</f>
        <v>-1732.5763727415947</v>
      </c>
      <c r="CI62" s="1021">
        <f>(VLOOKUP(YEAR($A62),'NY East Load Projections'!$A$4:$EO$14,((MONTH($A62)-1)*12)+VLOOKUP(CI$4,$DE$6:$DF$17,2)+1))*(VLOOKUP($A62,CURVES!$D$9:$T$261,7))*(INDEX(DailyScalarsTable,CI$5/100,MONTH($A62)))*$E62</f>
        <v>-1884.253129947934</v>
      </c>
      <c r="CJ62" s="1021">
        <f>(VLOOKUP(YEAR($A62),'NY East Load Projections'!$A$4:$EO$14,((MONTH($A62)-1)*12)+VLOOKUP(CJ$4,$DE$6:$DF$17,2)+1))*(VLOOKUP($A62,CURVES!$D$9:$T$261,7))*(INDEX(DailyScalarsTable,CJ$5/100,MONTH($A62)))*$E62</f>
        <v>-2180.5093278941008</v>
      </c>
      <c r="CK62" s="1021">
        <f>(VLOOKUP(YEAR($A62),'NY East Load Projections'!$A$4:$EO$14,((MONTH($A62)-1)*12)+VLOOKUP(CK$4,$DE$6:$DF$17,2)+1))*(VLOOKUP($A62,CURVES!$D$9:$T$261,7))*(INDEX(DailyScalarsTable,CK$5/100,MONTH($A62)))*$E62</f>
        <v>-2965.2166048912964</v>
      </c>
      <c r="CL62" s="1021">
        <f>(VLOOKUP(YEAR($A62),'NY East Load Projections'!$A$4:$EO$14,((MONTH($A62)-1)*12)+VLOOKUP(CL$4,$DE$6:$DF$17,2)+1))*(VLOOKUP($A62,SatSunCurve,7))*(INDEX(DailyScalarsTable,CL$5/100,MONTH($A62)))*$E62</f>
        <v>-1944.3357777070794</v>
      </c>
      <c r="CM62" s="1021">
        <f>(VLOOKUP(YEAR($A62),'NY East Load Projections'!$A$4:$EO$14,((MONTH($A62)-1)*12)+VLOOKUP(CM$4,$DE$6:$DF$17,2)+1))*(VLOOKUP($A62,SatSunCurve,7))*(INDEX(DailyScalarsTable,CM$5/100,MONTH($A62)))*$E62</f>
        <v>-2141.15347693064</v>
      </c>
      <c r="CN62" s="1021">
        <f>(VLOOKUP(YEAR($A62),'NY East Load Projections'!$A$4:$EO$14,((MONTH($A62)-1)*12)+VLOOKUP(CN$4,$DE$6:$DF$17,2)+1))*(VLOOKUP($A62,SatSunCurve,7))*(INDEX(DailyScalarsTable,CN$5/100,MONTH($A62)))*$E62</f>
        <v>-2672.8299138472889</v>
      </c>
      <c r="CO62" s="1021">
        <f>(VLOOKUP(YEAR($A62),'NY East Load Projections'!$A$4:$EO$14,((MONTH($A62)-1)*12)+VLOOKUP(CO$4,$DE$6:$DF$17,2)+1))*(VLOOKUP($A62,SatSunCurve,7))*(INDEX(DailyScalarsTable,CO$5/100,MONTH($A62)))*$E62</f>
        <v>-2854.4585103094987</v>
      </c>
      <c r="CP62" s="1021">
        <f>(VLOOKUP(YEAR($A62),'NY East Load Projections'!$A$4:$EO$14,((MONTH($A62)-1)*12)+VLOOKUP(CP$4,$DE$6:$DF$17,2)+1))*(VLOOKUP($A62,SatSunCurve,7))*(INDEX(DailyScalarsTable,CP$5/100,MONTH($A62)))*$E62</f>
        <v>-3041.4534062126377</v>
      </c>
      <c r="CQ62" s="1021">
        <f>(VLOOKUP(YEAR($A62),'NY East Load Projections'!$A$4:$EO$14,((MONTH($A62)-1)*12)+VLOOKUP(CQ$4,$DE$6:$DF$17,2)+1))*(VLOOKUP($A62,SatSunCurve,7))*(INDEX(DailyScalarsTable,CQ$5/100,MONTH($A62)))*$E62</f>
        <v>-2942.9161122490918</v>
      </c>
      <c r="CR62" s="1021">
        <f>(VLOOKUP(YEAR($A62),'NY East Load Projections'!$A$4:$EO$14,((MONTH($A62)-1)*12)+VLOOKUP(CR$4,$DE$6:$DF$17,2)+1))*(VLOOKUP($A62,SatSunCurve,7))*(INDEX(DailyScalarsTable,CR$5/100,MONTH($A62)))*$E62</f>
        <v>-3185.8006772761087</v>
      </c>
      <c r="CS62" s="1021">
        <f>(VLOOKUP(YEAR($A62),'NY East Load Projections'!$A$4:$EO$14,((MONTH($A62)-1)*12)+VLOOKUP(CS$4,$DE$6:$DF$17,2)+1))*(VLOOKUP($A62,SatSunCurve,7))*(INDEX(DailyScalarsTable,CS$5/100,MONTH($A62)))*$E62</f>
        <v>-3135.5341325139975</v>
      </c>
      <c r="CT62" s="1021">
        <f>(VLOOKUP(YEAR($A62),'NY East Load Projections'!$A$4:$EO$14,((MONTH($A62)-1)*12)+VLOOKUP(CT$4,$DE$6:$DF$17,2)+1))*(VLOOKUP($A62,SatSunCurve,7))*(INDEX(DailyScalarsTable,CT$5/100,MONTH($A62)))*$E62</f>
        <v>-3037.5354906248353</v>
      </c>
      <c r="CU62" s="1021">
        <f>(VLOOKUP(YEAR($A62),'NY East Load Projections'!$A$4:$EO$14,((MONTH($A62)-1)*12)+VLOOKUP(CU$4,$DE$6:$DF$17,2)+1))*(VLOOKUP($A62,SatSunCurve,7))*(INDEX(DailyScalarsTable,CU$5/100,MONTH($A62)))*$E62</f>
        <v>-3050.7190807464331</v>
      </c>
      <c r="CV62" s="1021">
        <f>(VLOOKUP(YEAR($A62),'NY East Load Projections'!$A$4:$EO$14,((MONTH($A62)-1)*12)+VLOOKUP(CV$4,$DE$6:$DF$17,2)+1))*(VLOOKUP($A62,SatSunCurve,7))*(INDEX(DailyScalarsTable,CV$5/100,MONTH($A62)))*$E62</f>
        <v>-2975.8789741819623</v>
      </c>
      <c r="CW62" s="1021">
        <f>(VLOOKUP(YEAR($A62),'NY East Load Projections'!$A$4:$EO$14,((MONTH($A62)-1)*12)+VLOOKUP(CW$4,$DE$6:$DF$17,2)+1))*(VLOOKUP($A62,SatSunCurve,7))*(INDEX(DailyScalarsTable,CW$5/100,MONTH($A62)))*$E62</f>
        <v>-2437.4241022154838</v>
      </c>
      <c r="CX62" s="1021">
        <f>(VLOOKUP(YEAR($A62),'NY East Load Projections'!$A$4:$EO$14,((MONTH($A62)-1)*12)+VLOOKUP(CX$4,$DE$6:$DF$17,2)+1))*(VLOOKUP($A62,SatSunCurve,7))*(INDEX(DailyScalarsTable,CX$5/100,MONTH($A62)))*$E62</f>
        <v>-3185.4312725624791</v>
      </c>
      <c r="CY62" s="1021">
        <f>(VLOOKUP(YEAR($A62),'NY East Load Projections'!$A$4:$EO$14,((MONTH($A62)-1)*12)+VLOOKUP(CY$4,$DE$6:$DF$17,2)+1))*(VLOOKUP($A62,SatSunCurve,7))*(INDEX(DailyScalarsTable,CY$5/100,MONTH($A62)))*$E62</f>
        <v>-3082.8974510417274</v>
      </c>
      <c r="CZ62" s="1021">
        <f>(VLOOKUP(YEAR($A62),'NY East Load Projections'!$A$4:$EO$14,((MONTH($A62)-1)*12)+VLOOKUP(CZ$4,$DE$6:$DF$17,2)+1))*(VLOOKUP($A62,SatSunCurve,7))*(INDEX(DailyScalarsTable,CZ$5/100,MONTH($A62)))*$E62</f>
        <v>-2346.3896959976641</v>
      </c>
      <c r="DA62" s="1021">
        <f>(VLOOKUP(YEAR($A62),'NY East Load Projections'!$A$4:$EO$14,((MONTH($A62)-1)*12)+VLOOKUP(DA$4,$DE$6:$DF$17,2)+1))*(VLOOKUP($A62,SatSunCurve,7))*(INDEX(DailyScalarsTable,DA$5/100,MONTH($A62)))*$E62</f>
        <v>-1859.417422642043</v>
      </c>
      <c r="DB62" s="1021">
        <f>(VLOOKUP(YEAR($A62),'NY East Load Projections'!$A$4:$EO$14,((MONTH($A62)-1)*12)+VLOOKUP(DB$4,$DE$6:$DF$17,2)+1))*(VLOOKUP($A62,CURVES!$D$9:$T$261,7))*(INDEX(DailyScalarsTable,DB$5/100,MONTH($A62)))*$E62</f>
        <v>-2433.9395533820784</v>
      </c>
      <c r="DH62" s="1032">
        <f t="shared" si="0"/>
        <v>-2193841.2462571929</v>
      </c>
      <c r="DI62">
        <f ca="1">CALC!J82</f>
        <v>0.66683762127099377</v>
      </c>
      <c r="DJ62" s="1029">
        <f t="shared" ca="1" si="1"/>
        <v>-1462935.8781003391</v>
      </c>
    </row>
    <row r="63" spans="1:114" x14ac:dyDescent="0.25">
      <c r="A63" s="244">
        <v>38626</v>
      </c>
      <c r="B63" s="13">
        <v>21</v>
      </c>
      <c r="C63" s="210">
        <v>5</v>
      </c>
      <c r="D63" s="210">
        <v>5</v>
      </c>
      <c r="E63" s="210">
        <v>0</v>
      </c>
      <c r="F63" s="13">
        <v>31</v>
      </c>
      <c r="H63" s="1021">
        <f>(VLOOKUP(YEAR($A63),'NY East Load Projections'!$A$4:$EO$14,((MONTH($A63)-1)*12)+VLOOKUP(H$4,$DE$6:$DF$17,2)+1))*(VLOOKUP($A63,CURVES!$D$9:$K$261,7))*(INDEX(DailyScalarsTable,H$5/100,MONTH($A63)))*$B63</f>
        <v>-36536.836634391417</v>
      </c>
      <c r="I63" s="1021">
        <f>(VLOOKUP(YEAR($A63),'NY East Load Projections'!$A$4:$EO$14,((MONTH($A63)-1)*12)+VLOOKUP(I$4,$DE$6:$DF$17,2)+1))*(VLOOKUP($A63,CURVES!$D$9:$K$261,7))*(INDEX(DailyScalarsTable,I$5/100,MONTH($A63)))*$B63</f>
        <v>-34678.248736085887</v>
      </c>
      <c r="J63" s="1021">
        <f>(VLOOKUP(YEAR($A63),'NY East Load Projections'!$A$4:$EO$14,((MONTH($A63)-1)*12)+VLOOKUP(J$4,$DE$6:$DF$17,2)+1))*(VLOOKUP($A63,CURVES!$D$9:$K$261,7))*(INDEX(DailyScalarsTable,J$5/100,MONTH($A63)))*$B63</f>
        <v>-33312.205870871672</v>
      </c>
      <c r="K63" s="1021">
        <f>(VLOOKUP(YEAR($A63),'NY East Load Projections'!$A$4:$EO$14,((MONTH($A63)-1)*12)+VLOOKUP(K$4,$DE$6:$DF$17,2)+1))*(VLOOKUP($A63,CURVES!$D$9:$K$261,7))*(INDEX(DailyScalarsTable,K$5/100,MONTH($A63)))*$B63</f>
        <v>-33331.445911226794</v>
      </c>
      <c r="L63" s="1021">
        <f>(VLOOKUP(YEAR($A63),'NY East Load Projections'!$A$4:$EO$14,((MONTH($A63)-1)*12)+VLOOKUP(L$4,$DE$6:$DF$17,2)+1))*(VLOOKUP($A63,CURVES!$D$9:$K$261,7))*(INDEX(DailyScalarsTable,L$5/100,MONTH($A63)))*$B63</f>
        <v>-39392.532713721768</v>
      </c>
      <c r="M63" s="1021">
        <f>(VLOOKUP(YEAR($A63),'NY East Load Projections'!$A$4:$EO$14,((MONTH($A63)-1)*12)+VLOOKUP(M$4,$DE$6:$DF$17,2)+1))*(VLOOKUP($A63,CURVES!$D$9:$K$261,7))*(INDEX(DailyScalarsTable,M$5/100,MONTH($A63)))*$B63</f>
        <v>-45255.706228262767</v>
      </c>
      <c r="N63" s="1021">
        <f>(VLOOKUP(YEAR($A63),'NY East Load Projections'!$A$4:$EO$14,((MONTH($A63)-1)*12)+VLOOKUP(N$4,$DE$6:$DF$17,2)+1))*(VLOOKUP($A63,CURVES!$D$9:$K$261,7))*(INDEX(DailyScalarsTable,N$5/100,MONTH($A63)))*$B63</f>
        <v>-58504.182422105936</v>
      </c>
      <c r="O63" s="1021">
        <f>(VLOOKUP(YEAR($A63),'NY East Load Projections'!$A$4:$EO$14,((MONTH($A63)-1)*12)+VLOOKUP(O$4,$DE$6:$DF$17,2)+1))*(VLOOKUP($A63,CURVES!$D$9:$K$261,3))*(INDEX(DailyScalarsTable,O$5/100,MONTH($A63)))*$B63</f>
        <v>-70052.846853556679</v>
      </c>
      <c r="P63" s="1021">
        <f>(VLOOKUP(YEAR($A63),'NY East Load Projections'!$A$4:$EO$14,((MONTH($A63)-1)*12)+VLOOKUP(P$4,$DE$6:$DF$17,2)+1))*(VLOOKUP($A63,CURVES!$D$9:$K$261,3))*(INDEX(DailyScalarsTable,P$5/100,MONTH($A63)))*$B63</f>
        <v>-83523.184999030884</v>
      </c>
      <c r="Q63" s="1021">
        <f>(VLOOKUP(YEAR($A63),'NY East Load Projections'!$A$4:$EO$14,((MONTH($A63)-1)*12)+VLOOKUP(Q$4,$DE$6:$DF$17,2)+1))*(VLOOKUP($A63,CURVES!$D$9:$K$261,3))*(INDEX(DailyScalarsTable,Q$5/100,MONTH($A63)))*$B63</f>
        <v>-83265.078741308287</v>
      </c>
      <c r="R63" s="1021">
        <f>(VLOOKUP(YEAR($A63),'NY East Load Projections'!$A$4:$EO$14,((MONTH($A63)-1)*12)+VLOOKUP(R$4,$DE$6:$DF$17,2)+1))*(VLOOKUP($A63,CURVES!$D$9:$K$261,3))*(INDEX(DailyScalarsTable,R$5/100,MONTH($A63)))*$B63</f>
        <v>-82793.113012901274</v>
      </c>
      <c r="S63" s="1021">
        <f>(VLOOKUP(YEAR($A63),'NY East Load Projections'!$A$4:$EO$14,((MONTH($A63)-1)*12)+VLOOKUP(S$4,$DE$6:$DF$17,2)+1))*(VLOOKUP($A63,CURVES!$D$9:$K$261,3))*(INDEX(DailyScalarsTable,S$5/100,MONTH($A63)))*$B63</f>
        <v>-69865.676733252563</v>
      </c>
      <c r="T63" s="1021">
        <f>(VLOOKUP(YEAR($A63),'NY East Load Projections'!$A$4:$EO$14,((MONTH($A63)-1)*12)+VLOOKUP(T$4,$DE$6:$DF$17,2)+1))*(VLOOKUP($A63,CURVES!$D$9:$K$261,3))*(INDEX(DailyScalarsTable,T$5/100,MONTH($A63)))*$B63</f>
        <v>-67673.927544038554</v>
      </c>
      <c r="U63" s="1021">
        <f>(VLOOKUP(YEAR($A63),'NY East Load Projections'!$A$4:$EO$14,((MONTH($A63)-1)*12)+VLOOKUP(U$4,$DE$6:$DF$17,2)+1))*(VLOOKUP($A63,CURVES!$D$9:$K$261,3))*(INDEX(DailyScalarsTable,U$5/100,MONTH($A63)))*$B63</f>
        <v>-65795.574908531475</v>
      </c>
      <c r="V63" s="1021">
        <f>(VLOOKUP(YEAR($A63),'NY East Load Projections'!$A$4:$EO$14,((MONTH($A63)-1)*12)+VLOOKUP(V$4,$DE$6:$DF$17,2)+1))*(VLOOKUP($A63,CURVES!$D$9:$K$261,3))*(INDEX(DailyScalarsTable,V$5/100,MONTH($A63)))*$B63</f>
        <v>-64267.036933888056</v>
      </c>
      <c r="W63" s="1021">
        <f>(VLOOKUP(YEAR($A63),'NY East Load Projections'!$A$4:$EO$14,((MONTH($A63)-1)*12)+VLOOKUP(W$4,$DE$6:$DF$17,2)+1))*(VLOOKUP($A63,CURVES!$D$9:$K$261,3))*(INDEX(DailyScalarsTable,W$5/100,MONTH($A63)))*$B63</f>
        <v>-63825.966274538216</v>
      </c>
      <c r="X63" s="1021">
        <f>(VLOOKUP(YEAR($A63),'NY East Load Projections'!$A$4:$EO$14,((MONTH($A63)-1)*12)+VLOOKUP(X$4,$DE$6:$DF$17,2)+1))*(VLOOKUP($A63,CURVES!$D$9:$K$261,3))*(INDEX(DailyScalarsTable,X$5/100,MONTH($A63)))*$B63</f>
        <v>-63411.309623338602</v>
      </c>
      <c r="Y63" s="1021">
        <f>(VLOOKUP(YEAR($A63),'NY East Load Projections'!$A$4:$EO$14,((MONTH($A63)-1)*12)+VLOOKUP(Y$4,$DE$6:$DF$17,2)+1))*(VLOOKUP($A63,CURVES!$D$9:$K$261,3))*(INDEX(DailyScalarsTable,Y$5/100,MONTH($A63)))*$B63</f>
        <v>-85543.966590567288</v>
      </c>
      <c r="Z63" s="1021">
        <f>(VLOOKUP(YEAR($A63),'NY East Load Projections'!$A$4:$EO$14,((MONTH($A63)-1)*12)+VLOOKUP(Z$4,$DE$6:$DF$17,2)+1))*(VLOOKUP($A63,CURVES!$D$9:$K$261,3))*(INDEX(DailyScalarsTable,Z$5/100,MONTH($A63)))*$B63</f>
        <v>-86214.005158979358</v>
      </c>
      <c r="AA63" s="1021">
        <f>(VLOOKUP(YEAR($A63),'NY East Load Projections'!$A$4:$EO$14,((MONTH($A63)-1)*12)+VLOOKUP(AA$4,$DE$6:$DF$17,2)+1))*(VLOOKUP($A63,CURVES!$D$9:$K$261,3))*(INDEX(DailyScalarsTable,AA$5/100,MONTH($A63)))*$B63</f>
        <v>-82450.384264068984</v>
      </c>
      <c r="AB63" s="1021">
        <f>(VLOOKUP(YEAR($A63),'NY East Load Projections'!$A$4:$EO$14,((MONTH($A63)-1)*12)+VLOOKUP(AB$4,$DE$6:$DF$17,2)+1))*(VLOOKUP($A63,CURVES!$D$9:$K$261,3))*(INDEX(DailyScalarsTable,AB$5/100,MONTH($A63)))*$B63</f>
        <v>-67109.158241183773</v>
      </c>
      <c r="AC63" s="1021">
        <f>(VLOOKUP(YEAR($A63),'NY East Load Projections'!$A$4:$EO$14,((MONTH($A63)-1)*12)+VLOOKUP(AC$4,$DE$6:$DF$17,2)+1))*(VLOOKUP($A63,CURVES!$D$9:$K$261,3))*(INDEX(DailyScalarsTable,AC$5/100,MONTH($A63)))*$B63</f>
        <v>-55670.025832592066</v>
      </c>
      <c r="AD63" s="1021">
        <f>(VLOOKUP(YEAR($A63),'NY East Load Projections'!$A$4:$EO$14,((MONTH($A63)-1)*12)+VLOOKUP(AD$4,$DE$6:$DF$17,2)+1))*(VLOOKUP($A63,CURVES!$D$9:$K$261,3))*(INDEX(DailyScalarsTable,AD$5/100,MONTH($A63)))*$B63</f>
        <v>-47464.237655847071</v>
      </c>
      <c r="AE63" s="1021">
        <f>(VLOOKUP(YEAR($A63),'NY East Load Projections'!$A$4:$EO$14,((MONTH($A63)-1)*12)+VLOOKUP(AE$4,$DE$6:$DF$17,2)+1))*(VLOOKUP($A63,CURVES!$D$9:$K$261,7))*(INDEX(DailyScalarsTable,AE$5/100,MONTH($A63)))*$B63</f>
        <v>-42491.636850882096</v>
      </c>
      <c r="AF63" s="1021"/>
      <c r="AG63" s="1021">
        <f>(VLOOKUP(YEAR($A63),'NY East Load Projections'!$A$4:$EO$14,((MONTH($A63)-1)*12)+VLOOKUP(AG$4,$DE$6:$DF$17,2)+1))*(VLOOKUP($A63,CURVES!$D$9:$T$261,7))*(INDEX(DailyScalarsTable,AG$5/100,MONTH($A63)))*$C63</f>
        <v>-9064.3224249473824</v>
      </c>
      <c r="AH63" s="1021">
        <f>(VLOOKUP(YEAR($A63),'NY East Load Projections'!$A$4:$EO$14,((MONTH($A63)-1)*12)+VLOOKUP(AH$4,$DE$6:$DF$17,2)+1))*(VLOOKUP($A63,CURVES!$D$9:$T$261,7))*(INDEX(DailyScalarsTable,AH$5/100,MONTH($A63)))*$C63</f>
        <v>-8603.2305101238344</v>
      </c>
      <c r="AI63" s="1021">
        <f>(VLOOKUP(YEAR($A63),'NY East Load Projections'!$A$4:$EO$14,((MONTH($A63)-1)*12)+VLOOKUP(AI$4,$DE$6:$DF$17,2)+1))*(VLOOKUP($A63,CURVES!$D$9:$T$261,7))*(INDEX(DailyScalarsTable,AI$5/100,MONTH($A63)))*$C63</f>
        <v>-8264.3327259367543</v>
      </c>
      <c r="AJ63" s="1021">
        <f>(VLOOKUP(YEAR($A63),'NY East Load Projections'!$A$4:$EO$14,((MONTH($A63)-1)*12)+VLOOKUP(AJ$4,$DE$6:$DF$17,2)+1))*(VLOOKUP($A63,CURVES!$D$9:$T$261,7))*(INDEX(DailyScalarsTable,AJ$5/100,MONTH($A63)))*$C63</f>
        <v>-8269.1059341647415</v>
      </c>
      <c r="AK63" s="1021">
        <f>(VLOOKUP(YEAR($A63),'NY East Load Projections'!$A$4:$EO$14,((MONTH($A63)-1)*12)+VLOOKUP(AK$4,$DE$6:$DF$17,2)+1))*(VLOOKUP($A63,CURVES!$D$9:$T$261,7))*(INDEX(DailyScalarsTable,AK$5/100,MONTH($A63)))*$C63</f>
        <v>-8967.3381547495992</v>
      </c>
      <c r="AL63" s="1021">
        <f>(VLOOKUP(YEAR($A63),'NY East Load Projections'!$A$4:$EO$14,((MONTH($A63)-1)*12)+VLOOKUP(AL$4,$DE$6:$DF$17,2)+1))*(VLOOKUP($A63,CURVES!$D$9:$T$261,7))*(INDEX(DailyScalarsTable,AL$5/100,MONTH($A63)))*$C63</f>
        <v>-10302.034249234186</v>
      </c>
      <c r="AM63" s="1021">
        <f>(VLOOKUP(YEAR($A63),'NY East Load Projections'!$A$4:$EO$14,((MONTH($A63)-1)*12)+VLOOKUP(AM$4,$DE$6:$DF$17,2)+1))*(VLOOKUP($A63,CURVES!$D$9:$T$261,7))*(INDEX(DailyScalarsTable,AM$5/100,MONTH($A63)))*$C63</f>
        <v>-13317.924771651858</v>
      </c>
      <c r="AN63" s="1021">
        <f>(VLOOKUP(YEAR($A63),'NY East Load Projections'!$A$4:$EO$14,((MONTH($A63)-1)*12)+VLOOKUP(AN$4,$DE$6:$DF$17,2)+1))*(VLOOKUP($A63,SatSunCurve,3))*(INDEX(DailyScalarsTable,AN$5/100,MONTH($A63)))*$C63</f>
        <v>-12234.908665472034</v>
      </c>
      <c r="AO63" s="1021">
        <f>(VLOOKUP(YEAR($A63),'NY East Load Projections'!$A$4:$EO$14,((MONTH($A63)-1)*12)+VLOOKUP(AO$4,$DE$6:$DF$17,2)+1))*(VLOOKUP($A63,SatSunCurve,3))*(INDEX(DailyScalarsTable,AO$5/100,MONTH($A63)))*$C63</f>
        <v>-14444.613812410624</v>
      </c>
      <c r="AP63" s="1021">
        <f>(VLOOKUP(YEAR($A63),'NY East Load Projections'!$A$4:$EO$14,((MONTH($A63)-1)*12)+VLOOKUP(AP$4,$DE$6:$DF$17,2)+1))*(VLOOKUP($A63,SatSunCurve,3))*(INDEX(DailyScalarsTable,AP$5/100,MONTH($A63)))*$C63</f>
        <v>-14399.97656329934</v>
      </c>
      <c r="AQ63" s="1021">
        <f>(VLOOKUP(YEAR($A63),'NY East Load Projections'!$A$4:$EO$14,((MONTH($A63)-1)*12)+VLOOKUP(AQ$4,$DE$6:$DF$17,2)+1))*(VLOOKUP($A63,SatSunCurve,3))*(INDEX(DailyScalarsTable,AQ$5/100,MONTH($A63)))*$C63</f>
        <v>-14318.354164924425</v>
      </c>
      <c r="AR63" s="1021">
        <f>(VLOOKUP(YEAR($A63),'NY East Load Projections'!$A$4:$EO$14,((MONTH($A63)-1)*12)+VLOOKUP(AR$4,$DE$6:$DF$17,2)+1))*(VLOOKUP($A63,SatSunCurve,3))*(INDEX(DailyScalarsTable,AR$5/100,MONTH($A63)))*$C63</f>
        <v>-12082.665659436538</v>
      </c>
      <c r="AS63" s="1021">
        <f>(VLOOKUP(YEAR($A63),'NY East Load Projections'!$A$4:$EO$14,((MONTH($A63)-1)*12)+VLOOKUP(AS$4,$DE$6:$DF$17,2)+1))*(VLOOKUP($A63,SatSunCurve,3))*(INDEX(DailyScalarsTable,AS$5/100,MONTH($A63)))*$C63</f>
        <v>-11641.865191873592</v>
      </c>
      <c r="AT63" s="1021">
        <f>(VLOOKUP(YEAR($A63),'NY East Load Projections'!$A$4:$EO$14,((MONTH($A63)-1)*12)+VLOOKUP(AT$4,$DE$6:$DF$17,2)+1))*(VLOOKUP($A63,SatSunCurve,3))*(INDEX(DailyScalarsTable,AT$5/100,MONTH($A63)))*$C63</f>
        <v>-11318.734424102742</v>
      </c>
      <c r="AU63" s="1021">
        <f>(VLOOKUP(YEAR($A63),'NY East Load Projections'!$A$4:$EO$14,((MONTH($A63)-1)*12)+VLOOKUP(AU$4,$DE$6:$DF$17,2)+1))*(VLOOKUP($A63,SatSunCurve,3))*(INDEX(DailyScalarsTable,AU$5/100,MONTH($A63)))*$C63</f>
        <v>-11055.78185599772</v>
      </c>
      <c r="AV63" s="1021">
        <f>(VLOOKUP(YEAR($A63),'NY East Load Projections'!$A$4:$EO$14,((MONTH($A63)-1)*12)+VLOOKUP(AV$4,$DE$6:$DF$17,2)+1))*(VLOOKUP($A63,SatSunCurve,3))*(INDEX(DailyScalarsTable,AV$5/100,MONTH($A63)))*$C63</f>
        <v>-10979.904995549507</v>
      </c>
      <c r="AW63" s="1021">
        <f>(VLOOKUP(YEAR($A63),'NY East Load Projections'!$A$4:$EO$14,((MONTH($A63)-1)*12)+VLOOKUP(AW$4,$DE$6:$DF$17,2)+1))*(VLOOKUP($A63,SatSunCurve,3))*(INDEX(DailyScalarsTable,AW$5/100,MONTH($A63)))*$C63</f>
        <v>-10868.322109517676</v>
      </c>
      <c r="AX63" s="1021">
        <f>(VLOOKUP(YEAR($A63),'NY East Load Projections'!$A$4:$EO$14,((MONTH($A63)-1)*12)+VLOOKUP(AX$4,$DE$6:$DF$17,2)+1))*(VLOOKUP($A63,SatSunCurve,3))*(INDEX(DailyScalarsTable,AX$5/100,MONTH($A63)))*$C63</f>
        <v>-14661.72815156493</v>
      </c>
      <c r="AY63" s="1021">
        <f>(VLOOKUP(YEAR($A63),'NY East Load Projections'!$A$4:$EO$14,((MONTH($A63)-1)*12)+VLOOKUP(AY$4,$DE$6:$DF$17,2)+1))*(VLOOKUP($A63,SatSunCurve,3))*(INDEX(DailyScalarsTable,AY$5/100,MONTH($A63)))*$C63</f>
        <v>-14776.568785366042</v>
      </c>
      <c r="AZ63" s="1021">
        <f>(VLOOKUP(YEAR($A63),'NY East Load Projections'!$A$4:$EO$14,((MONTH($A63)-1)*12)+VLOOKUP(AZ$4,$DE$6:$DF$17,2)+1))*(VLOOKUP($A63,SatSunCurve,3))*(INDEX(DailyScalarsTable,AZ$5/100,MONTH($A63)))*$C63</f>
        <v>-14131.506501887474</v>
      </c>
      <c r="BA63" s="1021">
        <f>(VLOOKUP(YEAR($A63),'NY East Load Projections'!$A$4:$EO$14,((MONTH($A63)-1)*12)+VLOOKUP(BA$4,$DE$6:$DF$17,2)+1))*(VLOOKUP($A63,SatSunCurve,3))*(INDEX(DailyScalarsTable,BA$5/100,MONTH($A63)))*$C63</f>
        <v>-12439.779102569391</v>
      </c>
      <c r="BB63" s="1021">
        <f>(VLOOKUP(YEAR($A63),'NY East Load Projections'!$A$4:$EO$14,((MONTH($A63)-1)*12)+VLOOKUP(BB$4,$DE$6:$DF$17,2)+1))*(VLOOKUP($A63,SatSunCurve,3))*(INDEX(DailyScalarsTable,BB$5/100,MONTH($A63)))*$C63</f>
        <v>-10319.348985170063</v>
      </c>
      <c r="BC63" s="1021">
        <f>(VLOOKUP(YEAR($A63),'NY East Load Projections'!$A$4:$EO$14,((MONTH($A63)-1)*12)+VLOOKUP(BC$4,$DE$6:$DF$17,2)+1))*(VLOOKUP($A63,SatSunCurve,3))*(INDEX(DailyScalarsTable,BC$5/100,MONTH($A63)))*$C63</f>
        <v>-8798.2720568270761</v>
      </c>
      <c r="BD63" s="1021">
        <f>(VLOOKUP(YEAR($A63),'NY East Load Projections'!$A$4:$EO$14,((MONTH($A63)-1)*12)+VLOOKUP(BD$4,$DE$6:$DF$17,2)+1))*(VLOOKUP($A63,CURVES!$D$9:$T$261,7))*(INDEX(DailyScalarsTable,BD$5/100,MONTH($A63)))*$C63</f>
        <v>-10266.183874397992</v>
      </c>
      <c r="BE63" s="1021"/>
      <c r="BF63" s="1021">
        <f>(VLOOKUP(YEAR($A63),'NY East Load Projections'!$A$4:$EO$14,((MONTH($A63)-1)*12)+VLOOKUP(BF$4,$DE$6:$DF$17,2)+1))*(VLOOKUP($A63,CURVES!$D$9:$T$261,7))*(INDEX(DailyScalarsTable,BF$5/100,MONTH($A63)))*$D63</f>
        <v>-9064.3224249473824</v>
      </c>
      <c r="BG63" s="1021">
        <f>(VLOOKUP(YEAR($A63),'NY East Load Projections'!$A$4:$EO$14,((MONTH($A63)-1)*12)+VLOOKUP(BG$4,$DE$6:$DF$17,2)+1))*(VLOOKUP($A63,CURVES!$D$9:$T$261,7))*(INDEX(DailyScalarsTable,BG$5/100,MONTH($A63)))*$D63</f>
        <v>-8603.2305101238344</v>
      </c>
      <c r="BH63" s="1021">
        <f>(VLOOKUP(YEAR($A63),'NY East Load Projections'!$A$4:$EO$14,((MONTH($A63)-1)*12)+VLOOKUP(BH$4,$DE$6:$DF$17,2)+1))*(VLOOKUP($A63,CURVES!$D$9:$T$261,7))*(INDEX(DailyScalarsTable,BH$5/100,MONTH($A63)))*$D63</f>
        <v>-8264.3327259367543</v>
      </c>
      <c r="BI63" s="1021">
        <f>(VLOOKUP(YEAR($A63),'NY East Load Projections'!$A$4:$EO$14,((MONTH($A63)-1)*12)+VLOOKUP(BI$4,$DE$6:$DF$17,2)+1))*(VLOOKUP($A63,CURVES!$D$9:$T$261,7))*(INDEX(DailyScalarsTable,BI$5/100,MONTH($A63)))*$D63</f>
        <v>-8269.1059341647415</v>
      </c>
      <c r="BJ63" s="1021">
        <f>(VLOOKUP(YEAR($A63),'NY East Load Projections'!$A$4:$EO$14,((MONTH($A63)-1)*12)+VLOOKUP(BJ$4,$DE$6:$DF$17,2)+1))*(VLOOKUP($A63,CURVES!$D$9:$T$261,7))*(INDEX(DailyScalarsTable,BJ$5/100,MONTH($A63)))*$D63</f>
        <v>-8967.3381547495992</v>
      </c>
      <c r="BK63" s="1021">
        <f>(VLOOKUP(YEAR($A63),'NY East Load Projections'!$A$4:$EO$14,((MONTH($A63)-1)*12)+VLOOKUP(BK$4,$DE$6:$DF$17,2)+1))*(VLOOKUP($A63,CURVES!$D$9:$T$261,7))*(INDEX(DailyScalarsTable,BK$5/100,MONTH($A63)))*$D63</f>
        <v>-10302.034249234186</v>
      </c>
      <c r="BL63" s="1021">
        <f>(VLOOKUP(YEAR($A63),'NY East Load Projections'!$A$4:$EO$14,((MONTH($A63)-1)*12)+VLOOKUP(BL$4,$DE$6:$DF$17,2)+1))*(VLOOKUP($A63,CURVES!$D$9:$T$261,7))*(INDEX(DailyScalarsTable,BL$5/100,MONTH($A63)))*$D63</f>
        <v>-13317.924771651858</v>
      </c>
      <c r="BM63" s="1021">
        <f>(VLOOKUP(YEAR($A63),'NY East Load Projections'!$A$4:$EO$14,((MONTH($A63)-1)*12)+VLOOKUP(BM$4,$DE$6:$DF$17,2)+1))*(VLOOKUP($A63,SatSunCurve,7))*(INDEX(DailyScalarsTable,BM$5/100,MONTH($A63)))*$D63</f>
        <v>-11189.473605308156</v>
      </c>
      <c r="BN63" s="1021">
        <f>(VLOOKUP(YEAR($A63),'NY East Load Projections'!$A$4:$EO$14,((MONTH($A63)-1)*12)+VLOOKUP(BN$4,$DE$6:$DF$17,2)+1))*(VLOOKUP($A63,SatSunCurve,7))*(INDEX(DailyScalarsTable,BN$5/100,MONTH($A63)))*$D63</f>
        <v>-13210.366289775855</v>
      </c>
      <c r="BO63" s="1021">
        <f>(VLOOKUP(YEAR($A63),'NY East Load Projections'!$A$4:$EO$14,((MONTH($A63)-1)*12)+VLOOKUP(BO$4,$DE$6:$DF$17,2)+1))*(VLOOKUP($A63,SatSunCurve,7))*(INDEX(DailyScalarsTable,BO$5/100,MONTH($A63)))*$D63</f>
        <v>-13169.543155382233</v>
      </c>
      <c r="BP63" s="1021">
        <f>(VLOOKUP(YEAR($A63),'NY East Load Projections'!$A$4:$EO$14,((MONTH($A63)-1)*12)+VLOOKUP(BP$4,$DE$6:$DF$17,2)+1))*(VLOOKUP($A63,SatSunCurve,7))*(INDEX(DailyScalarsTable,BP$5/100,MONTH($A63)))*$D63</f>
        <v>-13094.895138205324</v>
      </c>
      <c r="BQ63" s="1021">
        <f>(VLOOKUP(YEAR($A63),'NY East Load Projections'!$A$4:$EO$14,((MONTH($A63)-1)*12)+VLOOKUP(BQ$4,$DE$6:$DF$17,2)+1))*(VLOOKUP($A63,SatSunCurve,7))*(INDEX(DailyScalarsTable,BQ$5/100,MONTH($A63)))*$D63</f>
        <v>-11050.239292719092</v>
      </c>
      <c r="BR63" s="1021">
        <f>(VLOOKUP(YEAR($A63),'NY East Load Projections'!$A$4:$EO$14,((MONTH($A63)-1)*12)+VLOOKUP(BR$4,$DE$6:$DF$17,2)+1))*(VLOOKUP($A63,SatSunCurve,7))*(INDEX(DailyScalarsTable,BR$5/100,MONTH($A63)))*$D63</f>
        <v>-10647.103860174138</v>
      </c>
      <c r="BS63" s="1021">
        <f>(VLOOKUP(YEAR($A63),'NY East Load Projections'!$A$4:$EO$14,((MONTH($A63)-1)*12)+VLOOKUP(BS$4,$DE$6:$DF$17,2)+1))*(VLOOKUP($A63,SatSunCurve,7))*(INDEX(DailyScalarsTable,BS$5/100,MONTH($A63)))*$D63</f>
        <v>-10351.58361593737</v>
      </c>
      <c r="BT63" s="1021">
        <f>(VLOOKUP(YEAR($A63),'NY East Load Projections'!$A$4:$EO$14,((MONTH($A63)-1)*12)+VLOOKUP(BT$4,$DE$6:$DF$17,2)+1))*(VLOOKUP($A63,SatSunCurve,7))*(INDEX(DailyScalarsTable,BT$5/100,MONTH($A63)))*$D63</f>
        <v>-10111.099530546313</v>
      </c>
      <c r="BU63" s="1021">
        <f>(VLOOKUP(YEAR($A63),'NY East Load Projections'!$A$4:$EO$14,((MONTH($A63)-1)*12)+VLOOKUP(BU$4,$DE$6:$DF$17,2)+1))*(VLOOKUP($A63,SatSunCurve,7))*(INDEX(DailyScalarsTable,BU$5/100,MONTH($A63)))*$D63</f>
        <v>-10041.706112871285</v>
      </c>
      <c r="BV63" s="1021">
        <f>(VLOOKUP(YEAR($A63),'NY East Load Projections'!$A$4:$EO$14,((MONTH($A63)-1)*12)+VLOOKUP(BV$4,$DE$6:$DF$17,2)+1))*(VLOOKUP($A63,SatSunCurve,7))*(INDEX(DailyScalarsTable,BV$5/100,MONTH($A63)))*$D63</f>
        <v>-9939.6576389353249</v>
      </c>
      <c r="BW63" s="1021">
        <f>(VLOOKUP(YEAR($A63),'NY East Load Projections'!$A$4:$EO$14,((MONTH($A63)-1)*12)+VLOOKUP(BW$4,$DE$6:$DF$17,2)+1))*(VLOOKUP($A63,SatSunCurve,7))*(INDEX(DailyScalarsTable,BW$5/100,MONTH($A63)))*$D63</f>
        <v>-13408.928880942314</v>
      </c>
      <c r="BX63" s="1021">
        <f>(VLOOKUP(YEAR($A63),'NY East Load Projections'!$A$4:$EO$14,((MONTH($A63)-1)*12)+VLOOKUP(BX$4,$DE$6:$DF$17,2)+1))*(VLOOKUP($A63,SatSunCurve,7))*(INDEX(DailyScalarsTable,BX$5/100,MONTH($A63)))*$D63</f>
        <v>-13513.956738188261</v>
      </c>
      <c r="BY63" s="1021">
        <f>(VLOOKUP(YEAR($A63),'NY East Load Projections'!$A$4:$EO$14,((MONTH($A63)-1)*12)+VLOOKUP(BY$4,$DE$6:$DF$17,2)+1))*(VLOOKUP($A63,SatSunCurve,7))*(INDEX(DailyScalarsTable,BY$5/100,MONTH($A63)))*$D63</f>
        <v>-12924.013029402529</v>
      </c>
      <c r="BZ63" s="1021">
        <f>(VLOOKUP(YEAR($A63),'NY East Load Projections'!$A$4:$EO$14,((MONTH($A63)-1)*12)+VLOOKUP(BZ$4,$DE$6:$DF$17,2)+1))*(VLOOKUP($A63,SatSunCurve,7))*(INDEX(DailyScalarsTable,BZ$5/100,MONTH($A63)))*$D63</f>
        <v>-11376.838497935278</v>
      </c>
      <c r="CA63" s="1021">
        <f>(VLOOKUP(YEAR($A63),'NY East Load Projections'!$A$4:$EO$14,((MONTH($A63)-1)*12)+VLOOKUP(CA$4,$DE$6:$DF$17,2)+1))*(VLOOKUP($A63,SatSunCurve,7))*(INDEX(DailyScalarsTable,CA$5/100,MONTH($A63)))*$D63</f>
        <v>-9437.592568172151</v>
      </c>
      <c r="CB63" s="1021">
        <f>(VLOOKUP(YEAR($A63),'NY East Load Projections'!$A$4:$EO$14,((MONTH($A63)-1)*12)+VLOOKUP(CB$4,$DE$6:$DF$17,2)+1))*(VLOOKUP($A63,SatSunCurve,7))*(INDEX(DailyScalarsTable,CB$5/100,MONTH($A63)))*$D63</f>
        <v>-8046.4869533530464</v>
      </c>
      <c r="CC63" s="1021">
        <f>(VLOOKUP(YEAR($A63),'NY East Load Projections'!$A$4:$EO$14,((MONTH($A63)-1)*12)+VLOOKUP(CC$4,$DE$6:$DF$17,2)+1))*(VLOOKUP($A63,CURVES!$D$9:$T$261,7))*(INDEX(DailyScalarsTable,CC$5/100,MONTH($A63)))*$D63</f>
        <v>-10266.183874397992</v>
      </c>
      <c r="CE63" s="1021">
        <f>(VLOOKUP(YEAR($A63),'NY East Load Projections'!$A$4:$EO$14,((MONTH($A63)-1)*12)+VLOOKUP(CE$4,$DE$6:$DF$17,2)+1))*(VLOOKUP($A63,CURVES!$D$9:$T$261,7))*(INDEX(DailyScalarsTable,CE$5/100,MONTH($A63)))*$E63</f>
        <v>0</v>
      </c>
      <c r="CF63" s="1021">
        <f>(VLOOKUP(YEAR($A63),'NY East Load Projections'!$A$4:$EO$14,((MONTH($A63)-1)*12)+VLOOKUP(CF$4,$DE$6:$DF$17,2)+1))*(VLOOKUP($A63,CURVES!$D$9:$T$261,7))*(INDEX(DailyScalarsTable,CF$5/100,MONTH($A63)))*$E63</f>
        <v>0</v>
      </c>
      <c r="CG63" s="1021">
        <f>(VLOOKUP(YEAR($A63),'NY East Load Projections'!$A$4:$EO$14,((MONTH($A63)-1)*12)+VLOOKUP(CG$4,$DE$6:$DF$17,2)+1))*(VLOOKUP($A63,CURVES!$D$9:$T$261,7))*(INDEX(DailyScalarsTable,CG$5/100,MONTH($A63)))*$E63</f>
        <v>0</v>
      </c>
      <c r="CH63" s="1021">
        <f>(VLOOKUP(YEAR($A63),'NY East Load Projections'!$A$4:$EO$14,((MONTH($A63)-1)*12)+VLOOKUP(CH$4,$DE$6:$DF$17,2)+1))*(VLOOKUP($A63,CURVES!$D$9:$T$261,7))*(INDEX(DailyScalarsTable,CH$5/100,MONTH($A63)))*$E63</f>
        <v>0</v>
      </c>
      <c r="CI63" s="1021">
        <f>(VLOOKUP(YEAR($A63),'NY East Load Projections'!$A$4:$EO$14,((MONTH($A63)-1)*12)+VLOOKUP(CI$4,$DE$6:$DF$17,2)+1))*(VLOOKUP($A63,CURVES!$D$9:$T$261,7))*(INDEX(DailyScalarsTable,CI$5/100,MONTH($A63)))*$E63</f>
        <v>0</v>
      </c>
      <c r="CJ63" s="1021">
        <f>(VLOOKUP(YEAR($A63),'NY East Load Projections'!$A$4:$EO$14,((MONTH($A63)-1)*12)+VLOOKUP(CJ$4,$DE$6:$DF$17,2)+1))*(VLOOKUP($A63,CURVES!$D$9:$T$261,7))*(INDEX(DailyScalarsTable,CJ$5/100,MONTH($A63)))*$E63</f>
        <v>0</v>
      </c>
      <c r="CK63" s="1021">
        <f>(VLOOKUP(YEAR($A63),'NY East Load Projections'!$A$4:$EO$14,((MONTH($A63)-1)*12)+VLOOKUP(CK$4,$DE$6:$DF$17,2)+1))*(VLOOKUP($A63,CURVES!$D$9:$T$261,7))*(INDEX(DailyScalarsTable,CK$5/100,MONTH($A63)))*$E63</f>
        <v>0</v>
      </c>
      <c r="CL63" s="1021">
        <f>(VLOOKUP(YEAR($A63),'NY East Load Projections'!$A$4:$EO$14,((MONTH($A63)-1)*12)+VLOOKUP(CL$4,$DE$6:$DF$17,2)+1))*(VLOOKUP($A63,SatSunCurve,7))*(INDEX(DailyScalarsTable,CL$5/100,MONTH($A63)))*$E63</f>
        <v>0</v>
      </c>
      <c r="CM63" s="1021">
        <f>(VLOOKUP(YEAR($A63),'NY East Load Projections'!$A$4:$EO$14,((MONTH($A63)-1)*12)+VLOOKUP(CM$4,$DE$6:$DF$17,2)+1))*(VLOOKUP($A63,SatSunCurve,7))*(INDEX(DailyScalarsTable,CM$5/100,MONTH($A63)))*$E63</f>
        <v>0</v>
      </c>
      <c r="CN63" s="1021">
        <f>(VLOOKUP(YEAR($A63),'NY East Load Projections'!$A$4:$EO$14,((MONTH($A63)-1)*12)+VLOOKUP(CN$4,$DE$6:$DF$17,2)+1))*(VLOOKUP($A63,SatSunCurve,7))*(INDEX(DailyScalarsTable,CN$5/100,MONTH($A63)))*$E63</f>
        <v>0</v>
      </c>
      <c r="CO63" s="1021">
        <f>(VLOOKUP(YEAR($A63),'NY East Load Projections'!$A$4:$EO$14,((MONTH($A63)-1)*12)+VLOOKUP(CO$4,$DE$6:$DF$17,2)+1))*(VLOOKUP($A63,SatSunCurve,7))*(INDEX(DailyScalarsTable,CO$5/100,MONTH($A63)))*$E63</f>
        <v>0</v>
      </c>
      <c r="CP63" s="1021">
        <f>(VLOOKUP(YEAR($A63),'NY East Load Projections'!$A$4:$EO$14,((MONTH($A63)-1)*12)+VLOOKUP(CP$4,$DE$6:$DF$17,2)+1))*(VLOOKUP($A63,SatSunCurve,7))*(INDEX(DailyScalarsTable,CP$5/100,MONTH($A63)))*$E63</f>
        <v>0</v>
      </c>
      <c r="CQ63" s="1021">
        <f>(VLOOKUP(YEAR($A63),'NY East Load Projections'!$A$4:$EO$14,((MONTH($A63)-1)*12)+VLOOKUP(CQ$4,$DE$6:$DF$17,2)+1))*(VLOOKUP($A63,SatSunCurve,7))*(INDEX(DailyScalarsTable,CQ$5/100,MONTH($A63)))*$E63</f>
        <v>0</v>
      </c>
      <c r="CR63" s="1021">
        <f>(VLOOKUP(YEAR($A63),'NY East Load Projections'!$A$4:$EO$14,((MONTH($A63)-1)*12)+VLOOKUP(CR$4,$DE$6:$DF$17,2)+1))*(VLOOKUP($A63,SatSunCurve,7))*(INDEX(DailyScalarsTable,CR$5/100,MONTH($A63)))*$E63</f>
        <v>0</v>
      </c>
      <c r="CS63" s="1021">
        <f>(VLOOKUP(YEAR($A63),'NY East Load Projections'!$A$4:$EO$14,((MONTH($A63)-1)*12)+VLOOKUP(CS$4,$DE$6:$DF$17,2)+1))*(VLOOKUP($A63,SatSunCurve,7))*(INDEX(DailyScalarsTable,CS$5/100,MONTH($A63)))*$E63</f>
        <v>0</v>
      </c>
      <c r="CT63" s="1021">
        <f>(VLOOKUP(YEAR($A63),'NY East Load Projections'!$A$4:$EO$14,((MONTH($A63)-1)*12)+VLOOKUP(CT$4,$DE$6:$DF$17,2)+1))*(VLOOKUP($A63,SatSunCurve,7))*(INDEX(DailyScalarsTable,CT$5/100,MONTH($A63)))*$E63</f>
        <v>0</v>
      </c>
      <c r="CU63" s="1021">
        <f>(VLOOKUP(YEAR($A63),'NY East Load Projections'!$A$4:$EO$14,((MONTH($A63)-1)*12)+VLOOKUP(CU$4,$DE$6:$DF$17,2)+1))*(VLOOKUP($A63,SatSunCurve,7))*(INDEX(DailyScalarsTable,CU$5/100,MONTH($A63)))*$E63</f>
        <v>0</v>
      </c>
      <c r="CV63" s="1021">
        <f>(VLOOKUP(YEAR($A63),'NY East Load Projections'!$A$4:$EO$14,((MONTH($A63)-1)*12)+VLOOKUP(CV$4,$DE$6:$DF$17,2)+1))*(VLOOKUP($A63,SatSunCurve,7))*(INDEX(DailyScalarsTable,CV$5/100,MONTH($A63)))*$E63</f>
        <v>0</v>
      </c>
      <c r="CW63" s="1021">
        <f>(VLOOKUP(YEAR($A63),'NY East Load Projections'!$A$4:$EO$14,((MONTH($A63)-1)*12)+VLOOKUP(CW$4,$DE$6:$DF$17,2)+1))*(VLOOKUP($A63,SatSunCurve,7))*(INDEX(DailyScalarsTable,CW$5/100,MONTH($A63)))*$E63</f>
        <v>0</v>
      </c>
      <c r="CX63" s="1021">
        <f>(VLOOKUP(YEAR($A63),'NY East Load Projections'!$A$4:$EO$14,((MONTH($A63)-1)*12)+VLOOKUP(CX$4,$DE$6:$DF$17,2)+1))*(VLOOKUP($A63,SatSunCurve,7))*(INDEX(DailyScalarsTable,CX$5/100,MONTH($A63)))*$E63</f>
        <v>0</v>
      </c>
      <c r="CY63" s="1021">
        <f>(VLOOKUP(YEAR($A63),'NY East Load Projections'!$A$4:$EO$14,((MONTH($A63)-1)*12)+VLOOKUP(CY$4,$DE$6:$DF$17,2)+1))*(VLOOKUP($A63,SatSunCurve,7))*(INDEX(DailyScalarsTable,CY$5/100,MONTH($A63)))*$E63</f>
        <v>0</v>
      </c>
      <c r="CZ63" s="1021">
        <f>(VLOOKUP(YEAR($A63),'NY East Load Projections'!$A$4:$EO$14,((MONTH($A63)-1)*12)+VLOOKUP(CZ$4,$DE$6:$DF$17,2)+1))*(VLOOKUP($A63,SatSunCurve,7))*(INDEX(DailyScalarsTable,CZ$5/100,MONTH($A63)))*$E63</f>
        <v>0</v>
      </c>
      <c r="DA63" s="1021">
        <f>(VLOOKUP(YEAR($A63),'NY East Load Projections'!$A$4:$EO$14,((MONTH($A63)-1)*12)+VLOOKUP(DA$4,$DE$6:$DF$17,2)+1))*(VLOOKUP($A63,SatSunCurve,7))*(INDEX(DailyScalarsTable,DA$5/100,MONTH($A63)))*$E63</f>
        <v>0</v>
      </c>
      <c r="DB63" s="1021">
        <f>(VLOOKUP(YEAR($A63),'NY East Load Projections'!$A$4:$EO$14,((MONTH($A63)-1)*12)+VLOOKUP(DB$4,$DE$6:$DF$17,2)+1))*(VLOOKUP($A63,CURVES!$D$9:$T$261,7))*(INDEX(DailyScalarsTable,DB$5/100,MONTH($A63)))*$E63</f>
        <v>0</v>
      </c>
      <c r="DH63" s="1032">
        <f t="shared" si="0"/>
        <v>-1996523.0499594018</v>
      </c>
      <c r="DI63">
        <f ca="1">CALC!J83</f>
        <v>0.66269187746322022</v>
      </c>
      <c r="DJ63" s="1029">
        <f t="shared" ca="1" si="1"/>
        <v>-1323079.6083761905</v>
      </c>
    </row>
    <row r="64" spans="1:114" x14ac:dyDescent="0.25">
      <c r="A64" s="244">
        <v>38657</v>
      </c>
      <c r="B64" s="13">
        <v>21</v>
      </c>
      <c r="C64" s="210">
        <v>4</v>
      </c>
      <c r="D64" s="210">
        <v>4</v>
      </c>
      <c r="E64" s="210">
        <v>1</v>
      </c>
      <c r="F64" s="13">
        <v>30</v>
      </c>
      <c r="H64" s="1021">
        <f>(VLOOKUP(YEAR($A64),'NY East Load Projections'!$A$4:$EO$14,((MONTH($A64)-1)*12)+VLOOKUP(H$4,$DE$6:$DF$17,2)+1))*(VLOOKUP($A64,CURVES!$D$9:$K$261,7))*(INDEX(DailyScalarsTable,H$5/100,MONTH($A64)))*$B64</f>
        <v>-34875.299312798277</v>
      </c>
      <c r="I64" s="1021">
        <f>(VLOOKUP(YEAR($A64),'NY East Load Projections'!$A$4:$EO$14,((MONTH($A64)-1)*12)+VLOOKUP(I$4,$DE$6:$DF$17,2)+1))*(VLOOKUP($A64,CURVES!$D$9:$K$261,7))*(INDEX(DailyScalarsTable,I$5/100,MONTH($A64)))*$B64</f>
        <v>-33063.059445333878</v>
      </c>
      <c r="J64" s="1021">
        <f>(VLOOKUP(YEAR($A64),'NY East Load Projections'!$A$4:$EO$14,((MONTH($A64)-1)*12)+VLOOKUP(J$4,$DE$6:$DF$17,2)+1))*(VLOOKUP($A64,CURVES!$D$9:$K$261,7))*(INDEX(DailyScalarsTable,J$5/100,MONTH($A64)))*$B64</f>
        <v>-31731.081902994621</v>
      </c>
      <c r="K64" s="1021">
        <f>(VLOOKUP(YEAR($A64),'NY East Load Projections'!$A$4:$EO$14,((MONTH($A64)-1)*12)+VLOOKUP(K$4,$DE$6:$DF$17,2)+1))*(VLOOKUP($A64,CURVES!$D$9:$K$261,7))*(INDEX(DailyScalarsTable,K$5/100,MONTH($A64)))*$B64</f>
        <v>-31749.84215006982</v>
      </c>
      <c r="L64" s="1021">
        <f>(VLOOKUP(YEAR($A64),'NY East Load Projections'!$A$4:$EO$14,((MONTH($A64)-1)*12)+VLOOKUP(L$4,$DE$6:$DF$17,2)+1))*(VLOOKUP($A64,CURVES!$D$9:$K$261,7))*(INDEX(DailyScalarsTable,L$5/100,MONTH($A64)))*$B64</f>
        <v>-37182.943117713119</v>
      </c>
      <c r="M64" s="1021">
        <f>(VLOOKUP(YEAR($A64),'NY East Load Projections'!$A$4:$EO$14,((MONTH($A64)-1)*12)+VLOOKUP(M$4,$DE$6:$DF$17,2)+1))*(VLOOKUP($A64,CURVES!$D$9:$K$261,7))*(INDEX(DailyScalarsTable,M$5/100,MONTH($A64)))*$B64</f>
        <v>-42839.344503187625</v>
      </c>
      <c r="N64" s="1021">
        <f>(VLOOKUP(YEAR($A64),'NY East Load Projections'!$A$4:$EO$14,((MONTH($A64)-1)*12)+VLOOKUP(N$4,$DE$6:$DF$17,2)+1))*(VLOOKUP($A64,CURVES!$D$9:$K$261,7))*(INDEX(DailyScalarsTable,N$5/100,MONTH($A64)))*$B64</f>
        <v>-61363.136132486303</v>
      </c>
      <c r="O64" s="1021">
        <f>(VLOOKUP(YEAR($A64),'NY East Load Projections'!$A$4:$EO$14,((MONTH($A64)-1)*12)+VLOOKUP(O$4,$DE$6:$DF$17,2)+1))*(VLOOKUP($A64,CURVES!$D$9:$K$261,3))*(INDEX(DailyScalarsTable,O$5/100,MONTH($A64)))*$B64</f>
        <v>-69322.36441845684</v>
      </c>
      <c r="P64" s="1021">
        <f>(VLOOKUP(YEAR($A64),'NY East Load Projections'!$A$4:$EO$14,((MONTH($A64)-1)*12)+VLOOKUP(P$4,$DE$6:$DF$17,2)+1))*(VLOOKUP($A64,CURVES!$D$9:$K$261,3))*(INDEX(DailyScalarsTable,P$5/100,MONTH($A64)))*$B64</f>
        <v>-80718.145329280684</v>
      </c>
      <c r="Q64" s="1021">
        <f>(VLOOKUP(YEAR($A64),'NY East Load Projections'!$A$4:$EO$14,((MONTH($A64)-1)*12)+VLOOKUP(Q$4,$DE$6:$DF$17,2)+1))*(VLOOKUP($A64,CURVES!$D$9:$K$261,3))*(INDEX(DailyScalarsTable,Q$5/100,MONTH($A64)))*$B64</f>
        <v>-80195.377715560491</v>
      </c>
      <c r="R64" s="1021">
        <f>(VLOOKUP(YEAR($A64),'NY East Load Projections'!$A$4:$EO$14,((MONTH($A64)-1)*12)+VLOOKUP(R$4,$DE$6:$DF$17,2)+1))*(VLOOKUP($A64,CURVES!$D$9:$K$261,3))*(INDEX(DailyScalarsTable,R$5/100,MONTH($A64)))*$B64</f>
        <v>-78648.268156037258</v>
      </c>
      <c r="S64" s="1021">
        <f>(VLOOKUP(YEAR($A64),'NY East Load Projections'!$A$4:$EO$14,((MONTH($A64)-1)*12)+VLOOKUP(S$4,$DE$6:$DF$17,2)+1))*(VLOOKUP($A64,CURVES!$D$9:$K$261,3))*(INDEX(DailyScalarsTable,S$5/100,MONTH($A64)))*$B64</f>
        <v>-66221.940689364346</v>
      </c>
      <c r="T64" s="1021">
        <f>(VLOOKUP(YEAR($A64),'NY East Load Projections'!$A$4:$EO$14,((MONTH($A64)-1)*12)+VLOOKUP(T$4,$DE$6:$DF$17,2)+1))*(VLOOKUP($A64,CURVES!$D$9:$K$261,3))*(INDEX(DailyScalarsTable,T$5/100,MONTH($A64)))*$B64</f>
        <v>-63996.431186967056</v>
      </c>
      <c r="U64" s="1021">
        <f>(VLOOKUP(YEAR($A64),'NY East Load Projections'!$A$4:$EO$14,((MONTH($A64)-1)*12)+VLOOKUP(U$4,$DE$6:$DF$17,2)+1))*(VLOOKUP($A64,CURVES!$D$9:$K$261,3))*(INDEX(DailyScalarsTable,U$5/100,MONTH($A64)))*$B64</f>
        <v>-62278.552130300253</v>
      </c>
      <c r="V64" s="1021">
        <f>(VLOOKUP(YEAR($A64),'NY East Load Projections'!$A$4:$EO$14,((MONTH($A64)-1)*12)+VLOOKUP(V$4,$DE$6:$DF$17,2)+1))*(VLOOKUP($A64,CURVES!$D$9:$K$261,3))*(INDEX(DailyScalarsTable,V$5/100,MONTH($A64)))*$B64</f>
        <v>-60821.616727810688</v>
      </c>
      <c r="W64" s="1021">
        <f>(VLOOKUP(YEAR($A64),'NY East Load Projections'!$A$4:$EO$14,((MONTH($A64)-1)*12)+VLOOKUP(W$4,$DE$6:$DF$17,2)+1))*(VLOOKUP($A64,CURVES!$D$9:$K$261,3))*(INDEX(DailyScalarsTable,W$5/100,MONTH($A64)))*$B64</f>
        <v>-59821.332720131286</v>
      </c>
      <c r="X64" s="1021">
        <f>(VLOOKUP(YEAR($A64),'NY East Load Projections'!$A$4:$EO$14,((MONTH($A64)-1)*12)+VLOOKUP(X$4,$DE$6:$DF$17,2)+1))*(VLOOKUP($A64,CURVES!$D$9:$K$261,3))*(INDEX(DailyScalarsTable,X$5/100,MONTH($A64)))*$B64</f>
        <v>-60928.569381455942</v>
      </c>
      <c r="Y64" s="1021">
        <f>(VLOOKUP(YEAR($A64),'NY East Load Projections'!$A$4:$EO$14,((MONTH($A64)-1)*12)+VLOOKUP(Y$4,$DE$6:$DF$17,2)+1))*(VLOOKUP($A64,CURVES!$D$9:$K$261,3))*(INDEX(DailyScalarsTable,Y$5/100,MONTH($A64)))*$B64</f>
        <v>-83641.057742127261</v>
      </c>
      <c r="Z64" s="1021">
        <f>(VLOOKUP(YEAR($A64),'NY East Load Projections'!$A$4:$EO$14,((MONTH($A64)-1)*12)+VLOOKUP(Z$4,$DE$6:$DF$17,2)+1))*(VLOOKUP($A64,CURVES!$D$9:$K$261,3))*(INDEX(DailyScalarsTable,Z$5/100,MONTH($A64)))*$B64</f>
        <v>-84314.529409100272</v>
      </c>
      <c r="AA64" s="1021">
        <f>(VLOOKUP(YEAR($A64),'NY East Load Projections'!$A$4:$EO$14,((MONTH($A64)-1)*12)+VLOOKUP(AA$4,$DE$6:$DF$17,2)+1))*(VLOOKUP($A64,CURVES!$D$9:$K$261,3))*(INDEX(DailyScalarsTable,AA$5/100,MONTH($A64)))*$B64</f>
        <v>-80864.705155830379</v>
      </c>
      <c r="AB64" s="1021">
        <f>(VLOOKUP(YEAR($A64),'NY East Load Projections'!$A$4:$EO$14,((MONTH($A64)-1)*12)+VLOOKUP(AB$4,$DE$6:$DF$17,2)+1))*(VLOOKUP($A64,CURVES!$D$9:$K$261,3))*(INDEX(DailyScalarsTable,AB$5/100,MONTH($A64)))*$B64</f>
        <v>-67443.459640083121</v>
      </c>
      <c r="AC64" s="1021">
        <f>(VLOOKUP(YEAR($A64),'NY East Load Projections'!$A$4:$EO$14,((MONTH($A64)-1)*12)+VLOOKUP(AC$4,$DE$6:$DF$17,2)+1))*(VLOOKUP($A64,CURVES!$D$9:$K$261,3))*(INDEX(DailyScalarsTable,AC$5/100,MONTH($A64)))*$B64</f>
        <v>-53650.036495766377</v>
      </c>
      <c r="AD64" s="1021">
        <f>(VLOOKUP(YEAR($A64),'NY East Load Projections'!$A$4:$EO$14,((MONTH($A64)-1)*12)+VLOOKUP(AD$4,$DE$6:$DF$17,2)+1))*(VLOOKUP($A64,CURVES!$D$9:$K$261,3))*(INDEX(DailyScalarsTable,AD$5/100,MONTH($A64)))*$B64</f>
        <v>-45245.153151878709</v>
      </c>
      <c r="AE64" s="1021">
        <f>(VLOOKUP(YEAR($A64),'NY East Load Projections'!$A$4:$EO$14,((MONTH($A64)-1)*12)+VLOOKUP(AE$4,$DE$6:$DF$17,2)+1))*(VLOOKUP($A64,CURVES!$D$9:$K$261,7))*(INDEX(DailyScalarsTable,AE$5/100,MONTH($A64)))*$B64</f>
        <v>-41251.776987114114</v>
      </c>
      <c r="AF64" s="1021"/>
      <c r="AG64" s="1021">
        <f>(VLOOKUP(YEAR($A64),'NY East Load Projections'!$A$4:$EO$14,((MONTH($A64)-1)*12)+VLOOKUP(AG$4,$DE$6:$DF$17,2)+1))*(VLOOKUP($A64,CURVES!$D$9:$T$261,7))*(INDEX(DailyScalarsTable,AG$5/100,MONTH($A64)))*$C64</f>
        <v>-6974.5423139848708</v>
      </c>
      <c r="AH64" s="1021">
        <f>(VLOOKUP(YEAR($A64),'NY East Load Projections'!$A$4:$EO$14,((MONTH($A64)-1)*12)+VLOOKUP(AH$4,$DE$6:$DF$17,2)+1))*(VLOOKUP($A64,CURVES!$D$9:$T$261,7))*(INDEX(DailyScalarsTable,AH$5/100,MONTH($A64)))*$C64</f>
        <v>-6612.1212340865713</v>
      </c>
      <c r="AI64" s="1021">
        <f>(VLOOKUP(YEAR($A64),'NY East Load Projections'!$A$4:$EO$14,((MONTH($A64)-1)*12)+VLOOKUP(AI$4,$DE$6:$DF$17,2)+1))*(VLOOKUP($A64,CURVES!$D$9:$T$261,7))*(INDEX(DailyScalarsTable,AI$5/100,MONTH($A64)))*$C64</f>
        <v>-6345.7454921323351</v>
      </c>
      <c r="AJ64" s="1021">
        <f>(VLOOKUP(YEAR($A64),'NY East Load Projections'!$A$4:$EO$14,((MONTH($A64)-1)*12)+VLOOKUP(AJ$4,$DE$6:$DF$17,2)+1))*(VLOOKUP($A64,CURVES!$D$9:$T$261,7))*(INDEX(DailyScalarsTable,AJ$5/100,MONTH($A64)))*$C64</f>
        <v>-6349.4972631457749</v>
      </c>
      <c r="AK64" s="1021">
        <f>(VLOOKUP(YEAR($A64),'NY East Load Projections'!$A$4:$EO$14,((MONTH($A64)-1)*12)+VLOOKUP(AK$4,$DE$6:$DF$17,2)+1))*(VLOOKUP($A64,CURVES!$D$9:$T$261,7))*(INDEX(DailyScalarsTable,AK$5/100,MONTH($A64)))*$C64</f>
        <v>-6902.3608488482632</v>
      </c>
      <c r="AL64" s="1021">
        <f>(VLOOKUP(YEAR($A64),'NY East Load Projections'!$A$4:$EO$14,((MONTH($A64)-1)*12)+VLOOKUP(AL$4,$DE$6:$DF$17,2)+1))*(VLOOKUP($A64,CURVES!$D$9:$T$261,7))*(INDEX(DailyScalarsTable,AL$5/100,MONTH($A64)))*$C64</f>
        <v>-7952.3724992135976</v>
      </c>
      <c r="AM64" s="1021">
        <f>(VLOOKUP(YEAR($A64),'NY East Load Projections'!$A$4:$EO$14,((MONTH($A64)-1)*12)+VLOOKUP(AM$4,$DE$6:$DF$17,2)+1))*(VLOOKUP($A64,CURVES!$D$9:$T$261,7))*(INDEX(DailyScalarsTable,AM$5/100,MONTH($A64)))*$C64</f>
        <v>-11390.989332462219</v>
      </c>
      <c r="AN64" s="1021">
        <f>(VLOOKUP(YEAR($A64),'NY East Load Projections'!$A$4:$EO$14,((MONTH($A64)-1)*12)+VLOOKUP(AN$4,$DE$6:$DF$17,2)+1))*(VLOOKUP($A64,SatSunCurve,3))*(INDEX(DailyScalarsTable,AN$5/100,MONTH($A64)))*$C64</f>
        <v>-10171.726868362641</v>
      </c>
      <c r="AO64" s="1021">
        <f>(VLOOKUP(YEAR($A64),'NY East Load Projections'!$A$4:$EO$14,((MONTH($A64)-1)*12)+VLOOKUP(AO$4,$DE$6:$DF$17,2)+1))*(VLOOKUP($A64,SatSunCurve,3))*(INDEX(DailyScalarsTable,AO$5/100,MONTH($A64)))*$C64</f>
        <v>-11567.999952491475</v>
      </c>
      <c r="AP64" s="1021">
        <f>(VLOOKUP(YEAR($A64),'NY East Load Projections'!$A$4:$EO$14,((MONTH($A64)-1)*12)+VLOOKUP(AP$4,$DE$6:$DF$17,2)+1))*(VLOOKUP($A64,SatSunCurve,3))*(INDEX(DailyScalarsTable,AP$5/100,MONTH($A64)))*$C64</f>
        <v>-11493.080295876354</v>
      </c>
      <c r="AQ64" s="1021">
        <f>(VLOOKUP(YEAR($A64),'NY East Load Projections'!$A$4:$EO$14,((MONTH($A64)-1)*12)+VLOOKUP(AQ$4,$DE$6:$DF$17,2)+1))*(VLOOKUP($A64,SatSunCurve,3))*(INDEX(DailyScalarsTable,AQ$5/100,MONTH($A64)))*$C64</f>
        <v>-11271.35860940728</v>
      </c>
      <c r="AR64" s="1021">
        <f>(VLOOKUP(YEAR($A64),'NY East Load Projections'!$A$4:$EO$14,((MONTH($A64)-1)*12)+VLOOKUP(AR$4,$DE$6:$DF$17,2)+1))*(VLOOKUP($A64,SatSunCurve,3))*(INDEX(DailyScalarsTable,AR$5/100,MONTH($A64)))*$C64</f>
        <v>-9490.4981231100192</v>
      </c>
      <c r="AS64" s="1021">
        <f>(VLOOKUP(YEAR($A64),'NY East Load Projections'!$A$4:$EO$14,((MONTH($A64)-1)*12)+VLOOKUP(AS$4,$DE$6:$DF$17,2)+1))*(VLOOKUP($A64,SatSunCurve,3))*(INDEX(DailyScalarsTable,AS$5/100,MONTH($A64)))*$C64</f>
        <v>-9160.3621887295831</v>
      </c>
      <c r="AT64" s="1021">
        <f>(VLOOKUP(YEAR($A64),'NY East Load Projections'!$A$4:$EO$14,((MONTH($A64)-1)*12)+VLOOKUP(AT$4,$DE$6:$DF$17,2)+1))*(VLOOKUP($A64,SatSunCurve,3))*(INDEX(DailyScalarsTable,AT$5/100,MONTH($A64)))*$C64</f>
        <v>-8914.467315161919</v>
      </c>
      <c r="AU64" s="1021">
        <f>(VLOOKUP(YEAR($A64),'NY East Load Projections'!$A$4:$EO$14,((MONTH($A64)-1)*12)+VLOOKUP(AU$4,$DE$6:$DF$17,2)+1))*(VLOOKUP($A64,SatSunCurve,3))*(INDEX(DailyScalarsTable,AU$5/100,MONTH($A64)))*$C64</f>
        <v>-8705.9235616298483</v>
      </c>
      <c r="AV64" s="1021">
        <f>(VLOOKUP(YEAR($A64),'NY East Load Projections'!$A$4:$EO$14,((MONTH($A64)-1)*12)+VLOOKUP(AV$4,$DE$6:$DF$17,2)+1))*(VLOOKUP($A64,SatSunCurve,3))*(INDEX(DailyScalarsTable,AV$5/100,MONTH($A64)))*$C64</f>
        <v>-8562.7442681600696</v>
      </c>
      <c r="AW64" s="1021">
        <f>(VLOOKUP(YEAR($A64),'NY East Load Projections'!$A$4:$EO$14,((MONTH($A64)-1)*12)+VLOOKUP(AW$4,$DE$6:$DF$17,2)+1))*(VLOOKUP($A64,SatSunCurve,3))*(INDEX(DailyScalarsTable,AW$5/100,MONTH($A64)))*$C64</f>
        <v>-8784.9248883329383</v>
      </c>
      <c r="AX64" s="1021">
        <f>(VLOOKUP(YEAR($A64),'NY East Load Projections'!$A$4:$EO$14,((MONTH($A64)-1)*12)+VLOOKUP(AX$4,$DE$6:$DF$17,2)+1))*(VLOOKUP($A64,SatSunCurve,3))*(INDEX(DailyScalarsTable,AX$5/100,MONTH($A64)))*$C64</f>
        <v>-12059.702325276359</v>
      </c>
      <c r="AY64" s="1021">
        <f>(VLOOKUP(YEAR($A64),'NY East Load Projections'!$A$4:$EO$14,((MONTH($A64)-1)*12)+VLOOKUP(AY$4,$DE$6:$DF$17,2)+1))*(VLOOKUP($A64,SatSunCurve,3))*(INDEX(DailyScalarsTable,AY$5/100,MONTH($A64)))*$C64</f>
        <v>-12156.806164556376</v>
      </c>
      <c r="AZ64" s="1021">
        <f>(VLOOKUP(YEAR($A64),'NY East Load Projections'!$A$4:$EO$14,((MONTH($A64)-1)*12)+VLOOKUP(AZ$4,$DE$6:$DF$17,2)+1))*(VLOOKUP($A64,SatSunCurve,3))*(INDEX(DailyScalarsTable,AZ$5/100,MONTH($A64)))*$C64</f>
        <v>-11659.396702122005</v>
      </c>
      <c r="BA64" s="1021">
        <f>(VLOOKUP(YEAR($A64),'NY East Load Projections'!$A$4:$EO$14,((MONTH($A64)-1)*12)+VLOOKUP(BA$4,$DE$6:$DF$17,2)+1))*(VLOOKUP($A64,SatSunCurve,3))*(INDEX(DailyScalarsTable,BA$5/100,MONTH($A64)))*$C64</f>
        <v>-10335.770921356412</v>
      </c>
      <c r="BB64" s="1021">
        <f>(VLOOKUP(YEAR($A64),'NY East Load Projections'!$A$4:$EO$14,((MONTH($A64)-1)*12)+VLOOKUP(BB$4,$DE$6:$DF$17,2)+1))*(VLOOKUP($A64,SatSunCurve,3))*(INDEX(DailyScalarsTable,BB$5/100,MONTH($A64)))*$C64</f>
        <v>-8221.9164037826467</v>
      </c>
      <c r="BC64" s="1021">
        <f>(VLOOKUP(YEAR($A64),'NY East Load Projections'!$A$4:$EO$14,((MONTH($A64)-1)*12)+VLOOKUP(BC$4,$DE$6:$DF$17,2)+1))*(VLOOKUP($A64,SatSunCurve,3))*(INDEX(DailyScalarsTable,BC$5/100,MONTH($A64)))*$C64</f>
        <v>-6933.8604628991279</v>
      </c>
      <c r="BD64" s="1021">
        <f>(VLOOKUP(YEAR($A64),'NY East Load Projections'!$A$4:$EO$14,((MONTH($A64)-1)*12)+VLOOKUP(BD$4,$DE$6:$DF$17,2)+1))*(VLOOKUP($A64,CURVES!$D$9:$T$261,7))*(INDEX(DailyScalarsTable,BD$5/100,MONTH($A64)))*$C64</f>
        <v>-7997.94238302759</v>
      </c>
      <c r="BE64" s="1021"/>
      <c r="BF64" s="1021">
        <f>(VLOOKUP(YEAR($A64),'NY East Load Projections'!$A$4:$EO$14,((MONTH($A64)-1)*12)+VLOOKUP(BF$4,$DE$6:$DF$17,2)+1))*(VLOOKUP($A64,CURVES!$D$9:$T$261,7))*(INDEX(DailyScalarsTable,BF$5/100,MONTH($A64)))*$D64</f>
        <v>-6974.5423139848708</v>
      </c>
      <c r="BG64" s="1021">
        <f>(VLOOKUP(YEAR($A64),'NY East Load Projections'!$A$4:$EO$14,((MONTH($A64)-1)*12)+VLOOKUP(BG$4,$DE$6:$DF$17,2)+1))*(VLOOKUP($A64,CURVES!$D$9:$T$261,7))*(INDEX(DailyScalarsTable,BG$5/100,MONTH($A64)))*$D64</f>
        <v>-6612.1212340865713</v>
      </c>
      <c r="BH64" s="1021">
        <f>(VLOOKUP(YEAR($A64),'NY East Load Projections'!$A$4:$EO$14,((MONTH($A64)-1)*12)+VLOOKUP(BH$4,$DE$6:$DF$17,2)+1))*(VLOOKUP($A64,CURVES!$D$9:$T$261,7))*(INDEX(DailyScalarsTable,BH$5/100,MONTH($A64)))*$D64</f>
        <v>-6345.7454921323351</v>
      </c>
      <c r="BI64" s="1021">
        <f>(VLOOKUP(YEAR($A64),'NY East Load Projections'!$A$4:$EO$14,((MONTH($A64)-1)*12)+VLOOKUP(BI$4,$DE$6:$DF$17,2)+1))*(VLOOKUP($A64,CURVES!$D$9:$T$261,7))*(INDEX(DailyScalarsTable,BI$5/100,MONTH($A64)))*$D64</f>
        <v>-6349.4972631457749</v>
      </c>
      <c r="BJ64" s="1021">
        <f>(VLOOKUP(YEAR($A64),'NY East Load Projections'!$A$4:$EO$14,((MONTH($A64)-1)*12)+VLOOKUP(BJ$4,$DE$6:$DF$17,2)+1))*(VLOOKUP($A64,CURVES!$D$9:$T$261,7))*(INDEX(DailyScalarsTable,BJ$5/100,MONTH($A64)))*$D64</f>
        <v>-6902.3608488482632</v>
      </c>
      <c r="BK64" s="1021">
        <f>(VLOOKUP(YEAR($A64),'NY East Load Projections'!$A$4:$EO$14,((MONTH($A64)-1)*12)+VLOOKUP(BK$4,$DE$6:$DF$17,2)+1))*(VLOOKUP($A64,CURVES!$D$9:$T$261,7))*(INDEX(DailyScalarsTable,BK$5/100,MONTH($A64)))*$D64</f>
        <v>-7952.3724992135976</v>
      </c>
      <c r="BL64" s="1021">
        <f>(VLOOKUP(YEAR($A64),'NY East Load Projections'!$A$4:$EO$14,((MONTH($A64)-1)*12)+VLOOKUP(BL$4,$DE$6:$DF$17,2)+1))*(VLOOKUP($A64,CURVES!$D$9:$T$261,7))*(INDEX(DailyScalarsTable,BL$5/100,MONTH($A64)))*$D64</f>
        <v>-11390.989332462219</v>
      </c>
      <c r="BM64" s="1021">
        <f>(VLOOKUP(YEAR($A64),'NY East Load Projections'!$A$4:$EO$14,((MONTH($A64)-1)*12)+VLOOKUP(BM$4,$DE$6:$DF$17,2)+1))*(VLOOKUP($A64,SatSunCurve,7))*(INDEX(DailyScalarsTable,BM$5/100,MONTH($A64)))*$D64</f>
        <v>-9338.0361585785995</v>
      </c>
      <c r="BN64" s="1021">
        <f>(VLOOKUP(YEAR($A64),'NY East Load Projections'!$A$4:$EO$14,((MONTH($A64)-1)*12)+VLOOKUP(BN$4,$DE$6:$DF$17,2)+1))*(VLOOKUP($A64,SatSunCurve,7))*(INDEX(DailyScalarsTable,BN$5/100,MONTH($A64)))*$D64</f>
        <v>-10619.868507754129</v>
      </c>
      <c r="BO64" s="1021">
        <f>(VLOOKUP(YEAR($A64),'NY East Load Projections'!$A$4:$EO$14,((MONTH($A64)-1)*12)+VLOOKUP(BO$4,$DE$6:$DF$17,2)+1))*(VLOOKUP($A64,SatSunCurve,7))*(INDEX(DailyScalarsTable,BO$5/100,MONTH($A64)))*$D64</f>
        <v>-10551.089383863544</v>
      </c>
      <c r="BP64" s="1021">
        <f>(VLOOKUP(YEAR($A64),'NY East Load Projections'!$A$4:$EO$14,((MONTH($A64)-1)*12)+VLOOKUP(BP$4,$DE$6:$DF$17,2)+1))*(VLOOKUP($A64,SatSunCurve,7))*(INDEX(DailyScalarsTable,BP$5/100,MONTH($A64)))*$D64</f>
        <v>-10347.540355052222</v>
      </c>
      <c r="BQ64" s="1021">
        <f>(VLOOKUP(YEAR($A64),'NY East Load Projections'!$A$4:$EO$14,((MONTH($A64)-1)*12)+VLOOKUP(BQ$4,$DE$6:$DF$17,2)+1))*(VLOOKUP($A64,SatSunCurve,7))*(INDEX(DailyScalarsTable,BQ$5/100,MONTH($A64)))*$D64</f>
        <v>-8712.6419912206547</v>
      </c>
      <c r="BR64" s="1021">
        <f>(VLOOKUP(YEAR($A64),'NY East Load Projections'!$A$4:$EO$14,((MONTH($A64)-1)*12)+VLOOKUP(BR$4,$DE$6:$DF$17,2)+1))*(VLOOKUP($A64,SatSunCurve,7))*(INDEX(DailyScalarsTable,BR$5/100,MONTH($A64)))*$D64</f>
        <v>-8409.5645165315491</v>
      </c>
      <c r="BS64" s="1021">
        <f>(VLOOKUP(YEAR($A64),'NY East Load Projections'!$A$4:$EO$14,((MONTH($A64)-1)*12)+VLOOKUP(BS$4,$DE$6:$DF$17,2)+1))*(VLOOKUP($A64,SatSunCurve,7))*(INDEX(DailyScalarsTable,BS$5/100,MONTH($A64)))*$D64</f>
        <v>-8183.8235730024999</v>
      </c>
      <c r="BT64" s="1021">
        <f>(VLOOKUP(YEAR($A64),'NY East Load Projections'!$A$4:$EO$14,((MONTH($A64)-1)*12)+VLOOKUP(BT$4,$DE$6:$DF$17,2)+1))*(VLOOKUP($A64,SatSunCurve,7))*(INDEX(DailyScalarsTable,BT$5/100,MONTH($A64)))*$D64</f>
        <v>-7992.3723930474835</v>
      </c>
      <c r="BU64" s="1021">
        <f>(VLOOKUP(YEAR($A64),'NY East Load Projections'!$A$4:$EO$14,((MONTH($A64)-1)*12)+VLOOKUP(BU$4,$DE$6:$DF$17,2)+1))*(VLOOKUP($A64,SatSunCurve,7))*(INDEX(DailyScalarsTable,BU$5/100,MONTH($A64)))*$D64</f>
        <v>-7860.9282993470251</v>
      </c>
      <c r="BV64" s="1021">
        <f>(VLOOKUP(YEAR($A64),'NY East Load Projections'!$A$4:$EO$14,((MONTH($A64)-1)*12)+VLOOKUP(BV$4,$DE$6:$DF$17,2)+1))*(VLOOKUP($A64,SatSunCurve,7))*(INDEX(DailyScalarsTable,BV$5/100,MONTH($A64)))*$D64</f>
        <v>-8064.8986469349802</v>
      </c>
      <c r="BW64" s="1021">
        <f>(VLOOKUP(YEAR($A64),'NY East Load Projections'!$A$4:$EO$14,((MONTH($A64)-1)*12)+VLOOKUP(BW$4,$DE$6:$DF$17,2)+1))*(VLOOKUP($A64,SatSunCurve,7))*(INDEX(DailyScalarsTable,BW$5/100,MONTH($A64)))*$D64</f>
        <v>-11071.270181800772</v>
      </c>
      <c r="BX64" s="1021">
        <f>(VLOOKUP(YEAR($A64),'NY East Load Projections'!$A$4:$EO$14,((MONTH($A64)-1)*12)+VLOOKUP(BX$4,$DE$6:$DF$17,2)+1))*(VLOOKUP($A64,SatSunCurve,7))*(INDEX(DailyScalarsTable,BX$5/100,MONTH($A64)))*$D64</f>
        <v>-11160.415237902693</v>
      </c>
      <c r="BY64" s="1021">
        <f>(VLOOKUP(YEAR($A64),'NY East Load Projections'!$A$4:$EO$14,((MONTH($A64)-1)*12)+VLOOKUP(BY$4,$DE$6:$DF$17,2)+1))*(VLOOKUP($A64,SatSunCurve,7))*(INDEX(DailyScalarsTable,BY$5/100,MONTH($A64)))*$D64</f>
        <v>-10703.774236237752</v>
      </c>
      <c r="BZ64" s="1021">
        <f>(VLOOKUP(YEAR($A64),'NY East Load Projections'!$A$4:$EO$14,((MONTH($A64)-1)*12)+VLOOKUP(BZ$4,$DE$6:$DF$17,2)+1))*(VLOOKUP($A64,SatSunCurve,7))*(INDEX(DailyScalarsTable,BZ$5/100,MONTH($A64)))*$D64</f>
        <v>-9488.6349033423994</v>
      </c>
      <c r="CA64" s="1021">
        <f>(VLOOKUP(YEAR($A64),'NY East Load Projections'!$A$4:$EO$14,((MONTH($A64)-1)*12)+VLOOKUP(CA$4,$DE$6:$DF$17,2)+1))*(VLOOKUP($A64,SatSunCurve,7))*(INDEX(DailyScalarsTable,CA$5/100,MONTH($A64)))*$D64</f>
        <v>-7548.035222036171</v>
      </c>
      <c r="CB64" s="1021">
        <f>(VLOOKUP(YEAR($A64),'NY East Load Projections'!$A$4:$EO$14,((MONTH($A64)-1)*12)+VLOOKUP(CB$4,$DE$6:$DF$17,2)+1))*(VLOOKUP($A64,SatSunCurve,7))*(INDEX(DailyScalarsTable,CB$5/100,MONTH($A64)))*$D64</f>
        <v>-6365.550369080378</v>
      </c>
      <c r="CC64" s="1021">
        <f>(VLOOKUP(YEAR($A64),'NY East Load Projections'!$A$4:$EO$14,((MONTH($A64)-1)*12)+VLOOKUP(CC$4,$DE$6:$DF$17,2)+1))*(VLOOKUP($A64,CURVES!$D$9:$T$261,7))*(INDEX(DailyScalarsTable,CC$5/100,MONTH($A64)))*$D64</f>
        <v>-7997.94238302759</v>
      </c>
      <c r="CE64" s="1021">
        <f>(VLOOKUP(YEAR($A64),'NY East Load Projections'!$A$4:$EO$14,((MONTH($A64)-1)*12)+VLOOKUP(CE$4,$DE$6:$DF$17,2)+1))*(VLOOKUP($A64,CURVES!$D$9:$T$261,7))*(INDEX(DailyScalarsTable,CE$5/100,MONTH($A64)))*$E64</f>
        <v>-1743.6355784962177</v>
      </c>
      <c r="CF64" s="1021">
        <f>(VLOOKUP(YEAR($A64),'NY East Load Projections'!$A$4:$EO$14,((MONTH($A64)-1)*12)+VLOOKUP(CF$4,$DE$6:$DF$17,2)+1))*(VLOOKUP($A64,CURVES!$D$9:$T$261,7))*(INDEX(DailyScalarsTable,CF$5/100,MONTH($A64)))*$E64</f>
        <v>-1653.0303085216428</v>
      </c>
      <c r="CG64" s="1021">
        <f>(VLOOKUP(YEAR($A64),'NY East Load Projections'!$A$4:$EO$14,((MONTH($A64)-1)*12)+VLOOKUP(CG$4,$DE$6:$DF$17,2)+1))*(VLOOKUP($A64,CURVES!$D$9:$T$261,7))*(INDEX(DailyScalarsTable,CG$5/100,MONTH($A64)))*$E64</f>
        <v>-1586.4363730330838</v>
      </c>
      <c r="CH64" s="1021">
        <f>(VLOOKUP(YEAR($A64),'NY East Load Projections'!$A$4:$EO$14,((MONTH($A64)-1)*12)+VLOOKUP(CH$4,$DE$6:$DF$17,2)+1))*(VLOOKUP($A64,CURVES!$D$9:$T$261,7))*(INDEX(DailyScalarsTable,CH$5/100,MONTH($A64)))*$E64</f>
        <v>-1587.3743157864437</v>
      </c>
      <c r="CI64" s="1021">
        <f>(VLOOKUP(YEAR($A64),'NY East Load Projections'!$A$4:$EO$14,((MONTH($A64)-1)*12)+VLOOKUP(CI$4,$DE$6:$DF$17,2)+1))*(VLOOKUP($A64,CURVES!$D$9:$T$261,7))*(INDEX(DailyScalarsTable,CI$5/100,MONTH($A64)))*$E64</f>
        <v>-1725.5902122120658</v>
      </c>
      <c r="CJ64" s="1021">
        <f>(VLOOKUP(YEAR($A64),'NY East Load Projections'!$A$4:$EO$14,((MONTH($A64)-1)*12)+VLOOKUP(CJ$4,$DE$6:$DF$17,2)+1))*(VLOOKUP($A64,CURVES!$D$9:$T$261,7))*(INDEX(DailyScalarsTable,CJ$5/100,MONTH($A64)))*$E64</f>
        <v>-1988.0931248033994</v>
      </c>
      <c r="CK64" s="1021">
        <f>(VLOOKUP(YEAR($A64),'NY East Load Projections'!$A$4:$EO$14,((MONTH($A64)-1)*12)+VLOOKUP(CK$4,$DE$6:$DF$17,2)+1))*(VLOOKUP($A64,CURVES!$D$9:$T$261,7))*(INDEX(DailyScalarsTable,CK$5/100,MONTH($A64)))*$E64</f>
        <v>-2847.7473331155547</v>
      </c>
      <c r="CL64" s="1021">
        <f>(VLOOKUP(YEAR($A64),'NY East Load Projections'!$A$4:$EO$14,((MONTH($A64)-1)*12)+VLOOKUP(CL$4,$DE$6:$DF$17,2)+1))*(VLOOKUP($A64,SatSunCurve,7))*(INDEX(DailyScalarsTable,CL$5/100,MONTH($A64)))*$E64</f>
        <v>-2334.5090396446499</v>
      </c>
      <c r="CM64" s="1021">
        <f>(VLOOKUP(YEAR($A64),'NY East Load Projections'!$A$4:$EO$14,((MONTH($A64)-1)*12)+VLOOKUP(CM$4,$DE$6:$DF$17,2)+1))*(VLOOKUP($A64,SatSunCurve,7))*(INDEX(DailyScalarsTable,CM$5/100,MONTH($A64)))*$E64</f>
        <v>-2654.9671269385321</v>
      </c>
      <c r="CN64" s="1021">
        <f>(VLOOKUP(YEAR($A64),'NY East Load Projections'!$A$4:$EO$14,((MONTH($A64)-1)*12)+VLOOKUP(CN$4,$DE$6:$DF$17,2)+1))*(VLOOKUP($A64,SatSunCurve,7))*(INDEX(DailyScalarsTable,CN$5/100,MONTH($A64)))*$E64</f>
        <v>-2637.772345965886</v>
      </c>
      <c r="CO64" s="1021">
        <f>(VLOOKUP(YEAR($A64),'NY East Load Projections'!$A$4:$EO$14,((MONTH($A64)-1)*12)+VLOOKUP(CO$4,$DE$6:$DF$17,2)+1))*(VLOOKUP($A64,SatSunCurve,7))*(INDEX(DailyScalarsTable,CO$5/100,MONTH($A64)))*$E64</f>
        <v>-2586.8850887630556</v>
      </c>
      <c r="CP64" s="1021">
        <f>(VLOOKUP(YEAR($A64),'NY East Load Projections'!$A$4:$EO$14,((MONTH($A64)-1)*12)+VLOOKUP(CP$4,$DE$6:$DF$17,2)+1))*(VLOOKUP($A64,SatSunCurve,7))*(INDEX(DailyScalarsTable,CP$5/100,MONTH($A64)))*$E64</f>
        <v>-2178.1604978051637</v>
      </c>
      <c r="CQ64" s="1021">
        <f>(VLOOKUP(YEAR($A64),'NY East Load Projections'!$A$4:$EO$14,((MONTH($A64)-1)*12)+VLOOKUP(CQ$4,$DE$6:$DF$17,2)+1))*(VLOOKUP($A64,SatSunCurve,7))*(INDEX(DailyScalarsTable,CQ$5/100,MONTH($A64)))*$E64</f>
        <v>-2102.3911291328873</v>
      </c>
      <c r="CR64" s="1021">
        <f>(VLOOKUP(YEAR($A64),'NY East Load Projections'!$A$4:$EO$14,((MONTH($A64)-1)*12)+VLOOKUP(CR$4,$DE$6:$DF$17,2)+1))*(VLOOKUP($A64,SatSunCurve,7))*(INDEX(DailyScalarsTable,CR$5/100,MONTH($A64)))*$E64</f>
        <v>-2045.955893250625</v>
      </c>
      <c r="CS64" s="1021">
        <f>(VLOOKUP(YEAR($A64),'NY East Load Projections'!$A$4:$EO$14,((MONTH($A64)-1)*12)+VLOOKUP(CS$4,$DE$6:$DF$17,2)+1))*(VLOOKUP($A64,SatSunCurve,7))*(INDEX(DailyScalarsTable,CS$5/100,MONTH($A64)))*$E64</f>
        <v>-1998.0930982618709</v>
      </c>
      <c r="CT64" s="1021">
        <f>(VLOOKUP(YEAR($A64),'NY East Load Projections'!$A$4:$EO$14,((MONTH($A64)-1)*12)+VLOOKUP(CT$4,$DE$6:$DF$17,2)+1))*(VLOOKUP($A64,SatSunCurve,7))*(INDEX(DailyScalarsTable,CT$5/100,MONTH($A64)))*$E64</f>
        <v>-1965.2320748367563</v>
      </c>
      <c r="CU64" s="1021">
        <f>(VLOOKUP(YEAR($A64),'NY East Load Projections'!$A$4:$EO$14,((MONTH($A64)-1)*12)+VLOOKUP(CU$4,$DE$6:$DF$17,2)+1))*(VLOOKUP($A64,SatSunCurve,7))*(INDEX(DailyScalarsTable,CU$5/100,MONTH($A64)))*$E64</f>
        <v>-2016.2246617337451</v>
      </c>
      <c r="CV64" s="1021">
        <f>(VLOOKUP(YEAR($A64),'NY East Load Projections'!$A$4:$EO$14,((MONTH($A64)-1)*12)+VLOOKUP(CV$4,$DE$6:$DF$17,2)+1))*(VLOOKUP($A64,SatSunCurve,7))*(INDEX(DailyScalarsTable,CV$5/100,MONTH($A64)))*$E64</f>
        <v>-2767.8175454501929</v>
      </c>
      <c r="CW64" s="1021">
        <f>(VLOOKUP(YEAR($A64),'NY East Load Projections'!$A$4:$EO$14,((MONTH($A64)-1)*12)+VLOOKUP(CW$4,$DE$6:$DF$17,2)+1))*(VLOOKUP($A64,SatSunCurve,7))*(INDEX(DailyScalarsTable,CW$5/100,MONTH($A64)))*$E64</f>
        <v>-2790.1038094756732</v>
      </c>
      <c r="CX64" s="1021">
        <f>(VLOOKUP(YEAR($A64),'NY East Load Projections'!$A$4:$EO$14,((MONTH($A64)-1)*12)+VLOOKUP(CX$4,$DE$6:$DF$17,2)+1))*(VLOOKUP($A64,SatSunCurve,7))*(INDEX(DailyScalarsTable,CX$5/100,MONTH($A64)))*$E64</f>
        <v>-2675.943559059438</v>
      </c>
      <c r="CY64" s="1021">
        <f>(VLOOKUP(YEAR($A64),'NY East Load Projections'!$A$4:$EO$14,((MONTH($A64)-1)*12)+VLOOKUP(CY$4,$DE$6:$DF$17,2)+1))*(VLOOKUP($A64,SatSunCurve,7))*(INDEX(DailyScalarsTable,CY$5/100,MONTH($A64)))*$E64</f>
        <v>-2372.1587258355999</v>
      </c>
      <c r="CZ64" s="1021">
        <f>(VLOOKUP(YEAR($A64),'NY East Load Projections'!$A$4:$EO$14,((MONTH($A64)-1)*12)+VLOOKUP(CZ$4,$DE$6:$DF$17,2)+1))*(VLOOKUP($A64,SatSunCurve,7))*(INDEX(DailyScalarsTable,CZ$5/100,MONTH($A64)))*$E64</f>
        <v>-1887.0088055090428</v>
      </c>
      <c r="DA64" s="1021">
        <f>(VLOOKUP(YEAR($A64),'NY East Load Projections'!$A$4:$EO$14,((MONTH($A64)-1)*12)+VLOOKUP(DA$4,$DE$6:$DF$17,2)+1))*(VLOOKUP($A64,SatSunCurve,7))*(INDEX(DailyScalarsTable,DA$5/100,MONTH($A64)))*$E64</f>
        <v>-1591.3875922700945</v>
      </c>
      <c r="DB64" s="1021">
        <f>(VLOOKUP(YEAR($A64),'NY East Load Projections'!$A$4:$EO$14,((MONTH($A64)-1)*12)+VLOOKUP(DB$4,$DE$6:$DF$17,2)+1))*(VLOOKUP($A64,CURVES!$D$9:$T$261,7))*(INDEX(DailyScalarsTable,DB$5/100,MONTH($A64)))*$E64</f>
        <v>-1999.4855957568975</v>
      </c>
      <c r="DH64" s="1032">
        <f t="shared" si="0"/>
        <v>-1890864.1531982971</v>
      </c>
      <c r="DI64">
        <f ca="1">CALC!J84</f>
        <v>0.65869612473466754</v>
      </c>
      <c r="DJ64" s="1029">
        <f t="shared" ca="1" si="1"/>
        <v>-1245504.890111417</v>
      </c>
    </row>
    <row r="65" spans="1:114" x14ac:dyDescent="0.25">
      <c r="A65" s="244">
        <v>38687</v>
      </c>
      <c r="B65" s="13">
        <v>21</v>
      </c>
      <c r="C65" s="210">
        <v>5</v>
      </c>
      <c r="D65" s="210">
        <v>4</v>
      </c>
      <c r="E65" s="210">
        <v>1</v>
      </c>
      <c r="F65" s="13">
        <v>31</v>
      </c>
      <c r="H65" s="1021">
        <f>(VLOOKUP(YEAR($A65),'NY East Load Projections'!$A$4:$EO$14,((MONTH($A65)-1)*12)+VLOOKUP(H$4,$DE$6:$DF$17,2)+1))*(VLOOKUP($A65,CURVES!$D$9:$K$261,7))*(INDEX(DailyScalarsTable,H$5/100,MONTH($A65)))*$B65</f>
        <v>-36263.214001398737</v>
      </c>
      <c r="I65" s="1021">
        <f>(VLOOKUP(YEAR($A65),'NY East Load Projections'!$A$4:$EO$14,((MONTH($A65)-1)*12)+VLOOKUP(I$4,$DE$6:$DF$17,2)+1))*(VLOOKUP($A65,CURVES!$D$9:$K$261,7))*(INDEX(DailyScalarsTable,I$5/100,MONTH($A65)))*$B65</f>
        <v>-34378.853338388995</v>
      </c>
      <c r="J65" s="1021">
        <f>(VLOOKUP(YEAR($A65),'NY East Load Projections'!$A$4:$EO$14,((MONTH($A65)-1)*12)+VLOOKUP(J$4,$DE$6:$DF$17,2)+1))*(VLOOKUP($A65,CURVES!$D$9:$K$261,7))*(INDEX(DailyScalarsTable,J$5/100,MONTH($A65)))*$B65</f>
        <v>-32993.867757915992</v>
      </c>
      <c r="K65" s="1021">
        <f>(VLOOKUP(YEAR($A65),'NY East Load Projections'!$A$4:$EO$14,((MONTH($A65)-1)*12)+VLOOKUP(K$4,$DE$6:$DF$17,2)+1))*(VLOOKUP($A65,CURVES!$D$9:$K$261,7))*(INDEX(DailyScalarsTable,K$5/100,MONTH($A65)))*$B65</f>
        <v>-33013.374597077578</v>
      </c>
      <c r="L65" s="1021">
        <f>(VLOOKUP(YEAR($A65),'NY East Load Projections'!$A$4:$EO$14,((MONTH($A65)-1)*12)+VLOOKUP(L$4,$DE$6:$DF$17,2)+1))*(VLOOKUP($A65,CURVES!$D$9:$K$261,7))*(INDEX(DailyScalarsTable,L$5/100,MONTH($A65)))*$B65</f>
        <v>-39268.832513884598</v>
      </c>
      <c r="M65" s="1021">
        <f>(VLOOKUP(YEAR($A65),'NY East Load Projections'!$A$4:$EO$14,((MONTH($A65)-1)*12)+VLOOKUP(M$4,$DE$6:$DF$17,2)+1))*(VLOOKUP($A65,CURVES!$D$9:$K$261,7))*(INDEX(DailyScalarsTable,M$5/100,MONTH($A65)))*$B65</f>
        <v>-45242.546803641555</v>
      </c>
      <c r="N65" s="1021">
        <f>(VLOOKUP(YEAR($A65),'NY East Load Projections'!$A$4:$EO$14,((MONTH($A65)-1)*12)+VLOOKUP(N$4,$DE$6:$DF$17,2)+1))*(VLOOKUP($A65,CURVES!$D$9:$K$261,7))*(INDEX(DailyScalarsTable,N$5/100,MONTH($A65)))*$B65</f>
        <v>-64805.486421148766</v>
      </c>
      <c r="O65" s="1021">
        <f>(VLOOKUP(YEAR($A65),'NY East Load Projections'!$A$4:$EO$14,((MONTH($A65)-1)*12)+VLOOKUP(O$4,$DE$6:$DF$17,2)+1))*(VLOOKUP($A65,CURVES!$D$9:$K$261,3))*(INDEX(DailyScalarsTable,O$5/100,MONTH($A65)))*$B65</f>
        <v>-68981.921571341212</v>
      </c>
      <c r="P65" s="1021">
        <f>(VLOOKUP(YEAR($A65),'NY East Load Projections'!$A$4:$EO$14,((MONTH($A65)-1)*12)+VLOOKUP(P$4,$DE$6:$DF$17,2)+1))*(VLOOKUP($A65,CURVES!$D$9:$K$261,3))*(INDEX(DailyScalarsTable,P$5/100,MONTH($A65)))*$B65</f>
        <v>-80652.981518085289</v>
      </c>
      <c r="Q65" s="1021">
        <f>(VLOOKUP(YEAR($A65),'NY East Load Projections'!$A$4:$EO$14,((MONTH($A65)-1)*12)+VLOOKUP(Q$4,$DE$6:$DF$17,2)+1))*(VLOOKUP($A65,CURVES!$D$9:$K$261,3))*(INDEX(DailyScalarsTable,Q$5/100,MONTH($A65)))*$B65</f>
        <v>-80244.10319624588</v>
      </c>
      <c r="R65" s="1021">
        <f>(VLOOKUP(YEAR($A65),'NY East Load Projections'!$A$4:$EO$14,((MONTH($A65)-1)*12)+VLOOKUP(R$4,$DE$6:$DF$17,2)+1))*(VLOOKUP($A65,CURVES!$D$9:$K$261,3))*(INDEX(DailyScalarsTable,R$5/100,MONTH($A65)))*$B65</f>
        <v>-78497.707652118246</v>
      </c>
      <c r="S65" s="1021">
        <f>(VLOOKUP(YEAR($A65),'NY East Load Projections'!$A$4:$EO$14,((MONTH($A65)-1)*12)+VLOOKUP(S$4,$DE$6:$DF$17,2)+1))*(VLOOKUP($A65,CURVES!$D$9:$K$261,3))*(INDEX(DailyScalarsTable,S$5/100,MONTH($A65)))*$B65</f>
        <v>-63785.018206947672</v>
      </c>
      <c r="T65" s="1021">
        <f>(VLOOKUP(YEAR($A65),'NY East Load Projections'!$A$4:$EO$14,((MONTH($A65)-1)*12)+VLOOKUP(T$4,$DE$6:$DF$17,2)+1))*(VLOOKUP($A65,CURVES!$D$9:$K$261,3))*(INDEX(DailyScalarsTable,T$5/100,MONTH($A65)))*$B65</f>
        <v>-61527.652098576677</v>
      </c>
      <c r="U65" s="1021">
        <f>(VLOOKUP(YEAR($A65),'NY East Load Projections'!$A$4:$EO$14,((MONTH($A65)-1)*12)+VLOOKUP(U$4,$DE$6:$DF$17,2)+1))*(VLOOKUP($A65,CURVES!$D$9:$K$261,3))*(INDEX(DailyScalarsTable,U$5/100,MONTH($A65)))*$B65</f>
        <v>-58876.38625777619</v>
      </c>
      <c r="V65" s="1021">
        <f>(VLOOKUP(YEAR($A65),'NY East Load Projections'!$A$4:$EO$14,((MONTH($A65)-1)*12)+VLOOKUP(V$4,$DE$6:$DF$17,2)+1))*(VLOOKUP($A65,CURVES!$D$9:$K$261,3))*(INDEX(DailyScalarsTable,V$5/100,MONTH($A65)))*$B65</f>
        <v>-55915.688859959206</v>
      </c>
      <c r="W65" s="1021">
        <f>(VLOOKUP(YEAR($A65),'NY East Load Projections'!$A$4:$EO$14,((MONTH($A65)-1)*12)+VLOOKUP(W$4,$DE$6:$DF$17,2)+1))*(VLOOKUP($A65,CURVES!$D$9:$K$261,3))*(INDEX(DailyScalarsTable,W$5/100,MONTH($A65)))*$B65</f>
        <v>-54945.198976589272</v>
      </c>
      <c r="X65" s="1021">
        <f>(VLOOKUP(YEAR($A65),'NY East Load Projections'!$A$4:$EO$14,((MONTH($A65)-1)*12)+VLOOKUP(X$4,$DE$6:$DF$17,2)+1))*(VLOOKUP($A65,CURVES!$D$9:$K$261,3))*(INDEX(DailyScalarsTable,X$5/100,MONTH($A65)))*$B65</f>
        <v>-58517.710723306358</v>
      </c>
      <c r="Y65" s="1021">
        <f>(VLOOKUP(YEAR($A65),'NY East Load Projections'!$A$4:$EO$14,((MONTH($A65)-1)*12)+VLOOKUP(Y$4,$DE$6:$DF$17,2)+1))*(VLOOKUP($A65,CURVES!$D$9:$K$261,3))*(INDEX(DailyScalarsTable,Y$5/100,MONTH($A65)))*$B65</f>
        <v>-82471.602494904742</v>
      </c>
      <c r="Z65" s="1021">
        <f>(VLOOKUP(YEAR($A65),'NY East Load Projections'!$A$4:$EO$14,((MONTH($A65)-1)*12)+VLOOKUP(Z$4,$DE$6:$DF$17,2)+1))*(VLOOKUP($A65,CURVES!$D$9:$K$261,3))*(INDEX(DailyScalarsTable,Z$5/100,MONTH($A65)))*$B65</f>
        <v>-81922.133907093506</v>
      </c>
      <c r="AA65" s="1021">
        <f>(VLOOKUP(YEAR($A65),'NY East Load Projections'!$A$4:$EO$14,((MONTH($A65)-1)*12)+VLOOKUP(AA$4,$DE$6:$DF$17,2)+1))*(VLOOKUP($A65,CURVES!$D$9:$K$261,3))*(INDEX(DailyScalarsTable,AA$5/100,MONTH($A65)))*$B65</f>
        <v>-79101.116440460231</v>
      </c>
      <c r="AB65" s="1021">
        <f>(VLOOKUP(YEAR($A65),'NY East Load Projections'!$A$4:$EO$14,((MONTH($A65)-1)*12)+VLOOKUP(AB$4,$DE$6:$DF$17,2)+1))*(VLOOKUP($A65,CURVES!$D$9:$K$261,3))*(INDEX(DailyScalarsTable,AB$5/100,MONTH($A65)))*$B65</f>
        <v>-69435.251973779785</v>
      </c>
      <c r="AC65" s="1021">
        <f>(VLOOKUP(YEAR($A65),'NY East Load Projections'!$A$4:$EO$14,((MONTH($A65)-1)*12)+VLOOKUP(AC$4,$DE$6:$DF$17,2)+1))*(VLOOKUP($A65,CURVES!$D$9:$K$261,3))*(INDEX(DailyScalarsTable,AC$5/100,MONTH($A65)))*$B65</f>
        <v>-51187.390653247334</v>
      </c>
      <c r="AD65" s="1021">
        <f>(VLOOKUP(YEAR($A65),'NY East Load Projections'!$A$4:$EO$14,((MONTH($A65)-1)*12)+VLOOKUP(AD$4,$DE$6:$DF$17,2)+1))*(VLOOKUP($A65,CURVES!$D$9:$K$261,3))*(INDEX(DailyScalarsTable,AD$5/100,MONTH($A65)))*$B65</f>
        <v>-42230.348718621557</v>
      </c>
      <c r="AE65" s="1021">
        <f>(VLOOKUP(YEAR($A65),'NY East Load Projections'!$A$4:$EO$14,((MONTH($A65)-1)*12)+VLOOKUP(AE$4,$DE$6:$DF$17,2)+1))*(VLOOKUP($A65,CURVES!$D$9:$K$261,7))*(INDEX(DailyScalarsTable,AE$5/100,MONTH($A65)))*$B65</f>
        <v>-43126.931067830083</v>
      </c>
      <c r="AF65" s="1021"/>
      <c r="AG65" s="1021">
        <f>(VLOOKUP(YEAR($A65),'NY East Load Projections'!$A$4:$EO$14,((MONTH($A65)-1)*12)+VLOOKUP(AG$4,$DE$6:$DF$17,2)+1))*(VLOOKUP($A65,CURVES!$D$9:$T$261,7))*(INDEX(DailyScalarsTable,AG$5/100,MONTH($A65)))*$C65</f>
        <v>-8895.9897055410474</v>
      </c>
      <c r="AH65" s="1021">
        <f>(VLOOKUP(YEAR($A65),'NY East Load Projections'!$A$4:$EO$14,((MONTH($A65)-1)*12)+VLOOKUP(AH$4,$DE$6:$DF$17,2)+1))*(VLOOKUP($A65,CURVES!$D$9:$T$261,7))*(INDEX(DailyScalarsTable,AH$5/100,MONTH($A65)))*$C65</f>
        <v>-8433.7236455328366</v>
      </c>
      <c r="AI65" s="1021">
        <f>(VLOOKUP(YEAR($A65),'NY East Load Projections'!$A$4:$EO$14,((MONTH($A65)-1)*12)+VLOOKUP(AI$4,$DE$6:$DF$17,2)+1))*(VLOOKUP($A65,CURVES!$D$9:$T$261,7))*(INDEX(DailyScalarsTable,AI$5/100,MONTH($A65)))*$C65</f>
        <v>-8093.9628767897411</v>
      </c>
      <c r="AJ65" s="1021">
        <f>(VLOOKUP(YEAR($A65),'NY East Load Projections'!$A$4:$EO$14,((MONTH($A65)-1)*12)+VLOOKUP(AJ$4,$DE$6:$DF$17,2)+1))*(VLOOKUP($A65,CURVES!$D$9:$T$261,7))*(INDEX(DailyScalarsTable,AJ$5/100,MONTH($A65)))*$C65</f>
        <v>-8098.7482397297845</v>
      </c>
      <c r="AK65" s="1021">
        <f>(VLOOKUP(YEAR($A65),'NY East Load Projections'!$A$4:$EO$14,((MONTH($A65)-1)*12)+VLOOKUP(AK$4,$DE$6:$DF$17,2)+1))*(VLOOKUP($A65,CURVES!$D$9:$T$261,7))*(INDEX(DailyScalarsTable,AK$5/100,MONTH($A65)))*$C65</f>
        <v>-8866.7904886344004</v>
      </c>
      <c r="AL65" s="1021">
        <f>(VLOOKUP(YEAR($A65),'NY East Load Projections'!$A$4:$EO$14,((MONTH($A65)-1)*12)+VLOOKUP(AL$4,$DE$6:$DF$17,2)+1))*(VLOOKUP($A65,CURVES!$D$9:$T$261,7))*(INDEX(DailyScalarsTable,AL$5/100,MONTH($A65)))*$C65</f>
        <v>-10215.638153700791</v>
      </c>
      <c r="AM65" s="1021">
        <f>(VLOOKUP(YEAR($A65),'NY East Load Projections'!$A$4:$EO$14,((MONTH($A65)-1)*12)+VLOOKUP(AM$4,$DE$6:$DF$17,2)+1))*(VLOOKUP($A65,CURVES!$D$9:$T$261,7))*(INDEX(DailyScalarsTable,AM$5/100,MONTH($A65)))*$C65</f>
        <v>-14632.894176499794</v>
      </c>
      <c r="AN65" s="1021">
        <f>(VLOOKUP(YEAR($A65),'NY East Load Projections'!$A$4:$EO$14,((MONTH($A65)-1)*12)+VLOOKUP(AN$4,$DE$6:$DF$17,2)+1))*(VLOOKUP($A65,SatSunCurve,3))*(INDEX(DailyScalarsTable,AN$5/100,MONTH($A65)))*$C65</f>
        <v>-13096.436458873719</v>
      </c>
      <c r="AO65" s="1021">
        <f>(VLOOKUP(YEAR($A65),'NY East Load Projections'!$A$4:$EO$14,((MONTH($A65)-1)*12)+VLOOKUP(AO$4,$DE$6:$DF$17,2)+1))*(VLOOKUP($A65,SatSunCurve,3))*(INDEX(DailyScalarsTable,AO$5/100,MONTH($A65)))*$C65</f>
        <v>-14919.84948121064</v>
      </c>
      <c r="AP65" s="1021">
        <f>(VLOOKUP(YEAR($A65),'NY East Load Projections'!$A$4:$EO$14,((MONTH($A65)-1)*12)+VLOOKUP(AP$4,$DE$6:$DF$17,2)+1))*(VLOOKUP($A65,SatSunCurve,3))*(INDEX(DailyScalarsTable,AP$5/100,MONTH($A65)))*$C65</f>
        <v>-14844.211818434267</v>
      </c>
      <c r="AQ65" s="1021">
        <f>(VLOOKUP(YEAR($A65),'NY East Load Projections'!$A$4:$EO$14,((MONTH($A65)-1)*12)+VLOOKUP(AQ$4,$DE$6:$DF$17,2)+1))*(VLOOKUP($A65,SatSunCurve,3))*(INDEX(DailyScalarsTable,AQ$5/100,MONTH($A65)))*$C65</f>
        <v>-14521.149258779253</v>
      </c>
      <c r="AR65" s="1021">
        <f>(VLOOKUP(YEAR($A65),'NY East Load Projections'!$A$4:$EO$14,((MONTH($A65)-1)*12)+VLOOKUP(AR$4,$DE$6:$DF$17,2)+1))*(VLOOKUP($A65,SatSunCurve,3))*(INDEX(DailyScalarsTable,AR$5/100,MONTH($A65)))*$C65</f>
        <v>-11799.475393114173</v>
      </c>
      <c r="AS65" s="1021">
        <f>(VLOOKUP(YEAR($A65),'NY East Load Projections'!$A$4:$EO$14,((MONTH($A65)-1)*12)+VLOOKUP(AS$4,$DE$6:$DF$17,2)+1))*(VLOOKUP($A65,SatSunCurve,3))*(INDEX(DailyScalarsTable,AS$5/100,MONTH($A65)))*$C65</f>
        <v>-11337.766404775572</v>
      </c>
      <c r="AT65" s="1021">
        <f>(VLOOKUP(YEAR($A65),'NY East Load Projections'!$A$4:$EO$14,((MONTH($A65)-1)*12)+VLOOKUP(AT$4,$DE$6:$DF$17,2)+1))*(VLOOKUP($A65,SatSunCurve,3))*(INDEX(DailyScalarsTable,AT$5/100,MONTH($A65)))*$C65</f>
        <v>-10849.214806352849</v>
      </c>
      <c r="AU65" s="1021">
        <f>(VLOOKUP(YEAR($A65),'NY East Load Projections'!$A$4:$EO$14,((MONTH($A65)-1)*12)+VLOOKUP(AU$4,$DE$6:$DF$17,2)+1))*(VLOOKUP($A65,SatSunCurve,3))*(INDEX(DailyScalarsTable,AU$5/100,MONTH($A65)))*$C65</f>
        <v>-10303.643923233576</v>
      </c>
      <c r="AV65" s="1021">
        <f>(VLOOKUP(YEAR($A65),'NY East Load Projections'!$A$4:$EO$14,((MONTH($A65)-1)*12)+VLOOKUP(AV$4,$DE$6:$DF$17,2)+1))*(VLOOKUP($A65,SatSunCurve,3))*(INDEX(DailyScalarsTable,AV$5/100,MONTH($A65)))*$C65</f>
        <v>-10124.810712139848</v>
      </c>
      <c r="AW65" s="1021">
        <f>(VLOOKUP(YEAR($A65),'NY East Load Projections'!$A$4:$EO$14,((MONTH($A65)-1)*12)+VLOOKUP(AW$4,$DE$6:$DF$17,2)+1))*(VLOOKUP($A65,SatSunCurve,3))*(INDEX(DailyScalarsTable,AW$5/100,MONTH($A65)))*$C65</f>
        <v>-10947.621300084676</v>
      </c>
      <c r="AX65" s="1021">
        <f>(VLOOKUP(YEAR($A65),'NY East Load Projections'!$A$4:$EO$14,((MONTH($A65)-1)*12)+VLOOKUP(AX$4,$DE$6:$DF$17,2)+1))*(VLOOKUP($A65,SatSunCurve,3))*(INDEX(DailyScalarsTable,AX$5/100,MONTH($A65)))*$C65</f>
        <v>-15428.967759768202</v>
      </c>
      <c r="AY65" s="1021">
        <f>(VLOOKUP(YEAR($A65),'NY East Load Projections'!$A$4:$EO$14,((MONTH($A65)-1)*12)+VLOOKUP(AY$4,$DE$6:$DF$17,2)+1))*(VLOOKUP($A65,SatSunCurve,3))*(INDEX(DailyScalarsTable,AY$5/100,MONTH($A65)))*$C65</f>
        <v>-15326.171974675162</v>
      </c>
      <c r="AZ65" s="1021">
        <f>(VLOOKUP(YEAR($A65),'NY East Load Projections'!$A$4:$EO$14,((MONTH($A65)-1)*12)+VLOOKUP(AZ$4,$DE$6:$DF$17,2)+1))*(VLOOKUP($A65,SatSunCurve,3))*(INDEX(DailyScalarsTable,AZ$5/100,MONTH($A65)))*$C65</f>
        <v>-14798.409857464976</v>
      </c>
      <c r="BA65" s="1021">
        <f>(VLOOKUP(YEAR($A65),'NY East Load Projections'!$A$4:$EO$14,((MONTH($A65)-1)*12)+VLOOKUP(BA$4,$DE$6:$DF$17,2)+1))*(VLOOKUP($A65,SatSunCurve,3))*(INDEX(DailyScalarsTable,BA$5/100,MONTH($A65)))*$C65</f>
        <v>-13890.441220676037</v>
      </c>
      <c r="BB65" s="1021">
        <f>(VLOOKUP(YEAR($A65),'NY East Load Projections'!$A$4:$EO$14,((MONTH($A65)-1)*12)+VLOOKUP(BB$4,$DE$6:$DF$17,2)+1))*(VLOOKUP($A65,SatSunCurve,3))*(INDEX(DailyScalarsTable,BB$5/100,MONTH($A65)))*$C65</f>
        <v>-10239.97783398566</v>
      </c>
      <c r="BC65" s="1021">
        <f>(VLOOKUP(YEAR($A65),'NY East Load Projections'!$A$4:$EO$14,((MONTH($A65)-1)*12)+VLOOKUP(BC$4,$DE$6:$DF$17,2)+1))*(VLOOKUP($A65,SatSunCurve,3))*(INDEX(DailyScalarsTable,BC$5/100,MONTH($A65)))*$C65</f>
        <v>-8448.1320356722572</v>
      </c>
      <c r="BD65" s="1021">
        <f>(VLOOKUP(YEAR($A65),'NY East Load Projections'!$A$4:$EO$14,((MONTH($A65)-1)*12)+VLOOKUP(BD$4,$DE$6:$DF$17,2)+1))*(VLOOKUP($A65,CURVES!$D$9:$T$261,7))*(INDEX(DailyScalarsTable,BD$5/100,MONTH($A65)))*$C65</f>
        <v>-10260.893612182817</v>
      </c>
      <c r="BE65" s="1021"/>
      <c r="BF65" s="1021">
        <f>(VLOOKUP(YEAR($A65),'NY East Load Projections'!$A$4:$EO$14,((MONTH($A65)-1)*12)+VLOOKUP(BF$4,$DE$6:$DF$17,2)+1))*(VLOOKUP($A65,CURVES!$D$9:$T$261,7))*(INDEX(DailyScalarsTable,BF$5/100,MONTH($A65)))*$D65</f>
        <v>-7116.7917644328381</v>
      </c>
      <c r="BG65" s="1021">
        <f>(VLOOKUP(YEAR($A65),'NY East Load Projections'!$A$4:$EO$14,((MONTH($A65)-1)*12)+VLOOKUP(BG$4,$DE$6:$DF$17,2)+1))*(VLOOKUP($A65,CURVES!$D$9:$T$261,7))*(INDEX(DailyScalarsTable,BG$5/100,MONTH($A65)))*$D65</f>
        <v>-6746.9789164262693</v>
      </c>
      <c r="BH65" s="1021">
        <f>(VLOOKUP(YEAR($A65),'NY East Load Projections'!$A$4:$EO$14,((MONTH($A65)-1)*12)+VLOOKUP(BH$4,$DE$6:$DF$17,2)+1))*(VLOOKUP($A65,CURVES!$D$9:$T$261,7))*(INDEX(DailyScalarsTable,BH$5/100,MONTH($A65)))*$D65</f>
        <v>-6475.1703014317927</v>
      </c>
      <c r="BI65" s="1021">
        <f>(VLOOKUP(YEAR($A65),'NY East Load Projections'!$A$4:$EO$14,((MONTH($A65)-1)*12)+VLOOKUP(BI$4,$DE$6:$DF$17,2)+1))*(VLOOKUP($A65,CURVES!$D$9:$T$261,7))*(INDEX(DailyScalarsTable,BI$5/100,MONTH($A65)))*$D65</f>
        <v>-6478.9985917838276</v>
      </c>
      <c r="BJ65" s="1021">
        <f>(VLOOKUP(YEAR($A65),'NY East Load Projections'!$A$4:$EO$14,((MONTH($A65)-1)*12)+VLOOKUP(BJ$4,$DE$6:$DF$17,2)+1))*(VLOOKUP($A65,CURVES!$D$9:$T$261,7))*(INDEX(DailyScalarsTable,BJ$5/100,MONTH($A65)))*$D65</f>
        <v>-7093.4323909075201</v>
      </c>
      <c r="BK65" s="1021">
        <f>(VLOOKUP(YEAR($A65),'NY East Load Projections'!$A$4:$EO$14,((MONTH($A65)-1)*12)+VLOOKUP(BK$4,$DE$6:$DF$17,2)+1))*(VLOOKUP($A65,CURVES!$D$9:$T$261,7))*(INDEX(DailyScalarsTable,BK$5/100,MONTH($A65)))*$D65</f>
        <v>-8172.5105229606334</v>
      </c>
      <c r="BL65" s="1021">
        <f>(VLOOKUP(YEAR($A65),'NY East Load Projections'!$A$4:$EO$14,((MONTH($A65)-1)*12)+VLOOKUP(BL$4,$DE$6:$DF$17,2)+1))*(VLOOKUP($A65,CURVES!$D$9:$T$261,7))*(INDEX(DailyScalarsTable,BL$5/100,MONTH($A65)))*$D65</f>
        <v>-11706.315341199836</v>
      </c>
      <c r="BM65" s="1021">
        <f>(VLOOKUP(YEAR($A65),'NY East Load Projections'!$A$4:$EO$14,((MONTH($A65)-1)*12)+VLOOKUP(BM$4,$DE$6:$DF$17,2)+1))*(VLOOKUP($A65,SatSunCurve,7))*(INDEX(DailyScalarsTable,BM$5/100,MONTH($A65)))*$D65</f>
        <v>-9056.8280952170062</v>
      </c>
      <c r="BN65" s="1021">
        <f>(VLOOKUP(YEAR($A65),'NY East Load Projections'!$A$4:$EO$14,((MONTH($A65)-1)*12)+VLOOKUP(BN$4,$DE$6:$DF$17,2)+1))*(VLOOKUP($A65,SatSunCurve,7))*(INDEX(DailyScalarsTable,BN$5/100,MONTH($A65)))*$D65</f>
        <v>-10317.807625163568</v>
      </c>
      <c r="BO65" s="1021">
        <f>(VLOOKUP(YEAR($A65),'NY East Load Projections'!$A$4:$EO$14,((MONTH($A65)-1)*12)+VLOOKUP(BO$4,$DE$6:$DF$17,2)+1))*(VLOOKUP($A65,SatSunCurve,7))*(INDEX(DailyScalarsTable,BO$5/100,MONTH($A65)))*$D65</f>
        <v>-10265.500471882535</v>
      </c>
      <c r="BP65" s="1021">
        <f>(VLOOKUP(YEAR($A65),'NY East Load Projections'!$A$4:$EO$14,((MONTH($A65)-1)*12)+VLOOKUP(BP$4,$DE$6:$DF$17,2)+1))*(VLOOKUP($A65,SatSunCurve,7))*(INDEX(DailyScalarsTable,BP$5/100,MONTH($A65)))*$D65</f>
        <v>-10042.086868038128</v>
      </c>
      <c r="BQ65" s="1021">
        <f>(VLOOKUP(YEAR($A65),'NY East Load Projections'!$A$4:$EO$14,((MONTH($A65)-1)*12)+VLOOKUP(BQ$4,$DE$6:$DF$17,2)+1))*(VLOOKUP($A65,SatSunCurve,7))*(INDEX(DailyScalarsTable,BQ$5/100,MONTH($A65)))*$D65</f>
        <v>-8159.9159118409934</v>
      </c>
      <c r="BR65" s="1021">
        <f>(VLOOKUP(YEAR($A65),'NY East Load Projections'!$A$4:$EO$14,((MONTH($A65)-1)*12)+VLOOKUP(BR$4,$DE$6:$DF$17,2)+1))*(VLOOKUP($A65,SatSunCurve,7))*(INDEX(DailyScalarsTable,BR$5/100,MONTH($A65)))*$D65</f>
        <v>-7840.6215029740733</v>
      </c>
      <c r="BS65" s="1021">
        <f>(VLOOKUP(YEAR($A65),'NY East Load Projections'!$A$4:$EO$14,((MONTH($A65)-1)*12)+VLOOKUP(BS$4,$DE$6:$DF$17,2)+1))*(VLOOKUP($A65,SatSunCurve,7))*(INDEX(DailyScalarsTable,BS$5/100,MONTH($A65)))*$D65</f>
        <v>-7502.764112801342</v>
      </c>
      <c r="BT65" s="1021">
        <f>(VLOOKUP(YEAR($A65),'NY East Load Projections'!$A$4:$EO$14,((MONTH($A65)-1)*12)+VLOOKUP(BT$4,$DE$6:$DF$17,2)+1))*(VLOOKUP($A65,SatSunCurve,7))*(INDEX(DailyScalarsTable,BT$5/100,MONTH($A65)))*$D65</f>
        <v>-7125.4750908843134</v>
      </c>
      <c r="BU65" s="1021">
        <f>(VLOOKUP(YEAR($A65),'NY East Load Projections'!$A$4:$EO$14,((MONTH($A65)-1)*12)+VLOOKUP(BU$4,$DE$6:$DF$17,2)+1))*(VLOOKUP($A65,SatSunCurve,7))*(INDEX(DailyScalarsTable,BU$5/100,MONTH($A65)))*$D65</f>
        <v>-7001.803154959016</v>
      </c>
      <c r="BV65" s="1021">
        <f>(VLOOKUP(YEAR($A65),'NY East Load Projections'!$A$4:$EO$14,((MONTH($A65)-1)*12)+VLOOKUP(BV$4,$DE$6:$DF$17,2)+1))*(VLOOKUP($A65,SatSunCurve,7))*(INDEX(DailyScalarsTable,BV$5/100,MONTH($A65)))*$D65</f>
        <v>-7570.8170293318044</v>
      </c>
      <c r="BW65" s="1021">
        <f>(VLOOKUP(YEAR($A65),'NY East Load Projections'!$A$4:$EO$14,((MONTH($A65)-1)*12)+VLOOKUP(BW$4,$DE$6:$DF$17,2)+1))*(VLOOKUP($A65,SatSunCurve,7))*(INDEX(DailyScalarsTable,BW$5/100,MONTH($A65)))*$D65</f>
        <v>-10669.88788329397</v>
      </c>
      <c r="BX65" s="1021">
        <f>(VLOOKUP(YEAR($A65),'NY East Load Projections'!$A$4:$EO$14,((MONTH($A65)-1)*12)+VLOOKUP(BX$4,$DE$6:$DF$17,2)+1))*(VLOOKUP($A65,SatSunCurve,7))*(INDEX(DailyScalarsTable,BX$5/100,MONTH($A65)))*$D65</f>
        <v>-10598.799556524766</v>
      </c>
      <c r="BY65" s="1021">
        <f>(VLOOKUP(YEAR($A65),'NY East Load Projections'!$A$4:$EO$14,((MONTH($A65)-1)*12)+VLOOKUP(BY$4,$DE$6:$DF$17,2)+1))*(VLOOKUP($A65,SatSunCurve,7))*(INDEX(DailyScalarsTable,BY$5/100,MONTH($A65)))*$D65</f>
        <v>-10233.826169622884</v>
      </c>
      <c r="BZ65" s="1021">
        <f>(VLOOKUP(YEAR($A65),'NY East Load Projections'!$A$4:$EO$14,((MONTH($A65)-1)*12)+VLOOKUP(BZ$4,$DE$6:$DF$17,2)+1))*(VLOOKUP($A65,SatSunCurve,7))*(INDEX(DailyScalarsTable,BZ$5/100,MONTH($A65)))*$D65</f>
        <v>-9605.9213280982949</v>
      </c>
      <c r="CA65" s="1021">
        <f>(VLOOKUP(YEAR($A65),'NY East Load Projections'!$A$4:$EO$14,((MONTH($A65)-1)*12)+VLOOKUP(CA$4,$DE$6:$DF$17,2)+1))*(VLOOKUP($A65,SatSunCurve,7))*(INDEX(DailyScalarsTable,CA$5/100,MONTH($A65)))*$D65</f>
        <v>-7081.4468678158601</v>
      </c>
      <c r="CB65" s="1021">
        <f>(VLOOKUP(YEAR($A65),'NY East Load Projections'!$A$4:$EO$14,((MONTH($A65)-1)*12)+VLOOKUP(CB$4,$DE$6:$DF$17,2)+1))*(VLOOKUP($A65,SatSunCurve,7))*(INDEX(DailyScalarsTable,CB$5/100,MONTH($A65)))*$D65</f>
        <v>-5842.2976214217751</v>
      </c>
      <c r="CC65" s="1021">
        <f>(VLOOKUP(YEAR($A65),'NY East Load Projections'!$A$4:$EO$14,((MONTH($A65)-1)*12)+VLOOKUP(CC$4,$DE$6:$DF$17,2)+1))*(VLOOKUP($A65,CURVES!$D$9:$T$261,7))*(INDEX(DailyScalarsTable,CC$5/100,MONTH($A65)))*$D65</f>
        <v>-8208.7148897462539</v>
      </c>
      <c r="CE65" s="1021">
        <f>(VLOOKUP(YEAR($A65),'NY East Load Projections'!$A$4:$EO$14,((MONTH($A65)-1)*12)+VLOOKUP(CE$4,$DE$6:$DF$17,2)+1))*(VLOOKUP($A65,CURVES!$D$9:$T$261,7))*(INDEX(DailyScalarsTable,CE$5/100,MONTH($A65)))*$E65</f>
        <v>-1779.1979411082095</v>
      </c>
      <c r="CF65" s="1021">
        <f>(VLOOKUP(YEAR($A65),'NY East Load Projections'!$A$4:$EO$14,((MONTH($A65)-1)*12)+VLOOKUP(CF$4,$DE$6:$DF$17,2)+1))*(VLOOKUP($A65,CURVES!$D$9:$T$261,7))*(INDEX(DailyScalarsTable,CF$5/100,MONTH($A65)))*$E65</f>
        <v>-1686.7447291065673</v>
      </c>
      <c r="CG65" s="1021">
        <f>(VLOOKUP(YEAR($A65),'NY East Load Projections'!$A$4:$EO$14,((MONTH($A65)-1)*12)+VLOOKUP(CG$4,$DE$6:$DF$17,2)+1))*(VLOOKUP($A65,CURVES!$D$9:$T$261,7))*(INDEX(DailyScalarsTable,CG$5/100,MONTH($A65)))*$E65</f>
        <v>-1618.7925753579482</v>
      </c>
      <c r="CH65" s="1021">
        <f>(VLOOKUP(YEAR($A65),'NY East Load Projections'!$A$4:$EO$14,((MONTH($A65)-1)*12)+VLOOKUP(CH$4,$DE$6:$DF$17,2)+1))*(VLOOKUP($A65,CURVES!$D$9:$T$261,7))*(INDEX(DailyScalarsTable,CH$5/100,MONTH($A65)))*$E65</f>
        <v>-1619.7496479459569</v>
      </c>
      <c r="CI65" s="1021">
        <f>(VLOOKUP(YEAR($A65),'NY East Load Projections'!$A$4:$EO$14,((MONTH($A65)-1)*12)+VLOOKUP(CI$4,$DE$6:$DF$17,2)+1))*(VLOOKUP($A65,CURVES!$D$9:$T$261,7))*(INDEX(DailyScalarsTable,CI$5/100,MONTH($A65)))*$E65</f>
        <v>-1773.35809772688</v>
      </c>
      <c r="CJ65" s="1021">
        <f>(VLOOKUP(YEAR($A65),'NY East Load Projections'!$A$4:$EO$14,((MONTH($A65)-1)*12)+VLOOKUP(CJ$4,$DE$6:$DF$17,2)+1))*(VLOOKUP($A65,CURVES!$D$9:$T$261,7))*(INDEX(DailyScalarsTable,CJ$5/100,MONTH($A65)))*$E65</f>
        <v>-2043.1276307401583</v>
      </c>
      <c r="CK65" s="1021">
        <f>(VLOOKUP(YEAR($A65),'NY East Load Projections'!$A$4:$EO$14,((MONTH($A65)-1)*12)+VLOOKUP(CK$4,$DE$6:$DF$17,2)+1))*(VLOOKUP($A65,CURVES!$D$9:$T$261,7))*(INDEX(DailyScalarsTable,CK$5/100,MONTH($A65)))*$E65</f>
        <v>-2926.5788352999589</v>
      </c>
      <c r="CL65" s="1021">
        <f>(VLOOKUP(YEAR($A65),'NY East Load Projections'!$A$4:$EO$14,((MONTH($A65)-1)*12)+VLOOKUP(CL$4,$DE$6:$DF$17,2)+1))*(VLOOKUP($A65,SatSunCurve,7))*(INDEX(DailyScalarsTable,CL$5/100,MONTH($A65)))*$E65</f>
        <v>-2264.2070238042515</v>
      </c>
      <c r="CM65" s="1021">
        <f>(VLOOKUP(YEAR($A65),'NY East Load Projections'!$A$4:$EO$14,((MONTH($A65)-1)*12)+VLOOKUP(CM$4,$DE$6:$DF$17,2)+1))*(VLOOKUP($A65,SatSunCurve,7))*(INDEX(DailyScalarsTable,CM$5/100,MONTH($A65)))*$E65</f>
        <v>-2579.4519062908921</v>
      </c>
      <c r="CN65" s="1021">
        <f>(VLOOKUP(YEAR($A65),'NY East Load Projections'!$A$4:$EO$14,((MONTH($A65)-1)*12)+VLOOKUP(CN$4,$DE$6:$DF$17,2)+1))*(VLOOKUP($A65,SatSunCurve,7))*(INDEX(DailyScalarsTable,CN$5/100,MONTH($A65)))*$E65</f>
        <v>-2566.3751179706337</v>
      </c>
      <c r="CO65" s="1021">
        <f>(VLOOKUP(YEAR($A65),'NY East Load Projections'!$A$4:$EO$14,((MONTH($A65)-1)*12)+VLOOKUP(CO$4,$DE$6:$DF$17,2)+1))*(VLOOKUP($A65,SatSunCurve,7))*(INDEX(DailyScalarsTable,CO$5/100,MONTH($A65)))*$E65</f>
        <v>-2510.521717009532</v>
      </c>
      <c r="CP65" s="1021">
        <f>(VLOOKUP(YEAR($A65),'NY East Load Projections'!$A$4:$EO$14,((MONTH($A65)-1)*12)+VLOOKUP(CP$4,$DE$6:$DF$17,2)+1))*(VLOOKUP($A65,SatSunCurve,7))*(INDEX(DailyScalarsTable,CP$5/100,MONTH($A65)))*$E65</f>
        <v>-2039.9789779602484</v>
      </c>
      <c r="CQ65" s="1021">
        <f>(VLOOKUP(YEAR($A65),'NY East Load Projections'!$A$4:$EO$14,((MONTH($A65)-1)*12)+VLOOKUP(CQ$4,$DE$6:$DF$17,2)+1))*(VLOOKUP($A65,SatSunCurve,7))*(INDEX(DailyScalarsTable,CQ$5/100,MONTH($A65)))*$E65</f>
        <v>-1960.1553757435183</v>
      </c>
      <c r="CR65" s="1021">
        <f>(VLOOKUP(YEAR($A65),'NY East Load Projections'!$A$4:$EO$14,((MONTH($A65)-1)*12)+VLOOKUP(CR$4,$DE$6:$DF$17,2)+1))*(VLOOKUP($A65,SatSunCurve,7))*(INDEX(DailyScalarsTable,CR$5/100,MONTH($A65)))*$E65</f>
        <v>-1875.6910282003355</v>
      </c>
      <c r="CS65" s="1021">
        <f>(VLOOKUP(YEAR($A65),'NY East Load Projections'!$A$4:$EO$14,((MONTH($A65)-1)*12)+VLOOKUP(CS$4,$DE$6:$DF$17,2)+1))*(VLOOKUP($A65,SatSunCurve,7))*(INDEX(DailyScalarsTable,CS$5/100,MONTH($A65)))*$E65</f>
        <v>-1781.3687727210784</v>
      </c>
      <c r="CT65" s="1021">
        <f>(VLOOKUP(YEAR($A65),'NY East Load Projections'!$A$4:$EO$14,((MONTH($A65)-1)*12)+VLOOKUP(CT$4,$DE$6:$DF$17,2)+1))*(VLOOKUP($A65,SatSunCurve,7))*(INDEX(DailyScalarsTable,CT$5/100,MONTH($A65)))*$E65</f>
        <v>-1750.450788739754</v>
      </c>
      <c r="CU65" s="1021">
        <f>(VLOOKUP(YEAR($A65),'NY East Load Projections'!$A$4:$EO$14,((MONTH($A65)-1)*12)+VLOOKUP(CU$4,$DE$6:$DF$17,2)+1))*(VLOOKUP($A65,SatSunCurve,7))*(INDEX(DailyScalarsTable,CU$5/100,MONTH($A65)))*$E65</f>
        <v>-1892.7042573329511</v>
      </c>
      <c r="CV65" s="1021">
        <f>(VLOOKUP(YEAR($A65),'NY East Load Projections'!$A$4:$EO$14,((MONTH($A65)-1)*12)+VLOOKUP(CV$4,$DE$6:$DF$17,2)+1))*(VLOOKUP($A65,SatSunCurve,7))*(INDEX(DailyScalarsTable,CV$5/100,MONTH($A65)))*$E65</f>
        <v>-2667.4719708234925</v>
      </c>
      <c r="CW65" s="1021">
        <f>(VLOOKUP(YEAR($A65),'NY East Load Projections'!$A$4:$EO$14,((MONTH($A65)-1)*12)+VLOOKUP(CW$4,$DE$6:$DF$17,2)+1))*(VLOOKUP($A65,SatSunCurve,7))*(INDEX(DailyScalarsTable,CW$5/100,MONTH($A65)))*$E65</f>
        <v>-2649.6998891311914</v>
      </c>
      <c r="CX65" s="1021">
        <f>(VLOOKUP(YEAR($A65),'NY East Load Projections'!$A$4:$EO$14,((MONTH($A65)-1)*12)+VLOOKUP(CX$4,$DE$6:$DF$17,2)+1))*(VLOOKUP($A65,SatSunCurve,7))*(INDEX(DailyScalarsTable,CX$5/100,MONTH($A65)))*$E65</f>
        <v>-2558.4565424057209</v>
      </c>
      <c r="CY65" s="1021">
        <f>(VLOOKUP(YEAR($A65),'NY East Load Projections'!$A$4:$EO$14,((MONTH($A65)-1)*12)+VLOOKUP(CY$4,$DE$6:$DF$17,2)+1))*(VLOOKUP($A65,SatSunCurve,7))*(INDEX(DailyScalarsTable,CY$5/100,MONTH($A65)))*$E65</f>
        <v>-2401.4803320245737</v>
      </c>
      <c r="CZ65" s="1021">
        <f>(VLOOKUP(YEAR($A65),'NY East Load Projections'!$A$4:$EO$14,((MONTH($A65)-1)*12)+VLOOKUP(CZ$4,$DE$6:$DF$17,2)+1))*(VLOOKUP($A65,SatSunCurve,7))*(INDEX(DailyScalarsTable,CZ$5/100,MONTH($A65)))*$E65</f>
        <v>-1770.361716953965</v>
      </c>
      <c r="DA65" s="1021">
        <f>(VLOOKUP(YEAR($A65),'NY East Load Projections'!$A$4:$EO$14,((MONTH($A65)-1)*12)+VLOOKUP(DA$4,$DE$6:$DF$17,2)+1))*(VLOOKUP($A65,SatSunCurve,7))*(INDEX(DailyScalarsTable,DA$5/100,MONTH($A65)))*$E65</f>
        <v>-1460.5744053554438</v>
      </c>
      <c r="DB65" s="1021">
        <f>(VLOOKUP(YEAR($A65),'NY East Load Projections'!$A$4:$EO$14,((MONTH($A65)-1)*12)+VLOOKUP(DB$4,$DE$6:$DF$17,2)+1))*(VLOOKUP($A65,CURVES!$D$9:$T$261,7))*(INDEX(DailyScalarsTable,DB$5/100,MONTH($A65)))*$E65</f>
        <v>-2052.1787224365635</v>
      </c>
      <c r="DH65" s="1032">
        <f t="shared" si="0"/>
        <v>-1926903.6308991411</v>
      </c>
      <c r="DI65">
        <f ca="1">CALC!J85</f>
        <v>0.65459584130256854</v>
      </c>
      <c r="DJ65" s="1029">
        <f t="shared" ca="1" si="1"/>
        <v>-1261343.1033773972</v>
      </c>
    </row>
    <row r="66" spans="1:114" x14ac:dyDescent="0.25">
      <c r="A66" s="244">
        <v>38718</v>
      </c>
      <c r="B66" s="13">
        <v>21</v>
      </c>
      <c r="C66" s="210">
        <v>4</v>
      </c>
      <c r="D66" s="210">
        <v>5</v>
      </c>
      <c r="E66" s="210">
        <v>1</v>
      </c>
      <c r="F66" s="13">
        <v>31</v>
      </c>
      <c r="H66" s="1021">
        <f>(VLOOKUP(YEAR($A66),'NY East Load Projections'!$A$4:$EO$14,((MONTH($A66)-1)*12)+VLOOKUP(H$4,$DE$6:$DF$17,2)+1))*(VLOOKUP($A66,CURVES!$D$9:$K$261,7))*(INDEX(DailyScalarsTable,H$5/100,MONTH($A66)))*$B66</f>
        <v>-33693.963647729841</v>
      </c>
      <c r="I66" s="1021">
        <f>(VLOOKUP(YEAR($A66),'NY East Load Projections'!$A$4:$EO$14,((MONTH($A66)-1)*12)+VLOOKUP(I$4,$DE$6:$DF$17,2)+1))*(VLOOKUP($A66,CURVES!$D$9:$K$261,7))*(INDEX(DailyScalarsTable,I$5/100,MONTH($A66)))*$B66</f>
        <v>-33037.511363916448</v>
      </c>
      <c r="J66" s="1021">
        <f>(VLOOKUP(YEAR($A66),'NY East Load Projections'!$A$4:$EO$14,((MONTH($A66)-1)*12)+VLOOKUP(J$4,$DE$6:$DF$17,2)+1))*(VLOOKUP($A66,CURVES!$D$9:$K$261,7))*(INDEX(DailyScalarsTable,J$5/100,MONTH($A66)))*$B66</f>
        <v>-30273.942454936827</v>
      </c>
      <c r="K66" s="1021">
        <f>(VLOOKUP(YEAR($A66),'NY East Load Projections'!$A$4:$EO$14,((MONTH($A66)-1)*12)+VLOOKUP(K$4,$DE$6:$DF$17,2)+1))*(VLOOKUP($A66,CURVES!$D$9:$K$261,7))*(INDEX(DailyScalarsTable,K$5/100,MONTH($A66)))*$B66</f>
        <v>-30255.638360030374</v>
      </c>
      <c r="L66" s="1021">
        <f>(VLOOKUP(YEAR($A66),'NY East Load Projections'!$A$4:$EO$14,((MONTH($A66)-1)*12)+VLOOKUP(L$4,$DE$6:$DF$17,2)+1))*(VLOOKUP($A66,CURVES!$D$9:$K$261,7))*(INDEX(DailyScalarsTable,L$5/100,MONTH($A66)))*$B66</f>
        <v>-34772.901705978926</v>
      </c>
      <c r="M66" s="1021">
        <f>(VLOOKUP(YEAR($A66),'NY East Load Projections'!$A$4:$EO$14,((MONTH($A66)-1)*12)+VLOOKUP(M$4,$DE$6:$DF$17,2)+1))*(VLOOKUP($A66,CURVES!$D$9:$K$261,7))*(INDEX(DailyScalarsTable,M$5/100,MONTH($A66)))*$B66</f>
        <v>-37110.265092949034</v>
      </c>
      <c r="N66" s="1021">
        <f>(VLOOKUP(YEAR($A66),'NY East Load Projections'!$A$4:$EO$14,((MONTH($A66)-1)*12)+VLOOKUP(N$4,$DE$6:$DF$17,2)+1))*(VLOOKUP($A66,CURVES!$D$9:$K$261,7))*(INDEX(DailyScalarsTable,N$5/100,MONTH($A66)))*$B66</f>
        <v>-71065.70579012821</v>
      </c>
      <c r="O66" s="1021">
        <f>(VLOOKUP(YEAR($A66),'NY East Load Projections'!$A$4:$EO$14,((MONTH($A66)-1)*12)+VLOOKUP(O$4,$DE$6:$DF$17,2)+1))*(VLOOKUP($A66,CURVES!$D$9:$K$261,3))*(INDEX(DailyScalarsTable,O$5/100,MONTH($A66)))*$B66</f>
        <v>-83433.014246932071</v>
      </c>
      <c r="P66" s="1021">
        <f>(VLOOKUP(YEAR($A66),'NY East Load Projections'!$A$4:$EO$14,((MONTH($A66)-1)*12)+VLOOKUP(P$4,$DE$6:$DF$17,2)+1))*(VLOOKUP($A66,CURVES!$D$9:$K$261,3))*(INDEX(DailyScalarsTable,P$5/100,MONTH($A66)))*$B66</f>
        <v>-95509.945672904782</v>
      </c>
      <c r="Q66" s="1021">
        <f>(VLOOKUP(YEAR($A66),'NY East Load Projections'!$A$4:$EO$14,((MONTH($A66)-1)*12)+VLOOKUP(Q$4,$DE$6:$DF$17,2)+1))*(VLOOKUP($A66,CURVES!$D$9:$K$261,3))*(INDEX(DailyScalarsTable,Q$5/100,MONTH($A66)))*$B66</f>
        <v>-95219.251761879699</v>
      </c>
      <c r="R66" s="1021">
        <f>(VLOOKUP(YEAR($A66),'NY East Load Projections'!$A$4:$EO$14,((MONTH($A66)-1)*12)+VLOOKUP(R$4,$DE$6:$DF$17,2)+1))*(VLOOKUP($A66,CURVES!$D$9:$K$261,3))*(INDEX(DailyScalarsTable,R$5/100,MONTH($A66)))*$B66</f>
        <v>-93557.550928547425</v>
      </c>
      <c r="S66" s="1021">
        <f>(VLOOKUP(YEAR($A66),'NY East Load Projections'!$A$4:$EO$14,((MONTH($A66)-1)*12)+VLOOKUP(S$4,$DE$6:$DF$17,2)+1))*(VLOOKUP($A66,CURVES!$D$9:$K$261,3))*(INDEX(DailyScalarsTable,S$5/100,MONTH($A66)))*$B66</f>
        <v>-70083.457431153802</v>
      </c>
      <c r="T66" s="1021">
        <f>(VLOOKUP(YEAR($A66),'NY East Load Projections'!$A$4:$EO$14,((MONTH($A66)-1)*12)+VLOOKUP(T$4,$DE$6:$DF$17,2)+1))*(VLOOKUP($A66,CURVES!$D$9:$K$261,3))*(INDEX(DailyScalarsTable,T$5/100,MONTH($A66)))*$B66</f>
        <v>-69165.143318587827</v>
      </c>
      <c r="U66" s="1021">
        <f>(VLOOKUP(YEAR($A66),'NY East Load Projections'!$A$4:$EO$14,((MONTH($A66)-1)*12)+VLOOKUP(U$4,$DE$6:$DF$17,2)+1))*(VLOOKUP($A66,CURVES!$D$9:$K$261,3))*(INDEX(DailyScalarsTable,U$5/100,MONTH($A66)))*$B66</f>
        <v>-66931.921564267483</v>
      </c>
      <c r="V66" s="1021">
        <f>(VLOOKUP(YEAR($A66),'NY East Load Projections'!$A$4:$EO$14,((MONTH($A66)-1)*12)+VLOOKUP(V$4,$DE$6:$DF$17,2)+1))*(VLOOKUP($A66,CURVES!$D$9:$K$261,3))*(INDEX(DailyScalarsTable,V$5/100,MONTH($A66)))*$B66</f>
        <v>-63525.449250612197</v>
      </c>
      <c r="W66" s="1021">
        <f>(VLOOKUP(YEAR($A66),'NY East Load Projections'!$A$4:$EO$14,((MONTH($A66)-1)*12)+VLOOKUP(W$4,$DE$6:$DF$17,2)+1))*(VLOOKUP($A66,CURVES!$D$9:$K$261,3))*(INDEX(DailyScalarsTable,W$5/100,MONTH($A66)))*$B66</f>
        <v>-62247.010710095477</v>
      </c>
      <c r="X66" s="1021">
        <f>(VLOOKUP(YEAR($A66),'NY East Load Projections'!$A$4:$EO$14,((MONTH($A66)-1)*12)+VLOOKUP(X$4,$DE$6:$DF$17,2)+1))*(VLOOKUP($A66,CURVES!$D$9:$K$261,3))*(INDEX(DailyScalarsTable,X$5/100,MONTH($A66)))*$B66</f>
        <v>-63901.297326257045</v>
      </c>
      <c r="Y66" s="1021">
        <f>(VLOOKUP(YEAR($A66),'NY East Load Projections'!$A$4:$EO$14,((MONTH($A66)-1)*12)+VLOOKUP(Y$4,$DE$6:$DF$17,2)+1))*(VLOOKUP($A66,CURVES!$D$9:$K$261,3))*(INDEX(DailyScalarsTable,Y$5/100,MONTH($A66)))*$B66</f>
        <v>-88915.879077962352</v>
      </c>
      <c r="Z66" s="1021">
        <f>(VLOOKUP(YEAR($A66),'NY East Load Projections'!$A$4:$EO$14,((MONTH($A66)-1)*12)+VLOOKUP(Z$4,$DE$6:$DF$17,2)+1))*(VLOOKUP($A66,CURVES!$D$9:$K$261,3))*(INDEX(DailyScalarsTable,Z$5/100,MONTH($A66)))*$B66</f>
        <v>-97564.344653429012</v>
      </c>
      <c r="AA66" s="1021">
        <f>(VLOOKUP(YEAR($A66),'NY East Load Projections'!$A$4:$EO$14,((MONTH($A66)-1)*12)+VLOOKUP(AA$4,$DE$6:$DF$17,2)+1))*(VLOOKUP($A66,CURVES!$D$9:$K$261,3))*(INDEX(DailyScalarsTable,AA$5/100,MONTH($A66)))*$B66</f>
        <v>-93386.007407476645</v>
      </c>
      <c r="AB66" s="1021">
        <f>(VLOOKUP(YEAR($A66),'NY East Load Projections'!$A$4:$EO$14,((MONTH($A66)-1)*12)+VLOOKUP(AB$4,$DE$6:$DF$17,2)+1))*(VLOOKUP($A66,CURVES!$D$9:$K$261,3))*(INDEX(DailyScalarsTable,AB$5/100,MONTH($A66)))*$B66</f>
        <v>-78935.002987223343</v>
      </c>
      <c r="AC66" s="1021">
        <f>(VLOOKUP(YEAR($A66),'NY East Load Projections'!$A$4:$EO$14,((MONTH($A66)-1)*12)+VLOOKUP(AC$4,$DE$6:$DF$17,2)+1))*(VLOOKUP($A66,CURVES!$D$9:$K$261,3))*(INDEX(DailyScalarsTable,AC$5/100,MONTH($A66)))*$B66</f>
        <v>-56140.402335410661</v>
      </c>
      <c r="AD66" s="1021">
        <f>(VLOOKUP(YEAR($A66),'NY East Load Projections'!$A$4:$EO$14,((MONTH($A66)-1)*12)+VLOOKUP(AD$4,$DE$6:$DF$17,2)+1))*(VLOOKUP($A66,CURVES!$D$9:$K$261,3))*(INDEX(DailyScalarsTable,AD$5/100,MONTH($A66)))*$B66</f>
        <v>-45957.90696355894</v>
      </c>
      <c r="AE66" s="1021">
        <f>(VLOOKUP(YEAR($A66),'NY East Load Projections'!$A$4:$EO$14,((MONTH($A66)-1)*12)+VLOOKUP(AE$4,$DE$6:$DF$17,2)+1))*(VLOOKUP($A66,CURVES!$D$9:$K$261,7))*(INDEX(DailyScalarsTable,AE$5/100,MONTH($A66)))*$B66</f>
        <v>-40290.368890673468</v>
      </c>
      <c r="AF66" s="1021"/>
      <c r="AG66" s="1021">
        <f>(VLOOKUP(YEAR($A66),'NY East Load Projections'!$A$4:$EO$14,((MONTH($A66)-1)*12)+VLOOKUP(AG$4,$DE$6:$DF$17,2)+1))*(VLOOKUP($A66,CURVES!$D$9:$T$261,7))*(INDEX(DailyScalarsTable,AG$5/100,MONTH($A66)))*$C66</f>
        <v>-6730.2821773572341</v>
      </c>
      <c r="AH66" s="1021">
        <f>(VLOOKUP(YEAR($A66),'NY East Load Projections'!$A$4:$EO$14,((MONTH($A66)-1)*12)+VLOOKUP(AH$4,$DE$6:$DF$17,2)+1))*(VLOOKUP($A66,CURVES!$D$9:$T$261,7))*(INDEX(DailyScalarsTable,AH$5/100,MONTH($A66)))*$C66</f>
        <v>-6599.1575298617354</v>
      </c>
      <c r="AI66" s="1021">
        <f>(VLOOKUP(YEAR($A66),'NY East Load Projections'!$A$4:$EO$14,((MONTH($A66)-1)*12)+VLOOKUP(AI$4,$DE$6:$DF$17,2)+1))*(VLOOKUP($A66,CURVES!$D$9:$T$261,7))*(INDEX(DailyScalarsTable,AI$5/100,MONTH($A66)))*$C66</f>
        <v>-6047.1417810331677</v>
      </c>
      <c r="AJ66" s="1021">
        <f>(VLOOKUP(YEAR($A66),'NY East Load Projections'!$A$4:$EO$14,((MONTH($A66)-1)*12)+VLOOKUP(AJ$4,$DE$6:$DF$17,2)+1))*(VLOOKUP($A66,CURVES!$D$9:$T$261,7))*(INDEX(DailyScalarsTable,AJ$5/100,MONTH($A66)))*$C66</f>
        <v>-6043.4855853712525</v>
      </c>
      <c r="AK66" s="1021">
        <f>(VLOOKUP(YEAR($A66),'NY East Load Projections'!$A$4:$EO$14,((MONTH($A66)-1)*12)+VLOOKUP(AK$4,$DE$6:$DF$17,2)+1))*(VLOOKUP($A66,CURVES!$D$9:$T$261,7))*(INDEX(DailyScalarsTable,AK$5/100,MONTH($A66)))*$C66</f>
        <v>-6352.8124898774604</v>
      </c>
      <c r="AL66" s="1021">
        <f>(VLOOKUP(YEAR($A66),'NY East Load Projections'!$A$4:$EO$14,((MONTH($A66)-1)*12)+VLOOKUP(AL$4,$DE$6:$DF$17,2)+1))*(VLOOKUP($A66,CURVES!$D$9:$T$261,7))*(INDEX(DailyScalarsTable,AL$5/100,MONTH($A66)))*$C66</f>
        <v>-6779.8355621444744</v>
      </c>
      <c r="AM66" s="1021">
        <f>(VLOOKUP(YEAR($A66),'NY East Load Projections'!$A$4:$EO$14,((MONTH($A66)-1)*12)+VLOOKUP(AM$4,$DE$6:$DF$17,2)+1))*(VLOOKUP($A66,CURVES!$D$9:$T$261,7))*(INDEX(DailyScalarsTable,AM$5/100,MONTH($A66)))*$C66</f>
        <v>-12983.302548715898</v>
      </c>
      <c r="AN66" s="1021">
        <f>(VLOOKUP(YEAR($A66),'NY East Load Projections'!$A$4:$EO$14,((MONTH($A66)-1)*12)+VLOOKUP(AN$4,$DE$6:$DF$17,2)+1))*(VLOOKUP($A66,SatSunCurve,3))*(INDEX(DailyScalarsTable,AN$5/100,MONTH($A66)))*$C66</f>
        <v>-12098.536470902514</v>
      </c>
      <c r="AO66" s="1021">
        <f>(VLOOKUP(YEAR($A66),'NY East Load Projections'!$A$4:$EO$14,((MONTH($A66)-1)*12)+VLOOKUP(AO$4,$DE$6:$DF$17,2)+1))*(VLOOKUP($A66,SatSunCurve,3))*(INDEX(DailyScalarsTable,AO$5/100,MONTH($A66)))*$C66</f>
        <v>-13636.389435816287</v>
      </c>
      <c r="AP66" s="1021">
        <f>(VLOOKUP(YEAR($A66),'NY East Load Projections'!$A$4:$EO$14,((MONTH($A66)-1)*12)+VLOOKUP(AP$4,$DE$6:$DF$17,2)+1))*(VLOOKUP($A66,SatSunCurve,3))*(INDEX(DailyScalarsTable,AP$5/100,MONTH($A66)))*$C66</f>
        <v>-13594.885743719822</v>
      </c>
      <c r="AQ66" s="1021">
        <f>(VLOOKUP(YEAR($A66),'NY East Load Projections'!$A$4:$EO$14,((MONTH($A66)-1)*12)+VLOOKUP(AQ$4,$DE$6:$DF$17,2)+1))*(VLOOKUP($A66,SatSunCurve,3))*(INDEX(DailyScalarsTable,AQ$5/100,MONTH($A66)))*$C66</f>
        <v>-13357.637156365972</v>
      </c>
      <c r="AR66" s="1021">
        <f>(VLOOKUP(YEAR($A66),'NY East Load Projections'!$A$4:$EO$14,((MONTH($A66)-1)*12)+VLOOKUP(AR$4,$DE$6:$DF$17,2)+1))*(VLOOKUP($A66,SatSunCurve,3))*(INDEX(DailyScalarsTable,AR$5/100,MONTH($A66)))*$C66</f>
        <v>-10006.134039826857</v>
      </c>
      <c r="AS66" s="1021">
        <f>(VLOOKUP(YEAR($A66),'NY East Load Projections'!$A$4:$EO$14,((MONTH($A66)-1)*12)+VLOOKUP(AS$4,$DE$6:$DF$17,2)+1))*(VLOOKUP($A66,SatSunCurve,3))*(INDEX(DailyScalarsTable,AS$5/100,MONTH($A66)))*$C66</f>
        <v>-9762.5658780856284</v>
      </c>
      <c r="AT66" s="1021">
        <f>(VLOOKUP(YEAR($A66),'NY East Load Projections'!$A$4:$EO$14,((MONTH($A66)-1)*12)+VLOOKUP(AT$4,$DE$6:$DF$17,2)+1))*(VLOOKUP($A66,SatSunCurve,3))*(INDEX(DailyScalarsTable,AT$5/100,MONTH($A66)))*$C66</f>
        <v>-9447.3496658311087</v>
      </c>
      <c r="AU66" s="1021">
        <f>(VLOOKUP(YEAR($A66),'NY East Load Projections'!$A$4:$EO$14,((MONTH($A66)-1)*12)+VLOOKUP(AU$4,$DE$6:$DF$17,2)+1))*(VLOOKUP($A66,SatSunCurve,3))*(INDEX(DailyScalarsTable,AU$5/100,MONTH($A66)))*$C66</f>
        <v>-8966.5307333704113</v>
      </c>
      <c r="AV66" s="1021">
        <f>(VLOOKUP(YEAR($A66),'NY East Load Projections'!$A$4:$EO$14,((MONTH($A66)-1)*12)+VLOOKUP(AV$4,$DE$6:$DF$17,2)+1))*(VLOOKUP($A66,SatSunCurve,3))*(INDEX(DailyScalarsTable,AV$5/100,MONTH($A66)))*$C66</f>
        <v>-8786.0808727319545</v>
      </c>
      <c r="AW66" s="1021">
        <f>(VLOOKUP(YEAR($A66),'NY East Load Projections'!$A$4:$EO$14,((MONTH($A66)-1)*12)+VLOOKUP(AW$4,$DE$6:$DF$17,2)+1))*(VLOOKUP($A66,SatSunCurve,3))*(INDEX(DailyScalarsTable,AW$5/100,MONTH($A66)))*$C66</f>
        <v>-9094.6741723826162</v>
      </c>
      <c r="AX66" s="1021">
        <f>(VLOOKUP(YEAR($A66),'NY East Load Projections'!$A$4:$EO$14,((MONTH($A66)-1)*12)+VLOOKUP(AX$4,$DE$6:$DF$17,2)+1))*(VLOOKUP($A66,SatSunCurve,3))*(INDEX(DailyScalarsTable,AX$5/100,MONTH($A66)))*$C66</f>
        <v>-12654.843998492051</v>
      </c>
      <c r="AY66" s="1021">
        <f>(VLOOKUP(YEAR($A66),'NY East Load Projections'!$A$4:$EO$14,((MONTH($A66)-1)*12)+VLOOKUP(AY$4,$DE$6:$DF$17,2)+1))*(VLOOKUP($A66,SatSunCurve,3))*(INDEX(DailyScalarsTable,AY$5/100,MONTH($A66)))*$C66</f>
        <v>-13885.726309039717</v>
      </c>
      <c r="AZ66" s="1021">
        <f>(VLOOKUP(YEAR($A66),'NY East Load Projections'!$A$4:$EO$14,((MONTH($A66)-1)*12)+VLOOKUP(AZ$4,$DE$6:$DF$17,2)+1))*(VLOOKUP($A66,SatSunCurve,3))*(INDEX(DailyScalarsTable,AZ$5/100,MONTH($A66)))*$C66</f>
        <v>-13291.049558734483</v>
      </c>
      <c r="BA66" s="1021">
        <f>(VLOOKUP(YEAR($A66),'NY East Load Projections'!$A$4:$EO$14,((MONTH($A66)-1)*12)+VLOOKUP(BA$4,$DE$6:$DF$17,2)+1))*(VLOOKUP($A66,SatSunCurve,3))*(INDEX(DailyScalarsTable,BA$5/100,MONTH($A66)))*$C66</f>
        <v>-12030.598410962903</v>
      </c>
      <c r="BB66" s="1021">
        <f>(VLOOKUP(YEAR($A66),'NY East Load Projections'!$A$4:$EO$14,((MONTH($A66)-1)*12)+VLOOKUP(BB$4,$DE$6:$DF$17,2)+1))*(VLOOKUP($A66,SatSunCurve,3))*(INDEX(DailyScalarsTable,BB$5/100,MONTH($A66)))*$C66</f>
        <v>-8556.4402301540704</v>
      </c>
      <c r="BC66" s="1021">
        <f>(VLOOKUP(YEAR($A66),'NY East Load Projections'!$A$4:$EO$14,((MONTH($A66)-1)*12)+VLOOKUP(BC$4,$DE$6:$DF$17,2)+1))*(VLOOKUP($A66,SatSunCurve,3))*(INDEX(DailyScalarsTable,BC$5/100,MONTH($A66)))*$C66</f>
        <v>-7004.5113265716527</v>
      </c>
      <c r="BD66" s="1021">
        <f>(VLOOKUP(YEAR($A66),'NY East Load Projections'!$A$4:$EO$14,((MONTH($A66)-1)*12)+VLOOKUP(BD$4,$DE$6:$DF$17,2)+1))*(VLOOKUP($A66,CURVES!$D$9:$T$261,7))*(INDEX(DailyScalarsTable,BD$5/100,MONTH($A66)))*$C66</f>
        <v>-7736.5804127699903</v>
      </c>
      <c r="BE66" s="1021"/>
      <c r="BF66" s="1021">
        <f>(VLOOKUP(YEAR($A66),'NY East Load Projections'!$A$4:$EO$14,((MONTH($A66)-1)*12)+VLOOKUP(BF$4,$DE$6:$DF$17,2)+1))*(VLOOKUP($A66,CURVES!$D$9:$T$261,7))*(INDEX(DailyScalarsTable,BF$5/100,MONTH($A66)))*$D66</f>
        <v>-8412.8527216965431</v>
      </c>
      <c r="BG66" s="1021">
        <f>(VLOOKUP(YEAR($A66),'NY East Load Projections'!$A$4:$EO$14,((MONTH($A66)-1)*12)+VLOOKUP(BG$4,$DE$6:$DF$17,2)+1))*(VLOOKUP($A66,CURVES!$D$9:$T$261,7))*(INDEX(DailyScalarsTable,BG$5/100,MONTH($A66)))*$D66</f>
        <v>-8248.9469123271701</v>
      </c>
      <c r="BH66" s="1021">
        <f>(VLOOKUP(YEAR($A66),'NY East Load Projections'!$A$4:$EO$14,((MONTH($A66)-1)*12)+VLOOKUP(BH$4,$DE$6:$DF$17,2)+1))*(VLOOKUP($A66,CURVES!$D$9:$T$261,7))*(INDEX(DailyScalarsTable,BH$5/100,MONTH($A66)))*$D66</f>
        <v>-7558.9272262914601</v>
      </c>
      <c r="BI66" s="1021">
        <f>(VLOOKUP(YEAR($A66),'NY East Load Projections'!$A$4:$EO$14,((MONTH($A66)-1)*12)+VLOOKUP(BI$4,$DE$6:$DF$17,2)+1))*(VLOOKUP($A66,CURVES!$D$9:$T$261,7))*(INDEX(DailyScalarsTable,BI$5/100,MONTH($A66)))*$D66</f>
        <v>-7554.3569817140651</v>
      </c>
      <c r="BJ66" s="1021">
        <f>(VLOOKUP(YEAR($A66),'NY East Load Projections'!$A$4:$EO$14,((MONTH($A66)-1)*12)+VLOOKUP(BJ$4,$DE$6:$DF$17,2)+1))*(VLOOKUP($A66,CURVES!$D$9:$T$261,7))*(INDEX(DailyScalarsTable,BJ$5/100,MONTH($A66)))*$D66</f>
        <v>-7941.0156123468259</v>
      </c>
      <c r="BK66" s="1021">
        <f>(VLOOKUP(YEAR($A66),'NY East Load Projections'!$A$4:$EO$14,((MONTH($A66)-1)*12)+VLOOKUP(BK$4,$DE$6:$DF$17,2)+1))*(VLOOKUP($A66,CURVES!$D$9:$T$261,7))*(INDEX(DailyScalarsTable,BK$5/100,MONTH($A66)))*$D66</f>
        <v>-8474.7944526805932</v>
      </c>
      <c r="BL66" s="1021">
        <f>(VLOOKUP(YEAR($A66),'NY East Load Projections'!$A$4:$EO$14,((MONTH($A66)-1)*12)+VLOOKUP(BL$4,$DE$6:$DF$17,2)+1))*(VLOOKUP($A66,CURVES!$D$9:$T$261,7))*(INDEX(DailyScalarsTable,BL$5/100,MONTH($A66)))*$D66</f>
        <v>-16229.128185894871</v>
      </c>
      <c r="BM66" s="1021">
        <f>(VLOOKUP(YEAR($A66),'NY East Load Projections'!$A$4:$EO$14,((MONTH($A66)-1)*12)+VLOOKUP(BM$4,$DE$6:$DF$17,2)+1))*(VLOOKUP($A66,SatSunCurve,7))*(INDEX(DailyScalarsTable,BM$5/100,MONTH($A66)))*$D66</f>
        <v>-14349.530060397905</v>
      </c>
      <c r="BN66" s="1021">
        <f>(VLOOKUP(YEAR($A66),'NY East Load Projections'!$A$4:$EO$14,((MONTH($A66)-1)*12)+VLOOKUP(BN$4,$DE$6:$DF$17,2)+1))*(VLOOKUP($A66,SatSunCurve,7))*(INDEX(DailyScalarsTable,BN$5/100,MONTH($A66)))*$D66</f>
        <v>-16173.508307814474</v>
      </c>
      <c r="BO66" s="1021">
        <f>(VLOOKUP(YEAR($A66),'NY East Load Projections'!$A$4:$EO$14,((MONTH($A66)-1)*12)+VLOOKUP(BO$4,$DE$6:$DF$17,2)+1))*(VLOOKUP($A66,SatSunCurve,7))*(INDEX(DailyScalarsTable,BO$5/100,MONTH($A66)))*$D66</f>
        <v>-16124.282644959461</v>
      </c>
      <c r="BP66" s="1021">
        <f>(VLOOKUP(YEAR($A66),'NY East Load Projections'!$A$4:$EO$14,((MONTH($A66)-1)*12)+VLOOKUP(BP$4,$DE$6:$DF$17,2)+1))*(VLOOKUP($A66,SatSunCurve,7))*(INDEX(DailyScalarsTable,BP$5/100,MONTH($A66)))*$D66</f>
        <v>-15842.892764108274</v>
      </c>
      <c r="BQ66" s="1021">
        <f>(VLOOKUP(YEAR($A66),'NY East Load Projections'!$A$4:$EO$14,((MONTH($A66)-1)*12)+VLOOKUP(BQ$4,$DE$6:$DF$17,2)+1))*(VLOOKUP($A66,SatSunCurve,7))*(INDEX(DailyScalarsTable,BQ$5/100,MONTH($A66)))*$D66</f>
        <v>-11867.825628181563</v>
      </c>
      <c r="BR66" s="1021">
        <f>(VLOOKUP(YEAR($A66),'NY East Load Projections'!$A$4:$EO$14,((MONTH($A66)-1)*12)+VLOOKUP(BR$4,$DE$6:$DF$17,2)+1))*(VLOOKUP($A66,SatSunCurve,7))*(INDEX(DailyScalarsTable,BR$5/100,MONTH($A66)))*$D66</f>
        <v>-11578.940384328522</v>
      </c>
      <c r="BS66" s="1021">
        <f>(VLOOKUP(YEAR($A66),'NY East Load Projections'!$A$4:$EO$14,((MONTH($A66)-1)*12)+VLOOKUP(BS$4,$DE$6:$DF$17,2)+1))*(VLOOKUP($A66,SatSunCurve,7))*(INDEX(DailyScalarsTable,BS$5/100,MONTH($A66)))*$D66</f>
        <v>-11205.076609635649</v>
      </c>
      <c r="BT66" s="1021">
        <f>(VLOOKUP(YEAR($A66),'NY East Load Projections'!$A$4:$EO$14,((MONTH($A66)-1)*12)+VLOOKUP(BT$4,$DE$6:$DF$17,2)+1))*(VLOOKUP($A66,SatSunCurve,7))*(INDEX(DailyScalarsTable,BT$5/100,MONTH($A66)))*$D66</f>
        <v>-10634.798895339636</v>
      </c>
      <c r="BU66" s="1021">
        <f>(VLOOKUP(YEAR($A66),'NY East Load Projections'!$A$4:$EO$14,((MONTH($A66)-1)*12)+VLOOKUP(BU$4,$DE$6:$DF$17,2)+1))*(VLOOKUP($A66,SatSunCurve,7))*(INDEX(DailyScalarsTable,BU$5/100,MONTH($A66)))*$D66</f>
        <v>-10420.775430116904</v>
      </c>
      <c r="BV66" s="1021">
        <f>(VLOOKUP(YEAR($A66),'NY East Load Projections'!$A$4:$EO$14,((MONTH($A66)-1)*12)+VLOOKUP(BV$4,$DE$6:$DF$17,2)+1))*(VLOOKUP($A66,SatSunCurve,7))*(INDEX(DailyScalarsTable,BV$5/100,MONTH($A66)))*$D66</f>
        <v>-10786.784065989887</v>
      </c>
      <c r="BW66" s="1021">
        <f>(VLOOKUP(YEAR($A66),'NY East Load Projections'!$A$4:$EO$14,((MONTH($A66)-1)*12)+VLOOKUP(BW$4,$DE$6:$DF$17,2)+1))*(VLOOKUP($A66,SatSunCurve,7))*(INDEX(DailyScalarsTable,BW$5/100,MONTH($A66)))*$D66</f>
        <v>-15009.341402800394</v>
      </c>
      <c r="BX66" s="1021">
        <f>(VLOOKUP(YEAR($A66),'NY East Load Projections'!$A$4:$EO$14,((MONTH($A66)-1)*12)+VLOOKUP(BX$4,$DE$6:$DF$17,2)+1))*(VLOOKUP($A66,SatSunCurve,7))*(INDEX(DailyScalarsTable,BX$5/100,MONTH($A66)))*$D66</f>
        <v>-16469.235560948779</v>
      </c>
      <c r="BY66" s="1021">
        <f>(VLOOKUP(YEAR($A66),'NY East Load Projections'!$A$4:$EO$14,((MONTH($A66)-1)*12)+VLOOKUP(BY$4,$DE$6:$DF$17,2)+1))*(VLOOKUP($A66,SatSunCurve,7))*(INDEX(DailyScalarsTable,BY$5/100,MONTH($A66)))*$D66</f>
        <v>-15763.916208872788</v>
      </c>
      <c r="BZ66" s="1021">
        <f>(VLOOKUP(YEAR($A66),'NY East Load Projections'!$A$4:$EO$14,((MONTH($A66)-1)*12)+VLOOKUP(BZ$4,$DE$6:$DF$17,2)+1))*(VLOOKUP($A66,SatSunCurve,7))*(INDEX(DailyScalarsTable,BZ$5/100,MONTH($A66)))*$D66</f>
        <v>-14268.951782546428</v>
      </c>
      <c r="CA66" s="1021">
        <f>(VLOOKUP(YEAR($A66),'NY East Load Projections'!$A$4:$EO$14,((MONTH($A66)-1)*12)+VLOOKUP(CA$4,$DE$6:$DF$17,2)+1))*(VLOOKUP($A66,SatSunCurve,7))*(INDEX(DailyScalarsTable,CA$5/100,MONTH($A66)))*$D66</f>
        <v>-10148.408990449958</v>
      </c>
      <c r="CB66" s="1021">
        <f>(VLOOKUP(YEAR($A66),'NY East Load Projections'!$A$4:$EO$14,((MONTH($A66)-1)*12)+VLOOKUP(CB$4,$DE$6:$DF$17,2)+1))*(VLOOKUP($A66,SatSunCurve,7))*(INDEX(DailyScalarsTable,CB$5/100,MONTH($A66)))*$D66</f>
        <v>-8307.7359051461935</v>
      </c>
      <c r="CC66" s="1021">
        <f>(VLOOKUP(YEAR($A66),'NY East Load Projections'!$A$4:$EO$14,((MONTH($A66)-1)*12)+VLOOKUP(CC$4,$DE$6:$DF$17,2)+1))*(VLOOKUP($A66,CURVES!$D$9:$T$261,7))*(INDEX(DailyScalarsTable,CC$5/100,MONTH($A66)))*$D66</f>
        <v>-9670.7255159624874</v>
      </c>
      <c r="CE66" s="1021">
        <f>(VLOOKUP(YEAR($A66),'NY East Load Projections'!$A$4:$EO$14,((MONTH($A66)-1)*12)+VLOOKUP(CE$4,$DE$6:$DF$17,2)+1))*(VLOOKUP($A66,CURVES!$D$9:$T$261,7))*(INDEX(DailyScalarsTable,CE$5/100,MONTH($A66)))*$E66</f>
        <v>-1682.5705443393085</v>
      </c>
      <c r="CF66" s="1021">
        <f>(VLOOKUP(YEAR($A66),'NY East Load Projections'!$A$4:$EO$14,((MONTH($A66)-1)*12)+VLOOKUP(CF$4,$DE$6:$DF$17,2)+1))*(VLOOKUP($A66,CURVES!$D$9:$T$261,7))*(INDEX(DailyScalarsTable,CF$5/100,MONTH($A66)))*$E66</f>
        <v>-1649.7893824654338</v>
      </c>
      <c r="CG66" s="1021">
        <f>(VLOOKUP(YEAR($A66),'NY East Load Projections'!$A$4:$EO$14,((MONTH($A66)-1)*12)+VLOOKUP(CG$4,$DE$6:$DF$17,2)+1))*(VLOOKUP($A66,CURVES!$D$9:$T$261,7))*(INDEX(DailyScalarsTable,CG$5/100,MONTH($A66)))*$E66</f>
        <v>-1511.7854452582919</v>
      </c>
      <c r="CH66" s="1021">
        <f>(VLOOKUP(YEAR($A66),'NY East Load Projections'!$A$4:$EO$14,((MONTH($A66)-1)*12)+VLOOKUP(CH$4,$DE$6:$DF$17,2)+1))*(VLOOKUP($A66,CURVES!$D$9:$T$261,7))*(INDEX(DailyScalarsTable,CH$5/100,MONTH($A66)))*$E66</f>
        <v>-1510.8713963428131</v>
      </c>
      <c r="CI66" s="1021">
        <f>(VLOOKUP(YEAR($A66),'NY East Load Projections'!$A$4:$EO$14,((MONTH($A66)-1)*12)+VLOOKUP(CI$4,$DE$6:$DF$17,2)+1))*(VLOOKUP($A66,CURVES!$D$9:$T$261,7))*(INDEX(DailyScalarsTable,CI$5/100,MONTH($A66)))*$E66</f>
        <v>-1588.2031224693651</v>
      </c>
      <c r="CJ66" s="1021">
        <f>(VLOOKUP(YEAR($A66),'NY East Load Projections'!$A$4:$EO$14,((MONTH($A66)-1)*12)+VLOOKUP(CJ$4,$DE$6:$DF$17,2)+1))*(VLOOKUP($A66,CURVES!$D$9:$T$261,7))*(INDEX(DailyScalarsTable,CJ$5/100,MONTH($A66)))*$E66</f>
        <v>-1694.9588905361186</v>
      </c>
      <c r="CK66" s="1021">
        <f>(VLOOKUP(YEAR($A66),'NY East Load Projections'!$A$4:$EO$14,((MONTH($A66)-1)*12)+VLOOKUP(CK$4,$DE$6:$DF$17,2)+1))*(VLOOKUP($A66,CURVES!$D$9:$T$261,7))*(INDEX(DailyScalarsTable,CK$5/100,MONTH($A66)))*$E66</f>
        <v>-3245.8256371789744</v>
      </c>
      <c r="CL66" s="1021">
        <f>(VLOOKUP(YEAR($A66),'NY East Load Projections'!$A$4:$EO$14,((MONTH($A66)-1)*12)+VLOOKUP(CL$4,$DE$6:$DF$17,2)+1))*(VLOOKUP($A66,SatSunCurve,7))*(INDEX(DailyScalarsTable,CL$5/100,MONTH($A66)))*$E66</f>
        <v>-2869.9060120795812</v>
      </c>
      <c r="CM66" s="1021">
        <f>(VLOOKUP(YEAR($A66),'NY East Load Projections'!$A$4:$EO$14,((MONTH($A66)-1)*12)+VLOOKUP(CM$4,$DE$6:$DF$17,2)+1))*(VLOOKUP($A66,SatSunCurve,7))*(INDEX(DailyScalarsTable,CM$5/100,MONTH($A66)))*$E66</f>
        <v>-3234.701661562895</v>
      </c>
      <c r="CN66" s="1021">
        <f>(VLOOKUP(YEAR($A66),'NY East Load Projections'!$A$4:$EO$14,((MONTH($A66)-1)*12)+VLOOKUP(CN$4,$DE$6:$DF$17,2)+1))*(VLOOKUP($A66,SatSunCurve,7))*(INDEX(DailyScalarsTable,CN$5/100,MONTH($A66)))*$E66</f>
        <v>-3224.8565289918924</v>
      </c>
      <c r="CO66" s="1021">
        <f>(VLOOKUP(YEAR($A66),'NY East Load Projections'!$A$4:$EO$14,((MONTH($A66)-1)*12)+VLOOKUP(CO$4,$DE$6:$DF$17,2)+1))*(VLOOKUP($A66,SatSunCurve,7))*(INDEX(DailyScalarsTable,CO$5/100,MONTH($A66)))*$E66</f>
        <v>-3168.5785528216547</v>
      </c>
      <c r="CP66" s="1021">
        <f>(VLOOKUP(YEAR($A66),'NY East Load Projections'!$A$4:$EO$14,((MONTH($A66)-1)*12)+VLOOKUP(CP$4,$DE$6:$DF$17,2)+1))*(VLOOKUP($A66,SatSunCurve,7))*(INDEX(DailyScalarsTable,CP$5/100,MONTH($A66)))*$E66</f>
        <v>-2373.5651256363126</v>
      </c>
      <c r="CQ66" s="1021">
        <f>(VLOOKUP(YEAR($A66),'NY East Load Projections'!$A$4:$EO$14,((MONTH($A66)-1)*12)+VLOOKUP(CQ$4,$DE$6:$DF$17,2)+1))*(VLOOKUP($A66,SatSunCurve,7))*(INDEX(DailyScalarsTable,CQ$5/100,MONTH($A66)))*$E66</f>
        <v>-2315.7880768657042</v>
      </c>
      <c r="CR66" s="1021">
        <f>(VLOOKUP(YEAR($A66),'NY East Load Projections'!$A$4:$EO$14,((MONTH($A66)-1)*12)+VLOOKUP(CR$4,$DE$6:$DF$17,2)+1))*(VLOOKUP($A66,SatSunCurve,7))*(INDEX(DailyScalarsTable,CR$5/100,MONTH($A66)))*$E66</f>
        <v>-2241.0153219271297</v>
      </c>
      <c r="CS66" s="1021">
        <f>(VLOOKUP(YEAR($A66),'NY East Load Projections'!$A$4:$EO$14,((MONTH($A66)-1)*12)+VLOOKUP(CS$4,$DE$6:$DF$17,2)+1))*(VLOOKUP($A66,SatSunCurve,7))*(INDEX(DailyScalarsTable,CS$5/100,MONTH($A66)))*$E66</f>
        <v>-2126.9597790679272</v>
      </c>
      <c r="CT66" s="1021">
        <f>(VLOOKUP(YEAR($A66),'NY East Load Projections'!$A$4:$EO$14,((MONTH($A66)-1)*12)+VLOOKUP(CT$4,$DE$6:$DF$17,2)+1))*(VLOOKUP($A66,SatSunCurve,7))*(INDEX(DailyScalarsTable,CT$5/100,MONTH($A66)))*$E66</f>
        <v>-2084.155086023381</v>
      </c>
      <c r="CU66" s="1021">
        <f>(VLOOKUP(YEAR($A66),'NY East Load Projections'!$A$4:$EO$14,((MONTH($A66)-1)*12)+VLOOKUP(CU$4,$DE$6:$DF$17,2)+1))*(VLOOKUP($A66,SatSunCurve,7))*(INDEX(DailyScalarsTable,CU$5/100,MONTH($A66)))*$E66</f>
        <v>-2157.3568131979773</v>
      </c>
      <c r="CV66" s="1021">
        <f>(VLOOKUP(YEAR($A66),'NY East Load Projections'!$A$4:$EO$14,((MONTH($A66)-1)*12)+VLOOKUP(CV$4,$DE$6:$DF$17,2)+1))*(VLOOKUP($A66,SatSunCurve,7))*(INDEX(DailyScalarsTable,CV$5/100,MONTH($A66)))*$E66</f>
        <v>-3001.8682805600788</v>
      </c>
      <c r="CW66" s="1021">
        <f>(VLOOKUP(YEAR($A66),'NY East Load Projections'!$A$4:$EO$14,((MONTH($A66)-1)*12)+VLOOKUP(CW$4,$DE$6:$DF$17,2)+1))*(VLOOKUP($A66,SatSunCurve,7))*(INDEX(DailyScalarsTable,CW$5/100,MONTH($A66)))*$E66</f>
        <v>-3293.8471121897555</v>
      </c>
      <c r="CX66" s="1021">
        <f>(VLOOKUP(YEAR($A66),'NY East Load Projections'!$A$4:$EO$14,((MONTH($A66)-1)*12)+VLOOKUP(CX$4,$DE$6:$DF$17,2)+1))*(VLOOKUP($A66,SatSunCurve,7))*(INDEX(DailyScalarsTable,CX$5/100,MONTH($A66)))*$E66</f>
        <v>-3152.7832417745576</v>
      </c>
      <c r="CY66" s="1021">
        <f>(VLOOKUP(YEAR($A66),'NY East Load Projections'!$A$4:$EO$14,((MONTH($A66)-1)*12)+VLOOKUP(CY$4,$DE$6:$DF$17,2)+1))*(VLOOKUP($A66,SatSunCurve,7))*(INDEX(DailyScalarsTable,CY$5/100,MONTH($A66)))*$E66</f>
        <v>-2853.7903565092856</v>
      </c>
      <c r="CZ66" s="1021">
        <f>(VLOOKUP(YEAR($A66),'NY East Load Projections'!$A$4:$EO$14,((MONTH($A66)-1)*12)+VLOOKUP(CZ$4,$DE$6:$DF$17,2)+1))*(VLOOKUP($A66,SatSunCurve,7))*(INDEX(DailyScalarsTable,CZ$5/100,MONTH($A66)))*$E66</f>
        <v>-2029.6817980899916</v>
      </c>
      <c r="DA66" s="1021">
        <f>(VLOOKUP(YEAR($A66),'NY East Load Projections'!$A$4:$EO$14,((MONTH($A66)-1)*12)+VLOOKUP(DA$4,$DE$6:$DF$17,2)+1))*(VLOOKUP($A66,SatSunCurve,7))*(INDEX(DailyScalarsTable,DA$5/100,MONTH($A66)))*$E66</f>
        <v>-1661.5471810292386</v>
      </c>
      <c r="DB66" s="1021">
        <f>(VLOOKUP(YEAR($A66),'NY East Load Projections'!$A$4:$EO$14,((MONTH($A66)-1)*12)+VLOOKUP(DB$4,$DE$6:$DF$17,2)+1))*(VLOOKUP($A66,CURVES!$D$9:$T$261,7))*(INDEX(DailyScalarsTable,DB$5/100,MONTH($A66)))*$E66</f>
        <v>-1934.1451031924976</v>
      </c>
      <c r="DH66" s="1032">
        <f t="shared" si="0"/>
        <v>-2110071.7377334205</v>
      </c>
      <c r="DI66">
        <f ca="1">CALC!J86</f>
        <v>0.65051551650156136</v>
      </c>
      <c r="DJ66" s="1029">
        <f t="shared" ca="1" si="1"/>
        <v>-1372634.4063270031</v>
      </c>
    </row>
    <row r="67" spans="1:114" x14ac:dyDescent="0.25">
      <c r="A67" s="244">
        <v>38749</v>
      </c>
      <c r="B67" s="13">
        <v>20</v>
      </c>
      <c r="C67" s="210">
        <v>4</v>
      </c>
      <c r="D67" s="210">
        <v>4</v>
      </c>
      <c r="E67" s="210">
        <v>0</v>
      </c>
      <c r="F67" s="13">
        <v>28</v>
      </c>
      <c r="H67" s="1021">
        <f>(VLOOKUP(YEAR($A67),'NY East Load Projections'!$A$4:$EO$14,((MONTH($A67)-1)*12)+VLOOKUP(H$4,$DE$6:$DF$17,2)+1))*(VLOOKUP($A67,CURVES!$D$9:$K$261,7))*(INDEX(DailyScalarsTable,H$5/100,MONTH($A67)))*$B67</f>
        <v>-31170.194398136533</v>
      </c>
      <c r="I67" s="1021">
        <f>(VLOOKUP(YEAR($A67),'NY East Load Projections'!$A$4:$EO$14,((MONTH($A67)-1)*12)+VLOOKUP(I$4,$DE$6:$DF$17,2)+1))*(VLOOKUP($A67,CURVES!$D$9:$K$261,7))*(INDEX(DailyScalarsTable,I$5/100,MONTH($A67)))*$B67</f>
        <v>-30562.91217056926</v>
      </c>
      <c r="J67" s="1021">
        <f>(VLOOKUP(YEAR($A67),'NY East Load Projections'!$A$4:$EO$14,((MONTH($A67)-1)*12)+VLOOKUP(J$4,$DE$6:$DF$17,2)+1))*(VLOOKUP($A67,CURVES!$D$9:$K$261,7))*(INDEX(DailyScalarsTable,J$5/100,MONTH($A67)))*$B67</f>
        <v>-28006.342067207592</v>
      </c>
      <c r="K67" s="1021">
        <f>(VLOOKUP(YEAR($A67),'NY East Load Projections'!$A$4:$EO$14,((MONTH($A67)-1)*12)+VLOOKUP(K$4,$DE$6:$DF$17,2)+1))*(VLOOKUP($A67,CURVES!$D$9:$K$261,7))*(INDEX(DailyScalarsTable,K$5/100,MONTH($A67)))*$B67</f>
        <v>-27989.408998647268</v>
      </c>
      <c r="L67" s="1021">
        <f>(VLOOKUP(YEAR($A67),'NY East Load Projections'!$A$4:$EO$14,((MONTH($A67)-1)*12)+VLOOKUP(L$4,$DE$6:$DF$17,2)+1))*(VLOOKUP($A67,CURVES!$D$9:$K$261,7))*(INDEX(DailyScalarsTable,L$5/100,MONTH($A67)))*$B67</f>
        <v>-31987.341308919644</v>
      </c>
      <c r="M67" s="1021">
        <f>(VLOOKUP(YEAR($A67),'NY East Load Projections'!$A$4:$EO$14,((MONTH($A67)-1)*12)+VLOOKUP(M$4,$DE$6:$DF$17,2)+1))*(VLOOKUP($A67,CURVES!$D$9:$K$261,7))*(INDEX(DailyScalarsTable,M$5/100,MONTH($A67)))*$B67</f>
        <v>-34137.465018875373</v>
      </c>
      <c r="N67" s="1021">
        <f>(VLOOKUP(YEAR($A67),'NY East Load Projections'!$A$4:$EO$14,((MONTH($A67)-1)*12)+VLOOKUP(N$4,$DE$6:$DF$17,2)+1))*(VLOOKUP($A67,CURVES!$D$9:$K$261,7))*(INDEX(DailyScalarsTable,N$5/100,MONTH($A67)))*$B67</f>
        <v>-65372.829845754255</v>
      </c>
      <c r="O67" s="1021">
        <f>(VLOOKUP(YEAR($A67),'NY East Load Projections'!$A$4:$EO$14,((MONTH($A67)-1)*12)+VLOOKUP(O$4,$DE$6:$DF$17,2)+1))*(VLOOKUP($A67,CURVES!$D$9:$K$261,3))*(INDEX(DailyScalarsTable,O$5/100,MONTH($A67)))*$B67</f>
        <v>-77457.319880211129</v>
      </c>
      <c r="P67" s="1021">
        <f>(VLOOKUP(YEAR($A67),'NY East Load Projections'!$A$4:$EO$14,((MONTH($A67)-1)*12)+VLOOKUP(P$4,$DE$6:$DF$17,2)+1))*(VLOOKUP($A67,CURVES!$D$9:$K$261,3))*(INDEX(DailyScalarsTable,P$5/100,MONTH($A67)))*$B67</f>
        <v>-88726.972219564355</v>
      </c>
      <c r="Q67" s="1021">
        <f>(VLOOKUP(YEAR($A67),'NY East Load Projections'!$A$4:$EO$14,((MONTH($A67)-1)*12)+VLOOKUP(Q$4,$DE$6:$DF$17,2)+1))*(VLOOKUP($A67,CURVES!$D$9:$K$261,3))*(INDEX(DailyScalarsTable,Q$5/100,MONTH($A67)))*$B67</f>
        <v>-88456.922955205548</v>
      </c>
      <c r="R67" s="1021">
        <f>(VLOOKUP(YEAR($A67),'NY East Load Projections'!$A$4:$EO$14,((MONTH($A67)-1)*12)+VLOOKUP(R$4,$DE$6:$DF$17,2)+1))*(VLOOKUP($A67,CURVES!$D$9:$K$261,3))*(INDEX(DailyScalarsTable,R$5/100,MONTH($A67)))*$B67</f>
        <v>-86913.233629056893</v>
      </c>
      <c r="S67" s="1021">
        <f>(VLOOKUP(YEAR($A67),'NY East Load Projections'!$A$4:$EO$14,((MONTH($A67)-1)*12)+VLOOKUP(S$4,$DE$6:$DF$17,2)+1))*(VLOOKUP($A67,CURVES!$D$9:$K$261,3))*(INDEX(DailyScalarsTable,S$5/100,MONTH($A67)))*$B67</f>
        <v>-65106.235133259768</v>
      </c>
      <c r="T67" s="1021">
        <f>(VLOOKUP(YEAR($A67),'NY East Load Projections'!$A$4:$EO$14,((MONTH($A67)-1)*12)+VLOOKUP(T$4,$DE$6:$DF$17,2)+1))*(VLOOKUP($A67,CURVES!$D$9:$K$261,3))*(INDEX(DailyScalarsTable,T$5/100,MONTH($A67)))*$B67</f>
        <v>-64090.889105383714</v>
      </c>
      <c r="U67" s="1021">
        <f>(VLOOKUP(YEAR($A67),'NY East Load Projections'!$A$4:$EO$14,((MONTH($A67)-1)*12)+VLOOKUP(U$4,$DE$6:$DF$17,2)+1))*(VLOOKUP($A67,CURVES!$D$9:$K$261,3))*(INDEX(DailyScalarsTable,U$5/100,MONTH($A67)))*$B67</f>
        <v>-62021.506162814003</v>
      </c>
      <c r="V67" s="1021">
        <f>(VLOOKUP(YEAR($A67),'NY East Load Projections'!$A$4:$EO$14,((MONTH($A67)-1)*12)+VLOOKUP(V$4,$DE$6:$DF$17,2)+1))*(VLOOKUP($A67,CURVES!$D$9:$K$261,3))*(INDEX(DailyScalarsTable,V$5/100,MONTH($A67)))*$B67</f>
        <v>-58864.947398966724</v>
      </c>
      <c r="W67" s="1021">
        <f>(VLOOKUP(YEAR($A67),'NY East Load Projections'!$A$4:$EO$14,((MONTH($A67)-1)*12)+VLOOKUP(W$4,$DE$6:$DF$17,2)+1))*(VLOOKUP($A67,CURVES!$D$9:$K$261,3))*(INDEX(DailyScalarsTable,W$5/100,MONTH($A67)))*$B67</f>
        <v>-57680.300641988404</v>
      </c>
      <c r="X67" s="1021">
        <f>(VLOOKUP(YEAR($A67),'NY East Load Projections'!$A$4:$EO$14,((MONTH($A67)-1)*12)+VLOOKUP(X$4,$DE$6:$DF$17,2)+1))*(VLOOKUP($A67,CURVES!$D$9:$K$261,3))*(INDEX(DailyScalarsTable,X$5/100,MONTH($A67)))*$B67</f>
        <v>-59246.674417327522</v>
      </c>
      <c r="Y67" s="1021">
        <f>(VLOOKUP(YEAR($A67),'NY East Load Projections'!$A$4:$EO$14,((MONTH($A67)-1)*12)+VLOOKUP(Y$4,$DE$6:$DF$17,2)+1))*(VLOOKUP($A67,CURVES!$D$9:$K$261,3))*(INDEX(DailyScalarsTable,Y$5/100,MONTH($A67)))*$B67</f>
        <v>-82439.173517340954</v>
      </c>
      <c r="Z67" s="1021">
        <f>(VLOOKUP(YEAR($A67),'NY East Load Projections'!$A$4:$EO$14,((MONTH($A67)-1)*12)+VLOOKUP(Z$4,$DE$6:$DF$17,2)+1))*(VLOOKUP($A67,CURVES!$D$9:$K$261,3))*(INDEX(DailyScalarsTable,Z$5/100,MONTH($A67)))*$B67</f>
        <v>-90457.677766840672</v>
      </c>
      <c r="AA67" s="1021">
        <f>(VLOOKUP(YEAR($A67),'NY East Load Projections'!$A$4:$EO$14,((MONTH($A67)-1)*12)+VLOOKUP(AA$4,$DE$6:$DF$17,2)+1))*(VLOOKUP($A67,CURVES!$D$9:$K$261,3))*(INDEX(DailyScalarsTable,AA$5/100,MONTH($A67)))*$B67</f>
        <v>-86583.694032945321</v>
      </c>
      <c r="AB67" s="1021">
        <f>(VLOOKUP(YEAR($A67),'NY East Load Projections'!$A$4:$EO$14,((MONTH($A67)-1)*12)+VLOOKUP(AB$4,$DE$6:$DF$17,2)+1))*(VLOOKUP($A67,CURVES!$D$9:$K$261,3))*(INDEX(DailyScalarsTable,AB$5/100,MONTH($A67)))*$B67</f>
        <v>-73150.840516786368</v>
      </c>
      <c r="AC67" s="1021">
        <f>(VLOOKUP(YEAR($A67),'NY East Load Projections'!$A$4:$EO$14,((MONTH($A67)-1)*12)+VLOOKUP(AC$4,$DE$6:$DF$17,2)+1))*(VLOOKUP($A67,CURVES!$D$9:$K$261,3))*(INDEX(DailyScalarsTable,AC$5/100,MONTH($A67)))*$B67</f>
        <v>-52026.572019647254</v>
      </c>
      <c r="AD67" s="1021">
        <f>(VLOOKUP(YEAR($A67),'NY East Load Projections'!$A$4:$EO$14,((MONTH($A67)-1)*12)+VLOOKUP(AD$4,$DE$6:$DF$17,2)+1))*(VLOOKUP($A67,CURVES!$D$9:$K$261,3))*(INDEX(DailyScalarsTable,AD$5/100,MONTH($A67)))*$B67</f>
        <v>-42590.224812188404</v>
      </c>
      <c r="AE67" s="1021">
        <f>(VLOOKUP(YEAR($A67),'NY East Load Projections'!$A$4:$EO$14,((MONTH($A67)-1)*12)+VLOOKUP(AE$4,$DE$6:$DF$17,2)+1))*(VLOOKUP($A67,CURVES!$D$9:$K$261,7))*(INDEX(DailyScalarsTable,AE$5/100,MONTH($A67)))*$B67</f>
        <v>-36996.753347047794</v>
      </c>
      <c r="AF67" s="1021"/>
      <c r="AG67" s="1021">
        <f>(VLOOKUP(YEAR($A67),'NY East Load Projections'!$A$4:$EO$14,((MONTH($A67)-1)*12)+VLOOKUP(AG$4,$DE$6:$DF$17,2)+1))*(VLOOKUP($A67,CURVES!$D$9:$T$261,7))*(INDEX(DailyScalarsTable,AG$5/100,MONTH($A67)))*$C67</f>
        <v>-6607.4987093304489</v>
      </c>
      <c r="AH67" s="1021">
        <f>(VLOOKUP(YEAR($A67),'NY East Load Projections'!$A$4:$EO$14,((MONTH($A67)-1)*12)+VLOOKUP(AH$4,$DE$6:$DF$17,2)+1))*(VLOOKUP($A67,CURVES!$D$9:$T$261,7))*(INDEX(DailyScalarsTable,AH$5/100,MONTH($A67)))*$C67</f>
        <v>-6478.7662258689415</v>
      </c>
      <c r="AI67" s="1021">
        <f>(VLOOKUP(YEAR($A67),'NY East Load Projections'!$A$4:$EO$14,((MONTH($A67)-1)*12)+VLOOKUP(AI$4,$DE$6:$DF$17,2)+1))*(VLOOKUP($A67,CURVES!$D$9:$T$261,7))*(INDEX(DailyScalarsTable,AI$5/100,MONTH($A67)))*$C67</f>
        <v>-5936.8211406857408</v>
      </c>
      <c r="AJ67" s="1021">
        <f>(VLOOKUP(YEAR($A67),'NY East Load Projections'!$A$4:$EO$14,((MONTH($A67)-1)*12)+VLOOKUP(AJ$4,$DE$6:$DF$17,2)+1))*(VLOOKUP($A67,CURVES!$D$9:$T$261,7))*(INDEX(DailyScalarsTable,AJ$5/100,MONTH($A67)))*$C67</f>
        <v>-5933.2316465931399</v>
      </c>
      <c r="AK67" s="1021">
        <f>(VLOOKUP(YEAR($A67),'NY East Load Projections'!$A$4:$EO$14,((MONTH($A67)-1)*12)+VLOOKUP(AK$4,$DE$6:$DF$17,2)+1))*(VLOOKUP($A67,CURVES!$D$9:$T$261,7))*(INDEX(DailyScalarsTable,AK$5/100,MONTH($A67)))*$C67</f>
        <v>-6192.3211789211309</v>
      </c>
      <c r="AL67" s="1021">
        <f>(VLOOKUP(YEAR($A67),'NY East Load Projections'!$A$4:$EO$14,((MONTH($A67)-1)*12)+VLOOKUP(AL$4,$DE$6:$DF$17,2)+1))*(VLOOKUP($A67,CURVES!$D$9:$T$261,7))*(INDEX(DailyScalarsTable,AL$5/100,MONTH($A67)))*$C67</f>
        <v>-6608.5563532632605</v>
      </c>
      <c r="AM67" s="1021">
        <f>(VLOOKUP(YEAR($A67),'NY East Load Projections'!$A$4:$EO$14,((MONTH($A67)-1)*12)+VLOOKUP(AM$4,$DE$6:$DF$17,2)+1))*(VLOOKUP($A67,CURVES!$D$9:$T$261,7))*(INDEX(DailyScalarsTable,AM$5/100,MONTH($A67)))*$C67</f>
        <v>-12655.304949242241</v>
      </c>
      <c r="AN67" s="1021">
        <f>(VLOOKUP(YEAR($A67),'NY East Load Projections'!$A$4:$EO$14,((MONTH($A67)-1)*12)+VLOOKUP(AN$4,$DE$6:$DF$17,2)+1))*(VLOOKUP($A67,SatSunCurve,3))*(INDEX(DailyScalarsTable,AN$5/100,MONTH($A67)))*$C67</f>
        <v>-11493.732997737436</v>
      </c>
      <c r="AO67" s="1021">
        <f>(VLOOKUP(YEAR($A67),'NY East Load Projections'!$A$4:$EO$14,((MONTH($A67)-1)*12)+VLOOKUP(AO$4,$DE$6:$DF$17,2)+1))*(VLOOKUP($A67,SatSunCurve,3))*(INDEX(DailyScalarsTable,AO$5/100,MONTH($A67)))*$C67</f>
        <v>-12910.867194824707</v>
      </c>
      <c r="AP67" s="1021">
        <f>(VLOOKUP(YEAR($A67),'NY East Load Projections'!$A$4:$EO$14,((MONTH($A67)-1)*12)+VLOOKUP(AP$4,$DE$6:$DF$17,2)+1))*(VLOOKUP($A67,SatSunCurve,3))*(INDEX(DailyScalarsTable,AP$5/100,MONTH($A67)))*$C67</f>
        <v>-12871.571701008364</v>
      </c>
      <c r="AQ67" s="1021">
        <f>(VLOOKUP(YEAR($A67),'NY East Load Projections'!$A$4:$EO$14,((MONTH($A67)-1)*12)+VLOOKUP(AQ$4,$DE$6:$DF$17,2)+1))*(VLOOKUP($A67,SatSunCurve,3))*(INDEX(DailyScalarsTable,AQ$5/100,MONTH($A67)))*$C67</f>
        <v>-12646.945892402455</v>
      </c>
      <c r="AR67" s="1021">
        <f>(VLOOKUP(YEAR($A67),'NY East Load Projections'!$A$4:$EO$14,((MONTH($A67)-1)*12)+VLOOKUP(AR$4,$DE$6:$DF$17,2)+1))*(VLOOKUP($A67,SatSunCurve,3))*(INDEX(DailyScalarsTable,AR$5/100,MONTH($A67)))*$C67</f>
        <v>-9473.7590422949124</v>
      </c>
      <c r="AS67" s="1021">
        <f>(VLOOKUP(YEAR($A67),'NY East Load Projections'!$A$4:$EO$14,((MONTH($A67)-1)*12)+VLOOKUP(AS$4,$DE$6:$DF$17,2)+1))*(VLOOKUP($A67,SatSunCurve,3))*(INDEX(DailyScalarsTable,AS$5/100,MONTH($A67)))*$C67</f>
        <v>-9215.4486291314151</v>
      </c>
      <c r="AT67" s="1021">
        <f>(VLOOKUP(YEAR($A67),'NY East Load Projections'!$A$4:$EO$14,((MONTH($A67)-1)*12)+VLOOKUP(AT$4,$DE$6:$DF$17,2)+1))*(VLOOKUP($A67,SatSunCurve,3))*(INDEX(DailyScalarsTable,AT$5/100,MONTH($A67)))*$C67</f>
        <v>-8917.8978778866476</v>
      </c>
      <c r="AU67" s="1021">
        <f>(VLOOKUP(YEAR($A67),'NY East Load Projections'!$A$4:$EO$14,((MONTH($A67)-1)*12)+VLOOKUP(AU$4,$DE$6:$DF$17,2)+1))*(VLOOKUP($A67,SatSunCurve,3))*(INDEX(DailyScalarsTable,AU$5/100,MONTH($A67)))*$C67</f>
        <v>-8464.0251739951727</v>
      </c>
      <c r="AV67" s="1021">
        <f>(VLOOKUP(YEAR($A67),'NY East Load Projections'!$A$4:$EO$14,((MONTH($A67)-1)*12)+VLOOKUP(AV$4,$DE$6:$DF$17,2)+1))*(VLOOKUP($A67,SatSunCurve,3))*(INDEX(DailyScalarsTable,AV$5/100,MONTH($A67)))*$C67</f>
        <v>-8293.6881497318645</v>
      </c>
      <c r="AW67" s="1021">
        <f>(VLOOKUP(YEAR($A67),'NY East Load Projections'!$A$4:$EO$14,((MONTH($A67)-1)*12)+VLOOKUP(AW$4,$DE$6:$DF$17,2)+1))*(VLOOKUP($A67,SatSunCurve,3))*(INDEX(DailyScalarsTable,AW$5/100,MONTH($A67)))*$C67</f>
        <v>-8640.1869411881216</v>
      </c>
      <c r="AX67" s="1021">
        <f>(VLOOKUP(YEAR($A67),'NY East Load Projections'!$A$4:$EO$14,((MONTH($A67)-1)*12)+VLOOKUP(AX$4,$DE$6:$DF$17,2)+1))*(VLOOKUP($A67,SatSunCurve,3))*(INDEX(DailyScalarsTable,AX$5/100,MONTH($A67)))*$C67</f>
        <v>-12022.444761195773</v>
      </c>
      <c r="AY67" s="1021">
        <f>(VLOOKUP(YEAR($A67),'NY East Load Projections'!$A$4:$EO$14,((MONTH($A67)-1)*12)+VLOOKUP(AY$4,$DE$6:$DF$17,2)+1))*(VLOOKUP($A67,SatSunCurve,3))*(INDEX(DailyScalarsTable,AY$5/100,MONTH($A67)))*$C67</f>
        <v>-13191.816314717546</v>
      </c>
      <c r="AZ67" s="1021">
        <f>(VLOOKUP(YEAR($A67),'NY East Load Projections'!$A$4:$EO$14,((MONTH($A67)-1)*12)+VLOOKUP(AZ$4,$DE$6:$DF$17,2)+1))*(VLOOKUP($A67,SatSunCurve,3))*(INDEX(DailyScalarsTable,AZ$5/100,MONTH($A67)))*$C67</f>
        <v>-12626.857285419039</v>
      </c>
      <c r="BA67" s="1021">
        <f>(VLOOKUP(YEAR($A67),'NY East Load Projections'!$A$4:$EO$14,((MONTH($A67)-1)*12)+VLOOKUP(BA$4,$DE$6:$DF$17,2)+1))*(VLOOKUP($A67,SatSunCurve,3))*(INDEX(DailyScalarsTable,BA$5/100,MONTH($A67)))*$C67</f>
        <v>-11499.780780680649</v>
      </c>
      <c r="BB67" s="1021">
        <f>(VLOOKUP(YEAR($A67),'NY East Load Projections'!$A$4:$EO$14,((MONTH($A67)-1)*12)+VLOOKUP(BB$4,$DE$6:$DF$17,2)+1))*(VLOOKUP($A67,SatSunCurve,3))*(INDEX(DailyScalarsTable,BB$5/100,MONTH($A67)))*$C67</f>
        <v>-8178.9104372483998</v>
      </c>
      <c r="BC67" s="1021">
        <f>(VLOOKUP(YEAR($A67),'NY East Load Projections'!$A$4:$EO$14,((MONTH($A67)-1)*12)+VLOOKUP(BC$4,$DE$6:$DF$17,2)+1))*(VLOOKUP($A67,SatSunCurve,3))*(INDEX(DailyScalarsTable,BC$5/100,MONTH($A67)))*$C67</f>
        <v>-6695.4562009124147</v>
      </c>
      <c r="BD67" s="1021">
        <f>(VLOOKUP(YEAR($A67),'NY East Load Projections'!$A$4:$EO$14,((MONTH($A67)-1)*12)+VLOOKUP(BD$4,$DE$6:$DF$17,2)+1))*(VLOOKUP($A67,CURVES!$D$9:$T$261,7))*(INDEX(DailyScalarsTable,BD$5/100,MONTH($A67)))*$C67</f>
        <v>-7587.7068969944849</v>
      </c>
      <c r="BE67" s="1021"/>
      <c r="BF67" s="1021">
        <f>(VLOOKUP(YEAR($A67),'NY East Load Projections'!$A$4:$EO$14,((MONTH($A67)-1)*12)+VLOOKUP(BF$4,$DE$6:$DF$17,2)+1))*(VLOOKUP($A67,CURVES!$D$9:$T$261,7))*(INDEX(DailyScalarsTable,BF$5/100,MONTH($A67)))*$D67</f>
        <v>-6607.4987093304489</v>
      </c>
      <c r="BG67" s="1021">
        <f>(VLOOKUP(YEAR($A67),'NY East Load Projections'!$A$4:$EO$14,((MONTH($A67)-1)*12)+VLOOKUP(BG$4,$DE$6:$DF$17,2)+1))*(VLOOKUP($A67,CURVES!$D$9:$T$261,7))*(INDEX(DailyScalarsTable,BG$5/100,MONTH($A67)))*$D67</f>
        <v>-6478.7662258689415</v>
      </c>
      <c r="BH67" s="1021">
        <f>(VLOOKUP(YEAR($A67),'NY East Load Projections'!$A$4:$EO$14,((MONTH($A67)-1)*12)+VLOOKUP(BH$4,$DE$6:$DF$17,2)+1))*(VLOOKUP($A67,CURVES!$D$9:$T$261,7))*(INDEX(DailyScalarsTable,BH$5/100,MONTH($A67)))*$D67</f>
        <v>-5936.8211406857408</v>
      </c>
      <c r="BI67" s="1021">
        <f>(VLOOKUP(YEAR($A67),'NY East Load Projections'!$A$4:$EO$14,((MONTH($A67)-1)*12)+VLOOKUP(BI$4,$DE$6:$DF$17,2)+1))*(VLOOKUP($A67,CURVES!$D$9:$T$261,7))*(INDEX(DailyScalarsTable,BI$5/100,MONTH($A67)))*$D67</f>
        <v>-5933.2316465931399</v>
      </c>
      <c r="BJ67" s="1021">
        <f>(VLOOKUP(YEAR($A67),'NY East Load Projections'!$A$4:$EO$14,((MONTH($A67)-1)*12)+VLOOKUP(BJ$4,$DE$6:$DF$17,2)+1))*(VLOOKUP($A67,CURVES!$D$9:$T$261,7))*(INDEX(DailyScalarsTable,BJ$5/100,MONTH($A67)))*$D67</f>
        <v>-6192.3211789211309</v>
      </c>
      <c r="BK67" s="1021">
        <f>(VLOOKUP(YEAR($A67),'NY East Load Projections'!$A$4:$EO$14,((MONTH($A67)-1)*12)+VLOOKUP(BK$4,$DE$6:$DF$17,2)+1))*(VLOOKUP($A67,CURVES!$D$9:$T$261,7))*(INDEX(DailyScalarsTable,BK$5/100,MONTH($A67)))*$D67</f>
        <v>-6608.5563532632605</v>
      </c>
      <c r="BL67" s="1021">
        <f>(VLOOKUP(YEAR($A67),'NY East Load Projections'!$A$4:$EO$14,((MONTH($A67)-1)*12)+VLOOKUP(BL$4,$DE$6:$DF$17,2)+1))*(VLOOKUP($A67,CURVES!$D$9:$T$261,7))*(INDEX(DailyScalarsTable,BL$5/100,MONTH($A67)))*$D67</f>
        <v>-12655.304949242241</v>
      </c>
      <c r="BM67" s="1021">
        <f>(VLOOKUP(YEAR($A67),'NY East Load Projections'!$A$4:$EO$14,((MONTH($A67)-1)*12)+VLOOKUP(BM$4,$DE$6:$DF$17,2)+1))*(VLOOKUP($A67,SatSunCurve,7))*(INDEX(DailyScalarsTable,BM$5/100,MONTH($A67)))*$D67</f>
        <v>-10476.961813418471</v>
      </c>
      <c r="BN67" s="1021">
        <f>(VLOOKUP(YEAR($A67),'NY East Load Projections'!$A$4:$EO$14,((MONTH($A67)-1)*12)+VLOOKUP(BN$4,$DE$6:$DF$17,2)+1))*(VLOOKUP($A67,SatSunCurve,7))*(INDEX(DailyScalarsTable,BN$5/100,MONTH($A67)))*$D67</f>
        <v>-11768.731934604988</v>
      </c>
      <c r="BO67" s="1021">
        <f>(VLOOKUP(YEAR($A67),'NY East Load Projections'!$A$4:$EO$14,((MONTH($A67)-1)*12)+VLOOKUP(BO$4,$DE$6:$DF$17,2)+1))*(VLOOKUP($A67,SatSunCurve,7))*(INDEX(DailyScalarsTable,BO$5/100,MONTH($A67)))*$D67</f>
        <v>-11732.91264175781</v>
      </c>
      <c r="BP67" s="1021">
        <f>(VLOOKUP(YEAR($A67),'NY East Load Projections'!$A$4:$EO$14,((MONTH($A67)-1)*12)+VLOOKUP(BP$4,$DE$6:$DF$17,2)+1))*(VLOOKUP($A67,SatSunCurve,7))*(INDEX(DailyScalarsTable,BP$5/100,MONTH($A67)))*$D67</f>
        <v>-11528.157927207225</v>
      </c>
      <c r="BQ67" s="1021">
        <f>(VLOOKUP(YEAR($A67),'NY East Load Projections'!$A$4:$EO$14,((MONTH($A67)-1)*12)+VLOOKUP(BQ$4,$DE$6:$DF$17,2)+1))*(VLOOKUP($A67,SatSunCurve,7))*(INDEX(DailyScalarsTable,BQ$5/100,MONTH($A67)))*$D67</f>
        <v>-8635.6810041777135</v>
      </c>
      <c r="BR67" s="1021">
        <f>(VLOOKUP(YEAR($A67),'NY East Load Projections'!$A$4:$EO$14,((MONTH($A67)-1)*12)+VLOOKUP(BR$4,$DE$6:$DF$17,2)+1))*(VLOOKUP($A67,SatSunCurve,7))*(INDEX(DailyScalarsTable,BR$5/100,MONTH($A67)))*$D67</f>
        <v>-8400.2215294139405</v>
      </c>
      <c r="BS67" s="1021">
        <f>(VLOOKUP(YEAR($A67),'NY East Load Projections'!$A$4:$EO$14,((MONTH($A67)-1)*12)+VLOOKUP(BS$4,$DE$6:$DF$17,2)+1))*(VLOOKUP($A67,SatSunCurve,7))*(INDEX(DailyScalarsTable,BS$5/100,MONTH($A67)))*$D67</f>
        <v>-8128.9930382910752</v>
      </c>
      <c r="BT67" s="1021">
        <f>(VLOOKUP(YEAR($A67),'NY East Load Projections'!$A$4:$EO$14,((MONTH($A67)-1)*12)+VLOOKUP(BT$4,$DE$6:$DF$17,2)+1))*(VLOOKUP($A67,SatSunCurve,7))*(INDEX(DailyScalarsTable,BT$5/100,MONTH($A67)))*$D67</f>
        <v>-7715.2713181362706</v>
      </c>
      <c r="BU67" s="1021">
        <f>(VLOOKUP(YEAR($A67),'NY East Load Projections'!$A$4:$EO$14,((MONTH($A67)-1)*12)+VLOOKUP(BU$4,$DE$6:$DF$17,2)+1))*(VLOOKUP($A67,SatSunCurve,7))*(INDEX(DailyScalarsTable,BU$5/100,MONTH($A67)))*$D67</f>
        <v>-7560.0028340876743</v>
      </c>
      <c r="BV67" s="1021">
        <f>(VLOOKUP(YEAR($A67),'NY East Load Projections'!$A$4:$EO$14,((MONTH($A67)-1)*12)+VLOOKUP(BV$4,$DE$6:$DF$17,2)+1))*(VLOOKUP($A67,SatSunCurve,7))*(INDEX(DailyScalarsTable,BV$5/100,MONTH($A67)))*$D67</f>
        <v>-7875.84927033232</v>
      </c>
      <c r="BW67" s="1021">
        <f>(VLOOKUP(YEAR($A67),'NY East Load Projections'!$A$4:$EO$14,((MONTH($A67)-1)*12)+VLOOKUP(BW$4,$DE$6:$DF$17,2)+1))*(VLOOKUP($A67,SatSunCurve,7))*(INDEX(DailyScalarsTable,BW$5/100,MONTH($A67)))*$D67</f>
        <v>-10958.902098367544</v>
      </c>
      <c r="BX67" s="1021">
        <f>(VLOOKUP(YEAR($A67),'NY East Load Projections'!$A$4:$EO$14,((MONTH($A67)-1)*12)+VLOOKUP(BX$4,$DE$6:$DF$17,2)+1))*(VLOOKUP($A67,SatSunCurve,7))*(INDEX(DailyScalarsTable,BX$5/100,MONTH($A67)))*$D67</f>
        <v>-12024.827426053263</v>
      </c>
      <c r="BY67" s="1021">
        <f>(VLOOKUP(YEAR($A67),'NY East Load Projections'!$A$4:$EO$14,((MONTH($A67)-1)*12)+VLOOKUP(BY$4,$DE$6:$DF$17,2)+1))*(VLOOKUP($A67,SatSunCurve,7))*(INDEX(DailyScalarsTable,BY$5/100,MONTH($A67)))*$D67</f>
        <v>-11509.846420554737</v>
      </c>
      <c r="BZ67" s="1021">
        <f>(VLOOKUP(YEAR($A67),'NY East Load Projections'!$A$4:$EO$14,((MONTH($A67)-1)*12)+VLOOKUP(BZ$4,$DE$6:$DF$17,2)+1))*(VLOOKUP($A67,SatSunCurve,7))*(INDEX(DailyScalarsTable,BZ$5/100,MONTH($A67)))*$D67</f>
        <v>-10482.474590769776</v>
      </c>
      <c r="CA67" s="1021">
        <f>(VLOOKUP(YEAR($A67),'NY East Load Projections'!$A$4:$EO$14,((MONTH($A67)-1)*12)+VLOOKUP(CA$4,$DE$6:$DF$17,2)+1))*(VLOOKUP($A67,SatSunCurve,7))*(INDEX(DailyScalarsTable,CA$5/100,MONTH($A67)))*$D67</f>
        <v>-7455.3787131900071</v>
      </c>
      <c r="CB67" s="1021">
        <f>(VLOOKUP(YEAR($A67),'NY East Load Projections'!$A$4:$EO$14,((MONTH($A67)-1)*12)+VLOOKUP(CB$4,$DE$6:$DF$17,2)+1))*(VLOOKUP($A67,SatSunCurve,7))*(INDEX(DailyScalarsTable,CB$5/100,MONTH($A67)))*$D67</f>
        <v>-6103.1554286308947</v>
      </c>
      <c r="CC67" s="1021">
        <f>(VLOOKUP(YEAR($A67),'NY East Load Projections'!$A$4:$EO$14,((MONTH($A67)-1)*12)+VLOOKUP(CC$4,$DE$6:$DF$17,2)+1))*(VLOOKUP($A67,CURVES!$D$9:$T$261,7))*(INDEX(DailyScalarsTable,CC$5/100,MONTH($A67)))*$D67</f>
        <v>-7587.7068969944849</v>
      </c>
      <c r="CE67" s="1021">
        <f>(VLOOKUP(YEAR($A67),'NY East Load Projections'!$A$4:$EO$14,((MONTH($A67)-1)*12)+VLOOKUP(CE$4,$DE$6:$DF$17,2)+1))*(VLOOKUP($A67,CURVES!$D$9:$T$261,7))*(INDEX(DailyScalarsTable,CE$5/100,MONTH($A67)))*$E67</f>
        <v>0</v>
      </c>
      <c r="CF67" s="1021">
        <f>(VLOOKUP(YEAR($A67),'NY East Load Projections'!$A$4:$EO$14,((MONTH($A67)-1)*12)+VLOOKUP(CF$4,$DE$6:$DF$17,2)+1))*(VLOOKUP($A67,CURVES!$D$9:$T$261,7))*(INDEX(DailyScalarsTable,CF$5/100,MONTH($A67)))*$E67</f>
        <v>0</v>
      </c>
      <c r="CG67" s="1021">
        <f>(VLOOKUP(YEAR($A67),'NY East Load Projections'!$A$4:$EO$14,((MONTH($A67)-1)*12)+VLOOKUP(CG$4,$DE$6:$DF$17,2)+1))*(VLOOKUP($A67,CURVES!$D$9:$T$261,7))*(INDEX(DailyScalarsTable,CG$5/100,MONTH($A67)))*$E67</f>
        <v>0</v>
      </c>
      <c r="CH67" s="1021">
        <f>(VLOOKUP(YEAR($A67),'NY East Load Projections'!$A$4:$EO$14,((MONTH($A67)-1)*12)+VLOOKUP(CH$4,$DE$6:$DF$17,2)+1))*(VLOOKUP($A67,CURVES!$D$9:$T$261,7))*(INDEX(DailyScalarsTable,CH$5/100,MONTH($A67)))*$E67</f>
        <v>0</v>
      </c>
      <c r="CI67" s="1021">
        <f>(VLOOKUP(YEAR($A67),'NY East Load Projections'!$A$4:$EO$14,((MONTH($A67)-1)*12)+VLOOKUP(CI$4,$DE$6:$DF$17,2)+1))*(VLOOKUP($A67,CURVES!$D$9:$T$261,7))*(INDEX(DailyScalarsTable,CI$5/100,MONTH($A67)))*$E67</f>
        <v>0</v>
      </c>
      <c r="CJ67" s="1021">
        <f>(VLOOKUP(YEAR($A67),'NY East Load Projections'!$A$4:$EO$14,((MONTH($A67)-1)*12)+VLOOKUP(CJ$4,$DE$6:$DF$17,2)+1))*(VLOOKUP($A67,CURVES!$D$9:$T$261,7))*(INDEX(DailyScalarsTable,CJ$5/100,MONTH($A67)))*$E67</f>
        <v>0</v>
      </c>
      <c r="CK67" s="1021">
        <f>(VLOOKUP(YEAR($A67),'NY East Load Projections'!$A$4:$EO$14,((MONTH($A67)-1)*12)+VLOOKUP(CK$4,$DE$6:$DF$17,2)+1))*(VLOOKUP($A67,CURVES!$D$9:$T$261,7))*(INDEX(DailyScalarsTable,CK$5/100,MONTH($A67)))*$E67</f>
        <v>0</v>
      </c>
      <c r="CL67" s="1021">
        <f>(VLOOKUP(YEAR($A67),'NY East Load Projections'!$A$4:$EO$14,((MONTH($A67)-1)*12)+VLOOKUP(CL$4,$DE$6:$DF$17,2)+1))*(VLOOKUP($A67,SatSunCurve,7))*(INDEX(DailyScalarsTable,CL$5/100,MONTH($A67)))*$E67</f>
        <v>0</v>
      </c>
      <c r="CM67" s="1021">
        <f>(VLOOKUP(YEAR($A67),'NY East Load Projections'!$A$4:$EO$14,((MONTH($A67)-1)*12)+VLOOKUP(CM$4,$DE$6:$DF$17,2)+1))*(VLOOKUP($A67,SatSunCurve,7))*(INDEX(DailyScalarsTable,CM$5/100,MONTH($A67)))*$E67</f>
        <v>0</v>
      </c>
      <c r="CN67" s="1021">
        <f>(VLOOKUP(YEAR($A67),'NY East Load Projections'!$A$4:$EO$14,((MONTH($A67)-1)*12)+VLOOKUP(CN$4,$DE$6:$DF$17,2)+1))*(VLOOKUP($A67,SatSunCurve,7))*(INDEX(DailyScalarsTable,CN$5/100,MONTH($A67)))*$E67</f>
        <v>0</v>
      </c>
      <c r="CO67" s="1021">
        <f>(VLOOKUP(YEAR($A67),'NY East Load Projections'!$A$4:$EO$14,((MONTH($A67)-1)*12)+VLOOKUP(CO$4,$DE$6:$DF$17,2)+1))*(VLOOKUP($A67,SatSunCurve,7))*(INDEX(DailyScalarsTable,CO$5/100,MONTH($A67)))*$E67</f>
        <v>0</v>
      </c>
      <c r="CP67" s="1021">
        <f>(VLOOKUP(YEAR($A67),'NY East Load Projections'!$A$4:$EO$14,((MONTH($A67)-1)*12)+VLOOKUP(CP$4,$DE$6:$DF$17,2)+1))*(VLOOKUP($A67,SatSunCurve,7))*(INDEX(DailyScalarsTable,CP$5/100,MONTH($A67)))*$E67</f>
        <v>0</v>
      </c>
      <c r="CQ67" s="1021">
        <f>(VLOOKUP(YEAR($A67),'NY East Load Projections'!$A$4:$EO$14,((MONTH($A67)-1)*12)+VLOOKUP(CQ$4,$DE$6:$DF$17,2)+1))*(VLOOKUP($A67,SatSunCurve,7))*(INDEX(DailyScalarsTable,CQ$5/100,MONTH($A67)))*$E67</f>
        <v>0</v>
      </c>
      <c r="CR67" s="1021">
        <f>(VLOOKUP(YEAR($A67),'NY East Load Projections'!$A$4:$EO$14,((MONTH($A67)-1)*12)+VLOOKUP(CR$4,$DE$6:$DF$17,2)+1))*(VLOOKUP($A67,SatSunCurve,7))*(INDEX(DailyScalarsTable,CR$5/100,MONTH($A67)))*$E67</f>
        <v>0</v>
      </c>
      <c r="CS67" s="1021">
        <f>(VLOOKUP(YEAR($A67),'NY East Load Projections'!$A$4:$EO$14,((MONTH($A67)-1)*12)+VLOOKUP(CS$4,$DE$6:$DF$17,2)+1))*(VLOOKUP($A67,SatSunCurve,7))*(INDEX(DailyScalarsTable,CS$5/100,MONTH($A67)))*$E67</f>
        <v>0</v>
      </c>
      <c r="CT67" s="1021">
        <f>(VLOOKUP(YEAR($A67),'NY East Load Projections'!$A$4:$EO$14,((MONTH($A67)-1)*12)+VLOOKUP(CT$4,$DE$6:$DF$17,2)+1))*(VLOOKUP($A67,SatSunCurve,7))*(INDEX(DailyScalarsTable,CT$5/100,MONTH($A67)))*$E67</f>
        <v>0</v>
      </c>
      <c r="CU67" s="1021">
        <f>(VLOOKUP(YEAR($A67),'NY East Load Projections'!$A$4:$EO$14,((MONTH($A67)-1)*12)+VLOOKUP(CU$4,$DE$6:$DF$17,2)+1))*(VLOOKUP($A67,SatSunCurve,7))*(INDEX(DailyScalarsTable,CU$5/100,MONTH($A67)))*$E67</f>
        <v>0</v>
      </c>
      <c r="CV67" s="1021">
        <f>(VLOOKUP(YEAR($A67),'NY East Load Projections'!$A$4:$EO$14,((MONTH($A67)-1)*12)+VLOOKUP(CV$4,$DE$6:$DF$17,2)+1))*(VLOOKUP($A67,SatSunCurve,7))*(INDEX(DailyScalarsTable,CV$5/100,MONTH($A67)))*$E67</f>
        <v>0</v>
      </c>
      <c r="CW67" s="1021">
        <f>(VLOOKUP(YEAR($A67),'NY East Load Projections'!$A$4:$EO$14,((MONTH($A67)-1)*12)+VLOOKUP(CW$4,$DE$6:$DF$17,2)+1))*(VLOOKUP($A67,SatSunCurve,7))*(INDEX(DailyScalarsTable,CW$5/100,MONTH($A67)))*$E67</f>
        <v>0</v>
      </c>
      <c r="CX67" s="1021">
        <f>(VLOOKUP(YEAR($A67),'NY East Load Projections'!$A$4:$EO$14,((MONTH($A67)-1)*12)+VLOOKUP(CX$4,$DE$6:$DF$17,2)+1))*(VLOOKUP($A67,SatSunCurve,7))*(INDEX(DailyScalarsTable,CX$5/100,MONTH($A67)))*$E67</f>
        <v>0</v>
      </c>
      <c r="CY67" s="1021">
        <f>(VLOOKUP(YEAR($A67),'NY East Load Projections'!$A$4:$EO$14,((MONTH($A67)-1)*12)+VLOOKUP(CY$4,$DE$6:$DF$17,2)+1))*(VLOOKUP($A67,SatSunCurve,7))*(INDEX(DailyScalarsTable,CY$5/100,MONTH($A67)))*$E67</f>
        <v>0</v>
      </c>
      <c r="CZ67" s="1021">
        <f>(VLOOKUP(YEAR($A67),'NY East Load Projections'!$A$4:$EO$14,((MONTH($A67)-1)*12)+VLOOKUP(CZ$4,$DE$6:$DF$17,2)+1))*(VLOOKUP($A67,SatSunCurve,7))*(INDEX(DailyScalarsTable,CZ$5/100,MONTH($A67)))*$E67</f>
        <v>0</v>
      </c>
      <c r="DA67" s="1021">
        <f>(VLOOKUP(YEAR($A67),'NY East Load Projections'!$A$4:$EO$14,((MONTH($A67)-1)*12)+VLOOKUP(DA$4,$DE$6:$DF$17,2)+1))*(VLOOKUP($A67,SatSunCurve,7))*(INDEX(DailyScalarsTable,DA$5/100,MONTH($A67)))*$E67</f>
        <v>0</v>
      </c>
      <c r="DB67" s="1021">
        <f>(VLOOKUP(YEAR($A67),'NY East Load Projections'!$A$4:$EO$14,((MONTH($A67)-1)*12)+VLOOKUP(DB$4,$DE$6:$DF$17,2)+1))*(VLOOKUP($A67,CURVES!$D$9:$T$261,7))*(INDEX(DailyScalarsTable,DB$5/100,MONTH($A67)))*$E67</f>
        <v>0</v>
      </c>
      <c r="DH67" s="1032">
        <f t="shared" si="0"/>
        <v>-1857537.6029358518</v>
      </c>
      <c r="DI67">
        <f ca="1">CALC!J87</f>
        <v>0.64684058945095924</v>
      </c>
      <c r="DJ67" s="1029">
        <f t="shared" ca="1" si="1"/>
        <v>-1201530.7180103483</v>
      </c>
    </row>
    <row r="68" spans="1:114" x14ac:dyDescent="0.25">
      <c r="A68" s="244">
        <v>38777</v>
      </c>
      <c r="B68" s="13">
        <v>23</v>
      </c>
      <c r="C68" s="210">
        <v>4</v>
      </c>
      <c r="D68" s="210">
        <v>4</v>
      </c>
      <c r="E68" s="210">
        <v>0</v>
      </c>
      <c r="F68" s="13">
        <v>31</v>
      </c>
      <c r="H68" s="1021">
        <f>(VLOOKUP(YEAR($A68),'NY East Load Projections'!$A$4:$EO$14,((MONTH($A68)-1)*12)+VLOOKUP(H$4,$DE$6:$DF$17,2)+1))*(VLOOKUP($A68,CURVES!$D$9:$K$261,7))*(INDEX(DailyScalarsTable,H$5/100,MONTH($A68)))*$B68</f>
        <v>-31047.517073173713</v>
      </c>
      <c r="I68" s="1021">
        <f>(VLOOKUP(YEAR($A68),'NY East Load Projections'!$A$4:$EO$14,((MONTH($A68)-1)*12)+VLOOKUP(I$4,$DE$6:$DF$17,2)+1))*(VLOOKUP($A68,CURVES!$D$9:$K$261,7))*(INDEX(DailyScalarsTable,I$5/100,MONTH($A68)))*$B68</f>
        <v>-29356.80454445913</v>
      </c>
      <c r="J68" s="1021">
        <f>(VLOOKUP(YEAR($A68),'NY East Load Projections'!$A$4:$EO$14,((MONTH($A68)-1)*12)+VLOOKUP(J$4,$DE$6:$DF$17,2)+1))*(VLOOKUP($A68,CURVES!$D$9:$K$261,7))*(INDEX(DailyScalarsTable,J$5/100,MONTH($A68)))*$B68</f>
        <v>-28105.662258001357</v>
      </c>
      <c r="K68" s="1021">
        <f>(VLOOKUP(YEAR($A68),'NY East Load Projections'!$A$4:$EO$14,((MONTH($A68)-1)*12)+VLOOKUP(K$4,$DE$6:$DF$17,2)+1))*(VLOOKUP($A68,CURVES!$D$9:$K$261,7))*(INDEX(DailyScalarsTable,K$5/100,MONTH($A68)))*$B68</f>
        <v>-28123.305128527478</v>
      </c>
      <c r="L68" s="1021">
        <f>(VLOOKUP(YEAR($A68),'NY East Load Projections'!$A$4:$EO$14,((MONTH($A68)-1)*12)+VLOOKUP(L$4,$DE$6:$DF$17,2)+1))*(VLOOKUP($A68,CURVES!$D$9:$K$261,7))*(INDEX(DailyScalarsTable,L$5/100,MONTH($A68)))*$B68</f>
        <v>-33485.370193496528</v>
      </c>
      <c r="M68" s="1021">
        <f>(VLOOKUP(YEAR($A68),'NY East Load Projections'!$A$4:$EO$14,((MONTH($A68)-1)*12)+VLOOKUP(M$4,$DE$6:$DF$17,2)+1))*(VLOOKUP($A68,CURVES!$D$9:$K$261,7))*(INDEX(DailyScalarsTable,M$5/100,MONTH($A68)))*$B68</f>
        <v>-38868.923858524417</v>
      </c>
      <c r="N68" s="1021">
        <f>(VLOOKUP(YEAR($A68),'NY East Load Projections'!$A$4:$EO$14,((MONTH($A68)-1)*12)+VLOOKUP(N$4,$DE$6:$DF$17,2)+1))*(VLOOKUP($A68,CURVES!$D$9:$K$261,7))*(INDEX(DailyScalarsTable,N$5/100,MONTH($A68)))*$B68</f>
        <v>-70134.57120257309</v>
      </c>
      <c r="O68" s="1021">
        <f>(VLOOKUP(YEAR($A68),'NY East Load Projections'!$A$4:$EO$14,((MONTH($A68)-1)*12)+VLOOKUP(O$4,$DE$6:$DF$17,2)+1))*(VLOOKUP($A68,CURVES!$D$9:$K$261,3))*(INDEX(DailyScalarsTable,O$5/100,MONTH($A68)))*$B68</f>
        <v>-74909.663152301946</v>
      </c>
      <c r="P68" s="1021">
        <f>(VLOOKUP(YEAR($A68),'NY East Load Projections'!$A$4:$EO$14,((MONTH($A68)-1)*12)+VLOOKUP(P$4,$DE$6:$DF$17,2)+1))*(VLOOKUP($A68,CURVES!$D$9:$K$261,3))*(INDEX(DailyScalarsTable,P$5/100,MONTH($A68)))*$B68</f>
        <v>-87513.052577802169</v>
      </c>
      <c r="Q68" s="1021">
        <f>(VLOOKUP(YEAR($A68),'NY East Load Projections'!$A$4:$EO$14,((MONTH($A68)-1)*12)+VLOOKUP(Q$4,$DE$6:$DF$17,2)+1))*(VLOOKUP($A68,CURVES!$D$9:$K$261,3))*(INDEX(DailyScalarsTable,Q$5/100,MONTH($A68)))*$B68</f>
        <v>-87248.262706159789</v>
      </c>
      <c r="R68" s="1021">
        <f>(VLOOKUP(YEAR($A68),'NY East Load Projections'!$A$4:$EO$14,((MONTH($A68)-1)*12)+VLOOKUP(R$4,$DE$6:$DF$17,2)+1))*(VLOOKUP($A68,CURVES!$D$9:$K$261,3))*(INDEX(DailyScalarsTable,R$5/100,MONTH($A68)))*$B68</f>
        <v>-85711.010395791614</v>
      </c>
      <c r="S68" s="1021">
        <f>(VLOOKUP(YEAR($A68),'NY East Load Projections'!$A$4:$EO$14,((MONTH($A68)-1)*12)+VLOOKUP(S$4,$DE$6:$DF$17,2)+1))*(VLOOKUP($A68,CURVES!$D$9:$K$261,3))*(INDEX(DailyScalarsTable,S$5/100,MONTH($A68)))*$B68</f>
        <v>-65491.361586212006</v>
      </c>
      <c r="T68" s="1021">
        <f>(VLOOKUP(YEAR($A68),'NY East Load Projections'!$A$4:$EO$14,((MONTH($A68)-1)*12)+VLOOKUP(T$4,$DE$6:$DF$17,2)+1))*(VLOOKUP($A68,CURVES!$D$9:$K$261,3))*(INDEX(DailyScalarsTable,T$5/100,MONTH($A68)))*$B68</f>
        <v>-65679.331421135023</v>
      </c>
      <c r="U68" s="1021">
        <f>(VLOOKUP(YEAR($A68),'NY East Load Projections'!$A$4:$EO$14,((MONTH($A68)-1)*12)+VLOOKUP(U$4,$DE$6:$DF$17,2)+1))*(VLOOKUP($A68,CURVES!$D$9:$K$261,3))*(INDEX(DailyScalarsTable,U$5/100,MONTH($A68)))*$B68</f>
        <v>-63583.182545992415</v>
      </c>
      <c r="V68" s="1021">
        <f>(VLOOKUP(YEAR($A68),'NY East Load Projections'!$A$4:$EO$14,((MONTH($A68)-1)*12)+VLOOKUP(V$4,$DE$6:$DF$17,2)+1))*(VLOOKUP($A68,CURVES!$D$9:$K$261,3))*(INDEX(DailyScalarsTable,V$5/100,MONTH($A68)))*$B68</f>
        <v>-60385.796037169806</v>
      </c>
      <c r="W68" s="1021">
        <f>(VLOOKUP(YEAR($A68),'NY East Load Projections'!$A$4:$EO$14,((MONTH($A68)-1)*12)+VLOOKUP(W$4,$DE$6:$DF$17,2)+1))*(VLOOKUP($A68,CURVES!$D$9:$K$261,3))*(INDEX(DailyScalarsTable,W$5/100,MONTH($A68)))*$B68</f>
        <v>-59185.826753573674</v>
      </c>
      <c r="X68" s="1021">
        <f>(VLOOKUP(YEAR($A68),'NY East Load Projections'!$A$4:$EO$14,((MONTH($A68)-1)*12)+VLOOKUP(X$4,$DE$6:$DF$17,2)+1))*(VLOOKUP($A68,CURVES!$D$9:$K$261,3))*(INDEX(DailyScalarsTable,X$5/100,MONTH($A68)))*$B68</f>
        <v>-60861.840591234286</v>
      </c>
      <c r="Y68" s="1021">
        <f>(VLOOKUP(YEAR($A68),'NY East Load Projections'!$A$4:$EO$14,((MONTH($A68)-1)*12)+VLOOKUP(Y$4,$DE$6:$DF$17,2)+1))*(VLOOKUP($A68,CURVES!$D$9:$K$261,3))*(INDEX(DailyScalarsTable,Y$5/100,MONTH($A68)))*$B68</f>
        <v>-82975.835636566248</v>
      </c>
      <c r="Z68" s="1021">
        <f>(VLOOKUP(YEAR($A68),'NY East Load Projections'!$A$4:$EO$14,((MONTH($A68)-1)*12)+VLOOKUP(Z$4,$DE$6:$DF$17,2)+1))*(VLOOKUP($A68,CURVES!$D$9:$K$261,3))*(INDEX(DailyScalarsTable,Z$5/100,MONTH($A68)))*$B68</f>
        <v>-91113.671195846153</v>
      </c>
      <c r="AA68" s="1021">
        <f>(VLOOKUP(YEAR($A68),'NY East Load Projections'!$A$4:$EO$14,((MONTH($A68)-1)*12)+VLOOKUP(AA$4,$DE$6:$DF$17,2)+1))*(VLOOKUP($A68,CURVES!$D$9:$K$261,3))*(INDEX(DailyScalarsTable,AA$5/100,MONTH($A68)))*$B68</f>
        <v>-87180.86158137022</v>
      </c>
      <c r="AB68" s="1021">
        <f>(VLOOKUP(YEAR($A68),'NY East Load Projections'!$A$4:$EO$14,((MONTH($A68)-1)*12)+VLOOKUP(AB$4,$DE$6:$DF$17,2)+1))*(VLOOKUP($A68,CURVES!$D$9:$K$261,3))*(INDEX(DailyScalarsTable,AB$5/100,MONTH($A68)))*$B68</f>
        <v>-73306.253749026539</v>
      </c>
      <c r="AC68" s="1021">
        <f>(VLOOKUP(YEAR($A68),'NY East Load Projections'!$A$4:$EO$14,((MONTH($A68)-1)*12)+VLOOKUP(AC$4,$DE$6:$DF$17,2)+1))*(VLOOKUP($A68,CURVES!$D$9:$K$261,3))*(INDEX(DailyScalarsTable,AC$5/100,MONTH($A68)))*$B68</f>
        <v>-53230.416550795191</v>
      </c>
      <c r="AD68" s="1021">
        <f>(VLOOKUP(YEAR($A68),'NY East Load Projections'!$A$4:$EO$14,((MONTH($A68)-1)*12)+VLOOKUP(AD$4,$DE$6:$DF$17,2)+1))*(VLOOKUP($A68,CURVES!$D$9:$K$261,3))*(INDEX(DailyScalarsTable,AD$5/100,MONTH($A68)))*$B68</f>
        <v>-43691.83318811511</v>
      </c>
      <c r="AE68" s="1021">
        <f>(VLOOKUP(YEAR($A68),'NY East Load Projections'!$A$4:$EO$14,((MONTH($A68)-1)*12)+VLOOKUP(AE$4,$DE$6:$DF$17,2)+1))*(VLOOKUP($A68,CURVES!$D$9:$K$261,7))*(INDEX(DailyScalarsTable,AE$5/100,MONTH($A68)))*$B68</f>
        <v>-39613.38644984526</v>
      </c>
      <c r="AF68" s="1021"/>
      <c r="AG68" s="1021">
        <f>(VLOOKUP(YEAR($A68),'NY East Load Projections'!$A$4:$EO$14,((MONTH($A68)-1)*12)+VLOOKUP(AG$4,$DE$6:$DF$17,2)+1))*(VLOOKUP($A68,CURVES!$D$9:$T$261,7))*(INDEX(DailyScalarsTable,AG$5/100,MONTH($A68)))*$C68</f>
        <v>-6045.9613430484205</v>
      </c>
      <c r="AH68" s="1021">
        <f>(VLOOKUP(YEAR($A68),'NY East Load Projections'!$A$4:$EO$14,((MONTH($A68)-1)*12)+VLOOKUP(AH$4,$DE$6:$DF$17,2)+1))*(VLOOKUP($A68,CURVES!$D$9:$T$261,7))*(INDEX(DailyScalarsTable,AH$5/100,MONTH($A68)))*$C68</f>
        <v>-5716.7246260921329</v>
      </c>
      <c r="AI68" s="1021">
        <f>(VLOOKUP(YEAR($A68),'NY East Load Projections'!$A$4:$EO$14,((MONTH($A68)-1)*12)+VLOOKUP(AI$4,$DE$6:$DF$17,2)+1))*(VLOOKUP($A68,CURVES!$D$9:$T$261,7))*(INDEX(DailyScalarsTable,AI$5/100,MONTH($A68)))*$C68</f>
        <v>-5473.0865315949459</v>
      </c>
      <c r="AJ68" s="1021">
        <f>(VLOOKUP(YEAR($A68),'NY East Load Projections'!$A$4:$EO$14,((MONTH($A68)-1)*12)+VLOOKUP(AJ$4,$DE$6:$DF$17,2)+1))*(VLOOKUP($A68,CURVES!$D$9:$T$261,7))*(INDEX(DailyScalarsTable,AJ$5/100,MONTH($A68)))*$C68</f>
        <v>-5476.5221722914284</v>
      </c>
      <c r="AK68" s="1021">
        <f>(VLOOKUP(YEAR($A68),'NY East Load Projections'!$A$4:$EO$14,((MONTH($A68)-1)*12)+VLOOKUP(AK$4,$DE$6:$DF$17,2)+1))*(VLOOKUP($A68,CURVES!$D$9:$T$261,7))*(INDEX(DailyScalarsTable,AK$5/100,MONTH($A68)))*$C68</f>
        <v>-5962.391386765973</v>
      </c>
      <c r="AL68" s="1021">
        <f>(VLOOKUP(YEAR($A68),'NY East Load Projections'!$A$4:$EO$14,((MONTH($A68)-1)*12)+VLOOKUP(AL$4,$DE$6:$DF$17,2)+1))*(VLOOKUP($A68,CURVES!$D$9:$T$261,7))*(INDEX(DailyScalarsTable,AL$5/100,MONTH($A68)))*$C68</f>
        <v>-6920.9847610386823</v>
      </c>
      <c r="AM68" s="1021">
        <f>(VLOOKUP(YEAR($A68),'NY East Load Projections'!$A$4:$EO$14,((MONTH($A68)-1)*12)+VLOOKUP(AM$4,$DE$6:$DF$17,2)+1))*(VLOOKUP($A68,CURVES!$D$9:$T$261,7))*(INDEX(DailyScalarsTable,AM$5/100,MONTH($A68)))*$C68</f>
        <v>-12488.133200748152</v>
      </c>
      <c r="AN68" s="1021">
        <f>(VLOOKUP(YEAR($A68),'NY East Load Projections'!$A$4:$EO$14,((MONTH($A68)-1)*12)+VLOOKUP(AN$4,$DE$6:$DF$17,2)+1))*(VLOOKUP($A68,SatSunCurve,3))*(INDEX(DailyScalarsTable,AN$5/100,MONTH($A68)))*$C68</f>
        <v>-8637.6109949116981</v>
      </c>
      <c r="AO68" s="1021">
        <f>(VLOOKUP(YEAR($A68),'NY East Load Projections'!$A$4:$EO$14,((MONTH($A68)-1)*12)+VLOOKUP(AO$4,$DE$6:$DF$17,2)+1))*(VLOOKUP($A68,SatSunCurve,3))*(INDEX(DailyScalarsTable,AO$5/100,MONTH($A68)))*$C68</f>
        <v>-9699.3784844362926</v>
      </c>
      <c r="AP68" s="1021">
        <f>(VLOOKUP(YEAR($A68),'NY East Load Projections'!$A$4:$EO$14,((MONTH($A68)-1)*12)+VLOOKUP(AP$4,$DE$6:$DF$17,2)+1))*(VLOOKUP($A68,SatSunCurve,3))*(INDEX(DailyScalarsTable,AP$5/100,MONTH($A68)))*$C68</f>
        <v>-9670.0308944682547</v>
      </c>
      <c r="AQ68" s="1021">
        <f>(VLOOKUP(YEAR($A68),'NY East Load Projections'!$A$4:$EO$14,((MONTH($A68)-1)*12)+VLOOKUP(AQ$4,$DE$6:$DF$17,2)+1))*(VLOOKUP($A68,SatSunCurve,3))*(INDEX(DailyScalarsTable,AQ$5/100,MONTH($A68)))*$C68</f>
        <v>-9499.6518304871515</v>
      </c>
      <c r="AR68" s="1021">
        <f>(VLOOKUP(YEAR($A68),'NY East Load Projections'!$A$4:$EO$14,((MONTH($A68)-1)*12)+VLOOKUP(AR$4,$DE$6:$DF$17,2)+1))*(VLOOKUP($A68,SatSunCurve,3))*(INDEX(DailyScalarsTable,AR$5/100,MONTH($A68)))*$C68</f>
        <v>-7258.6372520945324</v>
      </c>
      <c r="AS68" s="1021">
        <f>(VLOOKUP(YEAR($A68),'NY East Load Projections'!$A$4:$EO$14,((MONTH($A68)-1)*12)+VLOOKUP(AS$4,$DE$6:$DF$17,2)+1))*(VLOOKUP($A68,SatSunCurve,3))*(INDEX(DailyScalarsTable,AS$5/100,MONTH($A68)))*$C68</f>
        <v>-7084.8935450160625</v>
      </c>
      <c r="AT68" s="1021">
        <f>(VLOOKUP(YEAR($A68),'NY East Load Projections'!$A$4:$EO$14,((MONTH($A68)-1)*12)+VLOOKUP(AT$4,$DE$6:$DF$17,2)+1))*(VLOOKUP($A68,SatSunCurve,3))*(INDEX(DailyScalarsTable,AT$5/100,MONTH($A68)))*$C68</f>
        <v>-6858.7799212389536</v>
      </c>
      <c r="AU68" s="1021">
        <f>(VLOOKUP(YEAR($A68),'NY East Load Projections'!$A$4:$EO$14,((MONTH($A68)-1)*12)+VLOOKUP(AU$4,$DE$6:$DF$17,2)+1))*(VLOOKUP($A68,SatSunCurve,3))*(INDEX(DailyScalarsTable,AU$5/100,MONTH($A68)))*$C68</f>
        <v>-6513.8747197528573</v>
      </c>
      <c r="AV68" s="1021">
        <f>(VLOOKUP(YEAR($A68),'NY East Load Projections'!$A$4:$EO$14,((MONTH($A68)-1)*12)+VLOOKUP(AV$4,$DE$6:$DF$17,2)+1))*(VLOOKUP($A68,SatSunCurve,3))*(INDEX(DailyScalarsTable,AV$5/100,MONTH($A68)))*$C68</f>
        <v>-6384.4328626630631</v>
      </c>
      <c r="AW68" s="1021">
        <f>(VLOOKUP(YEAR($A68),'NY East Load Projections'!$A$4:$EO$14,((MONTH($A68)-1)*12)+VLOOKUP(AW$4,$DE$6:$DF$17,2)+1))*(VLOOKUP($A68,SatSunCurve,3))*(INDEX(DailyScalarsTable,AW$5/100,MONTH($A68)))*$C68</f>
        <v>-6663.8653763963366</v>
      </c>
      <c r="AX68" s="1021">
        <f>(VLOOKUP(YEAR($A68),'NY East Load Projections'!$A$4:$EO$14,((MONTH($A68)-1)*12)+VLOOKUP(AX$4,$DE$6:$DF$17,2)+1))*(VLOOKUP($A68,SatSunCurve,3))*(INDEX(DailyScalarsTable,AX$5/100,MONTH($A68)))*$C68</f>
        <v>-9085.163918879327</v>
      </c>
      <c r="AY68" s="1021">
        <f>(VLOOKUP(YEAR($A68),'NY East Load Projections'!$A$4:$EO$14,((MONTH($A68)-1)*12)+VLOOKUP(AY$4,$DE$6:$DF$17,2)+1))*(VLOOKUP($A68,SatSunCurve,3))*(INDEX(DailyScalarsTable,AY$5/100,MONTH($A68)))*$C68</f>
        <v>-9976.1892328607573</v>
      </c>
      <c r="AZ68" s="1021">
        <f>(VLOOKUP(YEAR($A68),'NY East Load Projections'!$A$4:$EO$14,((MONTH($A68)-1)*12)+VLOOKUP(AZ$4,$DE$6:$DF$17,2)+1))*(VLOOKUP($A68,SatSunCurve,3))*(INDEX(DailyScalarsTable,AZ$5/100,MONTH($A68)))*$C68</f>
        <v>-9545.5792879876899</v>
      </c>
      <c r="BA68" s="1021">
        <f>(VLOOKUP(YEAR($A68),'NY East Load Projections'!$A$4:$EO$14,((MONTH($A68)-1)*12)+VLOOKUP(BA$4,$DE$6:$DF$17,2)+1))*(VLOOKUP($A68,SatSunCurve,3))*(INDEX(DailyScalarsTable,BA$5/100,MONTH($A68)))*$C68</f>
        <v>-8677.6592766458034</v>
      </c>
      <c r="BB68" s="1021">
        <f>(VLOOKUP(YEAR($A68),'NY East Load Projections'!$A$4:$EO$14,((MONTH($A68)-1)*12)+VLOOKUP(BB$4,$DE$6:$DF$17,2)+1))*(VLOOKUP($A68,SatSunCurve,3))*(INDEX(DailyScalarsTable,BB$5/100,MONTH($A68)))*$C68</f>
        <v>-6301.173424618798</v>
      </c>
      <c r="BC68" s="1021">
        <f>(VLOOKUP(YEAR($A68),'NY East Load Projections'!$A$4:$EO$14,((MONTH($A68)-1)*12)+VLOOKUP(BC$4,$DE$6:$DF$17,2)+1))*(VLOOKUP($A68,SatSunCurve,3))*(INDEX(DailyScalarsTable,BC$5/100,MONTH($A68)))*$C68</f>
        <v>-5172.0395217105588</v>
      </c>
      <c r="BD68" s="1021">
        <f>(VLOOKUP(YEAR($A68),'NY East Load Projections'!$A$4:$EO$14,((MONTH($A68)-1)*12)+VLOOKUP(BD$4,$DE$6:$DF$17,2)+1))*(VLOOKUP($A68,CURVES!$D$9:$T$261,7))*(INDEX(DailyScalarsTable,BD$5/100,MONTH($A68)))*$C68</f>
        <v>-7241.2429378661727</v>
      </c>
      <c r="BE68" s="1021"/>
      <c r="BF68" s="1021">
        <f>(VLOOKUP(YEAR($A68),'NY East Load Projections'!$A$4:$EO$14,((MONTH($A68)-1)*12)+VLOOKUP(BF$4,$DE$6:$DF$17,2)+1))*(VLOOKUP($A68,CURVES!$D$9:$T$261,7))*(INDEX(DailyScalarsTable,BF$5/100,MONTH($A68)))*$D68</f>
        <v>-6045.9613430484205</v>
      </c>
      <c r="BG68" s="1021">
        <f>(VLOOKUP(YEAR($A68),'NY East Load Projections'!$A$4:$EO$14,((MONTH($A68)-1)*12)+VLOOKUP(BG$4,$DE$6:$DF$17,2)+1))*(VLOOKUP($A68,CURVES!$D$9:$T$261,7))*(INDEX(DailyScalarsTable,BG$5/100,MONTH($A68)))*$D68</f>
        <v>-5716.7246260921329</v>
      </c>
      <c r="BH68" s="1021">
        <f>(VLOOKUP(YEAR($A68),'NY East Load Projections'!$A$4:$EO$14,((MONTH($A68)-1)*12)+VLOOKUP(BH$4,$DE$6:$DF$17,2)+1))*(VLOOKUP($A68,CURVES!$D$9:$T$261,7))*(INDEX(DailyScalarsTable,BH$5/100,MONTH($A68)))*$D68</f>
        <v>-5473.0865315949459</v>
      </c>
      <c r="BI68" s="1021">
        <f>(VLOOKUP(YEAR($A68),'NY East Load Projections'!$A$4:$EO$14,((MONTH($A68)-1)*12)+VLOOKUP(BI$4,$DE$6:$DF$17,2)+1))*(VLOOKUP($A68,CURVES!$D$9:$T$261,7))*(INDEX(DailyScalarsTable,BI$5/100,MONTH($A68)))*$D68</f>
        <v>-5476.5221722914284</v>
      </c>
      <c r="BJ68" s="1021">
        <f>(VLOOKUP(YEAR($A68),'NY East Load Projections'!$A$4:$EO$14,((MONTH($A68)-1)*12)+VLOOKUP(BJ$4,$DE$6:$DF$17,2)+1))*(VLOOKUP($A68,CURVES!$D$9:$T$261,7))*(INDEX(DailyScalarsTable,BJ$5/100,MONTH($A68)))*$D68</f>
        <v>-5962.391386765973</v>
      </c>
      <c r="BK68" s="1021">
        <f>(VLOOKUP(YEAR($A68),'NY East Load Projections'!$A$4:$EO$14,((MONTH($A68)-1)*12)+VLOOKUP(BK$4,$DE$6:$DF$17,2)+1))*(VLOOKUP($A68,CURVES!$D$9:$T$261,7))*(INDEX(DailyScalarsTable,BK$5/100,MONTH($A68)))*$D68</f>
        <v>-6920.9847610386823</v>
      </c>
      <c r="BL68" s="1021">
        <f>(VLOOKUP(YEAR($A68),'NY East Load Projections'!$A$4:$EO$14,((MONTH($A68)-1)*12)+VLOOKUP(BL$4,$DE$6:$DF$17,2)+1))*(VLOOKUP($A68,CURVES!$D$9:$T$261,7))*(INDEX(DailyScalarsTable,BL$5/100,MONTH($A68)))*$D68</f>
        <v>-12488.133200748152</v>
      </c>
      <c r="BM68" s="1021">
        <f>(VLOOKUP(YEAR($A68),'NY East Load Projections'!$A$4:$EO$14,((MONTH($A68)-1)*12)+VLOOKUP(BM$4,$DE$6:$DF$17,2)+1))*(VLOOKUP($A68,SatSunCurve,7))*(INDEX(DailyScalarsTable,BM$5/100,MONTH($A68)))*$D68</f>
        <v>-8488.4102068066568</v>
      </c>
      <c r="BN68" s="1021">
        <f>(VLOOKUP(YEAR($A68),'NY East Load Projections'!$A$4:$EO$14,((MONTH($A68)-1)*12)+VLOOKUP(BN$4,$DE$6:$DF$17,2)+1))*(VLOOKUP($A68,SatSunCurve,7))*(INDEX(DailyScalarsTable,BN$5/100,MONTH($A68)))*$D68</f>
        <v>-9531.837376731919</v>
      </c>
      <c r="BO68" s="1021">
        <f>(VLOOKUP(YEAR($A68),'NY East Load Projections'!$A$4:$EO$14,((MONTH($A68)-1)*12)+VLOOKUP(BO$4,$DE$6:$DF$17,2)+1))*(VLOOKUP($A68,SatSunCurve,7))*(INDEX(DailyScalarsTable,BO$5/100,MONTH($A68)))*$D68</f>
        <v>-9502.9967190110965</v>
      </c>
      <c r="BP68" s="1021">
        <f>(VLOOKUP(YEAR($A68),'NY East Load Projections'!$A$4:$EO$14,((MONTH($A68)-1)*12)+VLOOKUP(BP$4,$DE$6:$DF$17,2)+1))*(VLOOKUP($A68,SatSunCurve,7))*(INDEX(DailyScalarsTable,BP$5/100,MONTH($A68)))*$D68</f>
        <v>-9335.560678354097</v>
      </c>
      <c r="BQ68" s="1021">
        <f>(VLOOKUP(YEAR($A68),'NY East Load Projections'!$A$4:$EO$14,((MONTH($A68)-1)*12)+VLOOKUP(BQ$4,$DE$6:$DF$17,2)+1))*(VLOOKUP($A68,SatSunCurve,7))*(INDEX(DailyScalarsTable,BQ$5/100,MONTH($A68)))*$D68</f>
        <v>-7133.2560096168272</v>
      </c>
      <c r="BR68" s="1021">
        <f>(VLOOKUP(YEAR($A68),'NY East Load Projections'!$A$4:$EO$14,((MONTH($A68)-1)*12)+VLOOKUP(BR$4,$DE$6:$DF$17,2)+1))*(VLOOKUP($A68,SatSunCurve,7))*(INDEX(DailyScalarsTable,BR$5/100,MONTH($A68)))*$D68</f>
        <v>-6962.513444641153</v>
      </c>
      <c r="BS68" s="1021">
        <f>(VLOOKUP(YEAR($A68),'NY East Load Projections'!$A$4:$EO$14,((MONTH($A68)-1)*12)+VLOOKUP(BS$4,$DE$6:$DF$17,2)+1))*(VLOOKUP($A68,SatSunCurve,7))*(INDEX(DailyScalarsTable,BS$5/100,MONTH($A68)))*$D68</f>
        <v>-6740.3055687483502</v>
      </c>
      <c r="BT68" s="1021">
        <f>(VLOOKUP(YEAR($A68),'NY East Load Projections'!$A$4:$EO$14,((MONTH($A68)-1)*12)+VLOOKUP(BT$4,$DE$6:$DF$17,2)+1))*(VLOOKUP($A68,SatSunCurve,7))*(INDEX(DailyScalarsTable,BT$5/100,MONTH($A68)))*$D68</f>
        <v>-6401.3580479118646</v>
      </c>
      <c r="BU68" s="1021">
        <f>(VLOOKUP(YEAR($A68),'NY East Load Projections'!$A$4:$EO$14,((MONTH($A68)-1)*12)+VLOOKUP(BU$4,$DE$6:$DF$17,2)+1))*(VLOOKUP($A68,SatSunCurve,7))*(INDEX(DailyScalarsTable,BU$5/100,MONTH($A68)))*$D68</f>
        <v>-6274.1520899732313</v>
      </c>
      <c r="BV68" s="1021">
        <f>(VLOOKUP(YEAR($A68),'NY East Load Projections'!$A$4:$EO$14,((MONTH($A68)-1)*12)+VLOOKUP(BV$4,$DE$6:$DF$17,2)+1))*(VLOOKUP($A68,SatSunCurve,7))*(INDEX(DailyScalarsTable,BV$5/100,MONTH($A68)))*$D68</f>
        <v>-6548.7578580593872</v>
      </c>
      <c r="BW68" s="1021">
        <f>(VLOOKUP(YEAR($A68),'NY East Load Projections'!$A$4:$EO$14,((MONTH($A68)-1)*12)+VLOOKUP(BW$4,$DE$6:$DF$17,2)+1))*(VLOOKUP($A68,SatSunCurve,7))*(INDEX(DailyScalarsTable,BW$5/100,MONTH($A68)))*$D68</f>
        <v>-8928.2323764008815</v>
      </c>
      <c r="BX68" s="1021">
        <f>(VLOOKUP(YEAR($A68),'NY East Load Projections'!$A$4:$EO$14,((MONTH($A68)-1)*12)+VLOOKUP(BX$4,$DE$6:$DF$17,2)+1))*(VLOOKUP($A68,SatSunCurve,7))*(INDEX(DailyScalarsTable,BX$5/100,MONTH($A68)))*$D68</f>
        <v>-9803.8666662732285</v>
      </c>
      <c r="BY68" s="1021">
        <f>(VLOOKUP(YEAR($A68),'NY East Load Projections'!$A$4:$EO$14,((MONTH($A68)-1)*12)+VLOOKUP(BY$4,$DE$6:$DF$17,2)+1))*(VLOOKUP($A68,SatSunCurve,7))*(INDEX(DailyScalarsTable,BY$5/100,MONTH($A68)))*$D68</f>
        <v>-9380.6948131571044</v>
      </c>
      <c r="BZ68" s="1021">
        <f>(VLOOKUP(YEAR($A68),'NY East Load Projections'!$A$4:$EO$14,((MONTH($A68)-1)*12)+VLOOKUP(BZ$4,$DE$6:$DF$17,2)+1))*(VLOOKUP($A68,SatSunCurve,7))*(INDEX(DailyScalarsTable,BZ$5/100,MONTH($A68)))*$D68</f>
        <v>-8527.7667191151068</v>
      </c>
      <c r="CA68" s="1021">
        <f>(VLOOKUP(YEAR($A68),'NY East Load Projections'!$A$4:$EO$14,((MONTH($A68)-1)*12)+VLOOKUP(CA$4,$DE$6:$DF$17,2)+1))*(VLOOKUP($A68,SatSunCurve,7))*(INDEX(DailyScalarsTable,CA$5/100,MONTH($A68)))*$D68</f>
        <v>-6192.3308243334313</v>
      </c>
      <c r="CB68" s="1021">
        <f>(VLOOKUP(YEAR($A68),'NY East Load Projections'!$A$4:$EO$14,((MONTH($A68)-1)*12)+VLOOKUP(CB$4,$DE$6:$DF$17,2)+1))*(VLOOKUP($A68,SatSunCurve,7))*(INDEX(DailyScalarsTable,CB$5/100,MONTH($A68)))*$D68</f>
        <v>-5082.7008870806576</v>
      </c>
      <c r="CC68" s="1021">
        <f>(VLOOKUP(YEAR($A68),'NY East Load Projections'!$A$4:$EO$14,((MONTH($A68)-1)*12)+VLOOKUP(CC$4,$DE$6:$DF$17,2)+1))*(VLOOKUP($A68,CURVES!$D$9:$T$261,7))*(INDEX(DailyScalarsTable,CC$5/100,MONTH($A68)))*$D68</f>
        <v>-7241.2429378661727</v>
      </c>
      <c r="CE68" s="1021">
        <f>(VLOOKUP(YEAR($A68),'NY East Load Projections'!$A$4:$EO$14,((MONTH($A68)-1)*12)+VLOOKUP(CE$4,$DE$6:$DF$17,2)+1))*(VLOOKUP($A68,CURVES!$D$9:$T$261,7))*(INDEX(DailyScalarsTable,CE$5/100,MONTH($A68)))*$E68</f>
        <v>0</v>
      </c>
      <c r="CF68" s="1021">
        <f>(VLOOKUP(YEAR($A68),'NY East Load Projections'!$A$4:$EO$14,((MONTH($A68)-1)*12)+VLOOKUP(CF$4,$DE$6:$DF$17,2)+1))*(VLOOKUP($A68,CURVES!$D$9:$T$261,7))*(INDEX(DailyScalarsTable,CF$5/100,MONTH($A68)))*$E68</f>
        <v>0</v>
      </c>
      <c r="CG68" s="1021">
        <f>(VLOOKUP(YEAR($A68),'NY East Load Projections'!$A$4:$EO$14,((MONTH($A68)-1)*12)+VLOOKUP(CG$4,$DE$6:$DF$17,2)+1))*(VLOOKUP($A68,CURVES!$D$9:$T$261,7))*(INDEX(DailyScalarsTable,CG$5/100,MONTH($A68)))*$E68</f>
        <v>0</v>
      </c>
      <c r="CH68" s="1021">
        <f>(VLOOKUP(YEAR($A68),'NY East Load Projections'!$A$4:$EO$14,((MONTH($A68)-1)*12)+VLOOKUP(CH$4,$DE$6:$DF$17,2)+1))*(VLOOKUP($A68,CURVES!$D$9:$T$261,7))*(INDEX(DailyScalarsTable,CH$5/100,MONTH($A68)))*$E68</f>
        <v>0</v>
      </c>
      <c r="CI68" s="1021">
        <f>(VLOOKUP(YEAR($A68),'NY East Load Projections'!$A$4:$EO$14,((MONTH($A68)-1)*12)+VLOOKUP(CI$4,$DE$6:$DF$17,2)+1))*(VLOOKUP($A68,CURVES!$D$9:$T$261,7))*(INDEX(DailyScalarsTable,CI$5/100,MONTH($A68)))*$E68</f>
        <v>0</v>
      </c>
      <c r="CJ68" s="1021">
        <f>(VLOOKUP(YEAR($A68),'NY East Load Projections'!$A$4:$EO$14,((MONTH($A68)-1)*12)+VLOOKUP(CJ$4,$DE$6:$DF$17,2)+1))*(VLOOKUP($A68,CURVES!$D$9:$T$261,7))*(INDEX(DailyScalarsTable,CJ$5/100,MONTH($A68)))*$E68</f>
        <v>0</v>
      </c>
      <c r="CK68" s="1021">
        <f>(VLOOKUP(YEAR($A68),'NY East Load Projections'!$A$4:$EO$14,((MONTH($A68)-1)*12)+VLOOKUP(CK$4,$DE$6:$DF$17,2)+1))*(VLOOKUP($A68,CURVES!$D$9:$T$261,7))*(INDEX(DailyScalarsTable,CK$5/100,MONTH($A68)))*$E68</f>
        <v>0</v>
      </c>
      <c r="CL68" s="1021">
        <f>(VLOOKUP(YEAR($A68),'NY East Load Projections'!$A$4:$EO$14,((MONTH($A68)-1)*12)+VLOOKUP(CL$4,$DE$6:$DF$17,2)+1))*(VLOOKUP($A68,SatSunCurve,7))*(INDEX(DailyScalarsTable,CL$5/100,MONTH($A68)))*$E68</f>
        <v>0</v>
      </c>
      <c r="CM68" s="1021">
        <f>(VLOOKUP(YEAR($A68),'NY East Load Projections'!$A$4:$EO$14,((MONTH($A68)-1)*12)+VLOOKUP(CM$4,$DE$6:$DF$17,2)+1))*(VLOOKUP($A68,SatSunCurve,7))*(INDEX(DailyScalarsTable,CM$5/100,MONTH($A68)))*$E68</f>
        <v>0</v>
      </c>
      <c r="CN68" s="1021">
        <f>(VLOOKUP(YEAR($A68),'NY East Load Projections'!$A$4:$EO$14,((MONTH($A68)-1)*12)+VLOOKUP(CN$4,$DE$6:$DF$17,2)+1))*(VLOOKUP($A68,SatSunCurve,7))*(INDEX(DailyScalarsTable,CN$5/100,MONTH($A68)))*$E68</f>
        <v>0</v>
      </c>
      <c r="CO68" s="1021">
        <f>(VLOOKUP(YEAR($A68),'NY East Load Projections'!$A$4:$EO$14,((MONTH($A68)-1)*12)+VLOOKUP(CO$4,$DE$6:$DF$17,2)+1))*(VLOOKUP($A68,SatSunCurve,7))*(INDEX(DailyScalarsTable,CO$5/100,MONTH($A68)))*$E68</f>
        <v>0</v>
      </c>
      <c r="CP68" s="1021">
        <f>(VLOOKUP(YEAR($A68),'NY East Load Projections'!$A$4:$EO$14,((MONTH($A68)-1)*12)+VLOOKUP(CP$4,$DE$6:$DF$17,2)+1))*(VLOOKUP($A68,SatSunCurve,7))*(INDEX(DailyScalarsTable,CP$5/100,MONTH($A68)))*$E68</f>
        <v>0</v>
      </c>
      <c r="CQ68" s="1021">
        <f>(VLOOKUP(YEAR($A68),'NY East Load Projections'!$A$4:$EO$14,((MONTH($A68)-1)*12)+VLOOKUP(CQ$4,$DE$6:$DF$17,2)+1))*(VLOOKUP($A68,SatSunCurve,7))*(INDEX(DailyScalarsTable,CQ$5/100,MONTH($A68)))*$E68</f>
        <v>0</v>
      </c>
      <c r="CR68" s="1021">
        <f>(VLOOKUP(YEAR($A68),'NY East Load Projections'!$A$4:$EO$14,((MONTH($A68)-1)*12)+VLOOKUP(CR$4,$DE$6:$DF$17,2)+1))*(VLOOKUP($A68,SatSunCurve,7))*(INDEX(DailyScalarsTable,CR$5/100,MONTH($A68)))*$E68</f>
        <v>0</v>
      </c>
      <c r="CS68" s="1021">
        <f>(VLOOKUP(YEAR($A68),'NY East Load Projections'!$A$4:$EO$14,((MONTH($A68)-1)*12)+VLOOKUP(CS$4,$DE$6:$DF$17,2)+1))*(VLOOKUP($A68,SatSunCurve,7))*(INDEX(DailyScalarsTable,CS$5/100,MONTH($A68)))*$E68</f>
        <v>0</v>
      </c>
      <c r="CT68" s="1021">
        <f>(VLOOKUP(YEAR($A68),'NY East Load Projections'!$A$4:$EO$14,((MONTH($A68)-1)*12)+VLOOKUP(CT$4,$DE$6:$DF$17,2)+1))*(VLOOKUP($A68,SatSunCurve,7))*(INDEX(DailyScalarsTable,CT$5/100,MONTH($A68)))*$E68</f>
        <v>0</v>
      </c>
      <c r="CU68" s="1021">
        <f>(VLOOKUP(YEAR($A68),'NY East Load Projections'!$A$4:$EO$14,((MONTH($A68)-1)*12)+VLOOKUP(CU$4,$DE$6:$DF$17,2)+1))*(VLOOKUP($A68,SatSunCurve,7))*(INDEX(DailyScalarsTable,CU$5/100,MONTH($A68)))*$E68</f>
        <v>0</v>
      </c>
      <c r="CV68" s="1021">
        <f>(VLOOKUP(YEAR($A68),'NY East Load Projections'!$A$4:$EO$14,((MONTH($A68)-1)*12)+VLOOKUP(CV$4,$DE$6:$DF$17,2)+1))*(VLOOKUP($A68,SatSunCurve,7))*(INDEX(DailyScalarsTable,CV$5/100,MONTH($A68)))*$E68</f>
        <v>0</v>
      </c>
      <c r="CW68" s="1021">
        <f>(VLOOKUP(YEAR($A68),'NY East Load Projections'!$A$4:$EO$14,((MONTH($A68)-1)*12)+VLOOKUP(CW$4,$DE$6:$DF$17,2)+1))*(VLOOKUP($A68,SatSunCurve,7))*(INDEX(DailyScalarsTable,CW$5/100,MONTH($A68)))*$E68</f>
        <v>0</v>
      </c>
      <c r="CX68" s="1021">
        <f>(VLOOKUP(YEAR($A68),'NY East Load Projections'!$A$4:$EO$14,((MONTH($A68)-1)*12)+VLOOKUP(CX$4,$DE$6:$DF$17,2)+1))*(VLOOKUP($A68,SatSunCurve,7))*(INDEX(DailyScalarsTable,CX$5/100,MONTH($A68)))*$E68</f>
        <v>0</v>
      </c>
      <c r="CY68" s="1021">
        <f>(VLOOKUP(YEAR($A68),'NY East Load Projections'!$A$4:$EO$14,((MONTH($A68)-1)*12)+VLOOKUP(CY$4,$DE$6:$DF$17,2)+1))*(VLOOKUP($A68,SatSunCurve,7))*(INDEX(DailyScalarsTable,CY$5/100,MONTH($A68)))*$E68</f>
        <v>0</v>
      </c>
      <c r="CZ68" s="1021">
        <f>(VLOOKUP(YEAR($A68),'NY East Load Projections'!$A$4:$EO$14,((MONTH($A68)-1)*12)+VLOOKUP(CZ$4,$DE$6:$DF$17,2)+1))*(VLOOKUP($A68,SatSunCurve,7))*(INDEX(DailyScalarsTable,CZ$5/100,MONTH($A68)))*$E68</f>
        <v>0</v>
      </c>
      <c r="DA68" s="1021">
        <f>(VLOOKUP(YEAR($A68),'NY East Load Projections'!$A$4:$EO$14,((MONTH($A68)-1)*12)+VLOOKUP(DA$4,$DE$6:$DF$17,2)+1))*(VLOOKUP($A68,SatSunCurve,7))*(INDEX(DailyScalarsTable,DA$5/100,MONTH($A68)))*$E68</f>
        <v>0</v>
      </c>
      <c r="DB68" s="1021">
        <f>(VLOOKUP(YEAR($A68),'NY East Load Projections'!$A$4:$EO$14,((MONTH($A68)-1)*12)+VLOOKUP(DB$4,$DE$6:$DF$17,2)+1))*(VLOOKUP($A68,CURVES!$D$9:$T$261,7))*(INDEX(DailyScalarsTable,DB$5/100,MONTH($A68)))*$E68</f>
        <v>0</v>
      </c>
      <c r="DH68" s="1032">
        <f t="shared" si="0"/>
        <v>-1803317.5351269685</v>
      </c>
      <c r="DI68">
        <f ca="1">CALC!J88</f>
        <v>0.64281264888236933</v>
      </c>
      <c r="DJ68" s="1029">
        <f t="shared" ca="1" si="1"/>
        <v>-1159195.3215309917</v>
      </c>
    </row>
    <row r="69" spans="1:114" x14ac:dyDescent="0.25">
      <c r="A69" s="244">
        <v>38808</v>
      </c>
      <c r="B69" s="13">
        <v>20</v>
      </c>
      <c r="C69" s="210">
        <v>5</v>
      </c>
      <c r="D69" s="210">
        <v>5</v>
      </c>
      <c r="E69" s="210">
        <v>0</v>
      </c>
      <c r="F69" s="13">
        <v>30</v>
      </c>
      <c r="H69" s="1021">
        <f>(VLOOKUP(YEAR($A69),'NY East Load Projections'!$A$4:$EO$14,((MONTH($A69)-1)*12)+VLOOKUP(H$4,$DE$6:$DF$17,2)+1))*(VLOOKUP($A69,CURVES!$D$9:$K$261,7))*(INDEX(DailyScalarsTable,H$5/100,MONTH($A69)))*$B69</f>
        <v>-31043.367959672356</v>
      </c>
      <c r="I69" s="1021">
        <f>(VLOOKUP(YEAR($A69),'NY East Load Projections'!$A$4:$EO$14,((MONTH($A69)-1)*12)+VLOOKUP(I$4,$DE$6:$DF$17,2)+1))*(VLOOKUP($A69,CURVES!$D$9:$K$261,7))*(INDEX(DailyScalarsTable,I$5/100,MONTH($A69)))*$B69</f>
        <v>-29443.758817450765</v>
      </c>
      <c r="J69" s="1021">
        <f>(VLOOKUP(YEAR($A69),'NY East Load Projections'!$A$4:$EO$14,((MONTH($A69)-1)*12)+VLOOKUP(J$4,$DE$6:$DF$17,2)+1))*(VLOOKUP($A69,CURVES!$D$9:$K$261,7))*(INDEX(DailyScalarsTable,J$5/100,MONTH($A69)))*$B69</f>
        <v>-28260.033846086499</v>
      </c>
      <c r="K69" s="1021">
        <f>(VLOOKUP(YEAR($A69),'NY East Load Projections'!$A$4:$EO$14,((MONTH($A69)-1)*12)+VLOOKUP(K$4,$DE$6:$DF$17,2)+1))*(VLOOKUP($A69,CURVES!$D$9:$K$261,7))*(INDEX(DailyScalarsTable,K$5/100,MONTH($A69)))*$B69</f>
        <v>-28276.726037401881</v>
      </c>
      <c r="L69" s="1021">
        <f>(VLOOKUP(YEAR($A69),'NY East Load Projections'!$A$4:$EO$14,((MONTH($A69)-1)*12)+VLOOKUP(L$4,$DE$6:$DF$17,2)+1))*(VLOOKUP($A69,CURVES!$D$9:$K$261,7))*(INDEX(DailyScalarsTable,L$5/100,MONTH($A69)))*$B69</f>
        <v>-33103.277236210713</v>
      </c>
      <c r="M69" s="1021">
        <f>(VLOOKUP(YEAR($A69),'NY East Load Projections'!$A$4:$EO$14,((MONTH($A69)-1)*12)+VLOOKUP(M$4,$DE$6:$DF$17,2)+1))*(VLOOKUP($A69,CURVES!$D$9:$K$261,7))*(INDEX(DailyScalarsTable,M$5/100,MONTH($A69)))*$B69</f>
        <v>-38132.16753198934</v>
      </c>
      <c r="N69" s="1021">
        <f>(VLOOKUP(YEAR($A69),'NY East Load Projections'!$A$4:$EO$14,((MONTH($A69)-1)*12)+VLOOKUP(N$4,$DE$6:$DF$17,2)+1))*(VLOOKUP($A69,CURVES!$D$9:$K$261,7))*(INDEX(DailyScalarsTable,N$5/100,MONTH($A69)))*$B69</f>
        <v>-54387.549143410397</v>
      </c>
      <c r="O69" s="1021">
        <f>(VLOOKUP(YEAR($A69),'NY East Load Projections'!$A$4:$EO$14,((MONTH($A69)-1)*12)+VLOOKUP(O$4,$DE$6:$DF$17,2)+1))*(VLOOKUP($A69,CURVES!$D$9:$K$261,3))*(INDEX(DailyScalarsTable,O$5/100,MONTH($A69)))*$B69</f>
        <v>-66583.639427044604</v>
      </c>
      <c r="P69" s="1021">
        <f>(VLOOKUP(YEAR($A69),'NY East Load Projections'!$A$4:$EO$14,((MONTH($A69)-1)*12)+VLOOKUP(P$4,$DE$6:$DF$17,2)+1))*(VLOOKUP($A69,CURVES!$D$9:$K$261,3))*(INDEX(DailyScalarsTable,P$5/100,MONTH($A69)))*$B69</f>
        <v>-75370.440792333553</v>
      </c>
      <c r="Q69" s="1021">
        <f>(VLOOKUP(YEAR($A69),'NY East Load Projections'!$A$4:$EO$14,((MONTH($A69)-1)*12)+VLOOKUP(Q$4,$DE$6:$DF$17,2)+1))*(VLOOKUP($A69,CURVES!$D$9:$K$261,3))*(INDEX(DailyScalarsTable,Q$5/100,MONTH($A69)))*$B69</f>
        <v>-72231.688688825423</v>
      </c>
      <c r="R69" s="1021">
        <f>(VLOOKUP(YEAR($A69),'NY East Load Projections'!$A$4:$EO$14,((MONTH($A69)-1)*12)+VLOOKUP(R$4,$DE$6:$DF$17,2)+1))*(VLOOKUP($A69,CURVES!$D$9:$K$261,3))*(INDEX(DailyScalarsTable,R$5/100,MONTH($A69)))*$B69</f>
        <v>-73720.815575725122</v>
      </c>
      <c r="S69" s="1021">
        <f>(VLOOKUP(YEAR($A69),'NY East Load Projections'!$A$4:$EO$14,((MONTH($A69)-1)*12)+VLOOKUP(S$4,$DE$6:$DF$17,2)+1))*(VLOOKUP($A69,CURVES!$D$9:$K$261,3))*(INDEX(DailyScalarsTable,S$5/100,MONTH($A69)))*$B69</f>
        <v>-73865.370362747548</v>
      </c>
      <c r="T69" s="1021">
        <f>(VLOOKUP(YEAR($A69),'NY East Load Projections'!$A$4:$EO$14,((MONTH($A69)-1)*12)+VLOOKUP(T$4,$DE$6:$DF$17,2)+1))*(VLOOKUP($A69,CURVES!$D$9:$K$261,3))*(INDEX(DailyScalarsTable,T$5/100,MONTH($A69)))*$B69</f>
        <v>-69635.481114315393</v>
      </c>
      <c r="U69" s="1021">
        <f>(VLOOKUP(YEAR($A69),'NY East Load Projections'!$A$4:$EO$14,((MONTH($A69)-1)*12)+VLOOKUP(U$4,$DE$6:$DF$17,2)+1))*(VLOOKUP($A69,CURVES!$D$9:$K$261,3))*(INDEX(DailyScalarsTable,U$5/100,MONTH($A69)))*$B69</f>
        <v>-69710.463501225691</v>
      </c>
      <c r="V69" s="1021">
        <f>(VLOOKUP(YEAR($A69),'NY East Load Projections'!$A$4:$EO$14,((MONTH($A69)-1)*12)+VLOOKUP(V$4,$DE$6:$DF$17,2)+1))*(VLOOKUP($A69,CURVES!$D$9:$K$261,3))*(INDEX(DailyScalarsTable,V$5/100,MONTH($A69)))*$B69</f>
        <v>-65383.538703636194</v>
      </c>
      <c r="W69" s="1021">
        <f>(VLOOKUP(YEAR($A69),'NY East Load Projections'!$A$4:$EO$14,((MONTH($A69)-1)*12)+VLOOKUP(W$4,$DE$6:$DF$17,2)+1))*(VLOOKUP($A69,CURVES!$D$9:$K$261,3))*(INDEX(DailyScalarsTable,W$5/100,MONTH($A69)))*$B69</f>
        <v>-61108.439967587685</v>
      </c>
      <c r="X69" s="1021">
        <f>(VLOOKUP(YEAR($A69),'NY East Load Projections'!$A$4:$EO$14,((MONTH($A69)-1)*12)+VLOOKUP(X$4,$DE$6:$DF$17,2)+1))*(VLOOKUP($A69,CURVES!$D$9:$K$261,3))*(INDEX(DailyScalarsTable,X$5/100,MONTH($A69)))*$B69</f>
        <v>-55930.941564845998</v>
      </c>
      <c r="Y69" s="1021">
        <f>(VLOOKUP(YEAR($A69),'NY East Load Projections'!$A$4:$EO$14,((MONTH($A69)-1)*12)+VLOOKUP(Y$4,$DE$6:$DF$17,2)+1))*(VLOOKUP($A69,CURVES!$D$9:$K$261,3))*(INDEX(DailyScalarsTable,Y$5/100,MONTH($A69)))*$B69</f>
        <v>-55203.530976913811</v>
      </c>
      <c r="Z69" s="1021">
        <f>(VLOOKUP(YEAR($A69),'NY East Load Projections'!$A$4:$EO$14,((MONTH($A69)-1)*12)+VLOOKUP(Z$4,$DE$6:$DF$17,2)+1))*(VLOOKUP($A69,CURVES!$D$9:$K$261,3))*(INDEX(DailyScalarsTable,Z$5/100,MONTH($A69)))*$B69</f>
        <v>-54907.600069163309</v>
      </c>
      <c r="AA69" s="1021">
        <f>(VLOOKUP(YEAR($A69),'NY East Load Projections'!$A$4:$EO$14,((MONTH($A69)-1)*12)+VLOOKUP(AA$4,$DE$6:$DF$17,2)+1))*(VLOOKUP($A69,CURVES!$D$9:$K$261,3))*(INDEX(DailyScalarsTable,AA$5/100,MONTH($A69)))*$B69</f>
        <v>-60225.043897589392</v>
      </c>
      <c r="AB69" s="1021">
        <f>(VLOOKUP(YEAR($A69),'NY East Load Projections'!$A$4:$EO$14,((MONTH($A69)-1)*12)+VLOOKUP(AB$4,$DE$6:$DF$17,2)+1))*(VLOOKUP($A69,CURVES!$D$9:$K$261,3))*(INDEX(DailyScalarsTable,AB$5/100,MONTH($A69)))*$B69</f>
        <v>-66041.557193209461</v>
      </c>
      <c r="AC69" s="1021">
        <f>(VLOOKUP(YEAR($A69),'NY East Load Projections'!$A$4:$EO$14,((MONTH($A69)-1)*12)+VLOOKUP(AC$4,$DE$6:$DF$17,2)+1))*(VLOOKUP($A69,CURVES!$D$9:$K$261,3))*(INDEX(DailyScalarsTable,AC$5/100,MONTH($A69)))*$B69</f>
        <v>-56272.390302110005</v>
      </c>
      <c r="AD69" s="1021">
        <f>(VLOOKUP(YEAR($A69),'NY East Load Projections'!$A$4:$EO$14,((MONTH($A69)-1)*12)+VLOOKUP(AD$4,$DE$6:$DF$17,2)+1))*(VLOOKUP($A69,CURVES!$D$9:$K$261,3))*(INDEX(DailyScalarsTable,AD$5/100,MONTH($A69)))*$B69</f>
        <v>-49713.263545082875</v>
      </c>
      <c r="AE69" s="1021">
        <f>(VLOOKUP(YEAR($A69),'NY East Load Projections'!$A$4:$EO$14,((MONTH($A69)-1)*12)+VLOOKUP(AE$4,$DE$6:$DF$17,2)+1))*(VLOOKUP($A69,CURVES!$D$9:$K$261,7))*(INDEX(DailyScalarsTable,AE$5/100,MONTH($A69)))*$B69</f>
        <v>-36954.442300607807</v>
      </c>
      <c r="AF69" s="1021"/>
      <c r="AG69" s="1021">
        <f>(VLOOKUP(YEAR($A69),'NY East Load Projections'!$A$4:$EO$14,((MONTH($A69)-1)*12)+VLOOKUP(AG$4,$DE$6:$DF$17,2)+1))*(VLOOKUP($A69,CURVES!$D$9:$T$261,7))*(INDEX(DailyScalarsTable,AG$5/100,MONTH($A69)))*$C69</f>
        <v>-7927.197203532085</v>
      </c>
      <c r="AH69" s="1021">
        <f>(VLOOKUP(YEAR($A69),'NY East Load Projections'!$A$4:$EO$14,((MONTH($A69)-1)*12)+VLOOKUP(AH$4,$DE$6:$DF$17,2)+1))*(VLOOKUP($A69,CURVES!$D$9:$T$261,7))*(INDEX(DailyScalarsTable,AH$5/100,MONTH($A69)))*$C69</f>
        <v>-7518.7229318153004</v>
      </c>
      <c r="AI69" s="1021">
        <f>(VLOOKUP(YEAR($A69),'NY East Load Projections'!$A$4:$EO$14,((MONTH($A69)-1)*12)+VLOOKUP(AI$4,$DE$6:$DF$17,2)+1))*(VLOOKUP($A69,CURVES!$D$9:$T$261,7))*(INDEX(DailyScalarsTable,AI$5/100,MONTH($A69)))*$C69</f>
        <v>-7216.4483430870423</v>
      </c>
      <c r="AJ69" s="1021">
        <f>(VLOOKUP(YEAR($A69),'NY East Load Projections'!$A$4:$EO$14,((MONTH($A69)-1)*12)+VLOOKUP(AJ$4,$DE$6:$DF$17,2)+1))*(VLOOKUP($A69,CURVES!$D$9:$T$261,7))*(INDEX(DailyScalarsTable,AJ$5/100,MONTH($A69)))*$C69</f>
        <v>-7220.7108410379096</v>
      </c>
      <c r="AK69" s="1021">
        <f>(VLOOKUP(YEAR($A69),'NY East Load Projections'!$A$4:$EO$14,((MONTH($A69)-1)*12)+VLOOKUP(AK$4,$DE$6:$DF$17,2)+1))*(VLOOKUP($A69,CURVES!$D$9:$T$261,7))*(INDEX(DailyScalarsTable,AK$5/100,MONTH($A69)))*$C69</f>
        <v>-7870.5404647566102</v>
      </c>
      <c r="AL69" s="1021">
        <f>(VLOOKUP(YEAR($A69),'NY East Load Projections'!$A$4:$EO$14,((MONTH($A69)-1)*12)+VLOOKUP(AL$4,$DE$6:$DF$17,2)+1))*(VLOOKUP($A69,CURVES!$D$9:$T$261,7))*(INDEX(DailyScalarsTable,AL$5/100,MONTH($A69)))*$C69</f>
        <v>-9066.1950304155071</v>
      </c>
      <c r="AM69" s="1021">
        <f>(VLOOKUP(YEAR($A69),'NY East Load Projections'!$A$4:$EO$14,((MONTH($A69)-1)*12)+VLOOKUP(AM$4,$DE$6:$DF$17,2)+1))*(VLOOKUP($A69,CURVES!$D$9:$T$261,7))*(INDEX(DailyScalarsTable,AM$5/100,MONTH($A69)))*$C69</f>
        <v>-12931.028044676752</v>
      </c>
      <c r="AN69" s="1021">
        <f>(VLOOKUP(YEAR($A69),'NY East Load Projections'!$A$4:$EO$14,((MONTH($A69)-1)*12)+VLOOKUP(AN$4,$DE$6:$DF$17,2)+1))*(VLOOKUP($A69,SatSunCurve,3))*(INDEX(DailyScalarsTable,AN$5/100,MONTH($A69)))*$C69</f>
        <v>-10993.290385669445</v>
      </c>
      <c r="AO69" s="1021">
        <f>(VLOOKUP(YEAR($A69),'NY East Load Projections'!$A$4:$EO$14,((MONTH($A69)-1)*12)+VLOOKUP(AO$4,$DE$6:$DF$17,2)+1))*(VLOOKUP($A69,SatSunCurve,3))*(INDEX(DailyScalarsTable,AO$5/100,MONTH($A69)))*$C69</f>
        <v>-11948.654423679687</v>
      </c>
      <c r="AP69" s="1021">
        <f>(VLOOKUP(YEAR($A69),'NY East Load Projections'!$A$4:$EO$14,((MONTH($A69)-1)*12)+VLOOKUP(AP$4,$DE$6:$DF$17,2)+1))*(VLOOKUP($A69,SatSunCurve,3))*(INDEX(DailyScalarsTable,AP$5/100,MONTH($A69)))*$C69</f>
        <v>-11451.060621492041</v>
      </c>
      <c r="AQ69" s="1021">
        <f>(VLOOKUP(YEAR($A69),'NY East Load Projections'!$A$4:$EO$14,((MONTH($A69)-1)*12)+VLOOKUP(AQ$4,$DE$6:$DF$17,2)+1))*(VLOOKUP($A69,SatSunCurve,3))*(INDEX(DailyScalarsTable,AQ$5/100,MONTH($A69)))*$C69</f>
        <v>-11687.135432485906</v>
      </c>
      <c r="AR69" s="1021">
        <f>(VLOOKUP(YEAR($A69),'NY East Load Projections'!$A$4:$EO$14,((MONTH($A69)-1)*12)+VLOOKUP(AR$4,$DE$6:$DF$17,2)+1))*(VLOOKUP($A69,SatSunCurve,3))*(INDEX(DailyScalarsTable,AR$5/100,MONTH($A69)))*$C69</f>
        <v>-11710.052045116292</v>
      </c>
      <c r="AS69" s="1021">
        <f>(VLOOKUP(YEAR($A69),'NY East Load Projections'!$A$4:$EO$14,((MONTH($A69)-1)*12)+VLOOKUP(AS$4,$DE$6:$DF$17,2)+1))*(VLOOKUP($A69,SatSunCurve,3))*(INDEX(DailyScalarsTable,AS$5/100,MONTH($A69)))*$C69</f>
        <v>-10815.065861810574</v>
      </c>
      <c r="AT69" s="1021">
        <f>(VLOOKUP(YEAR($A69),'NY East Load Projections'!$A$4:$EO$14,((MONTH($A69)-1)*12)+VLOOKUP(AT$4,$DE$6:$DF$17,2)+1))*(VLOOKUP($A69,SatSunCurve,3))*(INDEX(DailyScalarsTable,AT$5/100,MONTH($A69)))*$C69</f>
        <v>-10826.711354021354</v>
      </c>
      <c r="AU69" s="1021">
        <f>(VLOOKUP(YEAR($A69),'NY East Load Projections'!$A$4:$EO$14,((MONTH($A69)-1)*12)+VLOOKUP(AU$4,$DE$6:$DF$17,2)+1))*(VLOOKUP($A69,SatSunCurve,3))*(INDEX(DailyScalarsTable,AU$5/100,MONTH($A69)))*$C69</f>
        <v>-10154.69795056385</v>
      </c>
      <c r="AV69" s="1021">
        <f>(VLOOKUP(YEAR($A69),'NY East Load Projections'!$A$4:$EO$14,((MONTH($A69)-1)*12)+VLOOKUP(AV$4,$DE$6:$DF$17,2)+1))*(VLOOKUP($A69,SatSunCurve,3))*(INDEX(DailyScalarsTable,AV$5/100,MONTH($A69)))*$C69</f>
        <v>-9490.7336373108628</v>
      </c>
      <c r="AW69" s="1021">
        <f>(VLOOKUP(YEAR($A69),'NY East Load Projections'!$A$4:$EO$14,((MONTH($A69)-1)*12)+VLOOKUP(AW$4,$DE$6:$DF$17,2)+1))*(VLOOKUP($A69,SatSunCurve,3))*(INDEX(DailyScalarsTable,AW$5/100,MONTH($A69)))*$C69</f>
        <v>-8798.5638411323125</v>
      </c>
      <c r="AX69" s="1021">
        <f>(VLOOKUP(YEAR($A69),'NY East Load Projections'!$A$4:$EO$14,((MONTH($A69)-1)*12)+VLOOKUP(AX$4,$DE$6:$DF$17,2)+1))*(VLOOKUP($A69,SatSunCurve,3))*(INDEX(DailyScalarsTable,AX$5/100,MONTH($A69)))*$C69</f>
        <v>-8684.1340046666301</v>
      </c>
      <c r="AY69" s="1021">
        <f>(VLOOKUP(YEAR($A69),'NY East Load Projections'!$A$4:$EO$14,((MONTH($A69)-1)*12)+VLOOKUP(AY$4,$DE$6:$DF$17,2)+1))*(VLOOKUP($A69,SatSunCurve,3))*(INDEX(DailyScalarsTable,AY$5/100,MONTH($A69)))*$C69</f>
        <v>-8637.5807568299533</v>
      </c>
      <c r="AZ69" s="1021">
        <f>(VLOOKUP(YEAR($A69),'NY East Load Projections'!$A$4:$EO$14,((MONTH($A69)-1)*12)+VLOOKUP(AZ$4,$DE$6:$DF$17,2)+1))*(VLOOKUP($A69,SatSunCurve,3))*(INDEX(DailyScalarsTable,AZ$5/100,MONTH($A69)))*$C69</f>
        <v>-9474.0742555456636</v>
      </c>
      <c r="BA69" s="1021">
        <f>(VLOOKUP(YEAR($A69),'NY East Load Projections'!$A$4:$EO$14,((MONTH($A69)-1)*12)+VLOOKUP(BA$4,$DE$6:$DF$17,2)+1))*(VLOOKUP($A69,SatSunCurve,3))*(INDEX(DailyScalarsTable,BA$5/100,MONTH($A69)))*$C69</f>
        <v>-11195.606049939648</v>
      </c>
      <c r="BB69" s="1021">
        <f>(VLOOKUP(YEAR($A69),'NY East Load Projections'!$A$4:$EO$14,((MONTH($A69)-1)*12)+VLOOKUP(BB$4,$DE$6:$DF$17,2)+1))*(VLOOKUP($A69,SatSunCurve,3))*(INDEX(DailyScalarsTable,BB$5/100,MONTH($A69)))*$C69</f>
        <v>-9539.5011881344071</v>
      </c>
      <c r="BC69" s="1021">
        <f>(VLOOKUP(YEAR($A69),'NY East Load Projections'!$A$4:$EO$14,((MONTH($A69)-1)*12)+VLOOKUP(BC$4,$DE$6:$DF$17,2)+1))*(VLOOKUP($A69,SatSunCurve,3))*(INDEX(DailyScalarsTable,BC$5/100,MONTH($A69)))*$C69</f>
        <v>-8427.5740573361545</v>
      </c>
      <c r="BD69" s="1021">
        <f>(VLOOKUP(YEAR($A69),'NY East Load Projections'!$A$4:$EO$14,((MONTH($A69)-1)*12)+VLOOKUP(BD$4,$DE$6:$DF$17,2)+1))*(VLOOKUP($A69,CURVES!$D$9:$T$261,7))*(INDEX(DailyScalarsTable,BD$5/100,MONTH($A69)))*$C69</f>
        <v>-9021.3254476251441</v>
      </c>
      <c r="BE69" s="1021"/>
      <c r="BF69" s="1021">
        <f>(VLOOKUP(YEAR($A69),'NY East Load Projections'!$A$4:$EO$14,((MONTH($A69)-1)*12)+VLOOKUP(BF$4,$DE$6:$DF$17,2)+1))*(VLOOKUP($A69,CURVES!$D$9:$T$261,7))*(INDEX(DailyScalarsTable,BF$5/100,MONTH($A69)))*$D69</f>
        <v>-7927.197203532085</v>
      </c>
      <c r="BG69" s="1021">
        <f>(VLOOKUP(YEAR($A69),'NY East Load Projections'!$A$4:$EO$14,((MONTH($A69)-1)*12)+VLOOKUP(BG$4,$DE$6:$DF$17,2)+1))*(VLOOKUP($A69,CURVES!$D$9:$T$261,7))*(INDEX(DailyScalarsTable,BG$5/100,MONTH($A69)))*$D69</f>
        <v>-7518.7229318153004</v>
      </c>
      <c r="BH69" s="1021">
        <f>(VLOOKUP(YEAR($A69),'NY East Load Projections'!$A$4:$EO$14,((MONTH($A69)-1)*12)+VLOOKUP(BH$4,$DE$6:$DF$17,2)+1))*(VLOOKUP($A69,CURVES!$D$9:$T$261,7))*(INDEX(DailyScalarsTable,BH$5/100,MONTH($A69)))*$D69</f>
        <v>-7216.4483430870423</v>
      </c>
      <c r="BI69" s="1021">
        <f>(VLOOKUP(YEAR($A69),'NY East Load Projections'!$A$4:$EO$14,((MONTH($A69)-1)*12)+VLOOKUP(BI$4,$DE$6:$DF$17,2)+1))*(VLOOKUP($A69,CURVES!$D$9:$T$261,7))*(INDEX(DailyScalarsTable,BI$5/100,MONTH($A69)))*$D69</f>
        <v>-7220.7108410379096</v>
      </c>
      <c r="BJ69" s="1021">
        <f>(VLOOKUP(YEAR($A69),'NY East Load Projections'!$A$4:$EO$14,((MONTH($A69)-1)*12)+VLOOKUP(BJ$4,$DE$6:$DF$17,2)+1))*(VLOOKUP($A69,CURVES!$D$9:$T$261,7))*(INDEX(DailyScalarsTable,BJ$5/100,MONTH($A69)))*$D69</f>
        <v>-7870.5404647566102</v>
      </c>
      <c r="BK69" s="1021">
        <f>(VLOOKUP(YEAR($A69),'NY East Load Projections'!$A$4:$EO$14,((MONTH($A69)-1)*12)+VLOOKUP(BK$4,$DE$6:$DF$17,2)+1))*(VLOOKUP($A69,CURVES!$D$9:$T$261,7))*(INDEX(DailyScalarsTable,BK$5/100,MONTH($A69)))*$D69</f>
        <v>-9066.1950304155071</v>
      </c>
      <c r="BL69" s="1021">
        <f>(VLOOKUP(YEAR($A69),'NY East Load Projections'!$A$4:$EO$14,((MONTH($A69)-1)*12)+VLOOKUP(BL$4,$DE$6:$DF$17,2)+1))*(VLOOKUP($A69,CURVES!$D$9:$T$261,7))*(INDEX(DailyScalarsTable,BL$5/100,MONTH($A69)))*$D69</f>
        <v>-12931.028044676752</v>
      </c>
      <c r="BM69" s="1021">
        <f>(VLOOKUP(YEAR($A69),'NY East Load Projections'!$A$4:$EO$14,((MONTH($A69)-1)*12)+VLOOKUP(BM$4,$DE$6:$DF$17,2)+1))*(VLOOKUP($A69,SatSunCurve,7))*(INDEX(DailyScalarsTable,BM$5/100,MONTH($A69)))*$D69</f>
        <v>-10355.835513074024</v>
      </c>
      <c r="BN69" s="1021">
        <f>(VLOOKUP(YEAR($A69),'NY East Load Projections'!$A$4:$EO$14,((MONTH($A69)-1)*12)+VLOOKUP(BN$4,$DE$6:$DF$17,2)+1))*(VLOOKUP($A69,SatSunCurve,7))*(INDEX(DailyScalarsTable,BN$5/100,MONTH($A69)))*$D69</f>
        <v>-11255.801991321274</v>
      </c>
      <c r="BO69" s="1021">
        <f>(VLOOKUP(YEAR($A69),'NY East Load Projections'!$A$4:$EO$14,((MONTH($A69)-1)*12)+VLOOKUP(BO$4,$DE$6:$DF$17,2)+1))*(VLOOKUP($A69,SatSunCurve,7))*(INDEX(DailyScalarsTable,BO$5/100,MONTH($A69)))*$D69</f>
        <v>-10787.061569936817</v>
      </c>
      <c r="BP69" s="1021">
        <f>(VLOOKUP(YEAR($A69),'NY East Load Projections'!$A$4:$EO$14,((MONTH($A69)-1)*12)+VLOOKUP(BP$4,$DE$6:$DF$17,2)+1))*(VLOOKUP($A69,SatSunCurve,7))*(INDEX(DailyScalarsTable,BP$5/100,MONTH($A69)))*$D69</f>
        <v>-11009.447391257379</v>
      </c>
      <c r="BQ69" s="1021">
        <f>(VLOOKUP(YEAR($A69),'NY East Load Projections'!$A$4:$EO$14,((MONTH($A69)-1)*12)+VLOOKUP(BQ$4,$DE$6:$DF$17,2)+1))*(VLOOKUP($A69,SatSunCurve,7))*(INDEX(DailyScalarsTable,BQ$5/100,MONTH($A69)))*$D69</f>
        <v>-11031.035165489786</v>
      </c>
      <c r="BR69" s="1021">
        <f>(VLOOKUP(YEAR($A69),'NY East Load Projections'!$A$4:$EO$14,((MONTH($A69)-1)*12)+VLOOKUP(BR$4,$DE$6:$DF$17,2)+1))*(VLOOKUP($A69,SatSunCurve,7))*(INDEX(DailyScalarsTable,BR$5/100,MONTH($A69)))*$D69</f>
        <v>-10187.945482998555</v>
      </c>
      <c r="BS69" s="1021">
        <f>(VLOOKUP(YEAR($A69),'NY East Load Projections'!$A$4:$EO$14,((MONTH($A69)-1)*12)+VLOOKUP(BS$4,$DE$6:$DF$17,2)+1))*(VLOOKUP($A69,SatSunCurve,7))*(INDEX(DailyScalarsTable,BS$5/100,MONTH($A69)))*$D69</f>
        <v>-10198.915701884143</v>
      </c>
      <c r="BT69" s="1021">
        <f>(VLOOKUP(YEAR($A69),'NY East Load Projections'!$A$4:$EO$14,((MONTH($A69)-1)*12)+VLOOKUP(BT$4,$DE$6:$DF$17,2)+1))*(VLOOKUP($A69,SatSunCurve,7))*(INDEX(DailyScalarsTable,BT$5/100,MONTH($A69)))*$D69</f>
        <v>-9565.869541486265</v>
      </c>
      <c r="BU69" s="1021">
        <f>(VLOOKUP(YEAR($A69),'NY East Load Projections'!$A$4:$EO$14,((MONTH($A69)-1)*12)+VLOOKUP(BU$4,$DE$6:$DF$17,2)+1))*(VLOOKUP($A69,SatSunCurve,7))*(INDEX(DailyScalarsTable,BU$5/100,MONTH($A69)))*$D69</f>
        <v>-8940.4057382593128</v>
      </c>
      <c r="BV69" s="1021">
        <f>(VLOOKUP(YEAR($A69),'NY East Load Projections'!$A$4:$EO$14,((MONTH($A69)-1)*12)+VLOOKUP(BV$4,$DE$6:$DF$17,2)+1))*(VLOOKUP($A69,SatSunCurve,7))*(INDEX(DailyScalarsTable,BV$5/100,MONTH($A69)))*$D69</f>
        <v>-8288.3719699448666</v>
      </c>
      <c r="BW69" s="1021">
        <f>(VLOOKUP(YEAR($A69),'NY East Load Projections'!$A$4:$EO$14,((MONTH($A69)-1)*12)+VLOOKUP(BW$4,$DE$6:$DF$17,2)+1))*(VLOOKUP($A69,SatSunCurve,7))*(INDEX(DailyScalarsTable,BW$5/100,MONTH($A69)))*$D69</f>
        <v>-8180.577440495219</v>
      </c>
      <c r="BX69" s="1021">
        <f>(VLOOKUP(YEAR($A69),'NY East Load Projections'!$A$4:$EO$14,((MONTH($A69)-1)*12)+VLOOKUP(BX$4,$DE$6:$DF$17,2)+1))*(VLOOKUP($A69,SatSunCurve,7))*(INDEX(DailyScalarsTable,BX$5/100,MONTH($A69)))*$D69</f>
        <v>-8136.7236205484223</v>
      </c>
      <c r="BY69" s="1021">
        <f>(VLOOKUP(YEAR($A69),'NY East Load Projections'!$A$4:$EO$14,((MONTH($A69)-1)*12)+VLOOKUP(BY$4,$DE$6:$DF$17,2)+1))*(VLOOKUP($A69,SatSunCurve,7))*(INDEX(DailyScalarsTable,BY$5/100,MONTH($A69)))*$D69</f>
        <v>-8924.7123642777806</v>
      </c>
      <c r="BZ69" s="1021">
        <f>(VLOOKUP(YEAR($A69),'NY East Load Projections'!$A$4:$EO$14,((MONTH($A69)-1)*12)+VLOOKUP(BZ$4,$DE$6:$DF$17,2)+1))*(VLOOKUP($A69,SatSunCurve,7))*(INDEX(DailyScalarsTable,BZ$5/100,MONTH($A69)))*$D69</f>
        <v>-10546.419739215426</v>
      </c>
      <c r="CA69" s="1021">
        <f>(VLOOKUP(YEAR($A69),'NY East Load Projections'!$A$4:$EO$14,((MONTH($A69)-1)*12)+VLOOKUP(CA$4,$DE$6:$DF$17,2)+1))*(VLOOKUP($A69,SatSunCurve,7))*(INDEX(DailyScalarsTable,CA$5/100,MONTH($A69)))*$D69</f>
        <v>-8986.3454630356573</v>
      </c>
      <c r="CB69" s="1021">
        <f>(VLOOKUP(YEAR($A69),'NY East Load Projections'!$A$4:$EO$14,((MONTH($A69)-1)*12)+VLOOKUP(CB$4,$DE$6:$DF$17,2)+1))*(VLOOKUP($A69,SatSunCurve,7))*(INDEX(DailyScalarsTable,CB$5/100,MONTH($A69)))*$D69</f>
        <v>-7938.8943301081044</v>
      </c>
      <c r="CC69" s="1021">
        <f>(VLOOKUP(YEAR($A69),'NY East Load Projections'!$A$4:$EO$14,((MONTH($A69)-1)*12)+VLOOKUP(CC$4,$DE$6:$DF$17,2)+1))*(VLOOKUP($A69,CURVES!$D$9:$T$261,7))*(INDEX(DailyScalarsTable,CC$5/100,MONTH($A69)))*$D69</f>
        <v>-9021.3254476251441</v>
      </c>
      <c r="CE69" s="1021">
        <f>(VLOOKUP(YEAR($A69),'NY East Load Projections'!$A$4:$EO$14,((MONTH($A69)-1)*12)+VLOOKUP(CE$4,$DE$6:$DF$17,2)+1))*(VLOOKUP($A69,CURVES!$D$9:$T$261,7))*(INDEX(DailyScalarsTable,CE$5/100,MONTH($A69)))*$E69</f>
        <v>0</v>
      </c>
      <c r="CF69" s="1021">
        <f>(VLOOKUP(YEAR($A69),'NY East Load Projections'!$A$4:$EO$14,((MONTH($A69)-1)*12)+VLOOKUP(CF$4,$DE$6:$DF$17,2)+1))*(VLOOKUP($A69,CURVES!$D$9:$T$261,7))*(INDEX(DailyScalarsTable,CF$5/100,MONTH($A69)))*$E69</f>
        <v>0</v>
      </c>
      <c r="CG69" s="1021">
        <f>(VLOOKUP(YEAR($A69),'NY East Load Projections'!$A$4:$EO$14,((MONTH($A69)-1)*12)+VLOOKUP(CG$4,$DE$6:$DF$17,2)+1))*(VLOOKUP($A69,CURVES!$D$9:$T$261,7))*(INDEX(DailyScalarsTable,CG$5/100,MONTH($A69)))*$E69</f>
        <v>0</v>
      </c>
      <c r="CH69" s="1021">
        <f>(VLOOKUP(YEAR($A69),'NY East Load Projections'!$A$4:$EO$14,((MONTH($A69)-1)*12)+VLOOKUP(CH$4,$DE$6:$DF$17,2)+1))*(VLOOKUP($A69,CURVES!$D$9:$T$261,7))*(INDEX(DailyScalarsTable,CH$5/100,MONTH($A69)))*$E69</f>
        <v>0</v>
      </c>
      <c r="CI69" s="1021">
        <f>(VLOOKUP(YEAR($A69),'NY East Load Projections'!$A$4:$EO$14,((MONTH($A69)-1)*12)+VLOOKUP(CI$4,$DE$6:$DF$17,2)+1))*(VLOOKUP($A69,CURVES!$D$9:$T$261,7))*(INDEX(DailyScalarsTable,CI$5/100,MONTH($A69)))*$E69</f>
        <v>0</v>
      </c>
      <c r="CJ69" s="1021">
        <f>(VLOOKUP(YEAR($A69),'NY East Load Projections'!$A$4:$EO$14,((MONTH($A69)-1)*12)+VLOOKUP(CJ$4,$DE$6:$DF$17,2)+1))*(VLOOKUP($A69,CURVES!$D$9:$T$261,7))*(INDEX(DailyScalarsTable,CJ$5/100,MONTH($A69)))*$E69</f>
        <v>0</v>
      </c>
      <c r="CK69" s="1021">
        <f>(VLOOKUP(YEAR($A69),'NY East Load Projections'!$A$4:$EO$14,((MONTH($A69)-1)*12)+VLOOKUP(CK$4,$DE$6:$DF$17,2)+1))*(VLOOKUP($A69,CURVES!$D$9:$T$261,7))*(INDEX(DailyScalarsTable,CK$5/100,MONTH($A69)))*$E69</f>
        <v>0</v>
      </c>
      <c r="CL69" s="1021">
        <f>(VLOOKUP(YEAR($A69),'NY East Load Projections'!$A$4:$EO$14,((MONTH($A69)-1)*12)+VLOOKUP(CL$4,$DE$6:$DF$17,2)+1))*(VLOOKUP($A69,SatSunCurve,7))*(INDEX(DailyScalarsTable,CL$5/100,MONTH($A69)))*$E69</f>
        <v>0</v>
      </c>
      <c r="CM69" s="1021">
        <f>(VLOOKUP(YEAR($A69),'NY East Load Projections'!$A$4:$EO$14,((MONTH($A69)-1)*12)+VLOOKUP(CM$4,$DE$6:$DF$17,2)+1))*(VLOOKUP($A69,SatSunCurve,7))*(INDEX(DailyScalarsTable,CM$5/100,MONTH($A69)))*$E69</f>
        <v>0</v>
      </c>
      <c r="CN69" s="1021">
        <f>(VLOOKUP(YEAR($A69),'NY East Load Projections'!$A$4:$EO$14,((MONTH($A69)-1)*12)+VLOOKUP(CN$4,$DE$6:$DF$17,2)+1))*(VLOOKUP($A69,SatSunCurve,7))*(INDEX(DailyScalarsTable,CN$5/100,MONTH($A69)))*$E69</f>
        <v>0</v>
      </c>
      <c r="CO69" s="1021">
        <f>(VLOOKUP(YEAR($A69),'NY East Load Projections'!$A$4:$EO$14,((MONTH($A69)-1)*12)+VLOOKUP(CO$4,$DE$6:$DF$17,2)+1))*(VLOOKUP($A69,SatSunCurve,7))*(INDEX(DailyScalarsTable,CO$5/100,MONTH($A69)))*$E69</f>
        <v>0</v>
      </c>
      <c r="CP69" s="1021">
        <f>(VLOOKUP(YEAR($A69),'NY East Load Projections'!$A$4:$EO$14,((MONTH($A69)-1)*12)+VLOOKUP(CP$4,$DE$6:$DF$17,2)+1))*(VLOOKUP($A69,SatSunCurve,7))*(INDEX(DailyScalarsTable,CP$5/100,MONTH($A69)))*$E69</f>
        <v>0</v>
      </c>
      <c r="CQ69" s="1021">
        <f>(VLOOKUP(YEAR($A69),'NY East Load Projections'!$A$4:$EO$14,((MONTH($A69)-1)*12)+VLOOKUP(CQ$4,$DE$6:$DF$17,2)+1))*(VLOOKUP($A69,SatSunCurve,7))*(INDEX(DailyScalarsTable,CQ$5/100,MONTH($A69)))*$E69</f>
        <v>0</v>
      </c>
      <c r="CR69" s="1021">
        <f>(VLOOKUP(YEAR($A69),'NY East Load Projections'!$A$4:$EO$14,((MONTH($A69)-1)*12)+VLOOKUP(CR$4,$DE$6:$DF$17,2)+1))*(VLOOKUP($A69,SatSunCurve,7))*(INDEX(DailyScalarsTable,CR$5/100,MONTH($A69)))*$E69</f>
        <v>0</v>
      </c>
      <c r="CS69" s="1021">
        <f>(VLOOKUP(YEAR($A69),'NY East Load Projections'!$A$4:$EO$14,((MONTH($A69)-1)*12)+VLOOKUP(CS$4,$DE$6:$DF$17,2)+1))*(VLOOKUP($A69,SatSunCurve,7))*(INDEX(DailyScalarsTable,CS$5/100,MONTH($A69)))*$E69</f>
        <v>0</v>
      </c>
      <c r="CT69" s="1021">
        <f>(VLOOKUP(YEAR($A69),'NY East Load Projections'!$A$4:$EO$14,((MONTH($A69)-1)*12)+VLOOKUP(CT$4,$DE$6:$DF$17,2)+1))*(VLOOKUP($A69,SatSunCurve,7))*(INDEX(DailyScalarsTable,CT$5/100,MONTH($A69)))*$E69</f>
        <v>0</v>
      </c>
      <c r="CU69" s="1021">
        <f>(VLOOKUP(YEAR($A69),'NY East Load Projections'!$A$4:$EO$14,((MONTH($A69)-1)*12)+VLOOKUP(CU$4,$DE$6:$DF$17,2)+1))*(VLOOKUP($A69,SatSunCurve,7))*(INDEX(DailyScalarsTable,CU$5/100,MONTH($A69)))*$E69</f>
        <v>0</v>
      </c>
      <c r="CV69" s="1021">
        <f>(VLOOKUP(YEAR($A69),'NY East Load Projections'!$A$4:$EO$14,((MONTH($A69)-1)*12)+VLOOKUP(CV$4,$DE$6:$DF$17,2)+1))*(VLOOKUP($A69,SatSunCurve,7))*(INDEX(DailyScalarsTable,CV$5/100,MONTH($A69)))*$E69</f>
        <v>0</v>
      </c>
      <c r="CW69" s="1021">
        <f>(VLOOKUP(YEAR($A69),'NY East Load Projections'!$A$4:$EO$14,((MONTH($A69)-1)*12)+VLOOKUP(CW$4,$DE$6:$DF$17,2)+1))*(VLOOKUP($A69,SatSunCurve,7))*(INDEX(DailyScalarsTable,CW$5/100,MONTH($A69)))*$E69</f>
        <v>0</v>
      </c>
      <c r="CX69" s="1021">
        <f>(VLOOKUP(YEAR($A69),'NY East Load Projections'!$A$4:$EO$14,((MONTH($A69)-1)*12)+VLOOKUP(CX$4,$DE$6:$DF$17,2)+1))*(VLOOKUP($A69,SatSunCurve,7))*(INDEX(DailyScalarsTable,CX$5/100,MONTH($A69)))*$E69</f>
        <v>0</v>
      </c>
      <c r="CY69" s="1021">
        <f>(VLOOKUP(YEAR($A69),'NY East Load Projections'!$A$4:$EO$14,((MONTH($A69)-1)*12)+VLOOKUP(CY$4,$DE$6:$DF$17,2)+1))*(VLOOKUP($A69,SatSunCurve,7))*(INDEX(DailyScalarsTable,CY$5/100,MONTH($A69)))*$E69</f>
        <v>0</v>
      </c>
      <c r="CZ69" s="1021">
        <f>(VLOOKUP(YEAR($A69),'NY East Load Projections'!$A$4:$EO$14,((MONTH($A69)-1)*12)+VLOOKUP(CZ$4,$DE$6:$DF$17,2)+1))*(VLOOKUP($A69,SatSunCurve,7))*(INDEX(DailyScalarsTable,CZ$5/100,MONTH($A69)))*$E69</f>
        <v>0</v>
      </c>
      <c r="DA69" s="1021">
        <f>(VLOOKUP(YEAR($A69),'NY East Load Projections'!$A$4:$EO$14,((MONTH($A69)-1)*12)+VLOOKUP(DA$4,$DE$6:$DF$17,2)+1))*(VLOOKUP($A69,SatSunCurve,7))*(INDEX(DailyScalarsTable,DA$5/100,MONTH($A69)))*$E69</f>
        <v>0</v>
      </c>
      <c r="DB69" s="1021">
        <f>(VLOOKUP(YEAR($A69),'NY East Load Projections'!$A$4:$EO$14,((MONTH($A69)-1)*12)+VLOOKUP(DB$4,$DE$6:$DF$17,2)+1))*(VLOOKUP($A69,CURVES!$D$9:$T$261,7))*(INDEX(DailyScalarsTable,DB$5/100,MONTH($A69)))*$E69</f>
        <v>0</v>
      </c>
      <c r="DH69" s="1032">
        <f t="shared" si="0"/>
        <v>-1761218.6640581456</v>
      </c>
      <c r="DI69">
        <f ca="1">CALC!J89</f>
        <v>0.63892430376292408</v>
      </c>
      <c r="DJ69" s="1029">
        <f t="shared" ca="1" si="1"/>
        <v>-1125285.408707618</v>
      </c>
    </row>
    <row r="70" spans="1:114" x14ac:dyDescent="0.25">
      <c r="A70" s="244">
        <v>38838</v>
      </c>
      <c r="B70" s="13">
        <v>22</v>
      </c>
      <c r="C70" s="210">
        <v>4</v>
      </c>
      <c r="D70" s="210">
        <v>4</v>
      </c>
      <c r="E70" s="210">
        <v>1</v>
      </c>
      <c r="F70" s="13">
        <v>31</v>
      </c>
      <c r="H70" s="1021">
        <f>(VLOOKUP(YEAR($A70),'NY East Load Projections'!$A$4:$EO$14,((MONTH($A70)-1)*12)+VLOOKUP(H$4,$DE$6:$DF$17,2)+1))*(VLOOKUP($A70,CURVES!$D$9:$K$261,7))*(INDEX(DailyScalarsTable,H$5/100,MONTH($A70)))*$B70</f>
        <v>-38948.832275247456</v>
      </c>
      <c r="I70" s="1021">
        <f>(VLOOKUP(YEAR($A70),'NY East Load Projections'!$A$4:$EO$14,((MONTH($A70)-1)*12)+VLOOKUP(I$4,$DE$6:$DF$17,2)+1))*(VLOOKUP($A70,CURVES!$D$9:$K$261,7))*(INDEX(DailyScalarsTable,I$5/100,MONTH($A70)))*$B70</f>
        <v>-35083.602923700186</v>
      </c>
      <c r="J70" s="1021">
        <f>(VLOOKUP(YEAR($A70),'NY East Load Projections'!$A$4:$EO$14,((MONTH($A70)-1)*12)+VLOOKUP(J$4,$DE$6:$DF$17,2)+1))*(VLOOKUP($A70,CURVES!$D$9:$K$261,7))*(INDEX(DailyScalarsTable,J$5/100,MONTH($A70)))*$B70</f>
        <v>-33202.11562030152</v>
      </c>
      <c r="K70" s="1021">
        <f>(VLOOKUP(YEAR($A70),'NY East Load Projections'!$A$4:$EO$14,((MONTH($A70)-1)*12)+VLOOKUP(K$4,$DE$6:$DF$17,2)+1))*(VLOOKUP($A70,CURVES!$D$9:$K$261,7))*(INDEX(DailyScalarsTable,K$5/100,MONTH($A70)))*$B70</f>
        <v>-32189.793647277227</v>
      </c>
      <c r="L70" s="1021">
        <f>(VLOOKUP(YEAR($A70),'NY East Load Projections'!$A$4:$EO$14,((MONTH($A70)-1)*12)+VLOOKUP(L$4,$DE$6:$DF$17,2)+1))*(VLOOKUP($A70,CURVES!$D$9:$K$261,7))*(INDEX(DailyScalarsTable,L$5/100,MONTH($A70)))*$B70</f>
        <v>-38207.907211469545</v>
      </c>
      <c r="M70" s="1021">
        <f>(VLOOKUP(YEAR($A70),'NY East Load Projections'!$A$4:$EO$14,((MONTH($A70)-1)*12)+VLOOKUP(M$4,$DE$6:$DF$17,2)+1))*(VLOOKUP($A70,CURVES!$D$9:$K$261,7))*(INDEX(DailyScalarsTable,M$5/100,MONTH($A70)))*$B70</f>
        <v>-46324.84524583102</v>
      </c>
      <c r="N70" s="1021">
        <f>(VLOOKUP(YEAR($A70),'NY East Load Projections'!$A$4:$EO$14,((MONTH($A70)-1)*12)+VLOOKUP(N$4,$DE$6:$DF$17,2)+1))*(VLOOKUP($A70,CURVES!$D$9:$K$261,7))*(INDEX(DailyScalarsTable,N$5/100,MONTH($A70)))*$B70</f>
        <v>-55428.372433540339</v>
      </c>
      <c r="O70" s="1021">
        <f>(VLOOKUP(YEAR($A70),'NY East Load Projections'!$A$4:$EO$14,((MONTH($A70)-1)*12)+VLOOKUP(O$4,$DE$6:$DF$17,2)+1))*(VLOOKUP($A70,CURVES!$D$9:$K$261,3))*(INDEX(DailyScalarsTable,O$5/100,MONTH($A70)))*$B70</f>
        <v>-70636.506537779045</v>
      </c>
      <c r="P70" s="1021">
        <f>(VLOOKUP(YEAR($A70),'NY East Load Projections'!$A$4:$EO$14,((MONTH($A70)-1)*12)+VLOOKUP(P$4,$DE$6:$DF$17,2)+1))*(VLOOKUP($A70,CURVES!$D$9:$K$261,3))*(INDEX(DailyScalarsTable,P$5/100,MONTH($A70)))*$B70</f>
        <v>-87131.553439664072</v>
      </c>
      <c r="Q70" s="1021">
        <f>(VLOOKUP(YEAR($A70),'NY East Load Projections'!$A$4:$EO$14,((MONTH($A70)-1)*12)+VLOOKUP(Q$4,$DE$6:$DF$17,2)+1))*(VLOOKUP($A70,CURVES!$D$9:$K$261,3))*(INDEX(DailyScalarsTable,Q$5/100,MONTH($A70)))*$B70</f>
        <v>-88676.972610701923</v>
      </c>
      <c r="R70" s="1021">
        <f>(VLOOKUP(YEAR($A70),'NY East Load Projections'!$A$4:$EO$14,((MONTH($A70)-1)*12)+VLOOKUP(R$4,$DE$6:$DF$17,2)+1))*(VLOOKUP($A70,CURVES!$D$9:$K$261,3))*(INDEX(DailyScalarsTable,R$5/100,MONTH($A70)))*$B70</f>
        <v>-94065.425295559529</v>
      </c>
      <c r="S70" s="1021">
        <f>(VLOOKUP(YEAR($A70),'NY East Load Projections'!$A$4:$EO$14,((MONTH($A70)-1)*12)+VLOOKUP(S$4,$DE$6:$DF$17,2)+1))*(VLOOKUP($A70,CURVES!$D$9:$K$261,3))*(INDEX(DailyScalarsTable,S$5/100,MONTH($A70)))*$B70</f>
        <v>-93354.258951365104</v>
      </c>
      <c r="T70" s="1021">
        <f>(VLOOKUP(YEAR($A70),'NY East Load Projections'!$A$4:$EO$14,((MONTH($A70)-1)*12)+VLOOKUP(T$4,$DE$6:$DF$17,2)+1))*(VLOOKUP($A70,CURVES!$D$9:$K$261,3))*(INDEX(DailyScalarsTable,T$5/100,MONTH($A70)))*$B70</f>
        <v>-91139.598591587332</v>
      </c>
      <c r="U70" s="1021">
        <f>(VLOOKUP(YEAR($A70),'NY East Load Projections'!$A$4:$EO$14,((MONTH($A70)-1)*12)+VLOOKUP(U$4,$DE$6:$DF$17,2)+1))*(VLOOKUP($A70,CURVES!$D$9:$K$261,3))*(INDEX(DailyScalarsTable,U$5/100,MONTH($A70)))*$B70</f>
        <v>-91578.859716640072</v>
      </c>
      <c r="V70" s="1021">
        <f>(VLOOKUP(YEAR($A70),'NY East Load Projections'!$A$4:$EO$14,((MONTH($A70)-1)*12)+VLOOKUP(V$4,$DE$6:$DF$17,2)+1))*(VLOOKUP($A70,CURVES!$D$9:$K$261,3))*(INDEX(DailyScalarsTable,V$5/100,MONTH($A70)))*$B70</f>
        <v>-88829.935256632612</v>
      </c>
      <c r="W70" s="1021">
        <f>(VLOOKUP(YEAR($A70),'NY East Load Projections'!$A$4:$EO$14,((MONTH($A70)-1)*12)+VLOOKUP(W$4,$DE$6:$DF$17,2)+1))*(VLOOKUP($A70,CURVES!$D$9:$K$261,3))*(INDEX(DailyScalarsTable,W$5/100,MONTH($A70)))*$B70</f>
        <v>-85372.525111056224</v>
      </c>
      <c r="X70" s="1021">
        <f>(VLOOKUP(YEAR($A70),'NY East Load Projections'!$A$4:$EO$14,((MONTH($A70)-1)*12)+VLOOKUP(X$4,$DE$6:$DF$17,2)+1))*(VLOOKUP($A70,CURVES!$D$9:$K$261,3))*(INDEX(DailyScalarsTable,X$5/100,MONTH($A70)))*$B70</f>
        <v>-81344.583108961233</v>
      </c>
      <c r="Y70" s="1021">
        <f>(VLOOKUP(YEAR($A70),'NY East Load Projections'!$A$4:$EO$14,((MONTH($A70)-1)*12)+VLOOKUP(Y$4,$DE$6:$DF$17,2)+1))*(VLOOKUP($A70,CURVES!$D$9:$K$261,3))*(INDEX(DailyScalarsTable,Y$5/100,MONTH($A70)))*$B70</f>
        <v>-78174.448709103221</v>
      </c>
      <c r="Z70" s="1021">
        <f>(VLOOKUP(YEAR($A70),'NY East Load Projections'!$A$4:$EO$14,((MONTH($A70)-1)*12)+VLOOKUP(Z$4,$DE$6:$DF$17,2)+1))*(VLOOKUP($A70,CURVES!$D$9:$K$261,3))*(INDEX(DailyScalarsTable,Z$5/100,MONTH($A70)))*$B70</f>
        <v>-67731.653038982782</v>
      </c>
      <c r="AA70" s="1021">
        <f>(VLOOKUP(YEAR($A70),'NY East Load Projections'!$A$4:$EO$14,((MONTH($A70)-1)*12)+VLOOKUP(AA$4,$DE$6:$DF$17,2)+1))*(VLOOKUP($A70,CURVES!$D$9:$K$261,3))*(INDEX(DailyScalarsTable,AA$5/100,MONTH($A70)))*$B70</f>
        <v>-67558.494437309884</v>
      </c>
      <c r="AB70" s="1021">
        <f>(VLOOKUP(YEAR($A70),'NY East Load Projections'!$A$4:$EO$14,((MONTH($A70)-1)*12)+VLOOKUP(AB$4,$DE$6:$DF$17,2)+1))*(VLOOKUP($A70,CURVES!$D$9:$K$261,3))*(INDEX(DailyScalarsTable,AB$5/100,MONTH($A70)))*$B70</f>
        <v>-77928.230843479789</v>
      </c>
      <c r="AC70" s="1021">
        <f>(VLOOKUP(YEAR($A70),'NY East Load Projections'!$A$4:$EO$14,((MONTH($A70)-1)*12)+VLOOKUP(AC$4,$DE$6:$DF$17,2)+1))*(VLOOKUP($A70,CURVES!$D$9:$K$261,3))*(INDEX(DailyScalarsTable,AC$5/100,MONTH($A70)))*$B70</f>
        <v>-74329.018135649443</v>
      </c>
      <c r="AD70" s="1021">
        <f>(VLOOKUP(YEAR($A70),'NY East Load Projections'!$A$4:$EO$14,((MONTH($A70)-1)*12)+VLOOKUP(AD$4,$DE$6:$DF$17,2)+1))*(VLOOKUP($A70,CURVES!$D$9:$K$261,3))*(INDEX(DailyScalarsTable,AD$5/100,MONTH($A70)))*$B70</f>
        <v>-59627.347987052526</v>
      </c>
      <c r="AE70" s="1021">
        <f>(VLOOKUP(YEAR($A70),'NY East Load Projections'!$A$4:$EO$14,((MONTH($A70)-1)*12)+VLOOKUP(AE$4,$DE$6:$DF$17,2)+1))*(VLOOKUP($A70,CURVES!$D$9:$K$261,7))*(INDEX(DailyScalarsTable,AE$5/100,MONTH($A70)))*$B70</f>
        <v>-48867.13998763846</v>
      </c>
      <c r="AF70" s="1021"/>
      <c r="AG70" s="1021">
        <f>(VLOOKUP(YEAR($A70),'NY East Load Projections'!$A$4:$EO$14,((MONTH($A70)-1)*12)+VLOOKUP(AG$4,$DE$6:$DF$17,2)+1))*(VLOOKUP($A70,CURVES!$D$9:$T$261,7))*(INDEX(DailyScalarsTable,AG$5/100,MONTH($A70)))*$C70</f>
        <v>-7472.1539067335789</v>
      </c>
      <c r="AH70" s="1021">
        <f>(VLOOKUP(YEAR($A70),'NY East Load Projections'!$A$4:$EO$14,((MONTH($A70)-1)*12)+VLOOKUP(AH$4,$DE$6:$DF$17,2)+1))*(VLOOKUP($A70,CURVES!$D$9:$T$261,7))*(INDEX(DailyScalarsTable,AH$5/100,MONTH($A70)))*$C70</f>
        <v>-6730.6274754536371</v>
      </c>
      <c r="AI70" s="1021">
        <f>(VLOOKUP(YEAR($A70),'NY East Load Projections'!$A$4:$EO$14,((MONTH($A70)-1)*12)+VLOOKUP(AI$4,$DE$6:$DF$17,2)+1))*(VLOOKUP($A70,CURVES!$D$9:$T$261,7))*(INDEX(DailyScalarsTable,AI$5/100,MONTH($A70)))*$C70</f>
        <v>-6369.6728104919748</v>
      </c>
      <c r="AJ70" s="1021">
        <f>(VLOOKUP(YEAR($A70),'NY East Load Projections'!$A$4:$EO$14,((MONTH($A70)-1)*12)+VLOOKUP(AJ$4,$DE$6:$DF$17,2)+1))*(VLOOKUP($A70,CURVES!$D$9:$T$261,7))*(INDEX(DailyScalarsTable,AJ$5/100,MONTH($A70)))*$C70</f>
        <v>-6175.4635070615122</v>
      </c>
      <c r="AK70" s="1021">
        <f>(VLOOKUP(YEAR($A70),'NY East Load Projections'!$A$4:$EO$14,((MONTH($A70)-1)*12)+VLOOKUP(AK$4,$DE$6:$DF$17,2)+1))*(VLOOKUP($A70,CURVES!$D$9:$T$261,7))*(INDEX(DailyScalarsTable,AK$5/100,MONTH($A70)))*$C70</f>
        <v>-6786.0948565073259</v>
      </c>
      <c r="AL70" s="1021">
        <f>(VLOOKUP(YEAR($A70),'NY East Load Projections'!$A$4:$EO$14,((MONTH($A70)-1)*12)+VLOOKUP(AL$4,$DE$6:$DF$17,2)+1))*(VLOOKUP($A70,CURVES!$D$9:$T$261,7))*(INDEX(DailyScalarsTable,AL$5/100,MONTH($A70)))*$C70</f>
        <v>-8227.7417685118144</v>
      </c>
      <c r="AM70" s="1021">
        <f>(VLOOKUP(YEAR($A70),'NY East Load Projections'!$A$4:$EO$14,((MONTH($A70)-1)*12)+VLOOKUP(AM$4,$DE$6:$DF$17,2)+1))*(VLOOKUP($A70,CURVES!$D$9:$T$261,7))*(INDEX(DailyScalarsTable,AM$5/100,MONTH($A70)))*$C70</f>
        <v>-9844.6164819754194</v>
      </c>
      <c r="AN70" s="1021">
        <f>(VLOOKUP(YEAR($A70),'NY East Load Projections'!$A$4:$EO$14,((MONTH($A70)-1)*12)+VLOOKUP(AN$4,$DE$6:$DF$17,2)+1))*(VLOOKUP($A70,SatSunCurve,3))*(INDEX(DailyScalarsTable,AN$5/100,MONTH($A70)))*$C70</f>
        <v>-8239.9678503931063</v>
      </c>
      <c r="AO70" s="1021">
        <f>(VLOOKUP(YEAR($A70),'NY East Load Projections'!$A$4:$EO$14,((MONTH($A70)-1)*12)+VLOOKUP(AO$4,$DE$6:$DF$17,2)+1))*(VLOOKUP($A70,SatSunCurve,3))*(INDEX(DailyScalarsTable,AO$5/100,MONTH($A70)))*$C70</f>
        <v>-10053.432448007767</v>
      </c>
      <c r="AP70" s="1021">
        <f>(VLOOKUP(YEAR($A70),'NY East Load Projections'!$A$4:$EO$14,((MONTH($A70)-1)*12)+VLOOKUP(AP$4,$DE$6:$DF$17,2)+1))*(VLOOKUP($A70,SatSunCurve,3))*(INDEX(DailyScalarsTable,AP$5/100,MONTH($A70)))*$C70</f>
        <v>-10231.746349534198</v>
      </c>
      <c r="AQ70" s="1021">
        <f>(VLOOKUP(YEAR($A70),'NY East Load Projections'!$A$4:$EO$14,((MONTH($A70)-1)*12)+VLOOKUP(AQ$4,$DE$6:$DF$17,2)+1))*(VLOOKUP($A70,SatSunCurve,3))*(INDEX(DailyScalarsTable,AQ$5/100,MONTH($A70)))*$C70</f>
        <v>-10853.478006183872</v>
      </c>
      <c r="AR70" s="1021">
        <f>(VLOOKUP(YEAR($A70),'NY East Load Projections'!$A$4:$EO$14,((MONTH($A70)-1)*12)+VLOOKUP(AR$4,$DE$6:$DF$17,2)+1))*(VLOOKUP($A70,SatSunCurve,3))*(INDEX(DailyScalarsTable,AR$5/100,MONTH($A70)))*$C70</f>
        <v>-10771.422051499141</v>
      </c>
      <c r="AS70" s="1021">
        <f>(VLOOKUP(YEAR($A70),'NY East Load Projections'!$A$4:$EO$14,((MONTH($A70)-1)*12)+VLOOKUP(AS$4,$DE$6:$DF$17,2)+1))*(VLOOKUP($A70,SatSunCurve,3))*(INDEX(DailyScalarsTable,AS$5/100,MONTH($A70)))*$C70</f>
        <v>-10294.469402630535</v>
      </c>
      <c r="AT70" s="1021">
        <f>(VLOOKUP(YEAR($A70),'NY East Load Projections'!$A$4:$EO$14,((MONTH($A70)-1)*12)+VLOOKUP(AT$4,$DE$6:$DF$17,2)+1))*(VLOOKUP($A70,SatSunCurve,3))*(INDEX(DailyScalarsTable,AT$5/100,MONTH($A70)))*$C70</f>
        <v>-10344.085160012619</v>
      </c>
      <c r="AU70" s="1021">
        <f>(VLOOKUP(YEAR($A70),'NY East Load Projections'!$A$4:$EO$14,((MONTH($A70)-1)*12)+VLOOKUP(AU$4,$DE$6:$DF$17,2)+1))*(VLOOKUP($A70,SatSunCurve,3))*(INDEX(DailyScalarsTable,AU$5/100,MONTH($A70)))*$C70</f>
        <v>-10033.586549298949</v>
      </c>
      <c r="AV70" s="1021">
        <f>(VLOOKUP(YEAR($A70),'NY East Load Projections'!$A$4:$EO$14,((MONTH($A70)-1)*12)+VLOOKUP(AV$4,$DE$6:$DF$17,2)+1))*(VLOOKUP($A70,SatSunCurve,3))*(INDEX(DailyScalarsTable,AV$5/100,MONTH($A70)))*$C70</f>
        <v>-9643.0625234528889</v>
      </c>
      <c r="AW70" s="1021">
        <f>(VLOOKUP(YEAR($A70),'NY East Load Projections'!$A$4:$EO$14,((MONTH($A70)-1)*12)+VLOOKUP(AW$4,$DE$6:$DF$17,2)+1))*(VLOOKUP($A70,SatSunCurve,3))*(INDEX(DailyScalarsTable,AW$5/100,MONTH($A70)))*$C70</f>
        <v>-9096.5434920141233</v>
      </c>
      <c r="AX70" s="1021">
        <f>(VLOOKUP(YEAR($A70),'NY East Load Projections'!$A$4:$EO$14,((MONTH($A70)-1)*12)+VLOOKUP(AX$4,$DE$6:$DF$17,2)+1))*(VLOOKUP($A70,SatSunCurve,3))*(INDEX(DailyScalarsTable,AX$5/100,MONTH($A70)))*$C70</f>
        <v>-8742.035984056145</v>
      </c>
      <c r="AY70" s="1021">
        <f>(VLOOKUP(YEAR($A70),'NY East Load Projections'!$A$4:$EO$14,((MONTH($A70)-1)*12)+VLOOKUP(AY$4,$DE$6:$DF$17,2)+1))*(VLOOKUP($A70,SatSunCurve,3))*(INDEX(DailyScalarsTable,AY$5/100,MONTH($A70)))*$C70</f>
        <v>-7574.2465460769299</v>
      </c>
      <c r="AZ70" s="1021">
        <f>(VLOOKUP(YEAR($A70),'NY East Load Projections'!$A$4:$EO$14,((MONTH($A70)-1)*12)+VLOOKUP(AZ$4,$DE$6:$DF$17,2)+1))*(VLOOKUP($A70,SatSunCurve,3))*(INDEX(DailyScalarsTable,AZ$5/100,MONTH($A70)))*$C70</f>
        <v>-7554.8826906002369</v>
      </c>
      <c r="BA70" s="1021">
        <f>(VLOOKUP(YEAR($A70),'NY East Load Projections'!$A$4:$EO$14,((MONTH($A70)-1)*12)+VLOOKUP(BA$4,$DE$6:$DF$17,2)+1))*(VLOOKUP($A70,SatSunCurve,3))*(INDEX(DailyScalarsTable,BA$5/100,MONTH($A70)))*$C70</f>
        <v>-9484.1219751323006</v>
      </c>
      <c r="BB70" s="1021">
        <f>(VLOOKUP(YEAR($A70),'NY East Load Projections'!$A$4:$EO$14,((MONTH($A70)-1)*12)+VLOOKUP(BB$4,$DE$6:$DF$17,2)+1))*(VLOOKUP($A70,SatSunCurve,3))*(INDEX(DailyScalarsTable,BB$5/100,MONTH($A70)))*$C70</f>
        <v>-9046.0859519089481</v>
      </c>
      <c r="BC70" s="1021">
        <f>(VLOOKUP(YEAR($A70),'NY East Load Projections'!$A$4:$EO$14,((MONTH($A70)-1)*12)+VLOOKUP(BC$4,$DE$6:$DF$17,2)+1))*(VLOOKUP($A70,SatSunCurve,3))*(INDEX(DailyScalarsTable,BC$5/100,MONTH($A70)))*$C70</f>
        <v>-7256.8443456480918</v>
      </c>
      <c r="BD70" s="1021">
        <f>(VLOOKUP(YEAR($A70),'NY East Load Projections'!$A$4:$EO$14,((MONTH($A70)-1)*12)+VLOOKUP(BD$4,$DE$6:$DF$17,2)+1))*(VLOOKUP($A70,CURVES!$D$9:$T$261,7))*(INDEX(DailyScalarsTable,BD$5/100,MONTH($A70)))*$C70</f>
        <v>-9055.0240188148364</v>
      </c>
      <c r="BE70" s="1021"/>
      <c r="BF70" s="1021">
        <f>(VLOOKUP(YEAR($A70),'NY East Load Projections'!$A$4:$EO$14,((MONTH($A70)-1)*12)+VLOOKUP(BF$4,$DE$6:$DF$17,2)+1))*(VLOOKUP($A70,CURVES!$D$9:$T$261,7))*(INDEX(DailyScalarsTable,BF$5/100,MONTH($A70)))*$D70</f>
        <v>-7472.1539067335789</v>
      </c>
      <c r="BG70" s="1021">
        <f>(VLOOKUP(YEAR($A70),'NY East Load Projections'!$A$4:$EO$14,((MONTH($A70)-1)*12)+VLOOKUP(BG$4,$DE$6:$DF$17,2)+1))*(VLOOKUP($A70,CURVES!$D$9:$T$261,7))*(INDEX(DailyScalarsTable,BG$5/100,MONTH($A70)))*$D70</f>
        <v>-6730.6274754536371</v>
      </c>
      <c r="BH70" s="1021">
        <f>(VLOOKUP(YEAR($A70),'NY East Load Projections'!$A$4:$EO$14,((MONTH($A70)-1)*12)+VLOOKUP(BH$4,$DE$6:$DF$17,2)+1))*(VLOOKUP($A70,CURVES!$D$9:$T$261,7))*(INDEX(DailyScalarsTable,BH$5/100,MONTH($A70)))*$D70</f>
        <v>-6369.6728104919748</v>
      </c>
      <c r="BI70" s="1021">
        <f>(VLOOKUP(YEAR($A70),'NY East Load Projections'!$A$4:$EO$14,((MONTH($A70)-1)*12)+VLOOKUP(BI$4,$DE$6:$DF$17,2)+1))*(VLOOKUP($A70,CURVES!$D$9:$T$261,7))*(INDEX(DailyScalarsTable,BI$5/100,MONTH($A70)))*$D70</f>
        <v>-6175.4635070615122</v>
      </c>
      <c r="BJ70" s="1021">
        <f>(VLOOKUP(YEAR($A70),'NY East Load Projections'!$A$4:$EO$14,((MONTH($A70)-1)*12)+VLOOKUP(BJ$4,$DE$6:$DF$17,2)+1))*(VLOOKUP($A70,CURVES!$D$9:$T$261,7))*(INDEX(DailyScalarsTable,BJ$5/100,MONTH($A70)))*$D70</f>
        <v>-6786.0948565073259</v>
      </c>
      <c r="BK70" s="1021">
        <f>(VLOOKUP(YEAR($A70),'NY East Load Projections'!$A$4:$EO$14,((MONTH($A70)-1)*12)+VLOOKUP(BK$4,$DE$6:$DF$17,2)+1))*(VLOOKUP($A70,CURVES!$D$9:$T$261,7))*(INDEX(DailyScalarsTable,BK$5/100,MONTH($A70)))*$D70</f>
        <v>-8227.7417685118144</v>
      </c>
      <c r="BL70" s="1021">
        <f>(VLOOKUP(YEAR($A70),'NY East Load Projections'!$A$4:$EO$14,((MONTH($A70)-1)*12)+VLOOKUP(BL$4,$DE$6:$DF$17,2)+1))*(VLOOKUP($A70,CURVES!$D$9:$T$261,7))*(INDEX(DailyScalarsTable,BL$5/100,MONTH($A70)))*$D70</f>
        <v>-9844.6164819754194</v>
      </c>
      <c r="BM70" s="1021">
        <f>(VLOOKUP(YEAR($A70),'NY East Load Projections'!$A$4:$EO$14,((MONTH($A70)-1)*12)+VLOOKUP(BM$4,$DE$6:$DF$17,2)+1))*(VLOOKUP($A70,SatSunCurve,7))*(INDEX(DailyScalarsTable,BM$5/100,MONTH($A70)))*$D70</f>
        <v>-7918.4486959874093</v>
      </c>
      <c r="BN70" s="1021">
        <f>(VLOOKUP(YEAR($A70),'NY East Load Projections'!$A$4:$EO$14,((MONTH($A70)-1)*12)+VLOOKUP(BN$4,$DE$6:$DF$17,2)+1))*(VLOOKUP($A70,SatSunCurve,7))*(INDEX(DailyScalarsTable,BN$5/100,MONTH($A70)))*$D70</f>
        <v>-9661.1528714067426</v>
      </c>
      <c r="BO70" s="1021">
        <f>(VLOOKUP(YEAR($A70),'NY East Load Projections'!$A$4:$EO$14,((MONTH($A70)-1)*12)+VLOOKUP(BO$4,$DE$6:$DF$17,2)+1))*(VLOOKUP($A70,SatSunCurve,7))*(INDEX(DailyScalarsTable,BO$5/100,MONTH($A70)))*$D70</f>
        <v>-9832.509059519909</v>
      </c>
      <c r="BP70" s="1021">
        <f>(VLOOKUP(YEAR($A70),'NY East Load Projections'!$A$4:$EO$14,((MONTH($A70)-1)*12)+VLOOKUP(BP$4,$DE$6:$DF$17,2)+1))*(VLOOKUP($A70,SatSunCurve,7))*(INDEX(DailyScalarsTable,BP$5/100,MONTH($A70)))*$D70</f>
        <v>-10429.981078250761</v>
      </c>
      <c r="BQ70" s="1021">
        <f>(VLOOKUP(YEAR($A70),'NY East Load Projections'!$A$4:$EO$14,((MONTH($A70)-1)*12)+VLOOKUP(BQ$4,$DE$6:$DF$17,2)+1))*(VLOOKUP($A70,SatSunCurve,7))*(INDEX(DailyScalarsTable,BQ$5/100,MONTH($A70)))*$D70</f>
        <v>-10351.126903189834</v>
      </c>
      <c r="BR70" s="1021">
        <f>(VLOOKUP(YEAR($A70),'NY East Load Projections'!$A$4:$EO$14,((MONTH($A70)-1)*12)+VLOOKUP(BR$4,$DE$6:$DF$17,2)+1))*(VLOOKUP($A70,SatSunCurve,7))*(INDEX(DailyScalarsTable,BR$5/100,MONTH($A70)))*$D70</f>
        <v>-9892.7846925098293</v>
      </c>
      <c r="BS70" s="1021">
        <f>(VLOOKUP(YEAR($A70),'NY East Load Projections'!$A$4:$EO$14,((MONTH($A70)-1)*12)+VLOOKUP(BS$4,$DE$6:$DF$17,2)+1))*(VLOOKUP($A70,SatSunCurve,7))*(INDEX(DailyScalarsTable,BS$5/100,MONTH($A70)))*$D70</f>
        <v>-9940.4644694793278</v>
      </c>
      <c r="BT70" s="1021">
        <f>(VLOOKUP(YEAR($A70),'NY East Load Projections'!$A$4:$EO$14,((MONTH($A70)-1)*12)+VLOOKUP(BT$4,$DE$6:$DF$17,2)+1))*(VLOOKUP($A70,SatSunCurve,7))*(INDEX(DailyScalarsTable,BT$5/100,MONTH($A70)))*$D70</f>
        <v>-9642.0813490895725</v>
      </c>
      <c r="BU70" s="1021">
        <f>(VLOOKUP(YEAR($A70),'NY East Load Projections'!$A$4:$EO$14,((MONTH($A70)-1)*12)+VLOOKUP(BU$4,$DE$6:$DF$17,2)+1))*(VLOOKUP($A70,SatSunCurve,7))*(INDEX(DailyScalarsTable,BU$5/100,MONTH($A70)))*$D70</f>
        <v>-9266.7953626199815</v>
      </c>
      <c r="BV70" s="1021">
        <f>(VLOOKUP(YEAR($A70),'NY East Load Projections'!$A$4:$EO$14,((MONTH($A70)-1)*12)+VLOOKUP(BV$4,$DE$6:$DF$17,2)+1))*(VLOOKUP($A70,SatSunCurve,7))*(INDEX(DailyScalarsTable,BV$5/100,MONTH($A70)))*$D70</f>
        <v>-8741.6012125454581</v>
      </c>
      <c r="BW70" s="1021">
        <f>(VLOOKUP(YEAR($A70),'NY East Load Projections'!$A$4:$EO$14,((MONTH($A70)-1)*12)+VLOOKUP(BW$4,$DE$6:$DF$17,2)+1))*(VLOOKUP($A70,SatSunCurve,7))*(INDEX(DailyScalarsTable,BW$5/100,MONTH($A70)))*$D70</f>
        <v>-8400.9263986293245</v>
      </c>
      <c r="BX70" s="1021">
        <f>(VLOOKUP(YEAR($A70),'NY East Load Projections'!$A$4:$EO$14,((MONTH($A70)-1)*12)+VLOOKUP(BX$4,$DE$6:$DF$17,2)+1))*(VLOOKUP($A70,SatSunCurve,7))*(INDEX(DailyScalarsTable,BX$5/100,MONTH($A70)))*$D70</f>
        <v>-7278.703482199714</v>
      </c>
      <c r="BY70" s="1021">
        <f>(VLOOKUP(YEAR($A70),'NY East Load Projections'!$A$4:$EO$14,((MONTH($A70)-1)*12)+VLOOKUP(BY$4,$DE$6:$DF$17,2)+1))*(VLOOKUP($A70,SatSunCurve,7))*(INDEX(DailyScalarsTable,BY$5/100,MONTH($A70)))*$D70</f>
        <v>-7260.0951940446339</v>
      </c>
      <c r="BZ70" s="1021">
        <f>(VLOOKUP(YEAR($A70),'NY East Load Projections'!$A$4:$EO$14,((MONTH($A70)-1)*12)+VLOOKUP(BZ$4,$DE$6:$DF$17,2)+1))*(VLOOKUP($A70,SatSunCurve,7))*(INDEX(DailyScalarsTable,BZ$5/100,MONTH($A70)))*$D70</f>
        <v>-9114.0565897947163</v>
      </c>
      <c r="CA70" s="1021">
        <f>(VLOOKUP(YEAR($A70),'NY East Load Projections'!$A$4:$EO$14,((MONTH($A70)-1)*12)+VLOOKUP(CA$4,$DE$6:$DF$17,2)+1))*(VLOOKUP($A70,SatSunCurve,7))*(INDEX(DailyScalarsTable,CA$5/100,MONTH($A70)))*$D70</f>
        <v>-8693.1124987661351</v>
      </c>
      <c r="CB70" s="1021">
        <f>(VLOOKUP(YEAR($A70),'NY East Load Projections'!$A$4:$EO$14,((MONTH($A70)-1)*12)+VLOOKUP(CB$4,$DE$6:$DF$17,2)+1))*(VLOOKUP($A70,SatSunCurve,7))*(INDEX(DailyScalarsTable,CB$5/100,MONTH($A70)))*$D70</f>
        <v>-6973.6861464865224</v>
      </c>
      <c r="CC70" s="1021">
        <f>(VLOOKUP(YEAR($A70),'NY East Load Projections'!$A$4:$EO$14,((MONTH($A70)-1)*12)+VLOOKUP(CC$4,$DE$6:$DF$17,2)+1))*(VLOOKUP($A70,CURVES!$D$9:$T$261,7))*(INDEX(DailyScalarsTable,CC$5/100,MONTH($A70)))*$D70</f>
        <v>-9055.0240188148364</v>
      </c>
      <c r="CE70" s="1021">
        <f>(VLOOKUP(YEAR($A70),'NY East Load Projections'!$A$4:$EO$14,((MONTH($A70)-1)*12)+VLOOKUP(CE$4,$DE$6:$DF$17,2)+1))*(VLOOKUP($A70,CURVES!$D$9:$T$261,7))*(INDEX(DailyScalarsTable,CE$5/100,MONTH($A70)))*$E70</f>
        <v>-1868.0384766833947</v>
      </c>
      <c r="CF70" s="1021">
        <f>(VLOOKUP(YEAR($A70),'NY East Load Projections'!$A$4:$EO$14,((MONTH($A70)-1)*12)+VLOOKUP(CF$4,$DE$6:$DF$17,2)+1))*(VLOOKUP($A70,CURVES!$D$9:$T$261,7))*(INDEX(DailyScalarsTable,CF$5/100,MONTH($A70)))*$E70</f>
        <v>-1682.6568688634093</v>
      </c>
      <c r="CG70" s="1021">
        <f>(VLOOKUP(YEAR($A70),'NY East Load Projections'!$A$4:$EO$14,((MONTH($A70)-1)*12)+VLOOKUP(CG$4,$DE$6:$DF$17,2)+1))*(VLOOKUP($A70,CURVES!$D$9:$T$261,7))*(INDEX(DailyScalarsTable,CG$5/100,MONTH($A70)))*$E70</f>
        <v>-1592.4182026229937</v>
      </c>
      <c r="CH70" s="1021">
        <f>(VLOOKUP(YEAR($A70),'NY East Load Projections'!$A$4:$EO$14,((MONTH($A70)-1)*12)+VLOOKUP(CH$4,$DE$6:$DF$17,2)+1))*(VLOOKUP($A70,CURVES!$D$9:$T$261,7))*(INDEX(DailyScalarsTable,CH$5/100,MONTH($A70)))*$E70</f>
        <v>-1543.8658767653781</v>
      </c>
      <c r="CI70" s="1021">
        <f>(VLOOKUP(YEAR($A70),'NY East Load Projections'!$A$4:$EO$14,((MONTH($A70)-1)*12)+VLOOKUP(CI$4,$DE$6:$DF$17,2)+1))*(VLOOKUP($A70,CURVES!$D$9:$T$261,7))*(INDEX(DailyScalarsTable,CI$5/100,MONTH($A70)))*$E70</f>
        <v>-1696.5237141268315</v>
      </c>
      <c r="CJ70" s="1021">
        <f>(VLOOKUP(YEAR($A70),'NY East Load Projections'!$A$4:$EO$14,((MONTH($A70)-1)*12)+VLOOKUP(CJ$4,$DE$6:$DF$17,2)+1))*(VLOOKUP($A70,CURVES!$D$9:$T$261,7))*(INDEX(DailyScalarsTable,CJ$5/100,MONTH($A70)))*$E70</f>
        <v>-2056.9354421279536</v>
      </c>
      <c r="CK70" s="1021">
        <f>(VLOOKUP(YEAR($A70),'NY East Load Projections'!$A$4:$EO$14,((MONTH($A70)-1)*12)+VLOOKUP(CK$4,$DE$6:$DF$17,2)+1))*(VLOOKUP($A70,CURVES!$D$9:$T$261,7))*(INDEX(DailyScalarsTable,CK$5/100,MONTH($A70)))*$E70</f>
        <v>-2461.1541204938549</v>
      </c>
      <c r="CL70" s="1021">
        <f>(VLOOKUP(YEAR($A70),'NY East Load Projections'!$A$4:$EO$14,((MONTH($A70)-1)*12)+VLOOKUP(CL$4,$DE$6:$DF$17,2)+1))*(VLOOKUP($A70,SatSunCurve,7))*(INDEX(DailyScalarsTable,CL$5/100,MONTH($A70)))*$E70</f>
        <v>-1979.6121739968523</v>
      </c>
      <c r="CM70" s="1021">
        <f>(VLOOKUP(YEAR($A70),'NY East Load Projections'!$A$4:$EO$14,((MONTH($A70)-1)*12)+VLOOKUP(CM$4,$DE$6:$DF$17,2)+1))*(VLOOKUP($A70,SatSunCurve,7))*(INDEX(DailyScalarsTable,CM$5/100,MONTH($A70)))*$E70</f>
        <v>-2415.2882178516857</v>
      </c>
      <c r="CN70" s="1021">
        <f>(VLOOKUP(YEAR($A70),'NY East Load Projections'!$A$4:$EO$14,((MONTH($A70)-1)*12)+VLOOKUP(CN$4,$DE$6:$DF$17,2)+1))*(VLOOKUP($A70,SatSunCurve,7))*(INDEX(DailyScalarsTable,CN$5/100,MONTH($A70)))*$E70</f>
        <v>-2458.1272648799772</v>
      </c>
      <c r="CO70" s="1021">
        <f>(VLOOKUP(YEAR($A70),'NY East Load Projections'!$A$4:$EO$14,((MONTH($A70)-1)*12)+VLOOKUP(CO$4,$DE$6:$DF$17,2)+1))*(VLOOKUP($A70,SatSunCurve,7))*(INDEX(DailyScalarsTable,CO$5/100,MONTH($A70)))*$E70</f>
        <v>-2607.4952695626903</v>
      </c>
      <c r="CP70" s="1021">
        <f>(VLOOKUP(YEAR($A70),'NY East Load Projections'!$A$4:$EO$14,((MONTH($A70)-1)*12)+VLOOKUP(CP$4,$DE$6:$DF$17,2)+1))*(VLOOKUP($A70,SatSunCurve,7))*(INDEX(DailyScalarsTable,CP$5/100,MONTH($A70)))*$E70</f>
        <v>-2587.7817257974584</v>
      </c>
      <c r="CQ70" s="1021">
        <f>(VLOOKUP(YEAR($A70),'NY East Load Projections'!$A$4:$EO$14,((MONTH($A70)-1)*12)+VLOOKUP(CQ$4,$DE$6:$DF$17,2)+1))*(VLOOKUP($A70,SatSunCurve,7))*(INDEX(DailyScalarsTable,CQ$5/100,MONTH($A70)))*$E70</f>
        <v>-2473.1961731274573</v>
      </c>
      <c r="CR70" s="1021">
        <f>(VLOOKUP(YEAR($A70),'NY East Load Projections'!$A$4:$EO$14,((MONTH($A70)-1)*12)+VLOOKUP(CR$4,$DE$6:$DF$17,2)+1))*(VLOOKUP($A70,SatSunCurve,7))*(INDEX(DailyScalarsTable,CR$5/100,MONTH($A70)))*$E70</f>
        <v>-2485.116117369832</v>
      </c>
      <c r="CS70" s="1021">
        <f>(VLOOKUP(YEAR($A70),'NY East Load Projections'!$A$4:$EO$14,((MONTH($A70)-1)*12)+VLOOKUP(CS$4,$DE$6:$DF$17,2)+1))*(VLOOKUP($A70,SatSunCurve,7))*(INDEX(DailyScalarsTable,CS$5/100,MONTH($A70)))*$E70</f>
        <v>-2410.5203372723931</v>
      </c>
      <c r="CT70" s="1021">
        <f>(VLOOKUP(YEAR($A70),'NY East Load Projections'!$A$4:$EO$14,((MONTH($A70)-1)*12)+VLOOKUP(CT$4,$DE$6:$DF$17,2)+1))*(VLOOKUP($A70,SatSunCurve,7))*(INDEX(DailyScalarsTable,CT$5/100,MONTH($A70)))*$E70</f>
        <v>-2316.6988406549954</v>
      </c>
      <c r="CU70" s="1021">
        <f>(VLOOKUP(YEAR($A70),'NY East Load Projections'!$A$4:$EO$14,((MONTH($A70)-1)*12)+VLOOKUP(CU$4,$DE$6:$DF$17,2)+1))*(VLOOKUP($A70,SatSunCurve,7))*(INDEX(DailyScalarsTable,CU$5/100,MONTH($A70)))*$E70</f>
        <v>-2185.4003031363645</v>
      </c>
      <c r="CV70" s="1021">
        <f>(VLOOKUP(YEAR($A70),'NY East Load Projections'!$A$4:$EO$14,((MONTH($A70)-1)*12)+VLOOKUP(CV$4,$DE$6:$DF$17,2)+1))*(VLOOKUP($A70,SatSunCurve,7))*(INDEX(DailyScalarsTable,CV$5/100,MONTH($A70)))*$E70</f>
        <v>-2100.2315996573311</v>
      </c>
      <c r="CW70" s="1021">
        <f>(VLOOKUP(YEAR($A70),'NY East Load Projections'!$A$4:$EO$14,((MONTH($A70)-1)*12)+VLOOKUP(CW$4,$DE$6:$DF$17,2)+1))*(VLOOKUP($A70,SatSunCurve,7))*(INDEX(DailyScalarsTable,CW$5/100,MONTH($A70)))*$E70</f>
        <v>-1819.6758705499285</v>
      </c>
      <c r="CX70" s="1021">
        <f>(VLOOKUP(YEAR($A70),'NY East Load Projections'!$A$4:$EO$14,((MONTH($A70)-1)*12)+VLOOKUP(CX$4,$DE$6:$DF$17,2)+1))*(VLOOKUP($A70,SatSunCurve,7))*(INDEX(DailyScalarsTable,CX$5/100,MONTH($A70)))*$E70</f>
        <v>-1815.0237985111585</v>
      </c>
      <c r="CY70" s="1021">
        <f>(VLOOKUP(YEAR($A70),'NY East Load Projections'!$A$4:$EO$14,((MONTH($A70)-1)*12)+VLOOKUP(CY$4,$DE$6:$DF$17,2)+1))*(VLOOKUP($A70,SatSunCurve,7))*(INDEX(DailyScalarsTable,CY$5/100,MONTH($A70)))*$E70</f>
        <v>-2278.5141474486791</v>
      </c>
      <c r="CZ70" s="1021">
        <f>(VLOOKUP(YEAR($A70),'NY East Load Projections'!$A$4:$EO$14,((MONTH($A70)-1)*12)+VLOOKUP(CZ$4,$DE$6:$DF$17,2)+1))*(VLOOKUP($A70,SatSunCurve,7))*(INDEX(DailyScalarsTable,CZ$5/100,MONTH($A70)))*$E70</f>
        <v>-2173.2781246915338</v>
      </c>
      <c r="DA70" s="1021">
        <f>(VLOOKUP(YEAR($A70),'NY East Load Projections'!$A$4:$EO$14,((MONTH($A70)-1)*12)+VLOOKUP(DA$4,$DE$6:$DF$17,2)+1))*(VLOOKUP($A70,SatSunCurve,7))*(INDEX(DailyScalarsTable,DA$5/100,MONTH($A70)))*$E70</f>
        <v>-1743.4215366216306</v>
      </c>
      <c r="DB70" s="1021">
        <f>(VLOOKUP(YEAR($A70),'NY East Load Projections'!$A$4:$EO$14,((MONTH($A70)-1)*12)+VLOOKUP(DB$4,$DE$6:$DF$17,2)+1))*(VLOOKUP($A70,CURVES!$D$9:$T$261,7))*(INDEX(DailyScalarsTable,DB$5/100,MONTH($A70)))*$E70</f>
        <v>-2263.7560047037091</v>
      </c>
      <c r="DH70" s="1032">
        <f t="shared" si="0"/>
        <v>-2090687.0783061169</v>
      </c>
      <c r="DI70">
        <f ca="1">CALC!J90</f>
        <v>0.63493471897843934</v>
      </c>
      <c r="DJ70" s="1029">
        <f t="shared" ca="1" si="1"/>
        <v>-1327449.8125361488</v>
      </c>
    </row>
    <row r="71" spans="1:114" x14ac:dyDescent="0.25">
      <c r="A71" s="244">
        <v>38869</v>
      </c>
      <c r="B71" s="13">
        <v>22</v>
      </c>
      <c r="C71" s="210">
        <v>4</v>
      </c>
      <c r="D71" s="210">
        <v>4</v>
      </c>
      <c r="E71" s="210">
        <v>0</v>
      </c>
      <c r="F71" s="13">
        <v>30</v>
      </c>
      <c r="H71" s="1021">
        <f>(VLOOKUP(YEAR($A71),'NY East Load Projections'!$A$4:$EO$14,((MONTH($A71)-1)*12)+VLOOKUP(H$4,$DE$6:$DF$17,2)+1))*(VLOOKUP($A71,CURVES!$D$9:$K$261,7))*(INDEX(DailyScalarsTable,H$5/100,MONTH($A71)))*$B71</f>
        <v>-47183.638150459985</v>
      </c>
      <c r="I71" s="1021">
        <f>(VLOOKUP(YEAR($A71),'NY East Load Projections'!$A$4:$EO$14,((MONTH($A71)-1)*12)+VLOOKUP(I$4,$DE$6:$DF$17,2)+1))*(VLOOKUP($A71,CURVES!$D$9:$K$261,7))*(INDEX(DailyScalarsTable,I$5/100,MONTH($A71)))*$B71</f>
        <v>-39092.254080634499</v>
      </c>
      <c r="J71" s="1021">
        <f>(VLOOKUP(YEAR($A71),'NY East Load Projections'!$A$4:$EO$14,((MONTH($A71)-1)*12)+VLOOKUP(J$4,$DE$6:$DF$17,2)+1))*(VLOOKUP($A71,CURVES!$D$9:$K$261,7))*(INDEX(DailyScalarsTable,J$5/100,MONTH($A71)))*$B71</f>
        <v>-32860.680677604709</v>
      </c>
      <c r="K71" s="1021">
        <f>(VLOOKUP(YEAR($A71),'NY East Load Projections'!$A$4:$EO$14,((MONTH($A71)-1)*12)+VLOOKUP(K$4,$DE$6:$DF$17,2)+1))*(VLOOKUP($A71,CURVES!$D$9:$K$261,7))*(INDEX(DailyScalarsTable,K$5/100,MONTH($A71)))*$B71</f>
        <v>-30505.725612506252</v>
      </c>
      <c r="L71" s="1021">
        <f>(VLOOKUP(YEAR($A71),'NY East Load Projections'!$A$4:$EO$14,((MONTH($A71)-1)*12)+VLOOKUP(L$4,$DE$6:$DF$17,2)+1))*(VLOOKUP($A71,CURVES!$D$9:$K$261,7))*(INDEX(DailyScalarsTable,L$5/100,MONTH($A71)))*$B71</f>
        <v>-36253.392162084609</v>
      </c>
      <c r="M71" s="1021">
        <f>(VLOOKUP(YEAR($A71),'NY East Load Projections'!$A$4:$EO$14,((MONTH($A71)-1)*12)+VLOOKUP(M$4,$DE$6:$DF$17,2)+1))*(VLOOKUP($A71,CURVES!$D$9:$K$261,7))*(INDEX(DailyScalarsTable,M$5/100,MONTH($A71)))*$B71</f>
        <v>-44231.784670747744</v>
      </c>
      <c r="N71" s="1021">
        <f>(VLOOKUP(YEAR($A71),'NY East Load Projections'!$A$4:$EO$14,((MONTH($A71)-1)*12)+VLOOKUP(N$4,$DE$6:$DF$17,2)+1))*(VLOOKUP($A71,CURVES!$D$9:$K$261,7))*(INDEX(DailyScalarsTable,N$5/100,MONTH($A71)))*$B71</f>
        <v>-50715.055531850456</v>
      </c>
      <c r="O71" s="1021">
        <f>(VLOOKUP(YEAR($A71),'NY East Load Projections'!$A$4:$EO$14,((MONTH($A71)-1)*12)+VLOOKUP(O$4,$DE$6:$DF$17,2)+1))*(VLOOKUP($A71,CURVES!$D$9:$K$261,3))*(INDEX(DailyScalarsTable,O$5/100,MONTH($A71)))*$B71</f>
        <v>-72914.914749112766</v>
      </c>
      <c r="P71" s="1021">
        <f>(VLOOKUP(YEAR($A71),'NY East Load Projections'!$A$4:$EO$14,((MONTH($A71)-1)*12)+VLOOKUP(P$4,$DE$6:$DF$17,2)+1))*(VLOOKUP($A71,CURVES!$D$9:$K$261,3))*(INDEX(DailyScalarsTable,P$5/100,MONTH($A71)))*$B71</f>
        <v>-96842.935911186156</v>
      </c>
      <c r="Q71" s="1021">
        <f>(VLOOKUP(YEAR($A71),'NY East Load Projections'!$A$4:$EO$14,((MONTH($A71)-1)*12)+VLOOKUP(Q$4,$DE$6:$DF$17,2)+1))*(VLOOKUP($A71,CURVES!$D$9:$K$261,3))*(INDEX(DailyScalarsTable,Q$5/100,MONTH($A71)))*$B71</f>
        <v>-108318.10237498312</v>
      </c>
      <c r="R71" s="1021">
        <f>(VLOOKUP(YEAR($A71),'NY East Load Projections'!$A$4:$EO$14,((MONTH($A71)-1)*12)+VLOOKUP(R$4,$DE$6:$DF$17,2)+1))*(VLOOKUP($A71,CURVES!$D$9:$K$261,3))*(INDEX(DailyScalarsTable,R$5/100,MONTH($A71)))*$B71</f>
        <v>-124597.22166312115</v>
      </c>
      <c r="S71" s="1021">
        <f>(VLOOKUP(YEAR($A71),'NY East Load Projections'!$A$4:$EO$14,((MONTH($A71)-1)*12)+VLOOKUP(S$4,$DE$6:$DF$17,2)+1))*(VLOOKUP($A71,CURVES!$D$9:$K$261,3))*(INDEX(DailyScalarsTable,S$5/100,MONTH($A71)))*$B71</f>
        <v>-134374.87829499555</v>
      </c>
      <c r="T71" s="1021">
        <f>(VLOOKUP(YEAR($A71),'NY East Load Projections'!$A$4:$EO$14,((MONTH($A71)-1)*12)+VLOOKUP(T$4,$DE$6:$DF$17,2)+1))*(VLOOKUP($A71,CURVES!$D$9:$K$261,3))*(INDEX(DailyScalarsTable,T$5/100,MONTH($A71)))*$B71</f>
        <v>-143204.79586108873</v>
      </c>
      <c r="U71" s="1021">
        <f>(VLOOKUP(YEAR($A71),'NY East Load Projections'!$A$4:$EO$14,((MONTH($A71)-1)*12)+VLOOKUP(U$4,$DE$6:$DF$17,2)+1))*(VLOOKUP($A71,CURVES!$D$9:$K$261,3))*(INDEX(DailyScalarsTable,U$5/100,MONTH($A71)))*$B71</f>
        <v>-158367.86140874351</v>
      </c>
      <c r="V71" s="1021">
        <f>(VLOOKUP(YEAR($A71),'NY East Load Projections'!$A$4:$EO$14,((MONTH($A71)-1)*12)+VLOOKUP(V$4,$DE$6:$DF$17,2)+1))*(VLOOKUP($A71,CURVES!$D$9:$K$261,3))*(INDEX(DailyScalarsTable,V$5/100,MONTH($A71)))*$B71</f>
        <v>-159586.47746883059</v>
      </c>
      <c r="W71" s="1021">
        <f>(VLOOKUP(YEAR($A71),'NY East Load Projections'!$A$4:$EO$14,((MONTH($A71)-1)*12)+VLOOKUP(W$4,$DE$6:$DF$17,2)+1))*(VLOOKUP($A71,CURVES!$D$9:$K$261,3))*(INDEX(DailyScalarsTable,W$5/100,MONTH($A71)))*$B71</f>
        <v>-159847.60948170637</v>
      </c>
      <c r="X71" s="1021">
        <f>(VLOOKUP(YEAR($A71),'NY East Load Projections'!$A$4:$EO$14,((MONTH($A71)-1)*12)+VLOOKUP(X$4,$DE$6:$DF$17,2)+1))*(VLOOKUP($A71,CURVES!$D$9:$K$261,3))*(INDEX(DailyScalarsTable,X$5/100,MONTH($A71)))*$B71</f>
        <v>-153276.14156806734</v>
      </c>
      <c r="Y71" s="1021">
        <f>(VLOOKUP(YEAR($A71),'NY East Load Projections'!$A$4:$EO$14,((MONTH($A71)-1)*12)+VLOOKUP(Y$4,$DE$6:$DF$17,2)+1))*(VLOOKUP($A71,CURVES!$D$9:$K$261,3))*(INDEX(DailyScalarsTable,Y$5/100,MONTH($A71)))*$B71</f>
        <v>-148725.98711362996</v>
      </c>
      <c r="Z71" s="1021">
        <f>(VLOOKUP(YEAR($A71),'NY East Load Projections'!$A$4:$EO$14,((MONTH($A71)-1)*12)+VLOOKUP(Z$4,$DE$6:$DF$17,2)+1))*(VLOOKUP($A71,CURVES!$D$9:$K$261,3))*(INDEX(DailyScalarsTable,Z$5/100,MONTH($A71)))*$B71</f>
        <v>-126993.66096481922</v>
      </c>
      <c r="AA71" s="1021">
        <f>(VLOOKUP(YEAR($A71),'NY East Load Projections'!$A$4:$EO$14,((MONTH($A71)-1)*12)+VLOOKUP(AA$4,$DE$6:$DF$17,2)+1))*(VLOOKUP($A71,CURVES!$D$9:$K$261,3))*(INDEX(DailyScalarsTable,AA$5/100,MONTH($A71)))*$B71</f>
        <v>-101548.93443079972</v>
      </c>
      <c r="AB71" s="1021">
        <f>(VLOOKUP(YEAR($A71),'NY East Load Projections'!$A$4:$EO$14,((MONTH($A71)-1)*12)+VLOOKUP(AB$4,$DE$6:$DF$17,2)+1))*(VLOOKUP($A71,CURVES!$D$9:$K$261,3))*(INDEX(DailyScalarsTable,AB$5/100,MONTH($A71)))*$B71</f>
        <v>-97525.406073159684</v>
      </c>
      <c r="AC71" s="1021">
        <f>(VLOOKUP(YEAR($A71),'NY East Load Projections'!$A$4:$EO$14,((MONTH($A71)-1)*12)+VLOOKUP(AC$4,$DE$6:$DF$17,2)+1))*(VLOOKUP($A71,CURVES!$D$9:$K$261,3))*(INDEX(DailyScalarsTable,AC$5/100,MONTH($A71)))*$B71</f>
        <v>-99369.068855429927</v>
      </c>
      <c r="AD71" s="1021">
        <f>(VLOOKUP(YEAR($A71),'NY East Load Projections'!$A$4:$EO$14,((MONTH($A71)-1)*12)+VLOOKUP(AD$4,$DE$6:$DF$17,2)+1))*(VLOOKUP($A71,CURVES!$D$9:$K$261,3))*(INDEX(DailyScalarsTable,AD$5/100,MONTH($A71)))*$B71</f>
        <v>-79683.976471505448</v>
      </c>
      <c r="AE71" s="1021">
        <f>(VLOOKUP(YEAR($A71),'NY East Load Projections'!$A$4:$EO$14,((MONTH($A71)-1)*12)+VLOOKUP(AE$4,$DE$6:$DF$17,2)+1))*(VLOOKUP($A71,CURVES!$D$9:$K$261,7))*(INDEX(DailyScalarsTable,AE$5/100,MONTH($A71)))*$B71</f>
        <v>-60277.694407080402</v>
      </c>
      <c r="AF71" s="1021"/>
      <c r="AG71" s="1021">
        <f>(VLOOKUP(YEAR($A71),'NY East Load Projections'!$A$4:$EO$14,((MONTH($A71)-1)*12)+VLOOKUP(AG$4,$DE$6:$DF$17,2)+1))*(VLOOKUP($A71,CURVES!$D$9:$T$261,7))*(INDEX(DailyScalarsTable,AG$5/100,MONTH($A71)))*$C71</f>
        <v>-8716.5261343286711</v>
      </c>
      <c r="AH71" s="1021">
        <f>(VLOOKUP(YEAR($A71),'NY East Load Projections'!$A$4:$EO$14,((MONTH($A71)-1)*12)+VLOOKUP(AH$4,$DE$6:$DF$17,2)+1))*(VLOOKUP($A71,CURVES!$D$9:$T$261,7))*(INDEX(DailyScalarsTable,AH$5/100,MONTH($A71)))*$C71</f>
        <v>-7221.7545679093701</v>
      </c>
      <c r="AI71" s="1021">
        <f>(VLOOKUP(YEAR($A71),'NY East Load Projections'!$A$4:$EO$14,((MONTH($A71)-1)*12)+VLOOKUP(AI$4,$DE$6:$DF$17,2)+1))*(VLOOKUP($A71,CURVES!$D$9:$T$261,7))*(INDEX(DailyScalarsTable,AI$5/100,MONTH($A71)))*$C71</f>
        <v>-6070.557361532713</v>
      </c>
      <c r="AJ71" s="1021">
        <f>(VLOOKUP(YEAR($A71),'NY East Load Projections'!$A$4:$EO$14,((MONTH($A71)-1)*12)+VLOOKUP(AJ$4,$DE$6:$DF$17,2)+1))*(VLOOKUP($A71,CURVES!$D$9:$T$261,7))*(INDEX(DailyScalarsTable,AJ$5/100,MONTH($A71)))*$C71</f>
        <v>-5635.5119056345593</v>
      </c>
      <c r="AK71" s="1021">
        <f>(VLOOKUP(YEAR($A71),'NY East Load Projections'!$A$4:$EO$14,((MONTH($A71)-1)*12)+VLOOKUP(AK$4,$DE$6:$DF$17,2)+1))*(VLOOKUP($A71,CURVES!$D$9:$T$261,7))*(INDEX(DailyScalarsTable,AK$5/100,MONTH($A71)))*$C71</f>
        <v>-6170.4465698851482</v>
      </c>
      <c r="AL71" s="1021">
        <f>(VLOOKUP(YEAR($A71),'NY East Load Projections'!$A$4:$EO$14,((MONTH($A71)-1)*12)+VLOOKUP(AL$4,$DE$6:$DF$17,2)+1))*(VLOOKUP($A71,CURVES!$D$9:$T$261,7))*(INDEX(DailyScalarsTable,AL$5/100,MONTH($A71)))*$C71</f>
        <v>-7528.3952128197252</v>
      </c>
      <c r="AM71" s="1021">
        <f>(VLOOKUP(YEAR($A71),'NY East Load Projections'!$A$4:$EO$14,((MONTH($A71)-1)*12)+VLOOKUP(AM$4,$DE$6:$DF$17,2)+1))*(VLOOKUP($A71,CURVES!$D$9:$T$261,7))*(INDEX(DailyScalarsTable,AM$5/100,MONTH($A71)))*$C71</f>
        <v>-8631.8692344415213</v>
      </c>
      <c r="AN71" s="1021">
        <f>(VLOOKUP(YEAR($A71),'NY East Load Projections'!$A$4:$EO$14,((MONTH($A71)-1)*12)+VLOOKUP(AN$4,$DE$6:$DF$17,2)+1))*(VLOOKUP($A71,SatSunCurve,3))*(INDEX(DailyScalarsTable,AN$5/100,MONTH($A71)))*$C71</f>
        <v>-6751.9314428205489</v>
      </c>
      <c r="AO71" s="1021">
        <f>(VLOOKUP(YEAR($A71),'NY East Load Projections'!$A$4:$EO$14,((MONTH($A71)-1)*12)+VLOOKUP(AO$4,$DE$6:$DF$17,2)+1))*(VLOOKUP($A71,SatSunCurve,3))*(INDEX(DailyScalarsTable,AO$5/100,MONTH($A71)))*$C71</f>
        <v>-8622.1135686166344</v>
      </c>
      <c r="AP71" s="1021">
        <f>(VLOOKUP(YEAR($A71),'NY East Load Projections'!$A$4:$EO$14,((MONTH($A71)-1)*12)+VLOOKUP(AP$4,$DE$6:$DF$17,2)+1))*(VLOOKUP($A71,SatSunCurve,3))*(INDEX(DailyScalarsTable,AP$5/100,MONTH($A71)))*$C71</f>
        <v>-9643.7697951521004</v>
      </c>
      <c r="AQ71" s="1021">
        <f>(VLOOKUP(YEAR($A71),'NY East Load Projections'!$A$4:$EO$14,((MONTH($A71)-1)*12)+VLOOKUP(AQ$4,$DE$6:$DF$17,2)+1))*(VLOOKUP($A71,SatSunCurve,3))*(INDEX(DailyScalarsTable,AQ$5/100,MONTH($A71)))*$C71</f>
        <v>-11093.131217115877</v>
      </c>
      <c r="AR71" s="1021">
        <f>(VLOOKUP(YEAR($A71),'NY East Load Projections'!$A$4:$EO$14,((MONTH($A71)-1)*12)+VLOOKUP(AR$4,$DE$6:$DF$17,2)+1))*(VLOOKUP($A71,SatSunCurve,3))*(INDEX(DailyScalarsTable,AR$5/100,MONTH($A71)))*$C71</f>
        <v>-11963.654865761484</v>
      </c>
      <c r="AS71" s="1021">
        <f>(VLOOKUP(YEAR($A71),'NY East Load Projections'!$A$4:$EO$14,((MONTH($A71)-1)*12)+VLOOKUP(AS$4,$DE$6:$DF$17,2)+1))*(VLOOKUP($A71,SatSunCurve,3))*(INDEX(DailyScalarsTable,AS$5/100,MONTH($A71)))*$C71</f>
        <v>-12772.752777713911</v>
      </c>
      <c r="AT71" s="1021">
        <f>(VLOOKUP(YEAR($A71),'NY East Load Projections'!$A$4:$EO$14,((MONTH($A71)-1)*12)+VLOOKUP(AT$4,$DE$6:$DF$17,2)+1))*(VLOOKUP($A71,SatSunCurve,3))*(INDEX(DailyScalarsTable,AT$5/100,MONTH($A71)))*$C71</f>
        <v>-14125.180162759963</v>
      </c>
      <c r="AU71" s="1021">
        <f>(VLOOKUP(YEAR($A71),'NY East Load Projections'!$A$4:$EO$14,((MONTH($A71)-1)*12)+VLOOKUP(AU$4,$DE$6:$DF$17,2)+1))*(VLOOKUP($A71,SatSunCurve,3))*(INDEX(DailyScalarsTable,AU$5/100,MONTH($A71)))*$C71</f>
        <v>-14233.871227000176</v>
      </c>
      <c r="AV71" s="1021">
        <f>(VLOOKUP(YEAR($A71),'NY East Load Projections'!$A$4:$EO$14,((MONTH($A71)-1)*12)+VLOOKUP(AV$4,$DE$6:$DF$17,2)+1))*(VLOOKUP($A71,SatSunCurve,3))*(INDEX(DailyScalarsTable,AV$5/100,MONTH($A71)))*$C71</f>
        <v>-14257.162169337362</v>
      </c>
      <c r="AW71" s="1021">
        <f>(VLOOKUP(YEAR($A71),'NY East Load Projections'!$A$4:$EO$14,((MONTH($A71)-1)*12)+VLOOKUP(AW$4,$DE$6:$DF$17,2)+1))*(VLOOKUP($A71,SatSunCurve,3))*(INDEX(DailyScalarsTable,AW$5/100,MONTH($A71)))*$C71</f>
        <v>-13816.374042655834</v>
      </c>
      <c r="AX71" s="1021">
        <f>(VLOOKUP(YEAR($A71),'NY East Load Projections'!$A$4:$EO$14,((MONTH($A71)-1)*12)+VLOOKUP(AX$4,$DE$6:$DF$17,2)+1))*(VLOOKUP($A71,SatSunCurve,3))*(INDEX(DailyScalarsTable,AX$5/100,MONTH($A71)))*$C71</f>
        <v>-13406.221260551483</v>
      </c>
      <c r="AY71" s="1021">
        <f>(VLOOKUP(YEAR($A71),'NY East Load Projections'!$A$4:$EO$14,((MONTH($A71)-1)*12)+VLOOKUP(AY$4,$DE$6:$DF$17,2)+1))*(VLOOKUP($A71,SatSunCurve,3))*(INDEX(DailyScalarsTable,AY$5/100,MONTH($A71)))*$C71</f>
        <v>-11447.260499814836</v>
      </c>
      <c r="AZ71" s="1021">
        <f>(VLOOKUP(YEAR($A71),'NY East Load Projections'!$A$4:$EO$14,((MONTH($A71)-1)*12)+VLOOKUP(AZ$4,$DE$6:$DF$17,2)+1))*(VLOOKUP($A71,SatSunCurve,3))*(INDEX(DailyScalarsTable,AZ$5/100,MONTH($A71)))*$C71</f>
        <v>-9153.6624511519003</v>
      </c>
      <c r="BA71" s="1021">
        <f>(VLOOKUP(YEAR($A71),'NY East Load Projections'!$A$4:$EO$14,((MONTH($A71)-1)*12)+VLOOKUP(BA$4,$DE$6:$DF$17,2)+1))*(VLOOKUP($A71,SatSunCurve,3))*(INDEX(DailyScalarsTable,BA$5/100,MONTH($A71)))*$C71</f>
        <v>-9458.2433750156779</v>
      </c>
      <c r="BB71" s="1021">
        <f>(VLOOKUP(YEAR($A71),'NY East Load Projections'!$A$4:$EO$14,((MONTH($A71)-1)*12)+VLOOKUP(BB$4,$DE$6:$DF$17,2)+1))*(VLOOKUP($A71,SatSunCurve,3))*(INDEX(DailyScalarsTable,BB$5/100,MONTH($A71)))*$C71</f>
        <v>-9637.046130095614</v>
      </c>
      <c r="BC71" s="1021">
        <f>(VLOOKUP(YEAR($A71),'NY East Load Projections'!$A$4:$EO$14,((MONTH($A71)-1)*12)+VLOOKUP(BC$4,$DE$6:$DF$17,2)+1))*(VLOOKUP($A71,SatSunCurve,3))*(INDEX(DailyScalarsTable,BC$5/100,MONTH($A71)))*$C71</f>
        <v>-7727.9395482972704</v>
      </c>
      <c r="BD71" s="1021">
        <f>(VLOOKUP(YEAR($A71),'NY East Load Projections'!$A$4:$EO$14,((MONTH($A71)-1)*12)+VLOOKUP(BD$4,$DE$6:$DF$17,2)+1))*(VLOOKUP($A71,CURVES!$D$9:$T$261,7))*(INDEX(DailyScalarsTable,BD$5/100,MONTH($A71)))*$C71</f>
        <v>-10744.980844251981</v>
      </c>
      <c r="BE71" s="1021"/>
      <c r="BF71" s="1021">
        <f>(VLOOKUP(YEAR($A71),'NY East Load Projections'!$A$4:$EO$14,((MONTH($A71)-1)*12)+VLOOKUP(BF$4,$DE$6:$DF$17,2)+1))*(VLOOKUP($A71,CURVES!$D$9:$T$261,7))*(INDEX(DailyScalarsTable,BF$5/100,MONTH($A71)))*$D71</f>
        <v>-8716.5261343286711</v>
      </c>
      <c r="BG71" s="1021">
        <f>(VLOOKUP(YEAR($A71),'NY East Load Projections'!$A$4:$EO$14,((MONTH($A71)-1)*12)+VLOOKUP(BG$4,$DE$6:$DF$17,2)+1))*(VLOOKUP($A71,CURVES!$D$9:$T$261,7))*(INDEX(DailyScalarsTable,BG$5/100,MONTH($A71)))*$D71</f>
        <v>-7221.7545679093701</v>
      </c>
      <c r="BH71" s="1021">
        <f>(VLOOKUP(YEAR($A71),'NY East Load Projections'!$A$4:$EO$14,((MONTH($A71)-1)*12)+VLOOKUP(BH$4,$DE$6:$DF$17,2)+1))*(VLOOKUP($A71,CURVES!$D$9:$T$261,7))*(INDEX(DailyScalarsTable,BH$5/100,MONTH($A71)))*$D71</f>
        <v>-6070.557361532713</v>
      </c>
      <c r="BI71" s="1021">
        <f>(VLOOKUP(YEAR($A71),'NY East Load Projections'!$A$4:$EO$14,((MONTH($A71)-1)*12)+VLOOKUP(BI$4,$DE$6:$DF$17,2)+1))*(VLOOKUP($A71,CURVES!$D$9:$T$261,7))*(INDEX(DailyScalarsTable,BI$5/100,MONTH($A71)))*$D71</f>
        <v>-5635.5119056345593</v>
      </c>
      <c r="BJ71" s="1021">
        <f>(VLOOKUP(YEAR($A71),'NY East Load Projections'!$A$4:$EO$14,((MONTH($A71)-1)*12)+VLOOKUP(BJ$4,$DE$6:$DF$17,2)+1))*(VLOOKUP($A71,CURVES!$D$9:$T$261,7))*(INDEX(DailyScalarsTable,BJ$5/100,MONTH($A71)))*$D71</f>
        <v>-6170.4465698851482</v>
      </c>
      <c r="BK71" s="1021">
        <f>(VLOOKUP(YEAR($A71),'NY East Load Projections'!$A$4:$EO$14,((MONTH($A71)-1)*12)+VLOOKUP(BK$4,$DE$6:$DF$17,2)+1))*(VLOOKUP($A71,CURVES!$D$9:$T$261,7))*(INDEX(DailyScalarsTable,BK$5/100,MONTH($A71)))*$D71</f>
        <v>-7528.3952128197252</v>
      </c>
      <c r="BL71" s="1021">
        <f>(VLOOKUP(YEAR($A71),'NY East Load Projections'!$A$4:$EO$14,((MONTH($A71)-1)*12)+VLOOKUP(BL$4,$DE$6:$DF$17,2)+1))*(VLOOKUP($A71,CURVES!$D$9:$T$261,7))*(INDEX(DailyScalarsTable,BL$5/100,MONTH($A71)))*$D71</f>
        <v>-8631.8692344415213</v>
      </c>
      <c r="BM71" s="1021">
        <f>(VLOOKUP(YEAR($A71),'NY East Load Projections'!$A$4:$EO$14,((MONTH($A71)-1)*12)+VLOOKUP(BM$4,$DE$6:$DF$17,2)+1))*(VLOOKUP($A71,SatSunCurve,7))*(INDEX(DailyScalarsTable,BM$5/100,MONTH($A71)))*$D71</f>
        <v>-5101.5435914208356</v>
      </c>
      <c r="BN71" s="1021">
        <f>(VLOOKUP(YEAR($A71),'NY East Load Projections'!$A$4:$EO$14,((MONTH($A71)-1)*12)+VLOOKUP(BN$4,$DE$6:$DF$17,2)+1))*(VLOOKUP($A71,SatSunCurve,7))*(INDEX(DailyScalarsTable,BN$5/100,MONTH($A71)))*$D71</f>
        <v>-6514.593430484254</v>
      </c>
      <c r="BO71" s="1021">
        <f>(VLOOKUP(YEAR($A71),'NY East Load Projections'!$A$4:$EO$14,((MONTH($A71)-1)*12)+VLOOKUP(BO$4,$DE$6:$DF$17,2)+1))*(VLOOKUP($A71,SatSunCurve,7))*(INDEX(DailyScalarsTable,BO$5/100,MONTH($A71)))*$D71</f>
        <v>-7286.5242208448753</v>
      </c>
      <c r="BP71" s="1021">
        <f>(VLOOKUP(YEAR($A71),'NY East Load Projections'!$A$4:$EO$14,((MONTH($A71)-1)*12)+VLOOKUP(BP$4,$DE$6:$DF$17,2)+1))*(VLOOKUP($A71,SatSunCurve,7))*(INDEX(DailyScalarsTable,BP$5/100,MONTH($A71)))*$D71</f>
        <v>-8381.6153864600183</v>
      </c>
      <c r="BQ71" s="1021">
        <f>(VLOOKUP(YEAR($A71),'NY East Load Projections'!$A$4:$EO$14,((MONTH($A71)-1)*12)+VLOOKUP(BQ$4,$DE$6:$DF$17,2)+1))*(VLOOKUP($A71,SatSunCurve,7))*(INDEX(DailyScalarsTable,BQ$5/100,MONTH($A71)))*$D71</f>
        <v>-9039.3552315010256</v>
      </c>
      <c r="BR71" s="1021">
        <f>(VLOOKUP(YEAR($A71),'NY East Load Projections'!$A$4:$EO$14,((MONTH($A71)-1)*12)+VLOOKUP(BR$4,$DE$6:$DF$17,2)+1))*(VLOOKUP($A71,SatSunCurve,7))*(INDEX(DailyScalarsTable,BR$5/100,MONTH($A71)))*$D71</f>
        <v>-9650.6837532000864</v>
      </c>
      <c r="BS71" s="1021">
        <f>(VLOOKUP(YEAR($A71),'NY East Load Projections'!$A$4:$EO$14,((MONTH($A71)-1)*12)+VLOOKUP(BS$4,$DE$6:$DF$17,2)+1))*(VLOOKUP($A71,SatSunCurve,7))*(INDEX(DailyScalarsTable,BS$5/100,MONTH($A71)))*$D71</f>
        <v>-10672.534658748016</v>
      </c>
      <c r="BT71" s="1021">
        <f>(VLOOKUP(YEAR($A71),'NY East Load Projections'!$A$4:$EO$14,((MONTH($A71)-1)*12)+VLOOKUP(BT$4,$DE$6:$DF$17,2)+1))*(VLOOKUP($A71,SatSunCurve,7))*(INDEX(DailyScalarsTable,BT$5/100,MONTH($A71)))*$D71</f>
        <v>-10754.65815287931</v>
      </c>
      <c r="BU71" s="1021">
        <f>(VLOOKUP(YEAR($A71),'NY East Load Projections'!$A$4:$EO$14,((MONTH($A71)-1)*12)+VLOOKUP(BU$4,$DE$6:$DF$17,2)+1))*(VLOOKUP($A71,SatSunCurve,7))*(INDEX(DailyScalarsTable,BU$5/100,MONTH($A71)))*$D71</f>
        <v>-10772.256044478869</v>
      </c>
      <c r="BV71" s="1021">
        <f>(VLOOKUP(YEAR($A71),'NY East Load Projections'!$A$4:$EO$14,((MONTH($A71)-1)*12)+VLOOKUP(BV$4,$DE$6:$DF$17,2)+1))*(VLOOKUP($A71,SatSunCurve,7))*(INDEX(DailyScalarsTable,BV$5/100,MONTH($A71)))*$D71</f>
        <v>-10439.210624529054</v>
      </c>
      <c r="BW71" s="1021">
        <f>(VLOOKUP(YEAR($A71),'NY East Load Projections'!$A$4:$EO$14,((MONTH($A71)-1)*12)+VLOOKUP(BW$4,$DE$6:$DF$17,2)+1))*(VLOOKUP($A71,SatSunCurve,7))*(INDEX(DailyScalarsTable,BW$5/100,MONTH($A71)))*$D71</f>
        <v>-10129.312291767874</v>
      </c>
      <c r="BX71" s="1021">
        <f>(VLOOKUP(YEAR($A71),'NY East Load Projections'!$A$4:$EO$14,((MONTH($A71)-1)*12)+VLOOKUP(BX$4,$DE$6:$DF$17,2)+1))*(VLOOKUP($A71,SatSunCurve,7))*(INDEX(DailyScalarsTable,BX$5/100,MONTH($A71)))*$D71</f>
        <v>-8649.1841537063665</v>
      </c>
      <c r="BY71" s="1021">
        <f>(VLOOKUP(YEAR($A71),'NY East Load Projections'!$A$4:$EO$14,((MONTH($A71)-1)*12)+VLOOKUP(BY$4,$DE$6:$DF$17,2)+1))*(VLOOKUP($A71,SatSunCurve,7))*(INDEX(DailyScalarsTable,BY$5/100,MONTH($A71)))*$D71</f>
        <v>-6916.2147766411554</v>
      </c>
      <c r="BZ71" s="1021">
        <f>(VLOOKUP(YEAR($A71),'NY East Load Projections'!$A$4:$EO$14,((MONTH($A71)-1)*12)+VLOOKUP(BZ$4,$DE$6:$DF$17,2)+1))*(VLOOKUP($A71,SatSunCurve,7))*(INDEX(DailyScalarsTable,BZ$5/100,MONTH($A71)))*$D71</f>
        <v>-7146.3463876275964</v>
      </c>
      <c r="CA71" s="1021">
        <f>(VLOOKUP(YEAR($A71),'NY East Load Projections'!$A$4:$EO$14,((MONTH($A71)-1)*12)+VLOOKUP(CA$4,$DE$6:$DF$17,2)+1))*(VLOOKUP($A71,SatSunCurve,7))*(INDEX(DailyScalarsTable,CA$5/100,MONTH($A71)))*$D71</f>
        <v>-7281.4440344315135</v>
      </c>
      <c r="CB71" s="1021">
        <f>(VLOOKUP(YEAR($A71),'NY East Load Projections'!$A$4:$EO$14,((MONTH($A71)-1)*12)+VLOOKUP(CB$4,$DE$6:$DF$17,2)+1))*(VLOOKUP($A71,SatSunCurve,7))*(INDEX(DailyScalarsTable,CB$5/100,MONTH($A71)))*$D71</f>
        <v>-5838.9841205251387</v>
      </c>
      <c r="CC71" s="1021">
        <f>(VLOOKUP(YEAR($A71),'NY East Load Projections'!$A$4:$EO$14,((MONTH($A71)-1)*12)+VLOOKUP(CC$4,$DE$6:$DF$17,2)+1))*(VLOOKUP($A71,CURVES!$D$9:$T$261,7))*(INDEX(DailyScalarsTable,CC$5/100,MONTH($A71)))*$D71</f>
        <v>-10744.980844251981</v>
      </c>
      <c r="CE71" s="1021">
        <f>(VLOOKUP(YEAR($A71),'NY East Load Projections'!$A$4:$EO$14,((MONTH($A71)-1)*12)+VLOOKUP(CE$4,$DE$6:$DF$17,2)+1))*(VLOOKUP($A71,CURVES!$D$9:$T$261,7))*(INDEX(DailyScalarsTable,CE$5/100,MONTH($A71)))*$E71</f>
        <v>0</v>
      </c>
      <c r="CF71" s="1021">
        <f>(VLOOKUP(YEAR($A71),'NY East Load Projections'!$A$4:$EO$14,((MONTH($A71)-1)*12)+VLOOKUP(CF$4,$DE$6:$DF$17,2)+1))*(VLOOKUP($A71,CURVES!$D$9:$T$261,7))*(INDEX(DailyScalarsTable,CF$5/100,MONTH($A71)))*$E71</f>
        <v>0</v>
      </c>
      <c r="CG71" s="1021">
        <f>(VLOOKUP(YEAR($A71),'NY East Load Projections'!$A$4:$EO$14,((MONTH($A71)-1)*12)+VLOOKUP(CG$4,$DE$6:$DF$17,2)+1))*(VLOOKUP($A71,CURVES!$D$9:$T$261,7))*(INDEX(DailyScalarsTable,CG$5/100,MONTH($A71)))*$E71</f>
        <v>0</v>
      </c>
      <c r="CH71" s="1021">
        <f>(VLOOKUP(YEAR($A71),'NY East Load Projections'!$A$4:$EO$14,((MONTH($A71)-1)*12)+VLOOKUP(CH$4,$DE$6:$DF$17,2)+1))*(VLOOKUP($A71,CURVES!$D$9:$T$261,7))*(INDEX(DailyScalarsTable,CH$5/100,MONTH($A71)))*$E71</f>
        <v>0</v>
      </c>
      <c r="CI71" s="1021">
        <f>(VLOOKUP(YEAR($A71),'NY East Load Projections'!$A$4:$EO$14,((MONTH($A71)-1)*12)+VLOOKUP(CI$4,$DE$6:$DF$17,2)+1))*(VLOOKUP($A71,CURVES!$D$9:$T$261,7))*(INDEX(DailyScalarsTable,CI$5/100,MONTH($A71)))*$E71</f>
        <v>0</v>
      </c>
      <c r="CJ71" s="1021">
        <f>(VLOOKUP(YEAR($A71),'NY East Load Projections'!$A$4:$EO$14,((MONTH($A71)-1)*12)+VLOOKUP(CJ$4,$DE$6:$DF$17,2)+1))*(VLOOKUP($A71,CURVES!$D$9:$T$261,7))*(INDEX(DailyScalarsTable,CJ$5/100,MONTH($A71)))*$E71</f>
        <v>0</v>
      </c>
      <c r="CK71" s="1021">
        <f>(VLOOKUP(YEAR($A71),'NY East Load Projections'!$A$4:$EO$14,((MONTH($A71)-1)*12)+VLOOKUP(CK$4,$DE$6:$DF$17,2)+1))*(VLOOKUP($A71,CURVES!$D$9:$T$261,7))*(INDEX(DailyScalarsTable,CK$5/100,MONTH($A71)))*$E71</f>
        <v>0</v>
      </c>
      <c r="CL71" s="1021">
        <f>(VLOOKUP(YEAR($A71),'NY East Load Projections'!$A$4:$EO$14,((MONTH($A71)-1)*12)+VLOOKUP(CL$4,$DE$6:$DF$17,2)+1))*(VLOOKUP($A71,SatSunCurve,7))*(INDEX(DailyScalarsTable,CL$5/100,MONTH($A71)))*$E71</f>
        <v>0</v>
      </c>
      <c r="CM71" s="1021">
        <f>(VLOOKUP(YEAR($A71),'NY East Load Projections'!$A$4:$EO$14,((MONTH($A71)-1)*12)+VLOOKUP(CM$4,$DE$6:$DF$17,2)+1))*(VLOOKUP($A71,SatSunCurve,7))*(INDEX(DailyScalarsTable,CM$5/100,MONTH($A71)))*$E71</f>
        <v>0</v>
      </c>
      <c r="CN71" s="1021">
        <f>(VLOOKUP(YEAR($A71),'NY East Load Projections'!$A$4:$EO$14,((MONTH($A71)-1)*12)+VLOOKUP(CN$4,$DE$6:$DF$17,2)+1))*(VLOOKUP($A71,SatSunCurve,7))*(INDEX(DailyScalarsTable,CN$5/100,MONTH($A71)))*$E71</f>
        <v>0</v>
      </c>
      <c r="CO71" s="1021">
        <f>(VLOOKUP(YEAR($A71),'NY East Load Projections'!$A$4:$EO$14,((MONTH($A71)-1)*12)+VLOOKUP(CO$4,$DE$6:$DF$17,2)+1))*(VLOOKUP($A71,SatSunCurve,7))*(INDEX(DailyScalarsTable,CO$5/100,MONTH($A71)))*$E71</f>
        <v>0</v>
      </c>
      <c r="CP71" s="1021">
        <f>(VLOOKUP(YEAR($A71),'NY East Load Projections'!$A$4:$EO$14,((MONTH($A71)-1)*12)+VLOOKUP(CP$4,$DE$6:$DF$17,2)+1))*(VLOOKUP($A71,SatSunCurve,7))*(INDEX(DailyScalarsTable,CP$5/100,MONTH($A71)))*$E71</f>
        <v>0</v>
      </c>
      <c r="CQ71" s="1021">
        <f>(VLOOKUP(YEAR($A71),'NY East Load Projections'!$A$4:$EO$14,((MONTH($A71)-1)*12)+VLOOKUP(CQ$4,$DE$6:$DF$17,2)+1))*(VLOOKUP($A71,SatSunCurve,7))*(INDEX(DailyScalarsTable,CQ$5/100,MONTH($A71)))*$E71</f>
        <v>0</v>
      </c>
      <c r="CR71" s="1021">
        <f>(VLOOKUP(YEAR($A71),'NY East Load Projections'!$A$4:$EO$14,((MONTH($A71)-1)*12)+VLOOKUP(CR$4,$DE$6:$DF$17,2)+1))*(VLOOKUP($A71,SatSunCurve,7))*(INDEX(DailyScalarsTable,CR$5/100,MONTH($A71)))*$E71</f>
        <v>0</v>
      </c>
      <c r="CS71" s="1021">
        <f>(VLOOKUP(YEAR($A71),'NY East Load Projections'!$A$4:$EO$14,((MONTH($A71)-1)*12)+VLOOKUP(CS$4,$DE$6:$DF$17,2)+1))*(VLOOKUP($A71,SatSunCurve,7))*(INDEX(DailyScalarsTable,CS$5/100,MONTH($A71)))*$E71</f>
        <v>0</v>
      </c>
      <c r="CT71" s="1021">
        <f>(VLOOKUP(YEAR($A71),'NY East Load Projections'!$A$4:$EO$14,((MONTH($A71)-1)*12)+VLOOKUP(CT$4,$DE$6:$DF$17,2)+1))*(VLOOKUP($A71,SatSunCurve,7))*(INDEX(DailyScalarsTable,CT$5/100,MONTH($A71)))*$E71</f>
        <v>0</v>
      </c>
      <c r="CU71" s="1021">
        <f>(VLOOKUP(YEAR($A71),'NY East Load Projections'!$A$4:$EO$14,((MONTH($A71)-1)*12)+VLOOKUP(CU$4,$DE$6:$DF$17,2)+1))*(VLOOKUP($A71,SatSunCurve,7))*(INDEX(DailyScalarsTable,CU$5/100,MONTH($A71)))*$E71</f>
        <v>0</v>
      </c>
      <c r="CV71" s="1021">
        <f>(VLOOKUP(YEAR($A71),'NY East Load Projections'!$A$4:$EO$14,((MONTH($A71)-1)*12)+VLOOKUP(CV$4,$DE$6:$DF$17,2)+1))*(VLOOKUP($A71,SatSunCurve,7))*(INDEX(DailyScalarsTable,CV$5/100,MONTH($A71)))*$E71</f>
        <v>0</v>
      </c>
      <c r="CW71" s="1021">
        <f>(VLOOKUP(YEAR($A71),'NY East Load Projections'!$A$4:$EO$14,((MONTH($A71)-1)*12)+VLOOKUP(CW$4,$DE$6:$DF$17,2)+1))*(VLOOKUP($A71,SatSunCurve,7))*(INDEX(DailyScalarsTable,CW$5/100,MONTH($A71)))*$E71</f>
        <v>0</v>
      </c>
      <c r="CX71" s="1021">
        <f>(VLOOKUP(YEAR($A71),'NY East Load Projections'!$A$4:$EO$14,((MONTH($A71)-1)*12)+VLOOKUP(CX$4,$DE$6:$DF$17,2)+1))*(VLOOKUP($A71,SatSunCurve,7))*(INDEX(DailyScalarsTable,CX$5/100,MONTH($A71)))*$E71</f>
        <v>0</v>
      </c>
      <c r="CY71" s="1021">
        <f>(VLOOKUP(YEAR($A71),'NY East Load Projections'!$A$4:$EO$14,((MONTH($A71)-1)*12)+VLOOKUP(CY$4,$DE$6:$DF$17,2)+1))*(VLOOKUP($A71,SatSunCurve,7))*(INDEX(DailyScalarsTable,CY$5/100,MONTH($A71)))*$E71</f>
        <v>0</v>
      </c>
      <c r="CZ71" s="1021">
        <f>(VLOOKUP(YEAR($A71),'NY East Load Projections'!$A$4:$EO$14,((MONTH($A71)-1)*12)+VLOOKUP(CZ$4,$DE$6:$DF$17,2)+1))*(VLOOKUP($A71,SatSunCurve,7))*(INDEX(DailyScalarsTable,CZ$5/100,MONTH($A71)))*$E71</f>
        <v>0</v>
      </c>
      <c r="DA71" s="1021">
        <f>(VLOOKUP(YEAR($A71),'NY East Load Projections'!$A$4:$EO$14,((MONTH($A71)-1)*12)+VLOOKUP(DA$4,$DE$6:$DF$17,2)+1))*(VLOOKUP($A71,SatSunCurve,7))*(INDEX(DailyScalarsTable,DA$5/100,MONTH($A71)))*$E71</f>
        <v>0</v>
      </c>
      <c r="DB71" s="1021">
        <f>(VLOOKUP(YEAR($A71),'NY East Load Projections'!$A$4:$EO$14,((MONTH($A71)-1)*12)+VLOOKUP(DB$4,$DE$6:$DF$17,2)+1))*(VLOOKUP($A71,CURVES!$D$9:$T$261,7))*(INDEX(DailyScalarsTable,DB$5/100,MONTH($A71)))*$E71</f>
        <v>0</v>
      </c>
      <c r="DH71" s="1032">
        <f t="shared" ref="DH71:DH125" si="2">SUM(H71:DB71)</f>
        <v>-2740423.0570388604</v>
      </c>
      <c r="DI71">
        <f ca="1">CALC!J91</f>
        <v>0.63108905735073273</v>
      </c>
      <c r="DJ71" s="1029">
        <f t="shared" ref="DJ71:DJ125" ca="1" si="3">DH71*DI71</f>
        <v>-1729451.0038088677</v>
      </c>
    </row>
    <row r="72" spans="1:114" x14ac:dyDescent="0.25">
      <c r="A72" s="244">
        <v>38899</v>
      </c>
      <c r="B72" s="13">
        <v>20</v>
      </c>
      <c r="C72" s="210">
        <v>5</v>
      </c>
      <c r="D72" s="210">
        <v>5</v>
      </c>
      <c r="E72" s="210">
        <v>1</v>
      </c>
      <c r="F72" s="13">
        <v>31</v>
      </c>
      <c r="H72" s="1021">
        <f>(VLOOKUP(YEAR($A72),'NY East Load Projections'!$A$4:$EO$14,((MONTH($A72)-1)*12)+VLOOKUP(H$4,$DE$6:$DF$17,2)+1))*(VLOOKUP($A72,CURVES!$D$9:$K$261,7))*(INDEX(DailyScalarsTable,H$5/100,MONTH($A72)))*$B72</f>
        <v>-52346.545266871406</v>
      </c>
      <c r="I72" s="1021">
        <f>(VLOOKUP(YEAR($A72),'NY East Load Projections'!$A$4:$EO$14,((MONTH($A72)-1)*12)+VLOOKUP(I$4,$DE$6:$DF$17,2)+1))*(VLOOKUP($A72,CURVES!$D$9:$K$261,7))*(INDEX(DailyScalarsTable,I$5/100,MONTH($A72)))*$B72</f>
        <v>-47815.083754200132</v>
      </c>
      <c r="J72" s="1021">
        <f>(VLOOKUP(YEAR($A72),'NY East Load Projections'!$A$4:$EO$14,((MONTH($A72)-1)*12)+VLOOKUP(J$4,$DE$6:$DF$17,2)+1))*(VLOOKUP($A72,CURVES!$D$9:$K$261,7))*(INDEX(DailyScalarsTable,J$5/100,MONTH($A72)))*$B72</f>
        <v>-45559.55899226242</v>
      </c>
      <c r="K72" s="1021">
        <f>(VLOOKUP(YEAR($A72),'NY East Load Projections'!$A$4:$EO$14,((MONTH($A72)-1)*12)+VLOOKUP(K$4,$DE$6:$DF$17,2)+1))*(VLOOKUP($A72,CURVES!$D$9:$K$261,7))*(INDEX(DailyScalarsTable,K$5/100,MONTH($A72)))*$B72</f>
        <v>-41028.097479591146</v>
      </c>
      <c r="L72" s="1021">
        <f>(VLOOKUP(YEAR($A72),'NY East Load Projections'!$A$4:$EO$14,((MONTH($A72)-1)*12)+VLOOKUP(L$4,$DE$6:$DF$17,2)+1))*(VLOOKUP($A72,CURVES!$D$9:$K$261,7))*(INDEX(DailyScalarsTable,L$5/100,MONTH($A72)))*$B72</f>
        <v>-42607.197560385976</v>
      </c>
      <c r="M72" s="1021">
        <f>(VLOOKUP(YEAR($A72),'NY East Load Projections'!$A$4:$EO$14,((MONTH($A72)-1)*12)+VLOOKUP(M$4,$DE$6:$DF$17,2)+1))*(VLOOKUP($A72,CURVES!$D$9:$K$261,7))*(INDEX(DailyScalarsTable,M$5/100,MONTH($A72)))*$B72</f>
        <v>-46972.872153182325</v>
      </c>
      <c r="N72" s="1021">
        <f>(VLOOKUP(YEAR($A72),'NY East Load Projections'!$A$4:$EO$14,((MONTH($A72)-1)*12)+VLOOKUP(N$4,$DE$6:$DF$17,2)+1))*(VLOOKUP($A72,CURVES!$D$9:$K$261,7))*(INDEX(DailyScalarsTable,N$5/100,MONTH($A72)))*$B72</f>
        <v>-52164.786950241942</v>
      </c>
      <c r="O72" s="1021">
        <f>(VLOOKUP(YEAR($A72),'NY East Load Projections'!$A$4:$EO$14,((MONTH($A72)-1)*12)+VLOOKUP(O$4,$DE$6:$DF$17,2)+1))*(VLOOKUP($A72,CURVES!$D$9:$K$261,3))*(INDEX(DailyScalarsTable,O$5/100,MONTH($A72)))*$B72</f>
        <v>-87629.915653982549</v>
      </c>
      <c r="P72" s="1021">
        <f>(VLOOKUP(YEAR($A72),'NY East Load Projections'!$A$4:$EO$14,((MONTH($A72)-1)*12)+VLOOKUP(P$4,$DE$6:$DF$17,2)+1))*(VLOOKUP($A72,CURVES!$D$9:$K$261,3))*(INDEX(DailyScalarsTable,P$5/100,MONTH($A72)))*$B72</f>
        <v>-109033.89516170934</v>
      </c>
      <c r="Q72" s="1021">
        <f>(VLOOKUP(YEAR($A72),'NY East Load Projections'!$A$4:$EO$14,((MONTH($A72)-1)*12)+VLOOKUP(Q$4,$DE$6:$DF$17,2)+1))*(VLOOKUP($A72,CURVES!$D$9:$K$261,3))*(INDEX(DailyScalarsTable,Q$5/100,MONTH($A72)))*$B72</f>
        <v>-130543.46222747299</v>
      </c>
      <c r="R72" s="1021">
        <f>(VLOOKUP(YEAR($A72),'NY East Load Projections'!$A$4:$EO$14,((MONTH($A72)-1)*12)+VLOOKUP(R$4,$DE$6:$DF$17,2)+1))*(VLOOKUP($A72,CURVES!$D$9:$K$261,3))*(INDEX(DailyScalarsTable,R$5/100,MONTH($A72)))*$B72</f>
        <v>-148544.70247125666</v>
      </c>
      <c r="S72" s="1021">
        <f>(VLOOKUP(YEAR($A72),'NY East Load Projections'!$A$4:$EO$14,((MONTH($A72)-1)*12)+VLOOKUP(S$4,$DE$6:$DF$17,2)+1))*(VLOOKUP($A72,CURVES!$D$9:$K$261,3))*(INDEX(DailyScalarsTable,S$5/100,MONTH($A72)))*$B72</f>
        <v>-177591.81013271533</v>
      </c>
      <c r="T72" s="1021">
        <f>(VLOOKUP(YEAR($A72),'NY East Load Projections'!$A$4:$EO$14,((MONTH($A72)-1)*12)+VLOOKUP(T$4,$DE$6:$DF$17,2)+1))*(VLOOKUP($A72,CURVES!$D$9:$K$261,3))*(INDEX(DailyScalarsTable,T$5/100,MONTH($A72)))*$B72</f>
        <v>-199482.31506143682</v>
      </c>
      <c r="U72" s="1021">
        <f>(VLOOKUP(YEAR($A72),'NY East Load Projections'!$A$4:$EO$14,((MONTH($A72)-1)*12)+VLOOKUP(U$4,$DE$6:$DF$17,2)+1))*(VLOOKUP($A72,CURVES!$D$9:$K$261,3))*(INDEX(DailyScalarsTable,U$5/100,MONTH($A72)))*$B72</f>
        <v>-206196.26273491973</v>
      </c>
      <c r="V72" s="1021">
        <f>(VLOOKUP(YEAR($A72),'NY East Load Projections'!$A$4:$EO$14,((MONTH($A72)-1)*12)+VLOOKUP(V$4,$DE$6:$DF$17,2)+1))*(VLOOKUP($A72,CURVES!$D$9:$K$261,3))*(INDEX(DailyScalarsTable,V$5/100,MONTH($A72)))*$B72</f>
        <v>-214783.87022425831</v>
      </c>
      <c r="W72" s="1021">
        <f>(VLOOKUP(YEAR($A72),'NY East Load Projections'!$A$4:$EO$14,((MONTH($A72)-1)*12)+VLOOKUP(W$4,$DE$6:$DF$17,2)+1))*(VLOOKUP($A72,CURVES!$D$9:$K$261,3))*(INDEX(DailyScalarsTable,W$5/100,MONTH($A72)))*$B72</f>
        <v>-227946.33043064468</v>
      </c>
      <c r="X72" s="1021">
        <f>(VLOOKUP(YEAR($A72),'NY East Load Projections'!$A$4:$EO$14,((MONTH($A72)-1)*12)+VLOOKUP(X$4,$DE$6:$DF$17,2)+1))*(VLOOKUP($A72,CURVES!$D$9:$K$261,3))*(INDEX(DailyScalarsTable,X$5/100,MONTH($A72)))*$B72</f>
        <v>-220385.62026448705</v>
      </c>
      <c r="Y72" s="1021">
        <f>(VLOOKUP(YEAR($A72),'NY East Load Projections'!$A$4:$EO$14,((MONTH($A72)-1)*12)+VLOOKUP(Y$4,$DE$6:$DF$17,2)+1))*(VLOOKUP($A72,CURVES!$D$9:$K$261,3))*(INDEX(DailyScalarsTable,Y$5/100,MONTH($A72)))*$B72</f>
        <v>-214924.44949841386</v>
      </c>
      <c r="Z72" s="1021">
        <f>(VLOOKUP(YEAR($A72),'NY East Load Projections'!$A$4:$EO$14,((MONTH($A72)-1)*12)+VLOOKUP(Z$4,$DE$6:$DF$17,2)+1))*(VLOOKUP($A72,CURVES!$D$9:$K$261,3))*(INDEX(DailyScalarsTable,Z$5/100,MONTH($A72)))*$B72</f>
        <v>-179508.23908320215</v>
      </c>
      <c r="AA72" s="1021">
        <f>(VLOOKUP(YEAR($A72),'NY East Load Projections'!$A$4:$EO$14,((MONTH($A72)-1)*12)+VLOOKUP(AA$4,$DE$6:$DF$17,2)+1))*(VLOOKUP($A72,CURVES!$D$9:$K$261,3))*(INDEX(DailyScalarsTable,AA$5/100,MONTH($A72)))*$B72</f>
        <v>-132829.288958013</v>
      </c>
      <c r="AB72" s="1021">
        <f>(VLOOKUP(YEAR($A72),'NY East Load Projections'!$A$4:$EO$14,((MONTH($A72)-1)*12)+VLOOKUP(AB$4,$DE$6:$DF$17,2)+1))*(VLOOKUP($A72,CURVES!$D$9:$K$261,3))*(INDEX(DailyScalarsTable,AB$5/100,MONTH($A72)))*$B72</f>
        <v>-130011.62908515931</v>
      </c>
      <c r="AC72" s="1021">
        <f>(VLOOKUP(YEAR($A72),'NY East Load Projections'!$A$4:$EO$14,((MONTH($A72)-1)*12)+VLOOKUP(AC$4,$DE$6:$DF$17,2)+1))*(VLOOKUP($A72,CURVES!$D$9:$K$261,3))*(INDEX(DailyScalarsTable,AC$5/100,MONTH($A72)))*$B72</f>
        <v>-137764.91652531389</v>
      </c>
      <c r="AD72" s="1021">
        <f>(VLOOKUP(YEAR($A72),'NY East Load Projections'!$A$4:$EO$14,((MONTH($A72)-1)*12)+VLOOKUP(AD$4,$DE$6:$DF$17,2)+1))*(VLOOKUP($A72,CURVES!$D$9:$K$261,3))*(INDEX(DailyScalarsTable,AD$5/100,MONTH($A72)))*$B72</f>
        <v>-95671.899916096387</v>
      </c>
      <c r="AE72" s="1021">
        <f>(VLOOKUP(YEAR($A72),'NY East Load Projections'!$A$4:$EO$14,((MONTH($A72)-1)*12)+VLOOKUP(AE$4,$DE$6:$DF$17,2)+1))*(VLOOKUP($A72,CURVES!$D$9:$K$261,7))*(INDEX(DailyScalarsTable,AE$5/100,MONTH($A72)))*$B72</f>
        <v>-62440.157211966398</v>
      </c>
      <c r="AF72" s="1021"/>
      <c r="AG72" s="1021">
        <f>(VLOOKUP(YEAR($A72),'NY East Load Projections'!$A$4:$EO$14,((MONTH($A72)-1)*12)+VLOOKUP(AG$4,$DE$6:$DF$17,2)+1))*(VLOOKUP($A72,CURVES!$D$9:$T$261,7))*(INDEX(DailyScalarsTable,AG$5/100,MONTH($A72)))*$C72</f>
        <v>-12524.281404188276</v>
      </c>
      <c r="AH72" s="1021">
        <f>(VLOOKUP(YEAR($A72),'NY East Load Projections'!$A$4:$EO$14,((MONTH($A72)-1)*12)+VLOOKUP(AH$4,$DE$6:$DF$17,2)+1))*(VLOOKUP($A72,CURVES!$D$9:$T$261,7))*(INDEX(DailyScalarsTable,AH$5/100,MONTH($A72)))*$C72</f>
        <v>-11440.097168770142</v>
      </c>
      <c r="AI72" s="1021">
        <f>(VLOOKUP(YEAR($A72),'NY East Load Projections'!$A$4:$EO$14,((MONTH($A72)-1)*12)+VLOOKUP(AI$4,$DE$6:$DF$17,2)+1))*(VLOOKUP($A72,CURVES!$D$9:$T$261,7))*(INDEX(DailyScalarsTable,AI$5/100,MONTH($A72)))*$C72</f>
        <v>-10900.446907447156</v>
      </c>
      <c r="AJ72" s="1021">
        <f>(VLOOKUP(YEAR($A72),'NY East Load Projections'!$A$4:$EO$14,((MONTH($A72)-1)*12)+VLOOKUP(AJ$4,$DE$6:$DF$17,2)+1))*(VLOOKUP($A72,CURVES!$D$9:$T$261,7))*(INDEX(DailyScalarsTable,AJ$5/100,MONTH($A72)))*$C72</f>
        <v>-9816.2626720290209</v>
      </c>
      <c r="AK72" s="1021">
        <f>(VLOOKUP(YEAR($A72),'NY East Load Projections'!$A$4:$EO$14,((MONTH($A72)-1)*12)+VLOOKUP(AK$4,$DE$6:$DF$17,2)+1))*(VLOOKUP($A72,CURVES!$D$9:$T$261,7))*(INDEX(DailyScalarsTable,AK$5/100,MONTH($A72)))*$C72</f>
        <v>-9446.7816350762005</v>
      </c>
      <c r="AL72" s="1021">
        <f>(VLOOKUP(YEAR($A72),'NY East Load Projections'!$A$4:$EO$14,((MONTH($A72)-1)*12)+VLOOKUP(AL$4,$DE$6:$DF$17,2)+1))*(VLOOKUP($A72,CURVES!$D$9:$T$261,7))*(INDEX(DailyScalarsTable,AL$5/100,MONTH($A72)))*$C72</f>
        <v>-10414.730172632488</v>
      </c>
      <c r="AM72" s="1021">
        <f>(VLOOKUP(YEAR($A72),'NY East Load Projections'!$A$4:$EO$14,((MONTH($A72)-1)*12)+VLOOKUP(AM$4,$DE$6:$DF$17,2)+1))*(VLOOKUP($A72,CURVES!$D$9:$T$261,7))*(INDEX(DailyScalarsTable,AM$5/100,MONTH($A72)))*$C72</f>
        <v>-11565.871016529352</v>
      </c>
      <c r="AN72" s="1021">
        <f>(VLOOKUP(YEAR($A72),'NY East Load Projections'!$A$4:$EO$14,((MONTH($A72)-1)*12)+VLOOKUP(AN$4,$DE$6:$DF$17,2)+1))*(VLOOKUP($A72,SatSunCurve,3))*(INDEX(DailyScalarsTable,AN$5/100,MONTH($A72)))*$C72</f>
        <v>-11063.847192404901</v>
      </c>
      <c r="AO72" s="1021">
        <f>(VLOOKUP(YEAR($A72),'NY East Load Projections'!$A$4:$EO$14,((MONTH($A72)-1)*12)+VLOOKUP(AO$4,$DE$6:$DF$17,2)+1))*(VLOOKUP($A72,SatSunCurve,3))*(INDEX(DailyScalarsTable,AO$5/100,MONTH($A72)))*$C72</f>
        <v>-13360.056452145338</v>
      </c>
      <c r="AP72" s="1021">
        <f>(VLOOKUP(YEAR($A72),'NY East Load Projections'!$A$4:$EO$14,((MONTH($A72)-1)*12)+VLOOKUP(AP$4,$DE$6:$DF$17,2)+1))*(VLOOKUP($A72,SatSunCurve,3))*(INDEX(DailyScalarsTable,AP$5/100,MONTH($A72)))*$C72</f>
        <v>-15995.64999701144</v>
      </c>
      <c r="AQ72" s="1021">
        <f>(VLOOKUP(YEAR($A72),'NY East Load Projections'!$A$4:$EO$14,((MONTH($A72)-1)*12)+VLOOKUP(AQ$4,$DE$6:$DF$17,2)+1))*(VLOOKUP($A72,SatSunCurve,3))*(INDEX(DailyScalarsTable,AQ$5/100,MONTH($A72)))*$C72</f>
        <v>-18201.3639679642</v>
      </c>
      <c r="AR72" s="1021">
        <f>(VLOOKUP(YEAR($A72),'NY East Load Projections'!$A$4:$EO$14,((MONTH($A72)-1)*12)+VLOOKUP(AR$4,$DE$6:$DF$17,2)+1))*(VLOOKUP($A72,SatSunCurve,3))*(INDEX(DailyScalarsTable,AR$5/100,MONTH($A72)))*$C72</f>
        <v>-21760.541575561165</v>
      </c>
      <c r="AS72" s="1021">
        <f>(VLOOKUP(YEAR($A72),'NY East Load Projections'!$A$4:$EO$14,((MONTH($A72)-1)*12)+VLOOKUP(AS$4,$DE$6:$DF$17,2)+1))*(VLOOKUP($A72,SatSunCurve,3))*(INDEX(DailyScalarsTable,AS$5/100,MONTH($A72)))*$C72</f>
        <v>-24742.45695602693</v>
      </c>
      <c r="AT72" s="1021">
        <f>(VLOOKUP(YEAR($A72),'NY East Load Projections'!$A$4:$EO$14,((MONTH($A72)-1)*12)+VLOOKUP(AT$4,$DE$6:$DF$17,2)+1))*(VLOOKUP($A72,SatSunCurve,3))*(INDEX(DailyScalarsTable,AT$5/100,MONTH($A72)))*$C72</f>
        <v>-25575.21028187943</v>
      </c>
      <c r="AU72" s="1021">
        <f>(VLOOKUP(YEAR($A72),'NY East Load Projections'!$A$4:$EO$14,((MONTH($A72)-1)*12)+VLOOKUP(AU$4,$DE$6:$DF$17,2)+1))*(VLOOKUP($A72,SatSunCurve,3))*(INDEX(DailyScalarsTable,AU$5/100,MONTH($A72)))*$C72</f>
        <v>-26640.359884714024</v>
      </c>
      <c r="AV72" s="1021">
        <f>(VLOOKUP(YEAR($A72),'NY East Load Projections'!$A$4:$EO$14,((MONTH($A72)-1)*12)+VLOOKUP(AV$4,$DE$6:$DF$17,2)+1))*(VLOOKUP($A72,SatSunCurve,3))*(INDEX(DailyScalarsTable,AV$5/100,MONTH($A72)))*$C72</f>
        <v>-28272.943730513245</v>
      </c>
      <c r="AW72" s="1021">
        <f>(VLOOKUP(YEAR($A72),'NY East Load Projections'!$A$4:$EO$14,((MONTH($A72)-1)*12)+VLOOKUP(AW$4,$DE$6:$DF$17,2)+1))*(VLOOKUP($A72,SatSunCurve,3))*(INDEX(DailyScalarsTable,AW$5/100,MONTH($A72)))*$C72</f>
        <v>-27437.273309354983</v>
      </c>
      <c r="AX72" s="1021">
        <f>(VLOOKUP(YEAR($A72),'NY East Load Projections'!$A$4:$EO$14,((MONTH($A72)-1)*12)+VLOOKUP(AX$4,$DE$6:$DF$17,2)+1))*(VLOOKUP($A72,SatSunCurve,3))*(INDEX(DailyScalarsTable,AX$5/100,MONTH($A72)))*$C72</f>
        <v>-26757.375797357668</v>
      </c>
      <c r="AY72" s="1021">
        <f>(VLOOKUP(YEAR($A72),'NY East Load Projections'!$A$4:$EO$14,((MONTH($A72)-1)*12)+VLOOKUP(AY$4,$DE$6:$DF$17,2)+1))*(VLOOKUP($A72,SatSunCurve,3))*(INDEX(DailyScalarsTable,AY$5/100,MONTH($A72)))*$C72</f>
        <v>-22348.175943131191</v>
      </c>
      <c r="AZ72" s="1021">
        <f>(VLOOKUP(YEAR($A72),'NY East Load Projections'!$A$4:$EO$14,((MONTH($A72)-1)*12)+VLOOKUP(AZ$4,$DE$6:$DF$17,2)+1))*(VLOOKUP($A72,SatSunCurve,3))*(INDEX(DailyScalarsTable,AZ$5/100,MONTH($A72)))*$C72</f>
        <v>-16536.802629202943</v>
      </c>
      <c r="BA72" s="1021">
        <f>(VLOOKUP(YEAR($A72),'NY East Load Projections'!$A$4:$EO$14,((MONTH($A72)-1)*12)+VLOOKUP(BA$4,$DE$6:$DF$17,2)+1))*(VLOOKUP($A72,SatSunCurve,3))*(INDEX(DailyScalarsTable,BA$5/100,MONTH($A72)))*$C72</f>
        <v>-17370.549769226433</v>
      </c>
      <c r="BB72" s="1021">
        <f>(VLOOKUP(YEAR($A72),'NY East Load Projections'!$A$4:$EO$14,((MONTH($A72)-1)*12)+VLOOKUP(BB$4,$DE$6:$DF$17,2)+1))*(VLOOKUP($A72,SatSunCurve,3))*(INDEX(DailyScalarsTable,BB$5/100,MONTH($A72)))*$C72</f>
        <v>-18406.448375389631</v>
      </c>
      <c r="BC72" s="1021">
        <f>(VLOOKUP(YEAR($A72),'NY East Load Projections'!$A$4:$EO$14,((MONTH($A72)-1)*12)+VLOOKUP(BC$4,$DE$6:$DF$17,2)+1))*(VLOOKUP($A72,SatSunCurve,3))*(INDEX(DailyScalarsTable,BC$5/100,MONTH($A72)))*$C72</f>
        <v>-12782.498848010384</v>
      </c>
      <c r="BD72" s="1021">
        <f>(VLOOKUP(YEAR($A72),'NY East Load Projections'!$A$4:$EO$14,((MONTH($A72)-1)*12)+VLOOKUP(BD$4,$DE$6:$DF$17,2)+1))*(VLOOKUP($A72,CURVES!$D$9:$T$261,7))*(INDEX(DailyScalarsTable,BD$5/100,MONTH($A72)))*$C72</f>
        <v>-14650.163887086492</v>
      </c>
      <c r="BE72" s="1021"/>
      <c r="BF72" s="1021">
        <f>(VLOOKUP(YEAR($A72),'NY East Load Projections'!$A$4:$EO$14,((MONTH($A72)-1)*12)+VLOOKUP(BF$4,$DE$6:$DF$17,2)+1))*(VLOOKUP($A72,CURVES!$D$9:$T$261,7))*(INDEX(DailyScalarsTable,BF$5/100,MONTH($A72)))*$D72</f>
        <v>-12524.281404188276</v>
      </c>
      <c r="BG72" s="1021">
        <f>(VLOOKUP(YEAR($A72),'NY East Load Projections'!$A$4:$EO$14,((MONTH($A72)-1)*12)+VLOOKUP(BG$4,$DE$6:$DF$17,2)+1))*(VLOOKUP($A72,CURVES!$D$9:$T$261,7))*(INDEX(DailyScalarsTable,BG$5/100,MONTH($A72)))*$D72</f>
        <v>-11440.097168770142</v>
      </c>
      <c r="BH72" s="1021">
        <f>(VLOOKUP(YEAR($A72),'NY East Load Projections'!$A$4:$EO$14,((MONTH($A72)-1)*12)+VLOOKUP(BH$4,$DE$6:$DF$17,2)+1))*(VLOOKUP($A72,CURVES!$D$9:$T$261,7))*(INDEX(DailyScalarsTable,BH$5/100,MONTH($A72)))*$D72</f>
        <v>-10900.446907447156</v>
      </c>
      <c r="BI72" s="1021">
        <f>(VLOOKUP(YEAR($A72),'NY East Load Projections'!$A$4:$EO$14,((MONTH($A72)-1)*12)+VLOOKUP(BI$4,$DE$6:$DF$17,2)+1))*(VLOOKUP($A72,CURVES!$D$9:$T$261,7))*(INDEX(DailyScalarsTable,BI$5/100,MONTH($A72)))*$D72</f>
        <v>-9816.2626720290209</v>
      </c>
      <c r="BJ72" s="1021">
        <f>(VLOOKUP(YEAR($A72),'NY East Load Projections'!$A$4:$EO$14,((MONTH($A72)-1)*12)+VLOOKUP(BJ$4,$DE$6:$DF$17,2)+1))*(VLOOKUP($A72,CURVES!$D$9:$T$261,7))*(INDEX(DailyScalarsTable,BJ$5/100,MONTH($A72)))*$D72</f>
        <v>-9446.7816350762005</v>
      </c>
      <c r="BK72" s="1021">
        <f>(VLOOKUP(YEAR($A72),'NY East Load Projections'!$A$4:$EO$14,((MONTH($A72)-1)*12)+VLOOKUP(BK$4,$DE$6:$DF$17,2)+1))*(VLOOKUP($A72,CURVES!$D$9:$T$261,7))*(INDEX(DailyScalarsTable,BK$5/100,MONTH($A72)))*$D72</f>
        <v>-10414.730172632488</v>
      </c>
      <c r="BL72" s="1021">
        <f>(VLOOKUP(YEAR($A72),'NY East Load Projections'!$A$4:$EO$14,((MONTH($A72)-1)*12)+VLOOKUP(BL$4,$DE$6:$DF$17,2)+1))*(VLOOKUP($A72,CURVES!$D$9:$T$261,7))*(INDEX(DailyScalarsTable,BL$5/100,MONTH($A72)))*$D72</f>
        <v>-11565.871016529352</v>
      </c>
      <c r="BM72" s="1021">
        <f>(VLOOKUP(YEAR($A72),'NY East Load Projections'!$A$4:$EO$14,((MONTH($A72)-1)*12)+VLOOKUP(BM$4,$DE$6:$DF$17,2)+1))*(VLOOKUP($A72,SatSunCurve,7))*(INDEX(DailyScalarsTable,BM$5/100,MONTH($A72)))*$D72</f>
        <v>-8145.6615961405842</v>
      </c>
      <c r="BN72" s="1021">
        <f>(VLOOKUP(YEAR($A72),'NY East Load Projections'!$A$4:$EO$14,((MONTH($A72)-1)*12)+VLOOKUP(BN$4,$DE$6:$DF$17,2)+1))*(VLOOKUP($A72,SatSunCurve,7))*(INDEX(DailyScalarsTable,BN$5/100,MONTH($A72)))*$D72</f>
        <v>-9836.2257605308932</v>
      </c>
      <c r="BO72" s="1021">
        <f>(VLOOKUP(YEAR($A72),'NY East Load Projections'!$A$4:$EO$14,((MONTH($A72)-1)*12)+VLOOKUP(BO$4,$DE$6:$DF$17,2)+1))*(VLOOKUP($A72,SatSunCurve,7))*(INDEX(DailyScalarsTable,BO$5/100,MONTH($A72)))*$D72</f>
        <v>-11776.658663128248</v>
      </c>
      <c r="BP72" s="1021">
        <f>(VLOOKUP(YEAR($A72),'NY East Load Projections'!$A$4:$EO$14,((MONTH($A72)-1)*12)+VLOOKUP(BP$4,$DE$6:$DF$17,2)+1))*(VLOOKUP($A72,SatSunCurve,7))*(INDEX(DailyScalarsTable,BP$5/100,MONTH($A72)))*$D72</f>
        <v>-13400.596455544126</v>
      </c>
      <c r="BQ72" s="1021">
        <f>(VLOOKUP(YEAR($A72),'NY East Load Projections'!$A$4:$EO$14,((MONTH($A72)-1)*12)+VLOOKUP(BQ$4,$DE$6:$DF$17,2)+1))*(VLOOKUP($A72,SatSunCurve,7))*(INDEX(DailyScalarsTable,BQ$5/100,MONTH($A72)))*$D72</f>
        <v>-16021.010118880729</v>
      </c>
      <c r="BR72" s="1021">
        <f>(VLOOKUP(YEAR($A72),'NY East Load Projections'!$A$4:$EO$14,((MONTH($A72)-1)*12)+VLOOKUP(BR$4,$DE$6:$DF$17,2)+1))*(VLOOKUP($A72,SatSunCurve,7))*(INDEX(DailyScalarsTable,BR$5/100,MONTH($A72)))*$D72</f>
        <v>-18216.41947108828</v>
      </c>
      <c r="BS72" s="1021">
        <f>(VLOOKUP(YEAR($A72),'NY East Load Projections'!$A$4:$EO$14,((MONTH($A72)-1)*12)+VLOOKUP(BS$4,$DE$6:$DF$17,2)+1))*(VLOOKUP($A72,SatSunCurve,7))*(INDEX(DailyScalarsTable,BS$5/100,MONTH($A72)))*$D72</f>
        <v>-18829.526889103927</v>
      </c>
      <c r="BT72" s="1021">
        <f>(VLOOKUP(YEAR($A72),'NY East Load Projections'!$A$4:$EO$14,((MONTH($A72)-1)*12)+VLOOKUP(BT$4,$DE$6:$DF$17,2)+1))*(VLOOKUP($A72,SatSunCurve,7))*(INDEX(DailyScalarsTable,BT$5/100,MONTH($A72)))*$D72</f>
        <v>-19613.734051682084</v>
      </c>
      <c r="BU72" s="1021">
        <f>(VLOOKUP(YEAR($A72),'NY East Load Projections'!$A$4:$EO$14,((MONTH($A72)-1)*12)+VLOOKUP(BU$4,$DE$6:$DF$17,2)+1))*(VLOOKUP($A72,SatSunCurve,7))*(INDEX(DailyScalarsTable,BU$5/100,MONTH($A72)))*$D72</f>
        <v>-20815.709757233704</v>
      </c>
      <c r="BV72" s="1021">
        <f>(VLOOKUP(YEAR($A72),'NY East Load Projections'!$A$4:$EO$14,((MONTH($A72)-1)*12)+VLOOKUP(BV$4,$DE$6:$DF$17,2)+1))*(VLOOKUP($A72,SatSunCurve,7))*(INDEX(DailyScalarsTable,BV$5/100,MONTH($A72)))*$D72</f>
        <v>-20200.454653084002</v>
      </c>
      <c r="BW72" s="1021">
        <f>(VLOOKUP(YEAR($A72),'NY East Load Projections'!$A$4:$EO$14,((MONTH($A72)-1)*12)+VLOOKUP(BW$4,$DE$6:$DF$17,2)+1))*(VLOOKUP($A72,SatSunCurve,7))*(INDEX(DailyScalarsTable,BW$5/100,MONTH($A72)))*$D72</f>
        <v>-19699.886003094878</v>
      </c>
      <c r="BX72" s="1021">
        <f>(VLOOKUP(YEAR($A72),'NY East Load Projections'!$A$4:$EO$14,((MONTH($A72)-1)*12)+VLOOKUP(BX$4,$DE$6:$DF$17,2)+1))*(VLOOKUP($A72,SatSunCurve,7))*(INDEX(DailyScalarsTable,BX$5/100,MONTH($A72)))*$D72</f>
        <v>-16453.650828504185</v>
      </c>
      <c r="BY72" s="1021">
        <f>(VLOOKUP(YEAR($A72),'NY East Load Projections'!$A$4:$EO$14,((MONTH($A72)-1)*12)+VLOOKUP(BY$4,$DE$6:$DF$17,2)+1))*(VLOOKUP($A72,SatSunCurve,7))*(INDEX(DailyScalarsTable,BY$5/100,MONTH($A72)))*$D72</f>
        <v>-12175.077597973872</v>
      </c>
      <c r="BZ72" s="1021">
        <f>(VLOOKUP(YEAR($A72),'NY East Load Projections'!$A$4:$EO$14,((MONTH($A72)-1)*12)+VLOOKUP(BZ$4,$DE$6:$DF$17,2)+1))*(VLOOKUP($A72,SatSunCurve,7))*(INDEX(DailyScalarsTable,BZ$5/100,MONTH($A72)))*$D72</f>
        <v>-12788.916703058727</v>
      </c>
      <c r="CA72" s="1021">
        <f>(VLOOKUP(YEAR($A72),'NY East Load Projections'!$A$4:$EO$14,((MONTH($A72)-1)*12)+VLOOKUP(CA$4,$DE$6:$DF$17,2)+1))*(VLOOKUP($A72,SatSunCurve,7))*(INDEX(DailyScalarsTable,CA$5/100,MONTH($A72)))*$D72</f>
        <v>-13551.588072879495</v>
      </c>
      <c r="CB72" s="1021">
        <f>(VLOOKUP(YEAR($A72),'NY East Load Projections'!$A$4:$EO$14,((MONTH($A72)-1)*12)+VLOOKUP(CB$4,$DE$6:$DF$17,2)+1))*(VLOOKUP($A72,SatSunCurve,7))*(INDEX(DailyScalarsTable,CB$5/100,MONTH($A72)))*$D72</f>
        <v>-9411.0039806430941</v>
      </c>
      <c r="CC72" s="1021">
        <f>(VLOOKUP(YEAR($A72),'NY East Load Projections'!$A$4:$EO$14,((MONTH($A72)-1)*12)+VLOOKUP(CC$4,$DE$6:$DF$17,2)+1))*(VLOOKUP($A72,CURVES!$D$9:$T$261,7))*(INDEX(DailyScalarsTable,CC$5/100,MONTH($A72)))*$D72</f>
        <v>-14650.163887086492</v>
      </c>
      <c r="CE72" s="1021">
        <f>(VLOOKUP(YEAR($A72),'NY East Load Projections'!$A$4:$EO$14,((MONTH($A72)-1)*12)+VLOOKUP(CE$4,$DE$6:$DF$17,2)+1))*(VLOOKUP($A72,CURVES!$D$9:$T$261,7))*(INDEX(DailyScalarsTable,CE$5/100,MONTH($A72)))*$E72</f>
        <v>-2504.856280837655</v>
      </c>
      <c r="CF72" s="1021">
        <f>(VLOOKUP(YEAR($A72),'NY East Load Projections'!$A$4:$EO$14,((MONTH($A72)-1)*12)+VLOOKUP(CF$4,$DE$6:$DF$17,2)+1))*(VLOOKUP($A72,CURVES!$D$9:$T$261,7))*(INDEX(DailyScalarsTable,CF$5/100,MONTH($A72)))*$E72</f>
        <v>-2288.0194337540283</v>
      </c>
      <c r="CG72" s="1021">
        <f>(VLOOKUP(YEAR($A72),'NY East Load Projections'!$A$4:$EO$14,((MONTH($A72)-1)*12)+VLOOKUP(CG$4,$DE$6:$DF$17,2)+1))*(VLOOKUP($A72,CURVES!$D$9:$T$261,7))*(INDEX(DailyScalarsTable,CG$5/100,MONTH($A72)))*$E72</f>
        <v>-2180.0893814894312</v>
      </c>
      <c r="CH72" s="1021">
        <f>(VLOOKUP(YEAR($A72),'NY East Load Projections'!$A$4:$EO$14,((MONTH($A72)-1)*12)+VLOOKUP(CH$4,$DE$6:$DF$17,2)+1))*(VLOOKUP($A72,CURVES!$D$9:$T$261,7))*(INDEX(DailyScalarsTable,CH$5/100,MONTH($A72)))*$E72</f>
        <v>-1963.2525344058042</v>
      </c>
      <c r="CI72" s="1021">
        <f>(VLOOKUP(YEAR($A72),'NY East Load Projections'!$A$4:$EO$14,((MONTH($A72)-1)*12)+VLOOKUP(CI$4,$DE$6:$DF$17,2)+1))*(VLOOKUP($A72,CURVES!$D$9:$T$261,7))*(INDEX(DailyScalarsTable,CI$5/100,MONTH($A72)))*$E72</f>
        <v>-1889.3563270152401</v>
      </c>
      <c r="CJ72" s="1021">
        <f>(VLOOKUP(YEAR($A72),'NY East Load Projections'!$A$4:$EO$14,((MONTH($A72)-1)*12)+VLOOKUP(CJ$4,$DE$6:$DF$17,2)+1))*(VLOOKUP($A72,CURVES!$D$9:$T$261,7))*(INDEX(DailyScalarsTable,CJ$5/100,MONTH($A72)))*$E72</f>
        <v>-2082.9460345264974</v>
      </c>
      <c r="CK72" s="1021">
        <f>(VLOOKUP(YEAR($A72),'NY East Load Projections'!$A$4:$EO$14,((MONTH($A72)-1)*12)+VLOOKUP(CK$4,$DE$6:$DF$17,2)+1))*(VLOOKUP($A72,CURVES!$D$9:$T$261,7))*(INDEX(DailyScalarsTable,CK$5/100,MONTH($A72)))*$E72</f>
        <v>-2313.1742033058704</v>
      </c>
      <c r="CL72" s="1021">
        <f>(VLOOKUP(YEAR($A72),'NY East Load Projections'!$A$4:$EO$14,((MONTH($A72)-1)*12)+VLOOKUP(CL$4,$DE$6:$DF$17,2)+1))*(VLOOKUP($A72,SatSunCurve,7))*(INDEX(DailyScalarsTable,CL$5/100,MONTH($A72)))*$E72</f>
        <v>-1629.1323192281168</v>
      </c>
      <c r="CM72" s="1021">
        <f>(VLOOKUP(YEAR($A72),'NY East Load Projections'!$A$4:$EO$14,((MONTH($A72)-1)*12)+VLOOKUP(CM$4,$DE$6:$DF$17,2)+1))*(VLOOKUP($A72,SatSunCurve,7))*(INDEX(DailyScalarsTable,CM$5/100,MONTH($A72)))*$E72</f>
        <v>-1967.2451521061787</v>
      </c>
      <c r="CN72" s="1021">
        <f>(VLOOKUP(YEAR($A72),'NY East Load Projections'!$A$4:$EO$14,((MONTH($A72)-1)*12)+VLOOKUP(CN$4,$DE$6:$DF$17,2)+1))*(VLOOKUP($A72,SatSunCurve,7))*(INDEX(DailyScalarsTable,CN$5/100,MONTH($A72)))*$E72</f>
        <v>-2355.3317326256497</v>
      </c>
      <c r="CO72" s="1021">
        <f>(VLOOKUP(YEAR($A72),'NY East Load Projections'!$A$4:$EO$14,((MONTH($A72)-1)*12)+VLOOKUP(CO$4,$DE$6:$DF$17,2)+1))*(VLOOKUP($A72,SatSunCurve,7))*(INDEX(DailyScalarsTable,CO$5/100,MONTH($A72)))*$E72</f>
        <v>-2680.1192911088251</v>
      </c>
      <c r="CP72" s="1021">
        <f>(VLOOKUP(YEAR($A72),'NY East Load Projections'!$A$4:$EO$14,((MONTH($A72)-1)*12)+VLOOKUP(CP$4,$DE$6:$DF$17,2)+1))*(VLOOKUP($A72,SatSunCurve,7))*(INDEX(DailyScalarsTable,CP$5/100,MONTH($A72)))*$E72</f>
        <v>-3204.2020237761458</v>
      </c>
      <c r="CQ72" s="1021">
        <f>(VLOOKUP(YEAR($A72),'NY East Load Projections'!$A$4:$EO$14,((MONTH($A72)-1)*12)+VLOOKUP(CQ$4,$DE$6:$DF$17,2)+1))*(VLOOKUP($A72,SatSunCurve,7))*(INDEX(DailyScalarsTable,CQ$5/100,MONTH($A72)))*$E72</f>
        <v>-3643.2838942176559</v>
      </c>
      <c r="CR72" s="1021">
        <f>(VLOOKUP(YEAR($A72),'NY East Load Projections'!$A$4:$EO$14,((MONTH($A72)-1)*12)+VLOOKUP(CR$4,$DE$6:$DF$17,2)+1))*(VLOOKUP($A72,SatSunCurve,7))*(INDEX(DailyScalarsTable,CR$5/100,MONTH($A72)))*$E72</f>
        <v>-3765.9053778207854</v>
      </c>
      <c r="CS72" s="1021">
        <f>(VLOOKUP(YEAR($A72),'NY East Load Projections'!$A$4:$EO$14,((MONTH($A72)-1)*12)+VLOOKUP(CS$4,$DE$6:$DF$17,2)+1))*(VLOOKUP($A72,SatSunCurve,7))*(INDEX(DailyScalarsTable,CS$5/100,MONTH($A72)))*$E72</f>
        <v>-3922.7468103364167</v>
      </c>
      <c r="CT72" s="1021">
        <f>(VLOOKUP(YEAR($A72),'NY East Load Projections'!$A$4:$EO$14,((MONTH($A72)-1)*12)+VLOOKUP(CT$4,$DE$6:$DF$17,2)+1))*(VLOOKUP($A72,SatSunCurve,7))*(INDEX(DailyScalarsTable,CT$5/100,MONTH($A72)))*$E72</f>
        <v>-4163.1419514467407</v>
      </c>
      <c r="CU72" s="1021">
        <f>(VLOOKUP(YEAR($A72),'NY East Load Projections'!$A$4:$EO$14,((MONTH($A72)-1)*12)+VLOOKUP(CU$4,$DE$6:$DF$17,2)+1))*(VLOOKUP($A72,SatSunCurve,7))*(INDEX(DailyScalarsTable,CU$5/100,MONTH($A72)))*$E72</f>
        <v>-4040.0909306168005</v>
      </c>
      <c r="CV72" s="1021">
        <f>(VLOOKUP(YEAR($A72),'NY East Load Projections'!$A$4:$EO$14,((MONTH($A72)-1)*12)+VLOOKUP(CV$4,$DE$6:$DF$17,2)+1))*(VLOOKUP($A72,SatSunCurve,7))*(INDEX(DailyScalarsTable,CV$5/100,MONTH($A72)))*$E72</f>
        <v>-3939.977200618976</v>
      </c>
      <c r="CW72" s="1021">
        <f>(VLOOKUP(YEAR($A72),'NY East Load Projections'!$A$4:$EO$14,((MONTH($A72)-1)*12)+VLOOKUP(CW$4,$DE$6:$DF$17,2)+1))*(VLOOKUP($A72,SatSunCurve,7))*(INDEX(DailyScalarsTable,CW$5/100,MONTH($A72)))*$E72</f>
        <v>-3290.730165700837</v>
      </c>
      <c r="CX72" s="1021">
        <f>(VLOOKUP(YEAR($A72),'NY East Load Projections'!$A$4:$EO$14,((MONTH($A72)-1)*12)+VLOOKUP(CX$4,$DE$6:$DF$17,2)+1))*(VLOOKUP($A72,SatSunCurve,7))*(INDEX(DailyScalarsTable,CX$5/100,MONTH($A72)))*$E72</f>
        <v>-2435.0155195947746</v>
      </c>
      <c r="CY72" s="1021">
        <f>(VLOOKUP(YEAR($A72),'NY East Load Projections'!$A$4:$EO$14,((MONTH($A72)-1)*12)+VLOOKUP(CY$4,$DE$6:$DF$17,2)+1))*(VLOOKUP($A72,SatSunCurve,7))*(INDEX(DailyScalarsTable,CY$5/100,MONTH($A72)))*$E72</f>
        <v>-2557.7833406117452</v>
      </c>
      <c r="CZ72" s="1021">
        <f>(VLOOKUP(YEAR($A72),'NY East Load Projections'!$A$4:$EO$14,((MONTH($A72)-1)*12)+VLOOKUP(CZ$4,$DE$6:$DF$17,2)+1))*(VLOOKUP($A72,SatSunCurve,7))*(INDEX(DailyScalarsTable,CZ$5/100,MONTH($A72)))*$E72</f>
        <v>-2710.3176145758989</v>
      </c>
      <c r="DA72" s="1021">
        <f>(VLOOKUP(YEAR($A72),'NY East Load Projections'!$A$4:$EO$14,((MONTH($A72)-1)*12)+VLOOKUP(DA$4,$DE$6:$DF$17,2)+1))*(VLOOKUP($A72,SatSunCurve,7))*(INDEX(DailyScalarsTable,DA$5/100,MONTH($A72)))*$E72</f>
        <v>-1882.2007961286188</v>
      </c>
      <c r="DB72" s="1021">
        <f>(VLOOKUP(YEAR($A72),'NY East Load Projections'!$A$4:$EO$14,((MONTH($A72)-1)*12)+VLOOKUP(DB$4,$DE$6:$DF$17,2)+1))*(VLOOKUP($A72,CURVES!$D$9:$T$261,7))*(INDEX(DailyScalarsTable,DB$5/100,MONTH($A72)))*$E72</f>
        <v>-2930.0327774172983</v>
      </c>
      <c r="DH72" s="1032">
        <f t="shared" si="2"/>
        <v>-3819826.802931034</v>
      </c>
      <c r="DI72">
        <f ca="1">CALC!J92</f>
        <v>0.62714345890985712</v>
      </c>
      <c r="DJ72" s="1029">
        <f t="shared" ca="1" si="3"/>
        <v>-2395579.39362675</v>
      </c>
    </row>
    <row r="73" spans="1:114" x14ac:dyDescent="0.25">
      <c r="A73" s="244">
        <v>38930</v>
      </c>
      <c r="B73" s="13">
        <v>23</v>
      </c>
      <c r="C73" s="210">
        <v>4</v>
      </c>
      <c r="D73" s="210">
        <v>4</v>
      </c>
      <c r="E73" s="210">
        <v>0</v>
      </c>
      <c r="F73" s="13">
        <v>31</v>
      </c>
      <c r="H73" s="1021">
        <f>(VLOOKUP(YEAR($A73),'NY East Load Projections'!$A$4:$EO$14,((MONTH($A73)-1)*12)+VLOOKUP(H$4,$DE$6:$DF$17,2)+1))*(VLOOKUP($A73,CURVES!$D$9:$K$261,7))*(INDEX(DailyScalarsTable,H$5/100,MONTH($A73)))*$B73</f>
        <v>-60875.602400600823</v>
      </c>
      <c r="I73" s="1021">
        <f>(VLOOKUP(YEAR($A73),'NY East Load Projections'!$A$4:$EO$14,((MONTH($A73)-1)*12)+VLOOKUP(I$4,$DE$6:$DF$17,2)+1))*(VLOOKUP($A73,CURVES!$D$9:$K$261,7))*(INDEX(DailyScalarsTable,I$5/100,MONTH($A73)))*$B73</f>
        <v>-54953.472548430036</v>
      </c>
      <c r="J73" s="1021">
        <f>(VLOOKUP(YEAR($A73),'NY East Load Projections'!$A$4:$EO$14,((MONTH($A73)-1)*12)+VLOOKUP(J$4,$DE$6:$DF$17,2)+1))*(VLOOKUP($A73,CURVES!$D$9:$K$261,7))*(INDEX(DailyScalarsTable,J$5/100,MONTH($A73)))*$B73</f>
        <v>-49351.082101423388</v>
      </c>
      <c r="K73" s="1021">
        <f>(VLOOKUP(YEAR($A73),'NY East Load Projections'!$A$4:$EO$14,((MONTH($A73)-1)*12)+VLOOKUP(K$4,$DE$6:$DF$17,2)+1))*(VLOOKUP($A73,CURVES!$D$9:$K$261,7))*(INDEX(DailyScalarsTable,K$5/100,MONTH($A73)))*$B73</f>
        <v>-46431.722315141989</v>
      </c>
      <c r="L73" s="1021">
        <f>(VLOOKUP(YEAR($A73),'NY East Load Projections'!$A$4:$EO$14,((MONTH($A73)-1)*12)+VLOOKUP(L$4,$DE$6:$DF$17,2)+1))*(VLOOKUP($A73,CURVES!$D$9:$K$261,7))*(INDEX(DailyScalarsTable,L$5/100,MONTH($A73)))*$B73</f>
        <v>-52560.430627579881</v>
      </c>
      <c r="M73" s="1021">
        <f>(VLOOKUP(YEAR($A73),'NY East Load Projections'!$A$4:$EO$14,((MONTH($A73)-1)*12)+VLOOKUP(M$4,$DE$6:$DF$17,2)+1))*(VLOOKUP($A73,CURVES!$D$9:$K$261,7))*(INDEX(DailyScalarsTable,M$5/100,MONTH($A73)))*$B73</f>
        <v>-58397.109540651225</v>
      </c>
      <c r="N73" s="1021">
        <f>(VLOOKUP(YEAR($A73),'NY East Load Projections'!$A$4:$EO$14,((MONTH($A73)-1)*12)+VLOOKUP(N$4,$DE$6:$DF$17,2)+1))*(VLOOKUP($A73,CURVES!$D$9:$K$261,7))*(INDEX(DailyScalarsTable,N$5/100,MONTH($A73)))*$B73</f>
        <v>-67948.038671131551</v>
      </c>
      <c r="O73" s="1021">
        <f>(VLOOKUP(YEAR($A73),'NY East Load Projections'!$A$4:$EO$14,((MONTH($A73)-1)*12)+VLOOKUP(O$4,$DE$6:$DF$17,2)+1))*(VLOOKUP($A73,CURVES!$D$9:$K$261,3))*(INDEX(DailyScalarsTable,O$5/100,MONTH($A73)))*$B73</f>
        <v>-108553.7685132601</v>
      </c>
      <c r="P73" s="1021">
        <f>(VLOOKUP(YEAR($A73),'NY East Load Projections'!$A$4:$EO$14,((MONTH($A73)-1)*12)+VLOOKUP(P$4,$DE$6:$DF$17,2)+1))*(VLOOKUP($A73,CURVES!$D$9:$K$261,3))*(INDEX(DailyScalarsTable,P$5/100,MONTH($A73)))*$B73</f>
        <v>-134264.79669292591</v>
      </c>
      <c r="Q73" s="1021">
        <f>(VLOOKUP(YEAR($A73),'NY East Load Projections'!$A$4:$EO$14,((MONTH($A73)-1)*12)+VLOOKUP(Q$4,$DE$6:$DF$17,2)+1))*(VLOOKUP($A73,CURVES!$D$9:$K$261,3))*(INDEX(DailyScalarsTable,Q$5/100,MONTH($A73)))*$B73</f>
        <v>-172186.34162017851</v>
      </c>
      <c r="R73" s="1021">
        <f>(VLOOKUP(YEAR($A73),'NY East Load Projections'!$A$4:$EO$14,((MONTH($A73)-1)*12)+VLOOKUP(R$4,$DE$6:$DF$17,2)+1))*(VLOOKUP($A73,CURVES!$D$9:$K$261,3))*(INDEX(DailyScalarsTable,R$5/100,MONTH($A73)))*$B73</f>
        <v>-194338.53123114776</v>
      </c>
      <c r="S73" s="1021">
        <f>(VLOOKUP(YEAR($A73),'NY East Load Projections'!$A$4:$EO$14,((MONTH($A73)-1)*12)+VLOOKUP(S$4,$DE$6:$DF$17,2)+1))*(VLOOKUP($A73,CURVES!$D$9:$K$261,3))*(INDEX(DailyScalarsTable,S$5/100,MONTH($A73)))*$B73</f>
        <v>-202573.63900742901</v>
      </c>
      <c r="T73" s="1021">
        <f>(VLOOKUP(YEAR($A73),'NY East Load Projections'!$A$4:$EO$14,((MONTH($A73)-1)*12)+VLOOKUP(T$4,$DE$6:$DF$17,2)+1))*(VLOOKUP($A73,CURVES!$D$9:$K$261,3))*(INDEX(DailyScalarsTable,T$5/100,MONTH($A73)))*$B73</f>
        <v>-206373.65134902194</v>
      </c>
      <c r="U73" s="1021">
        <f>(VLOOKUP(YEAR($A73),'NY East Load Projections'!$A$4:$EO$14,((MONTH($A73)-1)*12)+VLOOKUP(U$4,$DE$6:$DF$17,2)+1))*(VLOOKUP($A73,CURVES!$D$9:$K$261,3))*(INDEX(DailyScalarsTable,U$5/100,MONTH($A73)))*$B73</f>
        <v>-226550.92327690613</v>
      </c>
      <c r="V73" s="1021">
        <f>(VLOOKUP(YEAR($A73),'NY East Load Projections'!$A$4:$EO$14,((MONTH($A73)-1)*12)+VLOOKUP(V$4,$DE$6:$DF$17,2)+1))*(VLOOKUP($A73,CURVES!$D$9:$K$261,3))*(INDEX(DailyScalarsTable,V$5/100,MONTH($A73)))*$B73</f>
        <v>-239839.64886507954</v>
      </c>
      <c r="W73" s="1021">
        <f>(VLOOKUP(YEAR($A73),'NY East Load Projections'!$A$4:$EO$14,((MONTH($A73)-1)*12)+VLOOKUP(W$4,$DE$6:$DF$17,2)+1))*(VLOOKUP($A73,CURVES!$D$9:$K$261,3))*(INDEX(DailyScalarsTable,W$5/100,MONTH($A73)))*$B73</f>
        <v>-236498.18981969744</v>
      </c>
      <c r="X73" s="1021">
        <f>(VLOOKUP(YEAR($A73),'NY East Load Projections'!$A$4:$EO$14,((MONTH($A73)-1)*12)+VLOOKUP(X$4,$DE$6:$DF$17,2)+1))*(VLOOKUP($A73,CURVES!$D$9:$K$261,3))*(INDEX(DailyScalarsTable,X$5/100,MONTH($A73)))*$B73</f>
        <v>-217853.47889805288</v>
      </c>
      <c r="Y73" s="1021">
        <f>(VLOOKUP(YEAR($A73),'NY East Load Projections'!$A$4:$EO$14,((MONTH($A73)-1)*12)+VLOOKUP(Y$4,$DE$6:$DF$17,2)+1))*(VLOOKUP($A73,CURVES!$D$9:$K$261,3))*(INDEX(DailyScalarsTable,Y$5/100,MONTH($A73)))*$B73</f>
        <v>-201745.78894172591</v>
      </c>
      <c r="Z73" s="1021">
        <f>(VLOOKUP(YEAR($A73),'NY East Load Projections'!$A$4:$EO$14,((MONTH($A73)-1)*12)+VLOOKUP(Z$4,$DE$6:$DF$17,2)+1))*(VLOOKUP($A73,CURVES!$D$9:$K$261,3))*(INDEX(DailyScalarsTable,Z$5/100,MONTH($A73)))*$B73</f>
        <v>-164443.7700954949</v>
      </c>
      <c r="AA73" s="1021">
        <f>(VLOOKUP(YEAR($A73),'NY East Load Projections'!$A$4:$EO$14,((MONTH($A73)-1)*12)+VLOOKUP(AA$4,$DE$6:$DF$17,2)+1))*(VLOOKUP($A73,CURVES!$D$9:$K$261,3))*(INDEX(DailyScalarsTable,AA$5/100,MONTH($A73)))*$B73</f>
        <v>-149716.73927828166</v>
      </c>
      <c r="AB73" s="1021">
        <f>(VLOOKUP(YEAR($A73),'NY East Load Projections'!$A$4:$EO$14,((MONTH($A73)-1)*12)+VLOOKUP(AB$4,$DE$6:$DF$17,2)+1))*(VLOOKUP($A73,CURVES!$D$9:$K$261,3))*(INDEX(DailyScalarsTable,AB$5/100,MONTH($A73)))*$B73</f>
        <v>-165975.51321265163</v>
      </c>
      <c r="AC73" s="1021">
        <f>(VLOOKUP(YEAR($A73),'NY East Load Projections'!$A$4:$EO$14,((MONTH($A73)-1)*12)+VLOOKUP(AC$4,$DE$6:$DF$17,2)+1))*(VLOOKUP($A73,CURVES!$D$9:$K$261,3))*(INDEX(DailyScalarsTable,AC$5/100,MONTH($A73)))*$B73</f>
        <v>-141133.60793047005</v>
      </c>
      <c r="AD73" s="1021">
        <f>(VLOOKUP(YEAR($A73),'NY East Load Projections'!$A$4:$EO$14,((MONTH($A73)-1)*12)+VLOOKUP(AD$4,$DE$6:$DF$17,2)+1))*(VLOOKUP($A73,CURVES!$D$9:$K$261,3))*(INDEX(DailyScalarsTable,AD$5/100,MONTH($A73)))*$B73</f>
        <v>-114285.56940385103</v>
      </c>
      <c r="AE73" s="1021">
        <f>(VLOOKUP(YEAR($A73),'NY East Load Projections'!$A$4:$EO$14,((MONTH($A73)-1)*12)+VLOOKUP(AE$4,$DE$6:$DF$17,2)+1))*(VLOOKUP($A73,CURVES!$D$9:$K$261,7))*(INDEX(DailyScalarsTable,AE$5/100,MONTH($A73)))*$B73</f>
        <v>-74362.843844301548</v>
      </c>
      <c r="AF73" s="1021"/>
      <c r="AG73" s="1021">
        <f>(VLOOKUP(YEAR($A73),'NY East Load Projections'!$A$4:$EO$14,((MONTH($A73)-1)*12)+VLOOKUP(AG$4,$DE$6:$DF$17,2)+1))*(VLOOKUP($A73,CURVES!$D$9:$T$261,7))*(INDEX(DailyScalarsTable,AG$5/100,MONTH($A73)))*$C73</f>
        <v>-10386.179863087222</v>
      </c>
      <c r="AH73" s="1021">
        <f>(VLOOKUP(YEAR($A73),'NY East Load Projections'!$A$4:$EO$14,((MONTH($A73)-1)*12)+VLOOKUP(AH$4,$DE$6:$DF$17,2)+1))*(VLOOKUP($A73,CURVES!$D$9:$T$261,7))*(INDEX(DailyScalarsTable,AH$5/100,MONTH($A73)))*$C73</f>
        <v>-9375.7864806539837</v>
      </c>
      <c r="AI73" s="1021">
        <f>(VLOOKUP(YEAR($A73),'NY East Load Projections'!$A$4:$EO$14,((MONTH($A73)-1)*12)+VLOOKUP(AI$4,$DE$6:$DF$17,2)+1))*(VLOOKUP($A73,CURVES!$D$9:$T$261,7))*(INDEX(DailyScalarsTable,AI$5/100,MONTH($A73)))*$C73</f>
        <v>-8419.9448536103337</v>
      </c>
      <c r="AJ73" s="1021">
        <f>(VLOOKUP(YEAR($A73),'NY East Load Projections'!$A$4:$EO$14,((MONTH($A73)-1)*12)+VLOOKUP(AJ$4,$DE$6:$DF$17,2)+1))*(VLOOKUP($A73,CURVES!$D$9:$T$261,7))*(INDEX(DailyScalarsTable,AJ$5/100,MONTH($A73)))*$C73</f>
        <v>-7921.8636087488758</v>
      </c>
      <c r="AK73" s="1021">
        <f>(VLOOKUP(YEAR($A73),'NY East Load Projections'!$A$4:$EO$14,((MONTH($A73)-1)*12)+VLOOKUP(AK$4,$DE$6:$DF$17,2)+1))*(VLOOKUP($A73,CURVES!$D$9:$T$261,7))*(INDEX(DailyScalarsTable,AK$5/100,MONTH($A73)))*$C73</f>
        <v>-8354.5821095044757</v>
      </c>
      <c r="AL73" s="1021">
        <f>(VLOOKUP(YEAR($A73),'NY East Load Projections'!$A$4:$EO$14,((MONTH($A73)-1)*12)+VLOOKUP(AL$4,$DE$6:$DF$17,2)+1))*(VLOOKUP($A73,CURVES!$D$9:$T$261,7))*(INDEX(DailyScalarsTable,AL$5/100,MONTH($A73)))*$C73</f>
        <v>-9282.3335119155636</v>
      </c>
      <c r="AM73" s="1021">
        <f>(VLOOKUP(YEAR($A73),'NY East Load Projections'!$A$4:$EO$14,((MONTH($A73)-1)*12)+VLOOKUP(AM$4,$DE$6:$DF$17,2)+1))*(VLOOKUP($A73,CURVES!$D$9:$T$261,7))*(INDEX(DailyScalarsTable,AM$5/100,MONTH($A73)))*$C73</f>
        <v>-10800.472170406425</v>
      </c>
      <c r="AN73" s="1021">
        <f>(VLOOKUP(YEAR($A73),'NY East Load Projections'!$A$4:$EO$14,((MONTH($A73)-1)*12)+VLOOKUP(AN$4,$DE$6:$DF$17,2)+1))*(VLOOKUP($A73,SatSunCurve,3))*(INDEX(DailyScalarsTable,AN$5/100,MONTH($A73)))*$C73</f>
        <v>-11096.43698769691</v>
      </c>
      <c r="AO73" s="1021">
        <f>(VLOOKUP(YEAR($A73),'NY East Load Projections'!$A$4:$EO$14,((MONTH($A73)-1)*12)+VLOOKUP(AO$4,$DE$6:$DF$17,2)+1))*(VLOOKUP($A73,SatSunCurve,3))*(INDEX(DailyScalarsTable,AO$5/100,MONTH($A73)))*$C73</f>
        <v>-13348.220693047877</v>
      </c>
      <c r="AP73" s="1021">
        <f>(VLOOKUP(YEAR($A73),'NY East Load Projections'!$A$4:$EO$14,((MONTH($A73)-1)*12)+VLOOKUP(AP$4,$DE$6:$DF$17,2)+1))*(VLOOKUP($A73,SatSunCurve,3))*(INDEX(DailyScalarsTable,AP$5/100,MONTH($A73)))*$C73</f>
        <v>-17118.271839574263</v>
      </c>
      <c r="AQ73" s="1021">
        <f>(VLOOKUP(YEAR($A73),'NY East Load Projections'!$A$4:$EO$14,((MONTH($A73)-1)*12)+VLOOKUP(AQ$4,$DE$6:$DF$17,2)+1))*(VLOOKUP($A73,SatSunCurve,3))*(INDEX(DailyScalarsTable,AQ$5/100,MONTH($A73)))*$C73</f>
        <v>-19320.578944970861</v>
      </c>
      <c r="AR73" s="1021">
        <f>(VLOOKUP(YEAR($A73),'NY East Load Projections'!$A$4:$EO$14,((MONTH($A73)-1)*12)+VLOOKUP(AR$4,$DE$6:$DF$17,2)+1))*(VLOOKUP($A73,SatSunCurve,3))*(INDEX(DailyScalarsTable,AR$5/100,MONTH($A73)))*$C73</f>
        <v>-20139.289722005302</v>
      </c>
      <c r="AS73" s="1021">
        <f>(VLOOKUP(YEAR($A73),'NY East Load Projections'!$A$4:$EO$14,((MONTH($A73)-1)*12)+VLOOKUP(AS$4,$DE$6:$DF$17,2)+1))*(VLOOKUP($A73,SatSunCurve,3))*(INDEX(DailyScalarsTable,AS$5/100,MONTH($A73)))*$C73</f>
        <v>-20659.749067499022</v>
      </c>
      <c r="AT73" s="1021">
        <f>(VLOOKUP(YEAR($A73),'NY East Load Projections'!$A$4:$EO$14,((MONTH($A73)-1)*12)+VLOOKUP(AT$4,$DE$6:$DF$17,2)+1))*(VLOOKUP($A73,SatSunCurve,3))*(INDEX(DailyScalarsTable,AT$5/100,MONTH($A73)))*$C73</f>
        <v>-22679.66475039686</v>
      </c>
      <c r="AU73" s="1021">
        <f>(VLOOKUP(YEAR($A73),'NY East Load Projections'!$A$4:$EO$14,((MONTH($A73)-1)*12)+VLOOKUP(AU$4,$DE$6:$DF$17,2)+1))*(VLOOKUP($A73,SatSunCurve,3))*(INDEX(DailyScalarsTable,AU$5/100,MONTH($A73)))*$C73</f>
        <v>-24009.97864601238</v>
      </c>
      <c r="AV73" s="1021">
        <f>(VLOOKUP(YEAR($A73),'NY East Load Projections'!$A$4:$EO$14,((MONTH($A73)-1)*12)+VLOOKUP(AV$4,$DE$6:$DF$17,2)+1))*(VLOOKUP($A73,SatSunCurve,3))*(INDEX(DailyScalarsTable,AV$5/100,MONTH($A73)))*$C73</f>
        <v>-23675.470316360508</v>
      </c>
      <c r="AW73" s="1021">
        <f>(VLOOKUP(YEAR($A73),'NY East Load Projections'!$A$4:$EO$14,((MONTH($A73)-1)*12)+VLOOKUP(AW$4,$DE$6:$DF$17,2)+1))*(VLOOKUP($A73,SatSunCurve,3))*(INDEX(DailyScalarsTable,AW$5/100,MONTH($A73)))*$C73</f>
        <v>-21984.996411485852</v>
      </c>
      <c r="AX73" s="1021">
        <f>(VLOOKUP(YEAR($A73),'NY East Load Projections'!$A$4:$EO$14,((MONTH($A73)-1)*12)+VLOOKUP(AX$4,$DE$6:$DF$17,2)+1))*(VLOOKUP($A73,SatSunCurve,3))*(INDEX(DailyScalarsTable,AX$5/100,MONTH($A73)))*$C73</f>
        <v>-20359.465767318845</v>
      </c>
      <c r="AY73" s="1021">
        <f>(VLOOKUP(YEAR($A73),'NY East Load Projections'!$A$4:$EO$14,((MONTH($A73)-1)*12)+VLOOKUP(AY$4,$DE$6:$DF$17,2)+1))*(VLOOKUP($A73,SatSunCurve,3))*(INDEX(DailyScalarsTable,AY$5/100,MONTH($A73)))*$C73</f>
        <v>-16595.079012405768</v>
      </c>
      <c r="AZ73" s="1021">
        <f>(VLOOKUP(YEAR($A73),'NY East Load Projections'!$A$4:$EO$14,((MONTH($A73)-1)*12)+VLOOKUP(AZ$4,$DE$6:$DF$17,2)+1))*(VLOOKUP($A73,SatSunCurve,3))*(INDEX(DailyScalarsTable,AZ$5/100,MONTH($A73)))*$C73</f>
        <v>-15108.879566310217</v>
      </c>
      <c r="BA73" s="1021">
        <f>(VLOOKUP(YEAR($A73),'NY East Load Projections'!$A$4:$EO$14,((MONTH($A73)-1)*12)+VLOOKUP(BA$4,$DE$6:$DF$17,2)+1))*(VLOOKUP($A73,SatSunCurve,3))*(INDEX(DailyScalarsTable,BA$5/100,MONTH($A73)))*$C73</f>
        <v>-18006.647983564766</v>
      </c>
      <c r="BB73" s="1021">
        <f>(VLOOKUP(YEAR($A73),'NY East Load Projections'!$A$4:$EO$14,((MONTH($A73)-1)*12)+VLOOKUP(BB$4,$DE$6:$DF$17,2)+1))*(VLOOKUP($A73,SatSunCurve,3))*(INDEX(DailyScalarsTable,BB$5/100,MONTH($A73)))*$C73</f>
        <v>-15311.554984610242</v>
      </c>
      <c r="BC73" s="1021">
        <f>(VLOOKUP(YEAR($A73),'NY East Load Projections'!$A$4:$EO$14,((MONTH($A73)-1)*12)+VLOOKUP(BC$4,$DE$6:$DF$17,2)+1))*(VLOOKUP($A73,SatSunCurve,3))*(INDEX(DailyScalarsTable,BC$5/100,MONTH($A73)))*$C73</f>
        <v>-12398.81701838618</v>
      </c>
      <c r="BD73" s="1021">
        <f>(VLOOKUP(YEAR($A73),'NY East Load Projections'!$A$4:$EO$14,((MONTH($A73)-1)*12)+VLOOKUP(BD$4,$DE$6:$DF$17,2)+1))*(VLOOKUP($A73,CURVES!$D$9:$T$261,7))*(INDEX(DailyScalarsTable,BD$5/100,MONTH($A73)))*$C73</f>
        <v>-12545.038972932238</v>
      </c>
      <c r="BE73" s="1021"/>
      <c r="BF73" s="1021">
        <f>(VLOOKUP(YEAR($A73),'NY East Load Projections'!$A$4:$EO$14,((MONTH($A73)-1)*12)+VLOOKUP(BF$4,$DE$6:$DF$17,2)+1))*(VLOOKUP($A73,CURVES!$D$9:$T$261,7))*(INDEX(DailyScalarsTable,BF$5/100,MONTH($A73)))*$D73</f>
        <v>-10386.179863087222</v>
      </c>
      <c r="BG73" s="1021">
        <f>(VLOOKUP(YEAR($A73),'NY East Load Projections'!$A$4:$EO$14,((MONTH($A73)-1)*12)+VLOOKUP(BG$4,$DE$6:$DF$17,2)+1))*(VLOOKUP($A73,CURVES!$D$9:$T$261,7))*(INDEX(DailyScalarsTable,BG$5/100,MONTH($A73)))*$D73</f>
        <v>-9375.7864806539837</v>
      </c>
      <c r="BH73" s="1021">
        <f>(VLOOKUP(YEAR($A73),'NY East Load Projections'!$A$4:$EO$14,((MONTH($A73)-1)*12)+VLOOKUP(BH$4,$DE$6:$DF$17,2)+1))*(VLOOKUP($A73,CURVES!$D$9:$T$261,7))*(INDEX(DailyScalarsTable,BH$5/100,MONTH($A73)))*$D73</f>
        <v>-8419.9448536103337</v>
      </c>
      <c r="BI73" s="1021">
        <f>(VLOOKUP(YEAR($A73),'NY East Load Projections'!$A$4:$EO$14,((MONTH($A73)-1)*12)+VLOOKUP(BI$4,$DE$6:$DF$17,2)+1))*(VLOOKUP($A73,CURVES!$D$9:$T$261,7))*(INDEX(DailyScalarsTable,BI$5/100,MONTH($A73)))*$D73</f>
        <v>-7921.8636087488758</v>
      </c>
      <c r="BJ73" s="1021">
        <f>(VLOOKUP(YEAR($A73),'NY East Load Projections'!$A$4:$EO$14,((MONTH($A73)-1)*12)+VLOOKUP(BJ$4,$DE$6:$DF$17,2)+1))*(VLOOKUP($A73,CURVES!$D$9:$T$261,7))*(INDEX(DailyScalarsTable,BJ$5/100,MONTH($A73)))*$D73</f>
        <v>-8354.5821095044757</v>
      </c>
      <c r="BK73" s="1021">
        <f>(VLOOKUP(YEAR($A73),'NY East Load Projections'!$A$4:$EO$14,((MONTH($A73)-1)*12)+VLOOKUP(BK$4,$DE$6:$DF$17,2)+1))*(VLOOKUP($A73,CURVES!$D$9:$T$261,7))*(INDEX(DailyScalarsTable,BK$5/100,MONTH($A73)))*$D73</f>
        <v>-9282.3335119155636</v>
      </c>
      <c r="BL73" s="1021">
        <f>(VLOOKUP(YEAR($A73),'NY East Load Projections'!$A$4:$EO$14,((MONTH($A73)-1)*12)+VLOOKUP(BL$4,$DE$6:$DF$17,2)+1))*(VLOOKUP($A73,CURVES!$D$9:$T$261,7))*(INDEX(DailyScalarsTable,BL$5/100,MONTH($A73)))*$D73</f>
        <v>-10800.472170406425</v>
      </c>
      <c r="BM73" s="1021">
        <f>(VLOOKUP(YEAR($A73),'NY East Load Projections'!$A$4:$EO$14,((MONTH($A73)-1)*12)+VLOOKUP(BM$4,$DE$6:$DF$17,2)+1))*(VLOOKUP($A73,SatSunCurve,7))*(INDEX(DailyScalarsTable,BM$5/100,MONTH($A73)))*$D73</f>
        <v>-8125.5769633141317</v>
      </c>
      <c r="BN73" s="1021">
        <f>(VLOOKUP(YEAR($A73),'NY East Load Projections'!$A$4:$EO$14,((MONTH($A73)-1)*12)+VLOOKUP(BN$4,$DE$6:$DF$17,2)+1))*(VLOOKUP($A73,SatSunCurve,7))*(INDEX(DailyScalarsTable,BN$5/100,MONTH($A73)))*$D73</f>
        <v>-9774.4883952316613</v>
      </c>
      <c r="BO73" s="1021">
        <f>(VLOOKUP(YEAR($A73),'NY East Load Projections'!$A$4:$EO$14,((MONTH($A73)-1)*12)+VLOOKUP(BO$4,$DE$6:$DF$17,2)+1))*(VLOOKUP($A73,SatSunCurve,7))*(INDEX(DailyScalarsTable,BO$5/100,MONTH($A73)))*$D73</f>
        <v>-12535.180028113087</v>
      </c>
      <c r="BP73" s="1021">
        <f>(VLOOKUP(YEAR($A73),'NY East Load Projections'!$A$4:$EO$14,((MONTH($A73)-1)*12)+VLOOKUP(BP$4,$DE$6:$DF$17,2)+1))*(VLOOKUP($A73,SatSunCurve,7))*(INDEX(DailyScalarsTable,BP$5/100,MONTH($A73)))*$D73</f>
        <v>-14147.861279004213</v>
      </c>
      <c r="BQ73" s="1021">
        <f>(VLOOKUP(YEAR($A73),'NY East Load Projections'!$A$4:$EO$14,((MONTH($A73)-1)*12)+VLOOKUP(BQ$4,$DE$6:$DF$17,2)+1))*(VLOOKUP($A73,SatSunCurve,7))*(INDEX(DailyScalarsTable,BQ$5/100,MONTH($A73)))*$D73</f>
        <v>-14747.377811821367</v>
      </c>
      <c r="BR73" s="1021">
        <f>(VLOOKUP(YEAR($A73),'NY East Load Projections'!$A$4:$EO$14,((MONTH($A73)-1)*12)+VLOOKUP(BR$4,$DE$6:$DF$17,2)+1))*(VLOOKUP($A73,SatSunCurve,7))*(INDEX(DailyScalarsTable,BR$5/100,MONTH($A73)))*$D73</f>
        <v>-15128.494063170718</v>
      </c>
      <c r="BS73" s="1021">
        <f>(VLOOKUP(YEAR($A73),'NY East Load Projections'!$A$4:$EO$14,((MONTH($A73)-1)*12)+VLOOKUP(BS$4,$DE$6:$DF$17,2)+1))*(VLOOKUP($A73,SatSunCurve,7))*(INDEX(DailyScalarsTable,BS$5/100,MONTH($A73)))*$D73</f>
        <v>-16607.615727087647</v>
      </c>
      <c r="BT73" s="1021">
        <f>(VLOOKUP(YEAR($A73),'NY East Load Projections'!$A$4:$EO$14,((MONTH($A73)-1)*12)+VLOOKUP(BT$4,$DE$6:$DF$17,2)+1))*(VLOOKUP($A73,SatSunCurve,7))*(INDEX(DailyScalarsTable,BT$5/100,MONTH($A73)))*$D73</f>
        <v>-17581.763370711917</v>
      </c>
      <c r="BU73" s="1021">
        <f>(VLOOKUP(YEAR($A73),'NY East Load Projections'!$A$4:$EO$14,((MONTH($A73)-1)*12)+VLOOKUP(BU$4,$DE$6:$DF$17,2)+1))*(VLOOKUP($A73,SatSunCurve,7))*(INDEX(DailyScalarsTable,BU$5/100,MONTH($A73)))*$D73</f>
        <v>-17336.813286241599</v>
      </c>
      <c r="BV73" s="1021">
        <f>(VLOOKUP(YEAR($A73),'NY East Load Projections'!$A$4:$EO$14,((MONTH($A73)-1)*12)+VLOOKUP(BV$4,$DE$6:$DF$17,2)+1))*(VLOOKUP($A73,SatSunCurve,7))*(INDEX(DailyScalarsTable,BV$5/100,MONTH($A73)))*$D73</f>
        <v>-16098.931628033388</v>
      </c>
      <c r="BW73" s="1021">
        <f>(VLOOKUP(YEAR($A73),'NY East Load Projections'!$A$4:$EO$14,((MONTH($A73)-1)*12)+VLOOKUP(BW$4,$DE$6:$DF$17,2)+1))*(VLOOKUP($A73,SatSunCurve,7))*(INDEX(DailyScalarsTable,BW$5/100,MONTH($A73)))*$D73</f>
        <v>-14908.605907259296</v>
      </c>
      <c r="BX73" s="1021">
        <f>(VLOOKUP(YEAR($A73),'NY East Load Projections'!$A$4:$EO$14,((MONTH($A73)-1)*12)+VLOOKUP(BX$4,$DE$6:$DF$17,2)+1))*(VLOOKUP($A73,SatSunCurve,7))*(INDEX(DailyScalarsTable,BX$5/100,MONTH($A73)))*$D73</f>
        <v>-12152.062132835079</v>
      </c>
      <c r="BY73" s="1021">
        <f>(VLOOKUP(YEAR($A73),'NY East Load Projections'!$A$4:$EO$14,((MONTH($A73)-1)*12)+VLOOKUP(BY$4,$DE$6:$DF$17,2)+1))*(VLOOKUP($A73,SatSunCurve,7))*(INDEX(DailyScalarsTable,BY$5/100,MONTH($A73)))*$D73</f>
        <v>-11063.764330984479</v>
      </c>
      <c r="BZ73" s="1021">
        <f>(VLOOKUP(YEAR($A73),'NY East Load Projections'!$A$4:$EO$14,((MONTH($A73)-1)*12)+VLOOKUP(BZ$4,$DE$6:$DF$17,2)+1))*(VLOOKUP($A73,SatSunCurve,7))*(INDEX(DailyScalarsTable,BZ$5/100,MONTH($A73)))*$D73</f>
        <v>-13185.71035044724</v>
      </c>
      <c r="CA73" s="1021">
        <f>(VLOOKUP(YEAR($A73),'NY East Load Projections'!$A$4:$EO$14,((MONTH($A73)-1)*12)+VLOOKUP(CA$4,$DE$6:$DF$17,2)+1))*(VLOOKUP($A73,SatSunCurve,7))*(INDEX(DailyScalarsTable,CA$5/100,MONTH($A73)))*$D73</f>
        <v>-11212.177259548364</v>
      </c>
      <c r="CB73" s="1021">
        <f>(VLOOKUP(YEAR($A73),'NY East Load Projections'!$A$4:$EO$14,((MONTH($A73)-1)*12)+VLOOKUP(CB$4,$DE$6:$DF$17,2)+1))*(VLOOKUP($A73,SatSunCurve,7))*(INDEX(DailyScalarsTable,CB$5/100,MONTH($A73)))*$D73</f>
        <v>-9079.2695032332485</v>
      </c>
      <c r="CC73" s="1021">
        <f>(VLOOKUP(YEAR($A73),'NY East Load Projections'!$A$4:$EO$14,((MONTH($A73)-1)*12)+VLOOKUP(CC$4,$DE$6:$DF$17,2)+1))*(VLOOKUP($A73,CURVES!$D$9:$T$261,7))*(INDEX(DailyScalarsTable,CC$5/100,MONTH($A73)))*$D73</f>
        <v>-12545.038972932238</v>
      </c>
      <c r="CE73" s="1021">
        <f>(VLOOKUP(YEAR($A73),'NY East Load Projections'!$A$4:$EO$14,((MONTH($A73)-1)*12)+VLOOKUP(CE$4,$DE$6:$DF$17,2)+1))*(VLOOKUP($A73,CURVES!$D$9:$T$261,7))*(INDEX(DailyScalarsTable,CE$5/100,MONTH($A73)))*$E73</f>
        <v>0</v>
      </c>
      <c r="CF73" s="1021">
        <f>(VLOOKUP(YEAR($A73),'NY East Load Projections'!$A$4:$EO$14,((MONTH($A73)-1)*12)+VLOOKUP(CF$4,$DE$6:$DF$17,2)+1))*(VLOOKUP($A73,CURVES!$D$9:$T$261,7))*(INDEX(DailyScalarsTable,CF$5/100,MONTH($A73)))*$E73</f>
        <v>0</v>
      </c>
      <c r="CG73" s="1021">
        <f>(VLOOKUP(YEAR($A73),'NY East Load Projections'!$A$4:$EO$14,((MONTH($A73)-1)*12)+VLOOKUP(CG$4,$DE$6:$DF$17,2)+1))*(VLOOKUP($A73,CURVES!$D$9:$T$261,7))*(INDEX(DailyScalarsTable,CG$5/100,MONTH($A73)))*$E73</f>
        <v>0</v>
      </c>
      <c r="CH73" s="1021">
        <f>(VLOOKUP(YEAR($A73),'NY East Load Projections'!$A$4:$EO$14,((MONTH($A73)-1)*12)+VLOOKUP(CH$4,$DE$6:$DF$17,2)+1))*(VLOOKUP($A73,CURVES!$D$9:$T$261,7))*(INDEX(DailyScalarsTable,CH$5/100,MONTH($A73)))*$E73</f>
        <v>0</v>
      </c>
      <c r="CI73" s="1021">
        <f>(VLOOKUP(YEAR($A73),'NY East Load Projections'!$A$4:$EO$14,((MONTH($A73)-1)*12)+VLOOKUP(CI$4,$DE$6:$DF$17,2)+1))*(VLOOKUP($A73,CURVES!$D$9:$T$261,7))*(INDEX(DailyScalarsTable,CI$5/100,MONTH($A73)))*$E73</f>
        <v>0</v>
      </c>
      <c r="CJ73" s="1021">
        <f>(VLOOKUP(YEAR($A73),'NY East Load Projections'!$A$4:$EO$14,((MONTH($A73)-1)*12)+VLOOKUP(CJ$4,$DE$6:$DF$17,2)+1))*(VLOOKUP($A73,CURVES!$D$9:$T$261,7))*(INDEX(DailyScalarsTable,CJ$5/100,MONTH($A73)))*$E73</f>
        <v>0</v>
      </c>
      <c r="CK73" s="1021">
        <f>(VLOOKUP(YEAR($A73),'NY East Load Projections'!$A$4:$EO$14,((MONTH($A73)-1)*12)+VLOOKUP(CK$4,$DE$6:$DF$17,2)+1))*(VLOOKUP($A73,CURVES!$D$9:$T$261,7))*(INDEX(DailyScalarsTable,CK$5/100,MONTH($A73)))*$E73</f>
        <v>0</v>
      </c>
      <c r="CL73" s="1021">
        <f>(VLOOKUP(YEAR($A73),'NY East Load Projections'!$A$4:$EO$14,((MONTH($A73)-1)*12)+VLOOKUP(CL$4,$DE$6:$DF$17,2)+1))*(VLOOKUP($A73,SatSunCurve,7))*(INDEX(DailyScalarsTable,CL$5/100,MONTH($A73)))*$E73</f>
        <v>0</v>
      </c>
      <c r="CM73" s="1021">
        <f>(VLOOKUP(YEAR($A73),'NY East Load Projections'!$A$4:$EO$14,((MONTH($A73)-1)*12)+VLOOKUP(CM$4,$DE$6:$DF$17,2)+1))*(VLOOKUP($A73,SatSunCurve,7))*(INDEX(DailyScalarsTable,CM$5/100,MONTH($A73)))*$E73</f>
        <v>0</v>
      </c>
      <c r="CN73" s="1021">
        <f>(VLOOKUP(YEAR($A73),'NY East Load Projections'!$A$4:$EO$14,((MONTH($A73)-1)*12)+VLOOKUP(CN$4,$DE$6:$DF$17,2)+1))*(VLOOKUP($A73,SatSunCurve,7))*(INDEX(DailyScalarsTable,CN$5/100,MONTH($A73)))*$E73</f>
        <v>0</v>
      </c>
      <c r="CO73" s="1021">
        <f>(VLOOKUP(YEAR($A73),'NY East Load Projections'!$A$4:$EO$14,((MONTH($A73)-1)*12)+VLOOKUP(CO$4,$DE$6:$DF$17,2)+1))*(VLOOKUP($A73,SatSunCurve,7))*(INDEX(DailyScalarsTable,CO$5/100,MONTH($A73)))*$E73</f>
        <v>0</v>
      </c>
      <c r="CP73" s="1021">
        <f>(VLOOKUP(YEAR($A73),'NY East Load Projections'!$A$4:$EO$14,((MONTH($A73)-1)*12)+VLOOKUP(CP$4,$DE$6:$DF$17,2)+1))*(VLOOKUP($A73,SatSunCurve,7))*(INDEX(DailyScalarsTable,CP$5/100,MONTH($A73)))*$E73</f>
        <v>0</v>
      </c>
      <c r="CQ73" s="1021">
        <f>(VLOOKUP(YEAR($A73),'NY East Load Projections'!$A$4:$EO$14,((MONTH($A73)-1)*12)+VLOOKUP(CQ$4,$DE$6:$DF$17,2)+1))*(VLOOKUP($A73,SatSunCurve,7))*(INDEX(DailyScalarsTable,CQ$5/100,MONTH($A73)))*$E73</f>
        <v>0</v>
      </c>
      <c r="CR73" s="1021">
        <f>(VLOOKUP(YEAR($A73),'NY East Load Projections'!$A$4:$EO$14,((MONTH($A73)-1)*12)+VLOOKUP(CR$4,$DE$6:$DF$17,2)+1))*(VLOOKUP($A73,SatSunCurve,7))*(INDEX(DailyScalarsTable,CR$5/100,MONTH($A73)))*$E73</f>
        <v>0</v>
      </c>
      <c r="CS73" s="1021">
        <f>(VLOOKUP(YEAR($A73),'NY East Load Projections'!$A$4:$EO$14,((MONTH($A73)-1)*12)+VLOOKUP(CS$4,$DE$6:$DF$17,2)+1))*(VLOOKUP($A73,SatSunCurve,7))*(INDEX(DailyScalarsTable,CS$5/100,MONTH($A73)))*$E73</f>
        <v>0</v>
      </c>
      <c r="CT73" s="1021">
        <f>(VLOOKUP(YEAR($A73),'NY East Load Projections'!$A$4:$EO$14,((MONTH($A73)-1)*12)+VLOOKUP(CT$4,$DE$6:$DF$17,2)+1))*(VLOOKUP($A73,SatSunCurve,7))*(INDEX(DailyScalarsTable,CT$5/100,MONTH($A73)))*$E73</f>
        <v>0</v>
      </c>
      <c r="CU73" s="1021">
        <f>(VLOOKUP(YEAR($A73),'NY East Load Projections'!$A$4:$EO$14,((MONTH($A73)-1)*12)+VLOOKUP(CU$4,$DE$6:$DF$17,2)+1))*(VLOOKUP($A73,SatSunCurve,7))*(INDEX(DailyScalarsTable,CU$5/100,MONTH($A73)))*$E73</f>
        <v>0</v>
      </c>
      <c r="CV73" s="1021">
        <f>(VLOOKUP(YEAR($A73),'NY East Load Projections'!$A$4:$EO$14,((MONTH($A73)-1)*12)+VLOOKUP(CV$4,$DE$6:$DF$17,2)+1))*(VLOOKUP($A73,SatSunCurve,7))*(INDEX(DailyScalarsTable,CV$5/100,MONTH($A73)))*$E73</f>
        <v>0</v>
      </c>
      <c r="CW73" s="1021">
        <f>(VLOOKUP(YEAR($A73),'NY East Load Projections'!$A$4:$EO$14,((MONTH($A73)-1)*12)+VLOOKUP(CW$4,$DE$6:$DF$17,2)+1))*(VLOOKUP($A73,SatSunCurve,7))*(INDEX(DailyScalarsTable,CW$5/100,MONTH($A73)))*$E73</f>
        <v>0</v>
      </c>
      <c r="CX73" s="1021">
        <f>(VLOOKUP(YEAR($A73),'NY East Load Projections'!$A$4:$EO$14,((MONTH($A73)-1)*12)+VLOOKUP(CX$4,$DE$6:$DF$17,2)+1))*(VLOOKUP($A73,SatSunCurve,7))*(INDEX(DailyScalarsTable,CX$5/100,MONTH($A73)))*$E73</f>
        <v>0</v>
      </c>
      <c r="CY73" s="1021">
        <f>(VLOOKUP(YEAR($A73),'NY East Load Projections'!$A$4:$EO$14,((MONTH($A73)-1)*12)+VLOOKUP(CY$4,$DE$6:$DF$17,2)+1))*(VLOOKUP($A73,SatSunCurve,7))*(INDEX(DailyScalarsTable,CY$5/100,MONTH($A73)))*$E73</f>
        <v>0</v>
      </c>
      <c r="CZ73" s="1021">
        <f>(VLOOKUP(YEAR($A73),'NY East Load Projections'!$A$4:$EO$14,((MONTH($A73)-1)*12)+VLOOKUP(CZ$4,$DE$6:$DF$17,2)+1))*(VLOOKUP($A73,SatSunCurve,7))*(INDEX(DailyScalarsTable,CZ$5/100,MONTH($A73)))*$E73</f>
        <v>0</v>
      </c>
      <c r="DA73" s="1021">
        <f>(VLOOKUP(YEAR($A73),'NY East Load Projections'!$A$4:$EO$14,((MONTH($A73)-1)*12)+VLOOKUP(DA$4,$DE$6:$DF$17,2)+1))*(VLOOKUP($A73,SatSunCurve,7))*(INDEX(DailyScalarsTable,DA$5/100,MONTH($A73)))*$E73</f>
        <v>0</v>
      </c>
      <c r="DB73" s="1021">
        <f>(VLOOKUP(YEAR($A73),'NY East Load Projections'!$A$4:$EO$14,((MONTH($A73)-1)*12)+VLOOKUP(DB$4,$DE$6:$DF$17,2)+1))*(VLOOKUP($A73,CURVES!$D$9:$T$261,7))*(INDEX(DailyScalarsTable,DB$5/100,MONTH($A73)))*$E73</f>
        <v>0</v>
      </c>
      <c r="DH73" s="1032">
        <f t="shared" si="2"/>
        <v>-4000885.4570758375</v>
      </c>
      <c r="DI73">
        <f ca="1">CALC!J93</f>
        <v>0.62321691786190325</v>
      </c>
      <c r="DJ73" s="1029">
        <f t="shared" ca="1" si="3"/>
        <v>-2493419.5032773153</v>
      </c>
    </row>
    <row r="74" spans="1:114" x14ac:dyDescent="0.25">
      <c r="A74" s="244">
        <v>38961</v>
      </c>
      <c r="B74" s="13">
        <v>20</v>
      </c>
      <c r="C74" s="210">
        <v>5</v>
      </c>
      <c r="D74" s="210">
        <v>4</v>
      </c>
      <c r="E74" s="210">
        <v>1</v>
      </c>
      <c r="F74" s="13">
        <v>30</v>
      </c>
      <c r="H74" s="1021">
        <f>(VLOOKUP(YEAR($A74),'NY East Load Projections'!$A$4:$EO$14,((MONTH($A74)-1)*12)+VLOOKUP(H$4,$DE$6:$DF$17,2)+1))*(VLOOKUP($A74,CURVES!$D$9:$K$261,7))*(INDEX(DailyScalarsTable,H$5/100,MONTH($A74)))*$B74</f>
        <v>-39771.605561625991</v>
      </c>
      <c r="I74" s="1021">
        <f>(VLOOKUP(YEAR($A74),'NY East Load Projections'!$A$4:$EO$14,((MONTH($A74)-1)*12)+VLOOKUP(I$4,$DE$6:$DF$17,2)+1))*(VLOOKUP($A74,CURVES!$D$9:$K$261,7))*(INDEX(DailyScalarsTable,I$5/100,MONTH($A74)))*$B74</f>
        <v>-34892.335689574844</v>
      </c>
      <c r="J74" s="1021">
        <f>(VLOOKUP(YEAR($A74),'NY East Load Projections'!$A$4:$EO$14,((MONTH($A74)-1)*12)+VLOOKUP(J$4,$DE$6:$DF$17,2)+1))*(VLOOKUP($A74,CURVES!$D$9:$K$261,7))*(INDEX(DailyScalarsTable,J$5/100,MONTH($A74)))*$B74</f>
        <v>-32720.403965991012</v>
      </c>
      <c r="K74" s="1021">
        <f>(VLOOKUP(YEAR($A74),'NY East Load Projections'!$A$4:$EO$14,((MONTH($A74)-1)*12)+VLOOKUP(K$4,$DE$6:$DF$17,2)+1))*(VLOOKUP($A74,CURVES!$D$9:$K$261,7))*(INDEX(DailyScalarsTable,K$5/100,MONTH($A74)))*$B74</f>
        <v>-33205.300350791134</v>
      </c>
      <c r="L74" s="1021">
        <f>(VLOOKUP(YEAR($A74),'NY East Load Projections'!$A$4:$EO$14,((MONTH($A74)-1)*12)+VLOOKUP(L$4,$DE$6:$DF$17,2)+1))*(VLOOKUP($A74,CURVES!$D$9:$K$261,7))*(INDEX(DailyScalarsTable,L$5/100,MONTH($A74)))*$B74</f>
        <v>-39022.367367069593</v>
      </c>
      <c r="M74" s="1021">
        <f>(VLOOKUP(YEAR($A74),'NY East Load Projections'!$A$4:$EO$14,((MONTH($A74)-1)*12)+VLOOKUP(M$4,$DE$6:$DF$17,2)+1))*(VLOOKUP($A74,CURVES!$D$9:$K$261,7))*(INDEX(DailyScalarsTable,M$5/100,MONTH($A74)))*$B74</f>
        <v>-45157.752261638445</v>
      </c>
      <c r="N74" s="1021">
        <f>(VLOOKUP(YEAR($A74),'NY East Load Projections'!$A$4:$EO$14,((MONTH($A74)-1)*12)+VLOOKUP(N$4,$DE$6:$DF$17,2)+1))*(VLOOKUP($A74,CURVES!$D$9:$K$261,7))*(INDEX(DailyScalarsTable,N$5/100,MONTH($A74)))*$B74</f>
        <v>-61408.825512844087</v>
      </c>
      <c r="O74" s="1021">
        <f>(VLOOKUP(YEAR($A74),'NY East Load Projections'!$A$4:$EO$14,((MONTH($A74)-1)*12)+VLOOKUP(O$4,$DE$6:$DF$17,2)+1))*(VLOOKUP($A74,CURVES!$D$9:$K$261,3))*(INDEX(DailyScalarsTable,O$5/100,MONTH($A74)))*$B74</f>
        <v>-55578.145622584474</v>
      </c>
      <c r="P74" s="1021">
        <f>(VLOOKUP(YEAR($A74),'NY East Load Projections'!$A$4:$EO$14,((MONTH($A74)-1)*12)+VLOOKUP(P$4,$DE$6:$DF$17,2)+1))*(VLOOKUP($A74,CURVES!$D$9:$K$261,3))*(INDEX(DailyScalarsTable,P$5/100,MONTH($A74)))*$B74</f>
        <v>-60924.922709843711</v>
      </c>
      <c r="Q74" s="1021">
        <f>(VLOOKUP(YEAR($A74),'NY East Load Projections'!$A$4:$EO$14,((MONTH($A74)-1)*12)+VLOOKUP(Q$4,$DE$6:$DF$17,2)+1))*(VLOOKUP($A74,CURVES!$D$9:$K$261,3))*(INDEX(DailyScalarsTable,Q$5/100,MONTH($A74)))*$B74</f>
        <v>-76053.378551424306</v>
      </c>
      <c r="R74" s="1021">
        <f>(VLOOKUP(YEAR($A74),'NY East Load Projections'!$A$4:$EO$14,((MONTH($A74)-1)*12)+VLOOKUP(R$4,$DE$6:$DF$17,2)+1))*(VLOOKUP($A74,CURVES!$D$9:$K$261,3))*(INDEX(DailyScalarsTable,R$5/100,MONTH($A74)))*$B74</f>
        <v>-81221.48458426242</v>
      </c>
      <c r="S74" s="1021">
        <f>(VLOOKUP(YEAR($A74),'NY East Load Projections'!$A$4:$EO$14,((MONTH($A74)-1)*12)+VLOOKUP(S$4,$DE$6:$DF$17,2)+1))*(VLOOKUP($A74,CURVES!$D$9:$K$261,3))*(INDEX(DailyScalarsTable,S$5/100,MONTH($A74)))*$B74</f>
        <v>-86542.284658979843</v>
      </c>
      <c r="T74" s="1021">
        <f>(VLOOKUP(YEAR($A74),'NY East Load Projections'!$A$4:$EO$14,((MONTH($A74)-1)*12)+VLOOKUP(T$4,$DE$6:$DF$17,2)+1))*(VLOOKUP($A74,CURVES!$D$9:$K$261,3))*(INDEX(DailyScalarsTable,T$5/100,MONTH($A74)))*$B74</f>
        <v>-84237.247220297897</v>
      </c>
      <c r="U74" s="1021">
        <f>(VLOOKUP(YEAR($A74),'NY East Load Projections'!$A$4:$EO$14,((MONTH($A74)-1)*12)+VLOOKUP(U$4,$DE$6:$DF$17,2)+1))*(VLOOKUP($A74,CURVES!$D$9:$K$261,3))*(INDEX(DailyScalarsTable,U$5/100,MONTH($A74)))*$B74</f>
        <v>-91189.510339527318</v>
      </c>
      <c r="V74" s="1021">
        <f>(VLOOKUP(YEAR($A74),'NY East Load Projections'!$A$4:$EO$14,((MONTH($A74)-1)*12)+VLOOKUP(V$4,$DE$6:$DF$17,2)+1))*(VLOOKUP($A74,CURVES!$D$9:$K$261,3))*(INDEX(DailyScalarsTable,V$5/100,MONTH($A74)))*$B74</f>
        <v>-89750.694146156398</v>
      </c>
      <c r="W74" s="1021">
        <f>(VLOOKUP(YEAR($A74),'NY East Load Projections'!$A$4:$EO$14,((MONTH($A74)-1)*12)+VLOOKUP(W$4,$DE$6:$DF$17,2)+1))*(VLOOKUP($A74,CURVES!$D$9:$K$261,3))*(INDEX(DailyScalarsTable,W$5/100,MONTH($A74)))*$B74</f>
        <v>-86945.607113702077</v>
      </c>
      <c r="X74" s="1021">
        <f>(VLOOKUP(YEAR($A74),'NY East Load Projections'!$A$4:$EO$14,((MONTH($A74)-1)*12)+VLOOKUP(X$4,$DE$6:$DF$17,2)+1))*(VLOOKUP($A74,CURVES!$D$9:$K$261,3))*(INDEX(DailyScalarsTable,X$5/100,MONTH($A74)))*$B74</f>
        <v>-88125.202929235908</v>
      </c>
      <c r="Y74" s="1021">
        <f>(VLOOKUP(YEAR($A74),'NY East Load Projections'!$A$4:$EO$14,((MONTH($A74)-1)*12)+VLOOKUP(Y$4,$DE$6:$DF$17,2)+1))*(VLOOKUP($A74,CURVES!$D$9:$K$261,3))*(INDEX(DailyScalarsTable,Y$5/100,MONTH($A74)))*$B74</f>
        <v>-85963.319319609713</v>
      </c>
      <c r="Z74" s="1021">
        <f>(VLOOKUP(YEAR($A74),'NY East Load Projections'!$A$4:$EO$14,((MONTH($A74)-1)*12)+VLOOKUP(Z$4,$DE$6:$DF$17,2)+1))*(VLOOKUP($A74,CURVES!$D$9:$K$261,3))*(INDEX(DailyScalarsTable,Z$5/100,MONTH($A74)))*$B74</f>
        <v>-70409.135665088645</v>
      </c>
      <c r="AA74" s="1021">
        <f>(VLOOKUP(YEAR($A74),'NY East Load Projections'!$A$4:$EO$14,((MONTH($A74)-1)*12)+VLOOKUP(AA$4,$DE$6:$DF$17,2)+1))*(VLOOKUP($A74,CURVES!$D$9:$K$261,3))*(INDEX(DailyScalarsTable,AA$5/100,MONTH($A74)))*$B74</f>
        <v>-92016.593426563035</v>
      </c>
      <c r="AB74" s="1021">
        <f>(VLOOKUP(YEAR($A74),'NY East Load Projections'!$A$4:$EO$14,((MONTH($A74)-1)*12)+VLOOKUP(AB$4,$DE$6:$DF$17,2)+1))*(VLOOKUP($A74,CURVES!$D$9:$K$261,3))*(INDEX(DailyScalarsTable,AB$5/100,MONTH($A74)))*$B74</f>
        <v>-81899.295670116611</v>
      </c>
      <c r="AC74" s="1021">
        <f>(VLOOKUP(YEAR($A74),'NY East Load Projections'!$A$4:$EO$14,((MONTH($A74)-1)*12)+VLOOKUP(AC$4,$DE$6:$DF$17,2)+1))*(VLOOKUP($A74,CURVES!$D$9:$K$261,3))*(INDEX(DailyScalarsTable,AC$5/100,MONTH($A74)))*$B74</f>
        <v>-62333.459520326651</v>
      </c>
      <c r="AD74" s="1021">
        <f>(VLOOKUP(YEAR($A74),'NY East Load Projections'!$A$4:$EO$14,((MONTH($A74)-1)*12)+VLOOKUP(AD$4,$DE$6:$DF$17,2)+1))*(VLOOKUP($A74,CURVES!$D$9:$K$261,3))*(INDEX(DailyScalarsTable,AD$5/100,MONTH($A74)))*$B74</f>
        <v>-49396.705433607262</v>
      </c>
      <c r="AE74" s="1021">
        <f>(VLOOKUP(YEAR($A74),'NY East Load Projections'!$A$4:$EO$14,((MONTH($A74)-1)*12)+VLOOKUP(AE$4,$DE$6:$DF$17,2)+1))*(VLOOKUP($A74,CURVES!$D$9:$K$261,7))*(INDEX(DailyScalarsTable,AE$5/100,MONTH($A74)))*$B74</f>
        <v>-46845.994138321825</v>
      </c>
      <c r="AF74" s="1021"/>
      <c r="AG74" s="1021">
        <f>(VLOOKUP(YEAR($A74),'NY East Load Projections'!$A$4:$EO$14,((MONTH($A74)-1)*12)+VLOOKUP(AG$4,$DE$6:$DF$17,2)+1))*(VLOOKUP($A74,CURVES!$D$9:$T$261,7))*(INDEX(DailyScalarsTable,AG$5/100,MONTH($A74)))*$C74</f>
        <v>-10281.55845974934</v>
      </c>
      <c r="AH74" s="1021">
        <f>(VLOOKUP(YEAR($A74),'NY East Load Projections'!$A$4:$EO$14,((MONTH($A74)-1)*12)+VLOOKUP(AH$4,$DE$6:$DF$17,2)+1))*(VLOOKUP($A74,CURVES!$D$9:$T$261,7))*(INDEX(DailyScalarsTable,AH$5/100,MONTH($A74)))*$C74</f>
        <v>-9020.1937820610165</v>
      </c>
      <c r="AI74" s="1021">
        <f>(VLOOKUP(YEAR($A74),'NY East Load Projections'!$A$4:$EO$14,((MONTH($A74)-1)*12)+VLOOKUP(AI$4,$DE$6:$DF$17,2)+1))*(VLOOKUP($A74,CURVES!$D$9:$T$261,7))*(INDEX(DailyScalarsTable,AI$5/100,MONTH($A74)))*$C74</f>
        <v>-8458.7167516200461</v>
      </c>
      <c r="AJ74" s="1021">
        <f>(VLOOKUP(YEAR($A74),'NY East Load Projections'!$A$4:$EO$14,((MONTH($A74)-1)*12)+VLOOKUP(AJ$4,$DE$6:$DF$17,2)+1))*(VLOOKUP($A74,CURVES!$D$9:$T$261,7))*(INDEX(DailyScalarsTable,AJ$5/100,MONTH($A74)))*$C74</f>
        <v>-8584.069763067333</v>
      </c>
      <c r="AK74" s="1021">
        <f>(VLOOKUP(YEAR($A74),'NY East Load Projections'!$A$4:$EO$14,((MONTH($A74)-1)*12)+VLOOKUP(AK$4,$DE$6:$DF$17,2)+1))*(VLOOKUP($A74,CURVES!$D$9:$T$261,7))*(INDEX(DailyScalarsTable,AK$5/100,MONTH($A74)))*$C74</f>
        <v>-9334.77100077867</v>
      </c>
      <c r="AL74" s="1021">
        <f>(VLOOKUP(YEAR($A74),'NY East Load Projections'!$A$4:$EO$14,((MONTH($A74)-1)*12)+VLOOKUP(AL$4,$DE$6:$DF$17,2)+1))*(VLOOKUP($A74,CURVES!$D$9:$T$261,7))*(INDEX(DailyScalarsTable,AL$5/100,MONTH($A74)))*$C74</f>
        <v>-10802.452662777683</v>
      </c>
      <c r="AM74" s="1021">
        <f>(VLOOKUP(YEAR($A74),'NY East Load Projections'!$A$4:$EO$14,((MONTH($A74)-1)*12)+VLOOKUP(AM$4,$DE$6:$DF$17,2)+1))*(VLOOKUP($A74,CURVES!$D$9:$T$261,7))*(INDEX(DailyScalarsTable,AM$5/100,MONTH($A74)))*$C74</f>
        <v>-14689.967889362881</v>
      </c>
      <c r="AN74" s="1021">
        <f>(VLOOKUP(YEAR($A74),'NY East Load Projections'!$A$4:$EO$14,((MONTH($A74)-1)*12)+VLOOKUP(AN$4,$DE$6:$DF$17,2)+1))*(VLOOKUP($A74,SatSunCurve,3))*(INDEX(DailyScalarsTable,AN$5/100,MONTH($A74)))*$C74</f>
        <v>-9513.0323513185795</v>
      </c>
      <c r="AO74" s="1021">
        <f>(VLOOKUP(YEAR($A74),'NY East Load Projections'!$A$4:$EO$14,((MONTH($A74)-1)*12)+VLOOKUP(AO$4,$DE$6:$DF$17,2)+1))*(VLOOKUP($A74,SatSunCurve,3))*(INDEX(DailyScalarsTable,AO$5/100,MONTH($A74)))*$C74</f>
        <v>-10417.283976926119</v>
      </c>
      <c r="AP74" s="1021">
        <f>(VLOOKUP(YEAR($A74),'NY East Load Projections'!$A$4:$EO$14,((MONTH($A74)-1)*12)+VLOOKUP(AP$4,$DE$6:$DF$17,2)+1))*(VLOOKUP($A74,SatSunCurve,3))*(INDEX(DailyScalarsTable,AP$5/100,MONTH($A74)))*$C74</f>
        <v>-13004.031955002236</v>
      </c>
      <c r="AQ74" s="1021">
        <f>(VLOOKUP(YEAR($A74),'NY East Load Projections'!$A$4:$EO$14,((MONTH($A74)-1)*12)+VLOOKUP(AQ$4,$DE$6:$DF$17,2)+1))*(VLOOKUP($A74,SatSunCurve,3))*(INDEX(DailyScalarsTable,AQ$5/100,MONTH($A74)))*$C74</f>
        <v>-13887.703624531347</v>
      </c>
      <c r="AR74" s="1021">
        <f>(VLOOKUP(YEAR($A74),'NY East Load Projections'!$A$4:$EO$14,((MONTH($A74)-1)*12)+VLOOKUP(AR$4,$DE$6:$DF$17,2)+1))*(VLOOKUP($A74,SatSunCurve,3))*(INDEX(DailyScalarsTable,AR$5/100,MONTH($A74)))*$C74</f>
        <v>-14797.483775205636</v>
      </c>
      <c r="AS74" s="1021">
        <f>(VLOOKUP(YEAR($A74),'NY East Load Projections'!$A$4:$EO$14,((MONTH($A74)-1)*12)+VLOOKUP(AS$4,$DE$6:$DF$17,2)+1))*(VLOOKUP($A74,SatSunCurve,3))*(INDEX(DailyScalarsTable,AS$5/100,MONTH($A74)))*$C74</f>
        <v>-14367.456380971329</v>
      </c>
      <c r="AT74" s="1021">
        <f>(VLOOKUP(YEAR($A74),'NY East Load Projections'!$A$4:$EO$14,((MONTH($A74)-1)*12)+VLOOKUP(AT$4,$DE$6:$DF$17,2)+1))*(VLOOKUP($A74,SatSunCurve,3))*(INDEX(DailyScalarsTable,AT$5/100,MONTH($A74)))*$C74</f>
        <v>-15553.230375381909</v>
      </c>
      <c r="AU74" s="1021">
        <f>(VLOOKUP(YEAR($A74),'NY East Load Projections'!$A$4:$EO$14,((MONTH($A74)-1)*12)+VLOOKUP(AU$4,$DE$6:$DF$17,2)+1))*(VLOOKUP($A74,SatSunCurve,3))*(INDEX(DailyScalarsTable,AU$5/100,MONTH($A74)))*$C74</f>
        <v>-15307.826713929988</v>
      </c>
      <c r="AV74" s="1021">
        <f>(VLOOKUP(YEAR($A74),'NY East Load Projections'!$A$4:$EO$14,((MONTH($A74)-1)*12)+VLOOKUP(AV$4,$DE$6:$DF$17,2)+1))*(VLOOKUP($A74,SatSunCurve,3))*(INDEX(DailyScalarsTable,AV$5/100,MONTH($A74)))*$C74</f>
        <v>-14829.392684880848</v>
      </c>
      <c r="AW74" s="1021">
        <f>(VLOOKUP(YEAR($A74),'NY East Load Projections'!$A$4:$EO$14,((MONTH($A74)-1)*12)+VLOOKUP(AW$4,$DE$6:$DF$17,2)+1))*(VLOOKUP($A74,SatSunCurve,3))*(INDEX(DailyScalarsTable,AW$5/100,MONTH($A74)))*$C74</f>
        <v>-14954.807324364056</v>
      </c>
      <c r="AX74" s="1021">
        <f>(VLOOKUP(YEAR($A74),'NY East Load Projections'!$A$4:$EO$14,((MONTH($A74)-1)*12)+VLOOKUP(AX$4,$DE$6:$DF$17,2)+1))*(VLOOKUP($A74,SatSunCurve,3))*(INDEX(DailyScalarsTable,AX$5/100,MONTH($A74)))*$C74</f>
        <v>-14587.936647588176</v>
      </c>
      <c r="AY74" s="1021">
        <f>(VLOOKUP(YEAR($A74),'NY East Load Projections'!$A$4:$EO$14,((MONTH($A74)-1)*12)+VLOOKUP(AY$4,$DE$6:$DF$17,2)+1))*(VLOOKUP($A74,SatSunCurve,3))*(INDEX(DailyScalarsTable,AY$5/100,MONTH($A74)))*$C74</f>
        <v>-11948.398673100675</v>
      </c>
      <c r="AZ74" s="1021">
        <f>(VLOOKUP(YEAR($A74),'NY East Load Projections'!$A$4:$EO$14,((MONTH($A74)-1)*12)+VLOOKUP(AZ$4,$DE$6:$DF$17,2)+1))*(VLOOKUP($A74,SatSunCurve,3))*(INDEX(DailyScalarsTable,AZ$5/100,MONTH($A74)))*$C74</f>
        <v>-15615.174542560633</v>
      </c>
      <c r="BA74" s="1021">
        <f>(VLOOKUP(YEAR($A74),'NY East Load Projections'!$A$4:$EO$14,((MONTH($A74)-1)*12)+VLOOKUP(BA$4,$DE$6:$DF$17,2)+1))*(VLOOKUP($A74,SatSunCurve,3))*(INDEX(DailyScalarsTable,BA$5/100,MONTH($A74)))*$C74</f>
        <v>-15090.249798710112</v>
      </c>
      <c r="BB74" s="1021">
        <f>(VLOOKUP(YEAR($A74),'NY East Load Projections'!$A$4:$EO$14,((MONTH($A74)-1)*12)+VLOOKUP(BB$4,$DE$6:$DF$17,2)+1))*(VLOOKUP($A74,SatSunCurve,3))*(INDEX(DailyScalarsTable,BB$5/100,MONTH($A74)))*$C74</f>
        <v>-11485.171725630971</v>
      </c>
      <c r="BC74" s="1021">
        <f>(VLOOKUP(YEAR($A74),'NY East Load Projections'!$A$4:$EO$14,((MONTH($A74)-1)*12)+VLOOKUP(BC$4,$DE$6:$DF$17,2)+1))*(VLOOKUP($A74,SatSunCurve,3))*(INDEX(DailyScalarsTable,BC$5/100,MONTH($A74)))*$C74</f>
        <v>-9101.5266752583211</v>
      </c>
      <c r="BD74" s="1021">
        <f>(VLOOKUP(YEAR($A74),'NY East Load Projections'!$A$4:$EO$14,((MONTH($A74)-1)*12)+VLOOKUP(BD$4,$DE$6:$DF$17,2)+1))*(VLOOKUP($A74,CURVES!$D$9:$T$261,7))*(INDEX(DailyScalarsTable,BD$5/100,MONTH($A74)))*$C74</f>
        <v>-12063.23687429938</v>
      </c>
      <c r="BE74" s="1021"/>
      <c r="BF74" s="1021">
        <f>(VLOOKUP(YEAR($A74),'NY East Load Projections'!$A$4:$EO$14,((MONTH($A74)-1)*12)+VLOOKUP(BF$4,$DE$6:$DF$17,2)+1))*(VLOOKUP($A74,CURVES!$D$9:$T$261,7))*(INDEX(DailyScalarsTable,BF$5/100,MONTH($A74)))*$D74</f>
        <v>-8225.2467677994719</v>
      </c>
      <c r="BG74" s="1021">
        <f>(VLOOKUP(YEAR($A74),'NY East Load Projections'!$A$4:$EO$14,((MONTH($A74)-1)*12)+VLOOKUP(BG$4,$DE$6:$DF$17,2)+1))*(VLOOKUP($A74,CURVES!$D$9:$T$261,7))*(INDEX(DailyScalarsTable,BG$5/100,MONTH($A74)))*$D74</f>
        <v>-7216.1550256488126</v>
      </c>
      <c r="BH74" s="1021">
        <f>(VLOOKUP(YEAR($A74),'NY East Load Projections'!$A$4:$EO$14,((MONTH($A74)-1)*12)+VLOOKUP(BH$4,$DE$6:$DF$17,2)+1))*(VLOOKUP($A74,CURVES!$D$9:$T$261,7))*(INDEX(DailyScalarsTable,BH$5/100,MONTH($A74)))*$D74</f>
        <v>-6766.9734012960362</v>
      </c>
      <c r="BI74" s="1021">
        <f>(VLOOKUP(YEAR($A74),'NY East Load Projections'!$A$4:$EO$14,((MONTH($A74)-1)*12)+VLOOKUP(BI$4,$DE$6:$DF$17,2)+1))*(VLOOKUP($A74,CURVES!$D$9:$T$261,7))*(INDEX(DailyScalarsTable,BI$5/100,MONTH($A74)))*$D74</f>
        <v>-6867.2558104538666</v>
      </c>
      <c r="BJ74" s="1021">
        <f>(VLOOKUP(YEAR($A74),'NY East Load Projections'!$A$4:$EO$14,((MONTH($A74)-1)*12)+VLOOKUP(BJ$4,$DE$6:$DF$17,2)+1))*(VLOOKUP($A74,CURVES!$D$9:$T$261,7))*(INDEX(DailyScalarsTable,BJ$5/100,MONTH($A74)))*$D74</f>
        <v>-7467.8168006229353</v>
      </c>
      <c r="BK74" s="1021">
        <f>(VLOOKUP(YEAR($A74),'NY East Load Projections'!$A$4:$EO$14,((MONTH($A74)-1)*12)+VLOOKUP(BK$4,$DE$6:$DF$17,2)+1))*(VLOOKUP($A74,CURVES!$D$9:$T$261,7))*(INDEX(DailyScalarsTable,BK$5/100,MONTH($A74)))*$D74</f>
        <v>-8641.9621302221458</v>
      </c>
      <c r="BL74" s="1021">
        <f>(VLOOKUP(YEAR($A74),'NY East Load Projections'!$A$4:$EO$14,((MONTH($A74)-1)*12)+VLOOKUP(BL$4,$DE$6:$DF$17,2)+1))*(VLOOKUP($A74,CURVES!$D$9:$T$261,7))*(INDEX(DailyScalarsTable,BL$5/100,MONTH($A74)))*$D74</f>
        <v>-11751.974311490305</v>
      </c>
      <c r="BM74" s="1021">
        <f>(VLOOKUP(YEAR($A74),'NY East Load Projections'!$A$4:$EO$14,((MONTH($A74)-1)*12)+VLOOKUP(BM$4,$DE$6:$DF$17,2)+1))*(VLOOKUP($A74,SatSunCurve,7))*(INDEX(DailyScalarsTable,BM$5/100,MONTH($A74)))*$D74</f>
        <v>-7770.6967737394179</v>
      </c>
      <c r="BN74" s="1021">
        <f>(VLOOKUP(YEAR($A74),'NY East Load Projections'!$A$4:$EO$14,((MONTH($A74)-1)*12)+VLOOKUP(BN$4,$DE$6:$DF$17,2)+1))*(VLOOKUP($A74,SatSunCurve,7))*(INDEX(DailyScalarsTable,BN$5/100,MONTH($A74)))*$D74</f>
        <v>-8509.3324611060416</v>
      </c>
      <c r="BO74" s="1021">
        <f>(VLOOKUP(YEAR($A74),'NY East Load Projections'!$A$4:$EO$14,((MONTH($A74)-1)*12)+VLOOKUP(BO$4,$DE$6:$DF$17,2)+1))*(VLOOKUP($A74,SatSunCurve,7))*(INDEX(DailyScalarsTable,BO$5/100,MONTH($A74)))*$D74</f>
        <v>-10622.311101920493</v>
      </c>
      <c r="BP74" s="1021">
        <f>(VLOOKUP(YEAR($A74),'NY East Load Projections'!$A$4:$EO$14,((MONTH($A74)-1)*12)+VLOOKUP(BP$4,$DE$6:$DF$17,2)+1))*(VLOOKUP($A74,SatSunCurve,7))*(INDEX(DailyScalarsTable,BP$5/100,MONTH($A74)))*$D74</f>
        <v>-11344.13610344096</v>
      </c>
      <c r="BQ74" s="1021">
        <f>(VLOOKUP(YEAR($A74),'NY East Load Projections'!$A$4:$EO$14,((MONTH($A74)-1)*12)+VLOOKUP(BQ$4,$DE$6:$DF$17,2)+1))*(VLOOKUP($A74,SatSunCurve,7))*(INDEX(DailyScalarsTable,BQ$5/100,MONTH($A74)))*$D74</f>
        <v>-12087.287752733624</v>
      </c>
      <c r="BR74" s="1021">
        <f>(VLOOKUP(YEAR($A74),'NY East Load Projections'!$A$4:$EO$14,((MONTH($A74)-1)*12)+VLOOKUP(BR$4,$DE$6:$DF$17,2)+1))*(VLOOKUP($A74,SatSunCurve,7))*(INDEX(DailyScalarsTable,BR$5/100,MONTH($A74)))*$D74</f>
        <v>-11736.020947198907</v>
      </c>
      <c r="BS74" s="1021">
        <f>(VLOOKUP(YEAR($A74),'NY East Load Projections'!$A$4:$EO$14,((MONTH($A74)-1)*12)+VLOOKUP(BS$4,$DE$6:$DF$17,2)+1))*(VLOOKUP($A74,SatSunCurve,7))*(INDEX(DailyScalarsTable,BS$5/100,MONTH($A74)))*$D74</f>
        <v>-12704.617480088151</v>
      </c>
      <c r="BT74" s="1021">
        <f>(VLOOKUP(YEAR($A74),'NY East Load Projections'!$A$4:$EO$14,((MONTH($A74)-1)*12)+VLOOKUP(BT$4,$DE$6:$DF$17,2)+1))*(VLOOKUP($A74,SatSunCurve,7))*(INDEX(DailyScalarsTable,BT$5/100,MONTH($A74)))*$D74</f>
        <v>-12504.160110672819</v>
      </c>
      <c r="BU74" s="1021">
        <f>(VLOOKUP(YEAR($A74),'NY East Load Projections'!$A$4:$EO$14,((MONTH($A74)-1)*12)+VLOOKUP(BU$4,$DE$6:$DF$17,2)+1))*(VLOOKUP($A74,SatSunCurve,7))*(INDEX(DailyScalarsTable,BU$5/100,MONTH($A74)))*$D74</f>
        <v>-12113.352466098373</v>
      </c>
      <c r="BV74" s="1021">
        <f>(VLOOKUP(YEAR($A74),'NY East Load Projections'!$A$4:$EO$14,((MONTH($A74)-1)*12)+VLOOKUP(BV$4,$DE$6:$DF$17,2)+1))*(VLOOKUP($A74,SatSunCurve,7))*(INDEX(DailyScalarsTable,BV$5/100,MONTH($A74)))*$D74</f>
        <v>-12215.797101880231</v>
      </c>
      <c r="BW74" s="1021">
        <f>(VLOOKUP(YEAR($A74),'NY East Load Projections'!$A$4:$EO$14,((MONTH($A74)-1)*12)+VLOOKUP(BW$4,$DE$6:$DF$17,2)+1))*(VLOOKUP($A74,SatSunCurve,7))*(INDEX(DailyScalarsTable,BW$5/100,MONTH($A74)))*$D74</f>
        <v>-11916.119703641722</v>
      </c>
      <c r="BX74" s="1021">
        <f>(VLOOKUP(YEAR($A74),'NY East Load Projections'!$A$4:$EO$14,((MONTH($A74)-1)*12)+VLOOKUP(BX$4,$DE$6:$DF$17,2)+1))*(VLOOKUP($A74,SatSunCurve,7))*(INDEX(DailyScalarsTable,BX$5/100,MONTH($A74)))*$D74</f>
        <v>-9760.019685788875</v>
      </c>
      <c r="BY74" s="1021">
        <f>(VLOOKUP(YEAR($A74),'NY East Load Projections'!$A$4:$EO$14,((MONTH($A74)-1)*12)+VLOOKUP(BY$4,$DE$6:$DF$17,2)+1))*(VLOOKUP($A74,SatSunCurve,7))*(INDEX(DailyScalarsTable,BY$5/100,MONTH($A74)))*$D74</f>
        <v>-12755.216418709544</v>
      </c>
      <c r="BZ74" s="1021">
        <f>(VLOOKUP(YEAR($A74),'NY East Load Projections'!$A$4:$EO$14,((MONTH($A74)-1)*12)+VLOOKUP(BZ$4,$DE$6:$DF$17,2)+1))*(VLOOKUP($A74,SatSunCurve,7))*(INDEX(DailyScalarsTable,BZ$5/100,MONTH($A74)))*$D74</f>
        <v>-12326.432949584703</v>
      </c>
      <c r="CA74" s="1021">
        <f>(VLOOKUP(YEAR($A74),'NY East Load Projections'!$A$4:$EO$14,((MONTH($A74)-1)*12)+VLOOKUP(CA$4,$DE$6:$DF$17,2)+1))*(VLOOKUP($A74,SatSunCurve,7))*(INDEX(DailyScalarsTable,CA$5/100,MONTH($A74)))*$D74</f>
        <v>-9381.6339079130048</v>
      </c>
      <c r="CB74" s="1021">
        <f>(VLOOKUP(YEAR($A74),'NY East Load Projections'!$A$4:$EO$14,((MONTH($A74)-1)*12)+VLOOKUP(CB$4,$DE$6:$DF$17,2)+1))*(VLOOKUP($A74,SatSunCurve,7))*(INDEX(DailyScalarsTable,CB$5/100,MONTH($A74)))*$D74</f>
        <v>-7434.5593875469194</v>
      </c>
      <c r="CC74" s="1021">
        <f>(VLOOKUP(YEAR($A74),'NY East Load Projections'!$A$4:$EO$14,((MONTH($A74)-1)*12)+VLOOKUP(CC$4,$DE$6:$DF$17,2)+1))*(VLOOKUP($A74,CURVES!$D$9:$T$261,7))*(INDEX(DailyScalarsTable,CC$5/100,MONTH($A74)))*$D74</f>
        <v>-9650.5894994395039</v>
      </c>
      <c r="CE74" s="1021">
        <f>(VLOOKUP(YEAR($A74),'NY East Load Projections'!$A$4:$EO$14,((MONTH($A74)-1)*12)+VLOOKUP(CE$4,$DE$6:$DF$17,2)+1))*(VLOOKUP($A74,CURVES!$D$9:$T$261,7))*(INDEX(DailyScalarsTable,CE$5/100,MONTH($A74)))*$E74</f>
        <v>-2056.311691949868</v>
      </c>
      <c r="CF74" s="1021">
        <f>(VLOOKUP(YEAR($A74),'NY East Load Projections'!$A$4:$EO$14,((MONTH($A74)-1)*12)+VLOOKUP(CF$4,$DE$6:$DF$17,2)+1))*(VLOOKUP($A74,CURVES!$D$9:$T$261,7))*(INDEX(DailyScalarsTable,CF$5/100,MONTH($A74)))*$E74</f>
        <v>-1804.0387564122032</v>
      </c>
      <c r="CG74" s="1021">
        <f>(VLOOKUP(YEAR($A74),'NY East Load Projections'!$A$4:$EO$14,((MONTH($A74)-1)*12)+VLOOKUP(CG$4,$DE$6:$DF$17,2)+1))*(VLOOKUP($A74,CURVES!$D$9:$T$261,7))*(INDEX(DailyScalarsTable,CG$5/100,MONTH($A74)))*$E74</f>
        <v>-1691.743350324009</v>
      </c>
      <c r="CH74" s="1021">
        <f>(VLOOKUP(YEAR($A74),'NY East Load Projections'!$A$4:$EO$14,((MONTH($A74)-1)*12)+VLOOKUP(CH$4,$DE$6:$DF$17,2)+1))*(VLOOKUP($A74,CURVES!$D$9:$T$261,7))*(INDEX(DailyScalarsTable,CH$5/100,MONTH($A74)))*$E74</f>
        <v>-1716.8139526134667</v>
      </c>
      <c r="CI74" s="1021">
        <f>(VLOOKUP(YEAR($A74),'NY East Load Projections'!$A$4:$EO$14,((MONTH($A74)-1)*12)+VLOOKUP(CI$4,$DE$6:$DF$17,2)+1))*(VLOOKUP($A74,CURVES!$D$9:$T$261,7))*(INDEX(DailyScalarsTable,CI$5/100,MONTH($A74)))*$E74</f>
        <v>-1866.9542001557338</v>
      </c>
      <c r="CJ74" s="1021">
        <f>(VLOOKUP(YEAR($A74),'NY East Load Projections'!$A$4:$EO$14,((MONTH($A74)-1)*12)+VLOOKUP(CJ$4,$DE$6:$DF$17,2)+1))*(VLOOKUP($A74,CURVES!$D$9:$T$261,7))*(INDEX(DailyScalarsTable,CJ$5/100,MONTH($A74)))*$E74</f>
        <v>-2160.4905325555364</v>
      </c>
      <c r="CK74" s="1021">
        <f>(VLOOKUP(YEAR($A74),'NY East Load Projections'!$A$4:$EO$14,((MONTH($A74)-1)*12)+VLOOKUP(CK$4,$DE$6:$DF$17,2)+1))*(VLOOKUP($A74,CURVES!$D$9:$T$261,7))*(INDEX(DailyScalarsTable,CK$5/100,MONTH($A74)))*$E74</f>
        <v>-2937.9935778725762</v>
      </c>
      <c r="CL74" s="1021">
        <f>(VLOOKUP(YEAR($A74),'NY East Load Projections'!$A$4:$EO$14,((MONTH($A74)-1)*12)+VLOOKUP(CL$4,$DE$6:$DF$17,2)+1))*(VLOOKUP($A74,SatSunCurve,7))*(INDEX(DailyScalarsTable,CL$5/100,MONTH($A74)))*$E74</f>
        <v>-1942.6741934348545</v>
      </c>
      <c r="CM74" s="1021">
        <f>(VLOOKUP(YEAR($A74),'NY East Load Projections'!$A$4:$EO$14,((MONTH($A74)-1)*12)+VLOOKUP(CM$4,$DE$6:$DF$17,2)+1))*(VLOOKUP($A74,SatSunCurve,7))*(INDEX(DailyScalarsTable,CM$5/100,MONTH($A74)))*$E74</f>
        <v>-2127.3331152765104</v>
      </c>
      <c r="CN74" s="1021">
        <f>(VLOOKUP(YEAR($A74),'NY East Load Projections'!$A$4:$EO$14,((MONTH($A74)-1)*12)+VLOOKUP(CN$4,$DE$6:$DF$17,2)+1))*(VLOOKUP($A74,SatSunCurve,7))*(INDEX(DailyScalarsTable,CN$5/100,MONTH($A74)))*$E74</f>
        <v>-2655.5777754801234</v>
      </c>
      <c r="CO74" s="1021">
        <f>(VLOOKUP(YEAR($A74),'NY East Load Projections'!$A$4:$EO$14,((MONTH($A74)-1)*12)+VLOOKUP(CO$4,$DE$6:$DF$17,2)+1))*(VLOOKUP($A74,SatSunCurve,7))*(INDEX(DailyScalarsTable,CO$5/100,MONTH($A74)))*$E74</f>
        <v>-2836.03402586024</v>
      </c>
      <c r="CP74" s="1021">
        <f>(VLOOKUP(YEAR($A74),'NY East Load Projections'!$A$4:$EO$14,((MONTH($A74)-1)*12)+VLOOKUP(CP$4,$DE$6:$DF$17,2)+1))*(VLOOKUP($A74,SatSunCurve,7))*(INDEX(DailyScalarsTable,CP$5/100,MONTH($A74)))*$E74</f>
        <v>-3021.821938183406</v>
      </c>
      <c r="CQ74" s="1021">
        <f>(VLOOKUP(YEAR($A74),'NY East Load Projections'!$A$4:$EO$14,((MONTH($A74)-1)*12)+VLOOKUP(CQ$4,$DE$6:$DF$17,2)+1))*(VLOOKUP($A74,SatSunCurve,7))*(INDEX(DailyScalarsTable,CQ$5/100,MONTH($A74)))*$E74</f>
        <v>-2934.0052367997268</v>
      </c>
      <c r="CR74" s="1021">
        <f>(VLOOKUP(YEAR($A74),'NY East Load Projections'!$A$4:$EO$14,((MONTH($A74)-1)*12)+VLOOKUP(CR$4,$DE$6:$DF$17,2)+1))*(VLOOKUP($A74,SatSunCurve,7))*(INDEX(DailyScalarsTable,CR$5/100,MONTH($A74)))*$E74</f>
        <v>-3176.1543700220377</v>
      </c>
      <c r="CS74" s="1021">
        <f>(VLOOKUP(YEAR($A74),'NY East Load Projections'!$A$4:$EO$14,((MONTH($A74)-1)*12)+VLOOKUP(CS$4,$DE$6:$DF$17,2)+1))*(VLOOKUP($A74,SatSunCurve,7))*(INDEX(DailyScalarsTable,CS$5/100,MONTH($A74)))*$E74</f>
        <v>-3126.0400276682049</v>
      </c>
      <c r="CT74" s="1021">
        <f>(VLOOKUP(YEAR($A74),'NY East Load Projections'!$A$4:$EO$14,((MONTH($A74)-1)*12)+VLOOKUP(CT$4,$DE$6:$DF$17,2)+1))*(VLOOKUP($A74,SatSunCurve,7))*(INDEX(DailyScalarsTable,CT$5/100,MONTH($A74)))*$E74</f>
        <v>-3028.3381165245933</v>
      </c>
      <c r="CU74" s="1021">
        <f>(VLOOKUP(YEAR($A74),'NY East Load Projections'!$A$4:$EO$14,((MONTH($A74)-1)*12)+VLOOKUP(CU$4,$DE$6:$DF$17,2)+1))*(VLOOKUP($A74,SatSunCurve,7))*(INDEX(DailyScalarsTable,CU$5/100,MONTH($A74)))*$E74</f>
        <v>-3053.9492754700577</v>
      </c>
      <c r="CV74" s="1021">
        <f>(VLOOKUP(YEAR($A74),'NY East Load Projections'!$A$4:$EO$14,((MONTH($A74)-1)*12)+VLOOKUP(CV$4,$DE$6:$DF$17,2)+1))*(VLOOKUP($A74,SatSunCurve,7))*(INDEX(DailyScalarsTable,CV$5/100,MONTH($A74)))*$E74</f>
        <v>-2979.0299259104304</v>
      </c>
      <c r="CW74" s="1021">
        <f>(VLOOKUP(YEAR($A74),'NY East Load Projections'!$A$4:$EO$14,((MONTH($A74)-1)*12)+VLOOKUP(CW$4,$DE$6:$DF$17,2)+1))*(VLOOKUP($A74,SatSunCurve,7))*(INDEX(DailyScalarsTable,CW$5/100,MONTH($A74)))*$E74</f>
        <v>-2440.0049214472187</v>
      </c>
      <c r="CX74" s="1021">
        <f>(VLOOKUP(YEAR($A74),'NY East Load Projections'!$A$4:$EO$14,((MONTH($A74)-1)*12)+VLOOKUP(CX$4,$DE$6:$DF$17,2)+1))*(VLOOKUP($A74,SatSunCurve,7))*(INDEX(DailyScalarsTable,CX$5/100,MONTH($A74)))*$E74</f>
        <v>-3188.804104677386</v>
      </c>
      <c r="CY74" s="1021">
        <f>(VLOOKUP(YEAR($A74),'NY East Load Projections'!$A$4:$EO$14,((MONTH($A74)-1)*12)+VLOOKUP(CY$4,$DE$6:$DF$17,2)+1))*(VLOOKUP($A74,SatSunCurve,7))*(INDEX(DailyScalarsTable,CY$5/100,MONTH($A74)))*$E74</f>
        <v>-3081.6082373961758</v>
      </c>
      <c r="CZ74" s="1021">
        <f>(VLOOKUP(YEAR($A74),'NY East Load Projections'!$A$4:$EO$14,((MONTH($A74)-1)*12)+VLOOKUP(CZ$4,$DE$6:$DF$17,2)+1))*(VLOOKUP($A74,SatSunCurve,7))*(INDEX(DailyScalarsTable,CZ$5/100,MONTH($A74)))*$E74</f>
        <v>-2345.4084769782512</v>
      </c>
      <c r="DA74" s="1021">
        <f>(VLOOKUP(YEAR($A74),'NY East Load Projections'!$A$4:$EO$14,((MONTH($A74)-1)*12)+VLOOKUP(DA$4,$DE$6:$DF$17,2)+1))*(VLOOKUP($A74,SatSunCurve,7))*(INDEX(DailyScalarsTable,DA$5/100,MONTH($A74)))*$E74</f>
        <v>-1858.6398468867299</v>
      </c>
      <c r="DB74" s="1021">
        <f>(VLOOKUP(YEAR($A74),'NY East Load Projections'!$A$4:$EO$14,((MONTH($A74)-1)*12)+VLOOKUP(DB$4,$DE$6:$DF$17,2)+1))*(VLOOKUP($A74,CURVES!$D$9:$T$261,7))*(INDEX(DailyScalarsTable,DB$5/100,MONTH($A74)))*$E74</f>
        <v>-2412.647374859876</v>
      </c>
      <c r="DH74" s="1032">
        <f t="shared" si="2"/>
        <v>-2175519.3312920565</v>
      </c>
      <c r="DI74">
        <f ca="1">CALC!J94</f>
        <v>0.61943487176854406</v>
      </c>
      <c r="DJ74" s="1029">
        <f t="shared" ca="1" si="3"/>
        <v>-1347592.5380088838</v>
      </c>
    </row>
    <row r="75" spans="1:114" x14ac:dyDescent="0.25">
      <c r="A75" s="244">
        <v>38991</v>
      </c>
      <c r="B75" s="13">
        <v>22</v>
      </c>
      <c r="C75" s="210">
        <v>4</v>
      </c>
      <c r="D75" s="210">
        <v>5</v>
      </c>
      <c r="E75" s="210">
        <v>0</v>
      </c>
      <c r="F75" s="13">
        <v>31</v>
      </c>
      <c r="H75" s="1021">
        <f>(VLOOKUP(YEAR($A75),'NY East Load Projections'!$A$4:$EO$14,((MONTH($A75)-1)*12)+VLOOKUP(H$4,$DE$6:$DF$17,2)+1))*(VLOOKUP($A75,CURVES!$D$9:$K$261,7))*(INDEX(DailyScalarsTable,H$5/100,MONTH($A75)))*$B75</f>
        <v>-38228.564018879399</v>
      </c>
      <c r="I75" s="1021">
        <f>(VLOOKUP(YEAR($A75),'NY East Load Projections'!$A$4:$EO$14,((MONTH($A75)-1)*12)+VLOOKUP(I$4,$DE$6:$DF$17,2)+1))*(VLOOKUP($A75,CURVES!$D$9:$K$261,7))*(INDEX(DailyScalarsTable,I$5/100,MONTH($A75)))*$B75</f>
        <v>-36283.919846039091</v>
      </c>
      <c r="J75" s="1021">
        <f>(VLOOKUP(YEAR($A75),'NY East Load Projections'!$A$4:$EO$14,((MONTH($A75)-1)*12)+VLOOKUP(J$4,$DE$6:$DF$17,2)+1))*(VLOOKUP($A75,CURVES!$D$9:$K$261,7))*(INDEX(DailyScalarsTable,J$5/100,MONTH($A75)))*$B75</f>
        <v>-34854.626509893518</v>
      </c>
      <c r="K75" s="1021">
        <f>(VLOOKUP(YEAR($A75),'NY East Load Projections'!$A$4:$EO$14,((MONTH($A75)-1)*12)+VLOOKUP(K$4,$DE$6:$DF$17,2)+1))*(VLOOKUP($A75,CURVES!$D$9:$K$261,7))*(INDEX(DailyScalarsTable,K$5/100,MONTH($A75)))*$B75</f>
        <v>-34874.757401951909</v>
      </c>
      <c r="L75" s="1021">
        <f>(VLOOKUP(YEAR($A75),'NY East Load Projections'!$A$4:$EO$14,((MONTH($A75)-1)*12)+VLOOKUP(L$4,$DE$6:$DF$17,2)+1))*(VLOOKUP($A75,CURVES!$D$9:$K$261,7))*(INDEX(DailyScalarsTable,L$5/100,MONTH($A75)))*$B75</f>
        <v>-41143.305296004648</v>
      </c>
      <c r="M75" s="1021">
        <f>(VLOOKUP(YEAR($A75),'NY East Load Projections'!$A$4:$EO$14,((MONTH($A75)-1)*12)+VLOOKUP(M$4,$DE$6:$DF$17,2)+1))*(VLOOKUP($A75,CURVES!$D$9:$K$261,7))*(INDEX(DailyScalarsTable,M$5/100,MONTH($A75)))*$B75</f>
        <v>-47267.063310380297</v>
      </c>
      <c r="N75" s="1021">
        <f>(VLOOKUP(YEAR($A75),'NY East Load Projections'!$A$4:$EO$14,((MONTH($A75)-1)*12)+VLOOKUP(N$4,$DE$6:$DF$17,2)+1))*(VLOOKUP($A75,CURVES!$D$9:$K$261,7))*(INDEX(DailyScalarsTable,N$5/100,MONTH($A75)))*$B75</f>
        <v>-61104.358432058703</v>
      </c>
      <c r="O75" s="1021">
        <f>(VLOOKUP(YEAR($A75),'NY East Load Projections'!$A$4:$EO$14,((MONTH($A75)-1)*12)+VLOOKUP(O$4,$DE$6:$DF$17,2)+1))*(VLOOKUP($A75,CURVES!$D$9:$K$261,3))*(INDEX(DailyScalarsTable,O$5/100,MONTH($A75)))*$B75</f>
        <v>-73406.184380271137</v>
      </c>
      <c r="P75" s="1021">
        <f>(VLOOKUP(YEAR($A75),'NY East Load Projections'!$A$4:$EO$14,((MONTH($A75)-1)*12)+VLOOKUP(P$4,$DE$6:$DF$17,2)+1))*(VLOOKUP($A75,CURVES!$D$9:$K$261,3))*(INDEX(DailyScalarsTable,P$5/100,MONTH($A75)))*$B75</f>
        <v>-87519.464399291057</v>
      </c>
      <c r="Q75" s="1021">
        <f>(VLOOKUP(YEAR($A75),'NY East Load Projections'!$A$4:$EO$14,((MONTH($A75)-1)*12)+VLOOKUP(Q$4,$DE$6:$DF$17,2)+1))*(VLOOKUP($A75,CURVES!$D$9:$K$261,3))*(INDEX(DailyScalarsTable,Q$5/100,MONTH($A75)))*$B75</f>
        <v>-87249.008699664075</v>
      </c>
      <c r="R75" s="1021">
        <f>(VLOOKUP(YEAR($A75),'NY East Load Projections'!$A$4:$EO$14,((MONTH($A75)-1)*12)+VLOOKUP(R$4,$DE$6:$DF$17,2)+1))*(VLOOKUP($A75,CURVES!$D$9:$K$261,3))*(INDEX(DailyScalarsTable,R$5/100,MONTH($A75)))*$B75</f>
        <v>-86754.461134631885</v>
      </c>
      <c r="S75" s="1021">
        <f>(VLOOKUP(YEAR($A75),'NY East Load Projections'!$A$4:$EO$14,((MONTH($A75)-1)*12)+VLOOKUP(S$4,$DE$6:$DF$17,2)+1))*(VLOOKUP($A75,CURVES!$D$9:$K$261,3))*(INDEX(DailyScalarsTable,S$5/100,MONTH($A75)))*$B75</f>
        <v>-73208.494236171944</v>
      </c>
      <c r="T75" s="1021">
        <f>(VLOOKUP(YEAR($A75),'NY East Load Projections'!$A$4:$EO$14,((MONTH($A75)-1)*12)+VLOOKUP(T$4,$DE$6:$DF$17,2)+1))*(VLOOKUP($A75,CURVES!$D$9:$K$261,3))*(INDEX(DailyScalarsTable,T$5/100,MONTH($A75)))*$B75</f>
        <v>-70914.579292760041</v>
      </c>
      <c r="U75" s="1021">
        <f>(VLOOKUP(YEAR($A75),'NY East Load Projections'!$A$4:$EO$14,((MONTH($A75)-1)*12)+VLOOKUP(U$4,$DE$6:$DF$17,2)+1))*(VLOOKUP($A75,CURVES!$D$9:$K$261,3))*(INDEX(DailyScalarsTable,U$5/100,MONTH($A75)))*$B75</f>
        <v>-68946.279361833906</v>
      </c>
      <c r="V75" s="1021">
        <f>(VLOOKUP(YEAR($A75),'NY East Load Projections'!$A$4:$EO$14,((MONTH($A75)-1)*12)+VLOOKUP(V$4,$DE$6:$DF$17,2)+1))*(VLOOKUP($A75,CURVES!$D$9:$K$261,3))*(INDEX(DailyScalarsTable,V$5/100,MONTH($A75)))*$B75</f>
        <v>-67344.54540994663</v>
      </c>
      <c r="W75" s="1021">
        <f>(VLOOKUP(YEAR($A75),'NY East Load Projections'!$A$4:$EO$14,((MONTH($A75)-1)*12)+VLOOKUP(W$4,$DE$6:$DF$17,2)+1))*(VLOOKUP($A75,CURVES!$D$9:$K$261,3))*(INDEX(DailyScalarsTable,W$5/100,MONTH($A75)))*$B75</f>
        <v>-66882.353523332407</v>
      </c>
      <c r="X75" s="1021">
        <f>(VLOOKUP(YEAR($A75),'NY East Load Projections'!$A$4:$EO$14,((MONTH($A75)-1)*12)+VLOOKUP(X$4,$DE$6:$DF$17,2)+1))*(VLOOKUP($A75,CURVES!$D$9:$K$261,3))*(INDEX(DailyScalarsTable,X$5/100,MONTH($A75)))*$B75</f>
        <v>-66477.245537511306</v>
      </c>
      <c r="Y75" s="1021">
        <f>(VLOOKUP(YEAR($A75),'NY East Load Projections'!$A$4:$EO$14,((MONTH($A75)-1)*12)+VLOOKUP(Y$4,$DE$6:$DF$17,2)+1))*(VLOOKUP($A75,CURVES!$D$9:$K$261,3))*(INDEX(DailyScalarsTable,Y$5/100,MONTH($A75)))*$B75</f>
        <v>-89680.016152840966</v>
      </c>
      <c r="Z75" s="1021">
        <f>(VLOOKUP(YEAR($A75),'NY East Load Projections'!$A$4:$EO$14,((MONTH($A75)-1)*12)+VLOOKUP(Z$4,$DE$6:$DF$17,2)+1))*(VLOOKUP($A75,CURVES!$D$9:$K$261,3))*(INDEX(DailyScalarsTable,Z$5/100,MONTH($A75)))*$B75</f>
        <v>-90382.45107646125</v>
      </c>
      <c r="AA75" s="1021">
        <f>(VLOOKUP(YEAR($A75),'NY East Load Projections'!$A$4:$EO$14,((MONTH($A75)-1)*12)+VLOOKUP(AA$4,$DE$6:$DF$17,2)+1))*(VLOOKUP($A75,CURVES!$D$9:$K$261,3))*(INDEX(DailyScalarsTable,AA$5/100,MONTH($A75)))*$B75</f>
        <v>-86436.859165062211</v>
      </c>
      <c r="AB75" s="1021">
        <f>(VLOOKUP(YEAR($A75),'NY East Load Projections'!$A$4:$EO$14,((MONTH($A75)-1)*12)+VLOOKUP(AB$4,$DE$6:$DF$17,2)+1))*(VLOOKUP($A75,CURVES!$D$9:$K$261,3))*(INDEX(DailyScalarsTable,AB$5/100,MONTH($A75)))*$B75</f>
        <v>-70431.954413523519</v>
      </c>
      <c r="AC75" s="1021">
        <f>(VLOOKUP(YEAR($A75),'NY East Load Projections'!$A$4:$EO$14,((MONTH($A75)-1)*12)+VLOOKUP(AC$4,$DE$6:$DF$17,2)+1))*(VLOOKUP($A75,CURVES!$D$9:$K$261,3))*(INDEX(DailyScalarsTable,AC$5/100,MONTH($A75)))*$B75</f>
        <v>-58426.432761223041</v>
      </c>
      <c r="AD75" s="1021">
        <f>(VLOOKUP(YEAR($A75),'NY East Load Projections'!$A$4:$EO$14,((MONTH($A75)-1)*12)+VLOOKUP(AD$4,$DE$6:$DF$17,2)+1))*(VLOOKUP($A75,CURVES!$D$9:$K$261,3))*(INDEX(DailyScalarsTable,AD$5/100,MONTH($A75)))*$B75</f>
        <v>-49814.348897580494</v>
      </c>
      <c r="AE75" s="1021">
        <f>(VLOOKUP(YEAR($A75),'NY East Load Projections'!$A$4:$EO$14,((MONTH($A75)-1)*12)+VLOOKUP(AE$4,$DE$6:$DF$17,2)+1))*(VLOOKUP($A75,CURVES!$D$9:$K$261,7))*(INDEX(DailyScalarsTable,AE$5/100,MONTH($A75)))*$B75</f>
        <v>-44449.801142941265</v>
      </c>
      <c r="AF75" s="1021"/>
      <c r="AG75" s="1021">
        <f>(VLOOKUP(YEAR($A75),'NY East Load Projections'!$A$4:$EO$14,((MONTH($A75)-1)*12)+VLOOKUP(AG$4,$DE$6:$DF$17,2)+1))*(VLOOKUP($A75,CURVES!$D$9:$T$261,7))*(INDEX(DailyScalarsTable,AG$5/100,MONTH($A75)))*$C75</f>
        <v>-7292.3616938114001</v>
      </c>
      <c r="AH75" s="1021">
        <f>(VLOOKUP(YEAR($A75),'NY East Load Projections'!$A$4:$EO$14,((MONTH($A75)-1)*12)+VLOOKUP(AH$4,$DE$6:$DF$17,2)+1))*(VLOOKUP($A75,CURVES!$D$9:$T$261,7))*(INDEX(DailyScalarsTable,AH$5/100,MONTH($A75)))*$C75</f>
        <v>-6921.4074338734426</v>
      </c>
      <c r="AI75" s="1021">
        <f>(VLOOKUP(YEAR($A75),'NY East Load Projections'!$A$4:$EO$14,((MONTH($A75)-1)*12)+VLOOKUP(AI$4,$DE$6:$DF$17,2)+1))*(VLOOKUP($A75,CURVES!$D$9:$T$261,7))*(INDEX(DailyScalarsTable,AI$5/100,MONTH($A75)))*$C75</f>
        <v>-6648.7598929252545</v>
      </c>
      <c r="AJ75" s="1021">
        <f>(VLOOKUP(YEAR($A75),'NY East Load Projections'!$A$4:$EO$14,((MONTH($A75)-1)*12)+VLOOKUP(AJ$4,$DE$6:$DF$17,2)+1))*(VLOOKUP($A75,CURVES!$D$9:$T$261,7))*(INDEX(DailyScalarsTable,AJ$5/100,MONTH($A75)))*$C75</f>
        <v>-6652.5999991357921</v>
      </c>
      <c r="AK75" s="1021">
        <f>(VLOOKUP(YEAR($A75),'NY East Load Projections'!$A$4:$EO$14,((MONTH($A75)-1)*12)+VLOOKUP(AK$4,$DE$6:$DF$17,2)+1))*(VLOOKUP($A75,CURVES!$D$9:$T$261,7))*(INDEX(DailyScalarsTable,AK$5/100,MONTH($A75)))*$C75</f>
        <v>-7215.9290681778575</v>
      </c>
      <c r="AL75" s="1021">
        <f>(VLOOKUP(YEAR($A75),'NY East Load Projections'!$A$4:$EO$14,((MONTH($A75)-1)*12)+VLOOKUP(AL$4,$DE$6:$DF$17,2)+1))*(VLOOKUP($A75,CURVES!$D$9:$T$261,7))*(INDEX(DailyScalarsTable,AL$5/100,MONTH($A75)))*$C75</f>
        <v>-8289.9459257080543</v>
      </c>
      <c r="AM75" s="1021">
        <f>(VLOOKUP(YEAR($A75),'NY East Load Projections'!$A$4:$EO$14,((MONTH($A75)-1)*12)+VLOOKUP(AM$4,$DE$6:$DF$17,2)+1))*(VLOOKUP($A75,CURVES!$D$9:$T$261,7))*(INDEX(DailyScalarsTable,AM$5/100,MONTH($A75)))*$C75</f>
        <v>-10716.803451497823</v>
      </c>
      <c r="AN75" s="1021">
        <f>(VLOOKUP(YEAR($A75),'NY East Load Projections'!$A$4:$EO$14,((MONTH($A75)-1)*12)+VLOOKUP(AN$4,$DE$6:$DF$17,2)+1))*(VLOOKUP($A75,SatSunCurve,3))*(INDEX(DailyScalarsTable,AN$5/100,MONTH($A75)))*$C75</f>
        <v>-9929.4571712581474</v>
      </c>
      <c r="AO75" s="1021">
        <f>(VLOOKUP(YEAR($A75),'NY East Load Projections'!$A$4:$EO$14,((MONTH($A75)-1)*12)+VLOOKUP(AO$4,$DE$6:$DF$17,2)+1))*(VLOOKUP($A75,SatSunCurve,3))*(INDEX(DailyScalarsTable,AO$5/100,MONTH($A75)))*$C75</f>
        <v>-11751.077529088137</v>
      </c>
      <c r="AP75" s="1021">
        <f>(VLOOKUP(YEAR($A75),'NY East Load Projections'!$A$4:$EO$14,((MONTH($A75)-1)*12)+VLOOKUP(AP$4,$DE$6:$DF$17,2)+1))*(VLOOKUP($A75,SatSunCurve,3))*(INDEX(DailyScalarsTable,AP$5/100,MONTH($A75)))*$C75</f>
        <v>-11714.76393969046</v>
      </c>
      <c r="AQ75" s="1021">
        <f>(VLOOKUP(YEAR($A75),'NY East Load Projections'!$A$4:$EO$14,((MONTH($A75)-1)*12)+VLOOKUP(AQ$4,$DE$6:$DF$17,2)+1))*(VLOOKUP($A75,SatSunCurve,3))*(INDEX(DailyScalarsTable,AQ$5/100,MONTH($A75)))*$C75</f>
        <v>-11648.361947648995</v>
      </c>
      <c r="AR75" s="1021">
        <f>(VLOOKUP(YEAR($A75),'NY East Load Projections'!$A$4:$EO$14,((MONTH($A75)-1)*12)+VLOOKUP(AR$4,$DE$6:$DF$17,2)+1))*(VLOOKUP($A75,SatSunCurve,3))*(INDEX(DailyScalarsTable,AR$5/100,MONTH($A75)))*$C75</f>
        <v>-9829.5698843882219</v>
      </c>
      <c r="AS75" s="1021">
        <f>(VLOOKUP(YEAR($A75),'NY East Load Projections'!$A$4:$EO$14,((MONTH($A75)-1)*12)+VLOOKUP(AS$4,$DE$6:$DF$17,2)+1))*(VLOOKUP($A75,SatSunCurve,3))*(INDEX(DailyScalarsTable,AS$5/100,MONTH($A75)))*$C75</f>
        <v>-9454.3629241868657</v>
      </c>
      <c r="AT75" s="1021">
        <f>(VLOOKUP(YEAR($A75),'NY East Load Projections'!$A$4:$EO$14,((MONTH($A75)-1)*12)+VLOOKUP(AT$4,$DE$6:$DF$17,2)+1))*(VLOOKUP($A75,SatSunCurve,3))*(INDEX(DailyScalarsTable,AT$5/100,MONTH($A75)))*$C75</f>
        <v>-9191.948311053462</v>
      </c>
      <c r="AU75" s="1021">
        <f>(VLOOKUP(YEAR($A75),'NY East Load Projections'!$A$4:$EO$14,((MONTH($A75)-1)*12)+VLOOKUP(AU$4,$DE$6:$DF$17,2)+1))*(VLOOKUP($A75,SatSunCurve,3))*(INDEX(DailyScalarsTable,AU$5/100,MONTH($A75)))*$C75</f>
        <v>-8978.4044355886272</v>
      </c>
      <c r="AV75" s="1021">
        <f>(VLOOKUP(YEAR($A75),'NY East Load Projections'!$A$4:$EO$14,((MONTH($A75)-1)*12)+VLOOKUP(AV$4,$DE$6:$DF$17,2)+1))*(VLOOKUP($A75,SatSunCurve,3))*(INDEX(DailyScalarsTable,AV$5/100,MONTH($A75)))*$C75</f>
        <v>-8916.7848098326067</v>
      </c>
      <c r="AW75" s="1021">
        <f>(VLOOKUP(YEAR($A75),'NY East Load Projections'!$A$4:$EO$14,((MONTH($A75)-1)*12)+VLOOKUP(AW$4,$DE$6:$DF$17,2)+1))*(VLOOKUP($A75,SatSunCurve,3))*(INDEX(DailyScalarsTable,AW$5/100,MONTH($A75)))*$C75</f>
        <v>-8810.6024101337389</v>
      </c>
      <c r="AX75" s="1021">
        <f>(VLOOKUP(YEAR($A75),'NY East Load Projections'!$A$4:$EO$14,((MONTH($A75)-1)*12)+VLOOKUP(AX$4,$DE$6:$DF$17,2)+1))*(VLOOKUP($A75,SatSunCurve,3))*(INDEX(DailyScalarsTable,AX$5/100,MONTH($A75)))*$C75</f>
        <v>-11885.795809803845</v>
      </c>
      <c r="AY75" s="1021">
        <f>(VLOOKUP(YEAR($A75),'NY East Load Projections'!$A$4:$EO$14,((MONTH($A75)-1)*12)+VLOOKUP(AY$4,$DE$6:$DF$17,2)+1))*(VLOOKUP($A75,SatSunCurve,3))*(INDEX(DailyScalarsTable,AY$5/100,MONTH($A75)))*$C75</f>
        <v>-11978.893452177112</v>
      </c>
      <c r="AZ75" s="1021">
        <f>(VLOOKUP(YEAR($A75),'NY East Load Projections'!$A$4:$EO$14,((MONTH($A75)-1)*12)+VLOOKUP(AZ$4,$DE$6:$DF$17,2)+1))*(VLOOKUP($A75,SatSunCurve,3))*(INDEX(DailyScalarsTable,AZ$5/100,MONTH($A75)))*$C75</f>
        <v>-11455.962014165576</v>
      </c>
      <c r="BA75" s="1021">
        <f>(VLOOKUP(YEAR($A75),'NY East Load Projections'!$A$4:$EO$14,((MONTH($A75)-1)*12)+VLOOKUP(BA$4,$DE$6:$DF$17,2)+1))*(VLOOKUP($A75,SatSunCurve,3))*(INDEX(DailyScalarsTable,BA$5/100,MONTH($A75)))*$C75</f>
        <v>-10092.39291103783</v>
      </c>
      <c r="BB75" s="1021">
        <f>(VLOOKUP(YEAR($A75),'NY East Load Projections'!$A$4:$EO$14,((MONTH($A75)-1)*12)+VLOOKUP(BB$4,$DE$6:$DF$17,2)+1))*(VLOOKUP($A75,SatSunCurve,3))*(INDEX(DailyScalarsTable,BB$5/100,MONTH($A75)))*$C75</f>
        <v>-8372.0879354637891</v>
      </c>
      <c r="BC75" s="1021">
        <f>(VLOOKUP(YEAR($A75),'NY East Load Projections'!$A$4:$EO$14,((MONTH($A75)-1)*12)+VLOOKUP(BC$4,$DE$6:$DF$17,2)+1))*(VLOOKUP($A75,SatSunCurve,3))*(INDEX(DailyScalarsTable,BC$5/100,MONTH($A75)))*$C75</f>
        <v>-7138.038208199644</v>
      </c>
      <c r="BD75" s="1021">
        <f>(VLOOKUP(YEAR($A75),'NY East Load Projections'!$A$4:$EO$14,((MONTH($A75)-1)*12)+VLOOKUP(BD$4,$DE$6:$DF$17,2)+1))*(VLOOKUP($A75,CURVES!$D$9:$T$261,7))*(INDEX(DailyScalarsTable,BD$5/100,MONTH($A75)))*$C75</f>
        <v>-8258.3722111893931</v>
      </c>
      <c r="BE75" s="1021"/>
      <c r="BF75" s="1021">
        <f>(VLOOKUP(YEAR($A75),'NY East Load Projections'!$A$4:$EO$14,((MONTH($A75)-1)*12)+VLOOKUP(BF$4,$DE$6:$DF$17,2)+1))*(VLOOKUP($A75,CURVES!$D$9:$T$261,7))*(INDEX(DailyScalarsTable,BF$5/100,MONTH($A75)))*$D75</f>
        <v>-9115.4521172642508</v>
      </c>
      <c r="BG75" s="1021">
        <f>(VLOOKUP(YEAR($A75),'NY East Load Projections'!$A$4:$EO$14,((MONTH($A75)-1)*12)+VLOOKUP(BG$4,$DE$6:$DF$17,2)+1))*(VLOOKUP($A75,CURVES!$D$9:$T$261,7))*(INDEX(DailyScalarsTable,BG$5/100,MONTH($A75)))*$D75</f>
        <v>-8651.7592923418033</v>
      </c>
      <c r="BH75" s="1021">
        <f>(VLOOKUP(YEAR($A75),'NY East Load Projections'!$A$4:$EO$14,((MONTH($A75)-1)*12)+VLOOKUP(BH$4,$DE$6:$DF$17,2)+1))*(VLOOKUP($A75,CURVES!$D$9:$T$261,7))*(INDEX(DailyScalarsTable,BH$5/100,MONTH($A75)))*$D75</f>
        <v>-8310.9498661565685</v>
      </c>
      <c r="BI75" s="1021">
        <f>(VLOOKUP(YEAR($A75),'NY East Load Projections'!$A$4:$EO$14,((MONTH($A75)-1)*12)+VLOOKUP(BI$4,$DE$6:$DF$17,2)+1))*(VLOOKUP($A75,CURVES!$D$9:$T$261,7))*(INDEX(DailyScalarsTable,BI$5/100,MONTH($A75)))*$D75</f>
        <v>-8315.7499989197404</v>
      </c>
      <c r="BJ75" s="1021">
        <f>(VLOOKUP(YEAR($A75),'NY East Load Projections'!$A$4:$EO$14,((MONTH($A75)-1)*12)+VLOOKUP(BJ$4,$DE$6:$DF$17,2)+1))*(VLOOKUP($A75,CURVES!$D$9:$T$261,7))*(INDEX(DailyScalarsTable,BJ$5/100,MONTH($A75)))*$D75</f>
        <v>-9019.9113352223212</v>
      </c>
      <c r="BK75" s="1021">
        <f>(VLOOKUP(YEAR($A75),'NY East Load Projections'!$A$4:$EO$14,((MONTH($A75)-1)*12)+VLOOKUP(BK$4,$DE$6:$DF$17,2)+1))*(VLOOKUP($A75,CURVES!$D$9:$T$261,7))*(INDEX(DailyScalarsTable,BK$5/100,MONTH($A75)))*$D75</f>
        <v>-10362.432407135067</v>
      </c>
      <c r="BL75" s="1021">
        <f>(VLOOKUP(YEAR($A75),'NY East Load Projections'!$A$4:$EO$14,((MONTH($A75)-1)*12)+VLOOKUP(BL$4,$DE$6:$DF$17,2)+1))*(VLOOKUP($A75,CURVES!$D$9:$T$261,7))*(INDEX(DailyScalarsTable,BL$5/100,MONTH($A75)))*$D75</f>
        <v>-13396.004314372278</v>
      </c>
      <c r="BM75" s="1021">
        <f>(VLOOKUP(YEAR($A75),'NY East Load Projections'!$A$4:$EO$14,((MONTH($A75)-1)*12)+VLOOKUP(BM$4,$DE$6:$DF$17,2)+1))*(VLOOKUP($A75,SatSunCurve,7))*(INDEX(DailyScalarsTable,BM$5/100,MONTH($A75)))*$D75</f>
        <v>-11360.257288987294</v>
      </c>
      <c r="BN75" s="1021">
        <f>(VLOOKUP(YEAR($A75),'NY East Load Projections'!$A$4:$EO$14,((MONTH($A75)-1)*12)+VLOOKUP(BN$4,$DE$6:$DF$17,2)+1))*(VLOOKUP($A75,SatSunCurve,7))*(INDEX(DailyScalarsTable,BN$5/100,MONTH($A75)))*$D75</f>
        <v>-13444.366781670031</v>
      </c>
      <c r="BO75" s="1021">
        <f>(VLOOKUP(YEAR($A75),'NY East Load Projections'!$A$4:$EO$14,((MONTH($A75)-1)*12)+VLOOKUP(BO$4,$DE$6:$DF$17,2)+1))*(VLOOKUP($A75,SatSunCurve,7))*(INDEX(DailyScalarsTable,BO$5/100,MONTH($A75)))*$D75</f>
        <v>-13402.820530799603</v>
      </c>
      <c r="BP75" s="1021">
        <f>(VLOOKUP(YEAR($A75),'NY East Load Projections'!$A$4:$EO$14,((MONTH($A75)-1)*12)+VLOOKUP(BP$4,$DE$6:$DF$17,2)+1))*(VLOOKUP($A75,SatSunCurve,7))*(INDEX(DailyScalarsTable,BP$5/100,MONTH($A75)))*$D75</f>
        <v>-13326.850243493682</v>
      </c>
      <c r="BQ75" s="1021">
        <f>(VLOOKUP(YEAR($A75),'NY East Load Projections'!$A$4:$EO$14,((MONTH($A75)-1)*12)+VLOOKUP(BQ$4,$DE$6:$DF$17,2)+1))*(VLOOKUP($A75,SatSunCurve,7))*(INDEX(DailyScalarsTable,BQ$5/100,MONTH($A75)))*$D75</f>
        <v>-11245.976592754889</v>
      </c>
      <c r="BR75" s="1021">
        <f>(VLOOKUP(YEAR($A75),'NY East Load Projections'!$A$4:$EO$14,((MONTH($A75)-1)*12)+VLOOKUP(BR$4,$DE$6:$DF$17,2)+1))*(VLOOKUP($A75,SatSunCurve,7))*(INDEX(DailyScalarsTable,BR$5/100,MONTH($A75)))*$D75</f>
        <v>-10816.703619319407</v>
      </c>
      <c r="BS75" s="1021">
        <f>(VLOOKUP(YEAR($A75),'NY East Load Projections'!$A$4:$EO$14,((MONTH($A75)-1)*12)+VLOOKUP(BS$4,$DE$6:$DF$17,2)+1))*(VLOOKUP($A75,SatSunCurve,7))*(INDEX(DailyScalarsTable,BS$5/100,MONTH($A75)))*$D75</f>
        <v>-10516.475976441343</v>
      </c>
      <c r="BT75" s="1021">
        <f>(VLOOKUP(YEAR($A75),'NY East Load Projections'!$A$4:$EO$14,((MONTH($A75)-1)*12)+VLOOKUP(BT$4,$DE$6:$DF$17,2)+1))*(VLOOKUP($A75,SatSunCurve,7))*(INDEX(DailyScalarsTable,BT$5/100,MONTH($A75)))*$D75</f>
        <v>-10272.161173937331</v>
      </c>
      <c r="BU75" s="1021">
        <f>(VLOOKUP(YEAR($A75),'NY East Load Projections'!$A$4:$EO$14,((MONTH($A75)-1)*12)+VLOOKUP(BU$4,$DE$6:$DF$17,2)+1))*(VLOOKUP($A75,SatSunCurve,7))*(INDEX(DailyScalarsTable,BU$5/100,MONTH($A75)))*$D75</f>
        <v>-10201.662375204831</v>
      </c>
      <c r="BV75" s="1021">
        <f>(VLOOKUP(YEAR($A75),'NY East Load Projections'!$A$4:$EO$14,((MONTH($A75)-1)*12)+VLOOKUP(BV$4,$DE$6:$DF$17,2)+1))*(VLOOKUP($A75,SatSunCurve,7))*(INDEX(DailyScalarsTable,BV$5/100,MONTH($A75)))*$D75</f>
        <v>-10080.179462359118</v>
      </c>
      <c r="BW75" s="1021">
        <f>(VLOOKUP(YEAR($A75),'NY East Load Projections'!$A$4:$EO$14,((MONTH($A75)-1)*12)+VLOOKUP(BW$4,$DE$6:$DF$17,2)+1))*(VLOOKUP($A75,SatSunCurve,7))*(INDEX(DailyScalarsTable,BW$5/100,MONTH($A75)))*$D75</f>
        <v>-13598.497496377224</v>
      </c>
      <c r="BX75" s="1021">
        <f>(VLOOKUP(YEAR($A75),'NY East Load Projections'!$A$4:$EO$14,((MONTH($A75)-1)*12)+VLOOKUP(BX$4,$DE$6:$DF$17,2)+1))*(VLOOKUP($A75,SatSunCurve,7))*(INDEX(DailyScalarsTable,BX$5/100,MONTH($A75)))*$D75</f>
        <v>-13705.010184041541</v>
      </c>
      <c r="BY75" s="1021">
        <f>(VLOOKUP(YEAR($A75),'NY East Load Projections'!$A$4:$EO$14,((MONTH($A75)-1)*12)+VLOOKUP(BY$4,$DE$6:$DF$17,2)+1))*(VLOOKUP($A75,SatSunCurve,7))*(INDEX(DailyScalarsTable,BY$5/100,MONTH($A75)))*$D75</f>
        <v>-13106.726151203678</v>
      </c>
      <c r="BZ75" s="1021">
        <f>(VLOOKUP(YEAR($A75),'NY East Load Projections'!$A$4:$EO$14,((MONTH($A75)-1)*12)+VLOOKUP(BZ$4,$DE$6:$DF$17,2)+1))*(VLOOKUP($A75,SatSunCurve,7))*(INDEX(DailyScalarsTable,BZ$5/100,MONTH($A75)))*$D75</f>
        <v>-11546.671500111197</v>
      </c>
      <c r="CA75" s="1021">
        <f>(VLOOKUP(YEAR($A75),'NY East Load Projections'!$A$4:$EO$14,((MONTH($A75)-1)*12)+VLOOKUP(CA$4,$DE$6:$DF$17,2)+1))*(VLOOKUP($A75,SatSunCurve,7))*(INDEX(DailyScalarsTable,CA$5/100,MONTH($A75)))*$D75</f>
        <v>-9578.4765826069779</v>
      </c>
      <c r="CB75" s="1021">
        <f>(VLOOKUP(YEAR($A75),'NY East Load Projections'!$A$4:$EO$14,((MONTH($A75)-1)*12)+VLOOKUP(CB$4,$DE$6:$DF$17,2)+1))*(VLOOKUP($A75,SatSunCurve,7))*(INDEX(DailyScalarsTable,CB$5/100,MONTH($A75)))*$D75</f>
        <v>-8166.6045973281553</v>
      </c>
      <c r="CC75" s="1021">
        <f>(VLOOKUP(YEAR($A75),'NY East Load Projections'!$A$4:$EO$14,((MONTH($A75)-1)*12)+VLOOKUP(CC$4,$DE$6:$DF$17,2)+1))*(VLOOKUP($A75,CURVES!$D$9:$T$261,7))*(INDEX(DailyScalarsTable,CC$5/100,MONTH($A75)))*$D75</f>
        <v>-10322.965263986742</v>
      </c>
      <c r="CE75" s="1021">
        <f>(VLOOKUP(YEAR($A75),'NY East Load Projections'!$A$4:$EO$14,((MONTH($A75)-1)*12)+VLOOKUP(CE$4,$DE$6:$DF$17,2)+1))*(VLOOKUP($A75,CURVES!$D$9:$T$261,7))*(INDEX(DailyScalarsTable,CE$5/100,MONTH($A75)))*$E75</f>
        <v>0</v>
      </c>
      <c r="CF75" s="1021">
        <f>(VLOOKUP(YEAR($A75),'NY East Load Projections'!$A$4:$EO$14,((MONTH($A75)-1)*12)+VLOOKUP(CF$4,$DE$6:$DF$17,2)+1))*(VLOOKUP($A75,CURVES!$D$9:$T$261,7))*(INDEX(DailyScalarsTable,CF$5/100,MONTH($A75)))*$E75</f>
        <v>0</v>
      </c>
      <c r="CG75" s="1021">
        <f>(VLOOKUP(YEAR($A75),'NY East Load Projections'!$A$4:$EO$14,((MONTH($A75)-1)*12)+VLOOKUP(CG$4,$DE$6:$DF$17,2)+1))*(VLOOKUP($A75,CURVES!$D$9:$T$261,7))*(INDEX(DailyScalarsTable,CG$5/100,MONTH($A75)))*$E75</f>
        <v>0</v>
      </c>
      <c r="CH75" s="1021">
        <f>(VLOOKUP(YEAR($A75),'NY East Load Projections'!$A$4:$EO$14,((MONTH($A75)-1)*12)+VLOOKUP(CH$4,$DE$6:$DF$17,2)+1))*(VLOOKUP($A75,CURVES!$D$9:$T$261,7))*(INDEX(DailyScalarsTable,CH$5/100,MONTH($A75)))*$E75</f>
        <v>0</v>
      </c>
      <c r="CI75" s="1021">
        <f>(VLOOKUP(YEAR($A75),'NY East Load Projections'!$A$4:$EO$14,((MONTH($A75)-1)*12)+VLOOKUP(CI$4,$DE$6:$DF$17,2)+1))*(VLOOKUP($A75,CURVES!$D$9:$T$261,7))*(INDEX(DailyScalarsTable,CI$5/100,MONTH($A75)))*$E75</f>
        <v>0</v>
      </c>
      <c r="CJ75" s="1021">
        <f>(VLOOKUP(YEAR($A75),'NY East Load Projections'!$A$4:$EO$14,((MONTH($A75)-1)*12)+VLOOKUP(CJ$4,$DE$6:$DF$17,2)+1))*(VLOOKUP($A75,CURVES!$D$9:$T$261,7))*(INDEX(DailyScalarsTable,CJ$5/100,MONTH($A75)))*$E75</f>
        <v>0</v>
      </c>
      <c r="CK75" s="1021">
        <f>(VLOOKUP(YEAR($A75),'NY East Load Projections'!$A$4:$EO$14,((MONTH($A75)-1)*12)+VLOOKUP(CK$4,$DE$6:$DF$17,2)+1))*(VLOOKUP($A75,CURVES!$D$9:$T$261,7))*(INDEX(DailyScalarsTable,CK$5/100,MONTH($A75)))*$E75</f>
        <v>0</v>
      </c>
      <c r="CL75" s="1021">
        <f>(VLOOKUP(YEAR($A75),'NY East Load Projections'!$A$4:$EO$14,((MONTH($A75)-1)*12)+VLOOKUP(CL$4,$DE$6:$DF$17,2)+1))*(VLOOKUP($A75,SatSunCurve,7))*(INDEX(DailyScalarsTable,CL$5/100,MONTH($A75)))*$E75</f>
        <v>0</v>
      </c>
      <c r="CM75" s="1021">
        <f>(VLOOKUP(YEAR($A75),'NY East Load Projections'!$A$4:$EO$14,((MONTH($A75)-1)*12)+VLOOKUP(CM$4,$DE$6:$DF$17,2)+1))*(VLOOKUP($A75,SatSunCurve,7))*(INDEX(DailyScalarsTable,CM$5/100,MONTH($A75)))*$E75</f>
        <v>0</v>
      </c>
      <c r="CN75" s="1021">
        <f>(VLOOKUP(YEAR($A75),'NY East Load Projections'!$A$4:$EO$14,((MONTH($A75)-1)*12)+VLOOKUP(CN$4,$DE$6:$DF$17,2)+1))*(VLOOKUP($A75,SatSunCurve,7))*(INDEX(DailyScalarsTable,CN$5/100,MONTH($A75)))*$E75</f>
        <v>0</v>
      </c>
      <c r="CO75" s="1021">
        <f>(VLOOKUP(YEAR($A75),'NY East Load Projections'!$A$4:$EO$14,((MONTH($A75)-1)*12)+VLOOKUP(CO$4,$DE$6:$DF$17,2)+1))*(VLOOKUP($A75,SatSunCurve,7))*(INDEX(DailyScalarsTable,CO$5/100,MONTH($A75)))*$E75</f>
        <v>0</v>
      </c>
      <c r="CP75" s="1021">
        <f>(VLOOKUP(YEAR($A75),'NY East Load Projections'!$A$4:$EO$14,((MONTH($A75)-1)*12)+VLOOKUP(CP$4,$DE$6:$DF$17,2)+1))*(VLOOKUP($A75,SatSunCurve,7))*(INDEX(DailyScalarsTable,CP$5/100,MONTH($A75)))*$E75</f>
        <v>0</v>
      </c>
      <c r="CQ75" s="1021">
        <f>(VLOOKUP(YEAR($A75),'NY East Load Projections'!$A$4:$EO$14,((MONTH($A75)-1)*12)+VLOOKUP(CQ$4,$DE$6:$DF$17,2)+1))*(VLOOKUP($A75,SatSunCurve,7))*(INDEX(DailyScalarsTable,CQ$5/100,MONTH($A75)))*$E75</f>
        <v>0</v>
      </c>
      <c r="CR75" s="1021">
        <f>(VLOOKUP(YEAR($A75),'NY East Load Projections'!$A$4:$EO$14,((MONTH($A75)-1)*12)+VLOOKUP(CR$4,$DE$6:$DF$17,2)+1))*(VLOOKUP($A75,SatSunCurve,7))*(INDEX(DailyScalarsTable,CR$5/100,MONTH($A75)))*$E75</f>
        <v>0</v>
      </c>
      <c r="CS75" s="1021">
        <f>(VLOOKUP(YEAR($A75),'NY East Load Projections'!$A$4:$EO$14,((MONTH($A75)-1)*12)+VLOOKUP(CS$4,$DE$6:$DF$17,2)+1))*(VLOOKUP($A75,SatSunCurve,7))*(INDEX(DailyScalarsTable,CS$5/100,MONTH($A75)))*$E75</f>
        <v>0</v>
      </c>
      <c r="CT75" s="1021">
        <f>(VLOOKUP(YEAR($A75),'NY East Load Projections'!$A$4:$EO$14,((MONTH($A75)-1)*12)+VLOOKUP(CT$4,$DE$6:$DF$17,2)+1))*(VLOOKUP($A75,SatSunCurve,7))*(INDEX(DailyScalarsTable,CT$5/100,MONTH($A75)))*$E75</f>
        <v>0</v>
      </c>
      <c r="CU75" s="1021">
        <f>(VLOOKUP(YEAR($A75),'NY East Load Projections'!$A$4:$EO$14,((MONTH($A75)-1)*12)+VLOOKUP(CU$4,$DE$6:$DF$17,2)+1))*(VLOOKUP($A75,SatSunCurve,7))*(INDEX(DailyScalarsTable,CU$5/100,MONTH($A75)))*$E75</f>
        <v>0</v>
      </c>
      <c r="CV75" s="1021">
        <f>(VLOOKUP(YEAR($A75),'NY East Load Projections'!$A$4:$EO$14,((MONTH($A75)-1)*12)+VLOOKUP(CV$4,$DE$6:$DF$17,2)+1))*(VLOOKUP($A75,SatSunCurve,7))*(INDEX(DailyScalarsTable,CV$5/100,MONTH($A75)))*$E75</f>
        <v>0</v>
      </c>
      <c r="CW75" s="1021">
        <f>(VLOOKUP(YEAR($A75),'NY East Load Projections'!$A$4:$EO$14,((MONTH($A75)-1)*12)+VLOOKUP(CW$4,$DE$6:$DF$17,2)+1))*(VLOOKUP($A75,SatSunCurve,7))*(INDEX(DailyScalarsTable,CW$5/100,MONTH($A75)))*$E75</f>
        <v>0</v>
      </c>
      <c r="CX75" s="1021">
        <f>(VLOOKUP(YEAR($A75),'NY East Load Projections'!$A$4:$EO$14,((MONTH($A75)-1)*12)+VLOOKUP(CX$4,$DE$6:$DF$17,2)+1))*(VLOOKUP($A75,SatSunCurve,7))*(INDEX(DailyScalarsTable,CX$5/100,MONTH($A75)))*$E75</f>
        <v>0</v>
      </c>
      <c r="CY75" s="1021">
        <f>(VLOOKUP(YEAR($A75),'NY East Load Projections'!$A$4:$EO$14,((MONTH($A75)-1)*12)+VLOOKUP(CY$4,$DE$6:$DF$17,2)+1))*(VLOOKUP($A75,SatSunCurve,7))*(INDEX(DailyScalarsTable,CY$5/100,MONTH($A75)))*$E75</f>
        <v>0</v>
      </c>
      <c r="CZ75" s="1021">
        <f>(VLOOKUP(YEAR($A75),'NY East Load Projections'!$A$4:$EO$14,((MONTH($A75)-1)*12)+VLOOKUP(CZ$4,$DE$6:$DF$17,2)+1))*(VLOOKUP($A75,SatSunCurve,7))*(INDEX(DailyScalarsTable,CZ$5/100,MONTH($A75)))*$E75</f>
        <v>0</v>
      </c>
      <c r="DA75" s="1021">
        <f>(VLOOKUP(YEAR($A75),'NY East Load Projections'!$A$4:$EO$14,((MONTH($A75)-1)*12)+VLOOKUP(DA$4,$DE$6:$DF$17,2)+1))*(VLOOKUP($A75,SatSunCurve,7))*(INDEX(DailyScalarsTable,DA$5/100,MONTH($A75)))*$E75</f>
        <v>0</v>
      </c>
      <c r="DB75" s="1021">
        <f>(VLOOKUP(YEAR($A75),'NY East Load Projections'!$A$4:$EO$14,((MONTH($A75)-1)*12)+VLOOKUP(DB$4,$DE$6:$DF$17,2)+1))*(VLOOKUP($A75,CURVES!$D$9:$T$261,7))*(INDEX(DailyScalarsTable,DB$5/100,MONTH($A75)))*$E75</f>
        <v>0</v>
      </c>
      <c r="DH75" s="1032">
        <f t="shared" si="2"/>
        <v>-2017090.422922326</v>
      </c>
      <c r="DI75">
        <f ca="1">CALC!J95</f>
        <v>0.61555482530266015</v>
      </c>
      <c r="DJ75" s="1029">
        <f t="shared" ca="1" si="3"/>
        <v>-1241629.7429016212</v>
      </c>
    </row>
    <row r="76" spans="1:114" x14ac:dyDescent="0.25">
      <c r="A76" s="244">
        <v>39022</v>
      </c>
      <c r="B76" s="13">
        <v>21</v>
      </c>
      <c r="C76" s="210">
        <v>4</v>
      </c>
      <c r="D76" s="210">
        <v>4</v>
      </c>
      <c r="E76" s="210">
        <v>1</v>
      </c>
      <c r="F76" s="13">
        <v>30</v>
      </c>
      <c r="H76" s="1021">
        <f>(VLOOKUP(YEAR($A76),'NY East Load Projections'!$A$4:$EO$14,((MONTH($A76)-1)*12)+VLOOKUP(H$4,$DE$6:$DF$17,2)+1))*(VLOOKUP($A76,CURVES!$D$9:$K$261,7))*(INDEX(DailyScalarsTable,H$5/100,MONTH($A76)))*$B76</f>
        <v>-34823.305431217348</v>
      </c>
      <c r="I76" s="1021">
        <f>(VLOOKUP(YEAR($A76),'NY East Load Projections'!$A$4:$EO$14,((MONTH($A76)-1)*12)+VLOOKUP(I$4,$DE$6:$DF$17,2)+1))*(VLOOKUP($A76,CURVES!$D$9:$K$261,7))*(INDEX(DailyScalarsTable,I$5/100,MONTH($A76)))*$B76</f>
        <v>-33013.767343721061</v>
      </c>
      <c r="J76" s="1021">
        <f>(VLOOKUP(YEAR($A76),'NY East Load Projections'!$A$4:$EO$14,((MONTH($A76)-1)*12)+VLOOKUP(J$4,$DE$6:$DF$17,2)+1))*(VLOOKUP($A76,CURVES!$D$9:$K$261,7))*(INDEX(DailyScalarsTable,J$5/100,MONTH($A76)))*$B76</f>
        <v>-31683.775581689632</v>
      </c>
      <c r="K76" s="1021">
        <f>(VLOOKUP(YEAR($A76),'NY East Load Projections'!$A$4:$EO$14,((MONTH($A76)-1)*12)+VLOOKUP(K$4,$DE$6:$DF$17,2)+1))*(VLOOKUP($A76,CURVES!$D$9:$K$261,7))*(INDEX(DailyScalarsTable,K$5/100,MONTH($A76)))*$B76</f>
        <v>-31702.507860028105</v>
      </c>
      <c r="L76" s="1021">
        <f>(VLOOKUP(YEAR($A76),'NY East Load Projections'!$A$4:$EO$14,((MONTH($A76)-1)*12)+VLOOKUP(L$4,$DE$6:$DF$17,2)+1))*(VLOOKUP($A76,CURVES!$D$9:$K$261,7))*(INDEX(DailyScalarsTable,L$5/100,MONTH($A76)))*$B76</f>
        <v>-37082.929133989179</v>
      </c>
      <c r="M76" s="1021">
        <f>(VLOOKUP(YEAR($A76),'NY East Load Projections'!$A$4:$EO$14,((MONTH($A76)-1)*12)+VLOOKUP(M$4,$DE$6:$DF$17,2)+1))*(VLOOKUP($A76,CURVES!$D$9:$K$261,7))*(INDEX(DailyScalarsTable,M$5/100,MONTH($A76)))*$B76</f>
        <v>-42724.116036997577</v>
      </c>
      <c r="N76" s="1021">
        <f>(VLOOKUP(YEAR($A76),'NY East Load Projections'!$A$4:$EO$14,((MONTH($A76)-1)*12)+VLOOKUP(N$4,$DE$6:$DF$17,2)+1))*(VLOOKUP($A76,CURVES!$D$9:$K$261,7))*(INDEX(DailyScalarsTable,N$5/100,MONTH($A76)))*$B76</f>
        <v>-61198.082718640726</v>
      </c>
      <c r="O76" s="1021">
        <f>(VLOOKUP(YEAR($A76),'NY East Load Projections'!$A$4:$EO$14,((MONTH($A76)-1)*12)+VLOOKUP(O$4,$DE$6:$DF$17,2)+1))*(VLOOKUP($A76,CURVES!$D$9:$K$261,3))*(INDEX(DailyScalarsTable,O$5/100,MONTH($A76)))*$B76</f>
        <v>-69359.824372657604</v>
      </c>
      <c r="P76" s="1021">
        <f>(VLOOKUP(YEAR($A76),'NY East Load Projections'!$A$4:$EO$14,((MONTH($A76)-1)*12)+VLOOKUP(P$4,$DE$6:$DF$17,2)+1))*(VLOOKUP($A76,CURVES!$D$9:$K$261,3))*(INDEX(DailyScalarsTable,P$5/100,MONTH($A76)))*$B76</f>
        <v>-80779.844079299291</v>
      </c>
      <c r="Q76" s="1021">
        <f>(VLOOKUP(YEAR($A76),'NY East Load Projections'!$A$4:$EO$14,((MONTH($A76)-1)*12)+VLOOKUP(Q$4,$DE$6:$DF$17,2)+1))*(VLOOKUP($A76,CURVES!$D$9:$K$261,3))*(INDEX(DailyScalarsTable,Q$5/100,MONTH($A76)))*$B76</f>
        <v>-80256.676876265148</v>
      </c>
      <c r="R76" s="1021">
        <f>(VLOOKUP(YEAR($A76),'NY East Load Projections'!$A$4:$EO$14,((MONTH($A76)-1)*12)+VLOOKUP(R$4,$DE$6:$DF$17,2)+1))*(VLOOKUP($A76,CURVES!$D$9:$K$261,3))*(INDEX(DailyScalarsTable,R$5/100,MONTH($A76)))*$B76</f>
        <v>-78708.384748366792</v>
      </c>
      <c r="S76" s="1021">
        <f>(VLOOKUP(YEAR($A76),'NY East Load Projections'!$A$4:$EO$14,((MONTH($A76)-1)*12)+VLOOKUP(S$4,$DE$6:$DF$17,2)+1))*(VLOOKUP($A76,CURVES!$D$9:$K$261,3))*(INDEX(DailyScalarsTable,S$5/100,MONTH($A76)))*$B76</f>
        <v>-66272.558935703797</v>
      </c>
      <c r="T76" s="1021">
        <f>(VLOOKUP(YEAR($A76),'NY East Load Projections'!$A$4:$EO$14,((MONTH($A76)-1)*12)+VLOOKUP(T$4,$DE$6:$DF$17,2)+1))*(VLOOKUP($A76,CURVES!$D$9:$K$261,3))*(INDEX(DailyScalarsTable,T$5/100,MONTH($A76)))*$B76</f>
        <v>-64053.946662132315</v>
      </c>
      <c r="U76" s="1021">
        <f>(VLOOKUP(YEAR($A76),'NY East Load Projections'!$A$4:$EO$14,((MONTH($A76)-1)*12)+VLOOKUP(U$4,$DE$6:$DF$17,2)+1))*(VLOOKUP($A76,CURVES!$D$9:$K$261,3))*(INDEX(DailyScalarsTable,U$5/100,MONTH($A76)))*$B76</f>
        <v>-62334.523697025805</v>
      </c>
      <c r="V76" s="1021">
        <f>(VLOOKUP(YEAR($A76),'NY East Load Projections'!$A$4:$EO$14,((MONTH($A76)-1)*12)+VLOOKUP(V$4,$DE$6:$DF$17,2)+1))*(VLOOKUP($A76,CURVES!$D$9:$K$261,3))*(INDEX(DailyScalarsTable,V$5/100,MONTH($A76)))*$B76</f>
        <v>-60876.278903834209</v>
      </c>
      <c r="W76" s="1021">
        <f>(VLOOKUP(YEAR($A76),'NY East Load Projections'!$A$4:$EO$14,((MONTH($A76)-1)*12)+VLOOKUP(W$4,$DE$6:$DF$17,2)+1))*(VLOOKUP($A76,CURVES!$D$9:$K$261,3))*(INDEX(DailyScalarsTable,W$5/100,MONTH($A76)))*$B76</f>
        <v>-59875.095911493714</v>
      </c>
      <c r="X76" s="1021">
        <f>(VLOOKUP(YEAR($A76),'NY East Load Projections'!$A$4:$EO$14,((MONTH($A76)-1)*12)+VLOOKUP(X$4,$DE$6:$DF$17,2)+1))*(VLOOKUP($A76,CURVES!$D$9:$K$261,3))*(INDEX(DailyScalarsTable,X$5/100,MONTH($A76)))*$B76</f>
        <v>-61001.025579031797</v>
      </c>
      <c r="Y76" s="1021">
        <f>(VLOOKUP(YEAR($A76),'NY East Load Projections'!$A$4:$EO$14,((MONTH($A76)-1)*12)+VLOOKUP(Y$4,$DE$6:$DF$17,2)+1))*(VLOOKUP($A76,CURVES!$D$9:$K$261,3))*(INDEX(DailyScalarsTable,Y$5/100,MONTH($A76)))*$B76</f>
        <v>-83740.523609564174</v>
      </c>
      <c r="Z76" s="1021">
        <f>(VLOOKUP(YEAR($A76),'NY East Load Projections'!$A$4:$EO$14,((MONTH($A76)-1)*12)+VLOOKUP(Z$4,$DE$6:$DF$17,2)+1))*(VLOOKUP($A76,CURVES!$D$9:$K$261,3))*(INDEX(DailyScalarsTable,Z$5/100,MONTH($A76)))*$B76</f>
        <v>-84414.796168412038</v>
      </c>
      <c r="AA76" s="1021">
        <f>(VLOOKUP(YEAR($A76),'NY East Load Projections'!$A$4:$EO$14,((MONTH($A76)-1)*12)+VLOOKUP(AA$4,$DE$6:$DF$17,2)+1))*(VLOOKUP($A76,CURVES!$D$9:$K$261,3))*(INDEX(DailyScalarsTable,AA$5/100,MONTH($A76)))*$B76</f>
        <v>-80960.869387375045</v>
      </c>
      <c r="AB76" s="1021">
        <f>(VLOOKUP(YEAR($A76),'NY East Load Projections'!$A$4:$EO$14,((MONTH($A76)-1)*12)+VLOOKUP(AB$4,$DE$6:$DF$17,2)+1))*(VLOOKUP($A76,CURVES!$D$9:$K$261,3))*(INDEX(DailyScalarsTable,AB$5/100,MONTH($A76)))*$B76</f>
        <v>-67554.048323602634</v>
      </c>
      <c r="AC76" s="1021">
        <f>(VLOOKUP(YEAR($A76),'NY East Load Projections'!$A$4:$EO$14,((MONTH($A76)-1)*12)+VLOOKUP(AC$4,$DE$6:$DF$17,2)+1))*(VLOOKUP($A76,CURVES!$D$9:$K$261,3))*(INDEX(DailyScalarsTable,AC$5/100,MONTH($A76)))*$B76</f>
        <v>-53738.007767384144</v>
      </c>
      <c r="AD76" s="1021">
        <f>(VLOOKUP(YEAR($A76),'NY East Load Projections'!$A$4:$EO$14,((MONTH($A76)-1)*12)+VLOOKUP(AD$4,$DE$6:$DF$17,2)+1))*(VLOOKUP($A76,CURVES!$D$9:$K$261,3))*(INDEX(DailyScalarsTable,AD$5/100,MONTH($A76)))*$B76</f>
        <v>-45319.34273155636</v>
      </c>
      <c r="AE76" s="1021">
        <f>(VLOOKUP(YEAR($A76),'NY East Load Projections'!$A$4:$EO$14,((MONTH($A76)-1)*12)+VLOOKUP(AE$4,$DE$6:$DF$17,2)+1))*(VLOOKUP($A76,CURVES!$D$9:$K$261,7))*(INDEX(DailyScalarsTable,AE$5/100,MONTH($A76)))*$B76</f>
        <v>-41186.02250631417</v>
      </c>
      <c r="AF76" s="1021"/>
      <c r="AG76" s="1021">
        <f>(VLOOKUP(YEAR($A76),'NY East Load Projections'!$A$4:$EO$14,((MONTH($A76)-1)*12)+VLOOKUP(AG$4,$DE$6:$DF$17,2)+1))*(VLOOKUP($A76,CURVES!$D$9:$T$261,7))*(INDEX(DailyScalarsTable,AG$5/100,MONTH($A76)))*$C76</f>
        <v>-6944.7549166512663</v>
      </c>
      <c r="AH76" s="1021">
        <f>(VLOOKUP(YEAR($A76),'NY East Load Projections'!$A$4:$EO$14,((MONTH($A76)-1)*12)+VLOOKUP(AH$4,$DE$6:$DF$17,2)+1))*(VLOOKUP($A76,CURVES!$D$9:$T$261,7))*(INDEX(DailyScalarsTable,AH$5/100,MONTH($A76)))*$C76</f>
        <v>-6583.8816918268913</v>
      </c>
      <c r="AI76" s="1021">
        <f>(VLOOKUP(YEAR($A76),'NY East Load Projections'!$A$4:$EO$14,((MONTH($A76)-1)*12)+VLOOKUP(AI$4,$DE$6:$DF$17,2)+1))*(VLOOKUP($A76,CURVES!$D$9:$T$261,7))*(INDEX(DailyScalarsTable,AI$5/100,MONTH($A76)))*$C76</f>
        <v>-6318.643607328645</v>
      </c>
      <c r="AJ76" s="1021">
        <f>(VLOOKUP(YEAR($A76),'NY East Load Projections'!$A$4:$EO$14,((MONTH($A76)-1)*12)+VLOOKUP(AJ$4,$DE$6:$DF$17,2)+1))*(VLOOKUP($A76,CURVES!$D$9:$T$261,7))*(INDEX(DailyScalarsTable,AJ$5/100,MONTH($A76)))*$C76</f>
        <v>-6322.3793549976344</v>
      </c>
      <c r="AK76" s="1021">
        <f>(VLOOKUP(YEAR($A76),'NY East Load Projections'!$A$4:$EO$14,((MONTH($A76)-1)*12)+VLOOKUP(AK$4,$DE$6:$DF$17,2)+1))*(VLOOKUP($A76,CURVES!$D$9:$T$261,7))*(INDEX(DailyScalarsTable,AK$5/100,MONTH($A76)))*$C76</f>
        <v>-6873.1922610633437</v>
      </c>
      <c r="AL76" s="1021">
        <f>(VLOOKUP(YEAR($A76),'NY East Load Projections'!$A$4:$EO$14,((MONTH($A76)-1)*12)+VLOOKUP(AL$4,$DE$6:$DF$17,2)+1))*(VLOOKUP($A76,CURVES!$D$9:$T$261,7))*(INDEX(DailyScalarsTable,AL$5/100,MONTH($A76)))*$C76</f>
        <v>-7918.766682244408</v>
      </c>
      <c r="AM76" s="1021">
        <f>(VLOOKUP(YEAR($A76),'NY East Load Projections'!$A$4:$EO$14,((MONTH($A76)-1)*12)+VLOOKUP(AM$4,$DE$6:$DF$17,2)+1))*(VLOOKUP($A76,CURVES!$D$9:$T$261,7))*(INDEX(DailyScalarsTable,AM$5/100,MONTH($A76)))*$C76</f>
        <v>-11342.852313900454</v>
      </c>
      <c r="AN76" s="1021">
        <f>(VLOOKUP(YEAR($A76),'NY East Load Projections'!$A$4:$EO$14,((MONTH($A76)-1)*12)+VLOOKUP(AN$4,$DE$6:$DF$17,2)+1))*(VLOOKUP($A76,SatSunCurve,3))*(INDEX(DailyScalarsTable,AN$5/100,MONTH($A76)))*$C76</f>
        <v>-10211.74862713879</v>
      </c>
      <c r="AO76" s="1021">
        <f>(VLOOKUP(YEAR($A76),'NY East Load Projections'!$A$4:$EO$14,((MONTH($A76)-1)*12)+VLOOKUP(AO$4,$DE$6:$DF$17,2)+1))*(VLOOKUP($A76,SatSunCurve,3))*(INDEX(DailyScalarsTable,AO$5/100,MONTH($A76)))*$C76</f>
        <v>-11609.143486307945</v>
      </c>
      <c r="AP76" s="1021">
        <f>(VLOOKUP(YEAR($A76),'NY East Load Projections'!$A$4:$EO$14,((MONTH($A76)-1)*12)+VLOOKUP(AP$4,$DE$6:$DF$17,2)+1))*(VLOOKUP($A76,SatSunCurve,3))*(INDEX(DailyScalarsTable,AP$5/100,MONTH($A76)))*$C76</f>
        <v>-11533.957365356886</v>
      </c>
      <c r="AQ76" s="1021">
        <f>(VLOOKUP(YEAR($A76),'NY East Load Projections'!$A$4:$EO$14,((MONTH($A76)-1)*12)+VLOOKUP(AQ$4,$DE$6:$DF$17,2)+1))*(VLOOKUP($A76,SatSunCurve,3))*(INDEX(DailyScalarsTable,AQ$5/100,MONTH($A76)))*$C76</f>
        <v>-11311.447088488214</v>
      </c>
      <c r="AR76" s="1021">
        <f>(VLOOKUP(YEAR($A76),'NY East Load Projections'!$A$4:$EO$14,((MONTH($A76)-1)*12)+VLOOKUP(AR$4,$DE$6:$DF$17,2)+1))*(VLOOKUP($A76,SatSunCurve,3))*(INDEX(DailyScalarsTable,AR$5/100,MONTH($A76)))*$C76</f>
        <v>-9524.2526729083384</v>
      </c>
      <c r="AS76" s="1021">
        <f>(VLOOKUP(YEAR($A76),'NY East Load Projections'!$A$4:$EO$14,((MONTH($A76)-1)*12)+VLOOKUP(AS$4,$DE$6:$DF$17,2)+1))*(VLOOKUP($A76,SatSunCurve,3))*(INDEX(DailyScalarsTable,AS$5/100,MONTH($A76)))*$C76</f>
        <v>-9199.9846663458957</v>
      </c>
      <c r="AT76" s="1021">
        <f>(VLOOKUP(YEAR($A76),'NY East Load Projections'!$A$4:$EO$14,((MONTH($A76)-1)*12)+VLOOKUP(AT$4,$DE$6:$DF$17,2)+1))*(VLOOKUP($A76,SatSunCurve,3))*(INDEX(DailyScalarsTable,AT$5/100,MONTH($A76)))*$C76</f>
        <v>-8953.0261924616534</v>
      </c>
      <c r="AU76" s="1021">
        <f>(VLOOKUP(YEAR($A76),'NY East Load Projections'!$A$4:$EO$14,((MONTH($A76)-1)*12)+VLOOKUP(AU$4,$DE$6:$DF$17,2)+1))*(VLOOKUP($A76,SatSunCurve,3))*(INDEX(DailyScalarsTable,AU$5/100,MONTH($A76)))*$C76</f>
        <v>-8743.5803981547633</v>
      </c>
      <c r="AV76" s="1021">
        <f>(VLOOKUP(YEAR($A76),'NY East Load Projections'!$A$4:$EO$14,((MONTH($A76)-1)*12)+VLOOKUP(AV$4,$DE$6:$DF$17,2)+1))*(VLOOKUP($A76,SatSunCurve,3))*(INDEX(DailyScalarsTable,AV$5/100,MONTH($A76)))*$C76</f>
        <v>-8599.7817931082427</v>
      </c>
      <c r="AW76" s="1021">
        <f>(VLOOKUP(YEAR($A76),'NY East Load Projections'!$A$4:$EO$14,((MONTH($A76)-1)*12)+VLOOKUP(AW$4,$DE$6:$DF$17,2)+1))*(VLOOKUP($A76,SatSunCurve,3))*(INDEX(DailyScalarsTable,AW$5/100,MONTH($A76)))*$C76</f>
        <v>-8822.4939079612795</v>
      </c>
      <c r="AX76" s="1021">
        <f>(VLOOKUP(YEAR($A76),'NY East Load Projections'!$A$4:$EO$14,((MONTH($A76)-1)*12)+VLOOKUP(AX$4,$DE$6:$DF$17,2)+1))*(VLOOKUP($A76,SatSunCurve,3))*(INDEX(DailyScalarsTable,AX$5/100,MONTH($A76)))*$C76</f>
        <v>-12111.276038100241</v>
      </c>
      <c r="AY76" s="1021">
        <f>(VLOOKUP(YEAR($A76),'NY East Load Projections'!$A$4:$EO$14,((MONTH($A76)-1)*12)+VLOOKUP(AY$4,$DE$6:$DF$17,2)+1))*(VLOOKUP($A76,SatSunCurve,3))*(INDEX(DailyScalarsTable,AY$5/100,MONTH($A76)))*$C76</f>
        <v>-12208.795145136131</v>
      </c>
      <c r="AZ76" s="1021">
        <f>(VLOOKUP(YEAR($A76),'NY East Load Projections'!$A$4:$EO$14,((MONTH($A76)-1)*12)+VLOOKUP(AZ$4,$DE$6:$DF$17,2)+1))*(VLOOKUP($A76,SatSunCurve,3))*(INDEX(DailyScalarsTable,AZ$5/100,MONTH($A76)))*$C76</f>
        <v>-11709.258494809426</v>
      </c>
      <c r="BA76" s="1021">
        <f>(VLOOKUP(YEAR($A76),'NY East Load Projections'!$A$4:$EO$14,((MONTH($A76)-1)*12)+VLOOKUP(BA$4,$DE$6:$DF$17,2)+1))*(VLOOKUP($A76,SatSunCurve,3))*(INDEX(DailyScalarsTable,BA$5/100,MONTH($A76)))*$C76</f>
        <v>-10376.484896001306</v>
      </c>
      <c r="BB76" s="1021">
        <f>(VLOOKUP(YEAR($A76),'NY East Load Projections'!$A$4:$EO$14,((MONTH($A76)-1)*12)+VLOOKUP(BB$4,$DE$6:$DF$17,2)+1))*(VLOOKUP($A76,SatSunCurve,3))*(INDEX(DailyScalarsTable,BB$5/100,MONTH($A76)))*$C76</f>
        <v>-8254.303624682092</v>
      </c>
      <c r="BC76" s="1021">
        <f>(VLOOKUP(YEAR($A76),'NY East Load Projections'!$A$4:$EO$14,((MONTH($A76)-1)*12)+VLOOKUP(BC$4,$DE$6:$DF$17,2)+1))*(VLOOKUP($A76,SatSunCurve,3))*(INDEX(DailyScalarsTable,BC$5/100,MONTH($A76)))*$C76</f>
        <v>-6961.1738603443428</v>
      </c>
      <c r="BD76" s="1021">
        <f>(VLOOKUP(YEAR($A76),'NY East Load Projections'!$A$4:$EO$14,((MONTH($A76)-1)*12)+VLOOKUP(BD$4,$DE$6:$DF$17,2)+1))*(VLOOKUP($A76,CURVES!$D$9:$T$261,7))*(INDEX(DailyScalarsTable,BD$5/100,MONTH($A76)))*$C76</f>
        <v>-7964.179887493724</v>
      </c>
      <c r="BE76" s="1021"/>
      <c r="BF76" s="1021">
        <f>(VLOOKUP(YEAR($A76),'NY East Load Projections'!$A$4:$EO$14,((MONTH($A76)-1)*12)+VLOOKUP(BF$4,$DE$6:$DF$17,2)+1))*(VLOOKUP($A76,CURVES!$D$9:$T$261,7))*(INDEX(DailyScalarsTable,BF$5/100,MONTH($A76)))*$D76</f>
        <v>-6944.7549166512663</v>
      </c>
      <c r="BG76" s="1021">
        <f>(VLOOKUP(YEAR($A76),'NY East Load Projections'!$A$4:$EO$14,((MONTH($A76)-1)*12)+VLOOKUP(BG$4,$DE$6:$DF$17,2)+1))*(VLOOKUP($A76,CURVES!$D$9:$T$261,7))*(INDEX(DailyScalarsTable,BG$5/100,MONTH($A76)))*$D76</f>
        <v>-6583.8816918268913</v>
      </c>
      <c r="BH76" s="1021">
        <f>(VLOOKUP(YEAR($A76),'NY East Load Projections'!$A$4:$EO$14,((MONTH($A76)-1)*12)+VLOOKUP(BH$4,$DE$6:$DF$17,2)+1))*(VLOOKUP($A76,CURVES!$D$9:$T$261,7))*(INDEX(DailyScalarsTable,BH$5/100,MONTH($A76)))*$D76</f>
        <v>-6318.643607328645</v>
      </c>
      <c r="BI76" s="1021">
        <f>(VLOOKUP(YEAR($A76),'NY East Load Projections'!$A$4:$EO$14,((MONTH($A76)-1)*12)+VLOOKUP(BI$4,$DE$6:$DF$17,2)+1))*(VLOOKUP($A76,CURVES!$D$9:$T$261,7))*(INDEX(DailyScalarsTable,BI$5/100,MONTH($A76)))*$D76</f>
        <v>-6322.3793549976344</v>
      </c>
      <c r="BJ76" s="1021">
        <f>(VLOOKUP(YEAR($A76),'NY East Load Projections'!$A$4:$EO$14,((MONTH($A76)-1)*12)+VLOOKUP(BJ$4,$DE$6:$DF$17,2)+1))*(VLOOKUP($A76,CURVES!$D$9:$T$261,7))*(INDEX(DailyScalarsTable,BJ$5/100,MONTH($A76)))*$D76</f>
        <v>-6873.1922610633437</v>
      </c>
      <c r="BK76" s="1021">
        <f>(VLOOKUP(YEAR($A76),'NY East Load Projections'!$A$4:$EO$14,((MONTH($A76)-1)*12)+VLOOKUP(BK$4,$DE$6:$DF$17,2)+1))*(VLOOKUP($A76,CURVES!$D$9:$T$261,7))*(INDEX(DailyScalarsTable,BK$5/100,MONTH($A76)))*$D76</f>
        <v>-7918.766682244408</v>
      </c>
      <c r="BL76" s="1021">
        <f>(VLOOKUP(YEAR($A76),'NY East Load Projections'!$A$4:$EO$14,((MONTH($A76)-1)*12)+VLOOKUP(BL$4,$DE$6:$DF$17,2)+1))*(VLOOKUP($A76,CURVES!$D$9:$T$261,7))*(INDEX(DailyScalarsTable,BL$5/100,MONTH($A76)))*$D76</f>
        <v>-11342.852313900454</v>
      </c>
      <c r="BM76" s="1021">
        <f>(VLOOKUP(YEAR($A76),'NY East Load Projections'!$A$4:$EO$14,((MONTH($A76)-1)*12)+VLOOKUP(BM$4,$DE$6:$DF$17,2)+1))*(VLOOKUP($A76,SatSunCurve,7))*(INDEX(DailyScalarsTable,BM$5/100,MONTH($A76)))*$D76</f>
        <v>-9381.5809989765785</v>
      </c>
      <c r="BN76" s="1021">
        <f>(VLOOKUP(YEAR($A76),'NY East Load Projections'!$A$4:$EO$14,((MONTH($A76)-1)*12)+VLOOKUP(BN$4,$DE$6:$DF$17,2)+1))*(VLOOKUP($A76,SatSunCurve,7))*(INDEX(DailyScalarsTable,BN$5/100,MONTH($A76)))*$D76</f>
        <v>-10665.374160904626</v>
      </c>
      <c r="BO76" s="1021">
        <f>(VLOOKUP(YEAR($A76),'NY East Load Projections'!$A$4:$EO$14,((MONTH($A76)-1)*12)+VLOOKUP(BO$4,$DE$6:$DF$17,2)+1))*(VLOOKUP($A76,SatSunCurve,7))*(INDEX(DailyScalarsTable,BO$5/100,MONTH($A76)))*$D76</f>
        <v>-10596.300321598923</v>
      </c>
      <c r="BP76" s="1021">
        <f>(VLOOKUP(YEAR($A76),'NY East Load Projections'!$A$4:$EO$14,((MONTH($A76)-1)*12)+VLOOKUP(BP$4,$DE$6:$DF$17,2)+1))*(VLOOKUP($A76,SatSunCurve,7))*(INDEX(DailyScalarsTable,BP$5/100,MONTH($A76)))*$D76</f>
        <v>-10391.879094464482</v>
      </c>
      <c r="BQ76" s="1021">
        <f>(VLOOKUP(YEAR($A76),'NY East Load Projections'!$A$4:$EO$14,((MONTH($A76)-1)*12)+VLOOKUP(BQ$4,$DE$6:$DF$17,2)+1))*(VLOOKUP($A76,SatSunCurve,7))*(INDEX(DailyScalarsTable,BQ$5/100,MONTH($A76)))*$D76</f>
        <v>-8749.9752655627472</v>
      </c>
      <c r="BR76" s="1021">
        <f>(VLOOKUP(YEAR($A76),'NY East Load Projections'!$A$4:$EO$14,((MONTH($A76)-1)*12)+VLOOKUP(BR$4,$DE$6:$DF$17,2)+1))*(VLOOKUP($A76,SatSunCurve,7))*(INDEX(DailyScalarsTable,BR$5/100,MONTH($A76)))*$D76</f>
        <v>-8452.0687384810481</v>
      </c>
      <c r="BS76" s="1021">
        <f>(VLOOKUP(YEAR($A76),'NY East Load Projections'!$A$4:$EO$14,((MONTH($A76)-1)*12)+VLOOKUP(BS$4,$DE$6:$DF$17,2)+1))*(VLOOKUP($A76,SatSunCurve,7))*(INDEX(DailyScalarsTable,BS$5/100,MONTH($A76)))*$D76</f>
        <v>-8225.1868389431602</v>
      </c>
      <c r="BT76" s="1021">
        <f>(VLOOKUP(YEAR($A76),'NY East Load Projections'!$A$4:$EO$14,((MONTH($A76)-1)*12)+VLOOKUP(BT$4,$DE$6:$DF$17,2)+1))*(VLOOKUP($A76,SatSunCurve,7))*(INDEX(DailyScalarsTable,BT$5/100,MONTH($A76)))*$D76</f>
        <v>-8032.7680127528001</v>
      </c>
      <c r="BU76" s="1021">
        <f>(VLOOKUP(YEAR($A76),'NY East Load Projections'!$A$4:$EO$14,((MONTH($A76)-1)*12)+VLOOKUP(BU$4,$DE$6:$DF$17,2)+1))*(VLOOKUP($A76,SatSunCurve,7))*(INDEX(DailyScalarsTable,BU$5/100,MONTH($A76)))*$D76</f>
        <v>-7900.6595649206138</v>
      </c>
      <c r="BV76" s="1021">
        <f>(VLOOKUP(YEAR($A76),'NY East Load Projections'!$A$4:$EO$14,((MONTH($A76)-1)*12)+VLOOKUP(BV$4,$DE$6:$DF$17,2)+1))*(VLOOKUP($A76,SatSunCurve,7))*(INDEX(DailyScalarsTable,BV$5/100,MONTH($A76)))*$D76</f>
        <v>-8105.2662215508353</v>
      </c>
      <c r="BW76" s="1021">
        <f>(VLOOKUP(YEAR($A76),'NY East Load Projections'!$A$4:$EO$14,((MONTH($A76)-1)*12)+VLOOKUP(BW$4,$DE$6:$DF$17,2)+1))*(VLOOKUP($A76,SatSunCurve,7))*(INDEX(DailyScalarsTable,BW$5/100,MONTH($A76)))*$D76</f>
        <v>-11126.685673640335</v>
      </c>
      <c r="BX76" s="1021">
        <f>(VLOOKUP(YEAR($A76),'NY East Load Projections'!$A$4:$EO$14,((MONTH($A76)-1)*12)+VLOOKUP(BX$4,$DE$6:$DF$17,2)+1))*(VLOOKUP($A76,SatSunCurve,7))*(INDEX(DailyScalarsTable,BX$5/100,MONTH($A76)))*$D76</f>
        <v>-11216.276931221204</v>
      </c>
      <c r="BY76" s="1021">
        <f>(VLOOKUP(YEAR($A76),'NY East Load Projections'!$A$4:$EO$14,((MONTH($A76)-1)*12)+VLOOKUP(BY$4,$DE$6:$DF$17,2)+1))*(VLOOKUP($A76,SatSunCurve,7))*(INDEX(DailyScalarsTable,BY$5/100,MONTH($A76)))*$D76</f>
        <v>-10757.350285245735</v>
      </c>
      <c r="BZ76" s="1021">
        <f>(VLOOKUP(YEAR($A76),'NY East Load Projections'!$A$4:$EO$14,((MONTH($A76)-1)*12)+VLOOKUP(BZ$4,$DE$6:$DF$17,2)+1))*(VLOOKUP($A76,SatSunCurve,7))*(INDEX(DailyScalarsTable,BZ$5/100,MONTH($A76)))*$D76</f>
        <v>-9532.9249760203893</v>
      </c>
      <c r="CA76" s="1021">
        <f>(VLOOKUP(YEAR($A76),'NY East Load Projections'!$A$4:$EO$14,((MONTH($A76)-1)*12)+VLOOKUP(CA$4,$DE$6:$DF$17,2)+1))*(VLOOKUP($A76,SatSunCurve,7))*(INDEX(DailyScalarsTable,CA$5/100,MONTH($A76)))*$D76</f>
        <v>-7583.2671634023882</v>
      </c>
      <c r="CB76" s="1021">
        <f>(VLOOKUP(YEAR($A76),'NY East Load Projections'!$A$4:$EO$14,((MONTH($A76)-1)*12)+VLOOKUP(CB$4,$DE$6:$DF$17,2)+1))*(VLOOKUP($A76,SatSunCurve,7))*(INDEX(DailyScalarsTable,CB$5/100,MONTH($A76)))*$D76</f>
        <v>-6395.2628294452143</v>
      </c>
      <c r="CC76" s="1021">
        <f>(VLOOKUP(YEAR($A76),'NY East Load Projections'!$A$4:$EO$14,((MONTH($A76)-1)*12)+VLOOKUP(CC$4,$DE$6:$DF$17,2)+1))*(VLOOKUP($A76,CURVES!$D$9:$T$261,7))*(INDEX(DailyScalarsTable,CC$5/100,MONTH($A76)))*$D76</f>
        <v>-7964.179887493724</v>
      </c>
      <c r="CE76" s="1021">
        <f>(VLOOKUP(YEAR($A76),'NY East Load Projections'!$A$4:$EO$14,((MONTH($A76)-1)*12)+VLOOKUP(CE$4,$DE$6:$DF$17,2)+1))*(VLOOKUP($A76,CURVES!$D$9:$T$261,7))*(INDEX(DailyScalarsTable,CE$5/100,MONTH($A76)))*$E76</f>
        <v>-1736.1887291628166</v>
      </c>
      <c r="CF76" s="1021">
        <f>(VLOOKUP(YEAR($A76),'NY East Load Projections'!$A$4:$EO$14,((MONTH($A76)-1)*12)+VLOOKUP(CF$4,$DE$6:$DF$17,2)+1))*(VLOOKUP($A76,CURVES!$D$9:$T$261,7))*(INDEX(DailyScalarsTable,CF$5/100,MONTH($A76)))*$E76</f>
        <v>-1645.9704229567228</v>
      </c>
      <c r="CG76" s="1021">
        <f>(VLOOKUP(YEAR($A76),'NY East Load Projections'!$A$4:$EO$14,((MONTH($A76)-1)*12)+VLOOKUP(CG$4,$DE$6:$DF$17,2)+1))*(VLOOKUP($A76,CURVES!$D$9:$T$261,7))*(INDEX(DailyScalarsTable,CG$5/100,MONTH($A76)))*$E76</f>
        <v>-1579.6609018321612</v>
      </c>
      <c r="CH76" s="1021">
        <f>(VLOOKUP(YEAR($A76),'NY East Load Projections'!$A$4:$EO$14,((MONTH($A76)-1)*12)+VLOOKUP(CH$4,$DE$6:$DF$17,2)+1))*(VLOOKUP($A76,CURVES!$D$9:$T$261,7))*(INDEX(DailyScalarsTable,CH$5/100,MONTH($A76)))*$E76</f>
        <v>-1580.5948387494086</v>
      </c>
      <c r="CI76" s="1021">
        <f>(VLOOKUP(YEAR($A76),'NY East Load Projections'!$A$4:$EO$14,((MONTH($A76)-1)*12)+VLOOKUP(CI$4,$DE$6:$DF$17,2)+1))*(VLOOKUP($A76,CURVES!$D$9:$T$261,7))*(INDEX(DailyScalarsTable,CI$5/100,MONTH($A76)))*$E76</f>
        <v>-1718.2980652658359</v>
      </c>
      <c r="CJ76" s="1021">
        <f>(VLOOKUP(YEAR($A76),'NY East Load Projections'!$A$4:$EO$14,((MONTH($A76)-1)*12)+VLOOKUP(CJ$4,$DE$6:$DF$17,2)+1))*(VLOOKUP($A76,CURVES!$D$9:$T$261,7))*(INDEX(DailyScalarsTable,CJ$5/100,MONTH($A76)))*$E76</f>
        <v>-1979.691670561102</v>
      </c>
      <c r="CK76" s="1021">
        <f>(VLOOKUP(YEAR($A76),'NY East Load Projections'!$A$4:$EO$14,((MONTH($A76)-1)*12)+VLOOKUP(CK$4,$DE$6:$DF$17,2)+1))*(VLOOKUP($A76,CURVES!$D$9:$T$261,7))*(INDEX(DailyScalarsTable,CK$5/100,MONTH($A76)))*$E76</f>
        <v>-2835.7130784751134</v>
      </c>
      <c r="CL76" s="1021">
        <f>(VLOOKUP(YEAR($A76),'NY East Load Projections'!$A$4:$EO$14,((MONTH($A76)-1)*12)+VLOOKUP(CL$4,$DE$6:$DF$17,2)+1))*(VLOOKUP($A76,SatSunCurve,7))*(INDEX(DailyScalarsTable,CL$5/100,MONTH($A76)))*$E76</f>
        <v>-2345.3952497441446</v>
      </c>
      <c r="CM76" s="1021">
        <f>(VLOOKUP(YEAR($A76),'NY East Load Projections'!$A$4:$EO$14,((MONTH($A76)-1)*12)+VLOOKUP(CM$4,$DE$6:$DF$17,2)+1))*(VLOOKUP($A76,SatSunCurve,7))*(INDEX(DailyScalarsTable,CM$5/100,MONTH($A76)))*$E76</f>
        <v>-2666.3435402261566</v>
      </c>
      <c r="CN76" s="1021">
        <f>(VLOOKUP(YEAR($A76),'NY East Load Projections'!$A$4:$EO$14,((MONTH($A76)-1)*12)+VLOOKUP(CN$4,$DE$6:$DF$17,2)+1))*(VLOOKUP($A76,SatSunCurve,7))*(INDEX(DailyScalarsTable,CN$5/100,MONTH($A76)))*$E76</f>
        <v>-2649.0750803997307</v>
      </c>
      <c r="CO76" s="1021">
        <f>(VLOOKUP(YEAR($A76),'NY East Load Projections'!$A$4:$EO$14,((MONTH($A76)-1)*12)+VLOOKUP(CO$4,$DE$6:$DF$17,2)+1))*(VLOOKUP($A76,SatSunCurve,7))*(INDEX(DailyScalarsTable,CO$5/100,MONTH($A76)))*$E76</f>
        <v>-2597.9697736161206</v>
      </c>
      <c r="CP76" s="1021">
        <f>(VLOOKUP(YEAR($A76),'NY East Load Projections'!$A$4:$EO$14,((MONTH($A76)-1)*12)+VLOOKUP(CP$4,$DE$6:$DF$17,2)+1))*(VLOOKUP($A76,SatSunCurve,7))*(INDEX(DailyScalarsTable,CP$5/100,MONTH($A76)))*$E76</f>
        <v>-2187.4938163906868</v>
      </c>
      <c r="CQ76" s="1021">
        <f>(VLOOKUP(YEAR($A76),'NY East Load Projections'!$A$4:$EO$14,((MONTH($A76)-1)*12)+VLOOKUP(CQ$4,$DE$6:$DF$17,2)+1))*(VLOOKUP($A76,SatSunCurve,7))*(INDEX(DailyScalarsTable,CQ$5/100,MONTH($A76)))*$E76</f>
        <v>-2113.017184620262</v>
      </c>
      <c r="CR76" s="1021">
        <f>(VLOOKUP(YEAR($A76),'NY East Load Projections'!$A$4:$EO$14,((MONTH($A76)-1)*12)+VLOOKUP(CR$4,$DE$6:$DF$17,2)+1))*(VLOOKUP($A76,SatSunCurve,7))*(INDEX(DailyScalarsTable,CR$5/100,MONTH($A76)))*$E76</f>
        <v>-2056.29670973579</v>
      </c>
      <c r="CS76" s="1021">
        <f>(VLOOKUP(YEAR($A76),'NY East Load Projections'!$A$4:$EO$14,((MONTH($A76)-1)*12)+VLOOKUP(CS$4,$DE$6:$DF$17,2)+1))*(VLOOKUP($A76,SatSunCurve,7))*(INDEX(DailyScalarsTable,CS$5/100,MONTH($A76)))*$E76</f>
        <v>-2008.1920031882</v>
      </c>
      <c r="CT76" s="1021">
        <f>(VLOOKUP(YEAR($A76),'NY East Load Projections'!$A$4:$EO$14,((MONTH($A76)-1)*12)+VLOOKUP(CT$4,$DE$6:$DF$17,2)+1))*(VLOOKUP($A76,SatSunCurve,7))*(INDEX(DailyScalarsTable,CT$5/100,MONTH($A76)))*$E76</f>
        <v>-1975.1648912301534</v>
      </c>
      <c r="CU76" s="1021">
        <f>(VLOOKUP(YEAR($A76),'NY East Load Projections'!$A$4:$EO$14,((MONTH($A76)-1)*12)+VLOOKUP(CU$4,$DE$6:$DF$17,2)+1))*(VLOOKUP($A76,SatSunCurve,7))*(INDEX(DailyScalarsTable,CU$5/100,MONTH($A76)))*$E76</f>
        <v>-2026.3165553877088</v>
      </c>
      <c r="CV76" s="1021">
        <f>(VLOOKUP(YEAR($A76),'NY East Load Projections'!$A$4:$EO$14,((MONTH($A76)-1)*12)+VLOOKUP(CV$4,$DE$6:$DF$17,2)+1))*(VLOOKUP($A76,SatSunCurve,7))*(INDEX(DailyScalarsTable,CV$5/100,MONTH($A76)))*$E76</f>
        <v>-2781.6714184100838</v>
      </c>
      <c r="CW76" s="1021">
        <f>(VLOOKUP(YEAR($A76),'NY East Load Projections'!$A$4:$EO$14,((MONTH($A76)-1)*12)+VLOOKUP(CW$4,$DE$6:$DF$17,2)+1))*(VLOOKUP($A76,SatSunCurve,7))*(INDEX(DailyScalarsTable,CW$5/100,MONTH($A76)))*$E76</f>
        <v>-2804.069232805301</v>
      </c>
      <c r="CX76" s="1021">
        <f>(VLOOKUP(YEAR($A76),'NY East Load Projections'!$A$4:$EO$14,((MONTH($A76)-1)*12)+VLOOKUP(CX$4,$DE$6:$DF$17,2)+1))*(VLOOKUP($A76,SatSunCurve,7))*(INDEX(DailyScalarsTable,CX$5/100,MONTH($A76)))*$E76</f>
        <v>-2689.3375713114337</v>
      </c>
      <c r="CY76" s="1021">
        <f>(VLOOKUP(YEAR($A76),'NY East Load Projections'!$A$4:$EO$14,((MONTH($A76)-1)*12)+VLOOKUP(CY$4,$DE$6:$DF$17,2)+1))*(VLOOKUP($A76,SatSunCurve,7))*(INDEX(DailyScalarsTable,CY$5/100,MONTH($A76)))*$E76</f>
        <v>-2383.2312440050973</v>
      </c>
      <c r="CZ76" s="1021">
        <f>(VLOOKUP(YEAR($A76),'NY East Load Projections'!$A$4:$EO$14,((MONTH($A76)-1)*12)+VLOOKUP(CZ$4,$DE$6:$DF$17,2)+1))*(VLOOKUP($A76,SatSunCurve,7))*(INDEX(DailyScalarsTable,CZ$5/100,MONTH($A76)))*$E76</f>
        <v>-1895.816790850597</v>
      </c>
      <c r="DA76" s="1021">
        <f>(VLOOKUP(YEAR($A76),'NY East Load Projections'!$A$4:$EO$14,((MONTH($A76)-1)*12)+VLOOKUP(DA$4,$DE$6:$DF$17,2)+1))*(VLOOKUP($A76,SatSunCurve,7))*(INDEX(DailyScalarsTable,DA$5/100,MONTH($A76)))*$E76</f>
        <v>-1598.8157073613036</v>
      </c>
      <c r="DB76" s="1021">
        <f>(VLOOKUP(YEAR($A76),'NY East Load Projections'!$A$4:$EO$14,((MONTH($A76)-1)*12)+VLOOKUP(DB$4,$DE$6:$DF$17,2)+1))*(VLOOKUP($A76,CURVES!$D$9:$T$261,7))*(INDEX(DailyScalarsTable,DB$5/100,MONTH($A76)))*$E76</f>
        <v>-1991.044971873431</v>
      </c>
      <c r="DH76" s="1032">
        <f t="shared" si="2"/>
        <v>-1892286.460579911</v>
      </c>
      <c r="DI76">
        <f ca="1">CALC!J96</f>
        <v>0.61181445974366278</v>
      </c>
      <c r="DJ76" s="1029">
        <f t="shared" ca="1" si="3"/>
        <v>-1157728.2185599462</v>
      </c>
    </row>
    <row r="77" spans="1:114" x14ac:dyDescent="0.25">
      <c r="A77" s="244">
        <v>39052</v>
      </c>
      <c r="B77" s="13">
        <v>20</v>
      </c>
      <c r="C77" s="210">
        <v>5</v>
      </c>
      <c r="D77" s="210">
        <v>5</v>
      </c>
      <c r="E77" s="210">
        <v>1</v>
      </c>
      <c r="F77" s="13">
        <v>31</v>
      </c>
      <c r="H77" s="1021">
        <f>(VLOOKUP(YEAR($A77),'NY East Load Projections'!$A$4:$EO$14,((MONTH($A77)-1)*12)+VLOOKUP(H$4,$DE$6:$DF$17,2)+1))*(VLOOKUP($A77,CURVES!$D$9:$K$261,7))*(INDEX(DailyScalarsTable,H$5/100,MONTH($A77)))*$B77</f>
        <v>-32932.111026610597</v>
      </c>
      <c r="I77" s="1021">
        <f>(VLOOKUP(YEAR($A77),'NY East Load Projections'!$A$4:$EO$14,((MONTH($A77)-1)*12)+VLOOKUP(I$4,$DE$6:$DF$17,2)+1))*(VLOOKUP($A77,CURVES!$D$9:$K$261,7))*(INDEX(DailyScalarsTable,I$5/100,MONTH($A77)))*$B77</f>
        <v>-31220.845870520985</v>
      </c>
      <c r="J77" s="1021">
        <f>(VLOOKUP(YEAR($A77),'NY East Load Projections'!$A$4:$EO$14,((MONTH($A77)-1)*12)+VLOOKUP(J$4,$DE$6:$DF$17,2)+1))*(VLOOKUP($A77,CURVES!$D$9:$K$261,7))*(INDEX(DailyScalarsTable,J$5/100,MONTH($A77)))*$B77</f>
        <v>-29963.083695755333</v>
      </c>
      <c r="K77" s="1021">
        <f>(VLOOKUP(YEAR($A77),'NY East Load Projections'!$A$4:$EO$14,((MONTH($A77)-1)*12)+VLOOKUP(K$4,$DE$6:$DF$17,2)+1))*(VLOOKUP($A77,CURVES!$D$9:$K$261,7))*(INDEX(DailyScalarsTable,K$5/100,MONTH($A77)))*$B77</f>
        <v>-29980.798655963299</v>
      </c>
      <c r="L77" s="1021">
        <f>(VLOOKUP(YEAR($A77),'NY East Load Projections'!$A$4:$EO$14,((MONTH($A77)-1)*12)+VLOOKUP(L$4,$DE$6:$DF$17,2)+1))*(VLOOKUP($A77,CURVES!$D$9:$K$261,7))*(INDEX(DailyScalarsTable,L$5/100,MONTH($A77)))*$B77</f>
        <v>-35224.960196369924</v>
      </c>
      <c r="M77" s="1021">
        <f>(VLOOKUP(YEAR($A77),'NY East Load Projections'!$A$4:$EO$14,((MONTH($A77)-1)*12)+VLOOKUP(M$4,$DE$6:$DF$17,2)+1))*(VLOOKUP($A77,CURVES!$D$9:$K$261,7))*(INDEX(DailyScalarsTable,M$5/100,MONTH($A77)))*$B77</f>
        <v>-40583.506264852454</v>
      </c>
      <c r="N77" s="1021">
        <f>(VLOOKUP(YEAR($A77),'NY East Load Projections'!$A$4:$EO$14,((MONTH($A77)-1)*12)+VLOOKUP(N$4,$DE$6:$DF$17,2)+1))*(VLOOKUP($A77,CURVES!$D$9:$K$261,7))*(INDEX(DailyScalarsTable,N$5/100,MONTH($A77)))*$B77</f>
        <v>-58131.870329585661</v>
      </c>
      <c r="O77" s="1021">
        <f>(VLOOKUP(YEAR($A77),'NY East Load Projections'!$A$4:$EO$14,((MONTH($A77)-1)*12)+VLOOKUP(O$4,$DE$6:$DF$17,2)+1))*(VLOOKUP($A77,CURVES!$D$9:$K$261,3))*(INDEX(DailyScalarsTable,O$5/100,MONTH($A77)))*$B77</f>
        <v>-62079.449579624517</v>
      </c>
      <c r="P77" s="1021">
        <f>(VLOOKUP(YEAR($A77),'NY East Load Projections'!$A$4:$EO$14,((MONTH($A77)-1)*12)+VLOOKUP(P$4,$DE$6:$DF$17,2)+1))*(VLOOKUP($A77,CURVES!$D$9:$K$261,3))*(INDEX(DailyScalarsTable,P$5/100,MONTH($A77)))*$B77</f>
        <v>-70045.495538401956</v>
      </c>
      <c r="Q77" s="1021">
        <f>(VLOOKUP(YEAR($A77),'NY East Load Projections'!$A$4:$EO$14,((MONTH($A77)-1)*12)+VLOOKUP(Q$4,$DE$6:$DF$17,2)+1))*(VLOOKUP($A77,CURVES!$D$9:$K$261,3))*(INDEX(DailyScalarsTable,Q$5/100,MONTH($A77)))*$B77</f>
        <v>-69690.392923110179</v>
      </c>
      <c r="R77" s="1021">
        <f>(VLOOKUP(YEAR($A77),'NY East Load Projections'!$A$4:$EO$14,((MONTH($A77)-1)*12)+VLOOKUP(R$4,$DE$6:$DF$17,2)+1))*(VLOOKUP($A77,CURVES!$D$9:$K$261,3))*(INDEX(DailyScalarsTable,R$5/100,MONTH($A77)))*$B77</f>
        <v>-68173.683447626667</v>
      </c>
      <c r="S77" s="1021">
        <f>(VLOOKUP(YEAR($A77),'NY East Load Projections'!$A$4:$EO$14,((MONTH($A77)-1)*12)+VLOOKUP(S$4,$DE$6:$DF$17,2)+1))*(VLOOKUP($A77,CURVES!$D$9:$K$261,3))*(INDEX(DailyScalarsTable,S$5/100,MONTH($A77)))*$B77</f>
        <v>-55396.007985517419</v>
      </c>
      <c r="T77" s="1021">
        <f>(VLOOKUP(YEAR($A77),'NY East Load Projections'!$A$4:$EO$14,((MONTH($A77)-1)*12)+VLOOKUP(T$4,$DE$6:$DF$17,2)+1))*(VLOOKUP($A77,CURVES!$D$9:$K$261,3))*(INDEX(DailyScalarsTable,T$5/100,MONTH($A77)))*$B77</f>
        <v>-53176.012379732085</v>
      </c>
      <c r="U77" s="1021">
        <f>(VLOOKUP(YEAR($A77),'NY East Load Projections'!$A$4:$EO$14,((MONTH($A77)-1)*12)+VLOOKUP(U$4,$DE$6:$DF$17,2)+1))*(VLOOKUP($A77,CURVES!$D$9:$K$261,3))*(INDEX(DailyScalarsTable,U$5/100,MONTH($A77)))*$B77</f>
        <v>-50884.624030531151</v>
      </c>
      <c r="V77" s="1021">
        <f>(VLOOKUP(YEAR($A77),'NY East Load Projections'!$A$4:$EO$14,((MONTH($A77)-1)*12)+VLOOKUP(V$4,$DE$6:$DF$17,2)+1))*(VLOOKUP($A77,CURVES!$D$9:$K$261,3))*(INDEX(DailyScalarsTable,V$5/100,MONTH($A77)))*$B77</f>
        <v>-48325.805741370415</v>
      </c>
      <c r="W77" s="1021">
        <f>(VLOOKUP(YEAR($A77),'NY East Load Projections'!$A$4:$EO$14,((MONTH($A77)-1)*12)+VLOOKUP(W$4,$DE$6:$DF$17,2)+1))*(VLOOKUP($A77,CURVES!$D$9:$K$261,3))*(INDEX(DailyScalarsTable,W$5/100,MONTH($A77)))*$B77</f>
        <v>-47487.048202405611</v>
      </c>
      <c r="X77" s="1021">
        <f>(VLOOKUP(YEAR($A77),'NY East Load Projections'!$A$4:$EO$14,((MONTH($A77)-1)*12)+VLOOKUP(X$4,$DE$6:$DF$17,2)+1))*(VLOOKUP($A77,CURVES!$D$9:$K$261,3))*(INDEX(DailyScalarsTable,X$5/100,MONTH($A77)))*$B77</f>
        <v>-51436.529088772193</v>
      </c>
      <c r="Y77" s="1021">
        <f>(VLOOKUP(YEAR($A77),'NY East Load Projections'!$A$4:$EO$14,((MONTH($A77)-1)*12)+VLOOKUP(Y$4,$DE$6:$DF$17,2)+1))*(VLOOKUP($A77,CURVES!$D$9:$K$261,3))*(INDEX(DailyScalarsTable,Y$5/100,MONTH($A77)))*$B77</f>
        <v>-72491.779468011649</v>
      </c>
      <c r="Z77" s="1021">
        <f>(VLOOKUP(YEAR($A77),'NY East Load Projections'!$A$4:$EO$14,((MONTH($A77)-1)*12)+VLOOKUP(Z$4,$DE$6:$DF$17,2)+1))*(VLOOKUP($A77,CURVES!$D$9:$K$261,3))*(INDEX(DailyScalarsTable,Z$5/100,MONTH($A77)))*$B77</f>
        <v>-72008.801637010096</v>
      </c>
      <c r="AA77" s="1021">
        <f>(VLOOKUP(YEAR($A77),'NY East Load Projections'!$A$4:$EO$14,((MONTH($A77)-1)*12)+VLOOKUP(AA$4,$DE$6:$DF$17,2)+1))*(VLOOKUP($A77,CURVES!$D$9:$K$261,3))*(INDEX(DailyScalarsTable,AA$5/100,MONTH($A77)))*$B77</f>
        <v>-69529.153250412754</v>
      </c>
      <c r="AB77" s="1021">
        <f>(VLOOKUP(YEAR($A77),'NY East Load Projections'!$A$4:$EO$14,((MONTH($A77)-1)*12)+VLOOKUP(AB$4,$DE$6:$DF$17,2)+1))*(VLOOKUP($A77,CURVES!$D$9:$K$261,3))*(INDEX(DailyScalarsTable,AB$5/100,MONTH($A77)))*$B77</f>
        <v>-62567.831659145661</v>
      </c>
      <c r="AC77" s="1021">
        <f>(VLOOKUP(YEAR($A77),'NY East Load Projections'!$A$4:$EO$14,((MONTH($A77)-1)*12)+VLOOKUP(AC$4,$DE$6:$DF$17,2)+1))*(VLOOKUP($A77,CURVES!$D$9:$K$261,3))*(INDEX(DailyScalarsTable,AC$5/100,MONTH($A77)))*$B77</f>
        <v>-46124.755803762419</v>
      </c>
      <c r="AD77" s="1021">
        <f>(VLOOKUP(YEAR($A77),'NY East Load Projections'!$A$4:$EO$14,((MONTH($A77)-1)*12)+VLOOKUP(AD$4,$DE$6:$DF$17,2)+1))*(VLOOKUP($A77,CURVES!$D$9:$K$261,3))*(INDEX(DailyScalarsTable,AD$5/100,MONTH($A77)))*$B77</f>
        <v>-38053.600648435815</v>
      </c>
      <c r="AE77" s="1021">
        <f>(VLOOKUP(YEAR($A77),'NY East Load Projections'!$A$4:$EO$14,((MONTH($A77)-1)*12)+VLOOKUP(AE$4,$DE$6:$DF$17,2)+1))*(VLOOKUP($A77,CURVES!$D$9:$K$261,7))*(INDEX(DailyScalarsTable,AE$5/100,MONTH($A77)))*$B77</f>
        <v>-38735.53823660942</v>
      </c>
      <c r="AF77" s="1021"/>
      <c r="AG77" s="1021">
        <f>(VLOOKUP(YEAR($A77),'NY East Load Projections'!$A$4:$EO$14,((MONTH($A77)-1)*12)+VLOOKUP(AG$4,$DE$6:$DF$17,2)+1))*(VLOOKUP($A77,CURVES!$D$9:$T$261,7))*(INDEX(DailyScalarsTable,AG$5/100,MONTH($A77)))*$C77</f>
        <v>-8412.2729082401911</v>
      </c>
      <c r="AH77" s="1021">
        <f>(VLOOKUP(YEAR($A77),'NY East Load Projections'!$A$4:$EO$14,((MONTH($A77)-1)*12)+VLOOKUP(AH$4,$DE$6:$DF$17,2)+1))*(VLOOKUP($A77,CURVES!$D$9:$T$261,7))*(INDEX(DailyScalarsTable,AH$5/100,MONTH($A77)))*$C77</f>
        <v>-7975.1424279088278</v>
      </c>
      <c r="AI77" s="1021">
        <f>(VLOOKUP(YEAR($A77),'NY East Load Projections'!$A$4:$EO$14,((MONTH($A77)-1)*12)+VLOOKUP(AI$4,$DE$6:$DF$17,2)+1))*(VLOOKUP($A77,CURVES!$D$9:$T$261,7))*(INDEX(DailyScalarsTable,AI$5/100,MONTH($A77)))*$C77</f>
        <v>-7653.8560500255289</v>
      </c>
      <c r="AJ77" s="1021">
        <f>(VLOOKUP(YEAR($A77),'NY East Load Projections'!$A$4:$EO$14,((MONTH($A77)-1)*12)+VLOOKUP(AJ$4,$DE$6:$DF$17,2)+1))*(VLOOKUP($A77,CURVES!$D$9:$T$261,7))*(INDEX(DailyScalarsTable,AJ$5/100,MONTH($A77)))*$C77</f>
        <v>-7658.3812102774064</v>
      </c>
      <c r="AK77" s="1021">
        <f>(VLOOKUP(YEAR($A77),'NY East Load Projections'!$A$4:$EO$14,((MONTH($A77)-1)*12)+VLOOKUP(AK$4,$DE$6:$DF$17,2)+1))*(VLOOKUP($A77,CURVES!$D$9:$T$261,7))*(INDEX(DailyScalarsTable,AK$5/100,MONTH($A77)))*$C77</f>
        <v>-8389.3241440249258</v>
      </c>
      <c r="AL77" s="1021">
        <f>(VLOOKUP(YEAR($A77),'NY East Load Projections'!$A$4:$EO$14,((MONTH($A77)-1)*12)+VLOOKUP(AL$4,$DE$6:$DF$17,2)+1))*(VLOOKUP($A77,CURVES!$D$9:$T$261,7))*(INDEX(DailyScalarsTable,AL$5/100,MONTH($A77)))*$C77</f>
        <v>-9665.537932729876</v>
      </c>
      <c r="AM77" s="1021">
        <f>(VLOOKUP(YEAR($A77),'NY East Load Projections'!$A$4:$EO$14,((MONTH($A77)-1)*12)+VLOOKUP(AM$4,$DE$6:$DF$17,2)+1))*(VLOOKUP($A77,CURVES!$D$9:$T$261,7))*(INDEX(DailyScalarsTable,AM$5/100,MONTH($A77)))*$C77</f>
        <v>-13844.92986151273</v>
      </c>
      <c r="AN77" s="1021">
        <f>(VLOOKUP(YEAR($A77),'NY East Load Projections'!$A$4:$EO$14,((MONTH($A77)-1)*12)+VLOOKUP(AN$4,$DE$6:$DF$17,2)+1))*(VLOOKUP($A77,SatSunCurve,3))*(INDEX(DailyScalarsTable,AN$5/100,MONTH($A77)))*$C77</f>
        <v>-12487.060155045827</v>
      </c>
      <c r="AO77" s="1021">
        <f>(VLOOKUP(YEAR($A77),'NY East Load Projections'!$A$4:$EO$14,((MONTH($A77)-1)*12)+VLOOKUP(AO$4,$DE$6:$DF$17,2)+1))*(VLOOKUP($A77,SatSunCurve,3))*(INDEX(DailyScalarsTable,AO$5/100,MONTH($A77)))*$C77</f>
        <v>-14172.223093969733</v>
      </c>
      <c r="AP77" s="1021">
        <f>(VLOOKUP(YEAR($A77),'NY East Load Projections'!$A$4:$EO$14,((MONTH($A77)-1)*12)+VLOOKUP(AP$4,$DE$6:$DF$17,2)+1))*(VLOOKUP($A77,SatSunCurve,3))*(INDEX(DailyScalarsTable,AP$5/100,MONTH($A77)))*$C77</f>
        <v>-14100.375597617764</v>
      </c>
      <c r="AQ77" s="1021">
        <f>(VLOOKUP(YEAR($A77),'NY East Load Projections'!$A$4:$EO$14,((MONTH($A77)-1)*12)+VLOOKUP(AQ$4,$DE$6:$DF$17,2)+1))*(VLOOKUP($A77,SatSunCurve,3))*(INDEX(DailyScalarsTable,AQ$5/100,MONTH($A77)))*$C77</f>
        <v>-13793.501545402576</v>
      </c>
      <c r="AR77" s="1021">
        <f>(VLOOKUP(YEAR($A77),'NY East Load Projections'!$A$4:$EO$14,((MONTH($A77)-1)*12)+VLOOKUP(AR$4,$DE$6:$DF$17,2)+1))*(VLOOKUP($A77,SatSunCurve,3))*(INDEX(DailyScalarsTable,AR$5/100,MONTH($A77)))*$C77</f>
        <v>-11208.209430907151</v>
      </c>
      <c r="AS77" s="1021">
        <f>(VLOOKUP(YEAR($A77),'NY East Load Projections'!$A$4:$EO$14,((MONTH($A77)-1)*12)+VLOOKUP(AS$4,$DE$6:$DF$17,2)+1))*(VLOOKUP($A77,SatSunCurve,3))*(INDEX(DailyScalarsTable,AS$5/100,MONTH($A77)))*$C77</f>
        <v>-10766.633418011525</v>
      </c>
      <c r="AT77" s="1021">
        <f>(VLOOKUP(YEAR($A77),'NY East Load Projections'!$A$4:$EO$14,((MONTH($A77)-1)*12)+VLOOKUP(AT$4,$DE$6:$DF$17,2)+1))*(VLOOKUP($A77,SatSunCurve,3))*(INDEX(DailyScalarsTable,AT$5/100,MONTH($A77)))*$C77</f>
        <v>-10302.692304902559</v>
      </c>
      <c r="AU77" s="1021">
        <f>(VLOOKUP(YEAR($A77),'NY East Load Projections'!$A$4:$EO$14,((MONTH($A77)-1)*12)+VLOOKUP(AU$4,$DE$6:$DF$17,2)+1))*(VLOOKUP($A77,SatSunCurve,3))*(INDEX(DailyScalarsTable,AU$5/100,MONTH($A77)))*$C77</f>
        <v>-9784.6042183803438</v>
      </c>
      <c r="AV77" s="1021">
        <f>(VLOOKUP(YEAR($A77),'NY East Load Projections'!$A$4:$EO$14,((MONTH($A77)-1)*12)+VLOOKUP(AV$4,$DE$6:$DF$17,2)+1))*(VLOOKUP($A77,SatSunCurve,3))*(INDEX(DailyScalarsTable,AV$5/100,MONTH($A77)))*$C77</f>
        <v>-9614.7796199478835</v>
      </c>
      <c r="AW77" s="1021">
        <f>(VLOOKUP(YEAR($A77),'NY East Load Projections'!$A$4:$EO$14,((MONTH($A77)-1)*12)+VLOOKUP(AW$4,$DE$6:$DF$17,2)+1))*(VLOOKUP($A77,SatSunCurve,3))*(INDEX(DailyScalarsTable,AW$5/100,MONTH($A77)))*$C77</f>
        <v>-10432.574104173755</v>
      </c>
      <c r="AX77" s="1021">
        <f>(VLOOKUP(YEAR($A77),'NY East Load Projections'!$A$4:$EO$14,((MONTH($A77)-1)*12)+VLOOKUP(AX$4,$DE$6:$DF$17,2)+1))*(VLOOKUP($A77,SatSunCurve,3))*(INDEX(DailyScalarsTable,AX$5/100,MONTH($A77)))*$C77</f>
        <v>-14703.088926125392</v>
      </c>
      <c r="AY77" s="1021">
        <f>(VLOOKUP(YEAR($A77),'NY East Load Projections'!$A$4:$EO$14,((MONTH($A77)-1)*12)+VLOOKUP(AY$4,$DE$6:$DF$17,2)+1))*(VLOOKUP($A77,SatSunCurve,3))*(INDEX(DailyScalarsTable,AY$5/100,MONTH($A77)))*$C77</f>
        <v>-14605.129322282357</v>
      </c>
      <c r="AZ77" s="1021">
        <f>(VLOOKUP(YEAR($A77),'NY East Load Projections'!$A$4:$EO$14,((MONTH($A77)-1)*12)+VLOOKUP(AZ$4,$DE$6:$DF$17,2)+1))*(VLOOKUP($A77,SatSunCurve,3))*(INDEX(DailyScalarsTable,AZ$5/100,MONTH($A77)))*$C77</f>
        <v>-14102.196562165025</v>
      </c>
      <c r="BA77" s="1021">
        <f>(VLOOKUP(YEAR($A77),'NY East Load Projections'!$A$4:$EO$14,((MONTH($A77)-1)*12)+VLOOKUP(BA$4,$DE$6:$DF$17,2)+1))*(VLOOKUP($A77,SatSunCurve,3))*(INDEX(DailyScalarsTable,BA$5/100,MONTH($A77)))*$C77</f>
        <v>-13236.336837905252</v>
      </c>
      <c r="BB77" s="1021">
        <f>(VLOOKUP(YEAR($A77),'NY East Load Projections'!$A$4:$EO$14,((MONTH($A77)-1)*12)+VLOOKUP(BB$4,$DE$6:$DF$17,2)+1))*(VLOOKUP($A77,SatSunCurve,3))*(INDEX(DailyScalarsTable,BB$5/100,MONTH($A77)))*$C77</f>
        <v>-9757.7746934032239</v>
      </c>
      <c r="BC77" s="1021">
        <f>(VLOOKUP(YEAR($A77),'NY East Load Projections'!$A$4:$EO$14,((MONTH($A77)-1)*12)+VLOOKUP(BC$4,$DE$6:$DF$17,2)+1))*(VLOOKUP($A77,SatSunCurve,3))*(INDEX(DailyScalarsTable,BC$5/100,MONTH($A77)))*$C77</f>
        <v>-8050.3073659609672</v>
      </c>
      <c r="BD77" s="1021">
        <f>(VLOOKUP(YEAR($A77),'NY East Load Projections'!$A$4:$EO$14,((MONTH($A77)-1)*12)+VLOOKUP(BD$4,$DE$6:$DF$17,2)+1))*(VLOOKUP($A77,CURVES!$D$9:$T$261,7))*(INDEX(DailyScalarsTable,BD$5/100,MONTH($A77)))*$C77</f>
        <v>-9702.6511869735914</v>
      </c>
      <c r="BE77" s="1021"/>
      <c r="BF77" s="1021">
        <f>(VLOOKUP(YEAR($A77),'NY East Load Projections'!$A$4:$EO$14,((MONTH($A77)-1)*12)+VLOOKUP(BF$4,$DE$6:$DF$17,2)+1))*(VLOOKUP($A77,CURVES!$D$9:$T$261,7))*(INDEX(DailyScalarsTable,BF$5/100,MONTH($A77)))*$D77</f>
        <v>-8412.2729082401911</v>
      </c>
      <c r="BG77" s="1021">
        <f>(VLOOKUP(YEAR($A77),'NY East Load Projections'!$A$4:$EO$14,((MONTH($A77)-1)*12)+VLOOKUP(BG$4,$DE$6:$DF$17,2)+1))*(VLOOKUP($A77,CURVES!$D$9:$T$261,7))*(INDEX(DailyScalarsTable,BG$5/100,MONTH($A77)))*$D77</f>
        <v>-7975.1424279088278</v>
      </c>
      <c r="BH77" s="1021">
        <f>(VLOOKUP(YEAR($A77),'NY East Load Projections'!$A$4:$EO$14,((MONTH($A77)-1)*12)+VLOOKUP(BH$4,$DE$6:$DF$17,2)+1))*(VLOOKUP($A77,CURVES!$D$9:$T$261,7))*(INDEX(DailyScalarsTable,BH$5/100,MONTH($A77)))*$D77</f>
        <v>-7653.8560500255289</v>
      </c>
      <c r="BI77" s="1021">
        <f>(VLOOKUP(YEAR($A77),'NY East Load Projections'!$A$4:$EO$14,((MONTH($A77)-1)*12)+VLOOKUP(BI$4,$DE$6:$DF$17,2)+1))*(VLOOKUP($A77,CURVES!$D$9:$T$261,7))*(INDEX(DailyScalarsTable,BI$5/100,MONTH($A77)))*$D77</f>
        <v>-7658.3812102774064</v>
      </c>
      <c r="BJ77" s="1021">
        <f>(VLOOKUP(YEAR($A77),'NY East Load Projections'!$A$4:$EO$14,((MONTH($A77)-1)*12)+VLOOKUP(BJ$4,$DE$6:$DF$17,2)+1))*(VLOOKUP($A77,CURVES!$D$9:$T$261,7))*(INDEX(DailyScalarsTable,BJ$5/100,MONTH($A77)))*$D77</f>
        <v>-8389.3241440249258</v>
      </c>
      <c r="BK77" s="1021">
        <f>(VLOOKUP(YEAR($A77),'NY East Load Projections'!$A$4:$EO$14,((MONTH($A77)-1)*12)+VLOOKUP(BK$4,$DE$6:$DF$17,2)+1))*(VLOOKUP($A77,CURVES!$D$9:$T$261,7))*(INDEX(DailyScalarsTable,BK$5/100,MONTH($A77)))*$D77</f>
        <v>-9665.537932729876</v>
      </c>
      <c r="BL77" s="1021">
        <f>(VLOOKUP(YEAR($A77),'NY East Load Projections'!$A$4:$EO$14,((MONTH($A77)-1)*12)+VLOOKUP(BL$4,$DE$6:$DF$17,2)+1))*(VLOOKUP($A77,CURVES!$D$9:$T$261,7))*(INDEX(DailyScalarsTable,BL$5/100,MONTH($A77)))*$D77</f>
        <v>-13844.92986151273</v>
      </c>
      <c r="BM77" s="1021">
        <f>(VLOOKUP(YEAR($A77),'NY East Load Projections'!$A$4:$EO$14,((MONTH($A77)-1)*12)+VLOOKUP(BM$4,$DE$6:$DF$17,2)+1))*(VLOOKUP($A77,SatSunCurve,7))*(INDEX(DailyScalarsTable,BM$5/100,MONTH($A77)))*$D77</f>
        <v>-10807.262110324868</v>
      </c>
      <c r="BN77" s="1021">
        <f>(VLOOKUP(YEAR($A77),'NY East Load Projections'!$A$4:$EO$14,((MONTH($A77)-1)*12)+VLOOKUP(BN$4,$DE$6:$DF$17,2)+1))*(VLOOKUP($A77,SatSunCurve,7))*(INDEX(DailyScalarsTable,BN$5/100,MONTH($A77)))*$D77</f>
        <v>-12265.731706324765</v>
      </c>
      <c r="BO77" s="1021">
        <f>(VLOOKUP(YEAR($A77),'NY East Load Projections'!$A$4:$EO$14,((MONTH($A77)-1)*12)+VLOOKUP(BO$4,$DE$6:$DF$17,2)+1))*(VLOOKUP($A77,SatSunCurve,7))*(INDEX(DailyScalarsTable,BO$5/100,MONTH($A77)))*$D77</f>
        <v>-12203.549357925283</v>
      </c>
      <c r="BP77" s="1021">
        <f>(VLOOKUP(YEAR($A77),'NY East Load Projections'!$A$4:$EO$14,((MONTH($A77)-1)*12)+VLOOKUP(BP$4,$DE$6:$DF$17,2)+1))*(VLOOKUP($A77,SatSunCurve,7))*(INDEX(DailyScalarsTable,BP$5/100,MONTH($A77)))*$D77</f>
        <v>-11937.956954591908</v>
      </c>
      <c r="BQ77" s="1021">
        <f>(VLOOKUP(YEAR($A77),'NY East Load Projections'!$A$4:$EO$14,((MONTH($A77)-1)*12)+VLOOKUP(BQ$4,$DE$6:$DF$17,2)+1))*(VLOOKUP($A77,SatSunCurve,7))*(INDEX(DailyScalarsTable,BQ$5/100,MONTH($A77)))*$D77</f>
        <v>-9700.4463503190509</v>
      </c>
      <c r="BR77" s="1021">
        <f>(VLOOKUP(YEAR($A77),'NY East Load Projections'!$A$4:$EO$14,((MONTH($A77)-1)*12)+VLOOKUP(BR$4,$DE$6:$DF$17,2)+1))*(VLOOKUP($A77,SatSunCurve,7))*(INDEX(DailyScalarsTable,BR$5/100,MONTH($A77)))*$D77</f>
        <v>-9318.2725116620113</v>
      </c>
      <c r="BS77" s="1021">
        <f>(VLOOKUP(YEAR($A77),'NY East Load Projections'!$A$4:$EO$14,((MONTH($A77)-1)*12)+VLOOKUP(BS$4,$DE$6:$DF$17,2)+1))*(VLOOKUP($A77,SatSunCurve,7))*(INDEX(DailyScalarsTable,BS$5/100,MONTH($A77)))*$D77</f>
        <v>-8916.7421954091169</v>
      </c>
      <c r="BT77" s="1021">
        <f>(VLOOKUP(YEAR($A77),'NY East Load Projections'!$A$4:$EO$14,((MONTH($A77)-1)*12)+VLOOKUP(BT$4,$DE$6:$DF$17,2)+1))*(VLOOKUP($A77,SatSunCurve,7))*(INDEX(DailyScalarsTable,BT$5/100,MONTH($A77)))*$D77</f>
        <v>-8468.348924474185</v>
      </c>
      <c r="BU77" s="1021">
        <f>(VLOOKUP(YEAR($A77),'NY East Load Projections'!$A$4:$EO$14,((MONTH($A77)-1)*12)+VLOOKUP(BU$4,$DE$6:$DF$17,2)+1))*(VLOOKUP($A77,SatSunCurve,7))*(INDEX(DailyScalarsTable,BU$5/100,MONTH($A77)))*$D77</f>
        <v>-8321.3696575168924</v>
      </c>
      <c r="BV77" s="1021">
        <f>(VLOOKUP(YEAR($A77),'NY East Load Projections'!$A$4:$EO$14,((MONTH($A77)-1)*12)+VLOOKUP(BV$4,$DE$6:$DF$17,2)+1))*(VLOOKUP($A77,SatSunCurve,7))*(INDEX(DailyScalarsTable,BV$5/100,MONTH($A77)))*$D77</f>
        <v>-9029.1518923798812</v>
      </c>
      <c r="BW77" s="1021">
        <f>(VLOOKUP(YEAR($A77),'NY East Load Projections'!$A$4:$EO$14,((MONTH($A77)-1)*12)+VLOOKUP(BW$4,$DE$6:$DF$17,2)+1))*(VLOOKUP($A77,SatSunCurve,7))*(INDEX(DailyScalarsTable,BW$5/100,MONTH($A77)))*$D77</f>
        <v>-12725.183820936672</v>
      </c>
      <c r="BX77" s="1021">
        <f>(VLOOKUP(YEAR($A77),'NY East Load Projections'!$A$4:$EO$14,((MONTH($A77)-1)*12)+VLOOKUP(BX$4,$DE$6:$DF$17,2)+1))*(VLOOKUP($A77,SatSunCurve,7))*(INDEX(DailyScalarsTable,BX$5/100,MONTH($A77)))*$D77</f>
        <v>-12640.402046699164</v>
      </c>
      <c r="BY77" s="1021">
        <f>(VLOOKUP(YEAR($A77),'NY East Load Projections'!$A$4:$EO$14,((MONTH($A77)-1)*12)+VLOOKUP(BY$4,$DE$6:$DF$17,2)+1))*(VLOOKUP($A77,SatSunCurve,7))*(INDEX(DailyScalarsTable,BY$5/100,MONTH($A77)))*$D77</f>
        <v>-12205.125360676248</v>
      </c>
      <c r="BZ77" s="1021">
        <f>(VLOOKUP(YEAR($A77),'NY East Load Projections'!$A$4:$EO$14,((MONTH($A77)-1)*12)+VLOOKUP(BZ$4,$DE$6:$DF$17,2)+1))*(VLOOKUP($A77,SatSunCurve,7))*(INDEX(DailyScalarsTable,BZ$5/100,MONTH($A77)))*$D77</f>
        <v>-11455.743770881652</v>
      </c>
      <c r="CA77" s="1021">
        <f>(VLOOKUP(YEAR($A77),'NY East Load Projections'!$A$4:$EO$14,((MONTH($A77)-1)*12)+VLOOKUP(CA$4,$DE$6:$DF$17,2)+1))*(VLOOKUP($A77,SatSunCurve,7))*(INDEX(DailyScalarsTable,CA$5/100,MONTH($A77)))*$D77</f>
        <v>-8445.1285903744811</v>
      </c>
      <c r="CB77" s="1021">
        <f>(VLOOKUP(YEAR($A77),'NY East Load Projections'!$A$4:$EO$14,((MONTH($A77)-1)*12)+VLOOKUP(CB$4,$DE$6:$DF$17,2)+1))*(VLOOKUP($A77,SatSunCurve,7))*(INDEX(DailyScalarsTable,CB$5/100,MONTH($A77)))*$D77</f>
        <v>-6967.3550613482948</v>
      </c>
      <c r="CC77" s="1021">
        <f>(VLOOKUP(YEAR($A77),'NY East Load Projections'!$A$4:$EO$14,((MONTH($A77)-1)*12)+VLOOKUP(CC$4,$DE$6:$DF$17,2)+1))*(VLOOKUP($A77,CURVES!$D$9:$T$261,7))*(INDEX(DailyScalarsTable,CC$5/100,MONTH($A77)))*$D77</f>
        <v>-9702.6511869735914</v>
      </c>
      <c r="CE77" s="1021">
        <f>(VLOOKUP(YEAR($A77),'NY East Load Projections'!$A$4:$EO$14,((MONTH($A77)-1)*12)+VLOOKUP(CE$4,$DE$6:$DF$17,2)+1))*(VLOOKUP($A77,CURVES!$D$9:$T$261,7))*(INDEX(DailyScalarsTable,CE$5/100,MONTH($A77)))*$E77</f>
        <v>-1682.4545816480381</v>
      </c>
      <c r="CF77" s="1021">
        <f>(VLOOKUP(YEAR($A77),'NY East Load Projections'!$A$4:$EO$14,((MONTH($A77)-1)*12)+VLOOKUP(CF$4,$DE$6:$DF$17,2)+1))*(VLOOKUP($A77,CURVES!$D$9:$T$261,7))*(INDEX(DailyScalarsTable,CF$5/100,MONTH($A77)))*$E77</f>
        <v>-1595.0284855817656</v>
      </c>
      <c r="CG77" s="1021">
        <f>(VLOOKUP(YEAR($A77),'NY East Load Projections'!$A$4:$EO$14,((MONTH($A77)-1)*12)+VLOOKUP(CG$4,$DE$6:$DF$17,2)+1))*(VLOOKUP($A77,CURVES!$D$9:$T$261,7))*(INDEX(DailyScalarsTable,CG$5/100,MONTH($A77)))*$E77</f>
        <v>-1530.7712100051058</v>
      </c>
      <c r="CH77" s="1021">
        <f>(VLOOKUP(YEAR($A77),'NY East Load Projections'!$A$4:$EO$14,((MONTH($A77)-1)*12)+VLOOKUP(CH$4,$DE$6:$DF$17,2)+1))*(VLOOKUP($A77,CURVES!$D$9:$T$261,7))*(INDEX(DailyScalarsTable,CH$5/100,MONTH($A77)))*$E77</f>
        <v>-1531.6762420554812</v>
      </c>
      <c r="CI77" s="1021">
        <f>(VLOOKUP(YEAR($A77),'NY East Load Projections'!$A$4:$EO$14,((MONTH($A77)-1)*12)+VLOOKUP(CI$4,$DE$6:$DF$17,2)+1))*(VLOOKUP($A77,CURVES!$D$9:$T$261,7))*(INDEX(DailyScalarsTable,CI$5/100,MONTH($A77)))*$E77</f>
        <v>-1677.8648288049851</v>
      </c>
      <c r="CJ77" s="1021">
        <f>(VLOOKUP(YEAR($A77),'NY East Load Projections'!$A$4:$EO$14,((MONTH($A77)-1)*12)+VLOOKUP(CJ$4,$DE$6:$DF$17,2)+1))*(VLOOKUP($A77,CURVES!$D$9:$T$261,7))*(INDEX(DailyScalarsTable,CJ$5/100,MONTH($A77)))*$E77</f>
        <v>-1933.1075865459752</v>
      </c>
      <c r="CK77" s="1021">
        <f>(VLOOKUP(YEAR($A77),'NY East Load Projections'!$A$4:$EO$14,((MONTH($A77)-1)*12)+VLOOKUP(CK$4,$DE$6:$DF$17,2)+1))*(VLOOKUP($A77,CURVES!$D$9:$T$261,7))*(INDEX(DailyScalarsTable,CK$5/100,MONTH($A77)))*$E77</f>
        <v>-2768.9859723025461</v>
      </c>
      <c r="CL77" s="1021">
        <f>(VLOOKUP(YEAR($A77),'NY East Load Projections'!$A$4:$EO$14,((MONTH($A77)-1)*12)+VLOOKUP(CL$4,$DE$6:$DF$17,2)+1))*(VLOOKUP($A77,SatSunCurve,7))*(INDEX(DailyScalarsTable,CL$5/100,MONTH($A77)))*$E77</f>
        <v>-2161.4524220649737</v>
      </c>
      <c r="CM77" s="1021">
        <f>(VLOOKUP(YEAR($A77),'NY East Load Projections'!$A$4:$EO$14,((MONTH($A77)-1)*12)+VLOOKUP(CM$4,$DE$6:$DF$17,2)+1))*(VLOOKUP($A77,SatSunCurve,7))*(INDEX(DailyScalarsTable,CM$5/100,MONTH($A77)))*$E77</f>
        <v>-2453.1463412649528</v>
      </c>
      <c r="CN77" s="1021">
        <f>(VLOOKUP(YEAR($A77),'NY East Load Projections'!$A$4:$EO$14,((MONTH($A77)-1)*12)+VLOOKUP(CN$4,$DE$6:$DF$17,2)+1))*(VLOOKUP($A77,SatSunCurve,7))*(INDEX(DailyScalarsTable,CN$5/100,MONTH($A77)))*$E77</f>
        <v>-2440.7098715850566</v>
      </c>
      <c r="CO77" s="1021">
        <f>(VLOOKUP(YEAR($A77),'NY East Load Projections'!$A$4:$EO$14,((MONTH($A77)-1)*12)+VLOOKUP(CO$4,$DE$6:$DF$17,2)+1))*(VLOOKUP($A77,SatSunCurve,7))*(INDEX(DailyScalarsTable,CO$5/100,MONTH($A77)))*$E77</f>
        <v>-2387.5913909183814</v>
      </c>
      <c r="CP77" s="1021">
        <f>(VLOOKUP(YEAR($A77),'NY East Load Projections'!$A$4:$EO$14,((MONTH($A77)-1)*12)+VLOOKUP(CP$4,$DE$6:$DF$17,2)+1))*(VLOOKUP($A77,SatSunCurve,7))*(INDEX(DailyScalarsTable,CP$5/100,MONTH($A77)))*$E77</f>
        <v>-1940.0892700638103</v>
      </c>
      <c r="CQ77" s="1021">
        <f>(VLOOKUP(YEAR($A77),'NY East Load Projections'!$A$4:$EO$14,((MONTH($A77)-1)*12)+VLOOKUP(CQ$4,$DE$6:$DF$17,2)+1))*(VLOOKUP($A77,SatSunCurve,7))*(INDEX(DailyScalarsTable,CQ$5/100,MONTH($A77)))*$E77</f>
        <v>-1863.6545023324022</v>
      </c>
      <c r="CR77" s="1021">
        <f>(VLOOKUP(YEAR($A77),'NY East Load Projections'!$A$4:$EO$14,((MONTH($A77)-1)*12)+VLOOKUP(CR$4,$DE$6:$DF$17,2)+1))*(VLOOKUP($A77,SatSunCurve,7))*(INDEX(DailyScalarsTable,CR$5/100,MONTH($A77)))*$E77</f>
        <v>-1783.3484390818232</v>
      </c>
      <c r="CS77" s="1021">
        <f>(VLOOKUP(YEAR($A77),'NY East Load Projections'!$A$4:$EO$14,((MONTH($A77)-1)*12)+VLOOKUP(CS$4,$DE$6:$DF$17,2)+1))*(VLOOKUP($A77,SatSunCurve,7))*(INDEX(DailyScalarsTable,CS$5/100,MONTH($A77)))*$E77</f>
        <v>-1693.669784894837</v>
      </c>
      <c r="CT77" s="1021">
        <f>(VLOOKUP(YEAR($A77),'NY East Load Projections'!$A$4:$EO$14,((MONTH($A77)-1)*12)+VLOOKUP(CT$4,$DE$6:$DF$17,2)+1))*(VLOOKUP($A77,SatSunCurve,7))*(INDEX(DailyScalarsTable,CT$5/100,MONTH($A77)))*$E77</f>
        <v>-1664.2739315033784</v>
      </c>
      <c r="CU77" s="1021">
        <f>(VLOOKUP(YEAR($A77),'NY East Load Projections'!$A$4:$EO$14,((MONTH($A77)-1)*12)+VLOOKUP(CU$4,$DE$6:$DF$17,2)+1))*(VLOOKUP($A77,SatSunCurve,7))*(INDEX(DailyScalarsTable,CU$5/100,MONTH($A77)))*$E77</f>
        <v>-1805.8303784759762</v>
      </c>
      <c r="CV77" s="1021">
        <f>(VLOOKUP(YEAR($A77),'NY East Load Projections'!$A$4:$EO$14,((MONTH($A77)-1)*12)+VLOOKUP(CV$4,$DE$6:$DF$17,2)+1))*(VLOOKUP($A77,SatSunCurve,7))*(INDEX(DailyScalarsTable,CV$5/100,MONTH($A77)))*$E77</f>
        <v>-2545.0367641873345</v>
      </c>
      <c r="CW77" s="1021">
        <f>(VLOOKUP(YEAR($A77),'NY East Load Projections'!$A$4:$EO$14,((MONTH($A77)-1)*12)+VLOOKUP(CW$4,$DE$6:$DF$17,2)+1))*(VLOOKUP($A77,SatSunCurve,7))*(INDEX(DailyScalarsTable,CW$5/100,MONTH($A77)))*$E77</f>
        <v>-2528.0804093398328</v>
      </c>
      <c r="CX77" s="1021">
        <f>(VLOOKUP(YEAR($A77),'NY East Load Projections'!$A$4:$EO$14,((MONTH($A77)-1)*12)+VLOOKUP(CX$4,$DE$6:$DF$17,2)+1))*(VLOOKUP($A77,SatSunCurve,7))*(INDEX(DailyScalarsTable,CX$5/100,MONTH($A77)))*$E77</f>
        <v>-2441.0250721352495</v>
      </c>
      <c r="CY77" s="1021">
        <f>(VLOOKUP(YEAR($A77),'NY East Load Projections'!$A$4:$EO$14,((MONTH($A77)-1)*12)+VLOOKUP(CY$4,$DE$6:$DF$17,2)+1))*(VLOOKUP($A77,SatSunCurve,7))*(INDEX(DailyScalarsTable,CY$5/100,MONTH($A77)))*$E77</f>
        <v>-2291.1487541763304</v>
      </c>
      <c r="CZ77" s="1021">
        <f>(VLOOKUP(YEAR($A77),'NY East Load Projections'!$A$4:$EO$14,((MONTH($A77)-1)*12)+VLOOKUP(CZ$4,$DE$6:$DF$17,2)+1))*(VLOOKUP($A77,SatSunCurve,7))*(INDEX(DailyScalarsTable,CZ$5/100,MONTH($A77)))*$E77</f>
        <v>-1689.0257180748963</v>
      </c>
      <c r="DA77" s="1021">
        <f>(VLOOKUP(YEAR($A77),'NY East Load Projections'!$A$4:$EO$14,((MONTH($A77)-1)*12)+VLOOKUP(DA$4,$DE$6:$DF$17,2)+1))*(VLOOKUP($A77,SatSunCurve,7))*(INDEX(DailyScalarsTable,DA$5/100,MONTH($A77)))*$E77</f>
        <v>-1393.471012269659</v>
      </c>
      <c r="DB77" s="1021">
        <f>(VLOOKUP(YEAR($A77),'NY East Load Projections'!$A$4:$EO$14,((MONTH($A77)-1)*12)+VLOOKUP(DB$4,$DE$6:$DF$17,2)+1))*(VLOOKUP($A77,CURVES!$D$9:$T$261,7))*(INDEX(DailyScalarsTable,DB$5/100,MONTH($A77)))*$E77</f>
        <v>-1940.5302373947184</v>
      </c>
      <c r="DH77" s="1032">
        <f t="shared" si="2"/>
        <v>-1785115.1078182757</v>
      </c>
      <c r="DI77">
        <f ca="1">CALC!J97</f>
        <v>0.60797735907077</v>
      </c>
      <c r="DJ77" s="1029">
        <f t="shared" ca="1" si="3"/>
        <v>-1085309.568888688</v>
      </c>
    </row>
    <row r="78" spans="1:114" x14ac:dyDescent="0.25">
      <c r="A78" s="244">
        <v>39083</v>
      </c>
      <c r="B78" s="13">
        <v>22</v>
      </c>
      <c r="C78" s="210">
        <v>4</v>
      </c>
      <c r="D78" s="210">
        <v>4</v>
      </c>
      <c r="E78" s="210">
        <v>1</v>
      </c>
      <c r="F78" s="13">
        <v>31</v>
      </c>
      <c r="H78" s="1021">
        <f>(VLOOKUP(YEAR($A78),'NY East Load Projections'!$A$4:$EO$14,((MONTH($A78)-1)*12)+VLOOKUP(H$4,$DE$6:$DF$17,2)+1))*(VLOOKUP($A78,CURVES!$D$9:$K$261,7))*(INDEX(DailyScalarsTable,H$5/100,MONTH($A78)))*$B78</f>
        <v>-33511.10749877357</v>
      </c>
      <c r="I78" s="1021">
        <f>(VLOOKUP(YEAR($A78),'NY East Load Projections'!$A$4:$EO$14,((MONTH($A78)-1)*12)+VLOOKUP(I$4,$DE$6:$DF$17,2)+1))*(VLOOKUP($A78,CURVES!$D$9:$K$261,7))*(INDEX(DailyScalarsTable,I$5/100,MONTH($A78)))*$B78</f>
        <v>-32858.21776218219</v>
      </c>
      <c r="J78" s="1021">
        <f>(VLOOKUP(YEAR($A78),'NY East Load Projections'!$A$4:$EO$14,((MONTH($A78)-1)*12)+VLOOKUP(J$4,$DE$6:$DF$17,2)+1))*(VLOOKUP($A78,CURVES!$D$9:$K$261,7))*(INDEX(DailyScalarsTable,J$5/100,MONTH($A78)))*$B78</f>
        <v>-30109.64666032774</v>
      </c>
      <c r="K78" s="1021">
        <f>(VLOOKUP(YEAR($A78),'NY East Load Projections'!$A$4:$EO$14,((MONTH($A78)-1)*12)+VLOOKUP(K$4,$DE$6:$DF$17,2)+1))*(VLOOKUP($A78,CURVES!$D$9:$K$261,7))*(INDEX(DailyScalarsTable,K$5/100,MONTH($A78)))*$B78</f>
        <v>-30091.441901205577</v>
      </c>
      <c r="L78" s="1021">
        <f>(VLOOKUP(YEAR($A78),'NY East Load Projections'!$A$4:$EO$14,((MONTH($A78)-1)*12)+VLOOKUP(L$4,$DE$6:$DF$17,2)+1))*(VLOOKUP($A78,CURVES!$D$9:$K$261,7))*(INDEX(DailyScalarsTable,L$5/100,MONTH($A78)))*$B78</f>
        <v>-34121.020751732918</v>
      </c>
      <c r="M78" s="1021">
        <f>(VLOOKUP(YEAR($A78),'NY East Load Projections'!$A$4:$EO$14,((MONTH($A78)-1)*12)+VLOOKUP(M$4,$DE$6:$DF$17,2)+1))*(VLOOKUP($A78,CURVES!$D$9:$K$261,7))*(INDEX(DailyScalarsTable,M$5/100,MONTH($A78)))*$B78</f>
        <v>-36414.566033213843</v>
      </c>
      <c r="N78" s="1021">
        <f>(VLOOKUP(YEAR($A78),'NY East Load Projections'!$A$4:$EO$14,((MONTH($A78)-1)*12)+VLOOKUP(N$4,$DE$6:$DF$17,2)+1))*(VLOOKUP($A78,CURVES!$D$9:$K$261,7))*(INDEX(DailyScalarsTable,N$5/100,MONTH($A78)))*$B78</f>
        <v>-69733.450561722319</v>
      </c>
      <c r="O78" s="1021">
        <f>(VLOOKUP(YEAR($A78),'NY East Load Projections'!$A$4:$EO$14,((MONTH($A78)-1)*12)+VLOOKUP(O$4,$DE$6:$DF$17,2)+1))*(VLOOKUP($A78,CURVES!$D$9:$K$261,3))*(INDEX(DailyScalarsTable,O$5/100,MONTH($A78)))*$B78</f>
        <v>-82091.079455695901</v>
      </c>
      <c r="P78" s="1021">
        <f>(VLOOKUP(YEAR($A78),'NY East Load Projections'!$A$4:$EO$14,((MONTH($A78)-1)*12)+VLOOKUP(P$4,$DE$6:$DF$17,2)+1))*(VLOOKUP($A78,CURVES!$D$9:$K$261,3))*(INDEX(DailyScalarsTable,P$5/100,MONTH($A78)))*$B78</f>
        <v>-90689.989170511079</v>
      </c>
      <c r="Q78" s="1021">
        <f>(VLOOKUP(YEAR($A78),'NY East Load Projections'!$A$4:$EO$14,((MONTH($A78)-1)*12)+VLOOKUP(Q$4,$DE$6:$DF$17,2)+1))*(VLOOKUP($A78,CURVES!$D$9:$K$261,3))*(INDEX(DailyScalarsTable,Q$5/100,MONTH($A78)))*$B78</f>
        <v>-90413.965271041146</v>
      </c>
      <c r="R78" s="1021">
        <f>(VLOOKUP(YEAR($A78),'NY East Load Projections'!$A$4:$EO$14,((MONTH($A78)-1)*12)+VLOOKUP(R$4,$DE$6:$DF$17,2)+1))*(VLOOKUP($A78,CURVES!$D$9:$K$261,3))*(INDEX(DailyScalarsTable,R$5/100,MONTH($A78)))*$B78</f>
        <v>-88836.122989613839</v>
      </c>
      <c r="S78" s="1021">
        <f>(VLOOKUP(YEAR($A78),'NY East Load Projections'!$A$4:$EO$14,((MONTH($A78)-1)*12)+VLOOKUP(S$4,$DE$6:$DF$17,2)+1))*(VLOOKUP($A78,CURVES!$D$9:$K$261,3))*(INDEX(DailyScalarsTable,S$5/100,MONTH($A78)))*$B78</f>
        <v>-66546.661195163993</v>
      </c>
      <c r="T78" s="1021">
        <f>(VLOOKUP(YEAR($A78),'NY East Load Projections'!$A$4:$EO$14,((MONTH($A78)-1)*12)+VLOOKUP(T$4,$DE$6:$DF$17,2)+1))*(VLOOKUP($A78,CURVES!$D$9:$K$261,3))*(INDEX(DailyScalarsTable,T$5/100,MONTH($A78)))*$B78</f>
        <v>-65338.519717871255</v>
      </c>
      <c r="U78" s="1021">
        <f>(VLOOKUP(YEAR($A78),'NY East Load Projections'!$A$4:$EO$14,((MONTH($A78)-1)*12)+VLOOKUP(U$4,$DE$6:$DF$17,2)+1))*(VLOOKUP($A78,CURVES!$D$9:$K$261,3))*(INDEX(DailyScalarsTable,U$5/100,MONTH($A78)))*$B78</f>
        <v>-63228.852960485616</v>
      </c>
      <c r="V78" s="1021">
        <f>(VLOOKUP(YEAR($A78),'NY East Load Projections'!$A$4:$EO$14,((MONTH($A78)-1)*12)+VLOOKUP(V$4,$DE$6:$DF$17,2)+1))*(VLOOKUP($A78,CURVES!$D$9:$K$261,3))*(INDEX(DailyScalarsTable,V$5/100,MONTH($A78)))*$B78</f>
        <v>-60010.846783458961</v>
      </c>
      <c r="W78" s="1021">
        <f>(VLOOKUP(YEAR($A78),'NY East Load Projections'!$A$4:$EO$14,((MONTH($A78)-1)*12)+VLOOKUP(W$4,$DE$6:$DF$17,2)+1))*(VLOOKUP($A78,CURVES!$D$9:$K$261,3))*(INDEX(DailyScalarsTable,W$5/100,MONTH($A78)))*$B78</f>
        <v>-58803.13900205704</v>
      </c>
      <c r="X78" s="1021">
        <f>(VLOOKUP(YEAR($A78),'NY East Load Projections'!$A$4:$EO$14,((MONTH($A78)-1)*12)+VLOOKUP(X$4,$DE$6:$DF$17,2)+1))*(VLOOKUP($A78,CURVES!$D$9:$K$261,3))*(INDEX(DailyScalarsTable,X$5/100,MONTH($A78)))*$B78</f>
        <v>-61393.805882107066</v>
      </c>
      <c r="Y78" s="1021">
        <f>(VLOOKUP(YEAR($A78),'NY East Load Projections'!$A$4:$EO$14,((MONTH($A78)-1)*12)+VLOOKUP(Y$4,$DE$6:$DF$17,2)+1))*(VLOOKUP($A78,CURVES!$D$9:$K$261,3))*(INDEX(DailyScalarsTable,Y$5/100,MONTH($A78)))*$B78</f>
        <v>-85426.813669810581</v>
      </c>
      <c r="Z78" s="1021">
        <f>(VLOOKUP(YEAR($A78),'NY East Load Projections'!$A$4:$EO$14,((MONTH($A78)-1)*12)+VLOOKUP(Z$4,$DE$6:$DF$17,2)+1))*(VLOOKUP($A78,CURVES!$D$9:$K$261,3))*(INDEX(DailyScalarsTable,Z$5/100,MONTH($A78)))*$B78</f>
        <v>-93735.912842044636</v>
      </c>
      <c r="AA78" s="1021">
        <f>(VLOOKUP(YEAR($A78),'NY East Load Projections'!$A$4:$EO$14,((MONTH($A78)-1)*12)+VLOOKUP(AA$4,$DE$6:$DF$17,2)+1))*(VLOOKUP($A78,CURVES!$D$9:$K$261,3))*(INDEX(DailyScalarsTable,AA$5/100,MONTH($A78)))*$B78</f>
        <v>-89721.533846290346</v>
      </c>
      <c r="AB78" s="1021">
        <f>(VLOOKUP(YEAR($A78),'NY East Load Projections'!$A$4:$EO$14,((MONTH($A78)-1)*12)+VLOOKUP(AB$4,$DE$6:$DF$17,2)+1))*(VLOOKUP($A78,CURVES!$D$9:$K$261,3))*(INDEX(DailyScalarsTable,AB$5/100,MONTH($A78)))*$B78</f>
        <v>-77956.593165447324</v>
      </c>
      <c r="AC78" s="1021">
        <f>(VLOOKUP(YEAR($A78),'NY East Load Projections'!$A$4:$EO$14,((MONTH($A78)-1)*12)+VLOOKUP(AC$4,$DE$6:$DF$17,2)+1))*(VLOOKUP($A78,CURVES!$D$9:$K$261,3))*(INDEX(DailyScalarsTable,AC$5/100,MONTH($A78)))*$B78</f>
        <v>-55444.534609247232</v>
      </c>
      <c r="AD78" s="1021">
        <f>(VLOOKUP(YEAR($A78),'NY East Load Projections'!$A$4:$EO$14,((MONTH($A78)-1)*12)+VLOOKUP(AD$4,$DE$6:$DF$17,2)+1))*(VLOOKUP($A78,CURVES!$D$9:$K$261,3))*(INDEX(DailyScalarsTable,AD$5/100,MONTH($A78)))*$B78</f>
        <v>-45388.252616821381</v>
      </c>
      <c r="AE78" s="1021">
        <f>(VLOOKUP(YEAR($A78),'NY East Load Projections'!$A$4:$EO$14,((MONTH($A78)-1)*12)+VLOOKUP(AE$4,$DE$6:$DF$17,2)+1))*(VLOOKUP($A78,CURVES!$D$9:$K$261,7))*(INDEX(DailyScalarsTable,AE$5/100,MONTH($A78)))*$B78</f>
        <v>-39683.275757020703</v>
      </c>
      <c r="AF78" s="1021"/>
      <c r="AG78" s="1021">
        <f>(VLOOKUP(YEAR($A78),'NY East Load Projections'!$A$4:$EO$14,((MONTH($A78)-1)*12)+VLOOKUP(AG$4,$DE$6:$DF$17,2)+1))*(VLOOKUP($A78,CURVES!$D$9:$T$261,7))*(INDEX(DailyScalarsTable,AG$5/100,MONTH($A78)))*$C78</f>
        <v>-6489.8918231498428</v>
      </c>
      <c r="AH78" s="1021">
        <f>(VLOOKUP(YEAR($A78),'NY East Load Projections'!$A$4:$EO$14,((MONTH($A78)-1)*12)+VLOOKUP(AH$4,$DE$6:$DF$17,2)+1))*(VLOOKUP($A78,CURVES!$D$9:$T$261,7))*(INDEX(DailyScalarsTable,AH$5/100,MONTH($A78)))*$C78</f>
        <v>-6363.4506494859188</v>
      </c>
      <c r="AI78" s="1021">
        <f>(VLOOKUP(YEAR($A78),'NY East Load Projections'!$A$4:$EO$14,((MONTH($A78)-1)*12)+VLOOKUP(AI$4,$DE$6:$DF$17,2)+1))*(VLOOKUP($A78,CURVES!$D$9:$T$261,7))*(INDEX(DailyScalarsTable,AI$5/100,MONTH($A78)))*$C78</f>
        <v>-5831.1516462397867</v>
      </c>
      <c r="AJ78" s="1021">
        <f>(VLOOKUP(YEAR($A78),'NY East Load Projections'!$A$4:$EO$14,((MONTH($A78)-1)*12)+VLOOKUP(AJ$4,$DE$6:$DF$17,2)+1))*(VLOOKUP($A78,CURVES!$D$9:$T$261,7))*(INDEX(DailyScalarsTable,AJ$5/100,MONTH($A78)))*$C78</f>
        <v>-5827.6260415615861</v>
      </c>
      <c r="AK78" s="1021">
        <f>(VLOOKUP(YEAR($A78),'NY East Load Projections'!$A$4:$EO$14,((MONTH($A78)-1)*12)+VLOOKUP(AK$4,$DE$6:$DF$17,2)+1))*(VLOOKUP($A78,CURVES!$D$9:$T$261,7))*(INDEX(DailyScalarsTable,AK$5/100,MONTH($A78)))*$C78</f>
        <v>-6132.9244174493197</v>
      </c>
      <c r="AL78" s="1021">
        <f>(VLOOKUP(YEAR($A78),'NY East Load Projections'!$A$4:$EO$14,((MONTH($A78)-1)*12)+VLOOKUP(AL$4,$DE$6:$DF$17,2)+1))*(VLOOKUP($A78,CURVES!$D$9:$T$261,7))*(INDEX(DailyScalarsTable,AL$5/100,MONTH($A78)))*$C78</f>
        <v>-6545.1670628750326</v>
      </c>
      <c r="AM78" s="1021">
        <f>(VLOOKUP(YEAR($A78),'NY East Load Projections'!$A$4:$EO$14,((MONTH($A78)-1)*12)+VLOOKUP(AM$4,$DE$6:$DF$17,2)+1))*(VLOOKUP($A78,CURVES!$D$9:$T$261,7))*(INDEX(DailyScalarsTable,AM$5/100,MONTH($A78)))*$C78</f>
        <v>-12533.915229990931</v>
      </c>
      <c r="AN78" s="1021">
        <f>(VLOOKUP(YEAR($A78),'NY East Load Projections'!$A$4:$EO$14,((MONTH($A78)-1)*12)+VLOOKUP(AN$4,$DE$6:$DF$17,2)+1))*(VLOOKUP($A78,SatSunCurve,3))*(INDEX(DailyScalarsTable,AN$5/100,MONTH($A78)))*$C78</f>
        <v>-11759.638420270952</v>
      </c>
      <c r="AO78" s="1021">
        <f>(VLOOKUP(YEAR($A78),'NY East Load Projections'!$A$4:$EO$14,((MONTH($A78)-1)*12)+VLOOKUP(AO$4,$DE$6:$DF$17,2)+1))*(VLOOKUP($A78,SatSunCurve,3))*(INDEX(DailyScalarsTable,AO$5/100,MONTH($A78)))*$C78</f>
        <v>-13229.194220990499</v>
      </c>
      <c r="AP78" s="1021">
        <f>(VLOOKUP(YEAR($A78),'NY East Load Projections'!$A$4:$EO$14,((MONTH($A78)-1)*12)+VLOOKUP(AP$4,$DE$6:$DF$17,2)+1))*(VLOOKUP($A78,SatSunCurve,3))*(INDEX(DailyScalarsTable,AP$5/100,MONTH($A78)))*$C78</f>
        <v>-13188.929867569337</v>
      </c>
      <c r="AQ78" s="1021">
        <f>(VLOOKUP(YEAR($A78),'NY East Load Projections'!$A$4:$EO$14,((MONTH($A78)-1)*12)+VLOOKUP(AQ$4,$DE$6:$DF$17,2)+1))*(VLOOKUP($A78,SatSunCurve,3))*(INDEX(DailyScalarsTable,AQ$5/100,MONTH($A78)))*$C78</f>
        <v>-12958.765742708243</v>
      </c>
      <c r="AR78" s="1021">
        <f>(VLOOKUP(YEAR($A78),'NY East Load Projections'!$A$4:$EO$14,((MONTH($A78)-1)*12)+VLOOKUP(AR$4,$DE$6:$DF$17,2)+1))*(VLOOKUP($A78,SatSunCurve,3))*(INDEX(DailyScalarsTable,AR$5/100,MONTH($A78)))*$C78</f>
        <v>-9707.3416124691212</v>
      </c>
      <c r="AS78" s="1021">
        <f>(VLOOKUP(YEAR($A78),'NY East Load Projections'!$A$4:$EO$14,((MONTH($A78)-1)*12)+VLOOKUP(AS$4,$DE$6:$DF$17,2)+1))*(VLOOKUP($A78,SatSunCurve,3))*(INDEX(DailyScalarsTable,AS$5/100,MONTH($A78)))*$C78</f>
        <v>-9421.4073936988352</v>
      </c>
      <c r="AT78" s="1021">
        <f>(VLOOKUP(YEAR($A78),'NY East Load Projections'!$A$4:$EO$14,((MONTH($A78)-1)*12)+VLOOKUP(AT$4,$DE$6:$DF$17,2)+1))*(VLOOKUP($A78,SatSunCurve,3))*(INDEX(DailyScalarsTable,AT$5/100,MONTH($A78)))*$C78</f>
        <v>-9117.2065934343445</v>
      </c>
      <c r="AU78" s="1021">
        <f>(VLOOKUP(YEAR($A78),'NY East Load Projections'!$A$4:$EO$14,((MONTH($A78)-1)*12)+VLOOKUP(AU$4,$DE$6:$DF$17,2)+1))*(VLOOKUP($A78,SatSunCurve,3))*(INDEX(DailyScalarsTable,AU$5/100,MONTH($A78)))*$C78</f>
        <v>-8653.1901553497391</v>
      </c>
      <c r="AV78" s="1021">
        <f>(VLOOKUP(YEAR($A78),'NY East Load Projections'!$A$4:$EO$14,((MONTH($A78)-1)*12)+VLOOKUP(AV$4,$DE$6:$DF$17,2)+1))*(VLOOKUP($A78,SatSunCurve,3))*(INDEX(DailyScalarsTable,AV$5/100,MONTH($A78)))*$C78</f>
        <v>-8479.0462189664413</v>
      </c>
      <c r="AW78" s="1021">
        <f>(VLOOKUP(YEAR($A78),'NY East Load Projections'!$A$4:$EO$14,((MONTH($A78)-1)*12)+VLOOKUP(AW$4,$DE$6:$DF$17,2)+1))*(VLOOKUP($A78,SatSunCurve,3))*(INDEX(DailyScalarsTable,AW$5/100,MONTH($A78)))*$C78</f>
        <v>-8799.8665361612311</v>
      </c>
      <c r="AX78" s="1021">
        <f>(VLOOKUP(YEAR($A78),'NY East Load Projections'!$A$4:$EO$14,((MONTH($A78)-1)*12)+VLOOKUP(AX$4,$DE$6:$DF$17,2)+1))*(VLOOKUP($A78,SatSunCurve,3))*(INDEX(DailyScalarsTable,AX$5/100,MONTH($A78)))*$C78</f>
        <v>-12244.631980421649</v>
      </c>
      <c r="AY78" s="1021">
        <f>(VLOOKUP(YEAR($A78),'NY East Load Projections'!$A$4:$EO$14,((MONTH($A78)-1)*12)+VLOOKUP(AY$4,$DE$6:$DF$17,2)+1))*(VLOOKUP($A78,SatSunCurve,3))*(INDEX(DailyScalarsTable,AY$5/100,MONTH($A78)))*$C78</f>
        <v>-13435.614730241654</v>
      </c>
      <c r="AZ78" s="1021">
        <f>(VLOOKUP(YEAR($A78),'NY East Load Projections'!$A$4:$EO$14,((MONTH($A78)-1)*12)+VLOOKUP(AZ$4,$DE$6:$DF$17,2)+1))*(VLOOKUP($A78,SatSunCurve,3))*(INDEX(DailyScalarsTable,AZ$5/100,MONTH($A78)))*$C78</f>
        <v>-12860.214673499084</v>
      </c>
      <c r="BA78" s="1021">
        <f>(VLOOKUP(YEAR($A78),'NY East Load Projections'!$A$4:$EO$14,((MONTH($A78)-1)*12)+VLOOKUP(BA$4,$DE$6:$DF$17,2)+1))*(VLOOKUP($A78,SatSunCurve,3))*(INDEX(DailyScalarsTable,BA$5/100,MONTH($A78)))*$C78</f>
        <v>-11667.39744401508</v>
      </c>
      <c r="BB78" s="1021">
        <f>(VLOOKUP(YEAR($A78),'NY East Load Projections'!$A$4:$EO$14,((MONTH($A78)-1)*12)+VLOOKUP(BB$4,$DE$6:$DF$17,2)+1))*(VLOOKUP($A78,SatSunCurve,3))*(INDEX(DailyScalarsTable,BB$5/100,MONTH($A78)))*$C78</f>
        <v>-8298.123290375639</v>
      </c>
      <c r="BC78" s="1021">
        <f>(VLOOKUP(YEAR($A78),'NY East Load Projections'!$A$4:$EO$14,((MONTH($A78)-1)*12)+VLOOKUP(BC$4,$DE$6:$DF$17,2)+1))*(VLOOKUP($A78,SatSunCurve,3))*(INDEX(DailyScalarsTable,BC$5/100,MONTH($A78)))*$C78</f>
        <v>-6793.046759315419</v>
      </c>
      <c r="BD78" s="1021">
        <f>(VLOOKUP(YEAR($A78),'NY East Load Projections'!$A$4:$EO$14,((MONTH($A78)-1)*12)+VLOOKUP(BD$4,$DE$6:$DF$17,2)+1))*(VLOOKUP($A78,CURVES!$D$9:$T$261,7))*(INDEX(DailyScalarsTable,BD$5/100,MONTH($A78)))*$C78</f>
        <v>-7452.0584247362385</v>
      </c>
      <c r="BE78" s="1021"/>
      <c r="BF78" s="1021">
        <f>(VLOOKUP(YEAR($A78),'NY East Load Projections'!$A$4:$EO$14,((MONTH($A78)-1)*12)+VLOOKUP(BF$4,$DE$6:$DF$17,2)+1))*(VLOOKUP($A78,CURVES!$D$9:$T$261,7))*(INDEX(DailyScalarsTable,BF$5/100,MONTH($A78)))*$D78</f>
        <v>-6489.8918231498428</v>
      </c>
      <c r="BG78" s="1021">
        <f>(VLOOKUP(YEAR($A78),'NY East Load Projections'!$A$4:$EO$14,((MONTH($A78)-1)*12)+VLOOKUP(BG$4,$DE$6:$DF$17,2)+1))*(VLOOKUP($A78,CURVES!$D$9:$T$261,7))*(INDEX(DailyScalarsTable,BG$5/100,MONTH($A78)))*$D78</f>
        <v>-6363.4506494859188</v>
      </c>
      <c r="BH78" s="1021">
        <f>(VLOOKUP(YEAR($A78),'NY East Load Projections'!$A$4:$EO$14,((MONTH($A78)-1)*12)+VLOOKUP(BH$4,$DE$6:$DF$17,2)+1))*(VLOOKUP($A78,CURVES!$D$9:$T$261,7))*(INDEX(DailyScalarsTable,BH$5/100,MONTH($A78)))*$D78</f>
        <v>-5831.1516462397867</v>
      </c>
      <c r="BI78" s="1021">
        <f>(VLOOKUP(YEAR($A78),'NY East Load Projections'!$A$4:$EO$14,((MONTH($A78)-1)*12)+VLOOKUP(BI$4,$DE$6:$DF$17,2)+1))*(VLOOKUP($A78,CURVES!$D$9:$T$261,7))*(INDEX(DailyScalarsTable,BI$5/100,MONTH($A78)))*$D78</f>
        <v>-5827.6260415615861</v>
      </c>
      <c r="BJ78" s="1021">
        <f>(VLOOKUP(YEAR($A78),'NY East Load Projections'!$A$4:$EO$14,((MONTH($A78)-1)*12)+VLOOKUP(BJ$4,$DE$6:$DF$17,2)+1))*(VLOOKUP($A78,CURVES!$D$9:$T$261,7))*(INDEX(DailyScalarsTable,BJ$5/100,MONTH($A78)))*$D78</f>
        <v>-6132.9244174493197</v>
      </c>
      <c r="BK78" s="1021">
        <f>(VLOOKUP(YEAR($A78),'NY East Load Projections'!$A$4:$EO$14,((MONTH($A78)-1)*12)+VLOOKUP(BK$4,$DE$6:$DF$17,2)+1))*(VLOOKUP($A78,CURVES!$D$9:$T$261,7))*(INDEX(DailyScalarsTable,BK$5/100,MONTH($A78)))*$D78</f>
        <v>-6545.1670628750326</v>
      </c>
      <c r="BL78" s="1021">
        <f>(VLOOKUP(YEAR($A78),'NY East Load Projections'!$A$4:$EO$14,((MONTH($A78)-1)*12)+VLOOKUP(BL$4,$DE$6:$DF$17,2)+1))*(VLOOKUP($A78,CURVES!$D$9:$T$261,7))*(INDEX(DailyScalarsTable,BL$5/100,MONTH($A78)))*$D78</f>
        <v>-12533.915229990931</v>
      </c>
      <c r="BM78" s="1021">
        <f>(VLOOKUP(YEAR($A78),'NY East Load Projections'!$A$4:$EO$14,((MONTH($A78)-1)*12)+VLOOKUP(BM$4,$DE$6:$DF$17,2)+1))*(VLOOKUP($A78,SatSunCurve,7))*(INDEX(DailyScalarsTable,BM$5/100,MONTH($A78)))*$D78</f>
        <v>-11162.148235446921</v>
      </c>
      <c r="BN78" s="1021">
        <f>(VLOOKUP(YEAR($A78),'NY East Load Projections'!$A$4:$EO$14,((MONTH($A78)-1)*12)+VLOOKUP(BN$4,$DE$6:$DF$17,2)+1))*(VLOOKUP($A78,SatSunCurve,7))*(INDEX(DailyScalarsTable,BN$5/100,MONTH($A78)))*$D78</f>
        <v>-12557.038035767375</v>
      </c>
      <c r="BO78" s="1021">
        <f>(VLOOKUP(YEAR($A78),'NY East Load Projections'!$A$4:$EO$14,((MONTH($A78)-1)*12)+VLOOKUP(BO$4,$DE$6:$DF$17,2)+1))*(VLOOKUP($A78,SatSunCurve,7))*(INDEX(DailyScalarsTable,BO$5/100,MONTH($A78)))*$D78</f>
        <v>-12518.819455788189</v>
      </c>
      <c r="BP78" s="1021">
        <f>(VLOOKUP(YEAR($A78),'NY East Load Projections'!$A$4:$EO$14,((MONTH($A78)-1)*12)+VLOOKUP(BP$4,$DE$6:$DF$17,2)+1))*(VLOOKUP($A78,SatSunCurve,7))*(INDEX(DailyScalarsTable,BP$5/100,MONTH($A78)))*$D78</f>
        <v>-12300.34963653313</v>
      </c>
      <c r="BQ78" s="1021">
        <f>(VLOOKUP(YEAR($A78),'NY East Load Projections'!$A$4:$EO$14,((MONTH($A78)-1)*12)+VLOOKUP(BQ$4,$DE$6:$DF$17,2)+1))*(VLOOKUP($A78,SatSunCurve,7))*(INDEX(DailyScalarsTable,BQ$5/100,MONTH($A78)))*$D78</f>
        <v>-9214.1256540442246</v>
      </c>
      <c r="BR78" s="1021">
        <f>(VLOOKUP(YEAR($A78),'NY East Load Projections'!$A$4:$EO$14,((MONTH($A78)-1)*12)+VLOOKUP(BR$4,$DE$6:$DF$17,2)+1))*(VLOOKUP($A78,SatSunCurve,7))*(INDEX(DailyScalarsTable,BR$5/100,MONTH($A78)))*$D78</f>
        <v>-8942.7193385235878</v>
      </c>
      <c r="BS78" s="1021">
        <f>(VLOOKUP(YEAR($A78),'NY East Load Projections'!$A$4:$EO$14,((MONTH($A78)-1)*12)+VLOOKUP(BS$4,$DE$6:$DF$17,2)+1))*(VLOOKUP($A78,SatSunCurve,7))*(INDEX(DailyScalarsTable,BS$5/100,MONTH($A78)))*$D78</f>
        <v>-8653.97454004061</v>
      </c>
      <c r="BT78" s="1021">
        <f>(VLOOKUP(YEAR($A78),'NY East Load Projections'!$A$4:$EO$14,((MONTH($A78)-1)*12)+VLOOKUP(BT$4,$DE$6:$DF$17,2)+1))*(VLOOKUP($A78,SatSunCurve,7))*(INDEX(DailyScalarsTable,BT$5/100,MONTH($A78)))*$D78</f>
        <v>-8213.5341046734557</v>
      </c>
      <c r="BU78" s="1021">
        <f>(VLOOKUP(YEAR($A78),'NY East Load Projections'!$A$4:$EO$14,((MONTH($A78)-1)*12)+VLOOKUP(BU$4,$DE$6:$DF$17,2)+1))*(VLOOKUP($A78,SatSunCurve,7))*(INDEX(DailyScalarsTable,BU$5/100,MONTH($A78)))*$D78</f>
        <v>-8048.2381693100097</v>
      </c>
      <c r="BV78" s="1021">
        <f>(VLOOKUP(YEAR($A78),'NY East Load Projections'!$A$4:$EO$14,((MONTH($A78)-1)*12)+VLOOKUP(BV$4,$DE$6:$DF$17,2)+1))*(VLOOKUP($A78,SatSunCurve,7))*(INDEX(DailyScalarsTable,BV$5/100,MONTH($A78)))*$D78</f>
        <v>-8352.758071154818</v>
      </c>
      <c r="BW78" s="1021">
        <f>(VLOOKUP(YEAR($A78),'NY East Load Projections'!$A$4:$EO$14,((MONTH($A78)-1)*12)+VLOOKUP(BW$4,$DE$6:$DF$17,2)+1))*(VLOOKUP($A78,SatSunCurve,7))*(INDEX(DailyScalarsTable,BW$5/100,MONTH($A78)))*$D78</f>
        <v>-11622.499975710249</v>
      </c>
      <c r="BX78" s="1021">
        <f>(VLOOKUP(YEAR($A78),'NY East Load Projections'!$A$4:$EO$14,((MONTH($A78)-1)*12)+VLOOKUP(BX$4,$DE$6:$DF$17,2)+1))*(VLOOKUP($A78,SatSunCurve,7))*(INDEX(DailyScalarsTable,BX$5/100,MONTH($A78)))*$D78</f>
        <v>-12752.970618109879</v>
      </c>
      <c r="BY78" s="1021">
        <f>(VLOOKUP(YEAR($A78),'NY East Load Projections'!$A$4:$EO$14,((MONTH($A78)-1)*12)+VLOOKUP(BY$4,$DE$6:$DF$17,2)+1))*(VLOOKUP($A78,SatSunCurve,7))*(INDEX(DailyScalarsTable,BY$5/100,MONTH($A78)))*$D78</f>
        <v>-12206.805804319871</v>
      </c>
      <c r="BZ78" s="1021">
        <f>(VLOOKUP(YEAR($A78),'NY East Load Projections'!$A$4:$EO$14,((MONTH($A78)-1)*12)+VLOOKUP(BZ$4,$DE$6:$DF$17,2)+1))*(VLOOKUP($A78,SatSunCurve,7))*(INDEX(DailyScalarsTable,BZ$5/100,MONTH($A78)))*$D78</f>
        <v>-11074.593889509244</v>
      </c>
      <c r="CA78" s="1021">
        <f>(VLOOKUP(YEAR($A78),'NY East Load Projections'!$A$4:$EO$14,((MONTH($A78)-1)*12)+VLOOKUP(CA$4,$DE$6:$DF$17,2)+1))*(VLOOKUP($A78,SatSunCurve,7))*(INDEX(DailyScalarsTable,CA$5/100,MONTH($A78)))*$D78</f>
        <v>-7876.5076725082909</v>
      </c>
      <c r="CB78" s="1021">
        <f>(VLOOKUP(YEAR($A78),'NY East Load Projections'!$A$4:$EO$14,((MONTH($A78)-1)*12)+VLOOKUP(CB$4,$DE$6:$DF$17,2)+1))*(VLOOKUP($A78,SatSunCurve,7))*(INDEX(DailyScalarsTable,CB$5/100,MONTH($A78)))*$D78</f>
        <v>-6447.9018986753808</v>
      </c>
      <c r="CC78" s="1021">
        <f>(VLOOKUP(YEAR($A78),'NY East Load Projections'!$A$4:$EO$14,((MONTH($A78)-1)*12)+VLOOKUP(CC$4,$DE$6:$DF$17,2)+1))*(VLOOKUP($A78,CURVES!$D$9:$T$261,7))*(INDEX(DailyScalarsTable,CC$5/100,MONTH($A78)))*$D78</f>
        <v>-7452.0584247362385</v>
      </c>
      <c r="CE78" s="1021">
        <f>(VLOOKUP(YEAR($A78),'NY East Load Projections'!$A$4:$EO$14,((MONTH($A78)-1)*12)+VLOOKUP(CE$4,$DE$6:$DF$17,2)+1))*(VLOOKUP($A78,CURVES!$D$9:$T$261,7))*(INDEX(DailyScalarsTable,CE$5/100,MONTH($A78)))*$E78</f>
        <v>-1622.4729557874607</v>
      </c>
      <c r="CF78" s="1021">
        <f>(VLOOKUP(YEAR($A78),'NY East Load Projections'!$A$4:$EO$14,((MONTH($A78)-1)*12)+VLOOKUP(CF$4,$DE$6:$DF$17,2)+1))*(VLOOKUP($A78,CURVES!$D$9:$T$261,7))*(INDEX(DailyScalarsTable,CF$5/100,MONTH($A78)))*$E78</f>
        <v>-1590.8626623714797</v>
      </c>
      <c r="CG78" s="1021">
        <f>(VLOOKUP(YEAR($A78),'NY East Load Projections'!$A$4:$EO$14,((MONTH($A78)-1)*12)+VLOOKUP(CG$4,$DE$6:$DF$17,2)+1))*(VLOOKUP($A78,CURVES!$D$9:$T$261,7))*(INDEX(DailyScalarsTable,CG$5/100,MONTH($A78)))*$E78</f>
        <v>-1457.7879115599467</v>
      </c>
      <c r="CH78" s="1021">
        <f>(VLOOKUP(YEAR($A78),'NY East Load Projections'!$A$4:$EO$14,((MONTH($A78)-1)*12)+VLOOKUP(CH$4,$DE$6:$DF$17,2)+1))*(VLOOKUP($A78,CURVES!$D$9:$T$261,7))*(INDEX(DailyScalarsTable,CH$5/100,MONTH($A78)))*$E78</f>
        <v>-1456.9065103903965</v>
      </c>
      <c r="CI78" s="1021">
        <f>(VLOOKUP(YEAR($A78),'NY East Load Projections'!$A$4:$EO$14,((MONTH($A78)-1)*12)+VLOOKUP(CI$4,$DE$6:$DF$17,2)+1))*(VLOOKUP($A78,CURVES!$D$9:$T$261,7))*(INDEX(DailyScalarsTable,CI$5/100,MONTH($A78)))*$E78</f>
        <v>-1533.2311043623299</v>
      </c>
      <c r="CJ78" s="1021">
        <f>(VLOOKUP(YEAR($A78),'NY East Load Projections'!$A$4:$EO$14,((MONTH($A78)-1)*12)+VLOOKUP(CJ$4,$DE$6:$DF$17,2)+1))*(VLOOKUP($A78,CURVES!$D$9:$T$261,7))*(INDEX(DailyScalarsTable,CJ$5/100,MONTH($A78)))*$E78</f>
        <v>-1636.2917657187581</v>
      </c>
      <c r="CK78" s="1021">
        <f>(VLOOKUP(YEAR($A78),'NY East Load Projections'!$A$4:$EO$14,((MONTH($A78)-1)*12)+VLOOKUP(CK$4,$DE$6:$DF$17,2)+1))*(VLOOKUP($A78,CURVES!$D$9:$T$261,7))*(INDEX(DailyScalarsTable,CK$5/100,MONTH($A78)))*$E78</f>
        <v>-3133.4788074977328</v>
      </c>
      <c r="CL78" s="1021">
        <f>(VLOOKUP(YEAR($A78),'NY East Load Projections'!$A$4:$EO$14,((MONTH($A78)-1)*12)+VLOOKUP(CL$4,$DE$6:$DF$17,2)+1))*(VLOOKUP($A78,SatSunCurve,7))*(INDEX(DailyScalarsTable,CL$5/100,MONTH($A78)))*$E78</f>
        <v>-2790.5370588617302</v>
      </c>
      <c r="CM78" s="1021">
        <f>(VLOOKUP(YEAR($A78),'NY East Load Projections'!$A$4:$EO$14,((MONTH($A78)-1)*12)+VLOOKUP(CM$4,$DE$6:$DF$17,2)+1))*(VLOOKUP($A78,SatSunCurve,7))*(INDEX(DailyScalarsTable,CM$5/100,MONTH($A78)))*$E78</f>
        <v>-3139.2595089418437</v>
      </c>
      <c r="CN78" s="1021">
        <f>(VLOOKUP(YEAR($A78),'NY East Load Projections'!$A$4:$EO$14,((MONTH($A78)-1)*12)+VLOOKUP(CN$4,$DE$6:$DF$17,2)+1))*(VLOOKUP($A78,SatSunCurve,7))*(INDEX(DailyScalarsTable,CN$5/100,MONTH($A78)))*$E78</f>
        <v>-3129.7048639470472</v>
      </c>
      <c r="CO78" s="1021">
        <f>(VLOOKUP(YEAR($A78),'NY East Load Projections'!$A$4:$EO$14,((MONTH($A78)-1)*12)+VLOOKUP(CO$4,$DE$6:$DF$17,2)+1))*(VLOOKUP($A78,SatSunCurve,7))*(INDEX(DailyScalarsTable,CO$5/100,MONTH($A78)))*$E78</f>
        <v>-3075.0874091332826</v>
      </c>
      <c r="CP78" s="1021">
        <f>(VLOOKUP(YEAR($A78),'NY East Load Projections'!$A$4:$EO$14,((MONTH($A78)-1)*12)+VLOOKUP(CP$4,$DE$6:$DF$17,2)+1))*(VLOOKUP($A78,SatSunCurve,7))*(INDEX(DailyScalarsTable,CP$5/100,MONTH($A78)))*$E78</f>
        <v>-2303.5314135110561</v>
      </c>
      <c r="CQ78" s="1021">
        <f>(VLOOKUP(YEAR($A78),'NY East Load Projections'!$A$4:$EO$14,((MONTH($A78)-1)*12)+VLOOKUP(CQ$4,$DE$6:$DF$17,2)+1))*(VLOOKUP($A78,SatSunCurve,7))*(INDEX(DailyScalarsTable,CQ$5/100,MONTH($A78)))*$E78</f>
        <v>-2235.6798346308969</v>
      </c>
      <c r="CR78" s="1021">
        <f>(VLOOKUP(YEAR($A78),'NY East Load Projections'!$A$4:$EO$14,((MONTH($A78)-1)*12)+VLOOKUP(CR$4,$DE$6:$DF$17,2)+1))*(VLOOKUP($A78,SatSunCurve,7))*(INDEX(DailyScalarsTable,CR$5/100,MONTH($A78)))*$E78</f>
        <v>-2163.4936350101525</v>
      </c>
      <c r="CS78" s="1021">
        <f>(VLOOKUP(YEAR($A78),'NY East Load Projections'!$A$4:$EO$14,((MONTH($A78)-1)*12)+VLOOKUP(CS$4,$DE$6:$DF$17,2)+1))*(VLOOKUP($A78,SatSunCurve,7))*(INDEX(DailyScalarsTable,CS$5/100,MONTH($A78)))*$E78</f>
        <v>-2053.3835261683639</v>
      </c>
      <c r="CT78" s="1021">
        <f>(VLOOKUP(YEAR($A78),'NY East Load Projections'!$A$4:$EO$14,((MONTH($A78)-1)*12)+VLOOKUP(CT$4,$DE$6:$DF$17,2)+1))*(VLOOKUP($A78,SatSunCurve,7))*(INDEX(DailyScalarsTable,CT$5/100,MONTH($A78)))*$E78</f>
        <v>-2012.0595423275024</v>
      </c>
      <c r="CU78" s="1021">
        <f>(VLOOKUP(YEAR($A78),'NY East Load Projections'!$A$4:$EO$14,((MONTH($A78)-1)*12)+VLOOKUP(CU$4,$DE$6:$DF$17,2)+1))*(VLOOKUP($A78,SatSunCurve,7))*(INDEX(DailyScalarsTable,CU$5/100,MONTH($A78)))*$E78</f>
        <v>-2088.1895177887045</v>
      </c>
      <c r="CV78" s="1021">
        <f>(VLOOKUP(YEAR($A78),'NY East Load Projections'!$A$4:$EO$14,((MONTH($A78)-1)*12)+VLOOKUP(CV$4,$DE$6:$DF$17,2)+1))*(VLOOKUP($A78,SatSunCurve,7))*(INDEX(DailyScalarsTable,CV$5/100,MONTH($A78)))*$E78</f>
        <v>-2905.6249939275622</v>
      </c>
      <c r="CW78" s="1021">
        <f>(VLOOKUP(YEAR($A78),'NY East Load Projections'!$A$4:$EO$14,((MONTH($A78)-1)*12)+VLOOKUP(CW$4,$DE$6:$DF$17,2)+1))*(VLOOKUP($A78,SatSunCurve,7))*(INDEX(DailyScalarsTable,CW$5/100,MONTH($A78)))*$E78</f>
        <v>-3188.2426545274698</v>
      </c>
      <c r="CX78" s="1021">
        <f>(VLOOKUP(YEAR($A78),'NY East Load Projections'!$A$4:$EO$14,((MONTH($A78)-1)*12)+VLOOKUP(CX$4,$DE$6:$DF$17,2)+1))*(VLOOKUP($A78,SatSunCurve,7))*(INDEX(DailyScalarsTable,CX$5/100,MONTH($A78)))*$E78</f>
        <v>-3051.7014510799677</v>
      </c>
      <c r="CY78" s="1021">
        <f>(VLOOKUP(YEAR($A78),'NY East Load Projections'!$A$4:$EO$14,((MONTH($A78)-1)*12)+VLOOKUP(CY$4,$DE$6:$DF$17,2)+1))*(VLOOKUP($A78,SatSunCurve,7))*(INDEX(DailyScalarsTable,CY$5/100,MONTH($A78)))*$E78</f>
        <v>-2768.648472377311</v>
      </c>
      <c r="CZ78" s="1021">
        <f>(VLOOKUP(YEAR($A78),'NY East Load Projections'!$A$4:$EO$14,((MONTH($A78)-1)*12)+VLOOKUP(CZ$4,$DE$6:$DF$17,2)+1))*(VLOOKUP($A78,SatSunCurve,7))*(INDEX(DailyScalarsTable,CZ$5/100,MONTH($A78)))*$E78</f>
        <v>-1969.1269181270727</v>
      </c>
      <c r="DA78" s="1021">
        <f>(VLOOKUP(YEAR($A78),'NY East Load Projections'!$A$4:$EO$14,((MONTH($A78)-1)*12)+VLOOKUP(DA$4,$DE$6:$DF$17,2)+1))*(VLOOKUP($A78,SatSunCurve,7))*(INDEX(DailyScalarsTable,DA$5/100,MONTH($A78)))*$E78</f>
        <v>-1611.9754746688452</v>
      </c>
      <c r="DB78" s="1021">
        <f>(VLOOKUP(YEAR($A78),'NY East Load Projections'!$A$4:$EO$14,((MONTH($A78)-1)*12)+VLOOKUP(DB$4,$DE$6:$DF$17,2)+1))*(VLOOKUP($A78,CURVES!$D$9:$T$261,7))*(INDEX(DailyScalarsTable,DB$5/100,MONTH($A78)))*$E78</f>
        <v>-1863.0146061840596</v>
      </c>
      <c r="DH78" s="1032">
        <f t="shared" si="2"/>
        <v>-1983240.6140333265</v>
      </c>
      <c r="DI78">
        <f ca="1">CALC!J98</f>
        <v>0.60415868903812819</v>
      </c>
      <c r="DJ78" s="1029">
        <f t="shared" ca="1" si="3"/>
        <v>-1198192.049421547</v>
      </c>
    </row>
    <row r="79" spans="1:114" x14ac:dyDescent="0.25">
      <c r="A79" s="244">
        <v>39114</v>
      </c>
      <c r="B79" s="13">
        <v>20</v>
      </c>
      <c r="C79" s="210">
        <v>4</v>
      </c>
      <c r="D79" s="210">
        <v>4</v>
      </c>
      <c r="E79" s="210">
        <v>0</v>
      </c>
      <c r="F79" s="13">
        <v>28</v>
      </c>
      <c r="H79" s="1021">
        <f>(VLOOKUP(YEAR($A79),'NY East Load Projections'!$A$4:$EO$14,((MONTH($A79)-1)*12)+VLOOKUP(H$4,$DE$6:$DF$17,2)+1))*(VLOOKUP($A79,CURVES!$D$9:$K$261,7))*(INDEX(DailyScalarsTable,H$5/100,MONTH($A79)))*$B79</f>
        <v>-29617.285507422563</v>
      </c>
      <c r="I79" s="1021">
        <f>(VLOOKUP(YEAR($A79),'NY East Load Projections'!$A$4:$EO$14,((MONTH($A79)-1)*12)+VLOOKUP(I$4,$DE$6:$DF$17,2)+1))*(VLOOKUP($A79,CURVES!$D$9:$K$261,7))*(INDEX(DailyScalarsTable,I$5/100,MONTH($A79)))*$B79</f>
        <v>-29040.258271476974</v>
      </c>
      <c r="J79" s="1021">
        <f>(VLOOKUP(YEAR($A79),'NY East Load Projections'!$A$4:$EO$14,((MONTH($A79)-1)*12)+VLOOKUP(J$4,$DE$6:$DF$17,2)+1))*(VLOOKUP($A79,CURVES!$D$9:$K$261,7))*(INDEX(DailyScalarsTable,J$5/100,MONTH($A79)))*$B79</f>
        <v>-26611.057294933493</v>
      </c>
      <c r="K79" s="1021">
        <f>(VLOOKUP(YEAR($A79),'NY East Load Projections'!$A$4:$EO$14,((MONTH($A79)-1)*12)+VLOOKUP(K$4,$DE$6:$DF$17,2)+1))*(VLOOKUP($A79,CURVES!$D$9:$K$261,7))*(INDEX(DailyScalarsTable,K$5/100,MONTH($A79)))*$B79</f>
        <v>-26594.967837175798</v>
      </c>
      <c r="L79" s="1021">
        <f>(VLOOKUP(YEAR($A79),'NY East Load Projections'!$A$4:$EO$14,((MONTH($A79)-1)*12)+VLOOKUP(L$4,$DE$6:$DF$17,2)+1))*(VLOOKUP($A79,CURVES!$D$9:$K$261,7))*(INDEX(DailyScalarsTable,L$5/100,MONTH($A79)))*$B79</f>
        <v>-29964.105134315199</v>
      </c>
      <c r="M79" s="1021">
        <f>(VLOOKUP(YEAR($A79),'NY East Load Projections'!$A$4:$EO$14,((MONTH($A79)-1)*12)+VLOOKUP(M$4,$DE$6:$DF$17,2)+1))*(VLOOKUP($A79,CURVES!$D$9:$K$261,7))*(INDEX(DailyScalarsTable,M$5/100,MONTH($A79)))*$B79</f>
        <v>-31978.231043520791</v>
      </c>
      <c r="N79" s="1021">
        <f>(VLOOKUP(YEAR($A79),'NY East Load Projections'!$A$4:$EO$14,((MONTH($A79)-1)*12)+VLOOKUP(N$4,$DE$6:$DF$17,2)+1))*(VLOOKUP($A79,CURVES!$D$9:$K$261,7))*(INDEX(DailyScalarsTable,N$5/100,MONTH($A79)))*$B79</f>
        <v>-61237.923074264967</v>
      </c>
      <c r="O79" s="1021">
        <f>(VLOOKUP(YEAR($A79),'NY East Load Projections'!$A$4:$EO$14,((MONTH($A79)-1)*12)+VLOOKUP(O$4,$DE$6:$DF$17,2)+1))*(VLOOKUP($A79,CURVES!$D$9:$K$261,3))*(INDEX(DailyScalarsTable,O$5/100,MONTH($A79)))*$B79</f>
        <v>-72754.956297056866</v>
      </c>
      <c r="P79" s="1021">
        <f>(VLOOKUP(YEAR($A79),'NY East Load Projections'!$A$4:$EO$14,((MONTH($A79)-1)*12)+VLOOKUP(P$4,$DE$6:$DF$17,2)+1))*(VLOOKUP($A79,CURVES!$D$9:$K$261,3))*(INDEX(DailyScalarsTable,P$5/100,MONTH($A79)))*$B79</f>
        <v>-80226.37277929447</v>
      </c>
      <c r="Q79" s="1021">
        <f>(VLOOKUP(YEAR($A79),'NY East Load Projections'!$A$4:$EO$14,((MONTH($A79)-1)*12)+VLOOKUP(Q$4,$DE$6:$DF$17,2)+1))*(VLOOKUP($A79,CURVES!$D$9:$K$261,3))*(INDEX(DailyScalarsTable,Q$5/100,MONTH($A79)))*$B79</f>
        <v>-79982.195925185093</v>
      </c>
      <c r="R79" s="1021">
        <f>(VLOOKUP(YEAR($A79),'NY East Load Projections'!$A$4:$EO$14,((MONTH($A79)-1)*12)+VLOOKUP(R$4,$DE$6:$DF$17,2)+1))*(VLOOKUP($A79,CURVES!$D$9:$K$261,3))*(INDEX(DailyScalarsTable,R$5/100,MONTH($A79)))*$B79</f>
        <v>-78586.401701208262</v>
      </c>
      <c r="S79" s="1021">
        <f>(VLOOKUP(YEAR($A79),'NY East Load Projections'!$A$4:$EO$14,((MONTH($A79)-1)*12)+VLOOKUP(S$4,$DE$6:$DF$17,2)+1))*(VLOOKUP($A79,CURVES!$D$9:$K$261,3))*(INDEX(DailyScalarsTable,S$5/100,MONTH($A79)))*$B79</f>
        <v>-58868.650190517496</v>
      </c>
      <c r="T79" s="1021">
        <f>(VLOOKUP(YEAR($A79),'NY East Load Projections'!$A$4:$EO$14,((MONTH($A79)-1)*12)+VLOOKUP(T$4,$DE$6:$DF$17,2)+1))*(VLOOKUP($A79,CURVES!$D$9:$K$261,3))*(INDEX(DailyScalarsTable,T$5/100,MONTH($A79)))*$B79</f>
        <v>-57636.929013448062</v>
      </c>
      <c r="U79" s="1021">
        <f>(VLOOKUP(YEAR($A79),'NY East Load Projections'!$A$4:$EO$14,((MONTH($A79)-1)*12)+VLOOKUP(U$4,$DE$6:$DF$17,2)+1))*(VLOOKUP($A79,CURVES!$D$9:$K$261,3))*(INDEX(DailyScalarsTable,U$5/100,MONTH($A79)))*$B79</f>
        <v>-55775.933177262792</v>
      </c>
      <c r="V79" s="1021">
        <f>(VLOOKUP(YEAR($A79),'NY East Load Projections'!$A$4:$EO$14,((MONTH($A79)-1)*12)+VLOOKUP(V$4,$DE$6:$DF$17,2)+1))*(VLOOKUP($A79,CURVES!$D$9:$K$261,3))*(INDEX(DailyScalarsTable,V$5/100,MONTH($A79)))*$B79</f>
        <v>-52937.24025322657</v>
      </c>
      <c r="W79" s="1021">
        <f>(VLOOKUP(YEAR($A79),'NY East Load Projections'!$A$4:$EO$14,((MONTH($A79)-1)*12)+VLOOKUP(W$4,$DE$6:$DF$17,2)+1))*(VLOOKUP($A79,CURVES!$D$9:$K$261,3))*(INDEX(DailyScalarsTable,W$5/100,MONTH($A79)))*$B79</f>
        <v>-51871.887564395875</v>
      </c>
      <c r="X79" s="1021">
        <f>(VLOOKUP(YEAR($A79),'NY East Load Projections'!$A$4:$EO$14,((MONTH($A79)-1)*12)+VLOOKUP(X$4,$DE$6:$DF$17,2)+1))*(VLOOKUP($A79,CURVES!$D$9:$K$261,3))*(INDEX(DailyScalarsTable,X$5/100,MONTH($A79)))*$B79</f>
        <v>-54209.704968724385</v>
      </c>
      <c r="Y79" s="1021">
        <f>(VLOOKUP(YEAR($A79),'NY East Load Projections'!$A$4:$EO$14,((MONTH($A79)-1)*12)+VLOOKUP(Y$4,$DE$6:$DF$17,2)+1))*(VLOOKUP($A79,CURVES!$D$9:$K$261,3))*(INDEX(DailyScalarsTable,Y$5/100,MONTH($A79)))*$B79</f>
        <v>-75430.449357567762</v>
      </c>
      <c r="Z79" s="1021">
        <f>(VLOOKUP(YEAR($A79),'NY East Load Projections'!$A$4:$EO$14,((MONTH($A79)-1)*12)+VLOOKUP(Z$4,$DE$6:$DF$17,2)+1))*(VLOOKUP($A79,CURVES!$D$9:$K$261,3))*(INDEX(DailyScalarsTable,Z$5/100,MONTH($A79)))*$B79</f>
        <v>-82767.24511751195</v>
      </c>
      <c r="AA79" s="1021">
        <f>(VLOOKUP(YEAR($A79),'NY East Load Projections'!$A$4:$EO$14,((MONTH($A79)-1)*12)+VLOOKUP(AA$4,$DE$6:$DF$17,2)+1))*(VLOOKUP($A79,CURVES!$D$9:$K$261,3))*(INDEX(DailyScalarsTable,AA$5/100,MONTH($A79)))*$B79</f>
        <v>-79222.615527185349</v>
      </c>
      <c r="AB79" s="1021">
        <f>(VLOOKUP(YEAR($A79),'NY East Load Projections'!$A$4:$EO$14,((MONTH($A79)-1)*12)+VLOOKUP(AB$4,$DE$6:$DF$17,2)+1))*(VLOOKUP($A79,CURVES!$D$9:$K$261,3))*(INDEX(DailyScalarsTable,AB$5/100,MONTH($A79)))*$B79</f>
        <v>-68903.107447321177</v>
      </c>
      <c r="AC79" s="1021">
        <f>(VLOOKUP(YEAR($A79),'NY East Load Projections'!$A$4:$EO$14,((MONTH($A79)-1)*12)+VLOOKUP(AC$4,$DE$6:$DF$17,2)+1))*(VLOOKUP($A79,CURVES!$D$9:$K$261,3))*(INDEX(DailyScalarsTable,AC$5/100,MONTH($A79)))*$B79</f>
        <v>-49005.485879043656</v>
      </c>
      <c r="AD79" s="1021">
        <f>(VLOOKUP(YEAR($A79),'NY East Load Projections'!$A$4:$EO$14,((MONTH($A79)-1)*12)+VLOOKUP(AD$4,$DE$6:$DF$17,2)+1))*(VLOOKUP($A79,CURVES!$D$9:$K$261,3))*(INDEX(DailyScalarsTable,AD$5/100,MONTH($A79)))*$B79</f>
        <v>-40117.089779253634</v>
      </c>
      <c r="AE79" s="1021">
        <f>(VLOOKUP(YEAR($A79),'NY East Load Projections'!$A$4:$EO$14,((MONTH($A79)-1)*12)+VLOOKUP(AE$4,$DE$6:$DF$17,2)+1))*(VLOOKUP($A79,CURVES!$D$9:$K$261,7))*(INDEX(DailyScalarsTable,AE$5/100,MONTH($A79)))*$B79</f>
        <v>-34754.108414378046</v>
      </c>
      <c r="AF79" s="1021"/>
      <c r="AG79" s="1021">
        <f>(VLOOKUP(YEAR($A79),'NY East Load Projections'!$A$4:$EO$14,((MONTH($A79)-1)*12)+VLOOKUP(AG$4,$DE$6:$DF$17,2)+1))*(VLOOKUP($A79,CURVES!$D$9:$T$261,7))*(INDEX(DailyScalarsTable,AG$5/100,MONTH($A79)))*$C79</f>
        <v>-6276.6039310986853</v>
      </c>
      <c r="AH79" s="1021">
        <f>(VLOOKUP(YEAR($A79),'NY East Load Projections'!$A$4:$EO$14,((MONTH($A79)-1)*12)+VLOOKUP(AH$4,$DE$6:$DF$17,2)+1))*(VLOOKUP($A79,CURVES!$D$9:$T$261,7))*(INDEX(DailyScalarsTable,AH$5/100,MONTH($A79)))*$C79</f>
        <v>-6154.3181997956117</v>
      </c>
      <c r="AI79" s="1021">
        <f>(VLOOKUP(YEAR($A79),'NY East Load Projections'!$A$4:$EO$14,((MONTH($A79)-1)*12)+VLOOKUP(AI$4,$DE$6:$DF$17,2)+1))*(VLOOKUP($A79,CURVES!$D$9:$T$261,7))*(INDEX(DailyScalarsTable,AI$5/100,MONTH($A79)))*$C79</f>
        <v>-5639.5130062210555</v>
      </c>
      <c r="AJ79" s="1021">
        <f>(VLOOKUP(YEAR($A79),'NY East Load Projections'!$A$4:$EO$14,((MONTH($A79)-1)*12)+VLOOKUP(AJ$4,$DE$6:$DF$17,2)+1))*(VLOOKUP($A79,CURVES!$D$9:$T$261,7))*(INDEX(DailyScalarsTable,AJ$5/100,MONTH($A79)))*$C79</f>
        <v>-5636.1032692353392</v>
      </c>
      <c r="AK79" s="1021">
        <f>(VLOOKUP(YEAR($A79),'NY East Load Projections'!$A$4:$EO$14,((MONTH($A79)-1)*12)+VLOOKUP(AK$4,$DE$6:$DF$17,2)+1))*(VLOOKUP($A79,CURVES!$D$9:$T$261,7))*(INDEX(DailyScalarsTable,AK$5/100,MONTH($A79)))*$C79</f>
        <v>-5885.2321576751365</v>
      </c>
      <c r="AL79" s="1021">
        <f>(VLOOKUP(YEAR($A79),'NY East Load Projections'!$A$4:$EO$14,((MONTH($A79)-1)*12)+VLOOKUP(AL$4,$DE$6:$DF$17,2)+1))*(VLOOKUP($A79,CURVES!$D$9:$T$261,7))*(INDEX(DailyScalarsTable,AL$5/100,MONTH($A79)))*$C79</f>
        <v>-6280.8254356098259</v>
      </c>
      <c r="AM79" s="1021">
        <f>(VLOOKUP(YEAR($A79),'NY East Load Projections'!$A$4:$EO$14,((MONTH($A79)-1)*12)+VLOOKUP(AM$4,$DE$6:$DF$17,2)+1))*(VLOOKUP($A79,CURVES!$D$9:$T$261,7))*(INDEX(DailyScalarsTable,AM$5/100,MONTH($A79)))*$C79</f>
        <v>-12027.704232460703</v>
      </c>
      <c r="AN79" s="1021">
        <f>(VLOOKUP(YEAR($A79),'NY East Load Projections'!$A$4:$EO$14,((MONTH($A79)-1)*12)+VLOOKUP(AN$4,$DE$6:$DF$17,2)+1))*(VLOOKUP($A79,SatSunCurve,3))*(INDEX(DailyScalarsTable,AN$5/100,MONTH($A79)))*$C79</f>
        <v>-11001.083307029619</v>
      </c>
      <c r="AO79" s="1021">
        <f>(VLOOKUP(YEAR($A79),'NY East Load Projections'!$A$4:$EO$14,((MONTH($A79)-1)*12)+VLOOKUP(AO$4,$DE$6:$DF$17,2)+1))*(VLOOKUP($A79,SatSunCurve,3))*(INDEX(DailyScalarsTable,AO$5/100,MONTH($A79)))*$C79</f>
        <v>-12312.444628493347</v>
      </c>
      <c r="AP79" s="1021">
        <f>(VLOOKUP(YEAR($A79),'NY East Load Projections'!$A$4:$EO$14,((MONTH($A79)-1)*12)+VLOOKUP(AP$4,$DE$6:$DF$17,2)+1))*(VLOOKUP($A79,SatSunCurve,3))*(INDEX(DailyScalarsTable,AP$5/100,MONTH($A79)))*$C79</f>
        <v>-12274.970492599754</v>
      </c>
      <c r="AQ79" s="1021">
        <f>(VLOOKUP(YEAR($A79),'NY East Load Projections'!$A$4:$EO$14,((MONTH($A79)-1)*12)+VLOOKUP(AQ$4,$DE$6:$DF$17,2)+1))*(VLOOKUP($A79,SatSunCurve,3))*(INDEX(DailyScalarsTable,AQ$5/100,MONTH($A79)))*$C79</f>
        <v>-12060.756157585958</v>
      </c>
      <c r="AR79" s="1021">
        <f>(VLOOKUP(YEAR($A79),'NY East Load Projections'!$A$4:$EO$14,((MONTH($A79)-1)*12)+VLOOKUP(AR$4,$DE$6:$DF$17,2)+1))*(VLOOKUP($A79,SatSunCurve,3))*(INDEX(DailyScalarsTable,AR$5/100,MONTH($A79)))*$C79</f>
        <v>-9034.6474695906745</v>
      </c>
      <c r="AS79" s="1021">
        <f>(VLOOKUP(YEAR($A79),'NY East Load Projections'!$A$4:$EO$14,((MONTH($A79)-1)*12)+VLOOKUP(AS$4,$DE$6:$DF$17,2)+1))*(VLOOKUP($A79,SatSunCurve,3))*(INDEX(DailyScalarsTable,AS$5/100,MONTH($A79)))*$C79</f>
        <v>-8766.9757597739244</v>
      </c>
      <c r="AT79" s="1021">
        <f>(VLOOKUP(YEAR($A79),'NY East Load Projections'!$A$4:$EO$14,((MONTH($A79)-1)*12)+VLOOKUP(AT$4,$DE$6:$DF$17,2)+1))*(VLOOKUP($A79,SatSunCurve,3))*(INDEX(DailyScalarsTable,AT$5/100,MONTH($A79)))*$C79</f>
        <v>-8483.9054146993331</v>
      </c>
      <c r="AU79" s="1021">
        <f>(VLOOKUP(YEAR($A79),'NY East Load Projections'!$A$4:$EO$14,((MONTH($A79)-1)*12)+VLOOKUP(AU$4,$DE$6:$DF$17,2)+1))*(VLOOKUP($A79,SatSunCurve,3))*(INDEX(DailyScalarsTable,AU$5/100,MONTH($A79)))*$C79</f>
        <v>-8052.1205767413521</v>
      </c>
      <c r="AV79" s="1021">
        <f>(VLOOKUP(YEAR($A79),'NY East Load Projections'!$A$4:$EO$14,((MONTH($A79)-1)*12)+VLOOKUP(AV$4,$DE$6:$DF$17,2)+1))*(VLOOKUP($A79,SatSunCurve,3))*(INDEX(DailyScalarsTable,AV$5/100,MONTH($A79)))*$C79</f>
        <v>-7890.0730603580714</v>
      </c>
      <c r="AW79" s="1021">
        <f>(VLOOKUP(YEAR($A79),'NY East Load Projections'!$A$4:$EO$14,((MONTH($A79)-1)*12)+VLOOKUP(AW$4,$DE$6:$DF$17,2)+1))*(VLOOKUP($A79,SatSunCurve,3))*(INDEX(DailyScalarsTable,AW$5/100,MONTH($A79)))*$C79</f>
        <v>-8248.8399071232852</v>
      </c>
      <c r="AX79" s="1021">
        <f>(VLOOKUP(YEAR($A79),'NY East Load Projections'!$A$4:$EO$14,((MONTH($A79)-1)*12)+VLOOKUP(AX$4,$DE$6:$DF$17,2)+1))*(VLOOKUP($A79,SatSunCurve,3))*(INDEX(DailyScalarsTable,AX$5/100,MONTH($A79)))*$C79</f>
        <v>-11477.902365119409</v>
      </c>
      <c r="AY79" s="1021">
        <f>(VLOOKUP(YEAR($A79),'NY East Load Projections'!$A$4:$EO$14,((MONTH($A79)-1)*12)+VLOOKUP(AY$4,$DE$6:$DF$17,2)+1))*(VLOOKUP($A79,SatSunCurve,3))*(INDEX(DailyScalarsTable,AY$5/100,MONTH($A79)))*$C79</f>
        <v>-12594.308619127927</v>
      </c>
      <c r="AZ79" s="1021">
        <f>(VLOOKUP(YEAR($A79),'NY East Load Projections'!$A$4:$EO$14,((MONTH($A79)-1)*12)+VLOOKUP(AZ$4,$DE$6:$DF$17,2)+1))*(VLOOKUP($A79,SatSunCurve,3))*(INDEX(DailyScalarsTable,AZ$5/100,MONTH($A79)))*$C79</f>
        <v>-12054.938739924099</v>
      </c>
      <c r="BA79" s="1021">
        <f>(VLOOKUP(YEAR($A79),'NY East Load Projections'!$A$4:$EO$14,((MONTH($A79)-1)*12)+VLOOKUP(BA$4,$DE$6:$DF$17,2)+1))*(VLOOKUP($A79,SatSunCurve,3))*(INDEX(DailyScalarsTable,BA$5/100,MONTH($A79)))*$C79</f>
        <v>-10991.088334392771</v>
      </c>
      <c r="BB79" s="1021">
        <f>(VLOOKUP(YEAR($A79),'NY East Load Projections'!$A$4:$EO$14,((MONTH($A79)-1)*12)+VLOOKUP(BB$4,$DE$6:$DF$17,2)+1))*(VLOOKUP($A79,SatSunCurve,3))*(INDEX(DailyScalarsTable,BB$5/100,MONTH($A79)))*$C79</f>
        <v>-7817.1165876401556</v>
      </c>
      <c r="BC79" s="1021">
        <f>(VLOOKUP(YEAR($A79),'NY East Load Projections'!$A$4:$EO$14,((MONTH($A79)-1)*12)+VLOOKUP(BC$4,$DE$6:$DF$17,2)+1))*(VLOOKUP($A79,SatSunCurve,3))*(INDEX(DailyScalarsTable,BC$5/100,MONTH($A79)))*$C79</f>
        <v>-6399.2829034546612</v>
      </c>
      <c r="BD79" s="1021">
        <f>(VLOOKUP(YEAR($A79),'NY East Load Projections'!$A$4:$EO$14,((MONTH($A79)-1)*12)+VLOOKUP(BD$4,$DE$6:$DF$17,2)+1))*(VLOOKUP($A79,CURVES!$D$9:$T$261,7))*(INDEX(DailyScalarsTable,BD$5/100,MONTH($A79)))*$C79</f>
        <v>-7201.0770730137083</v>
      </c>
      <c r="BE79" s="1021"/>
      <c r="BF79" s="1021">
        <f>(VLOOKUP(YEAR($A79),'NY East Load Projections'!$A$4:$EO$14,((MONTH($A79)-1)*12)+VLOOKUP(BF$4,$DE$6:$DF$17,2)+1))*(VLOOKUP($A79,CURVES!$D$9:$T$261,7))*(INDEX(DailyScalarsTable,BF$5/100,MONTH($A79)))*$D79</f>
        <v>-6276.6039310986853</v>
      </c>
      <c r="BG79" s="1021">
        <f>(VLOOKUP(YEAR($A79),'NY East Load Projections'!$A$4:$EO$14,((MONTH($A79)-1)*12)+VLOOKUP(BG$4,$DE$6:$DF$17,2)+1))*(VLOOKUP($A79,CURVES!$D$9:$T$261,7))*(INDEX(DailyScalarsTable,BG$5/100,MONTH($A79)))*$D79</f>
        <v>-6154.3181997956117</v>
      </c>
      <c r="BH79" s="1021">
        <f>(VLOOKUP(YEAR($A79),'NY East Load Projections'!$A$4:$EO$14,((MONTH($A79)-1)*12)+VLOOKUP(BH$4,$DE$6:$DF$17,2)+1))*(VLOOKUP($A79,CURVES!$D$9:$T$261,7))*(INDEX(DailyScalarsTable,BH$5/100,MONTH($A79)))*$D79</f>
        <v>-5639.5130062210555</v>
      </c>
      <c r="BI79" s="1021">
        <f>(VLOOKUP(YEAR($A79),'NY East Load Projections'!$A$4:$EO$14,((MONTH($A79)-1)*12)+VLOOKUP(BI$4,$DE$6:$DF$17,2)+1))*(VLOOKUP($A79,CURVES!$D$9:$T$261,7))*(INDEX(DailyScalarsTable,BI$5/100,MONTH($A79)))*$D79</f>
        <v>-5636.1032692353392</v>
      </c>
      <c r="BJ79" s="1021">
        <f>(VLOOKUP(YEAR($A79),'NY East Load Projections'!$A$4:$EO$14,((MONTH($A79)-1)*12)+VLOOKUP(BJ$4,$DE$6:$DF$17,2)+1))*(VLOOKUP($A79,CURVES!$D$9:$T$261,7))*(INDEX(DailyScalarsTable,BJ$5/100,MONTH($A79)))*$D79</f>
        <v>-5885.2321576751365</v>
      </c>
      <c r="BK79" s="1021">
        <f>(VLOOKUP(YEAR($A79),'NY East Load Projections'!$A$4:$EO$14,((MONTH($A79)-1)*12)+VLOOKUP(BK$4,$DE$6:$DF$17,2)+1))*(VLOOKUP($A79,CURVES!$D$9:$T$261,7))*(INDEX(DailyScalarsTable,BK$5/100,MONTH($A79)))*$D79</f>
        <v>-6280.8254356098259</v>
      </c>
      <c r="BL79" s="1021">
        <f>(VLOOKUP(YEAR($A79),'NY East Load Projections'!$A$4:$EO$14,((MONTH($A79)-1)*12)+VLOOKUP(BL$4,$DE$6:$DF$17,2)+1))*(VLOOKUP($A79,CURVES!$D$9:$T$261,7))*(INDEX(DailyScalarsTable,BL$5/100,MONTH($A79)))*$D79</f>
        <v>-12027.704232460703</v>
      </c>
      <c r="BM79" s="1021">
        <f>(VLOOKUP(YEAR($A79),'NY East Load Projections'!$A$4:$EO$14,((MONTH($A79)-1)*12)+VLOOKUP(BM$4,$DE$6:$DF$17,2)+1))*(VLOOKUP($A79,SatSunCurve,7))*(INDEX(DailyScalarsTable,BM$5/100,MONTH($A79)))*$D79</f>
        <v>-10034.735745581915</v>
      </c>
      <c r="BN79" s="1021">
        <f>(VLOOKUP(YEAR($A79),'NY East Load Projections'!$A$4:$EO$14,((MONTH($A79)-1)*12)+VLOOKUP(BN$4,$DE$6:$DF$17,2)+1))*(VLOOKUP($A79,SatSunCurve,7))*(INDEX(DailyScalarsTable,BN$5/100,MONTH($A79)))*$D79</f>
        <v>-11230.905610003994</v>
      </c>
      <c r="BO79" s="1021">
        <f>(VLOOKUP(YEAR($A79),'NY East Load Projections'!$A$4:$EO$14,((MONTH($A79)-1)*12)+VLOOKUP(BO$4,$DE$6:$DF$17,2)+1))*(VLOOKUP($A79,SatSunCurve,7))*(INDEX(DailyScalarsTable,BO$5/100,MONTH($A79)))*$D79</f>
        <v>-11196.723244459507</v>
      </c>
      <c r="BP79" s="1021">
        <f>(VLOOKUP(YEAR($A79),'NY East Load Projections'!$A$4:$EO$14,((MONTH($A79)-1)*12)+VLOOKUP(BP$4,$DE$6:$DF$17,2)+1))*(VLOOKUP($A79,SatSunCurve,7))*(INDEX(DailyScalarsTable,BP$5/100,MONTH($A79)))*$D79</f>
        <v>-11001.3257381607</v>
      </c>
      <c r="BQ79" s="1021">
        <f>(VLOOKUP(YEAR($A79),'NY East Load Projections'!$A$4:$EO$14,((MONTH($A79)-1)*12)+VLOOKUP(BQ$4,$DE$6:$DF$17,2)+1))*(VLOOKUP($A79,SatSunCurve,7))*(INDEX(DailyScalarsTable,BQ$5/100,MONTH($A79)))*$D79</f>
        <v>-8241.0338492665906</v>
      </c>
      <c r="BR79" s="1021">
        <f>(VLOOKUP(YEAR($A79),'NY East Load Projections'!$A$4:$EO$14,((MONTH($A79)-1)*12)+VLOOKUP(BR$4,$DE$6:$DF$17,2)+1))*(VLOOKUP($A79,SatSunCurve,7))*(INDEX(DailyScalarsTable,BR$5/100,MONTH($A79)))*$D79</f>
        <v>-7996.8747242408917</v>
      </c>
      <c r="BS79" s="1021">
        <f>(VLOOKUP(YEAR($A79),'NY East Load Projections'!$A$4:$EO$14,((MONTH($A79)-1)*12)+VLOOKUP(BS$4,$DE$6:$DF$17,2)+1))*(VLOOKUP($A79,SatSunCurve,7))*(INDEX(DailyScalarsTable,BS$5/100,MONTH($A79)))*$D79</f>
        <v>-7738.6695974404138</v>
      </c>
      <c r="BT79" s="1021">
        <f>(VLOOKUP(YEAR($A79),'NY East Load Projections'!$A$4:$EO$14,((MONTH($A79)-1)*12)+VLOOKUP(BT$4,$DE$6:$DF$17,2)+1))*(VLOOKUP($A79,SatSunCurve,7))*(INDEX(DailyScalarsTable,BT$5/100,MONTH($A79)))*$D79</f>
        <v>-7344.8132264875103</v>
      </c>
      <c r="BU79" s="1021">
        <f>(VLOOKUP(YEAR($A79),'NY East Load Projections'!$A$4:$EO$14,((MONTH($A79)-1)*12)+VLOOKUP(BU$4,$DE$6:$DF$17,2)+1))*(VLOOKUP($A79,SatSunCurve,7))*(INDEX(DailyScalarsTable,BU$5/100,MONTH($A79)))*$D79</f>
        <v>-7197.0001466524545</v>
      </c>
      <c r="BV79" s="1021">
        <f>(VLOOKUP(YEAR($A79),'NY East Load Projections'!$A$4:$EO$14,((MONTH($A79)-1)*12)+VLOOKUP(BV$4,$DE$6:$DF$17,2)+1))*(VLOOKUP($A79,SatSunCurve,7))*(INDEX(DailyScalarsTable,BV$5/100,MONTH($A79)))*$D79</f>
        <v>-7524.2525090869922</v>
      </c>
      <c r="BW79" s="1021">
        <f>(VLOOKUP(YEAR($A79),'NY East Load Projections'!$A$4:$EO$14,((MONTH($A79)-1)*12)+VLOOKUP(BW$4,$DE$6:$DF$17,2)+1))*(VLOOKUP($A79,SatSunCurve,7))*(INDEX(DailyScalarsTable,BW$5/100,MONTH($A79)))*$D79</f>
        <v>-10469.670479994014</v>
      </c>
      <c r="BX79" s="1021">
        <f>(VLOOKUP(YEAR($A79),'NY East Load Projections'!$A$4:$EO$14,((MONTH($A79)-1)*12)+VLOOKUP(BX$4,$DE$6:$DF$17,2)+1))*(VLOOKUP($A79,SatSunCurve,7))*(INDEX(DailyScalarsTable,BX$5/100,MONTH($A79)))*$D79</f>
        <v>-11488.010349898639</v>
      </c>
      <c r="BY79" s="1021">
        <f>(VLOOKUP(YEAR($A79),'NY East Load Projections'!$A$4:$EO$14,((MONTH($A79)-1)*12)+VLOOKUP(BY$4,$DE$6:$DF$17,2)+1))*(VLOOKUP($A79,SatSunCurve,7))*(INDEX(DailyScalarsTable,BY$5/100,MONTH($A79)))*$D79</f>
        <v>-10996.019329025417</v>
      </c>
      <c r="BZ79" s="1021">
        <f>(VLOOKUP(YEAR($A79),'NY East Load Projections'!$A$4:$EO$14,((MONTH($A79)-1)*12)+VLOOKUP(BZ$4,$DE$6:$DF$17,2)+1))*(VLOOKUP($A79,SatSunCurve,7))*(INDEX(DailyScalarsTable,BZ$5/100,MONTH($A79)))*$D79</f>
        <v>-10025.61874261085</v>
      </c>
      <c r="CA79" s="1021">
        <f>(VLOOKUP(YEAR($A79),'NY East Load Projections'!$A$4:$EO$14,((MONTH($A79)-1)*12)+VLOOKUP(CA$4,$DE$6:$DF$17,2)+1))*(VLOOKUP($A79,SatSunCurve,7))*(INDEX(DailyScalarsTable,CA$5/100,MONTH($A79)))*$D79</f>
        <v>-7130.452252756746</v>
      </c>
      <c r="CB79" s="1021">
        <f>(VLOOKUP(YEAR($A79),'NY East Load Projections'!$A$4:$EO$14,((MONTH($A79)-1)*12)+VLOOKUP(CB$4,$DE$6:$DF$17,2)+1))*(VLOOKUP($A79,SatSunCurve,7))*(INDEX(DailyScalarsTable,CB$5/100,MONTH($A79)))*$D79</f>
        <v>-5837.1626780023262</v>
      </c>
      <c r="CC79" s="1021">
        <f>(VLOOKUP(YEAR($A79),'NY East Load Projections'!$A$4:$EO$14,((MONTH($A79)-1)*12)+VLOOKUP(CC$4,$DE$6:$DF$17,2)+1))*(VLOOKUP($A79,CURVES!$D$9:$T$261,7))*(INDEX(DailyScalarsTable,CC$5/100,MONTH($A79)))*$D79</f>
        <v>-7201.0770730137083</v>
      </c>
      <c r="CE79" s="1021">
        <f>(VLOOKUP(YEAR($A79),'NY East Load Projections'!$A$4:$EO$14,((MONTH($A79)-1)*12)+VLOOKUP(CE$4,$DE$6:$DF$17,2)+1))*(VLOOKUP($A79,CURVES!$D$9:$T$261,7))*(INDEX(DailyScalarsTable,CE$5/100,MONTH($A79)))*$E79</f>
        <v>0</v>
      </c>
      <c r="CF79" s="1021">
        <f>(VLOOKUP(YEAR($A79),'NY East Load Projections'!$A$4:$EO$14,((MONTH($A79)-1)*12)+VLOOKUP(CF$4,$DE$6:$DF$17,2)+1))*(VLOOKUP($A79,CURVES!$D$9:$T$261,7))*(INDEX(DailyScalarsTable,CF$5/100,MONTH($A79)))*$E79</f>
        <v>0</v>
      </c>
      <c r="CG79" s="1021">
        <f>(VLOOKUP(YEAR($A79),'NY East Load Projections'!$A$4:$EO$14,((MONTH($A79)-1)*12)+VLOOKUP(CG$4,$DE$6:$DF$17,2)+1))*(VLOOKUP($A79,CURVES!$D$9:$T$261,7))*(INDEX(DailyScalarsTable,CG$5/100,MONTH($A79)))*$E79</f>
        <v>0</v>
      </c>
      <c r="CH79" s="1021">
        <f>(VLOOKUP(YEAR($A79),'NY East Load Projections'!$A$4:$EO$14,((MONTH($A79)-1)*12)+VLOOKUP(CH$4,$DE$6:$DF$17,2)+1))*(VLOOKUP($A79,CURVES!$D$9:$T$261,7))*(INDEX(DailyScalarsTable,CH$5/100,MONTH($A79)))*$E79</f>
        <v>0</v>
      </c>
      <c r="CI79" s="1021">
        <f>(VLOOKUP(YEAR($A79),'NY East Load Projections'!$A$4:$EO$14,((MONTH($A79)-1)*12)+VLOOKUP(CI$4,$DE$6:$DF$17,2)+1))*(VLOOKUP($A79,CURVES!$D$9:$T$261,7))*(INDEX(DailyScalarsTable,CI$5/100,MONTH($A79)))*$E79</f>
        <v>0</v>
      </c>
      <c r="CJ79" s="1021">
        <f>(VLOOKUP(YEAR($A79),'NY East Load Projections'!$A$4:$EO$14,((MONTH($A79)-1)*12)+VLOOKUP(CJ$4,$DE$6:$DF$17,2)+1))*(VLOOKUP($A79,CURVES!$D$9:$T$261,7))*(INDEX(DailyScalarsTable,CJ$5/100,MONTH($A79)))*$E79</f>
        <v>0</v>
      </c>
      <c r="CK79" s="1021">
        <f>(VLOOKUP(YEAR($A79),'NY East Load Projections'!$A$4:$EO$14,((MONTH($A79)-1)*12)+VLOOKUP(CK$4,$DE$6:$DF$17,2)+1))*(VLOOKUP($A79,CURVES!$D$9:$T$261,7))*(INDEX(DailyScalarsTable,CK$5/100,MONTH($A79)))*$E79</f>
        <v>0</v>
      </c>
      <c r="CL79" s="1021">
        <f>(VLOOKUP(YEAR($A79),'NY East Load Projections'!$A$4:$EO$14,((MONTH($A79)-1)*12)+VLOOKUP(CL$4,$DE$6:$DF$17,2)+1))*(VLOOKUP($A79,SatSunCurve,7))*(INDEX(DailyScalarsTable,CL$5/100,MONTH($A79)))*$E79</f>
        <v>0</v>
      </c>
      <c r="CM79" s="1021">
        <f>(VLOOKUP(YEAR($A79),'NY East Load Projections'!$A$4:$EO$14,((MONTH($A79)-1)*12)+VLOOKUP(CM$4,$DE$6:$DF$17,2)+1))*(VLOOKUP($A79,SatSunCurve,7))*(INDEX(DailyScalarsTable,CM$5/100,MONTH($A79)))*$E79</f>
        <v>0</v>
      </c>
      <c r="CN79" s="1021">
        <f>(VLOOKUP(YEAR($A79),'NY East Load Projections'!$A$4:$EO$14,((MONTH($A79)-1)*12)+VLOOKUP(CN$4,$DE$6:$DF$17,2)+1))*(VLOOKUP($A79,SatSunCurve,7))*(INDEX(DailyScalarsTable,CN$5/100,MONTH($A79)))*$E79</f>
        <v>0</v>
      </c>
      <c r="CO79" s="1021">
        <f>(VLOOKUP(YEAR($A79),'NY East Load Projections'!$A$4:$EO$14,((MONTH($A79)-1)*12)+VLOOKUP(CO$4,$DE$6:$DF$17,2)+1))*(VLOOKUP($A79,SatSunCurve,7))*(INDEX(DailyScalarsTable,CO$5/100,MONTH($A79)))*$E79</f>
        <v>0</v>
      </c>
      <c r="CP79" s="1021">
        <f>(VLOOKUP(YEAR($A79),'NY East Load Projections'!$A$4:$EO$14,((MONTH($A79)-1)*12)+VLOOKUP(CP$4,$DE$6:$DF$17,2)+1))*(VLOOKUP($A79,SatSunCurve,7))*(INDEX(DailyScalarsTable,CP$5/100,MONTH($A79)))*$E79</f>
        <v>0</v>
      </c>
      <c r="CQ79" s="1021">
        <f>(VLOOKUP(YEAR($A79),'NY East Load Projections'!$A$4:$EO$14,((MONTH($A79)-1)*12)+VLOOKUP(CQ$4,$DE$6:$DF$17,2)+1))*(VLOOKUP($A79,SatSunCurve,7))*(INDEX(DailyScalarsTable,CQ$5/100,MONTH($A79)))*$E79</f>
        <v>0</v>
      </c>
      <c r="CR79" s="1021">
        <f>(VLOOKUP(YEAR($A79),'NY East Load Projections'!$A$4:$EO$14,((MONTH($A79)-1)*12)+VLOOKUP(CR$4,$DE$6:$DF$17,2)+1))*(VLOOKUP($A79,SatSunCurve,7))*(INDEX(DailyScalarsTable,CR$5/100,MONTH($A79)))*$E79</f>
        <v>0</v>
      </c>
      <c r="CS79" s="1021">
        <f>(VLOOKUP(YEAR($A79),'NY East Load Projections'!$A$4:$EO$14,((MONTH($A79)-1)*12)+VLOOKUP(CS$4,$DE$6:$DF$17,2)+1))*(VLOOKUP($A79,SatSunCurve,7))*(INDEX(DailyScalarsTable,CS$5/100,MONTH($A79)))*$E79</f>
        <v>0</v>
      </c>
      <c r="CT79" s="1021">
        <f>(VLOOKUP(YEAR($A79),'NY East Load Projections'!$A$4:$EO$14,((MONTH($A79)-1)*12)+VLOOKUP(CT$4,$DE$6:$DF$17,2)+1))*(VLOOKUP($A79,SatSunCurve,7))*(INDEX(DailyScalarsTable,CT$5/100,MONTH($A79)))*$E79</f>
        <v>0</v>
      </c>
      <c r="CU79" s="1021">
        <f>(VLOOKUP(YEAR($A79),'NY East Load Projections'!$A$4:$EO$14,((MONTH($A79)-1)*12)+VLOOKUP(CU$4,$DE$6:$DF$17,2)+1))*(VLOOKUP($A79,SatSunCurve,7))*(INDEX(DailyScalarsTable,CU$5/100,MONTH($A79)))*$E79</f>
        <v>0</v>
      </c>
      <c r="CV79" s="1021">
        <f>(VLOOKUP(YEAR($A79),'NY East Load Projections'!$A$4:$EO$14,((MONTH($A79)-1)*12)+VLOOKUP(CV$4,$DE$6:$DF$17,2)+1))*(VLOOKUP($A79,SatSunCurve,7))*(INDEX(DailyScalarsTable,CV$5/100,MONTH($A79)))*$E79</f>
        <v>0</v>
      </c>
      <c r="CW79" s="1021">
        <f>(VLOOKUP(YEAR($A79),'NY East Load Projections'!$A$4:$EO$14,((MONTH($A79)-1)*12)+VLOOKUP(CW$4,$DE$6:$DF$17,2)+1))*(VLOOKUP($A79,SatSunCurve,7))*(INDEX(DailyScalarsTable,CW$5/100,MONTH($A79)))*$E79</f>
        <v>0</v>
      </c>
      <c r="CX79" s="1021">
        <f>(VLOOKUP(YEAR($A79),'NY East Load Projections'!$A$4:$EO$14,((MONTH($A79)-1)*12)+VLOOKUP(CX$4,$DE$6:$DF$17,2)+1))*(VLOOKUP($A79,SatSunCurve,7))*(INDEX(DailyScalarsTable,CX$5/100,MONTH($A79)))*$E79</f>
        <v>0</v>
      </c>
      <c r="CY79" s="1021">
        <f>(VLOOKUP(YEAR($A79),'NY East Load Projections'!$A$4:$EO$14,((MONTH($A79)-1)*12)+VLOOKUP(CY$4,$DE$6:$DF$17,2)+1))*(VLOOKUP($A79,SatSunCurve,7))*(INDEX(DailyScalarsTable,CY$5/100,MONTH($A79)))*$E79</f>
        <v>0</v>
      </c>
      <c r="CZ79" s="1021">
        <f>(VLOOKUP(YEAR($A79),'NY East Load Projections'!$A$4:$EO$14,((MONTH($A79)-1)*12)+VLOOKUP(CZ$4,$DE$6:$DF$17,2)+1))*(VLOOKUP($A79,SatSunCurve,7))*(INDEX(DailyScalarsTable,CZ$5/100,MONTH($A79)))*$E79</f>
        <v>0</v>
      </c>
      <c r="DA79" s="1021">
        <f>(VLOOKUP(YEAR($A79),'NY East Load Projections'!$A$4:$EO$14,((MONTH($A79)-1)*12)+VLOOKUP(DA$4,$DE$6:$DF$17,2)+1))*(VLOOKUP($A79,SatSunCurve,7))*(INDEX(DailyScalarsTable,DA$5/100,MONTH($A79)))*$E79</f>
        <v>0</v>
      </c>
      <c r="DB79" s="1021">
        <f>(VLOOKUP(YEAR($A79),'NY East Load Projections'!$A$4:$EO$14,((MONTH($A79)-1)*12)+VLOOKUP(DB$4,$DE$6:$DF$17,2)+1))*(VLOOKUP($A79,CURVES!$D$9:$T$261,7))*(INDEX(DailyScalarsTable,DB$5/100,MONTH($A79)))*$E79</f>
        <v>0</v>
      </c>
      <c r="DH79" s="1032">
        <f t="shared" si="2"/>
        <v>-1723210.6787132344</v>
      </c>
      <c r="DI79">
        <f ca="1">CALC!J99</f>
        <v>0.60071826693255137</v>
      </c>
      <c r="DJ79" s="1029">
        <f t="shared" ca="1" si="3"/>
        <v>-1035164.1324762797</v>
      </c>
    </row>
    <row r="80" spans="1:114" x14ac:dyDescent="0.25">
      <c r="A80" s="244">
        <v>39142</v>
      </c>
      <c r="B80" s="13">
        <v>22</v>
      </c>
      <c r="C80" s="210">
        <v>5</v>
      </c>
      <c r="D80" s="210">
        <v>4</v>
      </c>
      <c r="E80" s="210">
        <v>0</v>
      </c>
      <c r="F80" s="13">
        <v>31</v>
      </c>
      <c r="H80" s="1021">
        <f>(VLOOKUP(YEAR($A80),'NY East Load Projections'!$A$4:$EO$14,((MONTH($A80)-1)*12)+VLOOKUP(H$4,$DE$6:$DF$17,2)+1))*(VLOOKUP($A80,CURVES!$D$9:$K$261,7))*(INDEX(DailyScalarsTable,H$5/100,MONTH($A80)))*$B80</f>
        <v>-28209.743398466588</v>
      </c>
      <c r="I80" s="1021">
        <f>(VLOOKUP(YEAR($A80),'NY East Load Projections'!$A$4:$EO$14,((MONTH($A80)-1)*12)+VLOOKUP(I$4,$DE$6:$DF$17,2)+1))*(VLOOKUP($A80,CURVES!$D$9:$K$261,7))*(INDEX(DailyScalarsTable,I$5/100,MONTH($A80)))*$B80</f>
        <v>-26673.563661993525</v>
      </c>
      <c r="J80" s="1021">
        <f>(VLOOKUP(YEAR($A80),'NY East Load Projections'!$A$4:$EO$14,((MONTH($A80)-1)*12)+VLOOKUP(J$4,$DE$6:$DF$17,2)+1))*(VLOOKUP($A80,CURVES!$D$9:$K$261,7))*(INDEX(DailyScalarsTable,J$5/100,MONTH($A80)))*$B80</f>
        <v>-25536.777014199375</v>
      </c>
      <c r="K80" s="1021">
        <f>(VLOOKUP(YEAR($A80),'NY East Load Projections'!$A$4:$EO$14,((MONTH($A80)-1)*12)+VLOOKUP(K$4,$DE$6:$DF$17,2)+1))*(VLOOKUP($A80,CURVES!$D$9:$K$261,7))*(INDEX(DailyScalarsTable,K$5/100,MONTH($A80)))*$B80</f>
        <v>-25552.807308962765</v>
      </c>
      <c r="L80" s="1021">
        <f>(VLOOKUP(YEAR($A80),'NY East Load Projections'!$A$4:$EO$14,((MONTH($A80)-1)*12)+VLOOKUP(L$4,$DE$6:$DF$17,2)+1))*(VLOOKUP($A80,CURVES!$D$9:$K$261,7))*(INDEX(DailyScalarsTable,L$5/100,MONTH($A80)))*$B80</f>
        <v>-29980.339767802056</v>
      </c>
      <c r="M80" s="1021">
        <f>(VLOOKUP(YEAR($A80),'NY East Load Projections'!$A$4:$EO$14,((MONTH($A80)-1)*12)+VLOOKUP(M$4,$DE$6:$DF$17,2)+1))*(VLOOKUP($A80,CURVES!$D$9:$K$261,7))*(INDEX(DailyScalarsTable,M$5/100,MONTH($A80)))*$B80</f>
        <v>-34800.378104038777</v>
      </c>
      <c r="N80" s="1021">
        <f>(VLOOKUP(YEAR($A80),'NY East Load Projections'!$A$4:$EO$14,((MONTH($A80)-1)*12)+VLOOKUP(N$4,$DE$6:$DF$17,2)+1))*(VLOOKUP($A80,CURVES!$D$9:$K$261,7))*(INDEX(DailyScalarsTable,N$5/100,MONTH($A80)))*$B80</f>
        <v>-62793.341150835513</v>
      </c>
      <c r="O80" s="1021">
        <f>(VLOOKUP(YEAR($A80),'NY East Load Projections'!$A$4:$EO$14,((MONTH($A80)-1)*12)+VLOOKUP(O$4,$DE$6:$DF$17,2)+1))*(VLOOKUP($A80,CURVES!$D$9:$K$261,3))*(INDEX(DailyScalarsTable,O$5/100,MONTH($A80)))*$B80</f>
        <v>-67271.231772652725</v>
      </c>
      <c r="P80" s="1021">
        <f>(VLOOKUP(YEAR($A80),'NY East Load Projections'!$A$4:$EO$14,((MONTH($A80)-1)*12)+VLOOKUP(P$4,$DE$6:$DF$17,2)+1))*(VLOOKUP($A80,CURVES!$D$9:$K$261,3))*(INDEX(DailyScalarsTable,P$5/100,MONTH($A80)))*$B80</f>
        <v>-75400.450950306942</v>
      </c>
      <c r="Q80" s="1021">
        <f>(VLOOKUP(YEAR($A80),'NY East Load Projections'!$A$4:$EO$14,((MONTH($A80)-1)*12)+VLOOKUP(Q$4,$DE$6:$DF$17,2)+1))*(VLOOKUP($A80,CURVES!$D$9:$K$261,3))*(INDEX(DailyScalarsTable,Q$5/100,MONTH($A80)))*$B80</f>
        <v>-75172.310402802221</v>
      </c>
      <c r="R80" s="1021">
        <f>(VLOOKUP(YEAR($A80),'NY East Load Projections'!$A$4:$EO$14,((MONTH($A80)-1)*12)+VLOOKUP(R$4,$DE$6:$DF$17,2)+1))*(VLOOKUP($A80,CURVES!$D$9:$K$261,3))*(INDEX(DailyScalarsTable,R$5/100,MONTH($A80)))*$B80</f>
        <v>-73847.827779788786</v>
      </c>
      <c r="S80" s="1021">
        <f>(VLOOKUP(YEAR($A80),'NY East Load Projections'!$A$4:$EO$14,((MONTH($A80)-1)*12)+VLOOKUP(S$4,$DE$6:$DF$17,2)+1))*(VLOOKUP($A80,CURVES!$D$9:$K$261,3))*(INDEX(DailyScalarsTable,S$5/100,MONTH($A80)))*$B80</f>
        <v>-56426.762082831825</v>
      </c>
      <c r="T80" s="1021">
        <f>(VLOOKUP(YEAR($A80),'NY East Load Projections'!$A$4:$EO$14,((MONTH($A80)-1)*12)+VLOOKUP(T$4,$DE$6:$DF$17,2)+1))*(VLOOKUP($A80,CURVES!$D$9:$K$261,3))*(INDEX(DailyScalarsTable,T$5/100,MONTH($A80)))*$B80</f>
        <v>-56359.126795141347</v>
      </c>
      <c r="U80" s="1021">
        <f>(VLOOKUP(YEAR($A80),'NY East Load Projections'!$A$4:$EO$14,((MONTH($A80)-1)*12)+VLOOKUP(U$4,$DE$6:$DF$17,2)+1))*(VLOOKUP($A80,CURVES!$D$9:$K$261,3))*(INDEX(DailyScalarsTable,U$5/100,MONTH($A80)))*$B80</f>
        <v>-54560.431259126191</v>
      </c>
      <c r="V80" s="1021">
        <f>(VLOOKUP(YEAR($A80),'NY East Load Projections'!$A$4:$EO$14,((MONTH($A80)-1)*12)+VLOOKUP(V$4,$DE$6:$DF$17,2)+1))*(VLOOKUP($A80,CURVES!$D$9:$K$261,3))*(INDEX(DailyScalarsTable,V$5/100,MONTH($A80)))*$B80</f>
        <v>-51816.768865421924</v>
      </c>
      <c r="W80" s="1021">
        <f>(VLOOKUP(YEAR($A80),'NY East Load Projections'!$A$4:$EO$14,((MONTH($A80)-1)*12)+VLOOKUP(W$4,$DE$6:$DF$17,2)+1))*(VLOOKUP($A80,CURVES!$D$9:$K$261,3))*(INDEX(DailyScalarsTable,W$5/100,MONTH($A80)))*$B80</f>
        <v>-50787.080841181363</v>
      </c>
      <c r="X80" s="1021">
        <f>(VLOOKUP(YEAR($A80),'NY East Load Projections'!$A$4:$EO$14,((MONTH($A80)-1)*12)+VLOOKUP(X$4,$DE$6:$DF$17,2)+1))*(VLOOKUP($A80,CURVES!$D$9:$K$261,3))*(INDEX(DailyScalarsTable,X$5/100,MONTH($A80)))*$B80</f>
        <v>-53168.054137365136</v>
      </c>
      <c r="Y80" s="1021">
        <f>(VLOOKUP(YEAR($A80),'NY East Load Projections'!$A$4:$EO$14,((MONTH($A80)-1)*12)+VLOOKUP(Y$4,$DE$6:$DF$17,2)+1))*(VLOOKUP($A80,CURVES!$D$9:$K$261,3))*(INDEX(DailyScalarsTable,Y$5/100,MONTH($A80)))*$B80</f>
        <v>-72486.531435157769</v>
      </c>
      <c r="Z80" s="1021">
        <f>(VLOOKUP(YEAR($A80),'NY East Load Projections'!$A$4:$EO$14,((MONTH($A80)-1)*12)+VLOOKUP(Z$4,$DE$6:$DF$17,2)+1))*(VLOOKUP($A80,CURVES!$D$9:$K$261,3))*(INDEX(DailyScalarsTable,Z$5/100,MONTH($A80)))*$B80</f>
        <v>-79595.630952583233</v>
      </c>
      <c r="AA80" s="1021">
        <f>(VLOOKUP(YEAR($A80),'NY East Load Projections'!$A$4:$EO$14,((MONTH($A80)-1)*12)+VLOOKUP(AA$4,$DE$6:$DF$17,2)+1))*(VLOOKUP($A80,CURVES!$D$9:$K$261,3))*(INDEX(DailyScalarsTable,AA$5/100,MONTH($A80)))*$B80</f>
        <v>-76159.983386503503</v>
      </c>
      <c r="AB80" s="1021">
        <f>(VLOOKUP(YEAR($A80),'NY East Load Projections'!$A$4:$EO$14,((MONTH($A80)-1)*12)+VLOOKUP(AB$4,$DE$6:$DF$17,2)+1))*(VLOOKUP($A80,CURVES!$D$9:$K$261,3))*(INDEX(DailyScalarsTable,AB$5/100,MONTH($A80)))*$B80</f>
        <v>-66079.210477908098</v>
      </c>
      <c r="AC80" s="1021">
        <f>(VLOOKUP(YEAR($A80),'NY East Load Projections'!$A$4:$EO$14,((MONTH($A80)-1)*12)+VLOOKUP(AC$4,$DE$6:$DF$17,2)+1))*(VLOOKUP($A80,CURVES!$D$9:$K$261,3))*(INDEX(DailyScalarsTable,AC$5/100,MONTH($A80)))*$B80</f>
        <v>-47982.589740966367</v>
      </c>
      <c r="AD80" s="1021">
        <f>(VLOOKUP(YEAR($A80),'NY East Load Projections'!$A$4:$EO$14,((MONTH($A80)-1)*12)+VLOOKUP(AD$4,$DE$6:$DF$17,2)+1))*(VLOOKUP($A80,CURVES!$D$9:$K$261,3))*(INDEX(DailyScalarsTable,AD$5/100,MONTH($A80)))*$B80</f>
        <v>-39384.38664847811</v>
      </c>
      <c r="AE80" s="1021">
        <f>(VLOOKUP(YEAR($A80),'NY East Load Projections'!$A$4:$EO$14,((MONTH($A80)-1)*12)+VLOOKUP(AE$4,$DE$6:$DF$17,2)+1))*(VLOOKUP($A80,CURVES!$D$9:$K$261,7))*(INDEX(DailyScalarsTable,AE$5/100,MONTH($A80)))*$B80</f>
        <v>-35600.467436078354</v>
      </c>
      <c r="AF80" s="1021"/>
      <c r="AG80" s="1021">
        <f>(VLOOKUP(YEAR($A80),'NY East Load Projections'!$A$4:$EO$14,((MONTH($A80)-1)*12)+VLOOKUP(AG$4,$DE$6:$DF$17,2)+1))*(VLOOKUP($A80,CURVES!$D$9:$T$261,7))*(INDEX(DailyScalarsTable,AG$5/100,MONTH($A80)))*$C80</f>
        <v>-7097.8491450786696</v>
      </c>
      <c r="AH80" s="1021">
        <f>(VLOOKUP(YEAR($A80),'NY East Load Projections'!$A$4:$EO$14,((MONTH($A80)-1)*12)+VLOOKUP(AH$4,$DE$6:$DF$17,2)+1))*(VLOOKUP($A80,CURVES!$D$9:$T$261,7))*(INDEX(DailyScalarsTable,AH$5/100,MONTH($A80)))*$C80</f>
        <v>-6711.3312007217137</v>
      </c>
      <c r="AI80" s="1021">
        <f>(VLOOKUP(YEAR($A80),'NY East Load Projections'!$A$4:$EO$14,((MONTH($A80)-1)*12)+VLOOKUP(AI$4,$DE$6:$DF$17,2)+1))*(VLOOKUP($A80,CURVES!$D$9:$T$261,7))*(INDEX(DailyScalarsTable,AI$5/100,MONTH($A80)))*$C80</f>
        <v>-6425.3044892337548</v>
      </c>
      <c r="AJ80" s="1021">
        <f>(VLOOKUP(YEAR($A80),'NY East Load Projections'!$A$4:$EO$14,((MONTH($A80)-1)*12)+VLOOKUP(AJ$4,$DE$6:$DF$17,2)+1))*(VLOOKUP($A80,CURVES!$D$9:$T$261,7))*(INDEX(DailyScalarsTable,AJ$5/100,MONTH($A80)))*$C80</f>
        <v>-6429.3378692037368</v>
      </c>
      <c r="AK80" s="1021">
        <f>(VLOOKUP(YEAR($A80),'NY East Load Projections'!$A$4:$EO$14,((MONTH($A80)-1)*12)+VLOOKUP(AK$4,$DE$6:$DF$17,2)+1))*(VLOOKUP($A80,CURVES!$D$9:$T$261,7))*(INDEX(DailyScalarsTable,AK$5/100,MONTH($A80)))*$C80</f>
        <v>-7000.963762051244</v>
      </c>
      <c r="AL80" s="1021">
        <f>(VLOOKUP(YEAR($A80),'NY East Load Projections'!$A$4:$EO$14,((MONTH($A80)-1)*12)+VLOOKUP(AL$4,$DE$6:$DF$17,2)+1))*(VLOOKUP($A80,CURVES!$D$9:$T$261,7))*(INDEX(DailyScalarsTable,AL$5/100,MONTH($A80)))*$C80</f>
        <v>-8126.5318505067353</v>
      </c>
      <c r="AM80" s="1021">
        <f>(VLOOKUP(YEAR($A80),'NY East Load Projections'!$A$4:$EO$14,((MONTH($A80)-1)*12)+VLOOKUP(AM$4,$DE$6:$DF$17,2)+1))*(VLOOKUP($A80,CURVES!$D$9:$T$261,7))*(INDEX(DailyScalarsTable,AM$5/100,MONTH($A80)))*$C80</f>
        <v>-14663.406395655733</v>
      </c>
      <c r="AN80" s="1021">
        <f>(VLOOKUP(YEAR($A80),'NY East Load Projections'!$A$4:$EO$14,((MONTH($A80)-1)*12)+VLOOKUP(AN$4,$DE$6:$DF$17,2)+1))*(VLOOKUP($A80,SatSunCurve,3))*(INDEX(DailyScalarsTable,AN$5/100,MONTH($A80)))*$C80</f>
        <v>-10236.8054263791</v>
      </c>
      <c r="AO80" s="1021">
        <f>(VLOOKUP(YEAR($A80),'NY East Load Projections'!$A$4:$EO$14,((MONTH($A80)-1)*12)+VLOOKUP(AO$4,$DE$6:$DF$17,2)+1))*(VLOOKUP($A80,SatSunCurve,3))*(INDEX(DailyScalarsTable,AO$5/100,MONTH($A80)))*$C80</f>
        <v>-11437.399661827196</v>
      </c>
      <c r="AP80" s="1021">
        <f>(VLOOKUP(YEAR($A80),'NY East Load Projections'!$A$4:$EO$14,((MONTH($A80)-1)*12)+VLOOKUP(AP$4,$DE$6:$DF$17,2)+1))*(VLOOKUP($A80,SatSunCurve,3))*(INDEX(DailyScalarsTable,AP$5/100,MONTH($A80)))*$C80</f>
        <v>-11402.793308841334</v>
      </c>
      <c r="AQ80" s="1021">
        <f>(VLOOKUP(YEAR($A80),'NY East Load Projections'!$A$4:$EO$14,((MONTH($A80)-1)*12)+VLOOKUP(AQ$4,$DE$6:$DF$17,2)+1))*(VLOOKUP($A80,SatSunCurve,3))*(INDEX(DailyScalarsTable,AQ$5/100,MONTH($A80)))*$C80</f>
        <v>-11201.884204006748</v>
      </c>
      <c r="AR80" s="1021">
        <f>(VLOOKUP(YEAR($A80),'NY East Load Projections'!$A$4:$EO$14,((MONTH($A80)-1)*12)+VLOOKUP(AR$4,$DE$6:$DF$17,2)+1))*(VLOOKUP($A80,SatSunCurve,3))*(INDEX(DailyScalarsTable,AR$5/100,MONTH($A80)))*$C80</f>
        <v>-8559.3046385030557</v>
      </c>
      <c r="AS80" s="1021">
        <f>(VLOOKUP(YEAR($A80),'NY East Load Projections'!$A$4:$EO$14,((MONTH($A80)-1)*12)+VLOOKUP(AS$4,$DE$6:$DF$17,2)+1))*(VLOOKUP($A80,SatSunCurve,3))*(INDEX(DailyScalarsTable,AS$5/100,MONTH($A80)))*$C80</f>
        <v>-8347.5306504836117</v>
      </c>
      <c r="AT80" s="1021">
        <f>(VLOOKUP(YEAR($A80),'NY East Load Projections'!$A$4:$EO$14,((MONTH($A80)-1)*12)+VLOOKUP(AT$4,$DE$6:$DF$17,2)+1))*(VLOOKUP($A80,SatSunCurve,3))*(INDEX(DailyScalarsTable,AT$5/100,MONTH($A80)))*$C80</f>
        <v>-8081.1200978086035</v>
      </c>
      <c r="AU80" s="1021">
        <f>(VLOOKUP(YEAR($A80),'NY East Load Projections'!$A$4:$EO$14,((MONTH($A80)-1)*12)+VLOOKUP(AU$4,$DE$6:$DF$17,2)+1))*(VLOOKUP($A80,SatSunCurve,3))*(INDEX(DailyScalarsTable,AU$5/100,MONTH($A80)))*$C80</f>
        <v>-7674.747479416651</v>
      </c>
      <c r="AV80" s="1021">
        <f>(VLOOKUP(YEAR($A80),'NY East Load Projections'!$A$4:$EO$14,((MONTH($A80)-1)*12)+VLOOKUP(AV$4,$DE$6:$DF$17,2)+1))*(VLOOKUP($A80,SatSunCurve,3))*(INDEX(DailyScalarsTable,AV$5/100,MONTH($A80)))*$C80</f>
        <v>-7522.2370905664648</v>
      </c>
      <c r="AW80" s="1021">
        <f>(VLOOKUP(YEAR($A80),'NY East Load Projections'!$A$4:$EO$14,((MONTH($A80)-1)*12)+VLOOKUP(AW$4,$DE$6:$DF$17,2)+1))*(VLOOKUP($A80,SatSunCurve,3))*(INDEX(DailyScalarsTable,AW$5/100,MONTH($A80)))*$C80</f>
        <v>-7891.563920881279</v>
      </c>
      <c r="AX80" s="1021">
        <f>(VLOOKUP(YEAR($A80),'NY East Load Projections'!$A$4:$EO$14,((MONTH($A80)-1)*12)+VLOOKUP(AX$4,$DE$6:$DF$17,2)+1))*(VLOOKUP($A80,SatSunCurve,3))*(INDEX(DailyScalarsTable,AX$5/100,MONTH($A80)))*$C80</f>
        <v>-10758.943608235388</v>
      </c>
      <c r="AY80" s="1021">
        <f>(VLOOKUP(YEAR($A80),'NY East Load Projections'!$A$4:$EO$14,((MONTH($A80)-1)*12)+VLOOKUP(AY$4,$DE$6:$DF$17,2)+1))*(VLOOKUP($A80,SatSunCurve,3))*(INDEX(DailyScalarsTable,AY$5/100,MONTH($A80)))*$C80</f>
        <v>-11814.124471479399</v>
      </c>
      <c r="AZ80" s="1021">
        <f>(VLOOKUP(YEAR($A80),'NY East Load Projections'!$A$4:$EO$14,((MONTH($A80)-1)*12)+VLOOKUP(AZ$4,$DE$6:$DF$17,2)+1))*(VLOOKUP($A80,SatSunCurve,3))*(INDEX(DailyScalarsTable,AZ$5/100,MONTH($A80)))*$C80</f>
        <v>-11304.182311337709</v>
      </c>
      <c r="BA80" s="1021">
        <f>(VLOOKUP(YEAR($A80),'NY East Load Projections'!$A$4:$EO$14,((MONTH($A80)-1)*12)+VLOOKUP(BA$4,$DE$6:$DF$17,2)+1))*(VLOOKUP($A80,SatSunCurve,3))*(INDEX(DailyScalarsTable,BA$5/100,MONTH($A80)))*$C80</f>
        <v>-10270.078602676054</v>
      </c>
      <c r="BB80" s="1021">
        <f>(VLOOKUP(YEAR($A80),'NY East Load Projections'!$A$4:$EO$14,((MONTH($A80)-1)*12)+VLOOKUP(BB$4,$DE$6:$DF$17,2)+1))*(VLOOKUP($A80,SatSunCurve,3))*(INDEX(DailyScalarsTable,BB$5/100,MONTH($A80)))*$C80</f>
        <v>-7457.4887417039026</v>
      </c>
      <c r="BC80" s="1021">
        <f>(VLOOKUP(YEAR($A80),'NY East Load Projections'!$A$4:$EO$14,((MONTH($A80)-1)*12)+VLOOKUP(BC$4,$DE$6:$DF$17,2)+1))*(VLOOKUP($A80,SatSunCurve,3))*(INDEX(DailyScalarsTable,BC$5/100,MONTH($A80)))*$C80</f>
        <v>-6121.1498090353743</v>
      </c>
      <c r="BD80" s="1021">
        <f>(VLOOKUP(YEAR($A80),'NY East Load Projections'!$A$4:$EO$14,((MONTH($A80)-1)*12)+VLOOKUP(BD$4,$DE$6:$DF$17,2)+1))*(VLOOKUP($A80,CURVES!$D$9:$T$261,7))*(INDEX(DailyScalarsTable,BD$5/100,MONTH($A80)))*$C80</f>
        <v>-8490.8434388218429</v>
      </c>
      <c r="BE80" s="1021"/>
      <c r="BF80" s="1021">
        <f>(VLOOKUP(YEAR($A80),'NY East Load Projections'!$A$4:$EO$14,((MONTH($A80)-1)*12)+VLOOKUP(BF$4,$DE$6:$DF$17,2)+1))*(VLOOKUP($A80,CURVES!$D$9:$T$261,7))*(INDEX(DailyScalarsTable,BF$5/100,MONTH($A80)))*$D80</f>
        <v>-5678.2793160629353</v>
      </c>
      <c r="BG80" s="1021">
        <f>(VLOOKUP(YEAR($A80),'NY East Load Projections'!$A$4:$EO$14,((MONTH($A80)-1)*12)+VLOOKUP(BG$4,$DE$6:$DF$17,2)+1))*(VLOOKUP($A80,CURVES!$D$9:$T$261,7))*(INDEX(DailyScalarsTable,BG$5/100,MONTH($A80)))*$D80</f>
        <v>-5369.0649605773706</v>
      </c>
      <c r="BH80" s="1021">
        <f>(VLOOKUP(YEAR($A80),'NY East Load Projections'!$A$4:$EO$14,((MONTH($A80)-1)*12)+VLOOKUP(BH$4,$DE$6:$DF$17,2)+1))*(VLOOKUP($A80,CURVES!$D$9:$T$261,7))*(INDEX(DailyScalarsTable,BH$5/100,MONTH($A80)))*$D80</f>
        <v>-5140.243591387004</v>
      </c>
      <c r="BI80" s="1021">
        <f>(VLOOKUP(YEAR($A80),'NY East Load Projections'!$A$4:$EO$14,((MONTH($A80)-1)*12)+VLOOKUP(BI$4,$DE$6:$DF$17,2)+1))*(VLOOKUP($A80,CURVES!$D$9:$T$261,7))*(INDEX(DailyScalarsTable,BI$5/100,MONTH($A80)))*$D80</f>
        <v>-5143.4702953629894</v>
      </c>
      <c r="BJ80" s="1021">
        <f>(VLOOKUP(YEAR($A80),'NY East Load Projections'!$A$4:$EO$14,((MONTH($A80)-1)*12)+VLOOKUP(BJ$4,$DE$6:$DF$17,2)+1))*(VLOOKUP($A80,CURVES!$D$9:$T$261,7))*(INDEX(DailyScalarsTable,BJ$5/100,MONTH($A80)))*$D80</f>
        <v>-5600.7710096409955</v>
      </c>
      <c r="BK80" s="1021">
        <f>(VLOOKUP(YEAR($A80),'NY East Load Projections'!$A$4:$EO$14,((MONTH($A80)-1)*12)+VLOOKUP(BK$4,$DE$6:$DF$17,2)+1))*(VLOOKUP($A80,CURVES!$D$9:$T$261,7))*(INDEX(DailyScalarsTable,BK$5/100,MONTH($A80)))*$D80</f>
        <v>-6501.2254804053882</v>
      </c>
      <c r="BL80" s="1021">
        <f>(VLOOKUP(YEAR($A80),'NY East Load Projections'!$A$4:$EO$14,((MONTH($A80)-1)*12)+VLOOKUP(BL$4,$DE$6:$DF$17,2)+1))*(VLOOKUP($A80,CURVES!$D$9:$T$261,7))*(INDEX(DailyScalarsTable,BL$5/100,MONTH($A80)))*$D80</f>
        <v>-11730.725116524587</v>
      </c>
      <c r="BM80" s="1021">
        <f>(VLOOKUP(YEAR($A80),'NY East Load Projections'!$A$4:$EO$14,((MONTH($A80)-1)*12)+VLOOKUP(BM$4,$DE$6:$DF$17,2)+1))*(VLOOKUP($A80,SatSunCurve,7))*(INDEX(DailyScalarsTable,BM$5/100,MONTH($A80)))*$D80</f>
        <v>-8049.2926143164286</v>
      </c>
      <c r="BN80" s="1021">
        <f>(VLOOKUP(YEAR($A80),'NY East Load Projections'!$A$4:$EO$14,((MONTH($A80)-1)*12)+VLOOKUP(BN$4,$DE$6:$DF$17,2)+1))*(VLOOKUP($A80,SatSunCurve,7))*(INDEX(DailyScalarsTable,BN$5/100,MONTH($A80)))*$D80</f>
        <v>-8993.3307111313152</v>
      </c>
      <c r="BO80" s="1021">
        <f>(VLOOKUP(YEAR($A80),'NY East Load Projections'!$A$4:$EO$14,((MONTH($A80)-1)*12)+VLOOKUP(BO$4,$DE$6:$DF$17,2)+1))*(VLOOKUP($A80,SatSunCurve,7))*(INDEX(DailyScalarsTable,BO$5/100,MONTH($A80)))*$D80</f>
        <v>-8966.119423049222</v>
      </c>
      <c r="BP80" s="1021">
        <f>(VLOOKUP(YEAR($A80),'NY East Load Projections'!$A$4:$EO$14,((MONTH($A80)-1)*12)+VLOOKUP(BP$4,$DE$6:$DF$17,2)+1))*(VLOOKUP($A80,SatSunCurve,7))*(INDEX(DailyScalarsTable,BP$5/100,MONTH($A80)))*$D80</f>
        <v>-8808.1427783504132</v>
      </c>
      <c r="BQ80" s="1021">
        <f>(VLOOKUP(YEAR($A80),'NY East Load Projections'!$A$4:$EO$14,((MONTH($A80)-1)*12)+VLOOKUP(BQ$4,$DE$6:$DF$17,2)+1))*(VLOOKUP($A80,SatSunCurve,7))*(INDEX(DailyScalarsTable,BQ$5/100,MONTH($A80)))*$D80</f>
        <v>-6730.2585856373535</v>
      </c>
      <c r="BR80" s="1021">
        <f>(VLOOKUP(YEAR($A80),'NY East Load Projections'!$A$4:$EO$14,((MONTH($A80)-1)*12)+VLOOKUP(BR$4,$DE$6:$DF$17,2)+1))*(VLOOKUP($A80,SatSunCurve,7))*(INDEX(DailyScalarsTable,BR$5/100,MONTH($A80)))*$D80</f>
        <v>-6563.7387851069461</v>
      </c>
      <c r="BS80" s="1021">
        <f>(VLOOKUP(YEAR($A80),'NY East Load Projections'!$A$4:$EO$14,((MONTH($A80)-1)*12)+VLOOKUP(BS$4,$DE$6:$DF$17,2)+1))*(VLOOKUP($A80,SatSunCurve,7))*(INDEX(DailyScalarsTable,BS$5/100,MONTH($A80)))*$D80</f>
        <v>-6354.2577600503419</v>
      </c>
      <c r="BT80" s="1021">
        <f>(VLOOKUP(YEAR($A80),'NY East Load Projections'!$A$4:$EO$14,((MONTH($A80)-1)*12)+VLOOKUP(BT$4,$DE$6:$DF$17,2)+1))*(VLOOKUP($A80,SatSunCurve,7))*(INDEX(DailyScalarsTable,BT$5/100,MONTH($A80)))*$D80</f>
        <v>-6034.7232979168975</v>
      </c>
      <c r="BU80" s="1021">
        <f>(VLOOKUP(YEAR($A80),'NY East Load Projections'!$A$4:$EO$14,((MONTH($A80)-1)*12)+VLOOKUP(BU$4,$DE$6:$DF$17,2)+1))*(VLOOKUP($A80,SatSunCurve,7))*(INDEX(DailyScalarsTable,BU$5/100,MONTH($A80)))*$D80</f>
        <v>-5914.8030009642034</v>
      </c>
      <c r="BV80" s="1021">
        <f>(VLOOKUP(YEAR($A80),'NY East Load Projections'!$A$4:$EO$14,((MONTH($A80)-1)*12)+VLOOKUP(BV$4,$DE$6:$DF$17,2)+1))*(VLOOKUP($A80,SatSunCurve,7))*(INDEX(DailyScalarsTable,BV$5/100,MONTH($A80)))*$D80</f>
        <v>-6205.2080251586949</v>
      </c>
      <c r="BW80" s="1021">
        <f>(VLOOKUP(YEAR($A80),'NY East Load Projections'!$A$4:$EO$14,((MONTH($A80)-1)*12)+VLOOKUP(BW$4,$DE$6:$DF$17,2)+1))*(VLOOKUP($A80,SatSunCurve,7))*(INDEX(DailyScalarsTable,BW$5/100,MONTH($A80)))*$D80</f>
        <v>-8459.854585147501</v>
      </c>
      <c r="BX80" s="1021">
        <f>(VLOOKUP(YEAR($A80),'NY East Load Projections'!$A$4:$EO$14,((MONTH($A80)-1)*12)+VLOOKUP(BX$4,$DE$6:$DF$17,2)+1))*(VLOOKUP($A80,SatSunCurve,7))*(INDEX(DailyScalarsTable,BX$5/100,MONTH($A80)))*$D80</f>
        <v>-9289.5528333325619</v>
      </c>
      <c r="BY80" s="1021">
        <f>(VLOOKUP(YEAR($A80),'NY East Load Projections'!$A$4:$EO$14,((MONTH($A80)-1)*12)+VLOOKUP(BY$4,$DE$6:$DF$17,2)+1))*(VLOOKUP($A80,SatSunCurve,7))*(INDEX(DailyScalarsTable,BY$5/100,MONTH($A80)))*$D80</f>
        <v>-8888.5807045881975</v>
      </c>
      <c r="BZ80" s="1021">
        <f>(VLOOKUP(YEAR($A80),'NY East Load Projections'!$A$4:$EO$14,((MONTH($A80)-1)*12)+VLOOKUP(BZ$4,$DE$6:$DF$17,2)+1))*(VLOOKUP($A80,SatSunCurve,7))*(INDEX(DailyScalarsTable,BZ$5/100,MONTH($A80)))*$D80</f>
        <v>-8075.4556135204348</v>
      </c>
      <c r="CA80" s="1021">
        <f>(VLOOKUP(YEAR($A80),'NY East Load Projections'!$A$4:$EO$14,((MONTH($A80)-1)*12)+VLOOKUP(CA$4,$DE$6:$DF$17,2)+1))*(VLOOKUP($A80,SatSunCurve,7))*(INDEX(DailyScalarsTable,CA$5/100,MONTH($A80)))*$D80</f>
        <v>-5863.8907891382778</v>
      </c>
      <c r="CB80" s="1021">
        <f>(VLOOKUP(YEAR($A80),'NY East Load Projections'!$A$4:$EO$14,((MONTH($A80)-1)*12)+VLOOKUP(CB$4,$DE$6:$DF$17,2)+1))*(VLOOKUP($A80,SatSunCurve,7))*(INDEX(DailyScalarsTable,CB$5/100,MONTH($A80)))*$D80</f>
        <v>-4813.1154102067039</v>
      </c>
      <c r="CC80" s="1021">
        <f>(VLOOKUP(YEAR($A80),'NY East Load Projections'!$A$4:$EO$14,((MONTH($A80)-1)*12)+VLOOKUP(CC$4,$DE$6:$DF$17,2)+1))*(VLOOKUP($A80,CURVES!$D$9:$T$261,7))*(INDEX(DailyScalarsTable,CC$5/100,MONTH($A80)))*$D80</f>
        <v>-6792.6747510574742</v>
      </c>
      <c r="CE80" s="1021">
        <f>(VLOOKUP(YEAR($A80),'NY East Load Projections'!$A$4:$EO$14,((MONTH($A80)-1)*12)+VLOOKUP(CE$4,$DE$6:$DF$17,2)+1))*(VLOOKUP($A80,CURVES!$D$9:$T$261,7))*(INDEX(DailyScalarsTable,CE$5/100,MONTH($A80)))*$E80</f>
        <v>0</v>
      </c>
      <c r="CF80" s="1021">
        <f>(VLOOKUP(YEAR($A80),'NY East Load Projections'!$A$4:$EO$14,((MONTH($A80)-1)*12)+VLOOKUP(CF$4,$DE$6:$DF$17,2)+1))*(VLOOKUP($A80,CURVES!$D$9:$T$261,7))*(INDEX(DailyScalarsTable,CF$5/100,MONTH($A80)))*$E80</f>
        <v>0</v>
      </c>
      <c r="CG80" s="1021">
        <f>(VLOOKUP(YEAR($A80),'NY East Load Projections'!$A$4:$EO$14,((MONTH($A80)-1)*12)+VLOOKUP(CG$4,$DE$6:$DF$17,2)+1))*(VLOOKUP($A80,CURVES!$D$9:$T$261,7))*(INDEX(DailyScalarsTable,CG$5/100,MONTH($A80)))*$E80</f>
        <v>0</v>
      </c>
      <c r="CH80" s="1021">
        <f>(VLOOKUP(YEAR($A80),'NY East Load Projections'!$A$4:$EO$14,((MONTH($A80)-1)*12)+VLOOKUP(CH$4,$DE$6:$DF$17,2)+1))*(VLOOKUP($A80,CURVES!$D$9:$T$261,7))*(INDEX(DailyScalarsTable,CH$5/100,MONTH($A80)))*$E80</f>
        <v>0</v>
      </c>
      <c r="CI80" s="1021">
        <f>(VLOOKUP(YEAR($A80),'NY East Load Projections'!$A$4:$EO$14,((MONTH($A80)-1)*12)+VLOOKUP(CI$4,$DE$6:$DF$17,2)+1))*(VLOOKUP($A80,CURVES!$D$9:$T$261,7))*(INDEX(DailyScalarsTable,CI$5/100,MONTH($A80)))*$E80</f>
        <v>0</v>
      </c>
      <c r="CJ80" s="1021">
        <f>(VLOOKUP(YEAR($A80),'NY East Load Projections'!$A$4:$EO$14,((MONTH($A80)-1)*12)+VLOOKUP(CJ$4,$DE$6:$DF$17,2)+1))*(VLOOKUP($A80,CURVES!$D$9:$T$261,7))*(INDEX(DailyScalarsTable,CJ$5/100,MONTH($A80)))*$E80</f>
        <v>0</v>
      </c>
      <c r="CK80" s="1021">
        <f>(VLOOKUP(YEAR($A80),'NY East Load Projections'!$A$4:$EO$14,((MONTH($A80)-1)*12)+VLOOKUP(CK$4,$DE$6:$DF$17,2)+1))*(VLOOKUP($A80,CURVES!$D$9:$T$261,7))*(INDEX(DailyScalarsTable,CK$5/100,MONTH($A80)))*$E80</f>
        <v>0</v>
      </c>
      <c r="CL80" s="1021">
        <f>(VLOOKUP(YEAR($A80),'NY East Load Projections'!$A$4:$EO$14,((MONTH($A80)-1)*12)+VLOOKUP(CL$4,$DE$6:$DF$17,2)+1))*(VLOOKUP($A80,SatSunCurve,7))*(INDEX(DailyScalarsTable,CL$5/100,MONTH($A80)))*$E80</f>
        <v>0</v>
      </c>
      <c r="CM80" s="1021">
        <f>(VLOOKUP(YEAR($A80),'NY East Load Projections'!$A$4:$EO$14,((MONTH($A80)-1)*12)+VLOOKUP(CM$4,$DE$6:$DF$17,2)+1))*(VLOOKUP($A80,SatSunCurve,7))*(INDEX(DailyScalarsTable,CM$5/100,MONTH($A80)))*$E80</f>
        <v>0</v>
      </c>
      <c r="CN80" s="1021">
        <f>(VLOOKUP(YEAR($A80),'NY East Load Projections'!$A$4:$EO$14,((MONTH($A80)-1)*12)+VLOOKUP(CN$4,$DE$6:$DF$17,2)+1))*(VLOOKUP($A80,SatSunCurve,7))*(INDEX(DailyScalarsTable,CN$5/100,MONTH($A80)))*$E80</f>
        <v>0</v>
      </c>
      <c r="CO80" s="1021">
        <f>(VLOOKUP(YEAR($A80),'NY East Load Projections'!$A$4:$EO$14,((MONTH($A80)-1)*12)+VLOOKUP(CO$4,$DE$6:$DF$17,2)+1))*(VLOOKUP($A80,SatSunCurve,7))*(INDEX(DailyScalarsTable,CO$5/100,MONTH($A80)))*$E80</f>
        <v>0</v>
      </c>
      <c r="CP80" s="1021">
        <f>(VLOOKUP(YEAR($A80),'NY East Load Projections'!$A$4:$EO$14,((MONTH($A80)-1)*12)+VLOOKUP(CP$4,$DE$6:$DF$17,2)+1))*(VLOOKUP($A80,SatSunCurve,7))*(INDEX(DailyScalarsTable,CP$5/100,MONTH($A80)))*$E80</f>
        <v>0</v>
      </c>
      <c r="CQ80" s="1021">
        <f>(VLOOKUP(YEAR($A80),'NY East Load Projections'!$A$4:$EO$14,((MONTH($A80)-1)*12)+VLOOKUP(CQ$4,$DE$6:$DF$17,2)+1))*(VLOOKUP($A80,SatSunCurve,7))*(INDEX(DailyScalarsTable,CQ$5/100,MONTH($A80)))*$E80</f>
        <v>0</v>
      </c>
      <c r="CR80" s="1021">
        <f>(VLOOKUP(YEAR($A80),'NY East Load Projections'!$A$4:$EO$14,((MONTH($A80)-1)*12)+VLOOKUP(CR$4,$DE$6:$DF$17,2)+1))*(VLOOKUP($A80,SatSunCurve,7))*(INDEX(DailyScalarsTable,CR$5/100,MONTH($A80)))*$E80</f>
        <v>0</v>
      </c>
      <c r="CS80" s="1021">
        <f>(VLOOKUP(YEAR($A80),'NY East Load Projections'!$A$4:$EO$14,((MONTH($A80)-1)*12)+VLOOKUP(CS$4,$DE$6:$DF$17,2)+1))*(VLOOKUP($A80,SatSunCurve,7))*(INDEX(DailyScalarsTable,CS$5/100,MONTH($A80)))*$E80</f>
        <v>0</v>
      </c>
      <c r="CT80" s="1021">
        <f>(VLOOKUP(YEAR($A80),'NY East Load Projections'!$A$4:$EO$14,((MONTH($A80)-1)*12)+VLOOKUP(CT$4,$DE$6:$DF$17,2)+1))*(VLOOKUP($A80,SatSunCurve,7))*(INDEX(DailyScalarsTable,CT$5/100,MONTH($A80)))*$E80</f>
        <v>0</v>
      </c>
      <c r="CU80" s="1021">
        <f>(VLOOKUP(YEAR($A80),'NY East Load Projections'!$A$4:$EO$14,((MONTH($A80)-1)*12)+VLOOKUP(CU$4,$DE$6:$DF$17,2)+1))*(VLOOKUP($A80,SatSunCurve,7))*(INDEX(DailyScalarsTable,CU$5/100,MONTH($A80)))*$E80</f>
        <v>0</v>
      </c>
      <c r="CV80" s="1021">
        <f>(VLOOKUP(YEAR($A80),'NY East Load Projections'!$A$4:$EO$14,((MONTH($A80)-1)*12)+VLOOKUP(CV$4,$DE$6:$DF$17,2)+1))*(VLOOKUP($A80,SatSunCurve,7))*(INDEX(DailyScalarsTable,CV$5/100,MONTH($A80)))*$E80</f>
        <v>0</v>
      </c>
      <c r="CW80" s="1021">
        <f>(VLOOKUP(YEAR($A80),'NY East Load Projections'!$A$4:$EO$14,((MONTH($A80)-1)*12)+VLOOKUP(CW$4,$DE$6:$DF$17,2)+1))*(VLOOKUP($A80,SatSunCurve,7))*(INDEX(DailyScalarsTable,CW$5/100,MONTH($A80)))*$E80</f>
        <v>0</v>
      </c>
      <c r="CX80" s="1021">
        <f>(VLOOKUP(YEAR($A80),'NY East Load Projections'!$A$4:$EO$14,((MONTH($A80)-1)*12)+VLOOKUP(CX$4,$DE$6:$DF$17,2)+1))*(VLOOKUP($A80,SatSunCurve,7))*(INDEX(DailyScalarsTable,CX$5/100,MONTH($A80)))*$E80</f>
        <v>0</v>
      </c>
      <c r="CY80" s="1021">
        <f>(VLOOKUP(YEAR($A80),'NY East Load Projections'!$A$4:$EO$14,((MONTH($A80)-1)*12)+VLOOKUP(CY$4,$DE$6:$DF$17,2)+1))*(VLOOKUP($A80,SatSunCurve,7))*(INDEX(DailyScalarsTable,CY$5/100,MONTH($A80)))*$E80</f>
        <v>0</v>
      </c>
      <c r="CZ80" s="1021">
        <f>(VLOOKUP(YEAR($A80),'NY East Load Projections'!$A$4:$EO$14,((MONTH($A80)-1)*12)+VLOOKUP(CZ$4,$DE$6:$DF$17,2)+1))*(VLOOKUP($A80,SatSunCurve,7))*(INDEX(DailyScalarsTable,CZ$5/100,MONTH($A80)))*$E80</f>
        <v>0</v>
      </c>
      <c r="DA80" s="1021">
        <f>(VLOOKUP(YEAR($A80),'NY East Load Projections'!$A$4:$EO$14,((MONTH($A80)-1)*12)+VLOOKUP(DA$4,$DE$6:$DF$17,2)+1))*(VLOOKUP($A80,SatSunCurve,7))*(INDEX(DailyScalarsTable,DA$5/100,MONTH($A80)))*$E80</f>
        <v>0</v>
      </c>
      <c r="DB80" s="1021">
        <f>(VLOOKUP(YEAR($A80),'NY East Load Projections'!$A$4:$EO$14,((MONTH($A80)-1)*12)+VLOOKUP(DB$4,$DE$6:$DF$17,2)+1))*(VLOOKUP($A80,CURVES!$D$9:$T$261,7))*(INDEX(DailyScalarsTable,DB$5/100,MONTH($A80)))*$E80</f>
        <v>0</v>
      </c>
      <c r="DH80" s="1032">
        <f t="shared" si="2"/>
        <v>-1650639.496983682</v>
      </c>
      <c r="DI80">
        <f ca="1">CALC!J100</f>
        <v>0.5969503290230761</v>
      </c>
      <c r="DJ80" s="1029">
        <f t="shared" ca="1" si="3"/>
        <v>-985349.79082289385</v>
      </c>
    </row>
    <row r="81" spans="1:114" x14ac:dyDescent="0.25">
      <c r="A81" s="244">
        <v>39173</v>
      </c>
      <c r="B81" s="13">
        <v>21</v>
      </c>
      <c r="C81" s="210">
        <v>4</v>
      </c>
      <c r="D81" s="210">
        <v>5</v>
      </c>
      <c r="E81" s="210">
        <v>0</v>
      </c>
      <c r="F81" s="13">
        <v>30</v>
      </c>
      <c r="H81" s="1021">
        <f>(VLOOKUP(YEAR($A81),'NY East Load Projections'!$A$4:$EO$14,((MONTH($A81)-1)*12)+VLOOKUP(H$4,$DE$6:$DF$17,2)+1))*(VLOOKUP($A81,CURVES!$D$9:$K$261,7))*(INDEX(DailyScalarsTable,H$5/100,MONTH($A81)))*$B81</f>
        <v>-31065.967994792863</v>
      </c>
      <c r="I81" s="1021">
        <f>(VLOOKUP(YEAR($A81),'NY East Load Projections'!$A$4:$EO$14,((MONTH($A81)-1)*12)+VLOOKUP(I$4,$DE$6:$DF$17,2)+1))*(VLOOKUP($A81,CURVES!$D$9:$K$261,7))*(INDEX(DailyScalarsTable,I$5/100,MONTH($A81)))*$B81</f>
        <v>-29465.194313245505</v>
      </c>
      <c r="J81" s="1021">
        <f>(VLOOKUP(YEAR($A81),'NY East Load Projections'!$A$4:$EO$14,((MONTH($A81)-1)*12)+VLOOKUP(J$4,$DE$6:$DF$17,2)+1))*(VLOOKUP($A81,CURVES!$D$9:$K$261,7))*(INDEX(DailyScalarsTable,J$5/100,MONTH($A81)))*$B81</f>
        <v>-28280.607572437901</v>
      </c>
      <c r="K81" s="1021">
        <f>(VLOOKUP(YEAR($A81),'NY East Load Projections'!$A$4:$EO$14,((MONTH($A81)-1)*12)+VLOOKUP(K$4,$DE$6:$DF$17,2)+1))*(VLOOKUP($A81,CURVES!$D$9:$K$261,7))*(INDEX(DailyScalarsTable,K$5/100,MONTH($A81)))*$B81</f>
        <v>-28297.311915917653</v>
      </c>
      <c r="L81" s="1021">
        <f>(VLOOKUP(YEAR($A81),'NY East Load Projections'!$A$4:$EO$14,((MONTH($A81)-1)*12)+VLOOKUP(L$4,$DE$6:$DF$17,2)+1))*(VLOOKUP($A81,CURVES!$D$9:$K$261,7))*(INDEX(DailyScalarsTable,L$5/100,MONTH($A81)))*$B81</f>
        <v>-32647.509533188422</v>
      </c>
      <c r="M81" s="1021">
        <f>(VLOOKUP(YEAR($A81),'NY East Load Projections'!$A$4:$EO$14,((MONTH($A81)-1)*12)+VLOOKUP(M$4,$DE$6:$DF$17,2)+1))*(VLOOKUP($A81,CURVES!$D$9:$K$261,7))*(INDEX(DailyScalarsTable,M$5/100,MONTH($A81)))*$B81</f>
        <v>-37607.161796656736</v>
      </c>
      <c r="N81" s="1021">
        <f>(VLOOKUP(YEAR($A81),'NY East Load Projections'!$A$4:$EO$14,((MONTH($A81)-1)*12)+VLOOKUP(N$4,$DE$6:$DF$17,2)+1))*(VLOOKUP($A81,CURVES!$D$9:$K$261,7))*(INDEX(DailyScalarsTable,N$5/100,MONTH($A81)))*$B81</f>
        <v>-53638.738438982953</v>
      </c>
      <c r="O81" s="1021">
        <f>(VLOOKUP(YEAR($A81),'NY East Load Projections'!$A$4:$EO$14,((MONTH($A81)-1)*12)+VLOOKUP(O$4,$DE$6:$DF$17,2)+1))*(VLOOKUP($A81,CURVES!$D$9:$K$261,3))*(INDEX(DailyScalarsTable,O$5/100,MONTH($A81)))*$B81</f>
        <v>-65873.087843852365</v>
      </c>
      <c r="P81" s="1021">
        <f>(VLOOKUP(YEAR($A81),'NY East Load Projections'!$A$4:$EO$14,((MONTH($A81)-1)*12)+VLOOKUP(P$4,$DE$6:$DF$17,2)+1))*(VLOOKUP($A81,CURVES!$D$9:$K$261,3))*(INDEX(DailyScalarsTable,P$5/100,MONTH($A81)))*$B81</f>
        <v>-71735.931381824732</v>
      </c>
      <c r="Q81" s="1021">
        <f>(VLOOKUP(YEAR($A81),'NY East Load Projections'!$A$4:$EO$14,((MONTH($A81)-1)*12)+VLOOKUP(Q$4,$DE$6:$DF$17,2)+1))*(VLOOKUP($A81,CURVES!$D$9:$K$261,3))*(INDEX(DailyScalarsTable,Q$5/100,MONTH($A81)))*$B81</f>
        <v>-68748.536016283499</v>
      </c>
      <c r="R81" s="1021">
        <f>(VLOOKUP(YEAR($A81),'NY East Load Projections'!$A$4:$EO$14,((MONTH($A81)-1)*12)+VLOOKUP(R$4,$DE$6:$DF$17,2)+1))*(VLOOKUP($A81,CURVES!$D$9:$K$261,3))*(INDEX(DailyScalarsTable,R$5/100,MONTH($A81)))*$B81</f>
        <v>-70165.85430518401</v>
      </c>
      <c r="S81" s="1021">
        <f>(VLOOKUP(YEAR($A81),'NY East Load Projections'!$A$4:$EO$14,((MONTH($A81)-1)*12)+VLOOKUP(S$4,$DE$6:$DF$17,2)+1))*(VLOOKUP($A81,CURVES!$D$9:$K$261,3))*(INDEX(DailyScalarsTable,S$5/100,MONTH($A81)))*$B81</f>
        <v>-70303.438378910301</v>
      </c>
      <c r="T81" s="1021">
        <f>(VLOOKUP(YEAR($A81),'NY East Load Projections'!$A$4:$EO$14,((MONTH($A81)-1)*12)+VLOOKUP(T$4,$DE$6:$DF$17,2)+1))*(VLOOKUP($A81,CURVES!$D$9:$K$261,3))*(INDEX(DailyScalarsTable,T$5/100,MONTH($A81)))*$B81</f>
        <v>-65933.512527163839</v>
      </c>
      <c r="U81" s="1021">
        <f>(VLOOKUP(YEAR($A81),'NY East Load Projections'!$A$4:$EO$14,((MONTH($A81)-1)*12)+VLOOKUP(U$4,$DE$6:$DF$17,2)+1))*(VLOOKUP($A81,CURVES!$D$9:$K$261,3))*(INDEX(DailyScalarsTable,U$5/100,MONTH($A81)))*$B81</f>
        <v>-66004.508692732808</v>
      </c>
      <c r="V81" s="1021">
        <f>(VLOOKUP(YEAR($A81),'NY East Load Projections'!$A$4:$EO$14,((MONTH($A81)-1)*12)+VLOOKUP(V$4,$DE$6:$DF$17,2)+1))*(VLOOKUP($A81,CURVES!$D$9:$K$261,3))*(INDEX(DailyScalarsTable,V$5/100,MONTH($A81)))*$B81</f>
        <v>-61907.612314898863</v>
      </c>
      <c r="W81" s="1021">
        <f>(VLOOKUP(YEAR($A81),'NY East Load Projections'!$A$4:$EO$14,((MONTH($A81)-1)*12)+VLOOKUP(W$4,$DE$6:$DF$17,2)+1))*(VLOOKUP($A81,CURVES!$D$9:$K$261,3))*(INDEX(DailyScalarsTable,W$5/100,MONTH($A81)))*$B81</f>
        <v>-57859.786816208209</v>
      </c>
      <c r="X81" s="1021">
        <f>(VLOOKUP(YEAR($A81),'NY East Load Projections'!$A$4:$EO$14,((MONTH($A81)-1)*12)+VLOOKUP(X$4,$DE$6:$DF$17,2)+1))*(VLOOKUP($A81,CURVES!$D$9:$K$261,3))*(INDEX(DailyScalarsTable,X$5/100,MONTH($A81)))*$B81</f>
        <v>-53884.090497262354</v>
      </c>
      <c r="Y81" s="1021">
        <f>(VLOOKUP(YEAR($A81),'NY East Load Projections'!$A$4:$EO$14,((MONTH($A81)-1)*12)+VLOOKUP(Y$4,$DE$6:$DF$17,2)+1))*(VLOOKUP($A81,CURVES!$D$9:$K$261,3))*(INDEX(DailyScalarsTable,Y$5/100,MONTH($A81)))*$B81</f>
        <v>-53183.300257509982</v>
      </c>
      <c r="Z81" s="1021">
        <f>(VLOOKUP(YEAR($A81),'NY East Load Projections'!$A$4:$EO$14,((MONTH($A81)-1)*12)+VLOOKUP(Z$4,$DE$6:$DF$17,2)+1))*(VLOOKUP($A81,CURVES!$D$9:$K$261,3))*(INDEX(DailyScalarsTable,Z$5/100,MONTH($A81)))*$B81</f>
        <v>-52898.19924958796</v>
      </c>
      <c r="AA81" s="1021">
        <f>(VLOOKUP(YEAR($A81),'NY East Load Projections'!$A$4:$EO$14,((MONTH($A81)-1)*12)+VLOOKUP(AA$4,$DE$6:$DF$17,2)+1))*(VLOOKUP($A81,CURVES!$D$9:$K$261,3))*(INDEX(DailyScalarsTable,AA$5/100,MONTH($A81)))*$B81</f>
        <v>-58021.045682144875</v>
      </c>
      <c r="AB81" s="1021">
        <f>(VLOOKUP(YEAR($A81),'NY East Load Projections'!$A$4:$EO$14,((MONTH($A81)-1)*12)+VLOOKUP(AB$4,$DE$6:$DF$17,2)+1))*(VLOOKUP($A81,CURVES!$D$9:$K$261,3))*(INDEX(DailyScalarsTable,AB$5/100,MONTH($A81)))*$B81</f>
        <v>-65572.015468098209</v>
      </c>
      <c r="AC81" s="1021">
        <f>(VLOOKUP(YEAR($A81),'NY East Load Projections'!$A$4:$EO$14,((MONTH($A81)-1)*12)+VLOOKUP(AC$4,$DE$6:$DF$17,2)+1))*(VLOOKUP($A81,CURVES!$D$9:$K$261,3))*(INDEX(DailyScalarsTable,AC$5/100,MONTH($A81)))*$B81</f>
        <v>-55872.305320145009</v>
      </c>
      <c r="AD81" s="1021">
        <f>(VLOOKUP(YEAR($A81),'NY East Load Projections'!$A$4:$EO$14,((MONTH($A81)-1)*12)+VLOOKUP(AD$4,$DE$6:$DF$17,2)+1))*(VLOOKUP($A81,CURVES!$D$9:$K$261,3))*(INDEX(DailyScalarsTable,AD$5/100,MONTH($A81)))*$B81</f>
        <v>-49359.812589079855</v>
      </c>
      <c r="AE81" s="1021">
        <f>(VLOOKUP(YEAR($A81),'NY East Load Projections'!$A$4:$EO$14,((MONTH($A81)-1)*12)+VLOOKUP(AE$4,$DE$6:$DF$17,2)+1))*(VLOOKUP($A81,CURVES!$D$9:$K$261,7))*(INDEX(DailyScalarsTable,AE$5/100,MONTH($A81)))*$B81</f>
        <v>-36576.862894111502</v>
      </c>
      <c r="AF81" s="1021"/>
      <c r="AG81" s="1021">
        <f>(VLOOKUP(YEAR($A81),'NY East Load Projections'!$A$4:$EO$14,((MONTH($A81)-1)*12)+VLOOKUP(AG$4,$DE$6:$DF$17,2)+1))*(VLOOKUP($A81,CURVES!$D$9:$T$261,7))*(INDEX(DailyScalarsTable,AG$5/100,MONTH($A81)))*$C81</f>
        <v>-6112.3354042362407</v>
      </c>
      <c r="AH81" s="1021">
        <f>(VLOOKUP(YEAR($A81),'NY East Load Projections'!$A$4:$EO$14,((MONTH($A81)-1)*12)+VLOOKUP(AH$4,$DE$6:$DF$17,2)+1))*(VLOOKUP($A81,CURVES!$D$9:$T$261,7))*(INDEX(DailyScalarsTable,AH$5/100,MONTH($A81)))*$C81</f>
        <v>-5797.3777100310735</v>
      </c>
      <c r="AI81" s="1021">
        <f>(VLOOKUP(YEAR($A81),'NY East Load Projections'!$A$4:$EO$14,((MONTH($A81)-1)*12)+VLOOKUP(AI$4,$DE$6:$DF$17,2)+1))*(VLOOKUP($A81,CURVES!$D$9:$T$261,7))*(INDEX(DailyScalarsTable,AI$5/100,MONTH($A81)))*$C81</f>
        <v>-5564.3062191816407</v>
      </c>
      <c r="AJ81" s="1021">
        <f>(VLOOKUP(YEAR($A81),'NY East Load Projections'!$A$4:$EO$14,((MONTH($A81)-1)*12)+VLOOKUP(AJ$4,$DE$6:$DF$17,2)+1))*(VLOOKUP($A81,CURVES!$D$9:$T$261,7))*(INDEX(DailyScalarsTable,AJ$5/100,MONTH($A81)))*$C81</f>
        <v>-5567.592855866289</v>
      </c>
      <c r="AK81" s="1021">
        <f>(VLOOKUP(YEAR($A81),'NY East Load Projections'!$A$4:$EO$14,((MONTH($A81)-1)*12)+VLOOKUP(AK$4,$DE$6:$DF$17,2)+1))*(VLOOKUP($A81,CURVES!$D$9:$T$261,7))*(INDEX(DailyScalarsTable,AK$5/100,MONTH($A81)))*$C81</f>
        <v>-6060.8080436716255</v>
      </c>
      <c r="AL81" s="1021">
        <f>(VLOOKUP(YEAR($A81),'NY East Load Projections'!$A$4:$EO$14,((MONTH($A81)-1)*12)+VLOOKUP(AL$4,$DE$6:$DF$17,2)+1))*(VLOOKUP($A81,CURVES!$D$9:$T$261,7))*(INDEX(DailyScalarsTable,AL$5/100,MONTH($A81)))*$C81</f>
        <v>-6981.5367841498346</v>
      </c>
      <c r="AM81" s="1021">
        <f>(VLOOKUP(YEAR($A81),'NY East Load Projections'!$A$4:$EO$14,((MONTH($A81)-1)*12)+VLOOKUP(AM$4,$DE$6:$DF$17,2)+1))*(VLOOKUP($A81,CURVES!$D$9:$T$261,7))*(INDEX(DailyScalarsTable,AM$5/100,MONTH($A81)))*$C81</f>
        <v>-9957.6997459149497</v>
      </c>
      <c r="AN81" s="1021">
        <f>(VLOOKUP(YEAR($A81),'NY East Load Projections'!$A$4:$EO$14,((MONTH($A81)-1)*12)+VLOOKUP(AN$4,$DE$6:$DF$17,2)+1))*(VLOOKUP($A81,SatSunCurve,3))*(INDEX(DailyScalarsTable,AN$5/100,MONTH($A81)))*$C81</f>
        <v>-8542.0710741844287</v>
      </c>
      <c r="AO81" s="1021">
        <f>(VLOOKUP(YEAR($A81),'NY East Load Projections'!$A$4:$EO$14,((MONTH($A81)-1)*12)+VLOOKUP(AO$4,$DE$6:$DF$17,2)+1))*(VLOOKUP($A81,SatSunCurve,3))*(INDEX(DailyScalarsTable,AO$5/100,MONTH($A81)))*$C81</f>
        <v>-9277.0772945773497</v>
      </c>
      <c r="AP81" s="1021">
        <f>(VLOOKUP(YEAR($A81),'NY East Load Projections'!$A$4:$EO$14,((MONTH($A81)-1)*12)+VLOOKUP(AP$4,$DE$6:$DF$17,2)+1))*(VLOOKUP($A81,SatSunCurve,3))*(INDEX(DailyScalarsTable,AP$5/100,MONTH($A81)))*$C81</f>
        <v>-8890.7395530615267</v>
      </c>
      <c r="AQ81" s="1021">
        <f>(VLOOKUP(YEAR($A81),'NY East Load Projections'!$A$4:$EO$14,((MONTH($A81)-1)*12)+VLOOKUP(AQ$4,$DE$6:$DF$17,2)+1))*(VLOOKUP($A81,SatSunCurve,3))*(INDEX(DailyScalarsTable,AQ$5/100,MONTH($A81)))*$C81</f>
        <v>-9074.0308418741461</v>
      </c>
      <c r="AR81" s="1021">
        <f>(VLOOKUP(YEAR($A81),'NY East Load Projections'!$A$4:$EO$14,((MONTH($A81)-1)*12)+VLOOKUP(AR$4,$DE$6:$DF$17,2)+1))*(VLOOKUP($A81,SatSunCurve,3))*(INDEX(DailyScalarsTable,AR$5/100,MONTH($A81)))*$C81</f>
        <v>-9091.8235722656664</v>
      </c>
      <c r="AS81" s="1021">
        <f>(VLOOKUP(YEAR($A81),'NY East Load Projections'!$A$4:$EO$14,((MONTH($A81)-1)*12)+VLOOKUP(AS$4,$DE$6:$DF$17,2)+1))*(VLOOKUP($A81,SatSunCurve,3))*(INDEX(DailyScalarsTable,AS$5/100,MONTH($A81)))*$C81</f>
        <v>-8366.1271380381349</v>
      </c>
      <c r="AT81" s="1021">
        <f>(VLOOKUP(YEAR($A81),'NY East Load Projections'!$A$4:$EO$14,((MONTH($A81)-1)*12)+VLOOKUP(AT$4,$DE$6:$DF$17,2)+1))*(VLOOKUP($A81,SatSunCurve,3))*(INDEX(DailyScalarsTable,AT$5/100,MONTH($A81)))*$C81</f>
        <v>-8375.1356516861597</v>
      </c>
      <c r="AU81" s="1021">
        <f>(VLOOKUP(YEAR($A81),'NY East Load Projections'!$A$4:$EO$14,((MONTH($A81)-1)*12)+VLOOKUP(AU$4,$DE$6:$DF$17,2)+1))*(VLOOKUP($A81,SatSunCurve,3))*(INDEX(DailyScalarsTable,AU$5/100,MONTH($A81)))*$C81</f>
        <v>-7855.2914229382113</v>
      </c>
      <c r="AV81" s="1021">
        <f>(VLOOKUP(YEAR($A81),'NY East Load Projections'!$A$4:$EO$14,((MONTH($A81)-1)*12)+VLOOKUP(AV$4,$DE$6:$DF$17,2)+1))*(VLOOKUP($A81,SatSunCurve,3))*(INDEX(DailyScalarsTable,AV$5/100,MONTH($A81)))*$C81</f>
        <v>-7341.6736668587555</v>
      </c>
      <c r="AW81" s="1021">
        <f>(VLOOKUP(YEAR($A81),'NY East Load Projections'!$A$4:$EO$14,((MONTH($A81)-1)*12)+VLOOKUP(AW$4,$DE$6:$DF$17,2)+1))*(VLOOKUP($A81,SatSunCurve,3))*(INDEX(DailyScalarsTable,AW$5/100,MONTH($A81)))*$C81</f>
        <v>-6818.2804053975042</v>
      </c>
      <c r="AX81" s="1021">
        <f>(VLOOKUP(YEAR($A81),'NY East Load Projections'!$A$4:$EO$14,((MONTH($A81)-1)*12)+VLOOKUP(AX$4,$DE$6:$DF$17,2)+1))*(VLOOKUP($A81,SatSunCurve,3))*(INDEX(DailyScalarsTable,AX$5/100,MONTH($A81)))*$C81</f>
        <v>-6729.6051709098729</v>
      </c>
      <c r="AY81" s="1021">
        <f>(VLOOKUP(YEAR($A81),'NY East Load Projections'!$A$4:$EO$14,((MONTH($A81)-1)*12)+VLOOKUP(AY$4,$DE$6:$DF$17,2)+1))*(VLOOKUP($A81,SatSunCurve,3))*(INDEX(DailyScalarsTable,AY$5/100,MONTH($A81)))*$C81</f>
        <v>-6693.5296132093581</v>
      </c>
      <c r="AZ81" s="1021">
        <f>(VLOOKUP(YEAR($A81),'NY East Load Projections'!$A$4:$EO$14,((MONTH($A81)-1)*12)+VLOOKUP(AZ$4,$DE$6:$DF$17,2)+1))*(VLOOKUP($A81,SatSunCurve,3))*(INDEX(DailyScalarsTable,AZ$5/100,MONTH($A81)))*$C81</f>
        <v>-7341.7544069959013</v>
      </c>
      <c r="BA81" s="1021">
        <f>(VLOOKUP(YEAR($A81),'NY East Load Projections'!$A$4:$EO$14,((MONTH($A81)-1)*12)+VLOOKUP(BA$4,$DE$6:$DF$17,2)+1))*(VLOOKUP($A81,SatSunCurve,3))*(INDEX(DailyScalarsTable,BA$5/100,MONTH($A81)))*$C81</f>
        <v>-8691.5065907192293</v>
      </c>
      <c r="BB81" s="1021">
        <f>(VLOOKUP(YEAR($A81),'NY East Load Projections'!$A$4:$EO$14,((MONTH($A81)-1)*12)+VLOOKUP(BB$4,$DE$6:$DF$17,2)+1))*(VLOOKUP($A81,SatSunCurve,3))*(INDEX(DailyScalarsTable,BB$5/100,MONTH($A81)))*$C81</f>
        <v>-7405.8194865914456</v>
      </c>
      <c r="BC81" s="1021">
        <f>(VLOOKUP(YEAR($A81),'NY East Load Projections'!$A$4:$EO$14,((MONTH($A81)-1)*12)+VLOOKUP(BC$4,$DE$6:$DF$17,2)+1))*(VLOOKUP($A81,SatSunCurve,3))*(INDEX(DailyScalarsTable,BC$5/100,MONTH($A81)))*$C81</f>
        <v>-6542.5949373688845</v>
      </c>
      <c r="BD81" s="1021">
        <f>(VLOOKUP(YEAR($A81),'NY East Load Projections'!$A$4:$EO$14,((MONTH($A81)-1)*12)+VLOOKUP(BD$4,$DE$6:$DF$17,2)+1))*(VLOOKUP($A81,CURVES!$D$9:$T$261,7))*(INDEX(DailyScalarsTable,BD$5/100,MONTH($A81)))*$C81</f>
        <v>-6940.7803158384995</v>
      </c>
      <c r="BE81" s="1021"/>
      <c r="BF81" s="1021">
        <f>(VLOOKUP(YEAR($A81),'NY East Load Projections'!$A$4:$EO$14,((MONTH($A81)-1)*12)+VLOOKUP(BF$4,$DE$6:$DF$17,2)+1))*(VLOOKUP($A81,CURVES!$D$9:$T$261,7))*(INDEX(DailyScalarsTable,BF$5/100,MONTH($A81)))*$D81</f>
        <v>-7640.4192552953009</v>
      </c>
      <c r="BG81" s="1021">
        <f>(VLOOKUP(YEAR($A81),'NY East Load Projections'!$A$4:$EO$14,((MONTH($A81)-1)*12)+VLOOKUP(BG$4,$DE$6:$DF$17,2)+1))*(VLOOKUP($A81,CURVES!$D$9:$T$261,7))*(INDEX(DailyScalarsTable,BG$5/100,MONTH($A81)))*$D81</f>
        <v>-7246.7221375388417</v>
      </c>
      <c r="BH81" s="1021">
        <f>(VLOOKUP(YEAR($A81),'NY East Load Projections'!$A$4:$EO$14,((MONTH($A81)-1)*12)+VLOOKUP(BH$4,$DE$6:$DF$17,2)+1))*(VLOOKUP($A81,CURVES!$D$9:$T$261,7))*(INDEX(DailyScalarsTable,BH$5/100,MONTH($A81)))*$D81</f>
        <v>-6955.3827739770513</v>
      </c>
      <c r="BI81" s="1021">
        <f>(VLOOKUP(YEAR($A81),'NY East Load Projections'!$A$4:$EO$14,((MONTH($A81)-1)*12)+VLOOKUP(BI$4,$DE$6:$DF$17,2)+1))*(VLOOKUP($A81,CURVES!$D$9:$T$261,7))*(INDEX(DailyScalarsTable,BI$5/100,MONTH($A81)))*$D81</f>
        <v>-6959.4910698328613</v>
      </c>
      <c r="BJ81" s="1021">
        <f>(VLOOKUP(YEAR($A81),'NY East Load Projections'!$A$4:$EO$14,((MONTH($A81)-1)*12)+VLOOKUP(BJ$4,$DE$6:$DF$17,2)+1))*(VLOOKUP($A81,CURVES!$D$9:$T$261,7))*(INDEX(DailyScalarsTable,BJ$5/100,MONTH($A81)))*$D81</f>
        <v>-7576.010054589532</v>
      </c>
      <c r="BK81" s="1021">
        <f>(VLOOKUP(YEAR($A81),'NY East Load Projections'!$A$4:$EO$14,((MONTH($A81)-1)*12)+VLOOKUP(BK$4,$DE$6:$DF$17,2)+1))*(VLOOKUP($A81,CURVES!$D$9:$T$261,7))*(INDEX(DailyScalarsTable,BK$5/100,MONTH($A81)))*$D81</f>
        <v>-8726.920980187293</v>
      </c>
      <c r="BL81" s="1021">
        <f>(VLOOKUP(YEAR($A81),'NY East Load Projections'!$A$4:$EO$14,((MONTH($A81)-1)*12)+VLOOKUP(BL$4,$DE$6:$DF$17,2)+1))*(VLOOKUP($A81,CURVES!$D$9:$T$261,7))*(INDEX(DailyScalarsTable,BL$5/100,MONTH($A81)))*$D81</f>
        <v>-12447.124682393687</v>
      </c>
      <c r="BM81" s="1021">
        <f>(VLOOKUP(YEAR($A81),'NY East Load Projections'!$A$4:$EO$14,((MONTH($A81)-1)*12)+VLOOKUP(BM$4,$DE$6:$DF$17,2)+1))*(VLOOKUP($A81,SatSunCurve,7))*(INDEX(DailyScalarsTable,BM$5/100,MONTH($A81)))*$D81</f>
        <v>-10063.988729021023</v>
      </c>
      <c r="BN81" s="1021">
        <f>(VLOOKUP(YEAR($A81),'NY East Load Projections'!$A$4:$EO$14,((MONTH($A81)-1)*12)+VLOOKUP(BN$4,$DE$6:$DF$17,2)+1))*(VLOOKUP($A81,SatSunCurve,7))*(INDEX(DailyScalarsTable,BN$5/100,MONTH($A81)))*$D81</f>
        <v>-10929.949015882828</v>
      </c>
      <c r="BO81" s="1021">
        <f>(VLOOKUP(YEAR($A81),'NY East Load Projections'!$A$4:$EO$14,((MONTH($A81)-1)*12)+VLOOKUP(BO$4,$DE$6:$DF$17,2)+1))*(VLOOKUP($A81,SatSunCurve,7))*(INDEX(DailyScalarsTable,BO$5/100,MONTH($A81)))*$D81</f>
        <v>-10474.778525911006</v>
      </c>
      <c r="BP81" s="1021">
        <f>(VLOOKUP(YEAR($A81),'NY East Load Projections'!$A$4:$EO$14,((MONTH($A81)-1)*12)+VLOOKUP(BP$4,$DE$6:$DF$17,2)+1))*(VLOOKUP($A81,SatSunCurve,7))*(INDEX(DailyScalarsTable,BP$5/100,MONTH($A81)))*$D81</f>
        <v>-10690.72632694403</v>
      </c>
      <c r="BQ81" s="1021">
        <f>(VLOOKUP(YEAR($A81),'NY East Load Projections'!$A$4:$EO$14,((MONTH($A81)-1)*12)+VLOOKUP(BQ$4,$DE$6:$DF$17,2)+1))*(VLOOKUP($A81,SatSunCurve,7))*(INDEX(DailyScalarsTable,BQ$5/100,MONTH($A81)))*$D81</f>
        <v>-10711.689139892278</v>
      </c>
      <c r="BR81" s="1021">
        <f>(VLOOKUP(YEAR($A81),'NY East Load Projections'!$A$4:$EO$14,((MONTH($A81)-1)*12)+VLOOKUP(BR$4,$DE$6:$DF$17,2)+1))*(VLOOKUP($A81,SatSunCurve,7))*(INDEX(DailyScalarsTable,BR$5/100,MONTH($A81)))*$D81</f>
        <v>-9856.6973385680394</v>
      </c>
      <c r="BS81" s="1021">
        <f>(VLOOKUP(YEAR($A81),'NY East Load Projections'!$A$4:$EO$14,((MONTH($A81)-1)*12)+VLOOKUP(BS$4,$DE$6:$DF$17,2)+1))*(VLOOKUP($A81,SatSunCurve,7))*(INDEX(DailyScalarsTable,BS$5/100,MONTH($A81)))*$D81</f>
        <v>-9867.3108746802536</v>
      </c>
      <c r="BT81" s="1021">
        <f>(VLOOKUP(YEAR($A81),'NY East Load Projections'!$A$4:$EO$14,((MONTH($A81)-1)*12)+VLOOKUP(BT$4,$DE$6:$DF$17,2)+1))*(VLOOKUP($A81,SatSunCurve,7))*(INDEX(DailyScalarsTable,BT$5/100,MONTH($A81)))*$D81</f>
        <v>-9254.847408439955</v>
      </c>
      <c r="BU81" s="1021">
        <f>(VLOOKUP(YEAR($A81),'NY East Load Projections'!$A$4:$EO$14,((MONTH($A81)-1)*12)+VLOOKUP(BU$4,$DE$6:$DF$17,2)+1))*(VLOOKUP($A81,SatSunCurve,7))*(INDEX(DailyScalarsTable,BU$5/100,MONTH($A81)))*$D81</f>
        <v>-8649.7197686301643</v>
      </c>
      <c r="BV81" s="1021">
        <f>(VLOOKUP(YEAR($A81),'NY East Load Projections'!$A$4:$EO$14,((MONTH($A81)-1)*12)+VLOOKUP(BV$4,$DE$6:$DF$17,2)+1))*(VLOOKUP($A81,SatSunCurve,7))*(INDEX(DailyScalarsTable,BV$5/100,MONTH($A81)))*$D81</f>
        <v>-8033.0749481356779</v>
      </c>
      <c r="BW81" s="1021">
        <f>(VLOOKUP(YEAR($A81),'NY East Load Projections'!$A$4:$EO$14,((MONTH($A81)-1)*12)+VLOOKUP(BW$4,$DE$6:$DF$17,2)+1))*(VLOOKUP($A81,SatSunCurve,7))*(INDEX(DailyScalarsTable,BW$5/100,MONTH($A81)))*$D81</f>
        <v>-7928.6006874234399</v>
      </c>
      <c r="BX81" s="1021">
        <f>(VLOOKUP(YEAR($A81),'NY East Load Projections'!$A$4:$EO$14,((MONTH($A81)-1)*12)+VLOOKUP(BX$4,$DE$6:$DF$17,2)+1))*(VLOOKUP($A81,SatSunCurve,7))*(INDEX(DailyScalarsTable,BX$5/100,MONTH($A81)))*$D81</f>
        <v>-7886.0976453698131</v>
      </c>
      <c r="BY81" s="1021">
        <f>(VLOOKUP(YEAR($A81),'NY East Load Projections'!$A$4:$EO$14,((MONTH($A81)-1)*12)+VLOOKUP(BY$4,$DE$6:$DF$17,2)+1))*(VLOOKUP($A81,SatSunCurve,7))*(INDEX(DailyScalarsTable,BY$5/100,MONTH($A81)))*$D81</f>
        <v>-8649.8148940187439</v>
      </c>
      <c r="BZ81" s="1021">
        <f>(VLOOKUP(YEAR($A81),'NY East Load Projections'!$A$4:$EO$14,((MONTH($A81)-1)*12)+VLOOKUP(BZ$4,$DE$6:$DF$17,2)+1))*(VLOOKUP($A81,SatSunCurve,7))*(INDEX(DailyScalarsTable,BZ$5/100,MONTH($A81)))*$D81</f>
        <v>-10240.048766576405</v>
      </c>
      <c r="CA81" s="1021">
        <f>(VLOOKUP(YEAR($A81),'NY East Load Projections'!$A$4:$EO$14,((MONTH($A81)-1)*12)+VLOOKUP(CA$4,$DE$6:$DF$17,2)+1))*(VLOOKUP($A81,SatSunCurve,7))*(INDEX(DailyScalarsTable,CA$5/100,MONTH($A81)))*$D81</f>
        <v>-8725.2942752336749</v>
      </c>
      <c r="CB81" s="1021">
        <f>(VLOOKUP(YEAR($A81),'NY East Load Projections'!$A$4:$EO$14,((MONTH($A81)-1)*12)+VLOOKUP(CB$4,$DE$6:$DF$17,2)+1))*(VLOOKUP($A81,SatSunCurve,7))*(INDEX(DailyScalarsTable,CB$5/100,MONTH($A81)))*$D81</f>
        <v>-7708.2713473578897</v>
      </c>
      <c r="CC81" s="1021">
        <f>(VLOOKUP(YEAR($A81),'NY East Load Projections'!$A$4:$EO$14,((MONTH($A81)-1)*12)+VLOOKUP(CC$4,$DE$6:$DF$17,2)+1))*(VLOOKUP($A81,CURVES!$D$9:$T$261,7))*(INDEX(DailyScalarsTable,CC$5/100,MONTH($A81)))*$D81</f>
        <v>-8675.9753947981244</v>
      </c>
      <c r="CE81" s="1021">
        <f>(VLOOKUP(YEAR($A81),'NY East Load Projections'!$A$4:$EO$14,((MONTH($A81)-1)*12)+VLOOKUP(CE$4,$DE$6:$DF$17,2)+1))*(VLOOKUP($A81,CURVES!$D$9:$T$261,7))*(INDEX(DailyScalarsTable,CE$5/100,MONTH($A81)))*$E81</f>
        <v>0</v>
      </c>
      <c r="CF81" s="1021">
        <f>(VLOOKUP(YEAR($A81),'NY East Load Projections'!$A$4:$EO$14,((MONTH($A81)-1)*12)+VLOOKUP(CF$4,$DE$6:$DF$17,2)+1))*(VLOOKUP($A81,CURVES!$D$9:$T$261,7))*(INDEX(DailyScalarsTable,CF$5/100,MONTH($A81)))*$E81</f>
        <v>0</v>
      </c>
      <c r="CG81" s="1021">
        <f>(VLOOKUP(YEAR($A81),'NY East Load Projections'!$A$4:$EO$14,((MONTH($A81)-1)*12)+VLOOKUP(CG$4,$DE$6:$DF$17,2)+1))*(VLOOKUP($A81,CURVES!$D$9:$T$261,7))*(INDEX(DailyScalarsTable,CG$5/100,MONTH($A81)))*$E81</f>
        <v>0</v>
      </c>
      <c r="CH81" s="1021">
        <f>(VLOOKUP(YEAR($A81),'NY East Load Projections'!$A$4:$EO$14,((MONTH($A81)-1)*12)+VLOOKUP(CH$4,$DE$6:$DF$17,2)+1))*(VLOOKUP($A81,CURVES!$D$9:$T$261,7))*(INDEX(DailyScalarsTable,CH$5/100,MONTH($A81)))*$E81</f>
        <v>0</v>
      </c>
      <c r="CI81" s="1021">
        <f>(VLOOKUP(YEAR($A81),'NY East Load Projections'!$A$4:$EO$14,((MONTH($A81)-1)*12)+VLOOKUP(CI$4,$DE$6:$DF$17,2)+1))*(VLOOKUP($A81,CURVES!$D$9:$T$261,7))*(INDEX(DailyScalarsTable,CI$5/100,MONTH($A81)))*$E81</f>
        <v>0</v>
      </c>
      <c r="CJ81" s="1021">
        <f>(VLOOKUP(YEAR($A81),'NY East Load Projections'!$A$4:$EO$14,((MONTH($A81)-1)*12)+VLOOKUP(CJ$4,$DE$6:$DF$17,2)+1))*(VLOOKUP($A81,CURVES!$D$9:$T$261,7))*(INDEX(DailyScalarsTable,CJ$5/100,MONTH($A81)))*$E81</f>
        <v>0</v>
      </c>
      <c r="CK81" s="1021">
        <f>(VLOOKUP(YEAR($A81),'NY East Load Projections'!$A$4:$EO$14,((MONTH($A81)-1)*12)+VLOOKUP(CK$4,$DE$6:$DF$17,2)+1))*(VLOOKUP($A81,CURVES!$D$9:$T$261,7))*(INDEX(DailyScalarsTable,CK$5/100,MONTH($A81)))*$E81</f>
        <v>0</v>
      </c>
      <c r="CL81" s="1021">
        <f>(VLOOKUP(YEAR($A81),'NY East Load Projections'!$A$4:$EO$14,((MONTH($A81)-1)*12)+VLOOKUP(CL$4,$DE$6:$DF$17,2)+1))*(VLOOKUP($A81,SatSunCurve,7))*(INDEX(DailyScalarsTable,CL$5/100,MONTH($A81)))*$E81</f>
        <v>0</v>
      </c>
      <c r="CM81" s="1021">
        <f>(VLOOKUP(YEAR($A81),'NY East Load Projections'!$A$4:$EO$14,((MONTH($A81)-1)*12)+VLOOKUP(CM$4,$DE$6:$DF$17,2)+1))*(VLOOKUP($A81,SatSunCurve,7))*(INDEX(DailyScalarsTable,CM$5/100,MONTH($A81)))*$E81</f>
        <v>0</v>
      </c>
      <c r="CN81" s="1021">
        <f>(VLOOKUP(YEAR($A81),'NY East Load Projections'!$A$4:$EO$14,((MONTH($A81)-1)*12)+VLOOKUP(CN$4,$DE$6:$DF$17,2)+1))*(VLOOKUP($A81,SatSunCurve,7))*(INDEX(DailyScalarsTable,CN$5/100,MONTH($A81)))*$E81</f>
        <v>0</v>
      </c>
      <c r="CO81" s="1021">
        <f>(VLOOKUP(YEAR($A81),'NY East Load Projections'!$A$4:$EO$14,((MONTH($A81)-1)*12)+VLOOKUP(CO$4,$DE$6:$DF$17,2)+1))*(VLOOKUP($A81,SatSunCurve,7))*(INDEX(DailyScalarsTable,CO$5/100,MONTH($A81)))*$E81</f>
        <v>0</v>
      </c>
      <c r="CP81" s="1021">
        <f>(VLOOKUP(YEAR($A81),'NY East Load Projections'!$A$4:$EO$14,((MONTH($A81)-1)*12)+VLOOKUP(CP$4,$DE$6:$DF$17,2)+1))*(VLOOKUP($A81,SatSunCurve,7))*(INDEX(DailyScalarsTable,CP$5/100,MONTH($A81)))*$E81</f>
        <v>0</v>
      </c>
      <c r="CQ81" s="1021">
        <f>(VLOOKUP(YEAR($A81),'NY East Load Projections'!$A$4:$EO$14,((MONTH($A81)-1)*12)+VLOOKUP(CQ$4,$DE$6:$DF$17,2)+1))*(VLOOKUP($A81,SatSunCurve,7))*(INDEX(DailyScalarsTable,CQ$5/100,MONTH($A81)))*$E81</f>
        <v>0</v>
      </c>
      <c r="CR81" s="1021">
        <f>(VLOOKUP(YEAR($A81),'NY East Load Projections'!$A$4:$EO$14,((MONTH($A81)-1)*12)+VLOOKUP(CR$4,$DE$6:$DF$17,2)+1))*(VLOOKUP($A81,SatSunCurve,7))*(INDEX(DailyScalarsTable,CR$5/100,MONTH($A81)))*$E81</f>
        <v>0</v>
      </c>
      <c r="CS81" s="1021">
        <f>(VLOOKUP(YEAR($A81),'NY East Load Projections'!$A$4:$EO$14,((MONTH($A81)-1)*12)+VLOOKUP(CS$4,$DE$6:$DF$17,2)+1))*(VLOOKUP($A81,SatSunCurve,7))*(INDEX(DailyScalarsTable,CS$5/100,MONTH($A81)))*$E81</f>
        <v>0</v>
      </c>
      <c r="CT81" s="1021">
        <f>(VLOOKUP(YEAR($A81),'NY East Load Projections'!$A$4:$EO$14,((MONTH($A81)-1)*12)+VLOOKUP(CT$4,$DE$6:$DF$17,2)+1))*(VLOOKUP($A81,SatSunCurve,7))*(INDEX(DailyScalarsTable,CT$5/100,MONTH($A81)))*$E81</f>
        <v>0</v>
      </c>
      <c r="CU81" s="1021">
        <f>(VLOOKUP(YEAR($A81),'NY East Load Projections'!$A$4:$EO$14,((MONTH($A81)-1)*12)+VLOOKUP(CU$4,$DE$6:$DF$17,2)+1))*(VLOOKUP($A81,SatSunCurve,7))*(INDEX(DailyScalarsTable,CU$5/100,MONTH($A81)))*$E81</f>
        <v>0</v>
      </c>
      <c r="CV81" s="1021">
        <f>(VLOOKUP(YEAR($A81),'NY East Load Projections'!$A$4:$EO$14,((MONTH($A81)-1)*12)+VLOOKUP(CV$4,$DE$6:$DF$17,2)+1))*(VLOOKUP($A81,SatSunCurve,7))*(INDEX(DailyScalarsTable,CV$5/100,MONTH($A81)))*$E81</f>
        <v>0</v>
      </c>
      <c r="CW81" s="1021">
        <f>(VLOOKUP(YEAR($A81),'NY East Load Projections'!$A$4:$EO$14,((MONTH($A81)-1)*12)+VLOOKUP(CW$4,$DE$6:$DF$17,2)+1))*(VLOOKUP($A81,SatSunCurve,7))*(INDEX(DailyScalarsTable,CW$5/100,MONTH($A81)))*$E81</f>
        <v>0</v>
      </c>
      <c r="CX81" s="1021">
        <f>(VLOOKUP(YEAR($A81),'NY East Load Projections'!$A$4:$EO$14,((MONTH($A81)-1)*12)+VLOOKUP(CX$4,$DE$6:$DF$17,2)+1))*(VLOOKUP($A81,SatSunCurve,7))*(INDEX(DailyScalarsTable,CX$5/100,MONTH($A81)))*$E81</f>
        <v>0</v>
      </c>
      <c r="CY81" s="1021">
        <f>(VLOOKUP(YEAR($A81),'NY East Load Projections'!$A$4:$EO$14,((MONTH($A81)-1)*12)+VLOOKUP(CY$4,$DE$6:$DF$17,2)+1))*(VLOOKUP($A81,SatSunCurve,7))*(INDEX(DailyScalarsTable,CY$5/100,MONTH($A81)))*$E81</f>
        <v>0</v>
      </c>
      <c r="CZ81" s="1021">
        <f>(VLOOKUP(YEAR($A81),'NY East Load Projections'!$A$4:$EO$14,((MONTH($A81)-1)*12)+VLOOKUP(CZ$4,$DE$6:$DF$17,2)+1))*(VLOOKUP($A81,SatSunCurve,7))*(INDEX(DailyScalarsTable,CZ$5/100,MONTH($A81)))*$E81</f>
        <v>0</v>
      </c>
      <c r="DA81" s="1021">
        <f>(VLOOKUP(YEAR($A81),'NY East Load Projections'!$A$4:$EO$14,((MONTH($A81)-1)*12)+VLOOKUP(DA$4,$DE$6:$DF$17,2)+1))*(VLOOKUP($A81,SatSunCurve,7))*(INDEX(DailyScalarsTable,DA$5/100,MONTH($A81)))*$E81</f>
        <v>0</v>
      </c>
      <c r="DB81" s="1021">
        <f>(VLOOKUP(YEAR($A81),'NY East Load Projections'!$A$4:$EO$14,((MONTH($A81)-1)*12)+VLOOKUP(DB$4,$DE$6:$DF$17,2)+1))*(VLOOKUP($A81,CURVES!$D$9:$T$261,7))*(INDEX(DailyScalarsTable,DB$5/100,MONTH($A81)))*$E81</f>
        <v>0</v>
      </c>
      <c r="DH81" s="1032">
        <f t="shared" si="2"/>
        <v>-1660820.8457464862</v>
      </c>
      <c r="DI81">
        <f ca="1">CALC!J101</f>
        <v>0.59334585051619781</v>
      </c>
      <c r="DJ81" s="1029">
        <f t="shared" ca="1" si="3"/>
        <v>-985441.15727447986</v>
      </c>
    </row>
    <row r="82" spans="1:114" x14ac:dyDescent="0.25">
      <c r="A82" s="244">
        <v>39203</v>
      </c>
      <c r="B82" s="13">
        <v>22</v>
      </c>
      <c r="C82" s="210">
        <v>4</v>
      </c>
      <c r="D82" s="210">
        <v>4</v>
      </c>
      <c r="E82" s="210">
        <v>1</v>
      </c>
      <c r="F82" s="13">
        <v>31</v>
      </c>
      <c r="H82" s="1021">
        <f>(VLOOKUP(YEAR($A82),'NY East Load Projections'!$A$4:$EO$14,((MONTH($A82)-1)*12)+VLOOKUP(H$4,$DE$6:$DF$17,2)+1))*(VLOOKUP($A82,CURVES!$D$9:$K$261,7))*(INDEX(DailyScalarsTable,H$5/100,MONTH($A82)))*$B82</f>
        <v>-37204.770840632627</v>
      </c>
      <c r="I82" s="1021">
        <f>(VLOOKUP(YEAR($A82),'NY East Load Projections'!$A$4:$EO$14,((MONTH($A82)-1)*12)+VLOOKUP(I$4,$DE$6:$DF$17,2)+1))*(VLOOKUP($A82,CURVES!$D$9:$K$261,7))*(INDEX(DailyScalarsTable,I$5/100,MONTH($A82)))*$B82</f>
        <v>-33512.619783200455</v>
      </c>
      <c r="J82" s="1021">
        <f>(VLOOKUP(YEAR($A82),'NY East Load Projections'!$A$4:$EO$14,((MONTH($A82)-1)*12)+VLOOKUP(J$4,$DE$6:$DF$17,2)+1))*(VLOOKUP($A82,CURVES!$D$9:$K$261,7))*(INDEX(DailyScalarsTable,J$5/100,MONTH($A82)))*$B82</f>
        <v>-31715.382231434538</v>
      </c>
      <c r="K82" s="1021">
        <f>(VLOOKUP(YEAR($A82),'NY East Load Projections'!$A$4:$EO$14,((MONTH($A82)-1)*12)+VLOOKUP(K$4,$DE$6:$DF$17,2)+1))*(VLOOKUP($A82,CURVES!$D$9:$K$261,7))*(INDEX(DailyScalarsTable,K$5/100,MONTH($A82)))*$B82</f>
        <v>-30748.390287821341</v>
      </c>
      <c r="L82" s="1021">
        <f>(VLOOKUP(YEAR($A82),'NY East Load Projections'!$A$4:$EO$14,((MONTH($A82)-1)*12)+VLOOKUP(L$4,$DE$6:$DF$17,2)+1))*(VLOOKUP($A82,CURVES!$D$9:$K$261,7))*(INDEX(DailyScalarsTable,L$5/100,MONTH($A82)))*$B82</f>
        <v>-35894.450638478076</v>
      </c>
      <c r="M82" s="1021">
        <f>(VLOOKUP(YEAR($A82),'NY East Load Projections'!$A$4:$EO$14,((MONTH($A82)-1)*12)+VLOOKUP(M$4,$DE$6:$DF$17,2)+1))*(VLOOKUP($A82,CURVES!$D$9:$K$261,7))*(INDEX(DailyScalarsTable,M$5/100,MONTH($A82)))*$B82</f>
        <v>-43519.914917309674</v>
      </c>
      <c r="N82" s="1021">
        <f>(VLOOKUP(YEAR($A82),'NY East Load Projections'!$A$4:$EO$14,((MONTH($A82)-1)*12)+VLOOKUP(N$4,$DE$6:$DF$17,2)+1))*(VLOOKUP($A82,CURVES!$D$9:$K$261,7))*(INDEX(DailyScalarsTable,N$5/100,MONTH($A82)))*$B82</f>
        <v>-52072.231207932993</v>
      </c>
      <c r="O82" s="1021">
        <f>(VLOOKUP(YEAR($A82),'NY East Load Projections'!$A$4:$EO$14,((MONTH($A82)-1)*12)+VLOOKUP(O$4,$DE$6:$DF$17,2)+1))*(VLOOKUP($A82,CURVES!$D$9:$K$261,3))*(INDEX(DailyScalarsTable,O$5/100,MONTH($A82)))*$B82</f>
        <v>-66555.565569873113</v>
      </c>
      <c r="P82" s="1021">
        <f>(VLOOKUP(YEAR($A82),'NY East Load Projections'!$A$4:$EO$14,((MONTH($A82)-1)*12)+VLOOKUP(P$4,$DE$6:$DF$17,2)+1))*(VLOOKUP($A82,CURVES!$D$9:$K$261,3))*(INDEX(DailyScalarsTable,P$5/100,MONTH($A82)))*$B82</f>
        <v>-79014.676607677189</v>
      </c>
      <c r="Q82" s="1021">
        <f>(VLOOKUP(YEAR($A82),'NY East Load Projections'!$A$4:$EO$14,((MONTH($A82)-1)*12)+VLOOKUP(Q$4,$DE$6:$DF$17,2)+1))*(VLOOKUP($A82,CURVES!$D$9:$K$261,3))*(INDEX(DailyScalarsTable,Q$5/100,MONTH($A82)))*$B82</f>
        <v>-80416.12982642898</v>
      </c>
      <c r="R82" s="1021">
        <f>(VLOOKUP(YEAR($A82),'NY East Load Projections'!$A$4:$EO$14,((MONTH($A82)-1)*12)+VLOOKUP(R$4,$DE$6:$DF$17,2)+1))*(VLOOKUP($A82,CURVES!$D$9:$K$261,3))*(INDEX(DailyScalarsTable,R$5/100,MONTH($A82)))*$B82</f>
        <v>-85302.61273074933</v>
      </c>
      <c r="S82" s="1021">
        <f>(VLOOKUP(YEAR($A82),'NY East Load Projections'!$A$4:$EO$14,((MONTH($A82)-1)*12)+VLOOKUP(S$4,$DE$6:$DF$17,2)+1))*(VLOOKUP($A82,CURVES!$D$9:$K$261,3))*(INDEX(DailyScalarsTable,S$5/100,MONTH($A82)))*$B82</f>
        <v>-84657.696205306012</v>
      </c>
      <c r="T82" s="1021">
        <f>(VLOOKUP(YEAR($A82),'NY East Load Projections'!$A$4:$EO$14,((MONTH($A82)-1)*12)+VLOOKUP(T$4,$DE$6:$DF$17,2)+1))*(VLOOKUP($A82,CURVES!$D$9:$K$261,3))*(INDEX(DailyScalarsTable,T$5/100,MONTH($A82)))*$B82</f>
        <v>-82304.301675312963</v>
      </c>
      <c r="U82" s="1021">
        <f>(VLOOKUP(YEAR($A82),'NY East Load Projections'!$A$4:$EO$14,((MONTH($A82)-1)*12)+VLOOKUP(U$4,$DE$6:$DF$17,2)+1))*(VLOOKUP($A82,CURVES!$D$9:$K$261,3))*(INDEX(DailyScalarsTable,U$5/100,MONTH($A82)))*$B82</f>
        <v>-82700.979746198354</v>
      </c>
      <c r="V82" s="1021">
        <f>(VLOOKUP(YEAR($A82),'NY East Load Projections'!$A$4:$EO$14,((MONTH($A82)-1)*12)+VLOOKUP(V$4,$DE$6:$DF$17,2)+1))*(VLOOKUP($A82,CURVES!$D$9:$K$261,3))*(INDEX(DailyScalarsTable,V$5/100,MONTH($A82)))*$B82</f>
        <v>-80218.54278646411</v>
      </c>
      <c r="W82" s="1021">
        <f>(VLOOKUP(YEAR($A82),'NY East Load Projections'!$A$4:$EO$14,((MONTH($A82)-1)*12)+VLOOKUP(W$4,$DE$6:$DF$17,2)+1))*(VLOOKUP($A82,CURVES!$D$9:$K$261,3))*(INDEX(DailyScalarsTable,W$5/100,MONTH($A82)))*$B82</f>
        <v>-77096.302486592147</v>
      </c>
      <c r="X82" s="1021">
        <f>(VLOOKUP(YEAR($A82),'NY East Load Projections'!$A$4:$EO$14,((MONTH($A82)-1)*12)+VLOOKUP(X$4,$DE$6:$DF$17,2)+1))*(VLOOKUP($A82,CURVES!$D$9:$K$261,3))*(INDEX(DailyScalarsTable,X$5/100,MONTH($A82)))*$B82</f>
        <v>-74810.887531499073</v>
      </c>
      <c r="Y82" s="1021">
        <f>(VLOOKUP(YEAR($A82),'NY East Load Projections'!$A$4:$EO$14,((MONTH($A82)-1)*12)+VLOOKUP(Y$4,$DE$6:$DF$17,2)+1))*(VLOOKUP($A82,CURVES!$D$9:$K$261,3))*(INDEX(DailyScalarsTable,Y$5/100,MONTH($A82)))*$B82</f>
        <v>-71895.382171666613</v>
      </c>
      <c r="Z82" s="1021">
        <f>(VLOOKUP(YEAR($A82),'NY East Load Projections'!$A$4:$EO$14,((MONTH($A82)-1)*12)+VLOOKUP(Z$4,$DE$6:$DF$17,2)+1))*(VLOOKUP($A82,CURVES!$D$9:$K$261,3))*(INDEX(DailyScalarsTable,Z$5/100,MONTH($A82)))*$B82</f>
        <v>-62291.364515747962</v>
      </c>
      <c r="AA82" s="1021">
        <f>(VLOOKUP(YEAR($A82),'NY East Load Projections'!$A$4:$EO$14,((MONTH($A82)-1)*12)+VLOOKUP(AA$4,$DE$6:$DF$17,2)+1))*(VLOOKUP($A82,CURVES!$D$9:$K$261,3))*(INDEX(DailyScalarsTable,AA$5/100,MONTH($A82)))*$B82</f>
        <v>-62132.114222984019</v>
      </c>
      <c r="AB82" s="1021">
        <f>(VLOOKUP(YEAR($A82),'NY East Load Projections'!$A$4:$EO$14,((MONTH($A82)-1)*12)+VLOOKUP(AB$4,$DE$6:$DF$17,2)+1))*(VLOOKUP($A82,CURVES!$D$9:$K$261,3))*(INDEX(DailyScalarsTable,AB$5/100,MONTH($A82)))*$B82</f>
        <v>-73878.948228722031</v>
      </c>
      <c r="AC82" s="1021">
        <f>(VLOOKUP(YEAR($A82),'NY East Load Projections'!$A$4:$EO$14,((MONTH($A82)-1)*12)+VLOOKUP(AC$4,$DE$6:$DF$17,2)+1))*(VLOOKUP($A82,CURVES!$D$9:$K$261,3))*(INDEX(DailyScalarsTable,AC$5/100,MONTH($A82)))*$B82</f>
        <v>-70466.756697773075</v>
      </c>
      <c r="AD82" s="1021">
        <f>(VLOOKUP(YEAR($A82),'NY East Load Projections'!$A$4:$EO$14,((MONTH($A82)-1)*12)+VLOOKUP(AD$4,$DE$6:$DF$17,2)+1))*(VLOOKUP($A82,CURVES!$D$9:$K$261,3))*(INDEX(DailyScalarsTable,AD$5/100,MONTH($A82)))*$B82</f>
        <v>-56529.010183734033</v>
      </c>
      <c r="AE82" s="1021">
        <f>(VLOOKUP(YEAR($A82),'NY East Load Projections'!$A$4:$EO$14,((MONTH($A82)-1)*12)+VLOOKUP(AE$4,$DE$6:$DF$17,2)+1))*(VLOOKUP($A82,CURVES!$D$9:$K$261,7))*(INDEX(DailyScalarsTable,AE$5/100,MONTH($A82)))*$B82</f>
        <v>-46191.46151651266</v>
      </c>
      <c r="AF82" s="1021"/>
      <c r="AG82" s="1021">
        <f>(VLOOKUP(YEAR($A82),'NY East Load Projections'!$A$4:$EO$14,((MONTH($A82)-1)*12)+VLOOKUP(AG$4,$DE$6:$DF$17,2)+1))*(VLOOKUP($A82,CURVES!$D$9:$T$261,7))*(INDEX(DailyScalarsTable,AG$5/100,MONTH($A82)))*$C82</f>
        <v>-7126.5035163739776</v>
      </c>
      <c r="AH82" s="1021">
        <f>(VLOOKUP(YEAR($A82),'NY East Load Projections'!$A$4:$EO$14,((MONTH($A82)-1)*12)+VLOOKUP(AH$4,$DE$6:$DF$17,2)+1))*(VLOOKUP($A82,CURVES!$D$9:$T$261,7))*(INDEX(DailyScalarsTable,AH$5/100,MONTH($A82)))*$C82</f>
        <v>-6419.2789615854854</v>
      </c>
      <c r="AI82" s="1021">
        <f>(VLOOKUP(YEAR($A82),'NY East Load Projections'!$A$4:$EO$14,((MONTH($A82)-1)*12)+VLOOKUP(AI$4,$DE$6:$DF$17,2)+1))*(VLOOKUP($A82,CURVES!$D$9:$T$261,7))*(INDEX(DailyScalarsTable,AI$5/100,MONTH($A82)))*$C82</f>
        <v>-6075.0215063445285</v>
      </c>
      <c r="AJ82" s="1021">
        <f>(VLOOKUP(YEAR($A82),'NY East Load Projections'!$A$4:$EO$14,((MONTH($A82)-1)*12)+VLOOKUP(AJ$4,$DE$6:$DF$17,2)+1))*(VLOOKUP($A82,CURVES!$D$9:$T$261,7))*(INDEX(DailyScalarsTable,AJ$5/100,MONTH($A82)))*$C82</f>
        <v>-5889.7960277094453</v>
      </c>
      <c r="AK82" s="1021">
        <f>(VLOOKUP(YEAR($A82),'NY East Load Projections'!$A$4:$EO$14,((MONTH($A82)-1)*12)+VLOOKUP(AK$4,$DE$6:$DF$17,2)+1))*(VLOOKUP($A82,CURVES!$D$9:$T$261,7))*(INDEX(DailyScalarsTable,AK$5/100,MONTH($A82)))*$C82</f>
        <v>-6478.0715051467596</v>
      </c>
      <c r="AL82" s="1021">
        <f>(VLOOKUP(YEAR($A82),'NY East Load Projections'!$A$4:$EO$14,((MONTH($A82)-1)*12)+VLOOKUP(AL$4,$DE$6:$DF$17,2)+1))*(VLOOKUP($A82,CURVES!$D$9:$T$261,7))*(INDEX(DailyScalarsTable,AL$5/100,MONTH($A82)))*$C82</f>
        <v>-7854.2815314748841</v>
      </c>
      <c r="AM82" s="1021">
        <f>(VLOOKUP(YEAR($A82),'NY East Load Projections'!$A$4:$EO$14,((MONTH($A82)-1)*12)+VLOOKUP(AM$4,$DE$6:$DF$17,2)+1))*(VLOOKUP($A82,CURVES!$D$9:$T$261,7))*(INDEX(DailyScalarsTable,AM$5/100,MONTH($A82)))*$C82</f>
        <v>-9397.765704649526</v>
      </c>
      <c r="AN82" s="1021">
        <f>(VLOOKUP(YEAR($A82),'NY East Load Projections'!$A$4:$EO$14,((MONTH($A82)-1)*12)+VLOOKUP(AN$4,$DE$6:$DF$17,2)+1))*(VLOOKUP($A82,SatSunCurve,3))*(INDEX(DailyScalarsTable,AN$5/100,MONTH($A82)))*$C82</f>
        <v>-7936.7135138532503</v>
      </c>
      <c r="AO82" s="1021">
        <f>(VLOOKUP(YEAR($A82),'NY East Load Projections'!$A$4:$EO$14,((MONTH($A82)-1)*12)+VLOOKUP(AO$4,$DE$6:$DF$17,2)+1))*(VLOOKUP($A82,SatSunCurve,3))*(INDEX(DailyScalarsTable,AO$5/100,MONTH($A82)))*$C82</f>
        <v>-9622.1722228681738</v>
      </c>
      <c r="AP82" s="1021">
        <f>(VLOOKUP(YEAR($A82),'NY East Load Projections'!$A$4:$EO$14,((MONTH($A82)-1)*12)+VLOOKUP(AP$4,$DE$6:$DF$17,2)+1))*(VLOOKUP($A82,SatSunCurve,3))*(INDEX(DailyScalarsTable,AP$5/100,MONTH($A82)))*$C82</f>
        <v>-9792.8370260676893</v>
      </c>
      <c r="AQ82" s="1021">
        <f>(VLOOKUP(YEAR($A82),'NY East Load Projections'!$A$4:$EO$14,((MONTH($A82)-1)*12)+VLOOKUP(AQ$4,$DE$6:$DF$17,2)+1))*(VLOOKUP($A82,SatSunCurve,3))*(INDEX(DailyScalarsTable,AQ$5/100,MONTH($A82)))*$C82</f>
        <v>-10387.898375276616</v>
      </c>
      <c r="AR82" s="1021">
        <f>(VLOOKUP(YEAR($A82),'NY East Load Projections'!$A$4:$EO$14,((MONTH($A82)-1)*12)+VLOOKUP(AR$4,$DE$6:$DF$17,2)+1))*(VLOOKUP($A82,SatSunCurve,3))*(INDEX(DailyScalarsTable,AR$5/100,MONTH($A82)))*$C82</f>
        <v>-10309.362359644978</v>
      </c>
      <c r="AS82" s="1021">
        <f>(VLOOKUP(YEAR($A82),'NY East Load Projections'!$A$4:$EO$14,((MONTH($A82)-1)*12)+VLOOKUP(AS$4,$DE$6:$DF$17,2)+1))*(VLOOKUP($A82,SatSunCurve,3))*(INDEX(DailyScalarsTable,AS$5/100,MONTH($A82)))*$C82</f>
        <v>-9819.2138007186823</v>
      </c>
      <c r="AT82" s="1021">
        <f>(VLOOKUP(YEAR($A82),'NY East Load Projections'!$A$4:$EO$14,((MONTH($A82)-1)*12)+VLOOKUP(AT$4,$DE$6:$DF$17,2)+1))*(VLOOKUP($A82,SatSunCurve,3))*(INDEX(DailyScalarsTable,AT$5/100,MONTH($A82)))*$C82</f>
        <v>-9866.5389916114527</v>
      </c>
      <c r="AU82" s="1021">
        <f>(VLOOKUP(YEAR($A82),'NY East Load Projections'!$A$4:$EO$14,((MONTH($A82)-1)*12)+VLOOKUP(AU$4,$DE$6:$DF$17,2)+1))*(VLOOKUP($A82,SatSunCurve,3))*(INDEX(DailyScalarsTable,AU$5/100,MONTH($A82)))*$C82</f>
        <v>-9570.3748937663913</v>
      </c>
      <c r="AV82" s="1021">
        <f>(VLOOKUP(YEAR($A82),'NY East Load Projections'!$A$4:$EO$14,((MONTH($A82)-1)*12)+VLOOKUP(AV$4,$DE$6:$DF$17,2)+1))*(VLOOKUP($A82,SatSunCurve,3))*(INDEX(DailyScalarsTable,AV$5/100,MONTH($A82)))*$C82</f>
        <v>-9197.8798428684804</v>
      </c>
      <c r="AW82" s="1021">
        <f>(VLOOKUP(YEAR($A82),'NY East Load Projections'!$A$4:$EO$14,((MONTH($A82)-1)*12)+VLOOKUP(AW$4,$DE$6:$DF$17,2)+1))*(VLOOKUP($A82,SatSunCurve,3))*(INDEX(DailyScalarsTable,AW$5/100,MONTH($A82)))*$C82</f>
        <v>-8751.0089035125166</v>
      </c>
      <c r="AX82" s="1021">
        <f>(VLOOKUP(YEAR($A82),'NY East Load Projections'!$A$4:$EO$14,((MONTH($A82)-1)*12)+VLOOKUP(AX$4,$DE$6:$DF$17,2)+1))*(VLOOKUP($A82,SatSunCurve,3))*(INDEX(DailyScalarsTable,AX$5/100,MONTH($A82)))*$C82</f>
        <v>-8409.9674561511292</v>
      </c>
      <c r="AY82" s="1021">
        <f>(VLOOKUP(YEAR($A82),'NY East Load Projections'!$A$4:$EO$14,((MONTH($A82)-1)*12)+VLOOKUP(AY$4,$DE$6:$DF$17,2)+1))*(VLOOKUP($A82,SatSunCurve,3))*(INDEX(DailyScalarsTable,AY$5/100,MONTH($A82)))*$C82</f>
        <v>-7286.5368060195087</v>
      </c>
      <c r="AZ82" s="1021">
        <f>(VLOOKUP(YEAR($A82),'NY East Load Projections'!$A$4:$EO$14,((MONTH($A82)-1)*12)+VLOOKUP(AZ$4,$DE$6:$DF$17,2)+1))*(VLOOKUP($A82,SatSunCurve,3))*(INDEX(DailyScalarsTable,AZ$5/100,MONTH($A82)))*$C82</f>
        <v>-7267.9084916678385</v>
      </c>
      <c r="BA82" s="1021">
        <f>(VLOOKUP(YEAR($A82),'NY East Load Projections'!$A$4:$EO$14,((MONTH($A82)-1)*12)+VLOOKUP(BA$4,$DE$6:$DF$17,2)+1))*(VLOOKUP($A82,SatSunCurve,3))*(INDEX(DailyScalarsTable,BA$5/100,MONTH($A82)))*$C82</f>
        <v>-9122.939405555966</v>
      </c>
      <c r="BB82" s="1021">
        <f>(VLOOKUP(YEAR($A82),'NY East Load Projections'!$A$4:$EO$14,((MONTH($A82)-1)*12)+VLOOKUP(BB$4,$DE$6:$DF$17,2)+1))*(VLOOKUP($A82,SatSunCurve,3))*(INDEX(DailyScalarsTable,BB$5/100,MONTH($A82)))*$C82</f>
        <v>-8701.5850505829421</v>
      </c>
      <c r="BC82" s="1021">
        <f>(VLOOKUP(YEAR($A82),'NY East Load Projections'!$A$4:$EO$14,((MONTH($A82)-1)*12)+VLOOKUP(BC$4,$DE$6:$DF$17,2)+1))*(VLOOKUP($A82,SatSunCurve,3))*(INDEX(DailyScalarsTable,BC$5/100,MONTH($A82)))*$C82</f>
        <v>-6980.482897044928</v>
      </c>
      <c r="BD82" s="1021">
        <f>(VLOOKUP(YEAR($A82),'NY East Load Projections'!$A$4:$EO$14,((MONTH($A82)-1)*12)+VLOOKUP(BD$4,$DE$6:$DF$17,2)+1))*(VLOOKUP($A82,CURVES!$D$9:$T$261,7))*(INDEX(DailyScalarsTable,BD$5/100,MONTH($A82)))*$C82</f>
        <v>-8632.52591358469</v>
      </c>
      <c r="BE82" s="1021"/>
      <c r="BF82" s="1021">
        <f>(VLOOKUP(YEAR($A82),'NY East Load Projections'!$A$4:$EO$14,((MONTH($A82)-1)*12)+VLOOKUP(BF$4,$DE$6:$DF$17,2)+1))*(VLOOKUP($A82,CURVES!$D$9:$T$261,7))*(INDEX(DailyScalarsTable,BF$5/100,MONTH($A82)))*$D82</f>
        <v>-7126.5035163739776</v>
      </c>
      <c r="BG82" s="1021">
        <f>(VLOOKUP(YEAR($A82),'NY East Load Projections'!$A$4:$EO$14,((MONTH($A82)-1)*12)+VLOOKUP(BG$4,$DE$6:$DF$17,2)+1))*(VLOOKUP($A82,CURVES!$D$9:$T$261,7))*(INDEX(DailyScalarsTable,BG$5/100,MONTH($A82)))*$D82</f>
        <v>-6419.2789615854854</v>
      </c>
      <c r="BH82" s="1021">
        <f>(VLOOKUP(YEAR($A82),'NY East Load Projections'!$A$4:$EO$14,((MONTH($A82)-1)*12)+VLOOKUP(BH$4,$DE$6:$DF$17,2)+1))*(VLOOKUP($A82,CURVES!$D$9:$T$261,7))*(INDEX(DailyScalarsTable,BH$5/100,MONTH($A82)))*$D82</f>
        <v>-6075.0215063445285</v>
      </c>
      <c r="BI82" s="1021">
        <f>(VLOOKUP(YEAR($A82),'NY East Load Projections'!$A$4:$EO$14,((MONTH($A82)-1)*12)+VLOOKUP(BI$4,$DE$6:$DF$17,2)+1))*(VLOOKUP($A82,CURVES!$D$9:$T$261,7))*(INDEX(DailyScalarsTable,BI$5/100,MONTH($A82)))*$D82</f>
        <v>-5889.7960277094453</v>
      </c>
      <c r="BJ82" s="1021">
        <f>(VLOOKUP(YEAR($A82),'NY East Load Projections'!$A$4:$EO$14,((MONTH($A82)-1)*12)+VLOOKUP(BJ$4,$DE$6:$DF$17,2)+1))*(VLOOKUP($A82,CURVES!$D$9:$T$261,7))*(INDEX(DailyScalarsTable,BJ$5/100,MONTH($A82)))*$D82</f>
        <v>-6478.0715051467596</v>
      </c>
      <c r="BK82" s="1021">
        <f>(VLOOKUP(YEAR($A82),'NY East Load Projections'!$A$4:$EO$14,((MONTH($A82)-1)*12)+VLOOKUP(BK$4,$DE$6:$DF$17,2)+1))*(VLOOKUP($A82,CURVES!$D$9:$T$261,7))*(INDEX(DailyScalarsTable,BK$5/100,MONTH($A82)))*$D82</f>
        <v>-7854.2815314748841</v>
      </c>
      <c r="BL82" s="1021">
        <f>(VLOOKUP(YEAR($A82),'NY East Load Projections'!$A$4:$EO$14,((MONTH($A82)-1)*12)+VLOOKUP(BL$4,$DE$6:$DF$17,2)+1))*(VLOOKUP($A82,CURVES!$D$9:$T$261,7))*(INDEX(DailyScalarsTable,BL$5/100,MONTH($A82)))*$D82</f>
        <v>-9397.765704649526</v>
      </c>
      <c r="BM82" s="1021">
        <f>(VLOOKUP(YEAR($A82),'NY East Load Projections'!$A$4:$EO$14,((MONTH($A82)-1)*12)+VLOOKUP(BM$4,$DE$6:$DF$17,2)+1))*(VLOOKUP($A82,SatSunCurve,7))*(INDEX(DailyScalarsTable,BM$5/100,MONTH($A82)))*$D82</f>
        <v>-7629.7882325897308</v>
      </c>
      <c r="BN82" s="1021">
        <f>(VLOOKUP(YEAR($A82),'NY East Load Projections'!$A$4:$EO$14,((MONTH($A82)-1)*12)+VLOOKUP(BN$4,$DE$6:$DF$17,2)+1))*(VLOOKUP($A82,SatSunCurve,7))*(INDEX(DailyScalarsTable,BN$5/100,MONTH($A82)))*$D82</f>
        <v>-9250.0675840003369</v>
      </c>
      <c r="BO82" s="1021">
        <f>(VLOOKUP(YEAR($A82),'NY East Load Projections'!$A$4:$EO$14,((MONTH($A82)-1)*12)+VLOOKUP(BO$4,$DE$6:$DF$17,2)+1))*(VLOOKUP($A82,SatSunCurve,7))*(INDEX(DailyScalarsTable,BO$5/100,MONTH($A82)))*$D82</f>
        <v>-9414.1325089716211</v>
      </c>
      <c r="BP82" s="1021">
        <f>(VLOOKUP(YEAR($A82),'NY East Load Projections'!$A$4:$EO$14,((MONTH($A82)-1)*12)+VLOOKUP(BP$4,$DE$6:$DF$17,2)+1))*(VLOOKUP($A82,SatSunCurve,7))*(INDEX(DailyScalarsTable,BP$5/100,MONTH($A82)))*$D82</f>
        <v>-9986.1818933847662</v>
      </c>
      <c r="BQ82" s="1021">
        <f>(VLOOKUP(YEAR($A82),'NY East Load Projections'!$A$4:$EO$14,((MONTH($A82)-1)*12)+VLOOKUP(BQ$4,$DE$6:$DF$17,2)+1))*(VLOOKUP($A82,SatSunCurve,7))*(INDEX(DailyScalarsTable,BQ$5/100,MONTH($A82)))*$D82</f>
        <v>-9910.6829898581545</v>
      </c>
      <c r="BR82" s="1021">
        <f>(VLOOKUP(YEAR($A82),'NY East Load Projections'!$A$4:$EO$14,((MONTH($A82)-1)*12)+VLOOKUP(BR$4,$DE$6:$DF$17,2)+1))*(VLOOKUP($A82,SatSunCurve,7))*(INDEX(DailyScalarsTable,BR$5/100,MONTH($A82)))*$D82</f>
        <v>-9439.4892519729347</v>
      </c>
      <c r="BS82" s="1021">
        <f>(VLOOKUP(YEAR($A82),'NY East Load Projections'!$A$4:$EO$14,((MONTH($A82)-1)*12)+VLOOKUP(BS$4,$DE$6:$DF$17,2)+1))*(VLOOKUP($A82,SatSunCurve,7))*(INDEX(DailyScalarsTable,BS$5/100,MONTH($A82)))*$D82</f>
        <v>-9484.9843027831303</v>
      </c>
      <c r="BT82" s="1021">
        <f>(VLOOKUP(YEAR($A82),'NY East Load Projections'!$A$4:$EO$14,((MONTH($A82)-1)*12)+VLOOKUP(BT$4,$DE$6:$DF$17,2)+1))*(VLOOKUP($A82,SatSunCurve,7))*(INDEX(DailyScalarsTable,BT$5/100,MONTH($A82)))*$D82</f>
        <v>-9200.2733396483727</v>
      </c>
      <c r="BU82" s="1021">
        <f>(VLOOKUP(YEAR($A82),'NY East Load Projections'!$A$4:$EO$14,((MONTH($A82)-1)*12)+VLOOKUP(BU$4,$DE$6:$DF$17,2)+1))*(VLOOKUP($A82,SatSunCurve,7))*(INDEX(DailyScalarsTable,BU$5/100,MONTH($A82)))*$D82</f>
        <v>-8842.183262303628</v>
      </c>
      <c r="BV82" s="1021">
        <f>(VLOOKUP(YEAR($A82),'NY East Load Projections'!$A$4:$EO$14,((MONTH($A82)-1)*12)+VLOOKUP(BV$4,$DE$6:$DF$17,2)+1))*(VLOOKUP($A82,SatSunCurve,7))*(INDEX(DailyScalarsTable,BV$5/100,MONTH($A82)))*$D82</f>
        <v>-8412.5935298994991</v>
      </c>
      <c r="BW82" s="1021">
        <f>(VLOOKUP(YEAR($A82),'NY East Load Projections'!$A$4:$EO$14,((MONTH($A82)-1)*12)+VLOOKUP(BW$4,$DE$6:$DF$17,2)+1))*(VLOOKUP($A82,SatSunCurve,7))*(INDEX(DailyScalarsTable,BW$5/100,MONTH($A82)))*$D82</f>
        <v>-8084.7406954282205</v>
      </c>
      <c r="BX82" s="1021">
        <f>(VLOOKUP(YEAR($A82),'NY East Load Projections'!$A$4:$EO$14,((MONTH($A82)-1)*12)+VLOOKUP(BX$4,$DE$6:$DF$17,2)+1))*(VLOOKUP($A82,SatSunCurve,7))*(INDEX(DailyScalarsTable,BX$5/100,MONTH($A82)))*$D82</f>
        <v>-7004.7548877581376</v>
      </c>
      <c r="BY82" s="1021">
        <f>(VLOOKUP(YEAR($A82),'NY East Load Projections'!$A$4:$EO$14,((MONTH($A82)-1)*12)+VLOOKUP(BY$4,$DE$6:$DF$17,2)+1))*(VLOOKUP($A82,SatSunCurve,7))*(INDEX(DailyScalarsTable,BY$5/100,MONTH($A82)))*$D82</f>
        <v>-6986.8469598248348</v>
      </c>
      <c r="BZ82" s="1021">
        <f>(VLOOKUP(YEAR($A82),'NY East Load Projections'!$A$4:$EO$14,((MONTH($A82)-1)*12)+VLOOKUP(BZ$4,$DE$6:$DF$17,2)+1))*(VLOOKUP($A82,SatSunCurve,7))*(INDEX(DailyScalarsTable,BZ$5/100,MONTH($A82)))*$D82</f>
        <v>-8770.140890388082</v>
      </c>
      <c r="CA82" s="1021">
        <f>(VLOOKUP(YEAR($A82),'NY East Load Projections'!$A$4:$EO$14,((MONTH($A82)-1)*12)+VLOOKUP(CA$4,$DE$6:$DF$17,2)+1))*(VLOOKUP($A82,SatSunCurve,7))*(INDEX(DailyScalarsTable,CA$5/100,MONTH($A82)))*$D82</f>
        <v>-8365.0809756371946</v>
      </c>
      <c r="CB82" s="1021">
        <f>(VLOOKUP(YEAR($A82),'NY East Load Projections'!$A$4:$EO$14,((MONTH($A82)-1)*12)+VLOOKUP(CB$4,$DE$6:$DF$17,2)+1))*(VLOOKUP($A82,SatSunCurve,7))*(INDEX(DailyScalarsTable,CB$5/100,MONTH($A82)))*$D82</f>
        <v>-6710.5365681531184</v>
      </c>
      <c r="CC82" s="1021">
        <f>(VLOOKUP(YEAR($A82),'NY East Load Projections'!$A$4:$EO$14,((MONTH($A82)-1)*12)+VLOOKUP(CC$4,$DE$6:$DF$17,2)+1))*(VLOOKUP($A82,CURVES!$D$9:$T$261,7))*(INDEX(DailyScalarsTable,CC$5/100,MONTH($A82)))*$D82</f>
        <v>-8632.52591358469</v>
      </c>
      <c r="CE82" s="1021">
        <f>(VLOOKUP(YEAR($A82),'NY East Load Projections'!$A$4:$EO$14,((MONTH($A82)-1)*12)+VLOOKUP(CE$4,$DE$6:$DF$17,2)+1))*(VLOOKUP($A82,CURVES!$D$9:$T$261,7))*(INDEX(DailyScalarsTable,CE$5/100,MONTH($A82)))*$E82</f>
        <v>-1781.6258790934944</v>
      </c>
      <c r="CF82" s="1021">
        <f>(VLOOKUP(YEAR($A82),'NY East Load Projections'!$A$4:$EO$14,((MONTH($A82)-1)*12)+VLOOKUP(CF$4,$DE$6:$DF$17,2)+1))*(VLOOKUP($A82,CURVES!$D$9:$T$261,7))*(INDEX(DailyScalarsTable,CF$5/100,MONTH($A82)))*$E82</f>
        <v>-1604.8197403963713</v>
      </c>
      <c r="CG82" s="1021">
        <f>(VLOOKUP(YEAR($A82),'NY East Load Projections'!$A$4:$EO$14,((MONTH($A82)-1)*12)+VLOOKUP(CG$4,$DE$6:$DF$17,2)+1))*(VLOOKUP($A82,CURVES!$D$9:$T$261,7))*(INDEX(DailyScalarsTable,CG$5/100,MONTH($A82)))*$E82</f>
        <v>-1518.7553765861321</v>
      </c>
      <c r="CH82" s="1021">
        <f>(VLOOKUP(YEAR($A82),'NY East Load Projections'!$A$4:$EO$14,((MONTH($A82)-1)*12)+VLOOKUP(CH$4,$DE$6:$DF$17,2)+1))*(VLOOKUP($A82,CURVES!$D$9:$T$261,7))*(INDEX(DailyScalarsTable,CH$5/100,MONTH($A82)))*$E82</f>
        <v>-1472.4490069273613</v>
      </c>
      <c r="CI82" s="1021">
        <f>(VLOOKUP(YEAR($A82),'NY East Load Projections'!$A$4:$EO$14,((MONTH($A82)-1)*12)+VLOOKUP(CI$4,$DE$6:$DF$17,2)+1))*(VLOOKUP($A82,CURVES!$D$9:$T$261,7))*(INDEX(DailyScalarsTable,CI$5/100,MONTH($A82)))*$E82</f>
        <v>-1619.5178762866899</v>
      </c>
      <c r="CJ82" s="1021">
        <f>(VLOOKUP(YEAR($A82),'NY East Load Projections'!$A$4:$EO$14,((MONTH($A82)-1)*12)+VLOOKUP(CJ$4,$DE$6:$DF$17,2)+1))*(VLOOKUP($A82,CURVES!$D$9:$T$261,7))*(INDEX(DailyScalarsTable,CJ$5/100,MONTH($A82)))*$E82</f>
        <v>-1963.570382868721</v>
      </c>
      <c r="CK82" s="1021">
        <f>(VLOOKUP(YEAR($A82),'NY East Load Projections'!$A$4:$EO$14,((MONTH($A82)-1)*12)+VLOOKUP(CK$4,$DE$6:$DF$17,2)+1))*(VLOOKUP($A82,CURVES!$D$9:$T$261,7))*(INDEX(DailyScalarsTable,CK$5/100,MONTH($A82)))*$E82</f>
        <v>-2349.4414261623815</v>
      </c>
      <c r="CL82" s="1021">
        <f>(VLOOKUP(YEAR($A82),'NY East Load Projections'!$A$4:$EO$14,((MONTH($A82)-1)*12)+VLOOKUP(CL$4,$DE$6:$DF$17,2)+1))*(VLOOKUP($A82,SatSunCurve,7))*(INDEX(DailyScalarsTable,CL$5/100,MONTH($A82)))*$E82</f>
        <v>-1907.4470581474327</v>
      </c>
      <c r="CM82" s="1021">
        <f>(VLOOKUP(YEAR($A82),'NY East Load Projections'!$A$4:$EO$14,((MONTH($A82)-1)*12)+VLOOKUP(CM$4,$DE$6:$DF$17,2)+1))*(VLOOKUP($A82,SatSunCurve,7))*(INDEX(DailyScalarsTable,CM$5/100,MONTH($A82)))*$E82</f>
        <v>-2312.5168960000842</v>
      </c>
      <c r="CN82" s="1021">
        <f>(VLOOKUP(YEAR($A82),'NY East Load Projections'!$A$4:$EO$14,((MONTH($A82)-1)*12)+VLOOKUP(CN$4,$DE$6:$DF$17,2)+1))*(VLOOKUP($A82,SatSunCurve,7))*(INDEX(DailyScalarsTable,CN$5/100,MONTH($A82)))*$E82</f>
        <v>-2353.5331272429053</v>
      </c>
      <c r="CO82" s="1021">
        <f>(VLOOKUP(YEAR($A82),'NY East Load Projections'!$A$4:$EO$14,((MONTH($A82)-1)*12)+VLOOKUP(CO$4,$DE$6:$DF$17,2)+1))*(VLOOKUP($A82,SatSunCurve,7))*(INDEX(DailyScalarsTable,CO$5/100,MONTH($A82)))*$E82</f>
        <v>-2496.5454733461916</v>
      </c>
      <c r="CP82" s="1021">
        <f>(VLOOKUP(YEAR($A82),'NY East Load Projections'!$A$4:$EO$14,((MONTH($A82)-1)*12)+VLOOKUP(CP$4,$DE$6:$DF$17,2)+1))*(VLOOKUP($A82,SatSunCurve,7))*(INDEX(DailyScalarsTable,CP$5/100,MONTH($A82)))*$E82</f>
        <v>-2477.6707474645386</v>
      </c>
      <c r="CQ82" s="1021">
        <f>(VLOOKUP(YEAR($A82),'NY East Load Projections'!$A$4:$EO$14,((MONTH($A82)-1)*12)+VLOOKUP(CQ$4,$DE$6:$DF$17,2)+1))*(VLOOKUP($A82,SatSunCurve,7))*(INDEX(DailyScalarsTable,CQ$5/100,MONTH($A82)))*$E82</f>
        <v>-2359.8723129932337</v>
      </c>
      <c r="CR82" s="1021">
        <f>(VLOOKUP(YEAR($A82),'NY East Load Projections'!$A$4:$EO$14,((MONTH($A82)-1)*12)+VLOOKUP(CR$4,$DE$6:$DF$17,2)+1))*(VLOOKUP($A82,SatSunCurve,7))*(INDEX(DailyScalarsTable,CR$5/100,MONTH($A82)))*$E82</f>
        <v>-2371.2460756957826</v>
      </c>
      <c r="CS82" s="1021">
        <f>(VLOOKUP(YEAR($A82),'NY East Load Projections'!$A$4:$EO$14,((MONTH($A82)-1)*12)+VLOOKUP(CS$4,$DE$6:$DF$17,2)+1))*(VLOOKUP($A82,SatSunCurve,7))*(INDEX(DailyScalarsTable,CS$5/100,MONTH($A82)))*$E82</f>
        <v>-2300.0683349120932</v>
      </c>
      <c r="CT82" s="1021">
        <f>(VLOOKUP(YEAR($A82),'NY East Load Projections'!$A$4:$EO$14,((MONTH($A82)-1)*12)+VLOOKUP(CT$4,$DE$6:$DF$17,2)+1))*(VLOOKUP($A82,SatSunCurve,7))*(INDEX(DailyScalarsTable,CT$5/100,MONTH($A82)))*$E82</f>
        <v>-2210.545815575907</v>
      </c>
      <c r="CU82" s="1021">
        <f>(VLOOKUP(YEAR($A82),'NY East Load Projections'!$A$4:$EO$14,((MONTH($A82)-1)*12)+VLOOKUP(CU$4,$DE$6:$DF$17,2)+1))*(VLOOKUP($A82,SatSunCurve,7))*(INDEX(DailyScalarsTable,CU$5/100,MONTH($A82)))*$E82</f>
        <v>-2103.1483824748748</v>
      </c>
      <c r="CV82" s="1021">
        <f>(VLOOKUP(YEAR($A82),'NY East Load Projections'!$A$4:$EO$14,((MONTH($A82)-1)*12)+VLOOKUP(CV$4,$DE$6:$DF$17,2)+1))*(VLOOKUP($A82,SatSunCurve,7))*(INDEX(DailyScalarsTable,CV$5/100,MONTH($A82)))*$E82</f>
        <v>-2021.1851738570551</v>
      </c>
      <c r="CW82" s="1021">
        <f>(VLOOKUP(YEAR($A82),'NY East Load Projections'!$A$4:$EO$14,((MONTH($A82)-1)*12)+VLOOKUP(CW$4,$DE$6:$DF$17,2)+1))*(VLOOKUP($A82,SatSunCurve,7))*(INDEX(DailyScalarsTable,CW$5/100,MONTH($A82)))*$E82</f>
        <v>-1751.1887219395344</v>
      </c>
      <c r="CX82" s="1021">
        <f>(VLOOKUP(YEAR($A82),'NY East Load Projections'!$A$4:$EO$14,((MONTH($A82)-1)*12)+VLOOKUP(CX$4,$DE$6:$DF$17,2)+1))*(VLOOKUP($A82,SatSunCurve,7))*(INDEX(DailyScalarsTable,CX$5/100,MONTH($A82)))*$E82</f>
        <v>-1746.7117399562087</v>
      </c>
      <c r="CY82" s="1021">
        <f>(VLOOKUP(YEAR($A82),'NY East Load Projections'!$A$4:$EO$14,((MONTH($A82)-1)*12)+VLOOKUP(CY$4,$DE$6:$DF$17,2)+1))*(VLOOKUP($A82,SatSunCurve,7))*(INDEX(DailyScalarsTable,CY$5/100,MONTH($A82)))*$E82</f>
        <v>-2192.5352225970205</v>
      </c>
      <c r="CZ82" s="1021">
        <f>(VLOOKUP(YEAR($A82),'NY East Load Projections'!$A$4:$EO$14,((MONTH($A82)-1)*12)+VLOOKUP(CZ$4,$DE$6:$DF$17,2)+1))*(VLOOKUP($A82,SatSunCurve,7))*(INDEX(DailyScalarsTable,CZ$5/100,MONTH($A82)))*$E82</f>
        <v>-2091.2702439092986</v>
      </c>
      <c r="DA82" s="1021">
        <f>(VLOOKUP(YEAR($A82),'NY East Load Projections'!$A$4:$EO$14,((MONTH($A82)-1)*12)+VLOOKUP(DA$4,$DE$6:$DF$17,2)+1))*(VLOOKUP($A82,SatSunCurve,7))*(INDEX(DailyScalarsTable,DA$5/100,MONTH($A82)))*$E82</f>
        <v>-1677.6341420382796</v>
      </c>
      <c r="DB82" s="1021">
        <f>(VLOOKUP(YEAR($A82),'NY East Load Projections'!$A$4:$EO$14,((MONTH($A82)-1)*12)+VLOOKUP(DB$4,$DE$6:$DF$17,2)+1))*(VLOOKUP($A82,CURVES!$D$9:$T$261,7))*(INDEX(DailyScalarsTable,DB$5/100,MONTH($A82)))*$E82</f>
        <v>-2158.1314783961725</v>
      </c>
      <c r="DH82" s="1032">
        <f t="shared" si="2"/>
        <v>-1946234.3104884706</v>
      </c>
      <c r="DI82">
        <f ca="1">CALC!J102</f>
        <v>0.58965192229306307</v>
      </c>
      <c r="DJ82" s="1029">
        <f t="shared" ca="1" si="3"/>
        <v>-1147600.8024122408</v>
      </c>
    </row>
    <row r="83" spans="1:114" x14ac:dyDescent="0.25">
      <c r="A83" s="244">
        <v>39234</v>
      </c>
      <c r="B83" s="13">
        <v>21</v>
      </c>
      <c r="C83" s="210">
        <v>5</v>
      </c>
      <c r="D83" s="210">
        <v>4</v>
      </c>
      <c r="E83" s="210">
        <v>0</v>
      </c>
      <c r="F83" s="13">
        <v>30</v>
      </c>
      <c r="H83" s="1021">
        <f>(VLOOKUP(YEAR($A83),'NY East Load Projections'!$A$4:$EO$14,((MONTH($A83)-1)*12)+VLOOKUP(H$4,$DE$6:$DF$17,2)+1))*(VLOOKUP($A83,CURVES!$D$9:$K$261,7))*(INDEX(DailyScalarsTable,H$5/100,MONTH($A83)))*$B83</f>
        <v>-43093.541726619245</v>
      </c>
      <c r="I83" s="1021">
        <f>(VLOOKUP(YEAR($A83),'NY East Load Projections'!$A$4:$EO$14,((MONTH($A83)-1)*12)+VLOOKUP(I$4,$DE$6:$DF$17,2)+1))*(VLOOKUP($A83,CURVES!$D$9:$K$261,7))*(INDEX(DailyScalarsTable,I$5/100,MONTH($A83)))*$B83</f>
        <v>-35703.556326866259</v>
      </c>
      <c r="J83" s="1021">
        <f>(VLOOKUP(YEAR($A83),'NY East Load Projections'!$A$4:$EO$14,((MONTH($A83)-1)*12)+VLOOKUP(J$4,$DE$6:$DF$17,2)+1))*(VLOOKUP($A83,CURVES!$D$9:$K$261,7))*(INDEX(DailyScalarsTable,J$5/100,MONTH($A83)))*$B83</f>
        <v>-30012.164586160976</v>
      </c>
      <c r="K83" s="1021">
        <f>(VLOOKUP(YEAR($A83),'NY East Load Projections'!$A$4:$EO$14,((MONTH($A83)-1)*12)+VLOOKUP(K$4,$DE$6:$DF$17,2)+1))*(VLOOKUP($A83,CURVES!$D$9:$K$261,7))*(INDEX(DailyScalarsTable,K$5/100,MONTH($A83)))*$B83</f>
        <v>-27861.34793996422</v>
      </c>
      <c r="L83" s="1021">
        <f>(VLOOKUP(YEAR($A83),'NY East Load Projections'!$A$4:$EO$14,((MONTH($A83)-1)*12)+VLOOKUP(L$4,$DE$6:$DF$17,2)+1))*(VLOOKUP($A83,CURVES!$D$9:$K$261,7))*(INDEX(DailyScalarsTable,L$5/100,MONTH($A83)))*$B83</f>
        <v>-32434.439669830361</v>
      </c>
      <c r="M83" s="1021">
        <f>(VLOOKUP(YEAR($A83),'NY East Load Projections'!$A$4:$EO$14,((MONTH($A83)-1)*12)+VLOOKUP(M$4,$DE$6:$DF$17,2)+1))*(VLOOKUP($A83,CURVES!$D$9:$K$261,7))*(INDEX(DailyScalarsTable,M$5/100,MONTH($A83)))*$B83</f>
        <v>-39572.383874541199</v>
      </c>
      <c r="N83" s="1021">
        <f>(VLOOKUP(YEAR($A83),'NY East Load Projections'!$A$4:$EO$14,((MONTH($A83)-1)*12)+VLOOKUP(N$4,$DE$6:$DF$17,2)+1))*(VLOOKUP($A83,CURVES!$D$9:$K$261,7))*(INDEX(DailyScalarsTable,N$5/100,MONTH($A83)))*$B83</f>
        <v>-45372.703377540056</v>
      </c>
      <c r="O83" s="1021">
        <f>(VLOOKUP(YEAR($A83),'NY East Load Projections'!$A$4:$EO$14,((MONTH($A83)-1)*12)+VLOOKUP(O$4,$DE$6:$DF$17,2)+1))*(VLOOKUP($A83,CURVES!$D$9:$K$261,3))*(INDEX(DailyScalarsTable,O$5/100,MONTH($A83)))*$B83</f>
        <v>-65899.670314160321</v>
      </c>
      <c r="P83" s="1021">
        <f>(VLOOKUP(YEAR($A83),'NY East Load Projections'!$A$4:$EO$14,((MONTH($A83)-1)*12)+VLOOKUP(P$4,$DE$6:$DF$17,2)+1))*(VLOOKUP($A83,CURVES!$D$9:$K$261,3))*(INDEX(DailyScalarsTable,P$5/100,MONTH($A83)))*$B83</f>
        <v>-83997.254817407651</v>
      </c>
      <c r="Q83" s="1021">
        <f>(VLOOKUP(YEAR($A83),'NY East Load Projections'!$A$4:$EO$14,((MONTH($A83)-1)*12)+VLOOKUP(Q$4,$DE$6:$DF$17,2)+1))*(VLOOKUP($A83,CURVES!$D$9:$K$261,3))*(INDEX(DailyScalarsTable,Q$5/100,MONTH($A83)))*$B83</f>
        <v>-93950.3037668498</v>
      </c>
      <c r="R83" s="1021">
        <f>(VLOOKUP(YEAR($A83),'NY East Load Projections'!$A$4:$EO$14,((MONTH($A83)-1)*12)+VLOOKUP(R$4,$DE$6:$DF$17,2)+1))*(VLOOKUP($A83,CURVES!$D$9:$K$261,3))*(INDEX(DailyScalarsTable,R$5/100,MONTH($A83)))*$B83</f>
        <v>-108070.08770548149</v>
      </c>
      <c r="S83" s="1021">
        <f>(VLOOKUP(YEAR($A83),'NY East Load Projections'!$A$4:$EO$14,((MONTH($A83)-1)*12)+VLOOKUP(S$4,$DE$6:$DF$17,2)+1))*(VLOOKUP($A83,CURVES!$D$9:$K$261,3))*(INDEX(DailyScalarsTable,S$5/100,MONTH($A83)))*$B83</f>
        <v>-116550.79213577545</v>
      </c>
      <c r="T83" s="1021">
        <f>(VLOOKUP(YEAR($A83),'NY East Load Projections'!$A$4:$EO$14,((MONTH($A83)-1)*12)+VLOOKUP(T$4,$DE$6:$DF$17,2)+1))*(VLOOKUP($A83,CURVES!$D$9:$K$261,3))*(INDEX(DailyScalarsTable,T$5/100,MONTH($A83)))*$B83</f>
        <v>-123768.48376452284</v>
      </c>
      <c r="U83" s="1021">
        <f>(VLOOKUP(YEAR($A83),'NY East Load Projections'!$A$4:$EO$14,((MONTH($A83)-1)*12)+VLOOKUP(U$4,$DE$6:$DF$17,2)+1))*(VLOOKUP($A83,CURVES!$D$9:$K$261,3))*(INDEX(DailyScalarsTable,U$5/100,MONTH($A83)))*$B83</f>
        <v>-136873.55905736255</v>
      </c>
      <c r="V83" s="1021">
        <f>(VLOOKUP(YEAR($A83),'NY East Load Projections'!$A$4:$EO$14,((MONTH($A83)-1)*12)+VLOOKUP(V$4,$DE$6:$DF$17,2)+1))*(VLOOKUP($A83,CURVES!$D$9:$K$261,3))*(INDEX(DailyScalarsTable,V$5/100,MONTH($A83)))*$B83</f>
        <v>-137926.77980420389</v>
      </c>
      <c r="W83" s="1021">
        <f>(VLOOKUP(YEAR($A83),'NY East Load Projections'!$A$4:$EO$14,((MONTH($A83)-1)*12)+VLOOKUP(W$4,$DE$6:$DF$17,2)+1))*(VLOOKUP($A83,CURVES!$D$9:$K$261,3))*(INDEX(DailyScalarsTable,W$5/100,MONTH($A83)))*$B83</f>
        <v>-138152.46996424126</v>
      </c>
      <c r="X83" s="1021">
        <f>(VLOOKUP(YEAR($A83),'NY East Load Projections'!$A$4:$EO$14,((MONTH($A83)-1)*12)+VLOOKUP(X$4,$DE$6:$DF$17,2)+1))*(VLOOKUP($A83,CURVES!$D$9:$K$261,3))*(INDEX(DailyScalarsTable,X$5/100,MONTH($A83)))*$B83</f>
        <v>-135068.83478738379</v>
      </c>
      <c r="Y83" s="1021">
        <f>(VLOOKUP(YEAR($A83),'NY East Load Projections'!$A$4:$EO$14,((MONTH($A83)-1)*12)+VLOOKUP(Y$4,$DE$6:$DF$17,2)+1))*(VLOOKUP($A83,CURVES!$D$9:$K$261,3))*(INDEX(DailyScalarsTable,Y$5/100,MONTH($A83)))*$B83</f>
        <v>-131059.18231325396</v>
      </c>
      <c r="Z83" s="1021">
        <f>(VLOOKUP(YEAR($A83),'NY East Load Projections'!$A$4:$EO$14,((MONTH($A83)-1)*12)+VLOOKUP(Z$4,$DE$6:$DF$17,2)+1))*(VLOOKUP($A83,CURVES!$D$9:$K$261,3))*(INDEX(DailyScalarsTable,Z$5/100,MONTH($A83)))*$B83</f>
        <v>-111908.38728338484</v>
      </c>
      <c r="AA83" s="1021">
        <f>(VLOOKUP(YEAR($A83),'NY East Load Projections'!$A$4:$EO$14,((MONTH($A83)-1)*12)+VLOOKUP(AA$4,$DE$6:$DF$17,2)+1))*(VLOOKUP($A83,CURVES!$D$9:$K$261,3))*(INDEX(DailyScalarsTable,AA$5/100,MONTH($A83)))*$B83</f>
        <v>-89486.179043575903</v>
      </c>
      <c r="AB83" s="1021">
        <f>(VLOOKUP(YEAR($A83),'NY East Load Projections'!$A$4:$EO$14,((MONTH($A83)-1)*12)+VLOOKUP(AB$4,$DE$6:$DF$17,2)+1))*(VLOOKUP($A83,CURVES!$D$9:$K$261,3))*(INDEX(DailyScalarsTable,AB$5/100,MONTH($A83)))*$B83</f>
        <v>-88953.452916425798</v>
      </c>
      <c r="AC83" s="1021">
        <f>(VLOOKUP(YEAR($A83),'NY East Load Projections'!$A$4:$EO$14,((MONTH($A83)-1)*12)+VLOOKUP(AC$4,$DE$6:$DF$17,2)+1))*(VLOOKUP($A83,CURVES!$D$9:$K$261,3))*(INDEX(DailyScalarsTable,AC$5/100,MONTH($A83)))*$B83</f>
        <v>-90635.067760186765</v>
      </c>
      <c r="AD83" s="1021">
        <f>(VLOOKUP(YEAR($A83),'NY East Load Projections'!$A$4:$EO$14,((MONTH($A83)-1)*12)+VLOOKUP(AD$4,$DE$6:$DF$17,2)+1))*(VLOOKUP($A83,CURVES!$D$9:$K$261,3))*(INDEX(DailyScalarsTable,AD$5/100,MONTH($A83)))*$B83</f>
        <v>-72680.188011054081</v>
      </c>
      <c r="AE83" s="1021">
        <f>(VLOOKUP(YEAR($A83),'NY East Load Projections'!$A$4:$EO$14,((MONTH($A83)-1)*12)+VLOOKUP(AE$4,$DE$6:$DF$17,2)+1))*(VLOOKUP($A83,CURVES!$D$9:$K$261,7))*(INDEX(DailyScalarsTable,AE$5/100,MONTH($A83)))*$B83</f>
        <v>-54424.263046706765</v>
      </c>
      <c r="AF83" s="1021"/>
      <c r="AG83" s="1021">
        <f>(VLOOKUP(YEAR($A83),'NY East Load Projections'!$A$4:$EO$14,((MONTH($A83)-1)*12)+VLOOKUP(AG$4,$DE$6:$DF$17,2)+1))*(VLOOKUP($A83,CURVES!$D$9:$T$261,7))*(INDEX(DailyScalarsTable,AG$5/100,MONTH($A83)))*$C83</f>
        <v>-10409.360398348361</v>
      </c>
      <c r="AH83" s="1021">
        <f>(VLOOKUP(YEAR($A83),'NY East Load Projections'!$A$4:$EO$14,((MONTH($A83)-1)*12)+VLOOKUP(AH$4,$DE$6:$DF$17,2)+1))*(VLOOKUP($A83,CURVES!$D$9:$T$261,7))*(INDEX(DailyScalarsTable,AH$5/100,MONTH($A83)))*$C83</f>
        <v>-8624.2896364099415</v>
      </c>
      <c r="AI83" s="1021">
        <f>(VLOOKUP(YEAR($A83),'NY East Load Projections'!$A$4:$EO$14,((MONTH($A83)-1)*12)+VLOOKUP(AI$4,$DE$6:$DF$17,2)+1))*(VLOOKUP($A83,CURVES!$D$9:$T$261,7))*(INDEX(DailyScalarsTable,AI$5/100,MONTH($A83)))*$C83</f>
        <v>-7249.5187212454275</v>
      </c>
      <c r="AJ83" s="1021">
        <f>(VLOOKUP(YEAR($A83),'NY East Load Projections'!$A$4:$EO$14,((MONTH($A83)-1)*12)+VLOOKUP(AJ$4,$DE$6:$DF$17,2)+1))*(VLOOKUP($A83,CURVES!$D$9:$T$261,7))*(INDEX(DailyScalarsTable,AJ$5/100,MONTH($A83)))*$C83</f>
        <v>-6729.9832009797692</v>
      </c>
      <c r="AK83" s="1021">
        <f>(VLOOKUP(YEAR($A83),'NY East Load Projections'!$A$4:$EO$14,((MONTH($A83)-1)*12)+VLOOKUP(AK$4,$DE$6:$DF$17,2)+1))*(VLOOKUP($A83,CURVES!$D$9:$T$261,7))*(INDEX(DailyScalarsTable,AK$5/100,MONTH($A83)))*$C83</f>
        <v>-7376.2879196168478</v>
      </c>
      <c r="AL83" s="1021">
        <f>(VLOOKUP(YEAR($A83),'NY East Load Projections'!$A$4:$EO$14,((MONTH($A83)-1)*12)+VLOOKUP(AL$4,$DE$6:$DF$17,2)+1))*(VLOOKUP($A83,CURVES!$D$9:$T$261,7))*(INDEX(DailyScalarsTable,AL$5/100,MONTH($A83)))*$C83</f>
        <v>-8999.609677109167</v>
      </c>
      <c r="AM83" s="1021">
        <f>(VLOOKUP(YEAR($A83),'NY East Load Projections'!$A$4:$EO$14,((MONTH($A83)-1)*12)+VLOOKUP(AM$4,$DE$6:$DF$17,2)+1))*(VLOOKUP($A83,CURVES!$D$9:$T$261,7))*(INDEX(DailyScalarsTable,AM$5/100,MONTH($A83)))*$C83</f>
        <v>-10318.726859814369</v>
      </c>
      <c r="AN83" s="1021">
        <f>(VLOOKUP(YEAR($A83),'NY East Load Projections'!$A$4:$EO$14,((MONTH($A83)-1)*12)+VLOOKUP(AN$4,$DE$6:$DF$17,2)+1))*(VLOOKUP($A83,SatSunCurve,3))*(INDEX(DailyScalarsTable,AN$5/100,MONTH($A83)))*$C83</f>
        <v>-8131.9612961408911</v>
      </c>
      <c r="AO83" s="1021">
        <f>(VLOOKUP(YEAR($A83),'NY East Load Projections'!$A$4:$EO$14,((MONTH($A83)-1)*12)+VLOOKUP(AO$4,$DE$6:$DF$17,2)+1))*(VLOOKUP($A83,SatSunCurve,3))*(INDEX(DailyScalarsTable,AO$5/100,MONTH($A83)))*$C83</f>
        <v>-10298.988231810892</v>
      </c>
      <c r="AP83" s="1021">
        <f>(VLOOKUP(YEAR($A83),'NY East Load Projections'!$A$4:$EO$14,((MONTH($A83)-1)*12)+VLOOKUP(AP$4,$DE$6:$DF$17,2)+1))*(VLOOKUP($A83,SatSunCurve,3))*(INDEX(DailyScalarsTable,AP$5/100,MONTH($A83)))*$C83</f>
        <v>-11519.34161387998</v>
      </c>
      <c r="AQ83" s="1021">
        <f>(VLOOKUP(YEAR($A83),'NY East Load Projections'!$A$4:$EO$14,((MONTH($A83)-1)*12)+VLOOKUP(AQ$4,$DE$6:$DF$17,2)+1))*(VLOOKUP($A83,SatSunCurve,3))*(INDEX(DailyScalarsTable,AQ$5/100,MONTH($A83)))*$C83</f>
        <v>-13250.582580454324</v>
      </c>
      <c r="AR83" s="1021">
        <f>(VLOOKUP(YEAR($A83),'NY East Load Projections'!$A$4:$EO$14,((MONTH($A83)-1)*12)+VLOOKUP(AR$4,$DE$6:$DF$17,2)+1))*(VLOOKUP($A83,SatSunCurve,3))*(INDEX(DailyScalarsTable,AR$5/100,MONTH($A83)))*$C83</f>
        <v>-14290.410314288347</v>
      </c>
      <c r="AS83" s="1021">
        <f>(VLOOKUP(YEAR($A83),'NY East Load Projections'!$A$4:$EO$14,((MONTH($A83)-1)*12)+VLOOKUP(AS$4,$DE$6:$DF$17,2)+1))*(VLOOKUP($A83,SatSunCurve,3))*(INDEX(DailyScalarsTable,AS$5/100,MONTH($A83)))*$C83</f>
        <v>-15199.949775280655</v>
      </c>
      <c r="AT83" s="1021">
        <f>(VLOOKUP(YEAR($A83),'NY East Load Projections'!$A$4:$EO$14,((MONTH($A83)-1)*12)+VLOOKUP(AT$4,$DE$6:$DF$17,2)+1))*(VLOOKUP($A83,SatSunCurve,3))*(INDEX(DailyScalarsTable,AT$5/100,MONTH($A83)))*$C83</f>
        <v>-16809.377960822771</v>
      </c>
      <c r="AU83" s="1021">
        <f>(VLOOKUP(YEAR($A83),'NY East Load Projections'!$A$4:$EO$14,((MONTH($A83)-1)*12)+VLOOKUP(AU$4,$DE$6:$DF$17,2)+1))*(VLOOKUP($A83,SatSunCurve,3))*(INDEX(DailyScalarsTable,AU$5/100,MONTH($A83)))*$C83</f>
        <v>-16938.723509603427</v>
      </c>
      <c r="AV83" s="1021">
        <f>(VLOOKUP(YEAR($A83),'NY East Load Projections'!$A$4:$EO$14,((MONTH($A83)-1)*12)+VLOOKUP(AV$4,$DE$6:$DF$17,2)+1))*(VLOOKUP($A83,SatSunCurve,3))*(INDEX(DailyScalarsTable,AV$5/100,MONTH($A83)))*$C83</f>
        <v>-16966.440412913562</v>
      </c>
      <c r="AW83" s="1021">
        <f>(VLOOKUP(YEAR($A83),'NY East Load Projections'!$A$4:$EO$14,((MONTH($A83)-1)*12)+VLOOKUP(AW$4,$DE$6:$DF$17,2)+1))*(VLOOKUP($A83,SatSunCurve,3))*(INDEX(DailyScalarsTable,AW$5/100,MONTH($A83)))*$C83</f>
        <v>-16577.973148443911</v>
      </c>
      <c r="AX83" s="1021">
        <f>(VLOOKUP(YEAR($A83),'NY East Load Projections'!$A$4:$EO$14,((MONTH($A83)-1)*12)+VLOOKUP(AX$4,$DE$6:$DF$17,2)+1))*(VLOOKUP($A83,SatSunCurve,3))*(INDEX(DailyScalarsTable,AX$5/100,MONTH($A83)))*$C83</f>
        <v>-16085.839554818471</v>
      </c>
      <c r="AY83" s="1021">
        <f>(VLOOKUP(YEAR($A83),'NY East Load Projections'!$A$4:$EO$14,((MONTH($A83)-1)*12)+VLOOKUP(AY$4,$DE$6:$DF$17,2)+1))*(VLOOKUP($A83,SatSunCurve,3))*(INDEX(DailyScalarsTable,AY$5/100,MONTH($A83)))*$C83</f>
        <v>-13735.324232195891</v>
      </c>
      <c r="AZ83" s="1021">
        <f>(VLOOKUP(YEAR($A83),'NY East Load Projections'!$A$4:$EO$14,((MONTH($A83)-1)*12)+VLOOKUP(AZ$4,$DE$6:$DF$17,2)+1))*(VLOOKUP($A83,SatSunCurve,3))*(INDEX(DailyScalarsTable,AZ$5/100,MONTH($A83)))*$C83</f>
        <v>-10983.284750153281</v>
      </c>
      <c r="BA83" s="1021">
        <f>(VLOOKUP(YEAR($A83),'NY East Load Projections'!$A$4:$EO$14,((MONTH($A83)-1)*12)+VLOOKUP(BA$4,$DE$6:$DF$17,2)+1))*(VLOOKUP($A83,SatSunCurve,3))*(INDEX(DailyScalarsTable,BA$5/100,MONTH($A83)))*$C83</f>
        <v>-11365.028901275651</v>
      </c>
      <c r="BB83" s="1021">
        <f>(VLOOKUP(YEAR($A83),'NY East Load Projections'!$A$4:$EO$14,((MONTH($A83)-1)*12)+VLOOKUP(BB$4,$DE$6:$DF$17,2)+1))*(VLOOKUP($A83,SatSunCurve,3))*(INDEX(DailyScalarsTable,BB$5/100,MONTH($A83)))*$C83</f>
        <v>-11579.878361005038</v>
      </c>
      <c r="BC83" s="1021">
        <f>(VLOOKUP(YEAR($A83),'NY East Load Projections'!$A$4:$EO$14,((MONTH($A83)-1)*12)+VLOOKUP(BC$4,$DE$6:$DF$17,2)+1))*(VLOOKUP($A83,SatSunCurve,3))*(INDEX(DailyScalarsTable,BC$5/100,MONTH($A83)))*$C83</f>
        <v>-9285.8951531857765</v>
      </c>
      <c r="BD83" s="1021">
        <f>(VLOOKUP(YEAR($A83),'NY East Load Projections'!$A$4:$EO$14,((MONTH($A83)-1)*12)+VLOOKUP(BD$4,$DE$6:$DF$17,2)+1))*(VLOOKUP($A83,CURVES!$D$9:$T$261,7))*(INDEX(DailyScalarsTable,BD$5/100,MONTH($A83)))*$C83</f>
        <v>-12815.031862125297</v>
      </c>
      <c r="BE83" s="1021"/>
      <c r="BF83" s="1021">
        <f>(VLOOKUP(YEAR($A83),'NY East Load Projections'!$A$4:$EO$14,((MONTH($A83)-1)*12)+VLOOKUP(BF$4,$DE$6:$DF$17,2)+1))*(VLOOKUP($A83,CURVES!$D$9:$T$261,7))*(INDEX(DailyScalarsTable,BF$5/100,MONTH($A83)))*$D83</f>
        <v>-8327.4883186786883</v>
      </c>
      <c r="BG83" s="1021">
        <f>(VLOOKUP(YEAR($A83),'NY East Load Projections'!$A$4:$EO$14,((MONTH($A83)-1)*12)+VLOOKUP(BG$4,$DE$6:$DF$17,2)+1))*(VLOOKUP($A83,CURVES!$D$9:$T$261,7))*(INDEX(DailyScalarsTable,BG$5/100,MONTH($A83)))*$D83</f>
        <v>-6899.4317091279536</v>
      </c>
      <c r="BH83" s="1021">
        <f>(VLOOKUP(YEAR($A83),'NY East Load Projections'!$A$4:$EO$14,((MONTH($A83)-1)*12)+VLOOKUP(BH$4,$DE$6:$DF$17,2)+1))*(VLOOKUP($A83,CURVES!$D$9:$T$261,7))*(INDEX(DailyScalarsTable,BH$5/100,MONTH($A83)))*$D83</f>
        <v>-5799.6149769963422</v>
      </c>
      <c r="BI83" s="1021">
        <f>(VLOOKUP(YEAR($A83),'NY East Load Projections'!$A$4:$EO$14,((MONTH($A83)-1)*12)+VLOOKUP(BI$4,$DE$6:$DF$17,2)+1))*(VLOOKUP($A83,CURVES!$D$9:$T$261,7))*(INDEX(DailyScalarsTable,BI$5/100,MONTH($A83)))*$D83</f>
        <v>-5383.9865607838155</v>
      </c>
      <c r="BJ83" s="1021">
        <f>(VLOOKUP(YEAR($A83),'NY East Load Projections'!$A$4:$EO$14,((MONTH($A83)-1)*12)+VLOOKUP(BJ$4,$DE$6:$DF$17,2)+1))*(VLOOKUP($A83,CURVES!$D$9:$T$261,7))*(INDEX(DailyScalarsTable,BJ$5/100,MONTH($A83)))*$D83</f>
        <v>-5901.0303356934783</v>
      </c>
      <c r="BK83" s="1021">
        <f>(VLOOKUP(YEAR($A83),'NY East Load Projections'!$A$4:$EO$14,((MONTH($A83)-1)*12)+VLOOKUP(BK$4,$DE$6:$DF$17,2)+1))*(VLOOKUP($A83,CURVES!$D$9:$T$261,7))*(INDEX(DailyScalarsTable,BK$5/100,MONTH($A83)))*$D83</f>
        <v>-7199.687741687334</v>
      </c>
      <c r="BL83" s="1021">
        <f>(VLOOKUP(YEAR($A83),'NY East Load Projections'!$A$4:$EO$14,((MONTH($A83)-1)*12)+VLOOKUP(BL$4,$DE$6:$DF$17,2)+1))*(VLOOKUP($A83,CURVES!$D$9:$T$261,7))*(INDEX(DailyScalarsTable,BL$5/100,MONTH($A83)))*$D83</f>
        <v>-8254.9814878514953</v>
      </c>
      <c r="BM83" s="1021">
        <f>(VLOOKUP(YEAR($A83),'NY East Load Projections'!$A$4:$EO$14,((MONTH($A83)-1)*12)+VLOOKUP(BM$4,$DE$6:$DF$17,2)+1))*(VLOOKUP($A83,SatSunCurve,7))*(INDEX(DailyScalarsTable,BM$5/100,MONTH($A83)))*$D83</f>
        <v>-4927.2410072526236</v>
      </c>
      <c r="BN83" s="1021">
        <f>(VLOOKUP(YEAR($A83),'NY East Load Projections'!$A$4:$EO$14,((MONTH($A83)-1)*12)+VLOOKUP(BN$4,$DE$6:$DF$17,2)+1))*(VLOOKUP($A83,SatSunCurve,7))*(INDEX(DailyScalarsTable,BN$5/100,MONTH($A83)))*$D83</f>
        <v>-6240.2654539283994</v>
      </c>
      <c r="BO83" s="1021">
        <f>(VLOOKUP(YEAR($A83),'NY East Load Projections'!$A$4:$EO$14,((MONTH($A83)-1)*12)+VLOOKUP(BO$4,$DE$6:$DF$17,2)+1))*(VLOOKUP($A83,SatSunCurve,7))*(INDEX(DailyScalarsTable,BO$5/100,MONTH($A83)))*$D83</f>
        <v>-6979.6904227023851</v>
      </c>
      <c r="BP83" s="1021">
        <f>(VLOOKUP(YEAR($A83),'NY East Load Projections'!$A$4:$EO$14,((MONTH($A83)-1)*12)+VLOOKUP(BP$4,$DE$6:$DF$17,2)+1))*(VLOOKUP($A83,SatSunCurve,7))*(INDEX(DailyScalarsTable,BP$5/100,MONTH($A83)))*$D83</f>
        <v>-8028.6675603566064</v>
      </c>
      <c r="BQ83" s="1021">
        <f>(VLOOKUP(YEAR($A83),'NY East Load Projections'!$A$4:$EO$14,((MONTH($A83)-1)*12)+VLOOKUP(BQ$4,$DE$6:$DF$17,2)+1))*(VLOOKUP($A83,SatSunCurve,7))*(INDEX(DailyScalarsTable,BQ$5/100,MONTH($A83)))*$D83</f>
        <v>-8658.7101373001242</v>
      </c>
      <c r="BR83" s="1021">
        <f>(VLOOKUP(YEAR($A83),'NY East Load Projections'!$A$4:$EO$14,((MONTH($A83)-1)*12)+VLOOKUP(BR$4,$DE$6:$DF$17,2)+1))*(VLOOKUP($A83,SatSunCurve,7))*(INDEX(DailyScalarsTable,BR$5/100,MONTH($A83)))*$D83</f>
        <v>-9209.8096773388206</v>
      </c>
      <c r="BS83" s="1021">
        <f>(VLOOKUP(YEAR($A83),'NY East Load Projections'!$A$4:$EO$14,((MONTH($A83)-1)*12)+VLOOKUP(BS$4,$DE$6:$DF$17,2)+1))*(VLOOKUP($A83,SatSunCurve,7))*(INDEX(DailyScalarsTable,BS$5/100,MONTH($A83)))*$D83</f>
        <v>-10184.979167852085</v>
      </c>
      <c r="BT83" s="1021">
        <f>(VLOOKUP(YEAR($A83),'NY East Load Projections'!$A$4:$EO$14,((MONTH($A83)-1)*12)+VLOOKUP(BT$4,$DE$6:$DF$17,2)+1))*(VLOOKUP($A83,SatSunCurve,7))*(INDEX(DailyScalarsTable,BT$5/100,MONTH($A83)))*$D83</f>
        <v>-10263.350998318136</v>
      </c>
      <c r="BU83" s="1021">
        <f>(VLOOKUP(YEAR($A83),'NY East Load Projections'!$A$4:$EO$14,((MONTH($A83)-1)*12)+VLOOKUP(BU$4,$DE$6:$DF$17,2)+1))*(VLOOKUP($A83,SatSunCurve,7))*(INDEX(DailyScalarsTable,BU$5/100,MONTH($A83)))*$D83</f>
        <v>-10280.144961989428</v>
      </c>
      <c r="BV83" s="1021">
        <f>(VLOOKUP(YEAR($A83),'NY East Load Projections'!$A$4:$EO$14,((MONTH($A83)-1)*12)+VLOOKUP(BV$4,$DE$6:$DF$17,2)+1))*(VLOOKUP($A83,SatSunCurve,7))*(INDEX(DailyScalarsTable,BV$5/100,MONTH($A83)))*$D83</f>
        <v>-10044.768554531804</v>
      </c>
      <c r="BW83" s="1021">
        <f>(VLOOKUP(YEAR($A83),'NY East Load Projections'!$A$4:$EO$14,((MONTH($A83)-1)*12)+VLOOKUP(BW$4,$DE$6:$DF$17,2)+1))*(VLOOKUP($A83,SatSunCurve,7))*(INDEX(DailyScalarsTable,BW$5/100,MONTH($A83)))*$D83</f>
        <v>-9746.5796262705953</v>
      </c>
      <c r="BX83" s="1021">
        <f>(VLOOKUP(YEAR($A83),'NY East Load Projections'!$A$4:$EO$14,((MONTH($A83)-1)*12)+VLOOKUP(BX$4,$DE$6:$DF$17,2)+1))*(VLOOKUP($A83,SatSunCurve,7))*(INDEX(DailyScalarsTable,BX$5/100,MONTH($A83)))*$D83</f>
        <v>-8322.377633167438</v>
      </c>
      <c r="BY83" s="1021">
        <f>(VLOOKUP(YEAR($A83),'NY East Load Projections'!$A$4:$EO$14,((MONTH($A83)-1)*12)+VLOOKUP(BY$4,$DE$6:$DF$17,2)+1))*(VLOOKUP($A83,SatSunCurve,7))*(INDEX(DailyScalarsTable,BY$5/100,MONTH($A83)))*$D83</f>
        <v>-6654.8879224215643</v>
      </c>
      <c r="BZ83" s="1021">
        <f>(VLOOKUP(YEAR($A83),'NY East Load Projections'!$A$4:$EO$14,((MONTH($A83)-1)*12)+VLOOKUP(BZ$4,$DE$6:$DF$17,2)+1))*(VLOOKUP($A83,SatSunCurve,7))*(INDEX(DailyScalarsTable,BZ$5/100,MONTH($A83)))*$D83</f>
        <v>-6886.1907246842356</v>
      </c>
      <c r="CA83" s="1021">
        <f>(VLOOKUP(YEAR($A83),'NY East Load Projections'!$A$4:$EO$14,((MONTH($A83)-1)*12)+VLOOKUP(CA$4,$DE$6:$DF$17,2)+1))*(VLOOKUP($A83,SatSunCurve,7))*(INDEX(DailyScalarsTable,CA$5/100,MONTH($A83)))*$D83</f>
        <v>-7016.3702754485867</v>
      </c>
      <c r="CB83" s="1021">
        <f>(VLOOKUP(YEAR($A83),'NY East Load Projections'!$A$4:$EO$14,((MONTH($A83)-1)*12)+VLOOKUP(CB$4,$DE$6:$DF$17,2)+1))*(VLOOKUP($A83,SatSunCurve,7))*(INDEX(DailyScalarsTable,CB$5/100,MONTH($A83)))*$D83</f>
        <v>-5626.4216861851401</v>
      </c>
      <c r="CC83" s="1021">
        <f>(VLOOKUP(YEAR($A83),'NY East Load Projections'!$A$4:$EO$14,((MONTH($A83)-1)*12)+VLOOKUP(CC$4,$DE$6:$DF$17,2)+1))*(VLOOKUP($A83,CURVES!$D$9:$T$261,7))*(INDEX(DailyScalarsTable,CC$5/100,MONTH($A83)))*$D83</f>
        <v>-10252.025489700238</v>
      </c>
      <c r="CE83" s="1021">
        <f>(VLOOKUP(YEAR($A83),'NY East Load Projections'!$A$4:$EO$14,((MONTH($A83)-1)*12)+VLOOKUP(CE$4,$DE$6:$DF$17,2)+1))*(VLOOKUP($A83,CURVES!$D$9:$T$261,7))*(INDEX(DailyScalarsTable,CE$5/100,MONTH($A83)))*$E83</f>
        <v>0</v>
      </c>
      <c r="CF83" s="1021">
        <f>(VLOOKUP(YEAR($A83),'NY East Load Projections'!$A$4:$EO$14,((MONTH($A83)-1)*12)+VLOOKUP(CF$4,$DE$6:$DF$17,2)+1))*(VLOOKUP($A83,CURVES!$D$9:$T$261,7))*(INDEX(DailyScalarsTable,CF$5/100,MONTH($A83)))*$E83</f>
        <v>0</v>
      </c>
      <c r="CG83" s="1021">
        <f>(VLOOKUP(YEAR($A83),'NY East Load Projections'!$A$4:$EO$14,((MONTH($A83)-1)*12)+VLOOKUP(CG$4,$DE$6:$DF$17,2)+1))*(VLOOKUP($A83,CURVES!$D$9:$T$261,7))*(INDEX(DailyScalarsTable,CG$5/100,MONTH($A83)))*$E83</f>
        <v>0</v>
      </c>
      <c r="CH83" s="1021">
        <f>(VLOOKUP(YEAR($A83),'NY East Load Projections'!$A$4:$EO$14,((MONTH($A83)-1)*12)+VLOOKUP(CH$4,$DE$6:$DF$17,2)+1))*(VLOOKUP($A83,CURVES!$D$9:$T$261,7))*(INDEX(DailyScalarsTable,CH$5/100,MONTH($A83)))*$E83</f>
        <v>0</v>
      </c>
      <c r="CI83" s="1021">
        <f>(VLOOKUP(YEAR($A83),'NY East Load Projections'!$A$4:$EO$14,((MONTH($A83)-1)*12)+VLOOKUP(CI$4,$DE$6:$DF$17,2)+1))*(VLOOKUP($A83,CURVES!$D$9:$T$261,7))*(INDEX(DailyScalarsTable,CI$5/100,MONTH($A83)))*$E83</f>
        <v>0</v>
      </c>
      <c r="CJ83" s="1021">
        <f>(VLOOKUP(YEAR($A83),'NY East Load Projections'!$A$4:$EO$14,((MONTH($A83)-1)*12)+VLOOKUP(CJ$4,$DE$6:$DF$17,2)+1))*(VLOOKUP($A83,CURVES!$D$9:$T$261,7))*(INDEX(DailyScalarsTable,CJ$5/100,MONTH($A83)))*$E83</f>
        <v>0</v>
      </c>
      <c r="CK83" s="1021">
        <f>(VLOOKUP(YEAR($A83),'NY East Load Projections'!$A$4:$EO$14,((MONTH($A83)-1)*12)+VLOOKUP(CK$4,$DE$6:$DF$17,2)+1))*(VLOOKUP($A83,CURVES!$D$9:$T$261,7))*(INDEX(DailyScalarsTable,CK$5/100,MONTH($A83)))*$E83</f>
        <v>0</v>
      </c>
      <c r="CL83" s="1021">
        <f>(VLOOKUP(YEAR($A83),'NY East Load Projections'!$A$4:$EO$14,((MONTH($A83)-1)*12)+VLOOKUP(CL$4,$DE$6:$DF$17,2)+1))*(VLOOKUP($A83,SatSunCurve,7))*(INDEX(DailyScalarsTable,CL$5/100,MONTH($A83)))*$E83</f>
        <v>0</v>
      </c>
      <c r="CM83" s="1021">
        <f>(VLOOKUP(YEAR($A83),'NY East Load Projections'!$A$4:$EO$14,((MONTH($A83)-1)*12)+VLOOKUP(CM$4,$DE$6:$DF$17,2)+1))*(VLOOKUP($A83,SatSunCurve,7))*(INDEX(DailyScalarsTable,CM$5/100,MONTH($A83)))*$E83</f>
        <v>0</v>
      </c>
      <c r="CN83" s="1021">
        <f>(VLOOKUP(YEAR($A83),'NY East Load Projections'!$A$4:$EO$14,((MONTH($A83)-1)*12)+VLOOKUP(CN$4,$DE$6:$DF$17,2)+1))*(VLOOKUP($A83,SatSunCurve,7))*(INDEX(DailyScalarsTable,CN$5/100,MONTH($A83)))*$E83</f>
        <v>0</v>
      </c>
      <c r="CO83" s="1021">
        <f>(VLOOKUP(YEAR($A83),'NY East Load Projections'!$A$4:$EO$14,((MONTH($A83)-1)*12)+VLOOKUP(CO$4,$DE$6:$DF$17,2)+1))*(VLOOKUP($A83,SatSunCurve,7))*(INDEX(DailyScalarsTable,CO$5/100,MONTH($A83)))*$E83</f>
        <v>0</v>
      </c>
      <c r="CP83" s="1021">
        <f>(VLOOKUP(YEAR($A83),'NY East Load Projections'!$A$4:$EO$14,((MONTH($A83)-1)*12)+VLOOKUP(CP$4,$DE$6:$DF$17,2)+1))*(VLOOKUP($A83,SatSunCurve,7))*(INDEX(DailyScalarsTable,CP$5/100,MONTH($A83)))*$E83</f>
        <v>0</v>
      </c>
      <c r="CQ83" s="1021">
        <f>(VLOOKUP(YEAR($A83),'NY East Load Projections'!$A$4:$EO$14,((MONTH($A83)-1)*12)+VLOOKUP(CQ$4,$DE$6:$DF$17,2)+1))*(VLOOKUP($A83,SatSunCurve,7))*(INDEX(DailyScalarsTable,CQ$5/100,MONTH($A83)))*$E83</f>
        <v>0</v>
      </c>
      <c r="CR83" s="1021">
        <f>(VLOOKUP(YEAR($A83),'NY East Load Projections'!$A$4:$EO$14,((MONTH($A83)-1)*12)+VLOOKUP(CR$4,$DE$6:$DF$17,2)+1))*(VLOOKUP($A83,SatSunCurve,7))*(INDEX(DailyScalarsTable,CR$5/100,MONTH($A83)))*$E83</f>
        <v>0</v>
      </c>
      <c r="CS83" s="1021">
        <f>(VLOOKUP(YEAR($A83),'NY East Load Projections'!$A$4:$EO$14,((MONTH($A83)-1)*12)+VLOOKUP(CS$4,$DE$6:$DF$17,2)+1))*(VLOOKUP($A83,SatSunCurve,7))*(INDEX(DailyScalarsTable,CS$5/100,MONTH($A83)))*$E83</f>
        <v>0</v>
      </c>
      <c r="CT83" s="1021">
        <f>(VLOOKUP(YEAR($A83),'NY East Load Projections'!$A$4:$EO$14,((MONTH($A83)-1)*12)+VLOOKUP(CT$4,$DE$6:$DF$17,2)+1))*(VLOOKUP($A83,SatSunCurve,7))*(INDEX(DailyScalarsTable,CT$5/100,MONTH($A83)))*$E83</f>
        <v>0</v>
      </c>
      <c r="CU83" s="1021">
        <f>(VLOOKUP(YEAR($A83),'NY East Load Projections'!$A$4:$EO$14,((MONTH($A83)-1)*12)+VLOOKUP(CU$4,$DE$6:$DF$17,2)+1))*(VLOOKUP($A83,SatSunCurve,7))*(INDEX(DailyScalarsTable,CU$5/100,MONTH($A83)))*$E83</f>
        <v>0</v>
      </c>
      <c r="CV83" s="1021">
        <f>(VLOOKUP(YEAR($A83),'NY East Load Projections'!$A$4:$EO$14,((MONTH($A83)-1)*12)+VLOOKUP(CV$4,$DE$6:$DF$17,2)+1))*(VLOOKUP($A83,SatSunCurve,7))*(INDEX(DailyScalarsTable,CV$5/100,MONTH($A83)))*$E83</f>
        <v>0</v>
      </c>
      <c r="CW83" s="1021">
        <f>(VLOOKUP(YEAR($A83),'NY East Load Projections'!$A$4:$EO$14,((MONTH($A83)-1)*12)+VLOOKUP(CW$4,$DE$6:$DF$17,2)+1))*(VLOOKUP($A83,SatSunCurve,7))*(INDEX(DailyScalarsTable,CW$5/100,MONTH($A83)))*$E83</f>
        <v>0</v>
      </c>
      <c r="CX83" s="1021">
        <f>(VLOOKUP(YEAR($A83),'NY East Load Projections'!$A$4:$EO$14,((MONTH($A83)-1)*12)+VLOOKUP(CX$4,$DE$6:$DF$17,2)+1))*(VLOOKUP($A83,SatSunCurve,7))*(INDEX(DailyScalarsTable,CX$5/100,MONTH($A83)))*$E83</f>
        <v>0</v>
      </c>
      <c r="CY83" s="1021">
        <f>(VLOOKUP(YEAR($A83),'NY East Load Projections'!$A$4:$EO$14,((MONTH($A83)-1)*12)+VLOOKUP(CY$4,$DE$6:$DF$17,2)+1))*(VLOOKUP($A83,SatSunCurve,7))*(INDEX(DailyScalarsTable,CY$5/100,MONTH($A83)))*$E83</f>
        <v>0</v>
      </c>
      <c r="CZ83" s="1021">
        <f>(VLOOKUP(YEAR($A83),'NY East Load Projections'!$A$4:$EO$14,((MONTH($A83)-1)*12)+VLOOKUP(CZ$4,$DE$6:$DF$17,2)+1))*(VLOOKUP($A83,SatSunCurve,7))*(INDEX(DailyScalarsTable,CZ$5/100,MONTH($A83)))*$E83</f>
        <v>0</v>
      </c>
      <c r="DA83" s="1021">
        <f>(VLOOKUP(YEAR($A83),'NY East Load Projections'!$A$4:$EO$14,((MONTH($A83)-1)*12)+VLOOKUP(DA$4,$DE$6:$DF$17,2)+1))*(VLOOKUP($A83,SatSunCurve,7))*(INDEX(DailyScalarsTable,DA$5/100,MONTH($A83)))*$E83</f>
        <v>0</v>
      </c>
      <c r="DB83" s="1021">
        <f>(VLOOKUP(YEAR($A83),'NY East Load Projections'!$A$4:$EO$14,((MONTH($A83)-1)*12)+VLOOKUP(DB$4,$DE$6:$DF$17,2)+1))*(VLOOKUP($A83,CURVES!$D$9:$T$261,7))*(INDEX(DailyScalarsTable,DB$5/100,MONTH($A83)))*$E83</f>
        <v>0</v>
      </c>
      <c r="DH83" s="1032">
        <f t="shared" si="2"/>
        <v>-2506085.6044956883</v>
      </c>
      <c r="DI83">
        <f ca="1">CALC!J103</f>
        <v>0.58609365136337499</v>
      </c>
      <c r="DJ83" s="1029">
        <f t="shared" ca="1" si="3"/>
        <v>-1468800.8625680688</v>
      </c>
    </row>
    <row r="84" spans="1:114" x14ac:dyDescent="0.25">
      <c r="A84" s="244">
        <v>39264</v>
      </c>
      <c r="B84" s="13">
        <v>21</v>
      </c>
      <c r="C84" s="210">
        <v>4</v>
      </c>
      <c r="D84" s="210">
        <v>5</v>
      </c>
      <c r="E84" s="210">
        <v>1</v>
      </c>
      <c r="F84" s="13">
        <v>31</v>
      </c>
      <c r="H84" s="1021">
        <f>(VLOOKUP(YEAR($A84),'NY East Load Projections'!$A$4:$EO$14,((MONTH($A84)-1)*12)+VLOOKUP(H$4,$DE$6:$DF$17,2)+1))*(VLOOKUP($A84,CURVES!$D$9:$K$261,7))*(INDEX(DailyScalarsTable,H$5/100,MONTH($A84)))*$B84</f>
        <v>-52487.163792821993</v>
      </c>
      <c r="I84" s="1021">
        <f>(VLOOKUP(YEAR($A84),'NY East Load Projections'!$A$4:$EO$14,((MONTH($A84)-1)*12)+VLOOKUP(I$4,$DE$6:$DF$17,2)+1))*(VLOOKUP($A84,CURVES!$D$9:$K$261,7))*(INDEX(DailyScalarsTable,I$5/100,MONTH($A84)))*$B84</f>
        <v>-47943.529414968027</v>
      </c>
      <c r="J84" s="1021">
        <f>(VLOOKUP(YEAR($A84),'NY East Load Projections'!$A$4:$EO$14,((MONTH($A84)-1)*12)+VLOOKUP(J$4,$DE$6:$DF$17,2)+1))*(VLOOKUP($A84,CURVES!$D$9:$K$261,7))*(INDEX(DailyScalarsTable,J$5/100,MONTH($A84)))*$B84</f>
        <v>-45681.945636801989</v>
      </c>
      <c r="K84" s="1021">
        <f>(VLOOKUP(YEAR($A84),'NY East Load Projections'!$A$4:$EO$14,((MONTH($A84)-1)*12)+VLOOKUP(K$4,$DE$6:$DF$17,2)+1))*(VLOOKUP($A84,CURVES!$D$9:$K$261,7))*(INDEX(DailyScalarsTable,K$5/100,MONTH($A84)))*$B84</f>
        <v>-41138.311258948015</v>
      </c>
      <c r="L84" s="1021">
        <f>(VLOOKUP(YEAR($A84),'NY East Load Projections'!$A$4:$EO$14,((MONTH($A84)-1)*12)+VLOOKUP(L$4,$DE$6:$DF$17,2)+1))*(VLOOKUP($A84,CURVES!$D$9:$K$261,7))*(INDEX(DailyScalarsTable,L$5/100,MONTH($A84)))*$B84</f>
        <v>-41690.637092832563</v>
      </c>
      <c r="M84" s="1021">
        <f>(VLOOKUP(YEAR($A84),'NY East Load Projections'!$A$4:$EO$14,((MONTH($A84)-1)*12)+VLOOKUP(M$4,$DE$6:$DF$17,2)+1))*(VLOOKUP($A84,CURVES!$D$9:$K$261,7))*(INDEX(DailyScalarsTable,M$5/100,MONTH($A84)))*$B84</f>
        <v>-45962.397864136932</v>
      </c>
      <c r="N84" s="1021">
        <f>(VLOOKUP(YEAR($A84),'NY East Load Projections'!$A$4:$EO$14,((MONTH($A84)-1)*12)+VLOOKUP(N$4,$DE$6:$DF$17,2)+1))*(VLOOKUP($A84,CURVES!$D$9:$K$261,7))*(INDEX(DailyScalarsTable,N$5/100,MONTH($A84)))*$B84</f>
        <v>-51042.624868373612</v>
      </c>
      <c r="O84" s="1021">
        <f>(VLOOKUP(YEAR($A84),'NY East Load Projections'!$A$4:$EO$14,((MONTH($A84)-1)*12)+VLOOKUP(O$4,$DE$6:$DF$17,2)+1))*(VLOOKUP($A84,CURVES!$D$9:$K$261,3))*(INDEX(DailyScalarsTable,O$5/100,MONTH($A84)))*$B84</f>
        <v>-86969.758533262881</v>
      </c>
      <c r="P84" s="1021">
        <f>(VLOOKUP(YEAR($A84),'NY East Load Projections'!$A$4:$EO$14,((MONTH($A84)-1)*12)+VLOOKUP(P$4,$DE$6:$DF$17,2)+1))*(VLOOKUP($A84,CURVES!$D$9:$K$261,3))*(INDEX(DailyScalarsTable,P$5/100,MONTH($A84)))*$B84</f>
        <v>-104058.89268839128</v>
      </c>
      <c r="Q84" s="1021">
        <f>(VLOOKUP(YEAR($A84),'NY East Load Projections'!$A$4:$EO$14,((MONTH($A84)-1)*12)+VLOOKUP(Q$4,$DE$6:$DF$17,2)+1))*(VLOOKUP($A84,CURVES!$D$9:$K$261,3))*(INDEX(DailyScalarsTable,Q$5/100,MONTH($A84)))*$B84</f>
        <v>-124587.02045774653</v>
      </c>
      <c r="R84" s="1021">
        <f>(VLOOKUP(YEAR($A84),'NY East Load Projections'!$A$4:$EO$14,((MONTH($A84)-1)*12)+VLOOKUP(R$4,$DE$6:$DF$17,2)+1))*(VLOOKUP($A84,CURVES!$D$9:$K$261,3))*(INDEX(DailyScalarsTable,R$5/100,MONTH($A84)))*$B84</f>
        <v>-141766.89946700039</v>
      </c>
      <c r="S84" s="1021">
        <f>(VLOOKUP(YEAR($A84),'NY East Load Projections'!$A$4:$EO$14,((MONTH($A84)-1)*12)+VLOOKUP(S$4,$DE$6:$DF$17,2)+1))*(VLOOKUP($A84,CURVES!$D$9:$K$261,3))*(INDEX(DailyScalarsTable,S$5/100,MONTH($A84)))*$B84</f>
        <v>-169488.644659805</v>
      </c>
      <c r="T84" s="1021">
        <f>(VLOOKUP(YEAR($A84),'NY East Load Projections'!$A$4:$EO$14,((MONTH($A84)-1)*12)+VLOOKUP(T$4,$DE$6:$DF$17,2)+1))*(VLOOKUP($A84,CURVES!$D$9:$K$261,3))*(INDEX(DailyScalarsTable,T$5/100,MONTH($A84)))*$B84</f>
        <v>-189894.29627841795</v>
      </c>
      <c r="U84" s="1021">
        <f>(VLOOKUP(YEAR($A84),'NY East Load Projections'!$A$4:$EO$14,((MONTH($A84)-1)*12)+VLOOKUP(U$4,$DE$6:$DF$17,2)+1))*(VLOOKUP($A84,CURVES!$D$9:$K$261,3))*(INDEX(DailyScalarsTable,U$5/100,MONTH($A84)))*$B84</f>
        <v>-196285.54137858385</v>
      </c>
      <c r="V84" s="1021">
        <f>(VLOOKUP(YEAR($A84),'NY East Load Projections'!$A$4:$EO$14,((MONTH($A84)-1)*12)+VLOOKUP(V$4,$DE$6:$DF$17,2)+1))*(VLOOKUP($A84,CURVES!$D$9:$K$261,3))*(INDEX(DailyScalarsTable,V$5/100,MONTH($A84)))*$B84</f>
        <v>-204460.38976251698</v>
      </c>
      <c r="W84" s="1021">
        <f>(VLOOKUP(YEAR($A84),'NY East Load Projections'!$A$4:$EO$14,((MONTH($A84)-1)*12)+VLOOKUP(W$4,$DE$6:$DF$17,2)+1))*(VLOOKUP($A84,CURVES!$D$9:$K$261,3))*(INDEX(DailyScalarsTable,W$5/100,MONTH($A84)))*$B84</f>
        <v>-216990.20283098184</v>
      </c>
      <c r="X84" s="1021">
        <f>(VLOOKUP(YEAR($A84),'NY East Load Projections'!$A$4:$EO$14,((MONTH($A84)-1)*12)+VLOOKUP(X$4,$DE$6:$DF$17,2)+1))*(VLOOKUP($A84,CURVES!$D$9:$K$261,3))*(INDEX(DailyScalarsTable,X$5/100,MONTH($A84)))*$B84</f>
        <v>-214228.99364717843</v>
      </c>
      <c r="Y84" s="1021">
        <f>(VLOOKUP(YEAR($A84),'NY East Load Projections'!$A$4:$EO$14,((MONTH($A84)-1)*12)+VLOOKUP(Y$4,$DE$6:$DF$17,2)+1))*(VLOOKUP($A84,CURVES!$D$9:$K$261,3))*(INDEX(DailyScalarsTable,Y$5/100,MONTH($A84)))*$B84</f>
        <v>-208920.38451039718</v>
      </c>
      <c r="Z84" s="1021">
        <f>(VLOOKUP(YEAR($A84),'NY East Load Projections'!$A$4:$EO$14,((MONTH($A84)-1)*12)+VLOOKUP(Z$4,$DE$6:$DF$17,2)+1))*(VLOOKUP($A84,CURVES!$D$9:$K$261,3))*(INDEX(DailyScalarsTable,Z$5/100,MONTH($A84)))*$B84</f>
        <v>-174493.55073175926</v>
      </c>
      <c r="AA84" s="1021">
        <f>(VLOOKUP(YEAR($A84),'NY East Load Projections'!$A$4:$EO$14,((MONTH($A84)-1)*12)+VLOOKUP(AA$4,$DE$6:$DF$17,2)+1))*(VLOOKUP($A84,CURVES!$D$9:$K$261,3))*(INDEX(DailyScalarsTable,AA$5/100,MONTH($A84)))*$B84</f>
        <v>-129118.60976317416</v>
      </c>
      <c r="AB84" s="1021">
        <f>(VLOOKUP(YEAR($A84),'NY East Load Projections'!$A$4:$EO$14,((MONTH($A84)-1)*12)+VLOOKUP(AB$4,$DE$6:$DF$17,2)+1))*(VLOOKUP($A84,CURVES!$D$9:$K$261,3))*(INDEX(DailyScalarsTable,AB$5/100,MONTH($A84)))*$B84</f>
        <v>-130837.54696594285</v>
      </c>
      <c r="AC84" s="1021">
        <f>(VLOOKUP(YEAR($A84),'NY East Load Projections'!$A$4:$EO$14,((MONTH($A84)-1)*12)+VLOOKUP(AC$4,$DE$6:$DF$17,2)+1))*(VLOOKUP($A84,CURVES!$D$9:$K$261,3))*(INDEX(DailyScalarsTable,AC$5/100,MONTH($A84)))*$B84</f>
        <v>-138640.08829805107</v>
      </c>
      <c r="AD84" s="1021">
        <f>(VLOOKUP(YEAR($A84),'NY East Load Projections'!$A$4:$EO$14,((MONTH($A84)-1)*12)+VLOOKUP(AD$4,$DE$6:$DF$17,2)+1))*(VLOOKUP($A84,CURVES!$D$9:$K$261,3))*(INDEX(DailyScalarsTable,AD$5/100,MONTH($A84)))*$B84</f>
        <v>-96279.669647044662</v>
      </c>
      <c r="AE84" s="1021">
        <f>(VLOOKUP(YEAR($A84),'NY East Load Projections'!$A$4:$EO$14,((MONTH($A84)-1)*12)+VLOOKUP(AE$4,$DE$6:$DF$17,2)+1))*(VLOOKUP($A84,CURVES!$D$9:$K$261,7))*(INDEX(DailyScalarsTable,AE$5/100,MONTH($A84)))*$B84</f>
        <v>-61951.791841346247</v>
      </c>
      <c r="AF84" s="1021"/>
      <c r="AG84" s="1021">
        <f>(VLOOKUP(YEAR($A84),'NY East Load Projections'!$A$4:$EO$14,((MONTH($A84)-1)*12)+VLOOKUP(AG$4,$DE$6:$DF$17,2)+1))*(VLOOKUP($A84,CURVES!$D$9:$T$261,7))*(INDEX(DailyScalarsTable,AG$5/100,MONTH($A84)))*$C84</f>
        <v>-9557.4516317195721</v>
      </c>
      <c r="AH84" s="1021">
        <f>(VLOOKUP(YEAR($A84),'NY East Load Projections'!$A$4:$EO$14,((MONTH($A84)-1)*12)+VLOOKUP(AH$4,$DE$6:$DF$17,2)+1))*(VLOOKUP($A84,CURVES!$D$9:$T$261,7))*(INDEX(DailyScalarsTable,AH$5/100,MONTH($A84)))*$C84</f>
        <v>-8730.095709613217</v>
      </c>
      <c r="AI84" s="1021">
        <f>(VLOOKUP(YEAR($A84),'NY East Load Projections'!$A$4:$EO$14,((MONTH($A84)-1)*12)+VLOOKUP(AI$4,$DE$6:$DF$17,2)+1))*(VLOOKUP($A84,CURVES!$D$9:$T$261,7))*(INDEX(DailyScalarsTable,AI$5/100,MONTH($A84)))*$C84</f>
        <v>-8318.2811627990195</v>
      </c>
      <c r="AJ84" s="1021">
        <f>(VLOOKUP(YEAR($A84),'NY East Load Projections'!$A$4:$EO$14,((MONTH($A84)-1)*12)+VLOOKUP(AJ$4,$DE$6:$DF$17,2)+1))*(VLOOKUP($A84,CURVES!$D$9:$T$261,7))*(INDEX(DailyScalarsTable,AJ$5/100,MONTH($A84)))*$C84</f>
        <v>-7490.9252406926635</v>
      </c>
      <c r="AK84" s="1021">
        <f>(VLOOKUP(YEAR($A84),'NY East Load Projections'!$A$4:$EO$14,((MONTH($A84)-1)*12)+VLOOKUP(AK$4,$DE$6:$DF$17,2)+1))*(VLOOKUP($A84,CURVES!$D$9:$T$261,7))*(INDEX(DailyScalarsTable,AK$5/100,MONTH($A84)))*$C84</f>
        <v>-7216.3643797885188</v>
      </c>
      <c r="AL84" s="1021">
        <f>(VLOOKUP(YEAR($A84),'NY East Load Projections'!$A$4:$EO$14,((MONTH($A84)-1)*12)+VLOOKUP(AL$4,$DE$6:$DF$17,2)+1))*(VLOOKUP($A84,CURVES!$D$9:$T$261,7))*(INDEX(DailyScalarsTable,AL$5/100,MONTH($A84)))*$C84</f>
        <v>-7955.7769774031158</v>
      </c>
      <c r="AM84" s="1021">
        <f>(VLOOKUP(YEAR($A84),'NY East Load Projections'!$A$4:$EO$14,((MONTH($A84)-1)*12)+VLOOKUP(AM$4,$DE$6:$DF$17,2)+1))*(VLOOKUP($A84,CURVES!$D$9:$T$261,7))*(INDEX(DailyScalarsTable,AM$5/100,MONTH($A84)))*$C84</f>
        <v>-8835.1295551289186</v>
      </c>
      <c r="AN84" s="1021">
        <f>(VLOOKUP(YEAR($A84),'NY East Load Projections'!$A$4:$EO$14,((MONTH($A84)-1)*12)+VLOOKUP(AN$4,$DE$6:$DF$17,2)+1))*(VLOOKUP($A84,SatSunCurve,3))*(INDEX(DailyScalarsTable,AN$5/100,MONTH($A84)))*$C84</f>
        <v>-8494.0405324237418</v>
      </c>
      <c r="AO84" s="1021">
        <f>(VLOOKUP(YEAR($A84),'NY East Load Projections'!$A$4:$EO$14,((MONTH($A84)-1)*12)+VLOOKUP(AO$4,$DE$6:$DF$17,2)+1))*(VLOOKUP($A84,SatSunCurve,3))*(INDEX(DailyScalarsTable,AO$5/100,MONTH($A84)))*$C84</f>
        <v>-10158.132489627462</v>
      </c>
      <c r="AP84" s="1021">
        <f>(VLOOKUP(YEAR($A84),'NY East Load Projections'!$A$4:$EO$14,((MONTH($A84)-1)*12)+VLOOKUP(AP$4,$DE$6:$DF$17,2)+1))*(VLOOKUP($A84,SatSunCurve,3))*(INDEX(DailyScalarsTable,AP$5/100,MONTH($A84)))*$C84</f>
        <v>-12162.069262907911</v>
      </c>
      <c r="AQ84" s="1021">
        <f>(VLOOKUP(YEAR($A84),'NY East Load Projections'!$A$4:$EO$14,((MONTH($A84)-1)*12)+VLOOKUP(AQ$4,$DE$6:$DF$17,2)+1))*(VLOOKUP($A84,SatSunCurve,3))*(INDEX(DailyScalarsTable,AQ$5/100,MONTH($A84)))*$C84</f>
        <v>-13839.153100945325</v>
      </c>
      <c r="AR84" s="1021">
        <f>(VLOOKUP(YEAR($A84),'NY East Load Projections'!$A$4:$EO$14,((MONTH($A84)-1)*12)+VLOOKUP(AR$4,$DE$6:$DF$17,2)+1))*(VLOOKUP($A84,SatSunCurve,3))*(INDEX(DailyScalarsTable,AR$5/100,MONTH($A84)))*$C84</f>
        <v>-16545.32412811038</v>
      </c>
      <c r="AS84" s="1021">
        <f>(VLOOKUP(YEAR($A84),'NY East Load Projections'!$A$4:$EO$14,((MONTH($A84)-1)*12)+VLOOKUP(AS$4,$DE$6:$DF$17,2)+1))*(VLOOKUP($A84,SatSunCurve,3))*(INDEX(DailyScalarsTable,AS$5/100,MONTH($A84)))*$C84</f>
        <v>-18752.084032471488</v>
      </c>
      <c r="AT84" s="1021">
        <f>(VLOOKUP(YEAR($A84),'NY East Load Projections'!$A$4:$EO$14,((MONTH($A84)-1)*12)+VLOOKUP(AT$4,$DE$6:$DF$17,2)+1))*(VLOOKUP($A84,SatSunCurve,3))*(INDEX(DailyScalarsTable,AT$5/100,MONTH($A84)))*$C84</f>
        <v>-19383.2202358186</v>
      </c>
      <c r="AU84" s="1021">
        <f>(VLOOKUP(YEAR($A84),'NY East Load Projections'!$A$4:$EO$14,((MONTH($A84)-1)*12)+VLOOKUP(AU$4,$DE$6:$DF$17,2)+1))*(VLOOKUP($A84,SatSunCurve,3))*(INDEX(DailyScalarsTable,AU$5/100,MONTH($A84)))*$C84</f>
        <v>-20190.487472657929</v>
      </c>
      <c r="AV84" s="1021">
        <f>(VLOOKUP(YEAR($A84),'NY East Load Projections'!$A$4:$EO$14,((MONTH($A84)-1)*12)+VLOOKUP(AV$4,$DE$6:$DF$17,2)+1))*(VLOOKUP($A84,SatSunCurve,3))*(INDEX(DailyScalarsTable,AV$5/100,MONTH($A84)))*$C84</f>
        <v>-21427.807982940765</v>
      </c>
      <c r="AW84" s="1021">
        <f>(VLOOKUP(YEAR($A84),'NY East Load Projections'!$A$4:$EO$14,((MONTH($A84)-1)*12)+VLOOKUP(AW$4,$DE$6:$DF$17,2)+1))*(VLOOKUP($A84,SatSunCurve,3))*(INDEX(DailyScalarsTable,AW$5/100,MONTH($A84)))*$C84</f>
        <v>-21025.736502435113</v>
      </c>
      <c r="AX84" s="1021">
        <f>(VLOOKUP(YEAR($A84),'NY East Load Projections'!$A$4:$EO$14,((MONTH($A84)-1)*12)+VLOOKUP(AX$4,$DE$6:$DF$17,2)+1))*(VLOOKUP($A84,SatSunCurve,3))*(INDEX(DailyScalarsTable,AX$5/100,MONTH($A84)))*$C84</f>
        <v>-20504.717311689121</v>
      </c>
      <c r="AY84" s="1021">
        <f>(VLOOKUP(YEAR($A84),'NY East Load Projections'!$A$4:$EO$14,((MONTH($A84)-1)*12)+VLOOKUP(AY$4,$DE$6:$DF$17,2)+1))*(VLOOKUP($A84,SatSunCurve,3))*(INDEX(DailyScalarsTable,AY$5/100,MONTH($A84)))*$C84</f>
        <v>-17125.858440536933</v>
      </c>
      <c r="AZ84" s="1021">
        <f>(VLOOKUP(YEAR($A84),'NY East Load Projections'!$A$4:$EO$14,((MONTH($A84)-1)*12)+VLOOKUP(AZ$4,$DE$6:$DF$17,2)+1))*(VLOOKUP($A84,SatSunCurve,3))*(INDEX(DailyScalarsTable,AZ$5/100,MONTH($A84)))*$C84</f>
        <v>-12672.485736979057</v>
      </c>
      <c r="BA84" s="1021">
        <f>(VLOOKUP(YEAR($A84),'NY East Load Projections'!$A$4:$EO$14,((MONTH($A84)-1)*12)+VLOOKUP(BA$4,$DE$6:$DF$17,2)+1))*(VLOOKUP($A84,SatSunCurve,3))*(INDEX(DailyScalarsTable,BA$5/100,MONTH($A84)))*$C84</f>
        <v>-13320.962367057153</v>
      </c>
      <c r="BB84" s="1021">
        <f>(VLOOKUP(YEAR($A84),'NY East Load Projections'!$A$4:$EO$14,((MONTH($A84)-1)*12)+VLOOKUP(BB$4,$DE$6:$DF$17,2)+1))*(VLOOKUP($A84,SatSunCurve,3))*(INDEX(DailyScalarsTable,BB$5/100,MONTH($A84)))*$C84</f>
        <v>-14115.362459864433</v>
      </c>
      <c r="BC84" s="1021">
        <f>(VLOOKUP(YEAR($A84),'NY East Load Projections'!$A$4:$EO$14,((MONTH($A84)-1)*12)+VLOOKUP(BC$4,$DE$6:$DF$17,2)+1))*(VLOOKUP($A84,SatSunCurve,3))*(INDEX(DailyScalarsTable,BC$5/100,MONTH($A84)))*$C84</f>
        <v>-9802.5214154681689</v>
      </c>
      <c r="BD84" s="1021">
        <f>(VLOOKUP(YEAR($A84),'NY East Load Projections'!$A$4:$EO$14,((MONTH($A84)-1)*12)+VLOOKUP(BD$4,$DE$6:$DF$17,2)+1))*(VLOOKUP($A84,CURVES!$D$9:$T$261,7))*(INDEX(DailyScalarsTable,BD$5/100,MONTH($A84)))*$C84</f>
        <v>-11178.690648034059</v>
      </c>
      <c r="BE84" s="1021"/>
      <c r="BF84" s="1021">
        <f>(VLOOKUP(YEAR($A84),'NY East Load Projections'!$A$4:$EO$14,((MONTH($A84)-1)*12)+VLOOKUP(BF$4,$DE$6:$DF$17,2)+1))*(VLOOKUP($A84,CURVES!$D$9:$T$261,7))*(INDEX(DailyScalarsTable,BF$5/100,MONTH($A84)))*$D84</f>
        <v>-11946.814539649466</v>
      </c>
      <c r="BG84" s="1021">
        <f>(VLOOKUP(YEAR($A84),'NY East Load Projections'!$A$4:$EO$14,((MONTH($A84)-1)*12)+VLOOKUP(BG$4,$DE$6:$DF$17,2)+1))*(VLOOKUP($A84,CURVES!$D$9:$T$261,7))*(INDEX(DailyScalarsTable,BG$5/100,MONTH($A84)))*$D84</f>
        <v>-10912.619637016522</v>
      </c>
      <c r="BH84" s="1021">
        <f>(VLOOKUP(YEAR($A84),'NY East Load Projections'!$A$4:$EO$14,((MONTH($A84)-1)*12)+VLOOKUP(BH$4,$DE$6:$DF$17,2)+1))*(VLOOKUP($A84,CURVES!$D$9:$T$261,7))*(INDEX(DailyScalarsTable,BH$5/100,MONTH($A84)))*$D84</f>
        <v>-10397.851453498773</v>
      </c>
      <c r="BI84" s="1021">
        <f>(VLOOKUP(YEAR($A84),'NY East Load Projections'!$A$4:$EO$14,((MONTH($A84)-1)*12)+VLOOKUP(BI$4,$DE$6:$DF$17,2)+1))*(VLOOKUP($A84,CURVES!$D$9:$T$261,7))*(INDEX(DailyScalarsTable,BI$5/100,MONTH($A84)))*$D84</f>
        <v>-9363.6565508658296</v>
      </c>
      <c r="BJ84" s="1021">
        <f>(VLOOKUP(YEAR($A84),'NY East Load Projections'!$A$4:$EO$14,((MONTH($A84)-1)*12)+VLOOKUP(BJ$4,$DE$6:$DF$17,2)+1))*(VLOOKUP($A84,CURVES!$D$9:$T$261,7))*(INDEX(DailyScalarsTable,BJ$5/100,MONTH($A84)))*$D84</f>
        <v>-9020.4554747356487</v>
      </c>
      <c r="BK84" s="1021">
        <f>(VLOOKUP(YEAR($A84),'NY East Load Projections'!$A$4:$EO$14,((MONTH($A84)-1)*12)+VLOOKUP(BK$4,$DE$6:$DF$17,2)+1))*(VLOOKUP($A84,CURVES!$D$9:$T$261,7))*(INDEX(DailyScalarsTable,BK$5/100,MONTH($A84)))*$D84</f>
        <v>-9944.7212217538945</v>
      </c>
      <c r="BL84" s="1021">
        <f>(VLOOKUP(YEAR($A84),'NY East Load Projections'!$A$4:$EO$14,((MONTH($A84)-1)*12)+VLOOKUP(BL$4,$DE$6:$DF$17,2)+1))*(VLOOKUP($A84,CURVES!$D$9:$T$261,7))*(INDEX(DailyScalarsTable,BL$5/100,MONTH($A84)))*$D84</f>
        <v>-11043.911943911149</v>
      </c>
      <c r="BM84" s="1021">
        <f>(VLOOKUP(YEAR($A84),'NY East Load Projections'!$A$4:$EO$14,((MONTH($A84)-1)*12)+VLOOKUP(BM$4,$DE$6:$DF$17,2)+1))*(VLOOKUP($A84,SatSunCurve,7))*(INDEX(DailyScalarsTable,BM$5/100,MONTH($A84)))*$D84</f>
        <v>-7831.0605935693284</v>
      </c>
      <c r="BN84" s="1021">
        <f>(VLOOKUP(YEAR($A84),'NY East Load Projections'!$A$4:$EO$14,((MONTH($A84)-1)*12)+VLOOKUP(BN$4,$DE$6:$DF$17,2)+1))*(VLOOKUP($A84,SatSunCurve,7))*(INDEX(DailyScalarsTable,BN$5/100,MONTH($A84)))*$D84</f>
        <v>-9365.2662405036735</v>
      </c>
      <c r="BO84" s="1021">
        <f>(VLOOKUP(YEAR($A84),'NY East Load Projections'!$A$4:$EO$14,((MONTH($A84)-1)*12)+VLOOKUP(BO$4,$DE$6:$DF$17,2)+1))*(VLOOKUP($A84,SatSunCurve,7))*(INDEX(DailyScalarsTable,BO$5/100,MONTH($A84)))*$D84</f>
        <v>-11212.791012411381</v>
      </c>
      <c r="BP84" s="1021">
        <f>(VLOOKUP(YEAR($A84),'NY East Load Projections'!$A$4:$EO$14,((MONTH($A84)-1)*12)+VLOOKUP(BP$4,$DE$6:$DF$17,2)+1))*(VLOOKUP($A84,SatSunCurve,7))*(INDEX(DailyScalarsTable,BP$5/100,MONTH($A84)))*$D84</f>
        <v>-12758.974493174599</v>
      </c>
      <c r="BQ84" s="1021">
        <f>(VLOOKUP(YEAR($A84),'NY East Load Projections'!$A$4:$EO$14,((MONTH($A84)-1)*12)+VLOOKUP(BQ$4,$DE$6:$DF$17,2)+1))*(VLOOKUP($A84,SatSunCurve,7))*(INDEX(DailyScalarsTable,BQ$5/100,MONTH($A84)))*$D84</f>
        <v>-15253.922475750824</v>
      </c>
      <c r="BR84" s="1021">
        <f>(VLOOKUP(YEAR($A84),'NY East Load Projections'!$A$4:$EO$14,((MONTH($A84)-1)*12)+VLOOKUP(BR$4,$DE$6:$DF$17,2)+1))*(VLOOKUP($A84,SatSunCurve,7))*(INDEX(DailyScalarsTable,BR$5/100,MONTH($A84)))*$D84</f>
        <v>-17288.439553994613</v>
      </c>
      <c r="BS84" s="1021">
        <f>(VLOOKUP(YEAR($A84),'NY East Load Projections'!$A$4:$EO$14,((MONTH($A84)-1)*12)+VLOOKUP(BS$4,$DE$6:$DF$17,2)+1))*(VLOOKUP($A84,SatSunCurve,7))*(INDEX(DailyScalarsTable,BS$5/100,MONTH($A84)))*$D84</f>
        <v>-17870.314085007263</v>
      </c>
      <c r="BT84" s="1021">
        <f>(VLOOKUP(YEAR($A84),'NY East Load Projections'!$A$4:$EO$14,((MONTH($A84)-1)*12)+VLOOKUP(BT$4,$DE$6:$DF$17,2)+1))*(VLOOKUP($A84,SatSunCurve,7))*(INDEX(DailyScalarsTable,BT$5/100,MONTH($A84)))*$D84</f>
        <v>-18614.572206069963</v>
      </c>
      <c r="BU84" s="1021">
        <f>(VLOOKUP(YEAR($A84),'NY East Load Projections'!$A$4:$EO$14,((MONTH($A84)-1)*12)+VLOOKUP(BU$4,$DE$6:$DF$17,2)+1))*(VLOOKUP($A84,SatSunCurve,7))*(INDEX(DailyScalarsTable,BU$5/100,MONTH($A84)))*$D84</f>
        <v>-19755.316926171519</v>
      </c>
      <c r="BV84" s="1021">
        <f>(VLOOKUP(YEAR($A84),'NY East Load Projections'!$A$4:$EO$14,((MONTH($A84)-1)*12)+VLOOKUP(BV$4,$DE$6:$DF$17,2)+1))*(VLOOKUP($A84,SatSunCurve,7))*(INDEX(DailyScalarsTable,BV$5/100,MONTH($A84)))*$D84</f>
        <v>-19384.628074997952</v>
      </c>
      <c r="BW84" s="1021">
        <f>(VLOOKUP(YEAR($A84),'NY East Load Projections'!$A$4:$EO$14,((MONTH($A84)-1)*12)+VLOOKUP(BW$4,$DE$6:$DF$17,2)+1))*(VLOOKUP($A84,SatSunCurve,7))*(INDEX(DailyScalarsTable,BW$5/100,MONTH($A84)))*$D84</f>
        <v>-18904.275663496086</v>
      </c>
      <c r="BX84" s="1021">
        <f>(VLOOKUP(YEAR($A84),'NY East Load Projections'!$A$4:$EO$14,((MONTH($A84)-1)*12)+VLOOKUP(BX$4,$DE$6:$DF$17,2)+1))*(VLOOKUP($A84,SatSunCurve,7))*(INDEX(DailyScalarsTable,BX$5/100,MONTH($A84)))*$D84</f>
        <v>-15789.144713024654</v>
      </c>
      <c r="BY84" s="1021">
        <f>(VLOOKUP(YEAR($A84),'NY East Load Projections'!$A$4:$EO$14,((MONTH($A84)-1)*12)+VLOOKUP(BY$4,$DE$6:$DF$17,2)+1))*(VLOOKUP($A84,SatSunCurve,7))*(INDEX(DailyScalarsTable,BY$5/100,MONTH($A84)))*$D84</f>
        <v>-11683.368274333934</v>
      </c>
      <c r="BZ84" s="1021">
        <f>(VLOOKUP(YEAR($A84),'NY East Load Projections'!$A$4:$EO$14,((MONTH($A84)-1)*12)+VLOOKUP(BZ$4,$DE$6:$DF$17,2)+1))*(VLOOKUP($A84,SatSunCurve,7))*(INDEX(DailyScalarsTable,BZ$5/100,MONTH($A84)))*$D84</f>
        <v>-12281.229770787868</v>
      </c>
      <c r="CA84" s="1021">
        <f>(VLOOKUP(YEAR($A84),'NY East Load Projections'!$A$4:$EO$14,((MONTH($A84)-1)*12)+VLOOKUP(CA$4,$DE$6:$DF$17,2)+1))*(VLOOKUP($A84,SatSunCurve,7))*(INDEX(DailyScalarsTable,CA$5/100,MONTH($A84)))*$D84</f>
        <v>-13013.625058821153</v>
      </c>
      <c r="CB84" s="1021">
        <f>(VLOOKUP(YEAR($A84),'NY East Load Projections'!$A$4:$EO$14,((MONTH($A84)-1)*12)+VLOOKUP(CB$4,$DE$6:$DF$17,2)+1))*(VLOOKUP($A84,SatSunCurve,7))*(INDEX(DailyScalarsTable,CB$5/100,MONTH($A84)))*$D84</f>
        <v>-9037.411451153961</v>
      </c>
      <c r="CC84" s="1021">
        <f>(VLOOKUP(YEAR($A84),'NY East Load Projections'!$A$4:$EO$14,((MONTH($A84)-1)*12)+VLOOKUP(CC$4,$DE$6:$DF$17,2)+1))*(VLOOKUP($A84,CURVES!$D$9:$T$261,7))*(INDEX(DailyScalarsTable,CC$5/100,MONTH($A84)))*$D84</f>
        <v>-13973.363310042572</v>
      </c>
      <c r="CE84" s="1021">
        <f>(VLOOKUP(YEAR($A84),'NY East Load Projections'!$A$4:$EO$14,((MONTH($A84)-1)*12)+VLOOKUP(CE$4,$DE$6:$DF$17,2)+1))*(VLOOKUP($A84,CURVES!$D$9:$T$261,7))*(INDEX(DailyScalarsTable,CE$5/100,MONTH($A84)))*$E84</f>
        <v>-2389.362907929893</v>
      </c>
      <c r="CF84" s="1021">
        <f>(VLOOKUP(YEAR($A84),'NY East Load Projections'!$A$4:$EO$14,((MONTH($A84)-1)*12)+VLOOKUP(CF$4,$DE$6:$DF$17,2)+1))*(VLOOKUP($A84,CURVES!$D$9:$T$261,7))*(INDEX(DailyScalarsTable,CF$5/100,MONTH($A84)))*$E84</f>
        <v>-2182.5239274033042</v>
      </c>
      <c r="CG84" s="1021">
        <f>(VLOOKUP(YEAR($A84),'NY East Load Projections'!$A$4:$EO$14,((MONTH($A84)-1)*12)+VLOOKUP(CG$4,$DE$6:$DF$17,2)+1))*(VLOOKUP($A84,CURVES!$D$9:$T$261,7))*(INDEX(DailyScalarsTable,CG$5/100,MONTH($A84)))*$E84</f>
        <v>-2079.5702906997549</v>
      </c>
      <c r="CH84" s="1021">
        <f>(VLOOKUP(YEAR($A84),'NY East Load Projections'!$A$4:$EO$14,((MONTH($A84)-1)*12)+VLOOKUP(CH$4,$DE$6:$DF$17,2)+1))*(VLOOKUP($A84,CURVES!$D$9:$T$261,7))*(INDEX(DailyScalarsTable,CH$5/100,MONTH($A84)))*$E84</f>
        <v>-1872.7313101731659</v>
      </c>
      <c r="CI84" s="1021">
        <f>(VLOOKUP(YEAR($A84),'NY East Load Projections'!$A$4:$EO$14,((MONTH($A84)-1)*12)+VLOOKUP(CI$4,$DE$6:$DF$17,2)+1))*(VLOOKUP($A84,CURVES!$D$9:$T$261,7))*(INDEX(DailyScalarsTable,CI$5/100,MONTH($A84)))*$E84</f>
        <v>-1804.0910949471297</v>
      </c>
      <c r="CJ84" s="1021">
        <f>(VLOOKUP(YEAR($A84),'NY East Load Projections'!$A$4:$EO$14,((MONTH($A84)-1)*12)+VLOOKUP(CJ$4,$DE$6:$DF$17,2)+1))*(VLOOKUP($A84,CURVES!$D$9:$T$261,7))*(INDEX(DailyScalarsTable,CJ$5/100,MONTH($A84)))*$E84</f>
        <v>-1988.9442443507789</v>
      </c>
      <c r="CK84" s="1021">
        <f>(VLOOKUP(YEAR($A84),'NY East Load Projections'!$A$4:$EO$14,((MONTH($A84)-1)*12)+VLOOKUP(CK$4,$DE$6:$DF$17,2)+1))*(VLOOKUP($A84,CURVES!$D$9:$T$261,7))*(INDEX(DailyScalarsTable,CK$5/100,MONTH($A84)))*$E84</f>
        <v>-2208.7823887822296</v>
      </c>
      <c r="CL84" s="1021">
        <f>(VLOOKUP(YEAR($A84),'NY East Load Projections'!$A$4:$EO$14,((MONTH($A84)-1)*12)+VLOOKUP(CL$4,$DE$6:$DF$17,2)+1))*(VLOOKUP($A84,SatSunCurve,7))*(INDEX(DailyScalarsTable,CL$5/100,MONTH($A84)))*$E84</f>
        <v>-1566.2121187138657</v>
      </c>
      <c r="CM84" s="1021">
        <f>(VLOOKUP(YEAR($A84),'NY East Load Projections'!$A$4:$EO$14,((MONTH($A84)-1)*12)+VLOOKUP(CM$4,$DE$6:$DF$17,2)+1))*(VLOOKUP($A84,SatSunCurve,7))*(INDEX(DailyScalarsTable,CM$5/100,MONTH($A84)))*$E84</f>
        <v>-1873.0532481007347</v>
      </c>
      <c r="CN84" s="1021">
        <f>(VLOOKUP(YEAR($A84),'NY East Load Projections'!$A$4:$EO$14,((MONTH($A84)-1)*12)+VLOOKUP(CN$4,$DE$6:$DF$17,2)+1))*(VLOOKUP($A84,SatSunCurve,7))*(INDEX(DailyScalarsTable,CN$5/100,MONTH($A84)))*$E84</f>
        <v>-2242.5582024822761</v>
      </c>
      <c r="CO84" s="1021">
        <f>(VLOOKUP(YEAR($A84),'NY East Load Projections'!$A$4:$EO$14,((MONTH($A84)-1)*12)+VLOOKUP(CO$4,$DE$6:$DF$17,2)+1))*(VLOOKUP($A84,SatSunCurve,7))*(INDEX(DailyScalarsTable,CO$5/100,MONTH($A84)))*$E84</f>
        <v>-2551.7948986349197</v>
      </c>
      <c r="CP84" s="1021">
        <f>(VLOOKUP(YEAR($A84),'NY East Load Projections'!$A$4:$EO$14,((MONTH($A84)-1)*12)+VLOOKUP(CP$4,$DE$6:$DF$17,2)+1))*(VLOOKUP($A84,SatSunCurve,7))*(INDEX(DailyScalarsTable,CP$5/100,MONTH($A84)))*$E84</f>
        <v>-3050.7844951501647</v>
      </c>
      <c r="CQ84" s="1021">
        <f>(VLOOKUP(YEAR($A84),'NY East Load Projections'!$A$4:$EO$14,((MONTH($A84)-1)*12)+VLOOKUP(CQ$4,$DE$6:$DF$17,2)+1))*(VLOOKUP($A84,SatSunCurve,7))*(INDEX(DailyScalarsTable,CQ$5/100,MONTH($A84)))*$E84</f>
        <v>-3457.6879107989225</v>
      </c>
      <c r="CR84" s="1021">
        <f>(VLOOKUP(YEAR($A84),'NY East Load Projections'!$A$4:$EO$14,((MONTH($A84)-1)*12)+VLOOKUP(CR$4,$DE$6:$DF$17,2)+1))*(VLOOKUP($A84,SatSunCurve,7))*(INDEX(DailyScalarsTable,CR$5/100,MONTH($A84)))*$E84</f>
        <v>-3574.0628170014529</v>
      </c>
      <c r="CS84" s="1021">
        <f>(VLOOKUP(YEAR($A84),'NY East Load Projections'!$A$4:$EO$14,((MONTH($A84)-1)*12)+VLOOKUP(CS$4,$DE$6:$DF$17,2)+1))*(VLOOKUP($A84,SatSunCurve,7))*(INDEX(DailyScalarsTable,CS$5/100,MONTH($A84)))*$E84</f>
        <v>-3722.9144412139922</v>
      </c>
      <c r="CT84" s="1021">
        <f>(VLOOKUP(YEAR($A84),'NY East Load Projections'!$A$4:$EO$14,((MONTH($A84)-1)*12)+VLOOKUP(CT$4,$DE$6:$DF$17,2)+1))*(VLOOKUP($A84,SatSunCurve,7))*(INDEX(DailyScalarsTable,CT$5/100,MONTH($A84)))*$E84</f>
        <v>-3951.063385234304</v>
      </c>
      <c r="CU84" s="1021">
        <f>(VLOOKUP(YEAR($A84),'NY East Load Projections'!$A$4:$EO$14,((MONTH($A84)-1)*12)+VLOOKUP(CU$4,$DE$6:$DF$17,2)+1))*(VLOOKUP($A84,SatSunCurve,7))*(INDEX(DailyScalarsTable,CU$5/100,MONTH($A84)))*$E84</f>
        <v>-3876.9256149995904</v>
      </c>
      <c r="CV84" s="1021">
        <f>(VLOOKUP(YEAR($A84),'NY East Load Projections'!$A$4:$EO$14,((MONTH($A84)-1)*12)+VLOOKUP(CV$4,$DE$6:$DF$17,2)+1))*(VLOOKUP($A84,SatSunCurve,7))*(INDEX(DailyScalarsTable,CV$5/100,MONTH($A84)))*$E84</f>
        <v>-3780.8551326992174</v>
      </c>
      <c r="CW84" s="1021">
        <f>(VLOOKUP(YEAR($A84),'NY East Load Projections'!$A$4:$EO$14,((MONTH($A84)-1)*12)+VLOOKUP(CW$4,$DE$6:$DF$17,2)+1))*(VLOOKUP($A84,SatSunCurve,7))*(INDEX(DailyScalarsTable,CW$5/100,MONTH($A84)))*$E84</f>
        <v>-3157.8289426049309</v>
      </c>
      <c r="CX84" s="1021">
        <f>(VLOOKUP(YEAR($A84),'NY East Load Projections'!$A$4:$EO$14,((MONTH($A84)-1)*12)+VLOOKUP(CX$4,$DE$6:$DF$17,2)+1))*(VLOOKUP($A84,SatSunCurve,7))*(INDEX(DailyScalarsTable,CX$5/100,MONTH($A84)))*$E84</f>
        <v>-2336.6736548667868</v>
      </c>
      <c r="CY84" s="1021">
        <f>(VLOOKUP(YEAR($A84),'NY East Load Projections'!$A$4:$EO$14,((MONTH($A84)-1)*12)+VLOOKUP(CY$4,$DE$6:$DF$17,2)+1))*(VLOOKUP($A84,SatSunCurve,7))*(INDEX(DailyScalarsTable,CY$5/100,MONTH($A84)))*$E84</f>
        <v>-2456.2459541575736</v>
      </c>
      <c r="CZ84" s="1021">
        <f>(VLOOKUP(YEAR($A84),'NY East Load Projections'!$A$4:$EO$14,((MONTH($A84)-1)*12)+VLOOKUP(CZ$4,$DE$6:$DF$17,2)+1))*(VLOOKUP($A84,SatSunCurve,7))*(INDEX(DailyScalarsTable,CZ$5/100,MONTH($A84)))*$E84</f>
        <v>-2602.7250117642307</v>
      </c>
      <c r="DA84" s="1021">
        <f>(VLOOKUP(YEAR($A84),'NY East Load Projections'!$A$4:$EO$14,((MONTH($A84)-1)*12)+VLOOKUP(DA$4,$DE$6:$DF$17,2)+1))*(VLOOKUP($A84,SatSunCurve,7))*(INDEX(DailyScalarsTable,DA$5/100,MONTH($A84)))*$E84</f>
        <v>-1807.4822902307922</v>
      </c>
      <c r="DB84" s="1021">
        <f>(VLOOKUP(YEAR($A84),'NY East Load Projections'!$A$4:$EO$14,((MONTH($A84)-1)*12)+VLOOKUP(DB$4,$DE$6:$DF$17,2)+1))*(VLOOKUP($A84,CURVES!$D$9:$T$261,7))*(INDEX(DailyScalarsTable,DB$5/100,MONTH($A84)))*$E84</f>
        <v>-2794.6726620085146</v>
      </c>
      <c r="DH84" s="1032">
        <f t="shared" si="2"/>
        <v>-3613698.8518372872</v>
      </c>
      <c r="DI84">
        <f ca="1">CALC!J104</f>
        <v>0.58244205146161265</v>
      </c>
      <c r="DJ84" s="1029">
        <f t="shared" ca="1" si="3"/>
        <v>-2104770.1726285839</v>
      </c>
    </row>
    <row r="85" spans="1:114" x14ac:dyDescent="0.25">
      <c r="A85" s="244">
        <v>39295</v>
      </c>
      <c r="B85" s="13">
        <v>23</v>
      </c>
      <c r="C85" s="210">
        <v>4</v>
      </c>
      <c r="D85" s="210">
        <v>4</v>
      </c>
      <c r="E85" s="210">
        <v>0</v>
      </c>
      <c r="F85" s="13">
        <v>31</v>
      </c>
      <c r="H85" s="1021">
        <f>(VLOOKUP(YEAR($A85),'NY East Load Projections'!$A$4:$EO$14,((MONTH($A85)-1)*12)+VLOOKUP(H$4,$DE$6:$DF$17,2)+1))*(VLOOKUP($A85,CURVES!$D$9:$K$261,7))*(INDEX(DailyScalarsTable,H$5/100,MONTH($A85)))*$B85</f>
        <v>-58194.781479235025</v>
      </c>
      <c r="I85" s="1021">
        <f>(VLOOKUP(YEAR($A85),'NY East Load Projections'!$A$4:$EO$14,((MONTH($A85)-1)*12)+VLOOKUP(I$4,$DE$6:$DF$17,2)+1))*(VLOOKUP($A85,CURVES!$D$9:$K$261,7))*(INDEX(DailyScalarsTable,I$5/100,MONTH($A85)))*$B85</f>
        <v>-52533.448547023545</v>
      </c>
      <c r="J85" s="1021">
        <f>(VLOOKUP(YEAR($A85),'NY East Load Projections'!$A$4:$EO$14,((MONTH($A85)-1)*12)+VLOOKUP(J$4,$DE$6:$DF$17,2)+1))*(VLOOKUP($A85,CURVES!$D$9:$K$261,7))*(INDEX(DailyScalarsTable,J$5/100,MONTH($A85)))*$B85</f>
        <v>-47177.77443509578</v>
      </c>
      <c r="K85" s="1021">
        <f>(VLOOKUP(YEAR($A85),'NY East Load Projections'!$A$4:$EO$14,((MONTH($A85)-1)*12)+VLOOKUP(K$4,$DE$6:$DF$17,2)+1))*(VLOOKUP($A85,CURVES!$D$9:$K$261,7))*(INDEX(DailyScalarsTable,K$5/100,MONTH($A85)))*$B85</f>
        <v>-44386.976510766159</v>
      </c>
      <c r="L85" s="1021">
        <f>(VLOOKUP(YEAR($A85),'NY East Load Projections'!$A$4:$EO$14,((MONTH($A85)-1)*12)+VLOOKUP(L$4,$DE$6:$DF$17,2)+1))*(VLOOKUP($A85,CURVES!$D$9:$K$261,7))*(INDEX(DailyScalarsTable,L$5/100,MONTH($A85)))*$B85</f>
        <v>-49032.741215010334</v>
      </c>
      <c r="M85" s="1021">
        <f>(VLOOKUP(YEAR($A85),'NY East Load Projections'!$A$4:$EO$14,((MONTH($A85)-1)*12)+VLOOKUP(M$4,$DE$6:$DF$17,2)+1))*(VLOOKUP($A85,CURVES!$D$9:$K$261,7))*(INDEX(DailyScalarsTable,M$5/100,MONTH($A85)))*$B85</f>
        <v>-54477.680749991319</v>
      </c>
      <c r="N85" s="1021">
        <f>(VLOOKUP(YEAR($A85),'NY East Load Projections'!$A$4:$EO$14,((MONTH($A85)-1)*12)+VLOOKUP(N$4,$DE$6:$DF$17,2)+1))*(VLOOKUP($A85,CURVES!$D$9:$K$261,7))*(INDEX(DailyScalarsTable,N$5/100,MONTH($A85)))*$B85</f>
        <v>-63387.581807232869</v>
      </c>
      <c r="O85" s="1021">
        <f>(VLOOKUP(YEAR($A85),'NY East Load Projections'!$A$4:$EO$14,((MONTH($A85)-1)*12)+VLOOKUP(O$4,$DE$6:$DF$17,2)+1))*(VLOOKUP($A85,CURVES!$D$9:$K$261,3))*(INDEX(DailyScalarsTable,O$5/100,MONTH($A85)))*$B85</f>
        <v>-102814.05992930751</v>
      </c>
      <c r="P85" s="1021">
        <f>(VLOOKUP(YEAR($A85),'NY East Load Projections'!$A$4:$EO$14,((MONTH($A85)-1)*12)+VLOOKUP(P$4,$DE$6:$DF$17,2)+1))*(VLOOKUP($A85,CURVES!$D$9:$K$261,3))*(INDEX(DailyScalarsTable,P$5/100,MONTH($A85)))*$B85</f>
        <v>-122076.85920660182</v>
      </c>
      <c r="Q85" s="1021">
        <f>(VLOOKUP(YEAR($A85),'NY East Load Projections'!$A$4:$EO$14,((MONTH($A85)-1)*12)+VLOOKUP(Q$4,$DE$6:$DF$17,2)+1))*(VLOOKUP($A85,CURVES!$D$9:$K$261,3))*(INDEX(DailyScalarsTable,Q$5/100,MONTH($A85)))*$B85</f>
        <v>-156556.061611151</v>
      </c>
      <c r="R85" s="1021">
        <f>(VLOOKUP(YEAR($A85),'NY East Load Projections'!$A$4:$EO$14,((MONTH($A85)-1)*12)+VLOOKUP(R$4,$DE$6:$DF$17,2)+1))*(VLOOKUP($A85,CURVES!$D$9:$K$261,3))*(INDEX(DailyScalarsTable,R$5/100,MONTH($A85)))*$B85</f>
        <v>-176697.37786727372</v>
      </c>
      <c r="S85" s="1021">
        <f>(VLOOKUP(YEAR($A85),'NY East Load Projections'!$A$4:$EO$14,((MONTH($A85)-1)*12)+VLOOKUP(S$4,$DE$6:$DF$17,2)+1))*(VLOOKUP($A85,CURVES!$D$9:$K$261,3))*(INDEX(DailyScalarsTable,S$5/100,MONTH($A85)))*$B85</f>
        <v>-184184.94063367415</v>
      </c>
      <c r="T85" s="1021">
        <f>(VLOOKUP(YEAR($A85),'NY East Load Projections'!$A$4:$EO$14,((MONTH($A85)-1)*12)+VLOOKUP(T$4,$DE$6:$DF$17,2)+1))*(VLOOKUP($A85,CURVES!$D$9:$K$261,3))*(INDEX(DailyScalarsTable,T$5/100,MONTH($A85)))*$B85</f>
        <v>-187324.1862367327</v>
      </c>
      <c r="U85" s="1021">
        <f>(VLOOKUP(YEAR($A85),'NY East Load Projections'!$A$4:$EO$14,((MONTH($A85)-1)*12)+VLOOKUP(U$4,$DE$6:$DF$17,2)+1))*(VLOOKUP($A85,CURVES!$D$9:$K$261,3))*(INDEX(DailyScalarsTable,U$5/100,MONTH($A85)))*$B85</f>
        <v>-205638.98088062799</v>
      </c>
      <c r="V85" s="1021">
        <f>(VLOOKUP(YEAR($A85),'NY East Load Projections'!$A$4:$EO$14,((MONTH($A85)-1)*12)+VLOOKUP(V$4,$DE$6:$DF$17,2)+1))*(VLOOKUP($A85,CURVES!$D$9:$K$261,3))*(INDEX(DailyScalarsTable,V$5/100,MONTH($A85)))*$B85</f>
        <v>-217701.08130214884</v>
      </c>
      <c r="W85" s="1021">
        <f>(VLOOKUP(YEAR($A85),'NY East Load Projections'!$A$4:$EO$14,((MONTH($A85)-1)*12)+VLOOKUP(W$4,$DE$6:$DF$17,2)+1))*(VLOOKUP($A85,CURVES!$D$9:$K$261,3))*(INDEX(DailyScalarsTable,W$5/100,MONTH($A85)))*$B85</f>
        <v>-214668.05798532543</v>
      </c>
      <c r="X85" s="1021">
        <f>(VLOOKUP(YEAR($A85),'NY East Load Projections'!$A$4:$EO$14,((MONTH($A85)-1)*12)+VLOOKUP(X$4,$DE$6:$DF$17,2)+1))*(VLOOKUP($A85,CURVES!$D$9:$K$261,3))*(INDEX(DailyScalarsTable,X$5/100,MONTH($A85)))*$B85</f>
        <v>-201868.27108693519</v>
      </c>
      <c r="Y85" s="1021">
        <f>(VLOOKUP(YEAR($A85),'NY East Load Projections'!$A$4:$EO$14,((MONTH($A85)-1)*12)+VLOOKUP(Y$4,$DE$6:$DF$17,2)+1))*(VLOOKUP($A85,CURVES!$D$9:$K$261,3))*(INDEX(DailyScalarsTable,Y$5/100,MONTH($A85)))*$B85</f>
        <v>-186942.4983192221</v>
      </c>
      <c r="Z85" s="1021">
        <f>(VLOOKUP(YEAR($A85),'NY East Load Projections'!$A$4:$EO$14,((MONTH($A85)-1)*12)+VLOOKUP(Z$4,$DE$6:$DF$17,2)+1))*(VLOOKUP($A85,CURVES!$D$9:$K$261,3))*(INDEX(DailyScalarsTable,Z$5/100,MONTH($A85)))*$B85</f>
        <v>-152377.55085714959</v>
      </c>
      <c r="AA85" s="1021">
        <f>(VLOOKUP(YEAR($A85),'NY East Load Projections'!$A$4:$EO$14,((MONTH($A85)-1)*12)+VLOOKUP(AA$4,$DE$6:$DF$17,2)+1))*(VLOOKUP($A85,CURVES!$D$9:$K$261,3))*(INDEX(DailyScalarsTable,AA$5/100,MONTH($A85)))*$B85</f>
        <v>-138731.13004095474</v>
      </c>
      <c r="AB85" s="1021">
        <f>(VLOOKUP(YEAR($A85),'NY East Load Projections'!$A$4:$EO$14,((MONTH($A85)-1)*12)+VLOOKUP(AB$4,$DE$6:$DF$17,2)+1))*(VLOOKUP($A85,CURVES!$D$9:$K$261,3))*(INDEX(DailyScalarsTable,AB$5/100,MONTH($A85)))*$B85</f>
        <v>-159374.35703104254</v>
      </c>
      <c r="AC85" s="1021">
        <f>(VLOOKUP(YEAR($A85),'NY East Load Projections'!$A$4:$EO$14,((MONTH($A85)-1)*12)+VLOOKUP(AC$4,$DE$6:$DF$17,2)+1))*(VLOOKUP($A85,CURVES!$D$9:$K$261,3))*(INDEX(DailyScalarsTable,AC$5/100,MONTH($A85)))*$B85</f>
        <v>-135520.4607234518</v>
      </c>
      <c r="AD85" s="1021">
        <f>(VLOOKUP(YEAR($A85),'NY East Load Projections'!$A$4:$EO$14,((MONTH($A85)-1)*12)+VLOOKUP(AD$4,$DE$6:$DF$17,2)+1))*(VLOOKUP($A85,CURVES!$D$9:$K$261,3))*(INDEX(DailyScalarsTable,AD$5/100,MONTH($A85)))*$B85</f>
        <v>-109740.21883775656</v>
      </c>
      <c r="AE85" s="1021">
        <f>(VLOOKUP(YEAR($A85),'NY East Load Projections'!$A$4:$EO$14,((MONTH($A85)-1)*12)+VLOOKUP(AE$4,$DE$6:$DF$17,2)+1))*(VLOOKUP($A85,CURVES!$D$9:$K$261,7))*(INDEX(DailyScalarsTable,AE$5/100,MONTH($A85)))*$B85</f>
        <v>-70331.530815045087</v>
      </c>
      <c r="AF85" s="1021"/>
      <c r="AG85" s="1021">
        <f>(VLOOKUP(YEAR($A85),'NY East Load Projections'!$A$4:$EO$14,((MONTH($A85)-1)*12)+VLOOKUP(AG$4,$DE$6:$DF$17,2)+1))*(VLOOKUP($A85,CURVES!$D$9:$T$261,7))*(INDEX(DailyScalarsTable,AG$5/100,MONTH($A85)))*$C85</f>
        <v>-9912.9766575168742</v>
      </c>
      <c r="AH85" s="1021">
        <f>(VLOOKUP(YEAR($A85),'NY East Load Projections'!$A$4:$EO$14,((MONTH($A85)-1)*12)+VLOOKUP(AH$4,$DE$6:$DF$17,2)+1))*(VLOOKUP($A85,CURVES!$D$9:$T$261,7))*(INDEX(DailyScalarsTable,AH$5/100,MONTH($A85)))*$C85</f>
        <v>-8948.6176586353522</v>
      </c>
      <c r="AI85" s="1021">
        <f>(VLOOKUP(YEAR($A85),'NY East Load Projections'!$A$4:$EO$14,((MONTH($A85)-1)*12)+VLOOKUP(AI$4,$DE$6:$DF$17,2)+1))*(VLOOKUP($A85,CURVES!$D$9:$T$261,7))*(INDEX(DailyScalarsTable,AI$5/100,MONTH($A85)))*$C85</f>
        <v>-8036.324990679359</v>
      </c>
      <c r="AJ85" s="1021">
        <f>(VLOOKUP(YEAR($A85),'NY East Load Projections'!$A$4:$EO$14,((MONTH($A85)-1)*12)+VLOOKUP(AJ$4,$DE$6:$DF$17,2)+1))*(VLOOKUP($A85,CURVES!$D$9:$T$261,7))*(INDEX(DailyScalarsTable,AJ$5/100,MONTH($A85)))*$C85</f>
        <v>-7560.9367517940991</v>
      </c>
      <c r="AK85" s="1021">
        <f>(VLOOKUP(YEAR($A85),'NY East Load Projections'!$A$4:$EO$14,((MONTH($A85)-1)*12)+VLOOKUP(AK$4,$DE$6:$DF$17,2)+1))*(VLOOKUP($A85,CURVES!$D$9:$T$261,7))*(INDEX(DailyScalarsTable,AK$5/100,MONTH($A85)))*$C85</f>
        <v>-7980.2847947261826</v>
      </c>
      <c r="AL85" s="1021">
        <f>(VLOOKUP(YEAR($A85),'NY East Load Projections'!$A$4:$EO$14,((MONTH($A85)-1)*12)+VLOOKUP(AL$4,$DE$6:$DF$17,2)+1))*(VLOOKUP($A85,CURVES!$D$9:$T$261,7))*(INDEX(DailyScalarsTable,AL$5/100,MONTH($A85)))*$C85</f>
        <v>-8866.4715977171254</v>
      </c>
      <c r="AM85" s="1021">
        <f>(VLOOKUP(YEAR($A85),'NY East Load Projections'!$A$4:$EO$14,((MONTH($A85)-1)*12)+VLOOKUP(AM$4,$DE$6:$DF$17,2)+1))*(VLOOKUP($A85,CURVES!$D$9:$T$261,7))*(INDEX(DailyScalarsTable,AM$5/100,MONTH($A85)))*$C85</f>
        <v>-10316.59545715684</v>
      </c>
      <c r="AN85" s="1021">
        <f>(VLOOKUP(YEAR($A85),'NY East Load Projections'!$A$4:$EO$14,((MONTH($A85)-1)*12)+VLOOKUP(AN$4,$DE$6:$DF$17,2)+1))*(VLOOKUP($A85,SatSunCurve,3))*(INDEX(DailyScalarsTable,AN$5/100,MONTH($A85)))*$C85</f>
        <v>-10649.626701064095</v>
      </c>
      <c r="AO85" s="1021">
        <f>(VLOOKUP(YEAR($A85),'NY East Load Projections'!$A$4:$EO$14,((MONTH($A85)-1)*12)+VLOOKUP(AO$4,$DE$6:$DF$17,2)+1))*(VLOOKUP($A85,SatSunCurve,3))*(INDEX(DailyScalarsTable,AO$5/100,MONTH($A85)))*$C85</f>
        <v>-12704.567531344765</v>
      </c>
      <c r="AP85" s="1021">
        <f>(VLOOKUP(YEAR($A85),'NY East Load Projections'!$A$4:$EO$14,((MONTH($A85)-1)*12)+VLOOKUP(AP$4,$DE$6:$DF$17,2)+1))*(VLOOKUP($A85,SatSunCurve,3))*(INDEX(DailyScalarsTable,AP$5/100,MONTH($A85)))*$C85</f>
        <v>-16292.826258038895</v>
      </c>
      <c r="AQ85" s="1021">
        <f>(VLOOKUP(YEAR($A85),'NY East Load Projections'!$A$4:$EO$14,((MONTH($A85)-1)*12)+VLOOKUP(AQ$4,$DE$6:$DF$17,2)+1))*(VLOOKUP($A85,SatSunCurve,3))*(INDEX(DailyScalarsTable,AQ$5/100,MONTH($A85)))*$C85</f>
        <v>-18388.937791454275</v>
      </c>
      <c r="AR85" s="1021">
        <f>(VLOOKUP(YEAR($A85),'NY East Load Projections'!$A$4:$EO$14,((MONTH($A85)-1)*12)+VLOOKUP(AR$4,$DE$6:$DF$17,2)+1))*(VLOOKUP($A85,SatSunCurve,3))*(INDEX(DailyScalarsTable,AR$5/100,MONTH($A85)))*$C85</f>
        <v>-19168.170214610953</v>
      </c>
      <c r="AS85" s="1021">
        <f>(VLOOKUP(YEAR($A85),'NY East Load Projections'!$A$4:$EO$14,((MONTH($A85)-1)*12)+VLOOKUP(AS$4,$DE$6:$DF$17,2)+1))*(VLOOKUP($A85,SatSunCurve,3))*(INDEX(DailyScalarsTable,AS$5/100,MONTH($A85)))*$C85</f>
        <v>-19617.683358771836</v>
      </c>
      <c r="AT85" s="1021">
        <f>(VLOOKUP(YEAR($A85),'NY East Load Projections'!$A$4:$EO$14,((MONTH($A85)-1)*12)+VLOOKUP(AT$4,$DE$6:$DF$17,2)+1))*(VLOOKUP($A85,SatSunCurve,3))*(INDEX(DailyScalarsTable,AT$5/100,MONTH($A85)))*$C85</f>
        <v>-21535.715671218702</v>
      </c>
      <c r="AU85" s="1021">
        <f>(VLOOKUP(YEAR($A85),'NY East Load Projections'!$A$4:$EO$14,((MONTH($A85)-1)*12)+VLOOKUP(AU$4,$DE$6:$DF$17,2)+1))*(VLOOKUP($A85,SatSunCurve,3))*(INDEX(DailyScalarsTable,AU$5/100,MONTH($A85)))*$C85</f>
        <v>-22798.929308842944</v>
      </c>
      <c r="AV85" s="1021">
        <f>(VLOOKUP(YEAR($A85),'NY East Load Projections'!$A$4:$EO$14,((MONTH($A85)-1)*12)+VLOOKUP(AV$4,$DE$6:$DF$17,2)+1))*(VLOOKUP($A85,SatSunCurve,3))*(INDEX(DailyScalarsTable,AV$5/100,MONTH($A85)))*$C85</f>
        <v>-22481.293384488687</v>
      </c>
      <c r="AW85" s="1021">
        <f>(VLOOKUP(YEAR($A85),'NY East Load Projections'!$A$4:$EO$14,((MONTH($A85)-1)*12)+VLOOKUP(AW$4,$DE$6:$DF$17,2)+1))*(VLOOKUP($A85,SatSunCurve,3))*(INDEX(DailyScalarsTable,AW$5/100,MONTH($A85)))*$C85</f>
        <v>-21077.315196002884</v>
      </c>
      <c r="AX85" s="1021">
        <f>(VLOOKUP(YEAR($A85),'NY East Load Projections'!$A$4:$EO$14,((MONTH($A85)-1)*12)+VLOOKUP(AX$4,$DE$6:$DF$17,2)+1))*(VLOOKUP($A85,SatSunCurve,3))*(INDEX(DailyScalarsTable,AX$5/100,MONTH($A85)))*$C85</f>
        <v>-19518.896849845238</v>
      </c>
      <c r="AY85" s="1021">
        <f>(VLOOKUP(YEAR($A85),'NY East Load Projections'!$A$4:$EO$14,((MONTH($A85)-1)*12)+VLOOKUP(AY$4,$DE$6:$DF$17,2)+1))*(VLOOKUP($A85,SatSunCurve,3))*(INDEX(DailyScalarsTable,AY$5/100,MONTH($A85)))*$C85</f>
        <v>-15909.928048216991</v>
      </c>
      <c r="AZ85" s="1021">
        <f>(VLOOKUP(YEAR($A85),'NY East Load Projections'!$A$4:$EO$14,((MONTH($A85)-1)*12)+VLOOKUP(AZ$4,$DE$6:$DF$17,2)+1))*(VLOOKUP($A85,SatSunCurve,3))*(INDEX(DailyScalarsTable,AZ$5/100,MONTH($A85)))*$C85</f>
        <v>-14485.088417444282</v>
      </c>
      <c r="BA85" s="1021">
        <f>(VLOOKUP(YEAR($A85),'NY East Load Projections'!$A$4:$EO$14,((MONTH($A85)-1)*12)+VLOOKUP(BA$4,$DE$6:$DF$17,2)+1))*(VLOOKUP($A85,SatSunCurve,3))*(INDEX(DailyScalarsTable,BA$5/100,MONTH($A85)))*$C85</f>
        <v>-17261.007355682003</v>
      </c>
      <c r="BB85" s="1021">
        <f>(VLOOKUP(YEAR($A85),'NY East Load Projections'!$A$4:$EO$14,((MONTH($A85)-1)*12)+VLOOKUP(BB$4,$DE$6:$DF$17,2)+1))*(VLOOKUP($A85,SatSunCurve,3))*(INDEX(DailyScalarsTable,BB$5/100,MONTH($A85)))*$C85</f>
        <v>-14677.51596285523</v>
      </c>
      <c r="BC85" s="1021">
        <f>(VLOOKUP(YEAR($A85),'NY East Load Projections'!$A$4:$EO$14,((MONTH($A85)-1)*12)+VLOOKUP(BC$4,$DE$6:$DF$17,2)+1))*(VLOOKUP($A85,SatSunCurve,3))*(INDEX(DailyScalarsTable,BC$5/100,MONTH($A85)))*$C85</f>
        <v>-11885.39210359742</v>
      </c>
      <c r="BD85" s="1021">
        <f>(VLOOKUP(YEAR($A85),'NY East Load Projections'!$A$4:$EO$14,((MONTH($A85)-1)*12)+VLOOKUP(BD$4,$DE$6:$DF$17,2)+1))*(VLOOKUP($A85,CURVES!$D$9:$T$261,7))*(INDEX(DailyScalarsTable,BD$5/100,MONTH($A85)))*$C85</f>
        <v>-11968.730917049395</v>
      </c>
      <c r="BE85" s="1021"/>
      <c r="BF85" s="1021">
        <f>(VLOOKUP(YEAR($A85),'NY East Load Projections'!$A$4:$EO$14,((MONTH($A85)-1)*12)+VLOOKUP(BF$4,$DE$6:$DF$17,2)+1))*(VLOOKUP($A85,CURVES!$D$9:$T$261,7))*(INDEX(DailyScalarsTable,BF$5/100,MONTH($A85)))*$D85</f>
        <v>-9912.9766575168742</v>
      </c>
      <c r="BG85" s="1021">
        <f>(VLOOKUP(YEAR($A85),'NY East Load Projections'!$A$4:$EO$14,((MONTH($A85)-1)*12)+VLOOKUP(BG$4,$DE$6:$DF$17,2)+1))*(VLOOKUP($A85,CURVES!$D$9:$T$261,7))*(INDEX(DailyScalarsTable,BG$5/100,MONTH($A85)))*$D85</f>
        <v>-8948.6176586353522</v>
      </c>
      <c r="BH85" s="1021">
        <f>(VLOOKUP(YEAR($A85),'NY East Load Projections'!$A$4:$EO$14,((MONTH($A85)-1)*12)+VLOOKUP(BH$4,$DE$6:$DF$17,2)+1))*(VLOOKUP($A85,CURVES!$D$9:$T$261,7))*(INDEX(DailyScalarsTable,BH$5/100,MONTH($A85)))*$D85</f>
        <v>-8036.324990679359</v>
      </c>
      <c r="BI85" s="1021">
        <f>(VLOOKUP(YEAR($A85),'NY East Load Projections'!$A$4:$EO$14,((MONTH($A85)-1)*12)+VLOOKUP(BI$4,$DE$6:$DF$17,2)+1))*(VLOOKUP($A85,CURVES!$D$9:$T$261,7))*(INDEX(DailyScalarsTable,BI$5/100,MONTH($A85)))*$D85</f>
        <v>-7560.9367517940991</v>
      </c>
      <c r="BJ85" s="1021">
        <f>(VLOOKUP(YEAR($A85),'NY East Load Projections'!$A$4:$EO$14,((MONTH($A85)-1)*12)+VLOOKUP(BJ$4,$DE$6:$DF$17,2)+1))*(VLOOKUP($A85,CURVES!$D$9:$T$261,7))*(INDEX(DailyScalarsTable,BJ$5/100,MONTH($A85)))*$D85</f>
        <v>-7980.2847947261826</v>
      </c>
      <c r="BK85" s="1021">
        <f>(VLOOKUP(YEAR($A85),'NY East Load Projections'!$A$4:$EO$14,((MONTH($A85)-1)*12)+VLOOKUP(BK$4,$DE$6:$DF$17,2)+1))*(VLOOKUP($A85,CURVES!$D$9:$T$261,7))*(INDEX(DailyScalarsTable,BK$5/100,MONTH($A85)))*$D85</f>
        <v>-8866.4715977171254</v>
      </c>
      <c r="BL85" s="1021">
        <f>(VLOOKUP(YEAR($A85),'NY East Load Projections'!$A$4:$EO$14,((MONTH($A85)-1)*12)+VLOOKUP(BL$4,$DE$6:$DF$17,2)+1))*(VLOOKUP($A85,CURVES!$D$9:$T$261,7))*(INDEX(DailyScalarsTable,BL$5/100,MONTH($A85)))*$D85</f>
        <v>-10316.59545715684</v>
      </c>
      <c r="BM85" s="1021">
        <f>(VLOOKUP(YEAR($A85),'NY East Load Projections'!$A$4:$EO$14,((MONTH($A85)-1)*12)+VLOOKUP(BM$4,$DE$6:$DF$17,2)+1))*(VLOOKUP($A85,SatSunCurve,7))*(INDEX(DailyScalarsTable,BM$5/100,MONTH($A85)))*$D85</f>
        <v>-7811.8654858298432</v>
      </c>
      <c r="BN85" s="1021">
        <f>(VLOOKUP(YEAR($A85),'NY East Load Projections'!$A$4:$EO$14,((MONTH($A85)-1)*12)+VLOOKUP(BN$4,$DE$6:$DF$17,2)+1))*(VLOOKUP($A85,SatSunCurve,7))*(INDEX(DailyScalarsTable,BN$5/100,MONTH($A85)))*$D85</f>
        <v>-9319.2348799033571</v>
      </c>
      <c r="BO85" s="1021">
        <f>(VLOOKUP(YEAR($A85),'NY East Load Projections'!$A$4:$EO$14,((MONTH($A85)-1)*12)+VLOOKUP(BO$4,$DE$6:$DF$17,2)+1))*(VLOOKUP($A85,SatSunCurve,7))*(INDEX(DailyScalarsTable,BO$5/100,MONTH($A85)))*$D85</f>
        <v>-11951.345402471139</v>
      </c>
      <c r="BP85" s="1021">
        <f>(VLOOKUP(YEAR($A85),'NY East Load Projections'!$A$4:$EO$14,((MONTH($A85)-1)*12)+VLOOKUP(BP$4,$DE$6:$DF$17,2)+1))*(VLOOKUP($A85,SatSunCurve,7))*(INDEX(DailyScalarsTable,BP$5/100,MONTH($A85)))*$D85</f>
        <v>-13488.914915654297</v>
      </c>
      <c r="BQ85" s="1021">
        <f>(VLOOKUP(YEAR($A85),'NY East Load Projections'!$A$4:$EO$14,((MONTH($A85)-1)*12)+VLOOKUP(BQ$4,$DE$6:$DF$17,2)+1))*(VLOOKUP($A85,SatSunCurve,7))*(INDEX(DailyScalarsTable,BQ$5/100,MONTH($A85)))*$D85</f>
        <v>-14060.508553888489</v>
      </c>
      <c r="BR85" s="1021">
        <f>(VLOOKUP(YEAR($A85),'NY East Load Projections'!$A$4:$EO$14,((MONTH($A85)-1)*12)+VLOOKUP(BR$4,$DE$6:$DF$17,2)+1))*(VLOOKUP($A85,SatSunCurve,7))*(INDEX(DailyScalarsTable,BR$5/100,MONTH($A85)))*$D85</f>
        <v>-14390.24182199885</v>
      </c>
      <c r="BS85" s="1021">
        <f>(VLOOKUP(YEAR($A85),'NY East Load Projections'!$A$4:$EO$14,((MONTH($A85)-1)*12)+VLOOKUP(BS$4,$DE$6:$DF$17,2)+1))*(VLOOKUP($A85,SatSunCurve,7))*(INDEX(DailyScalarsTable,BS$5/100,MONTH($A85)))*$D85</f>
        <v>-15797.184134898227</v>
      </c>
      <c r="BT85" s="1021">
        <f>(VLOOKUP(YEAR($A85),'NY East Load Projections'!$A$4:$EO$14,((MONTH($A85)-1)*12)+VLOOKUP(BT$4,$DE$6:$DF$17,2)+1))*(VLOOKUP($A85,SatSunCurve,7))*(INDEX(DailyScalarsTable,BT$5/100,MONTH($A85)))*$D85</f>
        <v>-16723.794549890557</v>
      </c>
      <c r="BU85" s="1021">
        <f>(VLOOKUP(YEAR($A85),'NY East Load Projections'!$A$4:$EO$14,((MONTH($A85)-1)*12)+VLOOKUP(BU$4,$DE$6:$DF$17,2)+1))*(VLOOKUP($A85,SatSunCurve,7))*(INDEX(DailyScalarsTable,BU$5/100,MONTH($A85)))*$D85</f>
        <v>-16490.797733741616</v>
      </c>
      <c r="BV85" s="1021">
        <f>(VLOOKUP(YEAR($A85),'NY East Load Projections'!$A$4:$EO$14,((MONTH($A85)-1)*12)+VLOOKUP(BV$4,$DE$6:$DF$17,2)+1))*(VLOOKUP($A85,SatSunCurve,7))*(INDEX(DailyScalarsTable,BV$5/100,MONTH($A85)))*$D85</f>
        <v>-15460.931705442777</v>
      </c>
      <c r="BW85" s="1021">
        <f>(VLOOKUP(YEAR($A85),'NY East Load Projections'!$A$4:$EO$14,((MONTH($A85)-1)*12)+VLOOKUP(BW$4,$DE$6:$DF$17,2)+1))*(VLOOKUP($A85,SatSunCurve,7))*(INDEX(DailyScalarsTable,BW$5/100,MONTH($A85)))*$D85</f>
        <v>-14317.778538429277</v>
      </c>
      <c r="BX85" s="1021">
        <f>(VLOOKUP(YEAR($A85),'NY East Load Projections'!$A$4:$EO$14,((MONTH($A85)-1)*12)+VLOOKUP(BX$4,$DE$6:$DF$17,2)+1))*(VLOOKUP($A85,SatSunCurve,7))*(INDEX(DailyScalarsTable,BX$5/100,MONTH($A85)))*$D85</f>
        <v>-11670.476467450639</v>
      </c>
      <c r="BY85" s="1021">
        <f>(VLOOKUP(YEAR($A85),'NY East Load Projections'!$A$4:$EO$14,((MONTH($A85)-1)*12)+VLOOKUP(BY$4,$DE$6:$DF$17,2)+1))*(VLOOKUP($A85,SatSunCurve,7))*(INDEX(DailyScalarsTable,BY$5/100,MONTH($A85)))*$D85</f>
        <v>-10625.307857609721</v>
      </c>
      <c r="BZ85" s="1021">
        <f>(VLOOKUP(YEAR($A85),'NY East Load Projections'!$A$4:$EO$14,((MONTH($A85)-1)*12)+VLOOKUP(BZ$4,$DE$6:$DF$17,2)+1))*(VLOOKUP($A85,SatSunCurve,7))*(INDEX(DailyScalarsTable,BZ$5/100,MONTH($A85)))*$D85</f>
        <v>-12661.539356964899</v>
      </c>
      <c r="CA85" s="1021">
        <f>(VLOOKUP(YEAR($A85),'NY East Load Projections'!$A$4:$EO$14,((MONTH($A85)-1)*12)+VLOOKUP(CA$4,$DE$6:$DF$17,2)+1))*(VLOOKUP($A85,SatSunCurve,7))*(INDEX(DailyScalarsTable,CA$5/100,MONTH($A85)))*$D85</f>
        <v>-10766.460044697043</v>
      </c>
      <c r="CB85" s="1021">
        <f>(VLOOKUP(YEAR($A85),'NY East Load Projections'!$A$4:$EO$14,((MONTH($A85)-1)*12)+VLOOKUP(CB$4,$DE$6:$DF$17,2)+1))*(VLOOKUP($A85,SatSunCurve,7))*(INDEX(DailyScalarsTable,CB$5/100,MONTH($A85)))*$D85</f>
        <v>-8718.3416814384764</v>
      </c>
      <c r="CC85" s="1021">
        <f>(VLOOKUP(YEAR($A85),'NY East Load Projections'!$A$4:$EO$14,((MONTH($A85)-1)*12)+VLOOKUP(CC$4,$DE$6:$DF$17,2)+1))*(VLOOKUP($A85,CURVES!$D$9:$T$261,7))*(INDEX(DailyScalarsTable,CC$5/100,MONTH($A85)))*$D85</f>
        <v>-11968.730917049395</v>
      </c>
      <c r="CE85" s="1021">
        <f>(VLOOKUP(YEAR($A85),'NY East Load Projections'!$A$4:$EO$14,((MONTH($A85)-1)*12)+VLOOKUP(CE$4,$DE$6:$DF$17,2)+1))*(VLOOKUP($A85,CURVES!$D$9:$T$261,7))*(INDEX(DailyScalarsTable,CE$5/100,MONTH($A85)))*$E85</f>
        <v>0</v>
      </c>
      <c r="CF85" s="1021">
        <f>(VLOOKUP(YEAR($A85),'NY East Load Projections'!$A$4:$EO$14,((MONTH($A85)-1)*12)+VLOOKUP(CF$4,$DE$6:$DF$17,2)+1))*(VLOOKUP($A85,CURVES!$D$9:$T$261,7))*(INDEX(DailyScalarsTable,CF$5/100,MONTH($A85)))*$E85</f>
        <v>0</v>
      </c>
      <c r="CG85" s="1021">
        <f>(VLOOKUP(YEAR($A85),'NY East Load Projections'!$A$4:$EO$14,((MONTH($A85)-1)*12)+VLOOKUP(CG$4,$DE$6:$DF$17,2)+1))*(VLOOKUP($A85,CURVES!$D$9:$T$261,7))*(INDEX(DailyScalarsTable,CG$5/100,MONTH($A85)))*$E85</f>
        <v>0</v>
      </c>
      <c r="CH85" s="1021">
        <f>(VLOOKUP(YEAR($A85),'NY East Load Projections'!$A$4:$EO$14,((MONTH($A85)-1)*12)+VLOOKUP(CH$4,$DE$6:$DF$17,2)+1))*(VLOOKUP($A85,CURVES!$D$9:$T$261,7))*(INDEX(DailyScalarsTable,CH$5/100,MONTH($A85)))*$E85</f>
        <v>0</v>
      </c>
      <c r="CI85" s="1021">
        <f>(VLOOKUP(YEAR($A85),'NY East Load Projections'!$A$4:$EO$14,((MONTH($A85)-1)*12)+VLOOKUP(CI$4,$DE$6:$DF$17,2)+1))*(VLOOKUP($A85,CURVES!$D$9:$T$261,7))*(INDEX(DailyScalarsTable,CI$5/100,MONTH($A85)))*$E85</f>
        <v>0</v>
      </c>
      <c r="CJ85" s="1021">
        <f>(VLOOKUP(YEAR($A85),'NY East Load Projections'!$A$4:$EO$14,((MONTH($A85)-1)*12)+VLOOKUP(CJ$4,$DE$6:$DF$17,2)+1))*(VLOOKUP($A85,CURVES!$D$9:$T$261,7))*(INDEX(DailyScalarsTable,CJ$5/100,MONTH($A85)))*$E85</f>
        <v>0</v>
      </c>
      <c r="CK85" s="1021">
        <f>(VLOOKUP(YEAR($A85),'NY East Load Projections'!$A$4:$EO$14,((MONTH($A85)-1)*12)+VLOOKUP(CK$4,$DE$6:$DF$17,2)+1))*(VLOOKUP($A85,CURVES!$D$9:$T$261,7))*(INDEX(DailyScalarsTable,CK$5/100,MONTH($A85)))*$E85</f>
        <v>0</v>
      </c>
      <c r="CL85" s="1021">
        <f>(VLOOKUP(YEAR($A85),'NY East Load Projections'!$A$4:$EO$14,((MONTH($A85)-1)*12)+VLOOKUP(CL$4,$DE$6:$DF$17,2)+1))*(VLOOKUP($A85,SatSunCurve,7))*(INDEX(DailyScalarsTable,CL$5/100,MONTH($A85)))*$E85</f>
        <v>0</v>
      </c>
      <c r="CM85" s="1021">
        <f>(VLOOKUP(YEAR($A85),'NY East Load Projections'!$A$4:$EO$14,((MONTH($A85)-1)*12)+VLOOKUP(CM$4,$DE$6:$DF$17,2)+1))*(VLOOKUP($A85,SatSunCurve,7))*(INDEX(DailyScalarsTable,CM$5/100,MONTH($A85)))*$E85</f>
        <v>0</v>
      </c>
      <c r="CN85" s="1021">
        <f>(VLOOKUP(YEAR($A85),'NY East Load Projections'!$A$4:$EO$14,((MONTH($A85)-1)*12)+VLOOKUP(CN$4,$DE$6:$DF$17,2)+1))*(VLOOKUP($A85,SatSunCurve,7))*(INDEX(DailyScalarsTable,CN$5/100,MONTH($A85)))*$E85</f>
        <v>0</v>
      </c>
      <c r="CO85" s="1021">
        <f>(VLOOKUP(YEAR($A85),'NY East Load Projections'!$A$4:$EO$14,((MONTH($A85)-1)*12)+VLOOKUP(CO$4,$DE$6:$DF$17,2)+1))*(VLOOKUP($A85,SatSunCurve,7))*(INDEX(DailyScalarsTable,CO$5/100,MONTH($A85)))*$E85</f>
        <v>0</v>
      </c>
      <c r="CP85" s="1021">
        <f>(VLOOKUP(YEAR($A85),'NY East Load Projections'!$A$4:$EO$14,((MONTH($A85)-1)*12)+VLOOKUP(CP$4,$DE$6:$DF$17,2)+1))*(VLOOKUP($A85,SatSunCurve,7))*(INDEX(DailyScalarsTable,CP$5/100,MONTH($A85)))*$E85</f>
        <v>0</v>
      </c>
      <c r="CQ85" s="1021">
        <f>(VLOOKUP(YEAR($A85),'NY East Load Projections'!$A$4:$EO$14,((MONTH($A85)-1)*12)+VLOOKUP(CQ$4,$DE$6:$DF$17,2)+1))*(VLOOKUP($A85,SatSunCurve,7))*(INDEX(DailyScalarsTable,CQ$5/100,MONTH($A85)))*$E85</f>
        <v>0</v>
      </c>
      <c r="CR85" s="1021">
        <f>(VLOOKUP(YEAR($A85),'NY East Load Projections'!$A$4:$EO$14,((MONTH($A85)-1)*12)+VLOOKUP(CR$4,$DE$6:$DF$17,2)+1))*(VLOOKUP($A85,SatSunCurve,7))*(INDEX(DailyScalarsTable,CR$5/100,MONTH($A85)))*$E85</f>
        <v>0</v>
      </c>
      <c r="CS85" s="1021">
        <f>(VLOOKUP(YEAR($A85),'NY East Load Projections'!$A$4:$EO$14,((MONTH($A85)-1)*12)+VLOOKUP(CS$4,$DE$6:$DF$17,2)+1))*(VLOOKUP($A85,SatSunCurve,7))*(INDEX(DailyScalarsTable,CS$5/100,MONTH($A85)))*$E85</f>
        <v>0</v>
      </c>
      <c r="CT85" s="1021">
        <f>(VLOOKUP(YEAR($A85),'NY East Load Projections'!$A$4:$EO$14,((MONTH($A85)-1)*12)+VLOOKUP(CT$4,$DE$6:$DF$17,2)+1))*(VLOOKUP($A85,SatSunCurve,7))*(INDEX(DailyScalarsTable,CT$5/100,MONTH($A85)))*$E85</f>
        <v>0</v>
      </c>
      <c r="CU85" s="1021">
        <f>(VLOOKUP(YEAR($A85),'NY East Load Projections'!$A$4:$EO$14,((MONTH($A85)-1)*12)+VLOOKUP(CU$4,$DE$6:$DF$17,2)+1))*(VLOOKUP($A85,SatSunCurve,7))*(INDEX(DailyScalarsTable,CU$5/100,MONTH($A85)))*$E85</f>
        <v>0</v>
      </c>
      <c r="CV85" s="1021">
        <f>(VLOOKUP(YEAR($A85),'NY East Load Projections'!$A$4:$EO$14,((MONTH($A85)-1)*12)+VLOOKUP(CV$4,$DE$6:$DF$17,2)+1))*(VLOOKUP($A85,SatSunCurve,7))*(INDEX(DailyScalarsTable,CV$5/100,MONTH($A85)))*$E85</f>
        <v>0</v>
      </c>
      <c r="CW85" s="1021">
        <f>(VLOOKUP(YEAR($A85),'NY East Load Projections'!$A$4:$EO$14,((MONTH($A85)-1)*12)+VLOOKUP(CW$4,$DE$6:$DF$17,2)+1))*(VLOOKUP($A85,SatSunCurve,7))*(INDEX(DailyScalarsTable,CW$5/100,MONTH($A85)))*$E85</f>
        <v>0</v>
      </c>
      <c r="CX85" s="1021">
        <f>(VLOOKUP(YEAR($A85),'NY East Load Projections'!$A$4:$EO$14,((MONTH($A85)-1)*12)+VLOOKUP(CX$4,$DE$6:$DF$17,2)+1))*(VLOOKUP($A85,SatSunCurve,7))*(INDEX(DailyScalarsTable,CX$5/100,MONTH($A85)))*$E85</f>
        <v>0</v>
      </c>
      <c r="CY85" s="1021">
        <f>(VLOOKUP(YEAR($A85),'NY East Load Projections'!$A$4:$EO$14,((MONTH($A85)-1)*12)+VLOOKUP(CY$4,$DE$6:$DF$17,2)+1))*(VLOOKUP($A85,SatSunCurve,7))*(INDEX(DailyScalarsTable,CY$5/100,MONTH($A85)))*$E85</f>
        <v>0</v>
      </c>
      <c r="CZ85" s="1021">
        <f>(VLOOKUP(YEAR($A85),'NY East Load Projections'!$A$4:$EO$14,((MONTH($A85)-1)*12)+VLOOKUP(CZ$4,$DE$6:$DF$17,2)+1))*(VLOOKUP($A85,SatSunCurve,7))*(INDEX(DailyScalarsTable,CZ$5/100,MONTH($A85)))*$E85</f>
        <v>0</v>
      </c>
      <c r="DA85" s="1021">
        <f>(VLOOKUP(YEAR($A85),'NY East Load Projections'!$A$4:$EO$14,((MONTH($A85)-1)*12)+VLOOKUP(DA$4,$DE$6:$DF$17,2)+1))*(VLOOKUP($A85,SatSunCurve,7))*(INDEX(DailyScalarsTable,DA$5/100,MONTH($A85)))*$E85</f>
        <v>0</v>
      </c>
      <c r="DB85" s="1021">
        <f>(VLOOKUP(YEAR($A85),'NY East Load Projections'!$A$4:$EO$14,((MONTH($A85)-1)*12)+VLOOKUP(DB$4,$DE$6:$DF$17,2)+1))*(VLOOKUP($A85,CURVES!$D$9:$T$261,7))*(INDEX(DailyScalarsTable,DB$5/100,MONTH($A85)))*$E85</f>
        <v>0</v>
      </c>
      <c r="DH85" s="1032">
        <f t="shared" si="2"/>
        <v>-3721628.1030430952</v>
      </c>
      <c r="DI85">
        <f ca="1">CALC!J105</f>
        <v>0.57880972281525267</v>
      </c>
      <c r="DJ85" s="1029">
        <f t="shared" ca="1" si="3"/>
        <v>-2154114.5307438285</v>
      </c>
    </row>
    <row r="86" spans="1:114" x14ac:dyDescent="0.25">
      <c r="A86" s="244">
        <v>39326</v>
      </c>
      <c r="B86" s="13">
        <v>19</v>
      </c>
      <c r="C86" s="210">
        <v>5</v>
      </c>
      <c r="D86" s="210">
        <v>5</v>
      </c>
      <c r="E86" s="210">
        <v>1</v>
      </c>
      <c r="F86" s="13">
        <v>30</v>
      </c>
      <c r="H86" s="1021">
        <f>(VLOOKUP(YEAR($A86),'NY East Load Projections'!$A$4:$EO$14,((MONTH($A86)-1)*12)+VLOOKUP(H$4,$DE$6:$DF$17,2)+1))*(VLOOKUP($A86,CURVES!$D$9:$K$261,7))*(INDEX(DailyScalarsTable,H$5/100,MONTH($A86)))*$B86</f>
        <v>-36171.144331532159</v>
      </c>
      <c r="I86" s="1021">
        <f>(VLOOKUP(YEAR($A86),'NY East Load Projections'!$A$4:$EO$14,((MONTH($A86)-1)*12)+VLOOKUP(I$4,$DE$6:$DF$17,2)+1))*(VLOOKUP($A86,CURVES!$D$9:$K$261,7))*(INDEX(DailyScalarsTable,I$5/100,MONTH($A86)))*$B86</f>
        <v>-31733.587127536721</v>
      </c>
      <c r="J86" s="1021">
        <f>(VLOOKUP(YEAR($A86),'NY East Load Projections'!$A$4:$EO$14,((MONTH($A86)-1)*12)+VLOOKUP(J$4,$DE$6:$DF$17,2)+1))*(VLOOKUP($A86,CURVES!$D$9:$K$261,7))*(INDEX(DailyScalarsTable,J$5/100,MONTH($A86)))*$B86</f>
        <v>-29758.276984971475</v>
      </c>
      <c r="K86" s="1021">
        <f>(VLOOKUP(YEAR($A86),'NY East Load Projections'!$A$4:$EO$14,((MONTH($A86)-1)*12)+VLOOKUP(K$4,$DE$6:$DF$17,2)+1))*(VLOOKUP($A86,CURVES!$D$9:$K$261,7))*(INDEX(DailyScalarsTable,K$5/100,MONTH($A86)))*$B86</f>
        <v>-30199.276458660468</v>
      </c>
      <c r="L86" s="1021">
        <f>(VLOOKUP(YEAR($A86),'NY East Load Projections'!$A$4:$EO$14,((MONTH($A86)-1)*12)+VLOOKUP(L$4,$DE$6:$DF$17,2)+1))*(VLOOKUP($A86,CURVES!$D$9:$K$261,7))*(INDEX(DailyScalarsTable,L$5/100,MONTH($A86)))*$B86</f>
        <v>-34826.584252943045</v>
      </c>
      <c r="M86" s="1021">
        <f>(VLOOKUP(YEAR($A86),'NY East Load Projections'!$A$4:$EO$14,((MONTH($A86)-1)*12)+VLOOKUP(M$4,$DE$6:$DF$17,2)+1))*(VLOOKUP($A86,CURVES!$D$9:$K$261,7))*(INDEX(DailyScalarsTable,M$5/100,MONTH($A86)))*$B86</f>
        <v>-40302.277127877445</v>
      </c>
      <c r="N86" s="1021">
        <f>(VLOOKUP(YEAR($A86),'NY East Load Projections'!$A$4:$EO$14,((MONTH($A86)-1)*12)+VLOOKUP(N$4,$DE$6:$DF$17,2)+1))*(VLOOKUP($A86,CURVES!$D$9:$K$261,7))*(INDEX(DailyScalarsTable,N$5/100,MONTH($A86)))*$B86</f>
        <v>-54805.994097685791</v>
      </c>
      <c r="O86" s="1021">
        <f>(VLOOKUP(YEAR($A86),'NY East Load Projections'!$A$4:$EO$14,((MONTH($A86)-1)*12)+VLOOKUP(O$4,$DE$6:$DF$17,2)+1))*(VLOOKUP($A86,CURVES!$D$9:$K$261,3))*(INDEX(DailyScalarsTable,O$5/100,MONTH($A86)))*$B86</f>
        <v>-49753.239753678819</v>
      </c>
      <c r="P86" s="1021">
        <f>(VLOOKUP(YEAR($A86),'NY East Load Projections'!$A$4:$EO$14,((MONTH($A86)-1)*12)+VLOOKUP(P$4,$DE$6:$DF$17,2)+1))*(VLOOKUP($A86,CURVES!$D$9:$K$261,3))*(INDEX(DailyScalarsTable,P$5/100,MONTH($A86)))*$B86</f>
        <v>-52515.366331126948</v>
      </c>
      <c r="Q86" s="1021">
        <f>(VLOOKUP(YEAR($A86),'NY East Load Projections'!$A$4:$EO$14,((MONTH($A86)-1)*12)+VLOOKUP(Q$4,$DE$6:$DF$17,2)+1))*(VLOOKUP($A86,CURVES!$D$9:$K$261,3))*(INDEX(DailyScalarsTable,Q$5/100,MONTH($A86)))*$B86</f>
        <v>-65555.61923926101</v>
      </c>
      <c r="R86" s="1021">
        <f>(VLOOKUP(YEAR($A86),'NY East Load Projections'!$A$4:$EO$14,((MONTH($A86)-1)*12)+VLOOKUP(R$4,$DE$6:$DF$17,2)+1))*(VLOOKUP($A86,CURVES!$D$9:$K$261,3))*(INDEX(DailyScalarsTable,R$5/100,MONTH($A86)))*$B86</f>
        <v>-70010.364021542846</v>
      </c>
      <c r="S86" s="1021">
        <f>(VLOOKUP(YEAR($A86),'NY East Load Projections'!$A$4:$EO$14,((MONTH($A86)-1)*12)+VLOOKUP(S$4,$DE$6:$DF$17,2)+1))*(VLOOKUP($A86,CURVES!$D$9:$K$261,3))*(INDEX(DailyScalarsTable,S$5/100,MONTH($A86)))*$B86</f>
        <v>-74596.726263301185</v>
      </c>
      <c r="T86" s="1021">
        <f>(VLOOKUP(YEAR($A86),'NY East Load Projections'!$A$4:$EO$14,((MONTH($A86)-1)*12)+VLOOKUP(T$4,$DE$6:$DF$17,2)+1))*(VLOOKUP($A86,CURVES!$D$9:$K$261,3))*(INDEX(DailyScalarsTable,T$5/100,MONTH($A86)))*$B86</f>
        <v>-72394.497534949041</v>
      </c>
      <c r="U86" s="1021">
        <f>(VLOOKUP(YEAR($A86),'NY East Load Projections'!$A$4:$EO$14,((MONTH($A86)-1)*12)+VLOOKUP(U$4,$DE$6:$DF$17,2)+1))*(VLOOKUP($A86,CURVES!$D$9:$K$261,3))*(INDEX(DailyScalarsTable,U$5/100,MONTH($A86)))*$B86</f>
        <v>-78369.355591873929</v>
      </c>
      <c r="V86" s="1021">
        <f>(VLOOKUP(YEAR($A86),'NY East Load Projections'!$A$4:$EO$14,((MONTH($A86)-1)*12)+VLOOKUP(V$4,$DE$6:$DF$17,2)+1))*(VLOOKUP($A86,CURVES!$D$9:$K$261,3))*(INDEX(DailyScalarsTable,V$5/100,MONTH($A86)))*$B86</f>
        <v>-77132.819750527779</v>
      </c>
      <c r="W86" s="1021">
        <f>(VLOOKUP(YEAR($A86),'NY East Load Projections'!$A$4:$EO$14,((MONTH($A86)-1)*12)+VLOOKUP(W$4,$DE$6:$DF$17,2)+1))*(VLOOKUP($A86,CURVES!$D$9:$K$261,3))*(INDEX(DailyScalarsTable,W$5/100,MONTH($A86)))*$B86</f>
        <v>-74722.094412777195</v>
      </c>
      <c r="X86" s="1021">
        <f>(VLOOKUP(YEAR($A86),'NY East Load Projections'!$A$4:$EO$14,((MONTH($A86)-1)*12)+VLOOKUP(X$4,$DE$6:$DF$17,2)+1))*(VLOOKUP($A86,CURVES!$D$9:$K$261,3))*(INDEX(DailyScalarsTable,X$5/100,MONTH($A86)))*$B86</f>
        <v>-77134.616887238459</v>
      </c>
      <c r="Y86" s="1021">
        <f>(VLOOKUP(YEAR($A86),'NY East Load Projections'!$A$4:$EO$14,((MONTH($A86)-1)*12)+VLOOKUP(Y$4,$DE$6:$DF$17,2)+1))*(VLOOKUP($A86,CURVES!$D$9:$K$261,3))*(INDEX(DailyScalarsTable,Y$5/100,MONTH($A86)))*$B86</f>
        <v>-75242.353851915614</v>
      </c>
      <c r="Z86" s="1021">
        <f>(VLOOKUP(YEAR($A86),'NY East Load Projections'!$A$4:$EO$14,((MONTH($A86)-1)*12)+VLOOKUP(Z$4,$DE$6:$DF$17,2)+1))*(VLOOKUP($A86,CURVES!$D$9:$K$261,3))*(INDEX(DailyScalarsTable,Z$5/100,MONTH($A86)))*$B86</f>
        <v>-61628.01927672451</v>
      </c>
      <c r="AA86" s="1021">
        <f>(VLOOKUP(YEAR($A86),'NY East Load Projections'!$A$4:$EO$14,((MONTH($A86)-1)*12)+VLOOKUP(AA$4,$DE$6:$DF$17,2)+1))*(VLOOKUP($A86,CURVES!$D$9:$K$261,3))*(INDEX(DailyScalarsTable,AA$5/100,MONTH($A86)))*$B86</f>
        <v>-80540.690350819525</v>
      </c>
      <c r="AB86" s="1021">
        <f>(VLOOKUP(YEAR($A86),'NY East Load Projections'!$A$4:$EO$14,((MONTH($A86)-1)*12)+VLOOKUP(AB$4,$DE$6:$DF$17,2)+1))*(VLOOKUP($A86,CURVES!$D$9:$K$261,3))*(INDEX(DailyScalarsTable,AB$5/100,MONTH($A86)))*$B86</f>
        <v>-73864.775193225389</v>
      </c>
      <c r="AC86" s="1021">
        <f>(VLOOKUP(YEAR($A86),'NY East Load Projections'!$A$4:$EO$14,((MONTH($A86)-1)*12)+VLOOKUP(AC$4,$DE$6:$DF$17,2)+1))*(VLOOKUP($A86,CURVES!$D$9:$K$261,3))*(INDEX(DailyScalarsTable,AC$5/100,MONTH($A86)))*$B86</f>
        <v>-56218.395247627741</v>
      </c>
      <c r="AD86" s="1021">
        <f>(VLOOKUP(YEAR($A86),'NY East Load Projections'!$A$4:$EO$14,((MONTH($A86)-1)*12)+VLOOKUP(AD$4,$DE$6:$DF$17,2)+1))*(VLOOKUP($A86,CURVES!$D$9:$K$261,3))*(INDEX(DailyScalarsTable,AD$5/100,MONTH($A86)))*$B86</f>
        <v>-44550.768261010853</v>
      </c>
      <c r="AE86" s="1021">
        <f>(VLOOKUP(YEAR($A86),'NY East Load Projections'!$A$4:$EO$14,((MONTH($A86)-1)*12)+VLOOKUP(AE$4,$DE$6:$DF$17,2)+1))*(VLOOKUP($A86,CURVES!$D$9:$K$261,7))*(INDEX(DailyScalarsTable,AE$5/100,MONTH($A86)))*$B86</f>
        <v>-42122.062502719768</v>
      </c>
      <c r="AF86" s="1021"/>
      <c r="AG86" s="1021">
        <f>(VLOOKUP(YEAR($A86),'NY East Load Projections'!$A$4:$EO$14,((MONTH($A86)-1)*12)+VLOOKUP(AG$4,$DE$6:$DF$17,2)+1))*(VLOOKUP($A86,CURVES!$D$9:$T$261,7))*(INDEX(DailyScalarsTable,AG$5/100,MONTH($A86)))*$C86</f>
        <v>-9787.2627407976343</v>
      </c>
      <c r="AH86" s="1021">
        <f>(VLOOKUP(YEAR($A86),'NY East Load Projections'!$A$4:$EO$14,((MONTH($A86)-1)*12)+VLOOKUP(AH$4,$DE$6:$DF$17,2)+1))*(VLOOKUP($A86,CURVES!$D$9:$T$261,7))*(INDEX(DailyScalarsTable,AH$5/100,MONTH($A86)))*$C86</f>
        <v>-8586.5393717843617</v>
      </c>
      <c r="AI86" s="1021">
        <f>(VLOOKUP(YEAR($A86),'NY East Load Projections'!$A$4:$EO$14,((MONTH($A86)-1)*12)+VLOOKUP(AI$4,$DE$6:$DF$17,2)+1))*(VLOOKUP($A86,CURVES!$D$9:$T$261,7))*(INDEX(DailyScalarsTable,AI$5/100,MONTH($A86)))*$C86</f>
        <v>-8052.0558845424293</v>
      </c>
      <c r="AJ86" s="1021">
        <f>(VLOOKUP(YEAR($A86),'NY East Load Projections'!$A$4:$EO$14,((MONTH($A86)-1)*12)+VLOOKUP(AJ$4,$DE$6:$DF$17,2)+1))*(VLOOKUP($A86,CURVES!$D$9:$T$261,7))*(INDEX(DailyScalarsTable,AJ$5/100,MONTH($A86)))*$C86</f>
        <v>-8171.3824305313283</v>
      </c>
      <c r="AK86" s="1021">
        <f>(VLOOKUP(YEAR($A86),'NY East Load Projections'!$A$4:$EO$14,((MONTH($A86)-1)*12)+VLOOKUP(AK$4,$DE$6:$DF$17,2)+1))*(VLOOKUP($A86,CURVES!$D$9:$T$261,7))*(INDEX(DailyScalarsTable,AK$5/100,MONTH($A86)))*$C86</f>
        <v>-8891.792380537232</v>
      </c>
      <c r="AL86" s="1021">
        <f>(VLOOKUP(YEAR($A86),'NY East Load Projections'!$A$4:$EO$14,((MONTH($A86)-1)*12)+VLOOKUP(AL$4,$DE$6:$DF$17,2)+1))*(VLOOKUP($A86,CURVES!$D$9:$T$261,7))*(INDEX(DailyScalarsTable,AL$5/100,MONTH($A86)))*$C86</f>
        <v>-10289.825671137336</v>
      </c>
      <c r="AM86" s="1021">
        <f>(VLOOKUP(YEAR($A86),'NY East Load Projections'!$A$4:$EO$14,((MONTH($A86)-1)*12)+VLOOKUP(AM$4,$DE$6:$DF$17,2)+1))*(VLOOKUP($A86,CURVES!$D$9:$T$261,7))*(INDEX(DailyScalarsTable,AM$5/100,MONTH($A86)))*$C86</f>
        <v>-13992.860086024355</v>
      </c>
      <c r="AN86" s="1021">
        <f>(VLOOKUP(YEAR($A86),'NY East Load Projections'!$A$4:$EO$14,((MONTH($A86)-1)*12)+VLOOKUP(AN$4,$DE$6:$DF$17,2)+1))*(VLOOKUP($A86,SatSunCurve,3))*(INDEX(DailyScalarsTable,AN$5/100,MONTH($A86)))*$C86</f>
        <v>-9138.697944824049</v>
      </c>
      <c r="AO86" s="1021">
        <f>(VLOOKUP(YEAR($A86),'NY East Load Projections'!$A$4:$EO$14,((MONTH($A86)-1)*12)+VLOOKUP(AO$4,$DE$6:$DF$17,2)+1))*(VLOOKUP($A86,SatSunCurve,3))*(INDEX(DailyScalarsTable,AO$5/100,MONTH($A86)))*$C86</f>
        <v>-9929.928550113962</v>
      </c>
      <c r="AP86" s="1021">
        <f>(VLOOKUP(YEAR($A86),'NY East Load Projections'!$A$4:$EO$14,((MONTH($A86)-1)*12)+VLOOKUP(AP$4,$DE$6:$DF$17,2)+1))*(VLOOKUP($A86,SatSunCurve,3))*(INDEX(DailyScalarsTable,AP$5/100,MONTH($A86)))*$C86</f>
        <v>-12395.659796026197</v>
      </c>
      <c r="AQ86" s="1021">
        <f>(VLOOKUP(YEAR($A86),'NY East Load Projections'!$A$4:$EO$14,((MONTH($A86)-1)*12)+VLOOKUP(AQ$4,$DE$6:$DF$17,2)+1))*(VLOOKUP($A86,SatSunCurve,3))*(INDEX(DailyScalarsTable,AQ$5/100,MONTH($A86)))*$C86</f>
        <v>-13237.990345871995</v>
      </c>
      <c r="AR86" s="1021">
        <f>(VLOOKUP(YEAR($A86),'NY East Load Projections'!$A$4:$EO$14,((MONTH($A86)-1)*12)+VLOOKUP(AR$4,$DE$6:$DF$17,2)+1))*(VLOOKUP($A86,SatSunCurve,3))*(INDEX(DailyScalarsTable,AR$5/100,MONTH($A86)))*$C86</f>
        <v>-14105.207934690508</v>
      </c>
      <c r="AS86" s="1021">
        <f>(VLOOKUP(YEAR($A86),'NY East Load Projections'!$A$4:$EO$14,((MONTH($A86)-1)*12)+VLOOKUP(AS$4,$DE$6:$DF$17,2)+1))*(VLOOKUP($A86,SatSunCurve,3))*(INDEX(DailyScalarsTable,AS$5/100,MONTH($A86)))*$C86</f>
        <v>-13686.361535028644</v>
      </c>
      <c r="AT86" s="1021">
        <f>(VLOOKUP(YEAR($A86),'NY East Load Projections'!$A$4:$EO$14,((MONTH($A86)-1)*12)+VLOOKUP(AT$4,$DE$6:$DF$17,2)+1))*(VLOOKUP($A86,SatSunCurve,3))*(INDEX(DailyScalarsTable,AT$5/100,MONTH($A86)))*$C86</f>
        <v>-14815.923453019379</v>
      </c>
      <c r="AU86" s="1021">
        <f>(VLOOKUP(YEAR($A86),'NY East Load Projections'!$A$4:$EO$14,((MONTH($A86)-1)*12)+VLOOKUP(AU$4,$DE$6:$DF$17,2)+1))*(VLOOKUP($A86,SatSunCurve,3))*(INDEX(DailyScalarsTable,AU$5/100,MONTH($A86)))*$C86</f>
        <v>-14582.153247383045</v>
      </c>
      <c r="AV86" s="1021">
        <f>(VLOOKUP(YEAR($A86),'NY East Load Projections'!$A$4:$EO$14,((MONTH($A86)-1)*12)+VLOOKUP(AV$4,$DE$6:$DF$17,2)+1))*(VLOOKUP($A86,SatSunCurve,3))*(INDEX(DailyScalarsTable,AV$5/100,MONTH($A86)))*$C86</f>
        <v>-14126.399569167646</v>
      </c>
      <c r="AW86" s="1021">
        <f>(VLOOKUP(YEAR($A86),'NY East Load Projections'!$A$4:$EO$14,((MONTH($A86)-1)*12)+VLOOKUP(AW$4,$DE$6:$DF$17,2)+1))*(VLOOKUP($A86,SatSunCurve,3))*(INDEX(DailyScalarsTable,AW$5/100,MONTH($A86)))*$C86</f>
        <v>-14359.361210090801</v>
      </c>
      <c r="AX86" s="1021">
        <f>(VLOOKUP(YEAR($A86),'NY East Load Projections'!$A$4:$EO$14,((MONTH($A86)-1)*12)+VLOOKUP(AX$4,$DE$6:$DF$17,2)+1))*(VLOOKUP($A86,SatSunCurve,3))*(INDEX(DailyScalarsTable,AX$5/100,MONTH($A86)))*$C86</f>
        <v>-14007.097991250612</v>
      </c>
      <c r="AY86" s="1021">
        <f>(VLOOKUP(YEAR($A86),'NY East Load Projections'!$A$4:$EO$14,((MONTH($A86)-1)*12)+VLOOKUP(AY$4,$DE$6:$DF$17,2)+1))*(VLOOKUP($A86,SatSunCurve,3))*(INDEX(DailyScalarsTable,AY$5/100,MONTH($A86)))*$C86</f>
        <v>-11472.656832542523</v>
      </c>
      <c r="AZ86" s="1021">
        <f>(VLOOKUP(YEAR($A86),'NY East Load Projections'!$A$4:$EO$14,((MONTH($A86)-1)*12)+VLOOKUP(AZ$4,$DE$6:$DF$17,2)+1))*(VLOOKUP($A86,SatSunCurve,3))*(INDEX(DailyScalarsTable,AZ$5/100,MONTH($A86)))*$C86</f>
        <v>-14993.435004003135</v>
      </c>
      <c r="BA86" s="1021">
        <f>(VLOOKUP(YEAR($A86),'NY East Load Projections'!$A$4:$EO$14,((MONTH($A86)-1)*12)+VLOOKUP(BA$4,$DE$6:$DF$17,2)+1))*(VLOOKUP($A86,SatSunCurve,3))*(INDEX(DailyScalarsTable,BA$5/100,MONTH($A86)))*$C86</f>
        <v>-14485.830075703856</v>
      </c>
      <c r="BB86" s="1021">
        <f>(VLOOKUP(YEAR($A86),'NY East Load Projections'!$A$4:$EO$14,((MONTH($A86)-1)*12)+VLOOKUP(BB$4,$DE$6:$DF$17,2)+1))*(VLOOKUP($A86,SatSunCurve,3))*(INDEX(DailyScalarsTable,BB$5/100,MONTH($A86)))*$C86</f>
        <v>-11025.148571231066</v>
      </c>
      <c r="BC86" s="1021">
        <f>(VLOOKUP(YEAR($A86),'NY East Load Projections'!$A$4:$EO$14,((MONTH($A86)-1)*12)+VLOOKUP(BC$4,$DE$6:$DF$17,2)+1))*(VLOOKUP($A86,SatSunCurve,3))*(INDEX(DailyScalarsTable,BC$5/100,MONTH($A86)))*$C86</f>
        <v>-8736.977227411282</v>
      </c>
      <c r="BD86" s="1021">
        <f>(VLOOKUP(YEAR($A86),'NY East Load Projections'!$A$4:$EO$14,((MONTH($A86)-1)*12)+VLOOKUP(BD$4,$DE$6:$DF$17,2)+1))*(VLOOKUP($A86,CURVES!$D$9:$T$261,7))*(INDEX(DailyScalarsTable,BD$5/100,MONTH($A86)))*$C86</f>
        <v>-11482.3586779588</v>
      </c>
      <c r="BE86" s="1021"/>
      <c r="BF86" s="1021">
        <f>(VLOOKUP(YEAR($A86),'NY East Load Projections'!$A$4:$EO$14,((MONTH($A86)-1)*12)+VLOOKUP(BF$4,$DE$6:$DF$17,2)+1))*(VLOOKUP($A86,CURVES!$D$9:$T$261,7))*(INDEX(DailyScalarsTable,BF$5/100,MONTH($A86)))*$D86</f>
        <v>-9787.2627407976343</v>
      </c>
      <c r="BG86" s="1021">
        <f>(VLOOKUP(YEAR($A86),'NY East Load Projections'!$A$4:$EO$14,((MONTH($A86)-1)*12)+VLOOKUP(BG$4,$DE$6:$DF$17,2)+1))*(VLOOKUP($A86,CURVES!$D$9:$T$261,7))*(INDEX(DailyScalarsTable,BG$5/100,MONTH($A86)))*$D86</f>
        <v>-8586.5393717843617</v>
      </c>
      <c r="BH86" s="1021">
        <f>(VLOOKUP(YEAR($A86),'NY East Load Projections'!$A$4:$EO$14,((MONTH($A86)-1)*12)+VLOOKUP(BH$4,$DE$6:$DF$17,2)+1))*(VLOOKUP($A86,CURVES!$D$9:$T$261,7))*(INDEX(DailyScalarsTable,BH$5/100,MONTH($A86)))*$D86</f>
        <v>-8052.0558845424293</v>
      </c>
      <c r="BI86" s="1021">
        <f>(VLOOKUP(YEAR($A86),'NY East Load Projections'!$A$4:$EO$14,((MONTH($A86)-1)*12)+VLOOKUP(BI$4,$DE$6:$DF$17,2)+1))*(VLOOKUP($A86,CURVES!$D$9:$T$261,7))*(INDEX(DailyScalarsTable,BI$5/100,MONTH($A86)))*$D86</f>
        <v>-8171.3824305313283</v>
      </c>
      <c r="BJ86" s="1021">
        <f>(VLOOKUP(YEAR($A86),'NY East Load Projections'!$A$4:$EO$14,((MONTH($A86)-1)*12)+VLOOKUP(BJ$4,$DE$6:$DF$17,2)+1))*(VLOOKUP($A86,CURVES!$D$9:$T$261,7))*(INDEX(DailyScalarsTable,BJ$5/100,MONTH($A86)))*$D86</f>
        <v>-8891.792380537232</v>
      </c>
      <c r="BK86" s="1021">
        <f>(VLOOKUP(YEAR($A86),'NY East Load Projections'!$A$4:$EO$14,((MONTH($A86)-1)*12)+VLOOKUP(BK$4,$DE$6:$DF$17,2)+1))*(VLOOKUP($A86,CURVES!$D$9:$T$261,7))*(INDEX(DailyScalarsTable,BK$5/100,MONTH($A86)))*$D86</f>
        <v>-10289.825671137336</v>
      </c>
      <c r="BL86" s="1021">
        <f>(VLOOKUP(YEAR($A86),'NY East Load Projections'!$A$4:$EO$14,((MONTH($A86)-1)*12)+VLOOKUP(BL$4,$DE$6:$DF$17,2)+1))*(VLOOKUP($A86,CURVES!$D$9:$T$261,7))*(INDEX(DailyScalarsTable,BL$5/100,MONTH($A86)))*$D86</f>
        <v>-13992.860086024355</v>
      </c>
      <c r="BM86" s="1021">
        <f>(VLOOKUP(YEAR($A86),'NY East Load Projections'!$A$4:$EO$14,((MONTH($A86)-1)*12)+VLOOKUP(BM$4,$DE$6:$DF$17,2)+1))*(VLOOKUP($A86,SatSunCurve,7))*(INDEX(DailyScalarsTable,BM$5/100,MONTH($A86)))*$D86</f>
        <v>-9329.5295547097594</v>
      </c>
      <c r="BN86" s="1021">
        <f>(VLOOKUP(YEAR($A86),'NY East Load Projections'!$A$4:$EO$14,((MONTH($A86)-1)*12)+VLOOKUP(BN$4,$DE$6:$DF$17,2)+1))*(VLOOKUP($A86,SatSunCurve,7))*(INDEX(DailyScalarsTable,BN$5/100,MONTH($A86)))*$D86</f>
        <v>-10137.282405412527</v>
      </c>
      <c r="BO86" s="1021">
        <f>(VLOOKUP(YEAR($A86),'NY East Load Projections'!$A$4:$EO$14,((MONTH($A86)-1)*12)+VLOOKUP(BO$4,$DE$6:$DF$17,2)+1))*(VLOOKUP($A86,SatSunCurve,7))*(INDEX(DailyScalarsTable,BO$5/100,MONTH($A86)))*$D86</f>
        <v>-12654.502327944108</v>
      </c>
      <c r="BP86" s="1021">
        <f>(VLOOKUP(YEAR($A86),'NY East Load Projections'!$A$4:$EO$14,((MONTH($A86)-1)*12)+VLOOKUP(BP$4,$DE$6:$DF$17,2)+1))*(VLOOKUP($A86,SatSunCurve,7))*(INDEX(DailyScalarsTable,BP$5/100,MONTH($A86)))*$D86</f>
        <v>-13514.42217725614</v>
      </c>
      <c r="BQ86" s="1021">
        <f>(VLOOKUP(YEAR($A86),'NY East Load Projections'!$A$4:$EO$14,((MONTH($A86)-1)*12)+VLOOKUP(BQ$4,$DE$6:$DF$17,2)+1))*(VLOOKUP($A86,SatSunCurve,7))*(INDEX(DailyScalarsTable,BQ$5/100,MONTH($A86)))*$D86</f>
        <v>-14399.748749388757</v>
      </c>
      <c r="BR86" s="1021">
        <f>(VLOOKUP(YEAR($A86),'NY East Load Projections'!$A$4:$EO$14,((MONTH($A86)-1)*12)+VLOOKUP(BR$4,$DE$6:$DF$17,2)+1))*(VLOOKUP($A86,SatSunCurve,7))*(INDEX(DailyScalarsTable,BR$5/100,MONTH($A86)))*$D86</f>
        <v>-13972.156122066792</v>
      </c>
      <c r="BS86" s="1021">
        <f>(VLOOKUP(YEAR($A86),'NY East Load Projections'!$A$4:$EO$14,((MONTH($A86)-1)*12)+VLOOKUP(BS$4,$DE$6:$DF$17,2)+1))*(VLOOKUP($A86,SatSunCurve,7))*(INDEX(DailyScalarsTable,BS$5/100,MONTH($A86)))*$D86</f>
        <v>-15125.305220701555</v>
      </c>
      <c r="BT86" s="1021">
        <f>(VLOOKUP(YEAR($A86),'NY East Load Projections'!$A$4:$EO$14,((MONTH($A86)-1)*12)+VLOOKUP(BT$4,$DE$6:$DF$17,2)+1))*(VLOOKUP($A86,SatSunCurve,7))*(INDEX(DailyScalarsTable,BT$5/100,MONTH($A86)))*$D86</f>
        <v>-14886.653494201501</v>
      </c>
      <c r="BU86" s="1021">
        <f>(VLOOKUP(YEAR($A86),'NY East Load Projections'!$A$4:$EO$14,((MONTH($A86)-1)*12)+VLOOKUP(BU$4,$DE$6:$DF$17,2)+1))*(VLOOKUP($A86,SatSunCurve,7))*(INDEX(DailyScalarsTable,BU$5/100,MONTH($A86)))*$D86</f>
        <v>-14421.382901361034</v>
      </c>
      <c r="BV86" s="1021">
        <f>(VLOOKUP(YEAR($A86),'NY East Load Projections'!$A$4:$EO$14,((MONTH($A86)-1)*12)+VLOOKUP(BV$4,$DE$6:$DF$17,2)+1))*(VLOOKUP($A86,SatSunCurve,7))*(INDEX(DailyScalarsTable,BV$5/100,MONTH($A86)))*$D86</f>
        <v>-14659.209178936737</v>
      </c>
      <c r="BW86" s="1021">
        <f>(VLOOKUP(YEAR($A86),'NY East Load Projections'!$A$4:$EO$14,((MONTH($A86)-1)*12)+VLOOKUP(BW$4,$DE$6:$DF$17,2)+1))*(VLOOKUP($A86,SatSunCurve,7))*(INDEX(DailyScalarsTable,BW$5/100,MONTH($A86)))*$D86</f>
        <v>-14299.590102887933</v>
      </c>
      <c r="BX86" s="1021">
        <f>(VLOOKUP(YEAR($A86),'NY East Load Projections'!$A$4:$EO$14,((MONTH($A86)-1)*12)+VLOOKUP(BX$4,$DE$6:$DF$17,2)+1))*(VLOOKUP($A86,SatSunCurve,7))*(INDEX(DailyScalarsTable,BX$5/100,MONTH($A86)))*$D86</f>
        <v>-11712.225487315753</v>
      </c>
      <c r="BY86" s="1021">
        <f>(VLOOKUP(YEAR($A86),'NY East Load Projections'!$A$4:$EO$14,((MONTH($A86)-1)*12)+VLOOKUP(BY$4,$DE$6:$DF$17,2)+1))*(VLOOKUP($A86,SatSunCurve,7))*(INDEX(DailyScalarsTable,BY$5/100,MONTH($A86)))*$D86</f>
        <v>-15306.523515824581</v>
      </c>
      <c r="BZ86" s="1021">
        <f>(VLOOKUP(YEAR($A86),'NY East Load Projections'!$A$4:$EO$14,((MONTH($A86)-1)*12)+VLOOKUP(BZ$4,$DE$6:$DF$17,2)+1))*(VLOOKUP($A86,SatSunCurve,7))*(INDEX(DailyScalarsTable,BZ$5/100,MONTH($A86)))*$D86</f>
        <v>-14788.318930305191</v>
      </c>
      <c r="CA86" s="1021">
        <f>(VLOOKUP(YEAR($A86),'NY East Load Projections'!$A$4:$EO$14,((MONTH($A86)-1)*12)+VLOOKUP(CA$4,$DE$6:$DF$17,2)+1))*(VLOOKUP($A86,SatSunCurve,7))*(INDEX(DailyScalarsTable,CA$5/100,MONTH($A86)))*$D86</f>
        <v>-11255.372489756437</v>
      </c>
      <c r="CB86" s="1021">
        <f>(VLOOKUP(YEAR($A86),'NY East Load Projections'!$A$4:$EO$14,((MONTH($A86)-1)*12)+VLOOKUP(CB$4,$DE$6:$DF$17,2)+1))*(VLOOKUP($A86,SatSunCurve,7))*(INDEX(DailyScalarsTable,CB$5/100,MONTH($A86)))*$D86</f>
        <v>-8919.4202231102445</v>
      </c>
      <c r="CC86" s="1021">
        <f>(VLOOKUP(YEAR($A86),'NY East Load Projections'!$A$4:$EO$14,((MONTH($A86)-1)*12)+VLOOKUP(CC$4,$DE$6:$DF$17,2)+1))*(VLOOKUP($A86,CURVES!$D$9:$T$261,7))*(INDEX(DailyScalarsTable,CC$5/100,MONTH($A86)))*$D86</f>
        <v>-11482.3586779588</v>
      </c>
      <c r="CE86" s="1021">
        <f>(VLOOKUP(YEAR($A86),'NY East Load Projections'!$A$4:$EO$14,((MONTH($A86)-1)*12)+VLOOKUP(CE$4,$DE$6:$DF$17,2)+1))*(VLOOKUP($A86,CURVES!$D$9:$T$261,7))*(INDEX(DailyScalarsTable,CE$5/100,MONTH($A86)))*$E86</f>
        <v>-1957.4525481595269</v>
      </c>
      <c r="CF86" s="1021">
        <f>(VLOOKUP(YEAR($A86),'NY East Load Projections'!$A$4:$EO$14,((MONTH($A86)-1)*12)+VLOOKUP(CF$4,$DE$6:$DF$17,2)+1))*(VLOOKUP($A86,CURVES!$D$9:$T$261,7))*(INDEX(DailyScalarsTable,CF$5/100,MONTH($A86)))*$E86</f>
        <v>-1717.3078743568722</v>
      </c>
      <c r="CG86" s="1021">
        <f>(VLOOKUP(YEAR($A86),'NY East Load Projections'!$A$4:$EO$14,((MONTH($A86)-1)*12)+VLOOKUP(CG$4,$DE$6:$DF$17,2)+1))*(VLOOKUP($A86,CURVES!$D$9:$T$261,7))*(INDEX(DailyScalarsTable,CG$5/100,MONTH($A86)))*$E86</f>
        <v>-1610.4111769084859</v>
      </c>
      <c r="CH86" s="1021">
        <f>(VLOOKUP(YEAR($A86),'NY East Load Projections'!$A$4:$EO$14,((MONTH($A86)-1)*12)+VLOOKUP(CH$4,$DE$6:$DF$17,2)+1))*(VLOOKUP($A86,CURVES!$D$9:$T$261,7))*(INDEX(DailyScalarsTable,CH$5/100,MONTH($A86)))*$E86</f>
        <v>-1634.2764861062656</v>
      </c>
      <c r="CI86" s="1021">
        <f>(VLOOKUP(YEAR($A86),'NY East Load Projections'!$A$4:$EO$14,((MONTH($A86)-1)*12)+VLOOKUP(CI$4,$DE$6:$DF$17,2)+1))*(VLOOKUP($A86,CURVES!$D$9:$T$261,7))*(INDEX(DailyScalarsTable,CI$5/100,MONTH($A86)))*$E86</f>
        <v>-1778.3584761074464</v>
      </c>
      <c r="CJ86" s="1021">
        <f>(VLOOKUP(YEAR($A86),'NY East Load Projections'!$A$4:$EO$14,((MONTH($A86)-1)*12)+VLOOKUP(CJ$4,$DE$6:$DF$17,2)+1))*(VLOOKUP($A86,CURVES!$D$9:$T$261,7))*(INDEX(DailyScalarsTable,CJ$5/100,MONTH($A86)))*$E86</f>
        <v>-2057.9651342274674</v>
      </c>
      <c r="CK86" s="1021">
        <f>(VLOOKUP(YEAR($A86),'NY East Load Projections'!$A$4:$EO$14,((MONTH($A86)-1)*12)+VLOOKUP(CK$4,$DE$6:$DF$17,2)+1))*(VLOOKUP($A86,CURVES!$D$9:$T$261,7))*(INDEX(DailyScalarsTable,CK$5/100,MONTH($A86)))*$E86</f>
        <v>-2798.5720172048709</v>
      </c>
      <c r="CL86" s="1021">
        <f>(VLOOKUP(YEAR($A86),'NY East Load Projections'!$A$4:$EO$14,((MONTH($A86)-1)*12)+VLOOKUP(CL$4,$DE$6:$DF$17,2)+1))*(VLOOKUP($A86,SatSunCurve,7))*(INDEX(DailyScalarsTable,CL$5/100,MONTH($A86)))*$E86</f>
        <v>-1865.9059109419518</v>
      </c>
      <c r="CM86" s="1021">
        <f>(VLOOKUP(YEAR($A86),'NY East Load Projections'!$A$4:$EO$14,((MONTH($A86)-1)*12)+VLOOKUP(CM$4,$DE$6:$DF$17,2)+1))*(VLOOKUP($A86,SatSunCurve,7))*(INDEX(DailyScalarsTable,CM$5/100,MONTH($A86)))*$E86</f>
        <v>-2027.4564810825052</v>
      </c>
      <c r="CN86" s="1021">
        <f>(VLOOKUP(YEAR($A86),'NY East Load Projections'!$A$4:$EO$14,((MONTH($A86)-1)*12)+VLOOKUP(CN$4,$DE$6:$DF$17,2)+1))*(VLOOKUP($A86,SatSunCurve,7))*(INDEX(DailyScalarsTable,CN$5/100,MONTH($A86)))*$E86</f>
        <v>-2530.9004655888216</v>
      </c>
      <c r="CO86" s="1021">
        <f>(VLOOKUP(YEAR($A86),'NY East Load Projections'!$A$4:$EO$14,((MONTH($A86)-1)*12)+VLOOKUP(CO$4,$DE$6:$DF$17,2)+1))*(VLOOKUP($A86,SatSunCurve,7))*(INDEX(DailyScalarsTable,CO$5/100,MONTH($A86)))*$E86</f>
        <v>-2702.884435451228</v>
      </c>
      <c r="CP86" s="1021">
        <f>(VLOOKUP(YEAR($A86),'NY East Load Projections'!$A$4:$EO$14,((MONTH($A86)-1)*12)+VLOOKUP(CP$4,$DE$6:$DF$17,2)+1))*(VLOOKUP($A86,SatSunCurve,7))*(INDEX(DailyScalarsTable,CP$5/100,MONTH($A86)))*$E86</f>
        <v>-2879.9497498777514</v>
      </c>
      <c r="CQ86" s="1021">
        <f>(VLOOKUP(YEAR($A86),'NY East Load Projections'!$A$4:$EO$14,((MONTH($A86)-1)*12)+VLOOKUP(CQ$4,$DE$6:$DF$17,2)+1))*(VLOOKUP($A86,SatSunCurve,7))*(INDEX(DailyScalarsTable,CQ$5/100,MONTH($A86)))*$E86</f>
        <v>-2794.4312244133584</v>
      </c>
      <c r="CR86" s="1021">
        <f>(VLOOKUP(YEAR($A86),'NY East Load Projections'!$A$4:$EO$14,((MONTH($A86)-1)*12)+VLOOKUP(CR$4,$DE$6:$DF$17,2)+1))*(VLOOKUP($A86,SatSunCurve,7))*(INDEX(DailyScalarsTable,CR$5/100,MONTH($A86)))*$E86</f>
        <v>-3025.061044140311</v>
      </c>
      <c r="CS86" s="1021">
        <f>(VLOOKUP(YEAR($A86),'NY East Load Projections'!$A$4:$EO$14,((MONTH($A86)-1)*12)+VLOOKUP(CS$4,$DE$6:$DF$17,2)+1))*(VLOOKUP($A86,SatSunCurve,7))*(INDEX(DailyScalarsTable,CS$5/100,MONTH($A86)))*$E86</f>
        <v>-2977.3306988403001</v>
      </c>
      <c r="CT86" s="1021">
        <f>(VLOOKUP(YEAR($A86),'NY East Load Projections'!$A$4:$EO$14,((MONTH($A86)-1)*12)+VLOOKUP(CT$4,$DE$6:$DF$17,2)+1))*(VLOOKUP($A86,SatSunCurve,7))*(INDEX(DailyScalarsTable,CT$5/100,MONTH($A86)))*$E86</f>
        <v>-2884.276580272207</v>
      </c>
      <c r="CU86" s="1021">
        <f>(VLOOKUP(YEAR($A86),'NY East Load Projections'!$A$4:$EO$14,((MONTH($A86)-1)*12)+VLOOKUP(CU$4,$DE$6:$DF$17,2)+1))*(VLOOKUP($A86,SatSunCurve,7))*(INDEX(DailyScalarsTable,CU$5/100,MONTH($A86)))*$E86</f>
        <v>-2931.8418357873475</v>
      </c>
      <c r="CV86" s="1021">
        <f>(VLOOKUP(YEAR($A86),'NY East Load Projections'!$A$4:$EO$14,((MONTH($A86)-1)*12)+VLOOKUP(CV$4,$DE$6:$DF$17,2)+1))*(VLOOKUP($A86,SatSunCurve,7))*(INDEX(DailyScalarsTable,CV$5/100,MONTH($A86)))*$E86</f>
        <v>-2859.9180205775865</v>
      </c>
      <c r="CW86" s="1021">
        <f>(VLOOKUP(YEAR($A86),'NY East Load Projections'!$A$4:$EO$14,((MONTH($A86)-1)*12)+VLOOKUP(CW$4,$DE$6:$DF$17,2)+1))*(VLOOKUP($A86,SatSunCurve,7))*(INDEX(DailyScalarsTable,CW$5/100,MONTH($A86)))*$E86</f>
        <v>-2342.4450974631504</v>
      </c>
      <c r="CX86" s="1021">
        <f>(VLOOKUP(YEAR($A86),'NY East Load Projections'!$A$4:$EO$14,((MONTH($A86)-1)*12)+VLOOKUP(CX$4,$DE$6:$DF$17,2)+1))*(VLOOKUP($A86,SatSunCurve,7))*(INDEX(DailyScalarsTable,CX$5/100,MONTH($A86)))*$E86</f>
        <v>-3061.3047031649162</v>
      </c>
      <c r="CY86" s="1021">
        <f>(VLOOKUP(YEAR($A86),'NY East Load Projections'!$A$4:$EO$14,((MONTH($A86)-1)*12)+VLOOKUP(CY$4,$DE$6:$DF$17,2)+1))*(VLOOKUP($A86,SatSunCurve,7))*(INDEX(DailyScalarsTable,CY$5/100,MONTH($A86)))*$E86</f>
        <v>-2957.6637860610381</v>
      </c>
      <c r="CZ86" s="1021">
        <f>(VLOOKUP(YEAR($A86),'NY East Load Projections'!$A$4:$EO$14,((MONTH($A86)-1)*12)+VLOOKUP(CZ$4,$DE$6:$DF$17,2)+1))*(VLOOKUP($A86,SatSunCurve,7))*(INDEX(DailyScalarsTable,CZ$5/100,MONTH($A86)))*$E86</f>
        <v>-2251.0744979512874</v>
      </c>
      <c r="DA86" s="1021">
        <f>(VLOOKUP(YEAR($A86),'NY East Load Projections'!$A$4:$EO$14,((MONTH($A86)-1)*12)+VLOOKUP(DA$4,$DE$6:$DF$17,2)+1))*(VLOOKUP($A86,SatSunCurve,7))*(INDEX(DailyScalarsTable,DA$5/100,MONTH($A86)))*$E86</f>
        <v>-1783.884044622049</v>
      </c>
      <c r="DB86" s="1021">
        <f>(VLOOKUP(YEAR($A86),'NY East Load Projections'!$A$4:$EO$14,((MONTH($A86)-1)*12)+VLOOKUP(DB$4,$DE$6:$DF$17,2)+1))*(VLOOKUP($A86,CURVES!$D$9:$T$261,7))*(INDEX(DailyScalarsTable,DB$5/100,MONTH($A86)))*$E86</f>
        <v>-2296.4717355917601</v>
      </c>
      <c r="DH86" s="1032">
        <f t="shared" si="2"/>
        <v>-2014864.6755325906</v>
      </c>
      <c r="DI86">
        <f ca="1">CALC!J106</f>
        <v>0.57531267715270051</v>
      </c>
      <c r="DJ86" s="1029">
        <f t="shared" ca="1" si="3"/>
        <v>-1159177.1905810619</v>
      </c>
    </row>
    <row r="87" spans="1:114" x14ac:dyDescent="0.25">
      <c r="A87" s="244">
        <v>39356</v>
      </c>
      <c r="B87" s="13">
        <v>23</v>
      </c>
      <c r="C87" s="210">
        <v>4</v>
      </c>
      <c r="D87" s="210">
        <v>4</v>
      </c>
      <c r="E87" s="210">
        <v>0</v>
      </c>
      <c r="F87" s="13">
        <v>31</v>
      </c>
      <c r="H87" s="1021">
        <f>(VLOOKUP(YEAR($A87),'NY East Load Projections'!$A$4:$EO$14,((MONTH($A87)-1)*12)+VLOOKUP(H$4,$DE$6:$DF$17,2)+1))*(VLOOKUP($A87,CURVES!$D$9:$K$261,7))*(INDEX(DailyScalarsTable,H$5/100,MONTH($A87)))*$B87</f>
        <v>-38195.43237678038</v>
      </c>
      <c r="I87" s="1021">
        <f>(VLOOKUP(YEAR($A87),'NY East Load Projections'!$A$4:$EO$14,((MONTH($A87)-1)*12)+VLOOKUP(I$4,$DE$6:$DF$17,2)+1))*(VLOOKUP($A87,CURVES!$D$9:$K$261,7))*(INDEX(DailyScalarsTable,I$5/100,MONTH($A87)))*$B87</f>
        <v>-36252.473573411771</v>
      </c>
      <c r="J87" s="1021">
        <f>(VLOOKUP(YEAR($A87),'NY East Load Projections'!$A$4:$EO$14,((MONTH($A87)-1)*12)+VLOOKUP(J$4,$DE$6:$DF$17,2)+1))*(VLOOKUP($A87,CURVES!$D$9:$K$261,7))*(INDEX(DailyScalarsTable,J$5/100,MONTH($A87)))*$B87</f>
        <v>-34824.41896638101</v>
      </c>
      <c r="K87" s="1021">
        <f>(VLOOKUP(YEAR($A87),'NY East Load Projections'!$A$4:$EO$14,((MONTH($A87)-1)*12)+VLOOKUP(K$4,$DE$6:$DF$17,2)+1))*(VLOOKUP($A87,CURVES!$D$9:$K$261,7))*(INDEX(DailyScalarsTable,K$5/100,MONTH($A87)))*$B87</f>
        <v>-34844.532411550455</v>
      </c>
      <c r="L87" s="1021">
        <f>(VLOOKUP(YEAR($A87),'NY East Load Projections'!$A$4:$EO$14,((MONTH($A87)-1)*12)+VLOOKUP(L$4,$DE$6:$DF$17,2)+1))*(VLOOKUP($A87,CURVES!$D$9:$K$261,7))*(INDEX(DailyScalarsTable,L$5/100,MONTH($A87)))*$B87</f>
        <v>-40556.832664729765</v>
      </c>
      <c r="M87" s="1021">
        <f>(VLOOKUP(YEAR($A87),'NY East Load Projections'!$A$4:$EO$14,((MONTH($A87)-1)*12)+VLOOKUP(M$4,$DE$6:$DF$17,2)+1))*(VLOOKUP($A87,CURVES!$D$9:$K$261,7))*(INDEX(DailyScalarsTable,M$5/100,MONTH($A87)))*$B87</f>
        <v>-46593.300257245937</v>
      </c>
      <c r="N87" s="1021">
        <f>(VLOOKUP(YEAR($A87),'NY East Load Projections'!$A$4:$EO$14,((MONTH($A87)-1)*12)+VLOOKUP(N$4,$DE$6:$DF$17,2)+1))*(VLOOKUP($A87,CURVES!$D$9:$K$261,7))*(INDEX(DailyScalarsTable,N$5/100,MONTH($A87)))*$B87</f>
        <v>-60233.353207413013</v>
      </c>
      <c r="O87" s="1021">
        <f>(VLOOKUP(YEAR($A87),'NY East Load Projections'!$A$4:$EO$14,((MONTH($A87)-1)*12)+VLOOKUP(O$4,$DE$6:$DF$17,2)+1))*(VLOOKUP($A87,CURVES!$D$9:$K$261,3))*(INDEX(DailyScalarsTable,O$5/100,MONTH($A87)))*$B87</f>
        <v>-72596.294170835943</v>
      </c>
      <c r="P87" s="1021">
        <f>(VLOOKUP(YEAR($A87),'NY East Load Projections'!$A$4:$EO$14,((MONTH($A87)-1)*12)+VLOOKUP(P$4,$DE$6:$DF$17,2)+1))*(VLOOKUP($A87,CURVES!$D$9:$K$261,3))*(INDEX(DailyScalarsTable,P$5/100,MONTH($A87)))*$B87</f>
        <v>-83373.998855573809</v>
      </c>
      <c r="Q87" s="1021">
        <f>(VLOOKUP(YEAR($A87),'NY East Load Projections'!$A$4:$EO$14,((MONTH($A87)-1)*12)+VLOOKUP(Q$4,$DE$6:$DF$17,2)+1))*(VLOOKUP($A87,CURVES!$D$9:$K$261,3))*(INDEX(DailyScalarsTable,Q$5/100,MONTH($A87)))*$B87</f>
        <v>-83116.353618072026</v>
      </c>
      <c r="R87" s="1021">
        <f>(VLOOKUP(YEAR($A87),'NY East Load Projections'!$A$4:$EO$14,((MONTH($A87)-1)*12)+VLOOKUP(R$4,$DE$6:$DF$17,2)+1))*(VLOOKUP($A87,CURVES!$D$9:$K$261,3))*(INDEX(DailyScalarsTable,R$5/100,MONTH($A87)))*$B87</f>
        <v>-82645.230898068796</v>
      </c>
      <c r="S87" s="1021">
        <f>(VLOOKUP(YEAR($A87),'NY East Load Projections'!$A$4:$EO$14,((MONTH($A87)-1)*12)+VLOOKUP(S$4,$DE$6:$DF$17,2)+1))*(VLOOKUP($A87,CURVES!$D$9:$K$261,3))*(INDEX(DailyScalarsTable,S$5/100,MONTH($A87)))*$B87</f>
        <v>-69740.885145479973</v>
      </c>
      <c r="T87" s="1021">
        <f>(VLOOKUP(YEAR($A87),'NY East Load Projections'!$A$4:$EO$14,((MONTH($A87)-1)*12)+VLOOKUP(T$4,$DE$6:$DF$17,2)+1))*(VLOOKUP($A87,CURVES!$D$9:$K$261,3))*(INDEX(DailyScalarsTable,T$5/100,MONTH($A87)))*$B87</f>
        <v>-67256.076453961461</v>
      </c>
      <c r="U87" s="1021">
        <f>(VLOOKUP(YEAR($A87),'NY East Load Projections'!$A$4:$EO$14,((MONTH($A87)-1)*12)+VLOOKUP(U$4,$DE$6:$DF$17,2)+1))*(VLOOKUP($A87,CURVES!$D$9:$K$261,3))*(INDEX(DailyScalarsTable,U$5/100,MONTH($A87)))*$B87</f>
        <v>-65389.321663071649</v>
      </c>
      <c r="V87" s="1021">
        <f>(VLOOKUP(YEAR($A87),'NY East Load Projections'!$A$4:$EO$14,((MONTH($A87)-1)*12)+VLOOKUP(V$4,$DE$6:$DF$17,2)+1))*(VLOOKUP($A87,CURVES!$D$9:$K$261,3))*(INDEX(DailyScalarsTable,V$5/100,MONTH($A87)))*$B87</f>
        <v>-63870.221610566172</v>
      </c>
      <c r="W87" s="1021">
        <f>(VLOOKUP(YEAR($A87),'NY East Load Projections'!$A$4:$EO$14,((MONTH($A87)-1)*12)+VLOOKUP(W$4,$DE$6:$DF$17,2)+1))*(VLOOKUP($A87,CURVES!$D$9:$K$261,3))*(INDEX(DailyScalarsTable,W$5/100,MONTH($A87)))*$B87</f>
        <v>-63431.87433173375</v>
      </c>
      <c r="X87" s="1021">
        <f>(VLOOKUP(YEAR($A87),'NY East Load Projections'!$A$4:$EO$14,((MONTH($A87)-1)*12)+VLOOKUP(X$4,$DE$6:$DF$17,2)+1))*(VLOOKUP($A87,CURVES!$D$9:$K$261,3))*(INDEX(DailyScalarsTable,X$5/100,MONTH($A87)))*$B87</f>
        <v>-64106.951848374883</v>
      </c>
      <c r="Y87" s="1021">
        <f>(VLOOKUP(YEAR($A87),'NY East Load Projections'!$A$4:$EO$14,((MONTH($A87)-1)*12)+VLOOKUP(Y$4,$DE$6:$DF$17,2)+1))*(VLOOKUP($A87,CURVES!$D$9:$K$261,3))*(INDEX(DailyScalarsTable,Y$5/100,MONTH($A87)))*$B87</f>
        <v>-86482.411098510231</v>
      </c>
      <c r="Z87" s="1021">
        <f>(VLOOKUP(YEAR($A87),'NY East Load Projections'!$A$4:$EO$14,((MONTH($A87)-1)*12)+VLOOKUP(Z$4,$DE$6:$DF$17,2)+1))*(VLOOKUP($A87,CURVES!$D$9:$K$261,3))*(INDEX(DailyScalarsTable,Z$5/100,MONTH($A87)))*$B87</f>
        <v>-87159.800203023187</v>
      </c>
      <c r="AA87" s="1021">
        <f>(VLOOKUP(YEAR($A87),'NY East Load Projections'!$A$4:$EO$14,((MONTH($A87)-1)*12)+VLOOKUP(AA$4,$DE$6:$DF$17,2)+1))*(VLOOKUP($A87,CURVES!$D$9:$K$261,3))*(INDEX(DailyScalarsTable,AA$5/100,MONTH($A87)))*$B87</f>
        <v>-83354.891190439797</v>
      </c>
      <c r="AB87" s="1021">
        <f>(VLOOKUP(YEAR($A87),'NY East Load Projections'!$A$4:$EO$14,((MONTH($A87)-1)*12)+VLOOKUP(AB$4,$DE$6:$DF$17,2)+1))*(VLOOKUP($A87,CURVES!$D$9:$K$261,3))*(INDEX(DailyScalarsTable,AB$5/100,MONTH($A87)))*$B87</f>
        <v>-69804.020261722064</v>
      </c>
      <c r="AC87" s="1021">
        <f>(VLOOKUP(YEAR($A87),'NY East Load Projections'!$A$4:$EO$14,((MONTH($A87)-1)*12)+VLOOKUP(AC$4,$DE$6:$DF$17,2)+1))*(VLOOKUP($A87,CURVES!$D$9:$K$261,3))*(INDEX(DailyScalarsTable,AC$5/100,MONTH($A87)))*$B87</f>
        <v>-57905.533507408516</v>
      </c>
      <c r="AD87" s="1021">
        <f>(VLOOKUP(YEAR($A87),'NY East Load Projections'!$A$4:$EO$14,((MONTH($A87)-1)*12)+VLOOKUP(AD$4,$DE$6:$DF$17,2)+1))*(VLOOKUP($A87,CURVES!$D$9:$K$261,3))*(INDEX(DailyScalarsTable,AD$5/100,MONTH($A87)))*$B87</f>
        <v>-49370.230440510699</v>
      </c>
      <c r="AE87" s="1021">
        <f>(VLOOKUP(YEAR($A87),'NY East Load Projections'!$A$4:$EO$14,((MONTH($A87)-1)*12)+VLOOKUP(AE$4,$DE$6:$DF$17,2)+1))*(VLOOKUP($A87,CURVES!$D$9:$K$261,7))*(INDEX(DailyScalarsTable,AE$5/100,MONTH($A87)))*$B87</f>
        <v>-43910.013388007035</v>
      </c>
      <c r="AF87" s="1021"/>
      <c r="AG87" s="1021">
        <f>(VLOOKUP(YEAR($A87),'NY East Load Projections'!$A$4:$EO$14,((MONTH($A87)-1)*12)+VLOOKUP(AG$4,$DE$6:$DF$17,2)+1))*(VLOOKUP($A87,CURVES!$D$9:$T$261,7))*(INDEX(DailyScalarsTable,AG$5/100,MONTH($A87)))*$C87</f>
        <v>-7055.0082202589701</v>
      </c>
      <c r="AH87" s="1021">
        <f>(VLOOKUP(YEAR($A87),'NY East Load Projections'!$A$4:$EO$14,((MONTH($A87)-1)*12)+VLOOKUP(AH$4,$DE$6:$DF$17,2)+1))*(VLOOKUP($A87,CURVES!$D$9:$T$261,7))*(INDEX(DailyScalarsTable,AH$5/100,MONTH($A87)))*$C87</f>
        <v>-6696.1278652947694</v>
      </c>
      <c r="AI87" s="1021">
        <f>(VLOOKUP(YEAR($A87),'NY East Load Projections'!$A$4:$EO$14,((MONTH($A87)-1)*12)+VLOOKUP(AI$4,$DE$6:$DF$17,2)+1))*(VLOOKUP($A87,CURVES!$D$9:$T$261,7))*(INDEX(DailyScalarsTable,AI$5/100,MONTH($A87)))*$C87</f>
        <v>-6432.3545195136285</v>
      </c>
      <c r="AJ87" s="1021">
        <f>(VLOOKUP(YEAR($A87),'NY East Load Projections'!$A$4:$EO$14,((MONTH($A87)-1)*12)+VLOOKUP(AJ$4,$DE$6:$DF$17,2)+1))*(VLOOKUP($A87,CURVES!$D$9:$T$261,7))*(INDEX(DailyScalarsTable,AJ$5/100,MONTH($A87)))*$C87</f>
        <v>-6436.0696370598416</v>
      </c>
      <c r="AK87" s="1021">
        <f>(VLOOKUP(YEAR($A87),'NY East Load Projections'!$A$4:$EO$14,((MONTH($A87)-1)*12)+VLOOKUP(AK$4,$DE$6:$DF$17,2)+1))*(VLOOKUP($A87,CURVES!$D$9:$T$261,7))*(INDEX(DailyScalarsTable,AK$5/100,MONTH($A87)))*$C87</f>
        <v>-6988.5520211520479</v>
      </c>
      <c r="AL87" s="1021">
        <f>(VLOOKUP(YEAR($A87),'NY East Load Projections'!$A$4:$EO$14,((MONTH($A87)-1)*12)+VLOOKUP(AL$4,$DE$6:$DF$17,2)+1))*(VLOOKUP($A87,CURVES!$D$9:$T$261,7))*(INDEX(DailyScalarsTable,AL$5/100,MONTH($A87)))*$C87</f>
        <v>-8028.7261428108368</v>
      </c>
      <c r="AM87" s="1021">
        <f>(VLOOKUP(YEAR($A87),'NY East Load Projections'!$A$4:$EO$14,((MONTH($A87)-1)*12)+VLOOKUP(AM$4,$DE$6:$DF$17,2)+1))*(VLOOKUP($A87,CURVES!$D$9:$T$261,7))*(INDEX(DailyScalarsTable,AM$5/100,MONTH($A87)))*$C87</f>
        <v>-10379.112337944111</v>
      </c>
      <c r="AN87" s="1021">
        <f>(VLOOKUP(YEAR($A87),'NY East Load Projections'!$A$4:$EO$14,((MONTH($A87)-1)*12)+VLOOKUP(AN$4,$DE$6:$DF$17,2)+1))*(VLOOKUP($A87,SatSunCurve,3))*(INDEX(DailyScalarsTable,AN$5/100,MONTH($A87)))*$C87</f>
        <v>-9698.070356766666</v>
      </c>
      <c r="AO87" s="1021">
        <f>(VLOOKUP(YEAR($A87),'NY East Load Projections'!$A$4:$EO$14,((MONTH($A87)-1)*12)+VLOOKUP(AO$4,$DE$6:$DF$17,2)+1))*(VLOOKUP($A87,SatSunCurve,3))*(INDEX(DailyScalarsTable,AO$5/100,MONTH($A87)))*$C87</f>
        <v>-11499.825525090197</v>
      </c>
      <c r="AP87" s="1021">
        <f>(VLOOKUP(YEAR($A87),'NY East Load Projections'!$A$4:$EO$14,((MONTH($A87)-1)*12)+VLOOKUP(AP$4,$DE$6:$DF$17,2)+1))*(VLOOKUP($A87,SatSunCurve,3))*(INDEX(DailyScalarsTable,AP$5/100,MONTH($A87)))*$C87</f>
        <v>-11464.28836339338</v>
      </c>
      <c r="AQ87" s="1021">
        <f>(VLOOKUP(YEAR($A87),'NY East Load Projections'!$A$4:$EO$14,((MONTH($A87)-1)*12)+VLOOKUP(AQ$4,$DE$6:$DF$17,2)+1))*(VLOOKUP($A87,SatSunCurve,3))*(INDEX(DailyScalarsTable,AQ$5/100,MONTH($A87)))*$C87</f>
        <v>-11399.306124862056</v>
      </c>
      <c r="AR87" s="1021">
        <f>(VLOOKUP(YEAR($A87),'NY East Load Projections'!$A$4:$EO$14,((MONTH($A87)-1)*12)+VLOOKUP(AR$4,$DE$6:$DF$17,2)+1))*(VLOOKUP($A87,SatSunCurve,3))*(INDEX(DailyScalarsTable,AR$5/100,MONTH($A87)))*$C87</f>
        <v>-9619.4019975900155</v>
      </c>
      <c r="AS87" s="1021">
        <f>(VLOOKUP(YEAR($A87),'NY East Load Projections'!$A$4:$EO$14,((MONTH($A87)-1)*12)+VLOOKUP(AS$4,$DE$6:$DF$17,2)+1))*(VLOOKUP($A87,SatSunCurve,3))*(INDEX(DailyScalarsTable,AS$5/100,MONTH($A87)))*$C87</f>
        <v>-9198.6702677271041</v>
      </c>
      <c r="AT87" s="1021">
        <f>(VLOOKUP(YEAR($A87),'NY East Load Projections'!$A$4:$EO$14,((MONTH($A87)-1)*12)+VLOOKUP(AT$4,$DE$6:$DF$17,2)+1))*(VLOOKUP($A87,SatSunCurve,3))*(INDEX(DailyScalarsTable,AT$5/100,MONTH($A87)))*$C87</f>
        <v>-8943.3526414625121</v>
      </c>
      <c r="AU87" s="1021">
        <f>(VLOOKUP(YEAR($A87),'NY East Load Projections'!$A$4:$EO$14,((MONTH($A87)-1)*12)+VLOOKUP(AU$4,$DE$6:$DF$17,2)+1))*(VLOOKUP($A87,SatSunCurve,3))*(INDEX(DailyScalarsTable,AU$5/100,MONTH($A87)))*$C87</f>
        <v>-8735.5840468099505</v>
      </c>
      <c r="AV87" s="1021">
        <f>(VLOOKUP(YEAR($A87),'NY East Load Projections'!$A$4:$EO$14,((MONTH($A87)-1)*12)+VLOOKUP(AV$4,$DE$6:$DF$17,2)+1))*(VLOOKUP($A87,SatSunCurve,3))*(INDEX(DailyScalarsTable,AV$5/100,MONTH($A87)))*$C87</f>
        <v>-8675.6309199947846</v>
      </c>
      <c r="AW87" s="1021">
        <f>(VLOOKUP(YEAR($A87),'NY East Load Projections'!$A$4:$EO$14,((MONTH($A87)-1)*12)+VLOOKUP(AW$4,$DE$6:$DF$17,2)+1))*(VLOOKUP($A87,SatSunCurve,3))*(INDEX(DailyScalarsTable,AW$5/100,MONTH($A87)))*$C87</f>
        <v>-8570.2662546786578</v>
      </c>
      <c r="AX87" s="1021">
        <f>(VLOOKUP(YEAR($A87),'NY East Load Projections'!$A$4:$EO$14,((MONTH($A87)-1)*12)+VLOOKUP(AX$4,$DE$6:$DF$17,2)+1))*(VLOOKUP($A87,SatSunCurve,3))*(INDEX(DailyScalarsTable,AX$5/100,MONTH($A87)))*$C87</f>
        <v>-11561.574339298402</v>
      </c>
      <c r="AY87" s="1021">
        <f>(VLOOKUP(YEAR($A87),'NY East Load Projections'!$A$4:$EO$14,((MONTH($A87)-1)*12)+VLOOKUP(AY$4,$DE$6:$DF$17,2)+1))*(VLOOKUP($A87,SatSunCurve,3))*(INDEX(DailyScalarsTable,AY$5/100,MONTH($A87)))*$C87</f>
        <v>-11652.132458446311</v>
      </c>
      <c r="AZ87" s="1021">
        <f>(VLOOKUP(YEAR($A87),'NY East Load Projections'!$A$4:$EO$14,((MONTH($A87)-1)*12)+VLOOKUP(AZ$4,$DE$6:$DF$17,2)+1))*(VLOOKUP($A87,SatSunCurve,3))*(INDEX(DailyScalarsTable,AZ$5/100,MONTH($A87)))*$C87</f>
        <v>-11143.465576424016</v>
      </c>
      <c r="BA87" s="1021">
        <f>(VLOOKUP(YEAR($A87),'NY East Load Projections'!$A$4:$EO$14,((MONTH($A87)-1)*12)+VLOOKUP(BA$4,$DE$6:$DF$17,2)+1))*(VLOOKUP($A87,SatSunCurve,3))*(INDEX(DailyScalarsTable,BA$5/100,MONTH($A87)))*$C87</f>
        <v>-9836.4081405039433</v>
      </c>
      <c r="BB87" s="1021">
        <f>(VLOOKUP(YEAR($A87),'NY East Load Projections'!$A$4:$EO$14,((MONTH($A87)-1)*12)+VLOOKUP(BB$4,$DE$6:$DF$17,2)+1))*(VLOOKUP($A87,SatSunCurve,3))*(INDEX(DailyScalarsTable,BB$5/100,MONTH($A87)))*$C87</f>
        <v>-8159.7372047757954</v>
      </c>
      <c r="BC87" s="1021">
        <f>(VLOOKUP(YEAR($A87),'NY East Load Projections'!$A$4:$EO$14,((MONTH($A87)-1)*12)+VLOOKUP(BC$4,$DE$6:$DF$17,2)+1))*(VLOOKUP($A87,SatSunCurve,3))*(INDEX(DailyScalarsTable,BC$5/100,MONTH($A87)))*$C87</f>
        <v>-6956.9880757984674</v>
      </c>
      <c r="BD87" s="1021">
        <f>(VLOOKUP(YEAR($A87),'NY East Load Projections'!$A$4:$EO$14,((MONTH($A87)-1)*12)+VLOOKUP(BD$4,$DE$6:$DF$17,2)+1))*(VLOOKUP($A87,CURVES!$D$9:$T$261,7))*(INDEX(DailyScalarsTable,BD$5/100,MONTH($A87)))*$C87</f>
        <v>-7981.2693384997992</v>
      </c>
      <c r="BE87" s="1021"/>
      <c r="BF87" s="1021">
        <f>(VLOOKUP(YEAR($A87),'NY East Load Projections'!$A$4:$EO$14,((MONTH($A87)-1)*12)+VLOOKUP(BF$4,$DE$6:$DF$17,2)+1))*(VLOOKUP($A87,CURVES!$D$9:$T$261,7))*(INDEX(DailyScalarsTable,BF$5/100,MONTH($A87)))*$D87</f>
        <v>-7055.0082202589701</v>
      </c>
      <c r="BG87" s="1021">
        <f>(VLOOKUP(YEAR($A87),'NY East Load Projections'!$A$4:$EO$14,((MONTH($A87)-1)*12)+VLOOKUP(BG$4,$DE$6:$DF$17,2)+1))*(VLOOKUP($A87,CURVES!$D$9:$T$261,7))*(INDEX(DailyScalarsTable,BG$5/100,MONTH($A87)))*$D87</f>
        <v>-6696.1278652947694</v>
      </c>
      <c r="BH87" s="1021">
        <f>(VLOOKUP(YEAR($A87),'NY East Load Projections'!$A$4:$EO$14,((MONTH($A87)-1)*12)+VLOOKUP(BH$4,$DE$6:$DF$17,2)+1))*(VLOOKUP($A87,CURVES!$D$9:$T$261,7))*(INDEX(DailyScalarsTable,BH$5/100,MONTH($A87)))*$D87</f>
        <v>-6432.3545195136285</v>
      </c>
      <c r="BI87" s="1021">
        <f>(VLOOKUP(YEAR($A87),'NY East Load Projections'!$A$4:$EO$14,((MONTH($A87)-1)*12)+VLOOKUP(BI$4,$DE$6:$DF$17,2)+1))*(VLOOKUP($A87,CURVES!$D$9:$T$261,7))*(INDEX(DailyScalarsTable,BI$5/100,MONTH($A87)))*$D87</f>
        <v>-6436.0696370598416</v>
      </c>
      <c r="BJ87" s="1021">
        <f>(VLOOKUP(YEAR($A87),'NY East Load Projections'!$A$4:$EO$14,((MONTH($A87)-1)*12)+VLOOKUP(BJ$4,$DE$6:$DF$17,2)+1))*(VLOOKUP($A87,CURVES!$D$9:$T$261,7))*(INDEX(DailyScalarsTable,BJ$5/100,MONTH($A87)))*$D87</f>
        <v>-6988.5520211520479</v>
      </c>
      <c r="BK87" s="1021">
        <f>(VLOOKUP(YEAR($A87),'NY East Load Projections'!$A$4:$EO$14,((MONTH($A87)-1)*12)+VLOOKUP(BK$4,$DE$6:$DF$17,2)+1))*(VLOOKUP($A87,CURVES!$D$9:$T$261,7))*(INDEX(DailyScalarsTable,BK$5/100,MONTH($A87)))*$D87</f>
        <v>-8028.7261428108368</v>
      </c>
      <c r="BL87" s="1021">
        <f>(VLOOKUP(YEAR($A87),'NY East Load Projections'!$A$4:$EO$14,((MONTH($A87)-1)*12)+VLOOKUP(BL$4,$DE$6:$DF$17,2)+1))*(VLOOKUP($A87,CURVES!$D$9:$T$261,7))*(INDEX(DailyScalarsTable,BL$5/100,MONTH($A87)))*$D87</f>
        <v>-10379.112337944111</v>
      </c>
      <c r="BM87" s="1021">
        <f>(VLOOKUP(YEAR($A87),'NY East Load Projections'!$A$4:$EO$14,((MONTH($A87)-1)*12)+VLOOKUP(BM$4,$DE$6:$DF$17,2)+1))*(VLOOKUP($A87,SatSunCurve,7))*(INDEX(DailyScalarsTable,BM$5/100,MONTH($A87)))*$D87</f>
        <v>-8883.327210404801</v>
      </c>
      <c r="BN87" s="1021">
        <f>(VLOOKUP(YEAR($A87),'NY East Load Projections'!$A$4:$EO$14,((MONTH($A87)-1)*12)+VLOOKUP(BN$4,$DE$6:$DF$17,2)+1))*(VLOOKUP($A87,SatSunCurve,7))*(INDEX(DailyScalarsTable,BN$5/100,MONTH($A87)))*$D87</f>
        <v>-10533.715393254832</v>
      </c>
      <c r="BO87" s="1021">
        <f>(VLOOKUP(YEAR($A87),'NY East Load Projections'!$A$4:$EO$14,((MONTH($A87)-1)*12)+VLOOKUP(BO$4,$DE$6:$DF$17,2)+1))*(VLOOKUP($A87,SatSunCurve,7))*(INDEX(DailyScalarsTable,BO$5/100,MONTH($A87)))*$D87</f>
        <v>-10501.163738763933</v>
      </c>
      <c r="BP87" s="1021">
        <f>(VLOOKUP(YEAR($A87),'NY East Load Projections'!$A$4:$EO$14,((MONTH($A87)-1)*12)+VLOOKUP(BP$4,$DE$6:$DF$17,2)+1))*(VLOOKUP($A87,SatSunCurve,7))*(INDEX(DailyScalarsTable,BP$5/100,MONTH($A87)))*$D87</f>
        <v>-10441.640713409148</v>
      </c>
      <c r="BQ87" s="1021">
        <f>(VLOOKUP(YEAR($A87),'NY East Load Projections'!$A$4:$EO$14,((MONTH($A87)-1)*12)+VLOOKUP(BQ$4,$DE$6:$DF$17,2)+1))*(VLOOKUP($A87,SatSunCurve,7))*(INDEX(DailyScalarsTable,BQ$5/100,MONTH($A87)))*$D87</f>
        <v>-8811.2678470507035</v>
      </c>
      <c r="BR87" s="1021">
        <f>(VLOOKUP(YEAR($A87),'NY East Load Projections'!$A$4:$EO$14,((MONTH($A87)-1)*12)+VLOOKUP(BR$4,$DE$6:$DF$17,2)+1))*(VLOOKUP($A87,SatSunCurve,7))*(INDEX(DailyScalarsTable,BR$5/100,MONTH($A87)))*$D87</f>
        <v>-8425.8821479704638</v>
      </c>
      <c r="BS87" s="1021">
        <f>(VLOOKUP(YEAR($A87),'NY East Load Projections'!$A$4:$EO$14,((MONTH($A87)-1)*12)+VLOOKUP(BS$4,$DE$6:$DF$17,2)+1))*(VLOOKUP($A87,SatSunCurve,7))*(INDEX(DailyScalarsTable,BS$5/100,MONTH($A87)))*$D87</f>
        <v>-8192.0139728329523</v>
      </c>
      <c r="BT87" s="1021">
        <f>(VLOOKUP(YEAR($A87),'NY East Load Projections'!$A$4:$EO$14,((MONTH($A87)-1)*12)+VLOOKUP(BT$4,$DE$6:$DF$17,2)+1))*(VLOOKUP($A87,SatSunCurve,7))*(INDEX(DailyScalarsTable,BT$5/100,MONTH($A87)))*$D87</f>
        <v>-8001.700194684614</v>
      </c>
      <c r="BU87" s="1021">
        <f>(VLOOKUP(YEAR($A87),'NY East Load Projections'!$A$4:$EO$14,((MONTH($A87)-1)*12)+VLOOKUP(BU$4,$DE$6:$DF$17,2)+1))*(VLOOKUP($A87,SatSunCurve,7))*(INDEX(DailyScalarsTable,BU$5/100,MONTH($A87)))*$D87</f>
        <v>-7946.7837810895717</v>
      </c>
      <c r="BV87" s="1021">
        <f>(VLOOKUP(YEAR($A87),'NY East Load Projections'!$A$4:$EO$14,((MONTH($A87)-1)*12)+VLOOKUP(BV$4,$DE$6:$DF$17,2)+1))*(VLOOKUP($A87,SatSunCurve,7))*(INDEX(DailyScalarsTable,BV$5/100,MONTH($A87)))*$D87</f>
        <v>-7850.2708910005795</v>
      </c>
      <c r="BW87" s="1021">
        <f>(VLOOKUP(YEAR($A87),'NY East Load Projections'!$A$4:$EO$14,((MONTH($A87)-1)*12)+VLOOKUP(BW$4,$DE$6:$DF$17,2)+1))*(VLOOKUP($A87,SatSunCurve,7))*(INDEX(DailyScalarsTable,BW$5/100,MONTH($A87)))*$D87</f>
        <v>-10590.276637016406</v>
      </c>
      <c r="BX87" s="1021">
        <f>(VLOOKUP(YEAR($A87),'NY East Load Projections'!$A$4:$EO$14,((MONTH($A87)-1)*12)+VLOOKUP(BX$4,$DE$6:$DF$17,2)+1))*(VLOOKUP($A87,SatSunCurve,7))*(INDEX(DailyScalarsTable,BX$5/100,MONTH($A87)))*$D87</f>
        <v>-10673.226891485165</v>
      </c>
      <c r="BY87" s="1021">
        <f>(VLOOKUP(YEAR($A87),'NY East Load Projections'!$A$4:$EO$14,((MONTH($A87)-1)*12)+VLOOKUP(BY$4,$DE$6:$DF$17,2)+1))*(VLOOKUP($A87,SatSunCurve,7))*(INDEX(DailyScalarsTable,BY$5/100,MONTH($A87)))*$D87</f>
        <v>-10207.293547235129</v>
      </c>
      <c r="BZ87" s="1021">
        <f>(VLOOKUP(YEAR($A87),'NY East Load Projections'!$A$4:$EO$14,((MONTH($A87)-1)*12)+VLOOKUP(BZ$4,$DE$6:$DF$17,2)+1))*(VLOOKUP($A87,SatSunCurve,7))*(INDEX(DailyScalarsTable,BZ$5/100,MONTH($A87)))*$D87</f>
        <v>-9010.0431191673124</v>
      </c>
      <c r="CA87" s="1021">
        <f>(VLOOKUP(YEAR($A87),'NY East Load Projections'!$A$4:$EO$14,((MONTH($A87)-1)*12)+VLOOKUP(CA$4,$DE$6:$DF$17,2)+1))*(VLOOKUP($A87,SatSunCurve,7))*(INDEX(DailyScalarsTable,CA$5/100,MONTH($A87)))*$D87</f>
        <v>-7474.2307360516952</v>
      </c>
      <c r="CB87" s="1021">
        <f>(VLOOKUP(YEAR($A87),'NY East Load Projections'!$A$4:$EO$14,((MONTH($A87)-1)*12)+VLOOKUP(CB$4,$DE$6:$DF$17,2)+1))*(VLOOKUP($A87,SatSunCurve,7))*(INDEX(DailyScalarsTable,CB$5/100,MONTH($A87)))*$D87</f>
        <v>-6372.5255852656837</v>
      </c>
      <c r="CC87" s="1021">
        <f>(VLOOKUP(YEAR($A87),'NY East Load Projections'!$A$4:$EO$14,((MONTH($A87)-1)*12)+VLOOKUP(CC$4,$DE$6:$DF$17,2)+1))*(VLOOKUP($A87,CURVES!$D$9:$T$261,7))*(INDEX(DailyScalarsTable,CC$5/100,MONTH($A87)))*$D87</f>
        <v>-7981.2693384997992</v>
      </c>
      <c r="CE87" s="1021">
        <f>(VLOOKUP(YEAR($A87),'NY East Load Projections'!$A$4:$EO$14,((MONTH($A87)-1)*12)+VLOOKUP(CE$4,$DE$6:$DF$17,2)+1))*(VLOOKUP($A87,CURVES!$D$9:$T$261,7))*(INDEX(DailyScalarsTable,CE$5/100,MONTH($A87)))*$E87</f>
        <v>0</v>
      </c>
      <c r="CF87" s="1021">
        <f>(VLOOKUP(YEAR($A87),'NY East Load Projections'!$A$4:$EO$14,((MONTH($A87)-1)*12)+VLOOKUP(CF$4,$DE$6:$DF$17,2)+1))*(VLOOKUP($A87,CURVES!$D$9:$T$261,7))*(INDEX(DailyScalarsTable,CF$5/100,MONTH($A87)))*$E87</f>
        <v>0</v>
      </c>
      <c r="CG87" s="1021">
        <f>(VLOOKUP(YEAR($A87),'NY East Load Projections'!$A$4:$EO$14,((MONTH($A87)-1)*12)+VLOOKUP(CG$4,$DE$6:$DF$17,2)+1))*(VLOOKUP($A87,CURVES!$D$9:$T$261,7))*(INDEX(DailyScalarsTable,CG$5/100,MONTH($A87)))*$E87</f>
        <v>0</v>
      </c>
      <c r="CH87" s="1021">
        <f>(VLOOKUP(YEAR($A87),'NY East Load Projections'!$A$4:$EO$14,((MONTH($A87)-1)*12)+VLOOKUP(CH$4,$DE$6:$DF$17,2)+1))*(VLOOKUP($A87,CURVES!$D$9:$T$261,7))*(INDEX(DailyScalarsTable,CH$5/100,MONTH($A87)))*$E87</f>
        <v>0</v>
      </c>
      <c r="CI87" s="1021">
        <f>(VLOOKUP(YEAR($A87),'NY East Load Projections'!$A$4:$EO$14,((MONTH($A87)-1)*12)+VLOOKUP(CI$4,$DE$6:$DF$17,2)+1))*(VLOOKUP($A87,CURVES!$D$9:$T$261,7))*(INDEX(DailyScalarsTable,CI$5/100,MONTH($A87)))*$E87</f>
        <v>0</v>
      </c>
      <c r="CJ87" s="1021">
        <f>(VLOOKUP(YEAR($A87),'NY East Load Projections'!$A$4:$EO$14,((MONTH($A87)-1)*12)+VLOOKUP(CJ$4,$DE$6:$DF$17,2)+1))*(VLOOKUP($A87,CURVES!$D$9:$T$261,7))*(INDEX(DailyScalarsTable,CJ$5/100,MONTH($A87)))*$E87</f>
        <v>0</v>
      </c>
      <c r="CK87" s="1021">
        <f>(VLOOKUP(YEAR($A87),'NY East Load Projections'!$A$4:$EO$14,((MONTH($A87)-1)*12)+VLOOKUP(CK$4,$DE$6:$DF$17,2)+1))*(VLOOKUP($A87,CURVES!$D$9:$T$261,7))*(INDEX(DailyScalarsTable,CK$5/100,MONTH($A87)))*$E87</f>
        <v>0</v>
      </c>
      <c r="CL87" s="1021">
        <f>(VLOOKUP(YEAR($A87),'NY East Load Projections'!$A$4:$EO$14,((MONTH($A87)-1)*12)+VLOOKUP(CL$4,$DE$6:$DF$17,2)+1))*(VLOOKUP($A87,SatSunCurve,7))*(INDEX(DailyScalarsTable,CL$5/100,MONTH($A87)))*$E87</f>
        <v>0</v>
      </c>
      <c r="CM87" s="1021">
        <f>(VLOOKUP(YEAR($A87),'NY East Load Projections'!$A$4:$EO$14,((MONTH($A87)-1)*12)+VLOOKUP(CM$4,$DE$6:$DF$17,2)+1))*(VLOOKUP($A87,SatSunCurve,7))*(INDEX(DailyScalarsTable,CM$5/100,MONTH($A87)))*$E87</f>
        <v>0</v>
      </c>
      <c r="CN87" s="1021">
        <f>(VLOOKUP(YEAR($A87),'NY East Load Projections'!$A$4:$EO$14,((MONTH($A87)-1)*12)+VLOOKUP(CN$4,$DE$6:$DF$17,2)+1))*(VLOOKUP($A87,SatSunCurve,7))*(INDEX(DailyScalarsTable,CN$5/100,MONTH($A87)))*$E87</f>
        <v>0</v>
      </c>
      <c r="CO87" s="1021">
        <f>(VLOOKUP(YEAR($A87),'NY East Load Projections'!$A$4:$EO$14,((MONTH($A87)-1)*12)+VLOOKUP(CO$4,$DE$6:$DF$17,2)+1))*(VLOOKUP($A87,SatSunCurve,7))*(INDEX(DailyScalarsTable,CO$5/100,MONTH($A87)))*$E87</f>
        <v>0</v>
      </c>
      <c r="CP87" s="1021">
        <f>(VLOOKUP(YEAR($A87),'NY East Load Projections'!$A$4:$EO$14,((MONTH($A87)-1)*12)+VLOOKUP(CP$4,$DE$6:$DF$17,2)+1))*(VLOOKUP($A87,SatSunCurve,7))*(INDEX(DailyScalarsTable,CP$5/100,MONTH($A87)))*$E87</f>
        <v>0</v>
      </c>
      <c r="CQ87" s="1021">
        <f>(VLOOKUP(YEAR($A87),'NY East Load Projections'!$A$4:$EO$14,((MONTH($A87)-1)*12)+VLOOKUP(CQ$4,$DE$6:$DF$17,2)+1))*(VLOOKUP($A87,SatSunCurve,7))*(INDEX(DailyScalarsTable,CQ$5/100,MONTH($A87)))*$E87</f>
        <v>0</v>
      </c>
      <c r="CR87" s="1021">
        <f>(VLOOKUP(YEAR($A87),'NY East Load Projections'!$A$4:$EO$14,((MONTH($A87)-1)*12)+VLOOKUP(CR$4,$DE$6:$DF$17,2)+1))*(VLOOKUP($A87,SatSunCurve,7))*(INDEX(DailyScalarsTable,CR$5/100,MONTH($A87)))*$E87</f>
        <v>0</v>
      </c>
      <c r="CS87" s="1021">
        <f>(VLOOKUP(YEAR($A87),'NY East Load Projections'!$A$4:$EO$14,((MONTH($A87)-1)*12)+VLOOKUP(CS$4,$DE$6:$DF$17,2)+1))*(VLOOKUP($A87,SatSunCurve,7))*(INDEX(DailyScalarsTable,CS$5/100,MONTH($A87)))*$E87</f>
        <v>0</v>
      </c>
      <c r="CT87" s="1021">
        <f>(VLOOKUP(YEAR($A87),'NY East Load Projections'!$A$4:$EO$14,((MONTH($A87)-1)*12)+VLOOKUP(CT$4,$DE$6:$DF$17,2)+1))*(VLOOKUP($A87,SatSunCurve,7))*(INDEX(DailyScalarsTable,CT$5/100,MONTH($A87)))*$E87</f>
        <v>0</v>
      </c>
      <c r="CU87" s="1021">
        <f>(VLOOKUP(YEAR($A87),'NY East Load Projections'!$A$4:$EO$14,((MONTH($A87)-1)*12)+VLOOKUP(CU$4,$DE$6:$DF$17,2)+1))*(VLOOKUP($A87,SatSunCurve,7))*(INDEX(DailyScalarsTable,CU$5/100,MONTH($A87)))*$E87</f>
        <v>0</v>
      </c>
      <c r="CV87" s="1021">
        <f>(VLOOKUP(YEAR($A87),'NY East Load Projections'!$A$4:$EO$14,((MONTH($A87)-1)*12)+VLOOKUP(CV$4,$DE$6:$DF$17,2)+1))*(VLOOKUP($A87,SatSunCurve,7))*(INDEX(DailyScalarsTable,CV$5/100,MONTH($A87)))*$E87</f>
        <v>0</v>
      </c>
      <c r="CW87" s="1021">
        <f>(VLOOKUP(YEAR($A87),'NY East Load Projections'!$A$4:$EO$14,((MONTH($A87)-1)*12)+VLOOKUP(CW$4,$DE$6:$DF$17,2)+1))*(VLOOKUP($A87,SatSunCurve,7))*(INDEX(DailyScalarsTable,CW$5/100,MONTH($A87)))*$E87</f>
        <v>0</v>
      </c>
      <c r="CX87" s="1021">
        <f>(VLOOKUP(YEAR($A87),'NY East Load Projections'!$A$4:$EO$14,((MONTH($A87)-1)*12)+VLOOKUP(CX$4,$DE$6:$DF$17,2)+1))*(VLOOKUP($A87,SatSunCurve,7))*(INDEX(DailyScalarsTable,CX$5/100,MONTH($A87)))*$E87</f>
        <v>0</v>
      </c>
      <c r="CY87" s="1021">
        <f>(VLOOKUP(YEAR($A87),'NY East Load Projections'!$A$4:$EO$14,((MONTH($A87)-1)*12)+VLOOKUP(CY$4,$DE$6:$DF$17,2)+1))*(VLOOKUP($A87,SatSunCurve,7))*(INDEX(DailyScalarsTable,CY$5/100,MONTH($A87)))*$E87</f>
        <v>0</v>
      </c>
      <c r="CZ87" s="1021">
        <f>(VLOOKUP(YEAR($A87),'NY East Load Projections'!$A$4:$EO$14,((MONTH($A87)-1)*12)+VLOOKUP(CZ$4,$DE$6:$DF$17,2)+1))*(VLOOKUP($A87,SatSunCurve,7))*(INDEX(DailyScalarsTable,CZ$5/100,MONTH($A87)))*$E87</f>
        <v>0</v>
      </c>
      <c r="DA87" s="1021">
        <f>(VLOOKUP(YEAR($A87),'NY East Load Projections'!$A$4:$EO$14,((MONTH($A87)-1)*12)+VLOOKUP(DA$4,$DE$6:$DF$17,2)+1))*(VLOOKUP($A87,SatSunCurve,7))*(INDEX(DailyScalarsTable,DA$5/100,MONTH($A87)))*$E87</f>
        <v>0</v>
      </c>
      <c r="DB87" s="1021">
        <f>(VLOOKUP(YEAR($A87),'NY East Load Projections'!$A$4:$EO$14,((MONTH($A87)-1)*12)+VLOOKUP(DB$4,$DE$6:$DF$17,2)+1))*(VLOOKUP($A87,CURVES!$D$9:$T$261,7))*(INDEX(DailyScalarsTable,DB$5/100,MONTH($A87)))*$E87</f>
        <v>0</v>
      </c>
      <c r="DH87" s="1032">
        <f t="shared" si="2"/>
        <v>-1906038.9570082447</v>
      </c>
      <c r="DI87">
        <f ca="1">CALC!J107</f>
        <v>0.57172407099571054</v>
      </c>
      <c r="DJ87" s="1029">
        <f t="shared" ca="1" si="3"/>
        <v>-1089728.3519771718</v>
      </c>
    </row>
    <row r="88" spans="1:114" x14ac:dyDescent="0.25">
      <c r="A88" s="244">
        <v>39387</v>
      </c>
      <c r="B88" s="13">
        <v>21</v>
      </c>
      <c r="C88" s="210">
        <v>4</v>
      </c>
      <c r="D88" s="210">
        <v>4</v>
      </c>
      <c r="E88" s="210">
        <v>1</v>
      </c>
      <c r="F88" s="13">
        <v>30</v>
      </c>
      <c r="H88" s="1021">
        <f>(VLOOKUP(YEAR($A88),'NY East Load Projections'!$A$4:$EO$14,((MONTH($A88)-1)*12)+VLOOKUP(H$4,$DE$6:$DF$17,2)+1))*(VLOOKUP($A88,CURVES!$D$9:$K$261,7))*(INDEX(DailyScalarsTable,H$5/100,MONTH($A88)))*$B88</f>
        <v>-33262.046333953855</v>
      </c>
      <c r="I88" s="1021">
        <f>(VLOOKUP(YEAR($A88),'NY East Load Projections'!$A$4:$EO$14,((MONTH($A88)-1)*12)+VLOOKUP(I$4,$DE$6:$DF$17,2)+1))*(VLOOKUP($A88,CURVES!$D$9:$K$261,7))*(INDEX(DailyScalarsTable,I$5/100,MONTH($A88)))*$B88</f>
        <v>-31533.636610521931</v>
      </c>
      <c r="J88" s="1021">
        <f>(VLOOKUP(YEAR($A88),'NY East Load Projections'!$A$4:$EO$14,((MONTH($A88)-1)*12)+VLOOKUP(J$4,$DE$6:$DF$17,2)+1))*(VLOOKUP($A88,CURVES!$D$9:$K$261,7))*(INDEX(DailyScalarsTable,J$5/100,MONTH($A88)))*$B88</f>
        <v>-30263.273356239672</v>
      </c>
      <c r="K88" s="1021">
        <f>(VLOOKUP(YEAR($A88),'NY East Load Projections'!$A$4:$EO$14,((MONTH($A88)-1)*12)+VLOOKUP(K$4,$DE$6:$DF$17,2)+1))*(VLOOKUP($A88,CURVES!$D$9:$K$261,7))*(INDEX(DailyScalarsTable,K$5/100,MONTH($A88)))*$B88</f>
        <v>-30281.16579644083</v>
      </c>
      <c r="L88" s="1021">
        <f>(VLOOKUP(YEAR($A88),'NY East Load Projections'!$A$4:$EO$14,((MONTH($A88)-1)*12)+VLOOKUP(L$4,$DE$6:$DF$17,2)+1))*(VLOOKUP($A88,CURVES!$D$9:$K$261,7))*(INDEX(DailyScalarsTable,L$5/100,MONTH($A88)))*$B88</f>
        <v>-34977.353783281542</v>
      </c>
      <c r="M88" s="1021">
        <f>(VLOOKUP(YEAR($A88),'NY East Load Projections'!$A$4:$EO$14,((MONTH($A88)-1)*12)+VLOOKUP(M$4,$DE$6:$DF$17,2)+1))*(VLOOKUP($A88,CURVES!$D$9:$K$261,7))*(INDEX(DailyScalarsTable,M$5/100,MONTH($A88)))*$B88</f>
        <v>-40298.233084676496</v>
      </c>
      <c r="N88" s="1021">
        <f>(VLOOKUP(YEAR($A88),'NY East Load Projections'!$A$4:$EO$14,((MONTH($A88)-1)*12)+VLOOKUP(N$4,$DE$6:$DF$17,2)+1))*(VLOOKUP($A88,CURVES!$D$9:$K$261,7))*(INDEX(DailyScalarsTable,N$5/100,MONTH($A88)))*$B88</f>
        <v>-57723.244632972084</v>
      </c>
      <c r="O88" s="1021">
        <f>(VLOOKUP(YEAR($A88),'NY East Load Projections'!$A$4:$EO$14,((MONTH($A88)-1)*12)+VLOOKUP(O$4,$DE$6:$DF$17,2)+1))*(VLOOKUP($A88,CURVES!$D$9:$K$261,3))*(INDEX(DailyScalarsTable,O$5/100,MONTH($A88)))*$B88</f>
        <v>-65632.768758376653</v>
      </c>
      <c r="P88" s="1021">
        <f>(VLOOKUP(YEAR($A88),'NY East Load Projections'!$A$4:$EO$14,((MONTH($A88)-1)*12)+VLOOKUP(P$4,$DE$6:$DF$17,2)+1))*(VLOOKUP($A88,CURVES!$D$9:$K$261,3))*(INDEX(DailyScalarsTable,P$5/100,MONTH($A88)))*$B88</f>
        <v>-73812.714324823843</v>
      </c>
      <c r="Q88" s="1021">
        <f>(VLOOKUP(YEAR($A88),'NY East Load Projections'!$A$4:$EO$14,((MONTH($A88)-1)*12)+VLOOKUP(Q$4,$DE$6:$DF$17,2)+1))*(VLOOKUP($A88,CURVES!$D$9:$K$261,3))*(INDEX(DailyScalarsTable,Q$5/100,MONTH($A88)))*$B88</f>
        <v>-73334.6694394714</v>
      </c>
      <c r="R88" s="1021">
        <f>(VLOOKUP(YEAR($A88),'NY East Load Projections'!$A$4:$EO$14,((MONTH($A88)-1)*12)+VLOOKUP(R$4,$DE$6:$DF$17,2)+1))*(VLOOKUP($A88,CURVES!$D$9:$K$261,3))*(INDEX(DailyScalarsTable,R$5/100,MONTH($A88)))*$B88</f>
        <v>-71919.914981468901</v>
      </c>
      <c r="S88" s="1021">
        <f>(VLOOKUP(YEAR($A88),'NY East Load Projections'!$A$4:$EO$14,((MONTH($A88)-1)*12)+VLOOKUP(S$4,$DE$6:$DF$17,2)+1))*(VLOOKUP($A88,CURVES!$D$9:$K$261,3))*(INDEX(DailyScalarsTable,S$5/100,MONTH($A88)))*$B88</f>
        <v>-60556.658855321075</v>
      </c>
      <c r="T88" s="1021">
        <f>(VLOOKUP(YEAR($A88),'NY East Load Projections'!$A$4:$EO$14,((MONTH($A88)-1)*12)+VLOOKUP(T$4,$DE$6:$DF$17,2)+1))*(VLOOKUP($A88,CURVES!$D$9:$K$261,3))*(INDEX(DailyScalarsTable,T$5/100,MONTH($A88)))*$B88</f>
        <v>-58298.626116426349</v>
      </c>
      <c r="U88" s="1021">
        <f>(VLOOKUP(YEAR($A88),'NY East Load Projections'!$A$4:$EO$14,((MONTH($A88)-1)*12)+VLOOKUP(U$4,$DE$6:$DF$17,2)+1))*(VLOOKUP($A88,CURVES!$D$9:$K$261,3))*(INDEX(DailyScalarsTable,U$5/100,MONTH($A88)))*$B88</f>
        <v>-56733.695276060163</v>
      </c>
      <c r="V88" s="1021">
        <f>(VLOOKUP(YEAR($A88),'NY East Load Projections'!$A$4:$EO$14,((MONTH($A88)-1)*12)+VLOOKUP(V$4,$DE$6:$DF$17,2)+1))*(VLOOKUP($A88,CURVES!$D$9:$K$261,3))*(INDEX(DailyScalarsTable,V$5/100,MONTH($A88)))*$B88</f>
        <v>-55406.47544942049</v>
      </c>
      <c r="W88" s="1021">
        <f>(VLOOKUP(YEAR($A88),'NY East Load Projections'!$A$4:$EO$14,((MONTH($A88)-1)*12)+VLOOKUP(W$4,$DE$6:$DF$17,2)+1))*(VLOOKUP($A88,CURVES!$D$9:$K$261,3))*(INDEX(DailyScalarsTable,W$5/100,MONTH($A88)))*$B88</f>
        <v>-54495.249896802205</v>
      </c>
      <c r="X88" s="1021">
        <f>(VLOOKUP(YEAR($A88),'NY East Load Projections'!$A$4:$EO$14,((MONTH($A88)-1)*12)+VLOOKUP(X$4,$DE$6:$DF$17,2)+1))*(VLOOKUP($A88,CURVES!$D$9:$K$261,3))*(INDEX(DailyScalarsTable,X$5/100,MONTH($A88)))*$B88</f>
        <v>-56441.332557489579</v>
      </c>
      <c r="Y88" s="1021">
        <f>(VLOOKUP(YEAR($A88),'NY East Load Projections'!$A$4:$EO$14,((MONTH($A88)-1)*12)+VLOOKUP(Y$4,$DE$6:$DF$17,2)+1))*(VLOOKUP($A88,CURVES!$D$9:$K$261,3))*(INDEX(DailyScalarsTable,Y$5/100,MONTH($A88)))*$B88</f>
        <v>-77481.102927724525</v>
      </c>
      <c r="Z88" s="1021">
        <f>(VLOOKUP(YEAR($A88),'NY East Load Projections'!$A$4:$EO$14,((MONTH($A88)-1)*12)+VLOOKUP(Z$4,$DE$6:$DF$17,2)+1))*(VLOOKUP($A88,CURVES!$D$9:$K$261,3))*(INDEX(DailyScalarsTable,Z$5/100,MONTH($A88)))*$B88</f>
        <v>-78104.975089988686</v>
      </c>
      <c r="AA88" s="1021">
        <f>(VLOOKUP(YEAR($A88),'NY East Load Projections'!$A$4:$EO$14,((MONTH($A88)-1)*12)+VLOOKUP(AA$4,$DE$6:$DF$17,2)+1))*(VLOOKUP($A88,CURVES!$D$9:$K$261,3))*(INDEX(DailyScalarsTable,AA$5/100,MONTH($A88)))*$B88</f>
        <v>-74909.221769002907</v>
      </c>
      <c r="AB88" s="1021">
        <f>(VLOOKUP(YEAR($A88),'NY East Load Projections'!$A$4:$EO$14,((MONTH($A88)-1)*12)+VLOOKUP(AB$4,$DE$6:$DF$17,2)+1))*(VLOOKUP($A88,CURVES!$D$9:$K$261,3))*(INDEX(DailyScalarsTable,AB$5/100,MONTH($A88)))*$B88</f>
        <v>-64054.244895728159</v>
      </c>
      <c r="AC88" s="1021">
        <f>(VLOOKUP(YEAR($A88),'NY East Load Projections'!$A$4:$EO$14,((MONTH($A88)-1)*12)+VLOOKUP(AC$4,$DE$6:$DF$17,2)+1))*(VLOOKUP($A88,CURVES!$D$9:$K$261,3))*(INDEX(DailyScalarsTable,AC$5/100,MONTH($A88)))*$B88</f>
        <v>-50953.978261254233</v>
      </c>
      <c r="AD88" s="1021">
        <f>(VLOOKUP(YEAR($A88),'NY East Load Projections'!$A$4:$EO$14,((MONTH($A88)-1)*12)+VLOOKUP(AD$4,$DE$6:$DF$17,2)+1))*(VLOOKUP($A88,CURVES!$D$9:$K$261,3))*(INDEX(DailyScalarsTable,AD$5/100,MONTH($A88)))*$B88</f>
        <v>-42971.46284904897</v>
      </c>
      <c r="AE88" s="1021">
        <f>(VLOOKUP(YEAR($A88),'NY East Load Projections'!$A$4:$EO$14,((MONTH($A88)-1)*12)+VLOOKUP(AE$4,$DE$6:$DF$17,2)+1))*(VLOOKUP($A88,CURVES!$D$9:$K$261,7))*(INDEX(DailyScalarsTable,AE$5/100,MONTH($A88)))*$B88</f>
        <v>-38926.608379988822</v>
      </c>
      <c r="AF88" s="1021"/>
      <c r="AG88" s="1021">
        <f>(VLOOKUP(YEAR($A88),'NY East Load Projections'!$A$4:$EO$14,((MONTH($A88)-1)*12)+VLOOKUP(AG$4,$DE$6:$DF$17,2)+1))*(VLOOKUP($A88,CURVES!$D$9:$T$261,7))*(INDEX(DailyScalarsTable,AG$5/100,MONTH($A88)))*$C88</f>
        <v>-6635.875724518688</v>
      </c>
      <c r="AH88" s="1021">
        <f>(VLOOKUP(YEAR($A88),'NY East Load Projections'!$A$4:$EO$14,((MONTH($A88)-1)*12)+VLOOKUP(AH$4,$DE$6:$DF$17,2)+1))*(VLOOKUP($A88,CURVES!$D$9:$T$261,7))*(INDEX(DailyScalarsTable,AH$5/100,MONTH($A88)))*$C88</f>
        <v>-6291.0529192532194</v>
      </c>
      <c r="AI88" s="1021">
        <f>(VLOOKUP(YEAR($A88),'NY East Load Projections'!$A$4:$EO$14,((MONTH($A88)-1)*12)+VLOOKUP(AI$4,$DE$6:$DF$17,2)+1))*(VLOOKUP($A88,CURVES!$D$9:$T$261,7))*(INDEX(DailyScalarsTable,AI$5/100,MONTH($A88)))*$C88</f>
        <v>-6037.6117269773586</v>
      </c>
      <c r="AJ88" s="1021">
        <f>(VLOOKUP(YEAR($A88),'NY East Load Projections'!$A$4:$EO$14,((MONTH($A88)-1)*12)+VLOOKUP(AJ$4,$DE$6:$DF$17,2)+1))*(VLOOKUP($A88,CURVES!$D$9:$T$261,7))*(INDEX(DailyScalarsTable,AJ$5/100,MONTH($A88)))*$C88</f>
        <v>-6041.1813212347643</v>
      </c>
      <c r="AK88" s="1021">
        <f>(VLOOKUP(YEAR($A88),'NY East Load Projections'!$A$4:$EO$14,((MONTH($A88)-1)*12)+VLOOKUP(AK$4,$DE$6:$DF$17,2)+1))*(VLOOKUP($A88,CURVES!$D$9:$T$261,7))*(INDEX(DailyScalarsTable,AK$5/100,MONTH($A88)))*$C88</f>
        <v>-6572.0606956047159</v>
      </c>
      <c r="AL88" s="1021">
        <f>(VLOOKUP(YEAR($A88),'NY East Load Projections'!$A$4:$EO$14,((MONTH($A88)-1)*12)+VLOOKUP(AL$4,$DE$6:$DF$17,2)+1))*(VLOOKUP($A88,CURVES!$D$9:$T$261,7))*(INDEX(DailyScalarsTable,AL$5/100,MONTH($A88)))*$C88</f>
        <v>-7571.8259133916881</v>
      </c>
      <c r="AM88" s="1021">
        <f>(VLOOKUP(YEAR($A88),'NY East Load Projections'!$A$4:$EO$14,((MONTH($A88)-1)*12)+VLOOKUP(AM$4,$DE$6:$DF$17,2)+1))*(VLOOKUP($A88,CURVES!$D$9:$T$261,7))*(INDEX(DailyScalarsTable,AM$5/100,MONTH($A88)))*$C88</f>
        <v>-10845.893878240106</v>
      </c>
      <c r="AN88" s="1021">
        <f>(VLOOKUP(YEAR($A88),'NY East Load Projections'!$A$4:$EO$14,((MONTH($A88)-1)*12)+VLOOKUP(AN$4,$DE$6:$DF$17,2)+1))*(VLOOKUP($A88,SatSunCurve,3))*(INDEX(DailyScalarsTable,AN$5/100,MONTH($A88)))*$C88</f>
        <v>-9843.7162452107368</v>
      </c>
      <c r="AO88" s="1021">
        <f>(VLOOKUP(YEAR($A88),'NY East Load Projections'!$A$4:$EO$14,((MONTH($A88)-1)*12)+VLOOKUP(AO$4,$DE$6:$DF$17,2)+1))*(VLOOKUP($A88,SatSunCurve,3))*(INDEX(DailyScalarsTable,AO$5/100,MONTH($A88)))*$C88</f>
        <v>-11158.63762751636</v>
      </c>
      <c r="AP88" s="1021">
        <f>(VLOOKUP(YEAR($A88),'NY East Load Projections'!$A$4:$EO$14,((MONTH($A88)-1)*12)+VLOOKUP(AP$4,$DE$6:$DF$17,2)+1))*(VLOOKUP($A88,SatSunCurve,3))*(INDEX(DailyScalarsTable,AP$5/100,MONTH($A88)))*$C88</f>
        <v>-11086.369188479408</v>
      </c>
      <c r="AQ88" s="1021">
        <f>(VLOOKUP(YEAR($A88),'NY East Load Projections'!$A$4:$EO$14,((MONTH($A88)-1)*12)+VLOOKUP(AQ$4,$DE$6:$DF$17,2)+1))*(VLOOKUP($A88,SatSunCurve,3))*(INDEX(DailyScalarsTable,AQ$5/100,MONTH($A88)))*$C88</f>
        <v>-10872.493672951132</v>
      </c>
      <c r="AR88" s="1021">
        <f>(VLOOKUP(YEAR($A88),'NY East Load Projections'!$A$4:$EO$14,((MONTH($A88)-1)*12)+VLOOKUP(AR$4,$DE$6:$DF$17,2)+1))*(VLOOKUP($A88,SatSunCurve,3))*(INDEX(DailyScalarsTable,AR$5/100,MONTH($A88)))*$C88</f>
        <v>-9154.6533450322386</v>
      </c>
      <c r="AS88" s="1021">
        <f>(VLOOKUP(YEAR($A88),'NY East Load Projections'!$A$4:$EO$14,((MONTH($A88)-1)*12)+VLOOKUP(AS$4,$DE$6:$DF$17,2)+1))*(VLOOKUP($A88,SatSunCurve,3))*(INDEX(DailyScalarsTable,AS$5/100,MONTH($A88)))*$C88</f>
        <v>-8829.70758548505</v>
      </c>
      <c r="AT88" s="1021">
        <f>(VLOOKUP(YEAR($A88),'NY East Load Projections'!$A$4:$EO$14,((MONTH($A88)-1)*12)+VLOOKUP(AT$4,$DE$6:$DF$17,2)+1))*(VLOOKUP($A88,SatSunCurve,3))*(INDEX(DailyScalarsTable,AT$5/100,MONTH($A88)))*$C88</f>
        <v>-8592.6885915151815</v>
      </c>
      <c r="AU88" s="1021">
        <f>(VLOOKUP(YEAR($A88),'NY East Load Projections'!$A$4:$EO$14,((MONTH($A88)-1)*12)+VLOOKUP(AU$4,$DE$6:$DF$17,2)+1))*(VLOOKUP($A88,SatSunCurve,3))*(INDEX(DailyScalarsTable,AU$5/100,MONTH($A88)))*$C88</f>
        <v>-8391.6724827052949</v>
      </c>
      <c r="AV88" s="1021">
        <f>(VLOOKUP(YEAR($A88),'NY East Load Projections'!$A$4:$EO$14,((MONTH($A88)-1)*12)+VLOOKUP(AV$4,$DE$6:$DF$17,2)+1))*(VLOOKUP($A88,SatSunCurve,3))*(INDEX(DailyScalarsTable,AV$5/100,MONTH($A88)))*$C88</f>
        <v>-8253.6614229253719</v>
      </c>
      <c r="AW88" s="1021">
        <f>(VLOOKUP(YEAR($A88),'NY East Load Projections'!$A$4:$EO$14,((MONTH($A88)-1)*12)+VLOOKUP(AW$4,$DE$6:$DF$17,2)+1))*(VLOOKUP($A88,SatSunCurve,3))*(INDEX(DailyScalarsTable,AW$5/100,MONTH($A88)))*$C88</f>
        <v>-8492.7826093480198</v>
      </c>
      <c r="AX88" s="1021">
        <f>(VLOOKUP(YEAR($A88),'NY East Load Projections'!$A$4:$EO$14,((MONTH($A88)-1)*12)+VLOOKUP(AX$4,$DE$6:$DF$17,2)+1))*(VLOOKUP($A88,SatSunCurve,3))*(INDEX(DailyScalarsTable,AX$5/100,MONTH($A88)))*$C88</f>
        <v>-11658.657471055127</v>
      </c>
      <c r="AY88" s="1021">
        <f>(VLOOKUP(YEAR($A88),'NY East Load Projections'!$A$4:$EO$14,((MONTH($A88)-1)*12)+VLOOKUP(AY$4,$DE$6:$DF$17,2)+1))*(VLOOKUP($A88,SatSunCurve,3))*(INDEX(DailyScalarsTable,AY$5/100,MONTH($A88)))*$C88</f>
        <v>-11752.532126561118</v>
      </c>
      <c r="AZ88" s="1021">
        <f>(VLOOKUP(YEAR($A88),'NY East Load Projections'!$A$4:$EO$14,((MONTH($A88)-1)*12)+VLOOKUP(AZ$4,$DE$6:$DF$17,2)+1))*(VLOOKUP($A88,SatSunCurve,3))*(INDEX(DailyScalarsTable,AZ$5/100,MONTH($A88)))*$C88</f>
        <v>-11271.663993254924</v>
      </c>
      <c r="BA88" s="1021">
        <f>(VLOOKUP(YEAR($A88),'NY East Load Projections'!$A$4:$EO$14,((MONTH($A88)-1)*12)+VLOOKUP(BA$4,$DE$6:$DF$17,2)+1))*(VLOOKUP($A88,SatSunCurve,3))*(INDEX(DailyScalarsTable,BA$5/100,MONTH($A88)))*$C88</f>
        <v>-9989.7328773170702</v>
      </c>
      <c r="BB88" s="1021">
        <f>(VLOOKUP(YEAR($A88),'NY East Load Projections'!$A$4:$EO$14,((MONTH($A88)-1)*12)+VLOOKUP(BB$4,$DE$6:$DF$17,2)+1))*(VLOOKUP($A88,SatSunCurve,3))*(INDEX(DailyScalarsTable,BB$5/100,MONTH($A88)))*$C88</f>
        <v>-7946.6494795959652</v>
      </c>
      <c r="BC88" s="1021">
        <f>(VLOOKUP(YEAR($A88),'NY East Load Projections'!$A$4:$EO$14,((MONTH($A88)-1)*12)+VLOOKUP(BC$4,$DE$6:$DF$17,2)+1))*(VLOOKUP($A88,SatSunCurve,3))*(INDEX(DailyScalarsTable,BC$5/100,MONTH($A88)))*$C88</f>
        <v>-6701.7172071633031</v>
      </c>
      <c r="BD88" s="1021">
        <f>(VLOOKUP(YEAR($A88),'NY East Load Projections'!$A$4:$EO$14,((MONTH($A88)-1)*12)+VLOOKUP(BD$4,$DE$6:$DF$17,2)+1))*(VLOOKUP($A88,CURVES!$D$9:$T$261,7))*(INDEX(DailyScalarsTable,BD$5/100,MONTH($A88)))*$C88</f>
        <v>-7605.5176891409137</v>
      </c>
      <c r="BE88" s="1021"/>
      <c r="BF88" s="1021">
        <f>(VLOOKUP(YEAR($A88),'NY East Load Projections'!$A$4:$EO$14,((MONTH($A88)-1)*12)+VLOOKUP(BF$4,$DE$6:$DF$17,2)+1))*(VLOOKUP($A88,CURVES!$D$9:$T$261,7))*(INDEX(DailyScalarsTable,BF$5/100,MONTH($A88)))*$D88</f>
        <v>-6635.875724518688</v>
      </c>
      <c r="BG88" s="1021">
        <f>(VLOOKUP(YEAR($A88),'NY East Load Projections'!$A$4:$EO$14,((MONTH($A88)-1)*12)+VLOOKUP(BG$4,$DE$6:$DF$17,2)+1))*(VLOOKUP($A88,CURVES!$D$9:$T$261,7))*(INDEX(DailyScalarsTable,BG$5/100,MONTH($A88)))*$D88</f>
        <v>-6291.0529192532194</v>
      </c>
      <c r="BH88" s="1021">
        <f>(VLOOKUP(YEAR($A88),'NY East Load Projections'!$A$4:$EO$14,((MONTH($A88)-1)*12)+VLOOKUP(BH$4,$DE$6:$DF$17,2)+1))*(VLOOKUP($A88,CURVES!$D$9:$T$261,7))*(INDEX(DailyScalarsTable,BH$5/100,MONTH($A88)))*$D88</f>
        <v>-6037.6117269773586</v>
      </c>
      <c r="BI88" s="1021">
        <f>(VLOOKUP(YEAR($A88),'NY East Load Projections'!$A$4:$EO$14,((MONTH($A88)-1)*12)+VLOOKUP(BI$4,$DE$6:$DF$17,2)+1))*(VLOOKUP($A88,CURVES!$D$9:$T$261,7))*(INDEX(DailyScalarsTable,BI$5/100,MONTH($A88)))*$D88</f>
        <v>-6041.1813212347643</v>
      </c>
      <c r="BJ88" s="1021">
        <f>(VLOOKUP(YEAR($A88),'NY East Load Projections'!$A$4:$EO$14,((MONTH($A88)-1)*12)+VLOOKUP(BJ$4,$DE$6:$DF$17,2)+1))*(VLOOKUP($A88,CURVES!$D$9:$T$261,7))*(INDEX(DailyScalarsTable,BJ$5/100,MONTH($A88)))*$D88</f>
        <v>-6572.0606956047159</v>
      </c>
      <c r="BK88" s="1021">
        <f>(VLOOKUP(YEAR($A88),'NY East Load Projections'!$A$4:$EO$14,((MONTH($A88)-1)*12)+VLOOKUP(BK$4,$DE$6:$DF$17,2)+1))*(VLOOKUP($A88,CURVES!$D$9:$T$261,7))*(INDEX(DailyScalarsTable,BK$5/100,MONTH($A88)))*$D88</f>
        <v>-7571.8259133916881</v>
      </c>
      <c r="BL88" s="1021">
        <f>(VLOOKUP(YEAR($A88),'NY East Load Projections'!$A$4:$EO$14,((MONTH($A88)-1)*12)+VLOOKUP(BL$4,$DE$6:$DF$17,2)+1))*(VLOOKUP($A88,CURVES!$D$9:$T$261,7))*(INDEX(DailyScalarsTable,BL$5/100,MONTH($A88)))*$D88</f>
        <v>-10845.893878240106</v>
      </c>
      <c r="BM88" s="1021">
        <f>(VLOOKUP(YEAR($A88),'NY East Load Projections'!$A$4:$EO$14,((MONTH($A88)-1)*12)+VLOOKUP(BM$4,$DE$6:$DF$17,2)+1))*(VLOOKUP($A88,SatSunCurve,7))*(INDEX(DailyScalarsTable,BM$5/100,MONTH($A88)))*$D88</f>
        <v>-9049.9203156663207</v>
      </c>
      <c r="BN88" s="1021">
        <f>(VLOOKUP(YEAR($A88),'NY East Load Projections'!$A$4:$EO$14,((MONTH($A88)-1)*12)+VLOOKUP(BN$4,$DE$6:$DF$17,2)+1))*(VLOOKUP($A88,SatSunCurve,7))*(INDEX(DailyScalarsTable,BN$5/100,MONTH($A88)))*$D88</f>
        <v>-10258.806617831051</v>
      </c>
      <c r="BO88" s="1021">
        <f>(VLOOKUP(YEAR($A88),'NY East Load Projections'!$A$4:$EO$14,((MONTH($A88)-1)*12)+VLOOKUP(BO$4,$DE$6:$DF$17,2)+1))*(VLOOKUP($A88,SatSunCurve,7))*(INDEX(DailyScalarsTable,BO$5/100,MONTH($A88)))*$D88</f>
        <v>-10192.365895818142</v>
      </c>
      <c r="BP88" s="1021">
        <f>(VLOOKUP(YEAR($A88),'NY East Load Projections'!$A$4:$EO$14,((MONTH($A88)-1)*12)+VLOOKUP(BP$4,$DE$6:$DF$17,2)+1))*(VLOOKUP($A88,SatSunCurve,7))*(INDEX(DailyScalarsTable,BP$5/100,MONTH($A88)))*$D88</f>
        <v>-9995.7372725637215</v>
      </c>
      <c r="BQ88" s="1021">
        <f>(VLOOKUP(YEAR($A88),'NY East Load Projections'!$A$4:$EO$14,((MONTH($A88)-1)*12)+VLOOKUP(BQ$4,$DE$6:$DF$17,2)+1))*(VLOOKUP($A88,SatSunCurve,7))*(INDEX(DailyScalarsTable,BQ$5/100,MONTH($A88)))*$D88</f>
        <v>-8416.4233533649804</v>
      </c>
      <c r="BR88" s="1021">
        <f>(VLOOKUP(YEAR($A88),'NY East Load Projections'!$A$4:$EO$14,((MONTH($A88)-1)*12)+VLOOKUP(BR$4,$DE$6:$DF$17,2)+1))*(VLOOKUP($A88,SatSunCurve,7))*(INDEX(DailyScalarsTable,BR$5/100,MONTH($A88)))*$D88</f>
        <v>-8117.6811753540615</v>
      </c>
      <c r="BS88" s="1021">
        <f>(VLOOKUP(YEAR($A88),'NY East Load Projections'!$A$4:$EO$14,((MONTH($A88)-1)*12)+VLOOKUP(BS$4,$DE$6:$DF$17,2)+1))*(VLOOKUP($A88,SatSunCurve,7))*(INDEX(DailyScalarsTable,BS$5/100,MONTH($A88)))*$D88</f>
        <v>-7899.7753605892049</v>
      </c>
      <c r="BT88" s="1021">
        <f>(VLOOKUP(YEAR($A88),'NY East Load Projections'!$A$4:$EO$14,((MONTH($A88)-1)*12)+VLOOKUP(BT$4,$DE$6:$DF$17,2)+1))*(VLOOKUP($A88,SatSunCurve,7))*(INDEX(DailyScalarsTable,BT$5/100,MONTH($A88)))*$D88</f>
        <v>-7714.9691632569848</v>
      </c>
      <c r="BU88" s="1021">
        <f>(VLOOKUP(YEAR($A88),'NY East Load Projections'!$A$4:$EO$14,((MONTH($A88)-1)*12)+VLOOKUP(BU$4,$DE$6:$DF$17,2)+1))*(VLOOKUP($A88,SatSunCurve,7))*(INDEX(DailyScalarsTable,BU$5/100,MONTH($A88)))*$D88</f>
        <v>-7588.0872964318796</v>
      </c>
      <c r="BV88" s="1021">
        <f>(VLOOKUP(YEAR($A88),'NY East Load Projections'!$A$4:$EO$14,((MONTH($A88)-1)*12)+VLOOKUP(BV$4,$DE$6:$DF$17,2)+1))*(VLOOKUP($A88,SatSunCurve,7))*(INDEX(DailyScalarsTable,BV$5/100,MONTH($A88)))*$D88</f>
        <v>-7807.9257831380992</v>
      </c>
      <c r="BW88" s="1021">
        <f>(VLOOKUP(YEAR($A88),'NY East Load Projections'!$A$4:$EO$14,((MONTH($A88)-1)*12)+VLOOKUP(BW$4,$DE$6:$DF$17,2)+1))*(VLOOKUP($A88,SatSunCurve,7))*(INDEX(DailyScalarsTable,BW$5/100,MONTH($A88)))*$D88</f>
        <v>-10718.504929683488</v>
      </c>
      <c r="BX88" s="1021">
        <f>(VLOOKUP(YEAR($A88),'NY East Load Projections'!$A$4:$EO$14,((MONTH($A88)-1)*12)+VLOOKUP(BX$4,$DE$6:$DF$17,2)+1))*(VLOOKUP($A88,SatSunCurve,7))*(INDEX(DailyScalarsTable,BX$5/100,MONTH($A88)))*$D88</f>
        <v>-10804.809545829161</v>
      </c>
      <c r="BY88" s="1021">
        <f>(VLOOKUP(YEAR($A88),'NY East Load Projections'!$A$4:$EO$14,((MONTH($A88)-1)*12)+VLOOKUP(BY$4,$DE$6:$DF$17,2)+1))*(VLOOKUP($A88,SatSunCurve,7))*(INDEX(DailyScalarsTable,BY$5/100,MONTH($A88)))*$D88</f>
        <v>-10362.718552919696</v>
      </c>
      <c r="BZ88" s="1021">
        <f>(VLOOKUP(YEAR($A88),'NY East Load Projections'!$A$4:$EO$14,((MONTH($A88)-1)*12)+VLOOKUP(BZ$4,$DE$6:$DF$17,2)+1))*(VLOOKUP($A88,SatSunCurve,7))*(INDEX(DailyScalarsTable,BZ$5/100,MONTH($A88)))*$D88</f>
        <v>-9184.1621865621</v>
      </c>
      <c r="CA88" s="1021">
        <f>(VLOOKUP(YEAR($A88),'NY East Load Projections'!$A$4:$EO$14,((MONTH($A88)-1)*12)+VLOOKUP(CA$4,$DE$6:$DF$17,2)+1))*(VLOOKUP($A88,SatSunCurve,7))*(INDEX(DailyScalarsTable,CA$5/100,MONTH($A88)))*$D88</f>
        <v>-7305.8327541556537</v>
      </c>
      <c r="CB88" s="1021">
        <f>(VLOOKUP(YEAR($A88),'NY East Load Projections'!$A$4:$EO$14,((MONTH($A88)-1)*12)+VLOOKUP(CB$4,$DE$6:$DF$17,2)+1))*(VLOOKUP($A88,SatSunCurve,7))*(INDEX(DailyScalarsTable,CB$5/100,MONTH($A88)))*$D88</f>
        <v>-6161.2916496313846</v>
      </c>
      <c r="CC88" s="1021">
        <f>(VLOOKUP(YEAR($A88),'NY East Load Projections'!$A$4:$EO$14,((MONTH($A88)-1)*12)+VLOOKUP(CC$4,$DE$6:$DF$17,2)+1))*(VLOOKUP($A88,CURVES!$D$9:$T$261,7))*(INDEX(DailyScalarsTable,CC$5/100,MONTH($A88)))*$D88</f>
        <v>-7605.5176891409137</v>
      </c>
      <c r="CE88" s="1021">
        <f>(VLOOKUP(YEAR($A88),'NY East Load Projections'!$A$4:$EO$14,((MONTH($A88)-1)*12)+VLOOKUP(CE$4,$DE$6:$DF$17,2)+1))*(VLOOKUP($A88,CURVES!$D$9:$T$261,7))*(INDEX(DailyScalarsTable,CE$5/100,MONTH($A88)))*$E88</f>
        <v>-1658.968931129672</v>
      </c>
      <c r="CF88" s="1021">
        <f>(VLOOKUP(YEAR($A88),'NY East Load Projections'!$A$4:$EO$14,((MONTH($A88)-1)*12)+VLOOKUP(CF$4,$DE$6:$DF$17,2)+1))*(VLOOKUP($A88,CURVES!$D$9:$T$261,7))*(INDEX(DailyScalarsTable,CF$5/100,MONTH($A88)))*$E88</f>
        <v>-1572.7632298133049</v>
      </c>
      <c r="CG88" s="1021">
        <f>(VLOOKUP(YEAR($A88),'NY East Load Projections'!$A$4:$EO$14,((MONTH($A88)-1)*12)+VLOOKUP(CG$4,$DE$6:$DF$17,2)+1))*(VLOOKUP($A88,CURVES!$D$9:$T$261,7))*(INDEX(DailyScalarsTable,CG$5/100,MONTH($A88)))*$E88</f>
        <v>-1509.4029317443396</v>
      </c>
      <c r="CH88" s="1021">
        <f>(VLOOKUP(YEAR($A88),'NY East Load Projections'!$A$4:$EO$14,((MONTH($A88)-1)*12)+VLOOKUP(CH$4,$DE$6:$DF$17,2)+1))*(VLOOKUP($A88,CURVES!$D$9:$T$261,7))*(INDEX(DailyScalarsTable,CH$5/100,MONTH($A88)))*$E88</f>
        <v>-1510.2953303086911</v>
      </c>
      <c r="CI88" s="1021">
        <f>(VLOOKUP(YEAR($A88),'NY East Load Projections'!$A$4:$EO$14,((MONTH($A88)-1)*12)+VLOOKUP(CI$4,$DE$6:$DF$17,2)+1))*(VLOOKUP($A88,CURVES!$D$9:$T$261,7))*(INDEX(DailyScalarsTable,CI$5/100,MONTH($A88)))*$E88</f>
        <v>-1643.015173901179</v>
      </c>
      <c r="CJ88" s="1021">
        <f>(VLOOKUP(YEAR($A88),'NY East Load Projections'!$A$4:$EO$14,((MONTH($A88)-1)*12)+VLOOKUP(CJ$4,$DE$6:$DF$17,2)+1))*(VLOOKUP($A88,CURVES!$D$9:$T$261,7))*(INDEX(DailyScalarsTable,CJ$5/100,MONTH($A88)))*$E88</f>
        <v>-1892.956478347922</v>
      </c>
      <c r="CK88" s="1021">
        <f>(VLOOKUP(YEAR($A88),'NY East Load Projections'!$A$4:$EO$14,((MONTH($A88)-1)*12)+VLOOKUP(CK$4,$DE$6:$DF$17,2)+1))*(VLOOKUP($A88,CURVES!$D$9:$T$261,7))*(INDEX(DailyScalarsTable,CK$5/100,MONTH($A88)))*$E88</f>
        <v>-2711.4734695600264</v>
      </c>
      <c r="CL88" s="1021">
        <f>(VLOOKUP(YEAR($A88),'NY East Load Projections'!$A$4:$EO$14,((MONTH($A88)-1)*12)+VLOOKUP(CL$4,$DE$6:$DF$17,2)+1))*(VLOOKUP($A88,SatSunCurve,7))*(INDEX(DailyScalarsTable,CL$5/100,MONTH($A88)))*$E88</f>
        <v>-2262.4800789165802</v>
      </c>
      <c r="CM88" s="1021">
        <f>(VLOOKUP(YEAR($A88),'NY East Load Projections'!$A$4:$EO$14,((MONTH($A88)-1)*12)+VLOOKUP(CM$4,$DE$6:$DF$17,2)+1))*(VLOOKUP($A88,SatSunCurve,7))*(INDEX(DailyScalarsTable,CM$5/100,MONTH($A88)))*$E88</f>
        <v>-2564.7016544577627</v>
      </c>
      <c r="CN88" s="1021">
        <f>(VLOOKUP(YEAR($A88),'NY East Load Projections'!$A$4:$EO$14,((MONTH($A88)-1)*12)+VLOOKUP(CN$4,$DE$6:$DF$17,2)+1))*(VLOOKUP($A88,SatSunCurve,7))*(INDEX(DailyScalarsTable,CN$5/100,MONTH($A88)))*$E88</f>
        <v>-2548.0914739545356</v>
      </c>
      <c r="CO88" s="1021">
        <f>(VLOOKUP(YEAR($A88),'NY East Load Projections'!$A$4:$EO$14,((MONTH($A88)-1)*12)+VLOOKUP(CO$4,$DE$6:$DF$17,2)+1))*(VLOOKUP($A88,SatSunCurve,7))*(INDEX(DailyScalarsTable,CO$5/100,MONTH($A88)))*$E88</f>
        <v>-2498.9343181409304</v>
      </c>
      <c r="CP88" s="1021">
        <f>(VLOOKUP(YEAR($A88),'NY East Load Projections'!$A$4:$EO$14,((MONTH($A88)-1)*12)+VLOOKUP(CP$4,$DE$6:$DF$17,2)+1))*(VLOOKUP($A88,SatSunCurve,7))*(INDEX(DailyScalarsTable,CP$5/100,MONTH($A88)))*$E88</f>
        <v>-2104.1058383412451</v>
      </c>
      <c r="CQ88" s="1021">
        <f>(VLOOKUP(YEAR($A88),'NY East Load Projections'!$A$4:$EO$14,((MONTH($A88)-1)*12)+VLOOKUP(CQ$4,$DE$6:$DF$17,2)+1))*(VLOOKUP($A88,SatSunCurve,7))*(INDEX(DailyScalarsTable,CQ$5/100,MONTH($A88)))*$E88</f>
        <v>-2029.4202938385154</v>
      </c>
      <c r="CR88" s="1021">
        <f>(VLOOKUP(YEAR($A88),'NY East Load Projections'!$A$4:$EO$14,((MONTH($A88)-1)*12)+VLOOKUP(CR$4,$DE$6:$DF$17,2)+1))*(VLOOKUP($A88,SatSunCurve,7))*(INDEX(DailyScalarsTable,CR$5/100,MONTH($A88)))*$E88</f>
        <v>-1974.9438401473012</v>
      </c>
      <c r="CS88" s="1021">
        <f>(VLOOKUP(YEAR($A88),'NY East Load Projections'!$A$4:$EO$14,((MONTH($A88)-1)*12)+VLOOKUP(CS$4,$DE$6:$DF$17,2)+1))*(VLOOKUP($A88,SatSunCurve,7))*(INDEX(DailyScalarsTable,CS$5/100,MONTH($A88)))*$E88</f>
        <v>-1928.7422908142462</v>
      </c>
      <c r="CT88" s="1021">
        <f>(VLOOKUP(YEAR($A88),'NY East Load Projections'!$A$4:$EO$14,((MONTH($A88)-1)*12)+VLOOKUP(CT$4,$DE$6:$DF$17,2)+1))*(VLOOKUP($A88,SatSunCurve,7))*(INDEX(DailyScalarsTable,CT$5/100,MONTH($A88)))*$E88</f>
        <v>-1897.0218241079699</v>
      </c>
      <c r="CU88" s="1021">
        <f>(VLOOKUP(YEAR($A88),'NY East Load Projections'!$A$4:$EO$14,((MONTH($A88)-1)*12)+VLOOKUP(CU$4,$DE$6:$DF$17,2)+1))*(VLOOKUP($A88,SatSunCurve,7))*(INDEX(DailyScalarsTable,CU$5/100,MONTH($A88)))*$E88</f>
        <v>-1951.9814457845248</v>
      </c>
      <c r="CV88" s="1021">
        <f>(VLOOKUP(YEAR($A88),'NY East Load Projections'!$A$4:$EO$14,((MONTH($A88)-1)*12)+VLOOKUP(CV$4,$DE$6:$DF$17,2)+1))*(VLOOKUP($A88,SatSunCurve,7))*(INDEX(DailyScalarsTable,CV$5/100,MONTH($A88)))*$E88</f>
        <v>-2679.6262324208719</v>
      </c>
      <c r="CW88" s="1021">
        <f>(VLOOKUP(YEAR($A88),'NY East Load Projections'!$A$4:$EO$14,((MONTH($A88)-1)*12)+VLOOKUP(CW$4,$DE$6:$DF$17,2)+1))*(VLOOKUP($A88,SatSunCurve,7))*(INDEX(DailyScalarsTable,CW$5/100,MONTH($A88)))*$E88</f>
        <v>-2701.2023864572902</v>
      </c>
      <c r="CX88" s="1021">
        <f>(VLOOKUP(YEAR($A88),'NY East Load Projections'!$A$4:$EO$14,((MONTH($A88)-1)*12)+VLOOKUP(CX$4,$DE$6:$DF$17,2)+1))*(VLOOKUP($A88,SatSunCurve,7))*(INDEX(DailyScalarsTable,CX$5/100,MONTH($A88)))*$E88</f>
        <v>-2590.679638229924</v>
      </c>
      <c r="CY88" s="1021">
        <f>(VLOOKUP(YEAR($A88),'NY East Load Projections'!$A$4:$EO$14,((MONTH($A88)-1)*12)+VLOOKUP(CY$4,$DE$6:$DF$17,2)+1))*(VLOOKUP($A88,SatSunCurve,7))*(INDEX(DailyScalarsTable,CY$5/100,MONTH($A88)))*$E88</f>
        <v>-2296.040546640525</v>
      </c>
      <c r="CZ88" s="1021">
        <f>(VLOOKUP(YEAR($A88),'NY East Load Projections'!$A$4:$EO$14,((MONTH($A88)-1)*12)+VLOOKUP(CZ$4,$DE$6:$DF$17,2)+1))*(VLOOKUP($A88,SatSunCurve,7))*(INDEX(DailyScalarsTable,CZ$5/100,MONTH($A88)))*$E88</f>
        <v>-1826.4581885389134</v>
      </c>
      <c r="DA88" s="1021">
        <f>(VLOOKUP(YEAR($A88),'NY East Load Projections'!$A$4:$EO$14,((MONTH($A88)-1)*12)+VLOOKUP(DA$4,$DE$6:$DF$17,2)+1))*(VLOOKUP($A88,SatSunCurve,7))*(INDEX(DailyScalarsTable,DA$5/100,MONTH($A88)))*$E88</f>
        <v>-1540.3229124078462</v>
      </c>
      <c r="DB88" s="1021">
        <f>(VLOOKUP(YEAR($A88),'NY East Load Projections'!$A$4:$EO$14,((MONTH($A88)-1)*12)+VLOOKUP(DB$4,$DE$6:$DF$17,2)+1))*(VLOOKUP($A88,CURVES!$D$9:$T$261,7))*(INDEX(DailyScalarsTable,DB$5/100,MONTH($A88)))*$E88</f>
        <v>-1901.3794222852284</v>
      </c>
      <c r="DH88" s="1032">
        <f t="shared" si="2"/>
        <v>-1772946.0488724066</v>
      </c>
      <c r="DI88">
        <f ca="1">CALC!J108</f>
        <v>0.56826708324181341</v>
      </c>
      <c r="DJ88" s="1029">
        <f t="shared" ca="1" si="3"/>
        <v>-1007506.87993782</v>
      </c>
    </row>
    <row r="89" spans="1:114" x14ac:dyDescent="0.25">
      <c r="A89" s="244">
        <v>39417</v>
      </c>
      <c r="B89" s="13">
        <v>20</v>
      </c>
      <c r="C89" s="210">
        <v>5</v>
      </c>
      <c r="D89" s="210">
        <v>5</v>
      </c>
      <c r="E89" s="210">
        <v>1</v>
      </c>
      <c r="F89" s="13">
        <v>31</v>
      </c>
      <c r="H89" s="1021">
        <f>(VLOOKUP(YEAR($A89),'NY East Load Projections'!$A$4:$EO$14,((MONTH($A89)-1)*12)+VLOOKUP(H$4,$DE$6:$DF$17,2)+1))*(VLOOKUP($A89,CURVES!$D$9:$K$261,7))*(INDEX(DailyScalarsTable,H$5/100,MONTH($A89)))*$B89</f>
        <v>-32887.610621367268</v>
      </c>
      <c r="I89" s="1021">
        <f>(VLOOKUP(YEAR($A89),'NY East Load Projections'!$A$4:$EO$14,((MONTH($A89)-1)*12)+VLOOKUP(I$4,$DE$6:$DF$17,2)+1))*(VLOOKUP($A89,CURVES!$D$9:$K$261,7))*(INDEX(DailyScalarsTable,I$5/100,MONTH($A89)))*$B89</f>
        <v>-31178.65785857863</v>
      </c>
      <c r="J89" s="1021">
        <f>(VLOOKUP(YEAR($A89),'NY East Load Projections'!$A$4:$EO$14,((MONTH($A89)-1)*12)+VLOOKUP(J$4,$DE$6:$DF$17,2)+1))*(VLOOKUP($A89,CURVES!$D$9:$K$261,7))*(INDEX(DailyScalarsTable,J$5/100,MONTH($A89)))*$B89</f>
        <v>-29922.595268951369</v>
      </c>
      <c r="K89" s="1021">
        <f>(VLOOKUP(YEAR($A89),'NY East Load Projections'!$A$4:$EO$14,((MONTH($A89)-1)*12)+VLOOKUP(K$4,$DE$6:$DF$17,2)+1))*(VLOOKUP($A89,CURVES!$D$9:$K$261,7))*(INDEX(DailyScalarsTable,K$5/100,MONTH($A89)))*$B89</f>
        <v>-29940.286291340486</v>
      </c>
      <c r="L89" s="1021">
        <f>(VLOOKUP(YEAR($A89),'NY East Load Projections'!$A$4:$EO$14,((MONTH($A89)-1)*12)+VLOOKUP(L$4,$DE$6:$DF$17,2)+1))*(VLOOKUP($A89,CURVES!$D$9:$K$261,7))*(INDEX(DailyScalarsTable,L$5/100,MONTH($A89)))*$B89</f>
        <v>-35137.544191748886</v>
      </c>
      <c r="M89" s="1021">
        <f>(VLOOKUP(YEAR($A89),'NY East Load Projections'!$A$4:$EO$14,((MONTH($A89)-1)*12)+VLOOKUP(M$4,$DE$6:$DF$17,2)+1))*(VLOOKUP($A89,CURVES!$D$9:$K$261,7))*(INDEX(DailyScalarsTable,M$5/100,MONTH($A89)))*$B89</f>
        <v>-40482.792227096012</v>
      </c>
      <c r="N89" s="1021">
        <f>(VLOOKUP(YEAR($A89),'NY East Load Projections'!$A$4:$EO$14,((MONTH($A89)-1)*12)+VLOOKUP(N$4,$DE$6:$DF$17,2)+1))*(VLOOKUP($A89,CURVES!$D$9:$K$261,7))*(INDEX(DailyScalarsTable,N$5/100,MONTH($A89)))*$B89</f>
        <v>-57987.607403040638</v>
      </c>
      <c r="O89" s="1021">
        <f>(VLOOKUP(YEAR($A89),'NY East Load Projections'!$A$4:$EO$14,((MONTH($A89)-1)*12)+VLOOKUP(O$4,$DE$6:$DF$17,2)+1))*(VLOOKUP($A89,CURVES!$D$9:$K$261,3))*(INDEX(DailyScalarsTable,O$5/100,MONTH($A89)))*$B89</f>
        <v>-62126.120745180029</v>
      </c>
      <c r="P89" s="1021">
        <f>(VLOOKUP(YEAR($A89),'NY East Load Projections'!$A$4:$EO$14,((MONTH($A89)-1)*12)+VLOOKUP(P$4,$DE$6:$DF$17,2)+1))*(VLOOKUP($A89,CURVES!$D$9:$K$261,3))*(INDEX(DailyScalarsTable,P$5/100,MONTH($A89)))*$B89</f>
        <v>-70109.117895508884</v>
      </c>
      <c r="Q89" s="1021">
        <f>(VLOOKUP(YEAR($A89),'NY East Load Projections'!$A$4:$EO$14,((MONTH($A89)-1)*12)+VLOOKUP(Q$4,$DE$6:$DF$17,2)+1))*(VLOOKUP($A89,CURVES!$D$9:$K$261,3))*(INDEX(DailyScalarsTable,Q$5/100,MONTH($A89)))*$B89</f>
        <v>-69753.692740341765</v>
      </c>
      <c r="R89" s="1021">
        <f>(VLOOKUP(YEAR($A89),'NY East Load Projections'!$A$4:$EO$14,((MONTH($A89)-1)*12)+VLOOKUP(R$4,$DE$6:$DF$17,2)+1))*(VLOOKUP($A89,CURVES!$D$9:$K$261,3))*(INDEX(DailyScalarsTable,R$5/100,MONTH($A89)))*$B89</f>
        <v>-68235.605636916065</v>
      </c>
      <c r="S89" s="1021">
        <f>(VLOOKUP(YEAR($A89),'NY East Load Projections'!$A$4:$EO$14,((MONTH($A89)-1)*12)+VLOOKUP(S$4,$DE$6:$DF$17,2)+1))*(VLOOKUP($A89,CURVES!$D$9:$K$261,3))*(INDEX(DailyScalarsTable,S$5/100,MONTH($A89)))*$B89</f>
        <v>-55446.324206071818</v>
      </c>
      <c r="T89" s="1021">
        <f>(VLOOKUP(YEAR($A89),'NY East Load Projections'!$A$4:$EO$14,((MONTH($A89)-1)*12)+VLOOKUP(T$4,$DE$6:$DF$17,2)+1))*(VLOOKUP($A89,CURVES!$D$9:$K$261,3))*(INDEX(DailyScalarsTable,T$5/100,MONTH($A89)))*$B89</f>
        <v>-53229.169597184038</v>
      </c>
      <c r="U89" s="1021">
        <f>(VLOOKUP(YEAR($A89),'NY East Load Projections'!$A$4:$EO$14,((MONTH($A89)-1)*12)+VLOOKUP(U$4,$DE$6:$DF$17,2)+1))*(VLOOKUP($A89,CURVES!$D$9:$K$261,3))*(INDEX(DailyScalarsTable,U$5/100,MONTH($A89)))*$B89</f>
        <v>-50935.490669519349</v>
      </c>
      <c r="V89" s="1021">
        <f>(VLOOKUP(YEAR($A89),'NY East Load Projections'!$A$4:$EO$14,((MONTH($A89)-1)*12)+VLOOKUP(V$4,$DE$6:$DF$17,2)+1))*(VLOOKUP($A89,CURVES!$D$9:$K$261,3))*(INDEX(DailyScalarsTable,V$5/100,MONTH($A89)))*$B89</f>
        <v>-48374.114466477338</v>
      </c>
      <c r="W89" s="1021">
        <f>(VLOOKUP(YEAR($A89),'NY East Load Projections'!$A$4:$EO$14,((MONTH($A89)-1)*12)+VLOOKUP(W$4,$DE$6:$DF$17,2)+1))*(VLOOKUP($A89,CURVES!$D$9:$K$261,3))*(INDEX(DailyScalarsTable,W$5/100,MONTH($A89)))*$B89</f>
        <v>-47534.518466430316</v>
      </c>
      <c r="X89" s="1021">
        <f>(VLOOKUP(YEAR($A89),'NY East Load Projections'!$A$4:$EO$14,((MONTH($A89)-1)*12)+VLOOKUP(X$4,$DE$6:$DF$17,2)+1))*(VLOOKUP($A89,CURVES!$D$9:$K$261,3))*(INDEX(DailyScalarsTable,X$5/100,MONTH($A89)))*$B89</f>
        <v>-51502.713939416513</v>
      </c>
      <c r="Y89" s="1021">
        <f>(VLOOKUP(YEAR($A89),'NY East Load Projections'!$A$4:$EO$14,((MONTH($A89)-1)*12)+VLOOKUP(Y$4,$DE$6:$DF$17,2)+1))*(VLOOKUP($A89,CURVES!$D$9:$K$261,3))*(INDEX(DailyScalarsTable,Y$5/100,MONTH($A89)))*$B89</f>
        <v>-72585.056710508929</v>
      </c>
      <c r="Z89" s="1021">
        <f>(VLOOKUP(YEAR($A89),'NY East Load Projections'!$A$4:$EO$14,((MONTH($A89)-1)*12)+VLOOKUP(Z$4,$DE$6:$DF$17,2)+1))*(VLOOKUP($A89,CURVES!$D$9:$K$261,3))*(INDEX(DailyScalarsTable,Z$5/100,MONTH($A89)))*$B89</f>
        <v>-72101.45741814177</v>
      </c>
      <c r="AA89" s="1021">
        <f>(VLOOKUP(YEAR($A89),'NY East Load Projections'!$A$4:$EO$14,((MONTH($A89)-1)*12)+VLOOKUP(AA$4,$DE$6:$DF$17,2)+1))*(VLOOKUP($A89,CURVES!$D$9:$K$261,3))*(INDEX(DailyScalarsTable,AA$5/100,MONTH($A89)))*$B89</f>
        <v>-69618.618397164057</v>
      </c>
      <c r="AB89" s="1021">
        <f>(VLOOKUP(YEAR($A89),'NY East Load Projections'!$A$4:$EO$14,((MONTH($A89)-1)*12)+VLOOKUP(AB$4,$DE$6:$DF$17,2)+1))*(VLOOKUP($A89,CURVES!$D$9:$K$261,3))*(INDEX(DailyScalarsTable,AB$5/100,MONTH($A89)))*$B89</f>
        <v>-62679.494817902072</v>
      </c>
      <c r="AC89" s="1021">
        <f>(VLOOKUP(YEAR($A89),'NY East Load Projections'!$A$4:$EO$14,((MONTH($A89)-1)*12)+VLOOKUP(AC$4,$DE$6:$DF$17,2)+1))*(VLOOKUP($A89,CURVES!$D$9:$K$261,3))*(INDEX(DailyScalarsTable,AC$5/100,MONTH($A89)))*$B89</f>
        <v>-46207.073438772924</v>
      </c>
      <c r="AD89" s="1021">
        <f>(VLOOKUP(YEAR($A89),'NY East Load Projections'!$A$4:$EO$14,((MONTH($A89)-1)*12)+VLOOKUP(AD$4,$DE$6:$DF$17,2)+1))*(VLOOKUP($A89,CURVES!$D$9:$K$261,3))*(INDEX(DailyScalarsTable,AD$5/100,MONTH($A89)))*$B89</f>
        <v>-38121.51390574043</v>
      </c>
      <c r="AE89" s="1021">
        <f>(VLOOKUP(YEAR($A89),'NY East Load Projections'!$A$4:$EO$14,((MONTH($A89)-1)*12)+VLOOKUP(AE$4,$DE$6:$DF$17,2)+1))*(VLOOKUP($A89,CURVES!$D$9:$K$261,7))*(INDEX(DailyScalarsTable,AE$5/100,MONTH($A89)))*$B89</f>
        <v>-38679.289956337205</v>
      </c>
      <c r="AF89" s="1021"/>
      <c r="AG89" s="1021">
        <f>(VLOOKUP(YEAR($A89),'NY East Load Projections'!$A$4:$EO$14,((MONTH($A89)-1)*12)+VLOOKUP(AG$4,$DE$6:$DF$17,2)+1))*(VLOOKUP($A89,CURVES!$D$9:$T$261,7))*(INDEX(DailyScalarsTable,AG$5/100,MONTH($A89)))*$C89</f>
        <v>-8386.3491717249708</v>
      </c>
      <c r="AH89" s="1021">
        <f>(VLOOKUP(YEAR($A89),'NY East Load Projections'!$A$4:$EO$14,((MONTH($A89)-1)*12)+VLOOKUP(AH$4,$DE$6:$DF$17,2)+1))*(VLOOKUP($A89,CURVES!$D$9:$T$261,7))*(INDEX(DailyScalarsTable,AH$5/100,MONTH($A89)))*$C89</f>
        <v>-7950.5657774330748</v>
      </c>
      <c r="AI89" s="1021">
        <f>(VLOOKUP(YEAR($A89),'NY East Load Projections'!$A$4:$EO$14,((MONTH($A89)-1)*12)+VLOOKUP(AI$4,$DE$6:$DF$17,2)+1))*(VLOOKUP($A89,CURVES!$D$9:$T$261,7))*(INDEX(DailyScalarsTable,AI$5/100,MONTH($A89)))*$C89</f>
        <v>-7630.2694938437944</v>
      </c>
      <c r="AJ89" s="1021">
        <f>(VLOOKUP(YEAR($A89),'NY East Load Projections'!$A$4:$EO$14,((MONTH($A89)-1)*12)+VLOOKUP(AJ$4,$DE$6:$DF$17,2)+1))*(VLOOKUP($A89,CURVES!$D$9:$T$261,7))*(INDEX(DailyScalarsTable,AJ$5/100,MONTH($A89)))*$C89</f>
        <v>-7634.7807091056156</v>
      </c>
      <c r="AK89" s="1021">
        <f>(VLOOKUP(YEAR($A89),'NY East Load Projections'!$A$4:$EO$14,((MONTH($A89)-1)*12)+VLOOKUP(AK$4,$DE$6:$DF$17,2)+1))*(VLOOKUP($A89,CURVES!$D$9:$T$261,7))*(INDEX(DailyScalarsTable,AK$5/100,MONTH($A89)))*$C89</f>
        <v>-8363.3521788799826</v>
      </c>
      <c r="AL89" s="1021">
        <f>(VLOOKUP(YEAR($A89),'NY East Load Projections'!$A$4:$EO$14,((MONTH($A89)-1)*12)+VLOOKUP(AL$4,$DE$6:$DF$17,2)+1))*(VLOOKUP($A89,CURVES!$D$9:$T$261,7))*(INDEX(DailyScalarsTable,AL$5/100,MONTH($A89)))*$C89</f>
        <v>-9635.6150199914555</v>
      </c>
      <c r="AM89" s="1021">
        <f>(VLOOKUP(YEAR($A89),'NY East Load Projections'!$A$4:$EO$14,((MONTH($A89)-1)*12)+VLOOKUP(AM$4,$DE$6:$DF$17,2)+1))*(VLOOKUP($A89,CURVES!$D$9:$T$261,7))*(INDEX(DailyScalarsTable,AM$5/100,MONTH($A89)))*$C89</f>
        <v>-13802.06824004904</v>
      </c>
      <c r="AN89" s="1021">
        <f>(VLOOKUP(YEAR($A89),'NY East Load Projections'!$A$4:$EO$14,((MONTH($A89)-1)*12)+VLOOKUP(AN$4,$DE$6:$DF$17,2)+1))*(VLOOKUP($A89,SatSunCurve,3))*(INDEX(DailyScalarsTable,AN$5/100,MONTH($A89)))*$C89</f>
        <v>-12543.957085724822</v>
      </c>
      <c r="AO89" s="1021">
        <f>(VLOOKUP(YEAR($A89),'NY East Load Projections'!$A$4:$EO$14,((MONTH($A89)-1)*12)+VLOOKUP(AO$4,$DE$6:$DF$17,2)+1))*(VLOOKUP($A89,SatSunCurve,3))*(INDEX(DailyScalarsTable,AO$5/100,MONTH($A89)))*$C89</f>
        <v>-14231.41852774948</v>
      </c>
      <c r="AP89" s="1021">
        <f>(VLOOKUP(YEAR($A89),'NY East Load Projections'!$A$4:$EO$14,((MONTH($A89)-1)*12)+VLOOKUP(AP$4,$DE$6:$DF$17,2)+1))*(VLOOKUP($A89,SatSunCurve,3))*(INDEX(DailyScalarsTable,AP$5/100,MONTH($A89)))*$C89</f>
        <v>-14159.270934250835</v>
      </c>
      <c r="AQ89" s="1021">
        <f>(VLOOKUP(YEAR($A89),'NY East Load Projections'!$A$4:$EO$14,((MONTH($A89)-1)*12)+VLOOKUP(AQ$4,$DE$6:$DF$17,2)+1))*(VLOOKUP($A89,SatSunCurve,3))*(INDEX(DailyScalarsTable,AQ$5/100,MONTH($A89)))*$C89</f>
        <v>-13851.115111171883</v>
      </c>
      <c r="AR89" s="1021">
        <f>(VLOOKUP(YEAR($A89),'NY East Load Projections'!$A$4:$EO$14,((MONTH($A89)-1)*12)+VLOOKUP(AR$4,$DE$6:$DF$17,2)+1))*(VLOOKUP($A89,SatSunCurve,3))*(INDEX(DailyScalarsTable,AR$5/100,MONTH($A89)))*$C89</f>
        <v>-11255.024585788469</v>
      </c>
      <c r="AS89" s="1021">
        <f>(VLOOKUP(YEAR($A89),'NY East Load Projections'!$A$4:$EO$14,((MONTH($A89)-1)*12)+VLOOKUP(AS$4,$DE$6:$DF$17,2)+1))*(VLOOKUP($A89,SatSunCurve,3))*(INDEX(DailyScalarsTable,AS$5/100,MONTH($A89)))*$C89</f>
        <v>-10817.998141755415</v>
      </c>
      <c r="AT89" s="1021">
        <f>(VLOOKUP(YEAR($A89),'NY East Load Projections'!$A$4:$EO$14,((MONTH($A89)-1)*12)+VLOOKUP(AT$4,$DE$6:$DF$17,2)+1))*(VLOOKUP($A89,SatSunCurve,3))*(INDEX(DailyScalarsTable,AT$5/100,MONTH($A89)))*$C89</f>
        <v>-10351.843689881853</v>
      </c>
      <c r="AU89" s="1021">
        <f>(VLOOKUP(YEAR($A89),'NY East Load Projections'!$A$4:$EO$14,((MONTH($A89)-1)*12)+VLOOKUP(AU$4,$DE$6:$DF$17,2)+1))*(VLOOKUP($A89,SatSunCurve,3))*(INDEX(DailyScalarsTable,AU$5/100,MONTH($A89)))*$C89</f>
        <v>-9831.283943890423</v>
      </c>
      <c r="AV89" s="1021">
        <f>(VLOOKUP(YEAR($A89),'NY East Load Projections'!$A$4:$EO$14,((MONTH($A89)-1)*12)+VLOOKUP(AV$4,$DE$6:$DF$17,2)+1))*(VLOOKUP($A89,SatSunCurve,3))*(INDEX(DailyScalarsTable,AV$5/100,MONTH($A89)))*$C89</f>
        <v>-9660.6491577934685</v>
      </c>
      <c r="AW89" s="1021">
        <f>(VLOOKUP(YEAR($A89),'NY East Load Projections'!$A$4:$EO$14,((MONTH($A89)-1)*12)+VLOOKUP(AW$4,$DE$6:$DF$17,2)+1))*(VLOOKUP($A89,SatSunCurve,3))*(INDEX(DailyScalarsTable,AW$5/100,MONTH($A89)))*$C89</f>
        <v>-10483.240651611668</v>
      </c>
      <c r="AX89" s="1021">
        <f>(VLOOKUP(YEAR($A89),'NY East Load Projections'!$A$4:$EO$14,((MONTH($A89)-1)*12)+VLOOKUP(AX$4,$DE$6:$DF$17,2)+1))*(VLOOKUP($A89,SatSunCurve,3))*(INDEX(DailyScalarsTable,AX$5/100,MONTH($A89)))*$C89</f>
        <v>-14774.495536336897</v>
      </c>
      <c r="AY89" s="1021">
        <f>(VLOOKUP(YEAR($A89),'NY East Load Projections'!$A$4:$EO$14,((MONTH($A89)-1)*12)+VLOOKUP(AY$4,$DE$6:$DF$17,2)+1))*(VLOOKUP($A89,SatSunCurve,3))*(INDEX(DailyScalarsTable,AY$5/100,MONTH($A89)))*$C89</f>
        <v>-14676.060184623246</v>
      </c>
      <c r="AZ89" s="1021">
        <f>(VLOOKUP(YEAR($A89),'NY East Load Projections'!$A$4:$EO$14,((MONTH($A89)-1)*12)+VLOOKUP(AZ$4,$DE$6:$DF$17,2)+1))*(VLOOKUP($A89,SatSunCurve,3))*(INDEX(DailyScalarsTable,AZ$5/100,MONTH($A89)))*$C89</f>
        <v>-14170.684895337741</v>
      </c>
      <c r="BA89" s="1021">
        <f>(VLOOKUP(YEAR($A89),'NY East Load Projections'!$A$4:$EO$14,((MONTH($A89)-1)*12)+VLOOKUP(BA$4,$DE$6:$DF$17,2)+1))*(VLOOKUP($A89,SatSunCurve,3))*(INDEX(DailyScalarsTable,BA$5/100,MONTH($A89)))*$C89</f>
        <v>-13297.674559076455</v>
      </c>
      <c r="BB89" s="1021">
        <f>(VLOOKUP(YEAR($A89),'NY East Load Projections'!$A$4:$EO$14,((MONTH($A89)-1)*12)+VLOOKUP(BB$4,$DE$6:$DF$17,2)+1))*(VLOOKUP($A89,SatSunCurve,3))*(INDEX(DailyScalarsTable,BB$5/100,MONTH($A89)))*$C89</f>
        <v>-9802.9926166643927</v>
      </c>
      <c r="BC89" s="1021">
        <f>(VLOOKUP(YEAR($A89),'NY East Load Projections'!$A$4:$EO$14,((MONTH($A89)-1)*12)+VLOOKUP(BC$4,$DE$6:$DF$17,2)+1))*(VLOOKUP($A89,SatSunCurve,3))*(INDEX(DailyScalarsTable,BC$5/100,MONTH($A89)))*$C89</f>
        <v>-8087.6128164494839</v>
      </c>
      <c r="BD89" s="1021">
        <f>(VLOOKUP(YEAR($A89),'NY East Load Projections'!$A$4:$EO$14,((MONTH($A89)-1)*12)+VLOOKUP(BD$4,$DE$6:$DF$17,2)+1))*(VLOOKUP($A89,CURVES!$D$9:$T$261,7))*(INDEX(DailyScalarsTable,BD$5/100,MONTH($A89)))*$C89</f>
        <v>-9673.3602719533228</v>
      </c>
      <c r="BE89" s="1021"/>
      <c r="BF89" s="1021">
        <f>(VLOOKUP(YEAR($A89),'NY East Load Projections'!$A$4:$EO$14,((MONTH($A89)-1)*12)+VLOOKUP(BF$4,$DE$6:$DF$17,2)+1))*(VLOOKUP($A89,CURVES!$D$9:$T$261,7))*(INDEX(DailyScalarsTable,BF$5/100,MONTH($A89)))*$D89</f>
        <v>-8386.3491717249708</v>
      </c>
      <c r="BG89" s="1021">
        <f>(VLOOKUP(YEAR($A89),'NY East Load Projections'!$A$4:$EO$14,((MONTH($A89)-1)*12)+VLOOKUP(BG$4,$DE$6:$DF$17,2)+1))*(VLOOKUP($A89,CURVES!$D$9:$T$261,7))*(INDEX(DailyScalarsTable,BG$5/100,MONTH($A89)))*$D89</f>
        <v>-7950.5657774330748</v>
      </c>
      <c r="BH89" s="1021">
        <f>(VLOOKUP(YEAR($A89),'NY East Load Projections'!$A$4:$EO$14,((MONTH($A89)-1)*12)+VLOOKUP(BH$4,$DE$6:$DF$17,2)+1))*(VLOOKUP($A89,CURVES!$D$9:$T$261,7))*(INDEX(DailyScalarsTable,BH$5/100,MONTH($A89)))*$D89</f>
        <v>-7630.2694938437944</v>
      </c>
      <c r="BI89" s="1021">
        <f>(VLOOKUP(YEAR($A89),'NY East Load Projections'!$A$4:$EO$14,((MONTH($A89)-1)*12)+VLOOKUP(BI$4,$DE$6:$DF$17,2)+1))*(VLOOKUP($A89,CURVES!$D$9:$T$261,7))*(INDEX(DailyScalarsTable,BI$5/100,MONTH($A89)))*$D89</f>
        <v>-7634.7807091056156</v>
      </c>
      <c r="BJ89" s="1021">
        <f>(VLOOKUP(YEAR($A89),'NY East Load Projections'!$A$4:$EO$14,((MONTH($A89)-1)*12)+VLOOKUP(BJ$4,$DE$6:$DF$17,2)+1))*(VLOOKUP($A89,CURVES!$D$9:$T$261,7))*(INDEX(DailyScalarsTable,BJ$5/100,MONTH($A89)))*$D89</f>
        <v>-8363.3521788799826</v>
      </c>
      <c r="BK89" s="1021">
        <f>(VLOOKUP(YEAR($A89),'NY East Load Projections'!$A$4:$EO$14,((MONTH($A89)-1)*12)+VLOOKUP(BK$4,$DE$6:$DF$17,2)+1))*(VLOOKUP($A89,CURVES!$D$9:$T$261,7))*(INDEX(DailyScalarsTable,BK$5/100,MONTH($A89)))*$D89</f>
        <v>-9635.6150199914555</v>
      </c>
      <c r="BL89" s="1021">
        <f>(VLOOKUP(YEAR($A89),'NY East Load Projections'!$A$4:$EO$14,((MONTH($A89)-1)*12)+VLOOKUP(BL$4,$DE$6:$DF$17,2)+1))*(VLOOKUP($A89,CURVES!$D$9:$T$261,7))*(INDEX(DailyScalarsTable,BL$5/100,MONTH($A89)))*$D89</f>
        <v>-13802.06824004904</v>
      </c>
      <c r="BM89" s="1021">
        <f>(VLOOKUP(YEAR($A89),'NY East Load Projections'!$A$4:$EO$14,((MONTH($A89)-1)*12)+VLOOKUP(BM$4,$DE$6:$DF$17,2)+1))*(VLOOKUP($A89,SatSunCurve,7))*(INDEX(DailyScalarsTable,BM$5/100,MONTH($A89)))*$D89</f>
        <v>-10869.359418950771</v>
      </c>
      <c r="BN89" s="1021">
        <f>(VLOOKUP(YEAR($A89),'NY East Load Projections'!$A$4:$EO$14,((MONTH($A89)-1)*12)+VLOOKUP(BN$4,$DE$6:$DF$17,2)+1))*(VLOOKUP($A89,SatSunCurve,7))*(INDEX(DailyScalarsTable,BN$5/100,MONTH($A89)))*$D89</f>
        <v>-12331.547530217507</v>
      </c>
      <c r="BO89" s="1021">
        <f>(VLOOKUP(YEAR($A89),'NY East Load Projections'!$A$4:$EO$14,((MONTH($A89)-1)*12)+VLOOKUP(BO$4,$DE$6:$DF$17,2)+1))*(VLOOKUP($A89,SatSunCurve,7))*(INDEX(DailyScalarsTable,BO$5/100,MONTH($A89)))*$D89</f>
        <v>-12269.031521944364</v>
      </c>
      <c r="BP89" s="1021">
        <f>(VLOOKUP(YEAR($A89),'NY East Load Projections'!$A$4:$EO$14,((MONTH($A89)-1)*12)+VLOOKUP(BP$4,$DE$6:$DF$17,2)+1))*(VLOOKUP($A89,SatSunCurve,7))*(INDEX(DailyScalarsTable,BP$5/100,MONTH($A89)))*$D89</f>
        <v>-12002.013995082807</v>
      </c>
      <c r="BQ89" s="1021">
        <f>(VLOOKUP(YEAR($A89),'NY East Load Projections'!$A$4:$EO$14,((MONTH($A89)-1)*12)+VLOOKUP(BQ$4,$DE$6:$DF$17,2)+1))*(VLOOKUP($A89,SatSunCurve,7))*(INDEX(DailyScalarsTable,BQ$5/100,MONTH($A89)))*$D89</f>
        <v>-9752.4972906102375</v>
      </c>
      <c r="BR89" s="1021">
        <f>(VLOOKUP(YEAR($A89),'NY East Load Projections'!$A$4:$EO$14,((MONTH($A89)-1)*12)+VLOOKUP(BR$4,$DE$6:$DF$17,2)+1))*(VLOOKUP($A89,SatSunCurve,7))*(INDEX(DailyScalarsTable,BR$5/100,MONTH($A89)))*$D89</f>
        <v>-9373.8131590145513</v>
      </c>
      <c r="BS89" s="1021">
        <f>(VLOOKUP(YEAR($A89),'NY East Load Projections'!$A$4:$EO$14,((MONTH($A89)-1)*12)+VLOOKUP(BS$4,$DE$6:$DF$17,2)+1))*(VLOOKUP($A89,SatSunCurve,7))*(INDEX(DailyScalarsTable,BS$5/100,MONTH($A89)))*$D89</f>
        <v>-8969.8895607806407</v>
      </c>
      <c r="BT89" s="1021">
        <f>(VLOOKUP(YEAR($A89),'NY East Load Projections'!$A$4:$EO$14,((MONTH($A89)-1)*12)+VLOOKUP(BT$4,$DE$6:$DF$17,2)+1))*(VLOOKUP($A89,SatSunCurve,7))*(INDEX(DailyScalarsTable,BT$5/100,MONTH($A89)))*$D89</f>
        <v>-8518.8236858297732</v>
      </c>
      <c r="BU89" s="1021">
        <f>(VLOOKUP(YEAR($A89),'NY East Load Projections'!$A$4:$EO$14,((MONTH($A89)-1)*12)+VLOOKUP(BU$4,$DE$6:$DF$17,2)+1))*(VLOOKUP($A89,SatSunCurve,7))*(INDEX(DailyScalarsTable,BU$5/100,MONTH($A89)))*$D89</f>
        <v>-8370.9683633993227</v>
      </c>
      <c r="BV89" s="1021">
        <f>(VLOOKUP(YEAR($A89),'NY East Load Projections'!$A$4:$EO$14,((MONTH($A89)-1)*12)+VLOOKUP(BV$4,$DE$6:$DF$17,2)+1))*(VLOOKUP($A89,SatSunCurve,7))*(INDEX(DailyScalarsTable,BV$5/100,MONTH($A89)))*$D89</f>
        <v>-9083.7452439465815</v>
      </c>
      <c r="BW89" s="1021">
        <f>(VLOOKUP(YEAR($A89),'NY East Load Projections'!$A$4:$EO$14,((MONTH($A89)-1)*12)+VLOOKUP(BW$4,$DE$6:$DF$17,2)+1))*(VLOOKUP($A89,SatSunCurve,7))*(INDEX(DailyScalarsTable,BW$5/100,MONTH($A89)))*$D89</f>
        <v>-12802.124650193691</v>
      </c>
      <c r="BX89" s="1021">
        <f>(VLOOKUP(YEAR($A89),'NY East Load Projections'!$A$4:$EO$14,((MONTH($A89)-1)*12)+VLOOKUP(BX$4,$DE$6:$DF$17,2)+1))*(VLOOKUP($A89,SatSunCurve,7))*(INDEX(DailyScalarsTable,BX$5/100,MONTH($A89)))*$D89</f>
        <v>-12716.830256248093</v>
      </c>
      <c r="BY89" s="1021">
        <f>(VLOOKUP(YEAR($A89),'NY East Load Projections'!$A$4:$EO$14,((MONTH($A89)-1)*12)+VLOOKUP(BY$4,$DE$6:$DF$17,2)+1))*(VLOOKUP($A89,SatSunCurve,7))*(INDEX(DailyScalarsTable,BY$5/100,MONTH($A89)))*$D89</f>
        <v>-12278.921737974253</v>
      </c>
      <c r="BZ89" s="1021">
        <f>(VLOOKUP(YEAR($A89),'NY East Load Projections'!$A$4:$EO$14,((MONTH($A89)-1)*12)+VLOOKUP(BZ$4,$DE$6:$DF$17,2)+1))*(VLOOKUP($A89,SatSunCurve,7))*(INDEX(DailyScalarsTable,BZ$5/100,MONTH($A89)))*$D89</f>
        <v>-11522.456847634214</v>
      </c>
      <c r="CA89" s="1021">
        <f>(VLOOKUP(YEAR($A89),'NY East Load Projections'!$A$4:$EO$14,((MONTH($A89)-1)*12)+VLOOKUP(CA$4,$DE$6:$DF$17,2)+1))*(VLOOKUP($A89,SatSunCurve,7))*(INDEX(DailyScalarsTable,CA$5/100,MONTH($A89)))*$D89</f>
        <v>-8494.3092043182896</v>
      </c>
      <c r="CB89" s="1021">
        <f>(VLOOKUP(YEAR($A89),'NY East Load Projections'!$A$4:$EO$14,((MONTH($A89)-1)*12)+VLOOKUP(CB$4,$DE$6:$DF$17,2)+1))*(VLOOKUP($A89,SatSunCurve,7))*(INDEX(DailyScalarsTable,CB$5/100,MONTH($A89)))*$D89</f>
        <v>-7007.9297898221939</v>
      </c>
      <c r="CC89" s="1021">
        <f>(VLOOKUP(YEAR($A89),'NY East Load Projections'!$A$4:$EO$14,((MONTH($A89)-1)*12)+VLOOKUP(CC$4,$DE$6:$DF$17,2)+1))*(VLOOKUP($A89,CURVES!$D$9:$T$261,7))*(INDEX(DailyScalarsTable,CC$5/100,MONTH($A89)))*$D89</f>
        <v>-9673.3602719533228</v>
      </c>
      <c r="CE89" s="1021">
        <f>(VLOOKUP(YEAR($A89),'NY East Load Projections'!$A$4:$EO$14,((MONTH($A89)-1)*12)+VLOOKUP(CE$4,$DE$6:$DF$17,2)+1))*(VLOOKUP($A89,CURVES!$D$9:$T$261,7))*(INDEX(DailyScalarsTable,CE$5/100,MONTH($A89)))*$E89</f>
        <v>-1677.269834344994</v>
      </c>
      <c r="CF89" s="1021">
        <f>(VLOOKUP(YEAR($A89),'NY East Load Projections'!$A$4:$EO$14,((MONTH($A89)-1)*12)+VLOOKUP(CF$4,$DE$6:$DF$17,2)+1))*(VLOOKUP($A89,CURVES!$D$9:$T$261,7))*(INDEX(DailyScalarsTable,CF$5/100,MONTH($A89)))*$E89</f>
        <v>-1590.1131554866149</v>
      </c>
      <c r="CG89" s="1021">
        <f>(VLOOKUP(YEAR($A89),'NY East Load Projections'!$A$4:$EO$14,((MONTH($A89)-1)*12)+VLOOKUP(CG$4,$DE$6:$DF$17,2)+1))*(VLOOKUP($A89,CURVES!$D$9:$T$261,7))*(INDEX(DailyScalarsTable,CG$5/100,MONTH($A89)))*$E89</f>
        <v>-1526.0538987687589</v>
      </c>
      <c r="CH89" s="1021">
        <f>(VLOOKUP(YEAR($A89),'NY East Load Projections'!$A$4:$EO$14,((MONTH($A89)-1)*12)+VLOOKUP(CH$4,$DE$6:$DF$17,2)+1))*(VLOOKUP($A89,CURVES!$D$9:$T$261,7))*(INDEX(DailyScalarsTable,CH$5/100,MONTH($A89)))*$E89</f>
        <v>-1526.9561418211231</v>
      </c>
      <c r="CI89" s="1021">
        <f>(VLOOKUP(YEAR($A89),'NY East Load Projections'!$A$4:$EO$14,((MONTH($A89)-1)*12)+VLOOKUP(CI$4,$DE$6:$DF$17,2)+1))*(VLOOKUP($A89,CURVES!$D$9:$T$261,7))*(INDEX(DailyScalarsTable,CI$5/100,MONTH($A89)))*$E89</f>
        <v>-1672.6704357759966</v>
      </c>
      <c r="CJ89" s="1021">
        <f>(VLOOKUP(YEAR($A89),'NY East Load Projections'!$A$4:$EO$14,((MONTH($A89)-1)*12)+VLOOKUP(CJ$4,$DE$6:$DF$17,2)+1))*(VLOOKUP($A89,CURVES!$D$9:$T$261,7))*(INDEX(DailyScalarsTable,CJ$5/100,MONTH($A89)))*$E89</f>
        <v>-1927.1230039982911</v>
      </c>
      <c r="CK89" s="1021">
        <f>(VLOOKUP(YEAR($A89),'NY East Load Projections'!$A$4:$EO$14,((MONTH($A89)-1)*12)+VLOOKUP(CK$4,$DE$6:$DF$17,2)+1))*(VLOOKUP($A89,CURVES!$D$9:$T$261,7))*(INDEX(DailyScalarsTable,CK$5/100,MONTH($A89)))*$E89</f>
        <v>-2760.4136480098082</v>
      </c>
      <c r="CL89" s="1021">
        <f>(VLOOKUP(YEAR($A89),'NY East Load Projections'!$A$4:$EO$14,((MONTH($A89)-1)*12)+VLOOKUP(CL$4,$DE$6:$DF$17,2)+1))*(VLOOKUP($A89,SatSunCurve,7))*(INDEX(DailyScalarsTable,CL$5/100,MONTH($A89)))*$E89</f>
        <v>-2173.8718837901542</v>
      </c>
      <c r="CM89" s="1021">
        <f>(VLOOKUP(YEAR($A89),'NY East Load Projections'!$A$4:$EO$14,((MONTH($A89)-1)*12)+VLOOKUP(CM$4,$DE$6:$DF$17,2)+1))*(VLOOKUP($A89,SatSunCurve,7))*(INDEX(DailyScalarsTable,CM$5/100,MONTH($A89)))*$E89</f>
        <v>-2466.3095060435016</v>
      </c>
      <c r="CN89" s="1021">
        <f>(VLOOKUP(YEAR($A89),'NY East Load Projections'!$A$4:$EO$14,((MONTH($A89)-1)*12)+VLOOKUP(CN$4,$DE$6:$DF$17,2)+1))*(VLOOKUP($A89,SatSunCurve,7))*(INDEX(DailyScalarsTable,CN$5/100,MONTH($A89)))*$E89</f>
        <v>-2453.8063043888728</v>
      </c>
      <c r="CO89" s="1021">
        <f>(VLOOKUP(YEAR($A89),'NY East Load Projections'!$A$4:$EO$14,((MONTH($A89)-1)*12)+VLOOKUP(CO$4,$DE$6:$DF$17,2)+1))*(VLOOKUP($A89,SatSunCurve,7))*(INDEX(DailyScalarsTable,CO$5/100,MONTH($A89)))*$E89</f>
        <v>-2400.4027990165614</v>
      </c>
      <c r="CP89" s="1021">
        <f>(VLOOKUP(YEAR($A89),'NY East Load Projections'!$A$4:$EO$14,((MONTH($A89)-1)*12)+VLOOKUP(CP$4,$DE$6:$DF$17,2)+1))*(VLOOKUP($A89,SatSunCurve,7))*(INDEX(DailyScalarsTable,CP$5/100,MONTH($A89)))*$E89</f>
        <v>-1950.4994581220476</v>
      </c>
      <c r="CQ89" s="1021">
        <f>(VLOOKUP(YEAR($A89),'NY East Load Projections'!$A$4:$EO$14,((MONTH($A89)-1)*12)+VLOOKUP(CQ$4,$DE$6:$DF$17,2)+1))*(VLOOKUP($A89,SatSunCurve,7))*(INDEX(DailyScalarsTable,CQ$5/100,MONTH($A89)))*$E89</f>
        <v>-1874.7626318029102</v>
      </c>
      <c r="CR89" s="1021">
        <f>(VLOOKUP(YEAR($A89),'NY East Load Projections'!$A$4:$EO$14,((MONTH($A89)-1)*12)+VLOOKUP(CR$4,$DE$6:$DF$17,2)+1))*(VLOOKUP($A89,SatSunCurve,7))*(INDEX(DailyScalarsTable,CR$5/100,MONTH($A89)))*$E89</f>
        <v>-1793.977912156128</v>
      </c>
      <c r="CS89" s="1021">
        <f>(VLOOKUP(YEAR($A89),'NY East Load Projections'!$A$4:$EO$14,((MONTH($A89)-1)*12)+VLOOKUP(CS$4,$DE$6:$DF$17,2)+1))*(VLOOKUP($A89,SatSunCurve,7))*(INDEX(DailyScalarsTable,CS$5/100,MONTH($A89)))*$E89</f>
        <v>-1703.7647371659548</v>
      </c>
      <c r="CT89" s="1021">
        <f>(VLOOKUP(YEAR($A89),'NY East Load Projections'!$A$4:$EO$14,((MONTH($A89)-1)*12)+VLOOKUP(CT$4,$DE$6:$DF$17,2)+1))*(VLOOKUP($A89,SatSunCurve,7))*(INDEX(DailyScalarsTable,CT$5/100,MONTH($A89)))*$E89</f>
        <v>-1674.1936726798647</v>
      </c>
      <c r="CU89" s="1021">
        <f>(VLOOKUP(YEAR($A89),'NY East Load Projections'!$A$4:$EO$14,((MONTH($A89)-1)*12)+VLOOKUP(CU$4,$DE$6:$DF$17,2)+1))*(VLOOKUP($A89,SatSunCurve,7))*(INDEX(DailyScalarsTable,CU$5/100,MONTH($A89)))*$E89</f>
        <v>-1816.7490487893165</v>
      </c>
      <c r="CV89" s="1021">
        <f>(VLOOKUP(YEAR($A89),'NY East Load Projections'!$A$4:$EO$14,((MONTH($A89)-1)*12)+VLOOKUP(CV$4,$DE$6:$DF$17,2)+1))*(VLOOKUP($A89,SatSunCurve,7))*(INDEX(DailyScalarsTable,CV$5/100,MONTH($A89)))*$E89</f>
        <v>-2560.4249300387382</v>
      </c>
      <c r="CW89" s="1021">
        <f>(VLOOKUP(YEAR($A89),'NY East Load Projections'!$A$4:$EO$14,((MONTH($A89)-1)*12)+VLOOKUP(CW$4,$DE$6:$DF$17,2)+1))*(VLOOKUP($A89,SatSunCurve,7))*(INDEX(DailyScalarsTable,CW$5/100,MONTH($A89)))*$E89</f>
        <v>-2543.3660512496185</v>
      </c>
      <c r="CX89" s="1021">
        <f>(VLOOKUP(YEAR($A89),'NY East Load Projections'!$A$4:$EO$14,((MONTH($A89)-1)*12)+VLOOKUP(CX$4,$DE$6:$DF$17,2)+1))*(VLOOKUP($A89,SatSunCurve,7))*(INDEX(DailyScalarsTable,CX$5/100,MONTH($A89)))*$E89</f>
        <v>-2455.7843475948507</v>
      </c>
      <c r="CY89" s="1021">
        <f>(VLOOKUP(YEAR($A89),'NY East Load Projections'!$A$4:$EO$14,((MONTH($A89)-1)*12)+VLOOKUP(CY$4,$DE$6:$DF$17,2)+1))*(VLOOKUP($A89,SatSunCurve,7))*(INDEX(DailyScalarsTable,CY$5/100,MONTH($A89)))*$E89</f>
        <v>-2304.4913695268428</v>
      </c>
      <c r="CZ89" s="1021">
        <f>(VLOOKUP(YEAR($A89),'NY East Load Projections'!$A$4:$EO$14,((MONTH($A89)-1)*12)+VLOOKUP(CZ$4,$DE$6:$DF$17,2)+1))*(VLOOKUP($A89,SatSunCurve,7))*(INDEX(DailyScalarsTable,CZ$5/100,MONTH($A89)))*$E89</f>
        <v>-1698.861840863658</v>
      </c>
      <c r="DA89" s="1021">
        <f>(VLOOKUP(YEAR($A89),'NY East Load Projections'!$A$4:$EO$14,((MONTH($A89)-1)*12)+VLOOKUP(DA$4,$DE$6:$DF$17,2)+1))*(VLOOKUP($A89,SatSunCurve,7))*(INDEX(DailyScalarsTable,DA$5/100,MONTH($A89)))*$E89</f>
        <v>-1401.5859579644389</v>
      </c>
      <c r="DB89" s="1021">
        <f>(VLOOKUP(YEAR($A89),'NY East Load Projections'!$A$4:$EO$14,((MONTH($A89)-1)*12)+VLOOKUP(DB$4,$DE$6:$DF$17,2)+1))*(VLOOKUP($A89,CURVES!$D$9:$T$261,7))*(INDEX(DailyScalarsTable,DB$5/100,MONTH($A89)))*$E89</f>
        <v>-1934.6720543906645</v>
      </c>
      <c r="DH89" s="1032">
        <f t="shared" si="2"/>
        <v>-1787176.8979135631</v>
      </c>
      <c r="DI89">
        <f ca="1">CALC!J109</f>
        <v>0.56471969020165991</v>
      </c>
      <c r="DJ89" s="1029">
        <f t="shared" ca="1" si="3"/>
        <v>-1009253.9841253109</v>
      </c>
    </row>
    <row r="90" spans="1:114" x14ac:dyDescent="0.25">
      <c r="A90" s="244">
        <v>39448</v>
      </c>
      <c r="B90" s="13">
        <v>22</v>
      </c>
      <c r="C90" s="210">
        <v>4</v>
      </c>
      <c r="D90" s="210">
        <v>4</v>
      </c>
      <c r="E90" s="210">
        <v>1</v>
      </c>
      <c r="F90" s="13">
        <v>31</v>
      </c>
      <c r="H90" s="1021">
        <f>(VLOOKUP(YEAR($A90),'NY East Load Projections'!$A$4:$EO$14,((MONTH($A90)-1)*12)+VLOOKUP(H$4,$DE$6:$DF$17,2)+1))*(VLOOKUP($A90,CURVES!$D$9:$K$261,7))*(INDEX(DailyScalarsTable,H$5/100,MONTH($A90)))*$B90</f>
        <v>-33666.339954024836</v>
      </c>
      <c r="I90" s="1021">
        <f>(VLOOKUP(YEAR($A90),'NY East Load Projections'!$A$4:$EO$14,((MONTH($A90)-1)*12)+VLOOKUP(I$4,$DE$6:$DF$17,2)+1))*(VLOOKUP($A90,CURVES!$D$9:$K$261,7))*(INDEX(DailyScalarsTable,I$5/100,MONTH($A90)))*$B90</f>
        <v>-33010.425856724898</v>
      </c>
      <c r="J90" s="1021">
        <f>(VLOOKUP(YEAR($A90),'NY East Load Projections'!$A$4:$EO$14,((MONTH($A90)-1)*12)+VLOOKUP(J$4,$DE$6:$DF$17,2)+1))*(VLOOKUP($A90,CURVES!$D$9:$K$261,7))*(INDEX(DailyScalarsTable,J$5/100,MONTH($A90)))*$B90</f>
        <v>-30249.12263491323</v>
      </c>
      <c r="K90" s="1021">
        <f>(VLOOKUP(YEAR($A90),'NY East Load Projections'!$A$4:$EO$14,((MONTH($A90)-1)*12)+VLOOKUP(K$4,$DE$6:$DF$17,2)+1))*(VLOOKUP($A90,CURVES!$D$9:$K$261,7))*(INDEX(DailyScalarsTable,K$5/100,MONTH($A90)))*$B90</f>
        <v>-30230.833546454716</v>
      </c>
      <c r="L90" s="1021">
        <f>(VLOOKUP(YEAR($A90),'NY East Load Projections'!$A$4:$EO$14,((MONTH($A90)-1)*12)+VLOOKUP(L$4,$DE$6:$DF$17,2)+1))*(VLOOKUP($A90,CURVES!$D$9:$K$261,7))*(INDEX(DailyScalarsTable,L$5/100,MONTH($A90)))*$B90</f>
        <v>-34260.685417132438</v>
      </c>
      <c r="M90" s="1021">
        <f>(VLOOKUP(YEAR($A90),'NY East Load Projections'!$A$4:$EO$14,((MONTH($A90)-1)*12)+VLOOKUP(M$4,$DE$6:$DF$17,2)+1))*(VLOOKUP($A90,CURVES!$D$9:$K$261,7))*(INDEX(DailyScalarsTable,M$5/100,MONTH($A90)))*$B90</f>
        <v>-36563.618671987533</v>
      </c>
      <c r="N90" s="1021">
        <f>(VLOOKUP(YEAR($A90),'NY East Load Projections'!$A$4:$EO$14,((MONTH($A90)-1)*12)+VLOOKUP(N$4,$DE$6:$DF$17,2)+1))*(VLOOKUP($A90,CURVES!$D$9:$K$261,7))*(INDEX(DailyScalarsTable,N$5/100,MONTH($A90)))*$B90</f>
        <v>-70018.884550075745</v>
      </c>
      <c r="O90" s="1021">
        <f>(VLOOKUP(YEAR($A90),'NY East Load Projections'!$A$4:$EO$14,((MONTH($A90)-1)*12)+VLOOKUP(O$4,$DE$6:$DF$17,2)+1))*(VLOOKUP($A90,CURVES!$D$9:$K$261,3))*(INDEX(DailyScalarsTable,O$5/100,MONTH($A90)))*$B90</f>
        <v>-82650.173263628603</v>
      </c>
      <c r="P90" s="1021">
        <f>(VLOOKUP(YEAR($A90),'NY East Load Projections'!$A$4:$EO$14,((MONTH($A90)-1)*12)+VLOOKUP(P$4,$DE$6:$DF$17,2)+1))*(VLOOKUP($A90,CURVES!$D$9:$K$261,3))*(INDEX(DailyScalarsTable,P$5/100,MONTH($A90)))*$B90</f>
        <v>-91940.774194328886</v>
      </c>
      <c r="Q90" s="1021">
        <f>(VLOOKUP(YEAR($A90),'NY East Load Projections'!$A$4:$EO$14,((MONTH($A90)-1)*12)+VLOOKUP(Q$4,$DE$6:$DF$17,2)+1))*(VLOOKUP($A90,CURVES!$D$9:$K$261,3))*(INDEX(DailyScalarsTable,Q$5/100,MONTH($A90)))*$B90</f>
        <v>-91660.943407650906</v>
      </c>
      <c r="R90" s="1021">
        <f>(VLOOKUP(YEAR($A90),'NY East Load Projections'!$A$4:$EO$14,((MONTH($A90)-1)*12)+VLOOKUP(R$4,$DE$6:$DF$17,2)+1))*(VLOOKUP($A90,CURVES!$D$9:$K$261,3))*(INDEX(DailyScalarsTable,R$5/100,MONTH($A90)))*$B90</f>
        <v>-90061.339722196455</v>
      </c>
      <c r="S90" s="1021">
        <f>(VLOOKUP(YEAR($A90),'NY East Load Projections'!$A$4:$EO$14,((MONTH($A90)-1)*12)+VLOOKUP(S$4,$DE$6:$DF$17,2)+1))*(VLOOKUP($A90,CURVES!$D$9:$K$261,3))*(INDEX(DailyScalarsTable,S$5/100,MONTH($A90)))*$B90</f>
        <v>-67464.464449627878</v>
      </c>
      <c r="T90" s="1021">
        <f>(VLOOKUP(YEAR($A90),'NY East Load Projections'!$A$4:$EO$14,((MONTH($A90)-1)*12)+VLOOKUP(T$4,$DE$6:$DF$17,2)+1))*(VLOOKUP($A90,CURVES!$D$9:$K$261,3))*(INDEX(DailyScalarsTable,T$5/100,MONTH($A90)))*$B90</f>
        <v>-66306.357730553922</v>
      </c>
      <c r="U90" s="1021">
        <f>(VLOOKUP(YEAR($A90),'NY East Load Projections'!$A$4:$EO$14,((MONTH($A90)-1)*12)+VLOOKUP(U$4,$DE$6:$DF$17,2)+1))*(VLOOKUP($A90,CURVES!$D$9:$K$261,3))*(INDEX(DailyScalarsTable,U$5/100,MONTH($A90)))*$B90</f>
        <v>-64165.441173039537</v>
      </c>
      <c r="V90" s="1021">
        <f>(VLOOKUP(YEAR($A90),'NY East Load Projections'!$A$4:$EO$14,((MONTH($A90)-1)*12)+VLOOKUP(V$4,$DE$6:$DF$17,2)+1))*(VLOOKUP($A90,CURVES!$D$9:$K$261,3))*(INDEX(DailyScalarsTable,V$5/100,MONTH($A90)))*$B90</f>
        <v>-60899.76772842522</v>
      </c>
      <c r="W90" s="1021">
        <f>(VLOOKUP(YEAR($A90),'NY East Load Projections'!$A$4:$EO$14,((MONTH($A90)-1)*12)+VLOOKUP(W$4,$DE$6:$DF$17,2)+1))*(VLOOKUP($A90,CURVES!$D$9:$K$261,3))*(INDEX(DailyScalarsTable,W$5/100,MONTH($A90)))*$B90</f>
        <v>-59674.170568688722</v>
      </c>
      <c r="X90" s="1021">
        <f>(VLOOKUP(YEAR($A90),'NY East Load Projections'!$A$4:$EO$14,((MONTH($A90)-1)*12)+VLOOKUP(X$4,$DE$6:$DF$17,2)+1))*(VLOOKUP($A90,CURVES!$D$9:$K$261,3))*(INDEX(DailyScalarsTable,X$5/100,MONTH($A90)))*$B90</f>
        <v>-62347.990050553759</v>
      </c>
      <c r="Y90" s="1021">
        <f>(VLOOKUP(YEAR($A90),'NY East Load Projections'!$A$4:$EO$14,((MONTH($A90)-1)*12)+VLOOKUP(Y$4,$DE$6:$DF$17,2)+1))*(VLOOKUP($A90,CURVES!$D$9:$K$261,3))*(INDEX(DailyScalarsTable,Y$5/100,MONTH($A90)))*$B90</f>
        <v>-86754.519486275283</v>
      </c>
      <c r="Z90" s="1021">
        <f>(VLOOKUP(YEAR($A90),'NY East Load Projections'!$A$4:$EO$14,((MONTH($A90)-1)*12)+VLOOKUP(Z$4,$DE$6:$DF$17,2)+1))*(VLOOKUP($A90,CURVES!$D$9:$K$261,3))*(INDEX(DailyScalarsTable,Z$5/100,MONTH($A90)))*$B90</f>
        <v>-95192.758899455192</v>
      </c>
      <c r="AA90" s="1021">
        <f>(VLOOKUP(YEAR($A90),'NY East Load Projections'!$A$4:$EO$14,((MONTH($A90)-1)*12)+VLOOKUP(AA$4,$DE$6:$DF$17,2)+1))*(VLOOKUP($A90,CURVES!$D$9:$K$261,3))*(INDEX(DailyScalarsTable,AA$5/100,MONTH($A90)))*$B90</f>
        <v>-91115.988318281874</v>
      </c>
      <c r="AB90" s="1021">
        <f>(VLOOKUP(YEAR($A90),'NY East Load Projections'!$A$4:$EO$14,((MONTH($A90)-1)*12)+VLOOKUP(AB$4,$DE$6:$DF$17,2)+1))*(VLOOKUP($A90,CURVES!$D$9:$K$261,3))*(INDEX(DailyScalarsTable,AB$5/100,MONTH($A90)))*$B90</f>
        <v>-78582.594417373723</v>
      </c>
      <c r="AC90" s="1021">
        <f>(VLOOKUP(YEAR($A90),'NY East Load Projections'!$A$4:$EO$14,((MONTH($A90)-1)*12)+VLOOKUP(AC$4,$DE$6:$DF$17,2)+1))*(VLOOKUP($A90,CURVES!$D$9:$K$261,3))*(INDEX(DailyScalarsTable,AC$5/100,MONTH($A90)))*$B90</f>
        <v>-55889.761198410823</v>
      </c>
      <c r="AD90" s="1021">
        <f>(VLOOKUP(YEAR($A90),'NY East Load Projections'!$A$4:$EO$14,((MONTH($A90)-1)*12)+VLOOKUP(AD$4,$DE$6:$DF$17,2)+1))*(VLOOKUP($A90,CURVES!$D$9:$K$261,3))*(INDEX(DailyScalarsTable,AD$5/100,MONTH($A90)))*$B90</f>
        <v>-45752.725996264489</v>
      </c>
      <c r="AE90" s="1021">
        <f>(VLOOKUP(YEAR($A90),'NY East Load Projections'!$A$4:$EO$14,((MONTH($A90)-1)*12)+VLOOKUP(AE$4,$DE$6:$DF$17,2)+1))*(VLOOKUP($A90,CURVES!$D$9:$K$261,7))*(INDEX(DailyScalarsTable,AE$5/100,MONTH($A90)))*$B90</f>
        <v>-39893.970011934638</v>
      </c>
      <c r="AF90" s="1021"/>
      <c r="AG90" s="1021">
        <f>(VLOOKUP(YEAR($A90),'NY East Load Projections'!$A$4:$EO$14,((MONTH($A90)-1)*12)+VLOOKUP(AG$4,$DE$6:$DF$17,2)+1))*(VLOOKUP($A90,CURVES!$D$9:$T$261,7))*(INDEX(DailyScalarsTable,AG$5/100,MONTH($A90)))*$C90</f>
        <v>-6513.4100411139907</v>
      </c>
      <c r="AH90" s="1021">
        <f>(VLOOKUP(YEAR($A90),'NY East Load Projections'!$A$4:$EO$14,((MONTH($A90)-1)*12)+VLOOKUP(AH$4,$DE$6:$DF$17,2)+1))*(VLOOKUP($A90,CURVES!$D$9:$T$261,7))*(INDEX(DailyScalarsTable,AH$5/100,MONTH($A90)))*$C90</f>
        <v>-6386.5106670419691</v>
      </c>
      <c r="AI90" s="1021">
        <f>(VLOOKUP(YEAR($A90),'NY East Load Projections'!$A$4:$EO$14,((MONTH($A90)-1)*12)+VLOOKUP(AI$4,$DE$6:$DF$17,2)+1))*(VLOOKUP($A90,CURVES!$D$9:$T$261,7))*(INDEX(DailyScalarsTable,AI$5/100,MONTH($A90)))*$C90</f>
        <v>-5852.2827065309748</v>
      </c>
      <c r="AJ90" s="1021">
        <f>(VLOOKUP(YEAR($A90),'NY East Load Projections'!$A$4:$EO$14,((MONTH($A90)-1)*12)+VLOOKUP(AJ$4,$DE$6:$DF$17,2)+1))*(VLOOKUP($A90,CURVES!$D$9:$T$261,7))*(INDEX(DailyScalarsTable,AJ$5/100,MONTH($A90)))*$C90</f>
        <v>-5848.7443256861543</v>
      </c>
      <c r="AK90" s="1021">
        <f>(VLOOKUP(YEAR($A90),'NY East Load Projections'!$A$4:$EO$14,((MONTH($A90)-1)*12)+VLOOKUP(AK$4,$DE$6:$DF$17,2)+1))*(VLOOKUP($A90,CURVES!$D$9:$T$261,7))*(INDEX(DailyScalarsTable,AK$5/100,MONTH($A90)))*$C90</f>
        <v>-6155.5110391469461</v>
      </c>
      <c r="AL90" s="1021">
        <f>(VLOOKUP(YEAR($A90),'NY East Load Projections'!$A$4:$EO$14,((MONTH($A90)-1)*12)+VLOOKUP(AL$4,$DE$6:$DF$17,2)+1))*(VLOOKUP($A90,CURVES!$D$9:$T$261,7))*(INDEX(DailyScalarsTable,AL$5/100,MONTH($A90)))*$C90</f>
        <v>-6569.2719111226825</v>
      </c>
      <c r="AM90" s="1021">
        <f>(VLOOKUP(YEAR($A90),'NY East Load Projections'!$A$4:$EO$14,((MONTH($A90)-1)*12)+VLOOKUP(AM$4,$DE$6:$DF$17,2)+1))*(VLOOKUP($A90,CURVES!$D$9:$T$261,7))*(INDEX(DailyScalarsTable,AM$5/100,MONTH($A90)))*$C90</f>
        <v>-12580.075720879169</v>
      </c>
      <c r="AN90" s="1021">
        <f>(VLOOKUP(YEAR($A90),'NY East Load Projections'!$A$4:$EO$14,((MONTH($A90)-1)*12)+VLOOKUP(AN$4,$DE$6:$DF$17,2)+1))*(VLOOKUP($A90,SatSunCurve,3))*(INDEX(DailyScalarsTable,AN$5/100,MONTH($A90)))*$C90</f>
        <v>-11883.106613388311</v>
      </c>
      <c r="AO90" s="1021">
        <f>(VLOOKUP(YEAR($A90),'NY East Load Projections'!$A$4:$EO$14,((MONTH($A90)-1)*12)+VLOOKUP(AO$4,$DE$6:$DF$17,2)+1))*(VLOOKUP($A90,SatSunCurve,3))*(INDEX(DailyScalarsTable,AO$5/100,MONTH($A90)))*$C90</f>
        <v>-13432.654653031777</v>
      </c>
      <c r="AP90" s="1021">
        <f>(VLOOKUP(YEAR($A90),'NY East Load Projections'!$A$4:$EO$14,((MONTH($A90)-1)*12)+VLOOKUP(AP$4,$DE$6:$DF$17,2)+1))*(VLOOKUP($A90,SatSunCurve,3))*(INDEX(DailyScalarsTable,AP$5/100,MONTH($A90)))*$C90</f>
        <v>-13391.771047779695</v>
      </c>
      <c r="AQ90" s="1021">
        <f>(VLOOKUP(YEAR($A90),'NY East Load Projections'!$A$4:$EO$14,((MONTH($A90)-1)*12)+VLOOKUP(AQ$4,$DE$6:$DF$17,2)+1))*(VLOOKUP($A90,SatSunCurve,3))*(INDEX(DailyScalarsTable,AQ$5/100,MONTH($A90)))*$C90</f>
        <v>-13158.067078276337</v>
      </c>
      <c r="AR90" s="1021">
        <f>(VLOOKUP(YEAR($A90),'NY East Load Projections'!$A$4:$EO$14,((MONTH($A90)-1)*12)+VLOOKUP(AR$4,$DE$6:$DF$17,2)+1))*(VLOOKUP($A90,SatSunCurve,3))*(INDEX(DailyScalarsTable,AR$5/100,MONTH($A90)))*$C90</f>
        <v>-9856.6371693603687</v>
      </c>
      <c r="AS90" s="1021">
        <f>(VLOOKUP(YEAR($A90),'NY East Load Projections'!$A$4:$EO$14,((MONTH($A90)-1)*12)+VLOOKUP(AS$4,$DE$6:$DF$17,2)+1))*(VLOOKUP($A90,SatSunCurve,3))*(INDEX(DailyScalarsTable,AS$5/100,MONTH($A90)))*$C90</f>
        <v>-9596.5946254243827</v>
      </c>
      <c r="AT90" s="1021">
        <f>(VLOOKUP(YEAR($A90),'NY East Load Projections'!$A$4:$EO$14,((MONTH($A90)-1)*12)+VLOOKUP(AT$4,$DE$6:$DF$17,2)+1))*(VLOOKUP($A90,SatSunCurve,3))*(INDEX(DailyScalarsTable,AT$5/100,MONTH($A90)))*$C90</f>
        <v>-9286.7373352258419</v>
      </c>
      <c r="AU90" s="1021">
        <f>(VLOOKUP(YEAR($A90),'NY East Load Projections'!$A$4:$EO$14,((MONTH($A90)-1)*12)+VLOOKUP(AU$4,$DE$6:$DF$17,2)+1))*(VLOOKUP($A90,SatSunCurve,3))*(INDEX(DailyScalarsTable,AU$5/100,MONTH($A90)))*$C90</f>
        <v>-8814.0927005389367</v>
      </c>
      <c r="AV90" s="1021">
        <f>(VLOOKUP(YEAR($A90),'NY East Load Projections'!$A$4:$EO$14,((MONTH($A90)-1)*12)+VLOOKUP(AV$4,$DE$6:$DF$17,2)+1))*(VLOOKUP($A90,SatSunCurve,3))*(INDEX(DailyScalarsTable,AV$5/100,MONTH($A90)))*$C90</f>
        <v>-8636.7106286136841</v>
      </c>
      <c r="AW90" s="1021">
        <f>(VLOOKUP(YEAR($A90),'NY East Load Projections'!$A$4:$EO$14,((MONTH($A90)-1)*12)+VLOOKUP(AW$4,$DE$6:$DF$17,2)+1))*(VLOOKUP($A90,SatSunCurve,3))*(INDEX(DailyScalarsTable,AW$5/100,MONTH($A90)))*$C90</f>
        <v>-8911.6718913733948</v>
      </c>
      <c r="AX90" s="1021">
        <f>(VLOOKUP(YEAR($A90),'NY East Load Projections'!$A$4:$EO$14,((MONTH($A90)-1)*12)+VLOOKUP(AX$4,$DE$6:$DF$17,2)+1))*(VLOOKUP($A90,SatSunCurve,3))*(INDEX(DailyScalarsTable,AX$5/100,MONTH($A90)))*$C90</f>
        <v>-12400.204274886295</v>
      </c>
      <c r="AY90" s="1021">
        <f>(VLOOKUP(YEAR($A90),'NY East Load Projections'!$A$4:$EO$14,((MONTH($A90)-1)*12)+VLOOKUP(AY$4,$DE$6:$DF$17,2)+1))*(VLOOKUP($A90,SatSunCurve,3))*(INDEX(DailyScalarsTable,AY$5/100,MONTH($A90)))*$C90</f>
        <v>-13606.318873450597</v>
      </c>
      <c r="AZ90" s="1021">
        <f>(VLOOKUP(YEAR($A90),'NY East Load Projections'!$A$4:$EO$14,((MONTH($A90)-1)*12)+VLOOKUP(AZ$4,$DE$6:$DF$17,2)+1))*(VLOOKUP($A90,SatSunCurve,3))*(INDEX(DailyScalarsTable,AZ$5/100,MONTH($A90)))*$C90</f>
        <v>-13023.608159498757</v>
      </c>
      <c r="BA90" s="1021">
        <f>(VLOOKUP(YEAR($A90),'NY East Load Projections'!$A$4:$EO$14,((MONTH($A90)-1)*12)+VLOOKUP(BA$4,$DE$6:$DF$17,2)+1))*(VLOOKUP($A90,SatSunCurve,3))*(INDEX(DailyScalarsTable,BA$5/100,MONTH($A90)))*$C90</f>
        <v>-11789.330537925038</v>
      </c>
      <c r="BB90" s="1021">
        <f>(VLOOKUP(YEAR($A90),'NY East Load Projections'!$A$4:$EO$14,((MONTH($A90)-1)*12)+VLOOKUP(BB$4,$DE$6:$DF$17,2)+1))*(VLOOKUP($A90,SatSunCurve,3))*(INDEX(DailyScalarsTable,BB$5/100,MONTH($A90)))*$C90</f>
        <v>-8384.8449308526069</v>
      </c>
      <c r="BC90" s="1021">
        <f>(VLOOKUP(YEAR($A90),'NY East Load Projections'!$A$4:$EO$14,((MONTH($A90)-1)*12)+VLOOKUP(BC$4,$DE$6:$DF$17,2)+1))*(VLOOKUP($A90,SatSunCurve,3))*(INDEX(DailyScalarsTable,BC$5/100,MONTH($A90)))*$C90</f>
        <v>-6864.0392160661941</v>
      </c>
      <c r="BD90" s="1021">
        <f>(VLOOKUP(YEAR($A90),'NY East Load Projections'!$A$4:$EO$14,((MONTH($A90)-1)*12)+VLOOKUP(BD$4,$DE$6:$DF$17,2)+1))*(VLOOKUP($A90,CURVES!$D$9:$T$261,7))*(INDEX(DailyScalarsTable,BD$5/100,MONTH($A90)))*$C90</f>
        <v>-7479.1437441836424</v>
      </c>
      <c r="BE90" s="1021"/>
      <c r="BF90" s="1021">
        <f>(VLOOKUP(YEAR($A90),'NY East Load Projections'!$A$4:$EO$14,((MONTH($A90)-1)*12)+VLOOKUP(BF$4,$DE$6:$DF$17,2)+1))*(VLOOKUP($A90,CURVES!$D$9:$T$261,7))*(INDEX(DailyScalarsTable,BF$5/100,MONTH($A90)))*$D90</f>
        <v>-6513.4100411139907</v>
      </c>
      <c r="BG90" s="1021">
        <f>(VLOOKUP(YEAR($A90),'NY East Load Projections'!$A$4:$EO$14,((MONTH($A90)-1)*12)+VLOOKUP(BG$4,$DE$6:$DF$17,2)+1))*(VLOOKUP($A90,CURVES!$D$9:$T$261,7))*(INDEX(DailyScalarsTable,BG$5/100,MONTH($A90)))*$D90</f>
        <v>-6386.5106670419691</v>
      </c>
      <c r="BH90" s="1021">
        <f>(VLOOKUP(YEAR($A90),'NY East Load Projections'!$A$4:$EO$14,((MONTH($A90)-1)*12)+VLOOKUP(BH$4,$DE$6:$DF$17,2)+1))*(VLOOKUP($A90,CURVES!$D$9:$T$261,7))*(INDEX(DailyScalarsTable,BH$5/100,MONTH($A90)))*$D90</f>
        <v>-5852.2827065309748</v>
      </c>
      <c r="BI90" s="1021">
        <f>(VLOOKUP(YEAR($A90),'NY East Load Projections'!$A$4:$EO$14,((MONTH($A90)-1)*12)+VLOOKUP(BI$4,$DE$6:$DF$17,2)+1))*(VLOOKUP($A90,CURVES!$D$9:$T$261,7))*(INDEX(DailyScalarsTable,BI$5/100,MONTH($A90)))*$D90</f>
        <v>-5848.7443256861543</v>
      </c>
      <c r="BJ90" s="1021">
        <f>(VLOOKUP(YEAR($A90),'NY East Load Projections'!$A$4:$EO$14,((MONTH($A90)-1)*12)+VLOOKUP(BJ$4,$DE$6:$DF$17,2)+1))*(VLOOKUP($A90,CURVES!$D$9:$T$261,7))*(INDEX(DailyScalarsTable,BJ$5/100,MONTH($A90)))*$D90</f>
        <v>-6155.5110391469461</v>
      </c>
      <c r="BK90" s="1021">
        <f>(VLOOKUP(YEAR($A90),'NY East Load Projections'!$A$4:$EO$14,((MONTH($A90)-1)*12)+VLOOKUP(BK$4,$DE$6:$DF$17,2)+1))*(VLOOKUP($A90,CURVES!$D$9:$T$261,7))*(INDEX(DailyScalarsTable,BK$5/100,MONTH($A90)))*$D90</f>
        <v>-6569.2719111226825</v>
      </c>
      <c r="BL90" s="1021">
        <f>(VLOOKUP(YEAR($A90),'NY East Load Projections'!$A$4:$EO$14,((MONTH($A90)-1)*12)+VLOOKUP(BL$4,$DE$6:$DF$17,2)+1))*(VLOOKUP($A90,CURVES!$D$9:$T$261,7))*(INDEX(DailyScalarsTable,BL$5/100,MONTH($A90)))*$D90</f>
        <v>-12580.075720879169</v>
      </c>
      <c r="BM90" s="1021">
        <f>(VLOOKUP(YEAR($A90),'NY East Load Projections'!$A$4:$EO$14,((MONTH($A90)-1)*12)+VLOOKUP(BM$4,$DE$6:$DF$17,2)+1))*(VLOOKUP($A90,SatSunCurve,7))*(INDEX(DailyScalarsTable,BM$5/100,MONTH($A90)))*$D90</f>
        <v>-11283.415963687479</v>
      </c>
      <c r="BN90" s="1021">
        <f>(VLOOKUP(YEAR($A90),'NY East Load Projections'!$A$4:$EO$14,((MONTH($A90)-1)*12)+VLOOKUP(BN$4,$DE$6:$DF$17,2)+1))*(VLOOKUP($A90,SatSunCurve,7))*(INDEX(DailyScalarsTable,BN$5/100,MONTH($A90)))*$D90</f>
        <v>-12754.764799968627</v>
      </c>
      <c r="BO90" s="1021">
        <f>(VLOOKUP(YEAR($A90),'NY East Load Projections'!$A$4:$EO$14,((MONTH($A90)-1)*12)+VLOOKUP(BO$4,$DE$6:$DF$17,2)+1))*(VLOOKUP($A90,SatSunCurve,7))*(INDEX(DailyScalarsTable,BO$5/100,MONTH($A90)))*$D90</f>
        <v>-12715.944419140376</v>
      </c>
      <c r="BP90" s="1021">
        <f>(VLOOKUP(YEAR($A90),'NY East Load Projections'!$A$4:$EO$14,((MONTH($A90)-1)*12)+VLOOKUP(BP$4,$DE$6:$DF$17,2)+1))*(VLOOKUP($A90,SatSunCurve,7))*(INDEX(DailyScalarsTable,BP$5/100,MONTH($A90)))*$D90</f>
        <v>-12494.03451072465</v>
      </c>
      <c r="BQ90" s="1021">
        <f>(VLOOKUP(YEAR($A90),'NY East Load Projections'!$A$4:$EO$14,((MONTH($A90)-1)*12)+VLOOKUP(BQ$4,$DE$6:$DF$17,2)+1))*(VLOOKUP($A90,SatSunCurve,7))*(INDEX(DailyScalarsTable,BQ$5/100,MONTH($A90)))*$D90</f>
        <v>-9359.2139499726491</v>
      </c>
      <c r="BR90" s="1021">
        <f>(VLOOKUP(YEAR($A90),'NY East Load Projections'!$A$4:$EO$14,((MONTH($A90)-1)*12)+VLOOKUP(BR$4,$DE$6:$DF$17,2)+1))*(VLOOKUP($A90,SatSunCurve,7))*(INDEX(DailyScalarsTable,BR$5/100,MONTH($A90)))*$D90</f>
        <v>-9112.2946647262015</v>
      </c>
      <c r="BS90" s="1021">
        <f>(VLOOKUP(YEAR($A90),'NY East Load Projections'!$A$4:$EO$14,((MONTH($A90)-1)*12)+VLOOKUP(BS$4,$DE$6:$DF$17,2)+1))*(VLOOKUP($A90,SatSunCurve,7))*(INDEX(DailyScalarsTable,BS$5/100,MONTH($A90)))*$D90</f>
        <v>-8818.074574943279</v>
      </c>
      <c r="BT90" s="1021">
        <f>(VLOOKUP(YEAR($A90),'NY East Load Projections'!$A$4:$EO$14,((MONTH($A90)-1)*12)+VLOOKUP(BT$4,$DE$6:$DF$17,2)+1))*(VLOOKUP($A90,SatSunCurve,7))*(INDEX(DailyScalarsTable,BT$5/100,MONTH($A90)))*$D90</f>
        <v>-8369.2823365425138</v>
      </c>
      <c r="BU90" s="1021">
        <f>(VLOOKUP(YEAR($A90),'NY East Load Projections'!$A$4:$EO$14,((MONTH($A90)-1)*12)+VLOOKUP(BU$4,$DE$6:$DF$17,2)+1))*(VLOOKUP($A90,SatSunCurve,7))*(INDEX(DailyScalarsTable,BU$5/100,MONTH($A90)))*$D90</f>
        <v>-8200.8519952899696</v>
      </c>
      <c r="BV90" s="1021">
        <f>(VLOOKUP(YEAR($A90),'NY East Load Projections'!$A$4:$EO$14,((MONTH($A90)-1)*12)+VLOOKUP(BV$4,$DE$6:$DF$17,2)+1))*(VLOOKUP($A90,SatSunCurve,7))*(INDEX(DailyScalarsTable,BV$5/100,MONTH($A90)))*$D90</f>
        <v>-8461.9371140688509</v>
      </c>
      <c r="BW90" s="1021">
        <f>(VLOOKUP(YEAR($A90),'NY East Load Projections'!$A$4:$EO$14,((MONTH($A90)-1)*12)+VLOOKUP(BW$4,$DE$6:$DF$17,2)+1))*(VLOOKUP($A90,SatSunCurve,7))*(INDEX(DailyScalarsTable,BW$5/100,MONTH($A90)))*$D90</f>
        <v>-11774.417870710526</v>
      </c>
      <c r="BX90" s="1021">
        <f>(VLOOKUP(YEAR($A90),'NY East Load Projections'!$A$4:$EO$14,((MONTH($A90)-1)*12)+VLOOKUP(BX$4,$DE$6:$DF$17,2)+1))*(VLOOKUP($A90,SatSunCurve,7))*(INDEX(DailyScalarsTable,BX$5/100,MONTH($A90)))*$D90</f>
        <v>-12919.664914117846</v>
      </c>
      <c r="BY90" s="1021">
        <f>(VLOOKUP(YEAR($A90),'NY East Load Projections'!$A$4:$EO$14,((MONTH($A90)-1)*12)+VLOOKUP(BY$4,$DE$6:$DF$17,2)+1))*(VLOOKUP($A90,SatSunCurve,7))*(INDEX(DailyScalarsTable,BY$5/100,MONTH($A90)))*$D90</f>
        <v>-12366.36117075093</v>
      </c>
      <c r="BZ90" s="1021">
        <f>(VLOOKUP(YEAR($A90),'NY East Load Projections'!$A$4:$EO$14,((MONTH($A90)-1)*12)+VLOOKUP(BZ$4,$DE$6:$DF$17,2)+1))*(VLOOKUP($A90,SatSunCurve,7))*(INDEX(DailyScalarsTable,BZ$5/100,MONTH($A90)))*$D90</f>
        <v>-11194.37237421887</v>
      </c>
      <c r="CA90" s="1021">
        <f>(VLOOKUP(YEAR($A90),'NY East Load Projections'!$A$4:$EO$14,((MONTH($A90)-1)*12)+VLOOKUP(CA$4,$DE$6:$DF$17,2)+1))*(VLOOKUP($A90,SatSunCurve,7))*(INDEX(DailyScalarsTable,CA$5/100,MONTH($A90)))*$D90</f>
        <v>-7961.6969050191537</v>
      </c>
      <c r="CB90" s="1021">
        <f>(VLOOKUP(YEAR($A90),'NY East Load Projections'!$A$4:$EO$14,((MONTH($A90)-1)*12)+VLOOKUP(CB$4,$DE$6:$DF$17,2)+1))*(VLOOKUP($A90,SatSunCurve,7))*(INDEX(DailyScalarsTable,CB$5/100,MONTH($A90)))*$D90</f>
        <v>-6517.6398887710056</v>
      </c>
      <c r="CC90" s="1021">
        <f>(VLOOKUP(YEAR($A90),'NY East Load Projections'!$A$4:$EO$14,((MONTH($A90)-1)*12)+VLOOKUP(CC$4,$DE$6:$DF$17,2)+1))*(VLOOKUP($A90,CURVES!$D$9:$T$261,7))*(INDEX(DailyScalarsTable,CC$5/100,MONTH($A90)))*$D90</f>
        <v>-7479.1437441836424</v>
      </c>
      <c r="CE90" s="1021">
        <f>(VLOOKUP(YEAR($A90),'NY East Load Projections'!$A$4:$EO$14,((MONTH($A90)-1)*12)+VLOOKUP(CE$4,$DE$6:$DF$17,2)+1))*(VLOOKUP($A90,CURVES!$D$9:$T$261,7))*(INDEX(DailyScalarsTable,CE$5/100,MONTH($A90)))*$E90</f>
        <v>-1628.3525102784977</v>
      </c>
      <c r="CF90" s="1021">
        <f>(VLOOKUP(YEAR($A90),'NY East Load Projections'!$A$4:$EO$14,((MONTH($A90)-1)*12)+VLOOKUP(CF$4,$DE$6:$DF$17,2)+1))*(VLOOKUP($A90,CURVES!$D$9:$T$261,7))*(INDEX(DailyScalarsTable,CF$5/100,MONTH($A90)))*$E90</f>
        <v>-1596.6276667604923</v>
      </c>
      <c r="CG90" s="1021">
        <f>(VLOOKUP(YEAR($A90),'NY East Load Projections'!$A$4:$EO$14,((MONTH($A90)-1)*12)+VLOOKUP(CG$4,$DE$6:$DF$17,2)+1))*(VLOOKUP($A90,CURVES!$D$9:$T$261,7))*(INDEX(DailyScalarsTable,CG$5/100,MONTH($A90)))*$E90</f>
        <v>-1463.0706766327437</v>
      </c>
      <c r="CH90" s="1021">
        <f>(VLOOKUP(YEAR($A90),'NY East Load Projections'!$A$4:$EO$14,((MONTH($A90)-1)*12)+VLOOKUP(CH$4,$DE$6:$DF$17,2)+1))*(VLOOKUP($A90,CURVES!$D$9:$T$261,7))*(INDEX(DailyScalarsTable,CH$5/100,MONTH($A90)))*$E90</f>
        <v>-1462.1860814215386</v>
      </c>
      <c r="CI90" s="1021">
        <f>(VLOOKUP(YEAR($A90),'NY East Load Projections'!$A$4:$EO$14,((MONTH($A90)-1)*12)+VLOOKUP(CI$4,$DE$6:$DF$17,2)+1))*(VLOOKUP($A90,CURVES!$D$9:$T$261,7))*(INDEX(DailyScalarsTable,CI$5/100,MONTH($A90)))*$E90</f>
        <v>-1538.8777597867365</v>
      </c>
      <c r="CJ90" s="1021">
        <f>(VLOOKUP(YEAR($A90),'NY East Load Projections'!$A$4:$EO$14,((MONTH($A90)-1)*12)+VLOOKUP(CJ$4,$DE$6:$DF$17,2)+1))*(VLOOKUP($A90,CURVES!$D$9:$T$261,7))*(INDEX(DailyScalarsTable,CJ$5/100,MONTH($A90)))*$E90</f>
        <v>-1642.3179777806706</v>
      </c>
      <c r="CK90" s="1021">
        <f>(VLOOKUP(YEAR($A90),'NY East Load Projections'!$A$4:$EO$14,((MONTH($A90)-1)*12)+VLOOKUP(CK$4,$DE$6:$DF$17,2)+1))*(VLOOKUP($A90,CURVES!$D$9:$T$261,7))*(INDEX(DailyScalarsTable,CK$5/100,MONTH($A90)))*$E90</f>
        <v>-3145.0189302197923</v>
      </c>
      <c r="CL90" s="1021">
        <f>(VLOOKUP(YEAR($A90),'NY East Load Projections'!$A$4:$EO$14,((MONTH($A90)-1)*12)+VLOOKUP(CL$4,$DE$6:$DF$17,2)+1))*(VLOOKUP($A90,SatSunCurve,7))*(INDEX(DailyScalarsTable,CL$5/100,MONTH($A90)))*$E90</f>
        <v>-2820.8539909218698</v>
      </c>
      <c r="CM90" s="1021">
        <f>(VLOOKUP(YEAR($A90),'NY East Load Projections'!$A$4:$EO$14,((MONTH($A90)-1)*12)+VLOOKUP(CM$4,$DE$6:$DF$17,2)+1))*(VLOOKUP($A90,SatSunCurve,7))*(INDEX(DailyScalarsTable,CM$5/100,MONTH($A90)))*$E90</f>
        <v>-3188.6911999921567</v>
      </c>
      <c r="CN90" s="1021">
        <f>(VLOOKUP(YEAR($A90),'NY East Load Projections'!$A$4:$EO$14,((MONTH($A90)-1)*12)+VLOOKUP(CN$4,$DE$6:$DF$17,2)+1))*(VLOOKUP($A90,SatSunCurve,7))*(INDEX(DailyScalarsTable,CN$5/100,MONTH($A90)))*$E90</f>
        <v>-3178.9861047850941</v>
      </c>
      <c r="CO90" s="1021">
        <f>(VLOOKUP(YEAR($A90),'NY East Load Projections'!$A$4:$EO$14,((MONTH($A90)-1)*12)+VLOOKUP(CO$4,$DE$6:$DF$17,2)+1))*(VLOOKUP($A90,SatSunCurve,7))*(INDEX(DailyScalarsTable,CO$5/100,MONTH($A90)))*$E90</f>
        <v>-3123.5086276811626</v>
      </c>
      <c r="CP90" s="1021">
        <f>(VLOOKUP(YEAR($A90),'NY East Load Projections'!$A$4:$EO$14,((MONTH($A90)-1)*12)+VLOOKUP(CP$4,$DE$6:$DF$17,2)+1))*(VLOOKUP($A90,SatSunCurve,7))*(INDEX(DailyScalarsTable,CP$5/100,MONTH($A90)))*$E90</f>
        <v>-2339.8034874931623</v>
      </c>
      <c r="CQ90" s="1021">
        <f>(VLOOKUP(YEAR($A90),'NY East Load Projections'!$A$4:$EO$14,((MONTH($A90)-1)*12)+VLOOKUP(CQ$4,$DE$6:$DF$17,2)+1))*(VLOOKUP($A90,SatSunCurve,7))*(INDEX(DailyScalarsTable,CQ$5/100,MONTH($A90)))*$E90</f>
        <v>-2278.0736661815504</v>
      </c>
      <c r="CR90" s="1021">
        <f>(VLOOKUP(YEAR($A90),'NY East Load Projections'!$A$4:$EO$14,((MONTH($A90)-1)*12)+VLOOKUP(CR$4,$DE$6:$DF$17,2)+1))*(VLOOKUP($A90,SatSunCurve,7))*(INDEX(DailyScalarsTable,CR$5/100,MONTH($A90)))*$E90</f>
        <v>-2204.5186437358198</v>
      </c>
      <c r="CS90" s="1021">
        <f>(VLOOKUP(YEAR($A90),'NY East Load Projections'!$A$4:$EO$14,((MONTH($A90)-1)*12)+VLOOKUP(CS$4,$DE$6:$DF$17,2)+1))*(VLOOKUP($A90,SatSunCurve,7))*(INDEX(DailyScalarsTable,CS$5/100,MONTH($A90)))*$E90</f>
        <v>-2092.3205841356285</v>
      </c>
      <c r="CT90" s="1021">
        <f>(VLOOKUP(YEAR($A90),'NY East Load Projections'!$A$4:$EO$14,((MONTH($A90)-1)*12)+VLOOKUP(CT$4,$DE$6:$DF$17,2)+1))*(VLOOKUP($A90,SatSunCurve,7))*(INDEX(DailyScalarsTable,CT$5/100,MONTH($A90)))*$E90</f>
        <v>-2050.2129988224924</v>
      </c>
      <c r="CU90" s="1021">
        <f>(VLOOKUP(YEAR($A90),'NY East Load Projections'!$A$4:$EO$14,((MONTH($A90)-1)*12)+VLOOKUP(CU$4,$DE$6:$DF$17,2)+1))*(VLOOKUP($A90,SatSunCurve,7))*(INDEX(DailyScalarsTable,CU$5/100,MONTH($A90)))*$E90</f>
        <v>-2115.4842785172127</v>
      </c>
      <c r="CV90" s="1021">
        <f>(VLOOKUP(YEAR($A90),'NY East Load Projections'!$A$4:$EO$14,((MONTH($A90)-1)*12)+VLOOKUP(CV$4,$DE$6:$DF$17,2)+1))*(VLOOKUP($A90,SatSunCurve,7))*(INDEX(DailyScalarsTable,CV$5/100,MONTH($A90)))*$E90</f>
        <v>-2943.6044676776314</v>
      </c>
      <c r="CW90" s="1021">
        <f>(VLOOKUP(YEAR($A90),'NY East Load Projections'!$A$4:$EO$14,((MONTH($A90)-1)*12)+VLOOKUP(CW$4,$DE$6:$DF$17,2)+1))*(VLOOKUP($A90,SatSunCurve,7))*(INDEX(DailyScalarsTable,CW$5/100,MONTH($A90)))*$E90</f>
        <v>-3229.9162285294615</v>
      </c>
      <c r="CX90" s="1021">
        <f>(VLOOKUP(YEAR($A90),'NY East Load Projections'!$A$4:$EO$14,((MONTH($A90)-1)*12)+VLOOKUP(CX$4,$DE$6:$DF$17,2)+1))*(VLOOKUP($A90,SatSunCurve,7))*(INDEX(DailyScalarsTable,CX$5/100,MONTH($A90)))*$E90</f>
        <v>-3091.5902926877325</v>
      </c>
      <c r="CY90" s="1021">
        <f>(VLOOKUP(YEAR($A90),'NY East Load Projections'!$A$4:$EO$14,((MONTH($A90)-1)*12)+VLOOKUP(CY$4,$DE$6:$DF$17,2)+1))*(VLOOKUP($A90,SatSunCurve,7))*(INDEX(DailyScalarsTable,CY$5/100,MONTH($A90)))*$E90</f>
        <v>-2798.5930935547176</v>
      </c>
      <c r="CZ90" s="1021">
        <f>(VLOOKUP(YEAR($A90),'NY East Load Projections'!$A$4:$EO$14,((MONTH($A90)-1)*12)+VLOOKUP(CZ$4,$DE$6:$DF$17,2)+1))*(VLOOKUP($A90,SatSunCurve,7))*(INDEX(DailyScalarsTable,CZ$5/100,MONTH($A90)))*$E90</f>
        <v>-1990.4242262547884</v>
      </c>
      <c r="DA90" s="1021">
        <f>(VLOOKUP(YEAR($A90),'NY East Load Projections'!$A$4:$EO$14,((MONTH($A90)-1)*12)+VLOOKUP(DA$4,$DE$6:$DF$17,2)+1))*(VLOOKUP($A90,SatSunCurve,7))*(INDEX(DailyScalarsTable,DA$5/100,MONTH($A90)))*$E90</f>
        <v>-1629.4099721927514</v>
      </c>
      <c r="DB90" s="1021">
        <f>(VLOOKUP(YEAR($A90),'NY East Load Projections'!$A$4:$EO$14,((MONTH($A90)-1)*12)+VLOOKUP(DB$4,$DE$6:$DF$17,2)+1))*(VLOOKUP($A90,CURVES!$D$9:$T$261,7))*(INDEX(DailyScalarsTable,DB$5/100,MONTH($A90)))*$E90</f>
        <v>-1869.7859360459106</v>
      </c>
      <c r="DH90" s="1032">
        <f t="shared" si="2"/>
        <v>-2005886.1381498501</v>
      </c>
      <c r="DI90">
        <f ca="1">CALC!J110</f>
        <v>0.56119095626846427</v>
      </c>
      <c r="DJ90" s="1029">
        <f t="shared" ca="1" si="3"/>
        <v>-1125685.1600339713</v>
      </c>
    </row>
    <row r="91" spans="1:114" x14ac:dyDescent="0.25">
      <c r="A91" s="244">
        <v>39479</v>
      </c>
      <c r="B91" s="13">
        <v>21</v>
      </c>
      <c r="C91" s="210">
        <v>4</v>
      </c>
      <c r="D91" s="210">
        <v>4</v>
      </c>
      <c r="E91" s="210">
        <v>0</v>
      </c>
      <c r="F91" s="13">
        <v>29</v>
      </c>
      <c r="H91" s="1021">
        <f>(VLOOKUP(YEAR($A91),'NY East Load Projections'!$A$4:$EO$14,((MONTH($A91)-1)*12)+VLOOKUP(H$4,$DE$6:$DF$17,2)+1))*(VLOOKUP($A91,CURVES!$D$9:$K$261,7))*(INDEX(DailyScalarsTable,H$5/100,MONTH($A91)))*$B91</f>
        <v>-31330.563453927734</v>
      </c>
      <c r="I91" s="1021">
        <f>(VLOOKUP(YEAR($A91),'NY East Load Projections'!$A$4:$EO$14,((MONTH($A91)-1)*12)+VLOOKUP(I$4,$DE$6:$DF$17,2)+1))*(VLOOKUP($A91,CURVES!$D$9:$K$261,7))*(INDEX(DailyScalarsTable,I$5/100,MONTH($A91)))*$B91</f>
        <v>-30720.156790362737</v>
      </c>
      <c r="J91" s="1021">
        <f>(VLOOKUP(YEAR($A91),'NY East Load Projections'!$A$4:$EO$14,((MONTH($A91)-1)*12)+VLOOKUP(J$4,$DE$6:$DF$17,2)+1))*(VLOOKUP($A91,CURVES!$D$9:$K$261,7))*(INDEX(DailyScalarsTable,J$5/100,MONTH($A91)))*$B91</f>
        <v>-28150.433264590436</v>
      </c>
      <c r="K91" s="1021">
        <f>(VLOOKUP(YEAR($A91),'NY East Load Projections'!$A$4:$EO$14,((MONTH($A91)-1)*12)+VLOOKUP(K$4,$DE$6:$DF$17,2)+1))*(VLOOKUP($A91,CURVES!$D$9:$K$261,7))*(INDEX(DailyScalarsTable,K$5/100,MONTH($A91)))*$B91</f>
        <v>-28133.413076258512</v>
      </c>
      <c r="L91" s="1021">
        <f>(VLOOKUP(YEAR($A91),'NY East Load Projections'!$A$4:$EO$14,((MONTH($A91)-1)*12)+VLOOKUP(L$4,$DE$6:$DF$17,2)+1))*(VLOOKUP($A91,CURVES!$D$9:$K$261,7))*(INDEX(DailyScalarsTable,L$5/100,MONTH($A91)))*$B91</f>
        <v>-31741.172836809263</v>
      </c>
      <c r="M91" s="1021">
        <f>(VLOOKUP(YEAR($A91),'NY East Load Projections'!$A$4:$EO$14,((MONTH($A91)-1)*12)+VLOOKUP(M$4,$DE$6:$DF$17,2)+1))*(VLOOKUP($A91,CURVES!$D$9:$K$261,7))*(INDEX(DailyScalarsTable,M$5/100,MONTH($A91)))*$B91</f>
        <v>-33874.749605166551</v>
      </c>
      <c r="N91" s="1021">
        <f>(VLOOKUP(YEAR($A91),'NY East Load Projections'!$A$4:$EO$14,((MONTH($A91)-1)*12)+VLOOKUP(N$4,$DE$6:$DF$17,2)+1))*(VLOOKUP($A91,CURVES!$D$9:$K$261,7))*(INDEX(DailyScalarsTable,N$5/100,MONTH($A91)))*$B91</f>
        <v>-64869.733027383365</v>
      </c>
      <c r="O91" s="1021">
        <f>(VLOOKUP(YEAR($A91),'NY East Load Projections'!$A$4:$EO$14,((MONTH($A91)-1)*12)+VLOOKUP(O$4,$DE$6:$DF$17,2)+1))*(VLOOKUP($A91,CURVES!$D$9:$K$261,3))*(INDEX(DailyScalarsTable,O$5/100,MONTH($A91)))*$B91</f>
        <v>-77278.38038257591</v>
      </c>
      <c r="P91" s="1021">
        <f>(VLOOKUP(YEAR($A91),'NY East Load Projections'!$A$4:$EO$14,((MONTH($A91)-1)*12)+VLOOKUP(P$4,$DE$6:$DF$17,2)+1))*(VLOOKUP($A91,CURVES!$D$9:$K$261,3))*(INDEX(DailyScalarsTable,P$5/100,MONTH($A91)))*$B91</f>
        <v>-85839.2688172458</v>
      </c>
      <c r="Q91" s="1021">
        <f>(VLOOKUP(YEAR($A91),'NY East Load Projections'!$A$4:$EO$14,((MONTH($A91)-1)*12)+VLOOKUP(Q$4,$DE$6:$DF$17,2)+1))*(VLOOKUP($A91,CURVES!$D$9:$K$261,3))*(INDEX(DailyScalarsTable,Q$5/100,MONTH($A91)))*$B91</f>
        <v>-85578.008562136092</v>
      </c>
      <c r="R91" s="1021">
        <f>(VLOOKUP(YEAR($A91),'NY East Load Projections'!$A$4:$EO$14,((MONTH($A91)-1)*12)+VLOOKUP(R$4,$DE$6:$DF$17,2)+1))*(VLOOKUP($A91,CURVES!$D$9:$K$261,3))*(INDEX(DailyScalarsTable,R$5/100,MONTH($A91)))*$B91</f>
        <v>-84084.560068146253</v>
      </c>
      <c r="S91" s="1021">
        <f>(VLOOKUP(YEAR($A91),'NY East Load Projections'!$A$4:$EO$14,((MONTH($A91)-1)*12)+VLOOKUP(S$4,$DE$6:$DF$17,2)+1))*(VLOOKUP($A91,CURVES!$D$9:$K$261,3))*(INDEX(DailyScalarsTable,S$5/100,MONTH($A91)))*$B91</f>
        <v>-62987.29100608702</v>
      </c>
      <c r="T91" s="1021">
        <f>(VLOOKUP(YEAR($A91),'NY East Load Projections'!$A$4:$EO$14,((MONTH($A91)-1)*12)+VLOOKUP(T$4,$DE$6:$DF$17,2)+1))*(VLOOKUP($A91,CURVES!$D$9:$K$261,3))*(INDEX(DailyScalarsTable,T$5/100,MONTH($A91)))*$B91</f>
        <v>-61753.037907065242</v>
      </c>
      <c r="U91" s="1021">
        <f>(VLOOKUP(YEAR($A91),'NY East Load Projections'!$A$4:$EO$14,((MONTH($A91)-1)*12)+VLOOKUP(U$4,$DE$6:$DF$17,2)+1))*(VLOOKUP($A91,CURVES!$D$9:$K$261,3))*(INDEX(DailyScalarsTable,U$5/100,MONTH($A91)))*$B91</f>
        <v>-59759.140099116026</v>
      </c>
      <c r="V91" s="1021">
        <f>(VLOOKUP(YEAR($A91),'NY East Load Projections'!$A$4:$EO$14,((MONTH($A91)-1)*12)+VLOOKUP(V$4,$DE$6:$DF$17,2)+1))*(VLOOKUP($A91,CURVES!$D$9:$K$261,3))*(INDEX(DailyScalarsTable,V$5/100,MONTH($A91)))*$B91</f>
        <v>-56717.723515251433</v>
      </c>
      <c r="W91" s="1021">
        <f>(VLOOKUP(YEAR($A91),'NY East Load Projections'!$A$4:$EO$14,((MONTH($A91)-1)*12)+VLOOKUP(W$4,$DE$6:$DF$17,2)+1))*(VLOOKUP($A91,CURVES!$D$9:$K$261,3))*(INDEX(DailyScalarsTable,W$5/100,MONTH($A91)))*$B91</f>
        <v>-55576.289262874699</v>
      </c>
      <c r="X91" s="1021">
        <f>(VLOOKUP(YEAR($A91),'NY East Load Projections'!$A$4:$EO$14,((MONTH($A91)-1)*12)+VLOOKUP(X$4,$DE$6:$DF$17,2)+1))*(VLOOKUP($A91,CURVES!$D$9:$K$261,3))*(INDEX(DailyScalarsTable,X$5/100,MONTH($A91)))*$B91</f>
        <v>-58080.571988652839</v>
      </c>
      <c r="Y91" s="1021">
        <f>(VLOOKUP(YEAR($A91),'NY East Load Projections'!$A$4:$EO$14,((MONTH($A91)-1)*12)+VLOOKUP(Y$4,$DE$6:$DF$17,2)+1))*(VLOOKUP($A91,CURVES!$D$9:$K$261,3))*(INDEX(DailyScalarsTable,Y$5/100,MONTH($A91)))*$B91</f>
        <v>-80816.592648424034</v>
      </c>
      <c r="Z91" s="1021">
        <f>(VLOOKUP(YEAR($A91),'NY East Load Projections'!$A$4:$EO$14,((MONTH($A91)-1)*12)+VLOOKUP(Z$4,$DE$6:$DF$17,2)+1))*(VLOOKUP($A91,CURVES!$D$9:$K$261,3))*(INDEX(DailyScalarsTable,Z$5/100,MONTH($A91)))*$B91</f>
        <v>-88677.275427408516</v>
      </c>
      <c r="AA91" s="1021">
        <f>(VLOOKUP(YEAR($A91),'NY East Load Projections'!$A$4:$EO$14,((MONTH($A91)-1)*12)+VLOOKUP(AA$4,$DE$6:$DF$17,2)+1))*(VLOOKUP($A91,CURVES!$D$9:$K$261,3))*(INDEX(DailyScalarsTable,AA$5/100,MONTH($A91)))*$B91</f>
        <v>-84879.540054879748</v>
      </c>
      <c r="AB91" s="1021">
        <f>(VLOOKUP(YEAR($A91),'NY East Load Projections'!$A$4:$EO$14,((MONTH($A91)-1)*12)+VLOOKUP(AB$4,$DE$6:$DF$17,2)+1))*(VLOOKUP($A91,CURVES!$D$9:$K$261,3))*(INDEX(DailyScalarsTable,AB$5/100,MONTH($A91)))*$B91</f>
        <v>-73158.078281956652</v>
      </c>
      <c r="AC91" s="1021">
        <f>(VLOOKUP(YEAR($A91),'NY East Load Projections'!$A$4:$EO$14,((MONTH($A91)-1)*12)+VLOOKUP(AC$4,$DE$6:$DF$17,2)+1))*(VLOOKUP($A91,CURVES!$D$9:$K$261,3))*(INDEX(DailyScalarsTable,AC$5/100,MONTH($A91)))*$B91</f>
        <v>-52031.719685869997</v>
      </c>
      <c r="AD91" s="1021">
        <f>(VLOOKUP(YEAR($A91),'NY East Load Projections'!$A$4:$EO$14,((MONTH($A91)-1)*12)+VLOOKUP(AD$4,$DE$6:$DF$17,2)+1))*(VLOOKUP($A91,CURVES!$D$9:$K$261,3))*(INDEX(DailyScalarsTable,AD$5/100,MONTH($A91)))*$B91</f>
        <v>-42594.438817708549</v>
      </c>
      <c r="AE91" s="1021">
        <f>(VLOOKUP(YEAR($A91),'NY East Load Projections'!$A$4:$EO$14,((MONTH($A91)-1)*12)+VLOOKUP(AE$4,$DE$6:$DF$17,2)+1))*(VLOOKUP($A91,CURVES!$D$9:$K$261,7))*(INDEX(DailyScalarsTable,AE$5/100,MONTH($A91)))*$B91</f>
        <v>-36800.681588761749</v>
      </c>
      <c r="AF91" s="1021"/>
      <c r="AG91" s="1021">
        <f>(VLOOKUP(YEAR($A91),'NY East Load Projections'!$A$4:$EO$14,((MONTH($A91)-1)*12)+VLOOKUP(AG$4,$DE$6:$DF$17,2)+1))*(VLOOKUP($A91,CURVES!$D$9:$T$261,7))*(INDEX(DailyScalarsTable,AG$5/100,MONTH($A91)))*$C91</f>
        <v>-6383.5076349075744</v>
      </c>
      <c r="AH91" s="1021">
        <f>(VLOOKUP(YEAR($A91),'NY East Load Projections'!$A$4:$EO$14,((MONTH($A91)-1)*12)+VLOOKUP(AH$4,$DE$6:$DF$17,2)+1))*(VLOOKUP($A91,CURVES!$D$9:$T$261,7))*(INDEX(DailyScalarsTable,AH$5/100,MONTH($A91)))*$C91</f>
        <v>-6259.1391216187667</v>
      </c>
      <c r="AI91" s="1021">
        <f>(VLOOKUP(YEAR($A91),'NY East Load Projections'!$A$4:$EO$14,((MONTH($A91)-1)*12)+VLOOKUP(AI$4,$DE$6:$DF$17,2)+1))*(VLOOKUP($A91,CURVES!$D$9:$T$261,7))*(INDEX(DailyScalarsTable,AI$5/100,MONTH($A91)))*$C91</f>
        <v>-5735.5657179520476</v>
      </c>
      <c r="AJ91" s="1021">
        <f>(VLOOKUP(YEAR($A91),'NY East Load Projections'!$A$4:$EO$14,((MONTH($A91)-1)*12)+VLOOKUP(AJ$4,$DE$6:$DF$17,2)+1))*(VLOOKUP($A91,CURVES!$D$9:$T$261,7))*(INDEX(DailyScalarsTable,AJ$5/100,MONTH($A91)))*$C91</f>
        <v>-5732.0979060078362</v>
      </c>
      <c r="AK91" s="1021">
        <f>(VLOOKUP(YEAR($A91),'NY East Load Projections'!$A$4:$EO$14,((MONTH($A91)-1)*12)+VLOOKUP(AK$4,$DE$6:$DF$17,2)+1))*(VLOOKUP($A91,CURVES!$D$9:$T$261,7))*(INDEX(DailyScalarsTable,AK$5/100,MONTH($A91)))*$C91</f>
        <v>-5983.4999590834404</v>
      </c>
      <c r="AL91" s="1021">
        <f>(VLOOKUP(YEAR($A91),'NY East Load Projections'!$A$4:$EO$14,((MONTH($A91)-1)*12)+VLOOKUP(AL$4,$DE$6:$DF$17,2)+1))*(VLOOKUP($A91,CURVES!$D$9:$T$261,7))*(INDEX(DailyScalarsTable,AL$5/100,MONTH($A91)))*$C91</f>
        <v>-6385.6985977979684</v>
      </c>
      <c r="AM91" s="1021">
        <f>(VLOOKUP(YEAR($A91),'NY East Load Projections'!$A$4:$EO$14,((MONTH($A91)-1)*12)+VLOOKUP(AM$4,$DE$6:$DF$17,2)+1))*(VLOOKUP($A91,CURVES!$D$9:$T$261,7))*(INDEX(DailyScalarsTable,AM$5/100,MONTH($A91)))*$C91</f>
        <v>-12228.535061091969</v>
      </c>
      <c r="AN91" s="1021">
        <f>(VLOOKUP(YEAR($A91),'NY East Load Projections'!$A$4:$EO$14,((MONTH($A91)-1)*12)+VLOOKUP(AN$4,$DE$6:$DF$17,2)+1))*(VLOOKUP($A91,SatSunCurve,3))*(INDEX(DailyScalarsTable,AN$5/100,MONTH($A91)))*$C91</f>
        <v>-11263.410221249469</v>
      </c>
      <c r="AO91" s="1021">
        <f>(VLOOKUP(YEAR($A91),'NY East Load Projections'!$A$4:$EO$14,((MONTH($A91)-1)*12)+VLOOKUP(AO$4,$DE$6:$DF$17,2)+1))*(VLOOKUP($A91,SatSunCurve,3))*(INDEX(DailyScalarsTable,AO$5/100,MONTH($A91)))*$C91</f>
        <v>-12694.606169252909</v>
      </c>
      <c r="AP91" s="1021">
        <f>(VLOOKUP(YEAR($A91),'NY East Load Projections'!$A$4:$EO$14,((MONTH($A91)-1)*12)+VLOOKUP(AP$4,$DE$6:$DF$17,2)+1))*(VLOOKUP($A91,SatSunCurve,3))*(INDEX(DailyScalarsTable,AP$5/100,MONTH($A91)))*$C91</f>
        <v>-12655.968887132563</v>
      </c>
      <c r="AQ91" s="1021">
        <f>(VLOOKUP(YEAR($A91),'NY East Load Projections'!$A$4:$EO$14,((MONTH($A91)-1)*12)+VLOOKUP(AQ$4,$DE$6:$DF$17,2)+1))*(VLOOKUP($A91,SatSunCurve,3))*(INDEX(DailyScalarsTable,AQ$5/100,MONTH($A91)))*$C91</f>
        <v>-12435.105630414606</v>
      </c>
      <c r="AR91" s="1021">
        <f>(VLOOKUP(YEAR($A91),'NY East Load Projections'!$A$4:$EO$14,((MONTH($A91)-1)*12)+VLOOKUP(AR$4,$DE$6:$DF$17,2)+1))*(VLOOKUP($A91,SatSunCurve,3))*(INDEX(DailyScalarsTable,AR$5/100,MONTH($A91)))*$C91</f>
        <v>-9315.0706431664603</v>
      </c>
      <c r="AS91" s="1021">
        <f>(VLOOKUP(YEAR($A91),'NY East Load Projections'!$A$4:$EO$14,((MONTH($A91)-1)*12)+VLOOKUP(AS$4,$DE$6:$DF$17,2)+1))*(VLOOKUP($A91,SatSunCurve,3))*(INDEX(DailyScalarsTable,AS$5/100,MONTH($A91)))*$C91</f>
        <v>-9053.3674978611216</v>
      </c>
      <c r="AT91" s="1021">
        <f>(VLOOKUP(YEAR($A91),'NY East Load Projections'!$A$4:$EO$14,((MONTH($A91)-1)*12)+VLOOKUP(AT$4,$DE$6:$DF$17,2)+1))*(VLOOKUP($A91,SatSunCurve,3))*(INDEX(DailyScalarsTable,AT$5/100,MONTH($A91)))*$C91</f>
        <v>-8761.0500634425825</v>
      </c>
      <c r="AU91" s="1021">
        <f>(VLOOKUP(YEAR($A91),'NY East Load Projections'!$A$4:$EO$14,((MONTH($A91)-1)*12)+VLOOKUP(AU$4,$DE$6:$DF$17,2)+1))*(VLOOKUP($A91,SatSunCurve,3))*(INDEX(DailyScalarsTable,AU$5/100,MONTH($A91)))*$C91</f>
        <v>-8315.1600638403925</v>
      </c>
      <c r="AV91" s="1021">
        <f>(VLOOKUP(YEAR($A91),'NY East Load Projections'!$A$4:$EO$14,((MONTH($A91)-1)*12)+VLOOKUP(AV$4,$DE$6:$DF$17,2)+1))*(VLOOKUP($A91,SatSunCurve,3))*(INDEX(DailyScalarsTable,AV$5/100,MONTH($A91)))*$C91</f>
        <v>-8147.8189238471696</v>
      </c>
      <c r="AW91" s="1021">
        <f>(VLOOKUP(YEAR($A91),'NY East Load Projections'!$A$4:$EO$14,((MONTH($A91)-1)*12)+VLOOKUP(AW$4,$DE$6:$DF$17,2)+1))*(VLOOKUP($A91,SatSunCurve,3))*(INDEX(DailyScalarsTable,AW$5/100,MONTH($A91)))*$C91</f>
        <v>-8457.9475980714287</v>
      </c>
      <c r="AX91" s="1021">
        <f>(VLOOKUP(YEAR($A91),'NY East Load Projections'!$A$4:$EO$14,((MONTH($A91)-1)*12)+VLOOKUP(AX$4,$DE$6:$DF$17,2)+1))*(VLOOKUP($A91,SatSunCurve,3))*(INDEX(DailyScalarsTable,AX$5/100,MONTH($A91)))*$C91</f>
        <v>-11768.866632522117</v>
      </c>
      <c r="AY91" s="1021">
        <f>(VLOOKUP(YEAR($A91),'NY East Load Projections'!$A$4:$EO$14,((MONTH($A91)-1)*12)+VLOOKUP(AY$4,$DE$6:$DF$17,2)+1))*(VLOOKUP($A91,SatSunCurve,3))*(INDEX(DailyScalarsTable,AY$5/100,MONTH($A91)))*$C91</f>
        <v>-12913.57373083896</v>
      </c>
      <c r="AZ91" s="1021">
        <f>(VLOOKUP(YEAR($A91),'NY East Load Projections'!$A$4:$EO$14,((MONTH($A91)-1)*12)+VLOOKUP(AZ$4,$DE$6:$DF$17,2)+1))*(VLOOKUP($A91,SatSunCurve,3))*(INDEX(DailyScalarsTable,AZ$5/100,MONTH($A91)))*$C91</f>
        <v>-12360.53085139786</v>
      </c>
      <c r="BA91" s="1021">
        <f>(VLOOKUP(YEAR($A91),'NY East Load Projections'!$A$4:$EO$14,((MONTH($A91)-1)*12)+VLOOKUP(BA$4,$DE$6:$DF$17,2)+1))*(VLOOKUP($A91,SatSunCurve,3))*(INDEX(DailyScalarsTable,BA$5/100,MONTH($A91)))*$C91</f>
        <v>-11253.668096728519</v>
      </c>
      <c r="BB91" s="1021">
        <f>(VLOOKUP(YEAR($A91),'NY East Load Projections'!$A$4:$EO$14,((MONTH($A91)-1)*12)+VLOOKUP(BB$4,$DE$6:$DF$17,2)+1))*(VLOOKUP($A91,SatSunCurve,3))*(INDEX(DailyScalarsTable,BB$5/100,MONTH($A91)))*$C91</f>
        <v>-8003.8693962142115</v>
      </c>
      <c r="BC91" s="1021">
        <f>(VLOOKUP(YEAR($A91),'NY East Load Projections'!$A$4:$EO$14,((MONTH($A91)-1)*12)+VLOOKUP(BC$4,$DE$6:$DF$17,2)+1))*(VLOOKUP($A91,SatSunCurve,3))*(INDEX(DailyScalarsTable,BC$5/100,MONTH($A91)))*$C91</f>
        <v>-6552.1633219160767</v>
      </c>
      <c r="BD91" s="1021">
        <f>(VLOOKUP(YEAR($A91),'NY East Load Projections'!$A$4:$EO$14,((MONTH($A91)-1)*12)+VLOOKUP(BD$4,$DE$6:$DF$17,2)+1))*(VLOOKUP($A91,CURVES!$D$9:$T$261,7))*(INDEX(DailyScalarsTable,BD$5/100,MONTH($A91)))*$C91</f>
        <v>-7321.6355661628204</v>
      </c>
      <c r="BE91" s="1021"/>
      <c r="BF91" s="1021">
        <f>(VLOOKUP(YEAR($A91),'NY East Load Projections'!$A$4:$EO$14,((MONTH($A91)-1)*12)+VLOOKUP(BF$4,$DE$6:$DF$17,2)+1))*(VLOOKUP($A91,CURVES!$D$9:$T$261,7))*(INDEX(DailyScalarsTable,BF$5/100,MONTH($A91)))*$D91</f>
        <v>-6383.5076349075744</v>
      </c>
      <c r="BG91" s="1021">
        <f>(VLOOKUP(YEAR($A91),'NY East Load Projections'!$A$4:$EO$14,((MONTH($A91)-1)*12)+VLOOKUP(BG$4,$DE$6:$DF$17,2)+1))*(VLOOKUP($A91,CURVES!$D$9:$T$261,7))*(INDEX(DailyScalarsTable,BG$5/100,MONTH($A91)))*$D91</f>
        <v>-6259.1391216187667</v>
      </c>
      <c r="BH91" s="1021">
        <f>(VLOOKUP(YEAR($A91),'NY East Load Projections'!$A$4:$EO$14,((MONTH($A91)-1)*12)+VLOOKUP(BH$4,$DE$6:$DF$17,2)+1))*(VLOOKUP($A91,CURVES!$D$9:$T$261,7))*(INDEX(DailyScalarsTable,BH$5/100,MONTH($A91)))*$D91</f>
        <v>-5735.5657179520476</v>
      </c>
      <c r="BI91" s="1021">
        <f>(VLOOKUP(YEAR($A91),'NY East Load Projections'!$A$4:$EO$14,((MONTH($A91)-1)*12)+VLOOKUP(BI$4,$DE$6:$DF$17,2)+1))*(VLOOKUP($A91,CURVES!$D$9:$T$261,7))*(INDEX(DailyScalarsTable,BI$5/100,MONTH($A91)))*$D91</f>
        <v>-5732.0979060078362</v>
      </c>
      <c r="BJ91" s="1021">
        <f>(VLOOKUP(YEAR($A91),'NY East Load Projections'!$A$4:$EO$14,((MONTH($A91)-1)*12)+VLOOKUP(BJ$4,$DE$6:$DF$17,2)+1))*(VLOOKUP($A91,CURVES!$D$9:$T$261,7))*(INDEX(DailyScalarsTable,BJ$5/100,MONTH($A91)))*$D91</f>
        <v>-5983.4999590834404</v>
      </c>
      <c r="BK91" s="1021">
        <f>(VLOOKUP(YEAR($A91),'NY East Load Projections'!$A$4:$EO$14,((MONTH($A91)-1)*12)+VLOOKUP(BK$4,$DE$6:$DF$17,2)+1))*(VLOOKUP($A91,CURVES!$D$9:$T$261,7))*(INDEX(DailyScalarsTable,BK$5/100,MONTH($A91)))*$D91</f>
        <v>-6385.6985977979684</v>
      </c>
      <c r="BL91" s="1021">
        <f>(VLOOKUP(YEAR($A91),'NY East Load Projections'!$A$4:$EO$14,((MONTH($A91)-1)*12)+VLOOKUP(BL$4,$DE$6:$DF$17,2)+1))*(VLOOKUP($A91,CURVES!$D$9:$T$261,7))*(INDEX(DailyScalarsTable,BL$5/100,MONTH($A91)))*$D91</f>
        <v>-12228.535061091969</v>
      </c>
      <c r="BM91" s="1021">
        <f>(VLOOKUP(YEAR($A91),'NY East Load Projections'!$A$4:$EO$14,((MONTH($A91)-1)*12)+VLOOKUP(BM$4,$DE$6:$DF$17,2)+1))*(VLOOKUP($A91,SatSunCurve,7))*(INDEX(DailyScalarsTable,BM$5/100,MONTH($A91)))*$D91</f>
        <v>-10280.927213023188</v>
      </c>
      <c r="BN91" s="1021">
        <f>(VLOOKUP(YEAR($A91),'NY East Load Projections'!$A$4:$EO$14,((MONTH($A91)-1)*12)+VLOOKUP(BN$4,$DE$6:$DF$17,2)+1))*(VLOOKUP($A91,SatSunCurve,7))*(INDEX(DailyScalarsTable,BN$5/100,MONTH($A91)))*$D91</f>
        <v>-11587.283021785059</v>
      </c>
      <c r="BO91" s="1021">
        <f>(VLOOKUP(YEAR($A91),'NY East Load Projections'!$A$4:$EO$14,((MONTH($A91)-1)*12)+VLOOKUP(BO$4,$DE$6:$DF$17,2)+1))*(VLOOKUP($A91,SatSunCurve,7))*(INDEX(DailyScalarsTable,BO$5/100,MONTH($A91)))*$D91</f>
        <v>-11552.015986545684</v>
      </c>
      <c r="BP91" s="1021">
        <f>(VLOOKUP(YEAR($A91),'NY East Load Projections'!$A$4:$EO$14,((MONTH($A91)-1)*12)+VLOOKUP(BP$4,$DE$6:$DF$17,2)+1))*(VLOOKUP($A91,SatSunCurve,7))*(INDEX(DailyScalarsTable,BP$5/100,MONTH($A91)))*$D91</f>
        <v>-11350.418155893587</v>
      </c>
      <c r="BQ91" s="1021">
        <f>(VLOOKUP(YEAR($A91),'NY East Load Projections'!$A$4:$EO$14,((MONTH($A91)-1)*12)+VLOOKUP(BQ$4,$DE$6:$DF$17,2)+1))*(VLOOKUP($A91,SatSunCurve,7))*(INDEX(DailyScalarsTable,BQ$5/100,MONTH($A91)))*$D91</f>
        <v>-8502.5370989231178</v>
      </c>
      <c r="BR91" s="1021">
        <f>(VLOOKUP(YEAR($A91),'NY East Load Projections'!$A$4:$EO$14,((MONTH($A91)-1)*12)+VLOOKUP(BR$4,$DE$6:$DF$17,2)+1))*(VLOOKUP($A91,SatSunCurve,7))*(INDEX(DailyScalarsTable,BR$5/100,MONTH($A91)))*$D91</f>
        <v>-8263.6617551815361</v>
      </c>
      <c r="BS91" s="1021">
        <f>(VLOOKUP(YEAR($A91),'NY East Load Projections'!$A$4:$EO$14,((MONTH($A91)-1)*12)+VLOOKUP(BS$4,$DE$6:$DF$17,2)+1))*(VLOOKUP($A91,SatSunCurve,7))*(INDEX(DailyScalarsTable,BS$5/100,MONTH($A91)))*$D91</f>
        <v>-7996.8425408120811</v>
      </c>
      <c r="BT91" s="1021">
        <f>(VLOOKUP(YEAR($A91),'NY East Load Projections'!$A$4:$EO$14,((MONTH($A91)-1)*12)+VLOOKUP(BT$4,$DE$6:$DF$17,2)+1))*(VLOOKUP($A91,SatSunCurve,7))*(INDEX(DailyScalarsTable,BT$5/100,MONTH($A91)))*$D91</f>
        <v>-7589.8465652702671</v>
      </c>
      <c r="BU91" s="1021">
        <f>(VLOOKUP(YEAR($A91),'NY East Load Projections'!$A$4:$EO$14,((MONTH($A91)-1)*12)+VLOOKUP(BU$4,$DE$6:$DF$17,2)+1))*(VLOOKUP($A91,SatSunCurve,7))*(INDEX(DailyScalarsTable,BU$5/100,MONTH($A91)))*$D91</f>
        <v>-7437.1022324065934</v>
      </c>
      <c r="BV91" s="1021">
        <f>(VLOOKUP(YEAR($A91),'NY East Load Projections'!$A$4:$EO$14,((MONTH($A91)-1)*12)+VLOOKUP(BV$4,$DE$6:$DF$17,2)+1))*(VLOOKUP($A91,SatSunCurve,7))*(INDEX(DailyScalarsTable,BV$5/100,MONTH($A91)))*$D91</f>
        <v>-7720.1790505052322</v>
      </c>
      <c r="BW91" s="1021">
        <f>(VLOOKUP(YEAR($A91),'NY East Load Projections'!$A$4:$EO$14,((MONTH($A91)-1)*12)+VLOOKUP(BW$4,$DE$6:$DF$17,2)+1))*(VLOOKUP($A91,SatSunCurve,7))*(INDEX(DailyScalarsTable,BW$5/100,MONTH($A91)))*$D91</f>
        <v>-10742.293750472583</v>
      </c>
      <c r="BX91" s="1021">
        <f>(VLOOKUP(YEAR($A91),'NY East Load Projections'!$A$4:$EO$14,((MONTH($A91)-1)*12)+VLOOKUP(BX$4,$DE$6:$DF$17,2)+1))*(VLOOKUP($A91,SatSunCurve,7))*(INDEX(DailyScalarsTable,BX$5/100,MONTH($A91)))*$D91</f>
        <v>-11787.15051470761</v>
      </c>
      <c r="BY91" s="1021">
        <f>(VLOOKUP(YEAR($A91),'NY East Load Projections'!$A$4:$EO$14,((MONTH($A91)-1)*12)+VLOOKUP(BY$4,$DE$6:$DF$17,2)+1))*(VLOOKUP($A91,SatSunCurve,7))*(INDEX(DailyScalarsTable,BY$5/100,MONTH($A91)))*$D91</f>
        <v>-11282.348374189996</v>
      </c>
      <c r="BZ91" s="1021">
        <f>(VLOOKUP(YEAR($A91),'NY East Load Projections'!$A$4:$EO$14,((MONTH($A91)-1)*12)+VLOOKUP(BZ$4,$DE$6:$DF$17,2)+1))*(VLOOKUP($A91,SatSunCurve,7))*(INDEX(DailyScalarsTable,BZ$5/100,MONTH($A91)))*$D91</f>
        <v>-10272.034873036213</v>
      </c>
      <c r="CA91" s="1021">
        <f>(VLOOKUP(YEAR($A91),'NY East Load Projections'!$A$4:$EO$14,((MONTH($A91)-1)*12)+VLOOKUP(CA$4,$DE$6:$DF$17,2)+1))*(VLOOKUP($A91,SatSunCurve,7))*(INDEX(DailyScalarsTable,CA$5/100,MONTH($A91)))*$D91</f>
        <v>-7305.7091119508113</v>
      </c>
      <c r="CB91" s="1021">
        <f>(VLOOKUP(YEAR($A91),'NY East Load Projections'!$A$4:$EO$14,((MONTH($A91)-1)*12)+VLOOKUP(CB$4,$DE$6:$DF$17,2)+1))*(VLOOKUP($A91,SatSunCurve,7))*(INDEX(DailyScalarsTable,CB$5/100,MONTH($A91)))*$D91</f>
        <v>-5980.632231024857</v>
      </c>
      <c r="CC91" s="1021">
        <f>(VLOOKUP(YEAR($A91),'NY East Load Projections'!$A$4:$EO$14,((MONTH($A91)-1)*12)+VLOOKUP(CC$4,$DE$6:$DF$17,2)+1))*(VLOOKUP($A91,CURVES!$D$9:$T$261,7))*(INDEX(DailyScalarsTable,CC$5/100,MONTH($A91)))*$D91</f>
        <v>-7321.6355661628204</v>
      </c>
      <c r="CE91" s="1021">
        <f>(VLOOKUP(YEAR($A91),'NY East Load Projections'!$A$4:$EO$14,((MONTH($A91)-1)*12)+VLOOKUP(CE$4,$DE$6:$DF$17,2)+1))*(VLOOKUP($A91,CURVES!$D$9:$T$261,7))*(INDEX(DailyScalarsTable,CE$5/100,MONTH($A91)))*$E91</f>
        <v>0</v>
      </c>
      <c r="CF91" s="1021">
        <f>(VLOOKUP(YEAR($A91),'NY East Load Projections'!$A$4:$EO$14,((MONTH($A91)-1)*12)+VLOOKUP(CF$4,$DE$6:$DF$17,2)+1))*(VLOOKUP($A91,CURVES!$D$9:$T$261,7))*(INDEX(DailyScalarsTable,CF$5/100,MONTH($A91)))*$E91</f>
        <v>0</v>
      </c>
      <c r="CG91" s="1021">
        <f>(VLOOKUP(YEAR($A91),'NY East Load Projections'!$A$4:$EO$14,((MONTH($A91)-1)*12)+VLOOKUP(CG$4,$DE$6:$DF$17,2)+1))*(VLOOKUP($A91,CURVES!$D$9:$T$261,7))*(INDEX(DailyScalarsTable,CG$5/100,MONTH($A91)))*$E91</f>
        <v>0</v>
      </c>
      <c r="CH91" s="1021">
        <f>(VLOOKUP(YEAR($A91),'NY East Load Projections'!$A$4:$EO$14,((MONTH($A91)-1)*12)+VLOOKUP(CH$4,$DE$6:$DF$17,2)+1))*(VLOOKUP($A91,CURVES!$D$9:$T$261,7))*(INDEX(DailyScalarsTable,CH$5/100,MONTH($A91)))*$E91</f>
        <v>0</v>
      </c>
      <c r="CI91" s="1021">
        <f>(VLOOKUP(YEAR($A91),'NY East Load Projections'!$A$4:$EO$14,((MONTH($A91)-1)*12)+VLOOKUP(CI$4,$DE$6:$DF$17,2)+1))*(VLOOKUP($A91,CURVES!$D$9:$T$261,7))*(INDEX(DailyScalarsTable,CI$5/100,MONTH($A91)))*$E91</f>
        <v>0</v>
      </c>
      <c r="CJ91" s="1021">
        <f>(VLOOKUP(YEAR($A91),'NY East Load Projections'!$A$4:$EO$14,((MONTH($A91)-1)*12)+VLOOKUP(CJ$4,$DE$6:$DF$17,2)+1))*(VLOOKUP($A91,CURVES!$D$9:$T$261,7))*(INDEX(DailyScalarsTable,CJ$5/100,MONTH($A91)))*$E91</f>
        <v>0</v>
      </c>
      <c r="CK91" s="1021">
        <f>(VLOOKUP(YEAR($A91),'NY East Load Projections'!$A$4:$EO$14,((MONTH($A91)-1)*12)+VLOOKUP(CK$4,$DE$6:$DF$17,2)+1))*(VLOOKUP($A91,CURVES!$D$9:$T$261,7))*(INDEX(DailyScalarsTable,CK$5/100,MONTH($A91)))*$E91</f>
        <v>0</v>
      </c>
      <c r="CL91" s="1021">
        <f>(VLOOKUP(YEAR($A91),'NY East Load Projections'!$A$4:$EO$14,((MONTH($A91)-1)*12)+VLOOKUP(CL$4,$DE$6:$DF$17,2)+1))*(VLOOKUP($A91,SatSunCurve,7))*(INDEX(DailyScalarsTable,CL$5/100,MONTH($A91)))*$E91</f>
        <v>0</v>
      </c>
      <c r="CM91" s="1021">
        <f>(VLOOKUP(YEAR($A91),'NY East Load Projections'!$A$4:$EO$14,((MONTH($A91)-1)*12)+VLOOKUP(CM$4,$DE$6:$DF$17,2)+1))*(VLOOKUP($A91,SatSunCurve,7))*(INDEX(DailyScalarsTable,CM$5/100,MONTH($A91)))*$E91</f>
        <v>0</v>
      </c>
      <c r="CN91" s="1021">
        <f>(VLOOKUP(YEAR($A91),'NY East Load Projections'!$A$4:$EO$14,((MONTH($A91)-1)*12)+VLOOKUP(CN$4,$DE$6:$DF$17,2)+1))*(VLOOKUP($A91,SatSunCurve,7))*(INDEX(DailyScalarsTable,CN$5/100,MONTH($A91)))*$E91</f>
        <v>0</v>
      </c>
      <c r="CO91" s="1021">
        <f>(VLOOKUP(YEAR($A91),'NY East Load Projections'!$A$4:$EO$14,((MONTH($A91)-1)*12)+VLOOKUP(CO$4,$DE$6:$DF$17,2)+1))*(VLOOKUP($A91,SatSunCurve,7))*(INDEX(DailyScalarsTable,CO$5/100,MONTH($A91)))*$E91</f>
        <v>0</v>
      </c>
      <c r="CP91" s="1021">
        <f>(VLOOKUP(YEAR($A91),'NY East Load Projections'!$A$4:$EO$14,((MONTH($A91)-1)*12)+VLOOKUP(CP$4,$DE$6:$DF$17,2)+1))*(VLOOKUP($A91,SatSunCurve,7))*(INDEX(DailyScalarsTable,CP$5/100,MONTH($A91)))*$E91</f>
        <v>0</v>
      </c>
      <c r="CQ91" s="1021">
        <f>(VLOOKUP(YEAR($A91),'NY East Load Projections'!$A$4:$EO$14,((MONTH($A91)-1)*12)+VLOOKUP(CQ$4,$DE$6:$DF$17,2)+1))*(VLOOKUP($A91,SatSunCurve,7))*(INDEX(DailyScalarsTable,CQ$5/100,MONTH($A91)))*$E91</f>
        <v>0</v>
      </c>
      <c r="CR91" s="1021">
        <f>(VLOOKUP(YEAR($A91),'NY East Load Projections'!$A$4:$EO$14,((MONTH($A91)-1)*12)+VLOOKUP(CR$4,$DE$6:$DF$17,2)+1))*(VLOOKUP($A91,SatSunCurve,7))*(INDEX(DailyScalarsTable,CR$5/100,MONTH($A91)))*$E91</f>
        <v>0</v>
      </c>
      <c r="CS91" s="1021">
        <f>(VLOOKUP(YEAR($A91),'NY East Load Projections'!$A$4:$EO$14,((MONTH($A91)-1)*12)+VLOOKUP(CS$4,$DE$6:$DF$17,2)+1))*(VLOOKUP($A91,SatSunCurve,7))*(INDEX(DailyScalarsTable,CS$5/100,MONTH($A91)))*$E91</f>
        <v>0</v>
      </c>
      <c r="CT91" s="1021">
        <f>(VLOOKUP(YEAR($A91),'NY East Load Projections'!$A$4:$EO$14,((MONTH($A91)-1)*12)+VLOOKUP(CT$4,$DE$6:$DF$17,2)+1))*(VLOOKUP($A91,SatSunCurve,7))*(INDEX(DailyScalarsTable,CT$5/100,MONTH($A91)))*$E91</f>
        <v>0</v>
      </c>
      <c r="CU91" s="1021">
        <f>(VLOOKUP(YEAR($A91),'NY East Load Projections'!$A$4:$EO$14,((MONTH($A91)-1)*12)+VLOOKUP(CU$4,$DE$6:$DF$17,2)+1))*(VLOOKUP($A91,SatSunCurve,7))*(INDEX(DailyScalarsTable,CU$5/100,MONTH($A91)))*$E91</f>
        <v>0</v>
      </c>
      <c r="CV91" s="1021">
        <f>(VLOOKUP(YEAR($A91),'NY East Load Projections'!$A$4:$EO$14,((MONTH($A91)-1)*12)+VLOOKUP(CV$4,$DE$6:$DF$17,2)+1))*(VLOOKUP($A91,SatSunCurve,7))*(INDEX(DailyScalarsTable,CV$5/100,MONTH($A91)))*$E91</f>
        <v>0</v>
      </c>
      <c r="CW91" s="1021">
        <f>(VLOOKUP(YEAR($A91),'NY East Load Projections'!$A$4:$EO$14,((MONTH($A91)-1)*12)+VLOOKUP(CW$4,$DE$6:$DF$17,2)+1))*(VLOOKUP($A91,SatSunCurve,7))*(INDEX(DailyScalarsTable,CW$5/100,MONTH($A91)))*$E91</f>
        <v>0</v>
      </c>
      <c r="CX91" s="1021">
        <f>(VLOOKUP(YEAR($A91),'NY East Load Projections'!$A$4:$EO$14,((MONTH($A91)-1)*12)+VLOOKUP(CX$4,$DE$6:$DF$17,2)+1))*(VLOOKUP($A91,SatSunCurve,7))*(INDEX(DailyScalarsTable,CX$5/100,MONTH($A91)))*$E91</f>
        <v>0</v>
      </c>
      <c r="CY91" s="1021">
        <f>(VLOOKUP(YEAR($A91),'NY East Load Projections'!$A$4:$EO$14,((MONTH($A91)-1)*12)+VLOOKUP(CY$4,$DE$6:$DF$17,2)+1))*(VLOOKUP($A91,SatSunCurve,7))*(INDEX(DailyScalarsTable,CY$5/100,MONTH($A91)))*$E91</f>
        <v>0</v>
      </c>
      <c r="CZ91" s="1021">
        <f>(VLOOKUP(YEAR($A91),'NY East Load Projections'!$A$4:$EO$14,((MONTH($A91)-1)*12)+VLOOKUP(CZ$4,$DE$6:$DF$17,2)+1))*(VLOOKUP($A91,SatSunCurve,7))*(INDEX(DailyScalarsTable,CZ$5/100,MONTH($A91)))*$E91</f>
        <v>0</v>
      </c>
      <c r="DA91" s="1021">
        <f>(VLOOKUP(YEAR($A91),'NY East Load Projections'!$A$4:$EO$14,((MONTH($A91)-1)*12)+VLOOKUP(DA$4,$DE$6:$DF$17,2)+1))*(VLOOKUP($A91,SatSunCurve,7))*(INDEX(DailyScalarsTable,DA$5/100,MONTH($A91)))*$E91</f>
        <v>0</v>
      </c>
      <c r="DB91" s="1021">
        <f>(VLOOKUP(YEAR($A91),'NY East Load Projections'!$A$4:$EO$14,((MONTH($A91)-1)*12)+VLOOKUP(DB$4,$DE$6:$DF$17,2)+1))*(VLOOKUP($A91,CURVES!$D$9:$T$261,7))*(INDEX(DailyScalarsTable,DB$5/100,MONTH($A91)))*$E91</f>
        <v>0</v>
      </c>
      <c r="DH91" s="1032">
        <f t="shared" si="2"/>
        <v>-1821095.3395015299</v>
      </c>
      <c r="DI91">
        <f ca="1">CALC!J111</f>
        <v>0.55790431277218178</v>
      </c>
      <c r="DJ91" s="1029">
        <f t="shared" ca="1" si="3"/>
        <v>-1015996.9438772241</v>
      </c>
    </row>
    <row r="92" spans="1:114" x14ac:dyDescent="0.25">
      <c r="A92" s="244">
        <v>39508</v>
      </c>
      <c r="B92" s="13">
        <v>21</v>
      </c>
      <c r="C92" s="210">
        <v>5</v>
      </c>
      <c r="D92" s="210">
        <v>5</v>
      </c>
      <c r="E92" s="210">
        <v>0</v>
      </c>
      <c r="F92" s="13">
        <v>31</v>
      </c>
      <c r="H92" s="1021">
        <f>(VLOOKUP(YEAR($A92),'NY East Load Projections'!$A$4:$EO$14,((MONTH($A92)-1)*12)+VLOOKUP(H$4,$DE$6:$DF$17,2)+1))*(VLOOKUP($A92,CURVES!$D$9:$K$261,7))*(INDEX(DailyScalarsTable,H$5/100,MONTH($A92)))*$B92</f>
        <v>-27108.595691322302</v>
      </c>
      <c r="I92" s="1021">
        <f>(VLOOKUP(YEAR($A92),'NY East Load Projections'!$A$4:$EO$14,((MONTH($A92)-1)*12)+VLOOKUP(I$4,$DE$6:$DF$17,2)+1))*(VLOOKUP($A92,CURVES!$D$9:$K$261,7))*(INDEX(DailyScalarsTable,I$5/100,MONTH($A92)))*$B92</f>
        <v>-25632.379662093408</v>
      </c>
      <c r="J92" s="1021">
        <f>(VLOOKUP(YEAR($A92),'NY East Load Projections'!$A$4:$EO$14,((MONTH($A92)-1)*12)+VLOOKUP(J$4,$DE$6:$DF$17,2)+1))*(VLOOKUP($A92,CURVES!$D$9:$K$261,7))*(INDEX(DailyScalarsTable,J$5/100,MONTH($A92)))*$B92</f>
        <v>-24539.966690197318</v>
      </c>
      <c r="K92" s="1021">
        <f>(VLOOKUP(YEAR($A92),'NY East Load Projections'!$A$4:$EO$14,((MONTH($A92)-1)*12)+VLOOKUP(K$4,$DE$6:$DF$17,2)+1))*(VLOOKUP($A92,CURVES!$D$9:$K$261,7))*(INDEX(DailyScalarsTable,K$5/100,MONTH($A92)))*$B92</f>
        <v>-24555.371253557401</v>
      </c>
      <c r="L92" s="1021">
        <f>(VLOOKUP(YEAR($A92),'NY East Load Projections'!$A$4:$EO$14,((MONTH($A92)-1)*12)+VLOOKUP(L$4,$DE$6:$DF$17,2)+1))*(VLOOKUP($A92,CURVES!$D$9:$K$261,7))*(INDEX(DailyScalarsTable,L$5/100,MONTH($A92)))*$B92</f>
        <v>-28831.609741600223</v>
      </c>
      <c r="M92" s="1021">
        <f>(VLOOKUP(YEAR($A92),'NY East Load Projections'!$A$4:$EO$14,((MONTH($A92)-1)*12)+VLOOKUP(M$4,$DE$6:$DF$17,2)+1))*(VLOOKUP($A92,CURVES!$D$9:$K$261,7))*(INDEX(DailyScalarsTable,M$5/100,MONTH($A92)))*$B92</f>
        <v>-33466.962953947012</v>
      </c>
      <c r="N92" s="1021">
        <f>(VLOOKUP(YEAR($A92),'NY East Load Projections'!$A$4:$EO$14,((MONTH($A92)-1)*12)+VLOOKUP(N$4,$DE$6:$DF$17,2)+1))*(VLOOKUP($A92,CURVES!$D$9:$K$261,7))*(INDEX(DailyScalarsTable,N$5/100,MONTH($A92)))*$B92</f>
        <v>-60387.344521572231</v>
      </c>
      <c r="O92" s="1021">
        <f>(VLOOKUP(YEAR($A92),'NY East Load Projections'!$A$4:$EO$14,((MONTH($A92)-1)*12)+VLOOKUP(O$4,$DE$6:$DF$17,2)+1))*(VLOOKUP($A92,CURVES!$D$9:$K$261,3))*(INDEX(DailyScalarsTable,O$5/100,MONTH($A92)))*$B92</f>
        <v>-64888.520210353883</v>
      </c>
      <c r="P92" s="1021">
        <f>(VLOOKUP(YEAR($A92),'NY East Load Projections'!$A$4:$EO$14,((MONTH($A92)-1)*12)+VLOOKUP(P$4,$DE$6:$DF$17,2)+1))*(VLOOKUP($A92,CURVES!$D$9:$K$261,3))*(INDEX(DailyScalarsTable,P$5/100,MONTH($A92)))*$B92</f>
        <v>-73285.045009754293</v>
      </c>
      <c r="Q92" s="1021">
        <f>(VLOOKUP(YEAR($A92),'NY East Load Projections'!$A$4:$EO$14,((MONTH($A92)-1)*12)+VLOOKUP(Q$4,$DE$6:$DF$17,2)+1))*(VLOOKUP($A92,CURVES!$D$9:$K$261,3))*(INDEX(DailyScalarsTable,Q$5/100,MONTH($A92)))*$B92</f>
        <v>-73063.305085367741</v>
      </c>
      <c r="R92" s="1021">
        <f>(VLOOKUP(YEAR($A92),'NY East Load Projections'!$A$4:$EO$14,((MONTH($A92)-1)*12)+VLOOKUP(R$4,$DE$6:$DF$17,2)+1))*(VLOOKUP($A92,CURVES!$D$9:$K$261,3))*(INDEX(DailyScalarsTable,R$5/100,MONTH($A92)))*$B92</f>
        <v>-71775.981635456948</v>
      </c>
      <c r="S92" s="1021">
        <f>(VLOOKUP(YEAR($A92),'NY East Load Projections'!$A$4:$EO$14,((MONTH($A92)-1)*12)+VLOOKUP(S$4,$DE$6:$DF$17,2)+1))*(VLOOKUP($A92,CURVES!$D$9:$K$261,3))*(INDEX(DailyScalarsTable,S$5/100,MONTH($A92)))*$B92</f>
        <v>-54843.674631606336</v>
      </c>
      <c r="T92" s="1021">
        <f>(VLOOKUP(YEAR($A92),'NY East Load Projections'!$A$4:$EO$14,((MONTH($A92)-1)*12)+VLOOKUP(T$4,$DE$6:$DF$17,2)+1))*(VLOOKUP($A92,CURVES!$D$9:$K$261,3))*(INDEX(DailyScalarsTable,T$5/100,MONTH($A92)))*$B92</f>
        <v>-54868.481808677221</v>
      </c>
      <c r="U92" s="1021">
        <f>(VLOOKUP(YEAR($A92),'NY East Load Projections'!$A$4:$EO$14,((MONTH($A92)-1)*12)+VLOOKUP(U$4,$DE$6:$DF$17,2)+1))*(VLOOKUP($A92,CURVES!$D$9:$K$261,3))*(INDEX(DailyScalarsTable,U$5/100,MONTH($A92)))*$B92</f>
        <v>-53117.360048825831</v>
      </c>
      <c r="V92" s="1021">
        <f>(VLOOKUP(YEAR($A92),'NY East Load Projections'!$A$4:$EO$14,((MONTH($A92)-1)*12)+VLOOKUP(V$4,$DE$6:$DF$17,2)+1))*(VLOOKUP($A92,CURVES!$D$9:$K$261,3))*(INDEX(DailyScalarsTable,V$5/100,MONTH($A92)))*$B92</f>
        <v>-50446.264900646696</v>
      </c>
      <c r="W92" s="1021">
        <f>(VLOOKUP(YEAR($A92),'NY East Load Projections'!$A$4:$EO$14,((MONTH($A92)-1)*12)+VLOOKUP(W$4,$DE$6:$DF$17,2)+1))*(VLOOKUP($A92,CURVES!$D$9:$K$261,3))*(INDEX(DailyScalarsTable,W$5/100,MONTH($A92)))*$B92</f>
        <v>-49443.811139572339</v>
      </c>
      <c r="X92" s="1021">
        <f>(VLOOKUP(YEAR($A92),'NY East Load Projections'!$A$4:$EO$14,((MONTH($A92)-1)*12)+VLOOKUP(X$4,$DE$6:$DF$17,2)+1))*(VLOOKUP($A92,CURVES!$D$9:$K$261,3))*(INDEX(DailyScalarsTable,X$5/100,MONTH($A92)))*$B92</f>
        <v>-51749.757729261131</v>
      </c>
      <c r="Y92" s="1021">
        <f>(VLOOKUP(YEAR($A92),'NY East Load Projections'!$A$4:$EO$14,((MONTH($A92)-1)*12)+VLOOKUP(Y$4,$DE$6:$DF$17,2)+1))*(VLOOKUP($A92,CURVES!$D$9:$K$261,3))*(INDEX(DailyScalarsTable,Y$5/100,MONTH($A92)))*$B92</f>
        <v>-70552.900633007492</v>
      </c>
      <c r="Z92" s="1021">
        <f>(VLOOKUP(YEAR($A92),'NY East Load Projections'!$A$4:$EO$14,((MONTH($A92)-1)*12)+VLOOKUP(Z$4,$DE$6:$DF$17,2)+1))*(VLOOKUP($A92,CURVES!$D$9:$K$261,3))*(INDEX(DailyScalarsTable,Z$5/100,MONTH($A92)))*$B92</f>
        <v>-77472.359764415291</v>
      </c>
      <c r="AA92" s="1021">
        <f>(VLOOKUP(YEAR($A92),'NY East Load Projections'!$A$4:$EO$14,((MONTH($A92)-1)*12)+VLOOKUP(AA$4,$DE$6:$DF$17,2)+1))*(VLOOKUP($A92,CURVES!$D$9:$K$261,3))*(INDEX(DailyScalarsTable,AA$5/100,MONTH($A92)))*$B92</f>
        <v>-74128.360589113465</v>
      </c>
      <c r="AB92" s="1021">
        <f>(VLOOKUP(YEAR($A92),'NY East Load Projections'!$A$4:$EO$14,((MONTH($A92)-1)*12)+VLOOKUP(AB$4,$DE$6:$DF$17,2)+1))*(VLOOKUP($A92,CURVES!$D$9:$K$261,3))*(INDEX(DailyScalarsTable,AB$5/100,MONTH($A92)))*$B92</f>
        <v>-63736.918207400289</v>
      </c>
      <c r="AC92" s="1021">
        <f>(VLOOKUP(YEAR($A92),'NY East Load Projections'!$A$4:$EO$14,((MONTH($A92)-1)*12)+VLOOKUP(AC$4,$DE$6:$DF$17,2)+1))*(VLOOKUP($A92,CURVES!$D$9:$K$261,3))*(INDEX(DailyScalarsTable,AC$5/100,MONTH($A92)))*$B92</f>
        <v>-46281.763592221934</v>
      </c>
      <c r="AD92" s="1021">
        <f>(VLOOKUP(YEAR($A92),'NY East Load Projections'!$A$4:$EO$14,((MONTH($A92)-1)*12)+VLOOKUP(AD$4,$DE$6:$DF$17,2)+1))*(VLOOKUP($A92,CURVES!$D$9:$K$261,3))*(INDEX(DailyScalarsTable,AD$5/100,MONTH($A92)))*$B92</f>
        <v>-37988.338727229675</v>
      </c>
      <c r="AE92" s="1021">
        <f>(VLOOKUP(YEAR($A92),'NY East Load Projections'!$A$4:$EO$14,((MONTH($A92)-1)*12)+VLOOKUP(AE$4,$DE$6:$DF$17,2)+1))*(VLOOKUP($A92,CURVES!$D$9:$K$261,7))*(INDEX(DailyScalarsTable,AE$5/100,MONTH($A92)))*$B92</f>
        <v>-34235.428336802914</v>
      </c>
      <c r="AF92" s="1021"/>
      <c r="AG92" s="1021">
        <f>(VLOOKUP(YEAR($A92),'NY East Load Projections'!$A$4:$EO$14,((MONTH($A92)-1)*12)+VLOOKUP(AG$4,$DE$6:$DF$17,2)+1))*(VLOOKUP($A92,CURVES!$D$9:$T$261,7))*(INDEX(DailyScalarsTable,AG$5/100,MONTH($A92)))*$C92</f>
        <v>-7045.3287976831007</v>
      </c>
      <c r="AH92" s="1021">
        <f>(VLOOKUP(YEAR($A92),'NY East Load Projections'!$A$4:$EO$14,((MONTH($A92)-1)*12)+VLOOKUP(AH$4,$DE$6:$DF$17,2)+1))*(VLOOKUP($A92,CURVES!$D$9:$T$261,7))*(INDEX(DailyScalarsTable,AH$5/100,MONTH($A92)))*$C92</f>
        <v>-6661.6708826529621</v>
      </c>
      <c r="AI92" s="1021">
        <f>(VLOOKUP(YEAR($A92),'NY East Load Projections'!$A$4:$EO$14,((MONTH($A92)-1)*12)+VLOOKUP(AI$4,$DE$6:$DF$17,2)+1))*(VLOOKUP($A92,CURVES!$D$9:$T$261,7))*(INDEX(DailyScalarsTable,AI$5/100,MONTH($A92)))*$C92</f>
        <v>-6377.760618266755</v>
      </c>
      <c r="AJ92" s="1021">
        <f>(VLOOKUP(YEAR($A92),'NY East Load Projections'!$A$4:$EO$14,((MONTH($A92)-1)*12)+VLOOKUP(AJ$4,$DE$6:$DF$17,2)+1))*(VLOOKUP($A92,CURVES!$D$9:$T$261,7))*(INDEX(DailyScalarsTable,AJ$5/100,MONTH($A92)))*$C92</f>
        <v>-6381.7641533481119</v>
      </c>
      <c r="AK92" s="1021">
        <f>(VLOOKUP(YEAR($A92),'NY East Load Projections'!$A$4:$EO$14,((MONTH($A92)-1)*12)+VLOOKUP(AK$4,$DE$6:$DF$17,2)+1))*(VLOOKUP($A92,CURVES!$D$9:$T$261,7))*(INDEX(DailyScalarsTable,AK$5/100,MONTH($A92)))*$C92</f>
        <v>-6952.1597881865127</v>
      </c>
      <c r="AL92" s="1021">
        <f>(VLOOKUP(YEAR($A92),'NY East Load Projections'!$A$4:$EO$14,((MONTH($A92)-1)*12)+VLOOKUP(AL$4,$DE$6:$DF$17,2)+1))*(VLOOKUP($A92,CURVES!$D$9:$T$261,7))*(INDEX(DailyScalarsTable,AL$5/100,MONTH($A92)))*$C92</f>
        <v>-8069.8815004231001</v>
      </c>
      <c r="AM92" s="1021">
        <f>(VLOOKUP(YEAR($A92),'NY East Load Projections'!$A$4:$EO$14,((MONTH($A92)-1)*12)+VLOOKUP(AM$4,$DE$6:$DF$17,2)+1))*(VLOOKUP($A92,CURVES!$D$9:$T$261,7))*(INDEX(DailyScalarsTable,AM$5/100,MONTH($A92)))*$C92</f>
        <v>-14561.187254573957</v>
      </c>
      <c r="AN92" s="1021">
        <f>(VLOOKUP(YEAR($A92),'NY East Load Projections'!$A$4:$EO$14,((MONTH($A92)-1)*12)+VLOOKUP(AN$4,$DE$6:$DF$17,2)+1))*(VLOOKUP($A92,SatSunCurve,3))*(INDEX(DailyScalarsTable,AN$5/100,MONTH($A92)))*$C92</f>
        <v>-10259.417584110146</v>
      </c>
      <c r="AO92" s="1021">
        <f>(VLOOKUP(YEAR($A92),'NY East Load Projections'!$A$4:$EO$14,((MONTH($A92)-1)*12)+VLOOKUP(AO$4,$DE$6:$DF$17,2)+1))*(VLOOKUP($A92,SatSunCurve,3))*(INDEX(DailyScalarsTable,AO$5/100,MONTH($A92)))*$C92</f>
        <v>-11512.205045582825</v>
      </c>
      <c r="AP92" s="1021">
        <f>(VLOOKUP(YEAR($A92),'NY East Load Projections'!$A$4:$EO$14,((MONTH($A92)-1)*12)+VLOOKUP(AP$4,$DE$6:$DF$17,2)+1))*(VLOOKUP($A92,SatSunCurve,3))*(INDEX(DailyScalarsTable,AP$5/100,MONTH($A92)))*$C92</f>
        <v>-11477.372352555343</v>
      </c>
      <c r="AQ92" s="1021">
        <f>(VLOOKUP(YEAR($A92),'NY East Load Projections'!$A$4:$EO$14,((MONTH($A92)-1)*12)+VLOOKUP(AQ$4,$DE$6:$DF$17,2)+1))*(VLOOKUP($A92,SatSunCurve,3))*(INDEX(DailyScalarsTable,AQ$5/100,MONTH($A92)))*$C92</f>
        <v>-11275.149218034685</v>
      </c>
      <c r="AR92" s="1021">
        <f>(VLOOKUP(YEAR($A92),'NY East Load Projections'!$A$4:$EO$14,((MONTH($A92)-1)*12)+VLOOKUP(AR$4,$DE$6:$DF$17,2)+1))*(VLOOKUP($A92,SatSunCurve,3))*(INDEX(DailyScalarsTable,AR$5/100,MONTH($A92)))*$C92</f>
        <v>-8615.2860754639005</v>
      </c>
      <c r="AS92" s="1021">
        <f>(VLOOKUP(YEAR($A92),'NY East Load Projections'!$A$4:$EO$14,((MONTH($A92)-1)*12)+VLOOKUP(AS$4,$DE$6:$DF$17,2)+1))*(VLOOKUP($A92,SatSunCurve,3))*(INDEX(DailyScalarsTable,AS$5/100,MONTH($A92)))*$C92</f>
        <v>-8450.3862420433252</v>
      </c>
      <c r="AT92" s="1021">
        <f>(VLOOKUP(YEAR($A92),'NY East Load Projections'!$A$4:$EO$14,((MONTH($A92)-1)*12)+VLOOKUP(AT$4,$DE$6:$DF$17,2)+1))*(VLOOKUP($A92,SatSunCurve,3))*(INDEX(DailyScalarsTable,AT$5/100,MONTH($A92)))*$C92</f>
        <v>-8180.6930641057725</v>
      </c>
      <c r="AU92" s="1021">
        <f>(VLOOKUP(YEAR($A92),'NY East Load Projections'!$A$4:$EO$14,((MONTH($A92)-1)*12)+VLOOKUP(AU$4,$DE$6:$DF$17,2)+1))*(VLOOKUP($A92,SatSunCurve,3))*(INDEX(DailyScalarsTable,AU$5/100,MONTH($A92)))*$C92</f>
        <v>-7769.3132528314618</v>
      </c>
      <c r="AV92" s="1021">
        <f>(VLOOKUP(YEAR($A92),'NY East Load Projections'!$A$4:$EO$14,((MONTH($A92)-1)*12)+VLOOKUP(AV$4,$DE$6:$DF$17,2)+1))*(VLOOKUP($A92,SatSunCurve,3))*(INDEX(DailyScalarsTable,AV$5/100,MONTH($A92)))*$C92</f>
        <v>-7614.9236799541668</v>
      </c>
      <c r="AW92" s="1021">
        <f>(VLOOKUP(YEAR($A92),'NY East Load Projections'!$A$4:$EO$14,((MONTH($A92)-1)*12)+VLOOKUP(AW$4,$DE$6:$DF$17,2)+1))*(VLOOKUP($A92,SatSunCurve,3))*(INDEX(DailyScalarsTable,AW$5/100,MONTH($A92)))*$C92</f>
        <v>-7936.7748141672109</v>
      </c>
      <c r="AX92" s="1021">
        <f>(VLOOKUP(YEAR($A92),'NY East Load Projections'!$A$4:$EO$14,((MONTH($A92)-1)*12)+VLOOKUP(AX$4,$DE$6:$DF$17,2)+1))*(VLOOKUP($A92,SatSunCurve,3))*(INDEX(DailyScalarsTable,AX$5/100,MONTH($A92)))*$C92</f>
        <v>-10820.581764653816</v>
      </c>
      <c r="AY92" s="1021">
        <f>(VLOOKUP(YEAR($A92),'NY East Load Projections'!$A$4:$EO$14,((MONTH($A92)-1)*12)+VLOOKUP(AY$4,$DE$6:$DF$17,2)+1))*(VLOOKUP($A92,SatSunCurve,3))*(INDEX(DailyScalarsTable,AY$5/100,MONTH($A92)))*$C92</f>
        <v>-11881.80777558766</v>
      </c>
      <c r="AZ92" s="1021">
        <f>(VLOOKUP(YEAR($A92),'NY East Load Projections'!$A$4:$EO$14,((MONTH($A92)-1)*12)+VLOOKUP(AZ$4,$DE$6:$DF$17,2)+1))*(VLOOKUP($A92,SatSunCurve,3))*(INDEX(DailyScalarsTable,AZ$5/100,MONTH($A92)))*$C92</f>
        <v>-11368.944148824738</v>
      </c>
      <c r="BA92" s="1021">
        <f>(VLOOKUP(YEAR($A92),'NY East Load Projections'!$A$4:$EO$14,((MONTH($A92)-1)*12)+VLOOKUP(BA$4,$DE$6:$DF$17,2)+1))*(VLOOKUP($A92,SatSunCurve,3))*(INDEX(DailyScalarsTable,BA$5/100,MONTH($A92)))*$C92</f>
        <v>-10288.652502457986</v>
      </c>
      <c r="BB92" s="1021">
        <f>(VLOOKUP(YEAR($A92),'NY East Load Projections'!$A$4:$EO$14,((MONTH($A92)-1)*12)+VLOOKUP(BB$4,$DE$6:$DF$17,2)+1))*(VLOOKUP($A92,SatSunCurve,3))*(INDEX(DailyScalarsTable,BB$5/100,MONTH($A92)))*$C92</f>
        <v>-7470.9759460255118</v>
      </c>
      <c r="BC92" s="1021">
        <f>(VLOOKUP(YEAR($A92),'NY East Load Projections'!$A$4:$EO$14,((MONTH($A92)-1)*12)+VLOOKUP(BC$4,$DE$6:$DF$17,2)+1))*(VLOOKUP($A92,SatSunCurve,3))*(INDEX(DailyScalarsTable,BC$5/100,MONTH($A92)))*$C92</f>
        <v>-6132.2201842001341</v>
      </c>
      <c r="BD92" s="1021">
        <f>(VLOOKUP(YEAR($A92),'NY East Load Projections'!$A$4:$EO$14,((MONTH($A92)-1)*12)+VLOOKUP(BD$4,$DE$6:$DF$17,2)+1))*(VLOOKUP($A92,CURVES!$D$9:$T$261,7))*(INDEX(DailyScalarsTable,BD$5/100,MONTH($A92)))*$C92</f>
        <v>-8428.2851809165859</v>
      </c>
      <c r="BE92" s="1021"/>
      <c r="BF92" s="1021">
        <f>(VLOOKUP(YEAR($A92),'NY East Load Projections'!$A$4:$EO$14,((MONTH($A92)-1)*12)+VLOOKUP(BF$4,$DE$6:$DF$17,2)+1))*(VLOOKUP($A92,CURVES!$D$9:$T$261,7))*(INDEX(DailyScalarsTable,BF$5/100,MONTH($A92)))*$D92</f>
        <v>-7045.3287976831007</v>
      </c>
      <c r="BG92" s="1021">
        <f>(VLOOKUP(YEAR($A92),'NY East Load Projections'!$A$4:$EO$14,((MONTH($A92)-1)*12)+VLOOKUP(BG$4,$DE$6:$DF$17,2)+1))*(VLOOKUP($A92,CURVES!$D$9:$T$261,7))*(INDEX(DailyScalarsTable,BG$5/100,MONTH($A92)))*$D92</f>
        <v>-6661.6708826529621</v>
      </c>
      <c r="BH92" s="1021">
        <f>(VLOOKUP(YEAR($A92),'NY East Load Projections'!$A$4:$EO$14,((MONTH($A92)-1)*12)+VLOOKUP(BH$4,$DE$6:$DF$17,2)+1))*(VLOOKUP($A92,CURVES!$D$9:$T$261,7))*(INDEX(DailyScalarsTable,BH$5/100,MONTH($A92)))*$D92</f>
        <v>-6377.760618266755</v>
      </c>
      <c r="BI92" s="1021">
        <f>(VLOOKUP(YEAR($A92),'NY East Load Projections'!$A$4:$EO$14,((MONTH($A92)-1)*12)+VLOOKUP(BI$4,$DE$6:$DF$17,2)+1))*(VLOOKUP($A92,CURVES!$D$9:$T$261,7))*(INDEX(DailyScalarsTable,BI$5/100,MONTH($A92)))*$D92</f>
        <v>-6381.7641533481119</v>
      </c>
      <c r="BJ92" s="1021">
        <f>(VLOOKUP(YEAR($A92),'NY East Load Projections'!$A$4:$EO$14,((MONTH($A92)-1)*12)+VLOOKUP(BJ$4,$DE$6:$DF$17,2)+1))*(VLOOKUP($A92,CURVES!$D$9:$T$261,7))*(INDEX(DailyScalarsTable,BJ$5/100,MONTH($A92)))*$D92</f>
        <v>-6952.1597881865127</v>
      </c>
      <c r="BK92" s="1021">
        <f>(VLOOKUP(YEAR($A92),'NY East Load Projections'!$A$4:$EO$14,((MONTH($A92)-1)*12)+VLOOKUP(BK$4,$DE$6:$DF$17,2)+1))*(VLOOKUP($A92,CURVES!$D$9:$T$261,7))*(INDEX(DailyScalarsTable,BK$5/100,MONTH($A92)))*$D92</f>
        <v>-8069.8815004231001</v>
      </c>
      <c r="BL92" s="1021">
        <f>(VLOOKUP(YEAR($A92),'NY East Load Projections'!$A$4:$EO$14,((MONTH($A92)-1)*12)+VLOOKUP(BL$4,$DE$6:$DF$17,2)+1))*(VLOOKUP($A92,CURVES!$D$9:$T$261,7))*(INDEX(DailyScalarsTable,BL$5/100,MONTH($A92)))*$D92</f>
        <v>-14561.187254573957</v>
      </c>
      <c r="BM92" s="1021">
        <f>(VLOOKUP(YEAR($A92),'NY East Load Projections'!$A$4:$EO$14,((MONTH($A92)-1)*12)+VLOOKUP(BM$4,$DE$6:$DF$17,2)+1))*(VLOOKUP($A92,SatSunCurve,7))*(INDEX(DailyScalarsTable,BM$5/100,MONTH($A92)))*$D92</f>
        <v>-10085.449179128898</v>
      </c>
      <c r="BN92" s="1021">
        <f>(VLOOKUP(YEAR($A92),'NY East Load Projections'!$A$4:$EO$14,((MONTH($A92)-1)*12)+VLOOKUP(BN$4,$DE$6:$DF$17,2)+1))*(VLOOKUP($A92,SatSunCurve,7))*(INDEX(DailyScalarsTable,BN$5/100,MONTH($A92)))*$D92</f>
        <v>-11316.993189434286</v>
      </c>
      <c r="BO92" s="1021">
        <f>(VLOOKUP(YEAR($A92),'NY East Load Projections'!$A$4:$EO$14,((MONTH($A92)-1)*12)+VLOOKUP(BO$4,$DE$6:$DF$17,2)+1))*(VLOOKUP($A92,SatSunCurve,7))*(INDEX(DailyScalarsTable,BO$5/100,MONTH($A92)))*$D92</f>
        <v>-11282.751152552486</v>
      </c>
      <c r="BP92" s="1021">
        <f>(VLOOKUP(YEAR($A92),'NY East Load Projections'!$A$4:$EO$14,((MONTH($A92)-1)*12)+VLOOKUP(BP$4,$DE$6:$DF$17,2)+1))*(VLOOKUP($A92,SatSunCurve,7))*(INDEX(DailyScalarsTable,BP$5/100,MONTH($A92)))*$D92</f>
        <v>-11083.957105099827</v>
      </c>
      <c r="BQ92" s="1021">
        <f>(VLOOKUP(YEAR($A92),'NY East Load Projections'!$A$4:$EO$14,((MONTH($A92)-1)*12)+VLOOKUP(BQ$4,$DE$6:$DF$17,2)+1))*(VLOOKUP($A92,SatSunCurve,7))*(INDEX(DailyScalarsTable,BQ$5/100,MONTH($A92)))*$D92</f>
        <v>-8469.197122098074</v>
      </c>
      <c r="BR92" s="1021">
        <f>(VLOOKUP(YEAR($A92),'NY East Load Projections'!$A$4:$EO$14,((MONTH($A92)-1)*12)+VLOOKUP(BR$4,$DE$6:$DF$17,2)+1))*(VLOOKUP($A92,SatSunCurve,7))*(INDEX(DailyScalarsTable,BR$5/100,MONTH($A92)))*$D92</f>
        <v>-8307.0934864895735</v>
      </c>
      <c r="BS92" s="1021">
        <f>(VLOOKUP(YEAR($A92),'NY East Load Projections'!$A$4:$EO$14,((MONTH($A92)-1)*12)+VLOOKUP(BS$4,$DE$6:$DF$17,2)+1))*(VLOOKUP($A92,SatSunCurve,7))*(INDEX(DailyScalarsTable,BS$5/100,MONTH($A92)))*$D92</f>
        <v>-8041.9734816016089</v>
      </c>
      <c r="BT92" s="1021">
        <f>(VLOOKUP(YEAR($A92),'NY East Load Projections'!$A$4:$EO$14,((MONTH($A92)-1)*12)+VLOOKUP(BT$4,$DE$6:$DF$17,2)+1))*(VLOOKUP($A92,SatSunCurve,7))*(INDEX(DailyScalarsTable,BT$5/100,MONTH($A92)))*$D92</f>
        <v>-7637.569416174676</v>
      </c>
      <c r="BU92" s="1021">
        <f>(VLOOKUP(YEAR($A92),'NY East Load Projections'!$A$4:$EO$14,((MONTH($A92)-1)*12)+VLOOKUP(BU$4,$DE$6:$DF$17,2)+1))*(VLOOKUP($A92,SatSunCurve,7))*(INDEX(DailyScalarsTable,BU$5/100,MONTH($A92)))*$D92</f>
        <v>-7485.7978191735947</v>
      </c>
      <c r="BV92" s="1021">
        <f>(VLOOKUP(YEAR($A92),'NY East Load Projections'!$A$4:$EO$14,((MONTH($A92)-1)*12)+VLOOKUP(BV$4,$DE$6:$DF$17,2)+1))*(VLOOKUP($A92,SatSunCurve,7))*(INDEX(DailyScalarsTable,BV$5/100,MONTH($A92)))*$D92</f>
        <v>-7802.1913406126787</v>
      </c>
      <c r="BW92" s="1021">
        <f>(VLOOKUP(YEAR($A92),'NY East Load Projections'!$A$4:$EO$14,((MONTH($A92)-1)*12)+VLOOKUP(BW$4,$DE$6:$DF$17,2)+1))*(VLOOKUP($A92,SatSunCurve,7))*(INDEX(DailyScalarsTable,BW$5/100,MONTH($A92)))*$D92</f>
        <v>-10637.097728144616</v>
      </c>
      <c r="BX92" s="1021">
        <f>(VLOOKUP(YEAR($A92),'NY East Load Projections'!$A$4:$EO$14,((MONTH($A92)-1)*12)+VLOOKUP(BX$4,$DE$6:$DF$17,2)+1))*(VLOOKUP($A92,SatSunCurve,7))*(INDEX(DailyScalarsTable,BX$5/100,MONTH($A92)))*$D92</f>
        <v>-11680.328585364012</v>
      </c>
      <c r="BY92" s="1021">
        <f>(VLOOKUP(YEAR($A92),'NY East Load Projections'!$A$4:$EO$14,((MONTH($A92)-1)*12)+VLOOKUP(BY$4,$DE$6:$DF$17,2)+1))*(VLOOKUP($A92,SatSunCurve,7))*(INDEX(DailyScalarsTable,BY$5/100,MONTH($A92)))*$D92</f>
        <v>-11176.161560176117</v>
      </c>
      <c r="BZ92" s="1021">
        <f>(VLOOKUP(YEAR($A92),'NY East Load Projections'!$A$4:$EO$14,((MONTH($A92)-1)*12)+VLOOKUP(BZ$4,$DE$6:$DF$17,2)+1))*(VLOOKUP($A92,SatSunCurve,7))*(INDEX(DailyScalarsTable,BZ$5/100,MONTH($A92)))*$D92</f>
        <v>-10114.188362502209</v>
      </c>
      <c r="CA92" s="1021">
        <f>(VLOOKUP(YEAR($A92),'NY East Load Projections'!$A$4:$EO$14,((MONTH($A92)-1)*12)+VLOOKUP(CA$4,$DE$6:$DF$17,2)+1))*(VLOOKUP($A92,SatSunCurve,7))*(INDEX(DailyScalarsTable,CA$5/100,MONTH($A92)))*$D92</f>
        <v>-7344.2909994066777</v>
      </c>
      <c r="CB92" s="1021">
        <f>(VLOOKUP(YEAR($A92),'NY East Load Projections'!$A$4:$EO$14,((MONTH($A92)-1)*12)+VLOOKUP(CB$4,$DE$6:$DF$17,2)+1))*(VLOOKUP($A92,SatSunCurve,7))*(INDEX(DailyScalarsTable,CB$5/100,MONTH($A92)))*$D92</f>
        <v>-6028.236448701211</v>
      </c>
      <c r="CC92" s="1021">
        <f>(VLOOKUP(YEAR($A92),'NY East Load Projections'!$A$4:$EO$14,((MONTH($A92)-1)*12)+VLOOKUP(CC$4,$DE$6:$DF$17,2)+1))*(VLOOKUP($A92,CURVES!$D$9:$T$261,7))*(INDEX(DailyScalarsTable,CC$5/100,MONTH($A92)))*$D92</f>
        <v>-8428.2851809165859</v>
      </c>
      <c r="CE92" s="1021">
        <f>(VLOOKUP(YEAR($A92),'NY East Load Projections'!$A$4:$EO$14,((MONTH($A92)-1)*12)+VLOOKUP(CE$4,$DE$6:$DF$17,2)+1))*(VLOOKUP($A92,CURVES!$D$9:$T$261,7))*(INDEX(DailyScalarsTable,CE$5/100,MONTH($A92)))*$E92</f>
        <v>0</v>
      </c>
      <c r="CF92" s="1021">
        <f>(VLOOKUP(YEAR($A92),'NY East Load Projections'!$A$4:$EO$14,((MONTH($A92)-1)*12)+VLOOKUP(CF$4,$DE$6:$DF$17,2)+1))*(VLOOKUP($A92,CURVES!$D$9:$T$261,7))*(INDEX(DailyScalarsTable,CF$5/100,MONTH($A92)))*$E92</f>
        <v>0</v>
      </c>
      <c r="CG92" s="1021">
        <f>(VLOOKUP(YEAR($A92),'NY East Load Projections'!$A$4:$EO$14,((MONTH($A92)-1)*12)+VLOOKUP(CG$4,$DE$6:$DF$17,2)+1))*(VLOOKUP($A92,CURVES!$D$9:$T$261,7))*(INDEX(DailyScalarsTable,CG$5/100,MONTH($A92)))*$E92</f>
        <v>0</v>
      </c>
      <c r="CH92" s="1021">
        <f>(VLOOKUP(YEAR($A92),'NY East Load Projections'!$A$4:$EO$14,((MONTH($A92)-1)*12)+VLOOKUP(CH$4,$DE$6:$DF$17,2)+1))*(VLOOKUP($A92,CURVES!$D$9:$T$261,7))*(INDEX(DailyScalarsTable,CH$5/100,MONTH($A92)))*$E92</f>
        <v>0</v>
      </c>
      <c r="CI92" s="1021">
        <f>(VLOOKUP(YEAR($A92),'NY East Load Projections'!$A$4:$EO$14,((MONTH($A92)-1)*12)+VLOOKUP(CI$4,$DE$6:$DF$17,2)+1))*(VLOOKUP($A92,CURVES!$D$9:$T$261,7))*(INDEX(DailyScalarsTable,CI$5/100,MONTH($A92)))*$E92</f>
        <v>0</v>
      </c>
      <c r="CJ92" s="1021">
        <f>(VLOOKUP(YEAR($A92),'NY East Load Projections'!$A$4:$EO$14,((MONTH($A92)-1)*12)+VLOOKUP(CJ$4,$DE$6:$DF$17,2)+1))*(VLOOKUP($A92,CURVES!$D$9:$T$261,7))*(INDEX(DailyScalarsTable,CJ$5/100,MONTH($A92)))*$E92</f>
        <v>0</v>
      </c>
      <c r="CK92" s="1021">
        <f>(VLOOKUP(YEAR($A92),'NY East Load Projections'!$A$4:$EO$14,((MONTH($A92)-1)*12)+VLOOKUP(CK$4,$DE$6:$DF$17,2)+1))*(VLOOKUP($A92,CURVES!$D$9:$T$261,7))*(INDEX(DailyScalarsTable,CK$5/100,MONTH($A92)))*$E92</f>
        <v>0</v>
      </c>
      <c r="CL92" s="1021">
        <f>(VLOOKUP(YEAR($A92),'NY East Load Projections'!$A$4:$EO$14,((MONTH($A92)-1)*12)+VLOOKUP(CL$4,$DE$6:$DF$17,2)+1))*(VLOOKUP($A92,SatSunCurve,7))*(INDEX(DailyScalarsTable,CL$5/100,MONTH($A92)))*$E92</f>
        <v>0</v>
      </c>
      <c r="CM92" s="1021">
        <f>(VLOOKUP(YEAR($A92),'NY East Load Projections'!$A$4:$EO$14,((MONTH($A92)-1)*12)+VLOOKUP(CM$4,$DE$6:$DF$17,2)+1))*(VLOOKUP($A92,SatSunCurve,7))*(INDEX(DailyScalarsTable,CM$5/100,MONTH($A92)))*$E92</f>
        <v>0</v>
      </c>
      <c r="CN92" s="1021">
        <f>(VLOOKUP(YEAR($A92),'NY East Load Projections'!$A$4:$EO$14,((MONTH($A92)-1)*12)+VLOOKUP(CN$4,$DE$6:$DF$17,2)+1))*(VLOOKUP($A92,SatSunCurve,7))*(INDEX(DailyScalarsTable,CN$5/100,MONTH($A92)))*$E92</f>
        <v>0</v>
      </c>
      <c r="CO92" s="1021">
        <f>(VLOOKUP(YEAR($A92),'NY East Load Projections'!$A$4:$EO$14,((MONTH($A92)-1)*12)+VLOOKUP(CO$4,$DE$6:$DF$17,2)+1))*(VLOOKUP($A92,SatSunCurve,7))*(INDEX(DailyScalarsTable,CO$5/100,MONTH($A92)))*$E92</f>
        <v>0</v>
      </c>
      <c r="CP92" s="1021">
        <f>(VLOOKUP(YEAR($A92),'NY East Load Projections'!$A$4:$EO$14,((MONTH($A92)-1)*12)+VLOOKUP(CP$4,$DE$6:$DF$17,2)+1))*(VLOOKUP($A92,SatSunCurve,7))*(INDEX(DailyScalarsTable,CP$5/100,MONTH($A92)))*$E92</f>
        <v>0</v>
      </c>
      <c r="CQ92" s="1021">
        <f>(VLOOKUP(YEAR($A92),'NY East Load Projections'!$A$4:$EO$14,((MONTH($A92)-1)*12)+VLOOKUP(CQ$4,$DE$6:$DF$17,2)+1))*(VLOOKUP($A92,SatSunCurve,7))*(INDEX(DailyScalarsTable,CQ$5/100,MONTH($A92)))*$E92</f>
        <v>0</v>
      </c>
      <c r="CR92" s="1021">
        <f>(VLOOKUP(YEAR($A92),'NY East Load Projections'!$A$4:$EO$14,((MONTH($A92)-1)*12)+VLOOKUP(CR$4,$DE$6:$DF$17,2)+1))*(VLOOKUP($A92,SatSunCurve,7))*(INDEX(DailyScalarsTable,CR$5/100,MONTH($A92)))*$E92</f>
        <v>0</v>
      </c>
      <c r="CS92" s="1021">
        <f>(VLOOKUP(YEAR($A92),'NY East Load Projections'!$A$4:$EO$14,((MONTH($A92)-1)*12)+VLOOKUP(CS$4,$DE$6:$DF$17,2)+1))*(VLOOKUP($A92,SatSunCurve,7))*(INDEX(DailyScalarsTable,CS$5/100,MONTH($A92)))*$E92</f>
        <v>0</v>
      </c>
      <c r="CT92" s="1021">
        <f>(VLOOKUP(YEAR($A92),'NY East Load Projections'!$A$4:$EO$14,((MONTH($A92)-1)*12)+VLOOKUP(CT$4,$DE$6:$DF$17,2)+1))*(VLOOKUP($A92,SatSunCurve,7))*(INDEX(DailyScalarsTable,CT$5/100,MONTH($A92)))*$E92</f>
        <v>0</v>
      </c>
      <c r="CU92" s="1021">
        <f>(VLOOKUP(YEAR($A92),'NY East Load Projections'!$A$4:$EO$14,((MONTH($A92)-1)*12)+VLOOKUP(CU$4,$DE$6:$DF$17,2)+1))*(VLOOKUP($A92,SatSunCurve,7))*(INDEX(DailyScalarsTable,CU$5/100,MONTH($A92)))*$E92</f>
        <v>0</v>
      </c>
      <c r="CV92" s="1021">
        <f>(VLOOKUP(YEAR($A92),'NY East Load Projections'!$A$4:$EO$14,((MONTH($A92)-1)*12)+VLOOKUP(CV$4,$DE$6:$DF$17,2)+1))*(VLOOKUP($A92,SatSunCurve,7))*(INDEX(DailyScalarsTable,CV$5/100,MONTH($A92)))*$E92</f>
        <v>0</v>
      </c>
      <c r="CW92" s="1021">
        <f>(VLOOKUP(YEAR($A92),'NY East Load Projections'!$A$4:$EO$14,((MONTH($A92)-1)*12)+VLOOKUP(CW$4,$DE$6:$DF$17,2)+1))*(VLOOKUP($A92,SatSunCurve,7))*(INDEX(DailyScalarsTable,CW$5/100,MONTH($A92)))*$E92</f>
        <v>0</v>
      </c>
      <c r="CX92" s="1021">
        <f>(VLOOKUP(YEAR($A92),'NY East Load Projections'!$A$4:$EO$14,((MONTH($A92)-1)*12)+VLOOKUP(CX$4,$DE$6:$DF$17,2)+1))*(VLOOKUP($A92,SatSunCurve,7))*(INDEX(DailyScalarsTable,CX$5/100,MONTH($A92)))*$E92</f>
        <v>0</v>
      </c>
      <c r="CY92" s="1021">
        <f>(VLOOKUP(YEAR($A92),'NY East Load Projections'!$A$4:$EO$14,((MONTH($A92)-1)*12)+VLOOKUP(CY$4,$DE$6:$DF$17,2)+1))*(VLOOKUP($A92,SatSunCurve,7))*(INDEX(DailyScalarsTable,CY$5/100,MONTH($A92)))*$E92</f>
        <v>0</v>
      </c>
      <c r="CZ92" s="1021">
        <f>(VLOOKUP(YEAR($A92),'NY East Load Projections'!$A$4:$EO$14,((MONTH($A92)-1)*12)+VLOOKUP(CZ$4,$DE$6:$DF$17,2)+1))*(VLOOKUP($A92,SatSunCurve,7))*(INDEX(DailyScalarsTable,CZ$5/100,MONTH($A92)))*$E92</f>
        <v>0</v>
      </c>
      <c r="DA92" s="1021">
        <f>(VLOOKUP(YEAR($A92),'NY East Load Projections'!$A$4:$EO$14,((MONTH($A92)-1)*12)+VLOOKUP(DA$4,$DE$6:$DF$17,2)+1))*(VLOOKUP($A92,SatSunCurve,7))*(INDEX(DailyScalarsTable,DA$5/100,MONTH($A92)))*$E92</f>
        <v>0</v>
      </c>
      <c r="DB92" s="1021">
        <f>(VLOOKUP(YEAR($A92),'NY East Load Projections'!$A$4:$EO$14,((MONTH($A92)-1)*12)+VLOOKUP(DB$4,$DE$6:$DF$17,2)+1))*(VLOOKUP($A92,CURVES!$D$9:$T$261,7))*(INDEX(DailyScalarsTable,DB$5/100,MONTH($A92)))*$E92</f>
        <v>0</v>
      </c>
      <c r="DH92" s="1032">
        <f t="shared" si="2"/>
        <v>-1654904.5595433649</v>
      </c>
      <c r="DI92">
        <f ca="1">CALC!J112</f>
        <v>0.55441972575425003</v>
      </c>
      <c r="DJ92" s="1029">
        <f t="shared" ca="1" si="3"/>
        <v>-917511.73205149034</v>
      </c>
    </row>
    <row r="93" spans="1:114" x14ac:dyDescent="0.25">
      <c r="A93" s="244">
        <v>39539</v>
      </c>
      <c r="B93" s="13">
        <v>22</v>
      </c>
      <c r="C93" s="210">
        <v>4</v>
      </c>
      <c r="D93" s="210">
        <v>4</v>
      </c>
      <c r="E93" s="210">
        <v>0</v>
      </c>
      <c r="F93" s="13">
        <v>30</v>
      </c>
      <c r="H93" s="1021">
        <f>(VLOOKUP(YEAR($A93),'NY East Load Projections'!$A$4:$EO$14,((MONTH($A93)-1)*12)+VLOOKUP(H$4,$DE$6:$DF$17,2)+1))*(VLOOKUP($A93,CURVES!$D$9:$K$261,7))*(INDEX(DailyScalarsTable,H$5/100,MONTH($A93)))*$B93</f>
        <v>-32686.407104150152</v>
      </c>
      <c r="I93" s="1021">
        <f>(VLOOKUP(YEAR($A93),'NY East Load Projections'!$A$4:$EO$14,((MONTH($A93)-1)*12)+VLOOKUP(I$4,$DE$6:$DF$17,2)+1))*(VLOOKUP($A93,CURVES!$D$9:$K$261,7))*(INDEX(DailyScalarsTable,I$5/100,MONTH($A93)))*$B93</f>
        <v>-31002.135098029619</v>
      </c>
      <c r="J93" s="1021">
        <f>(VLOOKUP(YEAR($A93),'NY East Load Projections'!$A$4:$EO$14,((MONTH($A93)-1)*12)+VLOOKUP(J$4,$DE$6:$DF$17,2)+1))*(VLOOKUP($A93,CURVES!$D$9:$K$261,7))*(INDEX(DailyScalarsTable,J$5/100,MONTH($A93)))*$B93</f>
        <v>-29755.758855489687</v>
      </c>
      <c r="K93" s="1021">
        <f>(VLOOKUP(YEAR($A93),'NY East Load Projections'!$A$4:$EO$14,((MONTH($A93)-1)*12)+VLOOKUP(K$4,$DE$6:$DF$17,2)+1))*(VLOOKUP($A93,CURVES!$D$9:$K$261,7))*(INDEX(DailyScalarsTable,K$5/100,MONTH($A93)))*$B93</f>
        <v>-29773.334518075779</v>
      </c>
      <c r="L93" s="1021">
        <f>(VLOOKUP(YEAR($A93),'NY East Load Projections'!$A$4:$EO$14,((MONTH($A93)-1)*12)+VLOOKUP(L$4,$DE$6:$DF$17,2)+1))*(VLOOKUP($A93,CURVES!$D$9:$K$261,7))*(INDEX(DailyScalarsTable,L$5/100,MONTH($A93)))*$B93</f>
        <v>-34327.940435849152</v>
      </c>
      <c r="M93" s="1021">
        <f>(VLOOKUP(YEAR($A93),'NY East Load Projections'!$A$4:$EO$14,((MONTH($A93)-1)*12)+VLOOKUP(M$4,$DE$6:$DF$17,2)+1))*(VLOOKUP($A93,CURVES!$D$9:$K$261,7))*(INDEX(DailyScalarsTable,M$5/100,MONTH($A93)))*$B93</f>
        <v>-39542.875661146783</v>
      </c>
      <c r="N93" s="1021">
        <f>(VLOOKUP(YEAR($A93),'NY East Load Projections'!$A$4:$EO$14,((MONTH($A93)-1)*12)+VLOOKUP(N$4,$DE$6:$DF$17,2)+1))*(VLOOKUP($A93,CURVES!$D$9:$K$261,7))*(INDEX(DailyScalarsTable,N$5/100,MONTH($A93)))*$B93</f>
        <v>-56399.628777677033</v>
      </c>
      <c r="O93" s="1021">
        <f>(VLOOKUP(YEAR($A93),'NY East Load Projections'!$A$4:$EO$14,((MONTH($A93)-1)*12)+VLOOKUP(O$4,$DE$6:$DF$17,2)+1))*(VLOOKUP($A93,CURVES!$D$9:$K$261,3))*(INDEX(DailyScalarsTable,O$5/100,MONTH($A93)))*$B93</f>
        <v>-69480.491780913682</v>
      </c>
      <c r="P93" s="1021">
        <f>(VLOOKUP(YEAR($A93),'NY East Load Projections'!$A$4:$EO$14,((MONTH($A93)-1)*12)+VLOOKUP(P$4,$DE$6:$DF$17,2)+1))*(VLOOKUP($A93,CURVES!$D$9:$K$261,3))*(INDEX(DailyScalarsTable,P$5/100,MONTH($A93)))*$B93</f>
        <v>-76196.835746824974</v>
      </c>
      <c r="Q93" s="1021">
        <f>(VLOOKUP(YEAR($A93),'NY East Load Projections'!$A$4:$EO$14,((MONTH($A93)-1)*12)+VLOOKUP(Q$4,$DE$6:$DF$17,2)+1))*(VLOOKUP($A93,CURVES!$D$9:$K$261,3))*(INDEX(DailyScalarsTable,Q$5/100,MONTH($A93)))*$B93</f>
        <v>-73023.668972598869</v>
      </c>
      <c r="R93" s="1021">
        <f>(VLOOKUP(YEAR($A93),'NY East Load Projections'!$A$4:$EO$14,((MONTH($A93)-1)*12)+VLOOKUP(R$4,$DE$6:$DF$17,2)+1))*(VLOOKUP($A93,CURVES!$D$9:$K$261,3))*(INDEX(DailyScalarsTable,R$5/100,MONTH($A93)))*$B93</f>
        <v>-74529.12330740779</v>
      </c>
      <c r="S93" s="1021">
        <f>(VLOOKUP(YEAR($A93),'NY East Load Projections'!$A$4:$EO$14,((MONTH($A93)-1)*12)+VLOOKUP(S$4,$DE$6:$DF$17,2)+1))*(VLOOKUP($A93,CURVES!$D$9:$K$261,3))*(INDEX(DailyScalarsTable,S$5/100,MONTH($A93)))*$B93</f>
        <v>-74675.263057253658</v>
      </c>
      <c r="T93" s="1021">
        <f>(VLOOKUP(YEAR($A93),'NY East Load Projections'!$A$4:$EO$14,((MONTH($A93)-1)*12)+VLOOKUP(T$4,$DE$6:$DF$17,2)+1))*(VLOOKUP($A93,CURVES!$D$9:$K$261,3))*(INDEX(DailyScalarsTable,T$5/100,MONTH($A93)))*$B93</f>
        <v>-70192.016266614402</v>
      </c>
      <c r="U93" s="1021">
        <f>(VLOOKUP(YEAR($A93),'NY East Load Projections'!$A$4:$EO$14,((MONTH($A93)-1)*12)+VLOOKUP(U$4,$DE$6:$DF$17,2)+1))*(VLOOKUP($A93,CURVES!$D$9:$K$261,3))*(INDEX(DailyScalarsTable,U$5/100,MONTH($A93)))*$B93</f>
        <v>-70267.597921792141</v>
      </c>
      <c r="V93" s="1021">
        <f>(VLOOKUP(YEAR($A93),'NY East Load Projections'!$A$4:$EO$14,((MONTH($A93)-1)*12)+VLOOKUP(V$4,$DE$6:$DF$17,2)+1))*(VLOOKUP($A93,CURVES!$D$9:$K$261,3))*(INDEX(DailyScalarsTable,V$5/100,MONTH($A93)))*$B93</f>
        <v>-65906.091820064612</v>
      </c>
      <c r="W93" s="1021">
        <f>(VLOOKUP(YEAR($A93),'NY East Load Projections'!$A$4:$EO$14,((MONTH($A93)-1)*12)+VLOOKUP(W$4,$DE$6:$DF$17,2)+1))*(VLOOKUP($A93,CURVES!$D$9:$K$261,3))*(INDEX(DailyScalarsTable,W$5/100,MONTH($A93)))*$B93</f>
        <v>-61596.825980004061</v>
      </c>
      <c r="X93" s="1021">
        <f>(VLOOKUP(YEAR($A93),'NY East Load Projections'!$A$4:$EO$14,((MONTH($A93)-1)*12)+VLOOKUP(X$4,$DE$6:$DF$17,2)+1))*(VLOOKUP($A93,CURVES!$D$9:$K$261,3))*(INDEX(DailyScalarsTable,X$5/100,MONTH($A93)))*$B93</f>
        <v>-57336.554463155306</v>
      </c>
      <c r="Y93" s="1021">
        <f>(VLOOKUP(YEAR($A93),'NY East Load Projections'!$A$4:$EO$14,((MONTH($A93)-1)*12)+VLOOKUP(Y$4,$DE$6:$DF$17,2)+1))*(VLOOKUP($A93,CURVES!$D$9:$K$261,3))*(INDEX(DailyScalarsTable,Y$5/100,MONTH($A93)))*$B93</f>
        <v>-56590.863158393448</v>
      </c>
      <c r="Z93" s="1021">
        <f>(VLOOKUP(YEAR($A93),'NY East Load Projections'!$A$4:$EO$14,((MONTH($A93)-1)*12)+VLOOKUP(Z$4,$DE$6:$DF$17,2)+1))*(VLOOKUP($A93,CURVES!$D$9:$K$261,3))*(INDEX(DailyScalarsTable,Z$5/100,MONTH($A93)))*$B93</f>
        <v>-56287.495145360881</v>
      </c>
      <c r="AA93" s="1021">
        <f>(VLOOKUP(YEAR($A93),'NY East Load Projections'!$A$4:$EO$14,((MONTH($A93)-1)*12)+VLOOKUP(AA$4,$DE$6:$DF$17,2)+1))*(VLOOKUP($A93,CURVES!$D$9:$K$261,3))*(INDEX(DailyScalarsTable,AA$5/100,MONTH($A93)))*$B93</f>
        <v>-61738.572834082443</v>
      </c>
      <c r="AB93" s="1021">
        <f>(VLOOKUP(YEAR($A93),'NY East Load Projections'!$A$4:$EO$14,((MONTH($A93)-1)*12)+VLOOKUP(AB$4,$DE$6:$DF$17,2)+1))*(VLOOKUP($A93,CURVES!$D$9:$K$261,3))*(INDEX(DailyScalarsTable,AB$5/100,MONTH($A93)))*$B93</f>
        <v>-69261.957913144099</v>
      </c>
      <c r="AC93" s="1021">
        <f>(VLOOKUP(YEAR($A93),'NY East Load Projections'!$A$4:$EO$14,((MONTH($A93)-1)*12)+VLOOKUP(AC$4,$DE$6:$DF$17,2)+1))*(VLOOKUP($A93,CURVES!$D$9:$K$261,3))*(INDEX(DailyScalarsTable,AC$5/100,MONTH($A93)))*$B93</f>
        <v>-59016.414730716184</v>
      </c>
      <c r="AD93" s="1021">
        <f>(VLOOKUP(YEAR($A93),'NY East Load Projections'!$A$4:$EO$14,((MONTH($A93)-1)*12)+VLOOKUP(AD$4,$DE$6:$DF$17,2)+1))*(VLOOKUP($A93,CURVES!$D$9:$K$261,3))*(INDEX(DailyScalarsTable,AD$5/100,MONTH($A93)))*$B93</f>
        <v>-52137.443660074881</v>
      </c>
      <c r="AE93" s="1021">
        <f>(VLOOKUP(YEAR($A93),'NY East Load Projections'!$A$4:$EO$14,((MONTH($A93)-1)*12)+VLOOKUP(AE$4,$DE$6:$DF$17,2)+1))*(VLOOKUP($A93,CURVES!$D$9:$K$261,7))*(INDEX(DailyScalarsTable,AE$5/100,MONTH($A93)))*$B93</f>
        <v>-38514.610882818779</v>
      </c>
      <c r="AF93" s="1021"/>
      <c r="AG93" s="1021">
        <f>(VLOOKUP(YEAR($A93),'NY East Load Projections'!$A$4:$EO$14,((MONTH($A93)-1)*12)+VLOOKUP(AG$4,$DE$6:$DF$17,2)+1))*(VLOOKUP($A93,CURVES!$D$9:$T$261,7))*(INDEX(DailyScalarsTable,AG$5/100,MONTH($A93)))*$C93</f>
        <v>-6215.8602477299937</v>
      </c>
      <c r="AH93" s="1021">
        <f>(VLOOKUP(YEAR($A93),'NY East Load Projections'!$A$4:$EO$14,((MONTH($A93)-1)*12)+VLOOKUP(AH$4,$DE$6:$DF$17,2)+1))*(VLOOKUP($A93,CURVES!$D$9:$T$261,7))*(INDEX(DailyScalarsTable,AH$5/100,MONTH($A93)))*$C93</f>
        <v>-5895.5681037861641</v>
      </c>
      <c r="AI93" s="1021">
        <f>(VLOOKUP(YEAR($A93),'NY East Load Projections'!$A$4:$EO$14,((MONTH($A93)-1)*12)+VLOOKUP(AI$4,$DE$6:$DF$17,2)+1))*(VLOOKUP($A93,CURVES!$D$9:$T$261,7))*(INDEX(DailyScalarsTable,AI$5/100,MONTH($A93)))*$C93</f>
        <v>-5658.5490727549013</v>
      </c>
      <c r="AJ93" s="1021">
        <f>(VLOOKUP(YEAR($A93),'NY East Load Projections'!$A$4:$EO$14,((MONTH($A93)-1)*12)+VLOOKUP(AJ$4,$DE$6:$DF$17,2)+1))*(VLOOKUP($A93,CURVES!$D$9:$T$261,7))*(INDEX(DailyScalarsTable,AJ$5/100,MONTH($A93)))*$C93</f>
        <v>-5661.8913753227025</v>
      </c>
      <c r="AK93" s="1021">
        <f>(VLOOKUP(YEAR($A93),'NY East Load Projections'!$A$4:$EO$14,((MONTH($A93)-1)*12)+VLOOKUP(AK$4,$DE$6:$DF$17,2)+1))*(VLOOKUP($A93,CURVES!$D$9:$T$261,7))*(INDEX(DailyScalarsTable,AK$5/100,MONTH($A93)))*$C93</f>
        <v>-6163.0713719370806</v>
      </c>
      <c r="AL93" s="1021">
        <f>(VLOOKUP(YEAR($A93),'NY East Load Projections'!$A$4:$EO$14,((MONTH($A93)-1)*12)+VLOOKUP(AL$4,$DE$6:$DF$17,2)+1))*(VLOOKUP($A93,CURVES!$D$9:$T$261,7))*(INDEX(DailyScalarsTable,AL$5/100,MONTH($A93)))*$C93</f>
        <v>-7099.3354642615295</v>
      </c>
      <c r="AM93" s="1021">
        <f>(VLOOKUP(YEAR($A93),'NY East Load Projections'!$A$4:$EO$14,((MONTH($A93)-1)*12)+VLOOKUP(AM$4,$DE$6:$DF$17,2)+1))*(VLOOKUP($A93,CURVES!$D$9:$T$261,7))*(INDEX(DailyScalarsTable,AM$5/100,MONTH($A93)))*$C93</f>
        <v>-10125.714886890846</v>
      </c>
      <c r="AN93" s="1021">
        <f>(VLOOKUP(YEAR($A93),'NY East Load Projections'!$A$4:$EO$14,((MONTH($A93)-1)*12)+VLOOKUP(AN$4,$DE$6:$DF$17,2)+1))*(VLOOKUP($A93,SatSunCurve,3))*(INDEX(DailyScalarsTable,AN$5/100,MONTH($A93)))*$C93</f>
        <v>-8764.0425281517055</v>
      </c>
      <c r="AO93" s="1021">
        <f>(VLOOKUP(YEAR($A93),'NY East Load Projections'!$A$4:$EO$14,((MONTH($A93)-1)*12)+VLOOKUP(AO$4,$DE$6:$DF$17,2)+1))*(VLOOKUP($A93,SatSunCurve,3))*(INDEX(DailyScalarsTable,AO$5/100,MONTH($A93)))*$C93</f>
        <v>-9588.7916381369832</v>
      </c>
      <c r="AP93" s="1021">
        <f>(VLOOKUP(YEAR($A93),'NY East Load Projections'!$A$4:$EO$14,((MONTH($A93)-1)*12)+VLOOKUP(AP$4,$DE$6:$DF$17,2)+1))*(VLOOKUP($A93,SatSunCurve,3))*(INDEX(DailyScalarsTable,AP$5/100,MONTH($A93)))*$C93</f>
        <v>-9189.4727591718365</v>
      </c>
      <c r="AQ93" s="1021">
        <f>(VLOOKUP(YEAR($A93),'NY East Load Projections'!$A$4:$EO$14,((MONTH($A93)-1)*12)+VLOOKUP(AQ$4,$DE$6:$DF$17,2)+1))*(VLOOKUP($A93,SatSunCurve,3))*(INDEX(DailyScalarsTable,AQ$5/100,MONTH($A93)))*$C93</f>
        <v>-9378.9227251150005</v>
      </c>
      <c r="AR93" s="1021">
        <f>(VLOOKUP(YEAR($A93),'NY East Load Projections'!$A$4:$EO$14,((MONTH($A93)-1)*12)+VLOOKUP(AR$4,$DE$6:$DF$17,2)+1))*(VLOOKUP($A93,SatSunCurve,3))*(INDEX(DailyScalarsTable,AR$5/100,MONTH($A93)))*$C93</f>
        <v>-9397.3132999674472</v>
      </c>
      <c r="AS93" s="1021">
        <f>(VLOOKUP(YEAR($A93),'NY East Load Projections'!$A$4:$EO$14,((MONTH($A93)-1)*12)+VLOOKUP(AS$4,$DE$6:$DF$17,2)+1))*(VLOOKUP($A93,SatSunCurve,3))*(INDEX(DailyScalarsTable,AS$5/100,MONTH($A93)))*$C93</f>
        <v>-8665.7098937067967</v>
      </c>
      <c r="AT93" s="1021">
        <f>(VLOOKUP(YEAR($A93),'NY East Load Projections'!$A$4:$EO$14,((MONTH($A93)-1)*12)+VLOOKUP(AT$4,$DE$6:$DF$17,2)+1))*(VLOOKUP($A93,SatSunCurve,3))*(INDEX(DailyScalarsTable,AT$5/100,MONTH($A93)))*$C93</f>
        <v>-8675.0409933373958</v>
      </c>
      <c r="AU93" s="1021">
        <f>(VLOOKUP(YEAR($A93),'NY East Load Projections'!$A$4:$EO$14,((MONTH($A93)-1)*12)+VLOOKUP(AU$4,$DE$6:$DF$17,2)+1))*(VLOOKUP($A93,SatSunCurve,3))*(INDEX(DailyScalarsTable,AU$5/100,MONTH($A93)))*$C93</f>
        <v>-8136.5816558303795</v>
      </c>
      <c r="AV93" s="1021">
        <f>(VLOOKUP(YEAR($A93),'NY East Load Projections'!$A$4:$EO$14,((MONTH($A93)-1)*12)+VLOOKUP(AV$4,$DE$6:$DF$17,2)+1))*(VLOOKUP($A93,SatSunCurve,3))*(INDEX(DailyScalarsTable,AV$5/100,MONTH($A93)))*$C93</f>
        <v>-7604.571754832753</v>
      </c>
      <c r="AW93" s="1021">
        <f>(VLOOKUP(YEAR($A93),'NY East Load Projections'!$A$4:$EO$14,((MONTH($A93)-1)*12)+VLOOKUP(AW$4,$DE$6:$DF$17,2)+1))*(VLOOKUP($A93,SatSunCurve,3))*(INDEX(DailyScalarsTable,AW$5/100,MONTH($A93)))*$C93</f>
        <v>-6998.224929001909</v>
      </c>
      <c r="AX93" s="1021">
        <f>(VLOOKUP(YEAR($A93),'NY East Load Projections'!$A$4:$EO$14,((MONTH($A93)-1)*12)+VLOOKUP(AX$4,$DE$6:$DF$17,2)+1))*(VLOOKUP($A93,SatSunCurve,3))*(INDEX(DailyScalarsTable,AX$5/100,MONTH($A93)))*$C93</f>
        <v>-6907.2094236722696</v>
      </c>
      <c r="AY93" s="1021">
        <f>(VLOOKUP(YEAR($A93),'NY East Load Projections'!$A$4:$EO$14,((MONTH($A93)-1)*12)+VLOOKUP(AY$4,$DE$6:$DF$17,2)+1))*(VLOOKUP($A93,SatSunCurve,3))*(INDEX(DailyScalarsTable,AY$5/100,MONTH($A93)))*$C93</f>
        <v>-6870.1817785452768</v>
      </c>
      <c r="AZ93" s="1021">
        <f>(VLOOKUP(YEAR($A93),'NY East Load Projections'!$A$4:$EO$14,((MONTH($A93)-1)*12)+VLOOKUP(AZ$4,$DE$6:$DF$17,2)+1))*(VLOOKUP($A93,SatSunCurve,3))*(INDEX(DailyScalarsTable,AZ$5/100,MONTH($A93)))*$C93</f>
        <v>-7535.5141852152883</v>
      </c>
      <c r="BA93" s="1021">
        <f>(VLOOKUP(YEAR($A93),'NY East Load Projections'!$A$4:$EO$14,((MONTH($A93)-1)*12)+VLOOKUP(BA$4,$DE$6:$DF$17,2)+1))*(VLOOKUP($A93,SatSunCurve,3))*(INDEX(DailyScalarsTable,BA$5/100,MONTH($A93)))*$C93</f>
        <v>-8916.7443940538178</v>
      </c>
      <c r="BB93" s="1021">
        <f>(VLOOKUP(YEAR($A93),'NY East Load Projections'!$A$4:$EO$14,((MONTH($A93)-1)*12)+VLOOKUP(BB$4,$DE$6:$DF$17,2)+1))*(VLOOKUP($A93,SatSunCurve,3))*(INDEX(DailyScalarsTable,BB$5/100,MONTH($A93)))*$C93</f>
        <v>-7597.7390917417779</v>
      </c>
      <c r="BC93" s="1021">
        <f>(VLOOKUP(YEAR($A93),'NY East Load Projections'!$A$4:$EO$14,((MONTH($A93)-1)*12)+VLOOKUP(BC$4,$DE$6:$DF$17,2)+1))*(VLOOKUP($A93,SatSunCurve,3))*(INDEX(DailyScalarsTable,BC$5/100,MONTH($A93)))*$C93</f>
        <v>-6712.1443355565953</v>
      </c>
      <c r="BD93" s="1021">
        <f>(VLOOKUP(YEAR($A93),'NY East Load Projections'!$A$4:$EO$14,((MONTH($A93)-1)*12)+VLOOKUP(BD$4,$DE$6:$DF$17,2)+1))*(VLOOKUP($A93,CURVES!$D$9:$T$261,7))*(INDEX(DailyScalarsTable,BD$5/100,MONTH($A93)))*$C93</f>
        <v>-7057.4031072769594</v>
      </c>
      <c r="BE93" s="1021"/>
      <c r="BF93" s="1021">
        <f>(VLOOKUP(YEAR($A93),'NY East Load Projections'!$A$4:$EO$14,((MONTH($A93)-1)*12)+VLOOKUP(BF$4,$DE$6:$DF$17,2)+1))*(VLOOKUP($A93,CURVES!$D$9:$T$261,7))*(INDEX(DailyScalarsTable,BF$5/100,MONTH($A93)))*$D93</f>
        <v>-6215.8602477299937</v>
      </c>
      <c r="BG93" s="1021">
        <f>(VLOOKUP(YEAR($A93),'NY East Load Projections'!$A$4:$EO$14,((MONTH($A93)-1)*12)+VLOOKUP(BG$4,$DE$6:$DF$17,2)+1))*(VLOOKUP($A93,CURVES!$D$9:$T$261,7))*(INDEX(DailyScalarsTable,BG$5/100,MONTH($A93)))*$D93</f>
        <v>-5895.5681037861641</v>
      </c>
      <c r="BH93" s="1021">
        <f>(VLOOKUP(YEAR($A93),'NY East Load Projections'!$A$4:$EO$14,((MONTH($A93)-1)*12)+VLOOKUP(BH$4,$DE$6:$DF$17,2)+1))*(VLOOKUP($A93,CURVES!$D$9:$T$261,7))*(INDEX(DailyScalarsTable,BH$5/100,MONTH($A93)))*$D93</f>
        <v>-5658.5490727549013</v>
      </c>
      <c r="BI93" s="1021">
        <f>(VLOOKUP(YEAR($A93),'NY East Load Projections'!$A$4:$EO$14,((MONTH($A93)-1)*12)+VLOOKUP(BI$4,$DE$6:$DF$17,2)+1))*(VLOOKUP($A93,CURVES!$D$9:$T$261,7))*(INDEX(DailyScalarsTable,BI$5/100,MONTH($A93)))*$D93</f>
        <v>-5661.8913753227025</v>
      </c>
      <c r="BJ93" s="1021">
        <f>(VLOOKUP(YEAR($A93),'NY East Load Projections'!$A$4:$EO$14,((MONTH($A93)-1)*12)+VLOOKUP(BJ$4,$DE$6:$DF$17,2)+1))*(VLOOKUP($A93,CURVES!$D$9:$T$261,7))*(INDEX(DailyScalarsTable,BJ$5/100,MONTH($A93)))*$D93</f>
        <v>-6163.0713719370806</v>
      </c>
      <c r="BK93" s="1021">
        <f>(VLOOKUP(YEAR($A93),'NY East Load Projections'!$A$4:$EO$14,((MONTH($A93)-1)*12)+VLOOKUP(BK$4,$DE$6:$DF$17,2)+1))*(VLOOKUP($A93,CURVES!$D$9:$T$261,7))*(INDEX(DailyScalarsTable,BK$5/100,MONTH($A93)))*$D93</f>
        <v>-7099.3354642615295</v>
      </c>
      <c r="BL93" s="1021">
        <f>(VLOOKUP(YEAR($A93),'NY East Load Projections'!$A$4:$EO$14,((MONTH($A93)-1)*12)+VLOOKUP(BL$4,$DE$6:$DF$17,2)+1))*(VLOOKUP($A93,CURVES!$D$9:$T$261,7))*(INDEX(DailyScalarsTable,BL$5/100,MONTH($A93)))*$D93</f>
        <v>-10125.714886890846</v>
      </c>
      <c r="BM93" s="1021">
        <f>(VLOOKUP(YEAR($A93),'NY East Load Projections'!$A$4:$EO$14,((MONTH($A93)-1)*12)+VLOOKUP(BM$4,$DE$6:$DF$17,2)+1))*(VLOOKUP($A93,SatSunCurve,7))*(INDEX(DailyScalarsTable,BM$5/100,MONTH($A93)))*$D93</f>
        <v>-8264.8798729583541</v>
      </c>
      <c r="BN93" s="1021">
        <f>(VLOOKUP(YEAR($A93),'NY East Load Projections'!$A$4:$EO$14,((MONTH($A93)-1)*12)+VLOOKUP(BN$4,$DE$6:$DF$17,2)+1))*(VLOOKUP($A93,SatSunCurve,7))*(INDEX(DailyScalarsTable,BN$5/100,MONTH($A93)))*$D93</f>
        <v>-9042.6547750611153</v>
      </c>
      <c r="BO93" s="1021">
        <f>(VLOOKUP(YEAR($A93),'NY East Load Projections'!$A$4:$EO$14,((MONTH($A93)-1)*12)+VLOOKUP(BO$4,$DE$6:$DF$17,2)+1))*(VLOOKUP($A93,SatSunCurve,7))*(INDEX(DailyScalarsTable,BO$5/100,MONTH($A93)))*$D93</f>
        <v>-8666.079404157781</v>
      </c>
      <c r="BP93" s="1021">
        <f>(VLOOKUP(YEAR($A93),'NY East Load Projections'!$A$4:$EO$14,((MONTH($A93)-1)*12)+VLOOKUP(BP$4,$DE$6:$DF$17,2)+1))*(VLOOKUP($A93,SatSunCurve,7))*(INDEX(DailyScalarsTable,BP$5/100,MONTH($A93)))*$D93</f>
        <v>-8844.7391043391435</v>
      </c>
      <c r="BQ93" s="1021">
        <f>(VLOOKUP(YEAR($A93),'NY East Load Projections'!$A$4:$EO$14,((MONTH($A93)-1)*12)+VLOOKUP(BQ$4,$DE$6:$DF$17,2)+1))*(VLOOKUP($A93,SatSunCurve,7))*(INDEX(DailyScalarsTable,BQ$5/100,MONTH($A93)))*$D93</f>
        <v>-8862.0822301240623</v>
      </c>
      <c r="BR93" s="1021">
        <f>(VLOOKUP(YEAR($A93),'NY East Load Projections'!$A$4:$EO$14,((MONTH($A93)-1)*12)+VLOOKUP(BR$4,$DE$6:$DF$17,2)+1))*(VLOOKUP($A93,SatSunCurve,7))*(INDEX(DailyScalarsTable,BR$5/100,MONTH($A93)))*$D93</f>
        <v>-8172.1478479061998</v>
      </c>
      <c r="BS93" s="1021">
        <f>(VLOOKUP(YEAR($A93),'NY East Load Projections'!$A$4:$EO$14,((MONTH($A93)-1)*12)+VLOOKUP(BS$4,$DE$6:$DF$17,2)+1))*(VLOOKUP($A93,SatSunCurve,7))*(INDEX(DailyScalarsTable,BS$5/100,MONTH($A93)))*$D93</f>
        <v>-8180.9474877164566</v>
      </c>
      <c r="BT93" s="1021">
        <f>(VLOOKUP(YEAR($A93),'NY East Load Projections'!$A$4:$EO$14,((MONTH($A93)-1)*12)+VLOOKUP(BT$4,$DE$6:$DF$17,2)+1))*(VLOOKUP($A93,SatSunCurve,7))*(INDEX(DailyScalarsTable,BT$5/100,MONTH($A93)))*$D93</f>
        <v>-7673.1565080774326</v>
      </c>
      <c r="BU93" s="1021">
        <f>(VLOOKUP(YEAR($A93),'NY East Load Projections'!$A$4:$EO$14,((MONTH($A93)-1)*12)+VLOOKUP(BU$4,$DE$6:$DF$17,2)+1))*(VLOOKUP($A93,SatSunCurve,7))*(INDEX(DailyScalarsTable,BU$5/100,MONTH($A93)))*$D93</f>
        <v>-7171.4476324249135</v>
      </c>
      <c r="BV93" s="1021">
        <f>(VLOOKUP(YEAR($A93),'NY East Load Projections'!$A$4:$EO$14,((MONTH($A93)-1)*12)+VLOOKUP(BV$4,$DE$6:$DF$17,2)+1))*(VLOOKUP($A93,SatSunCurve,7))*(INDEX(DailyScalarsTable,BV$5/100,MONTH($A93)))*$D93</f>
        <v>-6599.635747584779</v>
      </c>
      <c r="BW93" s="1021">
        <f>(VLOOKUP(YEAR($A93),'NY East Load Projections'!$A$4:$EO$14,((MONTH($A93)-1)*12)+VLOOKUP(BW$4,$DE$6:$DF$17,2)+1))*(VLOOKUP($A93,SatSunCurve,7))*(INDEX(DailyScalarsTable,BW$5/100,MONTH($A93)))*$D93</f>
        <v>-6513.8040990379168</v>
      </c>
      <c r="BX93" s="1021">
        <f>(VLOOKUP(YEAR($A93),'NY East Load Projections'!$A$4:$EO$14,((MONTH($A93)-1)*12)+VLOOKUP(BX$4,$DE$6:$DF$17,2)+1))*(VLOOKUP($A93,SatSunCurve,7))*(INDEX(DailyScalarsTable,BX$5/100,MONTH($A93)))*$D93</f>
        <v>-6478.8853913787389</v>
      </c>
      <c r="BY93" s="1021">
        <f>(VLOOKUP(YEAR($A93),'NY East Load Projections'!$A$4:$EO$14,((MONTH($A93)-1)*12)+VLOOKUP(BY$4,$DE$6:$DF$17,2)+1))*(VLOOKUP($A93,SatSunCurve,7))*(INDEX(DailyScalarsTable,BY$5/100,MONTH($A93)))*$D93</f>
        <v>-7106.3232887931435</v>
      </c>
      <c r="BZ93" s="1021">
        <f>(VLOOKUP(YEAR($A93),'NY East Load Projections'!$A$4:$EO$14,((MONTH($A93)-1)*12)+VLOOKUP(BZ$4,$DE$6:$DF$17,2)+1))*(VLOOKUP($A93,SatSunCurve,7))*(INDEX(DailyScalarsTable,BZ$5/100,MONTH($A93)))*$D93</f>
        <v>-8408.8844888651765</v>
      </c>
      <c r="CA93" s="1021">
        <f>(VLOOKUP(YEAR($A93),'NY East Load Projections'!$A$4:$EO$14,((MONTH($A93)-1)*12)+VLOOKUP(CA$4,$DE$6:$DF$17,2)+1))*(VLOOKUP($A93,SatSunCurve,7))*(INDEX(DailyScalarsTable,CA$5/100,MONTH($A93)))*$D93</f>
        <v>-7165.0041288159446</v>
      </c>
      <c r="CB93" s="1021">
        <f>(VLOOKUP(YEAR($A93),'NY East Load Projections'!$A$4:$EO$14,((MONTH($A93)-1)*12)+VLOOKUP(CB$4,$DE$6:$DF$17,2)+1))*(VLOOKUP($A93,SatSunCurve,7))*(INDEX(DailyScalarsTable,CB$5/100,MONTH($A93)))*$D93</f>
        <v>-6329.8490902043295</v>
      </c>
      <c r="CC93" s="1021">
        <f>(VLOOKUP(YEAR($A93),'NY East Load Projections'!$A$4:$EO$14,((MONTH($A93)-1)*12)+VLOOKUP(CC$4,$DE$6:$DF$17,2)+1))*(VLOOKUP($A93,CURVES!$D$9:$T$261,7))*(INDEX(DailyScalarsTable,CC$5/100,MONTH($A93)))*$D93</f>
        <v>-7057.4031072769594</v>
      </c>
      <c r="CE93" s="1021">
        <f>(VLOOKUP(YEAR($A93),'NY East Load Projections'!$A$4:$EO$14,((MONTH($A93)-1)*12)+VLOOKUP(CE$4,$DE$6:$DF$17,2)+1))*(VLOOKUP($A93,CURVES!$D$9:$T$261,7))*(INDEX(DailyScalarsTable,CE$5/100,MONTH($A93)))*$E93</f>
        <v>0</v>
      </c>
      <c r="CF93" s="1021">
        <f>(VLOOKUP(YEAR($A93),'NY East Load Projections'!$A$4:$EO$14,((MONTH($A93)-1)*12)+VLOOKUP(CF$4,$DE$6:$DF$17,2)+1))*(VLOOKUP($A93,CURVES!$D$9:$T$261,7))*(INDEX(DailyScalarsTable,CF$5/100,MONTH($A93)))*$E93</f>
        <v>0</v>
      </c>
      <c r="CG93" s="1021">
        <f>(VLOOKUP(YEAR($A93),'NY East Load Projections'!$A$4:$EO$14,((MONTH($A93)-1)*12)+VLOOKUP(CG$4,$DE$6:$DF$17,2)+1))*(VLOOKUP($A93,CURVES!$D$9:$T$261,7))*(INDEX(DailyScalarsTable,CG$5/100,MONTH($A93)))*$E93</f>
        <v>0</v>
      </c>
      <c r="CH93" s="1021">
        <f>(VLOOKUP(YEAR($A93),'NY East Load Projections'!$A$4:$EO$14,((MONTH($A93)-1)*12)+VLOOKUP(CH$4,$DE$6:$DF$17,2)+1))*(VLOOKUP($A93,CURVES!$D$9:$T$261,7))*(INDEX(DailyScalarsTable,CH$5/100,MONTH($A93)))*$E93</f>
        <v>0</v>
      </c>
      <c r="CI93" s="1021">
        <f>(VLOOKUP(YEAR($A93),'NY East Load Projections'!$A$4:$EO$14,((MONTH($A93)-1)*12)+VLOOKUP(CI$4,$DE$6:$DF$17,2)+1))*(VLOOKUP($A93,CURVES!$D$9:$T$261,7))*(INDEX(DailyScalarsTable,CI$5/100,MONTH($A93)))*$E93</f>
        <v>0</v>
      </c>
      <c r="CJ93" s="1021">
        <f>(VLOOKUP(YEAR($A93),'NY East Load Projections'!$A$4:$EO$14,((MONTH($A93)-1)*12)+VLOOKUP(CJ$4,$DE$6:$DF$17,2)+1))*(VLOOKUP($A93,CURVES!$D$9:$T$261,7))*(INDEX(DailyScalarsTable,CJ$5/100,MONTH($A93)))*$E93</f>
        <v>0</v>
      </c>
      <c r="CK93" s="1021">
        <f>(VLOOKUP(YEAR($A93),'NY East Load Projections'!$A$4:$EO$14,((MONTH($A93)-1)*12)+VLOOKUP(CK$4,$DE$6:$DF$17,2)+1))*(VLOOKUP($A93,CURVES!$D$9:$T$261,7))*(INDEX(DailyScalarsTable,CK$5/100,MONTH($A93)))*$E93</f>
        <v>0</v>
      </c>
      <c r="CL93" s="1021">
        <f>(VLOOKUP(YEAR($A93),'NY East Load Projections'!$A$4:$EO$14,((MONTH($A93)-1)*12)+VLOOKUP(CL$4,$DE$6:$DF$17,2)+1))*(VLOOKUP($A93,SatSunCurve,7))*(INDEX(DailyScalarsTable,CL$5/100,MONTH($A93)))*$E93</f>
        <v>0</v>
      </c>
      <c r="CM93" s="1021">
        <f>(VLOOKUP(YEAR($A93),'NY East Load Projections'!$A$4:$EO$14,((MONTH($A93)-1)*12)+VLOOKUP(CM$4,$DE$6:$DF$17,2)+1))*(VLOOKUP($A93,SatSunCurve,7))*(INDEX(DailyScalarsTable,CM$5/100,MONTH($A93)))*$E93</f>
        <v>0</v>
      </c>
      <c r="CN93" s="1021">
        <f>(VLOOKUP(YEAR($A93),'NY East Load Projections'!$A$4:$EO$14,((MONTH($A93)-1)*12)+VLOOKUP(CN$4,$DE$6:$DF$17,2)+1))*(VLOOKUP($A93,SatSunCurve,7))*(INDEX(DailyScalarsTable,CN$5/100,MONTH($A93)))*$E93</f>
        <v>0</v>
      </c>
      <c r="CO93" s="1021">
        <f>(VLOOKUP(YEAR($A93),'NY East Load Projections'!$A$4:$EO$14,((MONTH($A93)-1)*12)+VLOOKUP(CO$4,$DE$6:$DF$17,2)+1))*(VLOOKUP($A93,SatSunCurve,7))*(INDEX(DailyScalarsTable,CO$5/100,MONTH($A93)))*$E93</f>
        <v>0</v>
      </c>
      <c r="CP93" s="1021">
        <f>(VLOOKUP(YEAR($A93),'NY East Load Projections'!$A$4:$EO$14,((MONTH($A93)-1)*12)+VLOOKUP(CP$4,$DE$6:$DF$17,2)+1))*(VLOOKUP($A93,SatSunCurve,7))*(INDEX(DailyScalarsTable,CP$5/100,MONTH($A93)))*$E93</f>
        <v>0</v>
      </c>
      <c r="CQ93" s="1021">
        <f>(VLOOKUP(YEAR($A93),'NY East Load Projections'!$A$4:$EO$14,((MONTH($A93)-1)*12)+VLOOKUP(CQ$4,$DE$6:$DF$17,2)+1))*(VLOOKUP($A93,SatSunCurve,7))*(INDEX(DailyScalarsTable,CQ$5/100,MONTH($A93)))*$E93</f>
        <v>0</v>
      </c>
      <c r="CR93" s="1021">
        <f>(VLOOKUP(YEAR($A93),'NY East Load Projections'!$A$4:$EO$14,((MONTH($A93)-1)*12)+VLOOKUP(CR$4,$DE$6:$DF$17,2)+1))*(VLOOKUP($A93,SatSunCurve,7))*(INDEX(DailyScalarsTable,CR$5/100,MONTH($A93)))*$E93</f>
        <v>0</v>
      </c>
      <c r="CS93" s="1021">
        <f>(VLOOKUP(YEAR($A93),'NY East Load Projections'!$A$4:$EO$14,((MONTH($A93)-1)*12)+VLOOKUP(CS$4,$DE$6:$DF$17,2)+1))*(VLOOKUP($A93,SatSunCurve,7))*(INDEX(DailyScalarsTable,CS$5/100,MONTH($A93)))*$E93</f>
        <v>0</v>
      </c>
      <c r="CT93" s="1021">
        <f>(VLOOKUP(YEAR($A93),'NY East Load Projections'!$A$4:$EO$14,((MONTH($A93)-1)*12)+VLOOKUP(CT$4,$DE$6:$DF$17,2)+1))*(VLOOKUP($A93,SatSunCurve,7))*(INDEX(DailyScalarsTable,CT$5/100,MONTH($A93)))*$E93</f>
        <v>0</v>
      </c>
      <c r="CU93" s="1021">
        <f>(VLOOKUP(YEAR($A93),'NY East Load Projections'!$A$4:$EO$14,((MONTH($A93)-1)*12)+VLOOKUP(CU$4,$DE$6:$DF$17,2)+1))*(VLOOKUP($A93,SatSunCurve,7))*(INDEX(DailyScalarsTable,CU$5/100,MONTH($A93)))*$E93</f>
        <v>0</v>
      </c>
      <c r="CV93" s="1021">
        <f>(VLOOKUP(YEAR($A93),'NY East Load Projections'!$A$4:$EO$14,((MONTH($A93)-1)*12)+VLOOKUP(CV$4,$DE$6:$DF$17,2)+1))*(VLOOKUP($A93,SatSunCurve,7))*(INDEX(DailyScalarsTable,CV$5/100,MONTH($A93)))*$E93</f>
        <v>0</v>
      </c>
      <c r="CW93" s="1021">
        <f>(VLOOKUP(YEAR($A93),'NY East Load Projections'!$A$4:$EO$14,((MONTH($A93)-1)*12)+VLOOKUP(CW$4,$DE$6:$DF$17,2)+1))*(VLOOKUP($A93,SatSunCurve,7))*(INDEX(DailyScalarsTable,CW$5/100,MONTH($A93)))*$E93</f>
        <v>0</v>
      </c>
      <c r="CX93" s="1021">
        <f>(VLOOKUP(YEAR($A93),'NY East Load Projections'!$A$4:$EO$14,((MONTH($A93)-1)*12)+VLOOKUP(CX$4,$DE$6:$DF$17,2)+1))*(VLOOKUP($A93,SatSunCurve,7))*(INDEX(DailyScalarsTable,CX$5/100,MONTH($A93)))*$E93</f>
        <v>0</v>
      </c>
      <c r="CY93" s="1021">
        <f>(VLOOKUP(YEAR($A93),'NY East Load Projections'!$A$4:$EO$14,((MONTH($A93)-1)*12)+VLOOKUP(CY$4,$DE$6:$DF$17,2)+1))*(VLOOKUP($A93,SatSunCurve,7))*(INDEX(DailyScalarsTable,CY$5/100,MONTH($A93)))*$E93</f>
        <v>0</v>
      </c>
      <c r="CZ93" s="1021">
        <f>(VLOOKUP(YEAR($A93),'NY East Load Projections'!$A$4:$EO$14,((MONTH($A93)-1)*12)+VLOOKUP(CZ$4,$DE$6:$DF$17,2)+1))*(VLOOKUP($A93,SatSunCurve,7))*(INDEX(DailyScalarsTable,CZ$5/100,MONTH($A93)))*$E93</f>
        <v>0</v>
      </c>
      <c r="DA93" s="1021">
        <f>(VLOOKUP(YEAR($A93),'NY East Load Projections'!$A$4:$EO$14,((MONTH($A93)-1)*12)+VLOOKUP(DA$4,$DE$6:$DF$17,2)+1))*(VLOOKUP($A93,SatSunCurve,7))*(INDEX(DailyScalarsTable,DA$5/100,MONTH($A93)))*$E93</f>
        <v>0</v>
      </c>
      <c r="DB93" s="1021">
        <f>(VLOOKUP(YEAR($A93),'NY East Load Projections'!$A$4:$EO$14,((MONTH($A93)-1)*12)+VLOOKUP(DB$4,$DE$6:$DF$17,2)+1))*(VLOOKUP($A93,CURVES!$D$9:$T$261,7))*(INDEX(DailyScalarsTable,DB$5/100,MONTH($A93)))*$E93</f>
        <v>0</v>
      </c>
      <c r="DH93" s="1032">
        <f t="shared" si="2"/>
        <v>-1702413.4218350414</v>
      </c>
      <c r="DI93">
        <f ca="1">CALC!J113</f>
        <v>0.5510607206691106</v>
      </c>
      <c r="DJ93" s="1029">
        <f t="shared" ca="1" si="3"/>
        <v>-938133.16711318446</v>
      </c>
    </row>
    <row r="94" spans="1:114" x14ac:dyDescent="0.25">
      <c r="A94" s="244">
        <v>39569</v>
      </c>
      <c r="B94" s="13">
        <v>21</v>
      </c>
      <c r="C94" s="210">
        <v>5</v>
      </c>
      <c r="D94" s="210">
        <v>4</v>
      </c>
      <c r="E94" s="210">
        <v>1</v>
      </c>
      <c r="F94" s="13">
        <v>31</v>
      </c>
      <c r="H94" s="1021">
        <f>(VLOOKUP(YEAR($A94),'NY East Load Projections'!$A$4:$EO$14,((MONTH($A94)-1)*12)+VLOOKUP(H$4,$DE$6:$DF$17,2)+1))*(VLOOKUP($A94,CURVES!$D$9:$K$261,7))*(INDEX(DailyScalarsTable,H$5/100,MONTH($A94)))*$B94</f>
        <v>-35676.262972845485</v>
      </c>
      <c r="I94" s="1021">
        <f>(VLOOKUP(YEAR($A94),'NY East Load Projections'!$A$4:$EO$14,((MONTH($A94)-1)*12)+VLOOKUP(I$4,$DE$6:$DF$17,2)+1))*(VLOOKUP($A94,CURVES!$D$9:$K$261,7))*(INDEX(DailyScalarsTable,I$5/100,MONTH($A94)))*$B94</f>
        <v>-32135.798965563885</v>
      </c>
      <c r="J94" s="1021">
        <f>(VLOOKUP(YEAR($A94),'NY East Load Projections'!$A$4:$EO$14,((MONTH($A94)-1)*12)+VLOOKUP(J$4,$DE$6:$DF$17,2)+1))*(VLOOKUP($A94,CURVES!$D$9:$K$261,7))*(INDEX(DailyScalarsTable,J$5/100,MONTH($A94)))*$B94</f>
        <v>-30412.398496410951</v>
      </c>
      <c r="K94" s="1021">
        <f>(VLOOKUP(YEAR($A94),'NY East Load Projections'!$A$4:$EO$14,((MONTH($A94)-1)*12)+VLOOKUP(K$4,$DE$6:$DF$17,2)+1))*(VLOOKUP($A94,CURVES!$D$9:$K$261,7))*(INDEX(DailyScalarsTable,K$5/100,MONTH($A94)))*$B94</f>
        <v>-29485.134113551474</v>
      </c>
      <c r="L94" s="1021">
        <f>(VLOOKUP(YEAR($A94),'NY East Load Projections'!$A$4:$EO$14,((MONTH($A94)-1)*12)+VLOOKUP(L$4,$DE$6:$DF$17,2)+1))*(VLOOKUP($A94,CURVES!$D$9:$K$261,7))*(INDEX(DailyScalarsTable,L$5/100,MONTH($A94)))*$B94</f>
        <v>-34404.182696742071</v>
      </c>
      <c r="M94" s="1021">
        <f>(VLOOKUP(YEAR($A94),'NY East Load Projections'!$A$4:$EO$14,((MONTH($A94)-1)*12)+VLOOKUP(M$4,$DE$6:$DF$17,2)+1))*(VLOOKUP($A94,CURVES!$D$9:$K$261,7))*(INDEX(DailyScalarsTable,M$5/100,MONTH($A94)))*$B94</f>
        <v>-41713.052494993608</v>
      </c>
      <c r="N94" s="1021">
        <f>(VLOOKUP(YEAR($A94),'NY East Load Projections'!$A$4:$EO$14,((MONTH($A94)-1)*12)+VLOOKUP(N$4,$DE$6:$DF$17,2)+1))*(VLOOKUP($A94,CURVES!$D$9:$K$261,7))*(INDEX(DailyScalarsTable,N$5/100,MONTH($A94)))*$B94</f>
        <v>-49910.293207949784</v>
      </c>
      <c r="O94" s="1021">
        <f>(VLOOKUP(YEAR($A94),'NY East Load Projections'!$A$4:$EO$14,((MONTH($A94)-1)*12)+VLOOKUP(O$4,$DE$6:$DF$17,2)+1))*(VLOOKUP($A94,CURVES!$D$9:$K$261,3))*(INDEX(DailyScalarsTable,O$5/100,MONTH($A94)))*$B94</f>
        <v>-63980.20838916608</v>
      </c>
      <c r="P94" s="1021">
        <f>(VLOOKUP(YEAR($A94),'NY East Load Projections'!$A$4:$EO$14,((MONTH($A94)-1)*12)+VLOOKUP(P$4,$DE$6:$DF$17,2)+1))*(VLOOKUP($A94,CURVES!$D$9:$K$261,3))*(INDEX(DailyScalarsTable,P$5/100,MONTH($A94)))*$B94</f>
        <v>-76448.18609959395</v>
      </c>
      <c r="Q94" s="1021">
        <f>(VLOOKUP(YEAR($A94),'NY East Load Projections'!$A$4:$EO$14,((MONTH($A94)-1)*12)+VLOOKUP(Q$4,$DE$6:$DF$17,2)+1))*(VLOOKUP($A94,CURVES!$D$9:$K$261,3))*(INDEX(DailyScalarsTable,Q$5/100,MONTH($A94)))*$B94</f>
        <v>-77804.118453895368</v>
      </c>
      <c r="R94" s="1021">
        <f>(VLOOKUP(YEAR($A94),'NY East Load Projections'!$A$4:$EO$14,((MONTH($A94)-1)*12)+VLOOKUP(R$4,$DE$6:$DF$17,2)+1))*(VLOOKUP($A94,CURVES!$D$9:$K$261,3))*(INDEX(DailyScalarsTable,R$5/100,MONTH($A94)))*$B94</f>
        <v>-82531.882591901973</v>
      </c>
      <c r="S94" s="1021">
        <f>(VLOOKUP(YEAR($A94),'NY East Load Projections'!$A$4:$EO$14,((MONTH($A94)-1)*12)+VLOOKUP(S$4,$DE$6:$DF$17,2)+1))*(VLOOKUP($A94,CURVES!$D$9:$K$261,3))*(INDEX(DailyScalarsTable,S$5/100,MONTH($A94)))*$B94</f>
        <v>-81907.913720895987</v>
      </c>
      <c r="T94" s="1021">
        <f>(VLOOKUP(YEAR($A94),'NY East Load Projections'!$A$4:$EO$14,((MONTH($A94)-1)*12)+VLOOKUP(T$4,$DE$6:$DF$17,2)+1))*(VLOOKUP($A94,CURVES!$D$9:$K$261,3))*(INDEX(DailyScalarsTable,T$5/100,MONTH($A94)))*$B94</f>
        <v>-79800.832134844633</v>
      </c>
      <c r="U94" s="1021">
        <f>(VLOOKUP(YEAR($A94),'NY East Load Projections'!$A$4:$EO$14,((MONTH($A94)-1)*12)+VLOOKUP(U$4,$DE$6:$DF$17,2)+1))*(VLOOKUP($A94,CURVES!$D$9:$K$261,3))*(INDEX(DailyScalarsTable,U$5/100,MONTH($A94)))*$B94</f>
        <v>-80185.444354400024</v>
      </c>
      <c r="V94" s="1021">
        <f>(VLOOKUP(YEAR($A94),'NY East Load Projections'!$A$4:$EO$14,((MONTH($A94)-1)*12)+VLOOKUP(V$4,$DE$6:$DF$17,2)+1))*(VLOOKUP($A94,CURVES!$D$9:$K$261,3))*(INDEX(DailyScalarsTable,V$5/100,MONTH($A94)))*$B94</f>
        <v>-77778.516270730892</v>
      </c>
      <c r="W94" s="1021">
        <f>(VLOOKUP(YEAR($A94),'NY East Load Projections'!$A$4:$EO$14,((MONTH($A94)-1)*12)+VLOOKUP(W$4,$DE$6:$DF$17,2)+1))*(VLOOKUP($A94,CURVES!$D$9:$K$261,3))*(INDEX(DailyScalarsTable,W$5/100,MONTH($A94)))*$B94</f>
        <v>-74751.245897456305</v>
      </c>
      <c r="X94" s="1021">
        <f>(VLOOKUP(YEAR($A94),'NY East Load Projections'!$A$4:$EO$14,((MONTH($A94)-1)*12)+VLOOKUP(X$4,$DE$6:$DF$17,2)+1))*(VLOOKUP($A94,CURVES!$D$9:$K$261,3))*(INDEX(DailyScalarsTable,X$5/100,MONTH($A94)))*$B94</f>
        <v>-72494.741945355083</v>
      </c>
      <c r="Y94" s="1021">
        <f>(VLOOKUP(YEAR($A94),'NY East Load Projections'!$A$4:$EO$14,((MONTH($A94)-1)*12)+VLOOKUP(Y$4,$DE$6:$DF$17,2)+1))*(VLOOKUP($A94,CURVES!$D$9:$K$261,3))*(INDEX(DailyScalarsTable,Y$5/100,MONTH($A94)))*$B94</f>
        <v>-69669.500651267212</v>
      </c>
      <c r="Z94" s="1021">
        <f>(VLOOKUP(YEAR($A94),'NY East Load Projections'!$A$4:$EO$14,((MONTH($A94)-1)*12)+VLOOKUP(Z$4,$DE$6:$DF$17,2)+1))*(VLOOKUP($A94,CURVES!$D$9:$K$261,3))*(INDEX(DailyScalarsTable,Z$5/100,MONTH($A94)))*$B94</f>
        <v>-60362.823447213123</v>
      </c>
      <c r="AA94" s="1021">
        <f>(VLOOKUP(YEAR($A94),'NY East Load Projections'!$A$4:$EO$14,((MONTH($A94)-1)*12)+VLOOKUP(AA$4,$DE$6:$DF$17,2)+1))*(VLOOKUP($A94,CURVES!$D$9:$K$261,3))*(INDEX(DailyScalarsTable,AA$5/100,MONTH($A94)))*$B94</f>
        <v>-60208.503544594903</v>
      </c>
      <c r="AB94" s="1021">
        <f>(VLOOKUP(YEAR($A94),'NY East Load Projections'!$A$4:$EO$14,((MONTH($A94)-1)*12)+VLOOKUP(AB$4,$DE$6:$DF$17,2)+1))*(VLOOKUP($A94,CURVES!$D$9:$K$261,3))*(INDEX(DailyScalarsTable,AB$5/100,MONTH($A94)))*$B94</f>
        <v>-71135.067386346709</v>
      </c>
      <c r="AC94" s="1021">
        <f>(VLOOKUP(YEAR($A94),'NY East Load Projections'!$A$4:$EO$14,((MONTH($A94)-1)*12)+VLOOKUP(AC$4,$DE$6:$DF$17,2)+1))*(VLOOKUP($A94,CURVES!$D$9:$K$261,3))*(INDEX(DailyScalarsTable,AC$5/100,MONTH($A94)))*$B94</f>
        <v>-67849.605420405918</v>
      </c>
      <c r="AD94" s="1021">
        <f>(VLOOKUP(YEAR($A94),'NY East Load Projections'!$A$4:$EO$14,((MONTH($A94)-1)*12)+VLOOKUP(AD$4,$DE$6:$DF$17,2)+1))*(VLOOKUP($A94,CURVES!$D$9:$K$261,3))*(INDEX(DailyScalarsTable,AD$5/100,MONTH($A94)))*$B94</f>
        <v>-54429.50996343603</v>
      </c>
      <c r="AE94" s="1021">
        <f>(VLOOKUP(YEAR($A94),'NY East Load Projections'!$A$4:$EO$14,((MONTH($A94)-1)*12)+VLOOKUP(AE$4,$DE$6:$DF$17,2)+1))*(VLOOKUP($A94,CURVES!$D$9:$K$261,7))*(INDEX(DailyScalarsTable,AE$5/100,MONTH($A94)))*$B94</f>
        <v>-44345.280807371761</v>
      </c>
      <c r="AF94" s="1021"/>
      <c r="AG94" s="1021">
        <f>(VLOOKUP(YEAR($A94),'NY East Load Projections'!$A$4:$EO$14,((MONTH($A94)-1)*12)+VLOOKUP(AG$4,$DE$6:$DF$17,2)+1))*(VLOOKUP($A94,CURVES!$D$9:$T$261,7))*(INDEX(DailyScalarsTable,AG$5/100,MONTH($A94)))*$C94</f>
        <v>-8870.6539093206575</v>
      </c>
      <c r="AH94" s="1021">
        <f>(VLOOKUP(YEAR($A94),'NY East Load Projections'!$A$4:$EO$14,((MONTH($A94)-1)*12)+VLOOKUP(AH$4,$DE$6:$DF$17,2)+1))*(VLOOKUP($A94,CURVES!$D$9:$T$261,7))*(INDEX(DailyScalarsTable,AH$5/100,MONTH($A94)))*$C94</f>
        <v>-7990.3422323127252</v>
      </c>
      <c r="AI94" s="1021">
        <f>(VLOOKUP(YEAR($A94),'NY East Load Projections'!$A$4:$EO$14,((MONTH($A94)-1)*12)+VLOOKUP(AI$4,$DE$6:$DF$17,2)+1))*(VLOOKUP($A94,CURVES!$D$9:$T$261,7))*(INDEX(DailyScalarsTable,AI$5/100,MONTH($A94)))*$C94</f>
        <v>-7561.8307281607194</v>
      </c>
      <c r="AJ94" s="1021">
        <f>(VLOOKUP(YEAR($A94),'NY East Load Projections'!$A$4:$EO$14,((MONTH($A94)-1)*12)+VLOOKUP(AJ$4,$DE$6:$DF$17,2)+1))*(VLOOKUP($A94,CURVES!$D$9:$T$261,7))*(INDEX(DailyScalarsTable,AJ$5/100,MONTH($A94)))*$C94</f>
        <v>-7331.2729079919718</v>
      </c>
      <c r="AK94" s="1021">
        <f>(VLOOKUP(YEAR($A94),'NY East Load Projections'!$A$4:$EO$14,((MONTH($A94)-1)*12)+VLOOKUP(AK$4,$DE$6:$DF$17,2)+1))*(VLOOKUP($A94,CURVES!$D$9:$T$261,7))*(INDEX(DailyScalarsTable,AK$5/100,MONTH($A94)))*$C94</f>
        <v>-8067.4801678138429</v>
      </c>
      <c r="AL94" s="1021">
        <f>(VLOOKUP(YEAR($A94),'NY East Load Projections'!$A$4:$EO$14,((MONTH($A94)-1)*12)+VLOOKUP(AL$4,$DE$6:$DF$17,2)+1))*(VLOOKUP($A94,CURVES!$D$9:$T$261,7))*(INDEX(DailyScalarsTable,AL$5/100,MONTH($A94)))*$C94</f>
        <v>-9781.3462598024635</v>
      </c>
      <c r="AM94" s="1021">
        <f>(VLOOKUP(YEAR($A94),'NY East Load Projections'!$A$4:$EO$14,((MONTH($A94)-1)*12)+VLOOKUP(AM$4,$DE$6:$DF$17,2)+1))*(VLOOKUP($A94,CURVES!$D$9:$T$261,7))*(INDEX(DailyScalarsTable,AM$5/100,MONTH($A94)))*$C94</f>
        <v>-11703.527567391917</v>
      </c>
      <c r="AN94" s="1021">
        <f>(VLOOKUP(YEAR($A94),'NY East Load Projections'!$A$4:$EO$14,((MONTH($A94)-1)*12)+VLOOKUP(AN$4,$DE$6:$DF$17,2)+1))*(VLOOKUP($A94,SatSunCurve,3))*(INDEX(DailyScalarsTable,AN$5/100,MONTH($A94)))*$C94</f>
        <v>-9972.1252764923011</v>
      </c>
      <c r="AO94" s="1021">
        <f>(VLOOKUP(YEAR($A94),'NY East Load Projections'!$A$4:$EO$14,((MONTH($A94)-1)*12)+VLOOKUP(AO$4,$DE$6:$DF$17,2)+1))*(VLOOKUP($A94,SatSunCurve,3))*(INDEX(DailyScalarsTable,AO$5/100,MONTH($A94)))*$C94</f>
        <v>-12088.308506809519</v>
      </c>
      <c r="AP94" s="1021">
        <f>(VLOOKUP(YEAR($A94),'NY East Load Projections'!$A$4:$EO$14,((MONTH($A94)-1)*12)+VLOOKUP(AP$4,$DE$6:$DF$17,2)+1))*(VLOOKUP($A94,SatSunCurve,3))*(INDEX(DailyScalarsTable,AP$5/100,MONTH($A94)))*$C94</f>
        <v>-12302.714229815247</v>
      </c>
      <c r="AQ94" s="1021">
        <f>(VLOOKUP(YEAR($A94),'NY East Load Projections'!$A$4:$EO$14,((MONTH($A94)-1)*12)+VLOOKUP(AQ$4,$DE$6:$DF$17,2)+1))*(VLOOKUP($A94,SatSunCurve,3))*(INDEX(DailyScalarsTable,AQ$5/100,MONTH($A94)))*$C94</f>
        <v>-13050.288166667069</v>
      </c>
      <c r="AR94" s="1021">
        <f>(VLOOKUP(YEAR($A94),'NY East Load Projections'!$A$4:$EO$14,((MONTH($A94)-1)*12)+VLOOKUP(AR$4,$DE$6:$DF$17,2)+1))*(VLOOKUP($A94,SatSunCurve,3))*(INDEX(DailyScalarsTable,AR$5/100,MONTH($A94)))*$C94</f>
        <v>-12951.623586168855</v>
      </c>
      <c r="AS94" s="1021">
        <f>(VLOOKUP(YEAR($A94),'NY East Load Projections'!$A$4:$EO$14,((MONTH($A94)-1)*12)+VLOOKUP(AS$4,$DE$6:$DF$17,2)+1))*(VLOOKUP($A94,SatSunCurve,3))*(INDEX(DailyScalarsTable,AS$5/100,MONTH($A94)))*$C94</f>
        <v>-12420.553951502005</v>
      </c>
      <c r="AT94" s="1021">
        <f>(VLOOKUP(YEAR($A94),'NY East Load Projections'!$A$4:$EO$14,((MONTH($A94)-1)*12)+VLOOKUP(AT$4,$DE$6:$DF$17,2)+1))*(VLOOKUP($A94,SatSunCurve,3))*(INDEX(DailyScalarsTable,AT$5/100,MONTH($A94)))*$C94</f>
        <v>-12480.416695982194</v>
      </c>
      <c r="AU94" s="1021">
        <f>(VLOOKUP(YEAR($A94),'NY East Load Projections'!$A$4:$EO$14,((MONTH($A94)-1)*12)+VLOOKUP(AU$4,$DE$6:$DF$17,2)+1))*(VLOOKUP($A94,SatSunCurve,3))*(INDEX(DailyScalarsTable,AU$5/100,MONTH($A94)))*$C94</f>
        <v>-12105.791778912637</v>
      </c>
      <c r="AV94" s="1021">
        <f>(VLOOKUP(YEAR($A94),'NY East Load Projections'!$A$4:$EO$14,((MONTH($A94)-1)*12)+VLOOKUP(AV$4,$DE$6:$DF$17,2)+1))*(VLOOKUP($A94,SatSunCurve,3))*(INDEX(DailyScalarsTable,AV$5/100,MONTH($A94)))*$C94</f>
        <v>-11634.614048165358</v>
      </c>
      <c r="AW94" s="1021">
        <f>(VLOOKUP(YEAR($A94),'NY East Load Projections'!$A$4:$EO$14,((MONTH($A94)-1)*12)+VLOOKUP(AW$4,$DE$6:$DF$17,2)+1))*(VLOOKUP($A94,SatSunCurve,3))*(INDEX(DailyScalarsTable,AW$5/100,MONTH($A94)))*$C94</f>
        <v>-11048.394399142455</v>
      </c>
      <c r="AX94" s="1021">
        <f>(VLOOKUP(YEAR($A94),'NY East Load Projections'!$A$4:$EO$14,((MONTH($A94)-1)*12)+VLOOKUP(AX$4,$DE$6:$DF$17,2)+1))*(VLOOKUP($A94,SatSunCurve,3))*(INDEX(DailyScalarsTable,AX$5/100,MONTH($A94)))*$C94</f>
        <v>-10617.819998127896</v>
      </c>
      <c r="AY94" s="1021">
        <f>(VLOOKUP(YEAR($A94),'NY East Load Projections'!$A$4:$EO$14,((MONTH($A94)-1)*12)+VLOOKUP(AY$4,$DE$6:$DF$17,2)+1))*(VLOOKUP($A94,SatSunCurve,3))*(INDEX(DailyScalarsTable,AY$5/100,MONTH($A94)))*$C94</f>
        <v>-9199.4572653740579</v>
      </c>
      <c r="AZ94" s="1021">
        <f>(VLOOKUP(YEAR($A94),'NY East Load Projections'!$A$4:$EO$14,((MONTH($A94)-1)*12)+VLOOKUP(AZ$4,$DE$6:$DF$17,2)+1))*(VLOOKUP($A94,SatSunCurve,3))*(INDEX(DailyScalarsTable,AZ$5/100,MONTH($A94)))*$C94</f>
        <v>-9175.9384955707465</v>
      </c>
      <c r="BA94" s="1021">
        <f>(VLOOKUP(YEAR($A94),'NY East Load Projections'!$A$4:$EO$14,((MONTH($A94)-1)*12)+VLOOKUP(BA$4,$DE$6:$DF$17,2)+1))*(VLOOKUP($A94,SatSunCurve,3))*(INDEX(DailyScalarsTable,BA$5/100,MONTH($A94)))*$C94</f>
        <v>-11464.452906242572</v>
      </c>
      <c r="BB94" s="1021">
        <f>(VLOOKUP(YEAR($A94),'NY East Load Projections'!$A$4:$EO$14,((MONTH($A94)-1)*12)+VLOOKUP(BB$4,$DE$6:$DF$17,2)+1))*(VLOOKUP($A94,SatSunCurve,3))*(INDEX(DailyScalarsTable,BB$5/100,MONTH($A94)))*$C94</f>
        <v>-10934.952824669461</v>
      </c>
      <c r="BC94" s="1021">
        <f>(VLOOKUP(YEAR($A94),'NY East Load Projections'!$A$4:$EO$14,((MONTH($A94)-1)*12)+VLOOKUP(BC$4,$DE$6:$DF$17,2)+1))*(VLOOKUP($A94,SatSunCurve,3))*(INDEX(DailyScalarsTable,BC$5/100,MONTH($A94)))*$C94</f>
        <v>-8772.1088432600736</v>
      </c>
      <c r="BD94" s="1021">
        <f>(VLOOKUP(YEAR($A94),'NY East Load Projections'!$A$4:$EO$14,((MONTH($A94)-1)*12)+VLOOKUP(BD$4,$DE$6:$DF$17,2)+1))*(VLOOKUP($A94,CURVES!$D$9:$T$261,7))*(INDEX(DailyScalarsTable,BD$5/100,MONTH($A94)))*$C94</f>
        <v>-10752.305182483593</v>
      </c>
      <c r="BE94" s="1021"/>
      <c r="BF94" s="1021">
        <f>(VLOOKUP(YEAR($A94),'NY East Load Projections'!$A$4:$EO$14,((MONTH($A94)-1)*12)+VLOOKUP(BF$4,$DE$6:$DF$17,2)+1))*(VLOOKUP($A94,CURVES!$D$9:$T$261,7))*(INDEX(DailyScalarsTable,BF$5/100,MONTH($A94)))*$D94</f>
        <v>-7096.5231274565258</v>
      </c>
      <c r="BG94" s="1021">
        <f>(VLOOKUP(YEAR($A94),'NY East Load Projections'!$A$4:$EO$14,((MONTH($A94)-1)*12)+VLOOKUP(BG$4,$DE$6:$DF$17,2)+1))*(VLOOKUP($A94,CURVES!$D$9:$T$261,7))*(INDEX(DailyScalarsTable,BG$5/100,MONTH($A94)))*$D94</f>
        <v>-6392.2737858501805</v>
      </c>
      <c r="BH94" s="1021">
        <f>(VLOOKUP(YEAR($A94),'NY East Load Projections'!$A$4:$EO$14,((MONTH($A94)-1)*12)+VLOOKUP(BH$4,$DE$6:$DF$17,2)+1))*(VLOOKUP($A94,CURVES!$D$9:$T$261,7))*(INDEX(DailyScalarsTable,BH$5/100,MONTH($A94)))*$D94</f>
        <v>-6049.4645825285752</v>
      </c>
      <c r="BI94" s="1021">
        <f>(VLOOKUP(YEAR($A94),'NY East Load Projections'!$A$4:$EO$14,((MONTH($A94)-1)*12)+VLOOKUP(BI$4,$DE$6:$DF$17,2)+1))*(VLOOKUP($A94,CURVES!$D$9:$T$261,7))*(INDEX(DailyScalarsTable,BI$5/100,MONTH($A94)))*$D94</f>
        <v>-5865.0183263935778</v>
      </c>
      <c r="BJ94" s="1021">
        <f>(VLOOKUP(YEAR($A94),'NY East Load Projections'!$A$4:$EO$14,((MONTH($A94)-1)*12)+VLOOKUP(BJ$4,$DE$6:$DF$17,2)+1))*(VLOOKUP($A94,CURVES!$D$9:$T$261,7))*(INDEX(DailyScalarsTable,BJ$5/100,MONTH($A94)))*$D94</f>
        <v>-6453.9841342510745</v>
      </c>
      <c r="BK94" s="1021">
        <f>(VLOOKUP(YEAR($A94),'NY East Load Projections'!$A$4:$EO$14,((MONTH($A94)-1)*12)+VLOOKUP(BK$4,$DE$6:$DF$17,2)+1))*(VLOOKUP($A94,CURVES!$D$9:$T$261,7))*(INDEX(DailyScalarsTable,BK$5/100,MONTH($A94)))*$D94</f>
        <v>-7825.07700784197</v>
      </c>
      <c r="BL94" s="1021">
        <f>(VLOOKUP(YEAR($A94),'NY East Load Projections'!$A$4:$EO$14,((MONTH($A94)-1)*12)+VLOOKUP(BL$4,$DE$6:$DF$17,2)+1))*(VLOOKUP($A94,CURVES!$D$9:$T$261,7))*(INDEX(DailyScalarsTable,BL$5/100,MONTH($A94)))*$D94</f>
        <v>-9362.8220539135327</v>
      </c>
      <c r="BM94" s="1021">
        <f>(VLOOKUP(YEAR($A94),'NY East Load Projections'!$A$4:$EO$14,((MONTH($A94)-1)*12)+VLOOKUP(BM$4,$DE$6:$DF$17,2)+1))*(VLOOKUP($A94,SatSunCurve,7))*(INDEX(DailyScalarsTable,BM$5/100,MONTH($A94)))*$D94</f>
        <v>-7671.9161781956273</v>
      </c>
      <c r="BN94" s="1021">
        <f>(VLOOKUP(YEAR($A94),'NY East Load Projections'!$A$4:$EO$14,((MONTH($A94)-1)*12)+VLOOKUP(BN$4,$DE$6:$DF$17,2)+1))*(VLOOKUP($A94,SatSunCurve,7))*(INDEX(DailyScalarsTable,BN$5/100,MONTH($A94)))*$D94</f>
        <v>-9299.9723759019253</v>
      </c>
      <c r="BO94" s="1021">
        <f>(VLOOKUP(YEAR($A94),'NY East Load Projections'!$A$4:$EO$14,((MONTH($A94)-1)*12)+VLOOKUP(BO$4,$DE$6:$DF$17,2)+1))*(VLOOKUP($A94,SatSunCurve,7))*(INDEX(DailyScalarsTable,BO$5/100,MONTH($A94)))*$D94</f>
        <v>-9464.9224431561925</v>
      </c>
      <c r="BP94" s="1021">
        <f>(VLOOKUP(YEAR($A94),'NY East Load Projections'!$A$4:$EO$14,((MONTH($A94)-1)*12)+VLOOKUP(BP$4,$DE$6:$DF$17,2)+1))*(VLOOKUP($A94,SatSunCurve,7))*(INDEX(DailyScalarsTable,BP$5/100,MONTH($A94)))*$D94</f>
        <v>-10040.058075883451</v>
      </c>
      <c r="BQ94" s="1021">
        <f>(VLOOKUP(YEAR($A94),'NY East Load Projections'!$A$4:$EO$14,((MONTH($A94)-1)*12)+VLOOKUP(BQ$4,$DE$6:$DF$17,2)+1))*(VLOOKUP($A94,SatSunCurve,7))*(INDEX(DailyScalarsTable,BQ$5/100,MONTH($A94)))*$D94</f>
        <v>-9964.1518502443178</v>
      </c>
      <c r="BR94" s="1021">
        <f>(VLOOKUP(YEAR($A94),'NY East Load Projections'!$A$4:$EO$14,((MONTH($A94)-1)*12)+VLOOKUP(BR$4,$DE$6:$DF$17,2)+1))*(VLOOKUP($A94,SatSunCurve,7))*(INDEX(DailyScalarsTable,BR$5/100,MONTH($A94)))*$D94</f>
        <v>-9555.5807975366661</v>
      </c>
      <c r="BS94" s="1021">
        <f>(VLOOKUP(YEAR($A94),'NY East Load Projections'!$A$4:$EO$14,((MONTH($A94)-1)*12)+VLOOKUP(BS$4,$DE$6:$DF$17,2)+1))*(VLOOKUP($A94,SatSunCurve,7))*(INDEX(DailyScalarsTable,BS$5/100,MONTH($A94)))*$D94</f>
        <v>-9601.6353691665863</v>
      </c>
      <c r="BT94" s="1021">
        <f>(VLOOKUP(YEAR($A94),'NY East Load Projections'!$A$4:$EO$14,((MONTH($A94)-1)*12)+VLOOKUP(BT$4,$DE$6:$DF$17,2)+1))*(VLOOKUP($A94,SatSunCurve,7))*(INDEX(DailyScalarsTable,BT$5/100,MONTH($A94)))*$D94</f>
        <v>-9313.4228886438686</v>
      </c>
      <c r="BU94" s="1021">
        <f>(VLOOKUP(YEAR($A94),'NY East Load Projections'!$A$4:$EO$14,((MONTH($A94)-1)*12)+VLOOKUP(BU$4,$DE$6:$DF$17,2)+1))*(VLOOKUP($A94,SatSunCurve,7))*(INDEX(DailyScalarsTable,BU$5/100,MONTH($A94)))*$D94</f>
        <v>-8950.9288409761211</v>
      </c>
      <c r="BV94" s="1021">
        <f>(VLOOKUP(YEAR($A94),'NY East Load Projections'!$A$4:$EO$14,((MONTH($A94)-1)*12)+VLOOKUP(BV$4,$DE$6:$DF$17,2)+1))*(VLOOKUP($A94,SatSunCurve,7))*(INDEX(DailyScalarsTable,BV$5/100,MONTH($A94)))*$D94</f>
        <v>-8499.9288901515029</v>
      </c>
      <c r="BW94" s="1021">
        <f>(VLOOKUP(YEAR($A94),'NY East Load Projections'!$A$4:$EO$14,((MONTH($A94)-1)*12)+VLOOKUP(BW$4,$DE$6:$DF$17,2)+1))*(VLOOKUP($A94,SatSunCurve,7))*(INDEX(DailyScalarsTable,BW$5/100,MONTH($A94)))*$D94</f>
        <v>-8168.6724506794098</v>
      </c>
      <c r="BX94" s="1021">
        <f>(VLOOKUP(YEAR($A94),'NY East Load Projections'!$A$4:$EO$14,((MONTH($A94)-1)*12)+VLOOKUP(BX$4,$DE$6:$DF$17,2)+1))*(VLOOKUP($A94,SatSunCurve,7))*(INDEX(DailyScalarsTable,BX$5/100,MONTH($A94)))*$D94</f>
        <v>-7077.4747677125242</v>
      </c>
      <c r="BY94" s="1021">
        <f>(VLOOKUP(YEAR($A94),'NY East Load Projections'!$A$4:$EO$14,((MONTH($A94)-1)*12)+VLOOKUP(BY$4,$DE$6:$DF$17,2)+1))*(VLOOKUP($A94,SatSunCurve,7))*(INDEX(DailyScalarsTable,BY$5/100,MONTH($A94)))*$D94</f>
        <v>-7059.3809285816978</v>
      </c>
      <c r="BZ94" s="1021">
        <f>(VLOOKUP(YEAR($A94),'NY East Load Projections'!$A$4:$EO$14,((MONTH($A94)-1)*12)+VLOOKUP(BZ$4,$DE$6:$DF$17,2)+1))*(VLOOKUP($A94,SatSunCurve,7))*(INDEX(DailyScalarsTable,BZ$5/100,MONTH($A94)))*$D94</f>
        <v>-8820.0177281068227</v>
      </c>
      <c r="CA94" s="1021">
        <f>(VLOOKUP(YEAR($A94),'NY East Load Projections'!$A$4:$EO$14,((MONTH($A94)-1)*12)+VLOOKUP(CA$4,$DE$6:$DF$17,2)+1))*(VLOOKUP($A94,SatSunCurve,7))*(INDEX(DailyScalarsTable,CA$5/100,MONTH($A94)))*$D94</f>
        <v>-8412.6541892879868</v>
      </c>
      <c r="CB94" s="1021">
        <f>(VLOOKUP(YEAR($A94),'NY East Load Projections'!$A$4:$EO$14,((MONTH($A94)-1)*12)+VLOOKUP(CB$4,$DE$6:$DF$17,2)+1))*(VLOOKUP($A94,SatSunCurve,7))*(INDEX(DailyScalarsTable,CB$5/100,MONTH($A94)))*$D94</f>
        <v>-6748.7001903341798</v>
      </c>
      <c r="CC94" s="1021">
        <f>(VLOOKUP(YEAR($A94),'NY East Load Projections'!$A$4:$EO$14,((MONTH($A94)-1)*12)+VLOOKUP(CC$4,$DE$6:$DF$17,2)+1))*(VLOOKUP($A94,CURVES!$D$9:$T$261,7))*(INDEX(DailyScalarsTable,CC$5/100,MONTH($A94)))*$D94</f>
        <v>-8601.8441459868736</v>
      </c>
      <c r="CE94" s="1021">
        <f>(VLOOKUP(YEAR($A94),'NY East Load Projections'!$A$4:$EO$14,((MONTH($A94)-1)*12)+VLOOKUP(CE$4,$DE$6:$DF$17,2)+1))*(VLOOKUP($A94,CURVES!$D$9:$T$261,7))*(INDEX(DailyScalarsTable,CE$5/100,MONTH($A94)))*$E94</f>
        <v>-1774.1307818641314</v>
      </c>
      <c r="CF94" s="1021">
        <f>(VLOOKUP(YEAR($A94),'NY East Load Projections'!$A$4:$EO$14,((MONTH($A94)-1)*12)+VLOOKUP(CF$4,$DE$6:$DF$17,2)+1))*(VLOOKUP($A94,CURVES!$D$9:$T$261,7))*(INDEX(DailyScalarsTable,CF$5/100,MONTH($A94)))*$E94</f>
        <v>-1598.0684464625451</v>
      </c>
      <c r="CG94" s="1021">
        <f>(VLOOKUP(YEAR($A94),'NY East Load Projections'!$A$4:$EO$14,((MONTH($A94)-1)*12)+VLOOKUP(CG$4,$DE$6:$DF$17,2)+1))*(VLOOKUP($A94,CURVES!$D$9:$T$261,7))*(INDEX(DailyScalarsTable,CG$5/100,MONTH($A94)))*$E94</f>
        <v>-1512.3661456321438</v>
      </c>
      <c r="CH94" s="1021">
        <f>(VLOOKUP(YEAR($A94),'NY East Load Projections'!$A$4:$EO$14,((MONTH($A94)-1)*12)+VLOOKUP(CH$4,$DE$6:$DF$17,2)+1))*(VLOOKUP($A94,CURVES!$D$9:$T$261,7))*(INDEX(DailyScalarsTable,CH$5/100,MONTH($A94)))*$E94</f>
        <v>-1466.2545815983945</v>
      </c>
      <c r="CI94" s="1021">
        <f>(VLOOKUP(YEAR($A94),'NY East Load Projections'!$A$4:$EO$14,((MONTH($A94)-1)*12)+VLOOKUP(CI$4,$DE$6:$DF$17,2)+1))*(VLOOKUP($A94,CURVES!$D$9:$T$261,7))*(INDEX(DailyScalarsTable,CI$5/100,MONTH($A94)))*$E94</f>
        <v>-1613.4960335627686</v>
      </c>
      <c r="CJ94" s="1021">
        <f>(VLOOKUP(YEAR($A94),'NY East Load Projections'!$A$4:$EO$14,((MONTH($A94)-1)*12)+VLOOKUP(CJ$4,$DE$6:$DF$17,2)+1))*(VLOOKUP($A94,CURVES!$D$9:$T$261,7))*(INDEX(DailyScalarsTable,CJ$5/100,MONTH($A94)))*$E94</f>
        <v>-1956.2692519604925</v>
      </c>
      <c r="CK94" s="1021">
        <f>(VLOOKUP(YEAR($A94),'NY East Load Projections'!$A$4:$EO$14,((MONTH($A94)-1)*12)+VLOOKUP(CK$4,$DE$6:$DF$17,2)+1))*(VLOOKUP($A94,CURVES!$D$9:$T$261,7))*(INDEX(DailyScalarsTable,CK$5/100,MONTH($A94)))*$E94</f>
        <v>-2340.7055134783832</v>
      </c>
      <c r="CL94" s="1021">
        <f>(VLOOKUP(YEAR($A94),'NY East Load Projections'!$A$4:$EO$14,((MONTH($A94)-1)*12)+VLOOKUP(CL$4,$DE$6:$DF$17,2)+1))*(VLOOKUP($A94,SatSunCurve,7))*(INDEX(DailyScalarsTable,CL$5/100,MONTH($A94)))*$E94</f>
        <v>-1917.9790445489068</v>
      </c>
      <c r="CM94" s="1021">
        <f>(VLOOKUP(YEAR($A94),'NY East Load Projections'!$A$4:$EO$14,((MONTH($A94)-1)*12)+VLOOKUP(CM$4,$DE$6:$DF$17,2)+1))*(VLOOKUP($A94,SatSunCurve,7))*(INDEX(DailyScalarsTable,CM$5/100,MONTH($A94)))*$E94</f>
        <v>-2324.9930939754813</v>
      </c>
      <c r="CN94" s="1021">
        <f>(VLOOKUP(YEAR($A94),'NY East Load Projections'!$A$4:$EO$14,((MONTH($A94)-1)*12)+VLOOKUP(CN$4,$DE$6:$DF$17,2)+1))*(VLOOKUP($A94,SatSunCurve,7))*(INDEX(DailyScalarsTable,CN$5/100,MONTH($A94)))*$E94</f>
        <v>-2366.2306107890481</v>
      </c>
      <c r="CO94" s="1021">
        <f>(VLOOKUP(YEAR($A94),'NY East Load Projections'!$A$4:$EO$14,((MONTH($A94)-1)*12)+VLOOKUP(CO$4,$DE$6:$DF$17,2)+1))*(VLOOKUP($A94,SatSunCurve,7))*(INDEX(DailyScalarsTable,CO$5/100,MONTH($A94)))*$E94</f>
        <v>-2510.0145189708628</v>
      </c>
      <c r="CP94" s="1021">
        <f>(VLOOKUP(YEAR($A94),'NY East Load Projections'!$A$4:$EO$14,((MONTH($A94)-1)*12)+VLOOKUP(CP$4,$DE$6:$DF$17,2)+1))*(VLOOKUP($A94,SatSunCurve,7))*(INDEX(DailyScalarsTable,CP$5/100,MONTH($A94)))*$E94</f>
        <v>-2491.0379625610794</v>
      </c>
      <c r="CQ94" s="1021">
        <f>(VLOOKUP(YEAR($A94),'NY East Load Projections'!$A$4:$EO$14,((MONTH($A94)-1)*12)+VLOOKUP(CQ$4,$DE$6:$DF$17,2)+1))*(VLOOKUP($A94,SatSunCurve,7))*(INDEX(DailyScalarsTable,CQ$5/100,MONTH($A94)))*$E94</f>
        <v>-2388.8951993841665</v>
      </c>
      <c r="CR94" s="1021">
        <f>(VLOOKUP(YEAR($A94),'NY East Load Projections'!$A$4:$EO$14,((MONTH($A94)-1)*12)+VLOOKUP(CR$4,$DE$6:$DF$17,2)+1))*(VLOOKUP($A94,SatSunCurve,7))*(INDEX(DailyScalarsTable,CR$5/100,MONTH($A94)))*$E94</f>
        <v>-2400.4088422916466</v>
      </c>
      <c r="CS94" s="1021">
        <f>(VLOOKUP(YEAR($A94),'NY East Load Projections'!$A$4:$EO$14,((MONTH($A94)-1)*12)+VLOOKUP(CS$4,$DE$6:$DF$17,2)+1))*(VLOOKUP($A94,SatSunCurve,7))*(INDEX(DailyScalarsTable,CS$5/100,MONTH($A94)))*$E94</f>
        <v>-2328.3557221609672</v>
      </c>
      <c r="CT94" s="1021">
        <f>(VLOOKUP(YEAR($A94),'NY East Load Projections'!$A$4:$EO$14,((MONTH($A94)-1)*12)+VLOOKUP(CT$4,$DE$6:$DF$17,2)+1))*(VLOOKUP($A94,SatSunCurve,7))*(INDEX(DailyScalarsTable,CT$5/100,MONTH($A94)))*$E94</f>
        <v>-2237.7322102440303</v>
      </c>
      <c r="CU94" s="1021">
        <f>(VLOOKUP(YEAR($A94),'NY East Load Projections'!$A$4:$EO$14,((MONTH($A94)-1)*12)+VLOOKUP(CU$4,$DE$6:$DF$17,2)+1))*(VLOOKUP($A94,SatSunCurve,7))*(INDEX(DailyScalarsTable,CU$5/100,MONTH($A94)))*$E94</f>
        <v>-2124.9822225378757</v>
      </c>
      <c r="CV94" s="1021">
        <f>(VLOOKUP(YEAR($A94),'NY East Load Projections'!$A$4:$EO$14,((MONTH($A94)-1)*12)+VLOOKUP(CV$4,$DE$6:$DF$17,2)+1))*(VLOOKUP($A94,SatSunCurve,7))*(INDEX(DailyScalarsTable,CV$5/100,MONTH($A94)))*$E94</f>
        <v>-2042.1681126698525</v>
      </c>
      <c r="CW94" s="1021">
        <f>(VLOOKUP(YEAR($A94),'NY East Load Projections'!$A$4:$EO$14,((MONTH($A94)-1)*12)+VLOOKUP(CW$4,$DE$6:$DF$17,2)+1))*(VLOOKUP($A94,SatSunCurve,7))*(INDEX(DailyScalarsTable,CW$5/100,MONTH($A94)))*$E94</f>
        <v>-1769.3686919281311</v>
      </c>
      <c r="CX94" s="1021">
        <f>(VLOOKUP(YEAR($A94),'NY East Load Projections'!$A$4:$EO$14,((MONTH($A94)-1)*12)+VLOOKUP(CX$4,$DE$6:$DF$17,2)+1))*(VLOOKUP($A94,SatSunCurve,7))*(INDEX(DailyScalarsTable,CX$5/100,MONTH($A94)))*$E94</f>
        <v>-1764.8452321454245</v>
      </c>
      <c r="CY94" s="1021">
        <f>(VLOOKUP(YEAR($A94),'NY East Load Projections'!$A$4:$EO$14,((MONTH($A94)-1)*12)+VLOOKUP(CY$4,$DE$6:$DF$17,2)+1))*(VLOOKUP($A94,SatSunCurve,7))*(INDEX(DailyScalarsTable,CY$5/100,MONTH($A94)))*$E94</f>
        <v>-2205.0044320267057</v>
      </c>
      <c r="CZ94" s="1021">
        <f>(VLOOKUP(YEAR($A94),'NY East Load Projections'!$A$4:$EO$14,((MONTH($A94)-1)*12)+VLOOKUP(CZ$4,$DE$6:$DF$17,2)+1))*(VLOOKUP($A94,SatSunCurve,7))*(INDEX(DailyScalarsTable,CZ$5/100,MONTH($A94)))*$E94</f>
        <v>-2103.1635473219967</v>
      </c>
      <c r="DA94" s="1021">
        <f>(VLOOKUP(YEAR($A94),'NY East Load Projections'!$A$4:$EO$14,((MONTH($A94)-1)*12)+VLOOKUP(DA$4,$DE$6:$DF$17,2)+1))*(VLOOKUP($A94,SatSunCurve,7))*(INDEX(DailyScalarsTable,DA$5/100,MONTH($A94)))*$E94</f>
        <v>-1687.1750475835449</v>
      </c>
      <c r="DB94" s="1021">
        <f>(VLOOKUP(YEAR($A94),'NY East Load Projections'!$A$4:$EO$14,((MONTH($A94)-1)*12)+VLOOKUP(DB$4,$DE$6:$DF$17,2)+1))*(VLOOKUP($A94,CURVES!$D$9:$T$261,7))*(INDEX(DailyScalarsTable,DB$5/100,MONTH($A94)))*$E94</f>
        <v>-2150.4610364967184</v>
      </c>
      <c r="DH94" s="1032">
        <f t="shared" si="2"/>
        <v>-1947069.3553660894</v>
      </c>
      <c r="DI94">
        <f ca="1">CALC!J114</f>
        <v>0.54761412968906398</v>
      </c>
      <c r="DJ94" s="1029">
        <f t="shared" ca="1" si="3"/>
        <v>-1066242.6904830479</v>
      </c>
    </row>
    <row r="95" spans="1:114" x14ac:dyDescent="0.25">
      <c r="A95" s="244">
        <v>39600</v>
      </c>
      <c r="B95" s="13">
        <v>21</v>
      </c>
      <c r="C95" s="210">
        <v>4</v>
      </c>
      <c r="D95" s="210">
        <v>5</v>
      </c>
      <c r="E95" s="210">
        <v>0</v>
      </c>
      <c r="F95" s="13">
        <v>30</v>
      </c>
      <c r="H95" s="1021">
        <f>(VLOOKUP(YEAR($A95),'NY East Load Projections'!$A$4:$EO$14,((MONTH($A95)-1)*12)+VLOOKUP(H$4,$DE$6:$DF$17,2)+1))*(VLOOKUP($A95,CURVES!$D$9:$K$261,7))*(INDEX(DailyScalarsTable,H$5/100,MONTH($A95)))*$B95</f>
        <v>-43391.293724474446</v>
      </c>
      <c r="I95" s="1021">
        <f>(VLOOKUP(YEAR($A95),'NY East Load Projections'!$A$4:$EO$14,((MONTH($A95)-1)*12)+VLOOKUP(I$4,$DE$6:$DF$17,2)+1))*(VLOOKUP($A95,CURVES!$D$9:$K$261,7))*(INDEX(DailyScalarsTable,I$5/100,MONTH($A95)))*$B95</f>
        <v>-35950.247705688191</v>
      </c>
      <c r="J95" s="1021">
        <f>(VLOOKUP(YEAR($A95),'NY East Load Projections'!$A$4:$EO$14,((MONTH($A95)-1)*12)+VLOOKUP(J$4,$DE$6:$DF$17,2)+1))*(VLOOKUP($A95,CURVES!$D$9:$K$261,7))*(INDEX(DailyScalarsTable,J$5/100,MONTH($A95)))*$B95</f>
        <v>-30219.531667339379</v>
      </c>
      <c r="K95" s="1021">
        <f>(VLOOKUP(YEAR($A95),'NY East Load Projections'!$A$4:$EO$14,((MONTH($A95)-1)*12)+VLOOKUP(K$4,$DE$6:$DF$17,2)+1))*(VLOOKUP($A95,CURVES!$D$9:$K$261,7))*(INDEX(DailyScalarsTable,K$5/100,MONTH($A95)))*$B95</f>
        <v>-28053.854094707563</v>
      </c>
      <c r="L95" s="1021">
        <f>(VLOOKUP(YEAR($A95),'NY East Load Projections'!$A$4:$EO$14,((MONTH($A95)-1)*12)+VLOOKUP(L$4,$DE$6:$DF$17,2)+1))*(VLOOKUP($A95,CURVES!$D$9:$K$261,7))*(INDEX(DailyScalarsTable,L$5/100,MONTH($A95)))*$B95</f>
        <v>-32697.297870416351</v>
      </c>
      <c r="M95" s="1021">
        <f>(VLOOKUP(YEAR($A95),'NY East Load Projections'!$A$4:$EO$14,((MONTH($A95)-1)*12)+VLOOKUP(M$4,$DE$6:$DF$17,2)+1))*(VLOOKUP($A95,CURVES!$D$9:$K$261,7))*(INDEX(DailyScalarsTable,M$5/100,MONTH($A95)))*$B95</f>
        <v>-39893.090065986078</v>
      </c>
      <c r="N95" s="1021">
        <f>(VLOOKUP(YEAR($A95),'NY East Load Projections'!$A$4:$EO$14,((MONTH($A95)-1)*12)+VLOOKUP(N$4,$DE$6:$DF$17,2)+1))*(VLOOKUP($A95,CURVES!$D$9:$K$261,7))*(INDEX(DailyScalarsTable,N$5/100,MONTH($A95)))*$B95</f>
        <v>-45740.417057410894</v>
      </c>
      <c r="O95" s="1021">
        <f>(VLOOKUP(YEAR($A95),'NY East Load Projections'!$A$4:$EO$14,((MONTH($A95)-1)*12)+VLOOKUP(O$4,$DE$6:$DF$17,2)+1))*(VLOOKUP($A95,CURVES!$D$9:$K$261,3))*(INDEX(DailyScalarsTable,O$5/100,MONTH($A95)))*$B95</f>
        <v>-67440.312373829598</v>
      </c>
      <c r="P95" s="1021">
        <f>(VLOOKUP(YEAR($A95),'NY East Load Projections'!$A$4:$EO$14,((MONTH($A95)-1)*12)+VLOOKUP(P$4,$DE$6:$DF$17,2)+1))*(VLOOKUP($A95,CURVES!$D$9:$K$261,3))*(INDEX(DailyScalarsTable,P$5/100,MONTH($A95)))*$B95</f>
        <v>-86435.057706364343</v>
      </c>
      <c r="Q95" s="1021">
        <f>(VLOOKUP(YEAR($A95),'NY East Load Projections'!$A$4:$EO$14,((MONTH($A95)-1)*12)+VLOOKUP(Q$4,$DE$6:$DF$17,2)+1))*(VLOOKUP($A95,CURVES!$D$9:$K$261,3))*(INDEX(DailyScalarsTable,Q$5/100,MONTH($A95)))*$B95</f>
        <v>-96676.968137477772</v>
      </c>
      <c r="R95" s="1021">
        <f>(VLOOKUP(YEAR($A95),'NY East Load Projections'!$A$4:$EO$14,((MONTH($A95)-1)*12)+VLOOKUP(R$4,$DE$6:$DF$17,2)+1))*(VLOOKUP($A95,CURVES!$D$9:$K$261,3))*(INDEX(DailyScalarsTable,R$5/100,MONTH($A95)))*$B95</f>
        <v>-111206.54225498933</v>
      </c>
      <c r="S95" s="1021">
        <f>(VLOOKUP(YEAR($A95),'NY East Load Projections'!$A$4:$EO$14,((MONTH($A95)-1)*12)+VLOOKUP(S$4,$DE$6:$DF$17,2)+1))*(VLOOKUP($A95,CURVES!$D$9:$K$261,3))*(INDEX(DailyScalarsTable,S$5/100,MONTH($A95)))*$B95</f>
        <v>-119933.37717854165</v>
      </c>
      <c r="T95" s="1021">
        <f>(VLOOKUP(YEAR($A95),'NY East Load Projections'!$A$4:$EO$14,((MONTH($A95)-1)*12)+VLOOKUP(T$4,$DE$6:$DF$17,2)+1))*(VLOOKUP($A95,CURVES!$D$9:$K$261,3))*(INDEX(DailyScalarsTable,T$5/100,MONTH($A95)))*$B95</f>
        <v>-127600.58544944176</v>
      </c>
      <c r="U95" s="1021">
        <f>(VLOOKUP(YEAR($A95),'NY East Load Projections'!$A$4:$EO$14,((MONTH($A95)-1)*12)+VLOOKUP(U$4,$DE$6:$DF$17,2)+1))*(VLOOKUP($A95,CURVES!$D$9:$K$261,3))*(INDEX(DailyScalarsTable,U$5/100,MONTH($A95)))*$B95</f>
        <v>-141111.41816600677</v>
      </c>
      <c r="V95" s="1021">
        <f>(VLOOKUP(YEAR($A95),'NY East Load Projections'!$A$4:$EO$14,((MONTH($A95)-1)*12)+VLOOKUP(V$4,$DE$6:$DF$17,2)+1))*(VLOOKUP($A95,CURVES!$D$9:$K$261,3))*(INDEX(DailyScalarsTable,V$5/100,MONTH($A95)))*$B95</f>
        <v>-142197.24857950798</v>
      </c>
      <c r="W95" s="1021">
        <f>(VLOOKUP(YEAR($A95),'NY East Load Projections'!$A$4:$EO$14,((MONTH($A95)-1)*12)+VLOOKUP(W$4,$DE$6:$DF$17,2)+1))*(VLOOKUP($A95,CURVES!$D$9:$K$261,3))*(INDEX(DailyScalarsTable,W$5/100,MONTH($A95)))*$B95</f>
        <v>-142429.92652525823</v>
      </c>
      <c r="X95" s="1021">
        <f>(VLOOKUP(YEAR($A95),'NY East Load Projections'!$A$4:$EO$14,((MONTH($A95)-1)*12)+VLOOKUP(X$4,$DE$6:$DF$17,2)+1))*(VLOOKUP($A95,CURVES!$D$9:$K$261,3))*(INDEX(DailyScalarsTable,X$5/100,MONTH($A95)))*$B95</f>
        <v>-139171.25037551223</v>
      </c>
      <c r="Y95" s="1021">
        <f>(VLOOKUP(YEAR($A95),'NY East Load Projections'!$A$4:$EO$14,((MONTH($A95)-1)*12)+VLOOKUP(Y$4,$DE$6:$DF$17,2)+1))*(VLOOKUP($A95,CURVES!$D$9:$K$261,3))*(INDEX(DailyScalarsTable,Y$5/100,MONTH($A95)))*$B95</f>
        <v>-135039.81362125042</v>
      </c>
      <c r="Z95" s="1021">
        <f>(VLOOKUP(YEAR($A95),'NY East Load Projections'!$A$4:$EO$14,((MONTH($A95)-1)*12)+VLOOKUP(Z$4,$DE$6:$DF$17,2)+1))*(VLOOKUP($A95,CURVES!$D$9:$K$261,3))*(INDEX(DailyScalarsTable,Z$5/100,MONTH($A95)))*$B95</f>
        <v>-115307.35576605775</v>
      </c>
      <c r="AA95" s="1021">
        <f>(VLOOKUP(YEAR($A95),'NY East Load Projections'!$A$4:$EO$14,((MONTH($A95)-1)*12)+VLOOKUP(AA$4,$DE$6:$DF$17,2)+1))*(VLOOKUP($A95,CURVES!$D$9:$K$261,3))*(INDEX(DailyScalarsTable,AA$5/100,MONTH($A95)))*$B95</f>
        <v>-92204.122797279691</v>
      </c>
      <c r="AB95" s="1021">
        <f>(VLOOKUP(YEAR($A95),'NY East Load Projections'!$A$4:$EO$14,((MONTH($A95)-1)*12)+VLOOKUP(AB$4,$DE$6:$DF$17,2)+1))*(VLOOKUP($A95,CURVES!$D$9:$K$261,3))*(INDEX(DailyScalarsTable,AB$5/100,MONTH($A95)))*$B95</f>
        <v>-91055.060289699381</v>
      </c>
      <c r="AC95" s="1021">
        <f>(VLOOKUP(YEAR($A95),'NY East Load Projections'!$A$4:$EO$14,((MONTH($A95)-1)*12)+VLOOKUP(AC$4,$DE$6:$DF$17,2)+1))*(VLOOKUP($A95,CURVES!$D$9:$K$261,3))*(INDEX(DailyScalarsTable,AC$5/100,MONTH($A95)))*$B95</f>
        <v>-92776.404835217676</v>
      </c>
      <c r="AD95" s="1021">
        <f>(VLOOKUP(YEAR($A95),'NY East Load Projections'!$A$4:$EO$14,((MONTH($A95)-1)*12)+VLOOKUP(AD$4,$DE$6:$DF$17,2)+1))*(VLOOKUP($A95,CURVES!$D$9:$K$261,3))*(INDEX(DailyScalarsTable,AD$5/100,MONTH($A95)))*$B95</f>
        <v>-74397.324490943734</v>
      </c>
      <c r="AE95" s="1021">
        <f>(VLOOKUP(YEAR($A95),'NY East Load Projections'!$A$4:$EO$14,((MONTH($A95)-1)*12)+VLOOKUP(AE$4,$DE$6:$DF$17,2)+1))*(VLOOKUP($A95,CURVES!$D$9:$K$261,7))*(INDEX(DailyScalarsTable,AE$5/100,MONTH($A95)))*$B95</f>
        <v>-54878.592632800515</v>
      </c>
      <c r="AF95" s="1021"/>
      <c r="AG95" s="1021">
        <f>(VLOOKUP(YEAR($A95),'NY East Load Projections'!$A$4:$EO$14,((MONTH($A95)-1)*12)+VLOOKUP(AG$4,$DE$6:$DF$17,2)+1))*(VLOOKUP($A95,CURVES!$D$9:$T$261,7))*(INDEX(DailyScalarsTable,AG$5/100,MONTH($A95)))*$C95</f>
        <v>-8396.7806359679234</v>
      </c>
      <c r="AH95" s="1021">
        <f>(VLOOKUP(YEAR($A95),'NY East Load Projections'!$A$4:$EO$14,((MONTH($A95)-1)*12)+VLOOKUP(AH$4,$DE$6:$DF$17,2)+1))*(VLOOKUP($A95,CURVES!$D$9:$T$261,7))*(INDEX(DailyScalarsTable,AH$5/100,MONTH($A95)))*$C95</f>
        <v>-6956.8412896411992</v>
      </c>
      <c r="AI95" s="1021">
        <f>(VLOOKUP(YEAR($A95),'NY East Load Projections'!$A$4:$EO$14,((MONTH($A95)-1)*12)+VLOOKUP(AI$4,$DE$6:$DF$17,2)+1))*(VLOOKUP($A95,CURVES!$D$9:$T$261,7))*(INDEX(DailyScalarsTable,AI$5/100,MONTH($A95)))*$C95</f>
        <v>-5847.8730766492745</v>
      </c>
      <c r="AJ95" s="1021">
        <f>(VLOOKUP(YEAR($A95),'NY East Load Projections'!$A$4:$EO$14,((MONTH($A95)-1)*12)+VLOOKUP(AJ$4,$DE$6:$DF$17,2)+1))*(VLOOKUP($A95,CURVES!$D$9:$T$261,7))*(INDEX(DailyScalarsTable,AJ$5/100,MONTH($A95)))*$C95</f>
        <v>-5428.7862519720948</v>
      </c>
      <c r="AK95" s="1021">
        <f>(VLOOKUP(YEAR($A95),'NY East Load Projections'!$A$4:$EO$14,((MONTH($A95)-1)*12)+VLOOKUP(AK$4,$DE$6:$DF$17,2)+1))*(VLOOKUP($A95,CURVES!$D$9:$T$261,7))*(INDEX(DailyScalarsTable,AK$5/100,MONTH($A95)))*$C95</f>
        <v>-5953.2772300112847</v>
      </c>
      <c r="AL95" s="1021">
        <f>(VLOOKUP(YEAR($A95),'NY East Load Projections'!$A$4:$EO$14,((MONTH($A95)-1)*12)+VLOOKUP(AL$4,$DE$6:$DF$17,2)+1))*(VLOOKUP($A95,CURVES!$D$9:$T$261,7))*(INDEX(DailyScalarsTable,AL$5/100,MONTH($A95)))*$C95</f>
        <v>-7263.4327663969789</v>
      </c>
      <c r="AM95" s="1021">
        <f>(VLOOKUP(YEAR($A95),'NY East Load Projections'!$A$4:$EO$14,((MONTH($A95)-1)*12)+VLOOKUP(AM$4,$DE$6:$DF$17,2)+1))*(VLOOKUP($A95,CURVES!$D$9:$T$261,7))*(INDEX(DailyScalarsTable,AM$5/100,MONTH($A95)))*$C95</f>
        <v>-8328.0699352676093</v>
      </c>
      <c r="AN95" s="1021">
        <f>(VLOOKUP(YEAR($A95),'NY East Load Projections'!$A$4:$EO$14,((MONTH($A95)-1)*12)+VLOOKUP(AN$4,$DE$6:$DF$17,2)+1))*(VLOOKUP($A95,SatSunCurve,3))*(INDEX(DailyScalarsTable,AN$5/100,MONTH($A95)))*$C95</f>
        <v>-6612.0401657909106</v>
      </c>
      <c r="AO95" s="1021">
        <f>(VLOOKUP(YEAR($A95),'NY East Load Projections'!$A$4:$EO$14,((MONTH($A95)-1)*12)+VLOOKUP(AO$4,$DE$6:$DF$17,2)+1))*(VLOOKUP($A95,SatSunCurve,3))*(INDEX(DailyScalarsTable,AO$5/100,MONTH($A95)))*$C95</f>
        <v>-8428.1901111735897</v>
      </c>
      <c r="AP95" s="1021">
        <f>(VLOOKUP(YEAR($A95),'NY East Load Projections'!$A$4:$EO$14,((MONTH($A95)-1)*12)+VLOOKUP(AP$4,$DE$6:$DF$17,2)+1))*(VLOOKUP($A95,SatSunCurve,3))*(INDEX(DailyScalarsTable,AP$5/100,MONTH($A95)))*$C95</f>
        <v>-9426.8678526553304</v>
      </c>
      <c r="AQ95" s="1021">
        <f>(VLOOKUP(YEAR($A95),'NY East Load Projections'!$A$4:$EO$14,((MONTH($A95)-1)*12)+VLOOKUP(AQ$4,$DE$6:$DF$17,2)+1))*(VLOOKUP($A95,SatSunCurve,3))*(INDEX(DailyScalarsTable,AQ$5/100,MONTH($A95)))*$C95</f>
        <v>-10843.63109833727</v>
      </c>
      <c r="AR95" s="1021">
        <f>(VLOOKUP(YEAR($A95),'NY East Load Projections'!$A$4:$EO$14,((MONTH($A95)-1)*12)+VLOOKUP(AR$4,$DE$6:$DF$17,2)+1))*(VLOOKUP($A95,SatSunCurve,3))*(INDEX(DailyScalarsTable,AR$5/100,MONTH($A95)))*$C95</f>
        <v>-11694.575446108698</v>
      </c>
      <c r="AS95" s="1021">
        <f>(VLOOKUP(YEAR($A95),'NY East Load Projections'!$A$4:$EO$14,((MONTH($A95)-1)*12)+VLOOKUP(AS$4,$DE$6:$DF$17,2)+1))*(VLOOKUP($A95,SatSunCurve,3))*(INDEX(DailyScalarsTable,AS$5/100,MONTH($A95)))*$C95</f>
        <v>-12466.876646457282</v>
      </c>
      <c r="AT95" s="1021">
        <f>(VLOOKUP(YEAR($A95),'NY East Load Projections'!$A$4:$EO$14,((MONTH($A95)-1)*12)+VLOOKUP(AT$4,$DE$6:$DF$17,2)+1))*(VLOOKUP($A95,SatSunCurve,3))*(INDEX(DailyScalarsTable,AT$5/100,MONTH($A95)))*$C95</f>
        <v>-13786.916709557732</v>
      </c>
      <c r="AU95" s="1021">
        <f>(VLOOKUP(YEAR($A95),'NY East Load Projections'!$A$4:$EO$14,((MONTH($A95)-1)*12)+VLOOKUP(AU$4,$DE$6:$DF$17,2)+1))*(VLOOKUP($A95,SatSunCurve,3))*(INDEX(DailyScalarsTable,AU$5/100,MONTH($A95)))*$C95</f>
        <v>-13893.004889141008</v>
      </c>
      <c r="AV95" s="1021">
        <f>(VLOOKUP(YEAR($A95),'NY East Load Projections'!$A$4:$EO$14,((MONTH($A95)-1)*12)+VLOOKUP(AV$4,$DE$6:$DF$17,2)+1))*(VLOOKUP($A95,SatSunCurve,3))*(INDEX(DailyScalarsTable,AV$5/100,MONTH($A95)))*$C95</f>
        <v>-13915.738070480276</v>
      </c>
      <c r="AW95" s="1021">
        <f>(VLOOKUP(YEAR($A95),'NY East Load Projections'!$A$4:$EO$14,((MONTH($A95)-1)*12)+VLOOKUP(AW$4,$DE$6:$DF$17,2)+1))*(VLOOKUP($A95,SatSunCurve,3))*(INDEX(DailyScalarsTable,AW$5/100,MONTH($A95)))*$C95</f>
        <v>-13528.034917110308</v>
      </c>
      <c r="AX95" s="1021">
        <f>(VLOOKUP(YEAR($A95),'NY East Load Projections'!$A$4:$EO$14,((MONTH($A95)-1)*12)+VLOOKUP(AX$4,$DE$6:$DF$17,2)+1))*(VLOOKUP($A95,SatSunCurve,3))*(INDEX(DailyScalarsTable,AX$5/100,MONTH($A95)))*$C95</f>
        <v>-13126.441768247423</v>
      </c>
      <c r="AY95" s="1021">
        <f>(VLOOKUP(YEAR($A95),'NY East Load Projections'!$A$4:$EO$14,((MONTH($A95)-1)*12)+VLOOKUP(AY$4,$DE$6:$DF$17,2)+1))*(VLOOKUP($A95,SatSunCurve,3))*(INDEX(DailyScalarsTable,AY$5/100,MONTH($A95)))*$C95</f>
        <v>-11208.363299129758</v>
      </c>
      <c r="AZ95" s="1021">
        <f>(VLOOKUP(YEAR($A95),'NY East Load Projections'!$A$4:$EO$14,((MONTH($A95)-1)*12)+VLOOKUP(AZ$4,$DE$6:$DF$17,2)+1))*(VLOOKUP($A95,SatSunCurve,3))*(INDEX(DailyScalarsTable,AZ$5/100,MONTH($A95)))*$C95</f>
        <v>-8962.6312139723432</v>
      </c>
      <c r="BA95" s="1021">
        <f>(VLOOKUP(YEAR($A95),'NY East Load Projections'!$A$4:$EO$14,((MONTH($A95)-1)*12)+VLOOKUP(BA$4,$DE$6:$DF$17,2)+1))*(VLOOKUP($A95,SatSunCurve,3))*(INDEX(DailyScalarsTable,BA$5/100,MONTH($A95)))*$C95</f>
        <v>-9246.1565351769295</v>
      </c>
      <c r="BB95" s="1021">
        <f>(VLOOKUP(YEAR($A95),'NY East Load Projections'!$A$4:$EO$14,((MONTH($A95)-1)*12)+VLOOKUP(BB$4,$DE$6:$DF$17,2)+1))*(VLOOKUP($A95,SatSunCurve,3))*(INDEX(DailyScalarsTable,BB$5/100,MONTH($A95)))*$C95</f>
        <v>-9420.9499081997765</v>
      </c>
      <c r="BC95" s="1021">
        <f>(VLOOKUP(YEAR($A95),'NY East Load Projections'!$A$4:$EO$14,((MONTH($A95)-1)*12)+VLOOKUP(BC$4,$DE$6:$DF$17,2)+1))*(VLOOKUP($A95,SatSunCurve,3))*(INDEX(DailyScalarsTable,BC$5/100,MONTH($A95)))*$C95</f>
        <v>-7554.6521615936545</v>
      </c>
      <c r="BD95" s="1021">
        <f>(VLOOKUP(YEAR($A95),'NY East Load Projections'!$A$4:$EO$14,((MONTH($A95)-1)*12)+VLOOKUP(BD$4,$DE$6:$DF$17,2)+1))*(VLOOKUP($A95,CURVES!$D$9:$T$261,7))*(INDEX(DailyScalarsTable,BD$5/100,MONTH($A95)))*$C95</f>
        <v>-10348.763310923701</v>
      </c>
      <c r="BE95" s="1021"/>
      <c r="BF95" s="1021">
        <f>(VLOOKUP(YEAR($A95),'NY East Load Projections'!$A$4:$EO$14,((MONTH($A95)-1)*12)+VLOOKUP(BF$4,$DE$6:$DF$17,2)+1))*(VLOOKUP($A95,CURVES!$D$9:$T$261,7))*(INDEX(DailyScalarsTable,BF$5/100,MONTH($A95)))*$D95</f>
        <v>-10495.975794959904</v>
      </c>
      <c r="BG95" s="1021">
        <f>(VLOOKUP(YEAR($A95),'NY East Load Projections'!$A$4:$EO$14,((MONTH($A95)-1)*12)+VLOOKUP(BG$4,$DE$6:$DF$17,2)+1))*(VLOOKUP($A95,CURVES!$D$9:$T$261,7))*(INDEX(DailyScalarsTable,BG$5/100,MONTH($A95)))*$D95</f>
        <v>-8696.0516120514985</v>
      </c>
      <c r="BH95" s="1021">
        <f>(VLOOKUP(YEAR($A95),'NY East Load Projections'!$A$4:$EO$14,((MONTH($A95)-1)*12)+VLOOKUP(BH$4,$DE$6:$DF$17,2)+1))*(VLOOKUP($A95,CURVES!$D$9:$T$261,7))*(INDEX(DailyScalarsTable,BH$5/100,MONTH($A95)))*$D95</f>
        <v>-7309.8413458115929</v>
      </c>
      <c r="BI95" s="1021">
        <f>(VLOOKUP(YEAR($A95),'NY East Load Projections'!$A$4:$EO$14,((MONTH($A95)-1)*12)+VLOOKUP(BI$4,$DE$6:$DF$17,2)+1))*(VLOOKUP($A95,CURVES!$D$9:$T$261,7))*(INDEX(DailyScalarsTable,BI$5/100,MONTH($A95)))*$D95</f>
        <v>-6785.9828149651185</v>
      </c>
      <c r="BJ95" s="1021">
        <f>(VLOOKUP(YEAR($A95),'NY East Load Projections'!$A$4:$EO$14,((MONTH($A95)-1)*12)+VLOOKUP(BJ$4,$DE$6:$DF$17,2)+1))*(VLOOKUP($A95,CURVES!$D$9:$T$261,7))*(INDEX(DailyScalarsTable,BJ$5/100,MONTH($A95)))*$D95</f>
        <v>-7441.5965375141059</v>
      </c>
      <c r="BK95" s="1021">
        <f>(VLOOKUP(YEAR($A95),'NY East Load Projections'!$A$4:$EO$14,((MONTH($A95)-1)*12)+VLOOKUP(BK$4,$DE$6:$DF$17,2)+1))*(VLOOKUP($A95,CURVES!$D$9:$T$261,7))*(INDEX(DailyScalarsTable,BK$5/100,MONTH($A95)))*$D95</f>
        <v>-9079.2909579962234</v>
      </c>
      <c r="BL95" s="1021">
        <f>(VLOOKUP(YEAR($A95),'NY East Load Projections'!$A$4:$EO$14,((MONTH($A95)-1)*12)+VLOOKUP(BL$4,$DE$6:$DF$17,2)+1))*(VLOOKUP($A95,CURVES!$D$9:$T$261,7))*(INDEX(DailyScalarsTable,BL$5/100,MONTH($A95)))*$D95</f>
        <v>-10410.087419084512</v>
      </c>
      <c r="BM95" s="1021">
        <f>(VLOOKUP(YEAR($A95),'NY East Load Projections'!$A$4:$EO$14,((MONTH($A95)-1)*12)+VLOOKUP(BM$4,$DE$6:$DF$17,2)+1))*(VLOOKUP($A95,SatSunCurve,7))*(INDEX(DailyScalarsTable,BM$5/100,MONTH($A95)))*$D95</f>
        <v>-6274.6723016148553</v>
      </c>
      <c r="BN95" s="1021">
        <f>(VLOOKUP(YEAR($A95),'NY East Load Projections'!$A$4:$EO$14,((MONTH($A95)-1)*12)+VLOOKUP(BN$4,$DE$6:$DF$17,2)+1))*(VLOOKUP($A95,SatSunCurve,7))*(INDEX(DailyScalarsTable,BN$5/100,MONTH($A95)))*$D95</f>
        <v>-7998.1563507334395</v>
      </c>
      <c r="BO95" s="1021">
        <f>(VLOOKUP(YEAR($A95),'NY East Load Projections'!$A$4:$EO$14,((MONTH($A95)-1)*12)+VLOOKUP(BO$4,$DE$6:$DF$17,2)+1))*(VLOOKUP($A95,SatSunCurve,7))*(INDEX(DailyScalarsTable,BO$5/100,MONTH($A95)))*$D95</f>
        <v>-8945.8782951849353</v>
      </c>
      <c r="BP95" s="1021">
        <f>(VLOOKUP(YEAR($A95),'NY East Load Projections'!$A$4:$EO$14,((MONTH($A95)-1)*12)+VLOOKUP(BP$4,$DE$6:$DF$17,2)+1))*(VLOOKUP($A95,SatSunCurve,7))*(INDEX(DailyScalarsTable,BP$5/100,MONTH($A95)))*$D95</f>
        <v>-10290.353657210064</v>
      </c>
      <c r="BQ95" s="1021">
        <f>(VLOOKUP(YEAR($A95),'NY East Load Projections'!$A$4:$EO$14,((MONTH($A95)-1)*12)+VLOOKUP(BQ$4,$DE$6:$DF$17,2)+1))*(VLOOKUP($A95,SatSunCurve,7))*(INDEX(DailyScalarsTable,BQ$5/100,MONTH($A95)))*$D95</f>
        <v>-11097.880047748624</v>
      </c>
      <c r="BR95" s="1021">
        <f>(VLOOKUP(YEAR($A95),'NY East Load Projections'!$A$4:$EO$14,((MONTH($A95)-1)*12)+VLOOKUP(BR$4,$DE$6:$DF$17,2)+1))*(VLOOKUP($A95,SatSunCurve,7))*(INDEX(DailyScalarsTable,BR$5/100,MONTH($A95)))*$D95</f>
        <v>-11830.775920856422</v>
      </c>
      <c r="BS95" s="1021">
        <f>(VLOOKUP(YEAR($A95),'NY East Load Projections'!$A$4:$EO$14,((MONTH($A95)-1)*12)+VLOOKUP(BS$4,$DE$6:$DF$17,2)+1))*(VLOOKUP($A95,SatSunCurve,7))*(INDEX(DailyScalarsTable,BS$5/100,MONTH($A95)))*$D95</f>
        <v>-13083.463232680631</v>
      </c>
      <c r="BT95" s="1021">
        <f>(VLOOKUP(YEAR($A95),'NY East Load Projections'!$A$4:$EO$14,((MONTH($A95)-1)*12)+VLOOKUP(BT$4,$DE$6:$DF$17,2)+1))*(VLOOKUP($A95,SatSunCurve,7))*(INDEX(DailyScalarsTable,BT$5/100,MONTH($A95)))*$D95</f>
        <v>-13184.13844717856</v>
      </c>
      <c r="BU95" s="1021">
        <f>(VLOOKUP(YEAR($A95),'NY East Load Projections'!$A$4:$EO$14,((MONTH($A95)-1)*12)+VLOOKUP(BU$4,$DE$6:$DF$17,2)+1))*(VLOOKUP($A95,SatSunCurve,7))*(INDEX(DailyScalarsTable,BU$5/100,MONTH($A95)))*$D95</f>
        <v>-13205.711707428112</v>
      </c>
      <c r="BV95" s="1021">
        <f>(VLOOKUP(YEAR($A95),'NY East Load Projections'!$A$4:$EO$14,((MONTH($A95)-1)*12)+VLOOKUP(BV$4,$DE$6:$DF$17,2)+1))*(VLOOKUP($A95,SatSunCurve,7))*(INDEX(DailyScalarsTable,BV$5/100,MONTH($A95)))*$D95</f>
        <v>-12837.790434008521</v>
      </c>
      <c r="BW95" s="1021">
        <f>(VLOOKUP(YEAR($A95),'NY East Load Projections'!$A$4:$EO$14,((MONTH($A95)-1)*12)+VLOOKUP(BW$4,$DE$6:$DF$17,2)+1))*(VLOOKUP($A95,SatSunCurve,7))*(INDEX(DailyScalarsTable,BW$5/100,MONTH($A95)))*$D95</f>
        <v>-12456.687877988761</v>
      </c>
      <c r="BX95" s="1021">
        <f>(VLOOKUP(YEAR($A95),'NY East Load Projections'!$A$4:$EO$14,((MONTH($A95)-1)*12)+VLOOKUP(BX$4,$DE$6:$DF$17,2)+1))*(VLOOKUP($A95,SatSunCurve,7))*(INDEX(DailyScalarsTable,BX$5/100,MONTH($A95)))*$D95</f>
        <v>-10636.476031006307</v>
      </c>
      <c r="BY95" s="1021">
        <f>(VLOOKUP(YEAR($A95),'NY East Load Projections'!$A$4:$EO$14,((MONTH($A95)-1)*12)+VLOOKUP(BY$4,$DE$6:$DF$17,2)+1))*(VLOOKUP($A95,SatSunCurve,7))*(INDEX(DailyScalarsTable,BY$5/100,MONTH($A95)))*$D95</f>
        <v>-8505.328524599794</v>
      </c>
      <c r="BZ95" s="1021">
        <f>(VLOOKUP(YEAR($A95),'NY East Load Projections'!$A$4:$EO$14,((MONTH($A95)-1)*12)+VLOOKUP(BZ$4,$DE$6:$DF$17,2)+1))*(VLOOKUP($A95,SatSunCurve,7))*(INDEX(DailyScalarsTable,BZ$5/100,MONTH($A95)))*$D95</f>
        <v>-8774.3874587806749</v>
      </c>
      <c r="CA95" s="1021">
        <f>(VLOOKUP(YEAR($A95),'NY East Load Projections'!$A$4:$EO$14,((MONTH($A95)-1)*12)+VLOOKUP(CA$4,$DE$6:$DF$17,2)+1))*(VLOOKUP($A95,SatSunCurve,7))*(INDEX(DailyScalarsTable,CA$5/100,MONTH($A95)))*$D95</f>
        <v>-8940.2623035656052</v>
      </c>
      <c r="CB95" s="1021">
        <f>(VLOOKUP(YEAR($A95),'NY East Load Projections'!$A$4:$EO$14,((MONTH($A95)-1)*12)+VLOOKUP(CB$4,$DE$6:$DF$17,2)+1))*(VLOOKUP($A95,SatSunCurve,7))*(INDEX(DailyScalarsTable,CB$5/100,MONTH($A95)))*$D95</f>
        <v>-7169.1891576729868</v>
      </c>
      <c r="CC95" s="1021">
        <f>(VLOOKUP(YEAR($A95),'NY East Load Projections'!$A$4:$EO$14,((MONTH($A95)-1)*12)+VLOOKUP(CC$4,$DE$6:$DF$17,2)+1))*(VLOOKUP($A95,CURVES!$D$9:$T$261,7))*(INDEX(DailyScalarsTable,CC$5/100,MONTH($A95)))*$D95</f>
        <v>-12935.954138654626</v>
      </c>
      <c r="CE95" s="1021">
        <f>(VLOOKUP(YEAR($A95),'NY East Load Projections'!$A$4:$EO$14,((MONTH($A95)-1)*12)+VLOOKUP(CE$4,$DE$6:$DF$17,2)+1))*(VLOOKUP($A95,CURVES!$D$9:$T$261,7))*(INDEX(DailyScalarsTable,CE$5/100,MONTH($A95)))*$E95</f>
        <v>0</v>
      </c>
      <c r="CF95" s="1021">
        <f>(VLOOKUP(YEAR($A95),'NY East Load Projections'!$A$4:$EO$14,((MONTH($A95)-1)*12)+VLOOKUP(CF$4,$DE$6:$DF$17,2)+1))*(VLOOKUP($A95,CURVES!$D$9:$T$261,7))*(INDEX(DailyScalarsTable,CF$5/100,MONTH($A95)))*$E95</f>
        <v>0</v>
      </c>
      <c r="CG95" s="1021">
        <f>(VLOOKUP(YEAR($A95),'NY East Load Projections'!$A$4:$EO$14,((MONTH($A95)-1)*12)+VLOOKUP(CG$4,$DE$6:$DF$17,2)+1))*(VLOOKUP($A95,CURVES!$D$9:$T$261,7))*(INDEX(DailyScalarsTable,CG$5/100,MONTH($A95)))*$E95</f>
        <v>0</v>
      </c>
      <c r="CH95" s="1021">
        <f>(VLOOKUP(YEAR($A95),'NY East Load Projections'!$A$4:$EO$14,((MONTH($A95)-1)*12)+VLOOKUP(CH$4,$DE$6:$DF$17,2)+1))*(VLOOKUP($A95,CURVES!$D$9:$T$261,7))*(INDEX(DailyScalarsTable,CH$5/100,MONTH($A95)))*$E95</f>
        <v>0</v>
      </c>
      <c r="CI95" s="1021">
        <f>(VLOOKUP(YEAR($A95),'NY East Load Projections'!$A$4:$EO$14,((MONTH($A95)-1)*12)+VLOOKUP(CI$4,$DE$6:$DF$17,2)+1))*(VLOOKUP($A95,CURVES!$D$9:$T$261,7))*(INDEX(DailyScalarsTable,CI$5/100,MONTH($A95)))*$E95</f>
        <v>0</v>
      </c>
      <c r="CJ95" s="1021">
        <f>(VLOOKUP(YEAR($A95),'NY East Load Projections'!$A$4:$EO$14,((MONTH($A95)-1)*12)+VLOOKUP(CJ$4,$DE$6:$DF$17,2)+1))*(VLOOKUP($A95,CURVES!$D$9:$T$261,7))*(INDEX(DailyScalarsTable,CJ$5/100,MONTH($A95)))*$E95</f>
        <v>0</v>
      </c>
      <c r="CK95" s="1021">
        <f>(VLOOKUP(YEAR($A95),'NY East Load Projections'!$A$4:$EO$14,((MONTH($A95)-1)*12)+VLOOKUP(CK$4,$DE$6:$DF$17,2)+1))*(VLOOKUP($A95,CURVES!$D$9:$T$261,7))*(INDEX(DailyScalarsTable,CK$5/100,MONTH($A95)))*$E95</f>
        <v>0</v>
      </c>
      <c r="CL95" s="1021">
        <f>(VLOOKUP(YEAR($A95),'NY East Load Projections'!$A$4:$EO$14,((MONTH($A95)-1)*12)+VLOOKUP(CL$4,$DE$6:$DF$17,2)+1))*(VLOOKUP($A95,SatSunCurve,7))*(INDEX(DailyScalarsTable,CL$5/100,MONTH($A95)))*$E95</f>
        <v>0</v>
      </c>
      <c r="CM95" s="1021">
        <f>(VLOOKUP(YEAR($A95),'NY East Load Projections'!$A$4:$EO$14,((MONTH($A95)-1)*12)+VLOOKUP(CM$4,$DE$6:$DF$17,2)+1))*(VLOOKUP($A95,SatSunCurve,7))*(INDEX(DailyScalarsTable,CM$5/100,MONTH($A95)))*$E95</f>
        <v>0</v>
      </c>
      <c r="CN95" s="1021">
        <f>(VLOOKUP(YEAR($A95),'NY East Load Projections'!$A$4:$EO$14,((MONTH($A95)-1)*12)+VLOOKUP(CN$4,$DE$6:$DF$17,2)+1))*(VLOOKUP($A95,SatSunCurve,7))*(INDEX(DailyScalarsTable,CN$5/100,MONTH($A95)))*$E95</f>
        <v>0</v>
      </c>
      <c r="CO95" s="1021">
        <f>(VLOOKUP(YEAR($A95),'NY East Load Projections'!$A$4:$EO$14,((MONTH($A95)-1)*12)+VLOOKUP(CO$4,$DE$6:$DF$17,2)+1))*(VLOOKUP($A95,SatSunCurve,7))*(INDEX(DailyScalarsTable,CO$5/100,MONTH($A95)))*$E95</f>
        <v>0</v>
      </c>
      <c r="CP95" s="1021">
        <f>(VLOOKUP(YEAR($A95),'NY East Load Projections'!$A$4:$EO$14,((MONTH($A95)-1)*12)+VLOOKUP(CP$4,$DE$6:$DF$17,2)+1))*(VLOOKUP($A95,SatSunCurve,7))*(INDEX(DailyScalarsTable,CP$5/100,MONTH($A95)))*$E95</f>
        <v>0</v>
      </c>
      <c r="CQ95" s="1021">
        <f>(VLOOKUP(YEAR($A95),'NY East Load Projections'!$A$4:$EO$14,((MONTH($A95)-1)*12)+VLOOKUP(CQ$4,$DE$6:$DF$17,2)+1))*(VLOOKUP($A95,SatSunCurve,7))*(INDEX(DailyScalarsTable,CQ$5/100,MONTH($A95)))*$E95</f>
        <v>0</v>
      </c>
      <c r="CR95" s="1021">
        <f>(VLOOKUP(YEAR($A95),'NY East Load Projections'!$A$4:$EO$14,((MONTH($A95)-1)*12)+VLOOKUP(CR$4,$DE$6:$DF$17,2)+1))*(VLOOKUP($A95,SatSunCurve,7))*(INDEX(DailyScalarsTable,CR$5/100,MONTH($A95)))*$E95</f>
        <v>0</v>
      </c>
      <c r="CS95" s="1021">
        <f>(VLOOKUP(YEAR($A95),'NY East Load Projections'!$A$4:$EO$14,((MONTH($A95)-1)*12)+VLOOKUP(CS$4,$DE$6:$DF$17,2)+1))*(VLOOKUP($A95,SatSunCurve,7))*(INDEX(DailyScalarsTable,CS$5/100,MONTH($A95)))*$E95</f>
        <v>0</v>
      </c>
      <c r="CT95" s="1021">
        <f>(VLOOKUP(YEAR($A95),'NY East Load Projections'!$A$4:$EO$14,((MONTH($A95)-1)*12)+VLOOKUP(CT$4,$DE$6:$DF$17,2)+1))*(VLOOKUP($A95,SatSunCurve,7))*(INDEX(DailyScalarsTable,CT$5/100,MONTH($A95)))*$E95</f>
        <v>0</v>
      </c>
      <c r="CU95" s="1021">
        <f>(VLOOKUP(YEAR($A95),'NY East Load Projections'!$A$4:$EO$14,((MONTH($A95)-1)*12)+VLOOKUP(CU$4,$DE$6:$DF$17,2)+1))*(VLOOKUP($A95,SatSunCurve,7))*(INDEX(DailyScalarsTable,CU$5/100,MONTH($A95)))*$E95</f>
        <v>0</v>
      </c>
      <c r="CV95" s="1021">
        <f>(VLOOKUP(YEAR($A95),'NY East Load Projections'!$A$4:$EO$14,((MONTH($A95)-1)*12)+VLOOKUP(CV$4,$DE$6:$DF$17,2)+1))*(VLOOKUP($A95,SatSunCurve,7))*(INDEX(DailyScalarsTable,CV$5/100,MONTH($A95)))*$E95</f>
        <v>0</v>
      </c>
      <c r="CW95" s="1021">
        <f>(VLOOKUP(YEAR($A95),'NY East Load Projections'!$A$4:$EO$14,((MONTH($A95)-1)*12)+VLOOKUP(CW$4,$DE$6:$DF$17,2)+1))*(VLOOKUP($A95,SatSunCurve,7))*(INDEX(DailyScalarsTable,CW$5/100,MONTH($A95)))*$E95</f>
        <v>0</v>
      </c>
      <c r="CX95" s="1021">
        <f>(VLOOKUP(YEAR($A95),'NY East Load Projections'!$A$4:$EO$14,((MONTH($A95)-1)*12)+VLOOKUP(CX$4,$DE$6:$DF$17,2)+1))*(VLOOKUP($A95,SatSunCurve,7))*(INDEX(DailyScalarsTable,CX$5/100,MONTH($A95)))*$E95</f>
        <v>0</v>
      </c>
      <c r="CY95" s="1021">
        <f>(VLOOKUP(YEAR($A95),'NY East Load Projections'!$A$4:$EO$14,((MONTH($A95)-1)*12)+VLOOKUP(CY$4,$DE$6:$DF$17,2)+1))*(VLOOKUP($A95,SatSunCurve,7))*(INDEX(DailyScalarsTable,CY$5/100,MONTH($A95)))*$E95</f>
        <v>0</v>
      </c>
      <c r="CZ95" s="1021">
        <f>(VLOOKUP(YEAR($A95),'NY East Load Projections'!$A$4:$EO$14,((MONTH($A95)-1)*12)+VLOOKUP(CZ$4,$DE$6:$DF$17,2)+1))*(VLOOKUP($A95,SatSunCurve,7))*(INDEX(DailyScalarsTable,CZ$5/100,MONTH($A95)))*$E95</f>
        <v>0</v>
      </c>
      <c r="DA95" s="1021">
        <f>(VLOOKUP(YEAR($A95),'NY East Load Projections'!$A$4:$EO$14,((MONTH($A95)-1)*12)+VLOOKUP(DA$4,$DE$6:$DF$17,2)+1))*(VLOOKUP($A95,SatSunCurve,7))*(INDEX(DailyScalarsTable,DA$5/100,MONTH($A95)))*$E95</f>
        <v>0</v>
      </c>
      <c r="DB95" s="1021">
        <f>(VLOOKUP(YEAR($A95),'NY East Load Projections'!$A$4:$EO$14,((MONTH($A95)-1)*12)+VLOOKUP(DB$4,$DE$6:$DF$17,2)+1))*(VLOOKUP($A95,CURVES!$D$9:$T$261,7))*(INDEX(DailyScalarsTable,DB$5/100,MONTH($A95)))*$E95</f>
        <v>0</v>
      </c>
      <c r="DH95" s="1032">
        <f t="shared" si="2"/>
        <v>-2556831.9210254606</v>
      </c>
      <c r="DI95">
        <f ca="1">CALC!J115</f>
        <v>0.54429372116598296</v>
      </c>
      <c r="DJ95" s="1029">
        <f t="shared" ca="1" si="3"/>
        <v>-1391667.5606909166</v>
      </c>
    </row>
    <row r="96" spans="1:114" x14ac:dyDescent="0.25">
      <c r="A96" s="244">
        <v>39630</v>
      </c>
      <c r="B96" s="13">
        <v>22</v>
      </c>
      <c r="C96" s="210">
        <v>4</v>
      </c>
      <c r="D96" s="210">
        <v>4</v>
      </c>
      <c r="E96" s="210">
        <v>1</v>
      </c>
      <c r="F96" s="13">
        <v>31</v>
      </c>
      <c r="H96" s="1021">
        <f>(VLOOKUP(YEAR($A96),'NY East Load Projections'!$A$4:$EO$14,((MONTH($A96)-1)*12)+VLOOKUP(H$4,$DE$6:$DF$17,2)+1))*(VLOOKUP($A96,CURVES!$D$9:$K$261,7))*(INDEX(DailyScalarsTable,H$5/100,MONTH($A96)))*$B96</f>
        <v>-55429.363632982895</v>
      </c>
      <c r="I96" s="1021">
        <f>(VLOOKUP(YEAR($A96),'NY East Load Projections'!$A$4:$EO$14,((MONTH($A96)-1)*12)+VLOOKUP(I$4,$DE$6:$DF$17,2)+1))*(VLOOKUP($A96,CURVES!$D$9:$K$261,7))*(INDEX(DailyScalarsTable,I$5/100,MONTH($A96)))*$B96</f>
        <v>-50631.033070876343</v>
      </c>
      <c r="J96" s="1021">
        <f>(VLOOKUP(YEAR($A96),'NY East Load Projections'!$A$4:$EO$14,((MONTH($A96)-1)*12)+VLOOKUP(J$4,$DE$6:$DF$17,2)+1))*(VLOOKUP($A96,CURVES!$D$9:$K$261,7))*(INDEX(DailyScalarsTable,J$5/100,MONTH($A96)))*$B96</f>
        <v>-48242.674840638647</v>
      </c>
      <c r="K96" s="1021">
        <f>(VLOOKUP(YEAR($A96),'NY East Load Projections'!$A$4:$EO$14,((MONTH($A96)-1)*12)+VLOOKUP(K$4,$DE$6:$DF$17,2)+1))*(VLOOKUP($A96,CURVES!$D$9:$K$261,7))*(INDEX(DailyScalarsTable,K$5/100,MONTH($A96)))*$B96</f>
        <v>-43444.344278532102</v>
      </c>
      <c r="L96" s="1021">
        <f>(VLOOKUP(YEAR($A96),'NY East Load Projections'!$A$4:$EO$14,((MONTH($A96)-1)*12)+VLOOKUP(L$4,$DE$6:$DF$17,2)+1))*(VLOOKUP($A96,CURVES!$D$9:$K$261,7))*(INDEX(DailyScalarsTable,L$5/100,MONTH($A96)))*$B96</f>
        <v>-44036.774292654147</v>
      </c>
      <c r="M96" s="1021">
        <f>(VLOOKUP(YEAR($A96),'NY East Load Projections'!$A$4:$EO$14,((MONTH($A96)-1)*12)+VLOOKUP(M$4,$DE$6:$DF$17,2)+1))*(VLOOKUP($A96,CURVES!$D$9:$K$261,7))*(INDEX(DailyScalarsTable,M$5/100,MONTH($A96)))*$B96</f>
        <v>-48548.92805272431</v>
      </c>
      <c r="N96" s="1021">
        <f>(VLOOKUP(YEAR($A96),'NY East Load Projections'!$A$4:$EO$14,((MONTH($A96)-1)*12)+VLOOKUP(N$4,$DE$6:$DF$17,2)+1))*(VLOOKUP($A96,CURVES!$D$9:$K$261,7))*(INDEX(DailyScalarsTable,N$5/100,MONTH($A96)))*$B96</f>
        <v>-53915.044417002136</v>
      </c>
      <c r="O96" s="1021">
        <f>(VLOOKUP(YEAR($A96),'NY East Load Projections'!$A$4:$EO$14,((MONTH($A96)-1)*12)+VLOOKUP(O$4,$DE$6:$DF$17,2)+1))*(VLOOKUP($A96,CURVES!$D$9:$K$261,3))*(INDEX(DailyScalarsTable,O$5/100,MONTH($A96)))*$B96</f>
        <v>-93804.762792398047</v>
      </c>
      <c r="P96" s="1021">
        <f>(VLOOKUP(YEAR($A96),'NY East Load Projections'!$A$4:$EO$14,((MONTH($A96)-1)*12)+VLOOKUP(P$4,$DE$6:$DF$17,2)+1))*(VLOOKUP($A96,CURVES!$D$9:$K$261,3))*(INDEX(DailyScalarsTable,P$5/100,MONTH($A96)))*$B96</f>
        <v>-112746.72610482677</v>
      </c>
      <c r="Q96" s="1021">
        <f>(VLOOKUP(YEAR($A96),'NY East Load Projections'!$A$4:$EO$14,((MONTH($A96)-1)*12)+VLOOKUP(Q$4,$DE$6:$DF$17,2)+1))*(VLOOKUP($A96,CURVES!$D$9:$K$261,3))*(INDEX(DailyScalarsTable,Q$5/100,MONTH($A96)))*$B96</f>
        <v>-134988.73867349009</v>
      </c>
      <c r="R96" s="1021">
        <f>(VLOOKUP(YEAR($A96),'NY East Load Projections'!$A$4:$EO$14,((MONTH($A96)-1)*12)+VLOOKUP(R$4,$DE$6:$DF$17,2)+1))*(VLOOKUP($A96,CURVES!$D$9:$K$261,3))*(INDEX(DailyScalarsTable,R$5/100,MONTH($A96)))*$B96</f>
        <v>-153602.95859384577</v>
      </c>
      <c r="S96" s="1021">
        <f>(VLOOKUP(YEAR($A96),'NY East Load Projections'!$A$4:$EO$14,((MONTH($A96)-1)*12)+VLOOKUP(S$4,$DE$6:$DF$17,2)+1))*(VLOOKUP($A96,CURVES!$D$9:$K$261,3))*(INDEX(DailyScalarsTable,S$5/100,MONTH($A96)))*$B96</f>
        <v>-183639.18069511765</v>
      </c>
      <c r="T96" s="1021">
        <f>(VLOOKUP(YEAR($A96),'NY East Load Projections'!$A$4:$EO$14,((MONTH($A96)-1)*12)+VLOOKUP(T$4,$DE$6:$DF$17,2)+1))*(VLOOKUP($A96,CURVES!$D$9:$K$261,3))*(INDEX(DailyScalarsTable,T$5/100,MONTH($A96)))*$B96</f>
        <v>-206068.15018909195</v>
      </c>
      <c r="U96" s="1021">
        <f>(VLOOKUP(YEAR($A96),'NY East Load Projections'!$A$4:$EO$14,((MONTH($A96)-1)*12)+VLOOKUP(U$4,$DE$6:$DF$17,2)+1))*(VLOOKUP($A96,CURVES!$D$9:$K$261,3))*(INDEX(DailyScalarsTable,U$5/100,MONTH($A96)))*$B96</f>
        <v>-213003.75637109799</v>
      </c>
      <c r="V96" s="1021">
        <f>(VLOOKUP(YEAR($A96),'NY East Load Projections'!$A$4:$EO$14,((MONTH($A96)-1)*12)+VLOOKUP(V$4,$DE$6:$DF$17,2)+1))*(VLOOKUP($A96,CURVES!$D$9:$K$261,3))*(INDEX(DailyScalarsTable,V$5/100,MONTH($A96)))*$B96</f>
        <v>-221874.88055738481</v>
      </c>
      <c r="W96" s="1021">
        <f>(VLOOKUP(YEAR($A96),'NY East Load Projections'!$A$4:$EO$14,((MONTH($A96)-1)*12)+VLOOKUP(W$4,$DE$6:$DF$17,2)+1))*(VLOOKUP($A96,CURVES!$D$9:$K$261,3))*(INDEX(DailyScalarsTable,W$5/100,MONTH($A96)))*$B96</f>
        <v>-235471.89453745724</v>
      </c>
      <c r="X96" s="1021">
        <f>(VLOOKUP(YEAR($A96),'NY East Load Projections'!$A$4:$EO$14,((MONTH($A96)-1)*12)+VLOOKUP(X$4,$DE$6:$DF$17,2)+1))*(VLOOKUP($A96,CURVES!$D$9:$K$261,3))*(INDEX(DailyScalarsTable,X$5/100,MONTH($A96)))*$B96</f>
        <v>-232467.53021466752</v>
      </c>
      <c r="Y96" s="1021">
        <f>(VLOOKUP(YEAR($A96),'NY East Load Projections'!$A$4:$EO$14,((MONTH($A96)-1)*12)+VLOOKUP(Y$4,$DE$6:$DF$17,2)+1))*(VLOOKUP($A96,CURVES!$D$9:$K$261,3))*(INDEX(DailyScalarsTable,Y$5/100,MONTH($A96)))*$B96</f>
        <v>-226706.96889244523</v>
      </c>
      <c r="Z96" s="1021">
        <f>(VLOOKUP(YEAR($A96),'NY East Load Projections'!$A$4:$EO$14,((MONTH($A96)-1)*12)+VLOOKUP(Z$4,$DE$6:$DF$17,2)+1))*(VLOOKUP($A96,CURVES!$D$9:$K$261,3))*(INDEX(DailyScalarsTable,Z$5/100,MONTH($A96)))*$B96</f>
        <v>-189349.18232312819</v>
      </c>
      <c r="AA96" s="1021">
        <f>(VLOOKUP(YEAR($A96),'NY East Load Projections'!$A$4:$EO$14,((MONTH($A96)-1)*12)+VLOOKUP(AA$4,$DE$6:$DF$17,2)+1))*(VLOOKUP($A96,CURVES!$D$9:$K$261,3))*(INDEX(DailyScalarsTable,AA$5/100,MONTH($A96)))*$B96</f>
        <v>-140111.21373155876</v>
      </c>
      <c r="AB96" s="1021">
        <f>(VLOOKUP(YEAR($A96),'NY East Load Projections'!$A$4:$EO$14,((MONTH($A96)-1)*12)+VLOOKUP(AB$4,$DE$6:$DF$17,2)+1))*(VLOOKUP($A96,CURVES!$D$9:$K$261,3))*(INDEX(DailyScalarsTable,AB$5/100,MONTH($A96)))*$B96</f>
        <v>-141255.30864637624</v>
      </c>
      <c r="AC96" s="1021">
        <f>(VLOOKUP(YEAR($A96),'NY East Load Projections'!$A$4:$EO$14,((MONTH($A96)-1)*12)+VLOOKUP(AC$4,$DE$6:$DF$17,2)+1))*(VLOOKUP($A96,CURVES!$D$9:$K$261,3))*(INDEX(DailyScalarsTable,AC$5/100,MONTH($A96)))*$B96</f>
        <v>-149679.11671715844</v>
      </c>
      <c r="AD96" s="1021">
        <f>(VLOOKUP(YEAR($A96),'NY East Load Projections'!$A$4:$EO$14,((MONTH($A96)-1)*12)+VLOOKUP(AD$4,$DE$6:$DF$17,2)+1))*(VLOOKUP($A96,CURVES!$D$9:$K$261,3))*(INDEX(DailyScalarsTable,AD$5/100,MONTH($A96)))*$B96</f>
        <v>-103945.80735990517</v>
      </c>
      <c r="AE96" s="1021">
        <f>(VLOOKUP(YEAR($A96),'NY East Load Projections'!$A$4:$EO$14,((MONTH($A96)-1)*12)+VLOOKUP(AE$4,$DE$6:$DF$17,2)+1))*(VLOOKUP($A96,CURVES!$D$9:$K$261,7))*(INDEX(DailyScalarsTable,AE$5/100,MONTH($A96)))*$B96</f>
        <v>-65500.79928183429</v>
      </c>
      <c r="AF96" s="1021"/>
      <c r="AG96" s="1021">
        <f>(VLOOKUP(YEAR($A96),'NY East Load Projections'!$A$4:$EO$14,((MONTH($A96)-1)*12)+VLOOKUP(AG$4,$DE$6:$DF$17,2)+1))*(VLOOKUP($A96,CURVES!$D$9:$T$261,7))*(INDEX(DailyScalarsTable,AG$5/100,MONTH($A96)))*$C96</f>
        <v>-9629.1024521773197</v>
      </c>
      <c r="AH96" s="1021">
        <f>(VLOOKUP(YEAR($A96),'NY East Load Projections'!$A$4:$EO$14,((MONTH($A96)-1)*12)+VLOOKUP(AH$4,$DE$6:$DF$17,2)+1))*(VLOOKUP($A96,CURVES!$D$9:$T$261,7))*(INDEX(DailyScalarsTable,AH$5/100,MONTH($A96)))*$C96</f>
        <v>-8795.5439634335617</v>
      </c>
      <c r="AI96" s="1021">
        <f>(VLOOKUP(YEAR($A96),'NY East Load Projections'!$A$4:$EO$14,((MONTH($A96)-1)*12)+VLOOKUP(AI$4,$DE$6:$DF$17,2)+1))*(VLOOKUP($A96,CURVES!$D$9:$T$261,7))*(INDEX(DailyScalarsTable,AI$5/100,MONTH($A96)))*$C96</f>
        <v>-8380.6421030453421</v>
      </c>
      <c r="AJ96" s="1021">
        <f>(VLOOKUP(YEAR($A96),'NY East Load Projections'!$A$4:$EO$14,((MONTH($A96)-1)*12)+VLOOKUP(AJ$4,$DE$6:$DF$17,2)+1))*(VLOOKUP($A96,CURVES!$D$9:$T$261,7))*(INDEX(DailyScalarsTable,AJ$5/100,MONTH($A96)))*$C96</f>
        <v>-7547.0836143015822</v>
      </c>
      <c r="AK96" s="1021">
        <f>(VLOOKUP(YEAR($A96),'NY East Load Projections'!$A$4:$EO$14,((MONTH($A96)-1)*12)+VLOOKUP(AK$4,$DE$6:$DF$17,2)+1))*(VLOOKUP($A96,CURVES!$D$9:$T$261,7))*(INDEX(DailyScalarsTable,AK$5/100,MONTH($A96)))*$C96</f>
        <v>-7274.4758358742683</v>
      </c>
      <c r="AL96" s="1021">
        <f>(VLOOKUP(YEAR($A96),'NY East Load Projections'!$A$4:$EO$14,((MONTH($A96)-1)*12)+VLOOKUP(AL$4,$DE$6:$DF$17,2)+1))*(VLOOKUP($A96,CURVES!$D$9:$T$261,7))*(INDEX(DailyScalarsTable,AL$5/100,MONTH($A96)))*$C96</f>
        <v>-8019.842725765996</v>
      </c>
      <c r="AM96" s="1021">
        <f>(VLOOKUP(YEAR($A96),'NY East Load Projections'!$A$4:$EO$14,((MONTH($A96)-1)*12)+VLOOKUP(AM$4,$DE$6:$DF$17,2)+1))*(VLOOKUP($A96,CURVES!$D$9:$T$261,7))*(INDEX(DailyScalarsTable,AM$5/100,MONTH($A96)))*$C96</f>
        <v>-8906.2764950745732</v>
      </c>
      <c r="AN96" s="1021">
        <f>(VLOOKUP(YEAR($A96),'NY East Load Projections'!$A$4:$EO$14,((MONTH($A96)-1)*12)+VLOOKUP(AN$4,$DE$6:$DF$17,2)+1))*(VLOOKUP($A96,SatSunCurve,3))*(INDEX(DailyScalarsTable,AN$5/100,MONTH($A96)))*$C96</f>
        <v>-8605.1875219147678</v>
      </c>
      <c r="AO96" s="1021">
        <f>(VLOOKUP(YEAR($A96),'NY East Load Projections'!$A$4:$EO$14,((MONTH($A96)-1)*12)+VLOOKUP(AO$4,$DE$6:$DF$17,2)+1))*(VLOOKUP($A96,SatSunCurve,3))*(INDEX(DailyScalarsTable,AO$5/100,MONTH($A96)))*$C96</f>
        <v>-10341.514111570075</v>
      </c>
      <c r="AP96" s="1021">
        <f>(VLOOKUP(YEAR($A96),'NY East Load Projections'!$A$4:$EO$14,((MONTH($A96)-1)*12)+VLOOKUP(AP$4,$DE$6:$DF$17,2)+1))*(VLOOKUP($A96,SatSunCurve,3))*(INDEX(DailyScalarsTable,AP$5/100,MONTH($A96)))*$C96</f>
        <v>-12381.627335209865</v>
      </c>
      <c r="AQ96" s="1021">
        <f>(VLOOKUP(YEAR($A96),'NY East Load Projections'!$A$4:$EO$14,((MONTH($A96)-1)*12)+VLOOKUP(AQ$4,$DE$6:$DF$17,2)+1))*(VLOOKUP($A96,SatSunCurve,3))*(INDEX(DailyScalarsTable,AQ$5/100,MONTH($A96)))*$C96</f>
        <v>-14088.987048726072</v>
      </c>
      <c r="AR96" s="1021">
        <f>(VLOOKUP(YEAR($A96),'NY East Load Projections'!$A$4:$EO$14,((MONTH($A96)-1)*12)+VLOOKUP(AR$4,$DE$6:$DF$17,2)+1))*(VLOOKUP($A96,SatSunCurve,3))*(INDEX(DailyScalarsTable,AR$5/100,MONTH($A96)))*$C96</f>
        <v>-16844.011743897761</v>
      </c>
      <c r="AS96" s="1021">
        <f>(VLOOKUP(YEAR($A96),'NY East Load Projections'!$A$4:$EO$14,((MONTH($A96)-1)*12)+VLOOKUP(AS$4,$DE$6:$DF$17,2)+1))*(VLOOKUP($A96,SatSunCurve,3))*(INDEX(DailyScalarsTable,AS$5/100,MONTH($A96)))*$C96</f>
        <v>-19137.401288440651</v>
      </c>
      <c r="AT96" s="1021">
        <f>(VLOOKUP(YEAR($A96),'NY East Load Projections'!$A$4:$EO$14,((MONTH($A96)-1)*12)+VLOOKUP(AT$4,$DE$6:$DF$17,2)+1))*(VLOOKUP($A96,SatSunCurve,3))*(INDEX(DailyScalarsTable,AT$5/100,MONTH($A96)))*$C96</f>
        <v>-19781.506059419786</v>
      </c>
      <c r="AU96" s="1021">
        <f>(VLOOKUP(YEAR($A96),'NY East Load Projections'!$A$4:$EO$14,((MONTH($A96)-1)*12)+VLOOKUP(AU$4,$DE$6:$DF$17,2)+1))*(VLOOKUP($A96,SatSunCurve,3))*(INDEX(DailyScalarsTable,AU$5/100,MONTH($A96)))*$C96</f>
        <v>-20605.360999044264</v>
      </c>
      <c r="AV96" s="1021">
        <f>(VLOOKUP(YEAR($A96),'NY East Load Projections'!$A$4:$EO$14,((MONTH($A96)-1)*12)+VLOOKUP(AV$4,$DE$6:$DF$17,2)+1))*(VLOOKUP($A96,SatSunCurve,3))*(INDEX(DailyScalarsTable,AV$5/100,MONTH($A96)))*$C96</f>
        <v>-21868.105933777792</v>
      </c>
      <c r="AW96" s="1021">
        <f>(VLOOKUP(YEAR($A96),'NY East Load Projections'!$A$4:$EO$14,((MONTH($A96)-1)*12)+VLOOKUP(AW$4,$DE$6:$DF$17,2)+1))*(VLOOKUP($A96,SatSunCurve,3))*(INDEX(DailyScalarsTable,AW$5/100,MONTH($A96)))*$C96</f>
        <v>-21356.253114504929</v>
      </c>
      <c r="AX96" s="1021">
        <f>(VLOOKUP(YEAR($A96),'NY East Load Projections'!$A$4:$EO$14,((MONTH($A96)-1)*12)+VLOOKUP(AX$4,$DE$6:$DF$17,2)+1))*(VLOOKUP($A96,SatSunCurve,3))*(INDEX(DailyScalarsTable,AX$5/100,MONTH($A96)))*$C96</f>
        <v>-20827.0436994722</v>
      </c>
      <c r="AY96" s="1021">
        <f>(VLOOKUP(YEAR($A96),'NY East Load Projections'!$A$4:$EO$14,((MONTH($A96)-1)*12)+VLOOKUP(AY$4,$DE$6:$DF$17,2)+1))*(VLOOKUP($A96,SatSunCurve,3))*(INDEX(DailyScalarsTable,AY$5/100,MONTH($A96)))*$C96</f>
        <v>-17395.070446969999</v>
      </c>
      <c r="AZ96" s="1021">
        <f>(VLOOKUP(YEAR($A96),'NY East Load Projections'!$A$4:$EO$14,((MONTH($A96)-1)*12)+VLOOKUP(AZ$4,$DE$6:$DF$17,2)+1))*(VLOOKUP($A96,SatSunCurve,3))*(INDEX(DailyScalarsTable,AZ$5/100,MONTH($A96)))*$C96</f>
        <v>-12871.692411703831</v>
      </c>
      <c r="BA96" s="1021">
        <f>(VLOOKUP(YEAR($A96),'NY East Load Projections'!$A$4:$EO$14,((MONTH($A96)-1)*12)+VLOOKUP(BA$4,$DE$6:$DF$17,2)+1))*(VLOOKUP($A96,SatSunCurve,3))*(INDEX(DailyScalarsTable,BA$5/100,MONTH($A96)))*$C96</f>
        <v>-13490.411565864561</v>
      </c>
      <c r="BB96" s="1021">
        <f>(VLOOKUP(YEAR($A96),'NY East Load Projections'!$A$4:$EO$14,((MONTH($A96)-1)*12)+VLOOKUP(BB$4,$DE$6:$DF$17,2)+1))*(VLOOKUP($A96,SatSunCurve,3))*(INDEX(DailyScalarsTable,BB$5/100,MONTH($A96)))*$C96</f>
        <v>-14294.916818910984</v>
      </c>
      <c r="BC96" s="1021">
        <f>(VLOOKUP(YEAR($A96),'NY East Load Projections'!$A$4:$EO$14,((MONTH($A96)-1)*12)+VLOOKUP(BC$4,$DE$6:$DF$17,2)+1))*(VLOOKUP($A96,SatSunCurve,3))*(INDEX(DailyScalarsTable,BC$5/100,MONTH($A96)))*$C96</f>
        <v>-9927.2143133515274</v>
      </c>
      <c r="BD96" s="1021">
        <f>(VLOOKUP(YEAR($A96),'NY East Load Projections'!$A$4:$EO$14,((MONTH($A96)-1)*12)+VLOOKUP(BD$4,$DE$6:$DF$17,2)+1))*(VLOOKUP($A96,CURVES!$D$9:$T$261,7))*(INDEX(DailyScalarsTable,BD$5/100,MONTH($A96)))*$C96</f>
        <v>-11264.651948745699</v>
      </c>
      <c r="BE96" s="1021"/>
      <c r="BF96" s="1021">
        <f>(VLOOKUP(YEAR($A96),'NY East Load Projections'!$A$4:$EO$14,((MONTH($A96)-1)*12)+VLOOKUP(BF$4,$DE$6:$DF$17,2)+1))*(VLOOKUP($A96,CURVES!$D$9:$T$261,7))*(INDEX(DailyScalarsTable,BF$5/100,MONTH($A96)))*$D96</f>
        <v>-9629.1024521773197</v>
      </c>
      <c r="BG96" s="1021">
        <f>(VLOOKUP(YEAR($A96),'NY East Load Projections'!$A$4:$EO$14,((MONTH($A96)-1)*12)+VLOOKUP(BG$4,$DE$6:$DF$17,2)+1))*(VLOOKUP($A96,CURVES!$D$9:$T$261,7))*(INDEX(DailyScalarsTable,BG$5/100,MONTH($A96)))*$D96</f>
        <v>-8795.5439634335617</v>
      </c>
      <c r="BH96" s="1021">
        <f>(VLOOKUP(YEAR($A96),'NY East Load Projections'!$A$4:$EO$14,((MONTH($A96)-1)*12)+VLOOKUP(BH$4,$DE$6:$DF$17,2)+1))*(VLOOKUP($A96,CURVES!$D$9:$T$261,7))*(INDEX(DailyScalarsTable,BH$5/100,MONTH($A96)))*$D96</f>
        <v>-8380.6421030453421</v>
      </c>
      <c r="BI96" s="1021">
        <f>(VLOOKUP(YEAR($A96),'NY East Load Projections'!$A$4:$EO$14,((MONTH($A96)-1)*12)+VLOOKUP(BI$4,$DE$6:$DF$17,2)+1))*(VLOOKUP($A96,CURVES!$D$9:$T$261,7))*(INDEX(DailyScalarsTable,BI$5/100,MONTH($A96)))*$D96</f>
        <v>-7547.0836143015822</v>
      </c>
      <c r="BJ96" s="1021">
        <f>(VLOOKUP(YEAR($A96),'NY East Load Projections'!$A$4:$EO$14,((MONTH($A96)-1)*12)+VLOOKUP(BJ$4,$DE$6:$DF$17,2)+1))*(VLOOKUP($A96,CURVES!$D$9:$T$261,7))*(INDEX(DailyScalarsTable,BJ$5/100,MONTH($A96)))*$D96</f>
        <v>-7274.4758358742683</v>
      </c>
      <c r="BK96" s="1021">
        <f>(VLOOKUP(YEAR($A96),'NY East Load Projections'!$A$4:$EO$14,((MONTH($A96)-1)*12)+VLOOKUP(BK$4,$DE$6:$DF$17,2)+1))*(VLOOKUP($A96,CURVES!$D$9:$T$261,7))*(INDEX(DailyScalarsTable,BK$5/100,MONTH($A96)))*$D96</f>
        <v>-8019.842725765996</v>
      </c>
      <c r="BL96" s="1021">
        <f>(VLOOKUP(YEAR($A96),'NY East Load Projections'!$A$4:$EO$14,((MONTH($A96)-1)*12)+VLOOKUP(BL$4,$DE$6:$DF$17,2)+1))*(VLOOKUP($A96,CURVES!$D$9:$T$261,7))*(INDEX(DailyScalarsTable,BL$5/100,MONTH($A96)))*$D96</f>
        <v>-8906.2764950745732</v>
      </c>
      <c r="BM96" s="1021">
        <f>(VLOOKUP(YEAR($A96),'NY East Load Projections'!$A$4:$EO$14,((MONTH($A96)-1)*12)+VLOOKUP(BM$4,$DE$6:$DF$17,2)+1))*(VLOOKUP($A96,SatSunCurve,7))*(INDEX(DailyScalarsTable,BM$5/100,MONTH($A96)))*$D96</f>
        <v>-6358.044375745294</v>
      </c>
      <c r="BN96" s="1021">
        <f>(VLOOKUP(YEAR($A96),'NY East Load Projections'!$A$4:$EO$14,((MONTH($A96)-1)*12)+VLOOKUP(BN$4,$DE$6:$DF$17,2)+1))*(VLOOKUP($A96,SatSunCurve,7))*(INDEX(DailyScalarsTable,BN$5/100,MONTH($A96)))*$D96</f>
        <v>-7640.9497720193867</v>
      </c>
      <c r="BO96" s="1021">
        <f>(VLOOKUP(YEAR($A96),'NY East Load Projections'!$A$4:$EO$14,((MONTH($A96)-1)*12)+VLOOKUP(BO$4,$DE$6:$DF$17,2)+1))*(VLOOKUP($A96,SatSunCurve,7))*(INDEX(DailyScalarsTable,BO$5/100,MONTH($A96)))*$D96</f>
        <v>-9148.3115086942798</v>
      </c>
      <c r="BP96" s="1021">
        <f>(VLOOKUP(YEAR($A96),'NY East Load Projections'!$A$4:$EO$14,((MONTH($A96)-1)*12)+VLOOKUP(BP$4,$DE$6:$DF$17,2)+1))*(VLOOKUP($A96,SatSunCurve,7))*(INDEX(DailyScalarsTable,BP$5/100,MONTH($A96)))*$D96</f>
        <v>-10409.814386609523</v>
      </c>
      <c r="BQ96" s="1021">
        <f>(VLOOKUP(YEAR($A96),'NY East Load Projections'!$A$4:$EO$14,((MONTH($A96)-1)*12)+VLOOKUP(BQ$4,$DE$6:$DF$17,2)+1))*(VLOOKUP($A96,SatSunCurve,7))*(INDEX(DailyScalarsTable,BQ$5/100,MONTH($A96)))*$D96</f>
        <v>-12445.396902802973</v>
      </c>
      <c r="BR96" s="1021">
        <f>(VLOOKUP(YEAR($A96),'NY East Load Projections'!$A$4:$EO$14,((MONTH($A96)-1)*12)+VLOOKUP(BR$4,$DE$6:$DF$17,2)+1))*(VLOOKUP($A96,SatSunCurve,7))*(INDEX(DailyScalarsTable,BR$5/100,MONTH($A96)))*$D96</f>
        <v>-14139.894838837425</v>
      </c>
      <c r="BS96" s="1021">
        <f>(VLOOKUP(YEAR($A96),'NY East Load Projections'!$A$4:$EO$14,((MONTH($A96)-1)*12)+VLOOKUP(BS$4,$DE$6:$DF$17,2)+1))*(VLOOKUP($A96,SatSunCurve,7))*(INDEX(DailyScalarsTable,BS$5/100,MONTH($A96)))*$D96</f>
        <v>-14615.799251854023</v>
      </c>
      <c r="BT96" s="1021">
        <f>(VLOOKUP(YEAR($A96),'NY East Load Projections'!$A$4:$EO$14,((MONTH($A96)-1)*12)+VLOOKUP(BT$4,$DE$6:$DF$17,2)+1))*(VLOOKUP($A96,SatSunCurve,7))*(INDEX(DailyScalarsTable,BT$5/100,MONTH($A96)))*$D96</f>
        <v>-15224.51419873572</v>
      </c>
      <c r="BU96" s="1021">
        <f>(VLOOKUP(YEAR($A96),'NY East Load Projections'!$A$4:$EO$14,((MONTH($A96)-1)*12)+VLOOKUP(BU$4,$DE$6:$DF$17,2)+1))*(VLOOKUP($A96,SatSunCurve,7))*(INDEX(DailyScalarsTable,BU$5/100,MONTH($A96)))*$D96</f>
        <v>-16157.508199138038</v>
      </c>
      <c r="BV96" s="1021">
        <f>(VLOOKUP(YEAR($A96),'NY East Load Projections'!$A$4:$EO$14,((MONTH($A96)-1)*12)+VLOOKUP(BV$4,$DE$6:$DF$17,2)+1))*(VLOOKUP($A96,SatSunCurve,7))*(INDEX(DailyScalarsTable,BV$5/100,MONTH($A96)))*$D96</f>
        <v>-15779.319701734663</v>
      </c>
      <c r="BW96" s="1021">
        <f>(VLOOKUP(YEAR($A96),'NY East Load Projections'!$A$4:$EO$14,((MONTH($A96)-1)*12)+VLOOKUP(BW$4,$DE$6:$DF$17,2)+1))*(VLOOKUP($A96,SatSunCurve,7))*(INDEX(DailyScalarsTable,BW$5/100,MONTH($A96)))*$D96</f>
        <v>-15388.307078677775</v>
      </c>
      <c r="BX96" s="1021">
        <f>(VLOOKUP(YEAR($A96),'NY East Load Projections'!$A$4:$EO$14,((MONTH($A96)-1)*12)+VLOOKUP(BX$4,$DE$6:$DF$17,2)+1))*(VLOOKUP($A96,SatSunCurve,7))*(INDEX(DailyScalarsTable,BX$5/100,MONTH($A96)))*$D96</f>
        <v>-12852.553130235694</v>
      </c>
      <c r="BY96" s="1021">
        <f>(VLOOKUP(YEAR($A96),'NY East Load Projections'!$A$4:$EO$14,((MONTH($A96)-1)*12)+VLOOKUP(BY$4,$DE$6:$DF$17,2)+1))*(VLOOKUP($A96,SatSunCurve,7))*(INDEX(DailyScalarsTable,BY$5/100,MONTH($A96)))*$D96</f>
        <v>-9510.4018751640997</v>
      </c>
      <c r="BZ96" s="1021">
        <f>(VLOOKUP(YEAR($A96),'NY East Load Projections'!$A$4:$EO$14,((MONTH($A96)-1)*12)+VLOOKUP(BZ$4,$DE$6:$DF$17,2)+1))*(VLOOKUP($A96,SatSunCurve,7))*(INDEX(DailyScalarsTable,BZ$5/100,MONTH($A96)))*$D96</f>
        <v>-9967.5498255439397</v>
      </c>
      <c r="CA96" s="1021">
        <f>(VLOOKUP(YEAR($A96),'NY East Load Projections'!$A$4:$EO$14,((MONTH($A96)-1)*12)+VLOOKUP(CA$4,$DE$6:$DF$17,2)+1))*(VLOOKUP($A96,SatSunCurve,7))*(INDEX(DailyScalarsTable,CA$5/100,MONTH($A96)))*$D96</f>
        <v>-10561.968028094765</v>
      </c>
      <c r="CB96" s="1021">
        <f>(VLOOKUP(YEAR($A96),'NY East Load Projections'!$A$4:$EO$14,((MONTH($A96)-1)*12)+VLOOKUP(CB$4,$DE$6:$DF$17,2)+1))*(VLOOKUP($A96,SatSunCurve,7))*(INDEX(DailyScalarsTable,CB$5/100,MONTH($A96)))*$D96</f>
        <v>-7334.8394757326969</v>
      </c>
      <c r="CC96" s="1021">
        <f>(VLOOKUP(YEAR($A96),'NY East Load Projections'!$A$4:$EO$14,((MONTH($A96)-1)*12)+VLOOKUP(CC$4,$DE$6:$DF$17,2)+1))*(VLOOKUP($A96,CURVES!$D$9:$T$261,7))*(INDEX(DailyScalarsTable,CC$5/100,MONTH($A96)))*$D96</f>
        <v>-11264.651948745699</v>
      </c>
      <c r="CE96" s="1021">
        <f>(VLOOKUP(YEAR($A96),'NY East Load Projections'!$A$4:$EO$14,((MONTH($A96)-1)*12)+VLOOKUP(CE$4,$DE$6:$DF$17,2)+1))*(VLOOKUP($A96,CURVES!$D$9:$T$261,7))*(INDEX(DailyScalarsTable,CE$5/100,MONTH($A96)))*$E96</f>
        <v>-2407.2756130443299</v>
      </c>
      <c r="CF96" s="1021">
        <f>(VLOOKUP(YEAR($A96),'NY East Load Projections'!$A$4:$EO$14,((MONTH($A96)-1)*12)+VLOOKUP(CF$4,$DE$6:$DF$17,2)+1))*(VLOOKUP($A96,CURVES!$D$9:$T$261,7))*(INDEX(DailyScalarsTable,CF$5/100,MONTH($A96)))*$E96</f>
        <v>-2198.8859908583904</v>
      </c>
      <c r="CG96" s="1021">
        <f>(VLOOKUP(YEAR($A96),'NY East Load Projections'!$A$4:$EO$14,((MONTH($A96)-1)*12)+VLOOKUP(CG$4,$DE$6:$DF$17,2)+1))*(VLOOKUP($A96,CURVES!$D$9:$T$261,7))*(INDEX(DailyScalarsTable,CG$5/100,MONTH($A96)))*$E96</f>
        <v>-2095.1605257613355</v>
      </c>
      <c r="CH96" s="1021">
        <f>(VLOOKUP(YEAR($A96),'NY East Load Projections'!$A$4:$EO$14,((MONTH($A96)-1)*12)+VLOOKUP(CH$4,$DE$6:$DF$17,2)+1))*(VLOOKUP($A96,CURVES!$D$9:$T$261,7))*(INDEX(DailyScalarsTable,CH$5/100,MONTH($A96)))*$E96</f>
        <v>-1886.7709035753956</v>
      </c>
      <c r="CI96" s="1021">
        <f>(VLOOKUP(YEAR($A96),'NY East Load Projections'!$A$4:$EO$14,((MONTH($A96)-1)*12)+VLOOKUP(CI$4,$DE$6:$DF$17,2)+1))*(VLOOKUP($A96,CURVES!$D$9:$T$261,7))*(INDEX(DailyScalarsTable,CI$5/100,MONTH($A96)))*$E96</f>
        <v>-1818.6189589685671</v>
      </c>
      <c r="CJ96" s="1021">
        <f>(VLOOKUP(YEAR($A96),'NY East Load Projections'!$A$4:$EO$14,((MONTH($A96)-1)*12)+VLOOKUP(CJ$4,$DE$6:$DF$17,2)+1))*(VLOOKUP($A96,CURVES!$D$9:$T$261,7))*(INDEX(DailyScalarsTable,CJ$5/100,MONTH($A96)))*$E96</f>
        <v>-2004.960681441499</v>
      </c>
      <c r="CK96" s="1021">
        <f>(VLOOKUP(YEAR($A96),'NY East Load Projections'!$A$4:$EO$14,((MONTH($A96)-1)*12)+VLOOKUP(CK$4,$DE$6:$DF$17,2)+1))*(VLOOKUP($A96,CURVES!$D$9:$T$261,7))*(INDEX(DailyScalarsTable,CK$5/100,MONTH($A96)))*$E96</f>
        <v>-2226.5691237686433</v>
      </c>
      <c r="CL96" s="1021">
        <f>(VLOOKUP(YEAR($A96),'NY East Load Projections'!$A$4:$EO$14,((MONTH($A96)-1)*12)+VLOOKUP(CL$4,$DE$6:$DF$17,2)+1))*(VLOOKUP($A96,SatSunCurve,7))*(INDEX(DailyScalarsTable,CL$5/100,MONTH($A96)))*$E96</f>
        <v>-1589.5110939363235</v>
      </c>
      <c r="CM96" s="1021">
        <f>(VLOOKUP(YEAR($A96),'NY East Load Projections'!$A$4:$EO$14,((MONTH($A96)-1)*12)+VLOOKUP(CM$4,$DE$6:$DF$17,2)+1))*(VLOOKUP($A96,SatSunCurve,7))*(INDEX(DailyScalarsTable,CM$5/100,MONTH($A96)))*$E96</f>
        <v>-1910.2374430048467</v>
      </c>
      <c r="CN96" s="1021">
        <f>(VLOOKUP(YEAR($A96),'NY East Load Projections'!$A$4:$EO$14,((MONTH($A96)-1)*12)+VLOOKUP(CN$4,$DE$6:$DF$17,2)+1))*(VLOOKUP($A96,SatSunCurve,7))*(INDEX(DailyScalarsTable,CN$5/100,MONTH($A96)))*$E96</f>
        <v>-2287.07787717357</v>
      </c>
      <c r="CO96" s="1021">
        <f>(VLOOKUP(YEAR($A96),'NY East Load Projections'!$A$4:$EO$14,((MONTH($A96)-1)*12)+VLOOKUP(CO$4,$DE$6:$DF$17,2)+1))*(VLOOKUP($A96,SatSunCurve,7))*(INDEX(DailyScalarsTable,CO$5/100,MONTH($A96)))*$E96</f>
        <v>-2602.4535966523808</v>
      </c>
      <c r="CP96" s="1021">
        <f>(VLOOKUP(YEAR($A96),'NY East Load Projections'!$A$4:$EO$14,((MONTH($A96)-1)*12)+VLOOKUP(CP$4,$DE$6:$DF$17,2)+1))*(VLOOKUP($A96,SatSunCurve,7))*(INDEX(DailyScalarsTable,CP$5/100,MONTH($A96)))*$E96</f>
        <v>-3111.3492257007433</v>
      </c>
      <c r="CQ96" s="1021">
        <f>(VLOOKUP(YEAR($A96),'NY East Load Projections'!$A$4:$EO$14,((MONTH($A96)-1)*12)+VLOOKUP(CQ$4,$DE$6:$DF$17,2)+1))*(VLOOKUP($A96,SatSunCurve,7))*(INDEX(DailyScalarsTable,CQ$5/100,MONTH($A96)))*$E96</f>
        <v>-3534.9737097093562</v>
      </c>
      <c r="CR96" s="1021">
        <f>(VLOOKUP(YEAR($A96),'NY East Load Projections'!$A$4:$EO$14,((MONTH($A96)-1)*12)+VLOOKUP(CR$4,$DE$6:$DF$17,2)+1))*(VLOOKUP($A96,SatSunCurve,7))*(INDEX(DailyScalarsTable,CR$5/100,MONTH($A96)))*$E96</f>
        <v>-3653.9498129635058</v>
      </c>
      <c r="CS96" s="1021">
        <f>(VLOOKUP(YEAR($A96),'NY East Load Projections'!$A$4:$EO$14,((MONTH($A96)-1)*12)+VLOOKUP(CS$4,$DE$6:$DF$17,2)+1))*(VLOOKUP($A96,SatSunCurve,7))*(INDEX(DailyScalarsTable,CS$5/100,MONTH($A96)))*$E96</f>
        <v>-3806.12854968393</v>
      </c>
      <c r="CT96" s="1021">
        <f>(VLOOKUP(YEAR($A96),'NY East Load Projections'!$A$4:$EO$14,((MONTH($A96)-1)*12)+VLOOKUP(CT$4,$DE$6:$DF$17,2)+1))*(VLOOKUP($A96,SatSunCurve,7))*(INDEX(DailyScalarsTable,CT$5/100,MONTH($A96)))*$E96</f>
        <v>-4039.3770497845094</v>
      </c>
      <c r="CU96" s="1021">
        <f>(VLOOKUP(YEAR($A96),'NY East Load Projections'!$A$4:$EO$14,((MONTH($A96)-1)*12)+VLOOKUP(CU$4,$DE$6:$DF$17,2)+1))*(VLOOKUP($A96,SatSunCurve,7))*(INDEX(DailyScalarsTable,CU$5/100,MONTH($A96)))*$E96</f>
        <v>-3944.8299254336657</v>
      </c>
      <c r="CV96" s="1021">
        <f>(VLOOKUP(YEAR($A96),'NY East Load Projections'!$A$4:$EO$14,((MONTH($A96)-1)*12)+VLOOKUP(CV$4,$DE$6:$DF$17,2)+1))*(VLOOKUP($A96,SatSunCurve,7))*(INDEX(DailyScalarsTable,CV$5/100,MONTH($A96)))*$E96</f>
        <v>-3847.0767696694438</v>
      </c>
      <c r="CW96" s="1021">
        <f>(VLOOKUP(YEAR($A96),'NY East Load Projections'!$A$4:$EO$14,((MONTH($A96)-1)*12)+VLOOKUP(CW$4,$DE$6:$DF$17,2)+1))*(VLOOKUP($A96,SatSunCurve,7))*(INDEX(DailyScalarsTable,CW$5/100,MONTH($A96)))*$E96</f>
        <v>-3213.1382825589235</v>
      </c>
      <c r="CX96" s="1021">
        <f>(VLOOKUP(YEAR($A96),'NY East Load Projections'!$A$4:$EO$14,((MONTH($A96)-1)*12)+VLOOKUP(CX$4,$DE$6:$DF$17,2)+1))*(VLOOKUP($A96,SatSunCurve,7))*(INDEX(DailyScalarsTable,CX$5/100,MONTH($A96)))*$E96</f>
        <v>-2377.6004687910249</v>
      </c>
      <c r="CY96" s="1021">
        <f>(VLOOKUP(YEAR($A96),'NY East Load Projections'!$A$4:$EO$14,((MONTH($A96)-1)*12)+VLOOKUP(CY$4,$DE$6:$DF$17,2)+1))*(VLOOKUP($A96,SatSunCurve,7))*(INDEX(DailyScalarsTable,CY$5/100,MONTH($A96)))*$E96</f>
        <v>-2491.8874563859849</v>
      </c>
      <c r="CZ96" s="1021">
        <f>(VLOOKUP(YEAR($A96),'NY East Load Projections'!$A$4:$EO$14,((MONTH($A96)-1)*12)+VLOOKUP(CZ$4,$DE$6:$DF$17,2)+1))*(VLOOKUP($A96,SatSunCurve,7))*(INDEX(DailyScalarsTable,CZ$5/100,MONTH($A96)))*$E96</f>
        <v>-2640.4920070236913</v>
      </c>
      <c r="DA96" s="1021">
        <f>(VLOOKUP(YEAR($A96),'NY East Load Projections'!$A$4:$EO$14,((MONTH($A96)-1)*12)+VLOOKUP(DA$4,$DE$6:$DF$17,2)+1))*(VLOOKUP($A96,SatSunCurve,7))*(INDEX(DailyScalarsTable,DA$5/100,MONTH($A96)))*$E96</f>
        <v>-1833.7098689331742</v>
      </c>
      <c r="DB96" s="1021">
        <f>(VLOOKUP(YEAR($A96),'NY East Load Projections'!$A$4:$EO$14,((MONTH($A96)-1)*12)+VLOOKUP(DB$4,$DE$6:$DF$17,2)+1))*(VLOOKUP($A96,CURVES!$D$9:$T$261,7))*(INDEX(DailyScalarsTable,DB$5/100,MONTH($A96)))*$E96</f>
        <v>-2816.1629871864247</v>
      </c>
      <c r="DH96" s="1032">
        <f t="shared" si="2"/>
        <v>-3793790.0514284386</v>
      </c>
      <c r="DI96">
        <f ca="1">CALC!J116</f>
        <v>0.54088683486088429</v>
      </c>
      <c r="DJ96" s="1029">
        <f t="shared" ca="1" si="3"/>
        <v>-2052011.0930438396</v>
      </c>
    </row>
    <row r="97" spans="1:114" x14ac:dyDescent="0.25">
      <c r="A97" s="244">
        <v>39661</v>
      </c>
      <c r="B97" s="13">
        <v>21</v>
      </c>
      <c r="C97" s="210">
        <v>5</v>
      </c>
      <c r="D97" s="210">
        <v>5</v>
      </c>
      <c r="E97" s="210">
        <v>0</v>
      </c>
      <c r="F97" s="13">
        <v>31</v>
      </c>
      <c r="H97" s="1021">
        <f>(VLOOKUP(YEAR($A97),'NY East Load Projections'!$A$4:$EO$14,((MONTH($A97)-1)*12)+VLOOKUP(H$4,$DE$6:$DF$17,2)+1))*(VLOOKUP($A97,CURVES!$D$9:$K$261,7))*(INDEX(DailyScalarsTable,H$5/100,MONTH($A97)))*$B97</f>
        <v>-53529.553610613599</v>
      </c>
      <c r="I97" s="1021">
        <f>(VLOOKUP(YEAR($A97),'NY East Load Projections'!$A$4:$EO$14,((MONTH($A97)-1)*12)+VLOOKUP(I$4,$DE$6:$DF$17,2)+1))*(VLOOKUP($A97,CURVES!$D$9:$K$261,7))*(INDEX(DailyScalarsTable,I$5/100,MONTH($A97)))*$B97</f>
        <v>-48322.065636619227</v>
      </c>
      <c r="J97" s="1021">
        <f>(VLOOKUP(YEAR($A97),'NY East Load Projections'!$A$4:$EO$14,((MONTH($A97)-1)*12)+VLOOKUP(J$4,$DE$6:$DF$17,2)+1))*(VLOOKUP($A97,CURVES!$D$9:$K$261,7))*(INDEX(DailyScalarsTable,J$5/100,MONTH($A97)))*$B97</f>
        <v>-43395.733116619856</v>
      </c>
      <c r="K97" s="1021">
        <f>(VLOOKUP(YEAR($A97),'NY East Load Projections'!$A$4:$EO$14,((MONTH($A97)-1)*12)+VLOOKUP(K$4,$DE$6:$DF$17,2)+1))*(VLOOKUP($A97,CURVES!$D$9:$K$261,7))*(INDEX(DailyScalarsTable,K$5/100,MONTH($A97)))*$B97</f>
        <v>-40828.661580143737</v>
      </c>
      <c r="L97" s="1021">
        <f>(VLOOKUP(YEAR($A97),'NY East Load Projections'!$A$4:$EO$14,((MONTH($A97)-1)*12)+VLOOKUP(L$4,$DE$6:$DF$17,2)+1))*(VLOOKUP($A97,CURVES!$D$9:$K$261,7))*(INDEX(DailyScalarsTable,L$5/100,MONTH($A97)))*$B97</f>
        <v>-45118.481522369992</v>
      </c>
      <c r="M97" s="1021">
        <f>(VLOOKUP(YEAR($A97),'NY East Load Projections'!$A$4:$EO$14,((MONTH($A97)-1)*12)+VLOOKUP(M$4,$DE$6:$DF$17,2)+1))*(VLOOKUP($A97,CURVES!$D$9:$K$261,7))*(INDEX(DailyScalarsTable,M$5/100,MONTH($A97)))*$B97</f>
        <v>-50128.7542036831</v>
      </c>
      <c r="N97" s="1021">
        <f>(VLOOKUP(YEAR($A97),'NY East Load Projections'!$A$4:$EO$14,((MONTH($A97)-1)*12)+VLOOKUP(N$4,$DE$6:$DF$17,2)+1))*(VLOOKUP($A97,CURVES!$D$9:$K$261,7))*(INDEX(DailyScalarsTable,N$5/100,MONTH($A97)))*$B97</f>
        <v>-58327.382227649941</v>
      </c>
      <c r="O97" s="1021">
        <f>(VLOOKUP(YEAR($A97),'NY East Load Projections'!$A$4:$EO$14,((MONTH($A97)-1)*12)+VLOOKUP(O$4,$DE$6:$DF$17,2)+1))*(VLOOKUP($A97,CURVES!$D$9:$K$261,3))*(INDEX(DailyScalarsTable,O$5/100,MONTH($A97)))*$B97</f>
        <v>-96740.44431967799</v>
      </c>
      <c r="P97" s="1021">
        <f>(VLOOKUP(YEAR($A97),'NY East Load Projections'!$A$4:$EO$14,((MONTH($A97)-1)*12)+VLOOKUP(P$4,$DE$6:$DF$17,2)+1))*(VLOOKUP($A97,CURVES!$D$9:$K$261,3))*(INDEX(DailyScalarsTable,P$5/100,MONTH($A97)))*$B97</f>
        <v>-115444.93117434111</v>
      </c>
      <c r="Q97" s="1021">
        <f>(VLOOKUP(YEAR($A97),'NY East Load Projections'!$A$4:$EO$14,((MONTH($A97)-1)*12)+VLOOKUP(Q$4,$DE$6:$DF$17,2)+1))*(VLOOKUP($A97,CURVES!$D$9:$K$261,3))*(INDEX(DailyScalarsTable,Q$5/100,MONTH($A97)))*$B97</f>
        <v>-148051.02191429763</v>
      </c>
      <c r="R97" s="1021">
        <f>(VLOOKUP(YEAR($A97),'NY East Load Projections'!$A$4:$EO$14,((MONTH($A97)-1)*12)+VLOOKUP(R$4,$DE$6:$DF$17,2)+1))*(VLOOKUP($A97,CURVES!$D$9:$K$261,3))*(INDEX(DailyScalarsTable,R$5/100,MONTH($A97)))*$B97</f>
        <v>-167098.14422773753</v>
      </c>
      <c r="S97" s="1021">
        <f>(VLOOKUP(YEAR($A97),'NY East Load Projections'!$A$4:$EO$14,((MONTH($A97)-1)*12)+VLOOKUP(S$4,$DE$6:$DF$17,2)+1))*(VLOOKUP($A97,CURVES!$D$9:$K$261,3))*(INDEX(DailyScalarsTable,S$5/100,MONTH($A97)))*$B97</f>
        <v>-174178.93885047396</v>
      </c>
      <c r="T97" s="1021">
        <f>(VLOOKUP(YEAR($A97),'NY East Load Projections'!$A$4:$EO$14,((MONTH($A97)-1)*12)+VLOOKUP(T$4,$DE$6:$DF$17,2)+1))*(VLOOKUP($A97,CURVES!$D$9:$K$261,3))*(INDEX(DailyScalarsTable,T$5/100,MONTH($A97)))*$B97</f>
        <v>-177413.8457465239</v>
      </c>
      <c r="U97" s="1021">
        <f>(VLOOKUP(YEAR($A97),'NY East Load Projections'!$A$4:$EO$14,((MONTH($A97)-1)*12)+VLOOKUP(U$4,$DE$6:$DF$17,2)+1))*(VLOOKUP($A97,CURVES!$D$9:$K$261,3))*(INDEX(DailyScalarsTable,U$5/100,MONTH($A97)))*$B97</f>
        <v>-194759.7006364257</v>
      </c>
      <c r="V97" s="1021">
        <f>(VLOOKUP(YEAR($A97),'NY East Load Projections'!$A$4:$EO$14,((MONTH($A97)-1)*12)+VLOOKUP(V$4,$DE$6:$DF$17,2)+1))*(VLOOKUP($A97,CURVES!$D$9:$K$261,3))*(INDEX(DailyScalarsTable,V$5/100,MONTH($A97)))*$B97</f>
        <v>-206183.65857028458</v>
      </c>
      <c r="W97" s="1021">
        <f>(VLOOKUP(YEAR($A97),'NY East Load Projections'!$A$4:$EO$14,((MONTH($A97)-1)*12)+VLOOKUP(W$4,$DE$6:$DF$17,2)+1))*(VLOOKUP($A97,CURVES!$D$9:$K$261,3))*(INDEX(DailyScalarsTable,W$5/100,MONTH($A97)))*$B97</f>
        <v>-203311.09661399512</v>
      </c>
      <c r="X97" s="1021">
        <f>(VLOOKUP(YEAR($A97),'NY East Load Projections'!$A$4:$EO$14,((MONTH($A97)-1)*12)+VLOOKUP(X$4,$DE$6:$DF$17,2)+1))*(VLOOKUP($A97,CURVES!$D$9:$K$261,3))*(INDEX(DailyScalarsTable,X$5/100,MONTH($A97)))*$B97</f>
        <v>-191133.82784153067</v>
      </c>
      <c r="Y97" s="1021">
        <f>(VLOOKUP(YEAR($A97),'NY East Load Projections'!$A$4:$EO$14,((MONTH($A97)-1)*12)+VLOOKUP(Y$4,$DE$6:$DF$17,2)+1))*(VLOOKUP($A97,CURVES!$D$9:$K$261,3))*(INDEX(DailyScalarsTable,Y$5/100,MONTH($A97)))*$B97</f>
        <v>-177001.74028153316</v>
      </c>
      <c r="Z97" s="1021">
        <f>(VLOOKUP(YEAR($A97),'NY East Load Projections'!$A$4:$EO$14,((MONTH($A97)-1)*12)+VLOOKUP(Z$4,$DE$6:$DF$17,2)+1))*(VLOOKUP($A97,CURVES!$D$9:$K$261,3))*(INDEX(DailyScalarsTable,Z$5/100,MONTH($A97)))*$B97</f>
        <v>-144274.80066890726</v>
      </c>
      <c r="AA97" s="1021">
        <f>(VLOOKUP(YEAR($A97),'NY East Load Projections'!$A$4:$EO$14,((MONTH($A97)-1)*12)+VLOOKUP(AA$4,$DE$6:$DF$17,2)+1))*(VLOOKUP($A97,CURVES!$D$9:$K$261,3))*(INDEX(DailyScalarsTable,AA$5/100,MONTH($A97)))*$B97</f>
        <v>-131354.03489976667</v>
      </c>
      <c r="AB97" s="1021">
        <f>(VLOOKUP(YEAR($A97),'NY East Load Projections'!$A$4:$EO$14,((MONTH($A97)-1)*12)+VLOOKUP(AB$4,$DE$6:$DF$17,2)+1))*(VLOOKUP($A97,CURVES!$D$9:$K$261,3))*(INDEX(DailyScalarsTable,AB$5/100,MONTH($A97)))*$B97</f>
        <v>-150091.23282692008</v>
      </c>
      <c r="AC97" s="1021">
        <f>(VLOOKUP(YEAR($A97),'NY East Load Projections'!$A$4:$EO$14,((MONTH($A97)-1)*12)+VLOOKUP(AC$4,$DE$6:$DF$17,2)+1))*(VLOOKUP($A97,CURVES!$D$9:$K$261,3))*(INDEX(DailyScalarsTable,AC$5/100,MONTH($A97)))*$B97</f>
        <v>-127626.76130698508</v>
      </c>
      <c r="AD97" s="1021">
        <f>(VLOOKUP(YEAR($A97),'NY East Load Projections'!$A$4:$EO$14,((MONTH($A97)-1)*12)+VLOOKUP(AD$4,$DE$6:$DF$17,2)+1))*(VLOOKUP($A97,CURVES!$D$9:$K$261,3))*(INDEX(DailyScalarsTable,AD$5/100,MONTH($A97)))*$B97</f>
        <v>-103348.14861619611</v>
      </c>
      <c r="AE97" s="1021">
        <f>(VLOOKUP(YEAR($A97),'NY East Load Projections'!$A$4:$EO$14,((MONTH($A97)-1)*12)+VLOOKUP(AE$4,$DE$6:$DF$17,2)+1))*(VLOOKUP($A97,CURVES!$D$9:$K$261,7))*(INDEX(DailyScalarsTable,AE$5/100,MONTH($A97)))*$B97</f>
        <v>-64773.845639317129</v>
      </c>
      <c r="AF97" s="1021"/>
      <c r="AG97" s="1021">
        <f>(VLOOKUP(YEAR($A97),'NY East Load Projections'!$A$4:$EO$14,((MONTH($A97)-1)*12)+VLOOKUP(AG$4,$DE$6:$DF$17,2)+1))*(VLOOKUP($A97,CURVES!$D$9:$T$261,7))*(INDEX(DailyScalarsTable,AG$5/100,MONTH($A97)))*$C97</f>
        <v>-12477.668158823253</v>
      </c>
      <c r="AH97" s="1021">
        <f>(VLOOKUP(YEAR($A97),'NY East Load Projections'!$A$4:$EO$14,((MONTH($A97)-1)*12)+VLOOKUP(AH$4,$DE$6:$DF$17,2)+1))*(VLOOKUP($A97,CURVES!$D$9:$T$261,7))*(INDEX(DailyScalarsTable,AH$5/100,MONTH($A97)))*$C97</f>
        <v>-11263.809598499276</v>
      </c>
      <c r="AI97" s="1021">
        <f>(VLOOKUP(YEAR($A97),'NY East Load Projections'!$A$4:$EO$14,((MONTH($A97)-1)*12)+VLOOKUP(AI$4,$DE$6:$DF$17,2)+1))*(VLOOKUP($A97,CURVES!$D$9:$T$261,7))*(INDEX(DailyScalarsTable,AI$5/100,MONTH($A97)))*$C97</f>
        <v>-10115.488002699833</v>
      </c>
      <c r="AJ97" s="1021">
        <f>(VLOOKUP(YEAR($A97),'NY East Load Projections'!$A$4:$EO$14,((MONTH($A97)-1)*12)+VLOOKUP(AJ$4,$DE$6:$DF$17,2)+1))*(VLOOKUP($A97,CURVES!$D$9:$T$261,7))*(INDEX(DailyScalarsTable,AJ$5/100,MONTH($A97)))*$C97</f>
        <v>-9517.1070222584312</v>
      </c>
      <c r="AK97" s="1021">
        <f>(VLOOKUP(YEAR($A97),'NY East Load Projections'!$A$4:$EO$14,((MONTH($A97)-1)*12)+VLOOKUP(AK$4,$DE$6:$DF$17,2)+1))*(VLOOKUP($A97,CURVES!$D$9:$T$261,7))*(INDEX(DailyScalarsTable,AK$5/100,MONTH($A97)))*$C97</f>
        <v>-10047.517184560525</v>
      </c>
      <c r="AL97" s="1021">
        <f>(VLOOKUP(YEAR($A97),'NY East Load Projections'!$A$4:$EO$14,((MONTH($A97)-1)*12)+VLOOKUP(AL$4,$DE$6:$DF$17,2)+1))*(VLOOKUP($A97,CURVES!$D$9:$T$261,7))*(INDEX(DailyScalarsTable,AL$5/100,MONTH($A97)))*$C97</f>
        <v>-11163.263973154646</v>
      </c>
      <c r="AM97" s="1021">
        <f>(VLOOKUP(YEAR($A97),'NY East Load Projections'!$A$4:$EO$14,((MONTH($A97)-1)*12)+VLOOKUP(AM$4,$DE$6:$DF$17,2)+1))*(VLOOKUP($A97,CURVES!$D$9:$T$261,7))*(INDEX(DailyScalarsTable,AM$5/100,MONTH($A97)))*$C97</f>
        <v>-12989.031445399562</v>
      </c>
      <c r="AN97" s="1021">
        <f>(VLOOKUP(YEAR($A97),'NY East Load Projections'!$A$4:$EO$14,((MONTH($A97)-1)*12)+VLOOKUP(AN$4,$DE$6:$DF$17,2)+1))*(VLOOKUP($A97,SatSunCurve,3))*(INDEX(DailyScalarsTable,AN$5/100,MONTH($A97)))*$C97</f>
        <v>-13471.694579226196</v>
      </c>
      <c r="AO97" s="1021">
        <f>(VLOOKUP(YEAR($A97),'NY East Load Projections'!$A$4:$EO$14,((MONTH($A97)-1)*12)+VLOOKUP(AO$4,$DE$6:$DF$17,2)+1))*(VLOOKUP($A97,SatSunCurve,3))*(INDEX(DailyScalarsTable,AO$5/100,MONTH($A97)))*$C97</f>
        <v>-16140.603337170714</v>
      </c>
      <c r="AP97" s="1021">
        <f>(VLOOKUP(YEAR($A97),'NY East Load Projections'!$A$4:$EO$14,((MONTH($A97)-1)*12)+VLOOKUP(AP$4,$DE$6:$DF$17,2)+1))*(VLOOKUP($A97,SatSunCurve,3))*(INDEX(DailyScalarsTable,AP$5/100,MONTH($A97)))*$C97</f>
        <v>-20699.330789783249</v>
      </c>
      <c r="AQ97" s="1021">
        <f>(VLOOKUP(YEAR($A97),'NY East Load Projections'!$A$4:$EO$14,((MONTH($A97)-1)*12)+VLOOKUP(AQ$4,$DE$6:$DF$17,2)+1))*(VLOOKUP($A97,SatSunCurve,3))*(INDEX(DailyScalarsTable,AQ$5/100,MONTH($A97)))*$C97</f>
        <v>-23362.349796754919</v>
      </c>
      <c r="AR97" s="1021">
        <f>(VLOOKUP(YEAR($A97),'NY East Load Projections'!$A$4:$EO$14,((MONTH($A97)-1)*12)+VLOOKUP(AR$4,$DE$6:$DF$17,2)+1))*(VLOOKUP($A97,SatSunCurve,3))*(INDEX(DailyScalarsTable,AR$5/100,MONTH($A97)))*$C97</f>
        <v>-24352.330873922918</v>
      </c>
      <c r="AS97" s="1021">
        <f>(VLOOKUP(YEAR($A97),'NY East Load Projections'!$A$4:$EO$14,((MONTH($A97)-1)*12)+VLOOKUP(AS$4,$DE$6:$DF$17,2)+1))*(VLOOKUP($A97,SatSunCurve,3))*(INDEX(DailyScalarsTable,AS$5/100,MONTH($A97)))*$C97</f>
        <v>-24989.034231726906</v>
      </c>
      <c r="AT97" s="1021">
        <f>(VLOOKUP(YEAR($A97),'NY East Load Projections'!$A$4:$EO$14,((MONTH($A97)-1)*12)+VLOOKUP(AT$4,$DE$6:$DF$17,2)+1))*(VLOOKUP($A97,SatSunCurve,3))*(INDEX(DailyScalarsTable,AT$5/100,MONTH($A97)))*$C97</f>
        <v>-27432.226643223436</v>
      </c>
      <c r="AU97" s="1021">
        <f>(VLOOKUP(YEAR($A97),'NY East Load Projections'!$A$4:$EO$14,((MONTH($A97)-1)*12)+VLOOKUP(AU$4,$DE$6:$DF$17,2)+1))*(VLOOKUP($A97,SatSunCurve,3))*(INDEX(DailyScalarsTable,AU$5/100,MONTH($A97)))*$C97</f>
        <v>-29041.310053088026</v>
      </c>
      <c r="AV97" s="1021">
        <f>(VLOOKUP(YEAR($A97),'NY East Load Projections'!$A$4:$EO$14,((MONTH($A97)-1)*12)+VLOOKUP(AV$4,$DE$6:$DF$17,2)+1))*(VLOOKUP($A97,SatSunCurve,3))*(INDEX(DailyScalarsTable,AV$5/100,MONTH($A97)))*$C97</f>
        <v>-28636.704940356121</v>
      </c>
      <c r="AW97" s="1021">
        <f>(VLOOKUP(YEAR($A97),'NY East Load Projections'!$A$4:$EO$14,((MONTH($A97)-1)*12)+VLOOKUP(AW$4,$DE$6:$DF$17,2)+1))*(VLOOKUP($A97,SatSunCurve,3))*(INDEX(DailyScalarsTable,AW$5/100,MONTH($A97)))*$C97</f>
        <v>-26732.457330557849</v>
      </c>
      <c r="AX97" s="1021">
        <f>(VLOOKUP(YEAR($A97),'NY East Load Projections'!$A$4:$EO$14,((MONTH($A97)-1)*12)+VLOOKUP(AX$4,$DE$6:$DF$17,2)+1))*(VLOOKUP($A97,SatSunCurve,3))*(INDEX(DailyScalarsTable,AX$5/100,MONTH($A97)))*$C97</f>
        <v>-24755.908061620677</v>
      </c>
      <c r="AY97" s="1021">
        <f>(VLOOKUP(YEAR($A97),'NY East Load Projections'!$A$4:$EO$14,((MONTH($A97)-1)*12)+VLOOKUP(AY$4,$DE$6:$DF$17,2)+1))*(VLOOKUP($A97,SatSunCurve,3))*(INDEX(DailyScalarsTable,AY$5/100,MONTH($A97)))*$C97</f>
        <v>-20178.636070397741</v>
      </c>
      <c r="AZ97" s="1021">
        <f>(VLOOKUP(YEAR($A97),'NY East Load Projections'!$A$4:$EO$14,((MONTH($A97)-1)*12)+VLOOKUP(AZ$4,$DE$6:$DF$17,2)+1))*(VLOOKUP($A97,SatSunCurve,3))*(INDEX(DailyScalarsTable,AZ$5/100,MONTH($A97)))*$C97</f>
        <v>-18371.50531022661</v>
      </c>
      <c r="BA97" s="1021">
        <f>(VLOOKUP(YEAR($A97),'NY East Load Projections'!$A$4:$EO$14,((MONTH($A97)-1)*12)+VLOOKUP(BA$4,$DE$6:$DF$17,2)+1))*(VLOOKUP($A97,SatSunCurve,3))*(INDEX(DailyScalarsTable,BA$5/100,MONTH($A97)))*$C97</f>
        <v>-21843.353269123359</v>
      </c>
      <c r="BB97" s="1021">
        <f>(VLOOKUP(YEAR($A97),'NY East Load Projections'!$A$4:$EO$14,((MONTH($A97)-1)*12)+VLOOKUP(BB$4,$DE$6:$DF$17,2)+1))*(VLOOKUP($A97,SatSunCurve,3))*(INDEX(DailyScalarsTable,BB$5/100,MONTH($A97)))*$C97</f>
        <v>-18574.012494369657</v>
      </c>
      <c r="BC97" s="1021">
        <f>(VLOOKUP(YEAR($A97),'NY East Load Projections'!$A$4:$EO$14,((MONTH($A97)-1)*12)+VLOOKUP(BC$4,$DE$6:$DF$17,2)+1))*(VLOOKUP($A97,SatSunCurve,3))*(INDEX(DailyScalarsTable,BC$5/100,MONTH($A97)))*$C97</f>
        <v>-15040.652791070541</v>
      </c>
      <c r="BD97" s="1021">
        <f>(VLOOKUP(YEAR($A97),'NY East Load Projections'!$A$4:$EO$14,((MONTH($A97)-1)*12)+VLOOKUP(BD$4,$DE$6:$DF$17,2)+1))*(VLOOKUP($A97,CURVES!$D$9:$T$261,7))*(INDEX(DailyScalarsTable,BD$5/100,MONTH($A97)))*$C97</f>
        <v>-15074.877752726827</v>
      </c>
      <c r="BE97" s="1021"/>
      <c r="BF97" s="1021">
        <f>(VLOOKUP(YEAR($A97),'NY East Load Projections'!$A$4:$EO$14,((MONTH($A97)-1)*12)+VLOOKUP(BF$4,$DE$6:$DF$17,2)+1))*(VLOOKUP($A97,CURVES!$D$9:$T$261,7))*(INDEX(DailyScalarsTable,BF$5/100,MONTH($A97)))*$D97</f>
        <v>-12477.668158823253</v>
      </c>
      <c r="BG97" s="1021">
        <f>(VLOOKUP(YEAR($A97),'NY East Load Projections'!$A$4:$EO$14,((MONTH($A97)-1)*12)+VLOOKUP(BG$4,$DE$6:$DF$17,2)+1))*(VLOOKUP($A97,CURVES!$D$9:$T$261,7))*(INDEX(DailyScalarsTable,BG$5/100,MONTH($A97)))*$D97</f>
        <v>-11263.809598499276</v>
      </c>
      <c r="BH97" s="1021">
        <f>(VLOOKUP(YEAR($A97),'NY East Load Projections'!$A$4:$EO$14,((MONTH($A97)-1)*12)+VLOOKUP(BH$4,$DE$6:$DF$17,2)+1))*(VLOOKUP($A97,CURVES!$D$9:$T$261,7))*(INDEX(DailyScalarsTable,BH$5/100,MONTH($A97)))*$D97</f>
        <v>-10115.488002699833</v>
      </c>
      <c r="BI97" s="1021">
        <f>(VLOOKUP(YEAR($A97),'NY East Load Projections'!$A$4:$EO$14,((MONTH($A97)-1)*12)+VLOOKUP(BI$4,$DE$6:$DF$17,2)+1))*(VLOOKUP($A97,CURVES!$D$9:$T$261,7))*(INDEX(DailyScalarsTable,BI$5/100,MONTH($A97)))*$D97</f>
        <v>-9517.1070222584312</v>
      </c>
      <c r="BJ97" s="1021">
        <f>(VLOOKUP(YEAR($A97),'NY East Load Projections'!$A$4:$EO$14,((MONTH($A97)-1)*12)+VLOOKUP(BJ$4,$DE$6:$DF$17,2)+1))*(VLOOKUP($A97,CURVES!$D$9:$T$261,7))*(INDEX(DailyScalarsTable,BJ$5/100,MONTH($A97)))*$D97</f>
        <v>-10047.517184560525</v>
      </c>
      <c r="BK97" s="1021">
        <f>(VLOOKUP(YEAR($A97),'NY East Load Projections'!$A$4:$EO$14,((MONTH($A97)-1)*12)+VLOOKUP(BK$4,$DE$6:$DF$17,2)+1))*(VLOOKUP($A97,CURVES!$D$9:$T$261,7))*(INDEX(DailyScalarsTable,BK$5/100,MONTH($A97)))*$D97</f>
        <v>-11163.263973154646</v>
      </c>
      <c r="BL97" s="1021">
        <f>(VLOOKUP(YEAR($A97),'NY East Load Projections'!$A$4:$EO$14,((MONTH($A97)-1)*12)+VLOOKUP(BL$4,$DE$6:$DF$17,2)+1))*(VLOOKUP($A97,CURVES!$D$9:$T$261,7))*(INDEX(DailyScalarsTable,BL$5/100,MONTH($A97)))*$D97</f>
        <v>-12989.031445399562</v>
      </c>
      <c r="BM97" s="1021">
        <f>(VLOOKUP(YEAR($A97),'NY East Load Projections'!$A$4:$EO$14,((MONTH($A97)-1)*12)+VLOOKUP(BM$4,$DE$6:$DF$17,2)+1))*(VLOOKUP($A97,SatSunCurve,7))*(INDEX(DailyScalarsTable,BM$5/100,MONTH($A97)))*$D97</f>
        <v>-9898.8327943199583</v>
      </c>
      <c r="BN97" s="1021">
        <f>(VLOOKUP(YEAR($A97),'NY East Load Projections'!$A$4:$EO$14,((MONTH($A97)-1)*12)+VLOOKUP(BN$4,$DE$6:$DF$17,2)+1))*(VLOOKUP($A97,SatSunCurve,7))*(INDEX(DailyScalarsTable,BN$5/100,MONTH($A97)))*$D97</f>
        <v>-11859.913591009637</v>
      </c>
      <c r="BO97" s="1021">
        <f>(VLOOKUP(YEAR($A97),'NY East Load Projections'!$A$4:$EO$14,((MONTH($A97)-1)*12)+VLOOKUP(BO$4,$DE$6:$DF$17,2)+1))*(VLOOKUP($A97,SatSunCurve,7))*(INDEX(DailyScalarsTable,BO$5/100,MONTH($A97)))*$D97</f>
        <v>-15209.609543727684</v>
      </c>
      <c r="BP97" s="1021">
        <f>(VLOOKUP(YEAR($A97),'NY East Load Projections'!$A$4:$EO$14,((MONTH($A97)-1)*12)+VLOOKUP(BP$4,$DE$6:$DF$17,2)+1))*(VLOOKUP($A97,SatSunCurve,7))*(INDEX(DailyScalarsTable,BP$5/100,MONTH($A97)))*$D97</f>
        <v>-17166.362625018417</v>
      </c>
      <c r="BQ97" s="1021">
        <f>(VLOOKUP(YEAR($A97),'NY East Load Projections'!$A$4:$EO$14,((MONTH($A97)-1)*12)+VLOOKUP(BQ$4,$DE$6:$DF$17,2)+1))*(VLOOKUP($A97,SatSunCurve,7))*(INDEX(DailyScalarsTable,BQ$5/100,MONTH($A97)))*$D97</f>
        <v>-17893.788346763791</v>
      </c>
      <c r="BR97" s="1021">
        <f>(VLOOKUP(YEAR($A97),'NY East Load Projections'!$A$4:$EO$14,((MONTH($A97)-1)*12)+VLOOKUP(BR$4,$DE$6:$DF$17,2)+1))*(VLOOKUP($A97,SatSunCurve,7))*(INDEX(DailyScalarsTable,BR$5/100,MONTH($A97)))*$D97</f>
        <v>-18361.630015933057</v>
      </c>
      <c r="BS97" s="1021">
        <f>(VLOOKUP(YEAR($A97),'NY East Load Projections'!$A$4:$EO$14,((MONTH($A97)-1)*12)+VLOOKUP(BS$4,$DE$6:$DF$17,2)+1))*(VLOOKUP($A97,SatSunCurve,7))*(INDEX(DailyScalarsTable,BS$5/100,MONTH($A97)))*$D97</f>
        <v>-20156.857262477766</v>
      </c>
      <c r="BT97" s="1021">
        <f>(VLOOKUP(YEAR($A97),'NY East Load Projections'!$A$4:$EO$14,((MONTH($A97)-1)*12)+VLOOKUP(BT$4,$DE$6:$DF$17,2)+1))*(VLOOKUP($A97,SatSunCurve,7))*(INDEX(DailyScalarsTable,BT$5/100,MONTH($A97)))*$D97</f>
        <v>-21339.191640138419</v>
      </c>
      <c r="BU97" s="1021">
        <f>(VLOOKUP(YEAR($A97),'NY East Load Projections'!$A$4:$EO$14,((MONTH($A97)-1)*12)+VLOOKUP(BU$4,$DE$6:$DF$17,2)+1))*(VLOOKUP($A97,SatSunCurve,7))*(INDEX(DailyScalarsTable,BU$5/100,MONTH($A97)))*$D97</f>
        <v>-21041.892860455853</v>
      </c>
      <c r="BV97" s="1021">
        <f>(VLOOKUP(YEAR($A97),'NY East Load Projections'!$A$4:$EO$14,((MONTH($A97)-1)*12)+VLOOKUP(BV$4,$DE$6:$DF$17,2)+1))*(VLOOKUP($A97,SatSunCurve,7))*(INDEX(DailyScalarsTable,BV$5/100,MONTH($A97)))*$D97</f>
        <v>-19642.675517936554</v>
      </c>
      <c r="BW97" s="1021">
        <f>(VLOOKUP(YEAR($A97),'NY East Load Projections'!$A$4:$EO$14,((MONTH($A97)-1)*12)+VLOOKUP(BW$4,$DE$6:$DF$17,2)+1))*(VLOOKUP($A97,SatSunCurve,7))*(INDEX(DailyScalarsTable,BW$5/100,MONTH($A97)))*$D97</f>
        <v>-18190.331819979274</v>
      </c>
      <c r="BX97" s="1021">
        <f>(VLOOKUP(YEAR($A97),'NY East Load Projections'!$A$4:$EO$14,((MONTH($A97)-1)*12)+VLOOKUP(BX$4,$DE$6:$DF$17,2)+1))*(VLOOKUP($A97,SatSunCurve,7))*(INDEX(DailyScalarsTable,BX$5/100,MONTH($A97)))*$D97</f>
        <v>-14827.009572078196</v>
      </c>
      <c r="BY97" s="1021">
        <f>(VLOOKUP(YEAR($A97),'NY East Load Projections'!$A$4:$EO$14,((MONTH($A97)-1)*12)+VLOOKUP(BY$4,$DE$6:$DF$17,2)+1))*(VLOOKUP($A97,SatSunCurve,7))*(INDEX(DailyScalarsTable,BY$5/100,MONTH($A97)))*$D97</f>
        <v>-13499.152476802967</v>
      </c>
      <c r="BZ97" s="1021">
        <f>(VLOOKUP(YEAR($A97),'NY East Load Projections'!$A$4:$EO$14,((MONTH($A97)-1)*12)+VLOOKUP(BZ$4,$DE$6:$DF$17,2)+1))*(VLOOKUP($A97,SatSunCurve,7))*(INDEX(DailyScalarsTable,BZ$5/100,MONTH($A97)))*$D97</f>
        <v>-16050.222962428097</v>
      </c>
      <c r="CA97" s="1021">
        <f>(VLOOKUP(YEAR($A97),'NY East Load Projections'!$A$4:$EO$14,((MONTH($A97)-1)*12)+VLOOKUP(CA$4,$DE$6:$DF$17,2)+1))*(VLOOKUP($A97,SatSunCurve,7))*(INDEX(DailyScalarsTable,CA$5/100,MONTH($A97)))*$D97</f>
        <v>-13647.95222457722</v>
      </c>
      <c r="CB97" s="1021">
        <f>(VLOOKUP(YEAR($A97),'NY East Load Projections'!$A$4:$EO$14,((MONTH($A97)-1)*12)+VLOOKUP(CB$4,$DE$6:$DF$17,2)+1))*(VLOOKUP($A97,SatSunCurve,7))*(INDEX(DailyScalarsTable,CB$5/100,MONTH($A97)))*$D97</f>
        <v>-11051.683677999545</v>
      </c>
      <c r="CC97" s="1021">
        <f>(VLOOKUP(YEAR($A97),'NY East Load Projections'!$A$4:$EO$14,((MONTH($A97)-1)*12)+VLOOKUP(CC$4,$DE$6:$DF$17,2)+1))*(VLOOKUP($A97,CURVES!$D$9:$T$261,7))*(INDEX(DailyScalarsTable,CC$5/100,MONTH($A97)))*$D97</f>
        <v>-15074.877752726827</v>
      </c>
      <c r="CE97" s="1021">
        <f>(VLOOKUP(YEAR($A97),'NY East Load Projections'!$A$4:$EO$14,((MONTH($A97)-1)*12)+VLOOKUP(CE$4,$DE$6:$DF$17,2)+1))*(VLOOKUP($A97,CURVES!$D$9:$T$261,7))*(INDEX(DailyScalarsTable,CE$5/100,MONTH($A97)))*$E97</f>
        <v>0</v>
      </c>
      <c r="CF97" s="1021">
        <f>(VLOOKUP(YEAR($A97),'NY East Load Projections'!$A$4:$EO$14,((MONTH($A97)-1)*12)+VLOOKUP(CF$4,$DE$6:$DF$17,2)+1))*(VLOOKUP($A97,CURVES!$D$9:$T$261,7))*(INDEX(DailyScalarsTable,CF$5/100,MONTH($A97)))*$E97</f>
        <v>0</v>
      </c>
      <c r="CG97" s="1021">
        <f>(VLOOKUP(YEAR($A97),'NY East Load Projections'!$A$4:$EO$14,((MONTH($A97)-1)*12)+VLOOKUP(CG$4,$DE$6:$DF$17,2)+1))*(VLOOKUP($A97,CURVES!$D$9:$T$261,7))*(INDEX(DailyScalarsTable,CG$5/100,MONTH($A97)))*$E97</f>
        <v>0</v>
      </c>
      <c r="CH97" s="1021">
        <f>(VLOOKUP(YEAR($A97),'NY East Load Projections'!$A$4:$EO$14,((MONTH($A97)-1)*12)+VLOOKUP(CH$4,$DE$6:$DF$17,2)+1))*(VLOOKUP($A97,CURVES!$D$9:$T$261,7))*(INDEX(DailyScalarsTable,CH$5/100,MONTH($A97)))*$E97</f>
        <v>0</v>
      </c>
      <c r="CI97" s="1021">
        <f>(VLOOKUP(YEAR($A97),'NY East Load Projections'!$A$4:$EO$14,((MONTH($A97)-1)*12)+VLOOKUP(CI$4,$DE$6:$DF$17,2)+1))*(VLOOKUP($A97,CURVES!$D$9:$T$261,7))*(INDEX(DailyScalarsTable,CI$5/100,MONTH($A97)))*$E97</f>
        <v>0</v>
      </c>
      <c r="CJ97" s="1021">
        <f>(VLOOKUP(YEAR($A97),'NY East Load Projections'!$A$4:$EO$14,((MONTH($A97)-1)*12)+VLOOKUP(CJ$4,$DE$6:$DF$17,2)+1))*(VLOOKUP($A97,CURVES!$D$9:$T$261,7))*(INDEX(DailyScalarsTable,CJ$5/100,MONTH($A97)))*$E97</f>
        <v>0</v>
      </c>
      <c r="CK97" s="1021">
        <f>(VLOOKUP(YEAR($A97),'NY East Load Projections'!$A$4:$EO$14,((MONTH($A97)-1)*12)+VLOOKUP(CK$4,$DE$6:$DF$17,2)+1))*(VLOOKUP($A97,CURVES!$D$9:$T$261,7))*(INDEX(DailyScalarsTable,CK$5/100,MONTH($A97)))*$E97</f>
        <v>0</v>
      </c>
      <c r="CL97" s="1021">
        <f>(VLOOKUP(YEAR($A97),'NY East Load Projections'!$A$4:$EO$14,((MONTH($A97)-1)*12)+VLOOKUP(CL$4,$DE$6:$DF$17,2)+1))*(VLOOKUP($A97,SatSunCurve,7))*(INDEX(DailyScalarsTable,CL$5/100,MONTH($A97)))*$E97</f>
        <v>0</v>
      </c>
      <c r="CM97" s="1021">
        <f>(VLOOKUP(YEAR($A97),'NY East Load Projections'!$A$4:$EO$14,((MONTH($A97)-1)*12)+VLOOKUP(CM$4,$DE$6:$DF$17,2)+1))*(VLOOKUP($A97,SatSunCurve,7))*(INDEX(DailyScalarsTable,CM$5/100,MONTH($A97)))*$E97</f>
        <v>0</v>
      </c>
      <c r="CN97" s="1021">
        <f>(VLOOKUP(YEAR($A97),'NY East Load Projections'!$A$4:$EO$14,((MONTH($A97)-1)*12)+VLOOKUP(CN$4,$DE$6:$DF$17,2)+1))*(VLOOKUP($A97,SatSunCurve,7))*(INDEX(DailyScalarsTable,CN$5/100,MONTH($A97)))*$E97</f>
        <v>0</v>
      </c>
      <c r="CO97" s="1021">
        <f>(VLOOKUP(YEAR($A97),'NY East Load Projections'!$A$4:$EO$14,((MONTH($A97)-1)*12)+VLOOKUP(CO$4,$DE$6:$DF$17,2)+1))*(VLOOKUP($A97,SatSunCurve,7))*(INDEX(DailyScalarsTable,CO$5/100,MONTH($A97)))*$E97</f>
        <v>0</v>
      </c>
      <c r="CP97" s="1021">
        <f>(VLOOKUP(YEAR($A97),'NY East Load Projections'!$A$4:$EO$14,((MONTH($A97)-1)*12)+VLOOKUP(CP$4,$DE$6:$DF$17,2)+1))*(VLOOKUP($A97,SatSunCurve,7))*(INDEX(DailyScalarsTable,CP$5/100,MONTH($A97)))*$E97</f>
        <v>0</v>
      </c>
      <c r="CQ97" s="1021">
        <f>(VLOOKUP(YEAR($A97),'NY East Load Projections'!$A$4:$EO$14,((MONTH($A97)-1)*12)+VLOOKUP(CQ$4,$DE$6:$DF$17,2)+1))*(VLOOKUP($A97,SatSunCurve,7))*(INDEX(DailyScalarsTable,CQ$5/100,MONTH($A97)))*$E97</f>
        <v>0</v>
      </c>
      <c r="CR97" s="1021">
        <f>(VLOOKUP(YEAR($A97),'NY East Load Projections'!$A$4:$EO$14,((MONTH($A97)-1)*12)+VLOOKUP(CR$4,$DE$6:$DF$17,2)+1))*(VLOOKUP($A97,SatSunCurve,7))*(INDEX(DailyScalarsTable,CR$5/100,MONTH($A97)))*$E97</f>
        <v>0</v>
      </c>
      <c r="CS97" s="1021">
        <f>(VLOOKUP(YEAR($A97),'NY East Load Projections'!$A$4:$EO$14,((MONTH($A97)-1)*12)+VLOOKUP(CS$4,$DE$6:$DF$17,2)+1))*(VLOOKUP($A97,SatSunCurve,7))*(INDEX(DailyScalarsTable,CS$5/100,MONTH($A97)))*$E97</f>
        <v>0</v>
      </c>
      <c r="CT97" s="1021">
        <f>(VLOOKUP(YEAR($A97),'NY East Load Projections'!$A$4:$EO$14,((MONTH($A97)-1)*12)+VLOOKUP(CT$4,$DE$6:$DF$17,2)+1))*(VLOOKUP($A97,SatSunCurve,7))*(INDEX(DailyScalarsTable,CT$5/100,MONTH($A97)))*$E97</f>
        <v>0</v>
      </c>
      <c r="CU97" s="1021">
        <f>(VLOOKUP(YEAR($A97),'NY East Load Projections'!$A$4:$EO$14,((MONTH($A97)-1)*12)+VLOOKUP(CU$4,$DE$6:$DF$17,2)+1))*(VLOOKUP($A97,SatSunCurve,7))*(INDEX(DailyScalarsTable,CU$5/100,MONTH($A97)))*$E97</f>
        <v>0</v>
      </c>
      <c r="CV97" s="1021">
        <f>(VLOOKUP(YEAR($A97),'NY East Load Projections'!$A$4:$EO$14,((MONTH($A97)-1)*12)+VLOOKUP(CV$4,$DE$6:$DF$17,2)+1))*(VLOOKUP($A97,SatSunCurve,7))*(INDEX(DailyScalarsTable,CV$5/100,MONTH($A97)))*$E97</f>
        <v>0</v>
      </c>
      <c r="CW97" s="1021">
        <f>(VLOOKUP(YEAR($A97),'NY East Load Projections'!$A$4:$EO$14,((MONTH($A97)-1)*12)+VLOOKUP(CW$4,$DE$6:$DF$17,2)+1))*(VLOOKUP($A97,SatSunCurve,7))*(INDEX(DailyScalarsTable,CW$5/100,MONTH($A97)))*$E97</f>
        <v>0</v>
      </c>
      <c r="CX97" s="1021">
        <f>(VLOOKUP(YEAR($A97),'NY East Load Projections'!$A$4:$EO$14,((MONTH($A97)-1)*12)+VLOOKUP(CX$4,$DE$6:$DF$17,2)+1))*(VLOOKUP($A97,SatSunCurve,7))*(INDEX(DailyScalarsTable,CX$5/100,MONTH($A97)))*$E97</f>
        <v>0</v>
      </c>
      <c r="CY97" s="1021">
        <f>(VLOOKUP(YEAR($A97),'NY East Load Projections'!$A$4:$EO$14,((MONTH($A97)-1)*12)+VLOOKUP(CY$4,$DE$6:$DF$17,2)+1))*(VLOOKUP($A97,SatSunCurve,7))*(INDEX(DailyScalarsTable,CY$5/100,MONTH($A97)))*$E97</f>
        <v>0</v>
      </c>
      <c r="CZ97" s="1021">
        <f>(VLOOKUP(YEAR($A97),'NY East Load Projections'!$A$4:$EO$14,((MONTH($A97)-1)*12)+VLOOKUP(CZ$4,$DE$6:$DF$17,2)+1))*(VLOOKUP($A97,SatSunCurve,7))*(INDEX(DailyScalarsTable,CZ$5/100,MONTH($A97)))*$E97</f>
        <v>0</v>
      </c>
      <c r="DA97" s="1021">
        <f>(VLOOKUP(YEAR($A97),'NY East Load Projections'!$A$4:$EO$14,((MONTH($A97)-1)*12)+VLOOKUP(DA$4,$DE$6:$DF$17,2)+1))*(VLOOKUP($A97,SatSunCurve,7))*(INDEX(DailyScalarsTable,DA$5/100,MONTH($A97)))*$E97</f>
        <v>0</v>
      </c>
      <c r="DB97" s="1021">
        <f>(VLOOKUP(YEAR($A97),'NY East Load Projections'!$A$4:$EO$14,((MONTH($A97)-1)*12)+VLOOKUP(DB$4,$DE$6:$DF$17,2)+1))*(VLOOKUP($A97,CURVES!$D$9:$T$261,7))*(INDEX(DailyScalarsTable,DB$5/100,MONTH($A97)))*$E97</f>
        <v>0</v>
      </c>
      <c r="DH97" s="1032">
        <f t="shared" si="2"/>
        <v>-3711193.5498131239</v>
      </c>
      <c r="DI97">
        <f ca="1">CALC!J117</f>
        <v>0.53749778610818577</v>
      </c>
      <c r="DJ97" s="1029">
        <f t="shared" ca="1" si="3"/>
        <v>-1994758.3168435332</v>
      </c>
    </row>
    <row r="98" spans="1:114" x14ac:dyDescent="0.25">
      <c r="A98" s="244">
        <v>39692</v>
      </c>
      <c r="B98" s="13">
        <v>21</v>
      </c>
      <c r="C98" s="210">
        <v>4</v>
      </c>
      <c r="D98" s="210">
        <v>4</v>
      </c>
      <c r="E98" s="210">
        <v>1</v>
      </c>
      <c r="F98" s="13">
        <v>30</v>
      </c>
      <c r="H98" s="1021">
        <f>(VLOOKUP(YEAR($A98),'NY East Load Projections'!$A$4:$EO$14,((MONTH($A98)-1)*12)+VLOOKUP(H$4,$DE$6:$DF$17,2)+1))*(VLOOKUP($A98,CURVES!$D$9:$K$261,7))*(INDEX(DailyScalarsTable,H$5/100,MONTH($A98)))*$B98</f>
        <v>-40199.874609446539</v>
      </c>
      <c r="I98" s="1021">
        <f>(VLOOKUP(YEAR($A98),'NY East Load Projections'!$A$4:$EO$14,((MONTH($A98)-1)*12)+VLOOKUP(I$4,$DE$6:$DF$17,2)+1))*(VLOOKUP($A98,CURVES!$D$9:$K$261,7))*(INDEX(DailyScalarsTable,I$5/100,MONTH($A98)))*$B98</f>
        <v>-35268.063728988658</v>
      </c>
      <c r="J98" s="1021">
        <f>(VLOOKUP(YEAR($A98),'NY East Load Projections'!$A$4:$EO$14,((MONTH($A98)-1)*12)+VLOOKUP(J$4,$DE$6:$DF$17,2)+1))*(VLOOKUP($A98,CURVES!$D$9:$K$261,7))*(INDEX(DailyScalarsTable,J$5/100,MONTH($A98)))*$B98</f>
        <v>-33072.744185927702</v>
      </c>
      <c r="K98" s="1021">
        <f>(VLOOKUP(YEAR($A98),'NY East Load Projections'!$A$4:$EO$14,((MONTH($A98)-1)*12)+VLOOKUP(K$4,$DE$6:$DF$17,2)+1))*(VLOOKUP($A98,CURVES!$D$9:$K$261,7))*(INDEX(DailyScalarsTable,K$5/100,MONTH($A98)))*$B98</f>
        <v>-33562.862037401785</v>
      </c>
      <c r="L98" s="1021">
        <f>(VLOOKUP(YEAR($A98),'NY East Load Projections'!$A$4:$EO$14,((MONTH($A98)-1)*12)+VLOOKUP(L$4,$DE$6:$DF$17,2)+1))*(VLOOKUP($A98,CURVES!$D$9:$K$261,7))*(INDEX(DailyScalarsTable,L$5/100,MONTH($A98)))*$B98</f>
        <v>-38683.691681093769</v>
      </c>
      <c r="M98" s="1021">
        <f>(VLOOKUP(YEAR($A98),'NY East Load Projections'!$A$4:$EO$14,((MONTH($A98)-1)*12)+VLOOKUP(M$4,$DE$6:$DF$17,2)+1))*(VLOOKUP($A98,CURVES!$D$9:$K$261,7))*(INDEX(DailyScalarsTable,M$5/100,MONTH($A98)))*$B98</f>
        <v>-44765.827482178669</v>
      </c>
      <c r="N98" s="1021">
        <f>(VLOOKUP(YEAR($A98),'NY East Load Projections'!$A$4:$EO$14,((MONTH($A98)-1)*12)+VLOOKUP(N$4,$DE$6:$DF$17,2)+1))*(VLOOKUP($A98,CURVES!$D$9:$K$261,7))*(INDEX(DailyScalarsTable,N$5/100,MONTH($A98)))*$B98</f>
        <v>-60875.857435589933</v>
      </c>
      <c r="O98" s="1021">
        <f>(VLOOKUP(YEAR($A98),'NY East Load Projections'!$A$4:$EO$14,((MONTH($A98)-1)*12)+VLOOKUP(O$4,$DE$6:$DF$17,2)+1))*(VLOOKUP($A98,CURVES!$D$9:$K$261,3))*(INDEX(DailyScalarsTable,O$5/100,MONTH($A98)))*$B98</f>
        <v>-55431.220651308678</v>
      </c>
      <c r="P98" s="1021">
        <f>(VLOOKUP(YEAR($A98),'NY East Load Projections'!$A$4:$EO$14,((MONTH($A98)-1)*12)+VLOOKUP(P$4,$DE$6:$DF$17,2)+1))*(VLOOKUP($A98,CURVES!$D$9:$K$261,3))*(INDEX(DailyScalarsTable,P$5/100,MONTH($A98)))*$B98</f>
        <v>-58852.555111162037</v>
      </c>
      <c r="Q98" s="1021">
        <f>(VLOOKUP(YEAR($A98),'NY East Load Projections'!$A$4:$EO$14,((MONTH($A98)-1)*12)+VLOOKUP(Q$4,$DE$6:$DF$17,2)+1))*(VLOOKUP($A98,CURVES!$D$9:$K$261,3))*(INDEX(DailyScalarsTable,Q$5/100,MONTH($A98)))*$B98</f>
        <v>-73466.414949831131</v>
      </c>
      <c r="R98" s="1021">
        <f>(VLOOKUP(YEAR($A98),'NY East Load Projections'!$A$4:$EO$14,((MONTH($A98)-1)*12)+VLOOKUP(R$4,$DE$6:$DF$17,2)+1))*(VLOOKUP($A98,CURVES!$D$9:$K$261,3))*(INDEX(DailyScalarsTable,R$5/100,MONTH($A98)))*$B98</f>
        <v>-78458.727317078345</v>
      </c>
      <c r="S98" s="1021">
        <f>(VLOOKUP(YEAR($A98),'NY East Load Projections'!$A$4:$EO$14,((MONTH($A98)-1)*12)+VLOOKUP(S$4,$DE$6:$DF$17,2)+1))*(VLOOKUP($A98,CURVES!$D$9:$K$261,3))*(INDEX(DailyScalarsTable,S$5/100,MONTH($A98)))*$B98</f>
        <v>-83598.539822448773</v>
      </c>
      <c r="T98" s="1021">
        <f>(VLOOKUP(YEAR($A98),'NY East Load Projections'!$A$4:$EO$14,((MONTH($A98)-1)*12)+VLOOKUP(T$4,$DE$6:$DF$17,2)+1))*(VLOOKUP($A98,CURVES!$D$9:$K$261,3))*(INDEX(DailyScalarsTable,T$5/100,MONTH($A98)))*$B98</f>
        <v>-81316.228348914257</v>
      </c>
      <c r="U98" s="1021">
        <f>(VLOOKUP(YEAR($A98),'NY East Load Projections'!$A$4:$EO$14,((MONTH($A98)-1)*12)+VLOOKUP(U$4,$DE$6:$DF$17,2)+1))*(VLOOKUP($A98,CURVES!$D$9:$K$261,3))*(INDEX(DailyScalarsTable,U$5/100,MONTH($A98)))*$B98</f>
        <v>-88027.414124804243</v>
      </c>
      <c r="V98" s="1021">
        <f>(VLOOKUP(YEAR($A98),'NY East Load Projections'!$A$4:$EO$14,((MONTH($A98)-1)*12)+VLOOKUP(V$4,$DE$6:$DF$17,2)+1))*(VLOOKUP($A98,CURVES!$D$9:$K$261,3))*(INDEX(DailyScalarsTable,V$5/100,MONTH($A98)))*$B98</f>
        <v>-86638.490459880966</v>
      </c>
      <c r="W98" s="1021">
        <f>(VLOOKUP(YEAR($A98),'NY East Load Projections'!$A$4:$EO$14,((MONTH($A98)-1)*12)+VLOOKUP(W$4,$DE$6:$DF$17,2)+1))*(VLOOKUP($A98,CURVES!$D$9:$K$261,3))*(INDEX(DailyScalarsTable,W$5/100,MONTH($A98)))*$B98</f>
        <v>-83930.672894652293</v>
      </c>
      <c r="X98" s="1021">
        <f>(VLOOKUP(YEAR($A98),'NY East Load Projections'!$A$4:$EO$14,((MONTH($A98)-1)*12)+VLOOKUP(X$4,$DE$6:$DF$17,2)+1))*(VLOOKUP($A98,CURVES!$D$9:$K$261,3))*(INDEX(DailyScalarsTable,X$5/100,MONTH($A98)))*$B98</f>
        <v>-86594.932407697066</v>
      </c>
      <c r="Y98" s="1021">
        <f>(VLOOKUP(YEAR($A98),'NY East Load Projections'!$A$4:$EO$14,((MONTH($A98)-1)*12)+VLOOKUP(Y$4,$DE$6:$DF$17,2)+1))*(VLOOKUP($A98,CURVES!$D$9:$K$261,3))*(INDEX(DailyScalarsTable,Y$5/100,MONTH($A98)))*$B98</f>
        <v>-84470.589327327456</v>
      </c>
      <c r="Z98" s="1021">
        <f>(VLOOKUP(YEAR($A98),'NY East Load Projections'!$A$4:$EO$14,((MONTH($A98)-1)*12)+VLOOKUP(Z$4,$DE$6:$DF$17,2)+1))*(VLOOKUP($A98,CURVES!$D$9:$K$261,3))*(INDEX(DailyScalarsTable,Z$5/100,MONTH($A98)))*$B98</f>
        <v>-69186.499901721007</v>
      </c>
      <c r="AA98" s="1021">
        <f>(VLOOKUP(YEAR($A98),'NY East Load Projections'!$A$4:$EO$14,((MONTH($A98)-1)*12)+VLOOKUP(AA$4,$DE$6:$DF$17,2)+1))*(VLOOKUP($A98,CURVES!$D$9:$K$261,3))*(INDEX(DailyScalarsTable,AA$5/100,MONTH($A98)))*$B98</f>
        <v>-90418.749952362297</v>
      </c>
      <c r="AB98" s="1021">
        <f>(VLOOKUP(YEAR($A98),'NY East Load Projections'!$A$4:$EO$14,((MONTH($A98)-1)*12)+VLOOKUP(AB$4,$DE$6:$DF$17,2)+1))*(VLOOKUP($A98,CURVES!$D$9:$K$261,3))*(INDEX(DailyScalarsTable,AB$5/100,MONTH($A98)))*$B98</f>
        <v>-82449.849150758979</v>
      </c>
      <c r="AC98" s="1021">
        <f>(VLOOKUP(YEAR($A98),'NY East Load Projections'!$A$4:$EO$14,((MONTH($A98)-1)*12)+VLOOKUP(AC$4,$DE$6:$DF$17,2)+1))*(VLOOKUP($A98,CURVES!$D$9:$K$261,3))*(INDEX(DailyScalarsTable,AC$5/100,MONTH($A98)))*$B98</f>
        <v>-62752.485139760865</v>
      </c>
      <c r="AD98" s="1021">
        <f>(VLOOKUP(YEAR($A98),'NY East Load Projections'!$A$4:$EO$14,((MONTH($A98)-1)*12)+VLOOKUP(AD$4,$DE$6:$DF$17,2)+1))*(VLOOKUP($A98,CURVES!$D$9:$K$261,3))*(INDEX(DailyScalarsTable,AD$5/100,MONTH($A98)))*$B98</f>
        <v>-49728.766019552699</v>
      </c>
      <c r="AE98" s="1021">
        <f>(VLOOKUP(YEAR($A98),'NY East Load Projections'!$A$4:$EO$14,((MONTH($A98)-1)*12)+VLOOKUP(AE$4,$DE$6:$DF$17,2)+1))*(VLOOKUP($A98,CURVES!$D$9:$K$261,7))*(INDEX(DailyScalarsTable,AE$5/100,MONTH($A98)))*$B98</f>
        <v>-46875.516746304122</v>
      </c>
      <c r="AF98" s="1021"/>
      <c r="AG98" s="1021">
        <f>(VLOOKUP(YEAR($A98),'NY East Load Projections'!$A$4:$EO$14,((MONTH($A98)-1)*12)+VLOOKUP(AG$4,$DE$6:$DF$17,2)+1))*(VLOOKUP($A98,CURVES!$D$9:$T$261,7))*(INDEX(DailyScalarsTable,AG$5/100,MONTH($A98)))*$C98</f>
        <v>-7986.3538049718964</v>
      </c>
      <c r="AH98" s="1021">
        <f>(VLOOKUP(YEAR($A98),'NY East Load Projections'!$A$4:$EO$14,((MONTH($A98)-1)*12)+VLOOKUP(AH$4,$DE$6:$DF$17,2)+1))*(VLOOKUP($A98,CURVES!$D$9:$T$261,7))*(INDEX(DailyScalarsTable,AH$5/100,MONTH($A98)))*$C98</f>
        <v>-7006.5699879026997</v>
      </c>
      <c r="AI98" s="1021">
        <f>(VLOOKUP(YEAR($A98),'NY East Load Projections'!$A$4:$EO$14,((MONTH($A98)-1)*12)+VLOOKUP(AI$4,$DE$6:$DF$17,2)+1))*(VLOOKUP($A98,CURVES!$D$9:$T$261,7))*(INDEX(DailyScalarsTable,AI$5/100,MONTH($A98)))*$C98</f>
        <v>-6570.4343343418786</v>
      </c>
      <c r="AJ98" s="1021">
        <f>(VLOOKUP(YEAR($A98),'NY East Load Projections'!$A$4:$EO$14,((MONTH($A98)-1)*12)+VLOOKUP(AJ$4,$DE$6:$DF$17,2)+1))*(VLOOKUP($A98,CURVES!$D$9:$T$261,7))*(INDEX(DailyScalarsTable,AJ$5/100,MONTH($A98)))*$C98</f>
        <v>-6667.8041546717377</v>
      </c>
      <c r="AK98" s="1021">
        <f>(VLOOKUP(YEAR($A98),'NY East Load Projections'!$A$4:$EO$14,((MONTH($A98)-1)*12)+VLOOKUP(AK$4,$DE$6:$DF$17,2)+1))*(VLOOKUP($A98,CURVES!$D$9:$T$261,7))*(INDEX(DailyScalarsTable,AK$5/100,MONTH($A98)))*$C98</f>
        <v>-7254.2768794016129</v>
      </c>
      <c r="AL98" s="1021">
        <f>(VLOOKUP(YEAR($A98),'NY East Load Projections'!$A$4:$EO$14,((MONTH($A98)-1)*12)+VLOOKUP(AL$4,$DE$6:$DF$17,2)+1))*(VLOOKUP($A98,CURVES!$D$9:$T$261,7))*(INDEX(DailyScalarsTable,AL$5/100,MONTH($A98)))*$C98</f>
        <v>-8394.8478849541898</v>
      </c>
      <c r="AM98" s="1021">
        <f>(VLOOKUP(YEAR($A98),'NY East Load Projections'!$A$4:$EO$14,((MONTH($A98)-1)*12)+VLOOKUP(AM$4,$DE$6:$DF$17,2)+1))*(VLOOKUP($A98,CURVES!$D$9:$T$261,7))*(INDEX(DailyScalarsTable,AM$5/100,MONTH($A98)))*$C98</f>
        <v>-11415.930225826431</v>
      </c>
      <c r="AN98" s="1021">
        <f>(VLOOKUP(YEAR($A98),'NY East Load Projections'!$A$4:$EO$14,((MONTH($A98)-1)*12)+VLOOKUP(AN$4,$DE$6:$DF$17,2)+1))*(VLOOKUP($A98,SatSunCurve,3))*(INDEX(DailyScalarsTable,AN$5/100,MONTH($A98)))*$C98</f>
        <v>-7518.6163653204912</v>
      </c>
      <c r="AO98" s="1021">
        <f>(VLOOKUP(YEAR($A98),'NY East Load Projections'!$A$4:$EO$14,((MONTH($A98)-1)*12)+VLOOKUP(AO$4,$DE$6:$DF$17,2)+1))*(VLOOKUP($A98,SatSunCurve,3))*(INDEX(DailyScalarsTable,AO$5/100,MONTH($A98)))*$C98</f>
        <v>-8278.2235649209906</v>
      </c>
      <c r="AP98" s="1021">
        <f>(VLOOKUP(YEAR($A98),'NY East Load Projections'!$A$4:$EO$14,((MONTH($A98)-1)*12)+VLOOKUP(AP$4,$DE$6:$DF$17,2)+1))*(VLOOKUP($A98,SatSunCurve,3))*(INDEX(DailyScalarsTable,AP$5/100,MONTH($A98)))*$C98</f>
        <v>-10333.81484150056</v>
      </c>
      <c r="AQ98" s="1021">
        <f>(VLOOKUP(YEAR($A98),'NY East Load Projections'!$A$4:$EO$14,((MONTH($A98)-1)*12)+VLOOKUP(AQ$4,$DE$6:$DF$17,2)+1))*(VLOOKUP($A98,SatSunCurve,3))*(INDEX(DailyScalarsTable,AQ$5/100,MONTH($A98)))*$C98</f>
        <v>-11036.035463934575</v>
      </c>
      <c r="AR98" s="1021">
        <f>(VLOOKUP(YEAR($A98),'NY East Load Projections'!$A$4:$EO$14,((MONTH($A98)-1)*12)+VLOOKUP(AR$4,$DE$6:$DF$17,2)+1))*(VLOOKUP($A98,SatSunCurve,3))*(INDEX(DailyScalarsTable,AR$5/100,MONTH($A98)))*$C98</f>
        <v>-11759.003513849595</v>
      </c>
      <c r="AS98" s="1021">
        <f>(VLOOKUP(YEAR($A98),'NY East Load Projections'!$A$4:$EO$14,((MONTH($A98)-1)*12)+VLOOKUP(AS$4,$DE$6:$DF$17,2)+1))*(VLOOKUP($A98,SatSunCurve,3))*(INDEX(DailyScalarsTable,AS$5/100,MONTH($A98)))*$C98</f>
        <v>-11390.368849917546</v>
      </c>
      <c r="AT98" s="1021">
        <f>(VLOOKUP(YEAR($A98),'NY East Load Projections'!$A$4:$EO$14,((MONTH($A98)-1)*12)+VLOOKUP(AT$4,$DE$6:$DF$17,2)+1))*(VLOOKUP($A98,SatSunCurve,3))*(INDEX(DailyScalarsTable,AT$5/100,MONTH($A98)))*$C98</f>
        <v>-12330.43804594203</v>
      </c>
      <c r="AU98" s="1021">
        <f>(VLOOKUP(YEAR($A98),'NY East Load Projections'!$A$4:$EO$14,((MONTH($A98)-1)*12)+VLOOKUP(AU$4,$DE$6:$DF$17,2)+1))*(VLOOKUP($A98,SatSunCurve,3))*(INDEX(DailyScalarsTable,AU$5/100,MONTH($A98)))*$C98</f>
        <v>-12135.884594938709</v>
      </c>
      <c r="AV98" s="1021">
        <f>(VLOOKUP(YEAR($A98),'NY East Load Projections'!$A$4:$EO$14,((MONTH($A98)-1)*12)+VLOOKUP(AV$4,$DE$6:$DF$17,2)+1))*(VLOOKUP($A98,SatSunCurve,3))*(INDEX(DailyScalarsTable,AV$5/100,MONTH($A98)))*$C98</f>
        <v>-11756.587110629696</v>
      </c>
      <c r="AW98" s="1021">
        <f>(VLOOKUP(YEAR($A98),'NY East Load Projections'!$A$4:$EO$14,((MONTH($A98)-1)*12)+VLOOKUP(AW$4,$DE$6:$DF$17,2)+1))*(VLOOKUP($A98,SatSunCurve,3))*(INDEX(DailyScalarsTable,AW$5/100,MONTH($A98)))*$C98</f>
        <v>-11810.224907328622</v>
      </c>
      <c r="AX98" s="1021">
        <f>(VLOOKUP(YEAR($A98),'NY East Load Projections'!$A$4:$EO$14,((MONTH($A98)-1)*12)+VLOOKUP(AX$4,$DE$6:$DF$17,2)+1))*(VLOOKUP($A98,SatSunCurve,3))*(INDEX(DailyScalarsTable,AX$5/100,MONTH($A98)))*$C98</f>
        <v>-11520.496988362522</v>
      </c>
      <c r="AY98" s="1021">
        <f>(VLOOKUP(YEAR($A98),'NY East Load Projections'!$A$4:$EO$14,((MONTH($A98)-1)*12)+VLOOKUP(AY$4,$DE$6:$DF$17,2)+1))*(VLOOKUP($A98,SatSunCurve,3))*(INDEX(DailyScalarsTable,AY$5/100,MONTH($A98)))*$C98</f>
        <v>-9435.9808555906366</v>
      </c>
      <c r="AZ98" s="1021">
        <f>(VLOOKUP(YEAR($A98),'NY East Load Projections'!$A$4:$EO$14,((MONTH($A98)-1)*12)+VLOOKUP(AZ$4,$DE$6:$DF$17,2)+1))*(VLOOKUP($A98,SatSunCurve,3))*(INDEX(DailyScalarsTable,AZ$5/100,MONTH($A98)))*$C98</f>
        <v>-12331.735161467599</v>
      </c>
      <c r="BA98" s="1021">
        <f>(VLOOKUP(YEAR($A98),'NY East Load Projections'!$A$4:$EO$14,((MONTH($A98)-1)*12)+VLOOKUP(BA$4,$DE$6:$DF$17,2)+1))*(VLOOKUP($A98,SatSunCurve,3))*(INDEX(DailyScalarsTable,BA$5/100,MONTH($A98)))*$C98</f>
        <v>-11913.058233188882</v>
      </c>
      <c r="BB98" s="1021">
        <f>(VLOOKUP(YEAR($A98),'NY East Load Projections'!$A$4:$EO$14,((MONTH($A98)-1)*12)+VLOOKUP(BB$4,$DE$6:$DF$17,2)+1))*(VLOOKUP($A98,SatSunCurve,3))*(INDEX(DailyScalarsTable,BB$5/100,MONTH($A98)))*$C98</f>
        <v>-9067.0148878060063</v>
      </c>
      <c r="BC98" s="1021">
        <f>(VLOOKUP(YEAR($A98),'NY East Load Projections'!$A$4:$EO$14,((MONTH($A98)-1)*12)+VLOOKUP(BC$4,$DE$6:$DF$17,2)+1))*(VLOOKUP($A98,SatSunCurve,3))*(INDEX(DailyScalarsTable,BC$5/100,MONTH($A98)))*$C98</f>
        <v>-7185.2367415774997</v>
      </c>
      <c r="BD98" s="1021">
        <f>(VLOOKUP(YEAR($A98),'NY East Load Projections'!$A$4:$EO$14,((MONTH($A98)-1)*12)+VLOOKUP(BD$4,$DE$6:$DF$17,2)+1))*(VLOOKUP($A98,CURVES!$D$9:$T$261,7))*(INDEX(DailyScalarsTable,BD$5/100,MONTH($A98)))*$C98</f>
        <v>-9364.0171121639232</v>
      </c>
      <c r="BE98" s="1021"/>
      <c r="BF98" s="1021">
        <f>(VLOOKUP(YEAR($A98),'NY East Load Projections'!$A$4:$EO$14,((MONTH($A98)-1)*12)+VLOOKUP(BF$4,$DE$6:$DF$17,2)+1))*(VLOOKUP($A98,CURVES!$D$9:$T$261,7))*(INDEX(DailyScalarsTable,BF$5/100,MONTH($A98)))*$D98</f>
        <v>-7986.3538049718964</v>
      </c>
      <c r="BG98" s="1021">
        <f>(VLOOKUP(YEAR($A98),'NY East Load Projections'!$A$4:$EO$14,((MONTH($A98)-1)*12)+VLOOKUP(BG$4,$DE$6:$DF$17,2)+1))*(VLOOKUP($A98,CURVES!$D$9:$T$261,7))*(INDEX(DailyScalarsTable,BG$5/100,MONTH($A98)))*$D98</f>
        <v>-7006.5699879026997</v>
      </c>
      <c r="BH98" s="1021">
        <f>(VLOOKUP(YEAR($A98),'NY East Load Projections'!$A$4:$EO$14,((MONTH($A98)-1)*12)+VLOOKUP(BH$4,$DE$6:$DF$17,2)+1))*(VLOOKUP($A98,CURVES!$D$9:$T$261,7))*(INDEX(DailyScalarsTable,BH$5/100,MONTH($A98)))*$D98</f>
        <v>-6570.4343343418786</v>
      </c>
      <c r="BI98" s="1021">
        <f>(VLOOKUP(YEAR($A98),'NY East Load Projections'!$A$4:$EO$14,((MONTH($A98)-1)*12)+VLOOKUP(BI$4,$DE$6:$DF$17,2)+1))*(VLOOKUP($A98,CURVES!$D$9:$T$261,7))*(INDEX(DailyScalarsTable,BI$5/100,MONTH($A98)))*$D98</f>
        <v>-6667.8041546717377</v>
      </c>
      <c r="BJ98" s="1021">
        <f>(VLOOKUP(YEAR($A98),'NY East Load Projections'!$A$4:$EO$14,((MONTH($A98)-1)*12)+VLOOKUP(BJ$4,$DE$6:$DF$17,2)+1))*(VLOOKUP($A98,CURVES!$D$9:$T$261,7))*(INDEX(DailyScalarsTable,BJ$5/100,MONTH($A98)))*$D98</f>
        <v>-7254.2768794016129</v>
      </c>
      <c r="BK98" s="1021">
        <f>(VLOOKUP(YEAR($A98),'NY East Load Projections'!$A$4:$EO$14,((MONTH($A98)-1)*12)+VLOOKUP(BK$4,$DE$6:$DF$17,2)+1))*(VLOOKUP($A98,CURVES!$D$9:$T$261,7))*(INDEX(DailyScalarsTable,BK$5/100,MONTH($A98)))*$D98</f>
        <v>-8394.8478849541898</v>
      </c>
      <c r="BL98" s="1021">
        <f>(VLOOKUP(YEAR($A98),'NY East Load Projections'!$A$4:$EO$14,((MONTH($A98)-1)*12)+VLOOKUP(BL$4,$DE$6:$DF$17,2)+1))*(VLOOKUP($A98,CURVES!$D$9:$T$261,7))*(INDEX(DailyScalarsTable,BL$5/100,MONTH($A98)))*$D98</f>
        <v>-11415.930225826431</v>
      </c>
      <c r="BM98" s="1021">
        <f>(VLOOKUP(YEAR($A98),'NY East Load Projections'!$A$4:$EO$14,((MONTH($A98)-1)*12)+VLOOKUP(BM$4,$DE$6:$DF$17,2)+1))*(VLOOKUP($A98,SatSunCurve,7))*(INDEX(DailyScalarsTable,BM$5/100,MONTH($A98)))*$D98</f>
        <v>-7674.3043611944177</v>
      </c>
      <c r="BN98" s="1021">
        <f>(VLOOKUP(YEAR($A98),'NY East Load Projections'!$A$4:$EO$14,((MONTH($A98)-1)*12)+VLOOKUP(BN$4,$DE$6:$DF$17,2)+1))*(VLOOKUP($A98,SatSunCurve,7))*(INDEX(DailyScalarsTable,BN$5/100,MONTH($A98)))*$D98</f>
        <v>-8449.6407477637713</v>
      </c>
      <c r="BO98" s="1021">
        <f>(VLOOKUP(YEAR($A98),'NY East Load Projections'!$A$4:$EO$14,((MONTH($A98)-1)*12)+VLOOKUP(BO$4,$DE$6:$DF$17,2)+1))*(VLOOKUP($A98,SatSunCurve,7))*(INDEX(DailyScalarsTable,BO$5/100,MONTH($A98)))*$D98</f>
        <v>-10547.797154765838</v>
      </c>
      <c r="BP98" s="1021">
        <f>(VLOOKUP(YEAR($A98),'NY East Load Projections'!$A$4:$EO$14,((MONTH($A98)-1)*12)+VLOOKUP(BP$4,$DE$6:$DF$17,2)+1))*(VLOOKUP($A98,SatSunCurve,7))*(INDEX(DailyScalarsTable,BP$5/100,MONTH($A98)))*$D98</f>
        <v>-11264.558660263439</v>
      </c>
      <c r="BQ98" s="1021">
        <f>(VLOOKUP(YEAR($A98),'NY East Load Projections'!$A$4:$EO$14,((MONTH($A98)-1)*12)+VLOOKUP(BQ$4,$DE$6:$DF$17,2)+1))*(VLOOKUP($A98,SatSunCurve,7))*(INDEX(DailyScalarsTable,BQ$5/100,MONTH($A98)))*$D98</f>
        <v>-12002.497210241652</v>
      </c>
      <c r="BR98" s="1021">
        <f>(VLOOKUP(YEAR($A98),'NY East Load Projections'!$A$4:$EO$14,((MONTH($A98)-1)*12)+VLOOKUP(BR$4,$DE$6:$DF$17,2)+1))*(VLOOKUP($A98,SatSunCurve,7))*(INDEX(DailyScalarsTable,BR$5/100,MONTH($A98)))*$D98</f>
        <v>-11626.229227990298</v>
      </c>
      <c r="BS98" s="1021">
        <f>(VLOOKUP(YEAR($A98),'NY East Load Projections'!$A$4:$EO$14,((MONTH($A98)-1)*12)+VLOOKUP(BS$4,$DE$6:$DF$17,2)+1))*(VLOOKUP($A98,SatSunCurve,7))*(INDEX(DailyScalarsTable,BS$5/100,MONTH($A98)))*$D98</f>
        <v>-12585.764437706734</v>
      </c>
      <c r="BT98" s="1021">
        <f>(VLOOKUP(YEAR($A98),'NY East Load Projections'!$A$4:$EO$14,((MONTH($A98)-1)*12)+VLOOKUP(BT$4,$DE$6:$DF$17,2)+1))*(VLOOKUP($A98,SatSunCurve,7))*(INDEX(DailyScalarsTable,BT$5/100,MONTH($A98)))*$D98</f>
        <v>-12387.1823682176</v>
      </c>
      <c r="BU98" s="1021">
        <f>(VLOOKUP(YEAR($A98),'NY East Load Projections'!$A$4:$EO$14,((MONTH($A98)-1)*12)+VLOOKUP(BU$4,$DE$6:$DF$17,2)+1))*(VLOOKUP($A98,SatSunCurve,7))*(INDEX(DailyScalarsTable,BU$5/100,MONTH($A98)))*$D98</f>
        <v>-12000.030770558096</v>
      </c>
      <c r="BV98" s="1021">
        <f>(VLOOKUP(YEAR($A98),'NY East Load Projections'!$A$4:$EO$14,((MONTH($A98)-1)*12)+VLOOKUP(BV$4,$DE$6:$DF$17,2)+1))*(VLOOKUP($A98,SatSunCurve,7))*(INDEX(DailyScalarsTable,BV$5/100,MONTH($A98)))*$D98</f>
        <v>-12054.779245161755</v>
      </c>
      <c r="BW98" s="1021">
        <f>(VLOOKUP(YEAR($A98),'NY East Load Projections'!$A$4:$EO$14,((MONTH($A98)-1)*12)+VLOOKUP(BW$4,$DE$6:$DF$17,2)+1))*(VLOOKUP($A98,SatSunCurve,7))*(INDEX(DailyScalarsTable,BW$5/100,MONTH($A98)))*$D98</f>
        <v>-11759.051929915693</v>
      </c>
      <c r="BX98" s="1021">
        <f>(VLOOKUP(YEAR($A98),'NY East Load Projections'!$A$4:$EO$14,((MONTH($A98)-1)*12)+VLOOKUP(BX$4,$DE$6:$DF$17,2)+1))*(VLOOKUP($A98,SatSunCurve,7))*(INDEX(DailyScalarsTable,BX$5/100,MONTH($A98)))*$D98</f>
        <v>-9631.3717196979869</v>
      </c>
      <c r="BY98" s="1021">
        <f>(VLOOKUP(YEAR($A98),'NY East Load Projections'!$A$4:$EO$14,((MONTH($A98)-1)*12)+VLOOKUP(BY$4,$DE$6:$DF$17,2)+1))*(VLOOKUP($A98,SatSunCurve,7))*(INDEX(DailyScalarsTable,BY$5/100,MONTH($A98)))*$D98</f>
        <v>-12587.088412604662</v>
      </c>
      <c r="BZ98" s="1021">
        <f>(VLOOKUP(YEAR($A98),'NY East Load Projections'!$A$4:$EO$14,((MONTH($A98)-1)*12)+VLOOKUP(BZ$4,$DE$6:$DF$17,2)+1))*(VLOOKUP($A98,SatSunCurve,7))*(INDEX(DailyScalarsTable,BZ$5/100,MONTH($A98)))*$D98</f>
        <v>-12159.741940793572</v>
      </c>
      <c r="CA98" s="1021">
        <f>(VLOOKUP(YEAR($A98),'NY East Load Projections'!$A$4:$EO$14,((MONTH($A98)-1)*12)+VLOOKUP(CA$4,$DE$6:$DF$17,2)+1))*(VLOOKUP($A98,SatSunCurve,7))*(INDEX(DailyScalarsTable,CA$5/100,MONTH($A98)))*$D98</f>
        <v>-9254.7655732848762</v>
      </c>
      <c r="CB98" s="1021">
        <f>(VLOOKUP(YEAR($A98),'NY East Load Projections'!$A$4:$EO$14,((MONTH($A98)-1)*12)+VLOOKUP(CB$4,$DE$6:$DF$17,2)+1))*(VLOOKUP($A98,SatSunCurve,7))*(INDEX(DailyScalarsTable,CB$5/100,MONTH($A98)))*$D98</f>
        <v>-7334.021445281187</v>
      </c>
      <c r="CC98" s="1021">
        <f>(VLOOKUP(YEAR($A98),'NY East Load Projections'!$A$4:$EO$14,((MONTH($A98)-1)*12)+VLOOKUP(CC$4,$DE$6:$DF$17,2)+1))*(VLOOKUP($A98,CURVES!$D$9:$T$261,7))*(INDEX(DailyScalarsTable,CC$5/100,MONTH($A98)))*$D98</f>
        <v>-9364.0171121639232</v>
      </c>
      <c r="CE98" s="1021">
        <f>(VLOOKUP(YEAR($A98),'NY East Load Projections'!$A$4:$EO$14,((MONTH($A98)-1)*12)+VLOOKUP(CE$4,$DE$6:$DF$17,2)+1))*(VLOOKUP($A98,CURVES!$D$9:$T$261,7))*(INDEX(DailyScalarsTable,CE$5/100,MONTH($A98)))*$E98</f>
        <v>-1996.5884512429741</v>
      </c>
      <c r="CF98" s="1021">
        <f>(VLOOKUP(YEAR($A98),'NY East Load Projections'!$A$4:$EO$14,((MONTH($A98)-1)*12)+VLOOKUP(CF$4,$DE$6:$DF$17,2)+1))*(VLOOKUP($A98,CURVES!$D$9:$T$261,7))*(INDEX(DailyScalarsTable,CF$5/100,MONTH($A98)))*$E98</f>
        <v>-1751.6424969756749</v>
      </c>
      <c r="CG98" s="1021">
        <f>(VLOOKUP(YEAR($A98),'NY East Load Projections'!$A$4:$EO$14,((MONTH($A98)-1)*12)+VLOOKUP(CG$4,$DE$6:$DF$17,2)+1))*(VLOOKUP($A98,CURVES!$D$9:$T$261,7))*(INDEX(DailyScalarsTable,CG$5/100,MONTH($A98)))*$E98</f>
        <v>-1642.6085835854697</v>
      </c>
      <c r="CH98" s="1021">
        <f>(VLOOKUP(YEAR($A98),'NY East Load Projections'!$A$4:$EO$14,((MONTH($A98)-1)*12)+VLOOKUP(CH$4,$DE$6:$DF$17,2)+1))*(VLOOKUP($A98,CURVES!$D$9:$T$261,7))*(INDEX(DailyScalarsTable,CH$5/100,MONTH($A98)))*$E98</f>
        <v>-1666.9510386679344</v>
      </c>
      <c r="CI98" s="1021">
        <f>(VLOOKUP(YEAR($A98),'NY East Load Projections'!$A$4:$EO$14,((MONTH($A98)-1)*12)+VLOOKUP(CI$4,$DE$6:$DF$17,2)+1))*(VLOOKUP($A98,CURVES!$D$9:$T$261,7))*(INDEX(DailyScalarsTable,CI$5/100,MONTH($A98)))*$E98</f>
        <v>-1813.5692198504032</v>
      </c>
      <c r="CJ98" s="1021">
        <f>(VLOOKUP(YEAR($A98),'NY East Load Projections'!$A$4:$EO$14,((MONTH($A98)-1)*12)+VLOOKUP(CJ$4,$DE$6:$DF$17,2)+1))*(VLOOKUP($A98,CURVES!$D$9:$T$261,7))*(INDEX(DailyScalarsTable,CJ$5/100,MONTH($A98)))*$E98</f>
        <v>-2098.7119712385474</v>
      </c>
      <c r="CK98" s="1021">
        <f>(VLOOKUP(YEAR($A98),'NY East Load Projections'!$A$4:$EO$14,((MONTH($A98)-1)*12)+VLOOKUP(CK$4,$DE$6:$DF$17,2)+1))*(VLOOKUP($A98,CURVES!$D$9:$T$261,7))*(INDEX(DailyScalarsTable,CK$5/100,MONTH($A98)))*$E98</f>
        <v>-2853.9825564566077</v>
      </c>
      <c r="CL98" s="1021">
        <f>(VLOOKUP(YEAR($A98),'NY East Load Projections'!$A$4:$EO$14,((MONTH($A98)-1)*12)+VLOOKUP(CL$4,$DE$6:$DF$17,2)+1))*(VLOOKUP($A98,SatSunCurve,7))*(INDEX(DailyScalarsTable,CL$5/100,MONTH($A98)))*$E98</f>
        <v>-1918.5760902986044</v>
      </c>
      <c r="CM98" s="1021">
        <f>(VLOOKUP(YEAR($A98),'NY East Load Projections'!$A$4:$EO$14,((MONTH($A98)-1)*12)+VLOOKUP(CM$4,$DE$6:$DF$17,2)+1))*(VLOOKUP($A98,SatSunCurve,7))*(INDEX(DailyScalarsTable,CM$5/100,MONTH($A98)))*$E98</f>
        <v>-2112.4101869409428</v>
      </c>
      <c r="CN98" s="1021">
        <f>(VLOOKUP(YEAR($A98),'NY East Load Projections'!$A$4:$EO$14,((MONTH($A98)-1)*12)+VLOOKUP(CN$4,$DE$6:$DF$17,2)+1))*(VLOOKUP($A98,SatSunCurve,7))*(INDEX(DailyScalarsTable,CN$5/100,MONTH($A98)))*$E98</f>
        <v>-2636.9492886914595</v>
      </c>
      <c r="CO98" s="1021">
        <f>(VLOOKUP(YEAR($A98),'NY East Load Projections'!$A$4:$EO$14,((MONTH($A98)-1)*12)+VLOOKUP(CO$4,$DE$6:$DF$17,2)+1))*(VLOOKUP($A98,SatSunCurve,7))*(INDEX(DailyScalarsTable,CO$5/100,MONTH($A98)))*$E98</f>
        <v>-2816.1396650658598</v>
      </c>
      <c r="CP98" s="1021">
        <f>(VLOOKUP(YEAR($A98),'NY East Load Projections'!$A$4:$EO$14,((MONTH($A98)-1)*12)+VLOOKUP(CP$4,$DE$6:$DF$17,2)+1))*(VLOOKUP($A98,SatSunCurve,7))*(INDEX(DailyScalarsTable,CP$5/100,MONTH($A98)))*$E98</f>
        <v>-3000.6243025604131</v>
      </c>
      <c r="CQ98" s="1021">
        <f>(VLOOKUP(YEAR($A98),'NY East Load Projections'!$A$4:$EO$14,((MONTH($A98)-1)*12)+VLOOKUP(CQ$4,$DE$6:$DF$17,2)+1))*(VLOOKUP($A98,SatSunCurve,7))*(INDEX(DailyScalarsTable,CQ$5/100,MONTH($A98)))*$E98</f>
        <v>-2906.5573069975744</v>
      </c>
      <c r="CR98" s="1021">
        <f>(VLOOKUP(YEAR($A98),'NY East Load Projections'!$A$4:$EO$14,((MONTH($A98)-1)*12)+VLOOKUP(CR$4,$DE$6:$DF$17,2)+1))*(VLOOKUP($A98,SatSunCurve,7))*(INDEX(DailyScalarsTable,CR$5/100,MONTH($A98)))*$E98</f>
        <v>-3146.4411094266834</v>
      </c>
      <c r="CS98" s="1021">
        <f>(VLOOKUP(YEAR($A98),'NY East Load Projections'!$A$4:$EO$14,((MONTH($A98)-1)*12)+VLOOKUP(CS$4,$DE$6:$DF$17,2)+1))*(VLOOKUP($A98,SatSunCurve,7))*(INDEX(DailyScalarsTable,CS$5/100,MONTH($A98)))*$E98</f>
        <v>-3096.7955920544</v>
      </c>
      <c r="CT98" s="1021">
        <f>(VLOOKUP(YEAR($A98),'NY East Load Projections'!$A$4:$EO$14,((MONTH($A98)-1)*12)+VLOOKUP(CT$4,$DE$6:$DF$17,2)+1))*(VLOOKUP($A98,SatSunCurve,7))*(INDEX(DailyScalarsTable,CT$5/100,MONTH($A98)))*$E98</f>
        <v>-3000.0076926395241</v>
      </c>
      <c r="CU98" s="1021">
        <f>(VLOOKUP(YEAR($A98),'NY East Load Projections'!$A$4:$EO$14,((MONTH($A98)-1)*12)+VLOOKUP(CU$4,$DE$6:$DF$17,2)+1))*(VLOOKUP($A98,SatSunCurve,7))*(INDEX(DailyScalarsTable,CU$5/100,MONTH($A98)))*$E98</f>
        <v>-3013.6948112904388</v>
      </c>
      <c r="CV98" s="1021">
        <f>(VLOOKUP(YEAR($A98),'NY East Load Projections'!$A$4:$EO$14,((MONTH($A98)-1)*12)+VLOOKUP(CV$4,$DE$6:$DF$17,2)+1))*(VLOOKUP($A98,SatSunCurve,7))*(INDEX(DailyScalarsTable,CV$5/100,MONTH($A98)))*$E98</f>
        <v>-2939.7629824789233</v>
      </c>
      <c r="CW98" s="1021">
        <f>(VLOOKUP(YEAR($A98),'NY East Load Projections'!$A$4:$EO$14,((MONTH($A98)-1)*12)+VLOOKUP(CW$4,$DE$6:$DF$17,2)+1))*(VLOOKUP($A98,SatSunCurve,7))*(INDEX(DailyScalarsTable,CW$5/100,MONTH($A98)))*$E98</f>
        <v>-2407.8429299244967</v>
      </c>
      <c r="CX98" s="1021">
        <f>(VLOOKUP(YEAR($A98),'NY East Load Projections'!$A$4:$EO$14,((MONTH($A98)-1)*12)+VLOOKUP(CX$4,$DE$6:$DF$17,2)+1))*(VLOOKUP($A98,SatSunCurve,7))*(INDEX(DailyScalarsTable,CX$5/100,MONTH($A98)))*$E98</f>
        <v>-3146.7721031511655</v>
      </c>
      <c r="CY98" s="1021">
        <f>(VLOOKUP(YEAR($A98),'NY East Load Projections'!$A$4:$EO$14,((MONTH($A98)-1)*12)+VLOOKUP(CY$4,$DE$6:$DF$17,2)+1))*(VLOOKUP($A98,SatSunCurve,7))*(INDEX(DailyScalarsTable,CY$5/100,MONTH($A98)))*$E98</f>
        <v>-3039.9354851983931</v>
      </c>
      <c r="CZ98" s="1021">
        <f>(VLOOKUP(YEAR($A98),'NY East Load Projections'!$A$4:$EO$14,((MONTH($A98)-1)*12)+VLOOKUP(CZ$4,$DE$6:$DF$17,2)+1))*(VLOOKUP($A98,SatSunCurve,7))*(INDEX(DailyScalarsTable,CZ$5/100,MONTH($A98)))*$E98</f>
        <v>-2313.691393321219</v>
      </c>
      <c r="DA98" s="1021">
        <f>(VLOOKUP(YEAR($A98),'NY East Load Projections'!$A$4:$EO$14,((MONTH($A98)-1)*12)+VLOOKUP(DA$4,$DE$6:$DF$17,2)+1))*(VLOOKUP($A98,SatSunCurve,7))*(INDEX(DailyScalarsTable,DA$5/100,MONTH($A98)))*$E98</f>
        <v>-1833.5053613202967</v>
      </c>
      <c r="DB98" s="1021">
        <f>(VLOOKUP(YEAR($A98),'NY East Load Projections'!$A$4:$EO$14,((MONTH($A98)-1)*12)+VLOOKUP(DB$4,$DE$6:$DF$17,2)+1))*(VLOOKUP($A98,CURVES!$D$9:$T$261,7))*(INDEX(DailyScalarsTable,DB$5/100,MONTH($A98)))*$E98</f>
        <v>-2341.0042780409808</v>
      </c>
      <c r="DH98" s="1032">
        <f t="shared" si="2"/>
        <v>-2080563.3524837964</v>
      </c>
      <c r="DI98">
        <f ca="1">CALC!J118</f>
        <v>0.53423481538699313</v>
      </c>
      <c r="DJ98" s="1029">
        <f t="shared" ca="1" si="3"/>
        <v>-1111509.3785151246</v>
      </c>
    </row>
    <row r="99" spans="1:114" x14ac:dyDescent="0.25">
      <c r="A99" s="244">
        <v>39722</v>
      </c>
      <c r="B99" s="13">
        <v>23</v>
      </c>
      <c r="C99" s="210">
        <v>4</v>
      </c>
      <c r="D99" s="210">
        <v>4</v>
      </c>
      <c r="E99" s="210">
        <v>0</v>
      </c>
      <c r="F99" s="13">
        <v>31</v>
      </c>
      <c r="H99" s="1021">
        <f>(VLOOKUP(YEAR($A99),'NY East Load Projections'!$A$4:$EO$14,((MONTH($A99)-1)*12)+VLOOKUP(H$4,$DE$6:$DF$17,2)+1))*(VLOOKUP($A99,CURVES!$D$9:$K$261,7))*(INDEX(DailyScalarsTable,H$5/100,MONTH($A99)))*$B99</f>
        <v>-38358.243296163564</v>
      </c>
      <c r="I99" s="1021">
        <f>(VLOOKUP(YEAR($A99),'NY East Load Projections'!$A$4:$EO$14,((MONTH($A99)-1)*12)+VLOOKUP(I$4,$DE$6:$DF$17,2)+1))*(VLOOKUP($A99,CURVES!$D$9:$K$261,7))*(INDEX(DailyScalarsTable,I$5/100,MONTH($A99)))*$B99</f>
        <v>-36407.002483941658</v>
      </c>
      <c r="J99" s="1021">
        <f>(VLOOKUP(YEAR($A99),'NY East Load Projections'!$A$4:$EO$14,((MONTH($A99)-1)*12)+VLOOKUP(J$4,$DE$6:$DF$17,2)+1))*(VLOOKUP($A99,CURVES!$D$9:$K$261,7))*(INDEX(DailyScalarsTable,J$5/100,MONTH($A99)))*$B99</f>
        <v>-34972.860686138811</v>
      </c>
      <c r="K99" s="1021">
        <f>(VLOOKUP(YEAR($A99),'NY East Load Projections'!$A$4:$EO$14,((MONTH($A99)-1)*12)+VLOOKUP(K$4,$DE$6:$DF$17,2)+1))*(VLOOKUP($A99,CURVES!$D$9:$K$261,7))*(INDEX(DailyScalarsTable,K$5/100,MONTH($A99)))*$B99</f>
        <v>-34993.059866389551</v>
      </c>
      <c r="L99" s="1021">
        <f>(VLOOKUP(YEAR($A99),'NY East Load Projections'!$A$4:$EO$14,((MONTH($A99)-1)*12)+VLOOKUP(L$4,$DE$6:$DF$17,2)+1))*(VLOOKUP($A99,CURVES!$D$9:$K$261,7))*(INDEX(DailyScalarsTable,L$5/100,MONTH($A99)))*$B99</f>
        <v>-40722.688804983627</v>
      </c>
      <c r="M99" s="1021">
        <f>(VLOOKUP(YEAR($A99),'NY East Load Projections'!$A$4:$EO$14,((MONTH($A99)-1)*12)+VLOOKUP(M$4,$DE$6:$DF$17,2)+1))*(VLOOKUP($A99,CURVES!$D$9:$K$261,7))*(INDEX(DailyScalarsTable,M$5/100,MONTH($A99)))*$B99</f>
        <v>-46783.842378871639</v>
      </c>
      <c r="N99" s="1021">
        <f>(VLOOKUP(YEAR($A99),'NY East Load Projections'!$A$4:$EO$14,((MONTH($A99)-1)*12)+VLOOKUP(N$4,$DE$6:$DF$17,2)+1))*(VLOOKUP($A99,CURVES!$D$9:$K$261,7))*(INDEX(DailyScalarsTable,N$5/100,MONTH($A99)))*$B99</f>
        <v>-60479.675980202337</v>
      </c>
      <c r="O99" s="1021">
        <f>(VLOOKUP(YEAR($A99),'NY East Load Projections'!$A$4:$EO$14,((MONTH($A99)-1)*12)+VLOOKUP(O$4,$DE$6:$DF$17,2)+1))*(VLOOKUP($A99,CURVES!$D$9:$K$261,3))*(INDEX(DailyScalarsTable,O$5/100,MONTH($A99)))*$B99</f>
        <v>-73130.611929375285</v>
      </c>
      <c r="P99" s="1021">
        <f>(VLOOKUP(YEAR($A99),'NY East Load Projections'!$A$4:$EO$14,((MONTH($A99)-1)*12)+VLOOKUP(P$4,$DE$6:$DF$17,2)+1))*(VLOOKUP($A99,CURVES!$D$9:$K$261,3))*(INDEX(DailyScalarsTable,P$5/100,MONTH($A99)))*$B99</f>
        <v>-84522.006609734526</v>
      </c>
      <c r="Q99" s="1021">
        <f>(VLOOKUP(YEAR($A99),'NY East Load Projections'!$A$4:$EO$14,((MONTH($A99)-1)*12)+VLOOKUP(Q$4,$DE$6:$DF$17,2)+1))*(VLOOKUP($A99,CURVES!$D$9:$K$261,3))*(INDEX(DailyScalarsTable,Q$5/100,MONTH($A99)))*$B99</f>
        <v>-84260.813758653763</v>
      </c>
      <c r="R99" s="1021">
        <f>(VLOOKUP(YEAR($A99),'NY East Load Projections'!$A$4:$EO$14,((MONTH($A99)-1)*12)+VLOOKUP(R$4,$DE$6:$DF$17,2)+1))*(VLOOKUP($A99,CURVES!$D$9:$K$261,3))*(INDEX(DailyScalarsTable,R$5/100,MONTH($A99)))*$B99</f>
        <v>-83783.203973820375</v>
      </c>
      <c r="S99" s="1021">
        <f>(VLOOKUP(YEAR($A99),'NY East Load Projections'!$A$4:$EO$14,((MONTH($A99)-1)*12)+VLOOKUP(S$4,$DE$6:$DF$17,2)+1))*(VLOOKUP($A99,CURVES!$D$9:$K$261,3))*(INDEX(DailyScalarsTable,S$5/100,MONTH($A99)))*$B99</f>
        <v>-70701.173461118218</v>
      </c>
      <c r="T99" s="1021">
        <f>(VLOOKUP(YEAR($A99),'NY East Load Projections'!$A$4:$EO$14,((MONTH($A99)-1)*12)+VLOOKUP(T$4,$DE$6:$DF$17,2)+1))*(VLOOKUP($A99,CURVES!$D$9:$K$261,3))*(INDEX(DailyScalarsTable,T$5/100,MONTH($A99)))*$B99</f>
        <v>-68338.930170947235</v>
      </c>
      <c r="U99" s="1021">
        <f>(VLOOKUP(YEAR($A99),'NY East Load Projections'!$A$4:$EO$14,((MONTH($A99)-1)*12)+VLOOKUP(U$4,$DE$6:$DF$17,2)+1))*(VLOOKUP($A99,CURVES!$D$9:$K$261,3))*(INDEX(DailyScalarsTable,U$5/100,MONTH($A99)))*$B99</f>
        <v>-66442.119770652367</v>
      </c>
      <c r="V99" s="1021">
        <f>(VLOOKUP(YEAR($A99),'NY East Load Projections'!$A$4:$EO$14,((MONTH($A99)-1)*12)+VLOOKUP(V$4,$DE$6:$DF$17,2)+1))*(VLOOKUP($A99,CURVES!$D$9:$K$261,3))*(INDEX(DailyScalarsTable,V$5/100,MONTH($A99)))*$B99</f>
        <v>-64898.561509683677</v>
      </c>
      <c r="W99" s="1021">
        <f>(VLOOKUP(YEAR($A99),'NY East Load Projections'!$A$4:$EO$14,((MONTH($A99)-1)*12)+VLOOKUP(W$4,$DE$6:$DF$17,2)+1))*(VLOOKUP($A99,CURVES!$D$9:$K$261,3))*(INDEX(DailyScalarsTable,W$5/100,MONTH($A99)))*$B99</f>
        <v>-64453.156638359382</v>
      </c>
      <c r="X99" s="1021">
        <f>(VLOOKUP(YEAR($A99),'NY East Load Projections'!$A$4:$EO$14,((MONTH($A99)-1)*12)+VLOOKUP(X$4,$DE$6:$DF$17,2)+1))*(VLOOKUP($A99,CURVES!$D$9:$K$261,3))*(INDEX(DailyScalarsTable,X$5/100,MONTH($A99)))*$B99</f>
        <v>-65110.565496929201</v>
      </c>
      <c r="Y99" s="1021">
        <f>(VLOOKUP(YEAR($A99),'NY East Load Projections'!$A$4:$EO$14,((MONTH($A99)-1)*12)+VLOOKUP(Y$4,$DE$6:$DF$17,2)+1))*(VLOOKUP($A99,CURVES!$D$9:$K$261,3))*(INDEX(DailyScalarsTable,Y$5/100,MONTH($A99)))*$B99</f>
        <v>-87836.319304029603</v>
      </c>
      <c r="Z99" s="1021">
        <f>(VLOOKUP(YEAR($A99),'NY East Load Projections'!$A$4:$EO$14,((MONTH($A99)-1)*12)+VLOOKUP(Z$4,$DE$6:$DF$17,2)+1))*(VLOOKUP($A99,CURVES!$D$9:$K$261,3))*(INDEX(DailyScalarsTable,Z$5/100,MONTH($A99)))*$B99</f>
        <v>-88524.313139091581</v>
      </c>
      <c r="AA99" s="1021">
        <f>(VLOOKUP(YEAR($A99),'NY East Load Projections'!$A$4:$EO$14,((MONTH($A99)-1)*12)+VLOOKUP(AA$4,$DE$6:$DF$17,2)+1))*(VLOOKUP($A99,CURVES!$D$9:$K$261,3))*(INDEX(DailyScalarsTable,AA$5/100,MONTH($A99)))*$B99</f>
        <v>-84659.837129381762</v>
      </c>
      <c r="AB99" s="1021">
        <f>(VLOOKUP(YEAR($A99),'NY East Load Projections'!$A$4:$EO$14,((MONTH($A99)-1)*12)+VLOOKUP(AB$4,$DE$6:$DF$17,2)+1))*(VLOOKUP($A99,CURVES!$D$9:$K$261,3))*(INDEX(DailyScalarsTable,AB$5/100,MONTH($A99)))*$B99</f>
        <v>-70404.804471369775</v>
      </c>
      <c r="AC99" s="1021">
        <f>(VLOOKUP(YEAR($A99),'NY East Load Projections'!$A$4:$EO$14,((MONTH($A99)-1)*12)+VLOOKUP(AC$4,$DE$6:$DF$17,2)+1))*(VLOOKUP($A99,CURVES!$D$9:$K$261,3))*(INDEX(DailyScalarsTable,AC$5/100,MONTH($A99)))*$B99</f>
        <v>-58403.910678981738</v>
      </c>
      <c r="AD99" s="1021">
        <f>(VLOOKUP(YEAR($A99),'NY East Load Projections'!$A$4:$EO$14,((MONTH($A99)-1)*12)+VLOOKUP(AD$4,$DE$6:$DF$17,2)+1))*(VLOOKUP($A99,CURVES!$D$9:$K$261,3))*(INDEX(DailyScalarsTable,AD$5/100,MONTH($A99)))*$B99</f>
        <v>-49795.146580929504</v>
      </c>
      <c r="AE99" s="1021">
        <f>(VLOOKUP(YEAR($A99),'NY East Load Projections'!$A$4:$EO$14,((MONTH($A99)-1)*12)+VLOOKUP(AE$4,$DE$6:$DF$17,2)+1))*(VLOOKUP($A99,CURVES!$D$9:$K$261,7))*(INDEX(DailyScalarsTable,AE$5/100,MONTH($A99)))*$B99</f>
        <v>-44144.142929394649</v>
      </c>
      <c r="AF99" s="1021"/>
      <c r="AG99" s="1021">
        <f>(VLOOKUP(YEAR($A99),'NY East Load Projections'!$A$4:$EO$14,((MONTH($A99)-1)*12)+VLOOKUP(AG$4,$DE$6:$DF$17,2)+1))*(VLOOKUP($A99,CURVES!$D$9:$T$261,7))*(INDEX(DailyScalarsTable,AG$5/100,MONTH($A99)))*$C99</f>
        <v>-7082.4906858477279</v>
      </c>
      <c r="AH99" s="1021">
        <f>(VLOOKUP(YEAR($A99),'NY East Load Projections'!$A$4:$EO$14,((MONTH($A99)-1)*12)+VLOOKUP(AH$4,$DE$6:$DF$17,2)+1))*(VLOOKUP($A99,CURVES!$D$9:$T$261,7))*(INDEX(DailyScalarsTable,AH$5/100,MONTH($A99)))*$C99</f>
        <v>-6722.2123286845417</v>
      </c>
      <c r="AI99" s="1021">
        <f>(VLOOKUP(YEAR($A99),'NY East Load Projections'!$A$4:$EO$14,((MONTH($A99)-1)*12)+VLOOKUP(AI$4,$DE$6:$DF$17,2)+1))*(VLOOKUP($A99,CURVES!$D$9:$T$261,7))*(INDEX(DailyScalarsTable,AI$5/100,MONTH($A99)))*$C99</f>
        <v>-6457.4114657592181</v>
      </c>
      <c r="AJ99" s="1021">
        <f>(VLOOKUP(YEAR($A99),'NY East Load Projections'!$A$4:$EO$14,((MONTH($A99)-1)*12)+VLOOKUP(AJ$4,$DE$6:$DF$17,2)+1))*(VLOOKUP($A99,CURVES!$D$9:$T$261,7))*(INDEX(DailyScalarsTable,AJ$5/100,MONTH($A99)))*$C99</f>
        <v>-6461.1410553778842</v>
      </c>
      <c r="AK99" s="1021">
        <f>(VLOOKUP(YEAR($A99),'NY East Load Projections'!$A$4:$EO$14,((MONTH($A99)-1)*12)+VLOOKUP(AK$4,$DE$6:$DF$17,2)+1))*(VLOOKUP($A99,CURVES!$D$9:$T$261,7))*(INDEX(DailyScalarsTable,AK$5/100,MONTH($A99)))*$C99</f>
        <v>-7015.9497176763925</v>
      </c>
      <c r="AL99" s="1021">
        <f>(VLOOKUP(YEAR($A99),'NY East Load Projections'!$A$4:$EO$14,((MONTH($A99)-1)*12)+VLOOKUP(AL$4,$DE$6:$DF$17,2)+1))*(VLOOKUP($A99,CURVES!$D$9:$T$261,7))*(INDEX(DailyScalarsTable,AL$5/100,MONTH($A99)))*$C99</f>
        <v>-8060.2017047973577</v>
      </c>
      <c r="AM99" s="1021">
        <f>(VLOOKUP(YEAR($A99),'NY East Load Projections'!$A$4:$EO$14,((MONTH($A99)-1)*12)+VLOOKUP(AM$4,$DE$6:$DF$17,2)+1))*(VLOOKUP($A99,CURVES!$D$9:$T$261,7))*(INDEX(DailyScalarsTable,AM$5/100,MONTH($A99)))*$C99</f>
        <v>-10419.802279031534</v>
      </c>
      <c r="AN99" s="1021">
        <f>(VLOOKUP(YEAR($A99),'NY East Load Projections'!$A$4:$EO$14,((MONTH($A99)-1)*12)+VLOOKUP(AN$4,$DE$6:$DF$17,2)+1))*(VLOOKUP($A99,SatSunCurve,3))*(INDEX(DailyScalarsTable,AN$5/100,MONTH($A99)))*$C99</f>
        <v>-9817.9045288327688</v>
      </c>
      <c r="AO99" s="1021">
        <f>(VLOOKUP(YEAR($A99),'NY East Load Projections'!$A$4:$EO$14,((MONTH($A99)-1)*12)+VLOOKUP(AO$4,$DE$6:$DF$17,2)+1))*(VLOOKUP($A99,SatSunCurve,3))*(INDEX(DailyScalarsTable,AO$5/100,MONTH($A99)))*$C99</f>
        <v>-11691.371385234861</v>
      </c>
      <c r="AP99" s="1021">
        <f>(VLOOKUP(YEAR($A99),'NY East Load Projections'!$A$4:$EO$14,((MONTH($A99)-1)*12)+VLOOKUP(AP$4,$DE$6:$DF$17,2)+1))*(VLOOKUP($A99,SatSunCurve,3))*(INDEX(DailyScalarsTable,AP$5/100,MONTH($A99)))*$C99</f>
        <v>-11655.242301844146</v>
      </c>
      <c r="AQ99" s="1021">
        <f>(VLOOKUP(YEAR($A99),'NY East Load Projections'!$A$4:$EO$14,((MONTH($A99)-1)*12)+VLOOKUP(AQ$4,$DE$6:$DF$17,2)+1))*(VLOOKUP($A99,SatSunCurve,3))*(INDEX(DailyScalarsTable,AQ$5/100,MONTH($A99)))*$C99</f>
        <v>-11589.177692215413</v>
      </c>
      <c r="AR99" s="1021">
        <f>(VLOOKUP(YEAR($A99),'NY East Load Projections'!$A$4:$EO$14,((MONTH($A99)-1)*12)+VLOOKUP(AR$4,$DE$6:$DF$17,2)+1))*(VLOOKUP($A99,SatSunCurve,3))*(INDEX(DailyScalarsTable,AR$5/100,MONTH($A99)))*$C99</f>
        <v>-9779.626744103396</v>
      </c>
      <c r="AS99" s="1021">
        <f>(VLOOKUP(YEAR($A99),'NY East Load Projections'!$A$4:$EO$14,((MONTH($A99)-1)*12)+VLOOKUP(AS$4,$DE$6:$DF$17,2)+1))*(VLOOKUP($A99,SatSunCurve,3))*(INDEX(DailyScalarsTable,AS$5/100,MONTH($A99)))*$C99</f>
        <v>-9391.4957979903447</v>
      </c>
      <c r="AT99" s="1021">
        <f>(VLOOKUP(YEAR($A99),'NY East Load Projections'!$A$4:$EO$14,((MONTH($A99)-1)*12)+VLOOKUP(AT$4,$DE$6:$DF$17,2)+1))*(VLOOKUP($A99,SatSunCurve,3))*(INDEX(DailyScalarsTable,AT$5/100,MONTH($A99)))*$C99</f>
        <v>-9130.8261202621034</v>
      </c>
      <c r="AU99" s="1021">
        <f>(VLOOKUP(YEAR($A99),'NY East Load Projections'!$A$4:$EO$14,((MONTH($A99)-1)*12)+VLOOKUP(AU$4,$DE$6:$DF$17,2)+1))*(VLOOKUP($A99,SatSunCurve,3))*(INDEX(DailyScalarsTable,AU$5/100,MONTH($A99)))*$C99</f>
        <v>-8918.7022124751547</v>
      </c>
      <c r="AV99" s="1021">
        <f>(VLOOKUP(YEAR($A99),'NY East Load Projections'!$A$4:$EO$14,((MONTH($A99)-1)*12)+VLOOKUP(AV$4,$DE$6:$DF$17,2)+1))*(VLOOKUP($A99,SatSunCurve,3))*(INDEX(DailyScalarsTable,AV$5/100,MONTH($A99)))*$C99</f>
        <v>-8857.4923286361354</v>
      </c>
      <c r="AW99" s="1021">
        <f>(VLOOKUP(YEAR($A99),'NY East Load Projections'!$A$4:$EO$14,((MONTH($A99)-1)*12)+VLOOKUP(AW$4,$DE$6:$DF$17,2)+1))*(VLOOKUP($A99,SatSunCurve,3))*(INDEX(DailyScalarsTable,AW$5/100,MONTH($A99)))*$C99</f>
        <v>-8700.8316139797043</v>
      </c>
      <c r="AX99" s="1021">
        <f>(VLOOKUP(YEAR($A99),'NY East Load Projections'!$A$4:$EO$14,((MONTH($A99)-1)*12)+VLOOKUP(AX$4,$DE$6:$DF$17,2)+1))*(VLOOKUP($A99,SatSunCurve,3))*(INDEX(DailyScalarsTable,AX$5/100,MONTH($A99)))*$C99</f>
        <v>-11737.711353346498</v>
      </c>
      <c r="AY99" s="1021">
        <f>(VLOOKUP(YEAR($A99),'NY East Load Projections'!$A$4:$EO$14,((MONTH($A99)-1)*12)+VLOOKUP(AY$4,$DE$6:$DF$17,2)+1))*(VLOOKUP($A99,SatSunCurve,3))*(INDEX(DailyScalarsTable,AY$5/100,MONTH($A99)))*$C99</f>
        <v>-11829.649097469035</v>
      </c>
      <c r="AZ99" s="1021">
        <f>(VLOOKUP(YEAR($A99),'NY East Load Projections'!$A$4:$EO$14,((MONTH($A99)-1)*12)+VLOOKUP(AZ$4,$DE$6:$DF$17,2)+1))*(VLOOKUP($A99,SatSunCurve,3))*(INDEX(DailyScalarsTable,AZ$5/100,MONTH($A99)))*$C99</f>
        <v>-11313.232832610529</v>
      </c>
      <c r="BA99" s="1021">
        <f>(VLOOKUP(YEAR($A99),'NY East Load Projections'!$A$4:$EO$14,((MONTH($A99)-1)*12)+VLOOKUP(BA$4,$DE$6:$DF$17,2)+1))*(VLOOKUP($A99,SatSunCurve,3))*(INDEX(DailyScalarsTable,BA$5/100,MONTH($A99)))*$C99</f>
        <v>-9960.3089147256196</v>
      </c>
      <c r="BB99" s="1021">
        <f>(VLOOKUP(YEAR($A99),'NY East Load Projections'!$A$4:$EO$14,((MONTH($A99)-1)*12)+VLOOKUP(BB$4,$DE$6:$DF$17,2)+1))*(VLOOKUP($A99,SatSunCurve,3))*(INDEX(DailyScalarsTable,BB$5/100,MONTH($A99)))*$C99</f>
        <v>-8262.5183971252754</v>
      </c>
      <c r="BC99" s="1021">
        <f>(VLOOKUP(YEAR($A99),'NY East Load Projections'!$A$4:$EO$14,((MONTH($A99)-1)*12)+VLOOKUP(BC$4,$DE$6:$DF$17,2)+1))*(VLOOKUP($A99,SatSunCurve,3))*(INDEX(DailyScalarsTable,BC$5/100,MONTH($A99)))*$C99</f>
        <v>-7044.6192717116373</v>
      </c>
      <c r="BD99" s="1021">
        <f>(VLOOKUP(YEAR($A99),'NY East Load Projections'!$A$4:$EO$14,((MONTH($A99)-1)*12)+VLOOKUP(BD$4,$DE$6:$DF$17,2)+1))*(VLOOKUP($A99,CURVES!$D$9:$T$261,7))*(INDEX(DailyScalarsTable,BD$5/100,MONTH($A99)))*$C99</f>
        <v>-8014.4555736061766</v>
      </c>
      <c r="BE99" s="1021"/>
      <c r="BF99" s="1021">
        <f>(VLOOKUP(YEAR($A99),'NY East Load Projections'!$A$4:$EO$14,((MONTH($A99)-1)*12)+VLOOKUP(BF$4,$DE$6:$DF$17,2)+1))*(VLOOKUP($A99,CURVES!$D$9:$T$261,7))*(INDEX(DailyScalarsTable,BF$5/100,MONTH($A99)))*$D99</f>
        <v>-7082.4906858477279</v>
      </c>
      <c r="BG99" s="1021">
        <f>(VLOOKUP(YEAR($A99),'NY East Load Projections'!$A$4:$EO$14,((MONTH($A99)-1)*12)+VLOOKUP(BG$4,$DE$6:$DF$17,2)+1))*(VLOOKUP($A99,CURVES!$D$9:$T$261,7))*(INDEX(DailyScalarsTable,BG$5/100,MONTH($A99)))*$D99</f>
        <v>-6722.2123286845417</v>
      </c>
      <c r="BH99" s="1021">
        <f>(VLOOKUP(YEAR($A99),'NY East Load Projections'!$A$4:$EO$14,((MONTH($A99)-1)*12)+VLOOKUP(BH$4,$DE$6:$DF$17,2)+1))*(VLOOKUP($A99,CURVES!$D$9:$T$261,7))*(INDEX(DailyScalarsTable,BH$5/100,MONTH($A99)))*$D99</f>
        <v>-6457.4114657592181</v>
      </c>
      <c r="BI99" s="1021">
        <f>(VLOOKUP(YEAR($A99),'NY East Load Projections'!$A$4:$EO$14,((MONTH($A99)-1)*12)+VLOOKUP(BI$4,$DE$6:$DF$17,2)+1))*(VLOOKUP($A99,CURVES!$D$9:$T$261,7))*(INDEX(DailyScalarsTable,BI$5/100,MONTH($A99)))*$D99</f>
        <v>-6461.1410553778842</v>
      </c>
      <c r="BJ99" s="1021">
        <f>(VLOOKUP(YEAR($A99),'NY East Load Projections'!$A$4:$EO$14,((MONTH($A99)-1)*12)+VLOOKUP(BJ$4,$DE$6:$DF$17,2)+1))*(VLOOKUP($A99,CURVES!$D$9:$T$261,7))*(INDEX(DailyScalarsTable,BJ$5/100,MONTH($A99)))*$D99</f>
        <v>-7015.9497176763925</v>
      </c>
      <c r="BK99" s="1021">
        <f>(VLOOKUP(YEAR($A99),'NY East Load Projections'!$A$4:$EO$14,((MONTH($A99)-1)*12)+VLOOKUP(BK$4,$DE$6:$DF$17,2)+1))*(VLOOKUP($A99,CURVES!$D$9:$T$261,7))*(INDEX(DailyScalarsTable,BK$5/100,MONTH($A99)))*$D99</f>
        <v>-8060.2017047973577</v>
      </c>
      <c r="BL99" s="1021">
        <f>(VLOOKUP(YEAR($A99),'NY East Load Projections'!$A$4:$EO$14,((MONTH($A99)-1)*12)+VLOOKUP(BL$4,$DE$6:$DF$17,2)+1))*(VLOOKUP($A99,CURVES!$D$9:$T$261,7))*(INDEX(DailyScalarsTable,BL$5/100,MONTH($A99)))*$D99</f>
        <v>-10419.802279031534</v>
      </c>
      <c r="BM99" s="1021">
        <f>(VLOOKUP(YEAR($A99),'NY East Load Projections'!$A$4:$EO$14,((MONTH($A99)-1)*12)+VLOOKUP(BM$4,$DE$6:$DF$17,2)+1))*(VLOOKUP($A99,SatSunCurve,7))*(INDEX(DailyScalarsTable,BM$5/100,MONTH($A99)))*$D99</f>
        <v>-8999.9672894167543</v>
      </c>
      <c r="BN99" s="1021">
        <f>(VLOOKUP(YEAR($A99),'NY East Load Projections'!$A$4:$EO$14,((MONTH($A99)-1)*12)+VLOOKUP(BN$4,$DE$6:$DF$17,2)+1))*(VLOOKUP($A99,SatSunCurve,7))*(INDEX(DailyScalarsTable,BN$5/100,MONTH($A99)))*$D99</f>
        <v>-10717.354169265531</v>
      </c>
      <c r="BO99" s="1021">
        <f>(VLOOKUP(YEAR($A99),'NY East Load Projections'!$A$4:$EO$14,((MONTH($A99)-1)*12)+VLOOKUP(BO$4,$DE$6:$DF$17,2)+1))*(VLOOKUP($A99,SatSunCurve,7))*(INDEX(DailyScalarsTable,BO$5/100,MONTH($A99)))*$D99</f>
        <v>-10684.23502782775</v>
      </c>
      <c r="BP99" s="1021">
        <f>(VLOOKUP(YEAR($A99),'NY East Load Projections'!$A$4:$EO$14,((MONTH($A99)-1)*12)+VLOOKUP(BP$4,$DE$6:$DF$17,2)+1))*(VLOOKUP($A99,SatSunCurve,7))*(INDEX(DailyScalarsTable,BP$5/100,MONTH($A99)))*$D99</f>
        <v>-10623.674312055809</v>
      </c>
      <c r="BQ99" s="1021">
        <f>(VLOOKUP(YEAR($A99),'NY East Load Projections'!$A$4:$EO$14,((MONTH($A99)-1)*12)+VLOOKUP(BQ$4,$DE$6:$DF$17,2)+1))*(VLOOKUP($A99,SatSunCurve,7))*(INDEX(DailyScalarsTable,BQ$5/100,MONTH($A99)))*$D99</f>
        <v>-8964.8784566150116</v>
      </c>
      <c r="BR99" s="1021">
        <f>(VLOOKUP(YEAR($A99),'NY East Load Projections'!$A$4:$EO$14,((MONTH($A99)-1)*12)+VLOOKUP(BR$4,$DE$6:$DF$17,2)+1))*(VLOOKUP($A99,SatSunCurve,7))*(INDEX(DailyScalarsTable,BR$5/100,MONTH($A99)))*$D99</f>
        <v>-8609.0830005918597</v>
      </c>
      <c r="BS99" s="1021">
        <f>(VLOOKUP(YEAR($A99),'NY East Load Projections'!$A$4:$EO$14,((MONTH($A99)-1)*12)+VLOOKUP(BS$4,$DE$6:$DF$17,2)+1))*(VLOOKUP($A99,SatSunCurve,7))*(INDEX(DailyScalarsTable,BS$5/100,MONTH($A99)))*$D99</f>
        <v>-8370.12991584681</v>
      </c>
      <c r="BT99" s="1021">
        <f>(VLOOKUP(YEAR($A99),'NY East Load Projections'!$A$4:$EO$14,((MONTH($A99)-1)*12)+VLOOKUP(BT$4,$DE$6:$DF$17,2)+1))*(VLOOKUP($A99,SatSunCurve,7))*(INDEX(DailyScalarsTable,BT$5/100,MONTH($A99)))*$D99</f>
        <v>-8175.6782153052927</v>
      </c>
      <c r="BU99" s="1021">
        <f>(VLOOKUP(YEAR($A99),'NY East Load Projections'!$A$4:$EO$14,((MONTH($A99)-1)*12)+VLOOKUP(BU$4,$DE$6:$DF$17,2)+1))*(VLOOKUP($A99,SatSunCurve,7))*(INDEX(DailyScalarsTable,BU$5/100,MONTH($A99)))*$D99</f>
        <v>-8119.567774353015</v>
      </c>
      <c r="BV99" s="1021">
        <f>(VLOOKUP(YEAR($A99),'NY East Load Projections'!$A$4:$EO$14,((MONTH($A99)-1)*12)+VLOOKUP(BV$4,$DE$6:$DF$17,2)+1))*(VLOOKUP($A99,SatSunCurve,7))*(INDEX(DailyScalarsTable,BV$5/100,MONTH($A99)))*$D99</f>
        <v>-7975.9585853143681</v>
      </c>
      <c r="BW99" s="1021">
        <f>(VLOOKUP(YEAR($A99),'NY East Load Projections'!$A$4:$EO$14,((MONTH($A99)-1)*12)+VLOOKUP(BW$4,$DE$6:$DF$17,2)+1))*(VLOOKUP($A99,SatSunCurve,7))*(INDEX(DailyScalarsTable,BW$5/100,MONTH($A99)))*$D99</f>
        <v>-10759.833518700285</v>
      </c>
      <c r="BX99" s="1021">
        <f>(VLOOKUP(YEAR($A99),'NY East Load Projections'!$A$4:$EO$14,((MONTH($A99)-1)*12)+VLOOKUP(BX$4,$DE$6:$DF$17,2)+1))*(VLOOKUP($A99,SatSunCurve,7))*(INDEX(DailyScalarsTable,BX$5/100,MONTH($A99)))*$D99</f>
        <v>-10844.111858068491</v>
      </c>
      <c r="BY99" s="1021">
        <f>(VLOOKUP(YEAR($A99),'NY East Load Projections'!$A$4:$EO$14,((MONTH($A99)-1)*12)+VLOOKUP(BY$4,$DE$6:$DF$17,2)+1))*(VLOOKUP($A99,SatSunCurve,7))*(INDEX(DailyScalarsTable,BY$5/100,MONTH($A99)))*$D99</f>
        <v>-10370.718632681128</v>
      </c>
      <c r="BZ99" s="1021">
        <f>(VLOOKUP(YEAR($A99),'NY East Load Projections'!$A$4:$EO$14,((MONTH($A99)-1)*12)+VLOOKUP(BZ$4,$DE$6:$DF$17,2)+1))*(VLOOKUP($A99,SatSunCurve,7))*(INDEX(DailyScalarsTable,BZ$5/100,MONTH($A99)))*$D99</f>
        <v>-9130.5078554959327</v>
      </c>
      <c r="CA99" s="1021">
        <f>(VLOOKUP(YEAR($A99),'NY East Load Projections'!$A$4:$EO$14,((MONTH($A99)-1)*12)+VLOOKUP(CA$4,$DE$6:$DF$17,2)+1))*(VLOOKUP($A99,SatSunCurve,7))*(INDEX(DailyScalarsTable,CA$5/100,MONTH($A99)))*$D99</f>
        <v>-7574.1615824382479</v>
      </c>
      <c r="CB99" s="1021">
        <f>(VLOOKUP(YEAR($A99),'NY East Load Projections'!$A$4:$EO$14,((MONTH($A99)-1)*12)+VLOOKUP(CB$4,$DE$6:$DF$17,2)+1))*(VLOOKUP($A99,SatSunCurve,7))*(INDEX(DailyScalarsTable,CB$5/100,MONTH($A99)))*$D99</f>
        <v>-6457.726577560974</v>
      </c>
      <c r="CC99" s="1021">
        <f>(VLOOKUP(YEAR($A99),'NY East Load Projections'!$A$4:$EO$14,((MONTH($A99)-1)*12)+VLOOKUP(CC$4,$DE$6:$DF$17,2)+1))*(VLOOKUP($A99,CURVES!$D$9:$T$261,7))*(INDEX(DailyScalarsTable,CC$5/100,MONTH($A99)))*$D99</f>
        <v>-8014.4555736061766</v>
      </c>
      <c r="CE99" s="1021">
        <f>(VLOOKUP(YEAR($A99),'NY East Load Projections'!$A$4:$EO$14,((MONTH($A99)-1)*12)+VLOOKUP(CE$4,$DE$6:$DF$17,2)+1))*(VLOOKUP($A99,CURVES!$D$9:$T$261,7))*(INDEX(DailyScalarsTable,CE$5/100,MONTH($A99)))*$E99</f>
        <v>0</v>
      </c>
      <c r="CF99" s="1021">
        <f>(VLOOKUP(YEAR($A99),'NY East Load Projections'!$A$4:$EO$14,((MONTH($A99)-1)*12)+VLOOKUP(CF$4,$DE$6:$DF$17,2)+1))*(VLOOKUP($A99,CURVES!$D$9:$T$261,7))*(INDEX(DailyScalarsTable,CF$5/100,MONTH($A99)))*$E99</f>
        <v>0</v>
      </c>
      <c r="CG99" s="1021">
        <f>(VLOOKUP(YEAR($A99),'NY East Load Projections'!$A$4:$EO$14,((MONTH($A99)-1)*12)+VLOOKUP(CG$4,$DE$6:$DF$17,2)+1))*(VLOOKUP($A99,CURVES!$D$9:$T$261,7))*(INDEX(DailyScalarsTable,CG$5/100,MONTH($A99)))*$E99</f>
        <v>0</v>
      </c>
      <c r="CH99" s="1021">
        <f>(VLOOKUP(YEAR($A99),'NY East Load Projections'!$A$4:$EO$14,((MONTH($A99)-1)*12)+VLOOKUP(CH$4,$DE$6:$DF$17,2)+1))*(VLOOKUP($A99,CURVES!$D$9:$T$261,7))*(INDEX(DailyScalarsTable,CH$5/100,MONTH($A99)))*$E99</f>
        <v>0</v>
      </c>
      <c r="CI99" s="1021">
        <f>(VLOOKUP(YEAR($A99),'NY East Load Projections'!$A$4:$EO$14,((MONTH($A99)-1)*12)+VLOOKUP(CI$4,$DE$6:$DF$17,2)+1))*(VLOOKUP($A99,CURVES!$D$9:$T$261,7))*(INDEX(DailyScalarsTable,CI$5/100,MONTH($A99)))*$E99</f>
        <v>0</v>
      </c>
      <c r="CJ99" s="1021">
        <f>(VLOOKUP(YEAR($A99),'NY East Load Projections'!$A$4:$EO$14,((MONTH($A99)-1)*12)+VLOOKUP(CJ$4,$DE$6:$DF$17,2)+1))*(VLOOKUP($A99,CURVES!$D$9:$T$261,7))*(INDEX(DailyScalarsTable,CJ$5/100,MONTH($A99)))*$E99</f>
        <v>0</v>
      </c>
      <c r="CK99" s="1021">
        <f>(VLOOKUP(YEAR($A99),'NY East Load Projections'!$A$4:$EO$14,((MONTH($A99)-1)*12)+VLOOKUP(CK$4,$DE$6:$DF$17,2)+1))*(VLOOKUP($A99,CURVES!$D$9:$T$261,7))*(INDEX(DailyScalarsTable,CK$5/100,MONTH($A99)))*$E99</f>
        <v>0</v>
      </c>
      <c r="CL99" s="1021">
        <f>(VLOOKUP(YEAR($A99),'NY East Load Projections'!$A$4:$EO$14,((MONTH($A99)-1)*12)+VLOOKUP(CL$4,$DE$6:$DF$17,2)+1))*(VLOOKUP($A99,SatSunCurve,7))*(INDEX(DailyScalarsTable,CL$5/100,MONTH($A99)))*$E99</f>
        <v>0</v>
      </c>
      <c r="CM99" s="1021">
        <f>(VLOOKUP(YEAR($A99),'NY East Load Projections'!$A$4:$EO$14,((MONTH($A99)-1)*12)+VLOOKUP(CM$4,$DE$6:$DF$17,2)+1))*(VLOOKUP($A99,SatSunCurve,7))*(INDEX(DailyScalarsTable,CM$5/100,MONTH($A99)))*$E99</f>
        <v>0</v>
      </c>
      <c r="CN99" s="1021">
        <f>(VLOOKUP(YEAR($A99),'NY East Load Projections'!$A$4:$EO$14,((MONTH($A99)-1)*12)+VLOOKUP(CN$4,$DE$6:$DF$17,2)+1))*(VLOOKUP($A99,SatSunCurve,7))*(INDEX(DailyScalarsTable,CN$5/100,MONTH($A99)))*$E99</f>
        <v>0</v>
      </c>
      <c r="CO99" s="1021">
        <f>(VLOOKUP(YEAR($A99),'NY East Load Projections'!$A$4:$EO$14,((MONTH($A99)-1)*12)+VLOOKUP(CO$4,$DE$6:$DF$17,2)+1))*(VLOOKUP($A99,SatSunCurve,7))*(INDEX(DailyScalarsTable,CO$5/100,MONTH($A99)))*$E99</f>
        <v>0</v>
      </c>
      <c r="CP99" s="1021">
        <f>(VLOOKUP(YEAR($A99),'NY East Load Projections'!$A$4:$EO$14,((MONTH($A99)-1)*12)+VLOOKUP(CP$4,$DE$6:$DF$17,2)+1))*(VLOOKUP($A99,SatSunCurve,7))*(INDEX(DailyScalarsTable,CP$5/100,MONTH($A99)))*$E99</f>
        <v>0</v>
      </c>
      <c r="CQ99" s="1021">
        <f>(VLOOKUP(YEAR($A99),'NY East Load Projections'!$A$4:$EO$14,((MONTH($A99)-1)*12)+VLOOKUP(CQ$4,$DE$6:$DF$17,2)+1))*(VLOOKUP($A99,SatSunCurve,7))*(INDEX(DailyScalarsTable,CQ$5/100,MONTH($A99)))*$E99</f>
        <v>0</v>
      </c>
      <c r="CR99" s="1021">
        <f>(VLOOKUP(YEAR($A99),'NY East Load Projections'!$A$4:$EO$14,((MONTH($A99)-1)*12)+VLOOKUP(CR$4,$DE$6:$DF$17,2)+1))*(VLOOKUP($A99,SatSunCurve,7))*(INDEX(DailyScalarsTable,CR$5/100,MONTH($A99)))*$E99</f>
        <v>0</v>
      </c>
      <c r="CS99" s="1021">
        <f>(VLOOKUP(YEAR($A99),'NY East Load Projections'!$A$4:$EO$14,((MONTH($A99)-1)*12)+VLOOKUP(CS$4,$DE$6:$DF$17,2)+1))*(VLOOKUP($A99,SatSunCurve,7))*(INDEX(DailyScalarsTable,CS$5/100,MONTH($A99)))*$E99</f>
        <v>0</v>
      </c>
      <c r="CT99" s="1021">
        <f>(VLOOKUP(YEAR($A99),'NY East Load Projections'!$A$4:$EO$14,((MONTH($A99)-1)*12)+VLOOKUP(CT$4,$DE$6:$DF$17,2)+1))*(VLOOKUP($A99,SatSunCurve,7))*(INDEX(DailyScalarsTable,CT$5/100,MONTH($A99)))*$E99</f>
        <v>0</v>
      </c>
      <c r="CU99" s="1021">
        <f>(VLOOKUP(YEAR($A99),'NY East Load Projections'!$A$4:$EO$14,((MONTH($A99)-1)*12)+VLOOKUP(CU$4,$DE$6:$DF$17,2)+1))*(VLOOKUP($A99,SatSunCurve,7))*(INDEX(DailyScalarsTable,CU$5/100,MONTH($A99)))*$E99</f>
        <v>0</v>
      </c>
      <c r="CV99" s="1021">
        <f>(VLOOKUP(YEAR($A99),'NY East Load Projections'!$A$4:$EO$14,((MONTH($A99)-1)*12)+VLOOKUP(CV$4,$DE$6:$DF$17,2)+1))*(VLOOKUP($A99,SatSunCurve,7))*(INDEX(DailyScalarsTable,CV$5/100,MONTH($A99)))*$E99</f>
        <v>0</v>
      </c>
      <c r="CW99" s="1021">
        <f>(VLOOKUP(YEAR($A99),'NY East Load Projections'!$A$4:$EO$14,((MONTH($A99)-1)*12)+VLOOKUP(CW$4,$DE$6:$DF$17,2)+1))*(VLOOKUP($A99,SatSunCurve,7))*(INDEX(DailyScalarsTable,CW$5/100,MONTH($A99)))*$E99</f>
        <v>0</v>
      </c>
      <c r="CX99" s="1021">
        <f>(VLOOKUP(YEAR($A99),'NY East Load Projections'!$A$4:$EO$14,((MONTH($A99)-1)*12)+VLOOKUP(CX$4,$DE$6:$DF$17,2)+1))*(VLOOKUP($A99,SatSunCurve,7))*(INDEX(DailyScalarsTable,CX$5/100,MONTH($A99)))*$E99</f>
        <v>0</v>
      </c>
      <c r="CY99" s="1021">
        <f>(VLOOKUP(YEAR($A99),'NY East Load Projections'!$A$4:$EO$14,((MONTH($A99)-1)*12)+VLOOKUP(CY$4,$DE$6:$DF$17,2)+1))*(VLOOKUP($A99,SatSunCurve,7))*(INDEX(DailyScalarsTable,CY$5/100,MONTH($A99)))*$E99</f>
        <v>0</v>
      </c>
      <c r="CZ99" s="1021">
        <f>(VLOOKUP(YEAR($A99),'NY East Load Projections'!$A$4:$EO$14,((MONTH($A99)-1)*12)+VLOOKUP(CZ$4,$DE$6:$DF$17,2)+1))*(VLOOKUP($A99,SatSunCurve,7))*(INDEX(DailyScalarsTable,CZ$5/100,MONTH($A99)))*$E99</f>
        <v>0</v>
      </c>
      <c r="DA99" s="1021">
        <f>(VLOOKUP(YEAR($A99),'NY East Load Projections'!$A$4:$EO$14,((MONTH($A99)-1)*12)+VLOOKUP(DA$4,$DE$6:$DF$17,2)+1))*(VLOOKUP($A99,SatSunCurve,7))*(INDEX(DailyScalarsTable,DA$5/100,MONTH($A99)))*$E99</f>
        <v>0</v>
      </c>
      <c r="DB99" s="1021">
        <f>(VLOOKUP(YEAR($A99),'NY East Load Projections'!$A$4:$EO$14,((MONTH($A99)-1)*12)+VLOOKUP(DB$4,$DE$6:$DF$17,2)+1))*(VLOOKUP($A99,CURVES!$D$9:$T$261,7))*(INDEX(DailyScalarsTable,DB$5/100,MONTH($A99)))*$E99</f>
        <v>0</v>
      </c>
      <c r="DH99" s="1032">
        <f t="shared" si="2"/>
        <v>-1928652.6180348056</v>
      </c>
      <c r="DI99">
        <f ca="1">CALC!J119</f>
        <v>0.53088701329765786</v>
      </c>
      <c r="DJ99" s="1029">
        <f t="shared" ca="1" si="3"/>
        <v>-1023896.6280772066</v>
      </c>
    </row>
    <row r="100" spans="1:114" x14ac:dyDescent="0.25">
      <c r="A100" s="244">
        <v>39753</v>
      </c>
      <c r="B100" s="13">
        <v>19</v>
      </c>
      <c r="C100" s="210">
        <v>5</v>
      </c>
      <c r="D100" s="210">
        <v>5</v>
      </c>
      <c r="E100" s="210">
        <v>1</v>
      </c>
      <c r="F100" s="13">
        <v>30</v>
      </c>
      <c r="H100" s="1021">
        <f>(VLOOKUP(YEAR($A100),'NY East Load Projections'!$A$4:$EO$14,((MONTH($A100)-1)*12)+VLOOKUP(H$4,$DE$6:$DF$17,2)+1))*(VLOOKUP($A100,CURVES!$D$9:$K$261,7))*(INDEX(DailyScalarsTable,H$5/100,MONTH($A100)))*$B100</f>
        <v>-30245.376571289173</v>
      </c>
      <c r="I100" s="1021">
        <f>(VLOOKUP(YEAR($A100),'NY East Load Projections'!$A$4:$EO$14,((MONTH($A100)-1)*12)+VLOOKUP(I$4,$DE$6:$DF$17,2)+1))*(VLOOKUP($A100,CURVES!$D$9:$K$261,7))*(INDEX(DailyScalarsTable,I$5/100,MONTH($A100)))*$B100</f>
        <v>-28673.723329338376</v>
      </c>
      <c r="J100" s="1021">
        <f>(VLOOKUP(YEAR($A100),'NY East Load Projections'!$A$4:$EO$14,((MONTH($A100)-1)*12)+VLOOKUP(J$4,$DE$6:$DF$17,2)+1))*(VLOOKUP($A100,CURVES!$D$9:$K$261,7))*(INDEX(DailyScalarsTable,J$5/100,MONTH($A100)))*$B100</f>
        <v>-27518.574466206835</v>
      </c>
      <c r="K100" s="1021">
        <f>(VLOOKUP(YEAR($A100),'NY East Load Projections'!$A$4:$EO$14,((MONTH($A100)-1)*12)+VLOOKUP(K$4,$DE$6:$DF$17,2)+1))*(VLOOKUP($A100,CURVES!$D$9:$K$261,7))*(INDEX(DailyScalarsTable,K$5/100,MONTH($A100)))*$B100</f>
        <v>-27534.84416850446</v>
      </c>
      <c r="L100" s="1021">
        <f>(VLOOKUP(YEAR($A100),'NY East Load Projections'!$A$4:$EO$14,((MONTH($A100)-1)*12)+VLOOKUP(L$4,$DE$6:$DF$17,2)+1))*(VLOOKUP($A100,CURVES!$D$9:$K$261,7))*(INDEX(DailyScalarsTable,L$5/100,MONTH($A100)))*$B100</f>
        <v>-31805.740881784026</v>
      </c>
      <c r="M100" s="1021">
        <f>(VLOOKUP(YEAR($A100),'NY East Load Projections'!$A$4:$EO$14,((MONTH($A100)-1)*12)+VLOOKUP(M$4,$DE$6:$DF$17,2)+1))*(VLOOKUP($A100,CURVES!$D$9:$K$261,7))*(INDEX(DailyScalarsTable,M$5/100,MONTH($A100)))*$B100</f>
        <v>-36644.143162642293</v>
      </c>
      <c r="N100" s="1021">
        <f>(VLOOKUP(YEAR($A100),'NY East Load Projections'!$A$4:$EO$14,((MONTH($A100)-1)*12)+VLOOKUP(N$4,$DE$6:$DF$17,2)+1))*(VLOOKUP($A100,CURVES!$D$9:$K$261,7))*(INDEX(DailyScalarsTable,N$5/100,MONTH($A100)))*$B100</f>
        <v>-52489.121190456593</v>
      </c>
      <c r="O100" s="1021">
        <f>(VLOOKUP(YEAR($A100),'NY East Load Projections'!$A$4:$EO$14,((MONTH($A100)-1)*12)+VLOOKUP(O$4,$DE$6:$DF$17,2)+1))*(VLOOKUP($A100,CURVES!$D$9:$K$261,3))*(INDEX(DailyScalarsTable,O$5/100,MONTH($A100)))*$B100</f>
        <v>-59873.49598768873</v>
      </c>
      <c r="P100" s="1021">
        <f>(VLOOKUP(YEAR($A100),'NY East Load Projections'!$A$4:$EO$14,((MONTH($A100)-1)*12)+VLOOKUP(P$4,$DE$6:$DF$17,2)+1))*(VLOOKUP($A100,CURVES!$D$9:$K$261,3))*(INDEX(DailyScalarsTable,P$5/100,MONTH($A100)))*$B100</f>
        <v>-67781.557862002883</v>
      </c>
      <c r="Q100" s="1021">
        <f>(VLOOKUP(YEAR($A100),'NY East Load Projections'!$A$4:$EO$14,((MONTH($A100)-1)*12)+VLOOKUP(Q$4,$DE$6:$DF$17,2)+1))*(VLOOKUP($A100,CURVES!$D$9:$K$261,3))*(INDEX(DailyScalarsTable,Q$5/100,MONTH($A100)))*$B100</f>
        <v>-67342.573503365711</v>
      </c>
      <c r="R100" s="1021">
        <f>(VLOOKUP(YEAR($A100),'NY East Load Projections'!$A$4:$EO$14,((MONTH($A100)-1)*12)+VLOOKUP(R$4,$DE$6:$DF$17,2)+1))*(VLOOKUP($A100,CURVES!$D$9:$K$261,3))*(INDEX(DailyScalarsTable,R$5/100,MONTH($A100)))*$B100</f>
        <v>-66043.417090642208</v>
      </c>
      <c r="S100" s="1021">
        <f>(VLOOKUP(YEAR($A100),'NY East Load Projections'!$A$4:$EO$14,((MONTH($A100)-1)*12)+VLOOKUP(S$4,$DE$6:$DF$17,2)+1))*(VLOOKUP($A100,CURVES!$D$9:$K$261,3))*(INDEX(DailyScalarsTable,S$5/100,MONTH($A100)))*$B100</f>
        <v>-55608.640241415633</v>
      </c>
      <c r="T100" s="1021">
        <f>(VLOOKUP(YEAR($A100),'NY East Load Projections'!$A$4:$EO$14,((MONTH($A100)-1)*12)+VLOOKUP(T$4,$DE$6:$DF$17,2)+1))*(VLOOKUP($A100,CURVES!$D$9:$K$261,3))*(INDEX(DailyScalarsTable,T$5/100,MONTH($A100)))*$B100</f>
        <v>-53643.538192150729</v>
      </c>
      <c r="U100" s="1021">
        <f>(VLOOKUP(YEAR($A100),'NY East Load Projections'!$A$4:$EO$14,((MONTH($A100)-1)*12)+VLOOKUP(U$4,$DE$6:$DF$17,2)+1))*(VLOOKUP($A100,CURVES!$D$9:$K$261,3))*(INDEX(DailyScalarsTable,U$5/100,MONTH($A100)))*$B100</f>
        <v>-52203.565539354298</v>
      </c>
      <c r="V100" s="1021">
        <f>(VLOOKUP(YEAR($A100),'NY East Load Projections'!$A$4:$EO$14,((MONTH($A100)-1)*12)+VLOOKUP(V$4,$DE$6:$DF$17,2)+1))*(VLOOKUP($A100,CURVES!$D$9:$K$261,3))*(INDEX(DailyScalarsTable,V$5/100,MONTH($A100)))*$B100</f>
        <v>-50982.322909767448</v>
      </c>
      <c r="W100" s="1021">
        <f>(VLOOKUP(YEAR($A100),'NY East Load Projections'!$A$4:$EO$14,((MONTH($A100)-1)*12)+VLOOKUP(W$4,$DE$6:$DF$17,2)+1))*(VLOOKUP($A100,CURVES!$D$9:$K$261,3))*(INDEX(DailyScalarsTable,W$5/100,MONTH($A100)))*$B100</f>
        <v>-50143.857820797377</v>
      </c>
      <c r="X100" s="1021">
        <f>(VLOOKUP(YEAR($A100),'NY East Load Projections'!$A$4:$EO$14,((MONTH($A100)-1)*12)+VLOOKUP(X$4,$DE$6:$DF$17,2)+1))*(VLOOKUP($A100,CURVES!$D$9:$K$261,3))*(INDEX(DailyScalarsTable,X$5/100,MONTH($A100)))*$B100</f>
        <v>-51915.72248986092</v>
      </c>
      <c r="Y100" s="1021">
        <f>(VLOOKUP(YEAR($A100),'NY East Load Projections'!$A$4:$EO$14,((MONTH($A100)-1)*12)+VLOOKUP(Y$4,$DE$6:$DF$17,2)+1))*(VLOOKUP($A100,CURVES!$D$9:$K$261,3))*(INDEX(DailyScalarsTable,Y$5/100,MONTH($A100)))*$B100</f>
        <v>-71268.470383949607</v>
      </c>
      <c r="Z100" s="1021">
        <f>(VLOOKUP(YEAR($A100),'NY East Load Projections'!$A$4:$EO$14,((MONTH($A100)-1)*12)+VLOOKUP(Z$4,$DE$6:$DF$17,2)+1))*(VLOOKUP($A100,CURVES!$D$9:$K$261,3))*(INDEX(DailyScalarsTable,Z$5/100,MONTH($A100)))*$B100</f>
        <v>-71842.318884288703</v>
      </c>
      <c r="AA100" s="1021">
        <f>(VLOOKUP(YEAR($A100),'NY East Load Projections'!$A$4:$EO$14,((MONTH($A100)-1)*12)+VLOOKUP(AA$4,$DE$6:$DF$17,2)+1))*(VLOOKUP($A100,CURVES!$D$9:$K$261,3))*(INDEX(DailyScalarsTable,AA$5/100,MONTH($A100)))*$B100</f>
        <v>-68902.809219286428</v>
      </c>
      <c r="AB100" s="1021">
        <f>(VLOOKUP(YEAR($A100),'NY East Load Projections'!$A$4:$EO$14,((MONTH($A100)-1)*12)+VLOOKUP(AB$4,$DE$6:$DF$17,2)+1))*(VLOOKUP($A100,CURVES!$D$9:$K$261,3))*(INDEX(DailyScalarsTable,AB$5/100,MONTH($A100)))*$B100</f>
        <v>-58479.941857294885</v>
      </c>
      <c r="AC100" s="1021">
        <f>(VLOOKUP(YEAR($A100),'NY East Load Projections'!$A$4:$EO$14,((MONTH($A100)-1)*12)+VLOOKUP(AC$4,$DE$6:$DF$17,2)+1))*(VLOOKUP($A100,CURVES!$D$9:$K$261,3))*(INDEX(DailyScalarsTable,AC$5/100,MONTH($A100)))*$B100</f>
        <v>-46519.722322333393</v>
      </c>
      <c r="AD100" s="1021">
        <f>(VLOOKUP(YEAR($A100),'NY East Load Projections'!$A$4:$EO$14,((MONTH($A100)-1)*12)+VLOOKUP(AD$4,$DE$6:$DF$17,2)+1))*(VLOOKUP($A100,CURVES!$D$9:$K$261,3))*(INDEX(DailyScalarsTable,AD$5/100,MONTH($A100)))*$B100</f>
        <v>-39231.883117599333</v>
      </c>
      <c r="AE100" s="1021">
        <f>(VLOOKUP(YEAR($A100),'NY East Load Projections'!$A$4:$EO$14,((MONTH($A100)-1)*12)+VLOOKUP(AE$4,$DE$6:$DF$17,2)+1))*(VLOOKUP($A100,CURVES!$D$9:$K$261,7))*(INDEX(DailyScalarsTable,AE$5/100,MONTH($A100)))*$B100</f>
        <v>-35425.032500248759</v>
      </c>
      <c r="AF100" s="1021"/>
      <c r="AG100" s="1021">
        <f>(VLOOKUP(YEAR($A100),'NY East Load Projections'!$A$4:$EO$14,((MONTH($A100)-1)*12)+VLOOKUP(AG$4,$DE$6:$DF$17,2)+1))*(VLOOKUP($A100,CURVES!$D$9:$T$261,7))*(INDEX(DailyScalarsTable,AG$5/100,MONTH($A100)))*$C100</f>
        <v>-8177.4736816127006</v>
      </c>
      <c r="AH100" s="1021">
        <f>(VLOOKUP(YEAR($A100),'NY East Load Projections'!$A$4:$EO$14,((MONTH($A100)-1)*12)+VLOOKUP(AH$4,$DE$6:$DF$17,2)+1))*(VLOOKUP($A100,CURVES!$D$9:$T$261,7))*(INDEX(DailyScalarsTable,AH$5/100,MONTH($A100)))*$C100</f>
        <v>-7752.5441723906524</v>
      </c>
      <c r="AI100" s="1021">
        <f>(VLOOKUP(YEAR($A100),'NY East Load Projections'!$A$4:$EO$14,((MONTH($A100)-1)*12)+VLOOKUP(AI$4,$DE$6:$DF$17,2)+1))*(VLOOKUP($A100,CURVES!$D$9:$T$261,7))*(INDEX(DailyScalarsTable,AI$5/100,MONTH($A100)))*$C100</f>
        <v>-7440.2253819686503</v>
      </c>
      <c r="AJ100" s="1021">
        <f>(VLOOKUP(YEAR($A100),'NY East Load Projections'!$A$4:$EO$14,((MONTH($A100)-1)*12)+VLOOKUP(AJ$4,$DE$6:$DF$17,2)+1))*(VLOOKUP($A100,CURVES!$D$9:$T$261,7))*(INDEX(DailyScalarsTable,AJ$5/100,MONTH($A100)))*$C100</f>
        <v>-7444.6242381717775</v>
      </c>
      <c r="AK100" s="1021">
        <f>(VLOOKUP(YEAR($A100),'NY East Load Projections'!$A$4:$EO$14,((MONTH($A100)-1)*12)+VLOOKUP(AK$4,$DE$6:$DF$17,2)+1))*(VLOOKUP($A100,CURVES!$D$9:$T$261,7))*(INDEX(DailyScalarsTable,AK$5/100,MONTH($A100)))*$C100</f>
        <v>-8099.3407474947999</v>
      </c>
      <c r="AL100" s="1021">
        <f>(VLOOKUP(YEAR($A100),'NY East Load Projections'!$A$4:$EO$14,((MONTH($A100)-1)*12)+VLOOKUP(AL$4,$DE$6:$DF$17,2)+1))*(VLOOKUP($A100,CURVES!$D$9:$T$261,7))*(INDEX(DailyScalarsTable,AL$5/100,MONTH($A100)))*$C100</f>
        <v>-9331.4412318627346</v>
      </c>
      <c r="AM100" s="1021">
        <f>(VLOOKUP(YEAR($A100),'NY East Load Projections'!$A$4:$EO$14,((MONTH($A100)-1)*12)+VLOOKUP(AM$4,$DE$6:$DF$17,2)+1))*(VLOOKUP($A100,CURVES!$D$9:$T$261,7))*(INDEX(DailyScalarsTable,AM$5/100,MONTH($A100)))*$C100</f>
        <v>-13366.369286544095</v>
      </c>
      <c r="AN100" s="1021">
        <f>(VLOOKUP(YEAR($A100),'NY East Load Projections'!$A$4:$EO$14,((MONTH($A100)-1)*12)+VLOOKUP(AN$4,$DE$6:$DF$17,2)+1))*(VLOOKUP($A100,SatSunCurve,3))*(INDEX(DailyScalarsTable,AN$5/100,MONTH($A100)))*$C100</f>
        <v>-12229.110055693156</v>
      </c>
      <c r="AO100" s="1021">
        <f>(VLOOKUP(YEAR($A100),'NY East Load Projections'!$A$4:$EO$14,((MONTH($A100)-1)*12)+VLOOKUP(AO$4,$DE$6:$DF$17,2)+1))*(VLOOKUP($A100,SatSunCurve,3))*(INDEX(DailyScalarsTable,AO$5/100,MONTH($A100)))*$C100</f>
        <v>-13909.385021700708</v>
      </c>
      <c r="AP100" s="1021">
        <f>(VLOOKUP(YEAR($A100),'NY East Load Projections'!$A$4:$EO$14,((MONTH($A100)-1)*12)+VLOOKUP(AP$4,$DE$6:$DF$17,2)+1))*(VLOOKUP($A100,SatSunCurve,3))*(INDEX(DailyScalarsTable,AP$5/100,MONTH($A100)))*$C100</f>
        <v>-13819.301484889411</v>
      </c>
      <c r="AQ100" s="1021">
        <f>(VLOOKUP(YEAR($A100),'NY East Load Projections'!$A$4:$EO$14,((MONTH($A100)-1)*12)+VLOOKUP(AQ$4,$DE$6:$DF$17,2)+1))*(VLOOKUP($A100,SatSunCurve,3))*(INDEX(DailyScalarsTable,AQ$5/100,MONTH($A100)))*$C100</f>
        <v>-13552.702909731661</v>
      </c>
      <c r="AR100" s="1021">
        <f>(VLOOKUP(YEAR($A100),'NY East Load Projections'!$A$4:$EO$14,((MONTH($A100)-1)*12)+VLOOKUP(AR$4,$DE$6:$DF$17,2)+1))*(VLOOKUP($A100,SatSunCurve,3))*(INDEX(DailyScalarsTable,AR$5/100,MONTH($A100)))*$C100</f>
        <v>-11411.392892825348</v>
      </c>
      <c r="AS100" s="1021">
        <f>(VLOOKUP(YEAR($A100),'NY East Load Projections'!$A$4:$EO$14,((MONTH($A100)-1)*12)+VLOOKUP(AS$4,$DE$6:$DF$17,2)+1))*(VLOOKUP($A100,SatSunCurve,3))*(INDEX(DailyScalarsTable,AS$5/100,MONTH($A100)))*$C100</f>
        <v>-11080.631680655815</v>
      </c>
      <c r="AT100" s="1021">
        <f>(VLOOKUP(YEAR($A100),'NY East Load Projections'!$A$4:$EO$14,((MONTH($A100)-1)*12)+VLOOKUP(AT$4,$DE$6:$DF$17,2)+1))*(VLOOKUP($A100,SatSunCurve,3))*(INDEX(DailyScalarsTable,AT$5/100,MONTH($A100)))*$C100</f>
        <v>-10783.190327352448</v>
      </c>
      <c r="AU100" s="1021">
        <f>(VLOOKUP(YEAR($A100),'NY East Load Projections'!$A$4:$EO$14,((MONTH($A100)-1)*12)+VLOOKUP(AU$4,$DE$6:$DF$17,2)+1))*(VLOOKUP($A100,SatSunCurve,3))*(INDEX(DailyScalarsTable,AU$5/100,MONTH($A100)))*$C100</f>
        <v>-10530.929939107818</v>
      </c>
      <c r="AV100" s="1021">
        <f>(VLOOKUP(YEAR($A100),'NY East Load Projections'!$A$4:$EO$14,((MONTH($A100)-1)*12)+VLOOKUP(AV$4,$DE$6:$DF$17,2)+1))*(VLOOKUP($A100,SatSunCurve,3))*(INDEX(DailyScalarsTable,AV$5/100,MONTH($A100)))*$C100</f>
        <v>-10357.736239715985</v>
      </c>
      <c r="AW100" s="1021">
        <f>(VLOOKUP(YEAR($A100),'NY East Load Projections'!$A$4:$EO$14,((MONTH($A100)-1)*12)+VLOOKUP(AW$4,$DE$6:$DF$17,2)+1))*(VLOOKUP($A100,SatSunCurve,3))*(INDEX(DailyScalarsTable,AW$5/100,MONTH($A100)))*$C100</f>
        <v>-10593.42665340243</v>
      </c>
      <c r="AX100" s="1021">
        <f>(VLOOKUP(YEAR($A100),'NY East Load Projections'!$A$4:$EO$14,((MONTH($A100)-1)*12)+VLOOKUP(AX$4,$DE$6:$DF$17,2)+1))*(VLOOKUP($A100,SatSunCurve,3))*(INDEX(DailyScalarsTable,AX$5/100,MONTH($A100)))*$C100</f>
        <v>-14542.36361364324</v>
      </c>
      <c r="AY100" s="1021">
        <f>(VLOOKUP(YEAR($A100),'NY East Load Projections'!$A$4:$EO$14,((MONTH($A100)-1)*12)+VLOOKUP(AY$4,$DE$6:$DF$17,2)+1))*(VLOOKUP($A100,SatSunCurve,3))*(INDEX(DailyScalarsTable,AY$5/100,MONTH($A100)))*$C100</f>
        <v>-14659.457659665512</v>
      </c>
      <c r="AZ100" s="1021">
        <f>(VLOOKUP(YEAR($A100),'NY East Load Projections'!$A$4:$EO$14,((MONTH($A100)-1)*12)+VLOOKUP(AZ$4,$DE$6:$DF$17,2)+1))*(VLOOKUP($A100,SatSunCurve,3))*(INDEX(DailyScalarsTable,AZ$5/100,MONTH($A100)))*$C100</f>
        <v>-14059.649383102458</v>
      </c>
      <c r="BA100" s="1021">
        <f>(VLOOKUP(YEAR($A100),'NY East Load Projections'!$A$4:$EO$14,((MONTH($A100)-1)*12)+VLOOKUP(BA$4,$DE$6:$DF$17,2)+1))*(VLOOKUP($A100,SatSunCurve,3))*(INDEX(DailyScalarsTable,BA$5/100,MONTH($A100)))*$C100</f>
        <v>-12411.684696019272</v>
      </c>
      <c r="BB100" s="1021">
        <f>(VLOOKUP(YEAR($A100),'NY East Load Projections'!$A$4:$EO$14,((MONTH($A100)-1)*12)+VLOOKUP(BB$4,$DE$6:$DF$17,2)+1))*(VLOOKUP($A100,SatSunCurve,3))*(INDEX(DailyScalarsTable,BB$5/100,MONTH($A100)))*$C100</f>
        <v>-9873.267778209105</v>
      </c>
      <c r="BC100" s="1021">
        <f>(VLOOKUP(YEAR($A100),'NY East Load Projections'!$A$4:$EO$14,((MONTH($A100)-1)*12)+VLOOKUP(BC$4,$DE$6:$DF$17,2)+1))*(VLOOKUP($A100,SatSunCurve,3))*(INDEX(DailyScalarsTable,BC$5/100,MONTH($A100)))*$C100</f>
        <v>-8326.5090186813104</v>
      </c>
      <c r="BD100" s="1021">
        <f>(VLOOKUP(YEAR($A100),'NY East Load Projections'!$A$4:$EO$14,((MONTH($A100)-1)*12)+VLOOKUP(BD$4,$DE$6:$DF$17,2)+1))*(VLOOKUP($A100,CURVES!$D$9:$T$261,7))*(INDEX(DailyScalarsTable,BD$5/100,MONTH($A100)))*$C100</f>
        <v>-9373.8495175098997</v>
      </c>
      <c r="BE100" s="1021"/>
      <c r="BF100" s="1021">
        <f>(VLOOKUP(YEAR($A100),'NY East Load Projections'!$A$4:$EO$14,((MONTH($A100)-1)*12)+VLOOKUP(BF$4,$DE$6:$DF$17,2)+1))*(VLOOKUP($A100,CURVES!$D$9:$T$261,7))*(INDEX(DailyScalarsTable,BF$5/100,MONTH($A100)))*$D100</f>
        <v>-8177.4736816127006</v>
      </c>
      <c r="BG100" s="1021">
        <f>(VLOOKUP(YEAR($A100),'NY East Load Projections'!$A$4:$EO$14,((MONTH($A100)-1)*12)+VLOOKUP(BG$4,$DE$6:$DF$17,2)+1))*(VLOOKUP($A100,CURVES!$D$9:$T$261,7))*(INDEX(DailyScalarsTable,BG$5/100,MONTH($A100)))*$D100</f>
        <v>-7752.5441723906524</v>
      </c>
      <c r="BH100" s="1021">
        <f>(VLOOKUP(YEAR($A100),'NY East Load Projections'!$A$4:$EO$14,((MONTH($A100)-1)*12)+VLOOKUP(BH$4,$DE$6:$DF$17,2)+1))*(VLOOKUP($A100,CURVES!$D$9:$T$261,7))*(INDEX(DailyScalarsTable,BH$5/100,MONTH($A100)))*$D100</f>
        <v>-7440.2253819686503</v>
      </c>
      <c r="BI100" s="1021">
        <f>(VLOOKUP(YEAR($A100),'NY East Load Projections'!$A$4:$EO$14,((MONTH($A100)-1)*12)+VLOOKUP(BI$4,$DE$6:$DF$17,2)+1))*(VLOOKUP($A100,CURVES!$D$9:$T$261,7))*(INDEX(DailyScalarsTable,BI$5/100,MONTH($A100)))*$D100</f>
        <v>-7444.6242381717775</v>
      </c>
      <c r="BJ100" s="1021">
        <f>(VLOOKUP(YEAR($A100),'NY East Load Projections'!$A$4:$EO$14,((MONTH($A100)-1)*12)+VLOOKUP(BJ$4,$DE$6:$DF$17,2)+1))*(VLOOKUP($A100,CURVES!$D$9:$T$261,7))*(INDEX(DailyScalarsTable,BJ$5/100,MONTH($A100)))*$D100</f>
        <v>-8099.3407474947999</v>
      </c>
      <c r="BK100" s="1021">
        <f>(VLOOKUP(YEAR($A100),'NY East Load Projections'!$A$4:$EO$14,((MONTH($A100)-1)*12)+VLOOKUP(BK$4,$DE$6:$DF$17,2)+1))*(VLOOKUP($A100,CURVES!$D$9:$T$261,7))*(INDEX(DailyScalarsTable,BK$5/100,MONTH($A100)))*$D100</f>
        <v>-9331.4412318627346</v>
      </c>
      <c r="BL100" s="1021">
        <f>(VLOOKUP(YEAR($A100),'NY East Load Projections'!$A$4:$EO$14,((MONTH($A100)-1)*12)+VLOOKUP(BL$4,$DE$6:$DF$17,2)+1))*(VLOOKUP($A100,CURVES!$D$9:$T$261,7))*(INDEX(DailyScalarsTable,BL$5/100,MONTH($A100)))*$D100</f>
        <v>-13366.369286544095</v>
      </c>
      <c r="BM100" s="1021">
        <f>(VLOOKUP(YEAR($A100),'NY East Load Projections'!$A$4:$EO$14,((MONTH($A100)-1)*12)+VLOOKUP(BM$4,$DE$6:$DF$17,2)+1))*(VLOOKUP($A100,SatSunCurve,7))*(INDEX(DailyScalarsTable,BM$5/100,MONTH($A100)))*$D100</f>
        <v>-11250.844026949027</v>
      </c>
      <c r="BN100" s="1021">
        <f>(VLOOKUP(YEAR($A100),'NY East Load Projections'!$A$4:$EO$14,((MONTH($A100)-1)*12)+VLOOKUP(BN$4,$DE$6:$DF$17,2)+1))*(VLOOKUP($A100,SatSunCurve,7))*(INDEX(DailyScalarsTable,BN$5/100,MONTH($A100)))*$D100</f>
        <v>-12796.705621034296</v>
      </c>
      <c r="BO100" s="1021">
        <f>(VLOOKUP(YEAR($A100),'NY East Load Projections'!$A$4:$EO$14,((MONTH($A100)-1)*12)+VLOOKUP(BO$4,$DE$6:$DF$17,2)+1))*(VLOOKUP($A100,SatSunCurve,7))*(INDEX(DailyScalarsTable,BO$5/100,MONTH($A100)))*$D100</f>
        <v>-12713.828304741932</v>
      </c>
      <c r="BP100" s="1021">
        <f>(VLOOKUP(YEAR($A100),'NY East Load Projections'!$A$4:$EO$14,((MONTH($A100)-1)*12)+VLOOKUP(BP$4,$DE$6:$DF$17,2)+1))*(VLOOKUP($A100,SatSunCurve,7))*(INDEX(DailyScalarsTable,BP$5/100,MONTH($A100)))*$D100</f>
        <v>-12468.556247065884</v>
      </c>
      <c r="BQ100" s="1021">
        <f>(VLOOKUP(YEAR($A100),'NY East Load Projections'!$A$4:$EO$14,((MONTH($A100)-1)*12)+VLOOKUP(BQ$4,$DE$6:$DF$17,2)+1))*(VLOOKUP($A100,SatSunCurve,7))*(INDEX(DailyScalarsTable,BQ$5/100,MONTH($A100)))*$D100</f>
        <v>-10498.540039521748</v>
      </c>
      <c r="BR100" s="1021">
        <f>(VLOOKUP(YEAR($A100),'NY East Load Projections'!$A$4:$EO$14,((MONTH($A100)-1)*12)+VLOOKUP(BR$4,$DE$6:$DF$17,2)+1))*(VLOOKUP($A100,SatSunCurve,7))*(INDEX(DailyScalarsTable,BR$5/100,MONTH($A100)))*$D100</f>
        <v>-10194.238026428688</v>
      </c>
      <c r="BS100" s="1021">
        <f>(VLOOKUP(YEAR($A100),'NY East Load Projections'!$A$4:$EO$14,((MONTH($A100)-1)*12)+VLOOKUP(BS$4,$DE$6:$DF$17,2)+1))*(VLOOKUP($A100,SatSunCurve,7))*(INDEX(DailyScalarsTable,BS$5/100,MONTH($A100)))*$D100</f>
        <v>-9920.5904545333869</v>
      </c>
      <c r="BT100" s="1021">
        <f>(VLOOKUP(YEAR($A100),'NY East Load Projections'!$A$4:$EO$14,((MONTH($A100)-1)*12)+VLOOKUP(BT$4,$DE$6:$DF$17,2)+1))*(VLOOKUP($A100,SatSunCurve,7))*(INDEX(DailyScalarsTable,BT$5/100,MONTH($A100)))*$D100</f>
        <v>-9688.5096024196519</v>
      </c>
      <c r="BU100" s="1021">
        <f>(VLOOKUP(YEAR($A100),'NY East Load Projections'!$A$4:$EO$14,((MONTH($A100)-1)*12)+VLOOKUP(BU$4,$DE$6:$DF$17,2)+1))*(VLOOKUP($A100,SatSunCurve,7))*(INDEX(DailyScalarsTable,BU$5/100,MONTH($A100)))*$D100</f>
        <v>-9529.1705099236569</v>
      </c>
      <c r="BV100" s="1021">
        <f>(VLOOKUP(YEAR($A100),'NY East Load Projections'!$A$4:$EO$14,((MONTH($A100)-1)*12)+VLOOKUP(BV$4,$DE$6:$DF$17,2)+1))*(VLOOKUP($A100,SatSunCurve,7))*(INDEX(DailyScalarsTable,BV$5/100,MONTH($A100)))*$D100</f>
        <v>-9746.0069003851841</v>
      </c>
      <c r="BW100" s="1021">
        <f>(VLOOKUP(YEAR($A100),'NY East Load Projections'!$A$4:$EO$14,((MONTH($A100)-1)*12)+VLOOKUP(BW$4,$DE$6:$DF$17,2)+1))*(VLOOKUP($A100,SatSunCurve,7))*(INDEX(DailyScalarsTable,BW$5/100,MONTH($A100)))*$D100</f>
        <v>-13379.049174891505</v>
      </c>
      <c r="BX100" s="1021">
        <f>(VLOOKUP(YEAR($A100),'NY East Load Projections'!$A$4:$EO$14,((MONTH($A100)-1)*12)+VLOOKUP(BX$4,$DE$6:$DF$17,2)+1))*(VLOOKUP($A100,SatSunCurve,7))*(INDEX(DailyScalarsTable,BX$5/100,MONTH($A100)))*$D100</f>
        <v>-13486.776298311059</v>
      </c>
      <c r="BY100" s="1021">
        <f>(VLOOKUP(YEAR($A100),'NY East Load Projections'!$A$4:$EO$14,((MONTH($A100)-1)*12)+VLOOKUP(BY$4,$DE$6:$DF$17,2)+1))*(VLOOKUP($A100,SatSunCurve,7))*(INDEX(DailyScalarsTable,BY$5/100,MONTH($A100)))*$D100</f>
        <v>-12934.94960487621</v>
      </c>
      <c r="BZ100" s="1021">
        <f>(VLOOKUP(YEAR($A100),'NY East Load Projections'!$A$4:$EO$14,((MONTH($A100)-1)*12)+VLOOKUP(BZ$4,$DE$6:$DF$17,2)+1))*(VLOOKUP($A100,SatSunCurve,7))*(INDEX(DailyScalarsTable,BZ$5/100,MONTH($A100)))*$D100</f>
        <v>-11418.813633259762</v>
      </c>
      <c r="CA100" s="1021">
        <f>(VLOOKUP(YEAR($A100),'NY East Load Projections'!$A$4:$EO$14,((MONTH($A100)-1)*12)+VLOOKUP(CA$4,$DE$6:$DF$17,2)+1))*(VLOOKUP($A100,SatSunCurve,7))*(INDEX(DailyScalarsTable,CA$5/100,MONTH($A100)))*$D100</f>
        <v>-9083.4570384145536</v>
      </c>
      <c r="CB100" s="1021">
        <f>(VLOOKUP(YEAR($A100),'NY East Load Projections'!$A$4:$EO$14,((MONTH($A100)-1)*12)+VLOOKUP(CB$4,$DE$6:$DF$17,2)+1))*(VLOOKUP($A100,SatSunCurve,7))*(INDEX(DailyScalarsTable,CB$5/100,MONTH($A100)))*$D100</f>
        <v>-7660.4310396696283</v>
      </c>
      <c r="CC100" s="1021">
        <f>(VLOOKUP(YEAR($A100),'NY East Load Projections'!$A$4:$EO$14,((MONTH($A100)-1)*12)+VLOOKUP(CC$4,$DE$6:$DF$17,2)+1))*(VLOOKUP($A100,CURVES!$D$9:$T$261,7))*(INDEX(DailyScalarsTable,CC$5/100,MONTH($A100)))*$D100</f>
        <v>-9373.8495175098997</v>
      </c>
      <c r="CE100" s="1021">
        <f>(VLOOKUP(YEAR($A100),'NY East Load Projections'!$A$4:$EO$14,((MONTH($A100)-1)*12)+VLOOKUP(CE$4,$DE$6:$DF$17,2)+1))*(VLOOKUP($A100,CURVES!$D$9:$T$261,7))*(INDEX(DailyScalarsTable,CE$5/100,MONTH($A100)))*$E100</f>
        <v>-1635.4947363225401</v>
      </c>
      <c r="CF100" s="1021">
        <f>(VLOOKUP(YEAR($A100),'NY East Load Projections'!$A$4:$EO$14,((MONTH($A100)-1)*12)+VLOOKUP(CF$4,$DE$6:$DF$17,2)+1))*(VLOOKUP($A100,CURVES!$D$9:$T$261,7))*(INDEX(DailyScalarsTable,CF$5/100,MONTH($A100)))*$E100</f>
        <v>-1550.5088344781304</v>
      </c>
      <c r="CG100" s="1021">
        <f>(VLOOKUP(YEAR($A100),'NY East Load Projections'!$A$4:$EO$14,((MONTH($A100)-1)*12)+VLOOKUP(CG$4,$DE$6:$DF$17,2)+1))*(VLOOKUP($A100,CURVES!$D$9:$T$261,7))*(INDEX(DailyScalarsTable,CG$5/100,MONTH($A100)))*$E100</f>
        <v>-1488.0450763937301</v>
      </c>
      <c r="CH100" s="1021">
        <f>(VLOOKUP(YEAR($A100),'NY East Load Projections'!$A$4:$EO$14,((MONTH($A100)-1)*12)+VLOOKUP(CH$4,$DE$6:$DF$17,2)+1))*(VLOOKUP($A100,CURVES!$D$9:$T$261,7))*(INDEX(DailyScalarsTable,CH$5/100,MONTH($A100)))*$E100</f>
        <v>-1488.9248476343555</v>
      </c>
      <c r="CI100" s="1021">
        <f>(VLOOKUP(YEAR($A100),'NY East Load Projections'!$A$4:$EO$14,((MONTH($A100)-1)*12)+VLOOKUP(CI$4,$DE$6:$DF$17,2)+1))*(VLOOKUP($A100,CURVES!$D$9:$T$261,7))*(INDEX(DailyScalarsTable,CI$5/100,MONTH($A100)))*$E100</f>
        <v>-1619.8681494989601</v>
      </c>
      <c r="CJ100" s="1021">
        <f>(VLOOKUP(YEAR($A100),'NY East Load Projections'!$A$4:$EO$14,((MONTH($A100)-1)*12)+VLOOKUP(CJ$4,$DE$6:$DF$17,2)+1))*(VLOOKUP($A100,CURVES!$D$9:$T$261,7))*(INDEX(DailyScalarsTable,CJ$5/100,MONTH($A100)))*$E100</f>
        <v>-1866.2882463725471</v>
      </c>
      <c r="CK100" s="1021">
        <f>(VLOOKUP(YEAR($A100),'NY East Load Projections'!$A$4:$EO$14,((MONTH($A100)-1)*12)+VLOOKUP(CK$4,$DE$6:$DF$17,2)+1))*(VLOOKUP($A100,CURVES!$D$9:$T$261,7))*(INDEX(DailyScalarsTable,CK$5/100,MONTH($A100)))*$E100</f>
        <v>-2673.2738573088191</v>
      </c>
      <c r="CL100" s="1021">
        <f>(VLOOKUP(YEAR($A100),'NY East Load Projections'!$A$4:$EO$14,((MONTH($A100)-1)*12)+VLOOKUP(CL$4,$DE$6:$DF$17,2)+1))*(VLOOKUP($A100,SatSunCurve,7))*(INDEX(DailyScalarsTable,CL$5/100,MONTH($A100)))*$E100</f>
        <v>-2250.1688053898056</v>
      </c>
      <c r="CM100" s="1021">
        <f>(VLOOKUP(YEAR($A100),'NY East Load Projections'!$A$4:$EO$14,((MONTH($A100)-1)*12)+VLOOKUP(CM$4,$DE$6:$DF$17,2)+1))*(VLOOKUP($A100,SatSunCurve,7))*(INDEX(DailyScalarsTable,CM$5/100,MONTH($A100)))*$E100</f>
        <v>-2559.3411242068591</v>
      </c>
      <c r="CN100" s="1021">
        <f>(VLOOKUP(YEAR($A100),'NY East Load Projections'!$A$4:$EO$14,((MONTH($A100)-1)*12)+VLOOKUP(CN$4,$DE$6:$DF$17,2)+1))*(VLOOKUP($A100,SatSunCurve,7))*(INDEX(DailyScalarsTable,CN$5/100,MONTH($A100)))*$E100</f>
        <v>-2542.7656609483865</v>
      </c>
      <c r="CO100" s="1021">
        <f>(VLOOKUP(YEAR($A100),'NY East Load Projections'!$A$4:$EO$14,((MONTH($A100)-1)*12)+VLOOKUP(CO$4,$DE$6:$DF$17,2)+1))*(VLOOKUP($A100,SatSunCurve,7))*(INDEX(DailyScalarsTable,CO$5/100,MONTH($A100)))*$E100</f>
        <v>-2493.711249413177</v>
      </c>
      <c r="CP100" s="1021">
        <f>(VLOOKUP(YEAR($A100),'NY East Load Projections'!$A$4:$EO$14,((MONTH($A100)-1)*12)+VLOOKUP(CP$4,$DE$6:$DF$17,2)+1))*(VLOOKUP($A100,SatSunCurve,7))*(INDEX(DailyScalarsTable,CP$5/100,MONTH($A100)))*$E100</f>
        <v>-2099.7080079043494</v>
      </c>
      <c r="CQ100" s="1021">
        <f>(VLOOKUP(YEAR($A100),'NY East Load Projections'!$A$4:$EO$14,((MONTH($A100)-1)*12)+VLOOKUP(CQ$4,$DE$6:$DF$17,2)+1))*(VLOOKUP($A100,SatSunCurve,7))*(INDEX(DailyScalarsTable,CQ$5/100,MONTH($A100)))*$E100</f>
        <v>-2038.8476052857375</v>
      </c>
      <c r="CR100" s="1021">
        <f>(VLOOKUP(YEAR($A100),'NY East Load Projections'!$A$4:$EO$14,((MONTH($A100)-1)*12)+VLOOKUP(CR$4,$DE$6:$DF$17,2)+1))*(VLOOKUP($A100,SatSunCurve,7))*(INDEX(DailyScalarsTable,CR$5/100,MONTH($A100)))*$E100</f>
        <v>-1984.1180909066775</v>
      </c>
      <c r="CS100" s="1021">
        <f>(VLOOKUP(YEAR($A100),'NY East Load Projections'!$A$4:$EO$14,((MONTH($A100)-1)*12)+VLOOKUP(CS$4,$DE$6:$DF$17,2)+1))*(VLOOKUP($A100,SatSunCurve,7))*(INDEX(DailyScalarsTable,CS$5/100,MONTH($A100)))*$E100</f>
        <v>-1937.7019204839305</v>
      </c>
      <c r="CT100" s="1021">
        <f>(VLOOKUP(YEAR($A100),'NY East Load Projections'!$A$4:$EO$14,((MONTH($A100)-1)*12)+VLOOKUP(CT$4,$DE$6:$DF$17,2)+1))*(VLOOKUP($A100,SatSunCurve,7))*(INDEX(DailyScalarsTable,CT$5/100,MONTH($A100)))*$E100</f>
        <v>-1905.8341019847312</v>
      </c>
      <c r="CU100" s="1021">
        <f>(VLOOKUP(YEAR($A100),'NY East Load Projections'!$A$4:$EO$14,((MONTH($A100)-1)*12)+VLOOKUP(CU$4,$DE$6:$DF$17,2)+1))*(VLOOKUP($A100,SatSunCurve,7))*(INDEX(DailyScalarsTable,CU$5/100,MONTH($A100)))*$E100</f>
        <v>-1949.2013800770369</v>
      </c>
      <c r="CV100" s="1021">
        <f>(VLOOKUP(YEAR($A100),'NY East Load Projections'!$A$4:$EO$14,((MONTH($A100)-1)*12)+VLOOKUP(CV$4,$DE$6:$DF$17,2)+1))*(VLOOKUP($A100,SatSunCurve,7))*(INDEX(DailyScalarsTable,CV$5/100,MONTH($A100)))*$E100</f>
        <v>-2675.8098349783008</v>
      </c>
      <c r="CW100" s="1021">
        <f>(VLOOKUP(YEAR($A100),'NY East Load Projections'!$A$4:$EO$14,((MONTH($A100)-1)*12)+VLOOKUP(CW$4,$DE$6:$DF$17,2)+1))*(VLOOKUP($A100,SatSunCurve,7))*(INDEX(DailyScalarsTable,CW$5/100,MONTH($A100)))*$E100</f>
        <v>-2697.3552596622117</v>
      </c>
      <c r="CX100" s="1021">
        <f>(VLOOKUP(YEAR($A100),'NY East Load Projections'!$A$4:$EO$14,((MONTH($A100)-1)*12)+VLOOKUP(CX$4,$DE$6:$DF$17,2)+1))*(VLOOKUP($A100,SatSunCurve,7))*(INDEX(DailyScalarsTable,CX$5/100,MONTH($A100)))*$E100</f>
        <v>-2586.9899209752421</v>
      </c>
      <c r="CY100" s="1021">
        <f>(VLOOKUP(YEAR($A100),'NY East Load Projections'!$A$4:$EO$14,((MONTH($A100)-1)*12)+VLOOKUP(CY$4,$DE$6:$DF$17,2)+1))*(VLOOKUP($A100,SatSunCurve,7))*(INDEX(DailyScalarsTable,CY$5/100,MONTH($A100)))*$E100</f>
        <v>-2283.7627266519526</v>
      </c>
      <c r="CZ100" s="1021">
        <f>(VLOOKUP(YEAR($A100),'NY East Load Projections'!$A$4:$EO$14,((MONTH($A100)-1)*12)+VLOOKUP(CZ$4,$DE$6:$DF$17,2)+1))*(VLOOKUP($A100,SatSunCurve,7))*(INDEX(DailyScalarsTable,CZ$5/100,MONTH($A100)))*$E100</f>
        <v>-1816.6914076829107</v>
      </c>
      <c r="DA100" s="1021">
        <f>(VLOOKUP(YEAR($A100),'NY East Load Projections'!$A$4:$EO$14,((MONTH($A100)-1)*12)+VLOOKUP(DA$4,$DE$6:$DF$17,2)+1))*(VLOOKUP($A100,SatSunCurve,7))*(INDEX(DailyScalarsTable,DA$5/100,MONTH($A100)))*$E100</f>
        <v>-1532.0862079339256</v>
      </c>
      <c r="DB100" s="1021">
        <f>(VLOOKUP(YEAR($A100),'NY East Load Projections'!$A$4:$EO$14,((MONTH($A100)-1)*12)+VLOOKUP(DB$4,$DE$6:$DF$17,2)+1))*(VLOOKUP($A100,CURVES!$D$9:$T$261,7))*(INDEX(DailyScalarsTable,DB$5/100,MONTH($A100)))*$E100</f>
        <v>-1874.76990350198</v>
      </c>
      <c r="DH100" s="1032">
        <f t="shared" si="2"/>
        <v>-1762554.6030401967</v>
      </c>
      <c r="DI100">
        <f ca="1">CALC!J120</f>
        <v>0.52766161927294875</v>
      </c>
      <c r="DJ100" s="1029">
        <f t="shared" ca="1" si="3"/>
        <v>-930032.41589717963</v>
      </c>
    </row>
    <row r="101" spans="1:114" x14ac:dyDescent="0.25">
      <c r="A101" s="244">
        <v>39783</v>
      </c>
      <c r="B101" s="13">
        <v>22</v>
      </c>
      <c r="C101" s="210">
        <v>4</v>
      </c>
      <c r="D101" s="210">
        <v>4</v>
      </c>
      <c r="E101" s="210">
        <v>1</v>
      </c>
      <c r="F101" s="13">
        <v>31</v>
      </c>
      <c r="H101" s="1021">
        <f>(VLOOKUP(YEAR($A101),'NY East Load Projections'!$A$4:$EO$14,((MONTH($A101)-1)*12)+VLOOKUP(H$4,$DE$6:$DF$17,2)+1))*(VLOOKUP($A101,CURVES!$D$9:$K$261,7))*(INDEX(DailyScalarsTable,H$5/100,MONTH($A101)))*$B101</f>
        <v>-36326.070133835921</v>
      </c>
      <c r="I101" s="1021">
        <f>(VLOOKUP(YEAR($A101),'NY East Load Projections'!$A$4:$EO$14,((MONTH($A101)-1)*12)+VLOOKUP(I$4,$DE$6:$DF$17,2)+1))*(VLOOKUP($A101,CURVES!$D$9:$K$261,7))*(INDEX(DailyScalarsTable,I$5/100,MONTH($A101)))*$B101</f>
        <v>-34438.443251141696</v>
      </c>
      <c r="J101" s="1021">
        <f>(VLOOKUP(YEAR($A101),'NY East Load Projections'!$A$4:$EO$14,((MONTH($A101)-1)*12)+VLOOKUP(J$4,$DE$6:$DF$17,2)+1))*(VLOOKUP($A101,CURVES!$D$9:$K$261,7))*(INDEX(DailyScalarsTable,J$5/100,MONTH($A101)))*$B101</f>
        <v>-33051.05703301241</v>
      </c>
      <c r="K101" s="1021">
        <f>(VLOOKUP(YEAR($A101),'NY East Load Projections'!$A$4:$EO$14,((MONTH($A101)-1)*12)+VLOOKUP(K$4,$DE$6:$DF$17,2)+1))*(VLOOKUP($A101,CURVES!$D$9:$K$261,7))*(INDEX(DailyScalarsTable,K$5/100,MONTH($A101)))*$B101</f>
        <v>-33070.597683971973</v>
      </c>
      <c r="L101" s="1021">
        <f>(VLOOKUP(YEAR($A101),'NY East Load Projections'!$A$4:$EO$14,((MONTH($A101)-1)*12)+VLOOKUP(L$4,$DE$6:$DF$17,2)+1))*(VLOOKUP($A101,CURVES!$D$9:$K$261,7))*(INDEX(DailyScalarsTable,L$5/100,MONTH($A101)))*$B101</f>
        <v>-38786.078548893114</v>
      </c>
      <c r="M101" s="1021">
        <f>(VLOOKUP(YEAR($A101),'NY East Load Projections'!$A$4:$EO$14,((MONTH($A101)-1)*12)+VLOOKUP(M$4,$DE$6:$DF$17,2)+1))*(VLOOKUP($A101,CURVES!$D$9:$K$261,7))*(INDEX(DailyScalarsTable,M$5/100,MONTH($A101)))*$B101</f>
        <v>-44686.354590693845</v>
      </c>
      <c r="N101" s="1021">
        <f>(VLOOKUP(YEAR($A101),'NY East Load Projections'!$A$4:$EO$14,((MONTH($A101)-1)*12)+VLOOKUP(N$4,$DE$6:$DF$17,2)+1))*(VLOOKUP($A101,CURVES!$D$9:$K$261,7))*(INDEX(DailyScalarsTable,N$5/100,MONTH($A101)))*$B101</f>
        <v>-64008.795928454609</v>
      </c>
      <c r="O101" s="1021">
        <f>(VLOOKUP(YEAR($A101),'NY East Load Projections'!$A$4:$EO$14,((MONTH($A101)-1)*12)+VLOOKUP(O$4,$DE$6:$DF$17,2)+1))*(VLOOKUP($A101,CURVES!$D$9:$K$261,3))*(INDEX(DailyScalarsTable,O$5/100,MONTH($A101)))*$B101</f>
        <v>-68798.608656112759</v>
      </c>
      <c r="P101" s="1021">
        <f>(VLOOKUP(YEAR($A101),'NY East Load Projections'!$A$4:$EO$14,((MONTH($A101)-1)*12)+VLOOKUP(P$4,$DE$6:$DF$17,2)+1))*(VLOOKUP($A101,CURVES!$D$9:$K$261,3))*(INDEX(DailyScalarsTable,P$5/100,MONTH($A101)))*$B101</f>
        <v>-78157.610619697109</v>
      </c>
      <c r="Q101" s="1021">
        <f>(VLOOKUP(YEAR($A101),'NY East Load Projections'!$A$4:$EO$14,((MONTH($A101)-1)*12)+VLOOKUP(Q$4,$DE$6:$DF$17,2)+1))*(VLOOKUP($A101,CURVES!$D$9:$K$261,3))*(INDEX(DailyScalarsTable,Q$5/100,MONTH($A101)))*$B101</f>
        <v>-77761.382829134993</v>
      </c>
      <c r="R101" s="1021">
        <f>(VLOOKUP(YEAR($A101),'NY East Load Projections'!$A$4:$EO$14,((MONTH($A101)-1)*12)+VLOOKUP(R$4,$DE$6:$DF$17,2)+1))*(VLOOKUP($A101,CURVES!$D$9:$K$261,3))*(INDEX(DailyScalarsTable,R$5/100,MONTH($A101)))*$B101</f>
        <v>-76069.020062666212</v>
      </c>
      <c r="S101" s="1021">
        <f>(VLOOKUP(YEAR($A101),'NY East Load Projections'!$A$4:$EO$14,((MONTH($A101)-1)*12)+VLOOKUP(S$4,$DE$6:$DF$17,2)+1))*(VLOOKUP($A101,CURVES!$D$9:$K$261,3))*(INDEX(DailyScalarsTable,S$5/100,MONTH($A101)))*$B101</f>
        <v>-61811.535327693106</v>
      </c>
      <c r="T101" s="1021">
        <f>(VLOOKUP(YEAR($A101),'NY East Load Projections'!$A$4:$EO$14,((MONTH($A101)-1)*12)+VLOOKUP(T$4,$DE$6:$DF$17,2)+1))*(VLOOKUP($A101,CURVES!$D$9:$K$261,3))*(INDEX(DailyScalarsTable,T$5/100,MONTH($A101)))*$B101</f>
        <v>-59404.068698302355</v>
      </c>
      <c r="U101" s="1021">
        <f>(VLOOKUP(YEAR($A101),'NY East Load Projections'!$A$4:$EO$14,((MONTH($A101)-1)*12)+VLOOKUP(U$4,$DE$6:$DF$17,2)+1))*(VLOOKUP($A101,CURVES!$D$9:$K$261,3))*(INDEX(DailyScalarsTable,U$5/100,MONTH($A101)))*$B101</f>
        <v>-56844.309423041188</v>
      </c>
      <c r="V101" s="1021">
        <f>(VLOOKUP(YEAR($A101),'NY East Load Projections'!$A$4:$EO$14,((MONTH($A101)-1)*12)+VLOOKUP(V$4,$DE$6:$DF$17,2)+1))*(VLOOKUP($A101,CURVES!$D$9:$K$261,3))*(INDEX(DailyScalarsTable,V$5/100,MONTH($A101)))*$B101</f>
        <v>-53985.798402126195</v>
      </c>
      <c r="W101" s="1021">
        <f>(VLOOKUP(YEAR($A101),'NY East Load Projections'!$A$4:$EO$14,((MONTH($A101)-1)*12)+VLOOKUP(W$4,$DE$6:$DF$17,2)+1))*(VLOOKUP($A101,CURVES!$D$9:$K$261,3))*(INDEX(DailyScalarsTable,W$5/100,MONTH($A101)))*$B101</f>
        <v>-53048.804290757384</v>
      </c>
      <c r="X101" s="1021">
        <f>(VLOOKUP(YEAR($A101),'NY East Load Projections'!$A$4:$EO$14,((MONTH($A101)-1)*12)+VLOOKUP(X$4,$DE$6:$DF$17,2)+1))*(VLOOKUP($A101,CURVES!$D$9:$K$261,3))*(INDEX(DailyScalarsTable,X$5/100,MONTH($A101)))*$B101</f>
        <v>-57536.126757255348</v>
      </c>
      <c r="Y101" s="1021">
        <f>(VLOOKUP(YEAR($A101),'NY East Load Projections'!$A$4:$EO$14,((MONTH($A101)-1)*12)+VLOOKUP(Y$4,$DE$6:$DF$17,2)+1))*(VLOOKUP($A101,CURVES!$D$9:$K$261,3))*(INDEX(DailyScalarsTable,Y$5/100,MONTH($A101)))*$B101</f>
        <v>-81088.212720032883</v>
      </c>
      <c r="Z101" s="1021">
        <f>(VLOOKUP(YEAR($A101),'NY East Load Projections'!$A$4:$EO$14,((MONTH($A101)-1)*12)+VLOOKUP(Z$4,$DE$6:$DF$17,2)+1))*(VLOOKUP($A101,CURVES!$D$9:$K$261,3))*(INDEX(DailyScalarsTable,Z$5/100,MONTH($A101)))*$B101</f>
        <v>-80547.96099236497</v>
      </c>
      <c r="AA101" s="1021">
        <f>(VLOOKUP(YEAR($A101),'NY East Load Projections'!$A$4:$EO$14,((MONTH($A101)-1)*12)+VLOOKUP(AA$4,$DE$6:$DF$17,2)+1))*(VLOOKUP($A101,CURVES!$D$9:$K$261,3))*(INDEX(DailyScalarsTable,AA$5/100,MONTH($A101)))*$B101</f>
        <v>-77774.263652902941</v>
      </c>
      <c r="AB101" s="1021">
        <f>(VLOOKUP(YEAR($A101),'NY East Load Projections'!$A$4:$EO$14,((MONTH($A101)-1)*12)+VLOOKUP(AB$4,$DE$6:$DF$17,2)+1))*(VLOOKUP($A101,CURVES!$D$9:$K$261,3))*(INDEX(DailyScalarsTable,AB$5/100,MONTH($A101)))*$B101</f>
        <v>-69503.296587152974</v>
      </c>
      <c r="AC101" s="1021">
        <f>(VLOOKUP(YEAR($A101),'NY East Load Projections'!$A$4:$EO$14,((MONTH($A101)-1)*12)+VLOOKUP(AC$4,$DE$6:$DF$17,2)+1))*(VLOOKUP($A101,CURVES!$D$9:$K$261,3))*(INDEX(DailyScalarsTable,AC$5/100,MONTH($A101)))*$B101</f>
        <v>-51237.552870673979</v>
      </c>
      <c r="AD101" s="1021">
        <f>(VLOOKUP(YEAR($A101),'NY East Load Projections'!$A$4:$EO$14,((MONTH($A101)-1)*12)+VLOOKUP(AD$4,$DE$6:$DF$17,2)+1))*(VLOOKUP($A101,CURVES!$D$9:$K$261,3))*(INDEX(DailyScalarsTable,AD$5/100,MONTH($A101)))*$B101</f>
        <v>-42271.733284378708</v>
      </c>
      <c r="AE101" s="1021">
        <f>(VLOOKUP(YEAR($A101),'NY East Load Projections'!$A$4:$EO$14,((MONTH($A101)-1)*12)+VLOOKUP(AE$4,$DE$6:$DF$17,2)+1))*(VLOOKUP($A101,CURVES!$D$9:$K$261,7))*(INDEX(DailyScalarsTable,AE$5/100,MONTH($A101)))*$B101</f>
        <v>-42752.100594981086</v>
      </c>
      <c r="AF101" s="1021"/>
      <c r="AG101" s="1021">
        <f>(VLOOKUP(YEAR($A101),'NY East Load Projections'!$A$4:$EO$14,((MONTH($A101)-1)*12)+VLOOKUP(AG$4,$DE$6:$DF$17,2)+1))*(VLOOKUP($A101,CURVES!$D$9:$T$261,7))*(INDEX(DailyScalarsTable,AG$5/100,MONTH($A101)))*$C101</f>
        <v>-6853.2855836362696</v>
      </c>
      <c r="AH101" s="1021">
        <f>(VLOOKUP(YEAR($A101),'NY East Load Projections'!$A$4:$EO$14,((MONTH($A101)-1)*12)+VLOOKUP(AH$4,$DE$6:$DF$17,2)+1))*(VLOOKUP($A101,CURVES!$D$9:$T$261,7))*(INDEX(DailyScalarsTable,AH$5/100,MONTH($A101)))*$C101</f>
        <v>-6497.1654182897046</v>
      </c>
      <c r="AI101" s="1021">
        <f>(VLOOKUP(YEAR($A101),'NY East Load Projections'!$A$4:$EO$14,((MONTH($A101)-1)*12)+VLOOKUP(AI$4,$DE$6:$DF$17,2)+1))*(VLOOKUP($A101,CURVES!$D$9:$T$261,7))*(INDEX(DailyScalarsTable,AI$5/100,MONTH($A101)))*$C101</f>
        <v>-6235.4207833041346</v>
      </c>
      <c r="AJ101" s="1021">
        <f>(VLOOKUP(YEAR($A101),'NY East Load Projections'!$A$4:$EO$14,((MONTH($A101)-1)*12)+VLOOKUP(AJ$4,$DE$6:$DF$17,2)+1))*(VLOOKUP($A101,CURVES!$D$9:$T$261,7))*(INDEX(DailyScalarsTable,AJ$5/100,MONTH($A101)))*$C101</f>
        <v>-6239.1073274588607</v>
      </c>
      <c r="AK101" s="1021">
        <f>(VLOOKUP(YEAR($A101),'NY East Load Projections'!$A$4:$EO$14,((MONTH($A101)-1)*12)+VLOOKUP(AK$4,$DE$6:$DF$17,2)+1))*(VLOOKUP($A101,CURVES!$D$9:$T$261,7))*(INDEX(DailyScalarsTable,AK$5/100,MONTH($A101)))*$C101</f>
        <v>-6834.9226840224692</v>
      </c>
      <c r="AL101" s="1021">
        <f>(VLOOKUP(YEAR($A101),'NY East Load Projections'!$A$4:$EO$14,((MONTH($A101)-1)*12)+VLOOKUP(AL$4,$DE$6:$DF$17,2)+1))*(VLOOKUP($A101,CURVES!$D$9:$T$261,7))*(INDEX(DailyScalarsTable,AL$5/100,MONTH($A101)))*$C101</f>
        <v>-7874.6754012058109</v>
      </c>
      <c r="AM101" s="1021">
        <f>(VLOOKUP(YEAR($A101),'NY East Load Projections'!$A$4:$EO$14,((MONTH($A101)-1)*12)+VLOOKUP(AM$4,$DE$6:$DF$17,2)+1))*(VLOOKUP($A101,CURVES!$D$9:$T$261,7))*(INDEX(DailyScalarsTable,AM$5/100,MONTH($A101)))*$C101</f>
        <v>-11279.6959021485</v>
      </c>
      <c r="AN101" s="1021">
        <f>(VLOOKUP(YEAR($A101),'NY East Load Projections'!$A$4:$EO$14,((MONTH($A101)-1)*12)+VLOOKUP(AN$4,$DE$6:$DF$17,2)+1))*(VLOOKUP($A101,SatSunCurve,3))*(INDEX(DailyScalarsTable,AN$5/100,MONTH($A101)))*$C101</f>
        <v>-10329.600467859442</v>
      </c>
      <c r="AO101" s="1021">
        <f>(VLOOKUP(YEAR($A101),'NY East Load Projections'!$A$4:$EO$14,((MONTH($A101)-1)*12)+VLOOKUP(AO$4,$DE$6:$DF$17,2)+1))*(VLOOKUP($A101,SatSunCurve,3))*(INDEX(DailyScalarsTable,AO$5/100,MONTH($A101)))*$C101</f>
        <v>-11801.076661297468</v>
      </c>
      <c r="AP101" s="1021">
        <f>(VLOOKUP(YEAR($A101),'NY East Load Projections'!$A$4:$EO$14,((MONTH($A101)-1)*12)+VLOOKUP(AP$4,$DE$6:$DF$17,2)+1))*(VLOOKUP($A101,SatSunCurve,3))*(INDEX(DailyScalarsTable,AP$5/100,MONTH($A101)))*$C101</f>
        <v>-11741.249927922614</v>
      </c>
      <c r="AQ101" s="1021">
        <f>(VLOOKUP(YEAR($A101),'NY East Load Projections'!$A$4:$EO$14,((MONTH($A101)-1)*12)+VLOOKUP(AQ$4,$DE$6:$DF$17,2)+1))*(VLOOKUP($A101,SatSunCurve,3))*(INDEX(DailyScalarsTable,AQ$5/100,MONTH($A101)))*$C101</f>
        <v>-11485.718795541883</v>
      </c>
      <c r="AR101" s="1021">
        <f>(VLOOKUP(YEAR($A101),'NY East Load Projections'!$A$4:$EO$14,((MONTH($A101)-1)*12)+VLOOKUP(AR$4,$DE$6:$DF$17,2)+1))*(VLOOKUP($A101,SatSunCurve,3))*(INDEX(DailyScalarsTable,AR$5/100,MONTH($A101)))*$C101</f>
        <v>-9332.9704064772213</v>
      </c>
      <c r="AS101" s="1021">
        <f>(VLOOKUP(YEAR($A101),'NY East Load Projections'!$A$4:$EO$14,((MONTH($A101)-1)*12)+VLOOKUP(AS$4,$DE$6:$DF$17,2)+1))*(VLOOKUP($A101,SatSunCurve,3))*(INDEX(DailyScalarsTable,AS$5/100,MONTH($A101)))*$C101</f>
        <v>-8968.2117323179518</v>
      </c>
      <c r="AT101" s="1021">
        <f>(VLOOKUP(YEAR($A101),'NY East Load Projections'!$A$4:$EO$14,((MONTH($A101)-1)*12)+VLOOKUP(AT$4,$DE$6:$DF$17,2)+1))*(VLOOKUP($A101,SatSunCurve,3))*(INDEX(DailyScalarsTable,AT$5/100,MONTH($A101)))*$C101</f>
        <v>-8581.7657587113845</v>
      </c>
      <c r="AU101" s="1021">
        <f>(VLOOKUP(YEAR($A101),'NY East Load Projections'!$A$4:$EO$14,((MONTH($A101)-1)*12)+VLOOKUP(AU$4,$DE$6:$DF$17,2)+1))*(VLOOKUP($A101,SatSunCurve,3))*(INDEX(DailyScalarsTable,AU$5/100,MONTH($A101)))*$C101</f>
        <v>-8150.2173372568332</v>
      </c>
      <c r="AV101" s="1021">
        <f>(VLOOKUP(YEAR($A101),'NY East Load Projections'!$A$4:$EO$14,((MONTH($A101)-1)*12)+VLOOKUP(AV$4,$DE$6:$DF$17,2)+1))*(VLOOKUP($A101,SatSunCurve,3))*(INDEX(DailyScalarsTable,AV$5/100,MONTH($A101)))*$C101</f>
        <v>-8008.7596599154367</v>
      </c>
      <c r="AW101" s="1021">
        <f>(VLOOKUP(YEAR($A101),'NY East Load Projections'!$A$4:$EO$14,((MONTH($A101)-1)*12)+VLOOKUP(AW$4,$DE$6:$DF$17,2)+1))*(VLOOKUP($A101,SatSunCurve,3))*(INDEX(DailyScalarsTable,AW$5/100,MONTH($A101)))*$C101</f>
        <v>-8638.6324733149504</v>
      </c>
      <c r="AX101" s="1021">
        <f>(VLOOKUP(YEAR($A101),'NY East Load Projections'!$A$4:$EO$14,((MONTH($A101)-1)*12)+VLOOKUP(AX$4,$DE$6:$DF$17,2)+1))*(VLOOKUP($A101,SatSunCurve,3))*(INDEX(DailyScalarsTable,AX$5/100,MONTH($A101)))*$C101</f>
        <v>-12174.807500715437</v>
      </c>
      <c r="AY101" s="1021">
        <f>(VLOOKUP(YEAR($A101),'NY East Load Projections'!$A$4:$EO$14,((MONTH($A101)-1)*12)+VLOOKUP(AY$4,$DE$6:$DF$17,2)+1))*(VLOOKUP($A101,SatSunCurve,3))*(INDEX(DailyScalarsTable,AY$5/100,MONTH($A101)))*$C101</f>
        <v>-12093.692618963199</v>
      </c>
      <c r="AZ101" s="1021">
        <f>(VLOOKUP(YEAR($A101),'NY East Load Projections'!$A$4:$EO$14,((MONTH($A101)-1)*12)+VLOOKUP(AZ$4,$DE$6:$DF$17,2)+1))*(VLOOKUP($A101,SatSunCurve,3))*(INDEX(DailyScalarsTable,AZ$5/100,MONTH($A101)))*$C101</f>
        <v>-11677.242064185415</v>
      </c>
      <c r="BA101" s="1021">
        <f>(VLOOKUP(YEAR($A101),'NY East Load Projections'!$A$4:$EO$14,((MONTH($A101)-1)*12)+VLOOKUP(BA$4,$DE$6:$DF$17,2)+1))*(VLOOKUP($A101,SatSunCurve,3))*(INDEX(DailyScalarsTable,BA$5/100,MONTH($A101)))*$C101</f>
        <v>-10944.761244340294</v>
      </c>
      <c r="BB101" s="1021">
        <f>(VLOOKUP(YEAR($A101),'NY East Load Projections'!$A$4:$EO$14,((MONTH($A101)-1)*12)+VLOOKUP(BB$4,$DE$6:$DF$17,2)+1))*(VLOOKUP($A101,SatSunCurve,3))*(INDEX(DailyScalarsTable,BB$5/100,MONTH($A101)))*$C101</f>
        <v>-8068.4343110344607</v>
      </c>
      <c r="BC101" s="1021">
        <f>(VLOOKUP(YEAR($A101),'NY East Load Projections'!$A$4:$EO$14,((MONTH($A101)-1)*12)+VLOOKUP(BC$4,$DE$6:$DF$17,2)+1))*(VLOOKUP($A101,SatSunCurve,3))*(INDEX(DailyScalarsTable,BC$5/100,MONTH($A101)))*$C101</f>
        <v>-6656.5767510296046</v>
      </c>
      <c r="BD101" s="1021">
        <f>(VLOOKUP(YEAR($A101),'NY East Load Projections'!$A$4:$EO$14,((MONTH($A101)-1)*12)+VLOOKUP(BD$4,$DE$6:$DF$17,2)+1))*(VLOOKUP($A101,CURVES!$D$9:$T$261,7))*(INDEX(DailyScalarsTable,BD$5/100,MONTH($A101)))*$C101</f>
        <v>-7901.5485222382049</v>
      </c>
      <c r="BE101" s="1021"/>
      <c r="BF101" s="1021">
        <f>(VLOOKUP(YEAR($A101),'NY East Load Projections'!$A$4:$EO$14,((MONTH($A101)-1)*12)+VLOOKUP(BF$4,$DE$6:$DF$17,2)+1))*(VLOOKUP($A101,CURVES!$D$9:$T$261,7))*(INDEX(DailyScalarsTable,BF$5/100,MONTH($A101)))*$D101</f>
        <v>-6853.2855836362696</v>
      </c>
      <c r="BG101" s="1021">
        <f>(VLOOKUP(YEAR($A101),'NY East Load Projections'!$A$4:$EO$14,((MONTH($A101)-1)*12)+VLOOKUP(BG$4,$DE$6:$DF$17,2)+1))*(VLOOKUP($A101,CURVES!$D$9:$T$261,7))*(INDEX(DailyScalarsTable,BG$5/100,MONTH($A101)))*$D101</f>
        <v>-6497.1654182897046</v>
      </c>
      <c r="BH101" s="1021">
        <f>(VLOOKUP(YEAR($A101),'NY East Load Projections'!$A$4:$EO$14,((MONTH($A101)-1)*12)+VLOOKUP(BH$4,$DE$6:$DF$17,2)+1))*(VLOOKUP($A101,CURVES!$D$9:$T$261,7))*(INDEX(DailyScalarsTable,BH$5/100,MONTH($A101)))*$D101</f>
        <v>-6235.4207833041346</v>
      </c>
      <c r="BI101" s="1021">
        <f>(VLOOKUP(YEAR($A101),'NY East Load Projections'!$A$4:$EO$14,((MONTH($A101)-1)*12)+VLOOKUP(BI$4,$DE$6:$DF$17,2)+1))*(VLOOKUP($A101,CURVES!$D$9:$T$261,7))*(INDEX(DailyScalarsTable,BI$5/100,MONTH($A101)))*$D101</f>
        <v>-6239.1073274588607</v>
      </c>
      <c r="BJ101" s="1021">
        <f>(VLOOKUP(YEAR($A101),'NY East Load Projections'!$A$4:$EO$14,((MONTH($A101)-1)*12)+VLOOKUP(BJ$4,$DE$6:$DF$17,2)+1))*(VLOOKUP($A101,CURVES!$D$9:$T$261,7))*(INDEX(DailyScalarsTable,BJ$5/100,MONTH($A101)))*$D101</f>
        <v>-6834.9226840224692</v>
      </c>
      <c r="BK101" s="1021">
        <f>(VLOOKUP(YEAR($A101),'NY East Load Projections'!$A$4:$EO$14,((MONTH($A101)-1)*12)+VLOOKUP(BK$4,$DE$6:$DF$17,2)+1))*(VLOOKUP($A101,CURVES!$D$9:$T$261,7))*(INDEX(DailyScalarsTable,BK$5/100,MONTH($A101)))*$D101</f>
        <v>-7874.6754012058109</v>
      </c>
      <c r="BL101" s="1021">
        <f>(VLOOKUP(YEAR($A101),'NY East Load Projections'!$A$4:$EO$14,((MONTH($A101)-1)*12)+VLOOKUP(BL$4,$DE$6:$DF$17,2)+1))*(VLOOKUP($A101,CURVES!$D$9:$T$261,7))*(INDEX(DailyScalarsTable,BL$5/100,MONTH($A101)))*$D101</f>
        <v>-11279.6959021485</v>
      </c>
      <c r="BM101" s="1021">
        <f>(VLOOKUP(YEAR($A101),'NY East Load Projections'!$A$4:$EO$14,((MONTH($A101)-1)*12)+VLOOKUP(BM$4,$DE$6:$DF$17,2)+1))*(VLOOKUP($A101,SatSunCurve,7))*(INDEX(DailyScalarsTable,BM$5/100,MONTH($A101)))*$D101</f>
        <v>-8961.0409077169134</v>
      </c>
      <c r="BN101" s="1021">
        <f>(VLOOKUP(YEAR($A101),'NY East Load Projections'!$A$4:$EO$14,((MONTH($A101)-1)*12)+VLOOKUP(BN$4,$DE$6:$DF$17,2)+1))*(VLOOKUP($A101,SatSunCurve,7))*(INDEX(DailyScalarsTable,BN$5/100,MONTH($A101)))*$D101</f>
        <v>-10237.562531680767</v>
      </c>
      <c r="BO101" s="1021">
        <f>(VLOOKUP(YEAR($A101),'NY East Load Projections'!$A$4:$EO$14,((MONTH($A101)-1)*12)+VLOOKUP(BO$4,$DE$6:$DF$17,2)+1))*(VLOOKUP($A101,SatSunCurve,7))*(INDEX(DailyScalarsTable,BO$5/100,MONTH($A101)))*$D101</f>
        <v>-10185.662188892558</v>
      </c>
      <c r="BP101" s="1021">
        <f>(VLOOKUP(YEAR($A101),'NY East Load Projections'!$A$4:$EO$14,((MONTH($A101)-1)*12)+VLOOKUP(BP$4,$DE$6:$DF$17,2)+1))*(VLOOKUP($A101,SatSunCurve,7))*(INDEX(DailyScalarsTable,BP$5/100,MONTH($A101)))*$D101</f>
        <v>-9963.9861485090278</v>
      </c>
      <c r="BQ101" s="1021">
        <f>(VLOOKUP(YEAR($A101),'NY East Load Projections'!$A$4:$EO$14,((MONTH($A101)-1)*12)+VLOOKUP(BQ$4,$DE$6:$DF$17,2)+1))*(VLOOKUP($A101,SatSunCurve,7))*(INDEX(DailyScalarsTable,BQ$5/100,MONTH($A101)))*$D101</f>
        <v>-8096.4534749604554</v>
      </c>
      <c r="BR101" s="1021">
        <f>(VLOOKUP(YEAR($A101),'NY East Load Projections'!$A$4:$EO$14,((MONTH($A101)-1)*12)+VLOOKUP(BR$4,$DE$6:$DF$17,2)+1))*(VLOOKUP($A101,SatSunCurve,7))*(INDEX(DailyScalarsTable,BR$5/100,MONTH($A101)))*$D101</f>
        <v>-7780.0213524639357</v>
      </c>
      <c r="BS101" s="1021">
        <f>(VLOOKUP(YEAR($A101),'NY East Load Projections'!$A$4:$EO$14,((MONTH($A101)-1)*12)+VLOOKUP(BS$4,$DE$6:$DF$17,2)+1))*(VLOOKUP($A101,SatSunCurve,7))*(INDEX(DailyScalarsTable,BS$5/100,MONTH($A101)))*$D101</f>
        <v>-7444.7752614959509</v>
      </c>
      <c r="BT101" s="1021">
        <f>(VLOOKUP(YEAR($A101),'NY East Load Projections'!$A$4:$EO$14,((MONTH($A101)-1)*12)+VLOOKUP(BT$4,$DE$6:$DF$17,2)+1))*(VLOOKUP($A101,SatSunCurve,7))*(INDEX(DailyScalarsTable,BT$5/100,MONTH($A101)))*$D101</f>
        <v>-7070.4023057996064</v>
      </c>
      <c r="BU101" s="1021">
        <f>(VLOOKUP(YEAR($A101),'NY East Load Projections'!$A$4:$EO$14,((MONTH($A101)-1)*12)+VLOOKUP(BU$4,$DE$6:$DF$17,2)+1))*(VLOOKUP($A101,SatSunCurve,7))*(INDEX(DailyScalarsTable,BU$5/100,MONTH($A101)))*$D101</f>
        <v>-6947.6862300606617</v>
      </c>
      <c r="BV101" s="1021">
        <f>(VLOOKUP(YEAR($A101),'NY East Load Projections'!$A$4:$EO$14,((MONTH($A101)-1)*12)+VLOOKUP(BV$4,$DE$6:$DF$17,2)+1))*(VLOOKUP($A101,SatSunCurve,7))*(INDEX(DailyScalarsTable,BV$5/100,MONTH($A101)))*$D101</f>
        <v>-7494.1077557618819</v>
      </c>
      <c r="BW101" s="1021">
        <f>(VLOOKUP(YEAR($A101),'NY East Load Projections'!$A$4:$EO$14,((MONTH($A101)-1)*12)+VLOOKUP(BW$4,$DE$6:$DF$17,2)+1))*(VLOOKUP($A101,SatSunCurve,7))*(INDEX(DailyScalarsTable,BW$5/100,MONTH($A101)))*$D101</f>
        <v>-10561.778105256944</v>
      </c>
      <c r="BX101" s="1021">
        <f>(VLOOKUP(YEAR($A101),'NY East Load Projections'!$A$4:$EO$14,((MONTH($A101)-1)*12)+VLOOKUP(BX$4,$DE$6:$DF$17,2)+1))*(VLOOKUP($A101,SatSunCurve,7))*(INDEX(DailyScalarsTable,BX$5/100,MONTH($A101)))*$D101</f>
        <v>-10491.410061897659</v>
      </c>
      <c r="BY101" s="1021">
        <f>(VLOOKUP(YEAR($A101),'NY East Load Projections'!$A$4:$EO$14,((MONTH($A101)-1)*12)+VLOOKUP(BY$4,$DE$6:$DF$17,2)+1))*(VLOOKUP($A101,SatSunCurve,7))*(INDEX(DailyScalarsTable,BY$5/100,MONTH($A101)))*$D101</f>
        <v>-10130.134669977446</v>
      </c>
      <c r="BZ101" s="1021">
        <f>(VLOOKUP(YEAR($A101),'NY East Load Projections'!$A$4:$EO$14,((MONTH($A101)-1)*12)+VLOOKUP(BZ$4,$DE$6:$DF$17,2)+1))*(VLOOKUP($A101,SatSunCurve,7))*(INDEX(DailyScalarsTable,BZ$5/100,MONTH($A101)))*$D101</f>
        <v>-9494.699581159306</v>
      </c>
      <c r="CA101" s="1021">
        <f>(VLOOKUP(YEAR($A101),'NY East Load Projections'!$A$4:$EO$14,((MONTH($A101)-1)*12)+VLOOKUP(CA$4,$DE$6:$DF$17,2)+1))*(VLOOKUP($A101,SatSunCurve,7))*(INDEX(DailyScalarsTable,CA$5/100,MONTH($A101)))*$D101</f>
        <v>-6999.4546398355769</v>
      </c>
      <c r="CB101" s="1021">
        <f>(VLOOKUP(YEAR($A101),'NY East Load Projections'!$A$4:$EO$14,((MONTH($A101)-1)*12)+VLOOKUP(CB$4,$DE$6:$DF$17,2)+1))*(VLOOKUP($A101,SatSunCurve,7))*(INDEX(DailyScalarsTable,CB$5/100,MONTH($A101)))*$D101</f>
        <v>-5774.6528296940605</v>
      </c>
      <c r="CC101" s="1021">
        <f>(VLOOKUP(YEAR($A101),'NY East Load Projections'!$A$4:$EO$14,((MONTH($A101)-1)*12)+VLOOKUP(CC$4,$DE$6:$DF$17,2)+1))*(VLOOKUP($A101,CURVES!$D$9:$T$261,7))*(INDEX(DailyScalarsTable,CC$5/100,MONTH($A101)))*$D101</f>
        <v>-7901.5485222382049</v>
      </c>
      <c r="CE101" s="1021">
        <f>(VLOOKUP(YEAR($A101),'NY East Load Projections'!$A$4:$EO$14,((MONTH($A101)-1)*12)+VLOOKUP(CE$4,$DE$6:$DF$17,2)+1))*(VLOOKUP($A101,CURVES!$D$9:$T$261,7))*(INDEX(DailyScalarsTable,CE$5/100,MONTH($A101)))*$E101</f>
        <v>-1713.3213959090674</v>
      </c>
      <c r="CF101" s="1021">
        <f>(VLOOKUP(YEAR($A101),'NY East Load Projections'!$A$4:$EO$14,((MONTH($A101)-1)*12)+VLOOKUP(CF$4,$DE$6:$DF$17,2)+1))*(VLOOKUP($A101,CURVES!$D$9:$T$261,7))*(INDEX(DailyScalarsTable,CF$5/100,MONTH($A101)))*$E101</f>
        <v>-1624.2913545724261</v>
      </c>
      <c r="CG101" s="1021">
        <f>(VLOOKUP(YEAR($A101),'NY East Load Projections'!$A$4:$EO$14,((MONTH($A101)-1)*12)+VLOOKUP(CG$4,$DE$6:$DF$17,2)+1))*(VLOOKUP($A101,CURVES!$D$9:$T$261,7))*(INDEX(DailyScalarsTable,CG$5/100,MONTH($A101)))*$E101</f>
        <v>-1558.8551958260337</v>
      </c>
      <c r="CH101" s="1021">
        <f>(VLOOKUP(YEAR($A101),'NY East Load Projections'!$A$4:$EO$14,((MONTH($A101)-1)*12)+VLOOKUP(CH$4,$DE$6:$DF$17,2)+1))*(VLOOKUP($A101,CURVES!$D$9:$T$261,7))*(INDEX(DailyScalarsTable,CH$5/100,MONTH($A101)))*$E101</f>
        <v>-1559.7768318647152</v>
      </c>
      <c r="CI101" s="1021">
        <f>(VLOOKUP(YEAR($A101),'NY East Load Projections'!$A$4:$EO$14,((MONTH($A101)-1)*12)+VLOOKUP(CI$4,$DE$6:$DF$17,2)+1))*(VLOOKUP($A101,CURVES!$D$9:$T$261,7))*(INDEX(DailyScalarsTable,CI$5/100,MONTH($A101)))*$E101</f>
        <v>-1708.7306710056173</v>
      </c>
      <c r="CJ101" s="1021">
        <f>(VLOOKUP(YEAR($A101),'NY East Load Projections'!$A$4:$EO$14,((MONTH($A101)-1)*12)+VLOOKUP(CJ$4,$DE$6:$DF$17,2)+1))*(VLOOKUP($A101,CURVES!$D$9:$T$261,7))*(INDEX(DailyScalarsTable,CJ$5/100,MONTH($A101)))*$E101</f>
        <v>-1968.6688503014527</v>
      </c>
      <c r="CK101" s="1021">
        <f>(VLOOKUP(YEAR($A101),'NY East Load Projections'!$A$4:$EO$14,((MONTH($A101)-1)*12)+VLOOKUP(CK$4,$DE$6:$DF$17,2)+1))*(VLOOKUP($A101,CURVES!$D$9:$T$261,7))*(INDEX(DailyScalarsTable,CK$5/100,MONTH($A101)))*$E101</f>
        <v>-2819.923975537125</v>
      </c>
      <c r="CL101" s="1021">
        <f>(VLOOKUP(YEAR($A101),'NY East Load Projections'!$A$4:$EO$14,((MONTH($A101)-1)*12)+VLOOKUP(CL$4,$DE$6:$DF$17,2)+1))*(VLOOKUP($A101,SatSunCurve,7))*(INDEX(DailyScalarsTable,CL$5/100,MONTH($A101)))*$E101</f>
        <v>-2240.2602269292283</v>
      </c>
      <c r="CM101" s="1021">
        <f>(VLOOKUP(YEAR($A101),'NY East Load Projections'!$A$4:$EO$14,((MONTH($A101)-1)*12)+VLOOKUP(CM$4,$DE$6:$DF$17,2)+1))*(VLOOKUP($A101,SatSunCurve,7))*(INDEX(DailyScalarsTable,CM$5/100,MONTH($A101)))*$E101</f>
        <v>-2559.3906329201918</v>
      </c>
      <c r="CN101" s="1021">
        <f>(VLOOKUP(YEAR($A101),'NY East Load Projections'!$A$4:$EO$14,((MONTH($A101)-1)*12)+VLOOKUP(CN$4,$DE$6:$DF$17,2)+1))*(VLOOKUP($A101,SatSunCurve,7))*(INDEX(DailyScalarsTable,CN$5/100,MONTH($A101)))*$E101</f>
        <v>-2546.4155472231396</v>
      </c>
      <c r="CO101" s="1021">
        <f>(VLOOKUP(YEAR($A101),'NY East Load Projections'!$A$4:$EO$14,((MONTH($A101)-1)*12)+VLOOKUP(CO$4,$DE$6:$DF$17,2)+1))*(VLOOKUP($A101,SatSunCurve,7))*(INDEX(DailyScalarsTable,CO$5/100,MONTH($A101)))*$E101</f>
        <v>-2490.9965371272569</v>
      </c>
      <c r="CP101" s="1021">
        <f>(VLOOKUP(YEAR($A101),'NY East Load Projections'!$A$4:$EO$14,((MONTH($A101)-1)*12)+VLOOKUP(CP$4,$DE$6:$DF$17,2)+1))*(VLOOKUP($A101,SatSunCurve,7))*(INDEX(DailyScalarsTable,CP$5/100,MONTH($A101)))*$E101</f>
        <v>-2024.1133687401139</v>
      </c>
      <c r="CQ101" s="1021">
        <f>(VLOOKUP(YEAR($A101),'NY East Load Projections'!$A$4:$EO$14,((MONTH($A101)-1)*12)+VLOOKUP(CQ$4,$DE$6:$DF$17,2)+1))*(VLOOKUP($A101,SatSunCurve,7))*(INDEX(DailyScalarsTable,CQ$5/100,MONTH($A101)))*$E101</f>
        <v>-1945.0053381159839</v>
      </c>
      <c r="CR101" s="1021">
        <f>(VLOOKUP(YEAR($A101),'NY East Load Projections'!$A$4:$EO$14,((MONTH($A101)-1)*12)+VLOOKUP(CR$4,$DE$6:$DF$17,2)+1))*(VLOOKUP($A101,SatSunCurve,7))*(INDEX(DailyScalarsTable,CR$5/100,MONTH($A101)))*$E101</f>
        <v>-1861.1938153739877</v>
      </c>
      <c r="CS101" s="1021">
        <f>(VLOOKUP(YEAR($A101),'NY East Load Projections'!$A$4:$EO$14,((MONTH($A101)-1)*12)+VLOOKUP(CS$4,$DE$6:$DF$17,2)+1))*(VLOOKUP($A101,SatSunCurve,7))*(INDEX(DailyScalarsTable,CS$5/100,MONTH($A101)))*$E101</f>
        <v>-1767.6005764499016</v>
      </c>
      <c r="CT101" s="1021">
        <f>(VLOOKUP(YEAR($A101),'NY East Load Projections'!$A$4:$EO$14,((MONTH($A101)-1)*12)+VLOOKUP(CT$4,$DE$6:$DF$17,2)+1))*(VLOOKUP($A101,SatSunCurve,7))*(INDEX(DailyScalarsTable,CT$5/100,MONTH($A101)))*$E101</f>
        <v>-1736.9215575151654</v>
      </c>
      <c r="CU101" s="1021">
        <f>(VLOOKUP(YEAR($A101),'NY East Load Projections'!$A$4:$EO$14,((MONTH($A101)-1)*12)+VLOOKUP(CU$4,$DE$6:$DF$17,2)+1))*(VLOOKUP($A101,SatSunCurve,7))*(INDEX(DailyScalarsTable,CU$5/100,MONTH($A101)))*$E101</f>
        <v>-1873.5269389404705</v>
      </c>
      <c r="CV101" s="1021">
        <f>(VLOOKUP(YEAR($A101),'NY East Load Projections'!$A$4:$EO$14,((MONTH($A101)-1)*12)+VLOOKUP(CV$4,$DE$6:$DF$17,2)+1))*(VLOOKUP($A101,SatSunCurve,7))*(INDEX(DailyScalarsTable,CV$5/100,MONTH($A101)))*$E101</f>
        <v>-2640.4445263142361</v>
      </c>
      <c r="CW101" s="1021">
        <f>(VLOOKUP(YEAR($A101),'NY East Load Projections'!$A$4:$EO$14,((MONTH($A101)-1)*12)+VLOOKUP(CW$4,$DE$6:$DF$17,2)+1))*(VLOOKUP($A101,SatSunCurve,7))*(INDEX(DailyScalarsTable,CW$5/100,MONTH($A101)))*$E101</f>
        <v>-2622.8525154744148</v>
      </c>
      <c r="CX101" s="1021">
        <f>(VLOOKUP(YEAR($A101),'NY East Load Projections'!$A$4:$EO$14,((MONTH($A101)-1)*12)+VLOOKUP(CX$4,$DE$6:$DF$17,2)+1))*(VLOOKUP($A101,SatSunCurve,7))*(INDEX(DailyScalarsTable,CX$5/100,MONTH($A101)))*$E101</f>
        <v>-2532.5336674943615</v>
      </c>
      <c r="CY101" s="1021">
        <f>(VLOOKUP(YEAR($A101),'NY East Load Projections'!$A$4:$EO$14,((MONTH($A101)-1)*12)+VLOOKUP(CY$4,$DE$6:$DF$17,2)+1))*(VLOOKUP($A101,SatSunCurve,7))*(INDEX(DailyScalarsTable,CY$5/100,MONTH($A101)))*$E101</f>
        <v>-2373.6748952898265</v>
      </c>
      <c r="CZ101" s="1021">
        <f>(VLOOKUP(YEAR($A101),'NY East Load Projections'!$A$4:$EO$14,((MONTH($A101)-1)*12)+VLOOKUP(CZ$4,$DE$6:$DF$17,2)+1))*(VLOOKUP($A101,SatSunCurve,7))*(INDEX(DailyScalarsTable,CZ$5/100,MONTH($A101)))*$E101</f>
        <v>-1749.8636599588942</v>
      </c>
      <c r="DA101" s="1021">
        <f>(VLOOKUP(YEAR($A101),'NY East Load Projections'!$A$4:$EO$14,((MONTH($A101)-1)*12)+VLOOKUP(DA$4,$DE$6:$DF$17,2)+1))*(VLOOKUP($A101,SatSunCurve,7))*(INDEX(DailyScalarsTable,DA$5/100,MONTH($A101)))*$E101</f>
        <v>-1443.6632074235151</v>
      </c>
      <c r="DB101" s="1021">
        <f>(VLOOKUP(YEAR($A101),'NY East Load Projections'!$A$4:$EO$14,((MONTH($A101)-1)*12)+VLOOKUP(DB$4,$DE$6:$DF$17,2)+1))*(VLOOKUP($A101,CURVES!$D$9:$T$261,7))*(INDEX(DailyScalarsTable,DB$5/100,MONTH($A101)))*$E101</f>
        <v>-1975.3871305595512</v>
      </c>
      <c r="DH101" s="1032">
        <f t="shared" si="2"/>
        <v>-1838016.3843567979</v>
      </c>
      <c r="DI101">
        <f ca="1">CALC!J121</f>
        <v>0.52435246926669343</v>
      </c>
      <c r="DJ101" s="1029">
        <f t="shared" ca="1" si="3"/>
        <v>-963768.42969012691</v>
      </c>
    </row>
    <row r="102" spans="1:114" x14ac:dyDescent="0.25">
      <c r="A102" s="244">
        <v>39814</v>
      </c>
      <c r="B102" s="13">
        <v>21</v>
      </c>
      <c r="C102" s="210">
        <v>5</v>
      </c>
      <c r="D102" s="210">
        <v>4</v>
      </c>
      <c r="E102" s="210">
        <v>1</v>
      </c>
      <c r="F102" s="13">
        <v>31</v>
      </c>
      <c r="H102" s="1021">
        <f>(VLOOKUP(YEAR($A102),'NY East Load Projections'!$A$4:$EO$14,((MONTH($A102)-1)*12)+VLOOKUP(H$4,$DE$6:$DF$17,2)+1))*(VLOOKUP($A102,CURVES!$D$9:$K$261,7))*(INDEX(DailyScalarsTable,H$5/100,MONTH($A102)))*$B102</f>
        <v>-32412.015539328782</v>
      </c>
      <c r="I102" s="1021">
        <f>(VLOOKUP(YEAR($A102),'NY East Load Projections'!$A$4:$EO$14,((MONTH($A102)-1)*12)+VLOOKUP(I$4,$DE$6:$DF$17,2)+1))*(VLOOKUP($A102,CURVES!$D$9:$K$261,7))*(INDEX(DailyScalarsTable,I$5/100,MONTH($A102)))*$B102</f>
        <v>-31780.539176196271</v>
      </c>
      <c r="J102" s="1021">
        <f>(VLOOKUP(YEAR($A102),'NY East Load Projections'!$A$4:$EO$14,((MONTH($A102)-1)*12)+VLOOKUP(J$4,$DE$6:$DF$17,2)+1))*(VLOOKUP($A102,CURVES!$D$9:$K$261,7))*(INDEX(DailyScalarsTable,J$5/100,MONTH($A102)))*$B102</f>
        <v>-29122.115271002545</v>
      </c>
      <c r="K102" s="1021">
        <f>(VLOOKUP(YEAR($A102),'NY East Load Projections'!$A$4:$EO$14,((MONTH($A102)-1)*12)+VLOOKUP(K$4,$DE$6:$DF$17,2)+1))*(VLOOKUP($A102,CURVES!$D$9:$K$261,7))*(INDEX(DailyScalarsTable,K$5/100,MONTH($A102)))*$B102</f>
        <v>-29104.507588666802</v>
      </c>
      <c r="L102" s="1021">
        <f>(VLOOKUP(YEAR($A102),'NY East Load Projections'!$A$4:$EO$14,((MONTH($A102)-1)*12)+VLOOKUP(L$4,$DE$6:$DF$17,2)+1))*(VLOOKUP($A102,CURVES!$D$9:$K$261,7))*(INDEX(DailyScalarsTable,L$5/100,MONTH($A102)))*$B102</f>
        <v>-32955.208445602751</v>
      </c>
      <c r="M102" s="1021">
        <f>(VLOOKUP(YEAR($A102),'NY East Load Projections'!$A$4:$EO$14,((MONTH($A102)-1)*12)+VLOOKUP(M$4,$DE$6:$DF$17,2)+1))*(VLOOKUP($A102,CURVES!$D$9:$K$261,7))*(INDEX(DailyScalarsTable,M$5/100,MONTH($A102)))*$B102</f>
        <v>-35170.390206447162</v>
      </c>
      <c r="N102" s="1021">
        <f>(VLOOKUP(YEAR($A102),'NY East Load Projections'!$A$4:$EO$14,((MONTH($A102)-1)*12)+VLOOKUP(N$4,$DE$6:$DF$17,2)+1))*(VLOOKUP($A102,CURVES!$D$9:$K$261,7))*(INDEX(DailyScalarsTable,N$5/100,MONTH($A102)))*$B102</f>
        <v>-67350.869002826643</v>
      </c>
      <c r="O102" s="1021">
        <f>(VLOOKUP(YEAR($A102),'NY East Load Projections'!$A$4:$EO$14,((MONTH($A102)-1)*12)+VLOOKUP(O$4,$DE$6:$DF$17,2)+1))*(VLOOKUP($A102,CURVES!$D$9:$K$261,3))*(INDEX(DailyScalarsTable,O$5/100,MONTH($A102)))*$B102</f>
        <v>-78955.873155424779</v>
      </c>
      <c r="P102" s="1021">
        <f>(VLOOKUP(YEAR($A102),'NY East Load Projections'!$A$4:$EO$14,((MONTH($A102)-1)*12)+VLOOKUP(P$4,$DE$6:$DF$17,2)+1))*(VLOOKUP($A102,CURVES!$D$9:$K$261,3))*(INDEX(DailyScalarsTable,P$5/100,MONTH($A102)))*$B102</f>
        <v>-87843.400331566285</v>
      </c>
      <c r="Q102" s="1021">
        <f>(VLOOKUP(YEAR($A102),'NY East Load Projections'!$A$4:$EO$14,((MONTH($A102)-1)*12)+VLOOKUP(Q$4,$DE$6:$DF$17,2)+1))*(VLOOKUP($A102,CURVES!$D$9:$K$261,3))*(INDEX(DailyScalarsTable,Q$5/100,MONTH($A102)))*$B102</f>
        <v>-87576.040305129078</v>
      </c>
      <c r="R102" s="1021">
        <f>(VLOOKUP(YEAR($A102),'NY East Load Projections'!$A$4:$EO$14,((MONTH($A102)-1)*12)+VLOOKUP(R$4,$DE$6:$DF$17,2)+1))*(VLOOKUP($A102,CURVES!$D$9:$K$261,3))*(INDEX(DailyScalarsTable,R$5/100,MONTH($A102)))*$B102</f>
        <v>-86047.723536594727</v>
      </c>
      <c r="S102" s="1021">
        <f>(VLOOKUP(YEAR($A102),'NY East Load Projections'!$A$4:$EO$14,((MONTH($A102)-1)*12)+VLOOKUP(S$4,$DE$6:$DF$17,2)+1))*(VLOOKUP($A102,CURVES!$D$9:$K$261,3))*(INDEX(DailyScalarsTable,S$5/100,MONTH($A102)))*$B102</f>
        <v>-64457.886185266972</v>
      </c>
      <c r="T102" s="1021">
        <f>(VLOOKUP(YEAR($A102),'NY East Load Projections'!$A$4:$EO$14,((MONTH($A102)-1)*12)+VLOOKUP(T$4,$DE$6:$DF$17,2)+1))*(VLOOKUP($A102,CURVES!$D$9:$K$261,3))*(INDEX(DailyScalarsTable,T$5/100,MONTH($A102)))*$B102</f>
        <v>-63355.603389115684</v>
      </c>
      <c r="U102" s="1021">
        <f>(VLOOKUP(YEAR($A102),'NY East Load Projections'!$A$4:$EO$14,((MONTH($A102)-1)*12)+VLOOKUP(U$4,$DE$6:$DF$17,2)+1))*(VLOOKUP($A102,CURVES!$D$9:$K$261,3))*(INDEX(DailyScalarsTable,U$5/100,MONTH($A102)))*$B102</f>
        <v>-61309.96153892899</v>
      </c>
      <c r="V102" s="1021">
        <f>(VLOOKUP(YEAR($A102),'NY East Load Projections'!$A$4:$EO$14,((MONTH($A102)-1)*12)+VLOOKUP(V$4,$DE$6:$DF$17,2)+1))*(VLOOKUP($A102,CURVES!$D$9:$K$261,3))*(INDEX(DailyScalarsTable,V$5/100,MONTH($A102)))*$B102</f>
        <v>-58189.616542810865</v>
      </c>
      <c r="W102" s="1021">
        <f>(VLOOKUP(YEAR($A102),'NY East Load Projections'!$A$4:$EO$14,((MONTH($A102)-1)*12)+VLOOKUP(W$4,$DE$6:$DF$17,2)+1))*(VLOOKUP($A102,CURVES!$D$9:$K$261,3))*(INDEX(DailyScalarsTable,W$5/100,MONTH($A102)))*$B102</f>
        <v>-57018.560701037306</v>
      </c>
      <c r="X102" s="1021">
        <f>(VLOOKUP(YEAR($A102),'NY East Load Projections'!$A$4:$EO$14,((MONTH($A102)-1)*12)+VLOOKUP(X$4,$DE$6:$DF$17,2)+1))*(VLOOKUP($A102,CURVES!$D$9:$K$261,3))*(INDEX(DailyScalarsTable,X$5/100,MONTH($A102)))*$B102</f>
        <v>-59587.245062633083</v>
      </c>
      <c r="Y102" s="1021">
        <f>(VLOOKUP(YEAR($A102),'NY East Load Projections'!$A$4:$EO$14,((MONTH($A102)-1)*12)+VLOOKUP(Y$4,$DE$6:$DF$17,2)+1))*(VLOOKUP($A102,CURVES!$D$9:$K$261,3))*(INDEX(DailyScalarsTable,Y$5/100,MONTH($A102)))*$B102</f>
        <v>-82913.062774406935</v>
      </c>
      <c r="Z102" s="1021">
        <f>(VLOOKUP(YEAR($A102),'NY East Load Projections'!$A$4:$EO$14,((MONTH($A102)-1)*12)+VLOOKUP(Z$4,$DE$6:$DF$17,2)+1))*(VLOOKUP($A102,CURVES!$D$9:$K$261,3))*(INDEX(DailyScalarsTable,Z$5/100,MONTH($A102)))*$B102</f>
        <v>-90977.660196114128</v>
      </c>
      <c r="AA102" s="1021">
        <f>(VLOOKUP(YEAR($A102),'NY East Load Projections'!$A$4:$EO$14,((MONTH($A102)-1)*12)+VLOOKUP(AA$4,$DE$6:$DF$17,2)+1))*(VLOOKUP($A102,CURVES!$D$9:$K$261,3))*(INDEX(DailyScalarsTable,AA$5/100,MONTH($A102)))*$B102</f>
        <v>-87081.407446225348</v>
      </c>
      <c r="AB102" s="1021">
        <f>(VLOOKUP(YEAR($A102),'NY East Load Projections'!$A$4:$EO$14,((MONTH($A102)-1)*12)+VLOOKUP(AB$4,$DE$6:$DF$17,2)+1))*(VLOOKUP($A102,CURVES!$D$9:$K$261,3))*(INDEX(DailyScalarsTable,AB$5/100,MONTH($A102)))*$B102</f>
        <v>-75130.716902803615</v>
      </c>
      <c r="AC102" s="1021">
        <f>(VLOOKUP(YEAR($A102),'NY East Load Projections'!$A$4:$EO$14,((MONTH($A102)-1)*12)+VLOOKUP(AC$4,$DE$6:$DF$17,2)+1))*(VLOOKUP($A102,CURVES!$D$9:$K$261,3))*(INDEX(DailyScalarsTable,AC$5/100,MONTH($A102)))*$B102</f>
        <v>-53434.705961231812</v>
      </c>
      <c r="AD102" s="1021">
        <f>(VLOOKUP(YEAR($A102),'NY East Load Projections'!$A$4:$EO$14,((MONTH($A102)-1)*12)+VLOOKUP(AD$4,$DE$6:$DF$17,2)+1))*(VLOOKUP($A102,CURVES!$D$9:$K$261,3))*(INDEX(DailyScalarsTable,AD$5/100,MONTH($A102)))*$B102</f>
        <v>-43742.957710198891</v>
      </c>
      <c r="AE102" s="1021">
        <f>(VLOOKUP(YEAR($A102),'NY East Load Projections'!$A$4:$EO$14,((MONTH($A102)-1)*12)+VLOOKUP(AE$4,$DE$6:$DF$17,2)+1))*(VLOOKUP($A102,CURVES!$D$9:$K$261,7))*(INDEX(DailyScalarsTable,AE$5/100,MONTH($A102)))*$B102</f>
        <v>-38404.823208123315</v>
      </c>
      <c r="AF102" s="1021"/>
      <c r="AG102" s="1021">
        <f>(VLOOKUP(YEAR($A102),'NY East Load Projections'!$A$4:$EO$14,((MONTH($A102)-1)*12)+VLOOKUP(AG$4,$DE$6:$DF$17,2)+1))*(VLOOKUP($A102,CURVES!$D$9:$T$261,7))*(INDEX(DailyScalarsTable,AG$5/100,MONTH($A102)))*$C102</f>
        <v>-8077.3502842923463</v>
      </c>
      <c r="AH102" s="1021">
        <f>(VLOOKUP(YEAR($A102),'NY East Load Projections'!$A$4:$EO$14,((MONTH($A102)-1)*12)+VLOOKUP(AH$4,$DE$6:$DF$17,2)+1))*(VLOOKUP($A102,CURVES!$D$9:$T$261,7))*(INDEX(DailyScalarsTable,AH$5/100,MONTH($A102)))*$C102</f>
        <v>-7919.9809971191016</v>
      </c>
      <c r="AI102" s="1021">
        <f>(VLOOKUP(YEAR($A102),'NY East Load Projections'!$A$4:$EO$14,((MONTH($A102)-1)*12)+VLOOKUP(AI$4,$DE$6:$DF$17,2)+1))*(VLOOKUP($A102,CURVES!$D$9:$T$261,7))*(INDEX(DailyScalarsTable,AI$5/100,MONTH($A102)))*$C102</f>
        <v>-7257.4791215313053</v>
      </c>
      <c r="AJ102" s="1021">
        <f>(VLOOKUP(YEAR($A102),'NY East Load Projections'!$A$4:$EO$14,((MONTH($A102)-1)*12)+VLOOKUP(AJ$4,$DE$6:$DF$17,2)+1))*(VLOOKUP($A102,CURVES!$D$9:$T$261,7))*(INDEX(DailyScalarsTable,AJ$5/100,MONTH($A102)))*$C102</f>
        <v>-7253.0911371510138</v>
      </c>
      <c r="AK102" s="1021">
        <f>(VLOOKUP(YEAR($A102),'NY East Load Projections'!$A$4:$EO$14,((MONTH($A102)-1)*12)+VLOOKUP(AK$4,$DE$6:$DF$17,2)+1))*(VLOOKUP($A102,CURVES!$D$9:$T$261,7))*(INDEX(DailyScalarsTable,AK$5/100,MONTH($A102)))*$C102</f>
        <v>-7631.8986012578753</v>
      </c>
      <c r="AL102" s="1021">
        <f>(VLOOKUP(YEAR($A102),'NY East Load Projections'!$A$4:$EO$14,((MONTH($A102)-1)*12)+VLOOKUP(AL$4,$DE$6:$DF$17,2)+1))*(VLOOKUP($A102,CURVES!$D$9:$T$261,7))*(INDEX(DailyScalarsTable,AL$5/100,MONTH($A102)))*$C102</f>
        <v>-8144.8992278515825</v>
      </c>
      <c r="AM102" s="1021">
        <f>(VLOOKUP(YEAR($A102),'NY East Load Projections'!$A$4:$EO$14,((MONTH($A102)-1)*12)+VLOOKUP(AM$4,$DE$6:$DF$17,2)+1))*(VLOOKUP($A102,CURVES!$D$9:$T$261,7))*(INDEX(DailyScalarsTable,AM$5/100,MONTH($A102)))*$C102</f>
        <v>-15597.38284722519</v>
      </c>
      <c r="AN102" s="1021">
        <f>(VLOOKUP(YEAR($A102),'NY East Load Projections'!$A$4:$EO$14,((MONTH($A102)-1)*12)+VLOOKUP(AN$4,$DE$6:$DF$17,2)+1))*(VLOOKUP($A102,SatSunCurve,3))*(INDEX(DailyScalarsTable,AN$5/100,MONTH($A102)))*$C102</f>
        <v>-14691.301853780256</v>
      </c>
      <c r="AO102" s="1021">
        <f>(VLOOKUP(YEAR($A102),'NY East Load Projections'!$A$4:$EO$14,((MONTH($A102)-1)*12)+VLOOKUP(AO$4,$DE$6:$DF$17,2)+1))*(VLOOKUP($A102,SatSunCurve,3))*(INDEX(DailyScalarsTable,AO$5/100,MONTH($A102)))*$C102</f>
        <v>-16571.812193678059</v>
      </c>
      <c r="AP102" s="1021">
        <f>(VLOOKUP(YEAR($A102),'NY East Load Projections'!$A$4:$EO$14,((MONTH($A102)-1)*12)+VLOOKUP(AP$4,$DE$6:$DF$17,2)+1))*(VLOOKUP($A102,SatSunCurve,3))*(INDEX(DailyScalarsTable,AP$5/100,MONTH($A102)))*$C102</f>
        <v>-16521.374253781716</v>
      </c>
      <c r="AQ102" s="1021">
        <f>(VLOOKUP(YEAR($A102),'NY East Load Projections'!$A$4:$EO$14,((MONTH($A102)-1)*12)+VLOOKUP(AQ$4,$DE$6:$DF$17,2)+1))*(VLOOKUP($A102,SatSunCurve,3))*(INDEX(DailyScalarsTable,AQ$5/100,MONTH($A102)))*$C102</f>
        <v>-16233.05460352907</v>
      </c>
      <c r="AR102" s="1021">
        <f>(VLOOKUP(YEAR($A102),'NY East Load Projections'!$A$4:$EO$14,((MONTH($A102)-1)*12)+VLOOKUP(AR$4,$DE$6:$DF$17,2)+1))*(VLOOKUP($A102,SatSunCurve,3))*(INDEX(DailyScalarsTable,AR$5/100,MONTH($A102)))*$C102</f>
        <v>-12160.093760394553</v>
      </c>
      <c r="AS102" s="1021">
        <f>(VLOOKUP(YEAR($A102),'NY East Load Projections'!$A$4:$EO$14,((MONTH($A102)-1)*12)+VLOOKUP(AS$4,$DE$6:$DF$17,2)+1))*(VLOOKUP($A102,SatSunCurve,3))*(INDEX(DailyScalarsTable,AS$5/100,MONTH($A102)))*$C102</f>
        <v>-11880.443979712747</v>
      </c>
      <c r="AT102" s="1021">
        <f>(VLOOKUP(YEAR($A102),'NY East Load Projections'!$A$4:$EO$14,((MONTH($A102)-1)*12)+VLOOKUP(AT$4,$DE$6:$DF$17,2)+1))*(VLOOKUP($A102,SatSunCurve,3))*(INDEX(DailyScalarsTable,AT$5/100,MONTH($A102)))*$C102</f>
        <v>-11496.84518018061</v>
      </c>
      <c r="AU102" s="1021">
        <f>(VLOOKUP(YEAR($A102),'NY East Load Projections'!$A$4:$EO$14,((MONTH($A102)-1)*12)+VLOOKUP(AU$4,$DE$6:$DF$17,2)+1))*(VLOOKUP($A102,SatSunCurve,3))*(INDEX(DailyScalarsTable,AU$5/100,MONTH($A102)))*$C102</f>
        <v>-10911.718025821803</v>
      </c>
      <c r="AV102" s="1021">
        <f>(VLOOKUP(YEAR($A102),'NY East Load Projections'!$A$4:$EO$14,((MONTH($A102)-1)*12)+VLOOKUP(AV$4,$DE$6:$DF$17,2)+1))*(VLOOKUP($A102,SatSunCurve,3))*(INDEX(DailyScalarsTable,AV$5/100,MONTH($A102)))*$C102</f>
        <v>-10692.121611596885</v>
      </c>
      <c r="AW102" s="1021">
        <f>(VLOOKUP(YEAR($A102),'NY East Load Projections'!$A$4:$EO$14,((MONTH($A102)-1)*12)+VLOOKUP(AW$4,$DE$6:$DF$17,2)+1))*(VLOOKUP($A102,SatSunCurve,3))*(INDEX(DailyScalarsTable,AW$5/100,MONTH($A102)))*$C102</f>
        <v>-11036.262719726628</v>
      </c>
      <c r="AX102" s="1021">
        <f>(VLOOKUP(YEAR($A102),'NY East Load Projections'!$A$4:$EO$14,((MONTH($A102)-1)*12)+VLOOKUP(AX$4,$DE$6:$DF$17,2)+1))*(VLOOKUP($A102,SatSunCurve,3))*(INDEX(DailyScalarsTable,AX$5/100,MONTH($A102)))*$C102</f>
        <v>-15356.480111032441</v>
      </c>
      <c r="AY102" s="1021">
        <f>(VLOOKUP(YEAR($A102),'NY East Load Projections'!$A$4:$EO$14,((MONTH($A102)-1)*12)+VLOOKUP(AY$4,$DE$6:$DF$17,2)+1))*(VLOOKUP($A102,SatSunCurve,3))*(INDEX(DailyScalarsTable,AY$5/100,MONTH($A102)))*$C102</f>
        <v>-16850.138960023327</v>
      </c>
      <c r="AZ102" s="1021">
        <f>(VLOOKUP(YEAR($A102),'NY East Load Projections'!$A$4:$EO$14,((MONTH($A102)-1)*12)+VLOOKUP(AZ$4,$DE$6:$DF$17,2)+1))*(VLOOKUP($A102,SatSunCurve,3))*(INDEX(DailyScalarsTable,AZ$5/100,MONTH($A102)))*$C102</f>
        <v>-16128.506856961139</v>
      </c>
      <c r="BA102" s="1021">
        <f>(VLOOKUP(YEAR($A102),'NY East Load Projections'!$A$4:$EO$14,((MONTH($A102)-1)*12)+VLOOKUP(BA$4,$DE$6:$DF$17,2)+1))*(VLOOKUP($A102,SatSunCurve,3))*(INDEX(DailyScalarsTable,BA$5/100,MONTH($A102)))*$C102</f>
        <v>-14579.626816925749</v>
      </c>
      <c r="BB102" s="1021">
        <f>(VLOOKUP(YEAR($A102),'NY East Load Projections'!$A$4:$EO$14,((MONTH($A102)-1)*12)+VLOOKUP(BB$4,$DE$6:$DF$17,2)+1))*(VLOOKUP($A102,SatSunCurve,3))*(INDEX(DailyScalarsTable,BB$5/100,MONTH($A102)))*$C102</f>
        <v>-10369.36827043435</v>
      </c>
      <c r="BC102" s="1021">
        <f>(VLOOKUP(YEAR($A102),'NY East Load Projections'!$A$4:$EO$14,((MONTH($A102)-1)*12)+VLOOKUP(BC$4,$DE$6:$DF$17,2)+1))*(VLOOKUP($A102,SatSunCurve,3))*(INDEX(DailyScalarsTable,BC$5/100,MONTH($A102)))*$C102</f>
        <v>-8488.618578048814</v>
      </c>
      <c r="BD102" s="1021">
        <f>(VLOOKUP(YEAR($A102),'NY East Load Projections'!$A$4:$EO$14,((MONTH($A102)-1)*12)+VLOOKUP(BD$4,$DE$6:$DF$17,2)+1))*(VLOOKUP($A102,CURVES!$D$9:$T$261,7))*(INDEX(DailyScalarsTable,BD$5/100,MONTH($A102)))*$C102</f>
        <v>-9275.7136361414705</v>
      </c>
      <c r="BE102" s="1021"/>
      <c r="BF102" s="1021">
        <f>(VLOOKUP(YEAR($A102),'NY East Load Projections'!$A$4:$EO$14,((MONTH($A102)-1)*12)+VLOOKUP(BF$4,$DE$6:$DF$17,2)+1))*(VLOOKUP($A102,CURVES!$D$9:$T$261,7))*(INDEX(DailyScalarsTable,BF$5/100,MONTH($A102)))*$D102</f>
        <v>-6461.8802274338768</v>
      </c>
      <c r="BG102" s="1021">
        <f>(VLOOKUP(YEAR($A102),'NY East Load Projections'!$A$4:$EO$14,((MONTH($A102)-1)*12)+VLOOKUP(BG$4,$DE$6:$DF$17,2)+1))*(VLOOKUP($A102,CURVES!$D$9:$T$261,7))*(INDEX(DailyScalarsTable,BG$5/100,MONTH($A102)))*$D102</f>
        <v>-6335.9847976952815</v>
      </c>
      <c r="BH102" s="1021">
        <f>(VLOOKUP(YEAR($A102),'NY East Load Projections'!$A$4:$EO$14,((MONTH($A102)-1)*12)+VLOOKUP(BH$4,$DE$6:$DF$17,2)+1))*(VLOOKUP($A102,CURVES!$D$9:$T$261,7))*(INDEX(DailyScalarsTable,BH$5/100,MONTH($A102)))*$D102</f>
        <v>-5805.9832972250442</v>
      </c>
      <c r="BI102" s="1021">
        <f>(VLOOKUP(YEAR($A102),'NY East Load Projections'!$A$4:$EO$14,((MONTH($A102)-1)*12)+VLOOKUP(BI$4,$DE$6:$DF$17,2)+1))*(VLOOKUP($A102,CURVES!$D$9:$T$261,7))*(INDEX(DailyScalarsTable,BI$5/100,MONTH($A102)))*$D102</f>
        <v>-5802.472909720811</v>
      </c>
      <c r="BJ102" s="1021">
        <f>(VLOOKUP(YEAR($A102),'NY East Load Projections'!$A$4:$EO$14,((MONTH($A102)-1)*12)+VLOOKUP(BJ$4,$DE$6:$DF$17,2)+1))*(VLOOKUP($A102,CURVES!$D$9:$T$261,7))*(INDEX(DailyScalarsTable,BJ$5/100,MONTH($A102)))*$D102</f>
        <v>-6105.5188810063</v>
      </c>
      <c r="BK102" s="1021">
        <f>(VLOOKUP(YEAR($A102),'NY East Load Projections'!$A$4:$EO$14,((MONTH($A102)-1)*12)+VLOOKUP(BK$4,$DE$6:$DF$17,2)+1))*(VLOOKUP($A102,CURVES!$D$9:$T$261,7))*(INDEX(DailyScalarsTable,BK$5/100,MONTH($A102)))*$D102</f>
        <v>-6515.9193822812658</v>
      </c>
      <c r="BL102" s="1021">
        <f>(VLOOKUP(YEAR($A102),'NY East Load Projections'!$A$4:$EO$14,((MONTH($A102)-1)*12)+VLOOKUP(BL$4,$DE$6:$DF$17,2)+1))*(VLOOKUP($A102,CURVES!$D$9:$T$261,7))*(INDEX(DailyScalarsTable,BL$5/100,MONTH($A102)))*$D102</f>
        <v>-12477.906277780152</v>
      </c>
      <c r="BM102" s="1021">
        <f>(VLOOKUP(YEAR($A102),'NY East Load Projections'!$A$4:$EO$14,((MONTH($A102)-1)*12)+VLOOKUP(BM$4,$DE$6:$DF$17,2)+1))*(VLOOKUP($A102,SatSunCurve,7))*(INDEX(DailyScalarsTable,BM$5/100,MONTH($A102)))*$D102</f>
        <v>-11163.888891562934</v>
      </c>
      <c r="BN102" s="1021">
        <f>(VLOOKUP(YEAR($A102),'NY East Load Projections'!$A$4:$EO$14,((MONTH($A102)-1)*12)+VLOOKUP(BN$4,$DE$6:$DF$17,2)+1))*(VLOOKUP($A102,SatSunCurve,7))*(INDEX(DailyScalarsTable,BN$5/100,MONTH($A102)))*$D102</f>
        <v>-12592.884681248675</v>
      </c>
      <c r="BO102" s="1021">
        <f>(VLOOKUP(YEAR($A102),'NY East Load Projections'!$A$4:$EO$14,((MONTH($A102)-1)*12)+VLOOKUP(BO$4,$DE$6:$DF$17,2)+1))*(VLOOKUP($A102,SatSunCurve,7))*(INDEX(DailyScalarsTable,BO$5/100,MONTH($A102)))*$D102</f>
        <v>-12554.556998479213</v>
      </c>
      <c r="BP102" s="1021">
        <f>(VLOOKUP(YEAR($A102),'NY East Load Projections'!$A$4:$EO$14,((MONTH($A102)-1)*12)+VLOOKUP(BP$4,$DE$6:$DF$17,2)+1))*(VLOOKUP($A102,SatSunCurve,7))*(INDEX(DailyScalarsTable,BP$5/100,MONTH($A102)))*$D102</f>
        <v>-12335.463512230641</v>
      </c>
      <c r="BQ102" s="1021">
        <f>(VLOOKUP(YEAR($A102),'NY East Load Projections'!$A$4:$EO$14,((MONTH($A102)-1)*12)+VLOOKUP(BQ$4,$DE$6:$DF$17,2)+1))*(VLOOKUP($A102,SatSunCurve,7))*(INDEX(DailyScalarsTable,BQ$5/100,MONTH($A102)))*$D102</f>
        <v>-9240.4292691802038</v>
      </c>
      <c r="BR102" s="1021">
        <f>(VLOOKUP(YEAR($A102),'NY East Load Projections'!$A$4:$EO$14,((MONTH($A102)-1)*12)+VLOOKUP(BR$4,$DE$6:$DF$17,2)+1))*(VLOOKUP($A102,SatSunCurve,7))*(INDEX(DailyScalarsTable,BR$5/100,MONTH($A102)))*$D102</f>
        <v>-9027.923998295837</v>
      </c>
      <c r="BS102" s="1021">
        <f>(VLOOKUP(YEAR($A102),'NY East Load Projections'!$A$4:$EO$14,((MONTH($A102)-1)*12)+VLOOKUP(BS$4,$DE$6:$DF$17,2)+1))*(VLOOKUP($A102,SatSunCurve,7))*(INDEX(DailyScalarsTable,BS$5/100,MONTH($A102)))*$D102</f>
        <v>-8736.4280900682243</v>
      </c>
      <c r="BT102" s="1021">
        <f>(VLOOKUP(YEAR($A102),'NY East Load Projections'!$A$4:$EO$14,((MONTH($A102)-1)*12)+VLOOKUP(BT$4,$DE$6:$DF$17,2)+1))*(VLOOKUP($A102,SatSunCurve,7))*(INDEX(DailyScalarsTable,BT$5/100,MONTH($A102)))*$D102</f>
        <v>-8291.7912155616086</v>
      </c>
      <c r="BU102" s="1021">
        <f>(VLOOKUP(YEAR($A102),'NY East Load Projections'!$A$4:$EO$14,((MONTH($A102)-1)*12)+VLOOKUP(BU$4,$DE$6:$DF$17,2)+1))*(VLOOKUP($A102,SatSunCurve,7))*(INDEX(DailyScalarsTable,BU$5/100,MONTH($A102)))*$D102</f>
        <v>-8124.9203695472479</v>
      </c>
      <c r="BV102" s="1021">
        <f>(VLOOKUP(YEAR($A102),'NY East Load Projections'!$A$4:$EO$14,((MONTH($A102)-1)*12)+VLOOKUP(BV$4,$DE$6:$DF$17,2)+1))*(VLOOKUP($A102,SatSunCurve,7))*(INDEX(DailyScalarsTable,BV$5/100,MONTH($A102)))*$D102</f>
        <v>-8386.4324623772791</v>
      </c>
      <c r="BW102" s="1021">
        <f>(VLOOKUP(YEAR($A102),'NY East Load Projections'!$A$4:$EO$14,((MONTH($A102)-1)*12)+VLOOKUP(BW$4,$DE$6:$DF$17,2)+1))*(VLOOKUP($A102,SatSunCurve,7))*(INDEX(DailyScalarsTable,BW$5/100,MONTH($A102)))*$D102</f>
        <v>-11669.356428133635</v>
      </c>
      <c r="BX102" s="1021">
        <f>(VLOOKUP(YEAR($A102),'NY East Load Projections'!$A$4:$EO$14,((MONTH($A102)-1)*12)+VLOOKUP(BX$4,$DE$6:$DF$17,2)+1))*(VLOOKUP($A102,SatSunCurve,7))*(INDEX(DailyScalarsTable,BX$5/100,MONTH($A102)))*$D102</f>
        <v>-12804.384596365257</v>
      </c>
      <c r="BY102" s="1021">
        <f>(VLOOKUP(YEAR($A102),'NY East Load Projections'!$A$4:$EO$14,((MONTH($A102)-1)*12)+VLOOKUP(BY$4,$DE$6:$DF$17,2)+1))*(VLOOKUP($A102,SatSunCurve,7))*(INDEX(DailyScalarsTable,BY$5/100,MONTH($A102)))*$D102</f>
        <v>-12256.017902973943</v>
      </c>
      <c r="BZ102" s="1021">
        <f>(VLOOKUP(YEAR($A102),'NY East Load Projections'!$A$4:$EO$14,((MONTH($A102)-1)*12)+VLOOKUP(BZ$4,$DE$6:$DF$17,2)+1))*(VLOOKUP($A102,SatSunCurve,7))*(INDEX(DailyScalarsTable,BZ$5/100,MONTH($A102)))*$D102</f>
        <v>-11079.027269644515</v>
      </c>
      <c r="CA102" s="1021">
        <f>(VLOOKUP(YEAR($A102),'NY East Load Projections'!$A$4:$EO$14,((MONTH($A102)-1)*12)+VLOOKUP(CA$4,$DE$6:$DF$17,2)+1))*(VLOOKUP($A102,SatSunCurve,7))*(INDEX(DailyScalarsTable,CA$5/100,MONTH($A102)))*$D102</f>
        <v>-7879.6607951418609</v>
      </c>
      <c r="CB102" s="1021">
        <f>(VLOOKUP(YEAR($A102),'NY East Load Projections'!$A$4:$EO$14,((MONTH($A102)-1)*12)+VLOOKUP(CB$4,$DE$6:$DF$17,2)+1))*(VLOOKUP($A102,SatSunCurve,7))*(INDEX(DailyScalarsTable,CB$5/100,MONTH($A102)))*$D102</f>
        <v>-6450.4831220120523</v>
      </c>
      <c r="CC102" s="1021">
        <f>(VLOOKUP(YEAR($A102),'NY East Load Projections'!$A$4:$EO$14,((MONTH($A102)-1)*12)+VLOOKUP(CC$4,$DE$6:$DF$17,2)+1))*(VLOOKUP($A102,CURVES!$D$9:$T$261,7))*(INDEX(DailyScalarsTable,CC$5/100,MONTH($A102)))*$D102</f>
        <v>-7420.5709089131769</v>
      </c>
      <c r="CE102" s="1021">
        <f>(VLOOKUP(YEAR($A102),'NY East Load Projections'!$A$4:$EO$14,((MONTH($A102)-1)*12)+VLOOKUP(CE$4,$DE$6:$DF$17,2)+1))*(VLOOKUP($A102,CURVES!$D$9:$T$261,7))*(INDEX(DailyScalarsTable,CE$5/100,MONTH($A102)))*$E102</f>
        <v>-1615.4700568584692</v>
      </c>
      <c r="CF102" s="1021">
        <f>(VLOOKUP(YEAR($A102),'NY East Load Projections'!$A$4:$EO$14,((MONTH($A102)-1)*12)+VLOOKUP(CF$4,$DE$6:$DF$17,2)+1))*(VLOOKUP($A102,CURVES!$D$9:$T$261,7))*(INDEX(DailyScalarsTable,CF$5/100,MONTH($A102)))*$E102</f>
        <v>-1583.9961994238204</v>
      </c>
      <c r="CG102" s="1021">
        <f>(VLOOKUP(YEAR($A102),'NY East Load Projections'!$A$4:$EO$14,((MONTH($A102)-1)*12)+VLOOKUP(CG$4,$DE$6:$DF$17,2)+1))*(VLOOKUP($A102,CURVES!$D$9:$T$261,7))*(INDEX(DailyScalarsTable,CG$5/100,MONTH($A102)))*$E102</f>
        <v>-1451.4958243062611</v>
      </c>
      <c r="CH102" s="1021">
        <f>(VLOOKUP(YEAR($A102),'NY East Load Projections'!$A$4:$EO$14,((MONTH($A102)-1)*12)+VLOOKUP(CH$4,$DE$6:$DF$17,2)+1))*(VLOOKUP($A102,CURVES!$D$9:$T$261,7))*(INDEX(DailyScalarsTable,CH$5/100,MONTH($A102)))*$E102</f>
        <v>-1450.6182274302028</v>
      </c>
      <c r="CI102" s="1021">
        <f>(VLOOKUP(YEAR($A102),'NY East Load Projections'!$A$4:$EO$14,((MONTH($A102)-1)*12)+VLOOKUP(CI$4,$DE$6:$DF$17,2)+1))*(VLOOKUP($A102,CURVES!$D$9:$T$261,7))*(INDEX(DailyScalarsTable,CI$5/100,MONTH($A102)))*$E102</f>
        <v>-1526.379720251575</v>
      </c>
      <c r="CJ102" s="1021">
        <f>(VLOOKUP(YEAR($A102),'NY East Load Projections'!$A$4:$EO$14,((MONTH($A102)-1)*12)+VLOOKUP(CJ$4,$DE$6:$DF$17,2)+1))*(VLOOKUP($A102,CURVES!$D$9:$T$261,7))*(INDEX(DailyScalarsTable,CJ$5/100,MONTH($A102)))*$E102</f>
        <v>-1628.9798455703165</v>
      </c>
      <c r="CK102" s="1021">
        <f>(VLOOKUP(YEAR($A102),'NY East Load Projections'!$A$4:$EO$14,((MONTH($A102)-1)*12)+VLOOKUP(CK$4,$DE$6:$DF$17,2)+1))*(VLOOKUP($A102,CURVES!$D$9:$T$261,7))*(INDEX(DailyScalarsTable,CK$5/100,MONTH($A102)))*$E102</f>
        <v>-3119.476569445038</v>
      </c>
      <c r="CL102" s="1021">
        <f>(VLOOKUP(YEAR($A102),'NY East Load Projections'!$A$4:$EO$14,((MONTH($A102)-1)*12)+VLOOKUP(CL$4,$DE$6:$DF$17,2)+1))*(VLOOKUP($A102,SatSunCurve,7))*(INDEX(DailyScalarsTable,CL$5/100,MONTH($A102)))*$E102</f>
        <v>-2790.9722228907335</v>
      </c>
      <c r="CM102" s="1021">
        <f>(VLOOKUP(YEAR($A102),'NY East Load Projections'!$A$4:$EO$14,((MONTH($A102)-1)*12)+VLOOKUP(CM$4,$DE$6:$DF$17,2)+1))*(VLOOKUP($A102,SatSunCurve,7))*(INDEX(DailyScalarsTable,CM$5/100,MONTH($A102)))*$E102</f>
        <v>-3148.2211703121689</v>
      </c>
      <c r="CN102" s="1021">
        <f>(VLOOKUP(YEAR($A102),'NY East Load Projections'!$A$4:$EO$14,((MONTH($A102)-1)*12)+VLOOKUP(CN$4,$DE$6:$DF$17,2)+1))*(VLOOKUP($A102,SatSunCurve,7))*(INDEX(DailyScalarsTable,CN$5/100,MONTH($A102)))*$E102</f>
        <v>-3138.6392496198032</v>
      </c>
      <c r="CO102" s="1021">
        <f>(VLOOKUP(YEAR($A102),'NY East Load Projections'!$A$4:$EO$14,((MONTH($A102)-1)*12)+VLOOKUP(CO$4,$DE$6:$DF$17,2)+1))*(VLOOKUP($A102,SatSunCurve,7))*(INDEX(DailyScalarsTable,CO$5/100,MONTH($A102)))*$E102</f>
        <v>-3083.8658780576602</v>
      </c>
      <c r="CP102" s="1021">
        <f>(VLOOKUP(YEAR($A102),'NY East Load Projections'!$A$4:$EO$14,((MONTH($A102)-1)*12)+VLOOKUP(CP$4,$DE$6:$DF$17,2)+1))*(VLOOKUP($A102,SatSunCurve,7))*(INDEX(DailyScalarsTable,CP$5/100,MONTH($A102)))*$E102</f>
        <v>-2310.107317295051</v>
      </c>
      <c r="CQ102" s="1021">
        <f>(VLOOKUP(YEAR($A102),'NY East Load Projections'!$A$4:$EO$14,((MONTH($A102)-1)*12)+VLOOKUP(CQ$4,$DE$6:$DF$17,2)+1))*(VLOOKUP($A102,SatSunCurve,7))*(INDEX(DailyScalarsTable,CQ$5/100,MONTH($A102)))*$E102</f>
        <v>-2256.9809995739593</v>
      </c>
      <c r="CR102" s="1021">
        <f>(VLOOKUP(YEAR($A102),'NY East Load Projections'!$A$4:$EO$14,((MONTH($A102)-1)*12)+VLOOKUP(CR$4,$DE$6:$DF$17,2)+1))*(VLOOKUP($A102,SatSunCurve,7))*(INDEX(DailyScalarsTable,CR$5/100,MONTH($A102)))*$E102</f>
        <v>-2184.1070225170561</v>
      </c>
      <c r="CS102" s="1021">
        <f>(VLOOKUP(YEAR($A102),'NY East Load Projections'!$A$4:$EO$14,((MONTH($A102)-1)*12)+VLOOKUP(CS$4,$DE$6:$DF$17,2)+1))*(VLOOKUP($A102,SatSunCurve,7))*(INDEX(DailyScalarsTable,CS$5/100,MONTH($A102)))*$E102</f>
        <v>-2072.9478038904022</v>
      </c>
      <c r="CT102" s="1021">
        <f>(VLOOKUP(YEAR($A102),'NY East Load Projections'!$A$4:$EO$14,((MONTH($A102)-1)*12)+VLOOKUP(CT$4,$DE$6:$DF$17,2)+1))*(VLOOKUP($A102,SatSunCurve,7))*(INDEX(DailyScalarsTable,CT$5/100,MONTH($A102)))*$E102</f>
        <v>-2031.230092386812</v>
      </c>
      <c r="CU102" s="1021">
        <f>(VLOOKUP(YEAR($A102),'NY East Load Projections'!$A$4:$EO$14,((MONTH($A102)-1)*12)+VLOOKUP(CU$4,$DE$6:$DF$17,2)+1))*(VLOOKUP($A102,SatSunCurve,7))*(INDEX(DailyScalarsTable,CU$5/100,MONTH($A102)))*$E102</f>
        <v>-2096.6081155943198</v>
      </c>
      <c r="CV102" s="1021">
        <f>(VLOOKUP(YEAR($A102),'NY East Load Projections'!$A$4:$EO$14,((MONTH($A102)-1)*12)+VLOOKUP(CV$4,$DE$6:$DF$17,2)+1))*(VLOOKUP($A102,SatSunCurve,7))*(INDEX(DailyScalarsTable,CV$5/100,MONTH($A102)))*$E102</f>
        <v>-2917.3391070334087</v>
      </c>
      <c r="CW102" s="1021">
        <f>(VLOOKUP(YEAR($A102),'NY East Load Projections'!$A$4:$EO$14,((MONTH($A102)-1)*12)+VLOOKUP(CW$4,$DE$6:$DF$17,2)+1))*(VLOOKUP($A102,SatSunCurve,7))*(INDEX(DailyScalarsTable,CW$5/100,MONTH($A102)))*$E102</f>
        <v>-3201.0961490913141</v>
      </c>
      <c r="CX102" s="1021">
        <f>(VLOOKUP(YEAR($A102),'NY East Load Projections'!$A$4:$EO$14,((MONTH($A102)-1)*12)+VLOOKUP(CX$4,$DE$6:$DF$17,2)+1))*(VLOOKUP($A102,SatSunCurve,7))*(INDEX(DailyScalarsTable,CX$5/100,MONTH($A102)))*$E102</f>
        <v>-3064.0044757434857</v>
      </c>
      <c r="CY102" s="1021">
        <f>(VLOOKUP(YEAR($A102),'NY East Load Projections'!$A$4:$EO$14,((MONTH($A102)-1)*12)+VLOOKUP(CY$4,$DE$6:$DF$17,2)+1))*(VLOOKUP($A102,SatSunCurve,7))*(INDEX(DailyScalarsTable,CY$5/100,MONTH($A102)))*$E102</f>
        <v>-2769.7568174111288</v>
      </c>
      <c r="CZ102" s="1021">
        <f>(VLOOKUP(YEAR($A102),'NY East Load Projections'!$A$4:$EO$14,((MONTH($A102)-1)*12)+VLOOKUP(CZ$4,$DE$6:$DF$17,2)+1))*(VLOOKUP($A102,SatSunCurve,7))*(INDEX(DailyScalarsTable,CZ$5/100,MONTH($A102)))*$E102</f>
        <v>-1969.9151987854652</v>
      </c>
      <c r="DA102" s="1021">
        <f>(VLOOKUP(YEAR($A102),'NY East Load Projections'!$A$4:$EO$14,((MONTH($A102)-1)*12)+VLOOKUP(DA$4,$DE$6:$DF$17,2)+1))*(VLOOKUP($A102,SatSunCurve,7))*(INDEX(DailyScalarsTable,DA$5/100,MONTH($A102)))*$E102</f>
        <v>-1612.6207805030131</v>
      </c>
      <c r="DB102" s="1021">
        <f>(VLOOKUP(YEAR($A102),'NY East Load Projections'!$A$4:$EO$14,((MONTH($A102)-1)*12)+VLOOKUP(DB$4,$DE$6:$DF$17,2)+1))*(VLOOKUP($A102,CURVES!$D$9:$T$261,7))*(INDEX(DailyScalarsTable,DB$5/100,MONTH($A102)))*$E102</f>
        <v>-1855.1427272282942</v>
      </c>
      <c r="DH102" s="1032">
        <f t="shared" si="2"/>
        <v>-1993448.3116619806</v>
      </c>
      <c r="DI102">
        <f ca="1">CALC!J122</f>
        <v>0.52106058799387756</v>
      </c>
      <c r="DJ102" s="1029">
        <f t="shared" ca="1" si="3"/>
        <v>-1038707.3494099941</v>
      </c>
    </row>
    <row r="103" spans="1:114" x14ac:dyDescent="0.25">
      <c r="A103" s="244">
        <v>39845</v>
      </c>
      <c r="B103" s="13">
        <v>20</v>
      </c>
      <c r="C103" s="210">
        <v>4</v>
      </c>
      <c r="D103" s="210">
        <v>4</v>
      </c>
      <c r="E103" s="210">
        <v>0</v>
      </c>
      <c r="F103" s="13">
        <v>28</v>
      </c>
      <c r="H103" s="1021">
        <f>(VLOOKUP(YEAR($A103),'NY East Load Projections'!$A$4:$EO$14,((MONTH($A103)-1)*12)+VLOOKUP(H$4,$DE$6:$DF$17,2)+1))*(VLOOKUP($A103,CURVES!$D$9:$K$261,7))*(INDEX(DailyScalarsTable,H$5/100,MONTH($A103)))*$B103</f>
        <v>-29989.198680145437</v>
      </c>
      <c r="I103" s="1021">
        <f>(VLOOKUP(YEAR($A103),'NY East Load Projections'!$A$4:$EO$14,((MONTH($A103)-1)*12)+VLOOKUP(I$4,$DE$6:$DF$17,2)+1))*(VLOOKUP($A103,CURVES!$D$9:$K$261,7))*(INDEX(DailyScalarsTable,I$5/100,MONTH($A103)))*$B103</f>
        <v>-29404.92553943878</v>
      </c>
      <c r="J103" s="1021">
        <f>(VLOOKUP(YEAR($A103),'NY East Load Projections'!$A$4:$EO$14,((MONTH($A103)-1)*12)+VLOOKUP(J$4,$DE$6:$DF$17,2)+1))*(VLOOKUP($A103,CURVES!$D$9:$K$261,7))*(INDEX(DailyScalarsTable,J$5/100,MONTH($A103)))*$B103</f>
        <v>-26945.220354731413</v>
      </c>
      <c r="K103" s="1021">
        <f>(VLOOKUP(YEAR($A103),'NY East Load Projections'!$A$4:$EO$14,((MONTH($A103)-1)*12)+VLOOKUP(K$4,$DE$6:$DF$17,2)+1))*(VLOOKUP($A103,CURVES!$D$9:$K$261,7))*(INDEX(DailyScalarsTable,K$5/100,MONTH($A103)))*$B103</f>
        <v>-26928.928856807666</v>
      </c>
      <c r="L103" s="1021">
        <f>(VLOOKUP(YEAR($A103),'NY East Load Projections'!$A$4:$EO$14,((MONTH($A103)-1)*12)+VLOOKUP(L$4,$DE$6:$DF$17,2)+1))*(VLOOKUP($A103,CURVES!$D$9:$K$261,7))*(INDEX(DailyScalarsTable,L$5/100,MONTH($A103)))*$B103</f>
        <v>-30268.491565726385</v>
      </c>
      <c r="M103" s="1021">
        <f>(VLOOKUP(YEAR($A103),'NY East Load Projections'!$A$4:$EO$14,((MONTH($A103)-1)*12)+VLOOKUP(M$4,$DE$6:$DF$17,2)+1))*(VLOOKUP($A103,CURVES!$D$9:$K$261,7))*(INDEX(DailyScalarsTable,M$5/100,MONTH($A103)))*$B103</f>
        <v>-32303.077708774028</v>
      </c>
      <c r="N103" s="1021">
        <f>(VLOOKUP(YEAR($A103),'NY East Load Projections'!$A$4:$EO$14,((MONTH($A103)-1)*12)+VLOOKUP(N$4,$DE$6:$DF$17,2)+1))*(VLOOKUP($A103,CURVES!$D$9:$K$261,7))*(INDEX(DailyScalarsTable,N$5/100,MONTH($A103)))*$B103</f>
        <v>-61860.000482819421</v>
      </c>
      <c r="O103" s="1021">
        <f>(VLOOKUP(YEAR($A103),'NY East Load Projections'!$A$4:$EO$14,((MONTH($A103)-1)*12)+VLOOKUP(O$4,$DE$6:$DF$17,2)+1))*(VLOOKUP($A103,CURVES!$D$9:$K$261,3))*(INDEX(DailyScalarsTable,O$5/100,MONTH($A103)))*$B103</f>
        <v>-73181.3321150017</v>
      </c>
      <c r="P103" s="1021">
        <f>(VLOOKUP(YEAR($A103),'NY East Load Projections'!$A$4:$EO$14,((MONTH($A103)-1)*12)+VLOOKUP(P$4,$DE$6:$DF$17,2)+1))*(VLOOKUP($A103,CURVES!$D$9:$K$261,3))*(INDEX(DailyScalarsTable,P$5/100,MONTH($A103)))*$B103</f>
        <v>-81330.715404912204</v>
      </c>
      <c r="Q103" s="1021">
        <f>(VLOOKUP(YEAR($A103),'NY East Load Projections'!$A$4:$EO$14,((MONTH($A103)-1)*12)+VLOOKUP(Q$4,$DE$6:$DF$17,2)+1))*(VLOOKUP($A103,CURVES!$D$9:$K$261,3))*(INDEX(DailyScalarsTable,Q$5/100,MONTH($A103)))*$B103</f>
        <v>-81083.177375433166</v>
      </c>
      <c r="R103" s="1021">
        <f>(VLOOKUP(YEAR($A103),'NY East Load Projections'!$A$4:$EO$14,((MONTH($A103)-1)*12)+VLOOKUP(R$4,$DE$6:$DF$17,2)+1))*(VLOOKUP($A103,CURVES!$D$9:$K$261,3))*(INDEX(DailyScalarsTable,R$5/100,MONTH($A103)))*$B103</f>
        <v>-79668.16958109627</v>
      </c>
      <c r="S103" s="1021">
        <f>(VLOOKUP(YEAR($A103),'NY East Load Projections'!$A$4:$EO$14,((MONTH($A103)-1)*12)+VLOOKUP(S$4,$DE$6:$DF$17,2)+1))*(VLOOKUP($A103,CURVES!$D$9:$K$261,3))*(INDEX(DailyScalarsTable,S$5/100,MONTH($A103)))*$B103</f>
        <v>-59678.99668214831</v>
      </c>
      <c r="T103" s="1021">
        <f>(VLOOKUP(YEAR($A103),'NY East Load Projections'!$A$4:$EO$14,((MONTH($A103)-1)*12)+VLOOKUP(T$4,$DE$6:$DF$17,2)+1))*(VLOOKUP($A103,CURVES!$D$9:$K$261,3))*(INDEX(DailyScalarsTable,T$5/100,MONTH($A103)))*$B103</f>
        <v>-58523.846410293147</v>
      </c>
      <c r="U103" s="1021">
        <f>(VLOOKUP(YEAR($A103),'NY East Load Projections'!$A$4:$EO$14,((MONTH($A103)-1)*12)+VLOOKUP(U$4,$DE$6:$DF$17,2)+1))*(VLOOKUP($A103,CURVES!$D$9:$K$261,3))*(INDEX(DailyScalarsTable,U$5/100,MONTH($A103)))*$B103</f>
        <v>-56634.213559422657</v>
      </c>
      <c r="V103" s="1021">
        <f>(VLOOKUP(YEAR($A103),'NY East Load Projections'!$A$4:$EO$14,((MONTH($A103)-1)*12)+VLOOKUP(V$4,$DE$6:$DF$17,2)+1))*(VLOOKUP($A103,CURVES!$D$9:$K$261,3))*(INDEX(DailyScalarsTable,V$5/100,MONTH($A103)))*$B103</f>
        <v>-53751.838812261522</v>
      </c>
      <c r="W103" s="1021">
        <f>(VLOOKUP(YEAR($A103),'NY East Load Projections'!$A$4:$EO$14,((MONTH($A103)-1)*12)+VLOOKUP(W$4,$DE$6:$DF$17,2)+1))*(VLOOKUP($A103,CURVES!$D$9:$K$261,3))*(INDEX(DailyScalarsTable,W$5/100,MONTH($A103)))*$B103</f>
        <v>-52670.092470096533</v>
      </c>
      <c r="X103" s="1021">
        <f>(VLOOKUP(YEAR($A103),'NY East Load Projections'!$A$4:$EO$14,((MONTH($A103)-1)*12)+VLOOKUP(X$4,$DE$6:$DF$17,2)+1))*(VLOOKUP($A103,CURVES!$D$9:$K$261,3))*(INDEX(DailyScalarsTable,X$5/100,MONTH($A103)))*$B103</f>
        <v>-55108.15937721236</v>
      </c>
      <c r="Y103" s="1021">
        <f>(VLOOKUP(YEAR($A103),'NY East Load Projections'!$A$4:$EO$14,((MONTH($A103)-1)*12)+VLOOKUP(Y$4,$DE$6:$DF$17,2)+1))*(VLOOKUP($A103,CURVES!$D$9:$K$261,3))*(INDEX(DailyScalarsTable,Y$5/100,MONTH($A103)))*$B103</f>
        <v>-76680.609634194145</v>
      </c>
      <c r="Z103" s="1021">
        <f>(VLOOKUP(YEAR($A103),'NY East Load Projections'!$A$4:$EO$14,((MONTH($A103)-1)*12)+VLOOKUP(Z$4,$DE$6:$DF$17,2)+1))*(VLOOKUP($A103,CURVES!$D$9:$K$261,3))*(INDEX(DailyScalarsTable,Z$5/100,MONTH($A103)))*$B103</f>
        <v>-84139.003113559622</v>
      </c>
      <c r="AA103" s="1021">
        <f>(VLOOKUP(YEAR($A103),'NY East Load Projections'!$A$4:$EO$14,((MONTH($A103)-1)*12)+VLOOKUP(AA$4,$DE$6:$DF$17,2)+1))*(VLOOKUP($A103,CURVES!$D$9:$K$261,3))*(INDEX(DailyScalarsTable,AA$5/100,MONTH($A103)))*$B103</f>
        <v>-80535.625959789861</v>
      </c>
      <c r="AB103" s="1021">
        <f>(VLOOKUP(YEAR($A103),'NY East Load Projections'!$A$4:$EO$14,((MONTH($A103)-1)*12)+VLOOKUP(AB$4,$DE$6:$DF$17,2)+1))*(VLOOKUP($A103,CURVES!$D$9:$K$261,3))*(INDEX(DailyScalarsTable,AB$5/100,MONTH($A103)))*$B103</f>
        <v>-69515.092266029082</v>
      </c>
      <c r="AC103" s="1021">
        <f>(VLOOKUP(YEAR($A103),'NY East Load Projections'!$A$4:$EO$14,((MONTH($A103)-1)*12)+VLOOKUP(AC$4,$DE$6:$DF$17,2)+1))*(VLOOKUP($A103,CURVES!$D$9:$K$261,3))*(INDEX(DailyScalarsTable,AC$5/100,MONTH($A103)))*$B103</f>
        <v>-49440.74365626811</v>
      </c>
      <c r="AD103" s="1021">
        <f>(VLOOKUP(YEAR($A103),'NY East Load Projections'!$A$4:$EO$14,((MONTH($A103)-1)*12)+VLOOKUP(AD$4,$DE$6:$DF$17,2)+1))*(VLOOKUP($A103,CURVES!$D$9:$K$261,3))*(INDEX(DailyScalarsTable,AD$5/100,MONTH($A103)))*$B103</f>
        <v>-40473.402445332082</v>
      </c>
      <c r="AE103" s="1021">
        <f>(VLOOKUP(YEAR($A103),'NY East Load Projections'!$A$4:$EO$14,((MONTH($A103)-1)*12)+VLOOKUP(AE$4,$DE$6:$DF$17,2)+1))*(VLOOKUP($A103,CURVES!$D$9:$K$261,7))*(INDEX(DailyScalarsTable,AE$5/100,MONTH($A103)))*$B103</f>
        <v>-35212.607533883609</v>
      </c>
      <c r="AF103" s="1021"/>
      <c r="AG103" s="1021">
        <f>(VLOOKUP(YEAR($A103),'NY East Load Projections'!$A$4:$EO$14,((MONTH($A103)-1)*12)+VLOOKUP(AG$4,$DE$6:$DF$17,2)+1))*(VLOOKUP($A103,CURVES!$D$9:$T$261,7))*(INDEX(DailyScalarsTable,AG$5/100,MONTH($A103)))*$C103</f>
        <v>-6322.9253485631762</v>
      </c>
      <c r="AH103" s="1021">
        <f>(VLOOKUP(YEAR($A103),'NY East Load Projections'!$A$4:$EO$14,((MONTH($A103)-1)*12)+VLOOKUP(AH$4,$DE$6:$DF$17,2)+1))*(VLOOKUP($A103,CURVES!$D$9:$T$261,7))*(INDEX(DailyScalarsTable,AH$5/100,MONTH($A103)))*$C103</f>
        <v>-6199.737146995637</v>
      </c>
      <c r="AI103" s="1021">
        <f>(VLOOKUP(YEAR($A103),'NY East Load Projections'!$A$4:$EO$14,((MONTH($A103)-1)*12)+VLOOKUP(AI$4,$DE$6:$DF$17,2)+1))*(VLOOKUP($A103,CURVES!$D$9:$T$261,7))*(INDEX(DailyScalarsTable,AI$5/100,MONTH($A103)))*$C103</f>
        <v>-5681.1326844937712</v>
      </c>
      <c r="AJ103" s="1021">
        <f>(VLOOKUP(YEAR($A103),'NY East Load Projections'!$A$4:$EO$14,((MONTH($A103)-1)*12)+VLOOKUP(AJ$4,$DE$6:$DF$17,2)+1))*(VLOOKUP($A103,CURVES!$D$9:$T$261,7))*(INDEX(DailyScalarsTable,AJ$5/100,MONTH($A103)))*$C103</f>
        <v>-5677.6977836053948</v>
      </c>
      <c r="AK103" s="1021">
        <f>(VLOOKUP(YEAR($A103),'NY East Load Projections'!$A$4:$EO$14,((MONTH($A103)-1)*12)+VLOOKUP(AK$4,$DE$6:$DF$17,2)+1))*(VLOOKUP($A103,CURVES!$D$9:$T$261,7))*(INDEX(DailyScalarsTable,AK$5/100,MONTH($A103)))*$C103</f>
        <v>-5927.2545182323793</v>
      </c>
      <c r="AL103" s="1021">
        <f>(VLOOKUP(YEAR($A103),'NY East Load Projections'!$A$4:$EO$14,((MONTH($A103)-1)*12)+VLOOKUP(AL$4,$DE$6:$DF$17,2)+1))*(VLOOKUP($A103,CURVES!$D$9:$T$261,7))*(INDEX(DailyScalarsTable,AL$5/100,MONTH($A103)))*$C103</f>
        <v>-6325.6724533622346</v>
      </c>
      <c r="AM103" s="1021">
        <f>(VLOOKUP(YEAR($A103),'NY East Load Projections'!$A$4:$EO$14,((MONTH($A103)-1)*12)+VLOOKUP(AM$4,$DE$6:$DF$17,2)+1))*(VLOOKUP($A103,CURVES!$D$9:$T$261,7))*(INDEX(DailyScalarsTable,AM$5/100,MONTH($A103)))*$C103</f>
        <v>-12113.585725389268</v>
      </c>
      <c r="AN103" s="1021">
        <f>(VLOOKUP(YEAR($A103),'NY East Load Projections'!$A$4:$EO$14,((MONTH($A103)-1)*12)+VLOOKUP(AN$4,$DE$6:$DF$17,2)+1))*(VLOOKUP($A103,SatSunCurve,3))*(INDEX(DailyScalarsTable,AN$5/100,MONTH($A103)))*$C103</f>
        <v>-11127.398869899105</v>
      </c>
      <c r="AO103" s="1021">
        <f>(VLOOKUP(YEAR($A103),'NY East Load Projections'!$A$4:$EO$14,((MONTH($A103)-1)*12)+VLOOKUP(AO$4,$DE$6:$DF$17,2)+1))*(VLOOKUP($A103,SatSunCurve,3))*(INDEX(DailyScalarsTable,AO$5/100,MONTH($A103)))*$C103</f>
        <v>-12511.315430998256</v>
      </c>
      <c r="AP103" s="1021">
        <f>(VLOOKUP(YEAR($A103),'NY East Load Projections'!$A$4:$EO$14,((MONTH($A103)-1)*12)+VLOOKUP(AP$4,$DE$6:$DF$17,2)+1))*(VLOOKUP($A103,SatSunCurve,3))*(INDEX(DailyScalarsTable,AP$5/100,MONTH($A103)))*$C103</f>
        <v>-12473.236012262529</v>
      </c>
      <c r="AQ103" s="1021">
        <f>(VLOOKUP(YEAR($A103),'NY East Load Projections'!$A$4:$EO$14,((MONTH($A103)-1)*12)+VLOOKUP(AQ$4,$DE$6:$DF$17,2)+1))*(VLOOKUP($A103,SatSunCurve,3))*(INDEX(DailyScalarsTable,AQ$5/100,MONTH($A103)))*$C103</f>
        <v>-12255.561683884485</v>
      </c>
      <c r="AR103" s="1021">
        <f>(VLOOKUP(YEAR($A103),'NY East Load Projections'!$A$4:$EO$14,((MONTH($A103)-1)*12)+VLOOKUP(AR$4,$DE$6:$DF$17,2)+1))*(VLOOKUP($A103,SatSunCurve,3))*(INDEX(DailyScalarsTable,AR$5/100,MONTH($A103)))*$C103</f>
        <v>-9180.5752399758076</v>
      </c>
      <c r="AS103" s="1021">
        <f>(VLOOKUP(YEAR($A103),'NY East Load Projections'!$A$4:$EO$14,((MONTH($A103)-1)*12)+VLOOKUP(AS$4,$DE$6:$DF$17,2)+1))*(VLOOKUP($A103,SatSunCurve,3))*(INDEX(DailyScalarsTable,AS$5/100,MONTH($A103)))*$C103</f>
        <v>-8954.3145600928892</v>
      </c>
      <c r="AT103" s="1021">
        <f>(VLOOKUP(YEAR($A103),'NY East Load Projections'!$A$4:$EO$14,((MONTH($A103)-1)*12)+VLOOKUP(AT$4,$DE$6:$DF$17,2)+1))*(VLOOKUP($A103,SatSunCurve,3))*(INDEX(DailyScalarsTable,AT$5/100,MONTH($A103)))*$C103</f>
        <v>-8665.1953721441714</v>
      </c>
      <c r="AU103" s="1021">
        <f>(VLOOKUP(YEAR($A103),'NY East Load Projections'!$A$4:$EO$14,((MONTH($A103)-1)*12)+VLOOKUP(AU$4,$DE$6:$DF$17,2)+1))*(VLOOKUP($A103,SatSunCurve,3))*(INDEX(DailyScalarsTable,AU$5/100,MONTH($A103)))*$C103</f>
        <v>-8224.1838571934113</v>
      </c>
      <c r="AV103" s="1021">
        <f>(VLOOKUP(YEAR($A103),'NY East Load Projections'!$A$4:$EO$14,((MONTH($A103)-1)*12)+VLOOKUP(AV$4,$DE$6:$DF$17,2)+1))*(VLOOKUP($A103,SatSunCurve,3))*(INDEX(DailyScalarsTable,AV$5/100,MONTH($A103)))*$C103</f>
        <v>-8058.6735974256662</v>
      </c>
      <c r="AW103" s="1021">
        <f>(VLOOKUP(YEAR($A103),'NY East Load Projections'!$A$4:$EO$14,((MONTH($A103)-1)*12)+VLOOKUP(AW$4,$DE$6:$DF$17,2)+1))*(VLOOKUP($A103,SatSunCurve,3))*(INDEX(DailyScalarsTable,AW$5/100,MONTH($A103)))*$C103</f>
        <v>-8371.4438779303291</v>
      </c>
      <c r="AX103" s="1021">
        <f>(VLOOKUP(YEAR($A103),'NY East Load Projections'!$A$4:$EO$14,((MONTH($A103)-1)*12)+VLOOKUP(AX$4,$DE$6:$DF$17,2)+1))*(VLOOKUP($A103,SatSunCurve,3))*(INDEX(DailyScalarsTable,AX$5/100,MONTH($A103)))*$C103</f>
        <v>-11648.500464045292</v>
      </c>
      <c r="AY103" s="1021">
        <f>(VLOOKUP(YEAR($A103),'NY East Load Projections'!$A$4:$EO$14,((MONTH($A103)-1)*12)+VLOOKUP(AY$4,$DE$6:$DF$17,2)+1))*(VLOOKUP($A103,SatSunCurve,3))*(INDEX(DailyScalarsTable,AY$5/100,MONTH($A103)))*$C103</f>
        <v>-12781.500062247223</v>
      </c>
      <c r="AZ103" s="1021">
        <f>(VLOOKUP(YEAR($A103),'NY East Load Projections'!$A$4:$EO$14,((MONTH($A103)-1)*12)+VLOOKUP(AZ$4,$DE$6:$DF$17,2)+1))*(VLOOKUP($A103,SatSunCurve,3))*(INDEX(DailyScalarsTable,AZ$5/100,MONTH($A103)))*$C103</f>
        <v>-12234.113432849588</v>
      </c>
      <c r="BA103" s="1021">
        <f>(VLOOKUP(YEAR($A103),'NY East Load Projections'!$A$4:$EO$14,((MONTH($A103)-1)*12)+VLOOKUP(BA$4,$DE$6:$DF$17,2)+1))*(VLOOKUP($A103,SatSunCurve,3))*(INDEX(DailyScalarsTable,BA$5/100,MONTH($A103)))*$C103</f>
        <v>-11117.331213728823</v>
      </c>
      <c r="BB103" s="1021">
        <f>(VLOOKUP(YEAR($A103),'NY East Load Projections'!$A$4:$EO$14,((MONTH($A103)-1)*12)+VLOOKUP(BB$4,$DE$6:$DF$17,2)+1))*(VLOOKUP($A103,SatSunCurve,3))*(INDEX(DailyScalarsTable,BB$5/100,MONTH($A103)))*$C103</f>
        <v>-7906.9034473309557</v>
      </c>
      <c r="BC103" s="1021">
        <f>(VLOOKUP(YEAR($A103),'NY East Load Projections'!$A$4:$EO$14,((MONTH($A103)-1)*12)+VLOOKUP(BC$4,$DE$6:$DF$17,2)+1))*(VLOOKUP($A103,SatSunCurve,3))*(INDEX(DailyScalarsTable,BC$5/100,MONTH($A103)))*$C103</f>
        <v>-6472.7846236519381</v>
      </c>
      <c r="BD103" s="1021">
        <f>(VLOOKUP(YEAR($A103),'NY East Load Projections'!$A$4:$EO$14,((MONTH($A103)-1)*12)+VLOOKUP(BD$4,$DE$6:$DF$17,2)+1))*(VLOOKUP($A103,CURVES!$D$9:$T$261,7))*(INDEX(DailyScalarsTable,BD$5/100,MONTH($A103)))*$C103</f>
        <v>-7252.522420609268</v>
      </c>
      <c r="BE103" s="1021"/>
      <c r="BF103" s="1021">
        <f>(VLOOKUP(YEAR($A103),'NY East Load Projections'!$A$4:$EO$14,((MONTH($A103)-1)*12)+VLOOKUP(BF$4,$DE$6:$DF$17,2)+1))*(VLOOKUP($A103,CURVES!$D$9:$T$261,7))*(INDEX(DailyScalarsTable,BF$5/100,MONTH($A103)))*$D103</f>
        <v>-6322.9253485631762</v>
      </c>
      <c r="BG103" s="1021">
        <f>(VLOOKUP(YEAR($A103),'NY East Load Projections'!$A$4:$EO$14,((MONTH($A103)-1)*12)+VLOOKUP(BG$4,$DE$6:$DF$17,2)+1))*(VLOOKUP($A103,CURVES!$D$9:$T$261,7))*(INDEX(DailyScalarsTable,BG$5/100,MONTH($A103)))*$D103</f>
        <v>-6199.737146995637</v>
      </c>
      <c r="BH103" s="1021">
        <f>(VLOOKUP(YEAR($A103),'NY East Load Projections'!$A$4:$EO$14,((MONTH($A103)-1)*12)+VLOOKUP(BH$4,$DE$6:$DF$17,2)+1))*(VLOOKUP($A103,CURVES!$D$9:$T$261,7))*(INDEX(DailyScalarsTable,BH$5/100,MONTH($A103)))*$D103</f>
        <v>-5681.1326844937712</v>
      </c>
      <c r="BI103" s="1021">
        <f>(VLOOKUP(YEAR($A103),'NY East Load Projections'!$A$4:$EO$14,((MONTH($A103)-1)*12)+VLOOKUP(BI$4,$DE$6:$DF$17,2)+1))*(VLOOKUP($A103,CURVES!$D$9:$T$261,7))*(INDEX(DailyScalarsTable,BI$5/100,MONTH($A103)))*$D103</f>
        <v>-5677.6977836053948</v>
      </c>
      <c r="BJ103" s="1021">
        <f>(VLOOKUP(YEAR($A103),'NY East Load Projections'!$A$4:$EO$14,((MONTH($A103)-1)*12)+VLOOKUP(BJ$4,$DE$6:$DF$17,2)+1))*(VLOOKUP($A103,CURVES!$D$9:$T$261,7))*(INDEX(DailyScalarsTable,BJ$5/100,MONTH($A103)))*$D103</f>
        <v>-5927.2545182323793</v>
      </c>
      <c r="BK103" s="1021">
        <f>(VLOOKUP(YEAR($A103),'NY East Load Projections'!$A$4:$EO$14,((MONTH($A103)-1)*12)+VLOOKUP(BK$4,$DE$6:$DF$17,2)+1))*(VLOOKUP($A103,CURVES!$D$9:$T$261,7))*(INDEX(DailyScalarsTable,BK$5/100,MONTH($A103)))*$D103</f>
        <v>-6325.6724533622346</v>
      </c>
      <c r="BL103" s="1021">
        <f>(VLOOKUP(YEAR($A103),'NY East Load Projections'!$A$4:$EO$14,((MONTH($A103)-1)*12)+VLOOKUP(BL$4,$DE$6:$DF$17,2)+1))*(VLOOKUP($A103,CURVES!$D$9:$T$261,7))*(INDEX(DailyScalarsTable,BL$5/100,MONTH($A103)))*$D103</f>
        <v>-12113.585725389268</v>
      </c>
      <c r="BM103" s="1021">
        <f>(VLOOKUP(YEAR($A103),'NY East Load Projections'!$A$4:$EO$14,((MONTH($A103)-1)*12)+VLOOKUP(BM$4,$DE$6:$DF$17,2)+1))*(VLOOKUP($A103,SatSunCurve,7))*(INDEX(DailyScalarsTable,BM$5/100,MONTH($A103)))*$D103</f>
        <v>-10163.509441648952</v>
      </c>
      <c r="BN103" s="1021">
        <f>(VLOOKUP(YEAR($A103),'NY East Load Projections'!$A$4:$EO$14,((MONTH($A103)-1)*12)+VLOOKUP(BN$4,$DE$6:$DF$17,2)+1))*(VLOOKUP($A103,SatSunCurve,7))*(INDEX(DailyScalarsTable,BN$5/100,MONTH($A103)))*$D103</f>
        <v>-11427.546904459261</v>
      </c>
      <c r="BO103" s="1021">
        <f>(VLOOKUP(YEAR($A103),'NY East Load Projections'!$A$4:$EO$14,((MONTH($A103)-1)*12)+VLOOKUP(BO$4,$DE$6:$DF$17,2)+1))*(VLOOKUP($A103,SatSunCurve,7))*(INDEX(DailyScalarsTable,BO$5/100,MONTH($A103)))*$D103</f>
        <v>-11392.766041799614</v>
      </c>
      <c r="BP103" s="1021">
        <f>(VLOOKUP(YEAR($A103),'NY East Load Projections'!$A$4:$EO$14,((MONTH($A103)-1)*12)+VLOOKUP(BP$4,$DE$6:$DF$17,2)+1))*(VLOOKUP($A103,SatSunCurve,7))*(INDEX(DailyScalarsTable,BP$5/100,MONTH($A103)))*$D103</f>
        <v>-11193.947331556426</v>
      </c>
      <c r="BQ103" s="1021">
        <f>(VLOOKUP(YEAR($A103),'NY East Load Projections'!$A$4:$EO$14,((MONTH($A103)-1)*12)+VLOOKUP(BQ$4,$DE$6:$DF$17,2)+1))*(VLOOKUP($A103,SatSunCurve,7))*(INDEX(DailyScalarsTable,BQ$5/100,MONTH($A103)))*$D103</f>
        <v>-8385.3256472784942</v>
      </c>
      <c r="BR103" s="1021">
        <f>(VLOOKUP(YEAR($A103),'NY East Load Projections'!$A$4:$EO$14,((MONTH($A103)-1)*12)+VLOOKUP(BR$4,$DE$6:$DF$17,2)+1))*(VLOOKUP($A103,SatSunCurve,7))*(INDEX(DailyScalarsTable,BR$5/100,MONTH($A103)))*$D103</f>
        <v>-8178.6643616401561</v>
      </c>
      <c r="BS103" s="1021">
        <f>(VLOOKUP(YEAR($A103),'NY East Load Projections'!$A$4:$EO$14,((MONTH($A103)-1)*12)+VLOOKUP(BS$4,$DE$6:$DF$17,2)+1))*(VLOOKUP($A103,SatSunCurve,7))*(INDEX(DailyScalarsTable,BS$5/100,MONTH($A103)))*$D103</f>
        <v>-7914.5895647505122</v>
      </c>
      <c r="BT103" s="1021">
        <f>(VLOOKUP(YEAR($A103),'NY East Load Projections'!$A$4:$EO$14,((MONTH($A103)-1)*12)+VLOOKUP(BT$4,$DE$6:$DF$17,2)+1))*(VLOOKUP($A103,SatSunCurve,7))*(INDEX(DailyScalarsTable,BT$5/100,MONTH($A103)))*$D103</f>
        <v>-7511.7798202195681</v>
      </c>
      <c r="BU103" s="1021">
        <f>(VLOOKUP(YEAR($A103),'NY East Load Projections'!$A$4:$EO$14,((MONTH($A103)-1)*12)+VLOOKUP(BU$4,$DE$6:$DF$17,2)+1))*(VLOOKUP($A103,SatSunCurve,7))*(INDEX(DailyScalarsTable,BU$5/100,MONTH($A103)))*$D103</f>
        <v>-7360.6065669276695</v>
      </c>
      <c r="BV103" s="1021">
        <f>(VLOOKUP(YEAR($A103),'NY East Load Projections'!$A$4:$EO$14,((MONTH($A103)-1)*12)+VLOOKUP(BV$4,$DE$6:$DF$17,2)+1))*(VLOOKUP($A103,SatSunCurve,7))*(INDEX(DailyScalarsTable,BV$5/100,MONTH($A103)))*$D103</f>
        <v>-7646.2837261760424</v>
      </c>
      <c r="BW103" s="1021">
        <f>(VLOOKUP(YEAR($A103),'NY East Load Projections'!$A$4:$EO$14,((MONTH($A103)-1)*12)+VLOOKUP(BW$4,$DE$6:$DF$17,2)+1))*(VLOOKUP($A103,SatSunCurve,7))*(INDEX(DailyScalarsTable,BW$5/100,MONTH($A103)))*$D103</f>
        <v>-10639.471617004234</v>
      </c>
      <c r="BX103" s="1021">
        <f>(VLOOKUP(YEAR($A103),'NY East Load Projections'!$A$4:$EO$14,((MONTH($A103)-1)*12)+VLOOKUP(BX$4,$DE$6:$DF$17,2)+1))*(VLOOKUP($A103,SatSunCurve,7))*(INDEX(DailyScalarsTable,BX$5/100,MONTH($A103)))*$D103</f>
        <v>-11674.327314040482</v>
      </c>
      <c r="BY103" s="1021">
        <f>(VLOOKUP(YEAR($A103),'NY East Load Projections'!$A$4:$EO$14,((MONTH($A103)-1)*12)+VLOOKUP(BY$4,$DE$6:$DF$17,2)+1))*(VLOOKUP($A103,SatSunCurve,7))*(INDEX(DailyScalarsTable,BY$5/100,MONTH($A103)))*$D103</f>
        <v>-11174.356993828018</v>
      </c>
      <c r="BZ103" s="1021">
        <f>(VLOOKUP(YEAR($A103),'NY East Load Projections'!$A$4:$EO$14,((MONTH($A103)-1)*12)+VLOOKUP(BZ$4,$DE$6:$DF$17,2)+1))*(VLOOKUP($A103,SatSunCurve,7))*(INDEX(DailyScalarsTable,BZ$5/100,MONTH($A103)))*$D103</f>
        <v>-10154.313876743057</v>
      </c>
      <c r="CA103" s="1021">
        <f>(VLOOKUP(YEAR($A103),'NY East Load Projections'!$A$4:$EO$14,((MONTH($A103)-1)*12)+VLOOKUP(CA$4,$DE$6:$DF$17,2)+1))*(VLOOKUP($A103,SatSunCurve,7))*(INDEX(DailyScalarsTable,CA$5/100,MONTH($A103)))*$D103</f>
        <v>-7221.9832128551598</v>
      </c>
      <c r="CB103" s="1021">
        <f>(VLOOKUP(YEAR($A103),'NY East Load Projections'!$A$4:$EO$14,((MONTH($A103)-1)*12)+VLOOKUP(CB$4,$DE$6:$DF$17,2)+1))*(VLOOKUP($A103,SatSunCurve,7))*(INDEX(DailyScalarsTable,CB$5/100,MONTH($A103)))*$D103</f>
        <v>-5912.0921614669442</v>
      </c>
      <c r="CC103" s="1021">
        <f>(VLOOKUP(YEAR($A103),'NY East Load Projections'!$A$4:$EO$14,((MONTH($A103)-1)*12)+VLOOKUP(CC$4,$DE$6:$DF$17,2)+1))*(VLOOKUP($A103,CURVES!$D$9:$T$261,7))*(INDEX(DailyScalarsTable,CC$5/100,MONTH($A103)))*$D103</f>
        <v>-7252.522420609268</v>
      </c>
      <c r="CE103" s="1021">
        <f>(VLOOKUP(YEAR($A103),'NY East Load Projections'!$A$4:$EO$14,((MONTH($A103)-1)*12)+VLOOKUP(CE$4,$DE$6:$DF$17,2)+1))*(VLOOKUP($A103,CURVES!$D$9:$T$261,7))*(INDEX(DailyScalarsTable,CE$5/100,MONTH($A103)))*$E103</f>
        <v>0</v>
      </c>
      <c r="CF103" s="1021">
        <f>(VLOOKUP(YEAR($A103),'NY East Load Projections'!$A$4:$EO$14,((MONTH($A103)-1)*12)+VLOOKUP(CF$4,$DE$6:$DF$17,2)+1))*(VLOOKUP($A103,CURVES!$D$9:$T$261,7))*(INDEX(DailyScalarsTable,CF$5/100,MONTH($A103)))*$E103</f>
        <v>0</v>
      </c>
      <c r="CG103" s="1021">
        <f>(VLOOKUP(YEAR($A103),'NY East Load Projections'!$A$4:$EO$14,((MONTH($A103)-1)*12)+VLOOKUP(CG$4,$DE$6:$DF$17,2)+1))*(VLOOKUP($A103,CURVES!$D$9:$T$261,7))*(INDEX(DailyScalarsTable,CG$5/100,MONTH($A103)))*$E103</f>
        <v>0</v>
      </c>
      <c r="CH103" s="1021">
        <f>(VLOOKUP(YEAR($A103),'NY East Load Projections'!$A$4:$EO$14,((MONTH($A103)-1)*12)+VLOOKUP(CH$4,$DE$6:$DF$17,2)+1))*(VLOOKUP($A103,CURVES!$D$9:$T$261,7))*(INDEX(DailyScalarsTable,CH$5/100,MONTH($A103)))*$E103</f>
        <v>0</v>
      </c>
      <c r="CI103" s="1021">
        <f>(VLOOKUP(YEAR($A103),'NY East Load Projections'!$A$4:$EO$14,((MONTH($A103)-1)*12)+VLOOKUP(CI$4,$DE$6:$DF$17,2)+1))*(VLOOKUP($A103,CURVES!$D$9:$T$261,7))*(INDEX(DailyScalarsTable,CI$5/100,MONTH($A103)))*$E103</f>
        <v>0</v>
      </c>
      <c r="CJ103" s="1021">
        <f>(VLOOKUP(YEAR($A103),'NY East Load Projections'!$A$4:$EO$14,((MONTH($A103)-1)*12)+VLOOKUP(CJ$4,$DE$6:$DF$17,2)+1))*(VLOOKUP($A103,CURVES!$D$9:$T$261,7))*(INDEX(DailyScalarsTable,CJ$5/100,MONTH($A103)))*$E103</f>
        <v>0</v>
      </c>
      <c r="CK103" s="1021">
        <f>(VLOOKUP(YEAR($A103),'NY East Load Projections'!$A$4:$EO$14,((MONTH($A103)-1)*12)+VLOOKUP(CK$4,$DE$6:$DF$17,2)+1))*(VLOOKUP($A103,CURVES!$D$9:$T$261,7))*(INDEX(DailyScalarsTable,CK$5/100,MONTH($A103)))*$E103</f>
        <v>0</v>
      </c>
      <c r="CL103" s="1021">
        <f>(VLOOKUP(YEAR($A103),'NY East Load Projections'!$A$4:$EO$14,((MONTH($A103)-1)*12)+VLOOKUP(CL$4,$DE$6:$DF$17,2)+1))*(VLOOKUP($A103,SatSunCurve,7))*(INDEX(DailyScalarsTable,CL$5/100,MONTH($A103)))*$E103</f>
        <v>0</v>
      </c>
      <c r="CM103" s="1021">
        <f>(VLOOKUP(YEAR($A103),'NY East Load Projections'!$A$4:$EO$14,((MONTH($A103)-1)*12)+VLOOKUP(CM$4,$DE$6:$DF$17,2)+1))*(VLOOKUP($A103,SatSunCurve,7))*(INDEX(DailyScalarsTable,CM$5/100,MONTH($A103)))*$E103</f>
        <v>0</v>
      </c>
      <c r="CN103" s="1021">
        <f>(VLOOKUP(YEAR($A103),'NY East Load Projections'!$A$4:$EO$14,((MONTH($A103)-1)*12)+VLOOKUP(CN$4,$DE$6:$DF$17,2)+1))*(VLOOKUP($A103,SatSunCurve,7))*(INDEX(DailyScalarsTable,CN$5/100,MONTH($A103)))*$E103</f>
        <v>0</v>
      </c>
      <c r="CO103" s="1021">
        <f>(VLOOKUP(YEAR($A103),'NY East Load Projections'!$A$4:$EO$14,((MONTH($A103)-1)*12)+VLOOKUP(CO$4,$DE$6:$DF$17,2)+1))*(VLOOKUP($A103,SatSunCurve,7))*(INDEX(DailyScalarsTable,CO$5/100,MONTH($A103)))*$E103</f>
        <v>0</v>
      </c>
      <c r="CP103" s="1021">
        <f>(VLOOKUP(YEAR($A103),'NY East Load Projections'!$A$4:$EO$14,((MONTH($A103)-1)*12)+VLOOKUP(CP$4,$DE$6:$DF$17,2)+1))*(VLOOKUP($A103,SatSunCurve,7))*(INDEX(DailyScalarsTable,CP$5/100,MONTH($A103)))*$E103</f>
        <v>0</v>
      </c>
      <c r="CQ103" s="1021">
        <f>(VLOOKUP(YEAR($A103),'NY East Load Projections'!$A$4:$EO$14,((MONTH($A103)-1)*12)+VLOOKUP(CQ$4,$DE$6:$DF$17,2)+1))*(VLOOKUP($A103,SatSunCurve,7))*(INDEX(DailyScalarsTable,CQ$5/100,MONTH($A103)))*$E103</f>
        <v>0</v>
      </c>
      <c r="CR103" s="1021">
        <f>(VLOOKUP(YEAR($A103),'NY East Load Projections'!$A$4:$EO$14,((MONTH($A103)-1)*12)+VLOOKUP(CR$4,$DE$6:$DF$17,2)+1))*(VLOOKUP($A103,SatSunCurve,7))*(INDEX(DailyScalarsTable,CR$5/100,MONTH($A103)))*$E103</f>
        <v>0</v>
      </c>
      <c r="CS103" s="1021">
        <f>(VLOOKUP(YEAR($A103),'NY East Load Projections'!$A$4:$EO$14,((MONTH($A103)-1)*12)+VLOOKUP(CS$4,$DE$6:$DF$17,2)+1))*(VLOOKUP($A103,SatSunCurve,7))*(INDEX(DailyScalarsTable,CS$5/100,MONTH($A103)))*$E103</f>
        <v>0</v>
      </c>
      <c r="CT103" s="1021">
        <f>(VLOOKUP(YEAR($A103),'NY East Load Projections'!$A$4:$EO$14,((MONTH($A103)-1)*12)+VLOOKUP(CT$4,$DE$6:$DF$17,2)+1))*(VLOOKUP($A103,SatSunCurve,7))*(INDEX(DailyScalarsTable,CT$5/100,MONTH($A103)))*$E103</f>
        <v>0</v>
      </c>
      <c r="CU103" s="1021">
        <f>(VLOOKUP(YEAR($A103),'NY East Load Projections'!$A$4:$EO$14,((MONTH($A103)-1)*12)+VLOOKUP(CU$4,$DE$6:$DF$17,2)+1))*(VLOOKUP($A103,SatSunCurve,7))*(INDEX(DailyScalarsTable,CU$5/100,MONTH($A103)))*$E103</f>
        <v>0</v>
      </c>
      <c r="CV103" s="1021">
        <f>(VLOOKUP(YEAR($A103),'NY East Load Projections'!$A$4:$EO$14,((MONTH($A103)-1)*12)+VLOOKUP(CV$4,$DE$6:$DF$17,2)+1))*(VLOOKUP($A103,SatSunCurve,7))*(INDEX(DailyScalarsTable,CV$5/100,MONTH($A103)))*$E103</f>
        <v>0</v>
      </c>
      <c r="CW103" s="1021">
        <f>(VLOOKUP(YEAR($A103),'NY East Load Projections'!$A$4:$EO$14,((MONTH($A103)-1)*12)+VLOOKUP(CW$4,$DE$6:$DF$17,2)+1))*(VLOOKUP($A103,SatSunCurve,7))*(INDEX(DailyScalarsTable,CW$5/100,MONTH($A103)))*$E103</f>
        <v>0</v>
      </c>
      <c r="CX103" s="1021">
        <f>(VLOOKUP(YEAR($A103),'NY East Load Projections'!$A$4:$EO$14,((MONTH($A103)-1)*12)+VLOOKUP(CX$4,$DE$6:$DF$17,2)+1))*(VLOOKUP($A103,SatSunCurve,7))*(INDEX(DailyScalarsTable,CX$5/100,MONTH($A103)))*$E103</f>
        <v>0</v>
      </c>
      <c r="CY103" s="1021">
        <f>(VLOOKUP(YEAR($A103),'NY East Load Projections'!$A$4:$EO$14,((MONTH($A103)-1)*12)+VLOOKUP(CY$4,$DE$6:$DF$17,2)+1))*(VLOOKUP($A103,SatSunCurve,7))*(INDEX(DailyScalarsTable,CY$5/100,MONTH($A103)))*$E103</f>
        <v>0</v>
      </c>
      <c r="CZ103" s="1021">
        <f>(VLOOKUP(YEAR($A103),'NY East Load Projections'!$A$4:$EO$14,((MONTH($A103)-1)*12)+VLOOKUP(CZ$4,$DE$6:$DF$17,2)+1))*(VLOOKUP($A103,SatSunCurve,7))*(INDEX(DailyScalarsTable,CZ$5/100,MONTH($A103)))*$E103</f>
        <v>0</v>
      </c>
      <c r="DA103" s="1021">
        <f>(VLOOKUP(YEAR($A103),'NY East Load Projections'!$A$4:$EO$14,((MONTH($A103)-1)*12)+VLOOKUP(DA$4,$DE$6:$DF$17,2)+1))*(VLOOKUP($A103,SatSunCurve,7))*(INDEX(DailyScalarsTable,DA$5/100,MONTH($A103)))*$E103</f>
        <v>0</v>
      </c>
      <c r="DB103" s="1021">
        <f>(VLOOKUP(YEAR($A103),'NY East Load Projections'!$A$4:$EO$14,((MONTH($A103)-1)*12)+VLOOKUP(DB$4,$DE$6:$DF$17,2)+1))*(VLOOKUP($A103,CURVES!$D$9:$T$261,7))*(INDEX(DailyScalarsTable,DB$5/100,MONTH($A103)))*$E103</f>
        <v>0</v>
      </c>
      <c r="DH103" s="1032">
        <f t="shared" si="2"/>
        <v>-1746263.1220759342</v>
      </c>
      <c r="DI103">
        <f ca="1">CALC!J123</f>
        <v>0.5180972415705154</v>
      </c>
      <c r="DJ103" s="1029">
        <f t="shared" ca="1" si="3"/>
        <v>-904734.10660385771</v>
      </c>
    </row>
    <row r="104" spans="1:114" x14ac:dyDescent="0.25">
      <c r="A104" s="244">
        <v>39873</v>
      </c>
      <c r="B104" s="13">
        <v>22</v>
      </c>
      <c r="C104" s="210">
        <v>4</v>
      </c>
      <c r="D104" s="210">
        <v>5</v>
      </c>
      <c r="E104" s="210">
        <v>0</v>
      </c>
      <c r="F104" s="13">
        <v>31</v>
      </c>
      <c r="H104" s="1021">
        <f>(VLOOKUP(YEAR($A104),'NY East Load Projections'!$A$4:$EO$14,((MONTH($A104)-1)*12)+VLOOKUP(H$4,$DE$6:$DF$17,2)+1))*(VLOOKUP($A104,CURVES!$D$9:$K$261,7))*(INDEX(DailyScalarsTable,H$5/100,MONTH($A104)))*$B104</f>
        <v>-28630.417099313359</v>
      </c>
      <c r="I104" s="1021">
        <f>(VLOOKUP(YEAR($A104),'NY East Load Projections'!$A$4:$EO$14,((MONTH($A104)-1)*12)+VLOOKUP(I$4,$DE$6:$DF$17,2)+1))*(VLOOKUP($A104,CURVES!$D$9:$K$261,7))*(INDEX(DailyScalarsTable,I$5/100,MONTH($A104)))*$B104</f>
        <v>-27071.329305656654</v>
      </c>
      <c r="J104" s="1021">
        <f>(VLOOKUP(YEAR($A104),'NY East Load Projections'!$A$4:$EO$14,((MONTH($A104)-1)*12)+VLOOKUP(J$4,$DE$6:$DF$17,2)+1))*(VLOOKUP($A104,CURVES!$D$9:$K$261,7))*(INDEX(DailyScalarsTable,J$5/100,MONTH($A104)))*$B104</f>
        <v>-25917.59049210028</v>
      </c>
      <c r="K104" s="1021">
        <f>(VLOOKUP(YEAR($A104),'NY East Load Projections'!$A$4:$EO$14,((MONTH($A104)-1)*12)+VLOOKUP(K$4,$DE$6:$DF$17,2)+1))*(VLOOKUP($A104,CURVES!$D$9:$K$261,7))*(INDEX(DailyScalarsTable,K$5/100,MONTH($A104)))*$B104</f>
        <v>-25933.859836305863</v>
      </c>
      <c r="L104" s="1021">
        <f>(VLOOKUP(YEAR($A104),'NY East Load Projections'!$A$4:$EO$14,((MONTH($A104)-1)*12)+VLOOKUP(L$4,$DE$6:$DF$17,2)+1))*(VLOOKUP($A104,CURVES!$D$9:$K$261,7))*(INDEX(DailyScalarsTable,L$5/100,MONTH($A104)))*$B104</f>
        <v>-30395.074156267594</v>
      </c>
      <c r="M104" s="1021">
        <f>(VLOOKUP(YEAR($A104),'NY East Load Projections'!$A$4:$EO$14,((MONTH($A104)-1)*12)+VLOOKUP(M$4,$DE$6:$DF$17,2)+1))*(VLOOKUP($A104,CURVES!$D$9:$K$261,7))*(INDEX(DailyScalarsTable,M$5/100,MONTH($A104)))*$B104</f>
        <v>-35281.790711205045</v>
      </c>
      <c r="N104" s="1021">
        <f>(VLOOKUP(YEAR($A104),'NY East Load Projections'!$A$4:$EO$14,((MONTH($A104)-1)*12)+VLOOKUP(N$4,$DE$6:$DF$17,2)+1))*(VLOOKUP($A104,CURVES!$D$9:$K$261,7))*(INDEX(DailyScalarsTable,N$5/100,MONTH($A104)))*$B104</f>
        <v>-63661.995680557302</v>
      </c>
      <c r="O104" s="1021">
        <f>(VLOOKUP(YEAR($A104),'NY East Load Projections'!$A$4:$EO$14,((MONTH($A104)-1)*12)+VLOOKUP(O$4,$DE$6:$DF$17,2)+1))*(VLOOKUP($A104,CURVES!$D$9:$K$261,3))*(INDEX(DailyScalarsTable,O$5/100,MONTH($A104)))*$B104</f>
        <v>-67919.628365432582</v>
      </c>
      <c r="P104" s="1021">
        <f>(VLOOKUP(YEAR($A104),'NY East Load Projections'!$A$4:$EO$14,((MONTH($A104)-1)*12)+VLOOKUP(P$4,$DE$6:$DF$17,2)+1))*(VLOOKUP($A104,CURVES!$D$9:$K$261,3))*(INDEX(DailyScalarsTable,P$5/100,MONTH($A104)))*$B104</f>
        <v>-76726.012513945228</v>
      </c>
      <c r="Q104" s="1021">
        <f>(VLOOKUP(YEAR($A104),'NY East Load Projections'!$A$4:$EO$14,((MONTH($A104)-1)*12)+VLOOKUP(Q$4,$DE$6:$DF$17,2)+1))*(VLOOKUP($A104,CURVES!$D$9:$K$261,3))*(INDEX(DailyScalarsTable,Q$5/100,MONTH($A104)))*$B104</f>
        <v>-76493.861190151147</v>
      </c>
      <c r="R104" s="1021">
        <f>(VLOOKUP(YEAR($A104),'NY East Load Projections'!$A$4:$EO$14,((MONTH($A104)-1)*12)+VLOOKUP(R$4,$DE$6:$DF$17,2)+1))*(VLOOKUP($A104,CURVES!$D$9:$K$261,3))*(INDEX(DailyScalarsTable,R$5/100,MONTH($A104)))*$B104</f>
        <v>-75146.093782568816</v>
      </c>
      <c r="S104" s="1021">
        <f>(VLOOKUP(YEAR($A104),'NY East Load Projections'!$A$4:$EO$14,((MONTH($A104)-1)*12)+VLOOKUP(S$4,$DE$6:$DF$17,2)+1))*(VLOOKUP($A104,CURVES!$D$9:$K$261,3))*(INDEX(DailyScalarsTable,S$5/100,MONTH($A104)))*$B104</f>
        <v>-57418.760751737122</v>
      </c>
      <c r="T104" s="1021">
        <f>(VLOOKUP(YEAR($A104),'NY East Load Projections'!$A$4:$EO$14,((MONTH($A104)-1)*12)+VLOOKUP(T$4,$DE$6:$DF$17,2)+1))*(VLOOKUP($A104,CURVES!$D$9:$K$261,3))*(INDEX(DailyScalarsTable,T$5/100,MONTH($A104)))*$B104</f>
        <v>-57454.928475815803</v>
      </c>
      <c r="U104" s="1021">
        <f>(VLOOKUP(YEAR($A104),'NY East Load Projections'!$A$4:$EO$14,((MONTH($A104)-1)*12)+VLOOKUP(U$4,$DE$6:$DF$17,2)+1))*(VLOOKUP($A104,CURVES!$D$9:$K$261,3))*(INDEX(DailyScalarsTable,U$5/100,MONTH($A104)))*$B104</f>
        <v>-55621.260545736586</v>
      </c>
      <c r="V104" s="1021">
        <f>(VLOOKUP(YEAR($A104),'NY East Load Projections'!$A$4:$EO$14,((MONTH($A104)-1)*12)+VLOOKUP(V$4,$DE$6:$DF$17,2)+1))*(VLOOKUP($A104,CURVES!$D$9:$K$261,3))*(INDEX(DailyScalarsTable,V$5/100,MONTH($A104)))*$B104</f>
        <v>-52824.252579927328</v>
      </c>
      <c r="W104" s="1021">
        <f>(VLOOKUP(YEAR($A104),'NY East Load Projections'!$A$4:$EO$14,((MONTH($A104)-1)*12)+VLOOKUP(W$4,$DE$6:$DF$17,2)+1))*(VLOOKUP($A104,CURVES!$D$9:$K$261,3))*(INDEX(DailyScalarsTable,W$5/100,MONTH($A104)))*$B104</f>
        <v>-51774.54412720081</v>
      </c>
      <c r="X104" s="1021">
        <f>(VLOOKUP(YEAR($A104),'NY East Load Projections'!$A$4:$EO$14,((MONTH($A104)-1)*12)+VLOOKUP(X$4,$DE$6:$DF$17,2)+1))*(VLOOKUP($A104,CURVES!$D$9:$K$261,3))*(INDEX(DailyScalarsTable,X$5/100,MONTH($A104)))*$B104</f>
        <v>-54219.7708740179</v>
      </c>
      <c r="Y104" s="1021">
        <f>(VLOOKUP(YEAR($A104),'NY East Load Projections'!$A$4:$EO$14,((MONTH($A104)-1)*12)+VLOOKUP(Y$4,$DE$6:$DF$17,2)+1))*(VLOOKUP($A104,CURVES!$D$9:$K$261,3))*(INDEX(DailyScalarsTable,Y$5/100,MONTH($A104)))*$B104</f>
        <v>-73920.386774217201</v>
      </c>
      <c r="Z104" s="1021">
        <f>(VLOOKUP(YEAR($A104),'NY East Load Projections'!$A$4:$EO$14,((MONTH($A104)-1)*12)+VLOOKUP(Z$4,$DE$6:$DF$17,2)+1))*(VLOOKUP($A104,CURVES!$D$9:$K$261,3))*(INDEX(DailyScalarsTable,Z$5/100,MONTH($A104)))*$B104</f>
        <v>-81170.111316694165</v>
      </c>
      <c r="AA104" s="1021">
        <f>(VLOOKUP(YEAR($A104),'NY East Load Projections'!$A$4:$EO$14,((MONTH($A104)-1)*12)+VLOOKUP(AA$4,$DE$6:$DF$17,2)+1))*(VLOOKUP($A104,CURVES!$D$9:$K$261,3))*(INDEX(DailyScalarsTable,AA$5/100,MONTH($A104)))*$B104</f>
        <v>-77666.50324114853</v>
      </c>
      <c r="AB104" s="1021">
        <f>(VLOOKUP(YEAR($A104),'NY East Load Projections'!$A$4:$EO$14,((MONTH($A104)-1)*12)+VLOOKUP(AB$4,$DE$6:$DF$17,2)+1))*(VLOOKUP($A104,CURVES!$D$9:$K$261,3))*(INDEX(DailyScalarsTable,AB$5/100,MONTH($A104)))*$B104</f>
        <v>-66826.826610225544</v>
      </c>
      <c r="AC104" s="1021">
        <f>(VLOOKUP(YEAR($A104),'NY East Load Projections'!$A$4:$EO$14,((MONTH($A104)-1)*12)+VLOOKUP(AC$4,$DE$6:$DF$17,2)+1))*(VLOOKUP($A104,CURVES!$D$9:$K$261,3))*(INDEX(DailyScalarsTable,AC$5/100,MONTH($A104)))*$B104</f>
        <v>-48525.461816786781</v>
      </c>
      <c r="AD104" s="1021">
        <f>(VLOOKUP(YEAR($A104),'NY East Load Projections'!$A$4:$EO$14,((MONTH($A104)-1)*12)+VLOOKUP(AD$4,$DE$6:$DF$17,2)+1))*(VLOOKUP($A104,CURVES!$D$9:$K$261,3))*(INDEX(DailyScalarsTable,AD$5/100,MONTH($A104)))*$B104</f>
        <v>-39829.979182149102</v>
      </c>
      <c r="AE104" s="1021">
        <f>(VLOOKUP(YEAR($A104),'NY East Load Projections'!$A$4:$EO$14,((MONTH($A104)-1)*12)+VLOOKUP(AE$4,$DE$6:$DF$17,2)+1))*(VLOOKUP($A104,CURVES!$D$9:$K$261,7))*(INDEX(DailyScalarsTable,AE$5/100,MONTH($A104)))*$B104</f>
        <v>-36152.840840525052</v>
      </c>
      <c r="AF104" s="1021"/>
      <c r="AG104" s="1021">
        <f>(VLOOKUP(YEAR($A104),'NY East Load Projections'!$A$4:$EO$14,((MONTH($A104)-1)*12)+VLOOKUP(AG$4,$DE$6:$DF$17,2)+1))*(VLOOKUP($A104,CURVES!$D$9:$T$261,7))*(INDEX(DailyScalarsTable,AG$5/100,MONTH($A104)))*$C104</f>
        <v>-5751.372964878261</v>
      </c>
      <c r="AH104" s="1021">
        <f>(VLOOKUP(YEAR($A104),'NY East Load Projections'!$A$4:$EO$14,((MONTH($A104)-1)*12)+VLOOKUP(AH$4,$DE$6:$DF$17,2)+1))*(VLOOKUP($A104,CURVES!$D$9:$T$261,7))*(INDEX(DailyScalarsTable,AH$5/100,MONTH($A104)))*$C104</f>
        <v>-5438.1782476932312</v>
      </c>
      <c r="AI104" s="1021">
        <f>(VLOOKUP(YEAR($A104),'NY East Load Projections'!$A$4:$EO$14,((MONTH($A104)-1)*12)+VLOOKUP(AI$4,$DE$6:$DF$17,2)+1))*(VLOOKUP($A104,CURVES!$D$9:$T$261,7))*(INDEX(DailyScalarsTable,AI$5/100,MONTH($A104)))*$C104</f>
        <v>-5206.4113754956907</v>
      </c>
      <c r="AJ104" s="1021">
        <f>(VLOOKUP(YEAR($A104),'NY East Load Projections'!$A$4:$EO$14,((MONTH($A104)-1)*12)+VLOOKUP(AJ$4,$DE$6:$DF$17,2)+1))*(VLOOKUP($A104,CURVES!$D$9:$T$261,7))*(INDEX(DailyScalarsTable,AJ$5/100,MONTH($A104)))*$C104</f>
        <v>-5209.6796152176512</v>
      </c>
      <c r="AK104" s="1021">
        <f>(VLOOKUP(YEAR($A104),'NY East Load Projections'!$A$4:$EO$14,((MONTH($A104)-1)*12)+VLOOKUP(AK$4,$DE$6:$DF$17,2)+1))*(VLOOKUP($A104,CURVES!$D$9:$T$261,7))*(INDEX(DailyScalarsTable,AK$5/100,MONTH($A104)))*$C104</f>
        <v>-5673.2098207984018</v>
      </c>
      <c r="AL104" s="1021">
        <f>(VLOOKUP(YEAR($A104),'NY East Load Projections'!$A$4:$EO$14,((MONTH($A104)-1)*12)+VLOOKUP(AL$4,$DE$6:$DF$17,2)+1))*(VLOOKUP($A104,CURVES!$D$9:$T$261,7))*(INDEX(DailyScalarsTable,AL$5/100,MONTH($A104)))*$C104</f>
        <v>-6585.3105187074607</v>
      </c>
      <c r="AM104" s="1021">
        <f>(VLOOKUP(YEAR($A104),'NY East Load Projections'!$A$4:$EO$14,((MONTH($A104)-1)*12)+VLOOKUP(AM$4,$DE$6:$DF$17,2)+1))*(VLOOKUP($A104,CURVES!$D$9:$T$261,7))*(INDEX(DailyScalarsTable,AM$5/100,MONTH($A104)))*$C104</f>
        <v>-11882.447045521973</v>
      </c>
      <c r="AN104" s="1021">
        <f>(VLOOKUP(YEAR($A104),'NY East Load Projections'!$A$4:$EO$14,((MONTH($A104)-1)*12)+VLOOKUP(AN$4,$DE$6:$DF$17,2)+1))*(VLOOKUP($A104,SatSunCurve,3))*(INDEX(DailyScalarsTable,AN$5/100,MONTH($A104)))*$C104</f>
        <v>-8363.3946857613955</v>
      </c>
      <c r="AO104" s="1021">
        <f>(VLOOKUP(YEAR($A104),'NY East Load Projections'!$A$4:$EO$14,((MONTH($A104)-1)*12)+VLOOKUP(AO$4,$DE$6:$DF$17,2)+1))*(VLOOKUP($A104,SatSunCurve,3))*(INDEX(DailyScalarsTable,AO$5/100,MONTH($A104)))*$C104</f>
        <v>-9395.3580513680281</v>
      </c>
      <c r="AP104" s="1021">
        <f>(VLOOKUP(YEAR($A104),'NY East Load Projections'!$A$4:$EO$14,((MONTH($A104)-1)*12)+VLOOKUP(AP$4,$DE$6:$DF$17,2)+1))*(VLOOKUP($A104,SatSunCurve,3))*(INDEX(DailyScalarsTable,AP$5/100,MONTH($A104)))*$C104</f>
        <v>-9366.9303416815892</v>
      </c>
      <c r="AQ104" s="1021">
        <f>(VLOOKUP(YEAR($A104),'NY East Load Projections'!$A$4:$EO$14,((MONTH($A104)-1)*12)+VLOOKUP(AQ$4,$DE$6:$DF$17,2)+1))*(VLOOKUP($A104,SatSunCurve,3))*(INDEX(DailyScalarsTable,AQ$5/100,MONTH($A104)))*$C104</f>
        <v>-9201.891693779764</v>
      </c>
      <c r="AR104" s="1021">
        <f>(VLOOKUP(YEAR($A104),'NY East Load Projections'!$A$4:$EO$14,((MONTH($A104)-1)*12)+VLOOKUP(AR$4,$DE$6:$DF$17,2)+1))*(VLOOKUP($A104,SatSunCurve,3))*(INDEX(DailyScalarsTable,AR$5/100,MONTH($A104)))*$C104</f>
        <v>-7031.1201957792</v>
      </c>
      <c r="AS104" s="1021">
        <f>(VLOOKUP(YEAR($A104),'NY East Load Projections'!$A$4:$EO$14,((MONTH($A104)-1)*12)+VLOOKUP(AS$4,$DE$6:$DF$17,2)+1))*(VLOOKUP($A104,SatSunCurve,3))*(INDEX(DailyScalarsTable,AS$5/100,MONTH($A104)))*$C104</f>
        <v>-6884.2650501893249</v>
      </c>
      <c r="AT104" s="1021">
        <f>(VLOOKUP(YEAR($A104),'NY East Load Projections'!$A$4:$EO$14,((MONTH($A104)-1)*12)+VLOOKUP(AT$4,$DE$6:$DF$17,2)+1))*(VLOOKUP($A104,SatSunCurve,3))*(INDEX(DailyScalarsTable,AT$5/100,MONTH($A104)))*$C104</f>
        <v>-6664.5544634811558</v>
      </c>
      <c r="AU104" s="1021">
        <f>(VLOOKUP(YEAR($A104),'NY East Load Projections'!$A$4:$EO$14,((MONTH($A104)-1)*12)+VLOOKUP(AU$4,$DE$6:$DF$17,2)+1))*(VLOOKUP($A104,SatSunCurve,3))*(INDEX(DailyScalarsTable,AU$5/100,MONTH($A104)))*$C104</f>
        <v>-6329.4162134661574</v>
      </c>
      <c r="AV104" s="1021">
        <f>(VLOOKUP(YEAR($A104),'NY East Load Projections'!$A$4:$EO$14,((MONTH($A104)-1)*12)+VLOOKUP(AV$4,$DE$6:$DF$17,2)+1))*(VLOOKUP($A104,SatSunCurve,3))*(INDEX(DailyScalarsTable,AV$5/100,MONTH($A104)))*$C104</f>
        <v>-6203.6398631042339</v>
      </c>
      <c r="AW104" s="1021">
        <f>(VLOOKUP(YEAR($A104),'NY East Load Projections'!$A$4:$EO$14,((MONTH($A104)-1)*12)+VLOOKUP(AW$4,$DE$6:$DF$17,2)+1))*(VLOOKUP($A104,SatSunCurve,3))*(INDEX(DailyScalarsTable,AW$5/100,MONTH($A104)))*$C104</f>
        <v>-6465.2190795636125</v>
      </c>
      <c r="AX104" s="1021">
        <f>(VLOOKUP(YEAR($A104),'NY East Load Projections'!$A$4:$EO$14,((MONTH($A104)-1)*12)+VLOOKUP(AX$4,$DE$6:$DF$17,2)+1))*(VLOOKUP($A104,SatSunCurve,3))*(INDEX(DailyScalarsTable,AX$5/100,MONTH($A104)))*$C104</f>
        <v>-8814.3399951253905</v>
      </c>
      <c r="AY104" s="1021">
        <f>(VLOOKUP(YEAR($A104),'NY East Load Projections'!$A$4:$EO$14,((MONTH($A104)-1)*12)+VLOOKUP(AY$4,$DE$6:$DF$17,2)+1))*(VLOOKUP($A104,SatSunCurve,3))*(INDEX(DailyScalarsTable,AY$5/100,MONTH($A104)))*$C104</f>
        <v>-9678.8043164983028</v>
      </c>
      <c r="AZ104" s="1021">
        <f>(VLOOKUP(YEAR($A104),'NY East Load Projections'!$A$4:$EO$14,((MONTH($A104)-1)*12)+VLOOKUP(AZ$4,$DE$6:$DF$17,2)+1))*(VLOOKUP($A104,SatSunCurve,3))*(INDEX(DailyScalarsTable,AZ$5/100,MONTH($A104)))*$C104</f>
        <v>-9261.0306259756544</v>
      </c>
      <c r="BA104" s="1021">
        <f>(VLOOKUP(YEAR($A104),'NY East Load Projections'!$A$4:$EO$14,((MONTH($A104)-1)*12)+VLOOKUP(BA$4,$DE$6:$DF$17,2)+1))*(VLOOKUP($A104,SatSunCurve,3))*(INDEX(DailyScalarsTable,BA$5/100,MONTH($A104)))*$C104</f>
        <v>-8389.8019198192251</v>
      </c>
      <c r="BB104" s="1021">
        <f>(VLOOKUP(YEAR($A104),'NY East Load Projections'!$A$4:$EO$14,((MONTH($A104)-1)*12)+VLOOKUP(BB$4,$DE$6:$DF$17,2)+1))*(VLOOKUP($A104,SatSunCurve,3))*(INDEX(DailyScalarsTable,BB$5/100,MONTH($A104)))*$C104</f>
        <v>-6092.1494160594584</v>
      </c>
      <c r="BC104" s="1021">
        <f>(VLOOKUP(YEAR($A104),'NY East Load Projections'!$A$4:$EO$14,((MONTH($A104)-1)*12)+VLOOKUP(BC$4,$DE$6:$DF$17,2)+1))*(VLOOKUP($A104,SatSunCurve,3))*(INDEX(DailyScalarsTable,BC$5/100,MONTH($A104)))*$C104</f>
        <v>-5000.4714088521705</v>
      </c>
      <c r="BD104" s="1021">
        <f>(VLOOKUP(YEAR($A104),'NY East Load Projections'!$A$4:$EO$14,((MONTH($A104)-1)*12)+VLOOKUP(BD$4,$DE$6:$DF$17,2)+1))*(VLOOKUP($A104,CURVES!$D$9:$T$261,7))*(INDEX(DailyScalarsTable,BD$5/100,MONTH($A104)))*$C104</f>
        <v>-6879.8923904232561</v>
      </c>
      <c r="BE104" s="1021"/>
      <c r="BF104" s="1021">
        <f>(VLOOKUP(YEAR($A104),'NY East Load Projections'!$A$4:$EO$14,((MONTH($A104)-1)*12)+VLOOKUP(BF$4,$DE$6:$DF$17,2)+1))*(VLOOKUP($A104,CURVES!$D$9:$T$261,7))*(INDEX(DailyScalarsTable,BF$5/100,MONTH($A104)))*$D104</f>
        <v>-7189.2162060978262</v>
      </c>
      <c r="BG104" s="1021">
        <f>(VLOOKUP(YEAR($A104),'NY East Load Projections'!$A$4:$EO$14,((MONTH($A104)-1)*12)+VLOOKUP(BG$4,$DE$6:$DF$17,2)+1))*(VLOOKUP($A104,CURVES!$D$9:$T$261,7))*(INDEX(DailyScalarsTable,BG$5/100,MONTH($A104)))*$D104</f>
        <v>-6797.7228096165391</v>
      </c>
      <c r="BH104" s="1021">
        <f>(VLOOKUP(YEAR($A104),'NY East Load Projections'!$A$4:$EO$14,((MONTH($A104)-1)*12)+VLOOKUP(BH$4,$DE$6:$DF$17,2)+1))*(VLOOKUP($A104,CURVES!$D$9:$T$261,7))*(INDEX(DailyScalarsTable,BH$5/100,MONTH($A104)))*$D104</f>
        <v>-6508.0142193696138</v>
      </c>
      <c r="BI104" s="1021">
        <f>(VLOOKUP(YEAR($A104),'NY East Load Projections'!$A$4:$EO$14,((MONTH($A104)-1)*12)+VLOOKUP(BI$4,$DE$6:$DF$17,2)+1))*(VLOOKUP($A104,CURVES!$D$9:$T$261,7))*(INDEX(DailyScalarsTable,BI$5/100,MONTH($A104)))*$D104</f>
        <v>-6512.0995190220638</v>
      </c>
      <c r="BJ104" s="1021">
        <f>(VLOOKUP(YEAR($A104),'NY East Load Projections'!$A$4:$EO$14,((MONTH($A104)-1)*12)+VLOOKUP(BJ$4,$DE$6:$DF$17,2)+1))*(VLOOKUP($A104,CURVES!$D$9:$T$261,7))*(INDEX(DailyScalarsTable,BJ$5/100,MONTH($A104)))*$D104</f>
        <v>-7091.5122759980022</v>
      </c>
      <c r="BK104" s="1021">
        <f>(VLOOKUP(YEAR($A104),'NY East Load Projections'!$A$4:$EO$14,((MONTH($A104)-1)*12)+VLOOKUP(BK$4,$DE$6:$DF$17,2)+1))*(VLOOKUP($A104,CURVES!$D$9:$T$261,7))*(INDEX(DailyScalarsTable,BK$5/100,MONTH($A104)))*$D104</f>
        <v>-8231.6381483843252</v>
      </c>
      <c r="BL104" s="1021">
        <f>(VLOOKUP(YEAR($A104),'NY East Load Projections'!$A$4:$EO$14,((MONTH($A104)-1)*12)+VLOOKUP(BL$4,$DE$6:$DF$17,2)+1))*(VLOOKUP($A104,CURVES!$D$9:$T$261,7))*(INDEX(DailyScalarsTable,BL$5/100,MONTH($A104)))*$D104</f>
        <v>-14853.058806902465</v>
      </c>
      <c r="BM104" s="1021">
        <f>(VLOOKUP(YEAR($A104),'NY East Load Projections'!$A$4:$EO$14,((MONTH($A104)-1)*12)+VLOOKUP(BM$4,$DE$6:$DF$17,2)+1))*(VLOOKUP($A104,SatSunCurve,7))*(INDEX(DailyScalarsTable,BM$5/100,MONTH($A104)))*$D104</f>
        <v>-10278.580324466049</v>
      </c>
      <c r="BN104" s="1021">
        <f>(VLOOKUP(YEAR($A104),'NY East Load Projections'!$A$4:$EO$14,((MONTH($A104)-1)*12)+VLOOKUP(BN$4,$DE$6:$DF$17,2)+1))*(VLOOKUP($A104,SatSunCurve,7))*(INDEX(DailyScalarsTable,BN$5/100,MONTH($A104)))*$D104</f>
        <v>-11546.859383847601</v>
      </c>
      <c r="BO104" s="1021">
        <f>(VLOOKUP(YEAR($A104),'NY East Load Projections'!$A$4:$EO$14,((MONTH($A104)-1)*12)+VLOOKUP(BO$4,$DE$6:$DF$17,2)+1))*(VLOOKUP($A104,SatSunCurve,7))*(INDEX(DailyScalarsTable,BO$5/100,MONTH($A104)))*$D104</f>
        <v>-11511.921836543974</v>
      </c>
      <c r="BP104" s="1021">
        <f>(VLOOKUP(YEAR($A104),'NY East Load Projections'!$A$4:$EO$14,((MONTH($A104)-1)*12)+VLOOKUP(BP$4,$DE$6:$DF$17,2)+1))*(VLOOKUP($A104,SatSunCurve,7))*(INDEX(DailyScalarsTable,BP$5/100,MONTH($A104)))*$D104</f>
        <v>-11309.08996469794</v>
      </c>
      <c r="BQ104" s="1021">
        <f>(VLOOKUP(YEAR($A104),'NY East Load Projections'!$A$4:$EO$14,((MONTH($A104)-1)*12)+VLOOKUP(BQ$4,$DE$6:$DF$17,2)+1))*(VLOOKUP($A104,SatSunCurve,7))*(INDEX(DailyScalarsTable,BQ$5/100,MONTH($A104)))*$D104</f>
        <v>-8641.2200330962369</v>
      </c>
      <c r="BR104" s="1021">
        <f>(VLOOKUP(YEAR($A104),'NY East Load Projections'!$A$4:$EO$14,((MONTH($A104)-1)*12)+VLOOKUP(BR$4,$DE$6:$DF$17,2)+1))*(VLOOKUP($A104,SatSunCurve,7))*(INDEX(DailyScalarsTable,BR$5/100,MONTH($A104)))*$D104</f>
        <v>-8460.7356165737765</v>
      </c>
      <c r="BS104" s="1021">
        <f>(VLOOKUP(YEAR($A104),'NY East Load Projections'!$A$4:$EO$14,((MONTH($A104)-1)*12)+VLOOKUP(BS$4,$DE$6:$DF$17,2)+1))*(VLOOKUP($A104,SatSunCurve,7))*(INDEX(DailyScalarsTable,BS$5/100,MONTH($A104)))*$D104</f>
        <v>-8190.7121394490823</v>
      </c>
      <c r="BT104" s="1021">
        <f>(VLOOKUP(YEAR($A104),'NY East Load Projections'!$A$4:$EO$14,((MONTH($A104)-1)*12)+VLOOKUP(BT$4,$DE$6:$DF$17,2)+1))*(VLOOKUP($A104,SatSunCurve,7))*(INDEX(DailyScalarsTable,BT$5/100,MONTH($A104)))*$D104</f>
        <v>-7778.8285022407617</v>
      </c>
      <c r="BU104" s="1021">
        <f>(VLOOKUP(YEAR($A104),'NY East Load Projections'!$A$4:$EO$14,((MONTH($A104)-1)*12)+VLOOKUP(BU$4,$DE$6:$DF$17,2)+1))*(VLOOKUP($A104,SatSunCurve,7))*(INDEX(DailyScalarsTable,BU$5/100,MONTH($A104)))*$D104</f>
        <v>-7624.249845046189</v>
      </c>
      <c r="BV104" s="1021">
        <f>(VLOOKUP(YEAR($A104),'NY East Load Projections'!$A$4:$EO$14,((MONTH($A104)-1)*12)+VLOOKUP(BV$4,$DE$6:$DF$17,2)+1))*(VLOOKUP($A104,SatSunCurve,7))*(INDEX(DailyScalarsTable,BV$5/100,MONTH($A104)))*$D104</f>
        <v>-7945.7297092173767</v>
      </c>
      <c r="BW104" s="1021">
        <f>(VLOOKUP(YEAR($A104),'NY East Load Projections'!$A$4:$EO$14,((MONTH($A104)-1)*12)+VLOOKUP(BW$4,$DE$6:$DF$17,2)+1))*(VLOOKUP($A104,SatSunCurve,7))*(INDEX(DailyScalarsTable,BW$5/100,MONTH($A104)))*$D104</f>
        <v>-10832.790398053776</v>
      </c>
      <c r="BX104" s="1021">
        <f>(VLOOKUP(YEAR($A104),'NY East Load Projections'!$A$4:$EO$14,((MONTH($A104)-1)*12)+VLOOKUP(BX$4,$DE$6:$DF$17,2)+1))*(VLOOKUP($A104,SatSunCurve,7))*(INDEX(DailyScalarsTable,BX$5/100,MONTH($A104)))*$D104</f>
        <v>-11895.213767836138</v>
      </c>
      <c r="BY104" s="1021">
        <f>(VLOOKUP(YEAR($A104),'NY East Load Projections'!$A$4:$EO$14,((MONTH($A104)-1)*12)+VLOOKUP(BY$4,$DE$6:$DF$17,2)+1))*(VLOOKUP($A104,SatSunCurve,7))*(INDEX(DailyScalarsTable,BY$5/100,MONTH($A104)))*$D104</f>
        <v>-11381.771487897304</v>
      </c>
      <c r="BZ104" s="1021">
        <f>(VLOOKUP(YEAR($A104),'NY East Load Projections'!$A$4:$EO$14,((MONTH($A104)-1)*12)+VLOOKUP(BZ$4,$DE$6:$DF$17,2)+1))*(VLOOKUP($A104,SatSunCurve,7))*(INDEX(DailyScalarsTable,BZ$5/100,MONTH($A104)))*$D104</f>
        <v>-10311.034714891086</v>
      </c>
      <c r="CA104" s="1021">
        <f>(VLOOKUP(YEAR($A104),'NY East Load Projections'!$A$4:$EO$14,((MONTH($A104)-1)*12)+VLOOKUP(CA$4,$DE$6:$DF$17,2)+1))*(VLOOKUP($A104,SatSunCurve,7))*(INDEX(DailyScalarsTable,CA$5/100,MONTH($A104)))*$D104</f>
        <v>-7487.2285088044182</v>
      </c>
      <c r="CB104" s="1021">
        <f>(VLOOKUP(YEAR($A104),'NY East Load Projections'!$A$4:$EO$14,((MONTH($A104)-1)*12)+VLOOKUP(CB$4,$DE$6:$DF$17,2)+1))*(VLOOKUP($A104,SatSunCurve,7))*(INDEX(DailyScalarsTable,CB$5/100,MONTH($A104)))*$D104</f>
        <v>-6145.5603815502291</v>
      </c>
      <c r="CC104" s="1021">
        <f>(VLOOKUP(YEAR($A104),'NY East Load Projections'!$A$4:$EO$14,((MONTH($A104)-1)*12)+VLOOKUP(CC$4,$DE$6:$DF$17,2)+1))*(VLOOKUP($A104,CURVES!$D$9:$T$261,7))*(INDEX(DailyScalarsTable,CC$5/100,MONTH($A104)))*$D104</f>
        <v>-8599.8654880290705</v>
      </c>
      <c r="CE104" s="1021">
        <f>(VLOOKUP(YEAR($A104),'NY East Load Projections'!$A$4:$EO$14,((MONTH($A104)-1)*12)+VLOOKUP(CE$4,$DE$6:$DF$17,2)+1))*(VLOOKUP($A104,CURVES!$D$9:$T$261,7))*(INDEX(DailyScalarsTable,CE$5/100,MONTH($A104)))*$E104</f>
        <v>0</v>
      </c>
      <c r="CF104" s="1021">
        <f>(VLOOKUP(YEAR($A104),'NY East Load Projections'!$A$4:$EO$14,((MONTH($A104)-1)*12)+VLOOKUP(CF$4,$DE$6:$DF$17,2)+1))*(VLOOKUP($A104,CURVES!$D$9:$T$261,7))*(INDEX(DailyScalarsTable,CF$5/100,MONTH($A104)))*$E104</f>
        <v>0</v>
      </c>
      <c r="CG104" s="1021">
        <f>(VLOOKUP(YEAR($A104),'NY East Load Projections'!$A$4:$EO$14,((MONTH($A104)-1)*12)+VLOOKUP(CG$4,$DE$6:$DF$17,2)+1))*(VLOOKUP($A104,CURVES!$D$9:$T$261,7))*(INDEX(DailyScalarsTable,CG$5/100,MONTH($A104)))*$E104</f>
        <v>0</v>
      </c>
      <c r="CH104" s="1021">
        <f>(VLOOKUP(YEAR($A104),'NY East Load Projections'!$A$4:$EO$14,((MONTH($A104)-1)*12)+VLOOKUP(CH$4,$DE$6:$DF$17,2)+1))*(VLOOKUP($A104,CURVES!$D$9:$T$261,7))*(INDEX(DailyScalarsTable,CH$5/100,MONTH($A104)))*$E104</f>
        <v>0</v>
      </c>
      <c r="CI104" s="1021">
        <f>(VLOOKUP(YEAR($A104),'NY East Load Projections'!$A$4:$EO$14,((MONTH($A104)-1)*12)+VLOOKUP(CI$4,$DE$6:$DF$17,2)+1))*(VLOOKUP($A104,CURVES!$D$9:$T$261,7))*(INDEX(DailyScalarsTable,CI$5/100,MONTH($A104)))*$E104</f>
        <v>0</v>
      </c>
      <c r="CJ104" s="1021">
        <f>(VLOOKUP(YEAR($A104),'NY East Load Projections'!$A$4:$EO$14,((MONTH($A104)-1)*12)+VLOOKUP(CJ$4,$DE$6:$DF$17,2)+1))*(VLOOKUP($A104,CURVES!$D$9:$T$261,7))*(INDEX(DailyScalarsTable,CJ$5/100,MONTH($A104)))*$E104</f>
        <v>0</v>
      </c>
      <c r="CK104" s="1021">
        <f>(VLOOKUP(YEAR($A104),'NY East Load Projections'!$A$4:$EO$14,((MONTH($A104)-1)*12)+VLOOKUP(CK$4,$DE$6:$DF$17,2)+1))*(VLOOKUP($A104,CURVES!$D$9:$T$261,7))*(INDEX(DailyScalarsTable,CK$5/100,MONTH($A104)))*$E104</f>
        <v>0</v>
      </c>
      <c r="CL104" s="1021">
        <f>(VLOOKUP(YEAR($A104),'NY East Load Projections'!$A$4:$EO$14,((MONTH($A104)-1)*12)+VLOOKUP(CL$4,$DE$6:$DF$17,2)+1))*(VLOOKUP($A104,SatSunCurve,7))*(INDEX(DailyScalarsTable,CL$5/100,MONTH($A104)))*$E104</f>
        <v>0</v>
      </c>
      <c r="CM104" s="1021">
        <f>(VLOOKUP(YEAR($A104),'NY East Load Projections'!$A$4:$EO$14,((MONTH($A104)-1)*12)+VLOOKUP(CM$4,$DE$6:$DF$17,2)+1))*(VLOOKUP($A104,SatSunCurve,7))*(INDEX(DailyScalarsTable,CM$5/100,MONTH($A104)))*$E104</f>
        <v>0</v>
      </c>
      <c r="CN104" s="1021">
        <f>(VLOOKUP(YEAR($A104),'NY East Load Projections'!$A$4:$EO$14,((MONTH($A104)-1)*12)+VLOOKUP(CN$4,$DE$6:$DF$17,2)+1))*(VLOOKUP($A104,SatSunCurve,7))*(INDEX(DailyScalarsTable,CN$5/100,MONTH($A104)))*$E104</f>
        <v>0</v>
      </c>
      <c r="CO104" s="1021">
        <f>(VLOOKUP(YEAR($A104),'NY East Load Projections'!$A$4:$EO$14,((MONTH($A104)-1)*12)+VLOOKUP(CO$4,$DE$6:$DF$17,2)+1))*(VLOOKUP($A104,SatSunCurve,7))*(INDEX(DailyScalarsTable,CO$5/100,MONTH($A104)))*$E104</f>
        <v>0</v>
      </c>
      <c r="CP104" s="1021">
        <f>(VLOOKUP(YEAR($A104),'NY East Load Projections'!$A$4:$EO$14,((MONTH($A104)-1)*12)+VLOOKUP(CP$4,$DE$6:$DF$17,2)+1))*(VLOOKUP($A104,SatSunCurve,7))*(INDEX(DailyScalarsTable,CP$5/100,MONTH($A104)))*$E104</f>
        <v>0</v>
      </c>
      <c r="CQ104" s="1021">
        <f>(VLOOKUP(YEAR($A104),'NY East Load Projections'!$A$4:$EO$14,((MONTH($A104)-1)*12)+VLOOKUP(CQ$4,$DE$6:$DF$17,2)+1))*(VLOOKUP($A104,SatSunCurve,7))*(INDEX(DailyScalarsTable,CQ$5/100,MONTH($A104)))*$E104</f>
        <v>0</v>
      </c>
      <c r="CR104" s="1021">
        <f>(VLOOKUP(YEAR($A104),'NY East Load Projections'!$A$4:$EO$14,((MONTH($A104)-1)*12)+VLOOKUP(CR$4,$DE$6:$DF$17,2)+1))*(VLOOKUP($A104,SatSunCurve,7))*(INDEX(DailyScalarsTable,CR$5/100,MONTH($A104)))*$E104</f>
        <v>0</v>
      </c>
      <c r="CS104" s="1021">
        <f>(VLOOKUP(YEAR($A104),'NY East Load Projections'!$A$4:$EO$14,((MONTH($A104)-1)*12)+VLOOKUP(CS$4,$DE$6:$DF$17,2)+1))*(VLOOKUP($A104,SatSunCurve,7))*(INDEX(DailyScalarsTable,CS$5/100,MONTH($A104)))*$E104</f>
        <v>0</v>
      </c>
      <c r="CT104" s="1021">
        <f>(VLOOKUP(YEAR($A104),'NY East Load Projections'!$A$4:$EO$14,((MONTH($A104)-1)*12)+VLOOKUP(CT$4,$DE$6:$DF$17,2)+1))*(VLOOKUP($A104,SatSunCurve,7))*(INDEX(DailyScalarsTable,CT$5/100,MONTH($A104)))*$E104</f>
        <v>0</v>
      </c>
      <c r="CU104" s="1021">
        <f>(VLOOKUP(YEAR($A104),'NY East Load Projections'!$A$4:$EO$14,((MONTH($A104)-1)*12)+VLOOKUP(CU$4,$DE$6:$DF$17,2)+1))*(VLOOKUP($A104,SatSunCurve,7))*(INDEX(DailyScalarsTable,CU$5/100,MONTH($A104)))*$E104</f>
        <v>0</v>
      </c>
      <c r="CV104" s="1021">
        <f>(VLOOKUP(YEAR($A104),'NY East Load Projections'!$A$4:$EO$14,((MONTH($A104)-1)*12)+VLOOKUP(CV$4,$DE$6:$DF$17,2)+1))*(VLOOKUP($A104,SatSunCurve,7))*(INDEX(DailyScalarsTable,CV$5/100,MONTH($A104)))*$E104</f>
        <v>0</v>
      </c>
      <c r="CW104" s="1021">
        <f>(VLOOKUP(YEAR($A104),'NY East Load Projections'!$A$4:$EO$14,((MONTH($A104)-1)*12)+VLOOKUP(CW$4,$DE$6:$DF$17,2)+1))*(VLOOKUP($A104,SatSunCurve,7))*(INDEX(DailyScalarsTable,CW$5/100,MONTH($A104)))*$E104</f>
        <v>0</v>
      </c>
      <c r="CX104" s="1021">
        <f>(VLOOKUP(YEAR($A104),'NY East Load Projections'!$A$4:$EO$14,((MONTH($A104)-1)*12)+VLOOKUP(CX$4,$DE$6:$DF$17,2)+1))*(VLOOKUP($A104,SatSunCurve,7))*(INDEX(DailyScalarsTable,CX$5/100,MONTH($A104)))*$E104</f>
        <v>0</v>
      </c>
      <c r="CY104" s="1021">
        <f>(VLOOKUP(YEAR($A104),'NY East Load Projections'!$A$4:$EO$14,((MONTH($A104)-1)*12)+VLOOKUP(CY$4,$DE$6:$DF$17,2)+1))*(VLOOKUP($A104,SatSunCurve,7))*(INDEX(DailyScalarsTable,CY$5/100,MONTH($A104)))*$E104</f>
        <v>0</v>
      </c>
      <c r="CZ104" s="1021">
        <f>(VLOOKUP(YEAR($A104),'NY East Load Projections'!$A$4:$EO$14,((MONTH($A104)-1)*12)+VLOOKUP(CZ$4,$DE$6:$DF$17,2)+1))*(VLOOKUP($A104,SatSunCurve,7))*(INDEX(DailyScalarsTable,CZ$5/100,MONTH($A104)))*$E104</f>
        <v>0</v>
      </c>
      <c r="DA104" s="1021">
        <f>(VLOOKUP(YEAR($A104),'NY East Load Projections'!$A$4:$EO$14,((MONTH($A104)-1)*12)+VLOOKUP(DA$4,$DE$6:$DF$17,2)+1))*(VLOOKUP($A104,SatSunCurve,7))*(INDEX(DailyScalarsTable,DA$5/100,MONTH($A104)))*$E104</f>
        <v>0</v>
      </c>
      <c r="DB104" s="1021">
        <f>(VLOOKUP(YEAR($A104),'NY East Load Projections'!$A$4:$EO$14,((MONTH($A104)-1)*12)+VLOOKUP(DB$4,$DE$6:$DF$17,2)+1))*(VLOOKUP($A104,CURVES!$D$9:$T$261,7))*(INDEX(DailyScalarsTable,DB$5/100,MONTH($A104)))*$E104</f>
        <v>0</v>
      </c>
      <c r="DH104" s="1032">
        <f t="shared" si="2"/>
        <v>-1679476.8236565581</v>
      </c>
      <c r="DI104">
        <f ca="1">CALC!J124</f>
        <v>0.51484882515290875</v>
      </c>
      <c r="DJ104" s="1029">
        <f t="shared" ca="1" si="3"/>
        <v>-864676.66953111778</v>
      </c>
    </row>
    <row r="105" spans="1:114" x14ac:dyDescent="0.25">
      <c r="A105" s="244">
        <v>39904</v>
      </c>
      <c r="B105" s="13">
        <v>22</v>
      </c>
      <c r="C105" s="210">
        <v>4</v>
      </c>
      <c r="D105" s="210">
        <v>4</v>
      </c>
      <c r="E105" s="210">
        <v>0</v>
      </c>
      <c r="F105" s="13">
        <v>30</v>
      </c>
      <c r="H105" s="1021">
        <f>(VLOOKUP(YEAR($A105),'NY East Load Projections'!$A$4:$EO$14,((MONTH($A105)-1)*12)+VLOOKUP(H$4,$DE$6:$DF$17,2)+1))*(VLOOKUP($A105,CURVES!$D$9:$K$261,7))*(INDEX(DailyScalarsTable,H$5/100,MONTH($A105)))*$B105</f>
        <v>-32978.485349491835</v>
      </c>
      <c r="I105" s="1021">
        <f>(VLOOKUP(YEAR($A105),'NY East Load Projections'!$A$4:$EO$14,((MONTH($A105)-1)*12)+VLOOKUP(I$4,$DE$6:$DF$17,2)+1))*(VLOOKUP($A105,CURVES!$D$9:$K$261,7))*(INDEX(DailyScalarsTable,I$5/100,MONTH($A105)))*$B105</f>
        <v>-31279.163074595712</v>
      </c>
      <c r="J105" s="1021">
        <f>(VLOOKUP(YEAR($A105),'NY East Load Projections'!$A$4:$EO$14,((MONTH($A105)-1)*12)+VLOOKUP(J$4,$DE$6:$DF$17,2)+1))*(VLOOKUP($A105,CURVES!$D$9:$K$261,7))*(INDEX(DailyScalarsTable,J$5/100,MONTH($A105)))*$B105</f>
        <v>-30021.649499500487</v>
      </c>
      <c r="K105" s="1021">
        <f>(VLOOKUP(YEAR($A105),'NY East Load Projections'!$A$4:$EO$14,((MONTH($A105)-1)*12)+VLOOKUP(K$4,$DE$6:$DF$17,2)+1))*(VLOOKUP($A105,CURVES!$D$9:$K$261,7))*(INDEX(DailyScalarsTable,K$5/100,MONTH($A105)))*$B105</f>
        <v>-30039.382214180812</v>
      </c>
      <c r="L105" s="1021">
        <f>(VLOOKUP(YEAR($A105),'NY East Load Projections'!$A$4:$EO$14,((MONTH($A105)-1)*12)+VLOOKUP(L$4,$DE$6:$DF$17,2)+1))*(VLOOKUP($A105,CURVES!$D$9:$K$261,7))*(INDEX(DailyScalarsTable,L$5/100,MONTH($A105)))*$B105</f>
        <v>-34593.889295646404</v>
      </c>
      <c r="M105" s="1021">
        <f>(VLOOKUP(YEAR($A105),'NY East Load Projections'!$A$4:$EO$14,((MONTH($A105)-1)*12)+VLOOKUP(M$4,$DE$6:$DF$17,2)+1))*(VLOOKUP($A105,CURVES!$D$9:$K$261,7))*(INDEX(DailyScalarsTable,M$5/100,MONTH($A105)))*$B105</f>
        <v>-39849.226189656911</v>
      </c>
      <c r="N105" s="1021">
        <f>(VLOOKUP(YEAR($A105),'NY East Load Projections'!$A$4:$EO$14,((MONTH($A105)-1)*12)+VLOOKUP(N$4,$DE$6:$DF$17,2)+1))*(VLOOKUP($A105,CURVES!$D$9:$K$261,7))*(INDEX(DailyScalarsTable,N$5/100,MONTH($A105)))*$B105</f>
        <v>-56836.573632974774</v>
      </c>
      <c r="O105" s="1021">
        <f>(VLOOKUP(YEAR($A105),'NY East Load Projections'!$A$4:$EO$14,((MONTH($A105)-1)*12)+VLOOKUP(O$4,$DE$6:$DF$17,2)+1))*(VLOOKUP($A105,CURVES!$D$9:$K$261,3))*(INDEX(DailyScalarsTable,O$5/100,MONTH($A105)))*$B105</f>
        <v>-69527.778128243677</v>
      </c>
      <c r="P105" s="1021">
        <f>(VLOOKUP(YEAR($A105),'NY East Load Projections'!$A$4:$EO$14,((MONTH($A105)-1)*12)+VLOOKUP(P$4,$DE$6:$DF$17,2)+1))*(VLOOKUP($A105,CURVES!$D$9:$K$261,3))*(INDEX(DailyScalarsTable,P$5/100,MONTH($A105)))*$B105</f>
        <v>-76246.008072180033</v>
      </c>
      <c r="Q105" s="1021">
        <f>(VLOOKUP(YEAR($A105),'NY East Load Projections'!$A$4:$EO$14,((MONTH($A105)-1)*12)+VLOOKUP(Q$4,$DE$6:$DF$17,2)+1))*(VLOOKUP($A105,CURVES!$D$9:$K$261,3))*(INDEX(DailyScalarsTable,Q$5/100,MONTH($A105)))*$B105</f>
        <v>-73070.793549021837</v>
      </c>
      <c r="R105" s="1021">
        <f>(VLOOKUP(YEAR($A105),'NY East Load Projections'!$A$4:$EO$14,((MONTH($A105)-1)*12)+VLOOKUP(R$4,$DE$6:$DF$17,2)+1))*(VLOOKUP($A105,CURVES!$D$9:$K$261,3))*(INDEX(DailyScalarsTable,R$5/100,MONTH($A105)))*$B105</f>
        <v>-74577.219403049807</v>
      </c>
      <c r="S105" s="1021">
        <f>(VLOOKUP(YEAR($A105),'NY East Load Projections'!$A$4:$EO$14,((MONTH($A105)-1)*12)+VLOOKUP(S$4,$DE$6:$DF$17,2)+1))*(VLOOKUP($A105,CURVES!$D$9:$K$261,3))*(INDEX(DailyScalarsTable,S$5/100,MONTH($A105)))*$B105</f>
        <v>-74723.453461684956</v>
      </c>
      <c r="T105" s="1021">
        <f>(VLOOKUP(YEAR($A105),'NY East Load Projections'!$A$4:$EO$14,((MONTH($A105)-1)*12)+VLOOKUP(T$4,$DE$6:$DF$17,2)+1))*(VLOOKUP($A105,CURVES!$D$9:$K$261,3))*(INDEX(DailyScalarsTable,T$5/100,MONTH($A105)))*$B105</f>
        <v>-70238.918681279261</v>
      </c>
      <c r="U105" s="1021">
        <f>(VLOOKUP(YEAR($A105),'NY East Load Projections'!$A$4:$EO$14,((MONTH($A105)-1)*12)+VLOOKUP(U$4,$DE$6:$DF$17,2)+1))*(VLOOKUP($A105,CURVES!$D$9:$K$261,3))*(INDEX(DailyScalarsTable,U$5/100,MONTH($A105)))*$B105</f>
        <v>-70314.550840236785</v>
      </c>
      <c r="V105" s="1021">
        <f>(VLOOKUP(YEAR($A105),'NY East Load Projections'!$A$4:$EO$14,((MONTH($A105)-1)*12)+VLOOKUP(V$4,$DE$6:$DF$17,2)+1))*(VLOOKUP($A105,CURVES!$D$9:$K$261,3))*(INDEX(DailyScalarsTable,V$5/100,MONTH($A105)))*$B105</f>
        <v>-65950.130373334585</v>
      </c>
      <c r="W105" s="1021">
        <f>(VLOOKUP(YEAR($A105),'NY East Load Projections'!$A$4:$EO$14,((MONTH($A105)-1)*12)+VLOOKUP(W$4,$DE$6:$DF$17,2)+1))*(VLOOKUP($A105,CURVES!$D$9:$K$261,3))*(INDEX(DailyScalarsTable,W$5/100,MONTH($A105)))*$B105</f>
        <v>-61637.985075123659</v>
      </c>
      <c r="X105" s="1021">
        <f>(VLOOKUP(YEAR($A105),'NY East Load Projections'!$A$4:$EO$14,((MONTH($A105)-1)*12)+VLOOKUP(X$4,$DE$6:$DF$17,2)+1))*(VLOOKUP($A105,CURVES!$D$9:$K$261,3))*(INDEX(DailyScalarsTable,X$5/100,MONTH($A105)))*$B105</f>
        <v>-57403.344361485899</v>
      </c>
      <c r="Y105" s="1021">
        <f>(VLOOKUP(YEAR($A105),'NY East Load Projections'!$A$4:$EO$14,((MONTH($A105)-1)*12)+VLOOKUP(Y$4,$DE$6:$DF$17,2)+1))*(VLOOKUP($A105,CURVES!$D$9:$K$261,3))*(INDEX(DailyScalarsTable,Y$5/100,MONTH($A105)))*$B105</f>
        <v>-56656.784419832664</v>
      </c>
      <c r="Z105" s="1021">
        <f>(VLOOKUP(YEAR($A105),'NY East Load Projections'!$A$4:$EO$14,((MONTH($A105)-1)*12)+VLOOKUP(Z$4,$DE$6:$DF$17,2)+1))*(VLOOKUP($A105,CURVES!$D$9:$K$261,3))*(INDEX(DailyScalarsTable,Z$5/100,MONTH($A105)))*$B105</f>
        <v>-56353.063021094647</v>
      </c>
      <c r="AA105" s="1021">
        <f>(VLOOKUP(YEAR($A105),'NY East Load Projections'!$A$4:$EO$14,((MONTH($A105)-1)*12)+VLOOKUP(AA$4,$DE$6:$DF$17,2)+1))*(VLOOKUP($A105,CURVES!$D$9:$K$261,3))*(INDEX(DailyScalarsTable,AA$5/100,MONTH($A105)))*$B105</f>
        <v>-61810.490531985175</v>
      </c>
      <c r="AB105" s="1021">
        <f>(VLOOKUP(YEAR($A105),'NY East Load Projections'!$A$4:$EO$14,((MONTH($A105)-1)*12)+VLOOKUP(AB$4,$DE$6:$DF$17,2)+1))*(VLOOKUP($A105,CURVES!$D$9:$K$261,3))*(INDEX(DailyScalarsTable,AB$5/100,MONTH($A105)))*$B105</f>
        <v>-69382.891014060253</v>
      </c>
      <c r="AC105" s="1021">
        <f>(VLOOKUP(YEAR($A105),'NY East Load Projections'!$A$4:$EO$14,((MONTH($A105)-1)*12)+VLOOKUP(AC$4,$DE$6:$DF$17,2)+1))*(VLOOKUP($A105,CURVES!$D$9:$K$261,3))*(INDEX(DailyScalarsTable,AC$5/100,MONTH($A105)))*$B105</f>
        <v>-59119.45885845062</v>
      </c>
      <c r="AD105" s="1021">
        <f>(VLOOKUP(YEAR($A105),'NY East Load Projections'!$A$4:$EO$14,((MONTH($A105)-1)*12)+VLOOKUP(AD$4,$DE$6:$DF$17,2)+1))*(VLOOKUP($A105,CURVES!$D$9:$K$261,3))*(INDEX(DailyScalarsTable,AD$5/100,MONTH($A105)))*$B105</f>
        <v>-52228.47693325438</v>
      </c>
      <c r="AE105" s="1021">
        <f>(VLOOKUP(YEAR($A105),'NY East Load Projections'!$A$4:$EO$14,((MONTH($A105)-1)*12)+VLOOKUP(AE$4,$DE$6:$DF$17,2)+1))*(VLOOKUP($A105,CURVES!$D$9:$K$261,7))*(INDEX(DailyScalarsTable,AE$5/100,MONTH($A105)))*$B105</f>
        <v>-38854.320500153313</v>
      </c>
      <c r="AF105" s="1021"/>
      <c r="AG105" s="1021">
        <f>(VLOOKUP(YEAR($A105),'NY East Load Projections'!$A$4:$EO$14,((MONTH($A105)-1)*12)+VLOOKUP(AG$4,$DE$6:$DF$17,2)+1))*(VLOOKUP($A105,CURVES!$D$9:$T$261,7))*(INDEX(DailyScalarsTable,AG$5/100,MONTH($A105)))*$C105</f>
        <v>-6249.8085208695557</v>
      </c>
      <c r="AH105" s="1021">
        <f>(VLOOKUP(YEAR($A105),'NY East Load Projections'!$A$4:$EO$14,((MONTH($A105)-1)*12)+VLOOKUP(AH$4,$DE$6:$DF$17,2)+1))*(VLOOKUP($A105,CURVES!$D$9:$T$261,7))*(INDEX(DailyScalarsTable,AH$5/100,MONTH($A105)))*$C105</f>
        <v>-5927.7670832232125</v>
      </c>
      <c r="AI105" s="1021">
        <f>(VLOOKUP(YEAR($A105),'NY East Load Projections'!$A$4:$EO$14,((MONTH($A105)-1)*12)+VLOOKUP(AI$4,$DE$6:$DF$17,2)+1))*(VLOOKUP($A105,CURVES!$D$9:$T$261,7))*(INDEX(DailyScalarsTable,AI$5/100,MONTH($A105)))*$C105</f>
        <v>-5689.4535593166211</v>
      </c>
      <c r="AJ105" s="1021">
        <f>(VLOOKUP(YEAR($A105),'NY East Load Projections'!$A$4:$EO$14,((MONTH($A105)-1)*12)+VLOOKUP(AJ$4,$DE$6:$DF$17,2)+1))*(VLOOKUP($A105,CURVES!$D$9:$T$261,7))*(INDEX(DailyScalarsTable,AJ$5/100,MONTH($A105)))*$C105</f>
        <v>-5692.8141160593814</v>
      </c>
      <c r="AK105" s="1021">
        <f>(VLOOKUP(YEAR($A105),'NY East Load Projections'!$A$4:$EO$14,((MONTH($A105)-1)*12)+VLOOKUP(AK$4,$DE$6:$DF$17,2)+1))*(VLOOKUP($A105,CURVES!$D$9:$T$261,7))*(INDEX(DailyScalarsTable,AK$5/100,MONTH($A105)))*$C105</f>
        <v>-6197.5374979243152</v>
      </c>
      <c r="AL105" s="1021">
        <f>(VLOOKUP(YEAR($A105),'NY East Load Projections'!$A$4:$EO$14,((MONTH($A105)-1)*12)+VLOOKUP(AL$4,$DE$6:$DF$17,2)+1))*(VLOOKUP($A105,CURVES!$D$9:$T$261,7))*(INDEX(DailyScalarsTable,AL$5/100,MONTH($A105)))*$C105</f>
        <v>-7139.0375179568737</v>
      </c>
      <c r="AM105" s="1021">
        <f>(VLOOKUP(YEAR($A105),'NY East Load Projections'!$A$4:$EO$14,((MONTH($A105)-1)*12)+VLOOKUP(AM$4,$DE$6:$DF$17,2)+1))*(VLOOKUP($A105,CURVES!$D$9:$T$261,7))*(INDEX(DailyScalarsTable,AM$5/100,MONTH($A105)))*$C105</f>
        <v>-10182.341549790048</v>
      </c>
      <c r="AN105" s="1021">
        <f>(VLOOKUP(YEAR($A105),'NY East Load Projections'!$A$4:$EO$14,((MONTH($A105)-1)*12)+VLOOKUP(AN$4,$DE$6:$DF$17,2)+1))*(VLOOKUP($A105,SatSunCurve,3))*(INDEX(DailyScalarsTable,AN$5/100,MONTH($A105)))*$C105</f>
        <v>-8801.5201619423424</v>
      </c>
      <c r="AO105" s="1021">
        <f>(VLOOKUP(YEAR($A105),'NY East Load Projections'!$A$4:$EO$14,((MONTH($A105)-1)*12)+VLOOKUP(AO$4,$DE$6:$DF$17,2)+1))*(VLOOKUP($A105,SatSunCurve,3))*(INDEX(DailyScalarsTable,AO$5/100,MONTH($A105)))*$C105</f>
        <v>-9621.946575764714</v>
      </c>
      <c r="AP105" s="1021">
        <f>(VLOOKUP(YEAR($A105),'NY East Load Projections'!$A$4:$EO$14,((MONTH($A105)-1)*12)+VLOOKUP(AP$4,$DE$6:$DF$17,2)+1))*(VLOOKUP($A105,SatSunCurve,3))*(INDEX(DailyScalarsTable,AP$5/100,MONTH($A105)))*$C105</f>
        <v>-9221.2469813741736</v>
      </c>
      <c r="AQ105" s="1021">
        <f>(VLOOKUP(YEAR($A105),'NY East Load Projections'!$A$4:$EO$14,((MONTH($A105)-1)*12)+VLOOKUP(AQ$4,$DE$6:$DF$17,2)+1))*(VLOOKUP($A105,SatSunCurve,3))*(INDEX(DailyScalarsTable,AQ$5/100,MONTH($A105)))*$C105</f>
        <v>-9411.3520039753057</v>
      </c>
      <c r="AR105" s="1021">
        <f>(VLOOKUP(YEAR($A105),'NY East Load Projections'!$A$4:$EO$14,((MONTH($A105)-1)*12)+VLOOKUP(AR$4,$DE$6:$DF$17,2)+1))*(VLOOKUP($A105,SatSunCurve,3))*(INDEX(DailyScalarsTable,AR$5/100,MONTH($A105)))*$C105</f>
        <v>-9429.8061674826295</v>
      </c>
      <c r="AS105" s="1021">
        <f>(VLOOKUP(YEAR($A105),'NY East Load Projections'!$A$4:$EO$14,((MONTH($A105)-1)*12)+VLOOKUP(AS$4,$DE$6:$DF$17,2)+1))*(VLOOKUP($A105,SatSunCurve,3))*(INDEX(DailyScalarsTable,AS$5/100,MONTH($A105)))*$C105</f>
        <v>-8703.4802809956345</v>
      </c>
      <c r="AT105" s="1021">
        <f>(VLOOKUP(YEAR($A105),'NY East Load Projections'!$A$4:$EO$14,((MONTH($A105)-1)*12)+VLOOKUP(AT$4,$DE$6:$DF$17,2)+1))*(VLOOKUP($A105,SatSunCurve,3))*(INDEX(DailyScalarsTable,AT$5/100,MONTH($A105)))*$C105</f>
        <v>-8712.8520511830829</v>
      </c>
      <c r="AU105" s="1021">
        <f>(VLOOKUP(YEAR($A105),'NY East Load Projections'!$A$4:$EO$14,((MONTH($A105)-1)*12)+VLOOKUP(AU$4,$DE$6:$DF$17,2)+1))*(VLOOKUP($A105,SatSunCurve,3))*(INDEX(DailyScalarsTable,AU$5/100,MONTH($A105)))*$C105</f>
        <v>-8172.0457833072469</v>
      </c>
      <c r="AV105" s="1021">
        <f>(VLOOKUP(YEAR($A105),'NY East Load Projections'!$A$4:$EO$14,((MONTH($A105)-1)*12)+VLOOKUP(AV$4,$DE$6:$DF$17,2)+1))*(VLOOKUP($A105,SatSunCurve,3))*(INDEX(DailyScalarsTable,AV$5/100,MONTH($A105)))*$C105</f>
        <v>-7637.7170624727396</v>
      </c>
      <c r="AW105" s="1021">
        <f>(VLOOKUP(YEAR($A105),'NY East Load Projections'!$A$4:$EO$14,((MONTH($A105)-1)*12)+VLOOKUP(AW$4,$DE$6:$DF$17,2)+1))*(VLOOKUP($A105,SatSunCurve,3))*(INDEX(DailyScalarsTable,AW$5/100,MONTH($A105)))*$C105</f>
        <v>-7032.7717430506291</v>
      </c>
      <c r="AX105" s="1021">
        <f>(VLOOKUP(YEAR($A105),'NY East Load Projections'!$A$4:$EO$14,((MONTH($A105)-1)*12)+VLOOKUP(AX$4,$DE$6:$DF$17,2)+1))*(VLOOKUP($A105,SatSunCurve,3))*(INDEX(DailyScalarsTable,AX$5/100,MONTH($A105)))*$C105</f>
        <v>-6941.3069386815805</v>
      </c>
      <c r="AY105" s="1021">
        <f>(VLOOKUP(YEAR($A105),'NY East Load Projections'!$A$4:$EO$14,((MONTH($A105)-1)*12)+VLOOKUP(AY$4,$DE$6:$DF$17,2)+1))*(VLOOKUP($A105,SatSunCurve,3))*(INDEX(DailyScalarsTable,AY$5/100,MONTH($A105)))*$C105</f>
        <v>-6904.0965061786674</v>
      </c>
      <c r="AZ105" s="1021">
        <f>(VLOOKUP(YEAR($A105),'NY East Load Projections'!$A$4:$EO$14,((MONTH($A105)-1)*12)+VLOOKUP(AZ$4,$DE$6:$DF$17,2)+1))*(VLOOKUP($A105,SatSunCurve,3))*(INDEX(DailyScalarsTable,AZ$5/100,MONTH($A105)))*$C105</f>
        <v>-7572.7133335649332</v>
      </c>
      <c r="BA105" s="1021">
        <f>(VLOOKUP(YEAR($A105),'NY East Load Projections'!$A$4:$EO$14,((MONTH($A105)-1)*12)+VLOOKUP(BA$4,$DE$6:$DF$17,2)+1))*(VLOOKUP($A105,SatSunCurve,3))*(INDEX(DailyScalarsTable,BA$5/100,MONTH($A105)))*$C105</f>
        <v>-8954.1168450564128</v>
      </c>
      <c r="BB105" s="1021">
        <f>(VLOOKUP(YEAR($A105),'NY East Load Projections'!$A$4:$EO$14,((MONTH($A105)-1)*12)+VLOOKUP(BB$4,$DE$6:$DF$17,2)+1))*(VLOOKUP($A105,SatSunCurve,3))*(INDEX(DailyScalarsTable,BB$5/100,MONTH($A105)))*$C105</f>
        <v>-7629.5832401650496</v>
      </c>
      <c r="BC105" s="1021">
        <f>(VLOOKUP(YEAR($A105),'NY East Load Projections'!$A$4:$EO$14,((MONTH($A105)-1)*12)+VLOOKUP(BC$4,$DE$6:$DF$17,2)+1))*(VLOOKUP($A105,SatSunCurve,3))*(INDEX(DailyScalarsTable,BC$5/100,MONTH($A105)))*$C105</f>
        <v>-6740.2767204514921</v>
      </c>
      <c r="BD105" s="1021">
        <f>(VLOOKUP(YEAR($A105),'NY East Load Projections'!$A$4:$EO$14,((MONTH($A105)-1)*12)+VLOOKUP(BD$4,$DE$6:$DF$17,2)+1))*(VLOOKUP($A105,CURVES!$D$9:$T$261,7))*(INDEX(DailyScalarsTable,BD$5/100,MONTH($A105)))*$C105</f>
        <v>-7096.2697903719554</v>
      </c>
      <c r="BE105" s="1021"/>
      <c r="BF105" s="1021">
        <f>(VLOOKUP(YEAR($A105),'NY East Load Projections'!$A$4:$EO$14,((MONTH($A105)-1)*12)+VLOOKUP(BF$4,$DE$6:$DF$17,2)+1))*(VLOOKUP($A105,CURVES!$D$9:$T$261,7))*(INDEX(DailyScalarsTable,BF$5/100,MONTH($A105)))*$D105</f>
        <v>-6249.8085208695557</v>
      </c>
      <c r="BG105" s="1021">
        <f>(VLOOKUP(YEAR($A105),'NY East Load Projections'!$A$4:$EO$14,((MONTH($A105)-1)*12)+VLOOKUP(BG$4,$DE$6:$DF$17,2)+1))*(VLOOKUP($A105,CURVES!$D$9:$T$261,7))*(INDEX(DailyScalarsTable,BG$5/100,MONTH($A105)))*$D105</f>
        <v>-5927.7670832232125</v>
      </c>
      <c r="BH105" s="1021">
        <f>(VLOOKUP(YEAR($A105),'NY East Load Projections'!$A$4:$EO$14,((MONTH($A105)-1)*12)+VLOOKUP(BH$4,$DE$6:$DF$17,2)+1))*(VLOOKUP($A105,CURVES!$D$9:$T$261,7))*(INDEX(DailyScalarsTable,BH$5/100,MONTH($A105)))*$D105</f>
        <v>-5689.4535593166211</v>
      </c>
      <c r="BI105" s="1021">
        <f>(VLOOKUP(YEAR($A105),'NY East Load Projections'!$A$4:$EO$14,((MONTH($A105)-1)*12)+VLOOKUP(BI$4,$DE$6:$DF$17,2)+1))*(VLOOKUP($A105,CURVES!$D$9:$T$261,7))*(INDEX(DailyScalarsTable,BI$5/100,MONTH($A105)))*$D105</f>
        <v>-5692.8141160593814</v>
      </c>
      <c r="BJ105" s="1021">
        <f>(VLOOKUP(YEAR($A105),'NY East Load Projections'!$A$4:$EO$14,((MONTH($A105)-1)*12)+VLOOKUP(BJ$4,$DE$6:$DF$17,2)+1))*(VLOOKUP($A105,CURVES!$D$9:$T$261,7))*(INDEX(DailyScalarsTable,BJ$5/100,MONTH($A105)))*$D105</f>
        <v>-6197.5374979243152</v>
      </c>
      <c r="BK105" s="1021">
        <f>(VLOOKUP(YEAR($A105),'NY East Load Projections'!$A$4:$EO$14,((MONTH($A105)-1)*12)+VLOOKUP(BK$4,$DE$6:$DF$17,2)+1))*(VLOOKUP($A105,CURVES!$D$9:$T$261,7))*(INDEX(DailyScalarsTable,BK$5/100,MONTH($A105)))*$D105</f>
        <v>-7139.0375179568737</v>
      </c>
      <c r="BL105" s="1021">
        <f>(VLOOKUP(YEAR($A105),'NY East Load Projections'!$A$4:$EO$14,((MONTH($A105)-1)*12)+VLOOKUP(BL$4,$DE$6:$DF$17,2)+1))*(VLOOKUP($A105,CURVES!$D$9:$T$261,7))*(INDEX(DailyScalarsTable,BL$5/100,MONTH($A105)))*$D105</f>
        <v>-10182.341549790048</v>
      </c>
      <c r="BM105" s="1021">
        <f>(VLOOKUP(YEAR($A105),'NY East Load Projections'!$A$4:$EO$14,((MONTH($A105)-1)*12)+VLOOKUP(BM$4,$DE$6:$DF$17,2)+1))*(VLOOKUP($A105,SatSunCurve,7))*(INDEX(DailyScalarsTable,BM$5/100,MONTH($A105)))*$D105</f>
        <v>-8304.6362530572405</v>
      </c>
      <c r="BN105" s="1021">
        <f>(VLOOKUP(YEAR($A105),'NY East Load Projections'!$A$4:$EO$14,((MONTH($A105)-1)*12)+VLOOKUP(BN$4,$DE$6:$DF$17,2)+1))*(VLOOKUP($A105,SatSunCurve,7))*(INDEX(DailyScalarsTable,BN$5/100,MONTH($A105)))*$D105</f>
        <v>-9078.7460447561589</v>
      </c>
      <c r="BO105" s="1021">
        <f>(VLOOKUP(YEAR($A105),'NY East Load Projections'!$A$4:$EO$14,((MONTH($A105)-1)*12)+VLOOKUP(BO$4,$DE$6:$DF$17,2)+1))*(VLOOKUP($A105,SatSunCurve,7))*(INDEX(DailyScalarsTable,BO$5/100,MONTH($A105)))*$D105</f>
        <v>-8700.6676768226516</v>
      </c>
      <c r="BP105" s="1021">
        <f>(VLOOKUP(YEAR($A105),'NY East Load Projections'!$A$4:$EO$14,((MONTH($A105)-1)*12)+VLOOKUP(BP$4,$DE$6:$DF$17,2)+1))*(VLOOKUP($A105,SatSunCurve,7))*(INDEX(DailyScalarsTable,BP$5/100,MONTH($A105)))*$D105</f>
        <v>-8880.040448063708</v>
      </c>
      <c r="BQ105" s="1021">
        <f>(VLOOKUP(YEAR($A105),'NY East Load Projections'!$A$4:$EO$14,((MONTH($A105)-1)*12)+VLOOKUP(BQ$4,$DE$6:$DF$17,2)+1))*(VLOOKUP($A105,SatSunCurve,7))*(INDEX(DailyScalarsTable,BQ$5/100,MONTH($A105)))*$D105</f>
        <v>-8897.452794165627</v>
      </c>
      <c r="BR105" s="1021">
        <f>(VLOOKUP(YEAR($A105),'NY East Load Projections'!$A$4:$EO$14,((MONTH($A105)-1)*12)+VLOOKUP(BR$4,$DE$6:$DF$17,2)+1))*(VLOOKUP($A105,SatSunCurve,7))*(INDEX(DailyScalarsTable,BR$5/100,MONTH($A105)))*$D105</f>
        <v>-8212.1311477373692</v>
      </c>
      <c r="BS105" s="1021">
        <f>(VLOOKUP(YEAR($A105),'NY East Load Projections'!$A$4:$EO$14,((MONTH($A105)-1)*12)+VLOOKUP(BS$4,$DE$6:$DF$17,2)+1))*(VLOOKUP($A105,SatSunCurve,7))*(INDEX(DailyScalarsTable,BS$5/100,MONTH($A105)))*$D105</f>
        <v>-8220.9738409337715</v>
      </c>
      <c r="BT105" s="1021">
        <f>(VLOOKUP(YEAR($A105),'NY East Load Projections'!$A$4:$EO$14,((MONTH($A105)-1)*12)+VLOOKUP(BT$4,$DE$6:$DF$17,2)+1))*(VLOOKUP($A105,SatSunCurve,7))*(INDEX(DailyScalarsTable,BT$5/100,MONTH($A105)))*$D105</f>
        <v>-7710.6984276588983</v>
      </c>
      <c r="BU105" s="1021">
        <f>(VLOOKUP(YEAR($A105),'NY East Load Projections'!$A$4:$EO$14,((MONTH($A105)-1)*12)+VLOOKUP(BU$4,$DE$6:$DF$17,2)+1))*(VLOOKUP($A105,SatSunCurve,7))*(INDEX(DailyScalarsTable,BU$5/100,MONTH($A105)))*$D105</f>
        <v>-7206.5348758580139</v>
      </c>
      <c r="BV105" s="1021">
        <f>(VLOOKUP(YEAR($A105),'NY East Load Projections'!$A$4:$EO$14,((MONTH($A105)-1)*12)+VLOOKUP(BV$4,$DE$6:$DF$17,2)+1))*(VLOOKUP($A105,SatSunCurve,7))*(INDEX(DailyScalarsTable,BV$5/100,MONTH($A105)))*$D105</f>
        <v>-6635.7413381106126</v>
      </c>
      <c r="BW105" s="1021">
        <f>(VLOOKUP(YEAR($A105),'NY East Load Projections'!$A$4:$EO$14,((MONTH($A105)-1)*12)+VLOOKUP(BW$4,$DE$6:$DF$17,2)+1))*(VLOOKUP($A105,SatSunCurve,7))*(INDEX(DailyScalarsTable,BW$5/100,MONTH($A105)))*$D105</f>
        <v>-6549.4401178365952</v>
      </c>
      <c r="BX105" s="1021">
        <f>(VLOOKUP(YEAR($A105),'NY East Load Projections'!$A$4:$EO$14,((MONTH($A105)-1)*12)+VLOOKUP(BX$4,$DE$6:$DF$17,2)+1))*(VLOOKUP($A105,SatSunCurve,7))*(INDEX(DailyScalarsTable,BX$5/100,MONTH($A105)))*$D105</f>
        <v>-6514.3303753069104</v>
      </c>
      <c r="BY105" s="1021">
        <f>(VLOOKUP(YEAR($A105),'NY East Load Projections'!$A$4:$EO$14,((MONTH($A105)-1)*12)+VLOOKUP(BY$4,$DE$6:$DF$17,2)+1))*(VLOOKUP($A105,SatSunCurve,7))*(INDEX(DailyScalarsTable,BY$5/100,MONTH($A105)))*$D105</f>
        <v>-7145.200888803608</v>
      </c>
      <c r="BZ105" s="1021">
        <f>(VLOOKUP(YEAR($A105),'NY East Load Projections'!$A$4:$EO$14,((MONTH($A105)-1)*12)+VLOOKUP(BZ$4,$DE$6:$DF$17,2)+1))*(VLOOKUP($A105,SatSunCurve,7))*(INDEX(DailyScalarsTable,BZ$5/100,MONTH($A105)))*$D105</f>
        <v>-8448.6181929231534</v>
      </c>
      <c r="CA105" s="1021">
        <f>(VLOOKUP(YEAR($A105),'NY East Load Projections'!$A$4:$EO$14,((MONTH($A105)-1)*12)+VLOOKUP(CA$4,$DE$6:$DF$17,2)+1))*(VLOOKUP($A105,SatSunCurve,7))*(INDEX(DailyScalarsTable,CA$5/100,MONTH($A105)))*$D105</f>
        <v>-7198.8602430253304</v>
      </c>
      <c r="CB105" s="1021">
        <f>(VLOOKUP(YEAR($A105),'NY East Load Projections'!$A$4:$EO$14,((MONTH($A105)-1)*12)+VLOOKUP(CB$4,$DE$6:$DF$17,2)+1))*(VLOOKUP($A105,SatSunCurve,7))*(INDEX(DailyScalarsTable,CB$5/100,MONTH($A105)))*$D105</f>
        <v>-6359.7589255475159</v>
      </c>
      <c r="CC105" s="1021">
        <f>(VLOOKUP(YEAR($A105),'NY East Load Projections'!$A$4:$EO$14,((MONTH($A105)-1)*12)+VLOOKUP(CC$4,$DE$6:$DF$17,2)+1))*(VLOOKUP($A105,CURVES!$D$9:$T$261,7))*(INDEX(DailyScalarsTable,CC$5/100,MONTH($A105)))*$D105</f>
        <v>-7096.2697903719554</v>
      </c>
      <c r="CE105" s="1021">
        <f>(VLOOKUP(YEAR($A105),'NY East Load Projections'!$A$4:$EO$14,((MONTH($A105)-1)*12)+VLOOKUP(CE$4,$DE$6:$DF$17,2)+1))*(VLOOKUP($A105,CURVES!$D$9:$T$261,7))*(INDEX(DailyScalarsTable,CE$5/100,MONTH($A105)))*$E105</f>
        <v>0</v>
      </c>
      <c r="CF105" s="1021">
        <f>(VLOOKUP(YEAR($A105),'NY East Load Projections'!$A$4:$EO$14,((MONTH($A105)-1)*12)+VLOOKUP(CF$4,$DE$6:$DF$17,2)+1))*(VLOOKUP($A105,CURVES!$D$9:$T$261,7))*(INDEX(DailyScalarsTable,CF$5/100,MONTH($A105)))*$E105</f>
        <v>0</v>
      </c>
      <c r="CG105" s="1021">
        <f>(VLOOKUP(YEAR($A105),'NY East Load Projections'!$A$4:$EO$14,((MONTH($A105)-1)*12)+VLOOKUP(CG$4,$DE$6:$DF$17,2)+1))*(VLOOKUP($A105,CURVES!$D$9:$T$261,7))*(INDEX(DailyScalarsTable,CG$5/100,MONTH($A105)))*$E105</f>
        <v>0</v>
      </c>
      <c r="CH105" s="1021">
        <f>(VLOOKUP(YEAR($A105),'NY East Load Projections'!$A$4:$EO$14,((MONTH($A105)-1)*12)+VLOOKUP(CH$4,$DE$6:$DF$17,2)+1))*(VLOOKUP($A105,CURVES!$D$9:$T$261,7))*(INDEX(DailyScalarsTable,CH$5/100,MONTH($A105)))*$E105</f>
        <v>0</v>
      </c>
      <c r="CI105" s="1021">
        <f>(VLOOKUP(YEAR($A105),'NY East Load Projections'!$A$4:$EO$14,((MONTH($A105)-1)*12)+VLOOKUP(CI$4,$DE$6:$DF$17,2)+1))*(VLOOKUP($A105,CURVES!$D$9:$T$261,7))*(INDEX(DailyScalarsTable,CI$5/100,MONTH($A105)))*$E105</f>
        <v>0</v>
      </c>
      <c r="CJ105" s="1021">
        <f>(VLOOKUP(YEAR($A105),'NY East Load Projections'!$A$4:$EO$14,((MONTH($A105)-1)*12)+VLOOKUP(CJ$4,$DE$6:$DF$17,2)+1))*(VLOOKUP($A105,CURVES!$D$9:$T$261,7))*(INDEX(DailyScalarsTable,CJ$5/100,MONTH($A105)))*$E105</f>
        <v>0</v>
      </c>
      <c r="CK105" s="1021">
        <f>(VLOOKUP(YEAR($A105),'NY East Load Projections'!$A$4:$EO$14,((MONTH($A105)-1)*12)+VLOOKUP(CK$4,$DE$6:$DF$17,2)+1))*(VLOOKUP($A105,CURVES!$D$9:$T$261,7))*(INDEX(DailyScalarsTable,CK$5/100,MONTH($A105)))*$E105</f>
        <v>0</v>
      </c>
      <c r="CL105" s="1021">
        <f>(VLOOKUP(YEAR($A105),'NY East Load Projections'!$A$4:$EO$14,((MONTH($A105)-1)*12)+VLOOKUP(CL$4,$DE$6:$DF$17,2)+1))*(VLOOKUP($A105,SatSunCurve,7))*(INDEX(DailyScalarsTable,CL$5/100,MONTH($A105)))*$E105</f>
        <v>0</v>
      </c>
      <c r="CM105" s="1021">
        <f>(VLOOKUP(YEAR($A105),'NY East Load Projections'!$A$4:$EO$14,((MONTH($A105)-1)*12)+VLOOKUP(CM$4,$DE$6:$DF$17,2)+1))*(VLOOKUP($A105,SatSunCurve,7))*(INDEX(DailyScalarsTable,CM$5/100,MONTH($A105)))*$E105</f>
        <v>0</v>
      </c>
      <c r="CN105" s="1021">
        <f>(VLOOKUP(YEAR($A105),'NY East Load Projections'!$A$4:$EO$14,((MONTH($A105)-1)*12)+VLOOKUP(CN$4,$DE$6:$DF$17,2)+1))*(VLOOKUP($A105,SatSunCurve,7))*(INDEX(DailyScalarsTable,CN$5/100,MONTH($A105)))*$E105</f>
        <v>0</v>
      </c>
      <c r="CO105" s="1021">
        <f>(VLOOKUP(YEAR($A105),'NY East Load Projections'!$A$4:$EO$14,((MONTH($A105)-1)*12)+VLOOKUP(CO$4,$DE$6:$DF$17,2)+1))*(VLOOKUP($A105,SatSunCurve,7))*(INDEX(DailyScalarsTable,CO$5/100,MONTH($A105)))*$E105</f>
        <v>0</v>
      </c>
      <c r="CP105" s="1021">
        <f>(VLOOKUP(YEAR($A105),'NY East Load Projections'!$A$4:$EO$14,((MONTH($A105)-1)*12)+VLOOKUP(CP$4,$DE$6:$DF$17,2)+1))*(VLOOKUP($A105,SatSunCurve,7))*(INDEX(DailyScalarsTable,CP$5/100,MONTH($A105)))*$E105</f>
        <v>0</v>
      </c>
      <c r="CQ105" s="1021">
        <f>(VLOOKUP(YEAR($A105),'NY East Load Projections'!$A$4:$EO$14,((MONTH($A105)-1)*12)+VLOOKUP(CQ$4,$DE$6:$DF$17,2)+1))*(VLOOKUP($A105,SatSunCurve,7))*(INDEX(DailyScalarsTable,CQ$5/100,MONTH($A105)))*$E105</f>
        <v>0</v>
      </c>
      <c r="CR105" s="1021">
        <f>(VLOOKUP(YEAR($A105),'NY East Load Projections'!$A$4:$EO$14,((MONTH($A105)-1)*12)+VLOOKUP(CR$4,$DE$6:$DF$17,2)+1))*(VLOOKUP($A105,SatSunCurve,7))*(INDEX(DailyScalarsTable,CR$5/100,MONTH($A105)))*$E105</f>
        <v>0</v>
      </c>
      <c r="CS105" s="1021">
        <f>(VLOOKUP(YEAR($A105),'NY East Load Projections'!$A$4:$EO$14,((MONTH($A105)-1)*12)+VLOOKUP(CS$4,$DE$6:$DF$17,2)+1))*(VLOOKUP($A105,SatSunCurve,7))*(INDEX(DailyScalarsTable,CS$5/100,MONTH($A105)))*$E105</f>
        <v>0</v>
      </c>
      <c r="CT105" s="1021">
        <f>(VLOOKUP(YEAR($A105),'NY East Load Projections'!$A$4:$EO$14,((MONTH($A105)-1)*12)+VLOOKUP(CT$4,$DE$6:$DF$17,2)+1))*(VLOOKUP($A105,SatSunCurve,7))*(INDEX(DailyScalarsTable,CT$5/100,MONTH($A105)))*$E105</f>
        <v>0</v>
      </c>
      <c r="CU105" s="1021">
        <f>(VLOOKUP(YEAR($A105),'NY East Load Projections'!$A$4:$EO$14,((MONTH($A105)-1)*12)+VLOOKUP(CU$4,$DE$6:$DF$17,2)+1))*(VLOOKUP($A105,SatSunCurve,7))*(INDEX(DailyScalarsTable,CU$5/100,MONTH($A105)))*$E105</f>
        <v>0</v>
      </c>
      <c r="CV105" s="1021">
        <f>(VLOOKUP(YEAR($A105),'NY East Load Projections'!$A$4:$EO$14,((MONTH($A105)-1)*12)+VLOOKUP(CV$4,$DE$6:$DF$17,2)+1))*(VLOOKUP($A105,SatSunCurve,7))*(INDEX(DailyScalarsTable,CV$5/100,MONTH($A105)))*$E105</f>
        <v>0</v>
      </c>
      <c r="CW105" s="1021">
        <f>(VLOOKUP(YEAR($A105),'NY East Load Projections'!$A$4:$EO$14,((MONTH($A105)-1)*12)+VLOOKUP(CW$4,$DE$6:$DF$17,2)+1))*(VLOOKUP($A105,SatSunCurve,7))*(INDEX(DailyScalarsTable,CW$5/100,MONTH($A105)))*$E105</f>
        <v>0</v>
      </c>
      <c r="CX105" s="1021">
        <f>(VLOOKUP(YEAR($A105),'NY East Load Projections'!$A$4:$EO$14,((MONTH($A105)-1)*12)+VLOOKUP(CX$4,$DE$6:$DF$17,2)+1))*(VLOOKUP($A105,SatSunCurve,7))*(INDEX(DailyScalarsTable,CX$5/100,MONTH($A105)))*$E105</f>
        <v>0</v>
      </c>
      <c r="CY105" s="1021">
        <f>(VLOOKUP(YEAR($A105),'NY East Load Projections'!$A$4:$EO$14,((MONTH($A105)-1)*12)+VLOOKUP(CY$4,$DE$6:$DF$17,2)+1))*(VLOOKUP($A105,SatSunCurve,7))*(INDEX(DailyScalarsTable,CY$5/100,MONTH($A105)))*$E105</f>
        <v>0</v>
      </c>
      <c r="CZ105" s="1021">
        <f>(VLOOKUP(YEAR($A105),'NY East Load Projections'!$A$4:$EO$14,((MONTH($A105)-1)*12)+VLOOKUP(CZ$4,$DE$6:$DF$17,2)+1))*(VLOOKUP($A105,SatSunCurve,7))*(INDEX(DailyScalarsTable,CZ$5/100,MONTH($A105)))*$E105</f>
        <v>0</v>
      </c>
      <c r="DA105" s="1021">
        <f>(VLOOKUP(YEAR($A105),'NY East Load Projections'!$A$4:$EO$14,((MONTH($A105)-1)*12)+VLOOKUP(DA$4,$DE$6:$DF$17,2)+1))*(VLOOKUP($A105,SatSunCurve,7))*(INDEX(DailyScalarsTable,DA$5/100,MONTH($A105)))*$E105</f>
        <v>0</v>
      </c>
      <c r="DB105" s="1021">
        <f>(VLOOKUP(YEAR($A105),'NY East Load Projections'!$A$4:$EO$14,((MONTH($A105)-1)*12)+VLOOKUP(DB$4,$DE$6:$DF$17,2)+1))*(VLOOKUP($A105,CURVES!$D$9:$T$261,7))*(INDEX(DailyScalarsTable,DB$5/100,MONTH($A105)))*$E105</f>
        <v>0</v>
      </c>
      <c r="DH105" s="1032">
        <f t="shared" si="2"/>
        <v>-1707594.7597377971</v>
      </c>
      <c r="DI105">
        <f ca="1">CALC!J125</f>
        <v>0.5117147372508184</v>
      </c>
      <c r="DJ105" s="1029">
        <f t="shared" ca="1" si="3"/>
        <v>-873801.40381010121</v>
      </c>
    </row>
    <row r="106" spans="1:114" x14ac:dyDescent="0.25">
      <c r="A106" s="244">
        <v>39934</v>
      </c>
      <c r="B106" s="13">
        <v>20</v>
      </c>
      <c r="C106" s="210">
        <v>5</v>
      </c>
      <c r="D106" s="210">
        <v>5</v>
      </c>
      <c r="E106" s="210">
        <v>1</v>
      </c>
      <c r="F106" s="13">
        <v>31</v>
      </c>
      <c r="H106" s="1021">
        <f>(VLOOKUP(YEAR($A106),'NY East Load Projections'!$A$4:$EO$14,((MONTH($A106)-1)*12)+VLOOKUP(H$4,$DE$6:$DF$17,2)+1))*(VLOOKUP($A106,CURVES!$D$9:$K$261,7))*(INDEX(DailyScalarsTable,H$5/100,MONTH($A106)))*$B106</f>
        <v>-34289.087560774315</v>
      </c>
      <c r="I106" s="1021">
        <f>(VLOOKUP(YEAR($A106),'NY East Load Projections'!$A$4:$EO$14,((MONTH($A106)-1)*12)+VLOOKUP(I$4,$DE$6:$DF$17,2)+1))*(VLOOKUP($A106,CURVES!$D$9:$K$261,7))*(INDEX(DailyScalarsTable,I$5/100,MONTH($A106)))*$B106</f>
        <v>-30886.284962199174</v>
      </c>
      <c r="J106" s="1021">
        <f>(VLOOKUP(YEAR($A106),'NY East Load Projections'!$A$4:$EO$14,((MONTH($A106)-1)*12)+VLOOKUP(J$4,$DE$6:$DF$17,2)+1))*(VLOOKUP($A106,CURVES!$D$9:$K$261,7))*(INDEX(DailyScalarsTable,J$5/100,MONTH($A106)))*$B106</f>
        <v>-29229.89427929488</v>
      </c>
      <c r="K106" s="1021">
        <f>(VLOOKUP(YEAR($A106),'NY East Load Projections'!$A$4:$EO$14,((MONTH($A106)-1)*12)+VLOOKUP(K$4,$DE$6:$DF$17,2)+1))*(VLOOKUP($A106,CURVES!$D$9:$K$261,7))*(INDEX(DailyScalarsTable,K$5/100,MONTH($A106)))*$B106</f>
        <v>-28338.684074906145</v>
      </c>
      <c r="L106" s="1021">
        <f>(VLOOKUP(YEAR($A106),'NY East Load Projections'!$A$4:$EO$14,((MONTH($A106)-1)*12)+VLOOKUP(L$4,$DE$6:$DF$17,2)+1))*(VLOOKUP($A106,CURVES!$D$9:$K$261,7))*(INDEX(DailyScalarsTable,L$5/100,MONTH($A106)))*$B106</f>
        <v>-33013.888592208335</v>
      </c>
      <c r="M106" s="1021">
        <f>(VLOOKUP(YEAR($A106),'NY East Load Projections'!$A$4:$EO$14,((MONTH($A106)-1)*12)+VLOOKUP(M$4,$DE$6:$DF$17,2)+1))*(VLOOKUP($A106,CURVES!$D$9:$K$261,7))*(INDEX(DailyScalarsTable,M$5/100,MONTH($A106)))*$B106</f>
        <v>-40027.402483276062</v>
      </c>
      <c r="N106" s="1021">
        <f>(VLOOKUP(YEAR($A106),'NY East Load Projections'!$A$4:$EO$14,((MONTH($A106)-1)*12)+VLOOKUP(N$4,$DE$6:$DF$17,2)+1))*(VLOOKUP($A106,CURVES!$D$9:$K$261,7))*(INDEX(DailyScalarsTable,N$5/100,MONTH($A106)))*$B106</f>
        <v>-47893.38767602056</v>
      </c>
      <c r="O106" s="1021">
        <f>(VLOOKUP(YEAR($A106),'NY East Load Projections'!$A$4:$EO$14,((MONTH($A106)-1)*12)+VLOOKUP(O$4,$DE$6:$DF$17,2)+1))*(VLOOKUP($A106,CURVES!$D$9:$K$261,3))*(INDEX(DailyScalarsTable,O$5/100,MONTH($A106)))*$B106</f>
        <v>-60953.066399296978</v>
      </c>
      <c r="P106" s="1021">
        <f>(VLOOKUP(YEAR($A106),'NY East Load Projections'!$A$4:$EO$14,((MONTH($A106)-1)*12)+VLOOKUP(P$4,$DE$6:$DF$17,2)+1))*(VLOOKUP($A106,CURVES!$D$9:$K$261,3))*(INDEX(DailyScalarsTable,P$5/100,MONTH($A106)))*$B106</f>
        <v>-72804.431089690464</v>
      </c>
      <c r="Q106" s="1021">
        <f>(VLOOKUP(YEAR($A106),'NY East Load Projections'!$A$4:$EO$14,((MONTH($A106)-1)*12)+VLOOKUP(Q$4,$DE$6:$DF$17,2)+1))*(VLOOKUP($A106,CURVES!$D$9:$K$261,3))*(INDEX(DailyScalarsTable,Q$5/100,MONTH($A106)))*$B106</f>
        <v>-74095.735549451114</v>
      </c>
      <c r="R106" s="1021">
        <f>(VLOOKUP(YEAR($A106),'NY East Load Projections'!$A$4:$EO$14,((MONTH($A106)-1)*12)+VLOOKUP(R$4,$DE$6:$DF$17,2)+1))*(VLOOKUP($A106,CURVES!$D$9:$K$261,3))*(INDEX(DailyScalarsTable,R$5/100,MONTH($A106)))*$B106</f>
        <v>-78598.159948970526</v>
      </c>
      <c r="S106" s="1021">
        <f>(VLOOKUP(YEAR($A106),'NY East Load Projections'!$A$4:$EO$14,((MONTH($A106)-1)*12)+VLOOKUP(S$4,$DE$6:$DF$17,2)+1))*(VLOOKUP($A106,CURVES!$D$9:$K$261,3))*(INDEX(DailyScalarsTable,S$5/100,MONTH($A106)))*$B106</f>
        <v>-78003.931348018697</v>
      </c>
      <c r="T106" s="1021">
        <f>(VLOOKUP(YEAR($A106),'NY East Load Projections'!$A$4:$EO$14,((MONTH($A106)-1)*12)+VLOOKUP(T$4,$DE$6:$DF$17,2)+1))*(VLOOKUP($A106,CURVES!$D$9:$K$261,3))*(INDEX(DailyScalarsTable,T$5/100,MONTH($A106)))*$B106</f>
        <v>-76000.09049688511</v>
      </c>
      <c r="U106" s="1021">
        <f>(VLOOKUP(YEAR($A106),'NY East Load Projections'!$A$4:$EO$14,((MONTH($A106)-1)*12)+VLOOKUP(U$4,$DE$6:$DF$17,2)+1))*(VLOOKUP($A106,CURVES!$D$9:$K$261,3))*(INDEX(DailyScalarsTable,U$5/100,MONTH($A106)))*$B106</f>
        <v>-76366.384465386916</v>
      </c>
      <c r="V106" s="1021">
        <f>(VLOOKUP(YEAR($A106),'NY East Load Projections'!$A$4:$EO$14,((MONTH($A106)-1)*12)+VLOOKUP(V$4,$DE$6:$DF$17,2)+1))*(VLOOKUP($A106,CURVES!$D$9:$K$261,3))*(INDEX(DailyScalarsTable,V$5/100,MONTH($A106)))*$B106</f>
        <v>-74074.093178633833</v>
      </c>
      <c r="W106" s="1021">
        <f>(VLOOKUP(YEAR($A106),'NY East Load Projections'!$A$4:$EO$14,((MONTH($A106)-1)*12)+VLOOKUP(W$4,$DE$6:$DF$17,2)+1))*(VLOOKUP($A106,CURVES!$D$9:$K$261,3))*(INDEX(DailyScalarsTable,W$5/100,MONTH($A106)))*$B106</f>
        <v>-71191.005168490796</v>
      </c>
      <c r="X106" s="1021">
        <f>(VLOOKUP(YEAR($A106),'NY East Load Projections'!$A$4:$EO$14,((MONTH($A106)-1)*12)+VLOOKUP(X$4,$DE$6:$DF$17,2)+1))*(VLOOKUP($A106,CURVES!$D$9:$K$261,3))*(INDEX(DailyScalarsTable,X$5/100,MONTH($A106)))*$B106</f>
        <v>-69076.103085076742</v>
      </c>
      <c r="Y106" s="1021">
        <f>(VLOOKUP(YEAR($A106),'NY East Load Projections'!$A$4:$EO$14,((MONTH($A106)-1)*12)+VLOOKUP(Y$4,$DE$6:$DF$17,2)+1))*(VLOOKUP($A106,CURVES!$D$9:$K$261,3))*(INDEX(DailyScalarsTable,Y$5/100,MONTH($A106)))*$B106</f>
        <v>-66384.091862832051</v>
      </c>
      <c r="Z106" s="1021">
        <f>(VLOOKUP(YEAR($A106),'NY East Load Projections'!$A$4:$EO$14,((MONTH($A106)-1)*12)+VLOOKUP(Z$4,$DE$6:$DF$17,2)+1))*(VLOOKUP($A106,CURVES!$D$9:$K$261,3))*(INDEX(DailyScalarsTable,Z$5/100,MONTH($A106)))*$B106</f>
        <v>-57516.290189555468</v>
      </c>
      <c r="AA106" s="1021">
        <f>(VLOOKUP(YEAR($A106),'NY East Load Projections'!$A$4:$EO$14,((MONTH($A106)-1)*12)+VLOOKUP(AA$4,$DE$6:$DF$17,2)+1))*(VLOOKUP($A106,CURVES!$D$9:$K$261,3))*(INDEX(DailyScalarsTable,AA$5/100,MONTH($A106)))*$B106</f>
        <v>-57369.247559769006</v>
      </c>
      <c r="AB106" s="1021">
        <f>(VLOOKUP(YEAR($A106),'NY East Load Projections'!$A$4:$EO$14,((MONTH($A106)-1)*12)+VLOOKUP(AB$4,$DE$6:$DF$17,2)+1))*(VLOOKUP($A106,CURVES!$D$9:$K$261,3))*(INDEX(DailyScalarsTable,AB$5/100,MONTH($A106)))*$B106</f>
        <v>-67864.408613840089</v>
      </c>
      <c r="AC106" s="1021">
        <f>(VLOOKUP(YEAR($A106),'NY East Load Projections'!$A$4:$EO$14,((MONTH($A106)-1)*12)+VLOOKUP(AC$4,$DE$6:$DF$17,2)+1))*(VLOOKUP($A106,CURVES!$D$9:$K$261,3))*(INDEX(DailyScalarsTable,AC$5/100,MONTH($A106)))*$B106</f>
        <v>-64730.006109785791</v>
      </c>
      <c r="AD106" s="1021">
        <f>(VLOOKUP(YEAR($A106),'NY East Load Projections'!$A$4:$EO$14,((MONTH($A106)-1)*12)+VLOOKUP(AD$4,$DE$6:$DF$17,2)+1))*(VLOOKUP($A106,CURVES!$D$9:$K$261,3))*(INDEX(DailyScalarsTable,AD$5/100,MONTH($A106)))*$B106</f>
        <v>-51926.941809837619</v>
      </c>
      <c r="AE106" s="1021">
        <f>(VLOOKUP(YEAR($A106),'NY East Load Projections'!$A$4:$EO$14,((MONTH($A106)-1)*12)+VLOOKUP(AE$4,$DE$6:$DF$17,2)+1))*(VLOOKUP($A106,CURVES!$D$9:$K$261,7))*(INDEX(DailyScalarsTable,AE$5/100,MONTH($A106)))*$B106</f>
        <v>-42612.916456241765</v>
      </c>
      <c r="AF106" s="1021"/>
      <c r="AG106" s="1021">
        <f>(VLOOKUP(YEAR($A106),'NY East Load Projections'!$A$4:$EO$14,((MONTH($A106)-1)*12)+VLOOKUP(AG$4,$DE$6:$DF$17,2)+1))*(VLOOKUP($A106,CURVES!$D$9:$T$261,7))*(INDEX(DailyScalarsTable,AG$5/100,MONTH($A106)))*$C106</f>
        <v>-8872.615502012266</v>
      </c>
      <c r="AH106" s="1021">
        <f>(VLOOKUP(YEAR($A106),'NY East Load Projections'!$A$4:$EO$14,((MONTH($A106)-1)*12)+VLOOKUP(AH$4,$DE$6:$DF$17,2)+1))*(VLOOKUP($A106,CURVES!$D$9:$T$261,7))*(INDEX(DailyScalarsTable,AH$5/100,MONTH($A106)))*$C106</f>
        <v>-7992.1091592029625</v>
      </c>
      <c r="AI106" s="1021">
        <f>(VLOOKUP(YEAR($A106),'NY East Load Projections'!$A$4:$EO$14,((MONTH($A106)-1)*12)+VLOOKUP(AI$4,$DE$6:$DF$17,2)+1))*(VLOOKUP($A106,CURVES!$D$9:$T$261,7))*(INDEX(DailyScalarsTable,AI$5/100,MONTH($A106)))*$C106</f>
        <v>-7563.5028970947315</v>
      </c>
      <c r="AJ106" s="1021">
        <f>(VLOOKUP(YEAR($A106),'NY East Load Projections'!$A$4:$EO$14,((MONTH($A106)-1)*12)+VLOOKUP(AJ$4,$DE$6:$DF$17,2)+1))*(VLOOKUP($A106,CURVES!$D$9:$T$261,7))*(INDEX(DailyScalarsTable,AJ$5/100,MONTH($A106)))*$C106</f>
        <v>-7332.8940930256258</v>
      </c>
      <c r="AK106" s="1021">
        <f>(VLOOKUP(YEAR($A106),'NY East Load Projections'!$A$4:$EO$14,((MONTH($A106)-1)*12)+VLOOKUP(AK$4,$DE$6:$DF$17,2)+1))*(VLOOKUP($A106,CURVES!$D$9:$T$261,7))*(INDEX(DailyScalarsTable,AK$5/100,MONTH($A106)))*$C106</f>
        <v>-8072.0253798810591</v>
      </c>
      <c r="AL106" s="1021">
        <f>(VLOOKUP(YEAR($A106),'NY East Load Projections'!$A$4:$EO$14,((MONTH($A106)-1)*12)+VLOOKUP(AL$4,$DE$6:$DF$17,2)+1))*(VLOOKUP($A106,CURVES!$D$9:$T$261,7))*(INDEX(DailyScalarsTable,AL$5/100,MONTH($A106)))*$C106</f>
        <v>-9786.8570626961646</v>
      </c>
      <c r="AM106" s="1021">
        <f>(VLOOKUP(YEAR($A106),'NY East Load Projections'!$A$4:$EO$14,((MONTH($A106)-1)*12)+VLOOKUP(AM$4,$DE$6:$DF$17,2)+1))*(VLOOKUP($A106,CURVES!$D$9:$T$261,7))*(INDEX(DailyScalarsTable,AM$5/100,MONTH($A106)))*$C106</f>
        <v>-11710.121325742946</v>
      </c>
      <c r="AN106" s="1021">
        <f>(VLOOKUP(YEAR($A106),'NY East Load Projections'!$A$4:$EO$14,((MONTH($A106)-1)*12)+VLOOKUP(AN$4,$DE$6:$DF$17,2)+1))*(VLOOKUP($A106,SatSunCurve,3))*(INDEX(DailyScalarsTable,AN$5/100,MONTH($A106)))*$C106</f>
        <v>-9964.239458971937</v>
      </c>
      <c r="AO106" s="1021">
        <f>(VLOOKUP(YEAR($A106),'NY East Load Projections'!$A$4:$EO$14,((MONTH($A106)-1)*12)+VLOOKUP(AO$4,$DE$6:$DF$17,2)+1))*(VLOOKUP($A106,SatSunCurve,3))*(INDEX(DailyScalarsTable,AO$5/100,MONTH($A106)))*$C106</f>
        <v>-12014.20530777621</v>
      </c>
      <c r="AP106" s="1021">
        <f>(VLOOKUP(YEAR($A106),'NY East Load Projections'!$A$4:$EO$14,((MONTH($A106)-1)*12)+VLOOKUP(AP$4,$DE$6:$DF$17,2)+1))*(VLOOKUP($A106,SatSunCurve,3))*(INDEX(DailyScalarsTable,AP$5/100,MONTH($A106)))*$C106</f>
        <v>-12227.296690569921</v>
      </c>
      <c r="AQ106" s="1021">
        <f>(VLOOKUP(YEAR($A106),'NY East Load Projections'!$A$4:$EO$14,((MONTH($A106)-1)*12)+VLOOKUP(AQ$4,$DE$6:$DF$17,2)+1))*(VLOOKUP($A106,SatSunCurve,3))*(INDEX(DailyScalarsTable,AQ$5/100,MONTH($A106)))*$C106</f>
        <v>-12970.287883673645</v>
      </c>
      <c r="AR106" s="1021">
        <f>(VLOOKUP(YEAR($A106),'NY East Load Projections'!$A$4:$EO$14,((MONTH($A106)-1)*12)+VLOOKUP(AR$4,$DE$6:$DF$17,2)+1))*(VLOOKUP($A106,SatSunCurve,3))*(INDEX(DailyScalarsTable,AR$5/100,MONTH($A106)))*$C106</f>
        <v>-12872.228132299548</v>
      </c>
      <c r="AS106" s="1021">
        <f>(VLOOKUP(YEAR($A106),'NY East Load Projections'!$A$4:$EO$14,((MONTH($A106)-1)*12)+VLOOKUP(AS$4,$DE$6:$DF$17,2)+1))*(VLOOKUP($A106,SatSunCurve,3))*(INDEX(DailyScalarsTable,AS$5/100,MONTH($A106)))*$C106</f>
        <v>-12385.498218622686</v>
      </c>
      <c r="AT106" s="1021">
        <f>(VLOOKUP(YEAR($A106),'NY East Load Projections'!$A$4:$EO$14,((MONTH($A106)-1)*12)+VLOOKUP(AT$4,$DE$6:$DF$17,2)+1))*(VLOOKUP($A106,SatSunCurve,3))*(INDEX(DailyScalarsTable,AT$5/100,MONTH($A106)))*$C106</f>
        <v>-12445.192006678861</v>
      </c>
      <c r="AU106" s="1021">
        <f>(VLOOKUP(YEAR($A106),'NY East Load Projections'!$A$4:$EO$14,((MONTH($A106)-1)*12)+VLOOKUP(AU$4,$DE$6:$DF$17,2)+1))*(VLOOKUP($A106,SatSunCurve,3))*(INDEX(DailyScalarsTable,AU$5/100,MONTH($A106)))*$C106</f>
        <v>-12071.624429811198</v>
      </c>
      <c r="AV106" s="1021">
        <f>(VLOOKUP(YEAR($A106),'NY East Load Projections'!$A$4:$EO$14,((MONTH($A106)-1)*12)+VLOOKUP(AV$4,$DE$6:$DF$17,2)+1))*(VLOOKUP($A106,SatSunCurve,3))*(INDEX(DailyScalarsTable,AV$5/100,MONTH($A106)))*$C106</f>
        <v>-11601.776549627128</v>
      </c>
      <c r="AW106" s="1021">
        <f>(VLOOKUP(YEAR($A106),'NY East Load Projections'!$A$4:$EO$14,((MONTH($A106)-1)*12)+VLOOKUP(AW$4,$DE$6:$DF$17,2)+1))*(VLOOKUP($A106,SatSunCurve,3))*(INDEX(DailyScalarsTable,AW$5/100,MONTH($A106)))*$C106</f>
        <v>-11060.710665306069</v>
      </c>
      <c r="AX106" s="1021">
        <f>(VLOOKUP(YEAR($A106),'NY East Load Projections'!$A$4:$EO$14,((MONTH($A106)-1)*12)+VLOOKUP(AX$4,$DE$6:$DF$17,2)+1))*(VLOOKUP($A106,SatSunCurve,3))*(INDEX(DailyScalarsTable,AX$5/100,MONTH($A106)))*$C106</f>
        <v>-10629.656278808141</v>
      </c>
      <c r="AY106" s="1021">
        <f>(VLOOKUP(YEAR($A106),'NY East Load Projections'!$A$4:$EO$14,((MONTH($A106)-1)*12)+VLOOKUP(AY$4,$DE$6:$DF$17,2)+1))*(VLOOKUP($A106,SatSunCurve,3))*(INDEX(DailyScalarsTable,AY$5/100,MONTH($A106)))*$C106</f>
        <v>-9209.7124174032033</v>
      </c>
      <c r="AZ106" s="1021">
        <f>(VLOOKUP(YEAR($A106),'NY East Load Projections'!$A$4:$EO$14,((MONTH($A106)-1)*12)+VLOOKUP(AZ$4,$DE$6:$DF$17,2)+1))*(VLOOKUP($A106,SatSunCurve,3))*(INDEX(DailyScalarsTable,AZ$5/100,MONTH($A106)))*$C106</f>
        <v>-9186.1674299054193</v>
      </c>
      <c r="BA106" s="1021">
        <f>(VLOOKUP(YEAR($A106),'NY East Load Projections'!$A$4:$EO$14,((MONTH($A106)-1)*12)+VLOOKUP(BA$4,$DE$6:$DF$17,2)+1))*(VLOOKUP($A106,SatSunCurve,3))*(INDEX(DailyScalarsTable,BA$5/100,MONTH($A106)))*$C106</f>
        <v>-11454.739669551554</v>
      </c>
      <c r="BB106" s="1021">
        <f>(VLOOKUP(YEAR($A106),'NY East Load Projections'!$A$4:$EO$14,((MONTH($A106)-1)*12)+VLOOKUP(BB$4,$DE$6:$DF$17,2)+1))*(VLOOKUP($A106,SatSunCurve,3))*(INDEX(DailyScalarsTable,BB$5/100,MONTH($A106)))*$C106</f>
        <v>-10925.688205951083</v>
      </c>
      <c r="BC106" s="1021">
        <f>(VLOOKUP(YEAR($A106),'NY East Load Projections'!$A$4:$EO$14,((MONTH($A106)-1)*12)+VLOOKUP(BC$4,$DE$6:$DF$17,2)+1))*(VLOOKUP($A106,SatSunCurve,3))*(INDEX(DailyScalarsTable,BC$5/100,MONTH($A106)))*$C106</f>
        <v>-8764.6766901367828</v>
      </c>
      <c r="BD106" s="1021">
        <f>(VLOOKUP(YEAR($A106),'NY East Load Projections'!$A$4:$EO$14,((MONTH($A106)-1)*12)+VLOOKUP(BD$4,$DE$6:$DF$17,2)+1))*(VLOOKUP($A106,CURVES!$D$9:$T$261,7))*(INDEX(DailyScalarsTable,BD$5/100,MONTH($A106)))*$C106</f>
        <v>-10757.755102172243</v>
      </c>
      <c r="BE106" s="1021"/>
      <c r="BF106" s="1021">
        <f>(VLOOKUP(YEAR($A106),'NY East Load Projections'!$A$4:$EO$14,((MONTH($A106)-1)*12)+VLOOKUP(BF$4,$DE$6:$DF$17,2)+1))*(VLOOKUP($A106,CURVES!$D$9:$T$261,7))*(INDEX(DailyScalarsTable,BF$5/100,MONTH($A106)))*$D106</f>
        <v>-8872.615502012266</v>
      </c>
      <c r="BG106" s="1021">
        <f>(VLOOKUP(YEAR($A106),'NY East Load Projections'!$A$4:$EO$14,((MONTH($A106)-1)*12)+VLOOKUP(BG$4,$DE$6:$DF$17,2)+1))*(VLOOKUP($A106,CURVES!$D$9:$T$261,7))*(INDEX(DailyScalarsTable,BG$5/100,MONTH($A106)))*$D106</f>
        <v>-7992.1091592029625</v>
      </c>
      <c r="BH106" s="1021">
        <f>(VLOOKUP(YEAR($A106),'NY East Load Projections'!$A$4:$EO$14,((MONTH($A106)-1)*12)+VLOOKUP(BH$4,$DE$6:$DF$17,2)+1))*(VLOOKUP($A106,CURVES!$D$9:$T$261,7))*(INDEX(DailyScalarsTable,BH$5/100,MONTH($A106)))*$D106</f>
        <v>-7563.5028970947315</v>
      </c>
      <c r="BI106" s="1021">
        <f>(VLOOKUP(YEAR($A106),'NY East Load Projections'!$A$4:$EO$14,((MONTH($A106)-1)*12)+VLOOKUP(BI$4,$DE$6:$DF$17,2)+1))*(VLOOKUP($A106,CURVES!$D$9:$T$261,7))*(INDEX(DailyScalarsTable,BI$5/100,MONTH($A106)))*$D106</f>
        <v>-7332.8940930256258</v>
      </c>
      <c r="BJ106" s="1021">
        <f>(VLOOKUP(YEAR($A106),'NY East Load Projections'!$A$4:$EO$14,((MONTH($A106)-1)*12)+VLOOKUP(BJ$4,$DE$6:$DF$17,2)+1))*(VLOOKUP($A106,CURVES!$D$9:$T$261,7))*(INDEX(DailyScalarsTable,BJ$5/100,MONTH($A106)))*$D106</f>
        <v>-8072.0253798810591</v>
      </c>
      <c r="BK106" s="1021">
        <f>(VLOOKUP(YEAR($A106),'NY East Load Projections'!$A$4:$EO$14,((MONTH($A106)-1)*12)+VLOOKUP(BK$4,$DE$6:$DF$17,2)+1))*(VLOOKUP($A106,CURVES!$D$9:$T$261,7))*(INDEX(DailyScalarsTable,BK$5/100,MONTH($A106)))*$D106</f>
        <v>-9786.8570626961646</v>
      </c>
      <c r="BL106" s="1021">
        <f>(VLOOKUP(YEAR($A106),'NY East Load Projections'!$A$4:$EO$14,((MONTH($A106)-1)*12)+VLOOKUP(BL$4,$DE$6:$DF$17,2)+1))*(VLOOKUP($A106,CURVES!$D$9:$T$261,7))*(INDEX(DailyScalarsTable,BL$5/100,MONTH($A106)))*$D106</f>
        <v>-11710.121325742946</v>
      </c>
      <c r="BM106" s="1021">
        <f>(VLOOKUP(YEAR($A106),'NY East Load Projections'!$A$4:$EO$14,((MONTH($A106)-1)*12)+VLOOKUP(BM$4,$DE$6:$DF$17,2)+1))*(VLOOKUP($A106,SatSunCurve,7))*(INDEX(DailyScalarsTable,BM$5/100,MONTH($A106)))*$D106</f>
        <v>-9585.6571424223184</v>
      </c>
      <c r="BN106" s="1021">
        <f>(VLOOKUP(YEAR($A106),'NY East Load Projections'!$A$4:$EO$14,((MONTH($A106)-1)*12)+VLOOKUP(BN$4,$DE$6:$DF$17,2)+1))*(VLOOKUP($A106,SatSunCurve,7))*(INDEX(DailyScalarsTable,BN$5/100,MONTH($A106)))*$D106</f>
        <v>-11557.736382511148</v>
      </c>
      <c r="BO106" s="1021">
        <f>(VLOOKUP(YEAR($A106),'NY East Load Projections'!$A$4:$EO$14,((MONTH($A106)-1)*12)+VLOOKUP(BO$4,$DE$6:$DF$17,2)+1))*(VLOOKUP($A106,SatSunCurve,7))*(INDEX(DailyScalarsTable,BO$5/100,MONTH($A106)))*$D106</f>
        <v>-11762.731549866945</v>
      </c>
      <c r="BP106" s="1021">
        <f>(VLOOKUP(YEAR($A106),'NY East Load Projections'!$A$4:$EO$14,((MONTH($A106)-1)*12)+VLOOKUP(BP$4,$DE$6:$DF$17,2)+1))*(VLOOKUP($A106,SatSunCurve,7))*(INDEX(DailyScalarsTable,BP$5/100,MONTH($A106)))*$D106</f>
        <v>-12477.493460824315</v>
      </c>
      <c r="BQ106" s="1021">
        <f>(VLOOKUP(YEAR($A106),'NY East Load Projections'!$A$4:$EO$14,((MONTH($A106)-1)*12)+VLOOKUP(BQ$4,$DE$6:$DF$17,2)+1))*(VLOOKUP($A106,SatSunCurve,7))*(INDEX(DailyScalarsTable,BQ$5/100,MONTH($A106)))*$D106</f>
        <v>-12383.159401510138</v>
      </c>
      <c r="BR106" s="1021">
        <f>(VLOOKUP(YEAR($A106),'NY East Load Projections'!$A$4:$EO$14,((MONTH($A106)-1)*12)+VLOOKUP(BR$4,$DE$6:$DF$17,2)+1))*(VLOOKUP($A106,SatSunCurve,7))*(INDEX(DailyScalarsTable,BR$5/100,MONTH($A106)))*$D106</f>
        <v>-11914.922353145528</v>
      </c>
      <c r="BS106" s="1021">
        <f>(VLOOKUP(YEAR($A106),'NY East Load Projections'!$A$4:$EO$14,((MONTH($A106)-1)*12)+VLOOKUP(BS$4,$DE$6:$DF$17,2)+1))*(VLOOKUP($A106,SatSunCurve,7))*(INDEX(DailyScalarsTable,BS$5/100,MONTH($A106)))*$D106</f>
        <v>-11972.348129412247</v>
      </c>
      <c r="BT106" s="1021">
        <f>(VLOOKUP(YEAR($A106),'NY East Load Projections'!$A$4:$EO$14,((MONTH($A106)-1)*12)+VLOOKUP(BT$4,$DE$6:$DF$17,2)+1))*(VLOOKUP($A106,SatSunCurve,7))*(INDEX(DailyScalarsTable,BT$5/100,MONTH($A106)))*$D106</f>
        <v>-11612.973916646351</v>
      </c>
      <c r="BU106" s="1021">
        <f>(VLOOKUP(YEAR($A106),'NY East Load Projections'!$A$4:$EO$14,((MONTH($A106)-1)*12)+VLOOKUP(BU$4,$DE$6:$DF$17,2)+1))*(VLOOKUP($A106,SatSunCurve,7))*(INDEX(DailyScalarsTable,BU$5/100,MONTH($A106)))*$D106</f>
        <v>-11160.977484095431</v>
      </c>
      <c r="BV106" s="1021">
        <f>(VLOOKUP(YEAR($A106),'NY East Load Projections'!$A$4:$EO$14,((MONTH($A106)-1)*12)+VLOOKUP(BV$4,$DE$6:$DF$17,2)+1))*(VLOOKUP($A106,SatSunCurve,7))*(INDEX(DailyScalarsTable,BV$5/100,MONTH($A106)))*$D106</f>
        <v>-10640.468911422258</v>
      </c>
      <c r="BW106" s="1021">
        <f>(VLOOKUP(YEAR($A106),'NY East Load Projections'!$A$4:$EO$14,((MONTH($A106)-1)*12)+VLOOKUP(BW$4,$DE$6:$DF$17,2)+1))*(VLOOKUP($A106,SatSunCurve,7))*(INDEX(DailyScalarsTable,BW$5/100,MONTH($A106)))*$D106</f>
        <v>-10225.792048655185</v>
      </c>
      <c r="BX106" s="1021">
        <f>(VLOOKUP(YEAR($A106),'NY East Load Projections'!$A$4:$EO$14,((MONTH($A106)-1)*12)+VLOOKUP(BX$4,$DE$6:$DF$17,2)+1))*(VLOOKUP($A106,SatSunCurve,7))*(INDEX(DailyScalarsTable,BX$5/100,MONTH($A106)))*$D106</f>
        <v>-8859.7976771871909</v>
      </c>
      <c r="BY106" s="1021">
        <f>(VLOOKUP(YEAR($A106),'NY East Load Projections'!$A$4:$EO$14,((MONTH($A106)-1)*12)+VLOOKUP(BY$4,$DE$6:$DF$17,2)+1))*(VLOOKUP($A106,SatSunCurve,7))*(INDEX(DailyScalarsTable,BY$5/100,MONTH($A106)))*$D106</f>
        <v>-8837.1472603133625</v>
      </c>
      <c r="BZ106" s="1021">
        <f>(VLOOKUP(YEAR($A106),'NY East Load Projections'!$A$4:$EO$14,((MONTH($A106)-1)*12)+VLOOKUP(BZ$4,$DE$6:$DF$17,2)+1))*(VLOOKUP($A106,SatSunCurve,7))*(INDEX(DailyScalarsTable,BZ$5/100,MONTH($A106)))*$D106</f>
        <v>-11019.527138035468</v>
      </c>
      <c r="CA106" s="1021">
        <f>(VLOOKUP(YEAR($A106),'NY East Load Projections'!$A$4:$EO$14,((MONTH($A106)-1)*12)+VLOOKUP(CA$4,$DE$6:$DF$17,2)+1))*(VLOOKUP($A106,SatSunCurve,7))*(INDEX(DailyScalarsTable,CA$5/100,MONTH($A106)))*$D106</f>
        <v>-10510.576508973201</v>
      </c>
      <c r="CB106" s="1021">
        <f>(VLOOKUP(YEAR($A106),'NY East Load Projections'!$A$4:$EO$14,((MONTH($A106)-1)*12)+VLOOKUP(CB$4,$DE$6:$DF$17,2)+1))*(VLOOKUP($A106,SatSunCurve,7))*(INDEX(DailyScalarsTable,CB$5/100,MONTH($A106)))*$D106</f>
        <v>-8431.6706821195094</v>
      </c>
      <c r="CC106" s="1021">
        <f>(VLOOKUP(YEAR($A106),'NY East Load Projections'!$A$4:$EO$14,((MONTH($A106)-1)*12)+VLOOKUP(CC$4,$DE$6:$DF$17,2)+1))*(VLOOKUP($A106,CURVES!$D$9:$T$261,7))*(INDEX(DailyScalarsTable,CC$5/100,MONTH($A106)))*$D106</f>
        <v>-10757.755102172243</v>
      </c>
      <c r="CE106" s="1021">
        <f>(VLOOKUP(YEAR($A106),'NY East Load Projections'!$A$4:$EO$14,((MONTH($A106)-1)*12)+VLOOKUP(CE$4,$DE$6:$DF$17,2)+1))*(VLOOKUP($A106,CURVES!$D$9:$T$261,7))*(INDEX(DailyScalarsTable,CE$5/100,MONTH($A106)))*$E106</f>
        <v>-1774.5231004024533</v>
      </c>
      <c r="CF106" s="1021">
        <f>(VLOOKUP(YEAR($A106),'NY East Load Projections'!$A$4:$EO$14,((MONTH($A106)-1)*12)+VLOOKUP(CF$4,$DE$6:$DF$17,2)+1))*(VLOOKUP($A106,CURVES!$D$9:$T$261,7))*(INDEX(DailyScalarsTable,CF$5/100,MONTH($A106)))*$E106</f>
        <v>-1598.4218318405924</v>
      </c>
      <c r="CG106" s="1021">
        <f>(VLOOKUP(YEAR($A106),'NY East Load Projections'!$A$4:$EO$14,((MONTH($A106)-1)*12)+VLOOKUP(CG$4,$DE$6:$DF$17,2)+1))*(VLOOKUP($A106,CURVES!$D$9:$T$261,7))*(INDEX(DailyScalarsTable,CG$5/100,MONTH($A106)))*$E106</f>
        <v>-1512.7005794189463</v>
      </c>
      <c r="CH106" s="1021">
        <f>(VLOOKUP(YEAR($A106),'NY East Load Projections'!$A$4:$EO$14,((MONTH($A106)-1)*12)+VLOOKUP(CH$4,$DE$6:$DF$17,2)+1))*(VLOOKUP($A106,CURVES!$D$9:$T$261,7))*(INDEX(DailyScalarsTable,CH$5/100,MONTH($A106)))*$E106</f>
        <v>-1466.5788186051252</v>
      </c>
      <c r="CI106" s="1021">
        <f>(VLOOKUP(YEAR($A106),'NY East Load Projections'!$A$4:$EO$14,((MONTH($A106)-1)*12)+VLOOKUP(CI$4,$DE$6:$DF$17,2)+1))*(VLOOKUP($A106,CURVES!$D$9:$T$261,7))*(INDEX(DailyScalarsTable,CI$5/100,MONTH($A106)))*$E106</f>
        <v>-1614.4050759762117</v>
      </c>
      <c r="CJ106" s="1021">
        <f>(VLOOKUP(YEAR($A106),'NY East Load Projections'!$A$4:$EO$14,((MONTH($A106)-1)*12)+VLOOKUP(CJ$4,$DE$6:$DF$17,2)+1))*(VLOOKUP($A106,CURVES!$D$9:$T$261,7))*(INDEX(DailyScalarsTable,CJ$5/100,MONTH($A106)))*$E106</f>
        <v>-1957.3714125392328</v>
      </c>
      <c r="CK106" s="1021">
        <f>(VLOOKUP(YEAR($A106),'NY East Load Projections'!$A$4:$EO$14,((MONTH($A106)-1)*12)+VLOOKUP(CK$4,$DE$6:$DF$17,2)+1))*(VLOOKUP($A106,CURVES!$D$9:$T$261,7))*(INDEX(DailyScalarsTable,CK$5/100,MONTH($A106)))*$E106</f>
        <v>-2342.0242651485892</v>
      </c>
      <c r="CL106" s="1021">
        <f>(VLOOKUP(YEAR($A106),'NY East Load Projections'!$A$4:$EO$14,((MONTH($A106)-1)*12)+VLOOKUP(CL$4,$DE$6:$DF$17,2)+1))*(VLOOKUP($A106,SatSunCurve,7))*(INDEX(DailyScalarsTable,CL$5/100,MONTH($A106)))*$E106</f>
        <v>-1917.1314284844639</v>
      </c>
      <c r="CM106" s="1021">
        <f>(VLOOKUP(YEAR($A106),'NY East Load Projections'!$A$4:$EO$14,((MONTH($A106)-1)*12)+VLOOKUP(CM$4,$DE$6:$DF$17,2)+1))*(VLOOKUP($A106,SatSunCurve,7))*(INDEX(DailyScalarsTable,CM$5/100,MONTH($A106)))*$E106</f>
        <v>-2311.5472765022296</v>
      </c>
      <c r="CN106" s="1021">
        <f>(VLOOKUP(YEAR($A106),'NY East Load Projections'!$A$4:$EO$14,((MONTH($A106)-1)*12)+VLOOKUP(CN$4,$DE$6:$DF$17,2)+1))*(VLOOKUP($A106,SatSunCurve,7))*(INDEX(DailyScalarsTable,CN$5/100,MONTH($A106)))*$E106</f>
        <v>-2352.5463099733888</v>
      </c>
      <c r="CO106" s="1021">
        <f>(VLOOKUP(YEAR($A106),'NY East Load Projections'!$A$4:$EO$14,((MONTH($A106)-1)*12)+VLOOKUP(CO$4,$DE$6:$DF$17,2)+1))*(VLOOKUP($A106,SatSunCurve,7))*(INDEX(DailyScalarsTable,CO$5/100,MONTH($A106)))*$E106</f>
        <v>-2495.4986921648629</v>
      </c>
      <c r="CP106" s="1021">
        <f>(VLOOKUP(YEAR($A106),'NY East Load Projections'!$A$4:$EO$14,((MONTH($A106)-1)*12)+VLOOKUP(CP$4,$DE$6:$DF$17,2)+1))*(VLOOKUP($A106,SatSunCurve,7))*(INDEX(DailyScalarsTable,CP$5/100,MONTH($A106)))*$E106</f>
        <v>-2476.6318803020276</v>
      </c>
      <c r="CQ106" s="1021">
        <f>(VLOOKUP(YEAR($A106),'NY East Load Projections'!$A$4:$EO$14,((MONTH($A106)-1)*12)+VLOOKUP(CQ$4,$DE$6:$DF$17,2)+1))*(VLOOKUP($A106,SatSunCurve,7))*(INDEX(DailyScalarsTable,CQ$5/100,MONTH($A106)))*$E106</f>
        <v>-2382.9844706291055</v>
      </c>
      <c r="CR106" s="1021">
        <f>(VLOOKUP(YEAR($A106),'NY East Load Projections'!$A$4:$EO$14,((MONTH($A106)-1)*12)+VLOOKUP(CR$4,$DE$6:$DF$17,2)+1))*(VLOOKUP($A106,SatSunCurve,7))*(INDEX(DailyScalarsTable,CR$5/100,MONTH($A106)))*$E106</f>
        <v>-2394.4696258824492</v>
      </c>
      <c r="CS106" s="1021">
        <f>(VLOOKUP(YEAR($A106),'NY East Load Projections'!$A$4:$EO$14,((MONTH($A106)-1)*12)+VLOOKUP(CS$4,$DE$6:$DF$17,2)+1))*(VLOOKUP($A106,SatSunCurve,7))*(INDEX(DailyScalarsTable,CS$5/100,MONTH($A106)))*$E106</f>
        <v>-2322.5947833292703</v>
      </c>
      <c r="CT106" s="1021">
        <f>(VLOOKUP(YEAR($A106),'NY East Load Projections'!$A$4:$EO$14,((MONTH($A106)-1)*12)+VLOOKUP(CT$4,$DE$6:$DF$17,2)+1))*(VLOOKUP($A106,SatSunCurve,7))*(INDEX(DailyScalarsTable,CT$5/100,MONTH($A106)))*$E106</f>
        <v>-2232.1954968190862</v>
      </c>
      <c r="CU106" s="1021">
        <f>(VLOOKUP(YEAR($A106),'NY East Load Projections'!$A$4:$EO$14,((MONTH($A106)-1)*12)+VLOOKUP(CU$4,$DE$6:$DF$17,2)+1))*(VLOOKUP($A106,SatSunCurve,7))*(INDEX(DailyScalarsTable,CU$5/100,MONTH($A106)))*$E106</f>
        <v>-2128.0937822844517</v>
      </c>
      <c r="CV106" s="1021">
        <f>(VLOOKUP(YEAR($A106),'NY East Load Projections'!$A$4:$EO$14,((MONTH($A106)-1)*12)+VLOOKUP(CV$4,$DE$6:$DF$17,2)+1))*(VLOOKUP($A106,SatSunCurve,7))*(INDEX(DailyScalarsTable,CV$5/100,MONTH($A106)))*$E106</f>
        <v>-2045.158409731037</v>
      </c>
      <c r="CW106" s="1021">
        <f>(VLOOKUP(YEAR($A106),'NY East Load Projections'!$A$4:$EO$14,((MONTH($A106)-1)*12)+VLOOKUP(CW$4,$DE$6:$DF$17,2)+1))*(VLOOKUP($A106,SatSunCurve,7))*(INDEX(DailyScalarsTable,CW$5/100,MONTH($A106)))*$E106</f>
        <v>-1771.959535437438</v>
      </c>
      <c r="CX106" s="1021">
        <f>(VLOOKUP(YEAR($A106),'NY East Load Projections'!$A$4:$EO$14,((MONTH($A106)-1)*12)+VLOOKUP(CX$4,$DE$6:$DF$17,2)+1))*(VLOOKUP($A106,SatSunCurve,7))*(INDEX(DailyScalarsTable,CX$5/100,MONTH($A106)))*$E106</f>
        <v>-1767.4294520626725</v>
      </c>
      <c r="CY106" s="1021">
        <f>(VLOOKUP(YEAR($A106),'NY East Load Projections'!$A$4:$EO$14,((MONTH($A106)-1)*12)+VLOOKUP(CY$4,$DE$6:$DF$17,2)+1))*(VLOOKUP($A106,SatSunCurve,7))*(INDEX(DailyScalarsTable,CY$5/100,MONTH($A106)))*$E106</f>
        <v>-2203.9054276070938</v>
      </c>
      <c r="CZ106" s="1021">
        <f>(VLOOKUP(YEAR($A106),'NY East Load Projections'!$A$4:$EO$14,((MONTH($A106)-1)*12)+VLOOKUP(CZ$4,$DE$6:$DF$17,2)+1))*(VLOOKUP($A106,SatSunCurve,7))*(INDEX(DailyScalarsTable,CZ$5/100,MONTH($A106)))*$E106</f>
        <v>-2102.1153017946403</v>
      </c>
      <c r="DA106" s="1021">
        <f>(VLOOKUP(YEAR($A106),'NY East Load Projections'!$A$4:$EO$14,((MONTH($A106)-1)*12)+VLOOKUP(DA$4,$DE$6:$DF$17,2)+1))*(VLOOKUP($A106,SatSunCurve,7))*(INDEX(DailyScalarsTable,DA$5/100,MONTH($A106)))*$E106</f>
        <v>-1686.334136423902</v>
      </c>
      <c r="DB106" s="1021">
        <f>(VLOOKUP(YEAR($A106),'NY East Load Projections'!$A$4:$EO$14,((MONTH($A106)-1)*12)+VLOOKUP(DB$4,$DE$6:$DF$17,2)+1))*(VLOOKUP($A106,CURVES!$D$9:$T$261,7))*(INDEX(DailyScalarsTable,DB$5/100,MONTH($A106)))*$E106</f>
        <v>-2151.5510204344487</v>
      </c>
      <c r="DH106" s="1032">
        <f t="shared" si="2"/>
        <v>-1929166.146200126</v>
      </c>
      <c r="DI106">
        <f ca="1">CALC!J126</f>
        <v>0.5084995006426769</v>
      </c>
      <c r="DJ106" s="1029">
        <f t="shared" ca="1" si="3"/>
        <v>-980980.02199952153</v>
      </c>
    </row>
    <row r="107" spans="1:114" x14ac:dyDescent="0.25">
      <c r="A107" s="244">
        <v>39965</v>
      </c>
      <c r="B107" s="13">
        <v>22</v>
      </c>
      <c r="C107" s="210">
        <v>4</v>
      </c>
      <c r="D107" s="210">
        <v>4</v>
      </c>
      <c r="E107" s="210">
        <v>0</v>
      </c>
      <c r="F107" s="13">
        <v>30</v>
      </c>
      <c r="H107" s="1021">
        <f>(VLOOKUP(YEAR($A107),'NY East Load Projections'!$A$4:$EO$14,((MONTH($A107)-1)*12)+VLOOKUP(H$4,$DE$6:$DF$17,2)+1))*(VLOOKUP($A107,CURVES!$D$9:$K$261,7))*(INDEX(DailyScalarsTable,H$5/100,MONTH($A107)))*$B107</f>
        <v>-45658.122534677728</v>
      </c>
      <c r="I107" s="1021">
        <f>(VLOOKUP(YEAR($A107),'NY East Load Projections'!$A$4:$EO$14,((MONTH($A107)-1)*12)+VLOOKUP(I$4,$DE$6:$DF$17,2)+1))*(VLOOKUP($A107,CURVES!$D$9:$K$261,7))*(INDEX(DailyScalarsTable,I$5/100,MONTH($A107)))*$B107</f>
        <v>-37828.34467487887</v>
      </c>
      <c r="J107" s="1021">
        <f>(VLOOKUP(YEAR($A107),'NY East Load Projections'!$A$4:$EO$14,((MONTH($A107)-1)*12)+VLOOKUP(J$4,$DE$6:$DF$17,2)+1))*(VLOOKUP($A107,CURVES!$D$9:$K$261,7))*(INDEX(DailyScalarsTable,J$5/100,MONTH($A107)))*$B107</f>
        <v>-31798.247099272601</v>
      </c>
      <c r="K107" s="1021">
        <f>(VLOOKUP(YEAR($A107),'NY East Load Projections'!$A$4:$EO$14,((MONTH($A107)-1)*12)+VLOOKUP(K$4,$DE$6:$DF$17,2)+1))*(VLOOKUP($A107,CURVES!$D$9:$K$261,7))*(INDEX(DailyScalarsTable,K$5/100,MONTH($A107)))*$B107</f>
        <v>-29519.431155002792</v>
      </c>
      <c r="L107" s="1021">
        <f>(VLOOKUP(YEAR($A107),'NY East Load Projections'!$A$4:$EO$14,((MONTH($A107)-1)*12)+VLOOKUP(L$4,$DE$6:$DF$17,2)+1))*(VLOOKUP($A107,CURVES!$D$9:$K$261,7))*(INDEX(DailyScalarsTable,L$5/100,MONTH($A107)))*$B107</f>
        <v>-34397.840286260791</v>
      </c>
      <c r="M107" s="1021">
        <f>(VLOOKUP(YEAR($A107),'NY East Load Projections'!$A$4:$EO$14,((MONTH($A107)-1)*12)+VLOOKUP(M$4,$DE$6:$DF$17,2)+1))*(VLOOKUP($A107,CURVES!$D$9:$K$261,7))*(INDEX(DailyScalarsTable,M$5/100,MONTH($A107)))*$B107</f>
        <v>-41967.875940499929</v>
      </c>
      <c r="N107" s="1021">
        <f>(VLOOKUP(YEAR($A107),'NY East Load Projections'!$A$4:$EO$14,((MONTH($A107)-1)*12)+VLOOKUP(N$4,$DE$6:$DF$17,2)+1))*(VLOOKUP($A107,CURVES!$D$9:$K$261,7))*(INDEX(DailyScalarsTable,N$5/100,MONTH($A107)))*$B107</f>
        <v>-48119.314531838536</v>
      </c>
      <c r="O107" s="1021">
        <f>(VLOOKUP(YEAR($A107),'NY East Load Projections'!$A$4:$EO$14,((MONTH($A107)-1)*12)+VLOOKUP(O$4,$DE$6:$DF$17,2)+1))*(VLOOKUP($A107,CURVES!$D$9:$K$261,3))*(INDEX(DailyScalarsTable,O$5/100,MONTH($A107)))*$B107</f>
        <v>-71627.11760958808</v>
      </c>
      <c r="P107" s="1021">
        <f>(VLOOKUP(YEAR($A107),'NY East Load Projections'!$A$4:$EO$14,((MONTH($A107)-1)*12)+VLOOKUP(P$4,$DE$6:$DF$17,2)+1))*(VLOOKUP($A107,CURVES!$D$9:$K$261,3))*(INDEX(DailyScalarsTable,P$5/100,MONTH($A107)))*$B107</f>
        <v>-91778.61550397813</v>
      </c>
      <c r="Q107" s="1021">
        <f>(VLOOKUP(YEAR($A107),'NY East Load Projections'!$A$4:$EO$14,((MONTH($A107)-1)*12)+VLOOKUP(Q$4,$DE$6:$DF$17,2)+1))*(VLOOKUP($A107,CURVES!$D$9:$K$261,3))*(INDEX(DailyScalarsTable,Q$5/100,MONTH($A107)))*$B107</f>
        <v>-102653.69772671066</v>
      </c>
      <c r="R107" s="1021">
        <f>(VLOOKUP(YEAR($A107),'NY East Load Projections'!$A$4:$EO$14,((MONTH($A107)-1)*12)+VLOOKUP(R$4,$DE$6:$DF$17,2)+1))*(VLOOKUP($A107,CURVES!$D$9:$K$261,3))*(INDEX(DailyScalarsTable,R$5/100,MONTH($A107)))*$B107</f>
        <v>-118081.51407523213</v>
      </c>
      <c r="S107" s="1021">
        <f>(VLOOKUP(YEAR($A107),'NY East Load Projections'!$A$4:$EO$14,((MONTH($A107)-1)*12)+VLOOKUP(S$4,$DE$6:$DF$17,2)+1))*(VLOOKUP($A107,CURVES!$D$9:$K$261,3))*(INDEX(DailyScalarsTable,S$5/100,MONTH($A107)))*$B107</f>
        <v>-127347.8563241877</v>
      </c>
      <c r="T107" s="1021">
        <f>(VLOOKUP(YEAR($A107),'NY East Load Projections'!$A$4:$EO$14,((MONTH($A107)-1)*12)+VLOOKUP(T$4,$DE$6:$DF$17,2)+1))*(VLOOKUP($A107,CURVES!$D$9:$K$261,3))*(INDEX(DailyScalarsTable,T$5/100,MONTH($A107)))*$B107</f>
        <v>-135447.79916178301</v>
      </c>
      <c r="U107" s="1021">
        <f>(VLOOKUP(YEAR($A107),'NY East Load Projections'!$A$4:$EO$14,((MONTH($A107)-1)*12)+VLOOKUP(U$4,$DE$6:$DF$17,2)+1))*(VLOOKUP($A107,CURVES!$D$9:$K$261,3))*(INDEX(DailyScalarsTable,U$5/100,MONTH($A107)))*$B107</f>
        <v>-149789.52455321423</v>
      </c>
      <c r="V107" s="1021">
        <f>(VLOOKUP(YEAR($A107),'NY East Load Projections'!$A$4:$EO$14,((MONTH($A107)-1)*12)+VLOOKUP(V$4,$DE$6:$DF$17,2)+1))*(VLOOKUP($A107,CURVES!$D$9:$K$261,3))*(INDEX(DailyScalarsTable,V$5/100,MONTH($A107)))*$B107</f>
        <v>-150942.13164552214</v>
      </c>
      <c r="W107" s="1021">
        <f>(VLOOKUP(YEAR($A107),'NY East Load Projections'!$A$4:$EO$14,((MONTH($A107)-1)*12)+VLOOKUP(W$4,$DE$6:$DF$17,2)+1))*(VLOOKUP($A107,CURVES!$D$9:$K$261,3))*(INDEX(DailyScalarsTable,W$5/100,MONTH($A107)))*$B107</f>
        <v>-151189.11887958809</v>
      </c>
      <c r="X107" s="1021">
        <f>(VLOOKUP(YEAR($A107),'NY East Load Projections'!$A$4:$EO$14,((MONTH($A107)-1)*12)+VLOOKUP(X$4,$DE$6:$DF$17,2)+1))*(VLOOKUP($A107,CURVES!$D$9:$K$261,3))*(INDEX(DailyScalarsTable,X$5/100,MONTH($A107)))*$B107</f>
        <v>-147715.50041835557</v>
      </c>
      <c r="Y107" s="1021">
        <f>(VLOOKUP(YEAR($A107),'NY East Load Projections'!$A$4:$EO$14,((MONTH($A107)-1)*12)+VLOOKUP(Y$4,$DE$6:$DF$17,2)+1))*(VLOOKUP($A107,CURVES!$D$9:$K$261,3))*(INDEX(DailyScalarsTable,Y$5/100,MONTH($A107)))*$B107</f>
        <v>-143330.41911775706</v>
      </c>
      <c r="Z107" s="1021">
        <f>(VLOOKUP(YEAR($A107),'NY East Load Projections'!$A$4:$EO$14,((MONTH($A107)-1)*12)+VLOOKUP(Z$4,$DE$6:$DF$17,2)+1))*(VLOOKUP($A107,CURVES!$D$9:$K$261,3))*(INDEX(DailyScalarsTable,Z$5/100,MONTH($A107)))*$B107</f>
        <v>-122386.51095641483</v>
      </c>
      <c r="AA107" s="1021">
        <f>(VLOOKUP(YEAR($A107),'NY East Load Projections'!$A$4:$EO$14,((MONTH($A107)-1)*12)+VLOOKUP(AA$4,$DE$6:$DF$17,2)+1))*(VLOOKUP($A107,CURVES!$D$9:$K$261,3))*(INDEX(DailyScalarsTable,AA$5/100,MONTH($A107)))*$B107</f>
        <v>-97864.883033573497</v>
      </c>
      <c r="AB107" s="1021">
        <f>(VLOOKUP(YEAR($A107),'NY East Load Projections'!$A$4:$EO$14,((MONTH($A107)-1)*12)+VLOOKUP(AB$4,$DE$6:$DF$17,2)+1))*(VLOOKUP($A107,CURVES!$D$9:$K$261,3))*(INDEX(DailyScalarsTable,AB$5/100,MONTH($A107)))*$B107</f>
        <v>-96668.88657840254</v>
      </c>
      <c r="AC107" s="1021">
        <f>(VLOOKUP(YEAR($A107),'NY East Load Projections'!$A$4:$EO$14,((MONTH($A107)-1)*12)+VLOOKUP(AC$4,$DE$6:$DF$17,2)+1))*(VLOOKUP($A107,CURVES!$D$9:$K$261,3))*(INDEX(DailyScalarsTable,AC$5/100,MONTH($A107)))*$B107</f>
        <v>-98496.357342834992</v>
      </c>
      <c r="AD107" s="1021">
        <f>(VLOOKUP(YEAR($A107),'NY East Load Projections'!$A$4:$EO$14,((MONTH($A107)-1)*12)+VLOOKUP(AD$4,$DE$6:$DF$17,2)+1))*(VLOOKUP($A107,CURVES!$D$9:$K$261,3))*(INDEX(DailyScalarsTable,AD$5/100,MONTH($A107)))*$B107</f>
        <v>-78984.149810784686</v>
      </c>
      <c r="AE107" s="1021">
        <f>(VLOOKUP(YEAR($A107),'NY East Load Projections'!$A$4:$EO$14,((MONTH($A107)-1)*12)+VLOOKUP(AE$4,$DE$6:$DF$17,2)+1))*(VLOOKUP($A107,CURVES!$D$9:$K$261,7))*(INDEX(DailyScalarsTable,AE$5/100,MONTH($A107)))*$B107</f>
        <v>-57709.459381585672</v>
      </c>
      <c r="AF107" s="1021"/>
      <c r="AG107" s="1021">
        <f>(VLOOKUP(YEAR($A107),'NY East Load Projections'!$A$4:$EO$14,((MONTH($A107)-1)*12)+VLOOKUP(AG$4,$DE$6:$DF$17,2)+1))*(VLOOKUP($A107,CURVES!$D$9:$T$261,7))*(INDEX(DailyScalarsTable,AG$5/100,MONTH($A107)))*$C107</f>
        <v>-8441.3474702592848</v>
      </c>
      <c r="AH107" s="1021">
        <f>(VLOOKUP(YEAR($A107),'NY East Load Projections'!$A$4:$EO$14,((MONTH($A107)-1)*12)+VLOOKUP(AH$4,$DE$6:$DF$17,2)+1))*(VLOOKUP($A107,CURVES!$D$9:$T$261,7))*(INDEX(DailyScalarsTable,AH$5/100,MONTH($A107)))*$C107</f>
        <v>-6993.7654879010242</v>
      </c>
      <c r="AI107" s="1021">
        <f>(VLOOKUP(YEAR($A107),'NY East Load Projections'!$A$4:$EO$14,((MONTH($A107)-1)*12)+VLOOKUP(AI$4,$DE$6:$DF$17,2)+1))*(VLOOKUP($A107,CURVES!$D$9:$T$261,7))*(INDEX(DailyScalarsTable,AI$5/100,MONTH($A107)))*$C107</f>
        <v>-5878.9113044728711</v>
      </c>
      <c r="AJ107" s="1021">
        <f>(VLOOKUP(YEAR($A107),'NY East Load Projections'!$A$4:$EO$14,((MONTH($A107)-1)*12)+VLOOKUP(AJ$4,$DE$6:$DF$17,2)+1))*(VLOOKUP($A107,CURVES!$D$9:$T$261,7))*(INDEX(DailyScalarsTable,AJ$5/100,MONTH($A107)))*$C107</f>
        <v>-5457.6001305029313</v>
      </c>
      <c r="AK107" s="1021">
        <f>(VLOOKUP(YEAR($A107),'NY East Load Projections'!$A$4:$EO$14,((MONTH($A107)-1)*12)+VLOOKUP(AK$4,$DE$6:$DF$17,2)+1))*(VLOOKUP($A107,CURVES!$D$9:$T$261,7))*(INDEX(DailyScalarsTable,AK$5/100,MONTH($A107)))*$C107</f>
        <v>-5983.8993771132364</v>
      </c>
      <c r="AL107" s="1021">
        <f>(VLOOKUP(YEAR($A107),'NY East Load Projections'!$A$4:$EO$14,((MONTH($A107)-1)*12)+VLOOKUP(AL$4,$DE$6:$DF$17,2)+1))*(VLOOKUP($A107,CURVES!$D$9:$T$261,7))*(INDEX(DailyScalarsTable,AL$5/100,MONTH($A107)))*$C107</f>
        <v>-7300.7940210545785</v>
      </c>
      <c r="AM107" s="1021">
        <f>(VLOOKUP(YEAR($A107),'NY East Load Projections'!$A$4:$EO$14,((MONTH($A107)-1)*12)+VLOOKUP(AM$4,$DE$6:$DF$17,2)+1))*(VLOOKUP($A107,CURVES!$D$9:$T$261,7))*(INDEX(DailyScalarsTable,AM$5/100,MONTH($A107)))*$C107</f>
        <v>-8370.9074133120539</v>
      </c>
      <c r="AN107" s="1021">
        <f>(VLOOKUP(YEAR($A107),'NY East Load Projections'!$A$4:$EO$14,((MONTH($A107)-1)*12)+VLOOKUP(AN$4,$DE$6:$DF$17,2)+1))*(VLOOKUP($A107,SatSunCurve,3))*(INDEX(DailyScalarsTable,AN$5/100,MONTH($A107)))*$C107</f>
        <v>-6627.391865844721</v>
      </c>
      <c r="AO107" s="1021">
        <f>(VLOOKUP(YEAR($A107),'NY East Load Projections'!$A$4:$EO$14,((MONTH($A107)-1)*12)+VLOOKUP(AO$4,$DE$6:$DF$17,2)+1))*(VLOOKUP($A107,SatSunCurve,3))*(INDEX(DailyScalarsTable,AO$5/100,MONTH($A107)))*$C107</f>
        <v>-8449.1430551237991</v>
      </c>
      <c r="AP107" s="1021">
        <f>(VLOOKUP(YEAR($A107),'NY East Load Projections'!$A$4:$EO$14,((MONTH($A107)-1)*12)+VLOOKUP(AP$4,$DE$6:$DF$17,2)+1))*(VLOOKUP($A107,SatSunCurve,3))*(INDEX(DailyScalarsTable,AP$5/100,MONTH($A107)))*$C107</f>
        <v>-9450.3035643724688</v>
      </c>
      <c r="AQ107" s="1021">
        <f>(VLOOKUP(YEAR($A107),'NY East Load Projections'!$A$4:$EO$14,((MONTH($A107)-1)*12)+VLOOKUP(AQ$4,$DE$6:$DF$17,2)+1))*(VLOOKUP($A107,SatSunCurve,3))*(INDEX(DailyScalarsTable,AQ$5/100,MONTH($A107)))*$C107</f>
        <v>-10870.58896136874</v>
      </c>
      <c r="AR107" s="1021">
        <f>(VLOOKUP(YEAR($A107),'NY East Load Projections'!$A$4:$EO$14,((MONTH($A107)-1)*12)+VLOOKUP(AR$4,$DE$6:$DF$17,2)+1))*(VLOOKUP($A107,SatSunCurve,3))*(INDEX(DailyScalarsTable,AR$5/100,MONTH($A107)))*$C107</f>
        <v>-11723.648803568796</v>
      </c>
      <c r="AS107" s="1021">
        <f>(VLOOKUP(YEAR($A107),'NY East Load Projections'!$A$4:$EO$14,((MONTH($A107)-1)*12)+VLOOKUP(AS$4,$DE$6:$DF$17,2)+1))*(VLOOKUP($A107,SatSunCurve,3))*(INDEX(DailyScalarsTable,AS$5/100,MONTH($A107)))*$C107</f>
        <v>-12491.931222118294</v>
      </c>
      <c r="AT107" s="1021">
        <f>(VLOOKUP(YEAR($A107),'NY East Load Projections'!$A$4:$EO$14,((MONTH($A107)-1)*12)+VLOOKUP(AT$4,$DE$6:$DF$17,2)+1))*(VLOOKUP($A107,SatSunCurve,3))*(INDEX(DailyScalarsTable,AT$5/100,MONTH($A107)))*$C107</f>
        <v>-13814.624158474364</v>
      </c>
      <c r="AU107" s="1021">
        <f>(VLOOKUP(YEAR($A107),'NY East Load Projections'!$A$4:$EO$14,((MONTH($A107)-1)*12)+VLOOKUP(AU$4,$DE$6:$DF$17,2)+1))*(VLOOKUP($A107,SatSunCurve,3))*(INDEX(DailyScalarsTable,AU$5/100,MONTH($A107)))*$C107</f>
        <v>-13920.925542567276</v>
      </c>
      <c r="AV107" s="1021">
        <f>(VLOOKUP(YEAR($A107),'NY East Load Projections'!$A$4:$EO$14,((MONTH($A107)-1)*12)+VLOOKUP(AV$4,$DE$6:$DF$17,2)+1))*(VLOOKUP($A107,SatSunCurve,3))*(INDEX(DailyScalarsTable,AV$5/100,MONTH($A107)))*$C107</f>
        <v>-13943.704410587183</v>
      </c>
      <c r="AW107" s="1021">
        <f>(VLOOKUP(YEAR($A107),'NY East Load Projections'!$A$4:$EO$14,((MONTH($A107)-1)*12)+VLOOKUP(AW$4,$DE$6:$DF$17,2)+1))*(VLOOKUP($A107,SatSunCurve,3))*(INDEX(DailyScalarsTable,AW$5/100,MONTH($A107)))*$C107</f>
        <v>-13548.907673616008</v>
      </c>
      <c r="AX107" s="1021">
        <f>(VLOOKUP(YEAR($A107),'NY East Load Projections'!$A$4:$EO$14,((MONTH($A107)-1)*12)+VLOOKUP(AX$4,$DE$6:$DF$17,2)+1))*(VLOOKUP($A107,SatSunCurve,3))*(INDEX(DailyScalarsTable,AX$5/100,MONTH($A107)))*$C107</f>
        <v>-13146.694896251132</v>
      </c>
      <c r="AY107" s="1021">
        <f>(VLOOKUP(YEAR($A107),'NY East Load Projections'!$A$4:$EO$14,((MONTH($A107)-1)*12)+VLOOKUP(AY$4,$DE$6:$DF$17,2)+1))*(VLOOKUP($A107,SatSunCurve,3))*(INDEX(DailyScalarsTable,AY$5/100,MONTH($A107)))*$C107</f>
        <v>-11225.65697403551</v>
      </c>
      <c r="AZ107" s="1021">
        <f>(VLOOKUP(YEAR($A107),'NY East Load Projections'!$A$4:$EO$14,((MONTH($A107)-1)*12)+VLOOKUP(AZ$4,$DE$6:$DF$17,2)+1))*(VLOOKUP($A107,SatSunCurve,3))*(INDEX(DailyScalarsTable,AZ$5/100,MONTH($A107)))*$C107</f>
        <v>-8976.4598905041439</v>
      </c>
      <c r="BA107" s="1021">
        <f>(VLOOKUP(YEAR($A107),'NY East Load Projections'!$A$4:$EO$14,((MONTH($A107)-1)*12)+VLOOKUP(BA$4,$DE$6:$DF$17,2)+1))*(VLOOKUP($A107,SatSunCurve,3))*(INDEX(DailyScalarsTable,BA$5/100,MONTH($A107)))*$C107</f>
        <v>-9263.0830273093543</v>
      </c>
      <c r="BB107" s="1021">
        <f>(VLOOKUP(YEAR($A107),'NY East Load Projections'!$A$4:$EO$14,((MONTH($A107)-1)*12)+VLOOKUP(BB$4,$DE$6:$DF$17,2)+1))*(VLOOKUP($A107,SatSunCurve,3))*(INDEX(DailyScalarsTable,BB$5/100,MONTH($A107)))*$C107</f>
        <v>-9438.1963861167824</v>
      </c>
      <c r="BC107" s="1021">
        <f>(VLOOKUP(YEAR($A107),'NY East Load Projections'!$A$4:$EO$14,((MONTH($A107)-1)*12)+VLOOKUP(BC$4,$DE$6:$DF$17,2)+1))*(VLOOKUP($A107,SatSunCurve,3))*(INDEX(DailyScalarsTable,BC$5/100,MONTH($A107)))*$C107</f>
        <v>-7568.482098377649</v>
      </c>
      <c r="BD107" s="1021">
        <f>(VLOOKUP(YEAR($A107),'NY East Load Projections'!$A$4:$EO$14,((MONTH($A107)-1)*12)+VLOOKUP(BD$4,$DE$6:$DF$17,2)+1))*(VLOOKUP($A107,CURVES!$D$9:$T$261,7))*(INDEX(DailyScalarsTable,BD$5/100,MONTH($A107)))*$C107</f>
        <v>-10396.897846647556</v>
      </c>
      <c r="BE107" s="1021"/>
      <c r="BF107" s="1021">
        <f>(VLOOKUP(YEAR($A107),'NY East Load Projections'!$A$4:$EO$14,((MONTH($A107)-1)*12)+VLOOKUP(BF$4,$DE$6:$DF$17,2)+1))*(VLOOKUP($A107,CURVES!$D$9:$T$261,7))*(INDEX(DailyScalarsTable,BF$5/100,MONTH($A107)))*$D107</f>
        <v>-8441.3474702592848</v>
      </c>
      <c r="BG107" s="1021">
        <f>(VLOOKUP(YEAR($A107),'NY East Load Projections'!$A$4:$EO$14,((MONTH($A107)-1)*12)+VLOOKUP(BG$4,$DE$6:$DF$17,2)+1))*(VLOOKUP($A107,CURVES!$D$9:$T$261,7))*(INDEX(DailyScalarsTable,BG$5/100,MONTH($A107)))*$D107</f>
        <v>-6993.7654879010242</v>
      </c>
      <c r="BH107" s="1021">
        <f>(VLOOKUP(YEAR($A107),'NY East Load Projections'!$A$4:$EO$14,((MONTH($A107)-1)*12)+VLOOKUP(BH$4,$DE$6:$DF$17,2)+1))*(VLOOKUP($A107,CURVES!$D$9:$T$261,7))*(INDEX(DailyScalarsTable,BH$5/100,MONTH($A107)))*$D107</f>
        <v>-5878.9113044728711</v>
      </c>
      <c r="BI107" s="1021">
        <f>(VLOOKUP(YEAR($A107),'NY East Load Projections'!$A$4:$EO$14,((MONTH($A107)-1)*12)+VLOOKUP(BI$4,$DE$6:$DF$17,2)+1))*(VLOOKUP($A107,CURVES!$D$9:$T$261,7))*(INDEX(DailyScalarsTable,BI$5/100,MONTH($A107)))*$D107</f>
        <v>-5457.6001305029313</v>
      </c>
      <c r="BJ107" s="1021">
        <f>(VLOOKUP(YEAR($A107),'NY East Load Projections'!$A$4:$EO$14,((MONTH($A107)-1)*12)+VLOOKUP(BJ$4,$DE$6:$DF$17,2)+1))*(VLOOKUP($A107,CURVES!$D$9:$T$261,7))*(INDEX(DailyScalarsTable,BJ$5/100,MONTH($A107)))*$D107</f>
        <v>-5983.8993771132364</v>
      </c>
      <c r="BK107" s="1021">
        <f>(VLOOKUP(YEAR($A107),'NY East Load Projections'!$A$4:$EO$14,((MONTH($A107)-1)*12)+VLOOKUP(BK$4,$DE$6:$DF$17,2)+1))*(VLOOKUP($A107,CURVES!$D$9:$T$261,7))*(INDEX(DailyScalarsTable,BK$5/100,MONTH($A107)))*$D107</f>
        <v>-7300.7940210545785</v>
      </c>
      <c r="BL107" s="1021">
        <f>(VLOOKUP(YEAR($A107),'NY East Load Projections'!$A$4:$EO$14,((MONTH($A107)-1)*12)+VLOOKUP(BL$4,$DE$6:$DF$17,2)+1))*(VLOOKUP($A107,CURVES!$D$9:$T$261,7))*(INDEX(DailyScalarsTable,BL$5/100,MONTH($A107)))*$D107</f>
        <v>-8370.9074133120539</v>
      </c>
      <c r="BM107" s="1021">
        <f>(VLOOKUP(YEAR($A107),'NY East Load Projections'!$A$4:$EO$14,((MONTH($A107)-1)*12)+VLOOKUP(BM$4,$DE$6:$DF$17,2)+1))*(VLOOKUP($A107,SatSunCurve,7))*(INDEX(DailyScalarsTable,BM$5/100,MONTH($A107)))*$D107</f>
        <v>-5043.1025624428303</v>
      </c>
      <c r="BN107" s="1021">
        <f>(VLOOKUP(YEAR($A107),'NY East Load Projections'!$A$4:$EO$14,((MONTH($A107)-1)*12)+VLOOKUP(BN$4,$DE$6:$DF$17,2)+1))*(VLOOKUP($A107,SatSunCurve,7))*(INDEX(DailyScalarsTable,BN$5/100,MONTH($A107)))*$D107</f>
        <v>-6429.3610298400336</v>
      </c>
      <c r="BO107" s="1021">
        <f>(VLOOKUP(YEAR($A107),'NY East Load Projections'!$A$4:$EO$14,((MONTH($A107)-1)*12)+VLOOKUP(BO$4,$DE$6:$DF$17,2)+1))*(VLOOKUP($A107,SatSunCurve,7))*(INDEX(DailyScalarsTable,BO$5/100,MONTH($A107)))*$D107</f>
        <v>-7191.1924156720843</v>
      </c>
      <c r="BP107" s="1021">
        <f>(VLOOKUP(YEAR($A107),'NY East Load Projections'!$A$4:$EO$14,((MONTH($A107)-1)*12)+VLOOKUP(BP$4,$DE$6:$DF$17,2)+1))*(VLOOKUP($A107,SatSunCurve,7))*(INDEX(DailyScalarsTable,BP$5/100,MONTH($A107)))*$D107</f>
        <v>-8271.9561716083826</v>
      </c>
      <c r="BQ107" s="1021">
        <f>(VLOOKUP(YEAR($A107),'NY East Load Projections'!$A$4:$EO$14,((MONTH($A107)-1)*12)+VLOOKUP(BQ$4,$DE$6:$DF$17,2)+1))*(VLOOKUP($A107,SatSunCurve,7))*(INDEX(DailyScalarsTable,BQ$5/100,MONTH($A107)))*$D107</f>
        <v>-8921.0906068735658</v>
      </c>
      <c r="BR107" s="1021">
        <f>(VLOOKUP(YEAR($A107),'NY East Load Projections'!$A$4:$EO$14,((MONTH($A107)-1)*12)+VLOOKUP(BR$4,$DE$6:$DF$17,2)+1))*(VLOOKUP($A107,SatSunCurve,7))*(INDEX(DailyScalarsTable,BR$5/100,MONTH($A107)))*$D107</f>
        <v>-9505.7138058780965</v>
      </c>
      <c r="BS107" s="1021">
        <f>(VLOOKUP(YEAR($A107),'NY East Load Projections'!$A$4:$EO$14,((MONTH($A107)-1)*12)+VLOOKUP(BS$4,$DE$6:$DF$17,2)+1))*(VLOOKUP($A107,SatSunCurve,7))*(INDEX(DailyScalarsTable,BS$5/100,MONTH($A107)))*$D107</f>
        <v>-10512.2147449639</v>
      </c>
      <c r="BT107" s="1021">
        <f>(VLOOKUP(YEAR($A107),'NY East Load Projections'!$A$4:$EO$14,((MONTH($A107)-1)*12)+VLOOKUP(BT$4,$DE$6:$DF$17,2)+1))*(VLOOKUP($A107,SatSunCurve,7))*(INDEX(DailyScalarsTable,BT$5/100,MONTH($A107)))*$D107</f>
        <v>-10593.104602295713</v>
      </c>
      <c r="BU107" s="1021">
        <f>(VLOOKUP(YEAR($A107),'NY East Load Projections'!$A$4:$EO$14,((MONTH($A107)-1)*12)+VLOOKUP(BU$4,$DE$6:$DF$17,2)+1))*(VLOOKUP($A107,SatSunCurve,7))*(INDEX(DailyScalarsTable,BU$5/100,MONTH($A107)))*$D107</f>
        <v>-10610.438143152525</v>
      </c>
      <c r="BV107" s="1021">
        <f>(VLOOKUP(YEAR($A107),'NY East Load Projections'!$A$4:$EO$14,((MONTH($A107)-1)*12)+VLOOKUP(BV$4,$DE$6:$DF$17,2)+1))*(VLOOKUP($A107,SatSunCurve,7))*(INDEX(DailyScalarsTable,BV$5/100,MONTH($A107)))*$D107</f>
        <v>-10310.01823798224</v>
      </c>
      <c r="BW107" s="1021">
        <f>(VLOOKUP(YEAR($A107),'NY East Load Projections'!$A$4:$EO$14,((MONTH($A107)-1)*12)+VLOOKUP(BW$4,$DE$6:$DF$17,2)+1))*(VLOOKUP($A107,SatSunCurve,7))*(INDEX(DailyScalarsTable,BW$5/100,MONTH($A107)))*$D107</f>
        <v>-10003.955109494285</v>
      </c>
      <c r="BX107" s="1021">
        <f>(VLOOKUP(YEAR($A107),'NY East Load Projections'!$A$4:$EO$14,((MONTH($A107)-1)*12)+VLOOKUP(BX$4,$DE$6:$DF$17,2)+1))*(VLOOKUP($A107,SatSunCurve,7))*(INDEX(DailyScalarsTable,BX$5/100,MONTH($A107)))*$D107</f>
        <v>-8542.1445716258368</v>
      </c>
      <c r="BY107" s="1021">
        <f>(VLOOKUP(YEAR($A107),'NY East Load Projections'!$A$4:$EO$14,((MONTH($A107)-1)*12)+VLOOKUP(BY$4,$DE$6:$DF$17,2)+1))*(VLOOKUP($A107,SatSunCurve,7))*(INDEX(DailyScalarsTable,BY$5/100,MONTH($A107)))*$D107</f>
        <v>-6830.6218783845479</v>
      </c>
      <c r="BZ107" s="1021">
        <f>(VLOOKUP(YEAR($A107),'NY East Load Projections'!$A$4:$EO$14,((MONTH($A107)-1)*12)+VLOOKUP(BZ$4,$DE$6:$DF$17,2)+1))*(VLOOKUP($A107,SatSunCurve,7))*(INDEX(DailyScalarsTable,BZ$5/100,MONTH($A107)))*$D107</f>
        <v>-7048.7272665881947</v>
      </c>
      <c r="CA107" s="1021">
        <f>(VLOOKUP(YEAR($A107),'NY East Load Projections'!$A$4:$EO$14,((MONTH($A107)-1)*12)+VLOOKUP(CA$4,$DE$6:$DF$17,2)+1))*(VLOOKUP($A107,SatSunCurve,7))*(INDEX(DailyScalarsTable,CA$5/100,MONTH($A107)))*$D107</f>
        <v>-7181.979478981274</v>
      </c>
      <c r="CB107" s="1021">
        <f>(VLOOKUP(YEAR($A107),'NY East Load Projections'!$A$4:$EO$14,((MONTH($A107)-1)*12)+VLOOKUP(CB$4,$DE$6:$DF$17,2)+1))*(VLOOKUP($A107,SatSunCurve,7))*(INDEX(DailyScalarsTable,CB$5/100,MONTH($A107)))*$D107</f>
        <v>-5759.2235734299793</v>
      </c>
      <c r="CC107" s="1021">
        <f>(VLOOKUP(YEAR($A107),'NY East Load Projections'!$A$4:$EO$14,((MONTH($A107)-1)*12)+VLOOKUP(CC$4,$DE$6:$DF$17,2)+1))*(VLOOKUP($A107,CURVES!$D$9:$T$261,7))*(INDEX(DailyScalarsTable,CC$5/100,MONTH($A107)))*$D107</f>
        <v>-10396.897846647556</v>
      </c>
      <c r="CE107" s="1021">
        <f>(VLOOKUP(YEAR($A107),'NY East Load Projections'!$A$4:$EO$14,((MONTH($A107)-1)*12)+VLOOKUP(CE$4,$DE$6:$DF$17,2)+1))*(VLOOKUP($A107,CURVES!$D$9:$T$261,7))*(INDEX(DailyScalarsTable,CE$5/100,MONTH($A107)))*$E107</f>
        <v>0</v>
      </c>
      <c r="CF107" s="1021">
        <f>(VLOOKUP(YEAR($A107),'NY East Load Projections'!$A$4:$EO$14,((MONTH($A107)-1)*12)+VLOOKUP(CF$4,$DE$6:$DF$17,2)+1))*(VLOOKUP($A107,CURVES!$D$9:$T$261,7))*(INDEX(DailyScalarsTable,CF$5/100,MONTH($A107)))*$E107</f>
        <v>0</v>
      </c>
      <c r="CG107" s="1021">
        <f>(VLOOKUP(YEAR($A107),'NY East Load Projections'!$A$4:$EO$14,((MONTH($A107)-1)*12)+VLOOKUP(CG$4,$DE$6:$DF$17,2)+1))*(VLOOKUP($A107,CURVES!$D$9:$T$261,7))*(INDEX(DailyScalarsTable,CG$5/100,MONTH($A107)))*$E107</f>
        <v>0</v>
      </c>
      <c r="CH107" s="1021">
        <f>(VLOOKUP(YEAR($A107),'NY East Load Projections'!$A$4:$EO$14,((MONTH($A107)-1)*12)+VLOOKUP(CH$4,$DE$6:$DF$17,2)+1))*(VLOOKUP($A107,CURVES!$D$9:$T$261,7))*(INDEX(DailyScalarsTable,CH$5/100,MONTH($A107)))*$E107</f>
        <v>0</v>
      </c>
      <c r="CI107" s="1021">
        <f>(VLOOKUP(YEAR($A107),'NY East Load Projections'!$A$4:$EO$14,((MONTH($A107)-1)*12)+VLOOKUP(CI$4,$DE$6:$DF$17,2)+1))*(VLOOKUP($A107,CURVES!$D$9:$T$261,7))*(INDEX(DailyScalarsTable,CI$5/100,MONTH($A107)))*$E107</f>
        <v>0</v>
      </c>
      <c r="CJ107" s="1021">
        <f>(VLOOKUP(YEAR($A107),'NY East Load Projections'!$A$4:$EO$14,((MONTH($A107)-1)*12)+VLOOKUP(CJ$4,$DE$6:$DF$17,2)+1))*(VLOOKUP($A107,CURVES!$D$9:$T$261,7))*(INDEX(DailyScalarsTable,CJ$5/100,MONTH($A107)))*$E107</f>
        <v>0</v>
      </c>
      <c r="CK107" s="1021">
        <f>(VLOOKUP(YEAR($A107),'NY East Load Projections'!$A$4:$EO$14,((MONTH($A107)-1)*12)+VLOOKUP(CK$4,$DE$6:$DF$17,2)+1))*(VLOOKUP($A107,CURVES!$D$9:$T$261,7))*(INDEX(DailyScalarsTable,CK$5/100,MONTH($A107)))*$E107</f>
        <v>0</v>
      </c>
      <c r="CL107" s="1021">
        <f>(VLOOKUP(YEAR($A107),'NY East Load Projections'!$A$4:$EO$14,((MONTH($A107)-1)*12)+VLOOKUP(CL$4,$DE$6:$DF$17,2)+1))*(VLOOKUP($A107,SatSunCurve,7))*(INDEX(DailyScalarsTable,CL$5/100,MONTH($A107)))*$E107</f>
        <v>0</v>
      </c>
      <c r="CM107" s="1021">
        <f>(VLOOKUP(YEAR($A107),'NY East Load Projections'!$A$4:$EO$14,((MONTH($A107)-1)*12)+VLOOKUP(CM$4,$DE$6:$DF$17,2)+1))*(VLOOKUP($A107,SatSunCurve,7))*(INDEX(DailyScalarsTable,CM$5/100,MONTH($A107)))*$E107</f>
        <v>0</v>
      </c>
      <c r="CN107" s="1021">
        <f>(VLOOKUP(YEAR($A107),'NY East Load Projections'!$A$4:$EO$14,((MONTH($A107)-1)*12)+VLOOKUP(CN$4,$DE$6:$DF$17,2)+1))*(VLOOKUP($A107,SatSunCurve,7))*(INDEX(DailyScalarsTable,CN$5/100,MONTH($A107)))*$E107</f>
        <v>0</v>
      </c>
      <c r="CO107" s="1021">
        <f>(VLOOKUP(YEAR($A107),'NY East Load Projections'!$A$4:$EO$14,((MONTH($A107)-1)*12)+VLOOKUP(CO$4,$DE$6:$DF$17,2)+1))*(VLOOKUP($A107,SatSunCurve,7))*(INDEX(DailyScalarsTable,CO$5/100,MONTH($A107)))*$E107</f>
        <v>0</v>
      </c>
      <c r="CP107" s="1021">
        <f>(VLOOKUP(YEAR($A107),'NY East Load Projections'!$A$4:$EO$14,((MONTH($A107)-1)*12)+VLOOKUP(CP$4,$DE$6:$DF$17,2)+1))*(VLOOKUP($A107,SatSunCurve,7))*(INDEX(DailyScalarsTable,CP$5/100,MONTH($A107)))*$E107</f>
        <v>0</v>
      </c>
      <c r="CQ107" s="1021">
        <f>(VLOOKUP(YEAR($A107),'NY East Load Projections'!$A$4:$EO$14,((MONTH($A107)-1)*12)+VLOOKUP(CQ$4,$DE$6:$DF$17,2)+1))*(VLOOKUP($A107,SatSunCurve,7))*(INDEX(DailyScalarsTable,CQ$5/100,MONTH($A107)))*$E107</f>
        <v>0</v>
      </c>
      <c r="CR107" s="1021">
        <f>(VLOOKUP(YEAR($A107),'NY East Load Projections'!$A$4:$EO$14,((MONTH($A107)-1)*12)+VLOOKUP(CR$4,$DE$6:$DF$17,2)+1))*(VLOOKUP($A107,SatSunCurve,7))*(INDEX(DailyScalarsTable,CR$5/100,MONTH($A107)))*$E107</f>
        <v>0</v>
      </c>
      <c r="CS107" s="1021">
        <f>(VLOOKUP(YEAR($A107),'NY East Load Projections'!$A$4:$EO$14,((MONTH($A107)-1)*12)+VLOOKUP(CS$4,$DE$6:$DF$17,2)+1))*(VLOOKUP($A107,SatSunCurve,7))*(INDEX(DailyScalarsTable,CS$5/100,MONTH($A107)))*$E107</f>
        <v>0</v>
      </c>
      <c r="CT107" s="1021">
        <f>(VLOOKUP(YEAR($A107),'NY East Load Projections'!$A$4:$EO$14,((MONTH($A107)-1)*12)+VLOOKUP(CT$4,$DE$6:$DF$17,2)+1))*(VLOOKUP($A107,SatSunCurve,7))*(INDEX(DailyScalarsTable,CT$5/100,MONTH($A107)))*$E107</f>
        <v>0</v>
      </c>
      <c r="CU107" s="1021">
        <f>(VLOOKUP(YEAR($A107),'NY East Load Projections'!$A$4:$EO$14,((MONTH($A107)-1)*12)+VLOOKUP(CU$4,$DE$6:$DF$17,2)+1))*(VLOOKUP($A107,SatSunCurve,7))*(INDEX(DailyScalarsTable,CU$5/100,MONTH($A107)))*$E107</f>
        <v>0</v>
      </c>
      <c r="CV107" s="1021">
        <f>(VLOOKUP(YEAR($A107),'NY East Load Projections'!$A$4:$EO$14,((MONTH($A107)-1)*12)+VLOOKUP(CV$4,$DE$6:$DF$17,2)+1))*(VLOOKUP($A107,SatSunCurve,7))*(INDEX(DailyScalarsTable,CV$5/100,MONTH($A107)))*$E107</f>
        <v>0</v>
      </c>
      <c r="CW107" s="1021">
        <f>(VLOOKUP(YEAR($A107),'NY East Load Projections'!$A$4:$EO$14,((MONTH($A107)-1)*12)+VLOOKUP(CW$4,$DE$6:$DF$17,2)+1))*(VLOOKUP($A107,SatSunCurve,7))*(INDEX(DailyScalarsTable,CW$5/100,MONTH($A107)))*$E107</f>
        <v>0</v>
      </c>
      <c r="CX107" s="1021">
        <f>(VLOOKUP(YEAR($A107),'NY East Load Projections'!$A$4:$EO$14,((MONTH($A107)-1)*12)+VLOOKUP(CX$4,$DE$6:$DF$17,2)+1))*(VLOOKUP($A107,SatSunCurve,7))*(INDEX(DailyScalarsTable,CX$5/100,MONTH($A107)))*$E107</f>
        <v>0</v>
      </c>
      <c r="CY107" s="1021">
        <f>(VLOOKUP(YEAR($A107),'NY East Load Projections'!$A$4:$EO$14,((MONTH($A107)-1)*12)+VLOOKUP(CY$4,$DE$6:$DF$17,2)+1))*(VLOOKUP($A107,SatSunCurve,7))*(INDEX(DailyScalarsTable,CY$5/100,MONTH($A107)))*$E107</f>
        <v>0</v>
      </c>
      <c r="CZ107" s="1021">
        <f>(VLOOKUP(YEAR($A107),'NY East Load Projections'!$A$4:$EO$14,((MONTH($A107)-1)*12)+VLOOKUP(CZ$4,$DE$6:$DF$17,2)+1))*(VLOOKUP($A107,SatSunCurve,7))*(INDEX(DailyScalarsTable,CZ$5/100,MONTH($A107)))*$E107</f>
        <v>0</v>
      </c>
      <c r="DA107" s="1021">
        <f>(VLOOKUP(YEAR($A107),'NY East Load Projections'!$A$4:$EO$14,((MONTH($A107)-1)*12)+VLOOKUP(DA$4,$DE$6:$DF$17,2)+1))*(VLOOKUP($A107,SatSunCurve,7))*(INDEX(DailyScalarsTable,DA$5/100,MONTH($A107)))*$E107</f>
        <v>0</v>
      </c>
      <c r="DB107" s="1021">
        <f>(VLOOKUP(YEAR($A107),'NY East Load Projections'!$A$4:$EO$14,((MONTH($A107)-1)*12)+VLOOKUP(DB$4,$DE$6:$DF$17,2)+1))*(VLOOKUP($A107,CURVES!$D$9:$T$261,7))*(INDEX(DailyScalarsTable,DB$5/100,MONTH($A107)))*$E107</f>
        <v>0</v>
      </c>
      <c r="DH107" s="1032">
        <f t="shared" si="2"/>
        <v>-2636165.5511739212</v>
      </c>
      <c r="DI107">
        <f ca="1">CALC!J127</f>
        <v>0.50540161644795423</v>
      </c>
      <c r="DJ107" s="1029">
        <f t="shared" ca="1" si="3"/>
        <v>-1332322.330787712</v>
      </c>
    </row>
    <row r="108" spans="1:114" x14ac:dyDescent="0.25">
      <c r="A108" s="244">
        <v>39995</v>
      </c>
      <c r="B108" s="13">
        <v>23</v>
      </c>
      <c r="C108" s="210">
        <v>3</v>
      </c>
      <c r="D108" s="210">
        <v>4</v>
      </c>
      <c r="E108" s="210">
        <v>1</v>
      </c>
      <c r="F108" s="13">
        <v>31</v>
      </c>
      <c r="H108" s="1021">
        <f>(VLOOKUP(YEAR($A108),'NY East Load Projections'!$A$4:$EO$14,((MONTH($A108)-1)*12)+VLOOKUP(H$4,$DE$6:$DF$17,2)+1))*(VLOOKUP($A108,CURVES!$D$9:$K$261,7))*(INDEX(DailyScalarsTable,H$5/100,MONTH($A108)))*$B108</f>
        <v>-58122.9048187515</v>
      </c>
      <c r="I108" s="1021">
        <f>(VLOOKUP(YEAR($A108),'NY East Load Projections'!$A$4:$EO$14,((MONTH($A108)-1)*12)+VLOOKUP(I$4,$DE$6:$DF$17,2)+1))*(VLOOKUP($A108,CURVES!$D$9:$K$261,7))*(INDEX(DailyScalarsTable,I$5/100,MONTH($A108)))*$B108</f>
        <v>-53091.403602232538</v>
      </c>
      <c r="J108" s="1021">
        <f>(VLOOKUP(YEAR($A108),'NY East Load Projections'!$A$4:$EO$14,((MONTH($A108)-1)*12)+VLOOKUP(J$4,$DE$6:$DF$17,2)+1))*(VLOOKUP($A108,CURVES!$D$9:$K$261,7))*(INDEX(DailyScalarsTable,J$5/100,MONTH($A108)))*$B108</f>
        <v>-50586.985203920194</v>
      </c>
      <c r="K108" s="1021">
        <f>(VLOOKUP(YEAR($A108),'NY East Load Projections'!$A$4:$EO$14,((MONTH($A108)-1)*12)+VLOOKUP(K$4,$DE$6:$DF$17,2)+1))*(VLOOKUP($A108,CURVES!$D$9:$K$261,7))*(INDEX(DailyScalarsTable,K$5/100,MONTH($A108)))*$B108</f>
        <v>-45555.48398740124</v>
      </c>
      <c r="L108" s="1021">
        <f>(VLOOKUP(YEAR($A108),'NY East Load Projections'!$A$4:$EO$14,((MONTH($A108)-1)*12)+VLOOKUP(L$4,$DE$6:$DF$17,2)+1))*(VLOOKUP($A108,CURVES!$D$9:$K$261,7))*(INDEX(DailyScalarsTable,L$5/100,MONTH($A108)))*$B108</f>
        <v>-46178.513970716136</v>
      </c>
      <c r="M108" s="1021">
        <f>(VLOOKUP(YEAR($A108),'NY East Load Projections'!$A$4:$EO$14,((MONTH($A108)-1)*12)+VLOOKUP(M$4,$DE$6:$DF$17,2)+1))*(VLOOKUP($A108,CURVES!$D$9:$K$261,7))*(INDEX(DailyScalarsTable,M$5/100,MONTH($A108)))*$B108</f>
        <v>-50910.117472432576</v>
      </c>
      <c r="N108" s="1021">
        <f>(VLOOKUP(YEAR($A108),'NY East Load Projections'!$A$4:$EO$14,((MONTH($A108)-1)*12)+VLOOKUP(N$4,$DE$6:$DF$17,2)+1))*(VLOOKUP($A108,CURVES!$D$9:$K$261,7))*(INDEX(DailyScalarsTable,N$5/100,MONTH($A108)))*$B108</f>
        <v>-56537.216266034004</v>
      </c>
      <c r="O108" s="1021">
        <f>(VLOOKUP(YEAR($A108),'NY East Load Projections'!$A$4:$EO$14,((MONTH($A108)-1)*12)+VLOOKUP(O$4,$DE$6:$DF$17,2)+1))*(VLOOKUP($A108,CURVES!$D$9:$K$261,3))*(INDEX(DailyScalarsTable,O$5/100,MONTH($A108)))*$B108</f>
        <v>-100246.89897437685</v>
      </c>
      <c r="P108" s="1021">
        <f>(VLOOKUP(YEAR($A108),'NY East Load Projections'!$A$4:$EO$14,((MONTH($A108)-1)*12)+VLOOKUP(P$4,$DE$6:$DF$17,2)+1))*(VLOOKUP($A108,CURVES!$D$9:$K$261,3))*(INDEX(DailyScalarsTable,P$5/100,MONTH($A108)))*$B108</f>
        <v>-120454.36103264525</v>
      </c>
      <c r="Q108" s="1021">
        <f>(VLOOKUP(YEAR($A108),'NY East Load Projections'!$A$4:$EO$14,((MONTH($A108)-1)*12)+VLOOKUP(Q$4,$DE$6:$DF$17,2)+1))*(VLOOKUP($A108,CURVES!$D$9:$K$261,3))*(INDEX(DailyScalarsTable,Q$5/100,MONTH($A108)))*$B108</f>
        <v>-144216.89059423495</v>
      </c>
      <c r="R108" s="1021">
        <f>(VLOOKUP(YEAR($A108),'NY East Load Projections'!$A$4:$EO$14,((MONTH($A108)-1)*12)+VLOOKUP(R$4,$DE$6:$DF$17,2)+1))*(VLOOKUP($A108,CURVES!$D$9:$K$261,3))*(INDEX(DailyScalarsTable,R$5/100,MONTH($A108)))*$B108</f>
        <v>-164103.62295525198</v>
      </c>
      <c r="S108" s="1021">
        <f>(VLOOKUP(YEAR($A108),'NY East Load Projections'!$A$4:$EO$14,((MONTH($A108)-1)*12)+VLOOKUP(S$4,$DE$6:$DF$17,2)+1))*(VLOOKUP($A108,CURVES!$D$9:$K$261,3))*(INDEX(DailyScalarsTable,S$5/100,MONTH($A108)))*$B108</f>
        <v>-196193.19279056124</v>
      </c>
      <c r="T108" s="1021">
        <f>(VLOOKUP(YEAR($A108),'NY East Load Projections'!$A$4:$EO$14,((MONTH($A108)-1)*12)+VLOOKUP(T$4,$DE$6:$DF$17,2)+1))*(VLOOKUP($A108,CURVES!$D$9:$K$261,3))*(INDEX(DailyScalarsTable,T$5/100,MONTH($A108)))*$B108</f>
        <v>-220057.11509402248</v>
      </c>
      <c r="U108" s="1021">
        <f>(VLOOKUP(YEAR($A108),'NY East Load Projections'!$A$4:$EO$14,((MONTH($A108)-1)*12)+VLOOKUP(U$4,$DE$6:$DF$17,2)+1))*(VLOOKUP($A108,CURVES!$D$9:$K$261,3))*(INDEX(DailyScalarsTable,U$5/100,MONTH($A108)))*$B108</f>
        <v>-227463.54586190198</v>
      </c>
      <c r="V108" s="1021">
        <f>(VLOOKUP(YEAR($A108),'NY East Load Projections'!$A$4:$EO$14,((MONTH($A108)-1)*12)+VLOOKUP(V$4,$DE$6:$DF$17,2)+1))*(VLOOKUP($A108,CURVES!$D$9:$K$261,3))*(INDEX(DailyScalarsTable,V$5/100,MONTH($A108)))*$B108</f>
        <v>-236936.88754174797</v>
      </c>
      <c r="W108" s="1021">
        <f>(VLOOKUP(YEAR($A108),'NY East Load Projections'!$A$4:$EO$14,((MONTH($A108)-1)*12)+VLOOKUP(W$4,$DE$6:$DF$17,2)+1))*(VLOOKUP($A108,CURVES!$D$9:$K$261,3))*(INDEX(DailyScalarsTable,W$5/100,MONTH($A108)))*$B108</f>
        <v>-251456.93669831197</v>
      </c>
      <c r="X108" s="1021">
        <f>(VLOOKUP(YEAR($A108),'NY East Load Projections'!$A$4:$EO$14,((MONTH($A108)-1)*12)+VLOOKUP(X$4,$DE$6:$DF$17,2)+1))*(VLOOKUP($A108,CURVES!$D$9:$K$261,3))*(INDEX(DailyScalarsTable,X$5/100,MONTH($A108)))*$B108</f>
        <v>-248225.24752625427</v>
      </c>
      <c r="Y108" s="1021">
        <f>(VLOOKUP(YEAR($A108),'NY East Load Projections'!$A$4:$EO$14,((MONTH($A108)-1)*12)+VLOOKUP(Y$4,$DE$6:$DF$17,2)+1))*(VLOOKUP($A108,CURVES!$D$9:$K$261,3))*(INDEX(DailyScalarsTable,Y$5/100,MONTH($A108)))*$B108</f>
        <v>-242074.20888968263</v>
      </c>
      <c r="Z108" s="1021">
        <f>(VLOOKUP(YEAR($A108),'NY East Load Projections'!$A$4:$EO$14,((MONTH($A108)-1)*12)+VLOOKUP(Z$4,$DE$6:$DF$17,2)+1))*(VLOOKUP($A108,CURVES!$D$9:$K$261,3))*(INDEX(DailyScalarsTable,Z$5/100,MONTH($A108)))*$B108</f>
        <v>-202184.13989966677</v>
      </c>
      <c r="AA108" s="1021">
        <f>(VLOOKUP(YEAR($A108),'NY East Load Projections'!$A$4:$EO$14,((MONTH($A108)-1)*12)+VLOOKUP(AA$4,$DE$6:$DF$17,2)+1))*(VLOOKUP($A108,CURVES!$D$9:$K$261,3))*(INDEX(DailyScalarsTable,AA$5/100,MONTH($A108)))*$B108</f>
        <v>-149608.59556430945</v>
      </c>
      <c r="AB108" s="1021">
        <f>(VLOOKUP(YEAR($A108),'NY East Load Projections'!$A$4:$EO$14,((MONTH($A108)-1)*12)+VLOOKUP(AB$4,$DE$6:$DF$17,2)+1))*(VLOOKUP($A108,CURVES!$D$9:$K$261,3))*(INDEX(DailyScalarsTable,AB$5/100,MONTH($A108)))*$B108</f>
        <v>-150834.53570786826</v>
      </c>
      <c r="AC108" s="1021">
        <f>(VLOOKUP(YEAR($A108),'NY East Load Projections'!$A$4:$EO$14,((MONTH($A108)-1)*12)+VLOOKUP(AC$4,$DE$6:$DF$17,2)+1))*(VLOOKUP($A108,CURVES!$D$9:$K$261,3))*(INDEX(DailyScalarsTable,AC$5/100,MONTH($A108)))*$B108</f>
        <v>-159829.60422192671</v>
      </c>
      <c r="AD108" s="1021">
        <f>(VLOOKUP(YEAR($A108),'NY East Load Projections'!$A$4:$EO$14,((MONTH($A108)-1)*12)+VLOOKUP(AD$4,$DE$6:$DF$17,2)+1))*(VLOOKUP($A108,CURVES!$D$9:$K$261,3))*(INDEX(DailyScalarsTable,AD$5/100,MONTH($A108)))*$B108</f>
        <v>-110994.89103918381</v>
      </c>
      <c r="AE108" s="1021">
        <f>(VLOOKUP(YEAR($A108),'NY East Load Projections'!$A$4:$EO$14,((MONTH($A108)-1)*12)+VLOOKUP(AE$4,$DE$6:$DF$17,2)+1))*(VLOOKUP($A108,CURVES!$D$9:$K$261,7))*(INDEX(DailyScalarsTable,AE$5/100,MONTH($A108)))*$B108</f>
        <v>-68631.107686194387</v>
      </c>
      <c r="AF108" s="1021"/>
      <c r="AG108" s="1021">
        <f>(VLOOKUP(YEAR($A108),'NY East Load Projections'!$A$4:$EO$14,((MONTH($A108)-1)*12)+VLOOKUP(AG$4,$DE$6:$DF$17,2)+1))*(VLOOKUP($A108,CURVES!$D$9:$T$261,7))*(INDEX(DailyScalarsTable,AG$5/100,MONTH($A108)))*$C108</f>
        <v>-7242.2035814123101</v>
      </c>
      <c r="AH108" s="1021">
        <f>(VLOOKUP(YEAR($A108),'NY East Load Projections'!$A$4:$EO$14,((MONTH($A108)-1)*12)+VLOOKUP(AH$4,$DE$6:$DF$17,2)+1))*(VLOOKUP($A108,CURVES!$D$9:$T$261,7))*(INDEX(DailyScalarsTable,AH$5/100,MONTH($A108)))*$C108</f>
        <v>-6615.2707699194125</v>
      </c>
      <c r="AI108" s="1021">
        <f>(VLOOKUP(YEAR($A108),'NY East Load Projections'!$A$4:$EO$14,((MONTH($A108)-1)*12)+VLOOKUP(AI$4,$DE$6:$DF$17,2)+1))*(VLOOKUP($A108,CURVES!$D$9:$T$261,7))*(INDEX(DailyScalarsTable,AI$5/100,MONTH($A108)))*$C108</f>
        <v>-6303.2163750096606</v>
      </c>
      <c r="AJ108" s="1021">
        <f>(VLOOKUP(YEAR($A108),'NY East Load Projections'!$A$4:$EO$14,((MONTH($A108)-1)*12)+VLOOKUP(AJ$4,$DE$6:$DF$17,2)+1))*(VLOOKUP($A108,CURVES!$D$9:$T$261,7))*(INDEX(DailyScalarsTable,AJ$5/100,MONTH($A108)))*$C108</f>
        <v>-5676.283563516763</v>
      </c>
      <c r="AK108" s="1021">
        <f>(VLOOKUP(YEAR($A108),'NY East Load Projections'!$A$4:$EO$14,((MONTH($A108)-1)*12)+VLOOKUP(AK$4,$DE$6:$DF$17,2)+1))*(VLOOKUP($A108,CURVES!$D$9:$T$261,7))*(INDEX(DailyScalarsTable,AK$5/100,MONTH($A108)))*$C108</f>
        <v>-5470.4026122675859</v>
      </c>
      <c r="AL108" s="1021">
        <f>(VLOOKUP(YEAR($A108),'NY East Load Projections'!$A$4:$EO$14,((MONTH($A108)-1)*12)+VLOOKUP(AL$4,$DE$6:$DF$17,2)+1))*(VLOOKUP($A108,CURVES!$D$9:$T$261,7))*(INDEX(DailyScalarsTable,AL$5/100,MONTH($A108)))*$C108</f>
        <v>-6030.9181839124021</v>
      </c>
      <c r="AM108" s="1021">
        <f>(VLOOKUP(YEAR($A108),'NY East Load Projections'!$A$4:$EO$14,((MONTH($A108)-1)*12)+VLOOKUP(AM$4,$DE$6:$DF$17,2)+1))*(VLOOKUP($A108,CURVES!$D$9:$T$261,7))*(INDEX(DailyScalarsTable,AM$5/100,MONTH($A108)))*$C108</f>
        <v>-6697.5159865079022</v>
      </c>
      <c r="AN108" s="1021">
        <f>(VLOOKUP(YEAR($A108),'NY East Load Projections'!$A$4:$EO$14,((MONTH($A108)-1)*12)+VLOOKUP(AN$4,$DE$6:$DF$17,2)+1))*(VLOOKUP($A108,SatSunCurve,3))*(INDEX(DailyScalarsTable,AN$5/100,MONTH($A108)))*$C108</f>
        <v>-6449.6077509137358</v>
      </c>
      <c r="AO108" s="1021">
        <f>(VLOOKUP(YEAR($A108),'NY East Load Projections'!$A$4:$EO$14,((MONTH($A108)-1)*12)+VLOOKUP(AO$4,$DE$6:$DF$17,2)+1))*(VLOOKUP($A108,SatSunCurve,3))*(INDEX(DailyScalarsTable,AO$5/100,MONTH($A108)))*$C108</f>
        <v>-7749.8496708781859</v>
      </c>
      <c r="AP108" s="1021">
        <f>(VLOOKUP(YEAR($A108),'NY East Load Projections'!$A$4:$EO$14,((MONTH($A108)-1)*12)+VLOOKUP(AP$4,$DE$6:$DF$17,2)+1))*(VLOOKUP($A108,SatSunCurve,3))*(INDEX(DailyScalarsTable,AP$5/100,MONTH($A108)))*$C108</f>
        <v>-9278.6945406144478</v>
      </c>
      <c r="AQ108" s="1021">
        <f>(VLOOKUP(YEAR($A108),'NY East Load Projections'!$A$4:$EO$14,((MONTH($A108)-1)*12)+VLOOKUP(AQ$4,$DE$6:$DF$17,2)+1))*(VLOOKUP($A108,SatSunCurve,3))*(INDEX(DailyScalarsTable,AQ$5/100,MONTH($A108)))*$C108</f>
        <v>-10558.176536298284</v>
      </c>
      <c r="AR108" s="1021">
        <f>(VLOOKUP(YEAR($A108),'NY East Load Projections'!$A$4:$EO$14,((MONTH($A108)-1)*12)+VLOOKUP(AR$4,$DE$6:$DF$17,2)+1))*(VLOOKUP($A108,SatSunCurve,3))*(INDEX(DailyScalarsTable,AR$5/100,MONTH($A108)))*$C108</f>
        <v>-12622.770462950677</v>
      </c>
      <c r="AS108" s="1021">
        <f>(VLOOKUP(YEAR($A108),'NY East Load Projections'!$A$4:$EO$14,((MONTH($A108)-1)*12)+VLOOKUP(AS$4,$DE$6:$DF$17,2)+1))*(VLOOKUP($A108,SatSunCurve,3))*(INDEX(DailyScalarsTable,AS$5/100,MONTH($A108)))*$C108</f>
        <v>-14336.09552376286</v>
      </c>
      <c r="AT108" s="1021">
        <f>(VLOOKUP(YEAR($A108),'NY East Load Projections'!$A$4:$EO$14,((MONTH($A108)-1)*12)+VLOOKUP(AT$4,$DE$6:$DF$17,2)+1))*(VLOOKUP($A108,SatSunCurve,3))*(INDEX(DailyScalarsTable,AT$5/100,MONTH($A108)))*$C108</f>
        <v>-14818.603435098019</v>
      </c>
      <c r="AU108" s="1021">
        <f>(VLOOKUP(YEAR($A108),'NY East Load Projections'!$A$4:$EO$14,((MONTH($A108)-1)*12)+VLOOKUP(AU$4,$DE$6:$DF$17,2)+1))*(VLOOKUP($A108,SatSunCurve,3))*(INDEX(DailyScalarsTable,AU$5/100,MONTH($A108)))*$C108</f>
        <v>-15435.764717038341</v>
      </c>
      <c r="AV108" s="1021">
        <f>(VLOOKUP(YEAR($A108),'NY East Load Projections'!$A$4:$EO$14,((MONTH($A108)-1)*12)+VLOOKUP(AV$4,$DE$6:$DF$17,2)+1))*(VLOOKUP($A108,SatSunCurve,3))*(INDEX(DailyScalarsTable,AV$5/100,MONTH($A108)))*$C108</f>
        <v>-16381.704645539605</v>
      </c>
      <c r="AW108" s="1021">
        <f>(VLOOKUP(YEAR($A108),'NY East Load Projections'!$A$4:$EO$14,((MONTH($A108)-1)*12)+VLOOKUP(AW$4,$DE$6:$DF$17,2)+1))*(VLOOKUP($A108,SatSunCurve,3))*(INDEX(DailyScalarsTable,AW$5/100,MONTH($A108)))*$C108</f>
        <v>-15996.278139214952</v>
      </c>
      <c r="AX108" s="1021">
        <f>(VLOOKUP(YEAR($A108),'NY East Load Projections'!$A$4:$EO$14,((MONTH($A108)-1)*12)+VLOOKUP(AX$4,$DE$6:$DF$17,2)+1))*(VLOOKUP($A108,SatSunCurve,3))*(INDEX(DailyScalarsTable,AX$5/100,MONTH($A108)))*$C108</f>
        <v>-15599.88927121614</v>
      </c>
      <c r="AY108" s="1021">
        <f>(VLOOKUP(YEAR($A108),'NY East Load Projections'!$A$4:$EO$14,((MONTH($A108)-1)*12)+VLOOKUP(AY$4,$DE$6:$DF$17,2)+1))*(VLOOKUP($A108,SatSunCurve,3))*(INDEX(DailyScalarsTable,AY$5/100,MONTH($A108)))*$C108</f>
        <v>-13029.269864383732</v>
      </c>
      <c r="AZ108" s="1021">
        <f>(VLOOKUP(YEAR($A108),'NY East Load Projections'!$A$4:$EO$14,((MONTH($A108)-1)*12)+VLOOKUP(AZ$4,$DE$6:$DF$17,2)+1))*(VLOOKUP($A108,SatSunCurve,3))*(INDEX(DailyScalarsTable,AZ$5/100,MONTH($A108)))*$C108</f>
        <v>-9641.1655563396835</v>
      </c>
      <c r="BA108" s="1021">
        <f>(VLOOKUP(YEAR($A108),'NY East Load Projections'!$A$4:$EO$14,((MONTH($A108)-1)*12)+VLOOKUP(BA$4,$DE$6:$DF$17,2)+1))*(VLOOKUP($A108,SatSunCurve,3))*(INDEX(DailyScalarsTable,BA$5/100,MONTH($A108)))*$C108</f>
        <v>-10106.383808349869</v>
      </c>
      <c r="BB108" s="1021">
        <f>(VLOOKUP(YEAR($A108),'NY East Load Projections'!$A$4:$EO$14,((MONTH($A108)-1)*12)+VLOOKUP(BB$4,$DE$6:$DF$17,2)+1))*(VLOOKUP($A108,SatSunCurve,3))*(INDEX(DailyScalarsTable,BB$5/100,MONTH($A108)))*$C108</f>
        <v>-10709.081422386651</v>
      </c>
      <c r="BC108" s="1021">
        <f>(VLOOKUP(YEAR($A108),'NY East Load Projections'!$A$4:$EO$14,((MONTH($A108)-1)*12)+VLOOKUP(BC$4,$DE$6:$DF$17,2)+1))*(VLOOKUP($A108,SatSunCurve,3))*(INDEX(DailyScalarsTable,BC$5/100,MONTH($A108)))*$C108</f>
        <v>-7437.0034975315602</v>
      </c>
      <c r="BD108" s="1021">
        <f>(VLOOKUP(YEAR($A108),'NY East Load Projections'!$A$4:$EO$14,((MONTH($A108)-1)*12)+VLOOKUP(BD$4,$DE$6:$DF$17,2)+1))*(VLOOKUP($A108,CURVES!$D$9:$T$261,7))*(INDEX(DailyScalarsTable,BD$5/100,MONTH($A108)))*$C108</f>
        <v>-8467.0668155353051</v>
      </c>
      <c r="BE108" s="1021"/>
      <c r="BF108" s="1021">
        <f>(VLOOKUP(YEAR($A108),'NY East Load Projections'!$A$4:$EO$14,((MONTH($A108)-1)*12)+VLOOKUP(BF$4,$DE$6:$DF$17,2)+1))*(VLOOKUP($A108,CURVES!$D$9:$T$261,7))*(INDEX(DailyScalarsTable,BF$5/100,MONTH($A108)))*$D108</f>
        <v>-9656.2714418830801</v>
      </c>
      <c r="BG108" s="1021">
        <f>(VLOOKUP(YEAR($A108),'NY East Load Projections'!$A$4:$EO$14,((MONTH($A108)-1)*12)+VLOOKUP(BG$4,$DE$6:$DF$17,2)+1))*(VLOOKUP($A108,CURVES!$D$9:$T$261,7))*(INDEX(DailyScalarsTable,BG$5/100,MONTH($A108)))*$D108</f>
        <v>-8820.361026559216</v>
      </c>
      <c r="BH108" s="1021">
        <f>(VLOOKUP(YEAR($A108),'NY East Load Projections'!$A$4:$EO$14,((MONTH($A108)-1)*12)+VLOOKUP(BH$4,$DE$6:$DF$17,2)+1))*(VLOOKUP($A108,CURVES!$D$9:$T$261,7))*(INDEX(DailyScalarsTable,BH$5/100,MONTH($A108)))*$D108</f>
        <v>-8404.2885000128808</v>
      </c>
      <c r="BI108" s="1021">
        <f>(VLOOKUP(YEAR($A108),'NY East Load Projections'!$A$4:$EO$14,((MONTH($A108)-1)*12)+VLOOKUP(BI$4,$DE$6:$DF$17,2)+1))*(VLOOKUP($A108,CURVES!$D$9:$T$261,7))*(INDEX(DailyScalarsTable,BI$5/100,MONTH($A108)))*$D108</f>
        <v>-7568.3780846890168</v>
      </c>
      <c r="BJ108" s="1021">
        <f>(VLOOKUP(YEAR($A108),'NY East Load Projections'!$A$4:$EO$14,((MONTH($A108)-1)*12)+VLOOKUP(BJ$4,$DE$6:$DF$17,2)+1))*(VLOOKUP($A108,CURVES!$D$9:$T$261,7))*(INDEX(DailyScalarsTable,BJ$5/100,MONTH($A108)))*$D108</f>
        <v>-7293.870149690114</v>
      </c>
      <c r="BK108" s="1021">
        <f>(VLOOKUP(YEAR($A108),'NY East Load Projections'!$A$4:$EO$14,((MONTH($A108)-1)*12)+VLOOKUP(BK$4,$DE$6:$DF$17,2)+1))*(VLOOKUP($A108,CURVES!$D$9:$T$261,7))*(INDEX(DailyScalarsTable,BK$5/100,MONTH($A108)))*$D108</f>
        <v>-8041.2242452165365</v>
      </c>
      <c r="BL108" s="1021">
        <f>(VLOOKUP(YEAR($A108),'NY East Load Projections'!$A$4:$EO$14,((MONTH($A108)-1)*12)+VLOOKUP(BL$4,$DE$6:$DF$17,2)+1))*(VLOOKUP($A108,CURVES!$D$9:$T$261,7))*(INDEX(DailyScalarsTable,BL$5/100,MONTH($A108)))*$D108</f>
        <v>-8930.021315343869</v>
      </c>
      <c r="BM108" s="1021">
        <f>(VLOOKUP(YEAR($A108),'NY East Load Projections'!$A$4:$EO$14,((MONTH($A108)-1)*12)+VLOOKUP(BM$4,$DE$6:$DF$17,2)+1))*(VLOOKUP($A108,SatSunCurve,7))*(INDEX(DailyScalarsTable,BM$5/100,MONTH($A108)))*$D108</f>
        <v>-6364.9253499335964</v>
      </c>
      <c r="BN108" s="1021">
        <f>(VLOOKUP(YEAR($A108),'NY East Load Projections'!$A$4:$EO$14,((MONTH($A108)-1)*12)+VLOOKUP(BN$4,$DE$6:$DF$17,2)+1))*(VLOOKUP($A108,SatSunCurve,7))*(INDEX(DailyScalarsTable,BN$5/100,MONTH($A108)))*$D108</f>
        <v>-7648.0952847649942</v>
      </c>
      <c r="BO108" s="1021">
        <f>(VLOOKUP(YEAR($A108),'NY East Load Projections'!$A$4:$EO$14,((MONTH($A108)-1)*12)+VLOOKUP(BO$4,$DE$6:$DF$17,2)+1))*(VLOOKUP($A108,SatSunCurve,7))*(INDEX(DailyScalarsTable,BO$5/100,MONTH($A108)))*$D108</f>
        <v>-9156.866646267039</v>
      </c>
      <c r="BP108" s="1021">
        <f>(VLOOKUP(YEAR($A108),'NY East Load Projections'!$A$4:$EO$14,((MONTH($A108)-1)*12)+VLOOKUP(BP$4,$DE$6:$DF$17,2)+1))*(VLOOKUP($A108,SatSunCurve,7))*(INDEX(DailyScalarsTable,BP$5/100,MONTH($A108)))*$D108</f>
        <v>-10419.549231569676</v>
      </c>
      <c r="BQ108" s="1021">
        <f>(VLOOKUP(YEAR($A108),'NY East Load Projections'!$A$4:$EO$14,((MONTH($A108)-1)*12)+VLOOKUP(BQ$4,$DE$6:$DF$17,2)+1))*(VLOOKUP($A108,SatSunCurve,7))*(INDEX(DailyScalarsTable,BQ$5/100,MONTH($A108)))*$D108</f>
        <v>-12457.035343683552</v>
      </c>
      <c r="BR108" s="1021">
        <f>(VLOOKUP(YEAR($A108),'NY East Load Projections'!$A$4:$EO$14,((MONTH($A108)-1)*12)+VLOOKUP(BR$4,$DE$6:$DF$17,2)+1))*(VLOOKUP($A108,SatSunCurve,7))*(INDEX(DailyScalarsTable,BR$5/100,MONTH($A108)))*$D108</f>
        <v>-14147.864698491217</v>
      </c>
      <c r="BS108" s="1021">
        <f>(VLOOKUP(YEAR($A108),'NY East Load Projections'!$A$4:$EO$14,((MONTH($A108)-1)*12)+VLOOKUP(BS$4,$DE$6:$DF$17,2)+1))*(VLOOKUP($A108,SatSunCurve,7))*(INDEX(DailyScalarsTable,BS$5/100,MONTH($A108)))*$D108</f>
        <v>-14624.037351931356</v>
      </c>
      <c r="BT108" s="1021">
        <f>(VLOOKUP(YEAR($A108),'NY East Load Projections'!$A$4:$EO$14,((MONTH($A108)-1)*12)+VLOOKUP(BT$4,$DE$6:$DF$17,2)+1))*(VLOOKUP($A108,SatSunCurve,7))*(INDEX(DailyScalarsTable,BT$5/100,MONTH($A108)))*$D108</f>
        <v>-15233.095397029207</v>
      </c>
      <c r="BU108" s="1021">
        <f>(VLOOKUP(YEAR($A108),'NY East Load Projections'!$A$4:$EO$14,((MONTH($A108)-1)*12)+VLOOKUP(BU$4,$DE$6:$DF$17,2)+1))*(VLOOKUP($A108,SatSunCurve,7))*(INDEX(DailyScalarsTable,BU$5/100,MONTH($A108)))*$D108</f>
        <v>-16166.615273424646</v>
      </c>
      <c r="BV108" s="1021">
        <f>(VLOOKUP(YEAR($A108),'NY East Load Projections'!$A$4:$EO$14,((MONTH($A108)-1)*12)+VLOOKUP(BV$4,$DE$6:$DF$17,2)+1))*(VLOOKUP($A108,SatSunCurve,7))*(INDEX(DailyScalarsTable,BV$5/100,MONTH($A108)))*$D108</f>
        <v>-15786.24936042869</v>
      </c>
      <c r="BW108" s="1021">
        <f>(VLOOKUP(YEAR($A108),'NY East Load Projections'!$A$4:$EO$14,((MONTH($A108)-1)*12)+VLOOKUP(BW$4,$DE$6:$DF$17,2)+1))*(VLOOKUP($A108,SatSunCurve,7))*(INDEX(DailyScalarsTable,BW$5/100,MONTH($A108)))*$D108</f>
        <v>-15395.065019954698</v>
      </c>
      <c r="BX108" s="1021">
        <f>(VLOOKUP(YEAR($A108),'NY East Load Projections'!$A$4:$EO$14,((MONTH($A108)-1)*12)+VLOOKUP(BX$4,$DE$6:$DF$17,2)+1))*(VLOOKUP($A108,SatSunCurve,7))*(INDEX(DailyScalarsTable,BX$5/100,MONTH($A108)))*$D108</f>
        <v>-12858.197467775137</v>
      </c>
      <c r="BY108" s="1021">
        <f>(VLOOKUP(YEAR($A108),'NY East Load Projections'!$A$4:$EO$14,((MONTH($A108)-1)*12)+VLOOKUP(BY$4,$DE$6:$DF$17,2)+1))*(VLOOKUP($A108,SatSunCurve,7))*(INDEX(DailyScalarsTable,BY$5/100,MONTH($A108)))*$D108</f>
        <v>-9514.5784708782157</v>
      </c>
      <c r="BZ108" s="1021">
        <f>(VLOOKUP(YEAR($A108),'NY East Load Projections'!$A$4:$EO$14,((MONTH($A108)-1)*12)+VLOOKUP(BZ$4,$DE$6:$DF$17,2)+1))*(VLOOKUP($A108,SatSunCurve,7))*(INDEX(DailyScalarsTable,BZ$5/100,MONTH($A108)))*$D108</f>
        <v>-9973.6884756768668</v>
      </c>
      <c r="CA108" s="1021">
        <f>(VLOOKUP(YEAR($A108),'NY East Load Projections'!$A$4:$EO$14,((MONTH($A108)-1)*12)+VLOOKUP(CA$4,$DE$6:$DF$17,2)+1))*(VLOOKUP($A108,SatSunCurve,7))*(INDEX(DailyScalarsTable,CA$5/100,MONTH($A108)))*$D108</f>
        <v>-10568.472758703028</v>
      </c>
      <c r="CB108" s="1021">
        <f>(VLOOKUP(YEAR($A108),'NY East Load Projections'!$A$4:$EO$14,((MONTH($A108)-1)*12)+VLOOKUP(CB$4,$DE$6:$DF$17,2)+1))*(VLOOKUP($A108,SatSunCurve,7))*(INDEX(DailyScalarsTable,CB$5/100,MONTH($A108)))*$D108</f>
        <v>-7339.3567356522117</v>
      </c>
      <c r="CC108" s="1021">
        <f>(VLOOKUP(YEAR($A108),'NY East Load Projections'!$A$4:$EO$14,((MONTH($A108)-1)*12)+VLOOKUP(CC$4,$DE$6:$DF$17,2)+1))*(VLOOKUP($A108,CURVES!$D$9:$T$261,7))*(INDEX(DailyScalarsTable,CC$5/100,MONTH($A108)))*$D108</f>
        <v>-11289.422420713741</v>
      </c>
      <c r="CE108" s="1021">
        <f>(VLOOKUP(YEAR($A108),'NY East Load Projections'!$A$4:$EO$14,((MONTH($A108)-1)*12)+VLOOKUP(CE$4,$DE$6:$DF$17,2)+1))*(VLOOKUP($A108,CURVES!$D$9:$T$261,7))*(INDEX(DailyScalarsTable,CE$5/100,MONTH($A108)))*$E108</f>
        <v>-2414.06786047077</v>
      </c>
      <c r="CF108" s="1021">
        <f>(VLOOKUP(YEAR($A108),'NY East Load Projections'!$A$4:$EO$14,((MONTH($A108)-1)*12)+VLOOKUP(CF$4,$DE$6:$DF$17,2)+1))*(VLOOKUP($A108,CURVES!$D$9:$T$261,7))*(INDEX(DailyScalarsTable,CF$5/100,MONTH($A108)))*$E108</f>
        <v>-2205.090256639804</v>
      </c>
      <c r="CG108" s="1021">
        <f>(VLOOKUP(YEAR($A108),'NY East Load Projections'!$A$4:$EO$14,((MONTH($A108)-1)*12)+VLOOKUP(CG$4,$DE$6:$DF$17,2)+1))*(VLOOKUP($A108,CURVES!$D$9:$T$261,7))*(INDEX(DailyScalarsTable,CG$5/100,MONTH($A108)))*$E108</f>
        <v>-2101.0721250032202</v>
      </c>
      <c r="CH108" s="1021">
        <f>(VLOOKUP(YEAR($A108),'NY East Load Projections'!$A$4:$EO$14,((MONTH($A108)-1)*12)+VLOOKUP(CH$4,$DE$6:$DF$17,2)+1))*(VLOOKUP($A108,CURVES!$D$9:$T$261,7))*(INDEX(DailyScalarsTable,CH$5/100,MONTH($A108)))*$E108</f>
        <v>-1892.0945211722542</v>
      </c>
      <c r="CI108" s="1021">
        <f>(VLOOKUP(YEAR($A108),'NY East Load Projections'!$A$4:$EO$14,((MONTH($A108)-1)*12)+VLOOKUP(CI$4,$DE$6:$DF$17,2)+1))*(VLOOKUP($A108,CURVES!$D$9:$T$261,7))*(INDEX(DailyScalarsTable,CI$5/100,MONTH($A108)))*$E108</f>
        <v>-1823.4675374225285</v>
      </c>
      <c r="CJ108" s="1021">
        <f>(VLOOKUP(YEAR($A108),'NY East Load Projections'!$A$4:$EO$14,((MONTH($A108)-1)*12)+VLOOKUP(CJ$4,$DE$6:$DF$17,2)+1))*(VLOOKUP($A108,CURVES!$D$9:$T$261,7))*(INDEX(DailyScalarsTable,CJ$5/100,MONTH($A108)))*$E108</f>
        <v>-2010.3060613041341</v>
      </c>
      <c r="CK108" s="1021">
        <f>(VLOOKUP(YEAR($A108),'NY East Load Projections'!$A$4:$EO$14,((MONTH($A108)-1)*12)+VLOOKUP(CK$4,$DE$6:$DF$17,2)+1))*(VLOOKUP($A108,CURVES!$D$9:$T$261,7))*(INDEX(DailyScalarsTable,CK$5/100,MONTH($A108)))*$E108</f>
        <v>-2232.5053288359672</v>
      </c>
      <c r="CL108" s="1021">
        <f>(VLOOKUP(YEAR($A108),'NY East Load Projections'!$A$4:$EO$14,((MONTH($A108)-1)*12)+VLOOKUP(CL$4,$DE$6:$DF$17,2)+1))*(VLOOKUP($A108,SatSunCurve,7))*(INDEX(DailyScalarsTable,CL$5/100,MONTH($A108)))*$E108</f>
        <v>-1591.2313374833991</v>
      </c>
      <c r="CM108" s="1021">
        <f>(VLOOKUP(YEAR($A108),'NY East Load Projections'!$A$4:$EO$14,((MONTH($A108)-1)*12)+VLOOKUP(CM$4,$DE$6:$DF$17,2)+1))*(VLOOKUP($A108,SatSunCurve,7))*(INDEX(DailyScalarsTable,CM$5/100,MONTH($A108)))*$E108</f>
        <v>-1912.0238211912485</v>
      </c>
      <c r="CN108" s="1021">
        <f>(VLOOKUP(YEAR($A108),'NY East Load Projections'!$A$4:$EO$14,((MONTH($A108)-1)*12)+VLOOKUP(CN$4,$DE$6:$DF$17,2)+1))*(VLOOKUP($A108,SatSunCurve,7))*(INDEX(DailyScalarsTable,CN$5/100,MONTH($A108)))*$E108</f>
        <v>-2289.2166615667597</v>
      </c>
      <c r="CO108" s="1021">
        <f>(VLOOKUP(YEAR($A108),'NY East Load Projections'!$A$4:$EO$14,((MONTH($A108)-1)*12)+VLOOKUP(CO$4,$DE$6:$DF$17,2)+1))*(VLOOKUP($A108,SatSunCurve,7))*(INDEX(DailyScalarsTable,CO$5/100,MONTH($A108)))*$E108</f>
        <v>-2604.8873078924189</v>
      </c>
      <c r="CP108" s="1021">
        <f>(VLOOKUP(YEAR($A108),'NY East Load Projections'!$A$4:$EO$14,((MONTH($A108)-1)*12)+VLOOKUP(CP$4,$DE$6:$DF$17,2)+1))*(VLOOKUP($A108,SatSunCurve,7))*(INDEX(DailyScalarsTable,CP$5/100,MONTH($A108)))*$E108</f>
        <v>-3114.258835920888</v>
      </c>
      <c r="CQ108" s="1021">
        <f>(VLOOKUP(YEAR($A108),'NY East Load Projections'!$A$4:$EO$14,((MONTH($A108)-1)*12)+VLOOKUP(CQ$4,$DE$6:$DF$17,2)+1))*(VLOOKUP($A108,SatSunCurve,7))*(INDEX(DailyScalarsTable,CQ$5/100,MONTH($A108)))*$E108</f>
        <v>-3536.9661746228044</v>
      </c>
      <c r="CR108" s="1021">
        <f>(VLOOKUP(YEAR($A108),'NY East Load Projections'!$A$4:$EO$14,((MONTH($A108)-1)*12)+VLOOKUP(CR$4,$DE$6:$DF$17,2)+1))*(VLOOKUP($A108,SatSunCurve,7))*(INDEX(DailyScalarsTable,CR$5/100,MONTH($A108)))*$E108</f>
        <v>-3656.009337982839</v>
      </c>
      <c r="CS108" s="1021">
        <f>(VLOOKUP(YEAR($A108),'NY East Load Projections'!$A$4:$EO$14,((MONTH($A108)-1)*12)+VLOOKUP(CS$4,$DE$6:$DF$17,2)+1))*(VLOOKUP($A108,SatSunCurve,7))*(INDEX(DailyScalarsTable,CS$5/100,MONTH($A108)))*$E108</f>
        <v>-3808.2738492573017</v>
      </c>
      <c r="CT108" s="1021">
        <f>(VLOOKUP(YEAR($A108),'NY East Load Projections'!$A$4:$EO$14,((MONTH($A108)-1)*12)+VLOOKUP(CT$4,$DE$6:$DF$17,2)+1))*(VLOOKUP($A108,SatSunCurve,7))*(INDEX(DailyScalarsTable,CT$5/100,MONTH($A108)))*$E108</f>
        <v>-4041.6538183561615</v>
      </c>
      <c r="CU108" s="1021">
        <f>(VLOOKUP(YEAR($A108),'NY East Load Projections'!$A$4:$EO$14,((MONTH($A108)-1)*12)+VLOOKUP(CU$4,$DE$6:$DF$17,2)+1))*(VLOOKUP($A108,SatSunCurve,7))*(INDEX(DailyScalarsTable,CU$5/100,MONTH($A108)))*$E108</f>
        <v>-3946.5623401071725</v>
      </c>
      <c r="CV108" s="1021">
        <f>(VLOOKUP(YEAR($A108),'NY East Load Projections'!$A$4:$EO$14,((MONTH($A108)-1)*12)+VLOOKUP(CV$4,$DE$6:$DF$17,2)+1))*(VLOOKUP($A108,SatSunCurve,7))*(INDEX(DailyScalarsTable,CV$5/100,MONTH($A108)))*$E108</f>
        <v>-3848.7662549886745</v>
      </c>
      <c r="CW108" s="1021">
        <f>(VLOOKUP(YEAR($A108),'NY East Load Projections'!$A$4:$EO$14,((MONTH($A108)-1)*12)+VLOOKUP(CW$4,$DE$6:$DF$17,2)+1))*(VLOOKUP($A108,SatSunCurve,7))*(INDEX(DailyScalarsTable,CW$5/100,MONTH($A108)))*$E108</f>
        <v>-3214.5493669437842</v>
      </c>
      <c r="CX108" s="1021">
        <f>(VLOOKUP(YEAR($A108),'NY East Load Projections'!$A$4:$EO$14,((MONTH($A108)-1)*12)+VLOOKUP(CX$4,$DE$6:$DF$17,2)+1))*(VLOOKUP($A108,SatSunCurve,7))*(INDEX(DailyScalarsTable,CX$5/100,MONTH($A108)))*$E108</f>
        <v>-2378.6446177195539</v>
      </c>
      <c r="CY108" s="1021">
        <f>(VLOOKUP(YEAR($A108),'NY East Load Projections'!$A$4:$EO$14,((MONTH($A108)-1)*12)+VLOOKUP(CY$4,$DE$6:$DF$17,2)+1))*(VLOOKUP($A108,SatSunCurve,7))*(INDEX(DailyScalarsTable,CY$5/100,MONTH($A108)))*$E108</f>
        <v>-2493.4221189192167</v>
      </c>
      <c r="CZ108" s="1021">
        <f>(VLOOKUP(YEAR($A108),'NY East Load Projections'!$A$4:$EO$14,((MONTH($A108)-1)*12)+VLOOKUP(CZ$4,$DE$6:$DF$17,2)+1))*(VLOOKUP($A108,SatSunCurve,7))*(INDEX(DailyScalarsTable,CZ$5/100,MONTH($A108)))*$E108</f>
        <v>-2642.1181896757571</v>
      </c>
      <c r="DA108" s="1021">
        <f>(VLOOKUP(YEAR($A108),'NY East Load Projections'!$A$4:$EO$14,((MONTH($A108)-1)*12)+VLOOKUP(DA$4,$DE$6:$DF$17,2)+1))*(VLOOKUP($A108,SatSunCurve,7))*(INDEX(DailyScalarsTable,DA$5/100,MONTH($A108)))*$E108</f>
        <v>-1834.8391839130529</v>
      </c>
      <c r="DB108" s="1021">
        <f>(VLOOKUP(YEAR($A108),'NY East Load Projections'!$A$4:$EO$14,((MONTH($A108)-1)*12)+VLOOKUP(DB$4,$DE$6:$DF$17,2)+1))*(VLOOKUP($A108,CURVES!$D$9:$T$261,7))*(INDEX(DailyScalarsTable,DB$5/100,MONTH($A108)))*$E108</f>
        <v>-2822.3556051784353</v>
      </c>
      <c r="DH108" s="1032">
        <f t="shared" si="2"/>
        <v>-3919219.5366930678</v>
      </c>
      <c r="DI108">
        <f ca="1">CALC!J128</f>
        <v>0.5022236150639402</v>
      </c>
      <c r="DJ108" s="1029">
        <f t="shared" ca="1" si="3"/>
        <v>-1968324.6039472134</v>
      </c>
    </row>
    <row r="109" spans="1:114" x14ac:dyDescent="0.25">
      <c r="A109" s="244">
        <v>40026</v>
      </c>
      <c r="B109" s="13">
        <v>21</v>
      </c>
      <c r="C109" s="210">
        <v>5</v>
      </c>
      <c r="D109" s="210">
        <v>5</v>
      </c>
      <c r="E109" s="210">
        <v>0</v>
      </c>
      <c r="F109" s="13">
        <v>31</v>
      </c>
      <c r="H109" s="1021">
        <f>(VLOOKUP(YEAR($A109),'NY East Load Projections'!$A$4:$EO$14,((MONTH($A109)-1)*12)+VLOOKUP(H$4,$DE$6:$DF$17,2)+1))*(VLOOKUP($A109,CURVES!$D$9:$K$261,7))*(INDEX(DailyScalarsTable,H$5/100,MONTH($A109)))*$B109</f>
        <v>-53713.998554860082</v>
      </c>
      <c r="I109" s="1021">
        <f>(VLOOKUP(YEAR($A109),'NY East Load Projections'!$A$4:$EO$14,((MONTH($A109)-1)*12)+VLOOKUP(I$4,$DE$6:$DF$17,2)+1))*(VLOOKUP($A109,CURVES!$D$9:$K$261,7))*(INDEX(DailyScalarsTable,I$5/100,MONTH($A109)))*$B109</f>
        <v>-48488.567318420166</v>
      </c>
      <c r="J109" s="1021">
        <f>(VLOOKUP(YEAR($A109),'NY East Load Projections'!$A$4:$EO$14,((MONTH($A109)-1)*12)+VLOOKUP(J$4,$DE$6:$DF$17,2)+1))*(VLOOKUP($A109,CURVES!$D$9:$K$261,7))*(INDEX(DailyScalarsTable,J$5/100,MONTH($A109)))*$B109</f>
        <v>-43545.260303665986</v>
      </c>
      <c r="K109" s="1021">
        <f>(VLOOKUP(YEAR($A109),'NY East Load Projections'!$A$4:$EO$14,((MONTH($A109)-1)*12)+VLOOKUP(K$4,$DE$6:$DF$17,2)+1))*(VLOOKUP($A109,CURVES!$D$9:$K$261,7))*(INDEX(DailyScalarsTable,K$5/100,MONTH($A109)))*$B109</f>
        <v>-40969.343496970236</v>
      </c>
      <c r="L109" s="1021">
        <f>(VLOOKUP(YEAR($A109),'NY East Load Projections'!$A$4:$EO$14,((MONTH($A109)-1)*12)+VLOOKUP(L$4,$DE$6:$DF$17,2)+1))*(VLOOKUP($A109,CURVES!$D$9:$K$261,7))*(INDEX(DailyScalarsTable,L$5/100,MONTH($A109)))*$B109</f>
        <v>-45274.088832112451</v>
      </c>
      <c r="M109" s="1021">
        <f>(VLOOKUP(YEAR($A109),'NY East Load Projections'!$A$4:$EO$14,((MONTH($A109)-1)*12)+VLOOKUP(M$4,$DE$6:$DF$17,2)+1))*(VLOOKUP($A109,CURVES!$D$9:$K$261,7))*(INDEX(DailyScalarsTable,M$5/100,MONTH($A109)))*$B109</f>
        <v>-50301.641240639532</v>
      </c>
      <c r="N109" s="1021">
        <f>(VLOOKUP(YEAR($A109),'NY East Load Projections'!$A$4:$EO$14,((MONTH($A109)-1)*12)+VLOOKUP(N$4,$DE$6:$DF$17,2)+1))*(VLOOKUP($A109,CURVES!$D$9:$K$261,7))*(INDEX(DailyScalarsTable,N$5/100,MONTH($A109)))*$B109</f>
        <v>-58528.545181865607</v>
      </c>
      <c r="O109" s="1021">
        <f>(VLOOKUP(YEAR($A109),'NY East Load Projections'!$A$4:$EO$14,((MONTH($A109)-1)*12)+VLOOKUP(O$4,$DE$6:$DF$17,2)+1))*(VLOOKUP($A109,CURVES!$D$9:$K$261,3))*(INDEX(DailyScalarsTable,O$5/100,MONTH($A109)))*$B109</f>
        <v>-99116.776129467122</v>
      </c>
      <c r="P109" s="1021">
        <f>(VLOOKUP(YEAR($A109),'NY East Load Projections'!$A$4:$EO$14,((MONTH($A109)-1)*12)+VLOOKUP(P$4,$DE$6:$DF$17,2)+1))*(VLOOKUP($A109,CURVES!$D$9:$K$261,3))*(INDEX(DailyScalarsTable,P$5/100,MONTH($A109)))*$B109</f>
        <v>-118245.73508960246</v>
      </c>
      <c r="Q109" s="1021">
        <f>(VLOOKUP(YEAR($A109),'NY East Load Projections'!$A$4:$EO$14,((MONTH($A109)-1)*12)+VLOOKUP(Q$4,$DE$6:$DF$17,2)+1))*(VLOOKUP($A109,CURVES!$D$9:$K$261,3))*(INDEX(DailyScalarsTable,Q$5/100,MONTH($A109)))*$B109</f>
        <v>-151642.88062665463</v>
      </c>
      <c r="R109" s="1021">
        <f>(VLOOKUP(YEAR($A109),'NY East Load Projections'!$A$4:$EO$14,((MONTH($A109)-1)*12)+VLOOKUP(R$4,$DE$6:$DF$17,2)+1))*(VLOOKUP($A109,CURVES!$D$9:$K$261,3))*(INDEX(DailyScalarsTable,R$5/100,MONTH($A109)))*$B109</f>
        <v>-171152.10425720978</v>
      </c>
      <c r="S109" s="1021">
        <f>(VLOOKUP(YEAR($A109),'NY East Load Projections'!$A$4:$EO$14,((MONTH($A109)-1)*12)+VLOOKUP(S$4,$DE$6:$DF$17,2)+1))*(VLOOKUP($A109,CURVES!$D$9:$K$261,3))*(INDEX(DailyScalarsTable,S$5/100,MONTH($A109)))*$B109</f>
        <v>-178404.68569726931</v>
      </c>
      <c r="T109" s="1021">
        <f>(VLOOKUP(YEAR($A109),'NY East Load Projections'!$A$4:$EO$14,((MONTH($A109)-1)*12)+VLOOKUP(T$4,$DE$6:$DF$17,2)+1))*(VLOOKUP($A109,CURVES!$D$9:$K$261,3))*(INDEX(DailyScalarsTable,T$5/100,MONTH($A109)))*$B109</f>
        <v>-181638.07089437146</v>
      </c>
      <c r="U109" s="1021">
        <f>(VLOOKUP(YEAR($A109),'NY East Load Projections'!$A$4:$EO$14,((MONTH($A109)-1)*12)+VLOOKUP(U$4,$DE$6:$DF$17,2)+1))*(VLOOKUP($A109,CURVES!$D$9:$K$261,3))*(INDEX(DailyScalarsTable,U$5/100,MONTH($A109)))*$B109</f>
        <v>-199396.93073396318</v>
      </c>
      <c r="V109" s="1021">
        <f>(VLOOKUP(YEAR($A109),'NY East Load Projections'!$A$4:$EO$14,((MONTH($A109)-1)*12)+VLOOKUP(V$4,$DE$6:$DF$17,2)+1))*(VLOOKUP($A109,CURVES!$D$9:$K$261,3))*(INDEX(DailyScalarsTable,V$5/100,MONTH($A109)))*$B109</f>
        <v>-211092.89320156688</v>
      </c>
      <c r="W109" s="1021">
        <f>(VLOOKUP(YEAR($A109),'NY East Load Projections'!$A$4:$EO$14,((MONTH($A109)-1)*12)+VLOOKUP(W$4,$DE$6:$DF$17,2)+1))*(VLOOKUP($A109,CURVES!$D$9:$K$261,3))*(INDEX(DailyScalarsTable,W$5/100,MONTH($A109)))*$B109</f>
        <v>-208151.93552112495</v>
      </c>
      <c r="X109" s="1021">
        <f>(VLOOKUP(YEAR($A109),'NY East Load Projections'!$A$4:$EO$14,((MONTH($A109)-1)*12)+VLOOKUP(X$4,$DE$6:$DF$17,2)+1))*(VLOOKUP($A109,CURVES!$D$9:$K$261,3))*(INDEX(DailyScalarsTable,X$5/100,MONTH($A109)))*$B109</f>
        <v>-195653.96194424594</v>
      </c>
      <c r="Y109" s="1021">
        <f>(VLOOKUP(YEAR($A109),'NY East Load Projections'!$A$4:$EO$14,((MONTH($A109)-1)*12)+VLOOKUP(Y$4,$DE$6:$DF$17,2)+1))*(VLOOKUP($A109,CURVES!$D$9:$K$261,3))*(INDEX(DailyScalarsTable,Y$5/100,MONTH($A109)))*$B109</f>
        <v>-181187.66389077436</v>
      </c>
      <c r="Z109" s="1021">
        <f>(VLOOKUP(YEAR($A109),'NY East Load Projections'!$A$4:$EO$14,((MONTH($A109)-1)*12)+VLOOKUP(Z$4,$DE$6:$DF$17,2)+1))*(VLOOKUP($A109,CURVES!$D$9:$K$261,3))*(INDEX(DailyScalarsTable,Z$5/100,MONTH($A109)))*$B109</f>
        <v>-147686.76313536646</v>
      </c>
      <c r="AA109" s="1021">
        <f>(VLOOKUP(YEAR($A109),'NY East Load Projections'!$A$4:$EO$14,((MONTH($A109)-1)*12)+VLOOKUP(AA$4,$DE$6:$DF$17,2)+1))*(VLOOKUP($A109,CURVES!$D$9:$K$261,3))*(INDEX(DailyScalarsTable,AA$5/100,MONTH($A109)))*$B109</f>
        <v>-134460.43348647814</v>
      </c>
      <c r="AB109" s="1021">
        <f>(VLOOKUP(YEAR($A109),'NY East Load Projections'!$A$4:$EO$14,((MONTH($A109)-1)*12)+VLOOKUP(AB$4,$DE$6:$DF$17,2)+1))*(VLOOKUP($A109,CURVES!$D$9:$K$261,3))*(INDEX(DailyScalarsTable,AB$5/100,MONTH($A109)))*$B109</f>
        <v>-153642.02543920433</v>
      </c>
      <c r="AC109" s="1021">
        <f>(VLOOKUP(YEAR($A109),'NY East Load Projections'!$A$4:$EO$14,((MONTH($A109)-1)*12)+VLOOKUP(AC$4,$DE$6:$DF$17,2)+1))*(VLOOKUP($A109,CURVES!$D$9:$K$261,3))*(INDEX(DailyScalarsTable,AC$5/100,MONTH($A109)))*$B109</f>
        <v>-130646.09929657431</v>
      </c>
      <c r="AD109" s="1021">
        <f>(VLOOKUP(YEAR($A109),'NY East Load Projections'!$A$4:$EO$14,((MONTH($A109)-1)*12)+VLOOKUP(AD$4,$DE$6:$DF$17,2)+1))*(VLOOKUP($A109,CURVES!$D$9:$K$261,3))*(INDEX(DailyScalarsTable,AD$5/100,MONTH($A109)))*$B109</f>
        <v>-105793.1138262748</v>
      </c>
      <c r="AE109" s="1021">
        <f>(VLOOKUP(YEAR($A109),'NY East Load Projections'!$A$4:$EO$14,((MONTH($A109)-1)*12)+VLOOKUP(AE$4,$DE$6:$DF$17,2)+1))*(VLOOKUP($A109,CURVES!$D$9:$K$261,7))*(INDEX(DailyScalarsTable,AE$5/100,MONTH($A109)))*$B109</f>
        <v>-64939.738376179994</v>
      </c>
      <c r="AF109" s="1021"/>
      <c r="AG109" s="1021">
        <f>(VLOOKUP(YEAR($A109),'NY East Load Projections'!$A$4:$EO$14,((MONTH($A109)-1)*12)+VLOOKUP(AG$4,$DE$6:$DF$17,2)+1))*(VLOOKUP($A109,CURVES!$D$9:$T$261,7))*(INDEX(DailyScalarsTable,AG$5/100,MONTH($A109)))*$C109</f>
        <v>-12516.11364187316</v>
      </c>
      <c r="AH109" s="1021">
        <f>(VLOOKUP(YEAR($A109),'NY East Load Projections'!$A$4:$EO$14,((MONTH($A109)-1)*12)+VLOOKUP(AH$4,$DE$6:$DF$17,2)+1))*(VLOOKUP($A109,CURVES!$D$9:$T$261,7))*(INDEX(DailyScalarsTable,AH$5/100,MONTH($A109)))*$C109</f>
        <v>-11298.515009436996</v>
      </c>
      <c r="AI109" s="1021">
        <f>(VLOOKUP(YEAR($A109),'NY East Load Projections'!$A$4:$EO$14,((MONTH($A109)-1)*12)+VLOOKUP(AI$4,$DE$6:$DF$17,2)+1))*(VLOOKUP($A109,CURVES!$D$9:$T$261,7))*(INDEX(DailyScalarsTable,AI$5/100,MONTH($A109)))*$C109</f>
        <v>-10146.655270301379</v>
      </c>
      <c r="AJ109" s="1021">
        <f>(VLOOKUP(YEAR($A109),'NY East Load Projections'!$A$4:$EO$14,((MONTH($A109)-1)*12)+VLOOKUP(AJ$4,$DE$6:$DF$17,2)+1))*(VLOOKUP($A109,CURVES!$D$9:$T$261,7))*(INDEX(DailyScalarsTable,AJ$5/100,MONTH($A109)))*$C109</f>
        <v>-9546.4305923398861</v>
      </c>
      <c r="AK109" s="1021">
        <f>(VLOOKUP(YEAR($A109),'NY East Load Projections'!$A$4:$EO$14,((MONTH($A109)-1)*12)+VLOOKUP(AK$4,$DE$6:$DF$17,2)+1))*(VLOOKUP($A109,CURVES!$D$9:$T$261,7))*(INDEX(DailyScalarsTable,AK$5/100,MONTH($A109)))*$C109</f>
        <v>-10077.406153258658</v>
      </c>
      <c r="AL109" s="1021">
        <f>(VLOOKUP(YEAR($A109),'NY East Load Projections'!$A$4:$EO$14,((MONTH($A109)-1)*12)+VLOOKUP(AL$4,$DE$6:$DF$17,2)+1))*(VLOOKUP($A109,CURVES!$D$9:$T$261,7))*(INDEX(DailyScalarsTable,AL$5/100,MONTH($A109)))*$C109</f>
        <v>-11196.472022599473</v>
      </c>
      <c r="AM109" s="1021">
        <f>(VLOOKUP(YEAR($A109),'NY East Load Projections'!$A$4:$EO$14,((MONTH($A109)-1)*12)+VLOOKUP(AM$4,$DE$6:$DF$17,2)+1))*(VLOOKUP($A109,CURVES!$D$9:$T$261,7))*(INDEX(DailyScalarsTable,AM$5/100,MONTH($A109)))*$C109</f>
        <v>-13027.67071788443</v>
      </c>
      <c r="AN109" s="1021">
        <f>(VLOOKUP(YEAR($A109),'NY East Load Projections'!$A$4:$EO$14,((MONTH($A109)-1)*12)+VLOOKUP(AN$4,$DE$6:$DF$17,2)+1))*(VLOOKUP($A109,SatSunCurve,3))*(INDEX(DailyScalarsTable,AN$5/100,MONTH($A109)))*$C109</f>
        <v>-13464.952344060017</v>
      </c>
      <c r="AO109" s="1021">
        <f>(VLOOKUP(YEAR($A109),'NY East Load Projections'!$A$4:$EO$14,((MONTH($A109)-1)*12)+VLOOKUP(AO$4,$DE$6:$DF$17,2)+1))*(VLOOKUP($A109,SatSunCurve,3))*(INDEX(DailyScalarsTable,AO$5/100,MONTH($A109)))*$C109</f>
        <v>-16128.947312215474</v>
      </c>
      <c r="AP109" s="1021">
        <f>(VLOOKUP(YEAR($A109),'NY East Load Projections'!$A$4:$EO$14,((MONTH($A109)-1)*12)+VLOOKUP(AP$4,$DE$6:$DF$17,2)+1))*(VLOOKUP($A109,SatSunCurve,3))*(INDEX(DailyScalarsTable,AP$5/100,MONTH($A109)))*$C109</f>
        <v>-20684.382654871406</v>
      </c>
      <c r="AQ109" s="1021">
        <f>(VLOOKUP(YEAR($A109),'NY East Load Projections'!$A$4:$EO$14,((MONTH($A109)-1)*12)+VLOOKUP(AQ$4,$DE$6:$DF$17,2)+1))*(VLOOKUP($A109,SatSunCurve,3))*(INDEX(DailyScalarsTable,AQ$5/100,MONTH($A109)))*$C109</f>
        <v>-23345.478548106057</v>
      </c>
      <c r="AR109" s="1021">
        <f>(VLOOKUP(YEAR($A109),'NY East Load Projections'!$A$4:$EO$14,((MONTH($A109)-1)*12)+VLOOKUP(AR$4,$DE$6:$DF$17,2)+1))*(VLOOKUP($A109,SatSunCurve,3))*(INDEX(DailyScalarsTable,AR$5/100,MONTH($A109)))*$C109</f>
        <v>-24334.74470502606</v>
      </c>
      <c r="AS109" s="1021">
        <f>(VLOOKUP(YEAR($A109),'NY East Load Projections'!$A$4:$EO$14,((MONTH($A109)-1)*12)+VLOOKUP(AS$4,$DE$6:$DF$17,2)+1))*(VLOOKUP($A109,SatSunCurve,3))*(INDEX(DailyScalarsTable,AS$5/100,MONTH($A109)))*$C109</f>
        <v>-24963.58811018557</v>
      </c>
      <c r="AT109" s="1021">
        <f>(VLOOKUP(YEAR($A109),'NY East Load Projections'!$A$4:$EO$14,((MONTH($A109)-1)*12)+VLOOKUP(AT$4,$DE$6:$DF$17,2)+1))*(VLOOKUP($A109,SatSunCurve,3))*(INDEX(DailyScalarsTable,AT$5/100,MONTH($A109)))*$C109</f>
        <v>-27404.292639578485</v>
      </c>
      <c r="AU109" s="1021">
        <f>(VLOOKUP(YEAR($A109),'NY East Load Projections'!$A$4:$EO$14,((MONTH($A109)-1)*12)+VLOOKUP(AU$4,$DE$6:$DF$17,2)+1))*(VLOOKUP($A109,SatSunCurve,3))*(INDEX(DailyScalarsTable,AU$5/100,MONTH($A109)))*$C109</f>
        <v>-29011.737533458909</v>
      </c>
      <c r="AV109" s="1021">
        <f>(VLOOKUP(YEAR($A109),'NY East Load Projections'!$A$4:$EO$14,((MONTH($A109)-1)*12)+VLOOKUP(AV$4,$DE$6:$DF$17,2)+1))*(VLOOKUP($A109,SatSunCurve,3))*(INDEX(DailyScalarsTable,AV$5/100,MONTH($A109)))*$C109</f>
        <v>-28607.544426680466</v>
      </c>
      <c r="AW109" s="1021">
        <f>(VLOOKUP(YEAR($A109),'NY East Load Projections'!$A$4:$EO$14,((MONTH($A109)-1)*12)+VLOOKUP(AW$4,$DE$6:$DF$17,2)+1))*(VLOOKUP($A109,SatSunCurve,3))*(INDEX(DailyScalarsTable,AW$5/100,MONTH($A109)))*$C109</f>
        <v>-26702.920492996564</v>
      </c>
      <c r="AX109" s="1021">
        <f>(VLOOKUP(YEAR($A109),'NY East Load Projections'!$A$4:$EO$14,((MONTH($A109)-1)*12)+VLOOKUP(AX$4,$DE$6:$DF$17,2)+1))*(VLOOKUP($A109,SatSunCurve,3))*(INDEX(DailyScalarsTable,AX$5/100,MONTH($A109)))*$C109</f>
        <v>-24728.555124101444</v>
      </c>
      <c r="AY109" s="1021">
        <f>(VLOOKUP(YEAR($A109),'NY East Load Projections'!$A$4:$EO$14,((MONTH($A109)-1)*12)+VLOOKUP(AY$4,$DE$6:$DF$17,2)+1))*(VLOOKUP($A109,SatSunCurve,3))*(INDEX(DailyScalarsTable,AY$5/100,MONTH($A109)))*$C109</f>
        <v>-20156.340585607482</v>
      </c>
      <c r="AZ109" s="1021">
        <f>(VLOOKUP(YEAR($A109),'NY East Load Projections'!$A$4:$EO$14,((MONTH($A109)-1)*12)+VLOOKUP(AZ$4,$DE$6:$DF$17,2)+1))*(VLOOKUP($A109,SatSunCurve,3))*(INDEX(DailyScalarsTable,AZ$5/100,MONTH($A109)))*$C109</f>
        <v>-18351.206534046229</v>
      </c>
      <c r="BA109" s="1021">
        <f>(VLOOKUP(YEAR($A109),'NY East Load Projections'!$A$4:$EO$14,((MONTH($A109)-1)*12)+VLOOKUP(BA$4,$DE$6:$DF$17,2)+1))*(VLOOKUP($A109,SatSunCurve,3))*(INDEX(DailyScalarsTable,BA$5/100,MONTH($A109)))*$C109</f>
        <v>-21823.928483244628</v>
      </c>
      <c r="BB109" s="1021">
        <f>(VLOOKUP(YEAR($A109),'NY East Load Projections'!$A$4:$EO$14,((MONTH($A109)-1)*12)+VLOOKUP(BB$4,$DE$6:$DF$17,2)+1))*(VLOOKUP($A109,SatSunCurve,3))*(INDEX(DailyScalarsTable,BB$5/100,MONTH($A109)))*$C109</f>
        <v>-18557.495057181015</v>
      </c>
      <c r="BC109" s="1021">
        <f>(VLOOKUP(YEAR($A109),'NY East Load Projections'!$A$4:$EO$14,((MONTH($A109)-1)*12)+VLOOKUP(BC$4,$DE$6:$DF$17,2)+1))*(VLOOKUP($A109,SatSunCurve,3))*(INDEX(DailyScalarsTable,BC$5/100,MONTH($A109)))*$C109</f>
        <v>-15027.277488462771</v>
      </c>
      <c r="BD109" s="1021">
        <f>(VLOOKUP(YEAR($A109),'NY East Load Projections'!$A$4:$EO$14,((MONTH($A109)-1)*12)+VLOOKUP(BD$4,$DE$6:$DF$17,2)+1))*(VLOOKUP($A109,CURVES!$D$9:$T$261,7))*(INDEX(DailyScalarsTable,BD$5/100,MONTH($A109)))*$C109</f>
        <v>-15113.840390576941</v>
      </c>
      <c r="BE109" s="1021"/>
      <c r="BF109" s="1021">
        <f>(VLOOKUP(YEAR($A109),'NY East Load Projections'!$A$4:$EO$14,((MONTH($A109)-1)*12)+VLOOKUP(BF$4,$DE$6:$DF$17,2)+1))*(VLOOKUP($A109,CURVES!$D$9:$T$261,7))*(INDEX(DailyScalarsTable,BF$5/100,MONTH($A109)))*$D109</f>
        <v>-12516.11364187316</v>
      </c>
      <c r="BG109" s="1021">
        <f>(VLOOKUP(YEAR($A109),'NY East Load Projections'!$A$4:$EO$14,((MONTH($A109)-1)*12)+VLOOKUP(BG$4,$DE$6:$DF$17,2)+1))*(VLOOKUP($A109,CURVES!$D$9:$T$261,7))*(INDEX(DailyScalarsTable,BG$5/100,MONTH($A109)))*$D109</f>
        <v>-11298.515009436996</v>
      </c>
      <c r="BH109" s="1021">
        <f>(VLOOKUP(YEAR($A109),'NY East Load Projections'!$A$4:$EO$14,((MONTH($A109)-1)*12)+VLOOKUP(BH$4,$DE$6:$DF$17,2)+1))*(VLOOKUP($A109,CURVES!$D$9:$T$261,7))*(INDEX(DailyScalarsTable,BH$5/100,MONTH($A109)))*$D109</f>
        <v>-10146.655270301379</v>
      </c>
      <c r="BI109" s="1021">
        <f>(VLOOKUP(YEAR($A109),'NY East Load Projections'!$A$4:$EO$14,((MONTH($A109)-1)*12)+VLOOKUP(BI$4,$DE$6:$DF$17,2)+1))*(VLOOKUP($A109,CURVES!$D$9:$T$261,7))*(INDEX(DailyScalarsTable,BI$5/100,MONTH($A109)))*$D109</f>
        <v>-9546.4305923398861</v>
      </c>
      <c r="BJ109" s="1021">
        <f>(VLOOKUP(YEAR($A109),'NY East Load Projections'!$A$4:$EO$14,((MONTH($A109)-1)*12)+VLOOKUP(BJ$4,$DE$6:$DF$17,2)+1))*(VLOOKUP($A109,CURVES!$D$9:$T$261,7))*(INDEX(DailyScalarsTable,BJ$5/100,MONTH($A109)))*$D109</f>
        <v>-10077.406153258658</v>
      </c>
      <c r="BK109" s="1021">
        <f>(VLOOKUP(YEAR($A109),'NY East Load Projections'!$A$4:$EO$14,((MONTH($A109)-1)*12)+VLOOKUP(BK$4,$DE$6:$DF$17,2)+1))*(VLOOKUP($A109,CURVES!$D$9:$T$261,7))*(INDEX(DailyScalarsTable,BK$5/100,MONTH($A109)))*$D109</f>
        <v>-11196.472022599473</v>
      </c>
      <c r="BL109" s="1021">
        <f>(VLOOKUP(YEAR($A109),'NY East Load Projections'!$A$4:$EO$14,((MONTH($A109)-1)*12)+VLOOKUP(BL$4,$DE$6:$DF$17,2)+1))*(VLOOKUP($A109,CURVES!$D$9:$T$261,7))*(INDEX(DailyScalarsTable,BL$5/100,MONTH($A109)))*$D109</f>
        <v>-13027.67071788443</v>
      </c>
      <c r="BM109" s="1021">
        <f>(VLOOKUP(YEAR($A109),'NY East Load Projections'!$A$4:$EO$14,((MONTH($A109)-1)*12)+VLOOKUP(BM$4,$DE$6:$DF$17,2)+1))*(VLOOKUP($A109,SatSunCurve,7))*(INDEX(DailyScalarsTable,BM$5/100,MONTH($A109)))*$D109</f>
        <v>-9910.5962158728198</v>
      </c>
      <c r="BN109" s="1021">
        <f>(VLOOKUP(YEAR($A109),'NY East Load Projections'!$A$4:$EO$14,((MONTH($A109)-1)*12)+VLOOKUP(BN$4,$DE$6:$DF$17,2)+1))*(VLOOKUP($A109,SatSunCurve,7))*(INDEX(DailyScalarsTable,BN$5/100,MONTH($A109)))*$D109</f>
        <v>-11871.373927956791</v>
      </c>
      <c r="BO109" s="1021">
        <f>(VLOOKUP(YEAR($A109),'NY East Load Projections'!$A$4:$EO$14,((MONTH($A109)-1)*12)+VLOOKUP(BO$4,$DE$6:$DF$17,2)+1))*(VLOOKUP($A109,SatSunCurve,7))*(INDEX(DailyScalarsTable,BO$5/100,MONTH($A109)))*$D109</f>
        <v>-15224.306720808119</v>
      </c>
      <c r="BP109" s="1021">
        <f>(VLOOKUP(YEAR($A109),'NY East Load Projections'!$A$4:$EO$14,((MONTH($A109)-1)*12)+VLOOKUP(BP$4,$DE$6:$DF$17,2)+1))*(VLOOKUP($A109,SatSunCurve,7))*(INDEX(DailyScalarsTable,BP$5/100,MONTH($A109)))*$D109</f>
        <v>-17182.950629503448</v>
      </c>
      <c r="BQ109" s="1021">
        <f>(VLOOKUP(YEAR($A109),'NY East Load Projections'!$A$4:$EO$14,((MONTH($A109)-1)*12)+VLOOKUP(BQ$4,$DE$6:$DF$17,2)+1))*(VLOOKUP($A109,SatSunCurve,7))*(INDEX(DailyScalarsTable,BQ$5/100,MONTH($A109)))*$D109</f>
        <v>-17911.079269007136</v>
      </c>
      <c r="BR109" s="1021">
        <f>(VLOOKUP(YEAR($A109),'NY East Load Projections'!$A$4:$EO$14,((MONTH($A109)-1)*12)+VLOOKUP(BR$4,$DE$6:$DF$17,2)+1))*(VLOOKUP($A109,SatSunCurve,7))*(INDEX(DailyScalarsTable,BR$5/100,MONTH($A109)))*$D109</f>
        <v>-18373.926289353236</v>
      </c>
      <c r="BS109" s="1021">
        <f>(VLOOKUP(YEAR($A109),'NY East Load Projections'!$A$4:$EO$14,((MONTH($A109)-1)*12)+VLOOKUP(BS$4,$DE$6:$DF$17,2)+1))*(VLOOKUP($A109,SatSunCurve,7))*(INDEX(DailyScalarsTable,BS$5/100,MONTH($A109)))*$D109</f>
        <v>-20170.355749702259</v>
      </c>
      <c r="BT109" s="1021">
        <f>(VLOOKUP(YEAR($A109),'NY East Load Projections'!$A$4:$EO$14,((MONTH($A109)-1)*12)+VLOOKUP(BT$4,$DE$6:$DF$17,2)+1))*(VLOOKUP($A109,SatSunCurve,7))*(INDEX(DailyScalarsTable,BT$5/100,MONTH($A109)))*$D109</f>
        <v>-21353.481903842952</v>
      </c>
      <c r="BU109" s="1021">
        <f>(VLOOKUP(YEAR($A109),'NY East Load Projections'!$A$4:$EO$14,((MONTH($A109)-1)*12)+VLOOKUP(BU$4,$DE$6:$DF$17,2)+1))*(VLOOKUP($A109,SatSunCurve,7))*(INDEX(DailyScalarsTable,BU$5/100,MONTH($A109)))*$D109</f>
        <v>-21055.984031428467</v>
      </c>
      <c r="BV109" s="1021">
        <f>(VLOOKUP(YEAR($A109),'NY East Load Projections'!$A$4:$EO$14,((MONTH($A109)-1)*12)+VLOOKUP(BV$4,$DE$6:$DF$17,2)+1))*(VLOOKUP($A109,SatSunCurve,7))*(INDEX(DailyScalarsTable,BV$5/100,MONTH($A109)))*$D109</f>
        <v>-19654.125467988732</v>
      </c>
      <c r="BW109" s="1021">
        <f>(VLOOKUP(YEAR($A109),'NY East Load Projections'!$A$4:$EO$14,((MONTH($A109)-1)*12)+VLOOKUP(BW$4,$DE$6:$DF$17,2)+1))*(VLOOKUP($A109,SatSunCurve,7))*(INDEX(DailyScalarsTable,BW$5/100,MONTH($A109)))*$D109</f>
        <v>-18200.935181551944</v>
      </c>
      <c r="BX109" s="1021">
        <f>(VLOOKUP(YEAR($A109),'NY East Load Projections'!$A$4:$EO$14,((MONTH($A109)-1)*12)+VLOOKUP(BX$4,$DE$6:$DF$17,2)+1))*(VLOOKUP($A109,SatSunCurve,7))*(INDEX(DailyScalarsTable,BX$5/100,MONTH($A109)))*$D109</f>
        <v>-14835.652412961477</v>
      </c>
      <c r="BY109" s="1021">
        <f>(VLOOKUP(YEAR($A109),'NY East Load Projections'!$A$4:$EO$14,((MONTH($A109)-1)*12)+VLOOKUP(BY$4,$DE$6:$DF$17,2)+1))*(VLOOKUP($A109,SatSunCurve,7))*(INDEX(DailyScalarsTable,BY$5/100,MONTH($A109)))*$D109</f>
        <v>-13507.021293933554</v>
      </c>
      <c r="BZ109" s="1021">
        <f>(VLOOKUP(YEAR($A109),'NY East Load Projections'!$A$4:$EO$14,((MONTH($A109)-1)*12)+VLOOKUP(BZ$4,$DE$6:$DF$17,2)+1))*(VLOOKUP($A109,SatSunCurve,7))*(INDEX(DailyScalarsTable,BZ$5/100,MONTH($A109)))*$D109</f>
        <v>-16063.045565618913</v>
      </c>
      <c r="CA109" s="1021">
        <f>(VLOOKUP(YEAR($A109),'NY East Load Projections'!$A$4:$EO$14,((MONTH($A109)-1)*12)+VLOOKUP(CA$4,$DE$6:$DF$17,2)+1))*(VLOOKUP($A109,SatSunCurve,7))*(INDEX(DailyScalarsTable,CA$5/100,MONTH($A109)))*$D109</f>
        <v>-13658.8556416919</v>
      </c>
      <c r="CB109" s="1021">
        <f>(VLOOKUP(YEAR($A109),'NY East Load Projections'!$A$4:$EO$14,((MONTH($A109)-1)*12)+VLOOKUP(CB$4,$DE$6:$DF$17,2)+1))*(VLOOKUP($A109,SatSunCurve,7))*(INDEX(DailyScalarsTable,CB$5/100,MONTH($A109)))*$D109</f>
        <v>-11060.512923220944</v>
      </c>
      <c r="CC109" s="1021">
        <f>(VLOOKUP(YEAR($A109),'NY East Load Projections'!$A$4:$EO$14,((MONTH($A109)-1)*12)+VLOOKUP(CC$4,$DE$6:$DF$17,2)+1))*(VLOOKUP($A109,CURVES!$D$9:$T$261,7))*(INDEX(DailyScalarsTable,CC$5/100,MONTH($A109)))*$D109</f>
        <v>-15113.840390576941</v>
      </c>
      <c r="CE109" s="1021">
        <f>(VLOOKUP(YEAR($A109),'NY East Load Projections'!$A$4:$EO$14,((MONTH($A109)-1)*12)+VLOOKUP(CE$4,$DE$6:$DF$17,2)+1))*(VLOOKUP($A109,CURVES!$D$9:$T$261,7))*(INDEX(DailyScalarsTable,CE$5/100,MONTH($A109)))*$E109</f>
        <v>0</v>
      </c>
      <c r="CF109" s="1021">
        <f>(VLOOKUP(YEAR($A109),'NY East Load Projections'!$A$4:$EO$14,((MONTH($A109)-1)*12)+VLOOKUP(CF$4,$DE$6:$DF$17,2)+1))*(VLOOKUP($A109,CURVES!$D$9:$T$261,7))*(INDEX(DailyScalarsTable,CF$5/100,MONTH($A109)))*$E109</f>
        <v>0</v>
      </c>
      <c r="CG109" s="1021">
        <f>(VLOOKUP(YEAR($A109),'NY East Load Projections'!$A$4:$EO$14,((MONTH($A109)-1)*12)+VLOOKUP(CG$4,$DE$6:$DF$17,2)+1))*(VLOOKUP($A109,CURVES!$D$9:$T$261,7))*(INDEX(DailyScalarsTable,CG$5/100,MONTH($A109)))*$E109</f>
        <v>0</v>
      </c>
      <c r="CH109" s="1021">
        <f>(VLOOKUP(YEAR($A109),'NY East Load Projections'!$A$4:$EO$14,((MONTH($A109)-1)*12)+VLOOKUP(CH$4,$DE$6:$DF$17,2)+1))*(VLOOKUP($A109,CURVES!$D$9:$T$261,7))*(INDEX(DailyScalarsTable,CH$5/100,MONTH($A109)))*$E109</f>
        <v>0</v>
      </c>
      <c r="CI109" s="1021">
        <f>(VLOOKUP(YEAR($A109),'NY East Load Projections'!$A$4:$EO$14,((MONTH($A109)-1)*12)+VLOOKUP(CI$4,$DE$6:$DF$17,2)+1))*(VLOOKUP($A109,CURVES!$D$9:$T$261,7))*(INDEX(DailyScalarsTable,CI$5/100,MONTH($A109)))*$E109</f>
        <v>0</v>
      </c>
      <c r="CJ109" s="1021">
        <f>(VLOOKUP(YEAR($A109),'NY East Load Projections'!$A$4:$EO$14,((MONTH($A109)-1)*12)+VLOOKUP(CJ$4,$DE$6:$DF$17,2)+1))*(VLOOKUP($A109,CURVES!$D$9:$T$261,7))*(INDEX(DailyScalarsTable,CJ$5/100,MONTH($A109)))*$E109</f>
        <v>0</v>
      </c>
      <c r="CK109" s="1021">
        <f>(VLOOKUP(YEAR($A109),'NY East Load Projections'!$A$4:$EO$14,((MONTH($A109)-1)*12)+VLOOKUP(CK$4,$DE$6:$DF$17,2)+1))*(VLOOKUP($A109,CURVES!$D$9:$T$261,7))*(INDEX(DailyScalarsTable,CK$5/100,MONTH($A109)))*$E109</f>
        <v>0</v>
      </c>
      <c r="CL109" s="1021">
        <f>(VLOOKUP(YEAR($A109),'NY East Load Projections'!$A$4:$EO$14,((MONTH($A109)-1)*12)+VLOOKUP(CL$4,$DE$6:$DF$17,2)+1))*(VLOOKUP($A109,SatSunCurve,7))*(INDEX(DailyScalarsTable,CL$5/100,MONTH($A109)))*$E109</f>
        <v>0</v>
      </c>
      <c r="CM109" s="1021">
        <f>(VLOOKUP(YEAR($A109),'NY East Load Projections'!$A$4:$EO$14,((MONTH($A109)-1)*12)+VLOOKUP(CM$4,$DE$6:$DF$17,2)+1))*(VLOOKUP($A109,SatSunCurve,7))*(INDEX(DailyScalarsTable,CM$5/100,MONTH($A109)))*$E109</f>
        <v>0</v>
      </c>
      <c r="CN109" s="1021">
        <f>(VLOOKUP(YEAR($A109),'NY East Load Projections'!$A$4:$EO$14,((MONTH($A109)-1)*12)+VLOOKUP(CN$4,$DE$6:$DF$17,2)+1))*(VLOOKUP($A109,SatSunCurve,7))*(INDEX(DailyScalarsTable,CN$5/100,MONTH($A109)))*$E109</f>
        <v>0</v>
      </c>
      <c r="CO109" s="1021">
        <f>(VLOOKUP(YEAR($A109),'NY East Load Projections'!$A$4:$EO$14,((MONTH($A109)-1)*12)+VLOOKUP(CO$4,$DE$6:$DF$17,2)+1))*(VLOOKUP($A109,SatSunCurve,7))*(INDEX(DailyScalarsTable,CO$5/100,MONTH($A109)))*$E109</f>
        <v>0</v>
      </c>
      <c r="CP109" s="1021">
        <f>(VLOOKUP(YEAR($A109),'NY East Load Projections'!$A$4:$EO$14,((MONTH($A109)-1)*12)+VLOOKUP(CP$4,$DE$6:$DF$17,2)+1))*(VLOOKUP($A109,SatSunCurve,7))*(INDEX(DailyScalarsTable,CP$5/100,MONTH($A109)))*$E109</f>
        <v>0</v>
      </c>
      <c r="CQ109" s="1021">
        <f>(VLOOKUP(YEAR($A109),'NY East Load Projections'!$A$4:$EO$14,((MONTH($A109)-1)*12)+VLOOKUP(CQ$4,$DE$6:$DF$17,2)+1))*(VLOOKUP($A109,SatSunCurve,7))*(INDEX(DailyScalarsTable,CQ$5/100,MONTH($A109)))*$E109</f>
        <v>0</v>
      </c>
      <c r="CR109" s="1021">
        <f>(VLOOKUP(YEAR($A109),'NY East Load Projections'!$A$4:$EO$14,((MONTH($A109)-1)*12)+VLOOKUP(CR$4,$DE$6:$DF$17,2)+1))*(VLOOKUP($A109,SatSunCurve,7))*(INDEX(DailyScalarsTable,CR$5/100,MONTH($A109)))*$E109</f>
        <v>0</v>
      </c>
      <c r="CS109" s="1021">
        <f>(VLOOKUP(YEAR($A109),'NY East Load Projections'!$A$4:$EO$14,((MONTH($A109)-1)*12)+VLOOKUP(CS$4,$DE$6:$DF$17,2)+1))*(VLOOKUP($A109,SatSunCurve,7))*(INDEX(DailyScalarsTable,CS$5/100,MONTH($A109)))*$E109</f>
        <v>0</v>
      </c>
      <c r="CT109" s="1021">
        <f>(VLOOKUP(YEAR($A109),'NY East Load Projections'!$A$4:$EO$14,((MONTH($A109)-1)*12)+VLOOKUP(CT$4,$DE$6:$DF$17,2)+1))*(VLOOKUP($A109,SatSunCurve,7))*(INDEX(DailyScalarsTable,CT$5/100,MONTH($A109)))*$E109</f>
        <v>0</v>
      </c>
      <c r="CU109" s="1021">
        <f>(VLOOKUP(YEAR($A109),'NY East Load Projections'!$A$4:$EO$14,((MONTH($A109)-1)*12)+VLOOKUP(CU$4,$DE$6:$DF$17,2)+1))*(VLOOKUP($A109,SatSunCurve,7))*(INDEX(DailyScalarsTable,CU$5/100,MONTH($A109)))*$E109</f>
        <v>0</v>
      </c>
      <c r="CV109" s="1021">
        <f>(VLOOKUP(YEAR($A109),'NY East Load Projections'!$A$4:$EO$14,((MONTH($A109)-1)*12)+VLOOKUP(CV$4,$DE$6:$DF$17,2)+1))*(VLOOKUP($A109,SatSunCurve,7))*(INDEX(DailyScalarsTable,CV$5/100,MONTH($A109)))*$E109</f>
        <v>0</v>
      </c>
      <c r="CW109" s="1021">
        <f>(VLOOKUP(YEAR($A109),'NY East Load Projections'!$A$4:$EO$14,((MONTH($A109)-1)*12)+VLOOKUP(CW$4,$DE$6:$DF$17,2)+1))*(VLOOKUP($A109,SatSunCurve,7))*(INDEX(DailyScalarsTable,CW$5/100,MONTH($A109)))*$E109</f>
        <v>0</v>
      </c>
      <c r="CX109" s="1021">
        <f>(VLOOKUP(YEAR($A109),'NY East Load Projections'!$A$4:$EO$14,((MONTH($A109)-1)*12)+VLOOKUP(CX$4,$DE$6:$DF$17,2)+1))*(VLOOKUP($A109,SatSunCurve,7))*(INDEX(DailyScalarsTable,CX$5/100,MONTH($A109)))*$E109</f>
        <v>0</v>
      </c>
      <c r="CY109" s="1021">
        <f>(VLOOKUP(YEAR($A109),'NY East Load Projections'!$A$4:$EO$14,((MONTH($A109)-1)*12)+VLOOKUP(CY$4,$DE$6:$DF$17,2)+1))*(VLOOKUP($A109,SatSunCurve,7))*(INDEX(DailyScalarsTable,CY$5/100,MONTH($A109)))*$E109</f>
        <v>0</v>
      </c>
      <c r="CZ109" s="1021">
        <f>(VLOOKUP(YEAR($A109),'NY East Load Projections'!$A$4:$EO$14,((MONTH($A109)-1)*12)+VLOOKUP(CZ$4,$DE$6:$DF$17,2)+1))*(VLOOKUP($A109,SatSunCurve,7))*(INDEX(DailyScalarsTable,CZ$5/100,MONTH($A109)))*$E109</f>
        <v>0</v>
      </c>
      <c r="DA109" s="1021">
        <f>(VLOOKUP(YEAR($A109),'NY East Load Projections'!$A$4:$EO$14,((MONTH($A109)-1)*12)+VLOOKUP(DA$4,$DE$6:$DF$17,2)+1))*(VLOOKUP($A109,SatSunCurve,7))*(INDEX(DailyScalarsTable,DA$5/100,MONTH($A109)))*$E109</f>
        <v>0</v>
      </c>
      <c r="DB109" s="1021">
        <f>(VLOOKUP(YEAR($A109),'NY East Load Projections'!$A$4:$EO$14,((MONTH($A109)-1)*12)+VLOOKUP(DB$4,$DE$6:$DF$17,2)+1))*(VLOOKUP($A109,CURVES!$D$9:$T$261,7))*(INDEX(DailyScalarsTable,DB$5/100,MONTH($A109)))*$E109</f>
        <v>0</v>
      </c>
      <c r="DH109" s="1032">
        <f t="shared" si="2"/>
        <v>-3772847.0593356714</v>
      </c>
      <c r="DI109">
        <f ca="1">CALC!J129</f>
        <v>0.4990621226429876</v>
      </c>
      <c r="DJ109" s="1029">
        <f t="shared" ca="1" si="3"/>
        <v>-1882885.0618394141</v>
      </c>
    </row>
    <row r="110" spans="1:114" x14ac:dyDescent="0.25">
      <c r="A110" s="244">
        <v>40057</v>
      </c>
      <c r="B110" s="13">
        <v>21</v>
      </c>
      <c r="C110" s="210">
        <v>4</v>
      </c>
      <c r="D110" s="210">
        <v>4</v>
      </c>
      <c r="E110" s="210">
        <v>1</v>
      </c>
      <c r="F110" s="13">
        <v>30</v>
      </c>
      <c r="H110" s="1021">
        <f>(VLOOKUP(YEAR($A110),'NY East Load Projections'!$A$4:$EO$14,((MONTH($A110)-1)*12)+VLOOKUP(H$4,$DE$6:$DF$17,2)+1))*(VLOOKUP($A110,CURVES!$D$9:$K$261,7))*(INDEX(DailyScalarsTable,H$5/100,MONTH($A110)))*$B110</f>
        <v>-40331.452418719644</v>
      </c>
      <c r="I110" s="1021">
        <f>(VLOOKUP(YEAR($A110),'NY East Load Projections'!$A$4:$EO$14,((MONTH($A110)-1)*12)+VLOOKUP(I$4,$DE$6:$DF$17,2)+1))*(VLOOKUP($A110,CURVES!$D$9:$K$261,7))*(INDEX(DailyScalarsTable,I$5/100,MONTH($A110)))*$B110</f>
        <v>-35383.499277179995</v>
      </c>
      <c r="J110" s="1021">
        <f>(VLOOKUP(YEAR($A110),'NY East Load Projections'!$A$4:$EO$14,((MONTH($A110)-1)*12)+VLOOKUP(J$4,$DE$6:$DF$17,2)+1))*(VLOOKUP($A110,CURVES!$D$9:$K$261,7))*(INDEX(DailyScalarsTable,J$5/100,MONTH($A110)))*$B110</f>
        <v>-33180.994255583675</v>
      </c>
      <c r="K110" s="1021">
        <f>(VLOOKUP(YEAR($A110),'NY East Load Projections'!$A$4:$EO$14,((MONTH($A110)-1)*12)+VLOOKUP(K$4,$DE$6:$DF$17,2)+1))*(VLOOKUP($A110,CURVES!$D$9:$K$261,7))*(INDEX(DailyScalarsTable,K$5/100,MONTH($A110)))*$B110</f>
        <v>-33672.716306916816</v>
      </c>
      <c r="L110" s="1021">
        <f>(VLOOKUP(YEAR($A110),'NY East Load Projections'!$A$4:$EO$14,((MONTH($A110)-1)*12)+VLOOKUP(L$4,$DE$6:$DF$17,2)+1))*(VLOOKUP($A110,CURVES!$D$9:$K$261,7))*(INDEX(DailyScalarsTable,L$5/100,MONTH($A110)))*$B110</f>
        <v>-38750.319912009611</v>
      </c>
      <c r="M110" s="1021">
        <f>(VLOOKUP(YEAR($A110),'NY East Load Projections'!$A$4:$EO$14,((MONTH($A110)-1)*12)+VLOOKUP(M$4,$DE$6:$DF$17,2)+1))*(VLOOKUP($A110,CURVES!$D$9:$K$261,7))*(INDEX(DailyScalarsTable,M$5/100,MONTH($A110)))*$B110</f>
        <v>-44842.931495808247</v>
      </c>
      <c r="N110" s="1021">
        <f>(VLOOKUP(YEAR($A110),'NY East Load Projections'!$A$4:$EO$14,((MONTH($A110)-1)*12)+VLOOKUP(N$4,$DE$6:$DF$17,2)+1))*(VLOOKUP($A110,CURVES!$D$9:$K$261,7))*(INDEX(DailyScalarsTable,N$5/100,MONTH($A110)))*$B110</f>
        <v>-60980.709131747994</v>
      </c>
      <c r="O110" s="1021">
        <f>(VLOOKUP(YEAR($A110),'NY East Load Projections'!$A$4:$EO$14,((MONTH($A110)-1)*12)+VLOOKUP(O$4,$DE$6:$DF$17,2)+1))*(VLOOKUP($A110,CURVES!$D$9:$K$261,3))*(INDEX(DailyScalarsTable,O$5/100,MONTH($A110)))*$B110</f>
        <v>-55141.901664841571</v>
      </c>
      <c r="P110" s="1021">
        <f>(VLOOKUP(YEAR($A110),'NY East Load Projections'!$A$4:$EO$14,((MONTH($A110)-1)*12)+VLOOKUP(P$4,$DE$6:$DF$17,2)+1))*(VLOOKUP($A110,CURVES!$D$9:$K$261,3))*(INDEX(DailyScalarsTable,P$5/100,MONTH($A110)))*$B110</f>
        <v>-58524.622099515036</v>
      </c>
      <c r="Q110" s="1021">
        <f>(VLOOKUP(YEAR($A110),'NY East Load Projections'!$A$4:$EO$14,((MONTH($A110)-1)*12)+VLOOKUP(Q$4,$DE$6:$DF$17,2)+1))*(VLOOKUP($A110,CURVES!$D$9:$K$261,3))*(INDEX(DailyScalarsTable,Q$5/100,MONTH($A110)))*$B110</f>
        <v>-73057.051878611848</v>
      </c>
      <c r="R110" s="1021">
        <f>(VLOOKUP(YEAR($A110),'NY East Load Projections'!$A$4:$EO$14,((MONTH($A110)-1)*12)+VLOOKUP(R$4,$DE$6:$DF$17,2)+1))*(VLOOKUP($A110,CURVES!$D$9:$K$261,3))*(INDEX(DailyScalarsTable,R$5/100,MONTH($A110)))*$B110</f>
        <v>-78021.546523644953</v>
      </c>
      <c r="S110" s="1021">
        <f>(VLOOKUP(YEAR($A110),'NY East Load Projections'!$A$4:$EO$14,((MONTH($A110)-1)*12)+VLOOKUP(S$4,$DE$6:$DF$17,2)+1))*(VLOOKUP($A110,CURVES!$D$9:$K$261,3))*(INDEX(DailyScalarsTable,S$5/100,MONTH($A110)))*$B110</f>
        <v>-83132.719419554021</v>
      </c>
      <c r="T110" s="1021">
        <f>(VLOOKUP(YEAR($A110),'NY East Load Projections'!$A$4:$EO$14,((MONTH($A110)-1)*12)+VLOOKUP(T$4,$DE$6:$DF$17,2)+1))*(VLOOKUP($A110,CURVES!$D$9:$K$261,3))*(INDEX(DailyScalarsTable,T$5/100,MONTH($A110)))*$B110</f>
        <v>-80831.878095916851</v>
      </c>
      <c r="U110" s="1021">
        <f>(VLOOKUP(YEAR($A110),'NY East Load Projections'!$A$4:$EO$14,((MONTH($A110)-1)*12)+VLOOKUP(U$4,$DE$6:$DF$17,2)+1))*(VLOOKUP($A110,CURVES!$D$9:$K$261,3))*(INDEX(DailyScalarsTable,U$5/100,MONTH($A110)))*$B110</f>
        <v>-87503.089507593628</v>
      </c>
      <c r="V110" s="1021">
        <f>(VLOOKUP(YEAR($A110),'NY East Load Projections'!$A$4:$EO$14,((MONTH($A110)-1)*12)+VLOOKUP(V$4,$DE$6:$DF$17,2)+1))*(VLOOKUP($A110,CURVES!$D$9:$K$261,3))*(INDEX(DailyScalarsTable,V$5/100,MONTH($A110)))*$B110</f>
        <v>-86122.438798046656</v>
      </c>
      <c r="W110" s="1021">
        <f>(VLOOKUP(YEAR($A110),'NY East Load Projections'!$A$4:$EO$14,((MONTH($A110)-1)*12)+VLOOKUP(W$4,$DE$6:$DF$17,2)+1))*(VLOOKUP($A110,CURVES!$D$9:$K$261,3))*(INDEX(DailyScalarsTable,W$5/100,MONTH($A110)))*$B110</f>
        <v>-83430.750019770087</v>
      </c>
      <c r="X110" s="1021">
        <f>(VLOOKUP(YEAR($A110),'NY East Load Projections'!$A$4:$EO$14,((MONTH($A110)-1)*12)+VLOOKUP(X$4,$DE$6:$DF$17,2)+1))*(VLOOKUP($A110,CURVES!$D$9:$K$261,3))*(INDEX(DailyScalarsTable,X$5/100,MONTH($A110)))*$B110</f>
        <v>-86095.647073091866</v>
      </c>
      <c r="Y110" s="1021">
        <f>(VLOOKUP(YEAR($A110),'NY East Load Projections'!$A$4:$EO$14,((MONTH($A110)-1)*12)+VLOOKUP(Y$4,$DE$6:$DF$17,2)+1))*(VLOOKUP($A110,CURVES!$D$9:$K$261,3))*(INDEX(DailyScalarsTable,Y$5/100,MONTH($A110)))*$B110</f>
        <v>-83983.552438632541</v>
      </c>
      <c r="Z110" s="1021">
        <f>(VLOOKUP(YEAR($A110),'NY East Load Projections'!$A$4:$EO$14,((MONTH($A110)-1)*12)+VLOOKUP(Z$4,$DE$6:$DF$17,2)+1))*(VLOOKUP($A110,CURVES!$D$9:$K$261,3))*(INDEX(DailyScalarsTable,Z$5/100,MONTH($A110)))*$B110</f>
        <v>-68787.587358075194</v>
      </c>
      <c r="AA110" s="1021">
        <f>(VLOOKUP(YEAR($A110),'NY East Load Projections'!$A$4:$EO$14,((MONTH($A110)-1)*12)+VLOOKUP(AA$4,$DE$6:$DF$17,2)+1))*(VLOOKUP($A110,CURVES!$D$9:$K$261,3))*(INDEX(DailyScalarsTable,AA$5/100,MONTH($A110)))*$B110</f>
        <v>-89897.417415118645</v>
      </c>
      <c r="AB110" s="1021">
        <f>(VLOOKUP(YEAR($A110),'NY East Load Projections'!$A$4:$EO$14,((MONTH($A110)-1)*12)+VLOOKUP(AB$4,$DE$6:$DF$17,2)+1))*(VLOOKUP($A110,CURVES!$D$9:$K$261,3))*(INDEX(DailyScalarsTable,AB$5/100,MONTH($A110)))*$B110</f>
        <v>-82074.799540917316</v>
      </c>
      <c r="AC110" s="1021">
        <f>(VLOOKUP(YEAR($A110),'NY East Load Projections'!$A$4:$EO$14,((MONTH($A110)-1)*12)+VLOOKUP(AC$4,$DE$6:$DF$17,2)+1))*(VLOOKUP($A110,CURVES!$D$9:$K$261,3))*(INDEX(DailyScalarsTable,AC$5/100,MONTH($A110)))*$B110</f>
        <v>-62467.03531407073</v>
      </c>
      <c r="AD110" s="1021">
        <f>(VLOOKUP(YEAR($A110),'NY East Load Projections'!$A$4:$EO$14,((MONTH($A110)-1)*12)+VLOOKUP(AD$4,$DE$6:$DF$17,2)+1))*(VLOOKUP($A110,CURVES!$D$9:$K$261,3))*(INDEX(DailyScalarsTable,AD$5/100,MONTH($A110)))*$B110</f>
        <v>-49502.558761617795</v>
      </c>
      <c r="AE110" s="1021">
        <f>(VLOOKUP(YEAR($A110),'NY East Load Projections'!$A$4:$EO$14,((MONTH($A110)-1)*12)+VLOOKUP(AE$4,$DE$6:$DF$17,2)+1))*(VLOOKUP($A110,CURVES!$D$9:$K$261,7))*(INDEX(DailyScalarsTable,AE$5/100,MONTH($A110)))*$B110</f>
        <v>-46987.908628966252</v>
      </c>
      <c r="AF110" s="1021"/>
      <c r="AG110" s="1021">
        <f>(VLOOKUP(YEAR($A110),'NY East Load Projections'!$A$4:$EO$14,((MONTH($A110)-1)*12)+VLOOKUP(AG$4,$DE$6:$DF$17,2)+1))*(VLOOKUP($A110,CURVES!$D$9:$T$261,7))*(INDEX(DailyScalarsTable,AG$5/100,MONTH($A110)))*$C110</f>
        <v>-7992.011800954404</v>
      </c>
      <c r="AH110" s="1021">
        <f>(VLOOKUP(YEAR($A110),'NY East Load Projections'!$A$4:$EO$14,((MONTH($A110)-1)*12)+VLOOKUP(AH$4,$DE$6:$DF$17,2)+1))*(VLOOKUP($A110,CURVES!$D$9:$T$261,7))*(INDEX(DailyScalarsTable,AH$5/100,MONTH($A110)))*$C110</f>
        <v>-7011.5338482338102</v>
      </c>
      <c r="AI110" s="1021">
        <f>(VLOOKUP(YEAR($A110),'NY East Load Projections'!$A$4:$EO$14,((MONTH($A110)-1)*12)+VLOOKUP(AI$4,$DE$6:$DF$17,2)+1))*(VLOOKUP($A110,CURVES!$D$9:$T$261,7))*(INDEX(DailyScalarsTable,AI$5/100,MONTH($A110)))*$C110</f>
        <v>-6575.0892108944163</v>
      </c>
      <c r="AJ110" s="1021">
        <f>(VLOOKUP(YEAR($A110),'NY East Load Projections'!$A$4:$EO$14,((MONTH($A110)-1)*12)+VLOOKUP(AJ$4,$DE$6:$DF$17,2)+1))*(VLOOKUP($A110,CURVES!$D$9:$T$261,7))*(INDEX(DailyScalarsTable,AJ$5/100,MONTH($A110)))*$C110</f>
        <v>-6672.5280136492593</v>
      </c>
      <c r="AK110" s="1021">
        <f>(VLOOKUP(YEAR($A110),'NY East Load Projections'!$A$4:$EO$14,((MONTH($A110)-1)*12)+VLOOKUP(AK$4,$DE$6:$DF$17,2)+1))*(VLOOKUP($A110,CURVES!$D$9:$T$261,7))*(INDEX(DailyScalarsTable,AK$5/100,MONTH($A110)))*$C110</f>
        <v>-7258.1531293342505</v>
      </c>
      <c r="AL110" s="1021">
        <f>(VLOOKUP(YEAR($A110),'NY East Load Projections'!$A$4:$EO$14,((MONTH($A110)-1)*12)+VLOOKUP(AL$4,$DE$6:$DF$17,2)+1))*(VLOOKUP($A110,CURVES!$D$9:$T$261,7))*(INDEX(DailyScalarsTable,AL$5/100,MONTH($A110)))*$C110</f>
        <v>-8399.3335875389585</v>
      </c>
      <c r="AM110" s="1021">
        <f>(VLOOKUP(YEAR($A110),'NY East Load Projections'!$A$4:$EO$14,((MONTH($A110)-1)*12)+VLOOKUP(AM$4,$DE$6:$DF$17,2)+1))*(VLOOKUP($A110,CURVES!$D$9:$T$261,7))*(INDEX(DailyScalarsTable,AM$5/100,MONTH($A110)))*$C110</f>
        <v>-11422.030213393009</v>
      </c>
      <c r="AN110" s="1021">
        <f>(VLOOKUP(YEAR($A110),'NY East Load Projections'!$A$4:$EO$14,((MONTH($A110)-1)*12)+VLOOKUP(AN$4,$DE$6:$DF$17,2)+1))*(VLOOKUP($A110,SatSunCurve,3))*(INDEX(DailyScalarsTable,AN$5/100,MONTH($A110)))*$C110</f>
        <v>-7510.2805682364469</v>
      </c>
      <c r="AO110" s="1021">
        <f>(VLOOKUP(YEAR($A110),'NY East Load Projections'!$A$4:$EO$14,((MONTH($A110)-1)*12)+VLOOKUP(AO$4,$DE$6:$DF$17,2)+1))*(VLOOKUP($A110,SatSunCurve,3))*(INDEX(DailyScalarsTable,AO$5/100,MONTH($A110)))*$C110</f>
        <v>-8251.2825689765632</v>
      </c>
      <c r="AP110" s="1021">
        <f>(VLOOKUP(YEAR($A110),'NY East Load Projections'!$A$4:$EO$14,((MONTH($A110)-1)*12)+VLOOKUP(AP$4,$DE$6:$DF$17,2)+1))*(VLOOKUP($A110,SatSunCurve,3))*(INDEX(DailyScalarsTable,AP$5/100,MONTH($A110)))*$C110</f>
        <v>-10300.184043594221</v>
      </c>
      <c r="AQ110" s="1021">
        <f>(VLOOKUP(YEAR($A110),'NY East Load Projections'!$A$4:$EO$14,((MONTH($A110)-1)*12)+VLOOKUP(AQ$4,$DE$6:$DF$17,2)+1))*(VLOOKUP($A110,SatSunCurve,3))*(INDEX(DailyScalarsTable,AQ$5/100,MONTH($A110)))*$C110</f>
        <v>-11000.119329954294</v>
      </c>
      <c r="AR110" s="1021">
        <f>(VLOOKUP(YEAR($A110),'NY East Load Projections'!$A$4:$EO$14,((MONTH($A110)-1)*12)+VLOOKUP(AR$4,$DE$6:$DF$17,2)+1))*(VLOOKUP($A110,SatSunCurve,3))*(INDEX(DailyScalarsTable,AR$5/100,MONTH($A110)))*$C110</f>
        <v>-11720.734522502276</v>
      </c>
      <c r="AS110" s="1021">
        <f>(VLOOKUP(YEAR($A110),'NY East Load Projections'!$A$4:$EO$14,((MONTH($A110)-1)*12)+VLOOKUP(AS$4,$DE$6:$DF$17,2)+1))*(VLOOKUP($A110,SatSunCurve,3))*(INDEX(DailyScalarsTable,AS$5/100,MONTH($A110)))*$C110</f>
        <v>-11364.497051532337</v>
      </c>
      <c r="AT110" s="1021">
        <f>(VLOOKUP(YEAR($A110),'NY East Load Projections'!$A$4:$EO$14,((MONTH($A110)-1)*12)+VLOOKUP(AT$4,$DE$6:$DF$17,2)+1))*(VLOOKUP($A110,SatSunCurve,3))*(INDEX(DailyScalarsTable,AT$5/100,MONTH($A110)))*$C110</f>
        <v>-12302.430997941277</v>
      </c>
      <c r="AU110" s="1021">
        <f>(VLOOKUP(YEAR($A110),'NY East Load Projections'!$A$4:$EO$14,((MONTH($A110)-1)*12)+VLOOKUP(AU$4,$DE$6:$DF$17,2)+1))*(VLOOKUP($A110,SatSunCurve,3))*(INDEX(DailyScalarsTable,AU$5/100,MONTH($A110)))*$C110</f>
        <v>-12108.319450771434</v>
      </c>
      <c r="AV110" s="1021">
        <f>(VLOOKUP(YEAR($A110),'NY East Load Projections'!$A$4:$EO$14,((MONTH($A110)-1)*12)+VLOOKUP(AV$4,$DE$6:$DF$17,2)+1))*(VLOOKUP($A110,SatSunCurve,3))*(INDEX(DailyScalarsTable,AV$5/100,MONTH($A110)))*$C110</f>
        <v>-11729.883493263824</v>
      </c>
      <c r="AW110" s="1021">
        <f>(VLOOKUP(YEAR($A110),'NY East Load Projections'!$A$4:$EO$14,((MONTH($A110)-1)*12)+VLOOKUP(AW$4,$DE$6:$DF$17,2)+1))*(VLOOKUP($A110,SatSunCurve,3))*(INDEX(DailyScalarsTable,AW$5/100,MONTH($A110)))*$C110</f>
        <v>-11798.923254532196</v>
      </c>
      <c r="AX110" s="1021">
        <f>(VLOOKUP(YEAR($A110),'NY East Load Projections'!$A$4:$EO$14,((MONTH($A110)-1)*12)+VLOOKUP(AX$4,$DE$6:$DF$17,2)+1))*(VLOOKUP($A110,SatSunCurve,3))*(INDEX(DailyScalarsTable,AX$5/100,MONTH($A110)))*$C110</f>
        <v>-11509.472587216362</v>
      </c>
      <c r="AY110" s="1021">
        <f>(VLOOKUP(YEAR($A110),'NY East Load Projections'!$A$4:$EO$14,((MONTH($A110)-1)*12)+VLOOKUP(AY$4,$DE$6:$DF$17,2)+1))*(VLOOKUP($A110,SatSunCurve,3))*(INDEX(DailyScalarsTable,AY$5/100,MONTH($A110)))*$C110</f>
        <v>-9426.9512071071913</v>
      </c>
      <c r="AZ110" s="1021">
        <f>(VLOOKUP(YEAR($A110),'NY East Load Projections'!$A$4:$EO$14,((MONTH($A110)-1)*12)+VLOOKUP(AZ$4,$DE$6:$DF$17,2)+1))*(VLOOKUP($A110,SatSunCurve,3))*(INDEX(DailyScalarsTable,AZ$5/100,MONTH($A110)))*$C110</f>
        <v>-12319.934455700692</v>
      </c>
      <c r="BA110" s="1021">
        <f>(VLOOKUP(YEAR($A110),'NY East Load Projections'!$A$4:$EO$14,((MONTH($A110)-1)*12)+VLOOKUP(BA$4,$DE$6:$DF$17,2)+1))*(VLOOKUP($A110,SatSunCurve,3))*(INDEX(DailyScalarsTable,BA$5/100,MONTH($A110)))*$C110</f>
        <v>-11897.026505209111</v>
      </c>
      <c r="BB110" s="1021">
        <f>(VLOOKUP(YEAR($A110),'NY East Load Projections'!$A$4:$EO$14,((MONTH($A110)-1)*12)+VLOOKUP(BB$4,$DE$6:$DF$17,2)+1))*(VLOOKUP($A110,SatSunCurve,3))*(INDEX(DailyScalarsTable,BB$5/100,MONTH($A110)))*$C110</f>
        <v>-9054.8131581221132</v>
      </c>
      <c r="BC110" s="1021">
        <f>(VLOOKUP(YEAR($A110),'NY East Load Projections'!$A$4:$EO$14,((MONTH($A110)-1)*12)+VLOOKUP(BC$4,$DE$6:$DF$17,2)+1))*(VLOOKUP($A110,SatSunCurve,3))*(INDEX(DailyScalarsTable,BC$5/100,MONTH($A110)))*$C110</f>
        <v>-7175.5673721631611</v>
      </c>
      <c r="BD110" s="1021">
        <f>(VLOOKUP(YEAR($A110),'NY East Load Projections'!$A$4:$EO$14,((MONTH($A110)-1)*12)+VLOOKUP(BD$4,$DE$6:$DF$17,2)+1))*(VLOOKUP($A110,CURVES!$D$9:$T$261,7))*(INDEX(DailyScalarsTable,BD$5/100,MONTH($A110)))*$C110</f>
        <v>-9366.7973860025577</v>
      </c>
      <c r="BE110" s="1021"/>
      <c r="BF110" s="1021">
        <f>(VLOOKUP(YEAR($A110),'NY East Load Projections'!$A$4:$EO$14,((MONTH($A110)-1)*12)+VLOOKUP(BF$4,$DE$6:$DF$17,2)+1))*(VLOOKUP($A110,CURVES!$D$9:$T$261,7))*(INDEX(DailyScalarsTable,BF$5/100,MONTH($A110)))*$D110</f>
        <v>-7992.011800954404</v>
      </c>
      <c r="BG110" s="1021">
        <f>(VLOOKUP(YEAR($A110),'NY East Load Projections'!$A$4:$EO$14,((MONTH($A110)-1)*12)+VLOOKUP(BG$4,$DE$6:$DF$17,2)+1))*(VLOOKUP($A110,CURVES!$D$9:$T$261,7))*(INDEX(DailyScalarsTable,BG$5/100,MONTH($A110)))*$D110</f>
        <v>-7011.5338482338102</v>
      </c>
      <c r="BH110" s="1021">
        <f>(VLOOKUP(YEAR($A110),'NY East Load Projections'!$A$4:$EO$14,((MONTH($A110)-1)*12)+VLOOKUP(BH$4,$DE$6:$DF$17,2)+1))*(VLOOKUP($A110,CURVES!$D$9:$T$261,7))*(INDEX(DailyScalarsTable,BH$5/100,MONTH($A110)))*$D110</f>
        <v>-6575.0892108944163</v>
      </c>
      <c r="BI110" s="1021">
        <f>(VLOOKUP(YEAR($A110),'NY East Load Projections'!$A$4:$EO$14,((MONTH($A110)-1)*12)+VLOOKUP(BI$4,$DE$6:$DF$17,2)+1))*(VLOOKUP($A110,CURVES!$D$9:$T$261,7))*(INDEX(DailyScalarsTable,BI$5/100,MONTH($A110)))*$D110</f>
        <v>-6672.5280136492593</v>
      </c>
      <c r="BJ110" s="1021">
        <f>(VLOOKUP(YEAR($A110),'NY East Load Projections'!$A$4:$EO$14,((MONTH($A110)-1)*12)+VLOOKUP(BJ$4,$DE$6:$DF$17,2)+1))*(VLOOKUP($A110,CURVES!$D$9:$T$261,7))*(INDEX(DailyScalarsTable,BJ$5/100,MONTH($A110)))*$D110</f>
        <v>-7258.1531293342505</v>
      </c>
      <c r="BK110" s="1021">
        <f>(VLOOKUP(YEAR($A110),'NY East Load Projections'!$A$4:$EO$14,((MONTH($A110)-1)*12)+VLOOKUP(BK$4,$DE$6:$DF$17,2)+1))*(VLOOKUP($A110,CURVES!$D$9:$T$261,7))*(INDEX(DailyScalarsTable,BK$5/100,MONTH($A110)))*$D110</f>
        <v>-8399.3335875389585</v>
      </c>
      <c r="BL110" s="1021">
        <f>(VLOOKUP(YEAR($A110),'NY East Load Projections'!$A$4:$EO$14,((MONTH($A110)-1)*12)+VLOOKUP(BL$4,$DE$6:$DF$17,2)+1))*(VLOOKUP($A110,CURVES!$D$9:$T$261,7))*(INDEX(DailyScalarsTable,BL$5/100,MONTH($A110)))*$D110</f>
        <v>-11422.030213393009</v>
      </c>
      <c r="BM110" s="1021">
        <f>(VLOOKUP(YEAR($A110),'NY East Load Projections'!$A$4:$EO$14,((MONTH($A110)-1)*12)+VLOOKUP(BM$4,$DE$6:$DF$17,2)+1))*(VLOOKUP($A110,SatSunCurve,7))*(INDEX(DailyScalarsTable,BM$5/100,MONTH($A110)))*$D110</f>
        <v>-7664.5056382877319</v>
      </c>
      <c r="BN110" s="1021">
        <f>(VLOOKUP(YEAR($A110),'NY East Load Projections'!$A$4:$EO$14,((MONTH($A110)-1)*12)+VLOOKUP(BN$4,$DE$6:$DF$17,2)+1))*(VLOOKUP($A110,SatSunCurve,7))*(INDEX(DailyScalarsTable,BN$5/100,MONTH($A110)))*$D110</f>
        <v>-8420.7242590241258</v>
      </c>
      <c r="BO110" s="1021">
        <f>(VLOOKUP(YEAR($A110),'NY East Load Projections'!$A$4:$EO$14,((MONTH($A110)-1)*12)+VLOOKUP(BO$4,$DE$6:$DF$17,2)+1))*(VLOOKUP($A110,SatSunCurve,7))*(INDEX(DailyScalarsTable,BO$5/100,MONTH($A110)))*$D110</f>
        <v>-10511.700323343202</v>
      </c>
      <c r="BP110" s="1021">
        <f>(VLOOKUP(YEAR($A110),'NY East Load Projections'!$A$4:$EO$14,((MONTH($A110)-1)*12)+VLOOKUP(BP$4,$DE$6:$DF$17,2)+1))*(VLOOKUP($A110,SatSunCurve,7))*(INDEX(DailyScalarsTable,BP$5/100,MONTH($A110)))*$D110</f>
        <v>-11226.008916744133</v>
      </c>
      <c r="BQ110" s="1021">
        <f>(VLOOKUP(YEAR($A110),'NY East Load Projections'!$A$4:$EO$14,((MONTH($A110)-1)*12)+VLOOKUP(BQ$4,$DE$6:$DF$17,2)+1))*(VLOOKUP($A110,SatSunCurve,7))*(INDEX(DailyScalarsTable,BQ$5/100,MONTH($A110)))*$D110</f>
        <v>-11961.422082222816</v>
      </c>
      <c r="BR110" s="1021">
        <f>(VLOOKUP(YEAR($A110),'NY East Load Projections'!$A$4:$EO$14,((MONTH($A110)-1)*12)+VLOOKUP(BR$4,$DE$6:$DF$17,2)+1))*(VLOOKUP($A110,SatSunCurve,7))*(INDEX(DailyScalarsTable,BR$5/100,MONTH($A110)))*$D110</f>
        <v>-11597.86920560111</v>
      </c>
      <c r="BS110" s="1021">
        <f>(VLOOKUP(YEAR($A110),'NY East Load Projections'!$A$4:$EO$14,((MONTH($A110)-1)*12)+VLOOKUP(BS$4,$DE$6:$DF$17,2)+1))*(VLOOKUP($A110,SatSunCurve,7))*(INDEX(DailyScalarsTable,BS$5/100,MONTH($A110)))*$D110</f>
        <v>-12555.063807757078</v>
      </c>
      <c r="BT110" s="1021">
        <f>(VLOOKUP(YEAR($A110),'NY East Load Projections'!$A$4:$EO$14,((MONTH($A110)-1)*12)+VLOOKUP(BT$4,$DE$6:$DF$17,2)+1))*(VLOOKUP($A110,SatSunCurve,7))*(INDEX(DailyScalarsTable,BT$5/100,MONTH($A110)))*$D110</f>
        <v>-12356.966142267414</v>
      </c>
      <c r="BU110" s="1021">
        <f>(VLOOKUP(YEAR($A110),'NY East Load Projections'!$A$4:$EO$14,((MONTH($A110)-1)*12)+VLOOKUP(BU$4,$DE$6:$DF$17,2)+1))*(VLOOKUP($A110,SatSunCurve,7))*(INDEX(DailyScalarsTable,BU$5/100,MONTH($A110)))*$D110</f>
        <v>-11970.758928875786</v>
      </c>
      <c r="BV110" s="1021">
        <f>(VLOOKUP(YEAR($A110),'NY East Load Projections'!$A$4:$EO$14,((MONTH($A110)-1)*12)+VLOOKUP(BV$4,$DE$6:$DF$17,2)+1))*(VLOOKUP($A110,SatSunCurve,7))*(INDEX(DailyScalarsTable,BV$5/100,MONTH($A110)))*$D110</f>
        <v>-12041.216435050117</v>
      </c>
      <c r="BW110" s="1021">
        <f>(VLOOKUP(YEAR($A110),'NY East Load Projections'!$A$4:$EO$14,((MONTH($A110)-1)*12)+VLOOKUP(BW$4,$DE$6:$DF$17,2)+1))*(VLOOKUP($A110,SatSunCurve,7))*(INDEX(DailyScalarsTable,BW$5/100,MONTH($A110)))*$D110</f>
        <v>-11745.821842066316</v>
      </c>
      <c r="BX110" s="1021">
        <f>(VLOOKUP(YEAR($A110),'NY East Load Projections'!$A$4:$EO$14,((MONTH($A110)-1)*12)+VLOOKUP(BX$4,$DE$6:$DF$17,2)+1))*(VLOOKUP($A110,SatSunCurve,7))*(INDEX(DailyScalarsTable,BX$5/100,MONTH($A110)))*$D110</f>
        <v>-9620.535480967088</v>
      </c>
      <c r="BY110" s="1021">
        <f>(VLOOKUP(YEAR($A110),'NY East Load Projections'!$A$4:$EO$14,((MONTH($A110)-1)*12)+VLOOKUP(BY$4,$DE$6:$DF$17,2)+1))*(VLOOKUP($A110,SatSunCurve,7))*(INDEX(DailyScalarsTable,BY$5/100,MONTH($A110)))*$D110</f>
        <v>-12572.926702420955</v>
      </c>
      <c r="BZ110" s="1021">
        <f>(VLOOKUP(YEAR($A110),'NY East Load Projections'!$A$4:$EO$14,((MONTH($A110)-1)*12)+VLOOKUP(BZ$4,$DE$6:$DF$17,2)+1))*(VLOOKUP($A110,SatSunCurve,7))*(INDEX(DailyScalarsTable,BZ$5/100,MONTH($A110)))*$D110</f>
        <v>-12141.33425503246</v>
      </c>
      <c r="CA110" s="1021">
        <f>(VLOOKUP(YEAR($A110),'NY East Load Projections'!$A$4:$EO$14,((MONTH($A110)-1)*12)+VLOOKUP(CA$4,$DE$6:$DF$17,2)+1))*(VLOOKUP($A110,SatSunCurve,7))*(INDEX(DailyScalarsTable,CA$5/100,MONTH($A110)))*$D110</f>
        <v>-9240.7555048726299</v>
      </c>
      <c r="CB110" s="1021">
        <f>(VLOOKUP(YEAR($A110),'NY East Load Projections'!$A$4:$EO$14,((MONTH($A110)-1)*12)+VLOOKUP(CB$4,$DE$6:$DF$17,2)+1))*(VLOOKUP($A110,SatSunCurve,7))*(INDEX(DailyScalarsTable,CB$5/100,MONTH($A110)))*$D110</f>
        <v>-7322.9190417279433</v>
      </c>
      <c r="CC110" s="1021">
        <f>(VLOOKUP(YEAR($A110),'NY East Load Projections'!$A$4:$EO$14,((MONTH($A110)-1)*12)+VLOOKUP(CC$4,$DE$6:$DF$17,2)+1))*(VLOOKUP($A110,CURVES!$D$9:$T$261,7))*(INDEX(DailyScalarsTable,CC$5/100,MONTH($A110)))*$D110</f>
        <v>-9366.7973860025577</v>
      </c>
      <c r="CE110" s="1021">
        <f>(VLOOKUP(YEAR($A110),'NY East Load Projections'!$A$4:$EO$14,((MONTH($A110)-1)*12)+VLOOKUP(CE$4,$DE$6:$DF$17,2)+1))*(VLOOKUP($A110,CURVES!$D$9:$T$261,7))*(INDEX(DailyScalarsTable,CE$5/100,MONTH($A110)))*$E110</f>
        <v>-1998.002950238601</v>
      </c>
      <c r="CF110" s="1021">
        <f>(VLOOKUP(YEAR($A110),'NY East Load Projections'!$A$4:$EO$14,((MONTH($A110)-1)*12)+VLOOKUP(CF$4,$DE$6:$DF$17,2)+1))*(VLOOKUP($A110,CURVES!$D$9:$T$261,7))*(INDEX(DailyScalarsTable,CF$5/100,MONTH($A110)))*$E110</f>
        <v>-1752.8834620584526</v>
      </c>
      <c r="CG110" s="1021">
        <f>(VLOOKUP(YEAR($A110),'NY East Load Projections'!$A$4:$EO$14,((MONTH($A110)-1)*12)+VLOOKUP(CG$4,$DE$6:$DF$17,2)+1))*(VLOOKUP($A110,CURVES!$D$9:$T$261,7))*(INDEX(DailyScalarsTable,CG$5/100,MONTH($A110)))*$E110</f>
        <v>-1643.7723027236041</v>
      </c>
      <c r="CH110" s="1021">
        <f>(VLOOKUP(YEAR($A110),'NY East Load Projections'!$A$4:$EO$14,((MONTH($A110)-1)*12)+VLOOKUP(CH$4,$DE$6:$DF$17,2)+1))*(VLOOKUP($A110,CURVES!$D$9:$T$261,7))*(INDEX(DailyScalarsTable,CH$5/100,MONTH($A110)))*$E110</f>
        <v>-1668.1320034123148</v>
      </c>
      <c r="CI110" s="1021">
        <f>(VLOOKUP(YEAR($A110),'NY East Load Projections'!$A$4:$EO$14,((MONTH($A110)-1)*12)+VLOOKUP(CI$4,$DE$6:$DF$17,2)+1))*(VLOOKUP($A110,CURVES!$D$9:$T$261,7))*(INDEX(DailyScalarsTable,CI$5/100,MONTH($A110)))*$E110</f>
        <v>-1814.5382823335626</v>
      </c>
      <c r="CJ110" s="1021">
        <f>(VLOOKUP(YEAR($A110),'NY East Load Projections'!$A$4:$EO$14,((MONTH($A110)-1)*12)+VLOOKUP(CJ$4,$DE$6:$DF$17,2)+1))*(VLOOKUP($A110,CURVES!$D$9:$T$261,7))*(INDEX(DailyScalarsTable,CJ$5/100,MONTH($A110)))*$E110</f>
        <v>-2099.8333968847396</v>
      </c>
      <c r="CK110" s="1021">
        <f>(VLOOKUP(YEAR($A110),'NY East Load Projections'!$A$4:$EO$14,((MONTH($A110)-1)*12)+VLOOKUP(CK$4,$DE$6:$DF$17,2)+1))*(VLOOKUP($A110,CURVES!$D$9:$T$261,7))*(INDEX(DailyScalarsTable,CK$5/100,MONTH($A110)))*$E110</f>
        <v>-2855.5075533482523</v>
      </c>
      <c r="CL110" s="1021">
        <f>(VLOOKUP(YEAR($A110),'NY East Load Projections'!$A$4:$EO$14,((MONTH($A110)-1)*12)+VLOOKUP(CL$4,$DE$6:$DF$17,2)+1))*(VLOOKUP($A110,SatSunCurve,7))*(INDEX(DailyScalarsTable,CL$5/100,MONTH($A110)))*$E110</f>
        <v>-1916.126409571933</v>
      </c>
      <c r="CM110" s="1021">
        <f>(VLOOKUP(YEAR($A110),'NY East Load Projections'!$A$4:$EO$14,((MONTH($A110)-1)*12)+VLOOKUP(CM$4,$DE$6:$DF$17,2)+1))*(VLOOKUP($A110,SatSunCurve,7))*(INDEX(DailyScalarsTable,CM$5/100,MONTH($A110)))*$E110</f>
        <v>-2105.1810647560314</v>
      </c>
      <c r="CN110" s="1021">
        <f>(VLOOKUP(YEAR($A110),'NY East Load Projections'!$A$4:$EO$14,((MONTH($A110)-1)*12)+VLOOKUP(CN$4,$DE$6:$DF$17,2)+1))*(VLOOKUP($A110,SatSunCurve,7))*(INDEX(DailyScalarsTable,CN$5/100,MONTH($A110)))*$E110</f>
        <v>-2627.9250808358006</v>
      </c>
      <c r="CO110" s="1021">
        <f>(VLOOKUP(YEAR($A110),'NY East Load Projections'!$A$4:$EO$14,((MONTH($A110)-1)*12)+VLOOKUP(CO$4,$DE$6:$DF$17,2)+1))*(VLOOKUP($A110,SatSunCurve,7))*(INDEX(DailyScalarsTable,CO$5/100,MONTH($A110)))*$E110</f>
        <v>-2806.5022291860332</v>
      </c>
      <c r="CP110" s="1021">
        <f>(VLOOKUP(YEAR($A110),'NY East Load Projections'!$A$4:$EO$14,((MONTH($A110)-1)*12)+VLOOKUP(CP$4,$DE$6:$DF$17,2)+1))*(VLOOKUP($A110,SatSunCurve,7))*(INDEX(DailyScalarsTable,CP$5/100,MONTH($A110)))*$E110</f>
        <v>-2990.3555205557041</v>
      </c>
      <c r="CQ110" s="1021">
        <f>(VLOOKUP(YEAR($A110),'NY East Load Projections'!$A$4:$EO$14,((MONTH($A110)-1)*12)+VLOOKUP(CQ$4,$DE$6:$DF$17,2)+1))*(VLOOKUP($A110,SatSunCurve,7))*(INDEX(DailyScalarsTable,CQ$5/100,MONTH($A110)))*$E110</f>
        <v>-2899.4673014002774</v>
      </c>
      <c r="CR110" s="1021">
        <f>(VLOOKUP(YEAR($A110),'NY East Load Projections'!$A$4:$EO$14,((MONTH($A110)-1)*12)+VLOOKUP(CR$4,$DE$6:$DF$17,2)+1))*(VLOOKUP($A110,SatSunCurve,7))*(INDEX(DailyScalarsTable,CR$5/100,MONTH($A110)))*$E110</f>
        <v>-3138.7659519392696</v>
      </c>
      <c r="CS110" s="1021">
        <f>(VLOOKUP(YEAR($A110),'NY East Load Projections'!$A$4:$EO$14,((MONTH($A110)-1)*12)+VLOOKUP(CS$4,$DE$6:$DF$17,2)+1))*(VLOOKUP($A110,SatSunCurve,7))*(INDEX(DailyScalarsTable,CS$5/100,MONTH($A110)))*$E110</f>
        <v>-3089.2415355668536</v>
      </c>
      <c r="CT110" s="1021">
        <f>(VLOOKUP(YEAR($A110),'NY East Load Projections'!$A$4:$EO$14,((MONTH($A110)-1)*12)+VLOOKUP(CT$4,$DE$6:$DF$17,2)+1))*(VLOOKUP($A110,SatSunCurve,7))*(INDEX(DailyScalarsTable,CT$5/100,MONTH($A110)))*$E110</f>
        <v>-2992.6897322189466</v>
      </c>
      <c r="CU110" s="1021">
        <f>(VLOOKUP(YEAR($A110),'NY East Load Projections'!$A$4:$EO$14,((MONTH($A110)-1)*12)+VLOOKUP(CU$4,$DE$6:$DF$17,2)+1))*(VLOOKUP($A110,SatSunCurve,7))*(INDEX(DailyScalarsTable,CU$5/100,MONTH($A110)))*$E110</f>
        <v>-3010.3041087625293</v>
      </c>
      <c r="CV110" s="1021">
        <f>(VLOOKUP(YEAR($A110),'NY East Load Projections'!$A$4:$EO$14,((MONTH($A110)-1)*12)+VLOOKUP(CV$4,$DE$6:$DF$17,2)+1))*(VLOOKUP($A110,SatSunCurve,7))*(INDEX(DailyScalarsTable,CV$5/100,MONTH($A110)))*$E110</f>
        <v>-2936.455460516579</v>
      </c>
      <c r="CW110" s="1021">
        <f>(VLOOKUP(YEAR($A110),'NY East Load Projections'!$A$4:$EO$14,((MONTH($A110)-1)*12)+VLOOKUP(CW$4,$DE$6:$DF$17,2)+1))*(VLOOKUP($A110,SatSunCurve,7))*(INDEX(DailyScalarsTable,CW$5/100,MONTH($A110)))*$E110</f>
        <v>-2405.133870241772</v>
      </c>
      <c r="CX110" s="1021">
        <f>(VLOOKUP(YEAR($A110),'NY East Load Projections'!$A$4:$EO$14,((MONTH($A110)-1)*12)+VLOOKUP(CX$4,$DE$6:$DF$17,2)+1))*(VLOOKUP($A110,SatSunCurve,7))*(INDEX(DailyScalarsTable,CX$5/100,MONTH($A110)))*$E110</f>
        <v>-3143.2316756052387</v>
      </c>
      <c r="CY110" s="1021">
        <f>(VLOOKUP(YEAR($A110),'NY East Load Projections'!$A$4:$EO$14,((MONTH($A110)-1)*12)+VLOOKUP(CY$4,$DE$6:$DF$17,2)+1))*(VLOOKUP($A110,SatSunCurve,7))*(INDEX(DailyScalarsTable,CY$5/100,MONTH($A110)))*$E110</f>
        <v>-3035.3335637581149</v>
      </c>
      <c r="CZ110" s="1021">
        <f>(VLOOKUP(YEAR($A110),'NY East Load Projections'!$A$4:$EO$14,((MONTH($A110)-1)*12)+VLOOKUP(CZ$4,$DE$6:$DF$17,2)+1))*(VLOOKUP($A110,SatSunCurve,7))*(INDEX(DailyScalarsTable,CZ$5/100,MONTH($A110)))*$E110</f>
        <v>-2310.1888762181575</v>
      </c>
      <c r="DA110" s="1021">
        <f>(VLOOKUP(YEAR($A110),'NY East Load Projections'!$A$4:$EO$14,((MONTH($A110)-1)*12)+VLOOKUP(DA$4,$DE$6:$DF$17,2)+1))*(VLOOKUP($A110,SatSunCurve,7))*(INDEX(DailyScalarsTable,DA$5/100,MONTH($A110)))*$E110</f>
        <v>-1830.7297604319858</v>
      </c>
      <c r="DB110" s="1021">
        <f>(VLOOKUP(YEAR($A110),'NY East Load Projections'!$A$4:$EO$14,((MONTH($A110)-1)*12)+VLOOKUP(DB$4,$DE$6:$DF$17,2)+1))*(VLOOKUP($A110,CURVES!$D$9:$T$261,7))*(INDEX(DailyScalarsTable,DB$5/100,MONTH($A110)))*$E110</f>
        <v>-2341.6993465006394</v>
      </c>
      <c r="DH110" s="1032">
        <f t="shared" si="2"/>
        <v>-2073933.0322881003</v>
      </c>
      <c r="DI110">
        <f ca="1">CALC!J130</f>
        <v>0.49601811076526392</v>
      </c>
      <c r="DJ110" s="1029">
        <f t="shared" ca="1" si="3"/>
        <v>-1028708.3445292186</v>
      </c>
    </row>
    <row r="111" spans="1:114" x14ac:dyDescent="0.25">
      <c r="A111" s="244">
        <v>40087</v>
      </c>
      <c r="B111" s="13">
        <v>22</v>
      </c>
      <c r="C111" s="210">
        <v>5</v>
      </c>
      <c r="D111" s="210">
        <v>4</v>
      </c>
      <c r="E111" s="210">
        <v>0</v>
      </c>
      <c r="F111" s="13">
        <v>31</v>
      </c>
      <c r="H111" s="1021">
        <f>(VLOOKUP(YEAR($A111),'NY East Load Projections'!$A$4:$EO$14,((MONTH($A111)-1)*12)+VLOOKUP(H$4,$DE$6:$DF$17,2)+1))*(VLOOKUP($A111,CURVES!$D$9:$K$261,7))*(INDEX(DailyScalarsTable,H$5/100,MONTH($A111)))*$B111</f>
        <v>-36877.88239721526</v>
      </c>
      <c r="I111" s="1021">
        <f>(VLOOKUP(YEAR($A111),'NY East Load Projections'!$A$4:$EO$14,((MONTH($A111)-1)*12)+VLOOKUP(I$4,$DE$6:$DF$17,2)+1))*(VLOOKUP($A111,CURVES!$D$9:$K$261,7))*(INDEX(DailyScalarsTable,I$5/100,MONTH($A111)))*$B111</f>
        <v>-35001.945883486456</v>
      </c>
      <c r="J111" s="1021">
        <f>(VLOOKUP(YEAR($A111),'NY East Load Projections'!$A$4:$EO$14,((MONTH($A111)-1)*12)+VLOOKUP(J$4,$DE$6:$DF$17,2)+1))*(VLOOKUP($A111,CURVES!$D$9:$K$261,7))*(INDEX(DailyScalarsTable,J$5/100,MONTH($A111)))*$B111</f>
        <v>-33623.151965528436</v>
      </c>
      <c r="K111" s="1021">
        <f>(VLOOKUP(YEAR($A111),'NY East Load Projections'!$A$4:$EO$14,((MONTH($A111)-1)*12)+VLOOKUP(K$4,$DE$6:$DF$17,2)+1))*(VLOOKUP($A111,CURVES!$D$9:$K$261,7))*(INDEX(DailyScalarsTable,K$5/100,MONTH($A111)))*$B111</f>
        <v>-33642.571598175731</v>
      </c>
      <c r="L111" s="1021">
        <f>(VLOOKUP(YEAR($A111),'NY East Load Projections'!$A$4:$EO$14,((MONTH($A111)-1)*12)+VLOOKUP(L$4,$DE$6:$DF$17,2)+1))*(VLOOKUP($A111,CURVES!$D$9:$K$261,7))*(INDEX(DailyScalarsTable,L$5/100,MONTH($A111)))*$B111</f>
        <v>-39117.247231081208</v>
      </c>
      <c r="M111" s="1021">
        <f>(VLOOKUP(YEAR($A111),'NY East Load Projections'!$A$4:$EO$14,((MONTH($A111)-1)*12)+VLOOKUP(M$4,$DE$6:$DF$17,2)+1))*(VLOOKUP($A111,CURVES!$D$9:$K$261,7))*(INDEX(DailyScalarsTable,M$5/100,MONTH($A111)))*$B111</f>
        <v>-44939.44733163825</v>
      </c>
      <c r="N111" s="1021">
        <f>(VLOOKUP(YEAR($A111),'NY East Load Projections'!$A$4:$EO$14,((MONTH($A111)-1)*12)+VLOOKUP(N$4,$DE$6:$DF$17,2)+1))*(VLOOKUP($A111,CURVES!$D$9:$K$261,7))*(INDEX(DailyScalarsTable,N$5/100,MONTH($A111)))*$B111</f>
        <v>-58095.339654579315</v>
      </c>
      <c r="O111" s="1021">
        <f>(VLOOKUP(YEAR($A111),'NY East Load Projections'!$A$4:$EO$14,((MONTH($A111)-1)*12)+VLOOKUP(O$4,$DE$6:$DF$17,2)+1))*(VLOOKUP($A111,CURVES!$D$9:$K$261,3))*(INDEX(DailyScalarsTable,O$5/100,MONTH($A111)))*$B111</f>
        <v>-69765.52281278705</v>
      </c>
      <c r="P111" s="1021">
        <f>(VLOOKUP(YEAR($A111),'NY East Load Projections'!$A$4:$EO$14,((MONTH($A111)-1)*12)+VLOOKUP(P$4,$DE$6:$DF$17,2)+1))*(VLOOKUP($A111,CURVES!$D$9:$K$261,3))*(INDEX(DailyScalarsTable,P$5/100,MONTH($A111)))*$B111</f>
        <v>-80653.959997377577</v>
      </c>
      <c r="Q111" s="1021">
        <f>(VLOOKUP(YEAR($A111),'NY East Load Projections'!$A$4:$EO$14,((MONTH($A111)-1)*12)+VLOOKUP(Q$4,$DE$6:$DF$17,2)+1))*(VLOOKUP($A111,CURVES!$D$9:$K$261,3))*(INDEX(DailyScalarsTable,Q$5/100,MONTH($A111)))*$B111</f>
        <v>-80404.720318770094</v>
      </c>
      <c r="R111" s="1021">
        <f>(VLOOKUP(YEAR($A111),'NY East Load Projections'!$A$4:$EO$14,((MONTH($A111)-1)*12)+VLOOKUP(R$4,$DE$6:$DF$17,2)+1))*(VLOOKUP($A111,CURVES!$D$9:$K$261,3))*(INDEX(DailyScalarsTable,R$5/100,MONTH($A111)))*$B111</f>
        <v>-79948.967763602152</v>
      </c>
      <c r="S111" s="1021">
        <f>(VLOOKUP(YEAR($A111),'NY East Load Projections'!$A$4:$EO$14,((MONTH($A111)-1)*12)+VLOOKUP(S$4,$DE$6:$DF$17,2)+1))*(VLOOKUP($A111,CURVES!$D$9:$K$261,3))*(INDEX(DailyScalarsTable,S$5/100,MONTH($A111)))*$B111</f>
        <v>-67465.620432205105</v>
      </c>
      <c r="T111" s="1021">
        <f>(VLOOKUP(YEAR($A111),'NY East Load Projections'!$A$4:$EO$14,((MONTH($A111)-1)*12)+VLOOKUP(T$4,$DE$6:$DF$17,2)+1))*(VLOOKUP($A111,CURVES!$D$9:$K$261,3))*(INDEX(DailyScalarsTable,T$5/100,MONTH($A111)))*$B111</f>
        <v>-65210.893657516332</v>
      </c>
      <c r="U111" s="1021">
        <f>(VLOOKUP(YEAR($A111),'NY East Load Projections'!$A$4:$EO$14,((MONTH($A111)-1)*12)+VLOOKUP(U$4,$DE$6:$DF$17,2)+1))*(VLOOKUP($A111,CURVES!$D$9:$K$261,3))*(INDEX(DailyScalarsTable,U$5/100,MONTH($A111)))*$B111</f>
        <v>-63400.90481231951</v>
      </c>
      <c r="V111" s="1021">
        <f>(VLOOKUP(YEAR($A111),'NY East Load Projections'!$A$4:$EO$14,((MONTH($A111)-1)*12)+VLOOKUP(V$4,$DE$6:$DF$17,2)+1))*(VLOOKUP($A111,CURVES!$D$9:$K$261,3))*(INDEX(DailyScalarsTable,V$5/100,MONTH($A111)))*$B111</f>
        <v>-61927.998909952861</v>
      </c>
      <c r="W111" s="1021">
        <f>(VLOOKUP(YEAR($A111),'NY East Load Projections'!$A$4:$EO$14,((MONTH($A111)-1)*12)+VLOOKUP(W$4,$DE$6:$DF$17,2)+1))*(VLOOKUP($A111,CURVES!$D$9:$K$261,3))*(INDEX(DailyScalarsTable,W$5/100,MONTH($A111)))*$B111</f>
        <v>-61502.981286384376</v>
      </c>
      <c r="X111" s="1021">
        <f>(VLOOKUP(YEAR($A111),'NY East Load Projections'!$A$4:$EO$14,((MONTH($A111)-1)*12)+VLOOKUP(X$4,$DE$6:$DF$17,2)+1))*(VLOOKUP($A111,CURVES!$D$9:$K$261,3))*(INDEX(DailyScalarsTable,X$5/100,MONTH($A111)))*$B111</f>
        <v>-62110.396540248075</v>
      </c>
      <c r="Y111" s="1021">
        <f>(VLOOKUP(YEAR($A111),'NY East Load Projections'!$A$4:$EO$14,((MONTH($A111)-1)*12)+VLOOKUP(Y$4,$DE$6:$DF$17,2)+1))*(VLOOKUP($A111,CURVES!$D$9:$K$261,3))*(INDEX(DailyScalarsTable,Y$5/100,MONTH($A111)))*$B111</f>
        <v>-83788.991555701126</v>
      </c>
      <c r="Z111" s="1021">
        <f>(VLOOKUP(YEAR($A111),'NY East Load Projections'!$A$4:$EO$14,((MONTH($A111)-1)*12)+VLOOKUP(Z$4,$DE$6:$DF$17,2)+1))*(VLOOKUP($A111,CURVES!$D$9:$K$261,3))*(INDEX(DailyScalarsTable,Z$5/100,MONTH($A111)))*$B111</f>
        <v>-84445.283965186667</v>
      </c>
      <c r="AA111" s="1021">
        <f>(VLOOKUP(YEAR($A111),'NY East Load Projections'!$A$4:$EO$14,((MONTH($A111)-1)*12)+VLOOKUP(AA$4,$DE$6:$DF$17,2)+1))*(VLOOKUP($A111,CURVES!$D$9:$K$261,3))*(INDEX(DailyScalarsTable,AA$5/100,MONTH($A111)))*$B111</f>
        <v>-80758.875537438129</v>
      </c>
      <c r="AB111" s="1021">
        <f>(VLOOKUP(YEAR($A111),'NY East Load Projections'!$A$4:$EO$14,((MONTH($A111)-1)*12)+VLOOKUP(AB$4,$DE$6:$DF$17,2)+1))*(VLOOKUP($A111,CURVES!$D$9:$K$261,3))*(INDEX(DailyScalarsTable,AB$5/100,MONTH($A111)))*$B111</f>
        <v>-67175.6899574251</v>
      </c>
      <c r="AC111" s="1021">
        <f>(VLOOKUP(YEAR($A111),'NY East Load Projections'!$A$4:$EO$14,((MONTH($A111)-1)*12)+VLOOKUP(AC$4,$DE$6:$DF$17,2)+1))*(VLOOKUP($A111,CURVES!$D$9:$K$261,3))*(INDEX(DailyScalarsTable,AC$5/100,MONTH($A111)))*$B111</f>
        <v>-55725.216844652299</v>
      </c>
      <c r="AD111" s="1021">
        <f>(VLOOKUP(YEAR($A111),'NY East Load Projections'!$A$4:$EO$14,((MONTH($A111)-1)*12)+VLOOKUP(AD$4,$DE$6:$DF$17,2)+1))*(VLOOKUP($A111,CURVES!$D$9:$K$261,3))*(INDEX(DailyScalarsTable,AD$5/100,MONTH($A111)))*$B111</f>
        <v>-47511.2934865875</v>
      </c>
      <c r="AE111" s="1021">
        <f>(VLOOKUP(YEAR($A111),'NY East Load Projections'!$A$4:$EO$14,((MONTH($A111)-1)*12)+VLOOKUP(AE$4,$DE$6:$DF$17,2)+1))*(VLOOKUP($A111,CURVES!$D$9:$K$261,7))*(INDEX(DailyScalarsTable,AE$5/100,MONTH($A111)))*$B111</f>
        <v>-42410.473577673736</v>
      </c>
      <c r="AF111" s="1021"/>
      <c r="AG111" s="1021">
        <f>(VLOOKUP(YEAR($A111),'NY East Load Projections'!$A$4:$EO$14,((MONTH($A111)-1)*12)+VLOOKUP(AG$4,$DE$6:$DF$17,2)+1))*(VLOOKUP($A111,CURVES!$D$9:$T$261,7))*(INDEX(DailyScalarsTable,AG$5/100,MONTH($A111)))*$C111</f>
        <v>-8782.1147522885876</v>
      </c>
      <c r="AH111" s="1021">
        <f>(VLOOKUP(YEAR($A111),'NY East Load Projections'!$A$4:$EO$14,((MONTH($A111)-1)*12)+VLOOKUP(AH$4,$DE$6:$DF$17,2)+1))*(VLOOKUP($A111,CURVES!$D$9:$T$261,7))*(INDEX(DailyScalarsTable,AH$5/100,MONTH($A111)))*$C111</f>
        <v>-8335.3784252369405</v>
      </c>
      <c r="AI111" s="1021">
        <f>(VLOOKUP(YEAR($A111),'NY East Load Projections'!$A$4:$EO$14,((MONTH($A111)-1)*12)+VLOOKUP(AI$4,$DE$6:$DF$17,2)+1))*(VLOOKUP($A111,CURVES!$D$9:$T$261,7))*(INDEX(DailyScalarsTable,AI$5/100,MONTH($A111)))*$C111</f>
        <v>-8007.0318494536386</v>
      </c>
      <c r="AJ111" s="1021">
        <f>(VLOOKUP(YEAR($A111),'NY East Load Projections'!$A$4:$EO$14,((MONTH($A111)-1)*12)+VLOOKUP(AJ$4,$DE$6:$DF$17,2)+1))*(VLOOKUP($A111,CURVES!$D$9:$T$261,7))*(INDEX(DailyScalarsTable,AJ$5/100,MONTH($A111)))*$C111</f>
        <v>-8011.6564491125573</v>
      </c>
      <c r="AK111" s="1021">
        <f>(VLOOKUP(YEAR($A111),'NY East Load Projections'!$A$4:$EO$14,((MONTH($A111)-1)*12)+VLOOKUP(AK$4,$DE$6:$DF$17,2)+1))*(VLOOKUP($A111,CURVES!$D$9:$T$261,7))*(INDEX(DailyScalarsTable,AK$5/100,MONTH($A111)))*$C111</f>
        <v>-8693.0906110153428</v>
      </c>
      <c r="AL111" s="1021">
        <f>(VLOOKUP(YEAR($A111),'NY East Load Projections'!$A$4:$EO$14,((MONTH($A111)-1)*12)+VLOOKUP(AL$4,$DE$6:$DF$17,2)+1))*(VLOOKUP($A111,CURVES!$D$9:$T$261,7))*(INDEX(DailyScalarsTable,AL$5/100,MONTH($A111)))*$C111</f>
        <v>-9986.9677780515176</v>
      </c>
      <c r="AM111" s="1021">
        <f>(VLOOKUP(YEAR($A111),'NY East Load Projections'!$A$4:$EO$14,((MONTH($A111)-1)*12)+VLOOKUP(AM$4,$DE$6:$DF$17,2)+1))*(VLOOKUP($A111,CURVES!$D$9:$T$261,7))*(INDEX(DailyScalarsTable,AM$5/100,MONTH($A111)))*$C111</f>
        <v>-12910.623508642322</v>
      </c>
      <c r="AN111" s="1021">
        <f>(VLOOKUP(YEAR($A111),'NY East Load Projections'!$A$4:$EO$14,((MONTH($A111)-1)*12)+VLOOKUP(AN$4,$DE$6:$DF$17,2)+1))*(VLOOKUP($A111,SatSunCurve,3))*(INDEX(DailyScalarsTable,AN$5/100,MONTH($A111)))*$C111</f>
        <v>-12142.62648553743</v>
      </c>
      <c r="AO111" s="1021">
        <f>(VLOOKUP(YEAR($A111),'NY East Load Projections'!$A$4:$EO$14,((MONTH($A111)-1)*12)+VLOOKUP(AO$4,$DE$6:$DF$17,2)+1))*(VLOOKUP($A111,SatSunCurve,3))*(INDEX(DailyScalarsTable,AO$5/100,MONTH($A111)))*$C111</f>
        <v>-14380.241056268445</v>
      </c>
      <c r="AP111" s="1021">
        <f>(VLOOKUP(YEAR($A111),'NY East Load Projections'!$A$4:$EO$14,((MONTH($A111)-1)*12)+VLOOKUP(AP$4,$DE$6:$DF$17,2)+1))*(VLOOKUP($A111,SatSunCurve,3))*(INDEX(DailyScalarsTable,AP$5/100,MONTH($A111)))*$C111</f>
        <v>-14335.802734092089</v>
      </c>
      <c r="AQ111" s="1021">
        <f>(VLOOKUP(YEAR($A111),'NY East Load Projections'!$A$4:$EO$14,((MONTH($A111)-1)*12)+VLOOKUP(AQ$4,$DE$6:$DF$17,2)+1))*(VLOOKUP($A111,SatSunCurve,3))*(INDEX(DailyScalarsTable,AQ$5/100,MONTH($A111)))*$C111</f>
        <v>-14254.544087826755</v>
      </c>
      <c r="AR111" s="1021">
        <f>(VLOOKUP(YEAR($A111),'NY East Load Projections'!$A$4:$EO$14,((MONTH($A111)-1)*12)+VLOOKUP(AR$4,$DE$6:$DF$17,2)+1))*(VLOOKUP($A111,SatSunCurve,3))*(INDEX(DailyScalarsTable,AR$5/100,MONTH($A111)))*$C111</f>
        <v>-12028.818979965323</v>
      </c>
      <c r="AS111" s="1021">
        <f>(VLOOKUP(YEAR($A111),'NY East Load Projections'!$A$4:$EO$14,((MONTH($A111)-1)*12)+VLOOKUP(AS$4,$DE$6:$DF$17,2)+1))*(VLOOKUP($A111,SatSunCurve,3))*(INDEX(DailyScalarsTable,AS$5/100,MONTH($A111)))*$C111</f>
        <v>-11598.313603295512</v>
      </c>
      <c r="AT111" s="1021">
        <f>(VLOOKUP(YEAR($A111),'NY East Load Projections'!$A$4:$EO$14,((MONTH($A111)-1)*12)+VLOOKUP(AT$4,$DE$6:$DF$17,2)+1))*(VLOOKUP($A111,SatSunCurve,3))*(INDEX(DailyScalarsTable,AT$5/100,MONTH($A111)))*$C111</f>
        <v>-11276.391650265507</v>
      </c>
      <c r="AU111" s="1021">
        <f>(VLOOKUP(YEAR($A111),'NY East Load Projections'!$A$4:$EO$14,((MONTH($A111)-1)*12)+VLOOKUP(AU$4,$DE$6:$DF$17,2)+1))*(VLOOKUP($A111,SatSunCurve,3))*(INDEX(DailyScalarsTable,AU$5/100,MONTH($A111)))*$C111</f>
        <v>-11014.4227735083</v>
      </c>
      <c r="AV111" s="1021">
        <f>(VLOOKUP(YEAR($A111),'NY East Load Projections'!$A$4:$EO$14,((MONTH($A111)-1)*12)+VLOOKUP(AV$4,$DE$6:$DF$17,2)+1))*(VLOOKUP($A111,SatSunCurve,3))*(INDEX(DailyScalarsTable,AV$5/100,MONTH($A111)))*$C111</f>
        <v>-10938.829764294778</v>
      </c>
      <c r="AW111" s="1021">
        <f>(VLOOKUP(YEAR($A111),'NY East Load Projections'!$A$4:$EO$14,((MONTH($A111)-1)*12)+VLOOKUP(AW$4,$DE$6:$DF$17,2)+1))*(VLOOKUP($A111,SatSunCurve,3))*(INDEX(DailyScalarsTable,AW$5/100,MONTH($A111)))*$C111</f>
        <v>-10785.282223624628</v>
      </c>
      <c r="AX111" s="1021">
        <f>(VLOOKUP(YEAR($A111),'NY East Load Projections'!$A$4:$EO$14,((MONTH($A111)-1)*12)+VLOOKUP(AX$4,$DE$6:$DF$17,2)+1))*(VLOOKUP($A111,SatSunCurve,3))*(INDEX(DailyScalarsTable,AX$5/100,MONTH($A111)))*$C111</f>
        <v>-14549.704582477427</v>
      </c>
      <c r="AY111" s="1021">
        <f>(VLOOKUP(YEAR($A111),'NY East Load Projections'!$A$4:$EO$14,((MONTH($A111)-1)*12)+VLOOKUP(AY$4,$DE$6:$DF$17,2)+1))*(VLOOKUP($A111,SatSunCurve,3))*(INDEX(DailyScalarsTable,AY$5/100,MONTH($A111)))*$C111</f>
        <v>-14663.667771441087</v>
      </c>
      <c r="AZ111" s="1021">
        <f>(VLOOKUP(YEAR($A111),'NY East Load Projections'!$A$4:$EO$14,((MONTH($A111)-1)*12)+VLOOKUP(AZ$4,$DE$6:$DF$17,2)+1))*(VLOOKUP($A111,SatSunCurve,3))*(INDEX(DailyScalarsTable,AZ$5/100,MONTH($A111)))*$C111</f>
        <v>-14023.53411428351</v>
      </c>
      <c r="BA111" s="1021">
        <f>(VLOOKUP(YEAR($A111),'NY East Load Projections'!$A$4:$EO$14,((MONTH($A111)-1)*12)+VLOOKUP(BA$4,$DE$6:$DF$17,2)+1))*(VLOOKUP($A111,SatSunCurve,3))*(INDEX(DailyScalarsTable,BA$5/100,MONTH($A111)))*$C111</f>
        <v>-12323.064296089549</v>
      </c>
      <c r="BB111" s="1021">
        <f>(VLOOKUP(YEAR($A111),'NY East Load Projections'!$A$4:$EO$14,((MONTH($A111)-1)*12)+VLOOKUP(BB$4,$DE$6:$DF$17,2)+1))*(VLOOKUP($A111,SatSunCurve,3))*(INDEX(DailyScalarsTable,BB$5/100,MONTH($A111)))*$C111</f>
        <v>-10222.528872057819</v>
      </c>
      <c r="BC111" s="1021">
        <f>(VLOOKUP(YEAR($A111),'NY East Load Projections'!$A$4:$EO$14,((MONTH($A111)-1)*12)+VLOOKUP(BC$4,$DE$6:$DF$17,2)+1))*(VLOOKUP($A111,SatSunCurve,3))*(INDEX(DailyScalarsTable,BC$5/100,MONTH($A111)))*$C111</f>
        <v>-8715.7232742480101</v>
      </c>
      <c r="BD111" s="1021">
        <f>(VLOOKUP(YEAR($A111),'NY East Load Projections'!$A$4:$EO$14,((MONTH($A111)-1)*12)+VLOOKUP(BD$4,$DE$6:$DF$17,2)+1))*(VLOOKUP($A111,CURVES!$D$9:$T$261,7))*(INDEX(DailyScalarsTable,BD$5/100,MONTH($A111)))*$C111</f>
        <v>-9933.7640284885183</v>
      </c>
      <c r="BE111" s="1021"/>
      <c r="BF111" s="1021">
        <f>(VLOOKUP(YEAR($A111),'NY East Load Projections'!$A$4:$EO$14,((MONTH($A111)-1)*12)+VLOOKUP(BF$4,$DE$6:$DF$17,2)+1))*(VLOOKUP($A111,CURVES!$D$9:$T$261,7))*(INDEX(DailyScalarsTable,BF$5/100,MONTH($A111)))*$D111</f>
        <v>-7025.6918018308697</v>
      </c>
      <c r="BG111" s="1021">
        <f>(VLOOKUP(YEAR($A111),'NY East Load Projections'!$A$4:$EO$14,((MONTH($A111)-1)*12)+VLOOKUP(BG$4,$DE$6:$DF$17,2)+1))*(VLOOKUP($A111,CURVES!$D$9:$T$261,7))*(INDEX(DailyScalarsTable,BG$5/100,MONTH($A111)))*$D111</f>
        <v>-6668.3027401895524</v>
      </c>
      <c r="BH111" s="1021">
        <f>(VLOOKUP(YEAR($A111),'NY East Load Projections'!$A$4:$EO$14,((MONTH($A111)-1)*12)+VLOOKUP(BH$4,$DE$6:$DF$17,2)+1))*(VLOOKUP($A111,CURVES!$D$9:$T$261,7))*(INDEX(DailyScalarsTable,BH$5/100,MONTH($A111)))*$D111</f>
        <v>-6405.6254795629111</v>
      </c>
      <c r="BI111" s="1021">
        <f>(VLOOKUP(YEAR($A111),'NY East Load Projections'!$A$4:$EO$14,((MONTH($A111)-1)*12)+VLOOKUP(BI$4,$DE$6:$DF$17,2)+1))*(VLOOKUP($A111,CURVES!$D$9:$T$261,7))*(INDEX(DailyScalarsTable,BI$5/100,MONTH($A111)))*$D111</f>
        <v>-6409.325159290046</v>
      </c>
      <c r="BJ111" s="1021">
        <f>(VLOOKUP(YEAR($A111),'NY East Load Projections'!$A$4:$EO$14,((MONTH($A111)-1)*12)+VLOOKUP(BJ$4,$DE$6:$DF$17,2)+1))*(VLOOKUP($A111,CURVES!$D$9:$T$261,7))*(INDEX(DailyScalarsTable,BJ$5/100,MONTH($A111)))*$D111</f>
        <v>-6954.4724888122746</v>
      </c>
      <c r="BK111" s="1021">
        <f>(VLOOKUP(YEAR($A111),'NY East Load Projections'!$A$4:$EO$14,((MONTH($A111)-1)*12)+VLOOKUP(BK$4,$DE$6:$DF$17,2)+1))*(VLOOKUP($A111,CURVES!$D$9:$T$261,7))*(INDEX(DailyScalarsTable,BK$5/100,MONTH($A111)))*$D111</f>
        <v>-7989.5742224412143</v>
      </c>
      <c r="BL111" s="1021">
        <f>(VLOOKUP(YEAR($A111),'NY East Load Projections'!$A$4:$EO$14,((MONTH($A111)-1)*12)+VLOOKUP(BL$4,$DE$6:$DF$17,2)+1))*(VLOOKUP($A111,CURVES!$D$9:$T$261,7))*(INDEX(DailyScalarsTable,BL$5/100,MONTH($A111)))*$D111</f>
        <v>-10328.498806913858</v>
      </c>
      <c r="BM111" s="1021">
        <f>(VLOOKUP(YEAR($A111),'NY East Load Projections'!$A$4:$EO$14,((MONTH($A111)-1)*12)+VLOOKUP(BM$4,$DE$6:$DF$17,2)+1))*(VLOOKUP($A111,SatSunCurve,7))*(INDEX(DailyScalarsTable,BM$5/100,MONTH($A111)))*$D111</f>
        <v>-8911.5000889238927</v>
      </c>
      <c r="BN111" s="1021">
        <f>(VLOOKUP(YEAR($A111),'NY East Load Projections'!$A$4:$EO$14,((MONTH($A111)-1)*12)+VLOOKUP(BN$4,$DE$6:$DF$17,2)+1))*(VLOOKUP($A111,SatSunCurve,7))*(INDEX(DailyScalarsTable,BN$5/100,MONTH($A111)))*$D111</f>
        <v>-10553.690307802579</v>
      </c>
      <c r="BO111" s="1021">
        <f>(VLOOKUP(YEAR($A111),'NY East Load Projections'!$A$4:$EO$14,((MONTH($A111)-1)*12)+VLOOKUP(BO$4,$DE$6:$DF$17,2)+1))*(VLOOKUP($A111,SatSunCurve,7))*(INDEX(DailyScalarsTable,BO$5/100,MONTH($A111)))*$D111</f>
        <v>-10521.076926134461</v>
      </c>
      <c r="BP111" s="1021">
        <f>(VLOOKUP(YEAR($A111),'NY East Load Projections'!$A$4:$EO$14,((MONTH($A111)-1)*12)+VLOOKUP(BP$4,$DE$6:$DF$17,2)+1))*(VLOOKUP($A111,SatSunCurve,7))*(INDEX(DailyScalarsTable,BP$5/100,MONTH($A111)))*$D111</f>
        <v>-10461.441028227047</v>
      </c>
      <c r="BQ111" s="1021">
        <f>(VLOOKUP(YEAR($A111),'NY East Load Projections'!$A$4:$EO$14,((MONTH($A111)-1)*12)+VLOOKUP(BQ$4,$DE$6:$DF$17,2)+1))*(VLOOKUP($A111,SatSunCurve,7))*(INDEX(DailyScalarsTable,BQ$5/100,MONTH($A111)))*$D111</f>
        <v>-8827.9765121068012</v>
      </c>
      <c r="BR111" s="1021">
        <f>(VLOOKUP(YEAR($A111),'NY East Load Projections'!$A$4:$EO$14,((MONTH($A111)-1)*12)+VLOOKUP(BR$4,$DE$6:$DF$17,2)+1))*(VLOOKUP($A111,SatSunCurve,7))*(INDEX(DailyScalarsTable,BR$5/100,MONTH($A111)))*$D111</f>
        <v>-8512.0276762396443</v>
      </c>
      <c r="BS111" s="1021">
        <f>(VLOOKUP(YEAR($A111),'NY East Load Projections'!$A$4:$EO$14,((MONTH($A111)-1)*12)+VLOOKUP(BS$4,$DE$6:$DF$17,2)+1))*(VLOOKUP($A111,SatSunCurve,7))*(INDEX(DailyScalarsTable,BS$5/100,MONTH($A111)))*$D111</f>
        <v>-8275.7684520536477</v>
      </c>
      <c r="BT111" s="1021">
        <f>(VLOOKUP(YEAR($A111),'NY East Load Projections'!$A$4:$EO$14,((MONTH($A111)-1)*12)+VLOOKUP(BT$4,$DE$6:$DF$17,2)+1))*(VLOOKUP($A111,SatSunCurve,7))*(INDEX(DailyScalarsTable,BT$5/100,MONTH($A111)))*$D111</f>
        <v>-8083.5089214407499</v>
      </c>
      <c r="BU111" s="1021">
        <f>(VLOOKUP(YEAR($A111),'NY East Load Projections'!$A$4:$EO$14,((MONTH($A111)-1)*12)+VLOOKUP(BU$4,$DE$6:$DF$17,2)+1))*(VLOOKUP($A111,SatSunCurve,7))*(INDEX(DailyScalarsTable,BU$5/100,MONTH($A111)))*$D111</f>
        <v>-8028.0310469355372</v>
      </c>
      <c r="BV111" s="1021">
        <f>(VLOOKUP(YEAR($A111),'NY East Load Projections'!$A$4:$EO$14,((MONTH($A111)-1)*12)+VLOOKUP(BV$4,$DE$6:$DF$17,2)+1))*(VLOOKUP($A111,SatSunCurve,7))*(INDEX(DailyScalarsTable,BV$5/100,MONTH($A111)))*$D111</f>
        <v>-7915.3421715949462</v>
      </c>
      <c r="BW111" s="1021">
        <f>(VLOOKUP(YEAR($A111),'NY East Load Projections'!$A$4:$EO$14,((MONTH($A111)-1)*12)+VLOOKUP(BW$4,$DE$6:$DF$17,2)+1))*(VLOOKUP($A111,SatSunCurve,7))*(INDEX(DailyScalarsTable,BW$5/100,MONTH($A111)))*$D111</f>
        <v>-10678.059959679738</v>
      </c>
      <c r="BX111" s="1021">
        <f>(VLOOKUP(YEAR($A111),'NY East Load Projections'!$A$4:$EO$14,((MONTH($A111)-1)*12)+VLOOKUP(BX$4,$DE$6:$DF$17,2)+1))*(VLOOKUP($A111,SatSunCurve,7))*(INDEX(DailyScalarsTable,BX$5/100,MONTH($A111)))*$D111</f>
        <v>-10761.697792877798</v>
      </c>
      <c r="BY111" s="1021">
        <f>(VLOOKUP(YEAR($A111),'NY East Load Projections'!$A$4:$EO$14,((MONTH($A111)-1)*12)+VLOOKUP(BY$4,$DE$6:$DF$17,2)+1))*(VLOOKUP($A111,SatSunCurve,7))*(INDEX(DailyScalarsTable,BY$5/100,MONTH($A111)))*$D111</f>
        <v>-10291.90230427594</v>
      </c>
      <c r="BZ111" s="1021">
        <f>(VLOOKUP(YEAR($A111),'NY East Load Projections'!$A$4:$EO$14,((MONTH($A111)-1)*12)+VLOOKUP(BZ$4,$DE$6:$DF$17,2)+1))*(VLOOKUP($A111,SatSunCurve,7))*(INDEX(DailyScalarsTable,BZ$5/100,MONTH($A111)))*$D111</f>
        <v>-9043.9237920408086</v>
      </c>
      <c r="CA111" s="1021">
        <f>(VLOOKUP(YEAR($A111),'NY East Load Projections'!$A$4:$EO$14,((MONTH($A111)-1)*12)+VLOOKUP(CA$4,$DE$6:$DF$17,2)+1))*(VLOOKUP($A111,SatSunCurve,7))*(INDEX(DailyScalarsTable,CA$5/100,MONTH($A111)))*$D111</f>
        <v>-7502.3362582117934</v>
      </c>
      <c r="CB111" s="1021">
        <f>(VLOOKUP(YEAR($A111),'NY East Load Projections'!$A$4:$EO$14,((MONTH($A111)-1)*12)+VLOOKUP(CB$4,$DE$6:$DF$17,2)+1))*(VLOOKUP($A111,SatSunCurve,7))*(INDEX(DailyScalarsTable,CB$5/100,MONTH($A111)))*$D111</f>
        <v>-6396.4883401467414</v>
      </c>
      <c r="CC111" s="1021">
        <f>(VLOOKUP(YEAR($A111),'NY East Load Projections'!$A$4:$EO$14,((MONTH($A111)-1)*12)+VLOOKUP(CC$4,$DE$6:$DF$17,2)+1))*(VLOOKUP($A111,CURVES!$D$9:$T$261,7))*(INDEX(DailyScalarsTable,CC$5/100,MONTH($A111)))*$D111</f>
        <v>-7947.0112227908148</v>
      </c>
      <c r="CE111" s="1021">
        <f>(VLOOKUP(YEAR($A111),'NY East Load Projections'!$A$4:$EO$14,((MONTH($A111)-1)*12)+VLOOKUP(CE$4,$DE$6:$DF$17,2)+1))*(VLOOKUP($A111,CURVES!$D$9:$T$261,7))*(INDEX(DailyScalarsTable,CE$5/100,MONTH($A111)))*$E111</f>
        <v>0</v>
      </c>
      <c r="CF111" s="1021">
        <f>(VLOOKUP(YEAR($A111),'NY East Load Projections'!$A$4:$EO$14,((MONTH($A111)-1)*12)+VLOOKUP(CF$4,$DE$6:$DF$17,2)+1))*(VLOOKUP($A111,CURVES!$D$9:$T$261,7))*(INDEX(DailyScalarsTable,CF$5/100,MONTH($A111)))*$E111</f>
        <v>0</v>
      </c>
      <c r="CG111" s="1021">
        <f>(VLOOKUP(YEAR($A111),'NY East Load Projections'!$A$4:$EO$14,((MONTH($A111)-1)*12)+VLOOKUP(CG$4,$DE$6:$DF$17,2)+1))*(VLOOKUP($A111,CURVES!$D$9:$T$261,7))*(INDEX(DailyScalarsTable,CG$5/100,MONTH($A111)))*$E111</f>
        <v>0</v>
      </c>
      <c r="CH111" s="1021">
        <f>(VLOOKUP(YEAR($A111),'NY East Load Projections'!$A$4:$EO$14,((MONTH($A111)-1)*12)+VLOOKUP(CH$4,$DE$6:$DF$17,2)+1))*(VLOOKUP($A111,CURVES!$D$9:$T$261,7))*(INDEX(DailyScalarsTable,CH$5/100,MONTH($A111)))*$E111</f>
        <v>0</v>
      </c>
      <c r="CI111" s="1021">
        <f>(VLOOKUP(YEAR($A111),'NY East Load Projections'!$A$4:$EO$14,((MONTH($A111)-1)*12)+VLOOKUP(CI$4,$DE$6:$DF$17,2)+1))*(VLOOKUP($A111,CURVES!$D$9:$T$261,7))*(INDEX(DailyScalarsTable,CI$5/100,MONTH($A111)))*$E111</f>
        <v>0</v>
      </c>
      <c r="CJ111" s="1021">
        <f>(VLOOKUP(YEAR($A111),'NY East Load Projections'!$A$4:$EO$14,((MONTH($A111)-1)*12)+VLOOKUP(CJ$4,$DE$6:$DF$17,2)+1))*(VLOOKUP($A111,CURVES!$D$9:$T$261,7))*(INDEX(DailyScalarsTable,CJ$5/100,MONTH($A111)))*$E111</f>
        <v>0</v>
      </c>
      <c r="CK111" s="1021">
        <f>(VLOOKUP(YEAR($A111),'NY East Load Projections'!$A$4:$EO$14,((MONTH($A111)-1)*12)+VLOOKUP(CK$4,$DE$6:$DF$17,2)+1))*(VLOOKUP($A111,CURVES!$D$9:$T$261,7))*(INDEX(DailyScalarsTable,CK$5/100,MONTH($A111)))*$E111</f>
        <v>0</v>
      </c>
      <c r="CL111" s="1021">
        <f>(VLOOKUP(YEAR($A111),'NY East Load Projections'!$A$4:$EO$14,((MONTH($A111)-1)*12)+VLOOKUP(CL$4,$DE$6:$DF$17,2)+1))*(VLOOKUP($A111,SatSunCurve,7))*(INDEX(DailyScalarsTable,CL$5/100,MONTH($A111)))*$E111</f>
        <v>0</v>
      </c>
      <c r="CM111" s="1021">
        <f>(VLOOKUP(YEAR($A111),'NY East Load Projections'!$A$4:$EO$14,((MONTH($A111)-1)*12)+VLOOKUP(CM$4,$DE$6:$DF$17,2)+1))*(VLOOKUP($A111,SatSunCurve,7))*(INDEX(DailyScalarsTable,CM$5/100,MONTH($A111)))*$E111</f>
        <v>0</v>
      </c>
      <c r="CN111" s="1021">
        <f>(VLOOKUP(YEAR($A111),'NY East Load Projections'!$A$4:$EO$14,((MONTH($A111)-1)*12)+VLOOKUP(CN$4,$DE$6:$DF$17,2)+1))*(VLOOKUP($A111,SatSunCurve,7))*(INDEX(DailyScalarsTable,CN$5/100,MONTH($A111)))*$E111</f>
        <v>0</v>
      </c>
      <c r="CO111" s="1021">
        <f>(VLOOKUP(YEAR($A111),'NY East Load Projections'!$A$4:$EO$14,((MONTH($A111)-1)*12)+VLOOKUP(CO$4,$DE$6:$DF$17,2)+1))*(VLOOKUP($A111,SatSunCurve,7))*(INDEX(DailyScalarsTable,CO$5/100,MONTH($A111)))*$E111</f>
        <v>0</v>
      </c>
      <c r="CP111" s="1021">
        <f>(VLOOKUP(YEAR($A111),'NY East Load Projections'!$A$4:$EO$14,((MONTH($A111)-1)*12)+VLOOKUP(CP$4,$DE$6:$DF$17,2)+1))*(VLOOKUP($A111,SatSunCurve,7))*(INDEX(DailyScalarsTable,CP$5/100,MONTH($A111)))*$E111</f>
        <v>0</v>
      </c>
      <c r="CQ111" s="1021">
        <f>(VLOOKUP(YEAR($A111),'NY East Load Projections'!$A$4:$EO$14,((MONTH($A111)-1)*12)+VLOOKUP(CQ$4,$DE$6:$DF$17,2)+1))*(VLOOKUP($A111,SatSunCurve,7))*(INDEX(DailyScalarsTable,CQ$5/100,MONTH($A111)))*$E111</f>
        <v>0</v>
      </c>
      <c r="CR111" s="1021">
        <f>(VLOOKUP(YEAR($A111),'NY East Load Projections'!$A$4:$EO$14,((MONTH($A111)-1)*12)+VLOOKUP(CR$4,$DE$6:$DF$17,2)+1))*(VLOOKUP($A111,SatSunCurve,7))*(INDEX(DailyScalarsTable,CR$5/100,MONTH($A111)))*$E111</f>
        <v>0</v>
      </c>
      <c r="CS111" s="1021">
        <f>(VLOOKUP(YEAR($A111),'NY East Load Projections'!$A$4:$EO$14,((MONTH($A111)-1)*12)+VLOOKUP(CS$4,$DE$6:$DF$17,2)+1))*(VLOOKUP($A111,SatSunCurve,7))*(INDEX(DailyScalarsTable,CS$5/100,MONTH($A111)))*$E111</f>
        <v>0</v>
      </c>
      <c r="CT111" s="1021">
        <f>(VLOOKUP(YEAR($A111),'NY East Load Projections'!$A$4:$EO$14,((MONTH($A111)-1)*12)+VLOOKUP(CT$4,$DE$6:$DF$17,2)+1))*(VLOOKUP($A111,SatSunCurve,7))*(INDEX(DailyScalarsTable,CT$5/100,MONTH($A111)))*$E111</f>
        <v>0</v>
      </c>
      <c r="CU111" s="1021">
        <f>(VLOOKUP(YEAR($A111),'NY East Load Projections'!$A$4:$EO$14,((MONTH($A111)-1)*12)+VLOOKUP(CU$4,$DE$6:$DF$17,2)+1))*(VLOOKUP($A111,SatSunCurve,7))*(INDEX(DailyScalarsTable,CU$5/100,MONTH($A111)))*$E111</f>
        <v>0</v>
      </c>
      <c r="CV111" s="1021">
        <f>(VLOOKUP(YEAR($A111),'NY East Load Projections'!$A$4:$EO$14,((MONTH($A111)-1)*12)+VLOOKUP(CV$4,$DE$6:$DF$17,2)+1))*(VLOOKUP($A111,SatSunCurve,7))*(INDEX(DailyScalarsTable,CV$5/100,MONTH($A111)))*$E111</f>
        <v>0</v>
      </c>
      <c r="CW111" s="1021">
        <f>(VLOOKUP(YEAR($A111),'NY East Load Projections'!$A$4:$EO$14,((MONTH($A111)-1)*12)+VLOOKUP(CW$4,$DE$6:$DF$17,2)+1))*(VLOOKUP($A111,SatSunCurve,7))*(INDEX(DailyScalarsTable,CW$5/100,MONTH($A111)))*$E111</f>
        <v>0</v>
      </c>
      <c r="CX111" s="1021">
        <f>(VLOOKUP(YEAR($A111),'NY East Load Projections'!$A$4:$EO$14,((MONTH($A111)-1)*12)+VLOOKUP(CX$4,$DE$6:$DF$17,2)+1))*(VLOOKUP($A111,SatSunCurve,7))*(INDEX(DailyScalarsTable,CX$5/100,MONTH($A111)))*$E111</f>
        <v>0</v>
      </c>
      <c r="CY111" s="1021">
        <f>(VLOOKUP(YEAR($A111),'NY East Load Projections'!$A$4:$EO$14,((MONTH($A111)-1)*12)+VLOOKUP(CY$4,$DE$6:$DF$17,2)+1))*(VLOOKUP($A111,SatSunCurve,7))*(INDEX(DailyScalarsTable,CY$5/100,MONTH($A111)))*$E111</f>
        <v>0</v>
      </c>
      <c r="CZ111" s="1021">
        <f>(VLOOKUP(YEAR($A111),'NY East Load Projections'!$A$4:$EO$14,((MONTH($A111)-1)*12)+VLOOKUP(CZ$4,$DE$6:$DF$17,2)+1))*(VLOOKUP($A111,SatSunCurve,7))*(INDEX(DailyScalarsTable,CZ$5/100,MONTH($A111)))*$E111</f>
        <v>0</v>
      </c>
      <c r="DA111" s="1021">
        <f>(VLOOKUP(YEAR($A111),'NY East Load Projections'!$A$4:$EO$14,((MONTH($A111)-1)*12)+VLOOKUP(DA$4,$DE$6:$DF$17,2)+1))*(VLOOKUP($A111,SatSunCurve,7))*(INDEX(DailyScalarsTable,DA$5/100,MONTH($A111)))*$E111</f>
        <v>0</v>
      </c>
      <c r="DB111" s="1021">
        <f>(VLOOKUP(YEAR($A111),'NY East Load Projections'!$A$4:$EO$14,((MONTH($A111)-1)*12)+VLOOKUP(DB$4,$DE$6:$DF$17,2)+1))*(VLOOKUP($A111,CURVES!$D$9:$T$261,7))*(INDEX(DailyScalarsTable,DB$5/100,MONTH($A111)))*$E111</f>
        <v>0</v>
      </c>
      <c r="DH111" s="1032">
        <f t="shared" si="2"/>
        <v>-1911912.7746896225</v>
      </c>
      <c r="DI111">
        <f ca="1">CALC!J131</f>
        <v>0.49289551418382949</v>
      </c>
      <c r="DJ111" s="1029">
        <f t="shared" ca="1" si="3"/>
        <v>-942373.23015527357</v>
      </c>
    </row>
    <row r="112" spans="1:114" x14ac:dyDescent="0.25">
      <c r="A112" s="244">
        <v>40118</v>
      </c>
      <c r="B112" s="13">
        <v>20</v>
      </c>
      <c r="C112" s="210">
        <v>4</v>
      </c>
      <c r="D112" s="210">
        <v>5</v>
      </c>
      <c r="E112" s="210">
        <v>1</v>
      </c>
      <c r="F112" s="13">
        <v>30</v>
      </c>
      <c r="H112" s="1021">
        <f>(VLOOKUP(YEAR($A112),'NY East Load Projections'!$A$4:$EO$14,((MONTH($A112)-1)*12)+VLOOKUP(H$4,$DE$6:$DF$17,2)+1))*(VLOOKUP($A112,CURVES!$D$9:$K$261,7))*(INDEX(DailyScalarsTable,H$5/100,MONTH($A112)))*$B112</f>
        <v>-31361.369319247602</v>
      </c>
      <c r="I112" s="1021">
        <f>(VLOOKUP(YEAR($A112),'NY East Load Projections'!$A$4:$EO$14,((MONTH($A112)-1)*12)+VLOOKUP(I$4,$DE$6:$DF$17,2)+1))*(VLOOKUP($A112,CURVES!$D$9:$K$261,7))*(INDEX(DailyScalarsTable,I$5/100,MONTH($A112)))*$B112</f>
        <v>-29731.725276084977</v>
      </c>
      <c r="J112" s="1021">
        <f>(VLOOKUP(YEAR($A112),'NY East Load Projections'!$A$4:$EO$14,((MONTH($A112)-1)*12)+VLOOKUP(J$4,$DE$6:$DF$17,2)+1))*(VLOOKUP($A112,CURVES!$D$9:$K$261,7))*(INDEX(DailyScalarsTable,J$5/100,MONTH($A112)))*$B112</f>
        <v>-28533.953774381596</v>
      </c>
      <c r="K112" s="1021">
        <f>(VLOOKUP(YEAR($A112),'NY East Load Projections'!$A$4:$EO$14,((MONTH($A112)-1)*12)+VLOOKUP(K$4,$DE$6:$DF$17,2)+1))*(VLOOKUP($A112,CURVES!$D$9:$K$261,7))*(INDEX(DailyScalarsTable,K$5/100,MONTH($A112)))*$B112</f>
        <v>-28550.823795532346</v>
      </c>
      <c r="L112" s="1021">
        <f>(VLOOKUP(YEAR($A112),'NY East Load Projections'!$A$4:$EO$14,((MONTH($A112)-1)*12)+VLOOKUP(L$4,$DE$6:$DF$17,2)+1))*(VLOOKUP($A112,CURVES!$D$9:$K$261,7))*(INDEX(DailyScalarsTable,L$5/100,MONTH($A112)))*$B112</f>
        <v>-32610.725937210264</v>
      </c>
      <c r="M112" s="1021">
        <f>(VLOOKUP(YEAR($A112),'NY East Load Projections'!$A$4:$EO$14,((MONTH($A112)-1)*12)+VLOOKUP(M$4,$DE$6:$DF$17,2)+1))*(VLOOKUP($A112,CURVES!$D$9:$K$261,7))*(INDEX(DailyScalarsTable,M$5/100,MONTH($A112)))*$B112</f>
        <v>-37571.585404106343</v>
      </c>
      <c r="N112" s="1021">
        <f>(VLOOKUP(YEAR($A112),'NY East Load Projections'!$A$4:$EO$14,((MONTH($A112)-1)*12)+VLOOKUP(N$4,$DE$6:$DF$17,2)+1))*(VLOOKUP($A112,CURVES!$D$9:$K$261,7))*(INDEX(DailyScalarsTable,N$5/100,MONTH($A112)))*$B112</f>
        <v>-53817.590735870443</v>
      </c>
      <c r="O112" s="1021">
        <f>(VLOOKUP(YEAR($A112),'NY East Load Projections'!$A$4:$EO$14,((MONTH($A112)-1)*12)+VLOOKUP(O$4,$DE$6:$DF$17,2)+1))*(VLOOKUP($A112,CURVES!$D$9:$K$261,3))*(INDEX(DailyScalarsTable,O$5/100,MONTH($A112)))*$B112</f>
        <v>-60962.911716010611</v>
      </c>
      <c r="P112" s="1021">
        <f>(VLOOKUP(YEAR($A112),'NY East Load Projections'!$A$4:$EO$14,((MONTH($A112)-1)*12)+VLOOKUP(P$4,$DE$6:$DF$17,2)+1))*(VLOOKUP($A112,CURVES!$D$9:$K$261,3))*(INDEX(DailyScalarsTable,P$5/100,MONTH($A112)))*$B112</f>
        <v>-69118.708606209606</v>
      </c>
      <c r="Q112" s="1021">
        <f>(VLOOKUP(YEAR($A112),'NY East Load Projections'!$A$4:$EO$14,((MONTH($A112)-1)*12)+VLOOKUP(Q$4,$DE$6:$DF$17,2)+1))*(VLOOKUP($A112,CURVES!$D$9:$K$261,3))*(INDEX(DailyScalarsTable,Q$5/100,MONTH($A112)))*$B112</f>
        <v>-68671.064248003793</v>
      </c>
      <c r="R112" s="1021">
        <f>(VLOOKUP(YEAR($A112),'NY East Load Projections'!$A$4:$EO$14,((MONTH($A112)-1)*12)+VLOOKUP(R$4,$DE$6:$DF$17,2)+1))*(VLOOKUP($A112,CURVES!$D$9:$K$261,3))*(INDEX(DailyScalarsTable,R$5/100,MONTH($A112)))*$B112</f>
        <v>-67346.278917637959</v>
      </c>
      <c r="S112" s="1021">
        <f>(VLOOKUP(YEAR($A112),'NY East Load Projections'!$A$4:$EO$14,((MONTH($A112)-1)*12)+VLOOKUP(S$4,$DE$6:$DF$17,2)+1))*(VLOOKUP($A112,CURVES!$D$9:$K$261,3))*(INDEX(DailyScalarsTable,S$5/100,MONTH($A112)))*$B112</f>
        <v>-56705.651538124352</v>
      </c>
      <c r="T112" s="1021">
        <f>(VLOOKUP(YEAR($A112),'NY East Load Projections'!$A$4:$EO$14,((MONTH($A112)-1)*12)+VLOOKUP(T$4,$DE$6:$DF$17,2)+1))*(VLOOKUP($A112,CURVES!$D$9:$K$261,3))*(INDEX(DailyScalarsTable,T$5/100,MONTH($A112)))*$B112</f>
        <v>-54718.913204805722</v>
      </c>
      <c r="U112" s="1021">
        <f>(VLOOKUP(YEAR($A112),'NY East Load Projections'!$A$4:$EO$14,((MONTH($A112)-1)*12)+VLOOKUP(U$4,$DE$6:$DF$17,2)+1))*(VLOOKUP($A112,CURVES!$D$9:$K$261,3))*(INDEX(DailyScalarsTable,U$5/100,MONTH($A112)))*$B112</f>
        <v>-53250.073876508184</v>
      </c>
      <c r="V112" s="1021">
        <f>(VLOOKUP(YEAR($A112),'NY East Load Projections'!$A$4:$EO$14,((MONTH($A112)-1)*12)+VLOOKUP(V$4,$DE$6:$DF$17,2)+1))*(VLOOKUP($A112,CURVES!$D$9:$K$261,3))*(INDEX(DailyScalarsTable,V$5/100,MONTH($A112)))*$B112</f>
        <v>-52004.349382888751</v>
      </c>
      <c r="W112" s="1021">
        <f>(VLOOKUP(YEAR($A112),'NY East Load Projections'!$A$4:$EO$14,((MONTH($A112)-1)*12)+VLOOKUP(W$4,$DE$6:$DF$17,2)+1))*(VLOOKUP($A112,CURVES!$D$9:$K$261,3))*(INDEX(DailyScalarsTable,W$5/100,MONTH($A112)))*$B112</f>
        <v>-51149.075849956018</v>
      </c>
      <c r="X112" s="1021">
        <f>(VLOOKUP(YEAR($A112),'NY East Load Projections'!$A$4:$EO$14,((MONTH($A112)-1)*12)+VLOOKUP(X$4,$DE$6:$DF$17,2)+1))*(VLOOKUP($A112,CURVES!$D$9:$K$261,3))*(INDEX(DailyScalarsTable,X$5/100,MONTH($A112)))*$B112</f>
        <v>-52890.581153916588</v>
      </c>
      <c r="Y112" s="1021">
        <f>(VLOOKUP(YEAR($A112),'NY East Load Projections'!$A$4:$EO$14,((MONTH($A112)-1)*12)+VLOOKUP(Y$4,$DE$6:$DF$17,2)+1))*(VLOOKUP($A112,CURVES!$D$9:$K$261,3))*(INDEX(DailyScalarsTable,Y$5/100,MONTH($A112)))*$B112</f>
        <v>-72606.729441046569</v>
      </c>
      <c r="Z112" s="1021">
        <f>(VLOOKUP(YEAR($A112),'NY East Load Projections'!$A$4:$EO$14,((MONTH($A112)-1)*12)+VLOOKUP(Z$4,$DE$6:$DF$17,2)+1))*(VLOOKUP($A112,CURVES!$D$9:$K$261,3))*(INDEX(DailyScalarsTable,Z$5/100,MONTH($A112)))*$B112</f>
        <v>-73191.353505233783</v>
      </c>
      <c r="AA112" s="1021">
        <f>(VLOOKUP(YEAR($A112),'NY East Load Projections'!$A$4:$EO$14,((MONTH($A112)-1)*12)+VLOOKUP(AA$4,$DE$6:$DF$17,2)+1))*(VLOOKUP($A112,CURVES!$D$9:$K$261,3))*(INDEX(DailyScalarsTable,AA$5/100,MONTH($A112)))*$B112</f>
        <v>-70196.646564193157</v>
      </c>
      <c r="AB112" s="1021">
        <f>(VLOOKUP(YEAR($A112),'NY East Load Projections'!$A$4:$EO$14,((MONTH($A112)-1)*12)+VLOOKUP(AB$4,$DE$6:$DF$17,2)+1))*(VLOOKUP($A112,CURVES!$D$9:$K$261,3))*(INDEX(DailyScalarsTable,AB$5/100,MONTH($A112)))*$B112</f>
        <v>-59661.104030462193</v>
      </c>
      <c r="AC112" s="1021">
        <f>(VLOOKUP(YEAR($A112),'NY East Load Projections'!$A$4:$EO$14,((MONTH($A112)-1)*12)+VLOOKUP(AC$4,$DE$6:$DF$17,2)+1))*(VLOOKUP($A112,CURVES!$D$9:$K$261,3))*(INDEX(DailyScalarsTable,AC$5/100,MONTH($A112)))*$B112</f>
        <v>-47459.31519073042</v>
      </c>
      <c r="AD112" s="1021">
        <f>(VLOOKUP(YEAR($A112),'NY East Load Projections'!$A$4:$EO$14,((MONTH($A112)-1)*12)+VLOOKUP(AD$4,$DE$6:$DF$17,2)+1))*(VLOOKUP($A112,CURVES!$D$9:$K$261,3))*(INDEX(DailyScalarsTable,AD$5/100,MONTH($A112)))*$B112</f>
        <v>-40024.278165352778</v>
      </c>
      <c r="AE112" s="1021">
        <f>(VLOOKUP(YEAR($A112),'NY East Load Projections'!$A$4:$EO$14,((MONTH($A112)-1)*12)+VLOOKUP(AE$4,$DE$6:$DF$17,2)+1))*(VLOOKUP($A112,CURVES!$D$9:$K$261,7))*(INDEX(DailyScalarsTable,AE$5/100,MONTH($A112)))*$B112</f>
        <v>-36393.051882306056</v>
      </c>
      <c r="AF112" s="1021"/>
      <c r="AG112" s="1021">
        <f>(VLOOKUP(YEAR($A112),'NY East Load Projections'!$A$4:$EO$14,((MONTH($A112)-1)*12)+VLOOKUP(AG$4,$DE$6:$DF$17,2)+1))*(VLOOKUP($A112,CURVES!$D$9:$T$261,7))*(INDEX(DailyScalarsTable,AG$5/100,MONTH($A112)))*$C112</f>
        <v>-6506.2035662815779</v>
      </c>
      <c r="AH112" s="1021">
        <f>(VLOOKUP(YEAR($A112),'NY East Load Projections'!$A$4:$EO$14,((MONTH($A112)-1)*12)+VLOOKUP(AH$4,$DE$6:$DF$17,2)+1))*(VLOOKUP($A112,CURVES!$D$9:$T$261,7))*(INDEX(DailyScalarsTable,AH$5/100,MONTH($A112)))*$C112</f>
        <v>-6168.1189699917441</v>
      </c>
      <c r="AI112" s="1021">
        <f>(VLOOKUP(YEAR($A112),'NY East Load Projections'!$A$4:$EO$14,((MONTH($A112)-1)*12)+VLOOKUP(AI$4,$DE$6:$DF$17,2)+1))*(VLOOKUP($A112,CURVES!$D$9:$T$261,7))*(INDEX(DailyScalarsTable,AI$5/100,MONTH($A112)))*$C112</f>
        <v>-5919.6302915592578</v>
      </c>
      <c r="AJ112" s="1021">
        <f>(VLOOKUP(YEAR($A112),'NY East Load Projections'!$A$4:$EO$14,((MONTH($A112)-1)*12)+VLOOKUP(AJ$4,$DE$6:$DF$17,2)+1))*(VLOOKUP($A112,CURVES!$D$9:$T$261,7))*(INDEX(DailyScalarsTable,AJ$5/100,MONTH($A112)))*$C112</f>
        <v>-5923.1301321005603</v>
      </c>
      <c r="AK112" s="1021">
        <f>(VLOOKUP(YEAR($A112),'NY East Load Projections'!$A$4:$EO$14,((MONTH($A112)-1)*12)+VLOOKUP(AK$4,$DE$6:$DF$17,2)+1))*(VLOOKUP($A112,CURVES!$D$9:$T$261,7))*(INDEX(DailyScalarsTable,AK$5/100,MONTH($A112)))*$C112</f>
        <v>-6424.513843425194</v>
      </c>
      <c r="AL112" s="1021">
        <f>(VLOOKUP(YEAR($A112),'NY East Load Projections'!$A$4:$EO$14,((MONTH($A112)-1)*12)+VLOOKUP(AL$4,$DE$6:$DF$17,2)+1))*(VLOOKUP($A112,CURVES!$D$9:$T$261,7))*(INDEX(DailyScalarsTable,AL$5/100,MONTH($A112)))*$C112</f>
        <v>-7401.8337099539685</v>
      </c>
      <c r="AM112" s="1021">
        <f>(VLOOKUP(YEAR($A112),'NY East Load Projections'!$A$4:$EO$14,((MONTH($A112)-1)*12)+VLOOKUP(AM$4,$DE$6:$DF$17,2)+1))*(VLOOKUP($A112,CURVES!$D$9:$T$261,7))*(INDEX(DailyScalarsTable,AM$5/100,MONTH($A112)))*$C112</f>
        <v>-10602.396811653713</v>
      </c>
      <c r="AN112" s="1021">
        <f>(VLOOKUP(YEAR($A112),'NY East Load Projections'!$A$4:$EO$14,((MONTH($A112)-1)*12)+VLOOKUP(AN$4,$DE$6:$DF$17,2)+1))*(VLOOKUP($A112,SatSunCurve,3))*(INDEX(DailyScalarsTable,AN$5/100,MONTH($A112)))*$C112</f>
        <v>-9679.0026196743474</v>
      </c>
      <c r="AO112" s="1021">
        <f>(VLOOKUP(YEAR($A112),'NY East Load Projections'!$A$4:$EO$14,((MONTH($A112)-1)*12)+VLOOKUP(AO$4,$DE$6:$DF$17,2)+1))*(VLOOKUP($A112,SatSunCurve,3))*(INDEX(DailyScalarsTable,AO$5/100,MONTH($A112)))*$C112</f>
        <v>-11022.481257828718</v>
      </c>
      <c r="AP112" s="1021">
        <f>(VLOOKUP(YEAR($A112),'NY East Load Projections'!$A$4:$EO$14,((MONTH($A112)-1)*12)+VLOOKUP(AP$4,$DE$6:$DF$17,2)+1))*(VLOOKUP($A112,SatSunCurve,3))*(INDEX(DailyScalarsTable,AP$5/100,MONTH($A112)))*$C112</f>
        <v>-10951.094629692947</v>
      </c>
      <c r="AQ112" s="1021">
        <f>(VLOOKUP(YEAR($A112),'NY East Load Projections'!$A$4:$EO$14,((MONTH($A112)-1)*12)+VLOOKUP(AQ$4,$DE$6:$DF$17,2)+1))*(VLOOKUP($A112,SatSunCurve,3))*(INDEX(DailyScalarsTable,AQ$5/100,MONTH($A112)))*$C112</f>
        <v>-10739.828797777622</v>
      </c>
      <c r="AR112" s="1021">
        <f>(VLOOKUP(YEAR($A112),'NY East Load Projections'!$A$4:$EO$14,((MONTH($A112)-1)*12)+VLOOKUP(AR$4,$DE$6:$DF$17,2)+1))*(VLOOKUP($A112,SatSunCurve,3))*(INDEX(DailyScalarsTable,AR$5/100,MONTH($A112)))*$C112</f>
        <v>-9042.9493533070545</v>
      </c>
      <c r="AS112" s="1021">
        <f>(VLOOKUP(YEAR($A112),'NY East Load Projections'!$A$4:$EO$14,((MONTH($A112)-1)*12)+VLOOKUP(AS$4,$DE$6:$DF$17,2)+1))*(VLOOKUP($A112,SatSunCurve,3))*(INDEX(DailyScalarsTable,AS$5/100,MONTH($A112)))*$C112</f>
        <v>-8772.8819842437315</v>
      </c>
      <c r="AT112" s="1021">
        <f>(VLOOKUP(YEAR($A112),'NY East Load Projections'!$A$4:$EO$14,((MONTH($A112)-1)*12)+VLOOKUP(AT$4,$DE$6:$DF$17,2)+1))*(VLOOKUP($A112,SatSunCurve,3))*(INDEX(DailyScalarsTable,AT$5/100,MONTH($A112)))*$C112</f>
        <v>-8537.3883801814627</v>
      </c>
      <c r="AU112" s="1021">
        <f>(VLOOKUP(YEAR($A112),'NY East Load Projections'!$A$4:$EO$14,((MONTH($A112)-1)*12)+VLOOKUP(AU$4,$DE$6:$DF$17,2)+1))*(VLOOKUP($A112,SatSunCurve,3))*(INDEX(DailyScalarsTable,AU$5/100,MONTH($A112)))*$C112</f>
        <v>-8337.6659564830825</v>
      </c>
      <c r="AV112" s="1021">
        <f>(VLOOKUP(YEAR($A112),'NY East Load Projections'!$A$4:$EO$14,((MONTH($A112)-1)*12)+VLOOKUP(AV$4,$DE$6:$DF$17,2)+1))*(VLOOKUP($A112,SatSunCurve,3))*(INDEX(DailyScalarsTable,AV$5/100,MONTH($A112)))*$C112</f>
        <v>-8200.5430984215109</v>
      </c>
      <c r="AW112" s="1021">
        <f>(VLOOKUP(YEAR($A112),'NY East Load Projections'!$A$4:$EO$14,((MONTH($A112)-1)*12)+VLOOKUP(AW$4,$DE$6:$DF$17,2)+1))*(VLOOKUP($A112,SatSunCurve,3))*(INDEX(DailyScalarsTable,AW$5/100,MONTH($A112)))*$C112</f>
        <v>-8377.9216407952026</v>
      </c>
      <c r="AX112" s="1021">
        <f>(VLOOKUP(YEAR($A112),'NY East Load Projections'!$A$4:$EO$14,((MONTH($A112)-1)*12)+VLOOKUP(AX$4,$DE$6:$DF$17,2)+1))*(VLOOKUP($A112,SatSunCurve,3))*(INDEX(DailyScalarsTable,AX$5/100,MONTH($A112)))*$C112</f>
        <v>-11500.979504863344</v>
      </c>
      <c r="AY112" s="1021">
        <f>(VLOOKUP(YEAR($A112),'NY East Load Projections'!$A$4:$EO$14,((MONTH($A112)-1)*12)+VLOOKUP(AY$4,$DE$6:$DF$17,2)+1))*(VLOOKUP($A112,SatSunCurve,3))*(INDEX(DailyScalarsTable,AY$5/100,MONTH($A112)))*$C112</f>
        <v>-11593.584548941613</v>
      </c>
      <c r="AZ112" s="1021">
        <f>(VLOOKUP(YEAR($A112),'NY East Load Projections'!$A$4:$EO$14,((MONTH($A112)-1)*12)+VLOOKUP(AZ$4,$DE$6:$DF$17,2)+1))*(VLOOKUP($A112,SatSunCurve,3))*(INDEX(DailyScalarsTable,AZ$5/100,MONTH($A112)))*$C112</f>
        <v>-11119.219935397829</v>
      </c>
      <c r="BA112" s="1021">
        <f>(VLOOKUP(YEAR($A112),'NY East Load Projections'!$A$4:$EO$14,((MONTH($A112)-1)*12)+VLOOKUP(BA$4,$DE$6:$DF$17,2)+1))*(VLOOKUP($A112,SatSunCurve,3))*(INDEX(DailyScalarsTable,BA$5/100,MONTH($A112)))*$C112</f>
        <v>-9830.491152031771</v>
      </c>
      <c r="BB112" s="1021">
        <f>(VLOOKUP(YEAR($A112),'NY East Load Projections'!$A$4:$EO$14,((MONTH($A112)-1)*12)+VLOOKUP(BB$4,$DE$6:$DF$17,2)+1))*(VLOOKUP($A112,SatSunCurve,3))*(INDEX(DailyScalarsTable,BB$5/100,MONTH($A112)))*$C112</f>
        <v>-7819.9756046376351</v>
      </c>
      <c r="BC112" s="1021">
        <f>(VLOOKUP(YEAR($A112),'NY East Load Projections'!$A$4:$EO$14,((MONTH($A112)-1)*12)+VLOOKUP(BC$4,$DE$6:$DF$17,2)+1))*(VLOOKUP($A112,SatSunCurve,3))*(INDEX(DailyScalarsTable,BC$5/100,MONTH($A112)))*$C112</f>
        <v>-6594.8882234908715</v>
      </c>
      <c r="BD112" s="1021">
        <f>(VLOOKUP(YEAR($A112),'NY East Load Projections'!$A$4:$EO$14,((MONTH($A112)-1)*12)+VLOOKUP(BD$4,$DE$6:$DF$17,2)+1))*(VLOOKUP($A112,CURVES!$D$9:$T$261,7))*(INDEX(DailyScalarsTable,BD$5/100,MONTH($A112)))*$C112</f>
        <v>-7440.7601317126891</v>
      </c>
      <c r="BE112" s="1021"/>
      <c r="BF112" s="1021">
        <f>(VLOOKUP(YEAR($A112),'NY East Load Projections'!$A$4:$EO$14,((MONTH($A112)-1)*12)+VLOOKUP(BF$4,$DE$6:$DF$17,2)+1))*(VLOOKUP($A112,CURVES!$D$9:$T$261,7))*(INDEX(DailyScalarsTable,BF$5/100,MONTH($A112)))*$D112</f>
        <v>-8132.7544578519719</v>
      </c>
      <c r="BG112" s="1021">
        <f>(VLOOKUP(YEAR($A112),'NY East Load Projections'!$A$4:$EO$14,((MONTH($A112)-1)*12)+VLOOKUP(BG$4,$DE$6:$DF$17,2)+1))*(VLOOKUP($A112,CURVES!$D$9:$T$261,7))*(INDEX(DailyScalarsTable,BG$5/100,MONTH($A112)))*$D112</f>
        <v>-7710.1487124896803</v>
      </c>
      <c r="BH112" s="1021">
        <f>(VLOOKUP(YEAR($A112),'NY East Load Projections'!$A$4:$EO$14,((MONTH($A112)-1)*12)+VLOOKUP(BH$4,$DE$6:$DF$17,2)+1))*(VLOOKUP($A112,CURVES!$D$9:$T$261,7))*(INDEX(DailyScalarsTable,BH$5/100,MONTH($A112)))*$D112</f>
        <v>-7399.537864449072</v>
      </c>
      <c r="BI112" s="1021">
        <f>(VLOOKUP(YEAR($A112),'NY East Load Projections'!$A$4:$EO$14,((MONTH($A112)-1)*12)+VLOOKUP(BI$4,$DE$6:$DF$17,2)+1))*(VLOOKUP($A112,CURVES!$D$9:$T$261,7))*(INDEX(DailyScalarsTable,BI$5/100,MONTH($A112)))*$D112</f>
        <v>-7403.9126651257002</v>
      </c>
      <c r="BJ112" s="1021">
        <f>(VLOOKUP(YEAR($A112),'NY East Load Projections'!$A$4:$EO$14,((MONTH($A112)-1)*12)+VLOOKUP(BJ$4,$DE$6:$DF$17,2)+1))*(VLOOKUP($A112,CURVES!$D$9:$T$261,7))*(INDEX(DailyScalarsTable,BJ$5/100,MONTH($A112)))*$D112</f>
        <v>-8030.6423042814922</v>
      </c>
      <c r="BK112" s="1021">
        <f>(VLOOKUP(YEAR($A112),'NY East Load Projections'!$A$4:$EO$14,((MONTH($A112)-1)*12)+VLOOKUP(BK$4,$DE$6:$DF$17,2)+1))*(VLOOKUP($A112,CURVES!$D$9:$T$261,7))*(INDEX(DailyScalarsTable,BK$5/100,MONTH($A112)))*$D112</f>
        <v>-9252.2921374424604</v>
      </c>
      <c r="BL112" s="1021">
        <f>(VLOOKUP(YEAR($A112),'NY East Load Projections'!$A$4:$EO$14,((MONTH($A112)-1)*12)+VLOOKUP(BL$4,$DE$6:$DF$17,2)+1))*(VLOOKUP($A112,CURVES!$D$9:$T$261,7))*(INDEX(DailyScalarsTable,BL$5/100,MONTH($A112)))*$D112</f>
        <v>-13252.996014567141</v>
      </c>
      <c r="BM112" s="1021">
        <f>(VLOOKUP(YEAR($A112),'NY East Load Projections'!$A$4:$EO$14,((MONTH($A112)-1)*12)+VLOOKUP(BM$4,$DE$6:$DF$17,2)+1))*(VLOOKUP($A112,SatSunCurve,7))*(INDEX(DailyScalarsTable,BM$5/100,MONTH($A112)))*$D112</f>
        <v>-11138.594926311544</v>
      </c>
      <c r="BN112" s="1021">
        <f>(VLOOKUP(YEAR($A112),'NY East Load Projections'!$A$4:$EO$14,((MONTH($A112)-1)*12)+VLOOKUP(BN$4,$DE$6:$DF$17,2)+1))*(VLOOKUP($A112,SatSunCurve,7))*(INDEX(DailyScalarsTable,BN$5/100,MONTH($A112)))*$D112</f>
        <v>-12684.669964263925</v>
      </c>
      <c r="BO112" s="1021">
        <f>(VLOOKUP(YEAR($A112),'NY East Load Projections'!$A$4:$EO$14,((MONTH($A112)-1)*12)+VLOOKUP(BO$4,$DE$6:$DF$17,2)+1))*(VLOOKUP($A112,SatSunCurve,7))*(INDEX(DailyScalarsTable,BO$5/100,MONTH($A112)))*$D112</f>
        <v>-12602.518242107833</v>
      </c>
      <c r="BP112" s="1021">
        <f>(VLOOKUP(YEAR($A112),'NY East Load Projections'!$A$4:$EO$14,((MONTH($A112)-1)*12)+VLOOKUP(BP$4,$DE$6:$DF$17,2)+1))*(VLOOKUP($A112,SatSunCurve,7))*(INDEX(DailyScalarsTable,BP$5/100,MONTH($A112)))*$D112</f>
        <v>-12359.393550862094</v>
      </c>
      <c r="BQ112" s="1021">
        <f>(VLOOKUP(YEAR($A112),'NY East Load Projections'!$A$4:$EO$14,((MONTH($A112)-1)*12)+VLOOKUP(BQ$4,$DE$6:$DF$17,2)+1))*(VLOOKUP($A112,SatSunCurve,7))*(INDEX(DailyScalarsTable,BQ$5/100,MONTH($A112)))*$D112</f>
        <v>-10406.62491204359</v>
      </c>
      <c r="BR112" s="1021">
        <f>(VLOOKUP(YEAR($A112),'NY East Load Projections'!$A$4:$EO$14,((MONTH($A112)-1)*12)+VLOOKUP(BR$4,$DE$6:$DF$17,2)+1))*(VLOOKUP($A112,SatSunCurve,7))*(INDEX(DailyScalarsTable,BR$5/100,MONTH($A112)))*$D112</f>
        <v>-10095.831419675234</v>
      </c>
      <c r="BS112" s="1021">
        <f>(VLOOKUP(YEAR($A112),'NY East Load Projections'!$A$4:$EO$14,((MONTH($A112)-1)*12)+VLOOKUP(BS$4,$DE$6:$DF$17,2)+1))*(VLOOKUP($A112,SatSunCurve,7))*(INDEX(DailyScalarsTable,BS$5/100,MONTH($A112)))*$D112</f>
        <v>-9824.8254114678475</v>
      </c>
      <c r="BT112" s="1021">
        <f>(VLOOKUP(YEAR($A112),'NY East Load Projections'!$A$4:$EO$14,((MONTH($A112)-1)*12)+VLOOKUP(BT$4,$DE$6:$DF$17,2)+1))*(VLOOKUP($A112,SatSunCurve,7))*(INDEX(DailyScalarsTable,BT$5/100,MONTH($A112)))*$D112</f>
        <v>-9594.9848728615798</v>
      </c>
      <c r="BU112" s="1021">
        <f>(VLOOKUP(YEAR($A112),'NY East Load Projections'!$A$4:$EO$14,((MONTH($A112)-1)*12)+VLOOKUP(BU$4,$DE$6:$DF$17,2)+1))*(VLOOKUP($A112,SatSunCurve,7))*(INDEX(DailyScalarsTable,BU$5/100,MONTH($A112)))*$D112</f>
        <v>-9437.1839060572784</v>
      </c>
      <c r="BV112" s="1021">
        <f>(VLOOKUP(YEAR($A112),'NY East Load Projections'!$A$4:$EO$14,((MONTH($A112)-1)*12)+VLOOKUP(BV$4,$DE$6:$DF$17,2)+1))*(VLOOKUP($A112,SatSunCurve,7))*(INDEX(DailyScalarsTable,BV$5/100,MONTH($A112)))*$D112</f>
        <v>-9641.3111090093771</v>
      </c>
      <c r="BW112" s="1021">
        <f>(VLOOKUP(YEAR($A112),'NY East Load Projections'!$A$4:$EO$14,((MONTH($A112)-1)*12)+VLOOKUP(BW$4,$DE$6:$DF$17,2)+1))*(VLOOKUP($A112,SatSunCurve,7))*(INDEX(DailyScalarsTable,BW$5/100,MONTH($A112)))*$D112</f>
        <v>-13235.325683256611</v>
      </c>
      <c r="BX112" s="1021">
        <f>(VLOOKUP(YEAR($A112),'NY East Load Projections'!$A$4:$EO$14,((MONTH($A112)-1)*12)+VLOOKUP(BX$4,$DE$6:$DF$17,2)+1))*(VLOOKUP($A112,SatSunCurve,7))*(INDEX(DailyScalarsTable,BX$5/100,MONTH($A112)))*$D112</f>
        <v>-13341.895555654866</v>
      </c>
      <c r="BY112" s="1021">
        <f>(VLOOKUP(YEAR($A112),'NY East Load Projections'!$A$4:$EO$14,((MONTH($A112)-1)*12)+VLOOKUP(BY$4,$DE$6:$DF$17,2)+1))*(VLOOKUP($A112,SatSunCurve,7))*(INDEX(DailyScalarsTable,BY$5/100,MONTH($A112)))*$D112</f>
        <v>-12795.996821533197</v>
      </c>
      <c r="BZ112" s="1021">
        <f>(VLOOKUP(YEAR($A112),'NY East Load Projections'!$A$4:$EO$14,((MONTH($A112)-1)*12)+VLOOKUP(BZ$4,$DE$6:$DF$17,2)+1))*(VLOOKUP($A112,SatSunCurve,7))*(INDEX(DailyScalarsTable,BZ$5/100,MONTH($A112)))*$D112</f>
        <v>-11312.927909183243</v>
      </c>
      <c r="CA112" s="1021">
        <f>(VLOOKUP(YEAR($A112),'NY East Load Projections'!$A$4:$EO$14,((MONTH($A112)-1)*12)+VLOOKUP(CA$4,$DE$6:$DF$17,2)+1))*(VLOOKUP($A112,SatSunCurve,7))*(INDEX(DailyScalarsTable,CA$5/100,MONTH($A112)))*$D112</f>
        <v>-8999.2268848696149</v>
      </c>
      <c r="CB112" s="1021">
        <f>(VLOOKUP(YEAR($A112),'NY East Load Projections'!$A$4:$EO$14,((MONTH($A112)-1)*12)+VLOOKUP(CB$4,$DE$6:$DF$17,2)+1))*(VLOOKUP($A112,SatSunCurve,7))*(INDEX(DailyScalarsTable,CB$5/100,MONTH($A112)))*$D112</f>
        <v>-7589.3964897220667</v>
      </c>
      <c r="CC112" s="1021">
        <f>(VLOOKUP(YEAR($A112),'NY East Load Projections'!$A$4:$EO$14,((MONTH($A112)-1)*12)+VLOOKUP(CC$4,$DE$6:$DF$17,2)+1))*(VLOOKUP($A112,CURVES!$D$9:$T$261,7))*(INDEX(DailyScalarsTable,CC$5/100,MONTH($A112)))*$D112</f>
        <v>-9300.9501646408607</v>
      </c>
      <c r="CE112" s="1021">
        <f>(VLOOKUP(YEAR($A112),'NY East Load Projections'!$A$4:$EO$14,((MONTH($A112)-1)*12)+VLOOKUP(CE$4,$DE$6:$DF$17,2)+1))*(VLOOKUP($A112,CURVES!$D$9:$T$261,7))*(INDEX(DailyScalarsTable,CE$5/100,MONTH($A112)))*$E112</f>
        <v>-1626.5508915703945</v>
      </c>
      <c r="CF112" s="1021">
        <f>(VLOOKUP(YEAR($A112),'NY East Load Projections'!$A$4:$EO$14,((MONTH($A112)-1)*12)+VLOOKUP(CF$4,$DE$6:$DF$17,2)+1))*(VLOOKUP($A112,CURVES!$D$9:$T$261,7))*(INDEX(DailyScalarsTable,CF$5/100,MONTH($A112)))*$E112</f>
        <v>-1542.029742497936</v>
      </c>
      <c r="CG112" s="1021">
        <f>(VLOOKUP(YEAR($A112),'NY East Load Projections'!$A$4:$EO$14,((MONTH($A112)-1)*12)+VLOOKUP(CG$4,$DE$6:$DF$17,2)+1))*(VLOOKUP($A112,CURVES!$D$9:$T$261,7))*(INDEX(DailyScalarsTable,CG$5/100,MONTH($A112)))*$E112</f>
        <v>-1479.9075728898144</v>
      </c>
      <c r="CH112" s="1021">
        <f>(VLOOKUP(YEAR($A112),'NY East Load Projections'!$A$4:$EO$14,((MONTH($A112)-1)*12)+VLOOKUP(CH$4,$DE$6:$DF$17,2)+1))*(VLOOKUP($A112,CURVES!$D$9:$T$261,7))*(INDEX(DailyScalarsTable,CH$5/100,MONTH($A112)))*$E112</f>
        <v>-1480.7825330251401</v>
      </c>
      <c r="CI112" s="1021">
        <f>(VLOOKUP(YEAR($A112),'NY East Load Projections'!$A$4:$EO$14,((MONTH($A112)-1)*12)+VLOOKUP(CI$4,$DE$6:$DF$17,2)+1))*(VLOOKUP($A112,CURVES!$D$9:$T$261,7))*(INDEX(DailyScalarsTable,CI$5/100,MONTH($A112)))*$E112</f>
        <v>-1606.1284608562985</v>
      </c>
      <c r="CJ112" s="1021">
        <f>(VLOOKUP(YEAR($A112),'NY East Load Projections'!$A$4:$EO$14,((MONTH($A112)-1)*12)+VLOOKUP(CJ$4,$DE$6:$DF$17,2)+1))*(VLOOKUP($A112,CURVES!$D$9:$T$261,7))*(INDEX(DailyScalarsTable,CJ$5/100,MONTH($A112)))*$E112</f>
        <v>-1850.4584274884921</v>
      </c>
      <c r="CK112" s="1021">
        <f>(VLOOKUP(YEAR($A112),'NY East Load Projections'!$A$4:$EO$14,((MONTH($A112)-1)*12)+VLOOKUP(CK$4,$DE$6:$DF$17,2)+1))*(VLOOKUP($A112,CURVES!$D$9:$T$261,7))*(INDEX(DailyScalarsTable,CK$5/100,MONTH($A112)))*$E112</f>
        <v>-2650.5992029134281</v>
      </c>
      <c r="CL112" s="1021">
        <f>(VLOOKUP(YEAR($A112),'NY East Load Projections'!$A$4:$EO$14,((MONTH($A112)-1)*12)+VLOOKUP(CL$4,$DE$6:$DF$17,2)+1))*(VLOOKUP($A112,SatSunCurve,7))*(INDEX(DailyScalarsTable,CL$5/100,MONTH($A112)))*$E112</f>
        <v>-2227.7189852623087</v>
      </c>
      <c r="CM112" s="1021">
        <f>(VLOOKUP(YEAR($A112),'NY East Load Projections'!$A$4:$EO$14,((MONTH($A112)-1)*12)+VLOOKUP(CM$4,$DE$6:$DF$17,2)+1))*(VLOOKUP($A112,SatSunCurve,7))*(INDEX(DailyScalarsTable,CM$5/100,MONTH($A112)))*$E112</f>
        <v>-2536.9339928527852</v>
      </c>
      <c r="CN112" s="1021">
        <f>(VLOOKUP(YEAR($A112),'NY East Load Projections'!$A$4:$EO$14,((MONTH($A112)-1)*12)+VLOOKUP(CN$4,$DE$6:$DF$17,2)+1))*(VLOOKUP($A112,SatSunCurve,7))*(INDEX(DailyScalarsTable,CN$5/100,MONTH($A112)))*$E112</f>
        <v>-2520.5036484215666</v>
      </c>
      <c r="CO112" s="1021">
        <f>(VLOOKUP(YEAR($A112),'NY East Load Projections'!$A$4:$EO$14,((MONTH($A112)-1)*12)+VLOOKUP(CO$4,$DE$6:$DF$17,2)+1))*(VLOOKUP($A112,SatSunCurve,7))*(INDEX(DailyScalarsTable,CO$5/100,MONTH($A112)))*$E112</f>
        <v>-2471.8787101724188</v>
      </c>
      <c r="CP112" s="1021">
        <f>(VLOOKUP(YEAR($A112),'NY East Load Projections'!$A$4:$EO$14,((MONTH($A112)-1)*12)+VLOOKUP(CP$4,$DE$6:$DF$17,2)+1))*(VLOOKUP($A112,SatSunCurve,7))*(INDEX(DailyScalarsTable,CP$5/100,MONTH($A112)))*$E112</f>
        <v>-2081.3249824087179</v>
      </c>
      <c r="CQ112" s="1021">
        <f>(VLOOKUP(YEAR($A112),'NY East Load Projections'!$A$4:$EO$14,((MONTH($A112)-1)*12)+VLOOKUP(CQ$4,$DE$6:$DF$17,2)+1))*(VLOOKUP($A112,SatSunCurve,7))*(INDEX(DailyScalarsTable,CQ$5/100,MONTH($A112)))*$E112</f>
        <v>-2019.166283935047</v>
      </c>
      <c r="CR112" s="1021">
        <f>(VLOOKUP(YEAR($A112),'NY East Load Projections'!$A$4:$EO$14,((MONTH($A112)-1)*12)+VLOOKUP(CR$4,$DE$6:$DF$17,2)+1))*(VLOOKUP($A112,SatSunCurve,7))*(INDEX(DailyScalarsTable,CR$5/100,MONTH($A112)))*$E112</f>
        <v>-1964.9650822935694</v>
      </c>
      <c r="CS112" s="1021">
        <f>(VLOOKUP(YEAR($A112),'NY East Load Projections'!$A$4:$EO$14,((MONTH($A112)-1)*12)+VLOOKUP(CS$4,$DE$6:$DF$17,2)+1))*(VLOOKUP($A112,SatSunCurve,7))*(INDEX(DailyScalarsTable,CS$5/100,MONTH($A112)))*$E112</f>
        <v>-1918.996974572316</v>
      </c>
      <c r="CT112" s="1021">
        <f>(VLOOKUP(YEAR($A112),'NY East Load Projections'!$A$4:$EO$14,((MONTH($A112)-1)*12)+VLOOKUP(CT$4,$DE$6:$DF$17,2)+1))*(VLOOKUP($A112,SatSunCurve,7))*(INDEX(DailyScalarsTable,CT$5/100,MONTH($A112)))*$E112</f>
        <v>-1887.4367812114558</v>
      </c>
      <c r="CU112" s="1021">
        <f>(VLOOKUP(YEAR($A112),'NY East Load Projections'!$A$4:$EO$14,((MONTH($A112)-1)*12)+VLOOKUP(CU$4,$DE$6:$DF$17,2)+1))*(VLOOKUP($A112,SatSunCurve,7))*(INDEX(DailyScalarsTable,CU$5/100,MONTH($A112)))*$E112</f>
        <v>-1928.2622218018753</v>
      </c>
      <c r="CV112" s="1021">
        <f>(VLOOKUP(YEAR($A112),'NY East Load Projections'!$A$4:$EO$14,((MONTH($A112)-1)*12)+VLOOKUP(CV$4,$DE$6:$DF$17,2)+1))*(VLOOKUP($A112,SatSunCurve,7))*(INDEX(DailyScalarsTable,CV$5/100,MONTH($A112)))*$E112</f>
        <v>-2647.0651366513221</v>
      </c>
      <c r="CW112" s="1021">
        <f>(VLOOKUP(YEAR($A112),'NY East Load Projections'!$A$4:$EO$14,((MONTH($A112)-1)*12)+VLOOKUP(CW$4,$DE$6:$DF$17,2)+1))*(VLOOKUP($A112,SatSunCurve,7))*(INDEX(DailyScalarsTable,CW$5/100,MONTH($A112)))*$E112</f>
        <v>-2668.3791111309733</v>
      </c>
      <c r="CX112" s="1021">
        <f>(VLOOKUP(YEAR($A112),'NY East Load Projections'!$A$4:$EO$14,((MONTH($A112)-1)*12)+VLOOKUP(CX$4,$DE$6:$DF$17,2)+1))*(VLOOKUP($A112,SatSunCurve,7))*(INDEX(DailyScalarsTable,CX$5/100,MONTH($A112)))*$E112</f>
        <v>-2559.1993643066394</v>
      </c>
      <c r="CY112" s="1021">
        <f>(VLOOKUP(YEAR($A112),'NY East Load Projections'!$A$4:$EO$14,((MONTH($A112)-1)*12)+VLOOKUP(CY$4,$DE$6:$DF$17,2)+1))*(VLOOKUP($A112,SatSunCurve,7))*(INDEX(DailyScalarsTable,CY$5/100,MONTH($A112)))*$E112</f>
        <v>-2262.5855818366485</v>
      </c>
      <c r="CZ112" s="1021">
        <f>(VLOOKUP(YEAR($A112),'NY East Load Projections'!$A$4:$EO$14,((MONTH($A112)-1)*12)+VLOOKUP(CZ$4,$DE$6:$DF$17,2)+1))*(VLOOKUP($A112,SatSunCurve,7))*(INDEX(DailyScalarsTable,CZ$5/100,MONTH($A112)))*$E112</f>
        <v>-1799.8453769739231</v>
      </c>
      <c r="DA112" s="1021">
        <f>(VLOOKUP(YEAR($A112),'NY East Load Projections'!$A$4:$EO$14,((MONTH($A112)-1)*12)+VLOOKUP(DA$4,$DE$6:$DF$17,2)+1))*(VLOOKUP($A112,SatSunCurve,7))*(INDEX(DailyScalarsTable,DA$5/100,MONTH($A112)))*$E112</f>
        <v>-1517.8792979444133</v>
      </c>
      <c r="DB112" s="1021">
        <f>(VLOOKUP(YEAR($A112),'NY East Load Projections'!$A$4:$EO$14,((MONTH($A112)-1)*12)+VLOOKUP(DB$4,$DE$6:$DF$17,2)+1))*(VLOOKUP($A112,CURVES!$D$9:$T$261,7))*(INDEX(DailyScalarsTable,DB$5/100,MONTH($A112)))*$E112</f>
        <v>-1860.1900329281723</v>
      </c>
      <c r="DH112" s="1032">
        <f t="shared" si="2"/>
        <v>-1731688.0760359408</v>
      </c>
      <c r="DI112">
        <f ca="1">CALC!J132</f>
        <v>0.48988674343446137</v>
      </c>
      <c r="DJ112" s="1029">
        <f t="shared" ca="1" si="3"/>
        <v>-848331.03221353493</v>
      </c>
    </row>
    <row r="113" spans="1:114" x14ac:dyDescent="0.25">
      <c r="A113" s="244">
        <v>40148</v>
      </c>
      <c r="B113" s="13">
        <v>22</v>
      </c>
      <c r="C113" s="210">
        <v>4</v>
      </c>
      <c r="D113" s="210">
        <v>4</v>
      </c>
      <c r="E113" s="210">
        <v>1</v>
      </c>
      <c r="F113" s="13">
        <v>31</v>
      </c>
      <c r="H113" s="1021">
        <f>(VLOOKUP(YEAR($A113),'NY East Load Projections'!$A$4:$EO$14,((MONTH($A113)-1)*12)+VLOOKUP(H$4,$DE$6:$DF$17,2)+1))*(VLOOKUP($A113,CURVES!$D$9:$K$261,7))*(INDEX(DailyScalarsTable,H$5/100,MONTH($A113)))*$B113</f>
        <v>-36076.578871579943</v>
      </c>
      <c r="I113" s="1021">
        <f>(VLOOKUP(YEAR($A113),'NY East Load Projections'!$A$4:$EO$14,((MONTH($A113)-1)*12)+VLOOKUP(I$4,$DE$6:$DF$17,2)+1))*(VLOOKUP($A113,CURVES!$D$9:$K$261,7))*(INDEX(DailyScalarsTable,I$5/100,MONTH($A113)))*$B113</f>
        <v>-34201.916408430603</v>
      </c>
      <c r="J113" s="1021">
        <f>(VLOOKUP(YEAR($A113),'NY East Load Projections'!$A$4:$EO$14,((MONTH($A113)-1)*12)+VLOOKUP(J$4,$DE$6:$DF$17,2)+1))*(VLOOKUP($A113,CURVES!$D$9:$K$261,7))*(INDEX(DailyScalarsTable,J$5/100,MONTH($A113)))*$B113</f>
        <v>-32824.058904459554</v>
      </c>
      <c r="K113" s="1021">
        <f>(VLOOKUP(YEAR($A113),'NY East Load Projections'!$A$4:$EO$14,((MONTH($A113)-1)*12)+VLOOKUP(K$4,$DE$6:$DF$17,2)+1))*(VLOOKUP($A113,CURVES!$D$9:$K$261,7))*(INDEX(DailyScalarsTable,K$5/100,MONTH($A113)))*$B113</f>
        <v>-32843.465348177459</v>
      </c>
      <c r="L113" s="1021">
        <f>(VLOOKUP(YEAR($A113),'NY East Load Projections'!$A$4:$EO$14,((MONTH($A113)-1)*12)+VLOOKUP(L$4,$DE$6:$DF$17,2)+1))*(VLOOKUP($A113,CURVES!$D$9:$K$261,7))*(INDEX(DailyScalarsTable,L$5/100,MONTH($A113)))*$B113</f>
        <v>-37675.782397364259</v>
      </c>
      <c r="M113" s="1021">
        <f>(VLOOKUP(YEAR($A113),'NY East Load Projections'!$A$4:$EO$14,((MONTH($A113)-1)*12)+VLOOKUP(M$4,$DE$6:$DF$17,2)+1))*(VLOOKUP($A113,CURVES!$D$9:$K$261,7))*(INDEX(DailyScalarsTable,M$5/100,MONTH($A113)))*$B113</f>
        <v>-43407.156244685306</v>
      </c>
      <c r="N113" s="1021">
        <f>(VLOOKUP(YEAR($A113),'NY East Load Projections'!$A$4:$EO$14,((MONTH($A113)-1)*12)+VLOOKUP(N$4,$DE$6:$DF$17,2)+1))*(VLOOKUP($A113,CURVES!$D$9:$K$261,7))*(INDEX(DailyScalarsTable,N$5/100,MONTH($A113)))*$B113</f>
        <v>-62176.470453896225</v>
      </c>
      <c r="O113" s="1021">
        <f>(VLOOKUP(YEAR($A113),'NY East Load Projections'!$A$4:$EO$14,((MONTH($A113)-1)*12)+VLOOKUP(O$4,$DE$6:$DF$17,2)+1))*(VLOOKUP($A113,CURVES!$D$9:$K$261,3))*(INDEX(DailyScalarsTable,O$5/100,MONTH($A113)))*$B113</f>
        <v>-66411.905733512322</v>
      </c>
      <c r="P113" s="1021">
        <f>(VLOOKUP(YEAR($A113),'NY East Load Projections'!$A$4:$EO$14,((MONTH($A113)-1)*12)+VLOOKUP(P$4,$DE$6:$DF$17,2)+1))*(VLOOKUP($A113,CURVES!$D$9:$K$261,3))*(INDEX(DailyScalarsTable,P$5/100,MONTH($A113)))*$B113</f>
        <v>-75540.136718667214</v>
      </c>
      <c r="Q113" s="1021">
        <f>(VLOOKUP(YEAR($A113),'NY East Load Projections'!$A$4:$EO$14,((MONTH($A113)-1)*12)+VLOOKUP(Q$4,$DE$6:$DF$17,2)+1))*(VLOOKUP($A113,CURVES!$D$9:$K$261,3))*(INDEX(DailyScalarsTable,Q$5/100,MONTH($A113)))*$B113</f>
        <v>-75157.178472714178</v>
      </c>
      <c r="R113" s="1021">
        <f>(VLOOKUP(YEAR($A113),'NY East Load Projections'!$A$4:$EO$14,((MONTH($A113)-1)*12)+VLOOKUP(R$4,$DE$6:$DF$17,2)+1))*(VLOOKUP($A113,CURVES!$D$9:$K$261,3))*(INDEX(DailyScalarsTable,R$5/100,MONTH($A113)))*$B113</f>
        <v>-73521.492405253797</v>
      </c>
      <c r="S113" s="1021">
        <f>(VLOOKUP(YEAR($A113),'NY East Load Projections'!$A$4:$EO$14,((MONTH($A113)-1)*12)+VLOOKUP(S$4,$DE$6:$DF$17,2)+1))*(VLOOKUP($A113,CURVES!$D$9:$K$261,3))*(INDEX(DailyScalarsTable,S$5/100,MONTH($A113)))*$B113</f>
        <v>-59741.486368672711</v>
      </c>
      <c r="T113" s="1021">
        <f>(VLOOKUP(YEAR($A113),'NY East Load Projections'!$A$4:$EO$14,((MONTH($A113)-1)*12)+VLOOKUP(T$4,$DE$6:$DF$17,2)+1))*(VLOOKUP($A113,CURVES!$D$9:$K$261,3))*(INDEX(DailyScalarsTable,T$5/100,MONTH($A113)))*$B113</f>
        <v>-57387.113065511461</v>
      </c>
      <c r="U113" s="1021">
        <f>(VLOOKUP(YEAR($A113),'NY East Load Projections'!$A$4:$EO$14,((MONTH($A113)-1)*12)+VLOOKUP(U$4,$DE$6:$DF$17,2)+1))*(VLOOKUP($A113,CURVES!$D$9:$K$261,3))*(INDEX(DailyScalarsTable,U$5/100,MONTH($A113)))*$B113</f>
        <v>-54914.265697161049</v>
      </c>
      <c r="V113" s="1021">
        <f>(VLOOKUP(YEAR($A113),'NY East Load Projections'!$A$4:$EO$14,((MONTH($A113)-1)*12)+VLOOKUP(V$4,$DE$6:$DF$17,2)+1))*(VLOOKUP($A113,CURVES!$D$9:$K$261,3))*(INDEX(DailyScalarsTable,V$5/100,MONTH($A113)))*$B113</f>
        <v>-52152.810147889097</v>
      </c>
      <c r="W113" s="1021">
        <f>(VLOOKUP(YEAR($A113),'NY East Load Projections'!$A$4:$EO$14,((MONTH($A113)-1)*12)+VLOOKUP(W$4,$DE$6:$DF$17,2)+1))*(VLOOKUP($A113,CURVES!$D$9:$K$261,3))*(INDEX(DailyScalarsTable,W$5/100,MONTH($A113)))*$B113</f>
        <v>-51247.629944089727</v>
      </c>
      <c r="X113" s="1021">
        <f>(VLOOKUP(YEAR($A113),'NY East Load Projections'!$A$4:$EO$14,((MONTH($A113)-1)*12)+VLOOKUP(X$4,$DE$6:$DF$17,2)+1))*(VLOOKUP($A113,CURVES!$D$9:$K$261,3))*(INDEX(DailyScalarsTable,X$5/100,MONTH($A113)))*$B113</f>
        <v>-55497.236235580021</v>
      </c>
      <c r="Y113" s="1021">
        <f>(VLOOKUP(YEAR($A113),'NY East Load Projections'!$A$4:$EO$14,((MONTH($A113)-1)*12)+VLOOKUP(Y$4,$DE$6:$DF$17,2)+1))*(VLOOKUP($A113,CURVES!$D$9:$K$261,3))*(INDEX(DailyScalarsTable,Y$5/100,MONTH($A113)))*$B113</f>
        <v>-78214.713969726072</v>
      </c>
      <c r="Z113" s="1021">
        <f>(VLOOKUP(YEAR($A113),'NY East Load Projections'!$A$4:$EO$14,((MONTH($A113)-1)*12)+VLOOKUP(Z$4,$DE$6:$DF$17,2)+1))*(VLOOKUP($A113,CURVES!$D$9:$K$261,3))*(INDEX(DailyScalarsTable,Z$5/100,MONTH($A113)))*$B113</f>
        <v>-77693.606981006407</v>
      </c>
      <c r="AA113" s="1021">
        <f>(VLOOKUP(YEAR($A113),'NY East Load Projections'!$A$4:$EO$14,((MONTH($A113)-1)*12)+VLOOKUP(AA$4,$DE$6:$DF$17,2)+1))*(VLOOKUP($A113,CURVES!$D$9:$K$261,3))*(INDEX(DailyScalarsTable,AA$5/100,MONTH($A113)))*$B113</f>
        <v>-75018.200324879464</v>
      </c>
      <c r="AB113" s="1021">
        <f>(VLOOKUP(YEAR($A113),'NY East Load Projections'!$A$4:$EO$14,((MONTH($A113)-1)*12)+VLOOKUP(AB$4,$DE$6:$DF$17,2)+1))*(VLOOKUP($A113,CURVES!$D$9:$K$261,3))*(INDEX(DailyScalarsTable,AB$5/100,MONTH($A113)))*$B113</f>
        <v>-67315.686794827619</v>
      </c>
      <c r="AC113" s="1021">
        <f>(VLOOKUP(YEAR($A113),'NY East Load Projections'!$A$4:$EO$14,((MONTH($A113)-1)*12)+VLOOKUP(AC$4,$DE$6:$DF$17,2)+1))*(VLOOKUP($A113,CURVES!$D$9:$K$261,3))*(INDEX(DailyScalarsTable,AC$5/100,MONTH($A113)))*$B113</f>
        <v>-49624.8556620729</v>
      </c>
      <c r="AD113" s="1021">
        <f>(VLOOKUP(YEAR($A113),'NY East Load Projections'!$A$4:$EO$14,((MONTH($A113)-1)*12)+VLOOKUP(AD$4,$DE$6:$DF$17,2)+1))*(VLOOKUP($A113,CURVES!$D$9:$K$261,3))*(INDEX(DailyScalarsTable,AD$5/100,MONTH($A113)))*$B113</f>
        <v>-40941.234412925674</v>
      </c>
      <c r="AE113" s="1021">
        <f>(VLOOKUP(YEAR($A113),'NY East Load Projections'!$A$4:$EO$14,((MONTH($A113)-1)*12)+VLOOKUP(AE$4,$DE$6:$DF$17,2)+1))*(VLOOKUP($A113,CURVES!$D$9:$K$261,7))*(INDEX(DailyScalarsTable,AE$5/100,MONTH($A113)))*$B113</f>
        <v>-41666.637601476839</v>
      </c>
      <c r="AF113" s="1021"/>
      <c r="AG113" s="1021">
        <f>(VLOOKUP(YEAR($A113),'NY East Load Projections'!$A$4:$EO$14,((MONTH($A113)-1)*12)+VLOOKUP(AG$4,$DE$6:$DF$17,2)+1))*(VLOOKUP($A113,CURVES!$D$9:$T$261,7))*(INDEX(DailyScalarsTable,AG$5/100,MONTH($A113)))*$C113</f>
        <v>-6825.1195280759748</v>
      </c>
      <c r="AH113" s="1021">
        <f>(VLOOKUP(YEAR($A113),'NY East Load Projections'!$A$4:$EO$14,((MONTH($A113)-1)*12)+VLOOKUP(AH$4,$DE$6:$DF$17,2)+1))*(VLOOKUP($A113,CURVES!$D$9:$T$261,7))*(INDEX(DailyScalarsTable,AH$5/100,MONTH($A113)))*$C113</f>
        <v>-6470.4629673378686</v>
      </c>
      <c r="AI113" s="1021">
        <f>(VLOOKUP(YEAR($A113),'NY East Load Projections'!$A$4:$EO$14,((MONTH($A113)-1)*12)+VLOOKUP(AI$4,$DE$6:$DF$17,2)+1))*(VLOOKUP($A113,CURVES!$D$9:$T$261,7))*(INDEX(DailyScalarsTable,AI$5/100,MONTH($A113)))*$C113</f>
        <v>-6209.7940665883289</v>
      </c>
      <c r="AJ113" s="1021">
        <f>(VLOOKUP(YEAR($A113),'NY East Load Projections'!$A$4:$EO$14,((MONTH($A113)-1)*12)+VLOOKUP(AJ$4,$DE$6:$DF$17,2)+1))*(VLOOKUP($A113,CURVES!$D$9:$T$261,7))*(INDEX(DailyScalarsTable,AJ$5/100,MONTH($A113)))*$C113</f>
        <v>-6213.4654595566317</v>
      </c>
      <c r="AK113" s="1021">
        <f>(VLOOKUP(YEAR($A113),'NY East Load Projections'!$A$4:$EO$14,((MONTH($A113)-1)*12)+VLOOKUP(AK$4,$DE$6:$DF$17,2)+1))*(VLOOKUP($A113,CURVES!$D$9:$T$261,7))*(INDEX(DailyScalarsTable,AK$5/100,MONTH($A113)))*$C113</f>
        <v>-6759.7130644133349</v>
      </c>
      <c r="AL113" s="1021">
        <f>(VLOOKUP(YEAR($A113),'NY East Load Projections'!$A$4:$EO$14,((MONTH($A113)-1)*12)+VLOOKUP(AL$4,$DE$6:$DF$17,2)+1))*(VLOOKUP($A113,CURVES!$D$9:$T$261,7))*(INDEX(DailyScalarsTable,AL$5/100,MONTH($A113)))*$C113</f>
        <v>-7788.0246271078731</v>
      </c>
      <c r="AM113" s="1021">
        <f>(VLOOKUP(YEAR($A113),'NY East Load Projections'!$A$4:$EO$14,((MONTH($A113)-1)*12)+VLOOKUP(AM$4,$DE$6:$DF$17,2)+1))*(VLOOKUP($A113,CURVES!$D$9:$T$261,7))*(INDEX(DailyScalarsTable,AM$5/100,MONTH($A113)))*$C113</f>
        <v>-11155.57721385808</v>
      </c>
      <c r="AN113" s="1021">
        <f>(VLOOKUP(YEAR($A113),'NY East Load Projections'!$A$4:$EO$14,((MONTH($A113)-1)*12)+VLOOKUP(AN$4,$DE$6:$DF$17,2)+1))*(VLOOKUP($A113,SatSunCurve,3))*(INDEX(DailyScalarsTable,AN$5/100,MONTH($A113)))*$C113</f>
        <v>-10196.063559941967</v>
      </c>
      <c r="AO113" s="1021">
        <f>(VLOOKUP(YEAR($A113),'NY East Load Projections'!$A$4:$EO$14,((MONTH($A113)-1)*12)+VLOOKUP(AO$4,$DE$6:$DF$17,2)+1))*(VLOOKUP($A113,SatSunCurve,3))*(INDEX(DailyScalarsTable,AO$5/100,MONTH($A113)))*$C113</f>
        <v>-11643.960240707762</v>
      </c>
      <c r="AP113" s="1021">
        <f>(VLOOKUP(YEAR($A113),'NY East Load Projections'!$A$4:$EO$14,((MONTH($A113)-1)*12)+VLOOKUP(AP$4,$DE$6:$DF$17,2)+1))*(VLOOKUP($A113,SatSunCurve,3))*(INDEX(DailyScalarsTable,AP$5/100,MONTH($A113)))*$C113</f>
        <v>-11584.930024673928</v>
      </c>
      <c r="AQ113" s="1021">
        <f>(VLOOKUP(YEAR($A113),'NY East Load Projections'!$A$4:$EO$14,((MONTH($A113)-1)*12)+VLOOKUP(AQ$4,$DE$6:$DF$17,2)+1))*(VLOOKUP($A113,SatSunCurve,3))*(INDEX(DailyScalarsTable,AQ$5/100,MONTH($A113)))*$C113</f>
        <v>-11332.800966359926</v>
      </c>
      <c r="AR113" s="1021">
        <f>(VLOOKUP(YEAR($A113),'NY East Load Projections'!$A$4:$EO$14,((MONTH($A113)-1)*12)+VLOOKUP(AR$4,$DE$6:$DF$17,2)+1))*(VLOOKUP($A113,SatSunCurve,3))*(INDEX(DailyScalarsTable,AR$5/100,MONTH($A113)))*$C113</f>
        <v>-9208.713701278075</v>
      </c>
      <c r="AS113" s="1021">
        <f>(VLOOKUP(YEAR($A113),'NY East Load Projections'!$A$4:$EO$14,((MONTH($A113)-1)*12)+VLOOKUP(AS$4,$DE$6:$DF$17,2)+1))*(VLOOKUP($A113,SatSunCurve,3))*(INDEX(DailyScalarsTable,AS$5/100,MONTH($A113)))*$C113</f>
        <v>-8849.1239312953676</v>
      </c>
      <c r="AT113" s="1021">
        <f>(VLOOKUP(YEAR($A113),'NY East Load Projections'!$A$4:$EO$14,((MONTH($A113)-1)*12)+VLOOKUP(AT$4,$DE$6:$DF$17,2)+1))*(VLOOKUP($A113,SatSunCurve,3))*(INDEX(DailyScalarsTable,AT$5/100,MONTH($A113)))*$C113</f>
        <v>-8467.8095271236525</v>
      </c>
      <c r="AU113" s="1021">
        <f>(VLOOKUP(YEAR($A113),'NY East Load Projections'!$A$4:$EO$14,((MONTH($A113)-1)*12)+VLOOKUP(AU$4,$DE$6:$DF$17,2)+1))*(VLOOKUP($A113,SatSunCurve,3))*(INDEX(DailyScalarsTable,AU$5/100,MONTH($A113)))*$C113</f>
        <v>-8041.9915850645193</v>
      </c>
      <c r="AV113" s="1021">
        <f>(VLOOKUP(YEAR($A113),'NY East Load Projections'!$A$4:$EO$14,((MONTH($A113)-1)*12)+VLOOKUP(AV$4,$DE$6:$DF$17,2)+1))*(VLOOKUP($A113,SatSunCurve,3))*(INDEX(DailyScalarsTable,AV$5/100,MONTH($A113)))*$C113</f>
        <v>-7902.4123071448976</v>
      </c>
      <c r="AW113" s="1021">
        <f>(VLOOKUP(YEAR($A113),'NY East Load Projections'!$A$4:$EO$14,((MONTH($A113)-1)*12)+VLOOKUP(AW$4,$DE$6:$DF$17,2)+1))*(VLOOKUP($A113,SatSunCurve,3))*(INDEX(DailyScalarsTable,AW$5/100,MONTH($A113)))*$C113</f>
        <v>-8519.2704383636683</v>
      </c>
      <c r="AX113" s="1021">
        <f>(VLOOKUP(YEAR($A113),'NY East Load Projections'!$A$4:$EO$14,((MONTH($A113)-1)*12)+VLOOKUP(AX$4,$DE$6:$DF$17,2)+1))*(VLOOKUP($A113,SatSunCurve,3))*(INDEX(DailyScalarsTable,AX$5/100,MONTH($A113)))*$C113</f>
        <v>-12006.585296227106</v>
      </c>
      <c r="AY113" s="1021">
        <f>(VLOOKUP(YEAR($A113),'NY East Load Projections'!$A$4:$EO$14,((MONTH($A113)-1)*12)+VLOOKUP(AY$4,$DE$6:$DF$17,2)+1))*(VLOOKUP($A113,SatSunCurve,3))*(INDEX(DailyScalarsTable,AY$5/100,MONTH($A113)))*$C113</f>
        <v>-11926.591198045726</v>
      </c>
      <c r="AZ113" s="1021">
        <f>(VLOOKUP(YEAR($A113),'NY East Load Projections'!$A$4:$EO$14,((MONTH($A113)-1)*12)+VLOOKUP(AZ$4,$DE$6:$DF$17,2)+1))*(VLOOKUP($A113,SatSunCurve,3))*(INDEX(DailyScalarsTable,AZ$5/100,MONTH($A113)))*$C113</f>
        <v>-11515.894839412807</v>
      </c>
      <c r="BA113" s="1021">
        <f>(VLOOKUP(YEAR($A113),'NY East Load Projections'!$A$4:$EO$14,((MONTH($A113)-1)*12)+VLOOKUP(BA$4,$DE$6:$DF$17,2)+1))*(VLOOKUP($A113,SatSunCurve,3))*(INDEX(DailyScalarsTable,BA$5/100,MONTH($A113)))*$C113</f>
        <v>-10826.311503805424</v>
      </c>
      <c r="BB113" s="1021">
        <f>(VLOOKUP(YEAR($A113),'NY East Load Projections'!$A$4:$EO$14,((MONTH($A113)-1)*12)+VLOOKUP(BB$4,$DE$6:$DF$17,2)+1))*(VLOOKUP($A113,SatSunCurve,3))*(INDEX(DailyScalarsTable,BB$5/100,MONTH($A113)))*$C113</f>
        <v>-7981.1136350207298</v>
      </c>
      <c r="BC113" s="1021">
        <f>(VLOOKUP(YEAR($A113),'NY East Load Projections'!$A$4:$EO$14,((MONTH($A113)-1)*12)+VLOOKUP(BC$4,$DE$6:$DF$17,2)+1))*(VLOOKUP($A113,SatSunCurve,3))*(INDEX(DailyScalarsTable,BC$5/100,MONTH($A113)))*$C113</f>
        <v>-6584.5359114528037</v>
      </c>
      <c r="BD113" s="1021">
        <f>(VLOOKUP(YEAR($A113),'NY East Load Projections'!$A$4:$EO$14,((MONTH($A113)-1)*12)+VLOOKUP(BD$4,$DE$6:$DF$17,2)+1))*(VLOOKUP($A113,CURVES!$D$9:$T$261,7))*(INDEX(DailyScalarsTable,BD$5/100,MONTH($A113)))*$C113</f>
        <v>-7831.2679416429228</v>
      </c>
      <c r="BE113" s="1021"/>
      <c r="BF113" s="1021">
        <f>(VLOOKUP(YEAR($A113),'NY East Load Projections'!$A$4:$EO$14,((MONTH($A113)-1)*12)+VLOOKUP(BF$4,$DE$6:$DF$17,2)+1))*(VLOOKUP($A113,CURVES!$D$9:$T$261,7))*(INDEX(DailyScalarsTable,BF$5/100,MONTH($A113)))*$D113</f>
        <v>-6825.1195280759748</v>
      </c>
      <c r="BG113" s="1021">
        <f>(VLOOKUP(YEAR($A113),'NY East Load Projections'!$A$4:$EO$14,((MONTH($A113)-1)*12)+VLOOKUP(BG$4,$DE$6:$DF$17,2)+1))*(VLOOKUP($A113,CURVES!$D$9:$T$261,7))*(INDEX(DailyScalarsTable,BG$5/100,MONTH($A113)))*$D113</f>
        <v>-6470.4629673378686</v>
      </c>
      <c r="BH113" s="1021">
        <f>(VLOOKUP(YEAR($A113),'NY East Load Projections'!$A$4:$EO$14,((MONTH($A113)-1)*12)+VLOOKUP(BH$4,$DE$6:$DF$17,2)+1))*(VLOOKUP($A113,CURVES!$D$9:$T$261,7))*(INDEX(DailyScalarsTable,BH$5/100,MONTH($A113)))*$D113</f>
        <v>-6209.7940665883289</v>
      </c>
      <c r="BI113" s="1021">
        <f>(VLOOKUP(YEAR($A113),'NY East Load Projections'!$A$4:$EO$14,((MONTH($A113)-1)*12)+VLOOKUP(BI$4,$DE$6:$DF$17,2)+1))*(VLOOKUP($A113,CURVES!$D$9:$T$261,7))*(INDEX(DailyScalarsTable,BI$5/100,MONTH($A113)))*$D113</f>
        <v>-6213.4654595566317</v>
      </c>
      <c r="BJ113" s="1021">
        <f>(VLOOKUP(YEAR($A113),'NY East Load Projections'!$A$4:$EO$14,((MONTH($A113)-1)*12)+VLOOKUP(BJ$4,$DE$6:$DF$17,2)+1))*(VLOOKUP($A113,CURVES!$D$9:$T$261,7))*(INDEX(DailyScalarsTable,BJ$5/100,MONTH($A113)))*$D113</f>
        <v>-6759.7130644133349</v>
      </c>
      <c r="BK113" s="1021">
        <f>(VLOOKUP(YEAR($A113),'NY East Load Projections'!$A$4:$EO$14,((MONTH($A113)-1)*12)+VLOOKUP(BK$4,$DE$6:$DF$17,2)+1))*(VLOOKUP($A113,CURVES!$D$9:$T$261,7))*(INDEX(DailyScalarsTable,BK$5/100,MONTH($A113)))*$D113</f>
        <v>-7788.0246271078731</v>
      </c>
      <c r="BL113" s="1021">
        <f>(VLOOKUP(YEAR($A113),'NY East Load Projections'!$A$4:$EO$14,((MONTH($A113)-1)*12)+VLOOKUP(BL$4,$DE$6:$DF$17,2)+1))*(VLOOKUP($A113,CURVES!$D$9:$T$261,7))*(INDEX(DailyScalarsTable,BL$5/100,MONTH($A113)))*$D113</f>
        <v>-11155.57721385808</v>
      </c>
      <c r="BM113" s="1021">
        <f>(VLOOKUP(YEAR($A113),'NY East Load Projections'!$A$4:$EO$14,((MONTH($A113)-1)*12)+VLOOKUP(BM$4,$DE$6:$DF$17,2)+1))*(VLOOKUP($A113,SatSunCurve,7))*(INDEX(DailyScalarsTable,BM$5/100,MONTH($A113)))*$D113</f>
        <v>-8855.3321261095534</v>
      </c>
      <c r="BN113" s="1021">
        <f>(VLOOKUP(YEAR($A113),'NY East Load Projections'!$A$4:$EO$14,((MONTH($A113)-1)*12)+VLOOKUP(BN$4,$DE$6:$DF$17,2)+1))*(VLOOKUP($A113,SatSunCurve,7))*(INDEX(DailyScalarsTable,BN$5/100,MONTH($A113)))*$D113</f>
        <v>-10112.837624883208</v>
      </c>
      <c r="BO113" s="1021">
        <f>(VLOOKUP(YEAR($A113),'NY East Load Projections'!$A$4:$EO$14,((MONTH($A113)-1)*12)+VLOOKUP(BO$4,$DE$6:$DF$17,2)+1))*(VLOOKUP($A113,SatSunCurve,7))*(INDEX(DailyScalarsTable,BO$5/100,MONTH($A113)))*$D113</f>
        <v>-10061.569587431059</v>
      </c>
      <c r="BP113" s="1021">
        <f>(VLOOKUP(YEAR($A113),'NY East Load Projections'!$A$4:$EO$14,((MONTH($A113)-1)*12)+VLOOKUP(BP$4,$DE$6:$DF$17,2)+1))*(VLOOKUP($A113,SatSunCurve,7))*(INDEX(DailyScalarsTable,BP$5/100,MONTH($A113)))*$D113</f>
        <v>-9842.5942410252719</v>
      </c>
      <c r="BQ113" s="1021">
        <f>(VLOOKUP(YEAR($A113),'NY East Load Projections'!$A$4:$EO$14,((MONTH($A113)-1)*12)+VLOOKUP(BQ$4,$DE$6:$DF$17,2)+1))*(VLOOKUP($A113,SatSunCurve,7))*(INDEX(DailyScalarsTable,BQ$5/100,MONTH($A113)))*$D113</f>
        <v>-7997.8138425352336</v>
      </c>
      <c r="BR113" s="1021">
        <f>(VLOOKUP(YEAR($A113),'NY East Load Projections'!$A$4:$EO$14,((MONTH($A113)-1)*12)+VLOOKUP(BR$4,$DE$6:$DF$17,2)+1))*(VLOOKUP($A113,SatSunCurve,7))*(INDEX(DailyScalarsTable,BR$5/100,MONTH($A113)))*$D113</f>
        <v>-7685.5083313320119</v>
      </c>
      <c r="BS113" s="1021">
        <f>(VLOOKUP(YEAR($A113),'NY East Load Projections'!$A$4:$EO$14,((MONTH($A113)-1)*12)+VLOOKUP(BS$4,$DE$6:$DF$17,2)+1))*(VLOOKUP($A113,SatSunCurve,7))*(INDEX(DailyScalarsTable,BS$5/100,MONTH($A113)))*$D113</f>
        <v>-7354.3348668318213</v>
      </c>
      <c r="BT113" s="1021">
        <f>(VLOOKUP(YEAR($A113),'NY East Load Projections'!$A$4:$EO$14,((MONTH($A113)-1)*12)+VLOOKUP(BT$4,$DE$6:$DF$17,2)+1))*(VLOOKUP($A113,SatSunCurve,7))*(INDEX(DailyScalarsTable,BT$5/100,MONTH($A113)))*$D113</f>
        <v>-6984.5098574032263</v>
      </c>
      <c r="BU113" s="1021">
        <f>(VLOOKUP(YEAR($A113),'NY East Load Projections'!$A$4:$EO$14,((MONTH($A113)-1)*12)+VLOOKUP(BU$4,$DE$6:$DF$17,2)+1))*(VLOOKUP($A113,SatSunCurve,7))*(INDEX(DailyScalarsTable,BU$5/100,MONTH($A113)))*$D113</f>
        <v>-6863.2845574005041</v>
      </c>
      <c r="BV113" s="1021">
        <f>(VLOOKUP(YEAR($A113),'NY East Load Projections'!$A$4:$EO$14,((MONTH($A113)-1)*12)+VLOOKUP(BV$4,$DE$6:$DF$17,2)+1))*(VLOOKUP($A113,SatSunCurve,7))*(INDEX(DailyScalarsTable,BV$5/100,MONTH($A113)))*$D113</f>
        <v>-7399.0289252656039</v>
      </c>
      <c r="BW113" s="1021">
        <f>(VLOOKUP(YEAR($A113),'NY East Load Projections'!$A$4:$EO$14,((MONTH($A113)-1)*12)+VLOOKUP(BW$4,$DE$6:$DF$17,2)+1))*(VLOOKUP($A113,SatSunCurve,7))*(INDEX(DailyScalarsTable,BW$5/100,MONTH($A113)))*$D113</f>
        <v>-10427.77929673475</v>
      </c>
      <c r="BX113" s="1021">
        <f>(VLOOKUP(YEAR($A113),'NY East Load Projections'!$A$4:$EO$14,((MONTH($A113)-1)*12)+VLOOKUP(BX$4,$DE$6:$DF$17,2)+1))*(VLOOKUP($A113,SatSunCurve,7))*(INDEX(DailyScalarsTable,BX$5/100,MONTH($A113)))*$D113</f>
        <v>-10358.304022933225</v>
      </c>
      <c r="BY113" s="1021">
        <f>(VLOOKUP(YEAR($A113),'NY East Load Projections'!$A$4:$EO$14,((MONTH($A113)-1)*12)+VLOOKUP(BY$4,$DE$6:$DF$17,2)+1))*(VLOOKUP($A113,SatSunCurve,7))*(INDEX(DailyScalarsTable,BY$5/100,MONTH($A113)))*$D113</f>
        <v>-10001.612184235135</v>
      </c>
      <c r="BZ113" s="1021">
        <f>(VLOOKUP(YEAR($A113),'NY East Load Projections'!$A$4:$EO$14,((MONTH($A113)-1)*12)+VLOOKUP(BZ$4,$DE$6:$DF$17,2)+1))*(VLOOKUP($A113,SatSunCurve,7))*(INDEX(DailyScalarsTable,BZ$5/100,MONTH($A113)))*$D113</f>
        <v>-9402.7056131320587</v>
      </c>
      <c r="CA113" s="1021">
        <f>(VLOOKUP(YEAR($A113),'NY East Load Projections'!$A$4:$EO$14,((MONTH($A113)-1)*12)+VLOOKUP(CA$4,$DE$6:$DF$17,2)+1))*(VLOOKUP($A113,SatSunCurve,7))*(INDEX(DailyScalarsTable,CA$5/100,MONTH($A113)))*$D113</f>
        <v>-6931.637053734913</v>
      </c>
      <c r="CB113" s="1021">
        <f>(VLOOKUP(YEAR($A113),'NY East Load Projections'!$A$4:$EO$14,((MONTH($A113)-1)*12)+VLOOKUP(CB$4,$DE$6:$DF$17,2)+1))*(VLOOKUP($A113,SatSunCurve,7))*(INDEX(DailyScalarsTable,CB$5/100,MONTH($A113)))*$D113</f>
        <v>-5718.7023256004413</v>
      </c>
      <c r="CC113" s="1021">
        <f>(VLOOKUP(YEAR($A113),'NY East Load Projections'!$A$4:$EO$14,((MONTH($A113)-1)*12)+VLOOKUP(CC$4,$DE$6:$DF$17,2)+1))*(VLOOKUP($A113,CURVES!$D$9:$T$261,7))*(INDEX(DailyScalarsTable,CC$5/100,MONTH($A113)))*$D113</f>
        <v>-7831.2679416429228</v>
      </c>
      <c r="CE113" s="1021">
        <f>(VLOOKUP(YEAR($A113),'NY East Load Projections'!$A$4:$EO$14,((MONTH($A113)-1)*12)+VLOOKUP(CE$4,$DE$6:$DF$17,2)+1))*(VLOOKUP($A113,CURVES!$D$9:$T$261,7))*(INDEX(DailyScalarsTable,CE$5/100,MONTH($A113)))*$E113</f>
        <v>-1706.2798820189937</v>
      </c>
      <c r="CF113" s="1021">
        <f>(VLOOKUP(YEAR($A113),'NY East Load Projections'!$A$4:$EO$14,((MONTH($A113)-1)*12)+VLOOKUP(CF$4,$DE$6:$DF$17,2)+1))*(VLOOKUP($A113,CURVES!$D$9:$T$261,7))*(INDEX(DailyScalarsTable,CF$5/100,MONTH($A113)))*$E113</f>
        <v>-1617.6157418344671</v>
      </c>
      <c r="CG113" s="1021">
        <f>(VLOOKUP(YEAR($A113),'NY East Load Projections'!$A$4:$EO$14,((MONTH($A113)-1)*12)+VLOOKUP(CG$4,$DE$6:$DF$17,2)+1))*(VLOOKUP($A113,CURVES!$D$9:$T$261,7))*(INDEX(DailyScalarsTable,CG$5/100,MONTH($A113)))*$E113</f>
        <v>-1552.4485166470822</v>
      </c>
      <c r="CH113" s="1021">
        <f>(VLOOKUP(YEAR($A113),'NY East Load Projections'!$A$4:$EO$14,((MONTH($A113)-1)*12)+VLOOKUP(CH$4,$DE$6:$DF$17,2)+1))*(VLOOKUP($A113,CURVES!$D$9:$T$261,7))*(INDEX(DailyScalarsTable,CH$5/100,MONTH($A113)))*$E113</f>
        <v>-1553.3663648891579</v>
      </c>
      <c r="CI113" s="1021">
        <f>(VLOOKUP(YEAR($A113),'NY East Load Projections'!$A$4:$EO$14,((MONTH($A113)-1)*12)+VLOOKUP(CI$4,$DE$6:$DF$17,2)+1))*(VLOOKUP($A113,CURVES!$D$9:$T$261,7))*(INDEX(DailyScalarsTable,CI$5/100,MONTH($A113)))*$E113</f>
        <v>-1689.9282661033337</v>
      </c>
      <c r="CJ113" s="1021">
        <f>(VLOOKUP(YEAR($A113),'NY East Load Projections'!$A$4:$EO$14,((MONTH($A113)-1)*12)+VLOOKUP(CJ$4,$DE$6:$DF$17,2)+1))*(VLOOKUP($A113,CURVES!$D$9:$T$261,7))*(INDEX(DailyScalarsTable,CJ$5/100,MONTH($A113)))*$E113</f>
        <v>-1947.0061567769683</v>
      </c>
      <c r="CK113" s="1021">
        <f>(VLOOKUP(YEAR($A113),'NY East Load Projections'!$A$4:$EO$14,((MONTH($A113)-1)*12)+VLOOKUP(CK$4,$DE$6:$DF$17,2)+1))*(VLOOKUP($A113,CURVES!$D$9:$T$261,7))*(INDEX(DailyScalarsTable,CK$5/100,MONTH($A113)))*$E113</f>
        <v>-2788.8943034645199</v>
      </c>
      <c r="CL113" s="1021">
        <f>(VLOOKUP(YEAR($A113),'NY East Load Projections'!$A$4:$EO$14,((MONTH($A113)-1)*12)+VLOOKUP(CL$4,$DE$6:$DF$17,2)+1))*(VLOOKUP($A113,SatSunCurve,7))*(INDEX(DailyScalarsTable,CL$5/100,MONTH($A113)))*$E113</f>
        <v>-2213.8330315273884</v>
      </c>
      <c r="CM113" s="1021">
        <f>(VLOOKUP(YEAR($A113),'NY East Load Projections'!$A$4:$EO$14,((MONTH($A113)-1)*12)+VLOOKUP(CM$4,$DE$6:$DF$17,2)+1))*(VLOOKUP($A113,SatSunCurve,7))*(INDEX(DailyScalarsTable,CM$5/100,MONTH($A113)))*$E113</f>
        <v>-2528.2094062208021</v>
      </c>
      <c r="CN113" s="1021">
        <f>(VLOOKUP(YEAR($A113),'NY East Load Projections'!$A$4:$EO$14,((MONTH($A113)-1)*12)+VLOOKUP(CN$4,$DE$6:$DF$17,2)+1))*(VLOOKUP($A113,SatSunCurve,7))*(INDEX(DailyScalarsTable,CN$5/100,MONTH($A113)))*$E113</f>
        <v>-2515.3923968577647</v>
      </c>
      <c r="CO113" s="1021">
        <f>(VLOOKUP(YEAR($A113),'NY East Load Projections'!$A$4:$EO$14,((MONTH($A113)-1)*12)+VLOOKUP(CO$4,$DE$6:$DF$17,2)+1))*(VLOOKUP($A113,SatSunCurve,7))*(INDEX(DailyScalarsTable,CO$5/100,MONTH($A113)))*$E113</f>
        <v>-2460.648560256318</v>
      </c>
      <c r="CP113" s="1021">
        <f>(VLOOKUP(YEAR($A113),'NY East Load Projections'!$A$4:$EO$14,((MONTH($A113)-1)*12)+VLOOKUP(CP$4,$DE$6:$DF$17,2)+1))*(VLOOKUP($A113,SatSunCurve,7))*(INDEX(DailyScalarsTable,CP$5/100,MONTH($A113)))*$E113</f>
        <v>-1999.4534606338084</v>
      </c>
      <c r="CQ113" s="1021">
        <f>(VLOOKUP(YEAR($A113),'NY East Load Projections'!$A$4:$EO$14,((MONTH($A113)-1)*12)+VLOOKUP(CQ$4,$DE$6:$DF$17,2)+1))*(VLOOKUP($A113,SatSunCurve,7))*(INDEX(DailyScalarsTable,CQ$5/100,MONTH($A113)))*$E113</f>
        <v>-1921.377082833003</v>
      </c>
      <c r="CR113" s="1021">
        <f>(VLOOKUP(YEAR($A113),'NY East Load Projections'!$A$4:$EO$14,((MONTH($A113)-1)*12)+VLOOKUP(CR$4,$DE$6:$DF$17,2)+1))*(VLOOKUP($A113,SatSunCurve,7))*(INDEX(DailyScalarsTable,CR$5/100,MONTH($A113)))*$E113</f>
        <v>-1838.5837167079553</v>
      </c>
      <c r="CS113" s="1021">
        <f>(VLOOKUP(YEAR($A113),'NY East Load Projections'!$A$4:$EO$14,((MONTH($A113)-1)*12)+VLOOKUP(CS$4,$DE$6:$DF$17,2)+1))*(VLOOKUP($A113,SatSunCurve,7))*(INDEX(DailyScalarsTable,CS$5/100,MONTH($A113)))*$E113</f>
        <v>-1746.1274643508066</v>
      </c>
      <c r="CT113" s="1021">
        <f>(VLOOKUP(YEAR($A113),'NY East Load Projections'!$A$4:$EO$14,((MONTH($A113)-1)*12)+VLOOKUP(CT$4,$DE$6:$DF$17,2)+1))*(VLOOKUP($A113,SatSunCurve,7))*(INDEX(DailyScalarsTable,CT$5/100,MONTH($A113)))*$E113</f>
        <v>-1715.821139350126</v>
      </c>
      <c r="CU113" s="1021">
        <f>(VLOOKUP(YEAR($A113),'NY East Load Projections'!$A$4:$EO$14,((MONTH($A113)-1)*12)+VLOOKUP(CU$4,$DE$6:$DF$17,2)+1))*(VLOOKUP($A113,SatSunCurve,7))*(INDEX(DailyScalarsTable,CU$5/100,MONTH($A113)))*$E113</f>
        <v>-1849.757231316401</v>
      </c>
      <c r="CV113" s="1021">
        <f>(VLOOKUP(YEAR($A113),'NY East Load Projections'!$A$4:$EO$14,((MONTH($A113)-1)*12)+VLOOKUP(CV$4,$DE$6:$DF$17,2)+1))*(VLOOKUP($A113,SatSunCurve,7))*(INDEX(DailyScalarsTable,CV$5/100,MONTH($A113)))*$E113</f>
        <v>-2606.9448241836876</v>
      </c>
      <c r="CW113" s="1021">
        <f>(VLOOKUP(YEAR($A113),'NY East Load Projections'!$A$4:$EO$14,((MONTH($A113)-1)*12)+VLOOKUP(CW$4,$DE$6:$DF$17,2)+1))*(VLOOKUP($A113,SatSunCurve,7))*(INDEX(DailyScalarsTable,CW$5/100,MONTH($A113)))*$E113</f>
        <v>-2589.5760057333064</v>
      </c>
      <c r="CX113" s="1021">
        <f>(VLOOKUP(YEAR($A113),'NY East Load Projections'!$A$4:$EO$14,((MONTH($A113)-1)*12)+VLOOKUP(CX$4,$DE$6:$DF$17,2)+1))*(VLOOKUP($A113,SatSunCurve,7))*(INDEX(DailyScalarsTable,CX$5/100,MONTH($A113)))*$E113</f>
        <v>-2500.4030460587837</v>
      </c>
      <c r="CY113" s="1021">
        <f>(VLOOKUP(YEAR($A113),'NY East Load Projections'!$A$4:$EO$14,((MONTH($A113)-1)*12)+VLOOKUP(CY$4,$DE$6:$DF$17,2)+1))*(VLOOKUP($A113,SatSunCurve,7))*(INDEX(DailyScalarsTable,CY$5/100,MONTH($A113)))*$E113</f>
        <v>-2350.6764032830147</v>
      </c>
      <c r="CZ113" s="1021">
        <f>(VLOOKUP(YEAR($A113),'NY East Load Projections'!$A$4:$EO$14,((MONTH($A113)-1)*12)+VLOOKUP(CZ$4,$DE$6:$DF$17,2)+1))*(VLOOKUP($A113,SatSunCurve,7))*(INDEX(DailyScalarsTable,CZ$5/100,MONTH($A113)))*$E113</f>
        <v>-1732.9092634337283</v>
      </c>
      <c r="DA113" s="1021">
        <f>(VLOOKUP(YEAR($A113),'NY East Load Projections'!$A$4:$EO$14,((MONTH($A113)-1)*12)+VLOOKUP(DA$4,$DE$6:$DF$17,2)+1))*(VLOOKUP($A113,SatSunCurve,7))*(INDEX(DailyScalarsTable,DA$5/100,MONTH($A113)))*$E113</f>
        <v>-1429.6755814001103</v>
      </c>
      <c r="DB113" s="1021">
        <f>(VLOOKUP(YEAR($A113),'NY East Load Projections'!$A$4:$EO$14,((MONTH($A113)-1)*12)+VLOOKUP(DB$4,$DE$6:$DF$17,2)+1))*(VLOOKUP($A113,CURVES!$D$9:$T$261,7))*(INDEX(DailyScalarsTable,DB$5/100,MONTH($A113)))*$E113</f>
        <v>-1957.8169854107307</v>
      </c>
      <c r="DH113" s="1032">
        <f t="shared" si="2"/>
        <v>-1791156.8768555201</v>
      </c>
      <c r="DI113">
        <f ca="1">CALC!J133</f>
        <v>0.48680038887296539</v>
      </c>
      <c r="DJ113" s="1029">
        <f t="shared" ca="1" si="3"/>
        <v>-871935.86418575339</v>
      </c>
    </row>
    <row r="114" spans="1:114" x14ac:dyDescent="0.25">
      <c r="A114" s="244">
        <v>40179</v>
      </c>
      <c r="B114" s="13">
        <v>20</v>
      </c>
      <c r="C114" s="210">
        <v>5</v>
      </c>
      <c r="D114" s="210">
        <v>5</v>
      </c>
      <c r="E114" s="210">
        <v>1</v>
      </c>
      <c r="F114" s="13">
        <v>31</v>
      </c>
      <c r="H114" s="1021">
        <f>(VLOOKUP(YEAR($A114),'NY East Load Projections'!$A$4:$EO$14,((MONTH($A114)-1)*12)+VLOOKUP(H$4,$DE$6:$DF$17,2)+1))*(VLOOKUP($A114,CURVES!$D$9:$K$261,7))*(INDEX(DailyScalarsTable,H$5/100,MONTH($A114)))*$B114</f>
        <v>-29844.769892050314</v>
      </c>
      <c r="I114" s="1021">
        <f>(VLOOKUP(YEAR($A114),'NY East Load Projections'!$A$4:$EO$14,((MONTH($A114)-1)*12)+VLOOKUP(I$4,$DE$6:$DF$17,2)+1))*(VLOOKUP($A114,CURVES!$D$9:$K$261,7))*(INDEX(DailyScalarsTable,I$5/100,MONTH($A114)))*$B114</f>
        <v>-29263.31062651681</v>
      </c>
      <c r="J114" s="1021">
        <f>(VLOOKUP(YEAR($A114),'NY East Load Projections'!$A$4:$EO$14,((MONTH($A114)-1)*12)+VLOOKUP(J$4,$DE$6:$DF$17,2)+1))*(VLOOKUP($A114,CURVES!$D$9:$K$261,7))*(INDEX(DailyScalarsTable,J$5/100,MONTH($A114)))*$B114</f>
        <v>-26815.451448189524</v>
      </c>
      <c r="K114" s="1021">
        <f>(VLOOKUP(YEAR($A114),'NY East Load Projections'!$A$4:$EO$14,((MONTH($A114)-1)*12)+VLOOKUP(K$4,$DE$6:$DF$17,2)+1))*(VLOOKUP($A114,CURVES!$D$9:$K$261,7))*(INDEX(DailyScalarsTable,K$5/100,MONTH($A114)))*$B114</f>
        <v>-26799.238410558311</v>
      </c>
      <c r="L114" s="1021">
        <f>(VLOOKUP(YEAR($A114),'NY East Load Projections'!$A$4:$EO$14,((MONTH($A114)-1)*12)+VLOOKUP(L$4,$DE$6:$DF$17,2)+1))*(VLOOKUP($A114,CURVES!$D$9:$K$261,7))*(INDEX(DailyScalarsTable,L$5/100,MONTH($A114)))*$B114</f>
        <v>-29964.525652915276</v>
      </c>
      <c r="M114" s="1021">
        <f>(VLOOKUP(YEAR($A114),'NY East Load Projections'!$A$4:$EO$14,((MONTH($A114)-1)*12)+VLOOKUP(M$4,$DE$6:$DF$17,2)+1))*(VLOOKUP($A114,CURVES!$D$9:$K$261,7))*(INDEX(DailyScalarsTable,M$5/100,MONTH($A114)))*$B114</f>
        <v>-31978.679828521748</v>
      </c>
      <c r="N114" s="1021">
        <f>(VLOOKUP(YEAR($A114),'NY East Load Projections'!$A$4:$EO$14,((MONTH($A114)-1)*12)+VLOOKUP(N$4,$DE$6:$DF$17,2)+1))*(VLOOKUP($A114,CURVES!$D$9:$K$261,7))*(INDEX(DailyScalarsTable,N$5/100,MONTH($A114)))*$B114</f>
        <v>-61238.782492077291</v>
      </c>
      <c r="O114" s="1021">
        <f>(VLOOKUP(YEAR($A114),'NY East Load Projections'!$A$4:$EO$14,((MONTH($A114)-1)*12)+VLOOKUP(O$4,$DE$6:$DF$17,2)+1))*(VLOOKUP($A114,CURVES!$D$9:$K$261,3))*(INDEX(DailyScalarsTable,O$5/100,MONTH($A114)))*$B114</f>
        <v>-71687.307762457989</v>
      </c>
      <c r="P114" s="1021">
        <f>(VLOOKUP(YEAR($A114),'NY East Load Projections'!$A$4:$EO$14,((MONTH($A114)-1)*12)+VLOOKUP(P$4,$DE$6:$DF$17,2)+1))*(VLOOKUP($A114,CURVES!$D$9:$K$261,3))*(INDEX(DailyScalarsTable,P$5/100,MONTH($A114)))*$B114</f>
        <v>-77936.147096705448</v>
      </c>
      <c r="Q114" s="1021">
        <f>(VLOOKUP(YEAR($A114),'NY East Load Projections'!$A$4:$EO$14,((MONTH($A114)-1)*12)+VLOOKUP(Q$4,$DE$6:$DF$17,2)+1))*(VLOOKUP($A114,CURVES!$D$9:$K$261,3))*(INDEX(DailyScalarsTable,Q$5/100,MONTH($A114)))*$B114</f>
        <v>-77698.94076965595</v>
      </c>
      <c r="R114" s="1021">
        <f>(VLOOKUP(YEAR($A114),'NY East Load Projections'!$A$4:$EO$14,((MONTH($A114)-1)*12)+VLOOKUP(R$4,$DE$6:$DF$17,2)+1))*(VLOOKUP($A114,CURVES!$D$9:$K$261,3))*(INDEX(DailyScalarsTable,R$5/100,MONTH($A114)))*$B114</f>
        <v>-76342.992342872967</v>
      </c>
      <c r="S114" s="1021">
        <f>(VLOOKUP(YEAR($A114),'NY East Load Projections'!$A$4:$EO$14,((MONTH($A114)-1)*12)+VLOOKUP(S$4,$DE$6:$DF$17,2)+1))*(VLOOKUP($A114,CURVES!$D$9:$K$261,3))*(INDEX(DailyScalarsTable,S$5/100,MONTH($A114)))*$B114</f>
        <v>-57188.124324832723</v>
      </c>
      <c r="T114" s="1021">
        <f>(VLOOKUP(YEAR($A114),'NY East Load Projections'!$A$4:$EO$14,((MONTH($A114)-1)*12)+VLOOKUP(T$4,$DE$6:$DF$17,2)+1))*(VLOOKUP($A114,CURVES!$D$9:$K$261,3))*(INDEX(DailyScalarsTable,T$5/100,MONTH($A114)))*$B114</f>
        <v>-55304.745457362224</v>
      </c>
      <c r="U114" s="1021">
        <f>(VLOOKUP(YEAR($A114),'NY East Load Projections'!$A$4:$EO$14,((MONTH($A114)-1)*12)+VLOOKUP(U$4,$DE$6:$DF$17,2)+1))*(VLOOKUP($A114,CURVES!$D$9:$K$261,3))*(INDEX(DailyScalarsTable,U$5/100,MONTH($A114)))*$B114</f>
        <v>-53519.051757522262</v>
      </c>
      <c r="V114" s="1021">
        <f>(VLOOKUP(YEAR($A114),'NY East Load Projections'!$A$4:$EO$14,((MONTH($A114)-1)*12)+VLOOKUP(V$4,$DE$6:$DF$17,2)+1))*(VLOOKUP($A114,CURVES!$D$9:$K$261,3))*(INDEX(DailyScalarsTable,V$5/100,MONTH($A114)))*$B114</f>
        <v>-50795.221874795374</v>
      </c>
      <c r="W114" s="1021">
        <f>(VLOOKUP(YEAR($A114),'NY East Load Projections'!$A$4:$EO$14,((MONTH($A114)-1)*12)+VLOOKUP(W$4,$DE$6:$DF$17,2)+1))*(VLOOKUP($A114,CURVES!$D$9:$K$261,3))*(INDEX(DailyScalarsTable,W$5/100,MONTH($A114)))*$B114</f>
        <v>-49772.976930684083</v>
      </c>
      <c r="X114" s="1021">
        <f>(VLOOKUP(YEAR($A114),'NY East Load Projections'!$A$4:$EO$14,((MONTH($A114)-1)*12)+VLOOKUP(X$4,$DE$6:$DF$17,2)+1))*(VLOOKUP($A114,CURVES!$D$9:$K$261,3))*(INDEX(DailyScalarsTable,X$5/100,MONTH($A114)))*$B114</f>
        <v>-51755.100545214562</v>
      </c>
      <c r="Y114" s="1021">
        <f>(VLOOKUP(YEAR($A114),'NY East Load Projections'!$A$4:$EO$14,((MONTH($A114)-1)*12)+VLOOKUP(Y$4,$DE$6:$DF$17,2)+1))*(VLOOKUP($A114,CURVES!$D$9:$K$261,3))*(INDEX(DailyScalarsTable,Y$5/100,MONTH($A114)))*$B114</f>
        <v>-72014.973940993543</v>
      </c>
      <c r="Z114" s="1021">
        <f>(VLOOKUP(YEAR($A114),'NY East Load Projections'!$A$4:$EO$14,((MONTH($A114)-1)*12)+VLOOKUP(Z$4,$DE$6:$DF$17,2)+1))*(VLOOKUP($A114,CURVES!$D$9:$K$261,3))*(INDEX(DailyScalarsTable,Z$5/100,MONTH($A114)))*$B114</f>
        <v>-79019.561080043437</v>
      </c>
      <c r="AA114" s="1021">
        <f>(VLOOKUP(YEAR($A114),'NY East Load Projections'!$A$4:$EO$14,((MONTH($A114)-1)*12)+VLOOKUP(AA$4,$DE$6:$DF$17,2)+1))*(VLOOKUP($A114,CURVES!$D$9:$K$261,3))*(INDEX(DailyScalarsTable,AA$5/100,MONTH($A114)))*$B114</f>
        <v>-75635.43159716326</v>
      </c>
      <c r="AB114" s="1021">
        <f>(VLOOKUP(YEAR($A114),'NY East Load Projections'!$A$4:$EO$14,((MONTH($A114)-1)*12)+VLOOKUP(AB$4,$DE$6:$DF$17,2)+1))*(VLOOKUP($A114,CURVES!$D$9:$K$261,3))*(INDEX(DailyScalarsTable,AB$5/100,MONTH($A114)))*$B114</f>
        <v>-67404.517940280421</v>
      </c>
      <c r="AC114" s="1021">
        <f>(VLOOKUP(YEAR($A114),'NY East Load Projections'!$A$4:$EO$14,((MONTH($A114)-1)*12)+VLOOKUP(AC$4,$DE$6:$DF$17,2)+1))*(VLOOKUP($A114,CURVES!$D$9:$K$261,3))*(INDEX(DailyScalarsTable,AC$5/100,MONTH($A114)))*$B114</f>
        <v>-47939.654312856081</v>
      </c>
      <c r="AD114" s="1021">
        <f>(VLOOKUP(YEAR($A114),'NY East Load Projections'!$A$4:$EO$14,((MONTH($A114)-1)*12)+VLOOKUP(AD$4,$DE$6:$DF$17,2)+1))*(VLOOKUP($A114,CURVES!$D$9:$K$261,3))*(INDEX(DailyScalarsTable,AD$5/100,MONTH($A114)))*$B114</f>
        <v>-39244.573981005131</v>
      </c>
      <c r="AE114" s="1021">
        <f>(VLOOKUP(YEAR($A114),'NY East Load Projections'!$A$4:$EO$14,((MONTH($A114)-1)*12)+VLOOKUP(AE$4,$DE$6:$DF$17,2)+1))*(VLOOKUP($A114,CURVES!$D$9:$K$261,7))*(INDEX(DailyScalarsTable,AE$5/100,MONTH($A114)))*$B114</f>
        <v>-34505.057744791971</v>
      </c>
      <c r="AF114" s="1021"/>
      <c r="AG114" s="1021">
        <f>(VLOOKUP(YEAR($A114),'NY East Load Projections'!$A$4:$EO$14,((MONTH($A114)-1)*12)+VLOOKUP(AG$4,$DE$6:$DF$17,2)+1))*(VLOOKUP($A114,CURVES!$D$9:$T$261,7))*(INDEX(DailyScalarsTable,AG$5/100,MONTH($A114)))*$C114</f>
        <v>-7752.0379677330775</v>
      </c>
      <c r="AH114" s="1021">
        <f>(VLOOKUP(YEAR($A114),'NY East Load Projections'!$A$4:$EO$14,((MONTH($A114)-1)*12)+VLOOKUP(AH$4,$DE$6:$DF$17,2)+1))*(VLOOKUP($A114,CURVES!$D$9:$T$261,7))*(INDEX(DailyScalarsTable,AH$5/100,MONTH($A114)))*$C114</f>
        <v>-7601.0066708120539</v>
      </c>
      <c r="AI114" s="1021">
        <f>(VLOOKUP(YEAR($A114),'NY East Load Projections'!$A$4:$EO$14,((MONTH($A114)-1)*12)+VLOOKUP(AI$4,$DE$6:$DF$17,2)+1))*(VLOOKUP($A114,CURVES!$D$9:$T$261,7))*(INDEX(DailyScalarsTable,AI$5/100,MONTH($A114)))*$C114</f>
        <v>-6965.1868149815818</v>
      </c>
      <c r="AJ114" s="1021">
        <f>(VLOOKUP(YEAR($A114),'NY East Load Projections'!$A$4:$EO$14,((MONTH($A114)-1)*12)+VLOOKUP(AJ$4,$DE$6:$DF$17,2)+1))*(VLOOKUP($A114,CURVES!$D$9:$T$261,7))*(INDEX(DailyScalarsTable,AJ$5/100,MONTH($A114)))*$C114</f>
        <v>-6960.9755550608643</v>
      </c>
      <c r="AK114" s="1021">
        <f>(VLOOKUP(YEAR($A114),'NY East Load Projections'!$A$4:$EO$14,((MONTH($A114)-1)*12)+VLOOKUP(AK$4,$DE$6:$DF$17,2)+1))*(VLOOKUP($A114,CURVES!$D$9:$T$261,7))*(INDEX(DailyScalarsTable,AK$5/100,MONTH($A114)))*$C114</f>
        <v>-7288.1244176489008</v>
      </c>
      <c r="AL114" s="1021">
        <f>(VLOOKUP(YEAR($A114),'NY East Load Projections'!$A$4:$EO$14,((MONTH($A114)-1)*12)+VLOOKUP(AL$4,$DE$6:$DF$17,2)+1))*(VLOOKUP($A114,CURVES!$D$9:$T$261,7))*(INDEX(DailyScalarsTable,AL$5/100,MONTH($A114)))*$C114</f>
        <v>-7778.0172461949396</v>
      </c>
      <c r="AM114" s="1021">
        <f>(VLOOKUP(YEAR($A114),'NY East Load Projections'!$A$4:$EO$14,((MONTH($A114)-1)*12)+VLOOKUP(AM$4,$DE$6:$DF$17,2)+1))*(VLOOKUP($A114,CURVES!$D$9:$T$261,7))*(INDEX(DailyScalarsTable,AM$5/100,MONTH($A114)))*$C114</f>
        <v>-14894.808319589602</v>
      </c>
      <c r="AN114" s="1021">
        <f>(VLOOKUP(YEAR($A114),'NY East Load Projections'!$A$4:$EO$14,((MONTH($A114)-1)*12)+VLOOKUP(AN$4,$DE$6:$DF$17,2)+1))*(VLOOKUP($A114,SatSunCurve,3))*(INDEX(DailyScalarsTable,AN$5/100,MONTH($A114)))*$C114</f>
        <v>-13990.241531546482</v>
      </c>
      <c r="AO114" s="1021">
        <f>(VLOOKUP(YEAR($A114),'NY East Load Projections'!$A$4:$EO$14,((MONTH($A114)-1)*12)+VLOOKUP(AO$4,$DE$6:$DF$17,2)+1))*(VLOOKUP($A114,SatSunCurve,3))*(INDEX(DailyScalarsTable,AO$5/100,MONTH($A114)))*$C114</f>
        <v>-15527.229161169722</v>
      </c>
      <c r="AP114" s="1021">
        <f>(VLOOKUP(YEAR($A114),'NY East Load Projections'!$A$4:$EO$14,((MONTH($A114)-1)*12)+VLOOKUP(AP$4,$DE$6:$DF$17,2)+1))*(VLOOKUP($A114,SatSunCurve,3))*(INDEX(DailyScalarsTable,AP$5/100,MONTH($A114)))*$C114</f>
        <v>-15479.970512445316</v>
      </c>
      <c r="AQ114" s="1021">
        <f>(VLOOKUP(YEAR($A114),'NY East Load Projections'!$A$4:$EO$14,((MONTH($A114)-1)*12)+VLOOKUP(AQ$4,$DE$6:$DF$17,2)+1))*(VLOOKUP($A114,SatSunCurve,3))*(INDEX(DailyScalarsTable,AQ$5/100,MONTH($A114)))*$C114</f>
        <v>-15209.824723389791</v>
      </c>
      <c r="AR114" s="1021">
        <f>(VLOOKUP(YEAR($A114),'NY East Load Projections'!$A$4:$EO$14,((MONTH($A114)-1)*12)+VLOOKUP(AR$4,$DE$6:$DF$17,2)+1))*(VLOOKUP($A114,SatSunCurve,3))*(INDEX(DailyScalarsTable,AR$5/100,MONTH($A114)))*$C114</f>
        <v>-11393.597769047003</v>
      </c>
      <c r="AS114" s="1021">
        <f>(VLOOKUP(YEAR($A114),'NY East Load Projections'!$A$4:$EO$14,((MONTH($A114)-1)*12)+VLOOKUP(AS$4,$DE$6:$DF$17,2)+1))*(VLOOKUP($A114,SatSunCurve,3))*(INDEX(DailyScalarsTable,AS$5/100,MONTH($A114)))*$C114</f>
        <v>-10865.830243350954</v>
      </c>
      <c r="AT114" s="1021">
        <f>(VLOOKUP(YEAR($A114),'NY East Load Projections'!$A$4:$EO$14,((MONTH($A114)-1)*12)+VLOOKUP(AT$4,$DE$6:$DF$17,2)+1))*(VLOOKUP($A114,SatSunCurve,3))*(INDEX(DailyScalarsTable,AT$5/100,MONTH($A114)))*$C114</f>
        <v>-10514.991550421046</v>
      </c>
      <c r="AU114" s="1021">
        <f>(VLOOKUP(YEAR($A114),'NY East Load Projections'!$A$4:$EO$14,((MONTH($A114)-1)*12)+VLOOKUP(AU$4,$DE$6:$DF$17,2)+1))*(VLOOKUP($A114,SatSunCurve,3))*(INDEX(DailyScalarsTable,AU$5/100,MONTH($A114)))*$C114</f>
        <v>-9979.8354282344808</v>
      </c>
      <c r="AV114" s="1021">
        <f>(VLOOKUP(YEAR($A114),'NY East Load Projections'!$A$4:$EO$14,((MONTH($A114)-1)*12)+VLOOKUP(AV$4,$DE$6:$DF$17,2)+1))*(VLOOKUP($A114,SatSunCurve,3))*(INDEX(DailyScalarsTable,AV$5/100,MONTH($A114)))*$C114</f>
        <v>-9778.9929880789532</v>
      </c>
      <c r="AW114" s="1021">
        <f>(VLOOKUP(YEAR($A114),'NY East Load Projections'!$A$4:$EO$14,((MONTH($A114)-1)*12)+VLOOKUP(AW$4,$DE$6:$DF$17,2)+1))*(VLOOKUP($A114,SatSunCurve,3))*(INDEX(DailyScalarsTable,AW$5/100,MONTH($A114)))*$C114</f>
        <v>-10302.745395912416</v>
      </c>
      <c r="AX114" s="1021">
        <f>(VLOOKUP(YEAR($A114),'NY East Load Projections'!$A$4:$EO$14,((MONTH($A114)-1)*12)+VLOOKUP(AX$4,$DE$6:$DF$17,2)+1))*(VLOOKUP($A114,SatSunCurve,3))*(INDEX(DailyScalarsTable,AX$5/100,MONTH($A114)))*$C114</f>
        <v>-14335.822622142061</v>
      </c>
      <c r="AY114" s="1021">
        <f>(VLOOKUP(YEAR($A114),'NY East Load Projections'!$A$4:$EO$14,((MONTH($A114)-1)*12)+VLOOKUP(AY$4,$DE$6:$DF$17,2)+1))*(VLOOKUP($A114,SatSunCurve,3))*(INDEX(DailyScalarsTable,AY$5/100,MONTH($A114)))*$C114</f>
        <v>-15730.206501931205</v>
      </c>
      <c r="AZ114" s="1021">
        <f>(VLOOKUP(YEAR($A114),'NY East Load Projections'!$A$4:$EO$14,((MONTH($A114)-1)*12)+VLOOKUP(AZ$4,$DE$6:$DF$17,2)+1))*(VLOOKUP($A114,SatSunCurve,3))*(INDEX(DailyScalarsTable,AZ$5/100,MONTH($A114)))*$C114</f>
        <v>-15056.537161487058</v>
      </c>
      <c r="BA114" s="1021">
        <f>(VLOOKUP(YEAR($A114),'NY East Load Projections'!$A$4:$EO$14,((MONTH($A114)-1)*12)+VLOOKUP(BA$4,$DE$6:$DF$17,2)+1))*(VLOOKUP($A114,SatSunCurve,3))*(INDEX(DailyScalarsTable,BA$5/100,MONTH($A114)))*$C114</f>
        <v>-13899.489087959395</v>
      </c>
      <c r="BB114" s="1021">
        <f>(VLOOKUP(YEAR($A114),'NY East Load Projections'!$A$4:$EO$14,((MONTH($A114)-1)*12)+VLOOKUP(BB$4,$DE$6:$DF$17,2)+1))*(VLOOKUP($A114,SatSunCurve,3))*(INDEX(DailyScalarsTable,BB$5/100,MONTH($A114)))*$C114</f>
        <v>-9885.6385649468612</v>
      </c>
      <c r="BC114" s="1021">
        <f>(VLOOKUP(YEAR($A114),'NY East Load Projections'!$A$4:$EO$14,((MONTH($A114)-1)*12)+VLOOKUP(BC$4,$DE$6:$DF$17,2)+1))*(VLOOKUP($A114,SatSunCurve,3))*(INDEX(DailyScalarsTable,BC$5/100,MONTH($A114)))*$C114</f>
        <v>-8092.6256055103649</v>
      </c>
      <c r="BD114" s="1021">
        <f>(VLOOKUP(YEAR($A114),'NY East Load Projections'!$A$4:$EO$14,((MONTH($A114)-1)*12)+VLOOKUP(BD$4,$DE$6:$DF$17,2)+1))*(VLOOKUP($A114,CURVES!$D$9:$T$261,7))*(INDEX(DailyScalarsTable,BD$5/100,MONTH($A114)))*$C114</f>
        <v>-8867.8434494191642</v>
      </c>
      <c r="BE114" s="1021"/>
      <c r="BF114" s="1021">
        <f>(VLOOKUP(YEAR($A114),'NY East Load Projections'!$A$4:$EO$14,((MONTH($A114)-1)*12)+VLOOKUP(BF$4,$DE$6:$DF$17,2)+1))*(VLOOKUP($A114,CURVES!$D$9:$T$261,7))*(INDEX(DailyScalarsTable,BF$5/100,MONTH($A114)))*$D114</f>
        <v>-7752.0379677330775</v>
      </c>
      <c r="BG114" s="1021">
        <f>(VLOOKUP(YEAR($A114),'NY East Load Projections'!$A$4:$EO$14,((MONTH($A114)-1)*12)+VLOOKUP(BG$4,$DE$6:$DF$17,2)+1))*(VLOOKUP($A114,CURVES!$D$9:$T$261,7))*(INDEX(DailyScalarsTable,BG$5/100,MONTH($A114)))*$D114</f>
        <v>-7601.0066708120539</v>
      </c>
      <c r="BH114" s="1021">
        <f>(VLOOKUP(YEAR($A114),'NY East Load Projections'!$A$4:$EO$14,((MONTH($A114)-1)*12)+VLOOKUP(BH$4,$DE$6:$DF$17,2)+1))*(VLOOKUP($A114,CURVES!$D$9:$T$261,7))*(INDEX(DailyScalarsTable,BH$5/100,MONTH($A114)))*$D114</f>
        <v>-6965.1868149815818</v>
      </c>
      <c r="BI114" s="1021">
        <f>(VLOOKUP(YEAR($A114),'NY East Load Projections'!$A$4:$EO$14,((MONTH($A114)-1)*12)+VLOOKUP(BI$4,$DE$6:$DF$17,2)+1))*(VLOOKUP($A114,CURVES!$D$9:$T$261,7))*(INDEX(DailyScalarsTable,BI$5/100,MONTH($A114)))*$D114</f>
        <v>-6960.9755550608643</v>
      </c>
      <c r="BJ114" s="1021">
        <f>(VLOOKUP(YEAR($A114),'NY East Load Projections'!$A$4:$EO$14,((MONTH($A114)-1)*12)+VLOOKUP(BJ$4,$DE$6:$DF$17,2)+1))*(VLOOKUP($A114,CURVES!$D$9:$T$261,7))*(INDEX(DailyScalarsTable,BJ$5/100,MONTH($A114)))*$D114</f>
        <v>-7288.1244176489008</v>
      </c>
      <c r="BK114" s="1021">
        <f>(VLOOKUP(YEAR($A114),'NY East Load Projections'!$A$4:$EO$14,((MONTH($A114)-1)*12)+VLOOKUP(BK$4,$DE$6:$DF$17,2)+1))*(VLOOKUP($A114,CURVES!$D$9:$T$261,7))*(INDEX(DailyScalarsTable,BK$5/100,MONTH($A114)))*$D114</f>
        <v>-7778.0172461949396</v>
      </c>
      <c r="BL114" s="1021">
        <f>(VLOOKUP(YEAR($A114),'NY East Load Projections'!$A$4:$EO$14,((MONTH($A114)-1)*12)+VLOOKUP(BL$4,$DE$6:$DF$17,2)+1))*(VLOOKUP($A114,CURVES!$D$9:$T$261,7))*(INDEX(DailyScalarsTable,BL$5/100,MONTH($A114)))*$D114</f>
        <v>-14894.808319589602</v>
      </c>
      <c r="BM114" s="1021">
        <f>(VLOOKUP(YEAR($A114),'NY East Load Projections'!$A$4:$EO$14,((MONTH($A114)-1)*12)+VLOOKUP(BM$4,$DE$6:$DF$17,2)+1))*(VLOOKUP($A114,SatSunCurve,7))*(INDEX(DailyScalarsTable,BM$5/100,MONTH($A114)))*$D114</f>
        <v>-13293.611049665244</v>
      </c>
      <c r="BN114" s="1021">
        <f>(VLOOKUP(YEAR($A114),'NY East Load Projections'!$A$4:$EO$14,((MONTH($A114)-1)*12)+VLOOKUP(BN$4,$DE$6:$DF$17,2)+1))*(VLOOKUP($A114,SatSunCurve,7))*(INDEX(DailyScalarsTable,BN$5/100,MONTH($A114)))*$D114</f>
        <v>-14754.065873857242</v>
      </c>
      <c r="BO114" s="1021">
        <f>(VLOOKUP(YEAR($A114),'NY East Load Projections'!$A$4:$EO$14,((MONTH($A114)-1)*12)+VLOOKUP(BO$4,$DE$6:$DF$17,2)+1))*(VLOOKUP($A114,SatSunCurve,7))*(INDEX(DailyScalarsTable,BO$5/100,MONTH($A114)))*$D114</f>
        <v>-14709.160423621921</v>
      </c>
      <c r="BP114" s="1021">
        <f>(VLOOKUP(YEAR($A114),'NY East Load Projections'!$A$4:$EO$14,((MONTH($A114)-1)*12)+VLOOKUP(BP$4,$DE$6:$DF$17,2)+1))*(VLOOKUP($A114,SatSunCurve,7))*(INDEX(DailyScalarsTable,BP$5/100,MONTH($A114)))*$D114</f>
        <v>-14452.466281615059</v>
      </c>
      <c r="BQ114" s="1021">
        <f>(VLOOKUP(YEAR($A114),'NY East Load Projections'!$A$4:$EO$14,((MONTH($A114)-1)*12)+VLOOKUP(BQ$4,$DE$6:$DF$17,2)+1))*(VLOOKUP($A114,SatSunCurve,7))*(INDEX(DailyScalarsTable,BQ$5/100,MONTH($A114)))*$D114</f>
        <v>-10826.264640000243</v>
      </c>
      <c r="BR114" s="1021">
        <f>(VLOOKUP(YEAR($A114),'NY East Load Projections'!$A$4:$EO$14,((MONTH($A114)-1)*12)+VLOOKUP(BR$4,$DE$6:$DF$17,2)+1))*(VLOOKUP($A114,SatSunCurve,7))*(INDEX(DailyScalarsTable,BR$5/100,MONTH($A114)))*$D114</f>
        <v>-10324.776785381913</v>
      </c>
      <c r="BS114" s="1021">
        <f>(VLOOKUP(YEAR($A114),'NY East Load Projections'!$A$4:$EO$14,((MONTH($A114)-1)*12)+VLOOKUP(BS$4,$DE$6:$DF$17,2)+1))*(VLOOKUP($A114,SatSunCurve,7))*(INDEX(DailyScalarsTable,BS$5/100,MONTH($A114)))*$D114</f>
        <v>-9991.4077642348147</v>
      </c>
      <c r="BT114" s="1021">
        <f>(VLOOKUP(YEAR($A114),'NY East Load Projections'!$A$4:$EO$14,((MONTH($A114)-1)*12)+VLOOKUP(BT$4,$DE$6:$DF$17,2)+1))*(VLOOKUP($A114,SatSunCurve,7))*(INDEX(DailyScalarsTable,BT$5/100,MONTH($A114)))*$D114</f>
        <v>-9482.8992211082605</v>
      </c>
      <c r="BU114" s="1021">
        <f>(VLOOKUP(YEAR($A114),'NY East Load Projections'!$A$4:$EO$14,((MONTH($A114)-1)*12)+VLOOKUP(BU$4,$DE$6:$DF$17,2)+1))*(VLOOKUP($A114,SatSunCurve,7))*(INDEX(DailyScalarsTable,BU$5/100,MONTH($A114)))*$D114</f>
        <v>-9292.0575350892686</v>
      </c>
      <c r="BV114" s="1021">
        <f>(VLOOKUP(YEAR($A114),'NY East Load Projections'!$A$4:$EO$14,((MONTH($A114)-1)*12)+VLOOKUP(BV$4,$DE$6:$DF$17,2)+1))*(VLOOKUP($A114,SatSunCurve,7))*(INDEX(DailyScalarsTable,BV$5/100,MONTH($A114)))*$D114</f>
        <v>-9789.7302007372418</v>
      </c>
      <c r="BW114" s="1021">
        <f>(VLOOKUP(YEAR($A114),'NY East Load Projections'!$A$4:$EO$14,((MONTH($A114)-1)*12)+VLOOKUP(BW$4,$DE$6:$DF$17,2)+1))*(VLOOKUP($A114,SatSunCurve,7))*(INDEX(DailyScalarsTable,BW$5/100,MONTH($A114)))*$D114</f>
        <v>-13621.984265677114</v>
      </c>
      <c r="BX114" s="1021">
        <f>(VLOOKUP(YEAR($A114),'NY East Load Projections'!$A$4:$EO$14,((MONTH($A114)-1)*12)+VLOOKUP(BX$4,$DE$6:$DF$17,2)+1))*(VLOOKUP($A114,SatSunCurve,7))*(INDEX(DailyScalarsTable,BX$5/100,MONTH($A114)))*$D114</f>
        <v>-14946.936155181131</v>
      </c>
      <c r="BY114" s="1021">
        <f>(VLOOKUP(YEAR($A114),'NY East Load Projections'!$A$4:$EO$14,((MONTH($A114)-1)*12)+VLOOKUP(BY$4,$DE$6:$DF$17,2)+1))*(VLOOKUP($A114,SatSunCurve,7))*(INDEX(DailyScalarsTable,BY$5/100,MONTH($A114)))*$D114</f>
        <v>-14306.811524898279</v>
      </c>
      <c r="BZ114" s="1021">
        <f>(VLOOKUP(YEAR($A114),'NY East Load Projections'!$A$4:$EO$14,((MONTH($A114)-1)*12)+VLOOKUP(BZ$4,$DE$6:$DF$17,2)+1))*(VLOOKUP($A114,SatSunCurve,7))*(INDEX(DailyScalarsTable,BZ$5/100,MONTH($A114)))*$D114</f>
        <v>-13207.377535816824</v>
      </c>
      <c r="CA114" s="1021">
        <f>(VLOOKUP(YEAR($A114),'NY East Load Projections'!$A$4:$EO$14,((MONTH($A114)-1)*12)+VLOOKUP(CA$4,$DE$6:$DF$17,2)+1))*(VLOOKUP($A114,SatSunCurve,7))*(INDEX(DailyScalarsTable,CA$5/100,MONTH($A114)))*$D114</f>
        <v>-9393.3927990911379</v>
      </c>
      <c r="CB114" s="1021">
        <f>(VLOOKUP(YEAR($A114),'NY East Load Projections'!$A$4:$EO$14,((MONTH($A114)-1)*12)+VLOOKUP(CB$4,$DE$6:$DF$17,2)+1))*(VLOOKUP($A114,SatSunCurve,7))*(INDEX(DailyScalarsTable,CB$5/100,MONTH($A114)))*$D114</f>
        <v>-7689.6611775883011</v>
      </c>
      <c r="CC114" s="1021">
        <f>(VLOOKUP(YEAR($A114),'NY East Load Projections'!$A$4:$EO$14,((MONTH($A114)-1)*12)+VLOOKUP(CC$4,$DE$6:$DF$17,2)+1))*(VLOOKUP($A114,CURVES!$D$9:$T$261,7))*(INDEX(DailyScalarsTable,CC$5/100,MONTH($A114)))*$D114</f>
        <v>-8867.8434494191642</v>
      </c>
      <c r="CE114" s="1021">
        <f>(VLOOKUP(YEAR($A114),'NY East Load Projections'!$A$4:$EO$14,((MONTH($A114)-1)*12)+VLOOKUP(CE$4,$DE$6:$DF$17,2)+1))*(VLOOKUP($A114,CURVES!$D$9:$T$261,7))*(INDEX(DailyScalarsTable,CE$5/100,MONTH($A114)))*$E114</f>
        <v>-1550.4075935466155</v>
      </c>
      <c r="CF114" s="1021">
        <f>(VLOOKUP(YEAR($A114),'NY East Load Projections'!$A$4:$EO$14,((MONTH($A114)-1)*12)+VLOOKUP(CF$4,$DE$6:$DF$17,2)+1))*(VLOOKUP($A114,CURVES!$D$9:$T$261,7))*(INDEX(DailyScalarsTable,CF$5/100,MONTH($A114)))*$E114</f>
        <v>-1520.2013341624108</v>
      </c>
      <c r="CG114" s="1021">
        <f>(VLOOKUP(YEAR($A114),'NY East Load Projections'!$A$4:$EO$14,((MONTH($A114)-1)*12)+VLOOKUP(CG$4,$DE$6:$DF$17,2)+1))*(VLOOKUP($A114,CURVES!$D$9:$T$261,7))*(INDEX(DailyScalarsTable,CG$5/100,MONTH($A114)))*$E114</f>
        <v>-1393.0373629963165</v>
      </c>
      <c r="CH114" s="1021">
        <f>(VLOOKUP(YEAR($A114),'NY East Load Projections'!$A$4:$EO$14,((MONTH($A114)-1)*12)+VLOOKUP(CH$4,$DE$6:$DF$17,2)+1))*(VLOOKUP($A114,CURVES!$D$9:$T$261,7))*(INDEX(DailyScalarsTable,CH$5/100,MONTH($A114)))*$E114</f>
        <v>-1392.1951110121729</v>
      </c>
      <c r="CI114" s="1021">
        <f>(VLOOKUP(YEAR($A114),'NY East Load Projections'!$A$4:$EO$14,((MONTH($A114)-1)*12)+VLOOKUP(CI$4,$DE$6:$DF$17,2)+1))*(VLOOKUP($A114,CURVES!$D$9:$T$261,7))*(INDEX(DailyScalarsTable,CI$5/100,MONTH($A114)))*$E114</f>
        <v>-1457.6248835297802</v>
      </c>
      <c r="CJ114" s="1021">
        <f>(VLOOKUP(YEAR($A114),'NY East Load Projections'!$A$4:$EO$14,((MONTH($A114)-1)*12)+VLOOKUP(CJ$4,$DE$6:$DF$17,2)+1))*(VLOOKUP($A114,CURVES!$D$9:$T$261,7))*(INDEX(DailyScalarsTable,CJ$5/100,MONTH($A114)))*$E114</f>
        <v>-1555.6034492389879</v>
      </c>
      <c r="CK114" s="1021">
        <f>(VLOOKUP(YEAR($A114),'NY East Load Projections'!$A$4:$EO$14,((MONTH($A114)-1)*12)+VLOOKUP(CK$4,$DE$6:$DF$17,2)+1))*(VLOOKUP($A114,CURVES!$D$9:$T$261,7))*(INDEX(DailyScalarsTable,CK$5/100,MONTH($A114)))*$E114</f>
        <v>-2978.9616639179203</v>
      </c>
      <c r="CL114" s="1021">
        <f>(VLOOKUP(YEAR($A114),'NY East Load Projections'!$A$4:$EO$14,((MONTH($A114)-1)*12)+VLOOKUP(CL$4,$DE$6:$DF$17,2)+1))*(VLOOKUP($A114,SatSunCurve,7))*(INDEX(DailyScalarsTable,CL$5/100,MONTH($A114)))*$E114</f>
        <v>-2658.7222099330488</v>
      </c>
      <c r="CM114" s="1021">
        <f>(VLOOKUP(YEAR($A114),'NY East Load Projections'!$A$4:$EO$14,((MONTH($A114)-1)*12)+VLOOKUP(CM$4,$DE$6:$DF$17,2)+1))*(VLOOKUP($A114,SatSunCurve,7))*(INDEX(DailyScalarsTable,CM$5/100,MONTH($A114)))*$E114</f>
        <v>-2950.8131747714483</v>
      </c>
      <c r="CN114" s="1021">
        <f>(VLOOKUP(YEAR($A114),'NY East Load Projections'!$A$4:$EO$14,((MONTH($A114)-1)*12)+VLOOKUP(CN$4,$DE$6:$DF$17,2)+1))*(VLOOKUP($A114,SatSunCurve,7))*(INDEX(DailyScalarsTable,CN$5/100,MONTH($A114)))*$E114</f>
        <v>-2941.832084724384</v>
      </c>
      <c r="CO114" s="1021">
        <f>(VLOOKUP(YEAR($A114),'NY East Load Projections'!$A$4:$EO$14,((MONTH($A114)-1)*12)+VLOOKUP(CO$4,$DE$6:$DF$17,2)+1))*(VLOOKUP($A114,SatSunCurve,7))*(INDEX(DailyScalarsTable,CO$5/100,MONTH($A114)))*$E114</f>
        <v>-2890.4932563230118</v>
      </c>
      <c r="CP114" s="1021">
        <f>(VLOOKUP(YEAR($A114),'NY East Load Projections'!$A$4:$EO$14,((MONTH($A114)-1)*12)+VLOOKUP(CP$4,$DE$6:$DF$17,2)+1))*(VLOOKUP($A114,SatSunCurve,7))*(INDEX(DailyScalarsTable,CP$5/100,MONTH($A114)))*$E114</f>
        <v>-2165.2529280000485</v>
      </c>
      <c r="CQ114" s="1021">
        <f>(VLOOKUP(YEAR($A114),'NY East Load Projections'!$A$4:$EO$14,((MONTH($A114)-1)*12)+VLOOKUP(CQ$4,$DE$6:$DF$17,2)+1))*(VLOOKUP($A114,SatSunCurve,7))*(INDEX(DailyScalarsTable,CQ$5/100,MONTH($A114)))*$E114</f>
        <v>-2064.9553570763828</v>
      </c>
      <c r="CR114" s="1021">
        <f>(VLOOKUP(YEAR($A114),'NY East Load Projections'!$A$4:$EO$14,((MONTH($A114)-1)*12)+VLOOKUP(CR$4,$DE$6:$DF$17,2)+1))*(VLOOKUP($A114,SatSunCurve,7))*(INDEX(DailyScalarsTable,CR$5/100,MONTH($A114)))*$E114</f>
        <v>-1998.281552846963</v>
      </c>
      <c r="CS114" s="1021">
        <f>(VLOOKUP(YEAR($A114),'NY East Load Projections'!$A$4:$EO$14,((MONTH($A114)-1)*12)+VLOOKUP(CS$4,$DE$6:$DF$17,2)+1))*(VLOOKUP($A114,SatSunCurve,7))*(INDEX(DailyScalarsTable,CS$5/100,MONTH($A114)))*$E114</f>
        <v>-1896.5798442216521</v>
      </c>
      <c r="CT114" s="1021">
        <f>(VLOOKUP(YEAR($A114),'NY East Load Projections'!$A$4:$EO$14,((MONTH($A114)-1)*12)+VLOOKUP(CT$4,$DE$6:$DF$17,2)+1))*(VLOOKUP($A114,SatSunCurve,7))*(INDEX(DailyScalarsTable,CT$5/100,MONTH($A114)))*$E114</f>
        <v>-1858.4115070178536</v>
      </c>
      <c r="CU114" s="1021">
        <f>(VLOOKUP(YEAR($A114),'NY East Load Projections'!$A$4:$EO$14,((MONTH($A114)-1)*12)+VLOOKUP(CU$4,$DE$6:$DF$17,2)+1))*(VLOOKUP($A114,SatSunCurve,7))*(INDEX(DailyScalarsTable,CU$5/100,MONTH($A114)))*$E114</f>
        <v>-1957.9460401474482</v>
      </c>
      <c r="CV114" s="1021">
        <f>(VLOOKUP(YEAR($A114),'NY East Load Projections'!$A$4:$EO$14,((MONTH($A114)-1)*12)+VLOOKUP(CV$4,$DE$6:$DF$17,2)+1))*(VLOOKUP($A114,SatSunCurve,7))*(INDEX(DailyScalarsTable,CV$5/100,MONTH($A114)))*$E114</f>
        <v>-2724.396853135423</v>
      </c>
      <c r="CW114" s="1021">
        <f>(VLOOKUP(YEAR($A114),'NY East Load Projections'!$A$4:$EO$14,((MONTH($A114)-1)*12)+VLOOKUP(CW$4,$DE$6:$DF$17,2)+1))*(VLOOKUP($A114,SatSunCurve,7))*(INDEX(DailyScalarsTable,CW$5/100,MONTH($A114)))*$E114</f>
        <v>-2989.3872310362262</v>
      </c>
      <c r="CX114" s="1021">
        <f>(VLOOKUP(YEAR($A114),'NY East Load Projections'!$A$4:$EO$14,((MONTH($A114)-1)*12)+VLOOKUP(CX$4,$DE$6:$DF$17,2)+1))*(VLOOKUP($A114,SatSunCurve,7))*(INDEX(DailyScalarsTable,CX$5/100,MONTH($A114)))*$E114</f>
        <v>-2861.3623049796561</v>
      </c>
      <c r="CY114" s="1021">
        <f>(VLOOKUP(YEAR($A114),'NY East Load Projections'!$A$4:$EO$14,((MONTH($A114)-1)*12)+VLOOKUP(CY$4,$DE$6:$DF$17,2)+1))*(VLOOKUP($A114,SatSunCurve,7))*(INDEX(DailyScalarsTable,CY$5/100,MONTH($A114)))*$E114</f>
        <v>-2641.4755071633649</v>
      </c>
      <c r="CZ114" s="1021">
        <f>(VLOOKUP(YEAR($A114),'NY East Load Projections'!$A$4:$EO$14,((MONTH($A114)-1)*12)+VLOOKUP(CZ$4,$DE$6:$DF$17,2)+1))*(VLOOKUP($A114,SatSunCurve,7))*(INDEX(DailyScalarsTable,CZ$5/100,MONTH($A114)))*$E114</f>
        <v>-1878.6785598182275</v>
      </c>
      <c r="DA114" s="1021">
        <f>(VLOOKUP(YEAR($A114),'NY East Load Projections'!$A$4:$EO$14,((MONTH($A114)-1)*12)+VLOOKUP(DA$4,$DE$6:$DF$17,2)+1))*(VLOOKUP($A114,SatSunCurve,7))*(INDEX(DailyScalarsTable,DA$5/100,MONTH($A114)))*$E114</f>
        <v>-1537.9322355176603</v>
      </c>
      <c r="DB114" s="1021">
        <f>(VLOOKUP(YEAR($A114),'NY East Load Projections'!$A$4:$EO$14,((MONTH($A114)-1)*12)+VLOOKUP(DB$4,$DE$6:$DF$17,2)+1))*(VLOOKUP($A114,CURVES!$D$9:$T$261,7))*(INDEX(DailyScalarsTable,DB$5/100,MONTH($A114)))*$E114</f>
        <v>-1773.568689883833</v>
      </c>
      <c r="DH114" s="1032">
        <f t="shared" si="2"/>
        <v>-1851649.4415090845</v>
      </c>
      <c r="DI114">
        <f ca="1">CALC!J134</f>
        <v>0.48373001478463451</v>
      </c>
      <c r="DJ114" s="1029">
        <f t="shared" ca="1" si="3"/>
        <v>-895698.41171714966</v>
      </c>
    </row>
    <row r="115" spans="1:114" x14ac:dyDescent="0.25">
      <c r="A115" s="244">
        <v>40210</v>
      </c>
      <c r="B115" s="13">
        <v>20</v>
      </c>
      <c r="C115" s="210">
        <v>4</v>
      </c>
      <c r="D115" s="210">
        <v>4</v>
      </c>
      <c r="E115" s="210">
        <v>0</v>
      </c>
      <c r="F115" s="13">
        <v>28</v>
      </c>
      <c r="H115" s="1021">
        <f>(VLOOKUP(YEAR($A115),'NY East Load Projections'!$A$4:$EO$14,((MONTH($A115)-1)*12)+VLOOKUP(H$4,$DE$6:$DF$17,2)+1))*(VLOOKUP($A115,CURVES!$D$9:$K$261,7))*(INDEX(DailyScalarsTable,H$5/100,MONTH($A115)))*$B115</f>
        <v>-27811.487091946714</v>
      </c>
      <c r="I115" s="1021">
        <f>(VLOOKUP(YEAR($A115),'NY East Load Projections'!$A$4:$EO$14,((MONTH($A115)-1)*12)+VLOOKUP(I$4,$DE$6:$DF$17,2)+1))*(VLOOKUP($A115,CURVES!$D$9:$K$261,7))*(INDEX(DailyScalarsTable,I$5/100,MONTH($A115)))*$B115</f>
        <v>-27269.641840119679</v>
      </c>
      <c r="J115" s="1021">
        <f>(VLOOKUP(YEAR($A115),'NY East Load Projections'!$A$4:$EO$14,((MONTH($A115)-1)*12)+VLOOKUP(J$4,$DE$6:$DF$17,2)+1))*(VLOOKUP($A115,CURVES!$D$9:$K$261,7))*(INDEX(DailyScalarsTable,J$5/100,MONTH($A115)))*$B115</f>
        <v>-24988.551914240019</v>
      </c>
      <c r="K115" s="1021">
        <f>(VLOOKUP(YEAR($A115),'NY East Load Projections'!$A$4:$EO$14,((MONTH($A115)-1)*12)+VLOOKUP(K$4,$DE$6:$DF$17,2)+1))*(VLOOKUP($A115,CURVES!$D$9:$K$261,7))*(INDEX(DailyScalarsTable,K$5/100,MONTH($A115)))*$B115</f>
        <v>-24973.443448387119</v>
      </c>
      <c r="L115" s="1021">
        <f>(VLOOKUP(YEAR($A115),'NY East Load Projections'!$A$4:$EO$14,((MONTH($A115)-1)*12)+VLOOKUP(L$4,$DE$6:$DF$17,2)+1))*(VLOOKUP($A115,CURVES!$D$9:$K$261,7))*(INDEX(DailyScalarsTable,L$5/100,MONTH($A115)))*$B115</f>
        <v>-27028.521756147693</v>
      </c>
      <c r="M115" s="1021">
        <f>(VLOOKUP(YEAR($A115),'NY East Load Projections'!$A$4:$EO$14,((MONTH($A115)-1)*12)+VLOOKUP(M$4,$DE$6:$DF$17,2)+1))*(VLOOKUP($A115,CURVES!$D$9:$K$261,7))*(INDEX(DailyScalarsTable,M$5/100,MONTH($A115)))*$B115</f>
        <v>-28845.323750152187</v>
      </c>
      <c r="N115" s="1021">
        <f>(VLOOKUP(YEAR($A115),'NY East Load Projections'!$A$4:$EO$14,((MONTH($A115)-1)*12)+VLOOKUP(N$4,$DE$6:$DF$17,2)+1))*(VLOOKUP($A115,CURVES!$D$9:$K$261,7))*(INDEX(DailyScalarsTable,N$5/100,MONTH($A115)))*$B115</f>
        <v>-55238.443754442422</v>
      </c>
      <c r="O115" s="1021">
        <f>(VLOOKUP(YEAR($A115),'NY East Load Projections'!$A$4:$EO$14,((MONTH($A115)-1)*12)+VLOOKUP(O$4,$DE$6:$DF$17,2)+1))*(VLOOKUP($A115,CURVES!$D$9:$K$261,3))*(INDEX(DailyScalarsTable,O$5/100,MONTH($A115)))*$B115</f>
        <v>-65248.250270758152</v>
      </c>
      <c r="P115" s="1021">
        <f>(VLOOKUP(YEAR($A115),'NY East Load Projections'!$A$4:$EO$14,((MONTH($A115)-1)*12)+VLOOKUP(P$4,$DE$6:$DF$17,2)+1))*(VLOOKUP($A115,CURVES!$D$9:$K$261,3))*(INDEX(DailyScalarsTable,P$5/100,MONTH($A115)))*$B115</f>
        <v>-70906.817161943793</v>
      </c>
      <c r="Q115" s="1021">
        <f>(VLOOKUP(YEAR($A115),'NY East Load Projections'!$A$4:$EO$14,((MONTH($A115)-1)*12)+VLOOKUP(Q$4,$DE$6:$DF$17,2)+1))*(VLOOKUP($A115,CURVES!$D$9:$K$261,3))*(INDEX(DailyScalarsTable,Q$5/100,MONTH($A115)))*$B115</f>
        <v>-70691.005291735681</v>
      </c>
      <c r="R115" s="1021">
        <f>(VLOOKUP(YEAR($A115),'NY East Load Projections'!$A$4:$EO$14,((MONTH($A115)-1)*12)+VLOOKUP(R$4,$DE$6:$DF$17,2)+1))*(VLOOKUP($A115,CURVES!$D$9:$K$261,3))*(INDEX(DailyScalarsTable,R$5/100,MONTH($A115)))*$B115</f>
        <v>-69457.354530688623</v>
      </c>
      <c r="S115" s="1021">
        <f>(VLOOKUP(YEAR($A115),'NY East Load Projections'!$A$4:$EO$14,((MONTH($A115)-1)*12)+VLOOKUP(S$4,$DE$6:$DF$17,2)+1))*(VLOOKUP($A115,CURVES!$D$9:$K$261,3))*(INDEX(DailyScalarsTable,S$5/100,MONTH($A115)))*$B115</f>
        <v>-52030.130130808582</v>
      </c>
      <c r="T115" s="1021">
        <f>(VLOOKUP(YEAR($A115),'NY East Load Projections'!$A$4:$EO$14,((MONTH($A115)-1)*12)+VLOOKUP(T$4,$DE$6:$DF$17,2)+1))*(VLOOKUP($A115,CURVES!$D$9:$K$261,3))*(INDEX(DailyScalarsTable,T$5/100,MONTH($A115)))*$B115</f>
        <v>-50162.54242285998</v>
      </c>
      <c r="U115" s="1021">
        <f>(VLOOKUP(YEAR($A115),'NY East Load Projections'!$A$4:$EO$14,((MONTH($A115)-1)*12)+VLOOKUP(U$4,$DE$6:$DF$17,2)+1))*(VLOOKUP($A115,CURVES!$D$9:$K$261,3))*(INDEX(DailyScalarsTable,U$5/100,MONTH($A115)))*$B115</f>
        <v>-48542.881483609948</v>
      </c>
      <c r="V115" s="1021">
        <f>(VLOOKUP(YEAR($A115),'NY East Load Projections'!$A$4:$EO$14,((MONTH($A115)-1)*12)+VLOOKUP(V$4,$DE$6:$DF$17,2)+1))*(VLOOKUP($A115,CURVES!$D$9:$K$261,3))*(INDEX(DailyScalarsTable,V$5/100,MONTH($A115)))*$B115</f>
        <v>-46072.311717579985</v>
      </c>
      <c r="W115" s="1021">
        <f>(VLOOKUP(YEAR($A115),'NY East Load Projections'!$A$4:$EO$14,((MONTH($A115)-1)*12)+VLOOKUP(W$4,$DE$6:$DF$17,2)+1))*(VLOOKUP($A115,CURVES!$D$9:$K$261,3))*(INDEX(DailyScalarsTable,W$5/100,MONTH($A115)))*$B115</f>
        <v>-45145.114513226697</v>
      </c>
      <c r="X115" s="1021">
        <f>(VLOOKUP(YEAR($A115),'NY East Load Projections'!$A$4:$EO$14,((MONTH($A115)-1)*12)+VLOOKUP(X$4,$DE$6:$DF$17,2)+1))*(VLOOKUP($A115,CURVES!$D$9:$K$261,3))*(INDEX(DailyScalarsTable,X$5/100,MONTH($A115)))*$B115</f>
        <v>-47421.005170294076</v>
      </c>
      <c r="Y115" s="1021">
        <f>(VLOOKUP(YEAR($A115),'NY East Load Projections'!$A$4:$EO$14,((MONTH($A115)-1)*12)+VLOOKUP(Y$4,$DE$6:$DF$17,2)+1))*(VLOOKUP($A115,CURVES!$D$9:$K$261,3))*(INDEX(DailyScalarsTable,Y$5/100,MONTH($A115)))*$B115</f>
        <v>-65984.268518829325</v>
      </c>
      <c r="Z115" s="1021">
        <f>(VLOOKUP(YEAR($A115),'NY East Load Projections'!$A$4:$EO$14,((MONTH($A115)-1)*12)+VLOOKUP(Z$4,$DE$6:$DF$17,2)+1))*(VLOOKUP($A115,CURVES!$D$9:$K$261,3))*(INDEX(DailyScalarsTable,Z$5/100,MONTH($A115)))*$B115</f>
        <v>-72402.274849364287</v>
      </c>
      <c r="AA115" s="1021">
        <f>(VLOOKUP(YEAR($A115),'NY East Load Projections'!$A$4:$EO$14,((MONTH($A115)-1)*12)+VLOOKUP(AA$4,$DE$6:$DF$17,2)+1))*(VLOOKUP($A115,CURVES!$D$9:$K$261,3))*(INDEX(DailyScalarsTable,AA$5/100,MONTH($A115)))*$B115</f>
        <v>-69301.540428717053</v>
      </c>
      <c r="AB115" s="1021">
        <f>(VLOOKUP(YEAR($A115),'NY East Load Projections'!$A$4:$EO$14,((MONTH($A115)-1)*12)+VLOOKUP(AB$4,$DE$6:$DF$17,2)+1))*(VLOOKUP($A115,CURVES!$D$9:$K$261,3))*(INDEX(DailyScalarsTable,AB$5/100,MONTH($A115)))*$B115</f>
        <v>-62766.531308528785</v>
      </c>
      <c r="AC115" s="1021">
        <f>(VLOOKUP(YEAR($A115),'NY East Load Projections'!$A$4:$EO$14,((MONTH($A115)-1)*12)+VLOOKUP(AC$4,$DE$6:$DF$17,2)+1))*(VLOOKUP($A115,CURVES!$D$9:$K$261,3))*(INDEX(DailyScalarsTable,AC$5/100,MONTH($A115)))*$B115</f>
        <v>-44641.010800104981</v>
      </c>
      <c r="AD115" s="1021">
        <f>(VLOOKUP(YEAR($A115),'NY East Load Projections'!$A$4:$EO$14,((MONTH($A115)-1)*12)+VLOOKUP(AD$4,$DE$6:$DF$17,2)+1))*(VLOOKUP($A115,CURVES!$D$9:$K$261,3))*(INDEX(DailyScalarsTable,AD$5/100,MONTH($A115)))*$B115</f>
        <v>-36544.223692112719</v>
      </c>
      <c r="AE115" s="1021">
        <f>(VLOOKUP(YEAR($A115),'NY East Load Projections'!$A$4:$EO$14,((MONTH($A115)-1)*12)+VLOOKUP(AE$4,$DE$6:$DF$17,2)+1))*(VLOOKUP($A115,CURVES!$D$9:$K$261,7))*(INDEX(DailyScalarsTable,AE$5/100,MONTH($A115)))*$B115</f>
        <v>-31842.720713769904</v>
      </c>
      <c r="AF115" s="1021"/>
      <c r="AG115" s="1021">
        <f>(VLOOKUP(YEAR($A115),'NY East Load Projections'!$A$4:$EO$14,((MONTH($A115)-1)*12)+VLOOKUP(AG$4,$DE$6:$DF$17,2)+1))*(VLOOKUP($A115,CURVES!$D$9:$T$261,7))*(INDEX(DailyScalarsTable,AG$5/100,MONTH($A115)))*$C115</f>
        <v>-5468.0937829374279</v>
      </c>
      <c r="AH115" s="1021">
        <f>(VLOOKUP(YEAR($A115),'NY East Load Projections'!$A$4:$EO$14,((MONTH($A115)-1)*12)+VLOOKUP(AH$4,$DE$6:$DF$17,2)+1))*(VLOOKUP($A115,CURVES!$D$9:$T$261,7))*(INDEX(DailyScalarsTable,AH$5/100,MONTH($A115)))*$C115</f>
        <v>-5361.5600818435551</v>
      </c>
      <c r="AI115" s="1021">
        <f>(VLOOKUP(YEAR($A115),'NY East Load Projections'!$A$4:$EO$14,((MONTH($A115)-1)*12)+VLOOKUP(AI$4,$DE$6:$DF$17,2)+1))*(VLOOKUP($A115,CURVES!$D$9:$T$261,7))*(INDEX(DailyScalarsTable,AI$5/100,MONTH($A115)))*$C115</f>
        <v>-4913.0686509183961</v>
      </c>
      <c r="AJ115" s="1021">
        <f>(VLOOKUP(YEAR($A115),'NY East Load Projections'!$A$4:$EO$14,((MONTH($A115)-1)*12)+VLOOKUP(AJ$4,$DE$6:$DF$17,2)+1))*(VLOOKUP($A115,CURVES!$D$9:$T$261,7))*(INDEX(DailyScalarsTable,AJ$5/100,MONTH($A115)))*$C115</f>
        <v>-4910.0981334510334</v>
      </c>
      <c r="AK115" s="1021">
        <f>(VLOOKUP(YEAR($A115),'NY East Load Projections'!$A$4:$EO$14,((MONTH($A115)-1)*12)+VLOOKUP(AK$4,$DE$6:$DF$17,2)+1))*(VLOOKUP($A115,CURVES!$D$9:$T$261,7))*(INDEX(DailyScalarsTable,AK$5/100,MONTH($A115)))*$C115</f>
        <v>-5117.3466111548614</v>
      </c>
      <c r="AL115" s="1021">
        <f>(VLOOKUP(YEAR($A115),'NY East Load Projections'!$A$4:$EO$14,((MONTH($A115)-1)*12)+VLOOKUP(AL$4,$DE$6:$DF$17,2)+1))*(VLOOKUP($A115,CURVES!$D$9:$T$261,7))*(INDEX(DailyScalarsTable,AL$5/100,MONTH($A115)))*$C115</f>
        <v>-5461.3241919873617</v>
      </c>
      <c r="AM115" s="1021">
        <f>(VLOOKUP(YEAR($A115),'NY East Load Projections'!$A$4:$EO$14,((MONTH($A115)-1)*12)+VLOOKUP(AM$4,$DE$6:$DF$17,2)+1))*(VLOOKUP($A115,CURVES!$D$9:$T$261,7))*(INDEX(DailyScalarsTable,AM$5/100,MONTH($A115)))*$C115</f>
        <v>-10458.369329353704</v>
      </c>
      <c r="AN115" s="1021">
        <f>(VLOOKUP(YEAR($A115),'NY East Load Projections'!$A$4:$EO$14,((MONTH($A115)-1)*12)+VLOOKUP(AN$4,$DE$6:$DF$17,2)+1))*(VLOOKUP($A115,SatSunCurve,3))*(INDEX(DailyScalarsTable,AN$5/100,MONTH($A115)))*$C115</f>
        <v>-9581.4152188792668</v>
      </c>
      <c r="AO115" s="1021">
        <f>(VLOOKUP(YEAR($A115),'NY East Load Projections'!$A$4:$EO$14,((MONTH($A115)-1)*12)+VLOOKUP(AO$4,$DE$6:$DF$17,2)+1))*(VLOOKUP($A115,SatSunCurve,3))*(INDEX(DailyScalarsTable,AO$5/100,MONTH($A115)))*$C115</f>
        <v>-10439.518866727609</v>
      </c>
      <c r="AP115" s="1021">
        <f>(VLOOKUP(YEAR($A115),'NY East Load Projections'!$A$4:$EO$14,((MONTH($A115)-1)*12)+VLOOKUP(AP$4,$DE$6:$DF$17,2)+1))*(VLOOKUP($A115,SatSunCurve,3))*(INDEX(DailyScalarsTable,AP$5/100,MONTH($A115)))*$C115</f>
        <v>-10407.745164552318</v>
      </c>
      <c r="AQ115" s="1021">
        <f>(VLOOKUP(YEAR($A115),'NY East Load Projections'!$A$4:$EO$14,((MONTH($A115)-1)*12)+VLOOKUP(AQ$4,$DE$6:$DF$17,2)+1))*(VLOOKUP($A115,SatSunCurve,3))*(INDEX(DailyScalarsTable,AQ$5/100,MONTH($A115)))*$C115</f>
        <v>-10226.116360575827</v>
      </c>
      <c r="AR115" s="1021">
        <f>(VLOOKUP(YEAR($A115),'NY East Load Projections'!$A$4:$EO$14,((MONTH($A115)-1)*12)+VLOOKUP(AR$4,$DE$6:$DF$17,2)+1))*(VLOOKUP($A115,SatSunCurve,3))*(INDEX(DailyScalarsTable,AR$5/100,MONTH($A115)))*$C115</f>
        <v>-7660.3286803626534</v>
      </c>
      <c r="AS115" s="1021">
        <f>(VLOOKUP(YEAR($A115),'NY East Load Projections'!$A$4:$EO$14,((MONTH($A115)-1)*12)+VLOOKUP(AS$4,$DE$6:$DF$17,2)+1))*(VLOOKUP($A115,SatSunCurve,3))*(INDEX(DailyScalarsTable,AS$5/100,MONTH($A115)))*$C115</f>
        <v>-7390.6531236119736</v>
      </c>
      <c r="AT115" s="1021">
        <f>(VLOOKUP(YEAR($A115),'NY East Load Projections'!$A$4:$EO$14,((MONTH($A115)-1)*12)+VLOOKUP(AT$4,$DE$6:$DF$17,2)+1))*(VLOOKUP($A115,SatSunCurve,3))*(INDEX(DailyScalarsTable,AT$5/100,MONTH($A115)))*$C115</f>
        <v>-7152.021834173871</v>
      </c>
      <c r="AU115" s="1021">
        <f>(VLOOKUP(YEAR($A115),'NY East Load Projections'!$A$4:$EO$14,((MONTH($A115)-1)*12)+VLOOKUP(AU$4,$DE$6:$DF$17,2)+1))*(VLOOKUP($A115,SatSunCurve,3))*(INDEX(DailyScalarsTable,AU$5/100,MONTH($A115)))*$C115</f>
        <v>-6788.022657168648</v>
      </c>
      <c r="AV115" s="1021">
        <f>(VLOOKUP(YEAR($A115),'NY East Load Projections'!$A$4:$EO$14,((MONTH($A115)-1)*12)+VLOOKUP(AV$4,$DE$6:$DF$17,2)+1))*(VLOOKUP($A115,SatSunCurve,3))*(INDEX(DailyScalarsTable,AV$5/100,MONTH($A115)))*$C115</f>
        <v>-6651.4148900265454</v>
      </c>
      <c r="AW115" s="1021">
        <f>(VLOOKUP(YEAR($A115),'NY East Load Projections'!$A$4:$EO$14,((MONTH($A115)-1)*12)+VLOOKUP(AW$4,$DE$6:$DF$17,2)+1))*(VLOOKUP($A115,SatSunCurve,3))*(INDEX(DailyScalarsTable,AW$5/100,MONTH($A115)))*$C115</f>
        <v>-7106.0170962742004</v>
      </c>
      <c r="AX115" s="1021">
        <f>(VLOOKUP(YEAR($A115),'NY East Load Projections'!$A$4:$EO$14,((MONTH($A115)-1)*12)+VLOOKUP(AX$4,$DE$6:$DF$17,2)+1))*(VLOOKUP($A115,SatSunCurve,3))*(INDEX(DailyScalarsTable,AX$5/100,MONTH($A115)))*$C115</f>
        <v>-9887.7140730385108</v>
      </c>
      <c r="AY115" s="1021">
        <f>(VLOOKUP(YEAR($A115),'NY East Load Projections'!$A$4:$EO$14,((MONTH($A115)-1)*12)+VLOOKUP(AY$4,$DE$6:$DF$17,2)+1))*(VLOOKUP($A115,SatSunCurve,3))*(INDEX(DailyScalarsTable,AY$5/100,MONTH($A115)))*$C115</f>
        <v>-10849.449543322187</v>
      </c>
      <c r="AZ115" s="1021">
        <f>(VLOOKUP(YEAR($A115),'NY East Load Projections'!$A$4:$EO$14,((MONTH($A115)-1)*12)+VLOOKUP(AZ$4,$DE$6:$DF$17,2)+1))*(VLOOKUP($A115,SatSunCurve,3))*(INDEX(DailyScalarsTable,AZ$5/100,MONTH($A115)))*$C115</f>
        <v>-10384.805832692287</v>
      </c>
      <c r="BA115" s="1021">
        <f>(VLOOKUP(YEAR($A115),'NY East Load Projections'!$A$4:$EO$14,((MONTH($A115)-1)*12)+VLOOKUP(BA$4,$DE$6:$DF$17,2)+1))*(VLOOKUP($A115,SatSunCurve,3))*(INDEX(DailyScalarsTable,BA$5/100,MONTH($A115)))*$C115</f>
        <v>-9574.5102740253405</v>
      </c>
      <c r="BB115" s="1021">
        <f>(VLOOKUP(YEAR($A115),'NY East Load Projections'!$A$4:$EO$14,((MONTH($A115)-1)*12)+VLOOKUP(BB$4,$DE$6:$DF$17,2)+1))*(VLOOKUP($A115,SatSunCurve,3))*(INDEX(DailyScalarsTable,BB$5/100,MONTH($A115)))*$C115</f>
        <v>-6809.6134617909593</v>
      </c>
      <c r="BC115" s="1021">
        <f>(VLOOKUP(YEAR($A115),'NY East Load Projections'!$A$4:$EO$14,((MONTH($A115)-1)*12)+VLOOKUP(BC$4,$DE$6:$DF$17,2)+1))*(VLOOKUP($A115,SatSunCurve,3))*(INDEX(DailyScalarsTable,BC$5/100,MONTH($A115)))*$C115</f>
        <v>-5574.5161936146314</v>
      </c>
      <c r="BD115" s="1021">
        <f>(VLOOKUP(YEAR($A115),'NY East Load Projections'!$A$4:$EO$14,((MONTH($A115)-1)*12)+VLOOKUP(BD$4,$DE$6:$DF$17,2)+1))*(VLOOKUP($A115,CURVES!$D$9:$T$261,7))*(INDEX(DailyScalarsTable,BD$5/100,MONTH($A115)))*$C115</f>
        <v>-6262.6819593998116</v>
      </c>
      <c r="BE115" s="1021"/>
      <c r="BF115" s="1021">
        <f>(VLOOKUP(YEAR($A115),'NY East Load Projections'!$A$4:$EO$14,((MONTH($A115)-1)*12)+VLOOKUP(BF$4,$DE$6:$DF$17,2)+1))*(VLOOKUP($A115,CURVES!$D$9:$T$261,7))*(INDEX(DailyScalarsTable,BF$5/100,MONTH($A115)))*$D115</f>
        <v>-5468.0937829374279</v>
      </c>
      <c r="BG115" s="1021">
        <f>(VLOOKUP(YEAR($A115),'NY East Load Projections'!$A$4:$EO$14,((MONTH($A115)-1)*12)+VLOOKUP(BG$4,$DE$6:$DF$17,2)+1))*(VLOOKUP($A115,CURVES!$D$9:$T$261,7))*(INDEX(DailyScalarsTable,BG$5/100,MONTH($A115)))*$D115</f>
        <v>-5361.5600818435551</v>
      </c>
      <c r="BH115" s="1021">
        <f>(VLOOKUP(YEAR($A115),'NY East Load Projections'!$A$4:$EO$14,((MONTH($A115)-1)*12)+VLOOKUP(BH$4,$DE$6:$DF$17,2)+1))*(VLOOKUP($A115,CURVES!$D$9:$T$261,7))*(INDEX(DailyScalarsTable,BH$5/100,MONTH($A115)))*$D115</f>
        <v>-4913.0686509183961</v>
      </c>
      <c r="BI115" s="1021">
        <f>(VLOOKUP(YEAR($A115),'NY East Load Projections'!$A$4:$EO$14,((MONTH($A115)-1)*12)+VLOOKUP(BI$4,$DE$6:$DF$17,2)+1))*(VLOOKUP($A115,CURVES!$D$9:$T$261,7))*(INDEX(DailyScalarsTable,BI$5/100,MONTH($A115)))*$D115</f>
        <v>-4910.0981334510334</v>
      </c>
      <c r="BJ115" s="1021">
        <f>(VLOOKUP(YEAR($A115),'NY East Load Projections'!$A$4:$EO$14,((MONTH($A115)-1)*12)+VLOOKUP(BJ$4,$DE$6:$DF$17,2)+1))*(VLOOKUP($A115,CURVES!$D$9:$T$261,7))*(INDEX(DailyScalarsTable,BJ$5/100,MONTH($A115)))*$D115</f>
        <v>-5117.3466111548614</v>
      </c>
      <c r="BK115" s="1021">
        <f>(VLOOKUP(YEAR($A115),'NY East Load Projections'!$A$4:$EO$14,((MONTH($A115)-1)*12)+VLOOKUP(BK$4,$DE$6:$DF$17,2)+1))*(VLOOKUP($A115,CURVES!$D$9:$T$261,7))*(INDEX(DailyScalarsTable,BK$5/100,MONTH($A115)))*$D115</f>
        <v>-5461.3241919873617</v>
      </c>
      <c r="BL115" s="1021">
        <f>(VLOOKUP(YEAR($A115),'NY East Load Projections'!$A$4:$EO$14,((MONTH($A115)-1)*12)+VLOOKUP(BL$4,$DE$6:$DF$17,2)+1))*(VLOOKUP($A115,CURVES!$D$9:$T$261,7))*(INDEX(DailyScalarsTable,BL$5/100,MONTH($A115)))*$D115</f>
        <v>-10458.369329353704</v>
      </c>
      <c r="BM115" s="1021">
        <f>(VLOOKUP(YEAR($A115),'NY East Load Projections'!$A$4:$EO$14,((MONTH($A115)-1)*12)+VLOOKUP(BM$4,$DE$6:$DF$17,2)+1))*(VLOOKUP($A115,SatSunCurve,7))*(INDEX(DailyScalarsTable,BM$5/100,MONTH($A115)))*$D115</f>
        <v>-8757.1584652040528</v>
      </c>
      <c r="BN115" s="1021">
        <f>(VLOOKUP(YEAR($A115),'NY East Load Projections'!$A$4:$EO$14,((MONTH($A115)-1)*12)+VLOOKUP(BN$4,$DE$6:$DF$17,2)+1))*(VLOOKUP($A115,SatSunCurve,7))*(INDEX(DailyScalarsTable,BN$5/100,MONTH($A115)))*$D115</f>
        <v>-9541.4423577307916</v>
      </c>
      <c r="BO115" s="1021">
        <f>(VLOOKUP(YEAR($A115),'NY East Load Projections'!$A$4:$EO$14,((MONTH($A115)-1)*12)+VLOOKUP(BO$4,$DE$6:$DF$17,2)+1))*(VLOOKUP($A115,SatSunCurve,7))*(INDEX(DailyScalarsTable,BO$5/100,MONTH($A115)))*$D115</f>
        <v>-9512.4020397173372</v>
      </c>
      <c r="BP115" s="1021">
        <f>(VLOOKUP(YEAR($A115),'NY East Load Projections'!$A$4:$EO$14,((MONTH($A115)-1)*12)+VLOOKUP(BP$4,$DE$6:$DF$17,2)+1))*(VLOOKUP($A115,SatSunCurve,7))*(INDEX(DailyScalarsTable,BP$5/100,MONTH($A115)))*$D115</f>
        <v>-9346.3981476061163</v>
      </c>
      <c r="BQ115" s="1021">
        <f>(VLOOKUP(YEAR($A115),'NY East Load Projections'!$A$4:$EO$14,((MONTH($A115)-1)*12)+VLOOKUP(BQ$4,$DE$6:$DF$17,2)+1))*(VLOOKUP($A115,SatSunCurve,7))*(INDEX(DailyScalarsTable,BQ$5/100,MONTH($A115)))*$D115</f>
        <v>-7001.3365058329891</v>
      </c>
      <c r="BR115" s="1021">
        <f>(VLOOKUP(YEAR($A115),'NY East Load Projections'!$A$4:$EO$14,((MONTH($A115)-1)*12)+VLOOKUP(BR$4,$DE$6:$DF$17,2)+1))*(VLOOKUP($A115,SatSunCurve,7))*(INDEX(DailyScalarsTable,BR$5/100,MONTH($A115)))*$D115</f>
        <v>-6754.8602253765757</v>
      </c>
      <c r="BS115" s="1021">
        <f>(VLOOKUP(YEAR($A115),'NY East Load Projections'!$A$4:$EO$14,((MONTH($A115)-1)*12)+VLOOKUP(BS$4,$DE$6:$DF$17,2)+1))*(VLOOKUP($A115,SatSunCurve,7))*(INDEX(DailyScalarsTable,BS$5/100,MONTH($A115)))*$D115</f>
        <v>-6536.7575788857084</v>
      </c>
      <c r="BT115" s="1021">
        <f>(VLOOKUP(YEAR($A115),'NY East Load Projections'!$A$4:$EO$14,((MONTH($A115)-1)*12)+VLOOKUP(BT$4,$DE$6:$DF$17,2)+1))*(VLOOKUP($A115,SatSunCurve,7))*(INDEX(DailyScalarsTable,BT$5/100,MONTH($A115)))*$D115</f>
        <v>-6204.0720202891316</v>
      </c>
      <c r="BU115" s="1021">
        <f>(VLOOKUP(YEAR($A115),'NY East Load Projections'!$A$4:$EO$14,((MONTH($A115)-1)*12)+VLOOKUP(BU$4,$DE$6:$DF$17,2)+1))*(VLOOKUP($A115,SatSunCurve,7))*(INDEX(DailyScalarsTable,BU$5/100,MONTH($A115)))*$D115</f>
        <v>-6079.2161574429101</v>
      </c>
      <c r="BV115" s="1021">
        <f>(VLOOKUP(YEAR($A115),'NY East Load Projections'!$A$4:$EO$14,((MONTH($A115)-1)*12)+VLOOKUP(BV$4,$DE$6:$DF$17,2)+1))*(VLOOKUP($A115,SatSunCurve,7))*(INDEX(DailyScalarsTable,BV$5/100,MONTH($A115)))*$D115</f>
        <v>-6494.7104730318924</v>
      </c>
      <c r="BW115" s="1021">
        <f>(VLOOKUP(YEAR($A115),'NY East Load Projections'!$A$4:$EO$14,((MONTH($A115)-1)*12)+VLOOKUP(BW$4,$DE$6:$DF$17,2)+1))*(VLOOKUP($A115,SatSunCurve,7))*(INDEX(DailyScalarsTable,BW$5/100,MONTH($A115)))*$D115</f>
        <v>-9037.1074646271954</v>
      </c>
      <c r="BX115" s="1021">
        <f>(VLOOKUP(YEAR($A115),'NY East Load Projections'!$A$4:$EO$14,((MONTH($A115)-1)*12)+VLOOKUP(BX$4,$DE$6:$DF$17,2)+1))*(VLOOKUP($A115,SatSunCurve,7))*(INDEX(DailyScalarsTable,BX$5/100,MONTH($A115)))*$D115</f>
        <v>-9916.1080843150685</v>
      </c>
      <c r="BY115" s="1021">
        <f>(VLOOKUP(YEAR($A115),'NY East Load Projections'!$A$4:$EO$14,((MONTH($A115)-1)*12)+VLOOKUP(BY$4,$DE$6:$DF$17,2)+1))*(VLOOKUP($A115,SatSunCurve,7))*(INDEX(DailyScalarsTable,BY$5/100,MONTH($A115)))*$D115</f>
        <v>-9491.4361010125449</v>
      </c>
      <c r="BZ115" s="1021">
        <f>(VLOOKUP(YEAR($A115),'NY East Load Projections'!$A$4:$EO$14,((MONTH($A115)-1)*12)+VLOOKUP(BZ$4,$DE$6:$DF$17,2)+1))*(VLOOKUP($A115,SatSunCurve,7))*(INDEX(DailyScalarsTable,BZ$5/100,MONTH($A115)))*$D115</f>
        <v>-8750.8475294082455</v>
      </c>
      <c r="CA115" s="1021">
        <f>(VLOOKUP(YEAR($A115),'NY East Load Projections'!$A$4:$EO$14,((MONTH($A115)-1)*12)+VLOOKUP(CA$4,$DE$6:$DF$17,2)+1))*(VLOOKUP($A115,SatSunCurve,7))*(INDEX(DailyScalarsTable,CA$5/100,MONTH($A115)))*$D115</f>
        <v>-6223.8054409946972</v>
      </c>
      <c r="CB115" s="1021">
        <f>(VLOOKUP(YEAR($A115),'NY East Load Projections'!$A$4:$EO$14,((MONTH($A115)-1)*12)+VLOOKUP(CB$4,$DE$6:$DF$17,2)+1))*(VLOOKUP($A115,SatSunCurve,7))*(INDEX(DailyScalarsTable,CB$5/100,MONTH($A115)))*$D115</f>
        <v>-5094.9594145696083</v>
      </c>
      <c r="CC115" s="1021">
        <f>(VLOOKUP(YEAR($A115),'NY East Load Projections'!$A$4:$EO$14,((MONTH($A115)-1)*12)+VLOOKUP(CC$4,$DE$6:$DF$17,2)+1))*(VLOOKUP($A115,CURVES!$D$9:$T$261,7))*(INDEX(DailyScalarsTable,CC$5/100,MONTH($A115)))*$D115</f>
        <v>-6262.6819593998116</v>
      </c>
      <c r="CE115" s="1021">
        <f>(VLOOKUP(YEAR($A115),'NY East Load Projections'!$A$4:$EO$14,((MONTH($A115)-1)*12)+VLOOKUP(CE$4,$DE$6:$DF$17,2)+1))*(VLOOKUP($A115,CURVES!$D$9:$T$261,7))*(INDEX(DailyScalarsTable,CE$5/100,MONTH($A115)))*$E115</f>
        <v>0</v>
      </c>
      <c r="CF115" s="1021">
        <f>(VLOOKUP(YEAR($A115),'NY East Load Projections'!$A$4:$EO$14,((MONTH($A115)-1)*12)+VLOOKUP(CF$4,$DE$6:$DF$17,2)+1))*(VLOOKUP($A115,CURVES!$D$9:$T$261,7))*(INDEX(DailyScalarsTable,CF$5/100,MONTH($A115)))*$E115</f>
        <v>0</v>
      </c>
      <c r="CG115" s="1021">
        <f>(VLOOKUP(YEAR($A115),'NY East Load Projections'!$A$4:$EO$14,((MONTH($A115)-1)*12)+VLOOKUP(CG$4,$DE$6:$DF$17,2)+1))*(VLOOKUP($A115,CURVES!$D$9:$T$261,7))*(INDEX(DailyScalarsTable,CG$5/100,MONTH($A115)))*$E115</f>
        <v>0</v>
      </c>
      <c r="CH115" s="1021">
        <f>(VLOOKUP(YEAR($A115),'NY East Load Projections'!$A$4:$EO$14,((MONTH($A115)-1)*12)+VLOOKUP(CH$4,$DE$6:$DF$17,2)+1))*(VLOOKUP($A115,CURVES!$D$9:$T$261,7))*(INDEX(DailyScalarsTable,CH$5/100,MONTH($A115)))*$E115</f>
        <v>0</v>
      </c>
      <c r="CI115" s="1021">
        <f>(VLOOKUP(YEAR($A115),'NY East Load Projections'!$A$4:$EO$14,((MONTH($A115)-1)*12)+VLOOKUP(CI$4,$DE$6:$DF$17,2)+1))*(VLOOKUP($A115,CURVES!$D$9:$T$261,7))*(INDEX(DailyScalarsTable,CI$5/100,MONTH($A115)))*$E115</f>
        <v>0</v>
      </c>
      <c r="CJ115" s="1021">
        <f>(VLOOKUP(YEAR($A115),'NY East Load Projections'!$A$4:$EO$14,((MONTH($A115)-1)*12)+VLOOKUP(CJ$4,$DE$6:$DF$17,2)+1))*(VLOOKUP($A115,CURVES!$D$9:$T$261,7))*(INDEX(DailyScalarsTable,CJ$5/100,MONTH($A115)))*$E115</f>
        <v>0</v>
      </c>
      <c r="CK115" s="1021">
        <f>(VLOOKUP(YEAR($A115),'NY East Load Projections'!$A$4:$EO$14,((MONTH($A115)-1)*12)+VLOOKUP(CK$4,$DE$6:$DF$17,2)+1))*(VLOOKUP($A115,CURVES!$D$9:$T$261,7))*(INDEX(DailyScalarsTable,CK$5/100,MONTH($A115)))*$E115</f>
        <v>0</v>
      </c>
      <c r="CL115" s="1021">
        <f>(VLOOKUP(YEAR($A115),'NY East Load Projections'!$A$4:$EO$14,((MONTH($A115)-1)*12)+VLOOKUP(CL$4,$DE$6:$DF$17,2)+1))*(VLOOKUP($A115,SatSunCurve,7))*(INDEX(DailyScalarsTable,CL$5/100,MONTH($A115)))*$E115</f>
        <v>0</v>
      </c>
      <c r="CM115" s="1021">
        <f>(VLOOKUP(YEAR($A115),'NY East Load Projections'!$A$4:$EO$14,((MONTH($A115)-1)*12)+VLOOKUP(CM$4,$DE$6:$DF$17,2)+1))*(VLOOKUP($A115,SatSunCurve,7))*(INDEX(DailyScalarsTable,CM$5/100,MONTH($A115)))*$E115</f>
        <v>0</v>
      </c>
      <c r="CN115" s="1021">
        <f>(VLOOKUP(YEAR($A115),'NY East Load Projections'!$A$4:$EO$14,((MONTH($A115)-1)*12)+VLOOKUP(CN$4,$DE$6:$DF$17,2)+1))*(VLOOKUP($A115,SatSunCurve,7))*(INDEX(DailyScalarsTable,CN$5/100,MONTH($A115)))*$E115</f>
        <v>0</v>
      </c>
      <c r="CO115" s="1021">
        <f>(VLOOKUP(YEAR($A115),'NY East Load Projections'!$A$4:$EO$14,((MONTH($A115)-1)*12)+VLOOKUP(CO$4,$DE$6:$DF$17,2)+1))*(VLOOKUP($A115,SatSunCurve,7))*(INDEX(DailyScalarsTable,CO$5/100,MONTH($A115)))*$E115</f>
        <v>0</v>
      </c>
      <c r="CP115" s="1021">
        <f>(VLOOKUP(YEAR($A115),'NY East Load Projections'!$A$4:$EO$14,((MONTH($A115)-1)*12)+VLOOKUP(CP$4,$DE$6:$DF$17,2)+1))*(VLOOKUP($A115,SatSunCurve,7))*(INDEX(DailyScalarsTable,CP$5/100,MONTH($A115)))*$E115</f>
        <v>0</v>
      </c>
      <c r="CQ115" s="1021">
        <f>(VLOOKUP(YEAR($A115),'NY East Load Projections'!$A$4:$EO$14,((MONTH($A115)-1)*12)+VLOOKUP(CQ$4,$DE$6:$DF$17,2)+1))*(VLOOKUP($A115,SatSunCurve,7))*(INDEX(DailyScalarsTable,CQ$5/100,MONTH($A115)))*$E115</f>
        <v>0</v>
      </c>
      <c r="CR115" s="1021">
        <f>(VLOOKUP(YEAR($A115),'NY East Load Projections'!$A$4:$EO$14,((MONTH($A115)-1)*12)+VLOOKUP(CR$4,$DE$6:$DF$17,2)+1))*(VLOOKUP($A115,SatSunCurve,7))*(INDEX(DailyScalarsTable,CR$5/100,MONTH($A115)))*$E115</f>
        <v>0</v>
      </c>
      <c r="CS115" s="1021">
        <f>(VLOOKUP(YEAR($A115),'NY East Load Projections'!$A$4:$EO$14,((MONTH($A115)-1)*12)+VLOOKUP(CS$4,$DE$6:$DF$17,2)+1))*(VLOOKUP($A115,SatSunCurve,7))*(INDEX(DailyScalarsTable,CS$5/100,MONTH($A115)))*$E115</f>
        <v>0</v>
      </c>
      <c r="CT115" s="1021">
        <f>(VLOOKUP(YEAR($A115),'NY East Load Projections'!$A$4:$EO$14,((MONTH($A115)-1)*12)+VLOOKUP(CT$4,$DE$6:$DF$17,2)+1))*(VLOOKUP($A115,SatSunCurve,7))*(INDEX(DailyScalarsTable,CT$5/100,MONTH($A115)))*$E115</f>
        <v>0</v>
      </c>
      <c r="CU115" s="1021">
        <f>(VLOOKUP(YEAR($A115),'NY East Load Projections'!$A$4:$EO$14,((MONTH($A115)-1)*12)+VLOOKUP(CU$4,$DE$6:$DF$17,2)+1))*(VLOOKUP($A115,SatSunCurve,7))*(INDEX(DailyScalarsTable,CU$5/100,MONTH($A115)))*$E115</f>
        <v>0</v>
      </c>
      <c r="CV115" s="1021">
        <f>(VLOOKUP(YEAR($A115),'NY East Load Projections'!$A$4:$EO$14,((MONTH($A115)-1)*12)+VLOOKUP(CV$4,$DE$6:$DF$17,2)+1))*(VLOOKUP($A115,SatSunCurve,7))*(INDEX(DailyScalarsTable,CV$5/100,MONTH($A115)))*$E115</f>
        <v>0</v>
      </c>
      <c r="CW115" s="1021">
        <f>(VLOOKUP(YEAR($A115),'NY East Load Projections'!$A$4:$EO$14,((MONTH($A115)-1)*12)+VLOOKUP(CW$4,$DE$6:$DF$17,2)+1))*(VLOOKUP($A115,SatSunCurve,7))*(INDEX(DailyScalarsTable,CW$5/100,MONTH($A115)))*$E115</f>
        <v>0</v>
      </c>
      <c r="CX115" s="1021">
        <f>(VLOOKUP(YEAR($A115),'NY East Load Projections'!$A$4:$EO$14,((MONTH($A115)-1)*12)+VLOOKUP(CX$4,$DE$6:$DF$17,2)+1))*(VLOOKUP($A115,SatSunCurve,7))*(INDEX(DailyScalarsTable,CX$5/100,MONTH($A115)))*$E115</f>
        <v>0</v>
      </c>
      <c r="CY115" s="1021">
        <f>(VLOOKUP(YEAR($A115),'NY East Load Projections'!$A$4:$EO$14,((MONTH($A115)-1)*12)+VLOOKUP(CY$4,$DE$6:$DF$17,2)+1))*(VLOOKUP($A115,SatSunCurve,7))*(INDEX(DailyScalarsTable,CY$5/100,MONTH($A115)))*$E115</f>
        <v>0</v>
      </c>
      <c r="CZ115" s="1021">
        <f>(VLOOKUP(YEAR($A115),'NY East Load Projections'!$A$4:$EO$14,((MONTH($A115)-1)*12)+VLOOKUP(CZ$4,$DE$6:$DF$17,2)+1))*(VLOOKUP($A115,SatSunCurve,7))*(INDEX(DailyScalarsTable,CZ$5/100,MONTH($A115)))*$E115</f>
        <v>0</v>
      </c>
      <c r="DA115" s="1021">
        <f>(VLOOKUP(YEAR($A115),'NY East Load Projections'!$A$4:$EO$14,((MONTH($A115)-1)*12)+VLOOKUP(DA$4,$DE$6:$DF$17,2)+1))*(VLOOKUP($A115,SatSunCurve,7))*(INDEX(DailyScalarsTable,DA$5/100,MONTH($A115)))*$E115</f>
        <v>0</v>
      </c>
      <c r="DB115" s="1021">
        <f>(VLOOKUP(YEAR($A115),'NY East Load Projections'!$A$4:$EO$14,((MONTH($A115)-1)*12)+VLOOKUP(DB$4,$DE$6:$DF$17,2)+1))*(VLOOKUP($A115,CURVES!$D$9:$T$261,7))*(INDEX(DailyScalarsTable,DB$5/100,MONTH($A115)))*$E115</f>
        <v>0</v>
      </c>
      <c r="DH115" s="1032">
        <f t="shared" si="2"/>
        <v>-1522446.9633193424</v>
      </c>
      <c r="DI115">
        <f ca="1">CALC!J135</f>
        <v>0.48096549532935601</v>
      </c>
      <c r="DJ115" s="1029">
        <f t="shared" ca="1" si="3"/>
        <v>-732244.4578255614</v>
      </c>
    </row>
    <row r="116" spans="1:114" x14ac:dyDescent="0.25">
      <c r="A116" s="244">
        <v>40238</v>
      </c>
      <c r="B116" s="13">
        <v>23</v>
      </c>
      <c r="C116" s="210">
        <v>4</v>
      </c>
      <c r="D116" s="210">
        <v>4</v>
      </c>
      <c r="E116" s="210">
        <v>0</v>
      </c>
      <c r="F116" s="13">
        <v>31</v>
      </c>
      <c r="H116" s="1021">
        <f>(VLOOKUP(YEAR($A116),'NY East Load Projections'!$A$4:$EO$14,((MONTH($A116)-1)*12)+VLOOKUP(H$4,$DE$6:$DF$17,2)+1))*(VLOOKUP($A116,CURVES!$D$9:$K$261,7))*(INDEX(DailyScalarsTable,H$5/100,MONTH($A116)))*$B116</f>
        <v>-27779.725915805648</v>
      </c>
      <c r="I116" s="1021">
        <f>(VLOOKUP(YEAR($A116),'NY East Load Projections'!$A$4:$EO$14,((MONTH($A116)-1)*12)+VLOOKUP(I$4,$DE$6:$DF$17,2)+1))*(VLOOKUP($A116,CURVES!$D$9:$K$261,7))*(INDEX(DailyScalarsTable,I$5/100,MONTH($A116)))*$B116</f>
        <v>-26266.963058169873</v>
      </c>
      <c r="J116" s="1021">
        <f>(VLOOKUP(YEAR($A116),'NY East Load Projections'!$A$4:$EO$14,((MONTH($A116)-1)*12)+VLOOKUP(J$4,$DE$6:$DF$17,2)+1))*(VLOOKUP($A116,CURVES!$D$9:$K$261,7))*(INDEX(DailyScalarsTable,J$5/100,MONTH($A116)))*$B116</f>
        <v>-25147.5051086805</v>
      </c>
      <c r="K116" s="1021">
        <f>(VLOOKUP(YEAR($A116),'NY East Load Projections'!$A$4:$EO$14,((MONTH($A116)-1)*12)+VLOOKUP(K$4,$DE$6:$DF$17,2)+1))*(VLOOKUP($A116,CURVES!$D$9:$K$261,7))*(INDEX(DailyScalarsTable,K$5/100,MONTH($A116)))*$B116</f>
        <v>-25163.291044361878</v>
      </c>
      <c r="L116" s="1021">
        <f>(VLOOKUP(YEAR($A116),'NY East Load Projections'!$A$4:$EO$14,((MONTH($A116)-1)*12)+VLOOKUP(L$4,$DE$6:$DF$17,2)+1))*(VLOOKUP($A116,CURVES!$D$9:$K$261,7))*(INDEX(DailyScalarsTable,L$5/100,MONTH($A116)))*$B116</f>
        <v>-28077.108790112452</v>
      </c>
      <c r="M116" s="1021">
        <f>(VLOOKUP(YEAR($A116),'NY East Load Projections'!$A$4:$EO$14,((MONTH($A116)-1)*12)+VLOOKUP(M$4,$DE$6:$DF$17,2)+1))*(VLOOKUP($A116,CURVES!$D$9:$K$261,7))*(INDEX(DailyScalarsTable,M$5/100,MONTH($A116)))*$B116</f>
        <v>-32591.158390189841</v>
      </c>
      <c r="N116" s="1021">
        <f>(VLOOKUP(YEAR($A116),'NY East Load Projections'!$A$4:$EO$14,((MONTH($A116)-1)*12)+VLOOKUP(N$4,$DE$6:$DF$17,2)+1))*(VLOOKUP($A116,CURVES!$D$9:$K$261,7))*(INDEX(DailyScalarsTable,N$5/100,MONTH($A116)))*$B116</f>
        <v>-58807.054371015489</v>
      </c>
      <c r="O116" s="1021">
        <f>(VLOOKUP(YEAR($A116),'NY East Load Projections'!$A$4:$EO$14,((MONTH($A116)-1)*12)+VLOOKUP(O$4,$DE$6:$DF$17,2)+1))*(VLOOKUP($A116,CURVES!$D$9:$K$261,3))*(INDEX(DailyScalarsTable,O$5/100,MONTH($A116)))*$B116</f>
        <v>-62670.492401448078</v>
      </c>
      <c r="P116" s="1021">
        <f>(VLOOKUP(YEAR($A116),'NY East Load Projections'!$A$4:$EO$14,((MONTH($A116)-1)*12)+VLOOKUP(P$4,$DE$6:$DF$17,2)+1))*(VLOOKUP($A116,CURVES!$D$9:$K$261,3))*(INDEX(DailyScalarsTable,P$5/100,MONTH($A116)))*$B116</f>
        <v>-69200.551031633586</v>
      </c>
      <c r="Q116" s="1021">
        <f>(VLOOKUP(YEAR($A116),'NY East Load Projections'!$A$4:$EO$14,((MONTH($A116)-1)*12)+VLOOKUP(Q$4,$DE$6:$DF$17,2)+1))*(VLOOKUP($A116,CURVES!$D$9:$K$261,3))*(INDEX(DailyScalarsTable,Q$5/100,MONTH($A116)))*$B116</f>
        <v>-68991.169636681603</v>
      </c>
      <c r="R116" s="1021">
        <f>(VLOOKUP(YEAR($A116),'NY East Load Projections'!$A$4:$EO$14,((MONTH($A116)-1)*12)+VLOOKUP(R$4,$DE$6:$DF$17,2)+1))*(VLOOKUP($A116,CURVES!$D$9:$K$261,3))*(INDEX(DailyScalarsTable,R$5/100,MONTH($A116)))*$B116</f>
        <v>-67775.594315988084</v>
      </c>
      <c r="S116" s="1021">
        <f>(VLOOKUP(YEAR($A116),'NY East Load Projections'!$A$4:$EO$14,((MONTH($A116)-1)*12)+VLOOKUP(S$4,$DE$6:$DF$17,2)+1))*(VLOOKUP($A116,CURVES!$D$9:$K$261,3))*(INDEX(DailyScalarsTable,S$5/100,MONTH($A116)))*$B116</f>
        <v>-51786.99835145953</v>
      </c>
      <c r="T116" s="1021">
        <f>(VLOOKUP(YEAR($A116),'NY East Load Projections'!$A$4:$EO$14,((MONTH($A116)-1)*12)+VLOOKUP(T$4,$DE$6:$DF$17,2)+1))*(VLOOKUP($A116,CURVES!$D$9:$K$261,3))*(INDEX(DailyScalarsTable,T$5/100,MONTH($A116)))*$B116</f>
        <v>-50967.497981628876</v>
      </c>
      <c r="U116" s="1021">
        <f>(VLOOKUP(YEAR($A116),'NY East Load Projections'!$A$4:$EO$14,((MONTH($A116)-1)*12)+VLOOKUP(U$4,$DE$6:$DF$17,2)+1))*(VLOOKUP($A116,CURVES!$D$9:$K$261,3))*(INDEX(DailyScalarsTable,U$5/100,MONTH($A116)))*$B116</f>
        <v>-49340.875705619452</v>
      </c>
      <c r="V116" s="1021">
        <f>(VLOOKUP(YEAR($A116),'NY East Load Projections'!$A$4:$EO$14,((MONTH($A116)-1)*12)+VLOOKUP(V$4,$DE$6:$DF$17,2)+1))*(VLOOKUP($A116,CURVES!$D$9:$K$261,3))*(INDEX(DailyScalarsTable,V$5/100,MONTH($A116)))*$B116</f>
        <v>-46859.687378807954</v>
      </c>
      <c r="W116" s="1021">
        <f>(VLOOKUP(YEAR($A116),'NY East Load Projections'!$A$4:$EO$14,((MONTH($A116)-1)*12)+VLOOKUP(W$4,$DE$6:$DF$17,2)+1))*(VLOOKUP($A116,CURVES!$D$9:$K$261,3))*(INDEX(DailyScalarsTable,W$5/100,MONTH($A116)))*$B116</f>
        <v>-45928.50506138226</v>
      </c>
      <c r="X116" s="1021">
        <f>(VLOOKUP(YEAR($A116),'NY East Load Projections'!$A$4:$EO$14,((MONTH($A116)-1)*12)+VLOOKUP(X$4,$DE$6:$DF$17,2)+1))*(VLOOKUP($A116,CURVES!$D$9:$K$261,3))*(INDEX(DailyScalarsTable,X$5/100,MONTH($A116)))*$B116</f>
        <v>-48398.452003098733</v>
      </c>
      <c r="Y116" s="1021">
        <f>(VLOOKUP(YEAR($A116),'NY East Load Projections'!$A$4:$EO$14,((MONTH($A116)-1)*12)+VLOOKUP(Y$4,$DE$6:$DF$17,2)+1))*(VLOOKUP($A116,CURVES!$D$9:$K$261,3))*(INDEX(DailyScalarsTable,Y$5/100,MONTH($A116)))*$B116</f>
        <v>-65983.906491512796</v>
      </c>
      <c r="Z116" s="1021">
        <f>(VLOOKUP(YEAR($A116),'NY East Load Projections'!$A$4:$EO$14,((MONTH($A116)-1)*12)+VLOOKUP(Z$4,$DE$6:$DF$17,2)+1))*(VLOOKUP($A116,CURVES!$D$9:$K$261,3))*(INDEX(DailyScalarsTable,Z$5/100,MONTH($A116)))*$B116</f>
        <v>-72455.262597388515</v>
      </c>
      <c r="AA116" s="1021">
        <f>(VLOOKUP(YEAR($A116),'NY East Load Projections'!$A$4:$EO$14,((MONTH($A116)-1)*12)+VLOOKUP(AA$4,$DE$6:$DF$17,2)+1))*(VLOOKUP($A116,CURVES!$D$9:$K$261,3))*(INDEX(DailyScalarsTable,AA$5/100,MONTH($A116)))*$B116</f>
        <v>-69327.820253967948</v>
      </c>
      <c r="AB116" s="1021">
        <f>(VLOOKUP(YEAR($A116),'NY East Load Projections'!$A$4:$EO$14,((MONTH($A116)-1)*12)+VLOOKUP(AB$4,$DE$6:$DF$17,2)+1))*(VLOOKUP($A116,CURVES!$D$9:$K$261,3))*(INDEX(DailyScalarsTable,AB$5/100,MONTH($A116)))*$B116</f>
        <v>-62970.695680249373</v>
      </c>
      <c r="AC116" s="1021">
        <f>(VLOOKUP(YEAR($A116),'NY East Load Projections'!$A$4:$EO$14,((MONTH($A116)-1)*12)+VLOOKUP(AC$4,$DE$6:$DF$17,2)+1))*(VLOOKUP($A116,CURVES!$D$9:$K$261,3))*(INDEX(DailyScalarsTable,AC$5/100,MONTH($A116)))*$B116</f>
        <v>-45725.38071620588</v>
      </c>
      <c r="AD116" s="1021">
        <f>(VLOOKUP(YEAR($A116),'NY East Load Projections'!$A$4:$EO$14,((MONTH($A116)-1)*12)+VLOOKUP(AD$4,$DE$6:$DF$17,2)+1))*(VLOOKUP($A116,CURVES!$D$9:$K$261,3))*(INDEX(DailyScalarsTable,AD$5/100,MONTH($A116)))*$B116</f>
        <v>-37531.656450764298</v>
      </c>
      <c r="AE116" s="1021">
        <f>(VLOOKUP(YEAR($A116),'NY East Load Projections'!$A$4:$EO$14,((MONTH($A116)-1)*12)+VLOOKUP(AE$4,$DE$6:$DF$17,2)+1))*(VLOOKUP($A116,CURVES!$D$9:$K$261,7))*(INDEX(DailyScalarsTable,AE$5/100,MONTH($A116)))*$B116</f>
        <v>-34104.481684308186</v>
      </c>
      <c r="AF116" s="1021"/>
      <c r="AG116" s="1021">
        <f>(VLOOKUP(YEAR($A116),'NY East Load Projections'!$A$4:$EO$14,((MONTH($A116)-1)*12)+VLOOKUP(AG$4,$DE$6:$DF$17,2)+1))*(VLOOKUP($A116,CURVES!$D$9:$T$261,7))*(INDEX(DailyScalarsTable,AG$5/100,MONTH($A116)))*$C116</f>
        <v>-4960.9594052072189</v>
      </c>
      <c r="AH116" s="1021">
        <f>(VLOOKUP(YEAR($A116),'NY East Load Projections'!$A$4:$EO$14,((MONTH($A116)-1)*12)+VLOOKUP(AH$4,$DE$6:$DF$17,2)+1))*(VLOOKUP($A116,CURVES!$D$9:$T$261,7))*(INDEX(DailyScalarsTable,AH$5/100,MONTH($A116)))*$C116</f>
        <v>-4690.8071672340429</v>
      </c>
      <c r="AI116" s="1021">
        <f>(VLOOKUP(YEAR($A116),'NY East Load Projections'!$A$4:$EO$14,((MONTH($A116)-1)*12)+VLOOKUP(AI$4,$DE$6:$DF$17,2)+1))*(VLOOKUP($A116,CURVES!$D$9:$T$261,7))*(INDEX(DailyScalarsTable,AI$5/100,MONTH($A116)))*$C116</f>
        <v>-4490.892111913302</v>
      </c>
      <c r="AJ116" s="1021">
        <f>(VLOOKUP(YEAR($A116),'NY East Load Projections'!$A$4:$EO$14,((MONTH($A116)-1)*12)+VLOOKUP(AJ$4,$DE$6:$DF$17,2)+1))*(VLOOKUP($A116,CURVES!$D$9:$T$261,7))*(INDEX(DailyScalarsTable,AJ$5/100,MONTH($A116)))*$C116</f>
        <v>-4493.7111961017454</v>
      </c>
      <c r="AK116" s="1021">
        <f>(VLOOKUP(YEAR($A116),'NY East Load Projections'!$A$4:$EO$14,((MONTH($A116)-1)*12)+VLOOKUP(AK$4,$DE$6:$DF$17,2)+1))*(VLOOKUP($A116,CURVES!$D$9:$T$261,7))*(INDEX(DailyScalarsTable,AK$5/100,MONTH($A116)))*$C116</f>
        <v>-4895.2936165670662</v>
      </c>
      <c r="AL116" s="1021">
        <f>(VLOOKUP(YEAR($A116),'NY East Load Projections'!$A$4:$EO$14,((MONTH($A116)-1)*12)+VLOOKUP(AL$4,$DE$6:$DF$17,2)+1))*(VLOOKUP($A116,CURVES!$D$9:$T$261,7))*(INDEX(DailyScalarsTable,AL$5/100,MONTH($A116)))*$C116</f>
        <v>-5682.3261546148506</v>
      </c>
      <c r="AM116" s="1021">
        <f>(VLOOKUP(YEAR($A116),'NY East Load Projections'!$A$4:$EO$14,((MONTH($A116)-1)*12)+VLOOKUP(AM$4,$DE$6:$DF$17,2)+1))*(VLOOKUP($A116,CURVES!$D$9:$T$261,7))*(INDEX(DailyScalarsTable,AM$5/100,MONTH($A116)))*$C116</f>
        <v>-10253.114023368486</v>
      </c>
      <c r="AN116" s="1021">
        <f>(VLOOKUP(YEAR($A116),'NY East Load Projections'!$A$4:$EO$14,((MONTH($A116)-1)*12)+VLOOKUP(AN$4,$DE$6:$DF$17,2)+1))*(VLOOKUP($A116,SatSunCurve,3))*(INDEX(DailyScalarsTable,AN$5/100,MONTH($A116)))*$C116</f>
        <v>-7209.2786159056959</v>
      </c>
      <c r="AO116" s="1021">
        <f>(VLOOKUP(YEAR($A116),'NY East Load Projections'!$A$4:$EO$14,((MONTH($A116)-1)*12)+VLOOKUP(AO$4,$DE$6:$DF$17,2)+1))*(VLOOKUP($A116,SatSunCurve,3))*(INDEX(DailyScalarsTable,AO$5/100,MONTH($A116)))*$C116</f>
        <v>-7831.1602257322429</v>
      </c>
      <c r="AP116" s="1021">
        <f>(VLOOKUP(YEAR($A116),'NY East Load Projections'!$A$4:$EO$14,((MONTH($A116)-1)*12)+VLOOKUP(AP$4,$DE$6:$DF$17,2)+1))*(VLOOKUP($A116,SatSunCurve,3))*(INDEX(DailyScalarsTable,AP$5/100,MONTH($A116)))*$C116</f>
        <v>-7807.465338513688</v>
      </c>
      <c r="AQ116" s="1021">
        <f>(VLOOKUP(YEAR($A116),'NY East Load Projections'!$A$4:$EO$14,((MONTH($A116)-1)*12)+VLOOKUP(AQ$4,$DE$6:$DF$17,2)+1))*(VLOOKUP($A116,SatSunCurve,3))*(INDEX(DailyScalarsTable,AQ$5/100,MONTH($A116)))*$C116</f>
        <v>-7669.9033543837477</v>
      </c>
      <c r="AR116" s="1021">
        <f>(VLOOKUP(YEAR($A116),'NY East Load Projections'!$A$4:$EO$14,((MONTH($A116)-1)*12)+VLOOKUP(AR$4,$DE$6:$DF$17,2)+1))*(VLOOKUP($A116,SatSunCurve,3))*(INDEX(DailyScalarsTable,AR$5/100,MONTH($A116)))*$C116</f>
        <v>-5860.5354387224652</v>
      </c>
      <c r="AS116" s="1021">
        <f>(VLOOKUP(YEAR($A116),'NY East Load Projections'!$A$4:$EO$14,((MONTH($A116)-1)*12)+VLOOKUP(AS$4,$DE$6:$DF$17,2)+1))*(VLOOKUP($A116,SatSunCurve,3))*(INDEX(DailyScalarsTable,AS$5/100,MONTH($A116)))*$C116</f>
        <v>-5687.0964260484061</v>
      </c>
      <c r="AT116" s="1021">
        <f>(VLOOKUP(YEAR($A116),'NY East Load Projections'!$A$4:$EO$14,((MONTH($A116)-1)*12)+VLOOKUP(AT$4,$DE$6:$DF$17,2)+1))*(VLOOKUP($A116,SatSunCurve,3))*(INDEX(DailyScalarsTable,AT$5/100,MONTH($A116)))*$C116</f>
        <v>-5505.5933486213289</v>
      </c>
      <c r="AU116" s="1021">
        <f>(VLOOKUP(YEAR($A116),'NY East Load Projections'!$A$4:$EO$14,((MONTH($A116)-1)*12)+VLOOKUP(AU$4,$DE$6:$DF$17,2)+1))*(VLOOKUP($A116,SatSunCurve,3))*(INDEX(DailyScalarsTable,AU$5/100,MONTH($A116)))*$C116</f>
        <v>-5228.7353935604624</v>
      </c>
      <c r="AV116" s="1021">
        <f>(VLOOKUP(YEAR($A116),'NY East Load Projections'!$A$4:$EO$14,((MONTH($A116)-1)*12)+VLOOKUP(AV$4,$DE$6:$DF$17,2)+1))*(VLOOKUP($A116,SatSunCurve,3))*(INDEX(DailyScalarsTable,AV$5/100,MONTH($A116)))*$C116</f>
        <v>-5124.8314579319176</v>
      </c>
      <c r="AW116" s="1021">
        <f>(VLOOKUP(YEAR($A116),'NY East Load Projections'!$A$4:$EO$14,((MONTH($A116)-1)*12)+VLOOKUP(AW$4,$DE$6:$DF$17,2)+1))*(VLOOKUP($A116,SatSunCurve,3))*(INDEX(DailyScalarsTable,AW$5/100,MONTH($A116)))*$C116</f>
        <v>-5474.5195575607422</v>
      </c>
      <c r="AX116" s="1021">
        <f>(VLOOKUP(YEAR($A116),'NY East Load Projections'!$A$4:$EO$14,((MONTH($A116)-1)*12)+VLOOKUP(AX$4,$DE$6:$DF$17,2)+1))*(VLOOKUP($A116,SatSunCurve,3))*(INDEX(DailyScalarsTable,AX$5/100,MONTH($A116)))*$C116</f>
        <v>-7463.6723205303761</v>
      </c>
      <c r="AY116" s="1021">
        <f>(VLOOKUP(YEAR($A116),'NY East Load Projections'!$A$4:$EO$14,((MONTH($A116)-1)*12)+VLOOKUP(AY$4,$DE$6:$DF$17,2)+1))*(VLOOKUP($A116,SatSunCurve,3))*(INDEX(DailyScalarsTable,AY$5/100,MONTH($A116)))*$C116</f>
        <v>-8195.6702274735253</v>
      </c>
      <c r="AZ116" s="1021">
        <f>(VLOOKUP(YEAR($A116),'NY East Load Projections'!$A$4:$EO$14,((MONTH($A116)-1)*12)+VLOOKUP(AZ$4,$DE$6:$DF$17,2)+1))*(VLOOKUP($A116,SatSunCurve,3))*(INDEX(DailyScalarsTable,AZ$5/100,MONTH($A116)))*$C116</f>
        <v>-7841.914196741317</v>
      </c>
      <c r="BA116" s="1021">
        <f>(VLOOKUP(YEAR($A116),'NY East Load Projections'!$A$4:$EO$14,((MONTH($A116)-1)*12)+VLOOKUP(BA$4,$DE$6:$DF$17,2)+1))*(VLOOKUP($A116,SatSunCurve,3))*(INDEX(DailyScalarsTable,BA$5/100,MONTH($A116)))*$C116</f>
        <v>-7205.428018402592</v>
      </c>
      <c r="BB116" s="1021">
        <f>(VLOOKUP(YEAR($A116),'NY East Load Projections'!$A$4:$EO$14,((MONTH($A116)-1)*12)+VLOOKUP(BB$4,$DE$6:$DF$17,2)+1))*(VLOOKUP($A116,SatSunCurve,3))*(INDEX(DailyScalarsTable,BB$5/100,MONTH($A116)))*$C116</f>
        <v>-5232.131165227278</v>
      </c>
      <c r="BC116" s="1021">
        <f>(VLOOKUP(YEAR($A116),'NY East Load Projections'!$A$4:$EO$14,((MONTH($A116)-1)*12)+VLOOKUP(BC$4,$DE$6:$DF$17,2)+1))*(VLOOKUP($A116,SatSunCurve,3))*(INDEX(DailyScalarsTable,BC$5/100,MONTH($A116)))*$C116</f>
        <v>-4294.5634639418122</v>
      </c>
      <c r="BD116" s="1021">
        <f>(VLOOKUP(YEAR($A116),'NY East Load Projections'!$A$4:$EO$14,((MONTH($A116)-1)*12)+VLOOKUP(BD$4,$DE$6:$DF$17,2)+1))*(VLOOKUP($A116,CURVES!$D$9:$T$261,7))*(INDEX(DailyScalarsTable,BD$5/100,MONTH($A116)))*$C116</f>
        <v>-5914.6684377066049</v>
      </c>
      <c r="BE116" s="1021"/>
      <c r="BF116" s="1021">
        <f>(VLOOKUP(YEAR($A116),'NY East Load Projections'!$A$4:$EO$14,((MONTH($A116)-1)*12)+VLOOKUP(BF$4,$DE$6:$DF$17,2)+1))*(VLOOKUP($A116,CURVES!$D$9:$T$261,7))*(INDEX(DailyScalarsTable,BF$5/100,MONTH($A116)))*$D116</f>
        <v>-4960.9594052072189</v>
      </c>
      <c r="BG116" s="1021">
        <f>(VLOOKUP(YEAR($A116),'NY East Load Projections'!$A$4:$EO$14,((MONTH($A116)-1)*12)+VLOOKUP(BG$4,$DE$6:$DF$17,2)+1))*(VLOOKUP($A116,CURVES!$D$9:$T$261,7))*(INDEX(DailyScalarsTable,BG$5/100,MONTH($A116)))*$D116</f>
        <v>-4690.8071672340429</v>
      </c>
      <c r="BH116" s="1021">
        <f>(VLOOKUP(YEAR($A116),'NY East Load Projections'!$A$4:$EO$14,((MONTH($A116)-1)*12)+VLOOKUP(BH$4,$DE$6:$DF$17,2)+1))*(VLOOKUP($A116,CURVES!$D$9:$T$261,7))*(INDEX(DailyScalarsTable,BH$5/100,MONTH($A116)))*$D116</f>
        <v>-4490.892111913302</v>
      </c>
      <c r="BI116" s="1021">
        <f>(VLOOKUP(YEAR($A116),'NY East Load Projections'!$A$4:$EO$14,((MONTH($A116)-1)*12)+VLOOKUP(BI$4,$DE$6:$DF$17,2)+1))*(VLOOKUP($A116,CURVES!$D$9:$T$261,7))*(INDEX(DailyScalarsTable,BI$5/100,MONTH($A116)))*$D116</f>
        <v>-4493.7111961017454</v>
      </c>
      <c r="BJ116" s="1021">
        <f>(VLOOKUP(YEAR($A116),'NY East Load Projections'!$A$4:$EO$14,((MONTH($A116)-1)*12)+VLOOKUP(BJ$4,$DE$6:$DF$17,2)+1))*(VLOOKUP($A116,CURVES!$D$9:$T$261,7))*(INDEX(DailyScalarsTable,BJ$5/100,MONTH($A116)))*$D116</f>
        <v>-4895.2936165670662</v>
      </c>
      <c r="BK116" s="1021">
        <f>(VLOOKUP(YEAR($A116),'NY East Load Projections'!$A$4:$EO$14,((MONTH($A116)-1)*12)+VLOOKUP(BK$4,$DE$6:$DF$17,2)+1))*(VLOOKUP($A116,CURVES!$D$9:$T$261,7))*(INDEX(DailyScalarsTable,BK$5/100,MONTH($A116)))*$D116</f>
        <v>-5682.3261546148506</v>
      </c>
      <c r="BL116" s="1021">
        <f>(VLOOKUP(YEAR($A116),'NY East Load Projections'!$A$4:$EO$14,((MONTH($A116)-1)*12)+VLOOKUP(BL$4,$DE$6:$DF$17,2)+1))*(VLOOKUP($A116,CURVES!$D$9:$T$261,7))*(INDEX(DailyScalarsTable,BL$5/100,MONTH($A116)))*$D116</f>
        <v>-10253.114023368486</v>
      </c>
      <c r="BM116" s="1021">
        <f>(VLOOKUP(YEAR($A116),'NY East Load Projections'!$A$4:$EO$14,((MONTH($A116)-1)*12)+VLOOKUP(BM$4,$DE$6:$DF$17,2)+1))*(VLOOKUP($A116,SatSunCurve,7))*(INDEX(DailyScalarsTable,BM$5/100,MONTH($A116)))*$D116</f>
        <v>-7089.2304698555163</v>
      </c>
      <c r="BN116" s="1021">
        <f>(VLOOKUP(YEAR($A116),'NY East Load Projections'!$A$4:$EO$14,((MONTH($A116)-1)*12)+VLOOKUP(BN$4,$DE$6:$DF$17,2)+1))*(VLOOKUP($A116,SatSunCurve,7))*(INDEX(DailyScalarsTable,BN$5/100,MONTH($A116)))*$D116</f>
        <v>-7700.756572799909</v>
      </c>
      <c r="BO116" s="1021">
        <f>(VLOOKUP(YEAR($A116),'NY East Load Projections'!$A$4:$EO$14,((MONTH($A116)-1)*12)+VLOOKUP(BO$4,$DE$6:$DF$17,2)+1))*(VLOOKUP($A116,SatSunCurve,7))*(INDEX(DailyScalarsTable,BO$5/100,MONTH($A116)))*$D116</f>
        <v>-7677.4562503406041</v>
      </c>
      <c r="BP116" s="1021">
        <f>(VLOOKUP(YEAR($A116),'NY East Load Projections'!$A$4:$EO$14,((MONTH($A116)-1)*12)+VLOOKUP(BP$4,$DE$6:$DF$17,2)+1))*(VLOOKUP($A116,SatSunCurve,7))*(INDEX(DailyScalarsTable,BP$5/100,MONTH($A116)))*$D116</f>
        <v>-7542.1849338407583</v>
      </c>
      <c r="BQ116" s="1021">
        <f>(VLOOKUP(YEAR($A116),'NY East Load Projections'!$A$4:$EO$14,((MONTH($A116)-1)*12)+VLOOKUP(BQ$4,$DE$6:$DF$17,2)+1))*(VLOOKUP($A116,SatSunCurve,7))*(INDEX(DailyScalarsTable,BQ$5/100,MONTH($A116)))*$D116</f>
        <v>-5762.946421601142</v>
      </c>
      <c r="BR116" s="1021">
        <f>(VLOOKUP(YEAR($A116),'NY East Load Projections'!$A$4:$EO$14,((MONTH($A116)-1)*12)+VLOOKUP(BR$4,$DE$6:$DF$17,2)+1))*(VLOOKUP($A116,SatSunCurve,7))*(INDEX(DailyScalarsTable,BR$5/100,MONTH($A116)))*$D116</f>
        <v>-5592.3954970470722</v>
      </c>
      <c r="BS116" s="1021">
        <f>(VLOOKUP(YEAR($A116),'NY East Load Projections'!$A$4:$EO$14,((MONTH($A116)-1)*12)+VLOOKUP(BS$4,$DE$6:$DF$17,2)+1))*(VLOOKUP($A116,SatSunCurve,7))*(INDEX(DailyScalarsTable,BS$5/100,MONTH($A116)))*$D116</f>
        <v>-5413.914789694506</v>
      </c>
      <c r="BT116" s="1021">
        <f>(VLOOKUP(YEAR($A116),'NY East Load Projections'!$A$4:$EO$14,((MONTH($A116)-1)*12)+VLOOKUP(BT$4,$DE$6:$DF$17,2)+1))*(VLOOKUP($A116,SatSunCurve,7))*(INDEX(DailyScalarsTable,BT$5/100,MONTH($A116)))*$D116</f>
        <v>-5141.6670440588887</v>
      </c>
      <c r="BU116" s="1021">
        <f>(VLOOKUP(YEAR($A116),'NY East Load Projections'!$A$4:$EO$14,((MONTH($A116)-1)*12)+VLOOKUP(BU$4,$DE$6:$DF$17,2)+1))*(VLOOKUP($A116,SatSunCurve,7))*(INDEX(DailyScalarsTable,BU$5/100,MONTH($A116)))*$D116</f>
        <v>-5039.4933057918397</v>
      </c>
      <c r="BV116" s="1021">
        <f>(VLOOKUP(YEAR($A116),'NY East Load Projections'!$A$4:$EO$14,((MONTH($A116)-1)*12)+VLOOKUP(BV$4,$DE$6:$DF$17,2)+1))*(VLOOKUP($A116,SatSunCurve,7))*(INDEX(DailyScalarsTable,BV$5/100,MONTH($A116)))*$D116</f>
        <v>-5383.3584361205694</v>
      </c>
      <c r="BW116" s="1021">
        <f>(VLOOKUP(YEAR($A116),'NY East Load Projections'!$A$4:$EO$14,((MONTH($A116)-1)*12)+VLOOKUP(BW$4,$DE$6:$DF$17,2)+1))*(VLOOKUP($A116,SatSunCurve,7))*(INDEX(DailyScalarsTable,BW$5/100,MONTH($A116)))*$D116</f>
        <v>-7339.3880373804805</v>
      </c>
      <c r="BX116" s="1021">
        <f>(VLOOKUP(YEAR($A116),'NY East Load Projections'!$A$4:$EO$14,((MONTH($A116)-1)*12)+VLOOKUP(BX$4,$DE$6:$DF$17,2)+1))*(VLOOKUP($A116,SatSunCurve,7))*(INDEX(DailyScalarsTable,BX$5/100,MONTH($A116)))*$D116</f>
        <v>-8059.1967924926466</v>
      </c>
      <c r="BY116" s="1021">
        <f>(VLOOKUP(YEAR($A116),'NY East Load Projections'!$A$4:$EO$14,((MONTH($A116)-1)*12)+VLOOKUP(BY$4,$DE$6:$DF$17,2)+1))*(VLOOKUP($A116,SatSunCurve,7))*(INDEX(DailyScalarsTable,BY$5/100,MONTH($A116)))*$D116</f>
        <v>-7711.3314698196018</v>
      </c>
      <c r="BZ116" s="1021">
        <f>(VLOOKUP(YEAR($A116),'NY East Load Projections'!$A$4:$EO$14,((MONTH($A116)-1)*12)+VLOOKUP(BZ$4,$DE$6:$DF$17,2)+1))*(VLOOKUP($A116,SatSunCurve,7))*(INDEX(DailyScalarsTable,BZ$5/100,MONTH($A116)))*$D116</f>
        <v>-7085.4439920953246</v>
      </c>
      <c r="CA116" s="1021">
        <f>(VLOOKUP(YEAR($A116),'NY East Load Projections'!$A$4:$EO$14,((MONTH($A116)-1)*12)+VLOOKUP(CA$4,$DE$6:$DF$17,2)+1))*(VLOOKUP($A116,SatSunCurve,7))*(INDEX(DailyScalarsTable,CA$5/100,MONTH($A116)))*$D116</f>
        <v>-5145.0062696945788</v>
      </c>
      <c r="CB116" s="1021">
        <f>(VLOOKUP(YEAR($A116),'NY East Load Projections'!$A$4:$EO$14,((MONTH($A116)-1)*12)+VLOOKUP(CB$4,$DE$6:$DF$17,2)+1))*(VLOOKUP($A116,SatSunCurve,7))*(INDEX(DailyScalarsTable,CB$5/100,MONTH($A116)))*$D116</f>
        <v>-4223.0508467426944</v>
      </c>
      <c r="CC116" s="1021">
        <f>(VLOOKUP(YEAR($A116),'NY East Load Projections'!$A$4:$EO$14,((MONTH($A116)-1)*12)+VLOOKUP(CC$4,$DE$6:$DF$17,2)+1))*(VLOOKUP($A116,CURVES!$D$9:$T$261,7))*(INDEX(DailyScalarsTable,CC$5/100,MONTH($A116)))*$D116</f>
        <v>-5914.6684377066049</v>
      </c>
      <c r="CE116" s="1021">
        <f>(VLOOKUP(YEAR($A116),'NY East Load Projections'!$A$4:$EO$14,((MONTH($A116)-1)*12)+VLOOKUP(CE$4,$DE$6:$DF$17,2)+1))*(VLOOKUP($A116,CURVES!$D$9:$T$261,7))*(INDEX(DailyScalarsTable,CE$5/100,MONTH($A116)))*$E116</f>
        <v>0</v>
      </c>
      <c r="CF116" s="1021">
        <f>(VLOOKUP(YEAR($A116),'NY East Load Projections'!$A$4:$EO$14,((MONTH($A116)-1)*12)+VLOOKUP(CF$4,$DE$6:$DF$17,2)+1))*(VLOOKUP($A116,CURVES!$D$9:$T$261,7))*(INDEX(DailyScalarsTable,CF$5/100,MONTH($A116)))*$E116</f>
        <v>0</v>
      </c>
      <c r="CG116" s="1021">
        <f>(VLOOKUP(YEAR($A116),'NY East Load Projections'!$A$4:$EO$14,((MONTH($A116)-1)*12)+VLOOKUP(CG$4,$DE$6:$DF$17,2)+1))*(VLOOKUP($A116,CURVES!$D$9:$T$261,7))*(INDEX(DailyScalarsTable,CG$5/100,MONTH($A116)))*$E116</f>
        <v>0</v>
      </c>
      <c r="CH116" s="1021">
        <f>(VLOOKUP(YEAR($A116),'NY East Load Projections'!$A$4:$EO$14,((MONTH($A116)-1)*12)+VLOOKUP(CH$4,$DE$6:$DF$17,2)+1))*(VLOOKUP($A116,CURVES!$D$9:$T$261,7))*(INDEX(DailyScalarsTable,CH$5/100,MONTH($A116)))*$E116</f>
        <v>0</v>
      </c>
      <c r="CI116" s="1021">
        <f>(VLOOKUP(YEAR($A116),'NY East Load Projections'!$A$4:$EO$14,((MONTH($A116)-1)*12)+VLOOKUP(CI$4,$DE$6:$DF$17,2)+1))*(VLOOKUP($A116,CURVES!$D$9:$T$261,7))*(INDEX(DailyScalarsTable,CI$5/100,MONTH($A116)))*$E116</f>
        <v>0</v>
      </c>
      <c r="CJ116" s="1021">
        <f>(VLOOKUP(YEAR($A116),'NY East Load Projections'!$A$4:$EO$14,((MONTH($A116)-1)*12)+VLOOKUP(CJ$4,$DE$6:$DF$17,2)+1))*(VLOOKUP($A116,CURVES!$D$9:$T$261,7))*(INDEX(DailyScalarsTable,CJ$5/100,MONTH($A116)))*$E116</f>
        <v>0</v>
      </c>
      <c r="CK116" s="1021">
        <f>(VLOOKUP(YEAR($A116),'NY East Load Projections'!$A$4:$EO$14,((MONTH($A116)-1)*12)+VLOOKUP(CK$4,$DE$6:$DF$17,2)+1))*(VLOOKUP($A116,CURVES!$D$9:$T$261,7))*(INDEX(DailyScalarsTable,CK$5/100,MONTH($A116)))*$E116</f>
        <v>0</v>
      </c>
      <c r="CL116" s="1021">
        <f>(VLOOKUP(YEAR($A116),'NY East Load Projections'!$A$4:$EO$14,((MONTH($A116)-1)*12)+VLOOKUP(CL$4,$DE$6:$DF$17,2)+1))*(VLOOKUP($A116,SatSunCurve,7))*(INDEX(DailyScalarsTable,CL$5/100,MONTH($A116)))*$E116</f>
        <v>0</v>
      </c>
      <c r="CM116" s="1021">
        <f>(VLOOKUP(YEAR($A116),'NY East Load Projections'!$A$4:$EO$14,((MONTH($A116)-1)*12)+VLOOKUP(CM$4,$DE$6:$DF$17,2)+1))*(VLOOKUP($A116,SatSunCurve,7))*(INDEX(DailyScalarsTable,CM$5/100,MONTH($A116)))*$E116</f>
        <v>0</v>
      </c>
      <c r="CN116" s="1021">
        <f>(VLOOKUP(YEAR($A116),'NY East Load Projections'!$A$4:$EO$14,((MONTH($A116)-1)*12)+VLOOKUP(CN$4,$DE$6:$DF$17,2)+1))*(VLOOKUP($A116,SatSunCurve,7))*(INDEX(DailyScalarsTable,CN$5/100,MONTH($A116)))*$E116</f>
        <v>0</v>
      </c>
      <c r="CO116" s="1021">
        <f>(VLOOKUP(YEAR($A116),'NY East Load Projections'!$A$4:$EO$14,((MONTH($A116)-1)*12)+VLOOKUP(CO$4,$DE$6:$DF$17,2)+1))*(VLOOKUP($A116,SatSunCurve,7))*(INDEX(DailyScalarsTable,CO$5/100,MONTH($A116)))*$E116</f>
        <v>0</v>
      </c>
      <c r="CP116" s="1021">
        <f>(VLOOKUP(YEAR($A116),'NY East Load Projections'!$A$4:$EO$14,((MONTH($A116)-1)*12)+VLOOKUP(CP$4,$DE$6:$DF$17,2)+1))*(VLOOKUP($A116,SatSunCurve,7))*(INDEX(DailyScalarsTable,CP$5/100,MONTH($A116)))*$E116</f>
        <v>0</v>
      </c>
      <c r="CQ116" s="1021">
        <f>(VLOOKUP(YEAR($A116),'NY East Load Projections'!$A$4:$EO$14,((MONTH($A116)-1)*12)+VLOOKUP(CQ$4,$DE$6:$DF$17,2)+1))*(VLOOKUP($A116,SatSunCurve,7))*(INDEX(DailyScalarsTable,CQ$5/100,MONTH($A116)))*$E116</f>
        <v>0</v>
      </c>
      <c r="CR116" s="1021">
        <f>(VLOOKUP(YEAR($A116),'NY East Load Projections'!$A$4:$EO$14,((MONTH($A116)-1)*12)+VLOOKUP(CR$4,$DE$6:$DF$17,2)+1))*(VLOOKUP($A116,SatSunCurve,7))*(INDEX(DailyScalarsTable,CR$5/100,MONTH($A116)))*$E116</f>
        <v>0</v>
      </c>
      <c r="CS116" s="1021">
        <f>(VLOOKUP(YEAR($A116),'NY East Load Projections'!$A$4:$EO$14,((MONTH($A116)-1)*12)+VLOOKUP(CS$4,$DE$6:$DF$17,2)+1))*(VLOOKUP($A116,SatSunCurve,7))*(INDEX(DailyScalarsTable,CS$5/100,MONTH($A116)))*$E116</f>
        <v>0</v>
      </c>
      <c r="CT116" s="1021">
        <f>(VLOOKUP(YEAR($A116),'NY East Load Projections'!$A$4:$EO$14,((MONTH($A116)-1)*12)+VLOOKUP(CT$4,$DE$6:$DF$17,2)+1))*(VLOOKUP($A116,SatSunCurve,7))*(INDEX(DailyScalarsTable,CT$5/100,MONTH($A116)))*$E116</f>
        <v>0</v>
      </c>
      <c r="CU116" s="1021">
        <f>(VLOOKUP(YEAR($A116),'NY East Load Projections'!$A$4:$EO$14,((MONTH($A116)-1)*12)+VLOOKUP(CU$4,$DE$6:$DF$17,2)+1))*(VLOOKUP($A116,SatSunCurve,7))*(INDEX(DailyScalarsTable,CU$5/100,MONTH($A116)))*$E116</f>
        <v>0</v>
      </c>
      <c r="CV116" s="1021">
        <f>(VLOOKUP(YEAR($A116),'NY East Load Projections'!$A$4:$EO$14,((MONTH($A116)-1)*12)+VLOOKUP(CV$4,$DE$6:$DF$17,2)+1))*(VLOOKUP($A116,SatSunCurve,7))*(INDEX(DailyScalarsTable,CV$5/100,MONTH($A116)))*$E116</f>
        <v>0</v>
      </c>
      <c r="CW116" s="1021">
        <f>(VLOOKUP(YEAR($A116),'NY East Load Projections'!$A$4:$EO$14,((MONTH($A116)-1)*12)+VLOOKUP(CW$4,$DE$6:$DF$17,2)+1))*(VLOOKUP($A116,SatSunCurve,7))*(INDEX(DailyScalarsTable,CW$5/100,MONTH($A116)))*$E116</f>
        <v>0</v>
      </c>
      <c r="CX116" s="1021">
        <f>(VLOOKUP(YEAR($A116),'NY East Load Projections'!$A$4:$EO$14,((MONTH($A116)-1)*12)+VLOOKUP(CX$4,$DE$6:$DF$17,2)+1))*(VLOOKUP($A116,SatSunCurve,7))*(INDEX(DailyScalarsTable,CX$5/100,MONTH($A116)))*$E116</f>
        <v>0</v>
      </c>
      <c r="CY116" s="1021">
        <f>(VLOOKUP(YEAR($A116),'NY East Load Projections'!$A$4:$EO$14,((MONTH($A116)-1)*12)+VLOOKUP(CY$4,$DE$6:$DF$17,2)+1))*(VLOOKUP($A116,SatSunCurve,7))*(INDEX(DailyScalarsTable,CY$5/100,MONTH($A116)))*$E116</f>
        <v>0</v>
      </c>
      <c r="CZ116" s="1021">
        <f>(VLOOKUP(YEAR($A116),'NY East Load Projections'!$A$4:$EO$14,((MONTH($A116)-1)*12)+VLOOKUP(CZ$4,$DE$6:$DF$17,2)+1))*(VLOOKUP($A116,SatSunCurve,7))*(INDEX(DailyScalarsTable,CZ$5/100,MONTH($A116)))*$E116</f>
        <v>0</v>
      </c>
      <c r="DA116" s="1021">
        <f>(VLOOKUP(YEAR($A116),'NY East Load Projections'!$A$4:$EO$14,((MONTH($A116)-1)*12)+VLOOKUP(DA$4,$DE$6:$DF$17,2)+1))*(VLOOKUP($A116,SatSunCurve,7))*(INDEX(DailyScalarsTable,DA$5/100,MONTH($A116)))*$E116</f>
        <v>0</v>
      </c>
      <c r="DB116" s="1021">
        <f>(VLOOKUP(YEAR($A116),'NY East Load Projections'!$A$4:$EO$14,((MONTH($A116)-1)*12)+VLOOKUP(DB$4,$DE$6:$DF$17,2)+1))*(VLOOKUP($A116,CURVES!$D$9:$T$261,7))*(INDEX(DailyScalarsTable,DB$5/100,MONTH($A116)))*$E116</f>
        <v>0</v>
      </c>
      <c r="DH116" s="1032">
        <f t="shared" si="2"/>
        <v>-1470154.6983245823</v>
      </c>
      <c r="DI116">
        <f ca="1">CALC!J136</f>
        <v>0.47793649822986561</v>
      </c>
      <c r="DJ116" s="1029">
        <f t="shared" ca="1" si="3"/>
        <v>-702640.58837343531</v>
      </c>
    </row>
    <row r="117" spans="1:114" x14ac:dyDescent="0.25">
      <c r="A117" s="244">
        <v>40269</v>
      </c>
      <c r="B117" s="13">
        <v>22</v>
      </c>
      <c r="C117" s="210">
        <v>4</v>
      </c>
      <c r="D117" s="210">
        <v>4</v>
      </c>
      <c r="E117" s="210">
        <v>0</v>
      </c>
      <c r="F117" s="13">
        <v>30</v>
      </c>
      <c r="H117" s="1021">
        <f>(VLOOKUP(YEAR($A117),'NY East Load Projections'!$A$4:$EO$14,((MONTH($A117)-1)*12)+VLOOKUP(H$4,$DE$6:$DF$17,2)+1))*(VLOOKUP($A117,CURVES!$D$9:$K$261,7))*(INDEX(DailyScalarsTable,H$5/100,MONTH($A117)))*$B117</f>
        <v>-31179.0981627787</v>
      </c>
      <c r="I117" s="1021">
        <f>(VLOOKUP(YEAR($A117),'NY East Load Projections'!$A$4:$EO$14,((MONTH($A117)-1)*12)+VLOOKUP(I$4,$DE$6:$DF$17,2)+1))*(VLOOKUP($A117,CURVES!$D$9:$K$261,7))*(INDEX(DailyScalarsTable,I$5/100,MONTH($A117)))*$B117</f>
        <v>-29572.495086327854</v>
      </c>
      <c r="J117" s="1021">
        <f>(VLOOKUP(YEAR($A117),'NY East Load Projections'!$A$4:$EO$14,((MONTH($A117)-1)*12)+VLOOKUP(J$4,$DE$6:$DF$17,2)+1))*(VLOOKUP($A117,CURVES!$D$9:$K$261,7))*(INDEX(DailyScalarsTable,J$5/100,MONTH($A117)))*$B117</f>
        <v>-28383.594541520844</v>
      </c>
      <c r="K117" s="1021">
        <f>(VLOOKUP(YEAR($A117),'NY East Load Projections'!$A$4:$EO$14,((MONTH($A117)-1)*12)+VLOOKUP(K$4,$DE$6:$DF$17,2)+1))*(VLOOKUP($A117,CURVES!$D$9:$K$261,7))*(INDEX(DailyScalarsTable,K$5/100,MONTH($A117)))*$B117</f>
        <v>-28400.359715720057</v>
      </c>
      <c r="L117" s="1021">
        <f>(VLOOKUP(YEAR($A117),'NY East Load Projections'!$A$4:$EO$14,((MONTH($A117)-1)*12)+VLOOKUP(L$4,$DE$6:$DF$17,2)+1))*(VLOOKUP($A117,CURVES!$D$9:$K$261,7))*(INDEX(DailyScalarsTable,L$5/100,MONTH($A117)))*$B117</f>
        <v>-31673.366215194095</v>
      </c>
      <c r="M117" s="1021">
        <f>(VLOOKUP(YEAR($A117),'NY East Load Projections'!$A$4:$EO$14,((MONTH($A117)-1)*12)+VLOOKUP(M$4,$DE$6:$DF$17,2)+1))*(VLOOKUP($A117,CURVES!$D$9:$K$261,7))*(INDEX(DailyScalarsTable,M$5/100,MONTH($A117)))*$B117</f>
        <v>-36485.031321874179</v>
      </c>
      <c r="N117" s="1021">
        <f>(VLOOKUP(YEAR($A117),'NY East Load Projections'!$A$4:$EO$14,((MONTH($A117)-1)*12)+VLOOKUP(N$4,$DE$6:$DF$17,2)+1))*(VLOOKUP($A117,CURVES!$D$9:$K$261,7))*(INDEX(DailyScalarsTable,N$5/100,MONTH($A117)))*$B117</f>
        <v>-52038.254378081976</v>
      </c>
      <c r="O117" s="1021">
        <f>(VLOOKUP(YEAR($A117),'NY East Load Projections'!$A$4:$EO$14,((MONTH($A117)-1)*12)+VLOOKUP(O$4,$DE$6:$DF$17,2)+1))*(VLOOKUP($A117,CURVES!$D$9:$K$261,3))*(INDEX(DailyScalarsTable,O$5/100,MONTH($A117)))*$B117</f>
        <v>-63609.517298290542</v>
      </c>
      <c r="P117" s="1021">
        <f>(VLOOKUP(YEAR($A117),'NY East Load Projections'!$A$4:$EO$14,((MONTH($A117)-1)*12)+VLOOKUP(P$4,$DE$6:$DF$17,2)+1))*(VLOOKUP($A117,CURVES!$D$9:$K$261,3))*(INDEX(DailyScalarsTable,P$5/100,MONTH($A117)))*$B117</f>
        <v>-68034.333661969547</v>
      </c>
      <c r="Q117" s="1021">
        <f>(VLOOKUP(YEAR($A117),'NY East Load Projections'!$A$4:$EO$14,((MONTH($A117)-1)*12)+VLOOKUP(Q$4,$DE$6:$DF$17,2)+1))*(VLOOKUP($A117,CURVES!$D$9:$K$261,3))*(INDEX(DailyScalarsTable,Q$5/100,MONTH($A117)))*$B117</f>
        <v>-65201.088882618322</v>
      </c>
      <c r="R117" s="1021">
        <f>(VLOOKUP(YEAR($A117),'NY East Load Projections'!$A$4:$EO$14,((MONTH($A117)-1)*12)+VLOOKUP(R$4,$DE$6:$DF$17,2)+1))*(VLOOKUP($A117,CURVES!$D$9:$K$261,3))*(INDEX(DailyScalarsTable,R$5/100,MONTH($A117)))*$B117</f>
        <v>-66545.273080339626</v>
      </c>
      <c r="S117" s="1021">
        <f>(VLOOKUP(YEAR($A117),'NY East Load Projections'!$A$4:$EO$14,((MONTH($A117)-1)*12)+VLOOKUP(S$4,$DE$6:$DF$17,2)+1))*(VLOOKUP($A117,CURVES!$D$9:$K$261,3))*(INDEX(DailyScalarsTable,S$5/100,MONTH($A117)))*$B117</f>
        <v>-66675.75777048248</v>
      </c>
      <c r="T117" s="1021">
        <f>(VLOOKUP(YEAR($A117),'NY East Load Projections'!$A$4:$EO$14,((MONTH($A117)-1)*12)+VLOOKUP(T$4,$DE$6:$DF$17,2)+1))*(VLOOKUP($A117,CURVES!$D$9:$K$261,3))*(INDEX(DailyScalarsTable,T$5/100,MONTH($A117)))*$B117</f>
        <v>-61363.409683582584</v>
      </c>
      <c r="U117" s="1021">
        <f>(VLOOKUP(YEAR($A117),'NY East Load Projections'!$A$4:$EO$14,((MONTH($A117)-1)*12)+VLOOKUP(U$4,$DE$6:$DF$17,2)+1))*(VLOOKUP($A117,CURVES!$D$9:$K$261,3))*(INDEX(DailyScalarsTable,U$5/100,MONTH($A117)))*$B117</f>
        <v>-61429.484834545874</v>
      </c>
      <c r="V117" s="1021">
        <f>(VLOOKUP(YEAR($A117),'NY East Load Projections'!$A$4:$EO$14,((MONTH($A117)-1)*12)+VLOOKUP(V$4,$DE$6:$DF$17,2)+1))*(VLOOKUP($A117,CURVES!$D$9:$K$261,3))*(INDEX(DailyScalarsTable,V$5/100,MONTH($A117)))*$B117</f>
        <v>-57616.559946604604</v>
      </c>
      <c r="W117" s="1021">
        <f>(VLOOKUP(YEAR($A117),'NY East Load Projections'!$A$4:$EO$14,((MONTH($A117)-1)*12)+VLOOKUP(W$4,$DE$6:$DF$17,2)+1))*(VLOOKUP($A117,CURVES!$D$9:$K$261,3))*(INDEX(DailyScalarsTable,W$5/100,MONTH($A117)))*$B117</f>
        <v>-53849.304648299767</v>
      </c>
      <c r="X117" s="1021">
        <f>(VLOOKUP(YEAR($A117),'NY East Load Projections'!$A$4:$EO$14,((MONTH($A117)-1)*12)+VLOOKUP(X$4,$DE$6:$DF$17,2)+1))*(VLOOKUP($A117,CURVES!$D$9:$K$261,3))*(INDEX(DailyScalarsTable,X$5/100,MONTH($A117)))*$B117</f>
        <v>-50625.939456976266</v>
      </c>
      <c r="Y117" s="1021">
        <f>(VLOOKUP(YEAR($A117),'NY East Load Projections'!$A$4:$EO$14,((MONTH($A117)-1)*12)+VLOOKUP(Y$4,$DE$6:$DF$17,2)+1))*(VLOOKUP($A117,CURVES!$D$9:$K$261,3))*(INDEX(DailyScalarsTable,Y$5/100,MONTH($A117)))*$B117</f>
        <v>-49967.523142952246</v>
      </c>
      <c r="Z117" s="1021">
        <f>(VLOOKUP(YEAR($A117),'NY East Load Projections'!$A$4:$EO$14,((MONTH($A117)-1)*12)+VLOOKUP(Z$4,$DE$6:$DF$17,2)+1))*(VLOOKUP($A117,CURVES!$D$9:$K$261,3))*(INDEX(DailyScalarsTable,Z$5/100,MONTH($A117)))*$B117</f>
        <v>-49699.661029423281</v>
      </c>
      <c r="AA117" s="1021">
        <f>(VLOOKUP(YEAR($A117),'NY East Load Projections'!$A$4:$EO$14,((MONTH($A117)-1)*12)+VLOOKUP(AA$4,$DE$6:$DF$17,2)+1))*(VLOOKUP($A117,CURVES!$D$9:$K$261,3))*(INDEX(DailyScalarsTable,AA$5/100,MONTH($A117)))*$B117</f>
        <v>-54512.749845596016</v>
      </c>
      <c r="AB117" s="1021">
        <f>(VLOOKUP(YEAR($A117),'NY East Load Projections'!$A$4:$EO$14,((MONTH($A117)-1)*12)+VLOOKUP(AB$4,$DE$6:$DF$17,2)+1))*(VLOOKUP($A117,CURVES!$D$9:$K$261,3))*(INDEX(DailyScalarsTable,AB$5/100,MONTH($A117)))*$B117</f>
        <v>-64122.669936815626</v>
      </c>
      <c r="AC117" s="1021">
        <f>(VLOOKUP(YEAR($A117),'NY East Load Projections'!$A$4:$EO$14,((MONTH($A117)-1)*12)+VLOOKUP(AC$4,$DE$6:$DF$17,2)+1))*(VLOOKUP($A117,CURVES!$D$9:$K$261,3))*(INDEX(DailyScalarsTable,AC$5/100,MONTH($A117)))*$B117</f>
        <v>-54637.353558175681</v>
      </c>
      <c r="AD117" s="1021">
        <f>(VLOOKUP(YEAR($A117),'NY East Load Projections'!$A$4:$EO$14,((MONTH($A117)-1)*12)+VLOOKUP(AD$4,$DE$6:$DF$17,2)+1))*(VLOOKUP($A117,CURVES!$D$9:$K$261,3))*(INDEX(DailyScalarsTable,AD$5/100,MONTH($A117)))*$B117</f>
        <v>-48268.807176325179</v>
      </c>
      <c r="AE117" s="1021">
        <f>(VLOOKUP(YEAR($A117),'NY East Load Projections'!$A$4:$EO$14,((MONTH($A117)-1)*12)+VLOOKUP(AE$4,$DE$6:$DF$17,2)+1))*(VLOOKUP($A117,CURVES!$D$9:$K$261,7))*(INDEX(DailyScalarsTable,AE$5/100,MONTH($A117)))*$B117</f>
        <v>-35935.989327735042</v>
      </c>
      <c r="AF117" s="1021"/>
      <c r="AG117" s="1021">
        <f>(VLOOKUP(YEAR($A117),'NY East Load Projections'!$A$4:$EO$14,((MONTH($A117)-1)*12)+VLOOKUP(AG$4,$DE$6:$DF$17,2)+1))*(VLOOKUP($A117,CURVES!$D$9:$T$261,7))*(INDEX(DailyScalarsTable,AG$5/100,MONTH($A117)))*$C117</f>
        <v>-5531.0257255464912</v>
      </c>
      <c r="AH117" s="1021">
        <f>(VLOOKUP(YEAR($A117),'NY East Load Projections'!$A$4:$EO$14,((MONTH($A117)-1)*12)+VLOOKUP(AH$4,$DE$6:$DF$17,2)+1))*(VLOOKUP($A117,CURVES!$D$9:$T$261,7))*(INDEX(DailyScalarsTable,AH$5/100,MONTH($A117)))*$C117</f>
        <v>-5246.0218777700356</v>
      </c>
      <c r="AI117" s="1021">
        <f>(VLOOKUP(YEAR($A117),'NY East Load Projections'!$A$4:$EO$14,((MONTH($A117)-1)*12)+VLOOKUP(AI$4,$DE$6:$DF$17,2)+1))*(VLOOKUP($A117,CURVES!$D$9:$T$261,7))*(INDEX(DailyScalarsTable,AI$5/100,MONTH($A117)))*$C117</f>
        <v>-5035.1164992978001</v>
      </c>
      <c r="AJ117" s="1021">
        <f>(VLOOKUP(YEAR($A117),'NY East Load Projections'!$A$4:$EO$14,((MONTH($A117)-1)*12)+VLOOKUP(AJ$4,$DE$6:$DF$17,2)+1))*(VLOOKUP($A117,CURVES!$D$9:$T$261,7))*(INDEX(DailyScalarsTable,AJ$5/100,MONTH($A117)))*$C117</f>
        <v>-5038.0905625405858</v>
      </c>
      <c r="AK117" s="1021">
        <f>(VLOOKUP(YEAR($A117),'NY East Load Projections'!$A$4:$EO$14,((MONTH($A117)-1)*12)+VLOOKUP(AK$4,$DE$6:$DF$17,2)+1))*(VLOOKUP($A117,CURVES!$D$9:$T$261,7))*(INDEX(DailyScalarsTable,AK$5/100,MONTH($A117)))*$C117</f>
        <v>-5478.4811460956726</v>
      </c>
      <c r="AL117" s="1021">
        <f>(VLOOKUP(YEAR($A117),'NY East Load Projections'!$A$4:$EO$14,((MONTH($A117)-1)*12)+VLOOKUP(AL$4,$DE$6:$DF$17,2)+1))*(VLOOKUP($A117,CURVES!$D$9:$T$261,7))*(INDEX(DailyScalarsTable,AL$5/100,MONTH($A117)))*$C117</f>
        <v>-6310.7455915346209</v>
      </c>
      <c r="AM117" s="1021">
        <f>(VLOOKUP(YEAR($A117),'NY East Load Projections'!$A$4:$EO$14,((MONTH($A117)-1)*12)+VLOOKUP(AM$4,$DE$6:$DF$17,2)+1))*(VLOOKUP($A117,CURVES!$D$9:$T$261,7))*(INDEX(DailyScalarsTable,AM$5/100,MONTH($A117)))*$C117</f>
        <v>-9000.9566254846413</v>
      </c>
      <c r="AN117" s="1021">
        <f>(VLOOKUP(YEAR($A117),'NY East Load Projections'!$A$4:$EO$14,((MONTH($A117)-1)*12)+VLOOKUP(AN$4,$DE$6:$DF$17,2)+1))*(VLOOKUP($A117,SatSunCurve,3))*(INDEX(DailyScalarsTable,AN$5/100,MONTH($A117)))*$C117</f>
        <v>-7770.3502252718054</v>
      </c>
      <c r="AO117" s="1021">
        <f>(VLOOKUP(YEAR($A117),'NY East Load Projections'!$A$4:$EO$14,((MONTH($A117)-1)*12)+VLOOKUP(AO$4,$DE$6:$DF$17,2)+1))*(VLOOKUP($A117,SatSunCurve,3))*(INDEX(DailyScalarsTable,AO$5/100,MONTH($A117)))*$C117</f>
        <v>-8208.960245167933</v>
      </c>
      <c r="AP117" s="1021">
        <f>(VLOOKUP(YEAR($A117),'NY East Load Projections'!$A$4:$EO$14,((MONTH($A117)-1)*12)+VLOOKUP(AP$4,$DE$6:$DF$17,2)+1))*(VLOOKUP($A117,SatSunCurve,3))*(INDEX(DailyScalarsTable,AP$5/100,MONTH($A117)))*$C117</f>
        <v>-7867.1035309671015</v>
      </c>
      <c r="AQ117" s="1021">
        <f>(VLOOKUP(YEAR($A117),'NY East Load Projections'!$A$4:$EO$14,((MONTH($A117)-1)*12)+VLOOKUP(AQ$4,$DE$6:$DF$17,2)+1))*(VLOOKUP($A117,SatSunCurve,3))*(INDEX(DailyScalarsTable,AQ$5/100,MONTH($A117)))*$C117</f>
        <v>-8029.2915623234712</v>
      </c>
      <c r="AR117" s="1021">
        <f>(VLOOKUP(YEAR($A117),'NY East Load Projections'!$A$4:$EO$14,((MONTH($A117)-1)*12)+VLOOKUP(AR$4,$DE$6:$DF$17,2)+1))*(VLOOKUP($A117,SatSunCurve,3))*(INDEX(DailyScalarsTable,AR$5/100,MONTH($A117)))*$C117</f>
        <v>-8045.035725253143</v>
      </c>
      <c r="AS117" s="1021">
        <f>(VLOOKUP(YEAR($A117),'NY East Load Projections'!$A$4:$EO$14,((MONTH($A117)-1)*12)+VLOOKUP(AS$4,$DE$6:$DF$17,2)+1))*(VLOOKUP($A117,SatSunCurve,3))*(INDEX(DailyScalarsTable,AS$5/100,MONTH($A117)))*$C117</f>
        <v>-7317.4050122573399</v>
      </c>
      <c r="AT117" s="1021">
        <f>(VLOOKUP(YEAR($A117),'NY East Load Projections'!$A$4:$EO$14,((MONTH($A117)-1)*12)+VLOOKUP(AT$4,$DE$6:$DF$17,2)+1))*(VLOOKUP($A117,SatSunCurve,3))*(INDEX(DailyScalarsTable,AT$5/100,MONTH($A117)))*$C117</f>
        <v>-7325.2842784737641</v>
      </c>
      <c r="AU117" s="1021">
        <f>(VLOOKUP(YEAR($A117),'NY East Load Projections'!$A$4:$EO$14,((MONTH($A117)-1)*12)+VLOOKUP(AU$4,$DE$6:$DF$17,2)+1))*(VLOOKUP($A117,SatSunCurve,3))*(INDEX(DailyScalarsTable,AU$5/100,MONTH($A117)))*$C117</f>
        <v>-6870.6042691611974</v>
      </c>
      <c r="AV117" s="1021">
        <f>(VLOOKUP(YEAR($A117),'NY East Load Projections'!$A$4:$EO$14,((MONTH($A117)-1)*12)+VLOOKUP(AV$4,$DE$6:$DF$17,2)+1))*(VLOOKUP($A117,SatSunCurve,3))*(INDEX(DailyScalarsTable,AV$5/100,MONTH($A117)))*$C117</f>
        <v>-6421.3702232629284</v>
      </c>
      <c r="AW117" s="1021">
        <f>(VLOOKUP(YEAR($A117),'NY East Load Projections'!$A$4:$EO$14,((MONTH($A117)-1)*12)+VLOOKUP(AW$4,$DE$6:$DF$17,2)+1))*(VLOOKUP($A117,SatSunCurve,3))*(INDEX(DailyScalarsTable,AW$5/100,MONTH($A117)))*$C117</f>
        <v>-6142.1673120434452</v>
      </c>
      <c r="AX117" s="1021">
        <f>(VLOOKUP(YEAR($A117),'NY East Load Projections'!$A$4:$EO$14,((MONTH($A117)-1)*12)+VLOOKUP(AX$4,$DE$6:$DF$17,2)+1))*(VLOOKUP($A117,SatSunCurve,3))*(INDEX(DailyScalarsTable,AX$5/100,MONTH($A117)))*$C117</f>
        <v>-6062.2852751846276</v>
      </c>
      <c r="AY117" s="1021">
        <f>(VLOOKUP(YEAR($A117),'NY East Load Projections'!$A$4:$EO$14,((MONTH($A117)-1)*12)+VLOOKUP(AY$4,$DE$6:$DF$17,2)+1))*(VLOOKUP($A117,SatSunCurve,3))*(INDEX(DailyScalarsTable,AY$5/100,MONTH($A117)))*$C117</f>
        <v>-6029.7870354383667</v>
      </c>
      <c r="AZ117" s="1021">
        <f>(VLOOKUP(YEAR($A117),'NY East Load Projections'!$A$4:$EO$14,((MONTH($A117)-1)*12)+VLOOKUP(AZ$4,$DE$6:$DF$17,2)+1))*(VLOOKUP($A117,SatSunCurve,3))*(INDEX(DailyScalarsTable,AZ$5/100,MONTH($A117)))*$C117</f>
        <v>-6613.7326789909494</v>
      </c>
      <c r="BA117" s="1021">
        <f>(VLOOKUP(YEAR($A117),'NY East Load Projections'!$A$4:$EO$14,((MONTH($A117)-1)*12)+VLOOKUP(BA$4,$DE$6:$DF$17,2)+1))*(VLOOKUP($A117,SatSunCurve,3))*(INDEX(DailyScalarsTable,BA$5/100,MONTH($A117)))*$C117</f>
        <v>-7907.8557727509879</v>
      </c>
      <c r="BB117" s="1021">
        <f>(VLOOKUP(YEAR($A117),'NY East Load Projections'!$A$4:$EO$14,((MONTH($A117)-1)*12)+VLOOKUP(BB$4,$DE$6:$DF$17,2)+1))*(VLOOKUP($A117,SatSunCurve,3))*(INDEX(DailyScalarsTable,BB$5/100,MONTH($A117)))*$C117</f>
        <v>-6738.0898544710981</v>
      </c>
      <c r="BC117" s="1021">
        <f>(VLOOKUP(YEAR($A117),'NY East Load Projections'!$A$4:$EO$14,((MONTH($A117)-1)*12)+VLOOKUP(BC$4,$DE$6:$DF$17,2)+1))*(VLOOKUP($A117,SatSunCurve,3))*(INDEX(DailyScalarsTable,BC$5/100,MONTH($A117)))*$C117</f>
        <v>-5952.6960722194617</v>
      </c>
      <c r="BD117" s="1021">
        <f>(VLOOKUP(YEAR($A117),'NY East Load Projections'!$A$4:$EO$14,((MONTH($A117)-1)*12)+VLOOKUP(BD$4,$DE$6:$DF$17,2)+1))*(VLOOKUP($A117,CURVES!$D$9:$T$261,7))*(INDEX(DailyScalarsTable,BD$5/100,MONTH($A117)))*$C117</f>
        <v>-6275.1513295546083</v>
      </c>
      <c r="BE117" s="1021"/>
      <c r="BF117" s="1021">
        <f>(VLOOKUP(YEAR($A117),'NY East Load Projections'!$A$4:$EO$14,((MONTH($A117)-1)*12)+VLOOKUP(BF$4,$DE$6:$DF$17,2)+1))*(VLOOKUP($A117,CURVES!$D$9:$T$261,7))*(INDEX(DailyScalarsTable,BF$5/100,MONTH($A117)))*$D117</f>
        <v>-5531.0257255464912</v>
      </c>
      <c r="BG117" s="1021">
        <f>(VLOOKUP(YEAR($A117),'NY East Load Projections'!$A$4:$EO$14,((MONTH($A117)-1)*12)+VLOOKUP(BG$4,$DE$6:$DF$17,2)+1))*(VLOOKUP($A117,CURVES!$D$9:$T$261,7))*(INDEX(DailyScalarsTable,BG$5/100,MONTH($A117)))*$D117</f>
        <v>-5246.0218777700356</v>
      </c>
      <c r="BH117" s="1021">
        <f>(VLOOKUP(YEAR($A117),'NY East Load Projections'!$A$4:$EO$14,((MONTH($A117)-1)*12)+VLOOKUP(BH$4,$DE$6:$DF$17,2)+1))*(VLOOKUP($A117,CURVES!$D$9:$T$261,7))*(INDEX(DailyScalarsTable,BH$5/100,MONTH($A117)))*$D117</f>
        <v>-5035.1164992978001</v>
      </c>
      <c r="BI117" s="1021">
        <f>(VLOOKUP(YEAR($A117),'NY East Load Projections'!$A$4:$EO$14,((MONTH($A117)-1)*12)+VLOOKUP(BI$4,$DE$6:$DF$17,2)+1))*(VLOOKUP($A117,CURVES!$D$9:$T$261,7))*(INDEX(DailyScalarsTable,BI$5/100,MONTH($A117)))*$D117</f>
        <v>-5038.0905625405858</v>
      </c>
      <c r="BJ117" s="1021">
        <f>(VLOOKUP(YEAR($A117),'NY East Load Projections'!$A$4:$EO$14,((MONTH($A117)-1)*12)+VLOOKUP(BJ$4,$DE$6:$DF$17,2)+1))*(VLOOKUP($A117,CURVES!$D$9:$T$261,7))*(INDEX(DailyScalarsTable,BJ$5/100,MONTH($A117)))*$D117</f>
        <v>-5478.4811460956726</v>
      </c>
      <c r="BK117" s="1021">
        <f>(VLOOKUP(YEAR($A117),'NY East Load Projections'!$A$4:$EO$14,((MONTH($A117)-1)*12)+VLOOKUP(BK$4,$DE$6:$DF$17,2)+1))*(VLOOKUP($A117,CURVES!$D$9:$T$261,7))*(INDEX(DailyScalarsTable,BK$5/100,MONTH($A117)))*$D117</f>
        <v>-6310.7455915346209</v>
      </c>
      <c r="BL117" s="1021">
        <f>(VLOOKUP(YEAR($A117),'NY East Load Projections'!$A$4:$EO$14,((MONTH($A117)-1)*12)+VLOOKUP(BL$4,$DE$6:$DF$17,2)+1))*(VLOOKUP($A117,CURVES!$D$9:$T$261,7))*(INDEX(DailyScalarsTable,BL$5/100,MONTH($A117)))*$D117</f>
        <v>-9000.9566254846413</v>
      </c>
      <c r="BM117" s="1021">
        <f>(VLOOKUP(YEAR($A117),'NY East Load Projections'!$A$4:$EO$14,((MONTH($A117)-1)*12)+VLOOKUP(BM$4,$DE$6:$DF$17,2)+1))*(VLOOKUP($A117,SatSunCurve,7))*(INDEX(DailyScalarsTable,BM$5/100,MONTH($A117)))*$D117</f>
        <v>-7335.5085751573179</v>
      </c>
      <c r="BN117" s="1021">
        <f>(VLOOKUP(YEAR($A117),'NY East Load Projections'!$A$4:$EO$14,((MONTH($A117)-1)*12)+VLOOKUP(BN$4,$DE$6:$DF$17,2)+1))*(VLOOKUP($A117,SatSunCurve,7))*(INDEX(DailyScalarsTable,BN$5/100,MONTH($A117)))*$D117</f>
        <v>-7749.5732529158322</v>
      </c>
      <c r="BO117" s="1021">
        <f>(VLOOKUP(YEAR($A117),'NY East Load Projections'!$A$4:$EO$14,((MONTH($A117)-1)*12)+VLOOKUP(BO$4,$DE$6:$DF$17,2)+1))*(VLOOKUP($A117,SatSunCurve,7))*(INDEX(DailyScalarsTable,BO$5/100,MONTH($A117)))*$D117</f>
        <v>-7426.8474058440443</v>
      </c>
      <c r="BP117" s="1021">
        <f>(VLOOKUP(YEAR($A117),'NY East Load Projections'!$A$4:$EO$14,((MONTH($A117)-1)*12)+VLOOKUP(BP$4,$DE$6:$DF$17,2)+1))*(VLOOKUP($A117,SatSunCurve,7))*(INDEX(DailyScalarsTable,BP$5/100,MONTH($A117)))*$D117</f>
        <v>-7579.9591267202959</v>
      </c>
      <c r="BQ117" s="1021">
        <f>(VLOOKUP(YEAR($A117),'NY East Load Projections'!$A$4:$EO$14,((MONTH($A117)-1)*12)+VLOOKUP(BQ$4,$DE$6:$DF$17,2)+1))*(VLOOKUP($A117,SatSunCurve,7))*(INDEX(DailyScalarsTable,BQ$5/100,MONTH($A117)))*$D117</f>
        <v>-7594.8222202528968</v>
      </c>
      <c r="BR117" s="1021">
        <f>(VLOOKUP(YEAR($A117),'NY East Load Projections'!$A$4:$EO$14,((MONTH($A117)-1)*12)+VLOOKUP(BR$4,$DE$6:$DF$17,2)+1))*(VLOOKUP($A117,SatSunCurve,7))*(INDEX(DailyScalarsTable,BR$5/100,MONTH($A117)))*$D117</f>
        <v>-6907.9109253965771</v>
      </c>
      <c r="BS117" s="1021">
        <f>(VLOOKUP(YEAR($A117),'NY East Load Projections'!$A$4:$EO$14,((MONTH($A117)-1)*12)+VLOOKUP(BS$4,$DE$6:$DF$17,2)+1))*(VLOOKUP($A117,SatSunCurve,7))*(INDEX(DailyScalarsTable,BS$5/100,MONTH($A117)))*$D117</f>
        <v>-6915.3492548438835</v>
      </c>
      <c r="BT117" s="1021">
        <f>(VLOOKUP(YEAR($A117),'NY East Load Projections'!$A$4:$EO$14,((MONTH($A117)-1)*12)+VLOOKUP(BT$4,$DE$6:$DF$17,2)+1))*(VLOOKUP($A117,SatSunCurve,7))*(INDEX(DailyScalarsTable,BT$5/100,MONTH($A117)))*$D117</f>
        <v>-6486.1138908550911</v>
      </c>
      <c r="BU117" s="1021">
        <f>(VLOOKUP(YEAR($A117),'NY East Load Projections'!$A$4:$EO$14,((MONTH($A117)-1)*12)+VLOOKUP(BU$4,$DE$6:$DF$17,2)+1))*(VLOOKUP($A117,SatSunCurve,7))*(INDEX(DailyScalarsTable,BU$5/100,MONTH($A117)))*$D117</f>
        <v>-6062.0197251607642</v>
      </c>
      <c r="BV117" s="1021">
        <f>(VLOOKUP(YEAR($A117),'NY East Load Projections'!$A$4:$EO$14,((MONTH($A117)-1)*12)+VLOOKUP(BV$4,$DE$6:$DF$17,2)+1))*(VLOOKUP($A117,SatSunCurve,7))*(INDEX(DailyScalarsTable,BV$5/100,MONTH($A117)))*$D117</f>
        <v>-5798.4414706313473</v>
      </c>
      <c r="BW117" s="1021">
        <f>(VLOOKUP(YEAR($A117),'NY East Load Projections'!$A$4:$EO$14,((MONTH($A117)-1)*12)+VLOOKUP(BW$4,$DE$6:$DF$17,2)+1))*(VLOOKUP($A117,SatSunCurve,7))*(INDEX(DailyScalarsTable,BW$5/100,MONTH($A117)))*$D117</f>
        <v>-5723.0297646733461</v>
      </c>
      <c r="BX117" s="1021">
        <f>(VLOOKUP(YEAR($A117),'NY East Load Projections'!$A$4:$EO$14,((MONTH($A117)-1)*12)+VLOOKUP(BX$4,$DE$6:$DF$17,2)+1))*(VLOOKUP($A117,SatSunCurve,7))*(INDEX(DailyScalarsTable,BX$5/100,MONTH($A117)))*$D117</f>
        <v>-5692.3501801726516</v>
      </c>
      <c r="BY117" s="1021">
        <f>(VLOOKUP(YEAR($A117),'NY East Load Projections'!$A$4:$EO$14,((MONTH($A117)-1)*12)+VLOOKUP(BY$4,$DE$6:$DF$17,2)+1))*(VLOOKUP($A117,SatSunCurve,7))*(INDEX(DailyScalarsTable,BY$5/100,MONTH($A117)))*$D117</f>
        <v>-6243.6172597148598</v>
      </c>
      <c r="BZ117" s="1021">
        <f>(VLOOKUP(YEAR($A117),'NY East Load Projections'!$A$4:$EO$14,((MONTH($A117)-1)*12)+VLOOKUP(BZ$4,$DE$6:$DF$17,2)+1))*(VLOOKUP($A117,SatSunCurve,7))*(INDEX(DailyScalarsTable,BZ$5/100,MONTH($A117)))*$D117</f>
        <v>-7465.3190847769101</v>
      </c>
      <c r="CA117" s="1021">
        <f>(VLOOKUP(YEAR($A117),'NY East Load Projections'!$A$4:$EO$14,((MONTH($A117)-1)*12)+VLOOKUP(CA$4,$DE$6:$DF$17,2)+1))*(VLOOKUP($A117,SatSunCurve,7))*(INDEX(DailyScalarsTable,CA$5/100,MONTH($A117)))*$D117</f>
        <v>-6361.0152019787893</v>
      </c>
      <c r="CB117" s="1021">
        <f>(VLOOKUP(YEAR($A117),'NY East Load Projections'!$A$4:$EO$14,((MONTH($A117)-1)*12)+VLOOKUP(CB$4,$DE$6:$DF$17,2)+1))*(VLOOKUP($A117,SatSunCurve,7))*(INDEX(DailyScalarsTable,CB$5/100,MONTH($A117)))*$D117</f>
        <v>-5619.573354757471</v>
      </c>
      <c r="CC117" s="1021">
        <f>(VLOOKUP(YEAR($A117),'NY East Load Projections'!$A$4:$EO$14,((MONTH($A117)-1)*12)+VLOOKUP(CC$4,$DE$6:$DF$17,2)+1))*(VLOOKUP($A117,CURVES!$D$9:$T$261,7))*(INDEX(DailyScalarsTable,CC$5/100,MONTH($A117)))*$D117</f>
        <v>-6275.1513295546083</v>
      </c>
      <c r="CE117" s="1021">
        <f>(VLOOKUP(YEAR($A117),'NY East Load Projections'!$A$4:$EO$14,((MONTH($A117)-1)*12)+VLOOKUP(CE$4,$DE$6:$DF$17,2)+1))*(VLOOKUP($A117,CURVES!$D$9:$T$261,7))*(INDEX(DailyScalarsTable,CE$5/100,MONTH($A117)))*$E117</f>
        <v>0</v>
      </c>
      <c r="CF117" s="1021">
        <f>(VLOOKUP(YEAR($A117),'NY East Load Projections'!$A$4:$EO$14,((MONTH($A117)-1)*12)+VLOOKUP(CF$4,$DE$6:$DF$17,2)+1))*(VLOOKUP($A117,CURVES!$D$9:$T$261,7))*(INDEX(DailyScalarsTable,CF$5/100,MONTH($A117)))*$E117</f>
        <v>0</v>
      </c>
      <c r="CG117" s="1021">
        <f>(VLOOKUP(YEAR($A117),'NY East Load Projections'!$A$4:$EO$14,((MONTH($A117)-1)*12)+VLOOKUP(CG$4,$DE$6:$DF$17,2)+1))*(VLOOKUP($A117,CURVES!$D$9:$T$261,7))*(INDEX(DailyScalarsTable,CG$5/100,MONTH($A117)))*$E117</f>
        <v>0</v>
      </c>
      <c r="CH117" s="1021">
        <f>(VLOOKUP(YEAR($A117),'NY East Load Projections'!$A$4:$EO$14,((MONTH($A117)-1)*12)+VLOOKUP(CH$4,$DE$6:$DF$17,2)+1))*(VLOOKUP($A117,CURVES!$D$9:$T$261,7))*(INDEX(DailyScalarsTable,CH$5/100,MONTH($A117)))*$E117</f>
        <v>0</v>
      </c>
      <c r="CI117" s="1021">
        <f>(VLOOKUP(YEAR($A117),'NY East Load Projections'!$A$4:$EO$14,((MONTH($A117)-1)*12)+VLOOKUP(CI$4,$DE$6:$DF$17,2)+1))*(VLOOKUP($A117,CURVES!$D$9:$T$261,7))*(INDEX(DailyScalarsTable,CI$5/100,MONTH($A117)))*$E117</f>
        <v>0</v>
      </c>
      <c r="CJ117" s="1021">
        <f>(VLOOKUP(YEAR($A117),'NY East Load Projections'!$A$4:$EO$14,((MONTH($A117)-1)*12)+VLOOKUP(CJ$4,$DE$6:$DF$17,2)+1))*(VLOOKUP($A117,CURVES!$D$9:$T$261,7))*(INDEX(DailyScalarsTable,CJ$5/100,MONTH($A117)))*$E117</f>
        <v>0</v>
      </c>
      <c r="CK117" s="1021">
        <f>(VLOOKUP(YEAR($A117),'NY East Load Projections'!$A$4:$EO$14,((MONTH($A117)-1)*12)+VLOOKUP(CK$4,$DE$6:$DF$17,2)+1))*(VLOOKUP($A117,CURVES!$D$9:$T$261,7))*(INDEX(DailyScalarsTable,CK$5/100,MONTH($A117)))*$E117</f>
        <v>0</v>
      </c>
      <c r="CL117" s="1021">
        <f>(VLOOKUP(YEAR($A117),'NY East Load Projections'!$A$4:$EO$14,((MONTH($A117)-1)*12)+VLOOKUP(CL$4,$DE$6:$DF$17,2)+1))*(VLOOKUP($A117,SatSunCurve,7))*(INDEX(DailyScalarsTable,CL$5/100,MONTH($A117)))*$E117</f>
        <v>0</v>
      </c>
      <c r="CM117" s="1021">
        <f>(VLOOKUP(YEAR($A117),'NY East Load Projections'!$A$4:$EO$14,((MONTH($A117)-1)*12)+VLOOKUP(CM$4,$DE$6:$DF$17,2)+1))*(VLOOKUP($A117,SatSunCurve,7))*(INDEX(DailyScalarsTable,CM$5/100,MONTH($A117)))*$E117</f>
        <v>0</v>
      </c>
      <c r="CN117" s="1021">
        <f>(VLOOKUP(YEAR($A117),'NY East Load Projections'!$A$4:$EO$14,((MONTH($A117)-1)*12)+VLOOKUP(CN$4,$DE$6:$DF$17,2)+1))*(VLOOKUP($A117,SatSunCurve,7))*(INDEX(DailyScalarsTable,CN$5/100,MONTH($A117)))*$E117</f>
        <v>0</v>
      </c>
      <c r="CO117" s="1021">
        <f>(VLOOKUP(YEAR($A117),'NY East Load Projections'!$A$4:$EO$14,((MONTH($A117)-1)*12)+VLOOKUP(CO$4,$DE$6:$DF$17,2)+1))*(VLOOKUP($A117,SatSunCurve,7))*(INDEX(DailyScalarsTable,CO$5/100,MONTH($A117)))*$E117</f>
        <v>0</v>
      </c>
      <c r="CP117" s="1021">
        <f>(VLOOKUP(YEAR($A117),'NY East Load Projections'!$A$4:$EO$14,((MONTH($A117)-1)*12)+VLOOKUP(CP$4,$DE$6:$DF$17,2)+1))*(VLOOKUP($A117,SatSunCurve,7))*(INDEX(DailyScalarsTable,CP$5/100,MONTH($A117)))*$E117</f>
        <v>0</v>
      </c>
      <c r="CQ117" s="1021">
        <f>(VLOOKUP(YEAR($A117),'NY East Load Projections'!$A$4:$EO$14,((MONTH($A117)-1)*12)+VLOOKUP(CQ$4,$DE$6:$DF$17,2)+1))*(VLOOKUP($A117,SatSunCurve,7))*(INDEX(DailyScalarsTable,CQ$5/100,MONTH($A117)))*$E117</f>
        <v>0</v>
      </c>
      <c r="CR117" s="1021">
        <f>(VLOOKUP(YEAR($A117),'NY East Load Projections'!$A$4:$EO$14,((MONTH($A117)-1)*12)+VLOOKUP(CR$4,$DE$6:$DF$17,2)+1))*(VLOOKUP($A117,SatSunCurve,7))*(INDEX(DailyScalarsTable,CR$5/100,MONTH($A117)))*$E117</f>
        <v>0</v>
      </c>
      <c r="CS117" s="1021">
        <f>(VLOOKUP(YEAR($A117),'NY East Load Projections'!$A$4:$EO$14,((MONTH($A117)-1)*12)+VLOOKUP(CS$4,$DE$6:$DF$17,2)+1))*(VLOOKUP($A117,SatSunCurve,7))*(INDEX(DailyScalarsTable,CS$5/100,MONTH($A117)))*$E117</f>
        <v>0</v>
      </c>
      <c r="CT117" s="1021">
        <f>(VLOOKUP(YEAR($A117),'NY East Load Projections'!$A$4:$EO$14,((MONTH($A117)-1)*12)+VLOOKUP(CT$4,$DE$6:$DF$17,2)+1))*(VLOOKUP($A117,SatSunCurve,7))*(INDEX(DailyScalarsTable,CT$5/100,MONTH($A117)))*$E117</f>
        <v>0</v>
      </c>
      <c r="CU117" s="1021">
        <f>(VLOOKUP(YEAR($A117),'NY East Load Projections'!$A$4:$EO$14,((MONTH($A117)-1)*12)+VLOOKUP(CU$4,$DE$6:$DF$17,2)+1))*(VLOOKUP($A117,SatSunCurve,7))*(INDEX(DailyScalarsTable,CU$5/100,MONTH($A117)))*$E117</f>
        <v>0</v>
      </c>
      <c r="CV117" s="1021">
        <f>(VLOOKUP(YEAR($A117),'NY East Load Projections'!$A$4:$EO$14,((MONTH($A117)-1)*12)+VLOOKUP(CV$4,$DE$6:$DF$17,2)+1))*(VLOOKUP($A117,SatSunCurve,7))*(INDEX(DailyScalarsTable,CV$5/100,MONTH($A117)))*$E117</f>
        <v>0</v>
      </c>
      <c r="CW117" s="1021">
        <f>(VLOOKUP(YEAR($A117),'NY East Load Projections'!$A$4:$EO$14,((MONTH($A117)-1)*12)+VLOOKUP(CW$4,$DE$6:$DF$17,2)+1))*(VLOOKUP($A117,SatSunCurve,7))*(INDEX(DailyScalarsTable,CW$5/100,MONTH($A117)))*$E117</f>
        <v>0</v>
      </c>
      <c r="CX117" s="1021">
        <f>(VLOOKUP(YEAR($A117),'NY East Load Projections'!$A$4:$EO$14,((MONTH($A117)-1)*12)+VLOOKUP(CX$4,$DE$6:$DF$17,2)+1))*(VLOOKUP($A117,SatSunCurve,7))*(INDEX(DailyScalarsTable,CX$5/100,MONTH($A117)))*$E117</f>
        <v>0</v>
      </c>
      <c r="CY117" s="1021">
        <f>(VLOOKUP(YEAR($A117),'NY East Load Projections'!$A$4:$EO$14,((MONTH($A117)-1)*12)+VLOOKUP(CY$4,$DE$6:$DF$17,2)+1))*(VLOOKUP($A117,SatSunCurve,7))*(INDEX(DailyScalarsTable,CY$5/100,MONTH($A117)))*$E117</f>
        <v>0</v>
      </c>
      <c r="CZ117" s="1021">
        <f>(VLOOKUP(YEAR($A117),'NY East Load Projections'!$A$4:$EO$14,((MONTH($A117)-1)*12)+VLOOKUP(CZ$4,$DE$6:$DF$17,2)+1))*(VLOOKUP($A117,SatSunCurve,7))*(INDEX(DailyScalarsTable,CZ$5/100,MONTH($A117)))*$E117</f>
        <v>0</v>
      </c>
      <c r="DA117" s="1021">
        <f>(VLOOKUP(YEAR($A117),'NY East Load Projections'!$A$4:$EO$14,((MONTH($A117)-1)*12)+VLOOKUP(DA$4,$DE$6:$DF$17,2)+1))*(VLOOKUP($A117,SatSunCurve,7))*(INDEX(DailyScalarsTable,DA$5/100,MONTH($A117)))*$E117</f>
        <v>0</v>
      </c>
      <c r="DB117" s="1021">
        <f>(VLOOKUP(YEAR($A117),'NY East Load Projections'!$A$4:$EO$14,((MONTH($A117)-1)*12)+VLOOKUP(DB$4,$DE$6:$DF$17,2)+1))*(VLOOKUP($A117,CURVES!$D$9:$T$261,7))*(INDEX(DailyScalarsTable,DB$5/100,MONTH($A117)))*$E117</f>
        <v>0</v>
      </c>
      <c r="DH117" s="1032">
        <f t="shared" si="2"/>
        <v>-1525922.271184969</v>
      </c>
      <c r="DI117">
        <f ca="1">CALC!J137</f>
        <v>0.47508154432487182</v>
      </c>
      <c r="DJ117" s="1029">
        <f t="shared" ca="1" si="3"/>
        <v>-724937.50911427091</v>
      </c>
    </row>
    <row r="118" spans="1:114" x14ac:dyDescent="0.25">
      <c r="A118" s="244">
        <v>40299</v>
      </c>
      <c r="B118" s="13">
        <v>20</v>
      </c>
      <c r="C118" s="210">
        <v>5</v>
      </c>
      <c r="D118" s="210">
        <v>5</v>
      </c>
      <c r="E118" s="210">
        <v>1</v>
      </c>
      <c r="F118" s="13">
        <v>31</v>
      </c>
      <c r="H118" s="1021">
        <f>(VLOOKUP(YEAR($A118),'NY East Load Projections'!$A$4:$EO$14,((MONTH($A118)-1)*12)+VLOOKUP(H$4,$DE$6:$DF$17,2)+1))*(VLOOKUP($A118,CURVES!$D$9:$K$261,7))*(INDEX(DailyScalarsTable,H$5/100,MONTH($A118)))*$B118</f>
        <v>-32796.175080633533</v>
      </c>
      <c r="I118" s="1021">
        <f>(VLOOKUP(YEAR($A118),'NY East Load Projections'!$A$4:$EO$14,((MONTH($A118)-1)*12)+VLOOKUP(I$4,$DE$6:$DF$17,2)+1))*(VLOOKUP($A118,CURVES!$D$9:$K$261,7))*(INDEX(DailyScalarsTable,I$5/100,MONTH($A118)))*$B118</f>
        <v>-29541.52709415953</v>
      </c>
      <c r="J118" s="1021">
        <f>(VLOOKUP(YEAR($A118),'NY East Load Projections'!$A$4:$EO$14,((MONTH($A118)-1)*12)+VLOOKUP(J$4,$DE$6:$DF$17,2)+1))*(VLOOKUP($A118,CURVES!$D$9:$K$261,7))*(INDEX(DailyScalarsTable,J$5/100,MONTH($A118)))*$B118</f>
        <v>-27957.254000214518</v>
      </c>
      <c r="K118" s="1021">
        <f>(VLOOKUP(YEAR($A118),'NY East Load Projections'!$A$4:$EO$14,((MONTH($A118)-1)*12)+VLOOKUP(K$4,$DE$6:$DF$17,2)+1))*(VLOOKUP($A118,CURVES!$D$9:$K$261,7))*(INDEX(DailyScalarsTable,K$5/100,MONTH($A118)))*$B118</f>
        <v>-27104.846194233218</v>
      </c>
      <c r="L118" s="1021">
        <f>(VLOOKUP(YEAR($A118),'NY East Load Projections'!$A$4:$EO$14,((MONTH($A118)-1)*12)+VLOOKUP(L$4,$DE$6:$DF$17,2)+1))*(VLOOKUP($A118,CURVES!$D$9:$K$261,7))*(INDEX(DailyScalarsTable,L$5/100,MONTH($A118)))*$B118</f>
        <v>-30709.821299704905</v>
      </c>
      <c r="M118" s="1021">
        <f>(VLOOKUP(YEAR($A118),'NY East Load Projections'!$A$4:$EO$14,((MONTH($A118)-1)*12)+VLOOKUP(M$4,$DE$6:$DF$17,2)+1))*(VLOOKUP($A118,CURVES!$D$9:$K$261,7))*(INDEX(DailyScalarsTable,M$5/100,MONTH($A118)))*$B118</f>
        <v>-37233.856106332343</v>
      </c>
      <c r="N118" s="1021">
        <f>(VLOOKUP(YEAR($A118),'NY East Load Projections'!$A$4:$EO$14,((MONTH($A118)-1)*12)+VLOOKUP(N$4,$DE$6:$DF$17,2)+1))*(VLOOKUP($A118,CURVES!$D$9:$K$261,7))*(INDEX(DailyScalarsTable,N$5/100,MONTH($A118)))*$B118</f>
        <v>-44550.867519290223</v>
      </c>
      <c r="O118" s="1021">
        <f>(VLOOKUP(YEAR($A118),'NY East Load Projections'!$A$4:$EO$14,((MONTH($A118)-1)*12)+VLOOKUP(O$4,$DE$6:$DF$17,2)+1))*(VLOOKUP($A118,CURVES!$D$9:$K$261,3))*(INDEX(DailyScalarsTable,O$5/100,MONTH($A118)))*$B118</f>
        <v>-56953.955518402152</v>
      </c>
      <c r="P118" s="1021">
        <f>(VLOOKUP(YEAR($A118),'NY East Load Projections'!$A$4:$EO$14,((MONTH($A118)-1)*12)+VLOOKUP(P$4,$DE$6:$DF$17,2)+1))*(VLOOKUP($A118,CURVES!$D$9:$K$261,3))*(INDEX(DailyScalarsTable,P$5/100,MONTH($A118)))*$B118</f>
        <v>-66158.039349961182</v>
      </c>
      <c r="Q118" s="1021">
        <f>(VLOOKUP(YEAR($A118),'NY East Load Projections'!$A$4:$EO$14,((MONTH($A118)-1)*12)+VLOOKUP(Q$4,$DE$6:$DF$17,2)+1))*(VLOOKUP($A118,CURVES!$D$9:$K$261,3))*(INDEX(DailyScalarsTable,Q$5/100,MONTH($A118)))*$B118</f>
        <v>-67331.459291343344</v>
      </c>
      <c r="R118" s="1021">
        <f>(VLOOKUP(YEAR($A118),'NY East Load Projections'!$A$4:$EO$14,((MONTH($A118)-1)*12)+VLOOKUP(R$4,$DE$6:$DF$17,2)+1))*(VLOOKUP($A118,CURVES!$D$9:$K$261,3))*(INDEX(DailyScalarsTable,R$5/100,MONTH($A118)))*$B118</f>
        <v>-71422.852715277535</v>
      </c>
      <c r="S118" s="1021">
        <f>(VLOOKUP(YEAR($A118),'NY East Load Projections'!$A$4:$EO$14,((MONTH($A118)-1)*12)+VLOOKUP(S$4,$DE$6:$DF$17,2)+1))*(VLOOKUP($A118,CURVES!$D$9:$K$261,3))*(INDEX(DailyScalarsTable,S$5/100,MONTH($A118)))*$B118</f>
        <v>-70882.871857296355</v>
      </c>
      <c r="T118" s="1021">
        <f>(VLOOKUP(YEAR($A118),'NY East Load Projections'!$A$4:$EO$14,((MONTH($A118)-1)*12)+VLOOKUP(T$4,$DE$6:$DF$17,2)+1))*(VLOOKUP($A118,CURVES!$D$9:$K$261,3))*(INDEX(DailyScalarsTable,T$5/100,MONTH($A118)))*$B118</f>
        <v>-67650.691281407606</v>
      </c>
      <c r="U118" s="1021">
        <f>(VLOOKUP(YEAR($A118),'NY East Load Projections'!$A$4:$EO$14,((MONTH($A118)-1)*12)+VLOOKUP(U$4,$DE$6:$DF$17,2)+1))*(VLOOKUP($A118,CURVES!$D$9:$K$261,3))*(INDEX(DailyScalarsTable,U$5/100,MONTH($A118)))*$B118</f>
        <v>-67976.744053441755</v>
      </c>
      <c r="V118" s="1021">
        <f>(VLOOKUP(YEAR($A118),'NY East Load Projections'!$A$4:$EO$14,((MONTH($A118)-1)*12)+VLOOKUP(V$4,$DE$6:$DF$17,2)+1))*(VLOOKUP($A118,CURVES!$D$9:$K$261,3))*(INDEX(DailyScalarsTable,V$5/100,MONTH($A118)))*$B118</f>
        <v>-65936.284770389349</v>
      </c>
      <c r="W118" s="1021">
        <f>(VLOOKUP(YEAR($A118),'NY East Load Projections'!$A$4:$EO$14,((MONTH($A118)-1)*12)+VLOOKUP(W$4,$DE$6:$DF$17,2)+1))*(VLOOKUP($A118,CURVES!$D$9:$K$261,3))*(INDEX(DailyScalarsTable,W$5/100,MONTH($A118)))*$B118</f>
        <v>-63369.933919539922</v>
      </c>
      <c r="X118" s="1021">
        <f>(VLOOKUP(YEAR($A118),'NY East Load Projections'!$A$4:$EO$14,((MONTH($A118)-1)*12)+VLOOKUP(X$4,$DE$6:$DF$17,2)+1))*(VLOOKUP($A118,CURVES!$D$9:$K$261,3))*(INDEX(DailyScalarsTable,X$5/100,MONTH($A118)))*$B118</f>
        <v>-61873.765422941302</v>
      </c>
      <c r="Y118" s="1021">
        <f>(VLOOKUP(YEAR($A118),'NY East Load Projections'!$A$4:$EO$14,((MONTH($A118)-1)*12)+VLOOKUP(Y$4,$DE$6:$DF$17,2)+1))*(VLOOKUP($A118,CURVES!$D$9:$K$261,3))*(INDEX(DailyScalarsTable,Y$5/100,MONTH($A118)))*$B118</f>
        <v>-59462.44134063246</v>
      </c>
      <c r="Z118" s="1021">
        <f>(VLOOKUP(YEAR($A118),'NY East Load Projections'!$A$4:$EO$14,((MONTH($A118)-1)*12)+VLOOKUP(Z$4,$DE$6:$DF$17,2)+1))*(VLOOKUP($A118,CURVES!$D$9:$K$261,3))*(INDEX(DailyScalarsTable,Z$5/100,MONTH($A118)))*$B118</f>
        <v>-51519.256128321023</v>
      </c>
      <c r="AA118" s="1021">
        <f>(VLOOKUP(YEAR($A118),'NY East Load Projections'!$A$4:$EO$14,((MONTH($A118)-1)*12)+VLOOKUP(AA$4,$DE$6:$DF$17,2)+1))*(VLOOKUP($A118,CURVES!$D$9:$K$261,3))*(INDEX(DailyScalarsTable,AA$5/100,MONTH($A118)))*$B118</f>
        <v>-51387.545149035272</v>
      </c>
      <c r="AB118" s="1021">
        <f>(VLOOKUP(YEAR($A118),'NY East Load Projections'!$A$4:$EO$14,((MONTH($A118)-1)*12)+VLOOKUP(AB$4,$DE$6:$DF$17,2)+1))*(VLOOKUP($A118,CURVES!$D$9:$K$261,3))*(INDEX(DailyScalarsTable,AB$5/100,MONTH($A118)))*$B118</f>
        <v>-63782.61006032829</v>
      </c>
      <c r="AC118" s="1021">
        <f>(VLOOKUP(YEAR($A118),'NY East Load Projections'!$A$4:$EO$14,((MONTH($A118)-1)*12)+VLOOKUP(AC$4,$DE$6:$DF$17,2)+1))*(VLOOKUP($A118,CURVES!$D$9:$K$261,3))*(INDEX(DailyScalarsTable,AC$5/100,MONTH($A118)))*$B118</f>
        <v>-60836.730522413316</v>
      </c>
      <c r="AD118" s="1021">
        <f>(VLOOKUP(YEAR($A118),'NY East Load Projections'!$A$4:$EO$14,((MONTH($A118)-1)*12)+VLOOKUP(AD$4,$DE$6:$DF$17,2)+1))*(VLOOKUP($A118,CURVES!$D$9:$K$261,3))*(INDEX(DailyScalarsTable,AD$5/100,MONTH($A118)))*$B118</f>
        <v>-48803.724201418627</v>
      </c>
      <c r="AE118" s="1021">
        <f>(VLOOKUP(YEAR($A118),'NY East Load Projections'!$A$4:$EO$14,((MONTH($A118)-1)*12)+VLOOKUP(AE$4,$DE$6:$DF$17,2)+1))*(VLOOKUP($A118,CURVES!$D$9:$K$261,7))*(INDEX(DailyScalarsTable,AE$5/100,MONTH($A118)))*$B118</f>
        <v>-39870.690018791123</v>
      </c>
      <c r="AF118" s="1021"/>
      <c r="AG118" s="1021">
        <f>(VLOOKUP(YEAR($A118),'NY East Load Projections'!$A$4:$EO$14,((MONTH($A118)-1)*12)+VLOOKUP(AG$4,$DE$6:$DF$17,2)+1))*(VLOOKUP($A118,CURVES!$D$9:$T$261,7))*(INDEX(DailyScalarsTable,AG$5/100,MONTH($A118)))*$C118</f>
        <v>-8255.3669514165831</v>
      </c>
      <c r="AH118" s="1021">
        <f>(VLOOKUP(YEAR($A118),'NY East Load Projections'!$A$4:$EO$14,((MONTH($A118)-1)*12)+VLOOKUP(AH$4,$DE$6:$DF$17,2)+1))*(VLOOKUP($A118,CURVES!$D$9:$T$261,7))*(INDEX(DailyScalarsTable,AH$5/100,MONTH($A118)))*$C118</f>
        <v>-7436.115518590258</v>
      </c>
      <c r="AI118" s="1021">
        <f>(VLOOKUP(YEAR($A118),'NY East Load Projections'!$A$4:$EO$14,((MONTH($A118)-1)*12)+VLOOKUP(AI$4,$DE$6:$DF$17,2)+1))*(VLOOKUP($A118,CURVES!$D$9:$T$261,7))*(INDEX(DailyScalarsTable,AI$5/100,MONTH($A118)))*$C118</f>
        <v>-7037.3264613414676</v>
      </c>
      <c r="AJ118" s="1021">
        <f>(VLOOKUP(YEAR($A118),'NY East Load Projections'!$A$4:$EO$14,((MONTH($A118)-1)*12)+VLOOKUP(AJ$4,$DE$6:$DF$17,2)+1))*(VLOOKUP($A118,CURVES!$D$9:$T$261,7))*(INDEX(DailyScalarsTable,AJ$5/100,MONTH($A118)))*$C118</f>
        <v>-6822.760609886951</v>
      </c>
      <c r="AK118" s="1021">
        <f>(VLOOKUP(YEAR($A118),'NY East Load Projections'!$A$4:$EO$14,((MONTH($A118)-1)*12)+VLOOKUP(AK$4,$DE$6:$DF$17,2)+1))*(VLOOKUP($A118,CURVES!$D$9:$T$261,7))*(INDEX(DailyScalarsTable,AK$5/100,MONTH($A118)))*$C118</f>
        <v>-7505.2418170748579</v>
      </c>
      <c r="AL118" s="1021">
        <f>(VLOOKUP(YEAR($A118),'NY East Load Projections'!$A$4:$EO$14,((MONTH($A118)-1)*12)+VLOOKUP(AL$4,$DE$6:$DF$17,2)+1))*(VLOOKUP($A118,CURVES!$D$9:$T$261,7))*(INDEX(DailyScalarsTable,AL$5/100,MONTH($A118)))*$C118</f>
        <v>-9099.6652547398189</v>
      </c>
      <c r="AM118" s="1021">
        <f>(VLOOKUP(YEAR($A118),'NY East Load Projections'!$A$4:$EO$14,((MONTH($A118)-1)*12)+VLOOKUP(AM$4,$DE$6:$DF$17,2)+1))*(VLOOKUP($A118,CURVES!$D$9:$T$261,7))*(INDEX(DailyScalarsTable,AM$5/100,MONTH($A118)))*$C118</f>
        <v>-10887.886016319866</v>
      </c>
      <c r="AN118" s="1021">
        <f>(VLOOKUP(YEAR($A118),'NY East Load Projections'!$A$4:$EO$14,((MONTH($A118)-1)*12)+VLOOKUP(AN$4,$DE$6:$DF$17,2)+1))*(VLOOKUP($A118,SatSunCurve,3))*(INDEX(DailyScalarsTable,AN$5/100,MONTH($A118)))*$C118</f>
        <v>-9252.2878218294463</v>
      </c>
      <c r="AO118" s="1021">
        <f>(VLOOKUP(YEAR($A118),'NY East Load Projections'!$A$4:$EO$14,((MONTH($A118)-1)*12)+VLOOKUP(AO$4,$DE$6:$DF$17,2)+1))*(VLOOKUP($A118,SatSunCurve,3))*(INDEX(DailyScalarsTable,AO$5/100,MONTH($A118)))*$C118</f>
        <v>-10718.580100260742</v>
      </c>
      <c r="AP118" s="1021">
        <f>(VLOOKUP(YEAR($A118),'NY East Load Projections'!$A$4:$EO$14,((MONTH($A118)-1)*12)+VLOOKUP(AP$4,$DE$6:$DF$17,2)+1))*(VLOOKUP($A118,SatSunCurve,3))*(INDEX(DailyScalarsTable,AP$5/100,MONTH($A118)))*$C118</f>
        <v>-10908.691472310575</v>
      </c>
      <c r="AQ118" s="1021">
        <f>(VLOOKUP(YEAR($A118),'NY East Load Projections'!$A$4:$EO$14,((MONTH($A118)-1)*12)+VLOOKUP(AQ$4,$DE$6:$DF$17,2)+1))*(VLOOKUP($A118,SatSunCurve,3))*(INDEX(DailyScalarsTable,AQ$5/100,MONTH($A118)))*$C118</f>
        <v>-11571.557672201132</v>
      </c>
      <c r="AR118" s="1021">
        <f>(VLOOKUP(YEAR($A118),'NY East Load Projections'!$A$4:$EO$14,((MONTH($A118)-1)*12)+VLOOKUP(AR$4,$DE$6:$DF$17,2)+1))*(VLOOKUP($A118,SatSunCurve,3))*(INDEX(DailyScalarsTable,AR$5/100,MONTH($A118)))*$C118</f>
        <v>-11484.072793027755</v>
      </c>
      <c r="AS118" s="1021">
        <f>(VLOOKUP(YEAR($A118),'NY East Load Projections'!$A$4:$EO$14,((MONTH($A118)-1)*12)+VLOOKUP(AS$4,$DE$6:$DF$17,2)+1))*(VLOOKUP($A118,SatSunCurve,3))*(INDEX(DailyScalarsTable,AS$5/100,MONTH($A118)))*$C118</f>
        <v>-10886.989680070183</v>
      </c>
      <c r="AT118" s="1021">
        <f>(VLOOKUP(YEAR($A118),'NY East Load Projections'!$A$4:$EO$14,((MONTH($A118)-1)*12)+VLOOKUP(AT$4,$DE$6:$DF$17,2)+1))*(VLOOKUP($A118,SatSunCurve,3))*(INDEX(DailyScalarsTable,AT$5/100,MONTH($A118)))*$C118</f>
        <v>-10939.461178839181</v>
      </c>
      <c r="AU118" s="1021">
        <f>(VLOOKUP(YEAR($A118),'NY East Load Projections'!$A$4:$EO$14,((MONTH($A118)-1)*12)+VLOOKUP(AU$4,$DE$6:$DF$17,2)+1))*(VLOOKUP($A118,SatSunCurve,3))*(INDEX(DailyScalarsTable,AU$5/100,MONTH($A118)))*$C118</f>
        <v>-10611.091154284824</v>
      </c>
      <c r="AV118" s="1021">
        <f>(VLOOKUP(YEAR($A118),'NY East Load Projections'!$A$4:$EO$14,((MONTH($A118)-1)*12)+VLOOKUP(AV$4,$DE$6:$DF$17,2)+1))*(VLOOKUP($A118,SatSunCurve,3))*(INDEX(DailyScalarsTable,AV$5/100,MONTH($A118)))*$C118</f>
        <v>-10198.089680103056</v>
      </c>
      <c r="AW118" s="1021">
        <f>(VLOOKUP(YEAR($A118),'NY East Load Projections'!$A$4:$EO$14,((MONTH($A118)-1)*12)+VLOOKUP(AW$4,$DE$6:$DF$17,2)+1))*(VLOOKUP($A118,SatSunCurve,3))*(INDEX(DailyScalarsTable,AW$5/100,MONTH($A118)))*$C118</f>
        <v>-10070.665421426884</v>
      </c>
      <c r="AX118" s="1021">
        <f>(VLOOKUP(YEAR($A118),'NY East Load Projections'!$A$4:$EO$14,((MONTH($A118)-1)*12)+VLOOKUP(AX$4,$DE$6:$DF$17,2)+1))*(VLOOKUP($A118,SatSunCurve,3))*(INDEX(DailyScalarsTable,AX$5/100,MONTH($A118)))*$C118</f>
        <v>-9678.1947532920203</v>
      </c>
      <c r="AY118" s="1021">
        <f>(VLOOKUP(YEAR($A118),'NY East Load Projections'!$A$4:$EO$14,((MONTH($A118)-1)*12)+VLOOKUP(AY$4,$DE$6:$DF$17,2)+1))*(VLOOKUP($A118,SatSunCurve,3))*(INDEX(DailyScalarsTable,AY$5/100,MONTH($A118)))*$C118</f>
        <v>-8385.3501994360067</v>
      </c>
      <c r="AZ118" s="1021">
        <f>(VLOOKUP(YEAR($A118),'NY East Load Projections'!$A$4:$EO$14,((MONTH($A118)-1)*12)+VLOOKUP(AZ$4,$DE$6:$DF$17,2)+1))*(VLOOKUP($A118,SatSunCurve,3))*(INDEX(DailyScalarsTable,AZ$5/100,MONTH($A118)))*$C118</f>
        <v>-8363.9127259664583</v>
      </c>
      <c r="BA118" s="1021">
        <f>(VLOOKUP(YEAR($A118),'NY East Load Projections'!$A$4:$EO$14,((MONTH($A118)-1)*12)+VLOOKUP(BA$4,$DE$6:$DF$17,2)+1))*(VLOOKUP($A118,SatSunCurve,3))*(INDEX(DailyScalarsTable,BA$5/100,MONTH($A118)))*$C118</f>
        <v>-10611.275978258274</v>
      </c>
      <c r="BB118" s="1021">
        <f>(VLOOKUP(YEAR($A118),'NY East Load Projections'!$A$4:$EO$14,((MONTH($A118)-1)*12)+VLOOKUP(BB$4,$DE$6:$DF$17,2)+1))*(VLOOKUP($A118,SatSunCurve,3))*(INDEX(DailyScalarsTable,BB$5/100,MONTH($A118)))*$C118</f>
        <v>-10121.180939093945</v>
      </c>
      <c r="BC118" s="1021">
        <f>(VLOOKUP(YEAR($A118),'NY East Load Projections'!$A$4:$EO$14,((MONTH($A118)-1)*12)+VLOOKUP(BC$4,$DE$6:$DF$17,2)+1))*(VLOOKUP($A118,SatSunCurve,3))*(INDEX(DailyScalarsTable,BC$5/100,MONTH($A118)))*$C118</f>
        <v>-8119.2943621816721</v>
      </c>
      <c r="BD118" s="1021">
        <f>(VLOOKUP(YEAR($A118),'NY East Load Projections'!$A$4:$EO$14,((MONTH($A118)-1)*12)+VLOOKUP(BD$4,$DE$6:$DF$17,2)+1))*(VLOOKUP($A118,CURVES!$D$9:$T$261,7))*(INDEX(DailyScalarsTable,BD$5/100,MONTH($A118)))*$C118</f>
        <v>-9978.8669510665786</v>
      </c>
      <c r="BE118" s="1021"/>
      <c r="BF118" s="1021">
        <f>(VLOOKUP(YEAR($A118),'NY East Load Projections'!$A$4:$EO$14,((MONTH($A118)-1)*12)+VLOOKUP(BF$4,$DE$6:$DF$17,2)+1))*(VLOOKUP($A118,CURVES!$D$9:$T$261,7))*(INDEX(DailyScalarsTable,BF$5/100,MONTH($A118)))*$D118</f>
        <v>-8255.3669514165831</v>
      </c>
      <c r="BG118" s="1021">
        <f>(VLOOKUP(YEAR($A118),'NY East Load Projections'!$A$4:$EO$14,((MONTH($A118)-1)*12)+VLOOKUP(BG$4,$DE$6:$DF$17,2)+1))*(VLOOKUP($A118,CURVES!$D$9:$T$261,7))*(INDEX(DailyScalarsTable,BG$5/100,MONTH($A118)))*$D118</f>
        <v>-7436.115518590258</v>
      </c>
      <c r="BH118" s="1021">
        <f>(VLOOKUP(YEAR($A118),'NY East Load Projections'!$A$4:$EO$14,((MONTH($A118)-1)*12)+VLOOKUP(BH$4,$DE$6:$DF$17,2)+1))*(VLOOKUP($A118,CURVES!$D$9:$T$261,7))*(INDEX(DailyScalarsTable,BH$5/100,MONTH($A118)))*$D118</f>
        <v>-7037.3264613414676</v>
      </c>
      <c r="BI118" s="1021">
        <f>(VLOOKUP(YEAR($A118),'NY East Load Projections'!$A$4:$EO$14,((MONTH($A118)-1)*12)+VLOOKUP(BI$4,$DE$6:$DF$17,2)+1))*(VLOOKUP($A118,CURVES!$D$9:$T$261,7))*(INDEX(DailyScalarsTable,BI$5/100,MONTH($A118)))*$D118</f>
        <v>-6822.760609886951</v>
      </c>
      <c r="BJ118" s="1021">
        <f>(VLOOKUP(YEAR($A118),'NY East Load Projections'!$A$4:$EO$14,((MONTH($A118)-1)*12)+VLOOKUP(BJ$4,$DE$6:$DF$17,2)+1))*(VLOOKUP($A118,CURVES!$D$9:$T$261,7))*(INDEX(DailyScalarsTable,BJ$5/100,MONTH($A118)))*$D118</f>
        <v>-7505.2418170748579</v>
      </c>
      <c r="BK118" s="1021">
        <f>(VLOOKUP(YEAR($A118),'NY East Load Projections'!$A$4:$EO$14,((MONTH($A118)-1)*12)+VLOOKUP(BK$4,$DE$6:$DF$17,2)+1))*(VLOOKUP($A118,CURVES!$D$9:$T$261,7))*(INDEX(DailyScalarsTable,BK$5/100,MONTH($A118)))*$D118</f>
        <v>-9099.6652547398189</v>
      </c>
      <c r="BL118" s="1021">
        <f>(VLOOKUP(YEAR($A118),'NY East Load Projections'!$A$4:$EO$14,((MONTH($A118)-1)*12)+VLOOKUP(BL$4,$DE$6:$DF$17,2)+1))*(VLOOKUP($A118,CURVES!$D$9:$T$261,7))*(INDEX(DailyScalarsTable,BL$5/100,MONTH($A118)))*$D118</f>
        <v>-10887.886016319866</v>
      </c>
      <c r="BM118" s="1021">
        <f>(VLOOKUP(YEAR($A118),'NY East Load Projections'!$A$4:$EO$14,((MONTH($A118)-1)*12)+VLOOKUP(BM$4,$DE$6:$DF$17,2)+1))*(VLOOKUP($A118,SatSunCurve,7))*(INDEX(DailyScalarsTable,BM$5/100,MONTH($A118)))*$D118</f>
        <v>-8903.8079571849521</v>
      </c>
      <c r="BN118" s="1021">
        <f>(VLOOKUP(YEAR($A118),'NY East Load Projections'!$A$4:$EO$14,((MONTH($A118)-1)*12)+VLOOKUP(BN$4,$DE$6:$DF$17,2)+1))*(VLOOKUP($A118,SatSunCurve,7))*(INDEX(DailyScalarsTable,BN$5/100,MONTH($A118)))*$D118</f>
        <v>-10314.873534441707</v>
      </c>
      <c r="BO118" s="1021">
        <f>(VLOOKUP(YEAR($A118),'NY East Load Projections'!$A$4:$EO$14,((MONTH($A118)-1)*12)+VLOOKUP(BO$4,$DE$6:$DF$17,2)+1))*(VLOOKUP($A118,SatSunCurve,7))*(INDEX(DailyScalarsTable,BO$5/100,MONTH($A118)))*$D118</f>
        <v>-10497.824516923571</v>
      </c>
      <c r="BP118" s="1021">
        <f>(VLOOKUP(YEAR($A118),'NY East Load Projections'!$A$4:$EO$14,((MONTH($A118)-1)*12)+VLOOKUP(BP$4,$DE$6:$DF$17,2)+1))*(VLOOKUP($A118,SatSunCurve,7))*(INDEX(DailyScalarsTable,BP$5/100,MONTH($A118)))*$D118</f>
        <v>-11135.724402745269</v>
      </c>
      <c r="BQ118" s="1021">
        <f>(VLOOKUP(YEAR($A118),'NY East Load Projections'!$A$4:$EO$14,((MONTH($A118)-1)*12)+VLOOKUP(BQ$4,$DE$6:$DF$17,2)+1))*(VLOOKUP($A118,SatSunCurve,7))*(INDEX(DailyScalarsTable,BQ$5/100,MONTH($A118)))*$D118</f>
        <v>-11051.534570098745</v>
      </c>
      <c r="BR118" s="1021">
        <f>(VLOOKUP(YEAR($A118),'NY East Load Projections'!$A$4:$EO$14,((MONTH($A118)-1)*12)+VLOOKUP(BR$4,$DE$6:$DF$17,2)+1))*(VLOOKUP($A118,SatSunCurve,7))*(INDEX(DailyScalarsTable,BR$5/100,MONTH($A118)))*$D118</f>
        <v>-10476.940104964477</v>
      </c>
      <c r="BS118" s="1021">
        <f>(VLOOKUP(YEAR($A118),'NY East Load Projections'!$A$4:$EO$14,((MONTH($A118)-1)*12)+VLOOKUP(BS$4,$DE$6:$DF$17,2)+1))*(VLOOKUP($A118,SatSunCurve,7))*(INDEX(DailyScalarsTable,BS$5/100,MONTH($A118)))*$D118</f>
        <v>-10527.435307584799</v>
      </c>
      <c r="BT118" s="1021">
        <f>(VLOOKUP(YEAR($A118),'NY East Load Projections'!$A$4:$EO$14,((MONTH($A118)-1)*12)+VLOOKUP(BT$4,$DE$6:$DF$17,2)+1))*(VLOOKUP($A118,SatSunCurve,7))*(INDEX(DailyScalarsTable,BT$5/100,MONTH($A118)))*$D118</f>
        <v>-10211.433071831827</v>
      </c>
      <c r="BU118" s="1021">
        <f>(VLOOKUP(YEAR($A118),'NY East Load Projections'!$A$4:$EO$14,((MONTH($A118)-1)*12)+VLOOKUP(BU$4,$DE$6:$DF$17,2)+1))*(VLOOKUP($A118,SatSunCurve,7))*(INDEX(DailyScalarsTable,BU$5/100,MONTH($A118)))*$D118</f>
        <v>-9813.9869608847912</v>
      </c>
      <c r="BV118" s="1021">
        <f>(VLOOKUP(YEAR($A118),'NY East Load Projections'!$A$4:$EO$14,((MONTH($A118)-1)*12)+VLOOKUP(BV$4,$DE$6:$DF$17,2)+1))*(VLOOKUP($A118,SatSunCurve,7))*(INDEX(DailyScalarsTable,BV$5/100,MONTH($A118)))*$D118</f>
        <v>-9691.3620328467259</v>
      </c>
      <c r="BW118" s="1021">
        <f>(VLOOKUP(YEAR($A118),'NY East Load Projections'!$A$4:$EO$14,((MONTH($A118)-1)*12)+VLOOKUP(BW$4,$DE$6:$DF$17,2)+1))*(VLOOKUP($A118,SatSunCurve,7))*(INDEX(DailyScalarsTable,BW$5/100,MONTH($A118)))*$D118</f>
        <v>-9313.6734519039492</v>
      </c>
      <c r="BX118" s="1021">
        <f>(VLOOKUP(YEAR($A118),'NY East Load Projections'!$A$4:$EO$14,((MONTH($A118)-1)*12)+VLOOKUP(BX$4,$DE$6:$DF$17,2)+1))*(VLOOKUP($A118,SatSunCurve,7))*(INDEX(DailyScalarsTable,BX$5/100,MONTH($A118)))*$D118</f>
        <v>-8069.5228323277552</v>
      </c>
      <c r="BY118" s="1021">
        <f>(VLOOKUP(YEAR($A118),'NY East Load Projections'!$A$4:$EO$14,((MONTH($A118)-1)*12)+VLOOKUP(BY$4,$DE$6:$DF$17,2)+1))*(VLOOKUP($A118,SatSunCurve,7))*(INDEX(DailyScalarsTable,BY$5/100,MONTH($A118)))*$D118</f>
        <v>-8048.8927837888659</v>
      </c>
      <c r="BZ118" s="1021">
        <f>(VLOOKUP(YEAR($A118),'NY East Load Projections'!$A$4:$EO$14,((MONTH($A118)-1)*12)+VLOOKUP(BZ$4,$DE$6:$DF$17,2)+1))*(VLOOKUP($A118,SatSunCurve,7))*(INDEX(DailyScalarsTable,BZ$5/100,MONTH($A118)))*$D118</f>
        <v>-10211.61093456126</v>
      </c>
      <c r="CA118" s="1021">
        <f>(VLOOKUP(YEAR($A118),'NY East Load Projections'!$A$4:$EO$14,((MONTH($A118)-1)*12)+VLOOKUP(CA$4,$DE$6:$DF$17,2)+1))*(VLOOKUP($A118,SatSunCurve,7))*(INDEX(DailyScalarsTable,CA$5/100,MONTH($A118)))*$D118</f>
        <v>-9739.9749247959044</v>
      </c>
      <c r="CB118" s="1021">
        <f>(VLOOKUP(YEAR($A118),'NY East Load Projections'!$A$4:$EO$14,((MONTH($A118)-1)*12)+VLOOKUP(CB$4,$DE$6:$DF$17,2)+1))*(VLOOKUP($A118,SatSunCurve,7))*(INDEX(DailyScalarsTable,CB$5/100,MONTH($A118)))*$D118</f>
        <v>-7813.4877709009415</v>
      </c>
      <c r="CC118" s="1021">
        <f>(VLOOKUP(YEAR($A118),'NY East Load Projections'!$A$4:$EO$14,((MONTH($A118)-1)*12)+VLOOKUP(CC$4,$DE$6:$DF$17,2)+1))*(VLOOKUP($A118,CURVES!$D$9:$T$261,7))*(INDEX(DailyScalarsTable,CC$5/100,MONTH($A118)))*$D118</f>
        <v>-9978.8669510665786</v>
      </c>
      <c r="CE118" s="1021">
        <f>(VLOOKUP(YEAR($A118),'NY East Load Projections'!$A$4:$EO$14,((MONTH($A118)-1)*12)+VLOOKUP(CE$4,$DE$6:$DF$17,2)+1))*(VLOOKUP($A118,CURVES!$D$9:$T$261,7))*(INDEX(DailyScalarsTable,CE$5/100,MONTH($A118)))*$E118</f>
        <v>-1651.0733902833167</v>
      </c>
      <c r="CF118" s="1021">
        <f>(VLOOKUP(YEAR($A118),'NY East Load Projections'!$A$4:$EO$14,((MONTH($A118)-1)*12)+VLOOKUP(CF$4,$DE$6:$DF$17,2)+1))*(VLOOKUP($A118,CURVES!$D$9:$T$261,7))*(INDEX(DailyScalarsTable,CF$5/100,MONTH($A118)))*$E118</f>
        <v>-1487.2231037180516</v>
      </c>
      <c r="CG118" s="1021">
        <f>(VLOOKUP(YEAR($A118),'NY East Load Projections'!$A$4:$EO$14,((MONTH($A118)-1)*12)+VLOOKUP(CG$4,$DE$6:$DF$17,2)+1))*(VLOOKUP($A118,CURVES!$D$9:$T$261,7))*(INDEX(DailyScalarsTable,CG$5/100,MONTH($A118)))*$E118</f>
        <v>-1407.4652922682935</v>
      </c>
      <c r="CH118" s="1021">
        <f>(VLOOKUP(YEAR($A118),'NY East Load Projections'!$A$4:$EO$14,((MONTH($A118)-1)*12)+VLOOKUP(CH$4,$DE$6:$DF$17,2)+1))*(VLOOKUP($A118,CURVES!$D$9:$T$261,7))*(INDEX(DailyScalarsTable,CH$5/100,MONTH($A118)))*$E118</f>
        <v>-1364.5521219773902</v>
      </c>
      <c r="CI118" s="1021">
        <f>(VLOOKUP(YEAR($A118),'NY East Load Projections'!$A$4:$EO$14,((MONTH($A118)-1)*12)+VLOOKUP(CI$4,$DE$6:$DF$17,2)+1))*(VLOOKUP($A118,CURVES!$D$9:$T$261,7))*(INDEX(DailyScalarsTable,CI$5/100,MONTH($A118)))*$E118</f>
        <v>-1501.0483634149716</v>
      </c>
      <c r="CJ118" s="1021">
        <f>(VLOOKUP(YEAR($A118),'NY East Load Projections'!$A$4:$EO$14,((MONTH($A118)-1)*12)+VLOOKUP(CJ$4,$DE$6:$DF$17,2)+1))*(VLOOKUP($A118,CURVES!$D$9:$T$261,7))*(INDEX(DailyScalarsTable,CJ$5/100,MONTH($A118)))*$E118</f>
        <v>-1819.9330509479639</v>
      </c>
      <c r="CK118" s="1021">
        <f>(VLOOKUP(YEAR($A118),'NY East Load Projections'!$A$4:$EO$14,((MONTH($A118)-1)*12)+VLOOKUP(CK$4,$DE$6:$DF$17,2)+1))*(VLOOKUP($A118,CURVES!$D$9:$T$261,7))*(INDEX(DailyScalarsTable,CK$5/100,MONTH($A118)))*$E118</f>
        <v>-2177.5772032639734</v>
      </c>
      <c r="CL118" s="1021">
        <f>(VLOOKUP(YEAR($A118),'NY East Load Projections'!$A$4:$EO$14,((MONTH($A118)-1)*12)+VLOOKUP(CL$4,$DE$6:$DF$17,2)+1))*(VLOOKUP($A118,SatSunCurve,7))*(INDEX(DailyScalarsTable,CL$5/100,MONTH($A118)))*$E118</f>
        <v>-1780.7615914369906</v>
      </c>
      <c r="CM118" s="1021">
        <f>(VLOOKUP(YEAR($A118),'NY East Load Projections'!$A$4:$EO$14,((MONTH($A118)-1)*12)+VLOOKUP(CM$4,$DE$6:$DF$17,2)+1))*(VLOOKUP($A118,SatSunCurve,7))*(INDEX(DailyScalarsTable,CM$5/100,MONTH($A118)))*$E118</f>
        <v>-2062.9747068883416</v>
      </c>
      <c r="CN118" s="1021">
        <f>(VLOOKUP(YEAR($A118),'NY East Load Projections'!$A$4:$EO$14,((MONTH($A118)-1)*12)+VLOOKUP(CN$4,$DE$6:$DF$17,2)+1))*(VLOOKUP($A118,SatSunCurve,7))*(INDEX(DailyScalarsTable,CN$5/100,MONTH($A118)))*$E118</f>
        <v>-2099.5649033847139</v>
      </c>
      <c r="CO118" s="1021">
        <f>(VLOOKUP(YEAR($A118),'NY East Load Projections'!$A$4:$EO$14,((MONTH($A118)-1)*12)+VLOOKUP(CO$4,$DE$6:$DF$17,2)+1))*(VLOOKUP($A118,SatSunCurve,7))*(INDEX(DailyScalarsTable,CO$5/100,MONTH($A118)))*$E118</f>
        <v>-2227.1448805490536</v>
      </c>
      <c r="CP118" s="1021">
        <f>(VLOOKUP(YEAR($A118),'NY East Load Projections'!$A$4:$EO$14,((MONTH($A118)-1)*12)+VLOOKUP(CP$4,$DE$6:$DF$17,2)+1))*(VLOOKUP($A118,SatSunCurve,7))*(INDEX(DailyScalarsTable,CP$5/100,MONTH($A118)))*$E118</f>
        <v>-2210.306914019749</v>
      </c>
      <c r="CQ118" s="1021">
        <f>(VLOOKUP(YEAR($A118),'NY East Load Projections'!$A$4:$EO$14,((MONTH($A118)-1)*12)+VLOOKUP(CQ$4,$DE$6:$DF$17,2)+1))*(VLOOKUP($A118,SatSunCurve,7))*(INDEX(DailyScalarsTable,CQ$5/100,MONTH($A118)))*$E118</f>
        <v>-2095.3880209928952</v>
      </c>
      <c r="CR118" s="1021">
        <f>(VLOOKUP(YEAR($A118),'NY East Load Projections'!$A$4:$EO$14,((MONTH($A118)-1)*12)+VLOOKUP(CR$4,$DE$6:$DF$17,2)+1))*(VLOOKUP($A118,SatSunCurve,7))*(INDEX(DailyScalarsTable,CR$5/100,MONTH($A118)))*$E118</f>
        <v>-2105.4870615169598</v>
      </c>
      <c r="CS118" s="1021">
        <f>(VLOOKUP(YEAR($A118),'NY East Load Projections'!$A$4:$EO$14,((MONTH($A118)-1)*12)+VLOOKUP(CS$4,$DE$6:$DF$17,2)+1))*(VLOOKUP($A118,SatSunCurve,7))*(INDEX(DailyScalarsTable,CS$5/100,MONTH($A118)))*$E118</f>
        <v>-2042.2866143663655</v>
      </c>
      <c r="CT118" s="1021">
        <f>(VLOOKUP(YEAR($A118),'NY East Load Projections'!$A$4:$EO$14,((MONTH($A118)-1)*12)+VLOOKUP(CT$4,$DE$6:$DF$17,2)+1))*(VLOOKUP($A118,SatSunCurve,7))*(INDEX(DailyScalarsTable,CT$5/100,MONTH($A118)))*$E118</f>
        <v>-1962.7973921769581</v>
      </c>
      <c r="CU118" s="1021">
        <f>(VLOOKUP(YEAR($A118),'NY East Load Projections'!$A$4:$EO$14,((MONTH($A118)-1)*12)+VLOOKUP(CU$4,$DE$6:$DF$17,2)+1))*(VLOOKUP($A118,SatSunCurve,7))*(INDEX(DailyScalarsTable,CU$5/100,MONTH($A118)))*$E118</f>
        <v>-1938.2724065693453</v>
      </c>
      <c r="CV118" s="1021">
        <f>(VLOOKUP(YEAR($A118),'NY East Load Projections'!$A$4:$EO$14,((MONTH($A118)-1)*12)+VLOOKUP(CV$4,$DE$6:$DF$17,2)+1))*(VLOOKUP($A118,SatSunCurve,7))*(INDEX(DailyScalarsTable,CV$5/100,MONTH($A118)))*$E118</f>
        <v>-1862.73469038079</v>
      </c>
      <c r="CW118" s="1021">
        <f>(VLOOKUP(YEAR($A118),'NY East Load Projections'!$A$4:$EO$14,((MONTH($A118)-1)*12)+VLOOKUP(CW$4,$DE$6:$DF$17,2)+1))*(VLOOKUP($A118,SatSunCurve,7))*(INDEX(DailyScalarsTable,CW$5/100,MONTH($A118)))*$E118</f>
        <v>-1613.9045664655509</v>
      </c>
      <c r="CX118" s="1021">
        <f>(VLOOKUP(YEAR($A118),'NY East Load Projections'!$A$4:$EO$14,((MONTH($A118)-1)*12)+VLOOKUP(CX$4,$DE$6:$DF$17,2)+1))*(VLOOKUP($A118,SatSunCurve,7))*(INDEX(DailyScalarsTable,CX$5/100,MONTH($A118)))*$E118</f>
        <v>-1609.7785567577732</v>
      </c>
      <c r="CY118" s="1021">
        <f>(VLOOKUP(YEAR($A118),'NY East Load Projections'!$A$4:$EO$14,((MONTH($A118)-1)*12)+VLOOKUP(CY$4,$DE$6:$DF$17,2)+1))*(VLOOKUP($A118,SatSunCurve,7))*(INDEX(DailyScalarsTable,CY$5/100,MONTH($A118)))*$E118</f>
        <v>-2042.3221869122519</v>
      </c>
      <c r="CZ118" s="1021">
        <f>(VLOOKUP(YEAR($A118),'NY East Load Projections'!$A$4:$EO$14,((MONTH($A118)-1)*12)+VLOOKUP(CZ$4,$DE$6:$DF$17,2)+1))*(VLOOKUP($A118,SatSunCurve,7))*(INDEX(DailyScalarsTable,CZ$5/100,MONTH($A118)))*$E118</f>
        <v>-1947.994984959181</v>
      </c>
      <c r="DA118" s="1021">
        <f>(VLOOKUP(YEAR($A118),'NY East Load Projections'!$A$4:$EO$14,((MONTH($A118)-1)*12)+VLOOKUP(DA$4,$DE$6:$DF$17,2)+1))*(VLOOKUP($A118,SatSunCurve,7))*(INDEX(DailyScalarsTable,DA$5/100,MONTH($A118)))*$E118</f>
        <v>-1562.6975541801883</v>
      </c>
      <c r="DB118" s="1021">
        <f>(VLOOKUP(YEAR($A118),'NY East Load Projections'!$A$4:$EO$14,((MONTH($A118)-1)*12)+VLOOKUP(DB$4,$DE$6:$DF$17,2)+1))*(VLOOKUP($A118,CURVES!$D$9:$T$261,7))*(INDEX(DailyScalarsTable,DB$5/100,MONTH($A118)))*$E118</f>
        <v>-1995.7733902133159</v>
      </c>
      <c r="DH118" s="1032">
        <f t="shared" si="2"/>
        <v>-1761472.2460943942</v>
      </c>
      <c r="DI118">
        <f ca="1">CALC!J138</f>
        <v>0.47215406433957591</v>
      </c>
      <c r="DJ118" s="1029">
        <f t="shared" ca="1" si="3"/>
        <v>-831686.28021482995</v>
      </c>
    </row>
    <row r="119" spans="1:114" x14ac:dyDescent="0.25">
      <c r="A119" s="244">
        <v>40330</v>
      </c>
      <c r="B119" s="13">
        <v>22</v>
      </c>
      <c r="C119" s="210">
        <v>4</v>
      </c>
      <c r="D119" s="210">
        <v>4</v>
      </c>
      <c r="E119" s="210">
        <v>0</v>
      </c>
      <c r="F119" s="13">
        <v>30</v>
      </c>
      <c r="H119" s="1021">
        <f>(VLOOKUP(YEAR($A119),'NY East Load Projections'!$A$4:$EO$14,((MONTH($A119)-1)*12)+VLOOKUP(H$4,$DE$6:$DF$17,2)+1))*(VLOOKUP($A119,CURVES!$D$9:$K$261,7))*(INDEX(DailyScalarsTable,H$5/100,MONTH($A119)))*$B119</f>
        <v>-43987.296399953491</v>
      </c>
      <c r="I119" s="1021">
        <f>(VLOOKUP(YEAR($A119),'NY East Load Projections'!$A$4:$EO$14,((MONTH($A119)-1)*12)+VLOOKUP(I$4,$DE$6:$DF$17,2)+1))*(VLOOKUP($A119,CURVES!$D$9:$K$261,7))*(INDEX(DailyScalarsTable,I$5/100,MONTH($A119)))*$B119</f>
        <v>-36444.043625966071</v>
      </c>
      <c r="J119" s="1021">
        <f>(VLOOKUP(YEAR($A119),'NY East Load Projections'!$A$4:$EO$14,((MONTH($A119)-1)*12)+VLOOKUP(J$4,$DE$6:$DF$17,2)+1))*(VLOOKUP($A119,CURVES!$D$9:$K$261,7))*(INDEX(DailyScalarsTable,J$5/100,MONTH($A119)))*$B119</f>
        <v>-30634.613131372775</v>
      </c>
      <c r="K119" s="1021">
        <f>(VLOOKUP(YEAR($A119),'NY East Load Projections'!$A$4:$EO$14,((MONTH($A119)-1)*12)+VLOOKUP(K$4,$DE$6:$DF$17,2)+1))*(VLOOKUP($A119,CURVES!$D$9:$K$261,7))*(INDEX(DailyScalarsTable,K$5/100,MONTH($A119)))*$B119</f>
        <v>-28439.188816555543</v>
      </c>
      <c r="L119" s="1021">
        <f>(VLOOKUP(YEAR($A119),'NY East Load Projections'!$A$4:$EO$14,((MONTH($A119)-1)*12)+VLOOKUP(L$4,$DE$6:$DF$17,2)+1))*(VLOOKUP($A119,CURVES!$D$9:$K$261,7))*(INDEX(DailyScalarsTable,L$5/100,MONTH($A119)))*$B119</f>
        <v>-32858.725674224937</v>
      </c>
      <c r="M119" s="1021">
        <f>(VLOOKUP(YEAR($A119),'NY East Load Projections'!$A$4:$EO$14,((MONTH($A119)-1)*12)+VLOOKUP(M$4,$DE$6:$DF$17,2)+1))*(VLOOKUP($A119,CURVES!$D$9:$K$261,7))*(INDEX(DailyScalarsTable,M$5/100,MONTH($A119)))*$B119</f>
        <v>-40090.043769683922</v>
      </c>
      <c r="N119" s="1021">
        <f>(VLOOKUP(YEAR($A119),'NY East Load Projections'!$A$4:$EO$14,((MONTH($A119)-1)*12)+VLOOKUP(N$4,$DE$6:$DF$17,2)+1))*(VLOOKUP($A119,CURVES!$D$9:$K$261,7))*(INDEX(DailyScalarsTable,N$5/100,MONTH($A119)))*$B119</f>
        <v>-45966.239236972317</v>
      </c>
      <c r="O119" s="1021">
        <f>(VLOOKUP(YEAR($A119),'NY East Load Projections'!$A$4:$EO$14,((MONTH($A119)-1)*12)+VLOOKUP(O$4,$DE$6:$DF$17,2)+1))*(VLOOKUP($A119,CURVES!$D$9:$K$261,3))*(INDEX(DailyScalarsTable,O$5/100,MONTH($A119)))*$B119</f>
        <v>-69058.118610560996</v>
      </c>
      <c r="P119" s="1021">
        <f>(VLOOKUP(YEAR($A119),'NY East Load Projections'!$A$4:$EO$14,((MONTH($A119)-1)*12)+VLOOKUP(P$4,$DE$6:$DF$17,2)+1))*(VLOOKUP($A119,CURVES!$D$9:$K$261,3))*(INDEX(DailyScalarsTable,P$5/100,MONTH($A119)))*$B119</f>
        <v>-86736.052870635016</v>
      </c>
      <c r="Q119" s="1021">
        <f>(VLOOKUP(YEAR($A119),'NY East Load Projections'!$A$4:$EO$14,((MONTH($A119)-1)*12)+VLOOKUP(Q$4,$DE$6:$DF$17,2)+1))*(VLOOKUP($A119,CURVES!$D$9:$K$261,3))*(INDEX(DailyScalarsTable,Q$5/100,MONTH($A119)))*$B119</f>
        <v>-97013.628986419237</v>
      </c>
      <c r="R119" s="1021">
        <f>(VLOOKUP(YEAR($A119),'NY East Load Projections'!$A$4:$EO$14,((MONTH($A119)-1)*12)+VLOOKUP(R$4,$DE$6:$DF$17,2)+1))*(VLOOKUP($A119,CURVES!$D$9:$K$261,3))*(INDEX(DailyScalarsTable,R$5/100,MONTH($A119)))*$B119</f>
        <v>-111593.79983706586</v>
      </c>
      <c r="S119" s="1021">
        <f>(VLOOKUP(YEAR($A119),'NY East Load Projections'!$A$4:$EO$14,((MONTH($A119)-1)*12)+VLOOKUP(S$4,$DE$6:$DF$17,2)+1))*(VLOOKUP($A119,CURVES!$D$9:$K$261,3))*(INDEX(DailyScalarsTable,S$5/100,MONTH($A119)))*$B119</f>
        <v>-120351.02445643238</v>
      </c>
      <c r="T119" s="1021">
        <f>(VLOOKUP(YEAR($A119),'NY East Load Projections'!$A$4:$EO$14,((MONTH($A119)-1)*12)+VLOOKUP(T$4,$DE$6:$DF$17,2)+1))*(VLOOKUP($A119,CURVES!$D$9:$K$261,3))*(INDEX(DailyScalarsTable,T$5/100,MONTH($A119)))*$B119</f>
        <v>-125824.69788286829</v>
      </c>
      <c r="U119" s="1021">
        <f>(VLOOKUP(YEAR($A119),'NY East Load Projections'!$A$4:$EO$14,((MONTH($A119)-1)*12)+VLOOKUP(U$4,$DE$6:$DF$17,2)+1))*(VLOOKUP($A119,CURVES!$D$9:$K$261,3))*(INDEX(DailyScalarsTable,U$5/100,MONTH($A119)))*$B119</f>
        <v>-139147.49290547689</v>
      </c>
      <c r="V119" s="1021">
        <f>(VLOOKUP(YEAR($A119),'NY East Load Projections'!$A$4:$EO$14,((MONTH($A119)-1)*12)+VLOOKUP(V$4,$DE$6:$DF$17,2)+1))*(VLOOKUP($A119,CURVES!$D$9:$K$261,3))*(INDEX(DailyScalarsTable,V$5/100,MONTH($A119)))*$B119</f>
        <v>-140218.21121957863</v>
      </c>
      <c r="W119" s="1021">
        <f>(VLOOKUP(YEAR($A119),'NY East Load Projections'!$A$4:$EO$14,((MONTH($A119)-1)*12)+VLOOKUP(W$4,$DE$6:$DF$17,2)+1))*(VLOOKUP($A119,CURVES!$D$9:$K$261,3))*(INDEX(DailyScalarsTable,W$5/100,MONTH($A119)))*$B119</f>
        <v>-140447.65085831468</v>
      </c>
      <c r="X119" s="1021">
        <f>(VLOOKUP(YEAR($A119),'NY East Load Projections'!$A$4:$EO$14,((MONTH($A119)-1)*12)+VLOOKUP(X$4,$DE$6:$DF$17,2)+1))*(VLOOKUP($A119,CURVES!$D$9:$K$261,3))*(INDEX(DailyScalarsTable,X$5/100,MONTH($A119)))*$B119</f>
        <v>-137095.28742776698</v>
      </c>
      <c r="Y119" s="1021">
        <f>(VLOOKUP(YEAR($A119),'NY East Load Projections'!$A$4:$EO$14,((MONTH($A119)-1)*12)+VLOOKUP(Y$4,$DE$6:$DF$17,2)+1))*(VLOOKUP($A119,CURVES!$D$9:$K$261,3))*(INDEX(DailyScalarsTable,Y$5/100,MONTH($A119)))*$B119</f>
        <v>-133025.47769488822</v>
      </c>
      <c r="Z119" s="1021">
        <f>(VLOOKUP(YEAR($A119),'NY East Load Projections'!$A$4:$EO$14,((MONTH($A119)-1)*12)+VLOOKUP(Z$4,$DE$6:$DF$17,2)+1))*(VLOOKUP($A119,CURVES!$D$9:$K$261,3))*(INDEX(DailyScalarsTable,Z$5/100,MONTH($A119)))*$B119</f>
        <v>-113587.36117287177</v>
      </c>
      <c r="AA119" s="1021">
        <f>(VLOOKUP(YEAR($A119),'NY East Load Projections'!$A$4:$EO$14,((MONTH($A119)-1)*12)+VLOOKUP(AA$4,$DE$6:$DF$17,2)+1))*(VLOOKUP($A119,CURVES!$D$9:$K$261,3))*(INDEX(DailyScalarsTable,AA$5/100,MONTH($A119)))*$B119</f>
        <v>-90828.750067351371</v>
      </c>
      <c r="AB119" s="1021">
        <f>(VLOOKUP(YEAR($A119),'NY East Load Projections'!$A$4:$EO$14,((MONTH($A119)-1)*12)+VLOOKUP(AB$4,$DE$6:$DF$17,2)+1))*(VLOOKUP($A119,CURVES!$D$9:$K$261,3))*(INDEX(DailyScalarsTable,AB$5/100,MONTH($A119)))*$B119</f>
        <v>-92370.825287717948</v>
      </c>
      <c r="AC119" s="1021">
        <f>(VLOOKUP(YEAR($A119),'NY East Load Projections'!$A$4:$EO$14,((MONTH($A119)-1)*12)+VLOOKUP(AC$4,$DE$6:$DF$17,2)+1))*(VLOOKUP($A119,CURVES!$D$9:$K$261,3))*(INDEX(DailyScalarsTable,AC$5/100,MONTH($A119)))*$B119</f>
        <v>-94117.043628227082</v>
      </c>
      <c r="AD119" s="1021">
        <f>(VLOOKUP(YEAR($A119),'NY East Load Projections'!$A$4:$EO$14,((MONTH($A119)-1)*12)+VLOOKUP(AD$4,$DE$6:$DF$17,2)+1))*(VLOOKUP($A119,CURVES!$D$9:$K$261,3))*(INDEX(DailyScalarsTable,AD$5/100,MONTH($A119)))*$B119</f>
        <v>-75472.381661846375</v>
      </c>
      <c r="AE119" s="1021">
        <f>(VLOOKUP(YEAR($A119),'NY East Load Projections'!$A$4:$EO$14,((MONTH($A119)-1)*12)+VLOOKUP(AE$4,$DE$6:$DF$17,2)+1))*(VLOOKUP($A119,CURVES!$D$9:$K$261,7))*(INDEX(DailyScalarsTable,AE$5/100,MONTH($A119)))*$B119</f>
        <v>-54635.810064834834</v>
      </c>
      <c r="AF119" s="1021"/>
      <c r="AG119" s="1021">
        <f>(VLOOKUP(YEAR($A119),'NY East Load Projections'!$A$4:$EO$14,((MONTH($A119)-1)*12)+VLOOKUP(AG$4,$DE$6:$DF$17,2)+1))*(VLOOKUP($A119,CURVES!$D$9:$T$261,7))*(INDEX(DailyScalarsTable,AG$5/100,MONTH($A119)))*$C119</f>
        <v>-8084.1245716211733</v>
      </c>
      <c r="AH119" s="1021">
        <f>(VLOOKUP(YEAR($A119),'NY East Load Projections'!$A$4:$EO$14,((MONTH($A119)-1)*12)+VLOOKUP(AH$4,$DE$6:$DF$17,2)+1))*(VLOOKUP($A119,CURVES!$D$9:$T$261,7))*(INDEX(DailyScalarsTable,AH$5/100,MONTH($A119)))*$C119</f>
        <v>-6697.8016990882352</v>
      </c>
      <c r="AI119" s="1021">
        <f>(VLOOKUP(YEAR($A119),'NY East Load Projections'!$A$4:$EO$14,((MONTH($A119)-1)*12)+VLOOKUP(AI$4,$DE$6:$DF$17,2)+1))*(VLOOKUP($A119,CURVES!$D$9:$T$261,7))*(INDEX(DailyScalarsTable,AI$5/100,MONTH($A119)))*$C119</f>
        <v>-5630.1261733763013</v>
      </c>
      <c r="AJ119" s="1021">
        <f>(VLOOKUP(YEAR($A119),'NY East Load Projections'!$A$4:$EO$14,((MONTH($A119)-1)*12)+VLOOKUP(AJ$4,$DE$6:$DF$17,2)+1))*(VLOOKUP($A119,CURVES!$D$9:$T$261,7))*(INDEX(DailyScalarsTable,AJ$5/100,MONTH($A119)))*$C119</f>
        <v>-5226.6441433107457</v>
      </c>
      <c r="AK119" s="1021">
        <f>(VLOOKUP(YEAR($A119),'NY East Load Projections'!$A$4:$EO$14,((MONTH($A119)-1)*12)+VLOOKUP(AK$4,$DE$6:$DF$17,2)+1))*(VLOOKUP($A119,CURVES!$D$9:$T$261,7))*(INDEX(DailyScalarsTable,AK$5/100,MONTH($A119)))*$C119</f>
        <v>-5718.5926124606549</v>
      </c>
      <c r="AL119" s="1021">
        <f>(VLOOKUP(YEAR($A119),'NY East Load Projections'!$A$4:$EO$14,((MONTH($A119)-1)*12)+VLOOKUP(AL$4,$DE$6:$DF$17,2)+1))*(VLOOKUP($A119,CURVES!$D$9:$T$261,7))*(INDEX(DailyScalarsTable,AL$5/100,MONTH($A119)))*$C119</f>
        <v>-6977.1004027211557</v>
      </c>
      <c r="AM119" s="1021">
        <f>(VLOOKUP(YEAR($A119),'NY East Load Projections'!$A$4:$EO$14,((MONTH($A119)-1)*12)+VLOOKUP(AM$4,$DE$6:$DF$17,2)+1))*(VLOOKUP($A119,CURVES!$D$9:$T$261,7))*(INDEX(DailyScalarsTable,AM$5/100,MONTH($A119)))*$C119</f>
        <v>-7999.7684246575491</v>
      </c>
      <c r="AN119" s="1021">
        <f>(VLOOKUP(YEAR($A119),'NY East Load Projections'!$A$4:$EO$14,((MONTH($A119)-1)*12)+VLOOKUP(AN$4,$DE$6:$DF$17,2)+1))*(VLOOKUP($A119,SatSunCurve,3))*(INDEX(DailyScalarsTable,AN$5/100,MONTH($A119)))*$C119</f>
        <v>-6316.0804826145104</v>
      </c>
      <c r="AO119" s="1021">
        <f>(VLOOKUP(YEAR($A119),'NY East Load Projections'!$A$4:$EO$14,((MONTH($A119)-1)*12)+VLOOKUP(AO$4,$DE$6:$DF$17,2)+1))*(VLOOKUP($A119,SatSunCurve,3))*(INDEX(DailyScalarsTable,AO$5/100,MONTH($A119)))*$C119</f>
        <v>-7861.1216817112381</v>
      </c>
      <c r="AP119" s="1021">
        <f>(VLOOKUP(YEAR($A119),'NY East Load Projections'!$A$4:$EO$14,((MONTH($A119)-1)*12)+VLOOKUP(AP$4,$DE$6:$DF$17,2)+1))*(VLOOKUP($A119,SatSunCurve,3))*(INDEX(DailyScalarsTable,AP$5/100,MONTH($A119)))*$C119</f>
        <v>-8792.606038737842</v>
      </c>
      <c r="AQ119" s="1021">
        <f>(VLOOKUP(YEAR($A119),'NY East Load Projections'!$A$4:$EO$14,((MONTH($A119)-1)*12)+VLOOKUP(AQ$4,$DE$6:$DF$17,2)+1))*(VLOOKUP($A119,SatSunCurve,3))*(INDEX(DailyScalarsTable,AQ$5/100,MONTH($A119)))*$C119</f>
        <v>-10114.046125111387</v>
      </c>
      <c r="AR119" s="1021">
        <f>(VLOOKUP(YEAR($A119),'NY East Load Projections'!$A$4:$EO$14,((MONTH($A119)-1)*12)+VLOOKUP(AR$4,$DE$6:$DF$17,2)+1))*(VLOOKUP($A119,SatSunCurve,3))*(INDEX(DailyScalarsTable,AR$5/100,MONTH($A119)))*$C119</f>
        <v>-10907.73693819915</v>
      </c>
      <c r="AS119" s="1021">
        <f>(VLOOKUP(YEAR($A119),'NY East Load Projections'!$A$4:$EO$14,((MONTH($A119)-1)*12)+VLOOKUP(AS$4,$DE$6:$DF$17,2)+1))*(VLOOKUP($A119,SatSunCurve,3))*(INDEX(DailyScalarsTable,AS$5/100,MONTH($A119)))*$C119</f>
        <v>-11379.305922690037</v>
      </c>
      <c r="AT119" s="1021">
        <f>(VLOOKUP(YEAR($A119),'NY East Load Projections'!$A$4:$EO$14,((MONTH($A119)-1)*12)+VLOOKUP(AT$4,$DE$6:$DF$17,2)+1))*(VLOOKUP($A119,SatSunCurve,3))*(INDEX(DailyScalarsTable,AT$5/100,MONTH($A119)))*$C119</f>
        <v>-12584.189883140198</v>
      </c>
      <c r="AU119" s="1021">
        <f>(VLOOKUP(YEAR($A119),'NY East Load Projections'!$A$4:$EO$14,((MONTH($A119)-1)*12)+VLOOKUP(AU$4,$DE$6:$DF$17,2)+1))*(VLOOKUP($A119,SatSunCurve,3))*(INDEX(DailyScalarsTable,AU$5/100,MONTH($A119)))*$C119</f>
        <v>-12681.023266873279</v>
      </c>
      <c r="AV119" s="1021">
        <f>(VLOOKUP(YEAR($A119),'NY East Load Projections'!$A$4:$EO$14,((MONTH($A119)-1)*12)+VLOOKUP(AV$4,$DE$6:$DF$17,2)+1))*(VLOOKUP($A119,SatSunCurve,3))*(INDEX(DailyScalarsTable,AV$5/100,MONTH($A119)))*$C119</f>
        <v>-12701.773277673221</v>
      </c>
      <c r="AW119" s="1021">
        <f>(VLOOKUP(YEAR($A119),'NY East Load Projections'!$A$4:$EO$14,((MONTH($A119)-1)*12)+VLOOKUP(AW$4,$DE$6:$DF$17,2)+1))*(VLOOKUP($A119,SatSunCurve,3))*(INDEX(DailyScalarsTable,AW$5/100,MONTH($A119)))*$C119</f>
        <v>-12556.480564972067</v>
      </c>
      <c r="AX119" s="1021">
        <f>(VLOOKUP(YEAR($A119),'NY East Load Projections'!$A$4:$EO$14,((MONTH($A119)-1)*12)+VLOOKUP(AX$4,$DE$6:$DF$17,2)+1))*(VLOOKUP($A119,SatSunCurve,3))*(INDEX(DailyScalarsTable,AX$5/100,MONTH($A119)))*$C119</f>
        <v>-12183.728971734763</v>
      </c>
      <c r="AY119" s="1021">
        <f>(VLOOKUP(YEAR($A119),'NY East Load Projections'!$A$4:$EO$14,((MONTH($A119)-1)*12)+VLOOKUP(AY$4,$DE$6:$DF$17,2)+1))*(VLOOKUP($A119,SatSunCurve,3))*(INDEX(DailyScalarsTable,AY$5/100,MONTH($A119)))*$C119</f>
        <v>-10403.402770099565</v>
      </c>
      <c r="AZ119" s="1021">
        <f>(VLOOKUP(YEAR($A119),'NY East Load Projections'!$A$4:$EO$14,((MONTH($A119)-1)*12)+VLOOKUP(AZ$4,$DE$6:$DF$17,2)+1))*(VLOOKUP($A119,SatSunCurve,3))*(INDEX(DailyScalarsTable,AZ$5/100,MONTH($A119)))*$C119</f>
        <v>-8318.9543299386278</v>
      </c>
      <c r="BA119" s="1021">
        <f>(VLOOKUP(YEAR($A119),'NY East Load Projections'!$A$4:$EO$14,((MONTH($A119)-1)*12)+VLOOKUP(BA$4,$DE$6:$DF$17,2)+1))*(VLOOKUP($A119,SatSunCurve,3))*(INDEX(DailyScalarsTable,BA$5/100,MONTH($A119)))*$C119</f>
        <v>-8780.2174149691236</v>
      </c>
      <c r="BB119" s="1021">
        <f>(VLOOKUP(YEAR($A119),'NY East Load Projections'!$A$4:$EO$14,((MONTH($A119)-1)*12)+VLOOKUP(BB$4,$DE$6:$DF$17,2)+1))*(VLOOKUP($A119,SatSunCurve,3))*(INDEX(DailyScalarsTable,BB$5/100,MONTH($A119)))*$C119</f>
        <v>-8946.2024717867916</v>
      </c>
      <c r="BC119" s="1021">
        <f>(VLOOKUP(YEAR($A119),'NY East Load Projections'!$A$4:$EO$14,((MONTH($A119)-1)*12)+VLOOKUP(BC$4,$DE$6:$DF$17,2)+1))*(VLOOKUP($A119,SatSunCurve,3))*(INDEX(DailyScalarsTable,BC$5/100,MONTH($A119)))*$C119</f>
        <v>-7173.9525737965951</v>
      </c>
      <c r="BD119" s="1021">
        <f>(VLOOKUP(YEAR($A119),'NY East Load Projections'!$A$4:$EO$14,((MONTH($A119)-1)*12)+VLOOKUP(BD$4,$DE$6:$DF$17,2)+1))*(VLOOKUP($A119,CURVES!$D$9:$T$261,7))*(INDEX(DailyScalarsTable,BD$5/100,MONTH($A119)))*$C119</f>
        <v>-9882.193696939652</v>
      </c>
      <c r="BE119" s="1021"/>
      <c r="BF119" s="1021">
        <f>(VLOOKUP(YEAR($A119),'NY East Load Projections'!$A$4:$EO$14,((MONTH($A119)-1)*12)+VLOOKUP(BF$4,$DE$6:$DF$17,2)+1))*(VLOOKUP($A119,CURVES!$D$9:$T$261,7))*(INDEX(DailyScalarsTable,BF$5/100,MONTH($A119)))*$D119</f>
        <v>-8084.1245716211733</v>
      </c>
      <c r="BG119" s="1021">
        <f>(VLOOKUP(YEAR($A119),'NY East Load Projections'!$A$4:$EO$14,((MONTH($A119)-1)*12)+VLOOKUP(BG$4,$DE$6:$DF$17,2)+1))*(VLOOKUP($A119,CURVES!$D$9:$T$261,7))*(INDEX(DailyScalarsTable,BG$5/100,MONTH($A119)))*$D119</f>
        <v>-6697.8016990882352</v>
      </c>
      <c r="BH119" s="1021">
        <f>(VLOOKUP(YEAR($A119),'NY East Load Projections'!$A$4:$EO$14,((MONTH($A119)-1)*12)+VLOOKUP(BH$4,$DE$6:$DF$17,2)+1))*(VLOOKUP($A119,CURVES!$D$9:$T$261,7))*(INDEX(DailyScalarsTable,BH$5/100,MONTH($A119)))*$D119</f>
        <v>-5630.1261733763013</v>
      </c>
      <c r="BI119" s="1021">
        <f>(VLOOKUP(YEAR($A119),'NY East Load Projections'!$A$4:$EO$14,((MONTH($A119)-1)*12)+VLOOKUP(BI$4,$DE$6:$DF$17,2)+1))*(VLOOKUP($A119,CURVES!$D$9:$T$261,7))*(INDEX(DailyScalarsTable,BI$5/100,MONTH($A119)))*$D119</f>
        <v>-5226.6441433107457</v>
      </c>
      <c r="BJ119" s="1021">
        <f>(VLOOKUP(YEAR($A119),'NY East Load Projections'!$A$4:$EO$14,((MONTH($A119)-1)*12)+VLOOKUP(BJ$4,$DE$6:$DF$17,2)+1))*(VLOOKUP($A119,CURVES!$D$9:$T$261,7))*(INDEX(DailyScalarsTable,BJ$5/100,MONTH($A119)))*$D119</f>
        <v>-5718.5926124606549</v>
      </c>
      <c r="BK119" s="1021">
        <f>(VLOOKUP(YEAR($A119),'NY East Load Projections'!$A$4:$EO$14,((MONTH($A119)-1)*12)+VLOOKUP(BK$4,$DE$6:$DF$17,2)+1))*(VLOOKUP($A119,CURVES!$D$9:$T$261,7))*(INDEX(DailyScalarsTable,BK$5/100,MONTH($A119)))*$D119</f>
        <v>-6977.1004027211557</v>
      </c>
      <c r="BL119" s="1021">
        <f>(VLOOKUP(YEAR($A119),'NY East Load Projections'!$A$4:$EO$14,((MONTH($A119)-1)*12)+VLOOKUP(BL$4,$DE$6:$DF$17,2)+1))*(VLOOKUP($A119,CURVES!$D$9:$T$261,7))*(INDEX(DailyScalarsTable,BL$5/100,MONTH($A119)))*$D119</f>
        <v>-7999.7684246575491</v>
      </c>
      <c r="BM119" s="1021">
        <f>(VLOOKUP(YEAR($A119),'NY East Load Projections'!$A$4:$EO$14,((MONTH($A119)-1)*12)+VLOOKUP(BM$4,$DE$6:$DF$17,2)+1))*(VLOOKUP($A119,SatSunCurve,7))*(INDEX(DailyScalarsTable,BM$5/100,MONTH($A119)))*$D119</f>
        <v>-4817.2080623056236</v>
      </c>
      <c r="BN119" s="1021">
        <f>(VLOOKUP(YEAR($A119),'NY East Load Projections'!$A$4:$EO$14,((MONTH($A119)-1)*12)+VLOOKUP(BN$4,$DE$6:$DF$17,2)+1))*(VLOOKUP($A119,SatSunCurve,7))*(INDEX(DailyScalarsTable,BN$5/100,MONTH($A119)))*$D119</f>
        <v>-5995.5947122810221</v>
      </c>
      <c r="BO119" s="1021">
        <f>(VLOOKUP(YEAR($A119),'NY East Load Projections'!$A$4:$EO$14,((MONTH($A119)-1)*12)+VLOOKUP(BO$4,$DE$6:$DF$17,2)+1))*(VLOOKUP($A119,SatSunCurve,7))*(INDEX(DailyScalarsTable,BO$5/100,MONTH($A119)))*$D119</f>
        <v>-6706.0280208703225</v>
      </c>
      <c r="BP119" s="1021">
        <f>(VLOOKUP(YEAR($A119),'NY East Load Projections'!$A$4:$EO$14,((MONTH($A119)-1)*12)+VLOOKUP(BP$4,$DE$6:$DF$17,2)+1))*(VLOOKUP($A119,SatSunCurve,7))*(INDEX(DailyScalarsTable,BP$5/100,MONTH($A119)))*$D119</f>
        <v>-7713.8764571678676</v>
      </c>
      <c r="BQ119" s="1021">
        <f>(VLOOKUP(YEAR($A119),'NY East Load Projections'!$A$4:$EO$14,((MONTH($A119)-1)*12)+VLOOKUP(BQ$4,$DE$6:$DF$17,2)+1))*(VLOOKUP($A119,SatSunCurve,7))*(INDEX(DailyScalarsTable,BQ$5/100,MONTH($A119)))*$D119</f>
        <v>-8319.216081054612</v>
      </c>
      <c r="BR119" s="1021">
        <f>(VLOOKUP(YEAR($A119),'NY East Load Projections'!$A$4:$EO$14,((MONTH($A119)-1)*12)+VLOOKUP(BR$4,$DE$6:$DF$17,2)+1))*(VLOOKUP($A119,SatSunCurve,7))*(INDEX(DailyScalarsTable,BR$5/100,MONTH($A119)))*$D119</f>
        <v>-8678.8767788996847</v>
      </c>
      <c r="BS119" s="1021">
        <f>(VLOOKUP(YEAR($A119),'NY East Load Projections'!$A$4:$EO$14,((MONTH($A119)-1)*12)+VLOOKUP(BS$4,$DE$6:$DF$17,2)+1))*(VLOOKUP($A119,SatSunCurve,7))*(INDEX(DailyScalarsTable,BS$5/100,MONTH($A119)))*$D119</f>
        <v>-9597.8290855398045</v>
      </c>
      <c r="BT119" s="1021">
        <f>(VLOOKUP(YEAR($A119),'NY East Load Projections'!$A$4:$EO$14,((MONTH($A119)-1)*12)+VLOOKUP(BT$4,$DE$6:$DF$17,2)+1))*(VLOOKUP($A119,SatSunCurve,7))*(INDEX(DailyScalarsTable,BT$5/100,MONTH($A119)))*$D119</f>
        <v>-9671.682887451183</v>
      </c>
      <c r="BU119" s="1021">
        <f>(VLOOKUP(YEAR($A119),'NY East Load Projections'!$A$4:$EO$14,((MONTH($A119)-1)*12)+VLOOKUP(BU$4,$DE$6:$DF$17,2)+1))*(VLOOKUP($A119,SatSunCurve,7))*(INDEX(DailyScalarsTable,BU$5/100,MONTH($A119)))*$D119</f>
        <v>-9687.5087021464733</v>
      </c>
      <c r="BV119" s="1021">
        <f>(VLOOKUP(YEAR($A119),'NY East Load Projections'!$A$4:$EO$14,((MONTH($A119)-1)*12)+VLOOKUP(BV$4,$DE$6:$DF$17,2)+1))*(VLOOKUP($A119,SatSunCurve,7))*(INDEX(DailyScalarsTable,BV$5/100,MONTH($A119)))*$D119</f>
        <v>-9576.6954804111301</v>
      </c>
      <c r="BW119" s="1021">
        <f>(VLOOKUP(YEAR($A119),'NY East Load Projections'!$A$4:$EO$14,((MONTH($A119)-1)*12)+VLOOKUP(BW$4,$DE$6:$DF$17,2)+1))*(VLOOKUP($A119,SatSunCurve,7))*(INDEX(DailyScalarsTable,BW$5/100,MONTH($A119)))*$D119</f>
        <v>-9292.4017661174948</v>
      </c>
      <c r="BX119" s="1021">
        <f>(VLOOKUP(YEAR($A119),'NY East Load Projections'!$A$4:$EO$14,((MONTH($A119)-1)*12)+VLOOKUP(BX$4,$DE$6:$DF$17,2)+1))*(VLOOKUP($A119,SatSunCurve,7))*(INDEX(DailyScalarsTable,BX$5/100,MONTH($A119)))*$D119</f>
        <v>-7934.5657227583779</v>
      </c>
      <c r="BY119" s="1021">
        <f>(VLOOKUP(YEAR($A119),'NY East Load Projections'!$A$4:$EO$14,((MONTH($A119)-1)*12)+VLOOKUP(BY$4,$DE$6:$DF$17,2)+1))*(VLOOKUP($A119,SatSunCurve,7))*(INDEX(DailyScalarsTable,BY$5/100,MONTH($A119)))*$D119</f>
        <v>-6344.7788511308117</v>
      </c>
      <c r="BZ119" s="1021">
        <f>(VLOOKUP(YEAR($A119),'NY East Load Projections'!$A$4:$EO$14,((MONTH($A119)-1)*12)+VLOOKUP(BZ$4,$DE$6:$DF$17,2)+1))*(VLOOKUP($A119,SatSunCurve,7))*(INDEX(DailyScalarsTable,BZ$5/100,MONTH($A119)))*$D119</f>
        <v>-6696.5793480005241</v>
      </c>
      <c r="CA119" s="1021">
        <f>(VLOOKUP(YEAR($A119),'NY East Load Projections'!$A$4:$EO$14,((MONTH($A119)-1)*12)+VLOOKUP(CA$4,$DE$6:$DF$17,2)+1))*(VLOOKUP($A119,SatSunCurve,7))*(INDEX(DailyScalarsTable,CA$5/100,MONTH($A119)))*$D119</f>
        <v>-6823.174402659065</v>
      </c>
      <c r="CB119" s="1021">
        <f>(VLOOKUP(YEAR($A119),'NY East Load Projections'!$A$4:$EO$14,((MONTH($A119)-1)*12)+VLOOKUP(CB$4,$DE$6:$DF$17,2)+1))*(VLOOKUP($A119,SatSunCurve,7))*(INDEX(DailyScalarsTable,CB$5/100,MONTH($A119)))*$D119</f>
        <v>-5471.4980710293066</v>
      </c>
      <c r="CC119" s="1021">
        <f>(VLOOKUP(YEAR($A119),'NY East Load Projections'!$A$4:$EO$14,((MONTH($A119)-1)*12)+VLOOKUP(CC$4,$DE$6:$DF$17,2)+1))*(VLOOKUP($A119,CURVES!$D$9:$T$261,7))*(INDEX(DailyScalarsTable,CC$5/100,MONTH($A119)))*$D119</f>
        <v>-9882.193696939652</v>
      </c>
      <c r="CE119" s="1021">
        <f>(VLOOKUP(YEAR($A119),'NY East Load Projections'!$A$4:$EO$14,((MONTH($A119)-1)*12)+VLOOKUP(CE$4,$DE$6:$DF$17,2)+1))*(VLOOKUP($A119,CURVES!$D$9:$T$261,7))*(INDEX(DailyScalarsTable,CE$5/100,MONTH($A119)))*$E119</f>
        <v>0</v>
      </c>
      <c r="CF119" s="1021">
        <f>(VLOOKUP(YEAR($A119),'NY East Load Projections'!$A$4:$EO$14,((MONTH($A119)-1)*12)+VLOOKUP(CF$4,$DE$6:$DF$17,2)+1))*(VLOOKUP($A119,CURVES!$D$9:$T$261,7))*(INDEX(DailyScalarsTable,CF$5/100,MONTH($A119)))*$E119</f>
        <v>0</v>
      </c>
      <c r="CG119" s="1021">
        <f>(VLOOKUP(YEAR($A119),'NY East Load Projections'!$A$4:$EO$14,((MONTH($A119)-1)*12)+VLOOKUP(CG$4,$DE$6:$DF$17,2)+1))*(VLOOKUP($A119,CURVES!$D$9:$T$261,7))*(INDEX(DailyScalarsTable,CG$5/100,MONTH($A119)))*$E119</f>
        <v>0</v>
      </c>
      <c r="CH119" s="1021">
        <f>(VLOOKUP(YEAR($A119),'NY East Load Projections'!$A$4:$EO$14,((MONTH($A119)-1)*12)+VLOOKUP(CH$4,$DE$6:$DF$17,2)+1))*(VLOOKUP($A119,CURVES!$D$9:$T$261,7))*(INDEX(DailyScalarsTable,CH$5/100,MONTH($A119)))*$E119</f>
        <v>0</v>
      </c>
      <c r="CI119" s="1021">
        <f>(VLOOKUP(YEAR($A119),'NY East Load Projections'!$A$4:$EO$14,((MONTH($A119)-1)*12)+VLOOKUP(CI$4,$DE$6:$DF$17,2)+1))*(VLOOKUP($A119,CURVES!$D$9:$T$261,7))*(INDEX(DailyScalarsTable,CI$5/100,MONTH($A119)))*$E119</f>
        <v>0</v>
      </c>
      <c r="CJ119" s="1021">
        <f>(VLOOKUP(YEAR($A119),'NY East Load Projections'!$A$4:$EO$14,((MONTH($A119)-1)*12)+VLOOKUP(CJ$4,$DE$6:$DF$17,2)+1))*(VLOOKUP($A119,CURVES!$D$9:$T$261,7))*(INDEX(DailyScalarsTable,CJ$5/100,MONTH($A119)))*$E119</f>
        <v>0</v>
      </c>
      <c r="CK119" s="1021">
        <f>(VLOOKUP(YEAR($A119),'NY East Load Projections'!$A$4:$EO$14,((MONTH($A119)-1)*12)+VLOOKUP(CK$4,$DE$6:$DF$17,2)+1))*(VLOOKUP($A119,CURVES!$D$9:$T$261,7))*(INDEX(DailyScalarsTable,CK$5/100,MONTH($A119)))*$E119</f>
        <v>0</v>
      </c>
      <c r="CL119" s="1021">
        <f>(VLOOKUP(YEAR($A119),'NY East Load Projections'!$A$4:$EO$14,((MONTH($A119)-1)*12)+VLOOKUP(CL$4,$DE$6:$DF$17,2)+1))*(VLOOKUP($A119,SatSunCurve,7))*(INDEX(DailyScalarsTable,CL$5/100,MONTH($A119)))*$E119</f>
        <v>0</v>
      </c>
      <c r="CM119" s="1021">
        <f>(VLOOKUP(YEAR($A119),'NY East Load Projections'!$A$4:$EO$14,((MONTH($A119)-1)*12)+VLOOKUP(CM$4,$DE$6:$DF$17,2)+1))*(VLOOKUP($A119,SatSunCurve,7))*(INDEX(DailyScalarsTable,CM$5/100,MONTH($A119)))*$E119</f>
        <v>0</v>
      </c>
      <c r="CN119" s="1021">
        <f>(VLOOKUP(YEAR($A119),'NY East Load Projections'!$A$4:$EO$14,((MONTH($A119)-1)*12)+VLOOKUP(CN$4,$DE$6:$DF$17,2)+1))*(VLOOKUP($A119,SatSunCurve,7))*(INDEX(DailyScalarsTable,CN$5/100,MONTH($A119)))*$E119</f>
        <v>0</v>
      </c>
      <c r="CO119" s="1021">
        <f>(VLOOKUP(YEAR($A119),'NY East Load Projections'!$A$4:$EO$14,((MONTH($A119)-1)*12)+VLOOKUP(CO$4,$DE$6:$DF$17,2)+1))*(VLOOKUP($A119,SatSunCurve,7))*(INDEX(DailyScalarsTable,CO$5/100,MONTH($A119)))*$E119</f>
        <v>0</v>
      </c>
      <c r="CP119" s="1021">
        <f>(VLOOKUP(YEAR($A119),'NY East Load Projections'!$A$4:$EO$14,((MONTH($A119)-1)*12)+VLOOKUP(CP$4,$DE$6:$DF$17,2)+1))*(VLOOKUP($A119,SatSunCurve,7))*(INDEX(DailyScalarsTable,CP$5/100,MONTH($A119)))*$E119</f>
        <v>0</v>
      </c>
      <c r="CQ119" s="1021">
        <f>(VLOOKUP(YEAR($A119),'NY East Load Projections'!$A$4:$EO$14,((MONTH($A119)-1)*12)+VLOOKUP(CQ$4,$DE$6:$DF$17,2)+1))*(VLOOKUP($A119,SatSunCurve,7))*(INDEX(DailyScalarsTable,CQ$5/100,MONTH($A119)))*$E119</f>
        <v>0</v>
      </c>
      <c r="CR119" s="1021">
        <f>(VLOOKUP(YEAR($A119),'NY East Load Projections'!$A$4:$EO$14,((MONTH($A119)-1)*12)+VLOOKUP(CR$4,$DE$6:$DF$17,2)+1))*(VLOOKUP($A119,SatSunCurve,7))*(INDEX(DailyScalarsTable,CR$5/100,MONTH($A119)))*$E119</f>
        <v>0</v>
      </c>
      <c r="CS119" s="1021">
        <f>(VLOOKUP(YEAR($A119),'NY East Load Projections'!$A$4:$EO$14,((MONTH($A119)-1)*12)+VLOOKUP(CS$4,$DE$6:$DF$17,2)+1))*(VLOOKUP($A119,SatSunCurve,7))*(INDEX(DailyScalarsTable,CS$5/100,MONTH($A119)))*$E119</f>
        <v>0</v>
      </c>
      <c r="CT119" s="1021">
        <f>(VLOOKUP(YEAR($A119),'NY East Load Projections'!$A$4:$EO$14,((MONTH($A119)-1)*12)+VLOOKUP(CT$4,$DE$6:$DF$17,2)+1))*(VLOOKUP($A119,SatSunCurve,7))*(INDEX(DailyScalarsTable,CT$5/100,MONTH($A119)))*$E119</f>
        <v>0</v>
      </c>
      <c r="CU119" s="1021">
        <f>(VLOOKUP(YEAR($A119),'NY East Load Projections'!$A$4:$EO$14,((MONTH($A119)-1)*12)+VLOOKUP(CU$4,$DE$6:$DF$17,2)+1))*(VLOOKUP($A119,SatSunCurve,7))*(INDEX(DailyScalarsTable,CU$5/100,MONTH($A119)))*$E119</f>
        <v>0</v>
      </c>
      <c r="CV119" s="1021">
        <f>(VLOOKUP(YEAR($A119),'NY East Load Projections'!$A$4:$EO$14,((MONTH($A119)-1)*12)+VLOOKUP(CV$4,$DE$6:$DF$17,2)+1))*(VLOOKUP($A119,SatSunCurve,7))*(INDEX(DailyScalarsTable,CV$5/100,MONTH($A119)))*$E119</f>
        <v>0</v>
      </c>
      <c r="CW119" s="1021">
        <f>(VLOOKUP(YEAR($A119),'NY East Load Projections'!$A$4:$EO$14,((MONTH($A119)-1)*12)+VLOOKUP(CW$4,$DE$6:$DF$17,2)+1))*(VLOOKUP($A119,SatSunCurve,7))*(INDEX(DailyScalarsTable,CW$5/100,MONTH($A119)))*$E119</f>
        <v>0</v>
      </c>
      <c r="CX119" s="1021">
        <f>(VLOOKUP(YEAR($A119),'NY East Load Projections'!$A$4:$EO$14,((MONTH($A119)-1)*12)+VLOOKUP(CX$4,$DE$6:$DF$17,2)+1))*(VLOOKUP($A119,SatSunCurve,7))*(INDEX(DailyScalarsTable,CX$5/100,MONTH($A119)))*$E119</f>
        <v>0</v>
      </c>
      <c r="CY119" s="1021">
        <f>(VLOOKUP(YEAR($A119),'NY East Load Projections'!$A$4:$EO$14,((MONTH($A119)-1)*12)+VLOOKUP(CY$4,$DE$6:$DF$17,2)+1))*(VLOOKUP($A119,SatSunCurve,7))*(INDEX(DailyScalarsTable,CY$5/100,MONTH($A119)))*$E119</f>
        <v>0</v>
      </c>
      <c r="CZ119" s="1021">
        <f>(VLOOKUP(YEAR($A119),'NY East Load Projections'!$A$4:$EO$14,((MONTH($A119)-1)*12)+VLOOKUP(CZ$4,$DE$6:$DF$17,2)+1))*(VLOOKUP($A119,SatSunCurve,7))*(INDEX(DailyScalarsTable,CZ$5/100,MONTH($A119)))*$E119</f>
        <v>0</v>
      </c>
      <c r="DA119" s="1021">
        <f>(VLOOKUP(YEAR($A119),'NY East Load Projections'!$A$4:$EO$14,((MONTH($A119)-1)*12)+VLOOKUP(DA$4,$DE$6:$DF$17,2)+1))*(VLOOKUP($A119,SatSunCurve,7))*(INDEX(DailyScalarsTable,DA$5/100,MONTH($A119)))*$E119</f>
        <v>0</v>
      </c>
      <c r="DB119" s="1021">
        <f>(VLOOKUP(YEAR($A119),'NY East Load Projections'!$A$4:$EO$14,((MONTH($A119)-1)*12)+VLOOKUP(DB$4,$DE$6:$DF$17,2)+1))*(VLOOKUP($A119,CURVES!$D$9:$T$261,7))*(INDEX(DailyScalarsTable,DB$5/100,MONTH($A119)))*$E119</f>
        <v>0</v>
      </c>
      <c r="DH119" s="1032">
        <f t="shared" si="2"/>
        <v>-2477404.8058798094</v>
      </c>
      <c r="DI119">
        <f ca="1">CALC!J139</f>
        <v>0.46933830490401512</v>
      </c>
      <c r="DJ119" s="1029">
        <f t="shared" ca="1" si="3"/>
        <v>-1162740.9721526904</v>
      </c>
    </row>
    <row r="120" spans="1:114" x14ac:dyDescent="0.25">
      <c r="A120" s="244">
        <v>40360</v>
      </c>
      <c r="B120" s="13">
        <v>21</v>
      </c>
      <c r="C120" s="210">
        <v>5</v>
      </c>
      <c r="D120" s="210">
        <v>4</v>
      </c>
      <c r="E120" s="210">
        <v>1</v>
      </c>
      <c r="F120" s="13">
        <v>31</v>
      </c>
      <c r="H120" s="1021">
        <f>(VLOOKUP(YEAR($A120),'NY East Load Projections'!$A$4:$EO$14,((MONTH($A120)-1)*12)+VLOOKUP(H$4,$DE$6:$DF$17,2)+1))*(VLOOKUP($A120,CURVES!$D$9:$K$261,7))*(INDEX(DailyScalarsTable,H$5/100,MONTH($A120)))*$B120</f>
        <v>-50711.596053102126</v>
      </c>
      <c r="I120" s="1021">
        <f>(VLOOKUP(YEAR($A120),'NY East Load Projections'!$A$4:$EO$14,((MONTH($A120)-1)*12)+VLOOKUP(I$4,$DE$6:$DF$17,2)+1))*(VLOOKUP($A120,CURVES!$D$9:$K$261,7))*(INDEX(DailyScalarsTable,I$5/100,MONTH($A120)))*$B120</f>
        <v>-46321.666505904344</v>
      </c>
      <c r="J120" s="1021">
        <f>(VLOOKUP(YEAR($A120),'NY East Load Projections'!$A$4:$EO$14,((MONTH($A120)-1)*12)+VLOOKUP(J$4,$DE$6:$DF$17,2)+1))*(VLOOKUP($A120,CURVES!$D$9:$K$261,7))*(INDEX(DailyScalarsTable,J$5/100,MONTH($A120)))*$B120</f>
        <v>-44136.588961015375</v>
      </c>
      <c r="K120" s="1021">
        <f>(VLOOKUP(YEAR($A120),'NY East Load Projections'!$A$4:$EO$14,((MONTH($A120)-1)*12)+VLOOKUP(K$4,$DE$6:$DF$17,2)+1))*(VLOOKUP($A120,CURVES!$D$9:$K$261,7))*(INDEX(DailyScalarsTable,K$5/100,MONTH($A120)))*$B120</f>
        <v>-39746.659413817601</v>
      </c>
      <c r="L120" s="1021">
        <f>(VLOOKUP(YEAR($A120),'NY East Load Projections'!$A$4:$EO$14,((MONTH($A120)-1)*12)+VLOOKUP(L$4,$DE$6:$DF$17,2)+1))*(VLOOKUP($A120,CURVES!$D$9:$K$261,7))*(INDEX(DailyScalarsTable,L$5/100,MONTH($A120)))*$B120</f>
        <v>-40029.174448712503</v>
      </c>
      <c r="M120" s="1021">
        <f>(VLOOKUP(YEAR($A120),'NY East Load Projections'!$A$4:$EO$14,((MONTH($A120)-1)*12)+VLOOKUP(M$4,$DE$6:$DF$17,2)+1))*(VLOOKUP($A120,CURVES!$D$9:$K$261,7))*(INDEX(DailyScalarsTable,M$5/100,MONTH($A120)))*$B120</f>
        <v>-44130.696254123024</v>
      </c>
      <c r="N120" s="1021">
        <f>(VLOOKUP(YEAR($A120),'NY East Load Projections'!$A$4:$EO$14,((MONTH($A120)-1)*12)+VLOOKUP(N$4,$DE$6:$DF$17,2)+1))*(VLOOKUP($A120,CURVES!$D$9:$K$261,7))*(INDEX(DailyScalarsTable,N$5/100,MONTH($A120)))*$B120</f>
        <v>-49008.465153140663</v>
      </c>
      <c r="O120" s="1021">
        <f>(VLOOKUP(YEAR($A120),'NY East Load Projections'!$A$4:$EO$14,((MONTH($A120)-1)*12)+VLOOKUP(O$4,$DE$6:$DF$17,2)+1))*(VLOOKUP($A120,CURVES!$D$9:$K$261,3))*(INDEX(DailyScalarsTable,O$5/100,MONTH($A120)))*$B120</f>
        <v>-88500.488702140632</v>
      </c>
      <c r="P120" s="1021">
        <f>(VLOOKUP(YEAR($A120),'NY East Load Projections'!$A$4:$EO$14,((MONTH($A120)-1)*12)+VLOOKUP(P$4,$DE$6:$DF$17,2)+1))*(VLOOKUP($A120,CURVES!$D$9:$K$261,3))*(INDEX(DailyScalarsTable,P$5/100,MONTH($A120)))*$B120</f>
        <v>-104592.90966823032</v>
      </c>
      <c r="Q120" s="1021">
        <f>(VLOOKUP(YEAR($A120),'NY East Load Projections'!$A$4:$EO$14,((MONTH($A120)-1)*12)+VLOOKUP(Q$4,$DE$6:$DF$17,2)+1))*(VLOOKUP($A120,CURVES!$D$9:$K$261,3))*(INDEX(DailyScalarsTable,Q$5/100,MONTH($A120)))*$B120</f>
        <v>-125226.38517394837</v>
      </c>
      <c r="R120" s="1021">
        <f>(VLOOKUP(YEAR($A120),'NY East Load Projections'!$A$4:$EO$14,((MONTH($A120)-1)*12)+VLOOKUP(R$4,$DE$6:$DF$17,2)+1))*(VLOOKUP($A120,CURVES!$D$9:$K$261,3))*(INDEX(DailyScalarsTable,R$5/100,MONTH($A120)))*$B120</f>
        <v>-142494.42913350585</v>
      </c>
      <c r="S120" s="1021">
        <f>(VLOOKUP(YEAR($A120),'NY East Load Projections'!$A$4:$EO$14,((MONTH($A120)-1)*12)+VLOOKUP(S$4,$DE$6:$DF$17,2)+1))*(VLOOKUP($A120,CURVES!$D$9:$K$261,3))*(INDEX(DailyScalarsTable,S$5/100,MONTH($A120)))*$B120</f>
        <v>-170358.43879080037</v>
      </c>
      <c r="T120" s="1021">
        <f>(VLOOKUP(YEAR($A120),'NY East Load Projections'!$A$4:$EO$14,((MONTH($A120)-1)*12)+VLOOKUP(T$4,$DE$6:$DF$17,2)+1))*(VLOOKUP($A120,CURVES!$D$9:$K$261,3))*(INDEX(DailyScalarsTable,T$5/100,MONTH($A120)))*$B120</f>
        <v>-188289.66066471595</v>
      </c>
      <c r="U120" s="1021">
        <f>(VLOOKUP(YEAR($A120),'NY East Load Projections'!$A$4:$EO$14,((MONTH($A120)-1)*12)+VLOOKUP(U$4,$DE$6:$DF$17,2)+1))*(VLOOKUP($A120,CURVES!$D$9:$K$261,3))*(INDEX(DailyScalarsTable,U$5/100,MONTH($A120)))*$B120</f>
        <v>-194626.89877412634</v>
      </c>
      <c r="V120" s="1021">
        <f>(VLOOKUP(YEAR($A120),'NY East Load Projections'!$A$4:$EO$14,((MONTH($A120)-1)*12)+VLOOKUP(V$4,$DE$6:$DF$17,2)+1))*(VLOOKUP($A120,CURVES!$D$9:$K$261,3))*(INDEX(DailyScalarsTable,V$5/100,MONTH($A120)))*$B120</f>
        <v>-202732.6684489536</v>
      </c>
      <c r="W120" s="1021">
        <f>(VLOOKUP(YEAR($A120),'NY East Load Projections'!$A$4:$EO$14,((MONTH($A120)-1)*12)+VLOOKUP(W$4,$DE$6:$DF$17,2)+1))*(VLOOKUP($A120,CURVES!$D$9:$K$261,3))*(INDEX(DailyScalarsTable,W$5/100,MONTH($A120)))*$B120</f>
        <v>-215156.60269600718</v>
      </c>
      <c r="X120" s="1021">
        <f>(VLOOKUP(YEAR($A120),'NY East Load Projections'!$A$4:$EO$14,((MONTH($A120)-1)*12)+VLOOKUP(X$4,$DE$6:$DF$17,2)+1))*(VLOOKUP($A120,CURVES!$D$9:$K$261,3))*(INDEX(DailyScalarsTable,X$5/100,MONTH($A120)))*$B120</f>
        <v>-211809.64275726883</v>
      </c>
      <c r="Y120" s="1021">
        <f>(VLOOKUP(YEAR($A120),'NY East Load Projections'!$A$4:$EO$14,((MONTH($A120)-1)*12)+VLOOKUP(Y$4,$DE$6:$DF$17,2)+1))*(VLOOKUP($A120,CURVES!$D$9:$K$261,3))*(INDEX(DailyScalarsTable,Y$5/100,MONTH($A120)))*$B120</f>
        <v>-206560.98530125967</v>
      </c>
      <c r="Z120" s="1021">
        <f>(VLOOKUP(YEAR($A120),'NY East Load Projections'!$A$4:$EO$14,((MONTH($A120)-1)*12)+VLOOKUP(Z$4,$DE$6:$DF$17,2)+1))*(VLOOKUP($A120,CURVES!$D$9:$K$261,3))*(INDEX(DailyScalarsTable,Z$5/100,MONTH($A120)))*$B120</f>
        <v>-172522.94385890226</v>
      </c>
      <c r="AA120" s="1021">
        <f>(VLOOKUP(YEAR($A120),'NY East Load Projections'!$A$4:$EO$14,((MONTH($A120)-1)*12)+VLOOKUP(AA$4,$DE$6:$DF$17,2)+1))*(VLOOKUP($A120,CURVES!$D$9:$K$261,3))*(INDEX(DailyScalarsTable,AA$5/100,MONTH($A120)))*$B120</f>
        <v>-127660.43541377262</v>
      </c>
      <c r="AB120" s="1021">
        <f>(VLOOKUP(YEAR($A120),'NY East Load Projections'!$A$4:$EO$14,((MONTH($A120)-1)*12)+VLOOKUP(AB$4,$DE$6:$DF$17,2)+1))*(VLOOKUP($A120,CURVES!$D$9:$K$261,3))*(INDEX(DailyScalarsTable,AB$5/100,MONTH($A120)))*$B120</f>
        <v>-131651.17010825934</v>
      </c>
      <c r="AC120" s="1021">
        <f>(VLOOKUP(YEAR($A120),'NY East Load Projections'!$A$4:$EO$14,((MONTH($A120)-1)*12)+VLOOKUP(AC$4,$DE$6:$DF$17,2)+1))*(VLOOKUP($A120,CURVES!$D$9:$K$261,3))*(INDEX(DailyScalarsTable,AC$5/100,MONTH($A120)))*$B120</f>
        <v>-139502.23213143751</v>
      </c>
      <c r="AD120" s="1021">
        <f>(VLOOKUP(YEAR($A120),'NY East Load Projections'!$A$4:$EO$14,((MONTH($A120)-1)*12)+VLOOKUP(AD$4,$DE$6:$DF$17,2)+1))*(VLOOKUP($A120,CURVES!$D$9:$K$261,3))*(INDEX(DailyScalarsTable,AD$5/100,MONTH($A120)))*$B120</f>
        <v>-96878.392025872308</v>
      </c>
      <c r="AE120" s="1021">
        <f>(VLOOKUP(YEAR($A120),'NY East Load Projections'!$A$4:$EO$14,((MONTH($A120)-1)*12)+VLOOKUP(AE$4,$DE$6:$DF$17,2)+1))*(VLOOKUP($A120,CURVES!$D$9:$K$261,7))*(INDEX(DailyScalarsTable,AE$5/100,MONTH($A120)))*$B120</f>
        <v>-58817.545812567965</v>
      </c>
      <c r="AF120" s="1021"/>
      <c r="AG120" s="1021">
        <f>(VLOOKUP(YEAR($A120),'NY East Load Projections'!$A$4:$EO$14,((MONTH($A120)-1)*12)+VLOOKUP(AG$4,$DE$6:$DF$17,2)+1))*(VLOOKUP($A120,CURVES!$D$9:$T$261,7))*(INDEX(DailyScalarsTable,AG$5/100,MONTH($A120)))*$C120</f>
        <v>-11592.265946976457</v>
      </c>
      <c r="AH120" s="1021">
        <f>(VLOOKUP(YEAR($A120),'NY East Load Projections'!$A$4:$EO$14,((MONTH($A120)-1)*12)+VLOOKUP(AH$4,$DE$6:$DF$17,2)+1))*(VLOOKUP($A120,CURVES!$D$9:$T$261,7))*(INDEX(DailyScalarsTable,AH$5/100,MONTH($A120)))*$C120</f>
        <v>-10588.763104227857</v>
      </c>
      <c r="AI120" s="1021">
        <f>(VLOOKUP(YEAR($A120),'NY East Load Projections'!$A$4:$EO$14,((MONTH($A120)-1)*12)+VLOOKUP(AI$4,$DE$6:$DF$17,2)+1))*(VLOOKUP($A120,CURVES!$D$9:$T$261,7))*(INDEX(DailyScalarsTable,AI$5/100,MONTH($A120)))*$C120</f>
        <v>-10089.271824391286</v>
      </c>
      <c r="AJ120" s="1021">
        <f>(VLOOKUP(YEAR($A120),'NY East Load Projections'!$A$4:$EO$14,((MONTH($A120)-1)*12)+VLOOKUP(AJ$4,$DE$6:$DF$17,2)+1))*(VLOOKUP($A120,CURVES!$D$9:$T$261,7))*(INDEX(DailyScalarsTable,AJ$5/100,MONTH($A120)))*$C120</f>
        <v>-9085.7689816426864</v>
      </c>
      <c r="AK120" s="1021">
        <f>(VLOOKUP(YEAR($A120),'NY East Load Projections'!$A$4:$EO$14,((MONTH($A120)-1)*12)+VLOOKUP(AK$4,$DE$6:$DF$17,2)+1))*(VLOOKUP($A120,CURVES!$D$9:$T$261,7))*(INDEX(DailyScalarsTable,AK$5/100,MONTH($A120)))*$C120</f>
        <v>-8729.0111958849102</v>
      </c>
      <c r="AL120" s="1021">
        <f>(VLOOKUP(YEAR($A120),'NY East Load Projections'!$A$4:$EO$14,((MONTH($A120)-1)*12)+VLOOKUP(AL$4,$DE$6:$DF$17,2)+1))*(VLOOKUP($A120,CURVES!$D$9:$T$261,7))*(INDEX(DailyScalarsTable,AL$5/100,MONTH($A120)))*$C120</f>
        <v>-9623.4145967211243</v>
      </c>
      <c r="AM120" s="1021">
        <f>(VLOOKUP(YEAR($A120),'NY East Load Projections'!$A$4:$EO$14,((MONTH($A120)-1)*12)+VLOOKUP(AM$4,$DE$6:$DF$17,2)+1))*(VLOOKUP($A120,CURVES!$D$9:$T$261,7))*(INDEX(DailyScalarsTable,AM$5/100,MONTH($A120)))*$C120</f>
        <v>-10687.091275464962</v>
      </c>
      <c r="AN120" s="1021">
        <f>(VLOOKUP(YEAR($A120),'NY East Load Projections'!$A$4:$EO$14,((MONTH($A120)-1)*12)+VLOOKUP(AN$4,$DE$6:$DF$17,2)+1))*(VLOOKUP($A120,SatSunCurve,3))*(INDEX(DailyScalarsTable,AN$5/100,MONTH($A120)))*$C120</f>
        <v>-10257.779787259005</v>
      </c>
      <c r="AO120" s="1021">
        <f>(VLOOKUP(YEAR($A120),'NY East Load Projections'!$A$4:$EO$14,((MONTH($A120)-1)*12)+VLOOKUP(AO$4,$DE$6:$DF$17,2)+1))*(VLOOKUP($A120,SatSunCurve,3))*(INDEX(DailyScalarsTable,AO$5/100,MONTH($A120)))*$C120</f>
        <v>-12125.108737485889</v>
      </c>
      <c r="AP120" s="1021">
        <f>(VLOOKUP(YEAR($A120),'NY East Load Projections'!$A$4:$EO$14,((MONTH($A120)-1)*12)+VLOOKUP(AP$4,$DE$6:$DF$17,2)+1))*(VLOOKUP($A120,SatSunCurve,3))*(INDEX(DailyScalarsTable,AP$5/100,MONTH($A120)))*$C120</f>
        <v>-14517.079043433643</v>
      </c>
      <c r="AQ120" s="1021">
        <f>(VLOOKUP(YEAR($A120),'NY East Load Projections'!$A$4:$EO$14,((MONTH($A120)-1)*12)+VLOOKUP(AQ$4,$DE$6:$DF$17,2)+1))*(VLOOKUP($A120,SatSunCurve,3))*(INDEX(DailyScalarsTable,AQ$5/100,MONTH($A120)))*$C120</f>
        <v>-16518.90604449391</v>
      </c>
      <c r="AR120" s="1021">
        <f>(VLOOKUP(YEAR($A120),'NY East Load Projections'!$A$4:$EO$14,((MONTH($A120)-1)*12)+VLOOKUP(AR$4,$DE$6:$DF$17,2)+1))*(VLOOKUP($A120,SatSunCurve,3))*(INDEX(DailyScalarsTable,AR$5/100,MONTH($A120)))*$C120</f>
        <v>-19749.088167055845</v>
      </c>
      <c r="AS120" s="1021">
        <f>(VLOOKUP(YEAR($A120),'NY East Load Projections'!$A$4:$EO$14,((MONTH($A120)-1)*12)+VLOOKUP(AS$4,$DE$6:$DF$17,2)+1))*(VLOOKUP($A120,SatSunCurve,3))*(INDEX(DailyScalarsTable,AS$5/100,MONTH($A120)))*$C120</f>
        <v>-21941.464636631041</v>
      </c>
      <c r="AT120" s="1021">
        <f>(VLOOKUP(YEAR($A120),'NY East Load Projections'!$A$4:$EO$14,((MONTH($A120)-1)*12)+VLOOKUP(AT$4,$DE$6:$DF$17,2)+1))*(VLOOKUP($A120,SatSunCurve,3))*(INDEX(DailyScalarsTable,AT$5/100,MONTH($A120)))*$C120</f>
        <v>-22679.94536563474</v>
      </c>
      <c r="AU120" s="1021">
        <f>(VLOOKUP(YEAR($A120),'NY East Load Projections'!$A$4:$EO$14,((MONTH($A120)-1)*12)+VLOOKUP(AU$4,$DE$6:$DF$17,2)+1))*(VLOOKUP($A120,SatSunCurve,3))*(INDEX(DailyScalarsTable,AU$5/100,MONTH($A120)))*$C120</f>
        <v>-23624.513739941802</v>
      </c>
      <c r="AV120" s="1021">
        <f>(VLOOKUP(YEAR($A120),'NY East Load Projections'!$A$4:$EO$14,((MONTH($A120)-1)*12)+VLOOKUP(AV$4,$DE$6:$DF$17,2)+1))*(VLOOKUP($A120,SatSunCurve,3))*(INDEX(DailyScalarsTable,AV$5/100,MONTH($A120)))*$C120</f>
        <v>-25072.279448197911</v>
      </c>
      <c r="AW120" s="1021">
        <f>(VLOOKUP(YEAR($A120),'NY East Load Projections'!$A$4:$EO$14,((MONTH($A120)-1)*12)+VLOOKUP(AW$4,$DE$6:$DF$17,2)+1))*(VLOOKUP($A120,SatSunCurve,3))*(INDEX(DailyScalarsTable,AW$5/100,MONTH($A120)))*$C120</f>
        <v>-24841.002399645055</v>
      </c>
      <c r="AX120" s="1021">
        <f>(VLOOKUP(YEAR($A120),'NY East Load Projections'!$A$4:$EO$14,((MONTH($A120)-1)*12)+VLOOKUP(AX$4,$DE$6:$DF$17,2)+1))*(VLOOKUP($A120,SatSunCurve,3))*(INDEX(DailyScalarsTable,AX$5/100,MONTH($A120)))*$C120</f>
        <v>-24225.440658629068</v>
      </c>
      <c r="AY120" s="1021">
        <f>(VLOOKUP(YEAR($A120),'NY East Load Projections'!$A$4:$EO$14,((MONTH($A120)-1)*12)+VLOOKUP(AY$4,$DE$6:$DF$17,2)+1))*(VLOOKUP($A120,SatSunCurve,3))*(INDEX(DailyScalarsTable,AY$5/100,MONTH($A120)))*$C120</f>
        <v>-20233.464381525406</v>
      </c>
      <c r="AZ120" s="1021">
        <f>(VLOOKUP(YEAR($A120),'NY East Load Projections'!$A$4:$EO$14,((MONTH($A120)-1)*12)+VLOOKUP(AZ$4,$DE$6:$DF$17,2)+1))*(VLOOKUP($A120,SatSunCurve,3))*(INDEX(DailyScalarsTable,AZ$5/100,MONTH($A120)))*$C120</f>
        <v>-14971.996275388783</v>
      </c>
      <c r="BA120" s="1021">
        <f>(VLOOKUP(YEAR($A120),'NY East Load Projections'!$A$4:$EO$14,((MONTH($A120)-1)*12)+VLOOKUP(BA$4,$DE$6:$DF$17,2)+1))*(VLOOKUP($A120,SatSunCurve,3))*(INDEX(DailyScalarsTable,BA$5/100,MONTH($A120)))*$C120</f>
        <v>-16078.174937859238</v>
      </c>
      <c r="BB120" s="1021">
        <f>(VLOOKUP(YEAR($A120),'NY East Load Projections'!$A$4:$EO$14,((MONTH($A120)-1)*12)+VLOOKUP(BB$4,$DE$6:$DF$17,2)+1))*(VLOOKUP($A120,SatSunCurve,3))*(INDEX(DailyScalarsTable,BB$5/100,MONTH($A120)))*$C120</f>
        <v>-17037.002334173601</v>
      </c>
      <c r="BC120" s="1021">
        <f>(VLOOKUP(YEAR($A120),'NY East Load Projections'!$A$4:$EO$14,((MONTH($A120)-1)*12)+VLOOKUP(BC$4,$DE$6:$DF$17,2)+1))*(VLOOKUP($A120,SatSunCurve,3))*(INDEX(DailyScalarsTable,BC$5/100,MONTH($A120)))*$C120</f>
        <v>-11831.47657107502</v>
      </c>
      <c r="BD120" s="1021">
        <f>(VLOOKUP(YEAR($A120),'NY East Load Projections'!$A$4:$EO$14,((MONTH($A120)-1)*12)+VLOOKUP(BD$4,$DE$6:$DF$17,2)+1))*(VLOOKUP($A120,CURVES!$D$9:$T$261,7))*(INDEX(DailyScalarsTable,BD$5/100,MONTH($A120)))*$C120</f>
        <v>-13514.489344686714</v>
      </c>
      <c r="BE120" s="1021"/>
      <c r="BF120" s="1021">
        <f>(VLOOKUP(YEAR($A120),'NY East Load Projections'!$A$4:$EO$14,((MONTH($A120)-1)*12)+VLOOKUP(BF$4,$DE$6:$DF$17,2)+1))*(VLOOKUP($A120,CURVES!$D$9:$T$261,7))*(INDEX(DailyScalarsTable,BF$5/100,MONTH($A120)))*$D120</f>
        <v>-9273.812757581165</v>
      </c>
      <c r="BG120" s="1021">
        <f>(VLOOKUP(YEAR($A120),'NY East Load Projections'!$A$4:$EO$14,((MONTH($A120)-1)*12)+VLOOKUP(BG$4,$DE$6:$DF$17,2)+1))*(VLOOKUP($A120,CURVES!$D$9:$T$261,7))*(INDEX(DailyScalarsTable,BG$5/100,MONTH($A120)))*$D120</f>
        <v>-8471.0104833822861</v>
      </c>
      <c r="BH120" s="1021">
        <f>(VLOOKUP(YEAR($A120),'NY East Load Projections'!$A$4:$EO$14,((MONTH($A120)-1)*12)+VLOOKUP(BH$4,$DE$6:$DF$17,2)+1))*(VLOOKUP($A120,CURVES!$D$9:$T$261,7))*(INDEX(DailyScalarsTable,BH$5/100,MONTH($A120)))*$D120</f>
        <v>-8071.417459513028</v>
      </c>
      <c r="BI120" s="1021">
        <f>(VLOOKUP(YEAR($A120),'NY East Load Projections'!$A$4:$EO$14,((MONTH($A120)-1)*12)+VLOOKUP(BI$4,$DE$6:$DF$17,2)+1))*(VLOOKUP($A120,CURVES!$D$9:$T$261,7))*(INDEX(DailyScalarsTable,BI$5/100,MONTH($A120)))*$D120</f>
        <v>-7268.6151853141491</v>
      </c>
      <c r="BJ120" s="1021">
        <f>(VLOOKUP(YEAR($A120),'NY East Load Projections'!$A$4:$EO$14,((MONTH($A120)-1)*12)+VLOOKUP(BJ$4,$DE$6:$DF$17,2)+1))*(VLOOKUP($A120,CURVES!$D$9:$T$261,7))*(INDEX(DailyScalarsTable,BJ$5/100,MONTH($A120)))*$D120</f>
        <v>-6983.2089567079283</v>
      </c>
      <c r="BK120" s="1021">
        <f>(VLOOKUP(YEAR($A120),'NY East Load Projections'!$A$4:$EO$14,((MONTH($A120)-1)*12)+VLOOKUP(BK$4,$DE$6:$DF$17,2)+1))*(VLOOKUP($A120,CURVES!$D$9:$T$261,7))*(INDEX(DailyScalarsTable,BK$5/100,MONTH($A120)))*$D120</f>
        <v>-7698.7316773768989</v>
      </c>
      <c r="BL120" s="1021">
        <f>(VLOOKUP(YEAR($A120),'NY East Load Projections'!$A$4:$EO$14,((MONTH($A120)-1)*12)+VLOOKUP(BL$4,$DE$6:$DF$17,2)+1))*(VLOOKUP($A120,CURVES!$D$9:$T$261,7))*(INDEX(DailyScalarsTable,BL$5/100,MONTH($A120)))*$D120</f>
        <v>-8549.673020371969</v>
      </c>
      <c r="BM120" s="1021">
        <f>(VLOOKUP(YEAR($A120),'NY East Load Projections'!$A$4:$EO$14,((MONTH($A120)-1)*12)+VLOOKUP(BM$4,$DE$6:$DF$17,2)+1))*(VLOOKUP($A120,SatSunCurve,7))*(INDEX(DailyScalarsTable,BM$5/100,MONTH($A120)))*$D120</f>
        <v>-6084.3464308576085</v>
      </c>
      <c r="BN120" s="1021">
        <f>(VLOOKUP(YEAR($A120),'NY East Load Projections'!$A$4:$EO$14,((MONTH($A120)-1)*12)+VLOOKUP(BN$4,$DE$6:$DF$17,2)+1))*(VLOOKUP($A120,SatSunCurve,7))*(INDEX(DailyScalarsTable,BN$5/100,MONTH($A120)))*$D120</f>
        <v>-7191.9424671521183</v>
      </c>
      <c r="BO120" s="1021">
        <f>(VLOOKUP(YEAR($A120),'NY East Load Projections'!$A$4:$EO$14,((MONTH($A120)-1)*12)+VLOOKUP(BO$4,$DE$6:$DF$17,2)+1))*(VLOOKUP($A120,SatSunCurve,7))*(INDEX(DailyScalarsTable,BO$5/100,MONTH($A120)))*$D120</f>
        <v>-8610.7266773364063</v>
      </c>
      <c r="BP120" s="1021">
        <f>(VLOOKUP(YEAR($A120),'NY East Load Projections'!$A$4:$EO$14,((MONTH($A120)-1)*12)+VLOOKUP(BP$4,$DE$6:$DF$17,2)+1))*(VLOOKUP($A120,SatSunCurve,7))*(INDEX(DailyScalarsTable,BP$5/100,MONTH($A120)))*$D120</f>
        <v>-9798.0995028111483</v>
      </c>
      <c r="BQ120" s="1021">
        <f>(VLOOKUP(YEAR($A120),'NY East Load Projections'!$A$4:$EO$14,((MONTH($A120)-1)*12)+VLOOKUP(BQ$4,$DE$6:$DF$17,2)+1))*(VLOOKUP($A120,SatSunCurve,7))*(INDEX(DailyScalarsTable,BQ$5/100,MONTH($A120)))*$D120</f>
        <v>-11714.06450459848</v>
      </c>
      <c r="BR120" s="1021">
        <f>(VLOOKUP(YEAR($A120),'NY East Load Projections'!$A$4:$EO$14,((MONTH($A120)-1)*12)+VLOOKUP(BR$4,$DE$6:$DF$17,2)+1))*(VLOOKUP($A120,SatSunCurve,7))*(INDEX(DailyScalarsTable,BR$5/100,MONTH($A120)))*$D120</f>
        <v>-13014.460713564127</v>
      </c>
      <c r="BS120" s="1021">
        <f>(VLOOKUP(YEAR($A120),'NY East Load Projections'!$A$4:$EO$14,((MONTH($A120)-1)*12)+VLOOKUP(BS$4,$DE$6:$DF$17,2)+1))*(VLOOKUP($A120,SatSunCurve,7))*(INDEX(DailyScalarsTable,BS$5/100,MONTH($A120)))*$D120</f>
        <v>-13452.486551606749</v>
      </c>
      <c r="BT120" s="1021">
        <f>(VLOOKUP(YEAR($A120),'NY East Load Projections'!$A$4:$EO$14,((MONTH($A120)-1)*12)+VLOOKUP(BT$4,$DE$6:$DF$17,2)+1))*(VLOOKUP($A120,SatSunCurve,7))*(INDEX(DailyScalarsTable,BT$5/100,MONTH($A120)))*$D120</f>
        <v>-14012.752158405454</v>
      </c>
      <c r="BU120" s="1021">
        <f>(VLOOKUP(YEAR($A120),'NY East Load Projections'!$A$4:$EO$14,((MONTH($A120)-1)*12)+VLOOKUP(BU$4,$DE$6:$DF$17,2)+1))*(VLOOKUP($A120,SatSunCurve,7))*(INDEX(DailyScalarsTable,BU$5/100,MONTH($A120)))*$D120</f>
        <v>-14871.486533916928</v>
      </c>
      <c r="BV120" s="1021">
        <f>(VLOOKUP(YEAR($A120),'NY East Load Projections'!$A$4:$EO$14,((MONTH($A120)-1)*12)+VLOOKUP(BV$4,$DE$6:$DF$17,2)+1))*(VLOOKUP($A120,SatSunCurve,7))*(INDEX(DailyScalarsTable,BV$5/100,MONTH($A120)))*$D120</f>
        <v>-14734.305807279603</v>
      </c>
      <c r="BW120" s="1021">
        <f>(VLOOKUP(YEAR($A120),'NY East Load Projections'!$A$4:$EO$14,((MONTH($A120)-1)*12)+VLOOKUP(BW$4,$DE$6:$DF$17,2)+1))*(VLOOKUP($A120,SatSunCurve,7))*(INDEX(DailyScalarsTable,BW$5/100,MONTH($A120)))*$D120</f>
        <v>-14369.188700108412</v>
      </c>
      <c r="BX120" s="1021">
        <f>(VLOOKUP(YEAR($A120),'NY East Load Projections'!$A$4:$EO$14,((MONTH($A120)-1)*12)+VLOOKUP(BX$4,$DE$6:$DF$17,2)+1))*(VLOOKUP($A120,SatSunCurve,7))*(INDEX(DailyScalarsTable,BX$5/100,MONTH($A120)))*$D120</f>
        <v>-12001.369628399319</v>
      </c>
      <c r="BY120" s="1021">
        <f>(VLOOKUP(YEAR($A120),'NY East Load Projections'!$A$4:$EO$14,((MONTH($A120)-1)*12)+VLOOKUP(BY$4,$DE$6:$DF$17,2)+1))*(VLOOKUP($A120,SatSunCurve,7))*(INDEX(DailyScalarsTable,BY$5/100,MONTH($A120)))*$D120</f>
        <v>-8880.558365478104</v>
      </c>
      <c r="BZ120" s="1021">
        <f>(VLOOKUP(YEAR($A120),'NY East Load Projections'!$A$4:$EO$14,((MONTH($A120)-1)*12)+VLOOKUP(BZ$4,$DE$6:$DF$17,2)+1))*(VLOOKUP($A120,SatSunCurve,7))*(INDEX(DailyScalarsTable,BZ$5/100,MONTH($A120)))*$D120</f>
        <v>-9536.6822379414825</v>
      </c>
      <c r="CA120" s="1021">
        <f>(VLOOKUP(YEAR($A120),'NY East Load Projections'!$A$4:$EO$14,((MONTH($A120)-1)*12)+VLOOKUP(CA$4,$DE$6:$DF$17,2)+1))*(VLOOKUP($A120,SatSunCurve,7))*(INDEX(DailyScalarsTable,CA$5/100,MONTH($A120)))*$D120</f>
        <v>-10105.405506286537</v>
      </c>
      <c r="CB120" s="1021">
        <f>(VLOOKUP(YEAR($A120),'NY East Load Projections'!$A$4:$EO$14,((MONTH($A120)-1)*12)+VLOOKUP(CB$4,$DE$6:$DF$17,2)+1))*(VLOOKUP($A120,SatSunCurve,7))*(INDEX(DailyScalarsTable,CB$5/100,MONTH($A120)))*$D120</f>
        <v>-7017.7761406429463</v>
      </c>
      <c r="CC120" s="1021">
        <f>(VLOOKUP(YEAR($A120),'NY East Load Projections'!$A$4:$EO$14,((MONTH($A120)-1)*12)+VLOOKUP(CC$4,$DE$6:$DF$17,2)+1))*(VLOOKUP($A120,CURVES!$D$9:$T$261,7))*(INDEX(DailyScalarsTable,CC$5/100,MONTH($A120)))*$D120</f>
        <v>-10811.59147574937</v>
      </c>
      <c r="CE120" s="1021">
        <f>(VLOOKUP(YEAR($A120),'NY East Load Projections'!$A$4:$EO$14,((MONTH($A120)-1)*12)+VLOOKUP(CE$4,$DE$6:$DF$17,2)+1))*(VLOOKUP($A120,CURVES!$D$9:$T$261,7))*(INDEX(DailyScalarsTable,CE$5/100,MONTH($A120)))*$E120</f>
        <v>-2318.4531893952912</v>
      </c>
      <c r="CF120" s="1021">
        <f>(VLOOKUP(YEAR($A120),'NY East Load Projections'!$A$4:$EO$14,((MONTH($A120)-1)*12)+VLOOKUP(CF$4,$DE$6:$DF$17,2)+1))*(VLOOKUP($A120,CURVES!$D$9:$T$261,7))*(INDEX(DailyScalarsTable,CF$5/100,MONTH($A120)))*$E120</f>
        <v>-2117.7526208455715</v>
      </c>
      <c r="CG120" s="1021">
        <f>(VLOOKUP(YEAR($A120),'NY East Load Projections'!$A$4:$EO$14,((MONTH($A120)-1)*12)+VLOOKUP(CG$4,$DE$6:$DF$17,2)+1))*(VLOOKUP($A120,CURVES!$D$9:$T$261,7))*(INDEX(DailyScalarsTable,CG$5/100,MONTH($A120)))*$E120</f>
        <v>-2017.854364878257</v>
      </c>
      <c r="CH120" s="1021">
        <f>(VLOOKUP(YEAR($A120),'NY East Load Projections'!$A$4:$EO$14,((MONTH($A120)-1)*12)+VLOOKUP(CH$4,$DE$6:$DF$17,2)+1))*(VLOOKUP($A120,CURVES!$D$9:$T$261,7))*(INDEX(DailyScalarsTable,CH$5/100,MONTH($A120)))*$E120</f>
        <v>-1817.1537963285373</v>
      </c>
      <c r="CI120" s="1021">
        <f>(VLOOKUP(YEAR($A120),'NY East Load Projections'!$A$4:$EO$14,((MONTH($A120)-1)*12)+VLOOKUP(CI$4,$DE$6:$DF$17,2)+1))*(VLOOKUP($A120,CURVES!$D$9:$T$261,7))*(INDEX(DailyScalarsTable,CI$5/100,MONTH($A120)))*$E120</f>
        <v>-1745.8022391769821</v>
      </c>
      <c r="CJ120" s="1021">
        <f>(VLOOKUP(YEAR($A120),'NY East Load Projections'!$A$4:$EO$14,((MONTH($A120)-1)*12)+VLOOKUP(CJ$4,$DE$6:$DF$17,2)+1))*(VLOOKUP($A120,CURVES!$D$9:$T$261,7))*(INDEX(DailyScalarsTable,CJ$5/100,MONTH($A120)))*$E120</f>
        <v>-1924.6829193442247</v>
      </c>
      <c r="CK120" s="1021">
        <f>(VLOOKUP(YEAR($A120),'NY East Load Projections'!$A$4:$EO$14,((MONTH($A120)-1)*12)+VLOOKUP(CK$4,$DE$6:$DF$17,2)+1))*(VLOOKUP($A120,CURVES!$D$9:$T$261,7))*(INDEX(DailyScalarsTable,CK$5/100,MONTH($A120)))*$E120</f>
        <v>-2137.4182550929922</v>
      </c>
      <c r="CL120" s="1021">
        <f>(VLOOKUP(YEAR($A120),'NY East Load Projections'!$A$4:$EO$14,((MONTH($A120)-1)*12)+VLOOKUP(CL$4,$DE$6:$DF$17,2)+1))*(VLOOKUP($A120,SatSunCurve,7))*(INDEX(DailyScalarsTable,CL$5/100,MONTH($A120)))*$E120</f>
        <v>-1521.0866077144021</v>
      </c>
      <c r="CM120" s="1021">
        <f>(VLOOKUP(YEAR($A120),'NY East Load Projections'!$A$4:$EO$14,((MONTH($A120)-1)*12)+VLOOKUP(CM$4,$DE$6:$DF$17,2)+1))*(VLOOKUP($A120,SatSunCurve,7))*(INDEX(DailyScalarsTable,CM$5/100,MONTH($A120)))*$E120</f>
        <v>-1797.9856167880296</v>
      </c>
      <c r="CN120" s="1021">
        <f>(VLOOKUP(YEAR($A120),'NY East Load Projections'!$A$4:$EO$14,((MONTH($A120)-1)*12)+VLOOKUP(CN$4,$DE$6:$DF$17,2)+1))*(VLOOKUP($A120,SatSunCurve,7))*(INDEX(DailyScalarsTable,CN$5/100,MONTH($A120)))*$E120</f>
        <v>-2152.6816693341016</v>
      </c>
      <c r="CO120" s="1021">
        <f>(VLOOKUP(YEAR($A120),'NY East Load Projections'!$A$4:$EO$14,((MONTH($A120)-1)*12)+VLOOKUP(CO$4,$DE$6:$DF$17,2)+1))*(VLOOKUP($A120,SatSunCurve,7))*(INDEX(DailyScalarsTable,CO$5/100,MONTH($A120)))*$E120</f>
        <v>-2449.5248757027871</v>
      </c>
      <c r="CP120" s="1021">
        <f>(VLOOKUP(YEAR($A120),'NY East Load Projections'!$A$4:$EO$14,((MONTH($A120)-1)*12)+VLOOKUP(CP$4,$DE$6:$DF$17,2)+1))*(VLOOKUP($A120,SatSunCurve,7))*(INDEX(DailyScalarsTable,CP$5/100,MONTH($A120)))*$E120</f>
        <v>-2928.51612614962</v>
      </c>
      <c r="CQ120" s="1021">
        <f>(VLOOKUP(YEAR($A120),'NY East Load Projections'!$A$4:$EO$14,((MONTH($A120)-1)*12)+VLOOKUP(CQ$4,$DE$6:$DF$17,2)+1))*(VLOOKUP($A120,SatSunCurve,7))*(INDEX(DailyScalarsTable,CQ$5/100,MONTH($A120)))*$E120</f>
        <v>-3253.6151783910318</v>
      </c>
      <c r="CR120" s="1021">
        <f>(VLOOKUP(YEAR($A120),'NY East Load Projections'!$A$4:$EO$14,((MONTH($A120)-1)*12)+VLOOKUP(CR$4,$DE$6:$DF$17,2)+1))*(VLOOKUP($A120,SatSunCurve,7))*(INDEX(DailyScalarsTable,CR$5/100,MONTH($A120)))*$E120</f>
        <v>-3363.1216379016873</v>
      </c>
      <c r="CS120" s="1021">
        <f>(VLOOKUP(YEAR($A120),'NY East Load Projections'!$A$4:$EO$14,((MONTH($A120)-1)*12)+VLOOKUP(CS$4,$DE$6:$DF$17,2)+1))*(VLOOKUP($A120,SatSunCurve,7))*(INDEX(DailyScalarsTable,CS$5/100,MONTH($A120)))*$E120</f>
        <v>-3503.1880396013635</v>
      </c>
      <c r="CT120" s="1021">
        <f>(VLOOKUP(YEAR($A120),'NY East Load Projections'!$A$4:$EO$14,((MONTH($A120)-1)*12)+VLOOKUP(CT$4,$DE$6:$DF$17,2)+1))*(VLOOKUP($A120,SatSunCurve,7))*(INDEX(DailyScalarsTable,CT$5/100,MONTH($A120)))*$E120</f>
        <v>-3717.8716334792321</v>
      </c>
      <c r="CU120" s="1021">
        <f>(VLOOKUP(YEAR($A120),'NY East Load Projections'!$A$4:$EO$14,((MONTH($A120)-1)*12)+VLOOKUP(CU$4,$DE$6:$DF$17,2)+1))*(VLOOKUP($A120,SatSunCurve,7))*(INDEX(DailyScalarsTable,CU$5/100,MONTH($A120)))*$E120</f>
        <v>-3683.5764518199007</v>
      </c>
      <c r="CV120" s="1021">
        <f>(VLOOKUP(YEAR($A120),'NY East Load Projections'!$A$4:$EO$14,((MONTH($A120)-1)*12)+VLOOKUP(CV$4,$DE$6:$DF$17,2)+1))*(VLOOKUP($A120,SatSunCurve,7))*(INDEX(DailyScalarsTable,CV$5/100,MONTH($A120)))*$E120</f>
        <v>-3592.2971750271031</v>
      </c>
      <c r="CW120" s="1021">
        <f>(VLOOKUP(YEAR($A120),'NY East Load Projections'!$A$4:$EO$14,((MONTH($A120)-1)*12)+VLOOKUP(CW$4,$DE$6:$DF$17,2)+1))*(VLOOKUP($A120,SatSunCurve,7))*(INDEX(DailyScalarsTable,CW$5/100,MONTH($A120)))*$E120</f>
        <v>-3000.3424070998299</v>
      </c>
      <c r="CX120" s="1021">
        <f>(VLOOKUP(YEAR($A120),'NY East Load Projections'!$A$4:$EO$14,((MONTH($A120)-1)*12)+VLOOKUP(CX$4,$DE$6:$DF$17,2)+1))*(VLOOKUP($A120,SatSunCurve,7))*(INDEX(DailyScalarsTable,CX$5/100,MONTH($A120)))*$E120</f>
        <v>-2220.139591369526</v>
      </c>
      <c r="CY120" s="1021">
        <f>(VLOOKUP(YEAR($A120),'NY East Load Projections'!$A$4:$EO$14,((MONTH($A120)-1)*12)+VLOOKUP(CY$4,$DE$6:$DF$17,2)+1))*(VLOOKUP($A120,SatSunCurve,7))*(INDEX(DailyScalarsTable,CY$5/100,MONTH($A120)))*$E120</f>
        <v>-2384.1705594853706</v>
      </c>
      <c r="CZ120" s="1021">
        <f>(VLOOKUP(YEAR($A120),'NY East Load Projections'!$A$4:$EO$14,((MONTH($A120)-1)*12)+VLOOKUP(CZ$4,$DE$6:$DF$17,2)+1))*(VLOOKUP($A120,SatSunCurve,7))*(INDEX(DailyScalarsTable,CZ$5/100,MONTH($A120)))*$E120</f>
        <v>-2526.3513765716343</v>
      </c>
      <c r="DA120" s="1021">
        <f>(VLOOKUP(YEAR($A120),'NY East Load Projections'!$A$4:$EO$14,((MONTH($A120)-1)*12)+VLOOKUP(DA$4,$DE$6:$DF$17,2)+1))*(VLOOKUP($A120,SatSunCurve,7))*(INDEX(DailyScalarsTable,DA$5/100,MONTH($A120)))*$E120</f>
        <v>-1754.4440351607366</v>
      </c>
      <c r="DB120" s="1021">
        <f>(VLOOKUP(YEAR($A120),'NY East Load Projections'!$A$4:$EO$14,((MONTH($A120)-1)*12)+VLOOKUP(DB$4,$DE$6:$DF$17,2)+1))*(VLOOKUP($A120,CURVES!$D$9:$T$261,7))*(INDEX(DailyScalarsTable,DB$5/100,MONTH($A120)))*$E120</f>
        <v>-2702.8978689373425</v>
      </c>
      <c r="DH120" s="1032">
        <f t="shared" si="2"/>
        <v>-3574236.1162279858</v>
      </c>
      <c r="DI120">
        <f ca="1">CALC!J140</f>
        <v>0.46644625865360617</v>
      </c>
      <c r="DJ120" s="1029">
        <f t="shared" ca="1" si="3"/>
        <v>-1667189.0639591399</v>
      </c>
    </row>
    <row r="121" spans="1:114" x14ac:dyDescent="0.25">
      <c r="A121" s="244">
        <v>40391</v>
      </c>
      <c r="B121" s="13">
        <v>22</v>
      </c>
      <c r="C121" s="210">
        <v>4</v>
      </c>
      <c r="D121" s="210">
        <v>5</v>
      </c>
      <c r="E121" s="210">
        <v>0</v>
      </c>
      <c r="F121" s="13">
        <v>31</v>
      </c>
      <c r="H121" s="1021">
        <f>(VLOOKUP(YEAR($A121),'NY East Load Projections'!$A$4:$EO$14,((MONTH($A121)-1)*12)+VLOOKUP(H$4,$DE$6:$DF$17,2)+1))*(VLOOKUP($A121,CURVES!$D$9:$K$261,7))*(INDEX(DailyScalarsTable,H$5/100,MONTH($A121)))*$B121</f>
        <v>-53991.360597710736</v>
      </c>
      <c r="I121" s="1021">
        <f>(VLOOKUP(YEAR($A121),'NY East Load Projections'!$A$4:$EO$14,((MONTH($A121)-1)*12)+VLOOKUP(I$4,$DE$6:$DF$17,2)+1))*(VLOOKUP($A121,CURVES!$D$9:$K$261,7))*(INDEX(DailyScalarsTable,I$5/100,MONTH($A121)))*$B121</f>
        <v>-48738.946892612592</v>
      </c>
      <c r="J121" s="1021">
        <f>(VLOOKUP(YEAR($A121),'NY East Load Projections'!$A$4:$EO$14,((MONTH($A121)-1)*12)+VLOOKUP(J$4,$DE$6:$DF$17,2)+1))*(VLOOKUP($A121,CURVES!$D$9:$K$261,7))*(INDEX(DailyScalarsTable,J$5/100,MONTH($A121)))*$B121</f>
        <v>-43770.114209151216</v>
      </c>
      <c r="K121" s="1021">
        <f>(VLOOKUP(YEAR($A121),'NY East Load Projections'!$A$4:$EO$14,((MONTH($A121)-1)*12)+VLOOKUP(K$4,$DE$6:$DF$17,2)+1))*(VLOOKUP($A121,CURVES!$D$9:$K$261,7))*(INDEX(DailyScalarsTable,K$5/100,MONTH($A121)))*$B121</f>
        <v>-41180.896185511272</v>
      </c>
      <c r="L121" s="1021">
        <f>(VLOOKUP(YEAR($A121),'NY East Load Projections'!$A$4:$EO$14,((MONTH($A121)-1)*12)+VLOOKUP(L$4,$DE$6:$DF$17,2)+1))*(VLOOKUP($A121,CURVES!$D$9:$K$261,7))*(INDEX(DailyScalarsTable,L$5/100,MONTH($A121)))*$B121</f>
        <v>-45163.706826107475</v>
      </c>
      <c r="M121" s="1021">
        <f>(VLOOKUP(YEAR($A121),'NY East Load Projections'!$A$4:$EO$14,((MONTH($A121)-1)*12)+VLOOKUP(M$4,$DE$6:$DF$17,2)+1))*(VLOOKUP($A121,CURVES!$D$9:$K$261,7))*(INDEX(DailyScalarsTable,M$5/100,MONTH($A121)))*$B121</f>
        <v>-50179.00164238998</v>
      </c>
      <c r="N121" s="1021">
        <f>(VLOOKUP(YEAR($A121),'NY East Load Projections'!$A$4:$EO$14,((MONTH($A121)-1)*12)+VLOOKUP(N$4,$DE$6:$DF$17,2)+1))*(VLOOKUP($A121,CURVES!$D$9:$K$261,7))*(INDEX(DailyScalarsTable,N$5/100,MONTH($A121)))*$B121</f>
        <v>-58385.847705397675</v>
      </c>
      <c r="O121" s="1021">
        <f>(VLOOKUP(YEAR($A121),'NY East Load Projections'!$A$4:$EO$14,((MONTH($A121)-1)*12)+VLOOKUP(O$4,$DE$6:$DF$17,2)+1))*(VLOOKUP($A121,CURVES!$D$9:$K$261,3))*(INDEX(DailyScalarsTable,O$5/100,MONTH($A121)))*$B121</f>
        <v>-100879.96226276932</v>
      </c>
      <c r="P121" s="1021">
        <f>(VLOOKUP(YEAR($A121),'NY East Load Projections'!$A$4:$EO$14,((MONTH($A121)-1)*12)+VLOOKUP(P$4,$DE$6:$DF$17,2)+1))*(VLOOKUP($A121,CURVES!$D$9:$K$261,3))*(INDEX(DailyScalarsTable,P$5/100,MONTH($A121)))*$B121</f>
        <v>-118093.48719153744</v>
      </c>
      <c r="Q121" s="1021">
        <f>(VLOOKUP(YEAR($A121),'NY East Load Projections'!$A$4:$EO$14,((MONTH($A121)-1)*12)+VLOOKUP(Q$4,$DE$6:$DF$17,2)+1))*(VLOOKUP($A121,CURVES!$D$9:$K$261,3))*(INDEX(DailyScalarsTable,Q$5/100,MONTH($A121)))*$B121</f>
        <v>-151447.63206386764</v>
      </c>
      <c r="R121" s="1021">
        <f>(VLOOKUP(YEAR($A121),'NY East Load Projections'!$A$4:$EO$14,((MONTH($A121)-1)*12)+VLOOKUP(R$4,$DE$6:$DF$17,2)+1))*(VLOOKUP($A121,CURVES!$D$9:$K$261,3))*(INDEX(DailyScalarsTable,R$5/100,MONTH($A121)))*$B121</f>
        <v>-170931.73649423869</v>
      </c>
      <c r="S121" s="1021">
        <f>(VLOOKUP(YEAR($A121),'NY East Load Projections'!$A$4:$EO$14,((MONTH($A121)-1)*12)+VLOOKUP(S$4,$DE$6:$DF$17,2)+1))*(VLOOKUP($A121,CURVES!$D$9:$K$261,3))*(INDEX(DailyScalarsTable,S$5/100,MONTH($A121)))*$B121</f>
        <v>-178174.97983615068</v>
      </c>
      <c r="T121" s="1021">
        <f>(VLOOKUP(YEAR($A121),'NY East Load Projections'!$A$4:$EO$14,((MONTH($A121)-1)*12)+VLOOKUP(T$4,$DE$6:$DF$17,2)+1))*(VLOOKUP($A121,CURVES!$D$9:$K$261,3))*(INDEX(DailyScalarsTable,T$5/100,MONTH($A121)))*$B121</f>
        <v>-178690.63283804772</v>
      </c>
      <c r="U121" s="1021">
        <f>(VLOOKUP(YEAR($A121),'NY East Load Projections'!$A$4:$EO$14,((MONTH($A121)-1)*12)+VLOOKUP(U$4,$DE$6:$DF$17,2)+1))*(VLOOKUP($A121,CURVES!$D$9:$K$261,3))*(INDEX(DailyScalarsTable,U$5/100,MONTH($A121)))*$B121</f>
        <v>-196161.31994452022</v>
      </c>
      <c r="V121" s="1021">
        <f>(VLOOKUP(YEAR($A121),'NY East Load Projections'!$A$4:$EO$14,((MONTH($A121)-1)*12)+VLOOKUP(V$4,$DE$6:$DF$17,2)+1))*(VLOOKUP($A121,CURVES!$D$9:$K$261,3))*(INDEX(DailyScalarsTable,V$5/100,MONTH($A121)))*$B121</f>
        <v>-207667.49221719062</v>
      </c>
      <c r="W121" s="1021">
        <f>(VLOOKUP(YEAR($A121),'NY East Load Projections'!$A$4:$EO$14,((MONTH($A121)-1)*12)+VLOOKUP(W$4,$DE$6:$DF$17,2)+1))*(VLOOKUP($A121,CURVES!$D$9:$K$261,3))*(INDEX(DailyScalarsTable,W$5/100,MONTH($A121)))*$B121</f>
        <v>-204774.25740974932</v>
      </c>
      <c r="X121" s="1021">
        <f>(VLOOKUP(YEAR($A121),'NY East Load Projections'!$A$4:$EO$14,((MONTH($A121)-1)*12)+VLOOKUP(X$4,$DE$6:$DF$17,2)+1))*(VLOOKUP($A121,CURVES!$D$9:$K$261,3))*(INDEX(DailyScalarsTable,X$5/100,MONTH($A121)))*$B121</f>
        <v>-192177.73434484706</v>
      </c>
      <c r="Y121" s="1021">
        <f>(VLOOKUP(YEAR($A121),'NY East Load Projections'!$A$4:$EO$14,((MONTH($A121)-1)*12)+VLOOKUP(Y$4,$DE$6:$DF$17,2)+1))*(VLOOKUP($A121,CURVES!$D$9:$K$261,3))*(INDEX(DailyScalarsTable,Y$5/100,MONTH($A121)))*$B121</f>
        <v>-177968.46223685026</v>
      </c>
      <c r="Z121" s="1021">
        <f>(VLOOKUP(YEAR($A121),'NY East Load Projections'!$A$4:$EO$14,((MONTH($A121)-1)*12)+VLOOKUP(Z$4,$DE$6:$DF$17,2)+1))*(VLOOKUP($A121,CURVES!$D$9:$K$261,3))*(INDEX(DailyScalarsTable,Z$5/100,MONTH($A121)))*$B121</f>
        <v>-145062.77946043661</v>
      </c>
      <c r="AA121" s="1021">
        <f>(VLOOKUP(YEAR($A121),'NY East Load Projections'!$A$4:$EO$14,((MONTH($A121)-1)*12)+VLOOKUP(AA$4,$DE$6:$DF$17,2)+1))*(VLOOKUP($A121,CURVES!$D$9:$K$261,3))*(INDEX(DailyScalarsTable,AA$5/100,MONTH($A121)))*$B121</f>
        <v>-132071.44496169669</v>
      </c>
      <c r="AB121" s="1021">
        <f>(VLOOKUP(YEAR($A121),'NY East Load Projections'!$A$4:$EO$14,((MONTH($A121)-1)*12)+VLOOKUP(AB$4,$DE$6:$DF$17,2)+1))*(VLOOKUP($A121,CURVES!$D$9:$K$261,3))*(INDEX(DailyScalarsTable,AB$5/100,MONTH($A121)))*$B121</f>
        <v>-154644.62571124636</v>
      </c>
      <c r="AC121" s="1021">
        <f>(VLOOKUP(YEAR($A121),'NY East Load Projections'!$A$4:$EO$14,((MONTH($A121)-1)*12)+VLOOKUP(AC$4,$DE$6:$DF$17,2)+1))*(VLOOKUP($A121,CURVES!$D$9:$K$261,3))*(INDEX(DailyScalarsTable,AC$5/100,MONTH($A121)))*$B121</f>
        <v>-131498.63827034493</v>
      </c>
      <c r="AD121" s="1021">
        <f>(VLOOKUP(YEAR($A121),'NY East Load Projections'!$A$4:$EO$14,((MONTH($A121)-1)*12)+VLOOKUP(AD$4,$DE$6:$DF$17,2)+1))*(VLOOKUP($A121,CURVES!$D$9:$K$261,3))*(INDEX(DailyScalarsTable,AD$5/100,MONTH($A121)))*$B121</f>
        <v>-106483.47314950808</v>
      </c>
      <c r="AE121" s="1021">
        <f>(VLOOKUP(YEAR($A121),'NY East Load Projections'!$A$4:$EO$14,((MONTH($A121)-1)*12)+VLOOKUP(AE$4,$DE$6:$DF$17,2)+1))*(VLOOKUP($A121,CURVES!$D$9:$K$261,7))*(INDEX(DailyScalarsTable,AE$5/100,MONTH($A121)))*$B121</f>
        <v>-64064.502838988956</v>
      </c>
      <c r="AF121" s="1021"/>
      <c r="AG121" s="1021">
        <f>(VLOOKUP(YEAR($A121),'NY East Load Projections'!$A$4:$EO$14,((MONTH($A121)-1)*12)+VLOOKUP(AG$4,$DE$6:$DF$17,2)+1))*(VLOOKUP($A121,CURVES!$D$9:$T$261,7))*(INDEX(DailyScalarsTable,AG$5/100,MONTH($A121)))*$C121</f>
        <v>-9642.5776518030925</v>
      </c>
      <c r="AH121" s="1021">
        <f>(VLOOKUP(YEAR($A121),'NY East Load Projections'!$A$4:$EO$14,((MONTH($A121)-1)*12)+VLOOKUP(AH$4,$DE$6:$DF$17,2)+1))*(VLOOKUP($A121,CURVES!$D$9:$T$261,7))*(INDEX(DailyScalarsTable,AH$5/100,MONTH($A121)))*$C121</f>
        <v>-8704.5237400268634</v>
      </c>
      <c r="AI121" s="1021">
        <f>(VLOOKUP(YEAR($A121),'NY East Load Projections'!$A$4:$EO$14,((MONTH($A121)-1)*12)+VLOOKUP(AI$4,$DE$6:$DF$17,2)+1))*(VLOOKUP($A121,CURVES!$D$9:$T$261,7))*(INDEX(DailyScalarsTable,AI$5/100,MONTH($A121)))*$C121</f>
        <v>-7817.1159314685983</v>
      </c>
      <c r="AJ121" s="1021">
        <f>(VLOOKUP(YEAR($A121),'NY East Load Projections'!$A$4:$EO$14,((MONTH($A121)-1)*12)+VLOOKUP(AJ$4,$DE$6:$DF$17,2)+1))*(VLOOKUP($A121,CURVES!$D$9:$T$261,7))*(INDEX(DailyScalarsTable,AJ$5/100,MONTH($A121)))*$C121</f>
        <v>-7354.6949890436936</v>
      </c>
      <c r="AK121" s="1021">
        <f>(VLOOKUP(YEAR($A121),'NY East Load Projections'!$A$4:$EO$14,((MONTH($A121)-1)*12)+VLOOKUP(AK$4,$DE$6:$DF$17,2)+1))*(VLOOKUP($A121,CURVES!$D$9:$T$261,7))*(INDEX(DailyScalarsTable,AK$5/100,MONTH($A121)))*$C121</f>
        <v>-7751.4266469813074</v>
      </c>
      <c r="AL121" s="1021">
        <f>(VLOOKUP(YEAR($A121),'NY East Load Projections'!$A$4:$EO$14,((MONTH($A121)-1)*12)+VLOOKUP(AL$4,$DE$6:$DF$17,2)+1))*(VLOOKUP($A121,CURVES!$D$9:$T$261,7))*(INDEX(DailyScalarsTable,AL$5/100,MONTH($A121)))*$C121</f>
        <v>-8612.1994358730917</v>
      </c>
      <c r="AM121" s="1021">
        <f>(VLOOKUP(YEAR($A121),'NY East Load Projections'!$A$4:$EO$14,((MONTH($A121)-1)*12)+VLOOKUP(AM$4,$DE$6:$DF$17,2)+1))*(VLOOKUP($A121,CURVES!$D$9:$T$261,7))*(INDEX(DailyScalarsTable,AM$5/100,MONTH($A121)))*$C121</f>
        <v>-10020.736726786912</v>
      </c>
      <c r="AN121" s="1021">
        <f>(VLOOKUP(YEAR($A121),'NY East Load Projections'!$A$4:$EO$14,((MONTH($A121)-1)*12)+VLOOKUP(AN$4,$DE$6:$DF$17,2)+1))*(VLOOKUP($A121,SatSunCurve,3))*(INDEX(DailyScalarsTable,AN$5/100,MONTH($A121)))*$C121</f>
        <v>-10321.658279325462</v>
      </c>
      <c r="AO121" s="1021">
        <f>(VLOOKUP(YEAR($A121),'NY East Load Projections'!$A$4:$EO$14,((MONTH($A121)-1)*12)+VLOOKUP(AO$4,$DE$6:$DF$17,2)+1))*(VLOOKUP($A121,SatSunCurve,3))*(INDEX(DailyScalarsTable,AO$5/100,MONTH($A121)))*$C121</f>
        <v>-12183.331340061592</v>
      </c>
      <c r="AP121" s="1021">
        <f>(VLOOKUP(YEAR($A121),'NY East Load Projections'!$A$4:$EO$14,((MONTH($A121)-1)*12)+VLOOKUP(AP$4,$DE$6:$DF$17,2)+1))*(VLOOKUP($A121,SatSunCurve,3))*(INDEX(DailyScalarsTable,AP$5/100,MONTH($A121)))*$C121</f>
        <v>-15624.372909821715</v>
      </c>
      <c r="AQ121" s="1021">
        <f>(VLOOKUP(YEAR($A121),'NY East Load Projections'!$A$4:$EO$14,((MONTH($A121)-1)*12)+VLOOKUP(AQ$4,$DE$6:$DF$17,2)+1))*(VLOOKUP($A121,SatSunCurve,3))*(INDEX(DailyScalarsTable,AQ$5/100,MONTH($A121)))*$C121</f>
        <v>-17634.486302057823</v>
      </c>
      <c r="AR121" s="1021">
        <f>(VLOOKUP(YEAR($A121),'NY East Load Projections'!$A$4:$EO$14,((MONTH($A121)-1)*12)+VLOOKUP(AR$4,$DE$6:$DF$17,2)+1))*(VLOOKUP($A121,SatSunCurve,3))*(INDEX(DailyScalarsTable,AR$5/100,MONTH($A121)))*$C121</f>
        <v>-18381.748794764808</v>
      </c>
      <c r="AS121" s="1021">
        <f>(VLOOKUP(YEAR($A121),'NY East Load Projections'!$A$4:$EO$14,((MONTH($A121)-1)*12)+VLOOKUP(AS$4,$DE$6:$DF$17,2)+1))*(VLOOKUP($A121,SatSunCurve,3))*(INDEX(DailyScalarsTable,AS$5/100,MONTH($A121)))*$C121</f>
        <v>-18446.119674602454</v>
      </c>
      <c r="AT121" s="1021">
        <f>(VLOOKUP(YEAR($A121),'NY East Load Projections'!$A$4:$EO$14,((MONTH($A121)-1)*12)+VLOOKUP(AT$4,$DE$6:$DF$17,2)+1))*(VLOOKUP($A121,SatSunCurve,3))*(INDEX(DailyScalarsTable,AT$5/100,MONTH($A121)))*$C121</f>
        <v>-20249.607524217965</v>
      </c>
      <c r="AU121" s="1021">
        <f>(VLOOKUP(YEAR($A121),'NY East Load Projections'!$A$4:$EO$14,((MONTH($A121)-1)*12)+VLOOKUP(AU$4,$DE$6:$DF$17,2)+1))*(VLOOKUP($A121,SatSunCurve,3))*(INDEX(DailyScalarsTable,AU$5/100,MONTH($A121)))*$C121</f>
        <v>-21437.38232453799</v>
      </c>
      <c r="AV121" s="1021">
        <f>(VLOOKUP(YEAR($A121),'NY East Load Projections'!$A$4:$EO$14,((MONTH($A121)-1)*12)+VLOOKUP(AV$4,$DE$6:$DF$17,2)+1))*(VLOOKUP($A121,SatSunCurve,3))*(INDEX(DailyScalarsTable,AV$5/100,MONTH($A121)))*$C121</f>
        <v>-21138.715546894658</v>
      </c>
      <c r="AW121" s="1021">
        <f>(VLOOKUP(YEAR($A121),'NY East Load Projections'!$A$4:$EO$14,((MONTH($A121)-1)*12)+VLOOKUP(AW$4,$DE$6:$DF$17,2)+1))*(VLOOKUP($A121,SatSunCurve,3))*(INDEX(DailyScalarsTable,AW$5/100,MONTH($A121)))*$C121</f>
        <v>-20013.109011519729</v>
      </c>
      <c r="AX121" s="1021">
        <f>(VLOOKUP(YEAR($A121),'NY East Load Projections'!$A$4:$EO$14,((MONTH($A121)-1)*12)+VLOOKUP(AX$4,$DE$6:$DF$17,2)+1))*(VLOOKUP($A121,SatSunCurve,3))*(INDEX(DailyScalarsTable,AX$5/100,MONTH($A121)))*$C121</f>
        <v>-18533.37613486189</v>
      </c>
      <c r="AY121" s="1021">
        <f>(VLOOKUP(YEAR($A121),'NY East Load Projections'!$A$4:$EO$14,((MONTH($A121)-1)*12)+VLOOKUP(AY$4,$DE$6:$DF$17,2)+1))*(VLOOKUP($A121,SatSunCurve,3))*(INDEX(DailyScalarsTable,AY$5/100,MONTH($A121)))*$C121</f>
        <v>-15106.626315233207</v>
      </c>
      <c r="AZ121" s="1021">
        <f>(VLOOKUP(YEAR($A121),'NY East Load Projections'!$A$4:$EO$14,((MONTH($A121)-1)*12)+VLOOKUP(AZ$4,$DE$6:$DF$17,2)+1))*(VLOOKUP($A121,SatSunCurve,3))*(INDEX(DailyScalarsTable,AZ$5/100,MONTH($A121)))*$C121</f>
        <v>-13753.727685146039</v>
      </c>
      <c r="BA121" s="1021">
        <f>(VLOOKUP(YEAR($A121),'NY East Load Projections'!$A$4:$EO$14,((MONTH($A121)-1)*12)+VLOOKUP(BA$4,$DE$6:$DF$17,2)+1))*(VLOOKUP($A121,SatSunCurve,3))*(INDEX(DailyScalarsTable,BA$5/100,MONTH($A121)))*$C121</f>
        <v>-16684.985338203711</v>
      </c>
      <c r="BB121" s="1021">
        <f>(VLOOKUP(YEAR($A121),'NY East Load Projections'!$A$4:$EO$14,((MONTH($A121)-1)*12)+VLOOKUP(BB$4,$DE$6:$DF$17,2)+1))*(VLOOKUP($A121,SatSunCurve,3))*(INDEX(DailyScalarsTable,BB$5/100,MONTH($A121)))*$C121</f>
        <v>-14187.708376178625</v>
      </c>
      <c r="BC121" s="1021">
        <f>(VLOOKUP(YEAR($A121),'NY East Load Projections'!$A$4:$EO$14,((MONTH($A121)-1)*12)+VLOOKUP(BC$4,$DE$6:$DF$17,2)+1))*(VLOOKUP($A121,SatSunCurve,3))*(INDEX(DailyScalarsTable,BC$5/100,MONTH($A121)))*$C121</f>
        <v>-11488.761281481402</v>
      </c>
      <c r="BD121" s="1021">
        <f>(VLOOKUP(YEAR($A121),'NY East Load Projections'!$A$4:$EO$14,((MONTH($A121)-1)*12)+VLOOKUP(BD$4,$DE$6:$DF$17,2)+1))*(VLOOKUP($A121,CURVES!$D$9:$T$261,7))*(INDEX(DailyScalarsTable,BD$5/100,MONTH($A121)))*$C121</f>
        <v>-11594.604902203671</v>
      </c>
      <c r="BE121" s="1021"/>
      <c r="BF121" s="1021">
        <f>(VLOOKUP(YEAR($A121),'NY East Load Projections'!$A$4:$EO$14,((MONTH($A121)-1)*12)+VLOOKUP(BF$4,$DE$6:$DF$17,2)+1))*(VLOOKUP($A121,CURVES!$D$9:$T$261,7))*(INDEX(DailyScalarsTable,BF$5/100,MONTH($A121)))*$D121</f>
        <v>-12053.222064753865</v>
      </c>
      <c r="BG121" s="1021">
        <f>(VLOOKUP(YEAR($A121),'NY East Load Projections'!$A$4:$EO$14,((MONTH($A121)-1)*12)+VLOOKUP(BG$4,$DE$6:$DF$17,2)+1))*(VLOOKUP($A121,CURVES!$D$9:$T$261,7))*(INDEX(DailyScalarsTable,BG$5/100,MONTH($A121)))*$D121</f>
        <v>-10880.65467503358</v>
      </c>
      <c r="BH121" s="1021">
        <f>(VLOOKUP(YEAR($A121),'NY East Load Projections'!$A$4:$EO$14,((MONTH($A121)-1)*12)+VLOOKUP(BH$4,$DE$6:$DF$17,2)+1))*(VLOOKUP($A121,CURVES!$D$9:$T$261,7))*(INDEX(DailyScalarsTable,BH$5/100,MONTH($A121)))*$D121</f>
        <v>-9771.3949143357477</v>
      </c>
      <c r="BI121" s="1021">
        <f>(VLOOKUP(YEAR($A121),'NY East Load Projections'!$A$4:$EO$14,((MONTH($A121)-1)*12)+VLOOKUP(BI$4,$DE$6:$DF$17,2)+1))*(VLOOKUP($A121,CURVES!$D$9:$T$261,7))*(INDEX(DailyScalarsTable,BI$5/100,MONTH($A121)))*$D121</f>
        <v>-9193.3687363046174</v>
      </c>
      <c r="BJ121" s="1021">
        <f>(VLOOKUP(YEAR($A121),'NY East Load Projections'!$A$4:$EO$14,((MONTH($A121)-1)*12)+VLOOKUP(BJ$4,$DE$6:$DF$17,2)+1))*(VLOOKUP($A121,CURVES!$D$9:$T$261,7))*(INDEX(DailyScalarsTable,BJ$5/100,MONTH($A121)))*$D121</f>
        <v>-9689.2833087266335</v>
      </c>
      <c r="BK121" s="1021">
        <f>(VLOOKUP(YEAR($A121),'NY East Load Projections'!$A$4:$EO$14,((MONTH($A121)-1)*12)+VLOOKUP(BK$4,$DE$6:$DF$17,2)+1))*(VLOOKUP($A121,CURVES!$D$9:$T$261,7))*(INDEX(DailyScalarsTable,BK$5/100,MONTH($A121)))*$D121</f>
        <v>-10765.249294841364</v>
      </c>
      <c r="BL121" s="1021">
        <f>(VLOOKUP(YEAR($A121),'NY East Load Projections'!$A$4:$EO$14,((MONTH($A121)-1)*12)+VLOOKUP(BL$4,$DE$6:$DF$17,2)+1))*(VLOOKUP($A121,CURVES!$D$9:$T$261,7))*(INDEX(DailyScalarsTable,BL$5/100,MONTH($A121)))*$D121</f>
        <v>-12525.92090848364</v>
      </c>
      <c r="BM121" s="1021">
        <f>(VLOOKUP(YEAR($A121),'NY East Load Projections'!$A$4:$EO$14,((MONTH($A121)-1)*12)+VLOOKUP(BM$4,$DE$6:$DF$17,2)+1))*(VLOOKUP($A121,SatSunCurve,7))*(INDEX(DailyScalarsTable,BM$5/100,MONTH($A121)))*$D121</f>
        <v>-9512.1699539418642</v>
      </c>
      <c r="BN121" s="1021">
        <f>(VLOOKUP(YEAR($A121),'NY East Load Projections'!$A$4:$EO$14,((MONTH($A121)-1)*12)+VLOOKUP(BN$4,$DE$6:$DF$17,2)+1))*(VLOOKUP($A121,SatSunCurve,7))*(INDEX(DailyScalarsTable,BN$5/100,MONTH($A121)))*$D121</f>
        <v>-11227.839090931982</v>
      </c>
      <c r="BO121" s="1021">
        <f>(VLOOKUP(YEAR($A121),'NY East Load Projections'!$A$4:$EO$14,((MONTH($A121)-1)*12)+VLOOKUP(BO$4,$DE$6:$DF$17,2)+1))*(VLOOKUP($A121,SatSunCurve,7))*(INDEX(DailyScalarsTable,BO$5/100,MONTH($A121)))*$D121</f>
        <v>-14399.012883393196</v>
      </c>
      <c r="BP121" s="1021">
        <f>(VLOOKUP(YEAR($A121),'NY East Load Projections'!$A$4:$EO$14,((MONTH($A121)-1)*12)+VLOOKUP(BP$4,$DE$6:$DF$17,2)+1))*(VLOOKUP($A121,SatSunCurve,7))*(INDEX(DailyScalarsTable,BP$5/100,MONTH($A121)))*$D121</f>
        <v>-16251.480742355681</v>
      </c>
      <c r="BQ121" s="1021">
        <f>(VLOOKUP(YEAR($A121),'NY East Load Projections'!$A$4:$EO$14,((MONTH($A121)-1)*12)+VLOOKUP(BQ$4,$DE$6:$DF$17,2)+1))*(VLOOKUP($A121,SatSunCurve,7))*(INDEX(DailyScalarsTable,BQ$5/100,MONTH($A121)))*$D121</f>
        <v>-16940.138285405013</v>
      </c>
      <c r="BR121" s="1021">
        <f>(VLOOKUP(YEAR($A121),'NY East Load Projections'!$A$4:$EO$14,((MONTH($A121)-1)*12)+VLOOKUP(BR$4,$DE$6:$DF$17,2)+1))*(VLOOKUP($A121,SatSunCurve,7))*(INDEX(DailyScalarsTable,BR$5/100,MONTH($A121)))*$D121</f>
        <v>-16999.4608024396</v>
      </c>
      <c r="BS121" s="1021">
        <f>(VLOOKUP(YEAR($A121),'NY East Load Projections'!$A$4:$EO$14,((MONTH($A121)-1)*12)+VLOOKUP(BS$4,$DE$6:$DF$17,2)+1))*(VLOOKUP($A121,SatSunCurve,7))*(INDEX(DailyScalarsTable,BS$5/100,MONTH($A121)))*$D121</f>
        <v>-18661.507972686843</v>
      </c>
      <c r="BT121" s="1021">
        <f>(VLOOKUP(YEAR($A121),'NY East Load Projections'!$A$4:$EO$14,((MONTH($A121)-1)*12)+VLOOKUP(BT$4,$DE$6:$DF$17,2)+1))*(VLOOKUP($A121,SatSunCurve,7))*(INDEX(DailyScalarsTable,BT$5/100,MONTH($A121)))*$D121</f>
        <v>-19756.130121754133</v>
      </c>
      <c r="BU121" s="1021">
        <f>(VLOOKUP(YEAR($A121),'NY East Load Projections'!$A$4:$EO$14,((MONTH($A121)-1)*12)+VLOOKUP(BU$4,$DE$6:$DF$17,2)+1))*(VLOOKUP($A121,SatSunCurve,7))*(INDEX(DailyScalarsTable,BU$5/100,MONTH($A121)))*$D121</f>
        <v>-19480.886641331024</v>
      </c>
      <c r="BV121" s="1021">
        <f>(VLOOKUP(YEAR($A121),'NY East Load Projections'!$A$4:$EO$14,((MONTH($A121)-1)*12)+VLOOKUP(BV$4,$DE$6:$DF$17,2)+1))*(VLOOKUP($A121,SatSunCurve,7))*(INDEX(DailyScalarsTable,BV$5/100,MONTH($A121)))*$D121</f>
        <v>-18443.557137098131</v>
      </c>
      <c r="BW121" s="1021">
        <f>(VLOOKUP(YEAR($A121),'NY East Load Projections'!$A$4:$EO$14,((MONTH($A121)-1)*12)+VLOOKUP(BW$4,$DE$6:$DF$17,2)+1))*(VLOOKUP($A121,SatSunCurve,7))*(INDEX(DailyScalarsTable,BW$5/100,MONTH($A121)))*$D121</f>
        <v>-17079.874071035174</v>
      </c>
      <c r="BX121" s="1021">
        <f>(VLOOKUP(YEAR($A121),'NY East Load Projections'!$A$4:$EO$14,((MONTH($A121)-1)*12)+VLOOKUP(BX$4,$DE$6:$DF$17,2)+1))*(VLOOKUP($A121,SatSunCurve,7))*(INDEX(DailyScalarsTable,BX$5/100,MONTH($A121)))*$D121</f>
        <v>-13921.871181205162</v>
      </c>
      <c r="BY121" s="1021">
        <f>(VLOOKUP(YEAR($A121),'NY East Load Projections'!$A$4:$EO$14,((MONTH($A121)-1)*12)+VLOOKUP(BY$4,$DE$6:$DF$17,2)+1))*(VLOOKUP($A121,SatSunCurve,7))*(INDEX(DailyScalarsTable,BY$5/100,MONTH($A121)))*$D121</f>
        <v>-12675.075235090459</v>
      </c>
      <c r="BZ121" s="1021">
        <f>(VLOOKUP(YEAR($A121),'NY East Load Projections'!$A$4:$EO$14,((MONTH($A121)-1)*12)+VLOOKUP(BZ$4,$DE$6:$DF$17,2)+1))*(VLOOKUP($A121,SatSunCurve,7))*(INDEX(DailyScalarsTable,BZ$5/100,MONTH($A121)))*$D121</f>
        <v>-15376.445520767025</v>
      </c>
      <c r="CA121" s="1021">
        <f>(VLOOKUP(YEAR($A121),'NY East Load Projections'!$A$4:$EO$14,((MONTH($A121)-1)*12)+VLOOKUP(CA$4,$DE$6:$DF$17,2)+1))*(VLOOKUP($A121,SatSunCurve,7))*(INDEX(DailyScalarsTable,CA$5/100,MONTH($A121)))*$D121</f>
        <v>-13075.02047432588</v>
      </c>
      <c r="CB121" s="1021">
        <f>(VLOOKUP(YEAR($A121),'NY East Load Projections'!$A$4:$EO$14,((MONTH($A121)-1)*12)+VLOOKUP(CB$4,$DE$6:$DF$17,2)+1))*(VLOOKUP($A121,SatSunCurve,7))*(INDEX(DailyScalarsTable,CB$5/100,MONTH($A121)))*$D121</f>
        <v>-10587.741515199616</v>
      </c>
      <c r="CC121" s="1021">
        <f>(VLOOKUP(YEAR($A121),'NY East Load Projections'!$A$4:$EO$14,((MONTH($A121)-1)*12)+VLOOKUP(CC$4,$DE$6:$DF$17,2)+1))*(VLOOKUP($A121,CURVES!$D$9:$T$261,7))*(INDEX(DailyScalarsTable,CC$5/100,MONTH($A121)))*$D121</f>
        <v>-14493.25612775459</v>
      </c>
      <c r="CE121" s="1021">
        <f>(VLOOKUP(YEAR($A121),'NY East Load Projections'!$A$4:$EO$14,((MONTH($A121)-1)*12)+VLOOKUP(CE$4,$DE$6:$DF$17,2)+1))*(VLOOKUP($A121,CURVES!$D$9:$T$261,7))*(INDEX(DailyScalarsTable,CE$5/100,MONTH($A121)))*$E121</f>
        <v>0</v>
      </c>
      <c r="CF121" s="1021">
        <f>(VLOOKUP(YEAR($A121),'NY East Load Projections'!$A$4:$EO$14,((MONTH($A121)-1)*12)+VLOOKUP(CF$4,$DE$6:$DF$17,2)+1))*(VLOOKUP($A121,CURVES!$D$9:$T$261,7))*(INDEX(DailyScalarsTable,CF$5/100,MONTH($A121)))*$E121</f>
        <v>0</v>
      </c>
      <c r="CG121" s="1021">
        <f>(VLOOKUP(YEAR($A121),'NY East Load Projections'!$A$4:$EO$14,((MONTH($A121)-1)*12)+VLOOKUP(CG$4,$DE$6:$DF$17,2)+1))*(VLOOKUP($A121,CURVES!$D$9:$T$261,7))*(INDEX(DailyScalarsTable,CG$5/100,MONTH($A121)))*$E121</f>
        <v>0</v>
      </c>
      <c r="CH121" s="1021">
        <f>(VLOOKUP(YEAR($A121),'NY East Load Projections'!$A$4:$EO$14,((MONTH($A121)-1)*12)+VLOOKUP(CH$4,$DE$6:$DF$17,2)+1))*(VLOOKUP($A121,CURVES!$D$9:$T$261,7))*(INDEX(DailyScalarsTable,CH$5/100,MONTH($A121)))*$E121</f>
        <v>0</v>
      </c>
      <c r="CI121" s="1021">
        <f>(VLOOKUP(YEAR($A121),'NY East Load Projections'!$A$4:$EO$14,((MONTH($A121)-1)*12)+VLOOKUP(CI$4,$DE$6:$DF$17,2)+1))*(VLOOKUP($A121,CURVES!$D$9:$T$261,7))*(INDEX(DailyScalarsTable,CI$5/100,MONTH($A121)))*$E121</f>
        <v>0</v>
      </c>
      <c r="CJ121" s="1021">
        <f>(VLOOKUP(YEAR($A121),'NY East Load Projections'!$A$4:$EO$14,((MONTH($A121)-1)*12)+VLOOKUP(CJ$4,$DE$6:$DF$17,2)+1))*(VLOOKUP($A121,CURVES!$D$9:$T$261,7))*(INDEX(DailyScalarsTable,CJ$5/100,MONTH($A121)))*$E121</f>
        <v>0</v>
      </c>
      <c r="CK121" s="1021">
        <f>(VLOOKUP(YEAR($A121),'NY East Load Projections'!$A$4:$EO$14,((MONTH($A121)-1)*12)+VLOOKUP(CK$4,$DE$6:$DF$17,2)+1))*(VLOOKUP($A121,CURVES!$D$9:$T$261,7))*(INDEX(DailyScalarsTable,CK$5/100,MONTH($A121)))*$E121</f>
        <v>0</v>
      </c>
      <c r="CL121" s="1021">
        <f>(VLOOKUP(YEAR($A121),'NY East Load Projections'!$A$4:$EO$14,((MONTH($A121)-1)*12)+VLOOKUP(CL$4,$DE$6:$DF$17,2)+1))*(VLOOKUP($A121,SatSunCurve,7))*(INDEX(DailyScalarsTable,CL$5/100,MONTH($A121)))*$E121</f>
        <v>0</v>
      </c>
      <c r="CM121" s="1021">
        <f>(VLOOKUP(YEAR($A121),'NY East Load Projections'!$A$4:$EO$14,((MONTH($A121)-1)*12)+VLOOKUP(CM$4,$DE$6:$DF$17,2)+1))*(VLOOKUP($A121,SatSunCurve,7))*(INDEX(DailyScalarsTable,CM$5/100,MONTH($A121)))*$E121</f>
        <v>0</v>
      </c>
      <c r="CN121" s="1021">
        <f>(VLOOKUP(YEAR($A121),'NY East Load Projections'!$A$4:$EO$14,((MONTH($A121)-1)*12)+VLOOKUP(CN$4,$DE$6:$DF$17,2)+1))*(VLOOKUP($A121,SatSunCurve,7))*(INDEX(DailyScalarsTable,CN$5/100,MONTH($A121)))*$E121</f>
        <v>0</v>
      </c>
      <c r="CO121" s="1021">
        <f>(VLOOKUP(YEAR($A121),'NY East Load Projections'!$A$4:$EO$14,((MONTH($A121)-1)*12)+VLOOKUP(CO$4,$DE$6:$DF$17,2)+1))*(VLOOKUP($A121,SatSunCurve,7))*(INDEX(DailyScalarsTable,CO$5/100,MONTH($A121)))*$E121</f>
        <v>0</v>
      </c>
      <c r="CP121" s="1021">
        <f>(VLOOKUP(YEAR($A121),'NY East Load Projections'!$A$4:$EO$14,((MONTH($A121)-1)*12)+VLOOKUP(CP$4,$DE$6:$DF$17,2)+1))*(VLOOKUP($A121,SatSunCurve,7))*(INDEX(DailyScalarsTable,CP$5/100,MONTH($A121)))*$E121</f>
        <v>0</v>
      </c>
      <c r="CQ121" s="1021">
        <f>(VLOOKUP(YEAR($A121),'NY East Load Projections'!$A$4:$EO$14,((MONTH($A121)-1)*12)+VLOOKUP(CQ$4,$DE$6:$DF$17,2)+1))*(VLOOKUP($A121,SatSunCurve,7))*(INDEX(DailyScalarsTable,CQ$5/100,MONTH($A121)))*$E121</f>
        <v>0</v>
      </c>
      <c r="CR121" s="1021">
        <f>(VLOOKUP(YEAR($A121),'NY East Load Projections'!$A$4:$EO$14,((MONTH($A121)-1)*12)+VLOOKUP(CR$4,$DE$6:$DF$17,2)+1))*(VLOOKUP($A121,SatSunCurve,7))*(INDEX(DailyScalarsTable,CR$5/100,MONTH($A121)))*$E121</f>
        <v>0</v>
      </c>
      <c r="CS121" s="1021">
        <f>(VLOOKUP(YEAR($A121),'NY East Load Projections'!$A$4:$EO$14,((MONTH($A121)-1)*12)+VLOOKUP(CS$4,$DE$6:$DF$17,2)+1))*(VLOOKUP($A121,SatSunCurve,7))*(INDEX(DailyScalarsTable,CS$5/100,MONTH($A121)))*$E121</f>
        <v>0</v>
      </c>
      <c r="CT121" s="1021">
        <f>(VLOOKUP(YEAR($A121),'NY East Load Projections'!$A$4:$EO$14,((MONTH($A121)-1)*12)+VLOOKUP(CT$4,$DE$6:$DF$17,2)+1))*(VLOOKUP($A121,SatSunCurve,7))*(INDEX(DailyScalarsTable,CT$5/100,MONTH($A121)))*$E121</f>
        <v>0</v>
      </c>
      <c r="CU121" s="1021">
        <f>(VLOOKUP(YEAR($A121),'NY East Load Projections'!$A$4:$EO$14,((MONTH($A121)-1)*12)+VLOOKUP(CU$4,$DE$6:$DF$17,2)+1))*(VLOOKUP($A121,SatSunCurve,7))*(INDEX(DailyScalarsTable,CU$5/100,MONTH($A121)))*$E121</f>
        <v>0</v>
      </c>
      <c r="CV121" s="1021">
        <f>(VLOOKUP(YEAR($A121),'NY East Load Projections'!$A$4:$EO$14,((MONTH($A121)-1)*12)+VLOOKUP(CV$4,$DE$6:$DF$17,2)+1))*(VLOOKUP($A121,SatSunCurve,7))*(INDEX(DailyScalarsTable,CV$5/100,MONTH($A121)))*$E121</f>
        <v>0</v>
      </c>
      <c r="CW121" s="1021">
        <f>(VLOOKUP(YEAR($A121),'NY East Load Projections'!$A$4:$EO$14,((MONTH($A121)-1)*12)+VLOOKUP(CW$4,$DE$6:$DF$17,2)+1))*(VLOOKUP($A121,SatSunCurve,7))*(INDEX(DailyScalarsTable,CW$5/100,MONTH($A121)))*$E121</f>
        <v>0</v>
      </c>
      <c r="CX121" s="1021">
        <f>(VLOOKUP(YEAR($A121),'NY East Load Projections'!$A$4:$EO$14,((MONTH($A121)-1)*12)+VLOOKUP(CX$4,$DE$6:$DF$17,2)+1))*(VLOOKUP($A121,SatSunCurve,7))*(INDEX(DailyScalarsTable,CX$5/100,MONTH($A121)))*$E121</f>
        <v>0</v>
      </c>
      <c r="CY121" s="1021">
        <f>(VLOOKUP(YEAR($A121),'NY East Load Projections'!$A$4:$EO$14,((MONTH($A121)-1)*12)+VLOOKUP(CY$4,$DE$6:$DF$17,2)+1))*(VLOOKUP($A121,SatSunCurve,7))*(INDEX(DailyScalarsTable,CY$5/100,MONTH($A121)))*$E121</f>
        <v>0</v>
      </c>
      <c r="CZ121" s="1021">
        <f>(VLOOKUP(YEAR($A121),'NY East Load Projections'!$A$4:$EO$14,((MONTH($A121)-1)*12)+VLOOKUP(CZ$4,$DE$6:$DF$17,2)+1))*(VLOOKUP($A121,SatSunCurve,7))*(INDEX(DailyScalarsTable,CZ$5/100,MONTH($A121)))*$E121</f>
        <v>0</v>
      </c>
      <c r="DA121" s="1021">
        <f>(VLOOKUP(YEAR($A121),'NY East Load Projections'!$A$4:$EO$14,((MONTH($A121)-1)*12)+VLOOKUP(DA$4,$DE$6:$DF$17,2)+1))*(VLOOKUP($A121,SatSunCurve,7))*(INDEX(DailyScalarsTable,DA$5/100,MONTH($A121)))*$E121</f>
        <v>0</v>
      </c>
      <c r="DB121" s="1021">
        <f>(VLOOKUP(YEAR($A121),'NY East Load Projections'!$A$4:$EO$14,((MONTH($A121)-1)*12)+VLOOKUP(DB$4,$DE$6:$DF$17,2)+1))*(VLOOKUP($A121,CURVES!$D$9:$T$261,7))*(INDEX(DailyScalarsTable,DB$5/100,MONTH($A121)))*$E121</f>
        <v>0</v>
      </c>
      <c r="DH121" s="1032">
        <f t="shared" si="2"/>
        <v>-3622647.1938131629</v>
      </c>
      <c r="DI121">
        <f ca="1">CALC!J141</f>
        <v>0.46357209957138773</v>
      </c>
      <c r="DJ121" s="1029">
        <f t="shared" ca="1" si="3"/>
        <v>-1679358.165642364</v>
      </c>
    </row>
    <row r="122" spans="1:114" x14ac:dyDescent="0.25">
      <c r="A122" s="244">
        <v>40422</v>
      </c>
      <c r="B122" s="13">
        <v>21</v>
      </c>
      <c r="C122" s="210">
        <v>4</v>
      </c>
      <c r="D122" s="210">
        <v>4</v>
      </c>
      <c r="E122" s="210">
        <v>1</v>
      </c>
      <c r="F122" s="13">
        <v>30</v>
      </c>
      <c r="H122" s="1021">
        <f>(VLOOKUP(YEAR($A122),'NY East Load Projections'!$A$4:$EO$14,((MONTH($A122)-1)*12)+VLOOKUP(H$4,$DE$6:$DF$17,2)+1))*(VLOOKUP($A122,CURVES!$D$9:$K$261,7))*(INDEX(DailyScalarsTable,H$5/100,MONTH($A122)))*$B122</f>
        <v>-38464.6227674482</v>
      </c>
      <c r="I122" s="1021">
        <f>(VLOOKUP(YEAR($A122),'NY East Load Projections'!$A$4:$EO$14,((MONTH($A122)-1)*12)+VLOOKUP(I$4,$DE$6:$DF$17,2)+1))*(VLOOKUP($A122,CURVES!$D$9:$K$261,7))*(INDEX(DailyScalarsTable,I$5/100,MONTH($A122)))*$B122</f>
        <v>-33745.696479239545</v>
      </c>
      <c r="J122" s="1021">
        <f>(VLOOKUP(YEAR($A122),'NY East Load Projections'!$A$4:$EO$14,((MONTH($A122)-1)*12)+VLOOKUP(J$4,$DE$6:$DF$17,2)+1))*(VLOOKUP($A122,CURVES!$D$9:$K$261,7))*(INDEX(DailyScalarsTable,J$5/100,MONTH($A122)))*$B122</f>
        <v>-31645.139228794702</v>
      </c>
      <c r="K122" s="1021">
        <f>(VLOOKUP(YEAR($A122),'NY East Load Projections'!$A$4:$EO$14,((MONTH($A122)-1)*12)+VLOOKUP(K$4,$DE$6:$DF$17,2)+1))*(VLOOKUP($A122,CURVES!$D$9:$K$261,7))*(INDEX(DailyScalarsTable,K$5/100,MONTH($A122)))*$B122</f>
        <v>-32114.100847498674</v>
      </c>
      <c r="L122" s="1021">
        <f>(VLOOKUP(YEAR($A122),'NY East Load Projections'!$A$4:$EO$14,((MONTH($A122)-1)*12)+VLOOKUP(L$4,$DE$6:$DF$17,2)+1))*(VLOOKUP($A122,CURVES!$D$9:$K$261,7))*(INDEX(DailyScalarsTable,L$5/100,MONTH($A122)))*$B122</f>
        <v>-35885.178142856756</v>
      </c>
      <c r="M122" s="1021">
        <f>(VLOOKUP(YEAR($A122),'NY East Load Projections'!$A$4:$EO$14,((MONTH($A122)-1)*12)+VLOOKUP(M$4,$DE$6:$DF$17,2)+1))*(VLOOKUP($A122,CURVES!$D$9:$K$261,7))*(INDEX(DailyScalarsTable,M$5/100,MONTH($A122)))*$B122</f>
        <v>-41527.310970051469</v>
      </c>
      <c r="N122" s="1021">
        <f>(VLOOKUP(YEAR($A122),'NY East Load Projections'!$A$4:$EO$14,((MONTH($A122)-1)*12)+VLOOKUP(N$4,$DE$6:$DF$17,2)+1))*(VLOOKUP($A122,CURVES!$D$9:$K$261,7))*(INDEX(DailyScalarsTable,N$5/100,MONTH($A122)))*$B122</f>
        <v>-56471.8850177106</v>
      </c>
      <c r="O122" s="1021">
        <f>(VLOOKUP(YEAR($A122),'NY East Load Projections'!$A$4:$EO$14,((MONTH($A122)-1)*12)+VLOOKUP(O$4,$DE$6:$DF$17,2)+1))*(VLOOKUP($A122,CURVES!$D$9:$K$261,3))*(INDEX(DailyScalarsTable,O$5/100,MONTH($A122)))*$B122</f>
        <v>-51020.508127127519</v>
      </c>
      <c r="P122" s="1021">
        <f>(VLOOKUP(YEAR($A122),'NY East Load Projections'!$A$4:$EO$14,((MONTH($A122)-1)*12)+VLOOKUP(P$4,$DE$6:$DF$17,2)+1))*(VLOOKUP($A122,CURVES!$D$9:$K$261,3))*(INDEX(DailyScalarsTable,P$5/100,MONTH($A122)))*$B122</f>
        <v>-52798.958724201351</v>
      </c>
      <c r="Q122" s="1021">
        <f>(VLOOKUP(YEAR($A122),'NY East Load Projections'!$A$4:$EO$14,((MONTH($A122)-1)*12)+VLOOKUP(Q$4,$DE$6:$DF$17,2)+1))*(VLOOKUP($A122,CURVES!$D$9:$K$261,3))*(INDEX(DailyScalarsTable,Q$5/100,MONTH($A122)))*$B122</f>
        <v>-65909.631335878861</v>
      </c>
      <c r="R122" s="1021">
        <f>(VLOOKUP(YEAR($A122),'NY East Load Projections'!$A$4:$EO$14,((MONTH($A122)-1)*12)+VLOOKUP(R$4,$DE$6:$DF$17,2)+1))*(VLOOKUP($A122,CURVES!$D$9:$K$261,3))*(INDEX(DailyScalarsTable,R$5/100,MONTH($A122)))*$B122</f>
        <v>-70388.432538625842</v>
      </c>
      <c r="S122" s="1021">
        <f>(VLOOKUP(YEAR($A122),'NY East Load Projections'!$A$4:$EO$14,((MONTH($A122)-1)*12)+VLOOKUP(S$4,$DE$6:$DF$17,2)+1))*(VLOOKUP($A122,CURVES!$D$9:$K$261,3))*(INDEX(DailyScalarsTable,S$5/100,MONTH($A122)))*$B122</f>
        <v>-74999.561958726714</v>
      </c>
      <c r="T122" s="1021">
        <f>(VLOOKUP(YEAR($A122),'NY East Load Projections'!$A$4:$EO$14,((MONTH($A122)-1)*12)+VLOOKUP(T$4,$DE$6:$DF$17,2)+1))*(VLOOKUP($A122,CURVES!$D$9:$K$261,3))*(INDEX(DailyScalarsTable,T$5/100,MONTH($A122)))*$B122</f>
        <v>-71394.680683697836</v>
      </c>
      <c r="U122" s="1021">
        <f>(VLOOKUP(YEAR($A122),'NY East Load Projections'!$A$4:$EO$14,((MONTH($A122)-1)*12)+VLOOKUP(U$4,$DE$6:$DF$17,2)+1))*(VLOOKUP($A122,CURVES!$D$9:$K$261,3))*(INDEX(DailyScalarsTable,U$5/100,MONTH($A122)))*$B122</f>
        <v>-77287.021919972598</v>
      </c>
      <c r="V122" s="1021">
        <f>(VLOOKUP(YEAR($A122),'NY East Load Projections'!$A$4:$EO$14,((MONTH($A122)-1)*12)+VLOOKUP(V$4,$DE$6:$DF$17,2)+1))*(VLOOKUP($A122,CURVES!$D$9:$K$261,3))*(INDEX(DailyScalarsTable,V$5/100,MONTH($A122)))*$B122</f>
        <v>-76067.563472813155</v>
      </c>
      <c r="W122" s="1021">
        <f>(VLOOKUP(YEAR($A122),'NY East Load Projections'!$A$4:$EO$14,((MONTH($A122)-1)*12)+VLOOKUP(W$4,$DE$6:$DF$17,2)+1))*(VLOOKUP($A122,CURVES!$D$9:$K$261,3))*(INDEX(DailyScalarsTable,W$5/100,MONTH($A122)))*$B122</f>
        <v>-73690.131878350978</v>
      </c>
      <c r="X122" s="1021">
        <f>(VLOOKUP(YEAR($A122),'NY East Load Projections'!$A$4:$EO$14,((MONTH($A122)-1)*12)+VLOOKUP(X$4,$DE$6:$DF$17,2)+1))*(VLOOKUP($A122,CURVES!$D$9:$K$261,3))*(INDEX(DailyScalarsTable,X$5/100,MONTH($A122)))*$B122</f>
        <v>-76517.151709847443</v>
      </c>
      <c r="Y122" s="1021">
        <f>(VLOOKUP(YEAR($A122),'NY East Load Projections'!$A$4:$EO$14,((MONTH($A122)-1)*12)+VLOOKUP(Y$4,$DE$6:$DF$17,2)+1))*(VLOOKUP($A122,CURVES!$D$9:$K$261,3))*(INDEX(DailyScalarsTable,Y$5/100,MONTH($A122)))*$B122</f>
        <v>-74640.036303150075</v>
      </c>
      <c r="Z122" s="1021">
        <f>(VLOOKUP(YEAR($A122),'NY East Load Projections'!$A$4:$EO$14,((MONTH($A122)-1)*12)+VLOOKUP(Z$4,$DE$6:$DF$17,2)+1))*(VLOOKUP($A122,CURVES!$D$9:$K$261,3))*(INDEX(DailyScalarsTable,Z$5/100,MONTH($A122)))*$B122</f>
        <v>-61134.684929701209</v>
      </c>
      <c r="AA122" s="1021">
        <f>(VLOOKUP(YEAR($A122),'NY East Load Projections'!$A$4:$EO$14,((MONTH($A122)-1)*12)+VLOOKUP(AA$4,$DE$6:$DF$17,2)+1))*(VLOOKUP($A122,CURVES!$D$9:$K$261,3))*(INDEX(DailyScalarsTable,AA$5/100,MONTH($A122)))*$B122</f>
        <v>-79895.959441902683</v>
      </c>
      <c r="AB122" s="1021">
        <f>(VLOOKUP(YEAR($A122),'NY East Load Projections'!$A$4:$EO$14,((MONTH($A122)-1)*12)+VLOOKUP(AB$4,$DE$6:$DF$17,2)+1))*(VLOOKUP($A122,CURVES!$D$9:$K$261,3))*(INDEX(DailyScalarsTable,AB$5/100,MONTH($A122)))*$B122</f>
        <v>-76559.428527958094</v>
      </c>
      <c r="AC122" s="1021">
        <f>(VLOOKUP(YEAR($A122),'NY East Load Projections'!$A$4:$EO$14,((MONTH($A122)-1)*12)+VLOOKUP(AC$4,$DE$6:$DF$17,2)+1))*(VLOOKUP($A122,CURVES!$D$9:$K$261,3))*(INDEX(DailyScalarsTable,AC$5/100,MONTH($A122)))*$B122</f>
        <v>-58269.292794273701</v>
      </c>
      <c r="AD122" s="1021">
        <f>(VLOOKUP(YEAR($A122),'NY East Load Projections'!$A$4:$EO$14,((MONTH($A122)-1)*12)+VLOOKUP(AD$4,$DE$6:$DF$17,2)+1))*(VLOOKUP($A122,CURVES!$D$9:$K$261,3))*(INDEX(DailyScalarsTable,AD$5/100,MONTH($A122)))*$B122</f>
        <v>-46176.020296847928</v>
      </c>
      <c r="AE122" s="1021">
        <f>(VLOOKUP(YEAR($A122),'NY East Load Projections'!$A$4:$EO$14,((MONTH($A122)-1)*12)+VLOOKUP(AE$4,$DE$6:$DF$17,2)+1))*(VLOOKUP($A122,CURVES!$D$9:$K$261,7))*(INDEX(DailyScalarsTable,AE$5/100,MONTH($A122)))*$B122</f>
        <v>-43868.394670654532</v>
      </c>
      <c r="AF122" s="1021"/>
      <c r="AG122" s="1021">
        <f>(VLOOKUP(YEAR($A122),'NY East Load Projections'!$A$4:$EO$14,((MONTH($A122)-1)*12)+VLOOKUP(AG$4,$DE$6:$DF$17,2)+1))*(VLOOKUP($A122,CURVES!$D$9:$T$261,7))*(INDEX(DailyScalarsTable,AG$5/100,MONTH($A122)))*$C122</f>
        <v>-7329.9999295768557</v>
      </c>
      <c r="AH122" s="1021">
        <f>(VLOOKUP(YEAR($A122),'NY East Load Projections'!$A$4:$EO$14,((MONTH($A122)-1)*12)+VLOOKUP(AH$4,$DE$6:$DF$17,2)+1))*(VLOOKUP($A122,CURVES!$D$9:$T$261,7))*(INDEX(DailyScalarsTable,AH$5/100,MONTH($A122)))*$C122</f>
        <v>-6430.7390796948075</v>
      </c>
      <c r="AI122" s="1021">
        <f>(VLOOKUP(YEAR($A122),'NY East Load Projections'!$A$4:$EO$14,((MONTH($A122)-1)*12)+VLOOKUP(AI$4,$DE$6:$DF$17,2)+1))*(VLOOKUP($A122,CURVES!$D$9:$T$261,7))*(INDEX(DailyScalarsTable,AI$5/100,MONTH($A122)))*$C122</f>
        <v>-6030.4469829564232</v>
      </c>
      <c r="AJ122" s="1021">
        <f>(VLOOKUP(YEAR($A122),'NY East Load Projections'!$A$4:$EO$14,((MONTH($A122)-1)*12)+VLOOKUP(AJ$4,$DE$6:$DF$17,2)+1))*(VLOOKUP($A122,CURVES!$D$9:$T$261,7))*(INDEX(DailyScalarsTable,AJ$5/100,MONTH($A122)))*$C122</f>
        <v>-6119.8145208329015</v>
      </c>
      <c r="AK122" s="1021">
        <f>(VLOOKUP(YEAR($A122),'NY East Load Projections'!$A$4:$EO$14,((MONTH($A122)-1)*12)+VLOOKUP(AK$4,$DE$6:$DF$17,2)+1))*(VLOOKUP($A122,CURVES!$D$9:$T$261,7))*(INDEX(DailyScalarsTable,AK$5/100,MONTH($A122)))*$C122</f>
        <v>-6656.386413451617</v>
      </c>
      <c r="AL122" s="1021">
        <f>(VLOOKUP(YEAR($A122),'NY East Load Projections'!$A$4:$EO$14,((MONTH($A122)-1)*12)+VLOOKUP(AL$4,$DE$6:$DF$17,2)+1))*(VLOOKUP($A122,CURVES!$D$9:$T$261,7))*(INDEX(DailyScalarsTable,AL$5/100,MONTH($A122)))*$C122</f>
        <v>-7702.952662734795</v>
      </c>
      <c r="AM122" s="1021">
        <f>(VLOOKUP(YEAR($A122),'NY East Load Projections'!$A$4:$EO$14,((MONTH($A122)-1)*12)+VLOOKUP(AM$4,$DE$6:$DF$17,2)+1))*(VLOOKUP($A122,CURVES!$D$9:$T$261,7))*(INDEX(DailyScalarsTable,AM$5/100,MONTH($A122)))*$C122</f>
        <v>-10475.040326606728</v>
      </c>
      <c r="AN122" s="1021">
        <f>(VLOOKUP(YEAR($A122),'NY East Load Projections'!$A$4:$EO$14,((MONTH($A122)-1)*12)+VLOOKUP(AN$4,$DE$6:$DF$17,2)+1))*(VLOOKUP($A122,SatSunCurve,3))*(INDEX(DailyScalarsTable,AN$5/100,MONTH($A122)))*$C122</f>
        <v>-6876.5037920857658</v>
      </c>
      <c r="AO122" s="1021">
        <f>(VLOOKUP(YEAR($A122),'NY East Load Projections'!$A$4:$EO$14,((MONTH($A122)-1)*12)+VLOOKUP(AO$4,$DE$6:$DF$17,2)+1))*(VLOOKUP($A122,SatSunCurve,3))*(INDEX(DailyScalarsTable,AO$5/100,MONTH($A122)))*$C122</f>
        <v>-7193.7350746983102</v>
      </c>
      <c r="AP122" s="1021">
        <f>(VLOOKUP(YEAR($A122),'NY East Load Projections'!$A$4:$EO$14,((MONTH($A122)-1)*12)+VLOOKUP(AP$4,$DE$6:$DF$17,2)+1))*(VLOOKUP($A122,SatSunCurve,3))*(INDEX(DailyScalarsTable,AP$5/100,MONTH($A122)))*$C122</f>
        <v>-8980.0336627475499</v>
      </c>
      <c r="AQ122" s="1021">
        <f>(VLOOKUP(YEAR($A122),'NY East Load Projections'!$A$4:$EO$14,((MONTH($A122)-1)*12)+VLOOKUP(AQ$4,$DE$6:$DF$17,2)+1))*(VLOOKUP($A122,SatSunCurve,3))*(INDEX(DailyScalarsTable,AQ$5/100,MONTH($A122)))*$C122</f>
        <v>-9590.2598884786585</v>
      </c>
      <c r="AR122" s="1021">
        <f>(VLOOKUP(YEAR($A122),'NY East Load Projections'!$A$4:$EO$14,((MONTH($A122)-1)*12)+VLOOKUP(AR$4,$DE$6:$DF$17,2)+1))*(VLOOKUP($A122,SatSunCurve,3))*(INDEX(DailyScalarsTable,AR$5/100,MONTH($A122)))*$C122</f>
        <v>-10218.515525424551</v>
      </c>
      <c r="AS122" s="1021">
        <f>(VLOOKUP(YEAR($A122),'NY East Load Projections'!$A$4:$EO$14,((MONTH($A122)-1)*12)+VLOOKUP(AS$4,$DE$6:$DF$17,2)+1))*(VLOOKUP($A122,SatSunCurve,3))*(INDEX(DailyScalarsTable,AS$5/100,MONTH($A122)))*$C122</f>
        <v>-9856.0049890932842</v>
      </c>
      <c r="AT122" s="1021">
        <f>(VLOOKUP(YEAR($A122),'NY East Load Projections'!$A$4:$EO$14,((MONTH($A122)-1)*12)+VLOOKUP(AT$4,$DE$6:$DF$17,2)+1))*(VLOOKUP($A122,SatSunCurve,3))*(INDEX(DailyScalarsTable,AT$5/100,MONTH($A122)))*$C122</f>
        <v>-10669.440164739708</v>
      </c>
      <c r="AU122" s="1021">
        <f>(VLOOKUP(YEAR($A122),'NY East Load Projections'!$A$4:$EO$14,((MONTH($A122)-1)*12)+VLOOKUP(AU$4,$DE$6:$DF$17,2)+1))*(VLOOKUP($A122,SatSunCurve,3))*(INDEX(DailyScalarsTable,AU$5/100,MONTH($A122)))*$C122</f>
        <v>-10501.094450127672</v>
      </c>
      <c r="AV122" s="1021">
        <f>(VLOOKUP(YEAR($A122),'NY East Load Projections'!$A$4:$EO$14,((MONTH($A122)-1)*12)+VLOOKUP(AV$4,$DE$6:$DF$17,2)+1))*(VLOOKUP($A122,SatSunCurve,3))*(INDEX(DailyScalarsTable,AV$5/100,MONTH($A122)))*$C122</f>
        <v>-10172.891040127721</v>
      </c>
      <c r="AW122" s="1021">
        <f>(VLOOKUP(YEAR($A122),'NY East Load Projections'!$A$4:$EO$14,((MONTH($A122)-1)*12)+VLOOKUP(AW$4,$DE$6:$DF$17,2)+1))*(VLOOKUP($A122,SatSunCurve,3))*(INDEX(DailyScalarsTable,AW$5/100,MONTH($A122)))*$C122</f>
        <v>-10689.55227344408</v>
      </c>
      <c r="AX122" s="1021">
        <f>(VLOOKUP(YEAR($A122),'NY East Load Projections'!$A$4:$EO$14,((MONTH($A122)-1)*12)+VLOOKUP(AX$4,$DE$6:$DF$17,2)+1))*(VLOOKUP($A122,SatSunCurve,3))*(INDEX(DailyScalarsTable,AX$5/100,MONTH($A122)))*$C122</f>
        <v>-10427.316646335703</v>
      </c>
      <c r="AY122" s="1021">
        <f>(VLOOKUP(YEAR($A122),'NY East Load Projections'!$A$4:$EO$14,((MONTH($A122)-1)*12)+VLOOKUP(AY$4,$DE$6:$DF$17,2)+1))*(VLOOKUP($A122,SatSunCurve,3))*(INDEX(DailyScalarsTable,AY$5/100,MONTH($A122)))*$C122</f>
        <v>-8540.6003186664875</v>
      </c>
      <c r="AZ122" s="1021">
        <f>(VLOOKUP(YEAR($A122),'NY East Load Projections'!$A$4:$EO$14,((MONTH($A122)-1)*12)+VLOOKUP(AZ$4,$DE$6:$DF$17,2)+1))*(VLOOKUP($A122,SatSunCurve,3))*(INDEX(DailyScalarsTable,AZ$5/100,MONTH($A122)))*$C122</f>
        <v>-11161.576402239156</v>
      </c>
      <c r="BA122" s="1021">
        <f>(VLOOKUP(YEAR($A122),'NY East Load Projections'!$A$4:$EO$14,((MONTH($A122)-1)*12)+VLOOKUP(BA$4,$DE$6:$DF$17,2)+1))*(VLOOKUP($A122,SatSunCurve,3))*(INDEX(DailyScalarsTable,BA$5/100,MONTH($A122)))*$C122</f>
        <v>-10911.654135593692</v>
      </c>
      <c r="BB122" s="1021">
        <f>(VLOOKUP(YEAR($A122),'NY East Load Projections'!$A$4:$EO$14,((MONTH($A122)-1)*12)+VLOOKUP(BB$4,$DE$6:$DF$17,2)+1))*(VLOOKUP($A122,SatSunCurve,3))*(INDEX(DailyScalarsTable,BB$5/100,MONTH($A122)))*$C122</f>
        <v>-8304.8473835534005</v>
      </c>
      <c r="BC122" s="1021">
        <f>(VLOOKUP(YEAR($A122),'NY East Load Projections'!$A$4:$EO$14,((MONTH($A122)-1)*12)+VLOOKUP(BC$4,$DE$6:$DF$17,2)+1))*(VLOOKUP($A122,SatSunCurve,3))*(INDEX(DailyScalarsTable,BC$5/100,MONTH($A122)))*$C122</f>
        <v>-6581.2503113624953</v>
      </c>
      <c r="BD122" s="1021">
        <f>(VLOOKUP(YEAR($A122),'NY East Load Projections'!$A$4:$EO$14,((MONTH($A122)-1)*12)+VLOOKUP(BD$4,$DE$6:$DF$17,2)+1))*(VLOOKUP($A122,CURVES!$D$9:$T$261,7))*(INDEX(DailyScalarsTable,BD$5/100,MONTH($A122)))*$C122</f>
        <v>-8604.8670076830294</v>
      </c>
      <c r="BE122" s="1021"/>
      <c r="BF122" s="1021">
        <f>(VLOOKUP(YEAR($A122),'NY East Load Projections'!$A$4:$EO$14,((MONTH($A122)-1)*12)+VLOOKUP(BF$4,$DE$6:$DF$17,2)+1))*(VLOOKUP($A122,CURVES!$D$9:$T$261,7))*(INDEX(DailyScalarsTable,BF$5/100,MONTH($A122)))*$D122</f>
        <v>-7329.9999295768557</v>
      </c>
      <c r="BG122" s="1021">
        <f>(VLOOKUP(YEAR($A122),'NY East Load Projections'!$A$4:$EO$14,((MONTH($A122)-1)*12)+VLOOKUP(BG$4,$DE$6:$DF$17,2)+1))*(VLOOKUP($A122,CURVES!$D$9:$T$261,7))*(INDEX(DailyScalarsTable,BG$5/100,MONTH($A122)))*$D122</f>
        <v>-6430.7390796948075</v>
      </c>
      <c r="BH122" s="1021">
        <f>(VLOOKUP(YEAR($A122),'NY East Load Projections'!$A$4:$EO$14,((MONTH($A122)-1)*12)+VLOOKUP(BH$4,$DE$6:$DF$17,2)+1))*(VLOOKUP($A122,CURVES!$D$9:$T$261,7))*(INDEX(DailyScalarsTable,BH$5/100,MONTH($A122)))*$D122</f>
        <v>-6030.4469829564232</v>
      </c>
      <c r="BI122" s="1021">
        <f>(VLOOKUP(YEAR($A122),'NY East Load Projections'!$A$4:$EO$14,((MONTH($A122)-1)*12)+VLOOKUP(BI$4,$DE$6:$DF$17,2)+1))*(VLOOKUP($A122,CURVES!$D$9:$T$261,7))*(INDEX(DailyScalarsTable,BI$5/100,MONTH($A122)))*$D122</f>
        <v>-6119.8145208329015</v>
      </c>
      <c r="BJ122" s="1021">
        <f>(VLOOKUP(YEAR($A122),'NY East Load Projections'!$A$4:$EO$14,((MONTH($A122)-1)*12)+VLOOKUP(BJ$4,$DE$6:$DF$17,2)+1))*(VLOOKUP($A122,CURVES!$D$9:$T$261,7))*(INDEX(DailyScalarsTable,BJ$5/100,MONTH($A122)))*$D122</f>
        <v>-6656.386413451617</v>
      </c>
      <c r="BK122" s="1021">
        <f>(VLOOKUP(YEAR($A122),'NY East Load Projections'!$A$4:$EO$14,((MONTH($A122)-1)*12)+VLOOKUP(BK$4,$DE$6:$DF$17,2)+1))*(VLOOKUP($A122,CURVES!$D$9:$T$261,7))*(INDEX(DailyScalarsTable,BK$5/100,MONTH($A122)))*$D122</f>
        <v>-7702.952662734795</v>
      </c>
      <c r="BL122" s="1021">
        <f>(VLOOKUP(YEAR($A122),'NY East Load Projections'!$A$4:$EO$14,((MONTH($A122)-1)*12)+VLOOKUP(BL$4,$DE$6:$DF$17,2)+1))*(VLOOKUP($A122,CURVES!$D$9:$T$261,7))*(INDEX(DailyScalarsTable,BL$5/100,MONTH($A122)))*$D122</f>
        <v>-10475.040326606728</v>
      </c>
      <c r="BM122" s="1021">
        <f>(VLOOKUP(YEAR($A122),'NY East Load Projections'!$A$4:$EO$14,((MONTH($A122)-1)*12)+VLOOKUP(BM$4,$DE$6:$DF$17,2)+1))*(VLOOKUP($A122,SatSunCurve,7))*(INDEX(DailyScalarsTable,BM$5/100,MONTH($A122)))*$D122</f>
        <v>-7016.5521469760106</v>
      </c>
      <c r="BN122" s="1021">
        <f>(VLOOKUP(YEAR($A122),'NY East Load Projections'!$A$4:$EO$14,((MONTH($A122)-1)*12)+VLOOKUP(BN$4,$DE$6:$DF$17,2)+1))*(VLOOKUP($A122,SatSunCurve,7))*(INDEX(DailyScalarsTable,BN$5/100,MONTH($A122)))*$D122</f>
        <v>-7340.244230104764</v>
      </c>
      <c r="BO122" s="1021">
        <f>(VLOOKUP(YEAR($A122),'NY East Load Projections'!$A$4:$EO$14,((MONTH($A122)-1)*12)+VLOOKUP(BO$4,$DE$6:$DF$17,2)+1))*(VLOOKUP($A122,SatSunCurve,7))*(INDEX(DailyScalarsTable,BO$5/100,MONTH($A122)))*$D122</f>
        <v>-9162.9229593075634</v>
      </c>
      <c r="BP122" s="1021">
        <f>(VLOOKUP(YEAR($A122),'NY East Load Projections'!$A$4:$EO$14,((MONTH($A122)-1)*12)+VLOOKUP(BP$4,$DE$6:$DF$17,2)+1))*(VLOOKUP($A122,SatSunCurve,7))*(INDEX(DailyScalarsTable,BP$5/100,MONTH($A122)))*$D122</f>
        <v>-9785.5771835693904</v>
      </c>
      <c r="BQ122" s="1021">
        <f>(VLOOKUP(YEAR($A122),'NY East Load Projections'!$A$4:$EO$14,((MONTH($A122)-1)*12)+VLOOKUP(BQ$4,$DE$6:$DF$17,2)+1))*(VLOOKUP($A122,SatSunCurve,7))*(INDEX(DailyScalarsTable,BQ$5/100,MONTH($A122)))*$D122</f>
        <v>-10426.628009911681</v>
      </c>
      <c r="BR122" s="1021">
        <f>(VLOOKUP(YEAR($A122),'NY East Load Projections'!$A$4:$EO$14,((MONTH($A122)-1)*12)+VLOOKUP(BR$4,$DE$6:$DF$17,2)+1))*(VLOOKUP($A122,SatSunCurve,7))*(INDEX(DailyScalarsTable,BR$5/100,MONTH($A122)))*$D122</f>
        <v>-10056.734506046532</v>
      </c>
      <c r="BS122" s="1021">
        <f>(VLOOKUP(YEAR($A122),'NY East Load Projections'!$A$4:$EO$14,((MONTH($A122)-1)*12)+VLOOKUP(BS$4,$DE$6:$DF$17,2)+1))*(VLOOKUP($A122,SatSunCurve,7))*(INDEX(DailyScalarsTable,BS$5/100,MONTH($A122)))*$D122</f>
        <v>-10886.736277393848</v>
      </c>
      <c r="BT122" s="1021">
        <f>(VLOOKUP(YEAR($A122),'NY East Load Projections'!$A$4:$EO$14,((MONTH($A122)-1)*12)+VLOOKUP(BT$4,$DE$6:$DF$17,2)+1))*(VLOOKUP($A122,SatSunCurve,7))*(INDEX(DailyScalarsTable,BT$5/100,MONTH($A122)))*$D122</f>
        <v>-10714.961997758497</v>
      </c>
      <c r="BU122" s="1021">
        <f>(VLOOKUP(YEAR($A122),'NY East Load Projections'!$A$4:$EO$14,((MONTH($A122)-1)*12)+VLOOKUP(BU$4,$DE$6:$DF$17,2)+1))*(VLOOKUP($A122,SatSunCurve,7))*(INDEX(DailyScalarsTable,BU$5/100,MONTH($A122)))*$D122</f>
        <v>-10380.07432653662</v>
      </c>
      <c r="BV122" s="1021">
        <f>(VLOOKUP(YEAR($A122),'NY East Load Projections'!$A$4:$EO$14,((MONTH($A122)-1)*12)+VLOOKUP(BV$4,$DE$6:$DF$17,2)+1))*(VLOOKUP($A122,SatSunCurve,7))*(INDEX(DailyScalarsTable,BV$5/100,MONTH($A122)))*$D122</f>
        <v>-10907.25799362882</v>
      </c>
      <c r="BW122" s="1021">
        <f>(VLOOKUP(YEAR($A122),'NY East Load Projections'!$A$4:$EO$14,((MONTH($A122)-1)*12)+VLOOKUP(BW$4,$DE$6:$DF$17,2)+1))*(VLOOKUP($A122,SatSunCurve,7))*(INDEX(DailyScalarsTable,BW$5/100,MONTH($A122)))*$D122</f>
        <v>-10639.681619349996</v>
      </c>
      <c r="BX122" s="1021">
        <f>(VLOOKUP(YEAR($A122),'NY East Load Projections'!$A$4:$EO$14,((MONTH($A122)-1)*12)+VLOOKUP(BX$4,$DE$6:$DF$17,2)+1))*(VLOOKUP($A122,SatSunCurve,7))*(INDEX(DailyScalarsTable,BX$5/100,MONTH($A122)))*$D122</f>
        <v>-8714.5400212492077</v>
      </c>
      <c r="BY122" s="1021">
        <f>(VLOOKUP(YEAR($A122),'NY East Load Projections'!$A$4:$EO$14,((MONTH($A122)-1)*12)+VLOOKUP(BY$4,$DE$6:$DF$17,2)+1))*(VLOOKUP($A122,SatSunCurve,7))*(INDEX(DailyScalarsTable,BY$5/100,MONTH($A122)))*$D122</f>
        <v>-11388.895467330698</v>
      </c>
      <c r="BZ122" s="1021">
        <f>(VLOOKUP(YEAR($A122),'NY East Load Projections'!$A$4:$EO$14,((MONTH($A122)-1)*12)+VLOOKUP(BZ$4,$DE$6:$DF$17,2)+1))*(VLOOKUP($A122,SatSunCurve,7))*(INDEX(DailyScalarsTable,BZ$5/100,MONTH($A122)))*$D122</f>
        <v>-11133.883230061727</v>
      </c>
      <c r="CA122" s="1021">
        <f>(VLOOKUP(YEAR($A122),'NY East Load Projections'!$A$4:$EO$14,((MONTH($A122)-1)*12)+VLOOKUP(CA$4,$DE$6:$DF$17,2)+1))*(VLOOKUP($A122,SatSunCurve,7))*(INDEX(DailyScalarsTable,CA$5/100,MONTH($A122)))*$D122</f>
        <v>-8473.9856911654479</v>
      </c>
      <c r="CB122" s="1021">
        <f>(VLOOKUP(YEAR($A122),'NY East Load Projections'!$A$4:$EO$14,((MONTH($A122)-1)*12)+VLOOKUP(CB$4,$DE$6:$DF$17,2)+1))*(VLOOKUP($A122,SatSunCurve,7))*(INDEX(DailyScalarsTable,CB$5/100,MONTH($A122)))*$D122</f>
        <v>-6715.2854703757157</v>
      </c>
      <c r="CC122" s="1021">
        <f>(VLOOKUP(YEAR($A122),'NY East Load Projections'!$A$4:$EO$14,((MONTH($A122)-1)*12)+VLOOKUP(CC$4,$DE$6:$DF$17,2)+1))*(VLOOKUP($A122,CURVES!$D$9:$T$261,7))*(INDEX(DailyScalarsTable,CC$5/100,MONTH($A122)))*$D122</f>
        <v>-8604.8670076830294</v>
      </c>
      <c r="CE122" s="1021">
        <f>(VLOOKUP(YEAR($A122),'NY East Load Projections'!$A$4:$EO$14,((MONTH($A122)-1)*12)+VLOOKUP(CE$4,$DE$6:$DF$17,2)+1))*(VLOOKUP($A122,CURVES!$D$9:$T$261,7))*(INDEX(DailyScalarsTable,CE$5/100,MONTH($A122)))*$E122</f>
        <v>-1832.4999823942139</v>
      </c>
      <c r="CF122" s="1021">
        <f>(VLOOKUP(YEAR($A122),'NY East Load Projections'!$A$4:$EO$14,((MONTH($A122)-1)*12)+VLOOKUP(CF$4,$DE$6:$DF$17,2)+1))*(VLOOKUP($A122,CURVES!$D$9:$T$261,7))*(INDEX(DailyScalarsTable,CF$5/100,MONTH($A122)))*$E122</f>
        <v>-1607.6847699237019</v>
      </c>
      <c r="CG122" s="1021">
        <f>(VLOOKUP(YEAR($A122),'NY East Load Projections'!$A$4:$EO$14,((MONTH($A122)-1)*12)+VLOOKUP(CG$4,$DE$6:$DF$17,2)+1))*(VLOOKUP($A122,CURVES!$D$9:$T$261,7))*(INDEX(DailyScalarsTable,CG$5/100,MONTH($A122)))*$E122</f>
        <v>-1507.6117457391058</v>
      </c>
      <c r="CH122" s="1021">
        <f>(VLOOKUP(YEAR($A122),'NY East Load Projections'!$A$4:$EO$14,((MONTH($A122)-1)*12)+VLOOKUP(CH$4,$DE$6:$DF$17,2)+1))*(VLOOKUP($A122,CURVES!$D$9:$T$261,7))*(INDEX(DailyScalarsTable,CH$5/100,MONTH($A122)))*$E122</f>
        <v>-1529.9536302082254</v>
      </c>
      <c r="CI122" s="1021">
        <f>(VLOOKUP(YEAR($A122),'NY East Load Projections'!$A$4:$EO$14,((MONTH($A122)-1)*12)+VLOOKUP(CI$4,$DE$6:$DF$17,2)+1))*(VLOOKUP($A122,CURVES!$D$9:$T$261,7))*(INDEX(DailyScalarsTable,CI$5/100,MONTH($A122)))*$E122</f>
        <v>-1664.0966033629043</v>
      </c>
      <c r="CJ122" s="1021">
        <f>(VLOOKUP(YEAR($A122),'NY East Load Projections'!$A$4:$EO$14,((MONTH($A122)-1)*12)+VLOOKUP(CJ$4,$DE$6:$DF$17,2)+1))*(VLOOKUP($A122,CURVES!$D$9:$T$261,7))*(INDEX(DailyScalarsTable,CJ$5/100,MONTH($A122)))*$E122</f>
        <v>-1925.7381656836988</v>
      </c>
      <c r="CK122" s="1021">
        <f>(VLOOKUP(YEAR($A122),'NY East Load Projections'!$A$4:$EO$14,((MONTH($A122)-1)*12)+VLOOKUP(CK$4,$DE$6:$DF$17,2)+1))*(VLOOKUP($A122,CURVES!$D$9:$T$261,7))*(INDEX(DailyScalarsTable,CK$5/100,MONTH($A122)))*$E122</f>
        <v>-2618.760081651682</v>
      </c>
      <c r="CL122" s="1021">
        <f>(VLOOKUP(YEAR($A122),'NY East Load Projections'!$A$4:$EO$14,((MONTH($A122)-1)*12)+VLOOKUP(CL$4,$DE$6:$DF$17,2)+1))*(VLOOKUP($A122,SatSunCurve,7))*(INDEX(DailyScalarsTable,CL$5/100,MONTH($A122)))*$E122</f>
        <v>-1754.1380367440026</v>
      </c>
      <c r="CM122" s="1021">
        <f>(VLOOKUP(YEAR($A122),'NY East Load Projections'!$A$4:$EO$14,((MONTH($A122)-1)*12)+VLOOKUP(CM$4,$DE$6:$DF$17,2)+1))*(VLOOKUP($A122,SatSunCurve,7))*(INDEX(DailyScalarsTable,CM$5/100,MONTH($A122)))*$E122</f>
        <v>-1835.061057526191</v>
      </c>
      <c r="CN122" s="1021">
        <f>(VLOOKUP(YEAR($A122),'NY East Load Projections'!$A$4:$EO$14,((MONTH($A122)-1)*12)+VLOOKUP(CN$4,$DE$6:$DF$17,2)+1))*(VLOOKUP($A122,SatSunCurve,7))*(INDEX(DailyScalarsTable,CN$5/100,MONTH($A122)))*$E122</f>
        <v>-2290.7307398268908</v>
      </c>
      <c r="CO122" s="1021">
        <f>(VLOOKUP(YEAR($A122),'NY East Load Projections'!$A$4:$EO$14,((MONTH($A122)-1)*12)+VLOOKUP(CO$4,$DE$6:$DF$17,2)+1))*(VLOOKUP($A122,SatSunCurve,7))*(INDEX(DailyScalarsTable,CO$5/100,MONTH($A122)))*$E122</f>
        <v>-2446.3942958923476</v>
      </c>
      <c r="CP122" s="1021">
        <f>(VLOOKUP(YEAR($A122),'NY East Load Projections'!$A$4:$EO$14,((MONTH($A122)-1)*12)+VLOOKUP(CP$4,$DE$6:$DF$17,2)+1))*(VLOOKUP($A122,SatSunCurve,7))*(INDEX(DailyScalarsTable,CP$5/100,MONTH($A122)))*$E122</f>
        <v>-2606.6570024779203</v>
      </c>
      <c r="CQ122" s="1021">
        <f>(VLOOKUP(YEAR($A122),'NY East Load Projections'!$A$4:$EO$14,((MONTH($A122)-1)*12)+VLOOKUP(CQ$4,$DE$6:$DF$17,2)+1))*(VLOOKUP($A122,SatSunCurve,7))*(INDEX(DailyScalarsTable,CQ$5/100,MONTH($A122)))*$E122</f>
        <v>-2514.1836265116331</v>
      </c>
      <c r="CR122" s="1021">
        <f>(VLOOKUP(YEAR($A122),'NY East Load Projections'!$A$4:$EO$14,((MONTH($A122)-1)*12)+VLOOKUP(CR$4,$DE$6:$DF$17,2)+1))*(VLOOKUP($A122,SatSunCurve,7))*(INDEX(DailyScalarsTable,CR$5/100,MONTH($A122)))*$E122</f>
        <v>-2721.6840693484619</v>
      </c>
      <c r="CS122" s="1021">
        <f>(VLOOKUP(YEAR($A122),'NY East Load Projections'!$A$4:$EO$14,((MONTH($A122)-1)*12)+VLOOKUP(CS$4,$DE$6:$DF$17,2)+1))*(VLOOKUP($A122,SatSunCurve,7))*(INDEX(DailyScalarsTable,CS$5/100,MONTH($A122)))*$E122</f>
        <v>-2678.7404994396243</v>
      </c>
      <c r="CT122" s="1021">
        <f>(VLOOKUP(YEAR($A122),'NY East Load Projections'!$A$4:$EO$14,((MONTH($A122)-1)*12)+VLOOKUP(CT$4,$DE$6:$DF$17,2)+1))*(VLOOKUP($A122,SatSunCurve,7))*(INDEX(DailyScalarsTable,CT$5/100,MONTH($A122)))*$E122</f>
        <v>-2595.018581634155</v>
      </c>
      <c r="CU122" s="1021">
        <f>(VLOOKUP(YEAR($A122),'NY East Load Projections'!$A$4:$EO$14,((MONTH($A122)-1)*12)+VLOOKUP(CU$4,$DE$6:$DF$17,2)+1))*(VLOOKUP($A122,SatSunCurve,7))*(INDEX(DailyScalarsTable,CU$5/100,MONTH($A122)))*$E122</f>
        <v>-2726.8144984072051</v>
      </c>
      <c r="CV122" s="1021">
        <f>(VLOOKUP(YEAR($A122),'NY East Load Projections'!$A$4:$EO$14,((MONTH($A122)-1)*12)+VLOOKUP(CV$4,$DE$6:$DF$17,2)+1))*(VLOOKUP($A122,SatSunCurve,7))*(INDEX(DailyScalarsTable,CV$5/100,MONTH($A122)))*$E122</f>
        <v>-2659.9204048374991</v>
      </c>
      <c r="CW122" s="1021">
        <f>(VLOOKUP(YEAR($A122),'NY East Load Projections'!$A$4:$EO$14,((MONTH($A122)-1)*12)+VLOOKUP(CW$4,$DE$6:$DF$17,2)+1))*(VLOOKUP($A122,SatSunCurve,7))*(INDEX(DailyScalarsTable,CW$5/100,MONTH($A122)))*$E122</f>
        <v>-2178.6350053123019</v>
      </c>
      <c r="CX122" s="1021">
        <f>(VLOOKUP(YEAR($A122),'NY East Load Projections'!$A$4:$EO$14,((MONTH($A122)-1)*12)+VLOOKUP(CX$4,$DE$6:$DF$17,2)+1))*(VLOOKUP($A122,SatSunCurve,7))*(INDEX(DailyScalarsTable,CX$5/100,MONTH($A122)))*$E122</f>
        <v>-2847.2238668326745</v>
      </c>
      <c r="CY122" s="1021">
        <f>(VLOOKUP(YEAR($A122),'NY East Load Projections'!$A$4:$EO$14,((MONTH($A122)-1)*12)+VLOOKUP(CY$4,$DE$6:$DF$17,2)+1))*(VLOOKUP($A122,SatSunCurve,7))*(INDEX(DailyScalarsTable,CY$5/100,MONTH($A122)))*$E122</f>
        <v>-2783.4708075154317</v>
      </c>
      <c r="CZ122" s="1021">
        <f>(VLOOKUP(YEAR($A122),'NY East Load Projections'!$A$4:$EO$14,((MONTH($A122)-1)*12)+VLOOKUP(CZ$4,$DE$6:$DF$17,2)+1))*(VLOOKUP($A122,SatSunCurve,7))*(INDEX(DailyScalarsTable,CZ$5/100,MONTH($A122)))*$E122</f>
        <v>-2118.496422791362</v>
      </c>
      <c r="DA122" s="1021">
        <f>(VLOOKUP(YEAR($A122),'NY East Load Projections'!$A$4:$EO$14,((MONTH($A122)-1)*12)+VLOOKUP(DA$4,$DE$6:$DF$17,2)+1))*(VLOOKUP($A122,SatSunCurve,7))*(INDEX(DailyScalarsTable,DA$5/100,MONTH($A122)))*$E122</f>
        <v>-1678.8213675939289</v>
      </c>
      <c r="DB122" s="1021">
        <f>(VLOOKUP(YEAR($A122),'NY East Load Projections'!$A$4:$EO$14,((MONTH($A122)-1)*12)+VLOOKUP(DB$4,$DE$6:$DF$17,2)+1))*(VLOOKUP($A122,CURVES!$D$9:$T$261,7))*(INDEX(DailyScalarsTable,DB$5/100,MONTH($A122)))*$E122</f>
        <v>-2151.2167519207574</v>
      </c>
      <c r="DH122" s="1032">
        <f t="shared" si="2"/>
        <v>-1876864.6758174652</v>
      </c>
      <c r="DI122">
        <f ca="1">CALC!J142</f>
        <v>0.46080758483535578</v>
      </c>
      <c r="DJ122" s="1029">
        <f t="shared" ca="1" si="3"/>
        <v>-864873.47832623916</v>
      </c>
    </row>
    <row r="123" spans="1:114" x14ac:dyDescent="0.25">
      <c r="A123" s="244">
        <v>40452</v>
      </c>
      <c r="B123" s="13">
        <v>21</v>
      </c>
      <c r="C123" s="210">
        <v>5</v>
      </c>
      <c r="D123" s="210">
        <v>5</v>
      </c>
      <c r="E123" s="210">
        <v>0</v>
      </c>
      <c r="F123" s="13">
        <v>31</v>
      </c>
      <c r="H123" s="1021">
        <f>(VLOOKUP(YEAR($A123),'NY East Load Projections'!$A$4:$EO$14,((MONTH($A123)-1)*12)+VLOOKUP(H$4,$DE$6:$DF$17,2)+1))*(VLOOKUP($A123,CURVES!$D$9:$K$261,7))*(INDEX(DailyScalarsTable,H$5/100,MONTH($A123)))*$B123</f>
        <v>0</v>
      </c>
      <c r="I123" s="1021">
        <f>(VLOOKUP(YEAR($A123),'NY East Load Projections'!$A$4:$EO$14,((MONTH($A123)-1)*12)+VLOOKUP(I$4,$DE$6:$DF$17,2)+1))*(VLOOKUP($A123,CURVES!$D$9:$K$261,7))*(INDEX(DailyScalarsTable,I$5/100,MONTH($A123)))*$B123</f>
        <v>0</v>
      </c>
      <c r="J123" s="1021">
        <f>(VLOOKUP(YEAR($A123),'NY East Load Projections'!$A$4:$EO$14,((MONTH($A123)-1)*12)+VLOOKUP(J$4,$DE$6:$DF$17,2)+1))*(VLOOKUP($A123,CURVES!$D$9:$K$261,7))*(INDEX(DailyScalarsTable,J$5/100,MONTH($A123)))*$B123</f>
        <v>0</v>
      </c>
      <c r="K123" s="1021">
        <f>(VLOOKUP(YEAR($A123),'NY East Load Projections'!$A$4:$EO$14,((MONTH($A123)-1)*12)+VLOOKUP(K$4,$DE$6:$DF$17,2)+1))*(VLOOKUP($A123,CURVES!$D$9:$K$261,7))*(INDEX(DailyScalarsTable,K$5/100,MONTH($A123)))*$B123</f>
        <v>0</v>
      </c>
      <c r="L123" s="1021">
        <f>(VLOOKUP(YEAR($A123),'NY East Load Projections'!$A$4:$EO$14,((MONTH($A123)-1)*12)+VLOOKUP(L$4,$DE$6:$DF$17,2)+1))*(VLOOKUP($A123,CURVES!$D$9:$K$261,7))*(INDEX(DailyScalarsTable,L$5/100,MONTH($A123)))*$B123</f>
        <v>0</v>
      </c>
      <c r="M123" s="1021">
        <f>(VLOOKUP(YEAR($A123),'NY East Load Projections'!$A$4:$EO$14,((MONTH($A123)-1)*12)+VLOOKUP(M$4,$DE$6:$DF$17,2)+1))*(VLOOKUP($A123,CURVES!$D$9:$K$261,7))*(INDEX(DailyScalarsTable,M$5/100,MONTH($A123)))*$B123</f>
        <v>0</v>
      </c>
      <c r="N123" s="1021">
        <f>(VLOOKUP(YEAR($A123),'NY East Load Projections'!$A$4:$EO$14,((MONTH($A123)-1)*12)+VLOOKUP(N$4,$DE$6:$DF$17,2)+1))*(VLOOKUP($A123,CURVES!$D$9:$K$261,7))*(INDEX(DailyScalarsTable,N$5/100,MONTH($A123)))*$B123</f>
        <v>0</v>
      </c>
      <c r="O123" s="1021">
        <f>(VLOOKUP(YEAR($A123),'NY East Load Projections'!$A$4:$EO$14,((MONTH($A123)-1)*12)+VLOOKUP(O$4,$DE$6:$DF$17,2)+1))*(VLOOKUP($A123,CURVES!$D$9:$K$261,3))*(INDEX(DailyScalarsTable,O$5/100,MONTH($A123)))*$B123</f>
        <v>0</v>
      </c>
      <c r="P123" s="1021">
        <f>(VLOOKUP(YEAR($A123),'NY East Load Projections'!$A$4:$EO$14,((MONTH($A123)-1)*12)+VLOOKUP(P$4,$DE$6:$DF$17,2)+1))*(VLOOKUP($A123,CURVES!$D$9:$K$261,3))*(INDEX(DailyScalarsTable,P$5/100,MONTH($A123)))*$B123</f>
        <v>0</v>
      </c>
      <c r="Q123" s="1021">
        <f>(VLOOKUP(YEAR($A123),'NY East Load Projections'!$A$4:$EO$14,((MONTH($A123)-1)*12)+VLOOKUP(Q$4,$DE$6:$DF$17,2)+1))*(VLOOKUP($A123,CURVES!$D$9:$K$261,3))*(INDEX(DailyScalarsTable,Q$5/100,MONTH($A123)))*$B123</f>
        <v>0</v>
      </c>
      <c r="R123" s="1021">
        <f>(VLOOKUP(YEAR($A123),'NY East Load Projections'!$A$4:$EO$14,((MONTH($A123)-1)*12)+VLOOKUP(R$4,$DE$6:$DF$17,2)+1))*(VLOOKUP($A123,CURVES!$D$9:$K$261,3))*(INDEX(DailyScalarsTable,R$5/100,MONTH($A123)))*$B123</f>
        <v>0</v>
      </c>
      <c r="S123" s="1021">
        <f>(VLOOKUP(YEAR($A123),'NY East Load Projections'!$A$4:$EO$14,((MONTH($A123)-1)*12)+VLOOKUP(S$4,$DE$6:$DF$17,2)+1))*(VLOOKUP($A123,CURVES!$D$9:$K$261,3))*(INDEX(DailyScalarsTable,S$5/100,MONTH($A123)))*$B123</f>
        <v>0</v>
      </c>
      <c r="T123" s="1021">
        <f>(VLOOKUP(YEAR($A123),'NY East Load Projections'!$A$4:$EO$14,((MONTH($A123)-1)*12)+VLOOKUP(T$4,$DE$6:$DF$17,2)+1))*(VLOOKUP($A123,CURVES!$D$9:$K$261,3))*(INDEX(DailyScalarsTable,T$5/100,MONTH($A123)))*$B123</f>
        <v>0</v>
      </c>
      <c r="U123" s="1021">
        <f>(VLOOKUP(YEAR($A123),'NY East Load Projections'!$A$4:$EO$14,((MONTH($A123)-1)*12)+VLOOKUP(U$4,$DE$6:$DF$17,2)+1))*(VLOOKUP($A123,CURVES!$D$9:$K$261,3))*(INDEX(DailyScalarsTable,U$5/100,MONTH($A123)))*$B123</f>
        <v>0</v>
      </c>
      <c r="V123" s="1021">
        <f>(VLOOKUP(YEAR($A123),'NY East Load Projections'!$A$4:$EO$14,((MONTH($A123)-1)*12)+VLOOKUP(V$4,$DE$6:$DF$17,2)+1))*(VLOOKUP($A123,CURVES!$D$9:$K$261,3))*(INDEX(DailyScalarsTable,V$5/100,MONTH($A123)))*$B123</f>
        <v>0</v>
      </c>
      <c r="W123" s="1021">
        <f>(VLOOKUP(YEAR($A123),'NY East Load Projections'!$A$4:$EO$14,((MONTH($A123)-1)*12)+VLOOKUP(W$4,$DE$6:$DF$17,2)+1))*(VLOOKUP($A123,CURVES!$D$9:$K$261,3))*(INDEX(DailyScalarsTable,W$5/100,MONTH($A123)))*$B123</f>
        <v>0</v>
      </c>
      <c r="X123" s="1021">
        <f>(VLOOKUP(YEAR($A123),'NY East Load Projections'!$A$4:$EO$14,((MONTH($A123)-1)*12)+VLOOKUP(X$4,$DE$6:$DF$17,2)+1))*(VLOOKUP($A123,CURVES!$D$9:$K$261,3))*(INDEX(DailyScalarsTable,X$5/100,MONTH($A123)))*$B123</f>
        <v>0</v>
      </c>
      <c r="Y123" s="1021">
        <f>(VLOOKUP(YEAR($A123),'NY East Load Projections'!$A$4:$EO$14,((MONTH($A123)-1)*12)+VLOOKUP(Y$4,$DE$6:$DF$17,2)+1))*(VLOOKUP($A123,CURVES!$D$9:$K$261,3))*(INDEX(DailyScalarsTable,Y$5/100,MONTH($A123)))*$B123</f>
        <v>0</v>
      </c>
      <c r="Z123" s="1021">
        <f>(VLOOKUP(YEAR($A123),'NY East Load Projections'!$A$4:$EO$14,((MONTH($A123)-1)*12)+VLOOKUP(Z$4,$DE$6:$DF$17,2)+1))*(VLOOKUP($A123,CURVES!$D$9:$K$261,3))*(INDEX(DailyScalarsTable,Z$5/100,MONTH($A123)))*$B123</f>
        <v>0</v>
      </c>
      <c r="AA123" s="1021">
        <f>(VLOOKUP(YEAR($A123),'NY East Load Projections'!$A$4:$EO$14,((MONTH($A123)-1)*12)+VLOOKUP(AA$4,$DE$6:$DF$17,2)+1))*(VLOOKUP($A123,CURVES!$D$9:$K$261,3))*(INDEX(DailyScalarsTable,AA$5/100,MONTH($A123)))*$B123</f>
        <v>0</v>
      </c>
      <c r="AB123" s="1021">
        <f>(VLOOKUP(YEAR($A123),'NY East Load Projections'!$A$4:$EO$14,((MONTH($A123)-1)*12)+VLOOKUP(AB$4,$DE$6:$DF$17,2)+1))*(VLOOKUP($A123,CURVES!$D$9:$K$261,3))*(INDEX(DailyScalarsTable,AB$5/100,MONTH($A123)))*$B123</f>
        <v>0</v>
      </c>
      <c r="AC123" s="1021">
        <f>(VLOOKUP(YEAR($A123),'NY East Load Projections'!$A$4:$EO$14,((MONTH($A123)-1)*12)+VLOOKUP(AC$4,$DE$6:$DF$17,2)+1))*(VLOOKUP($A123,CURVES!$D$9:$K$261,3))*(INDEX(DailyScalarsTable,AC$5/100,MONTH($A123)))*$B123</f>
        <v>0</v>
      </c>
      <c r="AD123" s="1021">
        <f>(VLOOKUP(YEAR($A123),'NY East Load Projections'!$A$4:$EO$14,((MONTH($A123)-1)*12)+VLOOKUP(AD$4,$DE$6:$DF$17,2)+1))*(VLOOKUP($A123,CURVES!$D$9:$K$261,3))*(INDEX(DailyScalarsTable,AD$5/100,MONTH($A123)))*$B123</f>
        <v>0</v>
      </c>
      <c r="AE123" s="1021">
        <f>(VLOOKUP(YEAR($A123),'NY East Load Projections'!$A$4:$EO$14,((MONTH($A123)-1)*12)+VLOOKUP(AE$4,$DE$6:$DF$17,2)+1))*(VLOOKUP($A123,CURVES!$D$9:$K$261,7))*(INDEX(DailyScalarsTable,AE$5/100,MONTH($A123)))*$B123</f>
        <v>0</v>
      </c>
      <c r="AF123" s="1021"/>
      <c r="AG123" s="1021">
        <f>(VLOOKUP(YEAR($A123),'NY East Load Projections'!$A$4:$EO$14,((MONTH($A123)-1)*12)+VLOOKUP(AG$4,$DE$6:$DF$17,2)+1))*(VLOOKUP($A123,CURVES!$D$9:$T$261,7))*(INDEX(DailyScalarsTable,AG$5/100,MONTH($A123)))*$C123</f>
        <v>0</v>
      </c>
      <c r="AH123" s="1021">
        <f>(VLOOKUP(YEAR($A123),'NY East Load Projections'!$A$4:$EO$14,((MONTH($A123)-1)*12)+VLOOKUP(AH$4,$DE$6:$DF$17,2)+1))*(VLOOKUP($A123,CURVES!$D$9:$T$261,7))*(INDEX(DailyScalarsTable,AH$5/100,MONTH($A123)))*$C123</f>
        <v>0</v>
      </c>
      <c r="AI123" s="1021">
        <f>(VLOOKUP(YEAR($A123),'NY East Load Projections'!$A$4:$EO$14,((MONTH($A123)-1)*12)+VLOOKUP(AI$4,$DE$6:$DF$17,2)+1))*(VLOOKUP($A123,CURVES!$D$9:$T$261,7))*(INDEX(DailyScalarsTable,AI$5/100,MONTH($A123)))*$C123</f>
        <v>0</v>
      </c>
      <c r="AJ123" s="1021">
        <f>(VLOOKUP(YEAR($A123),'NY East Load Projections'!$A$4:$EO$14,((MONTH($A123)-1)*12)+VLOOKUP(AJ$4,$DE$6:$DF$17,2)+1))*(VLOOKUP($A123,CURVES!$D$9:$T$261,7))*(INDEX(DailyScalarsTable,AJ$5/100,MONTH($A123)))*$C123</f>
        <v>0</v>
      </c>
      <c r="AK123" s="1021">
        <f>(VLOOKUP(YEAR($A123),'NY East Load Projections'!$A$4:$EO$14,((MONTH($A123)-1)*12)+VLOOKUP(AK$4,$DE$6:$DF$17,2)+1))*(VLOOKUP($A123,CURVES!$D$9:$T$261,7))*(INDEX(DailyScalarsTable,AK$5/100,MONTH($A123)))*$C123</f>
        <v>0</v>
      </c>
      <c r="AL123" s="1021">
        <f>(VLOOKUP(YEAR($A123),'NY East Load Projections'!$A$4:$EO$14,((MONTH($A123)-1)*12)+VLOOKUP(AL$4,$DE$6:$DF$17,2)+1))*(VLOOKUP($A123,CURVES!$D$9:$T$261,7))*(INDEX(DailyScalarsTable,AL$5/100,MONTH($A123)))*$C123</f>
        <v>0</v>
      </c>
      <c r="AM123" s="1021">
        <f>(VLOOKUP(YEAR($A123),'NY East Load Projections'!$A$4:$EO$14,((MONTH($A123)-1)*12)+VLOOKUP(AM$4,$DE$6:$DF$17,2)+1))*(VLOOKUP($A123,CURVES!$D$9:$T$261,7))*(INDEX(DailyScalarsTable,AM$5/100,MONTH($A123)))*$C123</f>
        <v>0</v>
      </c>
      <c r="AN123" s="1021">
        <f>(VLOOKUP(YEAR($A123),'NY East Load Projections'!$A$4:$EO$14,((MONTH($A123)-1)*12)+VLOOKUP(AN$4,$DE$6:$DF$17,2)+1))*(VLOOKUP($A123,SatSunCurve,3))*(INDEX(DailyScalarsTable,AN$5/100,MONTH($A123)))*$C123</f>
        <v>0</v>
      </c>
      <c r="AO123" s="1021">
        <f>(VLOOKUP(YEAR($A123),'NY East Load Projections'!$A$4:$EO$14,((MONTH($A123)-1)*12)+VLOOKUP(AO$4,$DE$6:$DF$17,2)+1))*(VLOOKUP($A123,SatSunCurve,3))*(INDEX(DailyScalarsTable,AO$5/100,MONTH($A123)))*$C123</f>
        <v>0</v>
      </c>
      <c r="AP123" s="1021">
        <f>(VLOOKUP(YEAR($A123),'NY East Load Projections'!$A$4:$EO$14,((MONTH($A123)-1)*12)+VLOOKUP(AP$4,$DE$6:$DF$17,2)+1))*(VLOOKUP($A123,SatSunCurve,3))*(INDEX(DailyScalarsTable,AP$5/100,MONTH($A123)))*$C123</f>
        <v>0</v>
      </c>
      <c r="AQ123" s="1021">
        <f>(VLOOKUP(YEAR($A123),'NY East Load Projections'!$A$4:$EO$14,((MONTH($A123)-1)*12)+VLOOKUP(AQ$4,$DE$6:$DF$17,2)+1))*(VLOOKUP($A123,SatSunCurve,3))*(INDEX(DailyScalarsTable,AQ$5/100,MONTH($A123)))*$C123</f>
        <v>0</v>
      </c>
      <c r="AR123" s="1021">
        <f>(VLOOKUP(YEAR($A123),'NY East Load Projections'!$A$4:$EO$14,((MONTH($A123)-1)*12)+VLOOKUP(AR$4,$DE$6:$DF$17,2)+1))*(VLOOKUP($A123,SatSunCurve,3))*(INDEX(DailyScalarsTable,AR$5/100,MONTH($A123)))*$C123</f>
        <v>0</v>
      </c>
      <c r="AS123" s="1021">
        <f>(VLOOKUP(YEAR($A123),'NY East Load Projections'!$A$4:$EO$14,((MONTH($A123)-1)*12)+VLOOKUP(AS$4,$DE$6:$DF$17,2)+1))*(VLOOKUP($A123,SatSunCurve,3))*(INDEX(DailyScalarsTable,AS$5/100,MONTH($A123)))*$C123</f>
        <v>0</v>
      </c>
      <c r="AT123" s="1021">
        <f>(VLOOKUP(YEAR($A123),'NY East Load Projections'!$A$4:$EO$14,((MONTH($A123)-1)*12)+VLOOKUP(AT$4,$DE$6:$DF$17,2)+1))*(VLOOKUP($A123,SatSunCurve,3))*(INDEX(DailyScalarsTable,AT$5/100,MONTH($A123)))*$C123</f>
        <v>0</v>
      </c>
      <c r="AU123" s="1021">
        <f>(VLOOKUP(YEAR($A123),'NY East Load Projections'!$A$4:$EO$14,((MONTH($A123)-1)*12)+VLOOKUP(AU$4,$DE$6:$DF$17,2)+1))*(VLOOKUP($A123,SatSunCurve,3))*(INDEX(DailyScalarsTable,AU$5/100,MONTH($A123)))*$C123</f>
        <v>0</v>
      </c>
      <c r="AV123" s="1021">
        <f>(VLOOKUP(YEAR($A123),'NY East Load Projections'!$A$4:$EO$14,((MONTH($A123)-1)*12)+VLOOKUP(AV$4,$DE$6:$DF$17,2)+1))*(VLOOKUP($A123,SatSunCurve,3))*(INDEX(DailyScalarsTable,AV$5/100,MONTH($A123)))*$C123</f>
        <v>0</v>
      </c>
      <c r="AW123" s="1021">
        <f>(VLOOKUP(YEAR($A123),'NY East Load Projections'!$A$4:$EO$14,((MONTH($A123)-1)*12)+VLOOKUP(AW$4,$DE$6:$DF$17,2)+1))*(VLOOKUP($A123,SatSunCurve,3))*(INDEX(DailyScalarsTable,AW$5/100,MONTH($A123)))*$C123</f>
        <v>0</v>
      </c>
      <c r="AX123" s="1021">
        <f>(VLOOKUP(YEAR($A123),'NY East Load Projections'!$A$4:$EO$14,((MONTH($A123)-1)*12)+VLOOKUP(AX$4,$DE$6:$DF$17,2)+1))*(VLOOKUP($A123,SatSunCurve,3))*(INDEX(DailyScalarsTable,AX$5/100,MONTH($A123)))*$C123</f>
        <v>0</v>
      </c>
      <c r="AY123" s="1021">
        <f>(VLOOKUP(YEAR($A123),'NY East Load Projections'!$A$4:$EO$14,((MONTH($A123)-1)*12)+VLOOKUP(AY$4,$DE$6:$DF$17,2)+1))*(VLOOKUP($A123,SatSunCurve,3))*(INDEX(DailyScalarsTable,AY$5/100,MONTH($A123)))*$C123</f>
        <v>0</v>
      </c>
      <c r="AZ123" s="1021">
        <f>(VLOOKUP(YEAR($A123),'NY East Load Projections'!$A$4:$EO$14,((MONTH($A123)-1)*12)+VLOOKUP(AZ$4,$DE$6:$DF$17,2)+1))*(VLOOKUP($A123,SatSunCurve,3))*(INDEX(DailyScalarsTable,AZ$5/100,MONTH($A123)))*$C123</f>
        <v>0</v>
      </c>
      <c r="BA123" s="1021">
        <f>(VLOOKUP(YEAR($A123),'NY East Load Projections'!$A$4:$EO$14,((MONTH($A123)-1)*12)+VLOOKUP(BA$4,$DE$6:$DF$17,2)+1))*(VLOOKUP($A123,SatSunCurve,3))*(INDEX(DailyScalarsTable,BA$5/100,MONTH($A123)))*$C123</f>
        <v>0</v>
      </c>
      <c r="BB123" s="1021">
        <f>(VLOOKUP(YEAR($A123),'NY East Load Projections'!$A$4:$EO$14,((MONTH($A123)-1)*12)+VLOOKUP(BB$4,$DE$6:$DF$17,2)+1))*(VLOOKUP($A123,SatSunCurve,3))*(INDEX(DailyScalarsTable,BB$5/100,MONTH($A123)))*$C123</f>
        <v>0</v>
      </c>
      <c r="BC123" s="1021">
        <f>(VLOOKUP(YEAR($A123),'NY East Load Projections'!$A$4:$EO$14,((MONTH($A123)-1)*12)+VLOOKUP(BC$4,$DE$6:$DF$17,2)+1))*(VLOOKUP($A123,SatSunCurve,3))*(INDEX(DailyScalarsTable,BC$5/100,MONTH($A123)))*$C123</f>
        <v>0</v>
      </c>
      <c r="BD123" s="1021">
        <f>(VLOOKUP(YEAR($A123),'NY East Load Projections'!$A$4:$EO$14,((MONTH($A123)-1)*12)+VLOOKUP(BD$4,$DE$6:$DF$17,2)+1))*(VLOOKUP($A123,CURVES!$D$9:$T$261,7))*(INDEX(DailyScalarsTable,BD$5/100,MONTH($A123)))*$C123</f>
        <v>0</v>
      </c>
      <c r="BE123" s="1021"/>
      <c r="BF123" s="1021">
        <f>(VLOOKUP(YEAR($A123),'NY East Load Projections'!$A$4:$EO$14,((MONTH($A123)-1)*12)+VLOOKUP(BF$4,$DE$6:$DF$17,2)+1))*(VLOOKUP($A123,CURVES!$D$9:$T$261,7))*(INDEX(DailyScalarsTable,BF$5/100,MONTH($A123)))*$D123</f>
        <v>0</v>
      </c>
      <c r="BG123" s="1021">
        <f>(VLOOKUP(YEAR($A123),'NY East Load Projections'!$A$4:$EO$14,((MONTH($A123)-1)*12)+VLOOKUP(BG$4,$DE$6:$DF$17,2)+1))*(VLOOKUP($A123,CURVES!$D$9:$T$261,7))*(INDEX(DailyScalarsTable,BG$5/100,MONTH($A123)))*$D123</f>
        <v>0</v>
      </c>
      <c r="BH123" s="1021">
        <f>(VLOOKUP(YEAR($A123),'NY East Load Projections'!$A$4:$EO$14,((MONTH($A123)-1)*12)+VLOOKUP(BH$4,$DE$6:$DF$17,2)+1))*(VLOOKUP($A123,CURVES!$D$9:$T$261,7))*(INDEX(DailyScalarsTable,BH$5/100,MONTH($A123)))*$D123</f>
        <v>0</v>
      </c>
      <c r="BI123" s="1021">
        <f>(VLOOKUP(YEAR($A123),'NY East Load Projections'!$A$4:$EO$14,((MONTH($A123)-1)*12)+VLOOKUP(BI$4,$DE$6:$DF$17,2)+1))*(VLOOKUP($A123,CURVES!$D$9:$T$261,7))*(INDEX(DailyScalarsTable,BI$5/100,MONTH($A123)))*$D123</f>
        <v>0</v>
      </c>
      <c r="BJ123" s="1021">
        <f>(VLOOKUP(YEAR($A123),'NY East Load Projections'!$A$4:$EO$14,((MONTH($A123)-1)*12)+VLOOKUP(BJ$4,$DE$6:$DF$17,2)+1))*(VLOOKUP($A123,CURVES!$D$9:$T$261,7))*(INDEX(DailyScalarsTable,BJ$5/100,MONTH($A123)))*$D123</f>
        <v>0</v>
      </c>
      <c r="BK123" s="1021">
        <f>(VLOOKUP(YEAR($A123),'NY East Load Projections'!$A$4:$EO$14,((MONTH($A123)-1)*12)+VLOOKUP(BK$4,$DE$6:$DF$17,2)+1))*(VLOOKUP($A123,CURVES!$D$9:$T$261,7))*(INDEX(DailyScalarsTable,BK$5/100,MONTH($A123)))*$D123</f>
        <v>0</v>
      </c>
      <c r="BL123" s="1021">
        <f>(VLOOKUP(YEAR($A123),'NY East Load Projections'!$A$4:$EO$14,((MONTH($A123)-1)*12)+VLOOKUP(BL$4,$DE$6:$DF$17,2)+1))*(VLOOKUP($A123,CURVES!$D$9:$T$261,7))*(INDEX(DailyScalarsTable,BL$5/100,MONTH($A123)))*$D123</f>
        <v>0</v>
      </c>
      <c r="BM123" s="1021">
        <f>(VLOOKUP(YEAR($A123),'NY East Load Projections'!$A$4:$EO$14,((MONTH($A123)-1)*12)+VLOOKUP(BM$4,$DE$6:$DF$17,2)+1))*(VLOOKUP($A123,SatSunCurve,7))*(INDEX(DailyScalarsTable,BM$5/100,MONTH($A123)))*$D123</f>
        <v>0</v>
      </c>
      <c r="BN123" s="1021">
        <f>(VLOOKUP(YEAR($A123),'NY East Load Projections'!$A$4:$EO$14,((MONTH($A123)-1)*12)+VLOOKUP(BN$4,$DE$6:$DF$17,2)+1))*(VLOOKUP($A123,SatSunCurve,7))*(INDEX(DailyScalarsTable,BN$5/100,MONTH($A123)))*$D123</f>
        <v>0</v>
      </c>
      <c r="BO123" s="1021">
        <f>(VLOOKUP(YEAR($A123),'NY East Load Projections'!$A$4:$EO$14,((MONTH($A123)-1)*12)+VLOOKUP(BO$4,$DE$6:$DF$17,2)+1))*(VLOOKUP($A123,SatSunCurve,7))*(INDEX(DailyScalarsTable,BO$5/100,MONTH($A123)))*$D123</f>
        <v>0</v>
      </c>
      <c r="BP123" s="1021">
        <f>(VLOOKUP(YEAR($A123),'NY East Load Projections'!$A$4:$EO$14,((MONTH($A123)-1)*12)+VLOOKUP(BP$4,$DE$6:$DF$17,2)+1))*(VLOOKUP($A123,SatSunCurve,7))*(INDEX(DailyScalarsTable,BP$5/100,MONTH($A123)))*$D123</f>
        <v>0</v>
      </c>
      <c r="BQ123" s="1021">
        <f>(VLOOKUP(YEAR($A123),'NY East Load Projections'!$A$4:$EO$14,((MONTH($A123)-1)*12)+VLOOKUP(BQ$4,$DE$6:$DF$17,2)+1))*(VLOOKUP($A123,SatSunCurve,7))*(INDEX(DailyScalarsTable,BQ$5/100,MONTH($A123)))*$D123</f>
        <v>0</v>
      </c>
      <c r="BR123" s="1021">
        <f>(VLOOKUP(YEAR($A123),'NY East Load Projections'!$A$4:$EO$14,((MONTH($A123)-1)*12)+VLOOKUP(BR$4,$DE$6:$DF$17,2)+1))*(VLOOKUP($A123,SatSunCurve,7))*(INDEX(DailyScalarsTable,BR$5/100,MONTH($A123)))*$D123</f>
        <v>0</v>
      </c>
      <c r="BS123" s="1021">
        <f>(VLOOKUP(YEAR($A123),'NY East Load Projections'!$A$4:$EO$14,((MONTH($A123)-1)*12)+VLOOKUP(BS$4,$DE$6:$DF$17,2)+1))*(VLOOKUP($A123,SatSunCurve,7))*(INDEX(DailyScalarsTable,BS$5/100,MONTH($A123)))*$D123</f>
        <v>0</v>
      </c>
      <c r="BT123" s="1021">
        <f>(VLOOKUP(YEAR($A123),'NY East Load Projections'!$A$4:$EO$14,((MONTH($A123)-1)*12)+VLOOKUP(BT$4,$DE$6:$DF$17,2)+1))*(VLOOKUP($A123,SatSunCurve,7))*(INDEX(DailyScalarsTable,BT$5/100,MONTH($A123)))*$D123</f>
        <v>0</v>
      </c>
      <c r="BU123" s="1021">
        <f>(VLOOKUP(YEAR($A123),'NY East Load Projections'!$A$4:$EO$14,((MONTH($A123)-1)*12)+VLOOKUP(BU$4,$DE$6:$DF$17,2)+1))*(VLOOKUP($A123,SatSunCurve,7))*(INDEX(DailyScalarsTable,BU$5/100,MONTH($A123)))*$D123</f>
        <v>0</v>
      </c>
      <c r="BV123" s="1021">
        <f>(VLOOKUP(YEAR($A123),'NY East Load Projections'!$A$4:$EO$14,((MONTH($A123)-1)*12)+VLOOKUP(BV$4,$DE$6:$DF$17,2)+1))*(VLOOKUP($A123,SatSunCurve,7))*(INDEX(DailyScalarsTable,BV$5/100,MONTH($A123)))*$D123</f>
        <v>0</v>
      </c>
      <c r="BW123" s="1021">
        <f>(VLOOKUP(YEAR($A123),'NY East Load Projections'!$A$4:$EO$14,((MONTH($A123)-1)*12)+VLOOKUP(BW$4,$DE$6:$DF$17,2)+1))*(VLOOKUP($A123,SatSunCurve,7))*(INDEX(DailyScalarsTable,BW$5/100,MONTH($A123)))*$D123</f>
        <v>0</v>
      </c>
      <c r="BX123" s="1021">
        <f>(VLOOKUP(YEAR($A123),'NY East Load Projections'!$A$4:$EO$14,((MONTH($A123)-1)*12)+VLOOKUP(BX$4,$DE$6:$DF$17,2)+1))*(VLOOKUP($A123,SatSunCurve,7))*(INDEX(DailyScalarsTable,BX$5/100,MONTH($A123)))*$D123</f>
        <v>0</v>
      </c>
      <c r="BY123" s="1021">
        <f>(VLOOKUP(YEAR($A123),'NY East Load Projections'!$A$4:$EO$14,((MONTH($A123)-1)*12)+VLOOKUP(BY$4,$DE$6:$DF$17,2)+1))*(VLOOKUP($A123,SatSunCurve,7))*(INDEX(DailyScalarsTable,BY$5/100,MONTH($A123)))*$D123</f>
        <v>0</v>
      </c>
      <c r="BZ123" s="1021">
        <f>(VLOOKUP(YEAR($A123),'NY East Load Projections'!$A$4:$EO$14,((MONTH($A123)-1)*12)+VLOOKUP(BZ$4,$DE$6:$DF$17,2)+1))*(VLOOKUP($A123,SatSunCurve,7))*(INDEX(DailyScalarsTable,BZ$5/100,MONTH($A123)))*$D123</f>
        <v>0</v>
      </c>
      <c r="CA123" s="1021">
        <f>(VLOOKUP(YEAR($A123),'NY East Load Projections'!$A$4:$EO$14,((MONTH($A123)-1)*12)+VLOOKUP(CA$4,$DE$6:$DF$17,2)+1))*(VLOOKUP($A123,SatSunCurve,7))*(INDEX(DailyScalarsTable,CA$5/100,MONTH($A123)))*$D123</f>
        <v>0</v>
      </c>
      <c r="CB123" s="1021">
        <f>(VLOOKUP(YEAR($A123),'NY East Load Projections'!$A$4:$EO$14,((MONTH($A123)-1)*12)+VLOOKUP(CB$4,$DE$6:$DF$17,2)+1))*(VLOOKUP($A123,SatSunCurve,7))*(INDEX(DailyScalarsTable,CB$5/100,MONTH($A123)))*$D123</f>
        <v>0</v>
      </c>
      <c r="CC123" s="1021">
        <f>(VLOOKUP(YEAR($A123),'NY East Load Projections'!$A$4:$EO$14,((MONTH($A123)-1)*12)+VLOOKUP(CC$4,$DE$6:$DF$17,2)+1))*(VLOOKUP($A123,CURVES!$D$9:$T$261,7))*(INDEX(DailyScalarsTable,CC$5/100,MONTH($A123)))*$D123</f>
        <v>0</v>
      </c>
      <c r="CE123" s="1021">
        <f>(VLOOKUP(YEAR($A123),'NY East Load Projections'!$A$4:$EO$14,((MONTH($A123)-1)*12)+VLOOKUP(CE$4,$DE$6:$DF$17,2)+1))*(VLOOKUP($A123,CURVES!$D$9:$T$261,7))*(INDEX(DailyScalarsTable,CE$5/100,MONTH($A123)))*$E123</f>
        <v>0</v>
      </c>
      <c r="CF123" s="1021">
        <f>(VLOOKUP(YEAR($A123),'NY East Load Projections'!$A$4:$EO$14,((MONTH($A123)-1)*12)+VLOOKUP(CF$4,$DE$6:$DF$17,2)+1))*(VLOOKUP($A123,CURVES!$D$9:$T$261,7))*(INDEX(DailyScalarsTable,CF$5/100,MONTH($A123)))*$E123</f>
        <v>0</v>
      </c>
      <c r="CG123" s="1021">
        <f>(VLOOKUP(YEAR($A123),'NY East Load Projections'!$A$4:$EO$14,((MONTH($A123)-1)*12)+VLOOKUP(CG$4,$DE$6:$DF$17,2)+1))*(VLOOKUP($A123,CURVES!$D$9:$T$261,7))*(INDEX(DailyScalarsTable,CG$5/100,MONTH($A123)))*$E123</f>
        <v>0</v>
      </c>
      <c r="CH123" s="1021">
        <f>(VLOOKUP(YEAR($A123),'NY East Load Projections'!$A$4:$EO$14,((MONTH($A123)-1)*12)+VLOOKUP(CH$4,$DE$6:$DF$17,2)+1))*(VLOOKUP($A123,CURVES!$D$9:$T$261,7))*(INDEX(DailyScalarsTable,CH$5/100,MONTH($A123)))*$E123</f>
        <v>0</v>
      </c>
      <c r="CI123" s="1021">
        <f>(VLOOKUP(YEAR($A123),'NY East Load Projections'!$A$4:$EO$14,((MONTH($A123)-1)*12)+VLOOKUP(CI$4,$DE$6:$DF$17,2)+1))*(VLOOKUP($A123,CURVES!$D$9:$T$261,7))*(INDEX(DailyScalarsTable,CI$5/100,MONTH($A123)))*$E123</f>
        <v>0</v>
      </c>
      <c r="CJ123" s="1021">
        <f>(VLOOKUP(YEAR($A123),'NY East Load Projections'!$A$4:$EO$14,((MONTH($A123)-1)*12)+VLOOKUP(CJ$4,$DE$6:$DF$17,2)+1))*(VLOOKUP($A123,CURVES!$D$9:$T$261,7))*(INDEX(DailyScalarsTable,CJ$5/100,MONTH($A123)))*$E123</f>
        <v>0</v>
      </c>
      <c r="CK123" s="1021">
        <f>(VLOOKUP(YEAR($A123),'NY East Load Projections'!$A$4:$EO$14,((MONTH($A123)-1)*12)+VLOOKUP(CK$4,$DE$6:$DF$17,2)+1))*(VLOOKUP($A123,CURVES!$D$9:$T$261,7))*(INDEX(DailyScalarsTable,CK$5/100,MONTH($A123)))*$E123</f>
        <v>0</v>
      </c>
      <c r="CL123" s="1021">
        <f>(VLOOKUP(YEAR($A123),'NY East Load Projections'!$A$4:$EO$14,((MONTH($A123)-1)*12)+VLOOKUP(CL$4,$DE$6:$DF$17,2)+1))*(VLOOKUP($A123,SatSunCurve,7))*(INDEX(DailyScalarsTable,CL$5/100,MONTH($A123)))*$E123</f>
        <v>0</v>
      </c>
      <c r="CM123" s="1021">
        <f>(VLOOKUP(YEAR($A123),'NY East Load Projections'!$A$4:$EO$14,((MONTH($A123)-1)*12)+VLOOKUP(CM$4,$DE$6:$DF$17,2)+1))*(VLOOKUP($A123,SatSunCurve,7))*(INDEX(DailyScalarsTable,CM$5/100,MONTH($A123)))*$E123</f>
        <v>0</v>
      </c>
      <c r="CN123" s="1021">
        <f>(VLOOKUP(YEAR($A123),'NY East Load Projections'!$A$4:$EO$14,((MONTH($A123)-1)*12)+VLOOKUP(CN$4,$DE$6:$DF$17,2)+1))*(VLOOKUP($A123,SatSunCurve,7))*(INDEX(DailyScalarsTable,CN$5/100,MONTH($A123)))*$E123</f>
        <v>0</v>
      </c>
      <c r="CO123" s="1021">
        <f>(VLOOKUP(YEAR($A123),'NY East Load Projections'!$A$4:$EO$14,((MONTH($A123)-1)*12)+VLOOKUP(CO$4,$DE$6:$DF$17,2)+1))*(VLOOKUP($A123,SatSunCurve,7))*(INDEX(DailyScalarsTable,CO$5/100,MONTH($A123)))*$E123</f>
        <v>0</v>
      </c>
      <c r="CP123" s="1021">
        <f>(VLOOKUP(YEAR($A123),'NY East Load Projections'!$A$4:$EO$14,((MONTH($A123)-1)*12)+VLOOKUP(CP$4,$DE$6:$DF$17,2)+1))*(VLOOKUP($A123,SatSunCurve,7))*(INDEX(DailyScalarsTable,CP$5/100,MONTH($A123)))*$E123</f>
        <v>0</v>
      </c>
      <c r="CQ123" s="1021">
        <f>(VLOOKUP(YEAR($A123),'NY East Load Projections'!$A$4:$EO$14,((MONTH($A123)-1)*12)+VLOOKUP(CQ$4,$DE$6:$DF$17,2)+1))*(VLOOKUP($A123,SatSunCurve,7))*(INDEX(DailyScalarsTable,CQ$5/100,MONTH($A123)))*$E123</f>
        <v>0</v>
      </c>
      <c r="CR123" s="1021">
        <f>(VLOOKUP(YEAR($A123),'NY East Load Projections'!$A$4:$EO$14,((MONTH($A123)-1)*12)+VLOOKUP(CR$4,$DE$6:$DF$17,2)+1))*(VLOOKUP($A123,SatSunCurve,7))*(INDEX(DailyScalarsTable,CR$5/100,MONTH($A123)))*$E123</f>
        <v>0</v>
      </c>
      <c r="CS123" s="1021">
        <f>(VLOOKUP(YEAR($A123),'NY East Load Projections'!$A$4:$EO$14,((MONTH($A123)-1)*12)+VLOOKUP(CS$4,$DE$6:$DF$17,2)+1))*(VLOOKUP($A123,SatSunCurve,7))*(INDEX(DailyScalarsTable,CS$5/100,MONTH($A123)))*$E123</f>
        <v>0</v>
      </c>
      <c r="CT123" s="1021">
        <f>(VLOOKUP(YEAR($A123),'NY East Load Projections'!$A$4:$EO$14,((MONTH($A123)-1)*12)+VLOOKUP(CT$4,$DE$6:$DF$17,2)+1))*(VLOOKUP($A123,SatSunCurve,7))*(INDEX(DailyScalarsTable,CT$5/100,MONTH($A123)))*$E123</f>
        <v>0</v>
      </c>
      <c r="CU123" s="1021">
        <f>(VLOOKUP(YEAR($A123),'NY East Load Projections'!$A$4:$EO$14,((MONTH($A123)-1)*12)+VLOOKUP(CU$4,$DE$6:$DF$17,2)+1))*(VLOOKUP($A123,SatSunCurve,7))*(INDEX(DailyScalarsTable,CU$5/100,MONTH($A123)))*$E123</f>
        <v>0</v>
      </c>
      <c r="CV123" s="1021">
        <f>(VLOOKUP(YEAR($A123),'NY East Load Projections'!$A$4:$EO$14,((MONTH($A123)-1)*12)+VLOOKUP(CV$4,$DE$6:$DF$17,2)+1))*(VLOOKUP($A123,SatSunCurve,7))*(INDEX(DailyScalarsTable,CV$5/100,MONTH($A123)))*$E123</f>
        <v>0</v>
      </c>
      <c r="CW123" s="1021">
        <f>(VLOOKUP(YEAR($A123),'NY East Load Projections'!$A$4:$EO$14,((MONTH($A123)-1)*12)+VLOOKUP(CW$4,$DE$6:$DF$17,2)+1))*(VLOOKUP($A123,SatSunCurve,7))*(INDEX(DailyScalarsTable,CW$5/100,MONTH($A123)))*$E123</f>
        <v>0</v>
      </c>
      <c r="CX123" s="1021">
        <f>(VLOOKUP(YEAR($A123),'NY East Load Projections'!$A$4:$EO$14,((MONTH($A123)-1)*12)+VLOOKUP(CX$4,$DE$6:$DF$17,2)+1))*(VLOOKUP($A123,SatSunCurve,7))*(INDEX(DailyScalarsTable,CX$5/100,MONTH($A123)))*$E123</f>
        <v>0</v>
      </c>
      <c r="CY123" s="1021">
        <f>(VLOOKUP(YEAR($A123),'NY East Load Projections'!$A$4:$EO$14,((MONTH($A123)-1)*12)+VLOOKUP(CY$4,$DE$6:$DF$17,2)+1))*(VLOOKUP($A123,SatSunCurve,7))*(INDEX(DailyScalarsTable,CY$5/100,MONTH($A123)))*$E123</f>
        <v>0</v>
      </c>
      <c r="CZ123" s="1021">
        <f>(VLOOKUP(YEAR($A123),'NY East Load Projections'!$A$4:$EO$14,((MONTH($A123)-1)*12)+VLOOKUP(CZ$4,$DE$6:$DF$17,2)+1))*(VLOOKUP($A123,SatSunCurve,7))*(INDEX(DailyScalarsTable,CZ$5/100,MONTH($A123)))*$E123</f>
        <v>0</v>
      </c>
      <c r="DA123" s="1021">
        <f>(VLOOKUP(YEAR($A123),'NY East Load Projections'!$A$4:$EO$14,((MONTH($A123)-1)*12)+VLOOKUP(DA$4,$DE$6:$DF$17,2)+1))*(VLOOKUP($A123,SatSunCurve,7))*(INDEX(DailyScalarsTable,DA$5/100,MONTH($A123)))*$E123</f>
        <v>0</v>
      </c>
      <c r="DB123" s="1021">
        <f>(VLOOKUP(YEAR($A123),'NY East Load Projections'!$A$4:$EO$14,((MONTH($A123)-1)*12)+VLOOKUP(DB$4,$DE$6:$DF$17,2)+1))*(VLOOKUP($A123,CURVES!$D$9:$T$261,7))*(INDEX(DailyScalarsTable,DB$5/100,MONTH($A123)))*$E123</f>
        <v>0</v>
      </c>
      <c r="DH123" s="1032">
        <f t="shared" si="2"/>
        <v>0</v>
      </c>
      <c r="DI123">
        <f ca="1">CALC!J143</f>
        <v>0.45796816908869958</v>
      </c>
      <c r="DJ123" s="1029">
        <f t="shared" ca="1" si="3"/>
        <v>0</v>
      </c>
    </row>
    <row r="124" spans="1:114" x14ac:dyDescent="0.25">
      <c r="A124" s="244">
        <v>40483</v>
      </c>
      <c r="B124" s="13">
        <v>21</v>
      </c>
      <c r="C124" s="210">
        <v>4</v>
      </c>
      <c r="D124" s="210">
        <v>4</v>
      </c>
      <c r="E124" s="210">
        <v>1</v>
      </c>
      <c r="F124" s="13">
        <v>30</v>
      </c>
      <c r="H124" s="1021">
        <f>(VLOOKUP(YEAR($A124),'NY East Load Projections'!$A$4:$EO$14,((MONTH($A124)-1)*12)+VLOOKUP(H$4,$DE$6:$DF$17,2)+1))*(VLOOKUP($A124,CURVES!$D$9:$K$261,7))*(INDEX(DailyScalarsTable,H$5/100,MONTH($A124)))*$B124</f>
        <v>0</v>
      </c>
      <c r="I124" s="1021">
        <f>(VLOOKUP(YEAR($A124),'NY East Load Projections'!$A$4:$EO$14,((MONTH($A124)-1)*12)+VLOOKUP(I$4,$DE$6:$DF$17,2)+1))*(VLOOKUP($A124,CURVES!$D$9:$K$261,7))*(INDEX(DailyScalarsTable,I$5/100,MONTH($A124)))*$B124</f>
        <v>0</v>
      </c>
      <c r="J124" s="1021">
        <f>(VLOOKUP(YEAR($A124),'NY East Load Projections'!$A$4:$EO$14,((MONTH($A124)-1)*12)+VLOOKUP(J$4,$DE$6:$DF$17,2)+1))*(VLOOKUP($A124,CURVES!$D$9:$K$261,7))*(INDEX(DailyScalarsTable,J$5/100,MONTH($A124)))*$B124</f>
        <v>0</v>
      </c>
      <c r="K124" s="1021">
        <f>(VLOOKUP(YEAR($A124),'NY East Load Projections'!$A$4:$EO$14,((MONTH($A124)-1)*12)+VLOOKUP(K$4,$DE$6:$DF$17,2)+1))*(VLOOKUP($A124,CURVES!$D$9:$K$261,7))*(INDEX(DailyScalarsTable,K$5/100,MONTH($A124)))*$B124</f>
        <v>0</v>
      </c>
      <c r="L124" s="1021">
        <f>(VLOOKUP(YEAR($A124),'NY East Load Projections'!$A$4:$EO$14,((MONTH($A124)-1)*12)+VLOOKUP(L$4,$DE$6:$DF$17,2)+1))*(VLOOKUP($A124,CURVES!$D$9:$K$261,7))*(INDEX(DailyScalarsTable,L$5/100,MONTH($A124)))*$B124</f>
        <v>0</v>
      </c>
      <c r="M124" s="1021">
        <f>(VLOOKUP(YEAR($A124),'NY East Load Projections'!$A$4:$EO$14,((MONTH($A124)-1)*12)+VLOOKUP(M$4,$DE$6:$DF$17,2)+1))*(VLOOKUP($A124,CURVES!$D$9:$K$261,7))*(INDEX(DailyScalarsTable,M$5/100,MONTH($A124)))*$B124</f>
        <v>0</v>
      </c>
      <c r="N124" s="1021">
        <f>(VLOOKUP(YEAR($A124),'NY East Load Projections'!$A$4:$EO$14,((MONTH($A124)-1)*12)+VLOOKUP(N$4,$DE$6:$DF$17,2)+1))*(VLOOKUP($A124,CURVES!$D$9:$K$261,7))*(INDEX(DailyScalarsTable,N$5/100,MONTH($A124)))*$B124</f>
        <v>0</v>
      </c>
      <c r="O124" s="1021">
        <f>(VLOOKUP(YEAR($A124),'NY East Load Projections'!$A$4:$EO$14,((MONTH($A124)-1)*12)+VLOOKUP(O$4,$DE$6:$DF$17,2)+1))*(VLOOKUP($A124,CURVES!$D$9:$K$261,3))*(INDEX(DailyScalarsTable,O$5/100,MONTH($A124)))*$B124</f>
        <v>0</v>
      </c>
      <c r="P124" s="1021">
        <f>(VLOOKUP(YEAR($A124),'NY East Load Projections'!$A$4:$EO$14,((MONTH($A124)-1)*12)+VLOOKUP(P$4,$DE$6:$DF$17,2)+1))*(VLOOKUP($A124,CURVES!$D$9:$K$261,3))*(INDEX(DailyScalarsTable,P$5/100,MONTH($A124)))*$B124</f>
        <v>0</v>
      </c>
      <c r="Q124" s="1021">
        <f>(VLOOKUP(YEAR($A124),'NY East Load Projections'!$A$4:$EO$14,((MONTH($A124)-1)*12)+VLOOKUP(Q$4,$DE$6:$DF$17,2)+1))*(VLOOKUP($A124,CURVES!$D$9:$K$261,3))*(INDEX(DailyScalarsTable,Q$5/100,MONTH($A124)))*$B124</f>
        <v>0</v>
      </c>
      <c r="R124" s="1021">
        <f>(VLOOKUP(YEAR($A124),'NY East Load Projections'!$A$4:$EO$14,((MONTH($A124)-1)*12)+VLOOKUP(R$4,$DE$6:$DF$17,2)+1))*(VLOOKUP($A124,CURVES!$D$9:$K$261,3))*(INDEX(DailyScalarsTable,R$5/100,MONTH($A124)))*$B124</f>
        <v>0</v>
      </c>
      <c r="S124" s="1021">
        <f>(VLOOKUP(YEAR($A124),'NY East Load Projections'!$A$4:$EO$14,((MONTH($A124)-1)*12)+VLOOKUP(S$4,$DE$6:$DF$17,2)+1))*(VLOOKUP($A124,CURVES!$D$9:$K$261,3))*(INDEX(DailyScalarsTable,S$5/100,MONTH($A124)))*$B124</f>
        <v>0</v>
      </c>
      <c r="T124" s="1021">
        <f>(VLOOKUP(YEAR($A124),'NY East Load Projections'!$A$4:$EO$14,((MONTH($A124)-1)*12)+VLOOKUP(T$4,$DE$6:$DF$17,2)+1))*(VLOOKUP($A124,CURVES!$D$9:$K$261,3))*(INDEX(DailyScalarsTable,T$5/100,MONTH($A124)))*$B124</f>
        <v>0</v>
      </c>
      <c r="U124" s="1021">
        <f>(VLOOKUP(YEAR($A124),'NY East Load Projections'!$A$4:$EO$14,((MONTH($A124)-1)*12)+VLOOKUP(U$4,$DE$6:$DF$17,2)+1))*(VLOOKUP($A124,CURVES!$D$9:$K$261,3))*(INDEX(DailyScalarsTable,U$5/100,MONTH($A124)))*$B124</f>
        <v>0</v>
      </c>
      <c r="V124" s="1021">
        <f>(VLOOKUP(YEAR($A124),'NY East Load Projections'!$A$4:$EO$14,((MONTH($A124)-1)*12)+VLOOKUP(V$4,$DE$6:$DF$17,2)+1))*(VLOOKUP($A124,CURVES!$D$9:$K$261,3))*(INDEX(DailyScalarsTable,V$5/100,MONTH($A124)))*$B124</f>
        <v>0</v>
      </c>
      <c r="W124" s="1021">
        <f>(VLOOKUP(YEAR($A124),'NY East Load Projections'!$A$4:$EO$14,((MONTH($A124)-1)*12)+VLOOKUP(W$4,$DE$6:$DF$17,2)+1))*(VLOOKUP($A124,CURVES!$D$9:$K$261,3))*(INDEX(DailyScalarsTable,W$5/100,MONTH($A124)))*$B124</f>
        <v>0</v>
      </c>
      <c r="X124" s="1021">
        <f>(VLOOKUP(YEAR($A124),'NY East Load Projections'!$A$4:$EO$14,((MONTH($A124)-1)*12)+VLOOKUP(X$4,$DE$6:$DF$17,2)+1))*(VLOOKUP($A124,CURVES!$D$9:$K$261,3))*(INDEX(DailyScalarsTable,X$5/100,MONTH($A124)))*$B124</f>
        <v>0</v>
      </c>
      <c r="Y124" s="1021">
        <f>(VLOOKUP(YEAR($A124),'NY East Load Projections'!$A$4:$EO$14,((MONTH($A124)-1)*12)+VLOOKUP(Y$4,$DE$6:$DF$17,2)+1))*(VLOOKUP($A124,CURVES!$D$9:$K$261,3))*(INDEX(DailyScalarsTable,Y$5/100,MONTH($A124)))*$B124</f>
        <v>0</v>
      </c>
      <c r="Z124" s="1021">
        <f>(VLOOKUP(YEAR($A124),'NY East Load Projections'!$A$4:$EO$14,((MONTH($A124)-1)*12)+VLOOKUP(Z$4,$DE$6:$DF$17,2)+1))*(VLOOKUP($A124,CURVES!$D$9:$K$261,3))*(INDEX(DailyScalarsTable,Z$5/100,MONTH($A124)))*$B124</f>
        <v>0</v>
      </c>
      <c r="AA124" s="1021">
        <f>(VLOOKUP(YEAR($A124),'NY East Load Projections'!$A$4:$EO$14,((MONTH($A124)-1)*12)+VLOOKUP(AA$4,$DE$6:$DF$17,2)+1))*(VLOOKUP($A124,CURVES!$D$9:$K$261,3))*(INDEX(DailyScalarsTable,AA$5/100,MONTH($A124)))*$B124</f>
        <v>0</v>
      </c>
      <c r="AB124" s="1021">
        <f>(VLOOKUP(YEAR($A124),'NY East Load Projections'!$A$4:$EO$14,((MONTH($A124)-1)*12)+VLOOKUP(AB$4,$DE$6:$DF$17,2)+1))*(VLOOKUP($A124,CURVES!$D$9:$K$261,3))*(INDEX(DailyScalarsTable,AB$5/100,MONTH($A124)))*$B124</f>
        <v>0</v>
      </c>
      <c r="AC124" s="1021">
        <f>(VLOOKUP(YEAR($A124),'NY East Load Projections'!$A$4:$EO$14,((MONTH($A124)-1)*12)+VLOOKUP(AC$4,$DE$6:$DF$17,2)+1))*(VLOOKUP($A124,CURVES!$D$9:$K$261,3))*(INDEX(DailyScalarsTable,AC$5/100,MONTH($A124)))*$B124</f>
        <v>0</v>
      </c>
      <c r="AD124" s="1021">
        <f>(VLOOKUP(YEAR($A124),'NY East Load Projections'!$A$4:$EO$14,((MONTH($A124)-1)*12)+VLOOKUP(AD$4,$DE$6:$DF$17,2)+1))*(VLOOKUP($A124,CURVES!$D$9:$K$261,3))*(INDEX(DailyScalarsTable,AD$5/100,MONTH($A124)))*$B124</f>
        <v>0</v>
      </c>
      <c r="AE124" s="1021">
        <f>(VLOOKUP(YEAR($A124),'NY East Load Projections'!$A$4:$EO$14,((MONTH($A124)-1)*12)+VLOOKUP(AE$4,$DE$6:$DF$17,2)+1))*(VLOOKUP($A124,CURVES!$D$9:$K$261,7))*(INDEX(DailyScalarsTable,AE$5/100,MONTH($A124)))*$B124</f>
        <v>0</v>
      </c>
      <c r="AF124" s="1021"/>
      <c r="AG124" s="1021">
        <f>(VLOOKUP(YEAR($A124),'NY East Load Projections'!$A$4:$EO$14,((MONTH($A124)-1)*12)+VLOOKUP(AG$4,$DE$6:$DF$17,2)+1))*(VLOOKUP($A124,CURVES!$D$9:$T$261,7))*(INDEX(DailyScalarsTable,AG$5/100,MONTH($A124)))*$C124</f>
        <v>0</v>
      </c>
      <c r="AH124" s="1021">
        <f>(VLOOKUP(YEAR($A124),'NY East Load Projections'!$A$4:$EO$14,((MONTH($A124)-1)*12)+VLOOKUP(AH$4,$DE$6:$DF$17,2)+1))*(VLOOKUP($A124,CURVES!$D$9:$T$261,7))*(INDEX(DailyScalarsTable,AH$5/100,MONTH($A124)))*$C124</f>
        <v>0</v>
      </c>
      <c r="AI124" s="1021">
        <f>(VLOOKUP(YEAR($A124),'NY East Load Projections'!$A$4:$EO$14,((MONTH($A124)-1)*12)+VLOOKUP(AI$4,$DE$6:$DF$17,2)+1))*(VLOOKUP($A124,CURVES!$D$9:$T$261,7))*(INDEX(DailyScalarsTable,AI$5/100,MONTH($A124)))*$C124</f>
        <v>0</v>
      </c>
      <c r="AJ124" s="1021">
        <f>(VLOOKUP(YEAR($A124),'NY East Load Projections'!$A$4:$EO$14,((MONTH($A124)-1)*12)+VLOOKUP(AJ$4,$DE$6:$DF$17,2)+1))*(VLOOKUP($A124,CURVES!$D$9:$T$261,7))*(INDEX(DailyScalarsTable,AJ$5/100,MONTH($A124)))*$C124</f>
        <v>0</v>
      </c>
      <c r="AK124" s="1021">
        <f>(VLOOKUP(YEAR($A124),'NY East Load Projections'!$A$4:$EO$14,((MONTH($A124)-1)*12)+VLOOKUP(AK$4,$DE$6:$DF$17,2)+1))*(VLOOKUP($A124,CURVES!$D$9:$T$261,7))*(INDEX(DailyScalarsTable,AK$5/100,MONTH($A124)))*$C124</f>
        <v>0</v>
      </c>
      <c r="AL124" s="1021">
        <f>(VLOOKUP(YEAR($A124),'NY East Load Projections'!$A$4:$EO$14,((MONTH($A124)-1)*12)+VLOOKUP(AL$4,$DE$6:$DF$17,2)+1))*(VLOOKUP($A124,CURVES!$D$9:$T$261,7))*(INDEX(DailyScalarsTable,AL$5/100,MONTH($A124)))*$C124</f>
        <v>0</v>
      </c>
      <c r="AM124" s="1021">
        <f>(VLOOKUP(YEAR($A124),'NY East Load Projections'!$A$4:$EO$14,((MONTH($A124)-1)*12)+VLOOKUP(AM$4,$DE$6:$DF$17,2)+1))*(VLOOKUP($A124,CURVES!$D$9:$T$261,7))*(INDEX(DailyScalarsTable,AM$5/100,MONTH($A124)))*$C124</f>
        <v>0</v>
      </c>
      <c r="AN124" s="1021">
        <f>(VLOOKUP(YEAR($A124),'NY East Load Projections'!$A$4:$EO$14,((MONTH($A124)-1)*12)+VLOOKUP(AN$4,$DE$6:$DF$17,2)+1))*(VLOOKUP($A124,SatSunCurve,3))*(INDEX(DailyScalarsTable,AN$5/100,MONTH($A124)))*$C124</f>
        <v>0</v>
      </c>
      <c r="AO124" s="1021">
        <f>(VLOOKUP(YEAR($A124),'NY East Load Projections'!$A$4:$EO$14,((MONTH($A124)-1)*12)+VLOOKUP(AO$4,$DE$6:$DF$17,2)+1))*(VLOOKUP($A124,SatSunCurve,3))*(INDEX(DailyScalarsTable,AO$5/100,MONTH($A124)))*$C124</f>
        <v>0</v>
      </c>
      <c r="AP124" s="1021">
        <f>(VLOOKUP(YEAR($A124),'NY East Load Projections'!$A$4:$EO$14,((MONTH($A124)-1)*12)+VLOOKUP(AP$4,$DE$6:$DF$17,2)+1))*(VLOOKUP($A124,SatSunCurve,3))*(INDEX(DailyScalarsTable,AP$5/100,MONTH($A124)))*$C124</f>
        <v>0</v>
      </c>
      <c r="AQ124" s="1021">
        <f>(VLOOKUP(YEAR($A124),'NY East Load Projections'!$A$4:$EO$14,((MONTH($A124)-1)*12)+VLOOKUP(AQ$4,$DE$6:$DF$17,2)+1))*(VLOOKUP($A124,SatSunCurve,3))*(INDEX(DailyScalarsTable,AQ$5/100,MONTH($A124)))*$C124</f>
        <v>0</v>
      </c>
      <c r="AR124" s="1021">
        <f>(VLOOKUP(YEAR($A124),'NY East Load Projections'!$A$4:$EO$14,((MONTH($A124)-1)*12)+VLOOKUP(AR$4,$DE$6:$DF$17,2)+1))*(VLOOKUP($A124,SatSunCurve,3))*(INDEX(DailyScalarsTable,AR$5/100,MONTH($A124)))*$C124</f>
        <v>0</v>
      </c>
      <c r="AS124" s="1021">
        <f>(VLOOKUP(YEAR($A124),'NY East Load Projections'!$A$4:$EO$14,((MONTH($A124)-1)*12)+VLOOKUP(AS$4,$DE$6:$DF$17,2)+1))*(VLOOKUP($A124,SatSunCurve,3))*(INDEX(DailyScalarsTable,AS$5/100,MONTH($A124)))*$C124</f>
        <v>0</v>
      </c>
      <c r="AT124" s="1021">
        <f>(VLOOKUP(YEAR($A124),'NY East Load Projections'!$A$4:$EO$14,((MONTH($A124)-1)*12)+VLOOKUP(AT$4,$DE$6:$DF$17,2)+1))*(VLOOKUP($A124,SatSunCurve,3))*(INDEX(DailyScalarsTable,AT$5/100,MONTH($A124)))*$C124</f>
        <v>0</v>
      </c>
      <c r="AU124" s="1021">
        <f>(VLOOKUP(YEAR($A124),'NY East Load Projections'!$A$4:$EO$14,((MONTH($A124)-1)*12)+VLOOKUP(AU$4,$DE$6:$DF$17,2)+1))*(VLOOKUP($A124,SatSunCurve,3))*(INDEX(DailyScalarsTable,AU$5/100,MONTH($A124)))*$C124</f>
        <v>0</v>
      </c>
      <c r="AV124" s="1021">
        <f>(VLOOKUP(YEAR($A124),'NY East Load Projections'!$A$4:$EO$14,((MONTH($A124)-1)*12)+VLOOKUP(AV$4,$DE$6:$DF$17,2)+1))*(VLOOKUP($A124,SatSunCurve,3))*(INDEX(DailyScalarsTable,AV$5/100,MONTH($A124)))*$C124</f>
        <v>0</v>
      </c>
      <c r="AW124" s="1021">
        <f>(VLOOKUP(YEAR($A124),'NY East Load Projections'!$A$4:$EO$14,((MONTH($A124)-1)*12)+VLOOKUP(AW$4,$DE$6:$DF$17,2)+1))*(VLOOKUP($A124,SatSunCurve,3))*(INDEX(DailyScalarsTable,AW$5/100,MONTH($A124)))*$C124</f>
        <v>0</v>
      </c>
      <c r="AX124" s="1021">
        <f>(VLOOKUP(YEAR($A124),'NY East Load Projections'!$A$4:$EO$14,((MONTH($A124)-1)*12)+VLOOKUP(AX$4,$DE$6:$DF$17,2)+1))*(VLOOKUP($A124,SatSunCurve,3))*(INDEX(DailyScalarsTable,AX$5/100,MONTH($A124)))*$C124</f>
        <v>0</v>
      </c>
      <c r="AY124" s="1021">
        <f>(VLOOKUP(YEAR($A124),'NY East Load Projections'!$A$4:$EO$14,((MONTH($A124)-1)*12)+VLOOKUP(AY$4,$DE$6:$DF$17,2)+1))*(VLOOKUP($A124,SatSunCurve,3))*(INDEX(DailyScalarsTable,AY$5/100,MONTH($A124)))*$C124</f>
        <v>0</v>
      </c>
      <c r="AZ124" s="1021">
        <f>(VLOOKUP(YEAR($A124),'NY East Load Projections'!$A$4:$EO$14,((MONTH($A124)-1)*12)+VLOOKUP(AZ$4,$DE$6:$DF$17,2)+1))*(VLOOKUP($A124,SatSunCurve,3))*(INDEX(DailyScalarsTable,AZ$5/100,MONTH($A124)))*$C124</f>
        <v>0</v>
      </c>
      <c r="BA124" s="1021">
        <f>(VLOOKUP(YEAR($A124),'NY East Load Projections'!$A$4:$EO$14,((MONTH($A124)-1)*12)+VLOOKUP(BA$4,$DE$6:$DF$17,2)+1))*(VLOOKUP($A124,SatSunCurve,3))*(INDEX(DailyScalarsTable,BA$5/100,MONTH($A124)))*$C124</f>
        <v>0</v>
      </c>
      <c r="BB124" s="1021">
        <f>(VLOOKUP(YEAR($A124),'NY East Load Projections'!$A$4:$EO$14,((MONTH($A124)-1)*12)+VLOOKUP(BB$4,$DE$6:$DF$17,2)+1))*(VLOOKUP($A124,SatSunCurve,3))*(INDEX(DailyScalarsTable,BB$5/100,MONTH($A124)))*$C124</f>
        <v>0</v>
      </c>
      <c r="BC124" s="1021">
        <f>(VLOOKUP(YEAR($A124),'NY East Load Projections'!$A$4:$EO$14,((MONTH($A124)-1)*12)+VLOOKUP(BC$4,$DE$6:$DF$17,2)+1))*(VLOOKUP($A124,SatSunCurve,3))*(INDEX(DailyScalarsTable,BC$5/100,MONTH($A124)))*$C124</f>
        <v>0</v>
      </c>
      <c r="BD124" s="1021">
        <f>(VLOOKUP(YEAR($A124),'NY East Load Projections'!$A$4:$EO$14,((MONTH($A124)-1)*12)+VLOOKUP(BD$4,$DE$6:$DF$17,2)+1))*(VLOOKUP($A124,CURVES!$D$9:$T$261,7))*(INDEX(DailyScalarsTable,BD$5/100,MONTH($A124)))*$C124</f>
        <v>0</v>
      </c>
      <c r="BE124" s="1021"/>
      <c r="BF124" s="1021">
        <f>(VLOOKUP(YEAR($A124),'NY East Load Projections'!$A$4:$EO$14,((MONTH($A124)-1)*12)+VLOOKUP(BF$4,$DE$6:$DF$17,2)+1))*(VLOOKUP($A124,CURVES!$D$9:$T$261,7))*(INDEX(DailyScalarsTable,BF$5/100,MONTH($A124)))*$D124</f>
        <v>0</v>
      </c>
      <c r="BG124" s="1021">
        <f>(VLOOKUP(YEAR($A124),'NY East Load Projections'!$A$4:$EO$14,((MONTH($A124)-1)*12)+VLOOKUP(BG$4,$DE$6:$DF$17,2)+1))*(VLOOKUP($A124,CURVES!$D$9:$T$261,7))*(INDEX(DailyScalarsTable,BG$5/100,MONTH($A124)))*$D124</f>
        <v>0</v>
      </c>
      <c r="BH124" s="1021">
        <f>(VLOOKUP(YEAR($A124),'NY East Load Projections'!$A$4:$EO$14,((MONTH($A124)-1)*12)+VLOOKUP(BH$4,$DE$6:$DF$17,2)+1))*(VLOOKUP($A124,CURVES!$D$9:$T$261,7))*(INDEX(DailyScalarsTable,BH$5/100,MONTH($A124)))*$D124</f>
        <v>0</v>
      </c>
      <c r="BI124" s="1021">
        <f>(VLOOKUP(YEAR($A124),'NY East Load Projections'!$A$4:$EO$14,((MONTH($A124)-1)*12)+VLOOKUP(BI$4,$DE$6:$DF$17,2)+1))*(VLOOKUP($A124,CURVES!$D$9:$T$261,7))*(INDEX(DailyScalarsTable,BI$5/100,MONTH($A124)))*$D124</f>
        <v>0</v>
      </c>
      <c r="BJ124" s="1021">
        <f>(VLOOKUP(YEAR($A124),'NY East Load Projections'!$A$4:$EO$14,((MONTH($A124)-1)*12)+VLOOKUP(BJ$4,$DE$6:$DF$17,2)+1))*(VLOOKUP($A124,CURVES!$D$9:$T$261,7))*(INDEX(DailyScalarsTable,BJ$5/100,MONTH($A124)))*$D124</f>
        <v>0</v>
      </c>
      <c r="BK124" s="1021">
        <f>(VLOOKUP(YEAR($A124),'NY East Load Projections'!$A$4:$EO$14,((MONTH($A124)-1)*12)+VLOOKUP(BK$4,$DE$6:$DF$17,2)+1))*(VLOOKUP($A124,CURVES!$D$9:$T$261,7))*(INDEX(DailyScalarsTable,BK$5/100,MONTH($A124)))*$D124</f>
        <v>0</v>
      </c>
      <c r="BL124" s="1021">
        <f>(VLOOKUP(YEAR($A124),'NY East Load Projections'!$A$4:$EO$14,((MONTH($A124)-1)*12)+VLOOKUP(BL$4,$DE$6:$DF$17,2)+1))*(VLOOKUP($A124,CURVES!$D$9:$T$261,7))*(INDEX(DailyScalarsTable,BL$5/100,MONTH($A124)))*$D124</f>
        <v>0</v>
      </c>
      <c r="BM124" s="1021">
        <f>(VLOOKUP(YEAR($A124),'NY East Load Projections'!$A$4:$EO$14,((MONTH($A124)-1)*12)+VLOOKUP(BM$4,$DE$6:$DF$17,2)+1))*(VLOOKUP($A124,SatSunCurve,7))*(INDEX(DailyScalarsTable,BM$5/100,MONTH($A124)))*$D124</f>
        <v>0</v>
      </c>
      <c r="BN124" s="1021">
        <f>(VLOOKUP(YEAR($A124),'NY East Load Projections'!$A$4:$EO$14,((MONTH($A124)-1)*12)+VLOOKUP(BN$4,$DE$6:$DF$17,2)+1))*(VLOOKUP($A124,SatSunCurve,7))*(INDEX(DailyScalarsTable,BN$5/100,MONTH($A124)))*$D124</f>
        <v>0</v>
      </c>
      <c r="BO124" s="1021">
        <f>(VLOOKUP(YEAR($A124),'NY East Load Projections'!$A$4:$EO$14,((MONTH($A124)-1)*12)+VLOOKUP(BO$4,$DE$6:$DF$17,2)+1))*(VLOOKUP($A124,SatSunCurve,7))*(INDEX(DailyScalarsTable,BO$5/100,MONTH($A124)))*$D124</f>
        <v>0</v>
      </c>
      <c r="BP124" s="1021">
        <f>(VLOOKUP(YEAR($A124),'NY East Load Projections'!$A$4:$EO$14,((MONTH($A124)-1)*12)+VLOOKUP(BP$4,$DE$6:$DF$17,2)+1))*(VLOOKUP($A124,SatSunCurve,7))*(INDEX(DailyScalarsTable,BP$5/100,MONTH($A124)))*$D124</f>
        <v>0</v>
      </c>
      <c r="BQ124" s="1021">
        <f>(VLOOKUP(YEAR($A124),'NY East Load Projections'!$A$4:$EO$14,((MONTH($A124)-1)*12)+VLOOKUP(BQ$4,$DE$6:$DF$17,2)+1))*(VLOOKUP($A124,SatSunCurve,7))*(INDEX(DailyScalarsTable,BQ$5/100,MONTH($A124)))*$D124</f>
        <v>0</v>
      </c>
      <c r="BR124" s="1021">
        <f>(VLOOKUP(YEAR($A124),'NY East Load Projections'!$A$4:$EO$14,((MONTH($A124)-1)*12)+VLOOKUP(BR$4,$DE$6:$DF$17,2)+1))*(VLOOKUP($A124,SatSunCurve,7))*(INDEX(DailyScalarsTable,BR$5/100,MONTH($A124)))*$D124</f>
        <v>0</v>
      </c>
      <c r="BS124" s="1021">
        <f>(VLOOKUP(YEAR($A124),'NY East Load Projections'!$A$4:$EO$14,((MONTH($A124)-1)*12)+VLOOKUP(BS$4,$DE$6:$DF$17,2)+1))*(VLOOKUP($A124,SatSunCurve,7))*(INDEX(DailyScalarsTable,BS$5/100,MONTH($A124)))*$D124</f>
        <v>0</v>
      </c>
      <c r="BT124" s="1021">
        <f>(VLOOKUP(YEAR($A124),'NY East Load Projections'!$A$4:$EO$14,((MONTH($A124)-1)*12)+VLOOKUP(BT$4,$DE$6:$DF$17,2)+1))*(VLOOKUP($A124,SatSunCurve,7))*(INDEX(DailyScalarsTable,BT$5/100,MONTH($A124)))*$D124</f>
        <v>0</v>
      </c>
      <c r="BU124" s="1021">
        <f>(VLOOKUP(YEAR($A124),'NY East Load Projections'!$A$4:$EO$14,((MONTH($A124)-1)*12)+VLOOKUP(BU$4,$DE$6:$DF$17,2)+1))*(VLOOKUP($A124,SatSunCurve,7))*(INDEX(DailyScalarsTable,BU$5/100,MONTH($A124)))*$D124</f>
        <v>0</v>
      </c>
      <c r="BV124" s="1021">
        <f>(VLOOKUP(YEAR($A124),'NY East Load Projections'!$A$4:$EO$14,((MONTH($A124)-1)*12)+VLOOKUP(BV$4,$DE$6:$DF$17,2)+1))*(VLOOKUP($A124,SatSunCurve,7))*(INDEX(DailyScalarsTable,BV$5/100,MONTH($A124)))*$D124</f>
        <v>0</v>
      </c>
      <c r="BW124" s="1021">
        <f>(VLOOKUP(YEAR($A124),'NY East Load Projections'!$A$4:$EO$14,((MONTH($A124)-1)*12)+VLOOKUP(BW$4,$DE$6:$DF$17,2)+1))*(VLOOKUP($A124,SatSunCurve,7))*(INDEX(DailyScalarsTable,BW$5/100,MONTH($A124)))*$D124</f>
        <v>0</v>
      </c>
      <c r="BX124" s="1021">
        <f>(VLOOKUP(YEAR($A124),'NY East Load Projections'!$A$4:$EO$14,((MONTH($A124)-1)*12)+VLOOKUP(BX$4,$DE$6:$DF$17,2)+1))*(VLOOKUP($A124,SatSunCurve,7))*(INDEX(DailyScalarsTable,BX$5/100,MONTH($A124)))*$D124</f>
        <v>0</v>
      </c>
      <c r="BY124" s="1021">
        <f>(VLOOKUP(YEAR($A124),'NY East Load Projections'!$A$4:$EO$14,((MONTH($A124)-1)*12)+VLOOKUP(BY$4,$DE$6:$DF$17,2)+1))*(VLOOKUP($A124,SatSunCurve,7))*(INDEX(DailyScalarsTable,BY$5/100,MONTH($A124)))*$D124</f>
        <v>0</v>
      </c>
      <c r="BZ124" s="1021">
        <f>(VLOOKUP(YEAR($A124),'NY East Load Projections'!$A$4:$EO$14,((MONTH($A124)-1)*12)+VLOOKUP(BZ$4,$DE$6:$DF$17,2)+1))*(VLOOKUP($A124,SatSunCurve,7))*(INDEX(DailyScalarsTable,BZ$5/100,MONTH($A124)))*$D124</f>
        <v>0</v>
      </c>
      <c r="CA124" s="1021">
        <f>(VLOOKUP(YEAR($A124),'NY East Load Projections'!$A$4:$EO$14,((MONTH($A124)-1)*12)+VLOOKUP(CA$4,$DE$6:$DF$17,2)+1))*(VLOOKUP($A124,SatSunCurve,7))*(INDEX(DailyScalarsTable,CA$5/100,MONTH($A124)))*$D124</f>
        <v>0</v>
      </c>
      <c r="CB124" s="1021">
        <f>(VLOOKUP(YEAR($A124),'NY East Load Projections'!$A$4:$EO$14,((MONTH($A124)-1)*12)+VLOOKUP(CB$4,$DE$6:$DF$17,2)+1))*(VLOOKUP($A124,SatSunCurve,7))*(INDEX(DailyScalarsTable,CB$5/100,MONTH($A124)))*$D124</f>
        <v>0</v>
      </c>
      <c r="CC124" s="1021">
        <f>(VLOOKUP(YEAR($A124),'NY East Load Projections'!$A$4:$EO$14,((MONTH($A124)-1)*12)+VLOOKUP(CC$4,$DE$6:$DF$17,2)+1))*(VLOOKUP($A124,CURVES!$D$9:$T$261,7))*(INDEX(DailyScalarsTable,CC$5/100,MONTH($A124)))*$D124</f>
        <v>0</v>
      </c>
      <c r="CE124" s="1021">
        <f>(VLOOKUP(YEAR($A124),'NY East Load Projections'!$A$4:$EO$14,((MONTH($A124)-1)*12)+VLOOKUP(CE$4,$DE$6:$DF$17,2)+1))*(VLOOKUP($A124,CURVES!$D$9:$T$261,7))*(INDEX(DailyScalarsTable,CE$5/100,MONTH($A124)))*$E124</f>
        <v>0</v>
      </c>
      <c r="CF124" s="1021">
        <f>(VLOOKUP(YEAR($A124),'NY East Load Projections'!$A$4:$EO$14,((MONTH($A124)-1)*12)+VLOOKUP(CF$4,$DE$6:$DF$17,2)+1))*(VLOOKUP($A124,CURVES!$D$9:$T$261,7))*(INDEX(DailyScalarsTable,CF$5/100,MONTH($A124)))*$E124</f>
        <v>0</v>
      </c>
      <c r="CG124" s="1021">
        <f>(VLOOKUP(YEAR($A124),'NY East Load Projections'!$A$4:$EO$14,((MONTH($A124)-1)*12)+VLOOKUP(CG$4,$DE$6:$DF$17,2)+1))*(VLOOKUP($A124,CURVES!$D$9:$T$261,7))*(INDEX(DailyScalarsTable,CG$5/100,MONTH($A124)))*$E124</f>
        <v>0</v>
      </c>
      <c r="CH124" s="1021">
        <f>(VLOOKUP(YEAR($A124),'NY East Load Projections'!$A$4:$EO$14,((MONTH($A124)-1)*12)+VLOOKUP(CH$4,$DE$6:$DF$17,2)+1))*(VLOOKUP($A124,CURVES!$D$9:$T$261,7))*(INDEX(DailyScalarsTable,CH$5/100,MONTH($A124)))*$E124</f>
        <v>0</v>
      </c>
      <c r="CI124" s="1021">
        <f>(VLOOKUP(YEAR($A124),'NY East Load Projections'!$A$4:$EO$14,((MONTH($A124)-1)*12)+VLOOKUP(CI$4,$DE$6:$DF$17,2)+1))*(VLOOKUP($A124,CURVES!$D$9:$T$261,7))*(INDEX(DailyScalarsTable,CI$5/100,MONTH($A124)))*$E124</f>
        <v>0</v>
      </c>
      <c r="CJ124" s="1021">
        <f>(VLOOKUP(YEAR($A124),'NY East Load Projections'!$A$4:$EO$14,((MONTH($A124)-1)*12)+VLOOKUP(CJ$4,$DE$6:$DF$17,2)+1))*(VLOOKUP($A124,CURVES!$D$9:$T$261,7))*(INDEX(DailyScalarsTable,CJ$5/100,MONTH($A124)))*$E124</f>
        <v>0</v>
      </c>
      <c r="CK124" s="1021">
        <f>(VLOOKUP(YEAR($A124),'NY East Load Projections'!$A$4:$EO$14,((MONTH($A124)-1)*12)+VLOOKUP(CK$4,$DE$6:$DF$17,2)+1))*(VLOOKUP($A124,CURVES!$D$9:$T$261,7))*(INDEX(DailyScalarsTable,CK$5/100,MONTH($A124)))*$E124</f>
        <v>0</v>
      </c>
      <c r="CL124" s="1021">
        <f>(VLOOKUP(YEAR($A124),'NY East Load Projections'!$A$4:$EO$14,((MONTH($A124)-1)*12)+VLOOKUP(CL$4,$DE$6:$DF$17,2)+1))*(VLOOKUP($A124,SatSunCurve,7))*(INDEX(DailyScalarsTable,CL$5/100,MONTH($A124)))*$E124</f>
        <v>0</v>
      </c>
      <c r="CM124" s="1021">
        <f>(VLOOKUP(YEAR($A124),'NY East Load Projections'!$A$4:$EO$14,((MONTH($A124)-1)*12)+VLOOKUP(CM$4,$DE$6:$DF$17,2)+1))*(VLOOKUP($A124,SatSunCurve,7))*(INDEX(DailyScalarsTable,CM$5/100,MONTH($A124)))*$E124</f>
        <v>0</v>
      </c>
      <c r="CN124" s="1021">
        <f>(VLOOKUP(YEAR($A124),'NY East Load Projections'!$A$4:$EO$14,((MONTH($A124)-1)*12)+VLOOKUP(CN$4,$DE$6:$DF$17,2)+1))*(VLOOKUP($A124,SatSunCurve,7))*(INDEX(DailyScalarsTable,CN$5/100,MONTH($A124)))*$E124</f>
        <v>0</v>
      </c>
      <c r="CO124" s="1021">
        <f>(VLOOKUP(YEAR($A124),'NY East Load Projections'!$A$4:$EO$14,((MONTH($A124)-1)*12)+VLOOKUP(CO$4,$DE$6:$DF$17,2)+1))*(VLOOKUP($A124,SatSunCurve,7))*(INDEX(DailyScalarsTable,CO$5/100,MONTH($A124)))*$E124</f>
        <v>0</v>
      </c>
      <c r="CP124" s="1021">
        <f>(VLOOKUP(YEAR($A124),'NY East Load Projections'!$A$4:$EO$14,((MONTH($A124)-1)*12)+VLOOKUP(CP$4,$DE$6:$DF$17,2)+1))*(VLOOKUP($A124,SatSunCurve,7))*(INDEX(DailyScalarsTable,CP$5/100,MONTH($A124)))*$E124</f>
        <v>0</v>
      </c>
      <c r="CQ124" s="1021">
        <f>(VLOOKUP(YEAR($A124),'NY East Load Projections'!$A$4:$EO$14,((MONTH($A124)-1)*12)+VLOOKUP(CQ$4,$DE$6:$DF$17,2)+1))*(VLOOKUP($A124,SatSunCurve,7))*(INDEX(DailyScalarsTable,CQ$5/100,MONTH($A124)))*$E124</f>
        <v>0</v>
      </c>
      <c r="CR124" s="1021">
        <f>(VLOOKUP(YEAR($A124),'NY East Load Projections'!$A$4:$EO$14,((MONTH($A124)-1)*12)+VLOOKUP(CR$4,$DE$6:$DF$17,2)+1))*(VLOOKUP($A124,SatSunCurve,7))*(INDEX(DailyScalarsTable,CR$5/100,MONTH($A124)))*$E124</f>
        <v>0</v>
      </c>
      <c r="CS124" s="1021">
        <f>(VLOOKUP(YEAR($A124),'NY East Load Projections'!$A$4:$EO$14,((MONTH($A124)-1)*12)+VLOOKUP(CS$4,$DE$6:$DF$17,2)+1))*(VLOOKUP($A124,SatSunCurve,7))*(INDEX(DailyScalarsTable,CS$5/100,MONTH($A124)))*$E124</f>
        <v>0</v>
      </c>
      <c r="CT124" s="1021">
        <f>(VLOOKUP(YEAR($A124),'NY East Load Projections'!$A$4:$EO$14,((MONTH($A124)-1)*12)+VLOOKUP(CT$4,$DE$6:$DF$17,2)+1))*(VLOOKUP($A124,SatSunCurve,7))*(INDEX(DailyScalarsTable,CT$5/100,MONTH($A124)))*$E124</f>
        <v>0</v>
      </c>
      <c r="CU124" s="1021">
        <f>(VLOOKUP(YEAR($A124),'NY East Load Projections'!$A$4:$EO$14,((MONTH($A124)-1)*12)+VLOOKUP(CU$4,$DE$6:$DF$17,2)+1))*(VLOOKUP($A124,SatSunCurve,7))*(INDEX(DailyScalarsTable,CU$5/100,MONTH($A124)))*$E124</f>
        <v>0</v>
      </c>
      <c r="CV124" s="1021">
        <f>(VLOOKUP(YEAR($A124),'NY East Load Projections'!$A$4:$EO$14,((MONTH($A124)-1)*12)+VLOOKUP(CV$4,$DE$6:$DF$17,2)+1))*(VLOOKUP($A124,SatSunCurve,7))*(INDEX(DailyScalarsTable,CV$5/100,MONTH($A124)))*$E124</f>
        <v>0</v>
      </c>
      <c r="CW124" s="1021">
        <f>(VLOOKUP(YEAR($A124),'NY East Load Projections'!$A$4:$EO$14,((MONTH($A124)-1)*12)+VLOOKUP(CW$4,$DE$6:$DF$17,2)+1))*(VLOOKUP($A124,SatSunCurve,7))*(INDEX(DailyScalarsTable,CW$5/100,MONTH($A124)))*$E124</f>
        <v>0</v>
      </c>
      <c r="CX124" s="1021">
        <f>(VLOOKUP(YEAR($A124),'NY East Load Projections'!$A$4:$EO$14,((MONTH($A124)-1)*12)+VLOOKUP(CX$4,$DE$6:$DF$17,2)+1))*(VLOOKUP($A124,SatSunCurve,7))*(INDEX(DailyScalarsTable,CX$5/100,MONTH($A124)))*$E124</f>
        <v>0</v>
      </c>
      <c r="CY124" s="1021">
        <f>(VLOOKUP(YEAR($A124),'NY East Load Projections'!$A$4:$EO$14,((MONTH($A124)-1)*12)+VLOOKUP(CY$4,$DE$6:$DF$17,2)+1))*(VLOOKUP($A124,SatSunCurve,7))*(INDEX(DailyScalarsTable,CY$5/100,MONTH($A124)))*$E124</f>
        <v>0</v>
      </c>
      <c r="CZ124" s="1021">
        <f>(VLOOKUP(YEAR($A124),'NY East Load Projections'!$A$4:$EO$14,((MONTH($A124)-1)*12)+VLOOKUP(CZ$4,$DE$6:$DF$17,2)+1))*(VLOOKUP($A124,SatSunCurve,7))*(INDEX(DailyScalarsTable,CZ$5/100,MONTH($A124)))*$E124</f>
        <v>0</v>
      </c>
      <c r="DA124" s="1021">
        <f>(VLOOKUP(YEAR($A124),'NY East Load Projections'!$A$4:$EO$14,((MONTH($A124)-1)*12)+VLOOKUP(DA$4,$DE$6:$DF$17,2)+1))*(VLOOKUP($A124,SatSunCurve,7))*(INDEX(DailyScalarsTable,DA$5/100,MONTH($A124)))*$E124</f>
        <v>0</v>
      </c>
      <c r="DB124" s="1021">
        <f>(VLOOKUP(YEAR($A124),'NY East Load Projections'!$A$4:$EO$14,((MONTH($A124)-1)*12)+VLOOKUP(DB$4,$DE$6:$DF$17,2)+1))*(VLOOKUP($A124,CURVES!$D$9:$T$261,7))*(INDEX(DailyScalarsTable,DB$5/100,MONTH($A124)))*$E124</f>
        <v>0</v>
      </c>
      <c r="DH124" s="1032">
        <f t="shared" si="2"/>
        <v>0</v>
      </c>
      <c r="DI124">
        <f ca="1">CALC!J144</f>
        <v>0.45523711593682986</v>
      </c>
      <c r="DJ124" s="1029">
        <f t="shared" ca="1" si="3"/>
        <v>0</v>
      </c>
    </row>
    <row r="125" spans="1:114" x14ac:dyDescent="0.25">
      <c r="A125" s="244">
        <v>40513</v>
      </c>
      <c r="B125" s="13">
        <v>23</v>
      </c>
      <c r="C125" s="210">
        <v>3</v>
      </c>
      <c r="D125" s="210">
        <v>4</v>
      </c>
      <c r="E125" s="210">
        <v>1</v>
      </c>
      <c r="F125" s="13">
        <v>31</v>
      </c>
      <c r="H125" s="1021">
        <f>(VLOOKUP(YEAR($A125),'NY East Load Projections'!$A$4:$EO$14,((MONTH($A125)-1)*12)+VLOOKUP(H$4,$DE$6:$DF$17,2)+1))*(VLOOKUP($A125,CURVES!$D$9:$K$261,7))*(INDEX(DailyScalarsTable,H$5/100,MONTH($A125)))*$B125</f>
        <v>0</v>
      </c>
      <c r="I125" s="1021">
        <f>(VLOOKUP(YEAR($A125),'NY East Load Projections'!$A$4:$EO$14,((MONTH($A125)-1)*12)+VLOOKUP(I$4,$DE$6:$DF$17,2)+1))*(VLOOKUP($A125,CURVES!$D$9:$K$261,7))*(INDEX(DailyScalarsTable,I$5/100,MONTH($A125)))*$B125</f>
        <v>0</v>
      </c>
      <c r="J125" s="1021">
        <f>(VLOOKUP(YEAR($A125),'NY East Load Projections'!$A$4:$EO$14,((MONTH($A125)-1)*12)+VLOOKUP(J$4,$DE$6:$DF$17,2)+1))*(VLOOKUP($A125,CURVES!$D$9:$K$261,7))*(INDEX(DailyScalarsTable,J$5/100,MONTH($A125)))*$B125</f>
        <v>0</v>
      </c>
      <c r="K125" s="1021">
        <f>(VLOOKUP(YEAR($A125),'NY East Load Projections'!$A$4:$EO$14,((MONTH($A125)-1)*12)+VLOOKUP(K$4,$DE$6:$DF$17,2)+1))*(VLOOKUP($A125,CURVES!$D$9:$K$261,7))*(INDEX(DailyScalarsTable,K$5/100,MONTH($A125)))*$B125</f>
        <v>0</v>
      </c>
      <c r="L125" s="1021">
        <f>(VLOOKUP(YEAR($A125),'NY East Load Projections'!$A$4:$EO$14,((MONTH($A125)-1)*12)+VLOOKUP(L$4,$DE$6:$DF$17,2)+1))*(VLOOKUP($A125,CURVES!$D$9:$K$261,7))*(INDEX(DailyScalarsTable,L$5/100,MONTH($A125)))*$B125</f>
        <v>0</v>
      </c>
      <c r="M125" s="1021">
        <f>(VLOOKUP(YEAR($A125),'NY East Load Projections'!$A$4:$EO$14,((MONTH($A125)-1)*12)+VLOOKUP(M$4,$DE$6:$DF$17,2)+1))*(VLOOKUP($A125,CURVES!$D$9:$K$261,7))*(INDEX(DailyScalarsTable,M$5/100,MONTH($A125)))*$B125</f>
        <v>0</v>
      </c>
      <c r="N125" s="1021">
        <f>(VLOOKUP(YEAR($A125),'NY East Load Projections'!$A$4:$EO$14,((MONTH($A125)-1)*12)+VLOOKUP(N$4,$DE$6:$DF$17,2)+1))*(VLOOKUP($A125,CURVES!$D$9:$K$261,7))*(INDEX(DailyScalarsTable,N$5/100,MONTH($A125)))*$B125</f>
        <v>0</v>
      </c>
      <c r="O125" s="1021">
        <f>(VLOOKUP(YEAR($A125),'NY East Load Projections'!$A$4:$EO$14,((MONTH($A125)-1)*12)+VLOOKUP(O$4,$DE$6:$DF$17,2)+1))*(VLOOKUP($A125,CURVES!$D$9:$K$261,3))*(INDEX(DailyScalarsTable,O$5/100,MONTH($A125)))*$B125</f>
        <v>0</v>
      </c>
      <c r="P125" s="1021">
        <f>(VLOOKUP(YEAR($A125),'NY East Load Projections'!$A$4:$EO$14,((MONTH($A125)-1)*12)+VLOOKUP(P$4,$DE$6:$DF$17,2)+1))*(VLOOKUP($A125,CURVES!$D$9:$K$261,3))*(INDEX(DailyScalarsTable,P$5/100,MONTH($A125)))*$B125</f>
        <v>0</v>
      </c>
      <c r="Q125" s="1021">
        <f>(VLOOKUP(YEAR($A125),'NY East Load Projections'!$A$4:$EO$14,((MONTH($A125)-1)*12)+VLOOKUP(Q$4,$DE$6:$DF$17,2)+1))*(VLOOKUP($A125,CURVES!$D$9:$K$261,3))*(INDEX(DailyScalarsTable,Q$5/100,MONTH($A125)))*$B125</f>
        <v>0</v>
      </c>
      <c r="R125" s="1021">
        <f>(VLOOKUP(YEAR($A125),'NY East Load Projections'!$A$4:$EO$14,((MONTH($A125)-1)*12)+VLOOKUP(R$4,$DE$6:$DF$17,2)+1))*(VLOOKUP($A125,CURVES!$D$9:$K$261,3))*(INDEX(DailyScalarsTable,R$5/100,MONTH($A125)))*$B125</f>
        <v>0</v>
      </c>
      <c r="S125" s="1021">
        <f>(VLOOKUP(YEAR($A125),'NY East Load Projections'!$A$4:$EO$14,((MONTH($A125)-1)*12)+VLOOKUP(S$4,$DE$6:$DF$17,2)+1))*(VLOOKUP($A125,CURVES!$D$9:$K$261,3))*(INDEX(DailyScalarsTable,S$5/100,MONTH($A125)))*$B125</f>
        <v>0</v>
      </c>
      <c r="T125" s="1021">
        <f>(VLOOKUP(YEAR($A125),'NY East Load Projections'!$A$4:$EO$14,((MONTH($A125)-1)*12)+VLOOKUP(T$4,$DE$6:$DF$17,2)+1))*(VLOOKUP($A125,CURVES!$D$9:$K$261,3))*(INDEX(DailyScalarsTable,T$5/100,MONTH($A125)))*$B125</f>
        <v>0</v>
      </c>
      <c r="U125" s="1021">
        <f>(VLOOKUP(YEAR($A125),'NY East Load Projections'!$A$4:$EO$14,((MONTH($A125)-1)*12)+VLOOKUP(U$4,$DE$6:$DF$17,2)+1))*(VLOOKUP($A125,CURVES!$D$9:$K$261,3))*(INDEX(DailyScalarsTable,U$5/100,MONTH($A125)))*$B125</f>
        <v>0</v>
      </c>
      <c r="V125" s="1021">
        <f>(VLOOKUP(YEAR($A125),'NY East Load Projections'!$A$4:$EO$14,((MONTH($A125)-1)*12)+VLOOKUP(V$4,$DE$6:$DF$17,2)+1))*(VLOOKUP($A125,CURVES!$D$9:$K$261,3))*(INDEX(DailyScalarsTable,V$5/100,MONTH($A125)))*$B125</f>
        <v>0</v>
      </c>
      <c r="W125" s="1021">
        <f>(VLOOKUP(YEAR($A125),'NY East Load Projections'!$A$4:$EO$14,((MONTH($A125)-1)*12)+VLOOKUP(W$4,$DE$6:$DF$17,2)+1))*(VLOOKUP($A125,CURVES!$D$9:$K$261,3))*(INDEX(DailyScalarsTable,W$5/100,MONTH($A125)))*$B125</f>
        <v>0</v>
      </c>
      <c r="X125" s="1021">
        <f>(VLOOKUP(YEAR($A125),'NY East Load Projections'!$A$4:$EO$14,((MONTH($A125)-1)*12)+VLOOKUP(X$4,$DE$6:$DF$17,2)+1))*(VLOOKUP($A125,CURVES!$D$9:$K$261,3))*(INDEX(DailyScalarsTable,X$5/100,MONTH($A125)))*$B125</f>
        <v>0</v>
      </c>
      <c r="Y125" s="1021">
        <f>(VLOOKUP(YEAR($A125),'NY East Load Projections'!$A$4:$EO$14,((MONTH($A125)-1)*12)+VLOOKUP(Y$4,$DE$6:$DF$17,2)+1))*(VLOOKUP($A125,CURVES!$D$9:$K$261,3))*(INDEX(DailyScalarsTable,Y$5/100,MONTH($A125)))*$B125</f>
        <v>0</v>
      </c>
      <c r="Z125" s="1021">
        <f>(VLOOKUP(YEAR($A125),'NY East Load Projections'!$A$4:$EO$14,((MONTH($A125)-1)*12)+VLOOKUP(Z$4,$DE$6:$DF$17,2)+1))*(VLOOKUP($A125,CURVES!$D$9:$K$261,3))*(INDEX(DailyScalarsTable,Z$5/100,MONTH($A125)))*$B125</f>
        <v>0</v>
      </c>
      <c r="AA125" s="1021">
        <f>(VLOOKUP(YEAR($A125),'NY East Load Projections'!$A$4:$EO$14,((MONTH($A125)-1)*12)+VLOOKUP(AA$4,$DE$6:$DF$17,2)+1))*(VLOOKUP($A125,CURVES!$D$9:$K$261,3))*(INDEX(DailyScalarsTable,AA$5/100,MONTH($A125)))*$B125</f>
        <v>0</v>
      </c>
      <c r="AB125" s="1021">
        <f>(VLOOKUP(YEAR($A125),'NY East Load Projections'!$A$4:$EO$14,((MONTH($A125)-1)*12)+VLOOKUP(AB$4,$DE$6:$DF$17,2)+1))*(VLOOKUP($A125,CURVES!$D$9:$K$261,3))*(INDEX(DailyScalarsTable,AB$5/100,MONTH($A125)))*$B125</f>
        <v>0</v>
      </c>
      <c r="AC125" s="1021">
        <f>(VLOOKUP(YEAR($A125),'NY East Load Projections'!$A$4:$EO$14,((MONTH($A125)-1)*12)+VLOOKUP(AC$4,$DE$6:$DF$17,2)+1))*(VLOOKUP($A125,CURVES!$D$9:$K$261,3))*(INDEX(DailyScalarsTable,AC$5/100,MONTH($A125)))*$B125</f>
        <v>0</v>
      </c>
      <c r="AD125" s="1021">
        <f>(VLOOKUP(YEAR($A125),'NY East Load Projections'!$A$4:$EO$14,((MONTH($A125)-1)*12)+VLOOKUP(AD$4,$DE$6:$DF$17,2)+1))*(VLOOKUP($A125,CURVES!$D$9:$K$261,3))*(INDEX(DailyScalarsTable,AD$5/100,MONTH($A125)))*$B125</f>
        <v>0</v>
      </c>
      <c r="AE125" s="1021">
        <f>(VLOOKUP(YEAR($A125),'NY East Load Projections'!$A$4:$EO$14,((MONTH($A125)-1)*12)+VLOOKUP(AE$4,$DE$6:$DF$17,2)+1))*(VLOOKUP($A125,CURVES!$D$9:$K$261,7))*(INDEX(DailyScalarsTable,AE$5/100,MONTH($A125)))*$B125</f>
        <v>0</v>
      </c>
      <c r="AF125" s="1021"/>
      <c r="AG125" s="1021">
        <f>(VLOOKUP(YEAR($A125),'NY East Load Projections'!$A$4:$EO$14,((MONTH($A125)-1)*12)+VLOOKUP(AG$4,$DE$6:$DF$17,2)+1))*(VLOOKUP($A125,CURVES!$D$9:$T$261,7))*(INDEX(DailyScalarsTable,AG$5/100,MONTH($A125)))*$C125</f>
        <v>0</v>
      </c>
      <c r="AH125" s="1021">
        <f>(VLOOKUP(YEAR($A125),'NY East Load Projections'!$A$4:$EO$14,((MONTH($A125)-1)*12)+VLOOKUP(AH$4,$DE$6:$DF$17,2)+1))*(VLOOKUP($A125,CURVES!$D$9:$T$261,7))*(INDEX(DailyScalarsTable,AH$5/100,MONTH($A125)))*$C125</f>
        <v>0</v>
      </c>
      <c r="AI125" s="1021">
        <f>(VLOOKUP(YEAR($A125),'NY East Load Projections'!$A$4:$EO$14,((MONTH($A125)-1)*12)+VLOOKUP(AI$4,$DE$6:$DF$17,2)+1))*(VLOOKUP($A125,CURVES!$D$9:$T$261,7))*(INDEX(DailyScalarsTable,AI$5/100,MONTH($A125)))*$C125</f>
        <v>0</v>
      </c>
      <c r="AJ125" s="1021">
        <f>(VLOOKUP(YEAR($A125),'NY East Load Projections'!$A$4:$EO$14,((MONTH($A125)-1)*12)+VLOOKUP(AJ$4,$DE$6:$DF$17,2)+1))*(VLOOKUP($A125,CURVES!$D$9:$T$261,7))*(INDEX(DailyScalarsTable,AJ$5/100,MONTH($A125)))*$C125</f>
        <v>0</v>
      </c>
      <c r="AK125" s="1021">
        <f>(VLOOKUP(YEAR($A125),'NY East Load Projections'!$A$4:$EO$14,((MONTH($A125)-1)*12)+VLOOKUP(AK$4,$DE$6:$DF$17,2)+1))*(VLOOKUP($A125,CURVES!$D$9:$T$261,7))*(INDEX(DailyScalarsTable,AK$5/100,MONTH($A125)))*$C125</f>
        <v>0</v>
      </c>
      <c r="AL125" s="1021">
        <f>(VLOOKUP(YEAR($A125),'NY East Load Projections'!$A$4:$EO$14,((MONTH($A125)-1)*12)+VLOOKUP(AL$4,$DE$6:$DF$17,2)+1))*(VLOOKUP($A125,CURVES!$D$9:$T$261,7))*(INDEX(DailyScalarsTable,AL$5/100,MONTH($A125)))*$C125</f>
        <v>0</v>
      </c>
      <c r="AM125" s="1021">
        <f>(VLOOKUP(YEAR($A125),'NY East Load Projections'!$A$4:$EO$14,((MONTH($A125)-1)*12)+VLOOKUP(AM$4,$DE$6:$DF$17,2)+1))*(VLOOKUP($A125,CURVES!$D$9:$T$261,7))*(INDEX(DailyScalarsTable,AM$5/100,MONTH($A125)))*$C125</f>
        <v>0</v>
      </c>
      <c r="AN125" s="1021">
        <f>(VLOOKUP(YEAR($A125),'NY East Load Projections'!$A$4:$EO$14,((MONTH($A125)-1)*12)+VLOOKUP(AN$4,$DE$6:$DF$17,2)+1))*(VLOOKUP($A125,SatSunCurve,3))*(INDEX(DailyScalarsTable,AN$5/100,MONTH($A125)))*$C125</f>
        <v>0</v>
      </c>
      <c r="AO125" s="1021">
        <f>(VLOOKUP(YEAR($A125),'NY East Load Projections'!$A$4:$EO$14,((MONTH($A125)-1)*12)+VLOOKUP(AO$4,$DE$6:$DF$17,2)+1))*(VLOOKUP($A125,SatSunCurve,3))*(INDEX(DailyScalarsTable,AO$5/100,MONTH($A125)))*$C125</f>
        <v>0</v>
      </c>
      <c r="AP125" s="1021">
        <f>(VLOOKUP(YEAR($A125),'NY East Load Projections'!$A$4:$EO$14,((MONTH($A125)-1)*12)+VLOOKUP(AP$4,$DE$6:$DF$17,2)+1))*(VLOOKUP($A125,SatSunCurve,3))*(INDEX(DailyScalarsTable,AP$5/100,MONTH($A125)))*$C125</f>
        <v>0</v>
      </c>
      <c r="AQ125" s="1021">
        <f>(VLOOKUP(YEAR($A125),'NY East Load Projections'!$A$4:$EO$14,((MONTH($A125)-1)*12)+VLOOKUP(AQ$4,$DE$6:$DF$17,2)+1))*(VLOOKUP($A125,SatSunCurve,3))*(INDEX(DailyScalarsTable,AQ$5/100,MONTH($A125)))*$C125</f>
        <v>0</v>
      </c>
      <c r="AR125" s="1021">
        <f>(VLOOKUP(YEAR($A125),'NY East Load Projections'!$A$4:$EO$14,((MONTH($A125)-1)*12)+VLOOKUP(AR$4,$DE$6:$DF$17,2)+1))*(VLOOKUP($A125,SatSunCurve,3))*(INDEX(DailyScalarsTable,AR$5/100,MONTH($A125)))*$C125</f>
        <v>0</v>
      </c>
      <c r="AS125" s="1021">
        <f>(VLOOKUP(YEAR($A125),'NY East Load Projections'!$A$4:$EO$14,((MONTH($A125)-1)*12)+VLOOKUP(AS$4,$DE$6:$DF$17,2)+1))*(VLOOKUP($A125,SatSunCurve,3))*(INDEX(DailyScalarsTable,AS$5/100,MONTH($A125)))*$C125</f>
        <v>0</v>
      </c>
      <c r="AT125" s="1021">
        <f>(VLOOKUP(YEAR($A125),'NY East Load Projections'!$A$4:$EO$14,((MONTH($A125)-1)*12)+VLOOKUP(AT$4,$DE$6:$DF$17,2)+1))*(VLOOKUP($A125,SatSunCurve,3))*(INDEX(DailyScalarsTable,AT$5/100,MONTH($A125)))*$C125</f>
        <v>0</v>
      </c>
      <c r="AU125" s="1021">
        <f>(VLOOKUP(YEAR($A125),'NY East Load Projections'!$A$4:$EO$14,((MONTH($A125)-1)*12)+VLOOKUP(AU$4,$DE$6:$DF$17,2)+1))*(VLOOKUP($A125,SatSunCurve,3))*(INDEX(DailyScalarsTable,AU$5/100,MONTH($A125)))*$C125</f>
        <v>0</v>
      </c>
      <c r="AV125" s="1021">
        <f>(VLOOKUP(YEAR($A125),'NY East Load Projections'!$A$4:$EO$14,((MONTH($A125)-1)*12)+VLOOKUP(AV$4,$DE$6:$DF$17,2)+1))*(VLOOKUP($A125,SatSunCurve,3))*(INDEX(DailyScalarsTable,AV$5/100,MONTH($A125)))*$C125</f>
        <v>0</v>
      </c>
      <c r="AW125" s="1021">
        <f>(VLOOKUP(YEAR($A125),'NY East Load Projections'!$A$4:$EO$14,((MONTH($A125)-1)*12)+VLOOKUP(AW$4,$DE$6:$DF$17,2)+1))*(VLOOKUP($A125,SatSunCurve,3))*(INDEX(DailyScalarsTable,AW$5/100,MONTH($A125)))*$C125</f>
        <v>0</v>
      </c>
      <c r="AX125" s="1021">
        <f>(VLOOKUP(YEAR($A125),'NY East Load Projections'!$A$4:$EO$14,((MONTH($A125)-1)*12)+VLOOKUP(AX$4,$DE$6:$DF$17,2)+1))*(VLOOKUP($A125,SatSunCurve,3))*(INDEX(DailyScalarsTable,AX$5/100,MONTH($A125)))*$C125</f>
        <v>0</v>
      </c>
      <c r="AY125" s="1021">
        <f>(VLOOKUP(YEAR($A125),'NY East Load Projections'!$A$4:$EO$14,((MONTH($A125)-1)*12)+VLOOKUP(AY$4,$DE$6:$DF$17,2)+1))*(VLOOKUP($A125,SatSunCurve,3))*(INDEX(DailyScalarsTable,AY$5/100,MONTH($A125)))*$C125</f>
        <v>0</v>
      </c>
      <c r="AZ125" s="1021">
        <f>(VLOOKUP(YEAR($A125),'NY East Load Projections'!$A$4:$EO$14,((MONTH($A125)-1)*12)+VLOOKUP(AZ$4,$DE$6:$DF$17,2)+1))*(VLOOKUP($A125,SatSunCurve,3))*(INDEX(DailyScalarsTable,AZ$5/100,MONTH($A125)))*$C125</f>
        <v>0</v>
      </c>
      <c r="BA125" s="1021">
        <f>(VLOOKUP(YEAR($A125),'NY East Load Projections'!$A$4:$EO$14,((MONTH($A125)-1)*12)+VLOOKUP(BA$4,$DE$6:$DF$17,2)+1))*(VLOOKUP($A125,SatSunCurve,3))*(INDEX(DailyScalarsTable,BA$5/100,MONTH($A125)))*$C125</f>
        <v>0</v>
      </c>
      <c r="BB125" s="1021">
        <f>(VLOOKUP(YEAR($A125),'NY East Load Projections'!$A$4:$EO$14,((MONTH($A125)-1)*12)+VLOOKUP(BB$4,$DE$6:$DF$17,2)+1))*(VLOOKUP($A125,SatSunCurve,3))*(INDEX(DailyScalarsTable,BB$5/100,MONTH($A125)))*$C125</f>
        <v>0</v>
      </c>
      <c r="BC125" s="1021">
        <f>(VLOOKUP(YEAR($A125),'NY East Load Projections'!$A$4:$EO$14,((MONTH($A125)-1)*12)+VLOOKUP(BC$4,$DE$6:$DF$17,2)+1))*(VLOOKUP($A125,SatSunCurve,3))*(INDEX(DailyScalarsTable,BC$5/100,MONTH($A125)))*$C125</f>
        <v>0</v>
      </c>
      <c r="BD125" s="1021">
        <f>(VLOOKUP(YEAR($A125),'NY East Load Projections'!$A$4:$EO$14,((MONTH($A125)-1)*12)+VLOOKUP(BD$4,$DE$6:$DF$17,2)+1))*(VLOOKUP($A125,CURVES!$D$9:$T$261,7))*(INDEX(DailyScalarsTable,BD$5/100,MONTH($A125)))*$C125</f>
        <v>0</v>
      </c>
      <c r="BE125" s="1021"/>
      <c r="BF125" s="1021">
        <f>(VLOOKUP(YEAR($A125),'NY East Load Projections'!$A$4:$EO$14,((MONTH($A125)-1)*12)+VLOOKUP(BF$4,$DE$6:$DF$17,2)+1))*(VLOOKUP($A125,CURVES!$D$9:$T$261,7))*(INDEX(DailyScalarsTable,BF$5/100,MONTH($A125)))*$D125</f>
        <v>0</v>
      </c>
      <c r="BG125" s="1021">
        <f>(VLOOKUP(YEAR($A125),'NY East Load Projections'!$A$4:$EO$14,((MONTH($A125)-1)*12)+VLOOKUP(BG$4,$DE$6:$DF$17,2)+1))*(VLOOKUP($A125,CURVES!$D$9:$T$261,7))*(INDEX(DailyScalarsTable,BG$5/100,MONTH($A125)))*$D125</f>
        <v>0</v>
      </c>
      <c r="BH125" s="1021">
        <f>(VLOOKUP(YEAR($A125),'NY East Load Projections'!$A$4:$EO$14,((MONTH($A125)-1)*12)+VLOOKUP(BH$4,$DE$6:$DF$17,2)+1))*(VLOOKUP($A125,CURVES!$D$9:$T$261,7))*(INDEX(DailyScalarsTable,BH$5/100,MONTH($A125)))*$D125</f>
        <v>0</v>
      </c>
      <c r="BI125" s="1021">
        <f>(VLOOKUP(YEAR($A125),'NY East Load Projections'!$A$4:$EO$14,((MONTH($A125)-1)*12)+VLOOKUP(BI$4,$DE$6:$DF$17,2)+1))*(VLOOKUP($A125,CURVES!$D$9:$T$261,7))*(INDEX(DailyScalarsTable,BI$5/100,MONTH($A125)))*$D125</f>
        <v>0</v>
      </c>
      <c r="BJ125" s="1021">
        <f>(VLOOKUP(YEAR($A125),'NY East Load Projections'!$A$4:$EO$14,((MONTH($A125)-1)*12)+VLOOKUP(BJ$4,$DE$6:$DF$17,2)+1))*(VLOOKUP($A125,CURVES!$D$9:$T$261,7))*(INDEX(DailyScalarsTable,BJ$5/100,MONTH($A125)))*$D125</f>
        <v>0</v>
      </c>
      <c r="BK125" s="1021">
        <f>(VLOOKUP(YEAR($A125),'NY East Load Projections'!$A$4:$EO$14,((MONTH($A125)-1)*12)+VLOOKUP(BK$4,$DE$6:$DF$17,2)+1))*(VLOOKUP($A125,CURVES!$D$9:$T$261,7))*(INDEX(DailyScalarsTable,BK$5/100,MONTH($A125)))*$D125</f>
        <v>0</v>
      </c>
      <c r="BL125" s="1021">
        <f>(VLOOKUP(YEAR($A125),'NY East Load Projections'!$A$4:$EO$14,((MONTH($A125)-1)*12)+VLOOKUP(BL$4,$DE$6:$DF$17,2)+1))*(VLOOKUP($A125,CURVES!$D$9:$T$261,7))*(INDEX(DailyScalarsTable,BL$5/100,MONTH($A125)))*$D125</f>
        <v>0</v>
      </c>
      <c r="BM125" s="1021">
        <f>(VLOOKUP(YEAR($A125),'NY East Load Projections'!$A$4:$EO$14,((MONTH($A125)-1)*12)+VLOOKUP(BM$4,$DE$6:$DF$17,2)+1))*(VLOOKUP($A125,SatSunCurve,7))*(INDEX(DailyScalarsTable,BM$5/100,MONTH($A125)))*$D125</f>
        <v>0</v>
      </c>
      <c r="BN125" s="1021">
        <f>(VLOOKUP(YEAR($A125),'NY East Load Projections'!$A$4:$EO$14,((MONTH($A125)-1)*12)+VLOOKUP(BN$4,$DE$6:$DF$17,2)+1))*(VLOOKUP($A125,SatSunCurve,7))*(INDEX(DailyScalarsTable,BN$5/100,MONTH($A125)))*$D125</f>
        <v>0</v>
      </c>
      <c r="BO125" s="1021">
        <f>(VLOOKUP(YEAR($A125),'NY East Load Projections'!$A$4:$EO$14,((MONTH($A125)-1)*12)+VLOOKUP(BO$4,$DE$6:$DF$17,2)+1))*(VLOOKUP($A125,SatSunCurve,7))*(INDEX(DailyScalarsTable,BO$5/100,MONTH($A125)))*$D125</f>
        <v>0</v>
      </c>
      <c r="BP125" s="1021">
        <f>(VLOOKUP(YEAR($A125),'NY East Load Projections'!$A$4:$EO$14,((MONTH($A125)-1)*12)+VLOOKUP(BP$4,$DE$6:$DF$17,2)+1))*(VLOOKUP($A125,SatSunCurve,7))*(INDEX(DailyScalarsTable,BP$5/100,MONTH($A125)))*$D125</f>
        <v>0</v>
      </c>
      <c r="BQ125" s="1021">
        <f>(VLOOKUP(YEAR($A125),'NY East Load Projections'!$A$4:$EO$14,((MONTH($A125)-1)*12)+VLOOKUP(BQ$4,$DE$6:$DF$17,2)+1))*(VLOOKUP($A125,SatSunCurve,7))*(INDEX(DailyScalarsTable,BQ$5/100,MONTH($A125)))*$D125</f>
        <v>0</v>
      </c>
      <c r="BR125" s="1021">
        <f>(VLOOKUP(YEAR($A125),'NY East Load Projections'!$A$4:$EO$14,((MONTH($A125)-1)*12)+VLOOKUP(BR$4,$DE$6:$DF$17,2)+1))*(VLOOKUP($A125,SatSunCurve,7))*(INDEX(DailyScalarsTable,BR$5/100,MONTH($A125)))*$D125</f>
        <v>0</v>
      </c>
      <c r="BS125" s="1021">
        <f>(VLOOKUP(YEAR($A125),'NY East Load Projections'!$A$4:$EO$14,((MONTH($A125)-1)*12)+VLOOKUP(BS$4,$DE$6:$DF$17,2)+1))*(VLOOKUP($A125,SatSunCurve,7))*(INDEX(DailyScalarsTable,BS$5/100,MONTH($A125)))*$D125</f>
        <v>0</v>
      </c>
      <c r="BT125" s="1021">
        <f>(VLOOKUP(YEAR($A125),'NY East Load Projections'!$A$4:$EO$14,((MONTH($A125)-1)*12)+VLOOKUP(BT$4,$DE$6:$DF$17,2)+1))*(VLOOKUP($A125,SatSunCurve,7))*(INDEX(DailyScalarsTable,BT$5/100,MONTH($A125)))*$D125</f>
        <v>0</v>
      </c>
      <c r="BU125" s="1021">
        <f>(VLOOKUP(YEAR($A125),'NY East Load Projections'!$A$4:$EO$14,((MONTH($A125)-1)*12)+VLOOKUP(BU$4,$DE$6:$DF$17,2)+1))*(VLOOKUP($A125,SatSunCurve,7))*(INDEX(DailyScalarsTable,BU$5/100,MONTH($A125)))*$D125</f>
        <v>0</v>
      </c>
      <c r="BV125" s="1021">
        <f>(VLOOKUP(YEAR($A125),'NY East Load Projections'!$A$4:$EO$14,((MONTH($A125)-1)*12)+VLOOKUP(BV$4,$DE$6:$DF$17,2)+1))*(VLOOKUP($A125,SatSunCurve,7))*(INDEX(DailyScalarsTable,BV$5/100,MONTH($A125)))*$D125</f>
        <v>0</v>
      </c>
      <c r="BW125" s="1021">
        <f>(VLOOKUP(YEAR($A125),'NY East Load Projections'!$A$4:$EO$14,((MONTH($A125)-1)*12)+VLOOKUP(BW$4,$DE$6:$DF$17,2)+1))*(VLOOKUP($A125,SatSunCurve,7))*(INDEX(DailyScalarsTable,BW$5/100,MONTH($A125)))*$D125</f>
        <v>0</v>
      </c>
      <c r="BX125" s="1021">
        <f>(VLOOKUP(YEAR($A125),'NY East Load Projections'!$A$4:$EO$14,((MONTH($A125)-1)*12)+VLOOKUP(BX$4,$DE$6:$DF$17,2)+1))*(VLOOKUP($A125,SatSunCurve,7))*(INDEX(DailyScalarsTable,BX$5/100,MONTH($A125)))*$D125</f>
        <v>0</v>
      </c>
      <c r="BY125" s="1021">
        <f>(VLOOKUP(YEAR($A125),'NY East Load Projections'!$A$4:$EO$14,((MONTH($A125)-1)*12)+VLOOKUP(BY$4,$DE$6:$DF$17,2)+1))*(VLOOKUP($A125,SatSunCurve,7))*(INDEX(DailyScalarsTable,BY$5/100,MONTH($A125)))*$D125</f>
        <v>0</v>
      </c>
      <c r="BZ125" s="1021">
        <f>(VLOOKUP(YEAR($A125),'NY East Load Projections'!$A$4:$EO$14,((MONTH($A125)-1)*12)+VLOOKUP(BZ$4,$DE$6:$DF$17,2)+1))*(VLOOKUP($A125,SatSunCurve,7))*(INDEX(DailyScalarsTable,BZ$5/100,MONTH($A125)))*$D125</f>
        <v>0</v>
      </c>
      <c r="CA125" s="1021">
        <f>(VLOOKUP(YEAR($A125),'NY East Load Projections'!$A$4:$EO$14,((MONTH($A125)-1)*12)+VLOOKUP(CA$4,$DE$6:$DF$17,2)+1))*(VLOOKUP($A125,SatSunCurve,7))*(INDEX(DailyScalarsTable,CA$5/100,MONTH($A125)))*$D125</f>
        <v>0</v>
      </c>
      <c r="CB125" s="1021">
        <f>(VLOOKUP(YEAR($A125),'NY East Load Projections'!$A$4:$EO$14,((MONTH($A125)-1)*12)+VLOOKUP(CB$4,$DE$6:$DF$17,2)+1))*(VLOOKUP($A125,SatSunCurve,7))*(INDEX(DailyScalarsTable,CB$5/100,MONTH($A125)))*$D125</f>
        <v>0</v>
      </c>
      <c r="CC125" s="1021">
        <f>(VLOOKUP(YEAR($A125),'NY East Load Projections'!$A$4:$EO$14,((MONTH($A125)-1)*12)+VLOOKUP(CC$4,$DE$6:$DF$17,2)+1))*(VLOOKUP($A125,CURVES!$D$9:$T$261,7))*(INDEX(DailyScalarsTable,CC$5/100,MONTH($A125)))*$D125</f>
        <v>0</v>
      </c>
      <c r="CE125" s="1021">
        <f>(VLOOKUP(YEAR($A125),'NY East Load Projections'!$A$4:$EO$14,((MONTH($A125)-1)*12)+VLOOKUP(CE$4,$DE$6:$DF$17,2)+1))*(VLOOKUP($A125,CURVES!$D$9:$T$261,7))*(INDEX(DailyScalarsTable,CE$5/100,MONTH($A125)))*$E125</f>
        <v>0</v>
      </c>
      <c r="CF125" s="1021">
        <f>(VLOOKUP(YEAR($A125),'NY East Load Projections'!$A$4:$EO$14,((MONTH($A125)-1)*12)+VLOOKUP(CF$4,$DE$6:$DF$17,2)+1))*(VLOOKUP($A125,CURVES!$D$9:$T$261,7))*(INDEX(DailyScalarsTable,CF$5/100,MONTH($A125)))*$E125</f>
        <v>0</v>
      </c>
      <c r="CG125" s="1021">
        <f>(VLOOKUP(YEAR($A125),'NY East Load Projections'!$A$4:$EO$14,((MONTH($A125)-1)*12)+VLOOKUP(CG$4,$DE$6:$DF$17,2)+1))*(VLOOKUP($A125,CURVES!$D$9:$T$261,7))*(INDEX(DailyScalarsTable,CG$5/100,MONTH($A125)))*$E125</f>
        <v>0</v>
      </c>
      <c r="CH125" s="1021">
        <f>(VLOOKUP(YEAR($A125),'NY East Load Projections'!$A$4:$EO$14,((MONTH($A125)-1)*12)+VLOOKUP(CH$4,$DE$6:$DF$17,2)+1))*(VLOOKUP($A125,CURVES!$D$9:$T$261,7))*(INDEX(DailyScalarsTable,CH$5/100,MONTH($A125)))*$E125</f>
        <v>0</v>
      </c>
      <c r="CI125" s="1021">
        <f>(VLOOKUP(YEAR($A125),'NY East Load Projections'!$A$4:$EO$14,((MONTH($A125)-1)*12)+VLOOKUP(CI$4,$DE$6:$DF$17,2)+1))*(VLOOKUP($A125,CURVES!$D$9:$T$261,7))*(INDEX(DailyScalarsTable,CI$5/100,MONTH($A125)))*$E125</f>
        <v>0</v>
      </c>
      <c r="CJ125" s="1021">
        <f>(VLOOKUP(YEAR($A125),'NY East Load Projections'!$A$4:$EO$14,((MONTH($A125)-1)*12)+VLOOKUP(CJ$4,$DE$6:$DF$17,2)+1))*(VLOOKUP($A125,CURVES!$D$9:$T$261,7))*(INDEX(DailyScalarsTable,CJ$5/100,MONTH($A125)))*$E125</f>
        <v>0</v>
      </c>
      <c r="CK125" s="1021">
        <f>(VLOOKUP(YEAR($A125),'NY East Load Projections'!$A$4:$EO$14,((MONTH($A125)-1)*12)+VLOOKUP(CK$4,$DE$6:$DF$17,2)+1))*(VLOOKUP($A125,CURVES!$D$9:$T$261,7))*(INDEX(DailyScalarsTable,CK$5/100,MONTH($A125)))*$E125</f>
        <v>0</v>
      </c>
      <c r="CL125" s="1021">
        <f>(VLOOKUP(YEAR($A125),'NY East Load Projections'!$A$4:$EO$14,((MONTH($A125)-1)*12)+VLOOKUP(CL$4,$DE$6:$DF$17,2)+1))*(VLOOKUP($A125,SatSunCurve,7))*(INDEX(DailyScalarsTable,CL$5/100,MONTH($A125)))*$E125</f>
        <v>0</v>
      </c>
      <c r="CM125" s="1021">
        <f>(VLOOKUP(YEAR($A125),'NY East Load Projections'!$A$4:$EO$14,((MONTH($A125)-1)*12)+VLOOKUP(CM$4,$DE$6:$DF$17,2)+1))*(VLOOKUP($A125,SatSunCurve,7))*(INDEX(DailyScalarsTable,CM$5/100,MONTH($A125)))*$E125</f>
        <v>0</v>
      </c>
      <c r="CN125" s="1021">
        <f>(VLOOKUP(YEAR($A125),'NY East Load Projections'!$A$4:$EO$14,((MONTH($A125)-1)*12)+VLOOKUP(CN$4,$DE$6:$DF$17,2)+1))*(VLOOKUP($A125,SatSunCurve,7))*(INDEX(DailyScalarsTable,CN$5/100,MONTH($A125)))*$E125</f>
        <v>0</v>
      </c>
      <c r="CO125" s="1021">
        <f>(VLOOKUP(YEAR($A125),'NY East Load Projections'!$A$4:$EO$14,((MONTH($A125)-1)*12)+VLOOKUP(CO$4,$DE$6:$DF$17,2)+1))*(VLOOKUP($A125,SatSunCurve,7))*(INDEX(DailyScalarsTable,CO$5/100,MONTH($A125)))*$E125</f>
        <v>0</v>
      </c>
      <c r="CP125" s="1021">
        <f>(VLOOKUP(YEAR($A125),'NY East Load Projections'!$A$4:$EO$14,((MONTH($A125)-1)*12)+VLOOKUP(CP$4,$DE$6:$DF$17,2)+1))*(VLOOKUP($A125,SatSunCurve,7))*(INDEX(DailyScalarsTable,CP$5/100,MONTH($A125)))*$E125</f>
        <v>0</v>
      </c>
      <c r="CQ125" s="1021">
        <f>(VLOOKUP(YEAR($A125),'NY East Load Projections'!$A$4:$EO$14,((MONTH($A125)-1)*12)+VLOOKUP(CQ$4,$DE$6:$DF$17,2)+1))*(VLOOKUP($A125,SatSunCurve,7))*(INDEX(DailyScalarsTable,CQ$5/100,MONTH($A125)))*$E125</f>
        <v>0</v>
      </c>
      <c r="CR125" s="1021">
        <f>(VLOOKUP(YEAR($A125),'NY East Load Projections'!$A$4:$EO$14,((MONTH($A125)-1)*12)+VLOOKUP(CR$4,$DE$6:$DF$17,2)+1))*(VLOOKUP($A125,SatSunCurve,7))*(INDEX(DailyScalarsTable,CR$5/100,MONTH($A125)))*$E125</f>
        <v>0</v>
      </c>
      <c r="CS125" s="1021">
        <f>(VLOOKUP(YEAR($A125),'NY East Load Projections'!$A$4:$EO$14,((MONTH($A125)-1)*12)+VLOOKUP(CS$4,$DE$6:$DF$17,2)+1))*(VLOOKUP($A125,SatSunCurve,7))*(INDEX(DailyScalarsTable,CS$5/100,MONTH($A125)))*$E125</f>
        <v>0</v>
      </c>
      <c r="CT125" s="1021">
        <f>(VLOOKUP(YEAR($A125),'NY East Load Projections'!$A$4:$EO$14,((MONTH($A125)-1)*12)+VLOOKUP(CT$4,$DE$6:$DF$17,2)+1))*(VLOOKUP($A125,SatSunCurve,7))*(INDEX(DailyScalarsTable,CT$5/100,MONTH($A125)))*$E125</f>
        <v>0</v>
      </c>
      <c r="CU125" s="1021">
        <f>(VLOOKUP(YEAR($A125),'NY East Load Projections'!$A$4:$EO$14,((MONTH($A125)-1)*12)+VLOOKUP(CU$4,$DE$6:$DF$17,2)+1))*(VLOOKUP($A125,SatSunCurve,7))*(INDEX(DailyScalarsTable,CU$5/100,MONTH($A125)))*$E125</f>
        <v>0</v>
      </c>
      <c r="CV125" s="1021">
        <f>(VLOOKUP(YEAR($A125),'NY East Load Projections'!$A$4:$EO$14,((MONTH($A125)-1)*12)+VLOOKUP(CV$4,$DE$6:$DF$17,2)+1))*(VLOOKUP($A125,SatSunCurve,7))*(INDEX(DailyScalarsTable,CV$5/100,MONTH($A125)))*$E125</f>
        <v>0</v>
      </c>
      <c r="CW125" s="1021">
        <f>(VLOOKUP(YEAR($A125),'NY East Load Projections'!$A$4:$EO$14,((MONTH($A125)-1)*12)+VLOOKUP(CW$4,$DE$6:$DF$17,2)+1))*(VLOOKUP($A125,SatSunCurve,7))*(INDEX(DailyScalarsTable,CW$5/100,MONTH($A125)))*$E125</f>
        <v>0</v>
      </c>
      <c r="CX125" s="1021">
        <f>(VLOOKUP(YEAR($A125),'NY East Load Projections'!$A$4:$EO$14,((MONTH($A125)-1)*12)+VLOOKUP(CX$4,$DE$6:$DF$17,2)+1))*(VLOOKUP($A125,SatSunCurve,7))*(INDEX(DailyScalarsTable,CX$5/100,MONTH($A125)))*$E125</f>
        <v>0</v>
      </c>
      <c r="CY125" s="1021">
        <f>(VLOOKUP(YEAR($A125),'NY East Load Projections'!$A$4:$EO$14,((MONTH($A125)-1)*12)+VLOOKUP(CY$4,$DE$6:$DF$17,2)+1))*(VLOOKUP($A125,SatSunCurve,7))*(INDEX(DailyScalarsTable,CY$5/100,MONTH($A125)))*$E125</f>
        <v>0</v>
      </c>
      <c r="CZ125" s="1021">
        <f>(VLOOKUP(YEAR($A125),'NY East Load Projections'!$A$4:$EO$14,((MONTH($A125)-1)*12)+VLOOKUP(CZ$4,$DE$6:$DF$17,2)+1))*(VLOOKUP($A125,SatSunCurve,7))*(INDEX(DailyScalarsTable,CZ$5/100,MONTH($A125)))*$E125</f>
        <v>0</v>
      </c>
      <c r="DA125" s="1021">
        <f>(VLOOKUP(YEAR($A125),'NY East Load Projections'!$A$4:$EO$14,((MONTH($A125)-1)*12)+VLOOKUP(DA$4,$DE$6:$DF$17,2)+1))*(VLOOKUP($A125,SatSunCurve,7))*(INDEX(DailyScalarsTable,DA$5/100,MONTH($A125)))*$E125</f>
        <v>0</v>
      </c>
      <c r="DB125" s="1021">
        <f>(VLOOKUP(YEAR($A125),'NY East Load Projections'!$A$4:$EO$14,((MONTH($A125)-1)*12)+VLOOKUP(DB$4,$DE$6:$DF$17,2)+1))*(VLOOKUP($A125,CURVES!$D$9:$T$261,7))*(INDEX(DailyScalarsTable,DB$5/100,MONTH($A125)))*$E125</f>
        <v>0</v>
      </c>
      <c r="DH125" s="1032">
        <f t="shared" si="2"/>
        <v>0</v>
      </c>
      <c r="DI125">
        <f ca="1">CALC!J145</f>
        <v>0.45243206669760117</v>
      </c>
      <c r="DJ125" s="1029">
        <f t="shared" ca="1" si="3"/>
        <v>0</v>
      </c>
    </row>
    <row r="126" spans="1:114" x14ac:dyDescent="0.25">
      <c r="H126" s="1023"/>
      <c r="I126" s="1022"/>
      <c r="J126" s="1022"/>
      <c r="K126" s="1022"/>
      <c r="L126" s="1022"/>
      <c r="M126" s="1022"/>
      <c r="N126" s="1022"/>
      <c r="O126" s="1022"/>
      <c r="P126" s="1022"/>
      <c r="Q126" s="1022"/>
      <c r="R126" s="1022"/>
      <c r="S126" s="1022"/>
      <c r="T126" s="1022"/>
      <c r="U126" s="1022"/>
      <c r="V126" s="1022"/>
      <c r="W126" s="1022"/>
      <c r="X126" s="1022"/>
      <c r="Y126" s="1022"/>
      <c r="Z126" s="1022"/>
      <c r="AA126" s="1022"/>
      <c r="AB126" s="1022"/>
      <c r="AC126" s="1022"/>
      <c r="AD126" s="1022"/>
      <c r="AE126" s="1023"/>
      <c r="AF126" s="1021"/>
      <c r="AG126" s="1021"/>
      <c r="AH126" s="1021"/>
      <c r="AI126" s="1021"/>
      <c r="AJ126" s="1021"/>
      <c r="AK126" s="1021"/>
      <c r="AL126" s="1021"/>
      <c r="AM126" s="1021"/>
      <c r="AN126" s="1021"/>
      <c r="AO126" s="1021"/>
      <c r="AP126" s="1021"/>
      <c r="AQ126" s="1021"/>
      <c r="AR126" s="1021"/>
      <c r="AS126" s="1021"/>
      <c r="AT126" s="1021"/>
      <c r="AU126" s="1021"/>
      <c r="AV126" s="1021"/>
      <c r="AW126" s="1021"/>
      <c r="AX126" s="1021"/>
      <c r="AY126" s="1021"/>
      <c r="AZ126" s="1021"/>
      <c r="BA126" s="1021"/>
      <c r="BB126" s="1021"/>
      <c r="BC126" s="1021"/>
      <c r="BD126" s="1021"/>
      <c r="BE126" s="1021"/>
      <c r="BF126" s="1021"/>
      <c r="BG126" s="1021"/>
      <c r="BH126" s="1021"/>
      <c r="BI126" s="1021"/>
      <c r="BJ126" s="1021"/>
      <c r="BK126" s="1021"/>
      <c r="BL126" s="1021"/>
      <c r="BM126" s="1021"/>
      <c r="BN126" s="1021"/>
      <c r="BO126" s="1021"/>
      <c r="BP126" s="1021"/>
      <c r="BQ126" s="1021"/>
      <c r="BR126" s="1021"/>
      <c r="BS126" s="1021"/>
      <c r="BT126" s="1021"/>
      <c r="BU126" s="1021"/>
      <c r="BV126" s="1021"/>
      <c r="BW126" s="1021"/>
      <c r="BX126" s="1021"/>
      <c r="BY126" s="1021"/>
      <c r="BZ126" s="1021"/>
      <c r="CA126" s="1021"/>
      <c r="CB126" s="1021"/>
      <c r="CC126" s="1021"/>
    </row>
    <row r="127" spans="1:114" x14ac:dyDescent="0.25">
      <c r="H127" s="1023"/>
      <c r="I127" s="1022"/>
      <c r="J127" s="1022"/>
      <c r="K127" s="1022"/>
      <c r="L127" s="1022"/>
      <c r="M127" s="1022"/>
      <c r="N127" s="1022"/>
      <c r="O127" s="1022"/>
      <c r="P127" s="1022"/>
      <c r="Q127" s="1022"/>
      <c r="R127" s="1022"/>
      <c r="S127" s="1022"/>
      <c r="T127" s="1022"/>
      <c r="U127" s="1022"/>
      <c r="V127" s="1022"/>
      <c r="W127" s="1022"/>
      <c r="X127" s="1022"/>
      <c r="Y127" s="1022"/>
      <c r="Z127" s="1022"/>
      <c r="AA127" s="1022"/>
      <c r="AB127" s="1022"/>
      <c r="AC127" s="1022"/>
      <c r="AD127" s="1022"/>
      <c r="AE127" s="1023"/>
      <c r="AF127" s="1021"/>
      <c r="AG127" s="1021"/>
      <c r="AH127" s="1021"/>
      <c r="AI127" s="1021"/>
      <c r="AJ127" s="1021"/>
      <c r="AK127" s="1021"/>
      <c r="AL127" s="1021"/>
      <c r="AM127" s="1021"/>
      <c r="AN127" s="1021"/>
      <c r="AO127" s="1021"/>
      <c r="AP127" s="1021"/>
      <c r="AQ127" s="1021"/>
      <c r="AR127" s="1021"/>
      <c r="AS127" s="1021"/>
      <c r="AT127" s="1021"/>
      <c r="AU127" s="1021"/>
      <c r="AV127" s="1021"/>
      <c r="AW127" s="1021"/>
      <c r="AX127" s="1021"/>
      <c r="AY127" s="1021"/>
      <c r="AZ127" s="1021"/>
      <c r="BA127" s="1021"/>
      <c r="BB127" s="1021"/>
      <c r="BC127" s="1021"/>
      <c r="BD127" s="1021"/>
      <c r="BE127" s="1021"/>
      <c r="BF127" s="1021"/>
      <c r="BG127" s="1021"/>
      <c r="BH127" s="1021"/>
      <c r="BI127" s="1021"/>
      <c r="BJ127" s="1021"/>
      <c r="BK127" s="1021"/>
      <c r="BL127" s="1021"/>
      <c r="BM127" s="1021"/>
      <c r="BN127" s="1021"/>
      <c r="BO127" s="1021"/>
      <c r="BP127" s="1021"/>
      <c r="BQ127" s="1021"/>
      <c r="BR127" s="1021"/>
      <c r="BS127" s="1021"/>
      <c r="BT127" s="1021"/>
      <c r="BU127" s="1021"/>
      <c r="BV127" s="1021"/>
      <c r="BW127" s="1021"/>
      <c r="BX127" s="1021"/>
      <c r="BY127" s="1021"/>
      <c r="BZ127" s="1021"/>
      <c r="CA127" s="1021"/>
      <c r="CB127" s="1021"/>
      <c r="CC127" s="1021"/>
    </row>
    <row r="128" spans="1:114" x14ac:dyDescent="0.25">
      <c r="H128" s="1023"/>
      <c r="I128" s="1022"/>
      <c r="J128" s="1022"/>
      <c r="K128" s="1022"/>
      <c r="L128" s="1022"/>
      <c r="M128" s="1022"/>
      <c r="N128" s="1022"/>
      <c r="O128" s="1022"/>
      <c r="P128" s="1022"/>
      <c r="Q128" s="1022"/>
      <c r="R128" s="1022"/>
      <c r="S128" s="1022"/>
      <c r="T128" s="1022"/>
      <c r="U128" s="1022"/>
      <c r="V128" s="1022"/>
      <c r="W128" s="1022"/>
      <c r="X128" s="1022"/>
      <c r="Y128" s="1022"/>
      <c r="Z128" s="1022"/>
      <c r="AA128" s="1022"/>
      <c r="AB128" s="1022"/>
      <c r="AC128" s="1022"/>
      <c r="AD128" s="1022"/>
      <c r="AE128" s="1023"/>
      <c r="AF128" s="1021"/>
      <c r="AG128" s="1021"/>
      <c r="AH128" s="1021"/>
      <c r="AI128" s="1021"/>
      <c r="AJ128" s="1021"/>
      <c r="AK128" s="1021"/>
      <c r="AL128" s="1021"/>
      <c r="AM128" s="1021"/>
      <c r="AN128" s="1021"/>
      <c r="AO128" s="1021"/>
      <c r="AP128" s="1021"/>
      <c r="AQ128" s="1021"/>
      <c r="AR128" s="1021"/>
      <c r="AS128" s="1021"/>
      <c r="AT128" s="1021"/>
      <c r="AU128" s="1021"/>
      <c r="AV128" s="1021"/>
      <c r="AW128" s="1021"/>
      <c r="AX128" s="1021"/>
      <c r="AY128" s="1021"/>
      <c r="AZ128" s="1021"/>
      <c r="BA128" s="1021"/>
      <c r="BB128" s="1021"/>
      <c r="BC128" s="1021"/>
      <c r="BD128" s="1021"/>
      <c r="BE128" s="1021"/>
      <c r="BF128" s="1021"/>
      <c r="BG128" s="1021"/>
      <c r="BH128" s="1021"/>
      <c r="BI128" s="1021"/>
      <c r="BJ128" s="1021"/>
      <c r="BK128" s="1021"/>
      <c r="BL128" s="1021"/>
      <c r="BM128" s="1021"/>
      <c r="BN128" s="1021"/>
      <c r="BO128" s="1021"/>
      <c r="BP128" s="1021"/>
      <c r="BQ128" s="1021"/>
      <c r="BR128" s="1021"/>
      <c r="BS128" s="1021"/>
      <c r="BT128" s="1021"/>
      <c r="BU128" s="1021"/>
      <c r="BV128" s="1021"/>
      <c r="BW128" s="1021"/>
      <c r="BX128" s="1021"/>
      <c r="BY128" s="1021"/>
      <c r="BZ128" s="1021"/>
      <c r="CA128" s="1021"/>
      <c r="CB128" s="1021"/>
      <c r="CC128" s="1021"/>
    </row>
    <row r="129" spans="1:114" ht="13.8" thickBot="1" x14ac:dyDescent="0.3">
      <c r="H129" s="1024"/>
      <c r="I129" s="1025"/>
      <c r="J129" s="1025"/>
      <c r="K129" s="1025"/>
      <c r="L129" s="1025"/>
      <c r="M129" s="1025"/>
      <c r="N129" s="1025"/>
      <c r="O129" s="1025"/>
      <c r="P129" s="1025"/>
      <c r="Q129" s="1025"/>
      <c r="R129" s="1025"/>
      <c r="S129" s="1025"/>
      <c r="T129" s="1025"/>
      <c r="U129" s="1025"/>
      <c r="V129" s="1025"/>
      <c r="W129" s="1025"/>
      <c r="X129" s="1025"/>
      <c r="Y129" s="1025"/>
      <c r="Z129" s="1025"/>
      <c r="AA129" s="1025"/>
      <c r="AB129" s="1025"/>
      <c r="AC129" s="1025"/>
      <c r="AD129" s="1025"/>
      <c r="AE129" s="1024"/>
      <c r="AF129" s="1021"/>
      <c r="AG129" s="1021"/>
      <c r="AH129" s="1021"/>
      <c r="AI129" s="1021"/>
      <c r="AJ129" s="1021"/>
      <c r="AK129" s="1021"/>
      <c r="AL129" s="1021"/>
      <c r="AM129" s="1021"/>
      <c r="AN129" s="1021"/>
      <c r="AO129" s="1021"/>
      <c r="AP129" s="1021"/>
      <c r="AQ129" s="1021"/>
      <c r="AR129" s="1021"/>
      <c r="AS129" s="1021"/>
      <c r="AT129" s="1021"/>
      <c r="AU129" s="1021"/>
      <c r="AV129" s="1021"/>
      <c r="AW129" s="1021"/>
      <c r="AX129" s="1021"/>
      <c r="AY129" s="1021"/>
      <c r="AZ129" s="1021"/>
      <c r="BA129" s="1021"/>
      <c r="BB129" s="1021"/>
      <c r="BC129" s="1021"/>
      <c r="BD129" s="1021"/>
      <c r="BE129" s="1021"/>
      <c r="BF129" s="1021"/>
      <c r="BG129" s="1021"/>
      <c r="BH129" s="1021"/>
      <c r="BI129" s="1021"/>
      <c r="BJ129" s="1021"/>
      <c r="BK129" s="1021"/>
      <c r="BL129" s="1021"/>
      <c r="BM129" s="1021"/>
      <c r="BN129" s="1021"/>
      <c r="BO129" s="1021"/>
      <c r="BP129" s="1021"/>
      <c r="BQ129" s="1021"/>
      <c r="BR129" s="1021"/>
      <c r="BS129" s="1021"/>
      <c r="BT129" s="1021"/>
      <c r="BU129" s="1021"/>
      <c r="BV129" s="1021"/>
      <c r="BW129" s="1021"/>
      <c r="BX129" s="1021"/>
      <c r="BY129" s="1021"/>
      <c r="BZ129" s="1021"/>
      <c r="CA129" s="1021"/>
      <c r="CB129" s="1021"/>
      <c r="CC129" s="1021"/>
    </row>
    <row r="130" spans="1:114" x14ac:dyDescent="0.25">
      <c r="H130" s="1021" t="s">
        <v>613</v>
      </c>
      <c r="I130" s="1021"/>
      <c r="J130" s="1021"/>
      <c r="K130" s="1021"/>
      <c r="L130" s="1021"/>
      <c r="M130" s="1021"/>
      <c r="N130" s="1021"/>
      <c r="O130" s="1021"/>
      <c r="P130" s="1021"/>
      <c r="Q130" s="1021"/>
      <c r="R130" s="1021"/>
      <c r="S130" s="1021"/>
      <c r="T130" s="1021"/>
      <c r="U130" s="1021"/>
      <c r="V130" s="1021"/>
      <c r="W130" s="1021"/>
      <c r="X130" s="1021"/>
      <c r="Y130" s="1021"/>
      <c r="Z130" s="1021"/>
      <c r="AA130" s="1021"/>
      <c r="AB130" s="1021"/>
      <c r="AC130" s="1021"/>
      <c r="AD130" s="1021"/>
      <c r="AE130" s="1021"/>
      <c r="AF130" s="1021"/>
      <c r="AG130" s="1021"/>
      <c r="AH130" s="1021"/>
      <c r="AI130" s="1021"/>
      <c r="AJ130" s="1021"/>
      <c r="AK130" s="1021"/>
      <c r="AL130" s="1021"/>
      <c r="AM130" s="1021"/>
      <c r="AN130" s="1021"/>
      <c r="AO130" s="1021"/>
      <c r="AP130" s="1021"/>
      <c r="AQ130" s="1021"/>
      <c r="AR130" s="1021"/>
      <c r="AS130" s="1021"/>
      <c r="AT130" s="1021"/>
      <c r="AU130" s="1021"/>
      <c r="AV130" s="1021"/>
      <c r="AW130" s="1021"/>
      <c r="AX130" s="1021"/>
      <c r="AY130" s="1021"/>
      <c r="AZ130" s="1021"/>
      <c r="BA130" s="1021"/>
      <c r="BB130" s="1021"/>
      <c r="BC130" s="1021"/>
      <c r="BD130" s="1021"/>
      <c r="BE130" s="1021"/>
      <c r="BF130" s="1021"/>
      <c r="BG130" s="1021"/>
      <c r="BH130" s="1021"/>
      <c r="BI130" s="1021"/>
      <c r="BJ130" s="1021"/>
      <c r="BK130" s="1021"/>
      <c r="BL130" s="1021"/>
      <c r="BM130" s="1021"/>
      <c r="BN130" s="1021"/>
      <c r="BO130" s="1021"/>
      <c r="BP130" s="1021"/>
      <c r="BQ130" s="1021"/>
      <c r="BR130" s="1021"/>
      <c r="BS130" s="1021"/>
      <c r="BT130" s="1021"/>
      <c r="BU130" s="1021"/>
      <c r="BV130" s="1021"/>
      <c r="BW130" s="1021"/>
      <c r="BX130" s="1021"/>
      <c r="BY130" s="1021"/>
      <c r="BZ130" s="1021"/>
      <c r="CA130" s="1021"/>
      <c r="CB130" s="1021"/>
      <c r="CC130" s="1021"/>
      <c r="CD130" s="1021"/>
      <c r="CE130" s="1021"/>
      <c r="CF130" s="1021"/>
      <c r="CG130" s="1021"/>
      <c r="CH130" s="1021"/>
      <c r="CI130" s="1021"/>
      <c r="CJ130" s="1021"/>
      <c r="CK130" s="1021"/>
      <c r="CL130" s="1021"/>
      <c r="CM130" s="1021"/>
      <c r="CN130" s="1021"/>
      <c r="CO130" s="1021"/>
      <c r="CP130" s="1021"/>
      <c r="CQ130" s="1021"/>
      <c r="CR130" s="1021"/>
      <c r="CS130" s="1021"/>
      <c r="CT130" s="1021"/>
      <c r="CU130" s="1021"/>
      <c r="CV130" s="1021"/>
      <c r="CW130" s="1021"/>
      <c r="CX130" s="1021"/>
      <c r="CY130" s="1021"/>
      <c r="CZ130" s="1021"/>
      <c r="DA130" s="1021"/>
      <c r="DB130" s="1021"/>
    </row>
    <row r="131" spans="1:114" x14ac:dyDescent="0.25">
      <c r="A131" s="1027">
        <f>SUM(H6:DB125)</f>
        <v>-250543527.0623036</v>
      </c>
      <c r="H131" s="1021"/>
      <c r="I131" s="1026"/>
      <c r="J131" s="1026"/>
      <c r="K131" s="1026"/>
      <c r="L131" s="1026"/>
      <c r="M131" s="1026"/>
      <c r="N131" s="1026"/>
      <c r="O131" s="1026"/>
      <c r="P131" s="1026"/>
      <c r="Q131" s="1026"/>
      <c r="R131" s="1026"/>
      <c r="S131" s="1026"/>
      <c r="T131" s="1026"/>
      <c r="U131" s="1026"/>
      <c r="V131" s="1026"/>
      <c r="W131" s="1026"/>
      <c r="X131" s="1026"/>
      <c r="Y131" s="1026"/>
      <c r="Z131" s="1026"/>
      <c r="AA131" s="1026"/>
      <c r="AB131" s="1026"/>
      <c r="AC131" s="1026"/>
      <c r="AD131" s="1026"/>
      <c r="AE131" s="1021"/>
      <c r="AF131" s="1021"/>
      <c r="AG131" s="1021"/>
      <c r="AH131" s="1021"/>
      <c r="AI131" s="1021"/>
      <c r="AJ131" s="1021"/>
      <c r="AK131" s="1021"/>
      <c r="AL131" s="1021"/>
      <c r="AM131" s="1021"/>
      <c r="AN131" s="1021"/>
      <c r="AO131" s="1021"/>
      <c r="AP131" s="1021"/>
      <c r="AQ131" s="1021"/>
      <c r="AR131" s="1021"/>
      <c r="AS131" s="1021"/>
      <c r="AT131" s="1021"/>
      <c r="AU131" s="1021"/>
      <c r="AV131" s="1021"/>
      <c r="AW131" s="1021"/>
      <c r="AX131" s="1021"/>
      <c r="AY131" s="1021"/>
      <c r="AZ131" s="1021"/>
      <c r="BA131" s="1021"/>
      <c r="BB131" s="1021"/>
      <c r="BC131" s="1021"/>
      <c r="BD131" s="1021"/>
      <c r="BE131" s="1021"/>
      <c r="BF131" s="1021"/>
      <c r="BG131" s="1021"/>
      <c r="BH131" s="1021"/>
      <c r="BI131" s="1021"/>
      <c r="BJ131" s="1021"/>
      <c r="BK131" s="1021"/>
      <c r="BL131" s="1021"/>
      <c r="BM131" s="1021"/>
      <c r="BN131" s="1021"/>
      <c r="BO131" s="1021"/>
      <c r="BP131" s="1021"/>
      <c r="BQ131" s="1021"/>
      <c r="BR131" s="1021"/>
      <c r="BS131" s="1021"/>
      <c r="BT131" s="1021"/>
      <c r="BU131" s="1021"/>
      <c r="BV131" s="1021"/>
      <c r="BW131" s="1021"/>
      <c r="BX131" s="1021"/>
      <c r="BY131" s="1021"/>
      <c r="BZ131" s="1021"/>
      <c r="CA131" s="1021"/>
      <c r="CB131" s="1021"/>
      <c r="CC131" s="1021"/>
      <c r="DJ131" s="1029">
        <f ca="1">SUM(DJ6:DJ130)</f>
        <v>-165152228.45602009</v>
      </c>
    </row>
    <row r="132" spans="1:114" x14ac:dyDescent="0.25">
      <c r="H132" s="1021"/>
      <c r="I132" s="1026"/>
      <c r="J132" s="1026"/>
      <c r="K132" s="1026"/>
      <c r="L132" s="1026"/>
      <c r="M132" s="1026"/>
      <c r="N132" s="1026"/>
      <c r="O132" s="1026"/>
      <c r="P132" s="1026"/>
      <c r="Q132" s="1026"/>
      <c r="R132" s="1026"/>
      <c r="S132" s="1026"/>
      <c r="T132" s="1026"/>
      <c r="U132" s="1026"/>
      <c r="V132" s="1026"/>
      <c r="W132" s="1026"/>
      <c r="X132" s="1026"/>
      <c r="Y132" s="1026"/>
      <c r="Z132" s="1026"/>
      <c r="AA132" s="1026"/>
      <c r="AB132" s="1026"/>
      <c r="AC132" s="1026"/>
      <c r="AD132" s="1026"/>
      <c r="AE132" s="1021"/>
      <c r="AF132" s="1021"/>
      <c r="AG132" s="1021"/>
      <c r="AH132" s="1021"/>
      <c r="AI132" s="1021"/>
      <c r="AJ132" s="1021"/>
      <c r="AK132" s="1021"/>
      <c r="AL132" s="1021"/>
      <c r="AM132" s="1021"/>
      <c r="AN132" s="1021"/>
      <c r="AO132" s="1021"/>
      <c r="AP132" s="1021"/>
      <c r="AQ132" s="1021"/>
      <c r="AR132" s="1021"/>
      <c r="AS132" s="1021"/>
      <c r="AT132" s="1021"/>
      <c r="AU132" s="1021"/>
      <c r="AV132" s="1021"/>
      <c r="AW132" s="1021"/>
      <c r="AX132" s="1021"/>
      <c r="AY132" s="1021"/>
      <c r="AZ132" s="1021"/>
      <c r="BA132" s="1021"/>
      <c r="BB132" s="1021"/>
      <c r="BC132" s="1021"/>
      <c r="BD132" s="1021"/>
      <c r="BE132" s="1021"/>
      <c r="BF132" s="1021"/>
      <c r="BG132" s="1021"/>
      <c r="BH132" s="1021"/>
      <c r="BI132" s="1021"/>
      <c r="BJ132" s="1021"/>
      <c r="BK132" s="1021"/>
      <c r="BL132" s="1021"/>
      <c r="BM132" s="1021"/>
      <c r="BN132" s="1021"/>
      <c r="BO132" s="1021"/>
      <c r="BP132" s="1021"/>
      <c r="BQ132" s="1021"/>
      <c r="BR132" s="1021"/>
      <c r="BS132" s="1021"/>
      <c r="BT132" s="1021"/>
      <c r="BU132" s="1021"/>
      <c r="BV132" s="1021"/>
      <c r="BW132" s="1021"/>
      <c r="BX132" s="1021"/>
      <c r="BY132" s="1021"/>
      <c r="BZ132" s="1021"/>
      <c r="CA132" s="1021"/>
      <c r="CB132" s="1021"/>
      <c r="CC132" s="1021"/>
    </row>
    <row r="133" spans="1:114" x14ac:dyDescent="0.25">
      <c r="H133" s="1021"/>
      <c r="I133" s="1026"/>
      <c r="J133" s="1026"/>
      <c r="K133" s="1026"/>
      <c r="L133" s="1026"/>
      <c r="M133" s="1026"/>
      <c r="N133" s="1026"/>
      <c r="O133" s="1026"/>
      <c r="P133" s="1026"/>
      <c r="Q133" s="1026"/>
      <c r="R133" s="1026"/>
      <c r="S133" s="1026"/>
      <c r="T133" s="1026"/>
      <c r="U133" s="1026"/>
      <c r="V133" s="1026"/>
      <c r="W133" s="1026"/>
      <c r="X133" s="1026"/>
      <c r="Y133" s="1026"/>
      <c r="Z133" s="1026"/>
      <c r="AA133" s="1026"/>
      <c r="AB133" s="1026"/>
      <c r="AC133" s="1026"/>
      <c r="AD133" s="1026"/>
      <c r="AE133" s="1021"/>
      <c r="AF133" s="1021"/>
      <c r="AG133" s="1021"/>
      <c r="AH133" s="1021"/>
      <c r="AI133" s="1021"/>
      <c r="AJ133" s="1021"/>
      <c r="AK133" s="1021"/>
      <c r="AL133" s="1021"/>
      <c r="AM133" s="1021"/>
      <c r="AN133" s="1021"/>
      <c r="AO133" s="1021"/>
      <c r="AP133" s="1021"/>
      <c r="AQ133" s="1021"/>
      <c r="AR133" s="1021"/>
      <c r="AS133" s="1021"/>
      <c r="AT133" s="1021"/>
      <c r="AU133" s="1021"/>
      <c r="AV133" s="1021"/>
      <c r="AW133" s="1021"/>
      <c r="AX133" s="1021"/>
      <c r="AY133" s="1021"/>
      <c r="AZ133" s="1021"/>
      <c r="BA133" s="1021"/>
      <c r="BB133" s="1021"/>
      <c r="BC133" s="1021"/>
      <c r="BD133" s="1021"/>
      <c r="BE133" s="1021"/>
      <c r="BF133" s="1021"/>
      <c r="BG133" s="1021"/>
      <c r="BH133" s="1021"/>
      <c r="BI133" s="1021"/>
      <c r="BJ133" s="1021"/>
      <c r="BK133" s="1021"/>
      <c r="BL133" s="1021"/>
      <c r="BM133" s="1021"/>
      <c r="BN133" s="1021"/>
      <c r="BO133" s="1021"/>
      <c r="BP133" s="1021"/>
      <c r="BQ133" s="1021"/>
      <c r="BR133" s="1021"/>
      <c r="BS133" s="1021"/>
      <c r="BT133" s="1021"/>
      <c r="BU133" s="1021"/>
      <c r="BV133" s="1021"/>
      <c r="BW133" s="1021"/>
      <c r="BX133" s="1021"/>
      <c r="BY133" s="1021"/>
      <c r="BZ133" s="1021"/>
      <c r="CA133" s="1021"/>
      <c r="CB133" s="1021"/>
      <c r="CC133" s="1021"/>
    </row>
    <row r="134" spans="1:114" x14ac:dyDescent="0.25">
      <c r="H134" s="1021"/>
      <c r="I134" s="1026"/>
      <c r="J134" s="1026"/>
      <c r="K134" s="1026"/>
      <c r="L134" s="1026"/>
      <c r="M134" s="1026"/>
      <c r="N134" s="1026"/>
      <c r="O134" s="1026"/>
      <c r="P134" s="1026"/>
      <c r="Q134" s="1026"/>
      <c r="R134" s="1026"/>
      <c r="S134" s="1026"/>
      <c r="T134" s="1026"/>
      <c r="U134" s="1026"/>
      <c r="V134" s="1026"/>
      <c r="W134" s="1026"/>
      <c r="X134" s="1026"/>
      <c r="Y134" s="1026"/>
      <c r="Z134" s="1026"/>
      <c r="AA134" s="1026"/>
      <c r="AB134" s="1026"/>
      <c r="AC134" s="1026"/>
      <c r="AD134" s="1026"/>
      <c r="AE134" s="1021"/>
      <c r="AF134" s="1021"/>
      <c r="AG134" s="1021"/>
      <c r="AH134" s="1021"/>
      <c r="AI134" s="1021"/>
      <c r="AJ134" s="1021"/>
      <c r="AK134" s="1021"/>
      <c r="AL134" s="1021"/>
      <c r="AM134" s="1021"/>
      <c r="AN134" s="1021"/>
      <c r="AO134" s="1021"/>
      <c r="AP134" s="1021"/>
      <c r="AQ134" s="1021"/>
      <c r="AR134" s="1021"/>
      <c r="AS134" s="1021"/>
      <c r="AT134" s="1021"/>
      <c r="AU134" s="1021"/>
      <c r="AV134" s="1021"/>
      <c r="AW134" s="1021"/>
      <c r="AX134" s="1021"/>
      <c r="AY134" s="1021"/>
      <c r="AZ134" s="1021"/>
      <c r="BA134" s="1021"/>
      <c r="BB134" s="1021"/>
      <c r="BC134" s="1021"/>
      <c r="BD134" s="1021"/>
      <c r="BE134" s="1021"/>
      <c r="BF134" s="1021"/>
      <c r="BG134" s="1021"/>
      <c r="BH134" s="1021"/>
      <c r="BI134" s="1021"/>
      <c r="BJ134" s="1021"/>
      <c r="BK134" s="1021"/>
      <c r="BL134" s="1021"/>
      <c r="BM134" s="1021"/>
      <c r="BN134" s="1021"/>
      <c r="BO134" s="1021"/>
      <c r="BP134" s="1021"/>
      <c r="BQ134" s="1021"/>
      <c r="BR134" s="1021"/>
      <c r="BS134" s="1021"/>
      <c r="BT134" s="1021"/>
      <c r="BU134" s="1021"/>
      <c r="BV134" s="1021"/>
      <c r="BW134" s="1021"/>
      <c r="BX134" s="1021"/>
      <c r="BY134" s="1021"/>
      <c r="BZ134" s="1021"/>
      <c r="CA134" s="1021"/>
      <c r="CB134" s="1021"/>
      <c r="CC134" s="1021"/>
    </row>
    <row r="135" spans="1:114" x14ac:dyDescent="0.25">
      <c r="H135" s="1021"/>
      <c r="I135" s="1026"/>
      <c r="J135" s="1026"/>
      <c r="K135" s="1026"/>
      <c r="L135" s="1026"/>
      <c r="M135" s="1026"/>
      <c r="N135" s="1026"/>
      <c r="O135" s="1026"/>
      <c r="P135" s="1026"/>
      <c r="Q135" s="1026"/>
      <c r="R135" s="1026"/>
      <c r="S135" s="1026"/>
      <c r="T135" s="1026"/>
      <c r="U135" s="1026"/>
      <c r="V135" s="1026"/>
      <c r="W135" s="1026"/>
      <c r="X135" s="1026"/>
      <c r="Y135" s="1026"/>
      <c r="Z135" s="1026"/>
      <c r="AA135" s="1026"/>
      <c r="AB135" s="1026"/>
      <c r="AC135" s="1026"/>
      <c r="AD135" s="1026"/>
      <c r="AE135" s="1021"/>
      <c r="AF135" s="1021"/>
      <c r="AG135" s="1021"/>
      <c r="AH135" s="1021"/>
      <c r="AI135" s="1021"/>
      <c r="AJ135" s="1021"/>
      <c r="AK135" s="1021"/>
      <c r="AL135" s="1021"/>
      <c r="AM135" s="1021"/>
      <c r="AN135" s="1021"/>
      <c r="AO135" s="1021"/>
      <c r="AP135" s="1021"/>
      <c r="AQ135" s="1021"/>
      <c r="AR135" s="1021"/>
      <c r="AS135" s="1021"/>
      <c r="AT135" s="1021"/>
      <c r="AU135" s="1021"/>
      <c r="AV135" s="1021"/>
      <c r="AW135" s="1021"/>
      <c r="AX135" s="1021"/>
      <c r="AY135" s="1021"/>
      <c r="AZ135" s="1021"/>
      <c r="BA135" s="1021"/>
      <c r="BB135" s="1021"/>
      <c r="BC135" s="1021"/>
      <c r="BD135" s="1021"/>
      <c r="BE135" s="1021"/>
      <c r="BF135" s="1021"/>
      <c r="BG135" s="1021"/>
      <c r="BH135" s="1021"/>
      <c r="BI135" s="1021"/>
      <c r="BJ135" s="1021"/>
      <c r="BK135" s="1021"/>
      <c r="BL135" s="1021"/>
      <c r="BM135" s="1021"/>
      <c r="BN135" s="1021"/>
      <c r="BO135" s="1021"/>
      <c r="BP135" s="1021"/>
      <c r="BQ135" s="1021"/>
      <c r="BR135" s="1021"/>
      <c r="BS135" s="1021"/>
      <c r="BT135" s="1021"/>
      <c r="BU135" s="1021"/>
      <c r="BV135" s="1021"/>
      <c r="BW135" s="1021"/>
      <c r="BX135" s="1021"/>
      <c r="BY135" s="1021"/>
      <c r="BZ135" s="1021"/>
      <c r="CA135" s="1021"/>
      <c r="CB135" s="1021"/>
      <c r="CC135" s="1021"/>
    </row>
    <row r="136" spans="1:114" x14ac:dyDescent="0.25">
      <c r="H136" s="1021"/>
      <c r="I136" s="1026"/>
      <c r="J136" s="1026"/>
      <c r="K136" s="1026"/>
      <c r="L136" s="1026"/>
      <c r="M136" s="1026"/>
      <c r="N136" s="1026"/>
      <c r="O136" s="1026"/>
      <c r="P136" s="1026"/>
      <c r="Q136" s="1021"/>
      <c r="R136" s="1026"/>
      <c r="S136" s="1026"/>
      <c r="T136" s="1026"/>
      <c r="U136" s="1026"/>
      <c r="V136" s="1026"/>
      <c r="W136" s="1026"/>
      <c r="X136" s="1026"/>
      <c r="Y136" s="1026"/>
      <c r="Z136" s="1026"/>
      <c r="AA136" s="1026"/>
      <c r="AB136" s="1026"/>
      <c r="AC136" s="1026"/>
      <c r="AD136" s="1026"/>
      <c r="AE136" s="1021"/>
      <c r="AF136" s="1021"/>
      <c r="AG136" s="1021"/>
      <c r="AH136" s="1021"/>
      <c r="AI136" s="1021"/>
      <c r="AJ136" s="1021"/>
      <c r="AK136" s="1021"/>
      <c r="AL136" s="1021"/>
      <c r="AM136" s="1021"/>
      <c r="AN136" s="1021"/>
      <c r="AO136" s="1021"/>
      <c r="AP136" s="1021"/>
      <c r="AQ136" s="1021"/>
      <c r="AR136" s="1021"/>
      <c r="AS136" s="1021"/>
      <c r="AT136" s="1021"/>
      <c r="AU136" s="1021"/>
      <c r="AV136" s="1021"/>
      <c r="AW136" s="1021"/>
      <c r="AX136" s="1021"/>
      <c r="AY136" s="1021"/>
      <c r="AZ136" s="1021"/>
      <c r="BA136" s="1021"/>
      <c r="BB136" s="1021"/>
      <c r="BC136" s="1021"/>
      <c r="BD136" s="1021"/>
      <c r="BE136" s="1021"/>
      <c r="BF136" s="1021"/>
      <c r="BG136" s="1021"/>
      <c r="BH136" s="1021"/>
      <c r="BI136" s="1021"/>
      <c r="BJ136" s="1021"/>
      <c r="BK136" s="1021"/>
      <c r="BL136" s="1021"/>
      <c r="BM136" s="1021"/>
      <c r="BN136" s="1021"/>
      <c r="BO136" s="1021"/>
      <c r="BP136" s="1021"/>
      <c r="BQ136" s="1021"/>
      <c r="BR136" s="1021"/>
      <c r="BS136" s="1021"/>
      <c r="BT136" s="1021"/>
      <c r="BU136" s="1021"/>
      <c r="BV136" s="1021"/>
      <c r="BW136" s="1021"/>
      <c r="BX136" s="1021"/>
      <c r="BY136" s="1021"/>
      <c r="BZ136" s="1021"/>
      <c r="CA136" s="1021"/>
      <c r="CB136" s="1021"/>
      <c r="CC136" s="1021"/>
    </row>
    <row r="137" spans="1:114" x14ac:dyDescent="0.25">
      <c r="H137" s="1021"/>
      <c r="I137" s="1026"/>
      <c r="J137" s="1026"/>
      <c r="K137" s="1026"/>
      <c r="L137" s="1026"/>
      <c r="M137" s="1026"/>
      <c r="N137" s="1026"/>
      <c r="O137" s="1026"/>
      <c r="P137" s="1026"/>
      <c r="Q137" s="1021"/>
      <c r="R137" s="1026"/>
      <c r="S137" s="1026"/>
      <c r="T137" s="1026"/>
      <c r="U137" s="1026"/>
      <c r="V137" s="1026"/>
      <c r="W137" s="1026"/>
      <c r="X137" s="1026"/>
      <c r="Y137" s="1026"/>
      <c r="Z137" s="1026"/>
      <c r="AA137" s="1026"/>
      <c r="AB137" s="1026"/>
      <c r="AC137" s="1026"/>
      <c r="AD137" s="1026"/>
      <c r="AE137" s="1021"/>
      <c r="AF137" s="1021"/>
      <c r="AG137" s="1021"/>
      <c r="AH137" s="1021"/>
      <c r="AI137" s="1021"/>
      <c r="AJ137" s="1021"/>
      <c r="AK137" s="1021"/>
      <c r="AL137" s="1021"/>
      <c r="AM137" s="1021"/>
      <c r="AN137" s="1021"/>
      <c r="AO137" s="1021"/>
      <c r="AP137" s="1021"/>
      <c r="AQ137" s="1021"/>
      <c r="AR137" s="1021"/>
      <c r="AS137" s="1021"/>
      <c r="AT137" s="1021"/>
      <c r="AU137" s="1021"/>
      <c r="AV137" s="1021"/>
      <c r="AW137" s="1021"/>
      <c r="AX137" s="1021"/>
      <c r="AY137" s="1021"/>
      <c r="AZ137" s="1021"/>
      <c r="BA137" s="1021"/>
      <c r="BB137" s="1021"/>
      <c r="BC137" s="1021"/>
      <c r="BD137" s="1021"/>
      <c r="BE137" s="1021"/>
      <c r="BF137" s="1021"/>
      <c r="BG137" s="1021"/>
      <c r="BH137" s="1021"/>
      <c r="BI137" s="1021"/>
      <c r="BJ137" s="1021"/>
      <c r="BK137" s="1021"/>
      <c r="BL137" s="1021"/>
      <c r="BM137" s="1021"/>
      <c r="BN137" s="1021"/>
      <c r="BO137" s="1021"/>
      <c r="BP137" s="1021"/>
      <c r="BQ137" s="1021"/>
      <c r="BR137" s="1021"/>
      <c r="BS137" s="1021"/>
      <c r="BT137" s="1021"/>
      <c r="BU137" s="1021"/>
      <c r="BV137" s="1021"/>
      <c r="BW137" s="1021"/>
      <c r="BX137" s="1021"/>
      <c r="BY137" s="1021"/>
      <c r="BZ137" s="1021"/>
      <c r="CA137" s="1021"/>
      <c r="CB137" s="1021"/>
      <c r="CC137" s="1021"/>
    </row>
    <row r="138" spans="1:114" x14ac:dyDescent="0.25">
      <c r="H138" s="1021"/>
      <c r="I138" s="1026"/>
      <c r="J138" s="1026"/>
      <c r="K138" s="1026"/>
      <c r="L138" s="1026"/>
      <c r="M138" s="1026"/>
      <c r="N138" s="1026"/>
      <c r="O138" s="1026"/>
      <c r="P138" s="1026"/>
      <c r="Q138" s="1021"/>
      <c r="R138" s="1026"/>
      <c r="S138" s="1026"/>
      <c r="T138" s="1026"/>
      <c r="U138" s="1026"/>
      <c r="V138" s="1026"/>
      <c r="W138" s="1026"/>
      <c r="X138" s="1026"/>
      <c r="Y138" s="1026"/>
      <c r="Z138" s="1026"/>
      <c r="AA138" s="1026"/>
      <c r="AB138" s="1026"/>
      <c r="AC138" s="1026"/>
      <c r="AD138" s="1026"/>
      <c r="AE138" s="1021"/>
      <c r="AF138" s="1021"/>
      <c r="AG138" s="1021"/>
      <c r="AH138" s="1021"/>
      <c r="AI138" s="1021"/>
      <c r="AJ138" s="1021"/>
      <c r="AK138" s="1021"/>
      <c r="AL138" s="1021"/>
      <c r="AM138" s="1021"/>
      <c r="AN138" s="1021"/>
      <c r="AO138" s="1021"/>
      <c r="AP138" s="1021"/>
      <c r="AQ138" s="1021"/>
      <c r="AR138" s="1021"/>
      <c r="AS138" s="1021"/>
      <c r="AT138" s="1021"/>
      <c r="AU138" s="1021"/>
      <c r="AV138" s="1021"/>
      <c r="AW138" s="1021"/>
      <c r="AX138" s="1021"/>
      <c r="AY138" s="1021"/>
      <c r="AZ138" s="1021"/>
      <c r="BA138" s="1021"/>
      <c r="BB138" s="1021"/>
      <c r="BC138" s="1021"/>
      <c r="BD138" s="1021"/>
      <c r="BE138" s="1021"/>
      <c r="BF138" s="1021"/>
      <c r="BG138" s="1021"/>
      <c r="BH138" s="1021"/>
      <c r="BI138" s="1021"/>
      <c r="BJ138" s="1021"/>
      <c r="BK138" s="1021"/>
      <c r="BL138" s="1021"/>
      <c r="BM138" s="1021"/>
      <c r="BN138" s="1021"/>
      <c r="BO138" s="1021"/>
      <c r="BP138" s="1021"/>
      <c r="BQ138" s="1021"/>
      <c r="BR138" s="1021"/>
      <c r="BS138" s="1021"/>
      <c r="BT138" s="1021"/>
      <c r="BU138" s="1021"/>
      <c r="BV138" s="1021"/>
      <c r="BW138" s="1021"/>
      <c r="BX138" s="1021"/>
      <c r="BY138" s="1021"/>
      <c r="BZ138" s="1021"/>
      <c r="CA138" s="1021"/>
      <c r="CB138" s="1021"/>
      <c r="CC138" s="1021"/>
    </row>
    <row r="139" spans="1:114" x14ac:dyDescent="0.25">
      <c r="H139" s="1021"/>
      <c r="I139" s="1026"/>
      <c r="J139" s="1026"/>
      <c r="K139" s="1026"/>
      <c r="L139" s="1026"/>
      <c r="M139" s="1026"/>
      <c r="N139" s="1026"/>
      <c r="O139" s="1026"/>
      <c r="P139" s="1026"/>
      <c r="Q139" s="1022"/>
      <c r="R139" s="1026"/>
      <c r="S139" s="1026"/>
      <c r="T139" s="1026"/>
      <c r="U139" s="1026"/>
      <c r="V139" s="1026"/>
      <c r="W139" s="1026"/>
      <c r="X139" s="1026"/>
      <c r="Y139" s="1026"/>
      <c r="Z139" s="1026"/>
      <c r="AA139" s="1026"/>
      <c r="AB139" s="1026"/>
      <c r="AC139" s="1026"/>
      <c r="AD139" s="1026"/>
      <c r="AE139" s="1021"/>
      <c r="AF139" s="1021"/>
      <c r="AG139" s="1021"/>
      <c r="AH139" s="1021"/>
      <c r="AI139" s="1021"/>
      <c r="AJ139" s="1021"/>
      <c r="AK139" s="1021"/>
      <c r="AL139" s="1021"/>
      <c r="AM139" s="1021"/>
      <c r="AN139" s="1021"/>
      <c r="AO139" s="1021"/>
      <c r="AP139" s="1021"/>
      <c r="AQ139" s="1021"/>
      <c r="AR139" s="1021"/>
      <c r="AS139" s="1021"/>
      <c r="AT139" s="1021"/>
      <c r="AU139" s="1021"/>
      <c r="AV139" s="1021"/>
      <c r="AW139" s="1021"/>
      <c r="AX139" s="1021"/>
      <c r="AY139" s="1021"/>
      <c r="AZ139" s="1021"/>
      <c r="BA139" s="1021"/>
      <c r="BB139" s="1021"/>
      <c r="BC139" s="1021"/>
      <c r="BD139" s="1021"/>
      <c r="BE139" s="1021"/>
      <c r="BF139" s="1021"/>
      <c r="BG139" s="1021"/>
      <c r="BH139" s="1021"/>
      <c r="BI139" s="1021"/>
      <c r="BJ139" s="1021"/>
      <c r="BK139" s="1021"/>
      <c r="BL139" s="1021"/>
      <c r="BM139" s="1021"/>
      <c r="BN139" s="1021"/>
      <c r="BO139" s="1021"/>
      <c r="BP139" s="1021"/>
      <c r="BQ139" s="1021"/>
      <c r="BR139" s="1021"/>
      <c r="BS139" s="1021"/>
      <c r="BT139" s="1021"/>
      <c r="BU139" s="1021"/>
      <c r="BV139" s="1021"/>
      <c r="BW139" s="1021"/>
      <c r="BX139" s="1021"/>
      <c r="BY139" s="1021"/>
      <c r="BZ139" s="1021"/>
      <c r="CA139" s="1021"/>
      <c r="CB139" s="1021"/>
      <c r="CC139" s="1021"/>
    </row>
    <row r="140" spans="1:114" x14ac:dyDescent="0.25">
      <c r="H140" s="1021"/>
      <c r="I140" s="1026"/>
      <c r="J140" s="1026"/>
      <c r="K140" s="1026"/>
      <c r="L140" s="1026"/>
      <c r="M140" s="1026"/>
      <c r="N140" s="1026"/>
      <c r="O140" s="1026"/>
      <c r="P140" s="1026"/>
      <c r="Q140" s="1022"/>
      <c r="R140" s="1026"/>
      <c r="S140" s="1026"/>
      <c r="T140" s="1026"/>
      <c r="U140" s="1026"/>
      <c r="V140" s="1026"/>
      <c r="W140" s="1026"/>
      <c r="X140" s="1026"/>
      <c r="Y140" s="1026"/>
      <c r="Z140" s="1026"/>
      <c r="AA140" s="1026"/>
      <c r="AB140" s="1026"/>
      <c r="AC140" s="1026"/>
      <c r="AD140" s="1026"/>
      <c r="AE140" s="1021"/>
      <c r="AF140" s="1021"/>
      <c r="AG140" s="1021"/>
      <c r="AH140" s="1021"/>
      <c r="AI140" s="1021"/>
      <c r="AJ140" s="1021"/>
      <c r="AK140" s="1021"/>
      <c r="AL140" s="1021"/>
      <c r="AM140" s="1021"/>
      <c r="AN140" s="1021"/>
      <c r="AO140" s="1021"/>
      <c r="AP140" s="1021"/>
      <c r="AQ140" s="1021"/>
      <c r="AR140" s="1021"/>
      <c r="AS140" s="1021"/>
      <c r="AT140" s="1021"/>
      <c r="AU140" s="1021"/>
      <c r="AV140" s="1021"/>
      <c r="AW140" s="1021"/>
      <c r="AX140" s="1021"/>
      <c r="AY140" s="1021"/>
      <c r="AZ140" s="1021"/>
      <c r="BA140" s="1021"/>
      <c r="BB140" s="1021"/>
      <c r="BC140" s="1021"/>
      <c r="BD140" s="1021"/>
      <c r="BE140" s="1021"/>
      <c r="BF140" s="1021"/>
      <c r="BG140" s="1021"/>
      <c r="BH140" s="1021"/>
      <c r="BI140" s="1021"/>
      <c r="BJ140" s="1021"/>
      <c r="BK140" s="1021"/>
      <c r="BL140" s="1021"/>
      <c r="BM140" s="1021"/>
      <c r="BN140" s="1021"/>
      <c r="BO140" s="1021"/>
      <c r="BP140" s="1021"/>
      <c r="BQ140" s="1021"/>
      <c r="BR140" s="1021"/>
      <c r="BS140" s="1021"/>
      <c r="BT140" s="1021"/>
      <c r="BU140" s="1021"/>
      <c r="BV140" s="1021"/>
      <c r="BW140" s="1021"/>
      <c r="BX140" s="1021"/>
      <c r="BY140" s="1021"/>
      <c r="BZ140" s="1021"/>
      <c r="CA140" s="1021"/>
      <c r="CB140" s="1021"/>
      <c r="CC140" s="1021"/>
    </row>
    <row r="141" spans="1:114" x14ac:dyDescent="0.25">
      <c r="H141" s="1021"/>
      <c r="I141" s="1026"/>
      <c r="J141" s="1026"/>
      <c r="K141" s="1026"/>
      <c r="L141" s="1026"/>
      <c r="M141" s="1026"/>
      <c r="N141" s="1026"/>
      <c r="O141" s="1026"/>
      <c r="P141" s="1026"/>
      <c r="Q141" s="1022"/>
      <c r="R141" s="1026"/>
      <c r="S141" s="1026"/>
      <c r="T141" s="1026"/>
      <c r="U141" s="1026"/>
      <c r="V141" s="1026"/>
      <c r="W141" s="1026"/>
      <c r="X141" s="1026"/>
      <c r="Y141" s="1026"/>
      <c r="Z141" s="1026"/>
      <c r="AA141" s="1026"/>
      <c r="AB141" s="1026"/>
      <c r="AC141" s="1026"/>
      <c r="AD141" s="1026"/>
      <c r="AE141" s="1021"/>
      <c r="AF141" s="1021"/>
      <c r="AG141" s="1021"/>
      <c r="AH141" s="1021"/>
      <c r="AI141" s="1021"/>
      <c r="AJ141" s="1021"/>
      <c r="AK141" s="1021"/>
      <c r="AL141" s="1021"/>
      <c r="AM141" s="1021"/>
      <c r="AN141" s="1021"/>
      <c r="AO141" s="1021"/>
      <c r="AP141" s="1021"/>
      <c r="AQ141" s="1021"/>
      <c r="AR141" s="1021"/>
      <c r="AS141" s="1021"/>
      <c r="AT141" s="1021"/>
      <c r="AU141" s="1021"/>
      <c r="AV141" s="1021"/>
      <c r="AW141" s="1021"/>
      <c r="AX141" s="1021"/>
      <c r="AY141" s="1021"/>
      <c r="AZ141" s="1021"/>
      <c r="BA141" s="1021"/>
      <c r="BB141" s="1021"/>
      <c r="BC141" s="1021"/>
      <c r="BD141" s="1021"/>
      <c r="BE141" s="1021"/>
      <c r="BF141" s="1021"/>
      <c r="BG141" s="1021"/>
      <c r="BH141" s="1021"/>
      <c r="BI141" s="1021"/>
      <c r="BJ141" s="1021"/>
      <c r="BK141" s="1021"/>
      <c r="BL141" s="1021"/>
      <c r="BM141" s="1021"/>
      <c r="BN141" s="1021"/>
      <c r="BO141" s="1021"/>
      <c r="BP141" s="1021"/>
      <c r="BQ141" s="1021"/>
      <c r="BR141" s="1021"/>
      <c r="BS141" s="1021"/>
      <c r="BT141" s="1021"/>
      <c r="BU141" s="1021"/>
      <c r="BV141" s="1021"/>
      <c r="BW141" s="1021"/>
      <c r="BX141" s="1021"/>
      <c r="BY141" s="1021"/>
      <c r="BZ141" s="1021"/>
      <c r="CA141" s="1021"/>
      <c r="CB141" s="1021"/>
      <c r="CC141" s="1021"/>
    </row>
    <row r="142" spans="1:114" x14ac:dyDescent="0.25">
      <c r="H142" s="1021"/>
      <c r="I142" s="1026"/>
      <c r="J142" s="1026"/>
      <c r="K142" s="1026"/>
      <c r="L142" s="1026"/>
      <c r="M142" s="1026"/>
      <c r="N142" s="1026"/>
      <c r="O142" s="1026"/>
      <c r="P142" s="1026"/>
      <c r="Q142" s="1022"/>
      <c r="R142" s="1026"/>
      <c r="S142" s="1026"/>
      <c r="T142" s="1026"/>
      <c r="U142" s="1026"/>
      <c r="V142" s="1026"/>
      <c r="W142" s="1026"/>
      <c r="X142" s="1026"/>
      <c r="Y142" s="1026"/>
      <c r="Z142" s="1026"/>
      <c r="AA142" s="1026"/>
      <c r="AB142" s="1026"/>
      <c r="AC142" s="1026"/>
      <c r="AD142" s="1026"/>
      <c r="AE142" s="1021"/>
      <c r="AF142" s="1021"/>
      <c r="AG142" s="1021"/>
      <c r="AH142" s="1021"/>
      <c r="AI142" s="1021"/>
      <c r="AJ142" s="1021"/>
      <c r="AK142" s="1021"/>
      <c r="AL142" s="1021"/>
      <c r="AM142" s="1021"/>
      <c r="AN142" s="1021"/>
      <c r="AO142" s="1021"/>
      <c r="AP142" s="1021"/>
      <c r="AQ142" s="1021"/>
      <c r="AR142" s="1021"/>
      <c r="AS142" s="1021"/>
      <c r="AT142" s="1021"/>
      <c r="AU142" s="1021"/>
      <c r="AV142" s="1021"/>
      <c r="AW142" s="1021"/>
      <c r="AX142" s="1021"/>
      <c r="AY142" s="1021"/>
      <c r="AZ142" s="1021"/>
      <c r="BA142" s="1021"/>
      <c r="BB142" s="1021"/>
      <c r="BC142" s="1021"/>
      <c r="BD142" s="1021"/>
      <c r="BE142" s="1021"/>
      <c r="BF142" s="1021"/>
      <c r="BG142" s="1021"/>
      <c r="BH142" s="1021"/>
      <c r="BI142" s="1021"/>
      <c r="BJ142" s="1021"/>
      <c r="BK142" s="1021"/>
      <c r="BL142" s="1021"/>
      <c r="BM142" s="1021"/>
      <c r="BN142" s="1021"/>
      <c r="BO142" s="1021"/>
      <c r="BP142" s="1021"/>
      <c r="BQ142" s="1021"/>
      <c r="BR142" s="1021"/>
      <c r="BS142" s="1021"/>
      <c r="BT142" s="1021"/>
      <c r="BU142" s="1021"/>
      <c r="BV142" s="1021"/>
      <c r="BW142" s="1021"/>
      <c r="BX142" s="1021"/>
      <c r="BY142" s="1021"/>
      <c r="BZ142" s="1021"/>
      <c r="CA142" s="1021"/>
      <c r="CB142" s="1021"/>
      <c r="CC142" s="1021"/>
    </row>
    <row r="143" spans="1:114" x14ac:dyDescent="0.25">
      <c r="H143" s="1021"/>
      <c r="I143" s="1026"/>
      <c r="J143" s="1026"/>
      <c r="K143" s="1026"/>
      <c r="L143" s="1026"/>
      <c r="M143" s="1026"/>
      <c r="N143" s="1026"/>
      <c r="O143" s="1026"/>
      <c r="P143" s="1026"/>
      <c r="Q143" s="1022"/>
      <c r="R143" s="1026"/>
      <c r="S143" s="1026"/>
      <c r="T143" s="1026"/>
      <c r="U143" s="1026"/>
      <c r="V143" s="1026"/>
      <c r="W143" s="1026"/>
      <c r="X143" s="1026"/>
      <c r="Y143" s="1026"/>
      <c r="Z143" s="1026"/>
      <c r="AA143" s="1026"/>
      <c r="AB143" s="1026"/>
      <c r="AC143" s="1026"/>
      <c r="AD143" s="1026"/>
      <c r="AE143" s="1021"/>
      <c r="AF143" s="1021"/>
      <c r="AG143" s="1021"/>
      <c r="AH143" s="1021"/>
      <c r="AI143" s="1021"/>
      <c r="AJ143" s="1021"/>
      <c r="AK143" s="1021"/>
      <c r="AL143" s="1021"/>
      <c r="AM143" s="1021"/>
      <c r="AN143" s="1021"/>
      <c r="AO143" s="1021"/>
      <c r="AP143" s="1021"/>
      <c r="AQ143" s="1021"/>
      <c r="AR143" s="1021"/>
      <c r="AS143" s="1021"/>
      <c r="AT143" s="1021"/>
      <c r="AU143" s="1021"/>
      <c r="AV143" s="1021"/>
      <c r="AW143" s="1021"/>
      <c r="AX143" s="1021"/>
      <c r="AY143" s="1021"/>
      <c r="AZ143" s="1021"/>
      <c r="BA143" s="1021"/>
      <c r="BB143" s="1021"/>
      <c r="BC143" s="1021"/>
      <c r="BD143" s="1021"/>
      <c r="BE143" s="1021"/>
      <c r="BF143" s="1021"/>
      <c r="BG143" s="1021"/>
      <c r="BH143" s="1021"/>
      <c r="BI143" s="1021"/>
      <c r="BJ143" s="1021"/>
      <c r="BK143" s="1021"/>
      <c r="BL143" s="1021"/>
      <c r="BM143" s="1021"/>
      <c r="BN143" s="1021"/>
      <c r="BO143" s="1021"/>
      <c r="BP143" s="1021"/>
      <c r="BQ143" s="1021"/>
      <c r="BR143" s="1021"/>
      <c r="BS143" s="1021"/>
      <c r="BT143" s="1021"/>
      <c r="BU143" s="1021"/>
      <c r="BV143" s="1021"/>
      <c r="BW143" s="1021"/>
      <c r="BX143" s="1021"/>
      <c r="BY143" s="1021"/>
      <c r="BZ143" s="1021"/>
      <c r="CA143" s="1021"/>
      <c r="CB143" s="1021"/>
      <c r="CC143" s="1021"/>
    </row>
    <row r="144" spans="1:114" x14ac:dyDescent="0.25">
      <c r="H144" s="1021"/>
      <c r="I144" s="1026"/>
      <c r="J144" s="1026"/>
      <c r="K144" s="1026"/>
      <c r="L144" s="1026"/>
      <c r="M144" s="1026"/>
      <c r="N144" s="1026"/>
      <c r="O144" s="1026"/>
      <c r="P144" s="1026"/>
      <c r="Q144" s="1022"/>
      <c r="R144" s="1026"/>
      <c r="S144" s="1026"/>
      <c r="T144" s="1026"/>
      <c r="U144" s="1026"/>
      <c r="V144" s="1026"/>
      <c r="W144" s="1026"/>
      <c r="X144" s="1026"/>
      <c r="Y144" s="1026"/>
      <c r="Z144" s="1026"/>
      <c r="AA144" s="1026"/>
      <c r="AB144" s="1026"/>
      <c r="AC144" s="1026"/>
      <c r="AD144" s="1026"/>
      <c r="AE144" s="1021"/>
      <c r="AF144" s="1021"/>
      <c r="AG144" s="1021"/>
      <c r="AH144" s="1021"/>
      <c r="AI144" s="1021"/>
      <c r="AJ144" s="1021"/>
      <c r="AK144" s="1021"/>
      <c r="AL144" s="1021"/>
      <c r="AM144" s="1021"/>
      <c r="AN144" s="1021"/>
      <c r="AO144" s="1021"/>
      <c r="AP144" s="1021"/>
      <c r="AQ144" s="1021"/>
      <c r="AR144" s="1021"/>
      <c r="AS144" s="1021"/>
      <c r="AT144" s="1021"/>
      <c r="AU144" s="1021"/>
      <c r="AV144" s="1021"/>
      <c r="AW144" s="1021"/>
      <c r="AX144" s="1021"/>
      <c r="AY144" s="1021"/>
      <c r="AZ144" s="1021"/>
      <c r="BA144" s="1021"/>
      <c r="BB144" s="1021"/>
      <c r="BC144" s="1021"/>
      <c r="BD144" s="1021"/>
      <c r="BE144" s="1021"/>
      <c r="BF144" s="1021"/>
      <c r="BG144" s="1021"/>
      <c r="BH144" s="1021"/>
      <c r="BI144" s="1021"/>
      <c r="BJ144" s="1021"/>
      <c r="BK144" s="1021"/>
      <c r="BL144" s="1021"/>
      <c r="BM144" s="1021"/>
      <c r="BN144" s="1021"/>
      <c r="BO144" s="1021"/>
      <c r="BP144" s="1021"/>
      <c r="BQ144" s="1021"/>
      <c r="BR144" s="1021"/>
      <c r="BS144" s="1021"/>
      <c r="BT144" s="1021"/>
      <c r="BU144" s="1021"/>
      <c r="BV144" s="1021"/>
      <c r="BW144" s="1021"/>
      <c r="BX144" s="1021"/>
      <c r="BY144" s="1021"/>
      <c r="BZ144" s="1021"/>
      <c r="CA144" s="1021"/>
      <c r="CB144" s="1021"/>
      <c r="CC144" s="1021"/>
    </row>
    <row r="145" spans="8:81" x14ac:dyDescent="0.25">
      <c r="H145" s="1021"/>
      <c r="I145" s="1026"/>
      <c r="J145" s="1026"/>
      <c r="K145" s="1026"/>
      <c r="L145" s="1026"/>
      <c r="M145" s="1026"/>
      <c r="N145" s="1026"/>
      <c r="O145" s="1026"/>
      <c r="P145" s="1026"/>
      <c r="Q145" s="1022"/>
      <c r="R145" s="1026"/>
      <c r="S145" s="1026"/>
      <c r="T145" s="1026"/>
      <c r="U145" s="1026"/>
      <c r="V145" s="1026"/>
      <c r="W145" s="1026"/>
      <c r="X145" s="1026"/>
      <c r="Y145" s="1026"/>
      <c r="Z145" s="1026"/>
      <c r="AA145" s="1026"/>
      <c r="AB145" s="1026"/>
      <c r="AC145" s="1026"/>
      <c r="AD145" s="1026"/>
      <c r="AE145" s="1021"/>
      <c r="AF145" s="1021"/>
      <c r="AG145" s="1021"/>
      <c r="AH145" s="1021"/>
      <c r="AI145" s="1021"/>
      <c r="AJ145" s="1021"/>
      <c r="AK145" s="1021"/>
      <c r="AL145" s="1021"/>
      <c r="AM145" s="1021"/>
      <c r="AN145" s="1021"/>
      <c r="AO145" s="1021"/>
      <c r="AP145" s="1021"/>
      <c r="AQ145" s="1021"/>
      <c r="AR145" s="1021"/>
      <c r="AS145" s="1021"/>
      <c r="AT145" s="1021"/>
      <c r="AU145" s="1021"/>
      <c r="AV145" s="1021"/>
      <c r="AW145" s="1021"/>
      <c r="AX145" s="1021"/>
      <c r="AY145" s="1021"/>
      <c r="AZ145" s="1021"/>
      <c r="BA145" s="1021"/>
      <c r="BB145" s="1021"/>
      <c r="BC145" s="1021"/>
      <c r="BD145" s="1021"/>
      <c r="BE145" s="1021"/>
      <c r="BF145" s="1021"/>
      <c r="BG145" s="1021"/>
      <c r="BH145" s="1021"/>
      <c r="BI145" s="1021"/>
      <c r="BJ145" s="1021"/>
      <c r="BK145" s="1021"/>
      <c r="BL145" s="1021"/>
      <c r="BM145" s="1021"/>
      <c r="BN145" s="1021"/>
      <c r="BO145" s="1021"/>
      <c r="BP145" s="1021"/>
      <c r="BQ145" s="1021"/>
      <c r="BR145" s="1021"/>
      <c r="BS145" s="1021"/>
      <c r="BT145" s="1021"/>
      <c r="BU145" s="1021"/>
      <c r="BV145" s="1021"/>
      <c r="BW145" s="1021"/>
      <c r="BX145" s="1021"/>
      <c r="BY145" s="1021"/>
      <c r="BZ145" s="1021"/>
      <c r="CA145" s="1021"/>
      <c r="CB145" s="1021"/>
      <c r="CC145" s="1021"/>
    </row>
    <row r="146" spans="8:81" x14ac:dyDescent="0.25">
      <c r="H146" s="1021"/>
      <c r="I146" s="1026"/>
      <c r="J146" s="1026"/>
      <c r="K146" s="1026"/>
      <c r="L146" s="1026"/>
      <c r="M146" s="1026"/>
      <c r="N146" s="1026"/>
      <c r="O146" s="1026"/>
      <c r="P146" s="1026"/>
      <c r="Q146" s="1022"/>
      <c r="R146" s="1026"/>
      <c r="S146" s="1026"/>
      <c r="T146" s="1026"/>
      <c r="U146" s="1026"/>
      <c r="V146" s="1026"/>
      <c r="W146" s="1026"/>
      <c r="X146" s="1026"/>
      <c r="Y146" s="1026"/>
      <c r="Z146" s="1026"/>
      <c r="AA146" s="1026"/>
      <c r="AB146" s="1026"/>
      <c r="AC146" s="1026"/>
      <c r="AD146" s="1026"/>
      <c r="AE146" s="1021"/>
      <c r="AF146" s="1021"/>
      <c r="AG146" s="1021"/>
      <c r="AH146" s="1021"/>
      <c r="AI146" s="1021"/>
      <c r="AJ146" s="1021"/>
      <c r="AK146" s="1021"/>
      <c r="AL146" s="1021"/>
      <c r="AM146" s="1021"/>
      <c r="AN146" s="1021"/>
      <c r="AO146" s="1021"/>
      <c r="AP146" s="1021"/>
      <c r="AQ146" s="1021"/>
      <c r="AR146" s="1021"/>
      <c r="AS146" s="1021"/>
      <c r="AT146" s="1021"/>
      <c r="AU146" s="1021"/>
      <c r="AV146" s="1021"/>
      <c r="AW146" s="1021"/>
      <c r="AX146" s="1021"/>
      <c r="AY146" s="1021"/>
      <c r="AZ146" s="1021"/>
      <c r="BA146" s="1021"/>
      <c r="BB146" s="1021"/>
      <c r="BC146" s="1021"/>
      <c r="BD146" s="1021"/>
      <c r="BE146" s="1021"/>
      <c r="BF146" s="1021"/>
      <c r="BG146" s="1021"/>
      <c r="BH146" s="1021"/>
      <c r="BI146" s="1021"/>
      <c r="BJ146" s="1021"/>
      <c r="BK146" s="1021"/>
      <c r="BL146" s="1021"/>
      <c r="BM146" s="1021"/>
      <c r="BN146" s="1021"/>
      <c r="BO146" s="1021"/>
      <c r="BP146" s="1021"/>
      <c r="BQ146" s="1021"/>
      <c r="BR146" s="1021"/>
      <c r="BS146" s="1021"/>
      <c r="BT146" s="1021"/>
      <c r="BU146" s="1021"/>
      <c r="BV146" s="1021"/>
      <c r="BW146" s="1021"/>
      <c r="BX146" s="1021"/>
      <c r="BY146" s="1021"/>
      <c r="BZ146" s="1021"/>
      <c r="CA146" s="1021"/>
      <c r="CB146" s="1021"/>
      <c r="CC146" s="1021"/>
    </row>
    <row r="147" spans="8:81" x14ac:dyDescent="0.25">
      <c r="H147" s="1021"/>
      <c r="I147" s="1026"/>
      <c r="J147" s="1026"/>
      <c r="K147" s="1026"/>
      <c r="L147" s="1026"/>
      <c r="M147" s="1026"/>
      <c r="N147" s="1026"/>
      <c r="O147" s="1026"/>
      <c r="P147" s="1026"/>
      <c r="Q147" s="1022"/>
      <c r="R147" s="1026"/>
      <c r="S147" s="1026"/>
      <c r="T147" s="1026"/>
      <c r="U147" s="1026"/>
      <c r="V147" s="1026"/>
      <c r="W147" s="1026"/>
      <c r="X147" s="1026"/>
      <c r="Y147" s="1026"/>
      <c r="Z147" s="1026"/>
      <c r="AA147" s="1026"/>
      <c r="AB147" s="1026"/>
      <c r="AC147" s="1026"/>
      <c r="AD147" s="1026"/>
      <c r="AE147" s="1021"/>
      <c r="AF147" s="1021"/>
      <c r="AG147" s="1021"/>
      <c r="AH147" s="1021"/>
      <c r="AI147" s="1021"/>
      <c r="AJ147" s="1021"/>
      <c r="AK147" s="1021"/>
      <c r="AL147" s="1021"/>
      <c r="AM147" s="1021"/>
      <c r="AN147" s="1021"/>
      <c r="AO147" s="1021"/>
      <c r="AP147" s="1021"/>
      <c r="AQ147" s="1021"/>
      <c r="AR147" s="1021"/>
      <c r="AS147" s="1021"/>
      <c r="AT147" s="1021"/>
      <c r="AU147" s="1021"/>
      <c r="AV147" s="1021"/>
      <c r="AW147" s="1021"/>
      <c r="AX147" s="1021"/>
      <c r="AY147" s="1021"/>
      <c r="AZ147" s="1021"/>
      <c r="BA147" s="1021"/>
      <c r="BB147" s="1021"/>
      <c r="BC147" s="1021"/>
      <c r="BD147" s="1021"/>
      <c r="BE147" s="1021"/>
      <c r="BF147" s="1021"/>
      <c r="BG147" s="1021"/>
      <c r="BH147" s="1021"/>
      <c r="BI147" s="1021"/>
      <c r="BJ147" s="1021"/>
      <c r="BK147" s="1021"/>
      <c r="BL147" s="1021"/>
      <c r="BM147" s="1021"/>
      <c r="BN147" s="1021"/>
      <c r="BO147" s="1021"/>
      <c r="BP147" s="1021"/>
      <c r="BQ147" s="1021"/>
      <c r="BR147" s="1021"/>
      <c r="BS147" s="1021"/>
      <c r="BT147" s="1021"/>
      <c r="BU147" s="1021"/>
      <c r="BV147" s="1021"/>
      <c r="BW147" s="1021"/>
      <c r="BX147" s="1021"/>
      <c r="BY147" s="1021"/>
      <c r="BZ147" s="1021"/>
      <c r="CA147" s="1021"/>
      <c r="CB147" s="1021"/>
      <c r="CC147" s="1021"/>
    </row>
    <row r="148" spans="8:81" x14ac:dyDescent="0.25">
      <c r="H148" s="1021"/>
      <c r="I148" s="1026"/>
      <c r="J148" s="1026"/>
      <c r="K148" s="1026"/>
      <c r="L148" s="1026"/>
      <c r="M148" s="1026"/>
      <c r="N148" s="1026"/>
      <c r="O148" s="1026"/>
      <c r="P148" s="1026"/>
      <c r="Q148" s="1022"/>
      <c r="R148" s="1026"/>
      <c r="S148" s="1026"/>
      <c r="T148" s="1026"/>
      <c r="U148" s="1026"/>
      <c r="V148" s="1026"/>
      <c r="W148" s="1026"/>
      <c r="X148" s="1026"/>
      <c r="Y148" s="1026"/>
      <c r="Z148" s="1026"/>
      <c r="AA148" s="1026"/>
      <c r="AB148" s="1026"/>
      <c r="AC148" s="1026"/>
      <c r="AD148" s="1026"/>
      <c r="AE148" s="1021"/>
      <c r="AF148" s="1021"/>
      <c r="AG148" s="1021"/>
      <c r="AH148" s="1021"/>
      <c r="AI148" s="1021"/>
      <c r="AJ148" s="1021"/>
      <c r="AK148" s="1021"/>
      <c r="AL148" s="1021"/>
      <c r="AM148" s="1021"/>
      <c r="AN148" s="1021"/>
      <c r="AO148" s="1021"/>
      <c r="AP148" s="1021"/>
      <c r="AQ148" s="1021"/>
      <c r="AR148" s="1021"/>
      <c r="AS148" s="1021"/>
      <c r="AT148" s="1021"/>
      <c r="AU148" s="1021"/>
      <c r="AV148" s="1021"/>
      <c r="AW148" s="1021"/>
      <c r="AX148" s="1021"/>
      <c r="AY148" s="1021"/>
      <c r="AZ148" s="1021"/>
      <c r="BA148" s="1021"/>
      <c r="BB148" s="1021"/>
      <c r="BC148" s="1021"/>
      <c r="BD148" s="1021"/>
      <c r="BE148" s="1021"/>
      <c r="BF148" s="1021"/>
      <c r="BG148" s="1021"/>
      <c r="BH148" s="1021"/>
      <c r="BI148" s="1021"/>
      <c r="BJ148" s="1021"/>
      <c r="BK148" s="1021"/>
      <c r="BL148" s="1021"/>
      <c r="BM148" s="1021"/>
      <c r="BN148" s="1021"/>
      <c r="BO148" s="1021"/>
      <c r="BP148" s="1021"/>
      <c r="BQ148" s="1021"/>
      <c r="BR148" s="1021"/>
      <c r="BS148" s="1021"/>
      <c r="BT148" s="1021"/>
      <c r="BU148" s="1021"/>
      <c r="BV148" s="1021"/>
      <c r="BW148" s="1021"/>
      <c r="BX148" s="1021"/>
      <c r="BY148" s="1021"/>
      <c r="BZ148" s="1021"/>
      <c r="CA148" s="1021"/>
      <c r="CB148" s="1021"/>
      <c r="CC148" s="1021"/>
    </row>
    <row r="149" spans="8:81" x14ac:dyDescent="0.25">
      <c r="H149" s="1021"/>
      <c r="I149" s="1026"/>
      <c r="J149" s="1026"/>
      <c r="K149" s="1026"/>
      <c r="L149" s="1026"/>
      <c r="M149" s="1026"/>
      <c r="N149" s="1026"/>
      <c r="O149" s="1026"/>
      <c r="P149" s="1026"/>
      <c r="Q149" s="1026"/>
      <c r="R149" s="1026"/>
      <c r="S149" s="1026"/>
      <c r="T149" s="1026"/>
      <c r="U149" s="1026"/>
      <c r="V149" s="1026"/>
      <c r="W149" s="1026"/>
      <c r="X149" s="1026"/>
      <c r="Y149" s="1026"/>
      <c r="Z149" s="1026"/>
      <c r="AA149" s="1026"/>
      <c r="AB149" s="1026"/>
      <c r="AC149" s="1026"/>
      <c r="AD149" s="1026"/>
      <c r="AE149" s="1021"/>
      <c r="AF149" s="1021"/>
      <c r="AG149" s="1021"/>
      <c r="AH149" s="1021"/>
      <c r="AI149" s="1021"/>
      <c r="AJ149" s="1021"/>
      <c r="AK149" s="1021"/>
      <c r="AL149" s="1021"/>
      <c r="AM149" s="1021"/>
      <c r="AN149" s="1021"/>
      <c r="AO149" s="1021"/>
      <c r="AP149" s="1021"/>
      <c r="AQ149" s="1021"/>
      <c r="AR149" s="1021"/>
      <c r="AS149" s="1021"/>
      <c r="AT149" s="1021"/>
      <c r="AU149" s="1021"/>
      <c r="AV149" s="1021"/>
      <c r="AW149" s="1021"/>
      <c r="AX149" s="1021"/>
      <c r="AY149" s="1021"/>
      <c r="AZ149" s="1021"/>
      <c r="BA149" s="1021"/>
      <c r="BB149" s="1021"/>
      <c r="BC149" s="1021"/>
      <c r="BD149" s="1021"/>
      <c r="BE149" s="1021"/>
      <c r="BF149" s="1021"/>
      <c r="BG149" s="1021"/>
      <c r="BH149" s="1021"/>
      <c r="BI149" s="1021"/>
      <c r="BJ149" s="1021"/>
      <c r="BK149" s="1021"/>
      <c r="BL149" s="1021"/>
      <c r="BM149" s="1021"/>
      <c r="BN149" s="1021"/>
      <c r="BO149" s="1021"/>
      <c r="BP149" s="1021"/>
      <c r="BQ149" s="1021"/>
      <c r="BR149" s="1021"/>
      <c r="BS149" s="1021"/>
      <c r="BT149" s="1021"/>
      <c r="BU149" s="1021"/>
      <c r="BV149" s="1021"/>
      <c r="BW149" s="1021"/>
      <c r="BX149" s="1021"/>
      <c r="BY149" s="1021"/>
      <c r="BZ149" s="1021"/>
      <c r="CA149" s="1021"/>
      <c r="CB149" s="1021"/>
      <c r="CC149" s="1021"/>
    </row>
    <row r="150" spans="8:81" x14ac:dyDescent="0.25">
      <c r="H150" s="1021"/>
      <c r="I150" s="1026"/>
      <c r="J150" s="1026"/>
      <c r="K150" s="1026"/>
      <c r="L150" s="1026"/>
      <c r="M150" s="1026"/>
      <c r="N150" s="1026"/>
      <c r="O150" s="1026"/>
      <c r="P150" s="1026"/>
      <c r="Q150" s="1026"/>
      <c r="R150" s="1026"/>
      <c r="S150" s="1026"/>
      <c r="T150" s="1026"/>
      <c r="U150" s="1026"/>
      <c r="V150" s="1026"/>
      <c r="W150" s="1026"/>
      <c r="X150" s="1026"/>
      <c r="Y150" s="1026"/>
      <c r="Z150" s="1026"/>
      <c r="AA150" s="1026"/>
      <c r="AB150" s="1026"/>
      <c r="AC150" s="1026"/>
      <c r="AD150" s="1026"/>
      <c r="AE150" s="1021"/>
      <c r="AF150" s="1021"/>
      <c r="AG150" s="1021"/>
      <c r="AH150" s="1021"/>
      <c r="AI150" s="1021"/>
      <c r="AJ150" s="1021"/>
      <c r="AK150" s="1021"/>
      <c r="AL150" s="1021"/>
      <c r="AM150" s="1021"/>
      <c r="AN150" s="1021"/>
      <c r="AO150" s="1021"/>
      <c r="AP150" s="1021"/>
      <c r="AQ150" s="1021"/>
      <c r="AR150" s="1021"/>
      <c r="AS150" s="1021"/>
      <c r="AT150" s="1021"/>
      <c r="AU150" s="1021"/>
      <c r="AV150" s="1021"/>
      <c r="AW150" s="1021"/>
      <c r="AX150" s="1021"/>
      <c r="AY150" s="1021"/>
      <c r="AZ150" s="1021"/>
      <c r="BA150" s="1021"/>
      <c r="BB150" s="1021"/>
      <c r="BC150" s="1021"/>
      <c r="BD150" s="1021"/>
      <c r="BE150" s="1021"/>
      <c r="BF150" s="1021"/>
      <c r="BG150" s="1021"/>
      <c r="BH150" s="1021"/>
      <c r="BI150" s="1021"/>
      <c r="BJ150" s="1021"/>
      <c r="BK150" s="1021"/>
      <c r="BL150" s="1021"/>
      <c r="BM150" s="1021"/>
      <c r="BN150" s="1021"/>
      <c r="BO150" s="1021"/>
      <c r="BP150" s="1021"/>
      <c r="BQ150" s="1021"/>
      <c r="BR150" s="1021"/>
      <c r="BS150" s="1021"/>
      <c r="BT150" s="1021"/>
      <c r="BU150" s="1021"/>
      <c r="BV150" s="1021"/>
      <c r="BW150" s="1021"/>
      <c r="BX150" s="1021"/>
      <c r="BY150" s="1021"/>
      <c r="BZ150" s="1021"/>
      <c r="CA150" s="1021"/>
      <c r="CB150" s="1021"/>
      <c r="CC150" s="1021"/>
    </row>
    <row r="151" spans="8:81" x14ac:dyDescent="0.25">
      <c r="H151" s="1021"/>
      <c r="I151" s="1026"/>
      <c r="J151" s="1026"/>
      <c r="K151" s="1026"/>
      <c r="L151" s="1026"/>
      <c r="M151" s="1026"/>
      <c r="N151" s="1026"/>
      <c r="O151" s="1026"/>
      <c r="P151" s="1026"/>
      <c r="Q151" s="1026"/>
      <c r="R151" s="1026"/>
      <c r="S151" s="1026"/>
      <c r="T151" s="1026"/>
      <c r="U151" s="1026"/>
      <c r="V151" s="1026"/>
      <c r="W151" s="1026"/>
      <c r="X151" s="1026"/>
      <c r="Y151" s="1026"/>
      <c r="Z151" s="1026"/>
      <c r="AA151" s="1026"/>
      <c r="AB151" s="1026"/>
      <c r="AC151" s="1026"/>
      <c r="AD151" s="1026"/>
      <c r="AE151" s="1021"/>
      <c r="AF151" s="1021"/>
      <c r="AG151" s="1021"/>
      <c r="AH151" s="1021"/>
      <c r="AI151" s="1021"/>
      <c r="AJ151" s="1021"/>
      <c r="AK151" s="1021"/>
      <c r="AL151" s="1021"/>
      <c r="AM151" s="1021"/>
      <c r="AN151" s="1021"/>
      <c r="AO151" s="1021"/>
      <c r="AP151" s="1021"/>
      <c r="AQ151" s="1021"/>
      <c r="AR151" s="1021"/>
      <c r="AS151" s="1021"/>
      <c r="AT151" s="1021"/>
      <c r="AU151" s="1021"/>
      <c r="AV151" s="1021"/>
      <c r="AW151" s="1021"/>
      <c r="AX151" s="1021"/>
      <c r="AY151" s="1021"/>
      <c r="AZ151" s="1021"/>
      <c r="BA151" s="1021"/>
      <c r="BB151" s="1021"/>
      <c r="BC151" s="1021"/>
      <c r="BD151" s="1021"/>
      <c r="BE151" s="1021"/>
      <c r="BF151" s="1021"/>
      <c r="BG151" s="1021"/>
      <c r="BH151" s="1021"/>
      <c r="BI151" s="1021"/>
      <c r="BJ151" s="1021"/>
      <c r="BK151" s="1021"/>
      <c r="BL151" s="1021"/>
      <c r="BM151" s="1021"/>
      <c r="BN151" s="1021"/>
      <c r="BO151" s="1021"/>
      <c r="BP151" s="1021"/>
      <c r="BQ151" s="1021"/>
      <c r="BR151" s="1021"/>
      <c r="BS151" s="1021"/>
      <c r="BT151" s="1021"/>
      <c r="BU151" s="1021"/>
      <c r="BV151" s="1021"/>
      <c r="BW151" s="1021"/>
      <c r="BX151" s="1021"/>
      <c r="BY151" s="1021"/>
      <c r="BZ151" s="1021"/>
      <c r="CA151" s="1021"/>
      <c r="CB151" s="1021"/>
      <c r="CC151" s="1021"/>
    </row>
    <row r="152" spans="8:81" x14ac:dyDescent="0.25">
      <c r="H152" s="1021"/>
      <c r="I152" s="1026"/>
      <c r="J152" s="1026"/>
      <c r="K152" s="1026"/>
      <c r="L152" s="1026"/>
      <c r="M152" s="1026"/>
      <c r="N152" s="1026"/>
      <c r="O152" s="1026"/>
      <c r="P152" s="1026"/>
      <c r="Q152" s="1026"/>
      <c r="R152" s="1026"/>
      <c r="S152" s="1026"/>
      <c r="T152" s="1026"/>
      <c r="U152" s="1026"/>
      <c r="V152" s="1026"/>
      <c r="W152" s="1026"/>
      <c r="X152" s="1026"/>
      <c r="Y152" s="1026"/>
      <c r="Z152" s="1026"/>
      <c r="AA152" s="1026"/>
      <c r="AB152" s="1026"/>
      <c r="AC152" s="1026"/>
      <c r="AD152" s="1026"/>
      <c r="AE152" s="1021"/>
      <c r="AF152" s="1021"/>
      <c r="AG152" s="1021"/>
      <c r="AH152" s="1021"/>
      <c r="AI152" s="1021"/>
      <c r="AJ152" s="1021"/>
      <c r="AK152" s="1021"/>
      <c r="AL152" s="1021"/>
      <c r="AM152" s="1021"/>
      <c r="AN152" s="1021"/>
      <c r="AO152" s="1021"/>
      <c r="AP152" s="1021"/>
      <c r="AQ152" s="1021"/>
      <c r="AR152" s="1021"/>
      <c r="AS152" s="1021"/>
      <c r="AT152" s="1021"/>
      <c r="AU152" s="1021"/>
      <c r="AV152" s="1021"/>
      <c r="AW152" s="1021"/>
      <c r="AX152" s="1021"/>
      <c r="AY152" s="1021"/>
      <c r="AZ152" s="1021"/>
      <c r="BA152" s="1021"/>
      <c r="BB152" s="1021"/>
      <c r="BC152" s="1021"/>
      <c r="BD152" s="1021"/>
      <c r="BE152" s="1021"/>
      <c r="BF152" s="1021"/>
      <c r="BG152" s="1021"/>
      <c r="BH152" s="1021"/>
      <c r="BI152" s="1021"/>
      <c r="BJ152" s="1021"/>
      <c r="BK152" s="1021"/>
      <c r="BL152" s="1021"/>
      <c r="BM152" s="1021"/>
      <c r="BN152" s="1021"/>
      <c r="BO152" s="1021"/>
      <c r="BP152" s="1021"/>
      <c r="BQ152" s="1021"/>
      <c r="BR152" s="1021"/>
      <c r="BS152" s="1021"/>
      <c r="BT152" s="1021"/>
      <c r="BU152" s="1021"/>
      <c r="BV152" s="1021"/>
      <c r="BW152" s="1021"/>
      <c r="BX152" s="1021"/>
      <c r="BY152" s="1021"/>
      <c r="BZ152" s="1021"/>
      <c r="CA152" s="1021"/>
      <c r="CB152" s="1021"/>
      <c r="CC152" s="1021"/>
    </row>
    <row r="153" spans="8:81" x14ac:dyDescent="0.25">
      <c r="H153" s="1021"/>
      <c r="I153" s="1026"/>
      <c r="J153" s="1026"/>
      <c r="K153" s="1026"/>
      <c r="L153" s="1026"/>
      <c r="M153" s="1026"/>
      <c r="N153" s="1026"/>
      <c r="O153" s="1026"/>
      <c r="P153" s="1026"/>
      <c r="Q153" s="1026"/>
      <c r="R153" s="1026"/>
      <c r="S153" s="1026"/>
      <c r="T153" s="1026"/>
      <c r="U153" s="1026"/>
      <c r="V153" s="1026"/>
      <c r="W153" s="1026"/>
      <c r="X153" s="1026"/>
      <c r="Y153" s="1026"/>
      <c r="Z153" s="1026"/>
      <c r="AA153" s="1026"/>
      <c r="AB153" s="1026"/>
      <c r="AC153" s="1026"/>
      <c r="AD153" s="1026"/>
      <c r="AE153" s="1021"/>
      <c r="AF153" s="1021"/>
      <c r="AG153" s="1021"/>
      <c r="AH153" s="1021"/>
      <c r="AI153" s="1021"/>
      <c r="AJ153" s="1021"/>
      <c r="AK153" s="1021"/>
      <c r="AL153" s="1021"/>
      <c r="AM153" s="1021"/>
      <c r="AN153" s="1021"/>
      <c r="AO153" s="1021"/>
      <c r="AP153" s="1021"/>
      <c r="AQ153" s="1021"/>
      <c r="AR153" s="1021"/>
      <c r="AS153" s="1021"/>
      <c r="AT153" s="1021"/>
      <c r="AU153" s="1021"/>
      <c r="AV153" s="1021"/>
      <c r="AW153" s="1021"/>
      <c r="AX153" s="1021"/>
      <c r="AY153" s="1021"/>
      <c r="AZ153" s="1021"/>
      <c r="BA153" s="1021"/>
      <c r="BB153" s="1021"/>
      <c r="BC153" s="1021"/>
      <c r="BD153" s="1021"/>
      <c r="BE153" s="1021"/>
      <c r="BF153" s="1021"/>
      <c r="BG153" s="1021"/>
      <c r="BH153" s="1021"/>
      <c r="BI153" s="1021"/>
      <c r="BJ153" s="1021"/>
      <c r="BK153" s="1021"/>
      <c r="BL153" s="1021"/>
      <c r="BM153" s="1021"/>
      <c r="BN153" s="1021"/>
      <c r="BO153" s="1021"/>
      <c r="BP153" s="1021"/>
      <c r="BQ153" s="1021"/>
      <c r="BR153" s="1021"/>
      <c r="BS153" s="1021"/>
      <c r="BT153" s="1021"/>
      <c r="BU153" s="1021"/>
      <c r="BV153" s="1021"/>
      <c r="BW153" s="1021"/>
      <c r="BX153" s="1021"/>
      <c r="BY153" s="1021"/>
      <c r="BZ153" s="1021"/>
      <c r="CA153" s="1021"/>
      <c r="CB153" s="1021"/>
      <c r="CC153" s="1021"/>
    </row>
    <row r="154" spans="8:81" x14ac:dyDescent="0.25">
      <c r="H154" s="1021"/>
      <c r="I154" s="1021"/>
      <c r="J154" s="1021"/>
      <c r="K154" s="1021"/>
      <c r="L154" s="1021"/>
      <c r="M154" s="1021"/>
      <c r="N154" s="1021"/>
      <c r="O154" s="1021"/>
      <c r="P154" s="1021"/>
      <c r="Q154" s="1021"/>
      <c r="R154" s="1021"/>
      <c r="S154" s="1021"/>
      <c r="T154" s="1021"/>
      <c r="U154" s="1021"/>
      <c r="V154" s="1021"/>
      <c r="W154" s="1021"/>
      <c r="X154" s="1021"/>
      <c r="Y154" s="1021"/>
      <c r="Z154" s="1021"/>
      <c r="AA154" s="1021"/>
      <c r="AB154" s="1021"/>
      <c r="AC154" s="1021"/>
      <c r="AD154" s="1021"/>
      <c r="AE154" s="1021"/>
      <c r="AF154" s="1021"/>
      <c r="AG154" s="1021"/>
      <c r="AH154" s="1021"/>
      <c r="AI154" s="1021"/>
      <c r="AJ154" s="1021"/>
      <c r="AK154" s="1021"/>
      <c r="AL154" s="1021"/>
      <c r="AM154" s="1021"/>
      <c r="AN154" s="1021"/>
      <c r="AO154" s="1021"/>
      <c r="AP154" s="1021"/>
      <c r="AQ154" s="1021"/>
      <c r="AR154" s="1021"/>
      <c r="AS154" s="1021"/>
      <c r="AT154" s="1021"/>
      <c r="AU154" s="1021"/>
      <c r="AV154" s="1021"/>
      <c r="AW154" s="1021"/>
      <c r="AX154" s="1021"/>
      <c r="AY154" s="1021"/>
      <c r="AZ154" s="1021"/>
      <c r="BA154" s="1021"/>
      <c r="BB154" s="1021"/>
      <c r="BC154" s="1021"/>
      <c r="BD154" s="1021"/>
      <c r="BE154" s="1021"/>
      <c r="BF154" s="1021"/>
      <c r="BG154" s="1021"/>
      <c r="BH154" s="1021"/>
      <c r="BI154" s="1021"/>
      <c r="BJ154" s="1021"/>
      <c r="BK154" s="1021"/>
      <c r="BL154" s="1021"/>
      <c r="BM154" s="1021"/>
      <c r="BN154" s="1021"/>
      <c r="BO154" s="1021"/>
      <c r="BP154" s="1021"/>
      <c r="BQ154" s="1021"/>
      <c r="BR154" s="1021"/>
      <c r="BS154" s="1021"/>
      <c r="BT154" s="1021"/>
      <c r="BU154" s="1021"/>
      <c r="BV154" s="1021"/>
      <c r="BW154" s="1021"/>
      <c r="BX154" s="1021"/>
      <c r="BY154" s="1021"/>
      <c r="BZ154" s="1021"/>
      <c r="CA154" s="1021"/>
      <c r="CB154" s="1021"/>
      <c r="CC154" s="1021"/>
    </row>
    <row r="155" spans="8:81" x14ac:dyDescent="0.25">
      <c r="H155" s="1021"/>
      <c r="I155" s="1021"/>
      <c r="J155" s="1021"/>
      <c r="K155" s="1021"/>
      <c r="L155" s="1021"/>
      <c r="M155" s="1021"/>
      <c r="N155" s="1021"/>
      <c r="O155" s="1021"/>
      <c r="P155" s="1021"/>
      <c r="Q155" s="1021"/>
      <c r="R155" s="1021"/>
      <c r="S155" s="1021"/>
      <c r="T155" s="1021"/>
      <c r="U155" s="1021"/>
      <c r="V155" s="1021"/>
      <c r="W155" s="1021"/>
      <c r="X155" s="1021"/>
      <c r="Y155" s="1021"/>
      <c r="Z155" s="1021"/>
      <c r="AA155" s="1021"/>
      <c r="AB155" s="1021"/>
      <c r="AC155" s="1021"/>
      <c r="AD155" s="1021"/>
      <c r="AE155" s="1021"/>
      <c r="AF155" s="1021"/>
      <c r="AG155" s="1021"/>
      <c r="AH155" s="1021"/>
      <c r="AI155" s="1021"/>
      <c r="AJ155" s="1021"/>
      <c r="AK155" s="1021"/>
      <c r="AL155" s="1021"/>
      <c r="AM155" s="1021"/>
      <c r="AN155" s="1021"/>
      <c r="AO155" s="1021"/>
      <c r="AP155" s="1021"/>
      <c r="AQ155" s="1021"/>
      <c r="AR155" s="1021"/>
      <c r="AS155" s="1021"/>
      <c r="AT155" s="1021"/>
      <c r="AU155" s="1021"/>
      <c r="AV155" s="1021"/>
      <c r="AW155" s="1021"/>
      <c r="AX155" s="1021"/>
      <c r="AY155" s="1021"/>
      <c r="AZ155" s="1021"/>
      <c r="BA155" s="1021"/>
      <c r="BB155" s="1021"/>
      <c r="BC155" s="1021"/>
      <c r="BD155" s="1021"/>
      <c r="BE155" s="1021"/>
      <c r="BF155" s="1021"/>
      <c r="BG155" s="1021"/>
      <c r="BH155" s="1021"/>
      <c r="BI155" s="1021"/>
      <c r="BJ155" s="1021"/>
      <c r="BK155" s="1021"/>
      <c r="BL155" s="1021"/>
      <c r="BM155" s="1021"/>
      <c r="BN155" s="1021"/>
      <c r="BO155" s="1021"/>
      <c r="BP155" s="1021"/>
      <c r="BQ155" s="1021"/>
      <c r="BR155" s="1021"/>
      <c r="BS155" s="1021"/>
      <c r="BT155" s="1021"/>
      <c r="BU155" s="1021"/>
      <c r="BV155" s="1021"/>
      <c r="BW155" s="1021"/>
      <c r="BX155" s="1021"/>
      <c r="BY155" s="1021"/>
      <c r="BZ155" s="1021"/>
      <c r="CA155" s="1021"/>
      <c r="CB155" s="1021"/>
      <c r="CC155" s="1021"/>
    </row>
    <row r="156" spans="8:81" x14ac:dyDescent="0.25">
      <c r="H156" s="1021"/>
      <c r="I156" s="1021"/>
      <c r="J156" s="1021"/>
      <c r="K156" s="1021"/>
      <c r="L156" s="1021"/>
      <c r="M156" s="1021"/>
      <c r="N156" s="1021"/>
      <c r="O156" s="1021"/>
      <c r="P156" s="1021"/>
      <c r="Q156" s="1021"/>
      <c r="R156" s="1021"/>
      <c r="S156" s="1021"/>
      <c r="T156" s="1021"/>
      <c r="U156" s="1021"/>
      <c r="V156" s="1021"/>
      <c r="W156" s="1021"/>
      <c r="X156" s="1021"/>
      <c r="Y156" s="1021"/>
      <c r="Z156" s="1021"/>
      <c r="AA156" s="1021"/>
      <c r="AB156" s="1021"/>
      <c r="AC156" s="1021"/>
      <c r="AD156" s="1021"/>
      <c r="AE156" s="1021"/>
      <c r="AF156" s="1021"/>
      <c r="AG156" s="1021"/>
      <c r="AH156" s="1021"/>
      <c r="AI156" s="1021"/>
      <c r="AJ156" s="1021"/>
      <c r="AK156" s="1021"/>
      <c r="AL156" s="1021"/>
      <c r="AM156" s="1021"/>
      <c r="AN156" s="1021"/>
      <c r="AO156" s="1021"/>
      <c r="AP156" s="1021"/>
      <c r="AQ156" s="1021"/>
      <c r="AR156" s="1021"/>
      <c r="AS156" s="1021"/>
      <c r="AT156" s="1021"/>
      <c r="AU156" s="1021"/>
      <c r="AV156" s="1021"/>
      <c r="AW156" s="1021"/>
      <c r="AX156" s="1021"/>
      <c r="AY156" s="1021"/>
      <c r="AZ156" s="1021"/>
      <c r="BA156" s="1021"/>
      <c r="BB156" s="1021"/>
      <c r="BC156" s="1021"/>
      <c r="BD156" s="1021"/>
      <c r="BE156" s="1021"/>
      <c r="BF156" s="1021"/>
      <c r="BG156" s="1021"/>
      <c r="BH156" s="1021"/>
      <c r="BI156" s="1021"/>
      <c r="BJ156" s="1021"/>
      <c r="BK156" s="1021"/>
      <c r="BL156" s="1021"/>
      <c r="BM156" s="1021"/>
      <c r="BN156" s="1021"/>
      <c r="BO156" s="1021"/>
      <c r="BP156" s="1021"/>
      <c r="BQ156" s="1021"/>
      <c r="BR156" s="1021"/>
      <c r="BS156" s="1021"/>
      <c r="BT156" s="1021"/>
      <c r="BU156" s="1021"/>
      <c r="BV156" s="1021"/>
      <c r="BW156" s="1021"/>
      <c r="BX156" s="1021"/>
      <c r="BY156" s="1021"/>
      <c r="BZ156" s="1021"/>
      <c r="CA156" s="1021"/>
      <c r="CB156" s="1021"/>
      <c r="CC156" s="1021"/>
    </row>
    <row r="157" spans="8:81" x14ac:dyDescent="0.25">
      <c r="H157" s="1021"/>
      <c r="I157" s="1021"/>
      <c r="J157" s="1021"/>
      <c r="K157" s="1021"/>
      <c r="L157" s="1021"/>
      <c r="M157" s="1021"/>
      <c r="N157" s="1021"/>
      <c r="O157" s="1021"/>
      <c r="P157" s="1021"/>
      <c r="Q157" s="1021"/>
      <c r="R157" s="1021"/>
      <c r="S157" s="1021"/>
      <c r="T157" s="1021"/>
      <c r="U157" s="1021"/>
      <c r="V157" s="1021"/>
      <c r="W157" s="1021"/>
      <c r="X157" s="1021"/>
      <c r="Y157" s="1021"/>
      <c r="Z157" s="1021"/>
      <c r="AA157" s="1021"/>
      <c r="AB157" s="1021"/>
      <c r="AC157" s="1021"/>
      <c r="AD157" s="1021"/>
      <c r="AE157" s="1021"/>
      <c r="AF157" s="1021"/>
      <c r="AG157" s="1021"/>
      <c r="AH157" s="1021"/>
      <c r="AI157" s="1021"/>
      <c r="AJ157" s="1021"/>
      <c r="AK157" s="1021"/>
      <c r="AL157" s="1021"/>
      <c r="AM157" s="1021"/>
      <c r="AN157" s="1021"/>
      <c r="AO157" s="1021"/>
      <c r="AP157" s="1021"/>
      <c r="AQ157" s="1021"/>
      <c r="AR157" s="1021"/>
      <c r="AS157" s="1021"/>
      <c r="AT157" s="1021"/>
      <c r="AU157" s="1021"/>
      <c r="AV157" s="1021"/>
      <c r="AW157" s="1021"/>
      <c r="AX157" s="1021"/>
      <c r="AY157" s="1021"/>
      <c r="AZ157" s="1021"/>
      <c r="BA157" s="1021"/>
      <c r="BB157" s="1021"/>
      <c r="BC157" s="1021"/>
      <c r="BD157" s="1021"/>
      <c r="BE157" s="1021"/>
      <c r="BF157" s="1021"/>
      <c r="BG157" s="1021"/>
      <c r="BH157" s="1021"/>
      <c r="BI157" s="1021"/>
      <c r="BJ157" s="1021"/>
      <c r="BK157" s="1021"/>
      <c r="BL157" s="1021"/>
      <c r="BM157" s="1021"/>
      <c r="BN157" s="1021"/>
      <c r="BO157" s="1021"/>
      <c r="BP157" s="1021"/>
      <c r="BQ157" s="1021"/>
      <c r="BR157" s="1021"/>
      <c r="BS157" s="1021"/>
      <c r="BT157" s="1021"/>
      <c r="BU157" s="1021"/>
      <c r="BV157" s="1021"/>
      <c r="BW157" s="1021"/>
      <c r="BX157" s="1021"/>
      <c r="BY157" s="1021"/>
      <c r="BZ157" s="1021"/>
      <c r="CA157" s="1021"/>
      <c r="CB157" s="1021"/>
      <c r="CC157" s="1021"/>
    </row>
    <row r="158" spans="8:81" x14ac:dyDescent="0.25">
      <c r="H158" s="1021"/>
      <c r="I158" s="1021"/>
      <c r="J158" s="1021"/>
      <c r="K158" s="1021"/>
      <c r="L158" s="1021"/>
      <c r="M158" s="1021"/>
      <c r="N158" s="1021"/>
      <c r="O158" s="1021"/>
      <c r="P158" s="1021"/>
      <c r="Q158" s="1021"/>
      <c r="R158" s="1021"/>
      <c r="S158" s="1021"/>
      <c r="T158" s="1021"/>
      <c r="U158" s="1021"/>
      <c r="V158" s="1021"/>
      <c r="W158" s="1021"/>
      <c r="X158" s="1021"/>
      <c r="Y158" s="1021"/>
      <c r="Z158" s="1021"/>
      <c r="AA158" s="1021"/>
      <c r="AB158" s="1021"/>
      <c r="AC158" s="1021"/>
      <c r="AD158" s="1021"/>
      <c r="AE158" s="1021"/>
      <c r="AF158" s="1021"/>
      <c r="AG158" s="1021"/>
      <c r="AH158" s="1021"/>
      <c r="AI158" s="1021"/>
      <c r="AJ158" s="1021"/>
      <c r="AK158" s="1021"/>
      <c r="AL158" s="1021"/>
      <c r="AM158" s="1021"/>
      <c r="AN158" s="1021"/>
      <c r="AO158" s="1021"/>
      <c r="AP158" s="1021"/>
      <c r="AQ158" s="1021"/>
      <c r="AR158" s="1021"/>
      <c r="AS158" s="1021"/>
      <c r="AT158" s="1021"/>
      <c r="AU158" s="1021"/>
      <c r="AV158" s="1021"/>
      <c r="AW158" s="1021"/>
      <c r="AX158" s="1021"/>
      <c r="AY158" s="1021"/>
      <c r="AZ158" s="1021"/>
      <c r="BA158" s="1021"/>
      <c r="BB158" s="1021"/>
      <c r="BC158" s="1021"/>
      <c r="BD158" s="1021"/>
      <c r="BE158" s="1021"/>
      <c r="BF158" s="1021"/>
      <c r="BG158" s="1021"/>
      <c r="BH158" s="1021"/>
      <c r="BI158" s="1021"/>
      <c r="BJ158" s="1021"/>
      <c r="BK158" s="1021"/>
      <c r="BL158" s="1021"/>
      <c r="BM158" s="1021"/>
      <c r="BN158" s="1021"/>
      <c r="BO158" s="1021"/>
      <c r="BP158" s="1021"/>
      <c r="BQ158" s="1021"/>
      <c r="BR158" s="1021"/>
      <c r="BS158" s="1021"/>
      <c r="BT158" s="1021"/>
      <c r="BU158" s="1021"/>
      <c r="BV158" s="1021"/>
      <c r="BW158" s="1021"/>
      <c r="BX158" s="1021"/>
      <c r="BY158" s="1021"/>
      <c r="BZ158" s="1021"/>
      <c r="CA158" s="1021"/>
      <c r="CB158" s="1021"/>
      <c r="CC158" s="1021"/>
    </row>
    <row r="159" spans="8:81" x14ac:dyDescent="0.25">
      <c r="H159" s="1021"/>
      <c r="I159" s="1021"/>
      <c r="J159" s="1021"/>
      <c r="K159" s="1021"/>
      <c r="L159" s="1021"/>
      <c r="M159" s="1021"/>
      <c r="N159" s="1021"/>
      <c r="O159" s="1021"/>
      <c r="P159" s="1021"/>
      <c r="Q159" s="1021"/>
      <c r="R159" s="1021"/>
      <c r="S159" s="1021"/>
      <c r="T159" s="1021"/>
      <c r="U159" s="1021"/>
      <c r="V159" s="1021"/>
      <c r="W159" s="1021"/>
      <c r="X159" s="1021"/>
      <c r="Y159" s="1021"/>
      <c r="Z159" s="1021"/>
      <c r="AA159" s="1021"/>
      <c r="AB159" s="1021"/>
      <c r="AC159" s="1021"/>
      <c r="AD159" s="1021"/>
      <c r="AE159" s="1021"/>
      <c r="AF159" s="1021"/>
      <c r="AG159" s="1021"/>
      <c r="AH159" s="1021"/>
      <c r="AI159" s="1021"/>
      <c r="AJ159" s="1021"/>
      <c r="AK159" s="1021"/>
      <c r="AL159" s="1021"/>
      <c r="AM159" s="1021"/>
      <c r="AN159" s="1021"/>
      <c r="AO159" s="1021"/>
      <c r="AP159" s="1021"/>
      <c r="AQ159" s="1021"/>
      <c r="AR159" s="1021"/>
      <c r="AS159" s="1021"/>
      <c r="AT159" s="1021"/>
      <c r="AU159" s="1021"/>
      <c r="AV159" s="1021"/>
      <c r="AW159" s="1021"/>
      <c r="AX159" s="1021"/>
      <c r="AY159" s="1021"/>
      <c r="AZ159" s="1021"/>
      <c r="BA159" s="1021"/>
      <c r="BB159" s="1021"/>
      <c r="BC159" s="1021"/>
      <c r="BD159" s="1021"/>
      <c r="BE159" s="1021"/>
      <c r="BF159" s="1021"/>
      <c r="BG159" s="1021"/>
      <c r="BH159" s="1021"/>
      <c r="BI159" s="1021"/>
      <c r="BJ159" s="1021"/>
      <c r="BK159" s="1021"/>
      <c r="BL159" s="1021"/>
      <c r="BM159" s="1021"/>
      <c r="BN159" s="1021"/>
      <c r="BO159" s="1021"/>
      <c r="BP159" s="1021"/>
      <c r="BQ159" s="1021"/>
      <c r="BR159" s="1021"/>
      <c r="BS159" s="1021"/>
      <c r="BT159" s="1021"/>
      <c r="BU159" s="1021"/>
      <c r="BV159" s="1021"/>
      <c r="BW159" s="1021"/>
      <c r="BX159" s="1021"/>
      <c r="BY159" s="1021"/>
      <c r="BZ159" s="1021"/>
      <c r="CA159" s="1021"/>
      <c r="CB159" s="1021"/>
      <c r="CC159" s="1021"/>
    </row>
    <row r="160" spans="8:81" x14ac:dyDescent="0.25">
      <c r="H160" s="1021"/>
      <c r="I160" s="1021"/>
      <c r="J160" s="1021"/>
      <c r="K160" s="1021"/>
      <c r="L160" s="1021"/>
      <c r="M160" s="1021"/>
      <c r="N160" s="1021"/>
      <c r="O160" s="1021"/>
      <c r="P160" s="1021"/>
      <c r="Q160" s="1021"/>
      <c r="R160" s="1021"/>
      <c r="S160" s="1021"/>
      <c r="T160" s="1021"/>
      <c r="U160" s="1021"/>
      <c r="V160" s="1021"/>
      <c r="W160" s="1021"/>
      <c r="X160" s="1021"/>
      <c r="Y160" s="1021"/>
      <c r="Z160" s="1021"/>
      <c r="AA160" s="1021"/>
      <c r="AB160" s="1021"/>
      <c r="AC160" s="1021"/>
      <c r="AD160" s="1021"/>
      <c r="AE160" s="1021"/>
      <c r="AF160" s="1021"/>
      <c r="AG160" s="1021"/>
      <c r="AH160" s="1021"/>
      <c r="AI160" s="1021"/>
      <c r="AJ160" s="1021"/>
      <c r="AK160" s="1021"/>
      <c r="AL160" s="1021"/>
      <c r="AM160" s="1021"/>
      <c r="AN160" s="1021"/>
      <c r="AO160" s="1021"/>
      <c r="AP160" s="1021"/>
      <c r="AQ160" s="1021"/>
      <c r="AR160" s="1021"/>
      <c r="AS160" s="1021"/>
      <c r="AT160" s="1021"/>
      <c r="AU160" s="1021"/>
      <c r="AV160" s="1021"/>
      <c r="AW160" s="1021"/>
      <c r="AX160" s="1021"/>
      <c r="AY160" s="1021"/>
      <c r="AZ160" s="1021"/>
      <c r="BA160" s="1021"/>
      <c r="BB160" s="1021"/>
      <c r="BC160" s="1021"/>
      <c r="BD160" s="1021"/>
      <c r="BE160" s="1021"/>
      <c r="BF160" s="1021"/>
      <c r="BG160" s="1021"/>
      <c r="BH160" s="1021"/>
      <c r="BI160" s="1021"/>
      <c r="BJ160" s="1021"/>
      <c r="BK160" s="1021"/>
      <c r="BL160" s="1021"/>
      <c r="BM160" s="1021"/>
      <c r="BN160" s="1021"/>
      <c r="BO160" s="1021"/>
      <c r="BP160" s="1021"/>
      <c r="BQ160" s="1021"/>
      <c r="BR160" s="1021"/>
      <c r="BS160" s="1021"/>
      <c r="BT160" s="1021"/>
      <c r="BU160" s="1021"/>
      <c r="BV160" s="1021"/>
      <c r="BW160" s="1021"/>
      <c r="BX160" s="1021"/>
      <c r="BY160" s="1021"/>
      <c r="BZ160" s="1021"/>
      <c r="CA160" s="1021"/>
      <c r="CB160" s="1021"/>
      <c r="CC160" s="1021"/>
    </row>
    <row r="161" spans="8:81" x14ac:dyDescent="0.25">
      <c r="H161" s="1021"/>
      <c r="I161" s="1021"/>
      <c r="J161" s="1021"/>
      <c r="K161" s="1021"/>
      <c r="L161" s="1021"/>
      <c r="M161" s="1021"/>
      <c r="N161" s="1021"/>
      <c r="O161" s="1021"/>
      <c r="P161" s="1021"/>
      <c r="Q161" s="1021"/>
      <c r="R161" s="1021"/>
      <c r="S161" s="1021"/>
      <c r="T161" s="1021"/>
      <c r="U161" s="1021"/>
      <c r="V161" s="1021"/>
      <c r="W161" s="1021"/>
      <c r="X161" s="1021"/>
      <c r="Y161" s="1021"/>
      <c r="Z161" s="1021"/>
      <c r="AA161" s="1021"/>
      <c r="AB161" s="1021"/>
      <c r="AC161" s="1021"/>
      <c r="AD161" s="1021"/>
      <c r="AE161" s="1021"/>
      <c r="AF161" s="1021"/>
      <c r="AG161" s="1021"/>
      <c r="AH161" s="1021"/>
      <c r="AI161" s="1021"/>
      <c r="AJ161" s="1021"/>
      <c r="AK161" s="1021"/>
      <c r="AL161" s="1021"/>
      <c r="AM161" s="1021"/>
      <c r="AN161" s="1021"/>
      <c r="AO161" s="1021"/>
      <c r="AP161" s="1021"/>
      <c r="AQ161" s="1021"/>
      <c r="AR161" s="1021"/>
      <c r="AS161" s="1021"/>
      <c r="AT161" s="1021"/>
      <c r="AU161" s="1021"/>
      <c r="AV161" s="1021"/>
      <c r="AW161" s="1021"/>
      <c r="AX161" s="1021"/>
      <c r="AY161" s="1021"/>
      <c r="AZ161" s="1021"/>
      <c r="BA161" s="1021"/>
      <c r="BB161" s="1021"/>
      <c r="BC161" s="1021"/>
      <c r="BD161" s="1021"/>
      <c r="BE161" s="1021"/>
      <c r="BF161" s="1021"/>
      <c r="BG161" s="1021"/>
      <c r="BH161" s="1021"/>
      <c r="BI161" s="1021"/>
      <c r="BJ161" s="1021"/>
      <c r="BK161" s="1021"/>
      <c r="BL161" s="1021"/>
      <c r="BM161" s="1021"/>
      <c r="BN161" s="1021"/>
      <c r="BO161" s="1021"/>
      <c r="BP161" s="1021"/>
      <c r="BQ161" s="1021"/>
      <c r="BR161" s="1021"/>
      <c r="BS161" s="1021"/>
      <c r="BT161" s="1021"/>
      <c r="BU161" s="1021"/>
      <c r="BV161" s="1021"/>
      <c r="BW161" s="1021"/>
      <c r="BX161" s="1021"/>
      <c r="BY161" s="1021"/>
      <c r="BZ161" s="1021"/>
      <c r="CA161" s="1021"/>
      <c r="CB161" s="1021"/>
      <c r="CC161" s="1021"/>
    </row>
    <row r="162" spans="8:81" x14ac:dyDescent="0.25">
      <c r="H162" s="1021"/>
      <c r="I162" s="1021"/>
      <c r="J162" s="1021"/>
      <c r="K162" s="1021"/>
      <c r="L162" s="1021"/>
      <c r="M162" s="1021"/>
      <c r="N162" s="1021"/>
      <c r="O162" s="1021"/>
      <c r="P162" s="1021"/>
      <c r="Q162" s="1021"/>
      <c r="R162" s="1021"/>
      <c r="S162" s="1021"/>
      <c r="T162" s="1021"/>
      <c r="U162" s="1021"/>
      <c r="V162" s="1021"/>
      <c r="W162" s="1021"/>
      <c r="X162" s="1021"/>
      <c r="Y162" s="1021"/>
      <c r="Z162" s="1021"/>
      <c r="AA162" s="1021"/>
      <c r="AB162" s="1021"/>
      <c r="AC162" s="1021"/>
      <c r="AD162" s="1021"/>
      <c r="AE162" s="1021"/>
      <c r="AF162" s="1021"/>
      <c r="AG162" s="1021"/>
      <c r="AH162" s="1021"/>
      <c r="AI162" s="1021"/>
      <c r="AJ162" s="1021"/>
      <c r="AK162" s="1021"/>
      <c r="AL162" s="1021"/>
      <c r="AM162" s="1021"/>
      <c r="AN162" s="1021"/>
      <c r="AO162" s="1021"/>
      <c r="AP162" s="1021"/>
      <c r="AQ162" s="1021"/>
      <c r="AR162" s="1021"/>
      <c r="AS162" s="1021"/>
      <c r="AT162" s="1021"/>
      <c r="AU162" s="1021"/>
      <c r="AV162" s="1021"/>
      <c r="AW162" s="1021"/>
      <c r="AX162" s="1021"/>
      <c r="AY162" s="1021"/>
      <c r="AZ162" s="1021"/>
      <c r="BA162" s="1021"/>
      <c r="BB162" s="1021"/>
      <c r="BC162" s="1021"/>
      <c r="BD162" s="1021"/>
      <c r="BE162" s="1021"/>
      <c r="BF162" s="1021"/>
      <c r="BG162" s="1021"/>
      <c r="BH162" s="1021"/>
      <c r="BI162" s="1021"/>
      <c r="BJ162" s="1021"/>
      <c r="BK162" s="1021"/>
      <c r="BL162" s="1021"/>
      <c r="BM162" s="1021"/>
      <c r="BN162" s="1021"/>
      <c r="BO162" s="1021"/>
      <c r="BP162" s="1021"/>
      <c r="BQ162" s="1021"/>
      <c r="BR162" s="1021"/>
      <c r="BS162" s="1021"/>
      <c r="BT162" s="1021"/>
      <c r="BU162" s="1021"/>
      <c r="BV162" s="1021"/>
      <c r="BW162" s="1021"/>
      <c r="BX162" s="1021"/>
      <c r="BY162" s="1021"/>
      <c r="BZ162" s="1021"/>
      <c r="CA162" s="1021"/>
      <c r="CB162" s="1021"/>
      <c r="CC162" s="1021"/>
    </row>
    <row r="163" spans="8:81" x14ac:dyDescent="0.25">
      <c r="H163" s="1021"/>
      <c r="I163" s="1021"/>
      <c r="J163" s="1021"/>
      <c r="K163" s="1021"/>
      <c r="L163" s="1021"/>
      <c r="M163" s="1021"/>
      <c r="N163" s="1021"/>
      <c r="O163" s="1021"/>
      <c r="P163" s="1021"/>
      <c r="Q163" s="1021"/>
      <c r="R163" s="1021"/>
      <c r="S163" s="1021"/>
      <c r="T163" s="1021"/>
      <c r="U163" s="1021"/>
      <c r="V163" s="1021"/>
      <c r="W163" s="1021"/>
      <c r="X163" s="1021"/>
      <c r="Y163" s="1021"/>
      <c r="Z163" s="1021"/>
      <c r="AA163" s="1021"/>
      <c r="AB163" s="1021"/>
      <c r="AC163" s="1021"/>
      <c r="AD163" s="1021"/>
      <c r="AE163" s="1021"/>
      <c r="AF163" s="1021"/>
      <c r="AG163" s="1021"/>
      <c r="AH163" s="1021"/>
      <c r="AI163" s="1021"/>
      <c r="AJ163" s="1021"/>
      <c r="AK163" s="1021"/>
      <c r="AL163" s="1021"/>
      <c r="AM163" s="1021"/>
      <c r="AN163" s="1021"/>
      <c r="AO163" s="1021"/>
      <c r="AP163" s="1021"/>
      <c r="AQ163" s="1021"/>
      <c r="AR163" s="1021"/>
      <c r="AS163" s="1021"/>
      <c r="AT163" s="1021"/>
      <c r="AU163" s="1021"/>
      <c r="AV163" s="1021"/>
      <c r="AW163" s="1021"/>
      <c r="AX163" s="1021"/>
      <c r="AY163" s="1021"/>
      <c r="AZ163" s="1021"/>
      <c r="BA163" s="1021"/>
      <c r="BB163" s="1021"/>
      <c r="BC163" s="1021"/>
      <c r="BD163" s="1021"/>
      <c r="BE163" s="1021"/>
      <c r="BF163" s="1021"/>
      <c r="BG163" s="1021"/>
      <c r="BH163" s="1021"/>
      <c r="BI163" s="1021"/>
      <c r="BJ163" s="1021"/>
      <c r="BK163" s="1021"/>
      <c r="BL163" s="1021"/>
      <c r="BM163" s="1021"/>
      <c r="BN163" s="1021"/>
      <c r="BO163" s="1021"/>
      <c r="BP163" s="1021"/>
      <c r="BQ163" s="1021"/>
      <c r="BR163" s="1021"/>
      <c r="BS163" s="1021"/>
      <c r="BT163" s="1021"/>
      <c r="BU163" s="1021"/>
      <c r="BV163" s="1021"/>
      <c r="BW163" s="1021"/>
      <c r="BX163" s="1021"/>
      <c r="BY163" s="1021"/>
      <c r="BZ163" s="1021"/>
      <c r="CA163" s="1021"/>
      <c r="CB163" s="1021"/>
      <c r="CC163" s="1021"/>
    </row>
    <row r="164" spans="8:81" x14ac:dyDescent="0.25">
      <c r="H164" s="1021"/>
      <c r="I164" s="1021"/>
      <c r="J164" s="1021"/>
      <c r="K164" s="1021"/>
      <c r="L164" s="1021"/>
      <c r="M164" s="1021"/>
      <c r="N164" s="1021"/>
      <c r="O164" s="1021"/>
      <c r="P164" s="1021"/>
      <c r="Q164" s="1021"/>
      <c r="R164" s="1021"/>
      <c r="S164" s="1021"/>
      <c r="T164" s="1021"/>
      <c r="U164" s="1021"/>
      <c r="V164" s="1021"/>
      <c r="W164" s="1021"/>
      <c r="X164" s="1021"/>
      <c r="Y164" s="1021"/>
      <c r="Z164" s="1021"/>
      <c r="AA164" s="1021"/>
      <c r="AB164" s="1021"/>
      <c r="AC164" s="1021"/>
      <c r="AD164" s="1021"/>
      <c r="AE164" s="1021"/>
      <c r="AF164" s="1021"/>
      <c r="AG164" s="1021"/>
      <c r="AH164" s="1021"/>
      <c r="AI164" s="1021"/>
      <c r="AJ164" s="1021"/>
      <c r="AK164" s="1021"/>
      <c r="AL164" s="1021"/>
      <c r="AM164" s="1021"/>
      <c r="AN164" s="1021"/>
      <c r="AO164" s="1021"/>
      <c r="AP164" s="1021"/>
      <c r="AQ164" s="1021"/>
      <c r="AR164" s="1021"/>
      <c r="AS164" s="1021"/>
      <c r="AT164" s="1021"/>
      <c r="AU164" s="1021"/>
      <c r="AV164" s="1021"/>
      <c r="AW164" s="1021"/>
      <c r="AX164" s="1021"/>
      <c r="AY164" s="1021"/>
      <c r="AZ164" s="1021"/>
      <c r="BA164" s="1021"/>
      <c r="BB164" s="1021"/>
      <c r="BC164" s="1021"/>
      <c r="BD164" s="1021"/>
      <c r="BE164" s="1021"/>
      <c r="BF164" s="1021"/>
      <c r="BG164" s="1021"/>
      <c r="BH164" s="1021"/>
      <c r="BI164" s="1021"/>
      <c r="BJ164" s="1021"/>
      <c r="BK164" s="1021"/>
      <c r="BL164" s="1021"/>
      <c r="BM164" s="1021"/>
      <c r="BN164" s="1021"/>
      <c r="BO164" s="1021"/>
      <c r="BP164" s="1021"/>
      <c r="BQ164" s="1021"/>
      <c r="BR164" s="1021"/>
      <c r="BS164" s="1021"/>
      <c r="BT164" s="1021"/>
      <c r="BU164" s="1021"/>
      <c r="BV164" s="1021"/>
      <c r="BW164" s="1021"/>
      <c r="BX164" s="1021"/>
      <c r="BY164" s="1021"/>
      <c r="BZ164" s="1021"/>
      <c r="CA164" s="1021"/>
      <c r="CB164" s="1021"/>
      <c r="CC164" s="1021"/>
    </row>
    <row r="165" spans="8:81" x14ac:dyDescent="0.25">
      <c r="H165" s="1021"/>
      <c r="I165" s="1021"/>
      <c r="J165" s="1021"/>
      <c r="K165" s="1021"/>
      <c r="L165" s="1021"/>
      <c r="M165" s="1021"/>
      <c r="N165" s="1021"/>
      <c r="O165" s="1021"/>
      <c r="P165" s="1021"/>
      <c r="Q165" s="1021"/>
      <c r="R165" s="1021"/>
      <c r="S165" s="1021"/>
      <c r="T165" s="1021"/>
      <c r="U165" s="1021"/>
      <c r="V165" s="1021"/>
      <c r="W165" s="1021"/>
      <c r="X165" s="1021"/>
      <c r="Y165" s="1021"/>
      <c r="Z165" s="1021"/>
      <c r="AA165" s="1021"/>
      <c r="AB165" s="1021"/>
      <c r="AC165" s="1021"/>
      <c r="AD165" s="1021"/>
      <c r="AE165" s="1021"/>
      <c r="AF165" s="1021"/>
      <c r="AG165" s="1021"/>
      <c r="AH165" s="1021"/>
      <c r="AI165" s="1021"/>
      <c r="AJ165" s="1021"/>
      <c r="AK165" s="1021"/>
      <c r="AL165" s="1021"/>
      <c r="AM165" s="1021"/>
      <c r="AN165" s="1021"/>
      <c r="AO165" s="1021"/>
      <c r="AP165" s="1021"/>
      <c r="AQ165" s="1021"/>
      <c r="AR165" s="1021"/>
      <c r="AS165" s="1021"/>
      <c r="AT165" s="1021"/>
      <c r="AU165" s="1021"/>
      <c r="AV165" s="1021"/>
      <c r="AW165" s="1021"/>
      <c r="AX165" s="1021"/>
      <c r="AY165" s="1021"/>
      <c r="AZ165" s="1021"/>
      <c r="BA165" s="1021"/>
      <c r="BB165" s="1021"/>
      <c r="BC165" s="1021"/>
      <c r="BD165" s="1021"/>
      <c r="BE165" s="1021"/>
      <c r="BF165" s="1021"/>
      <c r="BG165" s="1021"/>
      <c r="BH165" s="1021"/>
      <c r="BI165" s="1021"/>
      <c r="BJ165" s="1021"/>
      <c r="BK165" s="1021"/>
      <c r="BL165" s="1021"/>
      <c r="BM165" s="1021"/>
      <c r="BN165" s="1021"/>
      <c r="BO165" s="1021"/>
      <c r="BP165" s="1021"/>
      <c r="BQ165" s="1021"/>
      <c r="BR165" s="1021"/>
      <c r="BS165" s="1021"/>
      <c r="BT165" s="1021"/>
      <c r="BU165" s="1021"/>
      <c r="BV165" s="1021"/>
      <c r="BW165" s="1021"/>
      <c r="BX165" s="1021"/>
      <c r="BY165" s="1021"/>
      <c r="BZ165" s="1021"/>
      <c r="CA165" s="1021"/>
      <c r="CB165" s="1021"/>
      <c r="CC165" s="1021"/>
    </row>
    <row r="166" spans="8:81" x14ac:dyDescent="0.25">
      <c r="H166" s="1021"/>
      <c r="I166" s="1021"/>
      <c r="J166" s="1021"/>
      <c r="K166" s="1021"/>
      <c r="L166" s="1021"/>
      <c r="M166" s="1021"/>
      <c r="N166" s="1021"/>
      <c r="O166" s="1021"/>
      <c r="P166" s="1021"/>
      <c r="Q166" s="1021"/>
      <c r="R166" s="1021"/>
      <c r="S166" s="1021"/>
      <c r="T166" s="1021"/>
      <c r="U166" s="1021"/>
      <c r="V166" s="1021"/>
      <c r="W166" s="1021"/>
      <c r="X166" s="1021"/>
      <c r="Y166" s="1021"/>
      <c r="Z166" s="1021"/>
      <c r="AA166" s="1021"/>
      <c r="AB166" s="1021"/>
      <c r="AC166" s="1021"/>
      <c r="AD166" s="1021"/>
      <c r="AE166" s="1021"/>
      <c r="AF166" s="1021"/>
      <c r="AG166" s="1021"/>
      <c r="AH166" s="1021"/>
      <c r="AI166" s="1021"/>
      <c r="AJ166" s="1021"/>
      <c r="AK166" s="1021"/>
      <c r="AL166" s="1021"/>
      <c r="AM166" s="1021"/>
      <c r="AN166" s="1021"/>
      <c r="AO166" s="1021"/>
      <c r="AP166" s="1021"/>
      <c r="AQ166" s="1021"/>
      <c r="AR166" s="1021"/>
      <c r="AS166" s="1021"/>
      <c r="AT166" s="1021"/>
      <c r="AU166" s="1021"/>
      <c r="AV166" s="1021"/>
      <c r="AW166" s="1021"/>
      <c r="AX166" s="1021"/>
      <c r="AY166" s="1021"/>
      <c r="AZ166" s="1021"/>
      <c r="BA166" s="1021"/>
      <c r="BB166" s="1021"/>
      <c r="BC166" s="1021"/>
      <c r="BD166" s="1021"/>
      <c r="BE166" s="1021"/>
      <c r="BF166" s="1021"/>
      <c r="BG166" s="1021"/>
      <c r="BH166" s="1021"/>
      <c r="BI166" s="1021"/>
      <c r="BJ166" s="1021"/>
      <c r="BK166" s="1021"/>
      <c r="BL166" s="1021"/>
      <c r="BM166" s="1021"/>
      <c r="BN166" s="1021"/>
      <c r="BO166" s="1021"/>
      <c r="BP166" s="1021"/>
      <c r="BQ166" s="1021"/>
      <c r="BR166" s="1021"/>
      <c r="BS166" s="1021"/>
      <c r="BT166" s="1021"/>
      <c r="BU166" s="1021"/>
      <c r="BV166" s="1021"/>
      <c r="BW166" s="1021"/>
      <c r="BX166" s="1021"/>
      <c r="BY166" s="1021"/>
      <c r="BZ166" s="1021"/>
      <c r="CA166" s="1021"/>
      <c r="CB166" s="1021"/>
      <c r="CC166" s="1021"/>
    </row>
    <row r="167" spans="8:81" x14ac:dyDescent="0.25">
      <c r="H167" s="1021"/>
      <c r="I167" s="1021"/>
      <c r="J167" s="1021"/>
      <c r="K167" s="1021"/>
      <c r="L167" s="1021"/>
      <c r="M167" s="1021"/>
      <c r="N167" s="1021"/>
      <c r="O167" s="1021"/>
      <c r="P167" s="1021"/>
      <c r="Q167" s="1021"/>
      <c r="R167" s="1021"/>
      <c r="S167" s="1021"/>
      <c r="T167" s="1021"/>
      <c r="U167" s="1021"/>
      <c r="V167" s="1021"/>
      <c r="W167" s="1021"/>
      <c r="X167" s="1021"/>
      <c r="Y167" s="1021"/>
      <c r="Z167" s="1021"/>
      <c r="AA167" s="1021"/>
      <c r="AB167" s="1021"/>
      <c r="AC167" s="1021"/>
      <c r="AD167" s="1021"/>
      <c r="AE167" s="1021"/>
      <c r="AF167" s="1021"/>
      <c r="AG167" s="1021"/>
      <c r="AH167" s="1021"/>
      <c r="AI167" s="1021"/>
      <c r="AJ167" s="1021"/>
      <c r="AK167" s="1021"/>
      <c r="AL167" s="1021"/>
      <c r="AM167" s="1021"/>
      <c r="AN167" s="1021"/>
      <c r="AO167" s="1021"/>
      <c r="AP167" s="1021"/>
      <c r="AQ167" s="1021"/>
      <c r="AR167" s="1021"/>
      <c r="AS167" s="1021"/>
      <c r="AT167" s="1021"/>
      <c r="AU167" s="1021"/>
      <c r="AV167" s="1021"/>
      <c r="AW167" s="1021"/>
      <c r="AX167" s="1021"/>
      <c r="AY167" s="1021"/>
      <c r="AZ167" s="1021"/>
      <c r="BA167" s="1021"/>
      <c r="BB167" s="1021"/>
      <c r="BC167" s="1021"/>
      <c r="BD167" s="1021"/>
      <c r="BE167" s="1021"/>
      <c r="BF167" s="1021"/>
      <c r="BG167" s="1021"/>
      <c r="BH167" s="1021"/>
      <c r="BI167" s="1021"/>
      <c r="BJ167" s="1021"/>
      <c r="BK167" s="1021"/>
      <c r="BL167" s="1021"/>
      <c r="BM167" s="1021"/>
      <c r="BN167" s="1021"/>
      <c r="BO167" s="1021"/>
      <c r="BP167" s="1021"/>
      <c r="BQ167" s="1021"/>
      <c r="BR167" s="1021"/>
      <c r="BS167" s="1021"/>
      <c r="BT167" s="1021"/>
      <c r="BU167" s="1021"/>
      <c r="BV167" s="1021"/>
      <c r="BW167" s="1021"/>
      <c r="BX167" s="1021"/>
      <c r="BY167" s="1021"/>
      <c r="BZ167" s="1021"/>
      <c r="CA167" s="1021"/>
      <c r="CB167" s="1021"/>
      <c r="CC167" s="1021"/>
    </row>
    <row r="168" spans="8:81" x14ac:dyDescent="0.25">
      <c r="H168" s="1021"/>
      <c r="I168" s="1021"/>
      <c r="J168" s="1021"/>
      <c r="K168" s="1021"/>
      <c r="L168" s="1021"/>
      <c r="M168" s="1021"/>
      <c r="N168" s="1021"/>
      <c r="O168" s="1021"/>
      <c r="P168" s="1021"/>
      <c r="Q168" s="1021"/>
      <c r="R168" s="1021"/>
      <c r="S168" s="1021"/>
      <c r="T168" s="1021"/>
      <c r="U168" s="1021"/>
      <c r="V168" s="1021"/>
      <c r="W168" s="1021"/>
      <c r="X168" s="1021"/>
      <c r="Y168" s="1021"/>
      <c r="Z168" s="1021"/>
      <c r="AA168" s="1021"/>
      <c r="AB168" s="1021"/>
      <c r="AC168" s="1021"/>
      <c r="AD168" s="1021"/>
      <c r="AE168" s="1021"/>
      <c r="AF168" s="1021"/>
      <c r="AG168" s="1021"/>
      <c r="AH168" s="1021"/>
      <c r="AI168" s="1021"/>
      <c r="AJ168" s="1021"/>
      <c r="AK168" s="1021"/>
      <c r="AL168" s="1021"/>
      <c r="AM168" s="1021"/>
      <c r="AN168" s="1021"/>
      <c r="AO168" s="1021"/>
      <c r="AP168" s="1021"/>
      <c r="AQ168" s="1021"/>
      <c r="AR168" s="1021"/>
      <c r="AS168" s="1021"/>
      <c r="AT168" s="1021"/>
      <c r="AU168" s="1021"/>
      <c r="AV168" s="1021"/>
      <c r="AW168" s="1021"/>
      <c r="AX168" s="1021"/>
      <c r="AY168" s="1021"/>
      <c r="AZ168" s="1021"/>
      <c r="BA168" s="1021"/>
      <c r="BB168" s="1021"/>
      <c r="BC168" s="1021"/>
      <c r="BD168" s="1021"/>
      <c r="BE168" s="1021"/>
      <c r="BF168" s="1021"/>
      <c r="BG168" s="1021"/>
      <c r="BH168" s="1021"/>
      <c r="BI168" s="1021"/>
      <c r="BJ168" s="1021"/>
      <c r="BK168" s="1021"/>
      <c r="BL168" s="1021"/>
      <c r="BM168" s="1021"/>
      <c r="BN168" s="1021"/>
      <c r="BO168" s="1021"/>
      <c r="BP168" s="1021"/>
      <c r="BQ168" s="1021"/>
      <c r="BR168" s="1021"/>
      <c r="BS168" s="1021"/>
      <c r="BT168" s="1021"/>
      <c r="BU168" s="1021"/>
      <c r="BV168" s="1021"/>
      <c r="BW168" s="1021"/>
      <c r="BX168" s="1021"/>
      <c r="BY168" s="1021"/>
      <c r="BZ168" s="1021"/>
      <c r="CA168" s="1021"/>
      <c r="CB168" s="1021"/>
      <c r="CC168" s="1021"/>
    </row>
    <row r="169" spans="8:81" x14ac:dyDescent="0.25">
      <c r="H169" s="1021"/>
      <c r="I169" s="1021"/>
      <c r="J169" s="1021"/>
      <c r="K169" s="1021"/>
      <c r="L169" s="1021"/>
      <c r="M169" s="1021"/>
      <c r="N169" s="1021"/>
      <c r="O169" s="1021"/>
      <c r="P169" s="1021"/>
      <c r="Q169" s="1021"/>
      <c r="R169" s="1021"/>
      <c r="S169" s="1021"/>
      <c r="T169" s="1021"/>
      <c r="U169" s="1021"/>
      <c r="V169" s="1021"/>
      <c r="W169" s="1021"/>
      <c r="X169" s="1021"/>
      <c r="Y169" s="1021"/>
      <c r="Z169" s="1021"/>
      <c r="AA169" s="1021"/>
      <c r="AB169" s="1021"/>
      <c r="AC169" s="1021"/>
      <c r="AD169" s="1021"/>
      <c r="AE169" s="1021"/>
      <c r="AF169" s="1021"/>
      <c r="AG169" s="1021"/>
      <c r="AH169" s="1021"/>
      <c r="AI169" s="1021"/>
      <c r="AJ169" s="1021"/>
      <c r="AK169" s="1021"/>
      <c r="AL169" s="1021"/>
      <c r="AM169" s="1021"/>
      <c r="AN169" s="1021"/>
      <c r="AO169" s="1021"/>
      <c r="AP169" s="1021"/>
      <c r="AQ169" s="1021"/>
      <c r="AR169" s="1021"/>
      <c r="AS169" s="1021"/>
      <c r="AT169" s="1021"/>
      <c r="AU169" s="1021"/>
      <c r="AV169" s="1021"/>
      <c r="AW169" s="1021"/>
      <c r="AX169" s="1021"/>
      <c r="AY169" s="1021"/>
      <c r="AZ169" s="1021"/>
      <c r="BA169" s="1021"/>
      <c r="BB169" s="1021"/>
      <c r="BC169" s="1021"/>
      <c r="BD169" s="1021"/>
      <c r="BE169" s="1021"/>
      <c r="BF169" s="1021"/>
      <c r="BG169" s="1021"/>
      <c r="BH169" s="1021"/>
      <c r="BI169" s="1021"/>
      <c r="BJ169" s="1021"/>
      <c r="BK169" s="1021"/>
      <c r="BL169" s="1021"/>
      <c r="BM169" s="1021"/>
      <c r="BN169" s="1021"/>
      <c r="BO169" s="1021"/>
      <c r="BP169" s="1021"/>
      <c r="BQ169" s="1021"/>
      <c r="BR169" s="1021"/>
      <c r="BS169" s="1021"/>
      <c r="BT169" s="1021"/>
      <c r="BU169" s="1021"/>
      <c r="BV169" s="1021"/>
      <c r="BW169" s="1021"/>
      <c r="BX169" s="1021"/>
      <c r="BY169" s="1021"/>
      <c r="BZ169" s="1021"/>
      <c r="CA169" s="1021"/>
      <c r="CB169" s="1021"/>
      <c r="CC169" s="1021"/>
    </row>
    <row r="170" spans="8:81" x14ac:dyDescent="0.25">
      <c r="H170" s="1021"/>
      <c r="I170" s="1021"/>
      <c r="J170" s="1021"/>
      <c r="K170" s="1021"/>
      <c r="L170" s="1021"/>
      <c r="M170" s="1021"/>
      <c r="N170" s="1021"/>
      <c r="O170" s="1021"/>
      <c r="P170" s="1021"/>
      <c r="Q170" s="1021"/>
      <c r="R170" s="1021"/>
      <c r="S170" s="1021"/>
      <c r="T170" s="1021"/>
      <c r="U170" s="1021"/>
      <c r="V170" s="1021"/>
      <c r="W170" s="1021"/>
      <c r="X170" s="1021"/>
      <c r="Y170" s="1021"/>
      <c r="Z170" s="1021"/>
      <c r="AA170" s="1021"/>
      <c r="AB170" s="1021"/>
      <c r="AC170" s="1021"/>
      <c r="AD170" s="1021"/>
      <c r="AE170" s="1021"/>
      <c r="AF170" s="1021"/>
      <c r="AG170" s="1021"/>
      <c r="AH170" s="1021"/>
      <c r="AI170" s="1021"/>
      <c r="AJ170" s="1021"/>
      <c r="AK170" s="1021"/>
      <c r="AL170" s="1021"/>
      <c r="AM170" s="1021"/>
      <c r="AN170" s="1021"/>
      <c r="AO170" s="1021"/>
      <c r="AP170" s="1021"/>
      <c r="AQ170" s="1021"/>
      <c r="AR170" s="1021"/>
      <c r="AS170" s="1021"/>
      <c r="AT170" s="1021"/>
      <c r="AU170" s="1021"/>
      <c r="AV170" s="1021"/>
      <c r="AW170" s="1021"/>
      <c r="AX170" s="1021"/>
      <c r="AY170" s="1021"/>
      <c r="AZ170" s="1021"/>
      <c r="BA170" s="1021"/>
      <c r="BB170" s="1021"/>
      <c r="BC170" s="1021"/>
      <c r="BD170" s="1021"/>
      <c r="BE170" s="1021"/>
      <c r="BF170" s="1021"/>
      <c r="BG170" s="1021"/>
      <c r="BH170" s="1021"/>
      <c r="BI170" s="1021"/>
      <c r="BJ170" s="1021"/>
      <c r="BK170" s="1021"/>
      <c r="BL170" s="1021"/>
      <c r="BM170" s="1021"/>
      <c r="BN170" s="1021"/>
      <c r="BO170" s="1021"/>
      <c r="BP170" s="1021"/>
      <c r="BQ170" s="1021"/>
      <c r="BR170" s="1021"/>
      <c r="BS170" s="1021"/>
      <c r="BT170" s="1021"/>
      <c r="BU170" s="1021"/>
      <c r="BV170" s="1021"/>
      <c r="BW170" s="1021"/>
      <c r="BX170" s="1021"/>
      <c r="BY170" s="1021"/>
      <c r="BZ170" s="1021"/>
      <c r="CA170" s="1021"/>
      <c r="CB170" s="1021"/>
      <c r="CC170" s="1021"/>
    </row>
    <row r="171" spans="8:81" x14ac:dyDescent="0.25">
      <c r="H171" s="1021"/>
      <c r="I171" s="1021"/>
      <c r="J171" s="1021"/>
      <c r="K171" s="1021"/>
      <c r="L171" s="1021"/>
      <c r="M171" s="1021"/>
      <c r="N171" s="1021"/>
      <c r="O171" s="1021"/>
      <c r="P171" s="1021"/>
      <c r="Q171" s="1021"/>
      <c r="R171" s="1021"/>
      <c r="S171" s="1021"/>
      <c r="T171" s="1021"/>
      <c r="U171" s="1021"/>
      <c r="V171" s="1021"/>
      <c r="W171" s="1021"/>
      <c r="X171" s="1021"/>
      <c r="Y171" s="1021"/>
      <c r="Z171" s="1021"/>
      <c r="AA171" s="1021"/>
      <c r="AB171" s="1021"/>
      <c r="AC171" s="1021"/>
      <c r="AD171" s="1021"/>
      <c r="AE171" s="1021"/>
      <c r="AF171" s="1021"/>
      <c r="AG171" s="1021"/>
      <c r="AH171" s="1021"/>
      <c r="AI171" s="1021"/>
      <c r="AJ171" s="1021"/>
      <c r="AK171" s="1021"/>
      <c r="AL171" s="1021"/>
      <c r="AM171" s="1021"/>
      <c r="AN171" s="1021"/>
      <c r="AO171" s="1021"/>
      <c r="AP171" s="1021"/>
      <c r="AQ171" s="1021"/>
      <c r="AR171" s="1021"/>
      <c r="AS171" s="1021"/>
      <c r="AT171" s="1021"/>
      <c r="AU171" s="1021"/>
      <c r="AV171" s="1021"/>
      <c r="AW171" s="1021"/>
      <c r="AX171" s="1021"/>
      <c r="AY171" s="1021"/>
      <c r="AZ171" s="1021"/>
      <c r="BA171" s="1021"/>
      <c r="BB171" s="1021"/>
      <c r="BC171" s="1021"/>
      <c r="BD171" s="1021"/>
      <c r="BE171" s="1021"/>
      <c r="BF171" s="1021"/>
      <c r="BG171" s="1021"/>
      <c r="BH171" s="1021"/>
      <c r="BI171" s="1021"/>
      <c r="BJ171" s="1021"/>
      <c r="BK171" s="1021"/>
      <c r="BL171" s="1021"/>
      <c r="BM171" s="1021"/>
      <c r="BN171" s="1021"/>
      <c r="BO171" s="1021"/>
      <c r="BP171" s="1021"/>
      <c r="BQ171" s="1021"/>
      <c r="BR171" s="1021"/>
      <c r="BS171" s="1021"/>
      <c r="BT171" s="1021"/>
      <c r="BU171" s="1021"/>
      <c r="BV171" s="1021"/>
      <c r="BW171" s="1021"/>
      <c r="BX171" s="1021"/>
      <c r="BY171" s="1021"/>
      <c r="BZ171" s="1021"/>
      <c r="CA171" s="1021"/>
      <c r="CB171" s="1021"/>
      <c r="CC171" s="1021"/>
    </row>
    <row r="172" spans="8:81" x14ac:dyDescent="0.25">
      <c r="H172" s="1021"/>
      <c r="I172" s="1021"/>
      <c r="J172" s="1021"/>
      <c r="K172" s="1021"/>
      <c r="L172" s="1021"/>
      <c r="M172" s="1021"/>
      <c r="N172" s="1021"/>
      <c r="O172" s="1021"/>
      <c r="P172" s="1021"/>
      <c r="Q172" s="1021"/>
      <c r="R172" s="1021"/>
      <c r="S172" s="1021"/>
      <c r="T172" s="1021"/>
      <c r="U172" s="1021"/>
      <c r="V172" s="1021"/>
      <c r="W172" s="1021"/>
      <c r="X172" s="1021"/>
      <c r="Y172" s="1021"/>
      <c r="Z172" s="1021"/>
      <c r="AA172" s="1021"/>
      <c r="AB172" s="1021"/>
      <c r="AC172" s="1021"/>
      <c r="AD172" s="1021"/>
      <c r="AE172" s="1021"/>
      <c r="AF172" s="1021"/>
      <c r="AG172" s="1021"/>
      <c r="AH172" s="1021"/>
      <c r="AI172" s="1021"/>
      <c r="AJ172" s="1021"/>
      <c r="AK172" s="1021"/>
      <c r="AL172" s="1021"/>
      <c r="AM172" s="1021"/>
      <c r="AN172" s="1021"/>
      <c r="AO172" s="1021"/>
      <c r="AP172" s="1021"/>
      <c r="AQ172" s="1021"/>
      <c r="AR172" s="1021"/>
      <c r="AS172" s="1021"/>
      <c r="AT172" s="1021"/>
      <c r="AU172" s="1021"/>
      <c r="AV172" s="1021"/>
      <c r="AW172" s="1021"/>
      <c r="AX172" s="1021"/>
      <c r="AY172" s="1021"/>
      <c r="AZ172" s="1021"/>
      <c r="BA172" s="1021"/>
      <c r="BB172" s="1021"/>
      <c r="BC172" s="1021"/>
      <c r="BD172" s="1021"/>
      <c r="BE172" s="1021"/>
      <c r="BF172" s="1021"/>
      <c r="BG172" s="1021"/>
      <c r="BH172" s="1021"/>
      <c r="BI172" s="1021"/>
      <c r="BJ172" s="1021"/>
      <c r="BK172" s="1021"/>
      <c r="BL172" s="1021"/>
      <c r="BM172" s="1021"/>
      <c r="BN172" s="1021"/>
      <c r="BO172" s="1021"/>
      <c r="BP172" s="1021"/>
      <c r="BQ172" s="1021"/>
      <c r="BR172" s="1021"/>
      <c r="BS172" s="1021"/>
      <c r="BT172" s="1021"/>
      <c r="BU172" s="1021"/>
      <c r="BV172" s="1021"/>
      <c r="BW172" s="1021"/>
      <c r="BX172" s="1021"/>
      <c r="BY172" s="1021"/>
      <c r="BZ172" s="1021"/>
      <c r="CA172" s="1021"/>
      <c r="CB172" s="1021"/>
      <c r="CC172" s="1021"/>
    </row>
    <row r="173" spans="8:81" x14ac:dyDescent="0.25">
      <c r="H173" s="1021"/>
      <c r="I173" s="1021"/>
      <c r="J173" s="1021"/>
      <c r="K173" s="1021"/>
      <c r="L173" s="1021"/>
      <c r="M173" s="1021"/>
      <c r="N173" s="1021"/>
      <c r="O173" s="1021"/>
      <c r="P173" s="1021"/>
      <c r="Q173" s="1021"/>
      <c r="R173" s="1021"/>
      <c r="S173" s="1021"/>
      <c r="T173" s="1021"/>
      <c r="U173" s="1021"/>
      <c r="V173" s="1021"/>
      <c r="W173" s="1021"/>
      <c r="X173" s="1021"/>
      <c r="Y173" s="1021"/>
      <c r="Z173" s="1021"/>
      <c r="AA173" s="1021"/>
      <c r="AB173" s="1021"/>
      <c r="AC173" s="1021"/>
      <c r="AD173" s="1021"/>
      <c r="AE173" s="1021"/>
      <c r="AF173" s="1021"/>
      <c r="AG173" s="1021"/>
      <c r="AH173" s="1021"/>
      <c r="AI173" s="1021"/>
      <c r="AJ173" s="1021"/>
      <c r="AK173" s="1021"/>
      <c r="AL173" s="1021"/>
      <c r="AM173" s="1021"/>
      <c r="AN173" s="1021"/>
      <c r="AO173" s="1021"/>
      <c r="AP173" s="1021"/>
      <c r="AQ173" s="1021"/>
      <c r="AR173" s="1021"/>
      <c r="AS173" s="1021"/>
      <c r="AT173" s="1021"/>
      <c r="AU173" s="1021"/>
      <c r="AV173" s="1021"/>
      <c r="AW173" s="1021"/>
      <c r="AX173" s="1021"/>
      <c r="AY173" s="1021"/>
      <c r="AZ173" s="1021"/>
      <c r="BA173" s="1021"/>
      <c r="BB173" s="1021"/>
      <c r="BC173" s="1021"/>
      <c r="BD173" s="1021"/>
      <c r="BE173" s="1021"/>
      <c r="BF173" s="1021"/>
      <c r="BG173" s="1021"/>
      <c r="BH173" s="1021"/>
      <c r="BI173" s="1021"/>
      <c r="BJ173" s="1021"/>
      <c r="BK173" s="1021"/>
      <c r="BL173" s="1021"/>
      <c r="BM173" s="1021"/>
      <c r="BN173" s="1021"/>
      <c r="BO173" s="1021"/>
      <c r="BP173" s="1021"/>
      <c r="BQ173" s="1021"/>
      <c r="BR173" s="1021"/>
      <c r="BS173" s="1021"/>
      <c r="BT173" s="1021"/>
      <c r="BU173" s="1021"/>
      <c r="BV173" s="1021"/>
      <c r="BW173" s="1021"/>
      <c r="BX173" s="1021"/>
      <c r="BY173" s="1021"/>
      <c r="BZ173" s="1021"/>
      <c r="CA173" s="1021"/>
      <c r="CB173" s="1021"/>
      <c r="CC173" s="1021"/>
    </row>
    <row r="174" spans="8:81" x14ac:dyDescent="0.25">
      <c r="H174" s="1021"/>
      <c r="I174" s="1021"/>
      <c r="J174" s="1021"/>
      <c r="K174" s="1021"/>
      <c r="L174" s="1021"/>
      <c r="M174" s="1021"/>
      <c r="N174" s="1021"/>
      <c r="O174" s="1021"/>
      <c r="P174" s="1021"/>
      <c r="Q174" s="1021"/>
      <c r="R174" s="1021"/>
      <c r="S174" s="1021"/>
      <c r="T174" s="1021"/>
      <c r="U174" s="1021"/>
      <c r="V174" s="1021"/>
      <c r="W174" s="1021"/>
      <c r="X174" s="1021"/>
      <c r="Y174" s="1021"/>
      <c r="Z174" s="1021"/>
      <c r="AA174" s="1021"/>
      <c r="AB174" s="1021"/>
      <c r="AC174" s="1021"/>
      <c r="AD174" s="1021"/>
      <c r="AE174" s="1021"/>
      <c r="AF174" s="1021"/>
      <c r="AG174" s="1021"/>
      <c r="AH174" s="1021"/>
      <c r="AI174" s="1021"/>
      <c r="AJ174" s="1021"/>
      <c r="AK174" s="1021"/>
      <c r="AL174" s="1021"/>
      <c r="AM174" s="1021"/>
      <c r="AN174" s="1021"/>
      <c r="AO174" s="1021"/>
      <c r="AP174" s="1021"/>
      <c r="AQ174" s="1021"/>
      <c r="AR174" s="1021"/>
      <c r="AS174" s="1021"/>
      <c r="AT174" s="1021"/>
      <c r="AU174" s="1021"/>
      <c r="AV174" s="1021"/>
      <c r="AW174" s="1021"/>
      <c r="AX174" s="1021"/>
      <c r="AY174" s="1021"/>
      <c r="AZ174" s="1021"/>
      <c r="BA174" s="1021"/>
      <c r="BB174" s="1021"/>
      <c r="BC174" s="1021"/>
      <c r="BD174" s="1021"/>
      <c r="BE174" s="1021"/>
      <c r="BF174" s="1021"/>
      <c r="BG174" s="1021"/>
      <c r="BH174" s="1021"/>
      <c r="BI174" s="1021"/>
      <c r="BJ174" s="1021"/>
      <c r="BK174" s="1021"/>
      <c r="BL174" s="1021"/>
      <c r="BM174" s="1021"/>
      <c r="BN174" s="1021"/>
      <c r="BO174" s="1021"/>
      <c r="BP174" s="1021"/>
      <c r="BQ174" s="1021"/>
      <c r="BR174" s="1021"/>
      <c r="BS174" s="1021"/>
      <c r="BT174" s="1021"/>
      <c r="BU174" s="1021"/>
      <c r="BV174" s="1021"/>
      <c r="BW174" s="1021"/>
      <c r="BX174" s="1021"/>
      <c r="BY174" s="1021"/>
      <c r="BZ174" s="1021"/>
      <c r="CA174" s="1021"/>
      <c r="CB174" s="1021"/>
      <c r="CC174" s="1021"/>
    </row>
    <row r="175" spans="8:81" x14ac:dyDescent="0.25">
      <c r="H175" s="1021"/>
      <c r="I175" s="1021"/>
      <c r="J175" s="1021"/>
      <c r="K175" s="1021"/>
      <c r="L175" s="1021"/>
      <c r="M175" s="1021"/>
      <c r="N175" s="1021"/>
      <c r="O175" s="1021"/>
      <c r="P175" s="1021"/>
      <c r="Q175" s="1021"/>
      <c r="R175" s="1021"/>
      <c r="S175" s="1021"/>
      <c r="T175" s="1021"/>
      <c r="U175" s="1021"/>
      <c r="V175" s="1021"/>
      <c r="W175" s="1021"/>
      <c r="X175" s="1021"/>
      <c r="Y175" s="1021"/>
      <c r="Z175" s="1021"/>
      <c r="AA175" s="1021"/>
      <c r="AB175" s="1021"/>
      <c r="AC175" s="1021"/>
      <c r="AD175" s="1021"/>
      <c r="AE175" s="1021"/>
      <c r="AF175" s="1021"/>
      <c r="AG175" s="1021"/>
      <c r="AH175" s="1021"/>
      <c r="AI175" s="1021"/>
      <c r="AJ175" s="1021"/>
      <c r="AK175" s="1021"/>
      <c r="AL175" s="1021"/>
      <c r="AM175" s="1021"/>
      <c r="AN175" s="1021"/>
      <c r="AO175" s="1021"/>
      <c r="AP175" s="1021"/>
      <c r="AQ175" s="1021"/>
      <c r="AR175" s="1021"/>
      <c r="AS175" s="1021"/>
      <c r="AT175" s="1021"/>
      <c r="AU175" s="1021"/>
      <c r="AV175" s="1021"/>
      <c r="AW175" s="1021"/>
      <c r="AX175" s="1021"/>
      <c r="AY175" s="1021"/>
      <c r="AZ175" s="1021"/>
      <c r="BA175" s="1021"/>
      <c r="BB175" s="1021"/>
      <c r="BC175" s="1021"/>
      <c r="BD175" s="1021"/>
      <c r="BE175" s="1021"/>
      <c r="BF175" s="1021"/>
      <c r="BG175" s="1021"/>
      <c r="BH175" s="1021"/>
      <c r="BI175" s="1021"/>
      <c r="BJ175" s="1021"/>
      <c r="BK175" s="1021"/>
      <c r="BL175" s="1021"/>
      <c r="BM175" s="1021"/>
      <c r="BN175" s="1021"/>
      <c r="BO175" s="1021"/>
      <c r="BP175" s="1021"/>
      <c r="BQ175" s="1021"/>
      <c r="BR175" s="1021"/>
      <c r="BS175" s="1021"/>
      <c r="BT175" s="1021"/>
      <c r="BU175" s="1021"/>
      <c r="BV175" s="1021"/>
      <c r="BW175" s="1021"/>
      <c r="BX175" s="1021"/>
      <c r="BY175" s="1021"/>
      <c r="BZ175" s="1021"/>
      <c r="CA175" s="1021"/>
      <c r="CB175" s="1021"/>
      <c r="CC175" s="1021"/>
    </row>
    <row r="176" spans="8:81" x14ac:dyDescent="0.25">
      <c r="H176" s="1021"/>
      <c r="I176" s="1021"/>
      <c r="J176" s="1021"/>
      <c r="K176" s="1021"/>
      <c r="L176" s="1021"/>
      <c r="M176" s="1021"/>
      <c r="N176" s="1021"/>
      <c r="O176" s="1021"/>
      <c r="P176" s="1021"/>
      <c r="Q176" s="1021"/>
      <c r="R176" s="1021"/>
      <c r="S176" s="1021"/>
      <c r="T176" s="1021"/>
      <c r="U176" s="1021"/>
      <c r="V176" s="1021"/>
      <c r="W176" s="1021"/>
      <c r="X176" s="1021"/>
      <c r="Y176" s="1021"/>
      <c r="Z176" s="1021"/>
      <c r="AA176" s="1021"/>
      <c r="AB176" s="1021"/>
      <c r="AC176" s="1021"/>
      <c r="AD176" s="1021"/>
      <c r="AE176" s="1021"/>
      <c r="AF176" s="1021"/>
      <c r="AG176" s="1021"/>
      <c r="AH176" s="1021"/>
      <c r="AI176" s="1021"/>
      <c r="AJ176" s="1021"/>
      <c r="AK176" s="1021"/>
      <c r="AL176" s="1021"/>
      <c r="AM176" s="1021"/>
      <c r="AN176" s="1021"/>
      <c r="AO176" s="1021"/>
      <c r="AP176" s="1021"/>
      <c r="AQ176" s="1021"/>
      <c r="AR176" s="1021"/>
      <c r="AS176" s="1021"/>
      <c r="AT176" s="1021"/>
      <c r="AU176" s="1021"/>
      <c r="AV176" s="1021"/>
      <c r="AW176" s="1021"/>
      <c r="AX176" s="1021"/>
      <c r="AY176" s="1021"/>
      <c r="AZ176" s="1021"/>
      <c r="BA176" s="1021"/>
      <c r="BB176" s="1021"/>
      <c r="BC176" s="1021"/>
      <c r="BD176" s="1021"/>
      <c r="BE176" s="1021"/>
      <c r="BF176" s="1021"/>
      <c r="BG176" s="1021"/>
      <c r="BH176" s="1021"/>
      <c r="BI176" s="1021"/>
      <c r="BJ176" s="1021"/>
      <c r="BK176" s="1021"/>
      <c r="BL176" s="1021"/>
      <c r="BM176" s="1021"/>
      <c r="BN176" s="1021"/>
      <c r="BO176" s="1021"/>
      <c r="BP176" s="1021"/>
      <c r="BQ176" s="1021"/>
      <c r="BR176" s="1021"/>
      <c r="BS176" s="1021"/>
      <c r="BT176" s="1021"/>
      <c r="BU176" s="1021"/>
      <c r="BV176" s="1021"/>
      <c r="BW176" s="1021"/>
      <c r="BX176" s="1021"/>
      <c r="BY176" s="1021"/>
      <c r="BZ176" s="1021"/>
      <c r="CA176" s="1021"/>
      <c r="CB176" s="1021"/>
      <c r="CC176" s="1021"/>
    </row>
    <row r="177" spans="8:81" x14ac:dyDescent="0.25">
      <c r="H177" s="1021"/>
      <c r="I177" s="1021"/>
      <c r="J177" s="1021"/>
      <c r="K177" s="1021"/>
      <c r="L177" s="1021"/>
      <c r="M177" s="1021"/>
      <c r="N177" s="1021"/>
      <c r="O177" s="1021"/>
      <c r="P177" s="1021"/>
      <c r="Q177" s="1021"/>
      <c r="R177" s="1021"/>
      <c r="S177" s="1021"/>
      <c r="T177" s="1021"/>
      <c r="U177" s="1021"/>
      <c r="V177" s="1021"/>
      <c r="W177" s="1021"/>
      <c r="X177" s="1021"/>
      <c r="Y177" s="1021"/>
      <c r="Z177" s="1021"/>
      <c r="AA177" s="1021"/>
      <c r="AB177" s="1021"/>
      <c r="AC177" s="1021"/>
      <c r="AD177" s="1021"/>
      <c r="AE177" s="1021"/>
      <c r="AF177" s="1021"/>
      <c r="AG177" s="1021"/>
      <c r="AH177" s="1021"/>
      <c r="AI177" s="1021"/>
      <c r="AJ177" s="1021"/>
      <c r="AK177" s="1021"/>
      <c r="AL177" s="1021"/>
      <c r="AM177" s="1021"/>
      <c r="AN177" s="1021"/>
      <c r="AO177" s="1021"/>
      <c r="AP177" s="1021"/>
      <c r="AQ177" s="1021"/>
      <c r="AR177" s="1021"/>
      <c r="AS177" s="1021"/>
      <c r="AT177" s="1021"/>
      <c r="AU177" s="1021"/>
      <c r="AV177" s="1021"/>
      <c r="AW177" s="1021"/>
      <c r="AX177" s="1021"/>
      <c r="AY177" s="1021"/>
      <c r="AZ177" s="1021"/>
      <c r="BA177" s="1021"/>
      <c r="BB177" s="1021"/>
      <c r="BC177" s="1021"/>
      <c r="BD177" s="1021"/>
      <c r="BE177" s="1021"/>
      <c r="BF177" s="1021"/>
      <c r="BG177" s="1021"/>
      <c r="BH177" s="1021"/>
      <c r="BI177" s="1021"/>
      <c r="BJ177" s="1021"/>
      <c r="BK177" s="1021"/>
      <c r="BL177" s="1021"/>
      <c r="BM177" s="1021"/>
      <c r="BN177" s="1021"/>
      <c r="BO177" s="1021"/>
      <c r="BP177" s="1021"/>
      <c r="BQ177" s="1021"/>
      <c r="BR177" s="1021"/>
      <c r="BS177" s="1021"/>
      <c r="BT177" s="1021"/>
      <c r="BU177" s="1021"/>
      <c r="BV177" s="1021"/>
      <c r="BW177" s="1021"/>
      <c r="BX177" s="1021"/>
      <c r="BY177" s="1021"/>
      <c r="BZ177" s="1021"/>
      <c r="CA177" s="1021"/>
      <c r="CB177" s="1021"/>
      <c r="CC177" s="1021"/>
    </row>
    <row r="178" spans="8:81" x14ac:dyDescent="0.25">
      <c r="H178" s="1021"/>
      <c r="I178" s="1021"/>
      <c r="J178" s="1021"/>
      <c r="K178" s="1021"/>
      <c r="L178" s="1021"/>
      <c r="M178" s="1021"/>
      <c r="N178" s="1021"/>
      <c r="O178" s="1021"/>
      <c r="P178" s="1021"/>
      <c r="Q178" s="1021"/>
      <c r="R178" s="1021"/>
      <c r="S178" s="1021"/>
      <c r="T178" s="1021"/>
      <c r="U178" s="1021"/>
      <c r="V178" s="1021"/>
      <c r="W178" s="1021"/>
      <c r="X178" s="1021"/>
      <c r="Y178" s="1021"/>
      <c r="Z178" s="1021"/>
      <c r="AA178" s="1021"/>
      <c r="AB178" s="1021"/>
      <c r="AC178" s="1021"/>
      <c r="AD178" s="1021"/>
      <c r="AE178" s="1021"/>
      <c r="AF178" s="1021"/>
      <c r="AG178" s="1021"/>
      <c r="AH178" s="1021"/>
      <c r="AI178" s="1021"/>
      <c r="AJ178" s="1021"/>
      <c r="AK178" s="1021"/>
      <c r="AL178" s="1021"/>
      <c r="AM178" s="1021"/>
      <c r="AN178" s="1021"/>
      <c r="AO178" s="1021"/>
      <c r="AP178" s="1021"/>
      <c r="AQ178" s="1021"/>
      <c r="AR178" s="1021"/>
      <c r="AS178" s="1021"/>
      <c r="AT178" s="1021"/>
      <c r="AU178" s="1021"/>
      <c r="AV178" s="1021"/>
      <c r="AW178" s="1021"/>
      <c r="AX178" s="1021"/>
      <c r="AY178" s="1021"/>
      <c r="AZ178" s="1021"/>
      <c r="BA178" s="1021"/>
      <c r="BB178" s="1021"/>
      <c r="BC178" s="1021"/>
      <c r="BD178" s="1021"/>
      <c r="BE178" s="1021"/>
      <c r="BF178" s="1021"/>
      <c r="BG178" s="1021"/>
      <c r="BH178" s="1021"/>
      <c r="BI178" s="1021"/>
      <c r="BJ178" s="1021"/>
      <c r="BK178" s="1021"/>
      <c r="BL178" s="1021"/>
      <c r="BM178" s="1021"/>
      <c r="BN178" s="1021"/>
      <c r="BO178" s="1021"/>
      <c r="BP178" s="1021"/>
      <c r="BQ178" s="1021"/>
      <c r="BR178" s="1021"/>
      <c r="BS178" s="1021"/>
      <c r="BT178" s="1021"/>
      <c r="BU178" s="1021"/>
      <c r="BV178" s="1021"/>
      <c r="BW178" s="1021"/>
      <c r="BX178" s="1021"/>
      <c r="BY178" s="1021"/>
      <c r="BZ178" s="1021"/>
      <c r="CA178" s="1021"/>
      <c r="CB178" s="1021"/>
      <c r="CC178" s="1021"/>
    </row>
    <row r="179" spans="8:81" x14ac:dyDescent="0.25">
      <c r="H179" s="1021"/>
      <c r="I179" s="1021"/>
      <c r="J179" s="1021"/>
      <c r="K179" s="1021"/>
      <c r="L179" s="1021"/>
      <c r="M179" s="1021"/>
      <c r="N179" s="1021"/>
      <c r="O179" s="1021"/>
      <c r="P179" s="1021"/>
      <c r="Q179" s="1021"/>
      <c r="R179" s="1021"/>
      <c r="S179" s="1021"/>
      <c r="T179" s="1021"/>
      <c r="U179" s="1021"/>
      <c r="V179" s="1021"/>
      <c r="W179" s="1021"/>
      <c r="X179" s="1021"/>
      <c r="Y179" s="1021"/>
      <c r="Z179" s="1021"/>
      <c r="AA179" s="1021"/>
      <c r="AB179" s="1021"/>
      <c r="AC179" s="1021"/>
      <c r="AD179" s="1021"/>
      <c r="AE179" s="1021"/>
      <c r="AF179" s="1021"/>
      <c r="AG179" s="1021"/>
      <c r="AH179" s="1021"/>
      <c r="AI179" s="1021"/>
      <c r="AJ179" s="1021"/>
      <c r="AK179" s="1021"/>
      <c r="AL179" s="1021"/>
      <c r="AM179" s="1021"/>
      <c r="AN179" s="1021"/>
      <c r="AO179" s="1021"/>
      <c r="AP179" s="1021"/>
      <c r="AQ179" s="1021"/>
      <c r="AR179" s="1021"/>
      <c r="AS179" s="1021"/>
      <c r="AT179" s="1021"/>
      <c r="AU179" s="1021"/>
      <c r="AV179" s="1021"/>
      <c r="AW179" s="1021"/>
      <c r="AX179" s="1021"/>
      <c r="AY179" s="1021"/>
      <c r="AZ179" s="1021"/>
      <c r="BA179" s="1021"/>
      <c r="BB179" s="1021"/>
      <c r="BC179" s="1021"/>
      <c r="BD179" s="1021"/>
      <c r="BE179" s="1021"/>
      <c r="BF179" s="1021"/>
      <c r="BG179" s="1021"/>
      <c r="BH179" s="1021"/>
      <c r="BI179" s="1021"/>
      <c r="BJ179" s="1021"/>
      <c r="BK179" s="1021"/>
      <c r="BL179" s="1021"/>
      <c r="BM179" s="1021"/>
      <c r="BN179" s="1021"/>
      <c r="BO179" s="1021"/>
      <c r="BP179" s="1021"/>
      <c r="BQ179" s="1021"/>
      <c r="BR179" s="1021"/>
      <c r="BS179" s="1021"/>
      <c r="BT179" s="1021"/>
      <c r="BU179" s="1021"/>
      <c r="BV179" s="1021"/>
      <c r="BW179" s="1021"/>
      <c r="BX179" s="1021"/>
      <c r="BY179" s="1021"/>
      <c r="BZ179" s="1021"/>
      <c r="CA179" s="1021"/>
      <c r="CB179" s="1021"/>
      <c r="CC179" s="1021"/>
    </row>
    <row r="180" spans="8:81" x14ac:dyDescent="0.25">
      <c r="H180" s="1021"/>
      <c r="I180" s="1021"/>
      <c r="J180" s="1021"/>
      <c r="K180" s="1021"/>
      <c r="L180" s="1021"/>
      <c r="M180" s="1021"/>
      <c r="N180" s="1021"/>
      <c r="O180" s="1021"/>
      <c r="P180" s="1021"/>
      <c r="Q180" s="1021"/>
      <c r="R180" s="1021"/>
      <c r="S180" s="1021"/>
      <c r="T180" s="1021"/>
      <c r="U180" s="1021"/>
      <c r="V180" s="1021"/>
      <c r="W180" s="1021"/>
      <c r="X180" s="1021"/>
      <c r="Y180" s="1021"/>
      <c r="Z180" s="1021"/>
      <c r="AA180" s="1021"/>
      <c r="AB180" s="1021"/>
      <c r="AC180" s="1021"/>
      <c r="AD180" s="1021"/>
      <c r="AE180" s="1021"/>
      <c r="AF180" s="1021"/>
      <c r="AG180" s="1021"/>
      <c r="AH180" s="1021"/>
      <c r="AI180" s="1021"/>
      <c r="AJ180" s="1021"/>
      <c r="AK180" s="1021"/>
      <c r="AL180" s="1021"/>
      <c r="AM180" s="1021"/>
      <c r="AN180" s="1021"/>
      <c r="AO180" s="1021"/>
      <c r="AP180" s="1021"/>
      <c r="AQ180" s="1021"/>
      <c r="AR180" s="1021"/>
      <c r="AS180" s="1021"/>
      <c r="AT180" s="1021"/>
      <c r="AU180" s="1021"/>
      <c r="AV180" s="1021"/>
      <c r="AW180" s="1021"/>
      <c r="AX180" s="1021"/>
      <c r="AY180" s="1021"/>
      <c r="AZ180" s="1021"/>
      <c r="BA180" s="1021"/>
      <c r="BB180" s="1021"/>
      <c r="BC180" s="1021"/>
      <c r="BD180" s="1021"/>
      <c r="BE180" s="1021"/>
      <c r="BF180" s="1021"/>
      <c r="BG180" s="1021"/>
      <c r="BH180" s="1021"/>
      <c r="BI180" s="1021"/>
      <c r="BJ180" s="1021"/>
      <c r="BK180" s="1021"/>
      <c r="BL180" s="1021"/>
      <c r="BM180" s="1021"/>
      <c r="BN180" s="1021"/>
      <c r="BO180" s="1021"/>
      <c r="BP180" s="1021"/>
      <c r="BQ180" s="1021"/>
      <c r="BR180" s="1021"/>
      <c r="BS180" s="1021"/>
      <c r="BT180" s="1021"/>
      <c r="BU180" s="1021"/>
      <c r="BV180" s="1021"/>
      <c r="BW180" s="1021"/>
      <c r="BX180" s="1021"/>
      <c r="BY180" s="1021"/>
      <c r="BZ180" s="1021"/>
      <c r="CA180" s="1021"/>
      <c r="CB180" s="1021"/>
      <c r="CC180" s="1021"/>
    </row>
    <row r="181" spans="8:81" x14ac:dyDescent="0.25">
      <c r="H181" s="1021"/>
      <c r="I181" s="1021"/>
      <c r="J181" s="1021"/>
      <c r="K181" s="1021"/>
      <c r="L181" s="1021"/>
      <c r="M181" s="1021"/>
      <c r="N181" s="1021"/>
      <c r="O181" s="1021"/>
      <c r="P181" s="1021"/>
      <c r="Q181" s="1021"/>
      <c r="R181" s="1021"/>
      <c r="S181" s="1021"/>
      <c r="T181" s="1021"/>
      <c r="U181" s="1021"/>
      <c r="V181" s="1021"/>
      <c r="W181" s="1021"/>
      <c r="X181" s="1021"/>
      <c r="Y181" s="1021"/>
      <c r="Z181" s="1021"/>
      <c r="AA181" s="1021"/>
      <c r="AB181" s="1021"/>
      <c r="AC181" s="1021"/>
      <c r="AD181" s="1021"/>
      <c r="AE181" s="1021"/>
      <c r="AF181" s="1021"/>
      <c r="AG181" s="1021"/>
      <c r="AH181" s="1021"/>
      <c r="AI181" s="1021"/>
      <c r="AJ181" s="1021"/>
      <c r="AK181" s="1021"/>
      <c r="AL181" s="1021"/>
      <c r="AM181" s="1021"/>
      <c r="AN181" s="1021"/>
      <c r="AO181" s="1021"/>
      <c r="AP181" s="1021"/>
      <c r="AQ181" s="1021"/>
      <c r="AR181" s="1021"/>
      <c r="AS181" s="1021"/>
      <c r="AT181" s="1021"/>
      <c r="AU181" s="1021"/>
      <c r="AV181" s="1021"/>
      <c r="AW181" s="1021"/>
      <c r="AX181" s="1021"/>
      <c r="AY181" s="1021"/>
      <c r="AZ181" s="1021"/>
      <c r="BA181" s="1021"/>
      <c r="BB181" s="1021"/>
      <c r="BC181" s="1021"/>
      <c r="BD181" s="1021"/>
      <c r="BE181" s="1021"/>
      <c r="BF181" s="1021"/>
      <c r="BG181" s="1021"/>
      <c r="BH181" s="1021"/>
      <c r="BI181" s="1021"/>
      <c r="BJ181" s="1021"/>
      <c r="BK181" s="1021"/>
      <c r="BL181" s="1021"/>
      <c r="BM181" s="1021"/>
      <c r="BN181" s="1021"/>
      <c r="BO181" s="1021"/>
      <c r="BP181" s="1021"/>
      <c r="BQ181" s="1021"/>
      <c r="BR181" s="1021"/>
      <c r="BS181" s="1021"/>
      <c r="BT181" s="1021"/>
      <c r="BU181" s="1021"/>
      <c r="BV181" s="1021"/>
      <c r="BW181" s="1021"/>
      <c r="BX181" s="1021"/>
      <c r="BY181" s="1021"/>
      <c r="BZ181" s="1021"/>
      <c r="CA181" s="1021"/>
      <c r="CB181" s="1021"/>
      <c r="CC181" s="1021"/>
    </row>
    <row r="182" spans="8:81" x14ac:dyDescent="0.25">
      <c r="H182" s="1021"/>
      <c r="I182" s="1021"/>
      <c r="J182" s="1021"/>
      <c r="K182" s="1021"/>
      <c r="L182" s="1021"/>
      <c r="M182" s="1021"/>
      <c r="N182" s="1021"/>
      <c r="O182" s="1021"/>
      <c r="P182" s="1021"/>
      <c r="Q182" s="1021"/>
      <c r="R182" s="1021"/>
      <c r="S182" s="1021"/>
      <c r="T182" s="1021"/>
      <c r="U182" s="1021"/>
      <c r="V182" s="1021"/>
      <c r="W182" s="1021"/>
      <c r="X182" s="1021"/>
      <c r="Y182" s="1021"/>
      <c r="Z182" s="1021"/>
      <c r="AA182" s="1021"/>
      <c r="AB182" s="1021"/>
      <c r="AC182" s="1021"/>
      <c r="AD182" s="1021"/>
      <c r="AE182" s="1021"/>
      <c r="AF182" s="1021"/>
      <c r="AG182" s="1021"/>
      <c r="AH182" s="1021"/>
      <c r="AI182" s="1021"/>
      <c r="AJ182" s="1021"/>
      <c r="AK182" s="1021"/>
      <c r="AL182" s="1021"/>
      <c r="AM182" s="1021"/>
      <c r="AN182" s="1021"/>
      <c r="AO182" s="1021"/>
      <c r="AP182" s="1021"/>
      <c r="AQ182" s="1021"/>
      <c r="AR182" s="1021"/>
      <c r="AS182" s="1021"/>
      <c r="AT182" s="1021"/>
      <c r="AU182" s="1021"/>
      <c r="AV182" s="1021"/>
      <c r="AW182" s="1021"/>
      <c r="AX182" s="1021"/>
      <c r="AY182" s="1021"/>
      <c r="AZ182" s="1021"/>
      <c r="BA182" s="1021"/>
      <c r="BB182" s="1021"/>
      <c r="BC182" s="1021"/>
      <c r="BD182" s="1021"/>
      <c r="BE182" s="1021"/>
      <c r="BF182" s="1021"/>
      <c r="BG182" s="1021"/>
      <c r="BH182" s="1021"/>
      <c r="BI182" s="1021"/>
      <c r="BJ182" s="1021"/>
      <c r="BK182" s="1021"/>
      <c r="BL182" s="1021"/>
      <c r="BM182" s="1021"/>
      <c r="BN182" s="1021"/>
      <c r="BO182" s="1021"/>
      <c r="BP182" s="1021"/>
      <c r="BQ182" s="1021"/>
      <c r="BR182" s="1021"/>
      <c r="BS182" s="1021"/>
      <c r="BT182" s="1021"/>
      <c r="BU182" s="1021"/>
      <c r="BV182" s="1021"/>
      <c r="BW182" s="1021"/>
      <c r="BX182" s="1021"/>
      <c r="BY182" s="1021"/>
      <c r="BZ182" s="1021"/>
      <c r="CA182" s="1021"/>
      <c r="CB182" s="1021"/>
      <c r="CC182" s="1021"/>
    </row>
    <row r="183" spans="8:81" x14ac:dyDescent="0.25">
      <c r="H183" s="1021"/>
      <c r="I183" s="1021"/>
      <c r="J183" s="1021"/>
      <c r="K183" s="1021"/>
      <c r="L183" s="1021"/>
      <c r="M183" s="1021"/>
      <c r="N183" s="1021"/>
      <c r="O183" s="1021"/>
      <c r="P183" s="1021"/>
      <c r="Q183" s="1021"/>
      <c r="R183" s="1021"/>
      <c r="S183" s="1021"/>
      <c r="T183" s="1021"/>
      <c r="U183" s="1021"/>
      <c r="V183" s="1021"/>
      <c r="W183" s="1021"/>
      <c r="X183" s="1021"/>
      <c r="Y183" s="1021"/>
      <c r="Z183" s="1021"/>
      <c r="AA183" s="1021"/>
      <c r="AB183" s="1021"/>
      <c r="AC183" s="1021"/>
      <c r="AD183" s="1021"/>
      <c r="AE183" s="1021"/>
      <c r="AF183" s="1021"/>
      <c r="AG183" s="1021"/>
      <c r="AH183" s="1021"/>
      <c r="AI183" s="1021"/>
      <c r="AJ183" s="1021"/>
      <c r="AK183" s="1021"/>
      <c r="AL183" s="1021"/>
      <c r="AM183" s="1021"/>
      <c r="AN183" s="1021"/>
      <c r="AO183" s="1021"/>
      <c r="AP183" s="1021"/>
      <c r="AQ183" s="1021"/>
      <c r="AR183" s="1021"/>
      <c r="AS183" s="1021"/>
      <c r="AT183" s="1021"/>
      <c r="AU183" s="1021"/>
      <c r="AV183" s="1021"/>
      <c r="AW183" s="1021"/>
      <c r="AX183" s="1021"/>
      <c r="AY183" s="1021"/>
      <c r="AZ183" s="1021"/>
      <c r="BA183" s="1021"/>
      <c r="BB183" s="1021"/>
      <c r="BC183" s="1021"/>
      <c r="BD183" s="1021"/>
      <c r="BE183" s="1021"/>
      <c r="BF183" s="1021"/>
      <c r="BG183" s="1021"/>
      <c r="BH183" s="1021"/>
      <c r="BI183" s="1021"/>
      <c r="BJ183" s="1021"/>
      <c r="BK183" s="1021"/>
      <c r="BL183" s="1021"/>
      <c r="BM183" s="1021"/>
      <c r="BN183" s="1021"/>
      <c r="BO183" s="1021"/>
      <c r="BP183" s="1021"/>
      <c r="BQ183" s="1021"/>
      <c r="BR183" s="1021"/>
      <c r="BS183" s="1021"/>
      <c r="BT183" s="1021"/>
      <c r="BU183" s="1021"/>
      <c r="BV183" s="1021"/>
      <c r="BW183" s="1021"/>
      <c r="BX183" s="1021"/>
      <c r="BY183" s="1021"/>
      <c r="BZ183" s="1021"/>
      <c r="CA183" s="1021"/>
      <c r="CB183" s="1021"/>
      <c r="CC183" s="1021"/>
    </row>
    <row r="184" spans="8:81" x14ac:dyDescent="0.25">
      <c r="H184" s="1021"/>
      <c r="I184" s="1021"/>
      <c r="J184" s="1021"/>
      <c r="K184" s="1021"/>
      <c r="L184" s="1021"/>
      <c r="M184" s="1021"/>
      <c r="N184" s="1021"/>
      <c r="O184" s="1021"/>
      <c r="P184" s="1021"/>
      <c r="Q184" s="1021"/>
      <c r="R184" s="1021"/>
      <c r="S184" s="1021"/>
      <c r="T184" s="1021"/>
      <c r="U184" s="1021"/>
      <c r="V184" s="1021"/>
      <c r="W184" s="1021"/>
      <c r="X184" s="1021"/>
      <c r="Y184" s="1021"/>
      <c r="Z184" s="1021"/>
      <c r="AA184" s="1021"/>
      <c r="AB184" s="1021"/>
      <c r="AC184" s="1021"/>
      <c r="AD184" s="1021"/>
      <c r="AE184" s="1021"/>
      <c r="AF184" s="1021"/>
      <c r="AG184" s="1021"/>
      <c r="AH184" s="1021"/>
      <c r="AI184" s="1021"/>
      <c r="AJ184" s="1021"/>
      <c r="AK184" s="1021"/>
      <c r="AL184" s="1021"/>
      <c r="AM184" s="1021"/>
      <c r="AN184" s="1021"/>
      <c r="AO184" s="1021"/>
      <c r="AP184" s="1021"/>
      <c r="AQ184" s="1021"/>
      <c r="AR184" s="1021"/>
      <c r="AS184" s="1021"/>
      <c r="AT184" s="1021"/>
      <c r="AU184" s="1021"/>
      <c r="AV184" s="1021"/>
      <c r="AW184" s="1021"/>
      <c r="AX184" s="1021"/>
      <c r="AY184" s="1021"/>
      <c r="AZ184" s="1021"/>
      <c r="BA184" s="1021"/>
      <c r="BB184" s="1021"/>
      <c r="BC184" s="1021"/>
      <c r="BD184" s="1021"/>
      <c r="BE184" s="1021"/>
      <c r="BF184" s="1021"/>
      <c r="BG184" s="1021"/>
      <c r="BH184" s="1021"/>
      <c r="BI184" s="1021"/>
      <c r="BJ184" s="1021"/>
      <c r="BK184" s="1021"/>
      <c r="BL184" s="1021"/>
      <c r="BM184" s="1021"/>
      <c r="BN184" s="1021"/>
      <c r="BO184" s="1021"/>
      <c r="BP184" s="1021"/>
      <c r="BQ184" s="1021"/>
      <c r="BR184" s="1021"/>
      <c r="BS184" s="1021"/>
      <c r="BT184" s="1021"/>
      <c r="BU184" s="1021"/>
      <c r="BV184" s="1021"/>
      <c r="BW184" s="1021"/>
      <c r="BX184" s="1021"/>
      <c r="BY184" s="1021"/>
      <c r="BZ184" s="1021"/>
      <c r="CA184" s="1021"/>
      <c r="CB184" s="1021"/>
      <c r="CC184" s="1021"/>
    </row>
    <row r="185" spans="8:81" x14ac:dyDescent="0.25">
      <c r="H185" s="1021"/>
      <c r="I185" s="1021"/>
      <c r="J185" s="1021"/>
      <c r="K185" s="1021"/>
      <c r="L185" s="1021"/>
      <c r="M185" s="1021"/>
      <c r="N185" s="1021"/>
      <c r="O185" s="1021"/>
      <c r="P185" s="1021"/>
      <c r="Q185" s="1021"/>
      <c r="R185" s="1021"/>
      <c r="S185" s="1021"/>
      <c r="T185" s="1021"/>
      <c r="U185" s="1021"/>
      <c r="V185" s="1021"/>
      <c r="W185" s="1021"/>
      <c r="X185" s="1021"/>
      <c r="Y185" s="1021"/>
      <c r="Z185" s="1021"/>
      <c r="AA185" s="1021"/>
      <c r="AB185" s="1021"/>
      <c r="AC185" s="1021"/>
      <c r="AD185" s="1021"/>
      <c r="AE185" s="1021"/>
      <c r="AF185" s="1021"/>
      <c r="AG185" s="1021"/>
      <c r="AH185" s="1021"/>
      <c r="AI185" s="1021"/>
      <c r="AJ185" s="1021"/>
      <c r="AK185" s="1021"/>
      <c r="AL185" s="1021"/>
      <c r="AM185" s="1021"/>
      <c r="AN185" s="1021"/>
      <c r="AO185" s="1021"/>
      <c r="AP185" s="1021"/>
      <c r="AQ185" s="1021"/>
      <c r="AR185" s="1021"/>
      <c r="AS185" s="1021"/>
      <c r="AT185" s="1021"/>
      <c r="AU185" s="1021"/>
      <c r="AV185" s="1021"/>
      <c r="AW185" s="1021"/>
      <c r="AX185" s="1021"/>
      <c r="AY185" s="1021"/>
      <c r="AZ185" s="1021"/>
      <c r="BA185" s="1021"/>
      <c r="BB185" s="1021"/>
      <c r="BC185" s="1021"/>
      <c r="BD185" s="1021"/>
      <c r="BE185" s="1021"/>
      <c r="BF185" s="1021"/>
      <c r="BG185" s="1021"/>
      <c r="BH185" s="1021"/>
      <c r="BI185" s="1021"/>
      <c r="BJ185" s="1021"/>
      <c r="BK185" s="1021"/>
      <c r="BL185" s="1021"/>
      <c r="BM185" s="1021"/>
      <c r="BN185" s="1021"/>
      <c r="BO185" s="1021"/>
      <c r="BP185" s="1021"/>
      <c r="BQ185" s="1021"/>
      <c r="BR185" s="1021"/>
      <c r="BS185" s="1021"/>
      <c r="BT185" s="1021"/>
      <c r="BU185" s="1021"/>
      <c r="BV185" s="1021"/>
      <c r="BW185" s="1021"/>
      <c r="BX185" s="1021"/>
      <c r="BY185" s="1021"/>
      <c r="BZ185" s="1021"/>
      <c r="CA185" s="1021"/>
      <c r="CB185" s="1021"/>
      <c r="CC185" s="1021"/>
    </row>
    <row r="186" spans="8:81" x14ac:dyDescent="0.25">
      <c r="H186" s="1021"/>
      <c r="I186" s="1021"/>
      <c r="J186" s="1021"/>
      <c r="K186" s="1021"/>
      <c r="L186" s="1021"/>
      <c r="M186" s="1021"/>
      <c r="N186" s="1021"/>
      <c r="O186" s="1021"/>
      <c r="P186" s="1021"/>
      <c r="Q186" s="1021"/>
      <c r="R186" s="1021"/>
      <c r="S186" s="1021"/>
      <c r="T186" s="1021"/>
      <c r="U186" s="1021"/>
      <c r="V186" s="1021"/>
      <c r="W186" s="1021"/>
      <c r="X186" s="1021"/>
      <c r="Y186" s="1021"/>
      <c r="Z186" s="1021"/>
      <c r="AA186" s="1021"/>
      <c r="AB186" s="1021"/>
      <c r="AC186" s="1021"/>
      <c r="AD186" s="1021"/>
      <c r="AE186" s="1021"/>
      <c r="AF186" s="1021"/>
      <c r="AG186" s="1021"/>
      <c r="AH186" s="1021"/>
      <c r="AI186" s="1021"/>
      <c r="AJ186" s="1021"/>
      <c r="AK186" s="1021"/>
      <c r="AL186" s="1021"/>
      <c r="AM186" s="1021"/>
      <c r="AN186" s="1021"/>
      <c r="AO186" s="1021"/>
      <c r="AP186" s="1021"/>
      <c r="AQ186" s="1021"/>
      <c r="AR186" s="1021"/>
      <c r="AS186" s="1021"/>
      <c r="AT186" s="1021"/>
      <c r="AU186" s="1021"/>
      <c r="AV186" s="1021"/>
      <c r="AW186" s="1021"/>
      <c r="AX186" s="1021"/>
      <c r="AY186" s="1021"/>
      <c r="AZ186" s="1021"/>
      <c r="BA186" s="1021"/>
      <c r="BB186" s="1021"/>
      <c r="BC186" s="1021"/>
      <c r="BD186" s="1021"/>
      <c r="BE186" s="1021"/>
      <c r="BF186" s="1021"/>
      <c r="BG186" s="1021"/>
      <c r="BH186" s="1021"/>
      <c r="BI186" s="1021"/>
      <c r="BJ186" s="1021"/>
      <c r="BK186" s="1021"/>
      <c r="BL186" s="1021"/>
      <c r="BM186" s="1021"/>
      <c r="BN186" s="1021"/>
      <c r="BO186" s="1021"/>
      <c r="BP186" s="1021"/>
      <c r="BQ186" s="1021"/>
      <c r="BR186" s="1021"/>
      <c r="BS186" s="1021"/>
      <c r="BT186" s="1021"/>
      <c r="BU186" s="1021"/>
      <c r="BV186" s="1021"/>
      <c r="BW186" s="1021"/>
      <c r="BX186" s="1021"/>
      <c r="BY186" s="1021"/>
      <c r="BZ186" s="1021"/>
      <c r="CA186" s="1021"/>
      <c r="CB186" s="1021"/>
      <c r="CC186" s="1021"/>
    </row>
    <row r="187" spans="8:81" x14ac:dyDescent="0.25">
      <c r="H187" s="1021"/>
      <c r="I187" s="1021"/>
      <c r="J187" s="1021"/>
      <c r="K187" s="1021"/>
      <c r="L187" s="1021"/>
      <c r="M187" s="1021"/>
      <c r="N187" s="1021"/>
      <c r="O187" s="1021"/>
      <c r="P187" s="1021"/>
      <c r="Q187" s="1021"/>
      <c r="R187" s="1021"/>
      <c r="S187" s="1021"/>
      <c r="T187" s="1021"/>
      <c r="U187" s="1021"/>
      <c r="V187" s="1021"/>
      <c r="W187" s="1021"/>
      <c r="X187" s="1021"/>
      <c r="Y187" s="1021"/>
      <c r="Z187" s="1021"/>
      <c r="AA187" s="1021"/>
      <c r="AB187" s="1021"/>
      <c r="AC187" s="1021"/>
      <c r="AD187" s="1021"/>
      <c r="AE187" s="1021"/>
      <c r="AF187" s="1021"/>
      <c r="AG187" s="1021"/>
      <c r="AH187" s="1021"/>
      <c r="AI187" s="1021"/>
      <c r="AJ187" s="1021"/>
      <c r="AK187" s="1021"/>
      <c r="AL187" s="1021"/>
      <c r="AM187" s="1021"/>
      <c r="AN187" s="1021"/>
      <c r="AO187" s="1021"/>
      <c r="AP187" s="1021"/>
      <c r="AQ187" s="1021"/>
      <c r="AR187" s="1021"/>
      <c r="AS187" s="1021"/>
      <c r="AT187" s="1021"/>
      <c r="AU187" s="1021"/>
      <c r="AV187" s="1021"/>
      <c r="AW187" s="1021"/>
      <c r="AX187" s="1021"/>
      <c r="AY187" s="1021"/>
      <c r="AZ187" s="1021"/>
      <c r="BA187" s="1021"/>
      <c r="BB187" s="1021"/>
      <c r="BC187" s="1021"/>
      <c r="BD187" s="1021"/>
      <c r="BE187" s="1021"/>
      <c r="BF187" s="1021"/>
      <c r="BG187" s="1021"/>
      <c r="BH187" s="1021"/>
      <c r="BI187" s="1021"/>
      <c r="BJ187" s="1021"/>
      <c r="BK187" s="1021"/>
      <c r="BL187" s="1021"/>
      <c r="BM187" s="1021"/>
      <c r="BN187" s="1021"/>
      <c r="BO187" s="1021"/>
      <c r="BP187" s="1021"/>
      <c r="BQ187" s="1021"/>
      <c r="BR187" s="1021"/>
      <c r="BS187" s="1021"/>
      <c r="BT187" s="1021"/>
      <c r="BU187" s="1021"/>
      <c r="BV187" s="1021"/>
      <c r="BW187" s="1021"/>
      <c r="BX187" s="1021"/>
      <c r="BY187" s="1021"/>
      <c r="BZ187" s="1021"/>
      <c r="CA187" s="1021"/>
      <c r="CB187" s="1021"/>
      <c r="CC187" s="1021"/>
    </row>
    <row r="188" spans="8:81" x14ac:dyDescent="0.25">
      <c r="H188" s="1021"/>
      <c r="I188" s="1021"/>
      <c r="J188" s="1021"/>
      <c r="K188" s="1021"/>
      <c r="L188" s="1021"/>
      <c r="M188" s="1021"/>
      <c r="N188" s="1021"/>
      <c r="O188" s="1021"/>
      <c r="P188" s="1021"/>
      <c r="Q188" s="1021"/>
      <c r="R188" s="1021"/>
      <c r="S188" s="1021"/>
      <c r="T188" s="1021"/>
      <c r="U188" s="1021"/>
      <c r="V188" s="1021"/>
      <c r="W188" s="1021"/>
      <c r="X188" s="1021"/>
      <c r="Y188" s="1021"/>
      <c r="Z188" s="1021"/>
      <c r="AA188" s="1021"/>
      <c r="AB188" s="1021"/>
      <c r="AC188" s="1021"/>
      <c r="AD188" s="1021"/>
      <c r="AE188" s="1021"/>
      <c r="AF188" s="1021"/>
      <c r="AG188" s="1021"/>
      <c r="AH188" s="1021"/>
      <c r="AI188" s="1021"/>
      <c r="AJ188" s="1021"/>
      <c r="AK188" s="1021"/>
      <c r="AL188" s="1021"/>
      <c r="AM188" s="1021"/>
      <c r="AN188" s="1021"/>
      <c r="AO188" s="1021"/>
      <c r="AP188" s="1021"/>
      <c r="AQ188" s="1021"/>
      <c r="AR188" s="1021"/>
      <c r="AS188" s="1021"/>
      <c r="AT188" s="1021"/>
      <c r="AU188" s="1021"/>
      <c r="AV188" s="1021"/>
      <c r="AW188" s="1021"/>
      <c r="AX188" s="1021"/>
      <c r="AY188" s="1021"/>
      <c r="AZ188" s="1021"/>
      <c r="BA188" s="1021"/>
      <c r="BB188" s="1021"/>
      <c r="BC188" s="1021"/>
      <c r="BD188" s="1021"/>
      <c r="BE188" s="1021"/>
      <c r="BF188" s="1021"/>
      <c r="BG188" s="1021"/>
      <c r="BH188" s="1021"/>
      <c r="BI188" s="1021"/>
      <c r="BJ188" s="1021"/>
      <c r="BK188" s="1021"/>
      <c r="BL188" s="1021"/>
      <c r="BM188" s="1021"/>
      <c r="BN188" s="1021"/>
      <c r="BO188" s="1021"/>
      <c r="BP188" s="1021"/>
      <c r="BQ188" s="1021"/>
      <c r="BR188" s="1021"/>
      <c r="BS188" s="1021"/>
      <c r="BT188" s="1021"/>
      <c r="BU188" s="1021"/>
      <c r="BV188" s="1021"/>
      <c r="BW188" s="1021"/>
      <c r="BX188" s="1021"/>
      <c r="BY188" s="1021"/>
      <c r="BZ188" s="1021"/>
      <c r="CA188" s="1021"/>
      <c r="CB188" s="1021"/>
      <c r="CC188" s="1021"/>
    </row>
    <row r="189" spans="8:81" x14ac:dyDescent="0.25">
      <c r="H189" s="1021"/>
      <c r="I189" s="1021"/>
      <c r="J189" s="1021"/>
      <c r="K189" s="1021"/>
      <c r="L189" s="1021"/>
      <c r="M189" s="1021"/>
      <c r="N189" s="1021"/>
      <c r="O189" s="1021"/>
      <c r="P189" s="1021"/>
      <c r="Q189" s="1021"/>
      <c r="R189" s="1021"/>
      <c r="S189" s="1021"/>
      <c r="T189" s="1021"/>
      <c r="U189" s="1021"/>
      <c r="V189" s="1021"/>
      <c r="W189" s="1021"/>
      <c r="X189" s="1021"/>
      <c r="Y189" s="1021"/>
      <c r="Z189" s="1021"/>
      <c r="AA189" s="1021"/>
      <c r="AB189" s="1021"/>
      <c r="AC189" s="1021"/>
      <c r="AD189" s="1021"/>
      <c r="AE189" s="1021"/>
      <c r="AF189" s="1021"/>
      <c r="AG189" s="1021"/>
      <c r="AH189" s="1021"/>
      <c r="AI189" s="1021"/>
      <c r="AJ189" s="1021"/>
      <c r="AK189" s="1021"/>
      <c r="AL189" s="1021"/>
      <c r="AM189" s="1021"/>
      <c r="AN189" s="1021"/>
      <c r="AO189" s="1021"/>
      <c r="AP189" s="1021"/>
      <c r="AQ189" s="1021"/>
      <c r="AR189" s="1021"/>
      <c r="AS189" s="1021"/>
      <c r="AT189" s="1021"/>
      <c r="AU189" s="1021"/>
      <c r="AV189" s="1021"/>
      <c r="AW189" s="1021"/>
      <c r="AX189" s="1021"/>
      <c r="AY189" s="1021"/>
      <c r="AZ189" s="1021"/>
      <c r="BA189" s="1021"/>
      <c r="BB189" s="1021"/>
      <c r="BC189" s="1021"/>
      <c r="BD189" s="1021"/>
      <c r="BE189" s="1021"/>
      <c r="BF189" s="1021"/>
      <c r="BG189" s="1021"/>
      <c r="BH189" s="1021"/>
      <c r="BI189" s="1021"/>
      <c r="BJ189" s="1021"/>
      <c r="BK189" s="1021"/>
      <c r="BL189" s="1021"/>
      <c r="BM189" s="1021"/>
      <c r="BN189" s="1021"/>
      <c r="BO189" s="1021"/>
      <c r="BP189" s="1021"/>
      <c r="BQ189" s="1021"/>
      <c r="BR189" s="1021"/>
      <c r="BS189" s="1021"/>
      <c r="BT189" s="1021"/>
      <c r="BU189" s="1021"/>
      <c r="BV189" s="1021"/>
      <c r="BW189" s="1021"/>
      <c r="BX189" s="1021"/>
      <c r="BY189" s="1021"/>
      <c r="BZ189" s="1021"/>
      <c r="CA189" s="1021"/>
      <c r="CB189" s="1021"/>
      <c r="CC189" s="1021"/>
    </row>
    <row r="190" spans="8:81" x14ac:dyDescent="0.25">
      <c r="H190" s="1021"/>
      <c r="I190" s="1021"/>
      <c r="J190" s="1021"/>
      <c r="K190" s="1021"/>
      <c r="L190" s="1021"/>
      <c r="M190" s="1021"/>
      <c r="N190" s="1021"/>
      <c r="O190" s="1021"/>
      <c r="P190" s="1021"/>
      <c r="Q190" s="1021"/>
      <c r="R190" s="1021"/>
      <c r="S190" s="1021"/>
      <c r="T190" s="1021"/>
      <c r="U190" s="1021"/>
      <c r="V190" s="1021"/>
      <c r="W190" s="1021"/>
      <c r="X190" s="1021"/>
      <c r="Y190" s="1021"/>
      <c r="Z190" s="1021"/>
      <c r="AA190" s="1021"/>
      <c r="AB190" s="1021"/>
      <c r="AC190" s="1021"/>
      <c r="AD190" s="1021"/>
      <c r="AE190" s="1021"/>
      <c r="AF190" s="1021"/>
      <c r="AG190" s="1021"/>
      <c r="AH190" s="1021"/>
      <c r="AI190" s="1021"/>
      <c r="AJ190" s="1021"/>
      <c r="AK190" s="1021"/>
      <c r="AL190" s="1021"/>
      <c r="AM190" s="1021"/>
      <c r="AN190" s="1021"/>
      <c r="AO190" s="1021"/>
      <c r="AP190" s="1021"/>
      <c r="AQ190" s="1021"/>
      <c r="AR190" s="1021"/>
      <c r="AS190" s="1021"/>
      <c r="AT190" s="1021"/>
      <c r="AU190" s="1021"/>
      <c r="AV190" s="1021"/>
      <c r="AW190" s="1021"/>
      <c r="AX190" s="1021"/>
      <c r="AY190" s="1021"/>
      <c r="AZ190" s="1021"/>
      <c r="BA190" s="1021"/>
      <c r="BB190" s="1021"/>
      <c r="BC190" s="1021"/>
      <c r="BD190" s="1021"/>
      <c r="BE190" s="1021"/>
      <c r="BF190" s="1021"/>
      <c r="BG190" s="1021"/>
      <c r="BH190" s="1021"/>
      <c r="BI190" s="1021"/>
      <c r="BJ190" s="1021"/>
      <c r="BK190" s="1021"/>
      <c r="BL190" s="1021"/>
      <c r="BM190" s="1021"/>
      <c r="BN190" s="1021"/>
      <c r="BO190" s="1021"/>
      <c r="BP190" s="1021"/>
      <c r="BQ190" s="1021"/>
      <c r="BR190" s="1021"/>
      <c r="BS190" s="1021"/>
      <c r="BT190" s="1021"/>
      <c r="BU190" s="1021"/>
      <c r="BV190" s="1021"/>
      <c r="BW190" s="1021"/>
      <c r="BX190" s="1021"/>
      <c r="BY190" s="1021"/>
      <c r="BZ190" s="1021"/>
      <c r="CA190" s="1021"/>
      <c r="CB190" s="1021"/>
      <c r="CC190" s="1021"/>
    </row>
    <row r="191" spans="8:81" x14ac:dyDescent="0.25">
      <c r="H191" s="1021"/>
      <c r="I191" s="1021"/>
      <c r="J191" s="1021"/>
      <c r="K191" s="1021"/>
      <c r="L191" s="1021"/>
      <c r="M191" s="1021"/>
      <c r="N191" s="1021"/>
      <c r="O191" s="1021"/>
      <c r="P191" s="1021"/>
      <c r="Q191" s="1021"/>
      <c r="R191" s="1021"/>
      <c r="S191" s="1021"/>
      <c r="T191" s="1021"/>
      <c r="U191" s="1021"/>
      <c r="V191" s="1021"/>
      <c r="W191" s="1021"/>
      <c r="X191" s="1021"/>
      <c r="Y191" s="1021"/>
      <c r="Z191" s="1021"/>
      <c r="AA191" s="1021"/>
      <c r="AB191" s="1021"/>
      <c r="AC191" s="1021"/>
      <c r="AD191" s="1021"/>
      <c r="AE191" s="1021"/>
      <c r="AF191" s="1021"/>
      <c r="AG191" s="1021"/>
      <c r="AH191" s="1021"/>
      <c r="AI191" s="1021"/>
      <c r="AJ191" s="1021"/>
      <c r="AK191" s="1021"/>
      <c r="AL191" s="1021"/>
      <c r="AM191" s="1021"/>
      <c r="AN191" s="1021"/>
      <c r="AO191" s="1021"/>
      <c r="AP191" s="1021"/>
      <c r="AQ191" s="1021"/>
      <c r="AR191" s="1021"/>
      <c r="AS191" s="1021"/>
      <c r="AT191" s="1021"/>
      <c r="AU191" s="1021"/>
      <c r="AV191" s="1021"/>
      <c r="AW191" s="1021"/>
      <c r="AX191" s="1021"/>
      <c r="AY191" s="1021"/>
      <c r="AZ191" s="1021"/>
      <c r="BA191" s="1021"/>
      <c r="BB191" s="1021"/>
      <c r="BC191" s="1021"/>
      <c r="BD191" s="1021"/>
      <c r="BE191" s="1021"/>
      <c r="BF191" s="1021"/>
      <c r="BG191" s="1021"/>
      <c r="BH191" s="1021"/>
      <c r="BI191" s="1021"/>
      <c r="BJ191" s="1021"/>
      <c r="BK191" s="1021"/>
      <c r="BL191" s="1021"/>
      <c r="BM191" s="1021"/>
      <c r="BN191" s="1021"/>
      <c r="BO191" s="1021"/>
      <c r="BP191" s="1021"/>
      <c r="BQ191" s="1021"/>
      <c r="BR191" s="1021"/>
      <c r="BS191" s="1021"/>
      <c r="BT191" s="1021"/>
      <c r="BU191" s="1021"/>
      <c r="BV191" s="1021"/>
      <c r="BW191" s="1021"/>
      <c r="BX191" s="1021"/>
      <c r="BY191" s="1021"/>
      <c r="BZ191" s="1021"/>
      <c r="CA191" s="1021"/>
      <c r="CB191" s="1021"/>
      <c r="CC191" s="1021"/>
    </row>
    <row r="192" spans="8:81" x14ac:dyDescent="0.25">
      <c r="H192" s="1021"/>
      <c r="I192" s="1021"/>
      <c r="J192" s="1021"/>
      <c r="K192" s="1021"/>
      <c r="L192" s="1021"/>
      <c r="M192" s="1021"/>
      <c r="N192" s="1021"/>
      <c r="O192" s="1021"/>
      <c r="P192" s="1021"/>
      <c r="Q192" s="1021"/>
      <c r="R192" s="1021"/>
      <c r="S192" s="1021"/>
      <c r="T192" s="1021"/>
      <c r="U192" s="1021"/>
      <c r="V192" s="1021"/>
      <c r="W192" s="1021"/>
      <c r="X192" s="1021"/>
      <c r="Y192" s="1021"/>
      <c r="Z192" s="1021"/>
      <c r="AA192" s="1021"/>
      <c r="AB192" s="1021"/>
      <c r="AC192" s="1021"/>
      <c r="AD192" s="1021"/>
      <c r="AE192" s="1021"/>
      <c r="AF192" s="1021"/>
      <c r="AG192" s="1021"/>
      <c r="AH192" s="1021"/>
      <c r="AI192" s="1021"/>
      <c r="AJ192" s="1021"/>
      <c r="AK192" s="1021"/>
      <c r="AL192" s="1021"/>
      <c r="AM192" s="1021"/>
      <c r="AN192" s="1021"/>
      <c r="AO192" s="1021"/>
      <c r="AP192" s="1021"/>
      <c r="AQ192" s="1021"/>
      <c r="AR192" s="1021"/>
      <c r="AS192" s="1021"/>
      <c r="AT192" s="1021"/>
      <c r="AU192" s="1021"/>
      <c r="AV192" s="1021"/>
      <c r="AW192" s="1021"/>
      <c r="AX192" s="1021"/>
      <c r="AY192" s="1021"/>
      <c r="AZ192" s="1021"/>
      <c r="BA192" s="1021"/>
      <c r="BB192" s="1021"/>
      <c r="BC192" s="1021"/>
      <c r="BD192" s="1021"/>
      <c r="BE192" s="1021"/>
      <c r="BF192" s="1021"/>
      <c r="BG192" s="1021"/>
      <c r="BH192" s="1021"/>
      <c r="BI192" s="1021"/>
      <c r="BJ192" s="1021"/>
      <c r="BK192" s="1021"/>
      <c r="BL192" s="1021"/>
      <c r="BM192" s="1021"/>
      <c r="BN192" s="1021"/>
      <c r="BO192" s="1021"/>
      <c r="BP192" s="1021"/>
      <c r="BQ192" s="1021"/>
      <c r="BR192" s="1021"/>
      <c r="BS192" s="1021"/>
      <c r="BT192" s="1021"/>
      <c r="BU192" s="1021"/>
      <c r="BV192" s="1021"/>
      <c r="BW192" s="1021"/>
      <c r="BX192" s="1021"/>
      <c r="BY192" s="1021"/>
      <c r="BZ192" s="1021"/>
      <c r="CA192" s="1021"/>
      <c r="CB192" s="1021"/>
      <c r="CC192" s="1021"/>
    </row>
    <row r="193" spans="8:81" x14ac:dyDescent="0.25">
      <c r="H193" s="1021"/>
      <c r="I193" s="1021"/>
      <c r="J193" s="1021"/>
      <c r="K193" s="1021"/>
      <c r="L193" s="1021"/>
      <c r="M193" s="1021"/>
      <c r="N193" s="1021"/>
      <c r="O193" s="1021"/>
      <c r="P193" s="1021"/>
      <c r="Q193" s="1021"/>
      <c r="R193" s="1021"/>
      <c r="S193" s="1021"/>
      <c r="T193" s="1021"/>
      <c r="U193" s="1021"/>
      <c r="V193" s="1021"/>
      <c r="W193" s="1021"/>
      <c r="X193" s="1021"/>
      <c r="Y193" s="1021"/>
      <c r="Z193" s="1021"/>
      <c r="AA193" s="1021"/>
      <c r="AB193" s="1021"/>
      <c r="AC193" s="1021"/>
      <c r="AD193" s="1021"/>
      <c r="AE193" s="1021"/>
      <c r="AF193" s="1021"/>
      <c r="AG193" s="1021"/>
      <c r="AH193" s="1021"/>
      <c r="AI193" s="1021"/>
      <c r="AJ193" s="1021"/>
      <c r="AK193" s="1021"/>
      <c r="AL193" s="1021"/>
      <c r="AM193" s="1021"/>
      <c r="AN193" s="1021"/>
      <c r="AO193" s="1021"/>
      <c r="AP193" s="1021"/>
      <c r="AQ193" s="1021"/>
      <c r="AR193" s="1021"/>
      <c r="AS193" s="1021"/>
      <c r="AT193" s="1021"/>
      <c r="AU193" s="1021"/>
      <c r="AV193" s="1021"/>
      <c r="AW193" s="1021"/>
      <c r="AX193" s="1021"/>
      <c r="AY193" s="1021"/>
      <c r="AZ193" s="1021"/>
      <c r="BA193" s="1021"/>
      <c r="BB193" s="1021"/>
      <c r="BC193" s="1021"/>
      <c r="BD193" s="1021"/>
      <c r="BE193" s="1021"/>
      <c r="BF193" s="1021"/>
      <c r="BG193" s="1021"/>
      <c r="BH193" s="1021"/>
      <c r="BI193" s="1021"/>
      <c r="BJ193" s="1021"/>
      <c r="BK193" s="1021"/>
      <c r="BL193" s="1021"/>
      <c r="BM193" s="1021"/>
      <c r="BN193" s="1021"/>
      <c r="BO193" s="1021"/>
      <c r="BP193" s="1021"/>
      <c r="BQ193" s="1021"/>
      <c r="BR193" s="1021"/>
      <c r="BS193" s="1021"/>
      <c r="BT193" s="1021"/>
      <c r="BU193" s="1021"/>
      <c r="BV193" s="1021"/>
      <c r="BW193" s="1021"/>
      <c r="BX193" s="1021"/>
      <c r="BY193" s="1021"/>
      <c r="BZ193" s="1021"/>
      <c r="CA193" s="1021"/>
      <c r="CB193" s="1021"/>
      <c r="CC193" s="1021"/>
    </row>
    <row r="194" spans="8:81" x14ac:dyDescent="0.25">
      <c r="H194" s="1021"/>
      <c r="I194" s="1021"/>
      <c r="J194" s="1021"/>
      <c r="K194" s="1021"/>
      <c r="L194" s="1021"/>
      <c r="M194" s="1021"/>
      <c r="N194" s="1021"/>
      <c r="O194" s="1021"/>
      <c r="P194" s="1021"/>
      <c r="Q194" s="1021"/>
      <c r="R194" s="1021"/>
      <c r="S194" s="1021"/>
      <c r="T194" s="1021"/>
      <c r="U194" s="1021"/>
      <c r="V194" s="1021"/>
      <c r="W194" s="1021"/>
      <c r="X194" s="1021"/>
      <c r="Y194" s="1021"/>
      <c r="Z194" s="1021"/>
      <c r="AA194" s="1021"/>
      <c r="AB194" s="1021"/>
      <c r="AC194" s="1021"/>
      <c r="AD194" s="1021"/>
      <c r="AE194" s="1021"/>
      <c r="AF194" s="1021"/>
      <c r="AG194" s="1021"/>
      <c r="AH194" s="1021"/>
      <c r="AI194" s="1021"/>
      <c r="AJ194" s="1021"/>
      <c r="AK194" s="1021"/>
      <c r="AL194" s="1021"/>
      <c r="AM194" s="1021"/>
      <c r="AN194" s="1021"/>
      <c r="AO194" s="1021"/>
      <c r="AP194" s="1021"/>
      <c r="AQ194" s="1021"/>
      <c r="AR194" s="1021"/>
      <c r="AS194" s="1021"/>
      <c r="AT194" s="1021"/>
      <c r="AU194" s="1021"/>
      <c r="AV194" s="1021"/>
      <c r="AW194" s="1021"/>
      <c r="AX194" s="1021"/>
      <c r="AY194" s="1021"/>
      <c r="AZ194" s="1021"/>
      <c r="BA194" s="1021"/>
      <c r="BB194" s="1021"/>
      <c r="BC194" s="1021"/>
      <c r="BD194" s="1021"/>
      <c r="BE194" s="1021"/>
      <c r="BF194" s="1021"/>
      <c r="BG194" s="1021"/>
      <c r="BH194" s="1021"/>
      <c r="BI194" s="1021"/>
      <c r="BJ194" s="1021"/>
      <c r="BK194" s="1021"/>
      <c r="BL194" s="1021"/>
      <c r="BM194" s="1021"/>
      <c r="BN194" s="1021"/>
      <c r="BO194" s="1021"/>
      <c r="BP194" s="1021"/>
      <c r="BQ194" s="1021"/>
      <c r="BR194" s="1021"/>
      <c r="BS194" s="1021"/>
      <c r="BT194" s="1021"/>
      <c r="BU194" s="1021"/>
      <c r="BV194" s="1021"/>
      <c r="BW194" s="1021"/>
      <c r="BX194" s="1021"/>
      <c r="BY194" s="1021"/>
      <c r="BZ194" s="1021"/>
      <c r="CA194" s="1021"/>
      <c r="CB194" s="1021"/>
      <c r="CC194" s="1021"/>
    </row>
    <row r="195" spans="8:81" x14ac:dyDescent="0.25">
      <c r="H195" s="1021"/>
      <c r="I195" s="1021"/>
      <c r="J195" s="1021"/>
      <c r="K195" s="1021"/>
      <c r="L195" s="1021"/>
      <c r="M195" s="1021"/>
      <c r="N195" s="1021"/>
      <c r="O195" s="1021"/>
      <c r="P195" s="1021"/>
      <c r="Q195" s="1021"/>
      <c r="R195" s="1021"/>
      <c r="S195" s="1021"/>
      <c r="T195" s="1021"/>
      <c r="U195" s="1021"/>
      <c r="V195" s="1021"/>
      <c r="W195" s="1021"/>
      <c r="X195" s="1021"/>
      <c r="Y195" s="1021"/>
      <c r="Z195" s="1021"/>
      <c r="AA195" s="1021"/>
      <c r="AB195" s="1021"/>
      <c r="AC195" s="1021"/>
      <c r="AD195" s="1021"/>
      <c r="AE195" s="1021"/>
      <c r="AF195" s="1021"/>
      <c r="AG195" s="1021"/>
      <c r="AH195" s="1021"/>
      <c r="AI195" s="1021"/>
      <c r="AJ195" s="1021"/>
      <c r="AK195" s="1021"/>
      <c r="AL195" s="1021"/>
      <c r="AM195" s="1021"/>
      <c r="AN195" s="1021"/>
      <c r="AO195" s="1021"/>
      <c r="AP195" s="1021"/>
      <c r="AQ195" s="1021"/>
      <c r="AR195" s="1021"/>
      <c r="AS195" s="1021"/>
      <c r="AT195" s="1021"/>
      <c r="AU195" s="1021"/>
      <c r="AV195" s="1021"/>
      <c r="AW195" s="1021"/>
      <c r="AX195" s="1021"/>
      <c r="AY195" s="1021"/>
      <c r="AZ195" s="1021"/>
      <c r="BA195" s="1021"/>
      <c r="BB195" s="1021"/>
      <c r="BC195" s="1021"/>
      <c r="BD195" s="1021"/>
      <c r="BE195" s="1021"/>
      <c r="BF195" s="1021"/>
      <c r="BG195" s="1021"/>
      <c r="BH195" s="1021"/>
      <c r="BI195" s="1021"/>
      <c r="BJ195" s="1021"/>
      <c r="BK195" s="1021"/>
      <c r="BL195" s="1021"/>
      <c r="BM195" s="1021"/>
      <c r="BN195" s="1021"/>
      <c r="BO195" s="1021"/>
      <c r="BP195" s="1021"/>
      <c r="BQ195" s="1021"/>
      <c r="BR195" s="1021"/>
      <c r="BS195" s="1021"/>
      <c r="BT195" s="1021"/>
      <c r="BU195" s="1021"/>
      <c r="BV195" s="1021"/>
      <c r="BW195" s="1021"/>
      <c r="BX195" s="1021"/>
      <c r="BY195" s="1021"/>
      <c r="BZ195" s="1021"/>
      <c r="CA195" s="1021"/>
      <c r="CB195" s="1021"/>
      <c r="CC195" s="1021"/>
    </row>
    <row r="196" spans="8:81" x14ac:dyDescent="0.25">
      <c r="H196" s="1021"/>
      <c r="I196" s="1021"/>
      <c r="J196" s="1021"/>
      <c r="K196" s="1021"/>
      <c r="L196" s="1021"/>
      <c r="M196" s="1021"/>
      <c r="N196" s="1021"/>
      <c r="O196" s="1021"/>
      <c r="P196" s="1021"/>
      <c r="Q196" s="1021"/>
      <c r="R196" s="1021"/>
      <c r="S196" s="1021"/>
      <c r="T196" s="1021"/>
      <c r="U196" s="1021"/>
      <c r="V196" s="1021"/>
      <c r="W196" s="1021"/>
      <c r="X196" s="1021"/>
      <c r="Y196" s="1021"/>
      <c r="Z196" s="1021"/>
      <c r="AA196" s="1021"/>
      <c r="AB196" s="1021"/>
      <c r="AC196" s="1021"/>
      <c r="AD196" s="1021"/>
      <c r="AE196" s="1021"/>
      <c r="AF196" s="1021"/>
      <c r="AG196" s="1021"/>
      <c r="AH196" s="1021"/>
      <c r="AI196" s="1021"/>
      <c r="AJ196" s="1021"/>
      <c r="AK196" s="1021"/>
      <c r="AL196" s="1021"/>
      <c r="AM196" s="1021"/>
      <c r="AN196" s="1021"/>
      <c r="AO196" s="1021"/>
      <c r="AP196" s="1021"/>
      <c r="AQ196" s="1021"/>
      <c r="AR196" s="1021"/>
      <c r="AS196" s="1021"/>
      <c r="AT196" s="1021"/>
      <c r="AU196" s="1021"/>
      <c r="AV196" s="1021"/>
      <c r="AW196" s="1021"/>
      <c r="AX196" s="1021"/>
      <c r="AY196" s="1021"/>
      <c r="AZ196" s="1021"/>
      <c r="BA196" s="1021"/>
      <c r="BB196" s="1021"/>
      <c r="BC196" s="1021"/>
      <c r="BD196" s="1021"/>
      <c r="BE196" s="1021"/>
      <c r="BF196" s="1021"/>
      <c r="BG196" s="1021"/>
      <c r="BH196" s="1021"/>
      <c r="BI196" s="1021"/>
      <c r="BJ196" s="1021"/>
      <c r="BK196" s="1021"/>
      <c r="BL196" s="1021"/>
      <c r="BM196" s="1021"/>
      <c r="BN196" s="1021"/>
      <c r="BO196" s="1021"/>
      <c r="BP196" s="1021"/>
      <c r="BQ196" s="1021"/>
      <c r="BR196" s="1021"/>
      <c r="BS196" s="1021"/>
      <c r="BT196" s="1021"/>
      <c r="BU196" s="1021"/>
      <c r="BV196" s="1021"/>
      <c r="BW196" s="1021"/>
      <c r="BX196" s="1021"/>
      <c r="BY196" s="1021"/>
      <c r="BZ196" s="1021"/>
      <c r="CA196" s="1021"/>
      <c r="CB196" s="1021"/>
      <c r="CC196" s="1021"/>
    </row>
    <row r="197" spans="8:81" x14ac:dyDescent="0.25">
      <c r="H197" s="1021"/>
      <c r="I197" s="1021"/>
      <c r="J197" s="1021"/>
      <c r="K197" s="1021"/>
      <c r="L197" s="1021"/>
      <c r="M197" s="1021"/>
      <c r="N197" s="1021"/>
      <c r="O197" s="1021"/>
      <c r="P197" s="1021"/>
      <c r="Q197" s="1021"/>
      <c r="R197" s="1021"/>
      <c r="S197" s="1021"/>
      <c r="T197" s="1021"/>
      <c r="U197" s="1021"/>
      <c r="V197" s="1021"/>
      <c r="W197" s="1021"/>
      <c r="X197" s="1021"/>
      <c r="Y197" s="1021"/>
      <c r="Z197" s="1021"/>
      <c r="AA197" s="1021"/>
      <c r="AB197" s="1021"/>
      <c r="AC197" s="1021"/>
      <c r="AD197" s="1021"/>
      <c r="AE197" s="1021"/>
      <c r="AF197" s="1021"/>
      <c r="AG197" s="1021"/>
      <c r="AH197" s="1021"/>
      <c r="AI197" s="1021"/>
      <c r="AJ197" s="1021"/>
      <c r="AK197" s="1021"/>
      <c r="AL197" s="1021"/>
      <c r="AM197" s="1021"/>
      <c r="AN197" s="1021"/>
      <c r="AO197" s="1021"/>
      <c r="AP197" s="1021"/>
      <c r="AQ197" s="1021"/>
      <c r="AR197" s="1021"/>
      <c r="AS197" s="1021"/>
      <c r="AT197" s="1021"/>
      <c r="AU197" s="1021"/>
      <c r="AV197" s="1021"/>
      <c r="AW197" s="1021"/>
      <c r="AX197" s="1021"/>
      <c r="AY197" s="1021"/>
      <c r="AZ197" s="1021"/>
      <c r="BA197" s="1021"/>
      <c r="BB197" s="1021"/>
      <c r="BC197" s="1021"/>
      <c r="BD197" s="1021"/>
      <c r="BE197" s="1021"/>
      <c r="BF197" s="1021"/>
      <c r="BG197" s="1021"/>
      <c r="BH197" s="1021"/>
      <c r="BI197" s="1021"/>
      <c r="BJ197" s="1021"/>
      <c r="BK197" s="1021"/>
      <c r="BL197" s="1021"/>
      <c r="BM197" s="1021"/>
      <c r="BN197" s="1021"/>
      <c r="BO197" s="1021"/>
      <c r="BP197" s="1021"/>
      <c r="BQ197" s="1021"/>
      <c r="BR197" s="1021"/>
      <c r="BS197" s="1021"/>
      <c r="BT197" s="1021"/>
      <c r="BU197" s="1021"/>
      <c r="BV197" s="1021"/>
      <c r="BW197" s="1021"/>
      <c r="BX197" s="1021"/>
      <c r="BY197" s="1021"/>
      <c r="BZ197" s="1021"/>
      <c r="CA197" s="1021"/>
      <c r="CB197" s="1021"/>
      <c r="CC197" s="1021"/>
    </row>
    <row r="198" spans="8:81" x14ac:dyDescent="0.25">
      <c r="H198" s="1021"/>
      <c r="I198" s="1021"/>
      <c r="J198" s="1021"/>
      <c r="K198" s="1021"/>
      <c r="L198" s="1021"/>
      <c r="M198" s="1021"/>
      <c r="N198" s="1021"/>
      <c r="O198" s="1021"/>
      <c r="P198" s="1021"/>
      <c r="Q198" s="1021"/>
      <c r="R198" s="1021"/>
      <c r="S198" s="1021"/>
      <c r="T198" s="1021"/>
      <c r="U198" s="1021"/>
      <c r="V198" s="1021"/>
      <c r="W198" s="1021"/>
      <c r="X198" s="1021"/>
      <c r="Y198" s="1021"/>
      <c r="Z198" s="1021"/>
      <c r="AA198" s="1021"/>
      <c r="AB198" s="1021"/>
      <c r="AC198" s="1021"/>
      <c r="AD198" s="1021"/>
      <c r="AE198" s="1021"/>
      <c r="AF198" s="1021"/>
      <c r="AG198" s="1021"/>
      <c r="AH198" s="1021"/>
      <c r="AI198" s="1021"/>
      <c r="AJ198" s="1021"/>
      <c r="AK198" s="1021"/>
      <c r="AL198" s="1021"/>
      <c r="AM198" s="1021"/>
      <c r="AN198" s="1021"/>
      <c r="AO198" s="1021"/>
      <c r="AP198" s="1021"/>
      <c r="AQ198" s="1021"/>
      <c r="AR198" s="1021"/>
      <c r="AS198" s="1021"/>
      <c r="AT198" s="1021"/>
      <c r="AU198" s="1021"/>
      <c r="AV198" s="1021"/>
      <c r="AW198" s="1021"/>
      <c r="AX198" s="1021"/>
      <c r="AY198" s="1021"/>
      <c r="AZ198" s="1021"/>
      <c r="BA198" s="1021"/>
      <c r="BB198" s="1021"/>
      <c r="BC198" s="1021"/>
      <c r="BD198" s="1021"/>
      <c r="BE198" s="1021"/>
      <c r="BF198" s="1021"/>
      <c r="BG198" s="1021"/>
      <c r="BH198" s="1021"/>
      <c r="BI198" s="1021"/>
      <c r="BJ198" s="1021"/>
      <c r="BK198" s="1021"/>
      <c r="BL198" s="1021"/>
      <c r="BM198" s="1021"/>
      <c r="BN198" s="1021"/>
      <c r="BO198" s="1021"/>
      <c r="BP198" s="1021"/>
      <c r="BQ198" s="1021"/>
      <c r="BR198" s="1021"/>
      <c r="BS198" s="1021"/>
      <c r="BT198" s="1021"/>
      <c r="BU198" s="1021"/>
      <c r="BV198" s="1021"/>
      <c r="BW198" s="1021"/>
      <c r="BX198" s="1021"/>
      <c r="BY198" s="1021"/>
      <c r="BZ198" s="1021"/>
      <c r="CA198" s="1021"/>
      <c r="CB198" s="1021"/>
      <c r="CC198" s="1021"/>
    </row>
    <row r="199" spans="8:81" x14ac:dyDescent="0.25">
      <c r="H199" s="1021"/>
      <c r="I199" s="1021"/>
      <c r="J199" s="1021"/>
      <c r="K199" s="1021"/>
      <c r="L199" s="1021"/>
      <c r="M199" s="1021"/>
      <c r="N199" s="1021"/>
      <c r="O199" s="1021"/>
      <c r="P199" s="1021"/>
      <c r="Q199" s="1021"/>
      <c r="R199" s="1021"/>
      <c r="S199" s="1021"/>
      <c r="T199" s="1021"/>
      <c r="U199" s="1021"/>
      <c r="V199" s="1021"/>
      <c r="W199" s="1021"/>
      <c r="X199" s="1021"/>
      <c r="Y199" s="1021"/>
      <c r="Z199" s="1021"/>
      <c r="AA199" s="1021"/>
      <c r="AB199" s="1021"/>
      <c r="AC199" s="1021"/>
      <c r="AD199" s="1021"/>
      <c r="AE199" s="1021"/>
      <c r="AF199" s="1021"/>
      <c r="AG199" s="1021"/>
      <c r="AH199" s="1021"/>
      <c r="AI199" s="1021"/>
      <c r="AJ199" s="1021"/>
      <c r="AK199" s="1021"/>
      <c r="AL199" s="1021"/>
      <c r="AM199" s="1021"/>
      <c r="AN199" s="1021"/>
      <c r="AO199" s="1021"/>
      <c r="AP199" s="1021"/>
      <c r="AQ199" s="1021"/>
      <c r="AR199" s="1021"/>
      <c r="AS199" s="1021"/>
      <c r="AT199" s="1021"/>
      <c r="AU199" s="1021"/>
      <c r="AV199" s="1021"/>
      <c r="AW199" s="1021"/>
      <c r="AX199" s="1021"/>
      <c r="AY199" s="1021"/>
      <c r="AZ199" s="1021"/>
      <c r="BA199" s="1021"/>
      <c r="BB199" s="1021"/>
      <c r="BC199" s="1021"/>
      <c r="BD199" s="1021"/>
      <c r="BE199" s="1021"/>
      <c r="BF199" s="1021"/>
      <c r="BG199" s="1021"/>
      <c r="BH199" s="1021"/>
      <c r="BI199" s="1021"/>
      <c r="BJ199" s="1021"/>
      <c r="BK199" s="1021"/>
      <c r="BL199" s="1021"/>
      <c r="BM199" s="1021"/>
      <c r="BN199" s="1021"/>
      <c r="BO199" s="1021"/>
      <c r="BP199" s="1021"/>
      <c r="BQ199" s="1021"/>
      <c r="BR199" s="1021"/>
      <c r="BS199" s="1021"/>
      <c r="BT199" s="1021"/>
      <c r="BU199" s="1021"/>
      <c r="BV199" s="1021"/>
      <c r="BW199" s="1021"/>
      <c r="BX199" s="1021"/>
      <c r="BY199" s="1021"/>
      <c r="BZ199" s="1021"/>
      <c r="CA199" s="1021"/>
      <c r="CB199" s="1021"/>
      <c r="CC199" s="1021"/>
    </row>
    <row r="200" spans="8:81" x14ac:dyDescent="0.25">
      <c r="H200" s="1021"/>
      <c r="I200" s="1021"/>
      <c r="J200" s="1021"/>
      <c r="K200" s="1021"/>
      <c r="L200" s="1021"/>
      <c r="M200" s="1021"/>
      <c r="N200" s="1021"/>
      <c r="O200" s="1021"/>
      <c r="P200" s="1021"/>
      <c r="Q200" s="1021"/>
      <c r="R200" s="1021"/>
      <c r="S200" s="1021"/>
      <c r="T200" s="1021"/>
      <c r="U200" s="1021"/>
      <c r="V200" s="1021"/>
      <c r="W200" s="1021"/>
      <c r="X200" s="1021"/>
      <c r="Y200" s="1021"/>
      <c r="Z200" s="1021"/>
      <c r="AA200" s="1021"/>
      <c r="AB200" s="1021"/>
      <c r="AC200" s="1021"/>
      <c r="AD200" s="1021"/>
      <c r="AE200" s="1021"/>
      <c r="AF200" s="1021"/>
      <c r="AG200" s="1021"/>
      <c r="AH200" s="1021"/>
      <c r="AI200" s="1021"/>
      <c r="AJ200" s="1021"/>
      <c r="AK200" s="1021"/>
      <c r="AL200" s="1021"/>
      <c r="AM200" s="1021"/>
      <c r="AN200" s="1021"/>
      <c r="AO200" s="1021"/>
      <c r="AP200" s="1021"/>
      <c r="AQ200" s="1021"/>
      <c r="AR200" s="1021"/>
      <c r="AS200" s="1021"/>
      <c r="AT200" s="1021"/>
      <c r="AU200" s="1021"/>
      <c r="AV200" s="1021"/>
      <c r="AW200" s="1021"/>
      <c r="AX200" s="1021"/>
      <c r="AY200" s="1021"/>
      <c r="AZ200" s="1021"/>
      <c r="BA200" s="1021"/>
      <c r="BB200" s="1021"/>
      <c r="BC200" s="1021"/>
      <c r="BD200" s="1021"/>
      <c r="BE200" s="1021"/>
      <c r="BF200" s="1021"/>
      <c r="BG200" s="1021"/>
      <c r="BH200" s="1021"/>
      <c r="BI200" s="1021"/>
      <c r="BJ200" s="1021"/>
      <c r="BK200" s="1021"/>
      <c r="BL200" s="1021"/>
      <c r="BM200" s="1021"/>
      <c r="BN200" s="1021"/>
      <c r="BO200" s="1021"/>
      <c r="BP200" s="1021"/>
      <c r="BQ200" s="1021"/>
      <c r="BR200" s="1021"/>
      <c r="BS200" s="1021"/>
      <c r="BT200" s="1021"/>
      <c r="BU200" s="1021"/>
      <c r="BV200" s="1021"/>
      <c r="BW200" s="1021"/>
      <c r="BX200" s="1021"/>
      <c r="BY200" s="1021"/>
      <c r="BZ200" s="1021"/>
      <c r="CA200" s="1021"/>
      <c r="CB200" s="1021"/>
      <c r="CC200" s="1021"/>
    </row>
    <row r="201" spans="8:81" x14ac:dyDescent="0.25">
      <c r="H201" s="1021"/>
      <c r="I201" s="1021"/>
      <c r="J201" s="1021"/>
      <c r="K201" s="1021"/>
      <c r="L201" s="1021"/>
      <c r="M201" s="1021"/>
      <c r="N201" s="1021"/>
      <c r="O201" s="1021"/>
      <c r="P201" s="1021"/>
      <c r="Q201" s="1021"/>
      <c r="R201" s="1021"/>
      <c r="S201" s="1021"/>
      <c r="T201" s="1021"/>
      <c r="U201" s="1021"/>
      <c r="V201" s="1021"/>
      <c r="W201" s="1021"/>
      <c r="X201" s="1021"/>
      <c r="Y201" s="1021"/>
      <c r="Z201" s="1021"/>
      <c r="AA201" s="1021"/>
      <c r="AB201" s="1021"/>
      <c r="AC201" s="1021"/>
      <c r="AD201" s="1021"/>
      <c r="AE201" s="1021"/>
      <c r="AF201" s="1021"/>
      <c r="AG201" s="1021"/>
      <c r="AH201" s="1021"/>
      <c r="AI201" s="1021"/>
      <c r="AJ201" s="1021"/>
      <c r="AK201" s="1021"/>
      <c r="AL201" s="1021"/>
      <c r="AM201" s="1021"/>
      <c r="AN201" s="1021"/>
      <c r="AO201" s="1021"/>
      <c r="AP201" s="1021"/>
      <c r="AQ201" s="1021"/>
      <c r="AR201" s="1021"/>
      <c r="AS201" s="1021"/>
      <c r="AT201" s="1021"/>
      <c r="AU201" s="1021"/>
      <c r="AV201" s="1021"/>
      <c r="AW201" s="1021"/>
      <c r="AX201" s="1021"/>
      <c r="AY201" s="1021"/>
      <c r="AZ201" s="1021"/>
      <c r="BA201" s="1021"/>
      <c r="BB201" s="1021"/>
      <c r="BC201" s="1021"/>
      <c r="BD201" s="1021"/>
      <c r="BE201" s="1021"/>
      <c r="BF201" s="1021"/>
      <c r="BG201" s="1021"/>
      <c r="BH201" s="1021"/>
      <c r="BI201" s="1021"/>
      <c r="BJ201" s="1021"/>
      <c r="BK201" s="1021"/>
      <c r="BL201" s="1021"/>
      <c r="BM201" s="1021"/>
      <c r="BN201" s="1021"/>
      <c r="BO201" s="1021"/>
      <c r="BP201" s="1021"/>
      <c r="BQ201" s="1021"/>
      <c r="BR201" s="1021"/>
      <c r="BS201" s="1021"/>
      <c r="BT201" s="1021"/>
      <c r="BU201" s="1021"/>
      <c r="BV201" s="1021"/>
      <c r="BW201" s="1021"/>
      <c r="BX201" s="1021"/>
      <c r="BY201" s="1021"/>
      <c r="BZ201" s="1021"/>
      <c r="CA201" s="1021"/>
      <c r="CB201" s="1021"/>
      <c r="CC201" s="1021"/>
    </row>
    <row r="202" spans="8:81" x14ac:dyDescent="0.25">
      <c r="H202" s="1021"/>
      <c r="I202" s="1021"/>
      <c r="J202" s="1021"/>
      <c r="K202" s="1021"/>
      <c r="L202" s="1021"/>
      <c r="M202" s="1021"/>
      <c r="N202" s="1021"/>
      <c r="O202" s="1021"/>
      <c r="P202" s="1021"/>
      <c r="Q202" s="1021"/>
      <c r="R202" s="1021"/>
      <c r="S202" s="1021"/>
      <c r="T202" s="1021"/>
      <c r="U202" s="1021"/>
      <c r="V202" s="1021"/>
      <c r="W202" s="1021"/>
      <c r="X202" s="1021"/>
      <c r="Y202" s="1021"/>
      <c r="Z202" s="1021"/>
      <c r="AA202" s="1021"/>
      <c r="AB202" s="1021"/>
      <c r="AC202" s="1021"/>
      <c r="AD202" s="1021"/>
      <c r="AE202" s="1021"/>
      <c r="AF202" s="1021"/>
      <c r="AG202" s="1021"/>
      <c r="AH202" s="1021"/>
      <c r="AI202" s="1021"/>
      <c r="AJ202" s="1021"/>
      <c r="AK202" s="1021"/>
      <c r="AL202" s="1021"/>
      <c r="AM202" s="1021"/>
      <c r="AN202" s="1021"/>
      <c r="AO202" s="1021"/>
      <c r="AP202" s="1021"/>
      <c r="AQ202" s="1021"/>
      <c r="AR202" s="1021"/>
      <c r="AS202" s="1021"/>
      <c r="AT202" s="1021"/>
      <c r="AU202" s="1021"/>
      <c r="AV202" s="1021"/>
      <c r="AW202" s="1021"/>
      <c r="AX202" s="1021"/>
      <c r="AY202" s="1021"/>
      <c r="AZ202" s="1021"/>
      <c r="BA202" s="1021"/>
      <c r="BB202" s="1021"/>
      <c r="BC202" s="1021"/>
      <c r="BD202" s="1021"/>
      <c r="BE202" s="1021"/>
      <c r="BF202" s="1021"/>
      <c r="BG202" s="1021"/>
      <c r="BH202" s="1021"/>
      <c r="BI202" s="1021"/>
      <c r="BJ202" s="1021"/>
      <c r="BK202" s="1021"/>
      <c r="BL202" s="1021"/>
      <c r="BM202" s="1021"/>
      <c r="BN202" s="1021"/>
      <c r="BO202" s="1021"/>
      <c r="BP202" s="1021"/>
      <c r="BQ202" s="1021"/>
      <c r="BR202" s="1021"/>
      <c r="BS202" s="1021"/>
      <c r="BT202" s="1021"/>
      <c r="BU202" s="1021"/>
      <c r="BV202" s="1021"/>
      <c r="BW202" s="1021"/>
      <c r="BX202" s="1021"/>
      <c r="BY202" s="1021"/>
      <c r="BZ202" s="1021"/>
      <c r="CA202" s="1021"/>
      <c r="CB202" s="1021"/>
      <c r="CC202" s="1021"/>
    </row>
    <row r="203" spans="8:81" x14ac:dyDescent="0.25">
      <c r="H203" s="1021"/>
      <c r="I203" s="1021"/>
      <c r="J203" s="1021"/>
      <c r="K203" s="1021"/>
      <c r="L203" s="1021"/>
      <c r="M203" s="1021"/>
      <c r="N203" s="1021"/>
      <c r="O203" s="1021"/>
      <c r="P203" s="1021"/>
      <c r="Q203" s="1021"/>
      <c r="R203" s="1021"/>
      <c r="S203" s="1021"/>
      <c r="T203" s="1021"/>
      <c r="U203" s="1021"/>
      <c r="V203" s="1021"/>
      <c r="W203" s="1021"/>
      <c r="X203" s="1021"/>
      <c r="Y203" s="1021"/>
      <c r="Z203" s="1021"/>
      <c r="AA203" s="1021"/>
      <c r="AB203" s="1021"/>
      <c r="AC203" s="1021"/>
      <c r="AD203" s="1021"/>
      <c r="AE203" s="1021"/>
      <c r="AF203" s="1021"/>
      <c r="AG203" s="1021"/>
      <c r="AH203" s="1021"/>
      <c r="AI203" s="1021"/>
      <c r="AJ203" s="1021"/>
      <c r="AK203" s="1021"/>
      <c r="AL203" s="1021"/>
      <c r="AM203" s="1021"/>
      <c r="AN203" s="1021"/>
      <c r="AO203" s="1021"/>
      <c r="AP203" s="1021"/>
      <c r="AQ203" s="1021"/>
      <c r="AR203" s="1021"/>
      <c r="AS203" s="1021"/>
      <c r="AT203" s="1021"/>
      <c r="AU203" s="1021"/>
      <c r="AV203" s="1021"/>
      <c r="AW203" s="1021"/>
      <c r="AX203" s="1021"/>
      <c r="AY203" s="1021"/>
      <c r="AZ203" s="1021"/>
      <c r="BA203" s="1021"/>
      <c r="BB203" s="1021"/>
      <c r="BC203" s="1021"/>
      <c r="BD203" s="1021"/>
      <c r="BE203" s="1021"/>
      <c r="BF203" s="1021"/>
      <c r="BG203" s="1021"/>
      <c r="BH203" s="1021"/>
      <c r="BI203" s="1021"/>
      <c r="BJ203" s="1021"/>
      <c r="BK203" s="1021"/>
      <c r="BL203" s="1021"/>
      <c r="BM203" s="1021"/>
      <c r="BN203" s="1021"/>
      <c r="BO203" s="1021"/>
      <c r="BP203" s="1021"/>
      <c r="BQ203" s="1021"/>
      <c r="BR203" s="1021"/>
      <c r="BS203" s="1021"/>
      <c r="BT203" s="1021"/>
      <c r="BU203" s="1021"/>
      <c r="BV203" s="1021"/>
      <c r="BW203" s="1021"/>
      <c r="BX203" s="1021"/>
      <c r="BY203" s="1021"/>
      <c r="BZ203" s="1021"/>
      <c r="CA203" s="1021"/>
      <c r="CB203" s="1021"/>
      <c r="CC203" s="1021"/>
    </row>
    <row r="204" spans="8:81" x14ac:dyDescent="0.25">
      <c r="H204" s="1021"/>
      <c r="I204" s="1021"/>
      <c r="J204" s="1021"/>
      <c r="K204" s="1021"/>
      <c r="L204" s="1021"/>
      <c r="M204" s="1021"/>
      <c r="N204" s="1021"/>
      <c r="O204" s="1021"/>
      <c r="P204" s="1021"/>
      <c r="Q204" s="1021"/>
      <c r="R204" s="1021"/>
      <c r="S204" s="1021"/>
      <c r="T204" s="1021"/>
      <c r="U204" s="1021"/>
      <c r="V204" s="1021"/>
      <c r="W204" s="1021"/>
      <c r="X204" s="1021"/>
      <c r="Y204" s="1021"/>
      <c r="Z204" s="1021"/>
      <c r="AA204" s="1021"/>
      <c r="AB204" s="1021"/>
      <c r="AC204" s="1021"/>
      <c r="AD204" s="1021"/>
      <c r="AE204" s="1021"/>
      <c r="AF204" s="1021"/>
      <c r="AG204" s="1021"/>
      <c r="AH204" s="1021"/>
      <c r="AI204" s="1021"/>
      <c r="AJ204" s="1021"/>
      <c r="AK204" s="1021"/>
      <c r="AL204" s="1021"/>
      <c r="AM204" s="1021"/>
      <c r="AN204" s="1021"/>
      <c r="AO204" s="1021"/>
      <c r="AP204" s="1021"/>
      <c r="AQ204" s="1021"/>
      <c r="AR204" s="1021"/>
      <c r="AS204" s="1021"/>
      <c r="AT204" s="1021"/>
      <c r="AU204" s="1021"/>
      <c r="AV204" s="1021"/>
      <c r="AW204" s="1021"/>
      <c r="AX204" s="1021"/>
      <c r="AY204" s="1021"/>
      <c r="AZ204" s="1021"/>
      <c r="BA204" s="1021"/>
      <c r="BB204" s="1021"/>
      <c r="BC204" s="1021"/>
      <c r="BD204" s="1021"/>
      <c r="BE204" s="1021"/>
      <c r="BF204" s="1021"/>
      <c r="BG204" s="1021"/>
      <c r="BH204" s="1021"/>
      <c r="BI204" s="1021"/>
      <c r="BJ204" s="1021"/>
      <c r="BK204" s="1021"/>
      <c r="BL204" s="1021"/>
      <c r="BM204" s="1021"/>
      <c r="BN204" s="1021"/>
      <c r="BO204" s="1021"/>
      <c r="BP204" s="1021"/>
      <c r="BQ204" s="1021"/>
      <c r="BR204" s="1021"/>
      <c r="BS204" s="1021"/>
      <c r="BT204" s="1021"/>
      <c r="BU204" s="1021"/>
      <c r="BV204" s="1021"/>
      <c r="BW204" s="1021"/>
      <c r="BX204" s="1021"/>
      <c r="BY204" s="1021"/>
      <c r="BZ204" s="1021"/>
      <c r="CA204" s="1021"/>
      <c r="CB204" s="1021"/>
      <c r="CC204" s="1021"/>
    </row>
    <row r="205" spans="8:81" x14ac:dyDescent="0.25">
      <c r="H205" s="1021"/>
      <c r="I205" s="1021"/>
      <c r="J205" s="1021"/>
      <c r="K205" s="1021"/>
      <c r="L205" s="1021"/>
      <c r="M205" s="1021"/>
      <c r="N205" s="1021"/>
      <c r="O205" s="1021"/>
      <c r="P205" s="1021"/>
      <c r="Q205" s="1021"/>
      <c r="R205" s="1021"/>
      <c r="S205" s="1021"/>
      <c r="T205" s="1021"/>
      <c r="U205" s="1021"/>
      <c r="V205" s="1021"/>
      <c r="W205" s="1021"/>
      <c r="X205" s="1021"/>
      <c r="Y205" s="1021"/>
      <c r="Z205" s="1021"/>
      <c r="AA205" s="1021"/>
      <c r="AB205" s="1021"/>
      <c r="AC205" s="1021"/>
      <c r="AD205" s="1021"/>
      <c r="AE205" s="1021"/>
      <c r="AF205" s="1021"/>
      <c r="AG205" s="1021"/>
      <c r="AH205" s="1021"/>
      <c r="AI205" s="1021"/>
      <c r="AJ205" s="1021"/>
      <c r="AK205" s="1021"/>
      <c r="AL205" s="1021"/>
      <c r="AM205" s="1021"/>
      <c r="AN205" s="1021"/>
      <c r="AO205" s="1021"/>
      <c r="AP205" s="1021"/>
      <c r="AQ205" s="1021"/>
      <c r="AR205" s="1021"/>
      <c r="AS205" s="1021"/>
      <c r="AT205" s="1021"/>
      <c r="AU205" s="1021"/>
      <c r="AV205" s="1021"/>
      <c r="AW205" s="1021"/>
      <c r="AX205" s="1021"/>
      <c r="AY205" s="1021"/>
      <c r="AZ205" s="1021"/>
      <c r="BA205" s="1021"/>
      <c r="BB205" s="1021"/>
      <c r="BC205" s="1021"/>
      <c r="BD205" s="1021"/>
      <c r="BE205" s="1021"/>
      <c r="BF205" s="1021"/>
      <c r="BG205" s="1021"/>
      <c r="BH205" s="1021"/>
      <c r="BI205" s="1021"/>
      <c r="BJ205" s="1021"/>
      <c r="BK205" s="1021"/>
      <c r="BL205" s="1021"/>
      <c r="BM205" s="1021"/>
      <c r="BN205" s="1021"/>
      <c r="BO205" s="1021"/>
      <c r="BP205" s="1021"/>
      <c r="BQ205" s="1021"/>
      <c r="BR205" s="1021"/>
      <c r="BS205" s="1021"/>
      <c r="BT205" s="1021"/>
      <c r="BU205" s="1021"/>
      <c r="BV205" s="1021"/>
      <c r="BW205" s="1021"/>
      <c r="BX205" s="1021"/>
      <c r="BY205" s="1021"/>
      <c r="BZ205" s="1021"/>
      <c r="CA205" s="1021"/>
      <c r="CB205" s="1021"/>
      <c r="CC205" s="1021"/>
    </row>
    <row r="206" spans="8:81" x14ac:dyDescent="0.25">
      <c r="H206" s="1021"/>
      <c r="I206" s="1021"/>
      <c r="J206" s="1021"/>
      <c r="K206" s="1021"/>
      <c r="L206" s="1021"/>
      <c r="M206" s="1021"/>
      <c r="N206" s="1021"/>
      <c r="O206" s="1021"/>
      <c r="P206" s="1021"/>
      <c r="Q206" s="1021"/>
      <c r="R206" s="1021"/>
      <c r="S206" s="1021"/>
      <c r="T206" s="1021"/>
      <c r="U206" s="1021"/>
      <c r="V206" s="1021"/>
      <c r="W206" s="1021"/>
      <c r="X206" s="1021"/>
      <c r="Y206" s="1021"/>
      <c r="Z206" s="1021"/>
      <c r="AA206" s="1021"/>
      <c r="AB206" s="1021"/>
      <c r="AC206" s="1021"/>
      <c r="AD206" s="1021"/>
      <c r="AE206" s="1021"/>
      <c r="AF206" s="1021"/>
      <c r="AG206" s="1021"/>
      <c r="AH206" s="1021"/>
      <c r="AI206" s="1021"/>
      <c r="AJ206" s="1021"/>
      <c r="AK206" s="1021"/>
      <c r="AL206" s="1021"/>
      <c r="AM206" s="1021"/>
      <c r="AN206" s="1021"/>
      <c r="AO206" s="1021"/>
      <c r="AP206" s="1021"/>
      <c r="AQ206" s="1021"/>
      <c r="AR206" s="1021"/>
      <c r="AS206" s="1021"/>
      <c r="AT206" s="1021"/>
      <c r="AU206" s="1021"/>
      <c r="AV206" s="1021"/>
      <c r="AW206" s="1021"/>
      <c r="AX206" s="1021"/>
      <c r="AY206" s="1021"/>
      <c r="AZ206" s="1021"/>
      <c r="BA206" s="1021"/>
      <c r="BB206" s="1021"/>
      <c r="BC206" s="1021"/>
      <c r="BD206" s="1021"/>
      <c r="BE206" s="1021"/>
      <c r="BF206" s="1021"/>
      <c r="BG206" s="1021"/>
      <c r="BH206" s="1021"/>
      <c r="BI206" s="1021"/>
      <c r="BJ206" s="1021"/>
      <c r="BK206" s="1021"/>
      <c r="BL206" s="1021"/>
      <c r="BM206" s="1021"/>
      <c r="BN206" s="1021"/>
      <c r="BO206" s="1021"/>
      <c r="BP206" s="1021"/>
      <c r="BQ206" s="1021"/>
      <c r="BR206" s="1021"/>
      <c r="BS206" s="1021"/>
      <c r="BT206" s="1021"/>
      <c r="BU206" s="1021"/>
      <c r="BV206" s="1021"/>
      <c r="BW206" s="1021"/>
      <c r="BX206" s="1021"/>
      <c r="BY206" s="1021"/>
      <c r="BZ206" s="1021"/>
      <c r="CA206" s="1021"/>
      <c r="CB206" s="1021"/>
      <c r="CC206" s="1021"/>
    </row>
    <row r="207" spans="8:81" x14ac:dyDescent="0.25">
      <c r="H207" s="1021"/>
      <c r="I207" s="1021"/>
      <c r="J207" s="1021"/>
      <c r="K207" s="1021"/>
      <c r="L207" s="1021"/>
      <c r="M207" s="1021"/>
      <c r="N207" s="1021"/>
      <c r="O207" s="1021"/>
      <c r="P207" s="1021"/>
      <c r="Q207" s="1021"/>
      <c r="R207" s="1021"/>
      <c r="S207" s="1021"/>
      <c r="T207" s="1021"/>
      <c r="U207" s="1021"/>
      <c r="V207" s="1021"/>
      <c r="W207" s="1021"/>
      <c r="X207" s="1021"/>
      <c r="Y207" s="1021"/>
      <c r="Z207" s="1021"/>
      <c r="AA207" s="1021"/>
      <c r="AB207" s="1021"/>
      <c r="AC207" s="1021"/>
      <c r="AD207" s="1021"/>
      <c r="AE207" s="1021"/>
      <c r="AF207" s="1021"/>
      <c r="AG207" s="1021"/>
      <c r="AH207" s="1021"/>
      <c r="AI207" s="1021"/>
      <c r="AJ207" s="1021"/>
      <c r="AK207" s="1021"/>
      <c r="AL207" s="1021"/>
      <c r="AM207" s="1021"/>
      <c r="AN207" s="1021"/>
      <c r="AO207" s="1021"/>
      <c r="AP207" s="1021"/>
      <c r="AQ207" s="1021"/>
      <c r="AR207" s="1021"/>
      <c r="AS207" s="1021"/>
      <c r="AT207" s="1021"/>
      <c r="AU207" s="1021"/>
      <c r="AV207" s="1021"/>
      <c r="AW207" s="1021"/>
      <c r="AX207" s="1021"/>
      <c r="AY207" s="1021"/>
      <c r="AZ207" s="1021"/>
      <c r="BA207" s="1021"/>
      <c r="BB207" s="1021"/>
      <c r="BC207" s="1021"/>
      <c r="BD207" s="1021"/>
      <c r="BE207" s="1021"/>
      <c r="BF207" s="1021"/>
      <c r="BG207" s="1021"/>
      <c r="BH207" s="1021"/>
      <c r="BI207" s="1021"/>
      <c r="BJ207" s="1021"/>
      <c r="BK207" s="1021"/>
      <c r="BL207" s="1021"/>
      <c r="BM207" s="1021"/>
      <c r="BN207" s="1021"/>
      <c r="BO207" s="1021"/>
      <c r="BP207" s="1021"/>
      <c r="BQ207" s="1021"/>
      <c r="BR207" s="1021"/>
      <c r="BS207" s="1021"/>
      <c r="BT207" s="1021"/>
      <c r="BU207" s="1021"/>
      <c r="BV207" s="1021"/>
      <c r="BW207" s="1021"/>
      <c r="BX207" s="1021"/>
      <c r="BY207" s="1021"/>
      <c r="BZ207" s="1021"/>
      <c r="CA207" s="1021"/>
      <c r="CB207" s="1021"/>
      <c r="CC207" s="1021"/>
    </row>
    <row r="208" spans="8:81" x14ac:dyDescent="0.25">
      <c r="H208" s="1021"/>
      <c r="I208" s="1021"/>
      <c r="J208" s="1021"/>
      <c r="K208" s="1021"/>
      <c r="L208" s="1021"/>
      <c r="M208" s="1021"/>
      <c r="N208" s="1021"/>
      <c r="O208" s="1021"/>
      <c r="P208" s="1021"/>
      <c r="Q208" s="1021"/>
      <c r="R208" s="1021"/>
      <c r="S208" s="1021"/>
      <c r="T208" s="1021"/>
      <c r="U208" s="1021"/>
      <c r="V208" s="1021"/>
      <c r="W208" s="1021"/>
      <c r="X208" s="1021"/>
      <c r="Y208" s="1021"/>
      <c r="Z208" s="1021"/>
      <c r="AA208" s="1021"/>
      <c r="AB208" s="1021"/>
      <c r="AC208" s="1021"/>
      <c r="AD208" s="1021"/>
      <c r="AE208" s="1021"/>
      <c r="AF208" s="1021"/>
      <c r="AG208" s="1021"/>
      <c r="AH208" s="1021"/>
      <c r="AI208" s="1021"/>
      <c r="AJ208" s="1021"/>
      <c r="AK208" s="1021"/>
      <c r="AL208" s="1021"/>
      <c r="AM208" s="1021"/>
      <c r="AN208" s="1021"/>
      <c r="AO208" s="1021"/>
      <c r="AP208" s="1021"/>
      <c r="AQ208" s="1021"/>
      <c r="AR208" s="1021"/>
      <c r="AS208" s="1021"/>
      <c r="AT208" s="1021"/>
      <c r="AU208" s="1021"/>
      <c r="AV208" s="1021"/>
      <c r="AW208" s="1021"/>
      <c r="AX208" s="1021"/>
      <c r="AY208" s="1021"/>
      <c r="AZ208" s="1021"/>
      <c r="BA208" s="1021"/>
      <c r="BB208" s="1021"/>
      <c r="BC208" s="1021"/>
      <c r="BD208" s="1021"/>
      <c r="BE208" s="1021"/>
      <c r="BF208" s="1021"/>
      <c r="BG208" s="1021"/>
      <c r="BH208" s="1021"/>
      <c r="BI208" s="1021"/>
      <c r="BJ208" s="1021"/>
      <c r="BK208" s="1021"/>
      <c r="BL208" s="1021"/>
      <c r="BM208" s="1021"/>
      <c r="BN208" s="1021"/>
      <c r="BO208" s="1021"/>
      <c r="BP208" s="1021"/>
      <c r="BQ208" s="1021"/>
      <c r="BR208" s="1021"/>
      <c r="BS208" s="1021"/>
      <c r="BT208" s="1021"/>
      <c r="BU208" s="1021"/>
      <c r="BV208" s="1021"/>
      <c r="BW208" s="1021"/>
      <c r="BX208" s="1021"/>
      <c r="BY208" s="1021"/>
      <c r="BZ208" s="1021"/>
      <c r="CA208" s="1021"/>
      <c r="CB208" s="1021"/>
      <c r="CC208" s="1021"/>
    </row>
    <row r="209" spans="8:81" x14ac:dyDescent="0.25">
      <c r="H209" s="1021"/>
      <c r="I209" s="1021"/>
      <c r="J209" s="1021"/>
      <c r="K209" s="1021"/>
      <c r="L209" s="1021"/>
      <c r="M209" s="1021"/>
      <c r="N209" s="1021"/>
      <c r="O209" s="1021"/>
      <c r="P209" s="1021"/>
      <c r="Q209" s="1021"/>
      <c r="R209" s="1021"/>
      <c r="S209" s="1021"/>
      <c r="T209" s="1021"/>
      <c r="U209" s="1021"/>
      <c r="V209" s="1021"/>
      <c r="W209" s="1021"/>
      <c r="X209" s="1021"/>
      <c r="Y209" s="1021"/>
      <c r="Z209" s="1021"/>
      <c r="AA209" s="1021"/>
      <c r="AB209" s="1021"/>
      <c r="AC209" s="1021"/>
      <c r="AD209" s="1021"/>
      <c r="AE209" s="1021"/>
      <c r="AF209" s="1021"/>
      <c r="AG209" s="1021"/>
      <c r="AH209" s="1021"/>
      <c r="AI209" s="1021"/>
      <c r="AJ209" s="1021"/>
      <c r="AK209" s="1021"/>
      <c r="AL209" s="1021"/>
      <c r="AM209" s="1021"/>
      <c r="AN209" s="1021"/>
      <c r="AO209" s="1021"/>
      <c r="AP209" s="1021"/>
      <c r="AQ209" s="1021"/>
      <c r="AR209" s="1021"/>
      <c r="AS209" s="1021"/>
      <c r="AT209" s="1021"/>
      <c r="AU209" s="1021"/>
      <c r="AV209" s="1021"/>
      <c r="AW209" s="1021"/>
      <c r="AX209" s="1021"/>
      <c r="AY209" s="1021"/>
      <c r="AZ209" s="1021"/>
      <c r="BA209" s="1021"/>
      <c r="BB209" s="1021"/>
      <c r="BC209" s="1021"/>
      <c r="BD209" s="1021"/>
      <c r="BE209" s="1021"/>
      <c r="BF209" s="1021"/>
      <c r="BG209" s="1021"/>
      <c r="BH209" s="1021"/>
      <c r="BI209" s="1021"/>
      <c r="BJ209" s="1021"/>
      <c r="BK209" s="1021"/>
      <c r="BL209" s="1021"/>
      <c r="BM209" s="1021"/>
      <c r="BN209" s="1021"/>
      <c r="BO209" s="1021"/>
      <c r="BP209" s="1021"/>
      <c r="BQ209" s="1021"/>
      <c r="BR209" s="1021"/>
      <c r="BS209" s="1021"/>
      <c r="BT209" s="1021"/>
      <c r="BU209" s="1021"/>
      <c r="BV209" s="1021"/>
      <c r="BW209" s="1021"/>
      <c r="BX209" s="1021"/>
      <c r="BY209" s="1021"/>
      <c r="BZ209" s="1021"/>
      <c r="CA209" s="1021"/>
      <c r="CB209" s="1021"/>
      <c r="CC209" s="1021"/>
    </row>
    <row r="210" spans="8:81" x14ac:dyDescent="0.25">
      <c r="H210" s="1021"/>
      <c r="I210" s="1021"/>
      <c r="J210" s="1021"/>
      <c r="K210" s="1021"/>
      <c r="L210" s="1021"/>
      <c r="M210" s="1021"/>
      <c r="N210" s="1021"/>
      <c r="O210" s="1021"/>
      <c r="P210" s="1021"/>
      <c r="Q210" s="1021"/>
      <c r="R210" s="1021"/>
      <c r="S210" s="1021"/>
      <c r="T210" s="1021"/>
      <c r="U210" s="1021"/>
      <c r="V210" s="1021"/>
      <c r="W210" s="1021"/>
      <c r="X210" s="1021"/>
      <c r="Y210" s="1021"/>
      <c r="Z210" s="1021"/>
      <c r="AA210" s="1021"/>
      <c r="AB210" s="1021"/>
      <c r="AC210" s="1021"/>
      <c r="AD210" s="1021"/>
      <c r="AE210" s="1021"/>
      <c r="AF210" s="1021"/>
      <c r="AG210" s="1021"/>
      <c r="AH210" s="1021"/>
      <c r="AI210" s="1021"/>
      <c r="AJ210" s="1021"/>
      <c r="AK210" s="1021"/>
      <c r="AL210" s="1021"/>
      <c r="AM210" s="1021"/>
      <c r="AN210" s="1021"/>
      <c r="AO210" s="1021"/>
      <c r="AP210" s="1021"/>
      <c r="AQ210" s="1021"/>
      <c r="AR210" s="1021"/>
      <c r="AS210" s="1021"/>
      <c r="AT210" s="1021"/>
      <c r="AU210" s="1021"/>
      <c r="AV210" s="1021"/>
      <c r="AW210" s="1021"/>
      <c r="AX210" s="1021"/>
      <c r="AY210" s="1021"/>
      <c r="AZ210" s="1021"/>
      <c r="BA210" s="1021"/>
      <c r="BB210" s="1021"/>
      <c r="BC210" s="1021"/>
      <c r="BD210" s="1021"/>
      <c r="BE210" s="1021"/>
      <c r="BF210" s="1021"/>
      <c r="BG210" s="1021"/>
      <c r="BH210" s="1021"/>
      <c r="BI210" s="1021"/>
      <c r="BJ210" s="1021"/>
      <c r="BK210" s="1021"/>
      <c r="BL210" s="1021"/>
      <c r="BM210" s="1021"/>
      <c r="BN210" s="1021"/>
      <c r="BO210" s="1021"/>
      <c r="BP210" s="1021"/>
      <c r="BQ210" s="1021"/>
      <c r="BR210" s="1021"/>
      <c r="BS210" s="1021"/>
      <c r="BT210" s="1021"/>
      <c r="BU210" s="1021"/>
      <c r="BV210" s="1021"/>
      <c r="BW210" s="1021"/>
      <c r="BX210" s="1021"/>
      <c r="BY210" s="1021"/>
      <c r="BZ210" s="1021"/>
      <c r="CA210" s="1021"/>
      <c r="CB210" s="1021"/>
      <c r="CC210" s="1021"/>
    </row>
    <row r="211" spans="8:81" x14ac:dyDescent="0.25">
      <c r="H211" s="1021"/>
      <c r="I211" s="1021"/>
      <c r="J211" s="1021"/>
      <c r="K211" s="1021"/>
      <c r="L211" s="1021"/>
      <c r="M211" s="1021"/>
      <c r="N211" s="1021"/>
      <c r="O211" s="1021"/>
      <c r="P211" s="1021"/>
      <c r="Q211" s="1021"/>
      <c r="R211" s="1021"/>
      <c r="S211" s="1021"/>
      <c r="T211" s="1021"/>
      <c r="U211" s="1021"/>
      <c r="V211" s="1021"/>
      <c r="W211" s="1021"/>
      <c r="X211" s="1021"/>
      <c r="Y211" s="1021"/>
      <c r="Z211" s="1021"/>
      <c r="AA211" s="1021"/>
      <c r="AB211" s="1021"/>
      <c r="AC211" s="1021"/>
      <c r="AD211" s="1021"/>
      <c r="AE211" s="1021"/>
      <c r="AF211" s="1021"/>
      <c r="AG211" s="1021"/>
      <c r="AH211" s="1021"/>
      <c r="AI211" s="1021"/>
      <c r="AJ211" s="1021"/>
      <c r="AK211" s="1021"/>
      <c r="AL211" s="1021"/>
      <c r="AM211" s="1021"/>
      <c r="AN211" s="1021"/>
      <c r="AO211" s="1021"/>
      <c r="AP211" s="1021"/>
      <c r="AQ211" s="1021"/>
      <c r="AR211" s="1021"/>
      <c r="AS211" s="1021"/>
      <c r="AT211" s="1021"/>
      <c r="AU211" s="1021"/>
      <c r="AV211" s="1021"/>
      <c r="AW211" s="1021"/>
      <c r="AX211" s="1021"/>
      <c r="AY211" s="1021"/>
      <c r="AZ211" s="1021"/>
      <c r="BA211" s="1021"/>
      <c r="BB211" s="1021"/>
      <c r="BC211" s="1021"/>
      <c r="BD211" s="1021"/>
      <c r="BE211" s="1021"/>
      <c r="BF211" s="1021"/>
      <c r="BG211" s="1021"/>
      <c r="BH211" s="1021"/>
      <c r="BI211" s="1021"/>
      <c r="BJ211" s="1021"/>
      <c r="BK211" s="1021"/>
      <c r="BL211" s="1021"/>
      <c r="BM211" s="1021"/>
      <c r="BN211" s="1021"/>
      <c r="BO211" s="1021"/>
      <c r="BP211" s="1021"/>
      <c r="BQ211" s="1021"/>
      <c r="BR211" s="1021"/>
      <c r="BS211" s="1021"/>
      <c r="BT211" s="1021"/>
      <c r="BU211" s="1021"/>
      <c r="BV211" s="1021"/>
      <c r="BW211" s="1021"/>
      <c r="BX211" s="1021"/>
      <c r="BY211" s="1021"/>
      <c r="BZ211" s="1021"/>
      <c r="CA211" s="1021"/>
      <c r="CB211" s="1021"/>
      <c r="CC211" s="1021"/>
    </row>
    <row r="212" spans="8:81" x14ac:dyDescent="0.25">
      <c r="H212" s="1021"/>
      <c r="I212" s="1021"/>
      <c r="J212" s="1021"/>
      <c r="K212" s="1021"/>
      <c r="L212" s="1021"/>
      <c r="M212" s="1021"/>
      <c r="N212" s="1021"/>
      <c r="O212" s="1021"/>
      <c r="P212" s="1021"/>
      <c r="Q212" s="1021"/>
      <c r="R212" s="1021"/>
      <c r="S212" s="1021"/>
      <c r="T212" s="1021"/>
      <c r="U212" s="1021"/>
      <c r="V212" s="1021"/>
      <c r="W212" s="1021"/>
      <c r="X212" s="1021"/>
      <c r="Y212" s="1021"/>
      <c r="Z212" s="1021"/>
      <c r="AA212" s="1021"/>
      <c r="AB212" s="1021"/>
      <c r="AC212" s="1021"/>
      <c r="AD212" s="1021"/>
      <c r="AE212" s="1021"/>
      <c r="AF212" s="1021"/>
      <c r="AG212" s="1021"/>
      <c r="AH212" s="1021"/>
      <c r="AI212" s="1021"/>
      <c r="AJ212" s="1021"/>
      <c r="AK212" s="1021"/>
      <c r="AL212" s="1021"/>
      <c r="AM212" s="1021"/>
      <c r="AN212" s="1021"/>
      <c r="AO212" s="1021"/>
      <c r="AP212" s="1021"/>
      <c r="AQ212" s="1021"/>
      <c r="AR212" s="1021"/>
      <c r="AS212" s="1021"/>
      <c r="AT212" s="1021"/>
      <c r="AU212" s="1021"/>
      <c r="AV212" s="1021"/>
      <c r="AW212" s="1021"/>
      <c r="AX212" s="1021"/>
      <c r="AY212" s="1021"/>
      <c r="AZ212" s="1021"/>
      <c r="BA212" s="1021"/>
      <c r="BB212" s="1021"/>
      <c r="BC212" s="1021"/>
      <c r="BD212" s="1021"/>
      <c r="BE212" s="1021"/>
      <c r="BF212" s="1021"/>
      <c r="BG212" s="1021"/>
      <c r="BH212" s="1021"/>
      <c r="BI212" s="1021"/>
      <c r="BJ212" s="1021"/>
      <c r="BK212" s="1021"/>
      <c r="BL212" s="1021"/>
      <c r="BM212" s="1021"/>
      <c r="BN212" s="1021"/>
      <c r="BO212" s="1021"/>
      <c r="BP212" s="1021"/>
      <c r="BQ212" s="1021"/>
      <c r="BR212" s="1021"/>
      <c r="BS212" s="1021"/>
      <c r="BT212" s="1021"/>
      <c r="BU212" s="1021"/>
      <c r="BV212" s="1021"/>
      <c r="BW212" s="1021"/>
      <c r="BX212" s="1021"/>
      <c r="BY212" s="1021"/>
      <c r="BZ212" s="1021"/>
      <c r="CA212" s="1021"/>
      <c r="CB212" s="1021"/>
      <c r="CC212" s="1021"/>
    </row>
    <row r="213" spans="8:81" x14ac:dyDescent="0.25">
      <c r="H213" s="1021"/>
      <c r="I213" s="1021"/>
      <c r="J213" s="1021"/>
      <c r="K213" s="1021"/>
      <c r="L213" s="1021"/>
      <c r="M213" s="1021"/>
      <c r="N213" s="1021"/>
      <c r="O213" s="1021"/>
      <c r="P213" s="1021"/>
      <c r="Q213" s="1021"/>
      <c r="R213" s="1021"/>
      <c r="S213" s="1021"/>
      <c r="T213" s="1021"/>
      <c r="U213" s="1021"/>
      <c r="V213" s="1021"/>
      <c r="W213" s="1021"/>
      <c r="X213" s="1021"/>
      <c r="Y213" s="1021"/>
      <c r="Z213" s="1021"/>
      <c r="AA213" s="1021"/>
      <c r="AB213" s="1021"/>
      <c r="AC213" s="1021"/>
      <c r="AD213" s="1021"/>
      <c r="AE213" s="1021"/>
      <c r="AF213" s="1021"/>
      <c r="AG213" s="1021"/>
      <c r="AH213" s="1021"/>
      <c r="AI213" s="1021"/>
      <c r="AJ213" s="1021"/>
      <c r="AK213" s="1021"/>
      <c r="AL213" s="1021"/>
      <c r="AM213" s="1021"/>
      <c r="AN213" s="1021"/>
      <c r="AO213" s="1021"/>
      <c r="AP213" s="1021"/>
      <c r="AQ213" s="1021"/>
      <c r="AR213" s="1021"/>
      <c r="AS213" s="1021"/>
      <c r="AT213" s="1021"/>
      <c r="AU213" s="1021"/>
      <c r="AV213" s="1021"/>
      <c r="AW213" s="1021"/>
      <c r="AX213" s="1021"/>
      <c r="AY213" s="1021"/>
      <c r="AZ213" s="1021"/>
      <c r="BA213" s="1021"/>
      <c r="BB213" s="1021"/>
      <c r="BC213" s="1021"/>
      <c r="BD213" s="1021"/>
      <c r="BE213" s="1021"/>
      <c r="BF213" s="1021"/>
      <c r="BG213" s="1021"/>
      <c r="BH213" s="1021"/>
      <c r="BI213" s="1021"/>
      <c r="BJ213" s="1021"/>
      <c r="BK213" s="1021"/>
      <c r="BL213" s="1021"/>
      <c r="BM213" s="1021"/>
      <c r="BN213" s="1021"/>
      <c r="BO213" s="1021"/>
      <c r="BP213" s="1021"/>
      <c r="BQ213" s="1021"/>
      <c r="BR213" s="1021"/>
      <c r="BS213" s="1021"/>
      <c r="BT213" s="1021"/>
      <c r="BU213" s="1021"/>
      <c r="BV213" s="1021"/>
      <c r="BW213" s="1021"/>
      <c r="BX213" s="1021"/>
      <c r="BY213" s="1021"/>
      <c r="BZ213" s="1021"/>
      <c r="CA213" s="1021"/>
      <c r="CB213" s="1021"/>
      <c r="CC213" s="1021"/>
    </row>
    <row r="214" spans="8:81" x14ac:dyDescent="0.25">
      <c r="H214" s="1021"/>
      <c r="I214" s="1021"/>
      <c r="J214" s="1021"/>
      <c r="K214" s="1021"/>
      <c r="L214" s="1021"/>
      <c r="M214" s="1021"/>
      <c r="N214" s="1021"/>
      <c r="O214" s="1021"/>
      <c r="P214" s="1021"/>
      <c r="Q214" s="1021"/>
      <c r="R214" s="1021"/>
      <c r="S214" s="1021"/>
      <c r="T214" s="1021"/>
      <c r="U214" s="1021"/>
      <c r="V214" s="1021"/>
      <c r="W214" s="1021"/>
      <c r="X214" s="1021"/>
      <c r="Y214" s="1021"/>
      <c r="Z214" s="1021"/>
      <c r="AA214" s="1021"/>
      <c r="AB214" s="1021"/>
      <c r="AC214" s="1021"/>
      <c r="AD214" s="1021"/>
      <c r="AE214" s="1021"/>
      <c r="AF214" s="1021"/>
      <c r="AG214" s="1021"/>
      <c r="AH214" s="1021"/>
      <c r="AI214" s="1021"/>
      <c r="AJ214" s="1021"/>
      <c r="AK214" s="1021"/>
      <c r="AL214" s="1021"/>
      <c r="AM214" s="1021"/>
      <c r="AN214" s="1021"/>
      <c r="AO214" s="1021"/>
      <c r="AP214" s="1021"/>
      <c r="AQ214" s="1021"/>
      <c r="AR214" s="1021"/>
      <c r="AS214" s="1021"/>
      <c r="AT214" s="1021"/>
      <c r="AU214" s="1021"/>
      <c r="AV214" s="1021"/>
      <c r="AW214" s="1021"/>
      <c r="AX214" s="1021"/>
      <c r="AY214" s="1021"/>
      <c r="AZ214" s="1021"/>
      <c r="BA214" s="1021"/>
      <c r="BB214" s="1021"/>
      <c r="BC214" s="1021"/>
      <c r="BD214" s="1021"/>
      <c r="BE214" s="1021"/>
      <c r="BF214" s="1021"/>
      <c r="BG214" s="1021"/>
      <c r="BH214" s="1021"/>
      <c r="BI214" s="1021"/>
      <c r="BJ214" s="1021"/>
      <c r="BK214" s="1021"/>
      <c r="BL214" s="1021"/>
      <c r="BM214" s="1021"/>
      <c r="BN214" s="1021"/>
      <c r="BO214" s="1021"/>
      <c r="BP214" s="1021"/>
      <c r="BQ214" s="1021"/>
      <c r="BR214" s="1021"/>
      <c r="BS214" s="1021"/>
      <c r="BT214" s="1021"/>
      <c r="BU214" s="1021"/>
      <c r="BV214" s="1021"/>
      <c r="BW214" s="1021"/>
      <c r="BX214" s="1021"/>
      <c r="BY214" s="1021"/>
      <c r="BZ214" s="1021"/>
      <c r="CA214" s="1021"/>
      <c r="CB214" s="1021"/>
      <c r="CC214" s="1021"/>
    </row>
    <row r="215" spans="8:81" x14ac:dyDescent="0.25">
      <c r="H215" s="1021"/>
      <c r="I215" s="1021"/>
      <c r="J215" s="1021"/>
      <c r="K215" s="1021"/>
      <c r="L215" s="1021"/>
      <c r="M215" s="1021"/>
      <c r="N215" s="1021"/>
      <c r="O215" s="1021"/>
      <c r="P215" s="1021"/>
      <c r="Q215" s="1021"/>
      <c r="R215" s="1021"/>
      <c r="S215" s="1021"/>
      <c r="T215" s="1021"/>
      <c r="U215" s="1021"/>
      <c r="V215" s="1021"/>
      <c r="W215" s="1021"/>
      <c r="X215" s="1021"/>
      <c r="Y215" s="1021"/>
      <c r="Z215" s="1021"/>
      <c r="AA215" s="1021"/>
      <c r="AB215" s="1021"/>
      <c r="AC215" s="1021"/>
      <c r="AD215" s="1021"/>
      <c r="AE215" s="1021"/>
      <c r="AF215" s="1021"/>
      <c r="AG215" s="1021"/>
      <c r="AH215" s="1021"/>
      <c r="AI215" s="1021"/>
      <c r="AJ215" s="1021"/>
      <c r="AK215" s="1021"/>
      <c r="AL215" s="1021"/>
      <c r="AM215" s="1021"/>
      <c r="AN215" s="1021"/>
      <c r="AO215" s="1021"/>
      <c r="AP215" s="1021"/>
      <c r="AQ215" s="1021"/>
      <c r="AR215" s="1021"/>
      <c r="AS215" s="1021"/>
      <c r="AT215" s="1021"/>
      <c r="AU215" s="1021"/>
      <c r="AV215" s="1021"/>
      <c r="AW215" s="1021"/>
      <c r="AX215" s="1021"/>
      <c r="AY215" s="1021"/>
      <c r="AZ215" s="1021"/>
      <c r="BA215" s="1021"/>
      <c r="BB215" s="1021"/>
      <c r="BC215" s="1021"/>
      <c r="BD215" s="1021"/>
      <c r="BE215" s="1021"/>
      <c r="BF215" s="1021"/>
      <c r="BG215" s="1021"/>
      <c r="BH215" s="1021"/>
      <c r="BI215" s="1021"/>
      <c r="BJ215" s="1021"/>
      <c r="BK215" s="1021"/>
      <c r="BL215" s="1021"/>
      <c r="BM215" s="1021"/>
      <c r="BN215" s="1021"/>
      <c r="BO215" s="1021"/>
      <c r="BP215" s="1021"/>
      <c r="BQ215" s="1021"/>
      <c r="BR215" s="1021"/>
      <c r="BS215" s="1021"/>
      <c r="BT215" s="1021"/>
      <c r="BU215" s="1021"/>
      <c r="BV215" s="1021"/>
      <c r="BW215" s="1021"/>
      <c r="BX215" s="1021"/>
      <c r="BY215" s="1021"/>
      <c r="BZ215" s="1021"/>
      <c r="CA215" s="1021"/>
      <c r="CB215" s="1021"/>
      <c r="CC215" s="1021"/>
    </row>
    <row r="216" spans="8:81" x14ac:dyDescent="0.25">
      <c r="H216" s="1021"/>
      <c r="I216" s="1021"/>
      <c r="J216" s="1021"/>
      <c r="K216" s="1021"/>
      <c r="L216" s="1021"/>
      <c r="M216" s="1021"/>
      <c r="N216" s="1021"/>
      <c r="O216" s="1021"/>
      <c r="P216" s="1021"/>
      <c r="Q216" s="1021"/>
      <c r="R216" s="1021"/>
      <c r="S216" s="1021"/>
      <c r="T216" s="1021"/>
      <c r="U216" s="1021"/>
      <c r="V216" s="1021"/>
      <c r="W216" s="1021"/>
      <c r="X216" s="1021"/>
      <c r="Y216" s="1021"/>
      <c r="Z216" s="1021"/>
      <c r="AA216" s="1021"/>
      <c r="AB216" s="1021"/>
      <c r="AC216" s="1021"/>
      <c r="AD216" s="1021"/>
      <c r="AE216" s="1021"/>
      <c r="AF216" s="1021"/>
      <c r="AG216" s="1021"/>
      <c r="AH216" s="1021"/>
      <c r="AI216" s="1021"/>
      <c r="AJ216" s="1021"/>
      <c r="AK216" s="1021"/>
      <c r="AL216" s="1021"/>
      <c r="AM216" s="1021"/>
      <c r="AN216" s="1021"/>
      <c r="AO216" s="1021"/>
      <c r="AP216" s="1021"/>
      <c r="AQ216" s="1021"/>
      <c r="AR216" s="1021"/>
      <c r="AS216" s="1021"/>
      <c r="AT216" s="1021"/>
      <c r="AU216" s="1021"/>
      <c r="AV216" s="1021"/>
      <c r="AW216" s="1021"/>
      <c r="AX216" s="1021"/>
      <c r="AY216" s="1021"/>
      <c r="AZ216" s="1021"/>
      <c r="BA216" s="1021"/>
      <c r="BB216" s="1021"/>
      <c r="BC216" s="1021"/>
      <c r="BD216" s="1021"/>
      <c r="BE216" s="1021"/>
      <c r="BF216" s="1021"/>
      <c r="BG216" s="1021"/>
      <c r="BH216" s="1021"/>
      <c r="BI216" s="1021"/>
      <c r="BJ216" s="1021"/>
      <c r="BK216" s="1021"/>
      <c r="BL216" s="1021"/>
      <c r="BM216" s="1021"/>
      <c r="BN216" s="1021"/>
      <c r="BO216" s="1021"/>
      <c r="BP216" s="1021"/>
      <c r="BQ216" s="1021"/>
      <c r="BR216" s="1021"/>
      <c r="BS216" s="1021"/>
      <c r="BT216" s="1021"/>
      <c r="BU216" s="1021"/>
      <c r="BV216" s="1021"/>
      <c r="BW216" s="1021"/>
      <c r="BX216" s="1021"/>
      <c r="BY216" s="1021"/>
      <c r="BZ216" s="1021"/>
      <c r="CA216" s="1021"/>
      <c r="CB216" s="1021"/>
      <c r="CC216" s="1021"/>
    </row>
    <row r="217" spans="8:81" x14ac:dyDescent="0.25">
      <c r="H217" s="1021"/>
      <c r="I217" s="1021"/>
      <c r="J217" s="1021"/>
      <c r="K217" s="1021"/>
      <c r="L217" s="1021"/>
      <c r="M217" s="1021"/>
      <c r="N217" s="1021"/>
      <c r="O217" s="1021"/>
      <c r="P217" s="1021"/>
      <c r="Q217" s="1021"/>
      <c r="R217" s="1021"/>
      <c r="S217" s="1021"/>
      <c r="T217" s="1021"/>
      <c r="U217" s="1021"/>
      <c r="V217" s="1021"/>
      <c r="W217" s="1021"/>
      <c r="X217" s="1021"/>
      <c r="Y217" s="1021"/>
      <c r="Z217" s="1021"/>
      <c r="AA217" s="1021"/>
      <c r="AB217" s="1021"/>
      <c r="AC217" s="1021"/>
      <c r="AD217" s="1021"/>
      <c r="AE217" s="1021"/>
      <c r="AF217" s="1021"/>
      <c r="AG217" s="1021"/>
      <c r="AH217" s="1021"/>
      <c r="AI217" s="1021"/>
      <c r="AJ217" s="1021"/>
      <c r="AK217" s="1021"/>
      <c r="AL217" s="1021"/>
      <c r="AM217" s="1021"/>
      <c r="AN217" s="1021"/>
      <c r="AO217" s="1021"/>
      <c r="AP217" s="1021"/>
      <c r="AQ217" s="1021"/>
      <c r="AR217" s="1021"/>
      <c r="AS217" s="1021"/>
      <c r="AT217" s="1021"/>
      <c r="AU217" s="1021"/>
      <c r="AV217" s="1021"/>
      <c r="AW217" s="1021"/>
      <c r="AX217" s="1021"/>
      <c r="AY217" s="1021"/>
      <c r="AZ217" s="1021"/>
      <c r="BA217" s="1021"/>
      <c r="BB217" s="1021"/>
      <c r="BC217" s="1021"/>
      <c r="BD217" s="1021"/>
      <c r="BE217" s="1021"/>
      <c r="BF217" s="1021"/>
      <c r="BG217" s="1021"/>
      <c r="BH217" s="1021"/>
      <c r="BI217" s="1021"/>
      <c r="BJ217" s="1021"/>
      <c r="BK217" s="1021"/>
      <c r="BL217" s="1021"/>
      <c r="BM217" s="1021"/>
      <c r="BN217" s="1021"/>
      <c r="BO217" s="1021"/>
      <c r="BP217" s="1021"/>
      <c r="BQ217" s="1021"/>
      <c r="BR217" s="1021"/>
      <c r="BS217" s="1021"/>
      <c r="BT217" s="1021"/>
      <c r="BU217" s="1021"/>
      <c r="BV217" s="1021"/>
      <c r="BW217" s="1021"/>
      <c r="BX217" s="1021"/>
      <c r="BY217" s="1021"/>
      <c r="BZ217" s="1021"/>
      <c r="CA217" s="1021"/>
      <c r="CB217" s="1021"/>
      <c r="CC217" s="1021"/>
    </row>
    <row r="218" spans="8:81" x14ac:dyDescent="0.25">
      <c r="H218" s="1021"/>
      <c r="I218" s="1021"/>
      <c r="J218" s="1021"/>
      <c r="K218" s="1021"/>
      <c r="L218" s="1021"/>
      <c r="M218" s="1021"/>
      <c r="N218" s="1021"/>
      <c r="O218" s="1021"/>
      <c r="P218" s="1021"/>
      <c r="Q218" s="1021"/>
      <c r="R218" s="1021"/>
      <c r="S218" s="1021"/>
      <c r="T218" s="1021"/>
      <c r="U218" s="1021"/>
      <c r="V218" s="1021"/>
      <c r="W218" s="1021"/>
      <c r="X218" s="1021"/>
      <c r="Y218" s="1021"/>
      <c r="Z218" s="1021"/>
      <c r="AA218" s="1021"/>
      <c r="AB218" s="1021"/>
      <c r="AC218" s="1021"/>
      <c r="AD218" s="1021"/>
      <c r="AE218" s="1021"/>
      <c r="AF218" s="1021"/>
      <c r="AG218" s="1021"/>
      <c r="AH218" s="1021"/>
      <c r="AI218" s="1021"/>
      <c r="AJ218" s="1021"/>
      <c r="AK218" s="1021"/>
      <c r="AL218" s="1021"/>
      <c r="AM218" s="1021"/>
      <c r="AN218" s="1021"/>
      <c r="AO218" s="1021"/>
      <c r="AP218" s="1021"/>
      <c r="AQ218" s="1021"/>
      <c r="AR218" s="1021"/>
      <c r="AS218" s="1021"/>
      <c r="AT218" s="1021"/>
      <c r="AU218" s="1021"/>
      <c r="AV218" s="1021"/>
      <c r="AW218" s="1021"/>
      <c r="AX218" s="1021"/>
      <c r="AY218" s="1021"/>
      <c r="AZ218" s="1021"/>
      <c r="BA218" s="1021"/>
      <c r="BB218" s="1021"/>
      <c r="BC218" s="1021"/>
      <c r="BD218" s="1021"/>
      <c r="BE218" s="1021"/>
      <c r="BF218" s="1021"/>
      <c r="BG218" s="1021"/>
      <c r="BH218" s="1021"/>
      <c r="BI218" s="1021"/>
      <c r="BJ218" s="1021"/>
      <c r="BK218" s="1021"/>
      <c r="BL218" s="1021"/>
      <c r="BM218" s="1021"/>
      <c r="BN218" s="1021"/>
      <c r="BO218" s="1021"/>
      <c r="BP218" s="1021"/>
      <c r="BQ218" s="1021"/>
      <c r="BR218" s="1021"/>
      <c r="BS218" s="1021"/>
      <c r="BT218" s="1021"/>
      <c r="BU218" s="1021"/>
      <c r="BV218" s="1021"/>
      <c r="BW218" s="1021"/>
      <c r="BX218" s="1021"/>
      <c r="BY218" s="1021"/>
      <c r="BZ218" s="1021"/>
      <c r="CA218" s="1021"/>
      <c r="CB218" s="1021"/>
      <c r="CC218" s="1021"/>
    </row>
    <row r="219" spans="8:81" x14ac:dyDescent="0.25">
      <c r="H219" s="1021"/>
      <c r="I219" s="1021"/>
      <c r="J219" s="1021"/>
      <c r="K219" s="1021"/>
      <c r="L219" s="1021"/>
      <c r="M219" s="1021"/>
      <c r="N219" s="1021"/>
      <c r="O219" s="1021"/>
      <c r="P219" s="1021"/>
      <c r="Q219" s="1021"/>
      <c r="R219" s="1021"/>
      <c r="S219" s="1021"/>
      <c r="T219" s="1021"/>
      <c r="U219" s="1021"/>
      <c r="V219" s="1021"/>
      <c r="W219" s="1021"/>
      <c r="X219" s="1021"/>
      <c r="Y219" s="1021"/>
      <c r="Z219" s="1021"/>
      <c r="AA219" s="1021"/>
      <c r="AB219" s="1021"/>
      <c r="AC219" s="1021"/>
      <c r="AD219" s="1021"/>
      <c r="AE219" s="1021"/>
      <c r="AF219" s="1021"/>
      <c r="AG219" s="1021"/>
      <c r="AH219" s="1021"/>
      <c r="AI219" s="1021"/>
      <c r="AJ219" s="1021"/>
      <c r="AK219" s="1021"/>
      <c r="AL219" s="1021"/>
      <c r="AM219" s="1021"/>
      <c r="AN219" s="1021"/>
      <c r="AO219" s="1021"/>
      <c r="AP219" s="1021"/>
      <c r="AQ219" s="1021"/>
      <c r="AR219" s="1021"/>
      <c r="AS219" s="1021"/>
      <c r="AT219" s="1021"/>
      <c r="AU219" s="1021"/>
      <c r="AV219" s="1021"/>
      <c r="AW219" s="1021"/>
      <c r="AX219" s="1021"/>
      <c r="AY219" s="1021"/>
      <c r="AZ219" s="1021"/>
      <c r="BA219" s="1021"/>
      <c r="BB219" s="1021"/>
      <c r="BC219" s="1021"/>
      <c r="BD219" s="1021"/>
      <c r="BE219" s="1021"/>
      <c r="BF219" s="1021"/>
      <c r="BG219" s="1021"/>
      <c r="BH219" s="1021"/>
      <c r="BI219" s="1021"/>
      <c r="BJ219" s="1021"/>
      <c r="BK219" s="1021"/>
      <c r="BL219" s="1021"/>
      <c r="BM219" s="1021"/>
      <c r="BN219" s="1021"/>
      <c r="BO219" s="1021"/>
      <c r="BP219" s="1021"/>
      <c r="BQ219" s="1021"/>
      <c r="BR219" s="1021"/>
      <c r="BS219" s="1021"/>
      <c r="BT219" s="1021"/>
      <c r="BU219" s="1021"/>
      <c r="BV219" s="1021"/>
      <c r="BW219" s="1021"/>
      <c r="BX219" s="1021"/>
      <c r="BY219" s="1021"/>
      <c r="BZ219" s="1021"/>
      <c r="CA219" s="1021"/>
      <c r="CB219" s="1021"/>
      <c r="CC219" s="1021"/>
    </row>
    <row r="220" spans="8:81" x14ac:dyDescent="0.25">
      <c r="H220" s="1021"/>
      <c r="I220" s="1021"/>
      <c r="J220" s="1021"/>
      <c r="K220" s="1021"/>
      <c r="L220" s="1021"/>
      <c r="M220" s="1021"/>
      <c r="N220" s="1021"/>
      <c r="O220" s="1021"/>
      <c r="P220" s="1021"/>
      <c r="Q220" s="1021"/>
      <c r="R220" s="1021"/>
      <c r="S220" s="1021"/>
      <c r="T220" s="1021"/>
      <c r="U220" s="1021"/>
      <c r="V220" s="1021"/>
      <c r="W220" s="1021"/>
      <c r="X220" s="1021"/>
      <c r="Y220" s="1021"/>
      <c r="Z220" s="1021"/>
      <c r="AA220" s="1021"/>
      <c r="AB220" s="1021"/>
      <c r="AC220" s="1021"/>
      <c r="AD220" s="1021"/>
      <c r="AE220" s="1021"/>
      <c r="AF220" s="1021"/>
      <c r="AG220" s="1021"/>
      <c r="AH220" s="1021"/>
      <c r="AI220" s="1021"/>
      <c r="AJ220" s="1021"/>
      <c r="AK220" s="1021"/>
      <c r="AL220" s="1021"/>
      <c r="AM220" s="1021"/>
      <c r="AN220" s="1021"/>
      <c r="AO220" s="1021"/>
      <c r="AP220" s="1021"/>
      <c r="AQ220" s="1021"/>
      <c r="AR220" s="1021"/>
      <c r="AS220" s="1021"/>
      <c r="AT220" s="1021"/>
      <c r="AU220" s="1021"/>
      <c r="AV220" s="1021"/>
      <c r="AW220" s="1021"/>
      <c r="AX220" s="1021"/>
      <c r="AY220" s="1021"/>
      <c r="AZ220" s="1021"/>
      <c r="BA220" s="1021"/>
      <c r="BB220" s="1021"/>
      <c r="BC220" s="1021"/>
      <c r="BD220" s="1021"/>
      <c r="BE220" s="1021"/>
      <c r="BF220" s="1021"/>
      <c r="BG220" s="1021"/>
      <c r="BH220" s="1021"/>
      <c r="BI220" s="1021"/>
      <c r="BJ220" s="1021"/>
      <c r="BK220" s="1021"/>
      <c r="BL220" s="1021"/>
      <c r="BM220" s="1021"/>
      <c r="BN220" s="1021"/>
      <c r="BO220" s="1021"/>
      <c r="BP220" s="1021"/>
      <c r="BQ220" s="1021"/>
      <c r="BR220" s="1021"/>
      <c r="BS220" s="1021"/>
      <c r="BT220" s="1021"/>
      <c r="BU220" s="1021"/>
      <c r="BV220" s="1021"/>
      <c r="BW220" s="1021"/>
      <c r="BX220" s="1021"/>
      <c r="BY220" s="1021"/>
      <c r="BZ220" s="1021"/>
      <c r="CA220" s="1021"/>
      <c r="CB220" s="1021"/>
      <c r="CC220" s="1021"/>
    </row>
    <row r="221" spans="8:81" x14ac:dyDescent="0.25">
      <c r="H221" s="1021"/>
      <c r="I221" s="1021"/>
      <c r="J221" s="1021"/>
      <c r="K221" s="1021"/>
      <c r="L221" s="1021"/>
      <c r="M221" s="1021"/>
      <c r="N221" s="1021"/>
      <c r="O221" s="1021"/>
      <c r="P221" s="1021"/>
      <c r="Q221" s="1021"/>
      <c r="R221" s="1021"/>
      <c r="S221" s="1021"/>
      <c r="T221" s="1021"/>
      <c r="U221" s="1021"/>
      <c r="V221" s="1021"/>
      <c r="W221" s="1021"/>
      <c r="X221" s="1021"/>
      <c r="Y221" s="1021"/>
      <c r="Z221" s="1021"/>
      <c r="AA221" s="1021"/>
      <c r="AB221" s="1021"/>
      <c r="AC221" s="1021"/>
      <c r="AD221" s="1021"/>
      <c r="AE221" s="1021"/>
      <c r="AF221" s="1021"/>
      <c r="AG221" s="1021"/>
      <c r="AH221" s="1021"/>
      <c r="AI221" s="1021"/>
      <c r="AJ221" s="1021"/>
      <c r="AK221" s="1021"/>
      <c r="AL221" s="1021"/>
      <c r="AM221" s="1021"/>
      <c r="AN221" s="1021"/>
      <c r="AO221" s="1021"/>
      <c r="AP221" s="1021"/>
      <c r="AQ221" s="1021"/>
      <c r="AR221" s="1021"/>
      <c r="AS221" s="1021"/>
      <c r="AT221" s="1021"/>
      <c r="AU221" s="1021"/>
      <c r="AV221" s="1021"/>
      <c r="AW221" s="1021"/>
      <c r="AX221" s="1021"/>
      <c r="AY221" s="1021"/>
      <c r="AZ221" s="1021"/>
      <c r="BA221" s="1021"/>
      <c r="BB221" s="1021"/>
      <c r="BC221" s="1021"/>
      <c r="BD221" s="1021"/>
      <c r="BE221" s="1021"/>
      <c r="BF221" s="1021"/>
      <c r="BG221" s="1021"/>
      <c r="BH221" s="1021"/>
      <c r="BI221" s="1021"/>
      <c r="BJ221" s="1021"/>
      <c r="BK221" s="1021"/>
      <c r="BL221" s="1021"/>
      <c r="BM221" s="1021"/>
      <c r="BN221" s="1021"/>
      <c r="BO221" s="1021"/>
      <c r="BP221" s="1021"/>
      <c r="BQ221" s="1021"/>
      <c r="BR221" s="1021"/>
      <c r="BS221" s="1021"/>
      <c r="BT221" s="1021"/>
      <c r="BU221" s="1021"/>
      <c r="BV221" s="1021"/>
      <c r="BW221" s="1021"/>
      <c r="BX221" s="1021"/>
      <c r="BY221" s="1021"/>
      <c r="BZ221" s="1021"/>
      <c r="CA221" s="1021"/>
      <c r="CB221" s="1021"/>
      <c r="CC221" s="1021"/>
    </row>
    <row r="222" spans="8:81" x14ac:dyDescent="0.25">
      <c r="H222" s="1021"/>
      <c r="I222" s="1021"/>
      <c r="J222" s="1021"/>
      <c r="K222" s="1021"/>
      <c r="L222" s="1021"/>
      <c r="M222" s="1021"/>
      <c r="N222" s="1021"/>
      <c r="O222" s="1021"/>
      <c r="P222" s="1021"/>
      <c r="Q222" s="1021"/>
      <c r="R222" s="1021"/>
      <c r="S222" s="1021"/>
      <c r="T222" s="1021"/>
      <c r="U222" s="1021"/>
      <c r="V222" s="1021"/>
      <c r="W222" s="1021"/>
      <c r="X222" s="1021"/>
      <c r="Y222" s="1021"/>
      <c r="Z222" s="1021"/>
      <c r="AA222" s="1021"/>
      <c r="AB222" s="1021"/>
      <c r="AC222" s="1021"/>
      <c r="AD222" s="1021"/>
      <c r="AE222" s="1021"/>
      <c r="AF222" s="1021"/>
      <c r="AG222" s="1021"/>
      <c r="AH222" s="1021"/>
      <c r="AI222" s="1021"/>
      <c r="AJ222" s="1021"/>
      <c r="AK222" s="1021"/>
      <c r="AL222" s="1021"/>
      <c r="AM222" s="1021"/>
      <c r="AN222" s="1021"/>
      <c r="AO222" s="1021"/>
      <c r="AP222" s="1021"/>
      <c r="AQ222" s="1021"/>
      <c r="AR222" s="1021"/>
      <c r="AS222" s="1021"/>
      <c r="AT222" s="1021"/>
      <c r="AU222" s="1021"/>
      <c r="AV222" s="1021"/>
      <c r="AW222" s="1021"/>
      <c r="AX222" s="1021"/>
      <c r="AY222" s="1021"/>
      <c r="AZ222" s="1021"/>
      <c r="BA222" s="1021"/>
      <c r="BB222" s="1021"/>
      <c r="BC222" s="1021"/>
      <c r="BD222" s="1021"/>
      <c r="BE222" s="1021"/>
      <c r="BF222" s="1021"/>
      <c r="BG222" s="1021"/>
      <c r="BH222" s="1021"/>
      <c r="BI222" s="1021"/>
      <c r="BJ222" s="1021"/>
      <c r="BK222" s="1021"/>
      <c r="BL222" s="1021"/>
      <c r="BM222" s="1021"/>
      <c r="BN222" s="1021"/>
      <c r="BO222" s="1021"/>
      <c r="BP222" s="1021"/>
      <c r="BQ222" s="1021"/>
      <c r="BR222" s="1021"/>
      <c r="BS222" s="1021"/>
      <c r="BT222" s="1021"/>
      <c r="BU222" s="1021"/>
      <c r="BV222" s="1021"/>
      <c r="BW222" s="1021"/>
      <c r="BX222" s="1021"/>
      <c r="BY222" s="1021"/>
      <c r="BZ222" s="1021"/>
      <c r="CA222" s="1021"/>
      <c r="CB222" s="1021"/>
      <c r="CC222" s="1021"/>
    </row>
    <row r="223" spans="8:81" x14ac:dyDescent="0.25">
      <c r="H223" s="1021"/>
      <c r="I223" s="1021"/>
      <c r="J223" s="1021"/>
      <c r="K223" s="1021"/>
      <c r="L223" s="1021"/>
      <c r="M223" s="1021"/>
      <c r="N223" s="1021"/>
      <c r="O223" s="1021"/>
      <c r="P223" s="1021"/>
      <c r="Q223" s="1021"/>
      <c r="R223" s="1021"/>
      <c r="S223" s="1021"/>
      <c r="T223" s="1021"/>
      <c r="U223" s="1021"/>
      <c r="V223" s="1021"/>
      <c r="W223" s="1021"/>
      <c r="X223" s="1021"/>
      <c r="Y223" s="1021"/>
      <c r="Z223" s="1021"/>
      <c r="AA223" s="1021"/>
      <c r="AB223" s="1021"/>
      <c r="AC223" s="1021"/>
      <c r="AD223" s="1021"/>
      <c r="AE223" s="1021"/>
      <c r="AF223" s="1021"/>
      <c r="AG223" s="1021"/>
      <c r="AH223" s="1021"/>
      <c r="AI223" s="1021"/>
      <c r="AJ223" s="1021"/>
      <c r="AK223" s="1021"/>
      <c r="AL223" s="1021"/>
      <c r="AM223" s="1021"/>
      <c r="AN223" s="1021"/>
      <c r="AO223" s="1021"/>
      <c r="AP223" s="1021"/>
      <c r="AQ223" s="1021"/>
      <c r="AR223" s="1021"/>
      <c r="AS223" s="1021"/>
      <c r="AT223" s="1021"/>
      <c r="AU223" s="1021"/>
      <c r="AV223" s="1021"/>
      <c r="AW223" s="1021"/>
      <c r="AX223" s="1021"/>
      <c r="AY223" s="1021"/>
      <c r="AZ223" s="1021"/>
      <c r="BA223" s="1021"/>
      <c r="BB223" s="1021"/>
      <c r="BC223" s="1021"/>
      <c r="BD223" s="1021"/>
      <c r="BE223" s="1021"/>
      <c r="BF223" s="1021"/>
      <c r="BG223" s="1021"/>
      <c r="BH223" s="1021"/>
      <c r="BI223" s="1021"/>
      <c r="BJ223" s="1021"/>
      <c r="BK223" s="1021"/>
      <c r="BL223" s="1021"/>
      <c r="BM223" s="1021"/>
      <c r="BN223" s="1021"/>
      <c r="BO223" s="1021"/>
      <c r="BP223" s="1021"/>
      <c r="BQ223" s="1021"/>
      <c r="BR223" s="1021"/>
      <c r="BS223" s="1021"/>
      <c r="BT223" s="1021"/>
      <c r="BU223" s="1021"/>
      <c r="BV223" s="1021"/>
      <c r="BW223" s="1021"/>
      <c r="BX223" s="1021"/>
      <c r="BY223" s="1021"/>
      <c r="BZ223" s="1021"/>
      <c r="CA223" s="1021"/>
      <c r="CB223" s="1021"/>
      <c r="CC223" s="1021"/>
    </row>
    <row r="224" spans="8:81" x14ac:dyDescent="0.25">
      <c r="H224" s="1021"/>
      <c r="I224" s="1021"/>
      <c r="J224" s="1021"/>
      <c r="K224" s="1021"/>
      <c r="L224" s="1021"/>
      <c r="M224" s="1021"/>
      <c r="N224" s="1021"/>
      <c r="O224" s="1021"/>
      <c r="P224" s="1021"/>
      <c r="Q224" s="1021"/>
      <c r="R224" s="1021"/>
      <c r="S224" s="1021"/>
      <c r="T224" s="1021"/>
      <c r="U224" s="1021"/>
      <c r="V224" s="1021"/>
      <c r="W224" s="1021"/>
      <c r="X224" s="1021"/>
      <c r="Y224" s="1021"/>
      <c r="Z224" s="1021"/>
      <c r="AA224" s="1021"/>
      <c r="AB224" s="1021"/>
      <c r="AC224" s="1021"/>
      <c r="AD224" s="1021"/>
      <c r="AE224" s="1021"/>
      <c r="AF224" s="1021"/>
      <c r="AG224" s="1021"/>
      <c r="AH224" s="1021"/>
      <c r="AI224" s="1021"/>
      <c r="AJ224" s="1021"/>
      <c r="AK224" s="1021"/>
      <c r="AL224" s="1021"/>
      <c r="AM224" s="1021"/>
      <c r="AN224" s="1021"/>
      <c r="AO224" s="1021"/>
      <c r="AP224" s="1021"/>
      <c r="AQ224" s="1021"/>
      <c r="AR224" s="1021"/>
      <c r="AS224" s="1021"/>
      <c r="AT224" s="1021"/>
      <c r="AU224" s="1021"/>
      <c r="AV224" s="1021"/>
      <c r="AW224" s="1021"/>
      <c r="AX224" s="1021"/>
      <c r="AY224" s="1021"/>
      <c r="AZ224" s="1021"/>
      <c r="BA224" s="1021"/>
      <c r="BB224" s="1021"/>
      <c r="BC224" s="1021"/>
      <c r="BD224" s="1021"/>
      <c r="BE224" s="1021"/>
      <c r="BF224" s="1021"/>
      <c r="BG224" s="1021"/>
      <c r="BH224" s="1021"/>
      <c r="BI224" s="1021"/>
      <c r="BJ224" s="1021"/>
      <c r="BK224" s="1021"/>
      <c r="BL224" s="1021"/>
      <c r="BM224" s="1021"/>
      <c r="BN224" s="1021"/>
      <c r="BO224" s="1021"/>
      <c r="BP224" s="1021"/>
      <c r="BQ224" s="1021"/>
      <c r="BR224" s="1021"/>
      <c r="BS224" s="1021"/>
      <c r="BT224" s="1021"/>
      <c r="BU224" s="1021"/>
      <c r="BV224" s="1021"/>
      <c r="BW224" s="1021"/>
      <c r="BX224" s="1021"/>
      <c r="BY224" s="1021"/>
      <c r="BZ224" s="1021"/>
      <c r="CA224" s="1021"/>
      <c r="CB224" s="1021"/>
      <c r="CC224" s="1021"/>
    </row>
    <row r="225" spans="8:81" x14ac:dyDescent="0.25">
      <c r="H225" s="1021"/>
      <c r="I225" s="1021"/>
      <c r="J225" s="1021"/>
      <c r="K225" s="1021"/>
      <c r="L225" s="1021"/>
      <c r="M225" s="1021"/>
      <c r="N225" s="1021"/>
      <c r="O225" s="1021"/>
      <c r="P225" s="1021"/>
      <c r="Q225" s="1021"/>
      <c r="R225" s="1021"/>
      <c r="S225" s="1021"/>
      <c r="T225" s="1021"/>
      <c r="U225" s="1021"/>
      <c r="V225" s="1021"/>
      <c r="W225" s="1021"/>
      <c r="X225" s="1021"/>
      <c r="Y225" s="1021"/>
      <c r="Z225" s="1021"/>
      <c r="AA225" s="1021"/>
      <c r="AB225" s="1021"/>
      <c r="AC225" s="1021"/>
      <c r="AD225" s="1021"/>
      <c r="AE225" s="1021"/>
      <c r="AF225" s="1021"/>
      <c r="AG225" s="1021"/>
      <c r="AH225" s="1021"/>
      <c r="AI225" s="1021"/>
      <c r="AJ225" s="1021"/>
      <c r="AK225" s="1021"/>
      <c r="AL225" s="1021"/>
      <c r="AM225" s="1021"/>
      <c r="AN225" s="1021"/>
      <c r="AO225" s="1021"/>
      <c r="AP225" s="1021"/>
      <c r="AQ225" s="1021"/>
      <c r="AR225" s="1021"/>
      <c r="AS225" s="1021"/>
      <c r="AT225" s="1021"/>
      <c r="AU225" s="1021"/>
      <c r="AV225" s="1021"/>
      <c r="AW225" s="1021"/>
      <c r="AX225" s="1021"/>
      <c r="AY225" s="1021"/>
      <c r="AZ225" s="1021"/>
      <c r="BA225" s="1021"/>
      <c r="BB225" s="1021"/>
      <c r="BC225" s="1021"/>
      <c r="BD225" s="1021"/>
      <c r="BE225" s="1021"/>
      <c r="BF225" s="1021"/>
      <c r="BG225" s="1021"/>
      <c r="BH225" s="1021"/>
      <c r="BI225" s="1021"/>
      <c r="BJ225" s="1021"/>
      <c r="BK225" s="1021"/>
      <c r="BL225" s="1021"/>
      <c r="BM225" s="1021"/>
      <c r="BN225" s="1021"/>
      <c r="BO225" s="1021"/>
      <c r="BP225" s="1021"/>
      <c r="BQ225" s="1021"/>
      <c r="BR225" s="1021"/>
      <c r="BS225" s="1021"/>
      <c r="BT225" s="1021"/>
      <c r="BU225" s="1021"/>
      <c r="BV225" s="1021"/>
      <c r="BW225" s="1021"/>
      <c r="BX225" s="1021"/>
      <c r="BY225" s="1021"/>
      <c r="BZ225" s="1021"/>
      <c r="CA225" s="1021"/>
      <c r="CB225" s="1021"/>
      <c r="CC225" s="1021"/>
    </row>
    <row r="226" spans="8:81" x14ac:dyDescent="0.25">
      <c r="H226" s="1021"/>
      <c r="I226" s="1021"/>
      <c r="J226" s="1021"/>
      <c r="K226" s="1021"/>
      <c r="L226" s="1021"/>
      <c r="M226" s="1021"/>
      <c r="N226" s="1021"/>
      <c r="O226" s="1021"/>
      <c r="P226" s="1021"/>
      <c r="Q226" s="1021"/>
      <c r="R226" s="1021"/>
      <c r="S226" s="1021"/>
      <c r="T226" s="1021"/>
      <c r="U226" s="1021"/>
      <c r="V226" s="1021"/>
      <c r="W226" s="1021"/>
      <c r="X226" s="1021"/>
      <c r="Y226" s="1021"/>
      <c r="Z226" s="1021"/>
      <c r="AA226" s="1021"/>
      <c r="AB226" s="1021"/>
      <c r="AC226" s="1021"/>
      <c r="AD226" s="1021"/>
      <c r="AE226" s="1021"/>
      <c r="AF226" s="1021"/>
      <c r="AG226" s="1021"/>
      <c r="AH226" s="1021"/>
      <c r="AI226" s="1021"/>
      <c r="AJ226" s="1021"/>
      <c r="AK226" s="1021"/>
      <c r="AL226" s="1021"/>
      <c r="AM226" s="1021"/>
      <c r="AN226" s="1021"/>
      <c r="AO226" s="1021"/>
      <c r="AP226" s="1021"/>
      <c r="AQ226" s="1021"/>
      <c r="AR226" s="1021"/>
      <c r="AS226" s="1021"/>
      <c r="AT226" s="1021"/>
      <c r="AU226" s="1021"/>
      <c r="AV226" s="1021"/>
      <c r="AW226" s="1021"/>
      <c r="AX226" s="1021"/>
      <c r="AY226" s="1021"/>
      <c r="AZ226" s="1021"/>
      <c r="BA226" s="1021"/>
      <c r="BB226" s="1021"/>
      <c r="BC226" s="1021"/>
      <c r="BD226" s="1021"/>
      <c r="BE226" s="1021"/>
      <c r="BF226" s="1021"/>
      <c r="BG226" s="1021"/>
      <c r="BH226" s="1021"/>
      <c r="BI226" s="1021"/>
      <c r="BJ226" s="1021"/>
      <c r="BK226" s="1021"/>
      <c r="BL226" s="1021"/>
      <c r="BM226" s="1021"/>
      <c r="BN226" s="1021"/>
      <c r="BO226" s="1021"/>
      <c r="BP226" s="1021"/>
      <c r="BQ226" s="1021"/>
      <c r="BR226" s="1021"/>
      <c r="BS226" s="1021"/>
      <c r="BT226" s="1021"/>
      <c r="BU226" s="1021"/>
      <c r="BV226" s="1021"/>
      <c r="BW226" s="1021"/>
      <c r="BX226" s="1021"/>
      <c r="BY226" s="1021"/>
      <c r="BZ226" s="1021"/>
      <c r="CA226" s="1021"/>
      <c r="CB226" s="1021"/>
      <c r="CC226" s="1021"/>
    </row>
    <row r="227" spans="8:81" x14ac:dyDescent="0.25">
      <c r="H227" s="1021"/>
      <c r="I227" s="1021"/>
      <c r="J227" s="1021"/>
      <c r="K227" s="1021"/>
      <c r="L227" s="1021"/>
      <c r="M227" s="1021"/>
      <c r="N227" s="1021"/>
      <c r="O227" s="1021"/>
      <c r="P227" s="1021"/>
      <c r="Q227" s="1021"/>
      <c r="R227" s="1021"/>
      <c r="S227" s="1021"/>
      <c r="T227" s="1021"/>
      <c r="U227" s="1021"/>
      <c r="V227" s="1021"/>
      <c r="W227" s="1021"/>
      <c r="X227" s="1021"/>
      <c r="Y227" s="1021"/>
      <c r="Z227" s="1021"/>
      <c r="AA227" s="1021"/>
      <c r="AB227" s="1021"/>
      <c r="AC227" s="1021"/>
      <c r="AD227" s="1021"/>
      <c r="AE227" s="1021"/>
      <c r="AF227" s="1021"/>
      <c r="AG227" s="1021"/>
      <c r="AH227" s="1021"/>
      <c r="AI227" s="1021"/>
      <c r="AJ227" s="1021"/>
      <c r="AK227" s="1021"/>
      <c r="AL227" s="1021"/>
      <c r="AM227" s="1021"/>
      <c r="AN227" s="1021"/>
      <c r="AO227" s="1021"/>
      <c r="AP227" s="1021"/>
      <c r="AQ227" s="1021"/>
      <c r="AR227" s="1021"/>
      <c r="AS227" s="1021"/>
      <c r="AT227" s="1021"/>
      <c r="AU227" s="1021"/>
      <c r="AV227" s="1021"/>
      <c r="AW227" s="1021"/>
      <c r="AX227" s="1021"/>
      <c r="AY227" s="1021"/>
      <c r="AZ227" s="1021"/>
      <c r="BA227" s="1021"/>
      <c r="BB227" s="1021"/>
      <c r="BC227" s="1021"/>
      <c r="BD227" s="1021"/>
      <c r="BE227" s="1021"/>
      <c r="BF227" s="1021"/>
      <c r="BG227" s="1021"/>
      <c r="BH227" s="1021"/>
      <c r="BI227" s="1021"/>
      <c r="BJ227" s="1021"/>
      <c r="BK227" s="1021"/>
      <c r="BL227" s="1021"/>
      <c r="BM227" s="1021"/>
      <c r="BN227" s="1021"/>
      <c r="BO227" s="1021"/>
      <c r="BP227" s="1021"/>
      <c r="BQ227" s="1021"/>
      <c r="BR227" s="1021"/>
      <c r="BS227" s="1021"/>
      <c r="BT227" s="1021"/>
      <c r="BU227" s="1021"/>
      <c r="BV227" s="1021"/>
      <c r="BW227" s="1021"/>
      <c r="BX227" s="1021"/>
      <c r="BY227" s="1021"/>
      <c r="BZ227" s="1021"/>
      <c r="CA227" s="1021"/>
      <c r="CB227" s="1021"/>
      <c r="CC227" s="1021"/>
    </row>
    <row r="228" spans="8:81" x14ac:dyDescent="0.25">
      <c r="H228" s="1021"/>
      <c r="I228" s="1021"/>
      <c r="J228" s="1021"/>
      <c r="K228" s="1021"/>
      <c r="L228" s="1021"/>
      <c r="M228" s="1021"/>
      <c r="N228" s="1021"/>
      <c r="O228" s="1021"/>
      <c r="P228" s="1021"/>
      <c r="Q228" s="1021"/>
      <c r="R228" s="1021"/>
      <c r="S228" s="1021"/>
      <c r="T228" s="1021"/>
      <c r="U228" s="1021"/>
      <c r="V228" s="1021"/>
      <c r="W228" s="1021"/>
      <c r="X228" s="1021"/>
      <c r="Y228" s="1021"/>
      <c r="Z228" s="1021"/>
      <c r="AA228" s="1021"/>
      <c r="AB228" s="1021"/>
      <c r="AC228" s="1021"/>
      <c r="AD228" s="1021"/>
      <c r="AE228" s="1021"/>
      <c r="AF228" s="1021"/>
      <c r="AG228" s="1021"/>
      <c r="AH228" s="1021"/>
      <c r="AI228" s="1021"/>
      <c r="AJ228" s="1021"/>
      <c r="AK228" s="1021"/>
      <c r="AL228" s="1021"/>
      <c r="AM228" s="1021"/>
      <c r="AN228" s="1021"/>
      <c r="AO228" s="1021"/>
      <c r="AP228" s="1021"/>
      <c r="AQ228" s="1021"/>
      <c r="AR228" s="1021"/>
      <c r="AS228" s="1021"/>
      <c r="AT228" s="1021"/>
      <c r="AU228" s="1021"/>
      <c r="AV228" s="1021"/>
      <c r="AW228" s="1021"/>
      <c r="AX228" s="1021"/>
      <c r="AY228" s="1021"/>
      <c r="AZ228" s="1021"/>
      <c r="BA228" s="1021"/>
      <c r="BB228" s="1021"/>
      <c r="BC228" s="1021"/>
      <c r="BD228" s="1021"/>
      <c r="BE228" s="1021"/>
      <c r="BF228" s="1021"/>
      <c r="BG228" s="1021"/>
      <c r="BH228" s="1021"/>
      <c r="BI228" s="1021"/>
      <c r="BJ228" s="1021"/>
      <c r="BK228" s="1021"/>
      <c r="BL228" s="1021"/>
      <c r="BM228" s="1021"/>
      <c r="BN228" s="1021"/>
      <c r="BO228" s="1021"/>
      <c r="BP228" s="1021"/>
      <c r="BQ228" s="1021"/>
      <c r="BR228" s="1021"/>
      <c r="BS228" s="1021"/>
      <c r="BT228" s="1021"/>
      <c r="BU228" s="1021"/>
      <c r="BV228" s="1021"/>
      <c r="BW228" s="1021"/>
      <c r="BX228" s="1021"/>
      <c r="BY228" s="1021"/>
      <c r="BZ228" s="1021"/>
      <c r="CA228" s="1021"/>
      <c r="CB228" s="1021"/>
      <c r="CC228" s="1021"/>
    </row>
    <row r="229" spans="8:81" x14ac:dyDescent="0.25">
      <c r="H229" s="1021"/>
      <c r="I229" s="1021"/>
      <c r="J229" s="1021"/>
      <c r="K229" s="1021"/>
      <c r="L229" s="1021"/>
      <c r="M229" s="1021"/>
      <c r="N229" s="1021"/>
      <c r="O229" s="1021"/>
      <c r="P229" s="1021"/>
      <c r="Q229" s="1021"/>
      <c r="R229" s="1021"/>
      <c r="S229" s="1021"/>
      <c r="T229" s="1021"/>
      <c r="U229" s="1021"/>
      <c r="V229" s="1021"/>
      <c r="W229" s="1021"/>
      <c r="X229" s="1021"/>
      <c r="Y229" s="1021"/>
      <c r="Z229" s="1021"/>
      <c r="AA229" s="1021"/>
      <c r="AB229" s="1021"/>
      <c r="AC229" s="1021"/>
      <c r="AD229" s="1021"/>
      <c r="AE229" s="1021"/>
      <c r="AF229" s="1021"/>
      <c r="AG229" s="1021"/>
      <c r="AH229" s="1021"/>
      <c r="AI229" s="1021"/>
      <c r="AJ229" s="1021"/>
      <c r="AK229" s="1021"/>
      <c r="AL229" s="1021"/>
      <c r="AM229" s="1021"/>
      <c r="AN229" s="1021"/>
      <c r="AO229" s="1021"/>
      <c r="AP229" s="1021"/>
      <c r="AQ229" s="1021"/>
      <c r="AR229" s="1021"/>
      <c r="AS229" s="1021"/>
      <c r="AT229" s="1021"/>
      <c r="AU229" s="1021"/>
      <c r="AV229" s="1021"/>
      <c r="AW229" s="1021"/>
      <c r="AX229" s="1021"/>
      <c r="AY229" s="1021"/>
      <c r="AZ229" s="1021"/>
      <c r="BA229" s="1021"/>
      <c r="BB229" s="1021"/>
      <c r="BC229" s="1021"/>
      <c r="BD229" s="1021"/>
      <c r="BE229" s="1021"/>
      <c r="BF229" s="1021"/>
      <c r="BG229" s="1021"/>
      <c r="BH229" s="1021"/>
      <c r="BI229" s="1021"/>
      <c r="BJ229" s="1021"/>
      <c r="BK229" s="1021"/>
      <c r="BL229" s="1021"/>
      <c r="BM229" s="1021"/>
      <c r="BN229" s="1021"/>
      <c r="BO229" s="1021"/>
      <c r="BP229" s="1021"/>
      <c r="BQ229" s="1021"/>
      <c r="BR229" s="1021"/>
      <c r="BS229" s="1021"/>
      <c r="BT229" s="1021"/>
      <c r="BU229" s="1021"/>
      <c r="BV229" s="1021"/>
      <c r="BW229" s="1021"/>
      <c r="BX229" s="1021"/>
      <c r="BY229" s="1021"/>
      <c r="BZ229" s="1021"/>
      <c r="CA229" s="1021"/>
      <c r="CB229" s="1021"/>
      <c r="CC229" s="1021"/>
    </row>
    <row r="230" spans="8:81" x14ac:dyDescent="0.25">
      <c r="H230" s="1021"/>
      <c r="I230" s="1021"/>
      <c r="J230" s="1021"/>
      <c r="K230" s="1021"/>
      <c r="L230" s="1021"/>
      <c r="M230" s="1021"/>
      <c r="N230" s="1021"/>
      <c r="O230" s="1021"/>
      <c r="P230" s="1021"/>
      <c r="Q230" s="1021"/>
      <c r="R230" s="1021"/>
      <c r="S230" s="1021"/>
      <c r="T230" s="1021"/>
      <c r="U230" s="1021"/>
      <c r="V230" s="1021"/>
      <c r="W230" s="1021"/>
      <c r="X230" s="1021"/>
      <c r="Y230" s="1021"/>
      <c r="Z230" s="1021"/>
      <c r="AA230" s="1021"/>
      <c r="AB230" s="1021"/>
      <c r="AC230" s="1021"/>
      <c r="AD230" s="1021"/>
      <c r="AE230" s="1021"/>
      <c r="AF230" s="1021"/>
      <c r="AG230" s="1021"/>
      <c r="AH230" s="1021"/>
      <c r="AI230" s="1021"/>
      <c r="AJ230" s="1021"/>
      <c r="AK230" s="1021"/>
      <c r="AL230" s="1021"/>
      <c r="AM230" s="1021"/>
      <c r="AN230" s="1021"/>
      <c r="AO230" s="1021"/>
      <c r="AP230" s="1021"/>
      <c r="AQ230" s="1021"/>
      <c r="AR230" s="1021"/>
      <c r="AS230" s="1021"/>
      <c r="AT230" s="1021"/>
      <c r="AU230" s="1021"/>
      <c r="AV230" s="1021"/>
      <c r="AW230" s="1021"/>
      <c r="AX230" s="1021"/>
      <c r="AY230" s="1021"/>
      <c r="AZ230" s="1021"/>
      <c r="BA230" s="1021"/>
      <c r="BB230" s="1021"/>
      <c r="BC230" s="1021"/>
      <c r="BD230" s="1021"/>
      <c r="BE230" s="1021"/>
      <c r="BF230" s="1021"/>
      <c r="BG230" s="1021"/>
      <c r="BH230" s="1021"/>
      <c r="BI230" s="1021"/>
      <c r="BJ230" s="1021"/>
      <c r="BK230" s="1021"/>
      <c r="BL230" s="1021"/>
      <c r="BM230" s="1021"/>
      <c r="BN230" s="1021"/>
      <c r="BO230" s="1021"/>
      <c r="BP230" s="1021"/>
      <c r="BQ230" s="1021"/>
      <c r="BR230" s="1021"/>
      <c r="BS230" s="1021"/>
      <c r="BT230" s="1021"/>
      <c r="BU230" s="1021"/>
      <c r="BV230" s="1021"/>
      <c r="BW230" s="1021"/>
      <c r="BX230" s="1021"/>
      <c r="BY230" s="1021"/>
      <c r="BZ230" s="1021"/>
      <c r="CA230" s="1021"/>
      <c r="CB230" s="1021"/>
      <c r="CC230" s="1021"/>
    </row>
    <row r="231" spans="8:81" x14ac:dyDescent="0.25">
      <c r="H231" s="1021"/>
      <c r="I231" s="1021"/>
      <c r="J231" s="1021"/>
      <c r="K231" s="1021"/>
      <c r="L231" s="1021"/>
      <c r="M231" s="1021"/>
      <c r="N231" s="1021"/>
      <c r="O231" s="1021"/>
      <c r="P231" s="1021"/>
      <c r="Q231" s="1021"/>
      <c r="R231" s="1021"/>
      <c r="S231" s="1021"/>
      <c r="T231" s="1021"/>
      <c r="U231" s="1021"/>
      <c r="V231" s="1021"/>
      <c r="W231" s="1021"/>
      <c r="X231" s="1021"/>
      <c r="Y231" s="1021"/>
      <c r="Z231" s="1021"/>
      <c r="AA231" s="1021"/>
      <c r="AB231" s="1021"/>
      <c r="AC231" s="1021"/>
      <c r="AD231" s="1021"/>
      <c r="AE231" s="1021"/>
      <c r="AF231" s="1021"/>
      <c r="AG231" s="1021"/>
      <c r="AH231" s="1021"/>
      <c r="AI231" s="1021"/>
      <c r="AJ231" s="1021"/>
      <c r="AK231" s="1021"/>
      <c r="AL231" s="1021"/>
      <c r="AM231" s="1021"/>
      <c r="AN231" s="1021"/>
      <c r="AO231" s="1021"/>
      <c r="AP231" s="1021"/>
      <c r="AQ231" s="1021"/>
      <c r="AR231" s="1021"/>
      <c r="AS231" s="1021"/>
      <c r="AT231" s="1021"/>
      <c r="AU231" s="1021"/>
      <c r="AV231" s="1021"/>
      <c r="AW231" s="1021"/>
      <c r="AX231" s="1021"/>
      <c r="AY231" s="1021"/>
      <c r="AZ231" s="1021"/>
      <c r="BA231" s="1021"/>
      <c r="BB231" s="1021"/>
      <c r="BC231" s="1021"/>
      <c r="BD231" s="1021"/>
      <c r="BE231" s="1021"/>
      <c r="BF231" s="1021"/>
      <c r="BG231" s="1021"/>
      <c r="BH231" s="1021"/>
      <c r="BI231" s="1021"/>
      <c r="BJ231" s="1021"/>
      <c r="BK231" s="1021"/>
      <c r="BL231" s="1021"/>
      <c r="BM231" s="1021"/>
      <c r="BN231" s="1021"/>
      <c r="BO231" s="1021"/>
      <c r="BP231" s="1021"/>
      <c r="BQ231" s="1021"/>
      <c r="BR231" s="1021"/>
      <c r="BS231" s="1021"/>
      <c r="BT231" s="1021"/>
      <c r="BU231" s="1021"/>
      <c r="BV231" s="1021"/>
      <c r="BW231" s="1021"/>
      <c r="BX231" s="1021"/>
      <c r="BY231" s="1021"/>
      <c r="BZ231" s="1021"/>
      <c r="CA231" s="1021"/>
      <c r="CB231" s="1021"/>
      <c r="CC231" s="1021"/>
    </row>
    <row r="232" spans="8:81" x14ac:dyDescent="0.25">
      <c r="H232" s="1021"/>
      <c r="I232" s="1021"/>
      <c r="J232" s="1021"/>
      <c r="K232" s="1021"/>
      <c r="L232" s="1021"/>
      <c r="M232" s="1021"/>
      <c r="N232" s="1021"/>
      <c r="O232" s="1021"/>
      <c r="P232" s="1021"/>
      <c r="Q232" s="1021"/>
      <c r="R232" s="1021"/>
      <c r="S232" s="1021"/>
      <c r="T232" s="1021"/>
      <c r="U232" s="1021"/>
      <c r="V232" s="1021"/>
      <c r="W232" s="1021"/>
      <c r="X232" s="1021"/>
      <c r="Y232" s="1021"/>
      <c r="Z232" s="1021"/>
      <c r="AA232" s="1021"/>
      <c r="AB232" s="1021"/>
      <c r="AC232" s="1021"/>
      <c r="AD232" s="1021"/>
      <c r="AE232" s="1021"/>
      <c r="AF232" s="1021"/>
      <c r="AG232" s="1021"/>
      <c r="AH232" s="1021"/>
      <c r="AI232" s="1021"/>
      <c r="AJ232" s="1021"/>
      <c r="AK232" s="1021"/>
      <c r="AL232" s="1021"/>
      <c r="AM232" s="1021"/>
      <c r="AN232" s="1021"/>
      <c r="AO232" s="1021"/>
      <c r="AP232" s="1021"/>
      <c r="AQ232" s="1021"/>
      <c r="AR232" s="1021"/>
      <c r="AS232" s="1021"/>
      <c r="AT232" s="1021"/>
      <c r="AU232" s="1021"/>
      <c r="AV232" s="1021"/>
      <c r="AW232" s="1021"/>
      <c r="AX232" s="1021"/>
      <c r="AY232" s="1021"/>
      <c r="AZ232" s="1021"/>
      <c r="BA232" s="1021"/>
      <c r="BB232" s="1021"/>
      <c r="BC232" s="1021"/>
      <c r="BD232" s="1021"/>
      <c r="BE232" s="1021"/>
      <c r="BF232" s="1021"/>
      <c r="BG232" s="1021"/>
      <c r="BH232" s="1021"/>
      <c r="BI232" s="1021"/>
      <c r="BJ232" s="1021"/>
      <c r="BK232" s="1021"/>
      <c r="BL232" s="1021"/>
      <c r="BM232" s="1021"/>
      <c r="BN232" s="1021"/>
      <c r="BO232" s="1021"/>
      <c r="BP232" s="1021"/>
      <c r="BQ232" s="1021"/>
      <c r="BR232" s="1021"/>
      <c r="BS232" s="1021"/>
      <c r="BT232" s="1021"/>
      <c r="BU232" s="1021"/>
      <c r="BV232" s="1021"/>
      <c r="BW232" s="1021"/>
      <c r="BX232" s="1021"/>
      <c r="BY232" s="1021"/>
      <c r="BZ232" s="1021"/>
      <c r="CA232" s="1021"/>
      <c r="CB232" s="1021"/>
      <c r="CC232" s="1021"/>
    </row>
    <row r="233" spans="8:81" x14ac:dyDescent="0.25">
      <c r="H233" s="1021"/>
      <c r="I233" s="1021"/>
      <c r="J233" s="1021"/>
      <c r="K233" s="1021"/>
      <c r="L233" s="1021"/>
      <c r="M233" s="1021"/>
      <c r="N233" s="1021"/>
      <c r="O233" s="1021"/>
      <c r="P233" s="1021"/>
      <c r="Q233" s="1021"/>
      <c r="R233" s="1021"/>
      <c r="S233" s="1021"/>
      <c r="T233" s="1021"/>
      <c r="U233" s="1021"/>
      <c r="V233" s="1021"/>
      <c r="W233" s="1021"/>
      <c r="X233" s="1021"/>
      <c r="Y233" s="1021"/>
      <c r="Z233" s="1021"/>
      <c r="AA233" s="1021"/>
      <c r="AB233" s="1021"/>
      <c r="AC233" s="1021"/>
      <c r="AD233" s="1021"/>
      <c r="AE233" s="1021"/>
      <c r="AF233" s="1021"/>
      <c r="AG233" s="1021"/>
      <c r="AH233" s="1021"/>
      <c r="AI233" s="1021"/>
      <c r="AJ233" s="1021"/>
      <c r="AK233" s="1021"/>
      <c r="AL233" s="1021"/>
      <c r="AM233" s="1021"/>
      <c r="AN233" s="1021"/>
      <c r="AO233" s="1021"/>
      <c r="AP233" s="1021"/>
      <c r="AQ233" s="1021"/>
      <c r="AR233" s="1021"/>
      <c r="AS233" s="1021"/>
      <c r="AT233" s="1021"/>
      <c r="AU233" s="1021"/>
      <c r="AV233" s="1021"/>
      <c r="AW233" s="1021"/>
      <c r="AX233" s="1021"/>
      <c r="AY233" s="1021"/>
      <c r="AZ233" s="1021"/>
      <c r="BA233" s="1021"/>
      <c r="BB233" s="1021"/>
      <c r="BC233" s="1021"/>
      <c r="BD233" s="1021"/>
      <c r="BE233" s="1021"/>
      <c r="BF233" s="1021"/>
      <c r="BG233" s="1021"/>
      <c r="BH233" s="1021"/>
      <c r="BI233" s="1021"/>
      <c r="BJ233" s="1021"/>
      <c r="BK233" s="1021"/>
      <c r="BL233" s="1021"/>
      <c r="BM233" s="1021"/>
      <c r="BN233" s="1021"/>
      <c r="BO233" s="1021"/>
      <c r="BP233" s="1021"/>
      <c r="BQ233" s="1021"/>
      <c r="BR233" s="1021"/>
      <c r="BS233" s="1021"/>
      <c r="BT233" s="1021"/>
      <c r="BU233" s="1021"/>
      <c r="BV233" s="1021"/>
      <c r="BW233" s="1021"/>
      <c r="BX233" s="1021"/>
      <c r="BY233" s="1021"/>
      <c r="BZ233" s="1021"/>
      <c r="CA233" s="1021"/>
      <c r="CB233" s="1021"/>
      <c r="CC233" s="1021"/>
    </row>
    <row r="234" spans="8:81" x14ac:dyDescent="0.25">
      <c r="H234" s="1021"/>
      <c r="I234" s="1021"/>
      <c r="J234" s="1021"/>
      <c r="K234" s="1021"/>
      <c r="L234" s="1021"/>
      <c r="M234" s="1021"/>
      <c r="N234" s="1021"/>
      <c r="O234" s="1021"/>
      <c r="P234" s="1021"/>
      <c r="Q234" s="1021"/>
      <c r="R234" s="1021"/>
      <c r="S234" s="1021"/>
      <c r="T234" s="1021"/>
      <c r="U234" s="1021"/>
      <c r="V234" s="1021"/>
      <c r="W234" s="1021"/>
      <c r="X234" s="1021"/>
      <c r="Y234" s="1021"/>
      <c r="Z234" s="1021"/>
      <c r="AA234" s="1021"/>
      <c r="AB234" s="1021"/>
      <c r="AC234" s="1021"/>
      <c r="AD234" s="1021"/>
      <c r="AE234" s="1021"/>
      <c r="AF234" s="1021"/>
      <c r="AG234" s="1021"/>
      <c r="AH234" s="1021"/>
      <c r="AI234" s="1021"/>
      <c r="AJ234" s="1021"/>
      <c r="AK234" s="1021"/>
      <c r="AL234" s="1021"/>
      <c r="AM234" s="1021"/>
      <c r="AN234" s="1021"/>
      <c r="AO234" s="1021"/>
      <c r="AP234" s="1021"/>
      <c r="AQ234" s="1021"/>
      <c r="AR234" s="1021"/>
      <c r="AS234" s="1021"/>
      <c r="AT234" s="1021"/>
      <c r="AU234" s="1021"/>
      <c r="AV234" s="1021"/>
      <c r="AW234" s="1021"/>
      <c r="AX234" s="1021"/>
      <c r="AY234" s="1021"/>
      <c r="AZ234" s="1021"/>
      <c r="BA234" s="1021"/>
      <c r="BB234" s="1021"/>
      <c r="BC234" s="1021"/>
      <c r="BD234" s="1021"/>
      <c r="BE234" s="1021"/>
      <c r="BF234" s="1021"/>
      <c r="BG234" s="1021"/>
      <c r="BH234" s="1021"/>
      <c r="BI234" s="1021"/>
      <c r="BJ234" s="1021"/>
      <c r="BK234" s="1021"/>
      <c r="BL234" s="1021"/>
      <c r="BM234" s="1021"/>
      <c r="BN234" s="1021"/>
      <c r="BO234" s="1021"/>
      <c r="BP234" s="1021"/>
      <c r="BQ234" s="1021"/>
      <c r="BR234" s="1021"/>
      <c r="BS234" s="1021"/>
      <c r="BT234" s="1021"/>
      <c r="BU234" s="1021"/>
      <c r="BV234" s="1021"/>
      <c r="BW234" s="1021"/>
      <c r="BX234" s="1021"/>
      <c r="BY234" s="1021"/>
      <c r="BZ234" s="1021"/>
      <c r="CA234" s="1021"/>
      <c r="CB234" s="1021"/>
      <c r="CC234" s="1021"/>
    </row>
    <row r="235" spans="8:81" x14ac:dyDescent="0.25">
      <c r="H235" s="1021"/>
      <c r="I235" s="1021"/>
      <c r="J235" s="1021"/>
      <c r="K235" s="1021"/>
      <c r="L235" s="1021"/>
      <c r="M235" s="1021"/>
      <c r="N235" s="1021"/>
      <c r="O235" s="1021"/>
      <c r="P235" s="1021"/>
      <c r="Q235" s="1021"/>
      <c r="R235" s="1021"/>
      <c r="S235" s="1021"/>
      <c r="T235" s="1021"/>
      <c r="U235" s="1021"/>
      <c r="V235" s="1021"/>
      <c r="W235" s="1021"/>
      <c r="X235" s="1021"/>
      <c r="Y235" s="1021"/>
      <c r="Z235" s="1021"/>
      <c r="AA235" s="1021"/>
      <c r="AB235" s="1021"/>
      <c r="AC235" s="1021"/>
      <c r="AD235" s="1021"/>
      <c r="AE235" s="1021"/>
      <c r="AF235" s="1021"/>
      <c r="AG235" s="1021"/>
      <c r="AH235" s="1021"/>
      <c r="AI235" s="1021"/>
      <c r="AJ235" s="1021"/>
      <c r="AK235" s="1021"/>
      <c r="AL235" s="1021"/>
      <c r="AM235" s="1021"/>
      <c r="AN235" s="1021"/>
      <c r="AO235" s="1021"/>
      <c r="AP235" s="1021"/>
      <c r="AQ235" s="1021"/>
      <c r="AR235" s="1021"/>
      <c r="AS235" s="1021"/>
      <c r="AT235" s="1021"/>
      <c r="AU235" s="1021"/>
      <c r="AV235" s="1021"/>
      <c r="AW235" s="1021"/>
      <c r="AX235" s="1021"/>
      <c r="AY235" s="1021"/>
      <c r="AZ235" s="1021"/>
      <c r="BA235" s="1021"/>
      <c r="BB235" s="1021"/>
      <c r="BC235" s="1021"/>
      <c r="BD235" s="1021"/>
      <c r="BE235" s="1021"/>
      <c r="BF235" s="1021"/>
      <c r="BG235" s="1021"/>
      <c r="BH235" s="1021"/>
      <c r="BI235" s="1021"/>
      <c r="BJ235" s="1021"/>
      <c r="BK235" s="1021"/>
      <c r="BL235" s="1021"/>
      <c r="BM235" s="1021"/>
      <c r="BN235" s="1021"/>
      <c r="BO235" s="1021"/>
      <c r="BP235" s="1021"/>
      <c r="BQ235" s="1021"/>
      <c r="BR235" s="1021"/>
      <c r="BS235" s="1021"/>
      <c r="BT235" s="1021"/>
      <c r="BU235" s="1021"/>
      <c r="BV235" s="1021"/>
      <c r="BW235" s="1021"/>
      <c r="BX235" s="1021"/>
      <c r="BY235" s="1021"/>
      <c r="BZ235" s="1021"/>
      <c r="CA235" s="1021"/>
      <c r="CB235" s="1021"/>
      <c r="CC235" s="1021"/>
    </row>
    <row r="236" spans="8:81" x14ac:dyDescent="0.25">
      <c r="H236" s="1021"/>
      <c r="I236" s="1021"/>
      <c r="J236" s="1021"/>
      <c r="K236" s="1021"/>
      <c r="L236" s="1021"/>
      <c r="M236" s="1021"/>
      <c r="N236" s="1021"/>
      <c r="O236" s="1021"/>
      <c r="P236" s="1021"/>
      <c r="Q236" s="1021"/>
      <c r="R236" s="1021"/>
      <c r="S236" s="1021"/>
      <c r="T236" s="1021"/>
      <c r="U236" s="1021"/>
      <c r="V236" s="1021"/>
      <c r="W236" s="1021"/>
      <c r="X236" s="1021"/>
      <c r="Y236" s="1021"/>
      <c r="Z236" s="1021"/>
      <c r="AA236" s="1021"/>
      <c r="AB236" s="1021"/>
      <c r="AC236" s="1021"/>
      <c r="AD236" s="1021"/>
      <c r="AE236" s="1021"/>
      <c r="AF236" s="1021"/>
      <c r="AG236" s="1021"/>
      <c r="AH236" s="1021"/>
      <c r="AI236" s="1021"/>
      <c r="AJ236" s="1021"/>
      <c r="AK236" s="1021"/>
      <c r="AL236" s="1021"/>
      <c r="AM236" s="1021"/>
      <c r="AN236" s="1021"/>
      <c r="AO236" s="1021"/>
      <c r="AP236" s="1021"/>
      <c r="AQ236" s="1021"/>
      <c r="AR236" s="1021"/>
      <c r="AS236" s="1021"/>
      <c r="AT236" s="1021"/>
      <c r="AU236" s="1021"/>
      <c r="AV236" s="1021"/>
      <c r="AW236" s="1021"/>
      <c r="AX236" s="1021"/>
      <c r="AY236" s="1021"/>
      <c r="AZ236" s="1021"/>
      <c r="BA236" s="1021"/>
      <c r="BB236" s="1021"/>
      <c r="BC236" s="1021"/>
      <c r="BD236" s="1021"/>
      <c r="BE236" s="1021"/>
      <c r="BF236" s="1021"/>
      <c r="BG236" s="1021"/>
      <c r="BH236" s="1021"/>
      <c r="BI236" s="1021"/>
      <c r="BJ236" s="1021"/>
      <c r="BK236" s="1021"/>
      <c r="BL236" s="1021"/>
      <c r="BM236" s="1021"/>
      <c r="BN236" s="1021"/>
      <c r="BO236" s="1021"/>
      <c r="BP236" s="1021"/>
      <c r="BQ236" s="1021"/>
      <c r="BR236" s="1021"/>
      <c r="BS236" s="1021"/>
      <c r="BT236" s="1021"/>
      <c r="BU236" s="1021"/>
      <c r="BV236" s="1021"/>
      <c r="BW236" s="1021"/>
      <c r="BX236" s="1021"/>
      <c r="BY236" s="1021"/>
      <c r="BZ236" s="1021"/>
      <c r="CA236" s="1021"/>
      <c r="CB236" s="1021"/>
      <c r="CC236" s="1021"/>
    </row>
    <row r="237" spans="8:81" x14ac:dyDescent="0.25">
      <c r="H237" s="1021"/>
      <c r="I237" s="1021"/>
      <c r="J237" s="1021"/>
      <c r="K237" s="1021"/>
      <c r="L237" s="1021"/>
      <c r="M237" s="1021"/>
      <c r="N237" s="1021"/>
      <c r="O237" s="1021"/>
      <c r="P237" s="1021"/>
      <c r="Q237" s="1021"/>
      <c r="R237" s="1021"/>
      <c r="S237" s="1021"/>
      <c r="T237" s="1021"/>
      <c r="U237" s="1021"/>
      <c r="V237" s="1021"/>
      <c r="W237" s="1021"/>
      <c r="X237" s="1021"/>
      <c r="Y237" s="1021"/>
      <c r="Z237" s="1021"/>
      <c r="AA237" s="1021"/>
      <c r="AB237" s="1021"/>
      <c r="AC237" s="1021"/>
      <c r="AD237" s="1021"/>
      <c r="AE237" s="1021"/>
      <c r="AF237" s="1021"/>
      <c r="AG237" s="1021"/>
      <c r="AH237" s="1021"/>
      <c r="AI237" s="1021"/>
      <c r="AJ237" s="1021"/>
      <c r="AK237" s="1021"/>
      <c r="AL237" s="1021"/>
      <c r="AM237" s="1021"/>
      <c r="AN237" s="1021"/>
      <c r="AO237" s="1021"/>
      <c r="AP237" s="1021"/>
      <c r="AQ237" s="1021"/>
      <c r="AR237" s="1021"/>
      <c r="AS237" s="1021"/>
      <c r="AT237" s="1021"/>
      <c r="AU237" s="1021"/>
      <c r="AV237" s="1021"/>
      <c r="AW237" s="1021"/>
      <c r="AX237" s="1021"/>
      <c r="AY237" s="1021"/>
      <c r="AZ237" s="1021"/>
      <c r="BA237" s="1021"/>
      <c r="BB237" s="1021"/>
      <c r="BC237" s="1021"/>
      <c r="BD237" s="1021"/>
      <c r="BE237" s="1021"/>
      <c r="BF237" s="1021"/>
      <c r="BG237" s="1021"/>
      <c r="BH237" s="1021"/>
      <c r="BI237" s="1021"/>
      <c r="BJ237" s="1021"/>
      <c r="BK237" s="1021"/>
      <c r="BL237" s="1021"/>
      <c r="BM237" s="1021"/>
      <c r="BN237" s="1021"/>
      <c r="BO237" s="1021"/>
      <c r="BP237" s="1021"/>
      <c r="BQ237" s="1021"/>
      <c r="BR237" s="1021"/>
      <c r="BS237" s="1021"/>
      <c r="BT237" s="1021"/>
      <c r="BU237" s="1021"/>
      <c r="BV237" s="1021"/>
      <c r="BW237" s="1021"/>
      <c r="BX237" s="1021"/>
      <c r="BY237" s="1021"/>
      <c r="BZ237" s="1021"/>
      <c r="CA237" s="1021"/>
      <c r="CB237" s="1021"/>
      <c r="CC237" s="1021"/>
    </row>
    <row r="238" spans="8:81" x14ac:dyDescent="0.25">
      <c r="H238" s="1021"/>
      <c r="I238" s="1021"/>
      <c r="J238" s="1021"/>
      <c r="K238" s="1021"/>
      <c r="L238" s="1021"/>
      <c r="M238" s="1021"/>
      <c r="N238" s="1021"/>
      <c r="O238" s="1021"/>
      <c r="P238" s="1021"/>
      <c r="Q238" s="1021"/>
      <c r="R238" s="1021"/>
      <c r="S238" s="1021"/>
      <c r="T238" s="1021"/>
      <c r="U238" s="1021"/>
      <c r="V238" s="1021"/>
      <c r="W238" s="1021"/>
      <c r="X238" s="1021"/>
      <c r="Y238" s="1021"/>
      <c r="Z238" s="1021"/>
      <c r="AA238" s="1021"/>
      <c r="AB238" s="1021"/>
      <c r="AC238" s="1021"/>
      <c r="AD238" s="1021"/>
      <c r="AE238" s="1021"/>
      <c r="AF238" s="1021"/>
      <c r="AG238" s="1021"/>
      <c r="AH238" s="1021"/>
      <c r="AI238" s="1021"/>
      <c r="AJ238" s="1021"/>
      <c r="AK238" s="1021"/>
      <c r="AL238" s="1021"/>
      <c r="AM238" s="1021"/>
      <c r="AN238" s="1021"/>
      <c r="AO238" s="1021"/>
      <c r="AP238" s="1021"/>
      <c r="AQ238" s="1021"/>
      <c r="AR238" s="1021"/>
      <c r="AS238" s="1021"/>
      <c r="AT238" s="1021"/>
      <c r="AU238" s="1021"/>
      <c r="AV238" s="1021"/>
      <c r="AW238" s="1021"/>
      <c r="AX238" s="1021"/>
      <c r="AY238" s="1021"/>
      <c r="AZ238" s="1021"/>
      <c r="BA238" s="1021"/>
      <c r="BB238" s="1021"/>
      <c r="BC238" s="1021"/>
      <c r="BD238" s="1021"/>
      <c r="BE238" s="1021"/>
      <c r="BF238" s="1021"/>
      <c r="BG238" s="1021"/>
      <c r="BH238" s="1021"/>
      <c r="BI238" s="1021"/>
      <c r="BJ238" s="1021"/>
      <c r="BK238" s="1021"/>
      <c r="BL238" s="1021"/>
      <c r="BM238" s="1021"/>
      <c r="BN238" s="1021"/>
      <c r="BO238" s="1021"/>
      <c r="BP238" s="1021"/>
      <c r="BQ238" s="1021"/>
      <c r="BR238" s="1021"/>
      <c r="BS238" s="1021"/>
      <c r="BT238" s="1021"/>
      <c r="BU238" s="1021"/>
      <c r="BV238" s="1021"/>
      <c r="BW238" s="1021"/>
      <c r="BX238" s="1021"/>
      <c r="BY238" s="1021"/>
      <c r="BZ238" s="1021"/>
      <c r="CA238" s="1021"/>
      <c r="CB238" s="1021"/>
      <c r="CC238" s="1021"/>
    </row>
    <row r="239" spans="8:81" x14ac:dyDescent="0.25">
      <c r="H239" s="1021"/>
      <c r="I239" s="1021"/>
      <c r="J239" s="1021"/>
      <c r="K239" s="1021"/>
      <c r="L239" s="1021"/>
      <c r="M239" s="1021"/>
      <c r="N239" s="1021"/>
      <c r="O239" s="1021"/>
      <c r="P239" s="1021"/>
      <c r="Q239" s="1021"/>
      <c r="R239" s="1021"/>
      <c r="S239" s="1021"/>
      <c r="T239" s="1021"/>
      <c r="U239" s="1021"/>
      <c r="V239" s="1021"/>
      <c r="W239" s="1021"/>
      <c r="X239" s="1021"/>
      <c r="Y239" s="1021"/>
      <c r="Z239" s="1021"/>
      <c r="AA239" s="1021"/>
      <c r="AB239" s="1021"/>
      <c r="AC239" s="1021"/>
      <c r="AD239" s="1021"/>
      <c r="AE239" s="1021"/>
      <c r="AF239" s="1021"/>
      <c r="AG239" s="1021"/>
      <c r="AH239" s="1021"/>
      <c r="AI239" s="1021"/>
      <c r="AJ239" s="1021"/>
      <c r="AK239" s="1021"/>
      <c r="AL239" s="1021"/>
      <c r="AM239" s="1021"/>
      <c r="AN239" s="1021"/>
      <c r="AO239" s="1021"/>
      <c r="AP239" s="1021"/>
      <c r="AQ239" s="1021"/>
      <c r="AR239" s="1021"/>
      <c r="AS239" s="1021"/>
      <c r="AT239" s="1021"/>
      <c r="AU239" s="1021"/>
      <c r="AV239" s="1021"/>
      <c r="AW239" s="1021"/>
      <c r="AX239" s="1021"/>
      <c r="AY239" s="1021"/>
      <c r="AZ239" s="1021"/>
      <c r="BA239" s="1021"/>
      <c r="BB239" s="1021"/>
      <c r="BC239" s="1021"/>
      <c r="BD239" s="1021"/>
      <c r="BE239" s="1021"/>
      <c r="BF239" s="1021"/>
      <c r="BG239" s="1021"/>
      <c r="BH239" s="1021"/>
      <c r="BI239" s="1021"/>
      <c r="BJ239" s="1021"/>
      <c r="BK239" s="1021"/>
      <c r="BL239" s="1021"/>
      <c r="BM239" s="1021"/>
      <c r="BN239" s="1021"/>
      <c r="BO239" s="1021"/>
      <c r="BP239" s="1021"/>
      <c r="BQ239" s="1021"/>
      <c r="BR239" s="1021"/>
      <c r="BS239" s="1021"/>
      <c r="BT239" s="1021"/>
      <c r="BU239" s="1021"/>
      <c r="BV239" s="1021"/>
      <c r="BW239" s="1021"/>
      <c r="BX239" s="1021"/>
      <c r="BY239" s="1021"/>
      <c r="BZ239" s="1021"/>
      <c r="CA239" s="1021"/>
      <c r="CB239" s="1021"/>
      <c r="CC239" s="1021"/>
    </row>
    <row r="240" spans="8:81" x14ac:dyDescent="0.25">
      <c r="H240" s="1021"/>
      <c r="I240" s="1021"/>
      <c r="J240" s="1021"/>
      <c r="K240" s="1021"/>
      <c r="L240" s="1021"/>
      <c r="M240" s="1021"/>
      <c r="N240" s="1021"/>
      <c r="O240" s="1021"/>
      <c r="P240" s="1021"/>
      <c r="Q240" s="1021"/>
      <c r="R240" s="1021"/>
      <c r="S240" s="1021"/>
      <c r="T240" s="1021"/>
      <c r="U240" s="1021"/>
      <c r="V240" s="1021"/>
      <c r="W240" s="1021"/>
      <c r="X240" s="1021"/>
      <c r="Y240" s="1021"/>
      <c r="Z240" s="1021"/>
      <c r="AA240" s="1021"/>
      <c r="AB240" s="1021"/>
      <c r="AC240" s="1021"/>
      <c r="AD240" s="1021"/>
      <c r="AE240" s="1021"/>
      <c r="AF240" s="1021"/>
      <c r="AG240" s="1021"/>
      <c r="AH240" s="1021"/>
      <c r="AI240" s="1021"/>
      <c r="AJ240" s="1021"/>
      <c r="AK240" s="1021"/>
      <c r="AL240" s="1021"/>
      <c r="AM240" s="1021"/>
      <c r="AN240" s="1021"/>
      <c r="AO240" s="1021"/>
      <c r="AP240" s="1021"/>
      <c r="AQ240" s="1021"/>
      <c r="AR240" s="1021"/>
      <c r="AS240" s="1021"/>
      <c r="AT240" s="1021"/>
      <c r="AU240" s="1021"/>
      <c r="AV240" s="1021"/>
      <c r="AW240" s="1021"/>
      <c r="AX240" s="1021"/>
      <c r="AY240" s="1021"/>
      <c r="AZ240" s="1021"/>
      <c r="BA240" s="1021"/>
      <c r="BB240" s="1021"/>
      <c r="BC240" s="1021"/>
      <c r="BD240" s="1021"/>
      <c r="BE240" s="1021"/>
      <c r="BF240" s="1021"/>
      <c r="BG240" s="1021"/>
      <c r="BH240" s="1021"/>
      <c r="BI240" s="1021"/>
      <c r="BJ240" s="1021"/>
      <c r="BK240" s="1021"/>
      <c r="BL240" s="1021"/>
      <c r="BM240" s="1021"/>
      <c r="BN240" s="1021"/>
      <c r="BO240" s="1021"/>
      <c r="BP240" s="1021"/>
      <c r="BQ240" s="1021"/>
      <c r="BR240" s="1021"/>
      <c r="BS240" s="1021"/>
      <c r="BT240" s="1021"/>
      <c r="BU240" s="1021"/>
      <c r="BV240" s="1021"/>
      <c r="BW240" s="1021"/>
      <c r="BX240" s="1021"/>
      <c r="BY240" s="1021"/>
      <c r="BZ240" s="1021"/>
      <c r="CA240" s="1021"/>
      <c r="CB240" s="1021"/>
      <c r="CC240" s="1021"/>
    </row>
    <row r="241" spans="8:81" x14ac:dyDescent="0.25">
      <c r="H241" s="1021"/>
      <c r="I241" s="1021"/>
      <c r="J241" s="1021"/>
      <c r="K241" s="1021"/>
      <c r="L241" s="1021"/>
      <c r="M241" s="1021"/>
      <c r="N241" s="1021"/>
      <c r="O241" s="1021"/>
      <c r="P241" s="1021"/>
      <c r="Q241" s="1021"/>
      <c r="R241" s="1021"/>
      <c r="S241" s="1021"/>
      <c r="T241" s="1021"/>
      <c r="U241" s="1021"/>
      <c r="V241" s="1021"/>
      <c r="W241" s="1021"/>
      <c r="X241" s="1021"/>
      <c r="Y241" s="1021"/>
      <c r="Z241" s="1021"/>
      <c r="AA241" s="1021"/>
      <c r="AB241" s="1021"/>
      <c r="AC241" s="1021"/>
      <c r="AD241" s="1021"/>
      <c r="AE241" s="1021"/>
      <c r="AF241" s="1021"/>
      <c r="AG241" s="1021"/>
      <c r="AH241" s="1021"/>
      <c r="AI241" s="1021"/>
      <c r="AJ241" s="1021"/>
      <c r="AK241" s="1021"/>
      <c r="AL241" s="1021"/>
      <c r="AM241" s="1021"/>
      <c r="AN241" s="1021"/>
      <c r="AO241" s="1021"/>
      <c r="AP241" s="1021"/>
      <c r="AQ241" s="1021"/>
      <c r="AR241" s="1021"/>
      <c r="AS241" s="1021"/>
      <c r="AT241" s="1021"/>
      <c r="AU241" s="1021"/>
      <c r="AV241" s="1021"/>
      <c r="AW241" s="1021"/>
      <c r="AX241" s="1021"/>
      <c r="AY241" s="1021"/>
      <c r="AZ241" s="1021"/>
      <c r="BA241" s="1021"/>
      <c r="BB241" s="1021"/>
      <c r="BC241" s="1021"/>
      <c r="BD241" s="1021"/>
      <c r="BE241" s="1021"/>
      <c r="BF241" s="1021"/>
      <c r="BG241" s="1021"/>
      <c r="BH241" s="1021"/>
      <c r="BI241" s="1021"/>
      <c r="BJ241" s="1021"/>
      <c r="BK241" s="1021"/>
      <c r="BL241" s="1021"/>
      <c r="BM241" s="1021"/>
      <c r="BN241" s="1021"/>
      <c r="BO241" s="1021"/>
      <c r="BP241" s="1021"/>
      <c r="BQ241" s="1021"/>
      <c r="BR241" s="1021"/>
      <c r="BS241" s="1021"/>
      <c r="BT241" s="1021"/>
      <c r="BU241" s="1021"/>
      <c r="BV241" s="1021"/>
      <c r="BW241" s="1021"/>
      <c r="BX241" s="1021"/>
      <c r="BY241" s="1021"/>
      <c r="BZ241" s="1021"/>
      <c r="CA241" s="1021"/>
      <c r="CB241" s="1021"/>
      <c r="CC241" s="1021"/>
    </row>
    <row r="242" spans="8:81" x14ac:dyDescent="0.25">
      <c r="H242" s="1021"/>
      <c r="I242" s="1021"/>
      <c r="J242" s="1021"/>
      <c r="K242" s="1021"/>
      <c r="L242" s="1021"/>
      <c r="M242" s="1021"/>
      <c r="N242" s="1021"/>
      <c r="O242" s="1021"/>
      <c r="P242" s="1021"/>
      <c r="Q242" s="1021"/>
      <c r="R242" s="1021"/>
      <c r="S242" s="1021"/>
      <c r="T242" s="1021"/>
      <c r="U242" s="1021"/>
      <c r="V242" s="1021"/>
      <c r="W242" s="1021"/>
      <c r="X242" s="1021"/>
      <c r="Y242" s="1021"/>
      <c r="Z242" s="1021"/>
      <c r="AA242" s="1021"/>
      <c r="AB242" s="1021"/>
      <c r="AC242" s="1021"/>
      <c r="AD242" s="1021"/>
      <c r="AE242" s="1021"/>
      <c r="AF242" s="1021"/>
      <c r="AG242" s="1021"/>
      <c r="AH242" s="1021"/>
      <c r="AI242" s="1021"/>
      <c r="AJ242" s="1021"/>
      <c r="AK242" s="1021"/>
      <c r="AL242" s="1021"/>
      <c r="AM242" s="1021"/>
      <c r="AN242" s="1021"/>
      <c r="AO242" s="1021"/>
      <c r="AP242" s="1021"/>
      <c r="AQ242" s="1021"/>
      <c r="AR242" s="1021"/>
      <c r="AS242" s="1021"/>
      <c r="AT242" s="1021"/>
      <c r="AU242" s="1021"/>
      <c r="AV242" s="1021"/>
      <c r="AW242" s="1021"/>
      <c r="AX242" s="1021"/>
      <c r="AY242" s="1021"/>
      <c r="AZ242" s="1021"/>
      <c r="BA242" s="1021"/>
      <c r="BB242" s="1021"/>
      <c r="BC242" s="1021"/>
      <c r="BD242" s="1021"/>
      <c r="BE242" s="1021"/>
      <c r="BF242" s="1021"/>
      <c r="BG242" s="1021"/>
      <c r="BH242" s="1021"/>
      <c r="BI242" s="1021"/>
      <c r="BJ242" s="1021"/>
      <c r="BK242" s="1021"/>
      <c r="BL242" s="1021"/>
      <c r="BM242" s="1021"/>
      <c r="BN242" s="1021"/>
      <c r="BO242" s="1021"/>
      <c r="BP242" s="1021"/>
      <c r="BQ242" s="1021"/>
      <c r="BR242" s="1021"/>
      <c r="BS242" s="1021"/>
      <c r="BT242" s="1021"/>
      <c r="BU242" s="1021"/>
      <c r="BV242" s="1021"/>
      <c r="BW242" s="1021"/>
      <c r="BX242" s="1021"/>
      <c r="BY242" s="1021"/>
      <c r="BZ242" s="1021"/>
      <c r="CA242" s="1021"/>
      <c r="CB242" s="1021"/>
      <c r="CC242" s="1021"/>
    </row>
    <row r="243" spans="8:81" x14ac:dyDescent="0.25">
      <c r="H243" s="1021"/>
      <c r="I243" s="1021"/>
      <c r="J243" s="1021"/>
      <c r="K243" s="1021"/>
      <c r="L243" s="1021"/>
      <c r="M243" s="1021"/>
      <c r="N243" s="1021"/>
      <c r="O243" s="1021"/>
      <c r="P243" s="1021"/>
      <c r="Q243" s="1021"/>
      <c r="R243" s="1021"/>
      <c r="S243" s="1021"/>
      <c r="T243" s="1021"/>
      <c r="U243" s="1021"/>
      <c r="V243" s="1021"/>
      <c r="W243" s="1021"/>
      <c r="X243" s="1021"/>
      <c r="Y243" s="1021"/>
      <c r="Z243" s="1021"/>
      <c r="AA243" s="1021"/>
      <c r="AB243" s="1021"/>
      <c r="AC243" s="1021"/>
      <c r="AD243" s="1021"/>
      <c r="AE243" s="1021"/>
      <c r="AF243" s="1021"/>
      <c r="AG243" s="1021"/>
      <c r="AH243" s="1021"/>
      <c r="AI243" s="1021"/>
      <c r="AJ243" s="1021"/>
      <c r="AK243" s="1021"/>
      <c r="AL243" s="1021"/>
      <c r="AM243" s="1021"/>
      <c r="AN243" s="1021"/>
      <c r="AO243" s="1021"/>
      <c r="AP243" s="1021"/>
      <c r="AQ243" s="1021"/>
      <c r="AR243" s="1021"/>
      <c r="AS243" s="1021"/>
      <c r="AT243" s="1021"/>
      <c r="AU243" s="1021"/>
      <c r="AV243" s="1021"/>
      <c r="AW243" s="1021"/>
      <c r="AX243" s="1021"/>
      <c r="AY243" s="1021"/>
      <c r="AZ243" s="1021"/>
      <c r="BA243" s="1021"/>
      <c r="BB243" s="1021"/>
      <c r="BC243" s="1021"/>
      <c r="BD243" s="1021"/>
      <c r="BE243" s="1021"/>
      <c r="BF243" s="1021"/>
      <c r="BG243" s="1021"/>
      <c r="BH243" s="1021"/>
      <c r="BI243" s="1021"/>
      <c r="BJ243" s="1021"/>
      <c r="BK243" s="1021"/>
      <c r="BL243" s="1021"/>
      <c r="BM243" s="1021"/>
      <c r="BN243" s="1021"/>
      <c r="BO243" s="1021"/>
      <c r="BP243" s="1021"/>
      <c r="BQ243" s="1021"/>
      <c r="BR243" s="1021"/>
      <c r="BS243" s="1021"/>
      <c r="BT243" s="1021"/>
      <c r="BU243" s="1021"/>
      <c r="BV243" s="1021"/>
      <c r="BW243" s="1021"/>
      <c r="BX243" s="1021"/>
      <c r="BY243" s="1021"/>
      <c r="BZ243" s="1021"/>
      <c r="CA243" s="1021"/>
      <c r="CB243" s="1021"/>
      <c r="CC243" s="1021"/>
    </row>
    <row r="244" spans="8:81" x14ac:dyDescent="0.25">
      <c r="H244" s="1021"/>
      <c r="I244" s="1021"/>
      <c r="J244" s="1021"/>
      <c r="K244" s="1021"/>
      <c r="L244" s="1021"/>
      <c r="M244" s="1021"/>
      <c r="N244" s="1021"/>
      <c r="O244" s="1021"/>
      <c r="P244" s="1021"/>
      <c r="Q244" s="1021"/>
      <c r="R244" s="1021"/>
      <c r="S244" s="1021"/>
      <c r="T244" s="1021"/>
      <c r="U244" s="1021"/>
      <c r="V244" s="1021"/>
      <c r="W244" s="1021"/>
      <c r="X244" s="1021"/>
      <c r="Y244" s="1021"/>
      <c r="Z244" s="1021"/>
      <c r="AA244" s="1021"/>
      <c r="AB244" s="1021"/>
      <c r="AC244" s="1021"/>
      <c r="AD244" s="1021"/>
      <c r="AE244" s="1021"/>
      <c r="AF244" s="1021"/>
      <c r="AG244" s="1021"/>
      <c r="AH244" s="1021"/>
      <c r="AI244" s="1021"/>
      <c r="AJ244" s="1021"/>
      <c r="AK244" s="1021"/>
      <c r="AL244" s="1021"/>
      <c r="AM244" s="1021"/>
      <c r="AN244" s="1021"/>
      <c r="AO244" s="1021"/>
      <c r="AP244" s="1021"/>
      <c r="AQ244" s="1021"/>
      <c r="AR244" s="1021"/>
      <c r="AS244" s="1021"/>
      <c r="AT244" s="1021"/>
      <c r="AU244" s="1021"/>
      <c r="AV244" s="1021"/>
      <c r="AW244" s="1021"/>
      <c r="AX244" s="1021"/>
      <c r="AY244" s="1021"/>
      <c r="AZ244" s="1021"/>
      <c r="BA244" s="1021"/>
      <c r="BB244" s="1021"/>
      <c r="BC244" s="1021"/>
      <c r="BD244" s="1021"/>
      <c r="BE244" s="1021"/>
      <c r="BF244" s="1021"/>
      <c r="BG244" s="1021"/>
      <c r="BH244" s="1021"/>
      <c r="BI244" s="1021"/>
      <c r="BJ244" s="1021"/>
      <c r="BK244" s="1021"/>
      <c r="BL244" s="1021"/>
      <c r="BM244" s="1021"/>
      <c r="BN244" s="1021"/>
      <c r="BO244" s="1021"/>
      <c r="BP244" s="1021"/>
      <c r="BQ244" s="1021"/>
      <c r="BR244" s="1021"/>
      <c r="BS244" s="1021"/>
      <c r="BT244" s="1021"/>
      <c r="BU244" s="1021"/>
      <c r="BV244" s="1021"/>
      <c r="BW244" s="1021"/>
      <c r="BX244" s="1021"/>
      <c r="BY244" s="1021"/>
      <c r="BZ244" s="1021"/>
      <c r="CA244" s="1021"/>
      <c r="CB244" s="1021"/>
      <c r="CC244" s="1021"/>
    </row>
    <row r="245" spans="8:81" x14ac:dyDescent="0.25">
      <c r="H245" s="1021"/>
      <c r="I245" s="1021"/>
      <c r="J245" s="1021"/>
      <c r="K245" s="1021"/>
      <c r="L245" s="1021"/>
      <c r="M245" s="1021"/>
      <c r="N245" s="1021"/>
      <c r="O245" s="1021"/>
      <c r="P245" s="1021"/>
      <c r="Q245" s="1021"/>
      <c r="R245" s="1021"/>
      <c r="S245" s="1021"/>
      <c r="T245" s="1021"/>
      <c r="U245" s="1021"/>
      <c r="V245" s="1021"/>
      <c r="W245" s="1021"/>
      <c r="X245" s="1021"/>
      <c r="Y245" s="1021"/>
      <c r="Z245" s="1021"/>
      <c r="AA245" s="1021"/>
      <c r="AB245" s="1021"/>
      <c r="AC245" s="1021"/>
      <c r="AD245" s="1021"/>
      <c r="AE245" s="1021"/>
      <c r="AF245" s="1021"/>
      <c r="AG245" s="1021"/>
      <c r="AH245" s="1021"/>
      <c r="AI245" s="1021"/>
      <c r="AJ245" s="1021"/>
      <c r="AK245" s="1021"/>
      <c r="AL245" s="1021"/>
      <c r="AM245" s="1021"/>
      <c r="AN245" s="1021"/>
      <c r="AO245" s="1021"/>
      <c r="AP245" s="1021"/>
      <c r="AQ245" s="1021"/>
      <c r="AR245" s="1021"/>
      <c r="AS245" s="1021"/>
      <c r="AT245" s="1021"/>
      <c r="AU245" s="1021"/>
      <c r="AV245" s="1021"/>
      <c r="AW245" s="1021"/>
      <c r="AX245" s="1021"/>
      <c r="AY245" s="1021"/>
      <c r="AZ245" s="1021"/>
      <c r="BA245" s="1021"/>
      <c r="BB245" s="1021"/>
      <c r="BC245" s="1021"/>
      <c r="BD245" s="1021"/>
      <c r="BE245" s="1021"/>
      <c r="BF245" s="1021"/>
      <c r="BG245" s="1021"/>
      <c r="BH245" s="1021"/>
      <c r="BI245" s="1021"/>
      <c r="BJ245" s="1021"/>
      <c r="BK245" s="1021"/>
      <c r="BL245" s="1021"/>
      <c r="BM245" s="1021"/>
      <c r="BN245" s="1021"/>
      <c r="BO245" s="1021"/>
      <c r="BP245" s="1021"/>
      <c r="BQ245" s="1021"/>
      <c r="BR245" s="1021"/>
      <c r="BS245" s="1021"/>
      <c r="BT245" s="1021"/>
      <c r="BU245" s="1021"/>
      <c r="BV245" s="1021"/>
      <c r="BW245" s="1021"/>
      <c r="BX245" s="1021"/>
      <c r="BY245" s="1021"/>
      <c r="BZ245" s="1021"/>
      <c r="CA245" s="1021"/>
      <c r="CB245" s="1021"/>
      <c r="CC245" s="1021"/>
    </row>
    <row r="246" spans="8:81" x14ac:dyDescent="0.25">
      <c r="H246" s="1021"/>
      <c r="I246" s="1021"/>
      <c r="J246" s="1021"/>
      <c r="K246" s="1021"/>
      <c r="L246" s="1021"/>
      <c r="M246" s="1021"/>
      <c r="N246" s="1021"/>
      <c r="O246" s="1021"/>
      <c r="P246" s="1021"/>
      <c r="Q246" s="1021"/>
      <c r="R246" s="1021"/>
      <c r="S246" s="1021"/>
      <c r="T246" s="1021"/>
      <c r="U246" s="1021"/>
      <c r="V246" s="1021"/>
      <c r="W246" s="1021"/>
      <c r="X246" s="1021"/>
      <c r="Y246" s="1021"/>
      <c r="Z246" s="1021"/>
      <c r="AA246" s="1021"/>
      <c r="AB246" s="1021"/>
      <c r="AC246" s="1021"/>
      <c r="AD246" s="1021"/>
      <c r="AE246" s="1021"/>
      <c r="AF246" s="1021"/>
      <c r="AG246" s="1021"/>
      <c r="AH246" s="1021"/>
      <c r="AI246" s="1021"/>
      <c r="AJ246" s="1021"/>
      <c r="AK246" s="1021"/>
      <c r="AL246" s="1021"/>
      <c r="AM246" s="1021"/>
      <c r="AN246" s="1021"/>
      <c r="AO246" s="1021"/>
      <c r="AP246" s="1021"/>
      <c r="AQ246" s="1021"/>
      <c r="AR246" s="1021"/>
      <c r="AS246" s="1021"/>
      <c r="AT246" s="1021"/>
      <c r="AU246" s="1021"/>
      <c r="AV246" s="1021"/>
      <c r="AW246" s="1021"/>
      <c r="AX246" s="1021"/>
      <c r="AY246" s="1021"/>
      <c r="AZ246" s="1021"/>
      <c r="BA246" s="1021"/>
      <c r="BB246" s="1021"/>
      <c r="BC246" s="1021"/>
      <c r="BD246" s="1021"/>
      <c r="BE246" s="1021"/>
      <c r="BF246" s="1021"/>
      <c r="BG246" s="1021"/>
      <c r="BH246" s="1021"/>
      <c r="BI246" s="1021"/>
      <c r="BJ246" s="1021"/>
      <c r="BK246" s="1021"/>
      <c r="BL246" s="1021"/>
      <c r="BM246" s="1021"/>
      <c r="BN246" s="1021"/>
      <c r="BO246" s="1021"/>
      <c r="BP246" s="1021"/>
      <c r="BQ246" s="1021"/>
      <c r="BR246" s="1021"/>
      <c r="BS246" s="1021"/>
      <c r="BT246" s="1021"/>
      <c r="BU246" s="1021"/>
      <c r="BV246" s="1021"/>
      <c r="BW246" s="1021"/>
      <c r="BX246" s="1021"/>
      <c r="BY246" s="1021"/>
      <c r="BZ246" s="1021"/>
      <c r="CA246" s="1021"/>
      <c r="CB246" s="1021"/>
      <c r="CC246" s="1021"/>
    </row>
    <row r="247" spans="8:81" x14ac:dyDescent="0.25">
      <c r="H247" s="1021"/>
      <c r="I247" s="1021"/>
      <c r="J247" s="1021"/>
      <c r="K247" s="1021"/>
      <c r="L247" s="1021"/>
      <c r="M247" s="1021"/>
      <c r="N247" s="1021"/>
      <c r="O247" s="1021"/>
      <c r="P247" s="1021"/>
      <c r="Q247" s="1021"/>
      <c r="R247" s="1021"/>
      <c r="S247" s="1021"/>
      <c r="T247" s="1021"/>
      <c r="U247" s="1021"/>
      <c r="V247" s="1021"/>
      <c r="W247" s="1021"/>
      <c r="X247" s="1021"/>
      <c r="Y247" s="1021"/>
      <c r="Z247" s="1021"/>
      <c r="AA247" s="1021"/>
      <c r="AB247" s="1021"/>
      <c r="AC247" s="1021"/>
      <c r="AD247" s="1021"/>
      <c r="AE247" s="1021"/>
      <c r="AF247" s="1021"/>
      <c r="AG247" s="1021"/>
      <c r="AH247" s="1021"/>
      <c r="AI247" s="1021"/>
      <c r="AJ247" s="1021"/>
      <c r="AK247" s="1021"/>
      <c r="AL247" s="1021"/>
      <c r="AM247" s="1021"/>
      <c r="AN247" s="1021"/>
      <c r="AO247" s="1021"/>
      <c r="AP247" s="1021"/>
      <c r="AQ247" s="1021"/>
      <c r="AR247" s="1021"/>
      <c r="AS247" s="1021"/>
      <c r="AT247" s="1021"/>
      <c r="AU247" s="1021"/>
      <c r="AV247" s="1021"/>
      <c r="AW247" s="1021"/>
      <c r="AX247" s="1021"/>
      <c r="AY247" s="1021"/>
      <c r="AZ247" s="1021"/>
      <c r="BA247" s="1021"/>
      <c r="BB247" s="1021"/>
      <c r="BC247" s="1021"/>
      <c r="BD247" s="1021"/>
      <c r="BE247" s="1021"/>
      <c r="BF247" s="1021"/>
      <c r="BG247" s="1021"/>
      <c r="BH247" s="1021"/>
      <c r="BI247" s="1021"/>
      <c r="BJ247" s="1021"/>
      <c r="BK247" s="1021"/>
      <c r="BL247" s="1021"/>
      <c r="BM247" s="1021"/>
      <c r="BN247" s="1021"/>
      <c r="BO247" s="1021"/>
      <c r="BP247" s="1021"/>
      <c r="BQ247" s="1021"/>
      <c r="BR247" s="1021"/>
      <c r="BS247" s="1021"/>
      <c r="BT247" s="1021"/>
      <c r="BU247" s="1021"/>
      <c r="BV247" s="1021"/>
      <c r="BW247" s="1021"/>
      <c r="BX247" s="1021"/>
      <c r="BY247" s="1021"/>
      <c r="BZ247" s="1021"/>
      <c r="CA247" s="1021"/>
      <c r="CB247" s="1021"/>
      <c r="CC247" s="1021"/>
    </row>
    <row r="248" spans="8:81" x14ac:dyDescent="0.25">
      <c r="H248" s="1021"/>
      <c r="I248" s="1021"/>
      <c r="J248" s="1021"/>
      <c r="K248" s="1021"/>
      <c r="L248" s="1021"/>
      <c r="M248" s="1021"/>
      <c r="N248" s="1021"/>
      <c r="O248" s="1021"/>
      <c r="P248" s="1021"/>
      <c r="Q248" s="1021"/>
      <c r="R248" s="1021"/>
      <c r="S248" s="1021"/>
      <c r="T248" s="1021"/>
      <c r="U248" s="1021"/>
      <c r="V248" s="1021"/>
      <c r="W248" s="1021"/>
      <c r="X248" s="1021"/>
      <c r="Y248" s="1021"/>
      <c r="Z248" s="1021"/>
      <c r="AA248" s="1021"/>
      <c r="AB248" s="1021"/>
      <c r="AC248" s="1021"/>
      <c r="AD248" s="1021"/>
      <c r="AE248" s="1021"/>
      <c r="AF248" s="1021"/>
      <c r="AG248" s="1021"/>
      <c r="AH248" s="1021"/>
      <c r="AI248" s="1021"/>
      <c r="AJ248" s="1021"/>
      <c r="AK248" s="1021"/>
      <c r="AL248" s="1021"/>
      <c r="AM248" s="1021"/>
      <c r="AN248" s="1021"/>
      <c r="AO248" s="1021"/>
      <c r="AP248" s="1021"/>
      <c r="AQ248" s="1021"/>
      <c r="AR248" s="1021"/>
      <c r="AS248" s="1021"/>
      <c r="AT248" s="1021"/>
      <c r="AU248" s="1021"/>
      <c r="AV248" s="1021"/>
      <c r="AW248" s="1021"/>
      <c r="AX248" s="1021"/>
      <c r="AY248" s="1021"/>
      <c r="AZ248" s="1021"/>
      <c r="BA248" s="1021"/>
      <c r="BB248" s="1021"/>
      <c r="BC248" s="1021"/>
      <c r="BD248" s="1021"/>
      <c r="BE248" s="1021"/>
      <c r="BF248" s="1021"/>
      <c r="BG248" s="1021"/>
      <c r="BH248" s="1021"/>
      <c r="BI248" s="1021"/>
      <c r="BJ248" s="1021"/>
      <c r="BK248" s="1021"/>
      <c r="BL248" s="1021"/>
      <c r="BM248" s="1021"/>
      <c r="BN248" s="1021"/>
      <c r="BO248" s="1021"/>
      <c r="BP248" s="1021"/>
      <c r="BQ248" s="1021"/>
      <c r="BR248" s="1021"/>
      <c r="BS248" s="1021"/>
      <c r="BT248" s="1021"/>
      <c r="BU248" s="1021"/>
      <c r="BV248" s="1021"/>
      <c r="BW248" s="1021"/>
      <c r="BX248" s="1021"/>
      <c r="BY248" s="1021"/>
      <c r="BZ248" s="1021"/>
      <c r="CA248" s="1021"/>
      <c r="CB248" s="1021"/>
      <c r="CC248" s="1021"/>
    </row>
    <row r="249" spans="8:81" x14ac:dyDescent="0.25">
      <c r="H249" s="1021"/>
      <c r="I249" s="1021"/>
      <c r="J249" s="1021"/>
      <c r="K249" s="1021"/>
      <c r="L249" s="1021"/>
      <c r="M249" s="1021"/>
      <c r="N249" s="1021"/>
      <c r="O249" s="1021"/>
      <c r="P249" s="1021"/>
      <c r="Q249" s="1021"/>
      <c r="R249" s="1021"/>
      <c r="S249" s="1021"/>
      <c r="T249" s="1021"/>
      <c r="U249" s="1021"/>
      <c r="V249" s="1021"/>
      <c r="W249" s="1021"/>
      <c r="X249" s="1021"/>
      <c r="Y249" s="1021"/>
      <c r="Z249" s="1021"/>
      <c r="AA249" s="1021"/>
      <c r="AB249" s="1021"/>
      <c r="AC249" s="1021"/>
      <c r="AD249" s="1021"/>
      <c r="AE249" s="1021"/>
      <c r="AF249" s="1021"/>
      <c r="AG249" s="1021"/>
      <c r="AH249" s="1021"/>
      <c r="AI249" s="1021"/>
      <c r="AJ249" s="1021"/>
      <c r="AK249" s="1021"/>
      <c r="AL249" s="1021"/>
      <c r="AM249" s="1021"/>
      <c r="AN249" s="1021"/>
      <c r="AO249" s="1021"/>
      <c r="AP249" s="1021"/>
      <c r="AQ249" s="1021"/>
      <c r="AR249" s="1021"/>
      <c r="AS249" s="1021"/>
      <c r="AT249" s="1021"/>
      <c r="AU249" s="1021"/>
      <c r="AV249" s="1021"/>
      <c r="AW249" s="1021"/>
      <c r="AX249" s="1021"/>
      <c r="AY249" s="1021"/>
      <c r="AZ249" s="1021"/>
      <c r="BA249" s="1021"/>
      <c r="BB249" s="1021"/>
      <c r="BC249" s="1021"/>
      <c r="BD249" s="1021"/>
      <c r="BE249" s="1021"/>
      <c r="BF249" s="1021"/>
      <c r="BG249" s="1021"/>
      <c r="BH249" s="1021"/>
      <c r="BI249" s="1021"/>
      <c r="BJ249" s="1021"/>
      <c r="BK249" s="1021"/>
      <c r="BL249" s="1021"/>
      <c r="BM249" s="1021"/>
      <c r="BN249" s="1021"/>
      <c r="BO249" s="1021"/>
      <c r="BP249" s="1021"/>
      <c r="BQ249" s="1021"/>
      <c r="BR249" s="1021"/>
      <c r="BS249" s="1021"/>
      <c r="BT249" s="1021"/>
      <c r="BU249" s="1021"/>
      <c r="BV249" s="1021"/>
      <c r="BW249" s="1021"/>
      <c r="BX249" s="1021"/>
      <c r="BY249" s="1021"/>
      <c r="BZ249" s="1021"/>
      <c r="CA249" s="1021"/>
      <c r="CB249" s="1021"/>
      <c r="CC249" s="1021"/>
    </row>
    <row r="250" spans="8:81" x14ac:dyDescent="0.25">
      <c r="H250" s="1021"/>
      <c r="I250" s="1021"/>
      <c r="J250" s="1021"/>
      <c r="K250" s="1021"/>
      <c r="L250" s="1021"/>
      <c r="M250" s="1021"/>
      <c r="N250" s="1021"/>
      <c r="O250" s="1021"/>
      <c r="P250" s="1021"/>
      <c r="Q250" s="1021"/>
      <c r="R250" s="1021"/>
      <c r="S250" s="1021"/>
      <c r="T250" s="1021"/>
      <c r="U250" s="1021"/>
      <c r="V250" s="1021"/>
      <c r="W250" s="1021"/>
      <c r="X250" s="1021"/>
      <c r="Y250" s="1021"/>
      <c r="Z250" s="1021"/>
      <c r="AA250" s="1021"/>
      <c r="AB250" s="1021"/>
      <c r="AC250" s="1021"/>
      <c r="AD250" s="1021"/>
      <c r="AE250" s="1021"/>
      <c r="AF250" s="1021"/>
      <c r="AG250" s="1021"/>
      <c r="AH250" s="1021"/>
      <c r="AI250" s="1021"/>
      <c r="AJ250" s="1021"/>
      <c r="AK250" s="1021"/>
      <c r="AL250" s="1021"/>
      <c r="AM250" s="1021"/>
      <c r="AN250" s="1021"/>
      <c r="AO250" s="1021"/>
      <c r="AP250" s="1021"/>
      <c r="AQ250" s="1021"/>
      <c r="AR250" s="1021"/>
      <c r="AS250" s="1021"/>
      <c r="AT250" s="1021"/>
      <c r="AU250" s="1021"/>
      <c r="AV250" s="1021"/>
      <c r="AW250" s="1021"/>
      <c r="AX250" s="1021"/>
      <c r="AY250" s="1021"/>
      <c r="AZ250" s="1021"/>
      <c r="BA250" s="1021"/>
      <c r="BB250" s="1021"/>
      <c r="BC250" s="1021"/>
      <c r="BD250" s="1021"/>
      <c r="BE250" s="1021"/>
      <c r="BF250" s="1021"/>
      <c r="BG250" s="1021"/>
      <c r="BH250" s="1021"/>
      <c r="BI250" s="1021"/>
      <c r="BJ250" s="1021"/>
      <c r="BK250" s="1021"/>
      <c r="BL250" s="1021"/>
      <c r="BM250" s="1021"/>
      <c r="BN250" s="1021"/>
      <c r="BO250" s="1021"/>
      <c r="BP250" s="1021"/>
      <c r="BQ250" s="1021"/>
      <c r="BR250" s="1021"/>
      <c r="BS250" s="1021"/>
      <c r="BT250" s="1021"/>
      <c r="BU250" s="1021"/>
      <c r="BV250" s="1021"/>
      <c r="BW250" s="1021"/>
      <c r="BX250" s="1021"/>
      <c r="BY250" s="1021"/>
      <c r="BZ250" s="1021"/>
      <c r="CA250" s="1021"/>
      <c r="CB250" s="1021"/>
      <c r="CC250" s="1021"/>
    </row>
    <row r="251" spans="8:81" x14ac:dyDescent="0.25">
      <c r="H251" s="1021"/>
      <c r="I251" s="1021"/>
      <c r="J251" s="1021"/>
      <c r="K251" s="1021"/>
      <c r="L251" s="1021"/>
      <c r="M251" s="1021"/>
      <c r="N251" s="1021"/>
      <c r="O251" s="1021"/>
      <c r="P251" s="1021"/>
      <c r="Q251" s="1021"/>
      <c r="R251" s="1021"/>
      <c r="S251" s="1021"/>
      <c r="T251" s="1021"/>
      <c r="U251" s="1021"/>
      <c r="V251" s="1021"/>
      <c r="W251" s="1021"/>
      <c r="X251" s="1021"/>
      <c r="Y251" s="1021"/>
      <c r="Z251" s="1021"/>
      <c r="AA251" s="1021"/>
      <c r="AB251" s="1021"/>
      <c r="AC251" s="1021"/>
      <c r="AD251" s="1021"/>
      <c r="AE251" s="1021"/>
      <c r="AF251" s="1021"/>
      <c r="AG251" s="1021"/>
      <c r="AH251" s="1021"/>
      <c r="AI251" s="1021"/>
      <c r="AJ251" s="1021"/>
      <c r="AK251" s="1021"/>
      <c r="AL251" s="1021"/>
      <c r="AM251" s="1021"/>
      <c r="AN251" s="1021"/>
      <c r="AO251" s="1021"/>
      <c r="AP251" s="1021"/>
      <c r="AQ251" s="1021"/>
      <c r="AR251" s="1021"/>
      <c r="AS251" s="1021"/>
      <c r="AT251" s="1021"/>
      <c r="AU251" s="1021"/>
      <c r="AV251" s="1021"/>
      <c r="AW251" s="1021"/>
      <c r="AX251" s="1021"/>
      <c r="AY251" s="1021"/>
      <c r="AZ251" s="1021"/>
      <c r="BA251" s="1021"/>
      <c r="BB251" s="1021"/>
      <c r="BC251" s="1021"/>
      <c r="BD251" s="1021"/>
      <c r="BE251" s="1021"/>
      <c r="BF251" s="1021"/>
      <c r="BG251" s="1021"/>
      <c r="BH251" s="1021"/>
      <c r="BI251" s="1021"/>
      <c r="BJ251" s="1021"/>
      <c r="BK251" s="1021"/>
      <c r="BL251" s="1021"/>
      <c r="BM251" s="1021"/>
      <c r="BN251" s="1021"/>
      <c r="BO251" s="1021"/>
      <c r="BP251" s="1021"/>
      <c r="BQ251" s="1021"/>
      <c r="BR251" s="1021"/>
      <c r="BS251" s="1021"/>
      <c r="BT251" s="1021"/>
      <c r="BU251" s="1021"/>
      <c r="BV251" s="1021"/>
      <c r="BW251" s="1021"/>
      <c r="BX251" s="1021"/>
      <c r="BY251" s="1021"/>
      <c r="BZ251" s="1021"/>
      <c r="CA251" s="1021"/>
      <c r="CB251" s="1021"/>
      <c r="CC251" s="1021"/>
    </row>
    <row r="252" spans="8:81" x14ac:dyDescent="0.25">
      <c r="H252" s="1021"/>
      <c r="I252" s="1021"/>
      <c r="J252" s="1021"/>
      <c r="K252" s="1021"/>
      <c r="L252" s="1021"/>
      <c r="M252" s="1021"/>
      <c r="N252" s="1021"/>
      <c r="O252" s="1021"/>
      <c r="P252" s="1021"/>
      <c r="Q252" s="1021"/>
      <c r="R252" s="1021"/>
      <c r="S252" s="1021"/>
      <c r="T252" s="1021"/>
      <c r="U252" s="1021"/>
      <c r="V252" s="1021"/>
      <c r="W252" s="1021"/>
      <c r="X252" s="1021"/>
      <c r="Y252" s="1021"/>
      <c r="Z252" s="1021"/>
      <c r="AA252" s="1021"/>
      <c r="AB252" s="1021"/>
      <c r="AC252" s="1021"/>
      <c r="AD252" s="1021"/>
      <c r="AE252" s="1021"/>
      <c r="AF252" s="1021"/>
      <c r="AG252" s="1021"/>
      <c r="AH252" s="1021"/>
      <c r="AI252" s="1021"/>
      <c r="AJ252" s="1021"/>
      <c r="AK252" s="1021"/>
      <c r="AL252" s="1021"/>
      <c r="AM252" s="1021"/>
      <c r="AN252" s="1021"/>
      <c r="AO252" s="1021"/>
      <c r="AP252" s="1021"/>
      <c r="AQ252" s="1021"/>
      <c r="AR252" s="1021"/>
      <c r="AS252" s="1021"/>
      <c r="AT252" s="1021"/>
      <c r="AU252" s="1021"/>
      <c r="AV252" s="1021"/>
      <c r="AW252" s="1021"/>
      <c r="AX252" s="1021"/>
      <c r="AY252" s="1021"/>
      <c r="AZ252" s="1021"/>
      <c r="BA252" s="1021"/>
      <c r="BB252" s="1021"/>
      <c r="BC252" s="1021"/>
      <c r="BD252" s="1021"/>
      <c r="BE252" s="1021"/>
      <c r="BF252" s="1021"/>
      <c r="BG252" s="1021"/>
      <c r="BH252" s="1021"/>
      <c r="BI252" s="1021"/>
      <c r="BJ252" s="1021"/>
      <c r="BK252" s="1021"/>
      <c r="BL252" s="1021"/>
      <c r="BM252" s="1021"/>
      <c r="BN252" s="1021"/>
      <c r="BO252" s="1021"/>
      <c r="BP252" s="1021"/>
      <c r="BQ252" s="1021"/>
      <c r="BR252" s="1021"/>
      <c r="BS252" s="1021"/>
      <c r="BT252" s="1021"/>
      <c r="BU252" s="1021"/>
      <c r="BV252" s="1021"/>
      <c r="BW252" s="1021"/>
      <c r="BX252" s="1021"/>
      <c r="BY252" s="1021"/>
      <c r="BZ252" s="1021"/>
      <c r="CA252" s="1021"/>
      <c r="CB252" s="1021"/>
      <c r="CC252" s="1021"/>
    </row>
    <row r="253" spans="8:81" x14ac:dyDescent="0.25">
      <c r="H253" s="1021"/>
      <c r="I253" s="1021"/>
      <c r="J253" s="1021"/>
      <c r="K253" s="1021"/>
      <c r="L253" s="1021"/>
      <c r="M253" s="1021"/>
      <c r="N253" s="1021"/>
      <c r="O253" s="1021"/>
      <c r="P253" s="1021"/>
      <c r="Q253" s="1021"/>
      <c r="R253" s="1021"/>
      <c r="S253" s="1021"/>
      <c r="T253" s="1021"/>
      <c r="U253" s="1021"/>
      <c r="V253" s="1021"/>
      <c r="W253" s="1021"/>
      <c r="X253" s="1021"/>
      <c r="Y253" s="1021"/>
      <c r="Z253" s="1021"/>
      <c r="AA253" s="1021"/>
      <c r="AB253" s="1021"/>
      <c r="AC253" s="1021"/>
      <c r="AD253" s="1021"/>
      <c r="AE253" s="1021"/>
      <c r="AF253" s="1021"/>
      <c r="AG253" s="1021"/>
      <c r="AH253" s="1021"/>
      <c r="AI253" s="1021"/>
      <c r="AJ253" s="1021"/>
      <c r="AK253" s="1021"/>
      <c r="AL253" s="1021"/>
      <c r="AM253" s="1021"/>
      <c r="AN253" s="1021"/>
      <c r="AO253" s="1021"/>
      <c r="AP253" s="1021"/>
      <c r="AQ253" s="1021"/>
      <c r="AR253" s="1021"/>
      <c r="AS253" s="1021"/>
      <c r="AT253" s="1021"/>
      <c r="AU253" s="1021"/>
      <c r="AV253" s="1021"/>
      <c r="AW253" s="1021"/>
      <c r="AX253" s="1021"/>
      <c r="AY253" s="1021"/>
      <c r="AZ253" s="1021"/>
      <c r="BA253" s="1021"/>
      <c r="BB253" s="1021"/>
      <c r="BC253" s="1021"/>
      <c r="BD253" s="1021"/>
      <c r="BE253" s="1021"/>
      <c r="BF253" s="1021"/>
      <c r="BG253" s="1021"/>
      <c r="BH253" s="1021"/>
      <c r="BI253" s="1021"/>
      <c r="BJ253" s="1021"/>
      <c r="BK253" s="1021"/>
      <c r="BL253" s="1021"/>
      <c r="BM253" s="1021"/>
      <c r="BN253" s="1021"/>
      <c r="BO253" s="1021"/>
      <c r="BP253" s="1021"/>
      <c r="BQ253" s="1021"/>
      <c r="BR253" s="1021"/>
      <c r="BS253" s="1021"/>
      <c r="BT253" s="1021"/>
      <c r="BU253" s="1021"/>
      <c r="BV253" s="1021"/>
      <c r="BW253" s="1021"/>
      <c r="BX253" s="1021"/>
      <c r="BY253" s="1021"/>
      <c r="BZ253" s="1021"/>
      <c r="CA253" s="1021"/>
      <c r="CB253" s="1021"/>
      <c r="CC253" s="1021"/>
    </row>
    <row r="254" spans="8:81" x14ac:dyDescent="0.25">
      <c r="H254" s="1021"/>
      <c r="I254" s="1021"/>
      <c r="J254" s="1021"/>
      <c r="K254" s="1021"/>
      <c r="L254" s="1021"/>
      <c r="M254" s="1021"/>
      <c r="N254" s="1021"/>
      <c r="O254" s="1021"/>
      <c r="P254" s="1021"/>
      <c r="Q254" s="1021"/>
      <c r="R254" s="1021"/>
      <c r="S254" s="1021"/>
      <c r="T254" s="1021"/>
      <c r="U254" s="1021"/>
      <c r="V254" s="1021"/>
      <c r="W254" s="1021"/>
      <c r="X254" s="1021"/>
      <c r="Y254" s="1021"/>
      <c r="Z254" s="1021"/>
      <c r="AA254" s="1021"/>
      <c r="AB254" s="1021"/>
      <c r="AC254" s="1021"/>
      <c r="AD254" s="1021"/>
      <c r="AE254" s="1021"/>
      <c r="AF254" s="1021"/>
      <c r="AG254" s="1021"/>
      <c r="AH254" s="1021"/>
      <c r="AI254" s="1021"/>
      <c r="AJ254" s="1021"/>
      <c r="AK254" s="1021"/>
      <c r="AL254" s="1021"/>
      <c r="AM254" s="1021"/>
      <c r="AN254" s="1021"/>
      <c r="AO254" s="1021"/>
      <c r="AP254" s="1021"/>
      <c r="AQ254" s="1021"/>
      <c r="AR254" s="1021"/>
      <c r="AS254" s="1021"/>
      <c r="AT254" s="1021"/>
      <c r="AU254" s="1021"/>
      <c r="AV254" s="1021"/>
      <c r="AW254" s="1021"/>
      <c r="AX254" s="1021"/>
      <c r="AY254" s="1021"/>
      <c r="AZ254" s="1021"/>
      <c r="BA254" s="1021"/>
      <c r="BB254" s="1021"/>
      <c r="BC254" s="1021"/>
      <c r="BD254" s="1021"/>
      <c r="BE254" s="1021"/>
      <c r="BF254" s="1021"/>
      <c r="BG254" s="1021"/>
      <c r="BH254" s="1021"/>
      <c r="BI254" s="1021"/>
      <c r="BJ254" s="1021"/>
      <c r="BK254" s="1021"/>
      <c r="BL254" s="1021"/>
      <c r="BM254" s="1021"/>
      <c r="BN254" s="1021"/>
      <c r="BO254" s="1021"/>
      <c r="BP254" s="1021"/>
      <c r="BQ254" s="1021"/>
      <c r="BR254" s="1021"/>
      <c r="BS254" s="1021"/>
      <c r="BT254" s="1021"/>
      <c r="BU254" s="1021"/>
      <c r="BV254" s="1021"/>
      <c r="BW254" s="1021"/>
      <c r="BX254" s="1021"/>
      <c r="BY254" s="1021"/>
      <c r="BZ254" s="1021"/>
      <c r="CA254" s="1021"/>
      <c r="CB254" s="1021"/>
      <c r="CC254" s="1021"/>
    </row>
    <row r="255" spans="8:81" x14ac:dyDescent="0.25">
      <c r="H255" s="1021"/>
      <c r="I255" s="1021"/>
      <c r="J255" s="1021"/>
      <c r="K255" s="1021"/>
      <c r="L255" s="1021"/>
      <c r="M255" s="1021"/>
      <c r="N255" s="1021"/>
      <c r="O255" s="1021"/>
      <c r="P255" s="1021"/>
      <c r="Q255" s="1021"/>
      <c r="R255" s="1021"/>
      <c r="S255" s="1021"/>
      <c r="T255" s="1021"/>
      <c r="U255" s="1021"/>
      <c r="V255" s="1021"/>
      <c r="W255" s="1021"/>
      <c r="X255" s="1021"/>
      <c r="Y255" s="1021"/>
      <c r="Z255" s="1021"/>
      <c r="AA255" s="1021"/>
      <c r="AB255" s="1021"/>
      <c r="AC255" s="1021"/>
      <c r="AD255" s="1021"/>
      <c r="AE255" s="1021"/>
      <c r="AF255" s="1021"/>
      <c r="AG255" s="1021"/>
      <c r="AH255" s="1021"/>
      <c r="AI255" s="1021"/>
      <c r="AJ255" s="1021"/>
      <c r="AK255" s="1021"/>
      <c r="AL255" s="1021"/>
      <c r="AM255" s="1021"/>
      <c r="AN255" s="1021"/>
      <c r="AO255" s="1021"/>
      <c r="AP255" s="1021"/>
      <c r="AQ255" s="1021"/>
      <c r="AR255" s="1021"/>
      <c r="AS255" s="1021"/>
      <c r="AT255" s="1021"/>
      <c r="AU255" s="1021"/>
      <c r="AV255" s="1021"/>
      <c r="AW255" s="1021"/>
      <c r="AX255" s="1021"/>
      <c r="AY255" s="1021"/>
      <c r="AZ255" s="1021"/>
      <c r="BA255" s="1021"/>
      <c r="BB255" s="1021"/>
      <c r="BC255" s="1021"/>
      <c r="BD255" s="1021"/>
      <c r="BE255" s="1021"/>
      <c r="BF255" s="1021"/>
      <c r="BG255" s="1021"/>
      <c r="BH255" s="1021"/>
      <c r="BI255" s="1021"/>
      <c r="BJ255" s="1021"/>
      <c r="BK255" s="1021"/>
      <c r="BL255" s="1021"/>
      <c r="BM255" s="1021"/>
      <c r="BN255" s="1021"/>
      <c r="BO255" s="1021"/>
      <c r="BP255" s="1021"/>
      <c r="BQ255" s="1021"/>
      <c r="BR255" s="1021"/>
      <c r="BS255" s="1021"/>
      <c r="BT255" s="1021"/>
      <c r="BU255" s="1021"/>
      <c r="BV255" s="1021"/>
      <c r="BW255" s="1021"/>
      <c r="BX255" s="1021"/>
      <c r="BY255" s="1021"/>
      <c r="BZ255" s="1021"/>
      <c r="CA255" s="1021"/>
      <c r="CB255" s="1021"/>
      <c r="CC255" s="1021"/>
    </row>
    <row r="256" spans="8:81" x14ac:dyDescent="0.25">
      <c r="H256" s="1021"/>
      <c r="I256" s="1021"/>
      <c r="J256" s="1021"/>
      <c r="K256" s="1021"/>
      <c r="L256" s="1021"/>
      <c r="M256" s="1021"/>
      <c r="N256" s="1021"/>
      <c r="O256" s="1021"/>
      <c r="P256" s="1021"/>
      <c r="Q256" s="1021"/>
      <c r="R256" s="1021"/>
      <c r="S256" s="1021"/>
      <c r="T256" s="1021"/>
      <c r="U256" s="1021"/>
      <c r="V256" s="1021"/>
      <c r="W256" s="1021"/>
      <c r="X256" s="1021"/>
      <c r="Y256" s="1021"/>
      <c r="Z256" s="1021"/>
      <c r="AA256" s="1021"/>
      <c r="AB256" s="1021"/>
      <c r="AC256" s="1021"/>
      <c r="AD256" s="1021"/>
      <c r="AE256" s="1021"/>
      <c r="AF256" s="1021"/>
      <c r="AG256" s="1021"/>
      <c r="AH256" s="1021"/>
      <c r="AI256" s="1021"/>
      <c r="AJ256" s="1021"/>
      <c r="AK256" s="1021"/>
      <c r="AL256" s="1021"/>
      <c r="AM256" s="1021"/>
      <c r="AN256" s="1021"/>
      <c r="AO256" s="1021"/>
      <c r="AP256" s="1021"/>
      <c r="AQ256" s="1021"/>
      <c r="AR256" s="1021"/>
      <c r="AS256" s="1021"/>
      <c r="AT256" s="1021"/>
      <c r="AU256" s="1021"/>
      <c r="AV256" s="1021"/>
      <c r="AW256" s="1021"/>
      <c r="AX256" s="1021"/>
      <c r="AY256" s="1021"/>
      <c r="AZ256" s="1021"/>
      <c r="BA256" s="1021"/>
      <c r="BB256" s="1021"/>
      <c r="BC256" s="1021"/>
      <c r="BD256" s="1021"/>
      <c r="BE256" s="1021"/>
      <c r="BF256" s="1021"/>
      <c r="BG256" s="1021"/>
      <c r="BH256" s="1021"/>
      <c r="BI256" s="1021"/>
      <c r="BJ256" s="1021"/>
      <c r="BK256" s="1021"/>
      <c r="BL256" s="1021"/>
      <c r="BM256" s="1021"/>
      <c r="BN256" s="1021"/>
      <c r="BO256" s="1021"/>
      <c r="BP256" s="1021"/>
      <c r="BQ256" s="1021"/>
      <c r="BR256" s="1021"/>
      <c r="BS256" s="1021"/>
      <c r="BT256" s="1021"/>
      <c r="BU256" s="1021"/>
      <c r="BV256" s="1021"/>
      <c r="BW256" s="1021"/>
      <c r="BX256" s="1021"/>
      <c r="BY256" s="1021"/>
      <c r="BZ256" s="1021"/>
      <c r="CA256" s="1021"/>
      <c r="CB256" s="1021"/>
      <c r="CC256" s="1021"/>
    </row>
    <row r="257" spans="8:81" x14ac:dyDescent="0.25">
      <c r="H257" s="1021"/>
      <c r="I257" s="1021"/>
      <c r="J257" s="1021"/>
      <c r="K257" s="1021"/>
      <c r="L257" s="1021"/>
      <c r="M257" s="1021"/>
      <c r="N257" s="1021"/>
      <c r="O257" s="1021"/>
      <c r="P257" s="1021"/>
      <c r="Q257" s="1021"/>
      <c r="R257" s="1021"/>
      <c r="S257" s="1021"/>
      <c r="T257" s="1021"/>
      <c r="U257" s="1021"/>
      <c r="V257" s="1021"/>
      <c r="W257" s="1021"/>
      <c r="X257" s="1021"/>
      <c r="Y257" s="1021"/>
      <c r="Z257" s="1021"/>
      <c r="AA257" s="1021"/>
      <c r="AB257" s="1021"/>
      <c r="AC257" s="1021"/>
      <c r="AD257" s="1021"/>
      <c r="AE257" s="1021"/>
      <c r="AF257" s="1021"/>
      <c r="AG257" s="1021"/>
      <c r="AH257" s="1021"/>
      <c r="AI257" s="1021"/>
      <c r="AJ257" s="1021"/>
      <c r="AK257" s="1021"/>
      <c r="AL257" s="1021"/>
      <c r="AM257" s="1021"/>
      <c r="AN257" s="1021"/>
      <c r="AO257" s="1021"/>
      <c r="AP257" s="1021"/>
      <c r="AQ257" s="1021"/>
      <c r="AR257" s="1021"/>
      <c r="AS257" s="1021"/>
      <c r="AT257" s="1021"/>
      <c r="AU257" s="1021"/>
      <c r="AV257" s="1021"/>
      <c r="AW257" s="1021"/>
      <c r="AX257" s="1021"/>
      <c r="AY257" s="1021"/>
      <c r="AZ257" s="1021"/>
      <c r="BA257" s="1021"/>
      <c r="BB257" s="1021"/>
      <c r="BC257" s="1021"/>
      <c r="BD257" s="1021"/>
      <c r="BE257" s="1021"/>
      <c r="BF257" s="1021"/>
      <c r="BG257" s="1021"/>
      <c r="BH257" s="1021"/>
      <c r="BI257" s="1021"/>
      <c r="BJ257" s="1021"/>
      <c r="BK257" s="1021"/>
      <c r="BL257" s="1021"/>
      <c r="BM257" s="1021"/>
      <c r="BN257" s="1021"/>
      <c r="BO257" s="1021"/>
      <c r="BP257" s="1021"/>
      <c r="BQ257" s="1021"/>
      <c r="BR257" s="1021"/>
      <c r="BS257" s="1021"/>
      <c r="BT257" s="1021"/>
      <c r="BU257" s="1021"/>
      <c r="BV257" s="1021"/>
      <c r="BW257" s="1021"/>
      <c r="BX257" s="1021"/>
      <c r="BY257" s="1021"/>
      <c r="BZ257" s="1021"/>
      <c r="CA257" s="1021"/>
      <c r="CB257" s="1021"/>
      <c r="CC257" s="1021"/>
    </row>
    <row r="258" spans="8:81" x14ac:dyDescent="0.25">
      <c r="H258" s="1021"/>
      <c r="I258" s="1021"/>
      <c r="J258" s="1021"/>
      <c r="K258" s="1021"/>
      <c r="L258" s="1021"/>
      <c r="M258" s="1021"/>
      <c r="N258" s="1021"/>
      <c r="O258" s="1021"/>
      <c r="P258" s="1021"/>
      <c r="Q258" s="1021"/>
      <c r="R258" s="1021"/>
      <c r="S258" s="1021"/>
      <c r="T258" s="1021"/>
      <c r="U258" s="1021"/>
      <c r="V258" s="1021"/>
      <c r="W258" s="1021"/>
      <c r="X258" s="1021"/>
      <c r="Y258" s="1021"/>
      <c r="Z258" s="1021"/>
      <c r="AA258" s="1021"/>
      <c r="AB258" s="1021"/>
      <c r="AC258" s="1021"/>
      <c r="AD258" s="1021"/>
      <c r="AE258" s="1021"/>
      <c r="AF258" s="1021"/>
      <c r="AG258" s="1021"/>
      <c r="AH258" s="1021"/>
      <c r="AI258" s="1021"/>
      <c r="AJ258" s="1021"/>
      <c r="AK258" s="1021"/>
      <c r="AL258" s="1021"/>
      <c r="AM258" s="1021"/>
      <c r="AN258" s="1021"/>
      <c r="AO258" s="1021"/>
      <c r="AP258" s="1021"/>
      <c r="AQ258" s="1021"/>
      <c r="AR258" s="1021"/>
      <c r="AS258" s="1021"/>
      <c r="AT258" s="1021"/>
      <c r="AU258" s="1021"/>
      <c r="AV258" s="1021"/>
      <c r="AW258" s="1021"/>
      <c r="AX258" s="1021"/>
      <c r="AY258" s="1021"/>
      <c r="AZ258" s="1021"/>
      <c r="BA258" s="1021"/>
      <c r="BB258" s="1021"/>
      <c r="BC258" s="1021"/>
      <c r="BD258" s="1021"/>
      <c r="BE258" s="1021"/>
      <c r="BF258" s="1021"/>
      <c r="BG258" s="1021"/>
      <c r="BH258" s="1021"/>
      <c r="BI258" s="1021"/>
      <c r="BJ258" s="1021"/>
      <c r="BK258" s="1021"/>
      <c r="BL258" s="1021"/>
      <c r="BM258" s="1021"/>
      <c r="BN258" s="1021"/>
      <c r="BO258" s="1021"/>
      <c r="BP258" s="1021"/>
      <c r="BQ258" s="1021"/>
      <c r="BR258" s="1021"/>
      <c r="BS258" s="1021"/>
      <c r="BT258" s="1021"/>
      <c r="BU258" s="1021"/>
      <c r="BV258" s="1021"/>
      <c r="BW258" s="1021"/>
      <c r="BX258" s="1021"/>
      <c r="BY258" s="1021"/>
      <c r="BZ258" s="1021"/>
      <c r="CA258" s="1021"/>
      <c r="CB258" s="1021"/>
      <c r="CC258" s="1021"/>
    </row>
    <row r="259" spans="8:81" x14ac:dyDescent="0.25">
      <c r="H259" s="1021"/>
      <c r="I259" s="1021"/>
      <c r="J259" s="1021"/>
      <c r="K259" s="1021"/>
      <c r="L259" s="1021"/>
      <c r="M259" s="1021"/>
      <c r="N259" s="1021"/>
      <c r="O259" s="1021"/>
      <c r="P259" s="1021"/>
      <c r="Q259" s="1021"/>
      <c r="R259" s="1021"/>
      <c r="S259" s="1021"/>
      <c r="T259" s="1021"/>
      <c r="U259" s="1021"/>
      <c r="V259" s="1021"/>
      <c r="W259" s="1021"/>
      <c r="X259" s="1021"/>
      <c r="Y259" s="1021"/>
      <c r="Z259" s="1021"/>
      <c r="AA259" s="1021"/>
      <c r="AB259" s="1021"/>
      <c r="AC259" s="1021"/>
      <c r="AD259" s="1021"/>
      <c r="AE259" s="1021"/>
      <c r="AF259" s="1021"/>
      <c r="AG259" s="1021"/>
      <c r="AH259" s="1021"/>
      <c r="AI259" s="1021"/>
      <c r="AJ259" s="1021"/>
      <c r="AK259" s="1021"/>
      <c r="AL259" s="1021"/>
      <c r="AM259" s="1021"/>
      <c r="AN259" s="1021"/>
      <c r="AO259" s="1021"/>
      <c r="AP259" s="1021"/>
      <c r="AQ259" s="1021"/>
      <c r="AR259" s="1021"/>
      <c r="AS259" s="1021"/>
      <c r="AT259" s="1021"/>
      <c r="AU259" s="1021"/>
      <c r="AV259" s="1021"/>
      <c r="AW259" s="1021"/>
      <c r="AX259" s="1021"/>
      <c r="AY259" s="1021"/>
      <c r="AZ259" s="1021"/>
      <c r="BA259" s="1021"/>
      <c r="BB259" s="1021"/>
      <c r="BC259" s="1021"/>
      <c r="BD259" s="1021"/>
      <c r="BE259" s="1021"/>
      <c r="BF259" s="1021"/>
      <c r="BG259" s="1021"/>
      <c r="BH259" s="1021"/>
      <c r="BI259" s="1021"/>
      <c r="BJ259" s="1021"/>
      <c r="BK259" s="1021"/>
      <c r="BL259" s="1021"/>
      <c r="BM259" s="1021"/>
      <c r="BN259" s="1021"/>
      <c r="BO259" s="1021"/>
      <c r="BP259" s="1021"/>
      <c r="BQ259" s="1021"/>
      <c r="BR259" s="1021"/>
      <c r="BS259" s="1021"/>
      <c r="BT259" s="1021"/>
      <c r="BU259" s="1021"/>
      <c r="BV259" s="1021"/>
      <c r="BW259" s="1021"/>
      <c r="BX259" s="1021"/>
      <c r="BY259" s="1021"/>
      <c r="BZ259" s="1021"/>
      <c r="CA259" s="1021"/>
      <c r="CB259" s="1021"/>
      <c r="CC259" s="1021"/>
    </row>
    <row r="260" spans="8:81" x14ac:dyDescent="0.25">
      <c r="H260" s="1021"/>
      <c r="I260" s="1021"/>
      <c r="J260" s="1021"/>
      <c r="K260" s="1021"/>
      <c r="L260" s="1021"/>
      <c r="M260" s="1021"/>
      <c r="N260" s="1021"/>
      <c r="O260" s="1021"/>
      <c r="P260" s="1021"/>
      <c r="Q260" s="1021"/>
      <c r="R260" s="1021"/>
      <c r="S260" s="1021"/>
      <c r="T260" s="1021"/>
      <c r="U260" s="1021"/>
      <c r="V260" s="1021"/>
      <c r="W260" s="1021"/>
      <c r="X260" s="1021"/>
      <c r="Y260" s="1021"/>
      <c r="Z260" s="1021"/>
      <c r="AA260" s="1021"/>
      <c r="AB260" s="1021"/>
      <c r="AC260" s="1021"/>
      <c r="AD260" s="1021"/>
      <c r="AE260" s="1021"/>
      <c r="AF260" s="1021"/>
      <c r="AG260" s="1021"/>
      <c r="AH260" s="1021"/>
      <c r="AI260" s="1021"/>
      <c r="AJ260" s="1021"/>
      <c r="AK260" s="1021"/>
      <c r="AL260" s="1021"/>
      <c r="AM260" s="1021"/>
      <c r="AN260" s="1021"/>
      <c r="AO260" s="1021"/>
      <c r="AP260" s="1021"/>
      <c r="AQ260" s="1021"/>
      <c r="AR260" s="1021"/>
      <c r="AS260" s="1021"/>
      <c r="AT260" s="1021"/>
      <c r="AU260" s="1021"/>
      <c r="AV260" s="1021"/>
      <c r="AW260" s="1021"/>
      <c r="AX260" s="1021"/>
      <c r="AY260" s="1021"/>
      <c r="AZ260" s="1021"/>
      <c r="BA260" s="1021"/>
      <c r="BB260" s="1021"/>
      <c r="BC260" s="1021"/>
      <c r="BD260" s="1021"/>
      <c r="BE260" s="1021"/>
      <c r="BF260" s="1021"/>
      <c r="BG260" s="1021"/>
      <c r="BH260" s="1021"/>
      <c r="BI260" s="1021"/>
      <c r="BJ260" s="1021"/>
      <c r="BK260" s="1021"/>
      <c r="BL260" s="1021"/>
      <c r="BM260" s="1021"/>
      <c r="BN260" s="1021"/>
      <c r="BO260" s="1021"/>
      <c r="BP260" s="1021"/>
      <c r="BQ260" s="1021"/>
      <c r="BR260" s="1021"/>
      <c r="BS260" s="1021"/>
      <c r="BT260" s="1021"/>
      <c r="BU260" s="1021"/>
      <c r="BV260" s="1021"/>
      <c r="BW260" s="1021"/>
      <c r="BX260" s="1021"/>
      <c r="BY260" s="1021"/>
      <c r="BZ260" s="1021"/>
      <c r="CA260" s="1021"/>
      <c r="CB260" s="1021"/>
      <c r="CC260" s="1021"/>
    </row>
    <row r="261" spans="8:81" x14ac:dyDescent="0.25">
      <c r="H261" s="1021"/>
      <c r="I261" s="1021"/>
      <c r="J261" s="1021"/>
      <c r="K261" s="1021"/>
      <c r="L261" s="1021"/>
      <c r="M261" s="1021"/>
      <c r="N261" s="1021"/>
      <c r="O261" s="1021"/>
      <c r="P261" s="1021"/>
      <c r="Q261" s="1021"/>
      <c r="R261" s="1021"/>
      <c r="S261" s="1021"/>
      <c r="T261" s="1021"/>
      <c r="U261" s="1021"/>
      <c r="V261" s="1021"/>
      <c r="W261" s="1021"/>
      <c r="X261" s="1021"/>
      <c r="Y261" s="1021"/>
      <c r="Z261" s="1021"/>
      <c r="AA261" s="1021"/>
      <c r="AB261" s="1021"/>
      <c r="AC261" s="1021"/>
      <c r="AD261" s="1021"/>
      <c r="AE261" s="1021"/>
      <c r="AF261" s="1021"/>
      <c r="AG261" s="1021"/>
      <c r="AH261" s="1021"/>
      <c r="AI261" s="1021"/>
      <c r="AJ261" s="1021"/>
      <c r="AK261" s="1021"/>
      <c r="AL261" s="1021"/>
      <c r="AM261" s="1021"/>
      <c r="AN261" s="1021"/>
      <c r="AO261" s="1021"/>
      <c r="AP261" s="1021"/>
      <c r="AQ261" s="1021"/>
      <c r="AR261" s="1021"/>
      <c r="AS261" s="1021"/>
      <c r="AT261" s="1021"/>
      <c r="AU261" s="1021"/>
      <c r="AV261" s="1021"/>
      <c r="AW261" s="1021"/>
      <c r="AX261" s="1021"/>
      <c r="AY261" s="1021"/>
      <c r="AZ261" s="1021"/>
      <c r="BA261" s="1021"/>
      <c r="BB261" s="1021"/>
      <c r="BC261" s="1021"/>
      <c r="BD261" s="1021"/>
      <c r="BE261" s="1021"/>
      <c r="BF261" s="1021"/>
      <c r="BG261" s="1021"/>
      <c r="BH261" s="1021"/>
      <c r="BI261" s="1021"/>
      <c r="BJ261" s="1021"/>
      <c r="BK261" s="1021"/>
      <c r="BL261" s="1021"/>
      <c r="BM261" s="1021"/>
      <c r="BN261" s="1021"/>
      <c r="BO261" s="1021"/>
      <c r="BP261" s="1021"/>
      <c r="BQ261" s="1021"/>
      <c r="BR261" s="1021"/>
      <c r="BS261" s="1021"/>
      <c r="BT261" s="1021"/>
      <c r="BU261" s="1021"/>
      <c r="BV261" s="1021"/>
      <c r="BW261" s="1021"/>
      <c r="BX261" s="1021"/>
      <c r="BY261" s="1021"/>
      <c r="BZ261" s="1021"/>
      <c r="CA261" s="1021"/>
      <c r="CB261" s="1021"/>
      <c r="CC261" s="1021"/>
    </row>
    <row r="262" spans="8:81" x14ac:dyDescent="0.25">
      <c r="H262" s="1021"/>
      <c r="I262" s="1021"/>
      <c r="J262" s="1021"/>
      <c r="K262" s="1021"/>
      <c r="L262" s="1021"/>
      <c r="M262" s="1021"/>
      <c r="N262" s="1021"/>
      <c r="O262" s="1021"/>
      <c r="P262" s="1021"/>
      <c r="Q262" s="1021"/>
      <c r="R262" s="1021"/>
      <c r="S262" s="1021"/>
      <c r="T262" s="1021"/>
      <c r="U262" s="1021"/>
      <c r="V262" s="1021"/>
      <c r="W262" s="1021"/>
      <c r="X262" s="1021"/>
      <c r="Y262" s="1021"/>
      <c r="Z262" s="1021"/>
      <c r="AA262" s="1021"/>
      <c r="AB262" s="1021"/>
      <c r="AC262" s="1021"/>
      <c r="AD262" s="1021"/>
      <c r="AE262" s="1021"/>
      <c r="AF262" s="1021"/>
      <c r="AG262" s="1021"/>
      <c r="AH262" s="1021"/>
      <c r="AI262" s="1021"/>
      <c r="AJ262" s="1021"/>
      <c r="AK262" s="1021"/>
      <c r="AL262" s="1021"/>
      <c r="AM262" s="1021"/>
      <c r="AN262" s="1021"/>
      <c r="AO262" s="1021"/>
      <c r="AP262" s="1021"/>
      <c r="AQ262" s="1021"/>
      <c r="AR262" s="1021"/>
      <c r="AS262" s="1021"/>
      <c r="AT262" s="1021"/>
      <c r="AU262" s="1021"/>
      <c r="AV262" s="1021"/>
      <c r="AW262" s="1021"/>
      <c r="AX262" s="1021"/>
      <c r="AY262" s="1021"/>
      <c r="AZ262" s="1021"/>
      <c r="BA262" s="1021"/>
      <c r="BB262" s="1021"/>
      <c r="BC262" s="1021"/>
      <c r="BD262" s="1021"/>
      <c r="BE262" s="1021"/>
      <c r="BF262" s="1021"/>
      <c r="BG262" s="1021"/>
      <c r="BH262" s="1021"/>
      <c r="BI262" s="1021"/>
      <c r="BJ262" s="1021"/>
      <c r="BK262" s="1021"/>
      <c r="BL262" s="1021"/>
      <c r="BM262" s="1021"/>
      <c r="BN262" s="1021"/>
      <c r="BO262" s="1021"/>
      <c r="BP262" s="1021"/>
      <c r="BQ262" s="1021"/>
      <c r="BR262" s="1021"/>
      <c r="BS262" s="1021"/>
      <c r="BT262" s="1021"/>
      <c r="BU262" s="1021"/>
      <c r="BV262" s="1021"/>
      <c r="BW262" s="1021"/>
      <c r="BX262" s="1021"/>
      <c r="BY262" s="1021"/>
      <c r="BZ262" s="1021"/>
      <c r="CA262" s="1021"/>
      <c r="CB262" s="1021"/>
      <c r="CC262" s="1021"/>
    </row>
    <row r="263" spans="8:81" x14ac:dyDescent="0.25">
      <c r="H263" s="1021"/>
      <c r="I263" s="1021"/>
      <c r="J263" s="1021"/>
      <c r="K263" s="1021"/>
      <c r="L263" s="1021"/>
      <c r="M263" s="1021"/>
      <c r="N263" s="1021"/>
      <c r="O263" s="1021"/>
      <c r="P263" s="1021"/>
      <c r="Q263" s="1021"/>
      <c r="R263" s="1021"/>
      <c r="S263" s="1021"/>
      <c r="T263" s="1021"/>
      <c r="U263" s="1021"/>
      <c r="V263" s="1021"/>
      <c r="W263" s="1021"/>
      <c r="X263" s="1021"/>
      <c r="Y263" s="1021"/>
      <c r="Z263" s="1021"/>
      <c r="AA263" s="1021"/>
      <c r="AB263" s="1021"/>
      <c r="AC263" s="1021"/>
      <c r="AD263" s="1021"/>
      <c r="AE263" s="1021"/>
      <c r="AF263" s="1021"/>
      <c r="AG263" s="1021"/>
      <c r="AH263" s="1021"/>
      <c r="AI263" s="1021"/>
      <c r="AJ263" s="1021"/>
      <c r="AK263" s="1021"/>
      <c r="AL263" s="1021"/>
      <c r="AM263" s="1021"/>
      <c r="AN263" s="1021"/>
      <c r="AO263" s="1021"/>
      <c r="AP263" s="1021"/>
      <c r="AQ263" s="1021"/>
      <c r="AR263" s="1021"/>
      <c r="AS263" s="1021"/>
      <c r="AT263" s="1021"/>
      <c r="AU263" s="1021"/>
      <c r="AV263" s="1021"/>
      <c r="AW263" s="1021"/>
      <c r="AX263" s="1021"/>
      <c r="AY263" s="1021"/>
      <c r="AZ263" s="1021"/>
      <c r="BA263" s="1021"/>
      <c r="BB263" s="1021"/>
      <c r="BC263" s="1021"/>
      <c r="BD263" s="1021"/>
      <c r="BE263" s="1021"/>
      <c r="BF263" s="1021"/>
      <c r="BG263" s="1021"/>
      <c r="BH263" s="1021"/>
      <c r="BI263" s="1021"/>
      <c r="BJ263" s="1021"/>
      <c r="BK263" s="1021"/>
      <c r="BL263" s="1021"/>
      <c r="BM263" s="1021"/>
      <c r="BN263" s="1021"/>
      <c r="BO263" s="1021"/>
      <c r="BP263" s="1021"/>
      <c r="BQ263" s="1021"/>
      <c r="BR263" s="1021"/>
      <c r="BS263" s="1021"/>
      <c r="BT263" s="1021"/>
      <c r="BU263" s="1021"/>
      <c r="BV263" s="1021"/>
      <c r="BW263" s="1021"/>
      <c r="BX263" s="1021"/>
      <c r="BY263" s="1021"/>
      <c r="BZ263" s="1021"/>
      <c r="CA263" s="1021"/>
      <c r="CB263" s="1021"/>
      <c r="CC263" s="1021"/>
    </row>
    <row r="264" spans="8:81" x14ac:dyDescent="0.25">
      <c r="H264" s="1021"/>
      <c r="I264" s="1021"/>
      <c r="J264" s="1021"/>
      <c r="K264" s="1021"/>
      <c r="L264" s="1021"/>
      <c r="M264" s="1021"/>
      <c r="N264" s="1021"/>
      <c r="O264" s="1021"/>
      <c r="P264" s="1021"/>
      <c r="Q264" s="1021"/>
      <c r="R264" s="1021"/>
      <c r="S264" s="1021"/>
      <c r="T264" s="1021"/>
      <c r="U264" s="1021"/>
      <c r="V264" s="1021"/>
      <c r="W264" s="1021"/>
      <c r="X264" s="1021"/>
      <c r="Y264" s="1021"/>
      <c r="Z264" s="1021"/>
      <c r="AA264" s="1021"/>
      <c r="AB264" s="1021"/>
      <c r="AC264" s="1021"/>
      <c r="AD264" s="1021"/>
      <c r="AE264" s="1021"/>
      <c r="AF264" s="1021"/>
      <c r="AG264" s="1021"/>
      <c r="AH264" s="1021"/>
      <c r="AI264" s="1021"/>
      <c r="AJ264" s="1021"/>
      <c r="AK264" s="1021"/>
      <c r="AL264" s="1021"/>
      <c r="AM264" s="1021"/>
      <c r="AN264" s="1021"/>
      <c r="AO264" s="1021"/>
      <c r="AP264" s="1021"/>
      <c r="AQ264" s="1021"/>
      <c r="AR264" s="1021"/>
      <c r="AS264" s="1021"/>
      <c r="AT264" s="1021"/>
      <c r="AU264" s="1021"/>
      <c r="AV264" s="1021"/>
      <c r="AW264" s="1021"/>
      <c r="AX264" s="1021"/>
      <c r="AY264" s="1021"/>
      <c r="AZ264" s="1021"/>
      <c r="BA264" s="1021"/>
      <c r="BB264" s="1021"/>
      <c r="BC264" s="1021"/>
      <c r="BD264" s="1021"/>
      <c r="BE264" s="1021"/>
      <c r="BF264" s="1021"/>
      <c r="BG264" s="1021"/>
      <c r="BH264" s="1021"/>
      <c r="BI264" s="1021"/>
      <c r="BJ264" s="1021"/>
      <c r="BK264" s="1021"/>
      <c r="BL264" s="1021"/>
      <c r="BM264" s="1021"/>
      <c r="BN264" s="1021"/>
      <c r="BO264" s="1021"/>
      <c r="BP264" s="1021"/>
      <c r="BQ264" s="1021"/>
      <c r="BR264" s="1021"/>
      <c r="BS264" s="1021"/>
      <c r="BT264" s="1021"/>
      <c r="BU264" s="1021"/>
      <c r="BV264" s="1021"/>
      <c r="BW264" s="1021"/>
      <c r="BX264" s="1021"/>
      <c r="BY264" s="1021"/>
      <c r="BZ264" s="1021"/>
      <c r="CA264" s="1021"/>
      <c r="CB264" s="1021"/>
      <c r="CC264" s="1021"/>
    </row>
    <row r="265" spans="8:81" x14ac:dyDescent="0.25">
      <c r="H265" s="1021"/>
      <c r="I265" s="1021"/>
      <c r="J265" s="1021"/>
      <c r="K265" s="1021"/>
      <c r="L265" s="1021"/>
      <c r="M265" s="1021"/>
      <c r="N265" s="1021"/>
      <c r="O265" s="1021"/>
      <c r="P265" s="1021"/>
      <c r="Q265" s="1021"/>
      <c r="R265" s="1021"/>
      <c r="S265" s="1021"/>
      <c r="T265" s="1021"/>
      <c r="U265" s="1021"/>
      <c r="V265" s="1021"/>
      <c r="W265" s="1021"/>
      <c r="X265" s="1021"/>
      <c r="Y265" s="1021"/>
      <c r="Z265" s="1021"/>
      <c r="AA265" s="1021"/>
      <c r="AB265" s="1021"/>
      <c r="AC265" s="1021"/>
      <c r="AD265" s="1021"/>
      <c r="AE265" s="1021"/>
      <c r="AF265" s="1021"/>
      <c r="AG265" s="1021"/>
      <c r="AH265" s="1021"/>
      <c r="AI265" s="1021"/>
      <c r="AJ265" s="1021"/>
      <c r="AK265" s="1021"/>
      <c r="AL265" s="1021"/>
      <c r="AM265" s="1021"/>
      <c r="AN265" s="1021"/>
      <c r="AO265" s="1021"/>
      <c r="AP265" s="1021"/>
      <c r="AQ265" s="1021"/>
      <c r="AR265" s="1021"/>
      <c r="AS265" s="1021"/>
      <c r="AT265" s="1021"/>
      <c r="AU265" s="1021"/>
      <c r="AV265" s="1021"/>
      <c r="AW265" s="1021"/>
      <c r="AX265" s="1021"/>
      <c r="AY265" s="1021"/>
      <c r="AZ265" s="1021"/>
      <c r="BA265" s="1021"/>
      <c r="BB265" s="1021"/>
      <c r="BC265" s="1021"/>
      <c r="BD265" s="1021"/>
      <c r="BE265" s="1021"/>
      <c r="BF265" s="1021"/>
      <c r="BG265" s="1021"/>
      <c r="BH265" s="1021"/>
      <c r="BI265" s="1021"/>
      <c r="BJ265" s="1021"/>
      <c r="BK265" s="1021"/>
      <c r="BL265" s="1021"/>
      <c r="BM265" s="1021"/>
      <c r="BN265" s="1021"/>
      <c r="BO265" s="1021"/>
      <c r="BP265" s="1021"/>
      <c r="BQ265" s="1021"/>
      <c r="BR265" s="1021"/>
      <c r="BS265" s="1021"/>
      <c r="BT265" s="1021"/>
      <c r="BU265" s="1021"/>
      <c r="BV265" s="1021"/>
      <c r="BW265" s="1021"/>
      <c r="BX265" s="1021"/>
      <c r="BY265" s="1021"/>
      <c r="BZ265" s="1021"/>
      <c r="CA265" s="1021"/>
      <c r="CB265" s="1021"/>
      <c r="CC265" s="1021"/>
    </row>
    <row r="266" spans="8:81" x14ac:dyDescent="0.25">
      <c r="H266" s="1021"/>
      <c r="I266" s="1021"/>
      <c r="J266" s="1021"/>
      <c r="K266" s="1021"/>
      <c r="L266" s="1021"/>
      <c r="M266" s="1021"/>
      <c r="N266" s="1021"/>
      <c r="O266" s="1021"/>
      <c r="P266" s="1021"/>
      <c r="Q266" s="1021"/>
      <c r="R266" s="1021"/>
      <c r="S266" s="1021"/>
      <c r="T266" s="1021"/>
      <c r="U266" s="1021"/>
      <c r="V266" s="1021"/>
      <c r="W266" s="1021"/>
      <c r="X266" s="1021"/>
      <c r="Y266" s="1021"/>
      <c r="Z266" s="1021"/>
      <c r="AA266" s="1021"/>
      <c r="AB266" s="1021"/>
      <c r="AC266" s="1021"/>
      <c r="AD266" s="1021"/>
      <c r="AE266" s="1021"/>
      <c r="AF266" s="1021"/>
      <c r="AG266" s="1021"/>
      <c r="AH266" s="1021"/>
      <c r="AI266" s="1021"/>
      <c r="AJ266" s="1021"/>
      <c r="AK266" s="1021"/>
      <c r="AL266" s="1021"/>
      <c r="AM266" s="1021"/>
      <c r="AN266" s="1021"/>
      <c r="AO266" s="1021"/>
      <c r="AP266" s="1021"/>
      <c r="AQ266" s="1021"/>
      <c r="AR266" s="1021"/>
      <c r="AS266" s="1021"/>
      <c r="AT266" s="1021"/>
      <c r="AU266" s="1021"/>
      <c r="AV266" s="1021"/>
      <c r="AW266" s="1021"/>
      <c r="AX266" s="1021"/>
      <c r="AY266" s="1021"/>
      <c r="AZ266" s="1021"/>
      <c r="BA266" s="1021"/>
      <c r="BB266" s="1021"/>
      <c r="BC266" s="1021"/>
      <c r="BD266" s="1021"/>
      <c r="BE266" s="1021"/>
      <c r="BF266" s="1021"/>
      <c r="BG266" s="1021"/>
      <c r="BH266" s="1021"/>
      <c r="BI266" s="1021"/>
      <c r="BJ266" s="1021"/>
      <c r="BK266" s="1021"/>
      <c r="BL266" s="1021"/>
      <c r="BM266" s="1021"/>
      <c r="BN266" s="1021"/>
      <c r="BO266" s="1021"/>
      <c r="BP266" s="1021"/>
      <c r="BQ266" s="1021"/>
      <c r="BR266" s="1021"/>
      <c r="BS266" s="1021"/>
      <c r="BT266" s="1021"/>
      <c r="BU266" s="1021"/>
      <c r="BV266" s="1021"/>
      <c r="BW266" s="1021"/>
      <c r="BX266" s="1021"/>
      <c r="BY266" s="1021"/>
      <c r="BZ266" s="1021"/>
      <c r="CA266" s="1021"/>
      <c r="CB266" s="1021"/>
      <c r="CC266" s="1021"/>
    </row>
    <row r="267" spans="8:81" x14ac:dyDescent="0.25">
      <c r="H267" s="1021"/>
      <c r="I267" s="1021"/>
      <c r="J267" s="1021"/>
      <c r="K267" s="1021"/>
      <c r="L267" s="1021"/>
      <c r="M267" s="1021"/>
      <c r="N267" s="1021"/>
      <c r="O267" s="1021"/>
      <c r="P267" s="1021"/>
      <c r="Q267" s="1021"/>
      <c r="R267" s="1021"/>
      <c r="S267" s="1021"/>
      <c r="T267" s="1021"/>
      <c r="U267" s="1021"/>
      <c r="V267" s="1021"/>
      <c r="W267" s="1021"/>
      <c r="X267" s="1021"/>
      <c r="Y267" s="1021"/>
      <c r="Z267" s="1021"/>
      <c r="AA267" s="1021"/>
      <c r="AB267" s="1021"/>
      <c r="AC267" s="1021"/>
      <c r="AD267" s="1021"/>
      <c r="AE267" s="1021"/>
      <c r="AF267" s="1021"/>
      <c r="AG267" s="1021"/>
      <c r="AH267" s="1021"/>
      <c r="AI267" s="1021"/>
      <c r="AJ267" s="1021"/>
      <c r="AK267" s="1021"/>
      <c r="AL267" s="1021"/>
      <c r="AM267" s="1021"/>
      <c r="AN267" s="1021"/>
      <c r="AO267" s="1021"/>
      <c r="AP267" s="1021"/>
      <c r="AQ267" s="1021"/>
      <c r="AR267" s="1021"/>
      <c r="AS267" s="1021"/>
      <c r="AT267" s="1021"/>
      <c r="AU267" s="1021"/>
      <c r="AV267" s="1021"/>
      <c r="AW267" s="1021"/>
      <c r="AX267" s="1021"/>
      <c r="AY267" s="1021"/>
      <c r="AZ267" s="1021"/>
      <c r="BA267" s="1021"/>
      <c r="BB267" s="1021"/>
      <c r="BC267" s="1021"/>
      <c r="BD267" s="1021"/>
      <c r="BE267" s="1021"/>
      <c r="BF267" s="1021"/>
      <c r="BG267" s="1021"/>
      <c r="BH267" s="1021"/>
      <c r="BI267" s="1021"/>
      <c r="BJ267" s="1021"/>
      <c r="BK267" s="1021"/>
      <c r="BL267" s="1021"/>
      <c r="BM267" s="1021"/>
      <c r="BN267" s="1021"/>
      <c r="BO267" s="1021"/>
      <c r="BP267" s="1021"/>
      <c r="BQ267" s="1021"/>
      <c r="BR267" s="1021"/>
      <c r="BS267" s="1021"/>
      <c r="BT267" s="1021"/>
      <c r="BU267" s="1021"/>
      <c r="BV267" s="1021"/>
      <c r="BW267" s="1021"/>
      <c r="BX267" s="1021"/>
      <c r="BY267" s="1021"/>
      <c r="BZ267" s="1021"/>
      <c r="CA267" s="1021"/>
      <c r="CB267" s="1021"/>
      <c r="CC267" s="1021"/>
    </row>
    <row r="268" spans="8:81" x14ac:dyDescent="0.25">
      <c r="H268" s="1021"/>
      <c r="I268" s="1021"/>
      <c r="J268" s="1021"/>
      <c r="K268" s="1021"/>
      <c r="L268" s="1021"/>
      <c r="M268" s="1021"/>
      <c r="N268" s="1021"/>
      <c r="O268" s="1021"/>
      <c r="P268" s="1021"/>
      <c r="Q268" s="1021"/>
      <c r="R268" s="1021"/>
      <c r="S268" s="1021"/>
      <c r="T268" s="1021"/>
      <c r="U268" s="1021"/>
      <c r="V268" s="1021"/>
      <c r="W268" s="1021"/>
      <c r="X268" s="1021"/>
      <c r="Y268" s="1021"/>
      <c r="Z268" s="1021"/>
      <c r="AA268" s="1021"/>
      <c r="AB268" s="1021"/>
      <c r="AC268" s="1021"/>
      <c r="AD268" s="1021"/>
      <c r="AE268" s="1021"/>
      <c r="AF268" s="1021"/>
      <c r="AG268" s="1021"/>
      <c r="AH268" s="1021"/>
      <c r="AI268" s="1021"/>
      <c r="AJ268" s="1021"/>
      <c r="AK268" s="1021"/>
      <c r="AL268" s="1021"/>
      <c r="AM268" s="1021"/>
      <c r="AN268" s="1021"/>
      <c r="AO268" s="1021"/>
      <c r="AP268" s="1021"/>
      <c r="AQ268" s="1021"/>
      <c r="AR268" s="1021"/>
      <c r="AS268" s="1021"/>
      <c r="AT268" s="1021"/>
      <c r="AU268" s="1021"/>
      <c r="AV268" s="1021"/>
      <c r="AW268" s="1021"/>
      <c r="AX268" s="1021"/>
      <c r="AY268" s="1021"/>
      <c r="AZ268" s="1021"/>
      <c r="BA268" s="1021"/>
      <c r="BB268" s="1021"/>
      <c r="BC268" s="1021"/>
      <c r="BD268" s="1021"/>
      <c r="BE268" s="1021"/>
      <c r="BF268" s="1021"/>
      <c r="BG268" s="1021"/>
      <c r="BH268" s="1021"/>
      <c r="BI268" s="1021"/>
      <c r="BJ268" s="1021"/>
      <c r="BK268" s="1021"/>
      <c r="BL268" s="1021"/>
      <c r="BM268" s="1021"/>
      <c r="BN268" s="1021"/>
      <c r="BO268" s="1021"/>
      <c r="BP268" s="1021"/>
      <c r="BQ268" s="1021"/>
      <c r="BR268" s="1021"/>
      <c r="BS268" s="1021"/>
      <c r="BT268" s="1021"/>
      <c r="BU268" s="1021"/>
      <c r="BV268" s="1021"/>
      <c r="BW268" s="1021"/>
      <c r="BX268" s="1021"/>
      <c r="BY268" s="1021"/>
      <c r="BZ268" s="1021"/>
      <c r="CA268" s="1021"/>
      <c r="CB268" s="1021"/>
      <c r="CC268" s="1021"/>
    </row>
    <row r="269" spans="8:81" x14ac:dyDescent="0.25">
      <c r="H269" s="1021"/>
      <c r="I269" s="1021"/>
      <c r="J269" s="1021"/>
      <c r="K269" s="1021"/>
      <c r="L269" s="1021"/>
      <c r="M269" s="1021"/>
      <c r="N269" s="1021"/>
      <c r="O269" s="1021"/>
      <c r="P269" s="1021"/>
      <c r="Q269" s="1021"/>
      <c r="R269" s="1021"/>
      <c r="S269" s="1021"/>
      <c r="T269" s="1021"/>
      <c r="U269" s="1021"/>
      <c r="V269" s="1021"/>
      <c r="W269" s="1021"/>
      <c r="X269" s="1021"/>
      <c r="Y269" s="1021"/>
      <c r="Z269" s="1021"/>
      <c r="AA269" s="1021"/>
      <c r="AB269" s="1021"/>
      <c r="AC269" s="1021"/>
      <c r="AD269" s="1021"/>
      <c r="AE269" s="1021"/>
      <c r="AF269" s="1021"/>
      <c r="AG269" s="1021"/>
      <c r="AH269" s="1021"/>
      <c r="AI269" s="1021"/>
      <c r="AJ269" s="1021"/>
      <c r="AK269" s="1021"/>
      <c r="AL269" s="1021"/>
      <c r="AM269" s="1021"/>
      <c r="AN269" s="1021"/>
      <c r="AO269" s="1021"/>
      <c r="AP269" s="1021"/>
      <c r="AQ269" s="1021"/>
      <c r="AR269" s="1021"/>
      <c r="AS269" s="1021"/>
      <c r="AT269" s="1021"/>
      <c r="AU269" s="1021"/>
      <c r="AV269" s="1021"/>
      <c r="AW269" s="1021"/>
      <c r="AX269" s="1021"/>
      <c r="AY269" s="1021"/>
      <c r="AZ269" s="1021"/>
      <c r="BA269" s="1021"/>
      <c r="BB269" s="1021"/>
      <c r="BC269" s="1021"/>
      <c r="BD269" s="1021"/>
      <c r="BE269" s="1021"/>
      <c r="BF269" s="1021"/>
      <c r="BG269" s="1021"/>
      <c r="BH269" s="1021"/>
      <c r="BI269" s="1021"/>
      <c r="BJ269" s="1021"/>
      <c r="BK269" s="1021"/>
      <c r="BL269" s="1021"/>
      <c r="BM269" s="1021"/>
      <c r="BN269" s="1021"/>
      <c r="BO269" s="1021"/>
      <c r="BP269" s="1021"/>
      <c r="BQ269" s="1021"/>
      <c r="BR269" s="1021"/>
      <c r="BS269" s="1021"/>
      <c r="BT269" s="1021"/>
      <c r="BU269" s="1021"/>
      <c r="BV269" s="1021"/>
      <c r="BW269" s="1021"/>
      <c r="BX269" s="1021"/>
      <c r="BY269" s="1021"/>
      <c r="BZ269" s="1021"/>
      <c r="CA269" s="1021"/>
      <c r="CB269" s="1021"/>
      <c r="CC269" s="1021"/>
    </row>
    <row r="270" spans="8:81" x14ac:dyDescent="0.25">
      <c r="H270" s="1021"/>
      <c r="I270" s="1021"/>
      <c r="J270" s="1021"/>
      <c r="K270" s="1021"/>
      <c r="L270" s="1021"/>
      <c r="M270" s="1021"/>
      <c r="N270" s="1021"/>
      <c r="O270" s="1021"/>
      <c r="P270" s="1021"/>
      <c r="Q270" s="1021"/>
      <c r="R270" s="1021"/>
      <c r="S270" s="1021"/>
      <c r="T270" s="1021"/>
      <c r="U270" s="1021"/>
      <c r="V270" s="1021"/>
      <c r="W270" s="1021"/>
      <c r="X270" s="1021"/>
      <c r="Y270" s="1021"/>
      <c r="Z270" s="1021"/>
      <c r="AA270" s="1021"/>
      <c r="AB270" s="1021"/>
      <c r="AC270" s="1021"/>
      <c r="AD270" s="1021"/>
      <c r="AE270" s="1021"/>
      <c r="AF270" s="1021"/>
      <c r="AG270" s="1021"/>
      <c r="AH270" s="1021"/>
      <c r="AI270" s="1021"/>
      <c r="AJ270" s="1021"/>
      <c r="AK270" s="1021"/>
      <c r="AL270" s="1021"/>
      <c r="AM270" s="1021"/>
      <c r="AN270" s="1021"/>
      <c r="AO270" s="1021"/>
      <c r="AP270" s="1021"/>
      <c r="AQ270" s="1021"/>
      <c r="AR270" s="1021"/>
      <c r="AS270" s="1021"/>
      <c r="AT270" s="1021"/>
      <c r="AU270" s="1021"/>
      <c r="AV270" s="1021"/>
      <c r="AW270" s="1021"/>
      <c r="AX270" s="1021"/>
      <c r="AY270" s="1021"/>
      <c r="AZ270" s="1021"/>
      <c r="BA270" s="1021"/>
      <c r="BB270" s="1021"/>
      <c r="BC270" s="1021"/>
      <c r="BD270" s="1021"/>
      <c r="BE270" s="1021"/>
      <c r="BF270" s="1021"/>
      <c r="BG270" s="1021"/>
      <c r="BH270" s="1021"/>
      <c r="BI270" s="1021"/>
      <c r="BJ270" s="1021"/>
      <c r="BK270" s="1021"/>
      <c r="BL270" s="1021"/>
      <c r="BM270" s="1021"/>
      <c r="BN270" s="1021"/>
      <c r="BO270" s="1021"/>
      <c r="BP270" s="1021"/>
      <c r="BQ270" s="1021"/>
      <c r="BR270" s="1021"/>
      <c r="BS270" s="1021"/>
      <c r="BT270" s="1021"/>
      <c r="BU270" s="1021"/>
      <c r="BV270" s="1021"/>
      <c r="BW270" s="1021"/>
      <c r="BX270" s="1021"/>
      <c r="BY270" s="1021"/>
      <c r="BZ270" s="1021"/>
      <c r="CA270" s="1021"/>
      <c r="CB270" s="1021"/>
      <c r="CC270" s="1021"/>
    </row>
    <row r="271" spans="8:81" x14ac:dyDescent="0.25">
      <c r="H271" s="1021"/>
      <c r="I271" s="1021"/>
      <c r="J271" s="1021"/>
      <c r="K271" s="1021"/>
      <c r="L271" s="1021"/>
      <c r="M271" s="1021"/>
      <c r="N271" s="1021"/>
      <c r="O271" s="1021"/>
      <c r="P271" s="1021"/>
      <c r="Q271" s="1021"/>
      <c r="R271" s="1021"/>
      <c r="S271" s="1021"/>
      <c r="T271" s="1021"/>
      <c r="U271" s="1021"/>
      <c r="V271" s="1021"/>
      <c r="W271" s="1021"/>
      <c r="X271" s="1021"/>
      <c r="Y271" s="1021"/>
      <c r="Z271" s="1021"/>
      <c r="AA271" s="1021"/>
      <c r="AB271" s="1021"/>
      <c r="AC271" s="1021"/>
      <c r="AD271" s="1021"/>
      <c r="AE271" s="1021"/>
      <c r="AF271" s="1021"/>
      <c r="AG271" s="1021"/>
      <c r="AH271" s="1021"/>
      <c r="AI271" s="1021"/>
      <c r="AJ271" s="1021"/>
      <c r="AK271" s="1021"/>
      <c r="AL271" s="1021"/>
      <c r="AM271" s="1021"/>
      <c r="AN271" s="1021"/>
      <c r="AO271" s="1021"/>
      <c r="AP271" s="1021"/>
      <c r="AQ271" s="1021"/>
      <c r="AR271" s="1021"/>
      <c r="AS271" s="1021"/>
      <c r="AT271" s="1021"/>
      <c r="AU271" s="1021"/>
      <c r="AV271" s="1021"/>
      <c r="AW271" s="1021"/>
      <c r="AX271" s="1021"/>
      <c r="AY271" s="1021"/>
      <c r="AZ271" s="1021"/>
      <c r="BA271" s="1021"/>
      <c r="BB271" s="1021"/>
      <c r="BC271" s="1021"/>
      <c r="BD271" s="1021"/>
      <c r="BE271" s="1021"/>
      <c r="BF271" s="1021"/>
      <c r="BG271" s="1021"/>
      <c r="BH271" s="1021"/>
      <c r="BI271" s="1021"/>
      <c r="BJ271" s="1021"/>
      <c r="BK271" s="1021"/>
      <c r="BL271" s="1021"/>
      <c r="BM271" s="1021"/>
      <c r="BN271" s="1021"/>
      <c r="BO271" s="1021"/>
      <c r="BP271" s="1021"/>
      <c r="BQ271" s="1021"/>
      <c r="BR271" s="1021"/>
      <c r="BS271" s="1021"/>
      <c r="BT271" s="1021"/>
      <c r="BU271" s="1021"/>
      <c r="BV271" s="1021"/>
      <c r="BW271" s="1021"/>
      <c r="BX271" s="1021"/>
      <c r="BY271" s="1021"/>
      <c r="BZ271" s="1021"/>
      <c r="CA271" s="1021"/>
      <c r="CB271" s="1021"/>
      <c r="CC271" s="1021"/>
    </row>
    <row r="272" spans="8:81" x14ac:dyDescent="0.25">
      <c r="H272" s="1021"/>
      <c r="I272" s="1021"/>
      <c r="J272" s="1021"/>
      <c r="K272" s="1021"/>
      <c r="L272" s="1021"/>
      <c r="M272" s="1021"/>
      <c r="N272" s="1021"/>
      <c r="O272" s="1021"/>
      <c r="P272" s="1021"/>
      <c r="Q272" s="1021"/>
      <c r="R272" s="1021"/>
      <c r="S272" s="1021"/>
      <c r="T272" s="1021"/>
      <c r="U272" s="1021"/>
      <c r="V272" s="1021"/>
      <c r="W272" s="1021"/>
      <c r="X272" s="1021"/>
      <c r="Y272" s="1021"/>
      <c r="Z272" s="1021"/>
      <c r="AA272" s="1021"/>
      <c r="AB272" s="1021"/>
      <c r="AC272" s="1021"/>
      <c r="AD272" s="1021"/>
      <c r="AE272" s="1021"/>
      <c r="AF272" s="1021"/>
      <c r="AG272" s="1021"/>
      <c r="AH272" s="1021"/>
      <c r="AI272" s="1021"/>
      <c r="AJ272" s="1021"/>
      <c r="AK272" s="1021"/>
      <c r="AL272" s="1021"/>
      <c r="AM272" s="1021"/>
      <c r="AN272" s="1021"/>
      <c r="AO272" s="1021"/>
      <c r="AP272" s="1021"/>
      <c r="AQ272" s="1021"/>
      <c r="AR272" s="1021"/>
      <c r="AS272" s="1021"/>
      <c r="AT272" s="1021"/>
      <c r="AU272" s="1021"/>
      <c r="AV272" s="1021"/>
      <c r="AW272" s="1021"/>
      <c r="AX272" s="1021"/>
      <c r="AY272" s="1021"/>
      <c r="AZ272" s="1021"/>
      <c r="BA272" s="1021"/>
      <c r="BB272" s="1021"/>
      <c r="BC272" s="1021"/>
      <c r="BD272" s="1021"/>
      <c r="BE272" s="1021"/>
      <c r="BF272" s="1021"/>
      <c r="BG272" s="1021"/>
      <c r="BH272" s="1021"/>
      <c r="BI272" s="1021"/>
      <c r="BJ272" s="1021"/>
      <c r="BK272" s="1021"/>
      <c r="BL272" s="1021"/>
      <c r="BM272" s="1021"/>
      <c r="BN272" s="1021"/>
      <c r="BO272" s="1021"/>
      <c r="BP272" s="1021"/>
      <c r="BQ272" s="1021"/>
      <c r="BR272" s="1021"/>
      <c r="BS272" s="1021"/>
      <c r="BT272" s="1021"/>
      <c r="BU272" s="1021"/>
      <c r="BV272" s="1021"/>
      <c r="BW272" s="1021"/>
      <c r="BX272" s="1021"/>
      <c r="BY272" s="1021"/>
      <c r="BZ272" s="1021"/>
      <c r="CA272" s="1021"/>
      <c r="CB272" s="1021"/>
      <c r="CC272" s="1021"/>
    </row>
    <row r="273" spans="8:81" x14ac:dyDescent="0.25">
      <c r="H273" s="1021"/>
      <c r="I273" s="1021"/>
      <c r="J273" s="1021"/>
      <c r="K273" s="1021"/>
      <c r="L273" s="1021"/>
      <c r="M273" s="1021"/>
      <c r="N273" s="1021"/>
      <c r="O273" s="1021"/>
      <c r="P273" s="1021"/>
      <c r="Q273" s="1021"/>
      <c r="R273" s="1021"/>
      <c r="S273" s="1021"/>
      <c r="T273" s="1021"/>
      <c r="U273" s="1021"/>
      <c r="V273" s="1021"/>
      <c r="W273" s="1021"/>
      <c r="X273" s="1021"/>
      <c r="Y273" s="1021"/>
      <c r="Z273" s="1021"/>
      <c r="AA273" s="1021"/>
      <c r="AB273" s="1021"/>
      <c r="AC273" s="1021"/>
      <c r="AD273" s="1021"/>
      <c r="AE273" s="1021"/>
      <c r="AF273" s="1021"/>
      <c r="AG273" s="1021"/>
      <c r="AH273" s="1021"/>
      <c r="AI273" s="1021"/>
      <c r="AJ273" s="1021"/>
      <c r="AK273" s="1021"/>
      <c r="AL273" s="1021"/>
      <c r="AM273" s="1021"/>
      <c r="AN273" s="1021"/>
      <c r="AO273" s="1021"/>
      <c r="AP273" s="1021"/>
      <c r="AQ273" s="1021"/>
      <c r="AR273" s="1021"/>
      <c r="AS273" s="1021"/>
      <c r="AT273" s="1021"/>
      <c r="AU273" s="1021"/>
      <c r="AV273" s="1021"/>
      <c r="AW273" s="1021"/>
      <c r="AX273" s="1021"/>
      <c r="AY273" s="1021"/>
      <c r="AZ273" s="1021"/>
      <c r="BA273" s="1021"/>
      <c r="BB273" s="1021"/>
      <c r="BC273" s="1021"/>
      <c r="BD273" s="1021"/>
      <c r="BE273" s="1021"/>
      <c r="BF273" s="1021"/>
      <c r="BG273" s="1021"/>
      <c r="BH273" s="1021"/>
      <c r="BI273" s="1021"/>
      <c r="BJ273" s="1021"/>
      <c r="BK273" s="1021"/>
      <c r="BL273" s="1021"/>
      <c r="BM273" s="1021"/>
      <c r="BN273" s="1021"/>
      <c r="BO273" s="1021"/>
      <c r="BP273" s="1021"/>
      <c r="BQ273" s="1021"/>
      <c r="BR273" s="1021"/>
      <c r="BS273" s="1021"/>
      <c r="BT273" s="1021"/>
      <c r="BU273" s="1021"/>
      <c r="BV273" s="1021"/>
      <c r="BW273" s="1021"/>
      <c r="BX273" s="1021"/>
      <c r="BY273" s="1021"/>
      <c r="BZ273" s="1021"/>
      <c r="CA273" s="1021"/>
      <c r="CB273" s="1021"/>
      <c r="CC273" s="1021"/>
    </row>
    <row r="274" spans="8:81" x14ac:dyDescent="0.25">
      <c r="H274" s="1021"/>
      <c r="I274" s="1021"/>
      <c r="J274" s="1021"/>
      <c r="K274" s="1021"/>
      <c r="L274" s="1021"/>
      <c r="M274" s="1021"/>
      <c r="N274" s="1021"/>
      <c r="O274" s="1021"/>
      <c r="P274" s="1021"/>
      <c r="Q274" s="1021"/>
      <c r="R274" s="1021"/>
      <c r="S274" s="1021"/>
      <c r="T274" s="1021"/>
      <c r="U274" s="1021"/>
      <c r="V274" s="1021"/>
      <c r="W274" s="1021"/>
      <c r="X274" s="1021"/>
      <c r="Y274" s="1021"/>
      <c r="Z274" s="1021"/>
      <c r="AA274" s="1021"/>
      <c r="AB274" s="1021"/>
      <c r="AC274" s="1021"/>
      <c r="AD274" s="1021"/>
      <c r="AE274" s="1021"/>
      <c r="AF274" s="1021"/>
      <c r="AG274" s="1021"/>
      <c r="AH274" s="1021"/>
      <c r="AI274" s="1021"/>
      <c r="AJ274" s="1021"/>
      <c r="AK274" s="1021"/>
      <c r="AL274" s="1021"/>
      <c r="AM274" s="1021"/>
      <c r="AN274" s="1021"/>
      <c r="AO274" s="1021"/>
      <c r="AP274" s="1021"/>
      <c r="AQ274" s="1021"/>
      <c r="AR274" s="1021"/>
      <c r="AS274" s="1021"/>
      <c r="AT274" s="1021"/>
      <c r="AU274" s="1021"/>
      <c r="AV274" s="1021"/>
      <c r="AW274" s="1021"/>
      <c r="AX274" s="1021"/>
      <c r="AY274" s="1021"/>
      <c r="AZ274" s="1021"/>
      <c r="BA274" s="1021"/>
      <c r="BB274" s="1021"/>
      <c r="BC274" s="1021"/>
      <c r="BD274" s="1021"/>
      <c r="BE274" s="1021"/>
      <c r="BF274" s="1021"/>
      <c r="BG274" s="1021"/>
      <c r="BH274" s="1021"/>
      <c r="BI274" s="1021"/>
      <c r="BJ274" s="1021"/>
      <c r="BK274" s="1021"/>
      <c r="BL274" s="1021"/>
      <c r="BM274" s="1021"/>
      <c r="BN274" s="1021"/>
      <c r="BO274" s="1021"/>
      <c r="BP274" s="1021"/>
      <c r="BQ274" s="1021"/>
      <c r="BR274" s="1021"/>
      <c r="BS274" s="1021"/>
      <c r="BT274" s="1021"/>
      <c r="BU274" s="1021"/>
      <c r="BV274" s="1021"/>
      <c r="BW274" s="1021"/>
      <c r="BX274" s="1021"/>
      <c r="BY274" s="1021"/>
      <c r="BZ274" s="1021"/>
      <c r="CA274" s="1021"/>
      <c r="CB274" s="1021"/>
      <c r="CC274" s="1021"/>
    </row>
    <row r="275" spans="8:81" x14ac:dyDescent="0.25">
      <c r="H275" s="1021"/>
      <c r="I275" s="1021"/>
      <c r="J275" s="1021"/>
      <c r="K275" s="1021"/>
      <c r="L275" s="1021"/>
      <c r="M275" s="1021"/>
      <c r="N275" s="1021"/>
      <c r="O275" s="1021"/>
      <c r="P275" s="1021"/>
      <c r="Q275" s="1021"/>
      <c r="R275" s="1021"/>
      <c r="S275" s="1021"/>
      <c r="T275" s="1021"/>
      <c r="U275" s="1021"/>
      <c r="V275" s="1021"/>
      <c r="W275" s="1021"/>
      <c r="X275" s="1021"/>
      <c r="Y275" s="1021"/>
      <c r="Z275" s="1021"/>
      <c r="AA275" s="1021"/>
      <c r="AB275" s="1021"/>
      <c r="AC275" s="1021"/>
      <c r="AD275" s="1021"/>
      <c r="AE275" s="1021"/>
      <c r="AF275" s="1021"/>
      <c r="AG275" s="1021"/>
      <c r="AH275" s="1021"/>
      <c r="AI275" s="1021"/>
      <c r="AJ275" s="1021"/>
      <c r="AK275" s="1021"/>
      <c r="AL275" s="1021"/>
      <c r="AM275" s="1021"/>
      <c r="AN275" s="1021"/>
      <c r="AO275" s="1021"/>
      <c r="AP275" s="1021"/>
      <c r="AQ275" s="1021"/>
      <c r="AR275" s="1021"/>
      <c r="AS275" s="1021"/>
      <c r="AT275" s="1021"/>
      <c r="AU275" s="1021"/>
      <c r="AV275" s="1021"/>
      <c r="AW275" s="1021"/>
      <c r="AX275" s="1021"/>
      <c r="AY275" s="1021"/>
      <c r="AZ275" s="1021"/>
      <c r="BA275" s="1021"/>
      <c r="BB275" s="1021"/>
      <c r="BC275" s="1021"/>
      <c r="BD275" s="1021"/>
      <c r="BE275" s="1021"/>
      <c r="BF275" s="1021"/>
      <c r="BG275" s="1021"/>
      <c r="BH275" s="1021"/>
      <c r="BI275" s="1021"/>
      <c r="BJ275" s="1021"/>
      <c r="BK275" s="1021"/>
      <c r="BL275" s="1021"/>
      <c r="BM275" s="1021"/>
      <c r="BN275" s="1021"/>
      <c r="BO275" s="1021"/>
      <c r="BP275" s="1021"/>
      <c r="BQ275" s="1021"/>
      <c r="BR275" s="1021"/>
      <c r="BS275" s="1021"/>
      <c r="BT275" s="1021"/>
      <c r="BU275" s="1021"/>
      <c r="BV275" s="1021"/>
      <c r="BW275" s="1021"/>
      <c r="BX275" s="1021"/>
      <c r="BY275" s="1021"/>
      <c r="BZ275" s="1021"/>
      <c r="CA275" s="1021"/>
      <c r="CB275" s="1021"/>
      <c r="CC275" s="1021"/>
    </row>
    <row r="276" spans="8:81" x14ac:dyDescent="0.25">
      <c r="H276" s="1021"/>
      <c r="I276" s="1021"/>
      <c r="J276" s="1021"/>
      <c r="K276" s="1021"/>
      <c r="L276" s="1021"/>
      <c r="M276" s="1021"/>
      <c r="N276" s="1021"/>
      <c r="O276" s="1021"/>
      <c r="P276" s="1021"/>
      <c r="Q276" s="1021"/>
      <c r="R276" s="1021"/>
      <c r="S276" s="1021"/>
      <c r="T276" s="1021"/>
      <c r="U276" s="1021"/>
      <c r="V276" s="1021"/>
      <c r="W276" s="1021"/>
      <c r="X276" s="1021"/>
      <c r="Y276" s="1021"/>
      <c r="Z276" s="1021"/>
      <c r="AA276" s="1021"/>
      <c r="AB276" s="1021"/>
      <c r="AC276" s="1021"/>
      <c r="AD276" s="1021"/>
      <c r="AE276" s="1021"/>
      <c r="AF276" s="1021"/>
      <c r="AG276" s="1021"/>
      <c r="AH276" s="1021"/>
      <c r="AI276" s="1021"/>
      <c r="AJ276" s="1021"/>
      <c r="AK276" s="1021"/>
      <c r="AL276" s="1021"/>
      <c r="AM276" s="1021"/>
      <c r="AN276" s="1021"/>
      <c r="AO276" s="1021"/>
      <c r="AP276" s="1021"/>
      <c r="AQ276" s="1021"/>
      <c r="AR276" s="1021"/>
      <c r="AS276" s="1021"/>
      <c r="AT276" s="1021"/>
      <c r="AU276" s="1021"/>
      <c r="AV276" s="1021"/>
      <c r="AW276" s="1021"/>
      <c r="AX276" s="1021"/>
      <c r="AY276" s="1021"/>
      <c r="AZ276" s="1021"/>
      <c r="BA276" s="1021"/>
      <c r="BB276" s="1021"/>
      <c r="BC276" s="1021"/>
      <c r="BD276" s="1021"/>
      <c r="BE276" s="1021"/>
      <c r="BF276" s="1021"/>
      <c r="BG276" s="1021"/>
      <c r="BH276" s="1021"/>
      <c r="BI276" s="1021"/>
      <c r="BJ276" s="1021"/>
      <c r="BK276" s="1021"/>
      <c r="BL276" s="1021"/>
      <c r="BM276" s="1021"/>
      <c r="BN276" s="1021"/>
      <c r="BO276" s="1021"/>
      <c r="BP276" s="1021"/>
      <c r="BQ276" s="1021"/>
      <c r="BR276" s="1021"/>
      <c r="BS276" s="1021"/>
      <c r="BT276" s="1021"/>
      <c r="BU276" s="1021"/>
      <c r="BV276" s="1021"/>
      <c r="BW276" s="1021"/>
      <c r="BX276" s="1021"/>
      <c r="BY276" s="1021"/>
      <c r="BZ276" s="1021"/>
      <c r="CA276" s="1021"/>
      <c r="CB276" s="1021"/>
      <c r="CC276" s="1021"/>
    </row>
    <row r="277" spans="8:81" x14ac:dyDescent="0.25">
      <c r="H277" s="1021"/>
      <c r="I277" s="1021"/>
      <c r="J277" s="1021"/>
      <c r="K277" s="1021"/>
      <c r="L277" s="1021"/>
      <c r="M277" s="1021"/>
      <c r="N277" s="1021"/>
      <c r="O277" s="1021"/>
      <c r="P277" s="1021"/>
      <c r="Q277" s="1021"/>
      <c r="R277" s="1021"/>
      <c r="S277" s="1021"/>
      <c r="T277" s="1021"/>
      <c r="U277" s="1021"/>
      <c r="V277" s="1021"/>
      <c r="W277" s="1021"/>
      <c r="X277" s="1021"/>
      <c r="Y277" s="1021"/>
      <c r="Z277" s="1021"/>
      <c r="AA277" s="1021"/>
      <c r="AB277" s="1021"/>
      <c r="AC277" s="1021"/>
      <c r="AD277" s="1021"/>
      <c r="AE277" s="1021"/>
      <c r="AF277" s="1021"/>
      <c r="AG277" s="1021"/>
      <c r="AH277" s="1021"/>
      <c r="AI277" s="1021"/>
      <c r="AJ277" s="1021"/>
      <c r="AK277" s="1021"/>
      <c r="AL277" s="1021"/>
      <c r="AM277" s="1021"/>
      <c r="AN277" s="1021"/>
      <c r="AO277" s="1021"/>
      <c r="AP277" s="1021"/>
      <c r="AQ277" s="1021"/>
      <c r="AR277" s="1021"/>
      <c r="AS277" s="1021"/>
      <c r="AT277" s="1021"/>
      <c r="AU277" s="1021"/>
      <c r="AV277" s="1021"/>
      <c r="AW277" s="1021"/>
      <c r="AX277" s="1021"/>
      <c r="AY277" s="1021"/>
      <c r="AZ277" s="1021"/>
      <c r="BA277" s="1021"/>
      <c r="BB277" s="1021"/>
      <c r="BC277" s="1021"/>
      <c r="BD277" s="1021"/>
      <c r="BE277" s="1021"/>
      <c r="BF277" s="1021"/>
      <c r="BG277" s="1021"/>
      <c r="BH277" s="1021"/>
      <c r="BI277" s="1021"/>
      <c r="BJ277" s="1021"/>
      <c r="BK277" s="1021"/>
      <c r="BL277" s="1021"/>
      <c r="BM277" s="1021"/>
      <c r="BN277" s="1021"/>
      <c r="BO277" s="1021"/>
      <c r="BP277" s="1021"/>
      <c r="BQ277" s="1021"/>
      <c r="BR277" s="1021"/>
      <c r="BS277" s="1021"/>
      <c r="BT277" s="1021"/>
      <c r="BU277" s="1021"/>
      <c r="BV277" s="1021"/>
      <c r="BW277" s="1021"/>
      <c r="BX277" s="1021"/>
      <c r="BY277" s="1021"/>
      <c r="BZ277" s="1021"/>
      <c r="CA277" s="1021"/>
      <c r="CB277" s="1021"/>
      <c r="CC277" s="1021"/>
    </row>
    <row r="278" spans="8:81" x14ac:dyDescent="0.25">
      <c r="H278" s="1021"/>
      <c r="I278" s="1021"/>
      <c r="J278" s="1021"/>
      <c r="K278" s="1021"/>
      <c r="L278" s="1021"/>
      <c r="M278" s="1021"/>
      <c r="N278" s="1021"/>
      <c r="O278" s="1021"/>
      <c r="P278" s="1021"/>
      <c r="Q278" s="1021"/>
      <c r="R278" s="1021"/>
      <c r="S278" s="1021"/>
      <c r="T278" s="1021"/>
      <c r="U278" s="1021"/>
      <c r="V278" s="1021"/>
      <c r="W278" s="1021"/>
      <c r="X278" s="1021"/>
      <c r="Y278" s="1021"/>
      <c r="Z278" s="1021"/>
      <c r="AA278" s="1021"/>
      <c r="AB278" s="1021"/>
      <c r="AC278" s="1021"/>
      <c r="AD278" s="1021"/>
      <c r="AE278" s="1021"/>
      <c r="AF278" s="1021"/>
      <c r="AG278" s="1021"/>
      <c r="AH278" s="1021"/>
      <c r="AI278" s="1021"/>
      <c r="AJ278" s="1021"/>
      <c r="AK278" s="1021"/>
      <c r="AL278" s="1021"/>
      <c r="AM278" s="1021"/>
      <c r="AN278" s="1021"/>
      <c r="AO278" s="1021"/>
      <c r="AP278" s="1021"/>
      <c r="AQ278" s="1021"/>
      <c r="AR278" s="1021"/>
      <c r="AS278" s="1021"/>
      <c r="AT278" s="1021"/>
      <c r="AU278" s="1021"/>
      <c r="AV278" s="1021"/>
      <c r="AW278" s="1021"/>
      <c r="AX278" s="1021"/>
      <c r="AY278" s="1021"/>
      <c r="AZ278" s="1021"/>
      <c r="BA278" s="1021"/>
      <c r="BB278" s="1021"/>
      <c r="BC278" s="1021"/>
      <c r="BD278" s="1021"/>
      <c r="BE278" s="1021"/>
      <c r="BF278" s="1021"/>
      <c r="BG278" s="1021"/>
      <c r="BH278" s="1021"/>
      <c r="BI278" s="1021"/>
      <c r="BJ278" s="1021"/>
      <c r="BK278" s="1021"/>
      <c r="BL278" s="1021"/>
      <c r="BM278" s="1021"/>
      <c r="BN278" s="1021"/>
      <c r="BO278" s="1021"/>
      <c r="BP278" s="1021"/>
      <c r="BQ278" s="1021"/>
      <c r="BR278" s="1021"/>
      <c r="BS278" s="1021"/>
      <c r="BT278" s="1021"/>
      <c r="BU278" s="1021"/>
      <c r="BV278" s="1021"/>
      <c r="BW278" s="1021"/>
      <c r="BX278" s="1021"/>
      <c r="BY278" s="1021"/>
      <c r="BZ278" s="1021"/>
      <c r="CA278" s="1021"/>
      <c r="CB278" s="1021"/>
      <c r="CC278" s="1021"/>
    </row>
    <row r="279" spans="8:81" x14ac:dyDescent="0.25">
      <c r="H279" s="1021"/>
      <c r="I279" s="1021"/>
      <c r="J279" s="1021"/>
      <c r="K279" s="1021"/>
      <c r="L279" s="1021"/>
      <c r="M279" s="1021"/>
      <c r="N279" s="1021"/>
      <c r="O279" s="1021"/>
      <c r="P279" s="1021"/>
      <c r="Q279" s="1021"/>
      <c r="R279" s="1021"/>
      <c r="S279" s="1021"/>
      <c r="T279" s="1021"/>
      <c r="U279" s="1021"/>
      <c r="V279" s="1021"/>
      <c r="W279" s="1021"/>
      <c r="X279" s="1021"/>
      <c r="Y279" s="1021"/>
      <c r="Z279" s="1021"/>
      <c r="AA279" s="1021"/>
      <c r="AB279" s="1021"/>
      <c r="AC279" s="1021"/>
      <c r="AD279" s="1021"/>
      <c r="AE279" s="1021"/>
      <c r="AF279" s="1021"/>
      <c r="AG279" s="1021"/>
      <c r="AH279" s="1021"/>
      <c r="AI279" s="1021"/>
      <c r="AJ279" s="1021"/>
      <c r="AK279" s="1021"/>
      <c r="AL279" s="1021"/>
      <c r="AM279" s="1021"/>
      <c r="AN279" s="1021"/>
      <c r="AO279" s="1021"/>
      <c r="AP279" s="1021"/>
      <c r="AQ279" s="1021"/>
      <c r="AR279" s="1021"/>
      <c r="AS279" s="1021"/>
      <c r="AT279" s="1021"/>
      <c r="AU279" s="1021"/>
      <c r="AV279" s="1021"/>
      <c r="AW279" s="1021"/>
      <c r="AX279" s="1021"/>
      <c r="AY279" s="1021"/>
      <c r="AZ279" s="1021"/>
      <c r="BA279" s="1021"/>
      <c r="BB279" s="1021"/>
      <c r="BC279" s="1021"/>
      <c r="BD279" s="1021"/>
      <c r="BE279" s="1021"/>
      <c r="BF279" s="1021"/>
      <c r="BG279" s="1021"/>
      <c r="BH279" s="1021"/>
      <c r="BI279" s="1021"/>
      <c r="BJ279" s="1021"/>
      <c r="BK279" s="1021"/>
      <c r="BL279" s="1021"/>
      <c r="BM279" s="1021"/>
      <c r="BN279" s="1021"/>
      <c r="BO279" s="1021"/>
      <c r="BP279" s="1021"/>
      <c r="BQ279" s="1021"/>
      <c r="BR279" s="1021"/>
      <c r="BS279" s="1021"/>
      <c r="BT279" s="1021"/>
      <c r="BU279" s="1021"/>
      <c r="BV279" s="1021"/>
      <c r="BW279" s="1021"/>
      <c r="BX279" s="1021"/>
      <c r="BY279" s="1021"/>
      <c r="BZ279" s="1021"/>
      <c r="CA279" s="1021"/>
      <c r="CB279" s="1021"/>
      <c r="CC279" s="1021"/>
    </row>
    <row r="280" spans="8:81" x14ac:dyDescent="0.25">
      <c r="H280" s="1021"/>
      <c r="I280" s="1021"/>
      <c r="J280" s="1021"/>
      <c r="K280" s="1021"/>
      <c r="L280" s="1021"/>
      <c r="M280" s="1021"/>
      <c r="N280" s="1021"/>
      <c r="O280" s="1021"/>
      <c r="P280" s="1021"/>
      <c r="Q280" s="1021"/>
      <c r="R280" s="1021"/>
      <c r="S280" s="1021"/>
      <c r="T280" s="1021"/>
      <c r="U280" s="1021"/>
      <c r="V280" s="1021"/>
      <c r="W280" s="1021"/>
      <c r="X280" s="1021"/>
      <c r="Y280" s="1021"/>
      <c r="Z280" s="1021"/>
      <c r="AA280" s="1021"/>
      <c r="AB280" s="1021"/>
      <c r="AC280" s="1021"/>
      <c r="AD280" s="1021"/>
      <c r="AE280" s="1021"/>
      <c r="AF280" s="1021"/>
      <c r="AG280" s="1021"/>
      <c r="AH280" s="1021"/>
      <c r="AI280" s="1021"/>
      <c r="AJ280" s="1021"/>
      <c r="AK280" s="1021"/>
      <c r="AL280" s="1021"/>
      <c r="AM280" s="1021"/>
      <c r="AN280" s="1021"/>
      <c r="AO280" s="1021"/>
      <c r="AP280" s="1021"/>
      <c r="AQ280" s="1021"/>
      <c r="AR280" s="1021"/>
      <c r="AS280" s="1021"/>
      <c r="AT280" s="1021"/>
      <c r="AU280" s="1021"/>
      <c r="AV280" s="1021"/>
      <c r="AW280" s="1021"/>
      <c r="AX280" s="1021"/>
      <c r="AY280" s="1021"/>
      <c r="AZ280" s="1021"/>
      <c r="BA280" s="1021"/>
      <c r="BB280" s="1021"/>
      <c r="BC280" s="1021"/>
      <c r="BD280" s="1021"/>
      <c r="BE280" s="1021"/>
      <c r="BF280" s="1021"/>
      <c r="BG280" s="1021"/>
      <c r="BH280" s="1021"/>
      <c r="BI280" s="1021"/>
      <c r="BJ280" s="1021"/>
      <c r="BK280" s="1021"/>
      <c r="BL280" s="1021"/>
      <c r="BM280" s="1021"/>
      <c r="BN280" s="1021"/>
      <c r="BO280" s="1021"/>
      <c r="BP280" s="1021"/>
      <c r="BQ280" s="1021"/>
      <c r="BR280" s="1021"/>
      <c r="BS280" s="1021"/>
      <c r="BT280" s="1021"/>
      <c r="BU280" s="1021"/>
      <c r="BV280" s="1021"/>
      <c r="BW280" s="1021"/>
      <c r="BX280" s="1021"/>
      <c r="BY280" s="1021"/>
      <c r="BZ280" s="1021"/>
      <c r="CA280" s="1021"/>
      <c r="CB280" s="1021"/>
      <c r="CC280" s="1021"/>
    </row>
    <row r="281" spans="8:81" x14ac:dyDescent="0.25">
      <c r="H281" s="1021"/>
      <c r="I281" s="1021"/>
      <c r="J281" s="1021"/>
      <c r="K281" s="1021"/>
      <c r="L281" s="1021"/>
      <c r="M281" s="1021"/>
      <c r="N281" s="1021"/>
      <c r="O281" s="1021"/>
      <c r="P281" s="1021"/>
      <c r="Q281" s="1021"/>
      <c r="R281" s="1021"/>
      <c r="S281" s="1021"/>
      <c r="T281" s="1021"/>
      <c r="U281" s="1021"/>
      <c r="V281" s="1021"/>
      <c r="W281" s="1021"/>
      <c r="X281" s="1021"/>
      <c r="Y281" s="1021"/>
      <c r="Z281" s="1021"/>
      <c r="AA281" s="1021"/>
      <c r="AB281" s="1021"/>
      <c r="AC281" s="1021"/>
      <c r="AD281" s="1021"/>
      <c r="AE281" s="1021"/>
      <c r="AF281" s="1021"/>
      <c r="AG281" s="1021"/>
      <c r="AH281" s="1021"/>
      <c r="AI281" s="1021"/>
      <c r="AJ281" s="1021"/>
      <c r="AK281" s="1021"/>
      <c r="AL281" s="1021"/>
      <c r="AM281" s="1021"/>
      <c r="AN281" s="1021"/>
      <c r="AO281" s="1021"/>
      <c r="AP281" s="1021"/>
      <c r="AQ281" s="1021"/>
      <c r="AR281" s="1021"/>
      <c r="AS281" s="1021"/>
      <c r="AT281" s="1021"/>
      <c r="AU281" s="1021"/>
      <c r="AV281" s="1021"/>
      <c r="AW281" s="1021"/>
      <c r="AX281" s="1021"/>
      <c r="AY281" s="1021"/>
      <c r="AZ281" s="1021"/>
      <c r="BA281" s="1021"/>
      <c r="BB281" s="1021"/>
      <c r="BC281" s="1021"/>
      <c r="BD281" s="1021"/>
      <c r="BE281" s="1021"/>
      <c r="BF281" s="1021"/>
      <c r="BG281" s="1021"/>
      <c r="BH281" s="1021"/>
      <c r="BI281" s="1021"/>
      <c r="BJ281" s="1021"/>
      <c r="BK281" s="1021"/>
      <c r="BL281" s="1021"/>
      <c r="BM281" s="1021"/>
      <c r="BN281" s="1021"/>
      <c r="BO281" s="1021"/>
      <c r="BP281" s="1021"/>
      <c r="BQ281" s="1021"/>
      <c r="BR281" s="1021"/>
      <c r="BS281" s="1021"/>
      <c r="BT281" s="1021"/>
      <c r="BU281" s="1021"/>
      <c r="BV281" s="1021"/>
      <c r="BW281" s="1021"/>
      <c r="BX281" s="1021"/>
      <c r="BY281" s="1021"/>
      <c r="BZ281" s="1021"/>
      <c r="CA281" s="1021"/>
      <c r="CB281" s="1021"/>
      <c r="CC281" s="1021"/>
    </row>
    <row r="282" spans="8:81" x14ac:dyDescent="0.25">
      <c r="H282" s="1021"/>
      <c r="I282" s="1021"/>
      <c r="J282" s="1021"/>
      <c r="K282" s="1021"/>
      <c r="L282" s="1021"/>
      <c r="M282" s="1021"/>
      <c r="N282" s="1021"/>
      <c r="O282" s="1021"/>
      <c r="P282" s="1021"/>
      <c r="Q282" s="1021"/>
      <c r="R282" s="1021"/>
      <c r="S282" s="1021"/>
      <c r="T282" s="1021"/>
      <c r="U282" s="1021"/>
      <c r="V282" s="1021"/>
      <c r="W282" s="1021"/>
      <c r="X282" s="1021"/>
      <c r="Y282" s="1021"/>
      <c r="Z282" s="1021"/>
      <c r="AA282" s="1021"/>
      <c r="AB282" s="1021"/>
      <c r="AC282" s="1021"/>
      <c r="AD282" s="1021"/>
      <c r="AE282" s="1021"/>
      <c r="AF282" s="1021"/>
      <c r="AG282" s="1021"/>
      <c r="AH282" s="1021"/>
      <c r="AI282" s="1021"/>
      <c r="AJ282" s="1021"/>
      <c r="AK282" s="1021"/>
      <c r="AL282" s="1021"/>
      <c r="AM282" s="1021"/>
      <c r="AN282" s="1021"/>
      <c r="AO282" s="1021"/>
      <c r="AP282" s="1021"/>
      <c r="AQ282" s="1021"/>
      <c r="AR282" s="1021"/>
      <c r="AS282" s="1021"/>
      <c r="AT282" s="1021"/>
      <c r="AU282" s="1021"/>
      <c r="AV282" s="1021"/>
      <c r="AW282" s="1021"/>
      <c r="AX282" s="1021"/>
      <c r="AY282" s="1021"/>
      <c r="AZ282" s="1021"/>
      <c r="BA282" s="1021"/>
      <c r="BB282" s="1021"/>
      <c r="BC282" s="1021"/>
      <c r="BD282" s="1021"/>
      <c r="BE282" s="1021"/>
      <c r="BF282" s="1021"/>
      <c r="BG282" s="1021"/>
      <c r="BH282" s="1021"/>
      <c r="BI282" s="1021"/>
      <c r="BJ282" s="1021"/>
      <c r="BK282" s="1021"/>
      <c r="BL282" s="1021"/>
      <c r="BM282" s="1021"/>
      <c r="BN282" s="1021"/>
      <c r="BO282" s="1021"/>
      <c r="BP282" s="1021"/>
      <c r="BQ282" s="1021"/>
      <c r="BR282" s="1021"/>
      <c r="BS282" s="1021"/>
      <c r="BT282" s="1021"/>
      <c r="BU282" s="1021"/>
      <c r="BV282" s="1021"/>
      <c r="BW282" s="1021"/>
      <c r="BX282" s="1021"/>
      <c r="BY282" s="1021"/>
      <c r="BZ282" s="1021"/>
      <c r="CA282" s="1021"/>
      <c r="CB282" s="1021"/>
      <c r="CC282" s="1021"/>
    </row>
    <row r="283" spans="8:81" x14ac:dyDescent="0.25">
      <c r="H283" s="1021"/>
      <c r="I283" s="1021"/>
      <c r="J283" s="1021"/>
      <c r="K283" s="1021"/>
      <c r="L283" s="1021"/>
      <c r="M283" s="1021"/>
      <c r="N283" s="1021"/>
      <c r="O283" s="1021"/>
      <c r="P283" s="1021"/>
      <c r="Q283" s="1021"/>
      <c r="R283" s="1021"/>
      <c r="S283" s="1021"/>
      <c r="T283" s="1021"/>
      <c r="U283" s="1021"/>
      <c r="V283" s="1021"/>
      <c r="W283" s="1021"/>
      <c r="X283" s="1021"/>
      <c r="Y283" s="1021"/>
      <c r="Z283" s="1021"/>
      <c r="AA283" s="1021"/>
      <c r="AB283" s="1021"/>
      <c r="AC283" s="1021"/>
      <c r="AD283" s="1021"/>
      <c r="AE283" s="1021"/>
      <c r="AF283" s="1021"/>
      <c r="AG283" s="1021"/>
      <c r="AH283" s="1021"/>
      <c r="AI283" s="1021"/>
      <c r="AJ283" s="1021"/>
      <c r="AK283" s="1021"/>
      <c r="AL283" s="1021"/>
      <c r="AM283" s="1021"/>
      <c r="AN283" s="1021"/>
      <c r="AO283" s="1021"/>
      <c r="AP283" s="1021"/>
      <c r="AQ283" s="1021"/>
      <c r="AR283" s="1021"/>
      <c r="AS283" s="1021"/>
      <c r="AT283" s="1021"/>
      <c r="AU283" s="1021"/>
      <c r="AV283" s="1021"/>
      <c r="AW283" s="1021"/>
      <c r="AX283" s="1021"/>
      <c r="AY283" s="1021"/>
      <c r="AZ283" s="1021"/>
      <c r="BA283" s="1021"/>
      <c r="BB283" s="1021"/>
      <c r="BC283" s="1021"/>
      <c r="BD283" s="1021"/>
      <c r="BE283" s="1021"/>
      <c r="BF283" s="1021"/>
      <c r="BG283" s="1021"/>
      <c r="BH283" s="1021"/>
      <c r="BI283" s="1021"/>
      <c r="BJ283" s="1021"/>
      <c r="BK283" s="1021"/>
      <c r="BL283" s="1021"/>
      <c r="BM283" s="1021"/>
      <c r="BN283" s="1021"/>
      <c r="BO283" s="1021"/>
      <c r="BP283" s="1021"/>
      <c r="BQ283" s="1021"/>
      <c r="BR283" s="1021"/>
      <c r="BS283" s="1021"/>
      <c r="BT283" s="1021"/>
      <c r="BU283" s="1021"/>
      <c r="BV283" s="1021"/>
      <c r="BW283" s="1021"/>
      <c r="BX283" s="1021"/>
      <c r="BY283" s="1021"/>
      <c r="BZ283" s="1021"/>
      <c r="CA283" s="1021"/>
      <c r="CB283" s="1021"/>
      <c r="CC283" s="1021"/>
    </row>
    <row r="284" spans="8:81" x14ac:dyDescent="0.25">
      <c r="H284" s="1021"/>
      <c r="I284" s="1021"/>
      <c r="J284" s="1021"/>
      <c r="K284" s="1021"/>
      <c r="L284" s="1021"/>
      <c r="M284" s="1021"/>
      <c r="N284" s="1021"/>
      <c r="O284" s="1021"/>
      <c r="P284" s="1021"/>
      <c r="Q284" s="1021"/>
      <c r="R284" s="1021"/>
      <c r="S284" s="1021"/>
      <c r="T284" s="1021"/>
      <c r="U284" s="1021"/>
      <c r="V284" s="1021"/>
      <c r="W284" s="1021"/>
      <c r="X284" s="1021"/>
      <c r="Y284" s="1021"/>
      <c r="Z284" s="1021"/>
      <c r="AA284" s="1021"/>
      <c r="AB284" s="1021"/>
      <c r="AC284" s="1021"/>
      <c r="AD284" s="1021"/>
      <c r="AE284" s="1021"/>
      <c r="AF284" s="1021"/>
      <c r="AG284" s="1021"/>
      <c r="AH284" s="1021"/>
      <c r="AI284" s="1021"/>
      <c r="AJ284" s="1021"/>
      <c r="AK284" s="1021"/>
      <c r="AL284" s="1021"/>
      <c r="AM284" s="1021"/>
      <c r="AN284" s="1021"/>
      <c r="AO284" s="1021"/>
      <c r="AP284" s="1021"/>
      <c r="AQ284" s="1021"/>
      <c r="AR284" s="1021"/>
      <c r="AS284" s="1021"/>
      <c r="AT284" s="1021"/>
      <c r="AU284" s="1021"/>
      <c r="AV284" s="1021"/>
      <c r="AW284" s="1021"/>
      <c r="AX284" s="1021"/>
      <c r="AY284" s="1021"/>
      <c r="AZ284" s="1021"/>
      <c r="BA284" s="1021"/>
      <c r="BB284" s="1021"/>
      <c r="BC284" s="1021"/>
      <c r="BD284" s="1021"/>
      <c r="BE284" s="1021"/>
      <c r="BF284" s="1021"/>
      <c r="BG284" s="1021"/>
      <c r="BH284" s="1021"/>
      <c r="BI284" s="1021"/>
      <c r="BJ284" s="1021"/>
      <c r="BK284" s="1021"/>
      <c r="BL284" s="1021"/>
      <c r="BM284" s="1021"/>
      <c r="BN284" s="1021"/>
      <c r="BO284" s="1021"/>
      <c r="BP284" s="1021"/>
      <c r="BQ284" s="1021"/>
      <c r="BR284" s="1021"/>
      <c r="BS284" s="1021"/>
      <c r="BT284" s="1021"/>
      <c r="BU284" s="1021"/>
      <c r="BV284" s="1021"/>
      <c r="BW284" s="1021"/>
      <c r="BX284" s="1021"/>
      <c r="BY284" s="1021"/>
      <c r="BZ284" s="1021"/>
      <c r="CA284" s="1021"/>
      <c r="CB284" s="1021"/>
      <c r="CC284" s="1021"/>
    </row>
    <row r="285" spans="8:81" x14ac:dyDescent="0.25">
      <c r="H285" s="1021"/>
      <c r="I285" s="1021"/>
      <c r="J285" s="1021"/>
      <c r="K285" s="1021"/>
      <c r="L285" s="1021"/>
      <c r="M285" s="1021"/>
      <c r="N285" s="1021"/>
      <c r="O285" s="1021"/>
      <c r="P285" s="1021"/>
      <c r="Q285" s="1021"/>
      <c r="R285" s="1021"/>
      <c r="S285" s="1021"/>
      <c r="T285" s="1021"/>
      <c r="U285" s="1021"/>
      <c r="V285" s="1021"/>
      <c r="W285" s="1021"/>
      <c r="X285" s="1021"/>
      <c r="Y285" s="1021"/>
      <c r="Z285" s="1021"/>
      <c r="AA285" s="1021"/>
      <c r="AB285" s="1021"/>
      <c r="AC285" s="1021"/>
      <c r="AD285" s="1021"/>
      <c r="AE285" s="1021"/>
      <c r="AF285" s="1021"/>
      <c r="AG285" s="1021"/>
      <c r="AH285" s="1021"/>
      <c r="AI285" s="1021"/>
      <c r="AJ285" s="1021"/>
      <c r="AK285" s="1021"/>
      <c r="AL285" s="1021"/>
      <c r="AM285" s="1021"/>
      <c r="AN285" s="1021"/>
      <c r="AO285" s="1021"/>
      <c r="AP285" s="1021"/>
      <c r="AQ285" s="1021"/>
      <c r="AR285" s="1021"/>
      <c r="AS285" s="1021"/>
      <c r="AT285" s="1021"/>
      <c r="AU285" s="1021"/>
      <c r="AV285" s="1021"/>
      <c r="AW285" s="1021"/>
      <c r="AX285" s="1021"/>
      <c r="AY285" s="1021"/>
      <c r="AZ285" s="1021"/>
      <c r="BA285" s="1021"/>
      <c r="BB285" s="1021"/>
      <c r="BC285" s="1021"/>
      <c r="BD285" s="1021"/>
      <c r="BE285" s="1021"/>
      <c r="BF285" s="1021"/>
      <c r="BG285" s="1021"/>
      <c r="BH285" s="1021"/>
      <c r="BI285" s="1021"/>
      <c r="BJ285" s="1021"/>
      <c r="BK285" s="1021"/>
      <c r="BL285" s="1021"/>
      <c r="BM285" s="1021"/>
      <c r="BN285" s="1021"/>
      <c r="BO285" s="1021"/>
      <c r="BP285" s="1021"/>
      <c r="BQ285" s="1021"/>
      <c r="BR285" s="1021"/>
      <c r="BS285" s="1021"/>
      <c r="BT285" s="1021"/>
      <c r="BU285" s="1021"/>
      <c r="BV285" s="1021"/>
      <c r="BW285" s="1021"/>
      <c r="BX285" s="1021"/>
      <c r="BY285" s="1021"/>
      <c r="BZ285" s="1021"/>
      <c r="CA285" s="1021"/>
      <c r="CB285" s="1021"/>
      <c r="CC285" s="1021"/>
    </row>
    <row r="286" spans="8:81" x14ac:dyDescent="0.25">
      <c r="H286" s="1021"/>
      <c r="I286" s="1021"/>
      <c r="J286" s="1021"/>
      <c r="K286" s="1021"/>
      <c r="L286" s="1021"/>
      <c r="M286" s="1021"/>
      <c r="N286" s="1021"/>
      <c r="O286" s="1021"/>
      <c r="P286" s="1021"/>
      <c r="Q286" s="1021"/>
      <c r="R286" s="1021"/>
      <c r="S286" s="1021"/>
      <c r="T286" s="1021"/>
      <c r="U286" s="1021"/>
      <c r="V286" s="1021"/>
      <c r="W286" s="1021"/>
      <c r="X286" s="1021"/>
      <c r="Y286" s="1021"/>
      <c r="Z286" s="1021"/>
      <c r="AA286" s="1021"/>
      <c r="AB286" s="1021"/>
      <c r="AC286" s="1021"/>
      <c r="AD286" s="1021"/>
      <c r="AE286" s="1021"/>
      <c r="AF286" s="1021"/>
      <c r="AG286" s="1021"/>
      <c r="AH286" s="1021"/>
      <c r="AI286" s="1021"/>
      <c r="AJ286" s="1021"/>
      <c r="AK286" s="1021"/>
      <c r="AL286" s="1021"/>
      <c r="AM286" s="1021"/>
      <c r="AN286" s="1021"/>
      <c r="AO286" s="1021"/>
      <c r="AP286" s="1021"/>
      <c r="AQ286" s="1021"/>
      <c r="AR286" s="1021"/>
      <c r="AS286" s="1021"/>
      <c r="AT286" s="1021"/>
      <c r="AU286" s="1021"/>
      <c r="AV286" s="1021"/>
      <c r="AW286" s="1021"/>
      <c r="AX286" s="1021"/>
      <c r="AY286" s="1021"/>
      <c r="AZ286" s="1021"/>
      <c r="BA286" s="1021"/>
      <c r="BB286" s="1021"/>
      <c r="BC286" s="1021"/>
      <c r="BD286" s="1021"/>
      <c r="BE286" s="1021"/>
      <c r="BF286" s="1021"/>
      <c r="BG286" s="1021"/>
      <c r="BH286" s="1021"/>
      <c r="BI286" s="1021"/>
      <c r="BJ286" s="1021"/>
      <c r="BK286" s="1021"/>
      <c r="BL286" s="1021"/>
      <c r="BM286" s="1021"/>
      <c r="BN286" s="1021"/>
      <c r="BO286" s="1021"/>
      <c r="BP286" s="1021"/>
      <c r="BQ286" s="1021"/>
      <c r="BR286" s="1021"/>
      <c r="BS286" s="1021"/>
      <c r="BT286" s="1021"/>
      <c r="BU286" s="1021"/>
      <c r="BV286" s="1021"/>
      <c r="BW286" s="1021"/>
      <c r="BX286" s="1021"/>
      <c r="BY286" s="1021"/>
      <c r="BZ286" s="1021"/>
      <c r="CA286" s="1021"/>
      <c r="CB286" s="1021"/>
      <c r="CC286" s="1021"/>
    </row>
    <row r="287" spans="8:81" x14ac:dyDescent="0.25">
      <c r="H287" s="1021"/>
      <c r="I287" s="1021"/>
      <c r="J287" s="1021"/>
      <c r="K287" s="1021"/>
      <c r="L287" s="1021"/>
      <c r="M287" s="1021"/>
      <c r="N287" s="1021"/>
      <c r="O287" s="1021"/>
      <c r="P287" s="1021"/>
      <c r="Q287" s="1021"/>
      <c r="R287" s="1021"/>
      <c r="S287" s="1021"/>
      <c r="T287" s="1021"/>
      <c r="U287" s="1021"/>
      <c r="V287" s="1021"/>
      <c r="W287" s="1021"/>
      <c r="X287" s="1021"/>
      <c r="Y287" s="1021"/>
      <c r="Z287" s="1021"/>
      <c r="AA287" s="1021"/>
      <c r="AB287" s="1021"/>
      <c r="AC287" s="1021"/>
      <c r="AD287" s="1021"/>
      <c r="AE287" s="1021"/>
      <c r="AF287" s="1021"/>
      <c r="AG287" s="1021"/>
      <c r="AH287" s="1021"/>
      <c r="AI287" s="1021"/>
      <c r="AJ287" s="1021"/>
      <c r="AK287" s="1021"/>
      <c r="AL287" s="1021"/>
      <c r="AM287" s="1021"/>
      <c r="AN287" s="1021"/>
      <c r="AO287" s="1021"/>
      <c r="AP287" s="1021"/>
      <c r="AQ287" s="1021"/>
      <c r="AR287" s="1021"/>
      <c r="AS287" s="1021"/>
      <c r="AT287" s="1021"/>
      <c r="AU287" s="1021"/>
      <c r="AV287" s="1021"/>
      <c r="AW287" s="1021"/>
      <c r="AX287" s="1021"/>
      <c r="AY287" s="1021"/>
      <c r="AZ287" s="1021"/>
      <c r="BA287" s="1021"/>
      <c r="BB287" s="1021"/>
      <c r="BC287" s="1021"/>
      <c r="BD287" s="1021"/>
      <c r="BE287" s="1021"/>
      <c r="BF287" s="1021"/>
      <c r="BG287" s="1021"/>
      <c r="BH287" s="1021"/>
      <c r="BI287" s="1021"/>
      <c r="BJ287" s="1021"/>
      <c r="BK287" s="1021"/>
      <c r="BL287" s="1021"/>
      <c r="BM287" s="1021"/>
      <c r="BN287" s="1021"/>
      <c r="BO287" s="1021"/>
      <c r="BP287" s="1021"/>
      <c r="BQ287" s="1021"/>
      <c r="BR287" s="1021"/>
      <c r="BS287" s="1021"/>
      <c r="BT287" s="1021"/>
      <c r="BU287" s="1021"/>
      <c r="BV287" s="1021"/>
      <c r="BW287" s="1021"/>
      <c r="BX287" s="1021"/>
      <c r="BY287" s="1021"/>
      <c r="BZ287" s="1021"/>
      <c r="CA287" s="1021"/>
      <c r="CB287" s="1021"/>
      <c r="CC287" s="1021"/>
    </row>
    <row r="288" spans="8:81" x14ac:dyDescent="0.25">
      <c r="H288" s="1021"/>
      <c r="I288" s="1021"/>
      <c r="J288" s="1021"/>
      <c r="K288" s="1021"/>
      <c r="L288" s="1021"/>
      <c r="M288" s="1021"/>
      <c r="N288" s="1021"/>
      <c r="O288" s="1021"/>
      <c r="P288" s="1021"/>
      <c r="Q288" s="1021"/>
      <c r="R288" s="1021"/>
      <c r="S288" s="1021"/>
      <c r="T288" s="1021"/>
      <c r="U288" s="1021"/>
      <c r="V288" s="1021"/>
      <c r="W288" s="1021"/>
      <c r="X288" s="1021"/>
      <c r="Y288" s="1021"/>
      <c r="Z288" s="1021"/>
      <c r="AA288" s="1021"/>
      <c r="AB288" s="1021"/>
      <c r="AC288" s="1021"/>
      <c r="AD288" s="1021"/>
      <c r="AE288" s="1021"/>
      <c r="AF288" s="1021"/>
      <c r="AG288" s="1021"/>
      <c r="AH288" s="1021"/>
      <c r="AI288" s="1021"/>
      <c r="AJ288" s="1021"/>
      <c r="AK288" s="1021"/>
      <c r="AL288" s="1021"/>
      <c r="AM288" s="1021"/>
      <c r="AN288" s="1021"/>
      <c r="AO288" s="1021"/>
      <c r="AP288" s="1021"/>
      <c r="AQ288" s="1021"/>
      <c r="AR288" s="1021"/>
      <c r="AS288" s="1021"/>
      <c r="AT288" s="1021"/>
      <c r="AU288" s="1021"/>
      <c r="AV288" s="1021"/>
      <c r="AW288" s="1021"/>
      <c r="AX288" s="1021"/>
      <c r="AY288" s="1021"/>
      <c r="AZ288" s="1021"/>
      <c r="BA288" s="1021"/>
      <c r="BB288" s="1021"/>
      <c r="BC288" s="1021"/>
      <c r="BD288" s="1021"/>
      <c r="BE288" s="1021"/>
      <c r="BF288" s="1021"/>
      <c r="BG288" s="1021"/>
      <c r="BH288" s="1021"/>
      <c r="BI288" s="1021"/>
      <c r="BJ288" s="1021"/>
      <c r="BK288" s="1021"/>
      <c r="BL288" s="1021"/>
      <c r="BM288" s="1021"/>
      <c r="BN288" s="1021"/>
      <c r="BO288" s="1021"/>
      <c r="BP288" s="1021"/>
      <c r="BQ288" s="1021"/>
      <c r="BR288" s="1021"/>
      <c r="BS288" s="1021"/>
      <c r="BT288" s="1021"/>
      <c r="BU288" s="1021"/>
      <c r="BV288" s="1021"/>
      <c r="BW288" s="1021"/>
      <c r="BX288" s="1021"/>
      <c r="BY288" s="1021"/>
      <c r="BZ288" s="1021"/>
      <c r="CA288" s="1021"/>
      <c r="CB288" s="1021"/>
      <c r="CC288" s="1021"/>
    </row>
    <row r="289" spans="8:81" x14ac:dyDescent="0.25">
      <c r="H289" s="1021"/>
      <c r="I289" s="1021"/>
      <c r="J289" s="1021"/>
      <c r="K289" s="1021"/>
      <c r="L289" s="1021"/>
      <c r="M289" s="1021"/>
      <c r="N289" s="1021"/>
      <c r="O289" s="1021"/>
      <c r="P289" s="1021"/>
      <c r="Q289" s="1021"/>
      <c r="R289" s="1021"/>
      <c r="S289" s="1021"/>
      <c r="T289" s="1021"/>
      <c r="U289" s="1021"/>
      <c r="V289" s="1021"/>
      <c r="W289" s="1021"/>
      <c r="X289" s="1021"/>
      <c r="Y289" s="1021"/>
      <c r="Z289" s="1021"/>
      <c r="AA289" s="1021"/>
      <c r="AB289" s="1021"/>
      <c r="AC289" s="1021"/>
      <c r="AD289" s="1021"/>
      <c r="AE289" s="1021"/>
      <c r="AF289" s="1021"/>
      <c r="AG289" s="1021"/>
      <c r="AH289" s="1021"/>
      <c r="AI289" s="1021"/>
      <c r="AJ289" s="1021"/>
      <c r="AK289" s="1021"/>
      <c r="AL289" s="1021"/>
      <c r="AM289" s="1021"/>
      <c r="AN289" s="1021"/>
      <c r="AO289" s="1021"/>
      <c r="AP289" s="1021"/>
      <c r="AQ289" s="1021"/>
      <c r="AR289" s="1021"/>
      <c r="AS289" s="1021"/>
      <c r="AT289" s="1021"/>
      <c r="AU289" s="1021"/>
      <c r="AV289" s="1021"/>
      <c r="AW289" s="1021"/>
      <c r="AX289" s="1021"/>
      <c r="AY289" s="1021"/>
      <c r="AZ289" s="1021"/>
      <c r="BA289" s="1021"/>
      <c r="BB289" s="1021"/>
      <c r="BC289" s="1021"/>
      <c r="BD289" s="1021"/>
      <c r="BE289" s="1021"/>
      <c r="BF289" s="1021"/>
      <c r="BG289" s="1021"/>
      <c r="BH289" s="1021"/>
      <c r="BI289" s="1021"/>
      <c r="BJ289" s="1021"/>
      <c r="BK289" s="1021"/>
      <c r="BL289" s="1021"/>
      <c r="BM289" s="1021"/>
      <c r="BN289" s="1021"/>
      <c r="BO289" s="1021"/>
      <c r="BP289" s="1021"/>
      <c r="BQ289" s="1021"/>
      <c r="BR289" s="1021"/>
      <c r="BS289" s="1021"/>
      <c r="BT289" s="1021"/>
      <c r="BU289" s="1021"/>
      <c r="BV289" s="1021"/>
      <c r="BW289" s="1021"/>
      <c r="BX289" s="1021"/>
      <c r="BY289" s="1021"/>
      <c r="BZ289" s="1021"/>
      <c r="CA289" s="1021"/>
      <c r="CB289" s="1021"/>
      <c r="CC289" s="1021"/>
    </row>
    <row r="290" spans="8:81" x14ac:dyDescent="0.25">
      <c r="H290" s="1021"/>
      <c r="I290" s="1021"/>
      <c r="J290" s="1021"/>
      <c r="K290" s="1021"/>
      <c r="L290" s="1021"/>
      <c r="M290" s="1021"/>
      <c r="N290" s="1021"/>
      <c r="O290" s="1021"/>
      <c r="P290" s="1021"/>
      <c r="Q290" s="1021"/>
      <c r="R290" s="1021"/>
      <c r="S290" s="1021"/>
      <c r="T290" s="1021"/>
      <c r="U290" s="1021"/>
      <c r="V290" s="1021"/>
      <c r="W290" s="1021"/>
      <c r="X290" s="1021"/>
      <c r="Y290" s="1021"/>
      <c r="Z290" s="1021"/>
      <c r="AA290" s="1021"/>
      <c r="AB290" s="1021"/>
      <c r="AC290" s="1021"/>
      <c r="AD290" s="1021"/>
      <c r="AE290" s="1021"/>
      <c r="AF290" s="1021"/>
      <c r="AG290" s="1021"/>
      <c r="AH290" s="1021"/>
      <c r="AI290" s="1021"/>
      <c r="AJ290" s="1021"/>
      <c r="AK290" s="1021"/>
      <c r="AL290" s="1021"/>
      <c r="AM290" s="1021"/>
      <c r="AN290" s="1021"/>
      <c r="AO290" s="1021"/>
      <c r="AP290" s="1021"/>
      <c r="AQ290" s="1021"/>
      <c r="AR290" s="1021"/>
      <c r="AS290" s="1021"/>
      <c r="AT290" s="1021"/>
      <c r="AU290" s="1021"/>
      <c r="AV290" s="1021"/>
      <c r="AW290" s="1021"/>
      <c r="AX290" s="1021"/>
      <c r="AY290" s="1021"/>
      <c r="AZ290" s="1021"/>
      <c r="BA290" s="1021"/>
      <c r="BB290" s="1021"/>
      <c r="BC290" s="1021"/>
      <c r="BD290" s="1021"/>
      <c r="BE290" s="1021"/>
      <c r="BF290" s="1021"/>
      <c r="BG290" s="1021"/>
      <c r="BH290" s="1021"/>
      <c r="BI290" s="1021"/>
      <c r="BJ290" s="1021"/>
      <c r="BK290" s="1021"/>
      <c r="BL290" s="1021"/>
      <c r="BM290" s="1021"/>
      <c r="BN290" s="1021"/>
      <c r="BO290" s="1021"/>
      <c r="BP290" s="1021"/>
      <c r="BQ290" s="1021"/>
      <c r="BR290" s="1021"/>
      <c r="BS290" s="1021"/>
      <c r="BT290" s="1021"/>
      <c r="BU290" s="1021"/>
      <c r="BV290" s="1021"/>
      <c r="BW290" s="1021"/>
      <c r="BX290" s="1021"/>
      <c r="BY290" s="1021"/>
      <c r="BZ290" s="1021"/>
      <c r="CA290" s="1021"/>
      <c r="CB290" s="1021"/>
      <c r="CC290" s="1021"/>
    </row>
    <row r="291" spans="8:81" x14ac:dyDescent="0.25">
      <c r="H291" s="1021"/>
      <c r="I291" s="1021"/>
      <c r="J291" s="1021"/>
      <c r="K291" s="1021"/>
      <c r="L291" s="1021"/>
      <c r="M291" s="1021"/>
      <c r="N291" s="1021"/>
      <c r="O291" s="1021"/>
      <c r="P291" s="1021"/>
      <c r="Q291" s="1021"/>
      <c r="R291" s="1021"/>
      <c r="S291" s="1021"/>
      <c r="T291" s="1021"/>
      <c r="U291" s="1021"/>
      <c r="V291" s="1021"/>
      <c r="W291" s="1021"/>
      <c r="X291" s="1021"/>
      <c r="Y291" s="1021"/>
      <c r="Z291" s="1021"/>
      <c r="AA291" s="1021"/>
      <c r="AB291" s="1021"/>
      <c r="AC291" s="1021"/>
      <c r="AD291" s="1021"/>
      <c r="AE291" s="1021"/>
      <c r="AF291" s="1021"/>
      <c r="AG291" s="1021"/>
      <c r="AH291" s="1021"/>
      <c r="AI291" s="1021"/>
      <c r="AJ291" s="1021"/>
      <c r="AK291" s="1021"/>
      <c r="AL291" s="1021"/>
      <c r="AM291" s="1021"/>
      <c r="AN291" s="1021"/>
      <c r="AO291" s="1021"/>
      <c r="AP291" s="1021"/>
      <c r="AQ291" s="1021"/>
      <c r="AR291" s="1021"/>
      <c r="AS291" s="1021"/>
      <c r="AT291" s="1021"/>
      <c r="AU291" s="1021"/>
      <c r="AV291" s="1021"/>
      <c r="AW291" s="1021"/>
      <c r="AX291" s="1021"/>
      <c r="AY291" s="1021"/>
      <c r="AZ291" s="1021"/>
      <c r="BA291" s="1021"/>
      <c r="BB291" s="1021"/>
      <c r="BC291" s="1021"/>
      <c r="BD291" s="1021"/>
      <c r="BE291" s="1021"/>
      <c r="BF291" s="1021"/>
      <c r="BG291" s="1021"/>
      <c r="BH291" s="1021"/>
      <c r="BI291" s="1021"/>
      <c r="BJ291" s="1021"/>
      <c r="BK291" s="1021"/>
      <c r="BL291" s="1021"/>
      <c r="BM291" s="1021"/>
      <c r="BN291" s="1021"/>
      <c r="BO291" s="1021"/>
      <c r="BP291" s="1021"/>
      <c r="BQ291" s="1021"/>
      <c r="BR291" s="1021"/>
      <c r="BS291" s="1021"/>
      <c r="BT291" s="1021"/>
      <c r="BU291" s="1021"/>
      <c r="BV291" s="1021"/>
      <c r="BW291" s="1021"/>
      <c r="BX291" s="1021"/>
      <c r="BY291" s="1021"/>
      <c r="BZ291" s="1021"/>
      <c r="CA291" s="1021"/>
      <c r="CB291" s="1021"/>
      <c r="CC291" s="1021"/>
    </row>
    <row r="292" spans="8:81" x14ac:dyDescent="0.25">
      <c r="H292" s="1021"/>
      <c r="I292" s="1021"/>
      <c r="J292" s="1021"/>
      <c r="K292" s="1021"/>
      <c r="L292" s="1021"/>
      <c r="M292" s="1021"/>
      <c r="N292" s="1021"/>
      <c r="O292" s="1021"/>
      <c r="P292" s="1021"/>
      <c r="Q292" s="1021"/>
      <c r="R292" s="1021"/>
      <c r="S292" s="1021"/>
      <c r="T292" s="1021"/>
      <c r="U292" s="1021"/>
      <c r="V292" s="1021"/>
      <c r="W292" s="1021"/>
      <c r="X292" s="1021"/>
      <c r="Y292" s="1021"/>
      <c r="Z292" s="1021"/>
      <c r="AA292" s="1021"/>
      <c r="AB292" s="1021"/>
      <c r="AC292" s="1021"/>
      <c r="AD292" s="1021"/>
      <c r="AE292" s="1021"/>
      <c r="AF292" s="1021"/>
      <c r="AG292" s="1021"/>
      <c r="AH292" s="1021"/>
      <c r="AI292" s="1021"/>
      <c r="AJ292" s="1021"/>
      <c r="AK292" s="1021"/>
      <c r="AL292" s="1021"/>
      <c r="AM292" s="1021"/>
      <c r="AN292" s="1021"/>
      <c r="AO292" s="1021"/>
      <c r="AP292" s="1021"/>
      <c r="AQ292" s="1021"/>
      <c r="AR292" s="1021"/>
      <c r="AS292" s="1021"/>
      <c r="AT292" s="1021"/>
      <c r="AU292" s="1021"/>
      <c r="AV292" s="1021"/>
      <c r="AW292" s="1021"/>
      <c r="AX292" s="1021"/>
      <c r="AY292" s="1021"/>
      <c r="AZ292" s="1021"/>
      <c r="BA292" s="1021"/>
      <c r="BB292" s="1021"/>
      <c r="BC292" s="1021"/>
      <c r="BD292" s="1021"/>
      <c r="BE292" s="1021"/>
      <c r="BF292" s="1021"/>
      <c r="BG292" s="1021"/>
      <c r="BH292" s="1021"/>
      <c r="BI292" s="1021"/>
      <c r="BJ292" s="1021"/>
      <c r="BK292" s="1021"/>
      <c r="BL292" s="1021"/>
      <c r="BM292" s="1021"/>
      <c r="BN292" s="1021"/>
      <c r="BO292" s="1021"/>
      <c r="BP292" s="1021"/>
      <c r="BQ292" s="1021"/>
      <c r="BR292" s="1021"/>
      <c r="BS292" s="1021"/>
      <c r="BT292" s="1021"/>
      <c r="BU292" s="1021"/>
      <c r="BV292" s="1021"/>
      <c r="BW292" s="1021"/>
      <c r="BX292" s="1021"/>
      <c r="BY292" s="1021"/>
      <c r="BZ292" s="1021"/>
      <c r="CA292" s="1021"/>
      <c r="CB292" s="1021"/>
      <c r="CC292" s="1021"/>
    </row>
    <row r="293" spans="8:81" x14ac:dyDescent="0.25">
      <c r="H293" s="1021"/>
      <c r="I293" s="1021"/>
      <c r="J293" s="1021"/>
      <c r="K293" s="1021"/>
      <c r="L293" s="1021"/>
      <c r="M293" s="1021"/>
      <c r="N293" s="1021"/>
      <c r="O293" s="1021"/>
      <c r="P293" s="1021"/>
      <c r="Q293" s="1021"/>
      <c r="R293" s="1021"/>
      <c r="S293" s="1021"/>
      <c r="T293" s="1021"/>
      <c r="U293" s="1021"/>
      <c r="V293" s="1021"/>
      <c r="W293" s="1021"/>
      <c r="X293" s="1021"/>
      <c r="Y293" s="1021"/>
      <c r="Z293" s="1021"/>
      <c r="AA293" s="1021"/>
      <c r="AB293" s="1021"/>
      <c r="AC293" s="1021"/>
      <c r="AD293" s="1021"/>
      <c r="AE293" s="1021"/>
      <c r="AF293" s="1021"/>
      <c r="AG293" s="1021"/>
      <c r="AH293" s="1021"/>
      <c r="AI293" s="1021"/>
      <c r="AJ293" s="1021"/>
      <c r="AK293" s="1021"/>
      <c r="AL293" s="1021"/>
      <c r="AM293" s="1021"/>
      <c r="AN293" s="1021"/>
      <c r="AO293" s="1021"/>
      <c r="AP293" s="1021"/>
      <c r="AQ293" s="1021"/>
      <c r="AR293" s="1021"/>
      <c r="AS293" s="1021"/>
      <c r="AT293" s="1021"/>
      <c r="AU293" s="1021"/>
      <c r="AV293" s="1021"/>
      <c r="AW293" s="1021"/>
      <c r="AX293" s="1021"/>
      <c r="AY293" s="1021"/>
      <c r="AZ293" s="1021"/>
      <c r="BA293" s="1021"/>
      <c r="BB293" s="1021"/>
      <c r="BC293" s="1021"/>
      <c r="BD293" s="1021"/>
      <c r="BE293" s="1021"/>
      <c r="BF293" s="1021"/>
      <c r="BG293" s="1021"/>
      <c r="BH293" s="1021"/>
      <c r="BI293" s="1021"/>
      <c r="BJ293" s="1021"/>
      <c r="BK293" s="1021"/>
      <c r="BL293" s="1021"/>
      <c r="BM293" s="1021"/>
      <c r="BN293" s="1021"/>
      <c r="BO293" s="1021"/>
      <c r="BP293" s="1021"/>
      <c r="BQ293" s="1021"/>
      <c r="BR293" s="1021"/>
      <c r="BS293" s="1021"/>
      <c r="BT293" s="1021"/>
      <c r="BU293" s="1021"/>
      <c r="BV293" s="1021"/>
      <c r="BW293" s="1021"/>
      <c r="BX293" s="1021"/>
      <c r="BY293" s="1021"/>
      <c r="BZ293" s="1021"/>
      <c r="CA293" s="1021"/>
      <c r="CB293" s="1021"/>
      <c r="CC293" s="1021"/>
    </row>
    <row r="294" spans="8:81" x14ac:dyDescent="0.25">
      <c r="H294" s="1021"/>
      <c r="I294" s="1021"/>
      <c r="J294" s="1021"/>
      <c r="K294" s="1021"/>
      <c r="L294" s="1021"/>
      <c r="M294" s="1021"/>
      <c r="N294" s="1021"/>
      <c r="O294" s="1021"/>
      <c r="P294" s="1021"/>
      <c r="Q294" s="1021"/>
      <c r="R294" s="1021"/>
      <c r="S294" s="1021"/>
      <c r="T294" s="1021"/>
      <c r="U294" s="1021"/>
      <c r="V294" s="1021"/>
      <c r="W294" s="1021"/>
      <c r="X294" s="1021"/>
      <c r="Y294" s="1021"/>
      <c r="Z294" s="1021"/>
      <c r="AA294" s="1021"/>
      <c r="AB294" s="1021"/>
      <c r="AC294" s="1021"/>
      <c r="AD294" s="1021"/>
      <c r="AE294" s="1021"/>
      <c r="AF294" s="1021"/>
      <c r="AG294" s="1021"/>
      <c r="AH294" s="1021"/>
      <c r="AI294" s="1021"/>
      <c r="AJ294" s="1021"/>
      <c r="AK294" s="1021"/>
      <c r="AL294" s="1021"/>
      <c r="AM294" s="1021"/>
      <c r="AN294" s="1021"/>
      <c r="AO294" s="1021"/>
      <c r="AP294" s="1021"/>
      <c r="AQ294" s="1021"/>
      <c r="AR294" s="1021"/>
      <c r="AS294" s="1021"/>
      <c r="AT294" s="1021"/>
      <c r="AU294" s="1021"/>
      <c r="AV294" s="1021"/>
      <c r="AW294" s="1021"/>
      <c r="AX294" s="1021"/>
      <c r="AY294" s="1021"/>
      <c r="AZ294" s="1021"/>
      <c r="BA294" s="1021"/>
      <c r="BB294" s="1021"/>
      <c r="BC294" s="1021"/>
      <c r="BD294" s="1021"/>
      <c r="BE294" s="1021"/>
      <c r="BF294" s="1021"/>
      <c r="BG294" s="1021"/>
      <c r="BH294" s="1021"/>
      <c r="BI294" s="1021"/>
      <c r="BJ294" s="1021"/>
      <c r="BK294" s="1021"/>
      <c r="BL294" s="1021"/>
      <c r="BM294" s="1021"/>
      <c r="BN294" s="1021"/>
      <c r="BO294" s="1021"/>
      <c r="BP294" s="1021"/>
      <c r="BQ294" s="1021"/>
      <c r="BR294" s="1021"/>
      <c r="BS294" s="1021"/>
      <c r="BT294" s="1021"/>
      <c r="BU294" s="1021"/>
      <c r="BV294" s="1021"/>
      <c r="BW294" s="1021"/>
      <c r="BX294" s="1021"/>
      <c r="BY294" s="1021"/>
      <c r="BZ294" s="1021"/>
      <c r="CA294" s="1021"/>
      <c r="CB294" s="1021"/>
      <c r="CC294" s="1021"/>
    </row>
    <row r="295" spans="8:81" x14ac:dyDescent="0.25">
      <c r="H295" s="1021"/>
      <c r="I295" s="1021"/>
      <c r="J295" s="1021"/>
      <c r="K295" s="1021"/>
      <c r="L295" s="1021"/>
      <c r="M295" s="1021"/>
      <c r="N295" s="1021"/>
      <c r="O295" s="1021"/>
      <c r="P295" s="1021"/>
      <c r="Q295" s="1021"/>
      <c r="R295" s="1021"/>
      <c r="S295" s="1021"/>
      <c r="T295" s="1021"/>
      <c r="U295" s="1021"/>
      <c r="V295" s="1021"/>
      <c r="W295" s="1021"/>
      <c r="X295" s="1021"/>
      <c r="Y295" s="1021"/>
      <c r="Z295" s="1021"/>
      <c r="AA295" s="1021"/>
      <c r="AB295" s="1021"/>
      <c r="AC295" s="1021"/>
      <c r="AD295" s="1021"/>
      <c r="AE295" s="1021"/>
      <c r="AF295" s="1021"/>
      <c r="AG295" s="1021"/>
      <c r="AH295" s="1021"/>
      <c r="AI295" s="1021"/>
      <c r="AJ295" s="1021"/>
      <c r="AK295" s="1021"/>
      <c r="AL295" s="1021"/>
      <c r="AM295" s="1021"/>
      <c r="AN295" s="1021"/>
      <c r="AO295" s="1021"/>
      <c r="AP295" s="1021"/>
      <c r="AQ295" s="1021"/>
      <c r="AR295" s="1021"/>
      <c r="AS295" s="1021"/>
      <c r="AT295" s="1021"/>
      <c r="AU295" s="1021"/>
      <c r="AV295" s="1021"/>
      <c r="AW295" s="1021"/>
      <c r="AX295" s="1021"/>
      <c r="AY295" s="1021"/>
      <c r="AZ295" s="1021"/>
      <c r="BA295" s="1021"/>
      <c r="BB295" s="1021"/>
      <c r="BC295" s="1021"/>
      <c r="BD295" s="1021"/>
      <c r="BE295" s="1021"/>
      <c r="BF295" s="1021"/>
      <c r="BG295" s="1021"/>
      <c r="BH295" s="1021"/>
      <c r="BI295" s="1021"/>
      <c r="BJ295" s="1021"/>
      <c r="BK295" s="1021"/>
      <c r="BL295" s="1021"/>
      <c r="BM295" s="1021"/>
      <c r="BN295" s="1021"/>
      <c r="BO295" s="1021"/>
      <c r="BP295" s="1021"/>
      <c r="BQ295" s="1021"/>
      <c r="BR295" s="1021"/>
      <c r="BS295" s="1021"/>
      <c r="BT295" s="1021"/>
      <c r="BU295" s="1021"/>
      <c r="BV295" s="1021"/>
      <c r="BW295" s="1021"/>
      <c r="BX295" s="1021"/>
      <c r="BY295" s="1021"/>
      <c r="BZ295" s="1021"/>
      <c r="CA295" s="1021"/>
      <c r="CB295" s="1021"/>
      <c r="CC295" s="1021"/>
    </row>
    <row r="296" spans="8:81" x14ac:dyDescent="0.25">
      <c r="H296" s="1021"/>
      <c r="I296" s="1021"/>
      <c r="J296" s="1021"/>
      <c r="K296" s="1021"/>
      <c r="L296" s="1021"/>
      <c r="M296" s="1021"/>
      <c r="N296" s="1021"/>
      <c r="O296" s="1021"/>
      <c r="P296" s="1021"/>
      <c r="Q296" s="1021"/>
      <c r="R296" s="1021"/>
      <c r="S296" s="1021"/>
      <c r="T296" s="1021"/>
      <c r="U296" s="1021"/>
      <c r="V296" s="1021"/>
      <c r="W296" s="1021"/>
      <c r="X296" s="1021"/>
      <c r="Y296" s="1021"/>
      <c r="Z296" s="1021"/>
      <c r="AA296" s="1021"/>
      <c r="AB296" s="1021"/>
      <c r="AC296" s="1021"/>
      <c r="AD296" s="1021"/>
      <c r="AE296" s="1021"/>
      <c r="AF296" s="1021"/>
      <c r="AG296" s="1021"/>
      <c r="AH296" s="1021"/>
      <c r="AI296" s="1021"/>
      <c r="AJ296" s="1021"/>
      <c r="AK296" s="1021"/>
      <c r="AL296" s="1021"/>
      <c r="AM296" s="1021"/>
      <c r="AN296" s="1021"/>
      <c r="AO296" s="1021"/>
      <c r="AP296" s="1021"/>
      <c r="AQ296" s="1021"/>
      <c r="AR296" s="1021"/>
      <c r="AS296" s="1021"/>
      <c r="AT296" s="1021"/>
      <c r="AU296" s="1021"/>
      <c r="AV296" s="1021"/>
      <c r="AW296" s="1021"/>
      <c r="AX296" s="1021"/>
      <c r="AY296" s="1021"/>
      <c r="AZ296" s="1021"/>
      <c r="BA296" s="1021"/>
      <c r="BB296" s="1021"/>
      <c r="BC296" s="1021"/>
      <c r="BD296" s="1021"/>
      <c r="BE296" s="1021"/>
      <c r="BF296" s="1021"/>
      <c r="BG296" s="1021"/>
      <c r="BH296" s="1021"/>
      <c r="BI296" s="1021"/>
      <c r="BJ296" s="1021"/>
      <c r="BK296" s="1021"/>
      <c r="BL296" s="1021"/>
      <c r="BM296" s="1021"/>
      <c r="BN296" s="1021"/>
      <c r="BO296" s="1021"/>
      <c r="BP296" s="1021"/>
      <c r="BQ296" s="1021"/>
      <c r="BR296" s="1021"/>
      <c r="BS296" s="1021"/>
      <c r="BT296" s="1021"/>
      <c r="BU296" s="1021"/>
      <c r="BV296" s="1021"/>
      <c r="BW296" s="1021"/>
      <c r="BX296" s="1021"/>
      <c r="BY296" s="1021"/>
      <c r="BZ296" s="1021"/>
      <c r="CA296" s="1021"/>
      <c r="CB296" s="1021"/>
      <c r="CC296" s="1021"/>
    </row>
    <row r="297" spans="8:81" x14ac:dyDescent="0.25">
      <c r="H297" s="1021"/>
      <c r="I297" s="1021"/>
      <c r="J297" s="1021"/>
      <c r="K297" s="1021"/>
      <c r="L297" s="1021"/>
      <c r="M297" s="1021"/>
      <c r="N297" s="1021"/>
      <c r="O297" s="1021"/>
      <c r="P297" s="1021"/>
      <c r="Q297" s="1021"/>
      <c r="R297" s="1021"/>
      <c r="S297" s="1021"/>
      <c r="T297" s="1021"/>
      <c r="U297" s="1021"/>
      <c r="V297" s="1021"/>
      <c r="W297" s="1021"/>
      <c r="X297" s="1021"/>
      <c r="Y297" s="1021"/>
      <c r="Z297" s="1021"/>
      <c r="AA297" s="1021"/>
      <c r="AB297" s="1021"/>
      <c r="AC297" s="1021"/>
      <c r="AD297" s="1021"/>
      <c r="AE297" s="1021"/>
      <c r="AF297" s="1021"/>
      <c r="AG297" s="1021"/>
      <c r="AH297" s="1021"/>
      <c r="AI297" s="1021"/>
      <c r="AJ297" s="1021"/>
      <c r="AK297" s="1021"/>
      <c r="AL297" s="1021"/>
      <c r="AM297" s="1021"/>
      <c r="AN297" s="1021"/>
      <c r="AO297" s="1021"/>
      <c r="AP297" s="1021"/>
      <c r="AQ297" s="1021"/>
      <c r="AR297" s="1021"/>
      <c r="AS297" s="1021"/>
      <c r="AT297" s="1021"/>
      <c r="AU297" s="1021"/>
      <c r="AV297" s="1021"/>
      <c r="AW297" s="1021"/>
      <c r="AX297" s="1021"/>
      <c r="AY297" s="1021"/>
      <c r="AZ297" s="1021"/>
      <c r="BA297" s="1021"/>
      <c r="BB297" s="1021"/>
      <c r="BC297" s="1021"/>
      <c r="BD297" s="1021"/>
      <c r="BE297" s="1021"/>
      <c r="BF297" s="1021"/>
      <c r="BG297" s="1021"/>
      <c r="BH297" s="1021"/>
      <c r="BI297" s="1021"/>
      <c r="BJ297" s="1021"/>
      <c r="BK297" s="1021"/>
      <c r="BL297" s="1021"/>
      <c r="BM297" s="1021"/>
      <c r="BN297" s="1021"/>
      <c r="BO297" s="1021"/>
      <c r="BP297" s="1021"/>
      <c r="BQ297" s="1021"/>
      <c r="BR297" s="1021"/>
      <c r="BS297" s="1021"/>
      <c r="BT297" s="1021"/>
      <c r="BU297" s="1021"/>
      <c r="BV297" s="1021"/>
      <c r="BW297" s="1021"/>
      <c r="BX297" s="1021"/>
      <c r="BY297" s="1021"/>
      <c r="BZ297" s="1021"/>
      <c r="CA297" s="1021"/>
      <c r="CB297" s="1021"/>
      <c r="CC297" s="1021"/>
    </row>
    <row r="298" spans="8:81" x14ac:dyDescent="0.25">
      <c r="H298" s="1021"/>
      <c r="I298" s="1021"/>
      <c r="J298" s="1021"/>
      <c r="K298" s="1021"/>
      <c r="L298" s="1021"/>
      <c r="M298" s="1021"/>
      <c r="N298" s="1021"/>
      <c r="O298" s="1021"/>
      <c r="P298" s="1021"/>
      <c r="Q298" s="1021"/>
      <c r="R298" s="1021"/>
      <c r="S298" s="1021"/>
      <c r="T298" s="1021"/>
      <c r="U298" s="1021"/>
      <c r="V298" s="1021"/>
      <c r="W298" s="1021"/>
      <c r="X298" s="1021"/>
      <c r="Y298" s="1021"/>
      <c r="Z298" s="1021"/>
      <c r="AA298" s="1021"/>
      <c r="AB298" s="1021"/>
      <c r="AC298" s="1021"/>
      <c r="AD298" s="1021"/>
      <c r="AE298" s="1021"/>
      <c r="AF298" s="1021"/>
      <c r="AG298" s="1021"/>
      <c r="AH298" s="1021"/>
      <c r="AI298" s="1021"/>
      <c r="AJ298" s="1021"/>
      <c r="AK298" s="1021"/>
      <c r="AL298" s="1021"/>
      <c r="AM298" s="1021"/>
      <c r="AN298" s="1021"/>
      <c r="AO298" s="1021"/>
      <c r="AP298" s="1021"/>
      <c r="AQ298" s="1021"/>
      <c r="AR298" s="1021"/>
      <c r="AS298" s="1021"/>
      <c r="AT298" s="1021"/>
      <c r="AU298" s="1021"/>
      <c r="AV298" s="1021"/>
      <c r="AW298" s="1021"/>
      <c r="AX298" s="1021"/>
      <c r="AY298" s="1021"/>
      <c r="AZ298" s="1021"/>
      <c r="BA298" s="1021"/>
      <c r="BB298" s="1021"/>
      <c r="BC298" s="1021"/>
      <c r="BD298" s="1021"/>
      <c r="BE298" s="1021"/>
      <c r="BF298" s="1021"/>
      <c r="BG298" s="1021"/>
      <c r="BH298" s="1021"/>
      <c r="BI298" s="1021"/>
      <c r="BJ298" s="1021"/>
      <c r="BK298" s="1021"/>
      <c r="BL298" s="1021"/>
      <c r="BM298" s="1021"/>
      <c r="BN298" s="1021"/>
      <c r="BO298" s="1021"/>
      <c r="BP298" s="1021"/>
      <c r="BQ298" s="1021"/>
      <c r="BR298" s="1021"/>
      <c r="BS298" s="1021"/>
      <c r="BT298" s="1021"/>
      <c r="BU298" s="1021"/>
      <c r="BV298" s="1021"/>
      <c r="BW298" s="1021"/>
      <c r="BX298" s="1021"/>
      <c r="BY298" s="1021"/>
      <c r="BZ298" s="1021"/>
      <c r="CA298" s="1021"/>
      <c r="CB298" s="1021"/>
      <c r="CC298" s="1021"/>
    </row>
    <row r="299" spans="8:81" x14ac:dyDescent="0.25">
      <c r="H299" s="1021"/>
      <c r="I299" s="1021"/>
      <c r="J299" s="1021"/>
      <c r="K299" s="1021"/>
      <c r="L299" s="1021"/>
      <c r="M299" s="1021"/>
      <c r="N299" s="1021"/>
      <c r="O299" s="1021"/>
      <c r="P299" s="1021"/>
      <c r="Q299" s="1021"/>
      <c r="R299" s="1021"/>
      <c r="S299" s="1021"/>
      <c r="T299" s="1021"/>
      <c r="U299" s="1021"/>
      <c r="V299" s="1021"/>
      <c r="W299" s="1021"/>
      <c r="X299" s="1021"/>
      <c r="Y299" s="1021"/>
      <c r="Z299" s="1021"/>
      <c r="AA299" s="1021"/>
      <c r="AB299" s="1021"/>
      <c r="AC299" s="1021"/>
      <c r="AD299" s="1021"/>
      <c r="AE299" s="1021"/>
      <c r="AF299" s="1021"/>
      <c r="AG299" s="1021"/>
      <c r="AH299" s="1021"/>
      <c r="AI299" s="1021"/>
      <c r="AJ299" s="1021"/>
      <c r="AK299" s="1021"/>
      <c r="AL299" s="1021"/>
      <c r="AM299" s="1021"/>
      <c r="AN299" s="1021"/>
      <c r="AO299" s="1021"/>
      <c r="AP299" s="1021"/>
      <c r="AQ299" s="1021"/>
      <c r="AR299" s="1021"/>
      <c r="AS299" s="1021"/>
      <c r="AT299" s="1021"/>
      <c r="AU299" s="1021"/>
      <c r="AV299" s="1021"/>
      <c r="AW299" s="1021"/>
      <c r="AX299" s="1021"/>
      <c r="AY299" s="1021"/>
      <c r="AZ299" s="1021"/>
      <c r="BA299" s="1021"/>
      <c r="BB299" s="1021"/>
      <c r="BC299" s="1021"/>
      <c r="BD299" s="1021"/>
      <c r="BE299" s="1021"/>
      <c r="BF299" s="1021"/>
      <c r="BG299" s="1021"/>
      <c r="BH299" s="1021"/>
      <c r="BI299" s="1021"/>
      <c r="BJ299" s="1021"/>
      <c r="BK299" s="1021"/>
      <c r="BL299" s="1021"/>
      <c r="BM299" s="1021"/>
      <c r="BN299" s="1021"/>
      <c r="BO299" s="1021"/>
      <c r="BP299" s="1021"/>
      <c r="BQ299" s="1021"/>
      <c r="BR299" s="1021"/>
      <c r="BS299" s="1021"/>
      <c r="BT299" s="1021"/>
      <c r="BU299" s="1021"/>
      <c r="BV299" s="1021"/>
      <c r="BW299" s="1021"/>
      <c r="BX299" s="1021"/>
      <c r="BY299" s="1021"/>
      <c r="BZ299" s="1021"/>
      <c r="CA299" s="1021"/>
      <c r="CB299" s="1021"/>
      <c r="CC299" s="1021"/>
    </row>
    <row r="300" spans="8:81" x14ac:dyDescent="0.25">
      <c r="H300" s="1021"/>
      <c r="I300" s="1021"/>
      <c r="J300" s="1021"/>
      <c r="K300" s="1021"/>
      <c r="L300" s="1021"/>
      <c r="M300" s="1021"/>
      <c r="N300" s="1021"/>
      <c r="O300" s="1021"/>
      <c r="P300" s="1021"/>
      <c r="Q300" s="1021"/>
      <c r="R300" s="1021"/>
      <c r="S300" s="1021"/>
      <c r="T300" s="1021"/>
      <c r="U300" s="1021"/>
      <c r="V300" s="1021"/>
      <c r="W300" s="1021"/>
      <c r="X300" s="1021"/>
      <c r="Y300" s="1021"/>
      <c r="Z300" s="1021"/>
      <c r="AA300" s="1021"/>
      <c r="AB300" s="1021"/>
      <c r="AC300" s="1021"/>
      <c r="AD300" s="1021"/>
      <c r="AE300" s="1021"/>
      <c r="AF300" s="1021"/>
      <c r="AG300" s="1021"/>
      <c r="AH300" s="1021"/>
      <c r="AI300" s="1021"/>
      <c r="AJ300" s="1021"/>
      <c r="AK300" s="1021"/>
      <c r="AL300" s="1021"/>
      <c r="AM300" s="1021"/>
      <c r="AN300" s="1021"/>
      <c r="AO300" s="1021"/>
      <c r="AP300" s="1021"/>
      <c r="AQ300" s="1021"/>
      <c r="AR300" s="1021"/>
      <c r="AS300" s="1021"/>
      <c r="AT300" s="1021"/>
      <c r="AU300" s="1021"/>
      <c r="AV300" s="1021"/>
      <c r="AW300" s="1021"/>
      <c r="AX300" s="1021"/>
      <c r="AY300" s="1021"/>
      <c r="AZ300" s="1021"/>
      <c r="BA300" s="1021"/>
      <c r="BB300" s="1021"/>
      <c r="BC300" s="1021"/>
      <c r="BD300" s="1021"/>
      <c r="BE300" s="1021"/>
      <c r="BF300" s="1021"/>
      <c r="BG300" s="1021"/>
      <c r="BH300" s="1021"/>
      <c r="BI300" s="1021"/>
      <c r="BJ300" s="1021"/>
      <c r="BK300" s="1021"/>
      <c r="BL300" s="1021"/>
      <c r="BM300" s="1021"/>
      <c r="BN300" s="1021"/>
      <c r="BO300" s="1021"/>
      <c r="BP300" s="1021"/>
      <c r="BQ300" s="1021"/>
      <c r="BR300" s="1021"/>
      <c r="BS300" s="1021"/>
      <c r="BT300" s="1021"/>
      <c r="BU300" s="1021"/>
      <c r="BV300" s="1021"/>
      <c r="BW300" s="1021"/>
      <c r="BX300" s="1021"/>
      <c r="BY300" s="1021"/>
      <c r="BZ300" s="1021"/>
      <c r="CA300" s="1021"/>
      <c r="CB300" s="1021"/>
      <c r="CC300" s="1021"/>
    </row>
    <row r="301" spans="8:81" x14ac:dyDescent="0.25">
      <c r="H301" s="1021"/>
      <c r="I301" s="1021"/>
      <c r="J301" s="1021"/>
      <c r="K301" s="1021"/>
      <c r="L301" s="1021"/>
      <c r="M301" s="1021"/>
      <c r="N301" s="1021"/>
      <c r="O301" s="1021"/>
      <c r="P301" s="1021"/>
      <c r="Q301" s="1021"/>
      <c r="R301" s="1021"/>
      <c r="S301" s="1021"/>
      <c r="T301" s="1021"/>
      <c r="U301" s="1021"/>
      <c r="V301" s="1021"/>
      <c r="W301" s="1021"/>
      <c r="X301" s="1021"/>
      <c r="Y301" s="1021"/>
      <c r="Z301" s="1021"/>
      <c r="AA301" s="1021"/>
      <c r="AB301" s="1021"/>
      <c r="AC301" s="1021"/>
      <c r="AD301" s="1021"/>
      <c r="AE301" s="1021"/>
      <c r="AF301" s="1021"/>
      <c r="AG301" s="1021"/>
      <c r="AH301" s="1021"/>
      <c r="AI301" s="1021"/>
      <c r="AJ301" s="1021"/>
      <c r="AK301" s="1021"/>
      <c r="AL301" s="1021"/>
      <c r="AM301" s="1021"/>
      <c r="AN301" s="1021"/>
      <c r="AO301" s="1021"/>
      <c r="AP301" s="1021"/>
      <c r="AQ301" s="1021"/>
      <c r="AR301" s="1021"/>
      <c r="AS301" s="1021"/>
      <c r="AT301" s="1021"/>
      <c r="AU301" s="1021"/>
      <c r="AV301" s="1021"/>
      <c r="AW301" s="1021"/>
      <c r="AX301" s="1021"/>
      <c r="AY301" s="1021"/>
      <c r="AZ301" s="1021"/>
      <c r="BA301" s="1021"/>
      <c r="BB301" s="1021"/>
      <c r="BC301" s="1021"/>
      <c r="BD301" s="1021"/>
      <c r="BE301" s="1021"/>
      <c r="BF301" s="1021"/>
      <c r="BG301" s="1021"/>
      <c r="BH301" s="1021"/>
      <c r="BI301" s="1021"/>
      <c r="BJ301" s="1021"/>
      <c r="BK301" s="1021"/>
      <c r="BL301" s="1021"/>
      <c r="BM301" s="1021"/>
      <c r="BN301" s="1021"/>
      <c r="BO301" s="1021"/>
      <c r="BP301" s="1021"/>
      <c r="BQ301" s="1021"/>
      <c r="BR301" s="1021"/>
      <c r="BS301" s="1021"/>
      <c r="BT301" s="1021"/>
      <c r="BU301" s="1021"/>
      <c r="BV301" s="1021"/>
      <c r="BW301" s="1021"/>
      <c r="BX301" s="1021"/>
      <c r="BY301" s="1021"/>
      <c r="BZ301" s="1021"/>
      <c r="CA301" s="1021"/>
      <c r="CB301" s="1021"/>
      <c r="CC301" s="1021"/>
    </row>
    <row r="302" spans="8:81" x14ac:dyDescent="0.25">
      <c r="H302" s="1021"/>
      <c r="I302" s="1021"/>
      <c r="J302" s="1021"/>
      <c r="K302" s="1021"/>
      <c r="L302" s="1021"/>
      <c r="M302" s="1021"/>
      <c r="N302" s="1021"/>
      <c r="O302" s="1021"/>
      <c r="P302" s="1021"/>
      <c r="Q302" s="1021"/>
      <c r="R302" s="1021"/>
      <c r="S302" s="1021"/>
      <c r="T302" s="1021"/>
      <c r="U302" s="1021"/>
      <c r="V302" s="1021"/>
      <c r="W302" s="1021"/>
      <c r="X302" s="1021"/>
      <c r="Y302" s="1021"/>
      <c r="Z302" s="1021"/>
      <c r="AA302" s="1021"/>
      <c r="AB302" s="1021"/>
      <c r="AC302" s="1021"/>
      <c r="AD302" s="1021"/>
      <c r="AE302" s="1021"/>
      <c r="AF302" s="1021"/>
      <c r="AG302" s="1021"/>
      <c r="AH302" s="1021"/>
      <c r="AI302" s="1021"/>
      <c r="AJ302" s="1021"/>
      <c r="AK302" s="1021"/>
      <c r="AL302" s="1021"/>
      <c r="AM302" s="1021"/>
      <c r="AN302" s="1021"/>
      <c r="AO302" s="1021"/>
      <c r="AP302" s="1021"/>
      <c r="AQ302" s="1021"/>
      <c r="AR302" s="1021"/>
      <c r="AS302" s="1021"/>
      <c r="AT302" s="1021"/>
      <c r="AU302" s="1021"/>
      <c r="AV302" s="1021"/>
      <c r="AW302" s="1021"/>
      <c r="AX302" s="1021"/>
      <c r="AY302" s="1021"/>
      <c r="AZ302" s="1021"/>
      <c r="BA302" s="1021"/>
      <c r="BB302" s="1021"/>
      <c r="BC302" s="1021"/>
      <c r="BD302" s="1021"/>
      <c r="BE302" s="1021"/>
      <c r="BF302" s="1021"/>
      <c r="BG302" s="1021"/>
      <c r="BH302" s="1021"/>
      <c r="BI302" s="1021"/>
      <c r="BJ302" s="1021"/>
      <c r="BK302" s="1021"/>
      <c r="BL302" s="1021"/>
      <c r="BM302" s="1021"/>
      <c r="BN302" s="1021"/>
      <c r="BO302" s="1021"/>
      <c r="BP302" s="1021"/>
      <c r="BQ302" s="1021"/>
      <c r="BR302" s="1021"/>
      <c r="BS302" s="1021"/>
      <c r="BT302" s="1021"/>
      <c r="BU302" s="1021"/>
      <c r="BV302" s="1021"/>
      <c r="BW302" s="1021"/>
      <c r="BX302" s="1021"/>
      <c r="BY302" s="1021"/>
      <c r="BZ302" s="1021"/>
      <c r="CA302" s="1021"/>
      <c r="CB302" s="1021"/>
      <c r="CC302" s="1021"/>
    </row>
    <row r="303" spans="8:81" x14ac:dyDescent="0.25">
      <c r="H303" s="1021"/>
      <c r="I303" s="1021"/>
      <c r="J303" s="1021"/>
      <c r="K303" s="1021"/>
      <c r="L303" s="1021"/>
      <c r="M303" s="1021"/>
      <c r="N303" s="1021"/>
      <c r="O303" s="1021"/>
      <c r="P303" s="1021"/>
      <c r="Q303" s="1021"/>
      <c r="R303" s="1021"/>
      <c r="S303" s="1021"/>
      <c r="T303" s="1021"/>
      <c r="U303" s="1021"/>
      <c r="V303" s="1021"/>
      <c r="W303" s="1021"/>
      <c r="X303" s="1021"/>
      <c r="Y303" s="1021"/>
      <c r="Z303" s="1021"/>
      <c r="AA303" s="1021"/>
      <c r="AB303" s="1021"/>
      <c r="AC303" s="1021"/>
      <c r="AD303" s="1021"/>
      <c r="AE303" s="1021"/>
      <c r="AF303" s="1021"/>
      <c r="AG303" s="1021"/>
      <c r="AH303" s="1021"/>
      <c r="AI303" s="1021"/>
      <c r="AJ303" s="1021"/>
      <c r="AK303" s="1021"/>
      <c r="AL303" s="1021"/>
      <c r="AM303" s="1021"/>
      <c r="AN303" s="1021"/>
      <c r="AO303" s="1021"/>
      <c r="AP303" s="1021"/>
      <c r="AQ303" s="1021"/>
      <c r="AR303" s="1021"/>
      <c r="AS303" s="1021"/>
      <c r="AT303" s="1021"/>
      <c r="AU303" s="1021"/>
      <c r="AV303" s="1021"/>
      <c r="AW303" s="1021"/>
      <c r="AX303" s="1021"/>
      <c r="AY303" s="1021"/>
      <c r="AZ303" s="1021"/>
      <c r="BA303" s="1021"/>
      <c r="BB303" s="1021"/>
      <c r="BC303" s="1021"/>
      <c r="BD303" s="1021"/>
      <c r="BE303" s="1021"/>
      <c r="BF303" s="1021"/>
      <c r="BG303" s="1021"/>
      <c r="BH303" s="1021"/>
      <c r="BI303" s="1021"/>
      <c r="BJ303" s="1021"/>
      <c r="BK303" s="1021"/>
      <c r="BL303" s="1021"/>
      <c r="BM303" s="1021"/>
      <c r="BN303" s="1021"/>
      <c r="BO303" s="1021"/>
      <c r="BP303" s="1021"/>
      <c r="BQ303" s="1021"/>
      <c r="BR303" s="1021"/>
      <c r="BS303" s="1021"/>
      <c r="BT303" s="1021"/>
      <c r="BU303" s="1021"/>
      <c r="BV303" s="1021"/>
      <c r="BW303" s="1021"/>
      <c r="BX303" s="1021"/>
      <c r="BY303" s="1021"/>
      <c r="BZ303" s="1021"/>
      <c r="CA303" s="1021"/>
      <c r="CB303" s="1021"/>
      <c r="CC303" s="1021"/>
    </row>
    <row r="304" spans="8:81" x14ac:dyDescent="0.25">
      <c r="H304" s="1021"/>
      <c r="I304" s="1021"/>
      <c r="J304" s="1021"/>
      <c r="K304" s="1021"/>
      <c r="L304" s="1021"/>
      <c r="M304" s="1021"/>
      <c r="N304" s="1021"/>
      <c r="O304" s="1021"/>
      <c r="P304" s="1021"/>
      <c r="Q304" s="1021"/>
      <c r="R304" s="1021"/>
      <c r="S304" s="1021"/>
      <c r="T304" s="1021"/>
      <c r="U304" s="1021"/>
      <c r="V304" s="1021"/>
      <c r="W304" s="1021"/>
      <c r="X304" s="1021"/>
      <c r="Y304" s="1021"/>
      <c r="Z304" s="1021"/>
      <c r="AA304" s="1021"/>
      <c r="AB304" s="1021"/>
      <c r="AC304" s="1021"/>
      <c r="AD304" s="1021"/>
      <c r="AE304" s="1021"/>
      <c r="AF304" s="1021"/>
      <c r="AG304" s="1021"/>
      <c r="AH304" s="1021"/>
      <c r="AI304" s="1021"/>
      <c r="AJ304" s="1021"/>
      <c r="AK304" s="1021"/>
      <c r="AL304" s="1021"/>
      <c r="AM304" s="1021"/>
      <c r="AN304" s="1021"/>
      <c r="AO304" s="1021"/>
      <c r="AP304" s="1021"/>
      <c r="AQ304" s="1021"/>
      <c r="AR304" s="1021"/>
      <c r="AS304" s="1021"/>
      <c r="AT304" s="1021"/>
      <c r="AU304" s="1021"/>
      <c r="AV304" s="1021"/>
      <c r="AW304" s="1021"/>
      <c r="AX304" s="1021"/>
      <c r="AY304" s="1021"/>
      <c r="AZ304" s="1021"/>
      <c r="BA304" s="1021"/>
      <c r="BB304" s="1021"/>
      <c r="BC304" s="1021"/>
      <c r="BD304" s="1021"/>
      <c r="BE304" s="1021"/>
      <c r="BF304" s="1021"/>
      <c r="BG304" s="1021"/>
      <c r="BH304" s="1021"/>
      <c r="BI304" s="1021"/>
      <c r="BJ304" s="1021"/>
      <c r="BK304" s="1021"/>
      <c r="BL304" s="1021"/>
      <c r="BM304" s="1021"/>
      <c r="BN304" s="1021"/>
      <c r="BO304" s="1021"/>
      <c r="BP304" s="1021"/>
      <c r="BQ304" s="1021"/>
      <c r="BR304" s="1021"/>
      <c r="BS304" s="1021"/>
      <c r="BT304" s="1021"/>
      <c r="BU304" s="1021"/>
      <c r="BV304" s="1021"/>
      <c r="BW304" s="1021"/>
      <c r="BX304" s="1021"/>
      <c r="BY304" s="1021"/>
      <c r="BZ304" s="1021"/>
      <c r="CA304" s="1021"/>
      <c r="CB304" s="1021"/>
      <c r="CC304" s="1021"/>
    </row>
    <row r="305" spans="8:81" x14ac:dyDescent="0.25">
      <c r="H305" s="1021"/>
      <c r="I305" s="1021"/>
      <c r="J305" s="1021"/>
      <c r="K305" s="1021"/>
      <c r="L305" s="1021"/>
      <c r="M305" s="1021"/>
      <c r="N305" s="1021"/>
      <c r="O305" s="1021"/>
      <c r="P305" s="1021"/>
      <c r="Q305" s="1021"/>
      <c r="R305" s="1021"/>
      <c r="S305" s="1021"/>
      <c r="T305" s="1021"/>
      <c r="U305" s="1021"/>
      <c r="V305" s="1021"/>
      <c r="W305" s="1021"/>
      <c r="X305" s="1021"/>
      <c r="Y305" s="1021"/>
      <c r="Z305" s="1021"/>
      <c r="AA305" s="1021"/>
      <c r="AB305" s="1021"/>
      <c r="AC305" s="1021"/>
      <c r="AD305" s="1021"/>
      <c r="AE305" s="1021"/>
      <c r="AF305" s="1021"/>
      <c r="AG305" s="1021"/>
      <c r="AH305" s="1021"/>
      <c r="AI305" s="1021"/>
      <c r="AJ305" s="1021"/>
      <c r="AK305" s="1021"/>
      <c r="AL305" s="1021"/>
      <c r="AM305" s="1021"/>
      <c r="AN305" s="1021"/>
      <c r="AO305" s="1021"/>
      <c r="AP305" s="1021"/>
      <c r="AQ305" s="1021"/>
      <c r="AR305" s="1021"/>
      <c r="AS305" s="1021"/>
      <c r="AT305" s="1021"/>
      <c r="AU305" s="1021"/>
      <c r="AV305" s="1021"/>
      <c r="AW305" s="1021"/>
      <c r="AX305" s="1021"/>
      <c r="AY305" s="1021"/>
      <c r="AZ305" s="1021"/>
      <c r="BA305" s="1021"/>
      <c r="BB305" s="1021"/>
      <c r="BC305" s="1021"/>
      <c r="BD305" s="1021"/>
      <c r="BE305" s="1021"/>
      <c r="BF305" s="1021"/>
      <c r="BG305" s="1021"/>
      <c r="BH305" s="1021"/>
      <c r="BI305" s="1021"/>
      <c r="BJ305" s="1021"/>
      <c r="BK305" s="1021"/>
      <c r="BL305" s="1021"/>
      <c r="BM305" s="1021"/>
      <c r="BN305" s="1021"/>
      <c r="BO305" s="1021"/>
      <c r="BP305" s="1021"/>
      <c r="BQ305" s="1021"/>
      <c r="BR305" s="1021"/>
      <c r="BS305" s="1021"/>
      <c r="BT305" s="1021"/>
      <c r="BU305" s="1021"/>
      <c r="BV305" s="1021"/>
      <c r="BW305" s="1021"/>
      <c r="BX305" s="1021"/>
      <c r="BY305" s="1021"/>
      <c r="BZ305" s="1021"/>
      <c r="CA305" s="1021"/>
      <c r="CB305" s="1021"/>
      <c r="CC305" s="1021"/>
    </row>
    <row r="306" spans="8:81" x14ac:dyDescent="0.25">
      <c r="H306" s="1021"/>
      <c r="I306" s="1021"/>
      <c r="J306" s="1021"/>
      <c r="K306" s="1021"/>
      <c r="L306" s="1021"/>
      <c r="M306" s="1021"/>
      <c r="N306" s="1021"/>
      <c r="O306" s="1021"/>
      <c r="P306" s="1021"/>
      <c r="Q306" s="1021"/>
      <c r="R306" s="1021"/>
      <c r="S306" s="1021"/>
      <c r="T306" s="1021"/>
      <c r="U306" s="1021"/>
      <c r="V306" s="1021"/>
      <c r="W306" s="1021"/>
      <c r="X306" s="1021"/>
      <c r="Y306" s="1021"/>
      <c r="Z306" s="1021"/>
      <c r="AA306" s="1021"/>
      <c r="AB306" s="1021"/>
      <c r="AC306" s="1021"/>
      <c r="AD306" s="1021"/>
      <c r="AE306" s="1021"/>
      <c r="AF306" s="1021"/>
      <c r="AG306" s="1021"/>
      <c r="AH306" s="1021"/>
      <c r="AI306" s="1021"/>
      <c r="AJ306" s="1021"/>
      <c r="AK306" s="1021"/>
      <c r="AL306" s="1021"/>
      <c r="AM306" s="1021"/>
      <c r="AN306" s="1021"/>
      <c r="AO306" s="1021"/>
      <c r="AP306" s="1021"/>
      <c r="AQ306" s="1021"/>
      <c r="AR306" s="1021"/>
      <c r="AS306" s="1021"/>
      <c r="AT306" s="1021"/>
      <c r="AU306" s="1021"/>
      <c r="AV306" s="1021"/>
      <c r="AW306" s="1021"/>
      <c r="AX306" s="1021"/>
      <c r="AY306" s="1021"/>
      <c r="AZ306" s="1021"/>
      <c r="BA306" s="1021"/>
      <c r="BB306" s="1021"/>
      <c r="BC306" s="1021"/>
      <c r="BD306" s="1021"/>
      <c r="BE306" s="1021"/>
      <c r="BF306" s="1021"/>
      <c r="BG306" s="1021"/>
      <c r="BH306" s="1021"/>
      <c r="BI306" s="1021"/>
      <c r="BJ306" s="1021"/>
      <c r="BK306" s="1021"/>
      <c r="BL306" s="1021"/>
      <c r="BM306" s="1021"/>
      <c r="BN306" s="1021"/>
      <c r="BO306" s="1021"/>
      <c r="BP306" s="1021"/>
      <c r="BQ306" s="1021"/>
      <c r="BR306" s="1021"/>
      <c r="BS306" s="1021"/>
      <c r="BT306" s="1021"/>
      <c r="BU306" s="1021"/>
      <c r="BV306" s="1021"/>
      <c r="BW306" s="1021"/>
      <c r="BX306" s="1021"/>
      <c r="BY306" s="1021"/>
      <c r="BZ306" s="1021"/>
      <c r="CA306" s="1021"/>
      <c r="CB306" s="1021"/>
      <c r="CC306" s="1021"/>
    </row>
    <row r="307" spans="8:81" x14ac:dyDescent="0.25">
      <c r="H307" s="1021"/>
      <c r="I307" s="1021"/>
      <c r="J307" s="1021"/>
      <c r="K307" s="1021"/>
      <c r="L307" s="1021"/>
      <c r="M307" s="1021"/>
      <c r="N307" s="1021"/>
      <c r="O307" s="1021"/>
      <c r="P307" s="1021"/>
      <c r="Q307" s="1021"/>
      <c r="R307" s="1021"/>
      <c r="S307" s="1021"/>
      <c r="T307" s="1021"/>
      <c r="U307" s="1021"/>
      <c r="V307" s="1021"/>
      <c r="W307" s="1021"/>
      <c r="X307" s="1021"/>
      <c r="Y307" s="1021"/>
      <c r="Z307" s="1021"/>
      <c r="AA307" s="1021"/>
      <c r="AB307" s="1021"/>
      <c r="AC307" s="1021"/>
      <c r="AD307" s="1021"/>
      <c r="AE307" s="1021"/>
      <c r="AF307" s="1021"/>
      <c r="AG307" s="1021"/>
      <c r="AH307" s="1021"/>
      <c r="AI307" s="1021"/>
      <c r="AJ307" s="1021"/>
      <c r="AK307" s="1021"/>
      <c r="AL307" s="1021"/>
      <c r="AM307" s="1021"/>
      <c r="AN307" s="1021"/>
      <c r="AO307" s="1021"/>
      <c r="AP307" s="1021"/>
      <c r="AQ307" s="1021"/>
      <c r="AR307" s="1021"/>
      <c r="AS307" s="1021"/>
      <c r="AT307" s="1021"/>
      <c r="AU307" s="1021"/>
      <c r="AV307" s="1021"/>
      <c r="AW307" s="1021"/>
      <c r="AX307" s="1021"/>
      <c r="AY307" s="1021"/>
      <c r="AZ307" s="1021"/>
      <c r="BA307" s="1021"/>
      <c r="BB307" s="1021"/>
      <c r="BC307" s="1021"/>
      <c r="BD307" s="1021"/>
      <c r="BE307" s="1021"/>
      <c r="BF307" s="1021"/>
      <c r="BG307" s="1021"/>
      <c r="BH307" s="1021"/>
      <c r="BI307" s="1021"/>
      <c r="BJ307" s="1021"/>
      <c r="BK307" s="1021"/>
      <c r="BL307" s="1021"/>
      <c r="BM307" s="1021"/>
      <c r="BN307" s="1021"/>
      <c r="BO307" s="1021"/>
      <c r="BP307" s="1021"/>
      <c r="BQ307" s="1021"/>
      <c r="BR307" s="1021"/>
      <c r="BS307" s="1021"/>
      <c r="BT307" s="1021"/>
      <c r="BU307" s="1021"/>
      <c r="BV307" s="1021"/>
      <c r="BW307" s="1021"/>
      <c r="BX307" s="1021"/>
      <c r="BY307" s="1021"/>
      <c r="BZ307" s="1021"/>
      <c r="CA307" s="1021"/>
      <c r="CB307" s="1021"/>
      <c r="CC307" s="1021"/>
    </row>
    <row r="308" spans="8:81" x14ac:dyDescent="0.25">
      <c r="H308" s="1021"/>
      <c r="I308" s="1021"/>
      <c r="J308" s="1021"/>
      <c r="K308" s="1021"/>
      <c r="L308" s="1021"/>
      <c r="M308" s="1021"/>
      <c r="N308" s="1021"/>
      <c r="O308" s="1021"/>
      <c r="P308" s="1021"/>
      <c r="Q308" s="1021"/>
      <c r="R308" s="1021"/>
      <c r="S308" s="1021"/>
      <c r="T308" s="1021"/>
      <c r="U308" s="1021"/>
      <c r="V308" s="1021"/>
      <c r="W308" s="1021"/>
      <c r="X308" s="1021"/>
      <c r="Y308" s="1021"/>
      <c r="Z308" s="1021"/>
      <c r="AA308" s="1021"/>
      <c r="AB308" s="1021"/>
      <c r="AC308" s="1021"/>
      <c r="AD308" s="1021"/>
      <c r="AE308" s="1021"/>
      <c r="AF308" s="1021"/>
      <c r="AG308" s="1021"/>
      <c r="AH308" s="1021"/>
      <c r="AI308" s="1021"/>
      <c r="AJ308" s="1021"/>
      <c r="AK308" s="1021"/>
      <c r="AL308" s="1021"/>
      <c r="AM308" s="1021"/>
      <c r="AN308" s="1021"/>
      <c r="AO308" s="1021"/>
      <c r="AP308" s="1021"/>
      <c r="AQ308" s="1021"/>
      <c r="AR308" s="1021"/>
      <c r="AS308" s="1021"/>
      <c r="AT308" s="1021"/>
      <c r="AU308" s="1021"/>
      <c r="AV308" s="1021"/>
      <c r="AW308" s="1021"/>
      <c r="AX308" s="1021"/>
      <c r="AY308" s="1021"/>
      <c r="AZ308" s="1021"/>
      <c r="BA308" s="1021"/>
      <c r="BB308" s="1021"/>
      <c r="BC308" s="1021"/>
      <c r="BD308" s="1021"/>
      <c r="BE308" s="1021"/>
      <c r="BF308" s="1021"/>
      <c r="BG308" s="1021"/>
      <c r="BH308" s="1021"/>
      <c r="BI308" s="1021"/>
      <c r="BJ308" s="1021"/>
      <c r="BK308" s="1021"/>
      <c r="BL308" s="1021"/>
      <c r="BM308" s="1021"/>
      <c r="BN308" s="1021"/>
      <c r="BO308" s="1021"/>
      <c r="BP308" s="1021"/>
      <c r="BQ308" s="1021"/>
      <c r="BR308" s="1021"/>
      <c r="BS308" s="1021"/>
      <c r="BT308" s="1021"/>
      <c r="BU308" s="1021"/>
      <c r="BV308" s="1021"/>
      <c r="BW308" s="1021"/>
      <c r="BX308" s="1021"/>
      <c r="BY308" s="1021"/>
      <c r="BZ308" s="1021"/>
      <c r="CA308" s="1021"/>
      <c r="CB308" s="1021"/>
      <c r="CC308" s="1021"/>
    </row>
    <row r="309" spans="8:81" x14ac:dyDescent="0.25">
      <c r="H309" s="1021"/>
      <c r="I309" s="1021"/>
      <c r="J309" s="1021"/>
      <c r="K309" s="1021"/>
      <c r="L309" s="1021"/>
      <c r="M309" s="1021"/>
      <c r="N309" s="1021"/>
      <c r="O309" s="1021"/>
      <c r="P309" s="1021"/>
      <c r="Q309" s="1021"/>
      <c r="R309" s="1021"/>
      <c r="S309" s="1021"/>
      <c r="T309" s="1021"/>
      <c r="U309" s="1021"/>
      <c r="V309" s="1021"/>
      <c r="W309" s="1021"/>
      <c r="X309" s="1021"/>
      <c r="Y309" s="1021"/>
      <c r="Z309" s="1021"/>
      <c r="AA309" s="1021"/>
      <c r="AB309" s="1021"/>
      <c r="AC309" s="1021"/>
      <c r="AD309" s="1021"/>
      <c r="AE309" s="1021"/>
      <c r="AF309" s="1021"/>
      <c r="AG309" s="1021"/>
      <c r="AH309" s="1021"/>
      <c r="AI309" s="1021"/>
      <c r="AJ309" s="1021"/>
      <c r="AK309" s="1021"/>
      <c r="AL309" s="1021"/>
      <c r="AM309" s="1021"/>
      <c r="AN309" s="1021"/>
      <c r="AO309" s="1021"/>
      <c r="AP309" s="1021"/>
      <c r="AQ309" s="1021"/>
      <c r="AR309" s="1021"/>
      <c r="AS309" s="1021"/>
      <c r="AT309" s="1021"/>
      <c r="AU309" s="1021"/>
      <c r="AV309" s="1021"/>
      <c r="AW309" s="1021"/>
      <c r="AX309" s="1021"/>
      <c r="AY309" s="1021"/>
      <c r="AZ309" s="1021"/>
      <c r="BA309" s="1021"/>
      <c r="BB309" s="1021"/>
      <c r="BC309" s="1021"/>
      <c r="BD309" s="1021"/>
      <c r="BE309" s="1021"/>
      <c r="BF309" s="1021"/>
      <c r="BG309" s="1021"/>
      <c r="BH309" s="1021"/>
      <c r="BI309" s="1021"/>
      <c r="BJ309" s="1021"/>
      <c r="BK309" s="1021"/>
      <c r="BL309" s="1021"/>
      <c r="BM309" s="1021"/>
      <c r="BN309" s="1021"/>
      <c r="BO309" s="1021"/>
      <c r="BP309" s="1021"/>
      <c r="BQ309" s="1021"/>
      <c r="BR309" s="1021"/>
      <c r="BS309" s="1021"/>
      <c r="BT309" s="1021"/>
      <c r="BU309" s="1021"/>
      <c r="BV309" s="1021"/>
      <c r="BW309" s="1021"/>
      <c r="BX309" s="1021"/>
      <c r="BY309" s="1021"/>
      <c r="BZ309" s="1021"/>
      <c r="CA309" s="1021"/>
      <c r="CB309" s="1021"/>
      <c r="CC309" s="1021"/>
    </row>
    <row r="310" spans="8:81" x14ac:dyDescent="0.25">
      <c r="H310" s="1021"/>
      <c r="I310" s="1021"/>
      <c r="J310" s="1021"/>
      <c r="K310" s="1021"/>
      <c r="L310" s="1021"/>
      <c r="M310" s="1021"/>
      <c r="N310" s="1021"/>
      <c r="O310" s="1021"/>
      <c r="P310" s="1021"/>
      <c r="Q310" s="1021"/>
      <c r="R310" s="1021"/>
      <c r="S310" s="1021"/>
      <c r="T310" s="1021"/>
      <c r="U310" s="1021"/>
      <c r="V310" s="1021"/>
      <c r="W310" s="1021"/>
      <c r="X310" s="1021"/>
      <c r="Y310" s="1021"/>
      <c r="Z310" s="1021"/>
      <c r="AA310" s="1021"/>
      <c r="AB310" s="1021"/>
      <c r="AC310" s="1021"/>
      <c r="AD310" s="1021"/>
      <c r="AE310" s="1021"/>
      <c r="AF310" s="1021"/>
      <c r="AG310" s="1021"/>
      <c r="AH310" s="1021"/>
      <c r="AI310" s="1021"/>
      <c r="AJ310" s="1021"/>
      <c r="AK310" s="1021"/>
      <c r="AL310" s="1021"/>
      <c r="AM310" s="1021"/>
      <c r="AN310" s="1021"/>
      <c r="AO310" s="1021"/>
      <c r="AP310" s="1021"/>
      <c r="AQ310" s="1021"/>
      <c r="AR310" s="1021"/>
      <c r="AS310" s="1021"/>
      <c r="AT310" s="1021"/>
      <c r="AU310" s="1021"/>
      <c r="AV310" s="1021"/>
      <c r="AW310" s="1021"/>
      <c r="AX310" s="1021"/>
      <c r="AY310" s="1021"/>
      <c r="AZ310" s="1021"/>
      <c r="BA310" s="1021"/>
      <c r="BB310" s="1021"/>
      <c r="BC310" s="1021"/>
      <c r="BD310" s="1021"/>
      <c r="BE310" s="1021"/>
      <c r="BF310" s="1021"/>
      <c r="BG310" s="1021"/>
      <c r="BH310" s="1021"/>
      <c r="BI310" s="1021"/>
      <c r="BJ310" s="1021"/>
      <c r="BK310" s="1021"/>
      <c r="BL310" s="1021"/>
      <c r="BM310" s="1021"/>
      <c r="BN310" s="1021"/>
      <c r="BO310" s="1021"/>
      <c r="BP310" s="1021"/>
      <c r="BQ310" s="1021"/>
      <c r="BR310" s="1021"/>
      <c r="BS310" s="1021"/>
      <c r="BT310" s="1021"/>
      <c r="BU310" s="1021"/>
      <c r="BV310" s="1021"/>
      <c r="BW310" s="1021"/>
      <c r="BX310" s="1021"/>
      <c r="BY310" s="1021"/>
      <c r="BZ310" s="1021"/>
      <c r="CA310" s="1021"/>
      <c r="CB310" s="1021"/>
      <c r="CC310" s="1021"/>
    </row>
    <row r="311" spans="8:81" x14ac:dyDescent="0.25">
      <c r="H311" s="1021"/>
      <c r="I311" s="1021"/>
      <c r="J311" s="1021"/>
      <c r="K311" s="1021"/>
      <c r="L311" s="1021"/>
      <c r="M311" s="1021"/>
      <c r="N311" s="1021"/>
      <c r="O311" s="1021"/>
      <c r="P311" s="1021"/>
      <c r="Q311" s="1021"/>
      <c r="R311" s="1021"/>
      <c r="S311" s="1021"/>
      <c r="T311" s="1021"/>
      <c r="U311" s="1021"/>
      <c r="V311" s="1021"/>
      <c r="W311" s="1021"/>
      <c r="X311" s="1021"/>
      <c r="Y311" s="1021"/>
      <c r="Z311" s="1021"/>
      <c r="AA311" s="1021"/>
      <c r="AB311" s="1021"/>
      <c r="AC311" s="1021"/>
      <c r="AD311" s="1021"/>
      <c r="AE311" s="1021"/>
      <c r="AF311" s="1021"/>
      <c r="AG311" s="1021"/>
      <c r="AH311" s="1021"/>
      <c r="AI311" s="1021"/>
      <c r="AJ311" s="1021"/>
      <c r="AK311" s="1021"/>
      <c r="AL311" s="1021"/>
      <c r="AM311" s="1021"/>
      <c r="AN311" s="1021"/>
      <c r="AO311" s="1021"/>
      <c r="AP311" s="1021"/>
      <c r="AQ311" s="1021"/>
      <c r="AR311" s="1021"/>
      <c r="AS311" s="1021"/>
      <c r="AT311" s="1021"/>
      <c r="AU311" s="1021"/>
      <c r="AV311" s="1021"/>
      <c r="AW311" s="1021"/>
      <c r="AX311" s="1021"/>
      <c r="AY311" s="1021"/>
      <c r="AZ311" s="1021"/>
      <c r="BA311" s="1021"/>
      <c r="BB311" s="1021"/>
      <c r="BC311" s="1021"/>
      <c r="BD311" s="1021"/>
      <c r="BE311" s="1021"/>
      <c r="BF311" s="1021"/>
      <c r="BG311" s="1021"/>
      <c r="BH311" s="1021"/>
      <c r="BI311" s="1021"/>
      <c r="BJ311" s="1021"/>
      <c r="BK311" s="1021"/>
      <c r="BL311" s="1021"/>
      <c r="BM311" s="1021"/>
      <c r="BN311" s="1021"/>
      <c r="BO311" s="1021"/>
      <c r="BP311" s="1021"/>
      <c r="BQ311" s="1021"/>
      <c r="BR311" s="1021"/>
      <c r="BS311" s="1021"/>
      <c r="BT311" s="1021"/>
      <c r="BU311" s="1021"/>
      <c r="BV311" s="1021"/>
      <c r="BW311" s="1021"/>
      <c r="BX311" s="1021"/>
      <c r="BY311" s="1021"/>
      <c r="BZ311" s="1021"/>
      <c r="CA311" s="1021"/>
      <c r="CB311" s="1021"/>
      <c r="CC311" s="1021"/>
    </row>
    <row r="312" spans="8:81" x14ac:dyDescent="0.25">
      <c r="H312" s="1021"/>
      <c r="I312" s="1021"/>
      <c r="J312" s="1021"/>
      <c r="K312" s="1021"/>
      <c r="L312" s="1021"/>
      <c r="M312" s="1021"/>
      <c r="N312" s="1021"/>
      <c r="O312" s="1021"/>
      <c r="P312" s="1021"/>
      <c r="Q312" s="1021"/>
      <c r="R312" s="1021"/>
      <c r="S312" s="1021"/>
      <c r="T312" s="1021"/>
      <c r="U312" s="1021"/>
      <c r="V312" s="1021"/>
      <c r="W312" s="1021"/>
      <c r="X312" s="1021"/>
      <c r="Y312" s="1021"/>
      <c r="Z312" s="1021"/>
      <c r="AA312" s="1021"/>
      <c r="AB312" s="1021"/>
      <c r="AC312" s="1021"/>
      <c r="AD312" s="1021"/>
      <c r="AE312" s="1021"/>
      <c r="AF312" s="1021"/>
      <c r="AG312" s="1021"/>
      <c r="AH312" s="1021"/>
      <c r="AI312" s="1021"/>
      <c r="AJ312" s="1021"/>
      <c r="AK312" s="1021"/>
      <c r="AL312" s="1021"/>
      <c r="AM312" s="1021"/>
      <c r="AN312" s="1021"/>
      <c r="AO312" s="1021"/>
      <c r="AP312" s="1021"/>
      <c r="AQ312" s="1021"/>
      <c r="AR312" s="1021"/>
      <c r="AS312" s="1021"/>
      <c r="AT312" s="1021"/>
      <c r="AU312" s="1021"/>
      <c r="AV312" s="1021"/>
      <c r="AW312" s="1021"/>
      <c r="AX312" s="1021"/>
      <c r="AY312" s="1021"/>
      <c r="AZ312" s="1021"/>
      <c r="BA312" s="1021"/>
      <c r="BB312" s="1021"/>
      <c r="BC312" s="1021"/>
      <c r="BD312" s="1021"/>
      <c r="BE312" s="1021"/>
      <c r="BF312" s="1021"/>
      <c r="BG312" s="1021"/>
      <c r="BH312" s="1021"/>
      <c r="BI312" s="1021"/>
      <c r="BJ312" s="1021"/>
      <c r="BK312" s="1021"/>
      <c r="BL312" s="1021"/>
      <c r="BM312" s="1021"/>
      <c r="BN312" s="1021"/>
      <c r="BO312" s="1021"/>
      <c r="BP312" s="1021"/>
      <c r="BQ312" s="1021"/>
      <c r="BR312" s="1021"/>
      <c r="BS312" s="1021"/>
      <c r="BT312" s="1021"/>
      <c r="BU312" s="1021"/>
      <c r="BV312" s="1021"/>
      <c r="BW312" s="1021"/>
      <c r="BX312" s="1021"/>
      <c r="BY312" s="1021"/>
      <c r="BZ312" s="1021"/>
      <c r="CA312" s="1021"/>
      <c r="CB312" s="1021"/>
      <c r="CC312" s="1021"/>
    </row>
    <row r="313" spans="8:81" x14ac:dyDescent="0.25">
      <c r="H313" s="1021"/>
      <c r="I313" s="1021"/>
      <c r="J313" s="1021"/>
      <c r="K313" s="1021"/>
      <c r="L313" s="1021"/>
      <c r="M313" s="1021"/>
      <c r="N313" s="1021"/>
      <c r="O313" s="1021"/>
      <c r="P313" s="1021"/>
      <c r="Q313" s="1021"/>
      <c r="R313" s="1021"/>
      <c r="S313" s="1021"/>
      <c r="T313" s="1021"/>
      <c r="U313" s="1021"/>
      <c r="V313" s="1021"/>
      <c r="W313" s="1021"/>
      <c r="X313" s="1021"/>
      <c r="Y313" s="1021"/>
      <c r="Z313" s="1021"/>
      <c r="AA313" s="1021"/>
      <c r="AB313" s="1021"/>
      <c r="AC313" s="1021"/>
      <c r="AD313" s="1021"/>
      <c r="AE313" s="1021"/>
      <c r="AF313" s="1021"/>
      <c r="AG313" s="1021"/>
      <c r="AH313" s="1021"/>
      <c r="AI313" s="1021"/>
      <c r="AJ313" s="1021"/>
      <c r="AK313" s="1021"/>
      <c r="AL313" s="1021"/>
      <c r="AM313" s="1021"/>
      <c r="AN313" s="1021"/>
      <c r="AO313" s="1021"/>
      <c r="AP313" s="1021"/>
      <c r="AQ313" s="1021"/>
      <c r="AR313" s="1021"/>
      <c r="AS313" s="1021"/>
      <c r="AT313" s="1021"/>
      <c r="AU313" s="1021"/>
      <c r="AV313" s="1021"/>
      <c r="AW313" s="1021"/>
      <c r="AX313" s="1021"/>
      <c r="AY313" s="1021"/>
      <c r="AZ313" s="1021"/>
      <c r="BA313" s="1021"/>
      <c r="BB313" s="1021"/>
      <c r="BC313" s="1021"/>
      <c r="BD313" s="1021"/>
      <c r="BE313" s="1021"/>
      <c r="BF313" s="1021"/>
      <c r="BG313" s="1021"/>
      <c r="BH313" s="1021"/>
      <c r="BI313" s="1021"/>
      <c r="BJ313" s="1021"/>
      <c r="BK313" s="1021"/>
      <c r="BL313" s="1021"/>
      <c r="BM313" s="1021"/>
      <c r="BN313" s="1021"/>
      <c r="BO313" s="1021"/>
      <c r="BP313" s="1021"/>
      <c r="BQ313" s="1021"/>
      <c r="BR313" s="1021"/>
      <c r="BS313" s="1021"/>
      <c r="BT313" s="1021"/>
      <c r="BU313" s="1021"/>
      <c r="BV313" s="1021"/>
      <c r="BW313" s="1021"/>
      <c r="BX313" s="1021"/>
      <c r="BY313" s="1021"/>
      <c r="BZ313" s="1021"/>
      <c r="CA313" s="1021"/>
      <c r="CB313" s="1021"/>
      <c r="CC313" s="1021"/>
    </row>
    <row r="314" spans="8:81" x14ac:dyDescent="0.25">
      <c r="H314" s="1021"/>
      <c r="I314" s="1021"/>
      <c r="J314" s="1021"/>
      <c r="K314" s="1021"/>
      <c r="L314" s="1021"/>
      <c r="M314" s="1021"/>
      <c r="N314" s="1021"/>
      <c r="O314" s="1021"/>
      <c r="P314" s="1021"/>
      <c r="Q314" s="1021"/>
      <c r="R314" s="1021"/>
      <c r="S314" s="1021"/>
      <c r="T314" s="1021"/>
      <c r="U314" s="1021"/>
      <c r="V314" s="1021"/>
      <c r="W314" s="1021"/>
      <c r="X314" s="1021"/>
      <c r="Y314" s="1021"/>
      <c r="Z314" s="1021"/>
      <c r="AA314" s="1021"/>
      <c r="AB314" s="1021"/>
      <c r="AC314" s="1021"/>
      <c r="AD314" s="1021"/>
      <c r="AE314" s="1021"/>
      <c r="AF314" s="1021"/>
      <c r="AG314" s="1021"/>
      <c r="AH314" s="1021"/>
      <c r="AI314" s="1021"/>
      <c r="AJ314" s="1021"/>
      <c r="AK314" s="1021"/>
      <c r="AL314" s="1021"/>
      <c r="AM314" s="1021"/>
      <c r="AN314" s="1021"/>
      <c r="AO314" s="1021"/>
      <c r="AP314" s="1021"/>
      <c r="AQ314" s="1021"/>
      <c r="AR314" s="1021"/>
      <c r="AS314" s="1021"/>
      <c r="AT314" s="1021"/>
      <c r="AU314" s="1021"/>
      <c r="AV314" s="1021"/>
      <c r="AW314" s="1021"/>
      <c r="AX314" s="1021"/>
      <c r="AY314" s="1021"/>
      <c r="AZ314" s="1021"/>
      <c r="BA314" s="1021"/>
      <c r="BB314" s="1021"/>
      <c r="BC314" s="1021"/>
      <c r="BD314" s="1021"/>
      <c r="BE314" s="1021"/>
      <c r="BF314" s="1021"/>
      <c r="BG314" s="1021"/>
      <c r="BH314" s="1021"/>
      <c r="BI314" s="1021"/>
      <c r="BJ314" s="1021"/>
      <c r="BK314" s="1021"/>
      <c r="BL314" s="1021"/>
      <c r="BM314" s="1021"/>
      <c r="BN314" s="1021"/>
      <c r="BO314" s="1021"/>
      <c r="BP314" s="1021"/>
      <c r="BQ314" s="1021"/>
      <c r="BR314" s="1021"/>
      <c r="BS314" s="1021"/>
      <c r="BT314" s="1021"/>
      <c r="BU314" s="1021"/>
      <c r="BV314" s="1021"/>
      <c r="BW314" s="1021"/>
      <c r="BX314" s="1021"/>
      <c r="BY314" s="1021"/>
      <c r="BZ314" s="1021"/>
      <c r="CA314" s="1021"/>
      <c r="CB314" s="1021"/>
      <c r="CC314" s="1021"/>
    </row>
    <row r="315" spans="8:81" x14ac:dyDescent="0.25">
      <c r="H315" s="1021"/>
      <c r="I315" s="1021"/>
      <c r="J315" s="1021"/>
      <c r="K315" s="1021"/>
      <c r="L315" s="1021"/>
      <c r="M315" s="1021"/>
      <c r="N315" s="1021"/>
      <c r="O315" s="1021"/>
      <c r="P315" s="1021"/>
      <c r="Q315" s="1021"/>
      <c r="R315" s="1021"/>
      <c r="S315" s="1021"/>
      <c r="T315" s="1021"/>
      <c r="U315" s="1021"/>
      <c r="V315" s="1021"/>
      <c r="W315" s="1021"/>
      <c r="X315" s="1021"/>
      <c r="Y315" s="1021"/>
      <c r="Z315" s="1021"/>
      <c r="AA315" s="1021"/>
      <c r="AB315" s="1021"/>
      <c r="AC315" s="1021"/>
      <c r="AD315" s="1021"/>
      <c r="AE315" s="1021"/>
      <c r="AF315" s="1021"/>
      <c r="AG315" s="1021"/>
      <c r="AH315" s="1021"/>
      <c r="AI315" s="1021"/>
      <c r="AJ315" s="1021"/>
      <c r="AK315" s="1021"/>
      <c r="AL315" s="1021"/>
      <c r="AM315" s="1021"/>
      <c r="AN315" s="1021"/>
      <c r="AO315" s="1021"/>
      <c r="AP315" s="1021"/>
      <c r="AQ315" s="1021"/>
      <c r="AR315" s="1021"/>
      <c r="AS315" s="1021"/>
      <c r="AT315" s="1021"/>
      <c r="AU315" s="1021"/>
      <c r="AV315" s="1021"/>
      <c r="AW315" s="1021"/>
      <c r="AX315" s="1021"/>
      <c r="AY315" s="1021"/>
      <c r="AZ315" s="1021"/>
      <c r="BA315" s="1021"/>
      <c r="BB315" s="1021"/>
      <c r="BC315" s="1021"/>
      <c r="BD315" s="1021"/>
      <c r="BE315" s="1021"/>
      <c r="BF315" s="1021"/>
      <c r="BG315" s="1021"/>
      <c r="BH315" s="1021"/>
      <c r="BI315" s="1021"/>
      <c r="BJ315" s="1021"/>
      <c r="BK315" s="1021"/>
      <c r="BL315" s="1021"/>
      <c r="BM315" s="1021"/>
      <c r="BN315" s="1021"/>
      <c r="BO315" s="1021"/>
      <c r="BP315" s="1021"/>
      <c r="BQ315" s="1021"/>
      <c r="BR315" s="1021"/>
      <c r="BS315" s="1021"/>
      <c r="BT315" s="1021"/>
      <c r="BU315" s="1021"/>
      <c r="BV315" s="1021"/>
      <c r="BW315" s="1021"/>
      <c r="BX315" s="1021"/>
      <c r="BY315" s="1021"/>
      <c r="BZ315" s="1021"/>
      <c r="CA315" s="1021"/>
      <c r="CB315" s="1021"/>
      <c r="CC315" s="1021"/>
    </row>
    <row r="316" spans="8:81" x14ac:dyDescent="0.25">
      <c r="H316" s="1021"/>
      <c r="I316" s="1021"/>
      <c r="J316" s="1021"/>
      <c r="K316" s="1021"/>
      <c r="L316" s="1021"/>
      <c r="M316" s="1021"/>
      <c r="N316" s="1021"/>
      <c r="O316" s="1021"/>
      <c r="P316" s="1021"/>
      <c r="Q316" s="1021"/>
      <c r="R316" s="1021"/>
      <c r="S316" s="1021"/>
      <c r="T316" s="1021"/>
      <c r="U316" s="1021"/>
      <c r="V316" s="1021"/>
      <c r="W316" s="1021"/>
      <c r="X316" s="1021"/>
      <c r="Y316" s="1021"/>
      <c r="Z316" s="1021"/>
      <c r="AA316" s="1021"/>
      <c r="AB316" s="1021"/>
      <c r="AC316" s="1021"/>
      <c r="AD316" s="1021"/>
      <c r="AE316" s="1021"/>
      <c r="AF316" s="1021"/>
      <c r="AG316" s="1021"/>
      <c r="AH316" s="1021"/>
      <c r="AI316" s="1021"/>
      <c r="AJ316" s="1021"/>
      <c r="AK316" s="1021"/>
      <c r="AL316" s="1021"/>
      <c r="AM316" s="1021"/>
      <c r="AN316" s="1021"/>
      <c r="AO316" s="1021"/>
      <c r="AP316" s="1021"/>
      <c r="AQ316" s="1021"/>
      <c r="AR316" s="1021"/>
      <c r="AS316" s="1021"/>
      <c r="AT316" s="1021"/>
      <c r="AU316" s="1021"/>
      <c r="AV316" s="1021"/>
      <c r="AW316" s="1021"/>
      <c r="AX316" s="1021"/>
      <c r="AY316" s="1021"/>
      <c r="AZ316" s="1021"/>
      <c r="BA316" s="1021"/>
      <c r="BB316" s="1021"/>
      <c r="BC316" s="1021"/>
      <c r="BD316" s="1021"/>
      <c r="BE316" s="1021"/>
      <c r="BF316" s="1021"/>
      <c r="BG316" s="1021"/>
      <c r="BH316" s="1021"/>
      <c r="BI316" s="1021"/>
      <c r="BJ316" s="1021"/>
      <c r="BK316" s="1021"/>
      <c r="BL316" s="1021"/>
      <c r="BM316" s="1021"/>
      <c r="BN316" s="1021"/>
      <c r="BO316" s="1021"/>
      <c r="BP316" s="1021"/>
      <c r="BQ316" s="1021"/>
      <c r="BR316" s="1021"/>
      <c r="BS316" s="1021"/>
      <c r="BT316" s="1021"/>
      <c r="BU316" s="1021"/>
      <c r="BV316" s="1021"/>
      <c r="BW316" s="1021"/>
      <c r="BX316" s="1021"/>
      <c r="BY316" s="1021"/>
      <c r="BZ316" s="1021"/>
      <c r="CA316" s="1021"/>
      <c r="CB316" s="1021"/>
      <c r="CC316" s="1021"/>
    </row>
    <row r="317" spans="8:81" x14ac:dyDescent="0.25">
      <c r="H317" s="1021"/>
      <c r="I317" s="1021"/>
      <c r="J317" s="1021"/>
      <c r="K317" s="1021"/>
      <c r="L317" s="1021"/>
      <c r="M317" s="1021"/>
      <c r="N317" s="1021"/>
      <c r="O317" s="1021"/>
      <c r="P317" s="1021"/>
      <c r="Q317" s="1021"/>
      <c r="R317" s="1021"/>
      <c r="S317" s="1021"/>
      <c r="T317" s="1021"/>
      <c r="U317" s="1021"/>
      <c r="V317" s="1021"/>
      <c r="W317" s="1021"/>
      <c r="X317" s="1021"/>
      <c r="Y317" s="1021"/>
      <c r="Z317" s="1021"/>
      <c r="AA317" s="1021"/>
      <c r="AB317" s="1021"/>
      <c r="AC317" s="1021"/>
      <c r="AD317" s="1021"/>
      <c r="AE317" s="1021"/>
      <c r="AF317" s="1021"/>
      <c r="AG317" s="1021"/>
      <c r="AH317" s="1021"/>
      <c r="AI317" s="1021"/>
      <c r="AJ317" s="1021"/>
      <c r="AK317" s="1021"/>
      <c r="AL317" s="1021"/>
      <c r="AM317" s="1021"/>
      <c r="AN317" s="1021"/>
      <c r="AO317" s="1021"/>
      <c r="AP317" s="1021"/>
      <c r="AQ317" s="1021"/>
      <c r="AR317" s="1021"/>
      <c r="AS317" s="1021"/>
      <c r="AT317" s="1021"/>
      <c r="AU317" s="1021"/>
      <c r="AV317" s="1021"/>
      <c r="AW317" s="1021"/>
      <c r="AX317" s="1021"/>
      <c r="AY317" s="1021"/>
      <c r="AZ317" s="1021"/>
      <c r="BA317" s="1021"/>
      <c r="BB317" s="1021"/>
      <c r="BC317" s="1021"/>
      <c r="BD317" s="1021"/>
      <c r="BE317" s="1021"/>
      <c r="BF317" s="1021"/>
      <c r="BG317" s="1021"/>
      <c r="BH317" s="1021"/>
      <c r="BI317" s="1021"/>
      <c r="BJ317" s="1021"/>
      <c r="BK317" s="1021"/>
      <c r="BL317" s="1021"/>
      <c r="BM317" s="1021"/>
      <c r="BN317" s="1021"/>
      <c r="BO317" s="1021"/>
      <c r="BP317" s="1021"/>
      <c r="BQ317" s="1021"/>
      <c r="BR317" s="1021"/>
      <c r="BS317" s="1021"/>
      <c r="BT317" s="1021"/>
      <c r="BU317" s="1021"/>
      <c r="BV317" s="1021"/>
      <c r="BW317" s="1021"/>
      <c r="BX317" s="1021"/>
      <c r="BY317" s="1021"/>
      <c r="BZ317" s="1021"/>
      <c r="CA317" s="1021"/>
      <c r="CB317" s="1021"/>
      <c r="CC317" s="1021"/>
    </row>
    <row r="318" spans="8:81" x14ac:dyDescent="0.25">
      <c r="H318" s="1021"/>
      <c r="I318" s="1021"/>
      <c r="J318" s="1021"/>
      <c r="K318" s="1021"/>
      <c r="L318" s="1021"/>
      <c r="M318" s="1021"/>
      <c r="N318" s="1021"/>
      <c r="O318" s="1021"/>
      <c r="P318" s="1021"/>
      <c r="Q318" s="1021"/>
      <c r="R318" s="1021"/>
      <c r="S318" s="1021"/>
      <c r="T318" s="1021"/>
      <c r="U318" s="1021"/>
      <c r="V318" s="1021"/>
      <c r="W318" s="1021"/>
      <c r="X318" s="1021"/>
      <c r="Y318" s="1021"/>
      <c r="Z318" s="1021"/>
      <c r="AA318" s="1021"/>
      <c r="AB318" s="1021"/>
      <c r="AC318" s="1021"/>
      <c r="AD318" s="1021"/>
      <c r="AE318" s="1021"/>
      <c r="AF318" s="1021"/>
      <c r="AG318" s="1021"/>
      <c r="AH318" s="1021"/>
      <c r="AI318" s="1021"/>
      <c r="AJ318" s="1021"/>
      <c r="AK318" s="1021"/>
      <c r="AL318" s="1021"/>
      <c r="AM318" s="1021"/>
      <c r="AN318" s="1021"/>
      <c r="AO318" s="1021"/>
      <c r="AP318" s="1021"/>
      <c r="AQ318" s="1021"/>
      <c r="AR318" s="1021"/>
      <c r="AS318" s="1021"/>
      <c r="AT318" s="1021"/>
      <c r="AU318" s="1021"/>
      <c r="AV318" s="1021"/>
      <c r="AW318" s="1021"/>
      <c r="AX318" s="1021"/>
      <c r="AY318" s="1021"/>
      <c r="AZ318" s="1021"/>
      <c r="BA318" s="1021"/>
      <c r="BB318" s="1021"/>
      <c r="BC318" s="1021"/>
      <c r="BD318" s="1021"/>
      <c r="BE318" s="1021"/>
      <c r="BF318" s="1021"/>
      <c r="BG318" s="1021"/>
      <c r="BH318" s="1021"/>
      <c r="BI318" s="1021"/>
      <c r="BJ318" s="1021"/>
      <c r="BK318" s="1021"/>
      <c r="BL318" s="1021"/>
      <c r="BM318" s="1021"/>
      <c r="BN318" s="1021"/>
      <c r="BO318" s="1021"/>
      <c r="BP318" s="1021"/>
      <c r="BQ318" s="1021"/>
      <c r="BR318" s="1021"/>
      <c r="BS318" s="1021"/>
      <c r="BT318" s="1021"/>
      <c r="BU318" s="1021"/>
      <c r="BV318" s="1021"/>
      <c r="BW318" s="1021"/>
      <c r="BX318" s="1021"/>
      <c r="BY318" s="1021"/>
      <c r="BZ318" s="1021"/>
      <c r="CA318" s="1021"/>
      <c r="CB318" s="1021"/>
      <c r="CC318" s="1021"/>
    </row>
    <row r="319" spans="8:81" x14ac:dyDescent="0.25">
      <c r="H319" s="1021"/>
      <c r="I319" s="1021"/>
      <c r="J319" s="1021"/>
      <c r="K319" s="1021"/>
      <c r="L319" s="1021"/>
      <c r="M319" s="1021"/>
      <c r="N319" s="1021"/>
      <c r="O319" s="1021"/>
      <c r="P319" s="1021"/>
      <c r="Q319" s="1021"/>
      <c r="R319" s="1021"/>
      <c r="S319" s="1021"/>
      <c r="T319" s="1021"/>
      <c r="U319" s="1021"/>
      <c r="V319" s="1021"/>
      <c r="W319" s="1021"/>
      <c r="X319" s="1021"/>
      <c r="Y319" s="1021"/>
      <c r="Z319" s="1021"/>
      <c r="AA319" s="1021"/>
      <c r="AB319" s="1021"/>
      <c r="AC319" s="1021"/>
      <c r="AD319" s="1021"/>
      <c r="AE319" s="1021"/>
      <c r="AF319" s="1021"/>
      <c r="AG319" s="1021"/>
      <c r="AH319" s="1021"/>
      <c r="AI319" s="1021"/>
      <c r="AJ319" s="1021"/>
      <c r="AK319" s="1021"/>
      <c r="AL319" s="1021"/>
      <c r="AM319" s="1021"/>
      <c r="AN319" s="1021"/>
      <c r="AO319" s="1021"/>
      <c r="AP319" s="1021"/>
      <c r="AQ319" s="1021"/>
      <c r="AR319" s="1021"/>
      <c r="AS319" s="1021"/>
      <c r="AT319" s="1021"/>
      <c r="AU319" s="1021"/>
      <c r="AV319" s="1021"/>
      <c r="AW319" s="1021"/>
      <c r="AX319" s="1021"/>
      <c r="AY319" s="1021"/>
      <c r="AZ319" s="1021"/>
      <c r="BA319" s="1021"/>
      <c r="BB319" s="1021"/>
      <c r="BC319" s="1021"/>
      <c r="BD319" s="1021"/>
      <c r="BE319" s="1021"/>
      <c r="BF319" s="1021"/>
      <c r="BG319" s="1021"/>
      <c r="BH319" s="1021"/>
      <c r="BI319" s="1021"/>
      <c r="BJ319" s="1021"/>
      <c r="BK319" s="1021"/>
      <c r="BL319" s="1021"/>
      <c r="BM319" s="1021"/>
      <c r="BN319" s="1021"/>
      <c r="BO319" s="1021"/>
      <c r="BP319" s="1021"/>
      <c r="BQ319" s="1021"/>
      <c r="BR319" s="1021"/>
      <c r="BS319" s="1021"/>
      <c r="BT319" s="1021"/>
      <c r="BU319" s="1021"/>
      <c r="BV319" s="1021"/>
      <c r="BW319" s="1021"/>
      <c r="BX319" s="1021"/>
      <c r="BY319" s="1021"/>
      <c r="BZ319" s="1021"/>
      <c r="CA319" s="1021"/>
      <c r="CB319" s="1021"/>
      <c r="CC319" s="1021"/>
    </row>
    <row r="320" spans="8:81" x14ac:dyDescent="0.25">
      <c r="H320" s="1021"/>
      <c r="I320" s="1021"/>
      <c r="J320" s="1021"/>
      <c r="K320" s="1021"/>
      <c r="L320" s="1021"/>
      <c r="M320" s="1021"/>
      <c r="N320" s="1021"/>
      <c r="O320" s="1021"/>
      <c r="P320" s="1021"/>
      <c r="Q320" s="1021"/>
      <c r="R320" s="1021"/>
      <c r="S320" s="1021"/>
      <c r="T320" s="1021"/>
      <c r="U320" s="1021"/>
      <c r="V320" s="1021"/>
      <c r="W320" s="1021"/>
      <c r="X320" s="1021"/>
      <c r="Y320" s="1021"/>
      <c r="Z320" s="1021"/>
      <c r="AA320" s="1021"/>
      <c r="AB320" s="1021"/>
      <c r="AC320" s="1021"/>
      <c r="AD320" s="1021"/>
      <c r="AE320" s="1021"/>
      <c r="AF320" s="1021"/>
      <c r="AG320" s="1021"/>
      <c r="AH320" s="1021"/>
      <c r="AI320" s="1021"/>
      <c r="AJ320" s="1021"/>
      <c r="AK320" s="1021"/>
      <c r="AL320" s="1021"/>
      <c r="AM320" s="1021"/>
      <c r="AN320" s="1021"/>
      <c r="AO320" s="1021"/>
      <c r="AP320" s="1021"/>
      <c r="AQ320" s="1021"/>
      <c r="AR320" s="1021"/>
      <c r="AS320" s="1021"/>
      <c r="AT320" s="1021"/>
      <c r="AU320" s="1021"/>
      <c r="AV320" s="1021"/>
      <c r="AW320" s="1021"/>
      <c r="AX320" s="1021"/>
      <c r="AY320" s="1021"/>
      <c r="AZ320" s="1021"/>
      <c r="BA320" s="1021"/>
      <c r="BB320" s="1021"/>
      <c r="BC320" s="1021"/>
      <c r="BD320" s="1021"/>
      <c r="BE320" s="1021"/>
      <c r="BF320" s="1021"/>
      <c r="BG320" s="1021"/>
      <c r="BH320" s="1021"/>
      <c r="BI320" s="1021"/>
      <c r="BJ320" s="1021"/>
      <c r="BK320" s="1021"/>
      <c r="BL320" s="1021"/>
      <c r="BM320" s="1021"/>
      <c r="BN320" s="1021"/>
      <c r="BO320" s="1021"/>
      <c r="BP320" s="1021"/>
      <c r="BQ320" s="1021"/>
      <c r="BR320" s="1021"/>
      <c r="BS320" s="1021"/>
      <c r="BT320" s="1021"/>
      <c r="BU320" s="1021"/>
      <c r="BV320" s="1021"/>
      <c r="BW320" s="1021"/>
      <c r="BX320" s="1021"/>
      <c r="BY320" s="1021"/>
      <c r="BZ320" s="1021"/>
      <c r="CA320" s="1021"/>
      <c r="CB320" s="1021"/>
      <c r="CC320" s="1021"/>
    </row>
    <row r="321" spans="8:81" x14ac:dyDescent="0.25">
      <c r="H321" s="1021"/>
      <c r="I321" s="1021"/>
      <c r="J321" s="1021"/>
      <c r="K321" s="1021"/>
      <c r="L321" s="1021"/>
      <c r="M321" s="1021"/>
      <c r="N321" s="1021"/>
      <c r="O321" s="1021"/>
      <c r="P321" s="1021"/>
      <c r="Q321" s="1021"/>
      <c r="R321" s="1021"/>
      <c r="S321" s="1021"/>
      <c r="T321" s="1021"/>
      <c r="U321" s="1021"/>
      <c r="V321" s="1021"/>
      <c r="W321" s="1021"/>
      <c r="X321" s="1021"/>
      <c r="Y321" s="1021"/>
      <c r="Z321" s="1021"/>
      <c r="AA321" s="1021"/>
      <c r="AB321" s="1021"/>
      <c r="AC321" s="1021"/>
      <c r="AD321" s="1021"/>
      <c r="AE321" s="1021"/>
      <c r="AF321" s="1021"/>
      <c r="AG321" s="1021"/>
      <c r="AH321" s="1021"/>
      <c r="AI321" s="1021"/>
      <c r="AJ321" s="1021"/>
      <c r="AK321" s="1021"/>
      <c r="AL321" s="1021"/>
      <c r="AM321" s="1021"/>
      <c r="AN321" s="1021"/>
      <c r="AO321" s="1021"/>
      <c r="AP321" s="1021"/>
      <c r="AQ321" s="1021"/>
      <c r="AR321" s="1021"/>
      <c r="AS321" s="1021"/>
      <c r="AT321" s="1021"/>
      <c r="AU321" s="1021"/>
      <c r="AV321" s="1021"/>
      <c r="AW321" s="1021"/>
      <c r="AX321" s="1021"/>
      <c r="AY321" s="1021"/>
      <c r="AZ321" s="1021"/>
      <c r="BA321" s="1021"/>
      <c r="BB321" s="1021"/>
      <c r="BC321" s="1021"/>
      <c r="BD321" s="1021"/>
      <c r="BE321" s="1021"/>
      <c r="BF321" s="1021"/>
      <c r="BG321" s="1021"/>
      <c r="BH321" s="1021"/>
      <c r="BI321" s="1021"/>
      <c r="BJ321" s="1021"/>
      <c r="BK321" s="1021"/>
      <c r="BL321" s="1021"/>
      <c r="BM321" s="1021"/>
      <c r="BN321" s="1021"/>
      <c r="BO321" s="1021"/>
      <c r="BP321" s="1021"/>
      <c r="BQ321" s="1021"/>
      <c r="BR321" s="1021"/>
      <c r="BS321" s="1021"/>
      <c r="BT321" s="1021"/>
      <c r="BU321" s="1021"/>
      <c r="BV321" s="1021"/>
      <c r="BW321" s="1021"/>
      <c r="BX321" s="1021"/>
      <c r="BY321" s="1021"/>
      <c r="BZ321" s="1021"/>
      <c r="CA321" s="1021"/>
      <c r="CB321" s="1021"/>
      <c r="CC321" s="1021"/>
    </row>
    <row r="322" spans="8:81" x14ac:dyDescent="0.25">
      <c r="H322" s="1021"/>
      <c r="I322" s="1021"/>
      <c r="J322" s="1021"/>
      <c r="K322" s="1021"/>
      <c r="L322" s="1021"/>
      <c r="M322" s="1021"/>
      <c r="N322" s="1021"/>
      <c r="O322" s="1021"/>
      <c r="P322" s="1021"/>
      <c r="Q322" s="1021"/>
      <c r="R322" s="1021"/>
      <c r="S322" s="1021"/>
      <c r="T322" s="1021"/>
      <c r="U322" s="1021"/>
      <c r="V322" s="1021"/>
      <c r="W322" s="1021"/>
      <c r="X322" s="1021"/>
      <c r="Y322" s="1021"/>
      <c r="Z322" s="1021"/>
      <c r="AA322" s="1021"/>
      <c r="AB322" s="1021"/>
      <c r="AC322" s="1021"/>
      <c r="AD322" s="1021"/>
      <c r="AE322" s="1021"/>
      <c r="AF322" s="1021"/>
      <c r="AG322" s="1021"/>
      <c r="AH322" s="1021"/>
      <c r="AI322" s="1021"/>
      <c r="AJ322" s="1021"/>
      <c r="AK322" s="1021"/>
      <c r="AL322" s="1021"/>
      <c r="AM322" s="1021"/>
      <c r="AN322" s="1021"/>
      <c r="AO322" s="1021"/>
      <c r="AP322" s="1021"/>
      <c r="AQ322" s="1021"/>
      <c r="AR322" s="1021"/>
      <c r="AS322" s="1021"/>
      <c r="AT322" s="1021"/>
      <c r="AU322" s="1021"/>
      <c r="AV322" s="1021"/>
      <c r="AW322" s="1021"/>
      <c r="AX322" s="1021"/>
      <c r="AY322" s="1021"/>
      <c r="AZ322" s="1021"/>
      <c r="BA322" s="1021"/>
      <c r="BB322" s="1021"/>
      <c r="BC322" s="1021"/>
      <c r="BD322" s="1021"/>
      <c r="BE322" s="1021"/>
      <c r="BF322" s="1021"/>
      <c r="BG322" s="1021"/>
      <c r="BH322" s="1021"/>
      <c r="BI322" s="1021"/>
      <c r="BJ322" s="1021"/>
      <c r="BK322" s="1021"/>
      <c r="BL322" s="1021"/>
      <c r="BM322" s="1021"/>
      <c r="BN322" s="1021"/>
      <c r="BO322" s="1021"/>
      <c r="BP322" s="1021"/>
      <c r="BQ322" s="1021"/>
      <c r="BR322" s="1021"/>
      <c r="BS322" s="1021"/>
      <c r="BT322" s="1021"/>
      <c r="BU322" s="1021"/>
      <c r="BV322" s="1021"/>
      <c r="BW322" s="1021"/>
      <c r="BX322" s="1021"/>
      <c r="BY322" s="1021"/>
      <c r="BZ322" s="1021"/>
      <c r="CA322" s="1021"/>
      <c r="CB322" s="1021"/>
      <c r="CC322" s="1021"/>
    </row>
    <row r="323" spans="8:81" x14ac:dyDescent="0.25">
      <c r="H323" s="1021"/>
      <c r="I323" s="1021"/>
      <c r="J323" s="1021"/>
      <c r="K323" s="1021"/>
      <c r="L323" s="1021"/>
      <c r="M323" s="1021"/>
      <c r="N323" s="1021"/>
      <c r="O323" s="1021"/>
      <c r="P323" s="1021"/>
      <c r="Q323" s="1021"/>
      <c r="R323" s="1021"/>
      <c r="S323" s="1021"/>
      <c r="T323" s="1021"/>
      <c r="U323" s="1021"/>
      <c r="V323" s="1021"/>
      <c r="W323" s="1021"/>
      <c r="X323" s="1021"/>
      <c r="Y323" s="1021"/>
      <c r="Z323" s="1021"/>
      <c r="AA323" s="1021"/>
      <c r="AB323" s="1021"/>
      <c r="AC323" s="1021"/>
      <c r="AD323" s="1021"/>
      <c r="AE323" s="1021"/>
      <c r="AF323" s="1021"/>
      <c r="AG323" s="1021"/>
      <c r="AH323" s="1021"/>
      <c r="AI323" s="1021"/>
      <c r="AJ323" s="1021"/>
      <c r="AK323" s="1021"/>
      <c r="AL323" s="1021"/>
      <c r="AM323" s="1021"/>
      <c r="AN323" s="1021"/>
      <c r="AO323" s="1021"/>
      <c r="AP323" s="1021"/>
      <c r="AQ323" s="1021"/>
      <c r="AR323" s="1021"/>
      <c r="AS323" s="1021"/>
      <c r="AT323" s="1021"/>
      <c r="AU323" s="1021"/>
      <c r="AV323" s="1021"/>
      <c r="AW323" s="1021"/>
      <c r="AX323" s="1021"/>
      <c r="AY323" s="1021"/>
      <c r="AZ323" s="1021"/>
      <c r="BA323" s="1021"/>
      <c r="BB323" s="1021"/>
      <c r="BC323" s="1021"/>
      <c r="BD323" s="1021"/>
      <c r="BE323" s="1021"/>
      <c r="BF323" s="1021"/>
      <c r="BG323" s="1021"/>
      <c r="BH323" s="1021"/>
      <c r="BI323" s="1021"/>
      <c r="BJ323" s="1021"/>
      <c r="BK323" s="1021"/>
      <c r="BL323" s="1021"/>
      <c r="BM323" s="1021"/>
      <c r="BN323" s="1021"/>
      <c r="BO323" s="1021"/>
      <c r="BP323" s="1021"/>
      <c r="BQ323" s="1021"/>
      <c r="BR323" s="1021"/>
      <c r="BS323" s="1021"/>
      <c r="BT323" s="1021"/>
      <c r="BU323" s="1021"/>
      <c r="BV323" s="1021"/>
      <c r="BW323" s="1021"/>
      <c r="BX323" s="1021"/>
      <c r="BY323" s="1021"/>
      <c r="BZ323" s="1021"/>
      <c r="CA323" s="1021"/>
      <c r="CB323" s="1021"/>
      <c r="CC323" s="1021"/>
    </row>
    <row r="324" spans="8:81" x14ac:dyDescent="0.25">
      <c r="H324" s="1021"/>
      <c r="I324" s="1021"/>
      <c r="J324" s="1021"/>
      <c r="K324" s="1021"/>
      <c r="L324" s="1021"/>
      <c r="M324" s="1021"/>
      <c r="N324" s="1021"/>
      <c r="O324" s="1021"/>
      <c r="P324" s="1021"/>
      <c r="Q324" s="1021"/>
      <c r="R324" s="1021"/>
      <c r="S324" s="1021"/>
      <c r="T324" s="1021"/>
      <c r="U324" s="1021"/>
      <c r="V324" s="1021"/>
      <c r="W324" s="1021"/>
      <c r="X324" s="1021"/>
      <c r="Y324" s="1021"/>
      <c r="Z324" s="1021"/>
      <c r="AA324" s="1021"/>
      <c r="AB324" s="1021"/>
      <c r="AC324" s="1021"/>
      <c r="AD324" s="1021"/>
      <c r="AE324" s="1021"/>
      <c r="AF324" s="1021"/>
      <c r="AG324" s="1021"/>
      <c r="AH324" s="1021"/>
      <c r="AI324" s="1021"/>
      <c r="AJ324" s="1021"/>
      <c r="AK324" s="1021"/>
      <c r="AL324" s="1021"/>
      <c r="AM324" s="1021"/>
      <c r="AN324" s="1021"/>
      <c r="AO324" s="1021"/>
      <c r="AP324" s="1021"/>
      <c r="AQ324" s="1021"/>
      <c r="AR324" s="1021"/>
      <c r="AS324" s="1021"/>
      <c r="AT324" s="1021"/>
      <c r="AU324" s="1021"/>
      <c r="AV324" s="1021"/>
      <c r="AW324" s="1021"/>
      <c r="AX324" s="1021"/>
      <c r="AY324" s="1021"/>
      <c r="AZ324" s="1021"/>
      <c r="BA324" s="1021"/>
      <c r="BB324" s="1021"/>
      <c r="BC324" s="1021"/>
      <c r="BD324" s="1021"/>
      <c r="BE324" s="1021"/>
      <c r="BF324" s="1021"/>
      <c r="BG324" s="1021"/>
      <c r="BH324" s="1021"/>
      <c r="BI324" s="1021"/>
      <c r="BJ324" s="1021"/>
      <c r="BK324" s="1021"/>
      <c r="BL324" s="1021"/>
      <c r="BM324" s="1021"/>
      <c r="BN324" s="1021"/>
      <c r="BO324" s="1021"/>
      <c r="BP324" s="1021"/>
      <c r="BQ324" s="1021"/>
      <c r="BR324" s="1021"/>
      <c r="BS324" s="1021"/>
      <c r="BT324" s="1021"/>
      <c r="BU324" s="1021"/>
      <c r="BV324" s="1021"/>
      <c r="BW324" s="1021"/>
      <c r="BX324" s="1021"/>
      <c r="BY324" s="1021"/>
      <c r="BZ324" s="1021"/>
      <c r="CA324" s="1021"/>
      <c r="CB324" s="1021"/>
      <c r="CC324" s="1021"/>
    </row>
    <row r="325" spans="8:81" x14ac:dyDescent="0.25">
      <c r="H325" s="1021"/>
      <c r="I325" s="1021"/>
      <c r="J325" s="1021"/>
      <c r="K325" s="1021"/>
      <c r="L325" s="1021"/>
      <c r="M325" s="1021"/>
      <c r="N325" s="1021"/>
      <c r="O325" s="1021"/>
      <c r="P325" s="1021"/>
      <c r="Q325" s="1021"/>
      <c r="R325" s="1021"/>
      <c r="S325" s="1021"/>
      <c r="T325" s="1021"/>
      <c r="U325" s="1021"/>
      <c r="V325" s="1021"/>
      <c r="W325" s="1021"/>
      <c r="X325" s="1021"/>
      <c r="Y325" s="1021"/>
      <c r="Z325" s="1021"/>
      <c r="AA325" s="1021"/>
      <c r="AB325" s="1021"/>
      <c r="AC325" s="1021"/>
      <c r="AD325" s="1021"/>
      <c r="AE325" s="1021"/>
      <c r="AF325" s="1021"/>
      <c r="AG325" s="1021"/>
      <c r="AH325" s="1021"/>
      <c r="AI325" s="1021"/>
      <c r="AJ325" s="1021"/>
      <c r="AK325" s="1021"/>
      <c r="AL325" s="1021"/>
      <c r="AM325" s="1021"/>
      <c r="AN325" s="1021"/>
      <c r="AO325" s="1021"/>
      <c r="AP325" s="1021"/>
      <c r="AQ325" s="1021"/>
      <c r="AR325" s="1021"/>
      <c r="AS325" s="1021"/>
      <c r="AT325" s="1021"/>
      <c r="AU325" s="1021"/>
      <c r="AV325" s="1021"/>
      <c r="AW325" s="1021"/>
      <c r="AX325" s="1021"/>
      <c r="AY325" s="1021"/>
      <c r="AZ325" s="1021"/>
      <c r="BA325" s="1021"/>
      <c r="BB325" s="1021"/>
      <c r="BC325" s="1021"/>
      <c r="BD325" s="1021"/>
      <c r="BE325" s="1021"/>
      <c r="BF325" s="1021"/>
      <c r="BG325" s="1021"/>
      <c r="BH325" s="1021"/>
      <c r="BI325" s="1021"/>
      <c r="BJ325" s="1021"/>
      <c r="BK325" s="1021"/>
      <c r="BL325" s="1021"/>
      <c r="BM325" s="1021"/>
      <c r="BN325" s="1021"/>
      <c r="BO325" s="1021"/>
      <c r="BP325" s="1021"/>
      <c r="BQ325" s="1021"/>
      <c r="BR325" s="1021"/>
      <c r="BS325" s="1021"/>
      <c r="BT325" s="1021"/>
      <c r="BU325" s="1021"/>
      <c r="BV325" s="1021"/>
      <c r="BW325" s="1021"/>
      <c r="BX325" s="1021"/>
      <c r="BY325" s="1021"/>
      <c r="BZ325" s="1021"/>
      <c r="CA325" s="1021"/>
      <c r="CB325" s="1021"/>
      <c r="CC325" s="1021"/>
    </row>
    <row r="326" spans="8:81" x14ac:dyDescent="0.25">
      <c r="H326" s="1021"/>
      <c r="I326" s="1021"/>
      <c r="J326" s="1021"/>
      <c r="K326" s="1021"/>
      <c r="L326" s="1021"/>
      <c r="M326" s="1021"/>
      <c r="N326" s="1021"/>
      <c r="O326" s="1021"/>
      <c r="P326" s="1021"/>
      <c r="Q326" s="1021"/>
      <c r="R326" s="1021"/>
      <c r="S326" s="1021"/>
      <c r="T326" s="1021"/>
      <c r="U326" s="1021"/>
      <c r="V326" s="1021"/>
      <c r="W326" s="1021"/>
      <c r="X326" s="1021"/>
      <c r="Y326" s="1021"/>
      <c r="Z326" s="1021"/>
      <c r="AA326" s="1021"/>
      <c r="AB326" s="1021"/>
      <c r="AC326" s="1021"/>
      <c r="AD326" s="1021"/>
      <c r="AE326" s="1021"/>
      <c r="AF326" s="1021"/>
      <c r="AG326" s="1021"/>
      <c r="AH326" s="1021"/>
      <c r="AI326" s="1021"/>
      <c r="AJ326" s="1021"/>
      <c r="AK326" s="1021"/>
      <c r="AL326" s="1021"/>
      <c r="AM326" s="1021"/>
      <c r="AN326" s="1021"/>
      <c r="AO326" s="1021"/>
      <c r="AP326" s="1021"/>
      <c r="AQ326" s="1021"/>
      <c r="AR326" s="1021"/>
      <c r="AS326" s="1021"/>
      <c r="AT326" s="1021"/>
      <c r="AU326" s="1021"/>
      <c r="AV326" s="1021"/>
      <c r="AW326" s="1021"/>
      <c r="AX326" s="1021"/>
      <c r="AY326" s="1021"/>
      <c r="AZ326" s="1021"/>
      <c r="BA326" s="1021"/>
      <c r="BB326" s="1021"/>
      <c r="BC326" s="1021"/>
      <c r="BD326" s="1021"/>
      <c r="BE326" s="1021"/>
      <c r="BF326" s="1021"/>
      <c r="BG326" s="1021"/>
      <c r="BH326" s="1021"/>
      <c r="BI326" s="1021"/>
      <c r="BJ326" s="1021"/>
      <c r="BK326" s="1021"/>
      <c r="BL326" s="1021"/>
      <c r="BM326" s="1021"/>
      <c r="BN326" s="1021"/>
      <c r="BO326" s="1021"/>
      <c r="BP326" s="1021"/>
      <c r="BQ326" s="1021"/>
      <c r="BR326" s="1021"/>
      <c r="BS326" s="1021"/>
      <c r="BT326" s="1021"/>
      <c r="BU326" s="1021"/>
      <c r="BV326" s="1021"/>
      <c r="BW326" s="1021"/>
      <c r="BX326" s="1021"/>
      <c r="BY326" s="1021"/>
      <c r="BZ326" s="1021"/>
      <c r="CA326" s="1021"/>
      <c r="CB326" s="1021"/>
      <c r="CC326" s="1021"/>
    </row>
    <row r="327" spans="8:81" x14ac:dyDescent="0.25">
      <c r="H327" s="1021"/>
      <c r="I327" s="1021"/>
      <c r="J327" s="1021"/>
      <c r="K327" s="1021"/>
      <c r="L327" s="1021"/>
      <c r="M327" s="1021"/>
      <c r="N327" s="1021"/>
      <c r="O327" s="1021"/>
      <c r="P327" s="1021"/>
      <c r="Q327" s="1021"/>
      <c r="R327" s="1021"/>
      <c r="S327" s="1021"/>
      <c r="T327" s="1021"/>
      <c r="U327" s="1021"/>
      <c r="V327" s="1021"/>
      <c r="W327" s="1021"/>
      <c r="X327" s="1021"/>
      <c r="Y327" s="1021"/>
      <c r="Z327" s="1021"/>
      <c r="AA327" s="1021"/>
      <c r="AB327" s="1021"/>
      <c r="AC327" s="1021"/>
      <c r="AD327" s="1021"/>
      <c r="AE327" s="1021"/>
      <c r="AF327" s="1021"/>
      <c r="AG327" s="1021"/>
      <c r="AH327" s="1021"/>
      <c r="AI327" s="1021"/>
      <c r="AJ327" s="1021"/>
      <c r="AK327" s="1021"/>
      <c r="AL327" s="1021"/>
      <c r="AM327" s="1021"/>
      <c r="AN327" s="1021"/>
      <c r="AO327" s="1021"/>
      <c r="AP327" s="1021"/>
      <c r="AQ327" s="1021"/>
      <c r="AR327" s="1021"/>
      <c r="AS327" s="1021"/>
      <c r="AT327" s="1021"/>
      <c r="AU327" s="1021"/>
      <c r="AV327" s="1021"/>
      <c r="AW327" s="1021"/>
      <c r="AX327" s="1021"/>
      <c r="AY327" s="1021"/>
      <c r="AZ327" s="1021"/>
      <c r="BA327" s="1021"/>
      <c r="BB327" s="1021"/>
      <c r="BC327" s="1021"/>
      <c r="BD327" s="1021"/>
      <c r="BE327" s="1021"/>
      <c r="BF327" s="1021"/>
      <c r="BG327" s="1021"/>
      <c r="BH327" s="1021"/>
      <c r="BI327" s="1021"/>
      <c r="BJ327" s="1021"/>
      <c r="BK327" s="1021"/>
      <c r="BL327" s="1021"/>
      <c r="BM327" s="1021"/>
      <c r="BN327" s="1021"/>
      <c r="BO327" s="1021"/>
      <c r="BP327" s="1021"/>
      <c r="BQ327" s="1021"/>
      <c r="BR327" s="1021"/>
      <c r="BS327" s="1021"/>
      <c r="BT327" s="1021"/>
      <c r="BU327" s="1021"/>
      <c r="BV327" s="1021"/>
      <c r="BW327" s="1021"/>
      <c r="BX327" s="1021"/>
      <c r="BY327" s="1021"/>
      <c r="BZ327" s="1021"/>
      <c r="CA327" s="1021"/>
      <c r="CB327" s="1021"/>
      <c r="CC327" s="1021"/>
    </row>
    <row r="328" spans="8:81" x14ac:dyDescent="0.25">
      <c r="H328" s="1021"/>
      <c r="I328" s="1021"/>
      <c r="J328" s="1021"/>
      <c r="K328" s="1021"/>
      <c r="L328" s="1021"/>
      <c r="M328" s="1021"/>
      <c r="N328" s="1021"/>
      <c r="O328" s="1021"/>
      <c r="P328" s="1021"/>
      <c r="Q328" s="1021"/>
      <c r="R328" s="1021"/>
      <c r="S328" s="1021"/>
      <c r="T328" s="1021"/>
      <c r="U328" s="1021"/>
      <c r="V328" s="1021"/>
      <c r="W328" s="1021"/>
      <c r="X328" s="1021"/>
      <c r="Y328" s="1021"/>
      <c r="Z328" s="1021"/>
      <c r="AA328" s="1021"/>
      <c r="AB328" s="1021"/>
      <c r="AC328" s="1021"/>
      <c r="AD328" s="1021"/>
      <c r="AE328" s="1021"/>
      <c r="AF328" s="1021"/>
      <c r="AG328" s="1021"/>
      <c r="AH328" s="1021"/>
      <c r="AI328" s="1021"/>
      <c r="AJ328" s="1021"/>
      <c r="AK328" s="1021"/>
      <c r="AL328" s="1021"/>
      <c r="AM328" s="1021"/>
      <c r="AN328" s="1021"/>
      <c r="AO328" s="1021"/>
      <c r="AP328" s="1021"/>
      <c r="AQ328" s="1021"/>
      <c r="AR328" s="1021"/>
      <c r="AS328" s="1021"/>
      <c r="AT328" s="1021"/>
      <c r="AU328" s="1021"/>
      <c r="AV328" s="1021"/>
      <c r="AW328" s="1021"/>
      <c r="AX328" s="1021"/>
      <c r="AY328" s="1021"/>
      <c r="AZ328" s="1021"/>
      <c r="BA328" s="1021"/>
      <c r="BB328" s="1021"/>
      <c r="BC328" s="1021"/>
      <c r="BD328" s="1021"/>
      <c r="BE328" s="1021"/>
      <c r="BF328" s="1021"/>
      <c r="BG328" s="1021"/>
      <c r="BH328" s="1021"/>
      <c r="BI328" s="1021"/>
      <c r="BJ328" s="1021"/>
      <c r="BK328" s="1021"/>
      <c r="BL328" s="1021"/>
      <c r="BM328" s="1021"/>
      <c r="BN328" s="1021"/>
      <c r="BO328" s="1021"/>
      <c r="BP328" s="1021"/>
      <c r="BQ328" s="1021"/>
      <c r="BR328" s="1021"/>
      <c r="BS328" s="1021"/>
      <c r="BT328" s="1021"/>
      <c r="BU328" s="1021"/>
      <c r="BV328" s="1021"/>
      <c r="BW328" s="1021"/>
      <c r="BX328" s="1021"/>
      <c r="BY328" s="1021"/>
      <c r="BZ328" s="1021"/>
      <c r="CA328" s="1021"/>
      <c r="CB328" s="1021"/>
      <c r="CC328" s="1021"/>
    </row>
    <row r="329" spans="8:81" x14ac:dyDescent="0.25">
      <c r="H329" s="1021"/>
      <c r="I329" s="1021"/>
      <c r="J329" s="1021"/>
      <c r="K329" s="1021"/>
      <c r="L329" s="1021"/>
      <c r="M329" s="1021"/>
      <c r="N329" s="1021"/>
      <c r="O329" s="1021"/>
      <c r="P329" s="1021"/>
      <c r="Q329" s="1021"/>
      <c r="R329" s="1021"/>
      <c r="S329" s="1021"/>
      <c r="T329" s="1021"/>
      <c r="U329" s="1021"/>
      <c r="V329" s="1021"/>
      <c r="W329" s="1021"/>
      <c r="X329" s="1021"/>
      <c r="Y329" s="1021"/>
      <c r="Z329" s="1021"/>
      <c r="AA329" s="1021"/>
      <c r="AB329" s="1021"/>
      <c r="AC329" s="1021"/>
      <c r="AD329" s="1021"/>
      <c r="AE329" s="1021"/>
      <c r="AF329" s="1021"/>
      <c r="AG329" s="1021"/>
      <c r="AH329" s="1021"/>
      <c r="AI329" s="1021"/>
      <c r="AJ329" s="1021"/>
      <c r="AK329" s="1021"/>
      <c r="AL329" s="1021"/>
      <c r="AM329" s="1021"/>
      <c r="AN329" s="1021"/>
      <c r="AO329" s="1021"/>
      <c r="AP329" s="1021"/>
      <c r="AQ329" s="1021"/>
      <c r="AR329" s="1021"/>
      <c r="AS329" s="1021"/>
      <c r="AT329" s="1021"/>
      <c r="AU329" s="1021"/>
      <c r="AV329" s="1021"/>
      <c r="AW329" s="1021"/>
      <c r="AX329" s="1021"/>
      <c r="AY329" s="1021"/>
      <c r="AZ329" s="1021"/>
      <c r="BA329" s="1021"/>
      <c r="BB329" s="1021"/>
      <c r="BC329" s="1021"/>
      <c r="BD329" s="1021"/>
      <c r="BE329" s="1021"/>
      <c r="BF329" s="1021"/>
      <c r="BG329" s="1021"/>
      <c r="BH329" s="1021"/>
      <c r="BI329" s="1021"/>
      <c r="BJ329" s="1021"/>
      <c r="BK329" s="1021"/>
      <c r="BL329" s="1021"/>
      <c r="BM329" s="1021"/>
      <c r="BN329" s="1021"/>
      <c r="BO329" s="1021"/>
      <c r="BP329" s="1021"/>
      <c r="BQ329" s="1021"/>
      <c r="BR329" s="1021"/>
      <c r="BS329" s="1021"/>
      <c r="BT329" s="1021"/>
      <c r="BU329" s="1021"/>
      <c r="BV329" s="1021"/>
      <c r="BW329" s="1021"/>
      <c r="BX329" s="1021"/>
      <c r="BY329" s="1021"/>
      <c r="BZ329" s="1021"/>
      <c r="CA329" s="1021"/>
      <c r="CB329" s="1021"/>
      <c r="CC329" s="1021"/>
    </row>
    <row r="330" spans="8:81" x14ac:dyDescent="0.25">
      <c r="H330" s="1021"/>
      <c r="I330" s="1021"/>
      <c r="J330" s="1021"/>
      <c r="K330" s="1021"/>
      <c r="L330" s="1021"/>
      <c r="M330" s="1021"/>
      <c r="N330" s="1021"/>
      <c r="O330" s="1021"/>
      <c r="P330" s="1021"/>
      <c r="Q330" s="1021"/>
      <c r="R330" s="1021"/>
      <c r="S330" s="1021"/>
      <c r="T330" s="1021"/>
      <c r="U330" s="1021"/>
      <c r="V330" s="1021"/>
      <c r="W330" s="1021"/>
      <c r="X330" s="1021"/>
      <c r="Y330" s="1021"/>
      <c r="Z330" s="1021"/>
      <c r="AA330" s="1021"/>
      <c r="AB330" s="1021"/>
      <c r="AC330" s="1021"/>
      <c r="AD330" s="1021"/>
      <c r="AE330" s="1021"/>
      <c r="AF330" s="1021"/>
      <c r="AG330" s="1021"/>
      <c r="AH330" s="1021"/>
      <c r="AI330" s="1021"/>
      <c r="AJ330" s="1021"/>
      <c r="AK330" s="1021"/>
      <c r="AL330" s="1021"/>
      <c r="AM330" s="1021"/>
      <c r="AN330" s="1021"/>
      <c r="AO330" s="1021"/>
      <c r="AP330" s="1021"/>
      <c r="AQ330" s="1021"/>
      <c r="AR330" s="1021"/>
      <c r="AS330" s="1021"/>
      <c r="AT330" s="1021"/>
      <c r="AU330" s="1021"/>
      <c r="AV330" s="1021"/>
      <c r="AW330" s="1021"/>
      <c r="AX330" s="1021"/>
      <c r="AY330" s="1021"/>
      <c r="AZ330" s="1021"/>
      <c r="BA330" s="1021"/>
      <c r="BB330" s="1021"/>
      <c r="BC330" s="1021"/>
      <c r="BD330" s="1021"/>
      <c r="BE330" s="1021"/>
      <c r="BF330" s="1021"/>
      <c r="BG330" s="1021"/>
      <c r="BH330" s="1021"/>
      <c r="BI330" s="1021"/>
      <c r="BJ330" s="1021"/>
      <c r="BK330" s="1021"/>
      <c r="BL330" s="1021"/>
      <c r="BM330" s="1021"/>
      <c r="BN330" s="1021"/>
      <c r="BO330" s="1021"/>
      <c r="BP330" s="1021"/>
      <c r="BQ330" s="1021"/>
      <c r="BR330" s="1021"/>
      <c r="BS330" s="1021"/>
      <c r="BT330" s="1021"/>
      <c r="BU330" s="1021"/>
      <c r="BV330" s="1021"/>
      <c r="BW330" s="1021"/>
      <c r="BX330" s="1021"/>
      <c r="BY330" s="1021"/>
      <c r="BZ330" s="1021"/>
      <c r="CA330" s="1021"/>
      <c r="CB330" s="1021"/>
      <c r="CC330" s="1021"/>
    </row>
    <row r="331" spans="8:81" x14ac:dyDescent="0.25">
      <c r="H331" s="1021"/>
      <c r="I331" s="1021"/>
      <c r="J331" s="1021"/>
      <c r="K331" s="1021"/>
      <c r="L331" s="1021"/>
      <c r="M331" s="1021"/>
      <c r="N331" s="1021"/>
      <c r="O331" s="1021"/>
      <c r="P331" s="1021"/>
      <c r="Q331" s="1021"/>
      <c r="R331" s="1021"/>
      <c r="S331" s="1021"/>
      <c r="T331" s="1021"/>
      <c r="U331" s="1021"/>
      <c r="V331" s="1021"/>
      <c r="W331" s="1021"/>
      <c r="X331" s="1021"/>
      <c r="Y331" s="1021"/>
      <c r="Z331" s="1021"/>
      <c r="AA331" s="1021"/>
      <c r="AB331" s="1021"/>
      <c r="AC331" s="1021"/>
      <c r="AD331" s="1021"/>
      <c r="AE331" s="1021"/>
      <c r="AF331" s="1021"/>
      <c r="AG331" s="1021"/>
      <c r="AH331" s="1021"/>
      <c r="AI331" s="1021"/>
      <c r="AJ331" s="1021"/>
      <c r="AK331" s="1021"/>
      <c r="AL331" s="1021"/>
      <c r="AM331" s="1021"/>
      <c r="AN331" s="1021"/>
      <c r="AO331" s="1021"/>
      <c r="AP331" s="1021"/>
      <c r="AQ331" s="1021"/>
      <c r="AR331" s="1021"/>
      <c r="AS331" s="1021"/>
      <c r="AT331" s="1021"/>
      <c r="AU331" s="1021"/>
      <c r="AV331" s="1021"/>
      <c r="AW331" s="1021"/>
      <c r="AX331" s="1021"/>
      <c r="AY331" s="1021"/>
      <c r="AZ331" s="1021"/>
      <c r="BA331" s="1021"/>
      <c r="BB331" s="1021"/>
      <c r="BC331" s="1021"/>
      <c r="BD331" s="1021"/>
      <c r="BE331" s="1021"/>
      <c r="BF331" s="1021"/>
      <c r="BG331" s="1021"/>
      <c r="BH331" s="1021"/>
      <c r="BI331" s="1021"/>
      <c r="BJ331" s="1021"/>
      <c r="BK331" s="1021"/>
      <c r="BL331" s="1021"/>
      <c r="BM331" s="1021"/>
      <c r="BN331" s="1021"/>
      <c r="BO331" s="1021"/>
      <c r="BP331" s="1021"/>
      <c r="BQ331" s="1021"/>
      <c r="BR331" s="1021"/>
      <c r="BS331" s="1021"/>
      <c r="BT331" s="1021"/>
      <c r="BU331" s="1021"/>
      <c r="BV331" s="1021"/>
      <c r="BW331" s="1021"/>
      <c r="BX331" s="1021"/>
      <c r="BY331" s="1021"/>
      <c r="BZ331" s="1021"/>
      <c r="CA331" s="1021"/>
      <c r="CB331" s="1021"/>
      <c r="CC331" s="1021"/>
    </row>
    <row r="332" spans="8:81" x14ac:dyDescent="0.25">
      <c r="H332" s="1021"/>
      <c r="I332" s="1021"/>
      <c r="J332" s="1021"/>
      <c r="K332" s="1021"/>
      <c r="L332" s="1021"/>
      <c r="M332" s="1021"/>
      <c r="N332" s="1021"/>
      <c r="O332" s="1021"/>
      <c r="P332" s="1021"/>
      <c r="Q332" s="1021"/>
      <c r="R332" s="1021"/>
      <c r="S332" s="1021"/>
      <c r="T332" s="1021"/>
      <c r="U332" s="1021"/>
      <c r="V332" s="1021"/>
      <c r="W332" s="1021"/>
      <c r="X332" s="1021"/>
      <c r="Y332" s="1021"/>
      <c r="Z332" s="1021"/>
      <c r="AA332" s="1021"/>
      <c r="AB332" s="1021"/>
      <c r="AC332" s="1021"/>
      <c r="AD332" s="1021"/>
      <c r="AE332" s="1021"/>
      <c r="AF332" s="1021"/>
      <c r="AG332" s="1021"/>
      <c r="AH332" s="1021"/>
      <c r="AI332" s="1021"/>
      <c r="AJ332" s="1021"/>
      <c r="AK332" s="1021"/>
      <c r="AL332" s="1021"/>
      <c r="AM332" s="1021"/>
      <c r="AN332" s="1021"/>
      <c r="AO332" s="1021"/>
      <c r="AP332" s="1021"/>
      <c r="AQ332" s="1021"/>
      <c r="AR332" s="1021"/>
      <c r="AS332" s="1021"/>
      <c r="AT332" s="1021"/>
      <c r="AU332" s="1021"/>
      <c r="AV332" s="1021"/>
      <c r="AW332" s="1021"/>
      <c r="AX332" s="1021"/>
      <c r="AY332" s="1021"/>
      <c r="AZ332" s="1021"/>
      <c r="BA332" s="1021"/>
      <c r="BB332" s="1021"/>
      <c r="BC332" s="1021"/>
      <c r="BD332" s="1021"/>
      <c r="BE332" s="1021"/>
      <c r="BF332" s="1021"/>
      <c r="BG332" s="1021"/>
      <c r="BH332" s="1021"/>
      <c r="BI332" s="1021"/>
      <c r="BJ332" s="1021"/>
      <c r="BK332" s="1021"/>
      <c r="BL332" s="1021"/>
      <c r="BM332" s="1021"/>
      <c r="BN332" s="1021"/>
      <c r="BO332" s="1021"/>
      <c r="BP332" s="1021"/>
      <c r="BQ332" s="1021"/>
      <c r="BR332" s="1021"/>
      <c r="BS332" s="1021"/>
      <c r="BT332" s="1021"/>
      <c r="BU332" s="1021"/>
      <c r="BV332" s="1021"/>
      <c r="BW332" s="1021"/>
      <c r="BX332" s="1021"/>
      <c r="BY332" s="1021"/>
      <c r="BZ332" s="1021"/>
      <c r="CA332" s="1021"/>
      <c r="CB332" s="1021"/>
      <c r="CC332" s="1021"/>
    </row>
    <row r="333" spans="8:81" x14ac:dyDescent="0.25">
      <c r="H333" s="1021"/>
      <c r="I333" s="1021"/>
      <c r="J333" s="1021"/>
      <c r="K333" s="1021"/>
      <c r="L333" s="1021"/>
      <c r="M333" s="1021"/>
      <c r="N333" s="1021"/>
      <c r="O333" s="1021"/>
      <c r="P333" s="1021"/>
      <c r="Q333" s="1021"/>
      <c r="R333" s="1021"/>
      <c r="S333" s="1021"/>
      <c r="T333" s="1021"/>
      <c r="U333" s="1021"/>
      <c r="V333" s="1021"/>
      <c r="W333" s="1021"/>
      <c r="X333" s="1021"/>
      <c r="Y333" s="1021"/>
      <c r="Z333" s="1021"/>
      <c r="AA333" s="1021"/>
      <c r="AB333" s="1021"/>
      <c r="AC333" s="1021"/>
      <c r="AD333" s="1021"/>
      <c r="AE333" s="1021"/>
      <c r="AF333" s="1021"/>
      <c r="AG333" s="1021"/>
      <c r="AH333" s="1021"/>
      <c r="AI333" s="1021"/>
      <c r="AJ333" s="1021"/>
      <c r="AK333" s="1021"/>
      <c r="AL333" s="1021"/>
      <c r="AM333" s="1021"/>
      <c r="AN333" s="1021"/>
      <c r="AO333" s="1021"/>
      <c r="AP333" s="1021"/>
      <c r="AQ333" s="1021"/>
      <c r="AR333" s="1021"/>
      <c r="AS333" s="1021"/>
      <c r="AT333" s="1021"/>
      <c r="AU333" s="1021"/>
      <c r="AV333" s="1021"/>
      <c r="AW333" s="1021"/>
      <c r="AX333" s="1021"/>
      <c r="AY333" s="1021"/>
      <c r="AZ333" s="1021"/>
      <c r="BA333" s="1021"/>
      <c r="BB333" s="1021"/>
      <c r="BC333" s="1021"/>
      <c r="BD333" s="1021"/>
      <c r="BE333" s="1021"/>
      <c r="BF333" s="1021"/>
      <c r="BG333" s="1021"/>
      <c r="BH333" s="1021"/>
      <c r="BI333" s="1021"/>
      <c r="BJ333" s="1021"/>
      <c r="BK333" s="1021"/>
      <c r="BL333" s="1021"/>
      <c r="BM333" s="1021"/>
      <c r="BN333" s="1021"/>
      <c r="BO333" s="1021"/>
      <c r="BP333" s="1021"/>
      <c r="BQ333" s="1021"/>
      <c r="BR333" s="1021"/>
      <c r="BS333" s="1021"/>
      <c r="BT333" s="1021"/>
      <c r="BU333" s="1021"/>
      <c r="BV333" s="1021"/>
      <c r="BW333" s="1021"/>
      <c r="BX333" s="1021"/>
      <c r="BY333" s="1021"/>
      <c r="BZ333" s="1021"/>
      <c r="CA333" s="1021"/>
      <c r="CB333" s="1021"/>
      <c r="CC333" s="1021"/>
    </row>
    <row r="334" spans="8:81" x14ac:dyDescent="0.25">
      <c r="H334" s="1021"/>
      <c r="I334" s="1021"/>
      <c r="J334" s="1021"/>
      <c r="K334" s="1021"/>
      <c r="L334" s="1021"/>
      <c r="M334" s="1021"/>
      <c r="N334" s="1021"/>
      <c r="O334" s="1021"/>
      <c r="P334" s="1021"/>
      <c r="Q334" s="1021"/>
      <c r="R334" s="1021"/>
      <c r="S334" s="1021"/>
      <c r="T334" s="1021"/>
      <c r="U334" s="1021"/>
      <c r="V334" s="1021"/>
      <c r="W334" s="1021"/>
      <c r="X334" s="1021"/>
      <c r="Y334" s="1021"/>
      <c r="Z334" s="1021"/>
      <c r="AA334" s="1021"/>
      <c r="AB334" s="1021"/>
      <c r="AC334" s="1021"/>
      <c r="AD334" s="1021"/>
      <c r="AE334" s="1021"/>
      <c r="AF334" s="1021"/>
      <c r="AG334" s="1021"/>
      <c r="AH334" s="1021"/>
      <c r="AI334" s="1021"/>
      <c r="AJ334" s="1021"/>
      <c r="AK334" s="1021"/>
      <c r="AL334" s="1021"/>
      <c r="AM334" s="1021"/>
      <c r="AN334" s="1021"/>
      <c r="AO334" s="1021"/>
      <c r="AP334" s="1021"/>
      <c r="AQ334" s="1021"/>
      <c r="AR334" s="1021"/>
      <c r="AS334" s="1021"/>
      <c r="AT334" s="1021"/>
      <c r="AU334" s="1021"/>
      <c r="AV334" s="1021"/>
      <c r="AW334" s="1021"/>
      <c r="AX334" s="1021"/>
      <c r="AY334" s="1021"/>
      <c r="AZ334" s="1021"/>
      <c r="BA334" s="1021"/>
      <c r="BB334" s="1021"/>
      <c r="BC334" s="1021"/>
      <c r="BD334" s="1021"/>
      <c r="BE334" s="1021"/>
      <c r="BF334" s="1021"/>
      <c r="BG334" s="1021"/>
      <c r="BH334" s="1021"/>
      <c r="BI334" s="1021"/>
      <c r="BJ334" s="1021"/>
      <c r="BK334" s="1021"/>
      <c r="BL334" s="1021"/>
      <c r="BM334" s="1021"/>
      <c r="BN334" s="1021"/>
      <c r="BO334" s="1021"/>
      <c r="BP334" s="1021"/>
      <c r="BQ334" s="1021"/>
      <c r="BR334" s="1021"/>
      <c r="BS334" s="1021"/>
      <c r="BT334" s="1021"/>
      <c r="BU334" s="1021"/>
      <c r="BV334" s="1021"/>
      <c r="BW334" s="1021"/>
      <c r="BX334" s="1021"/>
      <c r="BY334" s="1021"/>
      <c r="BZ334" s="1021"/>
      <c r="CA334" s="1021"/>
      <c r="CB334" s="1021"/>
      <c r="CC334" s="1021"/>
    </row>
    <row r="335" spans="8:81" x14ac:dyDescent="0.25">
      <c r="H335" s="1021"/>
      <c r="I335" s="1021"/>
      <c r="J335" s="1021"/>
      <c r="K335" s="1021"/>
      <c r="L335" s="1021"/>
      <c r="M335" s="1021"/>
      <c r="N335" s="1021"/>
      <c r="O335" s="1021"/>
      <c r="P335" s="1021"/>
      <c r="Q335" s="1021"/>
      <c r="R335" s="1021"/>
      <c r="S335" s="1021"/>
      <c r="T335" s="1021"/>
      <c r="U335" s="1021"/>
      <c r="V335" s="1021"/>
      <c r="W335" s="1021"/>
      <c r="X335" s="1021"/>
      <c r="Y335" s="1021"/>
      <c r="Z335" s="1021"/>
      <c r="AA335" s="1021"/>
      <c r="AB335" s="1021"/>
      <c r="AC335" s="1021"/>
      <c r="AD335" s="1021"/>
      <c r="AE335" s="1021"/>
      <c r="AF335" s="1021"/>
      <c r="AG335" s="1021"/>
      <c r="AH335" s="1021"/>
      <c r="AI335" s="1021"/>
      <c r="AJ335" s="1021"/>
      <c r="AK335" s="1021"/>
      <c r="AL335" s="1021"/>
      <c r="AM335" s="1021"/>
      <c r="AN335" s="1021"/>
      <c r="AO335" s="1021"/>
      <c r="AP335" s="1021"/>
      <c r="AQ335" s="1021"/>
      <c r="AR335" s="1021"/>
      <c r="AS335" s="1021"/>
      <c r="AT335" s="1021"/>
      <c r="AU335" s="1021"/>
      <c r="AV335" s="1021"/>
      <c r="AW335" s="1021"/>
      <c r="AX335" s="1021"/>
      <c r="AY335" s="1021"/>
      <c r="AZ335" s="1021"/>
      <c r="BA335" s="1021"/>
      <c r="BB335" s="1021"/>
      <c r="BC335" s="1021"/>
      <c r="BD335" s="1021"/>
      <c r="BE335" s="1021"/>
      <c r="BF335" s="1021"/>
      <c r="BG335" s="1021"/>
      <c r="BH335" s="1021"/>
      <c r="BI335" s="1021"/>
      <c r="BJ335" s="1021"/>
      <c r="BK335" s="1021"/>
      <c r="BL335" s="1021"/>
      <c r="BM335" s="1021"/>
      <c r="BN335" s="1021"/>
      <c r="BO335" s="1021"/>
      <c r="BP335" s="1021"/>
      <c r="BQ335" s="1021"/>
      <c r="BR335" s="1021"/>
      <c r="BS335" s="1021"/>
      <c r="BT335" s="1021"/>
      <c r="BU335" s="1021"/>
      <c r="BV335" s="1021"/>
      <c r="BW335" s="1021"/>
      <c r="BX335" s="1021"/>
      <c r="BY335" s="1021"/>
      <c r="BZ335" s="1021"/>
      <c r="CA335" s="1021"/>
      <c r="CB335" s="1021"/>
      <c r="CC335" s="1021"/>
    </row>
    <row r="336" spans="8:81" x14ac:dyDescent="0.25">
      <c r="H336" s="1021"/>
      <c r="I336" s="1021"/>
      <c r="J336" s="1021"/>
      <c r="K336" s="1021"/>
      <c r="L336" s="1021"/>
      <c r="M336" s="1021"/>
      <c r="N336" s="1021"/>
      <c r="O336" s="1021"/>
      <c r="P336" s="1021"/>
      <c r="Q336" s="1021"/>
      <c r="R336" s="1021"/>
      <c r="S336" s="1021"/>
      <c r="T336" s="1021"/>
      <c r="U336" s="1021"/>
      <c r="V336" s="1021"/>
      <c r="W336" s="1021"/>
      <c r="X336" s="1021"/>
      <c r="Y336" s="1021"/>
      <c r="Z336" s="1021"/>
      <c r="AA336" s="1021"/>
      <c r="AB336" s="1021"/>
      <c r="AC336" s="1021"/>
      <c r="AD336" s="1021"/>
      <c r="AE336" s="1021"/>
      <c r="AF336" s="1021"/>
      <c r="AG336" s="1021"/>
      <c r="AH336" s="1021"/>
      <c r="AI336" s="1021"/>
      <c r="AJ336" s="1021"/>
      <c r="AK336" s="1021"/>
      <c r="AL336" s="1021"/>
      <c r="AM336" s="1021"/>
      <c r="AN336" s="1021"/>
      <c r="AO336" s="1021"/>
      <c r="AP336" s="1021"/>
      <c r="AQ336" s="1021"/>
      <c r="AR336" s="1021"/>
      <c r="AS336" s="1021"/>
      <c r="AT336" s="1021"/>
      <c r="AU336" s="1021"/>
      <c r="AV336" s="1021"/>
      <c r="AW336" s="1021"/>
      <c r="AX336" s="1021"/>
      <c r="AY336" s="1021"/>
      <c r="AZ336" s="1021"/>
      <c r="BA336" s="1021"/>
      <c r="BB336" s="1021"/>
      <c r="BC336" s="1021"/>
      <c r="BD336" s="1021"/>
      <c r="BE336" s="1021"/>
      <c r="BF336" s="1021"/>
      <c r="BG336" s="1021"/>
      <c r="BH336" s="1021"/>
      <c r="BI336" s="1021"/>
      <c r="BJ336" s="1021"/>
      <c r="BK336" s="1021"/>
      <c r="BL336" s="1021"/>
      <c r="BM336" s="1021"/>
      <c r="BN336" s="1021"/>
      <c r="BO336" s="1021"/>
      <c r="BP336" s="1021"/>
      <c r="BQ336" s="1021"/>
      <c r="BR336" s="1021"/>
      <c r="BS336" s="1021"/>
      <c r="BT336" s="1021"/>
      <c r="BU336" s="1021"/>
      <c r="BV336" s="1021"/>
      <c r="BW336" s="1021"/>
      <c r="BX336" s="1021"/>
      <c r="BY336" s="1021"/>
      <c r="BZ336" s="1021"/>
      <c r="CA336" s="1021"/>
      <c r="CB336" s="1021"/>
      <c r="CC336" s="1021"/>
    </row>
    <row r="337" spans="8:81" x14ac:dyDescent="0.25">
      <c r="H337" s="1021"/>
      <c r="I337" s="1021"/>
      <c r="J337" s="1021"/>
      <c r="K337" s="1021"/>
      <c r="L337" s="1021"/>
      <c r="M337" s="1021"/>
      <c r="N337" s="1021"/>
      <c r="O337" s="1021"/>
      <c r="P337" s="1021"/>
      <c r="Q337" s="1021"/>
      <c r="R337" s="1021"/>
      <c r="S337" s="1021"/>
      <c r="T337" s="1021"/>
      <c r="U337" s="1021"/>
      <c r="V337" s="1021"/>
      <c r="W337" s="1021"/>
      <c r="X337" s="1021"/>
      <c r="Y337" s="1021"/>
      <c r="Z337" s="1021"/>
      <c r="AA337" s="1021"/>
      <c r="AB337" s="1021"/>
      <c r="AC337" s="1021"/>
      <c r="AD337" s="1021"/>
      <c r="AE337" s="1021"/>
      <c r="AF337" s="1021"/>
      <c r="AG337" s="1021"/>
      <c r="AH337" s="1021"/>
      <c r="AI337" s="1021"/>
      <c r="AJ337" s="1021"/>
      <c r="AK337" s="1021"/>
      <c r="AL337" s="1021"/>
      <c r="AM337" s="1021"/>
      <c r="AN337" s="1021"/>
      <c r="AO337" s="1021"/>
      <c r="AP337" s="1021"/>
      <c r="AQ337" s="1021"/>
      <c r="AR337" s="1021"/>
      <c r="AS337" s="1021"/>
      <c r="AT337" s="1021"/>
      <c r="AU337" s="1021"/>
      <c r="AV337" s="1021"/>
      <c r="AW337" s="1021"/>
      <c r="AX337" s="1021"/>
      <c r="AY337" s="1021"/>
      <c r="AZ337" s="1021"/>
      <c r="BA337" s="1021"/>
      <c r="BB337" s="1021"/>
      <c r="BC337" s="1021"/>
      <c r="BD337" s="1021"/>
      <c r="BE337" s="1021"/>
      <c r="BF337" s="1021"/>
      <c r="BG337" s="1021"/>
      <c r="BH337" s="1021"/>
      <c r="BI337" s="1021"/>
      <c r="BJ337" s="1021"/>
      <c r="BK337" s="1021"/>
      <c r="BL337" s="1021"/>
      <c r="BM337" s="1021"/>
      <c r="BN337" s="1021"/>
      <c r="BO337" s="1021"/>
      <c r="BP337" s="1021"/>
      <c r="BQ337" s="1021"/>
      <c r="BR337" s="1021"/>
      <c r="BS337" s="1021"/>
      <c r="BT337" s="1021"/>
      <c r="BU337" s="1021"/>
      <c r="BV337" s="1021"/>
      <c r="BW337" s="1021"/>
      <c r="BX337" s="1021"/>
      <c r="BY337" s="1021"/>
      <c r="BZ337" s="1021"/>
      <c r="CA337" s="1021"/>
      <c r="CB337" s="1021"/>
      <c r="CC337" s="1021"/>
    </row>
    <row r="338" spans="8:81" x14ac:dyDescent="0.25">
      <c r="H338" s="1021"/>
      <c r="I338" s="1021"/>
      <c r="J338" s="1021"/>
      <c r="K338" s="1021"/>
      <c r="L338" s="1021"/>
      <c r="M338" s="1021"/>
      <c r="N338" s="1021"/>
      <c r="O338" s="1021"/>
      <c r="P338" s="1021"/>
      <c r="Q338" s="1021"/>
      <c r="R338" s="1021"/>
      <c r="S338" s="1021"/>
      <c r="T338" s="1021"/>
      <c r="U338" s="1021"/>
      <c r="V338" s="1021"/>
      <c r="W338" s="1021"/>
      <c r="X338" s="1021"/>
      <c r="Y338" s="1021"/>
      <c r="Z338" s="1021"/>
      <c r="AA338" s="1021"/>
      <c r="AB338" s="1021"/>
      <c r="AC338" s="1021"/>
      <c r="AD338" s="1021"/>
      <c r="AE338" s="1021"/>
      <c r="AF338" s="1021"/>
      <c r="AG338" s="1021"/>
      <c r="AH338" s="1021"/>
      <c r="AI338" s="1021"/>
      <c r="AJ338" s="1021"/>
      <c r="AK338" s="1021"/>
      <c r="AL338" s="1021"/>
      <c r="AM338" s="1021"/>
      <c r="AN338" s="1021"/>
      <c r="AO338" s="1021"/>
      <c r="AP338" s="1021"/>
      <c r="AQ338" s="1021"/>
      <c r="AR338" s="1021"/>
      <c r="AS338" s="1021"/>
      <c r="AT338" s="1021"/>
      <c r="AU338" s="1021"/>
      <c r="AV338" s="1021"/>
      <c r="AW338" s="1021"/>
      <c r="AX338" s="1021"/>
      <c r="AY338" s="1021"/>
      <c r="AZ338" s="1021"/>
      <c r="BA338" s="1021"/>
      <c r="BB338" s="1021"/>
      <c r="BC338" s="1021"/>
      <c r="BD338" s="1021"/>
      <c r="BE338" s="1021"/>
      <c r="BF338" s="1021"/>
      <c r="BG338" s="1021"/>
      <c r="BH338" s="1021"/>
      <c r="BI338" s="1021"/>
      <c r="BJ338" s="1021"/>
      <c r="BK338" s="1021"/>
      <c r="BL338" s="1021"/>
      <c r="BM338" s="1021"/>
      <c r="BN338" s="1021"/>
      <c r="BO338" s="1021"/>
      <c r="BP338" s="1021"/>
      <c r="BQ338" s="1021"/>
      <c r="BR338" s="1021"/>
      <c r="BS338" s="1021"/>
      <c r="BT338" s="1021"/>
      <c r="BU338" s="1021"/>
      <c r="BV338" s="1021"/>
      <c r="BW338" s="1021"/>
      <c r="BX338" s="1021"/>
      <c r="BY338" s="1021"/>
      <c r="BZ338" s="1021"/>
      <c r="CA338" s="1021"/>
      <c r="CB338" s="1021"/>
      <c r="CC338" s="1021"/>
    </row>
    <row r="339" spans="8:81" x14ac:dyDescent="0.25">
      <c r="H339" s="1021"/>
      <c r="I339" s="1021"/>
      <c r="J339" s="1021"/>
      <c r="K339" s="1021"/>
      <c r="L339" s="1021"/>
      <c r="M339" s="1021"/>
      <c r="N339" s="1021"/>
      <c r="O339" s="1021"/>
      <c r="P339" s="1021"/>
      <c r="Q339" s="1021"/>
      <c r="R339" s="1021"/>
      <c r="S339" s="1021"/>
      <c r="T339" s="1021"/>
      <c r="U339" s="1021"/>
      <c r="V339" s="1021"/>
      <c r="W339" s="1021"/>
      <c r="X339" s="1021"/>
      <c r="Y339" s="1021"/>
      <c r="Z339" s="1021"/>
      <c r="AA339" s="1021"/>
      <c r="AB339" s="1021"/>
      <c r="AC339" s="1021"/>
      <c r="AD339" s="1021"/>
      <c r="AE339" s="1021"/>
      <c r="AF339" s="1021"/>
      <c r="AG339" s="1021"/>
      <c r="AH339" s="1021"/>
      <c r="AI339" s="1021"/>
      <c r="AJ339" s="1021"/>
      <c r="AK339" s="1021"/>
      <c r="AL339" s="1021"/>
      <c r="AM339" s="1021"/>
      <c r="AN339" s="1021"/>
      <c r="AO339" s="1021"/>
      <c r="AP339" s="1021"/>
      <c r="AQ339" s="1021"/>
      <c r="AR339" s="1021"/>
      <c r="AS339" s="1021"/>
      <c r="AT339" s="1021"/>
      <c r="AU339" s="1021"/>
      <c r="AV339" s="1021"/>
      <c r="AW339" s="1021"/>
      <c r="AX339" s="1021"/>
      <c r="AY339" s="1021"/>
      <c r="AZ339" s="1021"/>
      <c r="BA339" s="1021"/>
      <c r="BB339" s="1021"/>
      <c r="BC339" s="1021"/>
      <c r="BD339" s="1021"/>
      <c r="BE339" s="1021"/>
      <c r="BF339" s="1021"/>
      <c r="BG339" s="1021"/>
      <c r="BH339" s="1021"/>
      <c r="BI339" s="1021"/>
      <c r="BJ339" s="1021"/>
      <c r="BK339" s="1021"/>
      <c r="BL339" s="1021"/>
      <c r="BM339" s="1021"/>
      <c r="BN339" s="1021"/>
      <c r="BO339" s="1021"/>
      <c r="BP339" s="1021"/>
      <c r="BQ339" s="1021"/>
      <c r="BR339" s="1021"/>
      <c r="BS339" s="1021"/>
      <c r="BT339" s="1021"/>
      <c r="BU339" s="1021"/>
      <c r="BV339" s="1021"/>
      <c r="BW339" s="1021"/>
      <c r="BX339" s="1021"/>
      <c r="BY339" s="1021"/>
      <c r="BZ339" s="1021"/>
      <c r="CA339" s="1021"/>
      <c r="CB339" s="1021"/>
      <c r="CC339" s="1021"/>
    </row>
    <row r="340" spans="8:81" x14ac:dyDescent="0.25">
      <c r="H340" s="1021"/>
      <c r="I340" s="1021"/>
      <c r="J340" s="1021"/>
      <c r="K340" s="1021"/>
      <c r="L340" s="1021"/>
      <c r="M340" s="1021"/>
      <c r="N340" s="1021"/>
      <c r="O340" s="1021"/>
      <c r="P340" s="1021"/>
      <c r="Q340" s="1021"/>
      <c r="R340" s="1021"/>
      <c r="S340" s="1021"/>
      <c r="T340" s="1021"/>
      <c r="U340" s="1021"/>
      <c r="V340" s="1021"/>
      <c r="W340" s="1021"/>
      <c r="X340" s="1021"/>
      <c r="Y340" s="1021"/>
      <c r="Z340" s="1021"/>
      <c r="AA340" s="1021"/>
      <c r="AB340" s="1021"/>
      <c r="AC340" s="1021"/>
      <c r="AD340" s="1021"/>
      <c r="AE340" s="1021"/>
      <c r="AF340" s="1021"/>
      <c r="AG340" s="1021"/>
      <c r="AH340" s="1021"/>
      <c r="AI340" s="1021"/>
      <c r="AJ340" s="1021"/>
      <c r="AK340" s="1021"/>
      <c r="AL340" s="1021"/>
      <c r="AM340" s="1021"/>
      <c r="AN340" s="1021"/>
      <c r="AO340" s="1021"/>
      <c r="AP340" s="1021"/>
      <c r="AQ340" s="1021"/>
      <c r="AR340" s="1021"/>
      <c r="AS340" s="1021"/>
      <c r="AT340" s="1021"/>
      <c r="AU340" s="1021"/>
      <c r="AV340" s="1021"/>
      <c r="AW340" s="1021"/>
      <c r="AX340" s="1021"/>
      <c r="AY340" s="1021"/>
      <c r="AZ340" s="1021"/>
      <c r="BA340" s="1021"/>
      <c r="BB340" s="1021"/>
      <c r="BC340" s="1021"/>
      <c r="BD340" s="1021"/>
      <c r="BE340" s="1021"/>
      <c r="BF340" s="1021"/>
      <c r="BG340" s="1021"/>
      <c r="BH340" s="1021"/>
      <c r="BI340" s="1021"/>
      <c r="BJ340" s="1021"/>
      <c r="BK340" s="1021"/>
      <c r="BL340" s="1021"/>
      <c r="BM340" s="1021"/>
      <c r="BN340" s="1021"/>
      <c r="BO340" s="1021"/>
      <c r="BP340" s="1021"/>
      <c r="BQ340" s="1021"/>
      <c r="BR340" s="1021"/>
      <c r="BS340" s="1021"/>
      <c r="BT340" s="1021"/>
      <c r="BU340" s="1021"/>
      <c r="BV340" s="1021"/>
      <c r="BW340" s="1021"/>
      <c r="BX340" s="1021"/>
      <c r="BY340" s="1021"/>
      <c r="BZ340" s="1021"/>
      <c r="CA340" s="1021"/>
      <c r="CB340" s="1021"/>
      <c r="CC340" s="1021"/>
    </row>
    <row r="341" spans="8:81" x14ac:dyDescent="0.25">
      <c r="H341" s="1021"/>
      <c r="I341" s="1021"/>
      <c r="J341" s="1021"/>
      <c r="K341" s="1021"/>
      <c r="L341" s="1021"/>
      <c r="M341" s="1021"/>
      <c r="N341" s="1021"/>
      <c r="O341" s="1021"/>
      <c r="P341" s="1021"/>
      <c r="Q341" s="1021"/>
      <c r="R341" s="1021"/>
      <c r="S341" s="1021"/>
      <c r="T341" s="1021"/>
      <c r="U341" s="1021"/>
      <c r="V341" s="1021"/>
      <c r="W341" s="1021"/>
      <c r="X341" s="1021"/>
      <c r="Y341" s="1021"/>
      <c r="Z341" s="1021"/>
      <c r="AA341" s="1021"/>
      <c r="AB341" s="1021"/>
      <c r="AC341" s="1021"/>
      <c r="AD341" s="1021"/>
      <c r="AE341" s="1021"/>
      <c r="AF341" s="1021"/>
      <c r="AG341" s="1021"/>
      <c r="AH341" s="1021"/>
      <c r="AI341" s="1021"/>
      <c r="AJ341" s="1021"/>
      <c r="AK341" s="1021"/>
      <c r="AL341" s="1021"/>
      <c r="AM341" s="1021"/>
      <c r="AN341" s="1021"/>
      <c r="AO341" s="1021"/>
      <c r="AP341" s="1021"/>
      <c r="AQ341" s="1021"/>
      <c r="AR341" s="1021"/>
      <c r="AS341" s="1021"/>
      <c r="AT341" s="1021"/>
      <c r="AU341" s="1021"/>
      <c r="AV341" s="1021"/>
      <c r="AW341" s="1021"/>
      <c r="AX341" s="1021"/>
      <c r="AY341" s="1021"/>
      <c r="AZ341" s="1021"/>
      <c r="BA341" s="1021"/>
      <c r="BB341" s="1021"/>
      <c r="BC341" s="1021"/>
      <c r="BD341" s="1021"/>
      <c r="BE341" s="1021"/>
      <c r="BF341" s="1021"/>
      <c r="BG341" s="1021"/>
      <c r="BH341" s="1021"/>
      <c r="BI341" s="1021"/>
      <c r="BJ341" s="1021"/>
      <c r="BK341" s="1021"/>
      <c r="BL341" s="1021"/>
      <c r="BM341" s="1021"/>
      <c r="BN341" s="1021"/>
      <c r="BO341" s="1021"/>
      <c r="BP341" s="1021"/>
      <c r="BQ341" s="1021"/>
      <c r="BR341" s="1021"/>
      <c r="BS341" s="1021"/>
      <c r="BT341" s="1021"/>
      <c r="BU341" s="1021"/>
      <c r="BV341" s="1021"/>
      <c r="BW341" s="1021"/>
      <c r="BX341" s="1021"/>
      <c r="BY341" s="1021"/>
      <c r="BZ341" s="1021"/>
      <c r="CA341" s="1021"/>
      <c r="CB341" s="1021"/>
      <c r="CC341" s="1021"/>
    </row>
    <row r="342" spans="8:81" x14ac:dyDescent="0.25">
      <c r="H342" s="1021"/>
      <c r="I342" s="1021"/>
      <c r="J342" s="1021"/>
      <c r="K342" s="1021"/>
      <c r="L342" s="1021"/>
      <c r="M342" s="1021"/>
      <c r="N342" s="1021"/>
      <c r="O342" s="1021"/>
      <c r="P342" s="1021"/>
      <c r="Q342" s="1021"/>
      <c r="R342" s="1021"/>
      <c r="S342" s="1021"/>
      <c r="T342" s="1021"/>
      <c r="U342" s="1021"/>
      <c r="V342" s="1021"/>
      <c r="W342" s="1021"/>
      <c r="X342" s="1021"/>
      <c r="Y342" s="1021"/>
      <c r="Z342" s="1021"/>
      <c r="AA342" s="1021"/>
      <c r="AB342" s="1021"/>
      <c r="AC342" s="1021"/>
      <c r="AD342" s="1021"/>
      <c r="AE342" s="1021"/>
      <c r="AF342" s="1021"/>
      <c r="AG342" s="1021"/>
      <c r="AH342" s="1021"/>
      <c r="AI342" s="1021"/>
      <c r="AJ342" s="1021"/>
      <c r="AK342" s="1021"/>
      <c r="AL342" s="1021"/>
      <c r="AM342" s="1021"/>
      <c r="AN342" s="1021"/>
      <c r="AO342" s="1021"/>
      <c r="AP342" s="1021"/>
      <c r="AQ342" s="1021"/>
      <c r="AR342" s="1021"/>
      <c r="AS342" s="1021"/>
      <c r="AT342" s="1021"/>
      <c r="AU342" s="1021"/>
      <c r="AV342" s="1021"/>
      <c r="AW342" s="1021"/>
      <c r="AX342" s="1021"/>
      <c r="AY342" s="1021"/>
      <c r="AZ342" s="1021"/>
      <c r="BA342" s="1021"/>
      <c r="BB342" s="1021"/>
      <c r="BC342" s="1021"/>
      <c r="BD342" s="1021"/>
      <c r="BE342" s="1021"/>
      <c r="BF342" s="1021"/>
      <c r="BG342" s="1021"/>
      <c r="BH342" s="1021"/>
      <c r="BI342" s="1021"/>
      <c r="BJ342" s="1021"/>
      <c r="BK342" s="1021"/>
      <c r="BL342" s="1021"/>
      <c r="BM342" s="1021"/>
      <c r="BN342" s="1021"/>
      <c r="BO342" s="1021"/>
      <c r="BP342" s="1021"/>
      <c r="BQ342" s="1021"/>
      <c r="BR342" s="1021"/>
      <c r="BS342" s="1021"/>
      <c r="BT342" s="1021"/>
      <c r="BU342" s="1021"/>
      <c r="BV342" s="1021"/>
      <c r="BW342" s="1021"/>
      <c r="BX342" s="1021"/>
      <c r="BY342" s="1021"/>
      <c r="BZ342" s="1021"/>
      <c r="CA342" s="1021"/>
      <c r="CB342" s="1021"/>
      <c r="CC342" s="1021"/>
    </row>
    <row r="343" spans="8:81" x14ac:dyDescent="0.25">
      <c r="H343" s="1021"/>
      <c r="I343" s="1021"/>
      <c r="J343" s="1021"/>
      <c r="K343" s="1021"/>
      <c r="L343" s="1021"/>
      <c r="M343" s="1021"/>
      <c r="N343" s="1021"/>
      <c r="O343" s="1021"/>
      <c r="P343" s="1021"/>
      <c r="Q343" s="1021"/>
      <c r="R343" s="1021"/>
      <c r="S343" s="1021"/>
      <c r="T343" s="1021"/>
      <c r="U343" s="1021"/>
      <c r="V343" s="1021"/>
      <c r="W343" s="1021"/>
      <c r="X343" s="1021"/>
      <c r="Y343" s="1021"/>
      <c r="Z343" s="1021"/>
      <c r="AA343" s="1021"/>
      <c r="AB343" s="1021"/>
      <c r="AC343" s="1021"/>
      <c r="AD343" s="1021"/>
      <c r="AE343" s="1021"/>
      <c r="AF343" s="1021"/>
      <c r="AG343" s="1021"/>
      <c r="AH343" s="1021"/>
      <c r="AI343" s="1021"/>
      <c r="AJ343" s="1021"/>
      <c r="AK343" s="1021"/>
      <c r="AL343" s="1021"/>
      <c r="AM343" s="1021"/>
      <c r="AN343" s="1021"/>
      <c r="AO343" s="1021"/>
      <c r="AP343" s="1021"/>
      <c r="AQ343" s="1021"/>
      <c r="AR343" s="1021"/>
      <c r="AS343" s="1021"/>
      <c r="AT343" s="1021"/>
      <c r="AU343" s="1021"/>
      <c r="AV343" s="1021"/>
      <c r="AW343" s="1021"/>
      <c r="AX343" s="1021"/>
      <c r="AY343" s="1021"/>
      <c r="AZ343" s="1021"/>
      <c r="BA343" s="1021"/>
      <c r="BB343" s="1021"/>
      <c r="BC343" s="1021"/>
      <c r="BD343" s="1021"/>
      <c r="BE343" s="1021"/>
      <c r="BF343" s="1021"/>
      <c r="BG343" s="1021"/>
      <c r="BH343" s="1021"/>
      <c r="BI343" s="1021"/>
      <c r="BJ343" s="1021"/>
      <c r="BK343" s="1021"/>
      <c r="BL343" s="1021"/>
      <c r="BM343" s="1021"/>
      <c r="BN343" s="1021"/>
      <c r="BO343" s="1021"/>
      <c r="BP343" s="1021"/>
      <c r="BQ343" s="1021"/>
      <c r="BR343" s="1021"/>
      <c r="BS343" s="1021"/>
      <c r="BT343" s="1021"/>
      <c r="BU343" s="1021"/>
      <c r="BV343" s="1021"/>
      <c r="BW343" s="1021"/>
      <c r="BX343" s="1021"/>
      <c r="BY343" s="1021"/>
      <c r="BZ343" s="1021"/>
      <c r="CA343" s="1021"/>
      <c r="CB343" s="1021"/>
      <c r="CC343" s="1021"/>
    </row>
    <row r="344" spans="8:81" x14ac:dyDescent="0.25">
      <c r="H344" s="1021"/>
      <c r="I344" s="1021"/>
      <c r="J344" s="1021"/>
      <c r="K344" s="1021"/>
      <c r="L344" s="1021"/>
      <c r="M344" s="1021"/>
      <c r="N344" s="1021"/>
      <c r="O344" s="1021"/>
      <c r="P344" s="1021"/>
      <c r="Q344" s="1021"/>
      <c r="R344" s="1021"/>
      <c r="S344" s="1021"/>
      <c r="T344" s="1021"/>
      <c r="U344" s="1021"/>
      <c r="V344" s="1021"/>
      <c r="W344" s="1021"/>
      <c r="X344" s="1021"/>
      <c r="Y344" s="1021"/>
      <c r="Z344" s="1021"/>
      <c r="AA344" s="1021"/>
      <c r="AB344" s="1021"/>
      <c r="AC344" s="1021"/>
      <c r="AD344" s="1021"/>
      <c r="AE344" s="1021"/>
      <c r="AF344" s="1021"/>
      <c r="AG344" s="1021"/>
      <c r="AH344" s="1021"/>
      <c r="AI344" s="1021"/>
      <c r="AJ344" s="1021"/>
      <c r="AK344" s="1021"/>
      <c r="AL344" s="1021"/>
      <c r="AM344" s="1021"/>
      <c r="AN344" s="1021"/>
      <c r="AO344" s="1021"/>
      <c r="AP344" s="1021"/>
      <c r="AQ344" s="1021"/>
      <c r="AR344" s="1021"/>
      <c r="AS344" s="1021"/>
      <c r="AT344" s="1021"/>
      <c r="AU344" s="1021"/>
      <c r="AV344" s="1021"/>
      <c r="AW344" s="1021"/>
      <c r="AX344" s="1021"/>
      <c r="AY344" s="1021"/>
      <c r="AZ344" s="1021"/>
      <c r="BA344" s="1021"/>
      <c r="BB344" s="1021"/>
      <c r="BC344" s="1021"/>
      <c r="BD344" s="1021"/>
      <c r="BE344" s="1021"/>
      <c r="BF344" s="1021"/>
      <c r="BG344" s="1021"/>
      <c r="BH344" s="1021"/>
      <c r="BI344" s="1021"/>
      <c r="BJ344" s="1021"/>
      <c r="BK344" s="1021"/>
      <c r="BL344" s="1021"/>
      <c r="BM344" s="1021"/>
      <c r="BN344" s="1021"/>
      <c r="BO344" s="1021"/>
      <c r="BP344" s="1021"/>
      <c r="BQ344" s="1021"/>
      <c r="BR344" s="1021"/>
      <c r="BS344" s="1021"/>
      <c r="BT344" s="1021"/>
      <c r="BU344" s="1021"/>
      <c r="BV344" s="1021"/>
      <c r="BW344" s="1021"/>
      <c r="BX344" s="1021"/>
      <c r="BY344" s="1021"/>
      <c r="BZ344" s="1021"/>
      <c r="CA344" s="1021"/>
      <c r="CB344" s="1021"/>
      <c r="CC344" s="1021"/>
    </row>
    <row r="345" spans="8:81" x14ac:dyDescent="0.25">
      <c r="H345" s="1021"/>
      <c r="I345" s="1021"/>
      <c r="J345" s="1021"/>
      <c r="K345" s="1021"/>
      <c r="L345" s="1021"/>
      <c r="M345" s="1021"/>
      <c r="N345" s="1021"/>
      <c r="O345" s="1021"/>
      <c r="P345" s="1021"/>
      <c r="Q345" s="1021"/>
      <c r="R345" s="1021"/>
      <c r="S345" s="1021"/>
      <c r="T345" s="1021"/>
      <c r="U345" s="1021"/>
      <c r="V345" s="1021"/>
      <c r="W345" s="1021"/>
      <c r="X345" s="1021"/>
      <c r="Y345" s="1021"/>
      <c r="Z345" s="1021"/>
      <c r="AA345" s="1021"/>
      <c r="AB345" s="1021"/>
      <c r="AC345" s="1021"/>
      <c r="AD345" s="1021"/>
      <c r="AE345" s="1021"/>
      <c r="AF345" s="1021"/>
      <c r="AG345" s="1021"/>
      <c r="AH345" s="1021"/>
      <c r="AI345" s="1021"/>
      <c r="AJ345" s="1021"/>
      <c r="AK345" s="1021"/>
      <c r="AL345" s="1021"/>
      <c r="AM345" s="1021"/>
      <c r="AN345" s="1021"/>
      <c r="AO345" s="1021"/>
      <c r="AP345" s="1021"/>
      <c r="AQ345" s="1021"/>
      <c r="AR345" s="1021"/>
      <c r="AS345" s="1021"/>
      <c r="AT345" s="1021"/>
      <c r="AU345" s="1021"/>
      <c r="AV345" s="1021"/>
      <c r="AW345" s="1021"/>
      <c r="AX345" s="1021"/>
      <c r="AY345" s="1021"/>
      <c r="AZ345" s="1021"/>
      <c r="BA345" s="1021"/>
      <c r="BB345" s="1021"/>
      <c r="BC345" s="1021"/>
      <c r="BD345" s="1021"/>
      <c r="BE345" s="1021"/>
      <c r="BF345" s="1021"/>
      <c r="BG345" s="1021"/>
      <c r="BH345" s="1021"/>
      <c r="BI345" s="1021"/>
      <c r="BJ345" s="1021"/>
      <c r="BK345" s="1021"/>
      <c r="BL345" s="1021"/>
      <c r="BM345" s="1021"/>
      <c r="BN345" s="1021"/>
      <c r="BO345" s="1021"/>
      <c r="BP345" s="1021"/>
      <c r="BQ345" s="1021"/>
      <c r="BR345" s="1021"/>
      <c r="BS345" s="1021"/>
      <c r="BT345" s="1021"/>
      <c r="BU345" s="1021"/>
      <c r="BV345" s="1021"/>
      <c r="BW345" s="1021"/>
      <c r="BX345" s="1021"/>
      <c r="BY345" s="1021"/>
      <c r="BZ345" s="1021"/>
      <c r="CA345" s="1021"/>
      <c r="CB345" s="1021"/>
      <c r="CC345" s="1021"/>
    </row>
    <row r="346" spans="8:81" x14ac:dyDescent="0.25">
      <c r="H346" s="1021"/>
      <c r="I346" s="1021"/>
      <c r="J346" s="1021"/>
      <c r="K346" s="1021"/>
      <c r="L346" s="1021"/>
      <c r="M346" s="1021"/>
      <c r="N346" s="1021"/>
      <c r="O346" s="1021"/>
      <c r="P346" s="1021"/>
      <c r="Q346" s="1021"/>
      <c r="R346" s="1021"/>
      <c r="S346" s="1021"/>
      <c r="T346" s="1021"/>
      <c r="U346" s="1021"/>
      <c r="V346" s="1021"/>
      <c r="W346" s="1021"/>
      <c r="X346" s="1021"/>
      <c r="Y346" s="1021"/>
      <c r="Z346" s="1021"/>
      <c r="AA346" s="1021"/>
      <c r="AB346" s="1021"/>
      <c r="AC346" s="1021"/>
      <c r="AD346" s="1021"/>
      <c r="AE346" s="1021"/>
      <c r="AF346" s="1021"/>
      <c r="AG346" s="1021"/>
      <c r="AH346" s="1021"/>
      <c r="AI346" s="1021"/>
      <c r="AJ346" s="1021"/>
      <c r="AK346" s="1021"/>
      <c r="AL346" s="1021"/>
      <c r="AM346" s="1021"/>
      <c r="AN346" s="1021"/>
      <c r="AO346" s="1021"/>
      <c r="AP346" s="1021"/>
      <c r="AQ346" s="1021"/>
      <c r="AR346" s="1021"/>
      <c r="AS346" s="1021"/>
      <c r="AT346" s="1021"/>
      <c r="AU346" s="1021"/>
      <c r="AV346" s="1021"/>
      <c r="AW346" s="1021"/>
      <c r="AX346" s="1021"/>
      <c r="AY346" s="1021"/>
      <c r="AZ346" s="1021"/>
      <c r="BA346" s="1021"/>
      <c r="BB346" s="1021"/>
      <c r="BC346" s="1021"/>
      <c r="BD346" s="1021"/>
      <c r="BE346" s="1021"/>
      <c r="BF346" s="1021"/>
      <c r="BG346" s="1021"/>
      <c r="BH346" s="1021"/>
      <c r="BI346" s="1021"/>
      <c r="BJ346" s="1021"/>
      <c r="BK346" s="1021"/>
      <c r="BL346" s="1021"/>
      <c r="BM346" s="1021"/>
      <c r="BN346" s="1021"/>
      <c r="BO346" s="1021"/>
      <c r="BP346" s="1021"/>
      <c r="BQ346" s="1021"/>
      <c r="BR346" s="1021"/>
      <c r="BS346" s="1021"/>
      <c r="BT346" s="1021"/>
      <c r="BU346" s="1021"/>
      <c r="BV346" s="1021"/>
      <c r="BW346" s="1021"/>
      <c r="BX346" s="1021"/>
      <c r="BY346" s="1021"/>
      <c r="BZ346" s="1021"/>
      <c r="CA346" s="1021"/>
      <c r="CB346" s="1021"/>
      <c r="CC346" s="1021"/>
    </row>
    <row r="347" spans="8:81" x14ac:dyDescent="0.25">
      <c r="H347" s="1021"/>
      <c r="I347" s="1021"/>
      <c r="J347" s="1021"/>
      <c r="K347" s="1021"/>
      <c r="L347" s="1021"/>
      <c r="M347" s="1021"/>
      <c r="N347" s="1021"/>
      <c r="O347" s="1021"/>
      <c r="P347" s="1021"/>
      <c r="Q347" s="1021"/>
      <c r="R347" s="1021"/>
      <c r="S347" s="1021"/>
      <c r="T347" s="1021"/>
      <c r="U347" s="1021"/>
      <c r="V347" s="1021"/>
      <c r="W347" s="1021"/>
      <c r="X347" s="1021"/>
      <c r="Y347" s="1021"/>
      <c r="Z347" s="1021"/>
      <c r="AA347" s="1021"/>
      <c r="AB347" s="1021"/>
      <c r="AC347" s="1021"/>
      <c r="AD347" s="1021"/>
      <c r="AE347" s="1021"/>
      <c r="AF347" s="1021"/>
      <c r="AG347" s="1021"/>
      <c r="AH347" s="1021"/>
      <c r="AI347" s="1021"/>
      <c r="AJ347" s="1021"/>
      <c r="AK347" s="1021"/>
      <c r="AL347" s="1021"/>
      <c r="AM347" s="1021"/>
      <c r="AN347" s="1021"/>
      <c r="AO347" s="1021"/>
      <c r="AP347" s="1021"/>
      <c r="AQ347" s="1021"/>
      <c r="AR347" s="1021"/>
      <c r="AS347" s="1021"/>
      <c r="AT347" s="1021"/>
      <c r="AU347" s="1021"/>
      <c r="AV347" s="1021"/>
      <c r="AW347" s="1021"/>
      <c r="AX347" s="1021"/>
      <c r="AY347" s="1021"/>
      <c r="AZ347" s="1021"/>
      <c r="BA347" s="1021"/>
      <c r="BB347" s="1021"/>
      <c r="BC347" s="1021"/>
      <c r="BD347" s="1021"/>
      <c r="BE347" s="1021"/>
      <c r="BF347" s="1021"/>
      <c r="BG347" s="1021"/>
      <c r="BH347" s="1021"/>
      <c r="BI347" s="1021"/>
      <c r="BJ347" s="1021"/>
      <c r="BK347" s="1021"/>
      <c r="BL347" s="1021"/>
      <c r="BM347" s="1021"/>
      <c r="BN347" s="1021"/>
      <c r="BO347" s="1021"/>
      <c r="BP347" s="1021"/>
      <c r="BQ347" s="1021"/>
      <c r="BR347" s="1021"/>
      <c r="BS347" s="1021"/>
      <c r="BT347" s="1021"/>
      <c r="BU347" s="1021"/>
      <c r="BV347" s="1021"/>
      <c r="BW347" s="1021"/>
      <c r="BX347" s="1021"/>
      <c r="BY347" s="1021"/>
      <c r="BZ347" s="1021"/>
      <c r="CA347" s="1021"/>
      <c r="CB347" s="1021"/>
      <c r="CC347" s="1021"/>
    </row>
    <row r="348" spans="8:81" x14ac:dyDescent="0.25">
      <c r="H348" s="1021"/>
      <c r="I348" s="1021"/>
      <c r="J348" s="1021"/>
      <c r="K348" s="1021"/>
      <c r="L348" s="1021"/>
      <c r="M348" s="1021"/>
      <c r="N348" s="1021"/>
      <c r="O348" s="1021"/>
      <c r="P348" s="1021"/>
      <c r="Q348" s="1021"/>
      <c r="R348" s="1021"/>
      <c r="S348" s="1021"/>
      <c r="T348" s="1021"/>
      <c r="U348" s="1021"/>
      <c r="V348" s="1021"/>
      <c r="W348" s="1021"/>
      <c r="X348" s="1021"/>
      <c r="Y348" s="1021"/>
      <c r="Z348" s="1021"/>
      <c r="AA348" s="1021"/>
      <c r="AB348" s="1021"/>
      <c r="AC348" s="1021"/>
      <c r="AD348" s="1021"/>
      <c r="AE348" s="1021"/>
      <c r="AF348" s="1021"/>
      <c r="AG348" s="1021"/>
      <c r="AH348" s="1021"/>
      <c r="AI348" s="1021"/>
      <c r="AJ348" s="1021"/>
      <c r="AK348" s="1021"/>
      <c r="AL348" s="1021"/>
      <c r="AM348" s="1021"/>
      <c r="AN348" s="1021"/>
      <c r="AO348" s="1021"/>
      <c r="AP348" s="1021"/>
      <c r="AQ348" s="1021"/>
      <c r="AR348" s="1021"/>
      <c r="AS348" s="1021"/>
      <c r="AT348" s="1021"/>
      <c r="AU348" s="1021"/>
      <c r="AV348" s="1021"/>
      <c r="AW348" s="1021"/>
      <c r="AX348" s="1021"/>
      <c r="AY348" s="1021"/>
      <c r="AZ348" s="1021"/>
      <c r="BA348" s="1021"/>
      <c r="BB348" s="1021"/>
      <c r="BC348" s="1021"/>
      <c r="BD348" s="1021"/>
      <c r="BE348" s="1021"/>
      <c r="BF348" s="1021"/>
      <c r="BG348" s="1021"/>
      <c r="BH348" s="1021"/>
      <c r="BI348" s="1021"/>
      <c r="BJ348" s="1021"/>
      <c r="BK348" s="1021"/>
      <c r="BL348" s="1021"/>
      <c r="BM348" s="1021"/>
      <c r="BN348" s="1021"/>
      <c r="BO348" s="1021"/>
      <c r="BP348" s="1021"/>
      <c r="BQ348" s="1021"/>
      <c r="BR348" s="1021"/>
      <c r="BS348" s="1021"/>
      <c r="BT348" s="1021"/>
      <c r="BU348" s="1021"/>
      <c r="BV348" s="1021"/>
      <c r="BW348" s="1021"/>
      <c r="BX348" s="1021"/>
      <c r="BY348" s="1021"/>
      <c r="BZ348" s="1021"/>
      <c r="CA348" s="1021"/>
      <c r="CB348" s="1021"/>
      <c r="CC348" s="1021"/>
    </row>
    <row r="349" spans="8:81" x14ac:dyDescent="0.25">
      <c r="H349" s="1021"/>
      <c r="I349" s="1021"/>
      <c r="J349" s="1021"/>
      <c r="K349" s="1021"/>
      <c r="L349" s="1021"/>
      <c r="M349" s="1021"/>
      <c r="N349" s="1021"/>
      <c r="O349" s="1021"/>
      <c r="P349" s="1021"/>
      <c r="Q349" s="1021"/>
      <c r="R349" s="1021"/>
      <c r="S349" s="1021"/>
      <c r="T349" s="1021"/>
      <c r="U349" s="1021"/>
      <c r="V349" s="1021"/>
      <c r="W349" s="1021"/>
      <c r="X349" s="1021"/>
      <c r="Y349" s="1021"/>
      <c r="Z349" s="1021"/>
      <c r="AA349" s="1021"/>
      <c r="AB349" s="1021"/>
      <c r="AC349" s="1021"/>
      <c r="AD349" s="1021"/>
      <c r="AE349" s="1021"/>
      <c r="AF349" s="1021"/>
      <c r="AG349" s="1021"/>
      <c r="AH349" s="1021"/>
      <c r="AI349" s="1021"/>
      <c r="AJ349" s="1021"/>
      <c r="AK349" s="1021"/>
      <c r="AL349" s="1021"/>
      <c r="AM349" s="1021"/>
      <c r="AN349" s="1021"/>
      <c r="AO349" s="1021"/>
      <c r="AP349" s="1021"/>
      <c r="AQ349" s="1021"/>
      <c r="AR349" s="1021"/>
      <c r="AS349" s="1021"/>
      <c r="AT349" s="1021"/>
      <c r="AU349" s="1021"/>
      <c r="AV349" s="1021"/>
      <c r="AW349" s="1021"/>
      <c r="AX349" s="1021"/>
      <c r="AY349" s="1021"/>
      <c r="AZ349" s="1021"/>
      <c r="BA349" s="1021"/>
      <c r="BB349" s="1021"/>
      <c r="BC349" s="1021"/>
      <c r="BD349" s="1021"/>
      <c r="BE349" s="1021"/>
      <c r="BF349" s="1021"/>
      <c r="BG349" s="1021"/>
      <c r="BH349" s="1021"/>
      <c r="BI349" s="1021"/>
      <c r="BJ349" s="1021"/>
      <c r="BK349" s="1021"/>
      <c r="BL349" s="1021"/>
      <c r="BM349" s="1021"/>
      <c r="BN349" s="1021"/>
      <c r="BO349" s="1021"/>
      <c r="BP349" s="1021"/>
      <c r="BQ349" s="1021"/>
      <c r="BR349" s="1021"/>
      <c r="BS349" s="1021"/>
      <c r="BT349" s="1021"/>
      <c r="BU349" s="1021"/>
      <c r="BV349" s="1021"/>
      <c r="BW349" s="1021"/>
      <c r="BX349" s="1021"/>
      <c r="BY349" s="1021"/>
      <c r="BZ349" s="1021"/>
      <c r="CA349" s="1021"/>
      <c r="CB349" s="1021"/>
      <c r="CC349" s="1021"/>
    </row>
    <row r="350" spans="8:81" x14ac:dyDescent="0.25">
      <c r="H350" s="1021"/>
      <c r="I350" s="1021"/>
      <c r="J350" s="1021"/>
      <c r="K350" s="1021"/>
      <c r="L350" s="1021"/>
      <c r="M350" s="1021"/>
      <c r="N350" s="1021"/>
      <c r="O350" s="1021"/>
      <c r="P350" s="1021"/>
      <c r="Q350" s="1021"/>
      <c r="R350" s="1021"/>
      <c r="S350" s="1021"/>
      <c r="T350" s="1021"/>
      <c r="U350" s="1021"/>
      <c r="V350" s="1021"/>
      <c r="W350" s="1021"/>
      <c r="X350" s="1021"/>
      <c r="Y350" s="1021"/>
      <c r="Z350" s="1021"/>
      <c r="AA350" s="1021"/>
      <c r="AB350" s="1021"/>
      <c r="AC350" s="1021"/>
      <c r="AD350" s="1021"/>
      <c r="AE350" s="1021"/>
      <c r="AF350" s="1021"/>
      <c r="AG350" s="1021"/>
      <c r="AH350" s="1021"/>
      <c r="AI350" s="1021"/>
      <c r="AJ350" s="1021"/>
      <c r="AK350" s="1021"/>
      <c r="AL350" s="1021"/>
      <c r="AM350" s="1021"/>
      <c r="AN350" s="1021"/>
      <c r="AO350" s="1021"/>
      <c r="AP350" s="1021"/>
      <c r="AQ350" s="1021"/>
      <c r="AR350" s="1021"/>
      <c r="AS350" s="1021"/>
      <c r="AT350" s="1021"/>
      <c r="AU350" s="1021"/>
      <c r="AV350" s="1021"/>
      <c r="AW350" s="1021"/>
      <c r="AX350" s="1021"/>
      <c r="AY350" s="1021"/>
      <c r="AZ350" s="1021"/>
      <c r="BA350" s="1021"/>
      <c r="BB350" s="1021"/>
      <c r="BC350" s="1021"/>
      <c r="BD350" s="1021"/>
      <c r="BE350" s="1021"/>
      <c r="BF350" s="1021"/>
      <c r="BG350" s="1021"/>
      <c r="BH350" s="1021"/>
      <c r="BI350" s="1021"/>
      <c r="BJ350" s="1021"/>
      <c r="BK350" s="1021"/>
      <c r="BL350" s="1021"/>
      <c r="BM350" s="1021"/>
      <c r="BN350" s="1021"/>
      <c r="BO350" s="1021"/>
      <c r="BP350" s="1021"/>
      <c r="BQ350" s="1021"/>
      <c r="BR350" s="1021"/>
      <c r="BS350" s="1021"/>
      <c r="BT350" s="1021"/>
      <c r="BU350" s="1021"/>
      <c r="BV350" s="1021"/>
      <c r="BW350" s="1021"/>
      <c r="BX350" s="1021"/>
      <c r="BY350" s="1021"/>
      <c r="BZ350" s="1021"/>
      <c r="CA350" s="1021"/>
      <c r="CB350" s="1021"/>
      <c r="CC350" s="1021"/>
    </row>
    <row r="351" spans="8:81" x14ac:dyDescent="0.25">
      <c r="H351" s="1021"/>
      <c r="I351" s="1021"/>
      <c r="J351" s="1021"/>
      <c r="K351" s="1021"/>
      <c r="L351" s="1021"/>
      <c r="M351" s="1021"/>
      <c r="N351" s="1021"/>
      <c r="O351" s="1021"/>
      <c r="P351" s="1021"/>
      <c r="Q351" s="1021"/>
      <c r="R351" s="1021"/>
      <c r="S351" s="1021"/>
      <c r="T351" s="1021"/>
      <c r="U351" s="1021"/>
      <c r="V351" s="1021"/>
      <c r="W351" s="1021"/>
      <c r="X351" s="1021"/>
      <c r="Y351" s="1021"/>
      <c r="Z351" s="1021"/>
      <c r="AA351" s="1021"/>
      <c r="AB351" s="1021"/>
      <c r="AC351" s="1021"/>
      <c r="AD351" s="1021"/>
      <c r="AE351" s="1021"/>
      <c r="AF351" s="1021"/>
      <c r="AG351" s="1021"/>
      <c r="AH351" s="1021"/>
      <c r="AI351" s="1021"/>
      <c r="AJ351" s="1021"/>
      <c r="AK351" s="1021"/>
      <c r="AL351" s="1021"/>
      <c r="AM351" s="1021"/>
      <c r="AN351" s="1021"/>
      <c r="AO351" s="1021"/>
      <c r="AP351" s="1021"/>
      <c r="AQ351" s="1021"/>
      <c r="AR351" s="1021"/>
      <c r="AS351" s="1021"/>
      <c r="AT351" s="1021"/>
      <c r="AU351" s="1021"/>
      <c r="AV351" s="1021"/>
      <c r="AW351" s="1021"/>
      <c r="AX351" s="1021"/>
      <c r="AY351" s="1021"/>
      <c r="AZ351" s="1021"/>
      <c r="BA351" s="1021"/>
      <c r="BB351" s="1021"/>
      <c r="BC351" s="1021"/>
      <c r="BD351" s="1021"/>
      <c r="BE351" s="1021"/>
      <c r="BF351" s="1021"/>
      <c r="BG351" s="1021"/>
      <c r="BH351" s="1021"/>
      <c r="BI351" s="1021"/>
      <c r="BJ351" s="1021"/>
      <c r="BK351" s="1021"/>
      <c r="BL351" s="1021"/>
      <c r="BM351" s="1021"/>
      <c r="BN351" s="1021"/>
      <c r="BO351" s="1021"/>
      <c r="BP351" s="1021"/>
      <c r="BQ351" s="1021"/>
      <c r="BR351" s="1021"/>
      <c r="BS351" s="1021"/>
      <c r="BT351" s="1021"/>
      <c r="BU351" s="1021"/>
      <c r="BV351" s="1021"/>
      <c r="BW351" s="1021"/>
      <c r="BX351" s="1021"/>
      <c r="BY351" s="1021"/>
      <c r="BZ351" s="1021"/>
      <c r="CA351" s="1021"/>
      <c r="CB351" s="1021"/>
      <c r="CC351" s="1021"/>
    </row>
    <row r="352" spans="8:81" x14ac:dyDescent="0.25">
      <c r="H352" s="1021"/>
      <c r="I352" s="1021"/>
      <c r="J352" s="1021"/>
      <c r="K352" s="1021"/>
      <c r="L352" s="1021"/>
      <c r="M352" s="1021"/>
      <c r="N352" s="1021"/>
      <c r="O352" s="1021"/>
      <c r="P352" s="1021"/>
      <c r="Q352" s="1021"/>
      <c r="R352" s="1021"/>
      <c r="S352" s="1021"/>
      <c r="T352" s="1021"/>
      <c r="U352" s="1021"/>
      <c r="V352" s="1021"/>
      <c r="W352" s="1021"/>
      <c r="X352" s="1021"/>
      <c r="Y352" s="1021"/>
      <c r="Z352" s="1021"/>
      <c r="AA352" s="1021"/>
      <c r="AB352" s="1021"/>
      <c r="AC352" s="1021"/>
      <c r="AD352" s="1021"/>
      <c r="AE352" s="1021"/>
      <c r="AF352" s="1021"/>
      <c r="AG352" s="1021"/>
      <c r="AH352" s="1021"/>
      <c r="AI352" s="1021"/>
      <c r="AJ352" s="1021"/>
      <c r="AK352" s="1021"/>
      <c r="AL352" s="1021"/>
      <c r="AM352" s="1021"/>
      <c r="AN352" s="1021"/>
      <c r="AO352" s="1021"/>
      <c r="AP352" s="1021"/>
      <c r="AQ352" s="1021"/>
      <c r="AR352" s="1021"/>
      <c r="AS352" s="1021"/>
      <c r="AT352" s="1021"/>
      <c r="AU352" s="1021"/>
      <c r="AV352" s="1021"/>
      <c r="AW352" s="1021"/>
      <c r="AX352" s="1021"/>
      <c r="AY352" s="1021"/>
      <c r="AZ352" s="1021"/>
      <c r="BA352" s="1021"/>
      <c r="BB352" s="1021"/>
      <c r="BC352" s="1021"/>
      <c r="BD352" s="1021"/>
      <c r="BE352" s="1021"/>
      <c r="BF352" s="1021"/>
      <c r="BG352" s="1021"/>
      <c r="BH352" s="1021"/>
      <c r="BI352" s="1021"/>
      <c r="BJ352" s="1021"/>
      <c r="BK352" s="1021"/>
      <c r="BL352" s="1021"/>
      <c r="BM352" s="1021"/>
      <c r="BN352" s="1021"/>
      <c r="BO352" s="1021"/>
      <c r="BP352" s="1021"/>
      <c r="BQ352" s="1021"/>
      <c r="BR352" s="1021"/>
      <c r="BS352" s="1021"/>
      <c r="BT352" s="1021"/>
      <c r="BU352" s="1021"/>
      <c r="BV352" s="1021"/>
      <c r="BW352" s="1021"/>
      <c r="BX352" s="1021"/>
      <c r="BY352" s="1021"/>
      <c r="BZ352" s="1021"/>
      <c r="CA352" s="1021"/>
      <c r="CB352" s="1021"/>
      <c r="CC352" s="1021"/>
    </row>
    <row r="353" spans="8:81" x14ac:dyDescent="0.25">
      <c r="H353" s="1021"/>
      <c r="I353" s="1021"/>
      <c r="J353" s="1021"/>
      <c r="K353" s="1021"/>
      <c r="L353" s="1021"/>
      <c r="M353" s="1021"/>
      <c r="N353" s="1021"/>
      <c r="O353" s="1021"/>
      <c r="P353" s="1021"/>
      <c r="Q353" s="1021"/>
      <c r="R353" s="1021"/>
      <c r="S353" s="1021"/>
      <c r="T353" s="1021"/>
      <c r="U353" s="1021"/>
      <c r="V353" s="1021"/>
      <c r="W353" s="1021"/>
      <c r="X353" s="1021"/>
      <c r="Y353" s="1021"/>
      <c r="Z353" s="1021"/>
      <c r="AA353" s="1021"/>
      <c r="AB353" s="1021"/>
      <c r="AC353" s="1021"/>
      <c r="AD353" s="1021"/>
      <c r="AE353" s="1021"/>
      <c r="AF353" s="1021"/>
      <c r="AG353" s="1021"/>
      <c r="AH353" s="1021"/>
      <c r="AI353" s="1021"/>
      <c r="AJ353" s="1021"/>
      <c r="AK353" s="1021"/>
      <c r="AL353" s="1021"/>
      <c r="AM353" s="1021"/>
      <c r="AN353" s="1021"/>
      <c r="AO353" s="1021"/>
      <c r="AP353" s="1021"/>
      <c r="AQ353" s="1021"/>
      <c r="AR353" s="1021"/>
      <c r="AS353" s="1021"/>
      <c r="AT353" s="1021"/>
      <c r="AU353" s="1021"/>
      <c r="AV353" s="1021"/>
      <c r="AW353" s="1021"/>
      <c r="AX353" s="1021"/>
      <c r="AY353" s="1021"/>
      <c r="AZ353" s="1021"/>
      <c r="BA353" s="1021"/>
      <c r="BB353" s="1021"/>
      <c r="BC353" s="1021"/>
      <c r="BD353" s="1021"/>
      <c r="BE353" s="1021"/>
      <c r="BF353" s="1021"/>
      <c r="BG353" s="1021"/>
      <c r="BH353" s="1021"/>
      <c r="BI353" s="1021"/>
      <c r="BJ353" s="1021"/>
      <c r="BK353" s="1021"/>
      <c r="BL353" s="1021"/>
      <c r="BM353" s="1021"/>
      <c r="BN353" s="1021"/>
      <c r="BO353" s="1021"/>
      <c r="BP353" s="1021"/>
      <c r="BQ353" s="1021"/>
      <c r="BR353" s="1021"/>
      <c r="BS353" s="1021"/>
      <c r="BT353" s="1021"/>
      <c r="BU353" s="1021"/>
      <c r="BV353" s="1021"/>
      <c r="BW353" s="1021"/>
      <c r="BX353" s="1021"/>
      <c r="BY353" s="1021"/>
      <c r="BZ353" s="1021"/>
      <c r="CA353" s="1021"/>
      <c r="CB353" s="1021"/>
      <c r="CC353" s="1021"/>
    </row>
    <row r="354" spans="8:81" x14ac:dyDescent="0.25">
      <c r="H354" s="1021"/>
      <c r="I354" s="1021"/>
      <c r="J354" s="1021"/>
      <c r="K354" s="1021"/>
      <c r="L354" s="1021"/>
      <c r="M354" s="1021"/>
      <c r="N354" s="1021"/>
      <c r="O354" s="1021"/>
      <c r="P354" s="1021"/>
      <c r="Q354" s="1021"/>
      <c r="R354" s="1021"/>
      <c r="S354" s="1021"/>
      <c r="T354" s="1021"/>
      <c r="U354" s="1021"/>
      <c r="V354" s="1021"/>
      <c r="W354" s="1021"/>
      <c r="X354" s="1021"/>
      <c r="Y354" s="1021"/>
      <c r="Z354" s="1021"/>
      <c r="AA354" s="1021"/>
      <c r="AB354" s="1021"/>
      <c r="AC354" s="1021"/>
      <c r="AD354" s="1021"/>
      <c r="AE354" s="1021"/>
      <c r="AF354" s="1021"/>
      <c r="AG354" s="1021"/>
      <c r="AH354" s="1021"/>
      <c r="AI354" s="1021"/>
      <c r="AJ354" s="1021"/>
      <c r="AK354" s="1021"/>
      <c r="AL354" s="1021"/>
      <c r="AM354" s="1021"/>
      <c r="AN354" s="1021"/>
      <c r="AO354" s="1021"/>
      <c r="AP354" s="1021"/>
      <c r="AQ354" s="1021"/>
      <c r="AR354" s="1021"/>
      <c r="AS354" s="1021"/>
      <c r="AT354" s="1021"/>
      <c r="AU354" s="1021"/>
      <c r="AV354" s="1021"/>
      <c r="AW354" s="1021"/>
      <c r="AX354" s="1021"/>
      <c r="AY354" s="1021"/>
      <c r="AZ354" s="1021"/>
      <c r="BA354" s="1021"/>
      <c r="BB354" s="1021"/>
      <c r="BC354" s="1021"/>
      <c r="BD354" s="1021"/>
      <c r="BE354" s="1021"/>
      <c r="BF354" s="1021"/>
      <c r="BG354" s="1021"/>
      <c r="BH354" s="1021"/>
      <c r="BI354" s="1021"/>
      <c r="BJ354" s="1021"/>
      <c r="BK354" s="1021"/>
      <c r="BL354" s="1021"/>
      <c r="BM354" s="1021"/>
      <c r="BN354" s="1021"/>
      <c r="BO354" s="1021"/>
      <c r="BP354" s="1021"/>
      <c r="BQ354" s="1021"/>
      <c r="BR354" s="1021"/>
      <c r="BS354" s="1021"/>
      <c r="BT354" s="1021"/>
      <c r="BU354" s="1021"/>
      <c r="BV354" s="1021"/>
      <c r="BW354" s="1021"/>
      <c r="BX354" s="1021"/>
      <c r="BY354" s="1021"/>
      <c r="BZ354" s="1021"/>
      <c r="CA354" s="1021"/>
      <c r="CB354" s="1021"/>
      <c r="CC354" s="1021"/>
    </row>
    <row r="355" spans="8:81" x14ac:dyDescent="0.25">
      <c r="H355" s="1021"/>
      <c r="I355" s="1021"/>
      <c r="J355" s="1021"/>
      <c r="K355" s="1021"/>
      <c r="L355" s="1021"/>
      <c r="M355" s="1021"/>
      <c r="N355" s="1021"/>
      <c r="O355" s="1021"/>
      <c r="P355" s="1021"/>
      <c r="Q355" s="1021"/>
      <c r="R355" s="1021"/>
      <c r="S355" s="1021"/>
      <c r="T355" s="1021"/>
      <c r="U355" s="1021"/>
      <c r="V355" s="1021"/>
      <c r="W355" s="1021"/>
      <c r="X355" s="1021"/>
      <c r="Y355" s="1021"/>
      <c r="Z355" s="1021"/>
      <c r="AA355" s="1021"/>
      <c r="AB355" s="1021"/>
      <c r="AC355" s="1021"/>
      <c r="AD355" s="1021"/>
      <c r="AE355" s="1021"/>
      <c r="AF355" s="1021"/>
      <c r="AG355" s="1021"/>
      <c r="AH355" s="1021"/>
      <c r="AI355" s="1021"/>
      <c r="AJ355" s="1021"/>
      <c r="AK355" s="1021"/>
      <c r="AL355" s="1021"/>
      <c r="AM355" s="1021"/>
      <c r="AN355" s="1021"/>
      <c r="AO355" s="1021"/>
      <c r="AP355" s="1021"/>
      <c r="AQ355" s="1021"/>
      <c r="AR355" s="1021"/>
      <c r="AS355" s="1021"/>
      <c r="AT355" s="1021"/>
      <c r="AU355" s="1021"/>
      <c r="AV355" s="1021"/>
      <c r="AW355" s="1021"/>
      <c r="AX355" s="1021"/>
      <c r="AY355" s="1021"/>
      <c r="AZ355" s="1021"/>
      <c r="BA355" s="1021"/>
      <c r="BB355" s="1021"/>
      <c r="BC355" s="1021"/>
      <c r="BD355" s="1021"/>
      <c r="BE355" s="1021"/>
      <c r="BF355" s="1021"/>
      <c r="BG355" s="1021"/>
      <c r="BH355" s="1021"/>
      <c r="BI355" s="1021"/>
      <c r="BJ355" s="1021"/>
      <c r="BK355" s="1021"/>
      <c r="BL355" s="1021"/>
      <c r="BM355" s="1021"/>
      <c r="BN355" s="1021"/>
      <c r="BO355" s="1021"/>
      <c r="BP355" s="1021"/>
      <c r="BQ355" s="1021"/>
      <c r="BR355" s="1021"/>
      <c r="BS355" s="1021"/>
      <c r="BT355" s="1021"/>
      <c r="BU355" s="1021"/>
      <c r="BV355" s="1021"/>
      <c r="BW355" s="1021"/>
      <c r="BX355" s="1021"/>
      <c r="BY355" s="1021"/>
      <c r="BZ355" s="1021"/>
      <c r="CA355" s="1021"/>
      <c r="CB355" s="1021"/>
      <c r="CC355" s="1021"/>
    </row>
    <row r="356" spans="8:81" x14ac:dyDescent="0.25">
      <c r="H356" s="1021"/>
      <c r="I356" s="1021"/>
      <c r="J356" s="1021"/>
      <c r="K356" s="1021"/>
      <c r="L356" s="1021"/>
      <c r="M356" s="1021"/>
      <c r="N356" s="1021"/>
      <c r="O356" s="1021"/>
      <c r="P356" s="1021"/>
      <c r="Q356" s="1021"/>
      <c r="R356" s="1021"/>
      <c r="S356" s="1021"/>
      <c r="T356" s="1021"/>
      <c r="U356" s="1021"/>
      <c r="V356" s="1021"/>
      <c r="W356" s="1021"/>
      <c r="X356" s="1021"/>
      <c r="Y356" s="1021"/>
      <c r="Z356" s="1021"/>
      <c r="AA356" s="1021"/>
      <c r="AB356" s="1021"/>
      <c r="AC356" s="1021"/>
      <c r="AD356" s="1021"/>
      <c r="AE356" s="1021"/>
      <c r="AF356" s="1021"/>
      <c r="AG356" s="1021"/>
      <c r="AH356" s="1021"/>
      <c r="AI356" s="1021"/>
      <c r="AJ356" s="1021"/>
      <c r="AK356" s="1021"/>
      <c r="AL356" s="1021"/>
      <c r="AM356" s="1021"/>
      <c r="AN356" s="1021"/>
      <c r="AO356" s="1021"/>
      <c r="AP356" s="1021"/>
      <c r="AQ356" s="1021"/>
      <c r="AR356" s="1021"/>
      <c r="AS356" s="1021"/>
      <c r="AT356" s="1021"/>
      <c r="AU356" s="1021"/>
      <c r="AV356" s="1021"/>
      <c r="AW356" s="1021"/>
      <c r="AX356" s="1021"/>
      <c r="AY356" s="1021"/>
      <c r="AZ356" s="1021"/>
      <c r="BA356" s="1021"/>
      <c r="BB356" s="1021"/>
      <c r="BC356" s="1021"/>
      <c r="BD356" s="1021"/>
      <c r="BE356" s="1021"/>
      <c r="BF356" s="1021"/>
      <c r="BG356" s="1021"/>
      <c r="BH356" s="1021"/>
      <c r="BI356" s="1021"/>
      <c r="BJ356" s="1021"/>
      <c r="BK356" s="1021"/>
      <c r="BL356" s="1021"/>
      <c r="BM356" s="1021"/>
      <c r="BN356" s="1021"/>
      <c r="BO356" s="1021"/>
      <c r="BP356" s="1021"/>
      <c r="BQ356" s="1021"/>
      <c r="BR356" s="1021"/>
      <c r="BS356" s="1021"/>
      <c r="BT356" s="1021"/>
      <c r="BU356" s="1021"/>
      <c r="BV356" s="1021"/>
      <c r="BW356" s="1021"/>
      <c r="BX356" s="1021"/>
      <c r="BY356" s="1021"/>
      <c r="BZ356" s="1021"/>
      <c r="CA356" s="1021"/>
      <c r="CB356" s="1021"/>
      <c r="CC356" s="1021"/>
    </row>
    <row r="357" spans="8:81" x14ac:dyDescent="0.25">
      <c r="H357" s="1021"/>
      <c r="I357" s="1021"/>
      <c r="J357" s="1021"/>
      <c r="K357" s="1021"/>
      <c r="L357" s="1021"/>
      <c r="M357" s="1021"/>
      <c r="N357" s="1021"/>
      <c r="O357" s="1021"/>
      <c r="P357" s="1021"/>
      <c r="Q357" s="1021"/>
      <c r="R357" s="1021"/>
      <c r="S357" s="1021"/>
      <c r="T357" s="1021"/>
      <c r="U357" s="1021"/>
      <c r="V357" s="1021"/>
      <c r="W357" s="1021"/>
      <c r="X357" s="1021"/>
      <c r="Y357" s="1021"/>
      <c r="Z357" s="1021"/>
      <c r="AA357" s="1021"/>
      <c r="AB357" s="1021"/>
      <c r="AC357" s="1021"/>
      <c r="AD357" s="1021"/>
      <c r="AE357" s="1021"/>
      <c r="AF357" s="1021"/>
      <c r="AG357" s="1021"/>
      <c r="AH357" s="1021"/>
      <c r="AI357" s="1021"/>
      <c r="AJ357" s="1021"/>
      <c r="AK357" s="1021"/>
      <c r="AL357" s="1021"/>
      <c r="AM357" s="1021"/>
      <c r="AN357" s="1021"/>
      <c r="AO357" s="1021"/>
      <c r="AP357" s="1021"/>
      <c r="AQ357" s="1021"/>
      <c r="AR357" s="1021"/>
      <c r="AS357" s="1021"/>
      <c r="AT357" s="1021"/>
      <c r="AU357" s="1021"/>
      <c r="AV357" s="1021"/>
      <c r="AW357" s="1021"/>
      <c r="AX357" s="1021"/>
      <c r="AY357" s="1021"/>
      <c r="AZ357" s="1021"/>
      <c r="BA357" s="1021"/>
      <c r="BB357" s="1021"/>
      <c r="BC357" s="1021"/>
      <c r="BD357" s="1021"/>
      <c r="BE357" s="1021"/>
      <c r="BF357" s="1021"/>
      <c r="BG357" s="1021"/>
      <c r="BH357" s="1021"/>
      <c r="BI357" s="1021"/>
      <c r="BJ357" s="1021"/>
      <c r="BK357" s="1021"/>
      <c r="BL357" s="1021"/>
      <c r="BM357" s="1021"/>
      <c r="BN357" s="1021"/>
      <c r="BO357" s="1021"/>
      <c r="BP357" s="1021"/>
      <c r="BQ357" s="1021"/>
      <c r="BR357" s="1021"/>
      <c r="BS357" s="1021"/>
      <c r="BT357" s="1021"/>
      <c r="BU357" s="1021"/>
      <c r="BV357" s="1021"/>
      <c r="BW357" s="1021"/>
      <c r="BX357" s="1021"/>
      <c r="BY357" s="1021"/>
      <c r="BZ357" s="1021"/>
      <c r="CA357" s="1021"/>
      <c r="CB357" s="1021"/>
      <c r="CC357" s="1021"/>
    </row>
    <row r="358" spans="8:81" x14ac:dyDescent="0.25">
      <c r="H358" s="1021"/>
      <c r="I358" s="1021"/>
      <c r="J358" s="1021"/>
      <c r="K358" s="1021"/>
      <c r="L358" s="1021"/>
      <c r="M358" s="1021"/>
      <c r="N358" s="1021"/>
      <c r="O358" s="1021"/>
      <c r="P358" s="1021"/>
      <c r="Q358" s="1021"/>
      <c r="R358" s="1021"/>
      <c r="S358" s="1021"/>
      <c r="T358" s="1021"/>
      <c r="U358" s="1021"/>
      <c r="V358" s="1021"/>
      <c r="W358" s="1021"/>
      <c r="X358" s="1021"/>
      <c r="Y358" s="1021"/>
      <c r="Z358" s="1021"/>
      <c r="AA358" s="1021"/>
      <c r="AB358" s="1021"/>
      <c r="AC358" s="1021"/>
      <c r="AD358" s="1021"/>
      <c r="AE358" s="1021"/>
      <c r="AF358" s="1021"/>
      <c r="AG358" s="1021"/>
      <c r="AH358" s="1021"/>
      <c r="AI358" s="1021"/>
      <c r="AJ358" s="1021"/>
      <c r="AK358" s="1021"/>
      <c r="AL358" s="1021"/>
      <c r="AM358" s="1021"/>
      <c r="AN358" s="1021"/>
      <c r="AO358" s="1021"/>
      <c r="AP358" s="1021"/>
      <c r="AQ358" s="1021"/>
      <c r="AR358" s="1021"/>
      <c r="AS358" s="1021"/>
      <c r="AT358" s="1021"/>
      <c r="AU358" s="1021"/>
      <c r="AV358" s="1021"/>
      <c r="AW358" s="1021"/>
      <c r="AX358" s="1021"/>
      <c r="AY358" s="1021"/>
      <c r="AZ358" s="1021"/>
      <c r="BA358" s="1021"/>
      <c r="BB358" s="1021"/>
      <c r="BC358" s="1021"/>
      <c r="BD358" s="1021"/>
      <c r="BE358" s="1021"/>
      <c r="BF358" s="1021"/>
      <c r="BG358" s="1021"/>
      <c r="BH358" s="1021"/>
      <c r="BI358" s="1021"/>
      <c r="BJ358" s="1021"/>
      <c r="BK358" s="1021"/>
      <c r="BL358" s="1021"/>
      <c r="BM358" s="1021"/>
      <c r="BN358" s="1021"/>
      <c r="BO358" s="1021"/>
      <c r="BP358" s="1021"/>
      <c r="BQ358" s="1021"/>
      <c r="BR358" s="1021"/>
      <c r="BS358" s="1021"/>
      <c r="BT358" s="1021"/>
      <c r="BU358" s="1021"/>
      <c r="BV358" s="1021"/>
      <c r="BW358" s="1021"/>
      <c r="BX358" s="1021"/>
      <c r="BY358" s="1021"/>
      <c r="BZ358" s="1021"/>
      <c r="CA358" s="1021"/>
      <c r="CB358" s="1021"/>
      <c r="CC358" s="1021"/>
    </row>
    <row r="359" spans="8:81" x14ac:dyDescent="0.25">
      <c r="H359" s="1021"/>
      <c r="I359" s="1021"/>
      <c r="J359" s="1021"/>
      <c r="K359" s="1021"/>
      <c r="L359" s="1021"/>
      <c r="M359" s="1021"/>
      <c r="N359" s="1021"/>
      <c r="O359" s="1021"/>
      <c r="P359" s="1021"/>
      <c r="Q359" s="1021"/>
      <c r="R359" s="1021"/>
      <c r="S359" s="1021"/>
      <c r="T359" s="1021"/>
      <c r="U359" s="1021"/>
      <c r="V359" s="1021"/>
      <c r="W359" s="1021"/>
      <c r="X359" s="1021"/>
      <c r="Y359" s="1021"/>
      <c r="Z359" s="1021"/>
      <c r="AA359" s="1021"/>
      <c r="AB359" s="1021"/>
      <c r="AC359" s="1021"/>
      <c r="AD359" s="1021"/>
      <c r="AE359" s="1021"/>
      <c r="AF359" s="1021"/>
      <c r="AG359" s="1021"/>
      <c r="AH359" s="1021"/>
      <c r="AI359" s="1021"/>
      <c r="AJ359" s="1021"/>
      <c r="AK359" s="1021"/>
      <c r="AL359" s="1021"/>
      <c r="AM359" s="1021"/>
      <c r="AN359" s="1021"/>
      <c r="AO359" s="1021"/>
      <c r="AP359" s="1021"/>
      <c r="AQ359" s="1021"/>
      <c r="AR359" s="1021"/>
      <c r="AS359" s="1021"/>
      <c r="AT359" s="1021"/>
      <c r="AU359" s="1021"/>
      <c r="AV359" s="1021"/>
      <c r="AW359" s="1021"/>
      <c r="AX359" s="1021"/>
      <c r="AY359" s="1021"/>
      <c r="AZ359" s="1021"/>
      <c r="BA359" s="1021"/>
      <c r="BB359" s="1021"/>
      <c r="BC359" s="1021"/>
      <c r="BD359" s="1021"/>
      <c r="BE359" s="1021"/>
      <c r="BF359" s="1021"/>
      <c r="BG359" s="1021"/>
      <c r="BH359" s="1021"/>
      <c r="BI359" s="1021"/>
      <c r="BJ359" s="1021"/>
      <c r="BK359" s="1021"/>
      <c r="BL359" s="1021"/>
      <c r="BM359" s="1021"/>
      <c r="BN359" s="1021"/>
      <c r="BO359" s="1021"/>
      <c r="BP359" s="1021"/>
      <c r="BQ359" s="1021"/>
      <c r="BR359" s="1021"/>
      <c r="BS359" s="1021"/>
      <c r="BT359" s="1021"/>
      <c r="BU359" s="1021"/>
      <c r="BV359" s="1021"/>
      <c r="BW359" s="1021"/>
      <c r="BX359" s="1021"/>
      <c r="BY359" s="1021"/>
      <c r="BZ359" s="1021"/>
      <c r="CA359" s="1021"/>
      <c r="CB359" s="1021"/>
      <c r="CC359" s="1021"/>
    </row>
    <row r="360" spans="8:81" x14ac:dyDescent="0.25">
      <c r="H360" s="1021"/>
      <c r="I360" s="1021"/>
      <c r="J360" s="1021"/>
      <c r="K360" s="1021"/>
      <c r="L360" s="1021"/>
      <c r="M360" s="1021"/>
      <c r="N360" s="1021"/>
      <c r="O360" s="1021"/>
      <c r="P360" s="1021"/>
      <c r="Q360" s="1021"/>
      <c r="R360" s="1021"/>
      <c r="S360" s="1021"/>
      <c r="T360" s="1021"/>
      <c r="U360" s="1021"/>
      <c r="V360" s="1021"/>
      <c r="W360" s="1021"/>
      <c r="X360" s="1021"/>
      <c r="Y360" s="1021"/>
      <c r="Z360" s="1021"/>
      <c r="AA360" s="1021"/>
      <c r="AB360" s="1021"/>
      <c r="AC360" s="1021"/>
      <c r="AD360" s="1021"/>
      <c r="AE360" s="1021"/>
      <c r="AF360" s="1021"/>
      <c r="AG360" s="1021"/>
      <c r="AH360" s="1021"/>
      <c r="AI360" s="1021"/>
      <c r="AJ360" s="1021"/>
      <c r="AK360" s="1021"/>
      <c r="AL360" s="1021"/>
      <c r="AM360" s="1021"/>
      <c r="AN360" s="1021"/>
      <c r="AO360" s="1021"/>
      <c r="AP360" s="1021"/>
      <c r="AQ360" s="1021"/>
      <c r="AR360" s="1021"/>
      <c r="AS360" s="1021"/>
      <c r="AT360" s="1021"/>
      <c r="AU360" s="1021"/>
      <c r="AV360" s="1021"/>
      <c r="AW360" s="1021"/>
      <c r="AX360" s="1021"/>
      <c r="AY360" s="1021"/>
      <c r="AZ360" s="1021"/>
      <c r="BA360" s="1021"/>
      <c r="BB360" s="1021"/>
      <c r="BC360" s="1021"/>
      <c r="BD360" s="1021"/>
      <c r="BE360" s="1021"/>
      <c r="BF360" s="1021"/>
      <c r="BG360" s="1021"/>
      <c r="BH360" s="1021"/>
      <c r="BI360" s="1021"/>
      <c r="BJ360" s="1021"/>
      <c r="BK360" s="1021"/>
      <c r="BL360" s="1021"/>
      <c r="BM360" s="1021"/>
      <c r="BN360" s="1021"/>
      <c r="BO360" s="1021"/>
      <c r="BP360" s="1021"/>
      <c r="BQ360" s="1021"/>
      <c r="BR360" s="1021"/>
      <c r="BS360" s="1021"/>
      <c r="BT360" s="1021"/>
      <c r="BU360" s="1021"/>
      <c r="BV360" s="1021"/>
      <c r="BW360" s="1021"/>
      <c r="BX360" s="1021"/>
      <c r="BY360" s="1021"/>
      <c r="BZ360" s="1021"/>
      <c r="CA360" s="1021"/>
      <c r="CB360" s="1021"/>
      <c r="CC360" s="1021"/>
    </row>
    <row r="361" spans="8:81" x14ac:dyDescent="0.25">
      <c r="H361" s="1021"/>
      <c r="I361" s="1021"/>
      <c r="J361" s="1021"/>
      <c r="K361" s="1021"/>
      <c r="L361" s="1021"/>
      <c r="M361" s="1021"/>
      <c r="N361" s="1021"/>
      <c r="O361" s="1021"/>
      <c r="P361" s="1021"/>
      <c r="Q361" s="1021"/>
      <c r="R361" s="1021"/>
      <c r="S361" s="1021"/>
      <c r="T361" s="1021"/>
      <c r="U361" s="1021"/>
      <c r="V361" s="1021"/>
      <c r="W361" s="1021"/>
      <c r="X361" s="1021"/>
      <c r="Y361" s="1021"/>
      <c r="Z361" s="1021"/>
      <c r="AA361" s="1021"/>
      <c r="AB361" s="1021"/>
      <c r="AC361" s="1021"/>
      <c r="AD361" s="1021"/>
      <c r="AE361" s="1021"/>
      <c r="AF361" s="1021"/>
      <c r="AG361" s="1021"/>
      <c r="AH361" s="1021"/>
      <c r="AI361" s="1021"/>
      <c r="AJ361" s="1021"/>
      <c r="AK361" s="1021"/>
      <c r="AL361" s="1021"/>
      <c r="AM361" s="1021"/>
      <c r="AN361" s="1021"/>
      <c r="AO361" s="1021"/>
      <c r="AP361" s="1021"/>
      <c r="AQ361" s="1021"/>
      <c r="AR361" s="1021"/>
      <c r="AS361" s="1021"/>
      <c r="AT361" s="1021"/>
      <c r="AU361" s="1021"/>
      <c r="AV361" s="1021"/>
      <c r="AW361" s="1021"/>
      <c r="AX361" s="1021"/>
      <c r="AY361" s="1021"/>
      <c r="AZ361" s="1021"/>
      <c r="BA361" s="1021"/>
      <c r="BB361" s="1021"/>
      <c r="BC361" s="1021"/>
      <c r="BD361" s="1021"/>
      <c r="BE361" s="1021"/>
      <c r="BF361" s="1021"/>
      <c r="BG361" s="1021"/>
      <c r="BH361" s="1021"/>
      <c r="BI361" s="1021"/>
      <c r="BJ361" s="1021"/>
      <c r="BK361" s="1021"/>
      <c r="BL361" s="1021"/>
      <c r="BM361" s="1021"/>
      <c r="BN361" s="1021"/>
      <c r="BO361" s="1021"/>
      <c r="BP361" s="1021"/>
      <c r="BQ361" s="1021"/>
      <c r="BR361" s="1021"/>
      <c r="BS361" s="1021"/>
      <c r="BT361" s="1021"/>
      <c r="BU361" s="1021"/>
      <c r="BV361" s="1021"/>
      <c r="BW361" s="1021"/>
      <c r="BX361" s="1021"/>
      <c r="BY361" s="1021"/>
      <c r="BZ361" s="1021"/>
      <c r="CA361" s="1021"/>
      <c r="CB361" s="1021"/>
      <c r="CC361" s="1021"/>
    </row>
    <row r="362" spans="8:81" x14ac:dyDescent="0.25">
      <c r="H362" s="1021"/>
      <c r="I362" s="1021"/>
      <c r="J362" s="1021"/>
      <c r="K362" s="1021"/>
      <c r="L362" s="1021"/>
      <c r="M362" s="1021"/>
      <c r="N362" s="1021"/>
      <c r="O362" s="1021"/>
      <c r="P362" s="1021"/>
      <c r="Q362" s="1021"/>
      <c r="R362" s="1021"/>
      <c r="S362" s="1021"/>
      <c r="T362" s="1021"/>
      <c r="U362" s="1021"/>
      <c r="V362" s="1021"/>
      <c r="W362" s="1021"/>
      <c r="X362" s="1021"/>
      <c r="Y362" s="1021"/>
      <c r="Z362" s="1021"/>
      <c r="AA362" s="1021"/>
      <c r="AB362" s="1021"/>
      <c r="AC362" s="1021"/>
      <c r="AD362" s="1021"/>
      <c r="AE362" s="1021"/>
      <c r="AF362" s="1021"/>
      <c r="AG362" s="1021"/>
      <c r="AH362" s="1021"/>
      <c r="AI362" s="1021"/>
      <c r="AJ362" s="1021"/>
      <c r="AK362" s="1021"/>
      <c r="AL362" s="1021"/>
      <c r="AM362" s="1021"/>
      <c r="AN362" s="1021"/>
      <c r="AO362" s="1021"/>
      <c r="AP362" s="1021"/>
      <c r="AQ362" s="1021"/>
      <c r="AR362" s="1021"/>
      <c r="AS362" s="1021"/>
      <c r="AT362" s="1021"/>
      <c r="AU362" s="1021"/>
      <c r="AV362" s="1021"/>
      <c r="AW362" s="1021"/>
      <c r="AX362" s="1021"/>
      <c r="AY362" s="1021"/>
      <c r="AZ362" s="1021"/>
      <c r="BA362" s="1021"/>
      <c r="BB362" s="1021"/>
      <c r="BC362" s="1021"/>
      <c r="BD362" s="1021"/>
      <c r="BE362" s="1021"/>
      <c r="BF362" s="1021"/>
      <c r="BG362" s="1021"/>
      <c r="BH362" s="1021"/>
      <c r="BI362" s="1021"/>
      <c r="BJ362" s="1021"/>
      <c r="BK362" s="1021"/>
      <c r="BL362" s="1021"/>
      <c r="BM362" s="1021"/>
      <c r="BN362" s="1021"/>
      <c r="BO362" s="1021"/>
      <c r="BP362" s="1021"/>
      <c r="BQ362" s="1021"/>
      <c r="BR362" s="1021"/>
      <c r="BS362" s="1021"/>
      <c r="BT362" s="1021"/>
      <c r="BU362" s="1021"/>
      <c r="BV362" s="1021"/>
      <c r="BW362" s="1021"/>
      <c r="BX362" s="1021"/>
      <c r="BY362" s="1021"/>
      <c r="BZ362" s="1021"/>
      <c r="CA362" s="1021"/>
      <c r="CB362" s="1021"/>
      <c r="CC362" s="1021"/>
    </row>
    <row r="363" spans="8:81" x14ac:dyDescent="0.25">
      <c r="H363" s="1021"/>
      <c r="I363" s="1021"/>
      <c r="J363" s="1021"/>
      <c r="K363" s="1021"/>
      <c r="L363" s="1021"/>
      <c r="M363" s="1021"/>
      <c r="N363" s="1021"/>
      <c r="O363" s="1021"/>
      <c r="P363" s="1021"/>
      <c r="Q363" s="1021"/>
      <c r="R363" s="1021"/>
      <c r="S363" s="1021"/>
      <c r="T363" s="1021"/>
      <c r="U363" s="1021"/>
      <c r="V363" s="1021"/>
      <c r="W363" s="1021"/>
      <c r="X363" s="1021"/>
      <c r="Y363" s="1021"/>
      <c r="Z363" s="1021"/>
      <c r="AA363" s="1021"/>
      <c r="AB363" s="1021"/>
      <c r="AC363" s="1021"/>
      <c r="AD363" s="1021"/>
      <c r="AE363" s="1021"/>
      <c r="AF363" s="1021"/>
      <c r="AG363" s="1021"/>
      <c r="AH363" s="1021"/>
      <c r="AI363" s="1021"/>
      <c r="AJ363" s="1021"/>
      <c r="AK363" s="1021"/>
      <c r="AL363" s="1021"/>
      <c r="AM363" s="1021"/>
      <c r="AN363" s="1021"/>
      <c r="AO363" s="1021"/>
      <c r="AP363" s="1021"/>
      <c r="AQ363" s="1021"/>
      <c r="AR363" s="1021"/>
      <c r="AS363" s="1021"/>
      <c r="AT363" s="1021"/>
      <c r="AU363" s="1021"/>
      <c r="AV363" s="1021"/>
      <c r="AW363" s="1021"/>
      <c r="AX363" s="1021"/>
      <c r="AY363" s="1021"/>
      <c r="AZ363" s="1021"/>
      <c r="BA363" s="1021"/>
      <c r="BB363" s="1021"/>
      <c r="BC363" s="1021"/>
      <c r="BD363" s="1021"/>
      <c r="BE363" s="1021"/>
      <c r="BF363" s="1021"/>
      <c r="BG363" s="1021"/>
      <c r="BH363" s="1021"/>
      <c r="BI363" s="1021"/>
      <c r="BJ363" s="1021"/>
      <c r="BK363" s="1021"/>
      <c r="BL363" s="1021"/>
      <c r="BM363" s="1021"/>
      <c r="BN363" s="1021"/>
      <c r="BO363" s="1021"/>
      <c r="BP363" s="1021"/>
      <c r="BQ363" s="1021"/>
      <c r="BR363" s="1021"/>
      <c r="BS363" s="1021"/>
      <c r="BT363" s="1021"/>
      <c r="BU363" s="1021"/>
      <c r="BV363" s="1021"/>
      <c r="BW363" s="1021"/>
      <c r="BX363" s="1021"/>
      <c r="BY363" s="1021"/>
      <c r="BZ363" s="1021"/>
      <c r="CA363" s="1021"/>
      <c r="CB363" s="1021"/>
      <c r="CC363" s="1021"/>
    </row>
    <row r="364" spans="8:81" x14ac:dyDescent="0.25">
      <c r="H364" s="1021"/>
      <c r="I364" s="1021"/>
      <c r="J364" s="1021"/>
      <c r="K364" s="1021"/>
      <c r="L364" s="1021"/>
      <c r="M364" s="1021"/>
      <c r="N364" s="1021"/>
      <c r="O364" s="1021"/>
      <c r="P364" s="1021"/>
      <c r="Q364" s="1021"/>
      <c r="R364" s="1021"/>
      <c r="S364" s="1021"/>
      <c r="T364" s="1021"/>
      <c r="U364" s="1021"/>
      <c r="V364" s="1021"/>
      <c r="W364" s="1021"/>
      <c r="X364" s="1021"/>
      <c r="Y364" s="1021"/>
      <c r="Z364" s="1021"/>
      <c r="AA364" s="1021"/>
      <c r="AB364" s="1021"/>
      <c r="AC364" s="1021"/>
      <c r="AD364" s="1021"/>
      <c r="AE364" s="1021"/>
      <c r="AF364" s="1021"/>
      <c r="AG364" s="1021"/>
      <c r="AH364" s="1021"/>
      <c r="AI364" s="1021"/>
      <c r="AJ364" s="1021"/>
      <c r="AK364" s="1021"/>
      <c r="AL364" s="1021"/>
      <c r="AM364" s="1021"/>
      <c r="AN364" s="1021"/>
      <c r="AO364" s="1021"/>
      <c r="AP364" s="1021"/>
      <c r="AQ364" s="1021"/>
      <c r="AR364" s="1021"/>
      <c r="AS364" s="1021"/>
      <c r="AT364" s="1021"/>
      <c r="AU364" s="1021"/>
      <c r="AV364" s="1021"/>
      <c r="AW364" s="1021"/>
      <c r="AX364" s="1021"/>
      <c r="AY364" s="1021"/>
      <c r="AZ364" s="1021"/>
      <c r="BA364" s="1021"/>
      <c r="BB364" s="1021"/>
      <c r="BC364" s="1021"/>
      <c r="BD364" s="1021"/>
      <c r="BE364" s="1021"/>
      <c r="BF364" s="1021"/>
      <c r="BG364" s="1021"/>
      <c r="BH364" s="1021"/>
      <c r="BI364" s="1021"/>
      <c r="BJ364" s="1021"/>
      <c r="BK364" s="1021"/>
      <c r="BL364" s="1021"/>
      <c r="BM364" s="1021"/>
      <c r="BN364" s="1021"/>
      <c r="BO364" s="1021"/>
      <c r="BP364" s="1021"/>
      <c r="BQ364" s="1021"/>
      <c r="BR364" s="1021"/>
      <c r="BS364" s="1021"/>
      <c r="BT364" s="1021"/>
      <c r="BU364" s="1021"/>
      <c r="BV364" s="1021"/>
      <c r="BW364" s="1021"/>
      <c r="BX364" s="1021"/>
      <c r="BY364" s="1021"/>
      <c r="BZ364" s="1021"/>
      <c r="CA364" s="1021"/>
      <c r="CB364" s="1021"/>
      <c r="CC364" s="1021"/>
    </row>
    <row r="365" spans="8:81" x14ac:dyDescent="0.25">
      <c r="H365" s="1021"/>
      <c r="I365" s="1021"/>
      <c r="J365" s="1021"/>
      <c r="K365" s="1021"/>
      <c r="L365" s="1021"/>
      <c r="M365" s="1021"/>
      <c r="N365" s="1021"/>
      <c r="O365" s="1021"/>
      <c r="P365" s="1021"/>
      <c r="Q365" s="1021"/>
      <c r="R365" s="1021"/>
      <c r="S365" s="1021"/>
      <c r="T365" s="1021"/>
      <c r="U365" s="1021"/>
      <c r="V365" s="1021"/>
      <c r="W365" s="1021"/>
      <c r="X365" s="1021"/>
      <c r="Y365" s="1021"/>
      <c r="Z365" s="1021"/>
      <c r="AA365" s="1021"/>
      <c r="AB365" s="1021"/>
      <c r="AC365" s="1021"/>
      <c r="AD365" s="1021"/>
      <c r="AE365" s="1021"/>
      <c r="AF365" s="1021"/>
      <c r="AG365" s="1021"/>
      <c r="AH365" s="1021"/>
      <c r="AI365" s="1021"/>
      <c r="AJ365" s="1021"/>
      <c r="AK365" s="1021"/>
      <c r="AL365" s="1021"/>
      <c r="AM365" s="1021"/>
      <c r="AN365" s="1021"/>
      <c r="AO365" s="1021"/>
      <c r="AP365" s="1021"/>
      <c r="AQ365" s="1021"/>
      <c r="AR365" s="1021"/>
      <c r="AS365" s="1021"/>
      <c r="AT365" s="1021"/>
      <c r="AU365" s="1021"/>
      <c r="AV365" s="1021"/>
      <c r="AW365" s="1021"/>
      <c r="AX365" s="1021"/>
      <c r="AY365" s="1021"/>
      <c r="AZ365" s="1021"/>
      <c r="BA365" s="1021"/>
      <c r="BB365" s="1021"/>
      <c r="BC365" s="1021"/>
      <c r="BD365" s="1021"/>
      <c r="BE365" s="1021"/>
      <c r="BF365" s="1021"/>
      <c r="BG365" s="1021"/>
      <c r="BH365" s="1021"/>
      <c r="BI365" s="1021"/>
      <c r="BJ365" s="1021"/>
      <c r="BK365" s="1021"/>
      <c r="BL365" s="1021"/>
      <c r="BM365" s="1021"/>
      <c r="BN365" s="1021"/>
      <c r="BO365" s="1021"/>
      <c r="BP365" s="1021"/>
      <c r="BQ365" s="1021"/>
      <c r="BR365" s="1021"/>
      <c r="BS365" s="1021"/>
      <c r="BT365" s="1021"/>
      <c r="BU365" s="1021"/>
      <c r="BV365" s="1021"/>
      <c r="BW365" s="1021"/>
      <c r="BX365" s="1021"/>
      <c r="BY365" s="1021"/>
      <c r="BZ365" s="1021"/>
      <c r="CA365" s="1021"/>
      <c r="CB365" s="1021"/>
      <c r="CC365" s="1021"/>
    </row>
    <row r="366" spans="8:81" x14ac:dyDescent="0.25">
      <c r="H366" s="1021"/>
      <c r="I366" s="1021"/>
      <c r="J366" s="1021"/>
      <c r="K366" s="1021"/>
      <c r="L366" s="1021"/>
      <c r="M366" s="1021"/>
      <c r="N366" s="1021"/>
      <c r="O366" s="1021"/>
      <c r="P366" s="1021"/>
      <c r="Q366" s="1021"/>
      <c r="R366" s="1021"/>
      <c r="S366" s="1021"/>
      <c r="T366" s="1021"/>
      <c r="U366" s="1021"/>
      <c r="V366" s="1021"/>
      <c r="W366" s="1021"/>
      <c r="X366" s="1021"/>
      <c r="Y366" s="1021"/>
      <c r="Z366" s="1021"/>
      <c r="AA366" s="1021"/>
      <c r="AB366" s="1021"/>
      <c r="AC366" s="1021"/>
      <c r="AD366" s="1021"/>
      <c r="AE366" s="1021"/>
      <c r="AF366" s="1021"/>
      <c r="AG366" s="1021"/>
      <c r="AH366" s="1021"/>
      <c r="AI366" s="1021"/>
      <c r="AJ366" s="1021"/>
      <c r="AK366" s="1021"/>
      <c r="AL366" s="1021"/>
      <c r="AM366" s="1021"/>
      <c r="AN366" s="1021"/>
      <c r="AO366" s="1021"/>
      <c r="AP366" s="1021"/>
      <c r="AQ366" s="1021"/>
      <c r="AR366" s="1021"/>
      <c r="AS366" s="1021"/>
      <c r="AT366" s="1021"/>
      <c r="AU366" s="1021"/>
      <c r="AV366" s="1021"/>
      <c r="AW366" s="1021"/>
      <c r="AX366" s="1021"/>
      <c r="AY366" s="1021"/>
      <c r="AZ366" s="1021"/>
      <c r="BA366" s="1021"/>
      <c r="BB366" s="1021"/>
      <c r="BC366" s="1021"/>
      <c r="BD366" s="1021"/>
      <c r="BE366" s="1021"/>
      <c r="BF366" s="1021"/>
      <c r="BG366" s="1021"/>
      <c r="BH366" s="1021"/>
      <c r="BI366" s="1021"/>
      <c r="BJ366" s="1021"/>
      <c r="BK366" s="1021"/>
      <c r="BL366" s="1021"/>
      <c r="BM366" s="1021"/>
      <c r="BN366" s="1021"/>
      <c r="BO366" s="1021"/>
      <c r="BP366" s="1021"/>
      <c r="BQ366" s="1021"/>
      <c r="BR366" s="1021"/>
      <c r="BS366" s="1021"/>
      <c r="BT366" s="1021"/>
      <c r="BU366" s="1021"/>
      <c r="BV366" s="1021"/>
      <c r="BW366" s="1021"/>
      <c r="BX366" s="1021"/>
      <c r="BY366" s="1021"/>
      <c r="BZ366" s="1021"/>
      <c r="CA366" s="1021"/>
      <c r="CB366" s="1021"/>
      <c r="CC366" s="1021"/>
    </row>
    <row r="367" spans="8:81" x14ac:dyDescent="0.25">
      <c r="H367" s="1021"/>
      <c r="I367" s="1021"/>
      <c r="J367" s="1021"/>
      <c r="K367" s="1021"/>
      <c r="L367" s="1021"/>
      <c r="M367" s="1021"/>
      <c r="N367" s="1021"/>
      <c r="O367" s="1021"/>
      <c r="P367" s="1021"/>
      <c r="Q367" s="1021"/>
      <c r="R367" s="1021"/>
      <c r="S367" s="1021"/>
      <c r="T367" s="1021"/>
      <c r="U367" s="1021"/>
      <c r="V367" s="1021"/>
      <c r="W367" s="1021"/>
      <c r="X367" s="1021"/>
      <c r="Y367" s="1021"/>
      <c r="Z367" s="1021"/>
      <c r="AA367" s="1021"/>
      <c r="AB367" s="1021"/>
      <c r="AC367" s="1021"/>
      <c r="AD367" s="1021"/>
      <c r="AE367" s="1021"/>
      <c r="AF367" s="1021"/>
      <c r="AG367" s="1021"/>
      <c r="AH367" s="1021"/>
      <c r="AI367" s="1021"/>
      <c r="AJ367" s="1021"/>
      <c r="AK367" s="1021"/>
      <c r="AL367" s="1021"/>
      <c r="AM367" s="1021"/>
      <c r="AN367" s="1021"/>
      <c r="AO367" s="1021"/>
      <c r="AP367" s="1021"/>
      <c r="AQ367" s="1021"/>
      <c r="AR367" s="1021"/>
      <c r="AS367" s="1021"/>
      <c r="AT367" s="1021"/>
      <c r="AU367" s="1021"/>
      <c r="AV367" s="1021"/>
      <c r="AW367" s="1021"/>
      <c r="AX367" s="1021"/>
      <c r="AY367" s="1021"/>
      <c r="AZ367" s="1021"/>
      <c r="BA367" s="1021"/>
      <c r="BB367" s="1021"/>
      <c r="BC367" s="1021"/>
      <c r="BD367" s="1021"/>
      <c r="BE367" s="1021"/>
      <c r="BF367" s="1021"/>
      <c r="BG367" s="1021"/>
      <c r="BH367" s="1021"/>
      <c r="BI367" s="1021"/>
      <c r="BJ367" s="1021"/>
      <c r="BK367" s="1021"/>
      <c r="BL367" s="1021"/>
      <c r="BM367" s="1021"/>
      <c r="BN367" s="1021"/>
      <c r="BO367" s="1021"/>
      <c r="BP367" s="1021"/>
      <c r="BQ367" s="1021"/>
      <c r="BR367" s="1021"/>
      <c r="BS367" s="1021"/>
      <c r="BT367" s="1021"/>
      <c r="BU367" s="1021"/>
      <c r="BV367" s="1021"/>
      <c r="BW367" s="1021"/>
      <c r="BX367" s="1021"/>
      <c r="BY367" s="1021"/>
      <c r="BZ367" s="1021"/>
      <c r="CA367" s="1021"/>
      <c r="CB367" s="1021"/>
      <c r="CC367" s="1021"/>
    </row>
    <row r="368" spans="8:81" x14ac:dyDescent="0.25">
      <c r="H368" s="1021"/>
      <c r="I368" s="1021"/>
      <c r="J368" s="1021"/>
      <c r="K368" s="1021"/>
      <c r="L368" s="1021"/>
      <c r="M368" s="1021"/>
      <c r="N368" s="1021"/>
      <c r="O368" s="1021"/>
      <c r="P368" s="1021"/>
      <c r="Q368" s="1021"/>
      <c r="R368" s="1021"/>
      <c r="S368" s="1021"/>
      <c r="T368" s="1021"/>
      <c r="U368" s="1021"/>
      <c r="V368" s="1021"/>
      <c r="W368" s="1021"/>
      <c r="X368" s="1021"/>
      <c r="Y368" s="1021"/>
      <c r="Z368" s="1021"/>
      <c r="AA368" s="1021"/>
      <c r="AB368" s="1021"/>
      <c r="AC368" s="1021"/>
      <c r="AD368" s="1021"/>
      <c r="AE368" s="1021"/>
      <c r="AF368" s="1021"/>
      <c r="AG368" s="1021"/>
      <c r="AH368" s="1021"/>
      <c r="AI368" s="1021"/>
      <c r="AJ368" s="1021"/>
      <c r="AK368" s="1021"/>
      <c r="AL368" s="1021"/>
      <c r="AM368" s="1021"/>
      <c r="AN368" s="1021"/>
      <c r="AO368" s="1021"/>
      <c r="AP368" s="1021"/>
      <c r="AQ368" s="1021"/>
      <c r="AR368" s="1021"/>
      <c r="AS368" s="1021"/>
      <c r="AT368" s="1021"/>
      <c r="AU368" s="1021"/>
      <c r="AV368" s="1021"/>
      <c r="AW368" s="1021"/>
      <c r="AX368" s="1021"/>
      <c r="AY368" s="1021"/>
      <c r="AZ368" s="1021"/>
      <c r="BA368" s="1021"/>
      <c r="BB368" s="1021"/>
      <c r="BC368" s="1021"/>
      <c r="BD368" s="1021"/>
      <c r="BE368" s="1021"/>
      <c r="BF368" s="1021"/>
      <c r="BG368" s="1021"/>
      <c r="BH368" s="1021"/>
      <c r="BI368" s="1021"/>
      <c r="BJ368" s="1021"/>
      <c r="BK368" s="1021"/>
      <c r="BL368" s="1021"/>
      <c r="BM368" s="1021"/>
      <c r="BN368" s="1021"/>
      <c r="BO368" s="1021"/>
      <c r="BP368" s="1021"/>
      <c r="BQ368" s="1021"/>
      <c r="BR368" s="1021"/>
      <c r="BS368" s="1021"/>
      <c r="BT368" s="1021"/>
      <c r="BU368" s="1021"/>
      <c r="BV368" s="1021"/>
      <c r="BW368" s="1021"/>
      <c r="BX368" s="1021"/>
      <c r="BY368" s="1021"/>
      <c r="BZ368" s="1021"/>
      <c r="CA368" s="1021"/>
      <c r="CB368" s="1021"/>
      <c r="CC368" s="1021"/>
    </row>
    <row r="369" spans="8:81" x14ac:dyDescent="0.25">
      <c r="H369" s="1021"/>
      <c r="I369" s="1021"/>
      <c r="J369" s="1021"/>
      <c r="K369" s="1021"/>
      <c r="L369" s="1021"/>
      <c r="M369" s="1021"/>
      <c r="N369" s="1021"/>
      <c r="O369" s="1021"/>
      <c r="P369" s="1021"/>
      <c r="Q369" s="1021"/>
      <c r="R369" s="1021"/>
      <c r="S369" s="1021"/>
      <c r="T369" s="1021"/>
      <c r="U369" s="1021"/>
      <c r="V369" s="1021"/>
      <c r="W369" s="1021"/>
      <c r="X369" s="1021"/>
      <c r="Y369" s="1021"/>
      <c r="Z369" s="1021"/>
      <c r="AA369" s="1021"/>
      <c r="AB369" s="1021"/>
      <c r="AC369" s="1021"/>
      <c r="AD369" s="1021"/>
      <c r="AE369" s="1021"/>
      <c r="AF369" s="1021"/>
      <c r="AG369" s="1021"/>
      <c r="AH369" s="1021"/>
      <c r="AI369" s="1021"/>
      <c r="AJ369" s="1021"/>
      <c r="AK369" s="1021"/>
      <c r="AL369" s="1021"/>
      <c r="AM369" s="1021"/>
      <c r="AN369" s="1021"/>
      <c r="AO369" s="1021"/>
      <c r="AP369" s="1021"/>
      <c r="AQ369" s="1021"/>
      <c r="AR369" s="1021"/>
      <c r="AS369" s="1021"/>
      <c r="AT369" s="1021"/>
      <c r="AU369" s="1021"/>
      <c r="AV369" s="1021"/>
      <c r="AW369" s="1021"/>
      <c r="AX369" s="1021"/>
      <c r="AY369" s="1021"/>
      <c r="AZ369" s="1021"/>
      <c r="BA369" s="1021"/>
      <c r="BB369" s="1021"/>
      <c r="BC369" s="1021"/>
      <c r="BD369" s="1021"/>
      <c r="BE369" s="1021"/>
      <c r="BF369" s="1021"/>
      <c r="BG369" s="1021"/>
      <c r="BH369" s="1021"/>
      <c r="BI369" s="1021"/>
      <c r="BJ369" s="1021"/>
      <c r="BK369" s="1021"/>
      <c r="BL369" s="1021"/>
      <c r="BM369" s="1021"/>
      <c r="BN369" s="1021"/>
      <c r="BO369" s="1021"/>
      <c r="BP369" s="1021"/>
      <c r="BQ369" s="1021"/>
      <c r="BR369" s="1021"/>
      <c r="BS369" s="1021"/>
      <c r="BT369" s="1021"/>
      <c r="BU369" s="1021"/>
      <c r="BV369" s="1021"/>
      <c r="BW369" s="1021"/>
      <c r="BX369" s="1021"/>
      <c r="BY369" s="1021"/>
      <c r="BZ369" s="1021"/>
      <c r="CA369" s="1021"/>
      <c r="CB369" s="1021"/>
      <c r="CC369" s="1021"/>
    </row>
    <row r="370" spans="8:81" x14ac:dyDescent="0.25">
      <c r="H370" s="1021"/>
      <c r="I370" s="1021"/>
      <c r="J370" s="1021"/>
      <c r="K370" s="1021"/>
      <c r="L370" s="1021"/>
      <c r="M370" s="1021"/>
      <c r="N370" s="1021"/>
      <c r="O370" s="1021"/>
      <c r="P370" s="1021"/>
      <c r="Q370" s="1021"/>
      <c r="R370" s="1021"/>
      <c r="S370" s="1021"/>
      <c r="T370" s="1021"/>
      <c r="U370" s="1021"/>
      <c r="V370" s="1021"/>
      <c r="W370" s="1021"/>
      <c r="X370" s="1021"/>
      <c r="Y370" s="1021"/>
      <c r="Z370" s="1021"/>
      <c r="AA370" s="1021"/>
      <c r="AB370" s="1021"/>
      <c r="AC370" s="1021"/>
      <c r="AD370" s="1021"/>
      <c r="AE370" s="1021"/>
      <c r="AF370" s="1021"/>
      <c r="AG370" s="1021"/>
      <c r="AH370" s="1021"/>
      <c r="AI370" s="1021"/>
      <c r="AJ370" s="1021"/>
      <c r="AK370" s="1021"/>
      <c r="AL370" s="1021"/>
      <c r="AM370" s="1021"/>
      <c r="AN370" s="1021"/>
      <c r="AO370" s="1021"/>
      <c r="AP370" s="1021"/>
      <c r="AQ370" s="1021"/>
      <c r="AR370" s="1021"/>
      <c r="AS370" s="1021"/>
      <c r="AT370" s="1021"/>
      <c r="AU370" s="1021"/>
      <c r="AV370" s="1021"/>
      <c r="AW370" s="1021"/>
      <c r="AX370" s="1021"/>
      <c r="AY370" s="1021"/>
      <c r="AZ370" s="1021"/>
      <c r="BA370" s="1021"/>
      <c r="BB370" s="1021"/>
      <c r="BC370" s="1021"/>
      <c r="BD370" s="1021"/>
      <c r="BE370" s="1021"/>
      <c r="BF370" s="1021"/>
      <c r="BG370" s="1021"/>
      <c r="BH370" s="1021"/>
      <c r="BI370" s="1021"/>
      <c r="BJ370" s="1021"/>
      <c r="BK370" s="1021"/>
      <c r="BL370" s="1021"/>
      <c r="BM370" s="1021"/>
      <c r="BN370" s="1021"/>
      <c r="BO370" s="1021"/>
      <c r="BP370" s="1021"/>
      <c r="BQ370" s="1021"/>
      <c r="BR370" s="1021"/>
      <c r="BS370" s="1021"/>
      <c r="BT370" s="1021"/>
      <c r="BU370" s="1021"/>
      <c r="BV370" s="1021"/>
      <c r="BW370" s="1021"/>
      <c r="BX370" s="1021"/>
      <c r="BY370" s="1021"/>
      <c r="BZ370" s="1021"/>
      <c r="CA370" s="1021"/>
      <c r="CB370" s="1021"/>
      <c r="CC370" s="1021"/>
    </row>
    <row r="371" spans="8:81" x14ac:dyDescent="0.25">
      <c r="H371" s="1021"/>
      <c r="I371" s="1021"/>
      <c r="J371" s="1021"/>
      <c r="K371" s="1021"/>
      <c r="L371" s="1021"/>
      <c r="M371" s="1021"/>
      <c r="N371" s="1021"/>
      <c r="O371" s="1021"/>
      <c r="P371" s="1021"/>
      <c r="Q371" s="1021"/>
      <c r="R371" s="1021"/>
      <c r="S371" s="1021"/>
      <c r="T371" s="1021"/>
      <c r="U371" s="1021"/>
      <c r="V371" s="1021"/>
      <c r="W371" s="1021"/>
      <c r="X371" s="1021"/>
      <c r="Y371" s="1021"/>
      <c r="Z371" s="1021"/>
      <c r="AA371" s="1021"/>
      <c r="AB371" s="1021"/>
      <c r="AC371" s="1021"/>
      <c r="AD371" s="1021"/>
      <c r="AE371" s="1021"/>
      <c r="AF371" s="1021"/>
      <c r="AG371" s="1021"/>
      <c r="AH371" s="1021"/>
      <c r="AI371" s="1021"/>
      <c r="AJ371" s="1021"/>
      <c r="AK371" s="1021"/>
      <c r="AL371" s="1021"/>
      <c r="AM371" s="1021"/>
      <c r="AN371" s="1021"/>
      <c r="AO371" s="1021"/>
      <c r="AP371" s="1021"/>
      <c r="AQ371" s="1021"/>
      <c r="AR371" s="1021"/>
      <c r="AS371" s="1021"/>
      <c r="AT371" s="1021"/>
      <c r="AU371" s="1021"/>
      <c r="AV371" s="1021"/>
      <c r="AW371" s="1021"/>
      <c r="AX371" s="1021"/>
      <c r="AY371" s="1021"/>
      <c r="AZ371" s="1021"/>
      <c r="BA371" s="1021"/>
      <c r="BB371" s="1021"/>
      <c r="BC371" s="1021"/>
      <c r="BD371" s="1021"/>
      <c r="BE371" s="1021"/>
      <c r="BF371" s="1021"/>
      <c r="BG371" s="1021"/>
      <c r="BH371" s="1021"/>
      <c r="BI371" s="1021"/>
      <c r="BJ371" s="1021"/>
      <c r="BK371" s="1021"/>
      <c r="BL371" s="1021"/>
      <c r="BM371" s="1021"/>
      <c r="BN371" s="1021"/>
      <c r="BO371" s="1021"/>
      <c r="BP371" s="1021"/>
      <c r="BQ371" s="1021"/>
      <c r="BR371" s="1021"/>
      <c r="BS371" s="1021"/>
      <c r="BT371" s="1021"/>
      <c r="BU371" s="1021"/>
      <c r="BV371" s="1021"/>
      <c r="BW371" s="1021"/>
      <c r="BX371" s="1021"/>
      <c r="BY371" s="1021"/>
      <c r="BZ371" s="1021"/>
      <c r="CA371" s="1021"/>
      <c r="CB371" s="1021"/>
      <c r="CC371" s="1021"/>
    </row>
    <row r="372" spans="8:81" x14ac:dyDescent="0.25">
      <c r="H372" s="1021"/>
      <c r="I372" s="1021"/>
      <c r="J372" s="1021"/>
      <c r="K372" s="1021"/>
      <c r="L372" s="1021"/>
      <c r="M372" s="1021"/>
      <c r="N372" s="1021"/>
      <c r="O372" s="1021"/>
      <c r="P372" s="1021"/>
      <c r="Q372" s="1021"/>
      <c r="R372" s="1021"/>
      <c r="S372" s="1021"/>
      <c r="T372" s="1021"/>
      <c r="U372" s="1021"/>
      <c r="V372" s="1021"/>
      <c r="W372" s="1021"/>
      <c r="X372" s="1021"/>
      <c r="Y372" s="1021"/>
      <c r="Z372" s="1021"/>
      <c r="AA372" s="1021"/>
      <c r="AB372" s="1021"/>
      <c r="AC372" s="1021"/>
      <c r="AD372" s="1021"/>
      <c r="AE372" s="1021"/>
      <c r="AF372" s="1021"/>
      <c r="AG372" s="1021"/>
      <c r="AH372" s="1021"/>
      <c r="AI372" s="1021"/>
      <c r="AJ372" s="1021"/>
      <c r="AK372" s="1021"/>
      <c r="AL372" s="1021"/>
      <c r="AM372" s="1021"/>
      <c r="AN372" s="1021"/>
      <c r="AO372" s="1021"/>
      <c r="AP372" s="1021"/>
      <c r="AQ372" s="1021"/>
      <c r="AR372" s="1021"/>
      <c r="AS372" s="1021"/>
      <c r="AT372" s="1021"/>
      <c r="AU372" s="1021"/>
      <c r="AV372" s="1021"/>
      <c r="AW372" s="1021"/>
      <c r="AX372" s="1021"/>
      <c r="AY372" s="1021"/>
      <c r="AZ372" s="1021"/>
      <c r="BA372" s="1021"/>
      <c r="BB372" s="1021"/>
      <c r="BC372" s="1021"/>
      <c r="BD372" s="1021"/>
      <c r="BE372" s="1021"/>
      <c r="BF372" s="1021"/>
      <c r="BG372" s="1021"/>
      <c r="BH372" s="1021"/>
      <c r="BI372" s="1021"/>
      <c r="BJ372" s="1021"/>
      <c r="BK372" s="1021"/>
      <c r="BL372" s="1021"/>
      <c r="BM372" s="1021"/>
      <c r="BN372" s="1021"/>
      <c r="BO372" s="1021"/>
      <c r="BP372" s="1021"/>
      <c r="BQ372" s="1021"/>
      <c r="BR372" s="1021"/>
      <c r="BS372" s="1021"/>
      <c r="BT372" s="1021"/>
      <c r="BU372" s="1021"/>
      <c r="BV372" s="1021"/>
      <c r="BW372" s="1021"/>
      <c r="BX372" s="1021"/>
      <c r="BY372" s="1021"/>
      <c r="BZ372" s="1021"/>
      <c r="CA372" s="1021"/>
      <c r="CB372" s="1021"/>
      <c r="CC372" s="1021"/>
    </row>
    <row r="373" spans="8:81" x14ac:dyDescent="0.25">
      <c r="H373" s="1021"/>
      <c r="I373" s="1021"/>
      <c r="J373" s="1021"/>
      <c r="K373" s="1021"/>
      <c r="L373" s="1021"/>
      <c r="M373" s="1021"/>
      <c r="N373" s="1021"/>
      <c r="O373" s="1021"/>
      <c r="P373" s="1021"/>
      <c r="Q373" s="1021"/>
      <c r="R373" s="1021"/>
      <c r="S373" s="1021"/>
      <c r="T373" s="1021"/>
      <c r="U373" s="1021"/>
      <c r="V373" s="1021"/>
      <c r="W373" s="1021"/>
      <c r="X373" s="1021"/>
      <c r="Y373" s="1021"/>
      <c r="Z373" s="1021"/>
      <c r="AA373" s="1021"/>
      <c r="AB373" s="1021"/>
      <c r="AC373" s="1021"/>
      <c r="AD373" s="1021"/>
      <c r="AE373" s="1021"/>
      <c r="AF373" s="1021"/>
      <c r="AG373" s="1021"/>
      <c r="AH373" s="1021"/>
      <c r="AI373" s="1021"/>
      <c r="AJ373" s="1021"/>
      <c r="AK373" s="1021"/>
      <c r="AL373" s="1021"/>
      <c r="AM373" s="1021"/>
      <c r="AN373" s="1021"/>
      <c r="AO373" s="1021"/>
      <c r="AP373" s="1021"/>
      <c r="AQ373" s="1021"/>
      <c r="AR373" s="1021"/>
      <c r="AS373" s="1021"/>
      <c r="AT373" s="1021"/>
      <c r="AU373" s="1021"/>
      <c r="AV373" s="1021"/>
      <c r="AW373" s="1021"/>
      <c r="AX373" s="1021"/>
      <c r="AY373" s="1021"/>
      <c r="AZ373" s="1021"/>
      <c r="BA373" s="1021"/>
      <c r="BB373" s="1021"/>
      <c r="BC373" s="1021"/>
      <c r="BD373" s="1021"/>
      <c r="BE373" s="1021"/>
      <c r="BF373" s="1021"/>
      <c r="BG373" s="1021"/>
      <c r="BH373" s="1021"/>
      <c r="BI373" s="1021"/>
      <c r="BJ373" s="1021"/>
      <c r="BK373" s="1021"/>
      <c r="BL373" s="1021"/>
      <c r="BM373" s="1021"/>
      <c r="BN373" s="1021"/>
      <c r="BO373" s="1021"/>
      <c r="BP373" s="1021"/>
      <c r="BQ373" s="1021"/>
      <c r="BR373" s="1021"/>
      <c r="BS373" s="1021"/>
      <c r="BT373" s="1021"/>
      <c r="BU373" s="1021"/>
      <c r="BV373" s="1021"/>
      <c r="BW373" s="1021"/>
      <c r="BX373" s="1021"/>
      <c r="BY373" s="1021"/>
      <c r="BZ373" s="1021"/>
      <c r="CA373" s="1021"/>
      <c r="CB373" s="1021"/>
      <c r="CC373" s="1021"/>
    </row>
    <row r="374" spans="8:81" x14ac:dyDescent="0.25">
      <c r="H374" s="1021"/>
      <c r="I374" s="1021"/>
      <c r="J374" s="1021"/>
      <c r="K374" s="1021"/>
      <c r="L374" s="1021"/>
      <c r="M374" s="1021"/>
      <c r="N374" s="1021"/>
      <c r="O374" s="1021"/>
      <c r="P374" s="1021"/>
      <c r="Q374" s="1021"/>
      <c r="R374" s="1021"/>
      <c r="S374" s="1021"/>
      <c r="T374" s="1021"/>
      <c r="U374" s="1021"/>
      <c r="V374" s="1021"/>
      <c r="W374" s="1021"/>
      <c r="X374" s="1021"/>
      <c r="Y374" s="1021"/>
      <c r="Z374" s="1021"/>
      <c r="AA374" s="1021"/>
      <c r="AB374" s="1021"/>
      <c r="AC374" s="1021"/>
      <c r="AD374" s="1021"/>
      <c r="AE374" s="1021"/>
      <c r="AF374" s="1021"/>
      <c r="AG374" s="1021"/>
      <c r="AH374" s="1021"/>
      <c r="AI374" s="1021"/>
      <c r="AJ374" s="1021"/>
      <c r="AK374" s="1021"/>
      <c r="AL374" s="1021"/>
      <c r="AM374" s="1021"/>
      <c r="AN374" s="1021"/>
      <c r="AO374" s="1021"/>
      <c r="AP374" s="1021"/>
      <c r="AQ374" s="1021"/>
      <c r="AR374" s="1021"/>
      <c r="AS374" s="1021"/>
      <c r="AT374" s="1021"/>
      <c r="AU374" s="1021"/>
      <c r="AV374" s="1021"/>
      <c r="AW374" s="1021"/>
      <c r="AX374" s="1021"/>
      <c r="AY374" s="1021"/>
      <c r="AZ374" s="1021"/>
      <c r="BA374" s="1021"/>
      <c r="BB374" s="1021"/>
      <c r="BC374" s="1021"/>
      <c r="BD374" s="1021"/>
      <c r="BE374" s="1021"/>
      <c r="BF374" s="1021"/>
      <c r="BG374" s="1021"/>
      <c r="BH374" s="1021"/>
      <c r="BI374" s="1021"/>
      <c r="BJ374" s="1021"/>
      <c r="BK374" s="1021"/>
      <c r="BL374" s="1021"/>
      <c r="BM374" s="1021"/>
      <c r="BN374" s="1021"/>
      <c r="BO374" s="1021"/>
      <c r="BP374" s="1021"/>
      <c r="BQ374" s="1021"/>
      <c r="BR374" s="1021"/>
      <c r="BS374" s="1021"/>
      <c r="BT374" s="1021"/>
      <c r="BU374" s="1021"/>
      <c r="BV374" s="1021"/>
      <c r="BW374" s="1021"/>
      <c r="BX374" s="1021"/>
      <c r="BY374" s="1021"/>
      <c r="BZ374" s="1021"/>
      <c r="CA374" s="1021"/>
      <c r="CB374" s="1021"/>
      <c r="CC374" s="1021"/>
    </row>
    <row r="375" spans="8:81" x14ac:dyDescent="0.25">
      <c r="H375" s="1021"/>
      <c r="I375" s="1021"/>
      <c r="J375" s="1021"/>
      <c r="K375" s="1021"/>
      <c r="L375" s="1021"/>
      <c r="M375" s="1021"/>
      <c r="N375" s="1021"/>
      <c r="O375" s="1021"/>
      <c r="P375" s="1021"/>
      <c r="Q375" s="1021"/>
      <c r="R375" s="1021"/>
      <c r="S375" s="1021"/>
      <c r="T375" s="1021"/>
      <c r="U375" s="1021"/>
      <c r="V375" s="1021"/>
      <c r="W375" s="1021"/>
      <c r="X375" s="1021"/>
      <c r="Y375" s="1021"/>
      <c r="Z375" s="1021"/>
      <c r="AA375" s="1021"/>
      <c r="AB375" s="1021"/>
      <c r="AC375" s="1021"/>
      <c r="AD375" s="1021"/>
      <c r="AE375" s="1021"/>
      <c r="AF375" s="1021"/>
      <c r="AG375" s="1021"/>
      <c r="AH375" s="1021"/>
      <c r="AI375" s="1021"/>
      <c r="AJ375" s="1021"/>
      <c r="AK375" s="1021"/>
      <c r="AL375" s="1021"/>
      <c r="AM375" s="1021"/>
      <c r="AN375" s="1021"/>
      <c r="AO375" s="1021"/>
      <c r="AP375" s="1021"/>
      <c r="AQ375" s="1021"/>
      <c r="AR375" s="1021"/>
      <c r="AS375" s="1021"/>
      <c r="AT375" s="1021"/>
      <c r="AU375" s="1021"/>
      <c r="AV375" s="1021"/>
      <c r="AW375" s="1021"/>
      <c r="AX375" s="1021"/>
      <c r="AY375" s="1021"/>
      <c r="AZ375" s="1021"/>
      <c r="BA375" s="1021"/>
      <c r="BB375" s="1021"/>
      <c r="BC375" s="1021"/>
      <c r="BD375" s="1021"/>
      <c r="BE375" s="1021"/>
      <c r="BF375" s="1021"/>
      <c r="BG375" s="1021"/>
      <c r="BH375" s="1021"/>
      <c r="BI375" s="1021"/>
      <c r="BJ375" s="1021"/>
      <c r="BK375" s="1021"/>
      <c r="BL375" s="1021"/>
      <c r="BM375" s="1021"/>
      <c r="BN375" s="1021"/>
      <c r="BO375" s="1021"/>
      <c r="BP375" s="1021"/>
      <c r="BQ375" s="1021"/>
      <c r="BR375" s="1021"/>
      <c r="BS375" s="1021"/>
      <c r="BT375" s="1021"/>
      <c r="BU375" s="1021"/>
      <c r="BV375" s="1021"/>
      <c r="BW375" s="1021"/>
      <c r="BX375" s="1021"/>
      <c r="BY375" s="1021"/>
      <c r="BZ375" s="1021"/>
      <c r="CA375" s="1021"/>
      <c r="CB375" s="1021"/>
      <c r="CC375" s="1021"/>
    </row>
    <row r="376" spans="8:81" x14ac:dyDescent="0.25">
      <c r="H376" s="1021"/>
      <c r="I376" s="1021"/>
      <c r="J376" s="1021"/>
      <c r="K376" s="1021"/>
      <c r="L376" s="1021"/>
      <c r="M376" s="1021"/>
      <c r="N376" s="1021"/>
      <c r="O376" s="1021"/>
      <c r="P376" s="1021"/>
      <c r="Q376" s="1021"/>
      <c r="R376" s="1021"/>
      <c r="S376" s="1021"/>
      <c r="T376" s="1021"/>
      <c r="U376" s="1021"/>
      <c r="V376" s="1021"/>
      <c r="W376" s="1021"/>
      <c r="X376" s="1021"/>
      <c r="Y376" s="1021"/>
      <c r="Z376" s="1021"/>
      <c r="AA376" s="1021"/>
      <c r="AB376" s="1021"/>
      <c r="AC376" s="1021"/>
      <c r="AD376" s="1021"/>
      <c r="AE376" s="1021"/>
      <c r="AF376" s="1021"/>
      <c r="AG376" s="1021"/>
      <c r="AH376" s="1021"/>
      <c r="AI376" s="1021"/>
      <c r="AJ376" s="1021"/>
      <c r="AK376" s="1021"/>
      <c r="AL376" s="1021"/>
      <c r="AM376" s="1021"/>
      <c r="AN376" s="1021"/>
      <c r="AO376" s="1021"/>
      <c r="AP376" s="1021"/>
      <c r="AQ376" s="1021"/>
      <c r="AR376" s="1021"/>
      <c r="AS376" s="1021"/>
      <c r="AT376" s="1021"/>
      <c r="AU376" s="1021"/>
      <c r="AV376" s="1021"/>
      <c r="AW376" s="1021"/>
      <c r="AX376" s="1021"/>
      <c r="AY376" s="1021"/>
      <c r="AZ376" s="1021"/>
      <c r="BA376" s="1021"/>
      <c r="BB376" s="1021"/>
      <c r="BC376" s="1021"/>
      <c r="BD376" s="1021"/>
      <c r="BE376" s="1021"/>
      <c r="BF376" s="1021"/>
      <c r="BG376" s="1021"/>
      <c r="BH376" s="1021"/>
      <c r="BI376" s="1021"/>
      <c r="BJ376" s="1021"/>
      <c r="BK376" s="1021"/>
      <c r="BL376" s="1021"/>
      <c r="BM376" s="1021"/>
      <c r="BN376" s="1021"/>
      <c r="BO376" s="1021"/>
      <c r="BP376" s="1021"/>
      <c r="BQ376" s="1021"/>
      <c r="BR376" s="1021"/>
      <c r="BS376" s="1021"/>
      <c r="BT376" s="1021"/>
      <c r="BU376" s="1021"/>
      <c r="BV376" s="1021"/>
      <c r="BW376" s="1021"/>
      <c r="BX376" s="1021"/>
      <c r="BY376" s="1021"/>
      <c r="BZ376" s="1021"/>
      <c r="CA376" s="1021"/>
      <c r="CB376" s="1021"/>
      <c r="CC376" s="1021"/>
    </row>
    <row r="377" spans="8:81" x14ac:dyDescent="0.25">
      <c r="H377" s="1021"/>
      <c r="I377" s="1021"/>
      <c r="J377" s="1021"/>
      <c r="K377" s="1021"/>
      <c r="L377" s="1021"/>
      <c r="M377" s="1021"/>
      <c r="N377" s="1021"/>
      <c r="O377" s="1021"/>
      <c r="P377" s="1021"/>
      <c r="Q377" s="1021"/>
      <c r="R377" s="1021"/>
      <c r="S377" s="1021"/>
      <c r="T377" s="1021"/>
      <c r="U377" s="1021"/>
      <c r="V377" s="1021"/>
      <c r="W377" s="1021"/>
      <c r="X377" s="1021"/>
      <c r="Y377" s="1021"/>
      <c r="Z377" s="1021"/>
      <c r="AA377" s="1021"/>
      <c r="AB377" s="1021"/>
      <c r="AC377" s="1021"/>
      <c r="AD377" s="1021"/>
      <c r="AE377" s="1021"/>
      <c r="AF377" s="1021"/>
      <c r="AG377" s="1021"/>
      <c r="AH377" s="1021"/>
      <c r="AI377" s="1021"/>
      <c r="AJ377" s="1021"/>
      <c r="AK377" s="1021"/>
      <c r="AL377" s="1021"/>
      <c r="AM377" s="1021"/>
      <c r="AN377" s="1021"/>
      <c r="AO377" s="1021"/>
      <c r="AP377" s="1021"/>
      <c r="AQ377" s="1021"/>
      <c r="AR377" s="1021"/>
      <c r="AS377" s="1021"/>
      <c r="AT377" s="1021"/>
      <c r="AU377" s="1021"/>
      <c r="AV377" s="1021"/>
      <c r="AW377" s="1021"/>
      <c r="AX377" s="1021"/>
      <c r="AY377" s="1021"/>
      <c r="AZ377" s="1021"/>
      <c r="BA377" s="1021"/>
      <c r="BB377" s="1021"/>
      <c r="BC377" s="1021"/>
      <c r="BD377" s="1021"/>
      <c r="BE377" s="1021"/>
      <c r="BF377" s="1021"/>
      <c r="BG377" s="1021"/>
      <c r="BH377" s="1021"/>
      <c r="BI377" s="1021"/>
      <c r="BJ377" s="1021"/>
      <c r="BK377" s="1021"/>
      <c r="BL377" s="1021"/>
      <c r="BM377" s="1021"/>
      <c r="BN377" s="1021"/>
      <c r="BO377" s="1021"/>
      <c r="BP377" s="1021"/>
      <c r="BQ377" s="1021"/>
      <c r="BR377" s="1021"/>
      <c r="BS377" s="1021"/>
      <c r="BT377" s="1021"/>
      <c r="BU377" s="1021"/>
      <c r="BV377" s="1021"/>
      <c r="BW377" s="1021"/>
      <c r="BX377" s="1021"/>
      <c r="BY377" s="1021"/>
      <c r="BZ377" s="1021"/>
      <c r="CA377" s="1021"/>
      <c r="CB377" s="1021"/>
      <c r="CC377" s="1021"/>
    </row>
    <row r="378" spans="8:81" x14ac:dyDescent="0.25">
      <c r="H378" s="1021"/>
      <c r="I378" s="1021"/>
      <c r="J378" s="1021"/>
      <c r="K378" s="1021"/>
      <c r="L378" s="1021"/>
      <c r="M378" s="1021"/>
      <c r="N378" s="1021"/>
      <c r="O378" s="1021"/>
      <c r="P378" s="1021"/>
      <c r="Q378" s="1021"/>
      <c r="R378" s="1021"/>
      <c r="S378" s="1021"/>
      <c r="T378" s="1021"/>
      <c r="U378" s="1021"/>
      <c r="V378" s="1021"/>
      <c r="W378" s="1021"/>
      <c r="X378" s="1021"/>
      <c r="Y378" s="1021"/>
      <c r="Z378" s="1021"/>
      <c r="AA378" s="1021"/>
      <c r="AB378" s="1021"/>
      <c r="AC378" s="1021"/>
      <c r="AD378" s="1021"/>
      <c r="AE378" s="1021"/>
      <c r="AF378" s="1021"/>
      <c r="AG378" s="1021"/>
      <c r="AH378" s="1021"/>
      <c r="AI378" s="1021"/>
      <c r="AJ378" s="1021"/>
      <c r="AK378" s="1021"/>
      <c r="AL378" s="1021"/>
      <c r="AM378" s="1021"/>
      <c r="AN378" s="1021"/>
      <c r="AO378" s="1021"/>
      <c r="AP378" s="1021"/>
      <c r="AQ378" s="1021"/>
      <c r="AR378" s="1021"/>
      <c r="AS378" s="1021"/>
      <c r="AT378" s="1021"/>
      <c r="AU378" s="1021"/>
      <c r="AV378" s="1021"/>
      <c r="AW378" s="1021"/>
      <c r="AX378" s="1021"/>
      <c r="AY378" s="1021"/>
      <c r="AZ378" s="1021"/>
      <c r="BA378" s="1021"/>
      <c r="BB378" s="1021"/>
      <c r="BC378" s="1021"/>
      <c r="BD378" s="1021"/>
      <c r="BE378" s="1021"/>
      <c r="BF378" s="1021"/>
      <c r="BG378" s="1021"/>
      <c r="BH378" s="1021"/>
      <c r="BI378" s="1021"/>
      <c r="BJ378" s="1021"/>
      <c r="BK378" s="1021"/>
      <c r="BL378" s="1021"/>
      <c r="BM378" s="1021"/>
      <c r="BN378" s="1021"/>
      <c r="BO378" s="1021"/>
      <c r="BP378" s="1021"/>
      <c r="BQ378" s="1021"/>
      <c r="BR378" s="1021"/>
      <c r="BS378" s="1021"/>
      <c r="BT378" s="1021"/>
      <c r="BU378" s="1021"/>
      <c r="BV378" s="1021"/>
      <c r="BW378" s="1021"/>
      <c r="BX378" s="1021"/>
      <c r="BY378" s="1021"/>
      <c r="BZ378" s="1021"/>
      <c r="CA378" s="1021"/>
      <c r="CB378" s="1021"/>
      <c r="CC378" s="1021"/>
    </row>
    <row r="379" spans="8:81" x14ac:dyDescent="0.25">
      <c r="H379" s="1021"/>
      <c r="I379" s="1021"/>
      <c r="J379" s="1021"/>
      <c r="K379" s="1021"/>
      <c r="L379" s="1021"/>
      <c r="M379" s="1021"/>
      <c r="N379" s="1021"/>
      <c r="O379" s="1021"/>
      <c r="P379" s="1021"/>
      <c r="Q379" s="1021"/>
      <c r="R379" s="1021"/>
      <c r="S379" s="1021"/>
      <c r="T379" s="1021"/>
      <c r="U379" s="1021"/>
      <c r="V379" s="1021"/>
      <c r="W379" s="1021"/>
      <c r="X379" s="1021"/>
      <c r="Y379" s="1021"/>
      <c r="Z379" s="1021"/>
      <c r="AA379" s="1021"/>
      <c r="AB379" s="1021"/>
      <c r="AC379" s="1021"/>
      <c r="AD379" s="1021"/>
      <c r="AE379" s="1021"/>
      <c r="AF379" s="1021"/>
      <c r="AG379" s="1021"/>
      <c r="AH379" s="1021"/>
      <c r="AI379" s="1021"/>
      <c r="AJ379" s="1021"/>
      <c r="AK379" s="1021"/>
      <c r="AL379" s="1021"/>
      <c r="AM379" s="1021"/>
      <c r="AN379" s="1021"/>
      <c r="AO379" s="1021"/>
      <c r="AP379" s="1021"/>
      <c r="AQ379" s="1021"/>
      <c r="AR379" s="1021"/>
      <c r="AS379" s="1021"/>
      <c r="AT379" s="1021"/>
      <c r="AU379" s="1021"/>
      <c r="AV379" s="1021"/>
      <c r="AW379" s="1021"/>
      <c r="AX379" s="1021"/>
      <c r="AY379" s="1021"/>
      <c r="AZ379" s="1021"/>
      <c r="BA379" s="1021"/>
      <c r="BB379" s="1021"/>
      <c r="BC379" s="1021"/>
      <c r="BD379" s="1021"/>
      <c r="BE379" s="1021"/>
      <c r="BF379" s="1021"/>
      <c r="BG379" s="1021"/>
      <c r="BH379" s="1021"/>
      <c r="BI379" s="1021"/>
      <c r="BJ379" s="1021"/>
      <c r="BK379" s="1021"/>
      <c r="BL379" s="1021"/>
      <c r="BM379" s="1021"/>
      <c r="BN379" s="1021"/>
      <c r="BO379" s="1021"/>
      <c r="BP379" s="1021"/>
      <c r="BQ379" s="1021"/>
      <c r="BR379" s="1021"/>
      <c r="BS379" s="1021"/>
      <c r="BT379" s="1021"/>
      <c r="BU379" s="1021"/>
      <c r="BV379" s="1021"/>
      <c r="BW379" s="1021"/>
      <c r="BX379" s="1021"/>
      <c r="BY379" s="1021"/>
      <c r="BZ379" s="1021"/>
      <c r="CA379" s="1021"/>
      <c r="CB379" s="1021"/>
      <c r="CC379" s="1021"/>
    </row>
    <row r="380" spans="8:81" x14ac:dyDescent="0.25">
      <c r="H380" s="1021"/>
      <c r="I380" s="1021"/>
      <c r="J380" s="1021"/>
      <c r="K380" s="1021"/>
      <c r="L380" s="1021"/>
      <c r="M380" s="1021"/>
      <c r="N380" s="1021"/>
      <c r="O380" s="1021"/>
      <c r="P380" s="1021"/>
      <c r="Q380" s="1021"/>
      <c r="R380" s="1021"/>
      <c r="S380" s="1021"/>
      <c r="T380" s="1021"/>
      <c r="U380" s="1021"/>
      <c r="V380" s="1021"/>
      <c r="W380" s="1021"/>
      <c r="X380" s="1021"/>
      <c r="Y380" s="1021"/>
      <c r="Z380" s="1021"/>
      <c r="AA380" s="1021"/>
      <c r="AB380" s="1021"/>
      <c r="AC380" s="1021"/>
      <c r="AD380" s="1021"/>
      <c r="AE380" s="1021"/>
      <c r="AF380" s="1021"/>
      <c r="AG380" s="1021"/>
      <c r="AH380" s="1021"/>
      <c r="AI380" s="1021"/>
      <c r="AJ380" s="1021"/>
      <c r="AK380" s="1021"/>
      <c r="AL380" s="1021"/>
      <c r="AM380" s="1021"/>
      <c r="AN380" s="1021"/>
      <c r="AO380" s="1021"/>
      <c r="AP380" s="1021"/>
      <c r="AQ380" s="1021"/>
      <c r="AR380" s="1021"/>
      <c r="AS380" s="1021"/>
      <c r="AT380" s="1021"/>
      <c r="AU380" s="1021"/>
      <c r="AV380" s="1021"/>
      <c r="AW380" s="1021"/>
      <c r="AX380" s="1021"/>
      <c r="AY380" s="1021"/>
      <c r="AZ380" s="1021"/>
      <c r="BA380" s="1021"/>
      <c r="BB380" s="1021"/>
      <c r="BC380" s="1021"/>
      <c r="BD380" s="1021"/>
      <c r="BE380" s="1021"/>
      <c r="BF380" s="1021"/>
      <c r="BG380" s="1021"/>
      <c r="BH380" s="1021"/>
      <c r="BI380" s="1021"/>
      <c r="BJ380" s="1021"/>
      <c r="BK380" s="1021"/>
      <c r="BL380" s="1021"/>
      <c r="BM380" s="1021"/>
      <c r="BN380" s="1021"/>
      <c r="BO380" s="1021"/>
      <c r="BP380" s="1021"/>
      <c r="BQ380" s="1021"/>
      <c r="BR380" s="1021"/>
      <c r="BS380" s="1021"/>
      <c r="BT380" s="1021"/>
      <c r="BU380" s="1021"/>
      <c r="BV380" s="1021"/>
      <c r="BW380" s="1021"/>
      <c r="BX380" s="1021"/>
      <c r="BY380" s="1021"/>
      <c r="BZ380" s="1021"/>
      <c r="CA380" s="1021"/>
      <c r="CB380" s="1021"/>
      <c r="CC380" s="1021"/>
    </row>
    <row r="381" spans="8:81" x14ac:dyDescent="0.25">
      <c r="H381" s="1021"/>
      <c r="I381" s="1021"/>
      <c r="J381" s="1021"/>
      <c r="K381" s="1021"/>
      <c r="L381" s="1021"/>
      <c r="M381" s="1021"/>
      <c r="N381" s="1021"/>
      <c r="O381" s="1021"/>
      <c r="P381" s="1021"/>
      <c r="Q381" s="1021"/>
      <c r="R381" s="1021"/>
      <c r="S381" s="1021"/>
      <c r="T381" s="1021"/>
      <c r="U381" s="1021"/>
      <c r="V381" s="1021"/>
      <c r="W381" s="1021"/>
      <c r="X381" s="1021"/>
      <c r="Y381" s="1021"/>
      <c r="Z381" s="1021"/>
      <c r="AA381" s="1021"/>
      <c r="AB381" s="1021"/>
      <c r="AC381" s="1021"/>
      <c r="AD381" s="1021"/>
      <c r="AE381" s="1021"/>
      <c r="AF381" s="1021"/>
      <c r="AG381" s="1021"/>
      <c r="AH381" s="1021"/>
      <c r="AI381" s="1021"/>
      <c r="AJ381" s="1021"/>
      <c r="AK381" s="1021"/>
      <c r="AL381" s="1021"/>
      <c r="AM381" s="1021"/>
      <c r="AN381" s="1021"/>
      <c r="AO381" s="1021"/>
      <c r="AP381" s="1021"/>
      <c r="AQ381" s="1021"/>
      <c r="AR381" s="1021"/>
      <c r="AS381" s="1021"/>
      <c r="AT381" s="1021"/>
      <c r="AU381" s="1021"/>
      <c r="AV381" s="1021"/>
      <c r="AW381" s="1021"/>
      <c r="AX381" s="1021"/>
      <c r="AY381" s="1021"/>
      <c r="AZ381" s="1021"/>
      <c r="BA381" s="1021"/>
      <c r="BB381" s="1021"/>
      <c r="BC381" s="1021"/>
      <c r="BD381" s="1021"/>
      <c r="BE381" s="1021"/>
      <c r="BF381" s="1021"/>
      <c r="BG381" s="1021"/>
      <c r="BH381" s="1021"/>
      <c r="BI381" s="1021"/>
      <c r="BJ381" s="1021"/>
      <c r="BK381" s="1021"/>
      <c r="BL381" s="1021"/>
      <c r="BM381" s="1021"/>
      <c r="BN381" s="1021"/>
      <c r="BO381" s="1021"/>
      <c r="BP381" s="1021"/>
      <c r="BQ381" s="1021"/>
      <c r="BR381" s="1021"/>
      <c r="BS381" s="1021"/>
      <c r="BT381" s="1021"/>
      <c r="BU381" s="1021"/>
      <c r="BV381" s="1021"/>
      <c r="BW381" s="1021"/>
      <c r="BX381" s="1021"/>
      <c r="BY381" s="1021"/>
      <c r="BZ381" s="1021"/>
      <c r="CA381" s="1021"/>
      <c r="CB381" s="1021"/>
      <c r="CC381" s="1021"/>
    </row>
    <row r="382" spans="8:81" x14ac:dyDescent="0.25">
      <c r="H382" s="1021"/>
      <c r="I382" s="1021"/>
      <c r="J382" s="1021"/>
      <c r="K382" s="1021"/>
      <c r="L382" s="1021"/>
      <c r="M382" s="1021"/>
      <c r="N382" s="1021"/>
      <c r="O382" s="1021"/>
      <c r="P382" s="1021"/>
      <c r="Q382" s="1021"/>
      <c r="R382" s="1021"/>
      <c r="S382" s="1021"/>
      <c r="T382" s="1021"/>
      <c r="U382" s="1021"/>
      <c r="V382" s="1021"/>
      <c r="W382" s="1021"/>
      <c r="X382" s="1021"/>
      <c r="Y382" s="1021"/>
      <c r="Z382" s="1021"/>
      <c r="AA382" s="1021"/>
      <c r="AB382" s="1021"/>
      <c r="AC382" s="1021"/>
      <c r="AD382" s="1021"/>
      <c r="AE382" s="1021"/>
      <c r="AF382" s="1021"/>
      <c r="AG382" s="1021"/>
      <c r="AH382" s="1021"/>
      <c r="AI382" s="1021"/>
      <c r="AJ382" s="1021"/>
      <c r="AK382" s="1021"/>
      <c r="AL382" s="1021"/>
      <c r="AM382" s="1021"/>
      <c r="AN382" s="1021"/>
      <c r="AO382" s="1021"/>
      <c r="AP382" s="1021"/>
      <c r="AQ382" s="1021"/>
      <c r="AR382" s="1021"/>
      <c r="AS382" s="1021"/>
      <c r="AT382" s="1021"/>
      <c r="AU382" s="1021"/>
      <c r="AV382" s="1021"/>
      <c r="AW382" s="1021"/>
      <c r="AX382" s="1021"/>
      <c r="AY382" s="1021"/>
      <c r="AZ382" s="1021"/>
      <c r="BA382" s="1021"/>
      <c r="BB382" s="1021"/>
      <c r="BC382" s="1021"/>
      <c r="BD382" s="1021"/>
      <c r="BE382" s="1021"/>
      <c r="BF382" s="1021"/>
      <c r="BG382" s="1021"/>
      <c r="BH382" s="1021"/>
      <c r="BI382" s="1021"/>
      <c r="BJ382" s="1021"/>
      <c r="BK382" s="1021"/>
      <c r="BL382" s="1021"/>
      <c r="BM382" s="1021"/>
      <c r="BN382" s="1021"/>
      <c r="BO382" s="1021"/>
      <c r="BP382" s="1021"/>
      <c r="BQ382" s="1021"/>
      <c r="BR382" s="1021"/>
      <c r="BS382" s="1021"/>
      <c r="BT382" s="1021"/>
      <c r="BU382" s="1021"/>
      <c r="BV382" s="1021"/>
      <c r="BW382" s="1021"/>
      <c r="BX382" s="1021"/>
      <c r="BY382" s="1021"/>
      <c r="BZ382" s="1021"/>
      <c r="CA382" s="1021"/>
      <c r="CB382" s="1021"/>
      <c r="CC382" s="1021"/>
    </row>
    <row r="383" spans="8:81" x14ac:dyDescent="0.25">
      <c r="H383" s="1021"/>
      <c r="I383" s="1021"/>
      <c r="J383" s="1021"/>
      <c r="K383" s="1021"/>
      <c r="L383" s="1021"/>
      <c r="M383" s="1021"/>
      <c r="N383" s="1021"/>
      <c r="O383" s="1021"/>
      <c r="P383" s="1021"/>
      <c r="Q383" s="1021"/>
      <c r="R383" s="1021"/>
      <c r="S383" s="1021"/>
      <c r="T383" s="1021"/>
      <c r="U383" s="1021"/>
      <c r="V383" s="1021"/>
      <c r="W383" s="1021"/>
      <c r="X383" s="1021"/>
      <c r="Y383" s="1021"/>
      <c r="Z383" s="1021"/>
      <c r="AA383" s="1021"/>
      <c r="AB383" s="1021"/>
      <c r="AC383" s="1021"/>
      <c r="AD383" s="1021"/>
      <c r="AE383" s="1021"/>
      <c r="AF383" s="1021"/>
      <c r="AG383" s="1021"/>
      <c r="AH383" s="1021"/>
      <c r="AI383" s="1021"/>
      <c r="AJ383" s="1021"/>
      <c r="AK383" s="1021"/>
      <c r="AL383" s="1021"/>
      <c r="AM383" s="1021"/>
      <c r="AN383" s="1021"/>
      <c r="AO383" s="1021"/>
      <c r="AP383" s="1021"/>
      <c r="AQ383" s="1021"/>
      <c r="AR383" s="1021"/>
      <c r="AS383" s="1021"/>
      <c r="AT383" s="1021"/>
      <c r="AU383" s="1021"/>
      <c r="AV383" s="1021"/>
      <c r="AW383" s="1021"/>
      <c r="AX383" s="1021"/>
      <c r="AY383" s="1021"/>
      <c r="AZ383" s="1021"/>
      <c r="BA383" s="1021"/>
      <c r="BB383" s="1021"/>
      <c r="BC383" s="1021"/>
      <c r="BD383" s="1021"/>
      <c r="BE383" s="1021"/>
      <c r="BF383" s="1021"/>
      <c r="BG383" s="1021"/>
      <c r="BH383" s="1021"/>
      <c r="BI383" s="1021"/>
      <c r="BJ383" s="1021"/>
      <c r="BK383" s="1021"/>
      <c r="BL383" s="1021"/>
      <c r="BM383" s="1021"/>
      <c r="BN383" s="1021"/>
      <c r="BO383" s="1021"/>
      <c r="BP383" s="1021"/>
      <c r="BQ383" s="1021"/>
      <c r="BR383" s="1021"/>
      <c r="BS383" s="1021"/>
      <c r="BT383" s="1021"/>
      <c r="BU383" s="1021"/>
      <c r="BV383" s="1021"/>
      <c r="BW383" s="1021"/>
      <c r="BX383" s="1021"/>
      <c r="BY383" s="1021"/>
      <c r="BZ383" s="1021"/>
      <c r="CA383" s="1021"/>
      <c r="CB383" s="1021"/>
      <c r="CC383" s="1021"/>
    </row>
    <row r="384" spans="8:81" x14ac:dyDescent="0.25">
      <c r="H384" s="1021"/>
      <c r="I384" s="1021"/>
      <c r="J384" s="1021"/>
      <c r="K384" s="1021"/>
      <c r="L384" s="1021"/>
      <c r="M384" s="1021"/>
      <c r="N384" s="1021"/>
      <c r="O384" s="1021"/>
      <c r="P384" s="1021"/>
      <c r="Q384" s="1021"/>
      <c r="R384" s="1021"/>
      <c r="S384" s="1021"/>
      <c r="T384" s="1021"/>
      <c r="U384" s="1021"/>
      <c r="V384" s="1021"/>
      <c r="W384" s="1021"/>
      <c r="X384" s="1021"/>
      <c r="Y384" s="1021"/>
      <c r="Z384" s="1021"/>
      <c r="AA384" s="1021"/>
      <c r="AB384" s="1021"/>
      <c r="AC384" s="1021"/>
      <c r="AD384" s="1021"/>
      <c r="AE384" s="1021"/>
      <c r="AF384" s="1021"/>
      <c r="AG384" s="1021"/>
      <c r="AH384" s="1021"/>
      <c r="AI384" s="1021"/>
      <c r="AJ384" s="1021"/>
      <c r="AK384" s="1021"/>
      <c r="AL384" s="1021"/>
      <c r="AM384" s="1021"/>
      <c r="AN384" s="1021"/>
      <c r="AO384" s="1021"/>
      <c r="AP384" s="1021"/>
      <c r="AQ384" s="1021"/>
      <c r="AR384" s="1021"/>
      <c r="AS384" s="1021"/>
      <c r="AT384" s="1021"/>
      <c r="AU384" s="1021"/>
      <c r="AV384" s="1021"/>
      <c r="AW384" s="1021"/>
      <c r="AX384" s="1021"/>
      <c r="AY384" s="1021"/>
      <c r="AZ384" s="1021"/>
      <c r="BA384" s="1021"/>
      <c r="BB384" s="1021"/>
      <c r="BC384" s="1021"/>
      <c r="BD384" s="1021"/>
      <c r="BE384" s="1021"/>
      <c r="BF384" s="1021"/>
      <c r="BG384" s="1021"/>
      <c r="BH384" s="1021"/>
      <c r="BI384" s="1021"/>
      <c r="BJ384" s="1021"/>
      <c r="BK384" s="1021"/>
      <c r="BL384" s="1021"/>
      <c r="BM384" s="1021"/>
      <c r="BN384" s="1021"/>
      <c r="BO384" s="1021"/>
      <c r="BP384" s="1021"/>
      <c r="BQ384" s="1021"/>
      <c r="BR384" s="1021"/>
      <c r="BS384" s="1021"/>
      <c r="BT384" s="1021"/>
      <c r="BU384" s="1021"/>
      <c r="BV384" s="1021"/>
      <c r="BW384" s="1021"/>
      <c r="BX384" s="1021"/>
      <c r="BY384" s="1021"/>
      <c r="BZ384" s="1021"/>
      <c r="CA384" s="1021"/>
      <c r="CB384" s="1021"/>
      <c r="CC384" s="1021"/>
    </row>
    <row r="385" spans="8:81" x14ac:dyDescent="0.25">
      <c r="H385" s="1021"/>
      <c r="I385" s="1021"/>
      <c r="J385" s="1021"/>
      <c r="K385" s="1021"/>
      <c r="L385" s="1021"/>
      <c r="M385" s="1021"/>
      <c r="N385" s="1021"/>
      <c r="O385" s="1021"/>
      <c r="P385" s="1021"/>
      <c r="Q385" s="1021"/>
      <c r="R385" s="1021"/>
      <c r="S385" s="1021"/>
      <c r="T385" s="1021"/>
      <c r="U385" s="1021"/>
      <c r="V385" s="1021"/>
      <c r="W385" s="1021"/>
      <c r="X385" s="1021"/>
      <c r="Y385" s="1021"/>
      <c r="Z385" s="1021"/>
      <c r="AA385" s="1021"/>
      <c r="AB385" s="1021"/>
      <c r="AC385" s="1021"/>
      <c r="AD385" s="1021"/>
      <c r="AE385" s="1021"/>
      <c r="AF385" s="1021"/>
      <c r="AG385" s="1021"/>
      <c r="AH385" s="1021"/>
      <c r="AI385" s="1021"/>
      <c r="AJ385" s="1021"/>
      <c r="AK385" s="1021"/>
      <c r="AL385" s="1021"/>
      <c r="AM385" s="1021"/>
      <c r="AN385" s="1021"/>
      <c r="AO385" s="1021"/>
      <c r="AP385" s="1021"/>
      <c r="AQ385" s="1021"/>
      <c r="AR385" s="1021"/>
      <c r="AS385" s="1021"/>
      <c r="AT385" s="1021"/>
      <c r="AU385" s="1021"/>
      <c r="AV385" s="1021"/>
      <c r="AW385" s="1021"/>
      <c r="AX385" s="1021"/>
      <c r="AY385" s="1021"/>
      <c r="AZ385" s="1021"/>
      <c r="BA385" s="1021"/>
      <c r="BB385" s="1021"/>
      <c r="BC385" s="1021"/>
      <c r="BD385" s="1021"/>
      <c r="BE385" s="1021"/>
      <c r="BF385" s="1021"/>
      <c r="BG385" s="1021"/>
      <c r="BH385" s="1021"/>
      <c r="BI385" s="1021"/>
      <c r="BJ385" s="1021"/>
      <c r="BK385" s="1021"/>
      <c r="BL385" s="1021"/>
      <c r="BM385" s="1021"/>
      <c r="BN385" s="1021"/>
      <c r="BO385" s="1021"/>
      <c r="BP385" s="1021"/>
      <c r="BQ385" s="1021"/>
      <c r="BR385" s="1021"/>
      <c r="BS385" s="1021"/>
      <c r="BT385" s="1021"/>
      <c r="BU385" s="1021"/>
      <c r="BV385" s="1021"/>
      <c r="BW385" s="1021"/>
      <c r="BX385" s="1021"/>
      <c r="BY385" s="1021"/>
      <c r="BZ385" s="1021"/>
      <c r="CA385" s="1021"/>
      <c r="CB385" s="1021"/>
      <c r="CC385" s="1021"/>
    </row>
    <row r="386" spans="8:81" x14ac:dyDescent="0.25">
      <c r="H386" s="1021"/>
      <c r="I386" s="1021"/>
      <c r="J386" s="1021"/>
      <c r="K386" s="1021"/>
      <c r="L386" s="1021"/>
      <c r="M386" s="1021"/>
      <c r="N386" s="1021"/>
      <c r="O386" s="1021"/>
      <c r="P386" s="1021"/>
      <c r="Q386" s="1021"/>
      <c r="R386" s="1021"/>
      <c r="S386" s="1021"/>
      <c r="T386" s="1021"/>
      <c r="U386" s="1021"/>
      <c r="V386" s="1021"/>
      <c r="W386" s="1021"/>
      <c r="X386" s="1021"/>
      <c r="Y386" s="1021"/>
      <c r="Z386" s="1021"/>
      <c r="AA386" s="1021"/>
      <c r="AB386" s="1021"/>
      <c r="AC386" s="1021"/>
      <c r="AD386" s="1021"/>
      <c r="AE386" s="1021"/>
      <c r="AF386" s="1021"/>
      <c r="AG386" s="1021"/>
      <c r="AH386" s="1021"/>
      <c r="AI386" s="1021"/>
      <c r="AJ386" s="1021"/>
      <c r="AK386" s="1021"/>
      <c r="AL386" s="1021"/>
      <c r="AM386" s="1021"/>
      <c r="AN386" s="1021"/>
      <c r="AO386" s="1021"/>
      <c r="AP386" s="1021"/>
      <c r="AQ386" s="1021"/>
      <c r="AR386" s="1021"/>
      <c r="AS386" s="1021"/>
      <c r="AT386" s="1021"/>
      <c r="AU386" s="1021"/>
      <c r="AV386" s="1021"/>
      <c r="AW386" s="1021"/>
      <c r="AX386" s="1021"/>
      <c r="AY386" s="1021"/>
      <c r="AZ386" s="1021"/>
      <c r="BA386" s="1021"/>
      <c r="BB386" s="1021"/>
      <c r="BC386" s="1021"/>
      <c r="BD386" s="1021"/>
      <c r="BE386" s="1021"/>
      <c r="BF386" s="1021"/>
      <c r="BG386" s="1021"/>
      <c r="BH386" s="1021"/>
      <c r="BI386" s="1021"/>
      <c r="BJ386" s="1021"/>
      <c r="BK386" s="1021"/>
      <c r="BL386" s="1021"/>
      <c r="BM386" s="1021"/>
      <c r="BN386" s="1021"/>
      <c r="BO386" s="1021"/>
      <c r="BP386" s="1021"/>
      <c r="BQ386" s="1021"/>
      <c r="BR386" s="1021"/>
      <c r="BS386" s="1021"/>
      <c r="BT386" s="1021"/>
      <c r="BU386" s="1021"/>
      <c r="BV386" s="1021"/>
      <c r="BW386" s="1021"/>
      <c r="BX386" s="1021"/>
      <c r="BY386" s="1021"/>
      <c r="BZ386" s="1021"/>
      <c r="CA386" s="1021"/>
      <c r="CB386" s="1021"/>
      <c r="CC386" s="1021"/>
    </row>
    <row r="387" spans="8:81" x14ac:dyDescent="0.25">
      <c r="H387" s="1021"/>
      <c r="I387" s="1021"/>
      <c r="J387" s="1021"/>
      <c r="K387" s="1021"/>
      <c r="L387" s="1021"/>
      <c r="M387" s="1021"/>
      <c r="N387" s="1021"/>
      <c r="O387" s="1021"/>
      <c r="P387" s="1021"/>
      <c r="Q387" s="1021"/>
      <c r="R387" s="1021"/>
      <c r="S387" s="1021"/>
      <c r="T387" s="1021"/>
      <c r="U387" s="1021"/>
      <c r="V387" s="1021"/>
      <c r="W387" s="1021"/>
      <c r="X387" s="1021"/>
      <c r="Y387" s="1021"/>
      <c r="Z387" s="1021"/>
      <c r="AA387" s="1021"/>
      <c r="AB387" s="1021"/>
      <c r="AC387" s="1021"/>
      <c r="AD387" s="1021"/>
      <c r="AE387" s="1021"/>
      <c r="AF387" s="1021"/>
      <c r="AG387" s="1021"/>
      <c r="AH387" s="1021"/>
      <c r="AI387" s="1021"/>
      <c r="AJ387" s="1021"/>
      <c r="AK387" s="1021"/>
      <c r="AL387" s="1021"/>
      <c r="AM387" s="1021"/>
      <c r="AN387" s="1021"/>
      <c r="AO387" s="1021"/>
      <c r="AP387" s="1021"/>
      <c r="AQ387" s="1021"/>
      <c r="AR387" s="1021"/>
      <c r="AS387" s="1021"/>
      <c r="AT387" s="1021"/>
      <c r="AU387" s="1021"/>
      <c r="AV387" s="1021"/>
      <c r="AW387" s="1021"/>
      <c r="AX387" s="1021"/>
      <c r="AY387" s="1021"/>
      <c r="AZ387" s="1021"/>
      <c r="BA387" s="1021"/>
      <c r="BB387" s="1021"/>
      <c r="BC387" s="1021"/>
      <c r="BD387" s="1021"/>
      <c r="BE387" s="1021"/>
      <c r="BF387" s="1021"/>
      <c r="BG387" s="1021"/>
      <c r="BH387" s="1021"/>
      <c r="BI387" s="1021"/>
      <c r="BJ387" s="1021"/>
      <c r="BK387" s="1021"/>
      <c r="BL387" s="1021"/>
      <c r="BM387" s="1021"/>
      <c r="BN387" s="1021"/>
      <c r="BO387" s="1021"/>
      <c r="BP387" s="1021"/>
      <c r="BQ387" s="1021"/>
      <c r="BR387" s="1021"/>
      <c r="BS387" s="1021"/>
      <c r="BT387" s="1021"/>
      <c r="BU387" s="1021"/>
      <c r="BV387" s="1021"/>
      <c r="BW387" s="1021"/>
      <c r="BX387" s="1021"/>
      <c r="BY387" s="1021"/>
      <c r="BZ387" s="1021"/>
      <c r="CA387" s="1021"/>
      <c r="CB387" s="1021"/>
      <c r="CC387" s="1021"/>
    </row>
    <row r="388" spans="8:81" x14ac:dyDescent="0.25">
      <c r="H388" s="1021"/>
      <c r="I388" s="1021"/>
      <c r="J388" s="1021"/>
      <c r="K388" s="1021"/>
      <c r="L388" s="1021"/>
      <c r="M388" s="1021"/>
      <c r="N388" s="1021"/>
      <c r="O388" s="1021"/>
      <c r="P388" s="1021"/>
      <c r="Q388" s="1021"/>
      <c r="R388" s="1021"/>
      <c r="S388" s="1021"/>
      <c r="T388" s="1021"/>
      <c r="U388" s="1021"/>
      <c r="V388" s="1021"/>
      <c r="W388" s="1021"/>
      <c r="X388" s="1021"/>
      <c r="Y388" s="1021"/>
      <c r="Z388" s="1021"/>
      <c r="AA388" s="1021"/>
      <c r="AB388" s="1021"/>
      <c r="AC388" s="1021"/>
      <c r="AD388" s="1021"/>
      <c r="AE388" s="1021"/>
      <c r="AF388" s="1021"/>
      <c r="AG388" s="1021"/>
      <c r="AH388" s="1021"/>
      <c r="AI388" s="1021"/>
      <c r="AJ388" s="1021"/>
      <c r="AK388" s="1021"/>
      <c r="AL388" s="1021"/>
      <c r="AM388" s="1021"/>
      <c r="AN388" s="1021"/>
      <c r="AO388" s="1021"/>
      <c r="AP388" s="1021"/>
      <c r="AQ388" s="1021"/>
      <c r="AR388" s="1021"/>
      <c r="AS388" s="1021"/>
      <c r="AT388" s="1021"/>
      <c r="AU388" s="1021"/>
      <c r="AV388" s="1021"/>
      <c r="AW388" s="1021"/>
      <c r="AX388" s="1021"/>
      <c r="AY388" s="1021"/>
      <c r="AZ388" s="1021"/>
      <c r="BA388" s="1021"/>
      <c r="BB388" s="1021"/>
      <c r="BC388" s="1021"/>
      <c r="BD388" s="1021"/>
      <c r="BE388" s="1021"/>
      <c r="BF388" s="1021"/>
      <c r="BG388" s="1021"/>
      <c r="BH388" s="1021"/>
      <c r="BI388" s="1021"/>
      <c r="BJ388" s="1021"/>
      <c r="BK388" s="1021"/>
      <c r="BL388" s="1021"/>
      <c r="BM388" s="1021"/>
      <c r="BN388" s="1021"/>
      <c r="BO388" s="1021"/>
      <c r="BP388" s="1021"/>
      <c r="BQ388" s="1021"/>
      <c r="BR388" s="1021"/>
      <c r="BS388" s="1021"/>
      <c r="BT388" s="1021"/>
      <c r="BU388" s="1021"/>
      <c r="BV388" s="1021"/>
      <c r="BW388" s="1021"/>
      <c r="BX388" s="1021"/>
      <c r="BY388" s="1021"/>
      <c r="BZ388" s="1021"/>
      <c r="CA388" s="1021"/>
      <c r="CB388" s="1021"/>
      <c r="CC388" s="1021"/>
    </row>
    <row r="389" spans="8:81" x14ac:dyDescent="0.25">
      <c r="H389" s="1021"/>
      <c r="I389" s="1021"/>
      <c r="J389" s="1021"/>
      <c r="K389" s="1021"/>
      <c r="L389" s="1021"/>
      <c r="M389" s="1021"/>
      <c r="N389" s="1021"/>
      <c r="O389" s="1021"/>
      <c r="P389" s="1021"/>
      <c r="Q389" s="1021"/>
      <c r="R389" s="1021"/>
      <c r="S389" s="1021"/>
      <c r="T389" s="1021"/>
      <c r="U389" s="1021"/>
      <c r="V389" s="1021"/>
      <c r="W389" s="1021"/>
      <c r="X389" s="1021"/>
      <c r="Y389" s="1021"/>
      <c r="Z389" s="1021"/>
      <c r="AA389" s="1021"/>
      <c r="AB389" s="1021"/>
      <c r="AC389" s="1021"/>
      <c r="AD389" s="1021"/>
      <c r="AE389" s="1021"/>
      <c r="AF389" s="1021"/>
      <c r="AG389" s="1021"/>
      <c r="AH389" s="1021"/>
      <c r="AI389" s="1021"/>
      <c r="AJ389" s="1021"/>
      <c r="AK389" s="1021"/>
      <c r="AL389" s="1021"/>
      <c r="AM389" s="1021"/>
      <c r="AN389" s="1021"/>
      <c r="AO389" s="1021"/>
      <c r="AP389" s="1021"/>
      <c r="AQ389" s="1021"/>
      <c r="AR389" s="1021"/>
      <c r="AS389" s="1021"/>
      <c r="AT389" s="1021"/>
      <c r="AU389" s="1021"/>
      <c r="AV389" s="1021"/>
      <c r="AW389" s="1021"/>
      <c r="AX389" s="1021"/>
      <c r="AY389" s="1021"/>
      <c r="AZ389" s="1021"/>
      <c r="BA389" s="1021"/>
      <c r="BB389" s="1021"/>
      <c r="BC389" s="1021"/>
      <c r="BD389" s="1021"/>
      <c r="BE389" s="1021"/>
      <c r="BF389" s="1021"/>
      <c r="BG389" s="1021"/>
      <c r="BH389" s="1021"/>
      <c r="BI389" s="1021"/>
      <c r="BJ389" s="1021"/>
      <c r="BK389" s="1021"/>
      <c r="BL389" s="1021"/>
      <c r="BM389" s="1021"/>
      <c r="BN389" s="1021"/>
      <c r="BO389" s="1021"/>
      <c r="BP389" s="1021"/>
      <c r="BQ389" s="1021"/>
      <c r="BR389" s="1021"/>
      <c r="BS389" s="1021"/>
      <c r="BT389" s="1021"/>
      <c r="BU389" s="1021"/>
      <c r="BV389" s="1021"/>
      <c r="BW389" s="1021"/>
      <c r="BX389" s="1021"/>
      <c r="BY389" s="1021"/>
      <c r="BZ389" s="1021"/>
      <c r="CA389" s="1021"/>
      <c r="CB389" s="1021"/>
      <c r="CC389" s="1021"/>
    </row>
    <row r="390" spans="8:81" x14ac:dyDescent="0.25">
      <c r="H390" s="1021"/>
      <c r="I390" s="1021"/>
      <c r="J390" s="1021"/>
      <c r="K390" s="1021"/>
      <c r="L390" s="1021"/>
      <c r="M390" s="1021"/>
      <c r="N390" s="1021"/>
      <c r="O390" s="1021"/>
      <c r="P390" s="1021"/>
      <c r="Q390" s="1021"/>
      <c r="R390" s="1021"/>
      <c r="S390" s="1021"/>
      <c r="T390" s="1021"/>
      <c r="U390" s="1021"/>
      <c r="V390" s="1021"/>
      <c r="W390" s="1021"/>
      <c r="X390" s="1021"/>
      <c r="Y390" s="1021"/>
      <c r="Z390" s="1021"/>
      <c r="AA390" s="1021"/>
      <c r="AB390" s="1021"/>
      <c r="AC390" s="1021"/>
      <c r="AD390" s="1021"/>
      <c r="AE390" s="1021"/>
      <c r="AF390" s="1021"/>
      <c r="AG390" s="1021"/>
      <c r="AH390" s="1021"/>
      <c r="AI390" s="1021"/>
      <c r="AJ390" s="1021"/>
      <c r="AK390" s="1021"/>
      <c r="AL390" s="1021"/>
      <c r="AM390" s="1021"/>
      <c r="AN390" s="1021"/>
      <c r="AO390" s="1021"/>
      <c r="AP390" s="1021"/>
      <c r="AQ390" s="1021"/>
      <c r="AR390" s="1021"/>
      <c r="AS390" s="1021"/>
      <c r="AT390" s="1021"/>
      <c r="AU390" s="1021"/>
      <c r="AV390" s="1021"/>
      <c r="AW390" s="1021"/>
      <c r="AX390" s="1021"/>
      <c r="AY390" s="1021"/>
      <c r="AZ390" s="1021"/>
      <c r="BA390" s="1021"/>
      <c r="BB390" s="1021"/>
      <c r="BC390" s="1021"/>
      <c r="BD390" s="1021"/>
      <c r="BE390" s="1021"/>
      <c r="BF390" s="1021"/>
      <c r="BG390" s="1021"/>
      <c r="BH390" s="1021"/>
      <c r="BI390" s="1021"/>
      <c r="BJ390" s="1021"/>
      <c r="BK390" s="1021"/>
      <c r="BL390" s="1021"/>
      <c r="BM390" s="1021"/>
      <c r="BN390" s="1021"/>
      <c r="BO390" s="1021"/>
      <c r="BP390" s="1021"/>
      <c r="BQ390" s="1021"/>
      <c r="BR390" s="1021"/>
      <c r="BS390" s="1021"/>
      <c r="BT390" s="1021"/>
      <c r="BU390" s="1021"/>
      <c r="BV390" s="1021"/>
      <c r="BW390" s="1021"/>
      <c r="BX390" s="1021"/>
      <c r="BY390" s="1021"/>
      <c r="BZ390" s="1021"/>
      <c r="CA390" s="1021"/>
      <c r="CB390" s="1021"/>
      <c r="CC390" s="1021"/>
    </row>
    <row r="391" spans="8:81" x14ac:dyDescent="0.25">
      <c r="H391" s="1021"/>
      <c r="I391" s="1021"/>
      <c r="J391" s="1021"/>
      <c r="K391" s="1021"/>
      <c r="L391" s="1021"/>
      <c r="M391" s="1021"/>
      <c r="N391" s="1021"/>
      <c r="O391" s="1021"/>
      <c r="P391" s="1021"/>
      <c r="Q391" s="1021"/>
      <c r="R391" s="1021"/>
      <c r="S391" s="1021"/>
      <c r="T391" s="1021"/>
      <c r="U391" s="1021"/>
      <c r="V391" s="1021"/>
      <c r="W391" s="1021"/>
      <c r="X391" s="1021"/>
      <c r="Y391" s="1021"/>
      <c r="Z391" s="1021"/>
      <c r="AA391" s="1021"/>
      <c r="AB391" s="1021"/>
      <c r="AC391" s="1021"/>
      <c r="AD391" s="1021"/>
      <c r="AE391" s="1021"/>
      <c r="AF391" s="1021"/>
      <c r="AG391" s="1021"/>
      <c r="AH391" s="1021"/>
      <c r="AI391" s="1021"/>
      <c r="AJ391" s="1021"/>
      <c r="AK391" s="1021"/>
      <c r="AL391" s="1021"/>
      <c r="AM391" s="1021"/>
      <c r="AN391" s="1021"/>
      <c r="AO391" s="1021"/>
      <c r="AP391" s="1021"/>
      <c r="AQ391" s="1021"/>
      <c r="AR391" s="1021"/>
      <c r="AS391" s="1021"/>
      <c r="AT391" s="1021"/>
      <c r="AU391" s="1021"/>
      <c r="AV391" s="1021"/>
      <c r="AW391" s="1021"/>
      <c r="AX391" s="1021"/>
      <c r="AY391" s="1021"/>
      <c r="AZ391" s="1021"/>
      <c r="BA391" s="1021"/>
      <c r="BB391" s="1021"/>
      <c r="BC391" s="1021"/>
      <c r="BD391" s="1021"/>
      <c r="BE391" s="1021"/>
      <c r="BF391" s="1021"/>
      <c r="BG391" s="1021"/>
      <c r="BH391" s="1021"/>
      <c r="BI391" s="1021"/>
      <c r="BJ391" s="1021"/>
      <c r="BK391" s="1021"/>
      <c r="BL391" s="1021"/>
      <c r="BM391" s="1021"/>
      <c r="BN391" s="1021"/>
      <c r="BO391" s="1021"/>
      <c r="BP391" s="1021"/>
      <c r="BQ391" s="1021"/>
      <c r="BR391" s="1021"/>
      <c r="BS391" s="1021"/>
      <c r="BT391" s="1021"/>
      <c r="BU391" s="1021"/>
      <c r="BV391" s="1021"/>
      <c r="BW391" s="1021"/>
      <c r="BX391" s="1021"/>
      <c r="BY391" s="1021"/>
      <c r="BZ391" s="1021"/>
      <c r="CA391" s="1021"/>
      <c r="CB391" s="1021"/>
      <c r="CC391" s="1021"/>
    </row>
    <row r="392" spans="8:81" x14ac:dyDescent="0.25">
      <c r="H392" s="1021"/>
      <c r="I392" s="1021"/>
      <c r="J392" s="1021"/>
      <c r="K392" s="1021"/>
      <c r="L392" s="1021"/>
      <c r="M392" s="1021"/>
      <c r="N392" s="1021"/>
      <c r="O392" s="1021"/>
      <c r="P392" s="1021"/>
      <c r="Q392" s="1021"/>
      <c r="R392" s="1021"/>
      <c r="S392" s="1021"/>
      <c r="T392" s="1021"/>
      <c r="U392" s="1021"/>
      <c r="V392" s="1021"/>
      <c r="W392" s="1021"/>
      <c r="X392" s="1021"/>
      <c r="Y392" s="1021"/>
      <c r="Z392" s="1021"/>
      <c r="AA392" s="1021"/>
      <c r="AB392" s="1021"/>
      <c r="AC392" s="1021"/>
      <c r="AD392" s="1021"/>
      <c r="AE392" s="1021"/>
      <c r="AF392" s="1021"/>
      <c r="AG392" s="1021"/>
      <c r="AH392" s="1021"/>
      <c r="AI392" s="1021"/>
      <c r="AJ392" s="1021"/>
      <c r="AK392" s="1021"/>
      <c r="AL392" s="1021"/>
      <c r="AM392" s="1021"/>
      <c r="AN392" s="1021"/>
      <c r="AO392" s="1021"/>
      <c r="AP392" s="1021"/>
      <c r="AQ392" s="1021"/>
      <c r="AR392" s="1021"/>
      <c r="AS392" s="1021"/>
      <c r="AT392" s="1021"/>
      <c r="AU392" s="1021"/>
      <c r="AV392" s="1021"/>
      <c r="AW392" s="1021"/>
      <c r="AX392" s="1021"/>
      <c r="AY392" s="1021"/>
      <c r="AZ392" s="1021"/>
      <c r="BA392" s="1021"/>
      <c r="BB392" s="1021"/>
      <c r="BC392" s="1021"/>
      <c r="BD392" s="1021"/>
      <c r="BE392" s="1021"/>
      <c r="BF392" s="1021"/>
      <c r="BG392" s="1021"/>
      <c r="BH392" s="1021"/>
      <c r="BI392" s="1021"/>
      <c r="BJ392" s="1021"/>
      <c r="BK392" s="1021"/>
      <c r="BL392" s="1021"/>
      <c r="BM392" s="1021"/>
      <c r="BN392" s="1021"/>
      <c r="BO392" s="1021"/>
      <c r="BP392" s="1021"/>
      <c r="BQ392" s="1021"/>
      <c r="BR392" s="1021"/>
      <c r="BS392" s="1021"/>
      <c r="BT392" s="1021"/>
      <c r="BU392" s="1021"/>
      <c r="BV392" s="1021"/>
      <c r="BW392" s="1021"/>
      <c r="BX392" s="1021"/>
      <c r="BY392" s="1021"/>
      <c r="BZ392" s="1021"/>
      <c r="CA392" s="1021"/>
      <c r="CB392" s="1021"/>
      <c r="CC392" s="1021"/>
    </row>
    <row r="393" spans="8:81" x14ac:dyDescent="0.25">
      <c r="H393" s="1021"/>
      <c r="I393" s="1021"/>
      <c r="J393" s="1021"/>
      <c r="K393" s="1021"/>
      <c r="L393" s="1021"/>
      <c r="M393" s="1021"/>
      <c r="N393" s="1021"/>
      <c r="O393" s="1021"/>
      <c r="P393" s="1021"/>
      <c r="Q393" s="1021"/>
      <c r="R393" s="1021"/>
      <c r="S393" s="1021"/>
      <c r="T393" s="1021"/>
      <c r="U393" s="1021"/>
      <c r="V393" s="1021"/>
      <c r="W393" s="1021"/>
      <c r="X393" s="1021"/>
      <c r="Y393" s="1021"/>
      <c r="Z393" s="1021"/>
      <c r="AA393" s="1021"/>
      <c r="AB393" s="1021"/>
      <c r="AC393" s="1021"/>
      <c r="AD393" s="1021"/>
      <c r="AE393" s="1021"/>
      <c r="AF393" s="1021"/>
      <c r="AG393" s="1021"/>
      <c r="AH393" s="1021"/>
      <c r="AI393" s="1021"/>
      <c r="AJ393" s="1021"/>
      <c r="AK393" s="1021"/>
      <c r="AL393" s="1021"/>
      <c r="AM393" s="1021"/>
      <c r="AN393" s="1021"/>
      <c r="AO393" s="1021"/>
      <c r="AP393" s="1021"/>
      <c r="AQ393" s="1021"/>
      <c r="AR393" s="1021"/>
      <c r="AS393" s="1021"/>
      <c r="AT393" s="1021"/>
      <c r="AU393" s="1021"/>
      <c r="AV393" s="1021"/>
      <c r="AW393" s="1021"/>
      <c r="AX393" s="1021"/>
      <c r="AY393" s="1021"/>
      <c r="AZ393" s="1021"/>
      <c r="BA393" s="1021"/>
      <c r="BB393" s="1021"/>
      <c r="BC393" s="1021"/>
      <c r="BD393" s="1021"/>
      <c r="BE393" s="1021"/>
      <c r="BF393" s="1021"/>
      <c r="BG393" s="1021"/>
      <c r="BH393" s="1021"/>
      <c r="BI393" s="1021"/>
      <c r="BJ393" s="1021"/>
      <c r="BK393" s="1021"/>
      <c r="BL393" s="1021"/>
      <c r="BM393" s="1021"/>
      <c r="BN393" s="1021"/>
      <c r="BO393" s="1021"/>
      <c r="BP393" s="1021"/>
      <c r="BQ393" s="1021"/>
      <c r="BR393" s="1021"/>
      <c r="BS393" s="1021"/>
      <c r="BT393" s="1021"/>
      <c r="BU393" s="1021"/>
      <c r="BV393" s="1021"/>
      <c r="BW393" s="1021"/>
      <c r="BX393" s="1021"/>
      <c r="BY393" s="1021"/>
      <c r="BZ393" s="1021"/>
      <c r="CA393" s="1021"/>
      <c r="CB393" s="1021"/>
      <c r="CC393" s="1021"/>
    </row>
    <row r="394" spans="8:81" x14ac:dyDescent="0.25">
      <c r="H394" s="1021"/>
      <c r="I394" s="1021"/>
      <c r="J394" s="1021"/>
      <c r="K394" s="1021"/>
      <c r="L394" s="1021"/>
      <c r="M394" s="1021"/>
      <c r="N394" s="1021"/>
      <c r="O394" s="1021"/>
      <c r="P394" s="1021"/>
      <c r="Q394" s="1021"/>
      <c r="R394" s="1021"/>
      <c r="S394" s="1021"/>
      <c r="T394" s="1021"/>
      <c r="U394" s="1021"/>
      <c r="V394" s="1021"/>
      <c r="W394" s="1021"/>
      <c r="X394" s="1021"/>
      <c r="Y394" s="1021"/>
      <c r="Z394" s="1021"/>
      <c r="AA394" s="1021"/>
      <c r="AB394" s="1021"/>
      <c r="AC394" s="1021"/>
      <c r="AD394" s="1021"/>
      <c r="AE394" s="1021"/>
      <c r="AF394" s="1021"/>
      <c r="AG394" s="1021"/>
      <c r="AH394" s="1021"/>
      <c r="AI394" s="1021"/>
      <c r="AJ394" s="1021"/>
      <c r="AK394" s="1021"/>
      <c r="AL394" s="1021"/>
      <c r="AM394" s="1021"/>
      <c r="AN394" s="1021"/>
      <c r="AO394" s="1021"/>
      <c r="AP394" s="1021"/>
      <c r="AQ394" s="1021"/>
      <c r="AR394" s="1021"/>
      <c r="AS394" s="1021"/>
      <c r="AT394" s="1021"/>
      <c r="AU394" s="1021"/>
      <c r="AV394" s="1021"/>
      <c r="AW394" s="1021"/>
      <c r="AX394" s="1021"/>
      <c r="AY394" s="1021"/>
      <c r="AZ394" s="1021"/>
      <c r="BA394" s="1021"/>
      <c r="BB394" s="1021"/>
      <c r="BC394" s="1021"/>
      <c r="BD394" s="1021"/>
      <c r="BE394" s="1021"/>
      <c r="BF394" s="1021"/>
      <c r="BG394" s="1021"/>
      <c r="BH394" s="1021"/>
      <c r="BI394" s="1021"/>
      <c r="BJ394" s="1021"/>
      <c r="BK394" s="1021"/>
      <c r="BL394" s="1021"/>
      <c r="BM394" s="1021"/>
      <c r="BN394" s="1021"/>
      <c r="BO394" s="1021"/>
      <c r="BP394" s="1021"/>
      <c r="BQ394" s="1021"/>
      <c r="BR394" s="1021"/>
      <c r="BS394" s="1021"/>
      <c r="BT394" s="1021"/>
      <c r="BU394" s="1021"/>
      <c r="BV394" s="1021"/>
      <c r="BW394" s="1021"/>
      <c r="BX394" s="1021"/>
      <c r="BY394" s="1021"/>
      <c r="BZ394" s="1021"/>
      <c r="CA394" s="1021"/>
      <c r="CB394" s="1021"/>
      <c r="CC394" s="1021"/>
    </row>
    <row r="395" spans="8:81" x14ac:dyDescent="0.25">
      <c r="H395" s="1021"/>
      <c r="I395" s="1021"/>
      <c r="J395" s="1021"/>
      <c r="K395" s="1021"/>
      <c r="L395" s="1021"/>
      <c r="M395" s="1021"/>
      <c r="N395" s="1021"/>
      <c r="O395" s="1021"/>
      <c r="P395" s="1021"/>
      <c r="Q395" s="1021"/>
      <c r="R395" s="1021"/>
      <c r="S395" s="1021"/>
      <c r="T395" s="1021"/>
      <c r="U395" s="1021"/>
      <c r="V395" s="1021"/>
      <c r="W395" s="1021"/>
      <c r="X395" s="1021"/>
      <c r="Y395" s="1021"/>
      <c r="Z395" s="1021"/>
      <c r="AA395" s="1021"/>
      <c r="AB395" s="1021"/>
      <c r="AC395" s="1021"/>
      <c r="AD395" s="1021"/>
      <c r="AE395" s="1021"/>
      <c r="AF395" s="1021"/>
      <c r="AG395" s="1021"/>
      <c r="AH395" s="1021"/>
      <c r="AI395" s="1021"/>
      <c r="AJ395" s="1021"/>
      <c r="AK395" s="1021"/>
      <c r="AL395" s="1021"/>
      <c r="AM395" s="1021"/>
      <c r="AN395" s="1021"/>
      <c r="AO395" s="1021"/>
      <c r="AP395" s="1021"/>
      <c r="AQ395" s="1021"/>
      <c r="AR395" s="1021"/>
      <c r="AS395" s="1021"/>
      <c r="AT395" s="1021"/>
      <c r="AU395" s="1021"/>
      <c r="AV395" s="1021"/>
      <c r="AW395" s="1021"/>
      <c r="AX395" s="1021"/>
      <c r="AY395" s="1021"/>
      <c r="AZ395" s="1021"/>
      <c r="BA395" s="1021"/>
      <c r="BB395" s="1021"/>
      <c r="BC395" s="1021"/>
      <c r="BD395" s="1021"/>
      <c r="BE395" s="1021"/>
      <c r="BF395" s="1021"/>
      <c r="BG395" s="1021"/>
      <c r="BH395" s="1021"/>
      <c r="BI395" s="1021"/>
      <c r="BJ395" s="1021"/>
      <c r="BK395" s="1021"/>
      <c r="BL395" s="1021"/>
      <c r="BM395" s="1021"/>
      <c r="BN395" s="1021"/>
      <c r="BO395" s="1021"/>
      <c r="BP395" s="1021"/>
      <c r="BQ395" s="1021"/>
      <c r="BR395" s="1021"/>
      <c r="BS395" s="1021"/>
      <c r="BT395" s="1021"/>
      <c r="BU395" s="1021"/>
      <c r="BV395" s="1021"/>
      <c r="BW395" s="1021"/>
      <c r="BX395" s="1021"/>
      <c r="BY395" s="1021"/>
      <c r="BZ395" s="1021"/>
      <c r="CA395" s="1021"/>
      <c r="CB395" s="1021"/>
      <c r="CC395" s="1021"/>
    </row>
    <row r="396" spans="8:81" x14ac:dyDescent="0.25">
      <c r="H396" s="1021"/>
      <c r="I396" s="1021"/>
      <c r="J396" s="1021"/>
      <c r="K396" s="1021"/>
      <c r="L396" s="1021"/>
      <c r="M396" s="1021"/>
      <c r="N396" s="1021"/>
      <c r="O396" s="1021"/>
      <c r="P396" s="1021"/>
      <c r="Q396" s="1021"/>
      <c r="R396" s="1021"/>
      <c r="S396" s="1021"/>
      <c r="T396" s="1021"/>
      <c r="U396" s="1021"/>
      <c r="V396" s="1021"/>
      <c r="W396" s="1021"/>
      <c r="X396" s="1021"/>
      <c r="Y396" s="1021"/>
      <c r="Z396" s="1021"/>
      <c r="AA396" s="1021"/>
      <c r="AB396" s="1021"/>
      <c r="AC396" s="1021"/>
      <c r="AD396" s="1021"/>
      <c r="AE396" s="1021"/>
      <c r="AF396" s="1021"/>
      <c r="AG396" s="1021"/>
      <c r="AH396" s="1021"/>
      <c r="AI396" s="1021"/>
      <c r="AJ396" s="1021"/>
      <c r="AK396" s="1021"/>
      <c r="AL396" s="1021"/>
      <c r="AM396" s="1021"/>
      <c r="AN396" s="1021"/>
      <c r="AO396" s="1021"/>
      <c r="AP396" s="1021"/>
      <c r="AQ396" s="1021"/>
      <c r="AR396" s="1021"/>
      <c r="AS396" s="1021"/>
      <c r="AT396" s="1021"/>
      <c r="AU396" s="1021"/>
      <c r="AV396" s="1021"/>
      <c r="AW396" s="1021"/>
      <c r="AX396" s="1021"/>
      <c r="AY396" s="1021"/>
      <c r="AZ396" s="1021"/>
      <c r="BA396" s="1021"/>
      <c r="BB396" s="1021"/>
      <c r="BC396" s="1021"/>
      <c r="BD396" s="1021"/>
      <c r="BE396" s="1021"/>
      <c r="BF396" s="1021"/>
      <c r="BG396" s="1021"/>
      <c r="BH396" s="1021"/>
      <c r="BI396" s="1021"/>
      <c r="BJ396" s="1021"/>
      <c r="BK396" s="1021"/>
      <c r="BL396" s="1021"/>
      <c r="BM396" s="1021"/>
      <c r="BN396" s="1021"/>
      <c r="BO396" s="1021"/>
      <c r="BP396" s="1021"/>
      <c r="BQ396" s="1021"/>
      <c r="BR396" s="1021"/>
      <c r="BS396" s="1021"/>
      <c r="BT396" s="1021"/>
      <c r="BU396" s="1021"/>
      <c r="BV396" s="1021"/>
      <c r="BW396" s="1021"/>
      <c r="BX396" s="1021"/>
      <c r="BY396" s="1021"/>
      <c r="BZ396" s="1021"/>
      <c r="CA396" s="1021"/>
      <c r="CB396" s="1021"/>
      <c r="CC396" s="1021"/>
    </row>
    <row r="397" spans="8:81" x14ac:dyDescent="0.25">
      <c r="H397" s="1021"/>
      <c r="I397" s="1021"/>
      <c r="J397" s="1021"/>
      <c r="K397" s="1021"/>
      <c r="L397" s="1021"/>
      <c r="M397" s="1021"/>
      <c r="N397" s="1021"/>
      <c r="O397" s="1021"/>
      <c r="P397" s="1021"/>
      <c r="Q397" s="1021"/>
      <c r="R397" s="1021"/>
      <c r="S397" s="1021"/>
      <c r="T397" s="1021"/>
      <c r="U397" s="1021"/>
      <c r="V397" s="1021"/>
      <c r="W397" s="1021"/>
      <c r="X397" s="1021"/>
      <c r="Y397" s="1021"/>
      <c r="Z397" s="1021"/>
      <c r="AA397" s="1021"/>
      <c r="AB397" s="1021"/>
      <c r="AC397" s="1021"/>
      <c r="AD397" s="1021"/>
      <c r="AE397" s="1021"/>
      <c r="AF397" s="1021"/>
      <c r="AG397" s="1021"/>
      <c r="AH397" s="1021"/>
      <c r="AI397" s="1021"/>
      <c r="AJ397" s="1021"/>
      <c r="AK397" s="1021"/>
      <c r="AL397" s="1021"/>
      <c r="AM397" s="1021"/>
      <c r="AN397" s="1021"/>
      <c r="AO397" s="1021"/>
      <c r="AP397" s="1021"/>
      <c r="AQ397" s="1021"/>
      <c r="AR397" s="1021"/>
      <c r="AS397" s="1021"/>
      <c r="AT397" s="1021"/>
      <c r="AU397" s="1021"/>
      <c r="AV397" s="1021"/>
      <c r="AW397" s="1021"/>
      <c r="AX397" s="1021"/>
      <c r="AY397" s="1021"/>
      <c r="AZ397" s="1021"/>
      <c r="BA397" s="1021"/>
      <c r="BB397" s="1021"/>
      <c r="BC397" s="1021"/>
      <c r="BD397" s="1021"/>
      <c r="BE397" s="1021"/>
      <c r="BF397" s="1021"/>
      <c r="BG397" s="1021"/>
      <c r="BH397" s="1021"/>
      <c r="BI397" s="1021"/>
      <c r="BJ397" s="1021"/>
      <c r="BK397" s="1021"/>
      <c r="BL397" s="1021"/>
      <c r="BM397" s="1021"/>
      <c r="BN397" s="1021"/>
      <c r="BO397" s="1021"/>
      <c r="BP397" s="1021"/>
      <c r="BQ397" s="1021"/>
      <c r="BR397" s="1021"/>
      <c r="BS397" s="1021"/>
      <c r="BT397" s="1021"/>
      <c r="BU397" s="1021"/>
      <c r="BV397" s="1021"/>
      <c r="BW397" s="1021"/>
      <c r="BX397" s="1021"/>
      <c r="BY397" s="1021"/>
      <c r="BZ397" s="1021"/>
      <c r="CA397" s="1021"/>
      <c r="CB397" s="1021"/>
      <c r="CC397" s="1021"/>
    </row>
    <row r="398" spans="8:81" x14ac:dyDescent="0.25">
      <c r="H398" s="1021"/>
      <c r="I398" s="1021"/>
      <c r="J398" s="1021"/>
      <c r="K398" s="1021"/>
      <c r="L398" s="1021"/>
      <c r="M398" s="1021"/>
      <c r="N398" s="1021"/>
      <c r="O398" s="1021"/>
      <c r="P398" s="1021"/>
      <c r="Q398" s="1021"/>
      <c r="R398" s="1021"/>
      <c r="S398" s="1021"/>
      <c r="T398" s="1021"/>
      <c r="U398" s="1021"/>
      <c r="V398" s="1021"/>
      <c r="W398" s="1021"/>
      <c r="X398" s="1021"/>
      <c r="Y398" s="1021"/>
      <c r="Z398" s="1021"/>
      <c r="AA398" s="1021"/>
      <c r="AB398" s="1021"/>
      <c r="AC398" s="1021"/>
      <c r="AD398" s="1021"/>
      <c r="AE398" s="1021"/>
      <c r="AF398" s="1021"/>
      <c r="AG398" s="1021"/>
      <c r="AH398" s="1021"/>
      <c r="AI398" s="1021"/>
      <c r="AJ398" s="1021"/>
      <c r="AK398" s="1021"/>
      <c r="AL398" s="1021"/>
      <c r="AM398" s="1021"/>
      <c r="AN398" s="1021"/>
      <c r="AO398" s="1021"/>
      <c r="AP398" s="1021"/>
      <c r="AQ398" s="1021"/>
      <c r="AR398" s="1021"/>
      <c r="AS398" s="1021"/>
      <c r="AT398" s="1021"/>
      <c r="AU398" s="1021"/>
      <c r="AV398" s="1021"/>
      <c r="AW398" s="1021"/>
      <c r="AX398" s="1021"/>
      <c r="AY398" s="1021"/>
      <c r="AZ398" s="1021"/>
      <c r="BA398" s="1021"/>
      <c r="BB398" s="1021"/>
      <c r="BC398" s="1021"/>
      <c r="BD398" s="1021"/>
      <c r="BE398" s="1021"/>
      <c r="BF398" s="1021"/>
      <c r="BG398" s="1021"/>
      <c r="BH398" s="1021"/>
      <c r="BI398" s="1021"/>
      <c r="BJ398" s="1021"/>
      <c r="BK398" s="1021"/>
      <c r="BL398" s="1021"/>
      <c r="BM398" s="1021"/>
      <c r="BN398" s="1021"/>
      <c r="BO398" s="1021"/>
      <c r="BP398" s="1021"/>
      <c r="BQ398" s="1021"/>
      <c r="BR398" s="1021"/>
      <c r="BS398" s="1021"/>
      <c r="BT398" s="1021"/>
      <c r="BU398" s="1021"/>
      <c r="BV398" s="1021"/>
      <c r="BW398" s="1021"/>
      <c r="BX398" s="1021"/>
      <c r="BY398" s="1021"/>
      <c r="BZ398" s="1021"/>
      <c r="CA398" s="1021"/>
      <c r="CB398" s="1021"/>
      <c r="CC398" s="1021"/>
    </row>
    <row r="399" spans="8:81" x14ac:dyDescent="0.25">
      <c r="H399" s="1021"/>
      <c r="I399" s="1021"/>
      <c r="J399" s="1021"/>
      <c r="K399" s="1021"/>
      <c r="L399" s="1021"/>
      <c r="M399" s="1021"/>
      <c r="N399" s="1021"/>
      <c r="O399" s="1021"/>
      <c r="P399" s="1021"/>
      <c r="Q399" s="1021"/>
      <c r="R399" s="1021"/>
      <c r="S399" s="1021"/>
      <c r="T399" s="1021"/>
      <c r="U399" s="1021"/>
      <c r="V399" s="1021"/>
      <c r="W399" s="1021"/>
      <c r="X399" s="1021"/>
      <c r="Y399" s="1021"/>
      <c r="Z399" s="1021"/>
      <c r="AA399" s="1021"/>
      <c r="AB399" s="1021"/>
      <c r="AC399" s="1021"/>
      <c r="AD399" s="1021"/>
      <c r="AE399" s="1021"/>
      <c r="AF399" s="1021"/>
      <c r="AG399" s="1021"/>
      <c r="AH399" s="1021"/>
      <c r="AI399" s="1021"/>
      <c r="AJ399" s="1021"/>
      <c r="AK399" s="1021"/>
      <c r="AL399" s="1021"/>
      <c r="AM399" s="1021"/>
      <c r="AN399" s="1021"/>
      <c r="AO399" s="1021"/>
      <c r="AP399" s="1021"/>
      <c r="AQ399" s="1021"/>
      <c r="AR399" s="1021"/>
      <c r="AS399" s="1021"/>
      <c r="AT399" s="1021"/>
      <c r="AU399" s="1021"/>
      <c r="AV399" s="1021"/>
      <c r="AW399" s="1021"/>
      <c r="AX399" s="1021"/>
      <c r="AY399" s="1021"/>
      <c r="AZ399" s="1021"/>
      <c r="BA399" s="1021"/>
      <c r="BB399" s="1021"/>
      <c r="BC399" s="1021"/>
      <c r="BD399" s="1021"/>
      <c r="BE399" s="1021"/>
      <c r="BF399" s="1021"/>
      <c r="BG399" s="1021"/>
      <c r="BH399" s="1021"/>
      <c r="BI399" s="1021"/>
      <c r="BJ399" s="1021"/>
      <c r="BK399" s="1021"/>
      <c r="BL399" s="1021"/>
      <c r="BM399" s="1021"/>
      <c r="BN399" s="1021"/>
      <c r="BO399" s="1021"/>
      <c r="BP399" s="1021"/>
      <c r="BQ399" s="1021"/>
      <c r="BR399" s="1021"/>
      <c r="BS399" s="1021"/>
      <c r="BT399" s="1021"/>
      <c r="BU399" s="1021"/>
      <c r="BV399" s="1021"/>
      <c r="BW399" s="1021"/>
      <c r="BX399" s="1021"/>
      <c r="BY399" s="1021"/>
      <c r="BZ399" s="1021"/>
      <c r="CA399" s="1021"/>
      <c r="CB399" s="1021"/>
      <c r="CC399" s="1021"/>
    </row>
    <row r="400" spans="8:81" x14ac:dyDescent="0.25">
      <c r="H400" s="1021"/>
      <c r="I400" s="1021"/>
      <c r="J400" s="1021"/>
      <c r="K400" s="1021"/>
      <c r="L400" s="1021"/>
      <c r="M400" s="1021"/>
      <c r="N400" s="1021"/>
      <c r="O400" s="1021"/>
      <c r="P400" s="1021"/>
      <c r="Q400" s="1021"/>
      <c r="R400" s="1021"/>
      <c r="S400" s="1021"/>
      <c r="T400" s="1021"/>
      <c r="U400" s="1021"/>
      <c r="V400" s="1021"/>
      <c r="W400" s="1021"/>
      <c r="X400" s="1021"/>
      <c r="Y400" s="1021"/>
      <c r="Z400" s="1021"/>
      <c r="AA400" s="1021"/>
      <c r="AB400" s="1021"/>
      <c r="AC400" s="1021"/>
      <c r="AD400" s="1021"/>
      <c r="AE400" s="1021"/>
      <c r="AF400" s="1021"/>
      <c r="AG400" s="1021"/>
      <c r="AH400" s="1021"/>
      <c r="AI400" s="1021"/>
      <c r="AJ400" s="1021"/>
      <c r="AK400" s="1021"/>
      <c r="AL400" s="1021"/>
      <c r="AM400" s="1021"/>
      <c r="AN400" s="1021"/>
      <c r="AO400" s="1021"/>
      <c r="AP400" s="1021"/>
      <c r="AQ400" s="1021"/>
      <c r="AR400" s="1021"/>
      <c r="AS400" s="1021"/>
      <c r="AT400" s="1021"/>
      <c r="AU400" s="1021"/>
      <c r="AV400" s="1021"/>
      <c r="AW400" s="1021"/>
      <c r="AX400" s="1021"/>
      <c r="AY400" s="1021"/>
      <c r="AZ400" s="1021"/>
      <c r="BA400" s="1021"/>
      <c r="BB400" s="1021"/>
      <c r="BC400" s="1021"/>
      <c r="BD400" s="1021"/>
      <c r="BE400" s="1021"/>
      <c r="BF400" s="1021"/>
      <c r="BG400" s="1021"/>
      <c r="BH400" s="1021"/>
      <c r="BI400" s="1021"/>
      <c r="BJ400" s="1021"/>
      <c r="BK400" s="1021"/>
      <c r="BL400" s="1021"/>
      <c r="BM400" s="1021"/>
      <c r="BN400" s="1021"/>
      <c r="BO400" s="1021"/>
      <c r="BP400" s="1021"/>
      <c r="BQ400" s="1021"/>
      <c r="BR400" s="1021"/>
      <c r="BS400" s="1021"/>
      <c r="BT400" s="1021"/>
      <c r="BU400" s="1021"/>
      <c r="BV400" s="1021"/>
      <c r="BW400" s="1021"/>
      <c r="BX400" s="1021"/>
      <c r="BY400" s="1021"/>
      <c r="BZ400" s="1021"/>
      <c r="CA400" s="1021"/>
      <c r="CB400" s="1021"/>
      <c r="CC400" s="1021"/>
    </row>
    <row r="401" spans="8:81" x14ac:dyDescent="0.25">
      <c r="H401" s="1021"/>
      <c r="I401" s="1021"/>
      <c r="J401" s="1021"/>
      <c r="K401" s="1021"/>
      <c r="L401" s="1021"/>
      <c r="M401" s="1021"/>
      <c r="N401" s="1021"/>
      <c r="O401" s="1021"/>
      <c r="P401" s="1021"/>
      <c r="Q401" s="1021"/>
      <c r="R401" s="1021"/>
      <c r="S401" s="1021"/>
      <c r="T401" s="1021"/>
      <c r="U401" s="1021"/>
      <c r="V401" s="1021"/>
      <c r="W401" s="1021"/>
      <c r="X401" s="1021"/>
      <c r="Y401" s="1021"/>
      <c r="Z401" s="1021"/>
      <c r="AA401" s="1021"/>
      <c r="AB401" s="1021"/>
      <c r="AC401" s="1021"/>
      <c r="AD401" s="1021"/>
      <c r="AE401" s="1021"/>
      <c r="AF401" s="1021"/>
      <c r="AG401" s="1021"/>
      <c r="AH401" s="1021"/>
      <c r="AI401" s="1021"/>
      <c r="AJ401" s="1021"/>
      <c r="AK401" s="1021"/>
      <c r="AL401" s="1021"/>
      <c r="AM401" s="1021"/>
      <c r="AN401" s="1021"/>
      <c r="AO401" s="1021"/>
      <c r="AP401" s="1021"/>
      <c r="AQ401" s="1021"/>
      <c r="AR401" s="1021"/>
      <c r="AS401" s="1021"/>
      <c r="AT401" s="1021"/>
      <c r="AU401" s="1021"/>
      <c r="AV401" s="1021"/>
      <c r="AW401" s="1021"/>
      <c r="AX401" s="1021"/>
      <c r="AY401" s="1021"/>
      <c r="AZ401" s="1021"/>
      <c r="BA401" s="1021"/>
      <c r="BB401" s="1021"/>
      <c r="BC401" s="1021"/>
      <c r="BD401" s="1021"/>
      <c r="BE401" s="1021"/>
      <c r="BF401" s="1021"/>
      <c r="BG401" s="1021"/>
      <c r="BH401" s="1021"/>
      <c r="BI401" s="1021"/>
      <c r="BJ401" s="1021"/>
      <c r="BK401" s="1021"/>
      <c r="BL401" s="1021"/>
      <c r="BM401" s="1021"/>
      <c r="BN401" s="1021"/>
      <c r="BO401" s="1021"/>
      <c r="BP401" s="1021"/>
      <c r="BQ401" s="1021"/>
      <c r="BR401" s="1021"/>
      <c r="BS401" s="1021"/>
      <c r="BT401" s="1021"/>
      <c r="BU401" s="1021"/>
      <c r="BV401" s="1021"/>
      <c r="BW401" s="1021"/>
      <c r="BX401" s="1021"/>
      <c r="BY401" s="1021"/>
      <c r="BZ401" s="1021"/>
      <c r="CA401" s="1021"/>
      <c r="CB401" s="1021"/>
      <c r="CC401" s="1021"/>
    </row>
    <row r="402" spans="8:81" x14ac:dyDescent="0.25">
      <c r="H402" s="1021"/>
      <c r="I402" s="1021"/>
      <c r="J402" s="1021"/>
      <c r="K402" s="1021"/>
      <c r="L402" s="1021"/>
      <c r="M402" s="1021"/>
      <c r="N402" s="1021"/>
      <c r="O402" s="1021"/>
      <c r="P402" s="1021"/>
      <c r="Q402" s="1021"/>
      <c r="R402" s="1021"/>
      <c r="S402" s="1021"/>
      <c r="T402" s="1021"/>
      <c r="U402" s="1021"/>
      <c r="V402" s="1021"/>
      <c r="W402" s="1021"/>
      <c r="X402" s="1021"/>
      <c r="Y402" s="1021"/>
      <c r="Z402" s="1021"/>
      <c r="AA402" s="1021"/>
      <c r="AB402" s="1021"/>
      <c r="AC402" s="1021"/>
      <c r="AD402" s="1021"/>
      <c r="AE402" s="1021"/>
      <c r="AF402" s="1021"/>
      <c r="AG402" s="1021"/>
      <c r="AH402" s="1021"/>
      <c r="AI402" s="1021"/>
      <c r="AJ402" s="1021"/>
      <c r="AK402" s="1021"/>
      <c r="AL402" s="1021"/>
      <c r="AM402" s="1021"/>
      <c r="AN402" s="1021"/>
      <c r="AO402" s="1021"/>
      <c r="AP402" s="1021"/>
      <c r="AQ402" s="1021"/>
      <c r="AR402" s="1021"/>
      <c r="AS402" s="1021"/>
      <c r="AT402" s="1021"/>
      <c r="AU402" s="1021"/>
      <c r="AV402" s="1021"/>
      <c r="AW402" s="1021"/>
      <c r="AX402" s="1021"/>
      <c r="AY402" s="1021"/>
      <c r="AZ402" s="1021"/>
      <c r="BA402" s="1021"/>
      <c r="BB402" s="1021"/>
      <c r="BC402" s="1021"/>
      <c r="BD402" s="1021"/>
      <c r="BE402" s="1021"/>
      <c r="BF402" s="1021"/>
      <c r="BG402" s="1021"/>
      <c r="BH402" s="1021"/>
      <c r="BI402" s="1021"/>
      <c r="BJ402" s="1021"/>
      <c r="BK402" s="1021"/>
      <c r="BL402" s="1021"/>
      <c r="BM402" s="1021"/>
      <c r="BN402" s="1021"/>
      <c r="BO402" s="1021"/>
      <c r="BP402" s="1021"/>
      <c r="BQ402" s="1021"/>
      <c r="BR402" s="1021"/>
      <c r="BS402" s="1021"/>
      <c r="BT402" s="1021"/>
      <c r="BU402" s="1021"/>
      <c r="BV402" s="1021"/>
      <c r="BW402" s="1021"/>
      <c r="BX402" s="1021"/>
      <c r="BY402" s="1021"/>
      <c r="BZ402" s="1021"/>
      <c r="CA402" s="1021"/>
      <c r="CB402" s="1021"/>
      <c r="CC402" s="1021"/>
    </row>
    <row r="403" spans="8:81" x14ac:dyDescent="0.25">
      <c r="H403" s="1021"/>
      <c r="I403" s="1021"/>
      <c r="J403" s="1021"/>
      <c r="K403" s="1021"/>
      <c r="L403" s="1021"/>
      <c r="M403" s="1021"/>
      <c r="N403" s="1021"/>
      <c r="O403" s="1021"/>
      <c r="P403" s="1021"/>
      <c r="Q403" s="1021"/>
      <c r="R403" s="1021"/>
      <c r="S403" s="1021"/>
      <c r="T403" s="1021"/>
      <c r="U403" s="1021"/>
      <c r="V403" s="1021"/>
      <c r="W403" s="1021"/>
      <c r="X403" s="1021"/>
      <c r="Y403" s="1021"/>
      <c r="Z403" s="1021"/>
      <c r="AA403" s="1021"/>
      <c r="AB403" s="1021"/>
      <c r="AC403" s="1021"/>
      <c r="AD403" s="1021"/>
      <c r="AE403" s="1021"/>
      <c r="AF403" s="1021"/>
      <c r="AG403" s="1021"/>
      <c r="AH403" s="1021"/>
      <c r="AI403" s="1021"/>
      <c r="AJ403" s="1021"/>
      <c r="AK403" s="1021"/>
      <c r="AL403" s="1021"/>
      <c r="AM403" s="1021"/>
      <c r="AN403" s="1021"/>
      <c r="AO403" s="1021"/>
      <c r="AP403" s="1021"/>
      <c r="AQ403" s="1021"/>
      <c r="AR403" s="1021"/>
      <c r="AS403" s="1021"/>
      <c r="AT403" s="1021"/>
      <c r="AU403" s="1021"/>
      <c r="AV403" s="1021"/>
      <c r="AW403" s="1021"/>
      <c r="AX403" s="1021"/>
      <c r="AY403" s="1021"/>
      <c r="AZ403" s="1021"/>
      <c r="BA403" s="1021"/>
      <c r="BB403" s="1021"/>
      <c r="BC403" s="1021"/>
      <c r="BD403" s="1021"/>
      <c r="BE403" s="1021"/>
      <c r="BF403" s="1021"/>
      <c r="BG403" s="1021"/>
      <c r="BH403" s="1021"/>
      <c r="BI403" s="1021"/>
      <c r="BJ403" s="1021"/>
      <c r="BK403" s="1021"/>
      <c r="BL403" s="1021"/>
      <c r="BM403" s="1021"/>
      <c r="BN403" s="1021"/>
      <c r="BO403" s="1021"/>
      <c r="BP403" s="1021"/>
      <c r="BQ403" s="1021"/>
      <c r="BR403" s="1021"/>
      <c r="BS403" s="1021"/>
      <c r="BT403" s="1021"/>
      <c r="BU403" s="1021"/>
      <c r="BV403" s="1021"/>
      <c r="BW403" s="1021"/>
      <c r="BX403" s="1021"/>
      <c r="BY403" s="1021"/>
      <c r="BZ403" s="1021"/>
      <c r="CA403" s="1021"/>
      <c r="CB403" s="1021"/>
      <c r="CC403" s="1021"/>
    </row>
    <row r="404" spans="8:81" x14ac:dyDescent="0.25">
      <c r="H404" s="1021"/>
      <c r="I404" s="1021"/>
      <c r="J404" s="1021"/>
      <c r="K404" s="1021"/>
      <c r="L404" s="1021"/>
      <c r="M404" s="1021"/>
      <c r="N404" s="1021"/>
      <c r="O404" s="1021"/>
      <c r="P404" s="1021"/>
      <c r="Q404" s="1021"/>
      <c r="R404" s="1021"/>
      <c r="S404" s="1021"/>
      <c r="T404" s="1021"/>
      <c r="U404" s="1021"/>
      <c r="V404" s="1021"/>
      <c r="W404" s="1021"/>
      <c r="X404" s="1021"/>
      <c r="Y404" s="1021"/>
      <c r="Z404" s="1021"/>
      <c r="AA404" s="1021"/>
      <c r="AB404" s="1021"/>
      <c r="AC404" s="1021"/>
      <c r="AD404" s="1021"/>
      <c r="AE404" s="1021"/>
      <c r="AF404" s="1021"/>
      <c r="AG404" s="1021"/>
      <c r="AH404" s="1021"/>
      <c r="AI404" s="1021"/>
      <c r="AJ404" s="1021"/>
      <c r="AK404" s="1021"/>
      <c r="AL404" s="1021"/>
      <c r="AM404" s="1021"/>
      <c r="AN404" s="1021"/>
      <c r="AO404" s="1021"/>
      <c r="AP404" s="1021"/>
      <c r="AQ404" s="1021"/>
      <c r="AR404" s="1021"/>
      <c r="AS404" s="1021"/>
      <c r="AT404" s="1021"/>
      <c r="AU404" s="1021"/>
      <c r="AV404" s="1021"/>
      <c r="AW404" s="1021"/>
      <c r="AX404" s="1021"/>
      <c r="AY404" s="1021"/>
      <c r="AZ404" s="1021"/>
      <c r="BA404" s="1021"/>
      <c r="BB404" s="1021"/>
      <c r="BC404" s="1021"/>
      <c r="BD404" s="1021"/>
      <c r="BE404" s="1021"/>
      <c r="BF404" s="1021"/>
      <c r="BG404" s="1021"/>
      <c r="BH404" s="1021"/>
      <c r="BI404" s="1021"/>
      <c r="BJ404" s="1021"/>
      <c r="BK404" s="1021"/>
      <c r="BL404" s="1021"/>
      <c r="BM404" s="1021"/>
      <c r="BN404" s="1021"/>
      <c r="BO404" s="1021"/>
      <c r="BP404" s="1021"/>
      <c r="BQ404" s="1021"/>
      <c r="BR404" s="1021"/>
      <c r="BS404" s="1021"/>
      <c r="BT404" s="1021"/>
      <c r="BU404" s="1021"/>
      <c r="BV404" s="1021"/>
      <c r="BW404" s="1021"/>
      <c r="BX404" s="1021"/>
      <c r="BY404" s="1021"/>
      <c r="BZ404" s="1021"/>
      <c r="CA404" s="1021"/>
      <c r="CB404" s="1021"/>
      <c r="CC404" s="1021"/>
    </row>
    <row r="405" spans="8:81" x14ac:dyDescent="0.25">
      <c r="H405" s="1021"/>
      <c r="I405" s="1021"/>
      <c r="J405" s="1021"/>
      <c r="K405" s="1021"/>
      <c r="L405" s="1021"/>
      <c r="M405" s="1021"/>
      <c r="N405" s="1021"/>
      <c r="O405" s="1021"/>
      <c r="P405" s="1021"/>
      <c r="Q405" s="1021"/>
      <c r="R405" s="1021"/>
      <c r="S405" s="1021"/>
      <c r="T405" s="1021"/>
      <c r="U405" s="1021"/>
      <c r="V405" s="1021"/>
      <c r="W405" s="1021"/>
      <c r="X405" s="1021"/>
      <c r="Y405" s="1021"/>
      <c r="Z405" s="1021"/>
      <c r="AA405" s="1021"/>
      <c r="AB405" s="1021"/>
      <c r="AC405" s="1021"/>
      <c r="AD405" s="1021"/>
      <c r="AE405" s="1021"/>
      <c r="AF405" s="1021"/>
      <c r="AG405" s="1021"/>
      <c r="AH405" s="1021"/>
      <c r="AI405" s="1021"/>
      <c r="AJ405" s="1021"/>
      <c r="AK405" s="1021"/>
      <c r="AL405" s="1021"/>
      <c r="AM405" s="1021"/>
      <c r="AN405" s="1021"/>
      <c r="AO405" s="1021"/>
      <c r="AP405" s="1021"/>
      <c r="AQ405" s="1021"/>
      <c r="AR405" s="1021"/>
      <c r="AS405" s="1021"/>
      <c r="AT405" s="1021"/>
      <c r="AU405" s="1021"/>
      <c r="AV405" s="1021"/>
      <c r="AW405" s="1021"/>
      <c r="AX405" s="1021"/>
      <c r="AY405" s="1021"/>
      <c r="AZ405" s="1021"/>
      <c r="BA405" s="1021"/>
      <c r="BB405" s="1021"/>
      <c r="BC405" s="1021"/>
      <c r="BD405" s="1021"/>
      <c r="BE405" s="1021"/>
      <c r="BF405" s="1021"/>
      <c r="BG405" s="1021"/>
      <c r="BH405" s="1021"/>
      <c r="BI405" s="1021"/>
      <c r="BJ405" s="1021"/>
      <c r="BK405" s="1021"/>
      <c r="BL405" s="1021"/>
      <c r="BM405" s="1021"/>
      <c r="BN405" s="1021"/>
      <c r="BO405" s="1021"/>
      <c r="BP405" s="1021"/>
      <c r="BQ405" s="1021"/>
      <c r="BR405" s="1021"/>
      <c r="BS405" s="1021"/>
      <c r="BT405" s="1021"/>
      <c r="BU405" s="1021"/>
      <c r="BV405" s="1021"/>
      <c r="BW405" s="1021"/>
      <c r="BX405" s="1021"/>
      <c r="BY405" s="1021"/>
      <c r="BZ405" s="1021"/>
      <c r="CA405" s="1021"/>
      <c r="CB405" s="1021"/>
      <c r="CC405" s="1021"/>
    </row>
    <row r="406" spans="8:81" x14ac:dyDescent="0.25">
      <c r="H406" s="1021"/>
      <c r="I406" s="1021"/>
      <c r="J406" s="1021"/>
      <c r="K406" s="1021"/>
      <c r="L406" s="1021"/>
      <c r="M406" s="1021"/>
      <c r="N406" s="1021"/>
      <c r="O406" s="1021"/>
      <c r="P406" s="1021"/>
      <c r="Q406" s="1021"/>
      <c r="R406" s="1021"/>
      <c r="S406" s="1021"/>
      <c r="T406" s="1021"/>
      <c r="U406" s="1021"/>
      <c r="V406" s="1021"/>
      <c r="W406" s="1021"/>
      <c r="X406" s="1021"/>
      <c r="Y406" s="1021"/>
      <c r="Z406" s="1021"/>
      <c r="AA406" s="1021"/>
      <c r="AB406" s="1021"/>
      <c r="AC406" s="1021"/>
      <c r="AD406" s="1021"/>
      <c r="AE406" s="1021"/>
      <c r="AF406" s="1021"/>
      <c r="AG406" s="1021"/>
      <c r="AH406" s="1021"/>
      <c r="AI406" s="1021"/>
      <c r="AJ406" s="1021"/>
      <c r="AK406" s="1021"/>
      <c r="AL406" s="1021"/>
      <c r="AM406" s="1021"/>
      <c r="AN406" s="1021"/>
      <c r="AO406" s="1021"/>
      <c r="AP406" s="1021"/>
      <c r="AQ406" s="1021"/>
      <c r="AR406" s="1021"/>
      <c r="AS406" s="1021"/>
      <c r="AT406" s="1021"/>
      <c r="AU406" s="1021"/>
      <c r="AV406" s="1021"/>
      <c r="AW406" s="1021"/>
      <c r="AX406" s="1021"/>
      <c r="AY406" s="1021"/>
      <c r="AZ406" s="1021"/>
      <c r="BA406" s="1021"/>
      <c r="BB406" s="1021"/>
      <c r="BC406" s="1021"/>
      <c r="BD406" s="1021"/>
      <c r="BE406" s="1021"/>
      <c r="BF406" s="1021"/>
      <c r="BG406" s="1021"/>
      <c r="BH406" s="1021"/>
      <c r="BI406" s="1021"/>
      <c r="BJ406" s="1021"/>
      <c r="BK406" s="1021"/>
      <c r="BL406" s="1021"/>
      <c r="BM406" s="1021"/>
      <c r="BN406" s="1021"/>
      <c r="BO406" s="1021"/>
      <c r="BP406" s="1021"/>
      <c r="BQ406" s="1021"/>
      <c r="BR406" s="1021"/>
      <c r="BS406" s="1021"/>
      <c r="BT406" s="1021"/>
      <c r="BU406" s="1021"/>
      <c r="BV406" s="1021"/>
      <c r="BW406" s="1021"/>
      <c r="BX406" s="1021"/>
      <c r="BY406" s="1021"/>
      <c r="BZ406" s="1021"/>
      <c r="CA406" s="1021"/>
      <c r="CB406" s="1021"/>
      <c r="CC406" s="1021"/>
    </row>
    <row r="407" spans="8:81" x14ac:dyDescent="0.25">
      <c r="H407" s="1021"/>
      <c r="I407" s="1021"/>
      <c r="J407" s="1021"/>
      <c r="K407" s="1021"/>
      <c r="L407" s="1021"/>
      <c r="M407" s="1021"/>
      <c r="N407" s="1021"/>
      <c r="O407" s="1021"/>
      <c r="P407" s="1021"/>
      <c r="Q407" s="1021"/>
      <c r="R407" s="1021"/>
      <c r="S407" s="1021"/>
      <c r="T407" s="1021"/>
      <c r="U407" s="1021"/>
      <c r="V407" s="1021"/>
      <c r="W407" s="1021"/>
      <c r="X407" s="1021"/>
      <c r="Y407" s="1021"/>
      <c r="Z407" s="1021"/>
      <c r="AA407" s="1021"/>
      <c r="AB407" s="1021"/>
      <c r="AC407" s="1021"/>
      <c r="AD407" s="1021"/>
      <c r="AE407" s="1021"/>
      <c r="AF407" s="1021"/>
      <c r="AG407" s="1021"/>
      <c r="AH407" s="1021"/>
      <c r="AI407" s="1021"/>
      <c r="AJ407" s="1021"/>
      <c r="AK407" s="1021"/>
      <c r="AL407" s="1021"/>
      <c r="AM407" s="1021"/>
      <c r="AN407" s="1021"/>
      <c r="AO407" s="1021"/>
      <c r="AP407" s="1021"/>
      <c r="AQ407" s="1021"/>
      <c r="AR407" s="1021"/>
      <c r="AS407" s="1021"/>
      <c r="AT407" s="1021"/>
      <c r="AU407" s="1021"/>
      <c r="AV407" s="1021"/>
      <c r="AW407" s="1021"/>
      <c r="AX407" s="1021"/>
      <c r="AY407" s="1021"/>
      <c r="AZ407" s="1021"/>
      <c r="BA407" s="1021"/>
      <c r="BB407" s="1021"/>
      <c r="BC407" s="1021"/>
      <c r="BD407" s="1021"/>
      <c r="BE407" s="1021"/>
      <c r="BF407" s="1021"/>
      <c r="BG407" s="1021"/>
      <c r="BH407" s="1021"/>
      <c r="BI407" s="1021"/>
      <c r="BJ407" s="1021"/>
      <c r="BK407" s="1021"/>
      <c r="BL407" s="1021"/>
      <c r="BM407" s="1021"/>
      <c r="BN407" s="1021"/>
      <c r="BO407" s="1021"/>
      <c r="BP407" s="1021"/>
      <c r="BQ407" s="1021"/>
      <c r="BR407" s="1021"/>
      <c r="BS407" s="1021"/>
      <c r="BT407" s="1021"/>
      <c r="BU407" s="1021"/>
      <c r="BV407" s="1021"/>
      <c r="BW407" s="1021"/>
      <c r="BX407" s="1021"/>
      <c r="BY407" s="1021"/>
      <c r="BZ407" s="1021"/>
      <c r="CA407" s="1021"/>
      <c r="CB407" s="1021"/>
      <c r="CC407" s="1021"/>
    </row>
    <row r="408" spans="8:81" x14ac:dyDescent="0.25">
      <c r="H408" s="1021"/>
      <c r="I408" s="1021"/>
      <c r="J408" s="1021"/>
      <c r="K408" s="1021"/>
      <c r="L408" s="1021"/>
      <c r="M408" s="1021"/>
      <c r="N408" s="1021"/>
      <c r="O408" s="1021"/>
      <c r="P408" s="1021"/>
      <c r="Q408" s="1021"/>
      <c r="R408" s="1021"/>
      <c r="S408" s="1021"/>
      <c r="T408" s="1021"/>
      <c r="U408" s="1021"/>
      <c r="V408" s="1021"/>
      <c r="W408" s="1021"/>
      <c r="X408" s="1021"/>
      <c r="Y408" s="1021"/>
      <c r="Z408" s="1021"/>
      <c r="AA408" s="1021"/>
      <c r="AB408" s="1021"/>
      <c r="AC408" s="1021"/>
      <c r="AD408" s="1021"/>
      <c r="AE408" s="1021"/>
      <c r="AF408" s="1021"/>
      <c r="AG408" s="1021"/>
      <c r="AH408" s="1021"/>
      <c r="AI408" s="1021"/>
      <c r="AJ408" s="1021"/>
      <c r="AK408" s="1021"/>
      <c r="AL408" s="1021"/>
      <c r="AM408" s="1021"/>
      <c r="AN408" s="1021"/>
      <c r="AO408" s="1021"/>
      <c r="AP408" s="1021"/>
      <c r="AQ408" s="1021"/>
      <c r="AR408" s="1021"/>
      <c r="AS408" s="1021"/>
      <c r="AT408" s="1021"/>
      <c r="AU408" s="1021"/>
      <c r="AV408" s="1021"/>
      <c r="AW408" s="1021"/>
      <c r="AX408" s="1021"/>
      <c r="AY408" s="1021"/>
      <c r="AZ408" s="1021"/>
      <c r="BA408" s="1021"/>
      <c r="BB408" s="1021"/>
      <c r="BC408" s="1021"/>
      <c r="BD408" s="1021"/>
      <c r="BE408" s="1021"/>
      <c r="BF408" s="1021"/>
      <c r="BG408" s="1021"/>
      <c r="BH408" s="1021"/>
      <c r="BI408" s="1021"/>
      <c r="BJ408" s="1021"/>
      <c r="BK408" s="1021"/>
      <c r="BL408" s="1021"/>
      <c r="BM408" s="1021"/>
      <c r="BN408" s="1021"/>
      <c r="BO408" s="1021"/>
      <c r="BP408" s="1021"/>
      <c r="BQ408" s="1021"/>
      <c r="BR408" s="1021"/>
      <c r="BS408" s="1021"/>
      <c r="BT408" s="1021"/>
      <c r="BU408" s="1021"/>
      <c r="BV408" s="1021"/>
      <c r="BW408" s="1021"/>
      <c r="BX408" s="1021"/>
      <c r="BY408" s="1021"/>
      <c r="BZ408" s="1021"/>
      <c r="CA408" s="1021"/>
      <c r="CB408" s="1021"/>
      <c r="CC408" s="1021"/>
    </row>
    <row r="409" spans="8:81" x14ac:dyDescent="0.25">
      <c r="H409" s="1021"/>
      <c r="I409" s="1021"/>
      <c r="J409" s="1021"/>
      <c r="K409" s="1021"/>
      <c r="L409" s="1021"/>
      <c r="M409" s="1021"/>
      <c r="N409" s="1021"/>
      <c r="O409" s="1021"/>
      <c r="P409" s="1021"/>
      <c r="Q409" s="1021"/>
      <c r="R409" s="1021"/>
      <c r="S409" s="1021"/>
      <c r="T409" s="1021"/>
      <c r="U409" s="1021"/>
      <c r="V409" s="1021"/>
      <c r="W409" s="1021"/>
      <c r="X409" s="1021"/>
      <c r="Y409" s="1021"/>
      <c r="Z409" s="1021"/>
      <c r="AA409" s="1021"/>
      <c r="AB409" s="1021"/>
      <c r="AC409" s="1021"/>
      <c r="AD409" s="1021"/>
      <c r="AE409" s="1021"/>
      <c r="AF409" s="1021"/>
      <c r="AG409" s="1021"/>
      <c r="AH409" s="1021"/>
      <c r="AI409" s="1021"/>
      <c r="AJ409" s="1021"/>
      <c r="AK409" s="1021"/>
      <c r="AL409" s="1021"/>
      <c r="AM409" s="1021"/>
      <c r="AN409" s="1021"/>
      <c r="AO409" s="1021"/>
      <c r="AP409" s="1021"/>
      <c r="AQ409" s="1021"/>
      <c r="AR409" s="1021"/>
      <c r="AS409" s="1021"/>
      <c r="AT409" s="1021"/>
      <c r="AU409" s="1021"/>
      <c r="AV409" s="1021"/>
      <c r="AW409" s="1021"/>
      <c r="AX409" s="1021"/>
      <c r="AY409" s="1021"/>
      <c r="AZ409" s="1021"/>
      <c r="BA409" s="1021"/>
      <c r="BB409" s="1021"/>
      <c r="BC409" s="1021"/>
      <c r="BD409" s="1021"/>
      <c r="BE409" s="1021"/>
      <c r="BF409" s="1021"/>
      <c r="BG409" s="1021"/>
      <c r="BH409" s="1021"/>
      <c r="BI409" s="1021"/>
      <c r="BJ409" s="1021"/>
      <c r="BK409" s="1021"/>
      <c r="BL409" s="1021"/>
      <c r="BM409" s="1021"/>
      <c r="BN409" s="1021"/>
      <c r="BO409" s="1021"/>
      <c r="BP409" s="1021"/>
      <c r="BQ409" s="1021"/>
      <c r="BR409" s="1021"/>
      <c r="BS409" s="1021"/>
      <c r="BT409" s="1021"/>
      <c r="BU409" s="1021"/>
      <c r="BV409" s="1021"/>
      <c r="BW409" s="1021"/>
      <c r="BX409" s="1021"/>
      <c r="BY409" s="1021"/>
      <c r="BZ409" s="1021"/>
      <c r="CA409" s="1021"/>
      <c r="CB409" s="1021"/>
      <c r="CC409" s="1021"/>
    </row>
    <row r="410" spans="8:81" x14ac:dyDescent="0.25">
      <c r="H410" s="1021"/>
      <c r="I410" s="1021"/>
      <c r="J410" s="1021"/>
      <c r="K410" s="1021"/>
      <c r="L410" s="1021"/>
      <c r="M410" s="1021"/>
      <c r="N410" s="1021"/>
      <c r="O410" s="1021"/>
      <c r="P410" s="1021"/>
      <c r="Q410" s="1021"/>
      <c r="R410" s="1021"/>
      <c r="S410" s="1021"/>
      <c r="T410" s="1021"/>
      <c r="U410" s="1021"/>
      <c r="V410" s="1021"/>
      <c r="W410" s="1021"/>
      <c r="X410" s="1021"/>
      <c r="Y410" s="1021"/>
      <c r="Z410" s="1021"/>
      <c r="AA410" s="1021"/>
      <c r="AB410" s="1021"/>
      <c r="AC410" s="1021"/>
      <c r="AD410" s="1021"/>
      <c r="AE410" s="1021"/>
      <c r="AF410" s="1021"/>
      <c r="AG410" s="1021"/>
      <c r="AH410" s="1021"/>
      <c r="AI410" s="1021"/>
      <c r="AJ410" s="1021"/>
      <c r="AK410" s="1021"/>
      <c r="AL410" s="1021"/>
      <c r="AM410" s="1021"/>
      <c r="AN410" s="1021"/>
      <c r="AO410" s="1021"/>
      <c r="AP410" s="1021"/>
      <c r="AQ410" s="1021"/>
      <c r="AR410" s="1021"/>
      <c r="AS410" s="1021"/>
      <c r="AT410" s="1021"/>
      <c r="AU410" s="1021"/>
      <c r="AV410" s="1021"/>
      <c r="AW410" s="1021"/>
      <c r="AX410" s="1021"/>
      <c r="AY410" s="1021"/>
      <c r="AZ410" s="1021"/>
      <c r="BA410" s="1021"/>
      <c r="BB410" s="1021"/>
      <c r="BC410" s="1021"/>
      <c r="BD410" s="1021"/>
      <c r="BE410" s="1021"/>
      <c r="BF410" s="1021"/>
      <c r="BG410" s="1021"/>
      <c r="BH410" s="1021"/>
      <c r="BI410" s="1021"/>
      <c r="BJ410" s="1021"/>
      <c r="BK410" s="1021"/>
      <c r="BL410" s="1021"/>
      <c r="BM410" s="1021"/>
      <c r="BN410" s="1021"/>
      <c r="BO410" s="1021"/>
      <c r="BP410" s="1021"/>
      <c r="BQ410" s="1021"/>
      <c r="BR410" s="1021"/>
      <c r="BS410" s="1021"/>
      <c r="BT410" s="1021"/>
      <c r="BU410" s="1021"/>
      <c r="BV410" s="1021"/>
      <c r="BW410" s="1021"/>
      <c r="BX410" s="1021"/>
      <c r="BY410" s="1021"/>
      <c r="BZ410" s="1021"/>
      <c r="CA410" s="1021"/>
      <c r="CB410" s="1021"/>
      <c r="CC410" s="1021"/>
    </row>
    <row r="411" spans="8:81" x14ac:dyDescent="0.25">
      <c r="H411" s="1021"/>
      <c r="I411" s="1021"/>
      <c r="J411" s="1021"/>
      <c r="K411" s="1021"/>
      <c r="L411" s="1021"/>
      <c r="M411" s="1021"/>
      <c r="N411" s="1021"/>
      <c r="O411" s="1021"/>
      <c r="P411" s="1021"/>
      <c r="Q411" s="1021"/>
      <c r="R411" s="1021"/>
      <c r="S411" s="1021"/>
      <c r="T411" s="1021"/>
      <c r="U411" s="1021"/>
      <c r="V411" s="1021"/>
      <c r="W411" s="1021"/>
      <c r="X411" s="1021"/>
      <c r="Y411" s="1021"/>
      <c r="Z411" s="1021"/>
      <c r="AA411" s="1021"/>
      <c r="AB411" s="1021"/>
      <c r="AC411" s="1021"/>
      <c r="AD411" s="1021"/>
      <c r="AE411" s="1021"/>
      <c r="AF411" s="1021"/>
      <c r="AG411" s="1021"/>
      <c r="AH411" s="1021"/>
      <c r="AI411" s="1021"/>
      <c r="AJ411" s="1021"/>
      <c r="AK411" s="1021"/>
      <c r="AL411" s="1021"/>
      <c r="AM411" s="1021"/>
      <c r="AN411" s="1021"/>
      <c r="AO411" s="1021"/>
      <c r="AP411" s="1021"/>
      <c r="AQ411" s="1021"/>
      <c r="AR411" s="1021"/>
      <c r="AS411" s="1021"/>
      <c r="AT411" s="1021"/>
      <c r="AU411" s="1021"/>
      <c r="AV411" s="1021"/>
      <c r="AW411" s="1021"/>
      <c r="AX411" s="1021"/>
      <c r="AY411" s="1021"/>
      <c r="AZ411" s="1021"/>
      <c r="BA411" s="1021"/>
      <c r="BB411" s="1021"/>
      <c r="BC411" s="1021"/>
      <c r="BD411" s="1021"/>
      <c r="BE411" s="1021"/>
      <c r="BF411" s="1021"/>
      <c r="BG411" s="1021"/>
      <c r="BH411" s="1021"/>
      <c r="BI411" s="1021"/>
      <c r="BJ411" s="1021"/>
      <c r="BK411" s="1021"/>
      <c r="BL411" s="1021"/>
      <c r="BM411" s="1021"/>
      <c r="BN411" s="1021"/>
      <c r="BO411" s="1021"/>
      <c r="BP411" s="1021"/>
      <c r="BQ411" s="1021"/>
      <c r="BR411" s="1021"/>
      <c r="BS411" s="1021"/>
      <c r="BT411" s="1021"/>
      <c r="BU411" s="1021"/>
      <c r="BV411" s="1021"/>
      <c r="BW411" s="1021"/>
      <c r="BX411" s="1021"/>
      <c r="BY411" s="1021"/>
      <c r="BZ411" s="1021"/>
      <c r="CA411" s="1021"/>
      <c r="CB411" s="1021"/>
      <c r="CC411" s="1021"/>
    </row>
    <row r="412" spans="8:81" x14ac:dyDescent="0.25">
      <c r="H412" s="1021"/>
      <c r="I412" s="1021"/>
      <c r="J412" s="1021"/>
      <c r="K412" s="1021"/>
      <c r="L412" s="1021"/>
      <c r="M412" s="1021"/>
      <c r="N412" s="1021"/>
      <c r="O412" s="1021"/>
      <c r="P412" s="1021"/>
      <c r="Q412" s="1021"/>
      <c r="R412" s="1021"/>
      <c r="S412" s="1021"/>
      <c r="T412" s="1021"/>
      <c r="U412" s="1021"/>
      <c r="V412" s="1021"/>
      <c r="W412" s="1021"/>
      <c r="X412" s="1021"/>
      <c r="Y412" s="1021"/>
      <c r="Z412" s="1021"/>
      <c r="AA412" s="1021"/>
      <c r="AB412" s="1021"/>
      <c r="AC412" s="1021"/>
      <c r="AD412" s="1021"/>
      <c r="AE412" s="1021"/>
      <c r="AF412" s="1021"/>
      <c r="AG412" s="1021"/>
      <c r="AH412" s="1021"/>
      <c r="AI412" s="1021"/>
      <c r="AJ412" s="1021"/>
      <c r="AK412" s="1021"/>
      <c r="AL412" s="1021"/>
      <c r="AM412" s="1021"/>
      <c r="AN412" s="1021"/>
      <c r="AO412" s="1021"/>
      <c r="AP412" s="1021"/>
      <c r="AQ412" s="1021"/>
      <c r="AR412" s="1021"/>
      <c r="AS412" s="1021"/>
      <c r="AT412" s="1021"/>
      <c r="AU412" s="1021"/>
      <c r="AV412" s="1021"/>
      <c r="AW412" s="1021"/>
      <c r="AX412" s="1021"/>
      <c r="AY412" s="1021"/>
      <c r="AZ412" s="1021"/>
      <c r="BA412" s="1021"/>
      <c r="BB412" s="1021"/>
      <c r="BC412" s="1021"/>
      <c r="BD412" s="1021"/>
      <c r="BE412" s="1021"/>
      <c r="BF412" s="1021"/>
      <c r="BG412" s="1021"/>
      <c r="BH412" s="1021"/>
      <c r="BI412" s="1021"/>
      <c r="BJ412" s="1021"/>
      <c r="BK412" s="1021"/>
      <c r="BL412" s="1021"/>
      <c r="BM412" s="1021"/>
      <c r="BN412" s="1021"/>
      <c r="BO412" s="1021"/>
      <c r="BP412" s="1021"/>
      <c r="BQ412" s="1021"/>
      <c r="BR412" s="1021"/>
      <c r="BS412" s="1021"/>
      <c r="BT412" s="1021"/>
      <c r="BU412" s="1021"/>
      <c r="BV412" s="1021"/>
      <c r="BW412" s="1021"/>
      <c r="BX412" s="1021"/>
      <c r="BY412" s="1021"/>
      <c r="BZ412" s="1021"/>
      <c r="CA412" s="1021"/>
      <c r="CB412" s="1021"/>
      <c r="CC412" s="1021"/>
    </row>
    <row r="413" spans="8:81" x14ac:dyDescent="0.25">
      <c r="H413" s="1021"/>
      <c r="I413" s="1021"/>
      <c r="J413" s="1021"/>
      <c r="K413" s="1021"/>
      <c r="L413" s="1021"/>
      <c r="M413" s="1021"/>
      <c r="N413" s="1021"/>
      <c r="O413" s="1021"/>
      <c r="P413" s="1021"/>
      <c r="Q413" s="1021"/>
      <c r="R413" s="1021"/>
      <c r="S413" s="1021"/>
      <c r="T413" s="1021"/>
      <c r="U413" s="1021"/>
      <c r="V413" s="1021"/>
      <c r="W413" s="1021"/>
      <c r="X413" s="1021"/>
      <c r="Y413" s="1021"/>
      <c r="Z413" s="1021"/>
      <c r="AA413" s="1021"/>
      <c r="AB413" s="1021"/>
      <c r="AC413" s="1021"/>
      <c r="AD413" s="1021"/>
      <c r="AE413" s="1021"/>
      <c r="AF413" s="1021"/>
      <c r="AG413" s="1021"/>
      <c r="AH413" s="1021"/>
      <c r="AI413" s="1021"/>
      <c r="AJ413" s="1021"/>
      <c r="AK413" s="1021"/>
      <c r="AL413" s="1021"/>
      <c r="AM413" s="1021"/>
      <c r="AN413" s="1021"/>
      <c r="AO413" s="1021"/>
      <c r="AP413" s="1021"/>
      <c r="AQ413" s="1021"/>
      <c r="AR413" s="1021"/>
      <c r="AS413" s="1021"/>
      <c r="AT413" s="1021"/>
      <c r="AU413" s="1021"/>
      <c r="AV413" s="1021"/>
      <c r="AW413" s="1021"/>
      <c r="AX413" s="1021"/>
      <c r="AY413" s="1021"/>
      <c r="AZ413" s="1021"/>
      <c r="BA413" s="1021"/>
      <c r="BB413" s="1021"/>
      <c r="BC413" s="1021"/>
      <c r="BD413" s="1021"/>
      <c r="BE413" s="1021"/>
      <c r="BF413" s="1021"/>
      <c r="BG413" s="1021"/>
      <c r="BH413" s="1021"/>
      <c r="BI413" s="1021"/>
      <c r="BJ413" s="1021"/>
      <c r="BK413" s="1021"/>
      <c r="BL413" s="1021"/>
      <c r="BM413" s="1021"/>
      <c r="BN413" s="1021"/>
      <c r="BO413" s="1021"/>
      <c r="BP413" s="1021"/>
      <c r="BQ413" s="1021"/>
      <c r="BR413" s="1021"/>
      <c r="BS413" s="1021"/>
      <c r="BT413" s="1021"/>
      <c r="BU413" s="1021"/>
      <c r="BV413" s="1021"/>
      <c r="BW413" s="1021"/>
      <c r="BX413" s="1021"/>
      <c r="BY413" s="1021"/>
      <c r="BZ413" s="1021"/>
      <c r="CA413" s="1021"/>
      <c r="CB413" s="1021"/>
      <c r="CC413" s="1021"/>
    </row>
    <row r="414" spans="8:81" x14ac:dyDescent="0.25">
      <c r="H414" s="1021"/>
      <c r="I414" s="1021"/>
      <c r="J414" s="1021"/>
      <c r="K414" s="1021"/>
      <c r="L414" s="1021"/>
      <c r="M414" s="1021"/>
      <c r="N414" s="1021"/>
      <c r="O414" s="1021"/>
      <c r="P414" s="1021"/>
      <c r="Q414" s="1021"/>
      <c r="R414" s="1021"/>
      <c r="S414" s="1021"/>
      <c r="T414" s="1021"/>
      <c r="U414" s="1021"/>
      <c r="V414" s="1021"/>
      <c r="W414" s="1021"/>
      <c r="X414" s="1021"/>
      <c r="Y414" s="1021"/>
      <c r="Z414" s="1021"/>
      <c r="AA414" s="1021"/>
      <c r="AB414" s="1021"/>
      <c r="AC414" s="1021"/>
      <c r="AD414" s="1021"/>
      <c r="AE414" s="1021"/>
      <c r="AF414" s="1021"/>
      <c r="AG414" s="1021"/>
      <c r="AH414" s="1021"/>
      <c r="AI414" s="1021"/>
      <c r="AJ414" s="1021"/>
      <c r="AK414" s="1021"/>
      <c r="AL414" s="1021"/>
      <c r="AM414" s="1021"/>
      <c r="AN414" s="1021"/>
      <c r="AO414" s="1021"/>
      <c r="AP414" s="1021"/>
      <c r="AQ414" s="1021"/>
      <c r="AR414" s="1021"/>
      <c r="AS414" s="1021"/>
      <c r="AT414" s="1021"/>
      <c r="AU414" s="1021"/>
      <c r="AV414" s="1021"/>
      <c r="AW414" s="1021"/>
      <c r="AX414" s="1021"/>
      <c r="AY414" s="1021"/>
      <c r="AZ414" s="1021"/>
      <c r="BA414" s="1021"/>
      <c r="BB414" s="1021"/>
      <c r="BC414" s="1021"/>
      <c r="BD414" s="1021"/>
      <c r="BE414" s="1021"/>
      <c r="BF414" s="1021"/>
      <c r="BG414" s="1021"/>
      <c r="BH414" s="1021"/>
      <c r="BI414" s="1021"/>
      <c r="BJ414" s="1021"/>
      <c r="BK414" s="1021"/>
      <c r="BL414" s="1021"/>
      <c r="BM414" s="1021"/>
      <c r="BN414" s="1021"/>
      <c r="BO414" s="1021"/>
      <c r="BP414" s="1021"/>
      <c r="BQ414" s="1021"/>
      <c r="BR414" s="1021"/>
      <c r="BS414" s="1021"/>
      <c r="BT414" s="1021"/>
      <c r="BU414" s="1021"/>
      <c r="BV414" s="1021"/>
      <c r="BW414" s="1021"/>
      <c r="BX414" s="1021"/>
      <c r="BY414" s="1021"/>
      <c r="BZ414" s="1021"/>
      <c r="CA414" s="1021"/>
      <c r="CB414" s="1021"/>
      <c r="CC414" s="1021"/>
    </row>
    <row r="415" spans="8:81" x14ac:dyDescent="0.25">
      <c r="H415" s="1021"/>
      <c r="I415" s="1021"/>
      <c r="J415" s="1021"/>
      <c r="K415" s="1021"/>
      <c r="L415" s="1021"/>
      <c r="M415" s="1021"/>
      <c r="N415" s="1021"/>
      <c r="O415" s="1021"/>
      <c r="P415" s="1021"/>
      <c r="Q415" s="1021"/>
      <c r="R415" s="1021"/>
      <c r="S415" s="1021"/>
      <c r="T415" s="1021"/>
      <c r="U415" s="1021"/>
      <c r="V415" s="1021"/>
      <c r="W415" s="1021"/>
      <c r="X415" s="1021"/>
      <c r="Y415" s="1021"/>
      <c r="Z415" s="1021"/>
      <c r="AA415" s="1021"/>
      <c r="AB415" s="1021"/>
      <c r="AC415" s="1021"/>
      <c r="AD415" s="1021"/>
      <c r="AE415" s="1021"/>
      <c r="AF415" s="1021"/>
      <c r="AG415" s="1021"/>
      <c r="AH415" s="1021"/>
      <c r="AI415" s="1021"/>
      <c r="AJ415" s="1021"/>
      <c r="AK415" s="1021"/>
      <c r="AL415" s="1021"/>
      <c r="AM415" s="1021"/>
      <c r="AN415" s="1021"/>
      <c r="AO415" s="1021"/>
      <c r="AP415" s="1021"/>
      <c r="AQ415" s="1021"/>
      <c r="AR415" s="1021"/>
      <c r="AS415" s="1021"/>
      <c r="AT415" s="1021"/>
      <c r="AU415" s="1021"/>
      <c r="AV415" s="1021"/>
      <c r="AW415" s="1021"/>
      <c r="AX415" s="1021"/>
      <c r="AY415" s="1021"/>
      <c r="AZ415" s="1021"/>
      <c r="BA415" s="1021"/>
      <c r="BB415" s="1021"/>
      <c r="BC415" s="1021"/>
      <c r="BD415" s="1021"/>
      <c r="BE415" s="1021"/>
      <c r="BF415" s="1021"/>
      <c r="BG415" s="1021"/>
      <c r="BH415" s="1021"/>
      <c r="BI415" s="1021"/>
      <c r="BJ415" s="1021"/>
      <c r="BK415" s="1021"/>
      <c r="BL415" s="1021"/>
      <c r="BM415" s="1021"/>
      <c r="BN415" s="1021"/>
      <c r="BO415" s="1021"/>
      <c r="BP415" s="1021"/>
      <c r="BQ415" s="1021"/>
      <c r="BR415" s="1021"/>
      <c r="BS415" s="1021"/>
      <c r="BT415" s="1021"/>
      <c r="BU415" s="1021"/>
      <c r="BV415" s="1021"/>
      <c r="BW415" s="1021"/>
      <c r="BX415" s="1021"/>
      <c r="BY415" s="1021"/>
      <c r="BZ415" s="1021"/>
      <c r="CA415" s="1021"/>
      <c r="CB415" s="1021"/>
      <c r="CC415" s="1021"/>
    </row>
    <row r="416" spans="8:81" x14ac:dyDescent="0.25">
      <c r="H416" s="1021"/>
      <c r="I416" s="1021"/>
      <c r="J416" s="1021"/>
      <c r="K416" s="1021"/>
      <c r="L416" s="1021"/>
      <c r="M416" s="1021"/>
      <c r="N416" s="1021"/>
      <c r="O416" s="1021"/>
      <c r="P416" s="1021"/>
      <c r="Q416" s="1021"/>
      <c r="R416" s="1021"/>
      <c r="S416" s="1021"/>
      <c r="T416" s="1021"/>
      <c r="U416" s="1021"/>
      <c r="V416" s="1021"/>
      <c r="W416" s="1021"/>
      <c r="X416" s="1021"/>
      <c r="Y416" s="1021"/>
      <c r="Z416" s="1021"/>
      <c r="AA416" s="1021"/>
      <c r="AB416" s="1021"/>
      <c r="AC416" s="1021"/>
      <c r="AD416" s="1021"/>
      <c r="AE416" s="1021"/>
      <c r="AF416" s="1021"/>
      <c r="AG416" s="1021"/>
      <c r="AH416" s="1021"/>
      <c r="AI416" s="1021"/>
      <c r="AJ416" s="1021"/>
      <c r="AK416" s="1021"/>
      <c r="AL416" s="1021"/>
      <c r="AM416" s="1021"/>
      <c r="AN416" s="1021"/>
      <c r="AO416" s="1021"/>
      <c r="AP416" s="1021"/>
      <c r="AQ416" s="1021"/>
      <c r="AR416" s="1021"/>
      <c r="AS416" s="1021"/>
      <c r="AT416" s="1021"/>
      <c r="AU416" s="1021"/>
      <c r="AV416" s="1021"/>
      <c r="AW416" s="1021"/>
      <c r="AX416" s="1021"/>
      <c r="AY416" s="1021"/>
      <c r="AZ416" s="1021"/>
      <c r="BA416" s="1021"/>
      <c r="BB416" s="1021"/>
      <c r="BC416" s="1021"/>
      <c r="BD416" s="1021"/>
      <c r="BE416" s="1021"/>
      <c r="BF416" s="1021"/>
      <c r="BG416" s="1021"/>
      <c r="BH416" s="1021"/>
      <c r="BI416" s="1021"/>
      <c r="BJ416" s="1021"/>
      <c r="BK416" s="1021"/>
      <c r="BL416" s="1021"/>
      <c r="BM416" s="1021"/>
      <c r="BN416" s="1021"/>
      <c r="BO416" s="1021"/>
      <c r="BP416" s="1021"/>
      <c r="BQ416" s="1021"/>
      <c r="BR416" s="1021"/>
      <c r="BS416" s="1021"/>
      <c r="BT416" s="1021"/>
      <c r="BU416" s="1021"/>
      <c r="BV416" s="1021"/>
      <c r="BW416" s="1021"/>
      <c r="BX416" s="1021"/>
      <c r="BY416" s="1021"/>
      <c r="BZ416" s="1021"/>
      <c r="CA416" s="1021"/>
      <c r="CB416" s="1021"/>
      <c r="CC416" s="1021"/>
    </row>
    <row r="417" spans="8:81" x14ac:dyDescent="0.25">
      <c r="H417" s="1021"/>
      <c r="I417" s="1021"/>
      <c r="J417" s="1021"/>
      <c r="K417" s="1021"/>
      <c r="L417" s="1021"/>
      <c r="M417" s="1021"/>
      <c r="N417" s="1021"/>
      <c r="O417" s="1021"/>
      <c r="P417" s="1021"/>
      <c r="Q417" s="1021"/>
      <c r="R417" s="1021"/>
      <c r="S417" s="1021"/>
      <c r="T417" s="1021"/>
      <c r="U417" s="1021"/>
      <c r="V417" s="1021"/>
      <c r="W417" s="1021"/>
      <c r="X417" s="1021"/>
      <c r="Y417" s="1021"/>
      <c r="Z417" s="1021"/>
      <c r="AA417" s="1021"/>
      <c r="AB417" s="1021"/>
      <c r="AC417" s="1021"/>
      <c r="AD417" s="1021"/>
      <c r="AE417" s="1021"/>
      <c r="AF417" s="1021"/>
      <c r="AG417" s="1021"/>
      <c r="AH417" s="1021"/>
      <c r="AI417" s="1021"/>
      <c r="AJ417" s="1021"/>
      <c r="AK417" s="1021"/>
      <c r="AL417" s="1021"/>
      <c r="AM417" s="1021"/>
      <c r="AN417" s="1021"/>
      <c r="AO417" s="1021"/>
      <c r="AP417" s="1021"/>
      <c r="AQ417" s="1021"/>
      <c r="AR417" s="1021"/>
      <c r="AS417" s="1021"/>
      <c r="AT417" s="1021"/>
      <c r="AU417" s="1021"/>
      <c r="AV417" s="1021"/>
      <c r="AW417" s="1021"/>
      <c r="AX417" s="1021"/>
      <c r="AY417" s="1021"/>
      <c r="AZ417" s="1021"/>
      <c r="BA417" s="1021"/>
      <c r="BB417" s="1021"/>
      <c r="BC417" s="1021"/>
      <c r="BD417" s="1021"/>
      <c r="BE417" s="1021"/>
      <c r="BF417" s="1021"/>
      <c r="BG417" s="1021"/>
      <c r="BH417" s="1021"/>
      <c r="BI417" s="1021"/>
      <c r="BJ417" s="1021"/>
      <c r="BK417" s="1021"/>
      <c r="BL417" s="1021"/>
      <c r="BM417" s="1021"/>
      <c r="BN417" s="1021"/>
      <c r="BO417" s="1021"/>
      <c r="BP417" s="1021"/>
      <c r="BQ417" s="1021"/>
      <c r="BR417" s="1021"/>
      <c r="BS417" s="1021"/>
      <c r="BT417" s="1021"/>
      <c r="BU417" s="1021"/>
      <c r="BV417" s="1021"/>
      <c r="BW417" s="1021"/>
      <c r="BX417" s="1021"/>
      <c r="BY417" s="1021"/>
      <c r="BZ417" s="1021"/>
      <c r="CA417" s="1021"/>
      <c r="CB417" s="1021"/>
      <c r="CC417" s="1021"/>
    </row>
    <row r="418" spans="8:81" x14ac:dyDescent="0.25">
      <c r="H418" s="1021"/>
      <c r="I418" s="1021"/>
      <c r="J418" s="1021"/>
      <c r="K418" s="1021"/>
      <c r="L418" s="1021"/>
      <c r="M418" s="1021"/>
      <c r="N418" s="1021"/>
      <c r="O418" s="1021"/>
      <c r="P418" s="1021"/>
      <c r="Q418" s="1021"/>
      <c r="R418" s="1021"/>
      <c r="S418" s="1021"/>
      <c r="T418" s="1021"/>
      <c r="U418" s="1021"/>
      <c r="V418" s="1021"/>
      <c r="W418" s="1021"/>
      <c r="X418" s="1021"/>
      <c r="Y418" s="1021"/>
      <c r="Z418" s="1021"/>
      <c r="AA418" s="1021"/>
      <c r="AB418" s="1021"/>
      <c r="AC418" s="1021"/>
      <c r="AD418" s="1021"/>
      <c r="AE418" s="1021"/>
      <c r="AF418" s="1021"/>
      <c r="AG418" s="1021"/>
      <c r="AH418" s="1021"/>
      <c r="AI418" s="1021"/>
      <c r="AJ418" s="1021"/>
      <c r="AK418" s="1021"/>
      <c r="AL418" s="1021"/>
      <c r="AM418" s="1021"/>
      <c r="AN418" s="1021"/>
      <c r="AO418" s="1021"/>
      <c r="AP418" s="1021"/>
      <c r="AQ418" s="1021"/>
      <c r="AR418" s="1021"/>
      <c r="AS418" s="1021"/>
      <c r="AT418" s="1021"/>
      <c r="AU418" s="1021"/>
      <c r="AV418" s="1021"/>
      <c r="AW418" s="1021"/>
      <c r="AX418" s="1021"/>
      <c r="AY418" s="1021"/>
      <c r="AZ418" s="1021"/>
      <c r="BA418" s="1021"/>
      <c r="BB418" s="1021"/>
      <c r="BC418" s="1021"/>
      <c r="BD418" s="1021"/>
      <c r="BE418" s="1021"/>
      <c r="BF418" s="1021"/>
      <c r="BG418" s="1021"/>
      <c r="BH418" s="1021"/>
      <c r="BI418" s="1021"/>
      <c r="BJ418" s="1021"/>
      <c r="BK418" s="1021"/>
      <c r="BL418" s="1021"/>
      <c r="BM418" s="1021"/>
      <c r="BN418" s="1021"/>
      <c r="BO418" s="1021"/>
      <c r="BP418" s="1021"/>
      <c r="BQ418" s="1021"/>
      <c r="BR418" s="1021"/>
      <c r="BS418" s="1021"/>
      <c r="BT418" s="1021"/>
      <c r="BU418" s="1021"/>
      <c r="BV418" s="1021"/>
      <c r="BW418" s="1021"/>
      <c r="BX418" s="1021"/>
      <c r="BY418" s="1021"/>
      <c r="BZ418" s="1021"/>
      <c r="CA418" s="1021"/>
      <c r="CB418" s="1021"/>
      <c r="CC418" s="1021"/>
    </row>
    <row r="419" spans="8:81" x14ac:dyDescent="0.25">
      <c r="H419" s="1021"/>
      <c r="I419" s="1021"/>
      <c r="J419" s="1021"/>
      <c r="K419" s="1021"/>
      <c r="L419" s="1021"/>
      <c r="M419" s="1021"/>
      <c r="N419" s="1021"/>
      <c r="O419" s="1021"/>
      <c r="P419" s="1021"/>
      <c r="Q419" s="1021"/>
      <c r="R419" s="1021"/>
      <c r="S419" s="1021"/>
      <c r="T419" s="1021"/>
      <c r="U419" s="1021"/>
      <c r="V419" s="1021"/>
      <c r="W419" s="1021"/>
      <c r="X419" s="1021"/>
      <c r="Y419" s="1021"/>
      <c r="Z419" s="1021"/>
      <c r="AA419" s="1021"/>
      <c r="AB419" s="1021"/>
      <c r="AC419" s="1021"/>
      <c r="AD419" s="1021"/>
      <c r="AE419" s="1021"/>
      <c r="AF419" s="1021"/>
      <c r="AG419" s="1021"/>
      <c r="AH419" s="1021"/>
      <c r="AI419" s="1021"/>
      <c r="AJ419" s="1021"/>
      <c r="AK419" s="1021"/>
      <c r="AL419" s="1021"/>
      <c r="AM419" s="1021"/>
      <c r="AN419" s="1021"/>
      <c r="AO419" s="1021"/>
      <c r="AP419" s="1021"/>
      <c r="AQ419" s="1021"/>
      <c r="AR419" s="1021"/>
      <c r="AS419" s="1021"/>
      <c r="AT419" s="1021"/>
      <c r="AU419" s="1021"/>
      <c r="AV419" s="1021"/>
      <c r="AW419" s="1021"/>
      <c r="AX419" s="1021"/>
      <c r="AY419" s="1021"/>
      <c r="AZ419" s="1021"/>
      <c r="BA419" s="1021"/>
      <c r="BB419" s="1021"/>
      <c r="BC419" s="1021"/>
      <c r="BD419" s="1021"/>
      <c r="BE419" s="1021"/>
      <c r="BF419" s="1021"/>
      <c r="BG419" s="1021"/>
      <c r="BH419" s="1021"/>
      <c r="BI419" s="1021"/>
      <c r="BJ419" s="1021"/>
      <c r="BK419" s="1021"/>
      <c r="BL419" s="1021"/>
      <c r="BM419" s="1021"/>
      <c r="BN419" s="1021"/>
      <c r="BO419" s="1021"/>
      <c r="BP419" s="1021"/>
      <c r="BQ419" s="1021"/>
      <c r="BR419" s="1021"/>
      <c r="BS419" s="1021"/>
      <c r="BT419" s="1021"/>
      <c r="BU419" s="1021"/>
      <c r="BV419" s="1021"/>
      <c r="BW419" s="1021"/>
      <c r="BX419" s="1021"/>
      <c r="BY419" s="1021"/>
      <c r="BZ419" s="1021"/>
      <c r="CA419" s="1021"/>
      <c r="CB419" s="1021"/>
      <c r="CC419" s="1021"/>
    </row>
    <row r="420" spans="8:81" x14ac:dyDescent="0.25">
      <c r="H420" s="1021"/>
      <c r="I420" s="1021"/>
      <c r="J420" s="1021"/>
      <c r="K420" s="1021"/>
      <c r="L420" s="1021"/>
      <c r="M420" s="1021"/>
      <c r="N420" s="1021"/>
      <c r="O420" s="1021"/>
      <c r="P420" s="1021"/>
      <c r="Q420" s="1021"/>
      <c r="R420" s="1021"/>
      <c r="S420" s="1021"/>
      <c r="T420" s="1021"/>
      <c r="U420" s="1021"/>
      <c r="V420" s="1021"/>
      <c r="W420" s="1021"/>
      <c r="X420" s="1021"/>
      <c r="Y420" s="1021"/>
      <c r="Z420" s="1021"/>
      <c r="AA420" s="1021"/>
      <c r="AB420" s="1021"/>
      <c r="AC420" s="1021"/>
      <c r="AD420" s="1021"/>
      <c r="AE420" s="1021"/>
      <c r="AF420" s="1021"/>
      <c r="AG420" s="1021"/>
      <c r="AH420" s="1021"/>
      <c r="AI420" s="1021"/>
      <c r="AJ420" s="1021"/>
      <c r="AK420" s="1021"/>
      <c r="AL420" s="1021"/>
      <c r="AM420" s="1021"/>
      <c r="AN420" s="1021"/>
      <c r="AO420" s="1021"/>
      <c r="AP420" s="1021"/>
      <c r="AQ420" s="1021"/>
      <c r="AR420" s="1021"/>
      <c r="AS420" s="1021"/>
      <c r="AT420" s="1021"/>
      <c r="AU420" s="1021"/>
      <c r="AV420" s="1021"/>
      <c r="AW420" s="1021"/>
      <c r="AX420" s="1021"/>
      <c r="AY420" s="1021"/>
      <c r="AZ420" s="1021"/>
      <c r="BA420" s="1021"/>
      <c r="BB420" s="1021"/>
      <c r="BC420" s="1021"/>
      <c r="BD420" s="1021"/>
      <c r="BE420" s="1021"/>
      <c r="BF420" s="1021"/>
      <c r="BG420" s="1021"/>
      <c r="BH420" s="1021"/>
      <c r="BI420" s="1021"/>
      <c r="BJ420" s="1021"/>
      <c r="BK420" s="1021"/>
      <c r="BL420" s="1021"/>
      <c r="BM420" s="1021"/>
      <c r="BN420" s="1021"/>
      <c r="BO420" s="1021"/>
      <c r="BP420" s="1021"/>
      <c r="BQ420" s="1021"/>
      <c r="BR420" s="1021"/>
      <c r="BS420" s="1021"/>
      <c r="BT420" s="1021"/>
      <c r="BU420" s="1021"/>
      <c r="BV420" s="1021"/>
      <c r="BW420" s="1021"/>
      <c r="BX420" s="1021"/>
      <c r="BY420" s="1021"/>
      <c r="BZ420" s="1021"/>
      <c r="CA420" s="1021"/>
      <c r="CB420" s="1021"/>
      <c r="CC420" s="1021"/>
    </row>
    <row r="421" spans="8:81" x14ac:dyDescent="0.25">
      <c r="H421" s="1021"/>
      <c r="I421" s="1021"/>
      <c r="J421" s="1021"/>
      <c r="K421" s="1021"/>
      <c r="L421" s="1021"/>
      <c r="M421" s="1021"/>
      <c r="N421" s="1021"/>
      <c r="O421" s="1021"/>
      <c r="P421" s="1021"/>
      <c r="Q421" s="1021"/>
      <c r="R421" s="1021"/>
      <c r="S421" s="1021"/>
      <c r="T421" s="1021"/>
      <c r="U421" s="1021"/>
      <c r="V421" s="1021"/>
      <c r="W421" s="1021"/>
      <c r="X421" s="1021"/>
      <c r="Y421" s="1021"/>
      <c r="Z421" s="1021"/>
      <c r="AA421" s="1021"/>
      <c r="AB421" s="1021"/>
      <c r="AC421" s="1021"/>
      <c r="AD421" s="1021"/>
      <c r="AE421" s="1021"/>
      <c r="AF421" s="1021"/>
      <c r="AG421" s="1021"/>
      <c r="AH421" s="1021"/>
      <c r="AI421" s="1021"/>
      <c r="AJ421" s="1021"/>
      <c r="AK421" s="1021"/>
      <c r="AL421" s="1021"/>
      <c r="AM421" s="1021"/>
      <c r="AN421" s="1021"/>
      <c r="AO421" s="1021"/>
      <c r="AP421" s="1021"/>
      <c r="AQ421" s="1021"/>
      <c r="AR421" s="1021"/>
      <c r="AS421" s="1021"/>
      <c r="AT421" s="1021"/>
      <c r="AU421" s="1021"/>
      <c r="AV421" s="1021"/>
      <c r="AW421" s="1021"/>
      <c r="AX421" s="1021"/>
      <c r="AY421" s="1021"/>
      <c r="AZ421" s="1021"/>
      <c r="BA421" s="1021"/>
      <c r="BB421" s="1021"/>
      <c r="BC421" s="1021"/>
      <c r="BD421" s="1021"/>
      <c r="BE421" s="1021"/>
      <c r="BF421" s="1021"/>
      <c r="BG421" s="1021"/>
      <c r="BH421" s="1021"/>
      <c r="BI421" s="1021"/>
      <c r="BJ421" s="1021"/>
      <c r="BK421" s="1021"/>
      <c r="BL421" s="1021"/>
      <c r="BM421" s="1021"/>
      <c r="BN421" s="1021"/>
      <c r="BO421" s="1021"/>
      <c r="BP421" s="1021"/>
      <c r="BQ421" s="1021"/>
      <c r="BR421" s="1021"/>
      <c r="BS421" s="1021"/>
      <c r="BT421" s="1021"/>
      <c r="BU421" s="1021"/>
      <c r="BV421" s="1021"/>
      <c r="BW421" s="1021"/>
      <c r="BX421" s="1021"/>
      <c r="BY421" s="1021"/>
      <c r="BZ421" s="1021"/>
      <c r="CA421" s="1021"/>
      <c r="CB421" s="1021"/>
      <c r="CC421" s="1021"/>
    </row>
    <row r="422" spans="8:81" x14ac:dyDescent="0.25">
      <c r="H422" s="1021"/>
      <c r="I422" s="1021"/>
      <c r="J422" s="1021"/>
      <c r="K422" s="1021"/>
      <c r="L422" s="1021"/>
      <c r="M422" s="1021"/>
      <c r="N422" s="1021"/>
      <c r="O422" s="1021"/>
      <c r="P422" s="1021"/>
      <c r="Q422" s="1021"/>
      <c r="R422" s="1021"/>
      <c r="S422" s="1021"/>
      <c r="T422" s="1021"/>
      <c r="U422" s="1021"/>
      <c r="V422" s="1021"/>
      <c r="W422" s="1021"/>
      <c r="X422" s="1021"/>
      <c r="Y422" s="1021"/>
      <c r="Z422" s="1021"/>
      <c r="AA422" s="1021"/>
      <c r="AB422" s="1021"/>
      <c r="AC422" s="1021"/>
      <c r="AD422" s="1021"/>
      <c r="AE422" s="1021"/>
      <c r="AF422" s="1021"/>
      <c r="AG422" s="1021"/>
      <c r="AH422" s="1021"/>
      <c r="AI422" s="1021"/>
      <c r="AJ422" s="1021"/>
      <c r="AK422" s="1021"/>
      <c r="AL422" s="1021"/>
      <c r="AM422" s="1021"/>
      <c r="AN422" s="1021"/>
      <c r="AO422" s="1021"/>
      <c r="AP422" s="1021"/>
      <c r="AQ422" s="1021"/>
      <c r="AR422" s="1021"/>
      <c r="AS422" s="1021"/>
      <c r="AT422" s="1021"/>
      <c r="AU422" s="1021"/>
      <c r="AV422" s="1021"/>
      <c r="AW422" s="1021"/>
      <c r="AX422" s="1021"/>
      <c r="AY422" s="1021"/>
      <c r="AZ422" s="1021"/>
      <c r="BA422" s="1021"/>
      <c r="BB422" s="1021"/>
      <c r="BC422" s="1021"/>
      <c r="BD422" s="1021"/>
      <c r="BE422" s="1021"/>
      <c r="BF422" s="1021"/>
      <c r="BG422" s="1021"/>
      <c r="BH422" s="1021"/>
      <c r="BI422" s="1021"/>
      <c r="BJ422" s="1021"/>
      <c r="BK422" s="1021"/>
      <c r="BL422" s="1021"/>
      <c r="BM422" s="1021"/>
      <c r="BN422" s="1021"/>
      <c r="BO422" s="1021"/>
      <c r="BP422" s="1021"/>
      <c r="BQ422" s="1021"/>
      <c r="BR422" s="1021"/>
      <c r="BS422" s="1021"/>
      <c r="BT422" s="1021"/>
      <c r="BU422" s="1021"/>
      <c r="BV422" s="1021"/>
      <c r="BW422" s="1021"/>
      <c r="BX422" s="1021"/>
      <c r="BY422" s="1021"/>
      <c r="BZ422" s="1021"/>
      <c r="CA422" s="1021"/>
      <c r="CB422" s="1021"/>
      <c r="CC422" s="1021"/>
    </row>
    <row r="423" spans="8:81" x14ac:dyDescent="0.25">
      <c r="H423" s="1021"/>
      <c r="I423" s="1021"/>
      <c r="J423" s="1021"/>
      <c r="K423" s="1021"/>
      <c r="L423" s="1021"/>
      <c r="M423" s="1021"/>
      <c r="N423" s="1021"/>
      <c r="O423" s="1021"/>
      <c r="P423" s="1021"/>
      <c r="Q423" s="1021"/>
      <c r="R423" s="1021"/>
      <c r="S423" s="1021"/>
      <c r="T423" s="1021"/>
      <c r="U423" s="1021"/>
      <c r="V423" s="1021"/>
      <c r="W423" s="1021"/>
      <c r="X423" s="1021"/>
      <c r="Y423" s="1021"/>
      <c r="Z423" s="1021"/>
      <c r="AA423" s="1021"/>
      <c r="AB423" s="1021"/>
      <c r="AC423" s="1021"/>
      <c r="AD423" s="1021"/>
      <c r="AE423" s="1021"/>
      <c r="AF423" s="1021"/>
      <c r="AG423" s="1021"/>
      <c r="AH423" s="1021"/>
      <c r="AI423" s="1021"/>
      <c r="AJ423" s="1021"/>
      <c r="AK423" s="1021"/>
      <c r="AL423" s="1021"/>
      <c r="AM423" s="1021"/>
      <c r="AN423" s="1021"/>
      <c r="AO423" s="1021"/>
      <c r="AP423" s="1021"/>
      <c r="AQ423" s="1021"/>
      <c r="AR423" s="1021"/>
      <c r="AS423" s="1021"/>
      <c r="AT423" s="1021"/>
      <c r="AU423" s="1021"/>
      <c r="AV423" s="1021"/>
      <c r="AW423" s="1021"/>
      <c r="AX423" s="1021"/>
      <c r="AY423" s="1021"/>
      <c r="AZ423" s="1021"/>
      <c r="BA423" s="1021"/>
      <c r="BB423" s="1021"/>
      <c r="BC423" s="1021"/>
      <c r="BD423" s="1021"/>
      <c r="BE423" s="1021"/>
      <c r="BF423" s="1021"/>
      <c r="BG423" s="1021"/>
      <c r="BH423" s="1021"/>
      <c r="BI423" s="1021"/>
      <c r="BJ423" s="1021"/>
      <c r="BK423" s="1021"/>
      <c r="BL423" s="1021"/>
      <c r="BM423" s="1021"/>
      <c r="BN423" s="1021"/>
      <c r="BO423" s="1021"/>
      <c r="BP423" s="1021"/>
      <c r="BQ423" s="1021"/>
      <c r="BR423" s="1021"/>
      <c r="BS423" s="1021"/>
      <c r="BT423" s="1021"/>
      <c r="BU423" s="1021"/>
      <c r="BV423" s="1021"/>
      <c r="BW423" s="1021"/>
      <c r="BX423" s="1021"/>
      <c r="BY423" s="1021"/>
      <c r="BZ423" s="1021"/>
      <c r="CA423" s="1021"/>
      <c r="CB423" s="1021"/>
      <c r="CC423" s="1021"/>
    </row>
    <row r="424" spans="8:81" x14ac:dyDescent="0.25">
      <c r="H424" s="1021"/>
      <c r="I424" s="1021"/>
      <c r="J424" s="1021"/>
      <c r="K424" s="1021"/>
      <c r="L424" s="1021"/>
      <c r="M424" s="1021"/>
      <c r="N424" s="1021"/>
      <c r="O424" s="1021"/>
      <c r="P424" s="1021"/>
      <c r="Q424" s="1021"/>
      <c r="R424" s="1021"/>
      <c r="S424" s="1021"/>
      <c r="T424" s="1021"/>
      <c r="U424" s="1021"/>
      <c r="V424" s="1021"/>
      <c r="W424" s="1021"/>
      <c r="X424" s="1021"/>
      <c r="Y424" s="1021"/>
      <c r="Z424" s="1021"/>
      <c r="AA424" s="1021"/>
      <c r="AB424" s="1021"/>
      <c r="AC424" s="1021"/>
      <c r="AD424" s="1021"/>
      <c r="AE424" s="1021"/>
      <c r="AF424" s="1021"/>
      <c r="AG424" s="1021"/>
      <c r="AH424" s="1021"/>
      <c r="AI424" s="1021"/>
      <c r="AJ424" s="1021"/>
      <c r="AK424" s="1021"/>
      <c r="AL424" s="1021"/>
      <c r="AM424" s="1021"/>
      <c r="AN424" s="1021"/>
      <c r="AO424" s="1021"/>
      <c r="AP424" s="1021"/>
      <c r="AQ424" s="1021"/>
      <c r="AR424" s="1021"/>
      <c r="AS424" s="1021"/>
      <c r="AT424" s="1021"/>
      <c r="AU424" s="1021"/>
      <c r="AV424" s="1021"/>
      <c r="AW424" s="1021"/>
      <c r="AX424" s="1021"/>
      <c r="AY424" s="1021"/>
      <c r="AZ424" s="1021"/>
      <c r="BA424" s="1021"/>
      <c r="BB424" s="1021"/>
      <c r="BC424" s="1021"/>
      <c r="BD424" s="1021"/>
      <c r="BE424" s="1021"/>
      <c r="BF424" s="1021"/>
      <c r="BG424" s="1021"/>
      <c r="BH424" s="1021"/>
      <c r="BI424" s="1021"/>
      <c r="BJ424" s="1021"/>
      <c r="BK424" s="1021"/>
      <c r="BL424" s="1021"/>
      <c r="BM424" s="1021"/>
      <c r="BN424" s="1021"/>
      <c r="BO424" s="1021"/>
      <c r="BP424" s="1021"/>
      <c r="BQ424" s="1021"/>
      <c r="BR424" s="1021"/>
      <c r="BS424" s="1021"/>
      <c r="BT424" s="1021"/>
      <c r="BU424" s="1021"/>
      <c r="BV424" s="1021"/>
      <c r="BW424" s="1021"/>
      <c r="BX424" s="1021"/>
      <c r="BY424" s="1021"/>
      <c r="BZ424" s="1021"/>
      <c r="CA424" s="1021"/>
      <c r="CB424" s="1021"/>
      <c r="CC424" s="1021"/>
    </row>
    <row r="425" spans="8:81" x14ac:dyDescent="0.25">
      <c r="H425" s="1021"/>
      <c r="I425" s="1021"/>
      <c r="J425" s="1021"/>
      <c r="K425" s="1021"/>
      <c r="L425" s="1021"/>
      <c r="M425" s="1021"/>
      <c r="N425" s="1021"/>
      <c r="O425" s="1021"/>
      <c r="P425" s="1021"/>
      <c r="Q425" s="1021"/>
      <c r="R425" s="1021"/>
      <c r="S425" s="1021"/>
      <c r="T425" s="1021"/>
      <c r="U425" s="1021"/>
      <c r="V425" s="1021"/>
      <c r="W425" s="1021"/>
      <c r="X425" s="1021"/>
      <c r="Y425" s="1021"/>
      <c r="Z425" s="1021"/>
      <c r="AA425" s="1021"/>
      <c r="AB425" s="1021"/>
      <c r="AC425" s="1021"/>
      <c r="AD425" s="1021"/>
      <c r="AE425" s="1021"/>
      <c r="AF425" s="1021"/>
      <c r="AG425" s="1021"/>
      <c r="AH425" s="1021"/>
      <c r="AI425" s="1021"/>
      <c r="AJ425" s="1021"/>
      <c r="AK425" s="1021"/>
      <c r="AL425" s="1021"/>
      <c r="AM425" s="1021"/>
      <c r="AN425" s="1021"/>
      <c r="AO425" s="1021"/>
      <c r="AP425" s="1021"/>
      <c r="AQ425" s="1021"/>
      <c r="AR425" s="1021"/>
      <c r="AS425" s="1021"/>
      <c r="AT425" s="1021"/>
      <c r="AU425" s="1021"/>
      <c r="AV425" s="1021"/>
      <c r="AW425" s="1021"/>
      <c r="AX425" s="1021"/>
      <c r="AY425" s="1021"/>
      <c r="AZ425" s="1021"/>
      <c r="BA425" s="1021"/>
      <c r="BB425" s="1021"/>
      <c r="BC425" s="1021"/>
      <c r="BD425" s="1021"/>
      <c r="BE425" s="1021"/>
      <c r="BF425" s="1021"/>
      <c r="BG425" s="1021"/>
      <c r="BH425" s="1021"/>
      <c r="BI425" s="1021"/>
      <c r="BJ425" s="1021"/>
      <c r="BK425" s="1021"/>
      <c r="BL425" s="1021"/>
      <c r="BM425" s="1021"/>
      <c r="BN425" s="1021"/>
      <c r="BO425" s="1021"/>
      <c r="BP425" s="1021"/>
      <c r="BQ425" s="1021"/>
      <c r="BR425" s="1021"/>
      <c r="BS425" s="1021"/>
      <c r="BT425" s="1021"/>
      <c r="BU425" s="1021"/>
      <c r="BV425" s="1021"/>
      <c r="BW425" s="1021"/>
      <c r="BX425" s="1021"/>
      <c r="BY425" s="1021"/>
      <c r="BZ425" s="1021"/>
      <c r="CA425" s="1021"/>
      <c r="CB425" s="1021"/>
      <c r="CC425" s="1021"/>
    </row>
    <row r="426" spans="8:81" x14ac:dyDescent="0.25">
      <c r="H426" s="1021"/>
      <c r="I426" s="1021"/>
      <c r="J426" s="1021"/>
      <c r="K426" s="1021"/>
      <c r="L426" s="1021"/>
      <c r="M426" s="1021"/>
      <c r="N426" s="1021"/>
      <c r="O426" s="1021"/>
      <c r="P426" s="1021"/>
      <c r="Q426" s="1021"/>
      <c r="R426" s="1021"/>
      <c r="S426" s="1021"/>
      <c r="T426" s="1021"/>
      <c r="U426" s="1021"/>
      <c r="V426" s="1021"/>
      <c r="W426" s="1021"/>
      <c r="X426" s="1021"/>
      <c r="Y426" s="1021"/>
      <c r="Z426" s="1021"/>
      <c r="AA426" s="1021"/>
      <c r="AB426" s="1021"/>
      <c r="AC426" s="1021"/>
      <c r="AD426" s="1021"/>
      <c r="AE426" s="1021"/>
      <c r="AF426" s="1021"/>
      <c r="AG426" s="1021"/>
      <c r="AH426" s="1021"/>
      <c r="AI426" s="1021"/>
      <c r="AJ426" s="1021"/>
      <c r="AK426" s="1021"/>
      <c r="AL426" s="1021"/>
      <c r="AM426" s="1021"/>
      <c r="AN426" s="1021"/>
      <c r="AO426" s="1021"/>
      <c r="AP426" s="1021"/>
      <c r="AQ426" s="1021"/>
      <c r="AR426" s="1021"/>
      <c r="AS426" s="1021"/>
      <c r="AT426" s="1021"/>
      <c r="AU426" s="1021"/>
      <c r="AV426" s="1021"/>
      <c r="AW426" s="1021"/>
      <c r="AX426" s="1021"/>
      <c r="AY426" s="1021"/>
      <c r="AZ426" s="1021"/>
      <c r="BA426" s="1021"/>
      <c r="BB426" s="1021"/>
      <c r="BC426" s="1021"/>
      <c r="BD426" s="1021"/>
      <c r="BE426" s="1021"/>
      <c r="BF426" s="1021"/>
      <c r="BG426" s="1021"/>
      <c r="BH426" s="1021"/>
      <c r="BI426" s="1021"/>
      <c r="BJ426" s="1021"/>
      <c r="BK426" s="1021"/>
      <c r="BL426" s="1021"/>
      <c r="BM426" s="1021"/>
      <c r="BN426" s="1021"/>
      <c r="BO426" s="1021"/>
      <c r="BP426" s="1021"/>
      <c r="BQ426" s="1021"/>
      <c r="BR426" s="1021"/>
      <c r="BS426" s="1021"/>
      <c r="BT426" s="1021"/>
      <c r="BU426" s="1021"/>
      <c r="BV426" s="1021"/>
      <c r="BW426" s="1021"/>
      <c r="BX426" s="1021"/>
      <c r="BY426" s="1021"/>
      <c r="BZ426" s="1021"/>
      <c r="CA426" s="1021"/>
      <c r="CB426" s="1021"/>
      <c r="CC426" s="1021"/>
    </row>
    <row r="427" spans="8:81" x14ac:dyDescent="0.25">
      <c r="H427" s="1021"/>
      <c r="I427" s="1021"/>
      <c r="J427" s="1021"/>
      <c r="K427" s="1021"/>
      <c r="L427" s="1021"/>
      <c r="M427" s="1021"/>
      <c r="N427" s="1021"/>
      <c r="O427" s="1021"/>
      <c r="P427" s="1021"/>
      <c r="Q427" s="1021"/>
      <c r="R427" s="1021"/>
      <c r="S427" s="1021"/>
      <c r="T427" s="1021"/>
      <c r="U427" s="1021"/>
      <c r="V427" s="1021"/>
      <c r="W427" s="1021"/>
      <c r="X427" s="1021"/>
      <c r="Y427" s="1021"/>
      <c r="Z427" s="1021"/>
      <c r="AA427" s="1021"/>
      <c r="AB427" s="1021"/>
      <c r="AC427" s="1021"/>
      <c r="AD427" s="1021"/>
      <c r="AE427" s="1021"/>
      <c r="AF427" s="1021"/>
      <c r="AG427" s="1021"/>
      <c r="AH427" s="1021"/>
      <c r="AI427" s="1021"/>
      <c r="AJ427" s="1021"/>
      <c r="AK427" s="1021"/>
      <c r="AL427" s="1021"/>
      <c r="AM427" s="1021"/>
      <c r="AN427" s="1021"/>
      <c r="AO427" s="1021"/>
      <c r="AP427" s="1021"/>
      <c r="AQ427" s="1021"/>
      <c r="AR427" s="1021"/>
      <c r="AS427" s="1021"/>
      <c r="AT427" s="1021"/>
      <c r="AU427" s="1021"/>
      <c r="AV427" s="1021"/>
      <c r="AW427" s="1021"/>
      <c r="AX427" s="1021"/>
      <c r="AY427" s="1021"/>
      <c r="AZ427" s="1021"/>
      <c r="BA427" s="1021"/>
      <c r="BB427" s="1021"/>
      <c r="BC427" s="1021"/>
      <c r="BD427" s="1021"/>
      <c r="BE427" s="1021"/>
      <c r="BF427" s="1021"/>
      <c r="BG427" s="1021"/>
      <c r="BH427" s="1021"/>
      <c r="BI427" s="1021"/>
      <c r="BJ427" s="1021"/>
      <c r="BK427" s="1021"/>
      <c r="BL427" s="1021"/>
      <c r="BM427" s="1021"/>
      <c r="BN427" s="1021"/>
      <c r="BO427" s="1021"/>
      <c r="BP427" s="1021"/>
      <c r="BQ427" s="1021"/>
      <c r="BR427" s="1021"/>
      <c r="BS427" s="1021"/>
      <c r="BT427" s="1021"/>
      <c r="BU427" s="1021"/>
      <c r="BV427" s="1021"/>
      <c r="BW427" s="1021"/>
      <c r="BX427" s="1021"/>
      <c r="BY427" s="1021"/>
      <c r="BZ427" s="1021"/>
      <c r="CA427" s="1021"/>
      <c r="CB427" s="1021"/>
      <c r="CC427" s="1021"/>
    </row>
    <row r="428" spans="8:81" x14ac:dyDescent="0.25">
      <c r="H428" s="1021"/>
      <c r="I428" s="1021"/>
      <c r="J428" s="1021"/>
      <c r="K428" s="1021"/>
      <c r="L428" s="1021"/>
      <c r="M428" s="1021"/>
      <c r="N428" s="1021"/>
      <c r="O428" s="1021"/>
      <c r="P428" s="1021"/>
      <c r="Q428" s="1021"/>
      <c r="R428" s="1021"/>
      <c r="S428" s="1021"/>
      <c r="T428" s="1021"/>
      <c r="U428" s="1021"/>
      <c r="V428" s="1021"/>
      <c r="W428" s="1021"/>
      <c r="X428" s="1021"/>
      <c r="Y428" s="1021"/>
      <c r="Z428" s="1021"/>
      <c r="AA428" s="1021"/>
      <c r="AB428" s="1021"/>
      <c r="AC428" s="1021"/>
      <c r="AD428" s="1021"/>
      <c r="AE428" s="1021"/>
      <c r="AF428" s="1021"/>
      <c r="AG428" s="1021"/>
      <c r="AH428" s="1021"/>
      <c r="AI428" s="1021"/>
      <c r="AJ428" s="1021"/>
      <c r="AK428" s="1021"/>
      <c r="AL428" s="1021"/>
      <c r="AM428" s="1021"/>
      <c r="AN428" s="1021"/>
      <c r="AO428" s="1021"/>
      <c r="AP428" s="1021"/>
      <c r="AQ428" s="1021"/>
      <c r="AR428" s="1021"/>
      <c r="AS428" s="1021"/>
      <c r="AT428" s="1021"/>
      <c r="AU428" s="1021"/>
      <c r="AV428" s="1021"/>
      <c r="AW428" s="1021"/>
      <c r="AX428" s="1021"/>
      <c r="AY428" s="1021"/>
      <c r="AZ428" s="1021"/>
      <c r="BA428" s="1021"/>
      <c r="BB428" s="1021"/>
      <c r="BC428" s="1021"/>
      <c r="BD428" s="1021"/>
      <c r="BE428" s="1021"/>
      <c r="BF428" s="1021"/>
      <c r="BG428" s="1021"/>
      <c r="BH428" s="1021"/>
      <c r="BI428" s="1021"/>
      <c r="BJ428" s="1021"/>
      <c r="BK428" s="1021"/>
      <c r="BL428" s="1021"/>
      <c r="BM428" s="1021"/>
      <c r="BN428" s="1021"/>
      <c r="BO428" s="1021"/>
      <c r="BP428" s="1021"/>
      <c r="BQ428" s="1021"/>
      <c r="BR428" s="1021"/>
      <c r="BS428" s="1021"/>
      <c r="BT428" s="1021"/>
      <c r="BU428" s="1021"/>
      <c r="BV428" s="1021"/>
      <c r="BW428" s="1021"/>
      <c r="BX428" s="1021"/>
      <c r="BY428" s="1021"/>
      <c r="BZ428" s="1021"/>
      <c r="CA428" s="1021"/>
      <c r="CB428" s="1021"/>
      <c r="CC428" s="1021"/>
    </row>
    <row r="429" spans="8:81" x14ac:dyDescent="0.25">
      <c r="H429" s="1021"/>
      <c r="I429" s="1021"/>
      <c r="J429" s="1021"/>
      <c r="K429" s="1021"/>
      <c r="L429" s="1021"/>
      <c r="M429" s="1021"/>
      <c r="N429" s="1021"/>
      <c r="O429" s="1021"/>
      <c r="P429" s="1021"/>
      <c r="Q429" s="1021"/>
      <c r="R429" s="1021"/>
      <c r="S429" s="1021"/>
      <c r="T429" s="1021"/>
      <c r="U429" s="1021"/>
      <c r="V429" s="1021"/>
      <c r="W429" s="1021"/>
      <c r="X429" s="1021"/>
      <c r="Y429" s="1021"/>
      <c r="Z429" s="1021"/>
      <c r="AA429" s="1021"/>
      <c r="AB429" s="1021"/>
      <c r="AC429" s="1021"/>
      <c r="AD429" s="1021"/>
      <c r="AE429" s="1021"/>
      <c r="AF429" s="1021"/>
      <c r="AG429" s="1021"/>
      <c r="AH429" s="1021"/>
      <c r="AI429" s="1021"/>
      <c r="AJ429" s="1021"/>
      <c r="AK429" s="1021"/>
      <c r="AL429" s="1021"/>
      <c r="AM429" s="1021"/>
      <c r="AN429" s="1021"/>
      <c r="AO429" s="1021"/>
      <c r="AP429" s="1021"/>
      <c r="AQ429" s="1021"/>
      <c r="AR429" s="1021"/>
      <c r="AS429" s="1021"/>
      <c r="AT429" s="1021"/>
      <c r="AU429" s="1021"/>
      <c r="AV429" s="1021"/>
      <c r="AW429" s="1021"/>
      <c r="AX429" s="1021"/>
      <c r="AY429" s="1021"/>
      <c r="AZ429" s="1021"/>
      <c r="BA429" s="1021"/>
      <c r="BB429" s="1021"/>
      <c r="BC429" s="1021"/>
      <c r="BD429" s="1021"/>
      <c r="BE429" s="1021"/>
      <c r="BF429" s="1021"/>
      <c r="BG429" s="1021"/>
      <c r="BH429" s="1021"/>
      <c r="BI429" s="1021"/>
      <c r="BJ429" s="1021"/>
      <c r="BK429" s="1021"/>
      <c r="BL429" s="1021"/>
      <c r="BM429" s="1021"/>
      <c r="BN429" s="1021"/>
      <c r="BO429" s="1021"/>
      <c r="BP429" s="1021"/>
      <c r="BQ429" s="1021"/>
      <c r="BR429" s="1021"/>
      <c r="BS429" s="1021"/>
      <c r="BT429" s="1021"/>
      <c r="BU429" s="1021"/>
      <c r="BV429" s="1021"/>
      <c r="BW429" s="1021"/>
      <c r="BX429" s="1021"/>
      <c r="BY429" s="1021"/>
      <c r="BZ429" s="1021"/>
      <c r="CA429" s="1021"/>
      <c r="CB429" s="1021"/>
      <c r="CC429" s="1021"/>
    </row>
    <row r="430" spans="8:81" x14ac:dyDescent="0.25">
      <c r="H430" s="1021"/>
      <c r="I430" s="1021"/>
      <c r="J430" s="1021"/>
      <c r="K430" s="1021"/>
      <c r="L430" s="1021"/>
      <c r="M430" s="1021"/>
      <c r="N430" s="1021"/>
      <c r="O430" s="1021"/>
      <c r="P430" s="1021"/>
      <c r="Q430" s="1021"/>
      <c r="R430" s="1021"/>
      <c r="S430" s="1021"/>
      <c r="T430" s="1021"/>
      <c r="U430" s="1021"/>
      <c r="V430" s="1021"/>
      <c r="W430" s="1021"/>
      <c r="X430" s="1021"/>
      <c r="Y430" s="1021"/>
      <c r="Z430" s="1021"/>
      <c r="AA430" s="1021"/>
      <c r="AB430" s="1021"/>
      <c r="AC430" s="1021"/>
      <c r="AD430" s="1021"/>
      <c r="AE430" s="1021"/>
      <c r="AF430" s="1021"/>
      <c r="AG430" s="1021"/>
      <c r="AH430" s="1021"/>
      <c r="AI430" s="1021"/>
      <c r="AJ430" s="1021"/>
      <c r="AK430" s="1021"/>
      <c r="AL430" s="1021"/>
      <c r="AM430" s="1021"/>
      <c r="AN430" s="1021"/>
      <c r="AO430" s="1021"/>
      <c r="AP430" s="1021"/>
      <c r="AQ430" s="1021"/>
      <c r="AR430" s="1021"/>
      <c r="AS430" s="1021"/>
      <c r="AT430" s="1021"/>
      <c r="AU430" s="1021"/>
      <c r="AV430" s="1021"/>
      <c r="AW430" s="1021"/>
      <c r="AX430" s="1021"/>
      <c r="AY430" s="1021"/>
      <c r="AZ430" s="1021"/>
      <c r="BA430" s="1021"/>
      <c r="BB430" s="1021"/>
      <c r="BC430" s="1021"/>
      <c r="BD430" s="1021"/>
      <c r="BE430" s="1021"/>
      <c r="BF430" s="1021"/>
      <c r="BG430" s="1021"/>
      <c r="BH430" s="1021"/>
      <c r="BI430" s="1021"/>
      <c r="BJ430" s="1021"/>
      <c r="BK430" s="1021"/>
      <c r="BL430" s="1021"/>
      <c r="BM430" s="1021"/>
      <c r="BN430" s="1021"/>
      <c r="BO430" s="1021"/>
      <c r="BP430" s="1021"/>
      <c r="BQ430" s="1021"/>
      <c r="BR430" s="1021"/>
      <c r="BS430" s="1021"/>
      <c r="BT430" s="1021"/>
      <c r="BU430" s="1021"/>
      <c r="BV430" s="1021"/>
      <c r="BW430" s="1021"/>
      <c r="BX430" s="1021"/>
      <c r="BY430" s="1021"/>
      <c r="BZ430" s="1021"/>
      <c r="CA430" s="1021"/>
      <c r="CB430" s="1021"/>
      <c r="CC430" s="1021"/>
    </row>
    <row r="431" spans="8:81" x14ac:dyDescent="0.25">
      <c r="H431" s="1021"/>
      <c r="I431" s="1021"/>
      <c r="J431" s="1021"/>
      <c r="K431" s="1021"/>
      <c r="L431" s="1021"/>
      <c r="M431" s="1021"/>
      <c r="N431" s="1021"/>
      <c r="O431" s="1021"/>
      <c r="P431" s="1021"/>
      <c r="Q431" s="1021"/>
      <c r="R431" s="1021"/>
      <c r="S431" s="1021"/>
      <c r="T431" s="1021"/>
      <c r="U431" s="1021"/>
      <c r="V431" s="1021"/>
      <c r="W431" s="1021"/>
      <c r="X431" s="1021"/>
      <c r="Y431" s="1021"/>
      <c r="Z431" s="1021"/>
      <c r="AA431" s="1021"/>
      <c r="AB431" s="1021"/>
      <c r="AC431" s="1021"/>
      <c r="AD431" s="1021"/>
      <c r="AE431" s="1021"/>
      <c r="AF431" s="1021"/>
      <c r="AG431" s="1021"/>
      <c r="AH431" s="1021"/>
      <c r="AI431" s="1021"/>
      <c r="AJ431" s="1021"/>
      <c r="AK431" s="1021"/>
      <c r="AL431" s="1021"/>
      <c r="AM431" s="1021"/>
      <c r="AN431" s="1021"/>
      <c r="AO431" s="1021"/>
      <c r="AP431" s="1021"/>
      <c r="AQ431" s="1021"/>
      <c r="AR431" s="1021"/>
      <c r="AS431" s="1021"/>
      <c r="AT431" s="1021"/>
      <c r="AU431" s="1021"/>
      <c r="AV431" s="1021"/>
      <c r="AW431" s="1021"/>
      <c r="AX431" s="1021"/>
      <c r="AY431" s="1021"/>
      <c r="AZ431" s="1021"/>
      <c r="BA431" s="1021"/>
      <c r="BB431" s="1021"/>
      <c r="BC431" s="1021"/>
      <c r="BD431" s="1021"/>
      <c r="BE431" s="1021"/>
      <c r="BF431" s="1021"/>
      <c r="BG431" s="1021"/>
      <c r="BH431" s="1021"/>
      <c r="BI431" s="1021"/>
      <c r="BJ431" s="1021"/>
      <c r="BK431" s="1021"/>
      <c r="BL431" s="1021"/>
      <c r="BM431" s="1021"/>
      <c r="BN431" s="1021"/>
      <c r="BO431" s="1021"/>
      <c r="BP431" s="1021"/>
      <c r="BQ431" s="1021"/>
      <c r="BR431" s="1021"/>
      <c r="BS431" s="1021"/>
      <c r="BT431" s="1021"/>
      <c r="BU431" s="1021"/>
      <c r="BV431" s="1021"/>
      <c r="BW431" s="1021"/>
      <c r="BX431" s="1021"/>
      <c r="BY431" s="1021"/>
      <c r="BZ431" s="1021"/>
      <c r="CA431" s="1021"/>
      <c r="CB431" s="1021"/>
      <c r="CC431" s="1021"/>
    </row>
    <row r="432" spans="8:81" x14ac:dyDescent="0.25">
      <c r="H432" s="1021"/>
      <c r="I432" s="1021"/>
      <c r="J432" s="1021"/>
      <c r="K432" s="1021"/>
      <c r="L432" s="1021"/>
      <c r="M432" s="1021"/>
      <c r="N432" s="1021"/>
      <c r="O432" s="1021"/>
      <c r="P432" s="1021"/>
      <c r="Q432" s="1021"/>
      <c r="R432" s="1021"/>
      <c r="S432" s="1021"/>
      <c r="T432" s="1021"/>
      <c r="U432" s="1021"/>
      <c r="V432" s="1021"/>
      <c r="W432" s="1021"/>
      <c r="X432" s="1021"/>
      <c r="Y432" s="1021"/>
      <c r="Z432" s="1021"/>
      <c r="AA432" s="1021"/>
      <c r="AB432" s="1021"/>
      <c r="AC432" s="1021"/>
      <c r="AD432" s="1021"/>
      <c r="AE432" s="1021"/>
      <c r="AF432" s="1021"/>
      <c r="AG432" s="1021"/>
      <c r="AH432" s="1021"/>
      <c r="AI432" s="1021"/>
      <c r="AJ432" s="1021"/>
      <c r="AK432" s="1021"/>
      <c r="AL432" s="1021"/>
      <c r="AM432" s="1021"/>
      <c r="AN432" s="1021"/>
      <c r="AO432" s="1021"/>
      <c r="AP432" s="1021"/>
      <c r="AQ432" s="1021"/>
      <c r="AR432" s="1021"/>
      <c r="AS432" s="1021"/>
      <c r="AT432" s="1021"/>
      <c r="AU432" s="1021"/>
      <c r="AV432" s="1021"/>
      <c r="AW432" s="1021"/>
      <c r="AX432" s="1021"/>
      <c r="AY432" s="1021"/>
      <c r="AZ432" s="1021"/>
      <c r="BA432" s="1021"/>
      <c r="BB432" s="1021"/>
      <c r="BC432" s="1021"/>
      <c r="BD432" s="1021"/>
      <c r="BE432" s="1021"/>
      <c r="BF432" s="1021"/>
      <c r="BG432" s="1021"/>
      <c r="BH432" s="1021"/>
      <c r="BI432" s="1021"/>
      <c r="BJ432" s="1021"/>
      <c r="BK432" s="1021"/>
      <c r="BL432" s="1021"/>
      <c r="BM432" s="1021"/>
      <c r="BN432" s="1021"/>
      <c r="BO432" s="1021"/>
      <c r="BP432" s="1021"/>
      <c r="BQ432" s="1021"/>
      <c r="BR432" s="1021"/>
      <c r="BS432" s="1021"/>
      <c r="BT432" s="1021"/>
      <c r="BU432" s="1021"/>
      <c r="BV432" s="1021"/>
      <c r="BW432" s="1021"/>
      <c r="BX432" s="1021"/>
      <c r="BY432" s="1021"/>
      <c r="BZ432" s="1021"/>
      <c r="CA432" s="1021"/>
      <c r="CB432" s="1021"/>
      <c r="CC432" s="1021"/>
    </row>
    <row r="433" spans="8:81" x14ac:dyDescent="0.25">
      <c r="H433" s="1021"/>
      <c r="I433" s="1021"/>
      <c r="J433" s="1021"/>
      <c r="K433" s="1021"/>
      <c r="L433" s="1021"/>
      <c r="M433" s="1021"/>
      <c r="N433" s="1021"/>
      <c r="O433" s="1021"/>
      <c r="P433" s="1021"/>
      <c r="Q433" s="1021"/>
      <c r="R433" s="1021"/>
      <c r="S433" s="1021"/>
      <c r="T433" s="1021"/>
      <c r="U433" s="1021"/>
      <c r="V433" s="1021"/>
      <c r="W433" s="1021"/>
      <c r="X433" s="1021"/>
      <c r="Y433" s="1021"/>
      <c r="Z433" s="1021"/>
      <c r="AA433" s="1021"/>
      <c r="AB433" s="1021"/>
      <c r="AC433" s="1021"/>
      <c r="AD433" s="1021"/>
      <c r="AE433" s="1021"/>
      <c r="AF433" s="1021"/>
      <c r="AG433" s="1021"/>
      <c r="AH433" s="1021"/>
      <c r="AI433" s="1021"/>
      <c r="AJ433" s="1021"/>
      <c r="AK433" s="1021"/>
      <c r="AL433" s="1021"/>
      <c r="AM433" s="1021"/>
      <c r="AN433" s="1021"/>
      <c r="AO433" s="1021"/>
      <c r="AP433" s="1021"/>
      <c r="AQ433" s="1021"/>
      <c r="AR433" s="1021"/>
      <c r="AS433" s="1021"/>
      <c r="AT433" s="1021"/>
      <c r="AU433" s="1021"/>
      <c r="AV433" s="1021"/>
      <c r="AW433" s="1021"/>
      <c r="AX433" s="1021"/>
      <c r="AY433" s="1021"/>
      <c r="AZ433" s="1021"/>
      <c r="BA433" s="1021"/>
      <c r="BB433" s="1021"/>
      <c r="BC433" s="1021"/>
      <c r="BD433" s="1021"/>
      <c r="BE433" s="1021"/>
      <c r="BF433" s="1021"/>
      <c r="BG433" s="1021"/>
      <c r="BH433" s="1021"/>
      <c r="BI433" s="1021"/>
      <c r="BJ433" s="1021"/>
      <c r="BK433" s="1021"/>
      <c r="BL433" s="1021"/>
      <c r="BM433" s="1021"/>
      <c r="BN433" s="1021"/>
      <c r="BO433" s="1021"/>
      <c r="BP433" s="1021"/>
      <c r="BQ433" s="1021"/>
      <c r="BR433" s="1021"/>
      <c r="BS433" s="1021"/>
      <c r="BT433" s="1021"/>
      <c r="BU433" s="1021"/>
      <c r="BV433" s="1021"/>
      <c r="BW433" s="1021"/>
      <c r="BX433" s="1021"/>
      <c r="BY433" s="1021"/>
      <c r="BZ433" s="1021"/>
      <c r="CA433" s="1021"/>
      <c r="CB433" s="1021"/>
      <c r="CC433" s="1021"/>
    </row>
    <row r="434" spans="8:81" x14ac:dyDescent="0.25">
      <c r="H434" s="1021"/>
      <c r="I434" s="1021"/>
      <c r="J434" s="1021"/>
      <c r="K434" s="1021"/>
      <c r="L434" s="1021"/>
      <c r="M434" s="1021"/>
      <c r="N434" s="1021"/>
      <c r="O434" s="1021"/>
      <c r="P434" s="1021"/>
      <c r="Q434" s="1021"/>
      <c r="R434" s="1021"/>
      <c r="S434" s="1021"/>
      <c r="T434" s="1021"/>
      <c r="U434" s="1021"/>
      <c r="V434" s="1021"/>
      <c r="W434" s="1021"/>
      <c r="X434" s="1021"/>
      <c r="Y434" s="1021"/>
      <c r="Z434" s="1021"/>
      <c r="AA434" s="1021"/>
      <c r="AB434" s="1021"/>
      <c r="AC434" s="1021"/>
      <c r="AD434" s="1021"/>
      <c r="AE434" s="1021"/>
      <c r="AF434" s="1021"/>
      <c r="AG434" s="1021"/>
      <c r="AH434" s="1021"/>
      <c r="AI434" s="1021"/>
      <c r="AJ434" s="1021"/>
      <c r="AK434" s="1021"/>
      <c r="AL434" s="1021"/>
      <c r="AM434" s="1021"/>
      <c r="AN434" s="1021"/>
      <c r="AO434" s="1021"/>
      <c r="AP434" s="1021"/>
      <c r="AQ434" s="1021"/>
      <c r="AR434" s="1021"/>
      <c r="AS434" s="1021"/>
      <c r="AT434" s="1021"/>
      <c r="AU434" s="1021"/>
      <c r="AV434" s="1021"/>
      <c r="AW434" s="1021"/>
      <c r="AX434" s="1021"/>
      <c r="AY434" s="1021"/>
      <c r="AZ434" s="1021"/>
      <c r="BA434" s="1021"/>
      <c r="BB434" s="1021"/>
      <c r="BC434" s="1021"/>
      <c r="BD434" s="1021"/>
      <c r="BE434" s="1021"/>
      <c r="BF434" s="1021"/>
      <c r="BG434" s="1021"/>
      <c r="BH434" s="1021"/>
      <c r="BI434" s="1021"/>
      <c r="BJ434" s="1021"/>
      <c r="BK434" s="1021"/>
      <c r="BL434" s="1021"/>
      <c r="BM434" s="1021"/>
      <c r="BN434" s="1021"/>
      <c r="BO434" s="1021"/>
      <c r="BP434" s="1021"/>
      <c r="BQ434" s="1021"/>
      <c r="BR434" s="1021"/>
      <c r="BS434" s="1021"/>
      <c r="BT434" s="1021"/>
      <c r="BU434" s="1021"/>
      <c r="BV434" s="1021"/>
      <c r="BW434" s="1021"/>
      <c r="BX434" s="1021"/>
      <c r="BY434" s="1021"/>
      <c r="BZ434" s="1021"/>
      <c r="CA434" s="1021"/>
      <c r="CB434" s="1021"/>
      <c r="CC434" s="1021"/>
    </row>
    <row r="435" spans="8:81" x14ac:dyDescent="0.25">
      <c r="H435" s="1021"/>
      <c r="I435" s="1021"/>
      <c r="J435" s="1021"/>
      <c r="K435" s="1021"/>
      <c r="L435" s="1021"/>
      <c r="M435" s="1021"/>
      <c r="N435" s="1021"/>
      <c r="O435" s="1021"/>
      <c r="P435" s="1021"/>
      <c r="Q435" s="1021"/>
      <c r="R435" s="1021"/>
      <c r="S435" s="1021"/>
      <c r="T435" s="1021"/>
      <c r="U435" s="1021"/>
      <c r="V435" s="1021"/>
      <c r="W435" s="1021"/>
      <c r="X435" s="1021"/>
      <c r="Y435" s="1021"/>
      <c r="Z435" s="1021"/>
      <c r="AA435" s="1021"/>
      <c r="AB435" s="1021"/>
      <c r="AC435" s="1021"/>
      <c r="AD435" s="1021"/>
      <c r="AE435" s="1021"/>
      <c r="AF435" s="1021"/>
      <c r="AG435" s="1021"/>
      <c r="AH435" s="1021"/>
      <c r="AI435" s="1021"/>
      <c r="AJ435" s="1021"/>
      <c r="AK435" s="1021"/>
      <c r="AL435" s="1021"/>
      <c r="AM435" s="1021"/>
      <c r="AN435" s="1021"/>
      <c r="AO435" s="1021"/>
      <c r="AP435" s="1021"/>
      <c r="AQ435" s="1021"/>
      <c r="AR435" s="1021"/>
      <c r="AS435" s="1021"/>
      <c r="AT435" s="1021"/>
      <c r="AU435" s="1021"/>
      <c r="AV435" s="1021"/>
      <c r="AW435" s="1021"/>
      <c r="AX435" s="1021"/>
      <c r="AY435" s="1021"/>
      <c r="AZ435" s="1021"/>
      <c r="BA435" s="1021"/>
      <c r="BB435" s="1021"/>
      <c r="BC435" s="1021"/>
      <c r="BD435" s="1021"/>
      <c r="BE435" s="1021"/>
      <c r="BF435" s="1021"/>
      <c r="BG435" s="1021"/>
      <c r="BH435" s="1021"/>
      <c r="BI435" s="1021"/>
      <c r="BJ435" s="1021"/>
      <c r="BK435" s="1021"/>
      <c r="BL435" s="1021"/>
      <c r="BM435" s="1021"/>
      <c r="BN435" s="1021"/>
      <c r="BO435" s="1021"/>
      <c r="BP435" s="1021"/>
      <c r="BQ435" s="1021"/>
      <c r="BR435" s="1021"/>
      <c r="BS435" s="1021"/>
      <c r="BT435" s="1021"/>
      <c r="BU435" s="1021"/>
      <c r="BV435" s="1021"/>
      <c r="BW435" s="1021"/>
      <c r="BX435" s="1021"/>
      <c r="BY435" s="1021"/>
      <c r="BZ435" s="1021"/>
      <c r="CA435" s="1021"/>
      <c r="CB435" s="1021"/>
      <c r="CC435" s="1021"/>
    </row>
    <row r="436" spans="8:81" x14ac:dyDescent="0.25">
      <c r="H436" s="1021"/>
      <c r="I436" s="1021"/>
      <c r="J436" s="1021"/>
      <c r="K436" s="1021"/>
      <c r="L436" s="1021"/>
      <c r="M436" s="1021"/>
      <c r="N436" s="1021"/>
      <c r="O436" s="1021"/>
      <c r="P436" s="1021"/>
      <c r="Q436" s="1021"/>
      <c r="R436" s="1021"/>
      <c r="S436" s="1021"/>
      <c r="T436" s="1021"/>
      <c r="U436" s="1021"/>
      <c r="V436" s="1021"/>
      <c r="W436" s="1021"/>
      <c r="X436" s="1021"/>
      <c r="Y436" s="1021"/>
      <c r="Z436" s="1021"/>
      <c r="AA436" s="1021"/>
      <c r="AB436" s="1021"/>
      <c r="AC436" s="1021"/>
      <c r="AD436" s="1021"/>
      <c r="AE436" s="1021"/>
      <c r="AF436" s="1021"/>
      <c r="AG436" s="1021"/>
      <c r="AH436" s="1021"/>
      <c r="AI436" s="1021"/>
      <c r="AJ436" s="1021"/>
      <c r="AK436" s="1021"/>
      <c r="AL436" s="1021"/>
      <c r="AM436" s="1021"/>
      <c r="AN436" s="1021"/>
      <c r="AO436" s="1021"/>
      <c r="AP436" s="1021"/>
      <c r="AQ436" s="1021"/>
      <c r="AR436" s="1021"/>
      <c r="AS436" s="1021"/>
      <c r="AT436" s="1021"/>
      <c r="AU436" s="1021"/>
      <c r="AV436" s="1021"/>
      <c r="AW436" s="1021"/>
      <c r="AX436" s="1021"/>
      <c r="AY436" s="1021"/>
      <c r="AZ436" s="1021"/>
      <c r="BA436" s="1021"/>
      <c r="BB436" s="1021"/>
      <c r="BC436" s="1021"/>
      <c r="BD436" s="1021"/>
      <c r="BE436" s="1021"/>
      <c r="BF436" s="1021"/>
      <c r="BG436" s="1021"/>
      <c r="BH436" s="1021"/>
      <c r="BI436" s="1021"/>
      <c r="BJ436" s="1021"/>
      <c r="BK436" s="1021"/>
      <c r="BL436" s="1021"/>
      <c r="BM436" s="1021"/>
      <c r="BN436" s="1021"/>
      <c r="BO436" s="1021"/>
      <c r="BP436" s="1021"/>
      <c r="BQ436" s="1021"/>
      <c r="BR436" s="1021"/>
      <c r="BS436" s="1021"/>
      <c r="BT436" s="1021"/>
      <c r="BU436" s="1021"/>
      <c r="BV436" s="1021"/>
      <c r="BW436" s="1021"/>
      <c r="BX436" s="1021"/>
      <c r="BY436" s="1021"/>
      <c r="BZ436" s="1021"/>
      <c r="CA436" s="1021"/>
      <c r="CB436" s="1021"/>
      <c r="CC436" s="1021"/>
    </row>
    <row r="437" spans="8:81" x14ac:dyDescent="0.25">
      <c r="H437" s="1021"/>
      <c r="I437" s="1021"/>
      <c r="J437" s="1021"/>
      <c r="K437" s="1021"/>
      <c r="L437" s="1021"/>
      <c r="M437" s="1021"/>
      <c r="N437" s="1021"/>
      <c r="O437" s="1021"/>
      <c r="P437" s="1021"/>
      <c r="Q437" s="1021"/>
      <c r="R437" s="1021"/>
      <c r="S437" s="1021"/>
      <c r="T437" s="1021"/>
      <c r="U437" s="1021"/>
      <c r="V437" s="1021"/>
      <c r="W437" s="1021"/>
      <c r="X437" s="1021"/>
      <c r="Y437" s="1021"/>
      <c r="Z437" s="1021"/>
      <c r="AA437" s="1021"/>
      <c r="AB437" s="1021"/>
      <c r="AC437" s="1021"/>
      <c r="AD437" s="1021"/>
      <c r="AE437" s="1021"/>
      <c r="AF437" s="1021"/>
      <c r="AG437" s="1021"/>
      <c r="AH437" s="1021"/>
      <c r="AI437" s="1021"/>
      <c r="AJ437" s="1021"/>
      <c r="AK437" s="1021"/>
      <c r="AL437" s="1021"/>
      <c r="AM437" s="1021"/>
      <c r="AN437" s="1021"/>
      <c r="AO437" s="1021"/>
      <c r="AP437" s="1021"/>
      <c r="AQ437" s="1021"/>
      <c r="AR437" s="1021"/>
      <c r="AS437" s="1021"/>
      <c r="AT437" s="1021"/>
      <c r="AU437" s="1021"/>
      <c r="AV437" s="1021"/>
      <c r="AW437" s="1021"/>
      <c r="AX437" s="1021"/>
      <c r="AY437" s="1021"/>
      <c r="AZ437" s="1021"/>
      <c r="BA437" s="1021"/>
      <c r="BB437" s="1021"/>
      <c r="BC437" s="1021"/>
      <c r="BD437" s="1021"/>
      <c r="BE437" s="1021"/>
      <c r="BF437" s="1021"/>
      <c r="BG437" s="1021"/>
      <c r="BH437" s="1021"/>
      <c r="BI437" s="1021"/>
      <c r="BJ437" s="1021"/>
      <c r="BK437" s="1021"/>
      <c r="BL437" s="1021"/>
      <c r="BM437" s="1021"/>
      <c r="BN437" s="1021"/>
      <c r="BO437" s="1021"/>
      <c r="BP437" s="1021"/>
      <c r="BQ437" s="1021"/>
      <c r="BR437" s="1021"/>
      <c r="BS437" s="1021"/>
      <c r="BT437" s="1021"/>
      <c r="BU437" s="1021"/>
      <c r="BV437" s="1021"/>
      <c r="BW437" s="1021"/>
      <c r="BX437" s="1021"/>
      <c r="BY437" s="1021"/>
      <c r="BZ437" s="1021"/>
      <c r="CA437" s="1021"/>
      <c r="CB437" s="1021"/>
      <c r="CC437" s="1021"/>
    </row>
    <row r="438" spans="8:81" x14ac:dyDescent="0.25">
      <c r="H438" s="1021"/>
      <c r="I438" s="1021"/>
      <c r="J438" s="1021"/>
      <c r="K438" s="1021"/>
      <c r="L438" s="1021"/>
      <c r="M438" s="1021"/>
      <c r="N438" s="1021"/>
      <c r="O438" s="1021"/>
      <c r="P438" s="1021"/>
      <c r="Q438" s="1021"/>
      <c r="R438" s="1021"/>
      <c r="S438" s="1021"/>
      <c r="T438" s="1021"/>
      <c r="U438" s="1021"/>
      <c r="V438" s="1021"/>
      <c r="W438" s="1021"/>
      <c r="X438" s="1021"/>
      <c r="Y438" s="1021"/>
      <c r="Z438" s="1021"/>
      <c r="AA438" s="1021"/>
      <c r="AB438" s="1021"/>
      <c r="AC438" s="1021"/>
      <c r="AD438" s="1021"/>
      <c r="AE438" s="1021"/>
      <c r="AF438" s="1021"/>
      <c r="AG438" s="1021"/>
      <c r="AH438" s="1021"/>
      <c r="AI438" s="1021"/>
      <c r="AJ438" s="1021"/>
      <c r="AK438" s="1021"/>
      <c r="AL438" s="1021"/>
      <c r="AM438" s="1021"/>
      <c r="AN438" s="1021"/>
      <c r="AO438" s="1021"/>
      <c r="AP438" s="1021"/>
      <c r="AQ438" s="1021"/>
      <c r="AR438" s="1021"/>
      <c r="AS438" s="1021"/>
      <c r="AT438" s="1021"/>
      <c r="AU438" s="1021"/>
      <c r="AV438" s="1021"/>
      <c r="AW438" s="1021"/>
      <c r="AX438" s="1021"/>
      <c r="AY438" s="1021"/>
      <c r="AZ438" s="1021"/>
      <c r="BA438" s="1021"/>
      <c r="BB438" s="1021"/>
      <c r="BC438" s="1021"/>
      <c r="BD438" s="1021"/>
      <c r="BE438" s="1021"/>
      <c r="BF438" s="1021"/>
      <c r="BG438" s="1021"/>
      <c r="BH438" s="1021"/>
      <c r="BI438" s="1021"/>
      <c r="BJ438" s="1021"/>
      <c r="BK438" s="1021"/>
      <c r="BL438" s="1021"/>
      <c r="BM438" s="1021"/>
      <c r="BN438" s="1021"/>
      <c r="BO438" s="1021"/>
      <c r="BP438" s="1021"/>
      <c r="BQ438" s="1021"/>
      <c r="BR438" s="1021"/>
      <c r="BS438" s="1021"/>
      <c r="BT438" s="1021"/>
      <c r="BU438" s="1021"/>
      <c r="BV438" s="1021"/>
      <c r="BW438" s="1021"/>
      <c r="BX438" s="1021"/>
      <c r="BY438" s="1021"/>
      <c r="BZ438" s="1021"/>
      <c r="CA438" s="1021"/>
      <c r="CB438" s="1021"/>
      <c r="CC438" s="1021"/>
    </row>
    <row r="439" spans="8:81" x14ac:dyDescent="0.25">
      <c r="H439" s="1021"/>
      <c r="I439" s="1021"/>
      <c r="J439" s="1021"/>
      <c r="K439" s="1021"/>
      <c r="L439" s="1021"/>
      <c r="M439" s="1021"/>
      <c r="N439" s="1021"/>
      <c r="O439" s="1021"/>
      <c r="P439" s="1021"/>
      <c r="Q439" s="1021"/>
      <c r="R439" s="1021"/>
      <c r="S439" s="1021"/>
      <c r="T439" s="1021"/>
      <c r="U439" s="1021"/>
      <c r="V439" s="1021"/>
      <c r="W439" s="1021"/>
      <c r="X439" s="1021"/>
      <c r="Y439" s="1021"/>
      <c r="Z439" s="1021"/>
      <c r="AA439" s="1021"/>
      <c r="AB439" s="1021"/>
      <c r="AC439" s="1021"/>
      <c r="AD439" s="1021"/>
      <c r="AE439" s="1021"/>
      <c r="AF439" s="1021"/>
      <c r="AG439" s="1021"/>
      <c r="AH439" s="1021"/>
      <c r="AI439" s="1021"/>
      <c r="AJ439" s="1021"/>
      <c r="AK439" s="1021"/>
      <c r="AL439" s="1021"/>
      <c r="AM439" s="1021"/>
      <c r="AN439" s="1021"/>
      <c r="AO439" s="1021"/>
      <c r="AP439" s="1021"/>
      <c r="AQ439" s="1021"/>
      <c r="AR439" s="1021"/>
      <c r="AS439" s="1021"/>
      <c r="AT439" s="1021"/>
      <c r="AU439" s="1021"/>
      <c r="AV439" s="1021"/>
      <c r="AW439" s="1021"/>
      <c r="AX439" s="1021"/>
      <c r="AY439" s="1021"/>
      <c r="AZ439" s="1021"/>
      <c r="BA439" s="1021"/>
      <c r="BB439" s="1021"/>
      <c r="BC439" s="1021"/>
      <c r="BD439" s="1021"/>
      <c r="BE439" s="1021"/>
      <c r="BF439" s="1021"/>
      <c r="BG439" s="1021"/>
      <c r="BH439" s="1021"/>
      <c r="BI439" s="1021"/>
      <c r="BJ439" s="1021"/>
      <c r="BK439" s="1021"/>
      <c r="BL439" s="1021"/>
      <c r="BM439" s="1021"/>
      <c r="BN439" s="1021"/>
      <c r="BO439" s="1021"/>
      <c r="BP439" s="1021"/>
      <c r="BQ439" s="1021"/>
      <c r="BR439" s="1021"/>
      <c r="BS439" s="1021"/>
      <c r="BT439" s="1021"/>
      <c r="BU439" s="1021"/>
      <c r="BV439" s="1021"/>
      <c r="BW439" s="1021"/>
      <c r="BX439" s="1021"/>
      <c r="BY439" s="1021"/>
      <c r="BZ439" s="1021"/>
      <c r="CA439" s="1021"/>
      <c r="CB439" s="1021"/>
      <c r="CC439" s="1021"/>
    </row>
    <row r="440" spans="8:81" x14ac:dyDescent="0.25">
      <c r="H440" s="1021"/>
      <c r="I440" s="1021"/>
      <c r="J440" s="1021"/>
      <c r="K440" s="1021"/>
      <c r="L440" s="1021"/>
      <c r="M440" s="1021"/>
      <c r="N440" s="1021"/>
      <c r="O440" s="1021"/>
      <c r="P440" s="1021"/>
      <c r="Q440" s="1021"/>
      <c r="R440" s="1021"/>
      <c r="S440" s="1021"/>
      <c r="T440" s="1021"/>
      <c r="U440" s="1021"/>
      <c r="V440" s="1021"/>
      <c r="W440" s="1021"/>
      <c r="X440" s="1021"/>
      <c r="Y440" s="1021"/>
      <c r="Z440" s="1021"/>
      <c r="AA440" s="1021"/>
      <c r="AB440" s="1021"/>
      <c r="AC440" s="1021"/>
      <c r="AD440" s="1021"/>
      <c r="AE440" s="1021"/>
      <c r="AF440" s="1021"/>
      <c r="AG440" s="1021"/>
      <c r="AH440" s="1021"/>
      <c r="AI440" s="1021"/>
      <c r="AJ440" s="1021"/>
      <c r="AK440" s="1021"/>
      <c r="AL440" s="1021"/>
      <c r="AM440" s="1021"/>
      <c r="AN440" s="1021"/>
      <c r="AO440" s="1021"/>
      <c r="AP440" s="1021"/>
      <c r="AQ440" s="1021"/>
      <c r="AR440" s="1021"/>
      <c r="AS440" s="1021"/>
      <c r="AT440" s="1021"/>
      <c r="AU440" s="1021"/>
      <c r="AV440" s="1021"/>
      <c r="AW440" s="1021"/>
      <c r="AX440" s="1021"/>
      <c r="AY440" s="1021"/>
      <c r="AZ440" s="1021"/>
      <c r="BA440" s="1021"/>
      <c r="BB440" s="1021"/>
      <c r="BC440" s="1021"/>
      <c r="BD440" s="1021"/>
      <c r="BE440" s="1021"/>
      <c r="BF440" s="1021"/>
      <c r="BG440" s="1021"/>
      <c r="BH440" s="1021"/>
      <c r="BI440" s="1021"/>
      <c r="BJ440" s="1021"/>
      <c r="BK440" s="1021"/>
      <c r="BL440" s="1021"/>
      <c r="BM440" s="1021"/>
      <c r="BN440" s="1021"/>
      <c r="BO440" s="1021"/>
      <c r="BP440" s="1021"/>
      <c r="BQ440" s="1021"/>
      <c r="BR440" s="1021"/>
      <c r="BS440" s="1021"/>
      <c r="BT440" s="1021"/>
      <c r="BU440" s="1021"/>
      <c r="BV440" s="1021"/>
      <c r="BW440" s="1021"/>
      <c r="BX440" s="1021"/>
      <c r="BY440" s="1021"/>
      <c r="BZ440" s="1021"/>
      <c r="CA440" s="1021"/>
      <c r="CB440" s="1021"/>
      <c r="CC440" s="1021"/>
    </row>
    <row r="441" spans="8:81" x14ac:dyDescent="0.25">
      <c r="H441" s="1021"/>
      <c r="I441" s="1021"/>
      <c r="J441" s="1021"/>
      <c r="K441" s="1021"/>
      <c r="L441" s="1021"/>
      <c r="M441" s="1021"/>
      <c r="N441" s="1021"/>
      <c r="O441" s="1021"/>
      <c r="P441" s="1021"/>
      <c r="Q441" s="1021"/>
      <c r="R441" s="1021"/>
      <c r="S441" s="1021"/>
      <c r="T441" s="1021"/>
      <c r="U441" s="1021"/>
      <c r="V441" s="1021"/>
      <c r="W441" s="1021"/>
      <c r="X441" s="1021"/>
      <c r="Y441" s="1021"/>
      <c r="Z441" s="1021"/>
      <c r="AA441" s="1021"/>
      <c r="AB441" s="1021"/>
      <c r="AC441" s="1021"/>
      <c r="AD441" s="1021"/>
      <c r="AE441" s="1021"/>
      <c r="AF441" s="1021"/>
      <c r="AG441" s="1021"/>
      <c r="AH441" s="1021"/>
      <c r="AI441" s="1021"/>
      <c r="AJ441" s="1021"/>
      <c r="AK441" s="1021"/>
      <c r="AL441" s="1021"/>
      <c r="AM441" s="1021"/>
      <c r="AN441" s="1021"/>
      <c r="AO441" s="1021"/>
      <c r="AP441" s="1021"/>
      <c r="AQ441" s="1021"/>
      <c r="AR441" s="1021"/>
      <c r="AS441" s="1021"/>
      <c r="AT441" s="1021"/>
      <c r="AU441" s="1021"/>
      <c r="AV441" s="1021"/>
      <c r="AW441" s="1021"/>
      <c r="AX441" s="1021"/>
      <c r="AY441" s="1021"/>
      <c r="AZ441" s="1021"/>
      <c r="BA441" s="1021"/>
      <c r="BB441" s="1021"/>
      <c r="BC441" s="1021"/>
      <c r="BD441" s="1021"/>
      <c r="BE441" s="1021"/>
      <c r="BF441" s="1021"/>
      <c r="BG441" s="1021"/>
      <c r="BH441" s="1021"/>
      <c r="BI441" s="1021"/>
      <c r="BJ441" s="1021"/>
      <c r="BK441" s="1021"/>
      <c r="BL441" s="1021"/>
      <c r="BM441" s="1021"/>
      <c r="BN441" s="1021"/>
      <c r="BO441" s="1021"/>
      <c r="BP441" s="1021"/>
      <c r="BQ441" s="1021"/>
      <c r="BR441" s="1021"/>
      <c r="BS441" s="1021"/>
      <c r="BT441" s="1021"/>
      <c r="BU441" s="1021"/>
      <c r="BV441" s="1021"/>
      <c r="BW441" s="1021"/>
      <c r="BX441" s="1021"/>
      <c r="BY441" s="1021"/>
      <c r="BZ441" s="1021"/>
      <c r="CA441" s="1021"/>
      <c r="CB441" s="1021"/>
      <c r="CC441" s="1021"/>
    </row>
    <row r="442" spans="8:81" x14ac:dyDescent="0.25">
      <c r="H442" s="1021"/>
      <c r="I442" s="1021"/>
      <c r="J442" s="1021"/>
      <c r="K442" s="1021"/>
      <c r="L442" s="1021"/>
      <c r="M442" s="1021"/>
      <c r="N442" s="1021"/>
      <c r="O442" s="1021"/>
      <c r="P442" s="1021"/>
      <c r="Q442" s="1021"/>
      <c r="R442" s="1021"/>
      <c r="S442" s="1021"/>
      <c r="T442" s="1021"/>
      <c r="U442" s="1021"/>
      <c r="V442" s="1021"/>
      <c r="W442" s="1021"/>
      <c r="X442" s="1021"/>
      <c r="Y442" s="1021"/>
      <c r="Z442" s="1021"/>
      <c r="AA442" s="1021"/>
      <c r="AB442" s="1021"/>
      <c r="AC442" s="1021"/>
      <c r="AD442" s="1021"/>
      <c r="AE442" s="1021"/>
      <c r="AF442" s="1021"/>
      <c r="AG442" s="1021"/>
      <c r="AH442" s="1021"/>
      <c r="AI442" s="1021"/>
      <c r="AJ442" s="1021"/>
      <c r="AK442" s="1021"/>
      <c r="AL442" s="1021"/>
      <c r="AM442" s="1021"/>
      <c r="AN442" s="1021"/>
      <c r="AO442" s="1021"/>
      <c r="AP442" s="1021"/>
      <c r="AQ442" s="1021"/>
      <c r="AR442" s="1021"/>
      <c r="AS442" s="1021"/>
      <c r="AT442" s="1021"/>
      <c r="AU442" s="1021"/>
      <c r="AV442" s="1021"/>
      <c r="AW442" s="1021"/>
      <c r="AX442" s="1021"/>
      <c r="AY442" s="1021"/>
      <c r="AZ442" s="1021"/>
      <c r="BA442" s="1021"/>
      <c r="BB442" s="1021"/>
      <c r="BC442" s="1021"/>
      <c r="BD442" s="1021"/>
      <c r="BE442" s="1021"/>
      <c r="BF442" s="1021"/>
      <c r="BG442" s="1021"/>
      <c r="BH442" s="1021"/>
      <c r="BI442" s="1021"/>
      <c r="BJ442" s="1021"/>
      <c r="BK442" s="1021"/>
      <c r="BL442" s="1021"/>
      <c r="BM442" s="1021"/>
      <c r="BN442" s="1021"/>
      <c r="BO442" s="1021"/>
      <c r="BP442" s="1021"/>
      <c r="BQ442" s="1021"/>
      <c r="BR442" s="1021"/>
      <c r="BS442" s="1021"/>
      <c r="BT442" s="1021"/>
      <c r="BU442" s="1021"/>
      <c r="BV442" s="1021"/>
      <c r="BW442" s="1021"/>
      <c r="BX442" s="1021"/>
      <c r="BY442" s="1021"/>
      <c r="BZ442" s="1021"/>
      <c r="CA442" s="1021"/>
      <c r="CB442" s="1021"/>
      <c r="CC442" s="1021"/>
    </row>
    <row r="443" spans="8:81" x14ac:dyDescent="0.25">
      <c r="H443" s="1021"/>
      <c r="I443" s="1021"/>
      <c r="J443" s="1021"/>
      <c r="K443" s="1021"/>
      <c r="L443" s="1021"/>
      <c r="M443" s="1021"/>
      <c r="N443" s="1021"/>
      <c r="O443" s="1021"/>
      <c r="P443" s="1021"/>
      <c r="Q443" s="1021"/>
      <c r="R443" s="1021"/>
      <c r="S443" s="1021"/>
      <c r="T443" s="1021"/>
      <c r="U443" s="1021"/>
      <c r="V443" s="1021"/>
      <c r="W443" s="1021"/>
      <c r="X443" s="1021"/>
      <c r="Y443" s="1021"/>
      <c r="Z443" s="1021"/>
      <c r="AA443" s="1021"/>
      <c r="AB443" s="1021"/>
      <c r="AC443" s="1021"/>
      <c r="AD443" s="1021"/>
      <c r="AE443" s="1021"/>
      <c r="AF443" s="1021"/>
      <c r="AG443" s="1021"/>
      <c r="AH443" s="1021"/>
      <c r="AI443" s="1021"/>
      <c r="AJ443" s="1021"/>
      <c r="AK443" s="1021"/>
      <c r="AL443" s="1021"/>
      <c r="AM443" s="1021"/>
      <c r="AN443" s="1021"/>
      <c r="AO443" s="1021"/>
      <c r="AP443" s="1021"/>
      <c r="AQ443" s="1021"/>
      <c r="AR443" s="1021"/>
      <c r="AS443" s="1021"/>
      <c r="AT443" s="1021"/>
      <c r="AU443" s="1021"/>
      <c r="AV443" s="1021"/>
      <c r="AW443" s="1021"/>
      <c r="AX443" s="1021"/>
      <c r="AY443" s="1021"/>
      <c r="AZ443" s="1021"/>
      <c r="BA443" s="1021"/>
      <c r="BB443" s="1021"/>
      <c r="BC443" s="1021"/>
      <c r="BD443" s="1021"/>
      <c r="BE443" s="1021"/>
      <c r="BF443" s="1021"/>
      <c r="BG443" s="1021"/>
      <c r="BH443" s="1021"/>
      <c r="BI443" s="1021"/>
      <c r="BJ443" s="1021"/>
      <c r="BK443" s="1021"/>
      <c r="BL443" s="1021"/>
      <c r="BM443" s="1021"/>
      <c r="BN443" s="1021"/>
      <c r="BO443" s="1021"/>
      <c r="BP443" s="1021"/>
      <c r="BQ443" s="1021"/>
      <c r="BR443" s="1021"/>
      <c r="BS443" s="1021"/>
      <c r="BT443" s="1021"/>
      <c r="BU443" s="1021"/>
      <c r="BV443" s="1021"/>
      <c r="BW443" s="1021"/>
      <c r="BX443" s="1021"/>
      <c r="BY443" s="1021"/>
      <c r="BZ443" s="1021"/>
      <c r="CA443" s="1021"/>
      <c r="CB443" s="1021"/>
      <c r="CC443" s="1021"/>
    </row>
    <row r="444" spans="8:81" x14ac:dyDescent="0.25">
      <c r="H444" s="1021"/>
      <c r="I444" s="1021"/>
      <c r="J444" s="1021"/>
      <c r="K444" s="1021"/>
      <c r="L444" s="1021"/>
      <c r="M444" s="1021"/>
      <c r="N444" s="1021"/>
      <c r="O444" s="1021"/>
      <c r="P444" s="1021"/>
      <c r="Q444" s="1021"/>
      <c r="R444" s="1021"/>
      <c r="S444" s="1021"/>
      <c r="T444" s="1021"/>
      <c r="U444" s="1021"/>
      <c r="V444" s="1021"/>
      <c r="W444" s="1021"/>
      <c r="X444" s="1021"/>
      <c r="Y444" s="1021"/>
      <c r="Z444" s="1021"/>
      <c r="AA444" s="1021"/>
      <c r="AB444" s="1021"/>
      <c r="AC444" s="1021"/>
      <c r="AD444" s="1021"/>
      <c r="AE444" s="1021"/>
      <c r="AF444" s="1021"/>
      <c r="AG444" s="1021"/>
      <c r="AH444" s="1021"/>
      <c r="AI444" s="1021"/>
      <c r="AJ444" s="1021"/>
      <c r="AK444" s="1021"/>
      <c r="AL444" s="1021"/>
      <c r="AM444" s="1021"/>
      <c r="AN444" s="1021"/>
      <c r="AO444" s="1021"/>
      <c r="AP444" s="1021"/>
      <c r="AQ444" s="1021"/>
      <c r="AR444" s="1021"/>
      <c r="AS444" s="1021"/>
      <c r="AT444" s="1021"/>
      <c r="AU444" s="1021"/>
      <c r="AV444" s="1021"/>
      <c r="AW444" s="1021"/>
      <c r="AX444" s="1021"/>
      <c r="AY444" s="1021"/>
      <c r="AZ444" s="1021"/>
      <c r="BA444" s="1021"/>
      <c r="BB444" s="1021"/>
      <c r="BC444" s="1021"/>
      <c r="BD444" s="1021"/>
      <c r="BE444" s="1021"/>
      <c r="BF444" s="1021"/>
      <c r="BG444" s="1021"/>
      <c r="BH444" s="1021"/>
      <c r="BI444" s="1021"/>
      <c r="BJ444" s="1021"/>
      <c r="BK444" s="1021"/>
      <c r="BL444" s="1021"/>
      <c r="BM444" s="1021"/>
      <c r="BN444" s="1021"/>
      <c r="BO444" s="1021"/>
      <c r="BP444" s="1021"/>
      <c r="BQ444" s="1021"/>
      <c r="BR444" s="1021"/>
      <c r="BS444" s="1021"/>
      <c r="BT444" s="1021"/>
      <c r="BU444" s="1021"/>
      <c r="BV444" s="1021"/>
      <c r="BW444" s="1021"/>
      <c r="BX444" s="1021"/>
      <c r="BY444" s="1021"/>
      <c r="BZ444" s="1021"/>
      <c r="CA444" s="1021"/>
      <c r="CB444" s="1021"/>
      <c r="CC444" s="1021"/>
    </row>
    <row r="445" spans="8:81" x14ac:dyDescent="0.25">
      <c r="H445" s="1021"/>
      <c r="I445" s="1021"/>
      <c r="J445" s="1021"/>
      <c r="K445" s="1021"/>
      <c r="L445" s="1021"/>
      <c r="M445" s="1021"/>
      <c r="N445" s="1021"/>
      <c r="O445" s="1021"/>
      <c r="P445" s="1021"/>
      <c r="Q445" s="1021"/>
      <c r="R445" s="1021"/>
      <c r="S445" s="1021"/>
      <c r="T445" s="1021"/>
      <c r="U445" s="1021"/>
      <c r="V445" s="1021"/>
      <c r="W445" s="1021"/>
      <c r="X445" s="1021"/>
      <c r="Y445" s="1021"/>
      <c r="Z445" s="1021"/>
      <c r="AA445" s="1021"/>
      <c r="AB445" s="1021"/>
      <c r="AC445" s="1021"/>
      <c r="AD445" s="1021"/>
      <c r="AE445" s="1021"/>
      <c r="AF445" s="1021"/>
      <c r="AG445" s="1021"/>
      <c r="AH445" s="1021"/>
      <c r="AI445" s="1021"/>
      <c r="AJ445" s="1021"/>
      <c r="AK445" s="1021"/>
      <c r="AL445" s="1021"/>
      <c r="AM445" s="1021"/>
      <c r="AN445" s="1021"/>
      <c r="AO445" s="1021"/>
      <c r="AP445" s="1021"/>
      <c r="AQ445" s="1021"/>
      <c r="AR445" s="1021"/>
      <c r="AS445" s="1021"/>
      <c r="AT445" s="1021"/>
      <c r="AU445" s="1021"/>
      <c r="AV445" s="1021"/>
      <c r="AW445" s="1021"/>
      <c r="AX445" s="1021"/>
      <c r="AY445" s="1021"/>
      <c r="AZ445" s="1021"/>
      <c r="BA445" s="1021"/>
      <c r="BB445" s="1021"/>
      <c r="BC445" s="1021"/>
      <c r="BD445" s="1021"/>
      <c r="BE445" s="1021"/>
      <c r="BF445" s="1021"/>
      <c r="BG445" s="1021"/>
      <c r="BH445" s="1021"/>
      <c r="BI445" s="1021"/>
      <c r="BJ445" s="1021"/>
      <c r="BK445" s="1021"/>
      <c r="BL445" s="1021"/>
      <c r="BM445" s="1021"/>
      <c r="BN445" s="1021"/>
      <c r="BO445" s="1021"/>
      <c r="BP445" s="1021"/>
      <c r="BQ445" s="1021"/>
      <c r="BR445" s="1021"/>
      <c r="BS445" s="1021"/>
      <c r="BT445" s="1021"/>
      <c r="BU445" s="1021"/>
      <c r="BV445" s="1021"/>
      <c r="BW445" s="1021"/>
      <c r="BX445" s="1021"/>
      <c r="BY445" s="1021"/>
      <c r="BZ445" s="1021"/>
      <c r="CA445" s="1021"/>
      <c r="CB445" s="1021"/>
      <c r="CC445" s="1021"/>
    </row>
    <row r="446" spans="8:81" x14ac:dyDescent="0.25">
      <c r="H446" s="1021"/>
      <c r="I446" s="1021"/>
      <c r="J446" s="1021"/>
      <c r="K446" s="1021"/>
      <c r="L446" s="1021"/>
      <c r="M446" s="1021"/>
      <c r="N446" s="1021"/>
      <c r="O446" s="1021"/>
      <c r="P446" s="1021"/>
      <c r="Q446" s="1021"/>
      <c r="R446" s="1021"/>
      <c r="S446" s="1021"/>
      <c r="T446" s="1021"/>
      <c r="U446" s="1021"/>
      <c r="V446" s="1021"/>
      <c r="W446" s="1021"/>
      <c r="X446" s="1021"/>
      <c r="Y446" s="1021"/>
      <c r="Z446" s="1021"/>
      <c r="AA446" s="1021"/>
      <c r="AB446" s="1021"/>
      <c r="AC446" s="1021"/>
      <c r="AD446" s="1021"/>
      <c r="AE446" s="1021"/>
      <c r="AF446" s="1021"/>
      <c r="AG446" s="1021"/>
      <c r="AH446" s="1021"/>
      <c r="AI446" s="1021"/>
      <c r="AJ446" s="1021"/>
      <c r="AK446" s="1021"/>
      <c r="AL446" s="1021"/>
      <c r="AM446" s="1021"/>
      <c r="AN446" s="1021"/>
      <c r="AO446" s="1021"/>
      <c r="AP446" s="1021"/>
      <c r="AQ446" s="1021"/>
      <c r="AR446" s="1021"/>
      <c r="AS446" s="1021"/>
      <c r="AT446" s="1021"/>
      <c r="AU446" s="1021"/>
      <c r="AV446" s="1021"/>
      <c r="AW446" s="1021"/>
      <c r="AX446" s="1021"/>
      <c r="AY446" s="1021"/>
      <c r="AZ446" s="1021"/>
      <c r="BA446" s="1021"/>
      <c r="BB446" s="1021"/>
      <c r="BC446" s="1021"/>
      <c r="BD446" s="1021"/>
      <c r="BE446" s="1021"/>
      <c r="BF446" s="1021"/>
      <c r="BG446" s="1021"/>
      <c r="BH446" s="1021"/>
      <c r="BI446" s="1021"/>
      <c r="BJ446" s="1021"/>
      <c r="BK446" s="1021"/>
      <c r="BL446" s="1021"/>
      <c r="BM446" s="1021"/>
      <c r="BN446" s="1021"/>
      <c r="BO446" s="1021"/>
      <c r="BP446" s="1021"/>
      <c r="BQ446" s="1021"/>
      <c r="BR446" s="1021"/>
      <c r="BS446" s="1021"/>
      <c r="BT446" s="1021"/>
      <c r="BU446" s="1021"/>
      <c r="BV446" s="1021"/>
      <c r="BW446" s="1021"/>
      <c r="BX446" s="1021"/>
      <c r="BY446" s="1021"/>
      <c r="BZ446" s="1021"/>
      <c r="CA446" s="1021"/>
      <c r="CB446" s="1021"/>
      <c r="CC446" s="1021"/>
    </row>
    <row r="447" spans="8:81" x14ac:dyDescent="0.25">
      <c r="H447" s="1021"/>
      <c r="I447" s="1021"/>
      <c r="J447" s="1021"/>
      <c r="K447" s="1021"/>
      <c r="L447" s="1021"/>
      <c r="M447" s="1021"/>
      <c r="N447" s="1021"/>
      <c r="O447" s="1021"/>
      <c r="P447" s="1021"/>
      <c r="Q447" s="1021"/>
      <c r="R447" s="1021"/>
      <c r="S447" s="1021"/>
      <c r="T447" s="1021"/>
      <c r="U447" s="1021"/>
      <c r="V447" s="1021"/>
      <c r="W447" s="1021"/>
      <c r="X447" s="1021"/>
      <c r="Y447" s="1021"/>
      <c r="Z447" s="1021"/>
      <c r="AA447" s="1021"/>
      <c r="AB447" s="1021"/>
      <c r="AC447" s="1021"/>
      <c r="AD447" s="1021"/>
      <c r="AE447" s="1021"/>
      <c r="AF447" s="1021"/>
      <c r="AG447" s="1021"/>
      <c r="AH447" s="1021"/>
      <c r="AI447" s="1021"/>
      <c r="AJ447" s="1021"/>
      <c r="AK447" s="1021"/>
      <c r="AL447" s="1021"/>
      <c r="AM447" s="1021"/>
      <c r="AN447" s="1021"/>
      <c r="AO447" s="1021"/>
      <c r="AP447" s="1021"/>
      <c r="AQ447" s="1021"/>
      <c r="AR447" s="1021"/>
      <c r="AS447" s="1021"/>
      <c r="AT447" s="1021"/>
      <c r="AU447" s="1021"/>
      <c r="AV447" s="1021"/>
      <c r="AW447" s="1021"/>
      <c r="AX447" s="1021"/>
      <c r="AY447" s="1021"/>
      <c r="AZ447" s="1021"/>
      <c r="BA447" s="1021"/>
      <c r="BB447" s="1021"/>
      <c r="BC447" s="1021"/>
      <c r="BD447" s="1021"/>
      <c r="BE447" s="1021"/>
      <c r="BF447" s="1021"/>
      <c r="BG447" s="1021"/>
      <c r="BH447" s="1021"/>
      <c r="BI447" s="1021"/>
      <c r="BJ447" s="1021"/>
      <c r="BK447" s="1021"/>
      <c r="BL447" s="1021"/>
      <c r="BM447" s="1021"/>
      <c r="BN447" s="1021"/>
      <c r="BO447" s="1021"/>
      <c r="BP447" s="1021"/>
      <c r="BQ447" s="1021"/>
      <c r="BR447" s="1021"/>
      <c r="BS447" s="1021"/>
      <c r="BT447" s="1021"/>
      <c r="BU447" s="1021"/>
      <c r="BV447" s="1021"/>
      <c r="BW447" s="1021"/>
      <c r="BX447" s="1021"/>
      <c r="BY447" s="1021"/>
      <c r="BZ447" s="1021"/>
      <c r="CA447" s="1021"/>
      <c r="CB447" s="1021"/>
      <c r="CC447" s="1021"/>
    </row>
    <row r="448" spans="8:81" x14ac:dyDescent="0.25">
      <c r="H448" s="1021"/>
      <c r="I448" s="1021"/>
      <c r="J448" s="1021"/>
      <c r="K448" s="1021"/>
      <c r="L448" s="1021"/>
      <c r="M448" s="1021"/>
      <c r="N448" s="1021"/>
      <c r="O448" s="1021"/>
      <c r="P448" s="1021"/>
      <c r="Q448" s="1021"/>
      <c r="R448" s="1021"/>
      <c r="S448" s="1021"/>
      <c r="T448" s="1021"/>
      <c r="U448" s="1021"/>
      <c r="V448" s="1021"/>
      <c r="W448" s="1021"/>
      <c r="X448" s="1021"/>
      <c r="Y448" s="1021"/>
      <c r="Z448" s="1021"/>
      <c r="AA448" s="1021"/>
      <c r="AB448" s="1021"/>
      <c r="AC448" s="1021"/>
      <c r="AD448" s="1021"/>
      <c r="AE448" s="1021"/>
      <c r="AF448" s="1021"/>
      <c r="AG448" s="1021"/>
      <c r="AH448" s="1021"/>
      <c r="AI448" s="1021"/>
      <c r="AJ448" s="1021"/>
      <c r="AK448" s="1021"/>
      <c r="AL448" s="1021"/>
      <c r="AM448" s="1021"/>
      <c r="AN448" s="1021"/>
      <c r="AO448" s="1021"/>
      <c r="AP448" s="1021"/>
      <c r="AQ448" s="1021"/>
      <c r="AR448" s="1021"/>
      <c r="AS448" s="1021"/>
      <c r="AT448" s="1021"/>
      <c r="AU448" s="1021"/>
      <c r="AV448" s="1021"/>
      <c r="AW448" s="1021"/>
      <c r="AX448" s="1021"/>
      <c r="AY448" s="1021"/>
      <c r="AZ448" s="1021"/>
      <c r="BA448" s="1021"/>
      <c r="BB448" s="1021"/>
      <c r="BC448" s="1021"/>
      <c r="BD448" s="1021"/>
      <c r="BE448" s="1021"/>
      <c r="BF448" s="1021"/>
      <c r="BG448" s="1021"/>
      <c r="BH448" s="1021"/>
      <c r="BI448" s="1021"/>
      <c r="BJ448" s="1021"/>
      <c r="BK448" s="1021"/>
      <c r="BL448" s="1021"/>
      <c r="BM448" s="1021"/>
      <c r="BN448" s="1021"/>
      <c r="BO448" s="1021"/>
      <c r="BP448" s="1021"/>
      <c r="BQ448" s="1021"/>
      <c r="BR448" s="1021"/>
      <c r="BS448" s="1021"/>
      <c r="BT448" s="1021"/>
      <c r="BU448" s="1021"/>
      <c r="BV448" s="1021"/>
      <c r="BW448" s="1021"/>
      <c r="BX448" s="1021"/>
      <c r="BY448" s="1021"/>
      <c r="BZ448" s="1021"/>
      <c r="CA448" s="1021"/>
      <c r="CB448" s="1021"/>
      <c r="CC448" s="1021"/>
    </row>
    <row r="449" spans="8:81" x14ac:dyDescent="0.25">
      <c r="H449" s="1021"/>
      <c r="I449" s="1021"/>
      <c r="J449" s="1021"/>
      <c r="K449" s="1021"/>
      <c r="L449" s="1021"/>
      <c r="M449" s="1021"/>
      <c r="N449" s="1021"/>
      <c r="O449" s="1021"/>
      <c r="P449" s="1021"/>
      <c r="Q449" s="1021"/>
      <c r="R449" s="1021"/>
      <c r="S449" s="1021"/>
      <c r="T449" s="1021"/>
      <c r="U449" s="1021"/>
      <c r="V449" s="1021"/>
      <c r="W449" s="1021"/>
      <c r="X449" s="1021"/>
      <c r="Y449" s="1021"/>
      <c r="Z449" s="1021"/>
      <c r="AA449" s="1021"/>
      <c r="AB449" s="1021"/>
      <c r="AC449" s="1021"/>
      <c r="AD449" s="1021"/>
      <c r="AE449" s="1021"/>
      <c r="AF449" s="1021"/>
      <c r="AG449" s="1021"/>
      <c r="AH449" s="1021"/>
      <c r="AI449" s="1021"/>
      <c r="AJ449" s="1021"/>
      <c r="AK449" s="1021"/>
      <c r="AL449" s="1021"/>
      <c r="AM449" s="1021"/>
      <c r="AN449" s="1021"/>
      <c r="AO449" s="1021"/>
      <c r="AP449" s="1021"/>
      <c r="AQ449" s="1021"/>
      <c r="AR449" s="1021"/>
      <c r="AS449" s="1021"/>
      <c r="AT449" s="1021"/>
      <c r="AU449" s="1021"/>
      <c r="AV449" s="1021"/>
      <c r="AW449" s="1021"/>
      <c r="AX449" s="1021"/>
      <c r="AY449" s="1021"/>
      <c r="AZ449" s="1021"/>
      <c r="BA449" s="1021"/>
      <c r="BB449" s="1021"/>
      <c r="BC449" s="1021"/>
      <c r="BD449" s="1021"/>
      <c r="BE449" s="1021"/>
      <c r="BF449" s="1021"/>
      <c r="BG449" s="1021"/>
      <c r="BH449" s="1021"/>
      <c r="BI449" s="1021"/>
      <c r="BJ449" s="1021"/>
      <c r="BK449" s="1021"/>
      <c r="BL449" s="1021"/>
      <c r="BM449" s="1021"/>
      <c r="BN449" s="1021"/>
      <c r="BO449" s="1021"/>
      <c r="BP449" s="1021"/>
      <c r="BQ449" s="1021"/>
      <c r="BR449" s="1021"/>
      <c r="BS449" s="1021"/>
      <c r="BT449" s="1021"/>
      <c r="BU449" s="1021"/>
      <c r="BV449" s="1021"/>
      <c r="BW449" s="1021"/>
      <c r="BX449" s="1021"/>
      <c r="BY449" s="1021"/>
      <c r="BZ449" s="1021"/>
      <c r="CA449" s="1021"/>
      <c r="CB449" s="1021"/>
      <c r="CC449" s="1021"/>
    </row>
    <row r="450" spans="8:81" x14ac:dyDescent="0.25">
      <c r="H450" s="1021"/>
      <c r="I450" s="1021"/>
      <c r="J450" s="1021"/>
      <c r="K450" s="1021"/>
      <c r="L450" s="1021"/>
      <c r="M450" s="1021"/>
      <c r="N450" s="1021"/>
      <c r="O450" s="1021"/>
      <c r="P450" s="1021"/>
      <c r="Q450" s="1021"/>
      <c r="R450" s="1021"/>
      <c r="S450" s="1021"/>
      <c r="T450" s="1021"/>
      <c r="U450" s="1021"/>
      <c r="V450" s="1021"/>
      <c r="W450" s="1021"/>
      <c r="X450" s="1021"/>
      <c r="Y450" s="1021"/>
      <c r="Z450" s="1021"/>
      <c r="AA450" s="1021"/>
      <c r="AB450" s="1021"/>
      <c r="AC450" s="1021"/>
      <c r="AD450" s="1021"/>
      <c r="AE450" s="1021"/>
      <c r="AF450" s="1021"/>
      <c r="AG450" s="1021"/>
      <c r="AH450" s="1021"/>
      <c r="AI450" s="1021"/>
      <c r="AJ450" s="1021"/>
      <c r="AK450" s="1021"/>
      <c r="AL450" s="1021"/>
      <c r="AM450" s="1021"/>
      <c r="AN450" s="1021"/>
      <c r="AO450" s="1021"/>
      <c r="AP450" s="1021"/>
      <c r="AQ450" s="1021"/>
      <c r="AR450" s="1021"/>
      <c r="AS450" s="1021"/>
      <c r="AT450" s="1021"/>
      <c r="AU450" s="1021"/>
      <c r="AV450" s="1021"/>
      <c r="AW450" s="1021"/>
      <c r="AX450" s="1021"/>
      <c r="AY450" s="1021"/>
      <c r="AZ450" s="1021"/>
      <c r="BA450" s="1021"/>
      <c r="BB450" s="1021"/>
      <c r="BC450" s="1021"/>
      <c r="BD450" s="1021"/>
      <c r="BE450" s="1021"/>
      <c r="BF450" s="1021"/>
      <c r="BG450" s="1021"/>
      <c r="BH450" s="1021"/>
      <c r="BI450" s="1021"/>
      <c r="BJ450" s="1021"/>
      <c r="BK450" s="1021"/>
      <c r="BL450" s="1021"/>
      <c r="BM450" s="1021"/>
      <c r="BN450" s="1021"/>
      <c r="BO450" s="1021"/>
      <c r="BP450" s="1021"/>
      <c r="BQ450" s="1021"/>
      <c r="BR450" s="1021"/>
      <c r="BS450" s="1021"/>
      <c r="BT450" s="1021"/>
      <c r="BU450" s="1021"/>
      <c r="BV450" s="1021"/>
      <c r="BW450" s="1021"/>
      <c r="BX450" s="1021"/>
      <c r="BY450" s="1021"/>
      <c r="BZ450" s="1021"/>
      <c r="CA450" s="1021"/>
      <c r="CB450" s="1021"/>
      <c r="CC450" s="1021"/>
    </row>
    <row r="451" spans="8:81" x14ac:dyDescent="0.25">
      <c r="H451" s="1021"/>
      <c r="I451" s="1021"/>
      <c r="J451" s="1021"/>
      <c r="K451" s="1021"/>
      <c r="L451" s="1021"/>
      <c r="M451" s="1021"/>
      <c r="N451" s="1021"/>
      <c r="O451" s="1021"/>
      <c r="P451" s="1021"/>
      <c r="Q451" s="1021"/>
      <c r="R451" s="1021"/>
      <c r="S451" s="1021"/>
      <c r="T451" s="1021"/>
      <c r="U451" s="1021"/>
      <c r="V451" s="1021"/>
      <c r="W451" s="1021"/>
      <c r="X451" s="1021"/>
      <c r="Y451" s="1021"/>
      <c r="Z451" s="1021"/>
      <c r="AA451" s="1021"/>
      <c r="AB451" s="1021"/>
      <c r="AC451" s="1021"/>
      <c r="AD451" s="1021"/>
      <c r="AE451" s="1021"/>
      <c r="AF451" s="1021"/>
      <c r="AG451" s="1021"/>
      <c r="AH451" s="1021"/>
      <c r="AI451" s="1021"/>
      <c r="AJ451" s="1021"/>
      <c r="AK451" s="1021"/>
      <c r="AL451" s="1021"/>
      <c r="AM451" s="1021"/>
      <c r="AN451" s="1021"/>
      <c r="AO451" s="1021"/>
      <c r="AP451" s="1021"/>
      <c r="AQ451" s="1021"/>
      <c r="AR451" s="1021"/>
      <c r="AS451" s="1021"/>
      <c r="AT451" s="1021"/>
      <c r="AU451" s="1021"/>
      <c r="AV451" s="1021"/>
      <c r="AW451" s="1021"/>
      <c r="AX451" s="1021"/>
      <c r="AY451" s="1021"/>
      <c r="AZ451" s="1021"/>
      <c r="BA451" s="1021"/>
      <c r="BB451" s="1021"/>
      <c r="BC451" s="1021"/>
      <c r="BD451" s="1021"/>
      <c r="BE451" s="1021"/>
      <c r="BF451" s="1021"/>
      <c r="BG451" s="1021"/>
      <c r="BH451" s="1021"/>
      <c r="BI451" s="1021"/>
      <c r="BJ451" s="1021"/>
      <c r="BK451" s="1021"/>
      <c r="BL451" s="1021"/>
      <c r="BM451" s="1021"/>
      <c r="BN451" s="1021"/>
      <c r="BO451" s="1021"/>
      <c r="BP451" s="1021"/>
      <c r="BQ451" s="1021"/>
      <c r="BR451" s="1021"/>
      <c r="BS451" s="1021"/>
      <c r="BT451" s="1021"/>
      <c r="BU451" s="1021"/>
      <c r="BV451" s="1021"/>
      <c r="BW451" s="1021"/>
      <c r="BX451" s="1021"/>
      <c r="BY451" s="1021"/>
      <c r="BZ451" s="1021"/>
      <c r="CA451" s="1021"/>
      <c r="CB451" s="1021"/>
      <c r="CC451" s="1021"/>
    </row>
    <row r="452" spans="8:81" x14ac:dyDescent="0.25">
      <c r="H452" s="1021"/>
      <c r="I452" s="1021"/>
      <c r="J452" s="1021"/>
      <c r="K452" s="1021"/>
      <c r="L452" s="1021"/>
      <c r="M452" s="1021"/>
      <c r="N452" s="1021"/>
      <c r="O452" s="1021"/>
      <c r="P452" s="1021"/>
      <c r="Q452" s="1021"/>
      <c r="R452" s="1021"/>
      <c r="S452" s="1021"/>
      <c r="T452" s="1021"/>
      <c r="U452" s="1021"/>
      <c r="V452" s="1021"/>
      <c r="W452" s="1021"/>
      <c r="X452" s="1021"/>
      <c r="Y452" s="1021"/>
      <c r="Z452" s="1021"/>
      <c r="AA452" s="1021"/>
      <c r="AB452" s="1021"/>
      <c r="AC452" s="1021"/>
      <c r="AD452" s="1021"/>
      <c r="AE452" s="1021"/>
      <c r="AF452" s="1021"/>
      <c r="AG452" s="1021"/>
      <c r="AH452" s="1021"/>
      <c r="AI452" s="1021"/>
      <c r="AJ452" s="1021"/>
      <c r="AK452" s="1021"/>
      <c r="AL452" s="1021"/>
      <c r="AM452" s="1021"/>
      <c r="AN452" s="1021"/>
      <c r="AO452" s="1021"/>
      <c r="AP452" s="1021"/>
      <c r="AQ452" s="1021"/>
      <c r="AR452" s="1021"/>
      <c r="AS452" s="1021"/>
      <c r="AT452" s="1021"/>
      <c r="AU452" s="1021"/>
      <c r="AV452" s="1021"/>
      <c r="AW452" s="1021"/>
      <c r="AX452" s="1021"/>
      <c r="AY452" s="1021"/>
      <c r="AZ452" s="1021"/>
      <c r="BA452" s="1021"/>
      <c r="BB452" s="1021"/>
      <c r="BC452" s="1021"/>
      <c r="BD452" s="1021"/>
      <c r="BE452" s="1021"/>
      <c r="BF452" s="1021"/>
      <c r="BG452" s="1021"/>
      <c r="BH452" s="1021"/>
      <c r="BI452" s="1021"/>
      <c r="BJ452" s="1021"/>
      <c r="BK452" s="1021"/>
      <c r="BL452" s="1021"/>
      <c r="BM452" s="1021"/>
      <c r="BN452" s="1021"/>
      <c r="BO452" s="1021"/>
      <c r="BP452" s="1021"/>
      <c r="BQ452" s="1021"/>
      <c r="BR452" s="1021"/>
      <c r="BS452" s="1021"/>
      <c r="BT452" s="1021"/>
      <c r="BU452" s="1021"/>
      <c r="BV452" s="1021"/>
      <c r="BW452" s="1021"/>
      <c r="BX452" s="1021"/>
      <c r="BY452" s="1021"/>
      <c r="BZ452" s="1021"/>
      <c r="CA452" s="1021"/>
      <c r="CB452" s="1021"/>
      <c r="CC452" s="1021"/>
    </row>
    <row r="453" spans="8:81" x14ac:dyDescent="0.25">
      <c r="H453" s="1021"/>
      <c r="I453" s="1021"/>
      <c r="J453" s="1021"/>
      <c r="K453" s="1021"/>
      <c r="L453" s="1021"/>
      <c r="M453" s="1021"/>
      <c r="N453" s="1021"/>
      <c r="O453" s="1021"/>
      <c r="P453" s="1021"/>
      <c r="Q453" s="1021"/>
      <c r="R453" s="1021"/>
      <c r="S453" s="1021"/>
      <c r="T453" s="1021"/>
      <c r="U453" s="1021"/>
      <c r="V453" s="1021"/>
      <c r="W453" s="1021"/>
      <c r="X453" s="1021"/>
      <c r="Y453" s="1021"/>
      <c r="Z453" s="1021"/>
      <c r="AA453" s="1021"/>
      <c r="AB453" s="1021"/>
      <c r="AC453" s="1021"/>
      <c r="AD453" s="1021"/>
      <c r="AE453" s="1021"/>
      <c r="AF453" s="1021"/>
      <c r="AG453" s="1021"/>
      <c r="AH453" s="1021"/>
      <c r="AI453" s="1021"/>
      <c r="AJ453" s="1021"/>
      <c r="AK453" s="1021"/>
      <c r="AL453" s="1021"/>
      <c r="AM453" s="1021"/>
      <c r="AN453" s="1021"/>
      <c r="AO453" s="1021"/>
      <c r="AP453" s="1021"/>
      <c r="AQ453" s="1021"/>
      <c r="AR453" s="1021"/>
      <c r="AS453" s="1021"/>
      <c r="AT453" s="1021"/>
      <c r="AU453" s="1021"/>
      <c r="AV453" s="1021"/>
      <c r="AW453" s="1021"/>
      <c r="AX453" s="1021"/>
      <c r="AY453" s="1021"/>
      <c r="AZ453" s="1021"/>
      <c r="BA453" s="1021"/>
      <c r="BB453" s="1021"/>
      <c r="BC453" s="1021"/>
      <c r="BD453" s="1021"/>
      <c r="BE453" s="1021"/>
      <c r="BF453" s="1021"/>
      <c r="BG453" s="1021"/>
      <c r="BH453" s="1021"/>
      <c r="BI453" s="1021"/>
      <c r="BJ453" s="1021"/>
      <c r="BK453" s="1021"/>
      <c r="BL453" s="1021"/>
      <c r="BM453" s="1021"/>
      <c r="BN453" s="1021"/>
      <c r="BO453" s="1021"/>
      <c r="BP453" s="1021"/>
      <c r="BQ453" s="1021"/>
      <c r="BR453" s="1021"/>
      <c r="BS453" s="1021"/>
      <c r="BT453" s="1021"/>
      <c r="BU453" s="1021"/>
      <c r="BV453" s="1021"/>
      <c r="BW453" s="1021"/>
      <c r="BX453" s="1021"/>
      <c r="BY453" s="1021"/>
      <c r="BZ453" s="1021"/>
      <c r="CA453" s="1021"/>
      <c r="CB453" s="1021"/>
      <c r="CC453" s="1021"/>
    </row>
    <row r="454" spans="8:81" x14ac:dyDescent="0.25">
      <c r="H454" s="1021"/>
      <c r="I454" s="1021"/>
      <c r="J454" s="1021"/>
      <c r="K454" s="1021"/>
      <c r="L454" s="1021"/>
      <c r="M454" s="1021"/>
      <c r="N454" s="1021"/>
      <c r="O454" s="1021"/>
      <c r="P454" s="1021"/>
      <c r="Q454" s="1021"/>
      <c r="R454" s="1021"/>
      <c r="S454" s="1021"/>
      <c r="T454" s="1021"/>
      <c r="U454" s="1021"/>
      <c r="V454" s="1021"/>
      <c r="W454" s="1021"/>
      <c r="X454" s="1021"/>
      <c r="Y454" s="1021"/>
      <c r="Z454" s="1021"/>
      <c r="AA454" s="1021"/>
      <c r="AB454" s="1021"/>
      <c r="AC454" s="1021"/>
      <c r="AD454" s="1021"/>
      <c r="AE454" s="1021"/>
      <c r="AF454" s="1021"/>
      <c r="AG454" s="1021"/>
      <c r="AH454" s="1021"/>
      <c r="AI454" s="1021"/>
      <c r="AJ454" s="1021"/>
      <c r="AK454" s="1021"/>
      <c r="AL454" s="1021"/>
      <c r="AM454" s="1021"/>
      <c r="AN454" s="1021"/>
      <c r="AO454" s="1021"/>
      <c r="AP454" s="1021"/>
      <c r="AQ454" s="1021"/>
      <c r="AR454" s="1021"/>
      <c r="AS454" s="1021"/>
      <c r="AT454" s="1021"/>
      <c r="AU454" s="1021"/>
      <c r="AV454" s="1021"/>
      <c r="AW454" s="1021"/>
      <c r="AX454" s="1021"/>
      <c r="AY454" s="1021"/>
      <c r="AZ454" s="1021"/>
      <c r="BA454" s="1021"/>
      <c r="BB454" s="1021"/>
      <c r="BC454" s="1021"/>
      <c r="BD454" s="1021"/>
      <c r="BE454" s="1021"/>
      <c r="BF454" s="1021"/>
      <c r="BG454" s="1021"/>
      <c r="BH454" s="1021"/>
      <c r="BI454" s="1021"/>
      <c r="BJ454" s="1021"/>
      <c r="BK454" s="1021"/>
      <c r="BL454" s="1021"/>
      <c r="BM454" s="1021"/>
      <c r="BN454" s="1021"/>
      <c r="BO454" s="1021"/>
      <c r="BP454" s="1021"/>
      <c r="BQ454" s="1021"/>
      <c r="BR454" s="1021"/>
      <c r="BS454" s="1021"/>
      <c r="BT454" s="1021"/>
      <c r="BU454" s="1021"/>
      <c r="BV454" s="1021"/>
      <c r="BW454" s="1021"/>
      <c r="BX454" s="1021"/>
      <c r="BY454" s="1021"/>
      <c r="BZ454" s="1021"/>
      <c r="CA454" s="1021"/>
      <c r="CB454" s="1021"/>
      <c r="CC454" s="1021"/>
    </row>
    <row r="455" spans="8:81" x14ac:dyDescent="0.25">
      <c r="H455" s="1021"/>
      <c r="I455" s="1021"/>
      <c r="J455" s="1021"/>
      <c r="K455" s="1021"/>
      <c r="L455" s="1021"/>
      <c r="M455" s="1021"/>
      <c r="N455" s="1021"/>
      <c r="O455" s="1021"/>
      <c r="P455" s="1021"/>
      <c r="Q455" s="1021"/>
      <c r="R455" s="1021"/>
      <c r="S455" s="1021"/>
      <c r="T455" s="1021"/>
      <c r="U455" s="1021"/>
      <c r="V455" s="1021"/>
      <c r="W455" s="1021"/>
      <c r="X455" s="1021"/>
      <c r="Y455" s="1021"/>
      <c r="Z455" s="1021"/>
      <c r="AA455" s="1021"/>
      <c r="AB455" s="1021"/>
      <c r="AC455" s="1021"/>
      <c r="AD455" s="1021"/>
      <c r="AE455" s="1021"/>
      <c r="AF455" s="1021"/>
      <c r="AG455" s="1021"/>
      <c r="AH455" s="1021"/>
      <c r="AI455" s="1021"/>
      <c r="AJ455" s="1021"/>
      <c r="AK455" s="1021"/>
      <c r="AL455" s="1021"/>
      <c r="AM455" s="1021"/>
      <c r="AN455" s="1021"/>
      <c r="AO455" s="1021"/>
      <c r="AP455" s="1021"/>
      <c r="AQ455" s="1021"/>
      <c r="AR455" s="1021"/>
      <c r="AS455" s="1021"/>
      <c r="AT455" s="1021"/>
      <c r="AU455" s="1021"/>
      <c r="AV455" s="1021"/>
      <c r="AW455" s="1021"/>
      <c r="AX455" s="1021"/>
      <c r="AY455" s="1021"/>
      <c r="AZ455" s="1021"/>
      <c r="BA455" s="1021"/>
      <c r="BB455" s="1021"/>
      <c r="BC455" s="1021"/>
      <c r="BD455" s="1021"/>
      <c r="BE455" s="1021"/>
      <c r="BF455" s="1021"/>
      <c r="BG455" s="1021"/>
      <c r="BH455" s="1021"/>
      <c r="BI455" s="1021"/>
      <c r="BJ455" s="1021"/>
      <c r="BK455" s="1021"/>
      <c r="BL455" s="1021"/>
      <c r="BM455" s="1021"/>
      <c r="BN455" s="1021"/>
      <c r="BO455" s="1021"/>
      <c r="BP455" s="1021"/>
      <c r="BQ455" s="1021"/>
      <c r="BR455" s="1021"/>
      <c r="BS455" s="1021"/>
      <c r="BT455" s="1021"/>
      <c r="BU455" s="1021"/>
      <c r="BV455" s="1021"/>
      <c r="BW455" s="1021"/>
      <c r="BX455" s="1021"/>
      <c r="BY455" s="1021"/>
      <c r="BZ455" s="1021"/>
      <c r="CA455" s="1021"/>
      <c r="CB455" s="1021"/>
      <c r="CC455" s="1021"/>
    </row>
    <row r="456" spans="8:81" x14ac:dyDescent="0.25">
      <c r="H456" s="1021"/>
      <c r="I456" s="1021"/>
      <c r="J456" s="1021"/>
      <c r="K456" s="1021"/>
      <c r="L456" s="1021"/>
      <c r="M456" s="1021"/>
      <c r="N456" s="1021"/>
      <c r="O456" s="1021"/>
      <c r="P456" s="1021"/>
      <c r="Q456" s="1021"/>
      <c r="R456" s="1021"/>
      <c r="S456" s="1021"/>
      <c r="T456" s="1021"/>
      <c r="U456" s="1021"/>
      <c r="V456" s="1021"/>
      <c r="W456" s="1021"/>
      <c r="X456" s="1021"/>
      <c r="Y456" s="1021"/>
      <c r="Z456" s="1021"/>
      <c r="AA456" s="1021"/>
      <c r="AB456" s="1021"/>
      <c r="AC456" s="1021"/>
      <c r="AD456" s="1021"/>
      <c r="AE456" s="1021"/>
      <c r="AF456" s="1021"/>
      <c r="AG456" s="1021"/>
      <c r="AH456" s="1021"/>
      <c r="AI456" s="1021"/>
      <c r="AJ456" s="1021"/>
      <c r="AK456" s="1021"/>
      <c r="AL456" s="1021"/>
      <c r="AM456" s="1021"/>
      <c r="AN456" s="1021"/>
      <c r="AO456" s="1021"/>
      <c r="AP456" s="1021"/>
      <c r="AQ456" s="1021"/>
      <c r="AR456" s="1021"/>
      <c r="AS456" s="1021"/>
      <c r="AT456" s="1021"/>
      <c r="AU456" s="1021"/>
      <c r="AV456" s="1021"/>
      <c r="AW456" s="1021"/>
      <c r="AX456" s="1021"/>
      <c r="AY456" s="1021"/>
      <c r="AZ456" s="1021"/>
      <c r="BA456" s="1021"/>
      <c r="BB456" s="1021"/>
      <c r="BC456" s="1021"/>
      <c r="BD456" s="1021"/>
      <c r="BE456" s="1021"/>
      <c r="BF456" s="1021"/>
      <c r="BG456" s="1021"/>
      <c r="BH456" s="1021"/>
      <c r="BI456" s="1021"/>
      <c r="BJ456" s="1021"/>
      <c r="BK456" s="1021"/>
      <c r="BL456" s="1021"/>
      <c r="BM456" s="1021"/>
      <c r="BN456" s="1021"/>
      <c r="BO456" s="1021"/>
      <c r="BP456" s="1021"/>
      <c r="BQ456" s="1021"/>
      <c r="BR456" s="1021"/>
      <c r="BS456" s="1021"/>
      <c r="BT456" s="1021"/>
      <c r="BU456" s="1021"/>
      <c r="BV456" s="1021"/>
      <c r="BW456" s="1021"/>
      <c r="BX456" s="1021"/>
      <c r="BY456" s="1021"/>
      <c r="BZ456" s="1021"/>
      <c r="CA456" s="1021"/>
      <c r="CB456" s="1021"/>
      <c r="CC456" s="1021"/>
    </row>
    <row r="457" spans="8:81" x14ac:dyDescent="0.25">
      <c r="H457" s="1021"/>
      <c r="I457" s="1021"/>
      <c r="J457" s="1021"/>
      <c r="K457" s="1021"/>
      <c r="L457" s="1021"/>
      <c r="M457" s="1021"/>
      <c r="N457" s="1021"/>
      <c r="O457" s="1021"/>
      <c r="P457" s="1021"/>
      <c r="Q457" s="1021"/>
      <c r="R457" s="1021"/>
      <c r="S457" s="1021"/>
      <c r="T457" s="1021"/>
      <c r="U457" s="1021"/>
      <c r="V457" s="1021"/>
      <c r="W457" s="1021"/>
      <c r="X457" s="1021"/>
      <c r="Y457" s="1021"/>
      <c r="Z457" s="1021"/>
      <c r="AA457" s="1021"/>
      <c r="AB457" s="1021"/>
      <c r="AC457" s="1021"/>
      <c r="AD457" s="1021"/>
      <c r="AE457" s="1021"/>
      <c r="AF457" s="1021"/>
      <c r="AG457" s="1021"/>
      <c r="AH457" s="1021"/>
      <c r="AI457" s="1021"/>
      <c r="AJ457" s="1021"/>
      <c r="AK457" s="1021"/>
      <c r="AL457" s="1021"/>
      <c r="AM457" s="1021"/>
      <c r="AN457" s="1021"/>
      <c r="AO457" s="1021"/>
      <c r="AP457" s="1021"/>
      <c r="AQ457" s="1021"/>
      <c r="AR457" s="1021"/>
      <c r="AS457" s="1021"/>
      <c r="AT457" s="1021"/>
      <c r="AU457" s="1021"/>
      <c r="AV457" s="1021"/>
      <c r="AW457" s="1021"/>
      <c r="AX457" s="1021"/>
      <c r="AY457" s="1021"/>
      <c r="AZ457" s="1021"/>
      <c r="BA457" s="1021"/>
      <c r="BB457" s="1021"/>
      <c r="BC457" s="1021"/>
      <c r="BD457" s="1021"/>
      <c r="BE457" s="1021"/>
      <c r="BF457" s="1021"/>
      <c r="BG457" s="1021"/>
      <c r="BH457" s="1021"/>
      <c r="BI457" s="1021"/>
      <c r="BJ457" s="1021"/>
      <c r="BK457" s="1021"/>
      <c r="BL457" s="1021"/>
      <c r="BM457" s="1021"/>
      <c r="BN457" s="1021"/>
      <c r="BO457" s="1021"/>
      <c r="BP457" s="1021"/>
      <c r="BQ457" s="1021"/>
      <c r="BR457" s="1021"/>
      <c r="BS457" s="1021"/>
      <c r="BT457" s="1021"/>
      <c r="BU457" s="1021"/>
      <c r="BV457" s="1021"/>
      <c r="BW457" s="1021"/>
      <c r="BX457" s="1021"/>
      <c r="BY457" s="1021"/>
      <c r="BZ457" s="1021"/>
      <c r="CA457" s="1021"/>
      <c r="CB457" s="1021"/>
      <c r="CC457" s="1021"/>
    </row>
    <row r="458" spans="8:81" x14ac:dyDescent="0.25">
      <c r="H458" s="1021"/>
      <c r="I458" s="1021"/>
      <c r="J458" s="1021"/>
      <c r="K458" s="1021"/>
      <c r="L458" s="1021"/>
      <c r="M458" s="1021"/>
      <c r="N458" s="1021"/>
      <c r="O458" s="1021"/>
      <c r="P458" s="1021"/>
      <c r="Q458" s="1021"/>
      <c r="R458" s="1021"/>
      <c r="S458" s="1021"/>
      <c r="T458" s="1021"/>
      <c r="U458" s="1021"/>
      <c r="V458" s="1021"/>
      <c r="W458" s="1021"/>
      <c r="X458" s="1021"/>
      <c r="Y458" s="1021"/>
      <c r="Z458" s="1021"/>
      <c r="AA458" s="1021"/>
      <c r="AB458" s="1021"/>
      <c r="AC458" s="1021"/>
      <c r="AD458" s="1021"/>
      <c r="AE458" s="1021"/>
      <c r="AF458" s="1021"/>
      <c r="AG458" s="1021"/>
      <c r="AH458" s="1021"/>
      <c r="AI458" s="1021"/>
      <c r="AJ458" s="1021"/>
      <c r="AK458" s="1021"/>
      <c r="AL458" s="1021"/>
      <c r="AM458" s="1021"/>
      <c r="AN458" s="1021"/>
      <c r="AO458" s="1021"/>
      <c r="AP458" s="1021"/>
      <c r="AQ458" s="1021"/>
      <c r="AR458" s="1021"/>
      <c r="AS458" s="1021"/>
      <c r="AT458" s="1021"/>
      <c r="AU458" s="1021"/>
      <c r="AV458" s="1021"/>
      <c r="AW458" s="1021"/>
      <c r="AX458" s="1021"/>
      <c r="AY458" s="1021"/>
      <c r="AZ458" s="1021"/>
      <c r="BA458" s="1021"/>
      <c r="BB458" s="1021"/>
      <c r="BC458" s="1021"/>
      <c r="BD458" s="1021"/>
      <c r="BE458" s="1021"/>
      <c r="BF458" s="1021"/>
      <c r="BG458" s="1021"/>
      <c r="BH458" s="1021"/>
      <c r="BI458" s="1021"/>
      <c r="BJ458" s="1021"/>
      <c r="BK458" s="1021"/>
      <c r="BL458" s="1021"/>
      <c r="BM458" s="1021"/>
      <c r="BN458" s="1021"/>
      <c r="BO458" s="1021"/>
      <c r="BP458" s="1021"/>
      <c r="BQ458" s="1021"/>
      <c r="BR458" s="1021"/>
      <c r="BS458" s="1021"/>
      <c r="BT458" s="1021"/>
      <c r="BU458" s="1021"/>
      <c r="BV458" s="1021"/>
      <c r="BW458" s="1021"/>
      <c r="BX458" s="1021"/>
      <c r="BY458" s="1021"/>
      <c r="BZ458" s="1021"/>
      <c r="CA458" s="1021"/>
      <c r="CB458" s="1021"/>
      <c r="CC458" s="1021"/>
    </row>
    <row r="459" spans="8:81" x14ac:dyDescent="0.25">
      <c r="H459" s="1021"/>
      <c r="I459" s="1021"/>
      <c r="J459" s="1021"/>
      <c r="K459" s="1021"/>
      <c r="L459" s="1021"/>
      <c r="M459" s="1021"/>
      <c r="N459" s="1021"/>
      <c r="O459" s="1021"/>
      <c r="P459" s="1021"/>
      <c r="Q459" s="1021"/>
      <c r="R459" s="1021"/>
      <c r="S459" s="1021"/>
      <c r="T459" s="1021"/>
      <c r="U459" s="1021"/>
      <c r="V459" s="1021"/>
      <c r="W459" s="1021"/>
      <c r="X459" s="1021"/>
      <c r="Y459" s="1021"/>
      <c r="Z459" s="1021"/>
      <c r="AA459" s="1021"/>
      <c r="AB459" s="1021"/>
      <c r="AC459" s="1021"/>
      <c r="AD459" s="1021"/>
      <c r="AE459" s="1021"/>
      <c r="AF459" s="1021"/>
      <c r="AG459" s="1021"/>
      <c r="AH459" s="1021"/>
      <c r="AI459" s="1021"/>
      <c r="AJ459" s="1021"/>
      <c r="AK459" s="1021"/>
      <c r="AL459" s="1021"/>
      <c r="AM459" s="1021"/>
      <c r="AN459" s="1021"/>
      <c r="AO459" s="1021"/>
      <c r="AP459" s="1021"/>
      <c r="AQ459" s="1021"/>
      <c r="AR459" s="1021"/>
      <c r="AS459" s="1021"/>
      <c r="AT459" s="1021"/>
      <c r="AU459" s="1021"/>
      <c r="AV459" s="1021"/>
      <c r="AW459" s="1021"/>
      <c r="AX459" s="1021"/>
      <c r="AY459" s="1021"/>
      <c r="AZ459" s="1021"/>
      <c r="BA459" s="1021"/>
      <c r="BB459" s="1021"/>
      <c r="BC459" s="1021"/>
      <c r="BD459" s="1021"/>
      <c r="BE459" s="1021"/>
      <c r="BF459" s="1021"/>
      <c r="BG459" s="1021"/>
      <c r="BH459" s="1021"/>
      <c r="BI459" s="1021"/>
      <c r="BJ459" s="1021"/>
      <c r="BK459" s="1021"/>
      <c r="BL459" s="1021"/>
      <c r="BM459" s="1021"/>
      <c r="BN459" s="1021"/>
      <c r="BO459" s="1021"/>
      <c r="BP459" s="1021"/>
      <c r="BQ459" s="1021"/>
      <c r="BR459" s="1021"/>
      <c r="BS459" s="1021"/>
      <c r="BT459" s="1021"/>
      <c r="BU459" s="1021"/>
      <c r="BV459" s="1021"/>
      <c r="BW459" s="1021"/>
      <c r="BX459" s="1021"/>
      <c r="BY459" s="1021"/>
      <c r="BZ459" s="1021"/>
      <c r="CA459" s="1021"/>
      <c r="CB459" s="1021"/>
      <c r="CC459" s="1021"/>
    </row>
    <row r="460" spans="8:81" x14ac:dyDescent="0.25">
      <c r="H460" s="1021"/>
      <c r="I460" s="1021"/>
      <c r="J460" s="1021"/>
      <c r="K460" s="1021"/>
      <c r="L460" s="1021"/>
      <c r="M460" s="1021"/>
      <c r="N460" s="1021"/>
      <c r="O460" s="1021"/>
      <c r="P460" s="1021"/>
      <c r="Q460" s="1021"/>
      <c r="R460" s="1021"/>
      <c r="S460" s="1021"/>
      <c r="T460" s="1021"/>
      <c r="U460" s="1021"/>
      <c r="V460" s="1021"/>
      <c r="W460" s="1021"/>
      <c r="X460" s="1021"/>
      <c r="Y460" s="1021"/>
      <c r="Z460" s="1021"/>
      <c r="AA460" s="1021"/>
      <c r="AB460" s="1021"/>
      <c r="AC460" s="1021"/>
      <c r="AD460" s="1021"/>
      <c r="AE460" s="1021"/>
      <c r="AF460" s="1021"/>
      <c r="AG460" s="1021"/>
      <c r="AH460" s="1021"/>
      <c r="AI460" s="1021"/>
      <c r="AJ460" s="1021"/>
      <c r="AK460" s="1021"/>
      <c r="AL460" s="1021"/>
      <c r="AM460" s="1021"/>
      <c r="AN460" s="1021"/>
      <c r="AO460" s="1021"/>
      <c r="AP460" s="1021"/>
      <c r="AQ460" s="1021"/>
      <c r="AR460" s="1021"/>
      <c r="AS460" s="1021"/>
      <c r="AT460" s="1021"/>
      <c r="AU460" s="1021"/>
      <c r="AV460" s="1021"/>
      <c r="AW460" s="1021"/>
      <c r="AX460" s="1021"/>
      <c r="AY460" s="1021"/>
      <c r="AZ460" s="1021"/>
      <c r="BA460" s="1021"/>
      <c r="BB460" s="1021"/>
      <c r="BC460" s="1021"/>
      <c r="BD460" s="1021"/>
      <c r="BE460" s="1021"/>
      <c r="BF460" s="1021"/>
      <c r="BG460" s="1021"/>
      <c r="BH460" s="1021"/>
      <c r="BI460" s="1021"/>
      <c r="BJ460" s="1021"/>
      <c r="BK460" s="1021"/>
      <c r="BL460" s="1021"/>
      <c r="BM460" s="1021"/>
      <c r="BN460" s="1021"/>
      <c r="BO460" s="1021"/>
      <c r="BP460" s="1021"/>
      <c r="BQ460" s="1021"/>
      <c r="BR460" s="1021"/>
      <c r="BS460" s="1021"/>
      <c r="BT460" s="1021"/>
      <c r="BU460" s="1021"/>
      <c r="BV460" s="1021"/>
      <c r="BW460" s="1021"/>
      <c r="BX460" s="1021"/>
      <c r="BY460" s="1021"/>
      <c r="BZ460" s="1021"/>
      <c r="CA460" s="1021"/>
      <c r="CB460" s="1021"/>
      <c r="CC460" s="1021"/>
    </row>
    <row r="461" spans="8:81" x14ac:dyDescent="0.25">
      <c r="H461" s="1021"/>
      <c r="I461" s="1021"/>
      <c r="J461" s="1021"/>
      <c r="K461" s="1021"/>
      <c r="L461" s="1021"/>
      <c r="M461" s="1021"/>
      <c r="N461" s="1021"/>
      <c r="O461" s="1021"/>
      <c r="P461" s="1021"/>
      <c r="Q461" s="1021"/>
      <c r="R461" s="1021"/>
      <c r="S461" s="1021"/>
      <c r="T461" s="1021"/>
      <c r="U461" s="1021"/>
      <c r="V461" s="1021"/>
      <c r="W461" s="1021"/>
      <c r="X461" s="1021"/>
      <c r="Y461" s="1021"/>
      <c r="Z461" s="1021"/>
      <c r="AA461" s="1021"/>
      <c r="AB461" s="1021"/>
      <c r="AC461" s="1021"/>
      <c r="AD461" s="1021"/>
      <c r="AE461" s="1021"/>
      <c r="AF461" s="1021"/>
      <c r="AG461" s="1021"/>
      <c r="AH461" s="1021"/>
      <c r="AI461" s="1021"/>
      <c r="AJ461" s="1021"/>
      <c r="AK461" s="1021"/>
      <c r="AL461" s="1021"/>
      <c r="AM461" s="1021"/>
      <c r="AN461" s="1021"/>
      <c r="AO461" s="1021"/>
      <c r="AP461" s="1021"/>
      <c r="AQ461" s="1021"/>
      <c r="AR461" s="1021"/>
      <c r="AS461" s="1021"/>
      <c r="AT461" s="1021"/>
      <c r="AU461" s="1021"/>
      <c r="AV461" s="1021"/>
      <c r="AW461" s="1021"/>
      <c r="AX461" s="1021"/>
      <c r="AY461" s="1021"/>
      <c r="AZ461" s="1021"/>
      <c r="BA461" s="1021"/>
      <c r="BB461" s="1021"/>
      <c r="BC461" s="1021"/>
      <c r="BD461" s="1021"/>
      <c r="BE461" s="1021"/>
      <c r="BF461" s="1021"/>
      <c r="BG461" s="1021"/>
      <c r="BH461" s="1021"/>
      <c r="BI461" s="1021"/>
      <c r="BJ461" s="1021"/>
      <c r="BK461" s="1021"/>
      <c r="BL461" s="1021"/>
      <c r="BM461" s="1021"/>
      <c r="BN461" s="1021"/>
      <c r="BO461" s="1021"/>
      <c r="BP461" s="1021"/>
      <c r="BQ461" s="1021"/>
      <c r="BR461" s="1021"/>
      <c r="BS461" s="1021"/>
      <c r="BT461" s="1021"/>
      <c r="BU461" s="1021"/>
      <c r="BV461" s="1021"/>
      <c r="BW461" s="1021"/>
      <c r="BX461" s="1021"/>
      <c r="BY461" s="1021"/>
      <c r="BZ461" s="1021"/>
      <c r="CA461" s="1021"/>
      <c r="CB461" s="1021"/>
      <c r="CC461" s="1021"/>
    </row>
    <row r="462" spans="8:81" x14ac:dyDescent="0.25">
      <c r="H462" s="1021"/>
      <c r="I462" s="1021"/>
      <c r="J462" s="1021"/>
      <c r="K462" s="1021"/>
      <c r="L462" s="1021"/>
      <c r="M462" s="1021"/>
      <c r="N462" s="1021"/>
      <c r="O462" s="1021"/>
      <c r="P462" s="1021"/>
      <c r="Q462" s="1021"/>
      <c r="R462" s="1021"/>
      <c r="S462" s="1021"/>
      <c r="T462" s="1021"/>
      <c r="U462" s="1021"/>
      <c r="V462" s="1021"/>
      <c r="W462" s="1021"/>
      <c r="X462" s="1021"/>
      <c r="Y462" s="1021"/>
      <c r="Z462" s="1021"/>
      <c r="AA462" s="1021"/>
      <c r="AB462" s="1021"/>
      <c r="AC462" s="1021"/>
      <c r="AD462" s="1021"/>
      <c r="AE462" s="1021"/>
      <c r="AF462" s="1021"/>
      <c r="AG462" s="1021"/>
      <c r="AH462" s="1021"/>
      <c r="AI462" s="1021"/>
      <c r="AJ462" s="1021"/>
      <c r="AK462" s="1021"/>
      <c r="AL462" s="1021"/>
      <c r="AM462" s="1021"/>
      <c r="AN462" s="1021"/>
      <c r="AO462" s="1021"/>
      <c r="AP462" s="1021"/>
      <c r="AQ462" s="1021"/>
      <c r="AR462" s="1021"/>
      <c r="AS462" s="1021"/>
      <c r="AT462" s="1021"/>
      <c r="AU462" s="1021"/>
      <c r="AV462" s="1021"/>
      <c r="AW462" s="1021"/>
      <c r="AX462" s="1021"/>
      <c r="AY462" s="1021"/>
      <c r="AZ462" s="1021"/>
      <c r="BA462" s="1021"/>
      <c r="BB462" s="1021"/>
      <c r="BC462" s="1021"/>
      <c r="BD462" s="1021"/>
      <c r="BE462" s="1021"/>
      <c r="BF462" s="1021"/>
      <c r="BG462" s="1021"/>
      <c r="BH462" s="1021"/>
      <c r="BI462" s="1021"/>
      <c r="BJ462" s="1021"/>
      <c r="BK462" s="1021"/>
      <c r="BL462" s="1021"/>
      <c r="BM462" s="1021"/>
      <c r="BN462" s="1021"/>
      <c r="BO462" s="1021"/>
      <c r="BP462" s="1021"/>
      <c r="BQ462" s="1021"/>
      <c r="BR462" s="1021"/>
      <c r="BS462" s="1021"/>
      <c r="BT462" s="1021"/>
      <c r="BU462" s="1021"/>
      <c r="BV462" s="1021"/>
      <c r="BW462" s="1021"/>
      <c r="BX462" s="1021"/>
      <c r="BY462" s="1021"/>
      <c r="BZ462" s="1021"/>
      <c r="CA462" s="1021"/>
      <c r="CB462" s="1021"/>
      <c r="CC462" s="1021"/>
    </row>
    <row r="463" spans="8:81" x14ac:dyDescent="0.25">
      <c r="H463" s="1021"/>
      <c r="I463" s="1021"/>
      <c r="J463" s="1021"/>
      <c r="K463" s="1021"/>
      <c r="L463" s="1021"/>
      <c r="M463" s="1021"/>
      <c r="N463" s="1021"/>
      <c r="O463" s="1021"/>
      <c r="P463" s="1021"/>
      <c r="Q463" s="1021"/>
      <c r="R463" s="1021"/>
      <c r="S463" s="1021"/>
      <c r="T463" s="1021"/>
      <c r="U463" s="1021"/>
      <c r="V463" s="1021"/>
      <c r="W463" s="1021"/>
      <c r="X463" s="1021"/>
      <c r="Y463" s="1021"/>
      <c r="Z463" s="1021"/>
      <c r="AA463" s="1021"/>
      <c r="AB463" s="1021"/>
      <c r="AC463" s="1021"/>
      <c r="AD463" s="1021"/>
      <c r="AE463" s="1021"/>
      <c r="AF463" s="1021"/>
      <c r="AG463" s="1021"/>
      <c r="AH463" s="1021"/>
      <c r="AI463" s="1021"/>
      <c r="AJ463" s="1021"/>
      <c r="AK463" s="1021"/>
      <c r="AL463" s="1021"/>
      <c r="AM463" s="1021"/>
      <c r="AN463" s="1021"/>
      <c r="AO463" s="1021"/>
      <c r="AP463" s="1021"/>
      <c r="AQ463" s="1021"/>
      <c r="AR463" s="1021"/>
      <c r="AS463" s="1021"/>
      <c r="AT463" s="1021"/>
      <c r="AU463" s="1021"/>
      <c r="AV463" s="1021"/>
      <c r="AW463" s="1021"/>
      <c r="AX463" s="1021"/>
      <c r="AY463" s="1021"/>
      <c r="AZ463" s="1021"/>
      <c r="BA463" s="1021"/>
      <c r="BB463" s="1021"/>
      <c r="BC463" s="1021"/>
      <c r="BD463" s="1021"/>
      <c r="BE463" s="1021"/>
      <c r="BF463" s="1021"/>
      <c r="BG463" s="1021"/>
      <c r="BH463" s="1021"/>
      <c r="BI463" s="1021"/>
      <c r="BJ463" s="1021"/>
      <c r="BK463" s="1021"/>
      <c r="BL463" s="1021"/>
      <c r="BM463" s="1021"/>
      <c r="BN463" s="1021"/>
      <c r="BO463" s="1021"/>
      <c r="BP463" s="1021"/>
      <c r="BQ463" s="1021"/>
      <c r="BR463" s="1021"/>
      <c r="BS463" s="1021"/>
      <c r="BT463" s="1021"/>
      <c r="BU463" s="1021"/>
      <c r="BV463" s="1021"/>
      <c r="BW463" s="1021"/>
      <c r="BX463" s="1021"/>
      <c r="BY463" s="1021"/>
      <c r="BZ463" s="1021"/>
      <c r="CA463" s="1021"/>
      <c r="CB463" s="1021"/>
      <c r="CC463" s="1021"/>
    </row>
    <row r="464" spans="8:81" x14ac:dyDescent="0.25">
      <c r="H464" s="1021"/>
      <c r="I464" s="1021"/>
      <c r="J464" s="1021"/>
      <c r="K464" s="1021"/>
      <c r="L464" s="1021"/>
      <c r="M464" s="1021"/>
      <c r="N464" s="1021"/>
      <c r="O464" s="1021"/>
      <c r="P464" s="1021"/>
      <c r="Q464" s="1021"/>
      <c r="R464" s="1021"/>
      <c r="S464" s="1021"/>
      <c r="T464" s="1021"/>
      <c r="U464" s="1021"/>
      <c r="V464" s="1021"/>
      <c r="W464" s="1021"/>
      <c r="X464" s="1021"/>
      <c r="Y464" s="1021"/>
      <c r="Z464" s="1021"/>
      <c r="AA464" s="1021"/>
      <c r="AB464" s="1021"/>
      <c r="AC464" s="1021"/>
      <c r="AD464" s="1021"/>
      <c r="AE464" s="1021"/>
      <c r="AF464" s="1021"/>
      <c r="AG464" s="1021"/>
      <c r="AH464" s="1021"/>
      <c r="AI464" s="1021"/>
      <c r="AJ464" s="1021"/>
      <c r="AK464" s="1021"/>
      <c r="AL464" s="1021"/>
      <c r="AM464" s="1021"/>
      <c r="AN464" s="1021"/>
      <c r="AO464" s="1021"/>
      <c r="AP464" s="1021"/>
      <c r="AQ464" s="1021"/>
      <c r="AR464" s="1021"/>
      <c r="AS464" s="1021"/>
      <c r="AT464" s="1021"/>
      <c r="AU464" s="1021"/>
      <c r="AV464" s="1021"/>
      <c r="AW464" s="1021"/>
      <c r="AX464" s="1021"/>
      <c r="AY464" s="1021"/>
      <c r="AZ464" s="1021"/>
      <c r="BA464" s="1021"/>
      <c r="BB464" s="1021"/>
      <c r="BC464" s="1021"/>
      <c r="BD464" s="1021"/>
      <c r="BE464" s="1021"/>
      <c r="BF464" s="1021"/>
      <c r="BG464" s="1021"/>
      <c r="BH464" s="1021"/>
      <c r="BI464" s="1021"/>
      <c r="BJ464" s="1021"/>
      <c r="BK464" s="1021"/>
      <c r="BL464" s="1021"/>
      <c r="BM464" s="1021"/>
      <c r="BN464" s="1021"/>
      <c r="BO464" s="1021"/>
      <c r="BP464" s="1021"/>
      <c r="BQ464" s="1021"/>
      <c r="BR464" s="1021"/>
      <c r="BS464" s="1021"/>
      <c r="BT464" s="1021"/>
      <c r="BU464" s="1021"/>
      <c r="BV464" s="1021"/>
      <c r="BW464" s="1021"/>
      <c r="BX464" s="1021"/>
      <c r="BY464" s="1021"/>
      <c r="BZ464" s="1021"/>
      <c r="CA464" s="1021"/>
      <c r="CB464" s="1021"/>
      <c r="CC464" s="1021"/>
    </row>
    <row r="465" spans="8:81" x14ac:dyDescent="0.25">
      <c r="H465" s="1021"/>
      <c r="I465" s="1021"/>
      <c r="J465" s="1021"/>
      <c r="K465" s="1021"/>
      <c r="L465" s="1021"/>
      <c r="M465" s="1021"/>
      <c r="N465" s="1021"/>
      <c r="O465" s="1021"/>
      <c r="P465" s="1021"/>
      <c r="Q465" s="1021"/>
      <c r="R465" s="1021"/>
      <c r="S465" s="1021"/>
      <c r="T465" s="1021"/>
      <c r="U465" s="1021"/>
      <c r="V465" s="1021"/>
      <c r="W465" s="1021"/>
      <c r="X465" s="1021"/>
      <c r="Y465" s="1021"/>
      <c r="Z465" s="1021"/>
      <c r="AA465" s="1021"/>
      <c r="AB465" s="1021"/>
      <c r="AC465" s="1021"/>
      <c r="AD465" s="1021"/>
      <c r="AE465" s="1021"/>
      <c r="AF465" s="1021"/>
      <c r="AG465" s="1021"/>
      <c r="AH465" s="1021"/>
      <c r="AI465" s="1021"/>
      <c r="AJ465" s="1021"/>
      <c r="AK465" s="1021"/>
      <c r="AL465" s="1021"/>
      <c r="AM465" s="1021"/>
      <c r="AN465" s="1021"/>
      <c r="AO465" s="1021"/>
      <c r="AP465" s="1021"/>
      <c r="AQ465" s="1021"/>
      <c r="AR465" s="1021"/>
      <c r="AS465" s="1021"/>
      <c r="AT465" s="1021"/>
      <c r="AU465" s="1021"/>
      <c r="AV465" s="1021"/>
      <c r="AW465" s="1021"/>
      <c r="AX465" s="1021"/>
      <c r="AY465" s="1021"/>
      <c r="AZ465" s="1021"/>
      <c r="BA465" s="1021"/>
      <c r="BB465" s="1021"/>
      <c r="BC465" s="1021"/>
      <c r="BD465" s="1021"/>
      <c r="BE465" s="1021"/>
      <c r="BF465" s="1021"/>
      <c r="BG465" s="1021"/>
      <c r="BH465" s="1021"/>
      <c r="BI465" s="1021"/>
      <c r="BJ465" s="1021"/>
      <c r="BK465" s="1021"/>
      <c r="BL465" s="1021"/>
      <c r="BM465" s="1021"/>
      <c r="BN465" s="1021"/>
      <c r="BO465" s="1021"/>
      <c r="BP465" s="1021"/>
      <c r="BQ465" s="1021"/>
      <c r="BR465" s="1021"/>
      <c r="BS465" s="1021"/>
      <c r="BT465" s="1021"/>
      <c r="BU465" s="1021"/>
      <c r="BV465" s="1021"/>
      <c r="BW465" s="1021"/>
      <c r="BX465" s="1021"/>
      <c r="BY465" s="1021"/>
      <c r="BZ465" s="1021"/>
      <c r="CA465" s="1021"/>
      <c r="CB465" s="1021"/>
      <c r="CC465" s="1021"/>
    </row>
    <row r="466" spans="8:81" x14ac:dyDescent="0.25">
      <c r="H466" s="1021"/>
      <c r="I466" s="1021"/>
      <c r="J466" s="1021"/>
      <c r="K466" s="1021"/>
      <c r="L466" s="1021"/>
      <c r="M466" s="1021"/>
      <c r="N466" s="1021"/>
      <c r="O466" s="1021"/>
      <c r="P466" s="1021"/>
      <c r="Q466" s="1021"/>
      <c r="R466" s="1021"/>
      <c r="S466" s="1021"/>
      <c r="T466" s="1021"/>
      <c r="U466" s="1021"/>
      <c r="V466" s="1021"/>
      <c r="W466" s="1021"/>
      <c r="X466" s="1021"/>
      <c r="Y466" s="1021"/>
      <c r="Z466" s="1021"/>
      <c r="AA466" s="1021"/>
      <c r="AB466" s="1021"/>
      <c r="AC466" s="1021"/>
      <c r="AD466" s="1021"/>
      <c r="AE466" s="1021"/>
      <c r="AF466" s="1021"/>
      <c r="AG466" s="1021"/>
      <c r="AH466" s="1021"/>
      <c r="AI466" s="1021"/>
      <c r="AJ466" s="1021"/>
      <c r="AK466" s="1021"/>
      <c r="AL466" s="1021"/>
      <c r="AM466" s="1021"/>
      <c r="AN466" s="1021"/>
      <c r="AO466" s="1021"/>
      <c r="AP466" s="1021"/>
      <c r="AQ466" s="1021"/>
      <c r="AR466" s="1021"/>
      <c r="AS466" s="1021"/>
      <c r="AT466" s="1021"/>
      <c r="AU466" s="1021"/>
      <c r="AV466" s="1021"/>
      <c r="AW466" s="1021"/>
      <c r="AX466" s="1021"/>
      <c r="AY466" s="1021"/>
      <c r="AZ466" s="1021"/>
      <c r="BA466" s="1021"/>
      <c r="BB466" s="1021"/>
      <c r="BC466" s="1021"/>
      <c r="BD466" s="1021"/>
      <c r="BE466" s="1021"/>
      <c r="BF466" s="1021"/>
      <c r="BG466" s="1021"/>
      <c r="BH466" s="1021"/>
      <c r="BI466" s="1021"/>
      <c r="BJ466" s="1021"/>
      <c r="BK466" s="1021"/>
      <c r="BL466" s="1021"/>
      <c r="BM466" s="1021"/>
      <c r="BN466" s="1021"/>
      <c r="BO466" s="1021"/>
      <c r="BP466" s="1021"/>
      <c r="BQ466" s="1021"/>
      <c r="BR466" s="1021"/>
      <c r="BS466" s="1021"/>
      <c r="BT466" s="1021"/>
      <c r="BU466" s="1021"/>
      <c r="BV466" s="1021"/>
      <c r="BW466" s="1021"/>
      <c r="BX466" s="1021"/>
      <c r="BY466" s="1021"/>
      <c r="BZ466" s="1021"/>
      <c r="CA466" s="1021"/>
      <c r="CB466" s="1021"/>
      <c r="CC466" s="1021"/>
    </row>
    <row r="467" spans="8:81" x14ac:dyDescent="0.25">
      <c r="H467" s="1021"/>
      <c r="I467" s="1021"/>
      <c r="J467" s="1021"/>
      <c r="K467" s="1021"/>
      <c r="L467" s="1021"/>
      <c r="M467" s="1021"/>
      <c r="N467" s="1021"/>
      <c r="O467" s="1021"/>
      <c r="P467" s="1021"/>
      <c r="Q467" s="1021"/>
      <c r="R467" s="1021"/>
      <c r="S467" s="1021"/>
      <c r="T467" s="1021"/>
      <c r="U467" s="1021"/>
      <c r="V467" s="1021"/>
      <c r="W467" s="1021"/>
      <c r="X467" s="1021"/>
      <c r="Y467" s="1021"/>
      <c r="Z467" s="1021"/>
      <c r="AA467" s="1021"/>
      <c r="AB467" s="1021"/>
      <c r="AC467" s="1021"/>
      <c r="AD467" s="1021"/>
      <c r="AE467" s="1021"/>
      <c r="AF467" s="1021"/>
      <c r="AG467" s="1021"/>
      <c r="AH467" s="1021"/>
      <c r="AI467" s="1021"/>
      <c r="AJ467" s="1021"/>
      <c r="AK467" s="1021"/>
      <c r="AL467" s="1021"/>
      <c r="AM467" s="1021"/>
      <c r="AN467" s="1021"/>
      <c r="AO467" s="1021"/>
      <c r="AP467" s="1021"/>
      <c r="AQ467" s="1021"/>
      <c r="AR467" s="1021"/>
      <c r="AS467" s="1021"/>
      <c r="AT467" s="1021"/>
      <c r="AU467" s="1021"/>
      <c r="AV467" s="1021"/>
      <c r="AW467" s="1021"/>
      <c r="AX467" s="1021"/>
      <c r="AY467" s="1021"/>
      <c r="AZ467" s="1021"/>
      <c r="BA467" s="1021"/>
      <c r="BB467" s="1021"/>
      <c r="BC467" s="1021"/>
      <c r="BD467" s="1021"/>
      <c r="BE467" s="1021"/>
      <c r="BF467" s="1021"/>
      <c r="BG467" s="1021"/>
      <c r="BH467" s="1021"/>
      <c r="BI467" s="1021"/>
      <c r="BJ467" s="1021"/>
      <c r="BK467" s="1021"/>
      <c r="BL467" s="1021"/>
      <c r="BM467" s="1021"/>
      <c r="BN467" s="1021"/>
      <c r="BO467" s="1021"/>
      <c r="BP467" s="1021"/>
      <c r="BQ467" s="1021"/>
      <c r="BR467" s="1021"/>
      <c r="BS467" s="1021"/>
      <c r="BT467" s="1021"/>
      <c r="BU467" s="1021"/>
      <c r="BV467" s="1021"/>
      <c r="BW467" s="1021"/>
      <c r="BX467" s="1021"/>
      <c r="BY467" s="1021"/>
      <c r="BZ467" s="1021"/>
      <c r="CA467" s="1021"/>
      <c r="CB467" s="1021"/>
      <c r="CC467" s="1021"/>
    </row>
    <row r="468" spans="8:81" x14ac:dyDescent="0.25">
      <c r="H468" s="1021"/>
      <c r="I468" s="1021"/>
      <c r="J468" s="1021"/>
      <c r="K468" s="1021"/>
      <c r="L468" s="1021"/>
      <c r="M468" s="1021"/>
      <c r="N468" s="1021"/>
      <c r="O468" s="1021"/>
      <c r="P468" s="1021"/>
      <c r="Q468" s="1021"/>
      <c r="R468" s="1021"/>
      <c r="S468" s="1021"/>
      <c r="T468" s="1021"/>
      <c r="U468" s="1021"/>
      <c r="V468" s="1021"/>
      <c r="W468" s="1021"/>
      <c r="X468" s="1021"/>
      <c r="Y468" s="1021"/>
      <c r="Z468" s="1021"/>
      <c r="AA468" s="1021"/>
      <c r="AB468" s="1021"/>
      <c r="AC468" s="1021"/>
      <c r="AD468" s="1021"/>
      <c r="AE468" s="1021"/>
      <c r="AF468" s="1021"/>
      <c r="AG468" s="1021"/>
      <c r="AH468" s="1021"/>
      <c r="AI468" s="1021"/>
      <c r="AJ468" s="1021"/>
      <c r="AK468" s="1021"/>
      <c r="AL468" s="1021"/>
      <c r="AM468" s="1021"/>
      <c r="AN468" s="1021"/>
      <c r="AO468" s="1021"/>
      <c r="AP468" s="1021"/>
      <c r="AQ468" s="1021"/>
      <c r="AR468" s="1021"/>
      <c r="AS468" s="1021"/>
      <c r="AT468" s="1021"/>
      <c r="AU468" s="1021"/>
      <c r="AV468" s="1021"/>
      <c r="AW468" s="1021"/>
      <c r="AX468" s="1021"/>
      <c r="AY468" s="1021"/>
      <c r="AZ468" s="1021"/>
      <c r="BA468" s="1021"/>
      <c r="BB468" s="1021"/>
      <c r="BC468" s="1021"/>
      <c r="BD468" s="1021"/>
      <c r="BE468" s="1021"/>
      <c r="BF468" s="1021"/>
      <c r="BG468" s="1021"/>
      <c r="BH468" s="1021"/>
      <c r="BI468" s="1021"/>
      <c r="BJ468" s="1021"/>
      <c r="BK468" s="1021"/>
      <c r="BL468" s="1021"/>
      <c r="BM468" s="1021"/>
      <c r="BN468" s="1021"/>
      <c r="BO468" s="1021"/>
      <c r="BP468" s="1021"/>
      <c r="BQ468" s="1021"/>
      <c r="BR468" s="1021"/>
      <c r="BS468" s="1021"/>
      <c r="BT468" s="1021"/>
      <c r="BU468" s="1021"/>
      <c r="BV468" s="1021"/>
      <c r="BW468" s="1021"/>
      <c r="BX468" s="1021"/>
      <c r="BY468" s="1021"/>
      <c r="BZ468" s="1021"/>
      <c r="CA468" s="1021"/>
      <c r="CB468" s="1021"/>
      <c r="CC468" s="1021"/>
    </row>
    <row r="469" spans="8:81" x14ac:dyDescent="0.25">
      <c r="H469" s="1021"/>
      <c r="I469" s="1021"/>
      <c r="J469" s="1021"/>
      <c r="K469" s="1021"/>
      <c r="L469" s="1021"/>
      <c r="M469" s="1021"/>
      <c r="N469" s="1021"/>
      <c r="O469" s="1021"/>
      <c r="P469" s="1021"/>
      <c r="Q469" s="1021"/>
      <c r="R469" s="1021"/>
      <c r="S469" s="1021"/>
      <c r="T469" s="1021"/>
      <c r="U469" s="1021"/>
      <c r="V469" s="1021"/>
      <c r="W469" s="1021"/>
      <c r="X469" s="1021"/>
      <c r="Y469" s="1021"/>
      <c r="Z469" s="1021"/>
      <c r="AA469" s="1021"/>
      <c r="AB469" s="1021"/>
      <c r="AC469" s="1021"/>
      <c r="AD469" s="1021"/>
      <c r="AE469" s="1021"/>
      <c r="AF469" s="1021"/>
      <c r="AG469" s="1021"/>
      <c r="AH469" s="1021"/>
      <c r="AI469" s="1021"/>
      <c r="AJ469" s="1021"/>
      <c r="AK469" s="1021"/>
      <c r="AL469" s="1021"/>
      <c r="AM469" s="1021"/>
      <c r="AN469" s="1021"/>
      <c r="AO469" s="1021"/>
      <c r="AP469" s="1021"/>
      <c r="AQ469" s="1021"/>
      <c r="AR469" s="1021"/>
      <c r="AS469" s="1021"/>
      <c r="AT469" s="1021"/>
      <c r="AU469" s="1021"/>
      <c r="AV469" s="1021"/>
      <c r="AW469" s="1021"/>
      <c r="AX469" s="1021"/>
      <c r="AY469" s="1021"/>
      <c r="AZ469" s="1021"/>
      <c r="BA469" s="1021"/>
      <c r="BB469" s="1021"/>
      <c r="BC469" s="1021"/>
      <c r="BD469" s="1021"/>
      <c r="BE469" s="1021"/>
      <c r="BF469" s="1021"/>
      <c r="BG469" s="1021"/>
      <c r="BH469" s="1021"/>
      <c r="BI469" s="1021"/>
      <c r="BJ469" s="1021"/>
      <c r="BK469" s="1021"/>
      <c r="BL469" s="1021"/>
      <c r="BM469" s="1021"/>
      <c r="BN469" s="1021"/>
      <c r="BO469" s="1021"/>
      <c r="BP469" s="1021"/>
      <c r="BQ469" s="1021"/>
      <c r="BR469" s="1021"/>
      <c r="BS469" s="1021"/>
      <c r="BT469" s="1021"/>
      <c r="BU469" s="1021"/>
      <c r="BV469" s="1021"/>
      <c r="BW469" s="1021"/>
      <c r="BX469" s="1021"/>
      <c r="BY469" s="1021"/>
      <c r="BZ469" s="1021"/>
      <c r="CA469" s="1021"/>
      <c r="CB469" s="1021"/>
      <c r="CC469" s="1021"/>
    </row>
    <row r="470" spans="8:81" x14ac:dyDescent="0.25">
      <c r="H470" s="1021"/>
      <c r="I470" s="1021"/>
      <c r="J470" s="1021"/>
      <c r="K470" s="1021"/>
      <c r="L470" s="1021"/>
      <c r="M470" s="1021"/>
      <c r="N470" s="1021"/>
      <c r="O470" s="1021"/>
      <c r="P470" s="1021"/>
      <c r="Q470" s="1021"/>
      <c r="R470" s="1021"/>
      <c r="S470" s="1021"/>
      <c r="T470" s="1021"/>
      <c r="U470" s="1021"/>
      <c r="V470" s="1021"/>
      <c r="W470" s="1021"/>
      <c r="X470" s="1021"/>
      <c r="Y470" s="1021"/>
      <c r="Z470" s="1021"/>
      <c r="AA470" s="1021"/>
      <c r="AB470" s="1021"/>
      <c r="AC470" s="1021"/>
      <c r="AD470" s="1021"/>
      <c r="AE470" s="1021"/>
      <c r="AF470" s="1021"/>
      <c r="AG470" s="1021"/>
      <c r="AH470" s="1021"/>
      <c r="AI470" s="1021"/>
      <c r="AJ470" s="1021"/>
      <c r="AK470" s="1021"/>
      <c r="AL470" s="1021"/>
      <c r="AM470" s="1021"/>
      <c r="AN470" s="1021"/>
      <c r="AO470" s="1021"/>
      <c r="AP470" s="1021"/>
      <c r="AQ470" s="1021"/>
      <c r="AR470" s="1021"/>
      <c r="AS470" s="1021"/>
      <c r="AT470" s="1021"/>
      <c r="AU470" s="1021"/>
      <c r="AV470" s="1021"/>
      <c r="AW470" s="1021"/>
      <c r="AX470" s="1021"/>
      <c r="AY470" s="1021"/>
      <c r="AZ470" s="1021"/>
      <c r="BA470" s="1021"/>
      <c r="BB470" s="1021"/>
      <c r="BC470" s="1021"/>
      <c r="BD470" s="1021"/>
      <c r="BE470" s="1021"/>
      <c r="BF470" s="1021"/>
      <c r="BG470" s="1021"/>
      <c r="BH470" s="1021"/>
      <c r="BI470" s="1021"/>
      <c r="BJ470" s="1021"/>
      <c r="BK470" s="1021"/>
      <c r="BL470" s="1021"/>
      <c r="BM470" s="1021"/>
      <c r="BN470" s="1021"/>
      <c r="BO470" s="1021"/>
      <c r="BP470" s="1021"/>
      <c r="BQ470" s="1021"/>
      <c r="BR470" s="1021"/>
      <c r="BS470" s="1021"/>
      <c r="BT470" s="1021"/>
      <c r="BU470" s="1021"/>
      <c r="BV470" s="1021"/>
      <c r="BW470" s="1021"/>
      <c r="BX470" s="1021"/>
      <c r="BY470" s="1021"/>
      <c r="BZ470" s="1021"/>
      <c r="CA470" s="1021"/>
      <c r="CB470" s="1021"/>
      <c r="CC470" s="1021"/>
    </row>
    <row r="471" spans="8:81" x14ac:dyDescent="0.25">
      <c r="H471" s="1021"/>
      <c r="I471" s="1021"/>
      <c r="J471" s="1021"/>
      <c r="K471" s="1021"/>
      <c r="L471" s="1021"/>
      <c r="M471" s="1021"/>
      <c r="N471" s="1021"/>
      <c r="O471" s="1021"/>
      <c r="P471" s="1021"/>
      <c r="Q471" s="1021"/>
      <c r="R471" s="1021"/>
      <c r="S471" s="1021"/>
      <c r="T471" s="1021"/>
      <c r="U471" s="1021"/>
      <c r="V471" s="1021"/>
      <c r="W471" s="1021"/>
      <c r="X471" s="1021"/>
      <c r="Y471" s="1021"/>
      <c r="Z471" s="1021"/>
      <c r="AA471" s="1021"/>
      <c r="AB471" s="1021"/>
      <c r="AC471" s="1021"/>
      <c r="AD471" s="1021"/>
      <c r="AE471" s="1021"/>
      <c r="AF471" s="1021"/>
      <c r="AG471" s="1021"/>
      <c r="AH471" s="1021"/>
      <c r="AI471" s="1021"/>
      <c r="AJ471" s="1021"/>
      <c r="AK471" s="1021"/>
      <c r="AL471" s="1021"/>
      <c r="AM471" s="1021"/>
      <c r="AN471" s="1021"/>
      <c r="AO471" s="1021"/>
      <c r="AP471" s="1021"/>
      <c r="AQ471" s="1021"/>
      <c r="AR471" s="1021"/>
      <c r="AS471" s="1021"/>
      <c r="AT471" s="1021"/>
      <c r="AU471" s="1021"/>
      <c r="AV471" s="1021"/>
      <c r="AW471" s="1021"/>
      <c r="AX471" s="1021"/>
      <c r="AY471" s="1021"/>
      <c r="AZ471" s="1021"/>
      <c r="BA471" s="1021"/>
      <c r="BB471" s="1021"/>
      <c r="BC471" s="1021"/>
      <c r="BD471" s="1021"/>
      <c r="BE471" s="1021"/>
      <c r="BF471" s="1021"/>
      <c r="BG471" s="1021"/>
      <c r="BH471" s="1021"/>
      <c r="BI471" s="1021"/>
      <c r="BJ471" s="1021"/>
      <c r="BK471" s="1021"/>
      <c r="BL471" s="1021"/>
      <c r="BM471" s="1021"/>
      <c r="BN471" s="1021"/>
      <c r="BO471" s="1021"/>
      <c r="BP471" s="1021"/>
      <c r="BQ471" s="1021"/>
      <c r="BR471" s="1021"/>
      <c r="BS471" s="1021"/>
      <c r="BT471" s="1021"/>
      <c r="BU471" s="1021"/>
      <c r="BV471" s="1021"/>
      <c r="BW471" s="1021"/>
      <c r="BX471" s="1021"/>
      <c r="BY471" s="1021"/>
      <c r="BZ471" s="1021"/>
      <c r="CA471" s="1021"/>
      <c r="CB471" s="1021"/>
      <c r="CC471" s="1021"/>
    </row>
    <row r="472" spans="8:81" x14ac:dyDescent="0.25">
      <c r="H472" s="1021"/>
      <c r="I472" s="1021"/>
      <c r="J472" s="1021"/>
      <c r="K472" s="1021"/>
      <c r="L472" s="1021"/>
      <c r="M472" s="1021"/>
      <c r="N472" s="1021"/>
      <c r="O472" s="1021"/>
      <c r="P472" s="1021"/>
      <c r="Q472" s="1021"/>
      <c r="R472" s="1021"/>
      <c r="S472" s="1021"/>
      <c r="T472" s="1021"/>
      <c r="U472" s="1021"/>
      <c r="V472" s="1021"/>
      <c r="W472" s="1021"/>
      <c r="X472" s="1021"/>
      <c r="Y472" s="1021"/>
      <c r="Z472" s="1021"/>
      <c r="AA472" s="1021"/>
      <c r="AB472" s="1021"/>
      <c r="AC472" s="1021"/>
      <c r="AD472" s="1021"/>
      <c r="AE472" s="1021"/>
      <c r="AF472" s="1021"/>
      <c r="AG472" s="1021"/>
      <c r="AH472" s="1021"/>
      <c r="AI472" s="1021"/>
      <c r="AJ472" s="1021"/>
      <c r="AK472" s="1021"/>
      <c r="AL472" s="1021"/>
      <c r="AM472" s="1021"/>
      <c r="AN472" s="1021"/>
      <c r="AO472" s="1021"/>
      <c r="AP472" s="1021"/>
      <c r="AQ472" s="1021"/>
      <c r="AR472" s="1021"/>
      <c r="AS472" s="1021"/>
      <c r="AT472" s="1021"/>
      <c r="AU472" s="1021"/>
      <c r="AV472" s="1021"/>
      <c r="AW472" s="1021"/>
      <c r="AX472" s="1021"/>
      <c r="AY472" s="1021"/>
      <c r="AZ472" s="1021"/>
      <c r="BA472" s="1021"/>
      <c r="BB472" s="1021"/>
      <c r="BC472" s="1021"/>
      <c r="BD472" s="1021"/>
      <c r="BE472" s="1021"/>
      <c r="BF472" s="1021"/>
      <c r="BG472" s="1021"/>
      <c r="BH472" s="1021"/>
      <c r="BI472" s="1021"/>
      <c r="BJ472" s="1021"/>
      <c r="BK472" s="1021"/>
      <c r="BL472" s="1021"/>
      <c r="BM472" s="1021"/>
      <c r="BN472" s="1021"/>
      <c r="BO472" s="1021"/>
      <c r="BP472" s="1021"/>
      <c r="BQ472" s="1021"/>
      <c r="BR472" s="1021"/>
      <c r="BS472" s="1021"/>
      <c r="BT472" s="1021"/>
      <c r="BU472" s="1021"/>
      <c r="BV472" s="1021"/>
      <c r="BW472" s="1021"/>
      <c r="BX472" s="1021"/>
      <c r="BY472" s="1021"/>
      <c r="BZ472" s="1021"/>
      <c r="CA472" s="1021"/>
      <c r="CB472" s="1021"/>
      <c r="CC472" s="1021"/>
    </row>
    <row r="473" spans="8:81" x14ac:dyDescent="0.25">
      <c r="H473" s="1021"/>
      <c r="I473" s="1021"/>
      <c r="J473" s="1021"/>
      <c r="K473" s="1021"/>
      <c r="L473" s="1021"/>
      <c r="M473" s="1021"/>
      <c r="N473" s="1021"/>
      <c r="O473" s="1021"/>
      <c r="P473" s="1021"/>
      <c r="Q473" s="1021"/>
      <c r="R473" s="1021"/>
      <c r="S473" s="1021"/>
      <c r="T473" s="1021"/>
      <c r="U473" s="1021"/>
      <c r="V473" s="1021"/>
      <c r="W473" s="1021"/>
      <c r="X473" s="1021"/>
      <c r="Y473" s="1021"/>
      <c r="Z473" s="1021"/>
      <c r="AA473" s="1021"/>
      <c r="AB473" s="1021"/>
      <c r="AC473" s="1021"/>
      <c r="AD473" s="1021"/>
      <c r="AE473" s="1021"/>
      <c r="AF473" s="1021"/>
      <c r="AG473" s="1021"/>
      <c r="AH473" s="1021"/>
      <c r="AI473" s="1021"/>
      <c r="AJ473" s="1021"/>
      <c r="AK473" s="1021"/>
      <c r="AL473" s="1021"/>
      <c r="AM473" s="1021"/>
      <c r="AN473" s="1021"/>
      <c r="AO473" s="1021"/>
      <c r="AP473" s="1021"/>
      <c r="AQ473" s="1021"/>
      <c r="AR473" s="1021"/>
      <c r="AS473" s="1021"/>
      <c r="AT473" s="1021"/>
      <c r="AU473" s="1021"/>
      <c r="AV473" s="1021"/>
      <c r="AW473" s="1021"/>
      <c r="AX473" s="1021"/>
      <c r="AY473" s="1021"/>
      <c r="AZ473" s="1021"/>
      <c r="BA473" s="1021"/>
      <c r="BB473" s="1021"/>
      <c r="BC473" s="1021"/>
      <c r="BD473" s="1021"/>
      <c r="BE473" s="1021"/>
      <c r="BF473" s="1021"/>
      <c r="BG473" s="1021"/>
      <c r="BH473" s="1021"/>
      <c r="BI473" s="1021"/>
      <c r="BJ473" s="1021"/>
      <c r="BK473" s="1021"/>
      <c r="BL473" s="1021"/>
      <c r="BM473" s="1021"/>
      <c r="BN473" s="1021"/>
      <c r="BO473" s="1021"/>
      <c r="BP473" s="1021"/>
      <c r="BQ473" s="1021"/>
      <c r="BR473" s="1021"/>
      <c r="BS473" s="1021"/>
      <c r="BT473" s="1021"/>
      <c r="BU473" s="1021"/>
      <c r="BV473" s="1021"/>
      <c r="BW473" s="1021"/>
      <c r="BX473" s="1021"/>
      <c r="BY473" s="1021"/>
      <c r="BZ473" s="1021"/>
      <c r="CA473" s="1021"/>
      <c r="CB473" s="1021"/>
      <c r="CC473" s="1021"/>
    </row>
    <row r="474" spans="8:81" x14ac:dyDescent="0.25">
      <c r="H474" s="1021"/>
      <c r="I474" s="1021"/>
      <c r="J474" s="1021"/>
      <c r="K474" s="1021"/>
      <c r="L474" s="1021"/>
      <c r="M474" s="1021"/>
      <c r="N474" s="1021"/>
      <c r="O474" s="1021"/>
      <c r="P474" s="1021"/>
      <c r="Q474" s="1021"/>
      <c r="R474" s="1021"/>
      <c r="S474" s="1021"/>
      <c r="T474" s="1021"/>
      <c r="U474" s="1021"/>
      <c r="V474" s="1021"/>
      <c r="W474" s="1021"/>
      <c r="X474" s="1021"/>
      <c r="Y474" s="1021"/>
      <c r="Z474" s="1021"/>
      <c r="AA474" s="1021"/>
      <c r="AB474" s="1021"/>
      <c r="AC474" s="1021"/>
      <c r="AD474" s="1021"/>
      <c r="AE474" s="1021"/>
      <c r="AF474" s="1021"/>
      <c r="AG474" s="1021"/>
      <c r="AH474" s="1021"/>
      <c r="AI474" s="1021"/>
      <c r="AJ474" s="1021"/>
      <c r="AK474" s="1021"/>
      <c r="AL474" s="1021"/>
      <c r="AM474" s="1021"/>
      <c r="AN474" s="1021"/>
      <c r="AO474" s="1021"/>
      <c r="AP474" s="1021"/>
      <c r="AQ474" s="1021"/>
      <c r="AR474" s="1021"/>
      <c r="AS474" s="1021"/>
      <c r="AT474" s="1021"/>
      <c r="AU474" s="1021"/>
      <c r="AV474" s="1021"/>
      <c r="AW474" s="1021"/>
      <c r="AX474" s="1021"/>
      <c r="AY474" s="1021"/>
      <c r="AZ474" s="1021"/>
      <c r="BA474" s="1021"/>
      <c r="BB474" s="1021"/>
      <c r="BC474" s="1021"/>
      <c r="BD474" s="1021"/>
      <c r="BE474" s="1021"/>
      <c r="BF474" s="1021"/>
      <c r="BG474" s="1021"/>
      <c r="BH474" s="1021"/>
      <c r="BI474" s="1021"/>
      <c r="BJ474" s="1021"/>
      <c r="BK474" s="1021"/>
      <c r="BL474" s="1021"/>
      <c r="BM474" s="1021"/>
      <c r="BN474" s="1021"/>
      <c r="BO474" s="1021"/>
      <c r="BP474" s="1021"/>
      <c r="BQ474" s="1021"/>
      <c r="BR474" s="1021"/>
      <c r="BS474" s="1021"/>
      <c r="BT474" s="1021"/>
      <c r="BU474" s="1021"/>
      <c r="BV474" s="1021"/>
      <c r="BW474" s="1021"/>
      <c r="BX474" s="1021"/>
      <c r="BY474" s="1021"/>
      <c r="BZ474" s="1021"/>
      <c r="CA474" s="1021"/>
      <c r="CB474" s="1021"/>
      <c r="CC474" s="1021"/>
    </row>
    <row r="475" spans="8:81" x14ac:dyDescent="0.25">
      <c r="H475" s="1021"/>
      <c r="I475" s="1021"/>
      <c r="J475" s="1021"/>
      <c r="K475" s="1021"/>
      <c r="L475" s="1021"/>
      <c r="M475" s="1021"/>
      <c r="N475" s="1021"/>
      <c r="O475" s="1021"/>
      <c r="P475" s="1021"/>
      <c r="Q475" s="1021"/>
      <c r="R475" s="1021"/>
      <c r="S475" s="1021"/>
      <c r="T475" s="1021"/>
      <c r="U475" s="1021"/>
      <c r="V475" s="1021"/>
      <c r="W475" s="1021"/>
      <c r="X475" s="1021"/>
      <c r="Y475" s="1021"/>
      <c r="Z475" s="1021"/>
      <c r="AA475" s="1021"/>
      <c r="AB475" s="1021"/>
      <c r="AC475" s="1021"/>
      <c r="AD475" s="1021"/>
      <c r="AE475" s="1021"/>
      <c r="AF475" s="1021"/>
      <c r="AG475" s="1021"/>
      <c r="AH475" s="1021"/>
      <c r="AI475" s="1021"/>
      <c r="AJ475" s="1021"/>
      <c r="AK475" s="1021"/>
      <c r="AL475" s="1021"/>
      <c r="AM475" s="1021"/>
      <c r="AN475" s="1021"/>
      <c r="AO475" s="1021"/>
      <c r="AP475" s="1021"/>
      <c r="AQ475" s="1021"/>
      <c r="AR475" s="1021"/>
      <c r="AS475" s="1021"/>
      <c r="AT475" s="1021"/>
      <c r="AU475" s="1021"/>
      <c r="AV475" s="1021"/>
      <c r="AW475" s="1021"/>
      <c r="AX475" s="1021"/>
      <c r="AY475" s="1021"/>
      <c r="AZ475" s="1021"/>
      <c r="BA475" s="1021"/>
      <c r="BB475" s="1021"/>
      <c r="BC475" s="1021"/>
      <c r="BD475" s="1021"/>
      <c r="BE475" s="1021"/>
      <c r="BF475" s="1021"/>
      <c r="BG475" s="1021"/>
      <c r="BH475" s="1021"/>
      <c r="BI475" s="1021"/>
      <c r="BJ475" s="1021"/>
      <c r="BK475" s="1021"/>
      <c r="BL475" s="1021"/>
      <c r="BM475" s="1021"/>
      <c r="BN475" s="1021"/>
      <c r="BO475" s="1021"/>
      <c r="BP475" s="1021"/>
      <c r="BQ475" s="1021"/>
      <c r="BR475" s="1021"/>
      <c r="BS475" s="1021"/>
      <c r="BT475" s="1021"/>
      <c r="BU475" s="1021"/>
      <c r="BV475" s="1021"/>
      <c r="BW475" s="1021"/>
      <c r="BX475" s="1021"/>
      <c r="BY475" s="1021"/>
      <c r="BZ475" s="1021"/>
      <c r="CA475" s="1021"/>
      <c r="CB475" s="1021"/>
      <c r="CC475" s="1021"/>
    </row>
    <row r="476" spans="8:81" x14ac:dyDescent="0.25">
      <c r="H476" s="1021"/>
      <c r="I476" s="1021"/>
      <c r="J476" s="1021"/>
      <c r="K476" s="1021"/>
      <c r="L476" s="1021"/>
      <c r="M476" s="1021"/>
      <c r="N476" s="1021"/>
      <c r="O476" s="1021"/>
      <c r="P476" s="1021"/>
      <c r="Q476" s="1021"/>
      <c r="R476" s="1021"/>
      <c r="S476" s="1021"/>
      <c r="T476" s="1021"/>
      <c r="U476" s="1021"/>
      <c r="V476" s="1021"/>
      <c r="W476" s="1021"/>
      <c r="X476" s="1021"/>
      <c r="Y476" s="1021"/>
      <c r="Z476" s="1021"/>
      <c r="AA476" s="1021"/>
      <c r="AB476" s="1021"/>
      <c r="AC476" s="1021"/>
      <c r="AD476" s="1021"/>
      <c r="AE476" s="1021"/>
      <c r="AF476" s="1021"/>
      <c r="AG476" s="1021"/>
      <c r="AH476" s="1021"/>
      <c r="AI476" s="1021"/>
      <c r="AJ476" s="1021"/>
      <c r="AK476" s="1021"/>
      <c r="AL476" s="1021"/>
      <c r="AM476" s="1021"/>
      <c r="AN476" s="1021"/>
      <c r="AO476" s="1021"/>
      <c r="AP476" s="1021"/>
      <c r="AQ476" s="1021"/>
      <c r="AR476" s="1021"/>
      <c r="AS476" s="1021"/>
      <c r="AT476" s="1021"/>
      <c r="AU476" s="1021"/>
      <c r="AV476" s="1021"/>
      <c r="AW476" s="1021"/>
      <c r="AX476" s="1021"/>
      <c r="AY476" s="1021"/>
      <c r="AZ476" s="1021"/>
      <c r="BA476" s="1021"/>
      <c r="BB476" s="1021"/>
      <c r="BC476" s="1021"/>
      <c r="BD476" s="1021"/>
      <c r="BE476" s="1021"/>
      <c r="BF476" s="1021"/>
      <c r="BG476" s="1021"/>
      <c r="BH476" s="1021"/>
      <c r="BI476" s="1021"/>
      <c r="BJ476" s="1021"/>
      <c r="BK476" s="1021"/>
      <c r="BL476" s="1021"/>
      <c r="BM476" s="1021"/>
      <c r="BN476" s="1021"/>
      <c r="BO476" s="1021"/>
      <c r="BP476" s="1021"/>
      <c r="BQ476" s="1021"/>
      <c r="BR476" s="1021"/>
      <c r="BS476" s="1021"/>
      <c r="BT476" s="1021"/>
      <c r="BU476" s="1021"/>
      <c r="BV476" s="1021"/>
      <c r="BW476" s="1021"/>
      <c r="BX476" s="1021"/>
      <c r="BY476" s="1021"/>
      <c r="BZ476" s="1021"/>
      <c r="CA476" s="1021"/>
      <c r="CB476" s="1021"/>
      <c r="CC476" s="1021"/>
    </row>
    <row r="477" spans="8:81" x14ac:dyDescent="0.25">
      <c r="H477" s="1021"/>
      <c r="I477" s="1021"/>
      <c r="J477" s="1021"/>
      <c r="K477" s="1021"/>
      <c r="L477" s="1021"/>
      <c r="M477" s="1021"/>
      <c r="N477" s="1021"/>
      <c r="O477" s="1021"/>
      <c r="P477" s="1021"/>
      <c r="Q477" s="1021"/>
      <c r="R477" s="1021"/>
      <c r="S477" s="1021"/>
      <c r="T477" s="1021"/>
      <c r="U477" s="1021"/>
      <c r="V477" s="1021"/>
      <c r="W477" s="1021"/>
      <c r="X477" s="1021"/>
      <c r="Y477" s="1021"/>
      <c r="Z477" s="1021"/>
      <c r="AA477" s="1021"/>
      <c r="AB477" s="1021"/>
      <c r="AC477" s="1021"/>
      <c r="AD477" s="1021"/>
      <c r="AE477" s="1021"/>
      <c r="AF477" s="1021"/>
      <c r="AG477" s="1021"/>
      <c r="AH477" s="1021"/>
      <c r="AI477" s="1021"/>
      <c r="AJ477" s="1021"/>
      <c r="AK477" s="1021"/>
      <c r="AL477" s="1021"/>
      <c r="AM477" s="1021"/>
      <c r="AN477" s="1021"/>
      <c r="AO477" s="1021"/>
      <c r="AP477" s="1021"/>
      <c r="AQ477" s="1021"/>
      <c r="AR477" s="1021"/>
      <c r="AS477" s="1021"/>
      <c r="AT477" s="1021"/>
      <c r="AU477" s="1021"/>
      <c r="AV477" s="1021"/>
      <c r="AW477" s="1021"/>
      <c r="AX477" s="1021"/>
      <c r="AY477" s="1021"/>
      <c r="AZ477" s="1021"/>
      <c r="BA477" s="1021"/>
      <c r="BB477" s="1021"/>
      <c r="BC477" s="1021"/>
      <c r="BD477" s="1021"/>
      <c r="BE477" s="1021"/>
      <c r="BF477" s="1021"/>
      <c r="BG477" s="1021"/>
      <c r="BH477" s="1021"/>
      <c r="BI477" s="1021"/>
      <c r="BJ477" s="1021"/>
      <c r="BK477" s="1021"/>
      <c r="BL477" s="1021"/>
      <c r="BM477" s="1021"/>
      <c r="BN477" s="1021"/>
      <c r="BO477" s="1021"/>
      <c r="BP477" s="1021"/>
      <c r="BQ477" s="1021"/>
      <c r="BR477" s="1021"/>
      <c r="BS477" s="1021"/>
      <c r="BT477" s="1021"/>
      <c r="BU477" s="1021"/>
      <c r="BV477" s="1021"/>
      <c r="BW477" s="1021"/>
      <c r="BX477" s="1021"/>
      <c r="BY477" s="1021"/>
      <c r="BZ477" s="1021"/>
      <c r="CA477" s="1021"/>
      <c r="CB477" s="1021"/>
      <c r="CC477" s="1021"/>
    </row>
    <row r="478" spans="8:81" x14ac:dyDescent="0.25">
      <c r="H478" s="1021"/>
      <c r="I478" s="1021"/>
      <c r="J478" s="1021"/>
      <c r="K478" s="1021"/>
      <c r="L478" s="1021"/>
      <c r="M478" s="1021"/>
      <c r="N478" s="1021"/>
      <c r="O478" s="1021"/>
      <c r="P478" s="1021"/>
      <c r="Q478" s="1021"/>
      <c r="R478" s="1021"/>
      <c r="S478" s="1021"/>
      <c r="T478" s="1021"/>
      <c r="U478" s="1021"/>
      <c r="V478" s="1021"/>
      <c r="W478" s="1021"/>
      <c r="X478" s="1021"/>
      <c r="Y478" s="1021"/>
      <c r="Z478" s="1021"/>
      <c r="AA478" s="1021"/>
      <c r="AB478" s="1021"/>
      <c r="AC478" s="1021"/>
      <c r="AD478" s="1021"/>
      <c r="AE478" s="1021"/>
      <c r="AF478" s="1021"/>
      <c r="AG478" s="1021"/>
      <c r="AH478" s="1021"/>
      <c r="AI478" s="1021"/>
      <c r="AJ478" s="1021"/>
      <c r="AK478" s="1021"/>
      <c r="AL478" s="1021"/>
      <c r="AM478" s="1021"/>
      <c r="AN478" s="1021"/>
      <c r="AO478" s="1021"/>
      <c r="AP478" s="1021"/>
      <c r="AQ478" s="1021"/>
      <c r="AR478" s="1021"/>
      <c r="AS478" s="1021"/>
      <c r="AT478" s="1021"/>
      <c r="AU478" s="1021"/>
      <c r="AV478" s="1021"/>
      <c r="AW478" s="1021"/>
      <c r="AX478" s="1021"/>
      <c r="AY478" s="1021"/>
      <c r="AZ478" s="1021"/>
      <c r="BA478" s="1021"/>
      <c r="BB478" s="1021"/>
      <c r="BC478" s="1021"/>
      <c r="BD478" s="1021"/>
      <c r="BE478" s="1021"/>
      <c r="BF478" s="1021"/>
      <c r="BG478" s="1021"/>
      <c r="BH478" s="1021"/>
      <c r="BI478" s="1021"/>
      <c r="BJ478" s="1021"/>
      <c r="BK478" s="1021"/>
      <c r="BL478" s="1021"/>
      <c r="BM478" s="1021"/>
      <c r="BN478" s="1021"/>
      <c r="BO478" s="1021"/>
      <c r="BP478" s="1021"/>
      <c r="BQ478" s="1021"/>
      <c r="BR478" s="1021"/>
      <c r="BS478" s="1021"/>
      <c r="BT478" s="1021"/>
      <c r="BU478" s="1021"/>
      <c r="BV478" s="1021"/>
      <c r="BW478" s="1021"/>
      <c r="BX478" s="1021"/>
      <c r="BY478" s="1021"/>
      <c r="BZ478" s="1021"/>
      <c r="CA478" s="1021"/>
      <c r="CB478" s="1021"/>
      <c r="CC478" s="1021"/>
    </row>
    <row r="479" spans="8:81" x14ac:dyDescent="0.25">
      <c r="H479" s="1021"/>
      <c r="I479" s="1021"/>
      <c r="J479" s="1021"/>
      <c r="K479" s="1021"/>
      <c r="L479" s="1021"/>
      <c r="M479" s="1021"/>
      <c r="N479" s="1021"/>
      <c r="O479" s="1021"/>
      <c r="P479" s="1021"/>
      <c r="Q479" s="1021"/>
      <c r="R479" s="1021"/>
      <c r="S479" s="1021"/>
      <c r="T479" s="1021"/>
      <c r="U479" s="1021"/>
      <c r="V479" s="1021"/>
      <c r="W479" s="1021"/>
      <c r="X479" s="1021"/>
      <c r="Y479" s="1021"/>
      <c r="Z479" s="1021"/>
      <c r="AA479" s="1021"/>
      <c r="AB479" s="1021"/>
      <c r="AC479" s="1021"/>
      <c r="AD479" s="1021"/>
      <c r="AE479" s="1021"/>
      <c r="AF479" s="1021"/>
      <c r="AG479" s="1021"/>
      <c r="AH479" s="1021"/>
      <c r="AI479" s="1021"/>
      <c r="AJ479" s="1021"/>
      <c r="AK479" s="1021"/>
      <c r="AL479" s="1021"/>
      <c r="AM479" s="1021"/>
      <c r="AN479" s="1021"/>
      <c r="AO479" s="1021"/>
      <c r="AP479" s="1021"/>
      <c r="AQ479" s="1021"/>
      <c r="AR479" s="1021"/>
      <c r="AS479" s="1021"/>
      <c r="AT479" s="1021"/>
      <c r="AU479" s="1021"/>
      <c r="AV479" s="1021"/>
      <c r="AW479" s="1021"/>
      <c r="AX479" s="1021"/>
      <c r="AY479" s="1021"/>
      <c r="AZ479" s="1021"/>
      <c r="BA479" s="1021"/>
      <c r="BB479" s="1021"/>
      <c r="BC479" s="1021"/>
      <c r="BD479" s="1021"/>
      <c r="BE479" s="1021"/>
      <c r="BF479" s="1021"/>
      <c r="BG479" s="1021"/>
      <c r="BH479" s="1021"/>
      <c r="BI479" s="1021"/>
      <c r="BJ479" s="1021"/>
      <c r="BK479" s="1021"/>
      <c r="BL479" s="1021"/>
      <c r="BM479" s="1021"/>
      <c r="BN479" s="1021"/>
      <c r="BO479" s="1021"/>
      <c r="BP479" s="1021"/>
      <c r="BQ479" s="1021"/>
      <c r="BR479" s="1021"/>
      <c r="BS479" s="1021"/>
      <c r="BT479" s="1021"/>
      <c r="BU479" s="1021"/>
      <c r="BV479" s="1021"/>
      <c r="BW479" s="1021"/>
      <c r="BX479" s="1021"/>
      <c r="BY479" s="1021"/>
      <c r="BZ479" s="1021"/>
      <c r="CA479" s="1021"/>
      <c r="CB479" s="1021"/>
      <c r="CC479" s="1021"/>
    </row>
    <row r="480" spans="8:81" x14ac:dyDescent="0.25">
      <c r="H480" s="1021"/>
      <c r="I480" s="1021"/>
      <c r="J480" s="1021"/>
      <c r="K480" s="1021"/>
      <c r="L480" s="1021"/>
      <c r="M480" s="1021"/>
      <c r="N480" s="1021"/>
      <c r="O480" s="1021"/>
      <c r="P480" s="1021"/>
      <c r="Q480" s="1021"/>
      <c r="R480" s="1021"/>
      <c r="S480" s="1021"/>
      <c r="T480" s="1021"/>
      <c r="U480" s="1021"/>
      <c r="V480" s="1021"/>
      <c r="W480" s="1021"/>
      <c r="X480" s="1021"/>
      <c r="Y480" s="1021"/>
      <c r="Z480" s="1021"/>
      <c r="AA480" s="1021"/>
      <c r="AB480" s="1021"/>
      <c r="AC480" s="1021"/>
      <c r="AD480" s="1021"/>
      <c r="AE480" s="1021"/>
      <c r="AF480" s="1021"/>
      <c r="AG480" s="1021"/>
      <c r="AH480" s="1021"/>
      <c r="AI480" s="1021"/>
      <c r="AJ480" s="1021"/>
      <c r="AK480" s="1021"/>
      <c r="AL480" s="1021"/>
      <c r="AM480" s="1021"/>
      <c r="AN480" s="1021"/>
      <c r="AO480" s="1021"/>
      <c r="AP480" s="1021"/>
      <c r="AQ480" s="1021"/>
      <c r="AR480" s="1021"/>
      <c r="AS480" s="1021"/>
      <c r="AT480" s="1021"/>
      <c r="AU480" s="1021"/>
      <c r="AV480" s="1021"/>
      <c r="AW480" s="1021"/>
      <c r="AX480" s="1021"/>
      <c r="AY480" s="1021"/>
      <c r="AZ480" s="1021"/>
      <c r="BA480" s="1021"/>
      <c r="BB480" s="1021"/>
      <c r="BC480" s="1021"/>
      <c r="BD480" s="1021"/>
      <c r="BE480" s="1021"/>
      <c r="BF480" s="1021"/>
      <c r="BG480" s="1021"/>
      <c r="BH480" s="1021"/>
      <c r="BI480" s="1021"/>
      <c r="BJ480" s="1021"/>
      <c r="BK480" s="1021"/>
      <c r="BL480" s="1021"/>
      <c r="BM480" s="1021"/>
      <c r="BN480" s="1021"/>
      <c r="BO480" s="1021"/>
      <c r="BP480" s="1021"/>
      <c r="BQ480" s="1021"/>
      <c r="BR480" s="1021"/>
      <c r="BS480" s="1021"/>
      <c r="BT480" s="1021"/>
      <c r="BU480" s="1021"/>
      <c r="BV480" s="1021"/>
      <c r="BW480" s="1021"/>
      <c r="BX480" s="1021"/>
      <c r="BY480" s="1021"/>
      <c r="BZ480" s="1021"/>
      <c r="CA480" s="1021"/>
      <c r="CB480" s="1021"/>
      <c r="CC480" s="1021"/>
    </row>
    <row r="481" spans="8:81" x14ac:dyDescent="0.25">
      <c r="H481" s="1021"/>
      <c r="I481" s="1021"/>
      <c r="J481" s="1021"/>
      <c r="K481" s="1021"/>
      <c r="L481" s="1021"/>
      <c r="M481" s="1021"/>
      <c r="N481" s="1021"/>
      <c r="O481" s="1021"/>
      <c r="P481" s="1021"/>
      <c r="Q481" s="1021"/>
      <c r="R481" s="1021"/>
      <c r="S481" s="1021"/>
      <c r="T481" s="1021"/>
      <c r="U481" s="1021"/>
      <c r="V481" s="1021"/>
      <c r="W481" s="1021"/>
      <c r="X481" s="1021"/>
      <c r="Y481" s="1021"/>
      <c r="Z481" s="1021"/>
      <c r="AA481" s="1021"/>
      <c r="AB481" s="1021"/>
      <c r="AC481" s="1021"/>
      <c r="AD481" s="1021"/>
      <c r="AE481" s="1021"/>
      <c r="AF481" s="1021"/>
      <c r="AG481" s="1021"/>
      <c r="AH481" s="1021"/>
      <c r="AI481" s="1021"/>
      <c r="AJ481" s="1021"/>
      <c r="AK481" s="1021"/>
      <c r="AL481" s="1021"/>
      <c r="AM481" s="1021"/>
      <c r="AN481" s="1021"/>
      <c r="AO481" s="1021"/>
      <c r="AP481" s="1021"/>
      <c r="AQ481" s="1021"/>
      <c r="AR481" s="1021"/>
      <c r="AS481" s="1021"/>
      <c r="AT481" s="1021"/>
      <c r="AU481" s="1021"/>
      <c r="AV481" s="1021"/>
      <c r="AW481" s="1021"/>
      <c r="AX481" s="1021"/>
      <c r="AY481" s="1021"/>
      <c r="AZ481" s="1021"/>
      <c r="BA481" s="1021"/>
      <c r="BB481" s="1021"/>
      <c r="BC481" s="1021"/>
      <c r="BD481" s="1021"/>
      <c r="BE481" s="1021"/>
      <c r="BF481" s="1021"/>
      <c r="BG481" s="1021"/>
      <c r="BH481" s="1021"/>
      <c r="BI481" s="1021"/>
      <c r="BJ481" s="1021"/>
      <c r="BK481" s="1021"/>
      <c r="BL481" s="1021"/>
      <c r="BM481" s="1021"/>
      <c r="BN481" s="1021"/>
      <c r="BO481" s="1021"/>
      <c r="BP481" s="1021"/>
      <c r="BQ481" s="1021"/>
      <c r="BR481" s="1021"/>
      <c r="BS481" s="1021"/>
      <c r="BT481" s="1021"/>
      <c r="BU481" s="1021"/>
      <c r="BV481" s="1021"/>
      <c r="BW481" s="1021"/>
      <c r="BX481" s="1021"/>
      <c r="BY481" s="1021"/>
      <c r="BZ481" s="1021"/>
      <c r="CA481" s="1021"/>
      <c r="CB481" s="1021"/>
      <c r="CC481" s="1021"/>
    </row>
    <row r="482" spans="8:81" x14ac:dyDescent="0.25">
      <c r="H482" s="1021"/>
      <c r="I482" s="1021"/>
      <c r="J482" s="1021"/>
      <c r="K482" s="1021"/>
      <c r="L482" s="1021"/>
      <c r="M482" s="1021"/>
      <c r="N482" s="1021"/>
      <c r="O482" s="1021"/>
      <c r="P482" s="1021"/>
      <c r="Q482" s="1021"/>
      <c r="R482" s="1021"/>
      <c r="S482" s="1021"/>
      <c r="T482" s="1021"/>
      <c r="U482" s="1021"/>
      <c r="V482" s="1021"/>
      <c r="W482" s="1021"/>
      <c r="X482" s="1021"/>
      <c r="Y482" s="1021"/>
      <c r="Z482" s="1021"/>
      <c r="AA482" s="1021"/>
      <c r="AB482" s="1021"/>
      <c r="AC482" s="1021"/>
      <c r="AD482" s="1021"/>
      <c r="AE482" s="1021"/>
      <c r="AF482" s="1021"/>
      <c r="AG482" s="1021"/>
      <c r="AH482" s="1021"/>
      <c r="AI482" s="1021"/>
      <c r="AJ482" s="1021"/>
      <c r="AK482" s="1021"/>
      <c r="AL482" s="1021"/>
      <c r="AM482" s="1021"/>
      <c r="AN482" s="1021"/>
      <c r="AO482" s="1021"/>
      <c r="AP482" s="1021"/>
      <c r="AQ482" s="1021"/>
      <c r="AR482" s="1021"/>
      <c r="AS482" s="1021"/>
      <c r="AT482" s="1021"/>
      <c r="AU482" s="1021"/>
      <c r="AV482" s="1021"/>
      <c r="AW482" s="1021"/>
      <c r="AX482" s="1021"/>
      <c r="AY482" s="1021"/>
      <c r="AZ482" s="1021"/>
      <c r="BA482" s="1021"/>
      <c r="BB482" s="1021"/>
      <c r="BC482" s="1021"/>
      <c r="BD482" s="1021"/>
      <c r="BE482" s="1021"/>
      <c r="BF482" s="1021"/>
      <c r="BG482" s="1021"/>
      <c r="BH482" s="1021"/>
      <c r="BI482" s="1021"/>
      <c r="BJ482" s="1021"/>
      <c r="BK482" s="1021"/>
      <c r="BL482" s="1021"/>
      <c r="BM482" s="1021"/>
      <c r="BN482" s="1021"/>
      <c r="BO482" s="1021"/>
      <c r="BP482" s="1021"/>
      <c r="BQ482" s="1021"/>
      <c r="BR482" s="1021"/>
      <c r="BS482" s="1021"/>
      <c r="BT482" s="1021"/>
      <c r="BU482" s="1021"/>
      <c r="BV482" s="1021"/>
      <c r="BW482" s="1021"/>
      <c r="BX482" s="1021"/>
      <c r="BY482" s="1021"/>
      <c r="BZ482" s="1021"/>
      <c r="CA482" s="1021"/>
      <c r="CB482" s="1021"/>
      <c r="CC482" s="1021"/>
    </row>
    <row r="483" spans="8:81" x14ac:dyDescent="0.25">
      <c r="H483" s="1021"/>
      <c r="I483" s="1021"/>
      <c r="J483" s="1021"/>
      <c r="K483" s="1021"/>
      <c r="L483" s="1021"/>
      <c r="M483" s="1021"/>
      <c r="N483" s="1021"/>
      <c r="O483" s="1021"/>
      <c r="P483" s="1021"/>
      <c r="Q483" s="1021"/>
      <c r="R483" s="1021"/>
      <c r="S483" s="1021"/>
      <c r="T483" s="1021"/>
      <c r="U483" s="1021"/>
      <c r="V483" s="1021"/>
      <c r="W483" s="1021"/>
      <c r="X483" s="1021"/>
      <c r="Y483" s="1021"/>
      <c r="Z483" s="1021"/>
      <c r="AA483" s="1021"/>
      <c r="AB483" s="1021"/>
      <c r="AC483" s="1021"/>
      <c r="AD483" s="1021"/>
      <c r="AE483" s="1021"/>
      <c r="AF483" s="1021"/>
      <c r="AG483" s="1021"/>
      <c r="AH483" s="1021"/>
      <c r="AI483" s="1021"/>
      <c r="AJ483" s="1021"/>
      <c r="AK483" s="1021"/>
      <c r="AL483" s="1021"/>
      <c r="AM483" s="1021"/>
      <c r="AN483" s="1021"/>
      <c r="AO483" s="1021"/>
      <c r="AP483" s="1021"/>
      <c r="AQ483" s="1021"/>
      <c r="AR483" s="1021"/>
      <c r="AS483" s="1021"/>
      <c r="AT483" s="1021"/>
      <c r="AU483" s="1021"/>
      <c r="AV483" s="1021"/>
      <c r="AW483" s="1021"/>
      <c r="AX483" s="1021"/>
      <c r="AY483" s="1021"/>
      <c r="AZ483" s="1021"/>
      <c r="BA483" s="1021"/>
      <c r="BB483" s="1021"/>
      <c r="BC483" s="1021"/>
      <c r="BD483" s="1021"/>
      <c r="BE483" s="1021"/>
      <c r="BF483" s="1021"/>
      <c r="BG483" s="1021"/>
      <c r="BH483" s="1021"/>
      <c r="BI483" s="1021"/>
      <c r="BJ483" s="1021"/>
      <c r="BK483" s="1021"/>
      <c r="BL483" s="1021"/>
      <c r="BM483" s="1021"/>
      <c r="BN483" s="1021"/>
      <c r="BO483" s="1021"/>
      <c r="BP483" s="1021"/>
      <c r="BQ483" s="1021"/>
      <c r="BR483" s="1021"/>
      <c r="BS483" s="1021"/>
      <c r="BT483" s="1021"/>
      <c r="BU483" s="1021"/>
      <c r="BV483" s="1021"/>
      <c r="BW483" s="1021"/>
      <c r="BX483" s="1021"/>
      <c r="BY483" s="1021"/>
      <c r="BZ483" s="1021"/>
      <c r="CA483" s="1021"/>
      <c r="CB483" s="1021"/>
      <c r="CC483" s="1021"/>
    </row>
    <row r="484" spans="8:81" x14ac:dyDescent="0.25">
      <c r="H484" s="1021"/>
      <c r="I484" s="1021"/>
      <c r="J484" s="1021"/>
      <c r="K484" s="1021"/>
      <c r="L484" s="1021"/>
      <c r="M484" s="1021"/>
      <c r="N484" s="1021"/>
      <c r="O484" s="1021"/>
      <c r="P484" s="1021"/>
      <c r="Q484" s="1021"/>
      <c r="R484" s="1021"/>
      <c r="S484" s="1021"/>
      <c r="T484" s="1021"/>
      <c r="U484" s="1021"/>
      <c r="V484" s="1021"/>
      <c r="W484" s="1021"/>
      <c r="X484" s="1021"/>
      <c r="Y484" s="1021"/>
      <c r="Z484" s="1021"/>
      <c r="AA484" s="1021"/>
      <c r="AB484" s="1021"/>
      <c r="AC484" s="1021"/>
      <c r="AD484" s="1021"/>
      <c r="AE484" s="1021"/>
      <c r="AF484" s="1021"/>
      <c r="AG484" s="1021"/>
      <c r="AH484" s="1021"/>
      <c r="AI484" s="1021"/>
      <c r="AJ484" s="1021"/>
      <c r="AK484" s="1021"/>
      <c r="AL484" s="1021"/>
      <c r="AM484" s="1021"/>
      <c r="AN484" s="1021"/>
      <c r="AO484" s="1021"/>
      <c r="AP484" s="1021"/>
      <c r="AQ484" s="1021"/>
      <c r="AR484" s="1021"/>
      <c r="AS484" s="1021"/>
      <c r="AT484" s="1021"/>
      <c r="AU484" s="1021"/>
      <c r="AV484" s="1021"/>
      <c r="AW484" s="1021"/>
      <c r="AX484" s="1021"/>
      <c r="AY484" s="1021"/>
      <c r="AZ484" s="1021"/>
      <c r="BA484" s="1021"/>
      <c r="BB484" s="1021"/>
      <c r="BC484" s="1021"/>
      <c r="BD484" s="1021"/>
      <c r="BE484" s="1021"/>
      <c r="BF484" s="1021"/>
      <c r="BG484" s="1021"/>
      <c r="BH484" s="1021"/>
      <c r="BI484" s="1021"/>
      <c r="BJ484" s="1021"/>
      <c r="BK484" s="1021"/>
      <c r="BL484" s="1021"/>
      <c r="BM484" s="1021"/>
      <c r="BN484" s="1021"/>
      <c r="BO484" s="1021"/>
      <c r="BP484" s="1021"/>
      <c r="BQ484" s="1021"/>
      <c r="BR484" s="1021"/>
      <c r="BS484" s="1021"/>
      <c r="BT484" s="1021"/>
      <c r="BU484" s="1021"/>
      <c r="BV484" s="1021"/>
      <c r="BW484" s="1021"/>
      <c r="BX484" s="1021"/>
      <c r="BY484" s="1021"/>
      <c r="BZ484" s="1021"/>
      <c r="CA484" s="1021"/>
      <c r="CB484" s="1021"/>
      <c r="CC484" s="1021"/>
    </row>
    <row r="485" spans="8:81" x14ac:dyDescent="0.25">
      <c r="H485" s="1021"/>
      <c r="I485" s="1021"/>
      <c r="J485" s="1021"/>
      <c r="K485" s="1021"/>
      <c r="L485" s="1021"/>
      <c r="M485" s="1021"/>
      <c r="N485" s="1021"/>
      <c r="O485" s="1021"/>
      <c r="P485" s="1021"/>
      <c r="Q485" s="1021"/>
      <c r="R485" s="1021"/>
      <c r="S485" s="1021"/>
      <c r="T485" s="1021"/>
      <c r="U485" s="1021"/>
      <c r="V485" s="1021"/>
      <c r="W485" s="1021"/>
      <c r="X485" s="1021"/>
      <c r="Y485" s="1021"/>
      <c r="Z485" s="1021"/>
      <c r="AA485" s="1021"/>
      <c r="AB485" s="1021"/>
      <c r="AC485" s="1021"/>
      <c r="AD485" s="1021"/>
      <c r="AE485" s="1021"/>
      <c r="AF485" s="1021"/>
      <c r="AG485" s="1021"/>
      <c r="AH485" s="1021"/>
      <c r="AI485" s="1021"/>
      <c r="AJ485" s="1021"/>
      <c r="AK485" s="1021"/>
      <c r="AL485" s="1021"/>
      <c r="AM485" s="1021"/>
      <c r="AN485" s="1021"/>
      <c r="AO485" s="1021"/>
      <c r="AP485" s="1021"/>
      <c r="AQ485" s="1021"/>
      <c r="AR485" s="1021"/>
      <c r="AS485" s="1021"/>
      <c r="AT485" s="1021"/>
      <c r="AU485" s="1021"/>
      <c r="AV485" s="1021"/>
      <c r="AW485" s="1021"/>
      <c r="AX485" s="1021"/>
      <c r="AY485" s="1021"/>
      <c r="AZ485" s="1021"/>
      <c r="BA485" s="1021"/>
      <c r="BB485" s="1021"/>
      <c r="BC485" s="1021"/>
      <c r="BD485" s="1021"/>
      <c r="BE485" s="1021"/>
      <c r="BF485" s="1021"/>
      <c r="BG485" s="1021"/>
      <c r="BH485" s="1021"/>
      <c r="BI485" s="1021"/>
      <c r="BJ485" s="1021"/>
      <c r="BK485" s="1021"/>
      <c r="BL485" s="1021"/>
      <c r="BM485" s="1021"/>
      <c r="BN485" s="1021"/>
      <c r="BO485" s="1021"/>
      <c r="BP485" s="1021"/>
      <c r="BQ485" s="1021"/>
      <c r="BR485" s="1021"/>
      <c r="BS485" s="1021"/>
      <c r="BT485" s="1021"/>
      <c r="BU485" s="1021"/>
      <c r="BV485" s="1021"/>
      <c r="BW485" s="1021"/>
      <c r="BX485" s="1021"/>
      <c r="BY485" s="1021"/>
      <c r="BZ485" s="1021"/>
      <c r="CA485" s="1021"/>
      <c r="CB485" s="1021"/>
      <c r="CC485" s="1021"/>
    </row>
    <row r="486" spans="8:81" x14ac:dyDescent="0.25">
      <c r="H486" s="1021"/>
      <c r="I486" s="1021"/>
      <c r="J486" s="1021"/>
      <c r="K486" s="1021"/>
      <c r="L486" s="1021"/>
      <c r="M486" s="1021"/>
      <c r="N486" s="1021"/>
      <c r="O486" s="1021"/>
      <c r="P486" s="1021"/>
      <c r="Q486" s="1021"/>
      <c r="R486" s="1021"/>
      <c r="S486" s="1021"/>
      <c r="T486" s="1021"/>
      <c r="U486" s="1021"/>
      <c r="V486" s="1021"/>
      <c r="W486" s="1021"/>
      <c r="X486" s="1021"/>
      <c r="Y486" s="1021"/>
      <c r="Z486" s="1021"/>
      <c r="AA486" s="1021"/>
      <c r="AB486" s="1021"/>
      <c r="AC486" s="1021"/>
      <c r="AD486" s="1021"/>
      <c r="AE486" s="1021"/>
      <c r="AF486" s="1021"/>
      <c r="AG486" s="1021"/>
      <c r="AH486" s="1021"/>
      <c r="AI486" s="1021"/>
      <c r="AJ486" s="1021"/>
      <c r="AK486" s="1021"/>
      <c r="AL486" s="1021"/>
      <c r="AM486" s="1021"/>
      <c r="AN486" s="1021"/>
      <c r="AO486" s="1021"/>
      <c r="AP486" s="1021"/>
      <c r="AQ486" s="1021"/>
      <c r="AR486" s="1021"/>
      <c r="AS486" s="1021"/>
      <c r="AT486" s="1021"/>
      <c r="AU486" s="1021"/>
      <c r="AV486" s="1021"/>
      <c r="AW486" s="1021"/>
      <c r="AX486" s="1021"/>
      <c r="AY486" s="1021"/>
      <c r="AZ486" s="1021"/>
      <c r="BA486" s="1021"/>
      <c r="BB486" s="1021"/>
      <c r="BC486" s="1021"/>
      <c r="BD486" s="1021"/>
      <c r="BE486" s="1021"/>
      <c r="BF486" s="1021"/>
      <c r="BG486" s="1021"/>
      <c r="BH486" s="1021"/>
      <c r="BI486" s="1021"/>
      <c r="BJ486" s="1021"/>
      <c r="BK486" s="1021"/>
      <c r="BL486" s="1021"/>
      <c r="BM486" s="1021"/>
      <c r="BN486" s="1021"/>
      <c r="BO486" s="1021"/>
      <c r="BP486" s="1021"/>
      <c r="BQ486" s="1021"/>
      <c r="BR486" s="1021"/>
      <c r="BS486" s="1021"/>
      <c r="BT486" s="1021"/>
      <c r="BU486" s="1021"/>
      <c r="BV486" s="1021"/>
      <c r="BW486" s="1021"/>
      <c r="BX486" s="1021"/>
      <c r="BY486" s="1021"/>
      <c r="BZ486" s="1021"/>
      <c r="CA486" s="1021"/>
      <c r="CB486" s="1021"/>
      <c r="CC486" s="1021"/>
    </row>
    <row r="487" spans="8:81" x14ac:dyDescent="0.25">
      <c r="H487" s="1021"/>
      <c r="I487" s="1021"/>
      <c r="J487" s="1021"/>
      <c r="K487" s="1021"/>
      <c r="L487" s="1021"/>
      <c r="M487" s="1021"/>
      <c r="N487" s="1021"/>
      <c r="O487" s="1021"/>
      <c r="P487" s="1021"/>
      <c r="Q487" s="1021"/>
      <c r="R487" s="1021"/>
      <c r="S487" s="1021"/>
      <c r="T487" s="1021"/>
      <c r="U487" s="1021"/>
      <c r="V487" s="1021"/>
      <c r="W487" s="1021"/>
      <c r="X487" s="1021"/>
      <c r="Y487" s="1021"/>
      <c r="Z487" s="1021"/>
      <c r="AA487" s="1021"/>
      <c r="AB487" s="1021"/>
      <c r="AC487" s="1021"/>
      <c r="AD487" s="1021"/>
      <c r="AE487" s="1021"/>
      <c r="AF487" s="1021"/>
      <c r="AG487" s="1021"/>
      <c r="AH487" s="1021"/>
      <c r="AI487" s="1021"/>
      <c r="AJ487" s="1021"/>
      <c r="AK487" s="1021"/>
      <c r="AL487" s="1021"/>
      <c r="AM487" s="1021"/>
      <c r="AN487" s="1021"/>
      <c r="AO487" s="1021"/>
      <c r="AP487" s="1021"/>
      <c r="AQ487" s="1021"/>
      <c r="AR487" s="1021"/>
      <c r="AS487" s="1021"/>
      <c r="AT487" s="1021"/>
      <c r="AU487" s="1021"/>
      <c r="AV487" s="1021"/>
      <c r="AW487" s="1021"/>
      <c r="AX487" s="1021"/>
      <c r="AY487" s="1021"/>
      <c r="AZ487" s="1021"/>
      <c r="BA487" s="1021"/>
      <c r="BB487" s="1021"/>
      <c r="BC487" s="1021"/>
      <c r="BD487" s="1021"/>
      <c r="BE487" s="1021"/>
      <c r="BF487" s="1021"/>
      <c r="BG487" s="1021"/>
      <c r="BH487" s="1021"/>
      <c r="BI487" s="1021"/>
      <c r="BJ487" s="1021"/>
      <c r="BK487" s="1021"/>
      <c r="BL487" s="1021"/>
      <c r="BM487" s="1021"/>
      <c r="BN487" s="1021"/>
      <c r="BO487" s="1021"/>
      <c r="BP487" s="1021"/>
      <c r="BQ487" s="1021"/>
      <c r="BR487" s="1021"/>
      <c r="BS487" s="1021"/>
      <c r="BT487" s="1021"/>
      <c r="BU487" s="1021"/>
      <c r="BV487" s="1021"/>
      <c r="BW487" s="1021"/>
      <c r="BX487" s="1021"/>
      <c r="BY487" s="1021"/>
      <c r="BZ487" s="1021"/>
      <c r="CA487" s="1021"/>
      <c r="CB487" s="1021"/>
      <c r="CC487" s="1021"/>
    </row>
    <row r="488" spans="8:81" x14ac:dyDescent="0.25">
      <c r="H488" s="1021"/>
      <c r="I488" s="1021"/>
      <c r="J488" s="1021"/>
      <c r="K488" s="1021"/>
      <c r="L488" s="1021"/>
      <c r="M488" s="1021"/>
      <c r="N488" s="1021"/>
      <c r="O488" s="1021"/>
      <c r="P488" s="1021"/>
      <c r="Q488" s="1021"/>
      <c r="R488" s="1021"/>
      <c r="S488" s="1021"/>
      <c r="T488" s="1021"/>
      <c r="U488" s="1021"/>
      <c r="V488" s="1021"/>
      <c r="W488" s="1021"/>
      <c r="X488" s="1021"/>
      <c r="Y488" s="1021"/>
      <c r="Z488" s="1021"/>
      <c r="AA488" s="1021"/>
      <c r="AB488" s="1021"/>
      <c r="AC488" s="1021"/>
      <c r="AD488" s="1021"/>
      <c r="AE488" s="1021"/>
      <c r="AF488" s="1021"/>
      <c r="AG488" s="1021"/>
      <c r="AH488" s="1021"/>
      <c r="AI488" s="1021"/>
      <c r="AJ488" s="1021"/>
      <c r="AK488" s="1021"/>
      <c r="AL488" s="1021"/>
      <c r="AM488" s="1021"/>
      <c r="AN488" s="1021"/>
      <c r="AO488" s="1021"/>
      <c r="AP488" s="1021"/>
      <c r="AQ488" s="1021"/>
      <c r="AR488" s="1021"/>
      <c r="AS488" s="1021"/>
      <c r="AT488" s="1021"/>
      <c r="AU488" s="1021"/>
      <c r="AV488" s="1021"/>
      <c r="AW488" s="1021"/>
      <c r="AX488" s="1021"/>
      <c r="AY488" s="1021"/>
      <c r="AZ488" s="1021"/>
      <c r="BA488" s="1021"/>
      <c r="BB488" s="1021"/>
      <c r="BC488" s="1021"/>
      <c r="BD488" s="1021"/>
      <c r="BE488" s="1021"/>
      <c r="BF488" s="1021"/>
      <c r="BG488" s="1021"/>
      <c r="BH488" s="1021"/>
      <c r="BI488" s="1021"/>
      <c r="BJ488" s="1021"/>
      <c r="BK488" s="1021"/>
      <c r="BL488" s="1021"/>
      <c r="BM488" s="1021"/>
      <c r="BN488" s="1021"/>
      <c r="BO488" s="1021"/>
      <c r="BP488" s="1021"/>
      <c r="BQ488" s="1021"/>
      <c r="BR488" s="1021"/>
      <c r="BS488" s="1021"/>
      <c r="BT488" s="1021"/>
      <c r="BU488" s="1021"/>
      <c r="BV488" s="1021"/>
      <c r="BW488" s="1021"/>
      <c r="BX488" s="1021"/>
      <c r="BY488" s="1021"/>
      <c r="BZ488" s="1021"/>
      <c r="CA488" s="1021"/>
      <c r="CB488" s="1021"/>
      <c r="CC488" s="1021"/>
    </row>
    <row r="489" spans="8:81" x14ac:dyDescent="0.25">
      <c r="H489" s="1021"/>
      <c r="I489" s="1021"/>
      <c r="J489" s="1021"/>
      <c r="K489" s="1021"/>
      <c r="L489" s="1021"/>
      <c r="M489" s="1021"/>
      <c r="N489" s="1021"/>
      <c r="O489" s="1021"/>
      <c r="P489" s="1021"/>
      <c r="Q489" s="1021"/>
      <c r="R489" s="1021"/>
      <c r="S489" s="1021"/>
      <c r="T489" s="1021"/>
      <c r="U489" s="1021"/>
      <c r="V489" s="1021"/>
      <c r="W489" s="1021"/>
      <c r="X489" s="1021"/>
      <c r="Y489" s="1021"/>
      <c r="Z489" s="1021"/>
      <c r="AA489" s="1021"/>
      <c r="AB489" s="1021"/>
      <c r="AC489" s="1021"/>
      <c r="AD489" s="1021"/>
      <c r="AE489" s="1021"/>
      <c r="AF489" s="1021"/>
      <c r="AG489" s="1021"/>
      <c r="AH489" s="1021"/>
      <c r="AI489" s="1021"/>
      <c r="AJ489" s="1021"/>
      <c r="AK489" s="1021"/>
      <c r="AL489" s="1021"/>
      <c r="AM489" s="1021"/>
      <c r="AN489" s="1021"/>
      <c r="AO489" s="1021"/>
      <c r="AP489" s="1021"/>
      <c r="AQ489" s="1021"/>
      <c r="AR489" s="1021"/>
      <c r="AS489" s="1021"/>
      <c r="AT489" s="1021"/>
      <c r="AU489" s="1021"/>
      <c r="AV489" s="1021"/>
      <c r="AW489" s="1021"/>
      <c r="AX489" s="1021"/>
      <c r="AY489" s="1021"/>
      <c r="AZ489" s="1021"/>
      <c r="BA489" s="1021"/>
      <c r="BB489" s="1021"/>
      <c r="BC489" s="1021"/>
      <c r="BD489" s="1021"/>
      <c r="BE489" s="1021"/>
      <c r="BF489" s="1021"/>
      <c r="BG489" s="1021"/>
      <c r="BH489" s="1021"/>
      <c r="BI489" s="1021"/>
      <c r="BJ489" s="1021"/>
      <c r="BK489" s="1021"/>
      <c r="BL489" s="1021"/>
      <c r="BM489" s="1021"/>
      <c r="BN489" s="1021"/>
      <c r="BO489" s="1021"/>
      <c r="BP489" s="1021"/>
      <c r="BQ489" s="1021"/>
      <c r="BR489" s="1021"/>
      <c r="BS489" s="1021"/>
      <c r="BT489" s="1021"/>
      <c r="BU489" s="1021"/>
      <c r="BV489" s="1021"/>
      <c r="BW489" s="1021"/>
      <c r="BX489" s="1021"/>
      <c r="BY489" s="1021"/>
      <c r="BZ489" s="1021"/>
      <c r="CA489" s="1021"/>
      <c r="CB489" s="1021"/>
      <c r="CC489" s="1021"/>
    </row>
    <row r="490" spans="8:81" x14ac:dyDescent="0.25">
      <c r="H490" s="1021"/>
      <c r="I490" s="1021"/>
      <c r="J490" s="1021"/>
      <c r="K490" s="1021"/>
      <c r="L490" s="1021"/>
      <c r="M490" s="1021"/>
      <c r="N490" s="1021"/>
      <c r="O490" s="1021"/>
      <c r="P490" s="1021"/>
      <c r="Q490" s="1021"/>
      <c r="R490" s="1021"/>
      <c r="S490" s="1021"/>
      <c r="T490" s="1021"/>
      <c r="U490" s="1021"/>
      <c r="V490" s="1021"/>
      <c r="W490" s="1021"/>
      <c r="X490" s="1021"/>
      <c r="Y490" s="1021"/>
      <c r="Z490" s="1021"/>
      <c r="AA490" s="1021"/>
      <c r="AB490" s="1021"/>
      <c r="AC490" s="1021"/>
      <c r="AD490" s="1021"/>
      <c r="AE490" s="1021"/>
      <c r="AF490" s="1021"/>
      <c r="AG490" s="1021"/>
      <c r="AH490" s="1021"/>
      <c r="AI490" s="1021"/>
      <c r="AJ490" s="1021"/>
      <c r="AK490" s="1021"/>
      <c r="AL490" s="1021"/>
      <c r="AM490" s="1021"/>
      <c r="AN490" s="1021"/>
      <c r="AO490" s="1021"/>
      <c r="AP490" s="1021"/>
      <c r="AQ490" s="1021"/>
      <c r="AR490" s="1021"/>
      <c r="AS490" s="1021"/>
      <c r="AT490" s="1021"/>
      <c r="AU490" s="1021"/>
      <c r="AV490" s="1021"/>
      <c r="AW490" s="1021"/>
      <c r="AX490" s="1021"/>
      <c r="AY490" s="1021"/>
      <c r="AZ490" s="1021"/>
      <c r="BA490" s="1021"/>
      <c r="BB490" s="1021"/>
      <c r="BC490" s="1021"/>
      <c r="BD490" s="1021"/>
      <c r="BE490" s="1021"/>
      <c r="BF490" s="1021"/>
      <c r="BG490" s="1021"/>
      <c r="BH490" s="1021"/>
      <c r="BI490" s="1021"/>
      <c r="BJ490" s="1021"/>
      <c r="BK490" s="1021"/>
      <c r="BL490" s="1021"/>
      <c r="BM490" s="1021"/>
      <c r="BN490" s="1021"/>
      <c r="BO490" s="1021"/>
      <c r="BP490" s="1021"/>
      <c r="BQ490" s="1021"/>
      <c r="BR490" s="1021"/>
      <c r="BS490" s="1021"/>
      <c r="BT490" s="1021"/>
      <c r="BU490" s="1021"/>
      <c r="BV490" s="1021"/>
      <c r="BW490" s="1021"/>
      <c r="BX490" s="1021"/>
      <c r="BY490" s="1021"/>
      <c r="BZ490" s="1021"/>
      <c r="CA490" s="1021"/>
      <c r="CB490" s="1021"/>
      <c r="CC490" s="1021"/>
    </row>
    <row r="491" spans="8:81" x14ac:dyDescent="0.25">
      <c r="H491" s="1021"/>
      <c r="I491" s="1021"/>
      <c r="J491" s="1021"/>
      <c r="K491" s="1021"/>
      <c r="L491" s="1021"/>
      <c r="M491" s="1021"/>
      <c r="N491" s="1021"/>
      <c r="O491" s="1021"/>
      <c r="P491" s="1021"/>
      <c r="Q491" s="1021"/>
      <c r="R491" s="1021"/>
      <c r="S491" s="1021"/>
      <c r="T491" s="1021"/>
      <c r="U491" s="1021"/>
      <c r="V491" s="1021"/>
      <c r="W491" s="1021"/>
      <c r="X491" s="1021"/>
      <c r="Y491" s="1021"/>
      <c r="Z491" s="1021"/>
      <c r="AA491" s="1021"/>
      <c r="AB491" s="1021"/>
      <c r="AC491" s="1021"/>
      <c r="AD491" s="1021"/>
      <c r="AE491" s="1021"/>
      <c r="AF491" s="1021"/>
      <c r="AG491" s="1021"/>
      <c r="AH491" s="1021"/>
      <c r="AI491" s="1021"/>
      <c r="AJ491" s="1021"/>
      <c r="AK491" s="1021"/>
      <c r="AL491" s="1021"/>
      <c r="AM491" s="1021"/>
      <c r="AN491" s="1021"/>
      <c r="AO491" s="1021"/>
      <c r="AP491" s="1021"/>
      <c r="AQ491" s="1021"/>
      <c r="AR491" s="1021"/>
      <c r="AS491" s="1021"/>
      <c r="AT491" s="1021"/>
      <c r="AU491" s="1021"/>
      <c r="AV491" s="1021"/>
      <c r="AW491" s="1021"/>
      <c r="AX491" s="1021"/>
      <c r="AY491" s="1021"/>
      <c r="AZ491" s="1021"/>
      <c r="BA491" s="1021"/>
      <c r="BB491" s="1021"/>
      <c r="BC491" s="1021"/>
      <c r="BD491" s="1021"/>
      <c r="BE491" s="1021"/>
      <c r="BF491" s="1021"/>
      <c r="BG491" s="1021"/>
      <c r="BH491" s="1021"/>
      <c r="BI491" s="1021"/>
      <c r="BJ491" s="1021"/>
      <c r="BK491" s="1021"/>
      <c r="BL491" s="1021"/>
      <c r="BM491" s="1021"/>
      <c r="BN491" s="1021"/>
      <c r="BO491" s="1021"/>
      <c r="BP491" s="1021"/>
      <c r="BQ491" s="1021"/>
      <c r="BR491" s="1021"/>
      <c r="BS491" s="1021"/>
      <c r="BT491" s="1021"/>
      <c r="BU491" s="1021"/>
      <c r="BV491" s="1021"/>
      <c r="BW491" s="1021"/>
      <c r="BX491" s="1021"/>
      <c r="BY491" s="1021"/>
      <c r="BZ491" s="1021"/>
      <c r="CA491" s="1021"/>
      <c r="CB491" s="1021"/>
      <c r="CC491" s="1021"/>
    </row>
    <row r="492" spans="8:81" x14ac:dyDescent="0.25">
      <c r="H492" s="1021"/>
      <c r="I492" s="1021"/>
      <c r="J492" s="1021"/>
      <c r="K492" s="1021"/>
      <c r="L492" s="1021"/>
      <c r="M492" s="1021"/>
      <c r="N492" s="1021"/>
      <c r="O492" s="1021"/>
      <c r="P492" s="1021"/>
      <c r="Q492" s="1021"/>
      <c r="R492" s="1021"/>
      <c r="S492" s="1021"/>
      <c r="T492" s="1021"/>
      <c r="U492" s="1021"/>
      <c r="V492" s="1021"/>
      <c r="W492" s="1021"/>
      <c r="X492" s="1021"/>
      <c r="Y492" s="1021"/>
      <c r="Z492" s="1021"/>
      <c r="AA492" s="1021"/>
      <c r="AB492" s="1021"/>
      <c r="AC492" s="1021"/>
      <c r="AD492" s="1021"/>
      <c r="AE492" s="1021"/>
      <c r="AF492" s="1021"/>
      <c r="AG492" s="1021"/>
      <c r="AH492" s="1021"/>
      <c r="AI492" s="1021"/>
      <c r="AJ492" s="1021"/>
      <c r="AK492" s="1021"/>
      <c r="AL492" s="1021"/>
      <c r="AM492" s="1021"/>
      <c r="AN492" s="1021"/>
      <c r="AO492" s="1021"/>
      <c r="AP492" s="1021"/>
      <c r="AQ492" s="1021"/>
      <c r="AR492" s="1021"/>
      <c r="AS492" s="1021"/>
      <c r="AT492" s="1021"/>
      <c r="AU492" s="1021"/>
      <c r="AV492" s="1021"/>
      <c r="AW492" s="1021"/>
      <c r="AX492" s="1021"/>
      <c r="AY492" s="1021"/>
      <c r="AZ492" s="1021"/>
      <c r="BA492" s="1021"/>
      <c r="BB492" s="1021"/>
      <c r="BC492" s="1021"/>
      <c r="BD492" s="1021"/>
      <c r="BE492" s="1021"/>
      <c r="BF492" s="1021"/>
      <c r="BG492" s="1021"/>
      <c r="BH492" s="1021"/>
      <c r="BI492" s="1021"/>
      <c r="BJ492" s="1021"/>
      <c r="BK492" s="1021"/>
      <c r="BL492" s="1021"/>
      <c r="BM492" s="1021"/>
      <c r="BN492" s="1021"/>
      <c r="BO492" s="1021"/>
      <c r="BP492" s="1021"/>
      <c r="BQ492" s="1021"/>
      <c r="BR492" s="1021"/>
      <c r="BS492" s="1021"/>
      <c r="BT492" s="1021"/>
      <c r="BU492" s="1021"/>
      <c r="BV492" s="1021"/>
      <c r="BW492" s="1021"/>
      <c r="BX492" s="1021"/>
      <c r="BY492" s="1021"/>
      <c r="BZ492" s="1021"/>
      <c r="CA492" s="1021"/>
      <c r="CB492" s="1021"/>
      <c r="CC492" s="1021"/>
    </row>
    <row r="493" spans="8:81" x14ac:dyDescent="0.25">
      <c r="H493" s="1021"/>
      <c r="I493" s="1021"/>
      <c r="J493" s="1021"/>
      <c r="K493" s="1021"/>
      <c r="L493" s="1021"/>
      <c r="M493" s="1021"/>
      <c r="N493" s="1021"/>
      <c r="O493" s="1021"/>
      <c r="P493" s="1021"/>
      <c r="Q493" s="1021"/>
      <c r="R493" s="1021"/>
      <c r="S493" s="1021"/>
      <c r="T493" s="1021"/>
      <c r="U493" s="1021"/>
      <c r="V493" s="1021"/>
      <c r="W493" s="1021"/>
      <c r="X493" s="1021"/>
      <c r="Y493" s="1021"/>
      <c r="Z493" s="1021"/>
      <c r="AA493" s="1021"/>
      <c r="AB493" s="1021"/>
      <c r="AC493" s="1021"/>
      <c r="AD493" s="1021"/>
      <c r="AE493" s="1021"/>
      <c r="AF493" s="1021"/>
      <c r="AG493" s="1021"/>
      <c r="AH493" s="1021"/>
      <c r="AI493" s="1021"/>
      <c r="AJ493" s="1021"/>
      <c r="AK493" s="1021"/>
      <c r="AL493" s="1021"/>
      <c r="AM493" s="1021"/>
      <c r="AN493" s="1021"/>
      <c r="AO493" s="1021"/>
      <c r="AP493" s="1021"/>
      <c r="AQ493" s="1021"/>
      <c r="AR493" s="1021"/>
      <c r="AS493" s="1021"/>
      <c r="AT493" s="1021"/>
      <c r="AU493" s="1021"/>
      <c r="AV493" s="1021"/>
      <c r="AW493" s="1021"/>
      <c r="AX493" s="1021"/>
      <c r="AY493" s="1021"/>
      <c r="AZ493" s="1021"/>
      <c r="BA493" s="1021"/>
      <c r="BB493" s="1021"/>
      <c r="BC493" s="1021"/>
      <c r="BD493" s="1021"/>
      <c r="BE493" s="1021"/>
      <c r="BF493" s="1021"/>
      <c r="BG493" s="1021"/>
      <c r="BH493" s="1021"/>
      <c r="BI493" s="1021"/>
      <c r="BJ493" s="1021"/>
      <c r="BK493" s="1021"/>
      <c r="BL493" s="1021"/>
      <c r="BM493" s="1021"/>
      <c r="BN493" s="1021"/>
      <c r="BO493" s="1021"/>
      <c r="BP493" s="1021"/>
      <c r="BQ493" s="1021"/>
      <c r="BR493" s="1021"/>
      <c r="BS493" s="1021"/>
      <c r="BT493" s="1021"/>
      <c r="BU493" s="1021"/>
      <c r="BV493" s="1021"/>
      <c r="BW493" s="1021"/>
      <c r="BX493" s="1021"/>
      <c r="BY493" s="1021"/>
      <c r="BZ493" s="1021"/>
      <c r="CA493" s="1021"/>
      <c r="CB493" s="1021"/>
      <c r="CC493" s="1021"/>
    </row>
    <row r="494" spans="8:81" x14ac:dyDescent="0.25">
      <c r="H494" s="1021"/>
      <c r="I494" s="1021"/>
      <c r="J494" s="1021"/>
      <c r="K494" s="1021"/>
      <c r="L494" s="1021"/>
      <c r="M494" s="1021"/>
      <c r="N494" s="1021"/>
      <c r="O494" s="1021"/>
      <c r="P494" s="1021"/>
      <c r="Q494" s="1021"/>
      <c r="R494" s="1021"/>
      <c r="S494" s="1021"/>
      <c r="T494" s="1021"/>
      <c r="U494" s="1021"/>
      <c r="V494" s="1021"/>
      <c r="W494" s="1021"/>
      <c r="X494" s="1021"/>
      <c r="Y494" s="1021"/>
      <c r="Z494" s="1021"/>
      <c r="AA494" s="1021"/>
      <c r="AB494" s="1021"/>
      <c r="AC494" s="1021"/>
      <c r="AD494" s="1021"/>
      <c r="AE494" s="1021"/>
      <c r="AF494" s="1021"/>
      <c r="AG494" s="1021"/>
      <c r="AH494" s="1021"/>
      <c r="AI494" s="1021"/>
      <c r="AJ494" s="1021"/>
      <c r="AK494" s="1021"/>
      <c r="AL494" s="1021"/>
      <c r="AM494" s="1021"/>
      <c r="AN494" s="1021"/>
      <c r="AO494" s="1021"/>
      <c r="AP494" s="1021"/>
      <c r="AQ494" s="1021"/>
      <c r="AR494" s="1021"/>
      <c r="AS494" s="1021"/>
      <c r="AT494" s="1021"/>
      <c r="AU494" s="1021"/>
      <c r="AV494" s="1021"/>
      <c r="AW494" s="1021"/>
      <c r="AX494" s="1021"/>
      <c r="AY494" s="1021"/>
      <c r="AZ494" s="1021"/>
      <c r="BA494" s="1021"/>
      <c r="BB494" s="1021"/>
      <c r="BC494" s="1021"/>
      <c r="BD494" s="1021"/>
      <c r="BE494" s="1021"/>
      <c r="BF494" s="1021"/>
      <c r="BG494" s="1021"/>
      <c r="BH494" s="1021"/>
      <c r="BI494" s="1021"/>
      <c r="BJ494" s="1021"/>
      <c r="BK494" s="1021"/>
      <c r="BL494" s="1021"/>
      <c r="BM494" s="1021"/>
      <c r="BN494" s="1021"/>
      <c r="BO494" s="1021"/>
      <c r="BP494" s="1021"/>
      <c r="BQ494" s="1021"/>
      <c r="BR494" s="1021"/>
      <c r="BS494" s="1021"/>
      <c r="BT494" s="1021"/>
      <c r="BU494" s="1021"/>
      <c r="BV494" s="1021"/>
      <c r="BW494" s="1021"/>
      <c r="BX494" s="1021"/>
      <c r="BY494" s="1021"/>
      <c r="BZ494" s="1021"/>
      <c r="CA494" s="1021"/>
      <c r="CB494" s="1021"/>
      <c r="CC494" s="1021"/>
    </row>
    <row r="495" spans="8:81" x14ac:dyDescent="0.25">
      <c r="H495" s="1021"/>
      <c r="I495" s="1021"/>
      <c r="J495" s="1021"/>
      <c r="K495" s="1021"/>
      <c r="L495" s="1021"/>
      <c r="M495" s="1021"/>
      <c r="N495" s="1021"/>
      <c r="O495" s="1021"/>
      <c r="P495" s="1021"/>
      <c r="Q495" s="1021"/>
      <c r="R495" s="1021"/>
      <c r="S495" s="1021"/>
      <c r="T495" s="1021"/>
      <c r="U495" s="1021"/>
      <c r="V495" s="1021"/>
      <c r="W495" s="1021"/>
      <c r="X495" s="1021"/>
      <c r="Y495" s="1021"/>
      <c r="Z495" s="1021"/>
      <c r="AA495" s="1021"/>
      <c r="AB495" s="1021"/>
      <c r="AC495" s="1021"/>
      <c r="AD495" s="1021"/>
      <c r="AE495" s="1021"/>
      <c r="AF495" s="1021"/>
      <c r="AG495" s="1021"/>
      <c r="AH495" s="1021"/>
      <c r="AI495" s="1021"/>
      <c r="AJ495" s="1021"/>
      <c r="AK495" s="1021"/>
      <c r="AL495" s="1021"/>
      <c r="AM495" s="1021"/>
      <c r="AN495" s="1021"/>
      <c r="AO495" s="1021"/>
      <c r="AP495" s="1021"/>
      <c r="AQ495" s="1021"/>
      <c r="AR495" s="1021"/>
      <c r="AS495" s="1021"/>
      <c r="AT495" s="1021"/>
      <c r="AU495" s="1021"/>
      <c r="AV495" s="1021"/>
      <c r="AW495" s="1021"/>
      <c r="AX495" s="1021"/>
      <c r="AY495" s="1021"/>
      <c r="AZ495" s="1021"/>
      <c r="BA495" s="1021"/>
      <c r="BB495" s="1021"/>
      <c r="BC495" s="1021"/>
      <c r="BD495" s="1021"/>
      <c r="BE495" s="1021"/>
      <c r="BF495" s="1021"/>
      <c r="BG495" s="1021"/>
      <c r="BH495" s="1021"/>
      <c r="BI495" s="1021"/>
      <c r="BJ495" s="1021"/>
      <c r="BK495" s="1021"/>
      <c r="BL495" s="1021"/>
      <c r="BM495" s="1021"/>
      <c r="BN495" s="1021"/>
      <c r="BO495" s="1021"/>
      <c r="BP495" s="1021"/>
      <c r="BQ495" s="1021"/>
      <c r="BR495" s="1021"/>
      <c r="BS495" s="1021"/>
      <c r="BT495" s="1021"/>
      <c r="BU495" s="1021"/>
      <c r="BV495" s="1021"/>
      <c r="BW495" s="1021"/>
      <c r="BX495" s="1021"/>
      <c r="BY495" s="1021"/>
      <c r="BZ495" s="1021"/>
      <c r="CA495" s="1021"/>
      <c r="CB495" s="1021"/>
      <c r="CC495" s="1021"/>
    </row>
    <row r="496" spans="8:81" x14ac:dyDescent="0.25">
      <c r="H496" s="1021"/>
      <c r="I496" s="1021"/>
      <c r="J496" s="1021"/>
      <c r="K496" s="1021"/>
      <c r="L496" s="1021"/>
      <c r="M496" s="1021"/>
      <c r="N496" s="1021"/>
      <c r="O496" s="1021"/>
      <c r="P496" s="1021"/>
      <c r="Q496" s="1021"/>
      <c r="R496" s="1021"/>
      <c r="S496" s="1021"/>
      <c r="T496" s="1021"/>
      <c r="U496" s="1021"/>
      <c r="V496" s="1021"/>
      <c r="W496" s="1021"/>
      <c r="X496" s="1021"/>
      <c r="Y496" s="1021"/>
      <c r="Z496" s="1021"/>
      <c r="AA496" s="1021"/>
      <c r="AB496" s="1021"/>
      <c r="AC496" s="1021"/>
      <c r="AD496" s="1021"/>
      <c r="AE496" s="1021"/>
      <c r="AF496" s="1021"/>
      <c r="AG496" s="1021"/>
      <c r="AH496" s="1021"/>
      <c r="AI496" s="1021"/>
      <c r="AJ496" s="1021"/>
      <c r="AK496" s="1021"/>
      <c r="AL496" s="1021"/>
      <c r="AM496" s="1021"/>
      <c r="AN496" s="1021"/>
      <c r="AO496" s="1021"/>
      <c r="AP496" s="1021"/>
      <c r="AQ496" s="1021"/>
      <c r="AR496" s="1021"/>
      <c r="AS496" s="1021"/>
      <c r="AT496" s="1021"/>
      <c r="AU496" s="1021"/>
      <c r="AV496" s="1021"/>
      <c r="AW496" s="1021"/>
      <c r="AX496" s="1021"/>
      <c r="AY496" s="1021"/>
      <c r="AZ496" s="1021"/>
      <c r="BA496" s="1021"/>
      <c r="BB496" s="1021"/>
      <c r="BC496" s="1021"/>
      <c r="BD496" s="1021"/>
      <c r="BE496" s="1021"/>
      <c r="BF496" s="1021"/>
      <c r="BG496" s="1021"/>
      <c r="BH496" s="1021"/>
      <c r="BI496" s="1021"/>
      <c r="BJ496" s="1021"/>
      <c r="BK496" s="1021"/>
      <c r="BL496" s="1021"/>
      <c r="BM496" s="1021"/>
      <c r="BN496" s="1021"/>
      <c r="BO496" s="1021"/>
      <c r="BP496" s="1021"/>
      <c r="BQ496" s="1021"/>
      <c r="BR496" s="1021"/>
      <c r="BS496" s="1021"/>
      <c r="BT496" s="1021"/>
      <c r="BU496" s="1021"/>
      <c r="BV496" s="1021"/>
      <c r="BW496" s="1021"/>
      <c r="BX496" s="1021"/>
      <c r="BY496" s="1021"/>
      <c r="BZ496" s="1021"/>
      <c r="CA496" s="1021"/>
      <c r="CB496" s="1021"/>
      <c r="CC496" s="1021"/>
    </row>
    <row r="497" spans="8:81" x14ac:dyDescent="0.25">
      <c r="H497" s="1021"/>
      <c r="I497" s="1021"/>
      <c r="J497" s="1021"/>
      <c r="K497" s="1021"/>
      <c r="L497" s="1021"/>
      <c r="M497" s="1021"/>
      <c r="N497" s="1021"/>
      <c r="O497" s="1021"/>
      <c r="P497" s="1021"/>
      <c r="Q497" s="1021"/>
      <c r="R497" s="1021"/>
      <c r="S497" s="1021"/>
      <c r="T497" s="1021"/>
      <c r="U497" s="1021"/>
      <c r="V497" s="1021"/>
      <c r="W497" s="1021"/>
      <c r="X497" s="1021"/>
      <c r="Y497" s="1021"/>
      <c r="Z497" s="1021"/>
      <c r="AA497" s="1021"/>
      <c r="AB497" s="1021"/>
      <c r="AC497" s="1021"/>
      <c r="AD497" s="1021"/>
      <c r="AE497" s="1021"/>
      <c r="AF497" s="1021"/>
      <c r="AG497" s="1021"/>
      <c r="AH497" s="1021"/>
      <c r="AI497" s="1021"/>
      <c r="AJ497" s="1021"/>
      <c r="AK497" s="1021"/>
      <c r="AL497" s="1021"/>
      <c r="AM497" s="1021"/>
      <c r="AN497" s="1021"/>
      <c r="AO497" s="1021"/>
      <c r="AP497" s="1021"/>
      <c r="AQ497" s="1021"/>
      <c r="AR497" s="1021"/>
      <c r="AS497" s="1021"/>
      <c r="AT497" s="1021"/>
      <c r="AU497" s="1021"/>
      <c r="AV497" s="1021"/>
      <c r="AW497" s="1021"/>
      <c r="AX497" s="1021"/>
      <c r="AY497" s="1021"/>
      <c r="AZ497" s="1021"/>
      <c r="BA497" s="1021"/>
      <c r="BB497" s="1021"/>
      <c r="BC497" s="1021"/>
      <c r="BD497" s="1021"/>
      <c r="BE497" s="1021"/>
      <c r="BF497" s="1021"/>
      <c r="BG497" s="1021"/>
      <c r="BH497" s="1021"/>
      <c r="BI497" s="1021"/>
      <c r="BJ497" s="1021"/>
      <c r="BK497" s="1021"/>
      <c r="BL497" s="1021"/>
      <c r="BM497" s="1021"/>
      <c r="BN497" s="1021"/>
      <c r="BO497" s="1021"/>
      <c r="BP497" s="1021"/>
      <c r="BQ497" s="1021"/>
      <c r="BR497" s="1021"/>
      <c r="BS497" s="1021"/>
      <c r="BT497" s="1021"/>
      <c r="BU497" s="1021"/>
      <c r="BV497" s="1021"/>
      <c r="BW497" s="1021"/>
      <c r="BX497" s="1021"/>
      <c r="BY497" s="1021"/>
      <c r="BZ497" s="1021"/>
      <c r="CA497" s="1021"/>
      <c r="CB497" s="1021"/>
      <c r="CC497" s="1021"/>
    </row>
    <row r="498" spans="8:81" x14ac:dyDescent="0.25">
      <c r="H498" s="1021"/>
      <c r="I498" s="1021"/>
      <c r="J498" s="1021"/>
      <c r="K498" s="1021"/>
      <c r="L498" s="1021"/>
      <c r="M498" s="1021"/>
      <c r="N498" s="1021"/>
      <c r="O498" s="1021"/>
      <c r="P498" s="1021"/>
      <c r="Q498" s="1021"/>
      <c r="R498" s="1021"/>
      <c r="S498" s="1021"/>
      <c r="T498" s="1021"/>
      <c r="U498" s="1021"/>
      <c r="V498" s="1021"/>
      <c r="W498" s="1021"/>
      <c r="X498" s="1021"/>
      <c r="Y498" s="1021"/>
      <c r="Z498" s="1021"/>
      <c r="AA498" s="1021"/>
      <c r="AB498" s="1021"/>
      <c r="AC498" s="1021"/>
      <c r="AD498" s="1021"/>
      <c r="AE498" s="1021"/>
      <c r="AF498" s="1021"/>
      <c r="AG498" s="1021"/>
      <c r="AH498" s="1021"/>
      <c r="AI498" s="1021"/>
      <c r="AJ498" s="1021"/>
      <c r="AK498" s="1021"/>
      <c r="AL498" s="1021"/>
      <c r="AM498" s="1021"/>
      <c r="AN498" s="1021"/>
      <c r="AO498" s="1021"/>
      <c r="AP498" s="1021"/>
      <c r="AQ498" s="1021"/>
      <c r="AR498" s="1021"/>
      <c r="AS498" s="1021"/>
      <c r="AT498" s="1021"/>
      <c r="AU498" s="1021"/>
      <c r="AV498" s="1021"/>
      <c r="AW498" s="1021"/>
      <c r="AX498" s="1021"/>
      <c r="AY498" s="1021"/>
      <c r="AZ498" s="1021"/>
      <c r="BA498" s="1021"/>
      <c r="BB498" s="1021"/>
      <c r="BC498" s="1021"/>
      <c r="BD498" s="1021"/>
      <c r="BE498" s="1021"/>
      <c r="BF498" s="1021"/>
      <c r="BG498" s="1021"/>
      <c r="BH498" s="1021"/>
      <c r="BI498" s="1021"/>
      <c r="BJ498" s="1021"/>
      <c r="BK498" s="1021"/>
      <c r="BL498" s="1021"/>
      <c r="BM498" s="1021"/>
      <c r="BN498" s="1021"/>
      <c r="BO498" s="1021"/>
      <c r="BP498" s="1021"/>
      <c r="BQ498" s="1021"/>
      <c r="BR498" s="1021"/>
      <c r="BS498" s="1021"/>
      <c r="BT498" s="1021"/>
      <c r="BU498" s="1021"/>
      <c r="BV498" s="1021"/>
      <c r="BW498" s="1021"/>
      <c r="BX498" s="1021"/>
      <c r="BY498" s="1021"/>
      <c r="BZ498" s="1021"/>
      <c r="CA498" s="1021"/>
      <c r="CB498" s="1021"/>
      <c r="CC498" s="1021"/>
    </row>
    <row r="499" spans="8:81" x14ac:dyDescent="0.25">
      <c r="H499" s="1021"/>
      <c r="I499" s="1021"/>
      <c r="J499" s="1021"/>
      <c r="K499" s="1021"/>
      <c r="L499" s="1021"/>
      <c r="M499" s="1021"/>
      <c r="N499" s="1021"/>
      <c r="O499" s="1021"/>
      <c r="P499" s="1021"/>
      <c r="Q499" s="1021"/>
      <c r="R499" s="1021"/>
      <c r="S499" s="1021"/>
      <c r="T499" s="1021"/>
      <c r="U499" s="1021"/>
      <c r="V499" s="1021"/>
      <c r="W499" s="1021"/>
      <c r="X499" s="1021"/>
      <c r="Y499" s="1021"/>
      <c r="Z499" s="1021"/>
      <c r="AA499" s="1021"/>
      <c r="AB499" s="1021"/>
      <c r="AC499" s="1021"/>
      <c r="AD499" s="1021"/>
      <c r="AE499" s="1021"/>
      <c r="AF499" s="1021"/>
      <c r="AG499" s="1021"/>
      <c r="AH499" s="1021"/>
      <c r="AI499" s="1021"/>
      <c r="AJ499" s="1021"/>
      <c r="AK499" s="1021"/>
      <c r="AL499" s="1021"/>
      <c r="AM499" s="1021"/>
      <c r="AN499" s="1021"/>
      <c r="AO499" s="1021"/>
      <c r="AP499" s="1021"/>
      <c r="AQ499" s="1021"/>
      <c r="AR499" s="1021"/>
      <c r="AS499" s="1021"/>
      <c r="AT499" s="1021"/>
      <c r="AU499" s="1021"/>
      <c r="AV499" s="1021"/>
      <c r="AW499" s="1021"/>
      <c r="AX499" s="1021"/>
      <c r="AY499" s="1021"/>
      <c r="AZ499" s="1021"/>
      <c r="BA499" s="1021"/>
      <c r="BB499" s="1021"/>
      <c r="BC499" s="1021"/>
      <c r="BD499" s="1021"/>
      <c r="BE499" s="1021"/>
      <c r="BF499" s="1021"/>
      <c r="BG499" s="1021"/>
      <c r="BH499" s="1021"/>
      <c r="BI499" s="1021"/>
      <c r="BJ499" s="1021"/>
      <c r="BK499" s="1021"/>
      <c r="BL499" s="1021"/>
      <c r="BM499" s="1021"/>
      <c r="BN499" s="1021"/>
      <c r="BO499" s="1021"/>
      <c r="BP499" s="1021"/>
      <c r="BQ499" s="1021"/>
      <c r="BR499" s="1021"/>
      <c r="BS499" s="1021"/>
      <c r="BT499" s="1021"/>
      <c r="BU499" s="1021"/>
      <c r="BV499" s="1021"/>
      <c r="BW499" s="1021"/>
      <c r="BX499" s="1021"/>
      <c r="BY499" s="1021"/>
      <c r="BZ499" s="1021"/>
      <c r="CA499" s="1021"/>
      <c r="CB499" s="1021"/>
      <c r="CC499" s="1021"/>
    </row>
    <row r="500" spans="8:81" x14ac:dyDescent="0.25">
      <c r="H500" s="1021"/>
      <c r="I500" s="1021"/>
      <c r="J500" s="1021"/>
      <c r="K500" s="1021"/>
      <c r="L500" s="1021"/>
      <c r="M500" s="1021"/>
      <c r="N500" s="1021"/>
      <c r="O500" s="1021"/>
      <c r="P500" s="1021"/>
      <c r="Q500" s="1021"/>
      <c r="R500" s="1021"/>
      <c r="S500" s="1021"/>
      <c r="T500" s="1021"/>
      <c r="U500" s="1021"/>
      <c r="V500" s="1021"/>
      <c r="W500" s="1021"/>
      <c r="X500" s="1021"/>
      <c r="Y500" s="1021"/>
      <c r="Z500" s="1021"/>
      <c r="AA500" s="1021"/>
      <c r="AB500" s="1021"/>
      <c r="AC500" s="1021"/>
      <c r="AD500" s="1021"/>
      <c r="AE500" s="1021"/>
      <c r="AF500" s="1021"/>
      <c r="AG500" s="1021"/>
      <c r="AH500" s="1021"/>
      <c r="AI500" s="1021"/>
      <c r="AJ500" s="1021"/>
      <c r="AK500" s="1021"/>
      <c r="AL500" s="1021"/>
      <c r="AM500" s="1021"/>
      <c r="AN500" s="1021"/>
      <c r="AO500" s="1021"/>
      <c r="AP500" s="1021"/>
      <c r="AQ500" s="1021"/>
      <c r="AR500" s="1021"/>
      <c r="AS500" s="1021"/>
      <c r="AT500" s="1021"/>
      <c r="AU500" s="1021"/>
      <c r="AV500" s="1021"/>
      <c r="AW500" s="1021"/>
      <c r="AX500" s="1021"/>
      <c r="AY500" s="1021"/>
      <c r="AZ500" s="1021"/>
      <c r="BA500" s="1021"/>
      <c r="BB500" s="1021"/>
      <c r="BC500" s="1021"/>
      <c r="BD500" s="1021"/>
      <c r="BE500" s="1021"/>
      <c r="BF500" s="1021"/>
      <c r="BG500" s="1021"/>
      <c r="BH500" s="1021"/>
      <c r="BI500" s="1021"/>
      <c r="BJ500" s="1021"/>
      <c r="BK500" s="1021"/>
      <c r="BL500" s="1021"/>
      <c r="BM500" s="1021"/>
      <c r="BN500" s="1021"/>
      <c r="BO500" s="1021"/>
      <c r="BP500" s="1021"/>
      <c r="BQ500" s="1021"/>
      <c r="BR500" s="1021"/>
      <c r="BS500" s="1021"/>
      <c r="BT500" s="1021"/>
      <c r="BU500" s="1021"/>
      <c r="BV500" s="1021"/>
      <c r="BW500" s="1021"/>
      <c r="BX500" s="1021"/>
      <c r="BY500" s="1021"/>
      <c r="BZ500" s="1021"/>
      <c r="CA500" s="1021"/>
      <c r="CB500" s="1021"/>
      <c r="CC500" s="1021"/>
    </row>
  </sheetData>
  <pageMargins left="0.75" right="0.75" top="1" bottom="1" header="0.5" footer="0.5"/>
  <pageSetup orientation="portrait" horizont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J500"/>
  <sheetViews>
    <sheetView showGridLines="0" zoomScale="70" workbookViewId="0">
      <pane xSplit="1" ySplit="5" topLeftCell="DA6" activePane="bottomRight" state="frozenSplit"/>
      <selection activeCell="P109" sqref="P109"/>
      <selection pane="topRight" activeCell="P109" sqref="P109"/>
      <selection pane="bottomLeft" activeCell="P109" sqref="P109"/>
      <selection pane="bottomRight" activeCell="DH30" sqref="DH30"/>
    </sheetView>
  </sheetViews>
  <sheetFormatPr defaultRowHeight="13.2" x14ac:dyDescent="0.25"/>
  <cols>
    <col min="1" max="1" width="19" customWidth="1"/>
    <col min="2" max="6" width="5.44140625" customWidth="1"/>
    <col min="7" max="7" width="2.88671875" customWidth="1"/>
    <col min="8" max="106" width="11.88671875" customWidth="1"/>
    <col min="107" max="107" width="12.109375" bestFit="1" customWidth="1"/>
    <col min="112" max="112" width="19.5546875" customWidth="1"/>
    <col min="113" max="113" width="24.44140625" customWidth="1"/>
    <col min="114" max="114" width="25" bestFit="1" customWidth="1"/>
  </cols>
  <sheetData>
    <row r="1" spans="1:114" x14ac:dyDescent="0.25">
      <c r="A1" s="1016" t="s">
        <v>363</v>
      </c>
      <c r="B1" s="192" t="s">
        <v>367</v>
      </c>
      <c r="C1" s="298"/>
      <c r="D1" s="298"/>
      <c r="E1" s="298"/>
      <c r="F1" s="242"/>
      <c r="H1" s="192" t="s">
        <v>601</v>
      </c>
      <c r="I1" s="298"/>
      <c r="J1" s="298"/>
      <c r="K1" s="298"/>
      <c r="L1" s="298"/>
      <c r="M1" s="298"/>
      <c r="N1" s="298"/>
      <c r="O1" s="298"/>
      <c r="P1" s="298"/>
      <c r="Q1" s="298"/>
      <c r="R1" s="298"/>
      <c r="S1" s="298"/>
      <c r="T1" s="298"/>
      <c r="U1" s="298"/>
      <c r="V1" s="298"/>
      <c r="W1" s="298"/>
      <c r="X1" s="298"/>
      <c r="Y1" s="298"/>
      <c r="Z1" s="298"/>
      <c r="AA1" s="298"/>
      <c r="AB1" s="298"/>
      <c r="AC1" s="298"/>
      <c r="AD1" s="298"/>
      <c r="AE1" s="242"/>
      <c r="AG1" s="192" t="s">
        <v>574</v>
      </c>
      <c r="AH1" s="298"/>
      <c r="AI1" s="298"/>
      <c r="AJ1" s="298"/>
      <c r="AK1" s="298"/>
      <c r="AL1" s="298"/>
      <c r="AM1" s="298"/>
      <c r="AN1" s="298"/>
      <c r="AO1" s="298"/>
      <c r="AP1" s="298"/>
      <c r="AQ1" s="298"/>
      <c r="AR1" s="298"/>
      <c r="AS1" s="298"/>
      <c r="AT1" s="298"/>
      <c r="AU1" s="298"/>
      <c r="AV1" s="298"/>
      <c r="AW1" s="298"/>
      <c r="AX1" s="298"/>
      <c r="AY1" s="298"/>
      <c r="AZ1" s="298"/>
      <c r="BA1" s="298"/>
      <c r="BB1" s="298"/>
      <c r="BC1" s="298"/>
      <c r="BD1" s="242"/>
      <c r="BF1" s="192" t="s">
        <v>575</v>
      </c>
      <c r="BG1" s="298"/>
      <c r="BH1" s="298"/>
      <c r="BI1" s="298"/>
      <c r="BJ1" s="298"/>
      <c r="BK1" s="298"/>
      <c r="BL1" s="298"/>
      <c r="BM1" s="298"/>
      <c r="BN1" s="298"/>
      <c r="BO1" s="298"/>
      <c r="BP1" s="298"/>
      <c r="BQ1" s="298"/>
      <c r="BR1" s="298"/>
      <c r="BS1" s="298"/>
      <c r="BT1" s="298"/>
      <c r="BU1" s="298"/>
      <c r="BV1" s="298"/>
      <c r="BW1" s="298"/>
      <c r="BX1" s="298"/>
      <c r="BY1" s="298"/>
      <c r="BZ1" s="298"/>
      <c r="CA1" s="298"/>
      <c r="CB1" s="298"/>
      <c r="CC1" s="242"/>
      <c r="CE1" s="192" t="s">
        <v>602</v>
      </c>
      <c r="CF1" s="298"/>
      <c r="CG1" s="298"/>
      <c r="CH1" s="298"/>
      <c r="CI1" s="298"/>
      <c r="CJ1" s="298"/>
      <c r="CK1" s="298"/>
      <c r="CL1" s="298"/>
      <c r="CM1" s="298"/>
      <c r="CN1" s="298"/>
      <c r="CO1" s="298"/>
      <c r="CP1" s="298"/>
      <c r="CQ1" s="298"/>
      <c r="CR1" s="298"/>
      <c r="CS1" s="298"/>
      <c r="CT1" s="298"/>
      <c r="CU1" s="298"/>
      <c r="CV1" s="298"/>
      <c r="CW1" s="298"/>
      <c r="CX1" s="298"/>
      <c r="CY1" s="298"/>
      <c r="CZ1" s="298"/>
      <c r="DA1" s="298"/>
      <c r="DB1" s="242"/>
    </row>
    <row r="2" spans="1:114" x14ac:dyDescent="0.25">
      <c r="A2" s="249"/>
      <c r="B2" s="257" t="s">
        <v>374</v>
      </c>
      <c r="C2" s="258"/>
      <c r="D2" s="258"/>
      <c r="E2" s="258"/>
      <c r="F2" s="259"/>
      <c r="H2" s="257" t="s">
        <v>600</v>
      </c>
      <c r="I2" s="258"/>
      <c r="J2" s="258"/>
      <c r="K2" s="258"/>
      <c r="L2" s="258"/>
      <c r="M2" s="258"/>
      <c r="N2" s="258"/>
      <c r="O2" s="258"/>
      <c r="P2" s="258"/>
      <c r="Q2" s="258"/>
      <c r="R2" s="258"/>
      <c r="S2" s="258"/>
      <c r="T2" s="258"/>
      <c r="U2" s="258"/>
      <c r="V2" s="258"/>
      <c r="W2" s="258"/>
      <c r="X2" s="258"/>
      <c r="Y2" s="258"/>
      <c r="Z2" s="258"/>
      <c r="AA2" s="258"/>
      <c r="AB2" s="258"/>
      <c r="AC2" s="258"/>
      <c r="AD2" s="258"/>
      <c r="AE2" s="259"/>
      <c r="AG2" s="257" t="s">
        <v>573</v>
      </c>
      <c r="AH2" s="258"/>
      <c r="AI2" s="258"/>
      <c r="AJ2" s="258"/>
      <c r="AK2" s="258"/>
      <c r="AL2" s="258"/>
      <c r="AM2" s="258"/>
      <c r="AN2" s="258"/>
      <c r="AO2" s="258"/>
      <c r="AP2" s="258"/>
      <c r="AQ2" s="258"/>
      <c r="AR2" s="258"/>
      <c r="AS2" s="258"/>
      <c r="AT2" s="258"/>
      <c r="AU2" s="258"/>
      <c r="AV2" s="258"/>
      <c r="AW2" s="258"/>
      <c r="AX2" s="258"/>
      <c r="AY2" s="258"/>
      <c r="AZ2" s="258"/>
      <c r="BA2" s="258"/>
      <c r="BB2" s="258"/>
      <c r="BC2" s="258"/>
      <c r="BD2" s="259"/>
      <c r="BF2" s="257" t="s">
        <v>573</v>
      </c>
      <c r="BG2" s="258"/>
      <c r="BH2" s="258"/>
      <c r="BI2" s="258"/>
      <c r="BJ2" s="258"/>
      <c r="BK2" s="258"/>
      <c r="BL2" s="258"/>
      <c r="BM2" s="258"/>
      <c r="BN2" s="258"/>
      <c r="BO2" s="258"/>
      <c r="BP2" s="258"/>
      <c r="BQ2" s="258"/>
      <c r="BR2" s="258"/>
      <c r="BS2" s="258"/>
      <c r="BT2" s="258"/>
      <c r="BU2" s="258"/>
      <c r="BV2" s="258"/>
      <c r="BW2" s="258"/>
      <c r="BX2" s="258"/>
      <c r="BY2" s="258"/>
      <c r="BZ2" s="258"/>
      <c r="CA2" s="258"/>
      <c r="CB2" s="258"/>
      <c r="CC2" s="259"/>
      <c r="CE2" s="257" t="s">
        <v>573</v>
      </c>
      <c r="CF2" s="258"/>
      <c r="CG2" s="258"/>
      <c r="CH2" s="258"/>
      <c r="CI2" s="258"/>
      <c r="CJ2" s="258"/>
      <c r="CK2" s="258"/>
      <c r="CL2" s="258"/>
      <c r="CM2" s="258"/>
      <c r="CN2" s="258"/>
      <c r="CO2" s="258"/>
      <c r="CP2" s="258"/>
      <c r="CQ2" s="258"/>
      <c r="CR2" s="258"/>
      <c r="CS2" s="258"/>
      <c r="CT2" s="258"/>
      <c r="CU2" s="258"/>
      <c r="CV2" s="258"/>
      <c r="CW2" s="258"/>
      <c r="CX2" s="258"/>
      <c r="CY2" s="258"/>
      <c r="CZ2" s="258"/>
      <c r="DA2" s="258"/>
      <c r="DB2" s="259"/>
    </row>
    <row r="3" spans="1:114" x14ac:dyDescent="0.25">
      <c r="A3" s="262" t="s">
        <v>394</v>
      </c>
      <c r="B3" s="269" t="s">
        <v>400</v>
      </c>
      <c r="C3" s="267"/>
      <c r="D3" s="267"/>
      <c r="E3" s="267"/>
      <c r="F3" s="268"/>
      <c r="H3" s="269">
        <v>1</v>
      </c>
      <c r="I3" s="267">
        <v>1</v>
      </c>
      <c r="J3" s="267">
        <v>1</v>
      </c>
      <c r="K3" s="267">
        <v>1</v>
      </c>
      <c r="L3" s="267">
        <v>2</v>
      </c>
      <c r="M3" s="267">
        <v>2</v>
      </c>
      <c r="N3" s="267">
        <v>2</v>
      </c>
      <c r="O3" s="267">
        <v>2</v>
      </c>
      <c r="P3" s="267">
        <v>3</v>
      </c>
      <c r="Q3" s="267">
        <v>3</v>
      </c>
      <c r="R3" s="267">
        <v>3</v>
      </c>
      <c r="S3" s="267">
        <v>3</v>
      </c>
      <c r="T3" s="267">
        <v>4</v>
      </c>
      <c r="U3" s="267">
        <v>4</v>
      </c>
      <c r="V3" s="267">
        <v>4</v>
      </c>
      <c r="W3" s="267">
        <v>4</v>
      </c>
      <c r="X3" s="267">
        <v>5</v>
      </c>
      <c r="Y3" s="267">
        <v>5</v>
      </c>
      <c r="Z3" s="267">
        <v>5</v>
      </c>
      <c r="AA3" s="267">
        <v>5</v>
      </c>
      <c r="AB3" s="267">
        <v>6</v>
      </c>
      <c r="AC3" s="267">
        <v>6</v>
      </c>
      <c r="AD3" s="267">
        <v>6</v>
      </c>
      <c r="AE3" s="268">
        <v>6</v>
      </c>
      <c r="AG3" s="269">
        <v>1</v>
      </c>
      <c r="AH3" s="267">
        <v>1</v>
      </c>
      <c r="AI3" s="267">
        <v>1</v>
      </c>
      <c r="AJ3" s="267">
        <v>1</v>
      </c>
      <c r="AK3" s="267">
        <v>2</v>
      </c>
      <c r="AL3" s="267">
        <v>2</v>
      </c>
      <c r="AM3" s="267">
        <v>2</v>
      </c>
      <c r="AN3" s="267">
        <v>2</v>
      </c>
      <c r="AO3" s="267">
        <v>3</v>
      </c>
      <c r="AP3" s="267">
        <v>3</v>
      </c>
      <c r="AQ3" s="267">
        <v>3</v>
      </c>
      <c r="AR3" s="267">
        <v>3</v>
      </c>
      <c r="AS3" s="267">
        <v>4</v>
      </c>
      <c r="AT3" s="267">
        <v>4</v>
      </c>
      <c r="AU3" s="267">
        <v>4</v>
      </c>
      <c r="AV3" s="267">
        <v>4</v>
      </c>
      <c r="AW3" s="267">
        <v>5</v>
      </c>
      <c r="AX3" s="267">
        <v>5</v>
      </c>
      <c r="AY3" s="267">
        <v>5</v>
      </c>
      <c r="AZ3" s="267">
        <v>5</v>
      </c>
      <c r="BA3" s="267">
        <v>6</v>
      </c>
      <c r="BB3" s="267">
        <v>6</v>
      </c>
      <c r="BC3" s="267">
        <v>6</v>
      </c>
      <c r="BD3" s="268">
        <v>6</v>
      </c>
      <c r="BF3" s="269">
        <v>1</v>
      </c>
      <c r="BG3" s="267">
        <v>1</v>
      </c>
      <c r="BH3" s="267">
        <v>1</v>
      </c>
      <c r="BI3" s="267">
        <v>1</v>
      </c>
      <c r="BJ3" s="267">
        <v>2</v>
      </c>
      <c r="BK3" s="267">
        <v>2</v>
      </c>
      <c r="BL3" s="267">
        <v>2</v>
      </c>
      <c r="BM3" s="267">
        <v>2</v>
      </c>
      <c r="BN3" s="267">
        <v>3</v>
      </c>
      <c r="BO3" s="267">
        <v>3</v>
      </c>
      <c r="BP3" s="267">
        <v>3</v>
      </c>
      <c r="BQ3" s="267">
        <v>3</v>
      </c>
      <c r="BR3" s="267">
        <v>4</v>
      </c>
      <c r="BS3" s="267">
        <v>4</v>
      </c>
      <c r="BT3" s="267">
        <v>4</v>
      </c>
      <c r="BU3" s="267">
        <v>4</v>
      </c>
      <c r="BV3" s="267">
        <v>5</v>
      </c>
      <c r="BW3" s="267">
        <v>5</v>
      </c>
      <c r="BX3" s="267">
        <v>5</v>
      </c>
      <c r="BY3" s="267">
        <v>5</v>
      </c>
      <c r="BZ3" s="267">
        <v>6</v>
      </c>
      <c r="CA3" s="267">
        <v>6</v>
      </c>
      <c r="CB3" s="267">
        <v>6</v>
      </c>
      <c r="CC3" s="268">
        <v>6</v>
      </c>
      <c r="CE3" s="269">
        <v>1</v>
      </c>
      <c r="CF3" s="267">
        <v>1</v>
      </c>
      <c r="CG3" s="267">
        <v>1</v>
      </c>
      <c r="CH3" s="267">
        <v>1</v>
      </c>
      <c r="CI3" s="267">
        <v>2</v>
      </c>
      <c r="CJ3" s="267">
        <v>2</v>
      </c>
      <c r="CK3" s="267">
        <v>2</v>
      </c>
      <c r="CL3" s="267">
        <v>2</v>
      </c>
      <c r="CM3" s="267">
        <v>3</v>
      </c>
      <c r="CN3" s="267">
        <v>3</v>
      </c>
      <c r="CO3" s="267">
        <v>3</v>
      </c>
      <c r="CP3" s="267">
        <v>3</v>
      </c>
      <c r="CQ3" s="267">
        <v>4</v>
      </c>
      <c r="CR3" s="267">
        <v>4</v>
      </c>
      <c r="CS3" s="267">
        <v>4</v>
      </c>
      <c r="CT3" s="267">
        <v>4</v>
      </c>
      <c r="CU3" s="267">
        <v>5</v>
      </c>
      <c r="CV3" s="267">
        <v>5</v>
      </c>
      <c r="CW3" s="267">
        <v>5</v>
      </c>
      <c r="CX3" s="267">
        <v>5</v>
      </c>
      <c r="CY3" s="267">
        <v>6</v>
      </c>
      <c r="CZ3" s="267">
        <v>6</v>
      </c>
      <c r="DA3" s="267">
        <v>6</v>
      </c>
      <c r="DB3" s="268">
        <v>6</v>
      </c>
      <c r="DH3" s="1015" t="s">
        <v>604</v>
      </c>
      <c r="DI3" s="1015" t="s">
        <v>398</v>
      </c>
      <c r="DJ3" s="1015" t="s">
        <v>605</v>
      </c>
    </row>
    <row r="4" spans="1:114" x14ac:dyDescent="0.25">
      <c r="A4" s="262" t="s">
        <v>15</v>
      </c>
      <c r="B4" s="262" t="s">
        <v>420</v>
      </c>
      <c r="C4" s="246" t="s">
        <v>21</v>
      </c>
      <c r="D4" s="246" t="s">
        <v>22</v>
      </c>
      <c r="E4" s="246" t="s">
        <v>23</v>
      </c>
      <c r="F4" s="263" t="s">
        <v>257</v>
      </c>
      <c r="H4" s="262" t="s">
        <v>558</v>
      </c>
      <c r="I4" s="246" t="s">
        <v>558</v>
      </c>
      <c r="J4" s="246" t="s">
        <v>558</v>
      </c>
      <c r="K4" s="246" t="s">
        <v>558</v>
      </c>
      <c r="L4" s="246" t="s">
        <v>559</v>
      </c>
      <c r="M4" s="246" t="s">
        <v>559</v>
      </c>
      <c r="N4" s="246" t="s">
        <v>559</v>
      </c>
      <c r="O4" s="246" t="s">
        <v>559</v>
      </c>
      <c r="P4" s="246" t="s">
        <v>560</v>
      </c>
      <c r="Q4" s="246" t="s">
        <v>560</v>
      </c>
      <c r="R4" s="246" t="s">
        <v>560</v>
      </c>
      <c r="S4" s="246" t="s">
        <v>560</v>
      </c>
      <c r="T4" s="246" t="s">
        <v>561</v>
      </c>
      <c r="U4" s="246" t="s">
        <v>561</v>
      </c>
      <c r="V4" s="246" t="s">
        <v>561</v>
      </c>
      <c r="W4" s="246" t="s">
        <v>561</v>
      </c>
      <c r="X4" s="246" t="s">
        <v>562</v>
      </c>
      <c r="Y4" s="246" t="s">
        <v>562</v>
      </c>
      <c r="Z4" s="246" t="s">
        <v>562</v>
      </c>
      <c r="AA4" s="246" t="s">
        <v>562</v>
      </c>
      <c r="AB4" s="246" t="s">
        <v>563</v>
      </c>
      <c r="AC4" s="246" t="s">
        <v>563</v>
      </c>
      <c r="AD4" s="246" t="s">
        <v>563</v>
      </c>
      <c r="AE4" s="263" t="s">
        <v>563</v>
      </c>
      <c r="AG4" s="262" t="s">
        <v>564</v>
      </c>
      <c r="AH4" s="246" t="s">
        <v>564</v>
      </c>
      <c r="AI4" s="246" t="s">
        <v>564</v>
      </c>
      <c r="AJ4" s="246" t="s">
        <v>564</v>
      </c>
      <c r="AK4" s="246" t="s">
        <v>565</v>
      </c>
      <c r="AL4" s="246" t="s">
        <v>565</v>
      </c>
      <c r="AM4" s="246" t="s">
        <v>565</v>
      </c>
      <c r="AN4" s="246" t="s">
        <v>565</v>
      </c>
      <c r="AO4" s="246" t="s">
        <v>566</v>
      </c>
      <c r="AP4" s="246" t="s">
        <v>566</v>
      </c>
      <c r="AQ4" s="246" t="s">
        <v>566</v>
      </c>
      <c r="AR4" s="246" t="s">
        <v>566</v>
      </c>
      <c r="AS4" s="246" t="s">
        <v>567</v>
      </c>
      <c r="AT4" s="246" t="s">
        <v>567</v>
      </c>
      <c r="AU4" s="246" t="s">
        <v>567</v>
      </c>
      <c r="AV4" s="246" t="s">
        <v>567</v>
      </c>
      <c r="AW4" s="246" t="s">
        <v>568</v>
      </c>
      <c r="AX4" s="246" t="s">
        <v>568</v>
      </c>
      <c r="AY4" s="246" t="s">
        <v>568</v>
      </c>
      <c r="AZ4" s="246" t="s">
        <v>568</v>
      </c>
      <c r="BA4" s="246" t="s">
        <v>569</v>
      </c>
      <c r="BB4" s="246" t="s">
        <v>569</v>
      </c>
      <c r="BC4" s="246" t="s">
        <v>569</v>
      </c>
      <c r="BD4" s="263" t="s">
        <v>569</v>
      </c>
      <c r="BF4" s="262" t="s">
        <v>564</v>
      </c>
      <c r="BG4" s="246" t="s">
        <v>564</v>
      </c>
      <c r="BH4" s="246" t="s">
        <v>564</v>
      </c>
      <c r="BI4" s="246" t="s">
        <v>564</v>
      </c>
      <c r="BJ4" s="246" t="s">
        <v>565</v>
      </c>
      <c r="BK4" s="246" t="s">
        <v>565</v>
      </c>
      <c r="BL4" s="246" t="s">
        <v>565</v>
      </c>
      <c r="BM4" s="246" t="s">
        <v>565</v>
      </c>
      <c r="BN4" s="246" t="s">
        <v>566</v>
      </c>
      <c r="BO4" s="246" t="s">
        <v>566</v>
      </c>
      <c r="BP4" s="246" t="s">
        <v>566</v>
      </c>
      <c r="BQ4" s="246" t="s">
        <v>566</v>
      </c>
      <c r="BR4" s="246" t="s">
        <v>567</v>
      </c>
      <c r="BS4" s="246" t="s">
        <v>567</v>
      </c>
      <c r="BT4" s="246" t="s">
        <v>567</v>
      </c>
      <c r="BU4" s="246" t="s">
        <v>567</v>
      </c>
      <c r="BV4" s="246" t="s">
        <v>568</v>
      </c>
      <c r="BW4" s="246" t="s">
        <v>568</v>
      </c>
      <c r="BX4" s="246" t="s">
        <v>568</v>
      </c>
      <c r="BY4" s="246" t="s">
        <v>568</v>
      </c>
      <c r="BZ4" s="246" t="s">
        <v>569</v>
      </c>
      <c r="CA4" s="246" t="s">
        <v>569</v>
      </c>
      <c r="CB4" s="246" t="s">
        <v>569</v>
      </c>
      <c r="CC4" s="263" t="s">
        <v>569</v>
      </c>
      <c r="CE4" s="262" t="s">
        <v>564</v>
      </c>
      <c r="CF4" s="246" t="s">
        <v>564</v>
      </c>
      <c r="CG4" s="246" t="s">
        <v>564</v>
      </c>
      <c r="CH4" s="246" t="s">
        <v>564</v>
      </c>
      <c r="CI4" s="246" t="s">
        <v>565</v>
      </c>
      <c r="CJ4" s="246" t="s">
        <v>565</v>
      </c>
      <c r="CK4" s="246" t="s">
        <v>565</v>
      </c>
      <c r="CL4" s="246" t="s">
        <v>565</v>
      </c>
      <c r="CM4" s="246" t="s">
        <v>566</v>
      </c>
      <c r="CN4" s="246" t="s">
        <v>566</v>
      </c>
      <c r="CO4" s="246" t="s">
        <v>566</v>
      </c>
      <c r="CP4" s="246" t="s">
        <v>566</v>
      </c>
      <c r="CQ4" s="246" t="s">
        <v>567</v>
      </c>
      <c r="CR4" s="246" t="s">
        <v>567</v>
      </c>
      <c r="CS4" s="246" t="s">
        <v>567</v>
      </c>
      <c r="CT4" s="246" t="s">
        <v>567</v>
      </c>
      <c r="CU4" s="246" t="s">
        <v>568</v>
      </c>
      <c r="CV4" s="246" t="s">
        <v>568</v>
      </c>
      <c r="CW4" s="246" t="s">
        <v>568</v>
      </c>
      <c r="CX4" s="246" t="s">
        <v>568</v>
      </c>
      <c r="CY4" s="246" t="s">
        <v>569</v>
      </c>
      <c r="CZ4" s="246" t="s">
        <v>569</v>
      </c>
      <c r="DA4" s="246" t="s">
        <v>569</v>
      </c>
      <c r="DB4" s="263" t="s">
        <v>569</v>
      </c>
      <c r="DH4" s="1015" t="s">
        <v>603</v>
      </c>
      <c r="DI4" s="1015" t="s">
        <v>418</v>
      </c>
      <c r="DJ4" s="1015" t="s">
        <v>603</v>
      </c>
    </row>
    <row r="5" spans="1:114" ht="13.8" thickBot="1" x14ac:dyDescent="0.3">
      <c r="A5" s="277"/>
      <c r="B5" s="292" t="s">
        <v>426</v>
      </c>
      <c r="C5" s="291" t="s">
        <v>426</v>
      </c>
      <c r="D5" s="291" t="s">
        <v>426</v>
      </c>
      <c r="E5" s="291"/>
      <c r="F5" s="952"/>
      <c r="H5" s="292" t="s">
        <v>576</v>
      </c>
      <c r="I5" s="291" t="s">
        <v>577</v>
      </c>
      <c r="J5" s="291" t="s">
        <v>578</v>
      </c>
      <c r="K5" s="291" t="s">
        <v>579</v>
      </c>
      <c r="L5" s="291" t="s">
        <v>580</v>
      </c>
      <c r="M5" s="291" t="s">
        <v>581</v>
      </c>
      <c r="N5" s="291" t="s">
        <v>582</v>
      </c>
      <c r="O5" s="291" t="s">
        <v>583</v>
      </c>
      <c r="P5" s="291" t="s">
        <v>584</v>
      </c>
      <c r="Q5" s="291" t="s">
        <v>585</v>
      </c>
      <c r="R5" s="291" t="s">
        <v>586</v>
      </c>
      <c r="S5" s="291" t="s">
        <v>587</v>
      </c>
      <c r="T5" s="291" t="s">
        <v>588</v>
      </c>
      <c r="U5" s="291" t="s">
        <v>589</v>
      </c>
      <c r="V5" s="291" t="s">
        <v>590</v>
      </c>
      <c r="W5" s="291" t="s">
        <v>591</v>
      </c>
      <c r="X5" s="291" t="s">
        <v>592</v>
      </c>
      <c r="Y5" s="291" t="s">
        <v>593</v>
      </c>
      <c r="Z5" s="291" t="s">
        <v>594</v>
      </c>
      <c r="AA5" s="291" t="s">
        <v>595</v>
      </c>
      <c r="AB5" s="291" t="s">
        <v>596</v>
      </c>
      <c r="AC5" s="291" t="s">
        <v>597</v>
      </c>
      <c r="AD5" s="291" t="s">
        <v>598</v>
      </c>
      <c r="AE5" s="952" t="s">
        <v>599</v>
      </c>
      <c r="AG5" s="292" t="s">
        <v>576</v>
      </c>
      <c r="AH5" s="291" t="s">
        <v>577</v>
      </c>
      <c r="AI5" s="291" t="s">
        <v>578</v>
      </c>
      <c r="AJ5" s="291" t="s">
        <v>579</v>
      </c>
      <c r="AK5" s="291" t="s">
        <v>580</v>
      </c>
      <c r="AL5" s="291" t="s">
        <v>581</v>
      </c>
      <c r="AM5" s="291" t="s">
        <v>582</v>
      </c>
      <c r="AN5" s="291" t="s">
        <v>583</v>
      </c>
      <c r="AO5" s="291" t="s">
        <v>584</v>
      </c>
      <c r="AP5" s="291" t="s">
        <v>585</v>
      </c>
      <c r="AQ5" s="291" t="s">
        <v>586</v>
      </c>
      <c r="AR5" s="291" t="s">
        <v>587</v>
      </c>
      <c r="AS5" s="291" t="s">
        <v>588</v>
      </c>
      <c r="AT5" s="291" t="s">
        <v>589</v>
      </c>
      <c r="AU5" s="291" t="s">
        <v>590</v>
      </c>
      <c r="AV5" s="291" t="s">
        <v>591</v>
      </c>
      <c r="AW5" s="291" t="s">
        <v>592</v>
      </c>
      <c r="AX5" s="291" t="s">
        <v>593</v>
      </c>
      <c r="AY5" s="291" t="s">
        <v>594</v>
      </c>
      <c r="AZ5" s="291" t="s">
        <v>595</v>
      </c>
      <c r="BA5" s="291" t="s">
        <v>596</v>
      </c>
      <c r="BB5" s="291" t="s">
        <v>597</v>
      </c>
      <c r="BC5" s="291" t="s">
        <v>598</v>
      </c>
      <c r="BD5" s="952" t="s">
        <v>599</v>
      </c>
      <c r="BF5" s="292" t="s">
        <v>576</v>
      </c>
      <c r="BG5" s="291" t="s">
        <v>577</v>
      </c>
      <c r="BH5" s="291" t="s">
        <v>578</v>
      </c>
      <c r="BI5" s="291" t="s">
        <v>579</v>
      </c>
      <c r="BJ5" s="291" t="s">
        <v>580</v>
      </c>
      <c r="BK5" s="291" t="s">
        <v>581</v>
      </c>
      <c r="BL5" s="291" t="s">
        <v>582</v>
      </c>
      <c r="BM5" s="291" t="s">
        <v>583</v>
      </c>
      <c r="BN5" s="291" t="s">
        <v>584</v>
      </c>
      <c r="BO5" s="291" t="s">
        <v>585</v>
      </c>
      <c r="BP5" s="291" t="s">
        <v>586</v>
      </c>
      <c r="BQ5" s="291" t="s">
        <v>587</v>
      </c>
      <c r="BR5" s="291" t="s">
        <v>588</v>
      </c>
      <c r="BS5" s="291" t="s">
        <v>589</v>
      </c>
      <c r="BT5" s="291" t="s">
        <v>590</v>
      </c>
      <c r="BU5" s="291" t="s">
        <v>591</v>
      </c>
      <c r="BV5" s="291" t="s">
        <v>592</v>
      </c>
      <c r="BW5" s="291" t="s">
        <v>593</v>
      </c>
      <c r="BX5" s="291" t="s">
        <v>594</v>
      </c>
      <c r="BY5" s="291" t="s">
        <v>595</v>
      </c>
      <c r="BZ5" s="291" t="s">
        <v>596</v>
      </c>
      <c r="CA5" s="291" t="s">
        <v>597</v>
      </c>
      <c r="CB5" s="291" t="s">
        <v>598</v>
      </c>
      <c r="CC5" s="952" t="s">
        <v>599</v>
      </c>
      <c r="CE5" s="292" t="s">
        <v>576</v>
      </c>
      <c r="CF5" s="291" t="s">
        <v>577</v>
      </c>
      <c r="CG5" s="291" t="s">
        <v>578</v>
      </c>
      <c r="CH5" s="291" t="s">
        <v>579</v>
      </c>
      <c r="CI5" s="291" t="s">
        <v>580</v>
      </c>
      <c r="CJ5" s="291" t="s">
        <v>581</v>
      </c>
      <c r="CK5" s="291" t="s">
        <v>582</v>
      </c>
      <c r="CL5" s="291" t="s">
        <v>583</v>
      </c>
      <c r="CM5" s="291" t="s">
        <v>584</v>
      </c>
      <c r="CN5" s="291" t="s">
        <v>585</v>
      </c>
      <c r="CO5" s="291" t="s">
        <v>586</v>
      </c>
      <c r="CP5" s="291" t="s">
        <v>587</v>
      </c>
      <c r="CQ5" s="291" t="s">
        <v>588</v>
      </c>
      <c r="CR5" s="291" t="s">
        <v>589</v>
      </c>
      <c r="CS5" s="291" t="s">
        <v>590</v>
      </c>
      <c r="CT5" s="291" t="s">
        <v>591</v>
      </c>
      <c r="CU5" s="291" t="s">
        <v>592</v>
      </c>
      <c r="CV5" s="291" t="s">
        <v>593</v>
      </c>
      <c r="CW5" s="291" t="s">
        <v>594</v>
      </c>
      <c r="CX5" s="291" t="s">
        <v>595</v>
      </c>
      <c r="CY5" s="291" t="s">
        <v>596</v>
      </c>
      <c r="CZ5" s="291" t="s">
        <v>597</v>
      </c>
      <c r="DA5" s="291" t="s">
        <v>598</v>
      </c>
      <c r="DB5" s="952" t="s">
        <v>599</v>
      </c>
    </row>
    <row r="6" spans="1:114" x14ac:dyDescent="0.25">
      <c r="A6" s="244">
        <v>36892</v>
      </c>
      <c r="B6" s="13">
        <v>22</v>
      </c>
      <c r="C6" s="210">
        <v>4</v>
      </c>
      <c r="D6" s="210">
        <v>4</v>
      </c>
      <c r="E6" s="210">
        <v>1</v>
      </c>
      <c r="F6" s="13">
        <v>31</v>
      </c>
      <c r="H6" s="1021">
        <f>(VLOOKUP(YEAR($A6),'NY East Load Projections'!$A$4:$EO$14,((MONTH($A6)-1)*12)+VLOOKUP(H$4,$DE$6:$DF$17,2)+1))*(VLOOKUP($A6,CURVES!$D$9:$K$261,6))*(INDEX(DailyScalarsTable,H$5/100,MONTH($A6)))*$B6</f>
        <v>-2239.6553614240506</v>
      </c>
      <c r="I6" s="1021">
        <f>(VLOOKUP(YEAR($A6),'NY East Load Projections'!$A$4:$EO$14,((MONTH($A6)-1)*12)+VLOOKUP(I$4,$DE$6:$DF$17,2)+1))*(VLOOKUP($A6,CURVES!$D$9:$K$261,6))*(INDEX(DailyScalarsTable,I$5/100,MONTH($A6)))*$B6</f>
        <v>-2196.0206352655932</v>
      </c>
      <c r="J6" s="1021">
        <f>(VLOOKUP(YEAR($A6),'NY East Load Projections'!$A$4:$EO$14,((MONTH($A6)-1)*12)+VLOOKUP(J$4,$DE$6:$DF$17,2)+1))*(VLOOKUP($A6,CURVES!$D$9:$K$261,6))*(INDEX(DailyScalarsTable,J$5/100,MONTH($A6)))*$B6</f>
        <v>-2012.3247665227047</v>
      </c>
      <c r="K6" s="1021">
        <f>(VLOOKUP(YEAR($A6),'NY East Load Projections'!$A$4:$EO$14,((MONTH($A6)-1)*12)+VLOOKUP(K$4,$DE$6:$DF$17,2)+1))*(VLOOKUP($A6,CURVES!$D$9:$K$261,6))*(INDEX(DailyScalarsTable,K$5/100,MONTH($A6)))*$B6</f>
        <v>-2011.1080837743687</v>
      </c>
      <c r="L6" s="1021">
        <f>(VLOOKUP(YEAR($A6),'NY East Load Projections'!$A$4:$EO$14,((MONTH($A6)-1)*12)+VLOOKUP(L$4,$DE$6:$DF$17,2)+1))*(VLOOKUP($A6,CURVES!$D$9:$K$261,6))*(INDEX(DailyScalarsTable,L$5/100,MONTH($A6)))*$B6</f>
        <v>-4101.0048135042589</v>
      </c>
      <c r="M6" s="1021">
        <f>(VLOOKUP(YEAR($A6),'NY East Load Projections'!$A$4:$EO$14,((MONTH($A6)-1)*12)+VLOOKUP(M$4,$DE$6:$DF$17,2)+1))*(VLOOKUP($A6,CURVES!$D$9:$K$261,6))*(INDEX(DailyScalarsTable,M$5/100,MONTH($A6)))*$B6</f>
        <v>-4376.6659758059623</v>
      </c>
      <c r="N6" s="1021">
        <f>(VLOOKUP(YEAR($A6),'NY East Load Projections'!$A$4:$EO$14,((MONTH($A6)-1)*12)+VLOOKUP(N$4,$DE$6:$DF$17,2)+1))*(VLOOKUP($A6,CURVES!$D$9:$K$261,6))*(INDEX(DailyScalarsTable,N$5/100,MONTH($A6)))*$B6</f>
        <v>-8381.2620524068116</v>
      </c>
      <c r="O6" s="1021">
        <f>(VLOOKUP(YEAR($A6),'NY East Load Projections'!$A$4:$EO$14,((MONTH($A6)-1)*12)+VLOOKUP(O$4,$DE$6:$DF$17,2)+1))*(VLOOKUP($A6,CURVES!$D$9:$K$261,2))*(INDEX(DailyScalarsTable,O$5/100,MONTH($A6)))*$B6</f>
        <v>-9973.100696872747</v>
      </c>
      <c r="P6" s="1021">
        <f>(VLOOKUP(YEAR($A6),'NY East Load Projections'!$A$4:$EO$14,((MONTH($A6)-1)*12)+VLOOKUP(P$4,$DE$6:$DF$17,2)+1))*(VLOOKUP($A6,CURVES!$D$9:$K$261,2))*(INDEX(DailyScalarsTable,P$5/100,MONTH($A6)))*$B6</f>
        <v>-10519.113060635937</v>
      </c>
      <c r="Q6" s="1021">
        <f>(VLOOKUP(YEAR($A6),'NY East Load Projections'!$A$4:$EO$14,((MONTH($A6)-1)*12)+VLOOKUP(Q$4,$DE$6:$DF$17,2)+1))*(VLOOKUP($A6,CURVES!$D$9:$K$261,2))*(INDEX(DailyScalarsTable,Q$5/100,MONTH($A6)))*$B6</f>
        <v>-10487.097105705092</v>
      </c>
      <c r="R6" s="1021">
        <f>(VLOOKUP(YEAR($A6),'NY East Load Projections'!$A$4:$EO$14,((MONTH($A6)-1)*12)+VLOOKUP(R$4,$DE$6:$DF$17,2)+1))*(VLOOKUP($A6,CURVES!$D$9:$K$261,2))*(INDEX(DailyScalarsTable,R$5/100,MONTH($A6)))*$B6</f>
        <v>-10304.083506277046</v>
      </c>
      <c r="S6" s="1021">
        <f>(VLOOKUP(YEAR($A6),'NY East Load Projections'!$A$4:$EO$14,((MONTH($A6)-1)*12)+VLOOKUP(S$4,$DE$6:$DF$17,2)+1))*(VLOOKUP($A6,CURVES!$D$9:$K$261,2))*(INDEX(DailyScalarsTable,S$5/100,MONTH($A6)))*$B6</f>
        <v>-7718.7334492193459</v>
      </c>
      <c r="T6" s="1021">
        <f>(VLOOKUP(YEAR($A6),'NY East Load Projections'!$A$4:$EO$14,((MONTH($A6)-1)*12)+VLOOKUP(T$4,$DE$6:$DF$17,2)+1))*(VLOOKUP($A6,CURVES!$D$9:$K$261,2))*(INDEX(DailyScalarsTable,T$5/100,MONTH($A6)))*$B6</f>
        <v>-7419.5666786720994</v>
      </c>
      <c r="U6" s="1021">
        <f>(VLOOKUP(YEAR($A6),'NY East Load Projections'!$A$4:$EO$14,((MONTH($A6)-1)*12)+VLOOKUP(U$4,$DE$6:$DF$17,2)+1))*(VLOOKUP($A6,CURVES!$D$9:$K$261,2))*(INDEX(DailyScalarsTable,U$5/100,MONTH($A6)))*$B6</f>
        <v>-7180.0018210079088</v>
      </c>
      <c r="V6" s="1021">
        <f>(VLOOKUP(YEAR($A6),'NY East Load Projections'!$A$4:$EO$14,((MONTH($A6)-1)*12)+VLOOKUP(V$4,$DE$6:$DF$17,2)+1))*(VLOOKUP($A6,CURVES!$D$9:$K$261,2))*(INDEX(DailyScalarsTable,V$5/100,MONTH($A6)))*$B6</f>
        <v>-6814.5786142085462</v>
      </c>
      <c r="W6" s="1021">
        <f>(VLOOKUP(YEAR($A6),'NY East Load Projections'!$A$4:$EO$14,((MONTH($A6)-1)*12)+VLOOKUP(W$4,$DE$6:$DF$17,2)+1))*(VLOOKUP($A6,CURVES!$D$9:$K$261,2))*(INDEX(DailyScalarsTable,W$5/100,MONTH($A6)))*$B6</f>
        <v>-6677.4364130819431</v>
      </c>
      <c r="X6" s="1021">
        <f>(VLOOKUP(YEAR($A6),'NY East Load Projections'!$A$4:$EO$14,((MONTH($A6)-1)*12)+VLOOKUP(X$4,$DE$6:$DF$17,2)+1))*(VLOOKUP($A6,CURVES!$D$9:$K$261,2))*(INDEX(DailyScalarsTable,X$5/100,MONTH($A6)))*$B6</f>
        <v>-6432.009140274934</v>
      </c>
      <c r="Y6" s="1021">
        <f>(VLOOKUP(YEAR($A6),'NY East Load Projections'!$A$4:$EO$14,((MONTH($A6)-1)*12)+VLOOKUP(Y$4,$DE$6:$DF$17,2)+1))*(VLOOKUP($A6,CURVES!$D$9:$K$261,2))*(INDEX(DailyScalarsTable,Y$5/100,MONTH($A6)))*$B6</f>
        <v>-8949.8612841157101</v>
      </c>
      <c r="Z6" s="1021">
        <f>(VLOOKUP(YEAR($A6),'NY East Load Projections'!$A$4:$EO$14,((MONTH($A6)-1)*12)+VLOOKUP(Z$4,$DE$6:$DF$17,2)+1))*(VLOOKUP($A6,CURVES!$D$9:$K$261,2))*(INDEX(DailyScalarsTable,Z$5/100,MONTH($A6)))*$B6</f>
        <v>-9820.3758426346558</v>
      </c>
      <c r="AA6" s="1021">
        <f>(VLOOKUP(YEAR($A6),'NY East Load Projections'!$A$4:$EO$14,((MONTH($A6)-1)*12)+VLOOKUP(AA$4,$DE$6:$DF$17,2)+1))*(VLOOKUP($A6,CURVES!$D$9:$K$261,2))*(INDEX(DailyScalarsTable,AA$5/100,MONTH($A6)))*$B6</f>
        <v>-9399.803734060677</v>
      </c>
      <c r="AB6" s="1021">
        <f>(VLOOKUP(YEAR($A6),'NY East Load Projections'!$A$4:$EO$14,((MONTH($A6)-1)*12)+VLOOKUP(AB$4,$DE$6:$DF$17,2)+1))*(VLOOKUP($A6,CURVES!$D$9:$K$261,2))*(INDEX(DailyScalarsTable,AB$5/100,MONTH($A6)))*$B6</f>
        <v>-6533.3099240845313</v>
      </c>
      <c r="AC6" s="1021">
        <f>(VLOOKUP(YEAR($A6),'NY East Load Projections'!$A$4:$EO$14,((MONTH($A6)-1)*12)+VLOOKUP(AC$4,$DE$6:$DF$17,2)+1))*(VLOOKUP($A6,CURVES!$D$9:$K$261,2))*(INDEX(DailyScalarsTable,AC$5/100,MONTH($A6)))*$B6</f>
        <v>-4646.6413357760366</v>
      </c>
      <c r="AD6" s="1021">
        <f>(VLOOKUP(YEAR($A6),'NY East Load Projections'!$A$4:$EO$14,((MONTH($A6)-1)*12)+VLOOKUP(AD$4,$DE$6:$DF$17,2)+1))*(VLOOKUP($A6,CURVES!$D$9:$K$261,2))*(INDEX(DailyScalarsTable,AD$5/100,MONTH($A6)))*$B6</f>
        <v>-3803.8542888732622</v>
      </c>
      <c r="AE6" s="1021">
        <f>(VLOOKUP(YEAR($A6),'NY East Load Projections'!$A$4:$EO$14,((MONTH($A6)-1)*12)+VLOOKUP(AE$4,$DE$6:$DF$17,2)+1))*(VLOOKUP($A6,CURVES!$D$9:$K$261,6))*(INDEX(DailyScalarsTable,AE$5/100,MONTH($A6)))*$B6</f>
        <v>-3290.1973673125776</v>
      </c>
      <c r="AF6" s="1021"/>
      <c r="AG6" s="1021">
        <f>(VLOOKUP(YEAR($A6),'NY East Load Projections'!$A$4:$EO$14,((MONTH($A6)-1)*12)+VLOOKUP(AG$4,$DE$6:$DF$17,2)+1))*(VLOOKUP($A6,CURVES!$D$9:$T$261,6))*(INDEX(DailyScalarsTable,AG$5/100,MONTH($A6)))*$C6</f>
        <v>-997.16190528369157</v>
      </c>
      <c r="AH6" s="1021">
        <f>(VLOOKUP(YEAR($A6),'NY East Load Projections'!$A$4:$EO$14,((MONTH($A6)-1)*12)+VLOOKUP(AH$4,$DE$6:$DF$17,2)+1))*(VLOOKUP($A6,CURVES!$D$9:$T$261,6))*(INDEX(DailyScalarsTable,AH$5/100,MONTH($A6)))*$C6</f>
        <v>-977.73441325874262</v>
      </c>
      <c r="AI6" s="1021">
        <f>(VLOOKUP(YEAR($A6),'NY East Load Projections'!$A$4:$EO$14,((MONTH($A6)-1)*12)+VLOOKUP(AI$4,$DE$6:$DF$17,2)+1))*(VLOOKUP($A6,CURVES!$D$9:$T$261,6))*(INDEX(DailyScalarsTable,AI$5/100,MONTH($A6)))*$C6</f>
        <v>-895.94748942063359</v>
      </c>
      <c r="AJ6" s="1021">
        <f>(VLOOKUP(YEAR($A6),'NY East Load Projections'!$A$4:$EO$14,((MONTH($A6)-1)*12)+VLOOKUP(AJ$4,$DE$6:$DF$17,2)+1))*(VLOOKUP($A6,CURVES!$D$9:$T$261,6))*(INDEX(DailyScalarsTable,AJ$5/100,MONTH($A6)))*$C6</f>
        <v>-895.40578567980219</v>
      </c>
      <c r="AK6" s="1021">
        <f>(VLOOKUP(YEAR($A6),'NY East Load Projections'!$A$4:$EO$14,((MONTH($A6)-1)*12)+VLOOKUP(AK$4,$DE$6:$DF$17,2)+1))*(VLOOKUP($A6,CURVES!$D$9:$T$261,6))*(INDEX(DailyScalarsTable,AK$5/100,MONTH($A6)))*$C6</f>
        <v>-980.85012047723592</v>
      </c>
      <c r="AL6" s="1021">
        <f>(VLOOKUP(YEAR($A6),'NY East Load Projections'!$A$4:$EO$14,((MONTH($A6)-1)*12)+VLOOKUP(AL$4,$DE$6:$DF$17,2)+1))*(VLOOKUP($A6,CURVES!$D$9:$T$261,6))*(INDEX(DailyScalarsTable,AL$5/100,MONTH($A6)))*$C6</f>
        <v>-1046.7808610031127</v>
      </c>
      <c r="AM6" s="1021">
        <f>(VLOOKUP(YEAR($A6),'NY East Load Projections'!$A$4:$EO$14,((MONTH($A6)-1)*12)+VLOOKUP(AM$4,$DE$6:$DF$17,2)+1))*(VLOOKUP($A6,CURVES!$D$9:$T$261,6))*(INDEX(DailyScalarsTable,AM$5/100,MONTH($A6)))*$C6</f>
        <v>-2004.5726029836007</v>
      </c>
      <c r="AN6" s="1021">
        <f>(VLOOKUP(YEAR($A6),'NY East Load Projections'!$A$4:$EO$14,((MONTH($A6)-1)*12)+VLOOKUP(AN$4,$DE$6:$DF$17,2)+1))*(VLOOKUP($A6,SatSunCurve,2))*(INDEX(DailyScalarsTable,AN$5/100,MONTH($A6)))*$C6</f>
        <v>-1829.2937155541254</v>
      </c>
      <c r="AO6" s="1021">
        <f>(VLOOKUP(YEAR($A6),'NY East Load Projections'!$A$4:$EO$14,((MONTH($A6)-1)*12)+VLOOKUP(AO$4,$DE$6:$DF$17,2)+1))*(VLOOKUP($A6,SatSunCurve,2))*(INDEX(DailyScalarsTable,AO$5/100,MONTH($A6)))*$C6</f>
        <v>-2284.7812867031066</v>
      </c>
      <c r="AP6" s="1021">
        <f>(VLOOKUP(YEAR($A6),'NY East Load Projections'!$A$4:$EO$14,((MONTH($A6)-1)*12)+VLOOKUP(AP$4,$DE$6:$DF$17,2)+1))*(VLOOKUP($A6,SatSunCurve,2))*(INDEX(DailyScalarsTable,AP$5/100,MONTH($A6)))*$C6</f>
        <v>-2277.8273301974332</v>
      </c>
      <c r="AQ6" s="1021">
        <f>(VLOOKUP(YEAR($A6),'NY East Load Projections'!$A$4:$EO$14,((MONTH($A6)-1)*12)+VLOOKUP(AQ$4,$DE$6:$DF$17,2)+1))*(VLOOKUP($A6,SatSunCurve,2))*(INDEX(DailyScalarsTable,AQ$5/100,MONTH($A6)))*$C6</f>
        <v>-2238.0762556747968</v>
      </c>
      <c r="AR6" s="1021">
        <f>(VLOOKUP(YEAR($A6),'NY East Load Projections'!$A$4:$EO$14,((MONTH($A6)-1)*12)+VLOOKUP(AR$4,$DE$6:$DF$17,2)+1))*(VLOOKUP($A6,SatSunCurve,2))*(INDEX(DailyScalarsTable,AR$5/100,MONTH($A6)))*$C6</f>
        <v>-1676.5308672097799</v>
      </c>
      <c r="AS6" s="1021">
        <f>(VLOOKUP(YEAR($A6),'NY East Load Projections'!$A$4:$EO$14,((MONTH($A6)-1)*12)+VLOOKUP(AS$4,$DE$6:$DF$17,2)+1))*(VLOOKUP($A6,SatSunCurve,2))*(INDEX(DailyScalarsTable,AS$5/100,MONTH($A6)))*$C6</f>
        <v>-1392.8127296359587</v>
      </c>
      <c r="AT6" s="1021">
        <f>(VLOOKUP(YEAR($A6),'NY East Load Projections'!$A$4:$EO$14,((MONTH($A6)-1)*12)+VLOOKUP(AT$4,$DE$6:$DF$17,2)+1))*(VLOOKUP($A6,SatSunCurve,2))*(INDEX(DailyScalarsTable,AT$5/100,MONTH($A6)))*$C6</f>
        <v>-1347.8412376636231</v>
      </c>
      <c r="AU6" s="1021">
        <f>(VLOOKUP(YEAR($A6),'NY East Load Projections'!$A$4:$EO$14,((MONTH($A6)-1)*12)+VLOOKUP(AU$4,$DE$6:$DF$17,2)+1))*(VLOOKUP($A6,SatSunCurve,2))*(INDEX(DailyScalarsTable,AU$5/100,MONTH($A6)))*$C6</f>
        <v>-1279.2434183869807</v>
      </c>
      <c r="AV6" s="1021">
        <f>(VLOOKUP(YEAR($A6),'NY East Load Projections'!$A$4:$EO$14,((MONTH($A6)-1)*12)+VLOOKUP(AV$4,$DE$6:$DF$17,2)+1))*(VLOOKUP($A6,SatSunCurve,2))*(INDEX(DailyScalarsTable,AV$5/100,MONTH($A6)))*$C6</f>
        <v>-1253.4988686347017</v>
      </c>
      <c r="AW6" s="1021">
        <f>(VLOOKUP(YEAR($A6),'NY East Load Projections'!$A$4:$EO$14,((MONTH($A6)-1)*12)+VLOOKUP(AW$4,$DE$6:$DF$17,2)+1))*(VLOOKUP($A6,SatSunCurve,2))*(INDEX(DailyScalarsTable,AW$5/100,MONTH($A6)))*$C6</f>
        <v>-1270.9974789108967</v>
      </c>
      <c r="AX6" s="1021">
        <f>(VLOOKUP(YEAR($A6),'NY East Load Projections'!$A$4:$EO$14,((MONTH($A6)-1)*12)+VLOOKUP(AX$4,$DE$6:$DF$17,2)+1))*(VLOOKUP($A6,SatSunCurve,2))*(INDEX(DailyScalarsTable,AX$5/100,MONTH($A6)))*$C6</f>
        <v>-1768.5377742213648</v>
      </c>
      <c r="AY6" s="1021">
        <f>(VLOOKUP(YEAR($A6),'NY East Load Projections'!$A$4:$EO$14,((MONTH($A6)-1)*12)+VLOOKUP(AY$4,$DE$6:$DF$17,2)+1))*(VLOOKUP($A6,SatSunCurve,2))*(INDEX(DailyScalarsTable,AY$5/100,MONTH($A6)))*$C6</f>
        <v>-1940.5558458849757</v>
      </c>
      <c r="AZ6" s="1021">
        <f>(VLOOKUP(YEAR($A6),'NY East Load Projections'!$A$4:$EO$14,((MONTH($A6)-1)*12)+VLOOKUP(AZ$4,$DE$6:$DF$17,2)+1))*(VLOOKUP($A6,SatSunCurve,2))*(INDEX(DailyScalarsTable,AZ$5/100,MONTH($A6)))*$C6</f>
        <v>-1857.448673920522</v>
      </c>
      <c r="BA6" s="1021">
        <f>(VLOOKUP(YEAR($A6),'NY East Load Projections'!$A$4:$EO$14,((MONTH($A6)-1)*12)+VLOOKUP(BA$4,$DE$6:$DF$17,2)+1))*(VLOOKUP($A6,SatSunCurve,2))*(INDEX(DailyScalarsTable,BA$5/100,MONTH($A6)))*$C6</f>
        <v>-1777.7313283997653</v>
      </c>
      <c r="BB6" s="1021">
        <f>(VLOOKUP(YEAR($A6),'NY East Load Projections'!$A$4:$EO$14,((MONTH($A6)-1)*12)+VLOOKUP(BB$4,$DE$6:$DF$17,2)+1))*(VLOOKUP($A6,SatSunCurve,2))*(INDEX(DailyScalarsTable,BB$5/100,MONTH($A6)))*$C6</f>
        <v>-1264.36369473225</v>
      </c>
      <c r="BC6" s="1021">
        <f>(VLOOKUP(YEAR($A6),'NY East Load Projections'!$A$4:$EO$14,((MONTH($A6)-1)*12)+VLOOKUP(BC$4,$DE$6:$DF$17,2)+1))*(VLOOKUP($A6,SatSunCurve,2))*(INDEX(DailyScalarsTable,BC$5/100,MONTH($A6)))*$C6</f>
        <v>-1035.0390562476423</v>
      </c>
      <c r="BD6" s="1021">
        <f>(VLOOKUP(YEAR($A6),'NY East Load Projections'!$A$4:$EO$14,((MONTH($A6)-1)*12)+VLOOKUP(BD$4,$DE$6:$DF$17,2)+1))*(VLOOKUP($A6,CURVES!$D$9:$T$261,6))*(INDEX(DailyScalarsTable,BD$5/100,MONTH($A6)))*$C6</f>
        <v>-1167.3845689988425</v>
      </c>
      <c r="BE6" s="1021"/>
      <c r="BF6" s="1021">
        <f>(VLOOKUP(YEAR($A6),'NY East Load Projections'!$A$4:$EO$14,((MONTH($A6)-1)*12)+VLOOKUP(BF$4,$DE$6:$DF$17,2)+1))*(VLOOKUP($A6,CURVES!$D$9:$T$261,6))*(INDEX(DailyScalarsTable,BF$5/100,MONTH($A6)))*$D6</f>
        <v>-997.16190528369157</v>
      </c>
      <c r="BG6" s="1021">
        <f>(VLOOKUP(YEAR($A6),'NY East Load Projections'!$A$4:$EO$14,((MONTH($A6)-1)*12)+VLOOKUP(BG$4,$DE$6:$DF$17,2)+1))*(VLOOKUP($A6,CURVES!$D$9:$T$261,6))*(INDEX(DailyScalarsTable,BG$5/100,MONTH($A6)))*$D6</f>
        <v>-977.73441325874262</v>
      </c>
      <c r="BH6" s="1021">
        <f>(VLOOKUP(YEAR($A6),'NY East Load Projections'!$A$4:$EO$14,((MONTH($A6)-1)*12)+VLOOKUP(BH$4,$DE$6:$DF$17,2)+1))*(VLOOKUP($A6,CURVES!$D$9:$T$261,6))*(INDEX(DailyScalarsTable,BH$5/100,MONTH($A6)))*$D6</f>
        <v>-895.94748942063359</v>
      </c>
      <c r="BI6" s="1021">
        <f>(VLOOKUP(YEAR($A6),'NY East Load Projections'!$A$4:$EO$14,((MONTH($A6)-1)*12)+VLOOKUP(BI$4,$DE$6:$DF$17,2)+1))*(VLOOKUP($A6,CURVES!$D$9:$T$261,6))*(INDEX(DailyScalarsTable,BI$5/100,MONTH($A6)))*$D6</f>
        <v>-895.40578567980219</v>
      </c>
      <c r="BJ6" s="1021">
        <f>(VLOOKUP(YEAR($A6),'NY East Load Projections'!$A$4:$EO$14,((MONTH($A6)-1)*12)+VLOOKUP(BJ$4,$DE$6:$DF$17,2)+1))*(VLOOKUP($A6,CURVES!$D$9:$T$261,6))*(INDEX(DailyScalarsTable,BJ$5/100,MONTH($A6)))*$D6</f>
        <v>-980.85012047723592</v>
      </c>
      <c r="BK6" s="1021">
        <f>(VLOOKUP(YEAR($A6),'NY East Load Projections'!$A$4:$EO$14,((MONTH($A6)-1)*12)+VLOOKUP(BK$4,$DE$6:$DF$17,2)+1))*(VLOOKUP($A6,CURVES!$D$9:$T$261,6))*(INDEX(DailyScalarsTable,BK$5/100,MONTH($A6)))*$D6</f>
        <v>-1046.7808610031127</v>
      </c>
      <c r="BL6" s="1021">
        <f>(VLOOKUP(YEAR($A6),'NY East Load Projections'!$A$4:$EO$14,((MONTH($A6)-1)*12)+VLOOKUP(BL$4,$DE$6:$DF$17,2)+1))*(VLOOKUP($A6,CURVES!$D$9:$T$261,6))*(INDEX(DailyScalarsTable,BL$5/100,MONTH($A6)))*$D6</f>
        <v>-2004.5726029836007</v>
      </c>
      <c r="BM6" s="1021">
        <f>(VLOOKUP(YEAR($A6),'NY East Load Projections'!$A$4:$EO$14,((MONTH($A6)-1)*12)+VLOOKUP(BM$4,$DE$6:$DF$17,2)+1))*(VLOOKUP($A6,SatSunCurve,6))*(INDEX(DailyScalarsTable,BM$5/100,MONTH($A6)))*$D6</f>
        <v>-1600.056384977978</v>
      </c>
      <c r="BN6" s="1021">
        <f>(VLOOKUP(YEAR($A6),'NY East Load Projections'!$A$4:$EO$14,((MONTH($A6)-1)*12)+VLOOKUP(BN$4,$DE$6:$DF$17,2)+1))*(VLOOKUP($A6,SatSunCurve,6))*(INDEX(DailyScalarsTable,BN$5/100,MONTH($A6)))*$D6</f>
        <v>-1998.4646833819718</v>
      </c>
      <c r="BO6" s="1021">
        <f>(VLOOKUP(YEAR($A6),'NY East Load Projections'!$A$4:$EO$14,((MONTH($A6)-1)*12)+VLOOKUP(BO$4,$DE$6:$DF$17,2)+1))*(VLOOKUP($A6,SatSunCurve,6))*(INDEX(DailyScalarsTable,BO$5/100,MONTH($A6)))*$D6</f>
        <v>-1992.3821596116481</v>
      </c>
      <c r="BP6" s="1021">
        <f>(VLOOKUP(YEAR($A6),'NY East Load Projections'!$A$4:$EO$14,((MONTH($A6)-1)*12)+VLOOKUP(BP$4,$DE$6:$DF$17,2)+1))*(VLOOKUP($A6,SatSunCurve,6))*(INDEX(DailyScalarsTable,BP$5/100,MONTH($A6)))*$D6</f>
        <v>-1957.6124777071689</v>
      </c>
      <c r="BQ6" s="1021">
        <f>(VLOOKUP(YEAR($A6),'NY East Load Projections'!$A$4:$EO$14,((MONTH($A6)-1)*12)+VLOOKUP(BQ$4,$DE$6:$DF$17,2)+1))*(VLOOKUP($A6,SatSunCurve,6))*(INDEX(DailyScalarsTable,BQ$5/100,MONTH($A6)))*$D6</f>
        <v>-1466.4369619173403</v>
      </c>
      <c r="BR6" s="1021">
        <f>(VLOOKUP(YEAR($A6),'NY East Load Projections'!$A$4:$EO$14,((MONTH($A6)-1)*12)+VLOOKUP(BR$4,$DE$6:$DF$17,2)+1))*(VLOOKUP($A6,SatSunCurve,6))*(INDEX(DailyScalarsTable,BR$5/100,MONTH($A6)))*$D6</f>
        <v>-1218.2728679290008</v>
      </c>
      <c r="BS6" s="1021">
        <f>(VLOOKUP(YEAR($A6),'NY East Load Projections'!$A$4:$EO$14,((MONTH($A6)-1)*12)+VLOOKUP(BS$4,$DE$6:$DF$17,2)+1))*(VLOOKUP($A6,SatSunCurve,6))*(INDEX(DailyScalarsTable,BS$5/100,MONTH($A6)))*$D6</f>
        <v>-1178.936963442758</v>
      </c>
      <c r="BT6" s="1021">
        <f>(VLOOKUP(YEAR($A6),'NY East Load Projections'!$A$4:$EO$14,((MONTH($A6)-1)*12)+VLOOKUP(BT$4,$DE$6:$DF$17,2)+1))*(VLOOKUP($A6,SatSunCurve,6))*(INDEX(DailyScalarsTable,BT$5/100,MONTH($A6)))*$D6</f>
        <v>-1118.9354569619309</v>
      </c>
      <c r="BU6" s="1021">
        <f>(VLOOKUP(YEAR($A6),'NY East Load Projections'!$A$4:$EO$14,((MONTH($A6)-1)*12)+VLOOKUP(BU$4,$DE$6:$DF$17,2)+1))*(VLOOKUP($A6,SatSunCurve,6))*(INDEX(DailyScalarsTable,BU$5/100,MONTH($A6)))*$D6</f>
        <v>-1096.4170768574875</v>
      </c>
      <c r="BV6" s="1021">
        <f>(VLOOKUP(YEAR($A6),'NY East Load Projections'!$A$4:$EO$14,((MONTH($A6)-1)*12)+VLOOKUP(BV$4,$DE$6:$DF$17,2)+1))*(VLOOKUP($A6,SatSunCurve,6))*(INDEX(DailyScalarsTable,BV$5/100,MONTH($A6)))*$D6</f>
        <v>-1111.7228546353253</v>
      </c>
      <c r="BW6" s="1021">
        <f>(VLOOKUP(YEAR($A6),'NY East Load Projections'!$A$4:$EO$14,((MONTH($A6)-1)*12)+VLOOKUP(BW$4,$DE$6:$DF$17,2)+1))*(VLOOKUP($A6,SatSunCurve,6))*(INDEX(DailyScalarsTable,BW$5/100,MONTH($A6)))*$D6</f>
        <v>-1546.9140541274162</v>
      </c>
      <c r="BX6" s="1021">
        <f>(VLOOKUP(YEAR($A6),'NY East Load Projections'!$A$4:$EO$14,((MONTH($A6)-1)*12)+VLOOKUP(BX$4,$DE$6:$DF$17,2)+1))*(VLOOKUP($A6,SatSunCurve,6))*(INDEX(DailyScalarsTable,BX$5/100,MONTH($A6)))*$D6</f>
        <v>-1697.3757386325669</v>
      </c>
      <c r="BY6" s="1021">
        <f>(VLOOKUP(YEAR($A6),'NY East Load Projections'!$A$4:$EO$14,((MONTH($A6)-1)*12)+VLOOKUP(BY$4,$DE$6:$DF$17,2)+1))*(VLOOKUP($A6,SatSunCurve,6))*(INDEX(DailyScalarsTable,BY$5/100,MONTH($A6)))*$D6</f>
        <v>-1624.6831141466703</v>
      </c>
      <c r="BZ6" s="1021">
        <f>(VLOOKUP(YEAR($A6),'NY East Load Projections'!$A$4:$EO$14,((MONTH($A6)-1)*12)+VLOOKUP(BZ$4,$DE$6:$DF$17,2)+1))*(VLOOKUP($A6,SatSunCurve,6))*(INDEX(DailyScalarsTable,BZ$5/100,MONTH($A6)))*$D6</f>
        <v>-1554.9555211366298</v>
      </c>
      <c r="CA6" s="1021">
        <f>(VLOOKUP(YEAR($A6),'NY East Load Projections'!$A$4:$EO$14,((MONTH($A6)-1)*12)+VLOOKUP(CA$4,$DE$6:$DF$17,2)+1))*(VLOOKUP($A6,SatSunCurve,6))*(INDEX(DailyScalarsTable,CA$5/100,MONTH($A6)))*$D6</f>
        <v>-1105.9203809038752</v>
      </c>
      <c r="CB6" s="1021">
        <f>(VLOOKUP(YEAR($A6),'NY East Load Projections'!$A$4:$EO$14,((MONTH($A6)-1)*12)+VLOOKUP(CB$4,$DE$6:$DF$17,2)+1))*(VLOOKUP($A6,SatSunCurve,6))*(INDEX(DailyScalarsTable,CB$5/100,MONTH($A6)))*$D6</f>
        <v>-905.33348284583826</v>
      </c>
      <c r="CC6" s="1021">
        <f>(VLOOKUP(YEAR($A6),'NY East Load Projections'!$A$4:$EO$14,((MONTH($A6)-1)*12)+VLOOKUP(CC$4,$DE$6:$DF$17,2)+1))*(VLOOKUP($A6,CURVES!$D$9:$T$261,6))*(INDEX(DailyScalarsTable,CC$5/100,MONTH($A6)))*$D6</f>
        <v>-1167.3845689988425</v>
      </c>
      <c r="CE6" s="1021">
        <f>(VLOOKUP(YEAR($A6),'NY East Load Projections'!$A$4:$EO$14,((MONTH($A6)-1)*12)+VLOOKUP(CE$4,$DE$6:$DF$17,2)+1))*(VLOOKUP($A6,CURVES!$D$9:$T$261,6))*(INDEX(DailyScalarsTable,CE$5/100,MONTH($A6)))*$E6</f>
        <v>-249.29047632092289</v>
      </c>
      <c r="CF6" s="1021">
        <f>(VLOOKUP(YEAR($A6),'NY East Load Projections'!$A$4:$EO$14,((MONTH($A6)-1)*12)+VLOOKUP(CF$4,$DE$6:$DF$17,2)+1))*(VLOOKUP($A6,CURVES!$D$9:$T$261,6))*(INDEX(DailyScalarsTable,CF$5/100,MONTH($A6)))*$E6</f>
        <v>-244.43360331468566</v>
      </c>
      <c r="CG6" s="1021">
        <f>(VLOOKUP(YEAR($A6),'NY East Load Projections'!$A$4:$EO$14,((MONTH($A6)-1)*12)+VLOOKUP(CG$4,$DE$6:$DF$17,2)+1))*(VLOOKUP($A6,CURVES!$D$9:$T$261,6))*(INDEX(DailyScalarsTable,CG$5/100,MONTH($A6)))*$E6</f>
        <v>-223.9868723551584</v>
      </c>
      <c r="CH6" s="1021">
        <f>(VLOOKUP(YEAR($A6),'NY East Load Projections'!$A$4:$EO$14,((MONTH($A6)-1)*12)+VLOOKUP(CH$4,$DE$6:$DF$17,2)+1))*(VLOOKUP($A6,CURVES!$D$9:$T$261,6))*(INDEX(DailyScalarsTable,CH$5/100,MONTH($A6)))*$E6</f>
        <v>-223.85144641995055</v>
      </c>
      <c r="CI6" s="1021">
        <f>(VLOOKUP(YEAR($A6),'NY East Load Projections'!$A$4:$EO$14,((MONTH($A6)-1)*12)+VLOOKUP(CI$4,$DE$6:$DF$17,2)+1))*(VLOOKUP($A6,CURVES!$D$9:$T$261,6))*(INDEX(DailyScalarsTable,CI$5/100,MONTH($A6)))*$E6</f>
        <v>-245.21253011930898</v>
      </c>
      <c r="CJ6" s="1021">
        <f>(VLOOKUP(YEAR($A6),'NY East Load Projections'!$A$4:$EO$14,((MONTH($A6)-1)*12)+VLOOKUP(CJ$4,$DE$6:$DF$17,2)+1))*(VLOOKUP($A6,CURVES!$D$9:$T$261,6))*(INDEX(DailyScalarsTable,CJ$5/100,MONTH($A6)))*$E6</f>
        <v>-261.69521525077818</v>
      </c>
      <c r="CK6" s="1021">
        <f>(VLOOKUP(YEAR($A6),'NY East Load Projections'!$A$4:$EO$14,((MONTH($A6)-1)*12)+VLOOKUP(CK$4,$DE$6:$DF$17,2)+1))*(VLOOKUP($A6,CURVES!$D$9:$T$261,6))*(INDEX(DailyScalarsTable,CK$5/100,MONTH($A6)))*$E6</f>
        <v>-501.14315074590019</v>
      </c>
      <c r="CL6" s="1021">
        <f>(VLOOKUP(YEAR($A6),'NY East Load Projections'!$A$4:$EO$14,((MONTH($A6)-1)*12)+VLOOKUP(CL$4,$DE$6:$DF$17,2)+1))*(VLOOKUP($A6,SatSunCurve,6))*(INDEX(DailyScalarsTable,CL$5/100,MONTH($A6)))*$E6</f>
        <v>-400.01409624449451</v>
      </c>
      <c r="CM6" s="1021">
        <f>(VLOOKUP(YEAR($A6),'NY East Load Projections'!$A$4:$EO$14,((MONTH($A6)-1)*12)+VLOOKUP(CM$4,$DE$6:$DF$17,2)+1))*(VLOOKUP($A6,SatSunCurve,6))*(INDEX(DailyScalarsTable,CM$5/100,MONTH($A6)))*$E6</f>
        <v>-499.61617084549295</v>
      </c>
      <c r="CN6" s="1021">
        <f>(VLOOKUP(YEAR($A6),'NY East Load Projections'!$A$4:$EO$14,((MONTH($A6)-1)*12)+VLOOKUP(CN$4,$DE$6:$DF$17,2)+1))*(VLOOKUP($A6,SatSunCurve,6))*(INDEX(DailyScalarsTable,CN$5/100,MONTH($A6)))*$E6</f>
        <v>-498.09553990291204</v>
      </c>
      <c r="CO6" s="1021">
        <f>(VLOOKUP(YEAR($A6),'NY East Load Projections'!$A$4:$EO$14,((MONTH($A6)-1)*12)+VLOOKUP(CO$4,$DE$6:$DF$17,2)+1))*(VLOOKUP($A6,SatSunCurve,6))*(INDEX(DailyScalarsTable,CO$5/100,MONTH($A6)))*$E6</f>
        <v>-489.40311942679222</v>
      </c>
      <c r="CP6" s="1021">
        <f>(VLOOKUP(YEAR($A6),'NY East Load Projections'!$A$4:$EO$14,((MONTH($A6)-1)*12)+VLOOKUP(CP$4,$DE$6:$DF$17,2)+1))*(VLOOKUP($A6,SatSunCurve,6))*(INDEX(DailyScalarsTable,CP$5/100,MONTH($A6)))*$E6</f>
        <v>-366.60924047933509</v>
      </c>
      <c r="CQ6" s="1021">
        <f>(VLOOKUP(YEAR($A6),'NY East Load Projections'!$A$4:$EO$14,((MONTH($A6)-1)*12)+VLOOKUP(CQ$4,$DE$6:$DF$17,2)+1))*(VLOOKUP($A6,SatSunCurve,6))*(INDEX(DailyScalarsTable,CQ$5/100,MONTH($A6)))*$E6</f>
        <v>-304.56821698225019</v>
      </c>
      <c r="CR6" s="1021">
        <f>(VLOOKUP(YEAR($A6),'NY East Load Projections'!$A$4:$EO$14,((MONTH($A6)-1)*12)+VLOOKUP(CR$4,$DE$6:$DF$17,2)+1))*(VLOOKUP($A6,SatSunCurve,6))*(INDEX(DailyScalarsTable,CR$5/100,MONTH($A6)))*$E6</f>
        <v>-294.73424086068951</v>
      </c>
      <c r="CS6" s="1021">
        <f>(VLOOKUP(YEAR($A6),'NY East Load Projections'!$A$4:$EO$14,((MONTH($A6)-1)*12)+VLOOKUP(CS$4,$DE$6:$DF$17,2)+1))*(VLOOKUP($A6,SatSunCurve,6))*(INDEX(DailyScalarsTable,CS$5/100,MONTH($A6)))*$E6</f>
        <v>-279.73386424048272</v>
      </c>
      <c r="CT6" s="1021">
        <f>(VLOOKUP(YEAR($A6),'NY East Load Projections'!$A$4:$EO$14,((MONTH($A6)-1)*12)+VLOOKUP(CT$4,$DE$6:$DF$17,2)+1))*(VLOOKUP($A6,SatSunCurve,6))*(INDEX(DailyScalarsTable,CT$5/100,MONTH($A6)))*$E6</f>
        <v>-274.10426921437187</v>
      </c>
      <c r="CU6" s="1021">
        <f>(VLOOKUP(YEAR($A6),'NY East Load Projections'!$A$4:$EO$14,((MONTH($A6)-1)*12)+VLOOKUP(CU$4,$DE$6:$DF$17,2)+1))*(VLOOKUP($A6,SatSunCurve,6))*(INDEX(DailyScalarsTable,CU$5/100,MONTH($A6)))*$E6</f>
        <v>-277.93071365883134</v>
      </c>
      <c r="CV6" s="1021">
        <f>(VLOOKUP(YEAR($A6),'NY East Load Projections'!$A$4:$EO$14,((MONTH($A6)-1)*12)+VLOOKUP(CV$4,$DE$6:$DF$17,2)+1))*(VLOOKUP($A6,SatSunCurve,6))*(INDEX(DailyScalarsTable,CV$5/100,MONTH($A6)))*$E6</f>
        <v>-386.72851353185405</v>
      </c>
      <c r="CW6" s="1021">
        <f>(VLOOKUP(YEAR($A6),'NY East Load Projections'!$A$4:$EO$14,((MONTH($A6)-1)*12)+VLOOKUP(CW$4,$DE$6:$DF$17,2)+1))*(VLOOKUP($A6,SatSunCurve,6))*(INDEX(DailyScalarsTable,CW$5/100,MONTH($A6)))*$E6</f>
        <v>-424.34393465814173</v>
      </c>
      <c r="CX6" s="1021">
        <f>(VLOOKUP(YEAR($A6),'NY East Load Projections'!$A$4:$EO$14,((MONTH($A6)-1)*12)+VLOOKUP(CX$4,$DE$6:$DF$17,2)+1))*(VLOOKUP($A6,SatSunCurve,6))*(INDEX(DailyScalarsTable,CX$5/100,MONTH($A6)))*$E6</f>
        <v>-406.17077853666757</v>
      </c>
      <c r="CY6" s="1021">
        <f>(VLOOKUP(YEAR($A6),'NY East Load Projections'!$A$4:$EO$14,((MONTH($A6)-1)*12)+VLOOKUP(CY$4,$DE$6:$DF$17,2)+1))*(VLOOKUP($A6,SatSunCurve,6))*(INDEX(DailyScalarsTable,CY$5/100,MONTH($A6)))*$E6</f>
        <v>-388.73888028415746</v>
      </c>
      <c r="CZ6" s="1021">
        <f>(VLOOKUP(YEAR($A6),'NY East Load Projections'!$A$4:$EO$14,((MONTH($A6)-1)*12)+VLOOKUP(CZ$4,$DE$6:$DF$17,2)+1))*(VLOOKUP($A6,SatSunCurve,6))*(INDEX(DailyScalarsTable,CZ$5/100,MONTH($A6)))*$E6</f>
        <v>-276.4800952259688</v>
      </c>
      <c r="DA6" s="1021">
        <f>(VLOOKUP(YEAR($A6),'NY East Load Projections'!$A$4:$EO$14,((MONTH($A6)-1)*12)+VLOOKUP(DA$4,$DE$6:$DF$17,2)+1))*(VLOOKUP($A6,SatSunCurve,6))*(INDEX(DailyScalarsTable,DA$5/100,MONTH($A6)))*$E6</f>
        <v>-226.33337071145957</v>
      </c>
      <c r="DB6" s="1021">
        <f>(VLOOKUP(YEAR($A6),'NY East Load Projections'!$A$4:$EO$14,((MONTH($A6)-1)*12)+VLOOKUP(DB$4,$DE$6:$DF$17,2)+1))*(VLOOKUP($A6,CURVES!$D$9:$T$261,6))*(INDEX(DailyScalarsTable,DB$5/100,MONTH($A6)))*$E6</f>
        <v>-291.84614224971062</v>
      </c>
      <c r="DE6" s="1017" t="s">
        <v>558</v>
      </c>
      <c r="DF6" s="1018">
        <v>1</v>
      </c>
      <c r="DH6" s="1021">
        <f>SUM(H6:DB6)</f>
        <v>-230923.54566850193</v>
      </c>
      <c r="DI6">
        <f ca="1">CALC!J26</f>
        <v>0.93842508713442885</v>
      </c>
      <c r="DJ6" s="1029">
        <f ca="1">DH6*DI6</f>
        <v>-216704.44846535518</v>
      </c>
    </row>
    <row r="7" spans="1:114" x14ac:dyDescent="0.25">
      <c r="A7" s="244">
        <v>36923</v>
      </c>
      <c r="B7" s="13">
        <v>20</v>
      </c>
      <c r="C7" s="210">
        <v>4</v>
      </c>
      <c r="D7" s="210">
        <v>4</v>
      </c>
      <c r="E7" s="210">
        <v>0</v>
      </c>
      <c r="F7" s="13">
        <v>28</v>
      </c>
      <c r="H7" s="1021">
        <f>(VLOOKUP(YEAR($A7),'NY East Load Projections'!$A$4:$EO$14,((MONTH($A7)-1)*12)+VLOOKUP(H$4,$DE$6:$DF$17,2)+1))*(VLOOKUP($A7,CURVES!$D$9:$K$261,6))*(INDEX(DailyScalarsTable,H$5/100,MONTH($A7)))*$B7</f>
        <v>-2395.2863954047698</v>
      </c>
      <c r="I7" s="1021">
        <f>(VLOOKUP(YEAR($A7),'NY East Load Projections'!$A$4:$EO$14,((MONTH($A7)-1)*12)+VLOOKUP(I$4,$DE$6:$DF$17,2)+1))*(VLOOKUP($A7,CURVES!$D$9:$K$261,6))*(INDEX(DailyScalarsTable,I$5/100,MONTH($A7)))*$B7</f>
        <v>-2348.6195431136612</v>
      </c>
      <c r="J7" s="1021">
        <f>(VLOOKUP(YEAR($A7),'NY East Load Projections'!$A$4:$EO$14,((MONTH($A7)-1)*12)+VLOOKUP(J$4,$DE$6:$DF$17,2)+1))*(VLOOKUP($A7,CURVES!$D$9:$K$261,6))*(INDEX(DailyScalarsTable,J$5/100,MONTH($A7)))*$B7</f>
        <v>-2152.158863104336</v>
      </c>
      <c r="K7" s="1021">
        <f>(VLOOKUP(YEAR($A7),'NY East Load Projections'!$A$4:$EO$14,((MONTH($A7)-1)*12)+VLOOKUP(K$4,$DE$6:$DF$17,2)+1))*(VLOOKUP($A7,CURVES!$D$9:$K$261,6))*(INDEX(DailyScalarsTable,K$5/100,MONTH($A7)))*$B7</f>
        <v>-2150.8576344935373</v>
      </c>
      <c r="L7" s="1021">
        <f>(VLOOKUP(YEAR($A7),'NY East Load Projections'!$A$4:$EO$14,((MONTH($A7)-1)*12)+VLOOKUP(L$4,$DE$6:$DF$17,2)+1))*(VLOOKUP($A7,CURVES!$D$9:$K$261,6))*(INDEX(DailyScalarsTable,L$5/100,MONTH($A7)))*$B7</f>
        <v>-4055.002518674446</v>
      </c>
      <c r="M7" s="1021">
        <f>(VLOOKUP(YEAR($A7),'NY East Load Projections'!$A$4:$EO$14,((MONTH($A7)-1)*12)+VLOOKUP(M$4,$DE$6:$DF$17,2)+1))*(VLOOKUP($A7,CURVES!$D$9:$K$261,6))*(INDEX(DailyScalarsTable,M$5/100,MONTH($A7)))*$B7</f>
        <v>-4327.5715007330118</v>
      </c>
      <c r="N7" s="1021">
        <f>(VLOOKUP(YEAR($A7),'NY East Load Projections'!$A$4:$EO$14,((MONTH($A7)-1)*12)+VLOOKUP(N$4,$DE$6:$DF$17,2)+1))*(VLOOKUP($A7,CURVES!$D$9:$K$261,6))*(INDEX(DailyScalarsTable,N$5/100,MONTH($A7)))*$B7</f>
        <v>-8287.2467304273978</v>
      </c>
      <c r="O7" s="1021">
        <f>(VLOOKUP(YEAR($A7),'NY East Load Projections'!$A$4:$EO$14,((MONTH($A7)-1)*12)+VLOOKUP(O$4,$DE$6:$DF$17,2)+1))*(VLOOKUP($A7,CURVES!$D$9:$K$261,2))*(INDEX(DailyScalarsTable,O$5/100,MONTH($A7)))*$B7</f>
        <v>-9953.3008450597481</v>
      </c>
      <c r="P7" s="1021">
        <f>(VLOOKUP(YEAR($A7),'NY East Load Projections'!$A$4:$EO$14,((MONTH($A7)-1)*12)+VLOOKUP(P$4,$DE$6:$DF$17,2)+1))*(VLOOKUP($A7,CURVES!$D$9:$K$261,2))*(INDEX(DailyScalarsTable,P$5/100,MONTH($A7)))*$B7</f>
        <v>-10531.383001064052</v>
      </c>
      <c r="Q7" s="1021">
        <f>(VLOOKUP(YEAR($A7),'NY East Load Projections'!$A$4:$EO$14,((MONTH($A7)-1)*12)+VLOOKUP(Q$4,$DE$6:$DF$17,2)+1))*(VLOOKUP($A7,CURVES!$D$9:$K$261,2))*(INDEX(DailyScalarsTable,Q$5/100,MONTH($A7)))*$B7</f>
        <v>-10499.329701363029</v>
      </c>
      <c r="R7" s="1021">
        <f>(VLOOKUP(YEAR($A7),'NY East Load Projections'!$A$4:$EO$14,((MONTH($A7)-1)*12)+VLOOKUP(R$4,$DE$6:$DF$17,2)+1))*(VLOOKUP($A7,CURVES!$D$9:$K$261,2))*(INDEX(DailyScalarsTable,R$5/100,MONTH($A7)))*$B7</f>
        <v>-10316.102627096414</v>
      </c>
      <c r="S7" s="1021">
        <f>(VLOOKUP(YEAR($A7),'NY East Load Projections'!$A$4:$EO$14,((MONTH($A7)-1)*12)+VLOOKUP(S$4,$DE$6:$DF$17,2)+1))*(VLOOKUP($A7,CURVES!$D$9:$K$261,2))*(INDEX(DailyScalarsTable,S$5/100,MONTH($A7)))*$B7</f>
        <v>-7727.7369078813554</v>
      </c>
      <c r="T7" s="1021">
        <f>(VLOOKUP(YEAR($A7),'NY East Load Projections'!$A$4:$EO$14,((MONTH($A7)-1)*12)+VLOOKUP(T$4,$DE$6:$DF$17,2)+1))*(VLOOKUP($A7,CURVES!$D$9:$K$261,2))*(INDEX(DailyScalarsTable,T$5/100,MONTH($A7)))*$B7</f>
        <v>-7422.1878546002426</v>
      </c>
      <c r="U7" s="1021">
        <f>(VLOOKUP(YEAR($A7),'NY East Load Projections'!$A$4:$EO$14,((MONTH($A7)-1)*12)+VLOOKUP(U$4,$DE$6:$DF$17,2)+1))*(VLOOKUP($A7,CURVES!$D$9:$K$261,2))*(INDEX(DailyScalarsTable,U$5/100,MONTH($A7)))*$B7</f>
        <v>-7182.538363740432</v>
      </c>
      <c r="V7" s="1021">
        <f>(VLOOKUP(YEAR($A7),'NY East Load Projections'!$A$4:$EO$14,((MONTH($A7)-1)*12)+VLOOKUP(V$4,$DE$6:$DF$17,2)+1))*(VLOOKUP($A7,CURVES!$D$9:$K$261,2))*(INDEX(DailyScalarsTable,V$5/100,MONTH($A7)))*$B7</f>
        <v>-6816.9860606535449</v>
      </c>
      <c r="W7" s="1021">
        <f>(VLOOKUP(YEAR($A7),'NY East Load Projections'!$A$4:$EO$14,((MONTH($A7)-1)*12)+VLOOKUP(W$4,$DE$6:$DF$17,2)+1))*(VLOOKUP($A7,CURVES!$D$9:$K$261,2))*(INDEX(DailyScalarsTable,W$5/100,MONTH($A7)))*$B7</f>
        <v>-6679.795410088871</v>
      </c>
      <c r="X7" s="1021">
        <f>(VLOOKUP(YEAR($A7),'NY East Load Projections'!$A$4:$EO$14,((MONTH($A7)-1)*12)+VLOOKUP(X$4,$DE$6:$DF$17,2)+1))*(VLOOKUP($A7,CURVES!$D$9:$K$261,2))*(INDEX(DailyScalarsTable,X$5/100,MONTH($A7)))*$B7</f>
        <v>-6289.1968330563595</v>
      </c>
      <c r="Y7" s="1021">
        <f>(VLOOKUP(YEAR($A7),'NY East Load Projections'!$A$4:$EO$14,((MONTH($A7)-1)*12)+VLOOKUP(Y$4,$DE$6:$DF$17,2)+1))*(VLOOKUP($A7,CURVES!$D$9:$K$261,2))*(INDEX(DailyScalarsTable,Y$5/100,MONTH($A7)))*$B7</f>
        <v>-8751.1441630115987</v>
      </c>
      <c r="Z7" s="1021">
        <f>(VLOOKUP(YEAR($A7),'NY East Load Projections'!$A$4:$EO$14,((MONTH($A7)-1)*12)+VLOOKUP(Z$4,$DE$6:$DF$17,2)+1))*(VLOOKUP($A7,CURVES!$D$9:$K$261,2))*(INDEX(DailyScalarsTable,Z$5/100,MONTH($A7)))*$B7</f>
        <v>-9602.3303608491224</v>
      </c>
      <c r="AA7" s="1021">
        <f>(VLOOKUP(YEAR($A7),'NY East Load Projections'!$A$4:$EO$14,((MONTH($A7)-1)*12)+VLOOKUP(AA$4,$DE$6:$DF$17,2)+1))*(VLOOKUP($A7,CURVES!$D$9:$K$261,2))*(INDEX(DailyScalarsTable,AA$5/100,MONTH($A7)))*$B7</f>
        <v>-9191.0963722726938</v>
      </c>
      <c r="AB7" s="1021">
        <f>(VLOOKUP(YEAR($A7),'NY East Load Projections'!$A$4:$EO$14,((MONTH($A7)-1)*12)+VLOOKUP(AB$4,$DE$6:$DF$17,2)+1))*(VLOOKUP($A7,CURVES!$D$9:$K$261,2))*(INDEX(DailyScalarsTable,AB$5/100,MONTH($A7)))*$B7</f>
        <v>-6563.6775812772476</v>
      </c>
      <c r="AC7" s="1021">
        <f>(VLOOKUP(YEAR($A7),'NY East Load Projections'!$A$4:$EO$14,((MONTH($A7)-1)*12)+VLOOKUP(AC$4,$DE$6:$DF$17,2)+1))*(VLOOKUP($A7,CURVES!$D$9:$K$261,2))*(INDEX(DailyScalarsTable,AC$5/100,MONTH($A7)))*$B7</f>
        <v>-4668.2395169157635</v>
      </c>
      <c r="AD7" s="1021">
        <f>(VLOOKUP(YEAR($A7),'NY East Load Projections'!$A$4:$EO$14,((MONTH($A7)-1)*12)+VLOOKUP(AD$4,$DE$6:$DF$17,2)+1))*(VLOOKUP($A7,CURVES!$D$9:$K$261,2))*(INDEX(DailyScalarsTable,AD$5/100,MONTH($A7)))*$B7</f>
        <v>-3821.5350884063919</v>
      </c>
      <c r="AE7" s="1021">
        <f>(VLOOKUP(YEAR($A7),'NY East Load Projections'!$A$4:$EO$14,((MONTH($A7)-1)*12)+VLOOKUP(AE$4,$DE$6:$DF$17,2)+1))*(VLOOKUP($A7,CURVES!$D$9:$K$261,6))*(INDEX(DailyScalarsTable,AE$5/100,MONTH($A7)))*$B7</f>
        <v>-3274.9136384228473</v>
      </c>
      <c r="AF7" s="1021"/>
      <c r="AG7" s="1021">
        <f>(VLOOKUP(YEAR($A7),'NY East Load Projections'!$A$4:$EO$14,((MONTH($A7)-1)*12)+VLOOKUP(AG$4,$DE$6:$DF$17,2)+1))*(VLOOKUP($A7,CURVES!$D$9:$T$261,6))*(INDEX(DailyScalarsTable,AG$5/100,MONTH($A7)))*$C7</f>
        <v>-1185.4757645693983</v>
      </c>
      <c r="AH7" s="1021">
        <f>(VLOOKUP(YEAR($A7),'NY East Load Projections'!$A$4:$EO$14,((MONTH($A7)-1)*12)+VLOOKUP(AH$4,$DE$6:$DF$17,2)+1))*(VLOOKUP($A7,CURVES!$D$9:$T$261,6))*(INDEX(DailyScalarsTable,AH$5/100,MONTH($A7)))*$C7</f>
        <v>-1162.37939391995</v>
      </c>
      <c r="AI7" s="1021">
        <f>(VLOOKUP(YEAR($A7),'NY East Load Projections'!$A$4:$EO$14,((MONTH($A7)-1)*12)+VLOOKUP(AI$4,$DE$6:$DF$17,2)+1))*(VLOOKUP($A7,CURVES!$D$9:$T$261,6))*(INDEX(DailyScalarsTable,AI$5/100,MONTH($A7)))*$C7</f>
        <v>-1065.1470231735191</v>
      </c>
      <c r="AJ7" s="1021">
        <f>(VLOOKUP(YEAR($A7),'NY East Load Projections'!$A$4:$EO$14,((MONTH($A7)-1)*12)+VLOOKUP(AJ$4,$DE$6:$DF$17,2)+1))*(VLOOKUP($A7,CURVES!$D$9:$T$261,6))*(INDEX(DailyScalarsTable,AJ$5/100,MONTH($A7)))*$C7</f>
        <v>-1064.5030187716966</v>
      </c>
      <c r="AK7" s="1021">
        <f>(VLOOKUP(YEAR($A7),'NY East Load Projections'!$A$4:$EO$14,((MONTH($A7)-1)*12)+VLOOKUP(AK$4,$DE$6:$DF$17,2)+1))*(VLOOKUP($A7,CURVES!$D$9:$T$261,6))*(INDEX(DailyScalarsTable,AK$5/100,MONTH($A7)))*$C7</f>
        <v>-1123.5129576755089</v>
      </c>
      <c r="AL7" s="1021">
        <f>(VLOOKUP(YEAR($A7),'NY East Load Projections'!$A$4:$EO$14,((MONTH($A7)-1)*12)+VLOOKUP(AL$4,$DE$6:$DF$17,2)+1))*(VLOOKUP($A7,CURVES!$D$9:$T$261,6))*(INDEX(DailyScalarsTable,AL$5/100,MONTH($A7)))*$C7</f>
        <v>-1199.0332025564733</v>
      </c>
      <c r="AM7" s="1021">
        <f>(VLOOKUP(YEAR($A7),'NY East Load Projections'!$A$4:$EO$14,((MONTH($A7)-1)*12)+VLOOKUP(AM$4,$DE$6:$DF$17,2)+1))*(VLOOKUP($A7,CURVES!$D$9:$T$261,6))*(INDEX(DailyScalarsTable,AM$5/100,MONTH($A7)))*$C7</f>
        <v>-2296.1339831997993</v>
      </c>
      <c r="AN7" s="1021">
        <f>(VLOOKUP(YEAR($A7),'NY East Load Projections'!$A$4:$EO$14,((MONTH($A7)-1)*12)+VLOOKUP(AN$4,$DE$6:$DF$17,2)+1))*(VLOOKUP($A7,SatSunCurve,2))*(INDEX(DailyScalarsTable,AN$5/100,MONTH($A7)))*$C7</f>
        <v>-2040.0025568904009</v>
      </c>
      <c r="AO7" s="1021">
        <f>(VLOOKUP(YEAR($A7),'NY East Load Projections'!$A$4:$EO$14,((MONTH($A7)-1)*12)+VLOOKUP(AO$4,$DE$6:$DF$17,2)+1))*(VLOOKUP($A7,SatSunCurve,2))*(INDEX(DailyScalarsTable,AO$5/100,MONTH($A7)))*$C7</f>
        <v>-2545.9878302118473</v>
      </c>
      <c r="AP7" s="1021">
        <f>(VLOOKUP(YEAR($A7),'NY East Load Projections'!$A$4:$EO$14,((MONTH($A7)-1)*12)+VLOOKUP(AP$4,$DE$6:$DF$17,2)+1))*(VLOOKUP($A7,SatSunCurve,2))*(INDEX(DailyScalarsTable,AP$5/100,MONTH($A7)))*$C7</f>
        <v>-2538.2388659069029</v>
      </c>
      <c r="AQ7" s="1021">
        <f>(VLOOKUP(YEAR($A7),'NY East Load Projections'!$A$4:$EO$14,((MONTH($A7)-1)*12)+VLOOKUP(AQ$4,$DE$6:$DF$17,2)+1))*(VLOOKUP($A7,SatSunCurve,2))*(INDEX(DailyScalarsTable,AQ$5/100,MONTH($A7)))*$C7</f>
        <v>-2493.9432685289526</v>
      </c>
      <c r="AR7" s="1021">
        <f>(VLOOKUP(YEAR($A7),'NY East Load Projections'!$A$4:$EO$14,((MONTH($A7)-1)*12)+VLOOKUP(AR$4,$DE$6:$DF$17,2)+1))*(VLOOKUP($A7,SatSunCurve,2))*(INDEX(DailyScalarsTable,AR$5/100,MONTH($A7)))*$C7</f>
        <v>-1868.1994682518905</v>
      </c>
      <c r="AS7" s="1021">
        <f>(VLOOKUP(YEAR($A7),'NY East Load Projections'!$A$4:$EO$14,((MONTH($A7)-1)*12)+VLOOKUP(AS$4,$DE$6:$DF$17,2)+1))*(VLOOKUP($A7,SatSunCurve,2))*(INDEX(DailyScalarsTable,AS$5/100,MONTH($A7)))*$C7</f>
        <v>-1561.1879014622159</v>
      </c>
      <c r="AT7" s="1021">
        <f>(VLOOKUP(YEAR($A7),'NY East Load Projections'!$A$4:$EO$14,((MONTH($A7)-1)*12)+VLOOKUP(AT$4,$DE$6:$DF$17,2)+1))*(VLOOKUP($A7,SatSunCurve,2))*(INDEX(DailyScalarsTable,AT$5/100,MONTH($A7)))*$C7</f>
        <v>-1510.7798690799546</v>
      </c>
      <c r="AU7" s="1021">
        <f>(VLOOKUP(YEAR($A7),'NY East Load Projections'!$A$4:$EO$14,((MONTH($A7)-1)*12)+VLOOKUP(AU$4,$DE$6:$DF$17,2)+1))*(VLOOKUP($A7,SatSunCurve,2))*(INDEX(DailyScalarsTable,AU$5/100,MONTH($A7)))*$C7</f>
        <v>-1433.889355917157</v>
      </c>
      <c r="AV7" s="1021">
        <f>(VLOOKUP(YEAR($A7),'NY East Load Projections'!$A$4:$EO$14,((MONTH($A7)-1)*12)+VLOOKUP(AV$4,$DE$6:$DF$17,2)+1))*(VLOOKUP($A7,SatSunCurve,2))*(INDEX(DailyScalarsTable,AV$5/100,MONTH($A7)))*$C7</f>
        <v>-1405.0325837562971</v>
      </c>
      <c r="AW7" s="1021">
        <f>(VLOOKUP(YEAR($A7),'NY East Load Projections'!$A$4:$EO$14,((MONTH($A7)-1)*12)+VLOOKUP(AW$4,$DE$6:$DF$17,2)+1))*(VLOOKUP($A7,SatSunCurve,2))*(INDEX(DailyScalarsTable,AW$5/100,MONTH($A7)))*$C7</f>
        <v>-1409.3421303921782</v>
      </c>
      <c r="AX7" s="1021">
        <f>(VLOOKUP(YEAR($A7),'NY East Load Projections'!$A$4:$EO$14,((MONTH($A7)-1)*12)+VLOOKUP(AX$4,$DE$6:$DF$17,2)+1))*(VLOOKUP($A7,SatSunCurve,2))*(INDEX(DailyScalarsTable,AX$5/100,MONTH($A7)))*$C7</f>
        <v>-1961.0383464615154</v>
      </c>
      <c r="AY7" s="1021">
        <f>(VLOOKUP(YEAR($A7),'NY East Load Projections'!$A$4:$EO$14,((MONTH($A7)-1)*12)+VLOOKUP(AY$4,$DE$6:$DF$17,2)+1))*(VLOOKUP($A7,SatSunCurve,2))*(INDEX(DailyScalarsTable,AY$5/100,MONTH($A7)))*$C7</f>
        <v>-2151.7801218048348</v>
      </c>
      <c r="AZ7" s="1021">
        <f>(VLOOKUP(YEAR($A7),'NY East Load Projections'!$A$4:$EO$14,((MONTH($A7)-1)*12)+VLOOKUP(AZ$4,$DE$6:$DF$17,2)+1))*(VLOOKUP($A7,SatSunCurve,2))*(INDEX(DailyScalarsTable,AZ$5/100,MONTH($A7)))*$C7</f>
        <v>-2059.6269580647959</v>
      </c>
      <c r="BA7" s="1021">
        <f>(VLOOKUP(YEAR($A7),'NY East Load Projections'!$A$4:$EO$14,((MONTH($A7)-1)*12)+VLOOKUP(BA$4,$DE$6:$DF$17,2)+1))*(VLOOKUP($A7,SatSunCurve,2))*(INDEX(DailyScalarsTable,BA$5/100,MONTH($A7)))*$C7</f>
        <v>-2037.0295813695836</v>
      </c>
      <c r="BB7" s="1021">
        <f>(VLOOKUP(YEAR($A7),'NY East Load Projections'!$A$4:$EO$14,((MONTH($A7)-1)*12)+VLOOKUP(BB$4,$DE$6:$DF$17,2)+1))*(VLOOKUP($A7,SatSunCurve,2))*(INDEX(DailyScalarsTable,BB$5/100,MONTH($A7)))*$C7</f>
        <v>-1448.7826178423302</v>
      </c>
      <c r="BC7" s="1021">
        <f>(VLOOKUP(YEAR($A7),'NY East Load Projections'!$A$4:$EO$14,((MONTH($A7)-1)*12)+VLOOKUP(BC$4,$DE$6:$DF$17,2)+1))*(VLOOKUP($A7,SatSunCurve,2))*(INDEX(DailyScalarsTable,BC$5/100,MONTH($A7)))*$C7</f>
        <v>-1186.0088989640499</v>
      </c>
      <c r="BD7" s="1021">
        <f>(VLOOKUP(YEAR($A7),'NY East Load Projections'!$A$4:$EO$14,((MONTH($A7)-1)*12)+VLOOKUP(BD$4,$DE$6:$DF$17,2)+1))*(VLOOKUP($A7,CURVES!$D$9:$T$261,6))*(INDEX(DailyScalarsTable,BD$5/100,MONTH($A7)))*$C7</f>
        <v>-1373.9575807680324</v>
      </c>
      <c r="BE7" s="1021"/>
      <c r="BF7" s="1021">
        <f>(VLOOKUP(YEAR($A7),'NY East Load Projections'!$A$4:$EO$14,((MONTH($A7)-1)*12)+VLOOKUP(BF$4,$DE$6:$DF$17,2)+1))*(VLOOKUP($A7,CURVES!$D$9:$T$261,6))*(INDEX(DailyScalarsTable,BF$5/100,MONTH($A7)))*$D7</f>
        <v>-1185.4757645693983</v>
      </c>
      <c r="BG7" s="1021">
        <f>(VLOOKUP(YEAR($A7),'NY East Load Projections'!$A$4:$EO$14,((MONTH($A7)-1)*12)+VLOOKUP(BG$4,$DE$6:$DF$17,2)+1))*(VLOOKUP($A7,CURVES!$D$9:$T$261,6))*(INDEX(DailyScalarsTable,BG$5/100,MONTH($A7)))*$D7</f>
        <v>-1162.37939391995</v>
      </c>
      <c r="BH7" s="1021">
        <f>(VLOOKUP(YEAR($A7),'NY East Load Projections'!$A$4:$EO$14,((MONTH($A7)-1)*12)+VLOOKUP(BH$4,$DE$6:$DF$17,2)+1))*(VLOOKUP($A7,CURVES!$D$9:$T$261,6))*(INDEX(DailyScalarsTable,BH$5/100,MONTH($A7)))*$D7</f>
        <v>-1065.1470231735191</v>
      </c>
      <c r="BI7" s="1021">
        <f>(VLOOKUP(YEAR($A7),'NY East Load Projections'!$A$4:$EO$14,((MONTH($A7)-1)*12)+VLOOKUP(BI$4,$DE$6:$DF$17,2)+1))*(VLOOKUP($A7,CURVES!$D$9:$T$261,6))*(INDEX(DailyScalarsTable,BI$5/100,MONTH($A7)))*$D7</f>
        <v>-1064.5030187716966</v>
      </c>
      <c r="BJ7" s="1021">
        <f>(VLOOKUP(YEAR($A7),'NY East Load Projections'!$A$4:$EO$14,((MONTH($A7)-1)*12)+VLOOKUP(BJ$4,$DE$6:$DF$17,2)+1))*(VLOOKUP($A7,CURVES!$D$9:$T$261,6))*(INDEX(DailyScalarsTable,BJ$5/100,MONTH($A7)))*$D7</f>
        <v>-1123.5129576755089</v>
      </c>
      <c r="BK7" s="1021">
        <f>(VLOOKUP(YEAR($A7),'NY East Load Projections'!$A$4:$EO$14,((MONTH($A7)-1)*12)+VLOOKUP(BK$4,$DE$6:$DF$17,2)+1))*(VLOOKUP($A7,CURVES!$D$9:$T$261,6))*(INDEX(DailyScalarsTable,BK$5/100,MONTH($A7)))*$D7</f>
        <v>-1199.0332025564733</v>
      </c>
      <c r="BL7" s="1021">
        <f>(VLOOKUP(YEAR($A7),'NY East Load Projections'!$A$4:$EO$14,((MONTH($A7)-1)*12)+VLOOKUP(BL$4,$DE$6:$DF$17,2)+1))*(VLOOKUP($A7,CURVES!$D$9:$T$261,6))*(INDEX(DailyScalarsTable,BL$5/100,MONTH($A7)))*$D7</f>
        <v>-2296.1339831997993</v>
      </c>
      <c r="BM7" s="1021">
        <f>(VLOOKUP(YEAR($A7),'NY East Load Projections'!$A$4:$EO$14,((MONTH($A7)-1)*12)+VLOOKUP(BM$4,$DE$6:$DF$17,2)+1))*(VLOOKUP($A7,SatSunCurve,6))*(INDEX(DailyScalarsTable,BM$5/100,MONTH($A7)))*$D7</f>
        <v>-1700.0487910968955</v>
      </c>
      <c r="BN7" s="1021">
        <f>(VLOOKUP(YEAR($A7),'NY East Load Projections'!$A$4:$EO$14,((MONTH($A7)-1)*12)+VLOOKUP(BN$4,$DE$6:$DF$17,2)+1))*(VLOOKUP($A7,SatSunCurve,6))*(INDEX(DailyScalarsTable,BN$5/100,MONTH($A7)))*$D7</f>
        <v>-2121.7147587779209</v>
      </c>
      <c r="BO7" s="1021">
        <f>(VLOOKUP(YEAR($A7),'NY East Load Projections'!$A$4:$EO$14,((MONTH($A7)-1)*12)+VLOOKUP(BO$4,$DE$6:$DF$17,2)+1))*(VLOOKUP($A7,SatSunCurve,6))*(INDEX(DailyScalarsTable,BO$5/100,MONTH($A7)))*$D7</f>
        <v>-2115.2571112841092</v>
      </c>
      <c r="BP7" s="1021">
        <f>(VLOOKUP(YEAR($A7),'NY East Load Projections'!$A$4:$EO$14,((MONTH($A7)-1)*12)+VLOOKUP(BP$4,$DE$6:$DF$17,2)+1))*(VLOOKUP($A7,SatSunCurve,6))*(INDEX(DailyScalarsTable,BP$5/100,MONTH($A7)))*$D7</f>
        <v>-2078.343100309492</v>
      </c>
      <c r="BQ7" s="1021">
        <f>(VLOOKUP(YEAR($A7),'NY East Load Projections'!$A$4:$EO$14,((MONTH($A7)-1)*12)+VLOOKUP(BQ$4,$DE$6:$DF$17,2)+1))*(VLOOKUP($A7,SatSunCurve,6))*(INDEX(DailyScalarsTable,BQ$5/100,MONTH($A7)))*$D7</f>
        <v>-1556.875620965274</v>
      </c>
      <c r="BR7" s="1021">
        <f>(VLOOKUP(YEAR($A7),'NY East Load Projections'!$A$4:$EO$14,((MONTH($A7)-1)*12)+VLOOKUP(BR$4,$DE$6:$DF$17,2)+1))*(VLOOKUP($A7,SatSunCurve,6))*(INDEX(DailyScalarsTable,BR$5/100,MONTH($A7)))*$D7</f>
        <v>-1301.0256264588252</v>
      </c>
      <c r="BS7" s="1021">
        <f>(VLOOKUP(YEAR($A7),'NY East Load Projections'!$A$4:$EO$14,((MONTH($A7)-1)*12)+VLOOKUP(BS$4,$DE$6:$DF$17,2)+1))*(VLOOKUP($A7,SatSunCurve,6))*(INDEX(DailyScalarsTable,BS$5/100,MONTH($A7)))*$D7</f>
        <v>-1259.0177798394247</v>
      </c>
      <c r="BT7" s="1021">
        <f>(VLOOKUP(YEAR($A7),'NY East Load Projections'!$A$4:$EO$14,((MONTH($A7)-1)*12)+VLOOKUP(BT$4,$DE$6:$DF$17,2)+1))*(VLOOKUP($A7,SatSunCurve,6))*(INDEX(DailyScalarsTable,BT$5/100,MONTH($A7)))*$D7</f>
        <v>-1194.9405935105565</v>
      </c>
      <c r="BU7" s="1021">
        <f>(VLOOKUP(YEAR($A7),'NY East Load Projections'!$A$4:$EO$14,((MONTH($A7)-1)*12)+VLOOKUP(BU$4,$DE$6:$DF$17,2)+1))*(VLOOKUP($A7,SatSunCurve,6))*(INDEX(DailyScalarsTable,BU$5/100,MONTH($A7)))*$D7</f>
        <v>-1170.8926233443779</v>
      </c>
      <c r="BV7" s="1021">
        <f>(VLOOKUP(YEAR($A7),'NY East Load Projections'!$A$4:$EO$14,((MONTH($A7)-1)*12)+VLOOKUP(BV$4,$DE$6:$DF$17,2)+1))*(VLOOKUP($A7,SatSunCurve,6))*(INDEX(DailyScalarsTable,BV$5/100,MONTH($A7)))*$D7</f>
        <v>-1174.4840107785551</v>
      </c>
      <c r="BW7" s="1021">
        <f>(VLOOKUP(YEAR($A7),'NY East Load Projections'!$A$4:$EO$14,((MONTH($A7)-1)*12)+VLOOKUP(BW$4,$DE$6:$DF$17,2)+1))*(VLOOKUP($A7,SatSunCurve,6))*(INDEX(DailyScalarsTable,BW$5/100,MONTH($A7)))*$D7</f>
        <v>-1634.2434762819098</v>
      </c>
      <c r="BX7" s="1021">
        <f>(VLOOKUP(YEAR($A7),'NY East Load Projections'!$A$4:$EO$14,((MONTH($A7)-1)*12)+VLOOKUP(BX$4,$DE$6:$DF$17,2)+1))*(VLOOKUP($A7,SatSunCurve,6))*(INDEX(DailyScalarsTable,BX$5/100,MONTH($A7)))*$D7</f>
        <v>-1793.1993185129975</v>
      </c>
      <c r="BY7" s="1021">
        <f>(VLOOKUP(YEAR($A7),'NY East Load Projections'!$A$4:$EO$14,((MONTH($A7)-1)*12)+VLOOKUP(BY$4,$DE$6:$DF$17,2)+1))*(VLOOKUP($A7,SatSunCurve,6))*(INDEX(DailyScalarsTable,BY$5/100,MONTH($A7)))*$D7</f>
        <v>-1716.4029076051538</v>
      </c>
      <c r="BZ7" s="1021">
        <f>(VLOOKUP(YEAR($A7),'NY East Load Projections'!$A$4:$EO$14,((MONTH($A7)-1)*12)+VLOOKUP(BZ$4,$DE$6:$DF$17,2)+1))*(VLOOKUP($A7,SatSunCurve,6))*(INDEX(DailyScalarsTable,BZ$5/100,MONTH($A7)))*$D7</f>
        <v>-1697.5712434962538</v>
      </c>
      <c r="CA7" s="1021">
        <f>(VLOOKUP(YEAR($A7),'NY East Load Projections'!$A$4:$EO$14,((MONTH($A7)-1)*12)+VLOOKUP(CA$4,$DE$6:$DF$17,2)+1))*(VLOOKUP($A7,SatSunCurve,6))*(INDEX(DailyScalarsTable,CA$5/100,MONTH($A7)))*$D7</f>
        <v>-1207.3519857638951</v>
      </c>
      <c r="CB7" s="1021">
        <f>(VLOOKUP(YEAR($A7),'NY East Load Projections'!$A$4:$EO$14,((MONTH($A7)-1)*12)+VLOOKUP(CB$4,$DE$6:$DF$17,2)+1))*(VLOOKUP($A7,SatSunCurve,6))*(INDEX(DailyScalarsTable,CB$5/100,MONTH($A7)))*$D7</f>
        <v>-988.36787635571432</v>
      </c>
      <c r="CC7" s="1021">
        <f>(VLOOKUP(YEAR($A7),'NY East Load Projections'!$A$4:$EO$14,((MONTH($A7)-1)*12)+VLOOKUP(CC$4,$DE$6:$DF$17,2)+1))*(VLOOKUP($A7,CURVES!$D$9:$T$261,6))*(INDEX(DailyScalarsTable,CC$5/100,MONTH($A7)))*$D7</f>
        <v>-1373.9575807680324</v>
      </c>
      <c r="CE7" s="1021">
        <f>(VLOOKUP(YEAR($A7),'NY East Load Projections'!$A$4:$EO$14,((MONTH($A7)-1)*12)+VLOOKUP(CE$4,$DE$6:$DF$17,2)+1))*(VLOOKUP($A7,CURVES!$D$9:$T$261,6))*(INDEX(DailyScalarsTable,CE$5/100,MONTH($A7)))*$E7</f>
        <v>0</v>
      </c>
      <c r="CF7" s="1021">
        <f>(VLOOKUP(YEAR($A7),'NY East Load Projections'!$A$4:$EO$14,((MONTH($A7)-1)*12)+VLOOKUP(CF$4,$DE$6:$DF$17,2)+1))*(VLOOKUP($A7,CURVES!$D$9:$T$261,6))*(INDEX(DailyScalarsTable,CF$5/100,MONTH($A7)))*$E7</f>
        <v>0</v>
      </c>
      <c r="CG7" s="1021">
        <f>(VLOOKUP(YEAR($A7),'NY East Load Projections'!$A$4:$EO$14,((MONTH($A7)-1)*12)+VLOOKUP(CG$4,$DE$6:$DF$17,2)+1))*(VLOOKUP($A7,CURVES!$D$9:$T$261,6))*(INDEX(DailyScalarsTable,CG$5/100,MONTH($A7)))*$E7</f>
        <v>0</v>
      </c>
      <c r="CH7" s="1021">
        <f>(VLOOKUP(YEAR($A7),'NY East Load Projections'!$A$4:$EO$14,((MONTH($A7)-1)*12)+VLOOKUP(CH$4,$DE$6:$DF$17,2)+1))*(VLOOKUP($A7,CURVES!$D$9:$T$261,6))*(INDEX(DailyScalarsTable,CH$5/100,MONTH($A7)))*$E7</f>
        <v>0</v>
      </c>
      <c r="CI7" s="1021">
        <f>(VLOOKUP(YEAR($A7),'NY East Load Projections'!$A$4:$EO$14,((MONTH($A7)-1)*12)+VLOOKUP(CI$4,$DE$6:$DF$17,2)+1))*(VLOOKUP($A7,CURVES!$D$9:$T$261,6))*(INDEX(DailyScalarsTable,CI$5/100,MONTH($A7)))*$E7</f>
        <v>0</v>
      </c>
      <c r="CJ7" s="1021">
        <f>(VLOOKUP(YEAR($A7),'NY East Load Projections'!$A$4:$EO$14,((MONTH($A7)-1)*12)+VLOOKUP(CJ$4,$DE$6:$DF$17,2)+1))*(VLOOKUP($A7,CURVES!$D$9:$T$261,6))*(INDEX(DailyScalarsTable,CJ$5/100,MONTH($A7)))*$E7</f>
        <v>0</v>
      </c>
      <c r="CK7" s="1021">
        <f>(VLOOKUP(YEAR($A7),'NY East Load Projections'!$A$4:$EO$14,((MONTH($A7)-1)*12)+VLOOKUP(CK$4,$DE$6:$DF$17,2)+1))*(VLOOKUP($A7,CURVES!$D$9:$T$261,6))*(INDEX(DailyScalarsTable,CK$5/100,MONTH($A7)))*$E7</f>
        <v>0</v>
      </c>
      <c r="CL7" s="1021">
        <f>(VLOOKUP(YEAR($A7),'NY East Load Projections'!$A$4:$EO$14,((MONTH($A7)-1)*12)+VLOOKUP(CL$4,$DE$6:$DF$17,2)+1))*(VLOOKUP($A7,SatSunCurve,6))*(INDEX(DailyScalarsTable,CL$5/100,MONTH($A7)))*$E7</f>
        <v>0</v>
      </c>
      <c r="CM7" s="1021">
        <f>(VLOOKUP(YEAR($A7),'NY East Load Projections'!$A$4:$EO$14,((MONTH($A7)-1)*12)+VLOOKUP(CM$4,$DE$6:$DF$17,2)+1))*(VLOOKUP($A7,SatSunCurve,6))*(INDEX(DailyScalarsTable,CM$5/100,MONTH($A7)))*$E7</f>
        <v>0</v>
      </c>
      <c r="CN7" s="1021">
        <f>(VLOOKUP(YEAR($A7),'NY East Load Projections'!$A$4:$EO$14,((MONTH($A7)-1)*12)+VLOOKUP(CN$4,$DE$6:$DF$17,2)+1))*(VLOOKUP($A7,SatSunCurve,6))*(INDEX(DailyScalarsTable,CN$5/100,MONTH($A7)))*$E7</f>
        <v>0</v>
      </c>
      <c r="CO7" s="1021">
        <f>(VLOOKUP(YEAR($A7),'NY East Load Projections'!$A$4:$EO$14,((MONTH($A7)-1)*12)+VLOOKUP(CO$4,$DE$6:$DF$17,2)+1))*(VLOOKUP($A7,SatSunCurve,6))*(INDEX(DailyScalarsTable,CO$5/100,MONTH($A7)))*$E7</f>
        <v>0</v>
      </c>
      <c r="CP7" s="1021">
        <f>(VLOOKUP(YEAR($A7),'NY East Load Projections'!$A$4:$EO$14,((MONTH($A7)-1)*12)+VLOOKUP(CP$4,$DE$6:$DF$17,2)+1))*(VLOOKUP($A7,SatSunCurve,6))*(INDEX(DailyScalarsTable,CP$5/100,MONTH($A7)))*$E7</f>
        <v>0</v>
      </c>
      <c r="CQ7" s="1021">
        <f>(VLOOKUP(YEAR($A7),'NY East Load Projections'!$A$4:$EO$14,((MONTH($A7)-1)*12)+VLOOKUP(CQ$4,$DE$6:$DF$17,2)+1))*(VLOOKUP($A7,SatSunCurve,6))*(INDEX(DailyScalarsTable,CQ$5/100,MONTH($A7)))*$E7</f>
        <v>0</v>
      </c>
      <c r="CR7" s="1021">
        <f>(VLOOKUP(YEAR($A7),'NY East Load Projections'!$A$4:$EO$14,((MONTH($A7)-1)*12)+VLOOKUP(CR$4,$DE$6:$DF$17,2)+1))*(VLOOKUP($A7,SatSunCurve,6))*(INDEX(DailyScalarsTable,CR$5/100,MONTH($A7)))*$E7</f>
        <v>0</v>
      </c>
      <c r="CS7" s="1021">
        <f>(VLOOKUP(YEAR($A7),'NY East Load Projections'!$A$4:$EO$14,((MONTH($A7)-1)*12)+VLOOKUP(CS$4,$DE$6:$DF$17,2)+1))*(VLOOKUP($A7,SatSunCurve,6))*(INDEX(DailyScalarsTable,CS$5/100,MONTH($A7)))*$E7</f>
        <v>0</v>
      </c>
      <c r="CT7" s="1021">
        <f>(VLOOKUP(YEAR($A7),'NY East Load Projections'!$A$4:$EO$14,((MONTH($A7)-1)*12)+VLOOKUP(CT$4,$DE$6:$DF$17,2)+1))*(VLOOKUP($A7,SatSunCurve,6))*(INDEX(DailyScalarsTable,CT$5/100,MONTH($A7)))*$E7</f>
        <v>0</v>
      </c>
      <c r="CU7" s="1021">
        <f>(VLOOKUP(YEAR($A7),'NY East Load Projections'!$A$4:$EO$14,((MONTH($A7)-1)*12)+VLOOKUP(CU$4,$DE$6:$DF$17,2)+1))*(VLOOKUP($A7,SatSunCurve,6))*(INDEX(DailyScalarsTable,CU$5/100,MONTH($A7)))*$E7</f>
        <v>0</v>
      </c>
      <c r="CV7" s="1021">
        <f>(VLOOKUP(YEAR($A7),'NY East Load Projections'!$A$4:$EO$14,((MONTH($A7)-1)*12)+VLOOKUP(CV$4,$DE$6:$DF$17,2)+1))*(VLOOKUP($A7,SatSunCurve,6))*(INDEX(DailyScalarsTable,CV$5/100,MONTH($A7)))*$E7</f>
        <v>0</v>
      </c>
      <c r="CW7" s="1021">
        <f>(VLOOKUP(YEAR($A7),'NY East Load Projections'!$A$4:$EO$14,((MONTH($A7)-1)*12)+VLOOKUP(CW$4,$DE$6:$DF$17,2)+1))*(VLOOKUP($A7,SatSunCurve,6))*(INDEX(DailyScalarsTable,CW$5/100,MONTH($A7)))*$E7</f>
        <v>0</v>
      </c>
      <c r="CX7" s="1021">
        <f>(VLOOKUP(YEAR($A7),'NY East Load Projections'!$A$4:$EO$14,((MONTH($A7)-1)*12)+VLOOKUP(CX$4,$DE$6:$DF$17,2)+1))*(VLOOKUP($A7,SatSunCurve,6))*(INDEX(DailyScalarsTable,CX$5/100,MONTH($A7)))*$E7</f>
        <v>0</v>
      </c>
      <c r="CY7" s="1021">
        <f>(VLOOKUP(YEAR($A7),'NY East Load Projections'!$A$4:$EO$14,((MONTH($A7)-1)*12)+VLOOKUP(CY$4,$DE$6:$DF$17,2)+1))*(VLOOKUP($A7,SatSunCurve,6))*(INDEX(DailyScalarsTable,CY$5/100,MONTH($A7)))*$E7</f>
        <v>0</v>
      </c>
      <c r="CZ7" s="1021">
        <f>(VLOOKUP(YEAR($A7),'NY East Load Projections'!$A$4:$EO$14,((MONTH($A7)-1)*12)+VLOOKUP(CZ$4,$DE$6:$DF$17,2)+1))*(VLOOKUP($A7,SatSunCurve,6))*(INDEX(DailyScalarsTable,CZ$5/100,MONTH($A7)))*$E7</f>
        <v>0</v>
      </c>
      <c r="DA7" s="1021">
        <f>(VLOOKUP(YEAR($A7),'NY East Load Projections'!$A$4:$EO$14,((MONTH($A7)-1)*12)+VLOOKUP(DA$4,$DE$6:$DF$17,2)+1))*(VLOOKUP($A7,SatSunCurve,6))*(INDEX(DailyScalarsTable,DA$5/100,MONTH($A7)))*$E7</f>
        <v>0</v>
      </c>
      <c r="DB7" s="1021">
        <f>(VLOOKUP(YEAR($A7),'NY East Load Projections'!$A$4:$EO$14,((MONTH($A7)-1)*12)+VLOOKUP(DB$4,$DE$6:$DF$17,2)+1))*(VLOOKUP($A7,CURVES!$D$9:$T$261,6))*(INDEX(DailyScalarsTable,DB$5/100,MONTH($A7)))*$E7</f>
        <v>0</v>
      </c>
      <c r="DE7" s="221" t="s">
        <v>559</v>
      </c>
      <c r="DF7" s="619">
        <v>2</v>
      </c>
      <c r="DH7" s="1021">
        <f t="shared" ref="DH7:DH70" si="0">SUM(H7:DB7)</f>
        <v>-230309.13054026588</v>
      </c>
      <c r="DI7">
        <f ca="1">CALC!J27</f>
        <v>0.93329821543014668</v>
      </c>
      <c r="DJ7" s="1029">
        <f t="shared" ref="DJ7:DJ70" ca="1" si="1">DH7*DI7</f>
        <v>-214947.10053049884</v>
      </c>
    </row>
    <row r="8" spans="1:114" x14ac:dyDescent="0.25">
      <c r="A8" s="244">
        <v>36951</v>
      </c>
      <c r="B8" s="13">
        <v>22</v>
      </c>
      <c r="C8" s="210">
        <v>5</v>
      </c>
      <c r="D8" s="210">
        <v>4</v>
      </c>
      <c r="E8" s="210">
        <v>0</v>
      </c>
      <c r="F8" s="13">
        <v>31</v>
      </c>
      <c r="H8" s="1021">
        <f>(VLOOKUP(YEAR($A8),'NY East Load Projections'!$A$4:$EO$14,((MONTH($A8)-1)*12)+VLOOKUP(H$4,$DE$6:$DF$17,2)+1))*(VLOOKUP($A8,CURVES!$D$9:$K$261,6))*(INDEX(DailyScalarsTable,H$5/100,MONTH($A8)))*$B8</f>
        <v>-1924.5471180514312</v>
      </c>
      <c r="I8" s="1021">
        <f>(VLOOKUP(YEAR($A8),'NY East Load Projections'!$A$4:$EO$14,((MONTH($A8)-1)*12)+VLOOKUP(I$4,$DE$6:$DF$17,2)+1))*(VLOOKUP($A8,CURVES!$D$9:$K$261,6))*(INDEX(DailyScalarsTable,I$5/100,MONTH($A8)))*$B8</f>
        <v>-1819.7446658320698</v>
      </c>
      <c r="J8" s="1021">
        <f>(VLOOKUP(YEAR($A8),'NY East Load Projections'!$A$4:$EO$14,((MONTH($A8)-1)*12)+VLOOKUP(J$4,$DE$6:$DF$17,2)+1))*(VLOOKUP($A8,CURVES!$D$9:$K$261,6))*(INDEX(DailyScalarsTable,J$5/100,MONTH($A8)))*$B8</f>
        <v>-1742.1899204397209</v>
      </c>
      <c r="K8" s="1021">
        <f>(VLOOKUP(YEAR($A8),'NY East Load Projections'!$A$4:$EO$14,((MONTH($A8)-1)*12)+VLOOKUP(K$4,$DE$6:$DF$17,2)+1))*(VLOOKUP($A8,CURVES!$D$9:$K$261,6))*(INDEX(DailyScalarsTable,K$5/100,MONTH($A8)))*$B8</f>
        <v>-1743.2835517128813</v>
      </c>
      <c r="L8" s="1021">
        <f>(VLOOKUP(YEAR($A8),'NY East Load Projections'!$A$4:$EO$14,((MONTH($A8)-1)*12)+VLOOKUP(L$4,$DE$6:$DF$17,2)+1))*(VLOOKUP($A8,CURVES!$D$9:$K$261,6))*(INDEX(DailyScalarsTable,L$5/100,MONTH($A8)))*$B8</f>
        <v>-3704.0319397812264</v>
      </c>
      <c r="M8" s="1021">
        <f>(VLOOKUP(YEAR($A8),'NY East Load Projections'!$A$4:$EO$14,((MONTH($A8)-1)*12)+VLOOKUP(M$4,$DE$6:$DF$17,2)+1))*(VLOOKUP($A8,CURVES!$D$9:$K$261,6))*(INDEX(DailyScalarsTable,M$5/100,MONTH($A8)))*$B8</f>
        <v>-4299.5413998696331</v>
      </c>
      <c r="N8" s="1021">
        <f>(VLOOKUP(YEAR($A8),'NY East Load Projections'!$A$4:$EO$14,((MONTH($A8)-1)*12)+VLOOKUP(N$4,$DE$6:$DF$17,2)+1))*(VLOOKUP($A8,CURVES!$D$9:$K$261,6))*(INDEX(DailyScalarsTable,N$5/100,MONTH($A8)))*$B8</f>
        <v>-7758.0355336088069</v>
      </c>
      <c r="O8" s="1021">
        <f>(VLOOKUP(YEAR($A8),'NY East Load Projections'!$A$4:$EO$14,((MONTH($A8)-1)*12)+VLOOKUP(O$4,$DE$6:$DF$17,2)+1))*(VLOOKUP($A8,CURVES!$D$9:$K$261,2))*(INDEX(DailyScalarsTable,O$5/100,MONTH($A8)))*$B8</f>
        <v>-8413.2108406467705</v>
      </c>
      <c r="P8" s="1021">
        <f>(VLOOKUP(YEAR($A8),'NY East Load Projections'!$A$4:$EO$14,((MONTH($A8)-1)*12)+VLOOKUP(P$4,$DE$6:$DF$17,2)+1))*(VLOOKUP($A8,CURVES!$D$9:$K$261,2))*(INDEX(DailyScalarsTable,P$5/100,MONTH($A8)))*$B8</f>
        <v>-9093.7444094850998</v>
      </c>
      <c r="Q8" s="1021">
        <f>(VLOOKUP(YEAR($A8),'NY East Load Projections'!$A$4:$EO$14,((MONTH($A8)-1)*12)+VLOOKUP(Q$4,$DE$6:$DF$17,2)+1))*(VLOOKUP($A8,CURVES!$D$9:$K$261,2))*(INDEX(DailyScalarsTable,Q$5/100,MONTH($A8)))*$B8</f>
        <v>-9066.2292978073838</v>
      </c>
      <c r="R8" s="1021">
        <f>(VLOOKUP(YEAR($A8),'NY East Load Projections'!$A$4:$EO$14,((MONTH($A8)-1)*12)+VLOOKUP(R$4,$DE$6:$DF$17,2)+1))*(VLOOKUP($A8,CURVES!$D$9:$K$261,2))*(INDEX(DailyScalarsTable,R$5/100,MONTH($A8)))*$B8</f>
        <v>-8906.4887883450883</v>
      </c>
      <c r="S8" s="1021">
        <f>(VLOOKUP(YEAR($A8),'NY East Load Projections'!$A$4:$EO$14,((MONTH($A8)-1)*12)+VLOOKUP(S$4,$DE$6:$DF$17,2)+1))*(VLOOKUP($A8,CURVES!$D$9:$K$261,2))*(INDEX(DailyScalarsTable,S$5/100,MONTH($A8)))*$B8</f>
        <v>-6805.404288288395</v>
      </c>
      <c r="T8" s="1021">
        <f>(VLOOKUP(YEAR($A8),'NY East Load Projections'!$A$4:$EO$14,((MONTH($A8)-1)*12)+VLOOKUP(T$4,$DE$6:$DF$17,2)+1))*(VLOOKUP($A8,CURVES!$D$9:$K$261,2))*(INDEX(DailyScalarsTable,T$5/100,MONTH($A8)))*$B8</f>
        <v>-6576.4125555398068</v>
      </c>
      <c r="U8" s="1021">
        <f>(VLOOKUP(YEAR($A8),'NY East Load Projections'!$A$4:$EO$14,((MONTH($A8)-1)*12)+VLOOKUP(U$4,$DE$6:$DF$17,2)+1))*(VLOOKUP($A8,CURVES!$D$9:$K$261,2))*(INDEX(DailyScalarsTable,U$5/100,MONTH($A8)))*$B8</f>
        <v>-6366.5270484481116</v>
      </c>
      <c r="V8" s="1021">
        <f>(VLOOKUP(YEAR($A8),'NY East Load Projections'!$A$4:$EO$14,((MONTH($A8)-1)*12)+VLOOKUP(V$4,$DE$6:$DF$17,2)+1))*(VLOOKUP($A8,CURVES!$D$9:$K$261,2))*(INDEX(DailyScalarsTable,V$5/100,MONTH($A8)))*$B8</f>
        <v>-6046.3756046596909</v>
      </c>
      <c r="W8" s="1021">
        <f>(VLOOKUP(YEAR($A8),'NY East Load Projections'!$A$4:$EO$14,((MONTH($A8)-1)*12)+VLOOKUP(W$4,$DE$6:$DF$17,2)+1))*(VLOOKUP($A8,CURVES!$D$9:$K$261,2))*(INDEX(DailyScalarsTable,W$5/100,MONTH($A8)))*$B8</f>
        <v>-5926.223756397053</v>
      </c>
      <c r="X8" s="1021">
        <f>(VLOOKUP(YEAR($A8),'NY East Load Projections'!$A$4:$EO$14,((MONTH($A8)-1)*12)+VLOOKUP(X$4,$DE$6:$DF$17,2)+1))*(VLOOKUP($A8,CURVES!$D$9:$K$261,2))*(INDEX(DailyScalarsTable,X$5/100,MONTH($A8)))*$B8</f>
        <v>-5594.325971289255</v>
      </c>
      <c r="Y8" s="1021">
        <f>(VLOOKUP(YEAR($A8),'NY East Load Projections'!$A$4:$EO$14,((MONTH($A8)-1)*12)+VLOOKUP(Y$4,$DE$6:$DF$17,2)+1))*(VLOOKUP($A8,CURVES!$D$9:$K$261,2))*(INDEX(DailyScalarsTable,Y$5/100,MONTH($A8)))*$B8</f>
        <v>-7627.0100900945672</v>
      </c>
      <c r="Z8" s="1021">
        <f>(VLOOKUP(YEAR($A8),'NY East Load Projections'!$A$4:$EO$14,((MONTH($A8)-1)*12)+VLOOKUP(Z$4,$DE$6:$DF$17,2)+1))*(VLOOKUP($A8,CURVES!$D$9:$K$261,2))*(INDEX(DailyScalarsTable,Z$5/100,MONTH($A8)))*$B8</f>
        <v>-8375.0273103611144</v>
      </c>
      <c r="AA8" s="1021">
        <f>(VLOOKUP(YEAR($A8),'NY East Load Projections'!$A$4:$EO$14,((MONTH($A8)-1)*12)+VLOOKUP(AA$4,$DE$6:$DF$17,2)+1))*(VLOOKUP($A8,CURVES!$D$9:$K$261,2))*(INDEX(DailyScalarsTable,AA$5/100,MONTH($A8)))*$B8</f>
        <v>-8013.5295516231445</v>
      </c>
      <c r="AB8" s="1021">
        <f>(VLOOKUP(YEAR($A8),'NY East Load Projections'!$A$4:$EO$14,((MONTH($A8)-1)*12)+VLOOKUP(AB$4,$DE$6:$DF$17,2)+1))*(VLOOKUP($A8,CURVES!$D$9:$K$261,2))*(INDEX(DailyScalarsTable,AB$5/100,MONTH($A8)))*$B8</f>
        <v>-5606.7632801658528</v>
      </c>
      <c r="AC8" s="1021">
        <f>(VLOOKUP(YEAR($A8),'NY East Load Projections'!$A$4:$EO$14,((MONTH($A8)-1)*12)+VLOOKUP(AC$4,$DE$6:$DF$17,2)+1))*(VLOOKUP($A8,CURVES!$D$9:$K$261,2))*(INDEX(DailyScalarsTable,AC$5/100,MONTH($A8)))*$B8</f>
        <v>-4071.2808204156031</v>
      </c>
      <c r="AD8" s="1021">
        <f>(VLOOKUP(YEAR($A8),'NY East Load Projections'!$A$4:$EO$14,((MONTH($A8)-1)*12)+VLOOKUP(AD$4,$DE$6:$DF$17,2)+1))*(VLOOKUP($A8,CURVES!$D$9:$K$261,2))*(INDEX(DailyScalarsTable,AD$5/100,MONTH($A8)))*$B8</f>
        <v>-3341.730799679674</v>
      </c>
      <c r="AE8" s="1021">
        <f>(VLOOKUP(YEAR($A8),'NY East Load Projections'!$A$4:$EO$14,((MONTH($A8)-1)*12)+VLOOKUP(AE$4,$DE$6:$DF$17,2)+1))*(VLOOKUP($A8,CURVES!$D$9:$K$261,6))*(INDEX(DailyScalarsTable,AE$5/100,MONTH($A8)))*$B8</f>
        <v>-2984.068959105306</v>
      </c>
      <c r="AF8" s="1021"/>
      <c r="AG8" s="1021">
        <f>(VLOOKUP(YEAR($A8),'NY East Load Projections'!$A$4:$EO$14,((MONTH($A8)-1)*12)+VLOOKUP(AG$4,$DE$6:$DF$17,2)+1))*(VLOOKUP($A8,CURVES!$D$9:$T$261,6))*(INDEX(DailyScalarsTable,AG$5/100,MONTH($A8)))*$C8</f>
        <v>-1111.1791975876108</v>
      </c>
      <c r="AH8" s="1021">
        <f>(VLOOKUP(YEAR($A8),'NY East Load Projections'!$A$4:$EO$14,((MONTH($A8)-1)*12)+VLOOKUP(AH$4,$DE$6:$DF$17,2)+1))*(VLOOKUP($A8,CURVES!$D$9:$T$261,6))*(INDEX(DailyScalarsTable,AH$5/100,MONTH($A8)))*$C8</f>
        <v>-1050.6692190736881</v>
      </c>
      <c r="AI8" s="1021">
        <f>(VLOOKUP(YEAR($A8),'NY East Load Projections'!$A$4:$EO$14,((MONTH($A8)-1)*12)+VLOOKUP(AI$4,$DE$6:$DF$17,2)+1))*(VLOOKUP($A8,CURVES!$D$9:$T$261,6))*(INDEX(DailyScalarsTable,AI$5/100,MONTH($A8)))*$C8</f>
        <v>-1005.8912975845875</v>
      </c>
      <c r="AJ8" s="1021">
        <f>(VLOOKUP(YEAR($A8),'NY East Load Projections'!$A$4:$EO$14,((MONTH($A8)-1)*12)+VLOOKUP(AJ$4,$DE$6:$DF$17,2)+1))*(VLOOKUP($A8,CURVES!$D$9:$T$261,6))*(INDEX(DailyScalarsTable,AJ$5/100,MONTH($A8)))*$C8</f>
        <v>-1006.5227294207681</v>
      </c>
      <c r="AK8" s="1021">
        <f>(VLOOKUP(YEAR($A8),'NY East Load Projections'!$A$4:$EO$14,((MONTH($A8)-1)*12)+VLOOKUP(AK$4,$DE$6:$DF$17,2)+1))*(VLOOKUP($A8,CURVES!$D$9:$T$261,6))*(INDEX(DailyScalarsTable,AK$5/100,MONTH($A8)))*$C8</f>
        <v>-1087.1583310412702</v>
      </c>
      <c r="AL8" s="1021">
        <f>(VLOOKUP(YEAR($A8),'NY East Load Projections'!$A$4:$EO$14,((MONTH($A8)-1)*12)+VLOOKUP(AL$4,$DE$6:$DF$17,2)+1))*(VLOOKUP($A8,CURVES!$D$9:$T$261,6))*(INDEX(DailyScalarsTable,AL$5/100,MONTH($A8)))*$C8</f>
        <v>-1261.9443699508695</v>
      </c>
      <c r="AM8" s="1021">
        <f>(VLOOKUP(YEAR($A8),'NY East Load Projections'!$A$4:$EO$14,((MONTH($A8)-1)*12)+VLOOKUP(AM$4,$DE$6:$DF$17,2)+1))*(VLOOKUP($A8,CURVES!$D$9:$T$261,6))*(INDEX(DailyScalarsTable,AM$5/100,MONTH($A8)))*$C8</f>
        <v>-2277.0357005547785</v>
      </c>
      <c r="AN8" s="1021">
        <f>(VLOOKUP(YEAR($A8),'NY East Load Projections'!$A$4:$EO$14,((MONTH($A8)-1)*12)+VLOOKUP(AN$4,$DE$6:$DF$17,2)+1))*(VLOOKUP($A8,SatSunCurve,2))*(INDEX(DailyScalarsTable,AN$5/100,MONTH($A8)))*$C8</f>
        <v>-1527.8587757372668</v>
      </c>
      <c r="AO8" s="1021">
        <f>(VLOOKUP(YEAR($A8),'NY East Load Projections'!$A$4:$EO$14,((MONTH($A8)-1)*12)+VLOOKUP(AO$4,$DE$6:$DF$17,2)+1))*(VLOOKUP($A8,SatSunCurve,2))*(INDEX(DailyScalarsTable,AO$5/100,MONTH($A8)))*$C8</f>
        <v>-1898.9753304745677</v>
      </c>
      <c r="AP8" s="1021">
        <f>(VLOOKUP(YEAR($A8),'NY East Load Projections'!$A$4:$EO$14,((MONTH($A8)-1)*12)+VLOOKUP(AP$4,$DE$6:$DF$17,2)+1))*(VLOOKUP($A8,SatSunCurve,2))*(INDEX(DailyScalarsTable,AP$5/100,MONTH($A8)))*$C8</f>
        <v>-1893.2295654806962</v>
      </c>
      <c r="AQ8" s="1021">
        <f>(VLOOKUP(YEAR($A8),'NY East Load Projections'!$A$4:$EO$14,((MONTH($A8)-1)*12)+VLOOKUP(AQ$4,$DE$6:$DF$17,2)+1))*(VLOOKUP($A8,SatSunCurve,2))*(INDEX(DailyScalarsTable,AQ$5/100,MONTH($A8)))*$C8</f>
        <v>-1859.8722075996081</v>
      </c>
      <c r="AR8" s="1021">
        <f>(VLOOKUP(YEAR($A8),'NY East Load Projections'!$A$4:$EO$14,((MONTH($A8)-1)*12)+VLOOKUP(AR$4,$DE$6:$DF$17,2)+1))*(VLOOKUP($A8,SatSunCurve,2))*(INDEX(DailyScalarsTable,AR$5/100,MONTH($A8)))*$C8</f>
        <v>-1421.1192084842451</v>
      </c>
      <c r="AS8" s="1021">
        <f>(VLOOKUP(YEAR($A8),'NY East Load Projections'!$A$4:$EO$14,((MONTH($A8)-1)*12)+VLOOKUP(AS$4,$DE$6:$DF$17,2)+1))*(VLOOKUP($A8,SatSunCurve,2))*(INDEX(DailyScalarsTable,AS$5/100,MONTH($A8)))*$C8</f>
        <v>-1199.7299669475528</v>
      </c>
      <c r="AT8" s="1021">
        <f>(VLOOKUP(YEAR($A8),'NY East Load Projections'!$A$4:$EO$14,((MONTH($A8)-1)*12)+VLOOKUP(AT$4,$DE$6:$DF$17,2)+1))*(VLOOKUP($A8,SatSunCurve,2))*(INDEX(DailyScalarsTable,AT$5/100,MONTH($A8)))*$C8</f>
        <v>-1161.4407126832693</v>
      </c>
      <c r="AU8" s="1021">
        <f>(VLOOKUP(YEAR($A8),'NY East Load Projections'!$A$4:$EO$14,((MONTH($A8)-1)*12)+VLOOKUP(AU$4,$DE$6:$DF$17,2)+1))*(VLOOKUP($A8,SatSunCurve,2))*(INDEX(DailyScalarsTable,AU$5/100,MONTH($A8)))*$C8</f>
        <v>-1103.0357270120251</v>
      </c>
      <c r="AV8" s="1021">
        <f>(VLOOKUP(YEAR($A8),'NY East Load Projections'!$A$4:$EO$14,((MONTH($A8)-1)*12)+VLOOKUP(AV$4,$DE$6:$DF$17,2)+1))*(VLOOKUP($A8,SatSunCurve,2))*(INDEX(DailyScalarsTable,AV$5/100,MONTH($A8)))*$C8</f>
        <v>-1081.1165162375439</v>
      </c>
      <c r="AW8" s="1021">
        <f>(VLOOKUP(YEAR($A8),'NY East Load Projections'!$A$4:$EO$14,((MONTH($A8)-1)*12)+VLOOKUP(AW$4,$DE$6:$DF$17,2)+1))*(VLOOKUP($A8,SatSunCurve,2))*(INDEX(DailyScalarsTable,AW$5/100,MONTH($A8)))*$C8</f>
        <v>-1114.2396719469741</v>
      </c>
      <c r="AX8" s="1021">
        <f>(VLOOKUP(YEAR($A8),'NY East Load Projections'!$A$4:$EO$14,((MONTH($A8)-1)*12)+VLOOKUP(AX$4,$DE$6:$DF$17,2)+1))*(VLOOKUP($A8,SatSunCurve,2))*(INDEX(DailyScalarsTable,AX$5/100,MONTH($A8)))*$C8</f>
        <v>-1519.0958239361819</v>
      </c>
      <c r="AY8" s="1021">
        <f>(VLOOKUP(YEAR($A8),'NY East Load Projections'!$A$4:$EO$14,((MONTH($A8)-1)*12)+VLOOKUP(AY$4,$DE$6:$DF$17,2)+1))*(VLOOKUP($A8,SatSunCurve,2))*(INDEX(DailyScalarsTable,AY$5/100,MONTH($A8)))*$C8</f>
        <v>-1668.0807894884138</v>
      </c>
      <c r="AZ8" s="1021">
        <f>(VLOOKUP(YEAR($A8),'NY East Load Projections'!$A$4:$EO$14,((MONTH($A8)-1)*12)+VLOOKUP(AZ$4,$DE$6:$DF$17,2)+1))*(VLOOKUP($A8,SatSunCurve,2))*(INDEX(DailyScalarsTable,AZ$5/100,MONTH($A8)))*$C8</f>
        <v>-1596.0801327206539</v>
      </c>
      <c r="BA8" s="1021">
        <f>(VLOOKUP(YEAR($A8),'NY East Load Projections'!$A$4:$EO$14,((MONTH($A8)-1)*12)+VLOOKUP(BA$4,$DE$6:$DF$17,2)+1))*(VLOOKUP($A8,SatSunCurve,2))*(INDEX(DailyScalarsTable,BA$5/100,MONTH($A8)))*$C8</f>
        <v>-1571.2466520082303</v>
      </c>
      <c r="BB8" s="1021">
        <f>(VLOOKUP(YEAR($A8),'NY East Load Projections'!$A$4:$EO$14,((MONTH($A8)-1)*12)+VLOOKUP(BB$4,$DE$6:$DF$17,2)+1))*(VLOOKUP($A8,SatSunCurve,2))*(INDEX(DailyScalarsTable,BB$5/100,MONTH($A8)))*$C8</f>
        <v>-1140.9410454500421</v>
      </c>
      <c r="BC8" s="1021">
        <f>(VLOOKUP(YEAR($A8),'NY East Load Projections'!$A$4:$EO$14,((MONTH($A8)-1)*12)+VLOOKUP(BC$4,$DE$6:$DF$17,2)+1))*(VLOOKUP($A8,SatSunCurve,2))*(INDEX(DailyScalarsTable,BC$5/100,MONTH($A8)))*$C8</f>
        <v>-936.4909964156991</v>
      </c>
      <c r="BD8" s="1021">
        <f>(VLOOKUP(YEAR($A8),'NY East Load Projections'!$A$4:$EO$14,((MONTH($A8)-1)*12)+VLOOKUP(BD$4,$DE$6:$DF$17,2)+1))*(VLOOKUP($A8,CURVES!$D$9:$T$261,6))*(INDEX(DailyScalarsTable,BD$5/100,MONTH($A8)))*$C8</f>
        <v>-1351.5671729325243</v>
      </c>
      <c r="BE8" s="1021"/>
      <c r="BF8" s="1021">
        <f>(VLOOKUP(YEAR($A8),'NY East Load Projections'!$A$4:$EO$14,((MONTH($A8)-1)*12)+VLOOKUP(BF$4,$DE$6:$DF$17,2)+1))*(VLOOKUP($A8,CURVES!$D$9:$T$261,6))*(INDEX(DailyScalarsTable,BF$5/100,MONTH($A8)))*$D8</f>
        <v>-888.94335807008861</v>
      </c>
      <c r="BG8" s="1021">
        <f>(VLOOKUP(YEAR($A8),'NY East Load Projections'!$A$4:$EO$14,((MONTH($A8)-1)*12)+VLOOKUP(BG$4,$DE$6:$DF$17,2)+1))*(VLOOKUP($A8,CURVES!$D$9:$T$261,6))*(INDEX(DailyScalarsTable,BG$5/100,MONTH($A8)))*$D8</f>
        <v>-840.53537525895047</v>
      </c>
      <c r="BH8" s="1021">
        <f>(VLOOKUP(YEAR($A8),'NY East Load Projections'!$A$4:$EO$14,((MONTH($A8)-1)*12)+VLOOKUP(BH$4,$DE$6:$DF$17,2)+1))*(VLOOKUP($A8,CURVES!$D$9:$T$261,6))*(INDEX(DailyScalarsTable,BH$5/100,MONTH($A8)))*$D8</f>
        <v>-804.71303806767003</v>
      </c>
      <c r="BI8" s="1021">
        <f>(VLOOKUP(YEAR($A8),'NY East Load Projections'!$A$4:$EO$14,((MONTH($A8)-1)*12)+VLOOKUP(BI$4,$DE$6:$DF$17,2)+1))*(VLOOKUP($A8,CURVES!$D$9:$T$261,6))*(INDEX(DailyScalarsTable,BI$5/100,MONTH($A8)))*$D8</f>
        <v>-805.21818353661445</v>
      </c>
      <c r="BJ8" s="1021">
        <f>(VLOOKUP(YEAR($A8),'NY East Load Projections'!$A$4:$EO$14,((MONTH($A8)-1)*12)+VLOOKUP(BJ$4,$DE$6:$DF$17,2)+1))*(VLOOKUP($A8,CURVES!$D$9:$T$261,6))*(INDEX(DailyScalarsTable,BJ$5/100,MONTH($A8)))*$D8</f>
        <v>-869.72666483301612</v>
      </c>
      <c r="BK8" s="1021">
        <f>(VLOOKUP(YEAR($A8),'NY East Load Projections'!$A$4:$EO$14,((MONTH($A8)-1)*12)+VLOOKUP(BK$4,$DE$6:$DF$17,2)+1))*(VLOOKUP($A8,CURVES!$D$9:$T$261,6))*(INDEX(DailyScalarsTable,BK$5/100,MONTH($A8)))*$D8</f>
        <v>-1009.5554959606956</v>
      </c>
      <c r="BL8" s="1021">
        <f>(VLOOKUP(YEAR($A8),'NY East Load Projections'!$A$4:$EO$14,((MONTH($A8)-1)*12)+VLOOKUP(BL$4,$DE$6:$DF$17,2)+1))*(VLOOKUP($A8,CURVES!$D$9:$T$261,6))*(INDEX(DailyScalarsTable,BL$5/100,MONTH($A8)))*$D8</f>
        <v>-1821.6285604438228</v>
      </c>
      <c r="BM8" s="1021">
        <f>(VLOOKUP(YEAR($A8),'NY East Load Projections'!$A$4:$EO$14,((MONTH($A8)-1)*12)+VLOOKUP(BM$4,$DE$6:$DF$17,2)+1))*(VLOOKUP($A8,SatSunCurve,6))*(INDEX(DailyScalarsTable,BM$5/100,MONTH($A8)))*$D8</f>
        <v>-1070.039761330539</v>
      </c>
      <c r="BN8" s="1021">
        <f>(VLOOKUP(YEAR($A8),'NY East Load Projections'!$A$4:$EO$14,((MONTH($A8)-1)*12)+VLOOKUP(BN$4,$DE$6:$DF$17,2)+1))*(VLOOKUP($A8,SatSunCurve,6))*(INDEX(DailyScalarsTable,BN$5/100,MONTH($A8)))*$D8</f>
        <v>-1329.9521799147035</v>
      </c>
      <c r="BO8" s="1021">
        <f>(VLOOKUP(YEAR($A8),'NY East Load Projections'!$A$4:$EO$14,((MONTH($A8)-1)*12)+VLOOKUP(BO$4,$DE$6:$DF$17,2)+1))*(VLOOKUP($A8,SatSunCurve,6))*(INDEX(DailyScalarsTable,BO$5/100,MONTH($A8)))*$D8</f>
        <v>-1325.9281188559601</v>
      </c>
      <c r="BP8" s="1021">
        <f>(VLOOKUP(YEAR($A8),'NY East Load Projections'!$A$4:$EO$14,((MONTH($A8)-1)*12)+VLOOKUP(BP$4,$DE$6:$DF$17,2)+1))*(VLOOKUP($A8,SatSunCurve,6))*(INDEX(DailyScalarsTable,BP$5/100,MONTH($A8)))*$D8</f>
        <v>-1302.5662088204774</v>
      </c>
      <c r="BQ8" s="1021">
        <f>(VLOOKUP(YEAR($A8),'NY East Load Projections'!$A$4:$EO$14,((MONTH($A8)-1)*12)+VLOOKUP(BQ$4,$DE$6:$DF$17,2)+1))*(VLOOKUP($A8,SatSunCurve,6))*(INDEX(DailyScalarsTable,BQ$5/100,MONTH($A8)))*$D8</f>
        <v>-995.28443519587483</v>
      </c>
      <c r="BR8" s="1021">
        <f>(VLOOKUP(YEAR($A8),'NY East Load Projections'!$A$4:$EO$14,((MONTH($A8)-1)*12)+VLOOKUP(BR$4,$DE$6:$DF$17,2)+1))*(VLOOKUP($A8,SatSunCurve,6))*(INDEX(DailyScalarsTable,BR$5/100,MONTH($A8)))*$D8</f>
        <v>-840.23391944335867</v>
      </c>
      <c r="BS8" s="1021">
        <f>(VLOOKUP(YEAR($A8),'NY East Load Projections'!$A$4:$EO$14,((MONTH($A8)-1)*12)+VLOOKUP(BS$4,$DE$6:$DF$17,2)+1))*(VLOOKUP($A8,SatSunCurve,6))*(INDEX(DailyScalarsTable,BS$5/100,MONTH($A8)))*$D8</f>
        <v>-813.41794329091113</v>
      </c>
      <c r="BT8" s="1021">
        <f>(VLOOKUP(YEAR($A8),'NY East Load Projections'!$A$4:$EO$14,((MONTH($A8)-1)*12)+VLOOKUP(BT$4,$DE$6:$DF$17,2)+1))*(VLOOKUP($A8,SatSunCurve,6))*(INDEX(DailyScalarsTable,BT$5/100,MONTH($A8)))*$D8</f>
        <v>-772.51386372503987</v>
      </c>
      <c r="BU8" s="1021">
        <f>(VLOOKUP(YEAR($A8),'NY East Load Projections'!$A$4:$EO$14,((MONTH($A8)-1)*12)+VLOOKUP(BU$4,$DE$6:$DF$17,2)+1))*(VLOOKUP($A8,SatSunCurve,6))*(INDEX(DailyScalarsTable,BU$5/100,MONTH($A8)))*$D8</f>
        <v>-757.1626889711024</v>
      </c>
      <c r="BV8" s="1021">
        <f>(VLOOKUP(YEAR($A8),'NY East Load Projections'!$A$4:$EO$14,((MONTH($A8)-1)*12)+VLOOKUP(BV$4,$DE$6:$DF$17,2)+1))*(VLOOKUP($A8,SatSunCurve,6))*(INDEX(DailyScalarsTable,BV$5/100,MONTH($A8)))*$D8</f>
        <v>-780.36057492278667</v>
      </c>
      <c r="BW8" s="1021">
        <f>(VLOOKUP(YEAR($A8),'NY East Load Projections'!$A$4:$EO$14,((MONTH($A8)-1)*12)+VLOOKUP(BW$4,$DE$6:$DF$17,2)+1))*(VLOOKUP($A8,SatSunCurve,6))*(INDEX(DailyScalarsTable,BW$5/100,MONTH($A8)))*$D8</f>
        <v>-1063.902605853418</v>
      </c>
      <c r="BX8" s="1021">
        <f>(VLOOKUP(YEAR($A8),'NY East Load Projections'!$A$4:$EO$14,((MONTH($A8)-1)*12)+VLOOKUP(BX$4,$DE$6:$DF$17,2)+1))*(VLOOKUP($A8,SatSunCurve,6))*(INDEX(DailyScalarsTable,BX$5/100,MONTH($A8)))*$D8</f>
        <v>-1168.2446036302877</v>
      </c>
      <c r="BY8" s="1021">
        <f>(VLOOKUP(YEAR($A8),'NY East Load Projections'!$A$4:$EO$14,((MONTH($A8)-1)*12)+VLOOKUP(BY$4,$DE$6:$DF$17,2)+1))*(VLOOKUP($A8,SatSunCurve,6))*(INDEX(DailyScalarsTable,BY$5/100,MONTH($A8)))*$D8</f>
        <v>-1117.818761394811</v>
      </c>
      <c r="BZ8" s="1021">
        <f>(VLOOKUP(YEAR($A8),'NY East Load Projections'!$A$4:$EO$14,((MONTH($A8)-1)*12)+VLOOKUP(BZ$4,$DE$6:$DF$17,2)+1))*(VLOOKUP($A8,SatSunCurve,6))*(INDEX(DailyScalarsTable,BZ$5/100,MONTH($A8)))*$D8</f>
        <v>-1100.4265703124213</v>
      </c>
      <c r="CA8" s="1021">
        <f>(VLOOKUP(YEAR($A8),'NY East Load Projections'!$A$4:$EO$14,((MONTH($A8)-1)*12)+VLOOKUP(CA$4,$DE$6:$DF$17,2)+1))*(VLOOKUP($A8,SatSunCurve,6))*(INDEX(DailyScalarsTable,CA$5/100,MONTH($A8)))*$D8</f>
        <v>-799.06094944963615</v>
      </c>
      <c r="CB8" s="1021">
        <f>(VLOOKUP(YEAR($A8),'NY East Load Projections'!$A$4:$EO$14,((MONTH($A8)-1)*12)+VLOOKUP(CB$4,$DE$6:$DF$17,2)+1))*(VLOOKUP($A8,SatSunCurve,6))*(INDEX(DailyScalarsTable,CB$5/100,MONTH($A8)))*$D8</f>
        <v>-655.87384004735623</v>
      </c>
      <c r="CC8" s="1021">
        <f>(VLOOKUP(YEAR($A8),'NY East Load Projections'!$A$4:$EO$14,((MONTH($A8)-1)*12)+VLOOKUP(CC$4,$DE$6:$DF$17,2)+1))*(VLOOKUP($A8,CURVES!$D$9:$T$261,6))*(INDEX(DailyScalarsTable,CC$5/100,MONTH($A8)))*$D8</f>
        <v>-1081.2537383460194</v>
      </c>
      <c r="CE8" s="1021">
        <f>(VLOOKUP(YEAR($A8),'NY East Load Projections'!$A$4:$EO$14,((MONTH($A8)-1)*12)+VLOOKUP(CE$4,$DE$6:$DF$17,2)+1))*(VLOOKUP($A8,CURVES!$D$9:$T$261,6))*(INDEX(DailyScalarsTable,CE$5/100,MONTH($A8)))*$E8</f>
        <v>0</v>
      </c>
      <c r="CF8" s="1021">
        <f>(VLOOKUP(YEAR($A8),'NY East Load Projections'!$A$4:$EO$14,((MONTH($A8)-1)*12)+VLOOKUP(CF$4,$DE$6:$DF$17,2)+1))*(VLOOKUP($A8,CURVES!$D$9:$T$261,6))*(INDEX(DailyScalarsTable,CF$5/100,MONTH($A8)))*$E8</f>
        <v>0</v>
      </c>
      <c r="CG8" s="1021">
        <f>(VLOOKUP(YEAR($A8),'NY East Load Projections'!$A$4:$EO$14,((MONTH($A8)-1)*12)+VLOOKUP(CG$4,$DE$6:$DF$17,2)+1))*(VLOOKUP($A8,CURVES!$D$9:$T$261,6))*(INDEX(DailyScalarsTable,CG$5/100,MONTH($A8)))*$E8</f>
        <v>0</v>
      </c>
      <c r="CH8" s="1021">
        <f>(VLOOKUP(YEAR($A8),'NY East Load Projections'!$A$4:$EO$14,((MONTH($A8)-1)*12)+VLOOKUP(CH$4,$DE$6:$DF$17,2)+1))*(VLOOKUP($A8,CURVES!$D$9:$T$261,6))*(INDEX(DailyScalarsTable,CH$5/100,MONTH($A8)))*$E8</f>
        <v>0</v>
      </c>
      <c r="CI8" s="1021">
        <f>(VLOOKUP(YEAR($A8),'NY East Load Projections'!$A$4:$EO$14,((MONTH($A8)-1)*12)+VLOOKUP(CI$4,$DE$6:$DF$17,2)+1))*(VLOOKUP($A8,CURVES!$D$9:$T$261,6))*(INDEX(DailyScalarsTable,CI$5/100,MONTH($A8)))*$E8</f>
        <v>0</v>
      </c>
      <c r="CJ8" s="1021">
        <f>(VLOOKUP(YEAR($A8),'NY East Load Projections'!$A$4:$EO$14,((MONTH($A8)-1)*12)+VLOOKUP(CJ$4,$DE$6:$DF$17,2)+1))*(VLOOKUP($A8,CURVES!$D$9:$T$261,6))*(INDEX(DailyScalarsTable,CJ$5/100,MONTH($A8)))*$E8</f>
        <v>0</v>
      </c>
      <c r="CK8" s="1021">
        <f>(VLOOKUP(YEAR($A8),'NY East Load Projections'!$A$4:$EO$14,((MONTH($A8)-1)*12)+VLOOKUP(CK$4,$DE$6:$DF$17,2)+1))*(VLOOKUP($A8,CURVES!$D$9:$T$261,6))*(INDEX(DailyScalarsTable,CK$5/100,MONTH($A8)))*$E8</f>
        <v>0</v>
      </c>
      <c r="CL8" s="1021">
        <f>(VLOOKUP(YEAR($A8),'NY East Load Projections'!$A$4:$EO$14,((MONTH($A8)-1)*12)+VLOOKUP(CL$4,$DE$6:$DF$17,2)+1))*(VLOOKUP($A8,SatSunCurve,6))*(INDEX(DailyScalarsTable,CL$5/100,MONTH($A8)))*$E8</f>
        <v>0</v>
      </c>
      <c r="CM8" s="1021">
        <f>(VLOOKUP(YEAR($A8),'NY East Load Projections'!$A$4:$EO$14,((MONTH($A8)-1)*12)+VLOOKUP(CM$4,$DE$6:$DF$17,2)+1))*(VLOOKUP($A8,SatSunCurve,6))*(INDEX(DailyScalarsTable,CM$5/100,MONTH($A8)))*$E8</f>
        <v>0</v>
      </c>
      <c r="CN8" s="1021">
        <f>(VLOOKUP(YEAR($A8),'NY East Load Projections'!$A$4:$EO$14,((MONTH($A8)-1)*12)+VLOOKUP(CN$4,$DE$6:$DF$17,2)+1))*(VLOOKUP($A8,SatSunCurve,6))*(INDEX(DailyScalarsTable,CN$5/100,MONTH($A8)))*$E8</f>
        <v>0</v>
      </c>
      <c r="CO8" s="1021">
        <f>(VLOOKUP(YEAR($A8),'NY East Load Projections'!$A$4:$EO$14,((MONTH($A8)-1)*12)+VLOOKUP(CO$4,$DE$6:$DF$17,2)+1))*(VLOOKUP($A8,SatSunCurve,6))*(INDEX(DailyScalarsTable,CO$5/100,MONTH($A8)))*$E8</f>
        <v>0</v>
      </c>
      <c r="CP8" s="1021">
        <f>(VLOOKUP(YEAR($A8),'NY East Load Projections'!$A$4:$EO$14,((MONTH($A8)-1)*12)+VLOOKUP(CP$4,$DE$6:$DF$17,2)+1))*(VLOOKUP($A8,SatSunCurve,6))*(INDEX(DailyScalarsTable,CP$5/100,MONTH($A8)))*$E8</f>
        <v>0</v>
      </c>
      <c r="CQ8" s="1021">
        <f>(VLOOKUP(YEAR($A8),'NY East Load Projections'!$A$4:$EO$14,((MONTH($A8)-1)*12)+VLOOKUP(CQ$4,$DE$6:$DF$17,2)+1))*(VLOOKUP($A8,SatSunCurve,6))*(INDEX(DailyScalarsTable,CQ$5/100,MONTH($A8)))*$E8</f>
        <v>0</v>
      </c>
      <c r="CR8" s="1021">
        <f>(VLOOKUP(YEAR($A8),'NY East Load Projections'!$A$4:$EO$14,((MONTH($A8)-1)*12)+VLOOKUP(CR$4,$DE$6:$DF$17,2)+1))*(VLOOKUP($A8,SatSunCurve,6))*(INDEX(DailyScalarsTable,CR$5/100,MONTH($A8)))*$E8</f>
        <v>0</v>
      </c>
      <c r="CS8" s="1021">
        <f>(VLOOKUP(YEAR($A8),'NY East Load Projections'!$A$4:$EO$14,((MONTH($A8)-1)*12)+VLOOKUP(CS$4,$DE$6:$DF$17,2)+1))*(VLOOKUP($A8,SatSunCurve,6))*(INDEX(DailyScalarsTable,CS$5/100,MONTH($A8)))*$E8</f>
        <v>0</v>
      </c>
      <c r="CT8" s="1021">
        <f>(VLOOKUP(YEAR($A8),'NY East Load Projections'!$A$4:$EO$14,((MONTH($A8)-1)*12)+VLOOKUP(CT$4,$DE$6:$DF$17,2)+1))*(VLOOKUP($A8,SatSunCurve,6))*(INDEX(DailyScalarsTable,CT$5/100,MONTH($A8)))*$E8</f>
        <v>0</v>
      </c>
      <c r="CU8" s="1021">
        <f>(VLOOKUP(YEAR($A8),'NY East Load Projections'!$A$4:$EO$14,((MONTH($A8)-1)*12)+VLOOKUP(CU$4,$DE$6:$DF$17,2)+1))*(VLOOKUP($A8,SatSunCurve,6))*(INDEX(DailyScalarsTable,CU$5/100,MONTH($A8)))*$E8</f>
        <v>0</v>
      </c>
      <c r="CV8" s="1021">
        <f>(VLOOKUP(YEAR($A8),'NY East Load Projections'!$A$4:$EO$14,((MONTH($A8)-1)*12)+VLOOKUP(CV$4,$DE$6:$DF$17,2)+1))*(VLOOKUP($A8,SatSunCurve,6))*(INDEX(DailyScalarsTable,CV$5/100,MONTH($A8)))*$E8</f>
        <v>0</v>
      </c>
      <c r="CW8" s="1021">
        <f>(VLOOKUP(YEAR($A8),'NY East Load Projections'!$A$4:$EO$14,((MONTH($A8)-1)*12)+VLOOKUP(CW$4,$DE$6:$DF$17,2)+1))*(VLOOKUP($A8,SatSunCurve,6))*(INDEX(DailyScalarsTable,CW$5/100,MONTH($A8)))*$E8</f>
        <v>0</v>
      </c>
      <c r="CX8" s="1021">
        <f>(VLOOKUP(YEAR($A8),'NY East Load Projections'!$A$4:$EO$14,((MONTH($A8)-1)*12)+VLOOKUP(CX$4,$DE$6:$DF$17,2)+1))*(VLOOKUP($A8,SatSunCurve,6))*(INDEX(DailyScalarsTable,CX$5/100,MONTH($A8)))*$E8</f>
        <v>0</v>
      </c>
      <c r="CY8" s="1021">
        <f>(VLOOKUP(YEAR($A8),'NY East Load Projections'!$A$4:$EO$14,((MONTH($A8)-1)*12)+VLOOKUP(CY$4,$DE$6:$DF$17,2)+1))*(VLOOKUP($A8,SatSunCurve,6))*(INDEX(DailyScalarsTable,CY$5/100,MONTH($A8)))*$E8</f>
        <v>0</v>
      </c>
      <c r="CZ8" s="1021">
        <f>(VLOOKUP(YEAR($A8),'NY East Load Projections'!$A$4:$EO$14,((MONTH($A8)-1)*12)+VLOOKUP(CZ$4,$DE$6:$DF$17,2)+1))*(VLOOKUP($A8,SatSunCurve,6))*(INDEX(DailyScalarsTable,CZ$5/100,MONTH($A8)))*$E8</f>
        <v>0</v>
      </c>
      <c r="DA8" s="1021">
        <f>(VLOOKUP(YEAR($A8),'NY East Load Projections'!$A$4:$EO$14,((MONTH($A8)-1)*12)+VLOOKUP(DA$4,$DE$6:$DF$17,2)+1))*(VLOOKUP($A8,SatSunCurve,6))*(INDEX(DailyScalarsTable,DA$5/100,MONTH($A8)))*$E8</f>
        <v>0</v>
      </c>
      <c r="DB8" s="1021">
        <f>(VLOOKUP(YEAR($A8),'NY East Load Projections'!$A$4:$EO$14,((MONTH($A8)-1)*12)+VLOOKUP(DB$4,$DE$6:$DF$17,2)+1))*(VLOOKUP($A8,CURVES!$D$9:$T$261,6))*(INDEX(DailyScalarsTable,DB$5/100,MONTH($A8)))*$E8</f>
        <v>0</v>
      </c>
      <c r="DE8" s="221" t="s">
        <v>560</v>
      </c>
      <c r="DF8" s="619">
        <v>3</v>
      </c>
      <c r="DH8" s="1021">
        <f t="shared" si="0"/>
        <v>-192664.61008209229</v>
      </c>
      <c r="DI8">
        <f ca="1">CALC!J28</f>
        <v>0.92767633406505923</v>
      </c>
      <c r="DJ8" s="1029">
        <f t="shared" ca="1" si="1"/>
        <v>-178730.39918502941</v>
      </c>
    </row>
    <row r="9" spans="1:114" x14ac:dyDescent="0.25">
      <c r="A9" s="244">
        <v>36982</v>
      </c>
      <c r="B9" s="13">
        <v>21</v>
      </c>
      <c r="C9" s="210">
        <v>4</v>
      </c>
      <c r="D9" s="210">
        <v>5</v>
      </c>
      <c r="E9" s="210">
        <v>0</v>
      </c>
      <c r="F9" s="13">
        <v>30</v>
      </c>
      <c r="H9" s="1021">
        <f>(VLOOKUP(YEAR($A9),'NY East Load Projections'!$A$4:$EO$14,((MONTH($A9)-1)*12)+VLOOKUP(H$4,$DE$6:$DF$17,2)+1))*(VLOOKUP($A9,CURVES!$D$9:$K$261,6))*(INDEX(DailyScalarsTable,H$5/100,MONTH($A9)))*$B9</f>
        <v>-1550.0945475106241</v>
      </c>
      <c r="I9" s="1021">
        <f>(VLOOKUP(YEAR($A9),'NY East Load Projections'!$A$4:$EO$14,((MONTH($A9)-1)*12)+VLOOKUP(I$4,$DE$6:$DF$17,2)+1))*(VLOOKUP($A9,CURVES!$D$9:$K$261,6))*(INDEX(DailyScalarsTable,I$5/100,MONTH($A9)))*$B9</f>
        <v>-1470.2209521994791</v>
      </c>
      <c r="J9" s="1021">
        <f>(VLOOKUP(YEAR($A9),'NY East Load Projections'!$A$4:$EO$14,((MONTH($A9)-1)*12)+VLOOKUP(J$4,$DE$6:$DF$17,2)+1))*(VLOOKUP($A9,CURVES!$D$9:$K$261,6))*(INDEX(DailyScalarsTable,J$5/100,MONTH($A9)))*$B9</f>
        <v>-1411.1137823122565</v>
      </c>
      <c r="K9" s="1021">
        <f>(VLOOKUP(YEAR($A9),'NY East Load Projections'!$A$4:$EO$14,((MONTH($A9)-1)*12)+VLOOKUP(K$4,$DE$6:$DF$17,2)+1))*(VLOOKUP($A9,CURVES!$D$9:$K$261,6))*(INDEX(DailyScalarsTable,K$5/100,MONTH($A9)))*$B9</f>
        <v>-1411.9472767571115</v>
      </c>
      <c r="L9" s="1021">
        <f>(VLOOKUP(YEAR($A9),'NY East Load Projections'!$A$4:$EO$14,((MONTH($A9)-1)*12)+VLOOKUP(L$4,$DE$6:$DF$17,2)+1))*(VLOOKUP($A9,CURVES!$D$9:$K$261,6))*(INDEX(DailyScalarsTable,L$5/100,MONTH($A9)))*$B9</f>
        <v>-2851.5537205402152</v>
      </c>
      <c r="M9" s="1021">
        <f>(VLOOKUP(YEAR($A9),'NY East Load Projections'!$A$4:$EO$14,((MONTH($A9)-1)*12)+VLOOKUP(M$4,$DE$6:$DF$17,2)+1))*(VLOOKUP($A9,CURVES!$D$9:$K$261,6))*(INDEX(DailyScalarsTable,M$5/100,MONTH($A9)))*$B9</f>
        <v>-3284.7480151954246</v>
      </c>
      <c r="N9" s="1021">
        <f>(VLOOKUP(YEAR($A9),'NY East Load Projections'!$A$4:$EO$14,((MONTH($A9)-1)*12)+VLOOKUP(N$4,$DE$6:$DF$17,2)+1))*(VLOOKUP($A9,CURVES!$D$9:$K$261,6))*(INDEX(DailyScalarsTable,N$5/100,MONTH($A9)))*$B9</f>
        <v>-4685.0049620255841</v>
      </c>
      <c r="O9" s="1021">
        <f>(VLOOKUP(YEAR($A9),'NY East Load Projections'!$A$4:$EO$14,((MONTH($A9)-1)*12)+VLOOKUP(O$4,$DE$6:$DF$17,2)+1))*(VLOOKUP($A9,CURVES!$D$9:$K$261,2))*(INDEX(DailyScalarsTable,O$5/100,MONTH($A9)))*$B9</f>
        <v>-5829.9309040361295</v>
      </c>
      <c r="P9" s="1021">
        <f>(VLOOKUP(YEAR($A9),'NY East Load Projections'!$A$4:$EO$14,((MONTH($A9)-1)*12)+VLOOKUP(P$4,$DE$6:$DF$17,2)+1))*(VLOOKUP($A9,CURVES!$D$9:$K$261,2))*(INDEX(DailyScalarsTable,P$5/100,MONTH($A9)))*$B9</f>
        <v>-6456.8942286193924</v>
      </c>
      <c r="Q9" s="1021">
        <f>(VLOOKUP(YEAR($A9),'NY East Load Projections'!$A$4:$EO$14,((MONTH($A9)-1)*12)+VLOOKUP(Q$4,$DE$6:$DF$17,2)+1))*(VLOOKUP($A9,CURVES!$D$9:$K$261,2))*(INDEX(DailyScalarsTable,Q$5/100,MONTH($A9)))*$B9</f>
        <v>-6188.0011436227323</v>
      </c>
      <c r="R9" s="1021">
        <f>(VLOOKUP(YEAR($A9),'NY East Load Projections'!$A$4:$EO$14,((MONTH($A9)-1)*12)+VLOOKUP(R$4,$DE$6:$DF$17,2)+1))*(VLOOKUP($A9,CURVES!$D$9:$K$261,2))*(INDEX(DailyScalarsTable,R$5/100,MONTH($A9)))*$B9</f>
        <v>-6315.5728375205717</v>
      </c>
      <c r="S9" s="1021">
        <f>(VLOOKUP(YEAR($A9),'NY East Load Projections'!$A$4:$EO$14,((MONTH($A9)-1)*12)+VLOOKUP(S$4,$DE$6:$DF$17,2)+1))*(VLOOKUP($A9,CURVES!$D$9:$K$261,2))*(INDEX(DailyScalarsTable,S$5/100,MONTH($A9)))*$B9</f>
        <v>-6327.9566707611912</v>
      </c>
      <c r="T9" s="1021">
        <f>(VLOOKUP(YEAR($A9),'NY East Load Projections'!$A$4:$EO$14,((MONTH($A9)-1)*12)+VLOOKUP(T$4,$DE$6:$DF$17,2)+1))*(VLOOKUP($A9,CURVES!$D$9:$K$261,2))*(INDEX(DailyScalarsTable,T$5/100,MONTH($A9)))*$B9</f>
        <v>-5928.7922953815723</v>
      </c>
      <c r="U9" s="1021">
        <f>(VLOOKUP(YEAR($A9),'NY East Load Projections'!$A$4:$EO$14,((MONTH($A9)-1)*12)+VLOOKUP(U$4,$DE$6:$DF$17,2)+1))*(VLOOKUP($A9,CURVES!$D$9:$K$261,2))*(INDEX(DailyScalarsTable,U$5/100,MONTH($A9)))*$B9</f>
        <v>-5935.1763253428689</v>
      </c>
      <c r="V9" s="1021">
        <f>(VLOOKUP(YEAR($A9),'NY East Load Projections'!$A$4:$EO$14,((MONTH($A9)-1)*12)+VLOOKUP(V$4,$DE$6:$DF$17,2)+1))*(VLOOKUP($A9,CURVES!$D$9:$K$261,2))*(INDEX(DailyScalarsTable,V$5/100,MONTH($A9)))*$B9</f>
        <v>-5566.7802434585383</v>
      </c>
      <c r="W9" s="1021">
        <f>(VLOOKUP(YEAR($A9),'NY East Load Projections'!$A$4:$EO$14,((MONTH($A9)-1)*12)+VLOOKUP(W$4,$DE$6:$DF$17,2)+1))*(VLOOKUP($A9,CURVES!$D$9:$K$261,2))*(INDEX(DailyScalarsTable,W$5/100,MONTH($A9)))*$B9</f>
        <v>-5202.7966528709903</v>
      </c>
      <c r="X9" s="1021">
        <f>(VLOOKUP(YEAR($A9),'NY East Load Projections'!$A$4:$EO$14,((MONTH($A9)-1)*12)+VLOOKUP(X$4,$DE$6:$DF$17,2)+1))*(VLOOKUP($A9,CURVES!$D$9:$K$261,2))*(INDEX(DailyScalarsTable,X$5/100,MONTH($A9)))*$B9</f>
        <v>-4218.1755777354374</v>
      </c>
      <c r="Y9" s="1021">
        <f>(VLOOKUP(YEAR($A9),'NY East Load Projections'!$A$4:$EO$14,((MONTH($A9)-1)*12)+VLOOKUP(Y$4,$DE$6:$DF$17,2)+1))*(VLOOKUP($A9,CURVES!$D$9:$K$261,2))*(INDEX(DailyScalarsTable,Y$5/100,MONTH($A9)))*$B9</f>
        <v>-4163.3160403996626</v>
      </c>
      <c r="Z9" s="1021">
        <f>(VLOOKUP(YEAR($A9),'NY East Load Projections'!$A$4:$EO$14,((MONTH($A9)-1)*12)+VLOOKUP(Z$4,$DE$6:$DF$17,2)+1))*(VLOOKUP($A9,CURVES!$D$9:$K$261,2))*(INDEX(DailyScalarsTable,Z$5/100,MONTH($A9)))*$B9</f>
        <v>-4140.9976510994757</v>
      </c>
      <c r="AA9" s="1021">
        <f>(VLOOKUP(YEAR($A9),'NY East Load Projections'!$A$4:$EO$14,((MONTH($A9)-1)*12)+VLOOKUP(AA$4,$DE$6:$DF$17,2)+1))*(VLOOKUP($A9,CURVES!$D$9:$K$261,2))*(INDEX(DailyScalarsTable,AA$5/100,MONTH($A9)))*$B9</f>
        <v>-4542.0263315668308</v>
      </c>
      <c r="AB9" s="1021">
        <f>(VLOOKUP(YEAR($A9),'NY East Load Projections'!$A$4:$EO$14,((MONTH($A9)-1)*12)+VLOOKUP(AB$4,$DE$6:$DF$17,2)+1))*(VLOOKUP($A9,CURVES!$D$9:$K$261,2))*(INDEX(DailyScalarsTable,AB$5/100,MONTH($A9)))*$B9</f>
        <v>-4026.9813655082594</v>
      </c>
      <c r="AC9" s="1021">
        <f>(VLOOKUP(YEAR($A9),'NY East Load Projections'!$A$4:$EO$14,((MONTH($A9)-1)*12)+VLOOKUP(AC$4,$DE$6:$DF$17,2)+1))*(VLOOKUP($A9,CURVES!$D$9:$K$261,2))*(INDEX(DailyScalarsTable,AC$5/100,MONTH($A9)))*$B9</f>
        <v>-3431.2920041580282</v>
      </c>
      <c r="AD9" s="1021">
        <f>(VLOOKUP(YEAR($A9),'NY East Load Projections'!$A$4:$EO$14,((MONTH($A9)-1)*12)+VLOOKUP(AD$4,$DE$6:$DF$17,2)+1))*(VLOOKUP($A9,CURVES!$D$9:$K$261,2))*(INDEX(DailyScalarsTable,AD$5/100,MONTH($A9)))*$B9</f>
        <v>-3031.3395750037562</v>
      </c>
      <c r="AE9" s="1021">
        <f>(VLOOKUP(YEAR($A9),'NY East Load Projections'!$A$4:$EO$14,((MONTH($A9)-1)*12)+VLOOKUP(AE$4,$DE$6:$DF$17,2)+1))*(VLOOKUP($A9,CURVES!$D$9:$K$261,6))*(INDEX(DailyScalarsTable,AE$5/100,MONTH($A9)))*$B9</f>
        <v>-2216.8875081632846</v>
      </c>
      <c r="AF9" s="1021"/>
      <c r="AG9" s="1021">
        <f>(VLOOKUP(YEAR($A9),'NY East Load Projections'!$A$4:$EO$14,((MONTH($A9)-1)*12)+VLOOKUP(AG$4,$DE$6:$DF$17,2)+1))*(VLOOKUP($A9,CURVES!$D$9:$T$261,6))*(INDEX(DailyScalarsTable,AG$5/100,MONTH($A9)))*$C9</f>
        <v>-703.23490656487775</v>
      </c>
      <c r="AH9" s="1021">
        <f>(VLOOKUP(YEAR($A9),'NY East Load Projections'!$A$4:$EO$14,((MONTH($A9)-1)*12)+VLOOKUP(AH$4,$DE$6:$DF$17,2)+1))*(VLOOKUP($A9,CURVES!$D$9:$T$261,6))*(INDEX(DailyScalarsTable,AH$5/100,MONTH($A9)))*$C9</f>
        <v>-666.99847155138775</v>
      </c>
      <c r="AI9" s="1021">
        <f>(VLOOKUP(YEAR($A9),'NY East Load Projections'!$A$4:$EO$14,((MONTH($A9)-1)*12)+VLOOKUP(AI$4,$DE$6:$DF$17,2)+1))*(VLOOKUP($A9,CURVES!$D$9:$T$261,6))*(INDEX(DailyScalarsTable,AI$5/100,MONTH($A9)))*$C9</f>
        <v>-640.18318782581844</v>
      </c>
      <c r="AJ9" s="1021">
        <f>(VLOOKUP(YEAR($A9),'NY East Load Projections'!$A$4:$EO$14,((MONTH($A9)-1)*12)+VLOOKUP(AJ$4,$DE$6:$DF$17,2)+1))*(VLOOKUP($A9,CURVES!$D$9:$T$261,6))*(INDEX(DailyScalarsTable,AJ$5/100,MONTH($A9)))*$C9</f>
        <v>-640.56132113968067</v>
      </c>
      <c r="AK9" s="1021">
        <f>(VLOOKUP(YEAR($A9),'NY East Load Projections'!$A$4:$EO$14,((MONTH($A9)-1)*12)+VLOOKUP(AK$4,$DE$6:$DF$17,2)+1))*(VLOOKUP($A9,CURVES!$D$9:$T$261,6))*(INDEX(DailyScalarsTable,AK$5/100,MONTH($A9)))*$C9</f>
        <v>-697.15589755330257</v>
      </c>
      <c r="AL9" s="1021">
        <f>(VLOOKUP(YEAR($A9),'NY East Load Projections'!$A$4:$EO$14,((MONTH($A9)-1)*12)+VLOOKUP(AL$4,$DE$6:$DF$17,2)+1))*(VLOOKUP($A9,CURVES!$D$9:$T$261,6))*(INDEX(DailyScalarsTable,AL$5/100,MONTH($A9)))*$C9</f>
        <v>-803.06446070956963</v>
      </c>
      <c r="AM9" s="1021">
        <f>(VLOOKUP(YEAR($A9),'NY East Load Projections'!$A$4:$EO$14,((MONTH($A9)-1)*12)+VLOOKUP(AM$4,$DE$6:$DF$17,2)+1))*(VLOOKUP($A9,CURVES!$D$9:$T$261,6))*(INDEX(DailyScalarsTable,AM$5/100,MONTH($A9)))*$C9</f>
        <v>-1145.4032290592293</v>
      </c>
      <c r="AN9" s="1021">
        <f>(VLOOKUP(YEAR($A9),'NY East Load Projections'!$A$4:$EO$14,((MONTH($A9)-1)*12)+VLOOKUP(AN$4,$DE$6:$DF$17,2)+1))*(VLOOKUP($A9,SatSunCurve,2))*(INDEX(DailyScalarsTable,AN$5/100,MONTH($A9)))*$C9</f>
        <v>-947.11826882541857</v>
      </c>
      <c r="AO9" s="1021">
        <f>(VLOOKUP(YEAR($A9),'NY East Load Projections'!$A$4:$EO$14,((MONTH($A9)-1)*12)+VLOOKUP(AO$4,$DE$6:$DF$17,2)+1))*(VLOOKUP($A9,SatSunCurve,2))*(INDEX(DailyScalarsTable,AO$5/100,MONTH($A9)))*$C9</f>
        <v>-1192.3943166585514</v>
      </c>
      <c r="AP9" s="1021">
        <f>(VLOOKUP(YEAR($A9),'NY East Load Projections'!$A$4:$EO$14,((MONTH($A9)-1)*12)+VLOOKUP(AP$4,$DE$6:$DF$17,2)+1))*(VLOOKUP($A9,SatSunCurve,2))*(INDEX(DailyScalarsTable,AP$5/100,MONTH($A9)))*$C9</f>
        <v>-1142.7378448338059</v>
      </c>
      <c r="AQ9" s="1021">
        <f>(VLOOKUP(YEAR($A9),'NY East Load Projections'!$A$4:$EO$14,((MONTH($A9)-1)*12)+VLOOKUP(AQ$4,$DE$6:$DF$17,2)+1))*(VLOOKUP($A9,SatSunCurve,2))*(INDEX(DailyScalarsTable,AQ$5/100,MONTH($A9)))*$C9</f>
        <v>-1166.2965028177096</v>
      </c>
      <c r="AR9" s="1021">
        <f>(VLOOKUP(YEAR($A9),'NY East Load Projections'!$A$4:$EO$14,((MONTH($A9)-1)*12)+VLOOKUP(AR$4,$DE$6:$DF$17,2)+1))*(VLOOKUP($A9,SatSunCurve,2))*(INDEX(DailyScalarsTable,AR$5/100,MONTH($A9)))*$C9</f>
        <v>-1168.583424649124</v>
      </c>
      <c r="AS9" s="1021">
        <f>(VLOOKUP(YEAR($A9),'NY East Load Projections'!$A$4:$EO$14,((MONTH($A9)-1)*12)+VLOOKUP(AS$4,$DE$6:$DF$17,2)+1))*(VLOOKUP($A9,SatSunCurve,2))*(INDEX(DailyScalarsTable,AS$5/100,MONTH($A9)))*$C9</f>
        <v>-934.47495318341453</v>
      </c>
      <c r="AT9" s="1021">
        <f>(VLOOKUP(YEAR($A9),'NY East Load Projections'!$A$4:$EO$14,((MONTH($A9)-1)*12)+VLOOKUP(AT$4,$DE$6:$DF$17,2)+1))*(VLOOKUP($A9,SatSunCurve,2))*(INDEX(DailyScalarsTable,AT$5/100,MONTH($A9)))*$C9</f>
        <v>-935.4811810628853</v>
      </c>
      <c r="AU9" s="1021">
        <f>(VLOOKUP(YEAR($A9),'NY East Load Projections'!$A$4:$EO$14,((MONTH($A9)-1)*12)+VLOOKUP(AU$4,$DE$6:$DF$17,2)+1))*(VLOOKUP($A9,SatSunCurve,2))*(INDEX(DailyScalarsTable,AU$5/100,MONTH($A9)))*$C9</f>
        <v>-877.41591342988295</v>
      </c>
      <c r="AV9" s="1021">
        <f>(VLOOKUP(YEAR($A9),'NY East Load Projections'!$A$4:$EO$14,((MONTH($A9)-1)*12)+VLOOKUP(AV$4,$DE$6:$DF$17,2)+1))*(VLOOKUP($A9,SatSunCurve,2))*(INDEX(DailyScalarsTable,AV$5/100,MONTH($A9)))*$C9</f>
        <v>-820.04612683122127</v>
      </c>
      <c r="AW9" s="1021">
        <f>(VLOOKUP(YEAR($A9),'NY East Load Projections'!$A$4:$EO$14,((MONTH($A9)-1)*12)+VLOOKUP(AW$4,$DE$6:$DF$17,2)+1))*(VLOOKUP($A9,SatSunCurve,2))*(INDEX(DailyScalarsTable,AW$5/100,MONTH($A9)))*$C9</f>
        <v>-669.47340116493012</v>
      </c>
      <c r="AX9" s="1021">
        <f>(VLOOKUP(YEAR($A9),'NY East Load Projections'!$A$4:$EO$14,((MONTH($A9)-1)*12)+VLOOKUP(AX$4,$DE$6:$DF$17,2)+1))*(VLOOKUP($A9,SatSunCurve,2))*(INDEX(DailyScalarsTable,AX$5/100,MONTH($A9)))*$C9</f>
        <v>-660.76655613923469</v>
      </c>
      <c r="AY9" s="1021">
        <f>(VLOOKUP(YEAR($A9),'NY East Load Projections'!$A$4:$EO$14,((MONTH($A9)-1)*12)+VLOOKUP(AY$4,$DE$6:$DF$17,2)+1))*(VLOOKUP($A9,SatSunCurve,2))*(INDEX(DailyScalarsTable,AY$5/100,MONTH($A9)))*$C9</f>
        <v>-657.22436883148384</v>
      </c>
      <c r="AZ9" s="1021">
        <f>(VLOOKUP(YEAR($A9),'NY East Load Projections'!$A$4:$EO$14,((MONTH($A9)-1)*12)+VLOOKUP(AZ$4,$DE$6:$DF$17,2)+1))*(VLOOKUP($A9,SatSunCurve,2))*(INDEX(DailyScalarsTable,AZ$5/100,MONTH($A9)))*$C9</f>
        <v>-720.87227293823958</v>
      </c>
      <c r="BA9" s="1021">
        <f>(VLOOKUP(YEAR($A9),'NY East Load Projections'!$A$4:$EO$14,((MONTH($A9)-1)*12)+VLOOKUP(BA$4,$DE$6:$DF$17,2)+1))*(VLOOKUP($A9,SatSunCurve,2))*(INDEX(DailyScalarsTable,BA$5/100,MONTH($A9)))*$C9</f>
        <v>-971.84831403789121</v>
      </c>
      <c r="BB9" s="1021">
        <f>(VLOOKUP(YEAR($A9),'NY East Load Projections'!$A$4:$EO$14,((MONTH($A9)-1)*12)+VLOOKUP(BB$4,$DE$6:$DF$17,2)+1))*(VLOOKUP($A9,SatSunCurve,2))*(INDEX(DailyScalarsTable,BB$5/100,MONTH($A9)))*$C9</f>
        <v>-828.08810037584885</v>
      </c>
      <c r="BC9" s="1021">
        <f>(VLOOKUP(YEAR($A9),'NY East Load Projections'!$A$4:$EO$14,((MONTH($A9)-1)*12)+VLOOKUP(BC$4,$DE$6:$DF$17,2)+1))*(VLOOKUP($A9,SatSunCurve,2))*(INDEX(DailyScalarsTable,BC$5/100,MONTH($A9)))*$C9</f>
        <v>-731.5659020617079</v>
      </c>
      <c r="BD9" s="1021">
        <f>(VLOOKUP(YEAR($A9),'NY East Load Projections'!$A$4:$EO$14,((MONTH($A9)-1)*12)+VLOOKUP(BD$4,$DE$6:$DF$17,2)+1))*(VLOOKUP($A9,CURVES!$D$9:$T$261,6))*(INDEX(DailyScalarsTable,BD$5/100,MONTH($A9)))*$C9</f>
        <v>-805.13751634833955</v>
      </c>
      <c r="BE9" s="1021"/>
      <c r="BF9" s="1021">
        <f>(VLOOKUP(YEAR($A9),'NY East Load Projections'!$A$4:$EO$14,((MONTH($A9)-1)*12)+VLOOKUP(BF$4,$DE$6:$DF$17,2)+1))*(VLOOKUP($A9,CURVES!$D$9:$T$261,6))*(INDEX(DailyScalarsTable,BF$5/100,MONTH($A9)))*$D9</f>
        <v>-879.04363320609718</v>
      </c>
      <c r="BG9" s="1021">
        <f>(VLOOKUP(YEAR($A9),'NY East Load Projections'!$A$4:$EO$14,((MONTH($A9)-1)*12)+VLOOKUP(BG$4,$DE$6:$DF$17,2)+1))*(VLOOKUP($A9,CURVES!$D$9:$T$261,6))*(INDEX(DailyScalarsTable,BG$5/100,MONTH($A9)))*$D9</f>
        <v>-833.74808943923472</v>
      </c>
      <c r="BH9" s="1021">
        <f>(VLOOKUP(YEAR($A9),'NY East Load Projections'!$A$4:$EO$14,((MONTH($A9)-1)*12)+VLOOKUP(BH$4,$DE$6:$DF$17,2)+1))*(VLOOKUP($A9,CURVES!$D$9:$T$261,6))*(INDEX(DailyScalarsTable,BH$5/100,MONTH($A9)))*$D9</f>
        <v>-800.22898478227307</v>
      </c>
      <c r="BI9" s="1021">
        <f>(VLOOKUP(YEAR($A9),'NY East Load Projections'!$A$4:$EO$14,((MONTH($A9)-1)*12)+VLOOKUP(BI$4,$DE$6:$DF$17,2)+1))*(VLOOKUP($A9,CURVES!$D$9:$T$261,6))*(INDEX(DailyScalarsTable,BI$5/100,MONTH($A9)))*$D9</f>
        <v>-800.70165142460087</v>
      </c>
      <c r="BJ9" s="1021">
        <f>(VLOOKUP(YEAR($A9),'NY East Load Projections'!$A$4:$EO$14,((MONTH($A9)-1)*12)+VLOOKUP(BJ$4,$DE$6:$DF$17,2)+1))*(VLOOKUP($A9,CURVES!$D$9:$T$261,6))*(INDEX(DailyScalarsTable,BJ$5/100,MONTH($A9)))*$D9</f>
        <v>-871.44487194162821</v>
      </c>
      <c r="BK9" s="1021">
        <f>(VLOOKUP(YEAR($A9),'NY East Load Projections'!$A$4:$EO$14,((MONTH($A9)-1)*12)+VLOOKUP(BK$4,$DE$6:$DF$17,2)+1))*(VLOOKUP($A9,CURVES!$D$9:$T$261,6))*(INDEX(DailyScalarsTable,BK$5/100,MONTH($A9)))*$D9</f>
        <v>-1003.830575886962</v>
      </c>
      <c r="BL9" s="1021">
        <f>(VLOOKUP(YEAR($A9),'NY East Load Projections'!$A$4:$EO$14,((MONTH($A9)-1)*12)+VLOOKUP(BL$4,$DE$6:$DF$17,2)+1))*(VLOOKUP($A9,CURVES!$D$9:$T$261,6))*(INDEX(DailyScalarsTable,BL$5/100,MONTH($A9)))*$D9</f>
        <v>-1431.7540363240366</v>
      </c>
      <c r="BM9" s="1021">
        <f>(VLOOKUP(YEAR($A9),'NY East Load Projections'!$A$4:$EO$14,((MONTH($A9)-1)*12)+VLOOKUP(BM$4,$DE$6:$DF$17,2)+1))*(VLOOKUP($A9,SatSunCurve,6))*(INDEX(DailyScalarsTable,BM$5/100,MONTH($A9)))*$D9</f>
        <v>-985.29241815438422</v>
      </c>
      <c r="BN9" s="1021">
        <f>(VLOOKUP(YEAR($A9),'NY East Load Projections'!$A$4:$EO$14,((MONTH($A9)-1)*12)+VLOOKUP(BN$4,$DE$6:$DF$17,2)+1))*(VLOOKUP($A9,SatSunCurve,6))*(INDEX(DailyScalarsTable,BN$5/100,MONTH($A9)))*$D9</f>
        <v>-1240.4544588830106</v>
      </c>
      <c r="BO9" s="1021">
        <f>(VLOOKUP(YEAR($A9),'NY East Load Projections'!$A$4:$EO$14,((MONTH($A9)-1)*12)+VLOOKUP(BO$4,$DE$6:$DF$17,2)+1))*(VLOOKUP($A9,SatSunCurve,6))*(INDEX(DailyScalarsTable,BO$5/100,MONTH($A9)))*$D9</f>
        <v>-1188.796554256279</v>
      </c>
      <c r="BP9" s="1021">
        <f>(VLOOKUP(YEAR($A9),'NY East Load Projections'!$A$4:$EO$14,((MONTH($A9)-1)*12)+VLOOKUP(BP$4,$DE$6:$DF$17,2)+1))*(VLOOKUP($A9,SatSunCurve,6))*(INDEX(DailyScalarsTable,BP$5/100,MONTH($A9)))*$D9</f>
        <v>-1213.3047575688597</v>
      </c>
      <c r="BQ9" s="1021">
        <f>(VLOOKUP(YEAR($A9),'NY East Load Projections'!$A$4:$EO$14,((MONTH($A9)-1)*12)+VLOOKUP(BQ$4,$DE$6:$DF$17,2)+1))*(VLOOKUP($A9,SatSunCurve,6))*(INDEX(DailyScalarsTable,BQ$5/100,MONTH($A9)))*$D9</f>
        <v>-1215.683855106698</v>
      </c>
      <c r="BR9" s="1021">
        <f>(VLOOKUP(YEAR($A9),'NY East Load Projections'!$A$4:$EO$14,((MONTH($A9)-1)*12)+VLOOKUP(BR$4,$DE$6:$DF$17,2)+1))*(VLOOKUP($A9,SatSunCurve,6))*(INDEX(DailyScalarsTable,BR$5/100,MONTH($A9)))*$D9</f>
        <v>-972.13950636666357</v>
      </c>
      <c r="BS9" s="1021">
        <f>(VLOOKUP(YEAR($A9),'NY East Load Projections'!$A$4:$EO$14,((MONTH($A9)-1)*12)+VLOOKUP(BS$4,$DE$6:$DF$17,2)+1))*(VLOOKUP($A9,SatSunCurve,6))*(INDEX(DailyScalarsTable,BS$5/100,MONTH($A9)))*$D9</f>
        <v>-973.18629084248994</v>
      </c>
      <c r="BT9" s="1021">
        <f>(VLOOKUP(YEAR($A9),'NY East Load Projections'!$A$4:$EO$14,((MONTH($A9)-1)*12)+VLOOKUP(BT$4,$DE$6:$DF$17,2)+1))*(VLOOKUP($A9,SatSunCurve,6))*(INDEX(DailyScalarsTable,BT$5/100,MONTH($A9)))*$D9</f>
        <v>-912.78066903154809</v>
      </c>
      <c r="BU9" s="1021">
        <f>(VLOOKUP(YEAR($A9),'NY East Load Projections'!$A$4:$EO$14,((MONTH($A9)-1)*12)+VLOOKUP(BU$4,$DE$6:$DF$17,2)+1))*(VLOOKUP($A9,SatSunCurve,6))*(INDEX(DailyScalarsTable,BU$5/100,MONTH($A9)))*$D9</f>
        <v>-853.09856002007496</v>
      </c>
      <c r="BV9" s="1021">
        <f>(VLOOKUP(YEAR($A9),'NY East Load Projections'!$A$4:$EO$14,((MONTH($A9)-1)*12)+VLOOKUP(BV$4,$DE$6:$DF$17,2)+1))*(VLOOKUP($A9,SatSunCurve,6))*(INDEX(DailyScalarsTable,BV$5/100,MONTH($A9)))*$D9</f>
        <v>-696.45691360370381</v>
      </c>
      <c r="BW9" s="1021">
        <f>(VLOOKUP(YEAR($A9),'NY East Load Projections'!$A$4:$EO$14,((MONTH($A9)-1)*12)+VLOOKUP(BW$4,$DE$6:$DF$17,2)+1))*(VLOOKUP($A9,SatSunCurve,6))*(INDEX(DailyScalarsTable,BW$5/100,MONTH($A9)))*$D9</f>
        <v>-687.39913415605145</v>
      </c>
      <c r="BX9" s="1021">
        <f>(VLOOKUP(YEAR($A9),'NY East Load Projections'!$A$4:$EO$14,((MONTH($A9)-1)*12)+VLOOKUP(BX$4,$DE$6:$DF$17,2)+1))*(VLOOKUP($A9,SatSunCurve,6))*(INDEX(DailyScalarsTable,BX$5/100,MONTH($A9)))*$D9</f>
        <v>-683.71417694121703</v>
      </c>
      <c r="BY9" s="1021">
        <f>(VLOOKUP(YEAR($A9),'NY East Load Projections'!$A$4:$EO$14,((MONTH($A9)-1)*12)+VLOOKUP(BY$4,$DE$6:$DF$17,2)+1))*(VLOOKUP($A9,SatSunCurve,6))*(INDEX(DailyScalarsTable,BY$5/100,MONTH($A9)))*$D9</f>
        <v>-749.92744661616132</v>
      </c>
      <c r="BZ9" s="1021">
        <f>(VLOOKUP(YEAR($A9),'NY East Load Projections'!$A$4:$EO$14,((MONTH($A9)-1)*12)+VLOOKUP(BZ$4,$DE$6:$DF$17,2)+1))*(VLOOKUP($A9,SatSunCurve,6))*(INDEX(DailyScalarsTable,BZ$5/100,MONTH($A9)))*$D9</f>
        <v>-1011.0192221349289</v>
      </c>
      <c r="CA9" s="1021">
        <f>(VLOOKUP(YEAR($A9),'NY East Load Projections'!$A$4:$EO$14,((MONTH($A9)-1)*12)+VLOOKUP(CA$4,$DE$6:$DF$17,2)+1))*(VLOOKUP($A9,SatSunCurve,6))*(INDEX(DailyScalarsTable,CA$5/100,MONTH($A9)))*$D9</f>
        <v>-861.46466995727042</v>
      </c>
      <c r="CB9" s="1021">
        <f>(VLOOKUP(YEAR($A9),'NY East Load Projections'!$A$4:$EO$14,((MONTH($A9)-1)*12)+VLOOKUP(CB$4,$DE$6:$DF$17,2)+1))*(VLOOKUP($A9,SatSunCurve,6))*(INDEX(DailyScalarsTable,CB$5/100,MONTH($A9)))*$D9</f>
        <v>-761.05208864315455</v>
      </c>
      <c r="CC9" s="1021">
        <f>(VLOOKUP(YEAR($A9),'NY East Load Projections'!$A$4:$EO$14,((MONTH($A9)-1)*12)+VLOOKUP(CC$4,$DE$6:$DF$17,2)+1))*(VLOOKUP($A9,CURVES!$D$9:$T$261,6))*(INDEX(DailyScalarsTable,CC$5/100,MONTH($A9)))*$D9</f>
        <v>-1006.4218954354244</v>
      </c>
      <c r="CE9" s="1021">
        <f>(VLOOKUP(YEAR($A9),'NY East Load Projections'!$A$4:$EO$14,((MONTH($A9)-1)*12)+VLOOKUP(CE$4,$DE$6:$DF$17,2)+1))*(VLOOKUP($A9,CURVES!$D$9:$T$261,6))*(INDEX(DailyScalarsTable,CE$5/100,MONTH($A9)))*$E9</f>
        <v>0</v>
      </c>
      <c r="CF9" s="1021">
        <f>(VLOOKUP(YEAR($A9),'NY East Load Projections'!$A$4:$EO$14,((MONTH($A9)-1)*12)+VLOOKUP(CF$4,$DE$6:$DF$17,2)+1))*(VLOOKUP($A9,CURVES!$D$9:$T$261,6))*(INDEX(DailyScalarsTable,CF$5/100,MONTH($A9)))*$E9</f>
        <v>0</v>
      </c>
      <c r="CG9" s="1021">
        <f>(VLOOKUP(YEAR($A9),'NY East Load Projections'!$A$4:$EO$14,((MONTH($A9)-1)*12)+VLOOKUP(CG$4,$DE$6:$DF$17,2)+1))*(VLOOKUP($A9,CURVES!$D$9:$T$261,6))*(INDEX(DailyScalarsTable,CG$5/100,MONTH($A9)))*$E9</f>
        <v>0</v>
      </c>
      <c r="CH9" s="1021">
        <f>(VLOOKUP(YEAR($A9),'NY East Load Projections'!$A$4:$EO$14,((MONTH($A9)-1)*12)+VLOOKUP(CH$4,$DE$6:$DF$17,2)+1))*(VLOOKUP($A9,CURVES!$D$9:$T$261,6))*(INDEX(DailyScalarsTable,CH$5/100,MONTH($A9)))*$E9</f>
        <v>0</v>
      </c>
      <c r="CI9" s="1021">
        <f>(VLOOKUP(YEAR($A9),'NY East Load Projections'!$A$4:$EO$14,((MONTH($A9)-1)*12)+VLOOKUP(CI$4,$DE$6:$DF$17,2)+1))*(VLOOKUP($A9,CURVES!$D$9:$T$261,6))*(INDEX(DailyScalarsTable,CI$5/100,MONTH($A9)))*$E9</f>
        <v>0</v>
      </c>
      <c r="CJ9" s="1021">
        <f>(VLOOKUP(YEAR($A9),'NY East Load Projections'!$A$4:$EO$14,((MONTH($A9)-1)*12)+VLOOKUP(CJ$4,$DE$6:$DF$17,2)+1))*(VLOOKUP($A9,CURVES!$D$9:$T$261,6))*(INDEX(DailyScalarsTable,CJ$5/100,MONTH($A9)))*$E9</f>
        <v>0</v>
      </c>
      <c r="CK9" s="1021">
        <f>(VLOOKUP(YEAR($A9),'NY East Load Projections'!$A$4:$EO$14,((MONTH($A9)-1)*12)+VLOOKUP(CK$4,$DE$6:$DF$17,2)+1))*(VLOOKUP($A9,CURVES!$D$9:$T$261,6))*(INDEX(DailyScalarsTable,CK$5/100,MONTH($A9)))*$E9</f>
        <v>0</v>
      </c>
      <c r="CL9" s="1021">
        <f>(VLOOKUP(YEAR($A9),'NY East Load Projections'!$A$4:$EO$14,((MONTH($A9)-1)*12)+VLOOKUP(CL$4,$DE$6:$DF$17,2)+1))*(VLOOKUP($A9,SatSunCurve,6))*(INDEX(DailyScalarsTable,CL$5/100,MONTH($A9)))*$E9</f>
        <v>0</v>
      </c>
      <c r="CM9" s="1021">
        <f>(VLOOKUP(YEAR($A9),'NY East Load Projections'!$A$4:$EO$14,((MONTH($A9)-1)*12)+VLOOKUP(CM$4,$DE$6:$DF$17,2)+1))*(VLOOKUP($A9,SatSunCurve,6))*(INDEX(DailyScalarsTable,CM$5/100,MONTH($A9)))*$E9</f>
        <v>0</v>
      </c>
      <c r="CN9" s="1021">
        <f>(VLOOKUP(YEAR($A9),'NY East Load Projections'!$A$4:$EO$14,((MONTH($A9)-1)*12)+VLOOKUP(CN$4,$DE$6:$DF$17,2)+1))*(VLOOKUP($A9,SatSunCurve,6))*(INDEX(DailyScalarsTable,CN$5/100,MONTH($A9)))*$E9</f>
        <v>0</v>
      </c>
      <c r="CO9" s="1021">
        <f>(VLOOKUP(YEAR($A9),'NY East Load Projections'!$A$4:$EO$14,((MONTH($A9)-1)*12)+VLOOKUP(CO$4,$DE$6:$DF$17,2)+1))*(VLOOKUP($A9,SatSunCurve,6))*(INDEX(DailyScalarsTable,CO$5/100,MONTH($A9)))*$E9</f>
        <v>0</v>
      </c>
      <c r="CP9" s="1021">
        <f>(VLOOKUP(YEAR($A9),'NY East Load Projections'!$A$4:$EO$14,((MONTH($A9)-1)*12)+VLOOKUP(CP$4,$DE$6:$DF$17,2)+1))*(VLOOKUP($A9,SatSunCurve,6))*(INDEX(DailyScalarsTable,CP$5/100,MONTH($A9)))*$E9</f>
        <v>0</v>
      </c>
      <c r="CQ9" s="1021">
        <f>(VLOOKUP(YEAR($A9),'NY East Load Projections'!$A$4:$EO$14,((MONTH($A9)-1)*12)+VLOOKUP(CQ$4,$DE$6:$DF$17,2)+1))*(VLOOKUP($A9,SatSunCurve,6))*(INDEX(DailyScalarsTable,CQ$5/100,MONTH($A9)))*$E9</f>
        <v>0</v>
      </c>
      <c r="CR9" s="1021">
        <f>(VLOOKUP(YEAR($A9),'NY East Load Projections'!$A$4:$EO$14,((MONTH($A9)-1)*12)+VLOOKUP(CR$4,$DE$6:$DF$17,2)+1))*(VLOOKUP($A9,SatSunCurve,6))*(INDEX(DailyScalarsTable,CR$5/100,MONTH($A9)))*$E9</f>
        <v>0</v>
      </c>
      <c r="CS9" s="1021">
        <f>(VLOOKUP(YEAR($A9),'NY East Load Projections'!$A$4:$EO$14,((MONTH($A9)-1)*12)+VLOOKUP(CS$4,$DE$6:$DF$17,2)+1))*(VLOOKUP($A9,SatSunCurve,6))*(INDEX(DailyScalarsTable,CS$5/100,MONTH($A9)))*$E9</f>
        <v>0</v>
      </c>
      <c r="CT9" s="1021">
        <f>(VLOOKUP(YEAR($A9),'NY East Load Projections'!$A$4:$EO$14,((MONTH($A9)-1)*12)+VLOOKUP(CT$4,$DE$6:$DF$17,2)+1))*(VLOOKUP($A9,SatSunCurve,6))*(INDEX(DailyScalarsTable,CT$5/100,MONTH($A9)))*$E9</f>
        <v>0</v>
      </c>
      <c r="CU9" s="1021">
        <f>(VLOOKUP(YEAR($A9),'NY East Load Projections'!$A$4:$EO$14,((MONTH($A9)-1)*12)+VLOOKUP(CU$4,$DE$6:$DF$17,2)+1))*(VLOOKUP($A9,SatSunCurve,6))*(INDEX(DailyScalarsTable,CU$5/100,MONTH($A9)))*$E9</f>
        <v>0</v>
      </c>
      <c r="CV9" s="1021">
        <f>(VLOOKUP(YEAR($A9),'NY East Load Projections'!$A$4:$EO$14,((MONTH($A9)-1)*12)+VLOOKUP(CV$4,$DE$6:$DF$17,2)+1))*(VLOOKUP($A9,SatSunCurve,6))*(INDEX(DailyScalarsTable,CV$5/100,MONTH($A9)))*$E9</f>
        <v>0</v>
      </c>
      <c r="CW9" s="1021">
        <f>(VLOOKUP(YEAR($A9),'NY East Load Projections'!$A$4:$EO$14,((MONTH($A9)-1)*12)+VLOOKUP(CW$4,$DE$6:$DF$17,2)+1))*(VLOOKUP($A9,SatSunCurve,6))*(INDEX(DailyScalarsTable,CW$5/100,MONTH($A9)))*$E9</f>
        <v>0</v>
      </c>
      <c r="CX9" s="1021">
        <f>(VLOOKUP(YEAR($A9),'NY East Load Projections'!$A$4:$EO$14,((MONTH($A9)-1)*12)+VLOOKUP(CX$4,$DE$6:$DF$17,2)+1))*(VLOOKUP($A9,SatSunCurve,6))*(INDEX(DailyScalarsTable,CX$5/100,MONTH($A9)))*$E9</f>
        <v>0</v>
      </c>
      <c r="CY9" s="1021">
        <f>(VLOOKUP(YEAR($A9),'NY East Load Projections'!$A$4:$EO$14,((MONTH($A9)-1)*12)+VLOOKUP(CY$4,$DE$6:$DF$17,2)+1))*(VLOOKUP($A9,SatSunCurve,6))*(INDEX(DailyScalarsTable,CY$5/100,MONTH($A9)))*$E9</f>
        <v>0</v>
      </c>
      <c r="CZ9" s="1021">
        <f>(VLOOKUP(YEAR($A9),'NY East Load Projections'!$A$4:$EO$14,((MONTH($A9)-1)*12)+VLOOKUP(CZ$4,$DE$6:$DF$17,2)+1))*(VLOOKUP($A9,SatSunCurve,6))*(INDEX(DailyScalarsTable,CZ$5/100,MONTH($A9)))*$E9</f>
        <v>0</v>
      </c>
      <c r="DA9" s="1021">
        <f>(VLOOKUP(YEAR($A9),'NY East Load Projections'!$A$4:$EO$14,((MONTH($A9)-1)*12)+VLOOKUP(DA$4,$DE$6:$DF$17,2)+1))*(VLOOKUP($A9,SatSunCurve,6))*(INDEX(DailyScalarsTable,DA$5/100,MONTH($A9)))*$E9</f>
        <v>0</v>
      </c>
      <c r="DB9" s="1021">
        <f>(VLOOKUP(YEAR($A9),'NY East Load Projections'!$A$4:$EO$14,((MONTH($A9)-1)*12)+VLOOKUP(DB$4,$DE$6:$DF$17,2)+1))*(VLOOKUP($A9,CURVES!$D$9:$T$261,6))*(INDEX(DailyScalarsTable,DB$5/100,MONTH($A9)))*$E9</f>
        <v>0</v>
      </c>
      <c r="DE9" s="221" t="s">
        <v>561</v>
      </c>
      <c r="DF9" s="619">
        <v>4</v>
      </c>
      <c r="DH9" s="1021">
        <f t="shared" si="0"/>
        <v>-143346.67151110576</v>
      </c>
      <c r="DI9">
        <f ca="1">CALC!J29</f>
        <v>0.92218873460327666</v>
      </c>
      <c r="DJ9" s="1029">
        <f t="shared" ca="1" si="1"/>
        <v>-132192.68561041818</v>
      </c>
    </row>
    <row r="10" spans="1:114" x14ac:dyDescent="0.25">
      <c r="A10" s="244">
        <v>37012</v>
      </c>
      <c r="B10" s="13">
        <v>22</v>
      </c>
      <c r="C10" s="210">
        <v>4</v>
      </c>
      <c r="D10" s="210">
        <v>4</v>
      </c>
      <c r="E10" s="210">
        <v>1</v>
      </c>
      <c r="F10" s="13">
        <v>31</v>
      </c>
      <c r="H10" s="1021">
        <f>(VLOOKUP(YEAR($A10),'NY East Load Projections'!$A$4:$EO$14,((MONTH($A10)-1)*12)+VLOOKUP(H$4,$DE$6:$DF$17,2)+1))*(VLOOKUP($A10,CURVES!$D$9:$K$261,6))*(INDEX(DailyScalarsTable,H$5/100,MONTH($A10)))*$B10</f>
        <v>-1375.2589438408149</v>
      </c>
      <c r="I10" s="1021">
        <f>(VLOOKUP(YEAR($A10),'NY East Load Projections'!$A$4:$EO$14,((MONTH($A10)-1)*12)+VLOOKUP(I$4,$DE$6:$DF$17,2)+1))*(VLOOKUP($A10,CURVES!$D$9:$K$261,6))*(INDEX(DailyScalarsTable,I$5/100,MONTH($A10)))*$B10</f>
        <v>-1238.7801092984603</v>
      </c>
      <c r="J10" s="1021">
        <f>(VLOOKUP(YEAR($A10),'NY East Load Projections'!$A$4:$EO$14,((MONTH($A10)-1)*12)+VLOOKUP(J$4,$DE$6:$DF$17,2)+1))*(VLOOKUP($A10,CURVES!$D$9:$K$261,6))*(INDEX(DailyScalarsTable,J$5/100,MONTH($A10)))*$B10</f>
        <v>-1172.345967616468</v>
      </c>
      <c r="K10" s="1021">
        <f>(VLOOKUP(YEAR($A10),'NY East Load Projections'!$A$4:$EO$14,((MONTH($A10)-1)*12)+VLOOKUP(K$4,$DE$6:$DF$17,2)+1))*(VLOOKUP($A10,CURVES!$D$9:$K$261,6))*(INDEX(DailyScalarsTable,K$5/100,MONTH($A10)))*$B10</f>
        <v>-1136.6015109506127</v>
      </c>
      <c r="L10" s="1021">
        <f>(VLOOKUP(YEAR($A10),'NY East Load Projections'!$A$4:$EO$14,((MONTH($A10)-1)*12)+VLOOKUP(L$4,$DE$6:$DF$17,2)+1))*(VLOOKUP($A10,CURVES!$D$9:$K$261,6))*(INDEX(DailyScalarsTable,L$5/100,MONTH($A10)))*$B10</f>
        <v>-2665.0430361116978</v>
      </c>
      <c r="M10" s="1021">
        <f>(VLOOKUP(YEAR($A10),'NY East Load Projections'!$A$4:$EO$14,((MONTH($A10)-1)*12)+VLOOKUP(M$4,$DE$6:$DF$17,2)+1))*(VLOOKUP($A10,CURVES!$D$9:$K$261,6))*(INDEX(DailyScalarsTable,M$5/100,MONTH($A10)))*$B10</f>
        <v>-3231.2082820462247</v>
      </c>
      <c r="N10" s="1021">
        <f>(VLOOKUP(YEAR($A10),'NY East Load Projections'!$A$4:$EO$14,((MONTH($A10)-1)*12)+VLOOKUP(N$4,$DE$6:$DF$17,2)+1))*(VLOOKUP($A10,CURVES!$D$9:$K$261,6))*(INDEX(DailyScalarsTable,N$5/100,MONTH($A10)))*$B10</f>
        <v>-3866.1891932324638</v>
      </c>
      <c r="O10" s="1021">
        <f>(VLOOKUP(YEAR($A10),'NY East Load Projections'!$A$4:$EO$14,((MONTH($A10)-1)*12)+VLOOKUP(O$4,$DE$6:$DF$17,2)+1))*(VLOOKUP($A10,CURVES!$D$9:$K$261,2))*(INDEX(DailyScalarsTable,O$5/100,MONTH($A10)))*$B10</f>
        <v>-4994.3244770055617</v>
      </c>
      <c r="P10" s="1021">
        <f>(VLOOKUP(YEAR($A10),'NY East Load Projections'!$A$4:$EO$14,((MONTH($A10)-1)*12)+VLOOKUP(P$4,$DE$6:$DF$17,2)+1))*(VLOOKUP($A10,CURVES!$D$9:$K$261,2))*(INDEX(DailyScalarsTable,P$5/100,MONTH($A10)))*$B10</f>
        <v>-6521.8471174118558</v>
      </c>
      <c r="Q10" s="1021">
        <f>(VLOOKUP(YEAR($A10),'NY East Load Projections'!$A$4:$EO$14,((MONTH($A10)-1)*12)+VLOOKUP(Q$4,$DE$6:$DF$17,2)+1))*(VLOOKUP($A10,CURVES!$D$9:$K$261,2))*(INDEX(DailyScalarsTable,Q$5/100,MONTH($A10)))*$B10</f>
        <v>-6637.5226352689515</v>
      </c>
      <c r="R10" s="1021">
        <f>(VLOOKUP(YEAR($A10),'NY East Load Projections'!$A$4:$EO$14,((MONTH($A10)-1)*12)+VLOOKUP(R$4,$DE$6:$DF$17,2)+1))*(VLOOKUP($A10,CURVES!$D$9:$K$261,2))*(INDEX(DailyScalarsTable,R$5/100,MONTH($A10)))*$B10</f>
        <v>-7040.8514320450113</v>
      </c>
      <c r="S10" s="1021">
        <f>(VLOOKUP(YEAR($A10),'NY East Load Projections'!$A$4:$EO$14,((MONTH($A10)-1)*12)+VLOOKUP(S$4,$DE$6:$DF$17,2)+1))*(VLOOKUP($A10,CURVES!$D$9:$K$261,2))*(INDEX(DailyScalarsTable,S$5/100,MONTH($A10)))*$B10</f>
        <v>-6987.6202202877621</v>
      </c>
      <c r="T10" s="1021">
        <f>(VLOOKUP(YEAR($A10),'NY East Load Projections'!$A$4:$EO$14,((MONTH($A10)-1)*12)+VLOOKUP(T$4,$DE$6:$DF$17,2)+1))*(VLOOKUP($A10,CURVES!$D$9:$K$261,2))*(INDEX(DailyScalarsTable,T$5/100,MONTH($A10)))*$B10</f>
        <v>-6797.5247687218098</v>
      </c>
      <c r="U10" s="1021">
        <f>(VLOOKUP(YEAR($A10),'NY East Load Projections'!$A$4:$EO$14,((MONTH($A10)-1)*12)+VLOOKUP(U$4,$DE$6:$DF$17,2)+1))*(VLOOKUP($A10,CURVES!$D$9:$K$261,2))*(INDEX(DailyScalarsTable,U$5/100,MONTH($A10)))*$B10</f>
        <v>-6830.2864708098678</v>
      </c>
      <c r="V10" s="1021">
        <f>(VLOOKUP(YEAR($A10),'NY East Load Projections'!$A$4:$EO$14,((MONTH($A10)-1)*12)+VLOOKUP(V$4,$DE$6:$DF$17,2)+1))*(VLOOKUP($A10,CURVES!$D$9:$K$261,2))*(INDEX(DailyScalarsTable,V$5/100,MONTH($A10)))*$B10</f>
        <v>-6625.2616254846134</v>
      </c>
      <c r="W10" s="1021">
        <f>(VLOOKUP(YEAR($A10),'NY East Load Projections'!$A$4:$EO$14,((MONTH($A10)-1)*12)+VLOOKUP(W$4,$DE$6:$DF$17,2)+1))*(VLOOKUP($A10,CURVES!$D$9:$K$261,2))*(INDEX(DailyScalarsTable,W$5/100,MONTH($A10)))*$B10</f>
        <v>-6367.3953251786243</v>
      </c>
      <c r="X10" s="1021">
        <f>(VLOOKUP(YEAR($A10),'NY East Load Projections'!$A$4:$EO$14,((MONTH($A10)-1)*12)+VLOOKUP(X$4,$DE$6:$DF$17,2)+1))*(VLOOKUP($A10,CURVES!$D$9:$K$261,2))*(INDEX(DailyScalarsTable,X$5/100,MONTH($A10)))*$B10</f>
        <v>-5510.3112071326841</v>
      </c>
      <c r="Y10" s="1021">
        <f>(VLOOKUP(YEAR($A10),'NY East Load Projections'!$A$4:$EO$14,((MONTH($A10)-1)*12)+VLOOKUP(Y$4,$DE$6:$DF$17,2)+1))*(VLOOKUP($A10,CURVES!$D$9:$K$261,2))*(INDEX(DailyScalarsTable,Y$5/100,MONTH($A10)))*$B10</f>
        <v>-5295.5651669660574</v>
      </c>
      <c r="Z10" s="1021">
        <f>(VLOOKUP(YEAR($A10),'NY East Load Projections'!$A$4:$EO$14,((MONTH($A10)-1)*12)+VLOOKUP(Z$4,$DE$6:$DF$17,2)+1))*(VLOOKUP($A10,CURVES!$D$9:$K$261,2))*(INDEX(DailyScalarsTable,Z$5/100,MONTH($A10)))*$B10</f>
        <v>-4588.1664464171763</v>
      </c>
      <c r="AA10" s="1021">
        <f>(VLOOKUP(YEAR($A10),'NY East Load Projections'!$A$4:$EO$14,((MONTH($A10)-1)*12)+VLOOKUP(AA$4,$DE$6:$DF$17,2)+1))*(VLOOKUP($A10,CURVES!$D$9:$K$261,2))*(INDEX(DailyScalarsTable,AA$5/100,MONTH($A10)))*$B10</f>
        <v>-4576.4366206937902</v>
      </c>
      <c r="AB10" s="1021">
        <f>(VLOOKUP(YEAR($A10),'NY East Load Projections'!$A$4:$EO$14,((MONTH($A10)-1)*12)+VLOOKUP(AB$4,$DE$6:$DF$17,2)+1))*(VLOOKUP($A10,CURVES!$D$9:$K$261,2))*(INDEX(DailyScalarsTable,AB$5/100,MONTH($A10)))*$B10</f>
        <v>-3536.4528722765535</v>
      </c>
      <c r="AC10" s="1021">
        <f>(VLOOKUP(YEAR($A10),'NY East Load Projections'!$A$4:$EO$14,((MONTH($A10)-1)*12)+VLOOKUP(AC$4,$DE$6:$DF$17,2)+1))*(VLOOKUP($A10,CURVES!$D$9:$K$261,2))*(INDEX(DailyScalarsTable,AC$5/100,MONTH($A10)))*$B10</f>
        <v>-3373.1173777995109</v>
      </c>
      <c r="AD10" s="1021">
        <f>(VLOOKUP(YEAR($A10),'NY East Load Projections'!$A$4:$EO$14,((MONTH($A10)-1)*12)+VLOOKUP(AD$4,$DE$6:$DF$17,2)+1))*(VLOOKUP($A10,CURVES!$D$9:$K$261,2))*(INDEX(DailyScalarsTable,AD$5/100,MONTH($A10)))*$B10</f>
        <v>-2705.9424264177146</v>
      </c>
      <c r="AE10" s="1021">
        <f>(VLOOKUP(YEAR($A10),'NY East Load Projections'!$A$4:$EO$14,((MONTH($A10)-1)*12)+VLOOKUP(AE$4,$DE$6:$DF$17,2)+1))*(VLOOKUP($A10,CURVES!$D$9:$K$261,6))*(INDEX(DailyScalarsTable,AE$5/100,MONTH($A10)))*$B10</f>
        <v>-2187.7284468936577</v>
      </c>
      <c r="AF10" s="1021"/>
      <c r="AG10" s="1021">
        <f>(VLOOKUP(YEAR($A10),'NY East Load Projections'!$A$4:$EO$14,((MONTH($A10)-1)*12)+VLOOKUP(AG$4,$DE$6:$DF$17,2)+1))*(VLOOKUP($A10,CURVES!$D$9:$T$261,6))*(INDEX(DailyScalarsTable,AG$5/100,MONTH($A10)))*$C10</f>
        <v>-674.72166165389035</v>
      </c>
      <c r="AH10" s="1021">
        <f>(VLOOKUP(YEAR($A10),'NY East Load Projections'!$A$4:$EO$14,((MONTH($A10)-1)*12)+VLOOKUP(AH$4,$DE$6:$DF$17,2)+1))*(VLOOKUP($A10,CURVES!$D$9:$T$261,6))*(INDEX(DailyScalarsTable,AH$5/100,MONTH($A10)))*$C10</f>
        <v>-607.76319798752888</v>
      </c>
      <c r="AI10" s="1021">
        <f>(VLOOKUP(YEAR($A10),'NY East Load Projections'!$A$4:$EO$14,((MONTH($A10)-1)*12)+VLOOKUP(AI$4,$DE$6:$DF$17,2)+1))*(VLOOKUP($A10,CURVES!$D$9:$T$261,6))*(INDEX(DailyScalarsTable,AI$5/100,MONTH($A10)))*$C10</f>
        <v>-575.16966011818909</v>
      </c>
      <c r="AJ10" s="1021">
        <f>(VLOOKUP(YEAR($A10),'NY East Load Projections'!$A$4:$EO$14,((MONTH($A10)-1)*12)+VLOOKUP(AJ$4,$DE$6:$DF$17,2)+1))*(VLOOKUP($A10,CURVES!$D$9:$T$261,6))*(INDEX(DailyScalarsTable,AJ$5/100,MONTH($A10)))*$C10</f>
        <v>-557.6329196341419</v>
      </c>
      <c r="AK10" s="1021">
        <f>(VLOOKUP(YEAR($A10),'NY East Load Projections'!$A$4:$EO$14,((MONTH($A10)-1)*12)+VLOOKUP(AK$4,$DE$6:$DF$17,2)+1))*(VLOOKUP($A10,CURVES!$D$9:$T$261,6))*(INDEX(DailyScalarsTable,AK$5/100,MONTH($A10)))*$C10</f>
        <v>-610.23494842356149</v>
      </c>
      <c r="AL10" s="1021">
        <f>(VLOOKUP(YEAR($A10),'NY East Load Projections'!$A$4:$EO$14,((MONTH($A10)-1)*12)+VLOOKUP(AL$4,$DE$6:$DF$17,2)+1))*(VLOOKUP($A10,CURVES!$D$9:$T$261,6))*(INDEX(DailyScalarsTable,AL$5/100,MONTH($A10)))*$C10</f>
        <v>-739.87406305344939</v>
      </c>
      <c r="AM10" s="1021">
        <f>(VLOOKUP(YEAR($A10),'NY East Load Projections'!$A$4:$EO$14,((MONTH($A10)-1)*12)+VLOOKUP(AM$4,$DE$6:$DF$17,2)+1))*(VLOOKUP($A10,CURVES!$D$9:$T$261,6))*(INDEX(DailyScalarsTable,AM$5/100,MONTH($A10)))*$C10</f>
        <v>-885.27041813558935</v>
      </c>
      <c r="AN10" s="1021">
        <f>(VLOOKUP(YEAR($A10),'NY East Load Projections'!$A$4:$EO$14,((MONTH($A10)-1)*12)+VLOOKUP(AN$4,$DE$6:$DF$17,2)+1))*(VLOOKUP($A10,SatSunCurve,2))*(INDEX(DailyScalarsTable,AN$5/100,MONTH($A10)))*$C10</f>
        <v>-717.1179324141093</v>
      </c>
      <c r="AO10" s="1021">
        <f>(VLOOKUP(YEAR($A10),'NY East Load Projections'!$A$4:$EO$14,((MONTH($A10)-1)*12)+VLOOKUP(AO$4,$DE$6:$DF$17,2)+1))*(VLOOKUP($A10,SatSunCurve,2))*(INDEX(DailyScalarsTable,AO$5/100,MONTH($A10)))*$C10</f>
        <v>-1265.1104351600109</v>
      </c>
      <c r="AP10" s="1021">
        <f>(VLOOKUP(YEAR($A10),'NY East Load Projections'!$A$4:$EO$14,((MONTH($A10)-1)*12)+VLOOKUP(AP$4,$DE$6:$DF$17,2)+1))*(VLOOKUP($A10,SatSunCurve,2))*(INDEX(DailyScalarsTable,AP$5/100,MONTH($A10)))*$C10</f>
        <v>-1287.5492170110679</v>
      </c>
      <c r="AQ10" s="1021">
        <f>(VLOOKUP(YEAR($A10),'NY East Load Projections'!$A$4:$EO$14,((MONTH($A10)-1)*12)+VLOOKUP(AQ$4,$DE$6:$DF$17,2)+1))*(VLOOKUP($A10,SatSunCurve,2))*(INDEX(DailyScalarsTable,AQ$5/100,MONTH($A10)))*$C10</f>
        <v>-1365.7870935536898</v>
      </c>
      <c r="AR10" s="1021">
        <f>(VLOOKUP(YEAR($A10),'NY East Load Projections'!$A$4:$EO$14,((MONTH($A10)-1)*12)+VLOOKUP(AR$4,$DE$6:$DF$17,2)+1))*(VLOOKUP($A10,SatSunCurve,2))*(INDEX(DailyScalarsTable,AR$5/100,MONTH($A10)))*$C10</f>
        <v>-1355.4612824363892</v>
      </c>
      <c r="AS10" s="1021">
        <f>(VLOOKUP(YEAR($A10),'NY East Load Projections'!$A$4:$EO$14,((MONTH($A10)-1)*12)+VLOOKUP(AS$4,$DE$6:$DF$17,2)+1))*(VLOOKUP($A10,SatSunCurve,2))*(INDEX(DailyScalarsTable,AS$5/100,MONTH($A10)))*$C10</f>
        <v>-1063.822000994192</v>
      </c>
      <c r="AT10" s="1021">
        <f>(VLOOKUP(YEAR($A10),'NY East Load Projections'!$A$4:$EO$14,((MONTH($A10)-1)*12)+VLOOKUP(AT$4,$DE$6:$DF$17,2)+1))*(VLOOKUP($A10,SatSunCurve,2))*(INDEX(DailyScalarsTable,AT$5/100,MONTH($A10)))*$C10</f>
        <v>-1068.9492525537103</v>
      </c>
      <c r="AU10" s="1021">
        <f>(VLOOKUP(YEAR($A10),'NY East Load Projections'!$A$4:$EO$14,((MONTH($A10)-1)*12)+VLOOKUP(AU$4,$DE$6:$DF$17,2)+1))*(VLOOKUP($A10,SatSunCurve,2))*(INDEX(DailyScalarsTable,AU$5/100,MONTH($A10)))*$C10</f>
        <v>-1036.8625815038231</v>
      </c>
      <c r="AV10" s="1021">
        <f>(VLOOKUP(YEAR($A10),'NY East Load Projections'!$A$4:$EO$14,((MONTH($A10)-1)*12)+VLOOKUP(AV$4,$DE$6:$DF$17,2)+1))*(VLOOKUP($A10,SatSunCurve,2))*(INDEX(DailyScalarsTable,AV$5/100,MONTH($A10)))*$C10</f>
        <v>-996.50614987406823</v>
      </c>
      <c r="AW10" s="1021">
        <f>(VLOOKUP(YEAR($A10),'NY East Load Projections'!$A$4:$EO$14,((MONTH($A10)-1)*12)+VLOOKUP(AW$4,$DE$6:$DF$17,2)+1))*(VLOOKUP($A10,SatSunCurve,2))*(INDEX(DailyScalarsTable,AW$5/100,MONTH($A10)))*$C10</f>
        <v>-677.03989928035526</v>
      </c>
      <c r="AX10" s="1021">
        <f>(VLOOKUP(YEAR($A10),'NY East Load Projections'!$A$4:$EO$14,((MONTH($A10)-1)*12)+VLOOKUP(AX$4,$DE$6:$DF$17,2)+1))*(VLOOKUP($A10,SatSunCurve,2))*(INDEX(DailyScalarsTable,AX$5/100,MONTH($A10)))*$C10</f>
        <v>-650.65452249490818</v>
      </c>
      <c r="AY10" s="1021">
        <f>(VLOOKUP(YEAR($A10),'NY East Load Projections'!$A$4:$EO$14,((MONTH($A10)-1)*12)+VLOOKUP(AY$4,$DE$6:$DF$17,2)+1))*(VLOOKUP($A10,SatSunCurve,2))*(INDEX(DailyScalarsTable,AY$5/100,MONTH($A10)))*$C10</f>
        <v>-563.73798720167122</v>
      </c>
      <c r="AZ10" s="1021">
        <f>(VLOOKUP(YEAR($A10),'NY East Load Projections'!$A$4:$EO$14,((MONTH($A10)-1)*12)+VLOOKUP(AZ$4,$DE$6:$DF$17,2)+1))*(VLOOKUP($A10,SatSunCurve,2))*(INDEX(DailyScalarsTable,AZ$5/100,MONTH($A10)))*$C10</f>
        <v>-562.29676914196216</v>
      </c>
      <c r="BA10" s="1021">
        <f>(VLOOKUP(YEAR($A10),'NY East Load Projections'!$A$4:$EO$14,((MONTH($A10)-1)*12)+VLOOKUP(BA$4,$DE$6:$DF$17,2)+1))*(VLOOKUP($A10,SatSunCurve,2))*(INDEX(DailyScalarsTable,BA$5/100,MONTH($A10)))*$C10</f>
        <v>-824.55584316620343</v>
      </c>
      <c r="BB10" s="1021">
        <f>(VLOOKUP(YEAR($A10),'NY East Load Projections'!$A$4:$EO$14,((MONTH($A10)-1)*12)+VLOOKUP(BB$4,$DE$6:$DF$17,2)+1))*(VLOOKUP($A10,SatSunCurve,2))*(INDEX(DailyScalarsTable,BB$5/100,MONTH($A10)))*$C10</f>
        <v>-786.47270131995322</v>
      </c>
      <c r="BC10" s="1021">
        <f>(VLOOKUP(YEAR($A10),'NY East Load Projections'!$A$4:$EO$14,((MONTH($A10)-1)*12)+VLOOKUP(BC$4,$DE$6:$DF$17,2)+1))*(VLOOKUP($A10,SatSunCurve,2))*(INDEX(DailyScalarsTable,BC$5/100,MONTH($A10)))*$C10</f>
        <v>-630.91485156360909</v>
      </c>
      <c r="BD10" s="1021">
        <f>(VLOOKUP(YEAR($A10),'NY East Load Projections'!$A$4:$EO$14,((MONTH($A10)-1)*12)+VLOOKUP(BD$4,$DE$6:$DF$17,2)+1))*(VLOOKUP($A10,CURVES!$D$9:$T$261,6))*(INDEX(DailyScalarsTable,BD$5/100,MONTH($A10)))*$C10</f>
        <v>-813.43833257660583</v>
      </c>
      <c r="BE10" s="1021"/>
      <c r="BF10" s="1021">
        <f>(VLOOKUP(YEAR($A10),'NY East Load Projections'!$A$4:$EO$14,((MONTH($A10)-1)*12)+VLOOKUP(BF$4,$DE$6:$DF$17,2)+1))*(VLOOKUP($A10,CURVES!$D$9:$T$261,6))*(INDEX(DailyScalarsTable,BF$5/100,MONTH($A10)))*$D10</f>
        <v>-674.72166165389035</v>
      </c>
      <c r="BG10" s="1021">
        <f>(VLOOKUP(YEAR($A10),'NY East Load Projections'!$A$4:$EO$14,((MONTH($A10)-1)*12)+VLOOKUP(BG$4,$DE$6:$DF$17,2)+1))*(VLOOKUP($A10,CURVES!$D$9:$T$261,6))*(INDEX(DailyScalarsTable,BG$5/100,MONTH($A10)))*$D10</f>
        <v>-607.76319798752888</v>
      </c>
      <c r="BH10" s="1021">
        <f>(VLOOKUP(YEAR($A10),'NY East Load Projections'!$A$4:$EO$14,((MONTH($A10)-1)*12)+VLOOKUP(BH$4,$DE$6:$DF$17,2)+1))*(VLOOKUP($A10,CURVES!$D$9:$T$261,6))*(INDEX(DailyScalarsTable,BH$5/100,MONTH($A10)))*$D10</f>
        <v>-575.16966011818909</v>
      </c>
      <c r="BI10" s="1021">
        <f>(VLOOKUP(YEAR($A10),'NY East Load Projections'!$A$4:$EO$14,((MONTH($A10)-1)*12)+VLOOKUP(BI$4,$DE$6:$DF$17,2)+1))*(VLOOKUP($A10,CURVES!$D$9:$T$261,6))*(INDEX(DailyScalarsTable,BI$5/100,MONTH($A10)))*$D10</f>
        <v>-557.6329196341419</v>
      </c>
      <c r="BJ10" s="1021">
        <f>(VLOOKUP(YEAR($A10),'NY East Load Projections'!$A$4:$EO$14,((MONTH($A10)-1)*12)+VLOOKUP(BJ$4,$DE$6:$DF$17,2)+1))*(VLOOKUP($A10,CURVES!$D$9:$T$261,6))*(INDEX(DailyScalarsTable,BJ$5/100,MONTH($A10)))*$D10</f>
        <v>-610.23494842356149</v>
      </c>
      <c r="BK10" s="1021">
        <f>(VLOOKUP(YEAR($A10),'NY East Load Projections'!$A$4:$EO$14,((MONTH($A10)-1)*12)+VLOOKUP(BK$4,$DE$6:$DF$17,2)+1))*(VLOOKUP($A10,CURVES!$D$9:$T$261,6))*(INDEX(DailyScalarsTable,BK$5/100,MONTH($A10)))*$D10</f>
        <v>-739.87406305344939</v>
      </c>
      <c r="BL10" s="1021">
        <f>(VLOOKUP(YEAR($A10),'NY East Load Projections'!$A$4:$EO$14,((MONTH($A10)-1)*12)+VLOOKUP(BL$4,$DE$6:$DF$17,2)+1))*(VLOOKUP($A10,CURVES!$D$9:$T$261,6))*(INDEX(DailyScalarsTable,BL$5/100,MONTH($A10)))*$D10</f>
        <v>-885.27041813558935</v>
      </c>
      <c r="BM10" s="1021">
        <f>(VLOOKUP(YEAR($A10),'NY East Load Projections'!$A$4:$EO$14,((MONTH($A10)-1)*12)+VLOOKUP(BM$4,$DE$6:$DF$17,2)+1))*(VLOOKUP($A10,SatSunCurve,6))*(INDEX(DailyScalarsTable,BM$5/100,MONTH($A10)))*$D10</f>
        <v>-623.20457196749624</v>
      </c>
      <c r="BN10" s="1021">
        <f>(VLOOKUP(YEAR($A10),'NY East Load Projections'!$A$4:$EO$14,((MONTH($A10)-1)*12)+VLOOKUP(BN$4,$DE$6:$DF$17,2)+1))*(VLOOKUP($A10,SatSunCurve,6))*(INDEX(DailyScalarsTable,BN$5/100,MONTH($A10)))*$D10</f>
        <v>-1099.4322852607488</v>
      </c>
      <c r="BO10" s="1021">
        <f>(VLOOKUP(YEAR($A10),'NY East Load Projections'!$A$4:$EO$14,((MONTH($A10)-1)*12)+VLOOKUP(BO$4,$DE$6:$DF$17,2)+1))*(VLOOKUP($A10,SatSunCurve,6))*(INDEX(DailyScalarsTable,BO$5/100,MONTH($A10)))*$D10</f>
        <v>-1118.9324968812898</v>
      </c>
      <c r="BP10" s="1021">
        <f>(VLOOKUP(YEAR($A10),'NY East Load Projections'!$A$4:$EO$14,((MONTH($A10)-1)*12)+VLOOKUP(BP$4,$DE$6:$DF$17,2)+1))*(VLOOKUP($A10,SatSunCurve,6))*(INDEX(DailyScalarsTable,BP$5/100,MONTH($A10)))*$D10</f>
        <v>-1186.9243851865381</v>
      </c>
      <c r="BQ10" s="1021">
        <f>(VLOOKUP(YEAR($A10),'NY East Load Projections'!$A$4:$EO$14,((MONTH($A10)-1)*12)+VLOOKUP(BQ$4,$DE$6:$DF$17,2)+1))*(VLOOKUP($A10,SatSunCurve,6))*(INDEX(DailyScalarsTable,BQ$5/100,MONTH($A10)))*$D10</f>
        <v>-1177.9508364762003</v>
      </c>
      <c r="BR10" s="1021">
        <f>(VLOOKUP(YEAR($A10),'NY East Load Projections'!$A$4:$EO$14,((MONTH($A10)-1)*12)+VLOOKUP(BR$4,$DE$6:$DF$17,2)+1))*(VLOOKUP($A10,SatSunCurve,6))*(INDEX(DailyScalarsTable,BR$5/100,MONTH($A10)))*$D10</f>
        <v>-924.50447103914394</v>
      </c>
      <c r="BS10" s="1021">
        <f>(VLOOKUP(YEAR($A10),'NY East Load Projections'!$A$4:$EO$14,((MONTH($A10)-1)*12)+VLOOKUP(BS$4,$DE$6:$DF$17,2)+1))*(VLOOKUP($A10,SatSunCurve,6))*(INDEX(DailyScalarsTable,BS$5/100,MONTH($A10)))*$D10</f>
        <v>-928.96026062282158</v>
      </c>
      <c r="BT10" s="1021">
        <f>(VLOOKUP(YEAR($A10),'NY East Load Projections'!$A$4:$EO$14,((MONTH($A10)-1)*12)+VLOOKUP(BT$4,$DE$6:$DF$17,2)+1))*(VLOOKUP($A10,SatSunCurve,6))*(INDEX(DailyScalarsTable,BT$5/100,MONTH($A10)))*$D10</f>
        <v>-901.07564193787221</v>
      </c>
      <c r="BU10" s="1021">
        <f>(VLOOKUP(YEAR($A10),'NY East Load Projections'!$A$4:$EO$14,((MONTH($A10)-1)*12)+VLOOKUP(BU$4,$DE$6:$DF$17,2)+1))*(VLOOKUP($A10,SatSunCurve,6))*(INDEX(DailyScalarsTable,BU$5/100,MONTH($A10)))*$D10</f>
        <v>-866.00426585989464</v>
      </c>
      <c r="BV10" s="1021">
        <f>(VLOOKUP(YEAR($A10),'NY East Load Projections'!$A$4:$EO$14,((MONTH($A10)-1)*12)+VLOOKUP(BV$4,$DE$6:$DF$17,2)+1))*(VLOOKUP($A10,SatSunCurve,6))*(INDEX(DailyScalarsTable,BV$5/100,MONTH($A10)))*$D10</f>
        <v>-588.3751354753166</v>
      </c>
      <c r="BW10" s="1021">
        <f>(VLOOKUP(YEAR($A10),'NY East Load Projections'!$A$4:$EO$14,((MONTH($A10)-1)*12)+VLOOKUP(BW$4,$DE$6:$DF$17,2)+1))*(VLOOKUP($A10,SatSunCurve,6))*(INDEX(DailyScalarsTable,BW$5/100,MONTH($A10)))*$D10</f>
        <v>-565.44517276971226</v>
      </c>
      <c r="BX10" s="1021">
        <f>(VLOOKUP(YEAR($A10),'NY East Load Projections'!$A$4:$EO$14,((MONTH($A10)-1)*12)+VLOOKUP(BX$4,$DE$6:$DF$17,2)+1))*(VLOOKUP($A10,SatSunCurve,6))*(INDEX(DailyScalarsTable,BX$5/100,MONTH($A10)))*$D10</f>
        <v>-489.91117797478051</v>
      </c>
      <c r="BY10" s="1021">
        <f>(VLOOKUP(YEAR($A10),'NY East Load Projections'!$A$4:$EO$14,((MONTH($A10)-1)*12)+VLOOKUP(BY$4,$DE$6:$DF$17,2)+1))*(VLOOKUP($A10,SatSunCurve,6))*(INDEX(DailyScalarsTable,BY$5/100,MONTH($A10)))*$D10</f>
        <v>-488.65870102027287</v>
      </c>
      <c r="BZ10" s="1021">
        <f>(VLOOKUP(YEAR($A10),'NY East Load Projections'!$A$4:$EO$14,((MONTH($A10)-1)*12)+VLOOKUP(BZ$4,$DE$6:$DF$17,2)+1))*(VLOOKUP($A10,SatSunCurve,6))*(INDEX(DailyScalarsTable,BZ$5/100,MONTH($A10)))*$D10</f>
        <v>-716.57247445173687</v>
      </c>
      <c r="CA10" s="1021">
        <f>(VLOOKUP(YEAR($A10),'NY East Load Projections'!$A$4:$EO$14,((MONTH($A10)-1)*12)+VLOOKUP(CA$4,$DE$6:$DF$17,2)+1))*(VLOOKUP($A10,SatSunCurve,6))*(INDEX(DailyScalarsTable,CA$5/100,MONTH($A10)))*$D10</f>
        <v>-683.47667940785493</v>
      </c>
      <c r="CB10" s="1021">
        <f>(VLOOKUP(YEAR($A10),'NY East Load Projections'!$A$4:$EO$14,((MONTH($A10)-1)*12)+VLOOKUP(CB$4,$DE$6:$DF$17,2)+1))*(VLOOKUP($A10,SatSunCurve,6))*(INDEX(DailyScalarsTable,CB$5/100,MONTH($A10)))*$D10</f>
        <v>-548.29059802339896</v>
      </c>
      <c r="CC10" s="1021">
        <f>(VLOOKUP(YEAR($A10),'NY East Load Projections'!$A$4:$EO$14,((MONTH($A10)-1)*12)+VLOOKUP(CC$4,$DE$6:$DF$17,2)+1))*(VLOOKUP($A10,CURVES!$D$9:$T$261,6))*(INDEX(DailyScalarsTable,CC$5/100,MONTH($A10)))*$D10</f>
        <v>-813.43833257660583</v>
      </c>
      <c r="CE10" s="1021">
        <f>(VLOOKUP(YEAR($A10),'NY East Load Projections'!$A$4:$EO$14,((MONTH($A10)-1)*12)+VLOOKUP(CE$4,$DE$6:$DF$17,2)+1))*(VLOOKUP($A10,CURVES!$D$9:$T$261,6))*(INDEX(DailyScalarsTable,CE$5/100,MONTH($A10)))*$E10</f>
        <v>-168.68041541347259</v>
      </c>
      <c r="CF10" s="1021">
        <f>(VLOOKUP(YEAR($A10),'NY East Load Projections'!$A$4:$EO$14,((MONTH($A10)-1)*12)+VLOOKUP(CF$4,$DE$6:$DF$17,2)+1))*(VLOOKUP($A10,CURVES!$D$9:$T$261,6))*(INDEX(DailyScalarsTable,CF$5/100,MONTH($A10)))*$E10</f>
        <v>-151.94079949688222</v>
      </c>
      <c r="CG10" s="1021">
        <f>(VLOOKUP(YEAR($A10),'NY East Load Projections'!$A$4:$EO$14,((MONTH($A10)-1)*12)+VLOOKUP(CG$4,$DE$6:$DF$17,2)+1))*(VLOOKUP($A10,CURVES!$D$9:$T$261,6))*(INDEX(DailyScalarsTable,CG$5/100,MONTH($A10)))*$E10</f>
        <v>-143.79241502954727</v>
      </c>
      <c r="CH10" s="1021">
        <f>(VLOOKUP(YEAR($A10),'NY East Load Projections'!$A$4:$EO$14,((MONTH($A10)-1)*12)+VLOOKUP(CH$4,$DE$6:$DF$17,2)+1))*(VLOOKUP($A10,CURVES!$D$9:$T$261,6))*(INDEX(DailyScalarsTable,CH$5/100,MONTH($A10)))*$E10</f>
        <v>-139.40822990853547</v>
      </c>
      <c r="CI10" s="1021">
        <f>(VLOOKUP(YEAR($A10),'NY East Load Projections'!$A$4:$EO$14,((MONTH($A10)-1)*12)+VLOOKUP(CI$4,$DE$6:$DF$17,2)+1))*(VLOOKUP($A10,CURVES!$D$9:$T$261,6))*(INDEX(DailyScalarsTable,CI$5/100,MONTH($A10)))*$E10</f>
        <v>-152.55873710589037</v>
      </c>
      <c r="CJ10" s="1021">
        <f>(VLOOKUP(YEAR($A10),'NY East Load Projections'!$A$4:$EO$14,((MONTH($A10)-1)*12)+VLOOKUP(CJ$4,$DE$6:$DF$17,2)+1))*(VLOOKUP($A10,CURVES!$D$9:$T$261,6))*(INDEX(DailyScalarsTable,CJ$5/100,MONTH($A10)))*$E10</f>
        <v>-184.96851576336235</v>
      </c>
      <c r="CK10" s="1021">
        <f>(VLOOKUP(YEAR($A10),'NY East Load Projections'!$A$4:$EO$14,((MONTH($A10)-1)*12)+VLOOKUP(CK$4,$DE$6:$DF$17,2)+1))*(VLOOKUP($A10,CURVES!$D$9:$T$261,6))*(INDEX(DailyScalarsTable,CK$5/100,MONTH($A10)))*$E10</f>
        <v>-221.31760453389734</v>
      </c>
      <c r="CL10" s="1021">
        <f>(VLOOKUP(YEAR($A10),'NY East Load Projections'!$A$4:$EO$14,((MONTH($A10)-1)*12)+VLOOKUP(CL$4,$DE$6:$DF$17,2)+1))*(VLOOKUP($A10,SatSunCurve,6))*(INDEX(DailyScalarsTable,CL$5/100,MONTH($A10)))*$E10</f>
        <v>-155.80114299187406</v>
      </c>
      <c r="CM10" s="1021">
        <f>(VLOOKUP(YEAR($A10),'NY East Load Projections'!$A$4:$EO$14,((MONTH($A10)-1)*12)+VLOOKUP(CM$4,$DE$6:$DF$17,2)+1))*(VLOOKUP($A10,SatSunCurve,6))*(INDEX(DailyScalarsTable,CM$5/100,MONTH($A10)))*$E10</f>
        <v>-274.8580713151872</v>
      </c>
      <c r="CN10" s="1021">
        <f>(VLOOKUP(YEAR($A10),'NY East Load Projections'!$A$4:$EO$14,((MONTH($A10)-1)*12)+VLOOKUP(CN$4,$DE$6:$DF$17,2)+1))*(VLOOKUP($A10,SatSunCurve,6))*(INDEX(DailyScalarsTable,CN$5/100,MONTH($A10)))*$E10</f>
        <v>-279.73312422032245</v>
      </c>
      <c r="CO10" s="1021">
        <f>(VLOOKUP(YEAR($A10),'NY East Load Projections'!$A$4:$EO$14,((MONTH($A10)-1)*12)+VLOOKUP(CO$4,$DE$6:$DF$17,2)+1))*(VLOOKUP($A10,SatSunCurve,6))*(INDEX(DailyScalarsTable,CO$5/100,MONTH($A10)))*$E10</f>
        <v>-296.73109629663452</v>
      </c>
      <c r="CP10" s="1021">
        <f>(VLOOKUP(YEAR($A10),'NY East Load Projections'!$A$4:$EO$14,((MONTH($A10)-1)*12)+VLOOKUP(CP$4,$DE$6:$DF$17,2)+1))*(VLOOKUP($A10,SatSunCurve,6))*(INDEX(DailyScalarsTable,CP$5/100,MONTH($A10)))*$E10</f>
        <v>-294.48770911905007</v>
      </c>
      <c r="CQ10" s="1021">
        <f>(VLOOKUP(YEAR($A10),'NY East Load Projections'!$A$4:$EO$14,((MONTH($A10)-1)*12)+VLOOKUP(CQ$4,$DE$6:$DF$17,2)+1))*(VLOOKUP($A10,SatSunCurve,6))*(INDEX(DailyScalarsTable,CQ$5/100,MONTH($A10)))*$E10</f>
        <v>-231.12611775978598</v>
      </c>
      <c r="CR10" s="1021">
        <f>(VLOOKUP(YEAR($A10),'NY East Load Projections'!$A$4:$EO$14,((MONTH($A10)-1)*12)+VLOOKUP(CR$4,$DE$6:$DF$17,2)+1))*(VLOOKUP($A10,SatSunCurve,6))*(INDEX(DailyScalarsTable,CR$5/100,MONTH($A10)))*$E10</f>
        <v>-232.24006515570539</v>
      </c>
      <c r="CS10" s="1021">
        <f>(VLOOKUP(YEAR($A10),'NY East Load Projections'!$A$4:$EO$14,((MONTH($A10)-1)*12)+VLOOKUP(CS$4,$DE$6:$DF$17,2)+1))*(VLOOKUP($A10,SatSunCurve,6))*(INDEX(DailyScalarsTable,CS$5/100,MONTH($A10)))*$E10</f>
        <v>-225.26891048446805</v>
      </c>
      <c r="CT10" s="1021">
        <f>(VLOOKUP(YEAR($A10),'NY East Load Projections'!$A$4:$EO$14,((MONTH($A10)-1)*12)+VLOOKUP(CT$4,$DE$6:$DF$17,2)+1))*(VLOOKUP($A10,SatSunCurve,6))*(INDEX(DailyScalarsTable,CT$5/100,MONTH($A10)))*$E10</f>
        <v>-216.50106646497366</v>
      </c>
      <c r="CU10" s="1021">
        <f>(VLOOKUP(YEAR($A10),'NY East Load Projections'!$A$4:$EO$14,((MONTH($A10)-1)*12)+VLOOKUP(CU$4,$DE$6:$DF$17,2)+1))*(VLOOKUP($A10,SatSunCurve,6))*(INDEX(DailyScalarsTable,CU$5/100,MONTH($A10)))*$E10</f>
        <v>-147.09378386882915</v>
      </c>
      <c r="CV10" s="1021">
        <f>(VLOOKUP(YEAR($A10),'NY East Load Projections'!$A$4:$EO$14,((MONTH($A10)-1)*12)+VLOOKUP(CV$4,$DE$6:$DF$17,2)+1))*(VLOOKUP($A10,SatSunCurve,6))*(INDEX(DailyScalarsTable,CV$5/100,MONTH($A10)))*$E10</f>
        <v>-141.36129319242806</v>
      </c>
      <c r="CW10" s="1021">
        <f>(VLOOKUP(YEAR($A10),'NY East Load Projections'!$A$4:$EO$14,((MONTH($A10)-1)*12)+VLOOKUP(CW$4,$DE$6:$DF$17,2)+1))*(VLOOKUP($A10,SatSunCurve,6))*(INDEX(DailyScalarsTable,CW$5/100,MONTH($A10)))*$E10</f>
        <v>-122.47779449369513</v>
      </c>
      <c r="CX10" s="1021">
        <f>(VLOOKUP(YEAR($A10),'NY East Load Projections'!$A$4:$EO$14,((MONTH($A10)-1)*12)+VLOOKUP(CX$4,$DE$6:$DF$17,2)+1))*(VLOOKUP($A10,SatSunCurve,6))*(INDEX(DailyScalarsTable,CX$5/100,MONTH($A10)))*$E10</f>
        <v>-122.16467525506822</v>
      </c>
      <c r="CY10" s="1021">
        <f>(VLOOKUP(YEAR($A10),'NY East Load Projections'!$A$4:$EO$14,((MONTH($A10)-1)*12)+VLOOKUP(CY$4,$DE$6:$DF$17,2)+1))*(VLOOKUP($A10,SatSunCurve,6))*(INDEX(DailyScalarsTable,CY$5/100,MONTH($A10)))*$E10</f>
        <v>-179.14311861293422</v>
      </c>
      <c r="CZ10" s="1021">
        <f>(VLOOKUP(YEAR($A10),'NY East Load Projections'!$A$4:$EO$14,((MONTH($A10)-1)*12)+VLOOKUP(CZ$4,$DE$6:$DF$17,2)+1))*(VLOOKUP($A10,SatSunCurve,6))*(INDEX(DailyScalarsTable,CZ$5/100,MONTH($A10)))*$E10</f>
        <v>-170.86916985196373</v>
      </c>
      <c r="DA10" s="1021">
        <f>(VLOOKUP(YEAR($A10),'NY East Load Projections'!$A$4:$EO$14,((MONTH($A10)-1)*12)+VLOOKUP(DA$4,$DE$6:$DF$17,2)+1))*(VLOOKUP($A10,SatSunCurve,6))*(INDEX(DailyScalarsTable,DA$5/100,MONTH($A10)))*$E10</f>
        <v>-137.07264950584974</v>
      </c>
      <c r="DB10" s="1021">
        <f>(VLOOKUP(YEAR($A10),'NY East Load Projections'!$A$4:$EO$14,((MONTH($A10)-1)*12)+VLOOKUP(DB$4,$DE$6:$DF$17,2)+1))*(VLOOKUP($A10,CURVES!$D$9:$T$261,6))*(INDEX(DailyScalarsTable,DB$5/100,MONTH($A10)))*$E10</f>
        <v>-203.35958314415146</v>
      </c>
      <c r="DE10" s="221" t="s">
        <v>562</v>
      </c>
      <c r="DF10" s="619">
        <v>5</v>
      </c>
      <c r="DH10" s="1021">
        <f t="shared" si="0"/>
        <v>-148543.50584608314</v>
      </c>
      <c r="DI10">
        <f ca="1">CALC!J30</f>
        <v>0.91660266916426358</v>
      </c>
      <c r="DJ10" s="1029">
        <f t="shared" ca="1" si="1"/>
        <v>-136155.3739455372</v>
      </c>
    </row>
    <row r="11" spans="1:114" x14ac:dyDescent="0.25">
      <c r="A11" s="244">
        <v>37043</v>
      </c>
      <c r="B11" s="13">
        <v>21</v>
      </c>
      <c r="C11" s="210">
        <v>5</v>
      </c>
      <c r="D11" s="210">
        <v>4</v>
      </c>
      <c r="E11" s="210">
        <v>0</v>
      </c>
      <c r="F11" s="13">
        <v>30</v>
      </c>
      <c r="H11" s="1021">
        <f>(VLOOKUP(YEAR($A11),'NY East Load Projections'!$A$4:$EO$14,((MONTH($A11)-1)*12)+VLOOKUP(H$4,$DE$6:$DF$17,2)+1))*(VLOOKUP($A11,CURVES!$D$9:$K$261,6))*(INDEX(DailyScalarsTable,H$5/100,MONTH($A11)))*$B11</f>
        <v>-840.67061258343358</v>
      </c>
      <c r="I11" s="1021">
        <f>(VLOOKUP(YEAR($A11),'NY East Load Projections'!$A$4:$EO$14,((MONTH($A11)-1)*12)+VLOOKUP(I$4,$DE$6:$DF$17,2)+1))*(VLOOKUP($A11,CURVES!$D$9:$K$261,6))*(INDEX(DailyScalarsTable,I$5/100,MONTH($A11)))*$B11</f>
        <v>-696.50646862876238</v>
      </c>
      <c r="J11" s="1021">
        <f>(VLOOKUP(YEAR($A11),'NY East Load Projections'!$A$4:$EO$14,((MONTH($A11)-1)*12)+VLOOKUP(J$4,$DE$6:$DF$17,2)+1))*(VLOOKUP($A11,CURVES!$D$9:$K$261,6))*(INDEX(DailyScalarsTable,J$5/100,MONTH($A11)))*$B11</f>
        <v>-585.47856074725428</v>
      </c>
      <c r="K11" s="1021">
        <f>(VLOOKUP(YEAR($A11),'NY East Load Projections'!$A$4:$EO$14,((MONTH($A11)-1)*12)+VLOOKUP(K$4,$DE$6:$DF$17,2)+1))*(VLOOKUP($A11,CURVES!$D$9:$K$261,6))*(INDEX(DailyScalarsTable,K$5/100,MONTH($A11)))*$B11</f>
        <v>-543.52033974552171</v>
      </c>
      <c r="L11" s="1021">
        <f>(VLOOKUP(YEAR($A11),'NY East Load Projections'!$A$4:$EO$14,((MONTH($A11)-1)*12)+VLOOKUP(L$4,$DE$6:$DF$17,2)+1))*(VLOOKUP($A11,CURVES!$D$9:$K$261,6))*(INDEX(DailyScalarsTable,L$5/100,MONTH($A11)))*$B11</f>
        <v>-861.12994162464122</v>
      </c>
      <c r="M11" s="1021">
        <f>(VLOOKUP(YEAR($A11),'NY East Load Projections'!$A$4:$EO$14,((MONTH($A11)-1)*12)+VLOOKUP(M$4,$DE$6:$DF$17,2)+1))*(VLOOKUP($A11,CURVES!$D$9:$K$261,6))*(INDEX(DailyScalarsTable,M$5/100,MONTH($A11)))*$B11</f>
        <v>-1050.6413849821806</v>
      </c>
      <c r="N11" s="1021">
        <f>(VLOOKUP(YEAR($A11),'NY East Load Projections'!$A$4:$EO$14,((MONTH($A11)-1)*12)+VLOOKUP(N$4,$DE$6:$DF$17,2)+1))*(VLOOKUP($A11,CURVES!$D$9:$K$261,6))*(INDEX(DailyScalarsTable,N$5/100,MONTH($A11)))*$B11</f>
        <v>-1204.6390752727186</v>
      </c>
      <c r="O11" s="1021">
        <f>(VLOOKUP(YEAR($A11),'NY East Load Projections'!$A$4:$EO$14,((MONTH($A11)-1)*12)+VLOOKUP(O$4,$DE$6:$DF$17,2)+1))*(VLOOKUP($A11,CURVES!$D$9:$K$261,2))*(INDEX(DailyScalarsTable,O$5/100,MONTH($A11)))*$B11</f>
        <v>-1819.0223156502736</v>
      </c>
      <c r="P11" s="1021">
        <f>(VLOOKUP(YEAR($A11),'NY East Load Projections'!$A$4:$EO$14,((MONTH($A11)-1)*12)+VLOOKUP(P$4,$DE$6:$DF$17,2)+1))*(VLOOKUP($A11,CURVES!$D$9:$K$261,2))*(INDEX(DailyScalarsTable,P$5/100,MONTH($A11)))*$B11</f>
        <v>-2396.3197091262227</v>
      </c>
      <c r="Q11" s="1021">
        <f>(VLOOKUP(YEAR($A11),'NY East Load Projections'!$A$4:$EO$14,((MONTH($A11)-1)*12)+VLOOKUP(Q$4,$DE$6:$DF$17,2)+1))*(VLOOKUP($A11,CURVES!$D$9:$K$261,2))*(INDEX(DailyScalarsTable,Q$5/100,MONTH($A11)))*$B11</f>
        <v>-2680.2657430209329</v>
      </c>
      <c r="R11" s="1021">
        <f>(VLOOKUP(YEAR($A11),'NY East Load Projections'!$A$4:$EO$14,((MONTH($A11)-1)*12)+VLOOKUP(R$4,$DE$6:$DF$17,2)+1))*(VLOOKUP($A11,CURVES!$D$9:$K$261,2))*(INDEX(DailyScalarsTable,R$5/100,MONTH($A11)))*$B11</f>
        <v>-3083.0826757206783</v>
      </c>
      <c r="S11" s="1021">
        <f>(VLOOKUP(YEAR($A11),'NY East Load Projections'!$A$4:$EO$14,((MONTH($A11)-1)*12)+VLOOKUP(S$4,$DE$6:$DF$17,2)+1))*(VLOOKUP($A11,CURVES!$D$9:$K$261,2))*(INDEX(DailyScalarsTable,S$5/100,MONTH($A11)))*$B11</f>
        <v>-3325.024858447533</v>
      </c>
      <c r="T11" s="1021">
        <f>(VLOOKUP(YEAR($A11),'NY East Load Projections'!$A$4:$EO$14,((MONTH($A11)-1)*12)+VLOOKUP(T$4,$DE$6:$DF$17,2)+1))*(VLOOKUP($A11,CURVES!$D$9:$K$261,2))*(INDEX(DailyScalarsTable,T$5/100,MONTH($A11)))*$B11</f>
        <v>-3638.4380621541736</v>
      </c>
      <c r="U11" s="1021">
        <f>(VLOOKUP(YEAR($A11),'NY East Load Projections'!$A$4:$EO$14,((MONTH($A11)-1)*12)+VLOOKUP(U$4,$DE$6:$DF$17,2)+1))*(VLOOKUP($A11,CURVES!$D$9:$K$261,2))*(INDEX(DailyScalarsTable,U$5/100,MONTH($A11)))*$B11</f>
        <v>-4023.689648847133</v>
      </c>
      <c r="V11" s="1021">
        <f>(VLOOKUP(YEAR($A11),'NY East Load Projections'!$A$4:$EO$14,((MONTH($A11)-1)*12)+VLOOKUP(V$4,$DE$6:$DF$17,2)+1))*(VLOOKUP($A11,CURVES!$D$9:$K$261,2))*(INDEX(DailyScalarsTable,V$5/100,MONTH($A11)))*$B11</f>
        <v>-4054.6513148270501</v>
      </c>
      <c r="W11" s="1021">
        <f>(VLOOKUP(YEAR($A11),'NY East Load Projections'!$A$4:$EO$14,((MONTH($A11)-1)*12)+VLOOKUP(W$4,$DE$6:$DF$17,2)+1))*(VLOOKUP($A11,CURVES!$D$9:$K$261,2))*(INDEX(DailyScalarsTable,W$5/100,MONTH($A11)))*$B11</f>
        <v>-4061.2859575370308</v>
      </c>
      <c r="X11" s="1021">
        <f>(VLOOKUP(YEAR($A11),'NY East Load Projections'!$A$4:$EO$14,((MONTH($A11)-1)*12)+VLOOKUP(X$4,$DE$6:$DF$17,2)+1))*(VLOOKUP($A11,CURVES!$D$9:$K$261,2))*(INDEX(DailyScalarsTable,X$5/100,MONTH($A11)))*$B11</f>
        <v>-3940.479033579571</v>
      </c>
      <c r="Y11" s="1021">
        <f>(VLOOKUP(YEAR($A11),'NY East Load Projections'!$A$4:$EO$14,((MONTH($A11)-1)*12)+VLOOKUP(Y$4,$DE$6:$DF$17,2)+1))*(VLOOKUP($A11,CURVES!$D$9:$K$261,2))*(INDEX(DailyScalarsTable,Y$5/100,MONTH($A11)))*$B11</f>
        <v>-3823.5020008605106</v>
      </c>
      <c r="Z11" s="1021">
        <f>(VLOOKUP(YEAR($A11),'NY East Load Projections'!$A$4:$EO$14,((MONTH($A11)-1)*12)+VLOOKUP(Z$4,$DE$6:$DF$17,2)+1))*(VLOOKUP($A11,CURVES!$D$9:$K$261,2))*(INDEX(DailyScalarsTable,Z$5/100,MONTH($A11)))*$B11</f>
        <v>-3264.7994222059433</v>
      </c>
      <c r="AA11" s="1021">
        <f>(VLOOKUP(YEAR($A11),'NY East Load Projections'!$A$4:$EO$14,((MONTH($A11)-1)*12)+VLOOKUP(AA$4,$DE$6:$DF$17,2)+1))*(VLOOKUP($A11,CURVES!$D$9:$K$261,2))*(INDEX(DailyScalarsTable,AA$5/100,MONTH($A11)))*$B11</f>
        <v>-2610.6570984448517</v>
      </c>
      <c r="AB11" s="1021">
        <f>(VLOOKUP(YEAR($A11),'NY East Load Projections'!$A$4:$EO$14,((MONTH($A11)-1)*12)+VLOOKUP(AB$4,$DE$6:$DF$17,2)+1))*(VLOOKUP($A11,CURVES!$D$9:$K$261,2))*(INDEX(DailyScalarsTable,AB$5/100,MONTH($A11)))*$B11</f>
        <v>-2276.8876208127863</v>
      </c>
      <c r="AC11" s="1021">
        <f>(VLOOKUP(YEAR($A11),'NY East Load Projections'!$A$4:$EO$14,((MONTH($A11)-1)*12)+VLOOKUP(AC$4,$DE$6:$DF$17,2)+1))*(VLOOKUP($A11,CURVES!$D$9:$K$261,2))*(INDEX(DailyScalarsTable,AC$5/100,MONTH($A11)))*$B11</f>
        <v>-2319.9308967644429</v>
      </c>
      <c r="AD11" s="1021">
        <f>(VLOOKUP(YEAR($A11),'NY East Load Projections'!$A$4:$EO$14,((MONTH($A11)-1)*12)+VLOOKUP(AD$4,$DE$6:$DF$17,2)+1))*(VLOOKUP($A11,CURVES!$D$9:$K$261,2))*(INDEX(DailyScalarsTable,AD$5/100,MONTH($A11)))*$B11</f>
        <v>-1860.3507220365268</v>
      </c>
      <c r="AE11" s="1021">
        <f>(VLOOKUP(YEAR($A11),'NY East Load Projections'!$A$4:$EO$14,((MONTH($A11)-1)*12)+VLOOKUP(AE$4,$DE$6:$DF$17,2)+1))*(VLOOKUP($A11,CURVES!$D$9:$K$261,6))*(INDEX(DailyScalarsTable,AE$5/100,MONTH($A11)))*$B11</f>
        <v>-1339.9199317033142</v>
      </c>
      <c r="AF11" s="1021"/>
      <c r="AG11" s="1021">
        <f>(VLOOKUP(YEAR($A11),'NY East Load Projections'!$A$4:$EO$14,((MONTH($A11)-1)*12)+VLOOKUP(AG$4,$DE$6:$DF$17,2)+1))*(VLOOKUP($A11,CURVES!$D$9:$T$261,6))*(INDEX(DailyScalarsTable,AG$5/100,MONTH($A11)))*$C11</f>
        <v>-236.71498903001421</v>
      </c>
      <c r="AH11" s="1021">
        <f>(VLOOKUP(YEAR($A11),'NY East Load Projections'!$A$4:$EO$14,((MONTH($A11)-1)*12)+VLOOKUP(AH$4,$DE$6:$DF$17,2)+1))*(VLOOKUP($A11,CURVES!$D$9:$T$261,6))*(INDEX(DailyScalarsTable,AH$5/100,MONTH($A11)))*$C11</f>
        <v>-196.12142807528943</v>
      </c>
      <c r="AI11" s="1021">
        <f>(VLOOKUP(YEAR($A11),'NY East Load Projections'!$A$4:$EO$14,((MONTH($A11)-1)*12)+VLOOKUP(AI$4,$DE$6:$DF$17,2)+1))*(VLOOKUP($A11,CURVES!$D$9:$T$261,6))*(INDEX(DailyScalarsTable,AI$5/100,MONTH($A11)))*$C11</f>
        <v>-164.85832739971039</v>
      </c>
      <c r="AJ11" s="1021">
        <f>(VLOOKUP(YEAR($A11),'NY East Load Projections'!$A$4:$EO$14,((MONTH($A11)-1)*12)+VLOOKUP(AJ$4,$DE$6:$DF$17,2)+1))*(VLOOKUP($A11,CURVES!$D$9:$T$261,6))*(INDEX(DailyScalarsTable,AJ$5/100,MONTH($A11)))*$C11</f>
        <v>-153.04378353975321</v>
      </c>
      <c r="AK11" s="1021">
        <f>(VLOOKUP(YEAR($A11),'NY East Load Projections'!$A$4:$EO$14,((MONTH($A11)-1)*12)+VLOOKUP(AK$4,$DE$6:$DF$17,2)+1))*(VLOOKUP($A11,CURVES!$D$9:$T$261,6))*(INDEX(DailyScalarsTable,AK$5/100,MONTH($A11)))*$C11</f>
        <v>-177.03956278083956</v>
      </c>
      <c r="AL11" s="1021">
        <f>(VLOOKUP(YEAR($A11),'NY East Load Projections'!$A$4:$EO$14,((MONTH($A11)-1)*12)+VLOOKUP(AL$4,$DE$6:$DF$17,2)+1))*(VLOOKUP($A11,CURVES!$D$9:$T$261,6))*(INDEX(DailyScalarsTable,AL$5/100,MONTH($A11)))*$C11</f>
        <v>-216.00118918844768</v>
      </c>
      <c r="AM11" s="1021">
        <f>(VLOOKUP(YEAR($A11),'NY East Load Projections'!$A$4:$EO$14,((MONTH($A11)-1)*12)+VLOOKUP(AM$4,$DE$6:$DF$17,2)+1))*(VLOOKUP($A11,CURVES!$D$9:$T$261,6))*(INDEX(DailyScalarsTable,AM$5/100,MONTH($A11)))*$C11</f>
        <v>-247.66154895582412</v>
      </c>
      <c r="AN11" s="1021">
        <f>(VLOOKUP(YEAR($A11),'NY East Load Projections'!$A$4:$EO$14,((MONTH($A11)-1)*12)+VLOOKUP(AN$4,$DE$6:$DF$17,2)+1))*(VLOOKUP($A11,SatSunCurve,2))*(INDEX(DailyScalarsTable,AN$5/100,MONTH($A11)))*$C11</f>
        <v>-188.78124141758889</v>
      </c>
      <c r="AO11" s="1021">
        <f>(VLOOKUP(YEAR($A11),'NY East Load Projections'!$A$4:$EO$14,((MONTH($A11)-1)*12)+VLOOKUP(AO$4,$DE$6:$DF$17,2)+1))*(VLOOKUP($A11,SatSunCurve,2))*(INDEX(DailyScalarsTable,AO$5/100,MONTH($A11)))*$C11</f>
        <v>-277.67054826664082</v>
      </c>
      <c r="AP11" s="1021">
        <f>(VLOOKUP(YEAR($A11),'NY East Load Projections'!$A$4:$EO$14,((MONTH($A11)-1)*12)+VLOOKUP(AP$4,$DE$6:$DF$17,2)+1))*(VLOOKUP($A11,SatSunCurve,2))*(INDEX(DailyScalarsTable,AP$5/100,MONTH($A11)))*$C11</f>
        <v>-310.57243970016378</v>
      </c>
      <c r="AQ11" s="1021">
        <f>(VLOOKUP(YEAR($A11),'NY East Load Projections'!$A$4:$EO$14,((MONTH($A11)-1)*12)+VLOOKUP(AQ$4,$DE$6:$DF$17,2)+1))*(VLOOKUP($A11,SatSunCurve,2))*(INDEX(DailyScalarsTable,AQ$5/100,MONTH($A11)))*$C11</f>
        <v>-357.24834781369725</v>
      </c>
      <c r="AR11" s="1021">
        <f>(VLOOKUP(YEAR($A11),'NY East Load Projections'!$A$4:$EO$14,((MONTH($A11)-1)*12)+VLOOKUP(AR$4,$DE$6:$DF$17,2)+1))*(VLOOKUP($A11,SatSunCurve,2))*(INDEX(DailyScalarsTable,AR$5/100,MONTH($A11)))*$C11</f>
        <v>-385.28309554403648</v>
      </c>
      <c r="AS11" s="1021">
        <f>(VLOOKUP(YEAR($A11),'NY East Load Projections'!$A$4:$EO$14,((MONTH($A11)-1)*12)+VLOOKUP(AS$4,$DE$6:$DF$17,2)+1))*(VLOOKUP($A11,SatSunCurve,2))*(INDEX(DailyScalarsTable,AS$5/100,MONTH($A11)))*$C11</f>
        <v>-397.80188165215174</v>
      </c>
      <c r="AT11" s="1021">
        <f>(VLOOKUP(YEAR($A11),'NY East Load Projections'!$A$4:$EO$14,((MONTH($A11)-1)*12)+VLOOKUP(AT$4,$DE$6:$DF$17,2)+1))*(VLOOKUP($A11,SatSunCurve,2))*(INDEX(DailyScalarsTable,AT$5/100,MONTH($A11)))*$C11</f>
        <v>-439.92264981639005</v>
      </c>
      <c r="AU11" s="1021">
        <f>(VLOOKUP(YEAR($A11),'NY East Load Projections'!$A$4:$EO$14,((MONTH($A11)-1)*12)+VLOOKUP(AU$4,$DE$6:$DF$17,2)+1))*(VLOOKUP($A11,SatSunCurve,2))*(INDEX(DailyScalarsTable,AU$5/100,MONTH($A11)))*$C11</f>
        <v>-443.30778617861364</v>
      </c>
      <c r="AV11" s="1021">
        <f>(VLOOKUP(YEAR($A11),'NY East Load Projections'!$A$4:$EO$14,((MONTH($A11)-1)*12)+VLOOKUP(AV$4,$DE$6:$DF$17,2)+1))*(VLOOKUP($A11,SatSunCurve,2))*(INDEX(DailyScalarsTable,AV$5/100,MONTH($A11)))*$C11</f>
        <v>-444.03317254194712</v>
      </c>
      <c r="AW11" s="1021">
        <f>(VLOOKUP(YEAR($A11),'NY East Load Projections'!$A$4:$EO$14,((MONTH($A11)-1)*12)+VLOOKUP(AW$4,$DE$6:$DF$17,2)+1))*(VLOOKUP($A11,SatSunCurve,2))*(INDEX(DailyScalarsTable,AW$5/100,MONTH($A11)))*$C11</f>
        <v>-384.76702962587513</v>
      </c>
      <c r="AX11" s="1021">
        <f>(VLOOKUP(YEAR($A11),'NY East Load Projections'!$A$4:$EO$14,((MONTH($A11)-1)*12)+VLOOKUP(AX$4,$DE$6:$DF$17,2)+1))*(VLOOKUP($A11,SatSunCurve,2))*(INDEX(DailyScalarsTable,AX$5/100,MONTH($A11)))*$C11</f>
        <v>-373.34483830593422</v>
      </c>
      <c r="AY11" s="1021">
        <f>(VLOOKUP(YEAR($A11),'NY East Load Projections'!$A$4:$EO$14,((MONTH($A11)-1)*12)+VLOOKUP(AY$4,$DE$6:$DF$17,2)+1))*(VLOOKUP($A11,SatSunCurve,2))*(INDEX(DailyScalarsTable,AY$5/100,MONTH($A11)))*$C11</f>
        <v>-318.79047326520629</v>
      </c>
      <c r="AZ11" s="1021">
        <f>(VLOOKUP(YEAR($A11),'NY East Load Projections'!$A$4:$EO$14,((MONTH($A11)-1)*12)+VLOOKUP(AZ$4,$DE$6:$DF$17,2)+1))*(VLOOKUP($A11,SatSunCurve,2))*(INDEX(DailyScalarsTable,AZ$5/100,MONTH($A11)))*$C11</f>
        <v>-254.9169196385339</v>
      </c>
      <c r="BA11" s="1021">
        <f>(VLOOKUP(YEAR($A11),'NY East Load Projections'!$A$4:$EO$14,((MONTH($A11)-1)*12)+VLOOKUP(BA$4,$DE$6:$DF$17,2)+1))*(VLOOKUP($A11,SatSunCurve,2))*(INDEX(DailyScalarsTable,BA$5/100,MONTH($A11)))*$C11</f>
        <v>-261.94435612041781</v>
      </c>
      <c r="BB11" s="1021">
        <f>(VLOOKUP(YEAR($A11),'NY East Load Projections'!$A$4:$EO$14,((MONTH($A11)-1)*12)+VLOOKUP(BB$4,$DE$6:$DF$17,2)+1))*(VLOOKUP($A11,SatSunCurve,2))*(INDEX(DailyScalarsTable,BB$5/100,MONTH($A11)))*$C11</f>
        <v>-266.89626639539449</v>
      </c>
      <c r="BC11" s="1021">
        <f>(VLOOKUP(YEAR($A11),'NY East Load Projections'!$A$4:$EO$14,((MONTH($A11)-1)*12)+VLOOKUP(BC$4,$DE$6:$DF$17,2)+1))*(VLOOKUP($A11,SatSunCurve,2))*(INDEX(DailyScalarsTable,BC$5/100,MONTH($A11)))*$C11</f>
        <v>-214.02390156965961</v>
      </c>
      <c r="BD11" s="1021">
        <f>(VLOOKUP(YEAR($A11),'NY East Load Projections'!$A$4:$EO$14,((MONTH($A11)-1)*12)+VLOOKUP(BD$4,$DE$6:$DF$17,2)+1))*(VLOOKUP($A11,CURVES!$D$9:$T$261,6))*(INDEX(DailyScalarsTable,BD$5/100,MONTH($A11)))*$C11</f>
        <v>-305.37053137000055</v>
      </c>
      <c r="BE11" s="1021"/>
      <c r="BF11" s="1021">
        <f>(VLOOKUP(YEAR($A11),'NY East Load Projections'!$A$4:$EO$14,((MONTH($A11)-1)*12)+VLOOKUP(BF$4,$DE$6:$DF$17,2)+1))*(VLOOKUP($A11,CURVES!$D$9:$T$261,6))*(INDEX(DailyScalarsTable,BF$5/100,MONTH($A11)))*$D11</f>
        <v>-189.37199122401137</v>
      </c>
      <c r="BG11" s="1021">
        <f>(VLOOKUP(YEAR($A11),'NY East Load Projections'!$A$4:$EO$14,((MONTH($A11)-1)*12)+VLOOKUP(BG$4,$DE$6:$DF$17,2)+1))*(VLOOKUP($A11,CURVES!$D$9:$T$261,6))*(INDEX(DailyScalarsTable,BG$5/100,MONTH($A11)))*$D11</f>
        <v>-156.89714246023155</v>
      </c>
      <c r="BH11" s="1021">
        <f>(VLOOKUP(YEAR($A11),'NY East Load Projections'!$A$4:$EO$14,((MONTH($A11)-1)*12)+VLOOKUP(BH$4,$DE$6:$DF$17,2)+1))*(VLOOKUP($A11,CURVES!$D$9:$T$261,6))*(INDEX(DailyScalarsTable,BH$5/100,MONTH($A11)))*$D11</f>
        <v>-131.8866619197683</v>
      </c>
      <c r="BI11" s="1021">
        <f>(VLOOKUP(YEAR($A11),'NY East Load Projections'!$A$4:$EO$14,((MONTH($A11)-1)*12)+VLOOKUP(BI$4,$DE$6:$DF$17,2)+1))*(VLOOKUP($A11,CURVES!$D$9:$T$261,6))*(INDEX(DailyScalarsTable,BI$5/100,MONTH($A11)))*$D11</f>
        <v>-122.43502683180257</v>
      </c>
      <c r="BJ11" s="1021">
        <f>(VLOOKUP(YEAR($A11),'NY East Load Projections'!$A$4:$EO$14,((MONTH($A11)-1)*12)+VLOOKUP(BJ$4,$DE$6:$DF$17,2)+1))*(VLOOKUP($A11,CURVES!$D$9:$T$261,6))*(INDEX(DailyScalarsTable,BJ$5/100,MONTH($A11)))*$D11</f>
        <v>-141.63165022467166</v>
      </c>
      <c r="BK11" s="1021">
        <f>(VLOOKUP(YEAR($A11),'NY East Load Projections'!$A$4:$EO$14,((MONTH($A11)-1)*12)+VLOOKUP(BK$4,$DE$6:$DF$17,2)+1))*(VLOOKUP($A11,CURVES!$D$9:$T$261,6))*(INDEX(DailyScalarsTable,BK$5/100,MONTH($A11)))*$D11</f>
        <v>-172.80095135075814</v>
      </c>
      <c r="BL11" s="1021">
        <f>(VLOOKUP(YEAR($A11),'NY East Load Projections'!$A$4:$EO$14,((MONTH($A11)-1)*12)+VLOOKUP(BL$4,$DE$6:$DF$17,2)+1))*(VLOOKUP($A11,CURVES!$D$9:$T$261,6))*(INDEX(DailyScalarsTable,BL$5/100,MONTH($A11)))*$D11</f>
        <v>-198.12923916465928</v>
      </c>
      <c r="BM11" s="1021">
        <f>(VLOOKUP(YEAR($A11),'NY East Load Projections'!$A$4:$EO$14,((MONTH($A11)-1)*12)+VLOOKUP(BM$4,$DE$6:$DF$17,2)+1))*(VLOOKUP($A11,SatSunCurve,6))*(INDEX(DailyScalarsTable,BM$5/100,MONTH($A11)))*$D11</f>
        <v>-106.23275978755626</v>
      </c>
      <c r="BN11" s="1021">
        <f>(VLOOKUP(YEAR($A11),'NY East Load Projections'!$A$4:$EO$14,((MONTH($A11)-1)*12)+VLOOKUP(BN$4,$DE$6:$DF$17,2)+1))*(VLOOKUP($A11,SatSunCurve,6))*(INDEX(DailyScalarsTable,BN$5/100,MONTH($A11)))*$D11</f>
        <v>-156.25338848598534</v>
      </c>
      <c r="BO11" s="1021">
        <f>(VLOOKUP(YEAR($A11),'NY East Load Projections'!$A$4:$EO$14,((MONTH($A11)-1)*12)+VLOOKUP(BO$4,$DE$6:$DF$17,2)+1))*(VLOOKUP($A11,SatSunCurve,6))*(INDEX(DailyScalarsTable,BO$5/100,MONTH($A11)))*$D11</f>
        <v>-174.76825099545525</v>
      </c>
      <c r="BP11" s="1021">
        <f>(VLOOKUP(YEAR($A11),'NY East Load Projections'!$A$4:$EO$14,((MONTH($A11)-1)*12)+VLOOKUP(BP$4,$DE$6:$DF$17,2)+1))*(VLOOKUP($A11,SatSunCurve,6))*(INDEX(DailyScalarsTable,BP$5/100,MONTH($A11)))*$D11</f>
        <v>-201.03415801702576</v>
      </c>
      <c r="BQ11" s="1021">
        <f>(VLOOKUP(YEAR($A11),'NY East Load Projections'!$A$4:$EO$14,((MONTH($A11)-1)*12)+VLOOKUP(BQ$4,$DE$6:$DF$17,2)+1))*(VLOOKUP($A11,SatSunCurve,6))*(INDEX(DailyScalarsTable,BQ$5/100,MONTH($A11)))*$D11</f>
        <v>-216.81013553988777</v>
      </c>
      <c r="BR11" s="1021">
        <f>(VLOOKUP(YEAR($A11),'NY East Load Projections'!$A$4:$EO$14,((MONTH($A11)-1)*12)+VLOOKUP(BR$4,$DE$6:$DF$17,2)+1))*(VLOOKUP($A11,SatSunCurve,6))*(INDEX(DailyScalarsTable,BR$5/100,MONTH($A11)))*$D11</f>
        <v>-223.85482487167056</v>
      </c>
      <c r="BS11" s="1021">
        <f>(VLOOKUP(YEAR($A11),'NY East Load Projections'!$A$4:$EO$14,((MONTH($A11)-1)*12)+VLOOKUP(BS$4,$DE$6:$DF$17,2)+1))*(VLOOKUP($A11,SatSunCurve,6))*(INDEX(DailyScalarsTable,BS$5/100,MONTH($A11)))*$D11</f>
        <v>-247.55742060024156</v>
      </c>
      <c r="BT11" s="1021">
        <f>(VLOOKUP(YEAR($A11),'NY East Load Projections'!$A$4:$EO$14,((MONTH($A11)-1)*12)+VLOOKUP(BT$4,$DE$6:$DF$17,2)+1))*(VLOOKUP($A11,SatSunCurve,6))*(INDEX(DailyScalarsTable,BT$5/100,MONTH($A11)))*$D11</f>
        <v>-249.46233644524733</v>
      </c>
      <c r="BU11" s="1021">
        <f>(VLOOKUP(YEAR($A11),'NY East Load Projections'!$A$4:$EO$14,((MONTH($A11)-1)*12)+VLOOKUP(BU$4,$DE$6:$DF$17,2)+1))*(VLOOKUP($A11,SatSunCurve,6))*(INDEX(DailyScalarsTable,BU$5/100,MONTH($A11)))*$D11</f>
        <v>-249.87053269774847</v>
      </c>
      <c r="BV11" s="1021">
        <f>(VLOOKUP(YEAR($A11),'NY East Load Projections'!$A$4:$EO$14,((MONTH($A11)-1)*12)+VLOOKUP(BV$4,$DE$6:$DF$17,2)+1))*(VLOOKUP($A11,SatSunCurve,6))*(INDEX(DailyScalarsTable,BV$5/100,MONTH($A11)))*$D11</f>
        <v>-216.51973006153139</v>
      </c>
      <c r="BW11" s="1021">
        <f>(VLOOKUP(YEAR($A11),'NY East Load Projections'!$A$4:$EO$14,((MONTH($A11)-1)*12)+VLOOKUP(BW$4,$DE$6:$DF$17,2)+1))*(VLOOKUP($A11,SatSunCurve,6))*(INDEX(DailyScalarsTable,BW$5/100,MONTH($A11)))*$D11</f>
        <v>-210.09212688641142</v>
      </c>
      <c r="BX11" s="1021">
        <f>(VLOOKUP(YEAR($A11),'NY East Load Projections'!$A$4:$EO$14,((MONTH($A11)-1)*12)+VLOOKUP(BX$4,$DE$6:$DF$17,2)+1))*(VLOOKUP($A11,SatSunCurve,6))*(INDEX(DailyScalarsTable,BX$5/100,MONTH($A11)))*$D11</f>
        <v>-179.39278031354613</v>
      </c>
      <c r="BY11" s="1021">
        <f>(VLOOKUP(YEAR($A11),'NY East Load Projections'!$A$4:$EO$14,((MONTH($A11)-1)*12)+VLOOKUP(BY$4,$DE$6:$DF$17,2)+1))*(VLOOKUP($A11,SatSunCurve,6))*(INDEX(DailyScalarsTable,BY$5/100,MONTH($A11)))*$D11</f>
        <v>-143.44925208877797</v>
      </c>
      <c r="BZ11" s="1021">
        <f>(VLOOKUP(YEAR($A11),'NY East Load Projections'!$A$4:$EO$14,((MONTH($A11)-1)*12)+VLOOKUP(BZ$4,$DE$6:$DF$17,2)+1))*(VLOOKUP($A11,SatSunCurve,6))*(INDEX(DailyScalarsTable,BZ$5/100,MONTH($A11)))*$D11</f>
        <v>-147.40379739262468</v>
      </c>
      <c r="CA11" s="1021">
        <f>(VLOOKUP(YEAR($A11),'NY East Load Projections'!$A$4:$EO$14,((MONTH($A11)-1)*12)+VLOOKUP(CA$4,$DE$6:$DF$17,2)+1))*(VLOOKUP($A11,SatSunCurve,6))*(INDEX(DailyScalarsTable,CA$5/100,MONTH($A11)))*$D11</f>
        <v>-150.19038302359573</v>
      </c>
      <c r="CB11" s="1021">
        <f>(VLOOKUP(YEAR($A11),'NY East Load Projections'!$A$4:$EO$14,((MONTH($A11)-1)*12)+VLOOKUP(CB$4,$DE$6:$DF$17,2)+1))*(VLOOKUP($A11,SatSunCurve,6))*(INDEX(DailyScalarsTable,CB$5/100,MONTH($A11)))*$D11</f>
        <v>-120.43754746771613</v>
      </c>
      <c r="CC11" s="1021">
        <f>(VLOOKUP(YEAR($A11),'NY East Load Projections'!$A$4:$EO$14,((MONTH($A11)-1)*12)+VLOOKUP(CC$4,$DE$6:$DF$17,2)+1))*(VLOOKUP($A11,CURVES!$D$9:$T$261,6))*(INDEX(DailyScalarsTable,CC$5/100,MONTH($A11)))*$D11</f>
        <v>-244.29642509600046</v>
      </c>
      <c r="CE11" s="1021">
        <f>(VLOOKUP(YEAR($A11),'NY East Load Projections'!$A$4:$EO$14,((MONTH($A11)-1)*12)+VLOOKUP(CE$4,$DE$6:$DF$17,2)+1))*(VLOOKUP($A11,CURVES!$D$9:$T$261,6))*(INDEX(DailyScalarsTable,CE$5/100,MONTH($A11)))*$E11</f>
        <v>0</v>
      </c>
      <c r="CF11" s="1021">
        <f>(VLOOKUP(YEAR($A11),'NY East Load Projections'!$A$4:$EO$14,((MONTH($A11)-1)*12)+VLOOKUP(CF$4,$DE$6:$DF$17,2)+1))*(VLOOKUP($A11,CURVES!$D$9:$T$261,6))*(INDEX(DailyScalarsTable,CF$5/100,MONTH($A11)))*$E11</f>
        <v>0</v>
      </c>
      <c r="CG11" s="1021">
        <f>(VLOOKUP(YEAR($A11),'NY East Load Projections'!$A$4:$EO$14,((MONTH($A11)-1)*12)+VLOOKUP(CG$4,$DE$6:$DF$17,2)+1))*(VLOOKUP($A11,CURVES!$D$9:$T$261,6))*(INDEX(DailyScalarsTable,CG$5/100,MONTH($A11)))*$E11</f>
        <v>0</v>
      </c>
      <c r="CH11" s="1021">
        <f>(VLOOKUP(YEAR($A11),'NY East Load Projections'!$A$4:$EO$14,((MONTH($A11)-1)*12)+VLOOKUP(CH$4,$DE$6:$DF$17,2)+1))*(VLOOKUP($A11,CURVES!$D$9:$T$261,6))*(INDEX(DailyScalarsTable,CH$5/100,MONTH($A11)))*$E11</f>
        <v>0</v>
      </c>
      <c r="CI11" s="1021">
        <f>(VLOOKUP(YEAR($A11),'NY East Load Projections'!$A$4:$EO$14,((MONTH($A11)-1)*12)+VLOOKUP(CI$4,$DE$6:$DF$17,2)+1))*(VLOOKUP($A11,CURVES!$D$9:$T$261,6))*(INDEX(DailyScalarsTable,CI$5/100,MONTH($A11)))*$E11</f>
        <v>0</v>
      </c>
      <c r="CJ11" s="1021">
        <f>(VLOOKUP(YEAR($A11),'NY East Load Projections'!$A$4:$EO$14,((MONTH($A11)-1)*12)+VLOOKUP(CJ$4,$DE$6:$DF$17,2)+1))*(VLOOKUP($A11,CURVES!$D$9:$T$261,6))*(INDEX(DailyScalarsTable,CJ$5/100,MONTH($A11)))*$E11</f>
        <v>0</v>
      </c>
      <c r="CK11" s="1021">
        <f>(VLOOKUP(YEAR($A11),'NY East Load Projections'!$A$4:$EO$14,((MONTH($A11)-1)*12)+VLOOKUP(CK$4,$DE$6:$DF$17,2)+1))*(VLOOKUP($A11,CURVES!$D$9:$T$261,6))*(INDEX(DailyScalarsTable,CK$5/100,MONTH($A11)))*$E11</f>
        <v>0</v>
      </c>
      <c r="CL11" s="1021">
        <f>(VLOOKUP(YEAR($A11),'NY East Load Projections'!$A$4:$EO$14,((MONTH($A11)-1)*12)+VLOOKUP(CL$4,$DE$6:$DF$17,2)+1))*(VLOOKUP($A11,SatSunCurve,6))*(INDEX(DailyScalarsTable,CL$5/100,MONTH($A11)))*$E11</f>
        <v>0</v>
      </c>
      <c r="CM11" s="1021">
        <f>(VLOOKUP(YEAR($A11),'NY East Load Projections'!$A$4:$EO$14,((MONTH($A11)-1)*12)+VLOOKUP(CM$4,$DE$6:$DF$17,2)+1))*(VLOOKUP($A11,SatSunCurve,6))*(INDEX(DailyScalarsTable,CM$5/100,MONTH($A11)))*$E11</f>
        <v>0</v>
      </c>
      <c r="CN11" s="1021">
        <f>(VLOOKUP(YEAR($A11),'NY East Load Projections'!$A$4:$EO$14,((MONTH($A11)-1)*12)+VLOOKUP(CN$4,$DE$6:$DF$17,2)+1))*(VLOOKUP($A11,SatSunCurve,6))*(INDEX(DailyScalarsTable,CN$5/100,MONTH($A11)))*$E11</f>
        <v>0</v>
      </c>
      <c r="CO11" s="1021">
        <f>(VLOOKUP(YEAR($A11),'NY East Load Projections'!$A$4:$EO$14,((MONTH($A11)-1)*12)+VLOOKUP(CO$4,$DE$6:$DF$17,2)+1))*(VLOOKUP($A11,SatSunCurve,6))*(INDEX(DailyScalarsTable,CO$5/100,MONTH($A11)))*$E11</f>
        <v>0</v>
      </c>
      <c r="CP11" s="1021">
        <f>(VLOOKUP(YEAR($A11),'NY East Load Projections'!$A$4:$EO$14,((MONTH($A11)-1)*12)+VLOOKUP(CP$4,$DE$6:$DF$17,2)+1))*(VLOOKUP($A11,SatSunCurve,6))*(INDEX(DailyScalarsTable,CP$5/100,MONTH($A11)))*$E11</f>
        <v>0</v>
      </c>
      <c r="CQ11" s="1021">
        <f>(VLOOKUP(YEAR($A11),'NY East Load Projections'!$A$4:$EO$14,((MONTH($A11)-1)*12)+VLOOKUP(CQ$4,$DE$6:$DF$17,2)+1))*(VLOOKUP($A11,SatSunCurve,6))*(INDEX(DailyScalarsTable,CQ$5/100,MONTH($A11)))*$E11</f>
        <v>0</v>
      </c>
      <c r="CR11" s="1021">
        <f>(VLOOKUP(YEAR($A11),'NY East Load Projections'!$A$4:$EO$14,((MONTH($A11)-1)*12)+VLOOKUP(CR$4,$DE$6:$DF$17,2)+1))*(VLOOKUP($A11,SatSunCurve,6))*(INDEX(DailyScalarsTable,CR$5/100,MONTH($A11)))*$E11</f>
        <v>0</v>
      </c>
      <c r="CS11" s="1021">
        <f>(VLOOKUP(YEAR($A11),'NY East Load Projections'!$A$4:$EO$14,((MONTH($A11)-1)*12)+VLOOKUP(CS$4,$DE$6:$DF$17,2)+1))*(VLOOKUP($A11,SatSunCurve,6))*(INDEX(DailyScalarsTable,CS$5/100,MONTH($A11)))*$E11</f>
        <v>0</v>
      </c>
      <c r="CT11" s="1021">
        <f>(VLOOKUP(YEAR($A11),'NY East Load Projections'!$A$4:$EO$14,((MONTH($A11)-1)*12)+VLOOKUP(CT$4,$DE$6:$DF$17,2)+1))*(VLOOKUP($A11,SatSunCurve,6))*(INDEX(DailyScalarsTable,CT$5/100,MONTH($A11)))*$E11</f>
        <v>0</v>
      </c>
      <c r="CU11" s="1021">
        <f>(VLOOKUP(YEAR($A11),'NY East Load Projections'!$A$4:$EO$14,((MONTH($A11)-1)*12)+VLOOKUP(CU$4,$DE$6:$DF$17,2)+1))*(VLOOKUP($A11,SatSunCurve,6))*(INDEX(DailyScalarsTable,CU$5/100,MONTH($A11)))*$E11</f>
        <v>0</v>
      </c>
      <c r="CV11" s="1021">
        <f>(VLOOKUP(YEAR($A11),'NY East Load Projections'!$A$4:$EO$14,((MONTH($A11)-1)*12)+VLOOKUP(CV$4,$DE$6:$DF$17,2)+1))*(VLOOKUP($A11,SatSunCurve,6))*(INDEX(DailyScalarsTable,CV$5/100,MONTH($A11)))*$E11</f>
        <v>0</v>
      </c>
      <c r="CW11" s="1021">
        <f>(VLOOKUP(YEAR($A11),'NY East Load Projections'!$A$4:$EO$14,((MONTH($A11)-1)*12)+VLOOKUP(CW$4,$DE$6:$DF$17,2)+1))*(VLOOKUP($A11,SatSunCurve,6))*(INDEX(DailyScalarsTable,CW$5/100,MONTH($A11)))*$E11</f>
        <v>0</v>
      </c>
      <c r="CX11" s="1021">
        <f>(VLOOKUP(YEAR($A11),'NY East Load Projections'!$A$4:$EO$14,((MONTH($A11)-1)*12)+VLOOKUP(CX$4,$DE$6:$DF$17,2)+1))*(VLOOKUP($A11,SatSunCurve,6))*(INDEX(DailyScalarsTable,CX$5/100,MONTH($A11)))*$E11</f>
        <v>0</v>
      </c>
      <c r="CY11" s="1021">
        <f>(VLOOKUP(YEAR($A11),'NY East Load Projections'!$A$4:$EO$14,((MONTH($A11)-1)*12)+VLOOKUP(CY$4,$DE$6:$DF$17,2)+1))*(VLOOKUP($A11,SatSunCurve,6))*(INDEX(DailyScalarsTable,CY$5/100,MONTH($A11)))*$E11</f>
        <v>0</v>
      </c>
      <c r="CZ11" s="1021">
        <f>(VLOOKUP(YEAR($A11),'NY East Load Projections'!$A$4:$EO$14,((MONTH($A11)-1)*12)+VLOOKUP(CZ$4,$DE$6:$DF$17,2)+1))*(VLOOKUP($A11,SatSunCurve,6))*(INDEX(DailyScalarsTable,CZ$5/100,MONTH($A11)))*$E11</f>
        <v>0</v>
      </c>
      <c r="DA11" s="1021">
        <f>(VLOOKUP(YEAR($A11),'NY East Load Projections'!$A$4:$EO$14,((MONTH($A11)-1)*12)+VLOOKUP(DA$4,$DE$6:$DF$17,2)+1))*(VLOOKUP($A11,SatSunCurve,6))*(INDEX(DailyScalarsTable,DA$5/100,MONTH($A11)))*$E11</f>
        <v>0</v>
      </c>
      <c r="DB11" s="1021">
        <f>(VLOOKUP(YEAR($A11),'NY East Load Projections'!$A$4:$EO$14,((MONTH($A11)-1)*12)+VLOOKUP(DB$4,$DE$6:$DF$17,2)+1))*(VLOOKUP($A11,CURVES!$D$9:$T$261,6))*(INDEX(DailyScalarsTable,DB$5/100,MONTH($A11)))*$E11</f>
        <v>0</v>
      </c>
      <c r="DE11" s="221" t="s">
        <v>563</v>
      </c>
      <c r="DF11" s="619">
        <v>6</v>
      </c>
      <c r="DH11" s="1021">
        <f t="shared" si="0"/>
        <v>-67667.788216462533</v>
      </c>
      <c r="DI11">
        <f ca="1">CALC!J31</f>
        <v>0.91115483222267024</v>
      </c>
      <c r="DJ11" s="1029">
        <f t="shared" ca="1" si="1"/>
        <v>-61655.8322192501</v>
      </c>
    </row>
    <row r="12" spans="1:114" x14ac:dyDescent="0.25">
      <c r="A12" s="244">
        <v>37073</v>
      </c>
      <c r="B12" s="13">
        <v>21</v>
      </c>
      <c r="C12" s="210">
        <v>4</v>
      </c>
      <c r="D12" s="210">
        <v>5</v>
      </c>
      <c r="E12" s="210">
        <v>1</v>
      </c>
      <c r="F12" s="13">
        <v>31</v>
      </c>
      <c r="H12" s="1021">
        <f>(VLOOKUP(YEAR($A12),'NY East Load Projections'!$A$4:$EO$14,((MONTH($A12)-1)*12)+VLOOKUP(H$4,$DE$6:$DF$17,2)+1))*(VLOOKUP($A12,CURVES!$D$9:$K$261,6))*(INDEX(DailyScalarsTable,H$5/100,MONTH($A12)))*$B12</f>
        <v>-47073.45919243036</v>
      </c>
      <c r="I12" s="1021">
        <f>(VLOOKUP(YEAR($A12),'NY East Load Projections'!$A$4:$EO$14,((MONTH($A12)-1)*12)+VLOOKUP(I$4,$DE$6:$DF$17,2)+1))*(VLOOKUP($A12,CURVES!$D$9:$K$261,6))*(INDEX(DailyScalarsTable,I$5/100,MONTH($A12)))*$B12</f>
        <v>-42998.47071876315</v>
      </c>
      <c r="J12" s="1021">
        <f>(VLOOKUP(YEAR($A12),'NY East Load Projections'!$A$4:$EO$14,((MONTH($A12)-1)*12)+VLOOKUP(J$4,$DE$6:$DF$17,2)+1))*(VLOOKUP($A12,CURVES!$D$9:$K$261,6))*(INDEX(DailyScalarsTable,J$5/100,MONTH($A12)))*$B12</f>
        <v>-40970.154383897272</v>
      </c>
      <c r="K12" s="1021">
        <f>(VLOOKUP(YEAR($A12),'NY East Load Projections'!$A$4:$EO$14,((MONTH($A12)-1)*12)+VLOOKUP(K$4,$DE$6:$DF$17,2)+1))*(VLOOKUP($A12,CURVES!$D$9:$K$261,6))*(INDEX(DailyScalarsTable,K$5/100,MONTH($A12)))*$B12</f>
        <v>-36895.165910230062</v>
      </c>
      <c r="L12" s="1021">
        <f>(VLOOKUP(YEAR($A12),'NY East Load Projections'!$A$4:$EO$14,((MONTH($A12)-1)*12)+VLOOKUP(L$4,$DE$6:$DF$17,2)+1))*(VLOOKUP($A12,CURVES!$D$9:$K$261,6))*(INDEX(DailyScalarsTable,L$5/100,MONTH($A12)))*$B12</f>
        <v>-36233.196700796521</v>
      </c>
      <c r="M12" s="1021">
        <f>(VLOOKUP(YEAR($A12),'NY East Load Projections'!$A$4:$EO$14,((MONTH($A12)-1)*12)+VLOOKUP(M$4,$DE$6:$DF$17,2)+1))*(VLOOKUP($A12,CURVES!$D$9:$K$261,6))*(INDEX(DailyScalarsTable,M$5/100,MONTH($A12)))*$B12</f>
        <v>-39945.770052476655</v>
      </c>
      <c r="N12" s="1021">
        <f>(VLOOKUP(YEAR($A12),'NY East Load Projections'!$A$4:$EO$14,((MONTH($A12)-1)*12)+VLOOKUP(N$4,$DE$6:$DF$17,2)+1))*(VLOOKUP($A12,CURVES!$D$9:$K$261,6))*(INDEX(DailyScalarsTable,N$5/100,MONTH($A12)))*$B12</f>
        <v>-44360.978769947928</v>
      </c>
      <c r="O12" s="1021">
        <f>(VLOOKUP(YEAR($A12),'NY East Load Projections'!$A$4:$EO$14,((MONTH($A12)-1)*12)+VLOOKUP(O$4,$DE$6:$DF$17,2)+1))*(VLOOKUP($A12,CURVES!$D$9:$K$261,2))*(INDEX(DailyScalarsTable,O$5/100,MONTH($A12)))*$B12</f>
        <v>-81387.443856982747</v>
      </c>
      <c r="P12" s="1021">
        <f>(VLOOKUP(YEAR($A12),'NY East Load Projections'!$A$4:$EO$14,((MONTH($A12)-1)*12)+VLOOKUP(P$4,$DE$6:$DF$17,2)+1))*(VLOOKUP($A12,CURVES!$D$9:$K$261,2))*(INDEX(DailyScalarsTable,P$5/100,MONTH($A12)))*$B12</f>
        <v>-95394.996006158472</v>
      </c>
      <c r="Q12" s="1021">
        <f>(VLOOKUP(YEAR($A12),'NY East Load Projections'!$A$4:$EO$14,((MONTH($A12)-1)*12)+VLOOKUP(Q$4,$DE$6:$DF$17,2)+1))*(VLOOKUP($A12,CURVES!$D$9:$K$261,2))*(INDEX(DailyScalarsTable,Q$5/100,MONTH($A12)))*$B12</f>
        <v>-114213.96107467702</v>
      </c>
      <c r="R12" s="1021">
        <f>(VLOOKUP(YEAR($A12),'NY East Load Projections'!$A$4:$EO$14,((MONTH($A12)-1)*12)+VLOOKUP(R$4,$DE$6:$DF$17,2)+1))*(VLOOKUP($A12,CURVES!$D$9:$K$261,2))*(INDEX(DailyScalarsTable,R$5/100,MONTH($A12)))*$B12</f>
        <v>-129963.4510714785</v>
      </c>
      <c r="S12" s="1021">
        <f>(VLOOKUP(YEAR($A12),'NY East Load Projections'!$A$4:$EO$14,((MONTH($A12)-1)*12)+VLOOKUP(S$4,$DE$6:$DF$17,2)+1))*(VLOOKUP($A12,CURVES!$D$9:$K$261,2))*(INDEX(DailyScalarsTable,S$5/100,MONTH($A12)))*$B12</f>
        <v>-155377.09620674292</v>
      </c>
      <c r="T12" s="1021">
        <f>(VLOOKUP(YEAR($A12),'NY East Load Projections'!$A$4:$EO$14,((MONTH($A12)-1)*12)+VLOOKUP(T$4,$DE$6:$DF$17,2)+1))*(VLOOKUP($A12,CURVES!$D$9:$K$261,2))*(INDEX(DailyScalarsTable,T$5/100,MONTH($A12)))*$B12</f>
        <v>-171878.81711319301</v>
      </c>
      <c r="U12" s="1021">
        <f>(VLOOKUP(YEAR($A12),'NY East Load Projections'!$A$4:$EO$14,((MONTH($A12)-1)*12)+VLOOKUP(U$4,$DE$6:$DF$17,2)+1))*(VLOOKUP($A12,CURVES!$D$9:$K$261,2))*(INDEX(DailyScalarsTable,U$5/100,MONTH($A12)))*$B12</f>
        <v>-177663.71781440408</v>
      </c>
      <c r="V12" s="1021">
        <f>(VLOOKUP(YEAR($A12),'NY East Load Projections'!$A$4:$EO$14,((MONTH($A12)-1)*12)+VLOOKUP(V$4,$DE$6:$DF$17,2)+1))*(VLOOKUP($A12,CURVES!$D$9:$K$261,2))*(INDEX(DailyScalarsTable,V$5/100,MONTH($A12)))*$B12</f>
        <v>-185063.00940897642</v>
      </c>
      <c r="W12" s="1021">
        <f>(VLOOKUP(YEAR($A12),'NY East Load Projections'!$A$4:$EO$14,((MONTH($A12)-1)*12)+VLOOKUP(W$4,$DE$6:$DF$17,2)+1))*(VLOOKUP($A12,CURVES!$D$9:$K$261,2))*(INDEX(DailyScalarsTable,W$5/100,MONTH($A12)))*$B12</f>
        <v>-196404.10543483915</v>
      </c>
      <c r="X12" s="1021">
        <f>(VLOOKUP(YEAR($A12),'NY East Load Projections'!$A$4:$EO$14,((MONTH($A12)-1)*12)+VLOOKUP(X$4,$DE$6:$DF$17,2)+1))*(VLOOKUP($A12,CURVES!$D$9:$K$261,2))*(INDEX(DailyScalarsTable,X$5/100,MONTH($A12)))*$B12</f>
        <v>-194878.04408498289</v>
      </c>
      <c r="Y12" s="1021">
        <f>(VLOOKUP(YEAR($A12),'NY East Load Projections'!$A$4:$EO$14,((MONTH($A12)-1)*12)+VLOOKUP(Y$4,$DE$6:$DF$17,2)+1))*(VLOOKUP($A12,CURVES!$D$9:$K$261,2))*(INDEX(DailyScalarsTable,Y$5/100,MONTH($A12)))*$B12</f>
        <v>-190048.95280384942</v>
      </c>
      <c r="Z12" s="1021">
        <f>(VLOOKUP(YEAR($A12),'NY East Load Projections'!$A$4:$EO$14,((MONTH($A12)-1)*12)+VLOOKUP(Z$4,$DE$6:$DF$17,2)+1))*(VLOOKUP($A12,CURVES!$D$9:$K$261,2))*(INDEX(DailyScalarsTable,Z$5/100,MONTH($A12)))*$B12</f>
        <v>-158731.83780181032</v>
      </c>
      <c r="AA12" s="1021">
        <f>(VLOOKUP(YEAR($A12),'NY East Load Projections'!$A$4:$EO$14,((MONTH($A12)-1)*12)+VLOOKUP(AA$4,$DE$6:$DF$17,2)+1))*(VLOOKUP($A12,CURVES!$D$9:$K$261,2))*(INDEX(DailyScalarsTable,AA$5/100,MONTH($A12)))*$B12</f>
        <v>-117455.53996794854</v>
      </c>
      <c r="AB12" s="1021">
        <f>(VLOOKUP(YEAR($A12),'NY East Load Projections'!$A$4:$EO$14,((MONTH($A12)-1)*12)+VLOOKUP(AB$4,$DE$6:$DF$17,2)+1))*(VLOOKUP($A12,CURVES!$D$9:$K$261,2))*(INDEX(DailyScalarsTable,AB$5/100,MONTH($A12)))*$B12</f>
        <v>-124601.9050723051</v>
      </c>
      <c r="AC12" s="1021">
        <f>(VLOOKUP(YEAR($A12),'NY East Load Projections'!$A$4:$EO$14,((MONTH($A12)-1)*12)+VLOOKUP(AC$4,$DE$6:$DF$17,2)+1))*(VLOOKUP($A12,CURVES!$D$9:$K$261,2))*(INDEX(DailyScalarsTable,AC$5/100,MONTH($A12)))*$B12</f>
        <v>-132032.58179264405</v>
      </c>
      <c r="AD12" s="1021">
        <f>(VLOOKUP(YEAR($A12),'NY East Load Projections'!$A$4:$EO$14,((MONTH($A12)-1)*12)+VLOOKUP(AD$4,$DE$6:$DF$17,2)+1))*(VLOOKUP($A12,CURVES!$D$9:$K$261,2))*(INDEX(DailyScalarsTable,AD$5/100,MONTH($A12)))*$B12</f>
        <v>-91691.036219722868</v>
      </c>
      <c r="AE12" s="1021">
        <f>(VLOOKUP(YEAR($A12),'NY East Load Projections'!$A$4:$EO$14,((MONTH($A12)-1)*12)+VLOOKUP(AE$4,$DE$6:$DF$17,2)+1))*(VLOOKUP($A12,CURVES!$D$9:$K$261,6))*(INDEX(DailyScalarsTable,AE$5/100,MONTH($A12)))*$B12</f>
        <v>-54793.007243498687</v>
      </c>
      <c r="AF12" s="1021"/>
      <c r="AG12" s="1021">
        <f>(VLOOKUP(YEAR($A12),'NY East Load Projections'!$A$4:$EO$14,((MONTH($A12)-1)*12)+VLOOKUP(AG$4,$DE$6:$DF$17,2)+1))*(VLOOKUP($A12,CURVES!$D$9:$T$261,6))*(INDEX(DailyScalarsTable,AG$5/100,MONTH($A12)))*$C12</f>
        <v>-8669.4626261892481</v>
      </c>
      <c r="AH12" s="1021">
        <f>(VLOOKUP(YEAR($A12),'NY East Load Projections'!$A$4:$EO$14,((MONTH($A12)-1)*12)+VLOOKUP(AH$4,$DE$6:$DF$17,2)+1))*(VLOOKUP($A12,CURVES!$D$9:$T$261,6))*(INDEX(DailyScalarsTable,AH$5/100,MONTH($A12)))*$C12</f>
        <v>-7918.9768773048572</v>
      </c>
      <c r="AI12" s="1021">
        <f>(VLOOKUP(YEAR($A12),'NY East Load Projections'!$A$4:$EO$14,((MONTH($A12)-1)*12)+VLOOKUP(AI$4,$DE$6:$DF$17,2)+1))*(VLOOKUP($A12,CURVES!$D$9:$T$261,6))*(INDEX(DailyScalarsTable,AI$5/100,MONTH($A12)))*$C12</f>
        <v>-7545.4242860808736</v>
      </c>
      <c r="AJ12" s="1021">
        <f>(VLOOKUP(YEAR($A12),'NY East Load Projections'!$A$4:$EO$14,((MONTH($A12)-1)*12)+VLOOKUP(AJ$4,$DE$6:$DF$17,2)+1))*(VLOOKUP($A12,CURVES!$D$9:$T$261,6))*(INDEX(DailyScalarsTable,AJ$5/100,MONTH($A12)))*$C12</f>
        <v>-6794.9385371964836</v>
      </c>
      <c r="AK12" s="1021">
        <f>(VLOOKUP(YEAR($A12),'NY East Load Projections'!$A$4:$EO$14,((MONTH($A12)-1)*12)+VLOOKUP(AK$4,$DE$6:$DF$17,2)+1))*(VLOOKUP($A12,CURVES!$D$9:$T$261,6))*(INDEX(DailyScalarsTable,AK$5/100,MONTH($A12)))*$C12</f>
        <v>-6548.1695728402556</v>
      </c>
      <c r="AL12" s="1021">
        <f>(VLOOKUP(YEAR($A12),'NY East Load Projections'!$A$4:$EO$14,((MONTH($A12)-1)*12)+VLOOKUP(AL$4,$DE$6:$DF$17,2)+1))*(VLOOKUP($A12,CURVES!$D$9:$T$261,6))*(INDEX(DailyScalarsTable,AL$5/100,MONTH($A12)))*$C12</f>
        <v>-7219.116717227188</v>
      </c>
      <c r="AM12" s="1021">
        <f>(VLOOKUP(YEAR($A12),'NY East Load Projections'!$A$4:$EO$14,((MONTH($A12)-1)*12)+VLOOKUP(AM$4,$DE$6:$DF$17,2)+1))*(VLOOKUP($A12,CURVES!$D$9:$T$261,6))*(INDEX(DailyScalarsTable,AM$5/100,MONTH($A12)))*$C12</f>
        <v>-8017.0461856157408</v>
      </c>
      <c r="AN12" s="1021">
        <f>(VLOOKUP(YEAR($A12),'NY East Load Projections'!$A$4:$EO$14,((MONTH($A12)-1)*12)+VLOOKUP(AN$4,$DE$6:$DF$17,2)+1))*(VLOOKUP($A12,SatSunCurve,2))*(INDEX(DailyScalarsTable,AN$5/100,MONTH($A12)))*$C12</f>
        <v>-7867.3013937731303</v>
      </c>
      <c r="AO12" s="1021">
        <f>(VLOOKUP(YEAR($A12),'NY East Load Projections'!$A$4:$EO$14,((MONTH($A12)-1)*12)+VLOOKUP(AO$4,$DE$6:$DF$17,2)+1))*(VLOOKUP($A12,SatSunCurve,2))*(INDEX(DailyScalarsTable,AO$5/100,MONTH($A12)))*$C12</f>
        <v>-9281.9492780840737</v>
      </c>
      <c r="AP12" s="1021">
        <f>(VLOOKUP(YEAR($A12),'NY East Load Projections'!$A$4:$EO$14,((MONTH($A12)-1)*12)+VLOOKUP(AP$4,$DE$6:$DF$17,2)+1))*(VLOOKUP($A12,SatSunCurve,2))*(INDEX(DailyScalarsTable,AP$5/100,MONTH($A12)))*$C12</f>
        <v>-11113.037768519656</v>
      </c>
      <c r="AQ12" s="1021">
        <f>(VLOOKUP(YEAR($A12),'NY East Load Projections'!$A$4:$EO$14,((MONTH($A12)-1)*12)+VLOOKUP(AQ$4,$DE$6:$DF$17,2)+1))*(VLOOKUP($A12,SatSunCurve,2))*(INDEX(DailyScalarsTable,AQ$5/100,MONTH($A12)))*$C12</f>
        <v>-12645.465814290175</v>
      </c>
      <c r="AR12" s="1021">
        <f>(VLOOKUP(YEAR($A12),'NY East Load Projections'!$A$4:$EO$14,((MONTH($A12)-1)*12)+VLOOKUP(AR$4,$DE$6:$DF$17,2)+1))*(VLOOKUP($A12,SatSunCurve,2))*(INDEX(DailyScalarsTable,AR$5/100,MONTH($A12)))*$C12</f>
        <v>-15118.217792827121</v>
      </c>
      <c r="AS12" s="1021">
        <f>(VLOOKUP(YEAR($A12),'NY East Load Projections'!$A$4:$EO$14,((MONTH($A12)-1)*12)+VLOOKUP(AS$4,$DE$6:$DF$17,2)+1))*(VLOOKUP($A12,SatSunCurve,2))*(INDEX(DailyScalarsTable,AS$5/100,MONTH($A12)))*$C12</f>
        <v>-16846.584896337296</v>
      </c>
      <c r="AT12" s="1021">
        <f>(VLOOKUP(YEAR($A12),'NY East Load Projections'!$A$4:$EO$14,((MONTH($A12)-1)*12)+VLOOKUP(AT$4,$DE$6:$DF$17,2)+1))*(VLOOKUP($A12,SatSunCurve,2))*(INDEX(DailyScalarsTable,AT$5/100,MONTH($A12)))*$C12</f>
        <v>-17413.587988496423</v>
      </c>
      <c r="AU12" s="1021">
        <f>(VLOOKUP(YEAR($A12),'NY East Load Projections'!$A$4:$EO$14,((MONTH($A12)-1)*12)+VLOOKUP(AU$4,$DE$6:$DF$17,2)+1))*(VLOOKUP($A12,SatSunCurve,2))*(INDEX(DailyScalarsTable,AU$5/100,MONTH($A12)))*$C12</f>
        <v>-18138.824501723215</v>
      </c>
      <c r="AV12" s="1021">
        <f>(VLOOKUP(YEAR($A12),'NY East Load Projections'!$A$4:$EO$14,((MONTH($A12)-1)*12)+VLOOKUP(AV$4,$DE$6:$DF$17,2)+1))*(VLOOKUP($A12,SatSunCurve,2))*(INDEX(DailyScalarsTable,AV$5/100,MONTH($A12)))*$C12</f>
        <v>-19250.41428472356</v>
      </c>
      <c r="AW12" s="1021">
        <f>(VLOOKUP(YEAR($A12),'NY East Load Projections'!$A$4:$EO$14,((MONTH($A12)-1)*12)+VLOOKUP(AW$4,$DE$6:$DF$17,2)+1))*(VLOOKUP($A12,SatSunCurve,2))*(INDEX(DailyScalarsTable,AW$5/100,MONTH($A12)))*$C12</f>
        <v>-19082.681407773645</v>
      </c>
      <c r="AX12" s="1021">
        <f>(VLOOKUP(YEAR($A12),'NY East Load Projections'!$A$4:$EO$14,((MONTH($A12)-1)*12)+VLOOKUP(AX$4,$DE$6:$DF$17,2)+1))*(VLOOKUP($A12,SatSunCurve,2))*(INDEX(DailyScalarsTable,AX$5/100,MONTH($A12)))*$C12</f>
        <v>-18609.811255368266</v>
      </c>
      <c r="AY12" s="1021">
        <f>(VLOOKUP(YEAR($A12),'NY East Load Projections'!$A$4:$EO$14,((MONTH($A12)-1)*12)+VLOOKUP(AY$4,$DE$6:$DF$17,2)+1))*(VLOOKUP($A12,SatSunCurve,2))*(INDEX(DailyScalarsTable,AY$5/100,MONTH($A12)))*$C12</f>
        <v>-15543.203464836917</v>
      </c>
      <c r="AZ12" s="1021">
        <f>(VLOOKUP(YEAR($A12),'NY East Load Projections'!$A$4:$EO$14,((MONTH($A12)-1)*12)+VLOOKUP(AZ$4,$DE$6:$DF$17,2)+1))*(VLOOKUP($A12,SatSunCurve,2))*(INDEX(DailyScalarsTable,AZ$5/100,MONTH($A12)))*$C12</f>
        <v>-11501.381078152473</v>
      </c>
      <c r="BA12" s="1021">
        <f>(VLOOKUP(YEAR($A12),'NY East Load Projections'!$A$4:$EO$14,((MONTH($A12)-1)*12)+VLOOKUP(BA$4,$DE$6:$DF$17,2)+1))*(VLOOKUP($A12,SatSunCurve,2))*(INDEX(DailyScalarsTable,BA$5/100,MONTH($A12)))*$C12</f>
        <v>-12316.870405931748</v>
      </c>
      <c r="BB12" s="1021">
        <f>(VLOOKUP(YEAR($A12),'NY East Load Projections'!$A$4:$EO$14,((MONTH($A12)-1)*12)+VLOOKUP(BB$4,$DE$6:$DF$17,2)+1))*(VLOOKUP($A12,SatSunCurve,2))*(INDEX(DailyScalarsTable,BB$5/100,MONTH($A12)))*$C12</f>
        <v>-13051.391135287204</v>
      </c>
      <c r="BC12" s="1021">
        <f>(VLOOKUP(YEAR($A12),'NY East Load Projections'!$A$4:$EO$14,((MONTH($A12)-1)*12)+VLOOKUP(BC$4,$DE$6:$DF$17,2)+1))*(VLOOKUP($A12,SatSunCurve,2))*(INDEX(DailyScalarsTable,BC$5/100,MONTH($A12)))*$C12</f>
        <v>-9063.6383917932326</v>
      </c>
      <c r="BD12" s="1021">
        <f>(VLOOKUP(YEAR($A12),'NY East Load Projections'!$A$4:$EO$14,((MONTH($A12)-1)*12)+VLOOKUP(BD$4,$DE$6:$DF$17,2)+1))*(VLOOKUP($A12,CURVES!$D$9:$T$261,6))*(INDEX(DailyScalarsTable,BD$5/100,MONTH($A12)))*$C12</f>
        <v>-10126.181624814562</v>
      </c>
      <c r="BE12" s="1021"/>
      <c r="BF12" s="1021">
        <f>(VLOOKUP(YEAR($A12),'NY East Load Projections'!$A$4:$EO$14,((MONTH($A12)-1)*12)+VLOOKUP(BF$4,$DE$6:$DF$17,2)+1))*(VLOOKUP($A12,CURVES!$D$9:$T$261,6))*(INDEX(DailyScalarsTable,BF$5/100,MONTH($A12)))*$D12</f>
        <v>-10836.82828273656</v>
      </c>
      <c r="BG12" s="1021">
        <f>(VLOOKUP(YEAR($A12),'NY East Load Projections'!$A$4:$EO$14,((MONTH($A12)-1)*12)+VLOOKUP(BG$4,$DE$6:$DF$17,2)+1))*(VLOOKUP($A12,CURVES!$D$9:$T$261,6))*(INDEX(DailyScalarsTable,BG$5/100,MONTH($A12)))*$D12</f>
        <v>-9898.7210966310722</v>
      </c>
      <c r="BH12" s="1021">
        <f>(VLOOKUP(YEAR($A12),'NY East Load Projections'!$A$4:$EO$14,((MONTH($A12)-1)*12)+VLOOKUP(BH$4,$DE$6:$DF$17,2)+1))*(VLOOKUP($A12,CURVES!$D$9:$T$261,6))*(INDEX(DailyScalarsTable,BH$5/100,MONTH($A12)))*$D12</f>
        <v>-9431.780357601092</v>
      </c>
      <c r="BI12" s="1021">
        <f>(VLOOKUP(YEAR($A12),'NY East Load Projections'!$A$4:$EO$14,((MONTH($A12)-1)*12)+VLOOKUP(BI$4,$DE$6:$DF$17,2)+1))*(VLOOKUP($A12,CURVES!$D$9:$T$261,6))*(INDEX(DailyScalarsTable,BI$5/100,MONTH($A12)))*$D12</f>
        <v>-8493.673171495604</v>
      </c>
      <c r="BJ12" s="1021">
        <f>(VLOOKUP(YEAR($A12),'NY East Load Projections'!$A$4:$EO$14,((MONTH($A12)-1)*12)+VLOOKUP(BJ$4,$DE$6:$DF$17,2)+1))*(VLOOKUP($A12,CURVES!$D$9:$T$261,6))*(INDEX(DailyScalarsTable,BJ$5/100,MONTH($A12)))*$D12</f>
        <v>-8185.2119660503195</v>
      </c>
      <c r="BK12" s="1021">
        <f>(VLOOKUP(YEAR($A12),'NY East Load Projections'!$A$4:$EO$14,((MONTH($A12)-1)*12)+VLOOKUP(BK$4,$DE$6:$DF$17,2)+1))*(VLOOKUP($A12,CURVES!$D$9:$T$261,6))*(INDEX(DailyScalarsTable,BK$5/100,MONTH($A12)))*$D12</f>
        <v>-9023.8958965339843</v>
      </c>
      <c r="BL12" s="1021">
        <f>(VLOOKUP(YEAR($A12),'NY East Load Projections'!$A$4:$EO$14,((MONTH($A12)-1)*12)+VLOOKUP(BL$4,$DE$6:$DF$17,2)+1))*(VLOOKUP($A12,CURVES!$D$9:$T$261,6))*(INDEX(DailyScalarsTable,BL$5/100,MONTH($A12)))*$D12</f>
        <v>-10021.307732019675</v>
      </c>
      <c r="BM12" s="1021">
        <f>(VLOOKUP(YEAR($A12),'NY East Load Projections'!$A$4:$EO$14,((MONTH($A12)-1)*12)+VLOOKUP(BM$4,$DE$6:$DF$17,2)+1))*(VLOOKUP($A12,SatSunCurve,6))*(INDEX(DailyScalarsTable,BM$5/100,MONTH($A12)))*$D12</f>
        <v>-7085.5251328158829</v>
      </c>
      <c r="BN12" s="1021">
        <f>(VLOOKUP(YEAR($A12),'NY East Load Projections'!$A$4:$EO$14,((MONTH($A12)-1)*12)+VLOOKUP(BN$4,$DE$6:$DF$17,2)+1))*(VLOOKUP($A12,SatSunCurve,6))*(INDEX(DailyScalarsTable,BN$5/100,MONTH($A12)))*$D12</f>
        <v>-8359.5990034703736</v>
      </c>
      <c r="BO12" s="1021">
        <f>(VLOOKUP(YEAR($A12),'NY East Load Projections'!$A$4:$EO$14,((MONTH($A12)-1)*12)+VLOOKUP(BO$4,$DE$6:$DF$17,2)+1))*(VLOOKUP($A12,SatSunCurve,6))*(INDEX(DailyScalarsTable,BO$5/100,MONTH($A12)))*$D12</f>
        <v>-10008.731643750323</v>
      </c>
      <c r="BP12" s="1021">
        <f>(VLOOKUP(YEAR($A12),'NY East Load Projections'!$A$4:$EO$14,((MONTH($A12)-1)*12)+VLOOKUP(BP$4,$DE$6:$DF$17,2)+1))*(VLOOKUP($A12,SatSunCurve,6))*(INDEX(DailyScalarsTable,BP$5/100,MONTH($A12)))*$D12</f>
        <v>-11388.881823471791</v>
      </c>
      <c r="BQ12" s="1021">
        <f>(VLOOKUP(YEAR($A12),'NY East Load Projections'!$A$4:$EO$14,((MONTH($A12)-1)*12)+VLOOKUP(BQ$4,$DE$6:$DF$17,2)+1))*(VLOOKUP($A12,SatSunCurve,6))*(INDEX(DailyScalarsTable,BQ$5/100,MONTH($A12)))*$D12</f>
        <v>-13615.915645388308</v>
      </c>
      <c r="BR12" s="1021">
        <f>(VLOOKUP(YEAR($A12),'NY East Load Projections'!$A$4:$EO$14,((MONTH($A12)-1)*12)+VLOOKUP(BR$4,$DE$6:$DF$17,2)+1))*(VLOOKUP($A12,SatSunCurve,6))*(INDEX(DailyScalarsTable,BR$5/100,MONTH($A12)))*$D12</f>
        <v>-15172.534355883676</v>
      </c>
      <c r="BS12" s="1021">
        <f>(VLOOKUP(YEAR($A12),'NY East Load Projections'!$A$4:$EO$14,((MONTH($A12)-1)*12)+VLOOKUP(BS$4,$DE$6:$DF$17,2)+1))*(VLOOKUP($A12,SatSunCurve,6))*(INDEX(DailyScalarsTable,BS$5/100,MONTH($A12)))*$D12</f>
        <v>-15683.19416905133</v>
      </c>
      <c r="BT12" s="1021">
        <f>(VLOOKUP(YEAR($A12),'NY East Load Projections'!$A$4:$EO$14,((MONTH($A12)-1)*12)+VLOOKUP(BT$4,$DE$6:$DF$17,2)+1))*(VLOOKUP($A12,SatSunCurve,6))*(INDEX(DailyScalarsTable,BT$5/100,MONTH($A12)))*$D12</f>
        <v>-16336.363697521589</v>
      </c>
      <c r="BU12" s="1021">
        <f>(VLOOKUP(YEAR($A12),'NY East Load Projections'!$A$4:$EO$14,((MONTH($A12)-1)*12)+VLOOKUP(BU$4,$DE$6:$DF$17,2)+1))*(VLOOKUP($A12,SatSunCurve,6))*(INDEX(DailyScalarsTable,BU$5/100,MONTH($A12)))*$D12</f>
        <v>-17337.494447522371</v>
      </c>
      <c r="BV12" s="1021">
        <f>(VLOOKUP(YEAR($A12),'NY East Load Projections'!$A$4:$EO$14,((MONTH($A12)-1)*12)+VLOOKUP(BV$4,$DE$6:$DF$17,2)+1))*(VLOOKUP($A12,SatSunCurve,6))*(INDEX(DailyScalarsTable,BV$5/100,MONTH($A12)))*$D12</f>
        <v>-17186.4292403131</v>
      </c>
      <c r="BW12" s="1021">
        <f>(VLOOKUP(YEAR($A12),'NY East Load Projections'!$A$4:$EO$14,((MONTH($A12)-1)*12)+VLOOKUP(BW$4,$DE$6:$DF$17,2)+1))*(VLOOKUP($A12,SatSunCurve,6))*(INDEX(DailyScalarsTable,BW$5/100,MONTH($A12)))*$D12</f>
        <v>-16760.548346506403</v>
      </c>
      <c r="BX12" s="1021">
        <f>(VLOOKUP(YEAR($A12),'NY East Load Projections'!$A$4:$EO$14,((MONTH($A12)-1)*12)+VLOOKUP(BX$4,$DE$6:$DF$17,2)+1))*(VLOOKUP($A12,SatSunCurve,6))*(INDEX(DailyScalarsTable,BX$5/100,MONTH($A12)))*$D12</f>
        <v>-13998.670354963237</v>
      </c>
      <c r="BY12" s="1021">
        <f>(VLOOKUP(YEAR($A12),'NY East Load Projections'!$A$4:$EO$14,((MONTH($A12)-1)*12)+VLOOKUP(BY$4,$DE$6:$DF$17,2)+1))*(VLOOKUP($A12,SatSunCurve,6))*(INDEX(DailyScalarsTable,BY$5/100,MONTH($A12)))*$D12</f>
        <v>-10358.485154241494</v>
      </c>
      <c r="BZ12" s="1021">
        <f>(VLOOKUP(YEAR($A12),'NY East Load Projections'!$A$4:$EO$14,((MONTH($A12)-1)*12)+VLOOKUP(BZ$4,$DE$6:$DF$17,2)+1))*(VLOOKUP($A12,SatSunCurve,6))*(INDEX(DailyScalarsTable,BZ$5/100,MONTH($A12)))*$D12</f>
        <v>-11092.939046156262</v>
      </c>
      <c r="CA12" s="1021">
        <f>(VLOOKUP(YEAR($A12),'NY East Load Projections'!$A$4:$EO$14,((MONTH($A12)-1)*12)+VLOOKUP(CA$4,$DE$6:$DF$17,2)+1))*(VLOOKUP($A12,SatSunCurve,6))*(INDEX(DailyScalarsTable,CA$5/100,MONTH($A12)))*$D12</f>
        <v>-11754.4702152229</v>
      </c>
      <c r="CB12" s="1021">
        <f>(VLOOKUP(YEAR($A12),'NY East Load Projections'!$A$4:$EO$14,((MONTH($A12)-1)*12)+VLOOKUP(CB$4,$DE$6:$DF$17,2)+1))*(VLOOKUP($A12,SatSunCurve,6))*(INDEX(DailyScalarsTable,CB$5/100,MONTH($A12)))*$D12</f>
        <v>-8162.9817399185549</v>
      </c>
      <c r="CC12" s="1021">
        <f>(VLOOKUP(YEAR($A12),'NY East Load Projections'!$A$4:$EO$14,((MONTH($A12)-1)*12)+VLOOKUP(CC$4,$DE$6:$DF$17,2)+1))*(VLOOKUP($A12,CURVES!$D$9:$T$261,6))*(INDEX(DailyScalarsTable,CC$5/100,MONTH($A12)))*$D12</f>
        <v>-12657.727031018203</v>
      </c>
      <c r="CE12" s="1021">
        <f>(VLOOKUP(YEAR($A12),'NY East Load Projections'!$A$4:$EO$14,((MONTH($A12)-1)*12)+VLOOKUP(CE$4,$DE$6:$DF$17,2)+1))*(VLOOKUP($A12,CURVES!$D$9:$T$261,6))*(INDEX(DailyScalarsTable,CE$5/100,MONTH($A12)))*$E12</f>
        <v>-2167.365656547312</v>
      </c>
      <c r="CF12" s="1021">
        <f>(VLOOKUP(YEAR($A12),'NY East Load Projections'!$A$4:$EO$14,((MONTH($A12)-1)*12)+VLOOKUP(CF$4,$DE$6:$DF$17,2)+1))*(VLOOKUP($A12,CURVES!$D$9:$T$261,6))*(INDEX(DailyScalarsTable,CF$5/100,MONTH($A12)))*$E12</f>
        <v>-1979.7442193262143</v>
      </c>
      <c r="CG12" s="1021">
        <f>(VLOOKUP(YEAR($A12),'NY East Load Projections'!$A$4:$EO$14,((MONTH($A12)-1)*12)+VLOOKUP(CG$4,$DE$6:$DF$17,2)+1))*(VLOOKUP($A12,CURVES!$D$9:$T$261,6))*(INDEX(DailyScalarsTable,CG$5/100,MONTH($A12)))*$E12</f>
        <v>-1886.3560715202184</v>
      </c>
      <c r="CH12" s="1021">
        <f>(VLOOKUP(YEAR($A12),'NY East Load Projections'!$A$4:$EO$14,((MONTH($A12)-1)*12)+VLOOKUP(CH$4,$DE$6:$DF$17,2)+1))*(VLOOKUP($A12,CURVES!$D$9:$T$261,6))*(INDEX(DailyScalarsTable,CH$5/100,MONTH($A12)))*$E12</f>
        <v>-1698.7346342991209</v>
      </c>
      <c r="CI12" s="1021">
        <f>(VLOOKUP(YEAR($A12),'NY East Load Projections'!$A$4:$EO$14,((MONTH($A12)-1)*12)+VLOOKUP(CI$4,$DE$6:$DF$17,2)+1))*(VLOOKUP($A12,CURVES!$D$9:$T$261,6))*(INDEX(DailyScalarsTable,CI$5/100,MONTH($A12)))*$E12</f>
        <v>-1637.0423932100639</v>
      </c>
      <c r="CJ12" s="1021">
        <f>(VLOOKUP(YEAR($A12),'NY East Load Projections'!$A$4:$EO$14,((MONTH($A12)-1)*12)+VLOOKUP(CJ$4,$DE$6:$DF$17,2)+1))*(VLOOKUP($A12,CURVES!$D$9:$T$261,6))*(INDEX(DailyScalarsTable,CJ$5/100,MONTH($A12)))*$E12</f>
        <v>-1804.779179306797</v>
      </c>
      <c r="CK12" s="1021">
        <f>(VLOOKUP(YEAR($A12),'NY East Load Projections'!$A$4:$EO$14,((MONTH($A12)-1)*12)+VLOOKUP(CK$4,$DE$6:$DF$17,2)+1))*(VLOOKUP($A12,CURVES!$D$9:$T$261,6))*(INDEX(DailyScalarsTable,CK$5/100,MONTH($A12)))*$E12</f>
        <v>-2004.2615464039352</v>
      </c>
      <c r="CL12" s="1021">
        <f>(VLOOKUP(YEAR($A12),'NY East Load Projections'!$A$4:$EO$14,((MONTH($A12)-1)*12)+VLOOKUP(CL$4,$DE$6:$DF$17,2)+1))*(VLOOKUP($A12,SatSunCurve,6))*(INDEX(DailyScalarsTable,CL$5/100,MONTH($A12)))*$E12</f>
        <v>-1417.1050265631766</v>
      </c>
      <c r="CM12" s="1021">
        <f>(VLOOKUP(YEAR($A12),'NY East Load Projections'!$A$4:$EO$14,((MONTH($A12)-1)*12)+VLOOKUP(CM$4,$DE$6:$DF$17,2)+1))*(VLOOKUP($A12,SatSunCurve,6))*(INDEX(DailyScalarsTable,CM$5/100,MONTH($A12)))*$E12</f>
        <v>-1671.9198006940746</v>
      </c>
      <c r="CN12" s="1021">
        <f>(VLOOKUP(YEAR($A12),'NY East Load Projections'!$A$4:$EO$14,((MONTH($A12)-1)*12)+VLOOKUP(CN$4,$DE$6:$DF$17,2)+1))*(VLOOKUP($A12,SatSunCurve,6))*(INDEX(DailyScalarsTable,CN$5/100,MONTH($A12)))*$E12</f>
        <v>-2001.7463287500645</v>
      </c>
      <c r="CO12" s="1021">
        <f>(VLOOKUP(YEAR($A12),'NY East Load Projections'!$A$4:$EO$14,((MONTH($A12)-1)*12)+VLOOKUP(CO$4,$DE$6:$DF$17,2)+1))*(VLOOKUP($A12,SatSunCurve,6))*(INDEX(DailyScalarsTable,CO$5/100,MONTH($A12)))*$E12</f>
        <v>-2277.7763646943581</v>
      </c>
      <c r="CP12" s="1021">
        <f>(VLOOKUP(YEAR($A12),'NY East Load Projections'!$A$4:$EO$14,((MONTH($A12)-1)*12)+VLOOKUP(CP$4,$DE$6:$DF$17,2)+1))*(VLOOKUP($A12,SatSunCurve,6))*(INDEX(DailyScalarsTable,CP$5/100,MONTH($A12)))*$E12</f>
        <v>-2723.1831290776618</v>
      </c>
      <c r="CQ12" s="1021">
        <f>(VLOOKUP(YEAR($A12),'NY East Load Projections'!$A$4:$EO$14,((MONTH($A12)-1)*12)+VLOOKUP(CQ$4,$DE$6:$DF$17,2)+1))*(VLOOKUP($A12,SatSunCurve,6))*(INDEX(DailyScalarsTable,CQ$5/100,MONTH($A12)))*$E12</f>
        <v>-3034.5068711767353</v>
      </c>
      <c r="CR12" s="1021">
        <f>(VLOOKUP(YEAR($A12),'NY East Load Projections'!$A$4:$EO$14,((MONTH($A12)-1)*12)+VLOOKUP(CR$4,$DE$6:$DF$17,2)+1))*(VLOOKUP($A12,SatSunCurve,6))*(INDEX(DailyScalarsTable,CR$5/100,MONTH($A12)))*$E12</f>
        <v>-3136.6388338102661</v>
      </c>
      <c r="CS12" s="1021">
        <f>(VLOOKUP(YEAR($A12),'NY East Load Projections'!$A$4:$EO$14,((MONTH($A12)-1)*12)+VLOOKUP(CS$4,$DE$6:$DF$17,2)+1))*(VLOOKUP($A12,SatSunCurve,6))*(INDEX(DailyScalarsTable,CS$5/100,MONTH($A12)))*$E12</f>
        <v>-3267.2727395043175</v>
      </c>
      <c r="CT12" s="1021">
        <f>(VLOOKUP(YEAR($A12),'NY East Load Projections'!$A$4:$EO$14,((MONTH($A12)-1)*12)+VLOOKUP(CT$4,$DE$6:$DF$17,2)+1))*(VLOOKUP($A12,SatSunCurve,6))*(INDEX(DailyScalarsTable,CT$5/100,MONTH($A12)))*$E12</f>
        <v>-3467.4988895044739</v>
      </c>
      <c r="CU12" s="1021">
        <f>(VLOOKUP(YEAR($A12),'NY East Load Projections'!$A$4:$EO$14,((MONTH($A12)-1)*12)+VLOOKUP(CU$4,$DE$6:$DF$17,2)+1))*(VLOOKUP($A12,SatSunCurve,6))*(INDEX(DailyScalarsTable,CU$5/100,MONTH($A12)))*$E12</f>
        <v>-3437.2858480626201</v>
      </c>
      <c r="CV12" s="1021">
        <f>(VLOOKUP(YEAR($A12),'NY East Load Projections'!$A$4:$EO$14,((MONTH($A12)-1)*12)+VLOOKUP(CV$4,$DE$6:$DF$17,2)+1))*(VLOOKUP($A12,SatSunCurve,6))*(INDEX(DailyScalarsTable,CV$5/100,MONTH($A12)))*$E12</f>
        <v>-3352.1096693012805</v>
      </c>
      <c r="CW12" s="1021">
        <f>(VLOOKUP(YEAR($A12),'NY East Load Projections'!$A$4:$EO$14,((MONTH($A12)-1)*12)+VLOOKUP(CW$4,$DE$6:$DF$17,2)+1))*(VLOOKUP($A12,SatSunCurve,6))*(INDEX(DailyScalarsTable,CW$5/100,MONTH($A12)))*$E12</f>
        <v>-2799.7340709926475</v>
      </c>
      <c r="CX12" s="1021">
        <f>(VLOOKUP(YEAR($A12),'NY East Load Projections'!$A$4:$EO$14,((MONTH($A12)-1)*12)+VLOOKUP(CX$4,$DE$6:$DF$17,2)+1))*(VLOOKUP($A12,SatSunCurve,6))*(INDEX(DailyScalarsTable,CX$5/100,MONTH($A12)))*$E12</f>
        <v>-2071.6970308482987</v>
      </c>
      <c r="CY12" s="1021">
        <f>(VLOOKUP(YEAR($A12),'NY East Load Projections'!$A$4:$EO$14,((MONTH($A12)-1)*12)+VLOOKUP(CY$4,$DE$6:$DF$17,2)+1))*(VLOOKUP($A12,SatSunCurve,6))*(INDEX(DailyScalarsTable,CY$5/100,MONTH($A12)))*$E12</f>
        <v>-2218.5878092312523</v>
      </c>
      <c r="CZ12" s="1021">
        <f>(VLOOKUP(YEAR($A12),'NY East Load Projections'!$A$4:$EO$14,((MONTH($A12)-1)*12)+VLOOKUP(CZ$4,$DE$6:$DF$17,2)+1))*(VLOOKUP($A12,SatSunCurve,6))*(INDEX(DailyScalarsTable,CZ$5/100,MONTH($A12)))*$E12</f>
        <v>-2350.89404304458</v>
      </c>
      <c r="DA12" s="1021">
        <f>(VLOOKUP(YEAR($A12),'NY East Load Projections'!$A$4:$EO$14,((MONTH($A12)-1)*12)+VLOOKUP(DA$4,$DE$6:$DF$17,2)+1))*(VLOOKUP($A12,SatSunCurve,6))*(INDEX(DailyScalarsTable,DA$5/100,MONTH($A12)))*$E12</f>
        <v>-1632.596347983711</v>
      </c>
      <c r="DB12" s="1021">
        <f>(VLOOKUP(YEAR($A12),'NY East Load Projections'!$A$4:$EO$14,((MONTH($A12)-1)*12)+VLOOKUP(DB$4,$DE$6:$DF$17,2)+1))*(VLOOKUP($A12,CURVES!$D$9:$T$261,6))*(INDEX(DailyScalarsTable,DB$5/100,MONTH($A12)))*$E12</f>
        <v>-2531.5454062036406</v>
      </c>
      <c r="DE12" s="221" t="s">
        <v>564</v>
      </c>
      <c r="DF12" s="619">
        <v>7</v>
      </c>
      <c r="DH12" s="1021">
        <f t="shared" si="0"/>
        <v>-3289162.6674482841</v>
      </c>
      <c r="DI12">
        <f ca="1">CALC!J32</f>
        <v>0.90556180920885243</v>
      </c>
      <c r="DJ12" s="1029">
        <f t="shared" ca="1" si="1"/>
        <v>-2978540.0959166833</v>
      </c>
    </row>
    <row r="13" spans="1:114" x14ac:dyDescent="0.25">
      <c r="A13" s="244">
        <v>37104</v>
      </c>
      <c r="B13" s="13">
        <v>23</v>
      </c>
      <c r="C13" s="210">
        <v>4</v>
      </c>
      <c r="D13" s="210">
        <v>4</v>
      </c>
      <c r="E13" s="210">
        <v>0</v>
      </c>
      <c r="F13" s="13">
        <v>31</v>
      </c>
      <c r="H13" s="1021">
        <f>(VLOOKUP(YEAR($A13),'NY East Load Projections'!$A$4:$EO$14,((MONTH($A13)-1)*12)+VLOOKUP(H$4,$DE$6:$DF$17,2)+1))*(VLOOKUP($A13,CURVES!$D$9:$K$261,6))*(INDEX(DailyScalarsTable,H$5/100,MONTH($A13)))*$B13</f>
        <v>-52396.522718001121</v>
      </c>
      <c r="I13" s="1021">
        <f>(VLOOKUP(YEAR($A13),'NY East Load Projections'!$A$4:$EO$14,((MONTH($A13)-1)*12)+VLOOKUP(I$4,$DE$6:$DF$17,2)+1))*(VLOOKUP($A13,CURVES!$D$9:$K$261,6))*(INDEX(DailyScalarsTable,I$5/100,MONTH($A13)))*$B13</f>
        <v>-47299.258804352241</v>
      </c>
      <c r="J13" s="1021">
        <f>(VLOOKUP(YEAR($A13),'NY East Load Projections'!$A$4:$EO$14,((MONTH($A13)-1)*12)+VLOOKUP(J$4,$DE$6:$DF$17,2)+1))*(VLOOKUP($A13,CURVES!$D$9:$K$261,6))*(INDEX(DailyScalarsTable,J$5/100,MONTH($A13)))*$B13</f>
        <v>-42477.199280407411</v>
      </c>
      <c r="K13" s="1021">
        <f>(VLOOKUP(YEAR($A13),'NY East Load Projections'!$A$4:$EO$14,((MONTH($A13)-1)*12)+VLOOKUP(K$4,$DE$6:$DF$17,2)+1))*(VLOOKUP($A13,CURVES!$D$9:$K$261,6))*(INDEX(DailyScalarsTable,K$5/100,MONTH($A13)))*$B13</f>
        <v>-39964.463548326959</v>
      </c>
      <c r="L13" s="1021">
        <f>(VLOOKUP(YEAR($A13),'NY East Load Projections'!$A$4:$EO$14,((MONTH($A13)-1)*12)+VLOOKUP(L$4,$DE$6:$DF$17,2)+1))*(VLOOKUP($A13,CURVES!$D$9:$K$261,6))*(INDEX(DailyScalarsTable,L$5/100,MONTH($A13)))*$B13</f>
        <v>-42956.403095221525</v>
      </c>
      <c r="M13" s="1021">
        <f>(VLOOKUP(YEAR($A13),'NY East Load Projections'!$A$4:$EO$14,((MONTH($A13)-1)*12)+VLOOKUP(M$4,$DE$6:$DF$17,2)+1))*(VLOOKUP($A13,CURVES!$D$9:$K$261,6))*(INDEX(DailyScalarsTable,M$5/100,MONTH($A13)))*$B13</f>
        <v>-47726.583421630632</v>
      </c>
      <c r="N13" s="1021">
        <f>(VLOOKUP(YEAR($A13),'NY East Load Projections'!$A$4:$EO$14,((MONTH($A13)-1)*12)+VLOOKUP(N$4,$DE$6:$DF$17,2)+1))*(VLOOKUP($A13,CURVES!$D$9:$K$261,6))*(INDEX(DailyScalarsTable,N$5/100,MONTH($A13)))*$B13</f>
        <v>-55532.333046663669</v>
      </c>
      <c r="O13" s="1021">
        <f>(VLOOKUP(YEAR($A13),'NY East Load Projections'!$A$4:$EO$14,((MONTH($A13)-1)*12)+VLOOKUP(O$4,$DE$6:$DF$17,2)+1))*(VLOOKUP($A13,CURVES!$D$9:$K$261,2))*(INDEX(DailyScalarsTable,O$5/100,MONTH($A13)))*$B13</f>
        <v>-96992.54710494724</v>
      </c>
      <c r="P13" s="1021">
        <f>(VLOOKUP(YEAR($A13),'NY East Load Projections'!$A$4:$EO$14,((MONTH($A13)-1)*12)+VLOOKUP(P$4,$DE$6:$DF$17,2)+1))*(VLOOKUP($A13,CURVES!$D$9:$K$261,2))*(INDEX(DailyScalarsTable,P$5/100,MONTH($A13)))*$B13</f>
        <v>-112874.40929654185</v>
      </c>
      <c r="Q13" s="1021">
        <f>(VLOOKUP(YEAR($A13),'NY East Load Projections'!$A$4:$EO$14,((MONTH($A13)-1)*12)+VLOOKUP(Q$4,$DE$6:$DF$17,2)+1))*(VLOOKUP($A13,CURVES!$D$9:$K$261,2))*(INDEX(DailyScalarsTable,Q$5/100,MONTH($A13)))*$B13</f>
        <v>-144754.48574774634</v>
      </c>
      <c r="R13" s="1021">
        <f>(VLOOKUP(YEAR($A13),'NY East Load Projections'!$A$4:$EO$14,((MONTH($A13)-1)*12)+VLOOKUP(R$4,$DE$6:$DF$17,2)+1))*(VLOOKUP($A13,CURVES!$D$9:$K$261,2))*(INDEX(DailyScalarsTable,R$5/100,MONTH($A13)))*$B13</f>
        <v>-163377.50070439049</v>
      </c>
      <c r="S13" s="1021">
        <f>(VLOOKUP(YEAR($A13),'NY East Load Projections'!$A$4:$EO$14,((MONTH($A13)-1)*12)+VLOOKUP(S$4,$DE$6:$DF$17,2)+1))*(VLOOKUP($A13,CURVES!$D$9:$K$261,2))*(INDEX(DailyScalarsTable,S$5/100,MONTH($A13)))*$B13</f>
        <v>-170300.63281821643</v>
      </c>
      <c r="T13" s="1021">
        <f>(VLOOKUP(YEAR($A13),'NY East Load Projections'!$A$4:$EO$14,((MONTH($A13)-1)*12)+VLOOKUP(T$4,$DE$6:$DF$17,2)+1))*(VLOOKUP($A13,CURVES!$D$9:$K$261,2))*(INDEX(DailyScalarsTable,T$5/100,MONTH($A13)))*$B13</f>
        <v>-170950.64583452142</v>
      </c>
      <c r="U13" s="1021">
        <f>(VLOOKUP(YEAR($A13),'NY East Load Projections'!$A$4:$EO$14,((MONTH($A13)-1)*12)+VLOOKUP(U$4,$DE$6:$DF$17,2)+1))*(VLOOKUP($A13,CURVES!$D$9:$K$261,2))*(INDEX(DailyScalarsTable,U$5/100,MONTH($A13)))*$B13</f>
        <v>-187664.5899097611</v>
      </c>
      <c r="V13" s="1021">
        <f>(VLOOKUP(YEAR($A13),'NY East Load Projections'!$A$4:$EO$14,((MONTH($A13)-1)*12)+VLOOKUP(V$4,$DE$6:$DF$17,2)+1))*(VLOOKUP($A13,CURVES!$D$9:$K$261,2))*(INDEX(DailyScalarsTable,V$5/100,MONTH($A13)))*$B13</f>
        <v>-198672.37218606545</v>
      </c>
      <c r="W13" s="1021">
        <f>(VLOOKUP(YEAR($A13),'NY East Load Projections'!$A$4:$EO$14,((MONTH($A13)-1)*12)+VLOOKUP(W$4,$DE$6:$DF$17,2)+1))*(VLOOKUP($A13,CURVES!$D$9:$K$261,2))*(INDEX(DailyScalarsTable,W$5/100,MONTH($A13)))*$B13</f>
        <v>-195904.45788061176</v>
      </c>
      <c r="X13" s="1021">
        <f>(VLOOKUP(YEAR($A13),'NY East Load Projections'!$A$4:$EO$14,((MONTH($A13)-1)*12)+VLOOKUP(X$4,$DE$6:$DF$17,2)+1))*(VLOOKUP($A13,CURVES!$D$9:$K$261,2))*(INDEX(DailyScalarsTable,X$5/100,MONTH($A13)))*$B13</f>
        <v>-185127.99267172196</v>
      </c>
      <c r="Y13" s="1021">
        <f>(VLOOKUP(YEAR($A13),'NY East Load Projections'!$A$4:$EO$14,((MONTH($A13)-1)*12)+VLOOKUP(Y$4,$DE$6:$DF$17,2)+1))*(VLOOKUP($A13,CURVES!$D$9:$K$261,2))*(INDEX(DailyScalarsTable,Y$5/100,MONTH($A13)))*$B13</f>
        <v>-171439.96563962338</v>
      </c>
      <c r="Z13" s="1021">
        <f>(VLOOKUP(YEAR($A13),'NY East Load Projections'!$A$4:$EO$14,((MONTH($A13)-1)*12)+VLOOKUP(Z$4,$DE$6:$DF$17,2)+1))*(VLOOKUP($A13,CURVES!$D$9:$K$261,2))*(INDEX(DailyScalarsTable,Z$5/100,MONTH($A13)))*$B13</f>
        <v>-139741.37672318442</v>
      </c>
      <c r="AA13" s="1021">
        <f>(VLOOKUP(YEAR($A13),'NY East Load Projections'!$A$4:$EO$14,((MONTH($A13)-1)*12)+VLOOKUP(AA$4,$DE$6:$DF$17,2)+1))*(VLOOKUP($A13,CURVES!$D$9:$K$261,2))*(INDEX(DailyScalarsTable,AA$5/100,MONTH($A13)))*$B13</f>
        <v>-127226.60915097997</v>
      </c>
      <c r="AB13" s="1021">
        <f>(VLOOKUP(YEAR($A13),'NY East Load Projections'!$A$4:$EO$14,((MONTH($A13)-1)*12)+VLOOKUP(AB$4,$DE$6:$DF$17,2)+1))*(VLOOKUP($A13,CURVES!$D$9:$K$261,2))*(INDEX(DailyScalarsTable,AB$5/100,MONTH($A13)))*$B13</f>
        <v>-152454.50363956791</v>
      </c>
      <c r="AC13" s="1021">
        <f>(VLOOKUP(YEAR($A13),'NY East Load Projections'!$A$4:$EO$14,((MONTH($A13)-1)*12)+VLOOKUP(AC$4,$DE$6:$DF$17,2)+1))*(VLOOKUP($A13,CURVES!$D$9:$K$261,2))*(INDEX(DailyScalarsTable,AC$5/100,MONTH($A13)))*$B13</f>
        <v>-129636.31639044143</v>
      </c>
      <c r="AD13" s="1021">
        <f>(VLOOKUP(YEAR($A13),'NY East Load Projections'!$A$4:$EO$14,((MONTH($A13)-1)*12)+VLOOKUP(AD$4,$DE$6:$DF$17,2)+1))*(VLOOKUP($A13,CURVES!$D$9:$K$261,2))*(INDEX(DailyScalarsTable,AD$5/100,MONTH($A13)))*$B13</f>
        <v>-104975.42329817232</v>
      </c>
      <c r="AE13" s="1021">
        <f>(VLOOKUP(YEAR($A13),'NY East Load Projections'!$A$4:$EO$14,((MONTH($A13)-1)*12)+VLOOKUP(AE$4,$DE$6:$DF$17,2)+1))*(VLOOKUP($A13,CURVES!$D$9:$K$261,6))*(INDEX(DailyScalarsTable,AE$5/100,MONTH($A13)))*$B13</f>
        <v>-62478.09267329362</v>
      </c>
      <c r="AF13" s="1021"/>
      <c r="AG13" s="1021">
        <f>(VLOOKUP(YEAR($A13),'NY East Load Projections'!$A$4:$EO$14,((MONTH($A13)-1)*12)+VLOOKUP(AG$4,$DE$6:$DF$17,2)+1))*(VLOOKUP($A13,CURVES!$D$9:$T$261,6))*(INDEX(DailyScalarsTable,AG$5/100,MONTH($A13)))*$C13</f>
        <v>-9070.5783763173968</v>
      </c>
      <c r="AH13" s="1021">
        <f>(VLOOKUP(YEAR($A13),'NY East Load Projections'!$A$4:$EO$14,((MONTH($A13)-1)*12)+VLOOKUP(AH$4,$DE$6:$DF$17,2)+1))*(VLOOKUP($A13,CURVES!$D$9:$T$261,6))*(INDEX(DailyScalarsTable,AH$5/100,MONTH($A13)))*$C13</f>
        <v>-8188.1699752415334</v>
      </c>
      <c r="AI13" s="1021">
        <f>(VLOOKUP(YEAR($A13),'NY East Load Projections'!$A$4:$EO$14,((MONTH($A13)-1)*12)+VLOOKUP(AI$4,$DE$6:$DF$17,2)+1))*(VLOOKUP($A13,CURVES!$D$9:$T$261,6))*(INDEX(DailyScalarsTable,AI$5/100,MONTH($A13)))*$C13</f>
        <v>-7353.4033422988741</v>
      </c>
      <c r="AJ13" s="1021">
        <f>(VLOOKUP(YEAR($A13),'NY East Load Projections'!$A$4:$EO$14,((MONTH($A13)-1)*12)+VLOOKUP(AJ$4,$DE$6:$DF$17,2)+1))*(VLOOKUP($A13,CURVES!$D$9:$T$261,6))*(INDEX(DailyScalarsTable,AJ$5/100,MONTH($A13)))*$C13</f>
        <v>-6918.413285430488</v>
      </c>
      <c r="AK13" s="1021">
        <f>(VLOOKUP(YEAR($A13),'NY East Load Projections'!$A$4:$EO$14,((MONTH($A13)-1)*12)+VLOOKUP(AK$4,$DE$6:$DF$17,2)+1))*(VLOOKUP($A13,CURVES!$D$9:$T$261,6))*(INDEX(DailyScalarsTable,AK$5/100,MONTH($A13)))*$C13</f>
        <v>-7308.6875951848524</v>
      </c>
      <c r="AL13" s="1021">
        <f>(VLOOKUP(YEAR($A13),'NY East Load Projections'!$A$4:$EO$14,((MONTH($A13)-1)*12)+VLOOKUP(AL$4,$DE$6:$DF$17,2)+1))*(VLOOKUP($A13,CURVES!$D$9:$T$261,6))*(INDEX(DailyScalarsTable,AL$5/100,MONTH($A13)))*$C13</f>
        <v>-8120.2955340790495</v>
      </c>
      <c r="AM13" s="1021">
        <f>(VLOOKUP(YEAR($A13),'NY East Load Projections'!$A$4:$EO$14,((MONTH($A13)-1)*12)+VLOOKUP(AM$4,$DE$6:$DF$17,2)+1))*(VLOOKUP($A13,CURVES!$D$9:$T$261,6))*(INDEX(DailyScalarsTable,AM$5/100,MONTH($A13)))*$C13</f>
        <v>-9448.3812522695462</v>
      </c>
      <c r="AN13" s="1021">
        <f>(VLOOKUP(YEAR($A13),'NY East Load Projections'!$A$4:$EO$14,((MONTH($A13)-1)*12)+VLOOKUP(AN$4,$DE$6:$DF$17,2)+1))*(VLOOKUP($A13,SatSunCurve,2))*(INDEX(DailyScalarsTable,AN$5/100,MONTH($A13)))*$C13</f>
        <v>-9968.1235640138584</v>
      </c>
      <c r="AO13" s="1021">
        <f>(VLOOKUP(YEAR($A13),'NY East Load Projections'!$A$4:$EO$14,((MONTH($A13)-1)*12)+VLOOKUP(AO$4,$DE$6:$DF$17,2)+1))*(VLOOKUP($A13,SatSunCurve,2))*(INDEX(DailyScalarsTable,AO$5/100,MONTH($A13)))*$C13</f>
        <v>-11792.614804978082</v>
      </c>
      <c r="AP13" s="1021">
        <f>(VLOOKUP(YEAR($A13),'NY East Load Projections'!$A$4:$EO$14,((MONTH($A13)-1)*12)+VLOOKUP(AP$4,$DE$6:$DF$17,2)+1))*(VLOOKUP($A13,SatSunCurve,2))*(INDEX(DailyScalarsTable,AP$5/100,MONTH($A13)))*$C13</f>
        <v>-15123.302990947841</v>
      </c>
      <c r="AQ13" s="1021">
        <f>(VLOOKUP(YEAR($A13),'NY East Load Projections'!$A$4:$EO$14,((MONTH($A13)-1)*12)+VLOOKUP(AQ$4,$DE$6:$DF$17,2)+1))*(VLOOKUP($A13,SatSunCurve,2))*(INDEX(DailyScalarsTable,AQ$5/100,MONTH($A13)))*$C13</f>
        <v>-17068.952525326211</v>
      </c>
      <c r="AR13" s="1021">
        <f>(VLOOKUP(YEAR($A13),'NY East Load Projections'!$A$4:$EO$14,((MONTH($A13)-1)*12)+VLOOKUP(AR$4,$DE$6:$DF$17,2)+1))*(VLOOKUP($A13,SatSunCurve,2))*(INDEX(DailyScalarsTable,AR$5/100,MONTH($A13)))*$C13</f>
        <v>-17792.250487823934</v>
      </c>
      <c r="AS13" s="1021">
        <f>(VLOOKUP(YEAR($A13),'NY East Load Projections'!$A$4:$EO$14,((MONTH($A13)-1)*12)+VLOOKUP(AS$4,$DE$6:$DF$17,2)+1))*(VLOOKUP($A13,SatSunCurve,2))*(INDEX(DailyScalarsTable,AS$5/100,MONTH($A13)))*$C13</f>
        <v>-17887.803542109647</v>
      </c>
      <c r="AT13" s="1021">
        <f>(VLOOKUP(YEAR($A13),'NY East Load Projections'!$A$4:$EO$14,((MONTH($A13)-1)*12)+VLOOKUP(AT$4,$DE$6:$DF$17,2)+1))*(VLOOKUP($A13,SatSunCurve,2))*(INDEX(DailyScalarsTable,AT$5/100,MONTH($A13)))*$C13</f>
        <v>-19636.704498711471</v>
      </c>
      <c r="AU13" s="1021">
        <f>(VLOOKUP(YEAR($A13),'NY East Load Projections'!$A$4:$EO$14,((MONTH($A13)-1)*12)+VLOOKUP(AU$4,$DE$6:$DF$17,2)+1))*(VLOOKUP($A13,SatSunCurve,2))*(INDEX(DailyScalarsTable,AU$5/100,MONTH($A13)))*$C13</f>
        <v>-20788.52844083013</v>
      </c>
      <c r="AV13" s="1021">
        <f>(VLOOKUP(YEAR($A13),'NY East Load Projections'!$A$4:$EO$14,((MONTH($A13)-1)*12)+VLOOKUP(AV$4,$DE$6:$DF$17,2)+1))*(VLOOKUP($A13,SatSunCurve,2))*(INDEX(DailyScalarsTable,AV$5/100,MONTH($A13)))*$C13</f>
        <v>-20498.901530819636</v>
      </c>
      <c r="AW13" s="1021">
        <f>(VLOOKUP(YEAR($A13),'NY East Load Projections'!$A$4:$EO$14,((MONTH($A13)-1)*12)+VLOOKUP(AW$4,$DE$6:$DF$17,2)+1))*(VLOOKUP($A13,SatSunCurve,2))*(INDEX(DailyScalarsTable,AW$5/100,MONTH($A13)))*$C13</f>
        <v>-19348.066670795692</v>
      </c>
      <c r="AX13" s="1021">
        <f>(VLOOKUP(YEAR($A13),'NY East Load Projections'!$A$4:$EO$14,((MONTH($A13)-1)*12)+VLOOKUP(AX$4,$DE$6:$DF$17,2)+1))*(VLOOKUP($A13,SatSunCurve,2))*(INDEX(DailyScalarsTable,AX$5/100,MONTH($A13)))*$C13</f>
        <v>-17917.505815105331</v>
      </c>
      <c r="AY13" s="1021">
        <f>(VLOOKUP(YEAR($A13),'NY East Load Projections'!$A$4:$EO$14,((MONTH($A13)-1)*12)+VLOOKUP(AY$4,$DE$6:$DF$17,2)+1))*(VLOOKUP($A13,SatSunCurve,2))*(INDEX(DailyScalarsTable,AY$5/100,MONTH($A13)))*$C13</f>
        <v>-14604.628044032908</v>
      </c>
      <c r="AZ13" s="1021">
        <f>(VLOOKUP(YEAR($A13),'NY East Load Projections'!$A$4:$EO$14,((MONTH($A13)-1)*12)+VLOOKUP(AZ$4,$DE$6:$DF$17,2)+1))*(VLOOKUP($A13,SatSunCurve,2))*(INDEX(DailyScalarsTable,AZ$5/100,MONTH($A13)))*$C13</f>
        <v>-13296.686690258863</v>
      </c>
      <c r="BA13" s="1021">
        <f>(VLOOKUP(YEAR($A13),'NY East Load Projections'!$A$4:$EO$14,((MONTH($A13)-1)*12)+VLOOKUP(BA$4,$DE$6:$DF$17,2)+1))*(VLOOKUP($A13,SatSunCurve,2))*(INDEX(DailyScalarsTable,BA$5/100,MONTH($A13)))*$C13</f>
        <v>-16102.397973650284</v>
      </c>
      <c r="BB13" s="1021">
        <f>(VLOOKUP(YEAR($A13),'NY East Load Projections'!$A$4:$EO$14,((MONTH($A13)-1)*12)+VLOOKUP(BB$4,$DE$6:$DF$17,2)+1))*(VLOOKUP($A13,SatSunCurve,2))*(INDEX(DailyScalarsTable,BB$5/100,MONTH($A13)))*$C13</f>
        <v>-13692.318091776953</v>
      </c>
      <c r="BC13" s="1021">
        <f>(VLOOKUP(YEAR($A13),'NY East Load Projections'!$A$4:$EO$14,((MONTH($A13)-1)*12)+VLOOKUP(BC$4,$DE$6:$DF$17,2)+1))*(VLOOKUP($A13,SatSunCurve,2))*(INDEX(DailyScalarsTable,BC$5/100,MONTH($A13)))*$C13</f>
        <v>-11087.609765834804</v>
      </c>
      <c r="BD13" s="1021">
        <f>(VLOOKUP(YEAR($A13),'NY East Load Projections'!$A$4:$EO$14,((MONTH($A13)-1)*12)+VLOOKUP(BD$4,$DE$6:$DF$17,2)+1))*(VLOOKUP($A13,CURVES!$D$9:$T$261,6))*(INDEX(DailyScalarsTable,BD$5/100,MONTH($A13)))*$C13</f>
        <v>-10924.825326900849</v>
      </c>
      <c r="BE13" s="1021"/>
      <c r="BF13" s="1021">
        <f>(VLOOKUP(YEAR($A13),'NY East Load Projections'!$A$4:$EO$14,((MONTH($A13)-1)*12)+VLOOKUP(BF$4,$DE$6:$DF$17,2)+1))*(VLOOKUP($A13,CURVES!$D$9:$T$261,6))*(INDEX(DailyScalarsTable,BF$5/100,MONTH($A13)))*$D13</f>
        <v>-9070.5783763173968</v>
      </c>
      <c r="BG13" s="1021">
        <f>(VLOOKUP(YEAR($A13),'NY East Load Projections'!$A$4:$EO$14,((MONTH($A13)-1)*12)+VLOOKUP(BG$4,$DE$6:$DF$17,2)+1))*(VLOOKUP($A13,CURVES!$D$9:$T$261,6))*(INDEX(DailyScalarsTable,BG$5/100,MONTH($A13)))*$D13</f>
        <v>-8188.1699752415334</v>
      </c>
      <c r="BH13" s="1021">
        <f>(VLOOKUP(YEAR($A13),'NY East Load Projections'!$A$4:$EO$14,((MONTH($A13)-1)*12)+VLOOKUP(BH$4,$DE$6:$DF$17,2)+1))*(VLOOKUP($A13,CURVES!$D$9:$T$261,6))*(INDEX(DailyScalarsTable,BH$5/100,MONTH($A13)))*$D13</f>
        <v>-7353.4033422988741</v>
      </c>
      <c r="BI13" s="1021">
        <f>(VLOOKUP(YEAR($A13),'NY East Load Projections'!$A$4:$EO$14,((MONTH($A13)-1)*12)+VLOOKUP(BI$4,$DE$6:$DF$17,2)+1))*(VLOOKUP($A13,CURVES!$D$9:$T$261,6))*(INDEX(DailyScalarsTable,BI$5/100,MONTH($A13)))*$D13</f>
        <v>-6918.413285430488</v>
      </c>
      <c r="BJ13" s="1021">
        <f>(VLOOKUP(YEAR($A13),'NY East Load Projections'!$A$4:$EO$14,((MONTH($A13)-1)*12)+VLOOKUP(BJ$4,$DE$6:$DF$17,2)+1))*(VLOOKUP($A13,CURVES!$D$9:$T$261,6))*(INDEX(DailyScalarsTable,BJ$5/100,MONTH($A13)))*$D13</f>
        <v>-7308.6875951848524</v>
      </c>
      <c r="BK13" s="1021">
        <f>(VLOOKUP(YEAR($A13),'NY East Load Projections'!$A$4:$EO$14,((MONTH($A13)-1)*12)+VLOOKUP(BK$4,$DE$6:$DF$17,2)+1))*(VLOOKUP($A13,CURVES!$D$9:$T$261,6))*(INDEX(DailyScalarsTable,BK$5/100,MONTH($A13)))*$D13</f>
        <v>-8120.2955340790495</v>
      </c>
      <c r="BL13" s="1021">
        <f>(VLOOKUP(YEAR($A13),'NY East Load Projections'!$A$4:$EO$14,((MONTH($A13)-1)*12)+VLOOKUP(BL$4,$DE$6:$DF$17,2)+1))*(VLOOKUP($A13,CURVES!$D$9:$T$261,6))*(INDEX(DailyScalarsTable,BL$5/100,MONTH($A13)))*$D13</f>
        <v>-9448.3812522695462</v>
      </c>
      <c r="BM13" s="1021">
        <f>(VLOOKUP(YEAR($A13),'NY East Load Projections'!$A$4:$EO$14,((MONTH($A13)-1)*12)+VLOOKUP(BM$4,$DE$6:$DF$17,2)+1))*(VLOOKUP($A13,SatSunCurve,6))*(INDEX(DailyScalarsTable,BM$5/100,MONTH($A13)))*$D13</f>
        <v>-7149.8629846357853</v>
      </c>
      <c r="BN13" s="1021">
        <f>(VLOOKUP(YEAR($A13),'NY East Load Projections'!$A$4:$EO$14,((MONTH($A13)-1)*12)+VLOOKUP(BN$4,$DE$6:$DF$17,2)+1))*(VLOOKUP($A13,SatSunCurve,6))*(INDEX(DailyScalarsTable,BN$5/100,MONTH($A13)))*$D13</f>
        <v>-8458.5207581665891</v>
      </c>
      <c r="BO13" s="1021">
        <f>(VLOOKUP(YEAR($A13),'NY East Load Projections'!$A$4:$EO$14,((MONTH($A13)-1)*12)+VLOOKUP(BO$4,$DE$6:$DF$17,2)+1))*(VLOOKUP($A13,SatSunCurve,6))*(INDEX(DailyScalarsTable,BO$5/100,MONTH($A13)))*$D13</f>
        <v>-10847.532493554801</v>
      </c>
      <c r="BP13" s="1021">
        <f>(VLOOKUP(YEAR($A13),'NY East Load Projections'!$A$4:$EO$14,((MONTH($A13)-1)*12)+VLOOKUP(BP$4,$DE$6:$DF$17,2)+1))*(VLOOKUP($A13,SatSunCurve,6))*(INDEX(DailyScalarsTable,BP$5/100,MONTH($A13)))*$D13</f>
        <v>-12243.093804326132</v>
      </c>
      <c r="BQ13" s="1021">
        <f>(VLOOKUP(YEAR($A13),'NY East Load Projections'!$A$4:$EO$14,((MONTH($A13)-1)*12)+VLOOKUP(BQ$4,$DE$6:$DF$17,2)+1))*(VLOOKUP($A13,SatSunCurve,6))*(INDEX(DailyScalarsTable,BQ$5/100,MONTH($A13)))*$D13</f>
        <v>-12761.895692737169</v>
      </c>
      <c r="BR13" s="1021">
        <f>(VLOOKUP(YEAR($A13),'NY East Load Projections'!$A$4:$EO$14,((MONTH($A13)-1)*12)+VLOOKUP(BR$4,$DE$6:$DF$17,2)+1))*(VLOOKUP($A13,SatSunCurve,6))*(INDEX(DailyScalarsTable,BR$5/100,MONTH($A13)))*$D13</f>
        <v>-12830.433290763413</v>
      </c>
      <c r="BS13" s="1021">
        <f>(VLOOKUP(YEAR($A13),'NY East Load Projections'!$A$4:$EO$14,((MONTH($A13)-1)*12)+VLOOKUP(BS$4,$DE$6:$DF$17,2)+1))*(VLOOKUP($A13,SatSunCurve,6))*(INDEX(DailyScalarsTable,BS$5/100,MONTH($A13)))*$D13</f>
        <v>-14084.87221631445</v>
      </c>
      <c r="BT13" s="1021">
        <f>(VLOOKUP(YEAR($A13),'NY East Load Projections'!$A$4:$EO$14,((MONTH($A13)-1)*12)+VLOOKUP(BT$4,$DE$6:$DF$17,2)+1))*(VLOOKUP($A13,SatSunCurve,6))*(INDEX(DailyScalarsTable,BT$5/100,MONTH($A13)))*$D13</f>
        <v>-14911.044094670993</v>
      </c>
      <c r="BU13" s="1021">
        <f>(VLOOKUP(YEAR($A13),'NY East Load Projections'!$A$4:$EO$14,((MONTH($A13)-1)*12)+VLOOKUP(BU$4,$DE$6:$DF$17,2)+1))*(VLOOKUP($A13,SatSunCurve,6))*(INDEX(DailyScalarsTable,BU$5/100,MONTH($A13)))*$D13</f>
        <v>-14703.302616554261</v>
      </c>
      <c r="BV13" s="1021">
        <f>(VLOOKUP(YEAR($A13),'NY East Load Projections'!$A$4:$EO$14,((MONTH($A13)-1)*12)+VLOOKUP(BV$4,$DE$6:$DF$17,2)+1))*(VLOOKUP($A13,SatSunCurve,6))*(INDEX(DailyScalarsTable,BV$5/100,MONTH($A13)))*$D13</f>
        <v>-13877.840179790444</v>
      </c>
      <c r="BW13" s="1021">
        <f>(VLOOKUP(YEAR($A13),'NY East Load Projections'!$A$4:$EO$14,((MONTH($A13)-1)*12)+VLOOKUP(BW$4,$DE$6:$DF$17,2)+1))*(VLOOKUP($A13,SatSunCurve,6))*(INDEX(DailyScalarsTable,BW$5/100,MONTH($A13)))*$D13</f>
        <v>-12851.737920555328</v>
      </c>
      <c r="BX13" s="1021">
        <f>(VLOOKUP(YEAR($A13),'NY East Load Projections'!$A$4:$EO$14,((MONTH($A13)-1)*12)+VLOOKUP(BX$4,$DE$6:$DF$17,2)+1))*(VLOOKUP($A13,SatSunCurve,6))*(INDEX(DailyScalarsTable,BX$5/100,MONTH($A13)))*$D13</f>
        <v>-10475.501109695057</v>
      </c>
      <c r="BY13" s="1021">
        <f>(VLOOKUP(YEAR($A13),'NY East Load Projections'!$A$4:$EO$14,((MONTH($A13)-1)*12)+VLOOKUP(BY$4,$DE$6:$DF$17,2)+1))*(VLOOKUP($A13,SatSunCurve,6))*(INDEX(DailyScalarsTable,BY$5/100,MONTH($A13)))*$D13</f>
        <v>-9537.3504726800929</v>
      </c>
      <c r="BZ13" s="1021">
        <f>(VLOOKUP(YEAR($A13),'NY East Load Projections'!$A$4:$EO$14,((MONTH($A13)-1)*12)+VLOOKUP(BZ$4,$DE$6:$DF$17,2)+1))*(VLOOKUP($A13,SatSunCurve,6))*(INDEX(DailyScalarsTable,BZ$5/100,MONTH($A13)))*$D13</f>
        <v>-11549.810603402788</v>
      </c>
      <c r="CA13" s="1021">
        <f>(VLOOKUP(YEAR($A13),'NY East Load Projections'!$A$4:$EO$14,((MONTH($A13)-1)*12)+VLOOKUP(CA$4,$DE$6:$DF$17,2)+1))*(VLOOKUP($A13,SatSunCurve,6))*(INDEX(DailyScalarsTable,CA$5/100,MONTH($A13)))*$D13</f>
        <v>-9821.1260795040071</v>
      </c>
      <c r="CB13" s="1021">
        <f>(VLOOKUP(YEAR($A13),'NY East Load Projections'!$A$4:$EO$14,((MONTH($A13)-1)*12)+VLOOKUP(CB$4,$DE$6:$DF$17,2)+1))*(VLOOKUP($A13,SatSunCurve,6))*(INDEX(DailyScalarsTable,CB$5/100,MONTH($A13)))*$D13</f>
        <v>-7952.8398844312624</v>
      </c>
      <c r="CC13" s="1021">
        <f>(VLOOKUP(YEAR($A13),'NY East Load Projections'!$A$4:$EO$14,((MONTH($A13)-1)*12)+VLOOKUP(CC$4,$DE$6:$DF$17,2)+1))*(VLOOKUP($A13,CURVES!$D$9:$T$261,6))*(INDEX(DailyScalarsTable,CC$5/100,MONTH($A13)))*$D13</f>
        <v>-10924.825326900849</v>
      </c>
      <c r="CE13" s="1021">
        <f>(VLOOKUP(YEAR($A13),'NY East Load Projections'!$A$4:$EO$14,((MONTH($A13)-1)*12)+VLOOKUP(CE$4,$DE$6:$DF$17,2)+1))*(VLOOKUP($A13,CURVES!$D$9:$T$261,6))*(INDEX(DailyScalarsTable,CE$5/100,MONTH($A13)))*$E13</f>
        <v>0</v>
      </c>
      <c r="CF13" s="1021">
        <f>(VLOOKUP(YEAR($A13),'NY East Load Projections'!$A$4:$EO$14,((MONTH($A13)-1)*12)+VLOOKUP(CF$4,$DE$6:$DF$17,2)+1))*(VLOOKUP($A13,CURVES!$D$9:$T$261,6))*(INDEX(DailyScalarsTable,CF$5/100,MONTH($A13)))*$E13</f>
        <v>0</v>
      </c>
      <c r="CG13" s="1021">
        <f>(VLOOKUP(YEAR($A13),'NY East Load Projections'!$A$4:$EO$14,((MONTH($A13)-1)*12)+VLOOKUP(CG$4,$DE$6:$DF$17,2)+1))*(VLOOKUP($A13,CURVES!$D$9:$T$261,6))*(INDEX(DailyScalarsTable,CG$5/100,MONTH($A13)))*$E13</f>
        <v>0</v>
      </c>
      <c r="CH13" s="1021">
        <f>(VLOOKUP(YEAR($A13),'NY East Load Projections'!$A$4:$EO$14,((MONTH($A13)-1)*12)+VLOOKUP(CH$4,$DE$6:$DF$17,2)+1))*(VLOOKUP($A13,CURVES!$D$9:$T$261,6))*(INDEX(DailyScalarsTable,CH$5/100,MONTH($A13)))*$E13</f>
        <v>0</v>
      </c>
      <c r="CI13" s="1021">
        <f>(VLOOKUP(YEAR($A13),'NY East Load Projections'!$A$4:$EO$14,((MONTH($A13)-1)*12)+VLOOKUP(CI$4,$DE$6:$DF$17,2)+1))*(VLOOKUP($A13,CURVES!$D$9:$T$261,6))*(INDEX(DailyScalarsTable,CI$5/100,MONTH($A13)))*$E13</f>
        <v>0</v>
      </c>
      <c r="CJ13" s="1021">
        <f>(VLOOKUP(YEAR($A13),'NY East Load Projections'!$A$4:$EO$14,((MONTH($A13)-1)*12)+VLOOKUP(CJ$4,$DE$6:$DF$17,2)+1))*(VLOOKUP($A13,CURVES!$D$9:$T$261,6))*(INDEX(DailyScalarsTable,CJ$5/100,MONTH($A13)))*$E13</f>
        <v>0</v>
      </c>
      <c r="CK13" s="1021">
        <f>(VLOOKUP(YEAR($A13),'NY East Load Projections'!$A$4:$EO$14,((MONTH($A13)-1)*12)+VLOOKUP(CK$4,$DE$6:$DF$17,2)+1))*(VLOOKUP($A13,CURVES!$D$9:$T$261,6))*(INDEX(DailyScalarsTable,CK$5/100,MONTH($A13)))*$E13</f>
        <v>0</v>
      </c>
      <c r="CL13" s="1021">
        <f>(VLOOKUP(YEAR($A13),'NY East Load Projections'!$A$4:$EO$14,((MONTH($A13)-1)*12)+VLOOKUP(CL$4,$DE$6:$DF$17,2)+1))*(VLOOKUP($A13,SatSunCurve,6))*(INDEX(DailyScalarsTable,CL$5/100,MONTH($A13)))*$E13</f>
        <v>0</v>
      </c>
      <c r="CM13" s="1021">
        <f>(VLOOKUP(YEAR($A13),'NY East Load Projections'!$A$4:$EO$14,((MONTH($A13)-1)*12)+VLOOKUP(CM$4,$DE$6:$DF$17,2)+1))*(VLOOKUP($A13,SatSunCurve,6))*(INDEX(DailyScalarsTable,CM$5/100,MONTH($A13)))*$E13</f>
        <v>0</v>
      </c>
      <c r="CN13" s="1021">
        <f>(VLOOKUP(YEAR($A13),'NY East Load Projections'!$A$4:$EO$14,((MONTH($A13)-1)*12)+VLOOKUP(CN$4,$DE$6:$DF$17,2)+1))*(VLOOKUP($A13,SatSunCurve,6))*(INDEX(DailyScalarsTable,CN$5/100,MONTH($A13)))*$E13</f>
        <v>0</v>
      </c>
      <c r="CO13" s="1021">
        <f>(VLOOKUP(YEAR($A13),'NY East Load Projections'!$A$4:$EO$14,((MONTH($A13)-1)*12)+VLOOKUP(CO$4,$DE$6:$DF$17,2)+1))*(VLOOKUP($A13,SatSunCurve,6))*(INDEX(DailyScalarsTable,CO$5/100,MONTH($A13)))*$E13</f>
        <v>0</v>
      </c>
      <c r="CP13" s="1021">
        <f>(VLOOKUP(YEAR($A13),'NY East Load Projections'!$A$4:$EO$14,((MONTH($A13)-1)*12)+VLOOKUP(CP$4,$DE$6:$DF$17,2)+1))*(VLOOKUP($A13,SatSunCurve,6))*(INDEX(DailyScalarsTable,CP$5/100,MONTH($A13)))*$E13</f>
        <v>0</v>
      </c>
      <c r="CQ13" s="1021">
        <f>(VLOOKUP(YEAR($A13),'NY East Load Projections'!$A$4:$EO$14,((MONTH($A13)-1)*12)+VLOOKUP(CQ$4,$DE$6:$DF$17,2)+1))*(VLOOKUP($A13,SatSunCurve,6))*(INDEX(DailyScalarsTable,CQ$5/100,MONTH($A13)))*$E13</f>
        <v>0</v>
      </c>
      <c r="CR13" s="1021">
        <f>(VLOOKUP(YEAR($A13),'NY East Load Projections'!$A$4:$EO$14,((MONTH($A13)-1)*12)+VLOOKUP(CR$4,$DE$6:$DF$17,2)+1))*(VLOOKUP($A13,SatSunCurve,6))*(INDEX(DailyScalarsTable,CR$5/100,MONTH($A13)))*$E13</f>
        <v>0</v>
      </c>
      <c r="CS13" s="1021">
        <f>(VLOOKUP(YEAR($A13),'NY East Load Projections'!$A$4:$EO$14,((MONTH($A13)-1)*12)+VLOOKUP(CS$4,$DE$6:$DF$17,2)+1))*(VLOOKUP($A13,SatSunCurve,6))*(INDEX(DailyScalarsTable,CS$5/100,MONTH($A13)))*$E13</f>
        <v>0</v>
      </c>
      <c r="CT13" s="1021">
        <f>(VLOOKUP(YEAR($A13),'NY East Load Projections'!$A$4:$EO$14,((MONTH($A13)-1)*12)+VLOOKUP(CT$4,$DE$6:$DF$17,2)+1))*(VLOOKUP($A13,SatSunCurve,6))*(INDEX(DailyScalarsTable,CT$5/100,MONTH($A13)))*$E13</f>
        <v>0</v>
      </c>
      <c r="CU13" s="1021">
        <f>(VLOOKUP(YEAR($A13),'NY East Load Projections'!$A$4:$EO$14,((MONTH($A13)-1)*12)+VLOOKUP(CU$4,$DE$6:$DF$17,2)+1))*(VLOOKUP($A13,SatSunCurve,6))*(INDEX(DailyScalarsTable,CU$5/100,MONTH($A13)))*$E13</f>
        <v>0</v>
      </c>
      <c r="CV13" s="1021">
        <f>(VLOOKUP(YEAR($A13),'NY East Load Projections'!$A$4:$EO$14,((MONTH($A13)-1)*12)+VLOOKUP(CV$4,$DE$6:$DF$17,2)+1))*(VLOOKUP($A13,SatSunCurve,6))*(INDEX(DailyScalarsTable,CV$5/100,MONTH($A13)))*$E13</f>
        <v>0</v>
      </c>
      <c r="CW13" s="1021">
        <f>(VLOOKUP(YEAR($A13),'NY East Load Projections'!$A$4:$EO$14,((MONTH($A13)-1)*12)+VLOOKUP(CW$4,$DE$6:$DF$17,2)+1))*(VLOOKUP($A13,SatSunCurve,6))*(INDEX(DailyScalarsTable,CW$5/100,MONTH($A13)))*$E13</f>
        <v>0</v>
      </c>
      <c r="CX13" s="1021">
        <f>(VLOOKUP(YEAR($A13),'NY East Load Projections'!$A$4:$EO$14,((MONTH($A13)-1)*12)+VLOOKUP(CX$4,$DE$6:$DF$17,2)+1))*(VLOOKUP($A13,SatSunCurve,6))*(INDEX(DailyScalarsTable,CX$5/100,MONTH($A13)))*$E13</f>
        <v>0</v>
      </c>
      <c r="CY13" s="1021">
        <f>(VLOOKUP(YEAR($A13),'NY East Load Projections'!$A$4:$EO$14,((MONTH($A13)-1)*12)+VLOOKUP(CY$4,$DE$6:$DF$17,2)+1))*(VLOOKUP($A13,SatSunCurve,6))*(INDEX(DailyScalarsTable,CY$5/100,MONTH($A13)))*$E13</f>
        <v>0</v>
      </c>
      <c r="CZ13" s="1021">
        <f>(VLOOKUP(YEAR($A13),'NY East Load Projections'!$A$4:$EO$14,((MONTH($A13)-1)*12)+VLOOKUP(CZ$4,$DE$6:$DF$17,2)+1))*(VLOOKUP($A13,SatSunCurve,6))*(INDEX(DailyScalarsTable,CZ$5/100,MONTH($A13)))*$E13</f>
        <v>0</v>
      </c>
      <c r="DA13" s="1021">
        <f>(VLOOKUP(YEAR($A13),'NY East Load Projections'!$A$4:$EO$14,((MONTH($A13)-1)*12)+VLOOKUP(DA$4,$DE$6:$DF$17,2)+1))*(VLOOKUP($A13,SatSunCurve,6))*(INDEX(DailyScalarsTable,DA$5/100,MONTH($A13)))*$E13</f>
        <v>0</v>
      </c>
      <c r="DB13" s="1021">
        <f>(VLOOKUP(YEAR($A13),'NY East Load Projections'!$A$4:$EO$14,((MONTH($A13)-1)*12)+VLOOKUP(DB$4,$DE$6:$DF$17,2)+1))*(VLOOKUP($A13,CURVES!$D$9:$T$261,6))*(INDEX(DailyScalarsTable,DB$5/100,MONTH($A13)))*$E13</f>
        <v>0</v>
      </c>
      <c r="DE13" s="221" t="s">
        <v>565</v>
      </c>
      <c r="DF13" s="619">
        <v>8</v>
      </c>
      <c r="DH13" s="1021">
        <f t="shared" si="0"/>
        <v>-3418253.3545986344</v>
      </c>
      <c r="DI13">
        <f ca="1">CALC!J33</f>
        <v>0.89999310122749387</v>
      </c>
      <c r="DJ13" s="1029">
        <f t="shared" ca="1" si="1"/>
        <v>-3076404.4373865095</v>
      </c>
    </row>
    <row r="14" spans="1:114" x14ac:dyDescent="0.25">
      <c r="A14" s="244">
        <v>37135</v>
      </c>
      <c r="B14" s="13">
        <v>19</v>
      </c>
      <c r="C14" s="210">
        <v>5</v>
      </c>
      <c r="D14" s="210">
        <v>5</v>
      </c>
      <c r="E14" s="210">
        <v>1</v>
      </c>
      <c r="F14" s="13">
        <v>30</v>
      </c>
      <c r="H14" s="1021">
        <f>(VLOOKUP(YEAR($A14),'NY East Load Projections'!$A$4:$EO$14,((MONTH($A14)-1)*12)+VLOOKUP(H$4,$DE$6:$DF$17,2)+1))*(VLOOKUP($A14,CURVES!$D$9:$K$261,6))*(INDEX(DailyScalarsTable,H$5/100,MONTH($A14)))*$B14</f>
        <v>-33622.732320358868</v>
      </c>
      <c r="I14" s="1021">
        <f>(VLOOKUP(YEAR($A14),'NY East Load Projections'!$A$4:$EO$14,((MONTH($A14)-1)*12)+VLOOKUP(I$4,$DE$6:$DF$17,2)+1))*(VLOOKUP($A14,CURVES!$D$9:$K$261,6))*(INDEX(DailyScalarsTable,I$5/100,MONTH($A14)))*$B14</f>
        <v>-29497.820024008008</v>
      </c>
      <c r="J14" s="1021">
        <f>(VLOOKUP(YEAR($A14),'NY East Load Projections'!$A$4:$EO$14,((MONTH($A14)-1)*12)+VLOOKUP(J$4,$DE$6:$DF$17,2)+1))*(VLOOKUP($A14,CURVES!$D$9:$K$261,6))*(INDEX(DailyScalarsTable,J$5/100,MONTH($A14)))*$B14</f>
        <v>-27661.678939711048</v>
      </c>
      <c r="K14" s="1021">
        <f>(VLOOKUP(YEAR($A14),'NY East Load Projections'!$A$4:$EO$14,((MONTH($A14)-1)*12)+VLOOKUP(K$4,$DE$6:$DF$17,2)+1))*(VLOOKUP($A14,CURVES!$D$9:$K$261,6))*(INDEX(DailyScalarsTable,K$5/100,MONTH($A14)))*$B14</f>
        <v>-28071.60811201921</v>
      </c>
      <c r="L14" s="1021">
        <f>(VLOOKUP(YEAR($A14),'NY East Load Projections'!$A$4:$EO$14,((MONTH($A14)-1)*12)+VLOOKUP(L$4,$DE$6:$DF$17,2)+1))*(VLOOKUP($A14,CURVES!$D$9:$K$261,6))*(INDEX(DailyScalarsTable,L$5/100,MONTH($A14)))*$B14</f>
        <v>-31300.931194548164</v>
      </c>
      <c r="M14" s="1021">
        <f>(VLOOKUP(YEAR($A14),'NY East Load Projections'!$A$4:$EO$14,((MONTH($A14)-1)*12)+VLOOKUP(M$4,$DE$6:$DF$17,2)+1))*(VLOOKUP($A14,CURVES!$D$9:$K$261,6))*(INDEX(DailyScalarsTable,M$5/100,MONTH($A14)))*$B14</f>
        <v>-36222.294848128848</v>
      </c>
      <c r="N14" s="1021">
        <f>(VLOOKUP(YEAR($A14),'NY East Load Projections'!$A$4:$EO$14,((MONTH($A14)-1)*12)+VLOOKUP(N$4,$DE$6:$DF$17,2)+1))*(VLOOKUP($A14,CURVES!$D$9:$K$261,6))*(INDEX(DailyScalarsTable,N$5/100,MONTH($A14)))*$B14</f>
        <v>-49257.734776430392</v>
      </c>
      <c r="O14" s="1021">
        <f>(VLOOKUP(YEAR($A14),'NY East Load Projections'!$A$4:$EO$14,((MONTH($A14)-1)*12)+VLOOKUP(O$4,$DE$6:$DF$17,2)+1))*(VLOOKUP($A14,CURVES!$D$9:$K$261,2))*(INDEX(DailyScalarsTable,O$5/100,MONTH($A14)))*$B14</f>
        <v>-45192.515206567958</v>
      </c>
      <c r="P14" s="1021">
        <f>(VLOOKUP(YEAR($A14),'NY East Load Projections'!$A$4:$EO$14,((MONTH($A14)-1)*12)+VLOOKUP(P$4,$DE$6:$DF$17,2)+1))*(VLOOKUP($A14,CURVES!$D$9:$K$261,2))*(INDEX(DailyScalarsTable,P$5/100,MONTH($A14)))*$B14</f>
        <v>-46751.315937455161</v>
      </c>
      <c r="Q14" s="1021">
        <f>(VLOOKUP(YEAR($A14),'NY East Load Projections'!$A$4:$EO$14,((MONTH($A14)-1)*12)+VLOOKUP(Q$4,$DE$6:$DF$17,2)+1))*(VLOOKUP($A14,CURVES!$D$9:$K$261,2))*(INDEX(DailyScalarsTable,Q$5/100,MONTH($A14)))*$B14</f>
        <v>-58360.279679009458</v>
      </c>
      <c r="R14" s="1021">
        <f>(VLOOKUP(YEAR($A14),'NY East Load Projections'!$A$4:$EO$14,((MONTH($A14)-1)*12)+VLOOKUP(R$4,$DE$6:$DF$17,2)+1))*(VLOOKUP($A14,CURVES!$D$9:$K$261,2))*(INDEX(DailyScalarsTable,R$5/100,MONTH($A14)))*$B14</f>
        <v>-62326.074746000064</v>
      </c>
      <c r="S14" s="1021">
        <f>(VLOOKUP(YEAR($A14),'NY East Load Projections'!$A$4:$EO$14,((MONTH($A14)-1)*12)+VLOOKUP(S$4,$DE$6:$DF$17,2)+1))*(VLOOKUP($A14,CURVES!$D$9:$K$261,2))*(INDEX(DailyScalarsTable,S$5/100,MONTH($A14)))*$B14</f>
        <v>-66409.041030879031</v>
      </c>
      <c r="T14" s="1021">
        <f>(VLOOKUP(YEAR($A14),'NY East Load Projections'!$A$4:$EO$14,((MONTH($A14)-1)*12)+VLOOKUP(T$4,$DE$6:$DF$17,2)+1))*(VLOOKUP($A14,CURVES!$D$9:$K$261,2))*(INDEX(DailyScalarsTable,T$5/100,MONTH($A14)))*$B14</f>
        <v>-63317.172209855671</v>
      </c>
      <c r="U14" s="1021">
        <f>(VLOOKUP(YEAR($A14),'NY East Load Projections'!$A$4:$EO$14,((MONTH($A14)-1)*12)+VLOOKUP(U$4,$DE$6:$DF$17,2)+1))*(VLOOKUP($A14,CURVES!$D$9:$K$261,2))*(INDEX(DailyScalarsTable,U$5/100,MONTH($A14)))*$B14</f>
        <v>-68542.861031538894</v>
      </c>
      <c r="V14" s="1021">
        <f>(VLOOKUP(YEAR($A14),'NY East Load Projections'!$A$4:$EO$14,((MONTH($A14)-1)*12)+VLOOKUP(V$4,$DE$6:$DF$17,2)+1))*(VLOOKUP($A14,CURVES!$D$9:$K$261,2))*(INDEX(DailyScalarsTable,V$5/100,MONTH($A14)))*$B14</f>
        <v>-67461.370649312317</v>
      </c>
      <c r="W14" s="1021">
        <f>(VLOOKUP(YEAR($A14),'NY East Load Projections'!$A$4:$EO$14,((MONTH($A14)-1)*12)+VLOOKUP(W$4,$DE$6:$DF$17,2)+1))*(VLOOKUP($A14,CURVES!$D$9:$K$261,2))*(INDEX(DailyScalarsTable,W$5/100,MONTH($A14)))*$B14</f>
        <v>-65352.918811694035</v>
      </c>
      <c r="X14" s="1021">
        <f>(VLOOKUP(YEAR($A14),'NY East Load Projections'!$A$4:$EO$14,((MONTH($A14)-1)*12)+VLOOKUP(X$4,$DE$6:$DF$17,2)+1))*(VLOOKUP($A14,CURVES!$D$9:$K$261,2))*(INDEX(DailyScalarsTable,X$5/100,MONTH($A14)))*$B14</f>
        <v>-67971.943732560117</v>
      </c>
      <c r="Y14" s="1021">
        <f>(VLOOKUP(YEAR($A14),'NY East Load Projections'!$A$4:$EO$14,((MONTH($A14)-1)*12)+VLOOKUP(Y$4,$DE$6:$DF$17,2)+1))*(VLOOKUP($A14,CURVES!$D$9:$K$261,2))*(INDEX(DailyScalarsTable,Y$5/100,MONTH($A14)))*$B14</f>
        <v>-66304.458992832995</v>
      </c>
      <c r="Z14" s="1021">
        <f>(VLOOKUP(YEAR($A14),'NY East Load Projections'!$A$4:$EO$14,((MONTH($A14)-1)*12)+VLOOKUP(Z$4,$DE$6:$DF$17,2)+1))*(VLOOKUP($A14,CURVES!$D$9:$K$261,2))*(INDEX(DailyScalarsTable,Z$5/100,MONTH($A14)))*$B14</f>
        <v>-54307.345102270083</v>
      </c>
      <c r="AA14" s="1021">
        <f>(VLOOKUP(YEAR($A14),'NY East Load Projections'!$A$4:$EO$14,((MONTH($A14)-1)*12)+VLOOKUP(AA$4,$DE$6:$DF$17,2)+1))*(VLOOKUP($A14,CURVES!$D$9:$K$261,2))*(INDEX(DailyScalarsTable,AA$5/100,MONTH($A14)))*$B14</f>
        <v>-70973.416264068888</v>
      </c>
      <c r="AB14" s="1021">
        <f>(VLOOKUP(YEAR($A14),'NY East Load Projections'!$A$4:$EO$14,((MONTH($A14)-1)*12)+VLOOKUP(AB$4,$DE$6:$DF$17,2)+1))*(VLOOKUP($A14,CURVES!$D$9:$K$261,2))*(INDEX(DailyScalarsTable,AB$5/100,MONTH($A14)))*$B14</f>
        <v>-68338.246422484604</v>
      </c>
      <c r="AC14" s="1021">
        <f>(VLOOKUP(YEAR($A14),'NY East Load Projections'!$A$4:$EO$14,((MONTH($A14)-1)*12)+VLOOKUP(AC$4,$DE$6:$DF$17,2)+1))*(VLOOKUP($A14,CURVES!$D$9:$K$261,2))*(INDEX(DailyScalarsTable,AC$5/100,MONTH($A14)))*$B14</f>
        <v>-52012.160571245928</v>
      </c>
      <c r="AD14" s="1021">
        <f>(VLOOKUP(YEAR($A14),'NY East Load Projections'!$A$4:$EO$14,((MONTH($A14)-1)*12)+VLOOKUP(AD$4,$DE$6:$DF$17,2)+1))*(VLOOKUP($A14,CURVES!$D$9:$K$261,2))*(INDEX(DailyScalarsTable,AD$5/100,MONTH($A14)))*$B14</f>
        <v>-41217.500111084053</v>
      </c>
      <c r="AE14" s="1021">
        <f>(VLOOKUP(YEAR($A14),'NY East Load Projections'!$A$4:$EO$14,((MONTH($A14)-1)*12)+VLOOKUP(AE$4,$DE$6:$DF$17,2)+1))*(VLOOKUP($A14,CURVES!$D$9:$K$261,6))*(INDEX(DailyScalarsTable,AE$5/100,MONTH($A14)))*$B14</f>
        <v>-38560.025070480711</v>
      </c>
      <c r="AF14" s="1021"/>
      <c r="AG14" s="1021">
        <f>(VLOOKUP(YEAR($A14),'NY East Load Projections'!$A$4:$EO$14,((MONTH($A14)-1)*12)+VLOOKUP(AG$4,$DE$6:$DF$17,2)+1))*(VLOOKUP($A14,CURVES!$D$9:$T$261,6))*(INDEX(DailyScalarsTable,AG$5/100,MONTH($A14)))*$C14</f>
        <v>-8975.516596159343</v>
      </c>
      <c r="AH14" s="1021">
        <f>(VLOOKUP(YEAR($A14),'NY East Load Projections'!$A$4:$EO$14,((MONTH($A14)-1)*12)+VLOOKUP(AH$4,$DE$6:$DF$17,2)+1))*(VLOOKUP($A14,CURVES!$D$9:$T$261,6))*(INDEX(DailyScalarsTable,AH$5/100,MONTH($A14)))*$C14</f>
        <v>-7874.3800668362637</v>
      </c>
      <c r="AI14" s="1021">
        <f>(VLOOKUP(YEAR($A14),'NY East Load Projections'!$A$4:$EO$14,((MONTH($A14)-1)*12)+VLOOKUP(AI$4,$DE$6:$DF$17,2)+1))*(VLOOKUP($A14,CURVES!$D$9:$T$261,6))*(INDEX(DailyScalarsTable,AI$5/100,MONTH($A14)))*$C14</f>
        <v>-7384.2261252121189</v>
      </c>
      <c r="AJ14" s="1021">
        <f>(VLOOKUP(YEAR($A14),'NY East Load Projections'!$A$4:$EO$14,((MONTH($A14)-1)*12)+VLOOKUP(AJ$4,$DE$6:$DF$17,2)+1))*(VLOOKUP($A14,CURVES!$D$9:$T$261,6))*(INDEX(DailyScalarsTable,AJ$5/100,MONTH($A14)))*$C14</f>
        <v>-7493.6558424119303</v>
      </c>
      <c r="AK14" s="1021">
        <f>(VLOOKUP(YEAR($A14),'NY East Load Projections'!$A$4:$EO$14,((MONTH($A14)-1)*12)+VLOOKUP(AK$4,$DE$6:$DF$17,2)+1))*(VLOOKUP($A14,CURVES!$D$9:$T$261,6))*(INDEX(DailyScalarsTable,AK$5/100,MONTH($A14)))*$C14</f>
        <v>-8166.7324202605578</v>
      </c>
      <c r="AL14" s="1021">
        <f>(VLOOKUP(YEAR($A14),'NY East Load Projections'!$A$4:$EO$14,((MONTH($A14)-1)*12)+VLOOKUP(AL$4,$DE$6:$DF$17,2)+1))*(VLOOKUP($A14,CURVES!$D$9:$T$261,6))*(INDEX(DailyScalarsTable,AL$5/100,MONTH($A14)))*$C14</f>
        <v>-9450.7664271654285</v>
      </c>
      <c r="AM14" s="1021">
        <f>(VLOOKUP(YEAR($A14),'NY East Load Projections'!$A$4:$EO$14,((MONTH($A14)-1)*12)+VLOOKUP(AM$4,$DE$6:$DF$17,2)+1))*(VLOOKUP($A14,CURVES!$D$9:$T$261,6))*(INDEX(DailyScalarsTable,AM$5/100,MONTH($A14)))*$C14</f>
        <v>-12851.845750114175</v>
      </c>
      <c r="AN14" s="1021">
        <f>(VLOOKUP(YEAR($A14),'NY East Load Projections'!$A$4:$EO$14,((MONTH($A14)-1)*12)+VLOOKUP(AN$4,$DE$6:$DF$17,2)+1))*(VLOOKUP($A14,SatSunCurve,2))*(INDEX(DailyScalarsTable,AN$5/100,MONTH($A14)))*$C14</f>
        <v>-8081.2776516489939</v>
      </c>
      <c r="AO14" s="1021">
        <f>(VLOOKUP(YEAR($A14),'NY East Load Projections'!$A$4:$EO$14,((MONTH($A14)-1)*12)+VLOOKUP(AO$4,$DE$6:$DF$17,2)+1))*(VLOOKUP($A14,SatSunCurve,2))*(INDEX(DailyScalarsTable,AO$5/100,MONTH($A14)))*$C14</f>
        <v>-8529.1402225588499</v>
      </c>
      <c r="AP14" s="1021">
        <f>(VLOOKUP(YEAR($A14),'NY East Load Projections'!$A$4:$EO$14,((MONTH($A14)-1)*12)+VLOOKUP(AP$4,$DE$6:$DF$17,2)+1))*(VLOOKUP($A14,SatSunCurve,2))*(INDEX(DailyScalarsTable,AP$5/100,MONTH($A14)))*$C14</f>
        <v>-10647.037389833917</v>
      </c>
      <c r="AQ14" s="1021">
        <f>(VLOOKUP(YEAR($A14),'NY East Load Projections'!$A$4:$EO$14,((MONTH($A14)-1)*12)+VLOOKUP(AQ$4,$DE$6:$DF$17,2)+1))*(VLOOKUP($A14,SatSunCurve,2))*(INDEX(DailyScalarsTable,AQ$5/100,MONTH($A14)))*$C14</f>
        <v>-11370.54263331298</v>
      </c>
      <c r="AR14" s="1021">
        <f>(VLOOKUP(YEAR($A14),'NY East Load Projections'!$A$4:$EO$14,((MONTH($A14)-1)*12)+VLOOKUP(AR$4,$DE$6:$DF$17,2)+1))*(VLOOKUP($A14,SatSunCurve,2))*(INDEX(DailyScalarsTable,AR$5/100,MONTH($A14)))*$C14</f>
        <v>-12115.424168076652</v>
      </c>
      <c r="AS14" s="1021">
        <f>(VLOOKUP(YEAR($A14),'NY East Load Projections'!$A$4:$EO$14,((MONTH($A14)-1)*12)+VLOOKUP(AS$4,$DE$6:$DF$17,2)+1))*(VLOOKUP($A14,SatSunCurve,2))*(INDEX(DailyScalarsTable,AS$5/100,MONTH($A14)))*$C14</f>
        <v>-11660.250458181712</v>
      </c>
      <c r="AT14" s="1021">
        <f>(VLOOKUP(YEAR($A14),'NY East Load Projections'!$A$4:$EO$14,((MONTH($A14)-1)*12)+VLOOKUP(AT$4,$DE$6:$DF$17,2)+1))*(VLOOKUP($A14,SatSunCurve,2))*(INDEX(DailyScalarsTable,AT$5/100,MONTH($A14)))*$C14</f>
        <v>-12622.593505900168</v>
      </c>
      <c r="AU14" s="1021">
        <f>(VLOOKUP(YEAR($A14),'NY East Load Projections'!$A$4:$EO$14,((MONTH($A14)-1)*12)+VLOOKUP(AU$4,$DE$6:$DF$17,2)+1))*(VLOOKUP($A14,SatSunCurve,2))*(INDEX(DailyScalarsTable,AU$5/100,MONTH($A14)))*$C14</f>
        <v>-12423.43033602453</v>
      </c>
      <c r="AV14" s="1021">
        <f>(VLOOKUP(YEAR($A14),'NY East Load Projections'!$A$4:$EO$14,((MONTH($A14)-1)*12)+VLOOKUP(AV$4,$DE$6:$DF$17,2)+1))*(VLOOKUP($A14,SatSunCurve,2))*(INDEX(DailyScalarsTable,AV$5/100,MONTH($A14)))*$C14</f>
        <v>-12035.145836771168</v>
      </c>
      <c r="AW14" s="1021">
        <f>(VLOOKUP(YEAR($A14),'NY East Load Projections'!$A$4:$EO$14,((MONTH($A14)-1)*12)+VLOOKUP(AW$4,$DE$6:$DF$17,2)+1))*(VLOOKUP($A14,SatSunCurve,2))*(INDEX(DailyScalarsTable,AW$5/100,MONTH($A14)))*$C14</f>
        <v>-12555.234113934641</v>
      </c>
      <c r="AX14" s="1021">
        <f>(VLOOKUP(YEAR($A14),'NY East Load Projections'!$A$4:$EO$14,((MONTH($A14)-1)*12)+VLOOKUP(AX$4,$DE$6:$DF$17,2)+1))*(VLOOKUP($A14,SatSunCurve,2))*(INDEX(DailyScalarsTable,AX$5/100,MONTH($A14)))*$C14</f>
        <v>-12247.229661817457</v>
      </c>
      <c r="AY14" s="1021">
        <f>(VLOOKUP(YEAR($A14),'NY East Load Projections'!$A$4:$EO$14,((MONTH($A14)-1)*12)+VLOOKUP(AY$4,$DE$6:$DF$17,2)+1))*(VLOOKUP($A14,SatSunCurve,2))*(INDEX(DailyScalarsTable,AY$5/100,MONTH($A14)))*$C14</f>
        <v>-10031.218682637513</v>
      </c>
      <c r="AZ14" s="1021">
        <f>(VLOOKUP(YEAR($A14),'NY East Load Projections'!$A$4:$EO$14,((MONTH($A14)-1)*12)+VLOOKUP(AZ$4,$DE$6:$DF$17,2)+1))*(VLOOKUP($A14,SatSunCurve,2))*(INDEX(DailyScalarsTable,AZ$5/100,MONTH($A14)))*$C14</f>
        <v>-13109.64212774557</v>
      </c>
      <c r="BA14" s="1021">
        <f>(VLOOKUP(YEAR($A14),'NY East Load Projections'!$A$4:$EO$14,((MONTH($A14)-1)*12)+VLOOKUP(BA$4,$DE$6:$DF$17,2)+1))*(VLOOKUP($A14,SatSunCurve,2))*(INDEX(DailyScalarsTable,BA$5/100,MONTH($A14)))*$C14</f>
        <v>-12813.587839862943</v>
      </c>
      <c r="BB14" s="1021">
        <f>(VLOOKUP(YEAR($A14),'NY East Load Projections'!$A$4:$EO$14,((MONTH($A14)-1)*12)+VLOOKUP(BB$4,$DE$6:$DF$17,2)+1))*(VLOOKUP($A14,SatSunCurve,2))*(INDEX(DailyScalarsTable,BB$5/100,MONTH($A14)))*$C14</f>
        <v>-9752.4069333075058</v>
      </c>
      <c r="BC14" s="1021">
        <f>(VLOOKUP(YEAR($A14),'NY East Load Projections'!$A$4:$EO$14,((MONTH($A14)-1)*12)+VLOOKUP(BC$4,$DE$6:$DF$17,2)+1))*(VLOOKUP($A14,SatSunCurve,2))*(INDEX(DailyScalarsTable,BC$5/100,MONTH($A14)))*$C14</f>
        <v>-7728.3817753796866</v>
      </c>
      <c r="BD14" s="1021">
        <f>(VLOOKUP(YEAR($A14),'NY East Load Projections'!$A$4:$EO$14,((MONTH($A14)-1)*12)+VLOOKUP(BD$4,$DE$6:$DF$17,2)+1))*(VLOOKUP($A14,CURVES!$D$9:$T$261,6))*(INDEX(DailyScalarsTable,BD$5/100,MONTH($A14)))*$C14</f>
        <v>-10549.254761693803</v>
      </c>
      <c r="BE14" s="1021"/>
      <c r="BF14" s="1021">
        <f>(VLOOKUP(YEAR($A14),'NY East Load Projections'!$A$4:$EO$14,((MONTH($A14)-1)*12)+VLOOKUP(BF$4,$DE$6:$DF$17,2)+1))*(VLOOKUP($A14,CURVES!$D$9:$T$261,6))*(INDEX(DailyScalarsTable,BF$5/100,MONTH($A14)))*$D14</f>
        <v>-8975.516596159343</v>
      </c>
      <c r="BG14" s="1021">
        <f>(VLOOKUP(YEAR($A14),'NY East Load Projections'!$A$4:$EO$14,((MONTH($A14)-1)*12)+VLOOKUP(BG$4,$DE$6:$DF$17,2)+1))*(VLOOKUP($A14,CURVES!$D$9:$T$261,6))*(INDEX(DailyScalarsTable,BG$5/100,MONTH($A14)))*$D14</f>
        <v>-7874.3800668362637</v>
      </c>
      <c r="BH14" s="1021">
        <f>(VLOOKUP(YEAR($A14),'NY East Load Projections'!$A$4:$EO$14,((MONTH($A14)-1)*12)+VLOOKUP(BH$4,$DE$6:$DF$17,2)+1))*(VLOOKUP($A14,CURVES!$D$9:$T$261,6))*(INDEX(DailyScalarsTable,BH$5/100,MONTH($A14)))*$D14</f>
        <v>-7384.2261252121189</v>
      </c>
      <c r="BI14" s="1021">
        <f>(VLOOKUP(YEAR($A14),'NY East Load Projections'!$A$4:$EO$14,((MONTH($A14)-1)*12)+VLOOKUP(BI$4,$DE$6:$DF$17,2)+1))*(VLOOKUP($A14,CURVES!$D$9:$T$261,6))*(INDEX(DailyScalarsTable,BI$5/100,MONTH($A14)))*$D14</f>
        <v>-7493.6558424119303</v>
      </c>
      <c r="BJ14" s="1021">
        <f>(VLOOKUP(YEAR($A14),'NY East Load Projections'!$A$4:$EO$14,((MONTH($A14)-1)*12)+VLOOKUP(BJ$4,$DE$6:$DF$17,2)+1))*(VLOOKUP($A14,CURVES!$D$9:$T$261,6))*(INDEX(DailyScalarsTable,BJ$5/100,MONTH($A14)))*$D14</f>
        <v>-8166.7324202605578</v>
      </c>
      <c r="BK14" s="1021">
        <f>(VLOOKUP(YEAR($A14),'NY East Load Projections'!$A$4:$EO$14,((MONTH($A14)-1)*12)+VLOOKUP(BK$4,$DE$6:$DF$17,2)+1))*(VLOOKUP($A14,CURVES!$D$9:$T$261,6))*(INDEX(DailyScalarsTable,BK$5/100,MONTH($A14)))*$D14</f>
        <v>-9450.7664271654285</v>
      </c>
      <c r="BL14" s="1021">
        <f>(VLOOKUP(YEAR($A14),'NY East Load Projections'!$A$4:$EO$14,((MONTH($A14)-1)*12)+VLOOKUP(BL$4,$DE$6:$DF$17,2)+1))*(VLOOKUP($A14,CURVES!$D$9:$T$261,6))*(INDEX(DailyScalarsTable,BL$5/100,MONTH($A14)))*$D14</f>
        <v>-12851.845750114175</v>
      </c>
      <c r="BM14" s="1021">
        <f>(VLOOKUP(YEAR($A14),'NY East Load Projections'!$A$4:$EO$14,((MONTH($A14)-1)*12)+VLOOKUP(BM$4,$DE$6:$DF$17,2)+1))*(VLOOKUP($A14,SatSunCurve,6))*(INDEX(DailyScalarsTable,BM$5/100,MONTH($A14)))*$D14</f>
        <v>-7549.2365222509025</v>
      </c>
      <c r="BN14" s="1021">
        <f>(VLOOKUP(YEAR($A14),'NY East Load Projections'!$A$4:$EO$14,((MONTH($A14)-1)*12)+VLOOKUP(BN$4,$DE$6:$DF$17,2)+1))*(VLOOKUP($A14,SatSunCurve,6))*(INDEX(DailyScalarsTable,BN$5/100,MONTH($A14)))*$D14</f>
        <v>-7967.613494680746</v>
      </c>
      <c r="BO14" s="1021">
        <f>(VLOOKUP(YEAR($A14),'NY East Load Projections'!$A$4:$EO$14,((MONTH($A14)-1)*12)+VLOOKUP(BO$4,$DE$6:$DF$17,2)+1))*(VLOOKUP($A14,SatSunCurve,6))*(INDEX(DailyScalarsTable,BO$5/100,MONTH($A14)))*$D14</f>
        <v>-9946.0762248038973</v>
      </c>
      <c r="BP14" s="1021">
        <f>(VLOOKUP(YEAR($A14),'NY East Load Projections'!$A$4:$EO$14,((MONTH($A14)-1)*12)+VLOOKUP(BP$4,$DE$6:$DF$17,2)+1))*(VLOOKUP($A14,SatSunCurve,6))*(INDEX(DailyScalarsTable,BP$5/100,MONTH($A14)))*$D14</f>
        <v>-10621.948586026092</v>
      </c>
      <c r="BQ14" s="1021">
        <f>(VLOOKUP(YEAR($A14),'NY East Load Projections'!$A$4:$EO$14,((MONTH($A14)-1)*12)+VLOOKUP(BQ$4,$DE$6:$DF$17,2)+1))*(VLOOKUP($A14,SatSunCurve,6))*(INDEX(DailyScalarsTable,BQ$5/100,MONTH($A14)))*$D14</f>
        <v>-11317.789903375307</v>
      </c>
      <c r="BR14" s="1021">
        <f>(VLOOKUP(YEAR($A14),'NY East Load Projections'!$A$4:$EO$14,((MONTH($A14)-1)*12)+VLOOKUP(BR$4,$DE$6:$DF$17,2)+1))*(VLOOKUP($A14,SatSunCurve,6))*(INDEX(DailyScalarsTable,BR$5/100,MONTH($A14)))*$D14</f>
        <v>-10892.583130037166</v>
      </c>
      <c r="BS14" s="1021">
        <f>(VLOOKUP(YEAR($A14),'NY East Load Projections'!$A$4:$EO$14,((MONTH($A14)-1)*12)+VLOOKUP(BS$4,$DE$6:$DF$17,2)+1))*(VLOOKUP($A14,SatSunCurve,6))*(INDEX(DailyScalarsTable,BS$5/100,MONTH($A14)))*$D14</f>
        <v>-11791.569106751875</v>
      </c>
      <c r="BT14" s="1021">
        <f>(VLOOKUP(YEAR($A14),'NY East Load Projections'!$A$4:$EO$14,((MONTH($A14)-1)*12)+VLOOKUP(BT$4,$DE$6:$DF$17,2)+1))*(VLOOKUP($A14,SatSunCurve,6))*(INDEX(DailyScalarsTable,BT$5/100,MONTH($A14)))*$D14</f>
        <v>-11605.518095918749</v>
      </c>
      <c r="BU14" s="1021">
        <f>(VLOOKUP(YEAR($A14),'NY East Load Projections'!$A$4:$EO$14,((MONTH($A14)-1)*12)+VLOOKUP(BU$4,$DE$6:$DF$17,2)+1))*(VLOOKUP($A14,SatSunCurve,6))*(INDEX(DailyScalarsTable,BU$5/100,MONTH($A14)))*$D14</f>
        <v>-11242.79679748777</v>
      </c>
      <c r="BV14" s="1021">
        <f>(VLOOKUP(YEAR($A14),'NY East Load Projections'!$A$4:$EO$14,((MONTH($A14)-1)*12)+VLOOKUP(BV$4,$DE$6:$DF$17,2)+1))*(VLOOKUP($A14,SatSunCurve,6))*(INDEX(DailyScalarsTable,BV$5/100,MONTH($A14)))*$D14</f>
        <v>-11728.64440550256</v>
      </c>
      <c r="BW14" s="1021">
        <f>(VLOOKUP(YEAR($A14),'NY East Load Projections'!$A$4:$EO$14,((MONTH($A14)-1)*12)+VLOOKUP(BW$4,$DE$6:$DF$17,2)+1))*(VLOOKUP($A14,SatSunCurve,6))*(INDEX(DailyScalarsTable,BW$5/100,MONTH($A14)))*$D14</f>
        <v>-11440.917815825931</v>
      </c>
      <c r="BX14" s="1021">
        <f>(VLOOKUP(YEAR($A14),'NY East Load Projections'!$A$4:$EO$14,((MONTH($A14)-1)*12)+VLOOKUP(BX$4,$DE$6:$DF$17,2)+1))*(VLOOKUP($A14,SatSunCurve,6))*(INDEX(DailyScalarsTable,BX$5/100,MONTH($A14)))*$D14</f>
        <v>-9370.8007206261864</v>
      </c>
      <c r="BY14" s="1021">
        <f>(VLOOKUP(YEAR($A14),'NY East Load Projections'!$A$4:$EO$14,((MONTH($A14)-1)*12)+VLOOKUP(BY$4,$DE$6:$DF$17,2)+1))*(VLOOKUP($A14,SatSunCurve,6))*(INDEX(DailyScalarsTable,BY$5/100,MONTH($A14)))*$D14</f>
        <v>-12246.552266920489</v>
      </c>
      <c r="BZ14" s="1021">
        <f>(VLOOKUP(YEAR($A14),'NY East Load Projections'!$A$4:$EO$14,((MONTH($A14)-1)*12)+VLOOKUP(BZ$4,$DE$6:$DF$17,2)+1))*(VLOOKUP($A14,SatSunCurve,6))*(INDEX(DailyScalarsTable,BZ$5/100,MONTH($A14)))*$D14</f>
        <v>-11969.98908731034</v>
      </c>
      <c r="CA14" s="1021">
        <f>(VLOOKUP(YEAR($A14),'NY East Load Projections'!$A$4:$EO$14,((MONTH($A14)-1)*12)+VLOOKUP(CA$4,$DE$6:$DF$17,2)+1))*(VLOOKUP($A14,SatSunCurve,6))*(INDEX(DailyScalarsTable,CA$5/100,MONTH($A14)))*$D14</f>
        <v>-9110.3448952474791</v>
      </c>
      <c r="CB14" s="1021">
        <f>(VLOOKUP(YEAR($A14),'NY East Load Projections'!$A$4:$EO$14,((MONTH($A14)-1)*12)+VLOOKUP(CB$4,$DE$6:$DF$17,2)+1))*(VLOOKUP($A14,SatSunCurve,6))*(INDEX(DailyScalarsTable,CB$5/100,MONTH($A14)))*$D14</f>
        <v>-7219.5739920765582</v>
      </c>
      <c r="CC14" s="1021">
        <f>(VLOOKUP(YEAR($A14),'NY East Load Projections'!$A$4:$EO$14,((MONTH($A14)-1)*12)+VLOOKUP(CC$4,$DE$6:$DF$17,2)+1))*(VLOOKUP($A14,CURVES!$D$9:$T$261,6))*(INDEX(DailyScalarsTable,CC$5/100,MONTH($A14)))*$D14</f>
        <v>-10549.254761693803</v>
      </c>
      <c r="CE14" s="1021">
        <f>(VLOOKUP(YEAR($A14),'NY East Load Projections'!$A$4:$EO$14,((MONTH($A14)-1)*12)+VLOOKUP(CE$4,$DE$6:$DF$17,2)+1))*(VLOOKUP($A14,CURVES!$D$9:$T$261,6))*(INDEX(DailyScalarsTable,CE$5/100,MONTH($A14)))*$E14</f>
        <v>-1795.1033192318685</v>
      </c>
      <c r="CF14" s="1021">
        <f>(VLOOKUP(YEAR($A14),'NY East Load Projections'!$A$4:$EO$14,((MONTH($A14)-1)*12)+VLOOKUP(CF$4,$DE$6:$DF$17,2)+1))*(VLOOKUP($A14,CURVES!$D$9:$T$261,6))*(INDEX(DailyScalarsTable,CF$5/100,MONTH($A14)))*$E14</f>
        <v>-1574.8760133672527</v>
      </c>
      <c r="CG14" s="1021">
        <f>(VLOOKUP(YEAR($A14),'NY East Load Projections'!$A$4:$EO$14,((MONTH($A14)-1)*12)+VLOOKUP(CG$4,$DE$6:$DF$17,2)+1))*(VLOOKUP($A14,CURVES!$D$9:$T$261,6))*(INDEX(DailyScalarsTable,CG$5/100,MONTH($A14)))*$E14</f>
        <v>-1476.8452250424239</v>
      </c>
      <c r="CH14" s="1021">
        <f>(VLOOKUP(YEAR($A14),'NY East Load Projections'!$A$4:$EO$14,((MONTH($A14)-1)*12)+VLOOKUP(CH$4,$DE$6:$DF$17,2)+1))*(VLOOKUP($A14,CURVES!$D$9:$T$261,6))*(INDEX(DailyScalarsTable,CH$5/100,MONTH($A14)))*$E14</f>
        <v>-1498.731168482386</v>
      </c>
      <c r="CI14" s="1021">
        <f>(VLOOKUP(YEAR($A14),'NY East Load Projections'!$A$4:$EO$14,((MONTH($A14)-1)*12)+VLOOKUP(CI$4,$DE$6:$DF$17,2)+1))*(VLOOKUP($A14,CURVES!$D$9:$T$261,6))*(INDEX(DailyScalarsTable,CI$5/100,MONTH($A14)))*$E14</f>
        <v>-1633.3464840521115</v>
      </c>
      <c r="CJ14" s="1021">
        <f>(VLOOKUP(YEAR($A14),'NY East Load Projections'!$A$4:$EO$14,((MONTH($A14)-1)*12)+VLOOKUP(CJ$4,$DE$6:$DF$17,2)+1))*(VLOOKUP($A14,CURVES!$D$9:$T$261,6))*(INDEX(DailyScalarsTable,CJ$5/100,MONTH($A14)))*$E14</f>
        <v>-1890.1532854330858</v>
      </c>
      <c r="CK14" s="1021">
        <f>(VLOOKUP(YEAR($A14),'NY East Load Projections'!$A$4:$EO$14,((MONTH($A14)-1)*12)+VLOOKUP(CK$4,$DE$6:$DF$17,2)+1))*(VLOOKUP($A14,CURVES!$D$9:$T$261,6))*(INDEX(DailyScalarsTable,CK$5/100,MONTH($A14)))*$E14</f>
        <v>-2570.3691500228351</v>
      </c>
      <c r="CL14" s="1021">
        <f>(VLOOKUP(YEAR($A14),'NY East Load Projections'!$A$4:$EO$14,((MONTH($A14)-1)*12)+VLOOKUP(CL$4,$DE$6:$DF$17,2)+1))*(VLOOKUP($A14,SatSunCurve,6))*(INDEX(DailyScalarsTable,CL$5/100,MONTH($A14)))*$E14</f>
        <v>-1509.8473044501804</v>
      </c>
      <c r="CM14" s="1021">
        <f>(VLOOKUP(YEAR($A14),'NY East Load Projections'!$A$4:$EO$14,((MONTH($A14)-1)*12)+VLOOKUP(CM$4,$DE$6:$DF$17,2)+1))*(VLOOKUP($A14,SatSunCurve,6))*(INDEX(DailyScalarsTable,CM$5/100,MONTH($A14)))*$E14</f>
        <v>-1593.5226989361493</v>
      </c>
      <c r="CN14" s="1021">
        <f>(VLOOKUP(YEAR($A14),'NY East Load Projections'!$A$4:$EO$14,((MONTH($A14)-1)*12)+VLOOKUP(CN$4,$DE$6:$DF$17,2)+1))*(VLOOKUP($A14,SatSunCurve,6))*(INDEX(DailyScalarsTable,CN$5/100,MONTH($A14)))*$E14</f>
        <v>-1989.2152449607795</v>
      </c>
      <c r="CO14" s="1021">
        <f>(VLOOKUP(YEAR($A14),'NY East Load Projections'!$A$4:$EO$14,((MONTH($A14)-1)*12)+VLOOKUP(CO$4,$DE$6:$DF$17,2)+1))*(VLOOKUP($A14,SatSunCurve,6))*(INDEX(DailyScalarsTable,CO$5/100,MONTH($A14)))*$E14</f>
        <v>-2124.3897172052184</v>
      </c>
      <c r="CP14" s="1021">
        <f>(VLOOKUP(YEAR($A14),'NY East Load Projections'!$A$4:$EO$14,((MONTH($A14)-1)*12)+VLOOKUP(CP$4,$DE$6:$DF$17,2)+1))*(VLOOKUP($A14,SatSunCurve,6))*(INDEX(DailyScalarsTable,CP$5/100,MONTH($A14)))*$E14</f>
        <v>-2263.5579806750616</v>
      </c>
      <c r="CQ14" s="1021">
        <f>(VLOOKUP(YEAR($A14),'NY East Load Projections'!$A$4:$EO$14,((MONTH($A14)-1)*12)+VLOOKUP(CQ$4,$DE$6:$DF$17,2)+1))*(VLOOKUP($A14,SatSunCurve,6))*(INDEX(DailyScalarsTable,CQ$5/100,MONTH($A14)))*$E14</f>
        <v>-2178.5166260074334</v>
      </c>
      <c r="CR14" s="1021">
        <f>(VLOOKUP(YEAR($A14),'NY East Load Projections'!$A$4:$EO$14,((MONTH($A14)-1)*12)+VLOOKUP(CR$4,$DE$6:$DF$17,2)+1))*(VLOOKUP($A14,SatSunCurve,6))*(INDEX(DailyScalarsTable,CR$5/100,MONTH($A14)))*$E14</f>
        <v>-2358.3138213503748</v>
      </c>
      <c r="CS14" s="1021">
        <f>(VLOOKUP(YEAR($A14),'NY East Load Projections'!$A$4:$EO$14,((MONTH($A14)-1)*12)+VLOOKUP(CS$4,$DE$6:$DF$17,2)+1))*(VLOOKUP($A14,SatSunCurve,6))*(INDEX(DailyScalarsTable,CS$5/100,MONTH($A14)))*$E14</f>
        <v>-2321.1036191837497</v>
      </c>
      <c r="CT14" s="1021">
        <f>(VLOOKUP(YEAR($A14),'NY East Load Projections'!$A$4:$EO$14,((MONTH($A14)-1)*12)+VLOOKUP(CT$4,$DE$6:$DF$17,2)+1))*(VLOOKUP($A14,SatSunCurve,6))*(INDEX(DailyScalarsTable,CT$5/100,MONTH($A14)))*$E14</f>
        <v>-2248.5593594975539</v>
      </c>
      <c r="CU14" s="1021">
        <f>(VLOOKUP(YEAR($A14),'NY East Load Projections'!$A$4:$EO$14,((MONTH($A14)-1)*12)+VLOOKUP(CU$4,$DE$6:$DF$17,2)+1))*(VLOOKUP($A14,SatSunCurve,6))*(INDEX(DailyScalarsTable,CU$5/100,MONTH($A14)))*$E14</f>
        <v>-2345.7288811005119</v>
      </c>
      <c r="CV14" s="1021">
        <f>(VLOOKUP(YEAR($A14),'NY East Load Projections'!$A$4:$EO$14,((MONTH($A14)-1)*12)+VLOOKUP(CV$4,$DE$6:$DF$17,2)+1))*(VLOOKUP($A14,SatSunCurve,6))*(INDEX(DailyScalarsTable,CV$5/100,MONTH($A14)))*$E14</f>
        <v>-2288.1835631651861</v>
      </c>
      <c r="CW14" s="1021">
        <f>(VLOOKUP(YEAR($A14),'NY East Load Projections'!$A$4:$EO$14,((MONTH($A14)-1)*12)+VLOOKUP(CW$4,$DE$6:$DF$17,2)+1))*(VLOOKUP($A14,SatSunCurve,6))*(INDEX(DailyScalarsTable,CW$5/100,MONTH($A14)))*$E14</f>
        <v>-1874.1601441252374</v>
      </c>
      <c r="CX14" s="1021">
        <f>(VLOOKUP(YEAR($A14),'NY East Load Projections'!$A$4:$EO$14,((MONTH($A14)-1)*12)+VLOOKUP(CX$4,$DE$6:$DF$17,2)+1))*(VLOOKUP($A14,SatSunCurve,6))*(INDEX(DailyScalarsTable,CX$5/100,MONTH($A14)))*$E14</f>
        <v>-2449.3104533840979</v>
      </c>
      <c r="CY14" s="1021">
        <f>(VLOOKUP(YEAR($A14),'NY East Load Projections'!$A$4:$EO$14,((MONTH($A14)-1)*12)+VLOOKUP(CY$4,$DE$6:$DF$17,2)+1))*(VLOOKUP($A14,SatSunCurve,6))*(INDEX(DailyScalarsTable,CY$5/100,MONTH($A14)))*$E14</f>
        <v>-2393.9978174620678</v>
      </c>
      <c r="CZ14" s="1021">
        <f>(VLOOKUP(YEAR($A14),'NY East Load Projections'!$A$4:$EO$14,((MONTH($A14)-1)*12)+VLOOKUP(CZ$4,$DE$6:$DF$17,2)+1))*(VLOOKUP($A14,SatSunCurve,6))*(INDEX(DailyScalarsTable,CZ$5/100,MONTH($A14)))*$E14</f>
        <v>-1822.0689790494957</v>
      </c>
      <c r="DA14" s="1021">
        <f>(VLOOKUP(YEAR($A14),'NY East Load Projections'!$A$4:$EO$14,((MONTH($A14)-1)*12)+VLOOKUP(DA$4,$DE$6:$DF$17,2)+1))*(VLOOKUP($A14,SatSunCurve,6))*(INDEX(DailyScalarsTable,DA$5/100,MONTH($A14)))*$E14</f>
        <v>-1443.9147984153117</v>
      </c>
      <c r="DB14" s="1021">
        <f>(VLOOKUP(YEAR($A14),'NY East Load Projections'!$A$4:$EO$14,((MONTH($A14)-1)*12)+VLOOKUP(DB$4,$DE$6:$DF$17,2)+1))*(VLOOKUP($A14,CURVES!$D$9:$T$261,6))*(INDEX(DailyScalarsTable,DB$5/100,MONTH($A14)))*$E14</f>
        <v>-2109.8509523387606</v>
      </c>
      <c r="DE14" s="221" t="s">
        <v>566</v>
      </c>
      <c r="DF14" s="619">
        <v>9</v>
      </c>
      <c r="DH14" s="1021">
        <f t="shared" si="0"/>
        <v>-1776024.3667530268</v>
      </c>
      <c r="DI14">
        <f ca="1">CALC!J34</f>
        <v>0.89458343599949186</v>
      </c>
      <c r="DJ14" s="1029">
        <f t="shared" ca="1" si="1"/>
        <v>-1588801.9804287443</v>
      </c>
    </row>
    <row r="15" spans="1:114" x14ac:dyDescent="0.25">
      <c r="A15" s="244">
        <v>37165</v>
      </c>
      <c r="B15" s="13">
        <v>23</v>
      </c>
      <c r="C15" s="210">
        <v>4</v>
      </c>
      <c r="D15" s="210">
        <v>4</v>
      </c>
      <c r="E15" s="210">
        <v>0</v>
      </c>
      <c r="F15" s="13">
        <v>31</v>
      </c>
      <c r="H15" s="1021">
        <f>(VLOOKUP(YEAR($A15),'NY East Load Projections'!$A$4:$EO$14,((MONTH($A15)-1)*12)+VLOOKUP(H$4,$DE$6:$DF$17,2)+1))*(VLOOKUP($A15,CURVES!$D$9:$K$261,6))*(INDEX(DailyScalarsTable,H$5/100,MONTH($A15)))*$B15</f>
        <v>-36758.102039832775</v>
      </c>
      <c r="I15" s="1021">
        <f>(VLOOKUP(YEAR($A15),'NY East Load Projections'!$A$4:$EO$14,((MONTH($A15)-1)*12)+VLOOKUP(I$4,$DE$6:$DF$17,2)+1))*(VLOOKUP($A15,CURVES!$D$9:$K$261,6))*(INDEX(DailyScalarsTable,I$5/100,MONTH($A15)))*$B15</f>
        <v>-34888.258618533226</v>
      </c>
      <c r="J15" s="1021">
        <f>(VLOOKUP(YEAR($A15),'NY East Load Projections'!$A$4:$EO$14,((MONTH($A15)-1)*12)+VLOOKUP(J$4,$DE$6:$DF$17,2)+1))*(VLOOKUP($A15,CURVES!$D$9:$K$261,6))*(INDEX(DailyScalarsTable,J$5/100,MONTH($A15)))*$B15</f>
        <v>-33513.943060435209</v>
      </c>
      <c r="K15" s="1021">
        <f>(VLOOKUP(YEAR($A15),'NY East Load Projections'!$A$4:$EO$14,((MONTH($A15)-1)*12)+VLOOKUP(K$4,$DE$6:$DF$17,2)+1))*(VLOOKUP($A15,CURVES!$D$9:$K$261,6))*(INDEX(DailyScalarsTable,K$5/100,MONTH($A15)))*$B15</f>
        <v>-33533.299617591518</v>
      </c>
      <c r="L15" s="1021">
        <f>(VLOOKUP(YEAR($A15),'NY East Load Projections'!$A$4:$EO$14,((MONTH($A15)-1)*12)+VLOOKUP(L$4,$DE$6:$DF$17,2)+1))*(VLOOKUP($A15,CURVES!$D$9:$K$261,6))*(INDEX(DailyScalarsTable,L$5/100,MONTH($A15)))*$B15</f>
        <v>-38515.228303019278</v>
      </c>
      <c r="M15" s="1021">
        <f>(VLOOKUP(YEAR($A15),'NY East Load Projections'!$A$4:$EO$14,((MONTH($A15)-1)*12)+VLOOKUP(M$4,$DE$6:$DF$17,2)+1))*(VLOOKUP($A15,CURVES!$D$9:$K$261,6))*(INDEX(DailyScalarsTable,M$5/100,MONTH($A15)))*$B15</f>
        <v>-44247.824075265758</v>
      </c>
      <c r="N15" s="1021">
        <f>(VLOOKUP(YEAR($A15),'NY East Load Projections'!$A$4:$EO$14,((MONTH($A15)-1)*12)+VLOOKUP(N$4,$DE$6:$DF$17,2)+1))*(VLOOKUP($A15,CURVES!$D$9:$K$261,6))*(INDEX(DailyScalarsTable,N$5/100,MONTH($A15)))*$B15</f>
        <v>-57201.245704214271</v>
      </c>
      <c r="O15" s="1021">
        <f>(VLOOKUP(YEAR($A15),'NY East Load Projections'!$A$4:$EO$14,((MONTH($A15)-1)*12)+VLOOKUP(O$4,$DE$6:$DF$17,2)+1))*(VLOOKUP($A15,CURVES!$D$9:$K$261,2))*(INDEX(DailyScalarsTable,O$5/100,MONTH($A15)))*$B15</f>
        <v>-69740.39855481415</v>
      </c>
      <c r="P15" s="1021">
        <f>(VLOOKUP(YEAR($A15),'NY East Load Projections'!$A$4:$EO$14,((MONTH($A15)-1)*12)+VLOOKUP(P$4,$DE$6:$DF$17,2)+1))*(VLOOKUP($A15,CURVES!$D$9:$K$261,2))*(INDEX(DailyScalarsTable,P$5/100,MONTH($A15)))*$B15</f>
        <v>-78639.027461483798</v>
      </c>
      <c r="Q15" s="1021">
        <f>(VLOOKUP(YEAR($A15),'NY East Load Projections'!$A$4:$EO$14,((MONTH($A15)-1)*12)+VLOOKUP(Q$4,$DE$6:$DF$17,2)+1))*(VLOOKUP($A15,CURVES!$D$9:$K$261,2))*(INDEX(DailyScalarsTable,Q$5/100,MONTH($A15)))*$B15</f>
        <v>-78396.01439763495</v>
      </c>
      <c r="R15" s="1021">
        <f>(VLOOKUP(YEAR($A15),'NY East Load Projections'!$A$4:$EO$14,((MONTH($A15)-1)*12)+VLOOKUP(R$4,$DE$6:$DF$17,2)+1))*(VLOOKUP($A15,CURVES!$D$9:$K$261,2))*(INDEX(DailyScalarsTable,R$5/100,MONTH($A15)))*$B15</f>
        <v>-77951.647652311352</v>
      </c>
      <c r="S15" s="1021">
        <f>(VLOOKUP(YEAR($A15),'NY East Load Projections'!$A$4:$EO$14,((MONTH($A15)-1)*12)+VLOOKUP(S$4,$DE$6:$DF$17,2)+1))*(VLOOKUP($A15,CURVES!$D$9:$K$261,2))*(INDEX(DailyScalarsTable,S$5/100,MONTH($A15)))*$B15</f>
        <v>-65780.164768682458</v>
      </c>
      <c r="T15" s="1021">
        <f>(VLOOKUP(YEAR($A15),'NY East Load Projections'!$A$4:$EO$14,((MONTH($A15)-1)*12)+VLOOKUP(T$4,$DE$6:$DF$17,2)+1))*(VLOOKUP($A15,CURVES!$D$9:$K$261,2))*(INDEX(DailyScalarsTable,T$5/100,MONTH($A15)))*$B15</f>
        <v>-62267.020307947234</v>
      </c>
      <c r="U15" s="1021">
        <f>(VLOOKUP(YEAR($A15),'NY East Load Projections'!$A$4:$EO$14,((MONTH($A15)-1)*12)+VLOOKUP(U$4,$DE$6:$DF$17,2)+1))*(VLOOKUP($A15,CURVES!$D$9:$K$261,2))*(INDEX(DailyScalarsTable,U$5/100,MONTH($A15)))*$B15</f>
        <v>-60538.741398399761</v>
      </c>
      <c r="V15" s="1021">
        <f>(VLOOKUP(YEAR($A15),'NY East Load Projections'!$A$4:$EO$14,((MONTH($A15)-1)*12)+VLOOKUP(V$4,$DE$6:$DF$17,2)+1))*(VLOOKUP($A15,CURVES!$D$9:$K$261,2))*(INDEX(DailyScalarsTable,V$5/100,MONTH($A15)))*$B15</f>
        <v>-59132.328196703238</v>
      </c>
      <c r="W15" s="1021">
        <f>(VLOOKUP(YEAR($A15),'NY East Load Projections'!$A$4:$EO$14,((MONTH($A15)-1)*12)+VLOOKUP(W$4,$DE$6:$DF$17,2)+1))*(VLOOKUP($A15,CURVES!$D$9:$K$261,2))*(INDEX(DailyScalarsTable,W$5/100,MONTH($A15)))*$B15</f>
        <v>-58726.497521586833</v>
      </c>
      <c r="X15" s="1021">
        <f>(VLOOKUP(YEAR($A15),'NY East Load Projections'!$A$4:$EO$14,((MONTH($A15)-1)*12)+VLOOKUP(X$4,$DE$6:$DF$17,2)+1))*(VLOOKUP($A15,CURVES!$D$9:$K$261,2))*(INDEX(DailyScalarsTable,X$5/100,MONTH($A15)))*$B15</f>
        <v>-59498.135655178885</v>
      </c>
      <c r="Y15" s="1021">
        <f>(VLOOKUP(YEAR($A15),'NY East Load Projections'!$A$4:$EO$14,((MONTH($A15)-1)*12)+VLOOKUP(Y$4,$DE$6:$DF$17,2)+1))*(VLOOKUP($A15,CURVES!$D$9:$K$261,2))*(INDEX(DailyScalarsTable,Y$5/100,MONTH($A15)))*$B15</f>
        <v>-80264.964702990314</v>
      </c>
      <c r="Z15" s="1021">
        <f>(VLOOKUP(YEAR($A15),'NY East Load Projections'!$A$4:$EO$14,((MONTH($A15)-1)*12)+VLOOKUP(Z$4,$DE$6:$DF$17,2)+1))*(VLOOKUP($A15,CURVES!$D$9:$K$261,2))*(INDEX(DailyScalarsTable,Z$5/100,MONTH($A15)))*$B15</f>
        <v>-80893.654535677677</v>
      </c>
      <c r="AA15" s="1021">
        <f>(VLOOKUP(YEAR($A15),'NY East Load Projections'!$A$4:$EO$14,((MONTH($A15)-1)*12)+VLOOKUP(AA$4,$DE$6:$DF$17,2)+1))*(VLOOKUP($A15,CURVES!$D$9:$K$261,2))*(INDEX(DailyScalarsTable,AA$5/100,MONTH($A15)))*$B15</f>
        <v>-77362.290369093331</v>
      </c>
      <c r="AB15" s="1021">
        <f>(VLOOKUP(YEAR($A15),'NY East Load Projections'!$A$4:$EO$14,((MONTH($A15)-1)*12)+VLOOKUP(AB$4,$DE$6:$DF$17,2)+1))*(VLOOKUP($A15,CURVES!$D$9:$K$261,2))*(INDEX(DailyScalarsTable,AB$5/100,MONTH($A15)))*$B15</f>
        <v>-67063.075517039353</v>
      </c>
      <c r="AC15" s="1021">
        <f>(VLOOKUP(YEAR($A15),'NY East Load Projections'!$A$4:$EO$14,((MONTH($A15)-1)*12)+VLOOKUP(AC$4,$DE$6:$DF$17,2)+1))*(VLOOKUP($A15,CURVES!$D$9:$K$261,2))*(INDEX(DailyScalarsTable,AC$5/100,MONTH($A15)))*$B15</f>
        <v>-55631.798167236229</v>
      </c>
      <c r="AD15" s="1021">
        <f>(VLOOKUP(YEAR($A15),'NY East Load Projections'!$A$4:$EO$14,((MONTH($A15)-1)*12)+VLOOKUP(AD$4,$DE$6:$DF$17,2)+1))*(VLOOKUP($A15,CURVES!$D$9:$K$261,2))*(INDEX(DailyScalarsTable,AD$5/100,MONTH($A15)))*$B15</f>
        <v>-47431.644766471843</v>
      </c>
      <c r="AE15" s="1021">
        <f>(VLOOKUP(YEAR($A15),'NY East Load Projections'!$A$4:$EO$14,((MONTH($A15)-1)*12)+VLOOKUP(AE$4,$DE$6:$DF$17,2)+1))*(VLOOKUP($A15,CURVES!$D$9:$K$261,6))*(INDEX(DailyScalarsTable,AE$5/100,MONTH($A15)))*$B15</f>
        <v>-41702.786282833316</v>
      </c>
      <c r="AF15" s="1021"/>
      <c r="AG15" s="1021">
        <f>(VLOOKUP(YEAR($A15),'NY East Load Projections'!$A$4:$EO$14,((MONTH($A15)-1)*12)+VLOOKUP(AG$4,$DE$6:$DF$17,2)+1))*(VLOOKUP($A15,CURVES!$D$9:$T$261,6))*(INDEX(DailyScalarsTable,AG$5/100,MONTH($A15)))*$C15</f>
        <v>-7015.6335030146083</v>
      </c>
      <c r="AH15" s="1021">
        <f>(VLOOKUP(YEAR($A15),'NY East Load Projections'!$A$4:$EO$14,((MONTH($A15)-1)*12)+VLOOKUP(AH$4,$DE$6:$DF$17,2)+1))*(VLOOKUP($A15,CURVES!$D$9:$T$261,6))*(INDEX(DailyScalarsTable,AH$5/100,MONTH($A15)))*$C15</f>
        <v>-6658.7560957522537</v>
      </c>
      <c r="AI15" s="1021">
        <f>(VLOOKUP(YEAR($A15),'NY East Load Projections'!$A$4:$EO$14,((MONTH($A15)-1)*12)+VLOOKUP(AI$4,$DE$6:$DF$17,2)+1))*(VLOOKUP($A15,CURVES!$D$9:$T$261,6))*(INDEX(DailyScalarsTable,AI$5/100,MONTH($A15)))*$C15</f>
        <v>-6396.4548957975212</v>
      </c>
      <c r="AJ15" s="1021">
        <f>(VLOOKUP(YEAR($A15),'NY East Load Projections'!$A$4:$EO$14,((MONTH($A15)-1)*12)+VLOOKUP(AJ$4,$DE$6:$DF$17,2)+1))*(VLOOKUP($A15,CURVES!$D$9:$T$261,6))*(INDEX(DailyScalarsTable,AJ$5/100,MONTH($A15)))*$C15</f>
        <v>-6400.1492788954756</v>
      </c>
      <c r="AK15" s="1021">
        <f>(VLOOKUP(YEAR($A15),'NY East Load Projections'!$A$4:$EO$14,((MONTH($A15)-1)*12)+VLOOKUP(AK$4,$DE$6:$DF$17,2)+1))*(VLOOKUP($A15,CURVES!$D$9:$T$261,6))*(INDEX(DailyScalarsTable,AK$5/100,MONTH($A15)))*$C15</f>
        <v>-6961.9419885259194</v>
      </c>
      <c r="AL15" s="1021">
        <f>(VLOOKUP(YEAR($A15),'NY East Load Projections'!$A$4:$EO$14,((MONTH($A15)-1)*12)+VLOOKUP(AL$4,$DE$6:$DF$17,2)+1))*(VLOOKUP($A15,CURVES!$D$9:$T$261,6))*(INDEX(DailyScalarsTable,AL$5/100,MONTH($A15)))*$C15</f>
        <v>-7998.1554803961026</v>
      </c>
      <c r="AM15" s="1021">
        <f>(VLOOKUP(YEAR($A15),'NY East Load Projections'!$A$4:$EO$14,((MONTH($A15)-1)*12)+VLOOKUP(AM$4,$DE$6:$DF$17,2)+1))*(VLOOKUP($A15,CURVES!$D$9:$T$261,6))*(INDEX(DailyScalarsTable,AM$5/100,MONTH($A15)))*$C15</f>
        <v>-10339.592203142651</v>
      </c>
      <c r="AN15" s="1021">
        <f>(VLOOKUP(YEAR($A15),'NY East Load Projections'!$A$4:$EO$14,((MONTH($A15)-1)*12)+VLOOKUP(AN$4,$DE$6:$DF$17,2)+1))*(VLOOKUP($A15,SatSunCurve,2))*(INDEX(DailyScalarsTable,AN$5/100,MONTH($A15)))*$C15</f>
        <v>-9316.2297156509721</v>
      </c>
      <c r="AO15" s="1021">
        <f>(VLOOKUP(YEAR($A15),'NY East Load Projections'!$A$4:$EO$14,((MONTH($A15)-1)*12)+VLOOKUP(AO$4,$DE$6:$DF$17,2)+1))*(VLOOKUP($A15,SatSunCurve,2))*(INDEX(DailyScalarsTable,AO$5/100,MONTH($A15)))*$C15</f>
        <v>-11070.951259918626</v>
      </c>
      <c r="AP15" s="1021">
        <f>(VLOOKUP(YEAR($A15),'NY East Load Projections'!$A$4:$EO$14,((MONTH($A15)-1)*12)+VLOOKUP(AP$4,$DE$6:$DF$17,2)+1))*(VLOOKUP($A15,SatSunCurve,2))*(INDEX(DailyScalarsTable,AP$5/100,MONTH($A15)))*$C15</f>
        <v>-11036.739420425674</v>
      </c>
      <c r="AQ15" s="1021">
        <f>(VLOOKUP(YEAR($A15),'NY East Load Projections'!$A$4:$EO$14,((MONTH($A15)-1)*12)+VLOOKUP(AQ$4,$DE$6:$DF$17,2)+1))*(VLOOKUP($A15,SatSunCurve,2))*(INDEX(DailyScalarsTable,AQ$5/100,MONTH($A15)))*$C15</f>
        <v>-10974.180628209995</v>
      </c>
      <c r="AR15" s="1021">
        <f>(VLOOKUP(YEAR($A15),'NY East Load Projections'!$A$4:$EO$14,((MONTH($A15)-1)*12)+VLOOKUP(AR$4,$DE$6:$DF$17,2)+1))*(VLOOKUP($A15,SatSunCurve,2))*(INDEX(DailyScalarsTable,AR$5/100,MONTH($A15)))*$C15</f>
        <v>-9260.6562101773852</v>
      </c>
      <c r="AS15" s="1021">
        <f>(VLOOKUP(YEAR($A15),'NY East Load Projections'!$A$4:$EO$14,((MONTH($A15)-1)*12)+VLOOKUP(AS$4,$DE$6:$DF$17,2)+1))*(VLOOKUP($A15,SatSunCurve,2))*(INDEX(DailyScalarsTable,AS$5/100,MONTH($A15)))*$C15</f>
        <v>-8605.3827326857936</v>
      </c>
      <c r="AT15" s="1021">
        <f>(VLOOKUP(YEAR($A15),'NY East Load Projections'!$A$4:$EO$14,((MONTH($A15)-1)*12)+VLOOKUP(AT$4,$DE$6:$DF$17,2)+1))*(VLOOKUP($A15,SatSunCurve,2))*(INDEX(DailyScalarsTable,AT$5/100,MONTH($A15)))*$C15</f>
        <v>-8366.5323523089646</v>
      </c>
      <c r="AU15" s="1021">
        <f>(VLOOKUP(YEAR($A15),'NY East Load Projections'!$A$4:$EO$14,((MONTH($A15)-1)*12)+VLOOKUP(AU$4,$DE$6:$DF$17,2)+1))*(VLOOKUP($A15,SatSunCurve,2))*(INDEX(DailyScalarsTable,AU$5/100,MONTH($A15)))*$C15</f>
        <v>-8172.1642290063637</v>
      </c>
      <c r="AV15" s="1021">
        <f>(VLOOKUP(YEAR($A15),'NY East Load Projections'!$A$4:$EO$14,((MONTH($A15)-1)*12)+VLOOKUP(AV$4,$DE$6:$DF$17,2)+1))*(VLOOKUP($A15,SatSunCurve,2))*(INDEX(DailyScalarsTable,AV$5/100,MONTH($A15)))*$C15</f>
        <v>-8116.0779048692957</v>
      </c>
      <c r="AW15" s="1021">
        <f>(VLOOKUP(YEAR($A15),'NY East Load Projections'!$A$4:$EO$14,((MONTH($A15)-1)*12)+VLOOKUP(AW$4,$DE$6:$DF$17,2)+1))*(VLOOKUP($A15,SatSunCurve,2))*(INDEX(DailyScalarsTable,AW$5/100,MONTH($A15)))*$C15</f>
        <v>-8034.796335829159</v>
      </c>
      <c r="AX15" s="1021">
        <f>(VLOOKUP(YEAR($A15),'NY East Load Projections'!$A$4:$EO$14,((MONTH($A15)-1)*12)+VLOOKUP(AX$4,$DE$6:$DF$17,2)+1))*(VLOOKUP($A15,SatSunCurve,2))*(INDEX(DailyScalarsTable,AX$5/100,MONTH($A15)))*$C15</f>
        <v>-10839.207601875645</v>
      </c>
      <c r="AY15" s="1021">
        <f>(VLOOKUP(YEAR($A15),'NY East Load Projections'!$A$4:$EO$14,((MONTH($A15)-1)*12)+VLOOKUP(AY$4,$DE$6:$DF$17,2)+1))*(VLOOKUP($A15,SatSunCurve,2))*(INDEX(DailyScalarsTable,AY$5/100,MONTH($A15)))*$C15</f>
        <v>-10924.10765308607</v>
      </c>
      <c r="AZ15" s="1021">
        <f>(VLOOKUP(YEAR($A15),'NY East Load Projections'!$A$4:$EO$14,((MONTH($A15)-1)*12)+VLOOKUP(AZ$4,$DE$6:$DF$17,2)+1))*(VLOOKUP($A15,SatSunCurve,2))*(INDEX(DailyScalarsTable,AZ$5/100,MONTH($A15)))*$C15</f>
        <v>-10447.222259053045</v>
      </c>
      <c r="BA15" s="1021">
        <f>(VLOOKUP(YEAR($A15),'NY East Load Projections'!$A$4:$EO$14,((MONTH($A15)-1)*12)+VLOOKUP(BA$4,$DE$6:$DF$17,2)+1))*(VLOOKUP($A15,SatSunCurve,2))*(INDEX(DailyScalarsTable,BA$5/100,MONTH($A15)))*$C15</f>
        <v>-9415.3659621697152</v>
      </c>
      <c r="BB15" s="1021">
        <f>(VLOOKUP(YEAR($A15),'NY East Load Projections'!$A$4:$EO$14,((MONTH($A15)-1)*12)+VLOOKUP(BB$4,$DE$6:$DF$17,2)+1))*(VLOOKUP($A15,SatSunCurve,2))*(INDEX(DailyScalarsTable,BB$5/100,MONTH($A15)))*$C15</f>
        <v>-7810.4640271829794</v>
      </c>
      <c r="BC15" s="1021">
        <f>(VLOOKUP(YEAR($A15),'NY East Load Projections'!$A$4:$EO$14,((MONTH($A15)-1)*12)+VLOOKUP(BC$4,$DE$6:$DF$17,2)+1))*(VLOOKUP($A15,SatSunCurve,2))*(INDEX(DailyScalarsTable,BC$5/100,MONTH($A15)))*$C15</f>
        <v>-6659.1979300218027</v>
      </c>
      <c r="BD15" s="1021">
        <f>(VLOOKUP(YEAR($A15),'NY East Load Projections'!$A$4:$EO$14,((MONTH($A15)-1)*12)+VLOOKUP(BD$4,$DE$6:$DF$17,2)+1))*(VLOOKUP($A15,CURVES!$D$9:$T$261,6))*(INDEX(DailyScalarsTable,BD$5/100,MONTH($A15)))*$C15</f>
        <v>-7922.4767092844922</v>
      </c>
      <c r="BE15" s="1021"/>
      <c r="BF15" s="1021">
        <f>(VLOOKUP(YEAR($A15),'NY East Load Projections'!$A$4:$EO$14,((MONTH($A15)-1)*12)+VLOOKUP(BF$4,$DE$6:$DF$17,2)+1))*(VLOOKUP($A15,CURVES!$D$9:$T$261,6))*(INDEX(DailyScalarsTable,BF$5/100,MONTH($A15)))*$D15</f>
        <v>-7015.6335030146083</v>
      </c>
      <c r="BG15" s="1021">
        <f>(VLOOKUP(YEAR($A15),'NY East Load Projections'!$A$4:$EO$14,((MONTH($A15)-1)*12)+VLOOKUP(BG$4,$DE$6:$DF$17,2)+1))*(VLOOKUP($A15,CURVES!$D$9:$T$261,6))*(INDEX(DailyScalarsTable,BG$5/100,MONTH($A15)))*$D15</f>
        <v>-6658.7560957522537</v>
      </c>
      <c r="BH15" s="1021">
        <f>(VLOOKUP(YEAR($A15),'NY East Load Projections'!$A$4:$EO$14,((MONTH($A15)-1)*12)+VLOOKUP(BH$4,$DE$6:$DF$17,2)+1))*(VLOOKUP($A15,CURVES!$D$9:$T$261,6))*(INDEX(DailyScalarsTable,BH$5/100,MONTH($A15)))*$D15</f>
        <v>-6396.4548957975212</v>
      </c>
      <c r="BI15" s="1021">
        <f>(VLOOKUP(YEAR($A15),'NY East Load Projections'!$A$4:$EO$14,((MONTH($A15)-1)*12)+VLOOKUP(BI$4,$DE$6:$DF$17,2)+1))*(VLOOKUP($A15,CURVES!$D$9:$T$261,6))*(INDEX(DailyScalarsTable,BI$5/100,MONTH($A15)))*$D15</f>
        <v>-6400.1492788954756</v>
      </c>
      <c r="BJ15" s="1021">
        <f>(VLOOKUP(YEAR($A15),'NY East Load Projections'!$A$4:$EO$14,((MONTH($A15)-1)*12)+VLOOKUP(BJ$4,$DE$6:$DF$17,2)+1))*(VLOOKUP($A15,CURVES!$D$9:$T$261,6))*(INDEX(DailyScalarsTable,BJ$5/100,MONTH($A15)))*$D15</f>
        <v>-6961.9419885259194</v>
      </c>
      <c r="BK15" s="1021">
        <f>(VLOOKUP(YEAR($A15),'NY East Load Projections'!$A$4:$EO$14,((MONTH($A15)-1)*12)+VLOOKUP(BK$4,$DE$6:$DF$17,2)+1))*(VLOOKUP($A15,CURVES!$D$9:$T$261,6))*(INDEX(DailyScalarsTable,BK$5/100,MONTH($A15)))*$D15</f>
        <v>-7998.1554803961026</v>
      </c>
      <c r="BL15" s="1021">
        <f>(VLOOKUP(YEAR($A15),'NY East Load Projections'!$A$4:$EO$14,((MONTH($A15)-1)*12)+VLOOKUP(BL$4,$DE$6:$DF$17,2)+1))*(VLOOKUP($A15,CURVES!$D$9:$T$261,6))*(INDEX(DailyScalarsTable,BL$5/100,MONTH($A15)))*$D15</f>
        <v>-10339.592203142651</v>
      </c>
      <c r="BM15" s="1021">
        <f>(VLOOKUP(YEAR($A15),'NY East Load Projections'!$A$4:$EO$14,((MONTH($A15)-1)*12)+VLOOKUP(BM$4,$DE$6:$DF$17,2)+1))*(VLOOKUP($A15,SatSunCurve,6))*(INDEX(DailyScalarsTable,BM$5/100,MONTH($A15)))*$D15</f>
        <v>-7638.0106911714547</v>
      </c>
      <c r="BN15" s="1021">
        <f>(VLOOKUP(YEAR($A15),'NY East Load Projections'!$A$4:$EO$14,((MONTH($A15)-1)*12)+VLOOKUP(BN$4,$DE$6:$DF$17,2)+1))*(VLOOKUP($A15,SatSunCurve,6))*(INDEX(DailyScalarsTable,BN$5/100,MONTH($A15)))*$D15</f>
        <v>-9076.6379389119556</v>
      </c>
      <c r="BO15" s="1021">
        <f>(VLOOKUP(YEAR($A15),'NY East Load Projections'!$A$4:$EO$14,((MONTH($A15)-1)*12)+VLOOKUP(BO$4,$DE$6:$DF$17,2)+1))*(VLOOKUP($A15,SatSunCurve,6))*(INDEX(DailyScalarsTable,BO$5/100,MONTH($A15)))*$D15</f>
        <v>-9048.5889959610522</v>
      </c>
      <c r="BP15" s="1021">
        <f>(VLOOKUP(YEAR($A15),'NY East Load Projections'!$A$4:$EO$14,((MONTH($A15)-1)*12)+VLOOKUP(BP$4,$DE$6:$DF$17,2)+1))*(VLOOKUP($A15,SatSunCurve,6))*(INDEX(DailyScalarsTable,BP$5/100,MONTH($A15)))*$D15</f>
        <v>-8997.2995002794032</v>
      </c>
      <c r="BQ15" s="1021">
        <f>(VLOOKUP(YEAR($A15),'NY East Load Projections'!$A$4:$EO$14,((MONTH($A15)-1)*12)+VLOOKUP(BQ$4,$DE$6:$DF$17,2)+1))*(VLOOKUP($A15,SatSunCurve,6))*(INDEX(DailyScalarsTable,BQ$5/100,MONTH($A15)))*$D15</f>
        <v>-7592.4481576242151</v>
      </c>
      <c r="BR15" s="1021">
        <f>(VLOOKUP(YEAR($A15),'NY East Load Projections'!$A$4:$EO$14,((MONTH($A15)-1)*12)+VLOOKUP(BR$4,$DE$6:$DF$17,2)+1))*(VLOOKUP($A15,SatSunCurve,6))*(INDEX(DailyScalarsTable,BR$5/100,MONTH($A15)))*$D15</f>
        <v>-7055.2151803916267</v>
      </c>
      <c r="BS15" s="1021">
        <f>(VLOOKUP(YEAR($A15),'NY East Load Projections'!$A$4:$EO$14,((MONTH($A15)-1)*12)+VLOOKUP(BS$4,$DE$6:$DF$17,2)+1))*(VLOOKUP($A15,SatSunCurve,6))*(INDEX(DailyScalarsTable,BS$5/100,MONTH($A15)))*$D15</f>
        <v>-6859.3911384142439</v>
      </c>
      <c r="BT15" s="1021">
        <f>(VLOOKUP(YEAR($A15),'NY East Load Projections'!$A$4:$EO$14,((MONTH($A15)-1)*12)+VLOOKUP(BT$4,$DE$6:$DF$17,2)+1))*(VLOOKUP($A15,SatSunCurve,6))*(INDEX(DailyScalarsTable,BT$5/100,MONTH($A15)))*$D15</f>
        <v>-6700.0363512180729</v>
      </c>
      <c r="BU15" s="1021">
        <f>(VLOOKUP(YEAR($A15),'NY East Load Projections'!$A$4:$EO$14,((MONTH($A15)-1)*12)+VLOOKUP(BU$4,$DE$6:$DF$17,2)+1))*(VLOOKUP($A15,SatSunCurve,6))*(INDEX(DailyScalarsTable,BU$5/100,MONTH($A15)))*$D15</f>
        <v>-6654.0533777982837</v>
      </c>
      <c r="BV15" s="1021">
        <f>(VLOOKUP(YEAR($A15),'NY East Load Projections'!$A$4:$EO$14,((MONTH($A15)-1)*12)+VLOOKUP(BV$4,$DE$6:$DF$17,2)+1))*(VLOOKUP($A15,SatSunCurve,6))*(INDEX(DailyScalarsTable,BV$5/100,MONTH($A15)))*$D15</f>
        <v>-6587.4138130523888</v>
      </c>
      <c r="BW15" s="1021">
        <f>(VLOOKUP(YEAR($A15),'NY East Load Projections'!$A$4:$EO$14,((MONTH($A15)-1)*12)+VLOOKUP(BW$4,$DE$6:$DF$17,2)+1))*(VLOOKUP($A15,SatSunCurve,6))*(INDEX(DailyScalarsTable,BW$5/100,MONTH($A15)))*$D15</f>
        <v>-8886.6404193392227</v>
      </c>
      <c r="BX15" s="1021">
        <f>(VLOOKUP(YEAR($A15),'NY East Load Projections'!$A$4:$EO$14,((MONTH($A15)-1)*12)+VLOOKUP(BX$4,$DE$6:$DF$17,2)+1))*(VLOOKUP($A15,SatSunCurve,6))*(INDEX(DailyScalarsTable,BX$5/100,MONTH($A15)))*$D15</f>
        <v>-8956.2466354393709</v>
      </c>
      <c r="BY15" s="1021">
        <f>(VLOOKUP(YEAR($A15),'NY East Load Projections'!$A$4:$EO$14,((MONTH($A15)-1)*12)+VLOOKUP(BY$4,$DE$6:$DF$17,2)+1))*(VLOOKUP($A15,SatSunCurve,6))*(INDEX(DailyScalarsTable,BY$5/100,MONTH($A15)))*$D15</f>
        <v>-8565.2670386215141</v>
      </c>
      <c r="BZ15" s="1021">
        <f>(VLOOKUP(YEAR($A15),'NY East Load Projections'!$A$4:$EO$14,((MONTH($A15)-1)*12)+VLOOKUP(BZ$4,$DE$6:$DF$17,2)+1))*(VLOOKUP($A15,SatSunCurve,6))*(INDEX(DailyScalarsTable,BZ$5/100,MONTH($A15)))*$D15</f>
        <v>-7719.2886044372353</v>
      </c>
      <c r="CA15" s="1021">
        <f>(VLOOKUP(YEAR($A15),'NY East Load Projections'!$A$4:$EO$14,((MONTH($A15)-1)*12)+VLOOKUP(CA$4,$DE$6:$DF$17,2)+1))*(VLOOKUP($A15,SatSunCurve,6))*(INDEX(DailyScalarsTable,CA$5/100,MONTH($A15)))*$D15</f>
        <v>-6403.492567643837</v>
      </c>
      <c r="CB15" s="1021">
        <f>(VLOOKUP(YEAR($A15),'NY East Load Projections'!$A$4:$EO$14,((MONTH($A15)-1)*12)+VLOOKUP(CB$4,$DE$6:$DF$17,2)+1))*(VLOOKUP($A15,SatSunCurve,6))*(INDEX(DailyScalarsTable,CB$5/100,MONTH($A15)))*$D15</f>
        <v>-5459.6147300538405</v>
      </c>
      <c r="CC15" s="1021">
        <f>(VLOOKUP(YEAR($A15),'NY East Load Projections'!$A$4:$EO$14,((MONTH($A15)-1)*12)+VLOOKUP(CC$4,$DE$6:$DF$17,2)+1))*(VLOOKUP($A15,CURVES!$D$9:$T$261,6))*(INDEX(DailyScalarsTable,CC$5/100,MONTH($A15)))*$D15</f>
        <v>-7922.4767092844922</v>
      </c>
      <c r="CE15" s="1021">
        <f>(VLOOKUP(YEAR($A15),'NY East Load Projections'!$A$4:$EO$14,((MONTH($A15)-1)*12)+VLOOKUP(CE$4,$DE$6:$DF$17,2)+1))*(VLOOKUP($A15,CURVES!$D$9:$T$261,6))*(INDEX(DailyScalarsTable,CE$5/100,MONTH($A15)))*$E15</f>
        <v>0</v>
      </c>
      <c r="CF15" s="1021">
        <f>(VLOOKUP(YEAR($A15),'NY East Load Projections'!$A$4:$EO$14,((MONTH($A15)-1)*12)+VLOOKUP(CF$4,$DE$6:$DF$17,2)+1))*(VLOOKUP($A15,CURVES!$D$9:$T$261,6))*(INDEX(DailyScalarsTable,CF$5/100,MONTH($A15)))*$E15</f>
        <v>0</v>
      </c>
      <c r="CG15" s="1021">
        <f>(VLOOKUP(YEAR($A15),'NY East Load Projections'!$A$4:$EO$14,((MONTH($A15)-1)*12)+VLOOKUP(CG$4,$DE$6:$DF$17,2)+1))*(VLOOKUP($A15,CURVES!$D$9:$T$261,6))*(INDEX(DailyScalarsTable,CG$5/100,MONTH($A15)))*$E15</f>
        <v>0</v>
      </c>
      <c r="CH15" s="1021">
        <f>(VLOOKUP(YEAR($A15),'NY East Load Projections'!$A$4:$EO$14,((MONTH($A15)-1)*12)+VLOOKUP(CH$4,$DE$6:$DF$17,2)+1))*(VLOOKUP($A15,CURVES!$D$9:$T$261,6))*(INDEX(DailyScalarsTable,CH$5/100,MONTH($A15)))*$E15</f>
        <v>0</v>
      </c>
      <c r="CI15" s="1021">
        <f>(VLOOKUP(YEAR($A15),'NY East Load Projections'!$A$4:$EO$14,((MONTH($A15)-1)*12)+VLOOKUP(CI$4,$DE$6:$DF$17,2)+1))*(VLOOKUP($A15,CURVES!$D$9:$T$261,6))*(INDEX(DailyScalarsTable,CI$5/100,MONTH($A15)))*$E15</f>
        <v>0</v>
      </c>
      <c r="CJ15" s="1021">
        <f>(VLOOKUP(YEAR($A15),'NY East Load Projections'!$A$4:$EO$14,((MONTH($A15)-1)*12)+VLOOKUP(CJ$4,$DE$6:$DF$17,2)+1))*(VLOOKUP($A15,CURVES!$D$9:$T$261,6))*(INDEX(DailyScalarsTable,CJ$5/100,MONTH($A15)))*$E15</f>
        <v>0</v>
      </c>
      <c r="CK15" s="1021">
        <f>(VLOOKUP(YEAR($A15),'NY East Load Projections'!$A$4:$EO$14,((MONTH($A15)-1)*12)+VLOOKUP(CK$4,$DE$6:$DF$17,2)+1))*(VLOOKUP($A15,CURVES!$D$9:$T$261,6))*(INDEX(DailyScalarsTable,CK$5/100,MONTH($A15)))*$E15</f>
        <v>0</v>
      </c>
      <c r="CL15" s="1021">
        <f>(VLOOKUP(YEAR($A15),'NY East Load Projections'!$A$4:$EO$14,((MONTH($A15)-1)*12)+VLOOKUP(CL$4,$DE$6:$DF$17,2)+1))*(VLOOKUP($A15,SatSunCurve,6))*(INDEX(DailyScalarsTable,CL$5/100,MONTH($A15)))*$E15</f>
        <v>0</v>
      </c>
      <c r="CM15" s="1021">
        <f>(VLOOKUP(YEAR($A15),'NY East Load Projections'!$A$4:$EO$14,((MONTH($A15)-1)*12)+VLOOKUP(CM$4,$DE$6:$DF$17,2)+1))*(VLOOKUP($A15,SatSunCurve,6))*(INDEX(DailyScalarsTable,CM$5/100,MONTH($A15)))*$E15</f>
        <v>0</v>
      </c>
      <c r="CN15" s="1021">
        <f>(VLOOKUP(YEAR($A15),'NY East Load Projections'!$A$4:$EO$14,((MONTH($A15)-1)*12)+VLOOKUP(CN$4,$DE$6:$DF$17,2)+1))*(VLOOKUP($A15,SatSunCurve,6))*(INDEX(DailyScalarsTable,CN$5/100,MONTH($A15)))*$E15</f>
        <v>0</v>
      </c>
      <c r="CO15" s="1021">
        <f>(VLOOKUP(YEAR($A15),'NY East Load Projections'!$A$4:$EO$14,((MONTH($A15)-1)*12)+VLOOKUP(CO$4,$DE$6:$DF$17,2)+1))*(VLOOKUP($A15,SatSunCurve,6))*(INDEX(DailyScalarsTable,CO$5/100,MONTH($A15)))*$E15</f>
        <v>0</v>
      </c>
      <c r="CP15" s="1021">
        <f>(VLOOKUP(YEAR($A15),'NY East Load Projections'!$A$4:$EO$14,((MONTH($A15)-1)*12)+VLOOKUP(CP$4,$DE$6:$DF$17,2)+1))*(VLOOKUP($A15,SatSunCurve,6))*(INDEX(DailyScalarsTable,CP$5/100,MONTH($A15)))*$E15</f>
        <v>0</v>
      </c>
      <c r="CQ15" s="1021">
        <f>(VLOOKUP(YEAR($A15),'NY East Load Projections'!$A$4:$EO$14,((MONTH($A15)-1)*12)+VLOOKUP(CQ$4,$DE$6:$DF$17,2)+1))*(VLOOKUP($A15,SatSunCurve,6))*(INDEX(DailyScalarsTable,CQ$5/100,MONTH($A15)))*$E15</f>
        <v>0</v>
      </c>
      <c r="CR15" s="1021">
        <f>(VLOOKUP(YEAR($A15),'NY East Load Projections'!$A$4:$EO$14,((MONTH($A15)-1)*12)+VLOOKUP(CR$4,$DE$6:$DF$17,2)+1))*(VLOOKUP($A15,SatSunCurve,6))*(INDEX(DailyScalarsTable,CR$5/100,MONTH($A15)))*$E15</f>
        <v>0</v>
      </c>
      <c r="CS15" s="1021">
        <f>(VLOOKUP(YEAR($A15),'NY East Load Projections'!$A$4:$EO$14,((MONTH($A15)-1)*12)+VLOOKUP(CS$4,$DE$6:$DF$17,2)+1))*(VLOOKUP($A15,SatSunCurve,6))*(INDEX(DailyScalarsTable,CS$5/100,MONTH($A15)))*$E15</f>
        <v>0</v>
      </c>
      <c r="CT15" s="1021">
        <f>(VLOOKUP(YEAR($A15),'NY East Load Projections'!$A$4:$EO$14,((MONTH($A15)-1)*12)+VLOOKUP(CT$4,$DE$6:$DF$17,2)+1))*(VLOOKUP($A15,SatSunCurve,6))*(INDEX(DailyScalarsTable,CT$5/100,MONTH($A15)))*$E15</f>
        <v>0</v>
      </c>
      <c r="CU15" s="1021">
        <f>(VLOOKUP(YEAR($A15),'NY East Load Projections'!$A$4:$EO$14,((MONTH($A15)-1)*12)+VLOOKUP(CU$4,$DE$6:$DF$17,2)+1))*(VLOOKUP($A15,SatSunCurve,6))*(INDEX(DailyScalarsTable,CU$5/100,MONTH($A15)))*$E15</f>
        <v>0</v>
      </c>
      <c r="CV15" s="1021">
        <f>(VLOOKUP(YEAR($A15),'NY East Load Projections'!$A$4:$EO$14,((MONTH($A15)-1)*12)+VLOOKUP(CV$4,$DE$6:$DF$17,2)+1))*(VLOOKUP($A15,SatSunCurve,6))*(INDEX(DailyScalarsTable,CV$5/100,MONTH($A15)))*$E15</f>
        <v>0</v>
      </c>
      <c r="CW15" s="1021">
        <f>(VLOOKUP(YEAR($A15),'NY East Load Projections'!$A$4:$EO$14,((MONTH($A15)-1)*12)+VLOOKUP(CW$4,$DE$6:$DF$17,2)+1))*(VLOOKUP($A15,SatSunCurve,6))*(INDEX(DailyScalarsTable,CW$5/100,MONTH($A15)))*$E15</f>
        <v>0</v>
      </c>
      <c r="CX15" s="1021">
        <f>(VLOOKUP(YEAR($A15),'NY East Load Projections'!$A$4:$EO$14,((MONTH($A15)-1)*12)+VLOOKUP(CX$4,$DE$6:$DF$17,2)+1))*(VLOOKUP($A15,SatSunCurve,6))*(INDEX(DailyScalarsTable,CX$5/100,MONTH($A15)))*$E15</f>
        <v>0</v>
      </c>
      <c r="CY15" s="1021">
        <f>(VLOOKUP(YEAR($A15),'NY East Load Projections'!$A$4:$EO$14,((MONTH($A15)-1)*12)+VLOOKUP(CY$4,$DE$6:$DF$17,2)+1))*(VLOOKUP($A15,SatSunCurve,6))*(INDEX(DailyScalarsTable,CY$5/100,MONTH($A15)))*$E15</f>
        <v>0</v>
      </c>
      <c r="CZ15" s="1021">
        <f>(VLOOKUP(YEAR($A15),'NY East Load Projections'!$A$4:$EO$14,((MONTH($A15)-1)*12)+VLOOKUP(CZ$4,$DE$6:$DF$17,2)+1))*(VLOOKUP($A15,SatSunCurve,6))*(INDEX(DailyScalarsTable,CZ$5/100,MONTH($A15)))*$E15</f>
        <v>0</v>
      </c>
      <c r="DA15" s="1021">
        <f>(VLOOKUP(YEAR($A15),'NY East Load Projections'!$A$4:$EO$14,((MONTH($A15)-1)*12)+VLOOKUP(DA$4,$DE$6:$DF$17,2)+1))*(VLOOKUP($A15,SatSunCurve,6))*(INDEX(DailyScalarsTable,DA$5/100,MONTH($A15)))*$E15</f>
        <v>0</v>
      </c>
      <c r="DB15" s="1021">
        <f>(VLOOKUP(YEAR($A15),'NY East Load Projections'!$A$4:$EO$14,((MONTH($A15)-1)*12)+VLOOKUP(DB$4,$DE$6:$DF$17,2)+1))*(VLOOKUP($A15,CURVES!$D$9:$T$261,6))*(INDEX(DailyScalarsTable,DB$5/100,MONTH($A15)))*$E15</f>
        <v>0</v>
      </c>
      <c r="DE15" s="221" t="s">
        <v>567</v>
      </c>
      <c r="DF15" s="619">
        <v>10</v>
      </c>
      <c r="DH15" s="1021">
        <f t="shared" si="0"/>
        <v>-1790313.3333474232</v>
      </c>
      <c r="DI15">
        <f ca="1">CALC!J35</f>
        <v>0.88904496730260629</v>
      </c>
      <c r="DJ15" s="1029">
        <f t="shared" ca="1" si="1"/>
        <v>-1591669.05890728</v>
      </c>
    </row>
    <row r="16" spans="1:114" x14ac:dyDescent="0.25">
      <c r="A16" s="244">
        <v>37196</v>
      </c>
      <c r="B16" s="13">
        <v>21</v>
      </c>
      <c r="C16" s="210">
        <v>4</v>
      </c>
      <c r="D16" s="210">
        <v>4</v>
      </c>
      <c r="E16" s="210">
        <v>1</v>
      </c>
      <c r="F16" s="13">
        <v>30</v>
      </c>
      <c r="H16" s="1021">
        <f>(VLOOKUP(YEAR($A16),'NY East Load Projections'!$A$4:$EO$14,((MONTH($A16)-1)*12)+VLOOKUP(H$4,$DE$6:$DF$17,2)+1))*(VLOOKUP($A16,CURVES!$D$9:$K$261,6))*(INDEX(DailyScalarsTable,H$5/100,MONTH($A16)))*$B16</f>
        <v>-31419.911510668986</v>
      </c>
      <c r="I16" s="1021">
        <f>(VLOOKUP(YEAR($A16),'NY East Load Projections'!$A$4:$EO$14,((MONTH($A16)-1)*12)+VLOOKUP(I$4,$DE$6:$DF$17,2)+1))*(VLOOKUP($A16,CURVES!$D$9:$K$261,6))*(INDEX(DailyScalarsTable,I$5/100,MONTH($A16)))*$B16</f>
        <v>-29787.225414955901</v>
      </c>
      <c r="J16" s="1021">
        <f>(VLOOKUP(YEAR($A16),'NY East Load Projections'!$A$4:$EO$14,((MONTH($A16)-1)*12)+VLOOKUP(J$4,$DE$6:$DF$17,2)+1))*(VLOOKUP($A16,CURVES!$D$9:$K$261,6))*(INDEX(DailyScalarsTable,J$5/100,MONTH($A16)))*$B16</f>
        <v>-28587.218036119164</v>
      </c>
      <c r="K16" s="1021">
        <f>(VLOOKUP(YEAR($A16),'NY East Load Projections'!$A$4:$EO$14,((MONTH($A16)-1)*12)+VLOOKUP(K$4,$DE$6:$DF$17,2)+1))*(VLOOKUP($A16,CURVES!$D$9:$K$261,6))*(INDEX(DailyScalarsTable,K$5/100,MONTH($A16)))*$B16</f>
        <v>-28604.119548497147</v>
      </c>
      <c r="L16" s="1021">
        <f>(VLOOKUP(YEAR($A16),'NY East Load Projections'!$A$4:$EO$14,((MONTH($A16)-1)*12)+VLOOKUP(L$4,$DE$6:$DF$17,2)+1))*(VLOOKUP($A16,CURVES!$D$9:$K$261,6))*(INDEX(DailyScalarsTable,L$5/100,MONTH($A16)))*$B16</f>
        <v>-32428.008344796432</v>
      </c>
      <c r="M16" s="1021">
        <f>(VLOOKUP(YEAR($A16),'NY East Load Projections'!$A$4:$EO$14,((MONTH($A16)-1)*12)+VLOOKUP(M$4,$DE$6:$DF$17,2)+1))*(VLOOKUP($A16,CURVES!$D$9:$K$261,6))*(INDEX(DailyScalarsTable,M$5/100,MONTH($A16)))*$B16</f>
        <v>-37361.072162499055</v>
      </c>
      <c r="N16" s="1021">
        <f>(VLOOKUP(YEAR($A16),'NY East Load Projections'!$A$4:$EO$14,((MONTH($A16)-1)*12)+VLOOKUP(N$4,$DE$6:$DF$17,2)+1))*(VLOOKUP($A16,CURVES!$D$9:$K$261,6))*(INDEX(DailyScalarsTable,N$5/100,MONTH($A16)))*$B16</f>
        <v>-53516.051278340281</v>
      </c>
      <c r="O16" s="1021">
        <f>(VLOOKUP(YEAR($A16),'NY East Load Projections'!$A$4:$EO$14,((MONTH($A16)-1)*12)+VLOOKUP(O$4,$DE$6:$DF$17,2)+1))*(VLOOKUP($A16,CURVES!$D$9:$K$261,2))*(INDEX(DailyScalarsTable,O$5/100,MONTH($A16)))*$B16</f>
        <v>-61556.632556866331</v>
      </c>
      <c r="P16" s="1021">
        <f>(VLOOKUP(YEAR($A16),'NY East Load Projections'!$A$4:$EO$14,((MONTH($A16)-1)*12)+VLOOKUP(P$4,$DE$6:$DF$17,2)+1))*(VLOOKUP($A16,CURVES!$D$9:$K$261,2))*(INDEX(DailyScalarsTable,P$5/100,MONTH($A16)))*$B16</f>
        <v>-68293.633081727632</v>
      </c>
      <c r="Q16" s="1021">
        <f>(VLOOKUP(YEAR($A16),'NY East Load Projections'!$A$4:$EO$14,((MONTH($A16)-1)*12)+VLOOKUP(Q$4,$DE$6:$DF$17,2)+1))*(VLOOKUP($A16,CURVES!$D$9:$K$261,2))*(INDEX(DailyScalarsTable,Q$5/100,MONTH($A16)))*$B16</f>
        <v>-67851.332289845275</v>
      </c>
      <c r="R16" s="1021">
        <f>(VLOOKUP(YEAR($A16),'NY East Load Projections'!$A$4:$EO$14,((MONTH($A16)-1)*12)+VLOOKUP(R$4,$DE$6:$DF$17,2)+1))*(VLOOKUP($A16,CURVES!$D$9:$K$261,2))*(INDEX(DailyScalarsTable,R$5/100,MONTH($A16)))*$B16</f>
        <v>-66542.361027382605</v>
      </c>
      <c r="S16" s="1021">
        <f>(VLOOKUP(YEAR($A16),'NY East Load Projections'!$A$4:$EO$14,((MONTH($A16)-1)*12)+VLOOKUP(S$4,$DE$6:$DF$17,2)+1))*(VLOOKUP($A16,CURVES!$D$9:$K$261,2))*(INDEX(DailyScalarsTable,S$5/100,MONTH($A16)))*$B16</f>
        <v>-56028.751663584357</v>
      </c>
      <c r="T16" s="1021">
        <f>(VLOOKUP(YEAR($A16),'NY East Load Projections'!$A$4:$EO$14,((MONTH($A16)-1)*12)+VLOOKUP(T$4,$DE$6:$DF$17,2)+1))*(VLOOKUP($A16,CURVES!$D$9:$K$261,2))*(INDEX(DailyScalarsTable,T$5/100,MONTH($A16)))*$B16</f>
        <v>-53154.405809653639</v>
      </c>
      <c r="U16" s="1021">
        <f>(VLOOKUP(YEAR($A16),'NY East Load Projections'!$A$4:$EO$14,((MONTH($A16)-1)*12)+VLOOKUP(U$4,$DE$6:$DF$17,2)+1))*(VLOOKUP($A16,CURVES!$D$9:$K$261,2))*(INDEX(DailyScalarsTable,U$5/100,MONTH($A16)))*$B16</f>
        <v>-51727.563112078838</v>
      </c>
      <c r="V16" s="1021">
        <f>(VLOOKUP(YEAR($A16),'NY East Load Projections'!$A$4:$EO$14,((MONTH($A16)-1)*12)+VLOOKUP(V$4,$DE$6:$DF$17,2)+1))*(VLOOKUP($A16,CURVES!$D$9:$K$261,2))*(INDEX(DailyScalarsTable,V$5/100,MONTH($A16)))*$B16</f>
        <v>-50517.456014135649</v>
      </c>
      <c r="W16" s="1021">
        <f>(VLOOKUP(YEAR($A16),'NY East Load Projections'!$A$4:$EO$14,((MONTH($A16)-1)*12)+VLOOKUP(W$4,$DE$6:$DF$17,2)+1))*(VLOOKUP($A16,CURVES!$D$9:$K$261,2))*(INDEX(DailyScalarsTable,W$5/100,MONTH($A16)))*$B16</f>
        <v>-49686.636215547791</v>
      </c>
      <c r="X16" s="1021">
        <f>(VLOOKUP(YEAR($A16),'NY East Load Projections'!$A$4:$EO$14,((MONTH($A16)-1)*12)+VLOOKUP(X$4,$DE$6:$DF$17,2)+1))*(VLOOKUP($A16,CURVES!$D$9:$K$261,2))*(INDEX(DailyScalarsTable,X$5/100,MONTH($A16)))*$B16</f>
        <v>-51636.415221423158</v>
      </c>
      <c r="Y16" s="1021">
        <f>(VLOOKUP(YEAR($A16),'NY East Load Projections'!$A$4:$EO$14,((MONTH($A16)-1)*12)+VLOOKUP(Y$4,$DE$6:$DF$17,2)+1))*(VLOOKUP($A16,CURVES!$D$9:$K$261,2))*(INDEX(DailyScalarsTable,Y$5/100,MONTH($A16)))*$B16</f>
        <v>-70885.045077818766</v>
      </c>
      <c r="Z16" s="1021">
        <f>(VLOOKUP(YEAR($A16),'NY East Load Projections'!$A$4:$EO$14,((MONTH($A16)-1)*12)+VLOOKUP(Z$4,$DE$6:$DF$17,2)+1))*(VLOOKUP($A16,CURVES!$D$9:$K$261,2))*(INDEX(DailyScalarsTable,Z$5/100,MONTH($A16)))*$B16</f>
        <v>-71455.80626569374</v>
      </c>
      <c r="AA16" s="1021">
        <f>(VLOOKUP(YEAR($A16),'NY East Load Projections'!$A$4:$EO$14,((MONTH($A16)-1)*12)+VLOOKUP(AA$4,$DE$6:$DF$17,2)+1))*(VLOOKUP($A16,CURVES!$D$9:$K$261,2))*(INDEX(DailyScalarsTable,AA$5/100,MONTH($A16)))*$B16</f>
        <v>-68532.111201272986</v>
      </c>
      <c r="AB16" s="1021">
        <f>(VLOOKUP(YEAR($A16),'NY East Load Projections'!$A$4:$EO$14,((MONTH($A16)-1)*12)+VLOOKUP(AB$4,$DE$6:$DF$17,2)+1))*(VLOOKUP($A16,CURVES!$D$9:$K$261,2))*(INDEX(DailyScalarsTable,AB$5/100,MONTH($A16)))*$B16</f>
        <v>-60480.137032188424</v>
      </c>
      <c r="AC16" s="1021">
        <f>(VLOOKUP(YEAR($A16),'NY East Load Projections'!$A$4:$EO$14,((MONTH($A16)-1)*12)+VLOOKUP(AC$4,$DE$6:$DF$17,2)+1))*(VLOOKUP($A16,CURVES!$D$9:$K$261,2))*(INDEX(DailyScalarsTable,AC$5/100,MONTH($A16)))*$B16</f>
        <v>-48110.84093790211</v>
      </c>
      <c r="AD16" s="1021">
        <f>(VLOOKUP(YEAR($A16),'NY East Load Projections'!$A$4:$EO$14,((MONTH($A16)-1)*12)+VLOOKUP(AD$4,$DE$6:$DF$17,2)+1))*(VLOOKUP($A16,CURVES!$D$9:$K$261,2))*(INDEX(DailyScalarsTable,AD$5/100,MONTH($A16)))*$B16</f>
        <v>-40573.73505557319</v>
      </c>
      <c r="AE16" s="1021">
        <f>(VLOOKUP(YEAR($A16),'NY East Load Projections'!$A$4:$EO$14,((MONTH($A16)-1)*12)+VLOOKUP(AE$4,$DE$6:$DF$17,2)+1))*(VLOOKUP($A16,CURVES!$D$9:$K$261,6))*(INDEX(DailyScalarsTable,AE$5/100,MONTH($A16)))*$B16</f>
        <v>-36332.109519842241</v>
      </c>
      <c r="AF16" s="1021"/>
      <c r="AG16" s="1021">
        <f>(VLOOKUP(YEAR($A16),'NY East Load Projections'!$A$4:$EO$14,((MONTH($A16)-1)*12)+VLOOKUP(AG$4,$DE$6:$DF$17,2)+1))*(VLOOKUP($A16,CURVES!$D$9:$T$261,6))*(INDEX(DailyScalarsTable,AG$5/100,MONTH($A16)))*$C16</f>
        <v>-6327.0393951282094</v>
      </c>
      <c r="AH16" s="1021">
        <f>(VLOOKUP(YEAR($A16),'NY East Load Projections'!$A$4:$EO$14,((MONTH($A16)-1)*12)+VLOOKUP(AH$4,$DE$6:$DF$17,2)+1))*(VLOOKUP($A16,CURVES!$D$9:$T$261,6))*(INDEX(DailyScalarsTable,AH$5/100,MONTH($A16)))*$C16</f>
        <v>-5998.2647821269256</v>
      </c>
      <c r="AI16" s="1021">
        <f>(VLOOKUP(YEAR($A16),'NY East Load Projections'!$A$4:$EO$14,((MONTH($A16)-1)*12)+VLOOKUP(AI$4,$DE$6:$DF$17,2)+1))*(VLOOKUP($A16,CURVES!$D$9:$T$261,6))*(INDEX(DailyScalarsTable,AI$5/100,MONTH($A16)))*$C16</f>
        <v>-5756.6188450348864</v>
      </c>
      <c r="AJ16" s="1021">
        <f>(VLOOKUP(YEAR($A16),'NY East Load Projections'!$A$4:$EO$14,((MONTH($A16)-1)*12)+VLOOKUP(AJ$4,$DE$6:$DF$17,2)+1))*(VLOOKUP($A16,CURVES!$D$9:$T$261,6))*(INDEX(DailyScalarsTable,AJ$5/100,MONTH($A16)))*$C16</f>
        <v>-5760.0223089375904</v>
      </c>
      <c r="AK16" s="1021">
        <f>(VLOOKUP(YEAR($A16),'NY East Load Projections'!$A$4:$EO$14,((MONTH($A16)-1)*12)+VLOOKUP(AK$4,$DE$6:$DF$17,2)+1))*(VLOOKUP($A16,CURVES!$D$9:$T$261,6))*(INDEX(DailyScalarsTable,AK$5/100,MONTH($A16)))*$C16</f>
        <v>-6270.3811363757886</v>
      </c>
      <c r="AL16" s="1021">
        <f>(VLOOKUP(YEAR($A16),'NY East Load Projections'!$A$4:$EO$14,((MONTH($A16)-1)*12)+VLOOKUP(AL$4,$DE$6:$DF$17,2)+1))*(VLOOKUP($A16,CURVES!$D$9:$T$261,6))*(INDEX(DailyScalarsTable,AL$5/100,MONTH($A16)))*$C16</f>
        <v>-7224.2537880097889</v>
      </c>
      <c r="AM16" s="1021">
        <f>(VLOOKUP(YEAR($A16),'NY East Load Projections'!$A$4:$EO$14,((MONTH($A16)-1)*12)+VLOOKUP(AM$4,$DE$6:$DF$17,2)+1))*(VLOOKUP($A16,CURVES!$D$9:$T$261,6))*(INDEX(DailyScalarsTable,AM$5/100,MONTH($A16)))*$C16</f>
        <v>-10348.031086616857</v>
      </c>
      <c r="AN16" s="1021">
        <f>(VLOOKUP(YEAR($A16),'NY East Load Projections'!$A$4:$EO$14,((MONTH($A16)-1)*12)+VLOOKUP(AN$4,$DE$6:$DF$17,2)+1))*(VLOOKUP($A16,SatSunCurve,2))*(INDEX(DailyScalarsTable,AN$5/100,MONTH($A16)))*$C16</f>
        <v>-9074.9390269638989</v>
      </c>
      <c r="AO16" s="1021">
        <f>(VLOOKUP(YEAR($A16),'NY East Load Projections'!$A$4:$EO$14,((MONTH($A16)-1)*12)+VLOOKUP(AO$4,$DE$6:$DF$17,2)+1))*(VLOOKUP($A16,SatSunCurve,2))*(INDEX(DailyScalarsTable,AO$5/100,MONTH($A16)))*$C16</f>
        <v>-10187.817327138668</v>
      </c>
      <c r="AP16" s="1021">
        <f>(VLOOKUP(YEAR($A16),'NY East Load Projections'!$A$4:$EO$14,((MONTH($A16)-1)*12)+VLOOKUP(AP$4,$DE$6:$DF$17,2)+1))*(VLOOKUP($A16,SatSunCurve,2))*(INDEX(DailyScalarsTable,AP$5/100,MONTH($A16)))*$C16</f>
        <v>-10121.83636422879</v>
      </c>
      <c r="AQ16" s="1021">
        <f>(VLOOKUP(YEAR($A16),'NY East Load Projections'!$A$4:$EO$14,((MONTH($A16)-1)*12)+VLOOKUP(AQ$4,$DE$6:$DF$17,2)+1))*(VLOOKUP($A16,SatSunCurve,2))*(INDEX(DailyScalarsTable,AQ$5/100,MONTH($A16)))*$C16</f>
        <v>-9926.5683794009074</v>
      </c>
      <c r="AR16" s="1021">
        <f>(VLOOKUP(YEAR($A16),'NY East Load Projections'!$A$4:$EO$14,((MONTH($A16)-1)*12)+VLOOKUP(AR$4,$DE$6:$DF$17,2)+1))*(VLOOKUP($A16,SatSunCurve,2))*(INDEX(DailyScalarsTable,AR$5/100,MONTH($A16)))*$C16</f>
        <v>-8358.1830583404389</v>
      </c>
      <c r="AS16" s="1021">
        <f>(VLOOKUP(YEAR($A16),'NY East Load Projections'!$A$4:$EO$14,((MONTH($A16)-1)*12)+VLOOKUP(AS$4,$DE$6:$DF$17,2)+1))*(VLOOKUP($A16,SatSunCurve,2))*(INDEX(DailyScalarsTable,AS$5/100,MONTH($A16)))*$C16</f>
        <v>-7909.7751084544843</v>
      </c>
      <c r="AT16" s="1021">
        <f>(VLOOKUP(YEAR($A16),'NY East Load Projections'!$A$4:$EO$14,((MONTH($A16)-1)*12)+VLOOKUP(AT$4,$DE$6:$DF$17,2)+1))*(VLOOKUP($A16,SatSunCurve,2))*(INDEX(DailyScalarsTable,AT$5/100,MONTH($A16)))*$C16</f>
        <v>-7697.4501904905337</v>
      </c>
      <c r="AU16" s="1021">
        <f>(VLOOKUP(YEAR($A16),'NY East Load Projections'!$A$4:$EO$14,((MONTH($A16)-1)*12)+VLOOKUP(AU$4,$DE$6:$DF$17,2)+1))*(VLOOKUP($A16,SatSunCurve,2))*(INDEX(DailyScalarsTable,AU$5/100,MONTH($A16)))*$C16</f>
        <v>-7517.3771587995889</v>
      </c>
      <c r="AV16" s="1021">
        <f>(VLOOKUP(YEAR($A16),'NY East Load Projections'!$A$4:$EO$14,((MONTH($A16)-1)*12)+VLOOKUP(AV$4,$DE$6:$DF$17,2)+1))*(VLOOKUP($A16,SatSunCurve,2))*(INDEX(DailyScalarsTable,AV$5/100,MONTH($A16)))*$C16</f>
        <v>-7393.7449280864039</v>
      </c>
      <c r="AW16" s="1021">
        <f>(VLOOKUP(YEAR($A16),'NY East Load Projections'!$A$4:$EO$14,((MONTH($A16)-1)*12)+VLOOKUP(AW$4,$DE$6:$DF$17,2)+1))*(VLOOKUP($A16,SatSunCurve,2))*(INDEX(DailyScalarsTable,AW$5/100,MONTH($A16)))*$C16</f>
        <v>-7696.1663019621474</v>
      </c>
      <c r="AX16" s="1021">
        <f>(VLOOKUP(YEAR($A16),'NY East Load Projections'!$A$4:$EO$14,((MONTH($A16)-1)*12)+VLOOKUP(AX$4,$DE$6:$DF$17,2)+1))*(VLOOKUP($A16,SatSunCurve,2))*(INDEX(DailyScalarsTable,AX$5/100,MONTH($A16)))*$C16</f>
        <v>-10565.084599727194</v>
      </c>
      <c r="AY16" s="1021">
        <f>(VLOOKUP(YEAR($A16),'NY East Load Projections'!$A$4:$EO$14,((MONTH($A16)-1)*12)+VLOOKUP(AY$4,$DE$6:$DF$17,2)+1))*(VLOOKUP($A16,SatSunCurve,2))*(INDEX(DailyScalarsTable,AY$5/100,MONTH($A16)))*$C16</f>
        <v>-10650.153886620075</v>
      </c>
      <c r="AZ16" s="1021">
        <f>(VLOOKUP(YEAR($A16),'NY East Load Projections'!$A$4:$EO$14,((MONTH($A16)-1)*12)+VLOOKUP(AZ$4,$DE$6:$DF$17,2)+1))*(VLOOKUP($A16,SatSunCurve,2))*(INDEX(DailyScalarsTable,AZ$5/100,MONTH($A16)))*$C16</f>
        <v>-10214.390804781027</v>
      </c>
      <c r="BA16" s="1021">
        <f>(VLOOKUP(YEAR($A16),'NY East Load Projections'!$A$4:$EO$14,((MONTH($A16)-1)*12)+VLOOKUP(BA$4,$DE$6:$DF$17,2)+1))*(VLOOKUP($A16,SatSunCurve,2))*(INDEX(DailyScalarsTable,BA$5/100,MONTH($A16)))*$C16</f>
        <v>-9205.302217527118</v>
      </c>
      <c r="BB16" s="1021">
        <f>(VLOOKUP(YEAR($A16),'NY East Load Projections'!$A$4:$EO$14,((MONTH($A16)-1)*12)+VLOOKUP(BB$4,$DE$6:$DF$17,2)+1))*(VLOOKUP($A16,SatSunCurve,2))*(INDEX(DailyScalarsTable,BB$5/100,MONTH($A16)))*$C16</f>
        <v>-7322.6492614767103</v>
      </c>
      <c r="BC16" s="1021">
        <f>(VLOOKUP(YEAR($A16),'NY East Load Projections'!$A$4:$EO$14,((MONTH($A16)-1)*12)+VLOOKUP(BC$4,$DE$6:$DF$17,2)+1))*(VLOOKUP($A16,SatSunCurve,2))*(INDEX(DailyScalarsTable,BC$5/100,MONTH($A16)))*$C16</f>
        <v>-6175.4736614046842</v>
      </c>
      <c r="BD16" s="1021">
        <f>(VLOOKUP(YEAR($A16),'NY East Load Projections'!$A$4:$EO$14,((MONTH($A16)-1)*12)+VLOOKUP(BD$4,$DE$6:$DF$17,2)+1))*(VLOOKUP($A16,CURVES!$D$9:$T$261,6))*(INDEX(DailyScalarsTable,BD$5/100,MONTH($A16)))*$C16</f>
        <v>-7253.0504960404896</v>
      </c>
      <c r="BE16" s="1021"/>
      <c r="BF16" s="1021">
        <f>(VLOOKUP(YEAR($A16),'NY East Load Projections'!$A$4:$EO$14,((MONTH($A16)-1)*12)+VLOOKUP(BF$4,$DE$6:$DF$17,2)+1))*(VLOOKUP($A16,CURVES!$D$9:$T$261,6))*(INDEX(DailyScalarsTable,BF$5/100,MONTH($A16)))*$D16</f>
        <v>-6327.0393951282094</v>
      </c>
      <c r="BG16" s="1021">
        <f>(VLOOKUP(YEAR($A16),'NY East Load Projections'!$A$4:$EO$14,((MONTH($A16)-1)*12)+VLOOKUP(BG$4,$DE$6:$DF$17,2)+1))*(VLOOKUP($A16,CURVES!$D$9:$T$261,6))*(INDEX(DailyScalarsTable,BG$5/100,MONTH($A16)))*$D16</f>
        <v>-5998.2647821269256</v>
      </c>
      <c r="BH16" s="1021">
        <f>(VLOOKUP(YEAR($A16),'NY East Load Projections'!$A$4:$EO$14,((MONTH($A16)-1)*12)+VLOOKUP(BH$4,$DE$6:$DF$17,2)+1))*(VLOOKUP($A16,CURVES!$D$9:$T$261,6))*(INDEX(DailyScalarsTable,BH$5/100,MONTH($A16)))*$D16</f>
        <v>-5756.6188450348864</v>
      </c>
      <c r="BI16" s="1021">
        <f>(VLOOKUP(YEAR($A16),'NY East Load Projections'!$A$4:$EO$14,((MONTH($A16)-1)*12)+VLOOKUP(BI$4,$DE$6:$DF$17,2)+1))*(VLOOKUP($A16,CURVES!$D$9:$T$261,6))*(INDEX(DailyScalarsTable,BI$5/100,MONTH($A16)))*$D16</f>
        <v>-5760.0223089375904</v>
      </c>
      <c r="BJ16" s="1021">
        <f>(VLOOKUP(YEAR($A16),'NY East Load Projections'!$A$4:$EO$14,((MONTH($A16)-1)*12)+VLOOKUP(BJ$4,$DE$6:$DF$17,2)+1))*(VLOOKUP($A16,CURVES!$D$9:$T$261,6))*(INDEX(DailyScalarsTable,BJ$5/100,MONTH($A16)))*$D16</f>
        <v>-6270.3811363757886</v>
      </c>
      <c r="BK16" s="1021">
        <f>(VLOOKUP(YEAR($A16),'NY East Load Projections'!$A$4:$EO$14,((MONTH($A16)-1)*12)+VLOOKUP(BK$4,$DE$6:$DF$17,2)+1))*(VLOOKUP($A16,CURVES!$D$9:$T$261,6))*(INDEX(DailyScalarsTable,BK$5/100,MONTH($A16)))*$D16</f>
        <v>-7224.2537880097889</v>
      </c>
      <c r="BL16" s="1021">
        <f>(VLOOKUP(YEAR($A16),'NY East Load Projections'!$A$4:$EO$14,((MONTH($A16)-1)*12)+VLOOKUP(BL$4,$DE$6:$DF$17,2)+1))*(VLOOKUP($A16,CURVES!$D$9:$T$261,6))*(INDEX(DailyScalarsTable,BL$5/100,MONTH($A16)))*$D16</f>
        <v>-10348.031086616857</v>
      </c>
      <c r="BM16" s="1021">
        <f>(VLOOKUP(YEAR($A16),'NY East Load Projections'!$A$4:$EO$14,((MONTH($A16)-1)*12)+VLOOKUP(BM$4,$DE$6:$DF$17,2)+1))*(VLOOKUP($A16,SatSunCurve,6))*(INDEX(DailyScalarsTable,BM$5/100,MONTH($A16)))*$D16</f>
        <v>-7509.1909200688888</v>
      </c>
      <c r="BN16" s="1021">
        <f>(VLOOKUP(YEAR($A16),'NY East Load Projections'!$A$4:$EO$14,((MONTH($A16)-1)*12)+VLOOKUP(BN$4,$DE$6:$DF$17,2)+1))*(VLOOKUP($A16,SatSunCurve,6))*(INDEX(DailyScalarsTable,BN$5/100,MONTH($A16)))*$D16</f>
        <v>-8430.0583332805818</v>
      </c>
      <c r="BO16" s="1021">
        <f>(VLOOKUP(YEAR($A16),'NY East Load Projections'!$A$4:$EO$14,((MONTH($A16)-1)*12)+VLOOKUP(BO$4,$DE$6:$DF$17,2)+1))*(VLOOKUP($A16,SatSunCurve,6))*(INDEX(DailyScalarsTable,BO$5/100,MONTH($A16)))*$D16</f>
        <v>-8375.461421267386</v>
      </c>
      <c r="BP16" s="1021">
        <f>(VLOOKUP(YEAR($A16),'NY East Load Projections'!$A$4:$EO$14,((MONTH($A16)-1)*12)+VLOOKUP(BP$4,$DE$6:$DF$17,2)+1))*(VLOOKUP($A16,SatSunCurve,6))*(INDEX(DailyScalarsTable,BP$5/100,MONTH($A16)))*$D16</f>
        <v>-8213.884073552661</v>
      </c>
      <c r="BQ16" s="1021">
        <f>(VLOOKUP(YEAR($A16),'NY East Load Projections'!$A$4:$EO$14,((MONTH($A16)-1)*12)+VLOOKUP(BQ$4,$DE$6:$DF$17,2)+1))*(VLOOKUP($A16,SatSunCurve,6))*(INDEX(DailyScalarsTable,BQ$5/100,MONTH($A16)))*$D16</f>
        <v>-6916.1007190768569</v>
      </c>
      <c r="BR16" s="1021">
        <f>(VLOOKUP(YEAR($A16),'NY East Load Projections'!$A$4:$EO$14,((MONTH($A16)-1)*12)+VLOOKUP(BR$4,$DE$6:$DF$17,2)+1))*(VLOOKUP($A16,SatSunCurve,6))*(INDEX(DailyScalarsTable,BR$5/100,MONTH($A16)))*$D16</f>
        <v>-6545.0590078581254</v>
      </c>
      <c r="BS16" s="1021">
        <f>(VLOOKUP(YEAR($A16),'NY East Load Projections'!$A$4:$EO$14,((MONTH($A16)-1)*12)+VLOOKUP(BS$4,$DE$6:$DF$17,2)+1))*(VLOOKUP($A16,SatSunCurve,6))*(INDEX(DailyScalarsTable,BS$5/100,MONTH($A16)))*$D16</f>
        <v>-6369.3676515479683</v>
      </c>
      <c r="BT16" s="1021">
        <f>(VLOOKUP(YEAR($A16),'NY East Load Projections'!$A$4:$EO$14,((MONTH($A16)-1)*12)+VLOOKUP(BT$4,$DE$6:$DF$17,2)+1))*(VLOOKUP($A16,SatSunCurve,6))*(INDEX(DailyScalarsTable,BT$5/100,MONTH($A16)))*$D16</f>
        <v>-6220.3635898672019</v>
      </c>
      <c r="BU16" s="1021">
        <f>(VLOOKUP(YEAR($A16),'NY East Load Projections'!$A$4:$EO$14,((MONTH($A16)-1)*12)+VLOOKUP(BU$4,$DE$6:$DF$17,2)+1))*(VLOOKUP($A16,SatSunCurve,6))*(INDEX(DailyScalarsTable,BU$5/100,MONTH($A16)))*$D16</f>
        <v>-6118.0622937878707</v>
      </c>
      <c r="BV16" s="1021">
        <f>(VLOOKUP(YEAR($A16),'NY East Load Projections'!$A$4:$EO$14,((MONTH($A16)-1)*12)+VLOOKUP(BV$4,$DE$6:$DF$17,2)+1))*(VLOOKUP($A16,SatSunCurve,6))*(INDEX(DailyScalarsTable,BV$5/100,MONTH($A16)))*$D16</f>
        <v>-6368.3052792222607</v>
      </c>
      <c r="BW16" s="1021">
        <f>(VLOOKUP(YEAR($A16),'NY East Load Projections'!$A$4:$EO$14,((MONTH($A16)-1)*12)+VLOOKUP(BW$4,$DE$6:$DF$17,2)+1))*(VLOOKUP($A16,SatSunCurve,6))*(INDEX(DailyScalarsTable,BW$5/100,MONTH($A16)))*$D16</f>
        <v>-8742.2336514114741</v>
      </c>
      <c r="BX16" s="1021">
        <f>(VLOOKUP(YEAR($A16),'NY East Load Projections'!$A$4:$EO$14,((MONTH($A16)-1)*12)+VLOOKUP(BX$4,$DE$6:$DF$17,2)+1))*(VLOOKUP($A16,SatSunCurve,6))*(INDEX(DailyScalarsTable,BX$5/100,MONTH($A16)))*$D16</f>
        <v>-8812.6254760633783</v>
      </c>
      <c r="BY16" s="1021">
        <f>(VLOOKUP(YEAR($A16),'NY East Load Projections'!$A$4:$EO$14,((MONTH($A16)-1)*12)+VLOOKUP(BY$4,$DE$6:$DF$17,2)+1))*(VLOOKUP($A16,SatSunCurve,6))*(INDEX(DailyScalarsTable,BY$5/100,MONTH($A16)))*$D16</f>
        <v>-8452.0469457036252</v>
      </c>
      <c r="BZ16" s="1021">
        <f>(VLOOKUP(YEAR($A16),'NY East Load Projections'!$A$4:$EO$14,((MONTH($A16)-1)*12)+VLOOKUP(BZ$4,$DE$6:$DF$17,2)+1))*(VLOOKUP($A16,SatSunCurve,6))*(INDEX(DailyScalarsTable,BZ$5/100,MONTH($A16)))*$D16</f>
        <v>-7617.0618472431552</v>
      </c>
      <c r="CA16" s="1021">
        <f>(VLOOKUP(YEAR($A16),'NY East Load Projections'!$A$4:$EO$14,((MONTH($A16)-1)*12)+VLOOKUP(CA$4,$DE$6:$DF$17,2)+1))*(VLOOKUP($A16,SatSunCurve,6))*(INDEX(DailyScalarsTable,CA$5/100,MONTH($A16)))*$D16</f>
        <v>-6059.2331454513924</v>
      </c>
      <c r="CB16" s="1021">
        <f>(VLOOKUP(YEAR($A16),'NY East Load Projections'!$A$4:$EO$14,((MONTH($A16)-1)*12)+VLOOKUP(CB$4,$DE$6:$DF$17,2)+1))*(VLOOKUP($A16,SatSunCurve,6))*(INDEX(DailyScalarsTable,CB$5/100,MONTH($A16)))*$D16</f>
        <v>-5109.9859302150107</v>
      </c>
      <c r="CC16" s="1021">
        <f>(VLOOKUP(YEAR($A16),'NY East Load Projections'!$A$4:$EO$14,((MONTH($A16)-1)*12)+VLOOKUP(CC$4,$DE$6:$DF$17,2)+1))*(VLOOKUP($A16,CURVES!$D$9:$T$261,6))*(INDEX(DailyScalarsTable,CC$5/100,MONTH($A16)))*$D16</f>
        <v>-7253.0504960404896</v>
      </c>
      <c r="CE16" s="1021">
        <f>(VLOOKUP(YEAR($A16),'NY East Load Projections'!$A$4:$EO$14,((MONTH($A16)-1)*12)+VLOOKUP(CE$4,$DE$6:$DF$17,2)+1))*(VLOOKUP($A16,CURVES!$D$9:$T$261,6))*(INDEX(DailyScalarsTable,CE$5/100,MONTH($A16)))*$E16</f>
        <v>-1581.7598487820524</v>
      </c>
      <c r="CF16" s="1021">
        <f>(VLOOKUP(YEAR($A16),'NY East Load Projections'!$A$4:$EO$14,((MONTH($A16)-1)*12)+VLOOKUP(CF$4,$DE$6:$DF$17,2)+1))*(VLOOKUP($A16,CURVES!$D$9:$T$261,6))*(INDEX(DailyScalarsTable,CF$5/100,MONTH($A16)))*$E16</f>
        <v>-1499.5661955317314</v>
      </c>
      <c r="CG16" s="1021">
        <f>(VLOOKUP(YEAR($A16),'NY East Load Projections'!$A$4:$EO$14,((MONTH($A16)-1)*12)+VLOOKUP(CG$4,$DE$6:$DF$17,2)+1))*(VLOOKUP($A16,CURVES!$D$9:$T$261,6))*(INDEX(DailyScalarsTable,CG$5/100,MONTH($A16)))*$E16</f>
        <v>-1439.1547112587216</v>
      </c>
      <c r="CH16" s="1021">
        <f>(VLOOKUP(YEAR($A16),'NY East Load Projections'!$A$4:$EO$14,((MONTH($A16)-1)*12)+VLOOKUP(CH$4,$DE$6:$DF$17,2)+1))*(VLOOKUP($A16,CURVES!$D$9:$T$261,6))*(INDEX(DailyScalarsTable,CH$5/100,MONTH($A16)))*$E16</f>
        <v>-1440.0055772343976</v>
      </c>
      <c r="CI16" s="1021">
        <f>(VLOOKUP(YEAR($A16),'NY East Load Projections'!$A$4:$EO$14,((MONTH($A16)-1)*12)+VLOOKUP(CI$4,$DE$6:$DF$17,2)+1))*(VLOOKUP($A16,CURVES!$D$9:$T$261,6))*(INDEX(DailyScalarsTable,CI$5/100,MONTH($A16)))*$E16</f>
        <v>-1567.5952840939472</v>
      </c>
      <c r="CJ16" s="1021">
        <f>(VLOOKUP(YEAR($A16),'NY East Load Projections'!$A$4:$EO$14,((MONTH($A16)-1)*12)+VLOOKUP(CJ$4,$DE$6:$DF$17,2)+1))*(VLOOKUP($A16,CURVES!$D$9:$T$261,6))*(INDEX(DailyScalarsTable,CJ$5/100,MONTH($A16)))*$E16</f>
        <v>-1806.0634470024472</v>
      </c>
      <c r="CK16" s="1021">
        <f>(VLOOKUP(YEAR($A16),'NY East Load Projections'!$A$4:$EO$14,((MONTH($A16)-1)*12)+VLOOKUP(CK$4,$DE$6:$DF$17,2)+1))*(VLOOKUP($A16,CURVES!$D$9:$T$261,6))*(INDEX(DailyScalarsTable,CK$5/100,MONTH($A16)))*$E16</f>
        <v>-2587.0077716542141</v>
      </c>
      <c r="CL16" s="1021">
        <f>(VLOOKUP(YEAR($A16),'NY East Load Projections'!$A$4:$EO$14,((MONTH($A16)-1)*12)+VLOOKUP(CL$4,$DE$6:$DF$17,2)+1))*(VLOOKUP($A16,SatSunCurve,6))*(INDEX(DailyScalarsTable,CL$5/100,MONTH($A16)))*$E16</f>
        <v>-1877.2977300172222</v>
      </c>
      <c r="CM16" s="1021">
        <f>(VLOOKUP(YEAR($A16),'NY East Load Projections'!$A$4:$EO$14,((MONTH($A16)-1)*12)+VLOOKUP(CM$4,$DE$6:$DF$17,2)+1))*(VLOOKUP($A16,SatSunCurve,6))*(INDEX(DailyScalarsTable,CM$5/100,MONTH($A16)))*$E16</f>
        <v>-2107.5145833201454</v>
      </c>
      <c r="CN16" s="1021">
        <f>(VLOOKUP(YEAR($A16),'NY East Load Projections'!$A$4:$EO$14,((MONTH($A16)-1)*12)+VLOOKUP(CN$4,$DE$6:$DF$17,2)+1))*(VLOOKUP($A16,SatSunCurve,6))*(INDEX(DailyScalarsTable,CN$5/100,MONTH($A16)))*$E16</f>
        <v>-2093.8653553168465</v>
      </c>
      <c r="CO16" s="1021">
        <f>(VLOOKUP(YEAR($A16),'NY East Load Projections'!$A$4:$EO$14,((MONTH($A16)-1)*12)+VLOOKUP(CO$4,$DE$6:$DF$17,2)+1))*(VLOOKUP($A16,SatSunCurve,6))*(INDEX(DailyScalarsTable,CO$5/100,MONTH($A16)))*$E16</f>
        <v>-2053.4710183881652</v>
      </c>
      <c r="CP16" s="1021">
        <f>(VLOOKUP(YEAR($A16),'NY East Load Projections'!$A$4:$EO$14,((MONTH($A16)-1)*12)+VLOOKUP(CP$4,$DE$6:$DF$17,2)+1))*(VLOOKUP($A16,SatSunCurve,6))*(INDEX(DailyScalarsTable,CP$5/100,MONTH($A16)))*$E16</f>
        <v>-1729.0251797692142</v>
      </c>
      <c r="CQ16" s="1021">
        <f>(VLOOKUP(YEAR($A16),'NY East Load Projections'!$A$4:$EO$14,((MONTH($A16)-1)*12)+VLOOKUP(CQ$4,$DE$6:$DF$17,2)+1))*(VLOOKUP($A16,SatSunCurve,6))*(INDEX(DailyScalarsTable,CQ$5/100,MONTH($A16)))*$E16</f>
        <v>-1636.2647519645313</v>
      </c>
      <c r="CR16" s="1021">
        <f>(VLOOKUP(YEAR($A16),'NY East Load Projections'!$A$4:$EO$14,((MONTH($A16)-1)*12)+VLOOKUP(CR$4,$DE$6:$DF$17,2)+1))*(VLOOKUP($A16,SatSunCurve,6))*(INDEX(DailyScalarsTable,CR$5/100,MONTH($A16)))*$E16</f>
        <v>-1592.3419128869921</v>
      </c>
      <c r="CS16" s="1021">
        <f>(VLOOKUP(YEAR($A16),'NY East Load Projections'!$A$4:$EO$14,((MONTH($A16)-1)*12)+VLOOKUP(CS$4,$DE$6:$DF$17,2)+1))*(VLOOKUP($A16,SatSunCurve,6))*(INDEX(DailyScalarsTable,CS$5/100,MONTH($A16)))*$E16</f>
        <v>-1555.0908974668005</v>
      </c>
      <c r="CT16" s="1021">
        <f>(VLOOKUP(YEAR($A16),'NY East Load Projections'!$A$4:$EO$14,((MONTH($A16)-1)*12)+VLOOKUP(CT$4,$DE$6:$DF$17,2)+1))*(VLOOKUP($A16,SatSunCurve,6))*(INDEX(DailyScalarsTable,CT$5/100,MONTH($A16)))*$E16</f>
        <v>-1529.5155734469677</v>
      </c>
      <c r="CU16" s="1021">
        <f>(VLOOKUP(YEAR($A16),'NY East Load Projections'!$A$4:$EO$14,((MONTH($A16)-1)*12)+VLOOKUP(CU$4,$DE$6:$DF$17,2)+1))*(VLOOKUP($A16,SatSunCurve,6))*(INDEX(DailyScalarsTable,CU$5/100,MONTH($A16)))*$E16</f>
        <v>-1592.0763198055652</v>
      </c>
      <c r="CV16" s="1021">
        <f>(VLOOKUP(YEAR($A16),'NY East Load Projections'!$A$4:$EO$14,((MONTH($A16)-1)*12)+VLOOKUP(CV$4,$DE$6:$DF$17,2)+1))*(VLOOKUP($A16,SatSunCurve,6))*(INDEX(DailyScalarsTable,CV$5/100,MONTH($A16)))*$E16</f>
        <v>-2185.5584128528685</v>
      </c>
      <c r="CW16" s="1021">
        <f>(VLOOKUP(YEAR($A16),'NY East Load Projections'!$A$4:$EO$14,((MONTH($A16)-1)*12)+VLOOKUP(CW$4,$DE$6:$DF$17,2)+1))*(VLOOKUP($A16,SatSunCurve,6))*(INDEX(DailyScalarsTable,CW$5/100,MONTH($A16)))*$E16</f>
        <v>-2203.1563690158446</v>
      </c>
      <c r="CX16" s="1021">
        <f>(VLOOKUP(YEAR($A16),'NY East Load Projections'!$A$4:$EO$14,((MONTH($A16)-1)*12)+VLOOKUP(CX$4,$DE$6:$DF$17,2)+1))*(VLOOKUP($A16,SatSunCurve,6))*(INDEX(DailyScalarsTable,CX$5/100,MONTH($A16)))*$E16</f>
        <v>-2113.0117364259063</v>
      </c>
      <c r="CY16" s="1021">
        <f>(VLOOKUP(YEAR($A16),'NY East Load Projections'!$A$4:$EO$14,((MONTH($A16)-1)*12)+VLOOKUP(CY$4,$DE$6:$DF$17,2)+1))*(VLOOKUP($A16,SatSunCurve,6))*(INDEX(DailyScalarsTable,CY$5/100,MONTH($A16)))*$E16</f>
        <v>-1904.2654618107888</v>
      </c>
      <c r="CZ16" s="1021">
        <f>(VLOOKUP(YEAR($A16),'NY East Load Projections'!$A$4:$EO$14,((MONTH($A16)-1)*12)+VLOOKUP(CZ$4,$DE$6:$DF$17,2)+1))*(VLOOKUP($A16,SatSunCurve,6))*(INDEX(DailyScalarsTable,CZ$5/100,MONTH($A16)))*$E16</f>
        <v>-1514.8082863628481</v>
      </c>
      <c r="DA16" s="1021">
        <f>(VLOOKUP(YEAR($A16),'NY East Load Projections'!$A$4:$EO$14,((MONTH($A16)-1)*12)+VLOOKUP(DA$4,$DE$6:$DF$17,2)+1))*(VLOOKUP($A16,SatSunCurve,6))*(INDEX(DailyScalarsTable,DA$5/100,MONTH($A16)))*$E16</f>
        <v>-1277.4964825537527</v>
      </c>
      <c r="DB16" s="1021">
        <f>(VLOOKUP(YEAR($A16),'NY East Load Projections'!$A$4:$EO$14,((MONTH($A16)-1)*12)+VLOOKUP(DB$4,$DE$6:$DF$17,2)+1))*(VLOOKUP($A16,CURVES!$D$9:$T$261,6))*(INDEX(DailyScalarsTable,DB$5/100,MONTH($A16)))*$E16</f>
        <v>-1813.2626240101224</v>
      </c>
      <c r="DE16" s="221" t="s">
        <v>568</v>
      </c>
      <c r="DF16" s="619">
        <v>11</v>
      </c>
      <c r="DH16" s="1021">
        <f t="shared" si="0"/>
        <v>-1623519.0301469478</v>
      </c>
      <c r="DI16">
        <f ca="1">CALC!J36</f>
        <v>0.88371150556546374</v>
      </c>
      <c r="DJ16" s="1029">
        <f t="shared" ca="1" si="1"/>
        <v>-1434722.4464453408</v>
      </c>
    </row>
    <row r="17" spans="1:114" x14ac:dyDescent="0.25">
      <c r="A17" s="244">
        <v>37226</v>
      </c>
      <c r="B17" s="13">
        <v>20</v>
      </c>
      <c r="C17" s="210">
        <v>5</v>
      </c>
      <c r="D17" s="210">
        <v>5</v>
      </c>
      <c r="E17" s="210">
        <v>1</v>
      </c>
      <c r="F17" s="13">
        <v>31</v>
      </c>
      <c r="H17" s="1021">
        <f>(VLOOKUP(YEAR($A17),'NY East Load Projections'!$A$4:$EO$14,((MONTH($A17)-1)*12)+VLOOKUP(H$4,$DE$6:$DF$17,2)+1))*(VLOOKUP($A17,CURVES!$D$9:$K$261,6))*(INDEX(DailyScalarsTable,H$5/100,MONTH($A17)))*$B17</f>
        <v>-31145.748514695901</v>
      </c>
      <c r="I17" s="1021">
        <f>(VLOOKUP(YEAR($A17),'NY East Load Projections'!$A$4:$EO$14,((MONTH($A17)-1)*12)+VLOOKUP(I$4,$DE$6:$DF$17,2)+1))*(VLOOKUP($A17,CURVES!$D$9:$K$261,6))*(INDEX(DailyScalarsTable,I$5/100,MONTH($A17)))*$B17</f>
        <v>-29527.308866218427</v>
      </c>
      <c r="J17" s="1021">
        <f>(VLOOKUP(YEAR($A17),'NY East Load Projections'!$A$4:$EO$14,((MONTH($A17)-1)*12)+VLOOKUP(J$4,$DE$6:$DF$17,2)+1))*(VLOOKUP($A17,CURVES!$D$9:$K$261,6))*(INDEX(DailyScalarsTable,J$5/100,MONTH($A17)))*$B17</f>
        <v>-28337.772478621115</v>
      </c>
      <c r="K17" s="1021">
        <f>(VLOOKUP(YEAR($A17),'NY East Load Projections'!$A$4:$EO$14,((MONTH($A17)-1)*12)+VLOOKUP(K$4,$DE$6:$DF$17,2)+1))*(VLOOKUP($A17,CURVES!$D$9:$K$261,6))*(INDEX(DailyScalarsTable,K$5/100,MONTH($A17)))*$B17</f>
        <v>-28354.526512249246</v>
      </c>
      <c r="L17" s="1021">
        <f>(VLOOKUP(YEAR($A17),'NY East Load Projections'!$A$4:$EO$14,((MONTH($A17)-1)*12)+VLOOKUP(L$4,$DE$6:$DF$17,2)+1))*(VLOOKUP($A17,CURVES!$D$9:$K$261,6))*(INDEX(DailyScalarsTable,L$5/100,MONTH($A17)))*$B17</f>
        <v>-32379.339469996259</v>
      </c>
      <c r="M17" s="1021">
        <f>(VLOOKUP(YEAR($A17),'NY East Load Projections'!$A$4:$EO$14,((MONTH($A17)-1)*12)+VLOOKUP(M$4,$DE$6:$DF$17,2)+1))*(VLOOKUP($A17,CURVES!$D$9:$K$261,6))*(INDEX(DailyScalarsTable,M$5/100,MONTH($A17)))*$B17</f>
        <v>-37304.999605586425</v>
      </c>
      <c r="N17" s="1021">
        <f>(VLOOKUP(YEAR($A17),'NY East Load Projections'!$A$4:$EO$14,((MONTH($A17)-1)*12)+VLOOKUP(N$4,$DE$6:$DF$17,2)+1))*(VLOOKUP($A17,CURVES!$D$9:$K$261,6))*(INDEX(DailyScalarsTable,N$5/100,MONTH($A17)))*$B17</f>
        <v>-53435.732870506792</v>
      </c>
      <c r="O17" s="1021">
        <f>(VLOOKUP(YEAR($A17),'NY East Load Projections'!$A$4:$EO$14,((MONTH($A17)-1)*12)+VLOOKUP(O$4,$DE$6:$DF$17,2)+1))*(VLOOKUP($A17,CURVES!$D$9:$K$261,2))*(INDEX(DailyScalarsTable,O$5/100,MONTH($A17)))*$B17</f>
        <v>-57869.41325996675</v>
      </c>
      <c r="P17" s="1021">
        <f>(VLOOKUP(YEAR($A17),'NY East Load Projections'!$A$4:$EO$14,((MONTH($A17)-1)*12)+VLOOKUP(P$4,$DE$6:$DF$17,2)+1))*(VLOOKUP($A17,CURVES!$D$9:$K$261,2))*(INDEX(DailyScalarsTable,P$5/100,MONTH($A17)))*$B17</f>
        <v>-64468.882494014601</v>
      </c>
      <c r="Q17" s="1021">
        <f>(VLOOKUP(YEAR($A17),'NY East Load Projections'!$A$4:$EO$14,((MONTH($A17)-1)*12)+VLOOKUP(Q$4,$DE$6:$DF$17,2)+1))*(VLOOKUP($A17,CURVES!$D$9:$K$261,2))*(INDEX(DailyScalarsTable,Q$5/100,MONTH($A17)))*$B17</f>
        <v>-64142.051073912618</v>
      </c>
      <c r="R17" s="1021">
        <f>(VLOOKUP(YEAR($A17),'NY East Load Projections'!$A$4:$EO$14,((MONTH($A17)-1)*12)+VLOOKUP(R$4,$DE$6:$DF$17,2)+1))*(VLOOKUP($A17,CURVES!$D$9:$K$261,2))*(INDEX(DailyScalarsTable,R$5/100,MONTH($A17)))*$B17</f>
        <v>-62746.093143985505</v>
      </c>
      <c r="S17" s="1021">
        <f>(VLOOKUP(YEAR($A17),'NY East Load Projections'!$A$4:$EO$14,((MONTH($A17)-1)*12)+VLOOKUP(S$4,$DE$6:$DF$17,2)+1))*(VLOOKUP($A17,CURVES!$D$9:$K$261,2))*(INDEX(DailyScalarsTable,S$5/100,MONTH($A17)))*$B17</f>
        <v>-50985.701535909117</v>
      </c>
      <c r="T17" s="1021">
        <f>(VLOOKUP(YEAR($A17),'NY East Load Projections'!$A$4:$EO$14,((MONTH($A17)-1)*12)+VLOOKUP(T$4,$DE$6:$DF$17,2)+1))*(VLOOKUP($A17,CURVES!$D$9:$K$261,2))*(INDEX(DailyScalarsTable,T$5/100,MONTH($A17)))*$B17</f>
        <v>-48360.650584596333</v>
      </c>
      <c r="U17" s="1021">
        <f>(VLOOKUP(YEAR($A17),'NY East Load Projections'!$A$4:$EO$14,((MONTH($A17)-1)*12)+VLOOKUP(U$4,$DE$6:$DF$17,2)+1))*(VLOOKUP($A17,CURVES!$D$9:$K$261,2))*(INDEX(DailyScalarsTable,U$5/100,MONTH($A17)))*$B17</f>
        <v>-46276.759251827694</v>
      </c>
      <c r="V17" s="1021">
        <f>(VLOOKUP(YEAR($A17),'NY East Load Projections'!$A$4:$EO$14,((MONTH($A17)-1)*12)+VLOOKUP(V$4,$DE$6:$DF$17,2)+1))*(VLOOKUP($A17,CURVES!$D$9:$K$261,2))*(INDEX(DailyScalarsTable,V$5/100,MONTH($A17)))*$B17</f>
        <v>-43949.655137515765</v>
      </c>
      <c r="W17" s="1021">
        <f>(VLOOKUP(YEAR($A17),'NY East Load Projections'!$A$4:$EO$14,((MONTH($A17)-1)*12)+VLOOKUP(W$4,$DE$6:$DF$17,2)+1))*(VLOOKUP($A17,CURVES!$D$9:$K$261,2))*(INDEX(DailyScalarsTable,W$5/100,MONTH($A17)))*$B17</f>
        <v>-43186.851413584533</v>
      </c>
      <c r="X17" s="1021">
        <f>(VLOOKUP(YEAR($A17),'NY East Load Projections'!$A$4:$EO$14,((MONTH($A17)-1)*12)+VLOOKUP(X$4,$DE$6:$DF$17,2)+1))*(VLOOKUP($A17,CURVES!$D$9:$K$261,2))*(INDEX(DailyScalarsTable,X$5/100,MONTH($A17)))*$B17</f>
        <v>-47000.136727255813</v>
      </c>
      <c r="Y17" s="1021">
        <f>(VLOOKUP(YEAR($A17),'NY East Load Projections'!$A$4:$EO$14,((MONTH($A17)-1)*12)+VLOOKUP(Y$4,$DE$6:$DF$17,2)+1))*(VLOOKUP($A17,CURVES!$D$9:$K$261,2))*(INDEX(DailyScalarsTable,Y$5/100,MONTH($A17)))*$B17</f>
        <v>-66239.375147541708</v>
      </c>
      <c r="Z17" s="1021">
        <f>(VLOOKUP(YEAR($A17),'NY East Load Projections'!$A$4:$EO$14,((MONTH($A17)-1)*12)+VLOOKUP(Z$4,$DE$6:$DF$17,2)+1))*(VLOOKUP($A17,CURVES!$D$9:$K$261,2))*(INDEX(DailyScalarsTable,Z$5/100,MONTH($A17)))*$B17</f>
        <v>-65798.054076788088</v>
      </c>
      <c r="AA17" s="1021">
        <f>(VLOOKUP(YEAR($A17),'NY East Load Projections'!$A$4:$EO$14,((MONTH($A17)-1)*12)+VLOOKUP(AA$4,$DE$6:$DF$17,2)+1))*(VLOOKUP($A17,CURVES!$D$9:$K$261,2))*(INDEX(DailyScalarsTable,AA$5/100,MONTH($A17)))*$B17</f>
        <v>-63532.274964739991</v>
      </c>
      <c r="AB17" s="1021">
        <f>(VLOOKUP(YEAR($A17),'NY East Load Projections'!$A$4:$EO$14,((MONTH($A17)-1)*12)+VLOOKUP(AB$4,$DE$6:$DF$17,2)+1))*(VLOOKUP($A17,CURVES!$D$9:$K$261,2))*(INDEX(DailyScalarsTable,AB$5/100,MONTH($A17)))*$B17</f>
        <v>-59218.240757994296</v>
      </c>
      <c r="AC17" s="1021">
        <f>(VLOOKUP(YEAR($A17),'NY East Load Projections'!$A$4:$EO$14,((MONTH($A17)-1)*12)+VLOOKUP(AC$4,$DE$6:$DF$17,2)+1))*(VLOOKUP($A17,CURVES!$D$9:$K$261,2))*(INDEX(DailyScalarsTable,AC$5/100,MONTH($A17)))*$B17</f>
        <v>-43655.450758962652</v>
      </c>
      <c r="AD17" s="1021">
        <f>(VLOOKUP(YEAR($A17),'NY East Load Projections'!$A$4:$EO$14,((MONTH($A17)-1)*12)+VLOOKUP(AD$4,$DE$6:$DF$17,2)+1))*(VLOOKUP($A17,CURVES!$D$9:$K$261,2))*(INDEX(DailyScalarsTable,AD$5/100,MONTH($A17)))*$B17</f>
        <v>-36016.387737135949</v>
      </c>
      <c r="AE17" s="1021">
        <f>(VLOOKUP(YEAR($A17),'NY East Load Projections'!$A$4:$EO$14,((MONTH($A17)-1)*12)+VLOOKUP(AE$4,$DE$6:$DF$17,2)+1))*(VLOOKUP($A17,CURVES!$D$9:$K$261,6))*(INDEX(DailyScalarsTable,AE$5/100,MONTH($A17)))*$B17</f>
        <v>-36151.826530569466</v>
      </c>
      <c r="AF17" s="1021"/>
      <c r="AG17" s="1021">
        <f>(VLOOKUP(YEAR($A17),'NY East Load Projections'!$A$4:$EO$14,((MONTH($A17)-1)*12)+VLOOKUP(AG$4,$DE$6:$DF$17,2)+1))*(VLOOKUP($A17,CURVES!$D$9:$T$261,6))*(INDEX(DailyScalarsTable,AG$5/100,MONTH($A17)))*$C17</f>
        <v>-7947.7731704928119</v>
      </c>
      <c r="AH17" s="1021">
        <f>(VLOOKUP(YEAR($A17),'NY East Load Projections'!$A$4:$EO$14,((MONTH($A17)-1)*12)+VLOOKUP(AH$4,$DE$6:$DF$17,2)+1))*(VLOOKUP($A17,CURVES!$D$9:$T$261,6))*(INDEX(DailyScalarsTable,AH$5/100,MONTH($A17)))*$C17</f>
        <v>-7534.7796856786081</v>
      </c>
      <c r="AI17" s="1021">
        <f>(VLOOKUP(YEAR($A17),'NY East Load Projections'!$A$4:$EO$14,((MONTH($A17)-1)*12)+VLOOKUP(AI$4,$DE$6:$DF$17,2)+1))*(VLOOKUP($A17,CURVES!$D$9:$T$261,6))*(INDEX(DailyScalarsTable,AI$5/100,MONTH($A17)))*$C17</f>
        <v>-7231.2337496350428</v>
      </c>
      <c r="AJ17" s="1021">
        <f>(VLOOKUP(YEAR($A17),'NY East Load Projections'!$A$4:$EO$14,((MONTH($A17)-1)*12)+VLOOKUP(AJ$4,$DE$6:$DF$17,2)+1))*(VLOOKUP($A17,CURVES!$D$9:$T$261,6))*(INDEX(DailyScalarsTable,AJ$5/100,MONTH($A17)))*$C17</f>
        <v>-7235.5090445088945</v>
      </c>
      <c r="AK17" s="1021">
        <f>(VLOOKUP(YEAR($A17),'NY East Load Projections'!$A$4:$EO$14,((MONTH($A17)-1)*12)+VLOOKUP(AK$4,$DE$6:$DF$17,2)+1))*(VLOOKUP($A17,CURVES!$D$9:$T$261,6))*(INDEX(DailyScalarsTable,AK$5/100,MONTH($A17)))*$C17</f>
        <v>-7928.3621881112695</v>
      </c>
      <c r="AL17" s="1021">
        <f>(VLOOKUP(YEAR($A17),'NY East Load Projections'!$A$4:$EO$14,((MONTH($A17)-1)*12)+VLOOKUP(AL$4,$DE$6:$DF$17,2)+1))*(VLOOKUP($A17,CURVES!$D$9:$T$261,6))*(INDEX(DailyScalarsTable,AL$5/100,MONTH($A17)))*$C17</f>
        <v>-9134.4528066888142</v>
      </c>
      <c r="AM17" s="1021">
        <f>(VLOOKUP(YEAR($A17),'NY East Load Projections'!$A$4:$EO$14,((MONTH($A17)-1)*12)+VLOOKUP(AM$4,$DE$6:$DF$17,2)+1))*(VLOOKUP($A17,CURVES!$D$9:$T$261,6))*(INDEX(DailyScalarsTable,AM$5/100,MONTH($A17)))*$C17</f>
        <v>-13084.202794720859</v>
      </c>
      <c r="AN17" s="1021">
        <f>(VLOOKUP(YEAR($A17),'NY East Load Projections'!$A$4:$EO$14,((MONTH($A17)-1)*12)+VLOOKUP(AN$4,$DE$6:$DF$17,2)+1))*(VLOOKUP($A17,SatSunCurve,2))*(INDEX(DailyScalarsTable,AN$5/100,MONTH($A17)))*$C17</f>
        <v>-11510.981433812469</v>
      </c>
      <c r="AO17" s="1021">
        <f>(VLOOKUP(YEAR($A17),'NY East Load Projections'!$A$4:$EO$14,((MONTH($A17)-1)*12)+VLOOKUP(AO$4,$DE$6:$DF$17,2)+1))*(VLOOKUP($A17,SatSunCurve,2))*(INDEX(DailyScalarsTable,AO$5/100,MONTH($A17)))*$C17</f>
        <v>-12875.435542902163</v>
      </c>
      <c r="AP17" s="1021">
        <f>(VLOOKUP(YEAR($A17),'NY East Load Projections'!$A$4:$EO$14,((MONTH($A17)-1)*12)+VLOOKUP(AP$4,$DE$6:$DF$17,2)+1))*(VLOOKUP($A17,SatSunCurve,2))*(INDEX(DailyScalarsTable,AP$5/100,MONTH($A17)))*$C17</f>
        <v>-12810.162240184238</v>
      </c>
      <c r="AQ17" s="1021">
        <f>(VLOOKUP(YEAR($A17),'NY East Load Projections'!$A$4:$EO$14,((MONTH($A17)-1)*12)+VLOOKUP(AQ$4,$DE$6:$DF$17,2)+1))*(VLOOKUP($A17,SatSunCurve,2))*(INDEX(DailyScalarsTable,AQ$5/100,MONTH($A17)))*$C17</f>
        <v>-12531.367794677162</v>
      </c>
      <c r="AR17" s="1021">
        <f>(VLOOKUP(YEAR($A17),'NY East Load Projections'!$A$4:$EO$14,((MONTH($A17)-1)*12)+VLOOKUP(AR$4,$DE$6:$DF$17,2)+1))*(VLOOKUP($A17,SatSunCurve,2))*(INDEX(DailyScalarsTable,AR$5/100,MONTH($A17)))*$C17</f>
        <v>-10182.635223996522</v>
      </c>
      <c r="AS17" s="1021">
        <f>(VLOOKUP(YEAR($A17),'NY East Load Projections'!$A$4:$EO$14,((MONTH($A17)-1)*12)+VLOOKUP(AS$4,$DE$6:$DF$17,2)+1))*(VLOOKUP($A17,SatSunCurve,2))*(INDEX(DailyScalarsTable,AS$5/100,MONTH($A17)))*$C17</f>
        <v>-9638.8338853758505</v>
      </c>
      <c r="AT17" s="1021">
        <f>(VLOOKUP(YEAR($A17),'NY East Load Projections'!$A$4:$EO$14,((MONTH($A17)-1)*12)+VLOOKUP(AT$4,$DE$6:$DF$17,2)+1))*(VLOOKUP($A17,SatSunCurve,2))*(INDEX(DailyScalarsTable,AT$5/100,MONTH($A17)))*$C17</f>
        <v>-9223.4903747132958</v>
      </c>
      <c r="AU17" s="1021">
        <f>(VLOOKUP(YEAR($A17),'NY East Load Projections'!$A$4:$EO$14,((MONTH($A17)-1)*12)+VLOOKUP(AU$4,$DE$6:$DF$17,2)+1))*(VLOOKUP($A17,SatSunCurve,2))*(INDEX(DailyScalarsTable,AU$5/100,MONTH($A17)))*$C17</f>
        <v>-8759.671759358027</v>
      </c>
      <c r="AV17" s="1021">
        <f>(VLOOKUP(YEAR($A17),'NY East Load Projections'!$A$4:$EO$14,((MONTH($A17)-1)*12)+VLOOKUP(AV$4,$DE$6:$DF$17,2)+1))*(VLOOKUP($A17,SatSunCurve,2))*(INDEX(DailyScalarsTable,AV$5/100,MONTH($A17)))*$C17</f>
        <v>-8607.6362037308863</v>
      </c>
      <c r="AW17" s="1021">
        <f>(VLOOKUP(YEAR($A17),'NY East Load Projections'!$A$4:$EO$14,((MONTH($A17)-1)*12)+VLOOKUP(AW$4,$DE$6:$DF$17,2)+1))*(VLOOKUP($A17,SatSunCurve,2))*(INDEX(DailyScalarsTable,AW$5/100,MONTH($A17)))*$C17</f>
        <v>-9473.2980169166331</v>
      </c>
      <c r="AX17" s="1021">
        <f>(VLOOKUP(YEAR($A17),'NY East Load Projections'!$A$4:$EO$14,((MONTH($A17)-1)*12)+VLOOKUP(AX$4,$DE$6:$DF$17,2)+1))*(VLOOKUP($A17,SatSunCurve,2))*(INDEX(DailyScalarsTable,AX$5/100,MONTH($A17)))*$C17</f>
        <v>-13351.138633243756</v>
      </c>
      <c r="AY17" s="1021">
        <f>(VLOOKUP(YEAR($A17),'NY East Load Projections'!$A$4:$EO$14,((MONTH($A17)-1)*12)+VLOOKUP(AY$4,$DE$6:$DF$17,2)+1))*(VLOOKUP($A17,SatSunCurve,2))*(INDEX(DailyScalarsTable,AY$5/100,MONTH($A17)))*$C17</f>
        <v>-13262.186423409665</v>
      </c>
      <c r="AZ17" s="1021">
        <f>(VLOOKUP(YEAR($A17),'NY East Load Projections'!$A$4:$EO$14,((MONTH($A17)-1)*12)+VLOOKUP(AZ$4,$DE$6:$DF$17,2)+1))*(VLOOKUP($A17,SatSunCurve,2))*(INDEX(DailyScalarsTable,AZ$5/100,MONTH($A17)))*$C17</f>
        <v>-12805.498373894077</v>
      </c>
      <c r="BA17" s="1021">
        <f>(VLOOKUP(YEAR($A17),'NY East Load Projections'!$A$4:$EO$14,((MONTH($A17)-1)*12)+VLOOKUP(BA$4,$DE$6:$DF$17,2)+1))*(VLOOKUP($A17,SatSunCurve,2))*(INDEX(DailyScalarsTable,BA$5/100,MONTH($A17)))*$C17</f>
        <v>-12206.829937794073</v>
      </c>
      <c r="BB17" s="1021">
        <f>(VLOOKUP(YEAR($A17),'NY East Load Projections'!$A$4:$EO$14,((MONTH($A17)-1)*12)+VLOOKUP(BB$4,$DE$6:$DF$17,2)+1))*(VLOOKUP($A17,SatSunCurve,2))*(INDEX(DailyScalarsTable,BB$5/100,MONTH($A17)))*$C17</f>
        <v>-8998.8263151917599</v>
      </c>
      <c r="BC17" s="1021">
        <f>(VLOOKUP(YEAR($A17),'NY East Load Projections'!$A$4:$EO$14,((MONTH($A17)-1)*12)+VLOOKUP(BC$4,$DE$6:$DF$17,2)+1))*(VLOOKUP($A17,SatSunCurve,2))*(INDEX(DailyScalarsTable,BC$5/100,MONTH($A17)))*$C17</f>
        <v>-7424.1638125921454</v>
      </c>
      <c r="BD17" s="1021">
        <f>(VLOOKUP(YEAR($A17),'NY East Load Projections'!$A$4:$EO$14,((MONTH($A17)-1)*12)+VLOOKUP(BD$4,$DE$6:$DF$17,2)+1))*(VLOOKUP($A17,CURVES!$D$9:$T$261,6))*(INDEX(DailyScalarsTable,BD$5/100,MONTH($A17)))*$C17</f>
        <v>-9173.3900393776385</v>
      </c>
      <c r="BE17" s="1021"/>
      <c r="BF17" s="1021">
        <f>(VLOOKUP(YEAR($A17),'NY East Load Projections'!$A$4:$EO$14,((MONTH($A17)-1)*12)+VLOOKUP(BF$4,$DE$6:$DF$17,2)+1))*(VLOOKUP($A17,CURVES!$D$9:$T$261,6))*(INDEX(DailyScalarsTable,BF$5/100,MONTH($A17)))*$D17</f>
        <v>-7947.7731704928119</v>
      </c>
      <c r="BG17" s="1021">
        <f>(VLOOKUP(YEAR($A17),'NY East Load Projections'!$A$4:$EO$14,((MONTH($A17)-1)*12)+VLOOKUP(BG$4,$DE$6:$DF$17,2)+1))*(VLOOKUP($A17,CURVES!$D$9:$T$261,6))*(INDEX(DailyScalarsTable,BG$5/100,MONTH($A17)))*$D17</f>
        <v>-7534.7796856786081</v>
      </c>
      <c r="BH17" s="1021">
        <f>(VLOOKUP(YEAR($A17),'NY East Load Projections'!$A$4:$EO$14,((MONTH($A17)-1)*12)+VLOOKUP(BH$4,$DE$6:$DF$17,2)+1))*(VLOOKUP($A17,CURVES!$D$9:$T$261,6))*(INDEX(DailyScalarsTable,BH$5/100,MONTH($A17)))*$D17</f>
        <v>-7231.2337496350428</v>
      </c>
      <c r="BI17" s="1021">
        <f>(VLOOKUP(YEAR($A17),'NY East Load Projections'!$A$4:$EO$14,((MONTH($A17)-1)*12)+VLOOKUP(BI$4,$DE$6:$DF$17,2)+1))*(VLOOKUP($A17,CURVES!$D$9:$T$261,6))*(INDEX(DailyScalarsTable,BI$5/100,MONTH($A17)))*$D17</f>
        <v>-7235.5090445088945</v>
      </c>
      <c r="BJ17" s="1021">
        <f>(VLOOKUP(YEAR($A17),'NY East Load Projections'!$A$4:$EO$14,((MONTH($A17)-1)*12)+VLOOKUP(BJ$4,$DE$6:$DF$17,2)+1))*(VLOOKUP($A17,CURVES!$D$9:$T$261,6))*(INDEX(DailyScalarsTable,BJ$5/100,MONTH($A17)))*$D17</f>
        <v>-7928.3621881112695</v>
      </c>
      <c r="BK17" s="1021">
        <f>(VLOOKUP(YEAR($A17),'NY East Load Projections'!$A$4:$EO$14,((MONTH($A17)-1)*12)+VLOOKUP(BK$4,$DE$6:$DF$17,2)+1))*(VLOOKUP($A17,CURVES!$D$9:$T$261,6))*(INDEX(DailyScalarsTable,BK$5/100,MONTH($A17)))*$D17</f>
        <v>-9134.4528066888142</v>
      </c>
      <c r="BL17" s="1021">
        <f>(VLOOKUP(YEAR($A17),'NY East Load Projections'!$A$4:$EO$14,((MONTH($A17)-1)*12)+VLOOKUP(BL$4,$DE$6:$DF$17,2)+1))*(VLOOKUP($A17,CURVES!$D$9:$T$261,6))*(INDEX(DailyScalarsTable,BL$5/100,MONTH($A17)))*$D17</f>
        <v>-13084.202794720859</v>
      </c>
      <c r="BM17" s="1021">
        <f>(VLOOKUP(YEAR($A17),'NY East Load Projections'!$A$4:$EO$14,((MONTH($A17)-1)*12)+VLOOKUP(BM$4,$DE$6:$DF$17,2)+1))*(VLOOKUP($A17,SatSunCurve,6))*(INDEX(DailyScalarsTable,BM$5/100,MONTH($A17)))*$D17</f>
        <v>-8950.5694576597925</v>
      </c>
      <c r="BN17" s="1021">
        <f>(VLOOKUP(YEAR($A17),'NY East Load Projections'!$A$4:$EO$14,((MONTH($A17)-1)*12)+VLOOKUP(BN$4,$DE$6:$DF$17,2)+1))*(VLOOKUP($A17,SatSunCurve,6))*(INDEX(DailyScalarsTable,BN$5/100,MONTH($A17)))*$D17</f>
        <v>-10011.525149875843</v>
      </c>
      <c r="BO17" s="1021">
        <f>(VLOOKUP(YEAR($A17),'NY East Load Projections'!$A$4:$EO$14,((MONTH($A17)-1)*12)+VLOOKUP(BO$4,$DE$6:$DF$17,2)+1))*(VLOOKUP($A17,SatSunCurve,6))*(INDEX(DailyScalarsTable,BO$5/100,MONTH($A17)))*$D17</f>
        <v>-9960.7707261052055</v>
      </c>
      <c r="BP17" s="1021">
        <f>(VLOOKUP(YEAR($A17),'NY East Load Projections'!$A$4:$EO$14,((MONTH($A17)-1)*12)+VLOOKUP(BP$4,$DE$6:$DF$17,2)+1))*(VLOOKUP($A17,SatSunCurve,6))*(INDEX(DailyScalarsTable,BP$5/100,MONTH($A17)))*$D17</f>
        <v>-9743.9891194916381</v>
      </c>
      <c r="BQ17" s="1021">
        <f>(VLOOKUP(YEAR($A17),'NY East Load Projections'!$A$4:$EO$14,((MONTH($A17)-1)*12)+VLOOKUP(BQ$4,$DE$6:$DF$17,2)+1))*(VLOOKUP($A17,SatSunCurve,6))*(INDEX(DailyScalarsTable,BQ$5/100,MONTH($A17)))*$D17</f>
        <v>-7917.6901082193899</v>
      </c>
      <c r="BR17" s="1021">
        <f>(VLOOKUP(YEAR($A17),'NY East Load Projections'!$A$4:$EO$14,((MONTH($A17)-1)*12)+VLOOKUP(BR$4,$DE$6:$DF$17,2)+1))*(VLOOKUP($A17,SatSunCurve,6))*(INDEX(DailyScalarsTable,BR$5/100,MONTH($A17)))*$D17</f>
        <v>-7494.847652910119</v>
      </c>
      <c r="BS17" s="1021">
        <f>(VLOOKUP(YEAR($A17),'NY East Load Projections'!$A$4:$EO$14,((MONTH($A17)-1)*12)+VLOOKUP(BS$4,$DE$6:$DF$17,2)+1))*(VLOOKUP($A17,SatSunCurve,6))*(INDEX(DailyScalarsTable,BS$5/100,MONTH($A17)))*$D17</f>
        <v>-7171.8898788619854</v>
      </c>
      <c r="BT17" s="1021">
        <f>(VLOOKUP(YEAR($A17),'NY East Load Projections'!$A$4:$EO$14,((MONTH($A17)-1)*12)+VLOOKUP(BT$4,$DE$6:$DF$17,2)+1))*(VLOOKUP($A17,SatSunCurve,6))*(INDEX(DailyScalarsTable,BT$5/100,MONTH($A17)))*$D17</f>
        <v>-6811.2394203095619</v>
      </c>
      <c r="BU17" s="1021">
        <f>(VLOOKUP(YEAR($A17),'NY East Load Projections'!$A$4:$EO$14,((MONTH($A17)-1)*12)+VLOOKUP(BU$4,$DE$6:$DF$17,2)+1))*(VLOOKUP($A17,SatSunCurve,6))*(INDEX(DailyScalarsTable,BU$5/100,MONTH($A17)))*$D17</f>
        <v>-6693.0214552733742</v>
      </c>
      <c r="BV17" s="1021">
        <f>(VLOOKUP(YEAR($A17),'NY East Load Projections'!$A$4:$EO$14,((MONTH($A17)-1)*12)+VLOOKUP(BV$4,$DE$6:$DF$17,2)+1))*(VLOOKUP($A17,SatSunCurve,6))*(INDEX(DailyScalarsTable,BV$5/100,MONTH($A17)))*$D17</f>
        <v>-7366.1322782135639</v>
      </c>
      <c r="BW17" s="1021">
        <f>(VLOOKUP(YEAR($A17),'NY East Load Projections'!$A$4:$EO$14,((MONTH($A17)-1)*12)+VLOOKUP(BW$4,$DE$6:$DF$17,2)+1))*(VLOOKUP($A17,SatSunCurve,6))*(INDEX(DailyScalarsTable,BW$5/100,MONTH($A17)))*$D17</f>
        <v>-10381.416594476636</v>
      </c>
      <c r="BX17" s="1021">
        <f>(VLOOKUP(YEAR($A17),'NY East Load Projections'!$A$4:$EO$14,((MONTH($A17)-1)*12)+VLOOKUP(BX$4,$DE$6:$DF$17,2)+1))*(VLOOKUP($A17,SatSunCurve,6))*(INDEX(DailyScalarsTable,BX$5/100,MONTH($A17)))*$D17</f>
        <v>-10312.250213042498</v>
      </c>
      <c r="BY17" s="1021">
        <f>(VLOOKUP(YEAR($A17),'NY East Load Projections'!$A$4:$EO$14,((MONTH($A17)-1)*12)+VLOOKUP(BY$4,$DE$6:$DF$17,2)+1))*(VLOOKUP($A17,SatSunCurve,6))*(INDEX(DailyScalarsTable,BY$5/100,MONTH($A17)))*$D17</f>
        <v>-9957.1442534702401</v>
      </c>
      <c r="BZ17" s="1021">
        <f>(VLOOKUP(YEAR($A17),'NY East Load Projections'!$A$4:$EO$14,((MONTH($A17)-1)*12)+VLOOKUP(BZ$4,$DE$6:$DF$17,2)+1))*(VLOOKUP($A17,SatSunCurve,6))*(INDEX(DailyScalarsTable,BZ$5/100,MONTH($A17)))*$D17</f>
        <v>-9491.6389053613675</v>
      </c>
      <c r="CA17" s="1021">
        <f>(VLOOKUP(YEAR($A17),'NY East Load Projections'!$A$4:$EO$14,((MONTH($A17)-1)*12)+VLOOKUP(CA$4,$DE$6:$DF$17,2)+1))*(VLOOKUP($A17,SatSunCurve,6))*(INDEX(DailyScalarsTable,CA$5/100,MONTH($A17)))*$D17</f>
        <v>-6997.1983218518644</v>
      </c>
      <c r="CB17" s="1021">
        <f>(VLOOKUP(YEAR($A17),'NY East Load Projections'!$A$4:$EO$14,((MONTH($A17)-1)*12)+VLOOKUP(CB$4,$DE$6:$DF$17,2)+1))*(VLOOKUP($A17,SatSunCurve,6))*(INDEX(DailyScalarsTable,CB$5/100,MONTH($A17)))*$D17</f>
        <v>-5772.7913342348029</v>
      </c>
      <c r="CC17" s="1021">
        <f>(VLOOKUP(YEAR($A17),'NY East Load Projections'!$A$4:$EO$14,((MONTH($A17)-1)*12)+VLOOKUP(CC$4,$DE$6:$DF$17,2)+1))*(VLOOKUP($A17,CURVES!$D$9:$T$261,6))*(INDEX(DailyScalarsTable,CC$5/100,MONTH($A17)))*$D17</f>
        <v>-9173.3900393776385</v>
      </c>
      <c r="CE17" s="1021">
        <f>(VLOOKUP(YEAR($A17),'NY East Load Projections'!$A$4:$EO$14,((MONTH($A17)-1)*12)+VLOOKUP(CE$4,$DE$6:$DF$17,2)+1))*(VLOOKUP($A17,CURVES!$D$9:$T$261,6))*(INDEX(DailyScalarsTable,CE$5/100,MONTH($A17)))*$E17</f>
        <v>-1589.5546340985625</v>
      </c>
      <c r="CF17" s="1021">
        <f>(VLOOKUP(YEAR($A17),'NY East Load Projections'!$A$4:$EO$14,((MONTH($A17)-1)*12)+VLOOKUP(CF$4,$DE$6:$DF$17,2)+1))*(VLOOKUP($A17,CURVES!$D$9:$T$261,6))*(INDEX(DailyScalarsTable,CF$5/100,MONTH($A17)))*$E17</f>
        <v>-1506.9559371357216</v>
      </c>
      <c r="CG17" s="1021">
        <f>(VLOOKUP(YEAR($A17),'NY East Load Projections'!$A$4:$EO$14,((MONTH($A17)-1)*12)+VLOOKUP(CG$4,$DE$6:$DF$17,2)+1))*(VLOOKUP($A17,CURVES!$D$9:$T$261,6))*(INDEX(DailyScalarsTable,CG$5/100,MONTH($A17)))*$E17</f>
        <v>-1446.2467499270085</v>
      </c>
      <c r="CH17" s="1021">
        <f>(VLOOKUP(YEAR($A17),'NY East Load Projections'!$A$4:$EO$14,((MONTH($A17)-1)*12)+VLOOKUP(CH$4,$DE$6:$DF$17,2)+1))*(VLOOKUP($A17,CURVES!$D$9:$T$261,6))*(INDEX(DailyScalarsTable,CH$5/100,MONTH($A17)))*$E17</f>
        <v>-1447.1018089017789</v>
      </c>
      <c r="CI17" s="1021">
        <f>(VLOOKUP(YEAR($A17),'NY East Load Projections'!$A$4:$EO$14,((MONTH($A17)-1)*12)+VLOOKUP(CI$4,$DE$6:$DF$17,2)+1))*(VLOOKUP($A17,CURVES!$D$9:$T$261,6))*(INDEX(DailyScalarsTable,CI$5/100,MONTH($A17)))*$E17</f>
        <v>-1585.6724376222539</v>
      </c>
      <c r="CJ17" s="1021">
        <f>(VLOOKUP(YEAR($A17),'NY East Load Projections'!$A$4:$EO$14,((MONTH($A17)-1)*12)+VLOOKUP(CJ$4,$DE$6:$DF$17,2)+1))*(VLOOKUP($A17,CURVES!$D$9:$T$261,6))*(INDEX(DailyScalarsTable,CJ$5/100,MONTH($A17)))*$E17</f>
        <v>-1826.8905613377628</v>
      </c>
      <c r="CK17" s="1021">
        <f>(VLOOKUP(YEAR($A17),'NY East Load Projections'!$A$4:$EO$14,((MONTH($A17)-1)*12)+VLOOKUP(CK$4,$DE$6:$DF$17,2)+1))*(VLOOKUP($A17,CURVES!$D$9:$T$261,6))*(INDEX(DailyScalarsTable,CK$5/100,MONTH($A17)))*$E17</f>
        <v>-2616.8405589441718</v>
      </c>
      <c r="CL17" s="1021">
        <f>(VLOOKUP(YEAR($A17),'NY East Load Projections'!$A$4:$EO$14,((MONTH($A17)-1)*12)+VLOOKUP(CL$4,$DE$6:$DF$17,2)+1))*(VLOOKUP($A17,SatSunCurve,6))*(INDEX(DailyScalarsTable,CL$5/100,MONTH($A17)))*$E17</f>
        <v>-1790.1138915319584</v>
      </c>
      <c r="CM17" s="1021">
        <f>(VLOOKUP(YEAR($A17),'NY East Load Projections'!$A$4:$EO$14,((MONTH($A17)-1)*12)+VLOOKUP(CM$4,$DE$6:$DF$17,2)+1))*(VLOOKUP($A17,SatSunCurve,6))*(INDEX(DailyScalarsTable,CM$5/100,MONTH($A17)))*$E17</f>
        <v>-2002.3050299751685</v>
      </c>
      <c r="CN17" s="1021">
        <f>(VLOOKUP(YEAR($A17),'NY East Load Projections'!$A$4:$EO$14,((MONTH($A17)-1)*12)+VLOOKUP(CN$4,$DE$6:$DF$17,2)+1))*(VLOOKUP($A17,SatSunCurve,6))*(INDEX(DailyScalarsTable,CN$5/100,MONTH($A17)))*$E17</f>
        <v>-1992.1541452210411</v>
      </c>
      <c r="CO17" s="1021">
        <f>(VLOOKUP(YEAR($A17),'NY East Load Projections'!$A$4:$EO$14,((MONTH($A17)-1)*12)+VLOOKUP(CO$4,$DE$6:$DF$17,2)+1))*(VLOOKUP($A17,SatSunCurve,6))*(INDEX(DailyScalarsTable,CO$5/100,MONTH($A17)))*$E17</f>
        <v>-1948.7978238983276</v>
      </c>
      <c r="CP17" s="1021">
        <f>(VLOOKUP(YEAR($A17),'NY East Load Projections'!$A$4:$EO$14,((MONTH($A17)-1)*12)+VLOOKUP(CP$4,$DE$6:$DF$17,2)+1))*(VLOOKUP($A17,SatSunCurve,6))*(INDEX(DailyScalarsTable,CP$5/100,MONTH($A17)))*$E17</f>
        <v>-1583.538021643878</v>
      </c>
      <c r="CQ17" s="1021">
        <f>(VLOOKUP(YEAR($A17),'NY East Load Projections'!$A$4:$EO$14,((MONTH($A17)-1)*12)+VLOOKUP(CQ$4,$DE$6:$DF$17,2)+1))*(VLOOKUP($A17,SatSunCurve,6))*(INDEX(DailyScalarsTable,CQ$5/100,MONTH($A17)))*$E17</f>
        <v>-1498.9695305820237</v>
      </c>
      <c r="CR17" s="1021">
        <f>(VLOOKUP(YEAR($A17),'NY East Load Projections'!$A$4:$EO$14,((MONTH($A17)-1)*12)+VLOOKUP(CR$4,$DE$6:$DF$17,2)+1))*(VLOOKUP($A17,SatSunCurve,6))*(INDEX(DailyScalarsTable,CR$5/100,MONTH($A17)))*$E17</f>
        <v>-1434.3779757723971</v>
      </c>
      <c r="CS17" s="1021">
        <f>(VLOOKUP(YEAR($A17),'NY East Load Projections'!$A$4:$EO$14,((MONTH($A17)-1)*12)+VLOOKUP(CS$4,$DE$6:$DF$17,2)+1))*(VLOOKUP($A17,SatSunCurve,6))*(INDEX(DailyScalarsTable,CS$5/100,MONTH($A17)))*$E17</f>
        <v>-1362.2478840619124</v>
      </c>
      <c r="CT17" s="1021">
        <f>(VLOOKUP(YEAR($A17),'NY East Load Projections'!$A$4:$EO$14,((MONTH($A17)-1)*12)+VLOOKUP(CT$4,$DE$6:$DF$17,2)+1))*(VLOOKUP($A17,SatSunCurve,6))*(INDEX(DailyScalarsTable,CT$5/100,MONTH($A17)))*$E17</f>
        <v>-1338.6042910546748</v>
      </c>
      <c r="CU17" s="1021">
        <f>(VLOOKUP(YEAR($A17),'NY East Load Projections'!$A$4:$EO$14,((MONTH($A17)-1)*12)+VLOOKUP(CU$4,$DE$6:$DF$17,2)+1))*(VLOOKUP($A17,SatSunCurve,6))*(INDEX(DailyScalarsTable,CU$5/100,MONTH($A17)))*$E17</f>
        <v>-1473.2264556427128</v>
      </c>
      <c r="CV17" s="1021">
        <f>(VLOOKUP(YEAR($A17),'NY East Load Projections'!$A$4:$EO$14,((MONTH($A17)-1)*12)+VLOOKUP(CV$4,$DE$6:$DF$17,2)+1))*(VLOOKUP($A17,SatSunCurve,6))*(INDEX(DailyScalarsTable,CV$5/100,MONTH($A17)))*$E17</f>
        <v>-2076.2833188953273</v>
      </c>
      <c r="CW17" s="1021">
        <f>(VLOOKUP(YEAR($A17),'NY East Load Projections'!$A$4:$EO$14,((MONTH($A17)-1)*12)+VLOOKUP(CW$4,$DE$6:$DF$17,2)+1))*(VLOOKUP($A17,SatSunCurve,6))*(INDEX(DailyScalarsTable,CW$5/100,MONTH($A17)))*$E17</f>
        <v>-2062.4500426084996</v>
      </c>
      <c r="CX17" s="1021">
        <f>(VLOOKUP(YEAR($A17),'NY East Load Projections'!$A$4:$EO$14,((MONTH($A17)-1)*12)+VLOOKUP(CX$4,$DE$6:$DF$17,2)+1))*(VLOOKUP($A17,SatSunCurve,6))*(INDEX(DailyScalarsTable,CX$5/100,MONTH($A17)))*$E17</f>
        <v>-1991.4288506940479</v>
      </c>
      <c r="CY17" s="1021">
        <f>(VLOOKUP(YEAR($A17),'NY East Load Projections'!$A$4:$EO$14,((MONTH($A17)-1)*12)+VLOOKUP(CY$4,$DE$6:$DF$17,2)+1))*(VLOOKUP($A17,SatSunCurve,6))*(INDEX(DailyScalarsTable,CY$5/100,MONTH($A17)))*$E17</f>
        <v>-1898.3277810722734</v>
      </c>
      <c r="CZ17" s="1021">
        <f>(VLOOKUP(YEAR($A17),'NY East Load Projections'!$A$4:$EO$14,((MONTH($A17)-1)*12)+VLOOKUP(CZ$4,$DE$6:$DF$17,2)+1))*(VLOOKUP($A17,SatSunCurve,6))*(INDEX(DailyScalarsTable,CZ$5/100,MONTH($A17)))*$E17</f>
        <v>-1399.4396643703728</v>
      </c>
      <c r="DA17" s="1021">
        <f>(VLOOKUP(YEAR($A17),'NY East Load Projections'!$A$4:$EO$14,((MONTH($A17)-1)*12)+VLOOKUP(DA$4,$DE$6:$DF$17,2)+1))*(VLOOKUP($A17,SatSunCurve,6))*(INDEX(DailyScalarsTable,DA$5/100,MONTH($A17)))*$E17</f>
        <v>-1154.5582668469606</v>
      </c>
      <c r="DB17" s="1021">
        <f>(VLOOKUP(YEAR($A17),'NY East Load Projections'!$A$4:$EO$14,((MONTH($A17)-1)*12)+VLOOKUP(DB$4,$DE$6:$DF$17,2)+1))*(VLOOKUP($A17,CURVES!$D$9:$T$261,6))*(INDEX(DailyScalarsTable,DB$5/100,MONTH($A17)))*$E17</f>
        <v>-1834.6780078755276</v>
      </c>
      <c r="DE17" s="1019" t="s">
        <v>569</v>
      </c>
      <c r="DF17" s="1020">
        <v>12</v>
      </c>
      <c r="DH17" s="1021">
        <f t="shared" si="0"/>
        <v>-1628179.6743834687</v>
      </c>
      <c r="DI17">
        <f ca="1">CALC!J37</f>
        <v>0.87822441142858754</v>
      </c>
      <c r="DJ17" s="1029">
        <f t="shared" ca="1" si="1"/>
        <v>-1429907.136235411</v>
      </c>
    </row>
    <row r="18" spans="1:114" x14ac:dyDescent="0.25">
      <c r="A18" s="244">
        <v>37257</v>
      </c>
      <c r="B18" s="13">
        <v>22</v>
      </c>
      <c r="C18" s="210">
        <v>4</v>
      </c>
      <c r="D18" s="210">
        <v>4</v>
      </c>
      <c r="E18" s="210">
        <v>1</v>
      </c>
      <c r="F18" s="13">
        <v>31</v>
      </c>
      <c r="H18" s="1021">
        <f>(VLOOKUP(YEAR($A18),'NY East Load Projections'!$A$4:$EO$14,((MONTH($A18)-1)*12)+VLOOKUP(H$4,$DE$6:$DF$17,2)+1))*(VLOOKUP($A18,CURVES!$D$9:$K$261,6))*(INDEX(DailyScalarsTable,H$5/100,MONTH($A18)))*$B18</f>
        <v>-31520.320213812294</v>
      </c>
      <c r="I18" s="1021">
        <f>(VLOOKUP(YEAR($A18),'NY East Load Projections'!$A$4:$EO$14,((MONTH($A18)-1)*12)+VLOOKUP(I$4,$DE$6:$DF$17,2)+1))*(VLOOKUP($A18,CURVES!$D$9:$K$261,6))*(INDEX(DailyScalarsTable,I$5/100,MONTH($A18)))*$B18</f>
        <v>-30906.216559899181</v>
      </c>
      <c r="J18" s="1021">
        <f>(VLOOKUP(YEAR($A18),'NY East Load Projections'!$A$4:$EO$14,((MONTH($A18)-1)*12)+VLOOKUP(J$4,$DE$6:$DF$17,2)+1))*(VLOOKUP($A18,CURVES!$D$9:$K$261,6))*(INDEX(DailyScalarsTable,J$5/100,MONTH($A18)))*$B18</f>
        <v>-28320.929240939229</v>
      </c>
      <c r="K18" s="1021">
        <f>(VLOOKUP(YEAR($A18),'NY East Load Projections'!$A$4:$EO$14,((MONTH($A18)-1)*12)+VLOOKUP(K$4,$DE$6:$DF$17,2)+1))*(VLOOKUP($A18,CURVES!$D$9:$K$261,6))*(INDEX(DailyScalarsTable,K$5/100,MONTH($A18)))*$B18</f>
        <v>-28303.805968097025</v>
      </c>
      <c r="L18" s="1021">
        <f>(VLOOKUP(YEAR($A18),'NY East Load Projections'!$A$4:$EO$14,((MONTH($A18)-1)*12)+VLOOKUP(L$4,$DE$6:$DF$17,2)+1))*(VLOOKUP($A18,CURVES!$D$9:$K$261,6))*(INDEX(DailyScalarsTable,L$5/100,MONTH($A18)))*$B18</f>
        <v>-31462.260386878239</v>
      </c>
      <c r="M18" s="1021">
        <f>(VLOOKUP(YEAR($A18),'NY East Load Projections'!$A$4:$EO$14,((MONTH($A18)-1)*12)+VLOOKUP(M$4,$DE$6:$DF$17,2)+1))*(VLOOKUP($A18,CURVES!$D$9:$K$261,6))*(INDEX(DailyScalarsTable,M$5/100,MONTH($A18)))*$B18</f>
        <v>-33577.089230367157</v>
      </c>
      <c r="N18" s="1021">
        <f>(VLOOKUP(YEAR($A18),'NY East Load Projections'!$A$4:$EO$14,((MONTH($A18)-1)*12)+VLOOKUP(N$4,$DE$6:$DF$17,2)+1))*(VLOOKUP($A18,CURVES!$D$9:$K$261,6))*(INDEX(DailyScalarsTable,N$5/100,MONTH($A18)))*$B18</f>
        <v>-64299.717034021669</v>
      </c>
      <c r="O18" s="1021">
        <f>(VLOOKUP(YEAR($A18),'NY East Load Projections'!$A$4:$EO$14,((MONTH($A18)-1)*12)+VLOOKUP(O$4,$DE$6:$DF$17,2)+1))*(VLOOKUP($A18,CURVES!$D$9:$K$261,2))*(INDEX(DailyScalarsTable,O$5/100,MONTH($A18)))*$B18</f>
        <v>-75636.191495733481</v>
      </c>
      <c r="P18" s="1021">
        <f>(VLOOKUP(YEAR($A18),'NY East Load Projections'!$A$4:$EO$14,((MONTH($A18)-1)*12)+VLOOKUP(P$4,$DE$6:$DF$17,2)+1))*(VLOOKUP($A18,CURVES!$D$9:$K$261,2))*(INDEX(DailyScalarsTable,P$5/100,MONTH($A18)))*$B18</f>
        <v>-82425.485802466588</v>
      </c>
      <c r="Q18" s="1021">
        <f>(VLOOKUP(YEAR($A18),'NY East Load Projections'!$A$4:$EO$14,((MONTH($A18)-1)*12)+VLOOKUP(Q$4,$DE$6:$DF$17,2)+1))*(VLOOKUP($A18,CURVES!$D$9:$K$261,2))*(INDEX(DailyScalarsTable,Q$5/100,MONTH($A18)))*$B18</f>
        <v>-82174.615731635233</v>
      </c>
      <c r="R18" s="1021">
        <f>(VLOOKUP(YEAR($A18),'NY East Load Projections'!$A$4:$EO$14,((MONTH($A18)-1)*12)+VLOOKUP(R$4,$DE$6:$DF$17,2)+1))*(VLOOKUP($A18,CURVES!$D$9:$K$261,2))*(INDEX(DailyScalarsTable,R$5/100,MONTH($A18)))*$B18</f>
        <v>-80740.560906446131</v>
      </c>
      <c r="S18" s="1021">
        <f>(VLOOKUP(YEAR($A18),'NY East Load Projections'!$A$4:$EO$14,((MONTH($A18)-1)*12)+VLOOKUP(S$4,$DE$6:$DF$17,2)+1))*(VLOOKUP($A18,CURVES!$D$9:$K$261,2))*(INDEX(DailyScalarsTable,S$5/100,MONTH($A18)))*$B18</f>
        <v>-60482.319247283602</v>
      </c>
      <c r="T18" s="1021">
        <f>(VLOOKUP(YEAR($A18),'NY East Load Projections'!$A$4:$EO$14,((MONTH($A18)-1)*12)+VLOOKUP(T$4,$DE$6:$DF$17,2)+1))*(VLOOKUP($A18,CURVES!$D$9:$K$261,2))*(INDEX(DailyScalarsTable,T$5/100,MONTH($A18)))*$B18</f>
        <v>-58634.639404212961</v>
      </c>
      <c r="U18" s="1021">
        <f>(VLOOKUP(YEAR($A18),'NY East Load Projections'!$A$4:$EO$14,((MONTH($A18)-1)*12)+VLOOKUP(U$4,$DE$6:$DF$17,2)+1))*(VLOOKUP($A18,CURVES!$D$9:$K$261,2))*(INDEX(DailyScalarsTable,U$5/100,MONTH($A18)))*$B18</f>
        <v>-56741.429240951053</v>
      </c>
      <c r="V18" s="1021">
        <f>(VLOOKUP(YEAR($A18),'NY East Load Projections'!$A$4:$EO$14,((MONTH($A18)-1)*12)+VLOOKUP(V$4,$DE$6:$DF$17,2)+1))*(VLOOKUP($A18,CURVES!$D$9:$K$261,2))*(INDEX(DailyScalarsTable,V$5/100,MONTH($A18)))*$B18</f>
        <v>-53853.59779626532</v>
      </c>
      <c r="W18" s="1021">
        <f>(VLOOKUP(YEAR($A18),'NY East Load Projections'!$A$4:$EO$14,((MONTH($A18)-1)*12)+VLOOKUP(W$4,$DE$6:$DF$17,2)+1))*(VLOOKUP($A18,CURVES!$D$9:$K$261,2))*(INDEX(DailyScalarsTable,W$5/100,MONTH($A18)))*$B18</f>
        <v>-52769.803572369012</v>
      </c>
      <c r="X18" s="1021">
        <f>(VLOOKUP(YEAR($A18),'NY East Load Projections'!$A$4:$EO$14,((MONTH($A18)-1)*12)+VLOOKUP(X$4,$DE$6:$DF$17,2)+1))*(VLOOKUP($A18,CURVES!$D$9:$K$261,2))*(INDEX(DailyScalarsTable,X$5/100,MONTH($A18)))*$B18</f>
        <v>-55310.300514050301</v>
      </c>
      <c r="Y18" s="1021">
        <f>(VLOOKUP(YEAR($A18),'NY East Load Projections'!$A$4:$EO$14,((MONTH($A18)-1)*12)+VLOOKUP(Y$4,$DE$6:$DF$17,2)+1))*(VLOOKUP($A18,CURVES!$D$9:$K$261,2))*(INDEX(DailyScalarsTable,Y$5/100,MONTH($A18)))*$B18</f>
        <v>-76961.880244210071</v>
      </c>
      <c r="Z18" s="1021">
        <f>(VLOOKUP(YEAR($A18),'NY East Load Projections'!$A$4:$EO$14,((MONTH($A18)-1)*12)+VLOOKUP(Z$4,$DE$6:$DF$17,2)+1))*(VLOOKUP($A18,CURVES!$D$9:$K$261,2))*(INDEX(DailyScalarsTable,Z$5/100,MONTH($A18)))*$B18</f>
        <v>-84447.631707473789</v>
      </c>
      <c r="AA18" s="1021">
        <f>(VLOOKUP(YEAR($A18),'NY East Load Projections'!$A$4:$EO$14,((MONTH($A18)-1)*12)+VLOOKUP(AA$4,$DE$6:$DF$17,2)+1))*(VLOOKUP($A18,CURVES!$D$9:$K$261,2))*(INDEX(DailyScalarsTable,AA$5/100,MONTH($A18)))*$B18</f>
        <v>-80831.037078060646</v>
      </c>
      <c r="AB18" s="1021">
        <f>(VLOOKUP(YEAR($A18),'NY East Load Projections'!$A$4:$EO$14,((MONTH($A18)-1)*12)+VLOOKUP(AB$4,$DE$6:$DF$17,2)+1))*(VLOOKUP($A18,CURVES!$D$9:$K$261,2))*(INDEX(DailyScalarsTable,AB$5/100,MONTH($A18)))*$B18</f>
        <v>-72381.52209933121</v>
      </c>
      <c r="AC18" s="1021">
        <f>(VLOOKUP(YEAR($A18),'NY East Load Projections'!$A$4:$EO$14,((MONTH($A18)-1)*12)+VLOOKUP(AC$4,$DE$6:$DF$17,2)+1))*(VLOOKUP($A18,CURVES!$D$9:$K$261,2))*(INDEX(DailyScalarsTable,AC$5/100,MONTH($A18)))*$B18</f>
        <v>-51479.41494299566</v>
      </c>
      <c r="AD18" s="1021">
        <f>(VLOOKUP(YEAR($A18),'NY East Load Projections'!$A$4:$EO$14,((MONTH($A18)-1)*12)+VLOOKUP(AD$4,$DE$6:$DF$17,2)+1))*(VLOOKUP($A18,CURVES!$D$9:$K$261,2))*(INDEX(DailyScalarsTable,AD$5/100,MONTH($A18)))*$B18</f>
        <v>-42142.308641709773</v>
      </c>
      <c r="AE18" s="1021">
        <f>(VLOOKUP(YEAR($A18),'NY East Load Projections'!$A$4:$EO$14,((MONTH($A18)-1)*12)+VLOOKUP(AE$4,$DE$6:$DF$17,2)+1))*(VLOOKUP($A18,CURVES!$D$9:$K$261,6))*(INDEX(DailyScalarsTable,AE$5/100,MONTH($A18)))*$B18</f>
        <v>-36873.6895488839</v>
      </c>
      <c r="AF18" s="1021"/>
      <c r="AG18" s="1021">
        <f>(VLOOKUP(YEAR($A18),'NY East Load Projections'!$A$4:$EO$14,((MONTH($A18)-1)*12)+VLOOKUP(AG$4,$DE$6:$DF$17,2)+1))*(VLOOKUP($A18,CURVES!$D$9:$T$261,6))*(INDEX(DailyScalarsTable,AG$5/100,MONTH($A18)))*$C18</f>
        <v>-6215.3078002062102</v>
      </c>
      <c r="AH18" s="1021">
        <f>(VLOOKUP(YEAR($A18),'NY East Load Projections'!$A$4:$EO$14,((MONTH($A18)-1)*12)+VLOOKUP(AH$4,$DE$6:$DF$17,2)+1))*(VLOOKUP($A18,CURVES!$D$9:$T$261,6))*(INDEX(DailyScalarsTable,AH$5/100,MONTH($A18)))*$C18</f>
        <v>-6094.2162883049841</v>
      </c>
      <c r="AI18" s="1021">
        <f>(VLOOKUP(YEAR($A18),'NY East Load Projections'!$A$4:$EO$14,((MONTH($A18)-1)*12)+VLOOKUP(AI$4,$DE$6:$DF$17,2)+1))*(VLOOKUP($A18,CURVES!$D$9:$T$261,6))*(INDEX(DailyScalarsTable,AI$5/100,MONTH($A18)))*$C18</f>
        <v>-5584.4385852134783</v>
      </c>
      <c r="AJ18" s="1021">
        <f>(VLOOKUP(YEAR($A18),'NY East Load Projections'!$A$4:$EO$14,((MONTH($A18)-1)*12)+VLOOKUP(AJ$4,$DE$6:$DF$17,2)+1))*(VLOOKUP($A18,CURVES!$D$9:$T$261,6))*(INDEX(DailyScalarsTable,AJ$5/100,MONTH($A18)))*$C18</f>
        <v>-5581.0621470764509</v>
      </c>
      <c r="AK18" s="1021">
        <f>(VLOOKUP(YEAR($A18),'NY East Load Projections'!$A$4:$EO$14,((MONTH($A18)-1)*12)+VLOOKUP(AK$4,$DE$6:$DF$17,2)+1))*(VLOOKUP($A18,CURVES!$D$9:$T$261,6))*(INDEX(DailyScalarsTable,AK$5/100,MONTH($A18)))*$C18</f>
        <v>-5877.800731452664</v>
      </c>
      <c r="AL18" s="1021">
        <f>(VLOOKUP(YEAR($A18),'NY East Load Projections'!$A$4:$EO$14,((MONTH($A18)-1)*12)+VLOOKUP(AL$4,$DE$6:$DF$17,2)+1))*(VLOOKUP($A18,CURVES!$D$9:$T$261,6))*(INDEX(DailyScalarsTable,AL$5/100,MONTH($A18)))*$C18</f>
        <v>-6272.894484104354</v>
      </c>
      <c r="AM18" s="1021">
        <f>(VLOOKUP(YEAR($A18),'NY East Load Projections'!$A$4:$EO$14,((MONTH($A18)-1)*12)+VLOOKUP(AM$4,$DE$6:$DF$17,2)+1))*(VLOOKUP($A18,CURVES!$D$9:$T$261,6))*(INDEX(DailyScalarsTable,AM$5/100,MONTH($A18)))*$C18</f>
        <v>-12012.51655689676</v>
      </c>
      <c r="AN18" s="1021">
        <f>(VLOOKUP(YEAR($A18),'NY East Load Projections'!$A$4:$EO$14,((MONTH($A18)-1)*12)+VLOOKUP(AN$4,$DE$6:$DF$17,2)+1))*(VLOOKUP($A18,SatSunCurve,2))*(INDEX(DailyScalarsTable,AN$5/100,MONTH($A18)))*$C18</f>
        <v>-10947.656823275938</v>
      </c>
      <c r="AO18" s="1021">
        <f>(VLOOKUP(YEAR($A18),'NY East Load Projections'!$A$4:$EO$14,((MONTH($A18)-1)*12)+VLOOKUP(AO$4,$DE$6:$DF$17,2)+1))*(VLOOKUP($A18,SatSunCurve,2))*(INDEX(DailyScalarsTable,AO$5/100,MONTH($A18)))*$C18</f>
        <v>-12183.817265596506</v>
      </c>
      <c r="AP18" s="1021">
        <f>(VLOOKUP(YEAR($A18),'NY East Load Projections'!$A$4:$EO$14,((MONTH($A18)-1)*12)+VLOOKUP(AP$4,$DE$6:$DF$17,2)+1))*(VLOOKUP($A18,SatSunCurve,2))*(INDEX(DailyScalarsTable,AP$5/100,MONTH($A18)))*$C18</f>
        <v>-12146.73461972965</v>
      </c>
      <c r="AQ18" s="1021">
        <f>(VLOOKUP(YEAR($A18),'NY East Load Projections'!$A$4:$EO$14,((MONTH($A18)-1)*12)+VLOOKUP(AQ$4,$DE$6:$DF$17,2)+1))*(VLOOKUP($A18,SatSunCurve,2))*(INDEX(DailyScalarsTable,AQ$5/100,MONTH($A18)))*$C18</f>
        <v>-11934.758168892304</v>
      </c>
      <c r="AR18" s="1021">
        <f>(VLOOKUP(YEAR($A18),'NY East Load Projections'!$A$4:$EO$14,((MONTH($A18)-1)*12)+VLOOKUP(AR$4,$DE$6:$DF$17,2)+1))*(VLOOKUP($A18,SatSunCurve,2))*(INDEX(DailyScalarsTable,AR$5/100,MONTH($A18)))*$C18</f>
        <v>-8940.2630549776131</v>
      </c>
      <c r="AS18" s="1021">
        <f>(VLOOKUP(YEAR($A18),'NY East Load Projections'!$A$4:$EO$14,((MONTH($A18)-1)*12)+VLOOKUP(AS$4,$DE$6:$DF$17,2)+1))*(VLOOKUP($A18,SatSunCurve,2))*(INDEX(DailyScalarsTable,AS$5/100,MONTH($A18)))*$C18</f>
        <v>-8507.076675429862</v>
      </c>
      <c r="AT18" s="1021">
        <f>(VLOOKUP(YEAR($A18),'NY East Load Projections'!$A$4:$EO$14,((MONTH($A18)-1)*12)+VLOOKUP(AT$4,$DE$6:$DF$17,2)+1))*(VLOOKUP($A18,SatSunCurve,2))*(INDEX(DailyScalarsTable,AT$5/100,MONTH($A18)))*$C18</f>
        <v>-8232.3980181511251</v>
      </c>
      <c r="AU18" s="1021">
        <f>(VLOOKUP(YEAR($A18),'NY East Load Projections'!$A$4:$EO$14,((MONTH($A18)-1)*12)+VLOOKUP(AU$4,$DE$6:$DF$17,2)+1))*(VLOOKUP($A18,SatSunCurve,2))*(INDEX(DailyScalarsTable,AU$5/100,MONTH($A18)))*$C18</f>
        <v>-7813.4135445484144</v>
      </c>
      <c r="AV18" s="1021">
        <f>(VLOOKUP(YEAR($A18),'NY East Load Projections'!$A$4:$EO$14,((MONTH($A18)-1)*12)+VLOOKUP(AV$4,$DE$6:$DF$17,2)+1))*(VLOOKUP($A18,SatSunCurve,2))*(INDEX(DailyScalarsTable,AV$5/100,MONTH($A18)))*$C18</f>
        <v>-7656.1699653816004</v>
      </c>
      <c r="AW18" s="1021">
        <f>(VLOOKUP(YEAR($A18),'NY East Load Projections'!$A$4:$EO$14,((MONTH($A18)-1)*12)+VLOOKUP(AW$4,$DE$6:$DF$17,2)+1))*(VLOOKUP($A18,SatSunCurve,2))*(INDEX(DailyScalarsTable,AW$5/100,MONTH($A18)))*$C18</f>
        <v>-8057.6983693969823</v>
      </c>
      <c r="AX18" s="1021">
        <f>(VLOOKUP(YEAR($A18),'NY East Load Projections'!$A$4:$EO$14,((MONTH($A18)-1)*12)+VLOOKUP(AX$4,$DE$6:$DF$17,2)+1))*(VLOOKUP($A18,SatSunCurve,2))*(INDEX(DailyScalarsTable,AX$5/100,MONTH($A18)))*$C18</f>
        <v>-11211.937219396705</v>
      </c>
      <c r="AY18" s="1021">
        <f>(VLOOKUP(YEAR($A18),'NY East Load Projections'!$A$4:$EO$14,((MONTH($A18)-1)*12)+VLOOKUP(AY$4,$DE$6:$DF$17,2)+1))*(VLOOKUP($A18,SatSunCurve,2))*(INDEX(DailyScalarsTable,AY$5/100,MONTH($A18)))*$C18</f>
        <v>-12302.474186266534</v>
      </c>
      <c r="AZ18" s="1021">
        <f>(VLOOKUP(YEAR($A18),'NY East Load Projections'!$A$4:$EO$14,((MONTH($A18)-1)*12)+VLOOKUP(AZ$4,$DE$6:$DF$17,2)+1))*(VLOOKUP($A18,SatSunCurve,2))*(INDEX(DailyScalarsTable,AZ$5/100,MONTH($A18)))*$C18</f>
        <v>-11775.602547939612</v>
      </c>
      <c r="BA18" s="1021">
        <f>(VLOOKUP(YEAR($A18),'NY East Load Projections'!$A$4:$EO$14,((MONTH($A18)-1)*12)+VLOOKUP(BA$4,$DE$6:$DF$17,2)+1))*(VLOOKUP($A18,SatSunCurve,2))*(INDEX(DailyScalarsTable,BA$5/100,MONTH($A18)))*$C18</f>
        <v>-10855.267346444432</v>
      </c>
      <c r="BB18" s="1021">
        <f>(VLOOKUP(YEAR($A18),'NY East Load Projections'!$A$4:$EO$14,((MONTH($A18)-1)*12)+VLOOKUP(BB$4,$DE$6:$DF$17,2)+1))*(VLOOKUP($A18,SatSunCurve,2))*(INDEX(DailyScalarsTable,BB$5/100,MONTH($A18)))*$C18</f>
        <v>-7720.517555266053</v>
      </c>
      <c r="BC18" s="1021">
        <f>(VLOOKUP(YEAR($A18),'NY East Load Projections'!$A$4:$EO$14,((MONTH($A18)-1)*12)+VLOOKUP(BC$4,$DE$6:$DF$17,2)+1))*(VLOOKUP($A18,SatSunCurve,2))*(INDEX(DailyScalarsTable,BC$5/100,MONTH($A18)))*$C18</f>
        <v>-6320.2045720224232</v>
      </c>
      <c r="BD18" s="1021">
        <f>(VLOOKUP(YEAR($A18),'NY East Load Projections'!$A$4:$EO$14,((MONTH($A18)-1)*12)+VLOOKUP(BD$4,$DE$6:$DF$17,2)+1))*(VLOOKUP($A18,CURVES!$D$9:$T$261,6))*(INDEX(DailyScalarsTable,BD$5/100,MONTH($A18)))*$C18</f>
        <v>-7137.7744826900789</v>
      </c>
      <c r="BE18" s="1021"/>
      <c r="BF18" s="1021">
        <f>(VLOOKUP(YEAR($A18),'NY East Load Projections'!$A$4:$EO$14,((MONTH($A18)-1)*12)+VLOOKUP(BF$4,$DE$6:$DF$17,2)+1))*(VLOOKUP($A18,CURVES!$D$9:$T$261,6))*(INDEX(DailyScalarsTable,BF$5/100,MONTH($A18)))*$D18</f>
        <v>-6215.3078002062102</v>
      </c>
      <c r="BG18" s="1021">
        <f>(VLOOKUP(YEAR($A18),'NY East Load Projections'!$A$4:$EO$14,((MONTH($A18)-1)*12)+VLOOKUP(BG$4,$DE$6:$DF$17,2)+1))*(VLOOKUP($A18,CURVES!$D$9:$T$261,6))*(INDEX(DailyScalarsTable,BG$5/100,MONTH($A18)))*$D18</f>
        <v>-6094.2162883049841</v>
      </c>
      <c r="BH18" s="1021">
        <f>(VLOOKUP(YEAR($A18),'NY East Load Projections'!$A$4:$EO$14,((MONTH($A18)-1)*12)+VLOOKUP(BH$4,$DE$6:$DF$17,2)+1))*(VLOOKUP($A18,CURVES!$D$9:$T$261,6))*(INDEX(DailyScalarsTable,BH$5/100,MONTH($A18)))*$D18</f>
        <v>-5584.4385852134783</v>
      </c>
      <c r="BI18" s="1021">
        <f>(VLOOKUP(YEAR($A18),'NY East Load Projections'!$A$4:$EO$14,((MONTH($A18)-1)*12)+VLOOKUP(BI$4,$DE$6:$DF$17,2)+1))*(VLOOKUP($A18,CURVES!$D$9:$T$261,6))*(INDEX(DailyScalarsTable,BI$5/100,MONTH($A18)))*$D18</f>
        <v>-5581.0621470764509</v>
      </c>
      <c r="BJ18" s="1021">
        <f>(VLOOKUP(YEAR($A18),'NY East Load Projections'!$A$4:$EO$14,((MONTH($A18)-1)*12)+VLOOKUP(BJ$4,$DE$6:$DF$17,2)+1))*(VLOOKUP($A18,CURVES!$D$9:$T$261,6))*(INDEX(DailyScalarsTable,BJ$5/100,MONTH($A18)))*$D18</f>
        <v>-5877.800731452664</v>
      </c>
      <c r="BK18" s="1021">
        <f>(VLOOKUP(YEAR($A18),'NY East Load Projections'!$A$4:$EO$14,((MONTH($A18)-1)*12)+VLOOKUP(BK$4,$DE$6:$DF$17,2)+1))*(VLOOKUP($A18,CURVES!$D$9:$T$261,6))*(INDEX(DailyScalarsTable,BK$5/100,MONTH($A18)))*$D18</f>
        <v>-6272.894484104354</v>
      </c>
      <c r="BL18" s="1021">
        <f>(VLOOKUP(YEAR($A18),'NY East Load Projections'!$A$4:$EO$14,((MONTH($A18)-1)*12)+VLOOKUP(BL$4,$DE$6:$DF$17,2)+1))*(VLOOKUP($A18,CURVES!$D$9:$T$261,6))*(INDEX(DailyScalarsTable,BL$5/100,MONTH($A18)))*$D18</f>
        <v>-12012.51655689676</v>
      </c>
      <c r="BM18" s="1021">
        <f>(VLOOKUP(YEAR($A18),'NY East Load Projections'!$A$4:$EO$14,((MONTH($A18)-1)*12)+VLOOKUP(BM$4,$DE$6:$DF$17,2)+1))*(VLOOKUP($A18,SatSunCurve,6))*(INDEX(DailyScalarsTable,BM$5/100,MONTH($A18)))*$D18</f>
        <v>-9401.7795901198569</v>
      </c>
      <c r="BN18" s="1021">
        <f>(VLOOKUP(YEAR($A18),'NY East Load Projections'!$A$4:$EO$14,((MONTH($A18)-1)*12)+VLOOKUP(BN$4,$DE$6:$DF$17,2)+1))*(VLOOKUP($A18,SatSunCurve,6))*(INDEX(DailyScalarsTable,BN$5/100,MONTH($A18)))*$D18</f>
        <v>-10463.38648959931</v>
      </c>
      <c r="BO18" s="1021">
        <f>(VLOOKUP(YEAR($A18),'NY East Load Projections'!$A$4:$EO$14,((MONTH($A18)-1)*12)+VLOOKUP(BO$4,$DE$6:$DF$17,2)+1))*(VLOOKUP($A18,SatSunCurve,6))*(INDEX(DailyScalarsTable,BO$5/100,MONTH($A18)))*$D18</f>
        <v>-10431.540143966939</v>
      </c>
      <c r="BP18" s="1021">
        <f>(VLOOKUP(YEAR($A18),'NY East Load Projections'!$A$4:$EO$14,((MONTH($A18)-1)*12)+VLOOKUP(BP$4,$DE$6:$DF$17,2)+1))*(VLOOKUP($A18,SatSunCurve,6))*(INDEX(DailyScalarsTable,BP$5/100,MONTH($A18)))*$D18</f>
        <v>-10249.496086390036</v>
      </c>
      <c r="BQ18" s="1021">
        <f>(VLOOKUP(YEAR($A18),'NY East Load Projections'!$A$4:$EO$14,((MONTH($A18)-1)*12)+VLOOKUP(BQ$4,$DE$6:$DF$17,2)+1))*(VLOOKUP($A18,SatSunCurve,6))*(INDEX(DailyScalarsTable,BQ$5/100,MONTH($A18)))*$D18</f>
        <v>-7677.8423070297695</v>
      </c>
      <c r="BR18" s="1021">
        <f>(VLOOKUP(YEAR($A18),'NY East Load Projections'!$A$4:$EO$14,((MONTH($A18)-1)*12)+VLOOKUP(BR$4,$DE$6:$DF$17,2)+1))*(VLOOKUP($A18,SatSunCurve,6))*(INDEX(DailyScalarsTable,BR$5/100,MONTH($A18)))*$D18</f>
        <v>-7305.8245385068367</v>
      </c>
      <c r="BS18" s="1021">
        <f>(VLOOKUP(YEAR($A18),'NY East Load Projections'!$A$4:$EO$14,((MONTH($A18)-1)*12)+VLOOKUP(BS$4,$DE$6:$DF$17,2)+1))*(VLOOKUP($A18,SatSunCurve,6))*(INDEX(DailyScalarsTable,BS$5/100,MONTH($A18)))*$D18</f>
        <v>-7069.932216018783</v>
      </c>
      <c r="BT18" s="1021">
        <f>(VLOOKUP(YEAR($A18),'NY East Load Projections'!$A$4:$EO$14,((MONTH($A18)-1)*12)+VLOOKUP(BT$4,$DE$6:$DF$17,2)+1))*(VLOOKUP($A18,SatSunCurve,6))*(INDEX(DailyScalarsTable,BT$5/100,MONTH($A18)))*$D18</f>
        <v>-6710.1109559917149</v>
      </c>
      <c r="BU18" s="1021">
        <f>(VLOOKUP(YEAR($A18),'NY East Load Projections'!$A$4:$EO$14,((MONTH($A18)-1)*12)+VLOOKUP(BU$4,$DE$6:$DF$17,2)+1))*(VLOOKUP($A18,SatSunCurve,6))*(INDEX(DailyScalarsTable,BU$5/100,MONTH($A18)))*$D18</f>
        <v>-6575.0711481905819</v>
      </c>
      <c r="BV18" s="1021">
        <f>(VLOOKUP(YEAR($A18),'NY East Load Projections'!$A$4:$EO$14,((MONTH($A18)-1)*12)+VLOOKUP(BV$4,$DE$6:$DF$17,2)+1))*(VLOOKUP($A18,SatSunCurve,6))*(INDEX(DailyScalarsTable,BV$5/100,MONTH($A18)))*$D18</f>
        <v>-6919.9012442252852</v>
      </c>
      <c r="BW18" s="1021">
        <f>(VLOOKUP(YEAR($A18),'NY East Load Projections'!$A$4:$EO$14,((MONTH($A18)-1)*12)+VLOOKUP(BW$4,$DE$6:$DF$17,2)+1))*(VLOOKUP($A18,SatSunCurve,6))*(INDEX(DailyScalarsTable,BW$5/100,MONTH($A18)))*$D18</f>
        <v>-9628.7419505981507</v>
      </c>
      <c r="BX18" s="1021">
        <f>(VLOOKUP(YEAR($A18),'NY East Load Projections'!$A$4:$EO$14,((MONTH($A18)-1)*12)+VLOOKUP(BX$4,$DE$6:$DF$17,2)+1))*(VLOOKUP($A18,SatSunCurve,6))*(INDEX(DailyScalarsTable,BX$5/100,MONTH($A18)))*$D18</f>
        <v>-10565.288315075797</v>
      </c>
      <c r="BY18" s="1021">
        <f>(VLOOKUP(YEAR($A18),'NY East Load Projections'!$A$4:$EO$14,((MONTH($A18)-1)*12)+VLOOKUP(BY$4,$DE$6:$DF$17,2)+1))*(VLOOKUP($A18,SatSunCurve,6))*(INDEX(DailyScalarsTable,BY$5/100,MONTH($A18)))*$D18</f>
        <v>-10112.814228995267</v>
      </c>
      <c r="BZ18" s="1021">
        <f>(VLOOKUP(YEAR($A18),'NY East Load Projections'!$A$4:$EO$14,((MONTH($A18)-1)*12)+VLOOKUP(BZ$4,$DE$6:$DF$17,2)+1))*(VLOOKUP($A18,SatSunCurve,6))*(INDEX(DailyScalarsTable,BZ$5/100,MONTH($A18)))*$D18</f>
        <v>-9322.4360820397087</v>
      </c>
      <c r="CA18" s="1021">
        <f>(VLOOKUP(YEAR($A18),'NY East Load Projections'!$A$4:$EO$14,((MONTH($A18)-1)*12)+VLOOKUP(CA$4,$DE$6:$DF$17,2)+1))*(VLOOKUP($A18,SatSunCurve,6))*(INDEX(DailyScalarsTable,CA$5/100,MONTH($A18)))*$D18</f>
        <v>-6630.3324581690604</v>
      </c>
      <c r="CB18" s="1021">
        <f>(VLOOKUP(YEAR($A18),'NY East Load Projections'!$A$4:$EO$14,((MONTH($A18)-1)*12)+VLOOKUP(CB$4,$DE$6:$DF$17,2)+1))*(VLOOKUP($A18,SatSunCurve,6))*(INDEX(DailyScalarsTable,CB$5/100,MONTH($A18)))*$D18</f>
        <v>-5427.752377502974</v>
      </c>
      <c r="CC18" s="1021">
        <f>(VLOOKUP(YEAR($A18),'NY East Load Projections'!$A$4:$EO$14,((MONTH($A18)-1)*12)+VLOOKUP(CC$4,$DE$6:$DF$17,2)+1))*(VLOOKUP($A18,CURVES!$D$9:$T$261,6))*(INDEX(DailyScalarsTable,CC$5/100,MONTH($A18)))*$D18</f>
        <v>-7137.7744826900789</v>
      </c>
      <c r="CE18" s="1021">
        <f>(VLOOKUP(YEAR($A18),'NY East Load Projections'!$A$4:$EO$14,((MONTH($A18)-1)*12)+VLOOKUP(CE$4,$DE$6:$DF$17,2)+1))*(VLOOKUP($A18,CURVES!$D$9:$T$261,6))*(INDEX(DailyScalarsTable,CE$5/100,MONTH($A18)))*$E18</f>
        <v>-1553.8269500515526</v>
      </c>
      <c r="CF18" s="1021">
        <f>(VLOOKUP(YEAR($A18),'NY East Load Projections'!$A$4:$EO$14,((MONTH($A18)-1)*12)+VLOOKUP(CF$4,$DE$6:$DF$17,2)+1))*(VLOOKUP($A18,CURVES!$D$9:$T$261,6))*(INDEX(DailyScalarsTable,CF$5/100,MONTH($A18)))*$E18</f>
        <v>-1523.554072076246</v>
      </c>
      <c r="CG18" s="1021">
        <f>(VLOOKUP(YEAR($A18),'NY East Load Projections'!$A$4:$EO$14,((MONTH($A18)-1)*12)+VLOOKUP(CG$4,$DE$6:$DF$17,2)+1))*(VLOOKUP($A18,CURVES!$D$9:$T$261,6))*(INDEX(DailyScalarsTable,CG$5/100,MONTH($A18)))*$E18</f>
        <v>-1396.1096463033696</v>
      </c>
      <c r="CH18" s="1021">
        <f>(VLOOKUP(YEAR($A18),'NY East Load Projections'!$A$4:$EO$14,((MONTH($A18)-1)*12)+VLOOKUP(CH$4,$DE$6:$DF$17,2)+1))*(VLOOKUP($A18,CURVES!$D$9:$T$261,6))*(INDEX(DailyScalarsTable,CH$5/100,MONTH($A18)))*$E18</f>
        <v>-1395.2655367691127</v>
      </c>
      <c r="CI18" s="1021">
        <f>(VLOOKUP(YEAR($A18),'NY East Load Projections'!$A$4:$EO$14,((MONTH($A18)-1)*12)+VLOOKUP(CI$4,$DE$6:$DF$17,2)+1))*(VLOOKUP($A18,CURVES!$D$9:$T$261,6))*(INDEX(DailyScalarsTable,CI$5/100,MONTH($A18)))*$E18</f>
        <v>-1469.450182863166</v>
      </c>
      <c r="CJ18" s="1021">
        <f>(VLOOKUP(YEAR($A18),'NY East Load Projections'!$A$4:$EO$14,((MONTH($A18)-1)*12)+VLOOKUP(CJ$4,$DE$6:$DF$17,2)+1))*(VLOOKUP($A18,CURVES!$D$9:$T$261,6))*(INDEX(DailyScalarsTable,CJ$5/100,MONTH($A18)))*$E18</f>
        <v>-1568.2236210260885</v>
      </c>
      <c r="CK18" s="1021">
        <f>(VLOOKUP(YEAR($A18),'NY East Load Projections'!$A$4:$EO$14,((MONTH($A18)-1)*12)+VLOOKUP(CK$4,$DE$6:$DF$17,2)+1))*(VLOOKUP($A18,CURVES!$D$9:$T$261,6))*(INDEX(DailyScalarsTable,CK$5/100,MONTH($A18)))*$E18</f>
        <v>-3003.1291392241901</v>
      </c>
      <c r="CL18" s="1021">
        <f>(VLOOKUP(YEAR($A18),'NY East Load Projections'!$A$4:$EO$14,((MONTH($A18)-1)*12)+VLOOKUP(CL$4,$DE$6:$DF$17,2)+1))*(VLOOKUP($A18,SatSunCurve,6))*(INDEX(DailyScalarsTable,CL$5/100,MONTH($A18)))*$E18</f>
        <v>-2350.4448975299642</v>
      </c>
      <c r="CM18" s="1021">
        <f>(VLOOKUP(YEAR($A18),'NY East Load Projections'!$A$4:$EO$14,((MONTH($A18)-1)*12)+VLOOKUP(CM$4,$DE$6:$DF$17,2)+1))*(VLOOKUP($A18,SatSunCurve,6))*(INDEX(DailyScalarsTable,CM$5/100,MONTH($A18)))*$E18</f>
        <v>-2615.8466223998275</v>
      </c>
      <c r="CN18" s="1021">
        <f>(VLOOKUP(YEAR($A18),'NY East Load Projections'!$A$4:$EO$14,((MONTH($A18)-1)*12)+VLOOKUP(CN$4,$DE$6:$DF$17,2)+1))*(VLOOKUP($A18,SatSunCurve,6))*(INDEX(DailyScalarsTable,CN$5/100,MONTH($A18)))*$E18</f>
        <v>-2607.8850359917346</v>
      </c>
      <c r="CO18" s="1021">
        <f>(VLOOKUP(YEAR($A18),'NY East Load Projections'!$A$4:$EO$14,((MONTH($A18)-1)*12)+VLOOKUP(CO$4,$DE$6:$DF$17,2)+1))*(VLOOKUP($A18,SatSunCurve,6))*(INDEX(DailyScalarsTable,CO$5/100,MONTH($A18)))*$E18</f>
        <v>-2562.374021597509</v>
      </c>
      <c r="CP18" s="1021">
        <f>(VLOOKUP(YEAR($A18),'NY East Load Projections'!$A$4:$EO$14,((MONTH($A18)-1)*12)+VLOOKUP(CP$4,$DE$6:$DF$17,2)+1))*(VLOOKUP($A18,SatSunCurve,6))*(INDEX(DailyScalarsTable,CP$5/100,MONTH($A18)))*$E18</f>
        <v>-1919.4605767574424</v>
      </c>
      <c r="CQ18" s="1021">
        <f>(VLOOKUP(YEAR($A18),'NY East Load Projections'!$A$4:$EO$14,((MONTH($A18)-1)*12)+VLOOKUP(CQ$4,$DE$6:$DF$17,2)+1))*(VLOOKUP($A18,SatSunCurve,6))*(INDEX(DailyScalarsTable,CQ$5/100,MONTH($A18)))*$E18</f>
        <v>-1826.4561346267092</v>
      </c>
      <c r="CR18" s="1021">
        <f>(VLOOKUP(YEAR($A18),'NY East Load Projections'!$A$4:$EO$14,((MONTH($A18)-1)*12)+VLOOKUP(CR$4,$DE$6:$DF$17,2)+1))*(VLOOKUP($A18,SatSunCurve,6))*(INDEX(DailyScalarsTable,CR$5/100,MONTH($A18)))*$E18</f>
        <v>-1767.4830540046958</v>
      </c>
      <c r="CS18" s="1021">
        <f>(VLOOKUP(YEAR($A18),'NY East Load Projections'!$A$4:$EO$14,((MONTH($A18)-1)*12)+VLOOKUP(CS$4,$DE$6:$DF$17,2)+1))*(VLOOKUP($A18,SatSunCurve,6))*(INDEX(DailyScalarsTable,CS$5/100,MONTH($A18)))*$E18</f>
        <v>-1677.5277389979287</v>
      </c>
      <c r="CT18" s="1021">
        <f>(VLOOKUP(YEAR($A18),'NY East Load Projections'!$A$4:$EO$14,((MONTH($A18)-1)*12)+VLOOKUP(CT$4,$DE$6:$DF$17,2)+1))*(VLOOKUP($A18,SatSunCurve,6))*(INDEX(DailyScalarsTable,CT$5/100,MONTH($A18)))*$E18</f>
        <v>-1643.7677870476455</v>
      </c>
      <c r="CU18" s="1021">
        <f>(VLOOKUP(YEAR($A18),'NY East Load Projections'!$A$4:$EO$14,((MONTH($A18)-1)*12)+VLOOKUP(CU$4,$DE$6:$DF$17,2)+1))*(VLOOKUP($A18,SatSunCurve,6))*(INDEX(DailyScalarsTable,CU$5/100,MONTH($A18)))*$E18</f>
        <v>-1729.9753110563213</v>
      </c>
      <c r="CV18" s="1021">
        <f>(VLOOKUP(YEAR($A18),'NY East Load Projections'!$A$4:$EO$14,((MONTH($A18)-1)*12)+VLOOKUP(CV$4,$DE$6:$DF$17,2)+1))*(VLOOKUP($A18,SatSunCurve,6))*(INDEX(DailyScalarsTable,CV$5/100,MONTH($A18)))*$E18</f>
        <v>-2407.1854876495377</v>
      </c>
      <c r="CW18" s="1021">
        <f>(VLOOKUP(YEAR($A18),'NY East Load Projections'!$A$4:$EO$14,((MONTH($A18)-1)*12)+VLOOKUP(CW$4,$DE$6:$DF$17,2)+1))*(VLOOKUP($A18,SatSunCurve,6))*(INDEX(DailyScalarsTable,CW$5/100,MONTH($A18)))*$E18</f>
        <v>-2641.3220787689493</v>
      </c>
      <c r="CX18" s="1021">
        <f>(VLOOKUP(YEAR($A18),'NY East Load Projections'!$A$4:$EO$14,((MONTH($A18)-1)*12)+VLOOKUP(CX$4,$DE$6:$DF$17,2)+1))*(VLOOKUP($A18,SatSunCurve,6))*(INDEX(DailyScalarsTable,CX$5/100,MONTH($A18)))*$E18</f>
        <v>-2528.2035572488167</v>
      </c>
      <c r="CY18" s="1021">
        <f>(VLOOKUP(YEAR($A18),'NY East Load Projections'!$A$4:$EO$14,((MONTH($A18)-1)*12)+VLOOKUP(CY$4,$DE$6:$DF$17,2)+1))*(VLOOKUP($A18,SatSunCurve,6))*(INDEX(DailyScalarsTable,CY$5/100,MONTH($A18)))*$E18</f>
        <v>-2330.6090205099272</v>
      </c>
      <c r="CZ18" s="1021">
        <f>(VLOOKUP(YEAR($A18),'NY East Load Projections'!$A$4:$EO$14,((MONTH($A18)-1)*12)+VLOOKUP(CZ$4,$DE$6:$DF$17,2)+1))*(VLOOKUP($A18,SatSunCurve,6))*(INDEX(DailyScalarsTable,CZ$5/100,MONTH($A18)))*$E18</f>
        <v>-1657.5831145422651</v>
      </c>
      <c r="DA18" s="1021">
        <f>(VLOOKUP(YEAR($A18),'NY East Load Projections'!$A$4:$EO$14,((MONTH($A18)-1)*12)+VLOOKUP(DA$4,$DE$6:$DF$17,2)+1))*(VLOOKUP($A18,SatSunCurve,6))*(INDEX(DailyScalarsTable,DA$5/100,MONTH($A18)))*$E18</f>
        <v>-1356.9380943757435</v>
      </c>
      <c r="DB18" s="1021">
        <f>(VLOOKUP(YEAR($A18),'NY East Load Projections'!$A$4:$EO$14,((MONTH($A18)-1)*12)+VLOOKUP(DB$4,$DE$6:$DF$17,2)+1))*(VLOOKUP($A18,CURVES!$D$9:$T$261,6))*(INDEX(DailyScalarsTable,DB$5/100,MONTH($A18)))*$E18</f>
        <v>-1784.4436206725197</v>
      </c>
      <c r="DH18" s="1021">
        <f t="shared" si="0"/>
        <v>-1800244.0941272096</v>
      </c>
      <c r="DI18">
        <f ca="1">CALC!J38</f>
        <v>0.87274717553579284</v>
      </c>
      <c r="DJ18" s="1029">
        <f t="shared" ca="1" si="1"/>
        <v>-1571157.9484245142</v>
      </c>
    </row>
    <row r="19" spans="1:114" x14ac:dyDescent="0.25">
      <c r="A19" s="244">
        <v>37288</v>
      </c>
      <c r="B19" s="13">
        <v>20</v>
      </c>
      <c r="C19" s="210">
        <v>4</v>
      </c>
      <c r="D19" s="210">
        <v>4</v>
      </c>
      <c r="E19" s="210">
        <v>0</v>
      </c>
      <c r="F19" s="13">
        <v>28</v>
      </c>
      <c r="H19" s="1021">
        <f>(VLOOKUP(YEAR($A19),'NY East Load Projections'!$A$4:$EO$14,((MONTH($A19)-1)*12)+VLOOKUP(H$4,$DE$6:$DF$17,2)+1))*(VLOOKUP($A19,CURVES!$D$9:$K$261,6))*(INDEX(DailyScalarsTable,H$5/100,MONTH($A19)))*$B19</f>
        <v>-28038.560022384372</v>
      </c>
      <c r="I19" s="1021">
        <f>(VLOOKUP(YEAR($A19),'NY East Load Projections'!$A$4:$EO$14,((MONTH($A19)-1)*12)+VLOOKUP(I$4,$DE$6:$DF$17,2)+1))*(VLOOKUP($A19,CURVES!$D$9:$K$261,6))*(INDEX(DailyScalarsTable,I$5/100,MONTH($A19)))*$B19</f>
        <v>-27492.290757243369</v>
      </c>
      <c r="J19" s="1021">
        <f>(VLOOKUP(YEAR($A19),'NY East Load Projections'!$A$4:$EO$14,((MONTH($A19)-1)*12)+VLOOKUP(J$4,$DE$6:$DF$17,2)+1))*(VLOOKUP($A19,CURVES!$D$9:$K$261,6))*(INDEX(DailyScalarsTable,J$5/100,MONTH($A19)))*$B19</f>
        <v>-25192.576376930585</v>
      </c>
      <c r="K19" s="1021">
        <f>(VLOOKUP(YEAR($A19),'NY East Load Projections'!$A$4:$EO$14,((MONTH($A19)-1)*12)+VLOOKUP(K$4,$DE$6:$DF$17,2)+1))*(VLOOKUP($A19,CURVES!$D$9:$K$261,6))*(INDEX(DailyScalarsTable,K$5/100,MONTH($A19)))*$B19</f>
        <v>-25177.344554724812</v>
      </c>
      <c r="L19" s="1021">
        <f>(VLOOKUP(YEAR($A19),'NY East Load Projections'!$A$4:$EO$14,((MONTH($A19)-1)*12)+VLOOKUP(L$4,$DE$6:$DF$17,2)+1))*(VLOOKUP($A19,CURVES!$D$9:$K$261,6))*(INDEX(DailyScalarsTable,L$5/100,MONTH($A19)))*$B19</f>
        <v>-27936.770771503328</v>
      </c>
      <c r="M19" s="1021">
        <f>(VLOOKUP(YEAR($A19),'NY East Load Projections'!$A$4:$EO$14,((MONTH($A19)-1)*12)+VLOOKUP(M$4,$DE$6:$DF$17,2)+1))*(VLOOKUP($A19,CURVES!$D$9:$K$261,6))*(INDEX(DailyScalarsTable,M$5/100,MONTH($A19)))*$B19</f>
        <v>-29814.623408122985</v>
      </c>
      <c r="N19" s="1021">
        <f>(VLOOKUP(YEAR($A19),'NY East Load Projections'!$A$4:$EO$14,((MONTH($A19)-1)*12)+VLOOKUP(N$4,$DE$6:$DF$17,2)+1))*(VLOOKUP($A19,CURVES!$D$9:$K$261,6))*(INDEX(DailyScalarsTable,N$5/100,MONTH($A19)))*$B19</f>
        <v>-57094.640797047556</v>
      </c>
      <c r="O19" s="1021">
        <f>(VLOOKUP(YEAR($A19),'NY East Load Projections'!$A$4:$EO$14,((MONTH($A19)-1)*12)+VLOOKUP(O$4,$DE$6:$DF$17,2)+1))*(VLOOKUP($A19,CURVES!$D$9:$K$261,2))*(INDEX(DailyScalarsTable,O$5/100,MONTH($A19)))*$B19</f>
        <v>-67790.970641126638</v>
      </c>
      <c r="P19" s="1021">
        <f>(VLOOKUP(YEAR($A19),'NY East Load Projections'!$A$4:$EO$14,((MONTH($A19)-1)*12)+VLOOKUP(P$4,$DE$6:$DF$17,2)+1))*(VLOOKUP($A19,CURVES!$D$9:$K$261,2))*(INDEX(DailyScalarsTable,P$5/100,MONTH($A19)))*$B19</f>
        <v>-73591.672956605515</v>
      </c>
      <c r="Q19" s="1021">
        <f>(VLOOKUP(YEAR($A19),'NY East Load Projections'!$A$4:$EO$14,((MONTH($A19)-1)*12)+VLOOKUP(Q$4,$DE$6:$DF$17,2)+1))*(VLOOKUP($A19,CURVES!$D$9:$K$261,2))*(INDEX(DailyScalarsTable,Q$5/100,MONTH($A19)))*$B19</f>
        <v>-73367.689463787945</v>
      </c>
      <c r="R19" s="1021">
        <f>(VLOOKUP(YEAR($A19),'NY East Load Projections'!$A$4:$EO$14,((MONTH($A19)-1)*12)+VLOOKUP(R$4,$DE$6:$DF$17,2)+1))*(VLOOKUP($A19,CURVES!$D$9:$K$261,2))*(INDEX(DailyScalarsTable,R$5/100,MONTH($A19)))*$B19</f>
        <v>-72087.327053185087</v>
      </c>
      <c r="S19" s="1021">
        <f>(VLOOKUP(YEAR($A19),'NY East Load Projections'!$A$4:$EO$14,((MONTH($A19)-1)*12)+VLOOKUP(S$4,$DE$6:$DF$17,2)+1))*(VLOOKUP($A19,CURVES!$D$9:$K$261,2))*(INDEX(DailyScalarsTable,S$5/100,MONTH($A19)))*$B19</f>
        <v>-54000.228380454457</v>
      </c>
      <c r="T19" s="1021">
        <f>(VLOOKUP(YEAR($A19),'NY East Load Projections'!$A$4:$EO$14,((MONTH($A19)-1)*12)+VLOOKUP(T$4,$DE$6:$DF$17,2)+1))*(VLOOKUP($A19,CURVES!$D$9:$K$261,2))*(INDEX(DailyScalarsTable,T$5/100,MONTH($A19)))*$B19</f>
        <v>-52119.216534834937</v>
      </c>
      <c r="U19" s="1021">
        <f>(VLOOKUP(YEAR($A19),'NY East Load Projections'!$A$4:$EO$14,((MONTH($A19)-1)*12)+VLOOKUP(U$4,$DE$6:$DF$17,2)+1))*(VLOOKUP($A19,CURVES!$D$9:$K$261,2))*(INDEX(DailyScalarsTable,U$5/100,MONTH($A19)))*$B19</f>
        <v>-50436.378003761653</v>
      </c>
      <c r="V19" s="1021">
        <f>(VLOOKUP(YEAR($A19),'NY East Load Projections'!$A$4:$EO$14,((MONTH($A19)-1)*12)+VLOOKUP(V$4,$DE$6:$DF$17,2)+1))*(VLOOKUP($A19,CURVES!$D$9:$K$261,2))*(INDEX(DailyScalarsTable,V$5/100,MONTH($A19)))*$B19</f>
        <v>-47869.439519769432</v>
      </c>
      <c r="W19" s="1021">
        <f>(VLOOKUP(YEAR($A19),'NY East Load Projections'!$A$4:$EO$14,((MONTH($A19)-1)*12)+VLOOKUP(W$4,$DE$6:$DF$17,2)+1))*(VLOOKUP($A19,CURVES!$D$9:$K$261,2))*(INDEX(DailyScalarsTable,W$5/100,MONTH($A19)))*$B19</f>
        <v>-46906.075433140519</v>
      </c>
      <c r="X19" s="1021">
        <f>(VLOOKUP(YEAR($A19),'NY East Load Projections'!$A$4:$EO$14,((MONTH($A19)-1)*12)+VLOOKUP(X$4,$DE$6:$DF$17,2)+1))*(VLOOKUP($A19,CURVES!$D$9:$K$261,2))*(INDEX(DailyScalarsTable,X$5/100,MONTH($A19)))*$B19</f>
        <v>-49081.422166166332</v>
      </c>
      <c r="Y19" s="1021">
        <f>(VLOOKUP(YEAR($A19),'NY East Load Projections'!$A$4:$EO$14,((MONTH($A19)-1)*12)+VLOOKUP(Y$4,$DE$6:$DF$17,2)+1))*(VLOOKUP($A19,CURVES!$D$9:$K$261,2))*(INDEX(DailyScalarsTable,Y$5/100,MONTH($A19)))*$B19</f>
        <v>-68294.666632817331</v>
      </c>
      <c r="Z19" s="1021">
        <f>(VLOOKUP(YEAR($A19),'NY East Load Projections'!$A$4:$EO$14,((MONTH($A19)-1)*12)+VLOOKUP(Z$4,$DE$6:$DF$17,2)+1))*(VLOOKUP($A19,CURVES!$D$9:$K$261,2))*(INDEX(DailyScalarsTable,Z$5/100,MONTH($A19)))*$B19</f>
        <v>-74937.395462434011</v>
      </c>
      <c r="AA19" s="1021">
        <f>(VLOOKUP(YEAR($A19),'NY East Load Projections'!$A$4:$EO$14,((MONTH($A19)-1)*12)+VLOOKUP(AA$4,$DE$6:$DF$17,2)+1))*(VLOOKUP($A19,CURVES!$D$9:$K$261,2))*(INDEX(DailyScalarsTable,AA$5/100,MONTH($A19)))*$B19</f>
        <v>-71728.090754985809</v>
      </c>
      <c r="AB19" s="1021">
        <f>(VLOOKUP(YEAR($A19),'NY East Load Projections'!$A$4:$EO$14,((MONTH($A19)-1)*12)+VLOOKUP(AB$4,$DE$6:$DF$17,2)+1))*(VLOOKUP($A19,CURVES!$D$9:$K$261,2))*(INDEX(DailyScalarsTable,AB$5/100,MONTH($A19)))*$B19</f>
        <v>-64358.304639715214</v>
      </c>
      <c r="AC19" s="1021">
        <f>(VLOOKUP(YEAR($A19),'NY East Load Projections'!$A$4:$EO$14,((MONTH($A19)-1)*12)+VLOOKUP(AC$4,$DE$6:$DF$17,2)+1))*(VLOOKUP($A19,CURVES!$D$9:$K$261,2))*(INDEX(DailyScalarsTable,AC$5/100,MONTH($A19)))*$B19</f>
        <v>-45773.11686025231</v>
      </c>
      <c r="AD19" s="1021">
        <f>(VLOOKUP(YEAR($A19),'NY East Load Projections'!$A$4:$EO$14,((MONTH($A19)-1)*12)+VLOOKUP(AD$4,$DE$6:$DF$17,2)+1))*(VLOOKUP($A19,CURVES!$D$9:$K$261,2))*(INDEX(DailyScalarsTable,AD$5/100,MONTH($A19)))*$B19</f>
        <v>-37470.993412683725</v>
      </c>
      <c r="AE19" s="1021">
        <f>(VLOOKUP(YEAR($A19),'NY East Load Projections'!$A$4:$EO$14,((MONTH($A19)-1)*12)+VLOOKUP(AE$4,$DE$6:$DF$17,2)+1))*(VLOOKUP($A19,CURVES!$D$9:$K$261,6))*(INDEX(DailyScalarsTable,AE$5/100,MONTH($A19)))*$B19</f>
        <v>-32481.611098362973</v>
      </c>
      <c r="AF19" s="1021"/>
      <c r="AG19" s="1021">
        <f>(VLOOKUP(YEAR($A19),'NY East Load Projections'!$A$4:$EO$14,((MONTH($A19)-1)*12)+VLOOKUP(AG$4,$DE$6:$DF$17,2)+1))*(VLOOKUP($A19,CURVES!$D$9:$T$261,6))*(INDEX(DailyScalarsTable,AG$5/100,MONTH($A19)))*$C19</f>
        <v>-6149.3434724145527</v>
      </c>
      <c r="AH19" s="1021">
        <f>(VLOOKUP(YEAR($A19),'NY East Load Projections'!$A$4:$EO$14,((MONTH($A19)-1)*12)+VLOOKUP(AH$4,$DE$6:$DF$17,2)+1))*(VLOOKUP($A19,CURVES!$D$9:$T$261,6))*(INDEX(DailyScalarsTable,AH$5/100,MONTH($A19)))*$C19</f>
        <v>-6029.5371293964472</v>
      </c>
      <c r="AI19" s="1021">
        <f>(VLOOKUP(YEAR($A19),'NY East Load Projections'!$A$4:$EO$14,((MONTH($A19)-1)*12)+VLOOKUP(AI$4,$DE$6:$DF$17,2)+1))*(VLOOKUP($A19,CURVES!$D$9:$T$261,6))*(INDEX(DailyScalarsTable,AI$5/100,MONTH($A19)))*$C19</f>
        <v>-5525.1698009136599</v>
      </c>
      <c r="AJ19" s="1021">
        <f>(VLOOKUP(YEAR($A19),'NY East Load Projections'!$A$4:$EO$14,((MONTH($A19)-1)*12)+VLOOKUP(AJ$4,$DE$6:$DF$17,2)+1))*(VLOOKUP($A19,CURVES!$D$9:$T$261,6))*(INDEX(DailyScalarsTable,AJ$5/100,MONTH($A19)))*$C19</f>
        <v>-5521.8291976023884</v>
      </c>
      <c r="AK19" s="1021">
        <f>(VLOOKUP(YEAR($A19),'NY East Load Projections'!$A$4:$EO$14,((MONTH($A19)-1)*12)+VLOOKUP(AK$4,$DE$6:$DF$17,2)+1))*(VLOOKUP($A19,CURVES!$D$9:$T$261,6))*(INDEX(DailyScalarsTable,AK$5/100,MONTH($A19)))*$C19</f>
        <v>-5770.2450554377247</v>
      </c>
      <c r="AL19" s="1021">
        <f>(VLOOKUP(YEAR($A19),'NY East Load Projections'!$A$4:$EO$14,((MONTH($A19)-1)*12)+VLOOKUP(AL$4,$DE$6:$DF$17,2)+1))*(VLOOKUP($A19,CURVES!$D$9:$T$261,6))*(INDEX(DailyScalarsTable,AL$5/100,MONTH($A19)))*$C19</f>
        <v>-6158.1091353602369</v>
      </c>
      <c r="AM19" s="1021">
        <f>(VLOOKUP(YEAR($A19),'NY East Load Projections'!$A$4:$EO$14,((MONTH($A19)-1)*12)+VLOOKUP(AM$4,$DE$6:$DF$17,2)+1))*(VLOOKUP($A19,CURVES!$D$9:$T$261,6))*(INDEX(DailyScalarsTable,AM$5/100,MONTH($A19)))*$C19</f>
        <v>-11792.704011703796</v>
      </c>
      <c r="AN19" s="1021">
        <f>(VLOOKUP(YEAR($A19),'NY East Load Projections'!$A$4:$EO$14,((MONTH($A19)-1)*12)+VLOOKUP(AN$4,$DE$6:$DF$17,2)+1))*(VLOOKUP($A19,SatSunCurve,2))*(INDEX(DailyScalarsTable,AN$5/100,MONTH($A19)))*$C19</f>
        <v>-10461.476524874126</v>
      </c>
      <c r="AO19" s="1021">
        <f>(VLOOKUP(YEAR($A19),'NY East Load Projections'!$A$4:$EO$14,((MONTH($A19)-1)*12)+VLOOKUP(AO$4,$DE$6:$DF$17,2)+1))*(VLOOKUP($A19,SatSunCurve,2))*(INDEX(DailyScalarsTable,AO$5/100,MONTH($A19)))*$C19</f>
        <v>-11625.392796363565</v>
      </c>
      <c r="AP19" s="1021">
        <f>(VLOOKUP(YEAR($A19),'NY East Load Projections'!$A$4:$EO$14,((MONTH($A19)-1)*12)+VLOOKUP(AP$4,$DE$6:$DF$17,2)+1))*(VLOOKUP($A19,SatSunCurve,2))*(INDEX(DailyScalarsTable,AP$5/100,MONTH($A19)))*$C19</f>
        <v>-11590.009770277977</v>
      </c>
      <c r="AQ19" s="1021">
        <f>(VLOOKUP(YEAR($A19),'NY East Load Projections'!$A$4:$EO$14,((MONTH($A19)-1)*12)+VLOOKUP(AQ$4,$DE$6:$DF$17,2)+1))*(VLOOKUP($A19,SatSunCurve,2))*(INDEX(DailyScalarsTable,AQ$5/100,MONTH($A19)))*$C19</f>
        <v>-11387.748898266897</v>
      </c>
      <c r="AR19" s="1021">
        <f>(VLOOKUP(YEAR($A19),'NY East Load Projections'!$A$4:$EO$14,((MONTH($A19)-1)*12)+VLOOKUP(AR$4,$DE$6:$DF$17,2)+1))*(VLOOKUP($A19,SatSunCurve,2))*(INDEX(DailyScalarsTable,AR$5/100,MONTH($A19)))*$C19</f>
        <v>-8530.5013569442744</v>
      </c>
      <c r="AS19" s="1021">
        <f>(VLOOKUP(YEAR($A19),'NY East Load Projections'!$A$4:$EO$14,((MONTH($A19)-1)*12)+VLOOKUP(AS$4,$DE$6:$DF$17,2)+1))*(VLOOKUP($A19,SatSunCurve,2))*(INDEX(DailyScalarsTable,AS$5/100,MONTH($A19)))*$C19</f>
        <v>-8064.4865855891612</v>
      </c>
      <c r="AT19" s="1021">
        <f>(VLOOKUP(YEAR($A19),'NY East Load Projections'!$A$4:$EO$14,((MONTH($A19)-1)*12)+VLOOKUP(AT$4,$DE$6:$DF$17,2)+1))*(VLOOKUP($A19,SatSunCurve,2))*(INDEX(DailyScalarsTable,AT$5/100,MONTH($A19)))*$C19</f>
        <v>-7804.0983897980286</v>
      </c>
      <c r="AU19" s="1021">
        <f>(VLOOKUP(YEAR($A19),'NY East Load Projections'!$A$4:$EO$14,((MONTH($A19)-1)*12)+VLOOKUP(AU$4,$DE$6:$DF$17,2)+1))*(VLOOKUP($A19,SatSunCurve,2))*(INDEX(DailyScalarsTable,AU$5/100,MONTH($A19)))*$C19</f>
        <v>-7406.9120476673497</v>
      </c>
      <c r="AV19" s="1021">
        <f>(VLOOKUP(YEAR($A19),'NY East Load Projections'!$A$4:$EO$14,((MONTH($A19)-1)*12)+VLOOKUP(AV$4,$DE$6:$DF$17,2)+1))*(VLOOKUP($A19,SatSunCurve,2))*(INDEX(DailyScalarsTable,AV$5/100,MONTH($A19)))*$C19</f>
        <v>-7257.8492399318457</v>
      </c>
      <c r="AW19" s="1021">
        <f>(VLOOKUP(YEAR($A19),'NY East Load Projections'!$A$4:$EO$14,((MONTH($A19)-1)*12)+VLOOKUP(AW$4,$DE$6:$DF$17,2)+1))*(VLOOKUP($A19,SatSunCurve,2))*(INDEX(DailyScalarsTable,AW$5/100,MONTH($A19)))*$C19</f>
        <v>-7681.7307322819688</v>
      </c>
      <c r="AX19" s="1021">
        <f>(VLOOKUP(YEAR($A19),'NY East Load Projections'!$A$4:$EO$14,((MONTH($A19)-1)*12)+VLOOKUP(AX$4,$DE$6:$DF$17,2)+1))*(VLOOKUP($A19,SatSunCurve,2))*(INDEX(DailyScalarsTable,AX$5/100,MONTH($A19)))*$C19</f>
        <v>-10688.794586027827</v>
      </c>
      <c r="AY19" s="1021">
        <f>(VLOOKUP(YEAR($A19),'NY East Load Projections'!$A$4:$EO$14,((MONTH($A19)-1)*12)+VLOOKUP(AY$4,$DE$6:$DF$17,2)+1))*(VLOOKUP($A19,SatSunCurve,2))*(INDEX(DailyScalarsTable,AY$5/100,MONTH($A19)))*$C19</f>
        <v>-11728.447716369619</v>
      </c>
      <c r="AZ19" s="1021">
        <f>(VLOOKUP(YEAR($A19),'NY East Load Projections'!$A$4:$EO$14,((MONTH($A19)-1)*12)+VLOOKUP(AZ$4,$DE$6:$DF$17,2)+1))*(VLOOKUP($A19,SatSunCurve,2))*(INDEX(DailyScalarsTable,AZ$5/100,MONTH($A19)))*$C19</f>
        <v>-11226.159609945184</v>
      </c>
      <c r="BA19" s="1021">
        <f>(VLOOKUP(YEAR($A19),'NY East Load Projections'!$A$4:$EO$14,((MONTH($A19)-1)*12)+VLOOKUP(BA$4,$DE$6:$DF$17,2)+1))*(VLOOKUP($A19,SatSunCurve,2))*(INDEX(DailyScalarsTable,BA$5/100,MONTH($A19)))*$C19</f>
        <v>-10452.623957285825</v>
      </c>
      <c r="BB19" s="1021">
        <f>(VLOOKUP(YEAR($A19),'NY East Load Projections'!$A$4:$EO$14,((MONTH($A19)-1)*12)+VLOOKUP(BB$4,$DE$6:$DF$17,2)+1))*(VLOOKUP($A19,SatSunCurve,2))*(INDEX(DailyScalarsTable,BB$5/100,MONTH($A19)))*$C19</f>
        <v>-7434.1482512867224</v>
      </c>
      <c r="BC19" s="1021">
        <f>(VLOOKUP(YEAR($A19),'NY East Load Projections'!$A$4:$EO$14,((MONTH($A19)-1)*12)+VLOOKUP(BC$4,$DE$6:$DF$17,2)+1))*(VLOOKUP($A19,SatSunCurve,2))*(INDEX(DailyScalarsTable,BC$5/100,MONTH($A19)))*$C19</f>
        <v>-6085.7756530618635</v>
      </c>
      <c r="BD19" s="1021">
        <f>(VLOOKUP(YEAR($A19),'NY East Load Projections'!$A$4:$EO$14,((MONTH($A19)-1)*12)+VLOOKUP(BD$4,$DE$6:$DF$17,2)+1))*(VLOOKUP($A19,CURVES!$D$9:$T$261,6))*(INDEX(DailyScalarsTable,BD$5/100,MONTH($A19)))*$C19</f>
        <v>-7060.8212024724307</v>
      </c>
      <c r="BE19" s="1021"/>
      <c r="BF19" s="1021">
        <f>(VLOOKUP(YEAR($A19),'NY East Load Projections'!$A$4:$EO$14,((MONTH($A19)-1)*12)+VLOOKUP(BF$4,$DE$6:$DF$17,2)+1))*(VLOOKUP($A19,CURVES!$D$9:$T$261,6))*(INDEX(DailyScalarsTable,BF$5/100,MONTH($A19)))*$D19</f>
        <v>-6149.3434724145527</v>
      </c>
      <c r="BG19" s="1021">
        <f>(VLOOKUP(YEAR($A19),'NY East Load Projections'!$A$4:$EO$14,((MONTH($A19)-1)*12)+VLOOKUP(BG$4,$DE$6:$DF$17,2)+1))*(VLOOKUP($A19,CURVES!$D$9:$T$261,6))*(INDEX(DailyScalarsTable,BG$5/100,MONTH($A19)))*$D19</f>
        <v>-6029.5371293964472</v>
      </c>
      <c r="BH19" s="1021">
        <f>(VLOOKUP(YEAR($A19),'NY East Load Projections'!$A$4:$EO$14,((MONTH($A19)-1)*12)+VLOOKUP(BH$4,$DE$6:$DF$17,2)+1))*(VLOOKUP($A19,CURVES!$D$9:$T$261,6))*(INDEX(DailyScalarsTable,BH$5/100,MONTH($A19)))*$D19</f>
        <v>-5525.1698009136599</v>
      </c>
      <c r="BI19" s="1021">
        <f>(VLOOKUP(YEAR($A19),'NY East Load Projections'!$A$4:$EO$14,((MONTH($A19)-1)*12)+VLOOKUP(BI$4,$DE$6:$DF$17,2)+1))*(VLOOKUP($A19,CURVES!$D$9:$T$261,6))*(INDEX(DailyScalarsTable,BI$5/100,MONTH($A19)))*$D19</f>
        <v>-5521.8291976023884</v>
      </c>
      <c r="BJ19" s="1021">
        <f>(VLOOKUP(YEAR($A19),'NY East Load Projections'!$A$4:$EO$14,((MONTH($A19)-1)*12)+VLOOKUP(BJ$4,$DE$6:$DF$17,2)+1))*(VLOOKUP($A19,CURVES!$D$9:$T$261,6))*(INDEX(DailyScalarsTable,BJ$5/100,MONTH($A19)))*$D19</f>
        <v>-5770.2450554377247</v>
      </c>
      <c r="BK19" s="1021">
        <f>(VLOOKUP(YEAR($A19),'NY East Load Projections'!$A$4:$EO$14,((MONTH($A19)-1)*12)+VLOOKUP(BK$4,$DE$6:$DF$17,2)+1))*(VLOOKUP($A19,CURVES!$D$9:$T$261,6))*(INDEX(DailyScalarsTable,BK$5/100,MONTH($A19)))*$D19</f>
        <v>-6158.1091353602369</v>
      </c>
      <c r="BL19" s="1021">
        <f>(VLOOKUP(YEAR($A19),'NY East Load Projections'!$A$4:$EO$14,((MONTH($A19)-1)*12)+VLOOKUP(BL$4,$DE$6:$DF$17,2)+1))*(VLOOKUP($A19,CURVES!$D$9:$T$261,6))*(INDEX(DailyScalarsTable,BL$5/100,MONTH($A19)))*$D19</f>
        <v>-11792.704011703796</v>
      </c>
      <c r="BM19" s="1021">
        <f>(VLOOKUP(YEAR($A19),'NY East Load Projections'!$A$4:$EO$14,((MONTH($A19)-1)*12)+VLOOKUP(BM$4,$DE$6:$DF$17,2)+1))*(VLOOKUP($A19,SatSunCurve,6))*(INDEX(DailyScalarsTable,BM$5/100,MONTH($A19)))*$D19</f>
        <v>-8542.9522770546118</v>
      </c>
      <c r="BN19" s="1021">
        <f>(VLOOKUP(YEAR($A19),'NY East Load Projections'!$A$4:$EO$14,((MONTH($A19)-1)*12)+VLOOKUP(BN$4,$DE$6:$DF$17,2)+1))*(VLOOKUP($A19,SatSunCurve,6))*(INDEX(DailyScalarsTable,BN$5/100,MONTH($A19)))*$D19</f>
        <v>-9493.4186035028524</v>
      </c>
      <c r="BO19" s="1021">
        <f>(VLOOKUP(YEAR($A19),'NY East Load Projections'!$A$4:$EO$14,((MONTH($A19)-1)*12)+VLOOKUP(BO$4,$DE$6:$DF$17,2)+1))*(VLOOKUP($A19,SatSunCurve,6))*(INDEX(DailyScalarsTable,BO$5/100,MONTH($A19)))*$D19</f>
        <v>-9464.5244505075043</v>
      </c>
      <c r="BP19" s="1021">
        <f>(VLOOKUP(YEAR($A19),'NY East Load Projections'!$A$4:$EO$14,((MONTH($A19)-1)*12)+VLOOKUP(BP$4,$DE$6:$DF$17,2)+1))*(VLOOKUP($A19,SatSunCurve,6))*(INDEX(DailyScalarsTable,BP$5/100,MONTH($A19)))*$D19</f>
        <v>-9299.356085124502</v>
      </c>
      <c r="BQ19" s="1021">
        <f>(VLOOKUP(YEAR($A19),'NY East Load Projections'!$A$4:$EO$14,((MONTH($A19)-1)*12)+VLOOKUP(BQ$4,$DE$6:$DF$17,2)+1))*(VLOOKUP($A19,SatSunCurve,6))*(INDEX(DailyScalarsTable,BQ$5/100,MONTH($A19)))*$D19</f>
        <v>-6966.0975502309784</v>
      </c>
      <c r="BR19" s="1021">
        <f>(VLOOKUP(YEAR($A19),'NY East Load Projections'!$A$4:$EO$14,((MONTH($A19)-1)*12)+VLOOKUP(BR$4,$DE$6:$DF$17,2)+1))*(VLOOKUP($A19,SatSunCurve,6))*(INDEX(DailyScalarsTable,BR$5/100,MONTH($A19)))*$D19</f>
        <v>-6585.544963545598</v>
      </c>
      <c r="BS19" s="1021">
        <f>(VLOOKUP(YEAR($A19),'NY East Load Projections'!$A$4:$EO$14,((MONTH($A19)-1)*12)+VLOOKUP(BS$4,$DE$6:$DF$17,2)+1))*(VLOOKUP($A19,SatSunCurve,6))*(INDEX(DailyScalarsTable,BS$5/100,MONTH($A19)))*$D19</f>
        <v>-6372.9092113300412</v>
      </c>
      <c r="BT19" s="1021">
        <f>(VLOOKUP(YEAR($A19),'NY East Load Projections'!$A$4:$EO$14,((MONTH($A19)-1)*12)+VLOOKUP(BT$4,$DE$6:$DF$17,2)+1))*(VLOOKUP($A19,SatSunCurve,6))*(INDEX(DailyScalarsTable,BT$5/100,MONTH($A19)))*$D19</f>
        <v>-6048.562647262107</v>
      </c>
      <c r="BU19" s="1021">
        <f>(VLOOKUP(YEAR($A19),'NY East Load Projections'!$A$4:$EO$14,((MONTH($A19)-1)*12)+VLOOKUP(BU$4,$DE$6:$DF$17,2)+1))*(VLOOKUP($A19,SatSunCurve,6))*(INDEX(DailyScalarsTable,BU$5/100,MONTH($A19)))*$D19</f>
        <v>-5926.8363833126205</v>
      </c>
      <c r="BV19" s="1021">
        <f>(VLOOKUP(YEAR($A19),'NY East Load Projections'!$A$4:$EO$14,((MONTH($A19)-1)*12)+VLOOKUP(BV$4,$DE$6:$DF$17,2)+1))*(VLOOKUP($A19,SatSunCurve,6))*(INDEX(DailyScalarsTable,BV$5/100,MONTH($A19)))*$D19</f>
        <v>-6272.9824891384778</v>
      </c>
      <c r="BW19" s="1021">
        <f>(VLOOKUP(YEAR($A19),'NY East Load Projections'!$A$4:$EO$14,((MONTH($A19)-1)*12)+VLOOKUP(BW$4,$DE$6:$DF$17,2)+1))*(VLOOKUP($A19,SatSunCurve,6))*(INDEX(DailyScalarsTable,BW$5/100,MONTH($A19)))*$D19</f>
        <v>-8728.5826078718019</v>
      </c>
      <c r="BX19" s="1021">
        <f>(VLOOKUP(YEAR($A19),'NY East Load Projections'!$A$4:$EO$14,((MONTH($A19)-1)*12)+VLOOKUP(BX$4,$DE$6:$DF$17,2)+1))*(VLOOKUP($A19,SatSunCurve,6))*(INDEX(DailyScalarsTable,BX$5/100,MONTH($A19)))*$D19</f>
        <v>-9577.5743401652744</v>
      </c>
      <c r="BY19" s="1021">
        <f>(VLOOKUP(YEAR($A19),'NY East Load Projections'!$A$4:$EO$14,((MONTH($A19)-1)*12)+VLOOKUP(BY$4,$DE$6:$DF$17,2)+1))*(VLOOKUP($A19,SatSunCurve,6))*(INDEX(DailyScalarsTable,BY$5/100,MONTH($A19)))*$D19</f>
        <v>-9167.4005647604954</v>
      </c>
      <c r="BZ19" s="1021">
        <f>(VLOOKUP(YEAR($A19),'NY East Load Projections'!$A$4:$EO$14,((MONTH($A19)-1)*12)+VLOOKUP(BZ$4,$DE$6:$DF$17,2)+1))*(VLOOKUP($A19,SatSunCurve,6))*(INDEX(DailyScalarsTable,BZ$5/100,MONTH($A19)))*$D19</f>
        <v>-8535.7231768165675</v>
      </c>
      <c r="CA19" s="1021">
        <f>(VLOOKUP(YEAR($A19),'NY East Load Projections'!$A$4:$EO$14,((MONTH($A19)-1)*12)+VLOOKUP(CA$4,$DE$6:$DF$17,2)+1))*(VLOOKUP($A19,SatSunCurve,6))*(INDEX(DailyScalarsTable,CA$5/100,MONTH($A19)))*$D19</f>
        <v>-6070.8040189437424</v>
      </c>
      <c r="CB19" s="1021">
        <f>(VLOOKUP(YEAR($A19),'NY East Load Projections'!$A$4:$EO$14,((MONTH($A19)-1)*12)+VLOOKUP(CB$4,$DE$6:$DF$17,2)+1))*(VLOOKUP($A19,SatSunCurve,6))*(INDEX(DailyScalarsTable,CB$5/100,MONTH($A19)))*$D19</f>
        <v>-4969.7087069259487</v>
      </c>
      <c r="CC19" s="1021">
        <f>(VLOOKUP(YEAR($A19),'NY East Load Projections'!$A$4:$EO$14,((MONTH($A19)-1)*12)+VLOOKUP(CC$4,$DE$6:$DF$17,2)+1))*(VLOOKUP($A19,CURVES!$D$9:$T$261,6))*(INDEX(DailyScalarsTable,CC$5/100,MONTH($A19)))*$D19</f>
        <v>-7060.8212024724307</v>
      </c>
      <c r="CE19" s="1021">
        <f>(VLOOKUP(YEAR($A19),'NY East Load Projections'!$A$4:$EO$14,((MONTH($A19)-1)*12)+VLOOKUP(CE$4,$DE$6:$DF$17,2)+1))*(VLOOKUP($A19,CURVES!$D$9:$T$261,6))*(INDEX(DailyScalarsTable,CE$5/100,MONTH($A19)))*$E19</f>
        <v>0</v>
      </c>
      <c r="CF19" s="1021">
        <f>(VLOOKUP(YEAR($A19),'NY East Load Projections'!$A$4:$EO$14,((MONTH($A19)-1)*12)+VLOOKUP(CF$4,$DE$6:$DF$17,2)+1))*(VLOOKUP($A19,CURVES!$D$9:$T$261,6))*(INDEX(DailyScalarsTable,CF$5/100,MONTH($A19)))*$E19</f>
        <v>0</v>
      </c>
      <c r="CG19" s="1021">
        <f>(VLOOKUP(YEAR($A19),'NY East Load Projections'!$A$4:$EO$14,((MONTH($A19)-1)*12)+VLOOKUP(CG$4,$DE$6:$DF$17,2)+1))*(VLOOKUP($A19,CURVES!$D$9:$T$261,6))*(INDEX(DailyScalarsTable,CG$5/100,MONTH($A19)))*$E19</f>
        <v>0</v>
      </c>
      <c r="CH19" s="1021">
        <f>(VLOOKUP(YEAR($A19),'NY East Load Projections'!$A$4:$EO$14,((MONTH($A19)-1)*12)+VLOOKUP(CH$4,$DE$6:$DF$17,2)+1))*(VLOOKUP($A19,CURVES!$D$9:$T$261,6))*(INDEX(DailyScalarsTable,CH$5/100,MONTH($A19)))*$E19</f>
        <v>0</v>
      </c>
      <c r="CI19" s="1021">
        <f>(VLOOKUP(YEAR($A19),'NY East Load Projections'!$A$4:$EO$14,((MONTH($A19)-1)*12)+VLOOKUP(CI$4,$DE$6:$DF$17,2)+1))*(VLOOKUP($A19,CURVES!$D$9:$T$261,6))*(INDEX(DailyScalarsTable,CI$5/100,MONTH($A19)))*$E19</f>
        <v>0</v>
      </c>
      <c r="CJ19" s="1021">
        <f>(VLOOKUP(YEAR($A19),'NY East Load Projections'!$A$4:$EO$14,((MONTH($A19)-1)*12)+VLOOKUP(CJ$4,$DE$6:$DF$17,2)+1))*(VLOOKUP($A19,CURVES!$D$9:$T$261,6))*(INDEX(DailyScalarsTable,CJ$5/100,MONTH($A19)))*$E19</f>
        <v>0</v>
      </c>
      <c r="CK19" s="1021">
        <f>(VLOOKUP(YEAR($A19),'NY East Load Projections'!$A$4:$EO$14,((MONTH($A19)-1)*12)+VLOOKUP(CK$4,$DE$6:$DF$17,2)+1))*(VLOOKUP($A19,CURVES!$D$9:$T$261,6))*(INDEX(DailyScalarsTable,CK$5/100,MONTH($A19)))*$E19</f>
        <v>0</v>
      </c>
      <c r="CL19" s="1021">
        <f>(VLOOKUP(YEAR($A19),'NY East Load Projections'!$A$4:$EO$14,((MONTH($A19)-1)*12)+VLOOKUP(CL$4,$DE$6:$DF$17,2)+1))*(VLOOKUP($A19,SatSunCurve,6))*(INDEX(DailyScalarsTable,CL$5/100,MONTH($A19)))*$E19</f>
        <v>0</v>
      </c>
      <c r="CM19" s="1021">
        <f>(VLOOKUP(YEAR($A19),'NY East Load Projections'!$A$4:$EO$14,((MONTH($A19)-1)*12)+VLOOKUP(CM$4,$DE$6:$DF$17,2)+1))*(VLOOKUP($A19,SatSunCurve,6))*(INDEX(DailyScalarsTable,CM$5/100,MONTH($A19)))*$E19</f>
        <v>0</v>
      </c>
      <c r="CN19" s="1021">
        <f>(VLOOKUP(YEAR($A19),'NY East Load Projections'!$A$4:$EO$14,((MONTH($A19)-1)*12)+VLOOKUP(CN$4,$DE$6:$DF$17,2)+1))*(VLOOKUP($A19,SatSunCurve,6))*(INDEX(DailyScalarsTable,CN$5/100,MONTH($A19)))*$E19</f>
        <v>0</v>
      </c>
      <c r="CO19" s="1021">
        <f>(VLOOKUP(YEAR($A19),'NY East Load Projections'!$A$4:$EO$14,((MONTH($A19)-1)*12)+VLOOKUP(CO$4,$DE$6:$DF$17,2)+1))*(VLOOKUP($A19,SatSunCurve,6))*(INDEX(DailyScalarsTable,CO$5/100,MONTH($A19)))*$E19</f>
        <v>0</v>
      </c>
      <c r="CP19" s="1021">
        <f>(VLOOKUP(YEAR($A19),'NY East Load Projections'!$A$4:$EO$14,((MONTH($A19)-1)*12)+VLOOKUP(CP$4,$DE$6:$DF$17,2)+1))*(VLOOKUP($A19,SatSunCurve,6))*(INDEX(DailyScalarsTable,CP$5/100,MONTH($A19)))*$E19</f>
        <v>0</v>
      </c>
      <c r="CQ19" s="1021">
        <f>(VLOOKUP(YEAR($A19),'NY East Load Projections'!$A$4:$EO$14,((MONTH($A19)-1)*12)+VLOOKUP(CQ$4,$DE$6:$DF$17,2)+1))*(VLOOKUP($A19,SatSunCurve,6))*(INDEX(DailyScalarsTable,CQ$5/100,MONTH($A19)))*$E19</f>
        <v>0</v>
      </c>
      <c r="CR19" s="1021">
        <f>(VLOOKUP(YEAR($A19),'NY East Load Projections'!$A$4:$EO$14,((MONTH($A19)-1)*12)+VLOOKUP(CR$4,$DE$6:$DF$17,2)+1))*(VLOOKUP($A19,SatSunCurve,6))*(INDEX(DailyScalarsTable,CR$5/100,MONTH($A19)))*$E19</f>
        <v>0</v>
      </c>
      <c r="CS19" s="1021">
        <f>(VLOOKUP(YEAR($A19),'NY East Load Projections'!$A$4:$EO$14,((MONTH($A19)-1)*12)+VLOOKUP(CS$4,$DE$6:$DF$17,2)+1))*(VLOOKUP($A19,SatSunCurve,6))*(INDEX(DailyScalarsTable,CS$5/100,MONTH($A19)))*$E19</f>
        <v>0</v>
      </c>
      <c r="CT19" s="1021">
        <f>(VLOOKUP(YEAR($A19),'NY East Load Projections'!$A$4:$EO$14,((MONTH($A19)-1)*12)+VLOOKUP(CT$4,$DE$6:$DF$17,2)+1))*(VLOOKUP($A19,SatSunCurve,6))*(INDEX(DailyScalarsTable,CT$5/100,MONTH($A19)))*$E19</f>
        <v>0</v>
      </c>
      <c r="CU19" s="1021">
        <f>(VLOOKUP(YEAR($A19),'NY East Load Projections'!$A$4:$EO$14,((MONTH($A19)-1)*12)+VLOOKUP(CU$4,$DE$6:$DF$17,2)+1))*(VLOOKUP($A19,SatSunCurve,6))*(INDEX(DailyScalarsTable,CU$5/100,MONTH($A19)))*$E19</f>
        <v>0</v>
      </c>
      <c r="CV19" s="1021">
        <f>(VLOOKUP(YEAR($A19),'NY East Load Projections'!$A$4:$EO$14,((MONTH($A19)-1)*12)+VLOOKUP(CV$4,$DE$6:$DF$17,2)+1))*(VLOOKUP($A19,SatSunCurve,6))*(INDEX(DailyScalarsTable,CV$5/100,MONTH($A19)))*$E19</f>
        <v>0</v>
      </c>
      <c r="CW19" s="1021">
        <f>(VLOOKUP(YEAR($A19),'NY East Load Projections'!$A$4:$EO$14,((MONTH($A19)-1)*12)+VLOOKUP(CW$4,$DE$6:$DF$17,2)+1))*(VLOOKUP($A19,SatSunCurve,6))*(INDEX(DailyScalarsTable,CW$5/100,MONTH($A19)))*$E19</f>
        <v>0</v>
      </c>
      <c r="CX19" s="1021">
        <f>(VLOOKUP(YEAR($A19),'NY East Load Projections'!$A$4:$EO$14,((MONTH($A19)-1)*12)+VLOOKUP(CX$4,$DE$6:$DF$17,2)+1))*(VLOOKUP($A19,SatSunCurve,6))*(INDEX(DailyScalarsTable,CX$5/100,MONTH($A19)))*$E19</f>
        <v>0</v>
      </c>
      <c r="CY19" s="1021">
        <f>(VLOOKUP(YEAR($A19),'NY East Load Projections'!$A$4:$EO$14,((MONTH($A19)-1)*12)+VLOOKUP(CY$4,$DE$6:$DF$17,2)+1))*(VLOOKUP($A19,SatSunCurve,6))*(INDEX(DailyScalarsTable,CY$5/100,MONTH($A19)))*$E19</f>
        <v>0</v>
      </c>
      <c r="CZ19" s="1021">
        <f>(VLOOKUP(YEAR($A19),'NY East Load Projections'!$A$4:$EO$14,((MONTH($A19)-1)*12)+VLOOKUP(CZ$4,$DE$6:$DF$17,2)+1))*(VLOOKUP($A19,SatSunCurve,6))*(INDEX(DailyScalarsTable,CZ$5/100,MONTH($A19)))*$E19</f>
        <v>0</v>
      </c>
      <c r="DA19" s="1021">
        <f>(VLOOKUP(YEAR($A19),'NY East Load Projections'!$A$4:$EO$14,((MONTH($A19)-1)*12)+VLOOKUP(DA$4,$DE$6:$DF$17,2)+1))*(VLOOKUP($A19,SatSunCurve,6))*(INDEX(DailyScalarsTable,DA$5/100,MONTH($A19)))*$E19</f>
        <v>0</v>
      </c>
      <c r="DB19" s="1021">
        <f>(VLOOKUP(YEAR($A19),'NY East Load Projections'!$A$4:$EO$14,((MONTH($A19)-1)*12)+VLOOKUP(DB$4,$DE$6:$DF$17,2)+1))*(VLOOKUP($A19,CURVES!$D$9:$T$261,6))*(INDEX(DailyScalarsTable,DB$5/100,MONTH($A19)))*$E19</f>
        <v>0</v>
      </c>
      <c r="DH19" s="1021">
        <f t="shared" si="0"/>
        <v>-1582506.0579051087</v>
      </c>
      <c r="DI19">
        <f ca="1">CALC!J39</f>
        <v>0.86779501339320064</v>
      </c>
      <c r="DJ19" s="1029">
        <f t="shared" ca="1" si="1"/>
        <v>-1373290.8657145849</v>
      </c>
    </row>
    <row r="20" spans="1:114" x14ac:dyDescent="0.25">
      <c r="A20" s="244">
        <v>37316</v>
      </c>
      <c r="B20" s="13">
        <v>21</v>
      </c>
      <c r="C20" s="210">
        <v>5</v>
      </c>
      <c r="D20" s="210">
        <v>5</v>
      </c>
      <c r="E20" s="210">
        <v>0</v>
      </c>
      <c r="F20" s="13">
        <v>31</v>
      </c>
      <c r="H20" s="1021">
        <f>(VLOOKUP(YEAR($A20),'NY East Load Projections'!$A$4:$EO$14,((MONTH($A20)-1)*12)+VLOOKUP(H$4,$DE$6:$DF$17,2)+1))*(VLOOKUP($A20,CURVES!$D$9:$K$261,6))*(INDEX(DailyScalarsTable,H$5/100,MONTH($A20)))*$B20</f>
        <v>-25266.207255229383</v>
      </c>
      <c r="I20" s="1021">
        <f>(VLOOKUP(YEAR($A20),'NY East Load Projections'!$A$4:$EO$14,((MONTH($A20)-1)*12)+VLOOKUP(I$4,$DE$6:$DF$17,2)+1))*(VLOOKUP($A20,CURVES!$D$9:$K$261,6))*(INDEX(DailyScalarsTable,I$5/100,MONTH($A20)))*$B20</f>
        <v>-23890.319674305065</v>
      </c>
      <c r="J20" s="1021">
        <f>(VLOOKUP(YEAR($A20),'NY East Load Projections'!$A$4:$EO$14,((MONTH($A20)-1)*12)+VLOOKUP(J$4,$DE$6:$DF$17,2)+1))*(VLOOKUP($A20,CURVES!$D$9:$K$261,6))*(INDEX(DailyScalarsTable,J$5/100,MONTH($A20)))*$B20</f>
        <v>-22872.150645170768</v>
      </c>
      <c r="K20" s="1021">
        <f>(VLOOKUP(YEAR($A20),'NY East Load Projections'!$A$4:$EO$14,((MONTH($A20)-1)*12)+VLOOKUP(K$4,$DE$6:$DF$17,2)+1))*(VLOOKUP($A20,CURVES!$D$9:$K$261,6))*(INDEX(DailyScalarsTable,K$5/100,MONTH($A20)))*$B20</f>
        <v>-22886.508264243479</v>
      </c>
      <c r="L20" s="1021">
        <f>(VLOOKUP(YEAR($A20),'NY East Load Projections'!$A$4:$EO$14,((MONTH($A20)-1)*12)+VLOOKUP(L$4,$DE$6:$DF$17,2)+1))*(VLOOKUP($A20,CURVES!$D$9:$K$261,6))*(INDEX(DailyScalarsTable,L$5/100,MONTH($A20)))*$B20</f>
        <v>-26514.985577458014</v>
      </c>
      <c r="M20" s="1021">
        <f>(VLOOKUP(YEAR($A20),'NY East Load Projections'!$A$4:$EO$14,((MONTH($A20)-1)*12)+VLOOKUP(M$4,$DE$6:$DF$17,2)+1))*(VLOOKUP($A20,CURVES!$D$9:$K$261,6))*(INDEX(DailyScalarsTable,M$5/100,MONTH($A20)))*$B20</f>
        <v>-30777.887464426225</v>
      </c>
      <c r="N20" s="1021">
        <f>(VLOOKUP(YEAR($A20),'NY East Load Projections'!$A$4:$EO$14,((MONTH($A20)-1)*12)+VLOOKUP(N$4,$DE$6:$DF$17,2)+1))*(VLOOKUP($A20,CURVES!$D$9:$K$261,6))*(INDEX(DailyScalarsTable,N$5/100,MONTH($A20)))*$B20</f>
        <v>-55535.212338151148</v>
      </c>
      <c r="O20" s="1021">
        <f>(VLOOKUP(YEAR($A20),'NY East Load Projections'!$A$4:$EO$14,((MONTH($A20)-1)*12)+VLOOKUP(O$4,$DE$6:$DF$17,2)+1))*(VLOOKUP($A20,CURVES!$D$9:$K$261,2))*(INDEX(DailyScalarsTable,O$5/100,MONTH($A20)))*$B20</f>
        <v>-59461.292481672885</v>
      </c>
      <c r="P20" s="1021">
        <f>(VLOOKUP(YEAR($A20),'NY East Load Projections'!$A$4:$EO$14,((MONTH($A20)-1)*12)+VLOOKUP(P$4,$DE$6:$DF$17,2)+1))*(VLOOKUP($A20,CURVES!$D$9:$K$261,2))*(INDEX(DailyScalarsTable,P$5/100,MONTH($A20)))*$B20</f>
        <v>-65619.386715889283</v>
      </c>
      <c r="Q20" s="1021">
        <f>(VLOOKUP(YEAR($A20),'NY East Load Projections'!$A$4:$EO$14,((MONTH($A20)-1)*12)+VLOOKUP(Q$4,$DE$6:$DF$17,2)+1))*(VLOOKUP($A20,CURVES!$D$9:$K$261,2))*(INDEX(DailyScalarsTable,Q$5/100,MONTH($A20)))*$B20</f>
        <v>-65420.840916446345</v>
      </c>
      <c r="R20" s="1021">
        <f>(VLOOKUP(YEAR($A20),'NY East Load Projections'!$A$4:$EO$14,((MONTH($A20)-1)*12)+VLOOKUP(R$4,$DE$6:$DF$17,2)+1))*(VLOOKUP($A20,CURVES!$D$9:$K$261,2))*(INDEX(DailyScalarsTable,R$5/100,MONTH($A20)))*$B20</f>
        <v>-64268.172247458213</v>
      </c>
      <c r="S20" s="1021">
        <f>(VLOOKUP(YEAR($A20),'NY East Load Projections'!$A$4:$EO$14,((MONTH($A20)-1)*12)+VLOOKUP(S$4,$DE$6:$DF$17,2)+1))*(VLOOKUP($A20,CURVES!$D$9:$K$261,2))*(INDEX(DailyScalarsTable,S$5/100,MONTH($A20)))*$B20</f>
        <v>-49106.994395552036</v>
      </c>
      <c r="T20" s="1021">
        <f>(VLOOKUP(YEAR($A20),'NY East Load Projections'!$A$4:$EO$14,((MONTH($A20)-1)*12)+VLOOKUP(T$4,$DE$6:$DF$17,2)+1))*(VLOOKUP($A20,CURVES!$D$9:$K$261,2))*(INDEX(DailyScalarsTable,T$5/100,MONTH($A20)))*$B20</f>
        <v>-48278.386097567636</v>
      </c>
      <c r="U20" s="1021">
        <f>(VLOOKUP(YEAR($A20),'NY East Load Projections'!$A$4:$EO$14,((MONTH($A20)-1)*12)+VLOOKUP(U$4,$DE$6:$DF$17,2)+1))*(VLOOKUP($A20,CURVES!$D$9:$K$261,2))*(INDEX(DailyScalarsTable,U$5/100,MONTH($A20)))*$B20</f>
        <v>-46737.586541262288</v>
      </c>
      <c r="V20" s="1021">
        <f>(VLOOKUP(YEAR($A20),'NY East Load Projections'!$A$4:$EO$14,((MONTH($A20)-1)*12)+VLOOKUP(V$4,$DE$6:$DF$17,2)+1))*(VLOOKUP($A20,CURVES!$D$9:$K$261,2))*(INDEX(DailyScalarsTable,V$5/100,MONTH($A20)))*$B20</f>
        <v>-44387.308957187823</v>
      </c>
      <c r="W20" s="1021">
        <f>(VLOOKUP(YEAR($A20),'NY East Load Projections'!$A$4:$EO$14,((MONTH($A20)-1)*12)+VLOOKUP(W$4,$DE$6:$DF$17,2)+1))*(VLOOKUP($A20,CURVES!$D$9:$K$261,2))*(INDEX(DailyScalarsTable,W$5/100,MONTH($A20)))*$B20</f>
        <v>-43505.257037273892</v>
      </c>
      <c r="X20" s="1021">
        <f>(VLOOKUP(YEAR($A20),'NY East Load Projections'!$A$4:$EO$14,((MONTH($A20)-1)*12)+VLOOKUP(X$4,$DE$6:$DF$17,2)+1))*(VLOOKUP($A20,CURVES!$D$9:$K$261,2))*(INDEX(DailyScalarsTable,X$5/100,MONTH($A20)))*$B20</f>
        <v>-45603.867379150965</v>
      </c>
      <c r="Y20" s="1021">
        <f>(VLOOKUP(YEAR($A20),'NY East Load Projections'!$A$4:$EO$14,((MONTH($A20)-1)*12)+VLOOKUP(Y$4,$DE$6:$DF$17,2)+1))*(VLOOKUP($A20,CURVES!$D$9:$K$261,2))*(INDEX(DailyScalarsTable,Y$5/100,MONTH($A20)))*$B20</f>
        <v>-62173.91664932976</v>
      </c>
      <c r="Z20" s="1021">
        <f>(VLOOKUP(YEAR($A20),'NY East Load Projections'!$A$4:$EO$14,((MONTH($A20)-1)*12)+VLOOKUP(Z$4,$DE$6:$DF$17,2)+1))*(VLOOKUP($A20,CURVES!$D$9:$K$261,2))*(INDEX(DailyScalarsTable,Z$5/100,MONTH($A20)))*$B20</f>
        <v>-68271.608897766142</v>
      </c>
      <c r="AA20" s="1021">
        <f>(VLOOKUP(YEAR($A20),'NY East Load Projections'!$A$4:$EO$14,((MONTH($A20)-1)*12)+VLOOKUP(AA$4,$DE$6:$DF$17,2)+1))*(VLOOKUP($A20,CURVES!$D$9:$K$261,2))*(INDEX(DailyScalarsTable,AA$5/100,MONTH($A20)))*$B20</f>
        <v>-65324.748823477785</v>
      </c>
      <c r="AB20" s="1021">
        <f>(VLOOKUP(YEAR($A20),'NY East Load Projections'!$A$4:$EO$14,((MONTH($A20)-1)*12)+VLOOKUP(AB$4,$DE$6:$DF$17,2)+1))*(VLOOKUP($A20,CURVES!$D$9:$K$261,2))*(INDEX(DailyScalarsTable,AB$5/100,MONTH($A20)))*$B20</f>
        <v>-58511.550984347217</v>
      </c>
      <c r="AC20" s="1021">
        <f>(VLOOKUP(YEAR($A20),'NY East Load Projections'!$A$4:$EO$14,((MONTH($A20)-1)*12)+VLOOKUP(AC$4,$DE$6:$DF$17,2)+1))*(VLOOKUP($A20,CURVES!$D$9:$K$261,2))*(INDEX(DailyScalarsTable,AC$5/100,MONTH($A20)))*$B20</f>
        <v>-42487.42873415834</v>
      </c>
      <c r="AD20" s="1021">
        <f>(VLOOKUP(YEAR($A20),'NY East Load Projections'!$A$4:$EO$14,((MONTH($A20)-1)*12)+VLOOKUP(AD$4,$DE$6:$DF$17,2)+1))*(VLOOKUP($A20,CURVES!$D$9:$K$261,2))*(INDEX(DailyScalarsTable,AD$5/100,MONTH($A20)))*$B20</f>
        <v>-34873.926772174462</v>
      </c>
      <c r="AE20" s="1021">
        <f>(VLOOKUP(YEAR($A20),'NY East Load Projections'!$A$4:$EO$14,((MONTH($A20)-1)*12)+VLOOKUP(AE$4,$DE$6:$DF$17,2)+1))*(VLOOKUP($A20,CURVES!$D$9:$K$261,6))*(INDEX(DailyScalarsTable,AE$5/100,MONTH($A20)))*$B20</f>
        <v>-31541.500143543817</v>
      </c>
      <c r="AF20" s="1021"/>
      <c r="AG20" s="1021">
        <f>(VLOOKUP(YEAR($A20),'NY East Load Projections'!$A$4:$EO$14,((MONTH($A20)-1)*12)+VLOOKUP(AG$4,$DE$6:$DF$17,2)+1))*(VLOOKUP($A20,CURVES!$D$9:$T$261,6))*(INDEX(DailyScalarsTable,AG$5/100,MONTH($A20)))*$C20</f>
        <v>-6639.4432065748751</v>
      </c>
      <c r="AH20" s="1021">
        <f>(VLOOKUP(YEAR($A20),'NY East Load Projections'!$A$4:$EO$14,((MONTH($A20)-1)*12)+VLOOKUP(AH$4,$DE$6:$DF$17,2)+1))*(VLOOKUP($A20,CURVES!$D$9:$T$261,6))*(INDEX(DailyScalarsTable,AH$5/100,MONTH($A20)))*$C20</f>
        <v>-6277.8880526928842</v>
      </c>
      <c r="AI20" s="1021">
        <f>(VLOOKUP(YEAR($A20),'NY East Load Projections'!$A$4:$EO$14,((MONTH($A20)-1)*12)+VLOOKUP(AI$4,$DE$6:$DF$17,2)+1))*(VLOOKUP($A20,CURVES!$D$9:$T$261,6))*(INDEX(DailyScalarsTable,AI$5/100,MONTH($A20)))*$C20</f>
        <v>-6010.3340278508094</v>
      </c>
      <c r="AJ20" s="1021">
        <f>(VLOOKUP(YEAR($A20),'NY East Load Projections'!$A$4:$EO$14,((MONTH($A20)-1)*12)+VLOOKUP(AJ$4,$DE$6:$DF$17,2)+1))*(VLOOKUP($A20,CURVES!$D$9:$T$261,6))*(INDEX(DailyScalarsTable,AJ$5/100,MONTH($A20)))*$C20</f>
        <v>-6014.1069168899912</v>
      </c>
      <c r="AK20" s="1021">
        <f>(VLOOKUP(YEAR($A20),'NY East Load Projections'!$A$4:$EO$14,((MONTH($A20)-1)*12)+VLOOKUP(AK$4,$DE$6:$DF$17,2)+1))*(VLOOKUP($A20,CURVES!$D$9:$T$261,6))*(INDEX(DailyScalarsTable,AK$5/100,MONTH($A20)))*$C20</f>
        <v>-6557.2856505118953</v>
      </c>
      <c r="AL20" s="1021">
        <f>(VLOOKUP(YEAR($A20),'NY East Load Projections'!$A$4:$EO$14,((MONTH($A20)-1)*12)+VLOOKUP(AL$4,$DE$6:$DF$17,2)+1))*(VLOOKUP($A20,CURVES!$D$9:$T$261,6))*(INDEX(DailyScalarsTable,AL$5/100,MONTH($A20)))*$C20</f>
        <v>-7611.522142223258</v>
      </c>
      <c r="AM20" s="1021">
        <f>(VLOOKUP(YEAR($A20),'NY East Load Projections'!$A$4:$EO$14,((MONTH($A20)-1)*12)+VLOOKUP(AM$4,$DE$6:$DF$17,2)+1))*(VLOOKUP($A20,CURVES!$D$9:$T$261,6))*(INDEX(DailyScalarsTable,AM$5/100,MONTH($A20)))*$C20</f>
        <v>-13734.129701834883</v>
      </c>
      <c r="AN20" s="1021">
        <f>(VLOOKUP(YEAR($A20),'NY East Load Projections'!$A$4:$EO$14,((MONTH($A20)-1)*12)+VLOOKUP(AN$4,$DE$6:$DF$17,2)+1))*(VLOOKUP($A20,SatSunCurve,2))*(INDEX(DailyScalarsTable,AN$5/100,MONTH($A20)))*$C20</f>
        <v>-9189.4347580371941</v>
      </c>
      <c r="AO20" s="1021">
        <f>(VLOOKUP(YEAR($A20),'NY East Load Projections'!$A$4:$EO$14,((MONTH($A20)-1)*12)+VLOOKUP(AO$4,$DE$6:$DF$17,2)+1))*(VLOOKUP($A20,SatSunCurve,2))*(INDEX(DailyScalarsTable,AO$5/100,MONTH($A20)))*$C20</f>
        <v>-10139.66794937429</v>
      </c>
      <c r="AP20" s="1021">
        <f>(VLOOKUP(YEAR($A20),'NY East Load Projections'!$A$4:$EO$14,((MONTH($A20)-1)*12)+VLOOKUP(AP$4,$DE$6:$DF$17,2)+1))*(VLOOKUP($A20,SatSunCurve,2))*(INDEX(DailyScalarsTable,AP$5/100,MONTH($A20)))*$C20</f>
        <v>-10108.98816737921</v>
      </c>
      <c r="AQ20" s="1021">
        <f>(VLOOKUP(YEAR($A20),'NY East Load Projections'!$A$4:$EO$14,((MONTH($A20)-1)*12)+VLOOKUP(AQ$4,$DE$6:$DF$17,2)+1))*(VLOOKUP($A20,SatSunCurve,2))*(INDEX(DailyScalarsTable,AQ$5/100,MONTH($A20)))*$C20</f>
        <v>-9930.8749885744328</v>
      </c>
      <c r="AR20" s="1021">
        <f>(VLOOKUP(YEAR($A20),'NY East Load Projections'!$A$4:$EO$14,((MONTH($A20)-1)*12)+VLOOKUP(AR$4,$DE$6:$DF$17,2)+1))*(VLOOKUP($A20,SatSunCurve,2))*(INDEX(DailyScalarsTable,AR$5/100,MONTH($A20)))*$C20</f>
        <v>-7588.1327467833817</v>
      </c>
      <c r="AS20" s="1021">
        <f>(VLOOKUP(YEAR($A20),'NY East Load Projections'!$A$4:$EO$14,((MONTH($A20)-1)*12)+VLOOKUP(AS$4,$DE$6:$DF$17,2)+1))*(VLOOKUP($A20,SatSunCurve,2))*(INDEX(DailyScalarsTable,AS$5/100,MONTH($A20)))*$C20</f>
        <v>-7253.4370888677458</v>
      </c>
      <c r="AT20" s="1021">
        <f>(VLOOKUP(YEAR($A20),'NY East Load Projections'!$A$4:$EO$14,((MONTH($A20)-1)*12)+VLOOKUP(AT$4,$DE$6:$DF$17,2)+1))*(VLOOKUP($A20,SatSunCurve,2))*(INDEX(DailyScalarsTable,AT$5/100,MONTH($A20)))*$C20</f>
        <v>-7021.9444158187762</v>
      </c>
      <c r="AU20" s="1021">
        <f>(VLOOKUP(YEAR($A20),'NY East Load Projections'!$A$4:$EO$14,((MONTH($A20)-1)*12)+VLOOKUP(AU$4,$DE$6:$DF$17,2)+1))*(VLOOKUP($A20,SatSunCurve,2))*(INDEX(DailyScalarsTable,AU$5/100,MONTH($A20)))*$C20</f>
        <v>-6668.8342152621944</v>
      </c>
      <c r="AV20" s="1021">
        <f>(VLOOKUP(YEAR($A20),'NY East Load Projections'!$A$4:$EO$14,((MONTH($A20)-1)*12)+VLOOKUP(AV$4,$DE$6:$DF$17,2)+1))*(VLOOKUP($A20,SatSunCurve,2))*(INDEX(DailyScalarsTable,AV$5/100,MONTH($A20)))*$C20</f>
        <v>-6536.3130473573483</v>
      </c>
      <c r="AW20" s="1021">
        <f>(VLOOKUP(YEAR($A20),'NY East Load Projections'!$A$4:$EO$14,((MONTH($A20)-1)*12)+VLOOKUP(AW$4,$DE$6:$DF$17,2)+1))*(VLOOKUP($A20,SatSunCurve,2))*(INDEX(DailyScalarsTable,AW$5/100,MONTH($A20)))*$C20</f>
        <v>-6955.595174802269</v>
      </c>
      <c r="AX20" s="1021">
        <f>(VLOOKUP(YEAR($A20),'NY East Load Projections'!$A$4:$EO$14,((MONTH($A20)-1)*12)+VLOOKUP(AX$4,$DE$6:$DF$17,2)+1))*(VLOOKUP($A20,SatSunCurve,2))*(INDEX(DailyScalarsTable,AX$5/100,MONTH($A20)))*$C20</f>
        <v>-9482.8929978501292</v>
      </c>
      <c r="AY20" s="1021">
        <f>(VLOOKUP(YEAR($A20),'NY East Load Projections'!$A$4:$EO$14,((MONTH($A20)-1)*12)+VLOOKUP(AY$4,$DE$6:$DF$17,2)+1))*(VLOOKUP($A20,SatSunCurve,2))*(INDEX(DailyScalarsTable,AY$5/100,MONTH($A20)))*$C20</f>
        <v>-10412.925497682447</v>
      </c>
      <c r="AZ20" s="1021">
        <f>(VLOOKUP(YEAR($A20),'NY East Load Projections'!$A$4:$EO$14,((MONTH($A20)-1)*12)+VLOOKUP(AZ$4,$DE$6:$DF$17,2)+1))*(VLOOKUP($A20,SatSunCurve,2))*(INDEX(DailyScalarsTable,AZ$5/100,MONTH($A20)))*$C20</f>
        <v>-9963.4643688022152</v>
      </c>
      <c r="BA20" s="1021">
        <f>(VLOOKUP(YEAR($A20),'NY East Load Projections'!$A$4:$EO$14,((MONTH($A20)-1)*12)+VLOOKUP(BA$4,$DE$6:$DF$17,2)+1))*(VLOOKUP($A20,SatSunCurve,2))*(INDEX(DailyScalarsTable,BA$5/100,MONTH($A20)))*$C20</f>
        <v>-9209.5048724401713</v>
      </c>
      <c r="BB20" s="1021">
        <f>(VLOOKUP(YEAR($A20),'NY East Load Projections'!$A$4:$EO$14,((MONTH($A20)-1)*12)+VLOOKUP(BB$4,$DE$6:$DF$17,2)+1))*(VLOOKUP($A20,SatSunCurve,2))*(INDEX(DailyScalarsTable,BB$5/100,MONTH($A20)))*$C20</f>
        <v>-6687.3664321316937</v>
      </c>
      <c r="BC20" s="1021">
        <f>(VLOOKUP(YEAR($A20),'NY East Load Projections'!$A$4:$EO$14,((MONTH($A20)-1)*12)+VLOOKUP(BC$4,$DE$6:$DF$17,2)+1))*(VLOOKUP($A20,SatSunCurve,2))*(INDEX(DailyScalarsTable,BC$5/100,MONTH($A20)))*$C20</f>
        <v>-5489.0289716534953</v>
      </c>
      <c r="BD20" s="1021">
        <f>(VLOOKUP(YEAR($A20),'NY East Load Projections'!$A$4:$EO$14,((MONTH($A20)-1)*12)+VLOOKUP(BD$4,$DE$6:$DF$17,2)+1))*(VLOOKUP($A20,CURVES!$D$9:$T$261,6))*(INDEX(DailyScalarsTable,BD$5/100,MONTH($A20)))*$C20</f>
        <v>-7944.2933168155932</v>
      </c>
      <c r="BE20" s="1021"/>
      <c r="BF20" s="1021">
        <f>(VLOOKUP(YEAR($A20),'NY East Load Projections'!$A$4:$EO$14,((MONTH($A20)-1)*12)+VLOOKUP(BF$4,$DE$6:$DF$17,2)+1))*(VLOOKUP($A20,CURVES!$D$9:$T$261,6))*(INDEX(DailyScalarsTable,BF$5/100,MONTH($A20)))*$D20</f>
        <v>-6639.4432065748751</v>
      </c>
      <c r="BG20" s="1021">
        <f>(VLOOKUP(YEAR($A20),'NY East Load Projections'!$A$4:$EO$14,((MONTH($A20)-1)*12)+VLOOKUP(BG$4,$DE$6:$DF$17,2)+1))*(VLOOKUP($A20,CURVES!$D$9:$T$261,6))*(INDEX(DailyScalarsTable,BG$5/100,MONTH($A20)))*$D20</f>
        <v>-6277.8880526928842</v>
      </c>
      <c r="BH20" s="1021">
        <f>(VLOOKUP(YEAR($A20),'NY East Load Projections'!$A$4:$EO$14,((MONTH($A20)-1)*12)+VLOOKUP(BH$4,$DE$6:$DF$17,2)+1))*(VLOOKUP($A20,CURVES!$D$9:$T$261,6))*(INDEX(DailyScalarsTable,BH$5/100,MONTH($A20)))*$D20</f>
        <v>-6010.3340278508094</v>
      </c>
      <c r="BI20" s="1021">
        <f>(VLOOKUP(YEAR($A20),'NY East Load Projections'!$A$4:$EO$14,((MONTH($A20)-1)*12)+VLOOKUP(BI$4,$DE$6:$DF$17,2)+1))*(VLOOKUP($A20,CURVES!$D$9:$T$261,6))*(INDEX(DailyScalarsTable,BI$5/100,MONTH($A20)))*$D20</f>
        <v>-6014.1069168899912</v>
      </c>
      <c r="BJ20" s="1021">
        <f>(VLOOKUP(YEAR($A20),'NY East Load Projections'!$A$4:$EO$14,((MONTH($A20)-1)*12)+VLOOKUP(BJ$4,$DE$6:$DF$17,2)+1))*(VLOOKUP($A20,CURVES!$D$9:$T$261,6))*(INDEX(DailyScalarsTable,BJ$5/100,MONTH($A20)))*$D20</f>
        <v>-6557.2856505118953</v>
      </c>
      <c r="BK20" s="1021">
        <f>(VLOOKUP(YEAR($A20),'NY East Load Projections'!$A$4:$EO$14,((MONTH($A20)-1)*12)+VLOOKUP(BK$4,$DE$6:$DF$17,2)+1))*(VLOOKUP($A20,CURVES!$D$9:$T$261,6))*(INDEX(DailyScalarsTable,BK$5/100,MONTH($A20)))*$D20</f>
        <v>-7611.522142223258</v>
      </c>
      <c r="BL20" s="1021">
        <f>(VLOOKUP(YEAR($A20),'NY East Load Projections'!$A$4:$EO$14,((MONTH($A20)-1)*12)+VLOOKUP(BL$4,$DE$6:$DF$17,2)+1))*(VLOOKUP($A20,CURVES!$D$9:$T$261,6))*(INDEX(DailyScalarsTable,BL$5/100,MONTH($A20)))*$D20</f>
        <v>-13734.129701834883</v>
      </c>
      <c r="BM20" s="1021">
        <f>(VLOOKUP(YEAR($A20),'NY East Load Projections'!$A$4:$EO$14,((MONTH($A20)-1)*12)+VLOOKUP(BM$4,$DE$6:$DF$17,2)+1))*(VLOOKUP($A20,SatSunCurve,6))*(INDEX(DailyScalarsTable,BM$5/100,MONTH($A20)))*$D20</f>
        <v>-7829.7760110366735</v>
      </c>
      <c r="BN20" s="1021">
        <f>(VLOOKUP(YEAR($A20),'NY East Load Projections'!$A$4:$EO$14,((MONTH($A20)-1)*12)+VLOOKUP(BN$4,$DE$6:$DF$17,2)+1))*(VLOOKUP($A20,SatSunCurve,6))*(INDEX(DailyScalarsTable,BN$5/100,MONTH($A20)))*$D20</f>
        <v>-8639.4137354804734</v>
      </c>
      <c r="BO20" s="1021">
        <f>(VLOOKUP(YEAR($A20),'NY East Load Projections'!$A$4:$EO$14,((MONTH($A20)-1)*12)+VLOOKUP(BO$4,$DE$6:$DF$17,2)+1))*(VLOOKUP($A20,SatSunCurve,6))*(INDEX(DailyScalarsTable,BO$5/100,MONTH($A20)))*$D20</f>
        <v>-8613.2733005773553</v>
      </c>
      <c r="BP20" s="1021">
        <f>(VLOOKUP(YEAR($A20),'NY East Load Projections'!$A$4:$EO$14,((MONTH($A20)-1)*12)+VLOOKUP(BP$4,$DE$6:$DF$17,2)+1))*(VLOOKUP($A20,SatSunCurve,6))*(INDEX(DailyScalarsTable,BP$5/100,MONTH($A20)))*$D20</f>
        <v>-8461.5135535009213</v>
      </c>
      <c r="BQ20" s="1021">
        <f>(VLOOKUP(YEAR($A20),'NY East Load Projections'!$A$4:$EO$14,((MONTH($A20)-1)*12)+VLOOKUP(BQ$4,$DE$6:$DF$17,2)+1))*(VLOOKUP($A20,SatSunCurve,6))*(INDEX(DailyScalarsTable,BQ$5/100,MONTH($A20)))*$D20</f>
        <v>-6465.4008993711668</v>
      </c>
      <c r="BR20" s="1021">
        <f>(VLOOKUP(YEAR($A20),'NY East Load Projections'!$A$4:$EO$14,((MONTH($A20)-1)*12)+VLOOKUP(BR$4,$DE$6:$DF$17,2)+1))*(VLOOKUP($A20,SatSunCurve,6))*(INDEX(DailyScalarsTable,BR$5/100,MONTH($A20)))*$D20</f>
        <v>-6180.2264460617316</v>
      </c>
      <c r="BS20" s="1021">
        <f>(VLOOKUP(YEAR($A20),'NY East Load Projections'!$A$4:$EO$14,((MONTH($A20)-1)*12)+VLOOKUP(BS$4,$DE$6:$DF$17,2)+1))*(VLOOKUP($A20,SatSunCurve,6))*(INDEX(DailyScalarsTable,BS$5/100,MONTH($A20)))*$D20</f>
        <v>-5982.9851765065705</v>
      </c>
      <c r="BT20" s="1021">
        <f>(VLOOKUP(YEAR($A20),'NY East Load Projections'!$A$4:$EO$14,((MONTH($A20)-1)*12)+VLOOKUP(BT$4,$DE$6:$DF$17,2)+1))*(VLOOKUP($A20,SatSunCurve,6))*(INDEX(DailyScalarsTable,BT$5/100,MONTH($A20)))*$D20</f>
        <v>-5682.1207762068479</v>
      </c>
      <c r="BU20" s="1021">
        <f>(VLOOKUP(YEAR($A20),'NY East Load Projections'!$A$4:$EO$14,((MONTH($A20)-1)*12)+VLOOKUP(BU$4,$DE$6:$DF$17,2)+1))*(VLOOKUP($A20,SatSunCurve,6))*(INDEX(DailyScalarsTable,BU$5/100,MONTH($A20)))*$D20</f>
        <v>-5569.2072958093286</v>
      </c>
      <c r="BV20" s="1021">
        <f>(VLOOKUP(YEAR($A20),'NY East Load Projections'!$A$4:$EO$14,((MONTH($A20)-1)*12)+VLOOKUP(BV$4,$DE$6:$DF$17,2)+1))*(VLOOKUP($A20,SatSunCurve,6))*(INDEX(DailyScalarsTable,BV$5/100,MONTH($A20)))*$D20</f>
        <v>-5926.4528968462591</v>
      </c>
      <c r="BW20" s="1021">
        <f>(VLOOKUP(YEAR($A20),'NY East Load Projections'!$A$4:$EO$14,((MONTH($A20)-1)*12)+VLOOKUP(BW$4,$DE$6:$DF$17,2)+1))*(VLOOKUP($A20,SatSunCurve,6))*(INDEX(DailyScalarsTable,BW$5/100,MONTH($A20)))*$D20</f>
        <v>-8079.8144896622207</v>
      </c>
      <c r="BX20" s="1021">
        <f>(VLOOKUP(YEAR($A20),'NY East Load Projections'!$A$4:$EO$14,((MONTH($A20)-1)*12)+VLOOKUP(BX$4,$DE$6:$DF$17,2)+1))*(VLOOKUP($A20,SatSunCurve,6))*(INDEX(DailyScalarsTable,BX$5/100,MONTH($A20)))*$D20</f>
        <v>-8872.240394890252</v>
      </c>
      <c r="BY20" s="1021">
        <f>(VLOOKUP(YEAR($A20),'NY East Load Projections'!$A$4:$EO$14,((MONTH($A20)-1)*12)+VLOOKUP(BY$4,$DE$6:$DF$17,2)+1))*(VLOOKUP($A20,SatSunCurve,6))*(INDEX(DailyScalarsTable,BY$5/100,MONTH($A20)))*$D20</f>
        <v>-8489.2810445643809</v>
      </c>
      <c r="BZ20" s="1021">
        <f>(VLOOKUP(YEAR($A20),'NY East Load Projections'!$A$4:$EO$14,((MONTH($A20)-1)*12)+VLOOKUP(BZ$4,$DE$6:$DF$17,2)+1))*(VLOOKUP($A20,SatSunCurve,6))*(INDEX(DailyScalarsTable,BZ$5/100,MONTH($A20)))*$D20</f>
        <v>-7846.8765731962503</v>
      </c>
      <c r="CA20" s="1021">
        <f>(VLOOKUP(YEAR($A20),'NY East Load Projections'!$A$4:$EO$14,((MONTH($A20)-1)*12)+VLOOKUP(CA$4,$DE$6:$DF$17,2)+1))*(VLOOKUP($A20,SatSunCurve,6))*(INDEX(DailyScalarsTable,CA$5/100,MONTH($A20)))*$D20</f>
        <v>-5697.910986475139</v>
      </c>
      <c r="CB20" s="1021">
        <f>(VLOOKUP(YEAR($A20),'NY East Load Projections'!$A$4:$EO$14,((MONTH($A20)-1)*12)+VLOOKUP(CB$4,$DE$6:$DF$17,2)+1))*(VLOOKUP($A20,SatSunCurve,6))*(INDEX(DailyScalarsTable,CB$5/100,MONTH($A20)))*$D20</f>
        <v>-4676.8782300292032</v>
      </c>
      <c r="CC20" s="1021">
        <f>(VLOOKUP(YEAR($A20),'NY East Load Projections'!$A$4:$EO$14,((MONTH($A20)-1)*12)+VLOOKUP(CC$4,$DE$6:$DF$17,2)+1))*(VLOOKUP($A20,CURVES!$D$9:$T$261,6))*(INDEX(DailyScalarsTable,CC$5/100,MONTH($A20)))*$D20</f>
        <v>-7944.2933168155932</v>
      </c>
      <c r="CE20" s="1021">
        <f>(VLOOKUP(YEAR($A20),'NY East Load Projections'!$A$4:$EO$14,((MONTH($A20)-1)*12)+VLOOKUP(CE$4,$DE$6:$DF$17,2)+1))*(VLOOKUP($A20,CURVES!$D$9:$T$261,6))*(INDEX(DailyScalarsTable,CE$5/100,MONTH($A20)))*$E20</f>
        <v>0</v>
      </c>
      <c r="CF20" s="1021">
        <f>(VLOOKUP(YEAR($A20),'NY East Load Projections'!$A$4:$EO$14,((MONTH($A20)-1)*12)+VLOOKUP(CF$4,$DE$6:$DF$17,2)+1))*(VLOOKUP($A20,CURVES!$D$9:$T$261,6))*(INDEX(DailyScalarsTable,CF$5/100,MONTH($A20)))*$E20</f>
        <v>0</v>
      </c>
      <c r="CG20" s="1021">
        <f>(VLOOKUP(YEAR($A20),'NY East Load Projections'!$A$4:$EO$14,((MONTH($A20)-1)*12)+VLOOKUP(CG$4,$DE$6:$DF$17,2)+1))*(VLOOKUP($A20,CURVES!$D$9:$T$261,6))*(INDEX(DailyScalarsTable,CG$5/100,MONTH($A20)))*$E20</f>
        <v>0</v>
      </c>
      <c r="CH20" s="1021">
        <f>(VLOOKUP(YEAR($A20),'NY East Load Projections'!$A$4:$EO$14,((MONTH($A20)-1)*12)+VLOOKUP(CH$4,$DE$6:$DF$17,2)+1))*(VLOOKUP($A20,CURVES!$D$9:$T$261,6))*(INDEX(DailyScalarsTable,CH$5/100,MONTH($A20)))*$E20</f>
        <v>0</v>
      </c>
      <c r="CI20" s="1021">
        <f>(VLOOKUP(YEAR($A20),'NY East Load Projections'!$A$4:$EO$14,((MONTH($A20)-1)*12)+VLOOKUP(CI$4,$DE$6:$DF$17,2)+1))*(VLOOKUP($A20,CURVES!$D$9:$T$261,6))*(INDEX(DailyScalarsTable,CI$5/100,MONTH($A20)))*$E20</f>
        <v>0</v>
      </c>
      <c r="CJ20" s="1021">
        <f>(VLOOKUP(YEAR($A20),'NY East Load Projections'!$A$4:$EO$14,((MONTH($A20)-1)*12)+VLOOKUP(CJ$4,$DE$6:$DF$17,2)+1))*(VLOOKUP($A20,CURVES!$D$9:$T$261,6))*(INDEX(DailyScalarsTable,CJ$5/100,MONTH($A20)))*$E20</f>
        <v>0</v>
      </c>
      <c r="CK20" s="1021">
        <f>(VLOOKUP(YEAR($A20),'NY East Load Projections'!$A$4:$EO$14,((MONTH($A20)-1)*12)+VLOOKUP(CK$4,$DE$6:$DF$17,2)+1))*(VLOOKUP($A20,CURVES!$D$9:$T$261,6))*(INDEX(DailyScalarsTable,CK$5/100,MONTH($A20)))*$E20</f>
        <v>0</v>
      </c>
      <c r="CL20" s="1021">
        <f>(VLOOKUP(YEAR($A20),'NY East Load Projections'!$A$4:$EO$14,((MONTH($A20)-1)*12)+VLOOKUP(CL$4,$DE$6:$DF$17,2)+1))*(VLOOKUP($A20,SatSunCurve,6))*(INDEX(DailyScalarsTable,CL$5/100,MONTH($A20)))*$E20</f>
        <v>0</v>
      </c>
      <c r="CM20" s="1021">
        <f>(VLOOKUP(YEAR($A20),'NY East Load Projections'!$A$4:$EO$14,((MONTH($A20)-1)*12)+VLOOKUP(CM$4,$DE$6:$DF$17,2)+1))*(VLOOKUP($A20,SatSunCurve,6))*(INDEX(DailyScalarsTable,CM$5/100,MONTH($A20)))*$E20</f>
        <v>0</v>
      </c>
      <c r="CN20" s="1021">
        <f>(VLOOKUP(YEAR($A20),'NY East Load Projections'!$A$4:$EO$14,((MONTH($A20)-1)*12)+VLOOKUP(CN$4,$DE$6:$DF$17,2)+1))*(VLOOKUP($A20,SatSunCurve,6))*(INDEX(DailyScalarsTable,CN$5/100,MONTH($A20)))*$E20</f>
        <v>0</v>
      </c>
      <c r="CO20" s="1021">
        <f>(VLOOKUP(YEAR($A20),'NY East Load Projections'!$A$4:$EO$14,((MONTH($A20)-1)*12)+VLOOKUP(CO$4,$DE$6:$DF$17,2)+1))*(VLOOKUP($A20,SatSunCurve,6))*(INDEX(DailyScalarsTable,CO$5/100,MONTH($A20)))*$E20</f>
        <v>0</v>
      </c>
      <c r="CP20" s="1021">
        <f>(VLOOKUP(YEAR($A20),'NY East Load Projections'!$A$4:$EO$14,((MONTH($A20)-1)*12)+VLOOKUP(CP$4,$DE$6:$DF$17,2)+1))*(VLOOKUP($A20,SatSunCurve,6))*(INDEX(DailyScalarsTable,CP$5/100,MONTH($A20)))*$E20</f>
        <v>0</v>
      </c>
      <c r="CQ20" s="1021">
        <f>(VLOOKUP(YEAR($A20),'NY East Load Projections'!$A$4:$EO$14,((MONTH($A20)-1)*12)+VLOOKUP(CQ$4,$DE$6:$DF$17,2)+1))*(VLOOKUP($A20,SatSunCurve,6))*(INDEX(DailyScalarsTable,CQ$5/100,MONTH($A20)))*$E20</f>
        <v>0</v>
      </c>
      <c r="CR20" s="1021">
        <f>(VLOOKUP(YEAR($A20),'NY East Load Projections'!$A$4:$EO$14,((MONTH($A20)-1)*12)+VLOOKUP(CR$4,$DE$6:$DF$17,2)+1))*(VLOOKUP($A20,SatSunCurve,6))*(INDEX(DailyScalarsTable,CR$5/100,MONTH($A20)))*$E20</f>
        <v>0</v>
      </c>
      <c r="CS20" s="1021">
        <f>(VLOOKUP(YEAR($A20),'NY East Load Projections'!$A$4:$EO$14,((MONTH($A20)-1)*12)+VLOOKUP(CS$4,$DE$6:$DF$17,2)+1))*(VLOOKUP($A20,SatSunCurve,6))*(INDEX(DailyScalarsTable,CS$5/100,MONTH($A20)))*$E20</f>
        <v>0</v>
      </c>
      <c r="CT20" s="1021">
        <f>(VLOOKUP(YEAR($A20),'NY East Load Projections'!$A$4:$EO$14,((MONTH($A20)-1)*12)+VLOOKUP(CT$4,$DE$6:$DF$17,2)+1))*(VLOOKUP($A20,SatSunCurve,6))*(INDEX(DailyScalarsTable,CT$5/100,MONTH($A20)))*$E20</f>
        <v>0</v>
      </c>
      <c r="CU20" s="1021">
        <f>(VLOOKUP(YEAR($A20),'NY East Load Projections'!$A$4:$EO$14,((MONTH($A20)-1)*12)+VLOOKUP(CU$4,$DE$6:$DF$17,2)+1))*(VLOOKUP($A20,SatSunCurve,6))*(INDEX(DailyScalarsTable,CU$5/100,MONTH($A20)))*$E20</f>
        <v>0</v>
      </c>
      <c r="CV20" s="1021">
        <f>(VLOOKUP(YEAR($A20),'NY East Load Projections'!$A$4:$EO$14,((MONTH($A20)-1)*12)+VLOOKUP(CV$4,$DE$6:$DF$17,2)+1))*(VLOOKUP($A20,SatSunCurve,6))*(INDEX(DailyScalarsTable,CV$5/100,MONTH($A20)))*$E20</f>
        <v>0</v>
      </c>
      <c r="CW20" s="1021">
        <f>(VLOOKUP(YEAR($A20),'NY East Load Projections'!$A$4:$EO$14,((MONTH($A20)-1)*12)+VLOOKUP(CW$4,$DE$6:$DF$17,2)+1))*(VLOOKUP($A20,SatSunCurve,6))*(INDEX(DailyScalarsTable,CW$5/100,MONTH($A20)))*$E20</f>
        <v>0</v>
      </c>
      <c r="CX20" s="1021">
        <f>(VLOOKUP(YEAR($A20),'NY East Load Projections'!$A$4:$EO$14,((MONTH($A20)-1)*12)+VLOOKUP(CX$4,$DE$6:$DF$17,2)+1))*(VLOOKUP($A20,SatSunCurve,6))*(INDEX(DailyScalarsTable,CX$5/100,MONTH($A20)))*$E20</f>
        <v>0</v>
      </c>
      <c r="CY20" s="1021">
        <f>(VLOOKUP(YEAR($A20),'NY East Load Projections'!$A$4:$EO$14,((MONTH($A20)-1)*12)+VLOOKUP(CY$4,$DE$6:$DF$17,2)+1))*(VLOOKUP($A20,SatSunCurve,6))*(INDEX(DailyScalarsTable,CY$5/100,MONTH($A20)))*$E20</f>
        <v>0</v>
      </c>
      <c r="CZ20" s="1021">
        <f>(VLOOKUP(YEAR($A20),'NY East Load Projections'!$A$4:$EO$14,((MONTH($A20)-1)*12)+VLOOKUP(CZ$4,$DE$6:$DF$17,2)+1))*(VLOOKUP($A20,SatSunCurve,6))*(INDEX(DailyScalarsTable,CZ$5/100,MONTH($A20)))*$E20</f>
        <v>0</v>
      </c>
      <c r="DA20" s="1021">
        <f>(VLOOKUP(YEAR($A20),'NY East Load Projections'!$A$4:$EO$14,((MONTH($A20)-1)*12)+VLOOKUP(DA$4,$DE$6:$DF$17,2)+1))*(VLOOKUP($A20,SatSunCurve,6))*(INDEX(DailyScalarsTable,DA$5/100,MONTH($A20)))*$E20</f>
        <v>0</v>
      </c>
      <c r="DB20" s="1021">
        <f>(VLOOKUP(YEAR($A20),'NY East Load Projections'!$A$4:$EO$14,((MONTH($A20)-1)*12)+VLOOKUP(DB$4,$DE$6:$DF$17,2)+1))*(VLOOKUP($A20,CURVES!$D$9:$T$261,6))*(INDEX(DailyScalarsTable,DB$5/100,MONTH($A20)))*$E20</f>
        <v>0</v>
      </c>
      <c r="DH20" s="1021">
        <f t="shared" si="0"/>
        <v>-1470546.8285270629</v>
      </c>
      <c r="DI20">
        <f ca="1">CALC!J40</f>
        <v>0.86238789707049279</v>
      </c>
      <c r="DJ20" s="1029">
        <f t="shared" ca="1" si="1"/>
        <v>-1268181.7869971364</v>
      </c>
    </row>
    <row r="21" spans="1:114" x14ac:dyDescent="0.25">
      <c r="A21" s="244">
        <v>37347</v>
      </c>
      <c r="B21" s="13">
        <v>22</v>
      </c>
      <c r="C21" s="210">
        <v>4</v>
      </c>
      <c r="D21" s="210">
        <v>4</v>
      </c>
      <c r="E21" s="210">
        <v>0</v>
      </c>
      <c r="F21" s="13">
        <v>30</v>
      </c>
      <c r="H21" s="1021">
        <f>(VLOOKUP(YEAR($A21),'NY East Load Projections'!$A$4:$EO$14,((MONTH($A21)-1)*12)+VLOOKUP(H$4,$DE$6:$DF$17,2)+1))*(VLOOKUP($A21,CURVES!$D$9:$K$261,6))*(INDEX(DailyScalarsTable,H$5/100,MONTH($A21)))*$B21</f>
        <v>-31206.660763964832</v>
      </c>
      <c r="I21" s="1021">
        <f>(VLOOKUP(YEAR($A21),'NY East Load Projections'!$A$4:$EO$14,((MONTH($A21)-1)*12)+VLOOKUP(I$4,$DE$6:$DF$17,2)+1))*(VLOOKUP($A21,CURVES!$D$9:$K$261,6))*(INDEX(DailyScalarsTable,I$5/100,MONTH($A21)))*$B21</f>
        <v>-29598.637436048422</v>
      </c>
      <c r="J21" s="1021">
        <f>(VLOOKUP(YEAR($A21),'NY East Load Projections'!$A$4:$EO$14,((MONTH($A21)-1)*12)+VLOOKUP(J$4,$DE$6:$DF$17,2)+1))*(VLOOKUP($A21,CURVES!$D$9:$K$261,6))*(INDEX(DailyScalarsTable,J$5/100,MONTH($A21)))*$B21</f>
        <v>-28408.68589254365</v>
      </c>
      <c r="K21" s="1021">
        <f>(VLOOKUP(YEAR($A21),'NY East Load Projections'!$A$4:$EO$14,((MONTH($A21)-1)*12)+VLOOKUP(K$4,$DE$6:$DF$17,2)+1))*(VLOOKUP($A21,CURVES!$D$9:$K$261,6))*(INDEX(DailyScalarsTable,K$5/100,MONTH($A21)))*$B21</f>
        <v>-28425.46588730656</v>
      </c>
      <c r="L21" s="1021">
        <f>(VLOOKUP(YEAR($A21),'NY East Load Projections'!$A$4:$EO$14,((MONTH($A21)-1)*12)+VLOOKUP(L$4,$DE$6:$DF$17,2)+1))*(VLOOKUP($A21,CURVES!$D$9:$K$261,6))*(INDEX(DailyScalarsTable,L$5/100,MONTH($A21)))*$B21</f>
        <v>-32672.505029764096</v>
      </c>
      <c r="M21" s="1021">
        <f>(VLOOKUP(YEAR($A21),'NY East Load Projections'!$A$4:$EO$14,((MONTH($A21)-1)*12)+VLOOKUP(M$4,$DE$6:$DF$17,2)+1))*(VLOOKUP($A21,CURVES!$D$9:$K$261,6))*(INDEX(DailyScalarsTable,M$5/100,MONTH($A21)))*$B21</f>
        <v>-37635.954488575655</v>
      </c>
      <c r="N21" s="1021">
        <f>(VLOOKUP(YEAR($A21),'NY East Load Projections'!$A$4:$EO$14,((MONTH($A21)-1)*12)+VLOOKUP(N$4,$DE$6:$DF$17,2)+1))*(VLOOKUP($A21,CURVES!$D$9:$K$261,6))*(INDEX(DailyScalarsTable,N$5/100,MONTH($A21)))*$B21</f>
        <v>-53679.805182576732</v>
      </c>
      <c r="O21" s="1021">
        <f>(VLOOKUP(YEAR($A21),'NY East Load Projections'!$A$4:$EO$14,((MONTH($A21)-1)*12)+VLOOKUP(O$4,$DE$6:$DF$17,2)+1))*(VLOOKUP($A21,CURVES!$D$9:$K$261,2))*(INDEX(DailyScalarsTable,O$5/100,MONTH($A21)))*$B21</f>
        <v>-65912.117444667543</v>
      </c>
      <c r="P21" s="1021">
        <f>(VLOOKUP(YEAR($A21),'NY East Load Projections'!$A$4:$EO$14,((MONTH($A21)-1)*12)+VLOOKUP(P$4,$DE$6:$DF$17,2)+1))*(VLOOKUP($A21,CURVES!$D$9:$K$261,2))*(INDEX(DailyScalarsTable,P$5/100,MONTH($A21)))*$B21</f>
        <v>-70794.414744604219</v>
      </c>
      <c r="Q21" s="1021">
        <f>(VLOOKUP(YEAR($A21),'NY East Load Projections'!$A$4:$EO$14,((MONTH($A21)-1)*12)+VLOOKUP(Q$4,$DE$6:$DF$17,2)+1))*(VLOOKUP($A21,CURVES!$D$9:$K$261,2))*(INDEX(DailyScalarsTable,Q$5/100,MONTH($A21)))*$B21</f>
        <v>-67846.228216035393</v>
      </c>
      <c r="R21" s="1021">
        <f>(VLOOKUP(YEAR($A21),'NY East Load Projections'!$A$4:$EO$14,((MONTH($A21)-1)*12)+VLOOKUP(R$4,$DE$6:$DF$17,2)+1))*(VLOOKUP($A21,CURVES!$D$9:$K$261,2))*(INDEX(DailyScalarsTable,R$5/100,MONTH($A21)))*$B21</f>
        <v>-69244.94454740177</v>
      </c>
      <c r="S21" s="1021">
        <f>(VLOOKUP(YEAR($A21),'NY East Load Projections'!$A$4:$EO$14,((MONTH($A21)-1)*12)+VLOOKUP(S$4,$DE$6:$DF$17,2)+1))*(VLOOKUP($A21,CURVES!$D$9:$K$261,2))*(INDEX(DailyScalarsTable,S$5/100,MONTH($A21)))*$B21</f>
        <v>-69380.722863651492</v>
      </c>
      <c r="T21" s="1021">
        <f>(VLOOKUP(YEAR($A21),'NY East Load Projections'!$A$4:$EO$14,((MONTH($A21)-1)*12)+VLOOKUP(T$4,$DE$6:$DF$17,2)+1))*(VLOOKUP($A21,CURVES!$D$9:$K$261,2))*(INDEX(DailyScalarsTable,T$5/100,MONTH($A21)))*$B21</f>
        <v>-63984.015287468559</v>
      </c>
      <c r="U21" s="1021">
        <f>(VLOOKUP(YEAR($A21),'NY East Load Projections'!$A$4:$EO$14,((MONTH($A21)-1)*12)+VLOOKUP(U$4,$DE$6:$DF$17,2)+1))*(VLOOKUP($A21,CURVES!$D$9:$K$261,2))*(INDEX(DailyScalarsTable,U$5/100,MONTH($A21)))*$B21</f>
        <v>-64052.912265181454</v>
      </c>
      <c r="V21" s="1021">
        <f>(VLOOKUP(YEAR($A21),'NY East Load Projections'!$A$4:$EO$14,((MONTH($A21)-1)*12)+VLOOKUP(V$4,$DE$6:$DF$17,2)+1))*(VLOOKUP($A21,CURVES!$D$9:$K$261,2))*(INDEX(DailyScalarsTable,V$5/100,MONTH($A21)))*$B21</f>
        <v>-60077.151374807159</v>
      </c>
      <c r="W21" s="1021">
        <f>(VLOOKUP(YEAR($A21),'NY East Load Projections'!$A$4:$EO$14,((MONTH($A21)-1)*12)+VLOOKUP(W$4,$DE$6:$DF$17,2)+1))*(VLOOKUP($A21,CURVES!$D$9:$K$261,2))*(INDEX(DailyScalarsTable,W$5/100,MONTH($A21)))*$B21</f>
        <v>-56149.010454322692</v>
      </c>
      <c r="X21" s="1021">
        <f>(VLOOKUP(YEAR($A21),'NY East Load Projections'!$A$4:$EO$14,((MONTH($A21)-1)*12)+VLOOKUP(X$4,$DE$6:$DF$17,2)+1))*(VLOOKUP($A21,CURVES!$D$9:$K$261,2))*(INDEX(DailyScalarsTable,X$5/100,MONTH($A21)))*$B21</f>
        <v>-52229.088664598334</v>
      </c>
      <c r="Y21" s="1021">
        <f>(VLOOKUP(YEAR($A21),'NY East Load Projections'!$A$4:$EO$14,((MONTH($A21)-1)*12)+VLOOKUP(Y$4,$DE$6:$DF$17,2)+1))*(VLOOKUP($A21,CURVES!$D$9:$K$261,2))*(INDEX(DailyScalarsTable,Y$5/100,MONTH($A21)))*$B21</f>
        <v>-51549.822572704819</v>
      </c>
      <c r="Z21" s="1021">
        <f>(VLOOKUP(YEAR($A21),'NY East Load Projections'!$A$4:$EO$14,((MONTH($A21)-1)*12)+VLOOKUP(Z$4,$DE$6:$DF$17,2)+1))*(VLOOKUP($A21,CURVES!$D$9:$K$261,2))*(INDEX(DailyScalarsTable,Z$5/100,MONTH($A21)))*$B21</f>
        <v>-51273.47818823604</v>
      </c>
      <c r="AA21" s="1021">
        <f>(VLOOKUP(YEAR($A21),'NY East Load Projections'!$A$4:$EO$14,((MONTH($A21)-1)*12)+VLOOKUP(AA$4,$DE$6:$DF$17,2)+1))*(VLOOKUP($A21,CURVES!$D$9:$K$261,2))*(INDEX(DailyScalarsTable,AA$5/100,MONTH($A21)))*$B21</f>
        <v>-56238.980956715175</v>
      </c>
      <c r="AB21" s="1021">
        <f>(VLOOKUP(YEAR($A21),'NY East Load Projections'!$A$4:$EO$14,((MONTH($A21)-1)*12)+VLOOKUP(AB$4,$DE$6:$DF$17,2)+1))*(VLOOKUP($A21,CURVES!$D$9:$K$261,2))*(INDEX(DailyScalarsTable,AB$5/100,MONTH($A21)))*$B21</f>
        <v>-65188.317793123177</v>
      </c>
      <c r="AC21" s="1021">
        <f>(VLOOKUP(YEAR($A21),'NY East Load Projections'!$A$4:$EO$14,((MONTH($A21)-1)*12)+VLOOKUP(AC$4,$DE$6:$DF$17,2)+1))*(VLOOKUP($A21,CURVES!$D$9:$K$261,2))*(INDEX(DailyScalarsTable,AC$5/100,MONTH($A21)))*$B21</f>
        <v>-55545.365946788937</v>
      </c>
      <c r="AD21" s="1021">
        <f>(VLOOKUP(YEAR($A21),'NY East Load Projections'!$A$4:$EO$14,((MONTH($A21)-1)*12)+VLOOKUP(AD$4,$DE$6:$DF$17,2)+1))*(VLOOKUP($A21,CURVES!$D$9:$K$261,2))*(INDEX(DailyScalarsTable,AD$5/100,MONTH($A21)))*$B21</f>
        <v>-49070.981367522429</v>
      </c>
      <c r="AE21" s="1021">
        <f>(VLOOKUP(YEAR($A21),'NY East Load Projections'!$A$4:$EO$14,((MONTH($A21)-1)*12)+VLOOKUP(AE$4,$DE$6:$DF$17,2)+1))*(VLOOKUP($A21,CURVES!$D$9:$K$261,6))*(INDEX(DailyScalarsTable,AE$5/100,MONTH($A21)))*$B21</f>
        <v>-36369.123111050372</v>
      </c>
      <c r="AF21" s="1021"/>
      <c r="AG21" s="1021">
        <f>(VLOOKUP(YEAR($A21),'NY East Load Projections'!$A$4:$EO$14,((MONTH($A21)-1)*12)+VLOOKUP(AG$4,$DE$6:$DF$17,2)+1))*(VLOOKUP($A21,CURVES!$D$9:$T$261,6))*(INDEX(DailyScalarsTable,AG$5/100,MONTH($A21)))*$C21</f>
        <v>-6190.6556751889439</v>
      </c>
      <c r="AH21" s="1021">
        <f>(VLOOKUP(YEAR($A21),'NY East Load Projections'!$A$4:$EO$14,((MONTH($A21)-1)*12)+VLOOKUP(AH$4,$DE$6:$DF$17,2)+1))*(VLOOKUP($A21,CURVES!$D$9:$T$261,6))*(INDEX(DailyScalarsTable,AH$5/100,MONTH($A21)))*$C21</f>
        <v>-5871.6622777185903</v>
      </c>
      <c r="AI21" s="1021">
        <f>(VLOOKUP(YEAR($A21),'NY East Load Projections'!$A$4:$EO$14,((MONTH($A21)-1)*12)+VLOOKUP(AI$4,$DE$6:$DF$17,2)+1))*(VLOOKUP($A21,CURVES!$D$9:$T$261,6))*(INDEX(DailyScalarsTable,AI$5/100,MONTH($A21)))*$C21</f>
        <v>-5635.6043306118609</v>
      </c>
      <c r="AJ21" s="1021">
        <f>(VLOOKUP(YEAR($A21),'NY East Load Projections'!$A$4:$EO$14,((MONTH($A21)-1)*12)+VLOOKUP(AJ$4,$DE$6:$DF$17,2)+1))*(VLOOKUP($A21,CURVES!$D$9:$T$261,6))*(INDEX(DailyScalarsTable,AJ$5/100,MONTH($A21)))*$C21</f>
        <v>-5638.9330805410618</v>
      </c>
      <c r="AK21" s="1021">
        <f>(VLOOKUP(YEAR($A21),'NY East Load Projections'!$A$4:$EO$14,((MONTH($A21)-1)*12)+VLOOKUP(AK$4,$DE$6:$DF$17,2)+1))*(VLOOKUP($A21,CURVES!$D$9:$T$261,6))*(INDEX(DailyScalarsTable,AK$5/100,MONTH($A21)))*$C21</f>
        <v>-6130.8755127387421</v>
      </c>
      <c r="AL21" s="1021">
        <f>(VLOOKUP(YEAR($A21),'NY East Load Projections'!$A$4:$EO$14,((MONTH($A21)-1)*12)+VLOOKUP(AL$4,$DE$6:$DF$17,2)+1))*(VLOOKUP($A21,CURVES!$D$9:$T$261,6))*(INDEX(DailyScalarsTable,AL$5/100,MONTH($A21)))*$C21</f>
        <v>-7062.2485653413096</v>
      </c>
      <c r="AM21" s="1021">
        <f>(VLOOKUP(YEAR($A21),'NY East Load Projections'!$A$4:$EO$14,((MONTH($A21)-1)*12)+VLOOKUP(AM$4,$DE$6:$DF$17,2)+1))*(VLOOKUP($A21,CURVES!$D$9:$T$261,6))*(INDEX(DailyScalarsTable,AM$5/100,MONTH($A21)))*$C21</f>
        <v>-10072.818194461599</v>
      </c>
      <c r="AN21" s="1021">
        <f>(VLOOKUP(YEAR($A21),'NY East Load Projections'!$A$4:$EO$14,((MONTH($A21)-1)*12)+VLOOKUP(AN$4,$DE$6:$DF$17,2)+1))*(VLOOKUP($A21,SatSunCurve,2))*(INDEX(DailyScalarsTable,AN$5/100,MONTH($A21)))*$C21</f>
        <v>-8307.5454892347971</v>
      </c>
      <c r="AO21" s="1021">
        <f>(VLOOKUP(YEAR($A21),'NY East Load Projections'!$A$4:$EO$14,((MONTH($A21)-1)*12)+VLOOKUP(AO$4,$DE$6:$DF$17,2)+1))*(VLOOKUP($A21,SatSunCurve,2))*(INDEX(DailyScalarsTable,AO$5/100,MONTH($A21)))*$C21</f>
        <v>-9033.4221614114358</v>
      </c>
      <c r="AP21" s="1021">
        <f>(VLOOKUP(YEAR($A21),'NY East Load Projections'!$A$4:$EO$14,((MONTH($A21)-1)*12)+VLOOKUP(AP$4,$DE$6:$DF$17,2)+1))*(VLOOKUP($A21,SatSunCurve,2))*(INDEX(DailyScalarsTable,AP$5/100,MONTH($A21)))*$C21</f>
        <v>-8657.2312765905644</v>
      </c>
      <c r="AQ21" s="1021">
        <f>(VLOOKUP(YEAR($A21),'NY East Load Projections'!$A$4:$EO$14,((MONTH($A21)-1)*12)+VLOOKUP(AQ$4,$DE$6:$DF$17,2)+1))*(VLOOKUP($A21,SatSunCurve,2))*(INDEX(DailyScalarsTable,AQ$5/100,MONTH($A21)))*$C21</f>
        <v>-8835.7085639708675</v>
      </c>
      <c r="AR21" s="1021">
        <f>(VLOOKUP(YEAR($A21),'NY East Load Projections'!$A$4:$EO$14,((MONTH($A21)-1)*12)+VLOOKUP(AR$4,$DE$6:$DF$17,2)+1))*(VLOOKUP($A21,SatSunCurve,2))*(INDEX(DailyScalarsTable,AR$5/100,MONTH($A21)))*$C21</f>
        <v>-8853.0339823032919</v>
      </c>
      <c r="AS21" s="1021">
        <f>(VLOOKUP(YEAR($A21),'NY East Load Projections'!$A$4:$EO$14,((MONTH($A21)-1)*12)+VLOOKUP(AS$4,$DE$6:$DF$17,2)+1))*(VLOOKUP($A21,SatSunCurve,2))*(INDEX(DailyScalarsTable,AS$5/100,MONTH($A21)))*$C21</f>
        <v>-7881.678874869488</v>
      </c>
      <c r="AT21" s="1021">
        <f>(VLOOKUP(YEAR($A21),'NY East Load Projections'!$A$4:$EO$14,((MONTH($A21)-1)*12)+VLOOKUP(AT$4,$DE$6:$DF$17,2)+1))*(VLOOKUP($A21,SatSunCurve,2))*(INDEX(DailyScalarsTable,AT$5/100,MONTH($A21)))*$C21</f>
        <v>-7890.1657422744538</v>
      </c>
      <c r="AU21" s="1021">
        <f>(VLOOKUP(YEAR($A21),'NY East Load Projections'!$A$4:$EO$14,((MONTH($A21)-1)*12)+VLOOKUP(AU$4,$DE$6:$DF$17,2)+1))*(VLOOKUP($A21,SatSunCurve,2))*(INDEX(DailyScalarsTable,AU$5/100,MONTH($A21)))*$C21</f>
        <v>-7400.4235702583665</v>
      </c>
      <c r="AV21" s="1021">
        <f>(VLOOKUP(YEAR($A21),'NY East Load Projections'!$A$4:$EO$14,((MONTH($A21)-1)*12)+VLOOKUP(AV$4,$DE$6:$DF$17,2)+1))*(VLOOKUP($A21,SatSunCurve,2))*(INDEX(DailyScalarsTable,AV$5/100,MONTH($A21)))*$C21</f>
        <v>-6916.5473213015975</v>
      </c>
      <c r="AW21" s="1021">
        <f>(VLOOKUP(YEAR($A21),'NY East Load Projections'!$A$4:$EO$14,((MONTH($A21)-1)*12)+VLOOKUP(AW$4,$DE$6:$DF$17,2)+1))*(VLOOKUP($A21,SatSunCurve,2))*(INDEX(DailyScalarsTable,AW$5/100,MONTH($A21)))*$C21</f>
        <v>-6461.9241410336826</v>
      </c>
      <c r="AX21" s="1021">
        <f>(VLOOKUP(YEAR($A21),'NY East Load Projections'!$A$4:$EO$14,((MONTH($A21)-1)*12)+VLOOKUP(AX$4,$DE$6:$DF$17,2)+1))*(VLOOKUP($A21,SatSunCurve,2))*(INDEX(DailyScalarsTable,AX$5/100,MONTH($A21)))*$C21</f>
        <v>-6377.8835025768312</v>
      </c>
      <c r="AY21" s="1021">
        <f>(VLOOKUP(YEAR($A21),'NY East Load Projections'!$A$4:$EO$14,((MONTH($A21)-1)*12)+VLOOKUP(AY$4,$DE$6:$DF$17,2)+1))*(VLOOKUP($A21,SatSunCurve,2))*(INDEX(DailyScalarsTable,AY$5/100,MONTH($A21)))*$C21</f>
        <v>-6343.6934277565479</v>
      </c>
      <c r="AZ21" s="1021">
        <f>(VLOOKUP(YEAR($A21),'NY East Load Projections'!$A$4:$EO$14,((MONTH($A21)-1)*12)+VLOOKUP(AZ$4,$DE$6:$DF$17,2)+1))*(VLOOKUP($A21,SatSunCurve,2))*(INDEX(DailyScalarsTable,AZ$5/100,MONTH($A21)))*$C21</f>
        <v>-6958.0388630762673</v>
      </c>
      <c r="BA21" s="1021">
        <f>(VLOOKUP(YEAR($A21),'NY East Load Projections'!$A$4:$EO$14,((MONTH($A21)-1)*12)+VLOOKUP(BA$4,$DE$6:$DF$17,2)+1))*(VLOOKUP($A21,SatSunCurve,2))*(INDEX(DailyScalarsTable,BA$5/100,MONTH($A21)))*$C21</f>
        <v>-8463.0935544939057</v>
      </c>
      <c r="BB21" s="1021">
        <f>(VLOOKUP(YEAR($A21),'NY East Load Projections'!$A$4:$EO$14,((MONTH($A21)-1)*12)+VLOOKUP(BB$4,$DE$6:$DF$17,2)+1))*(VLOOKUP($A21,SatSunCurve,2))*(INDEX(DailyScalarsTable,BB$5/100,MONTH($A21)))*$C21</f>
        <v>-7211.1943434114019</v>
      </c>
      <c r="BC21" s="1021">
        <f>(VLOOKUP(YEAR($A21),'NY East Load Projections'!$A$4:$EO$14,((MONTH($A21)-1)*12)+VLOOKUP(BC$4,$DE$6:$DF$17,2)+1))*(VLOOKUP($A21,SatSunCurve,2))*(INDEX(DailyScalarsTable,BC$5/100,MONTH($A21)))*$C21</f>
        <v>-6370.6553594788338</v>
      </c>
      <c r="BD21" s="1021">
        <f>(VLOOKUP(YEAR($A21),'NY East Load Projections'!$A$4:$EO$14,((MONTH($A21)-1)*12)+VLOOKUP(BD$4,$DE$6:$DF$17,2)+1))*(VLOOKUP($A21,CURVES!$D$9:$T$261,6))*(INDEX(DailyScalarsTable,BD$5/100,MONTH($A21)))*$C21</f>
        <v>-7029.5058674702705</v>
      </c>
      <c r="BE21" s="1021"/>
      <c r="BF21" s="1021">
        <f>(VLOOKUP(YEAR($A21),'NY East Load Projections'!$A$4:$EO$14,((MONTH($A21)-1)*12)+VLOOKUP(BF$4,$DE$6:$DF$17,2)+1))*(VLOOKUP($A21,CURVES!$D$9:$T$261,6))*(INDEX(DailyScalarsTable,BF$5/100,MONTH($A21)))*$D21</f>
        <v>-6190.6556751889439</v>
      </c>
      <c r="BG21" s="1021">
        <f>(VLOOKUP(YEAR($A21),'NY East Load Projections'!$A$4:$EO$14,((MONTH($A21)-1)*12)+VLOOKUP(BG$4,$DE$6:$DF$17,2)+1))*(VLOOKUP($A21,CURVES!$D$9:$T$261,6))*(INDEX(DailyScalarsTable,BG$5/100,MONTH($A21)))*$D21</f>
        <v>-5871.6622777185903</v>
      </c>
      <c r="BH21" s="1021">
        <f>(VLOOKUP(YEAR($A21),'NY East Load Projections'!$A$4:$EO$14,((MONTH($A21)-1)*12)+VLOOKUP(BH$4,$DE$6:$DF$17,2)+1))*(VLOOKUP($A21,CURVES!$D$9:$T$261,6))*(INDEX(DailyScalarsTable,BH$5/100,MONTH($A21)))*$D21</f>
        <v>-5635.6043306118609</v>
      </c>
      <c r="BI21" s="1021">
        <f>(VLOOKUP(YEAR($A21),'NY East Load Projections'!$A$4:$EO$14,((MONTH($A21)-1)*12)+VLOOKUP(BI$4,$DE$6:$DF$17,2)+1))*(VLOOKUP($A21,CURVES!$D$9:$T$261,6))*(INDEX(DailyScalarsTable,BI$5/100,MONTH($A21)))*$D21</f>
        <v>-5638.9330805410618</v>
      </c>
      <c r="BJ21" s="1021">
        <f>(VLOOKUP(YEAR($A21),'NY East Load Projections'!$A$4:$EO$14,((MONTH($A21)-1)*12)+VLOOKUP(BJ$4,$DE$6:$DF$17,2)+1))*(VLOOKUP($A21,CURVES!$D$9:$T$261,6))*(INDEX(DailyScalarsTable,BJ$5/100,MONTH($A21)))*$D21</f>
        <v>-6130.8755127387421</v>
      </c>
      <c r="BK21" s="1021">
        <f>(VLOOKUP(YEAR($A21),'NY East Load Projections'!$A$4:$EO$14,((MONTH($A21)-1)*12)+VLOOKUP(BK$4,$DE$6:$DF$17,2)+1))*(VLOOKUP($A21,CURVES!$D$9:$T$261,6))*(INDEX(DailyScalarsTable,BK$5/100,MONTH($A21)))*$D21</f>
        <v>-7062.2485653413096</v>
      </c>
      <c r="BL21" s="1021">
        <f>(VLOOKUP(YEAR($A21),'NY East Load Projections'!$A$4:$EO$14,((MONTH($A21)-1)*12)+VLOOKUP(BL$4,$DE$6:$DF$17,2)+1))*(VLOOKUP($A21,CURVES!$D$9:$T$261,6))*(INDEX(DailyScalarsTable,BL$5/100,MONTH($A21)))*$D21</f>
        <v>-10072.818194461599</v>
      </c>
      <c r="BM21" s="1021">
        <f>(VLOOKUP(YEAR($A21),'NY East Load Projections'!$A$4:$EO$14,((MONTH($A21)-1)*12)+VLOOKUP(BM$4,$DE$6:$DF$17,2)+1))*(VLOOKUP($A21,SatSunCurve,6))*(INDEX(DailyScalarsTable,BM$5/100,MONTH($A21)))*$D21</f>
        <v>-6724.45869902711</v>
      </c>
      <c r="BN21" s="1021">
        <f>(VLOOKUP(YEAR($A21),'NY East Load Projections'!$A$4:$EO$14,((MONTH($A21)-1)*12)+VLOOKUP(BN$4,$DE$6:$DF$17,2)+1))*(VLOOKUP($A21,SatSunCurve,6))*(INDEX(DailyScalarsTable,BN$5/100,MONTH($A21)))*$D21</f>
        <v>-7312.0122320127766</v>
      </c>
      <c r="BO21" s="1021">
        <f>(VLOOKUP(YEAR($A21),'NY East Load Projections'!$A$4:$EO$14,((MONTH($A21)-1)*12)+VLOOKUP(BO$4,$DE$6:$DF$17,2)+1))*(VLOOKUP($A21,SatSunCurve,6))*(INDEX(DailyScalarsTable,BO$5/100,MONTH($A21)))*$D21</f>
        <v>-7007.5083239443284</v>
      </c>
      <c r="BP21" s="1021">
        <f>(VLOOKUP(YEAR($A21),'NY East Load Projections'!$A$4:$EO$14,((MONTH($A21)-1)*12)+VLOOKUP(BP$4,$DE$6:$DF$17,2)+1))*(VLOOKUP($A21,SatSunCurve,6))*(INDEX(DailyScalarsTable,BP$5/100,MONTH($A21)))*$D21</f>
        <v>-7151.9749596381625</v>
      </c>
      <c r="BQ21" s="1021">
        <f>(VLOOKUP(YEAR($A21),'NY East Load Projections'!$A$4:$EO$14,((MONTH($A21)-1)*12)+VLOOKUP(BQ$4,$DE$6:$DF$17,2)+1))*(VLOOKUP($A21,SatSunCurve,6))*(INDEX(DailyScalarsTable,BQ$5/100,MONTH($A21)))*$D21</f>
        <v>-7165.9988443307857</v>
      </c>
      <c r="BR21" s="1021">
        <f>(VLOOKUP(YEAR($A21),'NY East Load Projections'!$A$4:$EO$14,((MONTH($A21)-1)*12)+VLOOKUP(BR$4,$DE$6:$DF$17,2)+1))*(VLOOKUP($A21,SatSunCurve,6))*(INDEX(DailyScalarsTable,BR$5/100,MONTH($A21)))*$D21</f>
        <v>-6379.7452739480741</v>
      </c>
      <c r="BS21" s="1021">
        <f>(VLOOKUP(YEAR($A21),'NY East Load Projections'!$A$4:$EO$14,((MONTH($A21)-1)*12)+VLOOKUP(BS$4,$DE$6:$DF$17,2)+1))*(VLOOKUP($A21,SatSunCurve,6))*(INDEX(DailyScalarsTable,BS$5/100,MONTH($A21)))*$D21</f>
        <v>-6386.6148829586737</v>
      </c>
      <c r="BT21" s="1021">
        <f>(VLOOKUP(YEAR($A21),'NY East Load Projections'!$A$4:$EO$14,((MONTH($A21)-1)*12)+VLOOKUP(BT$4,$DE$6:$DF$17,2)+1))*(VLOOKUP($A21,SatSunCurve,6))*(INDEX(DailyScalarsTable,BT$5/100,MONTH($A21)))*$D21</f>
        <v>-5990.1980335822218</v>
      </c>
      <c r="BU21" s="1021">
        <f>(VLOOKUP(YEAR($A21),'NY East Load Projections'!$A$4:$EO$14,((MONTH($A21)-1)*12)+VLOOKUP(BU$4,$DE$6:$DF$17,2)+1))*(VLOOKUP($A21,SatSunCurve,6))*(INDEX(DailyScalarsTable,BU$5/100,MONTH($A21)))*$D21</f>
        <v>-5598.5292963160409</v>
      </c>
      <c r="BV21" s="1021">
        <f>(VLOOKUP(YEAR($A21),'NY East Load Projections'!$A$4:$EO$14,((MONTH($A21)-1)*12)+VLOOKUP(BV$4,$DE$6:$DF$17,2)+1))*(VLOOKUP($A21,SatSunCurve,6))*(INDEX(DailyScalarsTable,BV$5/100,MONTH($A21)))*$D21</f>
        <v>-5230.5391597235366</v>
      </c>
      <c r="BW21" s="1021">
        <f>(VLOOKUP(YEAR($A21),'NY East Load Projections'!$A$4:$EO$14,((MONTH($A21)-1)*12)+VLOOKUP(BW$4,$DE$6:$DF$17,2)+1))*(VLOOKUP($A21,SatSunCurve,6))*(INDEX(DailyScalarsTable,BW$5/100,MONTH($A21)))*$D21</f>
        <v>-5162.5133146559074</v>
      </c>
      <c r="BX21" s="1021">
        <f>(VLOOKUP(YEAR($A21),'NY East Load Projections'!$A$4:$EO$14,((MONTH($A21)-1)*12)+VLOOKUP(BX$4,$DE$6:$DF$17,2)+1))*(VLOOKUP($A21,SatSunCurve,6))*(INDEX(DailyScalarsTable,BX$5/100,MONTH($A21)))*$D21</f>
        <v>-5134.8385042870004</v>
      </c>
      <c r="BY21" s="1021">
        <f>(VLOOKUP(YEAR($A21),'NY East Load Projections'!$A$4:$EO$14,((MONTH($A21)-1)*12)+VLOOKUP(BY$4,$DE$6:$DF$17,2)+1))*(VLOOKUP($A21,SatSunCurve,6))*(INDEX(DailyScalarsTable,BY$5/100,MONTH($A21)))*$D21</f>
        <v>-5632.1142052863579</v>
      </c>
      <c r="BZ21" s="1021">
        <f>(VLOOKUP(YEAR($A21),'NY East Load Projections'!$A$4:$EO$14,((MONTH($A21)-1)*12)+VLOOKUP(BZ$4,$DE$6:$DF$17,2)+1))*(VLOOKUP($A21,SatSunCurve,6))*(INDEX(DailyScalarsTable,BZ$5/100,MONTH($A21)))*$D21</f>
        <v>-6850.365507711319</v>
      </c>
      <c r="CA21" s="1021">
        <f>(VLOOKUP(YEAR($A21),'NY East Load Projections'!$A$4:$EO$14,((MONTH($A21)-1)*12)+VLOOKUP(CA$4,$DE$6:$DF$17,2)+1))*(VLOOKUP($A21,SatSunCurve,6))*(INDEX(DailyScalarsTable,CA$5/100,MONTH($A21)))*$D21</f>
        <v>-5837.0283491994942</v>
      </c>
      <c r="CB21" s="1021">
        <f>(VLOOKUP(YEAR($A21),'NY East Load Projections'!$A$4:$EO$14,((MONTH($A21)-1)*12)+VLOOKUP(CB$4,$DE$6:$DF$17,2)+1))*(VLOOKUP($A21,SatSunCurve,6))*(INDEX(DailyScalarsTable,CB$5/100,MONTH($A21)))*$D21</f>
        <v>-5156.6625673086764</v>
      </c>
      <c r="CC21" s="1021">
        <f>(VLOOKUP(YEAR($A21),'NY East Load Projections'!$A$4:$EO$14,((MONTH($A21)-1)*12)+VLOOKUP(CC$4,$DE$6:$DF$17,2)+1))*(VLOOKUP($A21,CURVES!$D$9:$T$261,6))*(INDEX(DailyScalarsTable,CC$5/100,MONTH($A21)))*$D21</f>
        <v>-7029.5058674702705</v>
      </c>
      <c r="CE21" s="1021">
        <f>(VLOOKUP(YEAR($A21),'NY East Load Projections'!$A$4:$EO$14,((MONTH($A21)-1)*12)+VLOOKUP(CE$4,$DE$6:$DF$17,2)+1))*(VLOOKUP($A21,CURVES!$D$9:$T$261,6))*(INDEX(DailyScalarsTable,CE$5/100,MONTH($A21)))*$E21</f>
        <v>0</v>
      </c>
      <c r="CF21" s="1021">
        <f>(VLOOKUP(YEAR($A21),'NY East Load Projections'!$A$4:$EO$14,((MONTH($A21)-1)*12)+VLOOKUP(CF$4,$DE$6:$DF$17,2)+1))*(VLOOKUP($A21,CURVES!$D$9:$T$261,6))*(INDEX(DailyScalarsTable,CF$5/100,MONTH($A21)))*$E21</f>
        <v>0</v>
      </c>
      <c r="CG21" s="1021">
        <f>(VLOOKUP(YEAR($A21),'NY East Load Projections'!$A$4:$EO$14,((MONTH($A21)-1)*12)+VLOOKUP(CG$4,$DE$6:$DF$17,2)+1))*(VLOOKUP($A21,CURVES!$D$9:$T$261,6))*(INDEX(DailyScalarsTable,CG$5/100,MONTH($A21)))*$E21</f>
        <v>0</v>
      </c>
      <c r="CH21" s="1021">
        <f>(VLOOKUP(YEAR($A21),'NY East Load Projections'!$A$4:$EO$14,((MONTH($A21)-1)*12)+VLOOKUP(CH$4,$DE$6:$DF$17,2)+1))*(VLOOKUP($A21,CURVES!$D$9:$T$261,6))*(INDEX(DailyScalarsTable,CH$5/100,MONTH($A21)))*$E21</f>
        <v>0</v>
      </c>
      <c r="CI21" s="1021">
        <f>(VLOOKUP(YEAR($A21),'NY East Load Projections'!$A$4:$EO$14,((MONTH($A21)-1)*12)+VLOOKUP(CI$4,$DE$6:$DF$17,2)+1))*(VLOOKUP($A21,CURVES!$D$9:$T$261,6))*(INDEX(DailyScalarsTable,CI$5/100,MONTH($A21)))*$E21</f>
        <v>0</v>
      </c>
      <c r="CJ21" s="1021">
        <f>(VLOOKUP(YEAR($A21),'NY East Load Projections'!$A$4:$EO$14,((MONTH($A21)-1)*12)+VLOOKUP(CJ$4,$DE$6:$DF$17,2)+1))*(VLOOKUP($A21,CURVES!$D$9:$T$261,6))*(INDEX(DailyScalarsTable,CJ$5/100,MONTH($A21)))*$E21</f>
        <v>0</v>
      </c>
      <c r="CK21" s="1021">
        <f>(VLOOKUP(YEAR($A21),'NY East Load Projections'!$A$4:$EO$14,((MONTH($A21)-1)*12)+VLOOKUP(CK$4,$DE$6:$DF$17,2)+1))*(VLOOKUP($A21,CURVES!$D$9:$T$261,6))*(INDEX(DailyScalarsTable,CK$5/100,MONTH($A21)))*$E21</f>
        <v>0</v>
      </c>
      <c r="CL21" s="1021">
        <f>(VLOOKUP(YEAR($A21),'NY East Load Projections'!$A$4:$EO$14,((MONTH($A21)-1)*12)+VLOOKUP(CL$4,$DE$6:$DF$17,2)+1))*(VLOOKUP($A21,SatSunCurve,6))*(INDEX(DailyScalarsTable,CL$5/100,MONTH($A21)))*$E21</f>
        <v>0</v>
      </c>
      <c r="CM21" s="1021">
        <f>(VLOOKUP(YEAR($A21),'NY East Load Projections'!$A$4:$EO$14,((MONTH($A21)-1)*12)+VLOOKUP(CM$4,$DE$6:$DF$17,2)+1))*(VLOOKUP($A21,SatSunCurve,6))*(INDEX(DailyScalarsTable,CM$5/100,MONTH($A21)))*$E21</f>
        <v>0</v>
      </c>
      <c r="CN21" s="1021">
        <f>(VLOOKUP(YEAR($A21),'NY East Load Projections'!$A$4:$EO$14,((MONTH($A21)-1)*12)+VLOOKUP(CN$4,$DE$6:$DF$17,2)+1))*(VLOOKUP($A21,SatSunCurve,6))*(INDEX(DailyScalarsTable,CN$5/100,MONTH($A21)))*$E21</f>
        <v>0</v>
      </c>
      <c r="CO21" s="1021">
        <f>(VLOOKUP(YEAR($A21),'NY East Load Projections'!$A$4:$EO$14,((MONTH($A21)-1)*12)+VLOOKUP(CO$4,$DE$6:$DF$17,2)+1))*(VLOOKUP($A21,SatSunCurve,6))*(INDEX(DailyScalarsTable,CO$5/100,MONTH($A21)))*$E21</f>
        <v>0</v>
      </c>
      <c r="CP21" s="1021">
        <f>(VLOOKUP(YEAR($A21),'NY East Load Projections'!$A$4:$EO$14,((MONTH($A21)-1)*12)+VLOOKUP(CP$4,$DE$6:$DF$17,2)+1))*(VLOOKUP($A21,SatSunCurve,6))*(INDEX(DailyScalarsTable,CP$5/100,MONTH($A21)))*$E21</f>
        <v>0</v>
      </c>
      <c r="CQ21" s="1021">
        <f>(VLOOKUP(YEAR($A21),'NY East Load Projections'!$A$4:$EO$14,((MONTH($A21)-1)*12)+VLOOKUP(CQ$4,$DE$6:$DF$17,2)+1))*(VLOOKUP($A21,SatSunCurve,6))*(INDEX(DailyScalarsTable,CQ$5/100,MONTH($A21)))*$E21</f>
        <v>0</v>
      </c>
      <c r="CR21" s="1021">
        <f>(VLOOKUP(YEAR($A21),'NY East Load Projections'!$A$4:$EO$14,((MONTH($A21)-1)*12)+VLOOKUP(CR$4,$DE$6:$DF$17,2)+1))*(VLOOKUP($A21,SatSunCurve,6))*(INDEX(DailyScalarsTable,CR$5/100,MONTH($A21)))*$E21</f>
        <v>0</v>
      </c>
      <c r="CS21" s="1021">
        <f>(VLOOKUP(YEAR($A21),'NY East Load Projections'!$A$4:$EO$14,((MONTH($A21)-1)*12)+VLOOKUP(CS$4,$DE$6:$DF$17,2)+1))*(VLOOKUP($A21,SatSunCurve,6))*(INDEX(DailyScalarsTable,CS$5/100,MONTH($A21)))*$E21</f>
        <v>0</v>
      </c>
      <c r="CT21" s="1021">
        <f>(VLOOKUP(YEAR($A21),'NY East Load Projections'!$A$4:$EO$14,((MONTH($A21)-1)*12)+VLOOKUP(CT$4,$DE$6:$DF$17,2)+1))*(VLOOKUP($A21,SatSunCurve,6))*(INDEX(DailyScalarsTable,CT$5/100,MONTH($A21)))*$E21</f>
        <v>0</v>
      </c>
      <c r="CU21" s="1021">
        <f>(VLOOKUP(YEAR($A21),'NY East Load Projections'!$A$4:$EO$14,((MONTH($A21)-1)*12)+VLOOKUP(CU$4,$DE$6:$DF$17,2)+1))*(VLOOKUP($A21,SatSunCurve,6))*(INDEX(DailyScalarsTable,CU$5/100,MONTH($A21)))*$E21</f>
        <v>0</v>
      </c>
      <c r="CV21" s="1021">
        <f>(VLOOKUP(YEAR($A21),'NY East Load Projections'!$A$4:$EO$14,((MONTH($A21)-1)*12)+VLOOKUP(CV$4,$DE$6:$DF$17,2)+1))*(VLOOKUP($A21,SatSunCurve,6))*(INDEX(DailyScalarsTable,CV$5/100,MONTH($A21)))*$E21</f>
        <v>0</v>
      </c>
      <c r="CW21" s="1021">
        <f>(VLOOKUP(YEAR($A21),'NY East Load Projections'!$A$4:$EO$14,((MONTH($A21)-1)*12)+VLOOKUP(CW$4,$DE$6:$DF$17,2)+1))*(VLOOKUP($A21,SatSunCurve,6))*(INDEX(DailyScalarsTable,CW$5/100,MONTH($A21)))*$E21</f>
        <v>0</v>
      </c>
      <c r="CX21" s="1021">
        <f>(VLOOKUP(YEAR($A21),'NY East Load Projections'!$A$4:$EO$14,((MONTH($A21)-1)*12)+VLOOKUP(CX$4,$DE$6:$DF$17,2)+1))*(VLOOKUP($A21,SatSunCurve,6))*(INDEX(DailyScalarsTable,CX$5/100,MONTH($A21)))*$E21</f>
        <v>0</v>
      </c>
      <c r="CY21" s="1021">
        <f>(VLOOKUP(YEAR($A21),'NY East Load Projections'!$A$4:$EO$14,((MONTH($A21)-1)*12)+VLOOKUP(CY$4,$DE$6:$DF$17,2)+1))*(VLOOKUP($A21,SatSunCurve,6))*(INDEX(DailyScalarsTable,CY$5/100,MONTH($A21)))*$E21</f>
        <v>0</v>
      </c>
      <c r="CZ21" s="1021">
        <f>(VLOOKUP(YEAR($A21),'NY East Load Projections'!$A$4:$EO$14,((MONTH($A21)-1)*12)+VLOOKUP(CZ$4,$DE$6:$DF$17,2)+1))*(VLOOKUP($A21,SatSunCurve,6))*(INDEX(DailyScalarsTable,CZ$5/100,MONTH($A21)))*$E21</f>
        <v>0</v>
      </c>
      <c r="DA21" s="1021">
        <f>(VLOOKUP(YEAR($A21),'NY East Load Projections'!$A$4:$EO$14,((MONTH($A21)-1)*12)+VLOOKUP(DA$4,$DE$6:$DF$17,2)+1))*(VLOOKUP($A21,SatSunCurve,6))*(INDEX(DailyScalarsTable,DA$5/100,MONTH($A21)))*$E21</f>
        <v>0</v>
      </c>
      <c r="DB21" s="1021">
        <f>(VLOOKUP(YEAR($A21),'NY East Load Projections'!$A$4:$EO$14,((MONTH($A21)-1)*12)+VLOOKUP(DB$4,$DE$6:$DF$17,2)+1))*(VLOOKUP($A21,CURVES!$D$9:$T$261,6))*(INDEX(DailyScalarsTable,DB$5/100,MONTH($A21)))*$E21</f>
        <v>0</v>
      </c>
      <c r="DH21" s="1021">
        <f t="shared" si="0"/>
        <v>-1574482.3398157773</v>
      </c>
      <c r="DI21">
        <f ca="1">CALC!J41</f>
        <v>0.85715940312422123</v>
      </c>
      <c r="DJ21" s="1029">
        <f t="shared" ca="1" si="1"/>
        <v>-1349582.3426261188</v>
      </c>
    </row>
    <row r="22" spans="1:114" x14ac:dyDescent="0.25">
      <c r="A22" s="244">
        <v>37377</v>
      </c>
      <c r="B22" s="13">
        <v>22</v>
      </c>
      <c r="C22" s="210">
        <v>4</v>
      </c>
      <c r="D22" s="210">
        <v>4</v>
      </c>
      <c r="E22" s="210">
        <v>1</v>
      </c>
      <c r="F22" s="13">
        <v>31</v>
      </c>
      <c r="H22" s="1021">
        <f>(VLOOKUP(YEAR($A22),'NY East Load Projections'!$A$4:$EO$14,((MONTH($A22)-1)*12)+VLOOKUP(H$4,$DE$6:$DF$17,2)+1))*(VLOOKUP($A22,CURVES!$D$9:$K$261,6))*(INDEX(DailyScalarsTable,H$5/100,MONTH($A22)))*$B22</f>
        <v>-35137.394875723519</v>
      </c>
      <c r="I22" s="1021">
        <f>(VLOOKUP(YEAR($A22),'NY East Load Projections'!$A$4:$EO$14,((MONTH($A22)-1)*12)+VLOOKUP(I$4,$DE$6:$DF$17,2)+1))*(VLOOKUP($A22,CURVES!$D$9:$K$261,6))*(INDEX(DailyScalarsTable,I$5/100,MONTH($A22)))*$B22</f>
        <v>-31650.407408403091</v>
      </c>
      <c r="J22" s="1021">
        <f>(VLOOKUP(YEAR($A22),'NY East Load Projections'!$A$4:$EO$14,((MONTH($A22)-1)*12)+VLOOKUP(J$4,$DE$6:$DF$17,2)+1))*(VLOOKUP($A22,CURVES!$D$9:$K$261,6))*(INDEX(DailyScalarsTable,J$5/100,MONTH($A22)))*$B22</f>
        <v>-29953.03784759104</v>
      </c>
      <c r="K22" s="1021">
        <f>(VLOOKUP(YEAR($A22),'NY East Load Projections'!$A$4:$EO$14,((MONTH($A22)-1)*12)+VLOOKUP(K$4,$DE$6:$DF$17,2)+1))*(VLOOKUP($A22,CURVES!$D$9:$K$261,6))*(INDEX(DailyScalarsTable,K$5/100,MONTH($A22)))*$B22</f>
        <v>-29039.779225197584</v>
      </c>
      <c r="L22" s="1021">
        <f>(VLOOKUP(YEAR($A22),'NY East Load Projections'!$A$4:$EO$14,((MONTH($A22)-1)*12)+VLOOKUP(L$4,$DE$6:$DF$17,2)+1))*(VLOOKUP($A22,CURVES!$D$9:$K$261,6))*(INDEX(DailyScalarsTable,L$5/100,MONTH($A22)))*$B22</f>
        <v>-33840.122819141769</v>
      </c>
      <c r="M22" s="1021">
        <f>(VLOOKUP(YEAR($A22),'NY East Load Projections'!$A$4:$EO$14,((MONTH($A22)-1)*12)+VLOOKUP(M$4,$DE$6:$DF$17,2)+1))*(VLOOKUP($A22,CURVES!$D$9:$K$261,6))*(INDEX(DailyScalarsTable,M$5/100,MONTH($A22)))*$B22</f>
        <v>-41029.162995508734</v>
      </c>
      <c r="N22" s="1021">
        <f>(VLOOKUP(YEAR($A22),'NY East Load Projections'!$A$4:$EO$14,((MONTH($A22)-1)*12)+VLOOKUP(N$4,$DE$6:$DF$17,2)+1))*(VLOOKUP($A22,CURVES!$D$9:$K$261,6))*(INDEX(DailyScalarsTable,N$5/100,MONTH($A22)))*$B22</f>
        <v>-49092.009160163419</v>
      </c>
      <c r="O22" s="1021">
        <f>(VLOOKUP(YEAR($A22),'NY East Load Projections'!$A$4:$EO$14,((MONTH($A22)-1)*12)+VLOOKUP(O$4,$DE$6:$DF$17,2)+1))*(VLOOKUP($A22,CURVES!$D$9:$K$261,2))*(INDEX(DailyScalarsTable,O$5/100,MONTH($A22)))*$B22</f>
        <v>-62587.249287471597</v>
      </c>
      <c r="P22" s="1021">
        <f>(VLOOKUP(YEAR($A22),'NY East Load Projections'!$A$4:$EO$14,((MONTH($A22)-1)*12)+VLOOKUP(P$4,$DE$6:$DF$17,2)+1))*(VLOOKUP($A22,CURVES!$D$9:$K$261,2))*(INDEX(DailyScalarsTable,P$5/100,MONTH($A22)))*$B22</f>
        <v>-73276.76516277426</v>
      </c>
      <c r="Q22" s="1021">
        <f>(VLOOKUP(YEAR($A22),'NY East Load Projections'!$A$4:$EO$14,((MONTH($A22)-1)*12)+VLOOKUP(Q$4,$DE$6:$DF$17,2)+1))*(VLOOKUP($A22,CURVES!$D$9:$K$261,2))*(INDEX(DailyScalarsTable,Q$5/100,MONTH($A22)))*$B22</f>
        <v>-74576.447232055958</v>
      </c>
      <c r="R22" s="1021">
        <f>(VLOOKUP(YEAR($A22),'NY East Load Projections'!$A$4:$EO$14,((MONTH($A22)-1)*12)+VLOOKUP(R$4,$DE$6:$DF$17,2)+1))*(VLOOKUP($A22,CURVES!$D$9:$K$261,2))*(INDEX(DailyScalarsTable,R$5/100,MONTH($A22)))*$B22</f>
        <v>-79108.082057692911</v>
      </c>
      <c r="S22" s="1021">
        <f>(VLOOKUP(YEAR($A22),'NY East Load Projections'!$A$4:$EO$14,((MONTH($A22)-1)*12)+VLOOKUP(S$4,$DE$6:$DF$17,2)+1))*(VLOOKUP($A22,CURVES!$D$9:$K$261,2))*(INDEX(DailyScalarsTable,S$5/100,MONTH($A22)))*$B22</f>
        <v>-78509.998273598685</v>
      </c>
      <c r="T22" s="1021">
        <f>(VLOOKUP(YEAR($A22),'NY East Load Projections'!$A$4:$EO$14,((MONTH($A22)-1)*12)+VLOOKUP(T$4,$DE$6:$DF$17,2)+1))*(VLOOKUP($A22,CURVES!$D$9:$K$261,2))*(INDEX(DailyScalarsTable,T$5/100,MONTH($A22)))*$B22</f>
        <v>-74905.502562350099</v>
      </c>
      <c r="U22" s="1021">
        <f>(VLOOKUP(YEAR($A22),'NY East Load Projections'!$A$4:$EO$14,((MONTH($A22)-1)*12)+VLOOKUP(U$4,$DE$6:$DF$17,2)+1))*(VLOOKUP($A22,CURVES!$D$9:$K$261,2))*(INDEX(DailyScalarsTable,U$5/100,MONTH($A22)))*$B22</f>
        <v>-75266.520998207212</v>
      </c>
      <c r="V22" s="1021">
        <f>(VLOOKUP(YEAR($A22),'NY East Load Projections'!$A$4:$EO$14,((MONTH($A22)-1)*12)+VLOOKUP(V$4,$DE$6:$DF$17,2)+1))*(VLOOKUP($A22,CURVES!$D$9:$K$261,2))*(INDEX(DailyScalarsTable,V$5/100,MONTH($A22)))*$B22</f>
        <v>-73007.244335101495</v>
      </c>
      <c r="W22" s="1021">
        <f>(VLOOKUP(YEAR($A22),'NY East Load Projections'!$A$4:$EO$14,((MONTH($A22)-1)*12)+VLOOKUP(W$4,$DE$6:$DF$17,2)+1))*(VLOOKUP($A22,CURVES!$D$9:$K$261,2))*(INDEX(DailyScalarsTable,W$5/100,MONTH($A22)))*$B22</f>
        <v>-70165.679872226276</v>
      </c>
      <c r="X22" s="1021">
        <f>(VLOOKUP(YEAR($A22),'NY East Load Projections'!$A$4:$EO$14,((MONTH($A22)-1)*12)+VLOOKUP(X$4,$DE$6:$DF$17,2)+1))*(VLOOKUP($A22,CURVES!$D$9:$K$261,2))*(INDEX(DailyScalarsTable,X$5/100,MONTH($A22)))*$B22</f>
        <v>-67995.592213423835</v>
      </c>
      <c r="Y22" s="1021">
        <f>(VLOOKUP(YEAR($A22),'NY East Load Projections'!$A$4:$EO$14,((MONTH($A22)-1)*12)+VLOOKUP(Y$4,$DE$6:$DF$17,2)+1))*(VLOOKUP($A22,CURVES!$D$9:$K$261,2))*(INDEX(DailyScalarsTable,Y$5/100,MONTH($A22)))*$B22</f>
        <v>-65345.69030630168</v>
      </c>
      <c r="Z22" s="1021">
        <f>(VLOOKUP(YEAR($A22),'NY East Load Projections'!$A$4:$EO$14,((MONTH($A22)-1)*12)+VLOOKUP(Z$4,$DE$6:$DF$17,2)+1))*(VLOOKUP($A22,CURVES!$D$9:$K$261,2))*(INDEX(DailyScalarsTable,Z$5/100,MONTH($A22)))*$B22</f>
        <v>-56616.601671075834</v>
      </c>
      <c r="AA22" s="1021">
        <f>(VLOOKUP(YEAR($A22),'NY East Load Projections'!$A$4:$EO$14,((MONTH($A22)-1)*12)+VLOOKUP(AA$4,$DE$6:$DF$17,2)+1))*(VLOOKUP($A22,CURVES!$D$9:$K$261,2))*(INDEX(DailyScalarsTable,AA$5/100,MONTH($A22)))*$B22</f>
        <v>-56471.859129930526</v>
      </c>
      <c r="AB22" s="1021">
        <f>(VLOOKUP(YEAR($A22),'NY East Load Projections'!$A$4:$EO$14,((MONTH($A22)-1)*12)+VLOOKUP(AB$4,$DE$6:$DF$17,2)+1))*(VLOOKUP($A22,CURVES!$D$9:$K$261,2))*(INDEX(DailyScalarsTable,AB$5/100,MONTH($A22)))*$B22</f>
        <v>-68852.958941681325</v>
      </c>
      <c r="AC22" s="1021">
        <f>(VLOOKUP(YEAR($A22),'NY East Load Projections'!$A$4:$EO$14,((MONTH($A22)-1)*12)+VLOOKUP(AC$4,$DE$6:$DF$17,2)+1))*(VLOOKUP($A22,CURVES!$D$9:$K$261,2))*(INDEX(DailyScalarsTable,AC$5/100,MONTH($A22)))*$B22</f>
        <v>-65672.899005605461</v>
      </c>
      <c r="AD22" s="1021">
        <f>(VLOOKUP(YEAR($A22),'NY East Load Projections'!$A$4:$EO$14,((MONTH($A22)-1)*12)+VLOOKUP(AD$4,$DE$6:$DF$17,2)+1))*(VLOOKUP($A22,CURVES!$D$9:$K$261,2))*(INDEX(DailyScalarsTable,AD$5/100,MONTH($A22)))*$B22</f>
        <v>-52683.338224370556</v>
      </c>
      <c r="AE22" s="1021">
        <f>(VLOOKUP(YEAR($A22),'NY East Load Projections'!$A$4:$EO$14,((MONTH($A22)-1)*12)+VLOOKUP(AE$4,$DE$6:$DF$17,2)+1))*(VLOOKUP($A22,CURVES!$D$9:$K$261,6))*(INDEX(DailyScalarsTable,AE$5/100,MONTH($A22)))*$B22</f>
        <v>-43158.539711610494</v>
      </c>
      <c r="AF22" s="1021"/>
      <c r="AG22" s="1021">
        <f>(VLOOKUP(YEAR($A22),'NY East Load Projections'!$A$4:$EO$14,((MONTH($A22)-1)*12)+VLOOKUP(AG$4,$DE$6:$DF$17,2)+1))*(VLOOKUP($A22,CURVES!$D$9:$T$261,6))*(INDEX(DailyScalarsTable,AG$5/100,MONTH($A22)))*$C22</f>
        <v>-6999.7101097018522</v>
      </c>
      <c r="AH22" s="1021">
        <f>(VLOOKUP(YEAR($A22),'NY East Load Projections'!$A$4:$EO$14,((MONTH($A22)-1)*12)+VLOOKUP(AH$4,$DE$6:$DF$17,2)+1))*(VLOOKUP($A22,CURVES!$D$9:$T$261,6))*(INDEX(DailyScalarsTable,AH$5/100,MONTH($A22)))*$C22</f>
        <v>-6305.0683608262143</v>
      </c>
      <c r="AI22" s="1021">
        <f>(VLOOKUP(YEAR($A22),'NY East Load Projections'!$A$4:$EO$14,((MONTH($A22)-1)*12)+VLOOKUP(AI$4,$DE$6:$DF$17,2)+1))*(VLOOKUP($A22,CURVES!$D$9:$T$261,6))*(INDEX(DailyScalarsTable,AI$5/100,MONTH($A22)))*$C22</f>
        <v>-5966.935869310033</v>
      </c>
      <c r="AJ22" s="1021">
        <f>(VLOOKUP(YEAR($A22),'NY East Load Projections'!$A$4:$EO$14,((MONTH($A22)-1)*12)+VLOOKUP(AJ$4,$DE$6:$DF$17,2)+1))*(VLOOKUP($A22,CURVES!$D$9:$T$261,6))*(INDEX(DailyScalarsTable,AJ$5/100,MONTH($A22)))*$C22</f>
        <v>-5785.0058874616498</v>
      </c>
      <c r="AK22" s="1021">
        <f>(VLOOKUP(YEAR($A22),'NY East Load Projections'!$A$4:$EO$14,((MONTH($A22)-1)*12)+VLOOKUP(AK$4,$DE$6:$DF$17,2)+1))*(VLOOKUP($A22,CURVES!$D$9:$T$261,6))*(INDEX(DailyScalarsTable,AK$5/100,MONTH($A22)))*$C22</f>
        <v>-6357.9821529831916</v>
      </c>
      <c r="AL22" s="1021">
        <f>(VLOOKUP(YEAR($A22),'NY East Load Projections'!$A$4:$EO$14,((MONTH($A22)-1)*12)+VLOOKUP(AL$4,$DE$6:$DF$17,2)+1))*(VLOOKUP($A22,CURVES!$D$9:$T$261,6))*(INDEX(DailyScalarsTable,AL$5/100,MONTH($A22)))*$C22</f>
        <v>-7708.6802394737506</v>
      </c>
      <c r="AM22" s="1021">
        <f>(VLOOKUP(YEAR($A22),'NY East Load Projections'!$A$4:$EO$14,((MONTH($A22)-1)*12)+VLOOKUP(AM$4,$DE$6:$DF$17,2)+1))*(VLOOKUP($A22,CURVES!$D$9:$T$261,6))*(INDEX(DailyScalarsTable,AM$5/100,MONTH($A22)))*$C22</f>
        <v>-9223.5515740460396</v>
      </c>
      <c r="AN22" s="1021">
        <f>(VLOOKUP(YEAR($A22),'NY East Load Projections'!$A$4:$EO$14,((MONTH($A22)-1)*12)+VLOOKUP(AN$4,$DE$6:$DF$17,2)+1))*(VLOOKUP($A22,SatSunCurve,2))*(INDEX(DailyScalarsTable,AN$5/100,MONTH($A22)))*$C22</f>
        <v>-7441.1796621676322</v>
      </c>
      <c r="AO22" s="1021">
        <f>(VLOOKUP(YEAR($A22),'NY East Load Projections'!$A$4:$EO$14,((MONTH($A22)-1)*12)+VLOOKUP(AO$4,$DE$6:$DF$17,2)+1))*(VLOOKUP($A22,SatSunCurve,2))*(INDEX(DailyScalarsTable,AO$5/100,MONTH($A22)))*$C22</f>
        <v>-9112.0231829957229</v>
      </c>
      <c r="AP22" s="1021">
        <f>(VLOOKUP(YEAR($A22),'NY East Load Projections'!$A$4:$EO$14,((MONTH($A22)-1)*12)+VLOOKUP(AP$4,$DE$6:$DF$17,2)+1))*(VLOOKUP($A22,SatSunCurve,2))*(INDEX(DailyScalarsTable,AP$5/100,MONTH($A22)))*$C22</f>
        <v>-9273.6396670137001</v>
      </c>
      <c r="AQ22" s="1021">
        <f>(VLOOKUP(YEAR($A22),'NY East Load Projections'!$A$4:$EO$14,((MONTH($A22)-1)*12)+VLOOKUP(AQ$4,$DE$6:$DF$17,2)+1))*(VLOOKUP($A22,SatSunCurve,2))*(INDEX(DailyScalarsTable,AQ$5/100,MONTH($A22)))*$C22</f>
        <v>-9837.1520095188516</v>
      </c>
      <c r="AR22" s="1021">
        <f>(VLOOKUP(YEAR($A22),'NY East Load Projections'!$A$4:$EO$14,((MONTH($A22)-1)*12)+VLOOKUP(AR$4,$DE$6:$DF$17,2)+1))*(VLOOKUP($A22,SatSunCurve,2))*(INDEX(DailyScalarsTable,AR$5/100,MONTH($A22)))*$C22</f>
        <v>-9762.7798221831436</v>
      </c>
      <c r="AS22" s="1021">
        <f>(VLOOKUP(YEAR($A22),'NY East Load Projections'!$A$4:$EO$14,((MONTH($A22)-1)*12)+VLOOKUP(AS$4,$DE$6:$DF$17,2)+1))*(VLOOKUP($A22,SatSunCurve,2))*(INDEX(DailyScalarsTable,AS$5/100,MONTH($A22)))*$C22</f>
        <v>-9001.2977629030156</v>
      </c>
      <c r="AT22" s="1021">
        <f>(VLOOKUP(YEAR($A22),'NY East Load Projections'!$A$4:$EO$14,((MONTH($A22)-1)*12)+VLOOKUP(AT$4,$DE$6:$DF$17,2)+1))*(VLOOKUP($A22,SatSunCurve,2))*(INDEX(DailyScalarsTable,AT$5/100,MONTH($A22)))*$C22</f>
        <v>-9044.6808833398936</v>
      </c>
      <c r="AU22" s="1021">
        <f>(VLOOKUP(YEAR($A22),'NY East Load Projections'!$A$4:$EO$14,((MONTH($A22)-1)*12)+VLOOKUP(AU$4,$DE$6:$DF$17,2)+1))*(VLOOKUP($A22,SatSunCurve,2))*(INDEX(DailyScalarsTable,AU$5/100,MONTH($A22)))*$C22</f>
        <v>-8773.1865167349206</v>
      </c>
      <c r="AV22" s="1021">
        <f>(VLOOKUP(YEAR($A22),'NY East Load Projections'!$A$4:$EO$14,((MONTH($A22)-1)*12)+VLOOKUP(AV$4,$DE$6:$DF$17,2)+1))*(VLOOKUP($A22,SatSunCurve,2))*(INDEX(DailyScalarsTable,AV$5/100,MONTH($A22)))*$C22</f>
        <v>-8431.719375231758</v>
      </c>
      <c r="AW22" s="1021">
        <f>(VLOOKUP(YEAR($A22),'NY East Load Projections'!$A$4:$EO$14,((MONTH($A22)-1)*12)+VLOOKUP(AW$4,$DE$6:$DF$17,2)+1))*(VLOOKUP($A22,SatSunCurve,2))*(INDEX(DailyScalarsTable,AW$5/100,MONTH($A22)))*$C22</f>
        <v>-7978.7332658237092</v>
      </c>
      <c r="AX22" s="1021">
        <f>(VLOOKUP(YEAR($A22),'NY East Load Projections'!$A$4:$EO$14,((MONTH($A22)-1)*12)+VLOOKUP(AX$4,$DE$6:$DF$17,2)+1))*(VLOOKUP($A22,SatSunCurve,2))*(INDEX(DailyScalarsTable,AX$5/100,MONTH($A22)))*$C22</f>
        <v>-7667.7886911936039</v>
      </c>
      <c r="AY22" s="1021">
        <f>(VLOOKUP(YEAR($A22),'NY East Load Projections'!$A$4:$EO$14,((MONTH($A22)-1)*12)+VLOOKUP(AY$4,$DE$6:$DF$17,2)+1))*(VLOOKUP($A22,SatSunCurve,2))*(INDEX(DailyScalarsTable,AY$5/100,MONTH($A22)))*$C22</f>
        <v>-6643.5006806473812</v>
      </c>
      <c r="AZ22" s="1021">
        <f>(VLOOKUP(YEAR($A22),'NY East Load Projections'!$A$4:$EO$14,((MONTH($A22)-1)*12)+VLOOKUP(AZ$4,$DE$6:$DF$17,2)+1))*(VLOOKUP($A22,SatSunCurve,2))*(INDEX(DailyScalarsTable,AZ$5/100,MONTH($A22)))*$C22</f>
        <v>-6626.5163131255713</v>
      </c>
      <c r="BA22" s="1021">
        <f>(VLOOKUP(YEAR($A22),'NY East Load Projections'!$A$4:$EO$14,((MONTH($A22)-1)*12)+VLOOKUP(BA$4,$DE$6:$DF$17,2)+1))*(VLOOKUP($A22,SatSunCurve,2))*(INDEX(DailyScalarsTable,BA$5/100,MONTH($A22)))*$C22</f>
        <v>-8538.323397761189</v>
      </c>
      <c r="BB22" s="1021">
        <f>(VLOOKUP(YEAR($A22),'NY East Load Projections'!$A$4:$EO$14,((MONTH($A22)-1)*12)+VLOOKUP(BB$4,$DE$6:$DF$17,2)+1))*(VLOOKUP($A22,SatSunCurve,2))*(INDEX(DailyScalarsTable,BB$5/100,MONTH($A22)))*$C22</f>
        <v>-8143.9702635483582</v>
      </c>
      <c r="BC22" s="1021">
        <f>(VLOOKUP(YEAR($A22),'NY East Load Projections'!$A$4:$EO$14,((MONTH($A22)-1)*12)+VLOOKUP(BC$4,$DE$6:$DF$17,2)+1))*(VLOOKUP($A22,SatSunCurve,2))*(INDEX(DailyScalarsTable,BC$5/100,MONTH($A22)))*$C22</f>
        <v>-6533.1597413891077</v>
      </c>
      <c r="BD22" s="1021">
        <f>(VLOOKUP(YEAR($A22),'NY East Load Projections'!$A$4:$EO$14,((MONTH($A22)-1)*12)+VLOOKUP(BD$4,$DE$6:$DF$17,2)+1))*(VLOOKUP($A22,CURVES!$D$9:$T$261,6))*(INDEX(DailyScalarsTable,BD$5/100,MONTH($A22)))*$C22</f>
        <v>-8457.620251262284</v>
      </c>
      <c r="BE22" s="1021"/>
      <c r="BF22" s="1021">
        <f>(VLOOKUP(YEAR($A22),'NY East Load Projections'!$A$4:$EO$14,((MONTH($A22)-1)*12)+VLOOKUP(BF$4,$DE$6:$DF$17,2)+1))*(VLOOKUP($A22,CURVES!$D$9:$T$261,6))*(INDEX(DailyScalarsTable,BF$5/100,MONTH($A22)))*$D22</f>
        <v>-6999.7101097018522</v>
      </c>
      <c r="BG22" s="1021">
        <f>(VLOOKUP(YEAR($A22),'NY East Load Projections'!$A$4:$EO$14,((MONTH($A22)-1)*12)+VLOOKUP(BG$4,$DE$6:$DF$17,2)+1))*(VLOOKUP($A22,CURVES!$D$9:$T$261,6))*(INDEX(DailyScalarsTable,BG$5/100,MONTH($A22)))*$D22</f>
        <v>-6305.0683608262143</v>
      </c>
      <c r="BH22" s="1021">
        <f>(VLOOKUP(YEAR($A22),'NY East Load Projections'!$A$4:$EO$14,((MONTH($A22)-1)*12)+VLOOKUP(BH$4,$DE$6:$DF$17,2)+1))*(VLOOKUP($A22,CURVES!$D$9:$T$261,6))*(INDEX(DailyScalarsTable,BH$5/100,MONTH($A22)))*$D22</f>
        <v>-5966.935869310033</v>
      </c>
      <c r="BI22" s="1021">
        <f>(VLOOKUP(YEAR($A22),'NY East Load Projections'!$A$4:$EO$14,((MONTH($A22)-1)*12)+VLOOKUP(BI$4,$DE$6:$DF$17,2)+1))*(VLOOKUP($A22,CURVES!$D$9:$T$261,6))*(INDEX(DailyScalarsTable,BI$5/100,MONTH($A22)))*$D22</f>
        <v>-5785.0058874616498</v>
      </c>
      <c r="BJ22" s="1021">
        <f>(VLOOKUP(YEAR($A22),'NY East Load Projections'!$A$4:$EO$14,((MONTH($A22)-1)*12)+VLOOKUP(BJ$4,$DE$6:$DF$17,2)+1))*(VLOOKUP($A22,CURVES!$D$9:$T$261,6))*(INDEX(DailyScalarsTable,BJ$5/100,MONTH($A22)))*$D22</f>
        <v>-6357.9821529831916</v>
      </c>
      <c r="BK22" s="1021">
        <f>(VLOOKUP(YEAR($A22),'NY East Load Projections'!$A$4:$EO$14,((MONTH($A22)-1)*12)+VLOOKUP(BK$4,$DE$6:$DF$17,2)+1))*(VLOOKUP($A22,CURVES!$D$9:$T$261,6))*(INDEX(DailyScalarsTable,BK$5/100,MONTH($A22)))*$D22</f>
        <v>-7708.6802394737506</v>
      </c>
      <c r="BL22" s="1021">
        <f>(VLOOKUP(YEAR($A22),'NY East Load Projections'!$A$4:$EO$14,((MONTH($A22)-1)*12)+VLOOKUP(BL$4,$DE$6:$DF$17,2)+1))*(VLOOKUP($A22,CURVES!$D$9:$T$261,6))*(INDEX(DailyScalarsTable,BL$5/100,MONTH($A22)))*$D22</f>
        <v>-9223.5515740460396</v>
      </c>
      <c r="BM22" s="1021">
        <f>(VLOOKUP(YEAR($A22),'NY East Load Projections'!$A$4:$EO$14,((MONTH($A22)-1)*12)+VLOOKUP(BM$4,$DE$6:$DF$17,2)+1))*(VLOOKUP($A22,SatSunCurve,6))*(INDEX(DailyScalarsTable,BM$5/100,MONTH($A22)))*$D22</f>
        <v>-6330.303101271079</v>
      </c>
      <c r="BN22" s="1021">
        <f>(VLOOKUP(YEAR($A22),'NY East Load Projections'!$A$4:$EO$14,((MONTH($A22)-1)*12)+VLOOKUP(BN$4,$DE$6:$DF$17,2)+1))*(VLOOKUP($A22,SatSunCurve,6))*(INDEX(DailyScalarsTable,BN$5/100,MONTH($A22)))*$D22</f>
        <v>-7751.710243933142</v>
      </c>
      <c r="BO22" s="1021">
        <f>(VLOOKUP(YEAR($A22),'NY East Load Projections'!$A$4:$EO$14,((MONTH($A22)-1)*12)+VLOOKUP(BO$4,$DE$6:$DF$17,2)+1))*(VLOOKUP($A22,SatSunCurve,6))*(INDEX(DailyScalarsTable,BO$5/100,MONTH($A22)))*$D22</f>
        <v>-7889.1993755552521</v>
      </c>
      <c r="BP22" s="1021">
        <f>(VLOOKUP(YEAR($A22),'NY East Load Projections'!$A$4:$EO$14,((MONTH($A22)-1)*12)+VLOOKUP(BP$4,$DE$6:$DF$17,2)+1))*(VLOOKUP($A22,SatSunCurve,6))*(INDEX(DailyScalarsTable,BP$5/100,MONTH($A22)))*$D22</f>
        <v>-8368.5862592641934</v>
      </c>
      <c r="BQ22" s="1021">
        <f>(VLOOKUP(YEAR($A22),'NY East Load Projections'!$A$4:$EO$14,((MONTH($A22)-1)*12)+VLOOKUP(BQ$4,$DE$6:$DF$17,2)+1))*(VLOOKUP($A22,SatSunCurve,6))*(INDEX(DailyScalarsTable,BQ$5/100,MONTH($A22)))*$D22</f>
        <v>-8305.3169243584416</v>
      </c>
      <c r="BR22" s="1021">
        <f>(VLOOKUP(YEAR($A22),'NY East Load Projections'!$A$4:$EO$14,((MONTH($A22)-1)*12)+VLOOKUP(BR$4,$DE$6:$DF$17,2)+1))*(VLOOKUP($A22,SatSunCurve,6))*(INDEX(DailyScalarsTable,BR$5/100,MONTH($A22)))*$D22</f>
        <v>-7657.5147665996165</v>
      </c>
      <c r="BS22" s="1021">
        <f>(VLOOKUP(YEAR($A22),'NY East Load Projections'!$A$4:$EO$14,((MONTH($A22)-1)*12)+VLOOKUP(BS$4,$DE$6:$DF$17,2)+1))*(VLOOKUP($A22,SatSunCurve,6))*(INDEX(DailyScalarsTable,BS$5/100,MONTH($A22)))*$D22</f>
        <v>-7694.4213209784402</v>
      </c>
      <c r="BT22" s="1021">
        <f>(VLOOKUP(YEAR($A22),'NY East Load Projections'!$A$4:$EO$14,((MONTH($A22)-1)*12)+VLOOKUP(BT$4,$DE$6:$DF$17,2)+1))*(VLOOKUP($A22,SatSunCurve,6))*(INDEX(DailyScalarsTable,BT$5/100,MONTH($A22)))*$D22</f>
        <v>-7463.4577226077427</v>
      </c>
      <c r="BU22" s="1021">
        <f>(VLOOKUP(YEAR($A22),'NY East Load Projections'!$A$4:$EO$14,((MONTH($A22)-1)*12)+VLOOKUP(BU$4,$DE$6:$DF$17,2)+1))*(VLOOKUP($A22,SatSunCurve,6))*(INDEX(DailyScalarsTable,BU$5/100,MONTH($A22)))*$D22</f>
        <v>-7172.9674236260398</v>
      </c>
      <c r="BV22" s="1021">
        <f>(VLOOKUP(YEAR($A22),'NY East Load Projections'!$A$4:$EO$14,((MONTH($A22)-1)*12)+VLOOKUP(BV$4,$DE$6:$DF$17,2)+1))*(VLOOKUP($A22,SatSunCurve,6))*(INDEX(DailyScalarsTable,BV$5/100,MONTH($A22)))*$D22</f>
        <v>-6787.6065664224971</v>
      </c>
      <c r="BW22" s="1021">
        <f>(VLOOKUP(YEAR($A22),'NY East Load Projections'!$A$4:$EO$14,((MONTH($A22)-1)*12)+VLOOKUP(BW$4,$DE$6:$DF$17,2)+1))*(VLOOKUP($A22,SatSunCurve,6))*(INDEX(DailyScalarsTable,BW$5/100,MONTH($A22)))*$D22</f>
        <v>-6523.0821906555793</v>
      </c>
      <c r="BX22" s="1021">
        <f>(VLOOKUP(YEAR($A22),'NY East Load Projections'!$A$4:$EO$14,((MONTH($A22)-1)*12)+VLOOKUP(BX$4,$DE$6:$DF$17,2)+1))*(VLOOKUP($A22,SatSunCurve,6))*(INDEX(DailyScalarsTable,BX$5/100,MONTH($A22)))*$D22</f>
        <v>-5651.7077763645639</v>
      </c>
      <c r="BY22" s="1021">
        <f>(VLOOKUP(YEAR($A22),'NY East Load Projections'!$A$4:$EO$14,((MONTH($A22)-1)*12)+VLOOKUP(BY$4,$DE$6:$DF$17,2)+1))*(VLOOKUP($A22,SatSunCurve,6))*(INDEX(DailyScalarsTable,BY$5/100,MONTH($A22)))*$D22</f>
        <v>-5637.2589659235164</v>
      </c>
      <c r="BZ22" s="1021">
        <f>(VLOOKUP(YEAR($A22),'NY East Load Projections'!$A$4:$EO$14,((MONTH($A22)-1)*12)+VLOOKUP(BZ$4,$DE$6:$DF$17,2)+1))*(VLOOKUP($A22,SatSunCurve,6))*(INDEX(DailyScalarsTable,BZ$5/100,MONTH($A22)))*$D22</f>
        <v>-7263.6567773392717</v>
      </c>
      <c r="CA22" s="1021">
        <f>(VLOOKUP(YEAR($A22),'NY East Load Projections'!$A$4:$EO$14,((MONTH($A22)-1)*12)+VLOOKUP(CA$4,$DE$6:$DF$17,2)+1))*(VLOOKUP($A22,SatSunCurve,6))*(INDEX(DailyScalarsTable,CA$5/100,MONTH($A22)))*$D22</f>
        <v>-6928.1757136047809</v>
      </c>
      <c r="CB22" s="1021">
        <f>(VLOOKUP(YEAR($A22),'NY East Load Projections'!$A$4:$EO$14,((MONTH($A22)-1)*12)+VLOOKUP(CB$4,$DE$6:$DF$17,2)+1))*(VLOOKUP($A22,SatSunCurve,6))*(INDEX(DailyScalarsTable,CB$5/100,MONTH($A22)))*$D22</f>
        <v>-5557.8393816078724</v>
      </c>
      <c r="CC22" s="1021">
        <f>(VLOOKUP(YEAR($A22),'NY East Load Projections'!$A$4:$EO$14,((MONTH($A22)-1)*12)+VLOOKUP(CC$4,$DE$6:$DF$17,2)+1))*(VLOOKUP($A22,CURVES!$D$9:$T$261,6))*(INDEX(DailyScalarsTable,CC$5/100,MONTH($A22)))*$D22</f>
        <v>-8457.620251262284</v>
      </c>
      <c r="CE22" s="1021">
        <f>(VLOOKUP(YEAR($A22),'NY East Load Projections'!$A$4:$EO$14,((MONTH($A22)-1)*12)+VLOOKUP(CE$4,$DE$6:$DF$17,2)+1))*(VLOOKUP($A22,CURVES!$D$9:$T$261,6))*(INDEX(DailyScalarsTable,CE$5/100,MONTH($A22)))*$E22</f>
        <v>-1749.927527425463</v>
      </c>
      <c r="CF22" s="1021">
        <f>(VLOOKUP(YEAR($A22),'NY East Load Projections'!$A$4:$EO$14,((MONTH($A22)-1)*12)+VLOOKUP(CF$4,$DE$6:$DF$17,2)+1))*(VLOOKUP($A22,CURVES!$D$9:$T$261,6))*(INDEX(DailyScalarsTable,CF$5/100,MONTH($A22)))*$E22</f>
        <v>-1576.2670902065536</v>
      </c>
      <c r="CG22" s="1021">
        <f>(VLOOKUP(YEAR($A22),'NY East Load Projections'!$A$4:$EO$14,((MONTH($A22)-1)*12)+VLOOKUP(CG$4,$DE$6:$DF$17,2)+1))*(VLOOKUP($A22,CURVES!$D$9:$T$261,6))*(INDEX(DailyScalarsTable,CG$5/100,MONTH($A22)))*$E22</f>
        <v>-1491.7339673275083</v>
      </c>
      <c r="CH22" s="1021">
        <f>(VLOOKUP(YEAR($A22),'NY East Load Projections'!$A$4:$EO$14,((MONTH($A22)-1)*12)+VLOOKUP(CH$4,$DE$6:$DF$17,2)+1))*(VLOOKUP($A22,CURVES!$D$9:$T$261,6))*(INDEX(DailyScalarsTable,CH$5/100,MONTH($A22)))*$E22</f>
        <v>-1446.2514718654124</v>
      </c>
      <c r="CI22" s="1021">
        <f>(VLOOKUP(YEAR($A22),'NY East Load Projections'!$A$4:$EO$14,((MONTH($A22)-1)*12)+VLOOKUP(CI$4,$DE$6:$DF$17,2)+1))*(VLOOKUP($A22,CURVES!$D$9:$T$261,6))*(INDEX(DailyScalarsTable,CI$5/100,MONTH($A22)))*$E22</f>
        <v>-1589.4955382457979</v>
      </c>
      <c r="CJ22" s="1021">
        <f>(VLOOKUP(YEAR($A22),'NY East Load Projections'!$A$4:$EO$14,((MONTH($A22)-1)*12)+VLOOKUP(CJ$4,$DE$6:$DF$17,2)+1))*(VLOOKUP($A22,CURVES!$D$9:$T$261,6))*(INDEX(DailyScalarsTable,CJ$5/100,MONTH($A22)))*$E22</f>
        <v>-1927.1700598684376</v>
      </c>
      <c r="CK22" s="1021">
        <f>(VLOOKUP(YEAR($A22),'NY East Load Projections'!$A$4:$EO$14,((MONTH($A22)-1)*12)+VLOOKUP(CK$4,$DE$6:$DF$17,2)+1))*(VLOOKUP($A22,CURVES!$D$9:$T$261,6))*(INDEX(DailyScalarsTable,CK$5/100,MONTH($A22)))*$E22</f>
        <v>-2305.8878935115099</v>
      </c>
      <c r="CL22" s="1021">
        <f>(VLOOKUP(YEAR($A22),'NY East Load Projections'!$A$4:$EO$14,((MONTH($A22)-1)*12)+VLOOKUP(CL$4,$DE$6:$DF$17,2)+1))*(VLOOKUP($A22,SatSunCurve,6))*(INDEX(DailyScalarsTable,CL$5/100,MONTH($A22)))*$E22</f>
        <v>-1582.5757753177697</v>
      </c>
      <c r="CM22" s="1021">
        <f>(VLOOKUP(YEAR($A22),'NY East Load Projections'!$A$4:$EO$14,((MONTH($A22)-1)*12)+VLOOKUP(CM$4,$DE$6:$DF$17,2)+1))*(VLOOKUP($A22,SatSunCurve,6))*(INDEX(DailyScalarsTable,CM$5/100,MONTH($A22)))*$E22</f>
        <v>-1937.9275609832855</v>
      </c>
      <c r="CN22" s="1021">
        <f>(VLOOKUP(YEAR($A22),'NY East Load Projections'!$A$4:$EO$14,((MONTH($A22)-1)*12)+VLOOKUP(CN$4,$DE$6:$DF$17,2)+1))*(VLOOKUP($A22,SatSunCurve,6))*(INDEX(DailyScalarsTable,CN$5/100,MONTH($A22)))*$E22</f>
        <v>-1972.299843888813</v>
      </c>
      <c r="CO22" s="1021">
        <f>(VLOOKUP(YEAR($A22),'NY East Load Projections'!$A$4:$EO$14,((MONTH($A22)-1)*12)+VLOOKUP(CO$4,$DE$6:$DF$17,2)+1))*(VLOOKUP($A22,SatSunCurve,6))*(INDEX(DailyScalarsTable,CO$5/100,MONTH($A22)))*$E22</f>
        <v>-2092.1465648160483</v>
      </c>
      <c r="CP22" s="1021">
        <f>(VLOOKUP(YEAR($A22),'NY East Load Projections'!$A$4:$EO$14,((MONTH($A22)-1)*12)+VLOOKUP(CP$4,$DE$6:$DF$17,2)+1))*(VLOOKUP($A22,SatSunCurve,6))*(INDEX(DailyScalarsTable,CP$5/100,MONTH($A22)))*$E22</f>
        <v>-2076.3292310896104</v>
      </c>
      <c r="CQ22" s="1021">
        <f>(VLOOKUP(YEAR($A22),'NY East Load Projections'!$A$4:$EO$14,((MONTH($A22)-1)*12)+VLOOKUP(CQ$4,$DE$6:$DF$17,2)+1))*(VLOOKUP($A22,SatSunCurve,6))*(INDEX(DailyScalarsTable,CQ$5/100,MONTH($A22)))*$E22</f>
        <v>-1914.3786916499041</v>
      </c>
      <c r="CR22" s="1021">
        <f>(VLOOKUP(YEAR($A22),'NY East Load Projections'!$A$4:$EO$14,((MONTH($A22)-1)*12)+VLOOKUP(CR$4,$DE$6:$DF$17,2)+1))*(VLOOKUP($A22,SatSunCurve,6))*(INDEX(DailyScalarsTable,CR$5/100,MONTH($A22)))*$E22</f>
        <v>-1923.6053302446101</v>
      </c>
      <c r="CS22" s="1021">
        <f>(VLOOKUP(YEAR($A22),'NY East Load Projections'!$A$4:$EO$14,((MONTH($A22)-1)*12)+VLOOKUP(CS$4,$DE$6:$DF$17,2)+1))*(VLOOKUP($A22,SatSunCurve,6))*(INDEX(DailyScalarsTable,CS$5/100,MONTH($A22)))*$E22</f>
        <v>-1865.8644306519357</v>
      </c>
      <c r="CT22" s="1021">
        <f>(VLOOKUP(YEAR($A22),'NY East Load Projections'!$A$4:$EO$14,((MONTH($A22)-1)*12)+VLOOKUP(CT$4,$DE$6:$DF$17,2)+1))*(VLOOKUP($A22,SatSunCurve,6))*(INDEX(DailyScalarsTable,CT$5/100,MONTH($A22)))*$E22</f>
        <v>-1793.24185590651</v>
      </c>
      <c r="CU22" s="1021">
        <f>(VLOOKUP(YEAR($A22),'NY East Load Projections'!$A$4:$EO$14,((MONTH($A22)-1)*12)+VLOOKUP(CU$4,$DE$6:$DF$17,2)+1))*(VLOOKUP($A22,SatSunCurve,6))*(INDEX(DailyScalarsTable,CU$5/100,MONTH($A22)))*$E22</f>
        <v>-1696.9016416056243</v>
      </c>
      <c r="CV22" s="1021">
        <f>(VLOOKUP(YEAR($A22),'NY East Load Projections'!$A$4:$EO$14,((MONTH($A22)-1)*12)+VLOOKUP(CV$4,$DE$6:$DF$17,2)+1))*(VLOOKUP($A22,SatSunCurve,6))*(INDEX(DailyScalarsTable,CV$5/100,MONTH($A22)))*$E22</f>
        <v>-1630.7705476638948</v>
      </c>
      <c r="CW22" s="1021">
        <f>(VLOOKUP(YEAR($A22),'NY East Load Projections'!$A$4:$EO$14,((MONTH($A22)-1)*12)+VLOOKUP(CW$4,$DE$6:$DF$17,2)+1))*(VLOOKUP($A22,SatSunCurve,6))*(INDEX(DailyScalarsTable,CW$5/100,MONTH($A22)))*$E22</f>
        <v>-1412.926944091141</v>
      </c>
      <c r="CX22" s="1021">
        <f>(VLOOKUP(YEAR($A22),'NY East Load Projections'!$A$4:$EO$14,((MONTH($A22)-1)*12)+VLOOKUP(CX$4,$DE$6:$DF$17,2)+1))*(VLOOKUP($A22,SatSunCurve,6))*(INDEX(DailyScalarsTable,CX$5/100,MONTH($A22)))*$E22</f>
        <v>-1409.3147414808791</v>
      </c>
      <c r="CY22" s="1021">
        <f>(VLOOKUP(YEAR($A22),'NY East Load Projections'!$A$4:$EO$14,((MONTH($A22)-1)*12)+VLOOKUP(CY$4,$DE$6:$DF$17,2)+1))*(VLOOKUP($A22,SatSunCurve,6))*(INDEX(DailyScalarsTable,CY$5/100,MONTH($A22)))*$E22</f>
        <v>-1815.9141943348179</v>
      </c>
      <c r="CZ22" s="1021">
        <f>(VLOOKUP(YEAR($A22),'NY East Load Projections'!$A$4:$EO$14,((MONTH($A22)-1)*12)+VLOOKUP(CZ$4,$DE$6:$DF$17,2)+1))*(VLOOKUP($A22,SatSunCurve,6))*(INDEX(DailyScalarsTable,CZ$5/100,MONTH($A22)))*$E22</f>
        <v>-1732.0439284011952</v>
      </c>
      <c r="DA22" s="1021">
        <f>(VLOOKUP(YEAR($A22),'NY East Load Projections'!$A$4:$EO$14,((MONTH($A22)-1)*12)+VLOOKUP(DA$4,$DE$6:$DF$17,2)+1))*(VLOOKUP($A22,SatSunCurve,6))*(INDEX(DailyScalarsTable,DA$5/100,MONTH($A22)))*$E22</f>
        <v>-1389.4598454019681</v>
      </c>
      <c r="DB22" s="1021">
        <f>(VLOOKUP(YEAR($A22),'NY East Load Projections'!$A$4:$EO$14,((MONTH($A22)-1)*12)+VLOOKUP(DB$4,$DE$6:$DF$17,2)+1))*(VLOOKUP($A22,CURVES!$D$9:$T$261,6))*(INDEX(DailyScalarsTable,DB$5/100,MONTH($A22)))*$E22</f>
        <v>-2114.405062815571</v>
      </c>
      <c r="DH22" s="1021">
        <f t="shared" si="0"/>
        <v>-1789791.2876918209</v>
      </c>
      <c r="DI22">
        <f ca="1">CALC!J42</f>
        <v>0.85185231085675739</v>
      </c>
      <c r="DJ22" s="1029">
        <f t="shared" ca="1" si="1"/>
        <v>-1524637.8443715691</v>
      </c>
    </row>
    <row r="23" spans="1:114" x14ac:dyDescent="0.25">
      <c r="A23" s="244">
        <v>37408</v>
      </c>
      <c r="B23" s="13">
        <v>20</v>
      </c>
      <c r="C23" s="210">
        <v>5</v>
      </c>
      <c r="D23" s="210">
        <v>5</v>
      </c>
      <c r="E23" s="210">
        <v>0</v>
      </c>
      <c r="F23" s="13">
        <v>30</v>
      </c>
      <c r="H23" s="1021">
        <f>(VLOOKUP(YEAR($A23),'NY East Load Projections'!$A$4:$EO$14,((MONTH($A23)-1)*12)+VLOOKUP(H$4,$DE$6:$DF$17,2)+1))*(VLOOKUP($A23,CURVES!$D$9:$K$261,6))*(INDEX(DailyScalarsTable,H$5/100,MONTH($A23)))*$B23</f>
        <v>-36412.022691137492</v>
      </c>
      <c r="I23" s="1021">
        <f>(VLOOKUP(YEAR($A23),'NY East Load Projections'!$A$4:$EO$14,((MONTH($A23)-1)*12)+VLOOKUP(I$4,$DE$6:$DF$17,2)+1))*(VLOOKUP($A23,CURVES!$D$9:$K$261,6))*(INDEX(DailyScalarsTable,I$5/100,MONTH($A23)))*$B23</f>
        <v>-30167.831443873059</v>
      </c>
      <c r="J23" s="1021">
        <f>(VLOOKUP(YEAR($A23),'NY East Load Projections'!$A$4:$EO$14,((MONTH($A23)-1)*12)+VLOOKUP(J$4,$DE$6:$DF$17,2)+1))*(VLOOKUP($A23,CURVES!$D$9:$K$261,6))*(INDEX(DailyScalarsTable,J$5/100,MONTH($A23)))*$B23</f>
        <v>-25358.872214636573</v>
      </c>
      <c r="K23" s="1021">
        <f>(VLOOKUP(YEAR($A23),'NY East Load Projections'!$A$4:$EO$14,((MONTH($A23)-1)*12)+VLOOKUP(K$4,$DE$6:$DF$17,2)+1))*(VLOOKUP($A23,CURVES!$D$9:$K$261,6))*(INDEX(DailyScalarsTable,K$5/100,MONTH($A23)))*$B23</f>
        <v>-23541.532971029766</v>
      </c>
      <c r="L23" s="1021">
        <f>(VLOOKUP(YEAR($A23),'NY East Load Projections'!$A$4:$EO$14,((MONTH($A23)-1)*12)+VLOOKUP(L$4,$DE$6:$DF$17,2)+1))*(VLOOKUP($A23,CURVES!$D$9:$K$261,6))*(INDEX(DailyScalarsTable,L$5/100,MONTH($A23)))*$B23</f>
        <v>-26431.205033456601</v>
      </c>
      <c r="M23" s="1021">
        <f>(VLOOKUP(YEAR($A23),'NY East Load Projections'!$A$4:$EO$14,((MONTH($A23)-1)*12)+VLOOKUP(M$4,$DE$6:$DF$17,2)+1))*(VLOOKUP($A23,CURVES!$D$9:$K$261,6))*(INDEX(DailyScalarsTable,M$5/100,MONTH($A23)))*$B23</f>
        <v>-32247.999425855982</v>
      </c>
      <c r="N23" s="1021">
        <f>(VLOOKUP(YEAR($A23),'NY East Load Projections'!$A$4:$EO$14,((MONTH($A23)-1)*12)+VLOOKUP(N$4,$DE$6:$DF$17,2)+1))*(VLOOKUP($A23,CURVES!$D$9:$K$261,6))*(INDEX(DailyScalarsTable,N$5/100,MONTH($A23)))*$B23</f>
        <v>-36974.747771255155</v>
      </c>
      <c r="O23" s="1021">
        <f>(VLOOKUP(YEAR($A23),'NY East Load Projections'!$A$4:$EO$14,((MONTH($A23)-1)*12)+VLOOKUP(O$4,$DE$6:$DF$17,2)+1))*(VLOOKUP($A23,CURVES!$D$9:$K$261,2))*(INDEX(DailyScalarsTable,O$5/100,MONTH($A23)))*$B23</f>
        <v>-54898.122956941843</v>
      </c>
      <c r="P23" s="1021">
        <f>(VLOOKUP(YEAR($A23),'NY East Load Projections'!$A$4:$EO$14,((MONTH($A23)-1)*12)+VLOOKUP(P$4,$DE$6:$DF$17,2)+1))*(VLOOKUP($A23,CURVES!$D$9:$K$261,2))*(INDEX(DailyScalarsTable,P$5/100,MONTH($A23)))*$B23</f>
        <v>-68118.351548949329</v>
      </c>
      <c r="Q23" s="1021">
        <f>(VLOOKUP(YEAR($A23),'NY East Load Projections'!$A$4:$EO$14,((MONTH($A23)-1)*12)+VLOOKUP(Q$4,$DE$6:$DF$17,2)+1))*(VLOOKUP($A23,CURVES!$D$9:$K$261,2))*(INDEX(DailyScalarsTable,Q$5/100,MONTH($A23)))*$B23</f>
        <v>-76189.868752646013</v>
      </c>
      <c r="R23" s="1021">
        <f>(VLOOKUP(YEAR($A23),'NY East Load Projections'!$A$4:$EO$14,((MONTH($A23)-1)*12)+VLOOKUP(R$4,$DE$6:$DF$17,2)+1))*(VLOOKUP($A23,CURVES!$D$9:$K$261,2))*(INDEX(DailyScalarsTable,R$5/100,MONTH($A23)))*$B23</f>
        <v>-87640.438276825225</v>
      </c>
      <c r="S23" s="1021">
        <f>(VLOOKUP(YEAR($A23),'NY East Load Projections'!$A$4:$EO$14,((MONTH($A23)-1)*12)+VLOOKUP(S$4,$DE$6:$DF$17,2)+1))*(VLOOKUP($A23,CURVES!$D$9:$K$261,2))*(INDEX(DailyScalarsTable,S$5/100,MONTH($A23)))*$B23</f>
        <v>-94517.94405985676</v>
      </c>
      <c r="T23" s="1021">
        <f>(VLOOKUP(YEAR($A23),'NY East Load Projections'!$A$4:$EO$14,((MONTH($A23)-1)*12)+VLOOKUP(T$4,$DE$6:$DF$17,2)+1))*(VLOOKUP($A23,CURVES!$D$9:$K$261,2))*(INDEX(DailyScalarsTable,T$5/100,MONTH($A23)))*$B23</f>
        <v>-98792.12054449787</v>
      </c>
      <c r="U23" s="1021">
        <f>(VLOOKUP(YEAR($A23),'NY East Load Projections'!$A$4:$EO$14,((MONTH($A23)-1)*12)+VLOOKUP(U$4,$DE$6:$DF$17,2)+1))*(VLOOKUP($A23,CURVES!$D$9:$K$261,2))*(INDEX(DailyScalarsTable,U$5/100,MONTH($A23)))*$B23</f>
        <v>-109252.60401085549</v>
      </c>
      <c r="V23" s="1021">
        <f>(VLOOKUP(YEAR($A23),'NY East Load Projections'!$A$4:$EO$14,((MONTH($A23)-1)*12)+VLOOKUP(V$4,$DE$6:$DF$17,2)+1))*(VLOOKUP($A23,CURVES!$D$9:$K$261,2))*(INDEX(DailyScalarsTable,V$5/100,MONTH($A23)))*$B23</f>
        <v>-110093.28580493704</v>
      </c>
      <c r="W23" s="1021">
        <f>(VLOOKUP(YEAR($A23),'NY East Load Projections'!$A$4:$EO$14,((MONTH($A23)-1)*12)+VLOOKUP(W$4,$DE$6:$DF$17,2)+1))*(VLOOKUP($A23,CURVES!$D$9:$K$261,2))*(INDEX(DailyScalarsTable,W$5/100,MONTH($A23)))*$B23</f>
        <v>-110273.43190366877</v>
      </c>
      <c r="X23" s="1021">
        <f>(VLOOKUP(YEAR($A23),'NY East Load Projections'!$A$4:$EO$14,((MONTH($A23)-1)*12)+VLOOKUP(X$4,$DE$6:$DF$17,2)+1))*(VLOOKUP($A23,CURVES!$D$9:$K$261,2))*(INDEX(DailyScalarsTable,X$5/100,MONTH($A23)))*$B23</f>
        <v>-108851.27838292377</v>
      </c>
      <c r="Y23" s="1021">
        <f>(VLOOKUP(YEAR($A23),'NY East Load Projections'!$A$4:$EO$14,((MONTH($A23)-1)*12)+VLOOKUP(Y$4,$DE$6:$DF$17,2)+1))*(VLOOKUP($A23,CURVES!$D$9:$K$261,2))*(INDEX(DailyScalarsTable,Y$5/100,MONTH($A23)))*$B23</f>
        <v>-105619.92010277479</v>
      </c>
      <c r="Z23" s="1021">
        <f>(VLOOKUP(YEAR($A23),'NY East Load Projections'!$A$4:$EO$14,((MONTH($A23)-1)*12)+VLOOKUP(Z$4,$DE$6:$DF$17,2)+1))*(VLOOKUP($A23,CURVES!$D$9:$K$261,2))*(INDEX(DailyScalarsTable,Z$5/100,MONTH($A23)))*$B23</f>
        <v>-90186.393010222222</v>
      </c>
      <c r="AA23" s="1021">
        <f>(VLOOKUP(YEAR($A23),'NY East Load Projections'!$A$4:$EO$14,((MONTH($A23)-1)*12)+VLOOKUP(AA$4,$DE$6:$DF$17,2)+1))*(VLOOKUP($A23,CURVES!$D$9:$K$261,2))*(INDEX(DailyScalarsTable,AA$5/100,MONTH($A23)))*$B23</f>
        <v>-72116.45085877557</v>
      </c>
      <c r="AB23" s="1021">
        <f>(VLOOKUP(YEAR($A23),'NY East Load Projections'!$A$4:$EO$14,((MONTH($A23)-1)*12)+VLOOKUP(AB$4,$DE$6:$DF$17,2)+1))*(VLOOKUP($A23,CURVES!$D$9:$K$261,2))*(INDEX(DailyScalarsTable,AB$5/100,MONTH($A23)))*$B23</f>
        <v>-75657.098039835269</v>
      </c>
      <c r="AC23" s="1021">
        <f>(VLOOKUP(YEAR($A23),'NY East Load Projections'!$A$4:$EO$14,((MONTH($A23)-1)*12)+VLOOKUP(AC$4,$DE$6:$DF$17,2)+1))*(VLOOKUP($A23,CURVES!$D$9:$K$261,2))*(INDEX(DailyScalarsTable,AC$5/100,MONTH($A23)))*$B23</f>
        <v>-77087.352795872648</v>
      </c>
      <c r="AD23" s="1021">
        <f>(VLOOKUP(YEAR($A23),'NY East Load Projections'!$A$4:$EO$14,((MONTH($A23)-1)*12)+VLOOKUP(AD$4,$DE$6:$DF$17,2)+1))*(VLOOKUP($A23,CURVES!$D$9:$K$261,2))*(INDEX(DailyScalarsTable,AD$5/100,MONTH($A23)))*$B23</f>
        <v>-61816.286266843672</v>
      </c>
      <c r="AE23" s="1021">
        <f>(VLOOKUP(YEAR($A23),'NY East Load Projections'!$A$4:$EO$14,((MONTH($A23)-1)*12)+VLOOKUP(AE$4,$DE$6:$DF$17,2)+1))*(VLOOKUP($A23,CURVES!$D$9:$K$261,6))*(INDEX(DailyScalarsTable,AE$5/100,MONTH($A23)))*$B23</f>
        <v>-45280.971471776997</v>
      </c>
      <c r="AF23" s="1021"/>
      <c r="AG23" s="1021">
        <f>(VLOOKUP(YEAR($A23),'NY East Load Projections'!$A$4:$EO$14,((MONTH($A23)-1)*12)+VLOOKUP(AG$4,$DE$6:$DF$17,2)+1))*(VLOOKUP($A23,CURVES!$D$9:$T$261,6))*(INDEX(DailyScalarsTable,AG$5/100,MONTH($A23)))*$C23</f>
        <v>-9261.7346343599547</v>
      </c>
      <c r="AH23" s="1021">
        <f>(VLOOKUP(YEAR($A23),'NY East Load Projections'!$A$4:$EO$14,((MONTH($A23)-1)*12)+VLOOKUP(AH$4,$DE$6:$DF$17,2)+1))*(VLOOKUP($A23,CURVES!$D$9:$T$261,6))*(INDEX(DailyScalarsTable,AH$5/100,MONTH($A23)))*$C23</f>
        <v>-7673.4668572877317</v>
      </c>
      <c r="AI23" s="1021">
        <f>(VLOOKUP(YEAR($A23),'NY East Load Projections'!$A$4:$EO$14,((MONTH($A23)-1)*12)+VLOOKUP(AI$4,$DE$6:$DF$17,2)+1))*(VLOOKUP($A23,CURVES!$D$9:$T$261,6))*(INDEX(DailyScalarsTable,AI$5/100,MONTH($A23)))*$C23</f>
        <v>-6450.2636140500199</v>
      </c>
      <c r="AJ23" s="1021">
        <f>(VLOOKUP(YEAR($A23),'NY East Load Projections'!$A$4:$EO$14,((MONTH($A23)-1)*12)+VLOOKUP(AJ$4,$DE$6:$DF$17,2)+1))*(VLOOKUP($A23,CURVES!$D$9:$T$261,6))*(INDEX(DailyScalarsTable,AJ$5/100,MONTH($A23)))*$C23</f>
        <v>-5988.0065744543754</v>
      </c>
      <c r="AK23" s="1021">
        <f>(VLOOKUP(YEAR($A23),'NY East Load Projections'!$A$4:$EO$14,((MONTH($A23)-1)*12)+VLOOKUP(AK$4,$DE$6:$DF$17,2)+1))*(VLOOKUP($A23,CURVES!$D$9:$T$261,6))*(INDEX(DailyScalarsTable,AK$5/100,MONTH($A23)))*$C23</f>
        <v>-6565.6437290844642</v>
      </c>
      <c r="AL23" s="1021">
        <f>(VLOOKUP(YEAR($A23),'NY East Load Projections'!$A$4:$EO$14,((MONTH($A23)-1)*12)+VLOOKUP(AL$4,$DE$6:$DF$17,2)+1))*(VLOOKUP($A23,CURVES!$D$9:$T$261,6))*(INDEX(DailyScalarsTable,AL$5/100,MONTH($A23)))*$C23</f>
        <v>-8010.5645935508619</v>
      </c>
      <c r="AM23" s="1021">
        <f>(VLOOKUP(YEAR($A23),'NY East Load Projections'!$A$4:$EO$14,((MONTH($A23)-1)*12)+VLOOKUP(AM$4,$DE$6:$DF$17,2)+1))*(VLOOKUP($A23,CURVES!$D$9:$T$261,6))*(INDEX(DailyScalarsTable,AM$5/100,MONTH($A23)))*$C23</f>
        <v>-9184.7125597010017</v>
      </c>
      <c r="AN23" s="1021">
        <f>(VLOOKUP(YEAR($A23),'NY East Load Projections'!$A$4:$EO$14,((MONTH($A23)-1)*12)+VLOOKUP(AN$4,$DE$6:$DF$17,2)+1))*(VLOOKUP($A23,SatSunCurve,2))*(INDEX(DailyScalarsTable,AN$5/100,MONTH($A23)))*$C23</f>
        <v>-6952.0160973453903</v>
      </c>
      <c r="AO23" s="1021">
        <f>(VLOOKUP(YEAR($A23),'NY East Load Projections'!$A$4:$EO$14,((MONTH($A23)-1)*12)+VLOOKUP(AO$4,$DE$6:$DF$17,2)+1))*(VLOOKUP($A23,SatSunCurve,2))*(INDEX(DailyScalarsTable,AO$5/100,MONTH($A23)))*$C23</f>
        <v>-8596.0273114857373</v>
      </c>
      <c r="AP23" s="1021">
        <f>(VLOOKUP(YEAR($A23),'NY East Load Projections'!$A$4:$EO$14,((MONTH($A23)-1)*12)+VLOOKUP(AP$4,$DE$6:$DF$17,2)+1))*(VLOOKUP($A23,SatSunCurve,2))*(INDEX(DailyScalarsTable,AP$5/100,MONTH($A23)))*$C23</f>
        <v>-9614.5925108835199</v>
      </c>
      <c r="AQ23" s="1021">
        <f>(VLOOKUP(YEAR($A23),'NY East Load Projections'!$A$4:$EO$14,((MONTH($A23)-1)*12)+VLOOKUP(AQ$4,$DE$6:$DF$17,2)+1))*(VLOOKUP($A23,SatSunCurve,2))*(INDEX(DailyScalarsTable,AQ$5/100,MONTH($A23)))*$C23</f>
        <v>-11059.568881035109</v>
      </c>
      <c r="AR23" s="1021">
        <f>(VLOOKUP(YEAR($A23),'NY East Load Projections'!$A$4:$EO$14,((MONTH($A23)-1)*12)+VLOOKUP(AR$4,$DE$6:$DF$17,2)+1))*(VLOOKUP($A23,SatSunCurve,2))*(INDEX(DailyScalarsTable,AR$5/100,MONTH($A23)))*$C23</f>
        <v>-11927.458755078194</v>
      </c>
      <c r="AS23" s="1021">
        <f>(VLOOKUP(YEAR($A23),'NY East Load Projections'!$A$4:$EO$14,((MONTH($A23)-1)*12)+VLOOKUP(AS$4,$DE$6:$DF$17,2)+1))*(VLOOKUP($A23,SatSunCurve,2))*(INDEX(DailyScalarsTable,AS$5/100,MONTH($A23)))*$C23</f>
        <v>-12505.69473183676</v>
      </c>
      <c r="AT23" s="1021">
        <f>(VLOOKUP(YEAR($A23),'NY East Load Projections'!$A$4:$EO$14,((MONTH($A23)-1)*12)+VLOOKUP(AT$4,$DE$6:$DF$17,2)+1))*(VLOOKUP($A23,SatSunCurve,2))*(INDEX(DailyScalarsTable,AT$5/100,MONTH($A23)))*$C23</f>
        <v>-13829.845000670923</v>
      </c>
      <c r="AU23" s="1021">
        <f>(VLOOKUP(YEAR($A23),'NY East Load Projections'!$A$4:$EO$14,((MONTH($A23)-1)*12)+VLOOKUP(AU$4,$DE$6:$DF$17,2)+1))*(VLOOKUP($A23,SatSunCurve,2))*(INDEX(DailyScalarsTable,AU$5/100,MONTH($A23)))*$C23</f>
        <v>-13936.263506777002</v>
      </c>
      <c r="AV23" s="1021">
        <f>(VLOOKUP(YEAR($A23),'NY East Load Projections'!$A$4:$EO$14,((MONTH($A23)-1)*12)+VLOOKUP(AV$4,$DE$6:$DF$17,2)+1))*(VLOOKUP($A23,SatSunCurve,2))*(INDEX(DailyScalarsTable,AV$5/100,MONTH($A23)))*$C23</f>
        <v>-13959.067472371156</v>
      </c>
      <c r="AW23" s="1021">
        <f>(VLOOKUP(YEAR($A23),'NY East Load Projections'!$A$4:$EO$14,((MONTH($A23)-1)*12)+VLOOKUP(AW$4,$DE$6:$DF$17,2)+1))*(VLOOKUP($A23,SatSunCurve,2))*(INDEX(DailyScalarsTable,AW$5/100,MONTH($A23)))*$C23</f>
        <v>-13853.398597106047</v>
      </c>
      <c r="AX23" s="1021">
        <f>(VLOOKUP(YEAR($A23),'NY East Load Projections'!$A$4:$EO$14,((MONTH($A23)-1)*12)+VLOOKUP(AX$4,$DE$6:$DF$17,2)+1))*(VLOOKUP($A23,SatSunCurve,2))*(INDEX(DailyScalarsTable,AX$5/100,MONTH($A23)))*$C23</f>
        <v>-13442.146704340172</v>
      </c>
      <c r="AY23" s="1021">
        <f>(VLOOKUP(YEAR($A23),'NY East Load Projections'!$A$4:$EO$14,((MONTH($A23)-1)*12)+VLOOKUP(AY$4,$DE$6:$DF$17,2)+1))*(VLOOKUP($A23,SatSunCurve,2))*(INDEX(DailyScalarsTable,AY$5/100,MONTH($A23)))*$C23</f>
        <v>-11477.93640062446</v>
      </c>
      <c r="AZ23" s="1021">
        <f>(VLOOKUP(YEAR($A23),'NY East Load Projections'!$A$4:$EO$14,((MONTH($A23)-1)*12)+VLOOKUP(AZ$4,$DE$6:$DF$17,2)+1))*(VLOOKUP($A23,SatSunCurve,2))*(INDEX(DailyScalarsTable,AZ$5/100,MONTH($A23)))*$C23</f>
        <v>-9178.192061655729</v>
      </c>
      <c r="BA23" s="1021">
        <f>(VLOOKUP(YEAR($A23),'NY East Load Projections'!$A$4:$EO$14,((MONTH($A23)-1)*12)+VLOOKUP(BA$4,$DE$6:$DF$17,2)+1))*(VLOOKUP($A23,SatSunCurve,2))*(INDEX(DailyScalarsTable,BA$5/100,MONTH($A23)))*$C23</f>
        <v>-9658.6084222559675</v>
      </c>
      <c r="BB23" s="1021">
        <f>(VLOOKUP(YEAR($A23),'NY East Load Projections'!$A$4:$EO$14,((MONTH($A23)-1)*12)+VLOOKUP(BB$4,$DE$6:$DF$17,2)+1))*(VLOOKUP($A23,SatSunCurve,2))*(INDEX(DailyScalarsTable,BB$5/100,MONTH($A23)))*$C23</f>
        <v>-9841.1989655168363</v>
      </c>
      <c r="BC23" s="1021">
        <f>(VLOOKUP(YEAR($A23),'NY East Load Projections'!$A$4:$EO$14,((MONTH($A23)-1)*12)+VLOOKUP(BC$4,$DE$6:$DF$17,2)+1))*(VLOOKUP($A23,SatSunCurve,2))*(INDEX(DailyScalarsTable,BC$5/100,MONTH($A23)))*$C23</f>
        <v>-7891.6495429834786</v>
      </c>
      <c r="BD23" s="1021">
        <f>(VLOOKUP(YEAR($A23),'NY East Load Projections'!$A$4:$EO$14,((MONTH($A23)-1)*12)+VLOOKUP(BD$4,$DE$6:$DF$17,2)+1))*(VLOOKUP($A23,CURVES!$D$9:$T$261,6))*(INDEX(DailyScalarsTable,BD$5/100,MONTH($A23)))*$C23</f>
        <v>-11339.337763807742</v>
      </c>
      <c r="BE23" s="1021"/>
      <c r="BF23" s="1021">
        <f>(VLOOKUP(YEAR($A23),'NY East Load Projections'!$A$4:$EO$14,((MONTH($A23)-1)*12)+VLOOKUP(BF$4,$DE$6:$DF$17,2)+1))*(VLOOKUP($A23,CURVES!$D$9:$T$261,6))*(INDEX(DailyScalarsTable,BF$5/100,MONTH($A23)))*$D23</f>
        <v>-9261.7346343599547</v>
      </c>
      <c r="BG23" s="1021">
        <f>(VLOOKUP(YEAR($A23),'NY East Load Projections'!$A$4:$EO$14,((MONTH($A23)-1)*12)+VLOOKUP(BG$4,$DE$6:$DF$17,2)+1))*(VLOOKUP($A23,CURVES!$D$9:$T$261,6))*(INDEX(DailyScalarsTable,BG$5/100,MONTH($A23)))*$D23</f>
        <v>-7673.4668572877317</v>
      </c>
      <c r="BH23" s="1021">
        <f>(VLOOKUP(YEAR($A23),'NY East Load Projections'!$A$4:$EO$14,((MONTH($A23)-1)*12)+VLOOKUP(BH$4,$DE$6:$DF$17,2)+1))*(VLOOKUP($A23,CURVES!$D$9:$T$261,6))*(INDEX(DailyScalarsTable,BH$5/100,MONTH($A23)))*$D23</f>
        <v>-6450.2636140500199</v>
      </c>
      <c r="BI23" s="1021">
        <f>(VLOOKUP(YEAR($A23),'NY East Load Projections'!$A$4:$EO$14,((MONTH($A23)-1)*12)+VLOOKUP(BI$4,$DE$6:$DF$17,2)+1))*(VLOOKUP($A23,CURVES!$D$9:$T$261,6))*(INDEX(DailyScalarsTable,BI$5/100,MONTH($A23)))*$D23</f>
        <v>-5988.0065744543754</v>
      </c>
      <c r="BJ23" s="1021">
        <f>(VLOOKUP(YEAR($A23),'NY East Load Projections'!$A$4:$EO$14,((MONTH($A23)-1)*12)+VLOOKUP(BJ$4,$DE$6:$DF$17,2)+1))*(VLOOKUP($A23,CURVES!$D$9:$T$261,6))*(INDEX(DailyScalarsTable,BJ$5/100,MONTH($A23)))*$D23</f>
        <v>-6565.6437290844642</v>
      </c>
      <c r="BK23" s="1021">
        <f>(VLOOKUP(YEAR($A23),'NY East Load Projections'!$A$4:$EO$14,((MONTH($A23)-1)*12)+VLOOKUP(BK$4,$DE$6:$DF$17,2)+1))*(VLOOKUP($A23,CURVES!$D$9:$T$261,6))*(INDEX(DailyScalarsTable,BK$5/100,MONTH($A23)))*$D23</f>
        <v>-8010.5645935508619</v>
      </c>
      <c r="BL23" s="1021">
        <f>(VLOOKUP(YEAR($A23),'NY East Load Projections'!$A$4:$EO$14,((MONTH($A23)-1)*12)+VLOOKUP(BL$4,$DE$6:$DF$17,2)+1))*(VLOOKUP($A23,CURVES!$D$9:$T$261,6))*(INDEX(DailyScalarsTable,BL$5/100,MONTH($A23)))*$D23</f>
        <v>-9184.7125597010017</v>
      </c>
      <c r="BM23" s="1021">
        <f>(VLOOKUP(YEAR($A23),'NY East Load Projections'!$A$4:$EO$14,((MONTH($A23)-1)*12)+VLOOKUP(BM$4,$DE$6:$DF$17,2)+1))*(VLOOKUP($A23,SatSunCurve,6))*(INDEX(DailyScalarsTable,BM$5/100,MONTH($A23)))*$D23</f>
        <v>-4815.1451247489558</v>
      </c>
      <c r="BN23" s="1021">
        <f>(VLOOKUP(YEAR($A23),'NY East Load Projections'!$A$4:$EO$14,((MONTH($A23)-1)*12)+VLOOKUP(BN$4,$DE$6:$DF$17,2)+1))*(VLOOKUP($A23,SatSunCurve,6))*(INDEX(DailyScalarsTable,BN$5/100,MONTH($A23)))*$D23</f>
        <v>-5953.8295685066842</v>
      </c>
      <c r="BO23" s="1021">
        <f>(VLOOKUP(YEAR($A23),'NY East Load Projections'!$A$4:$EO$14,((MONTH($A23)-1)*12)+VLOOKUP(BO$4,$DE$6:$DF$17,2)+1))*(VLOOKUP($A23,SatSunCurve,6))*(INDEX(DailyScalarsTable,BO$5/100,MONTH($A23)))*$D23</f>
        <v>-6659.3140186925748</v>
      </c>
      <c r="BP23" s="1021">
        <f>(VLOOKUP(YEAR($A23),'NY East Load Projections'!$A$4:$EO$14,((MONTH($A23)-1)*12)+VLOOKUP(BP$4,$DE$6:$DF$17,2)+1))*(VLOOKUP($A23,SatSunCurve,6))*(INDEX(DailyScalarsTable,BP$5/100,MONTH($A23)))*$D23</f>
        <v>-7660.1418111900157</v>
      </c>
      <c r="BQ23" s="1021">
        <f>(VLOOKUP(YEAR($A23),'NY East Load Projections'!$A$4:$EO$14,((MONTH($A23)-1)*12)+VLOOKUP(BQ$4,$DE$6:$DF$17,2)+1))*(VLOOKUP($A23,SatSunCurve,6))*(INDEX(DailyScalarsTable,BQ$5/100,MONTH($A23)))*$D23</f>
        <v>-8261.2646563188264</v>
      </c>
      <c r="BR23" s="1021">
        <f>(VLOOKUP(YEAR($A23),'NY East Load Projections'!$A$4:$EO$14,((MONTH($A23)-1)*12)+VLOOKUP(BR$4,$DE$6:$DF$17,2)+1))*(VLOOKUP($A23,SatSunCurve,6))*(INDEX(DailyScalarsTable,BR$5/100,MONTH($A23)))*$D23</f>
        <v>-8661.7657635453543</v>
      </c>
      <c r="BS23" s="1021">
        <f>(VLOOKUP(YEAR($A23),'NY East Load Projections'!$A$4:$EO$14,((MONTH($A23)-1)*12)+VLOOKUP(BS$4,$DE$6:$DF$17,2)+1))*(VLOOKUP($A23,SatSunCurve,6))*(INDEX(DailyScalarsTable,BS$5/100,MONTH($A23)))*$D23</f>
        <v>-9578.906291146619</v>
      </c>
      <c r="BT23" s="1021">
        <f>(VLOOKUP(YEAR($A23),'NY East Load Projections'!$A$4:$EO$14,((MONTH($A23)-1)*12)+VLOOKUP(BT$4,$DE$6:$DF$17,2)+1))*(VLOOKUP($A23,SatSunCurve,6))*(INDEX(DailyScalarsTable,BT$5/100,MONTH($A23)))*$D23</f>
        <v>-9652.614485098502</v>
      </c>
      <c r="BU23" s="1021">
        <f>(VLOOKUP(YEAR($A23),'NY East Load Projections'!$A$4:$EO$14,((MONTH($A23)-1)*12)+VLOOKUP(BU$4,$DE$6:$DF$17,2)+1))*(VLOOKUP($A23,SatSunCurve,6))*(INDEX(DailyScalarsTable,BU$5/100,MONTH($A23)))*$D23</f>
        <v>-9668.4090980881883</v>
      </c>
      <c r="BV23" s="1021">
        <f>(VLOOKUP(YEAR($A23),'NY East Load Projections'!$A$4:$EO$14,((MONTH($A23)-1)*12)+VLOOKUP(BV$4,$DE$6:$DF$17,2)+1))*(VLOOKUP($A23,SatSunCurve,6))*(INDEX(DailyScalarsTable,BV$5/100,MONTH($A23)))*$D23</f>
        <v>-9595.2201177340139</v>
      </c>
      <c r="BW23" s="1021">
        <f>(VLOOKUP(YEAR($A23),'NY East Load Projections'!$A$4:$EO$14,((MONTH($A23)-1)*12)+VLOOKUP(BW$4,$DE$6:$DF$17,2)+1))*(VLOOKUP($A23,SatSunCurve,6))*(INDEX(DailyScalarsTable,BW$5/100,MONTH($A23)))*$D23</f>
        <v>-9310.3764811878427</v>
      </c>
      <c r="BX23" s="1021">
        <f>(VLOOKUP(YEAR($A23),'NY East Load Projections'!$A$4:$EO$14,((MONTH($A23)-1)*12)+VLOOKUP(BX$4,$DE$6:$DF$17,2)+1))*(VLOOKUP($A23,SatSunCurve,6))*(INDEX(DailyScalarsTable,BX$5/100,MONTH($A23)))*$D23</f>
        <v>-7949.9139138572127</v>
      </c>
      <c r="BY23" s="1021">
        <f>(VLOOKUP(YEAR($A23),'NY East Load Projections'!$A$4:$EO$14,((MONTH($A23)-1)*12)+VLOOKUP(BY$4,$DE$6:$DF$17,2)+1))*(VLOOKUP($A23,SatSunCurve,6))*(INDEX(DailyScalarsTable,BY$5/100,MONTH($A23)))*$D23</f>
        <v>-6357.051845228988</v>
      </c>
      <c r="BZ23" s="1021">
        <f>(VLOOKUP(YEAR($A23),'NY East Load Projections'!$A$4:$EO$14,((MONTH($A23)-1)*12)+VLOOKUP(BZ$4,$DE$6:$DF$17,2)+1))*(VLOOKUP($A23,SatSunCurve,6))*(INDEX(DailyScalarsTable,BZ$5/100,MONTH($A23)))*$D23</f>
        <v>-6689.8005708076289</v>
      </c>
      <c r="CA23" s="1021">
        <f>(VLOOKUP(YEAR($A23),'NY East Load Projections'!$A$4:$EO$14,((MONTH($A23)-1)*12)+VLOOKUP(CA$4,$DE$6:$DF$17,2)+1))*(VLOOKUP($A23,SatSunCurve,6))*(INDEX(DailyScalarsTable,CA$5/100,MONTH($A23)))*$D23</f>
        <v>-6816.2674765076263</v>
      </c>
      <c r="CB23" s="1021">
        <f>(VLOOKUP(YEAR($A23),'NY East Load Projections'!$A$4:$EO$14,((MONTH($A23)-1)*12)+VLOOKUP(CB$4,$DE$6:$DF$17,2)+1))*(VLOOKUP($A23,SatSunCurve,6))*(INDEX(DailyScalarsTable,CB$5/100,MONTH($A23)))*$D23</f>
        <v>-5465.959412498225</v>
      </c>
      <c r="CC23" s="1021">
        <f>(VLOOKUP(YEAR($A23),'NY East Load Projections'!$A$4:$EO$14,((MONTH($A23)-1)*12)+VLOOKUP(CC$4,$DE$6:$DF$17,2)+1))*(VLOOKUP($A23,CURVES!$D$9:$T$261,6))*(INDEX(DailyScalarsTable,CC$5/100,MONTH($A23)))*$D23</f>
        <v>-11339.337763807742</v>
      </c>
      <c r="CE23" s="1021">
        <f>(VLOOKUP(YEAR($A23),'NY East Load Projections'!$A$4:$EO$14,((MONTH($A23)-1)*12)+VLOOKUP(CE$4,$DE$6:$DF$17,2)+1))*(VLOOKUP($A23,CURVES!$D$9:$T$261,6))*(INDEX(DailyScalarsTable,CE$5/100,MONTH($A23)))*$E23</f>
        <v>0</v>
      </c>
      <c r="CF23" s="1021">
        <f>(VLOOKUP(YEAR($A23),'NY East Load Projections'!$A$4:$EO$14,((MONTH($A23)-1)*12)+VLOOKUP(CF$4,$DE$6:$DF$17,2)+1))*(VLOOKUP($A23,CURVES!$D$9:$T$261,6))*(INDEX(DailyScalarsTable,CF$5/100,MONTH($A23)))*$E23</f>
        <v>0</v>
      </c>
      <c r="CG23" s="1021">
        <f>(VLOOKUP(YEAR($A23),'NY East Load Projections'!$A$4:$EO$14,((MONTH($A23)-1)*12)+VLOOKUP(CG$4,$DE$6:$DF$17,2)+1))*(VLOOKUP($A23,CURVES!$D$9:$T$261,6))*(INDEX(DailyScalarsTable,CG$5/100,MONTH($A23)))*$E23</f>
        <v>0</v>
      </c>
      <c r="CH23" s="1021">
        <f>(VLOOKUP(YEAR($A23),'NY East Load Projections'!$A$4:$EO$14,((MONTH($A23)-1)*12)+VLOOKUP(CH$4,$DE$6:$DF$17,2)+1))*(VLOOKUP($A23,CURVES!$D$9:$T$261,6))*(INDEX(DailyScalarsTable,CH$5/100,MONTH($A23)))*$E23</f>
        <v>0</v>
      </c>
      <c r="CI23" s="1021">
        <f>(VLOOKUP(YEAR($A23),'NY East Load Projections'!$A$4:$EO$14,((MONTH($A23)-1)*12)+VLOOKUP(CI$4,$DE$6:$DF$17,2)+1))*(VLOOKUP($A23,CURVES!$D$9:$T$261,6))*(INDEX(DailyScalarsTable,CI$5/100,MONTH($A23)))*$E23</f>
        <v>0</v>
      </c>
      <c r="CJ23" s="1021">
        <f>(VLOOKUP(YEAR($A23),'NY East Load Projections'!$A$4:$EO$14,((MONTH($A23)-1)*12)+VLOOKUP(CJ$4,$DE$6:$DF$17,2)+1))*(VLOOKUP($A23,CURVES!$D$9:$T$261,6))*(INDEX(DailyScalarsTable,CJ$5/100,MONTH($A23)))*$E23</f>
        <v>0</v>
      </c>
      <c r="CK23" s="1021">
        <f>(VLOOKUP(YEAR($A23),'NY East Load Projections'!$A$4:$EO$14,((MONTH($A23)-1)*12)+VLOOKUP(CK$4,$DE$6:$DF$17,2)+1))*(VLOOKUP($A23,CURVES!$D$9:$T$261,6))*(INDEX(DailyScalarsTable,CK$5/100,MONTH($A23)))*$E23</f>
        <v>0</v>
      </c>
      <c r="CL23" s="1021">
        <f>(VLOOKUP(YEAR($A23),'NY East Load Projections'!$A$4:$EO$14,((MONTH($A23)-1)*12)+VLOOKUP(CL$4,$DE$6:$DF$17,2)+1))*(VLOOKUP($A23,SatSunCurve,6))*(INDEX(DailyScalarsTable,CL$5/100,MONTH($A23)))*$E23</f>
        <v>0</v>
      </c>
      <c r="CM23" s="1021">
        <f>(VLOOKUP(YEAR($A23),'NY East Load Projections'!$A$4:$EO$14,((MONTH($A23)-1)*12)+VLOOKUP(CM$4,$DE$6:$DF$17,2)+1))*(VLOOKUP($A23,SatSunCurve,6))*(INDEX(DailyScalarsTable,CM$5/100,MONTH($A23)))*$E23</f>
        <v>0</v>
      </c>
      <c r="CN23" s="1021">
        <f>(VLOOKUP(YEAR($A23),'NY East Load Projections'!$A$4:$EO$14,((MONTH($A23)-1)*12)+VLOOKUP(CN$4,$DE$6:$DF$17,2)+1))*(VLOOKUP($A23,SatSunCurve,6))*(INDEX(DailyScalarsTable,CN$5/100,MONTH($A23)))*$E23</f>
        <v>0</v>
      </c>
      <c r="CO23" s="1021">
        <f>(VLOOKUP(YEAR($A23),'NY East Load Projections'!$A$4:$EO$14,((MONTH($A23)-1)*12)+VLOOKUP(CO$4,$DE$6:$DF$17,2)+1))*(VLOOKUP($A23,SatSunCurve,6))*(INDEX(DailyScalarsTable,CO$5/100,MONTH($A23)))*$E23</f>
        <v>0</v>
      </c>
      <c r="CP23" s="1021">
        <f>(VLOOKUP(YEAR($A23),'NY East Load Projections'!$A$4:$EO$14,((MONTH($A23)-1)*12)+VLOOKUP(CP$4,$DE$6:$DF$17,2)+1))*(VLOOKUP($A23,SatSunCurve,6))*(INDEX(DailyScalarsTable,CP$5/100,MONTH($A23)))*$E23</f>
        <v>0</v>
      </c>
      <c r="CQ23" s="1021">
        <f>(VLOOKUP(YEAR($A23),'NY East Load Projections'!$A$4:$EO$14,((MONTH($A23)-1)*12)+VLOOKUP(CQ$4,$DE$6:$DF$17,2)+1))*(VLOOKUP($A23,SatSunCurve,6))*(INDEX(DailyScalarsTable,CQ$5/100,MONTH($A23)))*$E23</f>
        <v>0</v>
      </c>
      <c r="CR23" s="1021">
        <f>(VLOOKUP(YEAR($A23),'NY East Load Projections'!$A$4:$EO$14,((MONTH($A23)-1)*12)+VLOOKUP(CR$4,$DE$6:$DF$17,2)+1))*(VLOOKUP($A23,SatSunCurve,6))*(INDEX(DailyScalarsTable,CR$5/100,MONTH($A23)))*$E23</f>
        <v>0</v>
      </c>
      <c r="CS23" s="1021">
        <f>(VLOOKUP(YEAR($A23),'NY East Load Projections'!$A$4:$EO$14,((MONTH($A23)-1)*12)+VLOOKUP(CS$4,$DE$6:$DF$17,2)+1))*(VLOOKUP($A23,SatSunCurve,6))*(INDEX(DailyScalarsTable,CS$5/100,MONTH($A23)))*$E23</f>
        <v>0</v>
      </c>
      <c r="CT23" s="1021">
        <f>(VLOOKUP(YEAR($A23),'NY East Load Projections'!$A$4:$EO$14,((MONTH($A23)-1)*12)+VLOOKUP(CT$4,$DE$6:$DF$17,2)+1))*(VLOOKUP($A23,SatSunCurve,6))*(INDEX(DailyScalarsTable,CT$5/100,MONTH($A23)))*$E23</f>
        <v>0</v>
      </c>
      <c r="CU23" s="1021">
        <f>(VLOOKUP(YEAR($A23),'NY East Load Projections'!$A$4:$EO$14,((MONTH($A23)-1)*12)+VLOOKUP(CU$4,$DE$6:$DF$17,2)+1))*(VLOOKUP($A23,SatSunCurve,6))*(INDEX(DailyScalarsTable,CU$5/100,MONTH($A23)))*$E23</f>
        <v>0</v>
      </c>
      <c r="CV23" s="1021">
        <f>(VLOOKUP(YEAR($A23),'NY East Load Projections'!$A$4:$EO$14,((MONTH($A23)-1)*12)+VLOOKUP(CV$4,$DE$6:$DF$17,2)+1))*(VLOOKUP($A23,SatSunCurve,6))*(INDEX(DailyScalarsTable,CV$5/100,MONTH($A23)))*$E23</f>
        <v>0</v>
      </c>
      <c r="CW23" s="1021">
        <f>(VLOOKUP(YEAR($A23),'NY East Load Projections'!$A$4:$EO$14,((MONTH($A23)-1)*12)+VLOOKUP(CW$4,$DE$6:$DF$17,2)+1))*(VLOOKUP($A23,SatSunCurve,6))*(INDEX(DailyScalarsTable,CW$5/100,MONTH($A23)))*$E23</f>
        <v>0</v>
      </c>
      <c r="CX23" s="1021">
        <f>(VLOOKUP(YEAR($A23),'NY East Load Projections'!$A$4:$EO$14,((MONTH($A23)-1)*12)+VLOOKUP(CX$4,$DE$6:$DF$17,2)+1))*(VLOOKUP($A23,SatSunCurve,6))*(INDEX(DailyScalarsTable,CX$5/100,MONTH($A23)))*$E23</f>
        <v>0</v>
      </c>
      <c r="CY23" s="1021">
        <f>(VLOOKUP(YEAR($A23),'NY East Load Projections'!$A$4:$EO$14,((MONTH($A23)-1)*12)+VLOOKUP(CY$4,$DE$6:$DF$17,2)+1))*(VLOOKUP($A23,SatSunCurve,6))*(INDEX(DailyScalarsTable,CY$5/100,MONTH($A23)))*$E23</f>
        <v>0</v>
      </c>
      <c r="CZ23" s="1021">
        <f>(VLOOKUP(YEAR($A23),'NY East Load Projections'!$A$4:$EO$14,((MONTH($A23)-1)*12)+VLOOKUP(CZ$4,$DE$6:$DF$17,2)+1))*(VLOOKUP($A23,SatSunCurve,6))*(INDEX(DailyScalarsTable,CZ$5/100,MONTH($A23)))*$E23</f>
        <v>0</v>
      </c>
      <c r="DA23" s="1021">
        <f>(VLOOKUP(YEAR($A23),'NY East Load Projections'!$A$4:$EO$14,((MONTH($A23)-1)*12)+VLOOKUP(DA$4,$DE$6:$DF$17,2)+1))*(VLOOKUP($A23,SatSunCurve,6))*(INDEX(DailyScalarsTable,DA$5/100,MONTH($A23)))*$E23</f>
        <v>0</v>
      </c>
      <c r="DB23" s="1021">
        <f>(VLOOKUP(YEAR($A23),'NY East Load Projections'!$A$4:$EO$14,((MONTH($A23)-1)*12)+VLOOKUP(DB$4,$DE$6:$DF$17,2)+1))*(VLOOKUP($A23,CURVES!$D$9:$T$261,6))*(INDEX(DailyScalarsTable,DB$5/100,MONTH($A23)))*$E23</f>
        <v>0</v>
      </c>
      <c r="DH23" s="1021">
        <f t="shared" si="0"/>
        <v>-2087293.2365891642</v>
      </c>
      <c r="DI23">
        <f ca="1">CALC!J43</f>
        <v>0.84671207670571935</v>
      </c>
      <c r="DJ23" s="1029">
        <f t="shared" ca="1" si="1"/>
        <v>-1767336.3910462137</v>
      </c>
    </row>
    <row r="24" spans="1:114" x14ac:dyDescent="0.25">
      <c r="A24" s="244">
        <v>37438</v>
      </c>
      <c r="B24" s="13">
        <v>22</v>
      </c>
      <c r="C24" s="210">
        <v>4</v>
      </c>
      <c r="D24" s="210">
        <v>4</v>
      </c>
      <c r="E24" s="210">
        <v>1</v>
      </c>
      <c r="F24" s="13">
        <v>31</v>
      </c>
      <c r="H24" s="1021">
        <f>(VLOOKUP(YEAR($A24),'NY East Load Projections'!$A$4:$EO$14,((MONTH($A24)-1)*12)+VLOOKUP(H$4,$DE$6:$DF$17,2)+1))*(VLOOKUP($A24,CURVES!$D$9:$K$261,6))*(INDEX(DailyScalarsTable,H$5/100,MONTH($A24)))*$B24</f>
        <v>-48031.346906805979</v>
      </c>
      <c r="I24" s="1021">
        <f>(VLOOKUP(YEAR($A24),'NY East Load Projections'!$A$4:$EO$14,((MONTH($A24)-1)*12)+VLOOKUP(I$4,$DE$6:$DF$17,2)+1))*(VLOOKUP($A24,CURVES!$D$9:$K$261,6))*(INDEX(DailyScalarsTable,I$5/100,MONTH($A24)))*$B24</f>
        <v>-43873.43736759328</v>
      </c>
      <c r="J24" s="1021">
        <f>(VLOOKUP(YEAR($A24),'NY East Load Projections'!$A$4:$EO$14,((MONTH($A24)-1)*12)+VLOOKUP(J$4,$DE$6:$DF$17,2)+1))*(VLOOKUP($A24,CURVES!$D$9:$K$261,6))*(INDEX(DailyScalarsTable,J$5/100,MONTH($A24)))*$B24</f>
        <v>-41803.847259111295</v>
      </c>
      <c r="K24" s="1021">
        <f>(VLOOKUP(YEAR($A24),'NY East Load Projections'!$A$4:$EO$14,((MONTH($A24)-1)*12)+VLOOKUP(K$4,$DE$6:$DF$17,2)+1))*(VLOOKUP($A24,CURVES!$D$9:$K$261,6))*(INDEX(DailyScalarsTable,K$5/100,MONTH($A24)))*$B24</f>
        <v>-37645.937719898604</v>
      </c>
      <c r="L24" s="1021">
        <f>(VLOOKUP(YEAR($A24),'NY East Load Projections'!$A$4:$EO$14,((MONTH($A24)-1)*12)+VLOOKUP(L$4,$DE$6:$DF$17,2)+1))*(VLOOKUP($A24,CURVES!$D$9:$K$261,6))*(INDEX(DailyScalarsTable,L$5/100,MONTH($A24)))*$B24</f>
        <v>-37012.639630054538</v>
      </c>
      <c r="M24" s="1021">
        <f>(VLOOKUP(YEAR($A24),'NY East Load Projections'!$A$4:$EO$14,((MONTH($A24)-1)*12)+VLOOKUP(M$4,$DE$6:$DF$17,2)+1))*(VLOOKUP($A24,CURVES!$D$9:$K$261,6))*(INDEX(DailyScalarsTable,M$5/100,MONTH($A24)))*$B24</f>
        <v>-40805.077286069027</v>
      </c>
      <c r="N24" s="1021">
        <f>(VLOOKUP(YEAR($A24),'NY East Load Projections'!$A$4:$EO$14,((MONTH($A24)-1)*12)+VLOOKUP(N$4,$DE$6:$DF$17,2)+1))*(VLOOKUP($A24,CURVES!$D$9:$K$261,6))*(INDEX(DailyScalarsTable,N$5/100,MONTH($A24)))*$B24</f>
        <v>-45315.265291303665</v>
      </c>
      <c r="O24" s="1021">
        <f>(VLOOKUP(YEAR($A24),'NY East Load Projections'!$A$4:$EO$14,((MONTH($A24)-1)*12)+VLOOKUP(O$4,$DE$6:$DF$17,2)+1))*(VLOOKUP($A24,CURVES!$D$9:$K$261,2))*(INDEX(DailyScalarsTable,O$5/100,MONTH($A24)))*$B24</f>
        <v>-81249.089838853339</v>
      </c>
      <c r="P24" s="1021">
        <f>(VLOOKUP(YEAR($A24),'NY East Load Projections'!$A$4:$EO$14,((MONTH($A24)-1)*12)+VLOOKUP(P$4,$DE$6:$DF$17,2)+1))*(VLOOKUP($A24,CURVES!$D$9:$K$261,2))*(INDEX(DailyScalarsTable,P$5/100,MONTH($A24)))*$B24</f>
        <v>-95266.852571149459</v>
      </c>
      <c r="Q24" s="1021">
        <f>(VLOOKUP(YEAR($A24),'NY East Load Projections'!$A$4:$EO$14,((MONTH($A24)-1)*12)+VLOOKUP(Q$4,$DE$6:$DF$17,2)+1))*(VLOOKUP($A24,CURVES!$D$9:$K$261,2))*(INDEX(DailyScalarsTable,Q$5/100,MONTH($A24)))*$B24</f>
        <v>-114060.53825470907</v>
      </c>
      <c r="R24" s="1021">
        <f>(VLOOKUP(YEAR($A24),'NY East Load Projections'!$A$4:$EO$14,((MONTH($A24)-1)*12)+VLOOKUP(R$4,$DE$6:$DF$17,2)+1))*(VLOOKUP($A24,CURVES!$D$9:$K$261,2))*(INDEX(DailyScalarsTable,R$5/100,MONTH($A24)))*$B24</f>
        <v>-129788.87207107841</v>
      </c>
      <c r="S24" s="1021">
        <f>(VLOOKUP(YEAR($A24),'NY East Load Projections'!$A$4:$EO$14,((MONTH($A24)-1)*12)+VLOOKUP(S$4,$DE$6:$DF$17,2)+1))*(VLOOKUP($A24,CURVES!$D$9:$K$261,2))*(INDEX(DailyScalarsTable,S$5/100,MONTH($A24)))*$B24</f>
        <v>-155168.37923349231</v>
      </c>
      <c r="T24" s="1021">
        <f>(VLOOKUP(YEAR($A24),'NY East Load Projections'!$A$4:$EO$14,((MONTH($A24)-1)*12)+VLOOKUP(T$4,$DE$6:$DF$17,2)+1))*(VLOOKUP($A24,CURVES!$D$9:$K$261,2))*(INDEX(DailyScalarsTable,T$5/100,MONTH($A24)))*$B24</f>
        <v>-171657.15081927553</v>
      </c>
      <c r="U24" s="1021">
        <f>(VLOOKUP(YEAR($A24),'NY East Load Projections'!$A$4:$EO$14,((MONTH($A24)-1)*12)+VLOOKUP(U$4,$DE$6:$DF$17,2)+1))*(VLOOKUP($A24,CURVES!$D$9:$K$261,2))*(INDEX(DailyScalarsTable,U$5/100,MONTH($A24)))*$B24</f>
        <v>-177434.59092981782</v>
      </c>
      <c r="V24" s="1021">
        <f>(VLOOKUP(YEAR($A24),'NY East Load Projections'!$A$4:$EO$14,((MONTH($A24)-1)*12)+VLOOKUP(V$4,$DE$6:$DF$17,2)+1))*(VLOOKUP($A24,CURVES!$D$9:$K$261,2))*(INDEX(DailyScalarsTable,V$5/100,MONTH($A24)))*$B24</f>
        <v>-184824.33990841842</v>
      </c>
      <c r="W24" s="1021">
        <f>(VLOOKUP(YEAR($A24),'NY East Load Projections'!$A$4:$EO$14,((MONTH($A24)-1)*12)+VLOOKUP(W$4,$DE$6:$DF$17,2)+1))*(VLOOKUP($A24,CURVES!$D$9:$K$261,2))*(INDEX(DailyScalarsTable,W$5/100,MONTH($A24)))*$B24</f>
        <v>-196150.80970652815</v>
      </c>
      <c r="X24" s="1021">
        <f>(VLOOKUP(YEAR($A24),'NY East Load Projections'!$A$4:$EO$14,((MONTH($A24)-1)*12)+VLOOKUP(X$4,$DE$6:$DF$17,2)+1))*(VLOOKUP($A24,CURVES!$D$9:$K$261,2))*(INDEX(DailyScalarsTable,X$5/100,MONTH($A24)))*$B24</f>
        <v>-194563.24778689485</v>
      </c>
      <c r="Y24" s="1021">
        <f>(VLOOKUP(YEAR($A24),'NY East Load Projections'!$A$4:$EO$14,((MONTH($A24)-1)*12)+VLOOKUP(Y$4,$DE$6:$DF$17,2)+1))*(VLOOKUP($A24,CURVES!$D$9:$K$261,2))*(INDEX(DailyScalarsTable,Y$5/100,MONTH($A24)))*$B24</f>
        <v>-189741.95717959083</v>
      </c>
      <c r="Z24" s="1021">
        <f>(VLOOKUP(YEAR($A24),'NY East Load Projections'!$A$4:$EO$14,((MONTH($A24)-1)*12)+VLOOKUP(Z$4,$DE$6:$DF$17,2)+1))*(VLOOKUP($A24,CURVES!$D$9:$K$261,2))*(INDEX(DailyScalarsTable,Z$5/100,MONTH($A24)))*$B24</f>
        <v>-158475.4302872371</v>
      </c>
      <c r="AA24" s="1021">
        <f>(VLOOKUP(YEAR($A24),'NY East Load Projections'!$A$4:$EO$14,((MONTH($A24)-1)*12)+VLOOKUP(AA$4,$DE$6:$DF$17,2)+1))*(VLOOKUP($A24,CURVES!$D$9:$K$261,2))*(INDEX(DailyScalarsTable,AA$5/100,MONTH($A24)))*$B24</f>
        <v>-117265.80813158161</v>
      </c>
      <c r="AB24" s="1021">
        <f>(VLOOKUP(YEAR($A24),'NY East Load Projections'!$A$4:$EO$14,((MONTH($A24)-1)*12)+VLOOKUP(AB$4,$DE$6:$DF$17,2)+1))*(VLOOKUP($A24,CURVES!$D$9:$K$261,2))*(INDEX(DailyScalarsTable,AB$5/100,MONTH($A24)))*$B24</f>
        <v>-124265.42875648559</v>
      </c>
      <c r="AC24" s="1021">
        <f>(VLOOKUP(YEAR($A24),'NY East Load Projections'!$A$4:$EO$14,((MONTH($A24)-1)*12)+VLOOKUP(AC$4,$DE$6:$DF$17,2)+1))*(VLOOKUP($A24,CURVES!$D$9:$K$261,2))*(INDEX(DailyScalarsTable,AC$5/100,MONTH($A24)))*$B24</f>
        <v>-131676.03959801272</v>
      </c>
      <c r="AD24" s="1021">
        <f>(VLOOKUP(YEAR($A24),'NY East Load Projections'!$A$4:$EO$14,((MONTH($A24)-1)*12)+VLOOKUP(AD$4,$DE$6:$DF$17,2)+1))*(VLOOKUP($A24,CURVES!$D$9:$K$261,2))*(INDEX(DailyScalarsTable,AD$5/100,MONTH($A24)))*$B24</f>
        <v>-91443.432765803096</v>
      </c>
      <c r="AE24" s="1021">
        <f>(VLOOKUP(YEAR($A24),'NY East Load Projections'!$A$4:$EO$14,((MONTH($A24)-1)*12)+VLOOKUP(AE$4,$DE$6:$DF$17,2)+1))*(VLOOKUP($A24,CURVES!$D$9:$K$261,6))*(INDEX(DailyScalarsTable,AE$5/100,MONTH($A24)))*$B24</f>
        <v>-55915.612713036258</v>
      </c>
      <c r="AF24" s="1021"/>
      <c r="AG24" s="1021">
        <f>(VLOOKUP(YEAR($A24),'NY East Load Projections'!$A$4:$EO$14,((MONTH($A24)-1)*12)+VLOOKUP(AG$4,$DE$6:$DF$17,2)+1))*(VLOOKUP($A24,CURVES!$D$9:$T$261,6))*(INDEX(DailyScalarsTable,AG$5/100,MONTH($A24)))*$C24</f>
        <v>-8475.8582910071163</v>
      </c>
      <c r="AH24" s="1021">
        <f>(VLOOKUP(YEAR($A24),'NY East Load Projections'!$A$4:$EO$14,((MONTH($A24)-1)*12)+VLOOKUP(AH$4,$DE$6:$DF$17,2)+1))*(VLOOKUP($A24,CURVES!$D$9:$T$261,6))*(INDEX(DailyScalarsTable,AH$5/100,MONTH($A24)))*$C24</f>
        <v>-7742.1322077146287</v>
      </c>
      <c r="AI24" s="1021">
        <f>(VLOOKUP(YEAR($A24),'NY East Load Projections'!$A$4:$EO$14,((MONTH($A24)-1)*12)+VLOOKUP(AI$4,$DE$6:$DF$17,2)+1))*(VLOOKUP($A24,CURVES!$D$9:$T$261,6))*(INDEX(DailyScalarsTable,AI$5/100,MONTH($A24)))*$C24</f>
        <v>-7376.9217022920193</v>
      </c>
      <c r="AJ24" s="1021">
        <f>(VLOOKUP(YEAR($A24),'NY East Load Projections'!$A$4:$EO$14,((MONTH($A24)-1)*12)+VLOOKUP(AJ$4,$DE$6:$DF$17,2)+1))*(VLOOKUP($A24,CURVES!$D$9:$T$261,6))*(INDEX(DailyScalarsTable,AJ$5/100,MONTH($A24)))*$C24</f>
        <v>-6643.1956189995308</v>
      </c>
      <c r="AK24" s="1021">
        <f>(VLOOKUP(YEAR($A24),'NY East Load Projections'!$A$4:$EO$14,((MONTH($A24)-1)*12)+VLOOKUP(AK$4,$DE$6:$DF$17,2)+1))*(VLOOKUP($A24,CURVES!$D$9:$T$261,6))*(INDEX(DailyScalarsTable,AK$5/100,MONTH($A24)))*$C24</f>
        <v>-6401.0075746926414</v>
      </c>
      <c r="AL24" s="1021">
        <f>(VLOOKUP(YEAR($A24),'NY East Load Projections'!$A$4:$EO$14,((MONTH($A24)-1)*12)+VLOOKUP(AL$4,$DE$6:$DF$17,2)+1))*(VLOOKUP($A24,CURVES!$D$9:$T$261,6))*(INDEX(DailyScalarsTable,AL$5/100,MONTH($A24)))*$C24</f>
        <v>-7056.8760132945326</v>
      </c>
      <c r="AM24" s="1021">
        <f>(VLOOKUP(YEAR($A24),'NY East Load Projections'!$A$4:$EO$14,((MONTH($A24)-1)*12)+VLOOKUP(AM$4,$DE$6:$DF$17,2)+1))*(VLOOKUP($A24,CURVES!$D$9:$T$261,6))*(INDEX(DailyScalarsTable,AM$5/100,MONTH($A24)))*$C24</f>
        <v>-7836.873005493715</v>
      </c>
      <c r="AN24" s="1021">
        <f>(VLOOKUP(YEAR($A24),'NY East Load Projections'!$A$4:$EO$14,((MONTH($A24)-1)*12)+VLOOKUP(AN$4,$DE$6:$DF$17,2)+1))*(VLOOKUP($A24,SatSunCurve,2))*(INDEX(DailyScalarsTable,AN$5/100,MONTH($A24)))*$C24</f>
        <v>-7540.7836448252865</v>
      </c>
      <c r="AO24" s="1021">
        <f>(VLOOKUP(YEAR($A24),'NY East Load Projections'!$A$4:$EO$14,((MONTH($A24)-1)*12)+VLOOKUP(AO$4,$DE$6:$DF$17,2)+1))*(VLOOKUP($A24,SatSunCurve,2))*(INDEX(DailyScalarsTable,AO$5/100,MONTH($A24)))*$C24</f>
        <v>-8937.2956449258672</v>
      </c>
      <c r="AP24" s="1021">
        <f>(VLOOKUP(YEAR($A24),'NY East Load Projections'!$A$4:$EO$14,((MONTH($A24)-1)*12)+VLOOKUP(AP$4,$DE$6:$DF$17,2)+1))*(VLOOKUP($A24,SatSunCurve,2))*(INDEX(DailyScalarsTable,AP$5/100,MONTH($A24)))*$C24</f>
        <v>-10700.39288891574</v>
      </c>
      <c r="AQ24" s="1021">
        <f>(VLOOKUP(YEAR($A24),'NY East Load Projections'!$A$4:$EO$14,((MONTH($A24)-1)*12)+VLOOKUP(AQ$4,$DE$6:$DF$17,2)+1))*(VLOOKUP($A24,SatSunCurve,2))*(INDEX(DailyScalarsTable,AQ$5/100,MONTH($A24)))*$C24</f>
        <v>-12175.919428579627</v>
      </c>
      <c r="AR24" s="1021">
        <f>(VLOOKUP(YEAR($A24),'NY East Load Projections'!$A$4:$EO$14,((MONTH($A24)-1)*12)+VLOOKUP(AR$4,$DE$6:$DF$17,2)+1))*(VLOOKUP($A24,SatSunCurve,2))*(INDEX(DailyScalarsTable,AR$5/100,MONTH($A24)))*$C24</f>
        <v>-14556.854168326639</v>
      </c>
      <c r="AS24" s="1021">
        <f>(VLOOKUP(YEAR($A24),'NY East Load Projections'!$A$4:$EO$14,((MONTH($A24)-1)*12)+VLOOKUP(AS$4,$DE$6:$DF$17,2)+1))*(VLOOKUP($A24,SatSunCurve,2))*(INDEX(DailyScalarsTable,AS$5/100,MONTH($A24)))*$C24</f>
        <v>-16186.276523037188</v>
      </c>
      <c r="AT24" s="1021">
        <f>(VLOOKUP(YEAR($A24),'NY East Load Projections'!$A$4:$EO$14,((MONTH($A24)-1)*12)+VLOOKUP(AT$4,$DE$6:$DF$17,2)+1))*(VLOOKUP($A24,SatSunCurve,2))*(INDEX(DailyScalarsTable,AT$5/100,MONTH($A24)))*$C24</f>
        <v>-16731.055710960321</v>
      </c>
      <c r="AU24" s="1021">
        <f>(VLOOKUP(YEAR($A24),'NY East Load Projections'!$A$4:$EO$14,((MONTH($A24)-1)*12)+VLOOKUP(AU$4,$DE$6:$DF$17,2)+1))*(VLOOKUP($A24,SatSunCurve,2))*(INDEX(DailyScalarsTable,AU$5/100,MONTH($A24)))*$C24</f>
        <v>-17427.866300164333</v>
      </c>
      <c r="AV24" s="1021">
        <f>(VLOOKUP(YEAR($A24),'NY East Load Projections'!$A$4:$EO$14,((MONTH($A24)-1)*12)+VLOOKUP(AV$4,$DE$6:$DF$17,2)+1))*(VLOOKUP($A24,SatSunCurve,2))*(INDEX(DailyScalarsTable,AV$5/100,MONTH($A24)))*$C24</f>
        <v>-18495.886894162486</v>
      </c>
      <c r="AW24" s="1021">
        <f>(VLOOKUP(YEAR($A24),'NY East Load Projections'!$A$4:$EO$14,((MONTH($A24)-1)*12)+VLOOKUP(AW$4,$DE$6:$DF$17,2)+1))*(VLOOKUP($A24,SatSunCurve,2))*(INDEX(DailyScalarsTable,AW$5/100,MONTH($A24)))*$C24</f>
        <v>-18275.712564028734</v>
      </c>
      <c r="AX24" s="1021">
        <f>(VLOOKUP(YEAR($A24),'NY East Load Projections'!$A$4:$EO$14,((MONTH($A24)-1)*12)+VLOOKUP(AX$4,$DE$6:$DF$17,2)+1))*(VLOOKUP($A24,SatSunCurve,2))*(INDEX(DailyScalarsTable,AX$5/100,MONTH($A24)))*$C24</f>
        <v>-17822.839154846904</v>
      </c>
      <c r="AY24" s="1021">
        <f>(VLOOKUP(YEAR($A24),'NY East Load Projections'!$A$4:$EO$14,((MONTH($A24)-1)*12)+VLOOKUP(AY$4,$DE$6:$DF$17,2)+1))*(VLOOKUP($A24,SatSunCurve,2))*(INDEX(DailyScalarsTable,AY$5/100,MONTH($A24)))*$C24</f>
        <v>-14885.912140830334</v>
      </c>
      <c r="AZ24" s="1021">
        <f>(VLOOKUP(YEAR($A24),'NY East Load Projections'!$A$4:$EO$14,((MONTH($A24)-1)*12)+VLOOKUP(AZ$4,$DE$6:$DF$17,2)+1))*(VLOOKUP($A24,SatSunCurve,2))*(INDEX(DailyScalarsTable,AZ$5/100,MONTH($A24)))*$C24</f>
        <v>-11015.010426576986</v>
      </c>
      <c r="BA24" s="1021">
        <f>(VLOOKUP(YEAR($A24),'NY East Load Projections'!$A$4:$EO$14,((MONTH($A24)-1)*12)+VLOOKUP(BA$4,$DE$6:$DF$17,2)+1))*(VLOOKUP($A24,SatSunCurve,2))*(INDEX(DailyScalarsTable,BA$5/100,MONTH($A24)))*$C24</f>
        <v>-11805.518840549334</v>
      </c>
      <c r="BB24" s="1021">
        <f>(VLOOKUP(YEAR($A24),'NY East Load Projections'!$A$4:$EO$14,((MONTH($A24)-1)*12)+VLOOKUP(BB$4,$DE$6:$DF$17,2)+1))*(VLOOKUP($A24,SatSunCurve,2))*(INDEX(DailyScalarsTable,BB$5/100,MONTH($A24)))*$C24</f>
        <v>-12509.544946483173</v>
      </c>
      <c r="BC24" s="1021">
        <f>(VLOOKUP(YEAR($A24),'NY East Load Projections'!$A$4:$EO$14,((MONTH($A24)-1)*12)+VLOOKUP(BC$4,$DE$6:$DF$17,2)+1))*(VLOOKUP($A24,SatSunCurve,2))*(INDEX(DailyScalarsTable,BC$5/100,MONTH($A24)))*$C24</f>
        <v>-8687.3491619031811</v>
      </c>
      <c r="BD24" s="1021">
        <f>(VLOOKUP(YEAR($A24),'NY East Load Projections'!$A$4:$EO$14,((MONTH($A24)-1)*12)+VLOOKUP(BD$4,$DE$6:$DF$17,2)+1))*(VLOOKUP($A24,CURVES!$D$9:$T$261,6))*(INDEX(DailyScalarsTable,BD$5/100,MONTH($A24)))*$C24</f>
        <v>-9898.4718132933085</v>
      </c>
      <c r="BE24" s="1021"/>
      <c r="BF24" s="1021">
        <f>(VLOOKUP(YEAR($A24),'NY East Load Projections'!$A$4:$EO$14,((MONTH($A24)-1)*12)+VLOOKUP(BF$4,$DE$6:$DF$17,2)+1))*(VLOOKUP($A24,CURVES!$D$9:$T$261,6))*(INDEX(DailyScalarsTable,BF$5/100,MONTH($A24)))*$D24</f>
        <v>-8475.8582910071163</v>
      </c>
      <c r="BG24" s="1021">
        <f>(VLOOKUP(YEAR($A24),'NY East Load Projections'!$A$4:$EO$14,((MONTH($A24)-1)*12)+VLOOKUP(BG$4,$DE$6:$DF$17,2)+1))*(VLOOKUP($A24,CURVES!$D$9:$T$261,6))*(INDEX(DailyScalarsTable,BG$5/100,MONTH($A24)))*$D24</f>
        <v>-7742.1322077146287</v>
      </c>
      <c r="BH24" s="1021">
        <f>(VLOOKUP(YEAR($A24),'NY East Load Projections'!$A$4:$EO$14,((MONTH($A24)-1)*12)+VLOOKUP(BH$4,$DE$6:$DF$17,2)+1))*(VLOOKUP($A24,CURVES!$D$9:$T$261,6))*(INDEX(DailyScalarsTable,BH$5/100,MONTH($A24)))*$D24</f>
        <v>-7376.9217022920193</v>
      </c>
      <c r="BI24" s="1021">
        <f>(VLOOKUP(YEAR($A24),'NY East Load Projections'!$A$4:$EO$14,((MONTH($A24)-1)*12)+VLOOKUP(BI$4,$DE$6:$DF$17,2)+1))*(VLOOKUP($A24,CURVES!$D$9:$T$261,6))*(INDEX(DailyScalarsTable,BI$5/100,MONTH($A24)))*$D24</f>
        <v>-6643.1956189995308</v>
      </c>
      <c r="BJ24" s="1021">
        <f>(VLOOKUP(YEAR($A24),'NY East Load Projections'!$A$4:$EO$14,((MONTH($A24)-1)*12)+VLOOKUP(BJ$4,$DE$6:$DF$17,2)+1))*(VLOOKUP($A24,CURVES!$D$9:$T$261,6))*(INDEX(DailyScalarsTable,BJ$5/100,MONTH($A24)))*$D24</f>
        <v>-6401.0075746926414</v>
      </c>
      <c r="BK24" s="1021">
        <f>(VLOOKUP(YEAR($A24),'NY East Load Projections'!$A$4:$EO$14,((MONTH($A24)-1)*12)+VLOOKUP(BK$4,$DE$6:$DF$17,2)+1))*(VLOOKUP($A24,CURVES!$D$9:$T$261,6))*(INDEX(DailyScalarsTable,BK$5/100,MONTH($A24)))*$D24</f>
        <v>-7056.8760132945326</v>
      </c>
      <c r="BL24" s="1021">
        <f>(VLOOKUP(YEAR($A24),'NY East Load Projections'!$A$4:$EO$14,((MONTH($A24)-1)*12)+VLOOKUP(BL$4,$DE$6:$DF$17,2)+1))*(VLOOKUP($A24,CURVES!$D$9:$T$261,6))*(INDEX(DailyScalarsTable,BL$5/100,MONTH($A24)))*$D24</f>
        <v>-7836.873005493715</v>
      </c>
      <c r="BM24" s="1021">
        <f>(VLOOKUP(YEAR($A24),'NY East Load Projections'!$A$4:$EO$14,((MONTH($A24)-1)*12)+VLOOKUP(BM$4,$DE$6:$DF$17,2)+1))*(VLOOKUP($A24,SatSunCurve,6))*(INDEX(DailyScalarsTable,BM$5/100,MONTH($A24)))*$D24</f>
        <v>-5384.112813220172</v>
      </c>
      <c r="BN24" s="1021">
        <f>(VLOOKUP(YEAR($A24),'NY East Load Projections'!$A$4:$EO$14,((MONTH($A24)-1)*12)+VLOOKUP(BN$4,$DE$6:$DF$17,2)+1))*(VLOOKUP($A24,SatSunCurve,6))*(INDEX(DailyScalarsTable,BN$5/100,MONTH($A24)))*$D24</f>
        <v>-6381.2211387875032</v>
      </c>
      <c r="BO24" s="1021">
        <f>(VLOOKUP(YEAR($A24),'NY East Load Projections'!$A$4:$EO$14,((MONTH($A24)-1)*12)+VLOOKUP(BO$4,$DE$6:$DF$17,2)+1))*(VLOOKUP($A24,SatSunCurve,6))*(INDEX(DailyScalarsTable,BO$5/100,MONTH($A24)))*$D24</f>
        <v>-7640.0710023336114</v>
      </c>
      <c r="BP24" s="1021">
        <f>(VLOOKUP(YEAR($A24),'NY East Load Projections'!$A$4:$EO$14,((MONTH($A24)-1)*12)+VLOOKUP(BP$4,$DE$6:$DF$17,2)+1))*(VLOOKUP($A24,SatSunCurve,6))*(INDEX(DailyScalarsTable,BP$5/100,MONTH($A24)))*$D24</f>
        <v>-8693.5956388483391</v>
      </c>
      <c r="BQ24" s="1021">
        <f>(VLOOKUP(YEAR($A24),'NY East Load Projections'!$A$4:$EO$14,((MONTH($A24)-1)*12)+VLOOKUP(BQ$4,$DE$6:$DF$17,2)+1))*(VLOOKUP($A24,SatSunCurve,6))*(INDEX(DailyScalarsTable,BQ$5/100,MONTH($A24)))*$D24</f>
        <v>-10393.580924662745</v>
      </c>
      <c r="BR24" s="1021">
        <f>(VLOOKUP(YEAR($A24),'NY East Load Projections'!$A$4:$EO$14,((MONTH($A24)-1)*12)+VLOOKUP(BR$4,$DE$6:$DF$17,2)+1))*(VLOOKUP($A24,SatSunCurve,6))*(INDEX(DailyScalarsTable,BR$5/100,MONTH($A24)))*$D24</f>
        <v>-11556.987036196626</v>
      </c>
      <c r="BS24" s="1021">
        <f>(VLOOKUP(YEAR($A24),'NY East Load Projections'!$A$4:$EO$14,((MONTH($A24)-1)*12)+VLOOKUP(BS$4,$DE$6:$DF$17,2)+1))*(VLOOKUP($A24,SatSunCurve,6))*(INDEX(DailyScalarsTable,BS$5/100,MONTH($A24)))*$D24</f>
        <v>-11945.958891672872</v>
      </c>
      <c r="BT24" s="1021">
        <f>(VLOOKUP(YEAR($A24),'NY East Load Projections'!$A$4:$EO$14,((MONTH($A24)-1)*12)+VLOOKUP(BT$4,$DE$6:$DF$17,2)+1))*(VLOOKUP($A24,SatSunCurve,6))*(INDEX(DailyScalarsTable,BT$5/100,MONTH($A24)))*$D24</f>
        <v>-12443.481032398304</v>
      </c>
      <c r="BU24" s="1021">
        <f>(VLOOKUP(YEAR($A24),'NY East Load Projections'!$A$4:$EO$14,((MONTH($A24)-1)*12)+VLOOKUP(BU$4,$DE$6:$DF$17,2)+1))*(VLOOKUP($A24,SatSunCurve,6))*(INDEX(DailyScalarsTable,BU$5/100,MONTH($A24)))*$D24</f>
        <v>-13206.046786273837</v>
      </c>
      <c r="BV24" s="1021">
        <f>(VLOOKUP(YEAR($A24),'NY East Load Projections'!$A$4:$EO$14,((MONTH($A24)-1)*12)+VLOOKUP(BV$4,$DE$6:$DF$17,2)+1))*(VLOOKUP($A24,SatSunCurve,6))*(INDEX(DailyScalarsTable,BV$5/100,MONTH($A24)))*$D24</f>
        <v>-13048.842510451816</v>
      </c>
      <c r="BW24" s="1021">
        <f>(VLOOKUP(YEAR($A24),'NY East Load Projections'!$A$4:$EO$14,((MONTH($A24)-1)*12)+VLOOKUP(BW$4,$DE$6:$DF$17,2)+1))*(VLOOKUP($A24,SatSunCurve,6))*(INDEX(DailyScalarsTable,BW$5/100,MONTH($A24)))*$D24</f>
        <v>-12725.491299226462</v>
      </c>
      <c r="BX24" s="1021">
        <f>(VLOOKUP(YEAR($A24),'NY East Load Projections'!$A$4:$EO$14,((MONTH($A24)-1)*12)+VLOOKUP(BX$4,$DE$6:$DF$17,2)+1))*(VLOOKUP($A24,SatSunCurve,6))*(INDEX(DailyScalarsTable,BX$5/100,MONTH($A24)))*$D24</f>
        <v>-10628.528024260966</v>
      </c>
      <c r="BY24" s="1021">
        <f>(VLOOKUP(YEAR($A24),'NY East Load Projections'!$A$4:$EO$14,((MONTH($A24)-1)*12)+VLOOKUP(BY$4,$DE$6:$DF$17,2)+1))*(VLOOKUP($A24,SatSunCurve,6))*(INDEX(DailyScalarsTable,BY$5/100,MONTH($A24)))*$D24</f>
        <v>-7864.7076443022661</v>
      </c>
      <c r="BZ24" s="1021">
        <f>(VLOOKUP(YEAR($A24),'NY East Load Projections'!$A$4:$EO$14,((MONTH($A24)-1)*12)+VLOOKUP(BZ$4,$DE$6:$DF$17,2)+1))*(VLOOKUP($A24,SatSunCurve,6))*(INDEX(DailyScalarsTable,BZ$5/100,MONTH($A24)))*$D24</f>
        <v>-8429.1299485474738</v>
      </c>
      <c r="CA24" s="1021">
        <f>(VLOOKUP(YEAR($A24),'NY East Load Projections'!$A$4:$EO$14,((MONTH($A24)-1)*12)+VLOOKUP(CA$4,$DE$6:$DF$17,2)+1))*(VLOOKUP($A24,SatSunCurve,6))*(INDEX(DailyScalarsTable,CA$5/100,MONTH($A24)))*$D24</f>
        <v>-8931.8039617982158</v>
      </c>
      <c r="CB24" s="1021">
        <f>(VLOOKUP(YEAR($A24),'NY East Load Projections'!$A$4:$EO$14,((MONTH($A24)-1)*12)+VLOOKUP(CB$4,$DE$6:$DF$17,2)+1))*(VLOOKUP($A24,SatSunCurve,6))*(INDEX(DailyScalarsTable,CB$5/100,MONTH($A24)))*$D24</f>
        <v>-6202.7595722916585</v>
      </c>
      <c r="CC24" s="1021">
        <f>(VLOOKUP(YEAR($A24),'NY East Load Projections'!$A$4:$EO$14,((MONTH($A24)-1)*12)+VLOOKUP(CC$4,$DE$6:$DF$17,2)+1))*(VLOOKUP($A24,CURVES!$D$9:$T$261,6))*(INDEX(DailyScalarsTable,CC$5/100,MONTH($A24)))*$D24</f>
        <v>-9898.4718132933085</v>
      </c>
      <c r="CE24" s="1021">
        <f>(VLOOKUP(YEAR($A24),'NY East Load Projections'!$A$4:$EO$14,((MONTH($A24)-1)*12)+VLOOKUP(CE$4,$DE$6:$DF$17,2)+1))*(VLOOKUP($A24,CURVES!$D$9:$T$261,6))*(INDEX(DailyScalarsTable,CE$5/100,MONTH($A24)))*$E24</f>
        <v>-2118.9645727517791</v>
      </c>
      <c r="CF24" s="1021">
        <f>(VLOOKUP(YEAR($A24),'NY East Load Projections'!$A$4:$EO$14,((MONTH($A24)-1)*12)+VLOOKUP(CF$4,$DE$6:$DF$17,2)+1))*(VLOOKUP($A24,CURVES!$D$9:$T$261,6))*(INDEX(DailyScalarsTable,CF$5/100,MONTH($A24)))*$E24</f>
        <v>-1935.5330519286572</v>
      </c>
      <c r="CG24" s="1021">
        <f>(VLOOKUP(YEAR($A24),'NY East Load Projections'!$A$4:$EO$14,((MONTH($A24)-1)*12)+VLOOKUP(CG$4,$DE$6:$DF$17,2)+1))*(VLOOKUP($A24,CURVES!$D$9:$T$261,6))*(INDEX(DailyScalarsTable,CG$5/100,MONTH($A24)))*$E24</f>
        <v>-1844.2304255730048</v>
      </c>
      <c r="CH24" s="1021">
        <f>(VLOOKUP(YEAR($A24),'NY East Load Projections'!$A$4:$EO$14,((MONTH($A24)-1)*12)+VLOOKUP(CH$4,$DE$6:$DF$17,2)+1))*(VLOOKUP($A24,CURVES!$D$9:$T$261,6))*(INDEX(DailyScalarsTable,CH$5/100,MONTH($A24)))*$E24</f>
        <v>-1660.7989047498827</v>
      </c>
      <c r="CI24" s="1021">
        <f>(VLOOKUP(YEAR($A24),'NY East Load Projections'!$A$4:$EO$14,((MONTH($A24)-1)*12)+VLOOKUP(CI$4,$DE$6:$DF$17,2)+1))*(VLOOKUP($A24,CURVES!$D$9:$T$261,6))*(INDEX(DailyScalarsTable,CI$5/100,MONTH($A24)))*$E24</f>
        <v>-1600.2518936731603</v>
      </c>
      <c r="CJ24" s="1021">
        <f>(VLOOKUP(YEAR($A24),'NY East Load Projections'!$A$4:$EO$14,((MONTH($A24)-1)*12)+VLOOKUP(CJ$4,$DE$6:$DF$17,2)+1))*(VLOOKUP($A24,CURVES!$D$9:$T$261,6))*(INDEX(DailyScalarsTable,CJ$5/100,MONTH($A24)))*$E24</f>
        <v>-1764.2190033236332</v>
      </c>
      <c r="CK24" s="1021">
        <f>(VLOOKUP(YEAR($A24),'NY East Load Projections'!$A$4:$EO$14,((MONTH($A24)-1)*12)+VLOOKUP(CK$4,$DE$6:$DF$17,2)+1))*(VLOOKUP($A24,CURVES!$D$9:$T$261,6))*(INDEX(DailyScalarsTable,CK$5/100,MONTH($A24)))*$E24</f>
        <v>-1959.2182513734288</v>
      </c>
      <c r="CL24" s="1021">
        <f>(VLOOKUP(YEAR($A24),'NY East Load Projections'!$A$4:$EO$14,((MONTH($A24)-1)*12)+VLOOKUP(CL$4,$DE$6:$DF$17,2)+1))*(VLOOKUP($A24,SatSunCurve,6))*(INDEX(DailyScalarsTable,CL$5/100,MONTH($A24)))*$E24</f>
        <v>-1346.028203305043</v>
      </c>
      <c r="CM24" s="1021">
        <f>(VLOOKUP(YEAR($A24),'NY East Load Projections'!$A$4:$EO$14,((MONTH($A24)-1)*12)+VLOOKUP(CM$4,$DE$6:$DF$17,2)+1))*(VLOOKUP($A24,SatSunCurve,6))*(INDEX(DailyScalarsTable,CM$5/100,MONTH($A24)))*$E24</f>
        <v>-1595.3052846968758</v>
      </c>
      <c r="CN24" s="1021">
        <f>(VLOOKUP(YEAR($A24),'NY East Load Projections'!$A$4:$EO$14,((MONTH($A24)-1)*12)+VLOOKUP(CN$4,$DE$6:$DF$17,2)+1))*(VLOOKUP($A24,SatSunCurve,6))*(INDEX(DailyScalarsTable,CN$5/100,MONTH($A24)))*$E24</f>
        <v>-1910.0177505834029</v>
      </c>
      <c r="CO24" s="1021">
        <f>(VLOOKUP(YEAR($A24),'NY East Load Projections'!$A$4:$EO$14,((MONTH($A24)-1)*12)+VLOOKUP(CO$4,$DE$6:$DF$17,2)+1))*(VLOOKUP($A24,SatSunCurve,6))*(INDEX(DailyScalarsTable,CO$5/100,MONTH($A24)))*$E24</f>
        <v>-2173.3989097120848</v>
      </c>
      <c r="CP24" s="1021">
        <f>(VLOOKUP(YEAR($A24),'NY East Load Projections'!$A$4:$EO$14,((MONTH($A24)-1)*12)+VLOOKUP(CP$4,$DE$6:$DF$17,2)+1))*(VLOOKUP($A24,SatSunCurve,6))*(INDEX(DailyScalarsTable,CP$5/100,MONTH($A24)))*$E24</f>
        <v>-2598.3952311656863</v>
      </c>
      <c r="CQ24" s="1021">
        <f>(VLOOKUP(YEAR($A24),'NY East Load Projections'!$A$4:$EO$14,((MONTH($A24)-1)*12)+VLOOKUP(CQ$4,$DE$6:$DF$17,2)+1))*(VLOOKUP($A24,SatSunCurve,6))*(INDEX(DailyScalarsTable,CQ$5/100,MONTH($A24)))*$E24</f>
        <v>-2889.2467590491565</v>
      </c>
      <c r="CR24" s="1021">
        <f>(VLOOKUP(YEAR($A24),'NY East Load Projections'!$A$4:$EO$14,((MONTH($A24)-1)*12)+VLOOKUP(CR$4,$DE$6:$DF$17,2)+1))*(VLOOKUP($A24,SatSunCurve,6))*(INDEX(DailyScalarsTable,CR$5/100,MONTH($A24)))*$E24</f>
        <v>-2986.4897229182179</v>
      </c>
      <c r="CS24" s="1021">
        <f>(VLOOKUP(YEAR($A24),'NY East Load Projections'!$A$4:$EO$14,((MONTH($A24)-1)*12)+VLOOKUP(CS$4,$DE$6:$DF$17,2)+1))*(VLOOKUP($A24,SatSunCurve,6))*(INDEX(DailyScalarsTable,CS$5/100,MONTH($A24)))*$E24</f>
        <v>-3110.8702580995759</v>
      </c>
      <c r="CT24" s="1021">
        <f>(VLOOKUP(YEAR($A24),'NY East Load Projections'!$A$4:$EO$14,((MONTH($A24)-1)*12)+VLOOKUP(CT$4,$DE$6:$DF$17,2)+1))*(VLOOKUP($A24,SatSunCurve,6))*(INDEX(DailyScalarsTable,CT$5/100,MONTH($A24)))*$E24</f>
        <v>-3301.5116965684592</v>
      </c>
      <c r="CU24" s="1021">
        <f>(VLOOKUP(YEAR($A24),'NY East Load Projections'!$A$4:$EO$14,((MONTH($A24)-1)*12)+VLOOKUP(CU$4,$DE$6:$DF$17,2)+1))*(VLOOKUP($A24,SatSunCurve,6))*(INDEX(DailyScalarsTable,CU$5/100,MONTH($A24)))*$E24</f>
        <v>-3262.2106276129539</v>
      </c>
      <c r="CV24" s="1021">
        <f>(VLOOKUP(YEAR($A24),'NY East Load Projections'!$A$4:$EO$14,((MONTH($A24)-1)*12)+VLOOKUP(CV$4,$DE$6:$DF$17,2)+1))*(VLOOKUP($A24,SatSunCurve,6))*(INDEX(DailyScalarsTable,CV$5/100,MONTH($A24)))*$E24</f>
        <v>-3181.3728248066154</v>
      </c>
      <c r="CW24" s="1021">
        <f>(VLOOKUP(YEAR($A24),'NY East Load Projections'!$A$4:$EO$14,((MONTH($A24)-1)*12)+VLOOKUP(CW$4,$DE$6:$DF$17,2)+1))*(VLOOKUP($A24,SatSunCurve,6))*(INDEX(DailyScalarsTable,CW$5/100,MONTH($A24)))*$E24</f>
        <v>-2657.1320060652415</v>
      </c>
      <c r="CX24" s="1021">
        <f>(VLOOKUP(YEAR($A24),'NY East Load Projections'!$A$4:$EO$14,((MONTH($A24)-1)*12)+VLOOKUP(CX$4,$DE$6:$DF$17,2)+1))*(VLOOKUP($A24,SatSunCurve,6))*(INDEX(DailyScalarsTable,CX$5/100,MONTH($A24)))*$E24</f>
        <v>-1966.1769110755665</v>
      </c>
      <c r="CY24" s="1021">
        <f>(VLOOKUP(YEAR($A24),'NY East Load Projections'!$A$4:$EO$14,((MONTH($A24)-1)*12)+VLOOKUP(CY$4,$DE$6:$DF$17,2)+1))*(VLOOKUP($A24,SatSunCurve,6))*(INDEX(DailyScalarsTable,CY$5/100,MONTH($A24)))*$E24</f>
        <v>-2107.2824871368684</v>
      </c>
      <c r="CZ24" s="1021">
        <f>(VLOOKUP(YEAR($A24),'NY East Load Projections'!$A$4:$EO$14,((MONTH($A24)-1)*12)+VLOOKUP(CZ$4,$DE$6:$DF$17,2)+1))*(VLOOKUP($A24,SatSunCurve,6))*(INDEX(DailyScalarsTable,CZ$5/100,MONTH($A24)))*$E24</f>
        <v>-2232.950990449554</v>
      </c>
      <c r="DA24" s="1021">
        <f>(VLOOKUP(YEAR($A24),'NY East Load Projections'!$A$4:$EO$14,((MONTH($A24)-1)*12)+VLOOKUP(DA$4,$DE$6:$DF$17,2)+1))*(VLOOKUP($A24,SatSunCurve,6))*(INDEX(DailyScalarsTable,DA$5/100,MONTH($A24)))*$E24</f>
        <v>-1550.6898930729146</v>
      </c>
      <c r="DB24" s="1021">
        <f>(VLOOKUP(YEAR($A24),'NY East Load Projections'!$A$4:$EO$14,((MONTH($A24)-1)*12)+VLOOKUP(DB$4,$DE$6:$DF$17,2)+1))*(VLOOKUP($A24,CURVES!$D$9:$T$261,6))*(INDEX(DailyScalarsTable,DB$5/100,MONTH($A24)))*$E24</f>
        <v>-2474.6179533233271</v>
      </c>
      <c r="DH24" s="1021">
        <f t="shared" si="0"/>
        <v>-3213755.2547437809</v>
      </c>
      <c r="DI24">
        <f ca="1">CALC!J44</f>
        <v>0.84145367162451279</v>
      </c>
      <c r="DJ24" s="1029">
        <f t="shared" ca="1" si="1"/>
        <v>-2704226.1588067259</v>
      </c>
    </row>
    <row r="25" spans="1:114" x14ac:dyDescent="0.25">
      <c r="A25" s="244">
        <v>37469</v>
      </c>
      <c r="B25" s="13">
        <v>22</v>
      </c>
      <c r="C25" s="210">
        <v>5</v>
      </c>
      <c r="D25" s="210">
        <v>4</v>
      </c>
      <c r="E25" s="210">
        <v>0</v>
      </c>
      <c r="F25" s="13">
        <v>31</v>
      </c>
      <c r="H25" s="1021">
        <f>(VLOOKUP(YEAR($A25),'NY East Load Projections'!$A$4:$EO$14,((MONTH($A25)-1)*12)+VLOOKUP(H$4,$DE$6:$DF$17,2)+1))*(VLOOKUP($A25,CURVES!$D$9:$K$261,6))*(INDEX(DailyScalarsTable,H$5/100,MONTH($A25)))*$B25</f>
        <v>-48809.973930013213</v>
      </c>
      <c r="I25" s="1021">
        <f>(VLOOKUP(YEAR($A25),'NY East Load Projections'!$A$4:$EO$14,((MONTH($A25)-1)*12)+VLOOKUP(I$4,$DE$6:$DF$17,2)+1))*(VLOOKUP($A25,CURVES!$D$9:$K$261,6))*(INDEX(DailyScalarsTable,I$5/100,MONTH($A25)))*$B25</f>
        <v>-44061.618393546982</v>
      </c>
      <c r="J25" s="1021">
        <f>(VLOOKUP(YEAR($A25),'NY East Load Projections'!$A$4:$EO$14,((MONTH($A25)-1)*12)+VLOOKUP(J$4,$DE$6:$DF$17,2)+1))*(VLOOKUP($A25,CURVES!$D$9:$K$261,6))*(INDEX(DailyScalarsTable,J$5/100,MONTH($A25)))*$B25</f>
        <v>-39569.629470551947</v>
      </c>
      <c r="K25" s="1021">
        <f>(VLOOKUP(YEAR($A25),'NY East Load Projections'!$A$4:$EO$14,((MONTH($A25)-1)*12)+VLOOKUP(K$4,$DE$6:$DF$17,2)+1))*(VLOOKUP($A25,CURVES!$D$9:$K$261,6))*(INDEX(DailyScalarsTable,K$5/100,MONTH($A25)))*$B25</f>
        <v>-37228.890825815062</v>
      </c>
      <c r="L25" s="1021">
        <f>(VLOOKUP(YEAR($A25),'NY East Load Projections'!$A$4:$EO$14,((MONTH($A25)-1)*12)+VLOOKUP(L$4,$DE$6:$DF$17,2)+1))*(VLOOKUP($A25,CURVES!$D$9:$K$261,6))*(INDEX(DailyScalarsTable,L$5/100,MONTH($A25)))*$B25</f>
        <v>-40017.885435171906</v>
      </c>
      <c r="M25" s="1021">
        <f>(VLOOKUP(YEAR($A25),'NY East Load Projections'!$A$4:$EO$14,((MONTH($A25)-1)*12)+VLOOKUP(M$4,$DE$6:$DF$17,2)+1))*(VLOOKUP($A25,CURVES!$D$9:$K$261,6))*(INDEX(DailyScalarsTable,M$5/100,MONTH($A25)))*$B25</f>
        <v>-44461.752147759522</v>
      </c>
      <c r="N25" s="1021">
        <f>(VLOOKUP(YEAR($A25),'NY East Load Projections'!$A$4:$EO$14,((MONTH($A25)-1)*12)+VLOOKUP(N$4,$DE$6:$DF$17,2)+1))*(VLOOKUP($A25,CURVES!$D$9:$K$261,6))*(INDEX(DailyScalarsTable,N$5/100,MONTH($A25)))*$B25</f>
        <v>-51733.534041084669</v>
      </c>
      <c r="O25" s="1021">
        <f>(VLOOKUP(YEAR($A25),'NY East Load Projections'!$A$4:$EO$14,((MONTH($A25)-1)*12)+VLOOKUP(O$4,$DE$6:$DF$17,2)+1))*(VLOOKUP($A25,CURVES!$D$9:$K$261,2))*(INDEX(DailyScalarsTable,O$5/100,MONTH($A25)))*$B25</f>
        <v>-87967.168228305658</v>
      </c>
      <c r="P25" s="1021">
        <f>(VLOOKUP(YEAR($A25),'NY East Load Projections'!$A$4:$EO$14,((MONTH($A25)-1)*12)+VLOOKUP(P$4,$DE$6:$DF$17,2)+1))*(VLOOKUP($A25,CURVES!$D$9:$K$261,2))*(INDEX(DailyScalarsTable,P$5/100,MONTH($A25)))*$B25</f>
        <v>-102369.75278122783</v>
      </c>
      <c r="Q25" s="1021">
        <f>(VLOOKUP(YEAR($A25),'NY East Load Projections'!$A$4:$EO$14,((MONTH($A25)-1)*12)+VLOOKUP(Q$4,$DE$6:$DF$17,2)+1))*(VLOOKUP($A25,CURVES!$D$9:$K$261,2))*(INDEX(DailyScalarsTable,Q$5/100,MONTH($A25)))*$B25</f>
        <v>-131282.9100264851</v>
      </c>
      <c r="R25" s="1021">
        <f>(VLOOKUP(YEAR($A25),'NY East Load Projections'!$A$4:$EO$14,((MONTH($A25)-1)*12)+VLOOKUP(R$4,$DE$6:$DF$17,2)+1))*(VLOOKUP($A25,CURVES!$D$9:$K$261,2))*(INDEX(DailyScalarsTable,R$5/100,MONTH($A25)))*$B25</f>
        <v>-148172.7741598532</v>
      </c>
      <c r="S25" s="1021">
        <f>(VLOOKUP(YEAR($A25),'NY East Load Projections'!$A$4:$EO$14,((MONTH($A25)-1)*12)+VLOOKUP(S$4,$DE$6:$DF$17,2)+1))*(VLOOKUP($A25,CURVES!$D$9:$K$261,2))*(INDEX(DailyScalarsTable,S$5/100,MONTH($A25)))*$B25</f>
        <v>-154451.60500717312</v>
      </c>
      <c r="T25" s="1021">
        <f>(VLOOKUP(YEAR($A25),'NY East Load Projections'!$A$4:$EO$14,((MONTH($A25)-1)*12)+VLOOKUP(T$4,$DE$6:$DF$17,2)+1))*(VLOOKUP($A25,CURVES!$D$9:$K$261,2))*(INDEX(DailyScalarsTable,T$5/100,MONTH($A25)))*$B25</f>
        <v>-155039.88913175047</v>
      </c>
      <c r="U25" s="1021">
        <f>(VLOOKUP(YEAR($A25),'NY East Load Projections'!$A$4:$EO$14,((MONTH($A25)-1)*12)+VLOOKUP(U$4,$DE$6:$DF$17,2)+1))*(VLOOKUP($A25,CURVES!$D$9:$K$261,2))*(INDEX(DailyScalarsTable,U$5/100,MONTH($A25)))*$B25</f>
        <v>-170198.22926980307</v>
      </c>
      <c r="V25" s="1021">
        <f>(VLOOKUP(YEAR($A25),'NY East Load Projections'!$A$4:$EO$14,((MONTH($A25)-1)*12)+VLOOKUP(V$4,$DE$6:$DF$17,2)+1))*(VLOOKUP($A25,CURVES!$D$9:$K$261,2))*(INDEX(DailyScalarsTable,V$5/100,MONTH($A25)))*$B25</f>
        <v>-180181.49277473707</v>
      </c>
      <c r="W25" s="1021">
        <f>(VLOOKUP(YEAR($A25),'NY East Load Projections'!$A$4:$EO$14,((MONTH($A25)-1)*12)+VLOOKUP(W$4,$DE$6:$DF$17,2)+1))*(VLOOKUP($A25,CURVES!$D$9:$K$261,2))*(INDEX(DailyScalarsTable,W$5/100,MONTH($A25)))*$B25</f>
        <v>-177671.19440792582</v>
      </c>
      <c r="X25" s="1021">
        <f>(VLOOKUP(YEAR($A25),'NY East Load Projections'!$A$4:$EO$14,((MONTH($A25)-1)*12)+VLOOKUP(X$4,$DE$6:$DF$17,2)+1))*(VLOOKUP($A25,CURVES!$D$9:$K$261,2))*(INDEX(DailyScalarsTable,X$5/100,MONTH($A25)))*$B25</f>
        <v>-167895.60318491337</v>
      </c>
      <c r="Y25" s="1021">
        <f>(VLOOKUP(YEAR($A25),'NY East Load Projections'!$A$4:$EO$14,((MONTH($A25)-1)*12)+VLOOKUP(Y$4,$DE$6:$DF$17,2)+1))*(VLOOKUP($A25,CURVES!$D$9:$K$261,2))*(INDEX(DailyScalarsTable,Y$5/100,MONTH($A25)))*$B25</f>
        <v>-155481.7076859177</v>
      </c>
      <c r="Z25" s="1021">
        <f>(VLOOKUP(YEAR($A25),'NY East Load Projections'!$A$4:$EO$14,((MONTH($A25)-1)*12)+VLOOKUP(Z$4,$DE$6:$DF$17,2)+1))*(VLOOKUP($A25,CURVES!$D$9:$K$261,2))*(INDEX(DailyScalarsTable,Z$5/100,MONTH($A25)))*$B25</f>
        <v>-126733.73916192763</v>
      </c>
      <c r="AA25" s="1021">
        <f>(VLOOKUP(YEAR($A25),'NY East Load Projections'!$A$4:$EO$14,((MONTH($A25)-1)*12)+VLOOKUP(AA$4,$DE$6:$DF$17,2)+1))*(VLOOKUP($A25,CURVES!$D$9:$K$261,2))*(INDEX(DailyScalarsTable,AA$5/100,MONTH($A25)))*$B25</f>
        <v>-115383.89184856013</v>
      </c>
      <c r="AB25" s="1021">
        <f>(VLOOKUP(YEAR($A25),'NY East Load Projections'!$A$4:$EO$14,((MONTH($A25)-1)*12)+VLOOKUP(AB$4,$DE$6:$DF$17,2)+1))*(VLOOKUP($A25,CURVES!$D$9:$K$261,2))*(INDEX(DailyScalarsTable,AB$5/100,MONTH($A25)))*$B25</f>
        <v>-138261.64016547674</v>
      </c>
      <c r="AC25" s="1021">
        <f>(VLOOKUP(YEAR($A25),'NY East Load Projections'!$A$4:$EO$14,((MONTH($A25)-1)*12)+VLOOKUP(AC$4,$DE$6:$DF$17,2)+1))*(VLOOKUP($A25,CURVES!$D$9:$K$261,2))*(INDEX(DailyScalarsTable,AC$5/100,MONTH($A25)))*$B25</f>
        <v>-117567.72874042664</v>
      </c>
      <c r="AD25" s="1021">
        <f>(VLOOKUP(YEAR($A25),'NY East Load Projections'!$A$4:$EO$14,((MONTH($A25)-1)*12)+VLOOKUP(AD$4,$DE$6:$DF$17,2)+1))*(VLOOKUP($A25,CURVES!$D$9:$K$261,2))*(INDEX(DailyScalarsTable,AD$5/100,MONTH($A25)))*$B25</f>
        <v>-95202.659519882727</v>
      </c>
      <c r="AE25" s="1021">
        <f>(VLOOKUP(YEAR($A25),'NY East Load Projections'!$A$4:$EO$14,((MONTH($A25)-1)*12)+VLOOKUP(AE$4,$DE$6:$DF$17,2)+1))*(VLOOKUP($A25,CURVES!$D$9:$K$261,6))*(INDEX(DailyScalarsTable,AE$5/100,MONTH($A25)))*$B25</f>
        <v>-58201.367551271076</v>
      </c>
      <c r="AF25" s="1021"/>
      <c r="AG25" s="1021">
        <f>(VLOOKUP(YEAR($A25),'NY East Load Projections'!$A$4:$EO$14,((MONTH($A25)-1)*12)+VLOOKUP(AG$4,$DE$6:$DF$17,2)+1))*(VLOOKUP($A25,CURVES!$D$9:$T$261,6))*(INDEX(DailyScalarsTable,AG$5/100,MONTH($A25)))*$C25</f>
        <v>-11015.104706122745</v>
      </c>
      <c r="AH25" s="1021">
        <f>(VLOOKUP(YEAR($A25),'NY East Load Projections'!$A$4:$EO$14,((MONTH($A25)-1)*12)+VLOOKUP(AH$4,$DE$6:$DF$17,2)+1))*(VLOOKUP($A25,CURVES!$D$9:$T$261,6))*(INDEX(DailyScalarsTable,AH$5/100,MONTH($A25)))*$C25</f>
        <v>-9943.527952341452</v>
      </c>
      <c r="AI25" s="1021">
        <f>(VLOOKUP(YEAR($A25),'NY East Load Projections'!$A$4:$EO$14,((MONTH($A25)-1)*12)+VLOOKUP(AI$4,$DE$6:$DF$17,2)+1))*(VLOOKUP($A25,CURVES!$D$9:$T$261,6))*(INDEX(DailyScalarsTable,AI$5/100,MONTH($A25)))*$C25</f>
        <v>-8929.8062815107933</v>
      </c>
      <c r="AJ25" s="1021">
        <f>(VLOOKUP(YEAR($A25),'NY East Load Projections'!$A$4:$EO$14,((MONTH($A25)-1)*12)+VLOOKUP(AJ$4,$DE$6:$DF$17,2)+1))*(VLOOKUP($A25,CURVES!$D$9:$T$261,6))*(INDEX(DailyScalarsTable,AJ$5/100,MONTH($A25)))*$C25</f>
        <v>-8401.5642197876168</v>
      </c>
      <c r="AK25" s="1021">
        <f>(VLOOKUP(YEAR($A25),'NY East Load Projections'!$A$4:$EO$14,((MONTH($A25)-1)*12)+VLOOKUP(AK$4,$DE$6:$DF$17,2)+1))*(VLOOKUP($A25,CURVES!$D$9:$T$261,6))*(INDEX(DailyScalarsTable,AK$5/100,MONTH($A25)))*$C25</f>
        <v>-8876.2600838795424</v>
      </c>
      <c r="AL25" s="1021">
        <f>(VLOOKUP(YEAR($A25),'NY East Load Projections'!$A$4:$EO$14,((MONTH($A25)-1)*12)+VLOOKUP(AL$4,$DE$6:$DF$17,2)+1))*(VLOOKUP($A25,CURVES!$D$9:$T$261,6))*(INDEX(DailyScalarsTable,AL$5/100,MONTH($A25)))*$C25</f>
        <v>-9861.9422679850049</v>
      </c>
      <c r="AM25" s="1021">
        <f>(VLOOKUP(YEAR($A25),'NY East Load Projections'!$A$4:$EO$14,((MONTH($A25)-1)*12)+VLOOKUP(AM$4,$DE$6:$DF$17,2)+1))*(VLOOKUP($A25,CURVES!$D$9:$T$261,6))*(INDEX(DailyScalarsTable,AM$5/100,MONTH($A25)))*$C25</f>
        <v>-11474.876751066662</v>
      </c>
      <c r="AN25" s="1021">
        <f>(VLOOKUP(YEAR($A25),'NY East Load Projections'!$A$4:$EO$14,((MONTH($A25)-1)*12)+VLOOKUP(AN$4,$DE$6:$DF$17,2)+1))*(VLOOKUP($A25,SatSunCurve,2))*(INDEX(DailyScalarsTable,AN$5/100,MONTH($A25)))*$C25</f>
        <v>-11896.839410513176</v>
      </c>
      <c r="AO25" s="1021">
        <f>(VLOOKUP(YEAR($A25),'NY East Load Projections'!$A$4:$EO$14,((MONTH($A25)-1)*12)+VLOOKUP(AO$4,$DE$6:$DF$17,2)+1))*(VLOOKUP($A25,SatSunCurve,2))*(INDEX(DailyScalarsTable,AO$5/100,MONTH($A25)))*$C25</f>
        <v>-14047.251517186702</v>
      </c>
      <c r="AP25" s="1021">
        <f>(VLOOKUP(YEAR($A25),'NY East Load Projections'!$A$4:$EO$14,((MONTH($A25)-1)*12)+VLOOKUP(AP$4,$DE$6:$DF$17,2)+1))*(VLOOKUP($A25,SatSunCurve,2))*(INDEX(DailyScalarsTable,AP$5/100,MONTH($A25)))*$C25</f>
        <v>-18014.735866280262</v>
      </c>
      <c r="AQ25" s="1021">
        <f>(VLOOKUP(YEAR($A25),'NY East Load Projections'!$A$4:$EO$14,((MONTH($A25)-1)*12)+VLOOKUP(AQ$4,$DE$6:$DF$17,2)+1))*(VLOOKUP($A25,SatSunCurve,2))*(INDEX(DailyScalarsTable,AQ$5/100,MONTH($A25)))*$C25</f>
        <v>-20332.375238523029</v>
      </c>
      <c r="AR25" s="1021">
        <f>(VLOOKUP(YEAR($A25),'NY East Load Projections'!$A$4:$EO$14,((MONTH($A25)-1)*12)+VLOOKUP(AR$4,$DE$6:$DF$17,2)+1))*(VLOOKUP($A25,SatSunCurve,2))*(INDEX(DailyScalarsTable,AR$5/100,MONTH($A25)))*$C25</f>
        <v>-21193.960948656219</v>
      </c>
      <c r="AS25" s="1021">
        <f>(VLOOKUP(YEAR($A25),'NY East Load Projections'!$A$4:$EO$14,((MONTH($A25)-1)*12)+VLOOKUP(AS$4,$DE$6:$DF$17,2)+1))*(VLOOKUP($A25,SatSunCurve,2))*(INDEX(DailyScalarsTable,AS$5/100,MONTH($A25)))*$C25</f>
        <v>-21325.949594178084</v>
      </c>
      <c r="AT25" s="1021">
        <f>(VLOOKUP(YEAR($A25),'NY East Load Projections'!$A$4:$EO$14,((MONTH($A25)-1)*12)+VLOOKUP(AT$4,$DE$6:$DF$17,2)+1))*(VLOOKUP($A25,SatSunCurve,2))*(INDEX(DailyScalarsTable,AT$5/100,MONTH($A25)))*$C25</f>
        <v>-23411.000090059239</v>
      </c>
      <c r="AU25" s="1021">
        <f>(VLOOKUP(YEAR($A25),'NY East Load Projections'!$A$4:$EO$14,((MONTH($A25)-1)*12)+VLOOKUP(AU$4,$DE$6:$DF$17,2)+1))*(VLOOKUP($A25,SatSunCurve,2))*(INDEX(DailyScalarsTable,AU$5/100,MONTH($A25)))*$C25</f>
        <v>-24784.211690531287</v>
      </c>
      <c r="AV25" s="1021">
        <f>(VLOOKUP(YEAR($A25),'NY East Load Projections'!$A$4:$EO$14,((MONTH($A25)-1)*12)+VLOOKUP(AV$4,$DE$6:$DF$17,2)+1))*(VLOOKUP($A25,SatSunCurve,2))*(INDEX(DailyScalarsTable,AV$5/100,MONTH($A25)))*$C25</f>
        <v>-24438.916703952244</v>
      </c>
      <c r="AW25" s="1021">
        <f>(VLOOKUP(YEAR($A25),'NY East Load Projections'!$A$4:$EO$14,((MONTH($A25)-1)*12)+VLOOKUP(AW$4,$DE$6:$DF$17,2)+1))*(VLOOKUP($A25,SatSunCurve,2))*(INDEX(DailyScalarsTable,AW$5/100,MONTH($A25)))*$C25</f>
        <v>-23102.329425464708</v>
      </c>
      <c r="AX25" s="1021">
        <f>(VLOOKUP(YEAR($A25),'NY East Load Projections'!$A$4:$EO$14,((MONTH($A25)-1)*12)+VLOOKUP(AX$4,$DE$6:$DF$17,2)+1))*(VLOOKUP($A25,SatSunCurve,2))*(INDEX(DailyScalarsTable,AX$5/100,MONTH($A25)))*$C25</f>
        <v>-21394.185210662177</v>
      </c>
      <c r="AY25" s="1021">
        <f>(VLOOKUP(YEAR($A25),'NY East Load Projections'!$A$4:$EO$14,((MONTH($A25)-1)*12)+VLOOKUP(AY$4,$DE$6:$DF$17,2)+1))*(VLOOKUP($A25,SatSunCurve,2))*(INDEX(DailyScalarsTable,AY$5/100,MONTH($A25)))*$C25</f>
        <v>-17438.482818487875</v>
      </c>
      <c r="AZ25" s="1021">
        <f>(VLOOKUP(YEAR($A25),'NY East Load Projections'!$A$4:$EO$14,((MONTH($A25)-1)*12)+VLOOKUP(AZ$4,$DE$6:$DF$17,2)+1))*(VLOOKUP($A25,SatSunCurve,2))*(INDEX(DailyScalarsTable,AZ$5/100,MONTH($A25)))*$C25</f>
        <v>-15876.750964954128</v>
      </c>
      <c r="BA25" s="1021">
        <f>(VLOOKUP(YEAR($A25),'NY East Load Projections'!$A$4:$EO$14,((MONTH($A25)-1)*12)+VLOOKUP(BA$4,$DE$6:$DF$17,2)+1))*(VLOOKUP($A25,SatSunCurve,2))*(INDEX(DailyScalarsTable,BA$5/100,MONTH($A25)))*$C25</f>
        <v>-19218.395492505442</v>
      </c>
      <c r="BB25" s="1021">
        <f>(VLOOKUP(YEAR($A25),'NY East Load Projections'!$A$4:$EO$14,((MONTH($A25)-1)*12)+VLOOKUP(BB$4,$DE$6:$DF$17,2)+1))*(VLOOKUP($A25,SatSunCurve,2))*(INDEX(DailyScalarsTable,BB$5/100,MONTH($A25)))*$C25</f>
        <v>-16341.937687017942</v>
      </c>
      <c r="BC25" s="1021">
        <f>(VLOOKUP(YEAR($A25),'NY East Load Projections'!$A$4:$EO$14,((MONTH($A25)-1)*12)+VLOOKUP(BC$4,$DE$6:$DF$17,2)+1))*(VLOOKUP($A25,SatSunCurve,2))*(INDEX(DailyScalarsTable,BC$5/100,MONTH($A25)))*$C25</f>
        <v>-13233.188615451543</v>
      </c>
      <c r="BD25" s="1021">
        <f>(VLOOKUP(YEAR($A25),'NY East Load Projections'!$A$4:$EO$14,((MONTH($A25)-1)*12)+VLOOKUP(BD$4,$DE$6:$DF$17,2)+1))*(VLOOKUP($A25,CURVES!$D$9:$T$261,6))*(INDEX(DailyScalarsTable,BD$5/100,MONTH($A25)))*$C25</f>
        <v>-13268.245730367256</v>
      </c>
      <c r="BE25" s="1021"/>
      <c r="BF25" s="1021">
        <f>(VLOOKUP(YEAR($A25),'NY East Load Projections'!$A$4:$EO$14,((MONTH($A25)-1)*12)+VLOOKUP(BF$4,$DE$6:$DF$17,2)+1))*(VLOOKUP($A25,CURVES!$D$9:$T$261,6))*(INDEX(DailyScalarsTable,BF$5/100,MONTH($A25)))*$D25</f>
        <v>-8812.083764898196</v>
      </c>
      <c r="BG25" s="1021">
        <f>(VLOOKUP(YEAR($A25),'NY East Load Projections'!$A$4:$EO$14,((MONTH($A25)-1)*12)+VLOOKUP(BG$4,$DE$6:$DF$17,2)+1))*(VLOOKUP($A25,CURVES!$D$9:$T$261,6))*(INDEX(DailyScalarsTable,BG$5/100,MONTH($A25)))*$D25</f>
        <v>-7954.8223618731618</v>
      </c>
      <c r="BH25" s="1021">
        <f>(VLOOKUP(YEAR($A25),'NY East Load Projections'!$A$4:$EO$14,((MONTH($A25)-1)*12)+VLOOKUP(BH$4,$DE$6:$DF$17,2)+1))*(VLOOKUP($A25,CURVES!$D$9:$T$261,6))*(INDEX(DailyScalarsTable,BH$5/100,MONTH($A25)))*$D25</f>
        <v>-7143.8450252086341</v>
      </c>
      <c r="BI25" s="1021">
        <f>(VLOOKUP(YEAR($A25),'NY East Load Projections'!$A$4:$EO$14,((MONTH($A25)-1)*12)+VLOOKUP(BI$4,$DE$6:$DF$17,2)+1))*(VLOOKUP($A25,CURVES!$D$9:$T$261,6))*(INDEX(DailyScalarsTable,BI$5/100,MONTH($A25)))*$D25</f>
        <v>-6721.2513758300929</v>
      </c>
      <c r="BJ25" s="1021">
        <f>(VLOOKUP(YEAR($A25),'NY East Load Projections'!$A$4:$EO$14,((MONTH($A25)-1)*12)+VLOOKUP(BJ$4,$DE$6:$DF$17,2)+1))*(VLOOKUP($A25,CURVES!$D$9:$T$261,6))*(INDEX(DailyScalarsTable,BJ$5/100,MONTH($A25)))*$D25</f>
        <v>-7101.0080671036339</v>
      </c>
      <c r="BK25" s="1021">
        <f>(VLOOKUP(YEAR($A25),'NY East Load Projections'!$A$4:$EO$14,((MONTH($A25)-1)*12)+VLOOKUP(BK$4,$DE$6:$DF$17,2)+1))*(VLOOKUP($A25,CURVES!$D$9:$T$261,6))*(INDEX(DailyScalarsTable,BK$5/100,MONTH($A25)))*$D25</f>
        <v>-7889.553814388004</v>
      </c>
      <c r="BL25" s="1021">
        <f>(VLOOKUP(YEAR($A25),'NY East Load Projections'!$A$4:$EO$14,((MONTH($A25)-1)*12)+VLOOKUP(BL$4,$DE$6:$DF$17,2)+1))*(VLOOKUP($A25,CURVES!$D$9:$T$261,6))*(INDEX(DailyScalarsTable,BL$5/100,MONTH($A25)))*$D25</f>
        <v>-9179.9014008533304</v>
      </c>
      <c r="BM25" s="1021">
        <f>(VLOOKUP(YEAR($A25),'NY East Load Projections'!$A$4:$EO$14,((MONTH($A25)-1)*12)+VLOOKUP(BM$4,$DE$6:$DF$17,2)+1))*(VLOOKUP($A25,SatSunCurve,6))*(INDEX(DailyScalarsTable,BM$5/100,MONTH($A25)))*$D25</f>
        <v>-6766.9232298913103</v>
      </c>
      <c r="BN25" s="1021">
        <f>(VLOOKUP(YEAR($A25),'NY East Load Projections'!$A$4:$EO$14,((MONTH($A25)-1)*12)+VLOOKUP(BN$4,$DE$6:$DF$17,2)+1))*(VLOOKUP($A25,SatSunCurve,6))*(INDEX(DailyScalarsTable,BN$5/100,MONTH($A25)))*$D25</f>
        <v>-7990.0778120763371</v>
      </c>
      <c r="BO25" s="1021">
        <f>(VLOOKUP(YEAR($A25),'NY East Load Projections'!$A$4:$EO$14,((MONTH($A25)-1)*12)+VLOOKUP(BO$4,$DE$6:$DF$17,2)+1))*(VLOOKUP($A25,SatSunCurve,6))*(INDEX(DailyScalarsTable,BO$5/100,MONTH($A25)))*$D25</f>
        <v>-10246.783234390961</v>
      </c>
      <c r="BP25" s="1021">
        <f>(VLOOKUP(YEAR($A25),'NY East Load Projections'!$A$4:$EO$14,((MONTH($A25)-1)*12)+VLOOKUP(BP$4,$DE$6:$DF$17,2)+1))*(VLOOKUP($A25,SatSunCurve,6))*(INDEX(DailyScalarsTable,BP$5/100,MONTH($A25)))*$D25</f>
        <v>-11565.056698911383</v>
      </c>
      <c r="BQ25" s="1021">
        <f>(VLOOKUP(YEAR($A25),'NY East Load Projections'!$A$4:$EO$14,((MONTH($A25)-1)*12)+VLOOKUP(BQ$4,$DE$6:$DF$17,2)+1))*(VLOOKUP($A25,SatSunCurve,6))*(INDEX(DailyScalarsTable,BQ$5/100,MONTH($A25)))*$D25</f>
        <v>-12055.126721315022</v>
      </c>
      <c r="BR25" s="1021">
        <f>(VLOOKUP(YEAR($A25),'NY East Load Projections'!$A$4:$EO$14,((MONTH($A25)-1)*12)+VLOOKUP(BR$4,$DE$6:$DF$17,2)+1))*(VLOOKUP($A25,SatSunCurve,6))*(INDEX(DailyScalarsTable,BR$5/100,MONTH($A25)))*$D25</f>
        <v>-12130.201873684862</v>
      </c>
      <c r="BS25" s="1021">
        <f>(VLOOKUP(YEAR($A25),'NY East Load Projections'!$A$4:$EO$14,((MONTH($A25)-1)*12)+VLOOKUP(BS$4,$DE$6:$DF$17,2)+1))*(VLOOKUP($A25,SatSunCurve,6))*(INDEX(DailyScalarsTable,BS$5/100,MONTH($A25)))*$D25</f>
        <v>-13316.178766304443</v>
      </c>
      <c r="BT25" s="1021">
        <f>(VLOOKUP(YEAR($A25),'NY East Load Projections'!$A$4:$EO$14,((MONTH($A25)-1)*12)+VLOOKUP(BT$4,$DE$6:$DF$17,2)+1))*(VLOOKUP($A25,SatSunCurve,6))*(INDEX(DailyScalarsTable,BT$5/100,MONTH($A25)))*$D25</f>
        <v>-14097.261636985111</v>
      </c>
      <c r="BU25" s="1021">
        <f>(VLOOKUP(YEAR($A25),'NY East Load Projections'!$A$4:$EO$14,((MONTH($A25)-1)*12)+VLOOKUP(BU$4,$DE$6:$DF$17,2)+1))*(VLOOKUP($A25,SatSunCurve,6))*(INDEX(DailyScalarsTable,BU$5/100,MONTH($A25)))*$D25</f>
        <v>-13900.857820372952</v>
      </c>
      <c r="BV25" s="1021">
        <f>(VLOOKUP(YEAR($A25),'NY East Load Projections'!$A$4:$EO$14,((MONTH($A25)-1)*12)+VLOOKUP(BV$4,$DE$6:$DF$17,2)+1))*(VLOOKUP($A25,SatSunCurve,6))*(INDEX(DailyScalarsTable,BV$5/100,MONTH($A25)))*$D25</f>
        <v>-13140.606867033041</v>
      </c>
      <c r="BW25" s="1021">
        <f>(VLOOKUP(YEAR($A25),'NY East Load Projections'!$A$4:$EO$14,((MONTH($A25)-1)*12)+VLOOKUP(BW$4,$DE$6:$DF$17,2)+1))*(VLOOKUP($A25,SatSunCurve,6))*(INDEX(DailyScalarsTable,BW$5/100,MONTH($A25)))*$D25</f>
        <v>-12169.01429792286</v>
      </c>
      <c r="BX25" s="1021">
        <f>(VLOOKUP(YEAR($A25),'NY East Load Projections'!$A$4:$EO$14,((MONTH($A25)-1)*12)+VLOOKUP(BX$4,$DE$6:$DF$17,2)+1))*(VLOOKUP($A25,SatSunCurve,6))*(INDEX(DailyScalarsTable,BX$5/100,MONTH($A25)))*$D25</f>
        <v>-9919.0104536677045</v>
      </c>
      <c r="BY25" s="1021">
        <f>(VLOOKUP(YEAR($A25),'NY East Load Projections'!$A$4:$EO$14,((MONTH($A25)-1)*12)+VLOOKUP(BY$4,$DE$6:$DF$17,2)+1))*(VLOOKUP($A25,SatSunCurve,6))*(INDEX(DailyScalarsTable,BY$5/100,MONTH($A25)))*$D25</f>
        <v>-9030.6972476241099</v>
      </c>
      <c r="BZ25" s="1021">
        <f>(VLOOKUP(YEAR($A25),'NY East Load Projections'!$A$4:$EO$14,((MONTH($A25)-1)*12)+VLOOKUP(BZ$4,$DE$6:$DF$17,2)+1))*(VLOOKUP($A25,SatSunCurve,6))*(INDEX(DailyScalarsTable,BZ$5/100,MONTH($A25)))*$D25</f>
        <v>-10931.424928250231</v>
      </c>
      <c r="CA25" s="1021">
        <f>(VLOOKUP(YEAR($A25),'NY East Load Projections'!$A$4:$EO$14,((MONTH($A25)-1)*12)+VLOOKUP(CA$4,$DE$6:$DF$17,2)+1))*(VLOOKUP($A25,SatSunCurve,6))*(INDEX(DailyScalarsTable,CA$5/100,MONTH($A25)))*$D25</f>
        <v>-9295.2954931874519</v>
      </c>
      <c r="CB25" s="1021">
        <f>(VLOOKUP(YEAR($A25),'NY East Load Projections'!$A$4:$EO$14,((MONTH($A25)-1)*12)+VLOOKUP(CB$4,$DE$6:$DF$17,2)+1))*(VLOOKUP($A25,SatSunCurve,6))*(INDEX(DailyScalarsTable,CB$5/100,MONTH($A25)))*$D25</f>
        <v>-7527.0387669769825</v>
      </c>
      <c r="CC25" s="1021">
        <f>(VLOOKUP(YEAR($A25),'NY East Load Projections'!$A$4:$EO$14,((MONTH($A25)-1)*12)+VLOOKUP(CC$4,$DE$6:$DF$17,2)+1))*(VLOOKUP($A25,CURVES!$D$9:$T$261,6))*(INDEX(DailyScalarsTable,CC$5/100,MONTH($A25)))*$D25</f>
        <v>-10614.596584293806</v>
      </c>
      <c r="CE25" s="1021">
        <f>(VLOOKUP(YEAR($A25),'NY East Load Projections'!$A$4:$EO$14,((MONTH($A25)-1)*12)+VLOOKUP(CE$4,$DE$6:$DF$17,2)+1))*(VLOOKUP($A25,CURVES!$D$9:$T$261,6))*(INDEX(DailyScalarsTable,CE$5/100,MONTH($A25)))*$E25</f>
        <v>0</v>
      </c>
      <c r="CF25" s="1021">
        <f>(VLOOKUP(YEAR($A25),'NY East Load Projections'!$A$4:$EO$14,((MONTH($A25)-1)*12)+VLOOKUP(CF$4,$DE$6:$DF$17,2)+1))*(VLOOKUP($A25,CURVES!$D$9:$T$261,6))*(INDEX(DailyScalarsTable,CF$5/100,MONTH($A25)))*$E25</f>
        <v>0</v>
      </c>
      <c r="CG25" s="1021">
        <f>(VLOOKUP(YEAR($A25),'NY East Load Projections'!$A$4:$EO$14,((MONTH($A25)-1)*12)+VLOOKUP(CG$4,$DE$6:$DF$17,2)+1))*(VLOOKUP($A25,CURVES!$D$9:$T$261,6))*(INDEX(DailyScalarsTable,CG$5/100,MONTH($A25)))*$E25</f>
        <v>0</v>
      </c>
      <c r="CH25" s="1021">
        <f>(VLOOKUP(YEAR($A25),'NY East Load Projections'!$A$4:$EO$14,((MONTH($A25)-1)*12)+VLOOKUP(CH$4,$DE$6:$DF$17,2)+1))*(VLOOKUP($A25,CURVES!$D$9:$T$261,6))*(INDEX(DailyScalarsTable,CH$5/100,MONTH($A25)))*$E25</f>
        <v>0</v>
      </c>
      <c r="CI25" s="1021">
        <f>(VLOOKUP(YEAR($A25),'NY East Load Projections'!$A$4:$EO$14,((MONTH($A25)-1)*12)+VLOOKUP(CI$4,$DE$6:$DF$17,2)+1))*(VLOOKUP($A25,CURVES!$D$9:$T$261,6))*(INDEX(DailyScalarsTable,CI$5/100,MONTH($A25)))*$E25</f>
        <v>0</v>
      </c>
      <c r="CJ25" s="1021">
        <f>(VLOOKUP(YEAR($A25),'NY East Load Projections'!$A$4:$EO$14,((MONTH($A25)-1)*12)+VLOOKUP(CJ$4,$DE$6:$DF$17,2)+1))*(VLOOKUP($A25,CURVES!$D$9:$T$261,6))*(INDEX(DailyScalarsTable,CJ$5/100,MONTH($A25)))*$E25</f>
        <v>0</v>
      </c>
      <c r="CK25" s="1021">
        <f>(VLOOKUP(YEAR($A25),'NY East Load Projections'!$A$4:$EO$14,((MONTH($A25)-1)*12)+VLOOKUP(CK$4,$DE$6:$DF$17,2)+1))*(VLOOKUP($A25,CURVES!$D$9:$T$261,6))*(INDEX(DailyScalarsTable,CK$5/100,MONTH($A25)))*$E25</f>
        <v>0</v>
      </c>
      <c r="CL25" s="1021">
        <f>(VLOOKUP(YEAR($A25),'NY East Load Projections'!$A$4:$EO$14,((MONTH($A25)-1)*12)+VLOOKUP(CL$4,$DE$6:$DF$17,2)+1))*(VLOOKUP($A25,SatSunCurve,6))*(INDEX(DailyScalarsTable,CL$5/100,MONTH($A25)))*$E25</f>
        <v>0</v>
      </c>
      <c r="CM25" s="1021">
        <f>(VLOOKUP(YEAR($A25),'NY East Load Projections'!$A$4:$EO$14,((MONTH($A25)-1)*12)+VLOOKUP(CM$4,$DE$6:$DF$17,2)+1))*(VLOOKUP($A25,SatSunCurve,6))*(INDEX(DailyScalarsTable,CM$5/100,MONTH($A25)))*$E25</f>
        <v>0</v>
      </c>
      <c r="CN25" s="1021">
        <f>(VLOOKUP(YEAR($A25),'NY East Load Projections'!$A$4:$EO$14,((MONTH($A25)-1)*12)+VLOOKUP(CN$4,$DE$6:$DF$17,2)+1))*(VLOOKUP($A25,SatSunCurve,6))*(INDEX(DailyScalarsTable,CN$5/100,MONTH($A25)))*$E25</f>
        <v>0</v>
      </c>
      <c r="CO25" s="1021">
        <f>(VLOOKUP(YEAR($A25),'NY East Load Projections'!$A$4:$EO$14,((MONTH($A25)-1)*12)+VLOOKUP(CO$4,$DE$6:$DF$17,2)+1))*(VLOOKUP($A25,SatSunCurve,6))*(INDEX(DailyScalarsTable,CO$5/100,MONTH($A25)))*$E25</f>
        <v>0</v>
      </c>
      <c r="CP25" s="1021">
        <f>(VLOOKUP(YEAR($A25),'NY East Load Projections'!$A$4:$EO$14,((MONTH($A25)-1)*12)+VLOOKUP(CP$4,$DE$6:$DF$17,2)+1))*(VLOOKUP($A25,SatSunCurve,6))*(INDEX(DailyScalarsTable,CP$5/100,MONTH($A25)))*$E25</f>
        <v>0</v>
      </c>
      <c r="CQ25" s="1021">
        <f>(VLOOKUP(YEAR($A25),'NY East Load Projections'!$A$4:$EO$14,((MONTH($A25)-1)*12)+VLOOKUP(CQ$4,$DE$6:$DF$17,2)+1))*(VLOOKUP($A25,SatSunCurve,6))*(INDEX(DailyScalarsTable,CQ$5/100,MONTH($A25)))*$E25</f>
        <v>0</v>
      </c>
      <c r="CR25" s="1021">
        <f>(VLOOKUP(YEAR($A25),'NY East Load Projections'!$A$4:$EO$14,((MONTH($A25)-1)*12)+VLOOKUP(CR$4,$DE$6:$DF$17,2)+1))*(VLOOKUP($A25,SatSunCurve,6))*(INDEX(DailyScalarsTable,CR$5/100,MONTH($A25)))*$E25</f>
        <v>0</v>
      </c>
      <c r="CS25" s="1021">
        <f>(VLOOKUP(YEAR($A25),'NY East Load Projections'!$A$4:$EO$14,((MONTH($A25)-1)*12)+VLOOKUP(CS$4,$DE$6:$DF$17,2)+1))*(VLOOKUP($A25,SatSunCurve,6))*(INDEX(DailyScalarsTable,CS$5/100,MONTH($A25)))*$E25</f>
        <v>0</v>
      </c>
      <c r="CT25" s="1021">
        <f>(VLOOKUP(YEAR($A25),'NY East Load Projections'!$A$4:$EO$14,((MONTH($A25)-1)*12)+VLOOKUP(CT$4,$DE$6:$DF$17,2)+1))*(VLOOKUP($A25,SatSunCurve,6))*(INDEX(DailyScalarsTable,CT$5/100,MONTH($A25)))*$E25</f>
        <v>0</v>
      </c>
      <c r="CU25" s="1021">
        <f>(VLOOKUP(YEAR($A25),'NY East Load Projections'!$A$4:$EO$14,((MONTH($A25)-1)*12)+VLOOKUP(CU$4,$DE$6:$DF$17,2)+1))*(VLOOKUP($A25,SatSunCurve,6))*(INDEX(DailyScalarsTable,CU$5/100,MONTH($A25)))*$E25</f>
        <v>0</v>
      </c>
      <c r="CV25" s="1021">
        <f>(VLOOKUP(YEAR($A25),'NY East Load Projections'!$A$4:$EO$14,((MONTH($A25)-1)*12)+VLOOKUP(CV$4,$DE$6:$DF$17,2)+1))*(VLOOKUP($A25,SatSunCurve,6))*(INDEX(DailyScalarsTable,CV$5/100,MONTH($A25)))*$E25</f>
        <v>0</v>
      </c>
      <c r="CW25" s="1021">
        <f>(VLOOKUP(YEAR($A25),'NY East Load Projections'!$A$4:$EO$14,((MONTH($A25)-1)*12)+VLOOKUP(CW$4,$DE$6:$DF$17,2)+1))*(VLOOKUP($A25,SatSunCurve,6))*(INDEX(DailyScalarsTable,CW$5/100,MONTH($A25)))*$E25</f>
        <v>0</v>
      </c>
      <c r="CX25" s="1021">
        <f>(VLOOKUP(YEAR($A25),'NY East Load Projections'!$A$4:$EO$14,((MONTH($A25)-1)*12)+VLOOKUP(CX$4,$DE$6:$DF$17,2)+1))*(VLOOKUP($A25,SatSunCurve,6))*(INDEX(DailyScalarsTable,CX$5/100,MONTH($A25)))*$E25</f>
        <v>0</v>
      </c>
      <c r="CY25" s="1021">
        <f>(VLOOKUP(YEAR($A25),'NY East Load Projections'!$A$4:$EO$14,((MONTH($A25)-1)*12)+VLOOKUP(CY$4,$DE$6:$DF$17,2)+1))*(VLOOKUP($A25,SatSunCurve,6))*(INDEX(DailyScalarsTable,CY$5/100,MONTH($A25)))*$E25</f>
        <v>0</v>
      </c>
      <c r="CZ25" s="1021">
        <f>(VLOOKUP(YEAR($A25),'NY East Load Projections'!$A$4:$EO$14,((MONTH($A25)-1)*12)+VLOOKUP(CZ$4,$DE$6:$DF$17,2)+1))*(VLOOKUP($A25,SatSunCurve,6))*(INDEX(DailyScalarsTable,CZ$5/100,MONTH($A25)))*$E25</f>
        <v>0</v>
      </c>
      <c r="DA25" s="1021">
        <f>(VLOOKUP(YEAR($A25),'NY East Load Projections'!$A$4:$EO$14,((MONTH($A25)-1)*12)+VLOOKUP(DA$4,$DE$6:$DF$17,2)+1))*(VLOOKUP($A25,SatSunCurve,6))*(INDEX(DailyScalarsTable,DA$5/100,MONTH($A25)))*$E25</f>
        <v>0</v>
      </c>
      <c r="DB25" s="1021">
        <f>(VLOOKUP(YEAR($A25),'NY East Load Projections'!$A$4:$EO$14,((MONTH($A25)-1)*12)+VLOOKUP(DB$4,$DE$6:$DF$17,2)+1))*(VLOOKUP($A25,CURVES!$D$9:$T$261,6))*(INDEX(DailyScalarsTable,DB$5/100,MONTH($A25)))*$E25</f>
        <v>0</v>
      </c>
      <c r="DH25" s="1021">
        <f t="shared" si="0"/>
        <v>-3215267.0954001094</v>
      </c>
      <c r="DI25">
        <f ca="1">CALC!J45</f>
        <v>0.83623893173036756</v>
      </c>
      <c r="DJ25" s="1029">
        <f t="shared" ca="1" si="1"/>
        <v>-2688731.5210851892</v>
      </c>
    </row>
    <row r="26" spans="1:114" x14ac:dyDescent="0.25">
      <c r="A26" s="244">
        <v>37500</v>
      </c>
      <c r="B26" s="13">
        <v>20</v>
      </c>
      <c r="C26" s="210">
        <v>4</v>
      </c>
      <c r="D26" s="210">
        <v>5</v>
      </c>
      <c r="E26" s="210">
        <v>1</v>
      </c>
      <c r="F26" s="13">
        <v>30</v>
      </c>
      <c r="H26" s="1021">
        <f>(VLOOKUP(YEAR($A26),'NY East Load Projections'!$A$4:$EO$14,((MONTH($A26)-1)*12)+VLOOKUP(H$4,$DE$6:$DF$17,2)+1))*(VLOOKUP($A26,CURVES!$D$9:$K$261,6))*(INDEX(DailyScalarsTable,H$5/100,MONTH($A26)))*$B26</f>
        <v>-35329.667550488084</v>
      </c>
      <c r="I26" s="1021">
        <f>(VLOOKUP(YEAR($A26),'NY East Load Projections'!$A$4:$EO$14,((MONTH($A26)-1)*12)+VLOOKUP(I$4,$DE$6:$DF$17,2)+1))*(VLOOKUP($A26,CURVES!$D$9:$K$261,6))*(INDEX(DailyScalarsTable,I$5/100,MONTH($A26)))*$B26</f>
        <v>-30995.344607413215</v>
      </c>
      <c r="J26" s="1021">
        <f>(VLOOKUP(YEAR($A26),'NY East Load Projections'!$A$4:$EO$14,((MONTH($A26)-1)*12)+VLOOKUP(J$4,$DE$6:$DF$17,2)+1))*(VLOOKUP($A26,CURVES!$D$9:$K$261,6))*(INDEX(DailyScalarsTable,J$5/100,MONTH($A26)))*$B26</f>
        <v>-29065.987603767062</v>
      </c>
      <c r="K26" s="1021">
        <f>(VLOOKUP(YEAR($A26),'NY East Load Projections'!$A$4:$EO$14,((MONTH($A26)-1)*12)+VLOOKUP(K$4,$DE$6:$DF$17,2)+1))*(VLOOKUP($A26,CURVES!$D$9:$K$261,6))*(INDEX(DailyScalarsTable,K$5/100,MONTH($A26)))*$B26</f>
        <v>-29496.727772022954</v>
      </c>
      <c r="L26" s="1021">
        <f>(VLOOKUP(YEAR($A26),'NY East Load Projections'!$A$4:$EO$14,((MONTH($A26)-1)*12)+VLOOKUP(L$4,$DE$6:$DF$17,2)+1))*(VLOOKUP($A26,CURVES!$D$9:$K$261,6))*(INDEX(DailyScalarsTable,L$5/100,MONTH($A26)))*$B26</f>
        <v>-33100.228661800327</v>
      </c>
      <c r="M26" s="1021">
        <f>(VLOOKUP(YEAR($A26),'NY East Load Projections'!$A$4:$EO$14,((MONTH($A26)-1)*12)+VLOOKUP(M$4,$DE$6:$DF$17,2)+1))*(VLOOKUP($A26,CURVES!$D$9:$K$261,6))*(INDEX(DailyScalarsTable,M$5/100,MONTH($A26)))*$B26</f>
        <v>-38304.491156386008</v>
      </c>
      <c r="N26" s="1021">
        <f>(VLOOKUP(YEAR($A26),'NY East Load Projections'!$A$4:$EO$14,((MONTH($A26)-1)*12)+VLOOKUP(N$4,$DE$6:$DF$17,2)+1))*(VLOOKUP($A26,CURVES!$D$9:$K$261,6))*(INDEX(DailyScalarsTable,N$5/100,MONTH($A26)))*$B26</f>
        <v>-52089.258122331594</v>
      </c>
      <c r="O26" s="1021">
        <f>(VLOOKUP(YEAR($A26),'NY East Load Projections'!$A$4:$EO$14,((MONTH($A26)-1)*12)+VLOOKUP(O$4,$DE$6:$DF$17,2)+1))*(VLOOKUP($A26,CURVES!$D$9:$K$261,2))*(INDEX(DailyScalarsTable,O$5/100,MONTH($A26)))*$B26</f>
        <v>-47156.120639559507</v>
      </c>
      <c r="P26" s="1021">
        <f>(VLOOKUP(YEAR($A26),'NY East Load Projections'!$A$4:$EO$14,((MONTH($A26)-1)*12)+VLOOKUP(P$4,$DE$6:$DF$17,2)+1))*(VLOOKUP($A26,CURVES!$D$9:$K$261,2))*(INDEX(DailyScalarsTable,P$5/100,MONTH($A26)))*$B26</f>
        <v>-48848.484778791171</v>
      </c>
      <c r="Q26" s="1021">
        <f>(VLOOKUP(YEAR($A26),'NY East Load Projections'!$A$4:$EO$14,((MONTH($A26)-1)*12)+VLOOKUP(Q$4,$DE$6:$DF$17,2)+1))*(VLOOKUP($A26,CURVES!$D$9:$K$261,2))*(INDEX(DailyScalarsTable,Q$5/100,MONTH($A26)))*$B26</f>
        <v>-60978.202996466687</v>
      </c>
      <c r="R26" s="1021">
        <f>(VLOOKUP(YEAR($A26),'NY East Load Projections'!$A$4:$EO$14,((MONTH($A26)-1)*12)+VLOOKUP(R$4,$DE$6:$DF$17,2)+1))*(VLOOKUP($A26,CURVES!$D$9:$K$261,2))*(INDEX(DailyScalarsTable,R$5/100,MONTH($A26)))*$B26</f>
        <v>-65121.895555299954</v>
      </c>
      <c r="S26" s="1021">
        <f>(VLOOKUP(YEAR($A26),'NY East Load Projections'!$A$4:$EO$14,((MONTH($A26)-1)*12)+VLOOKUP(S$4,$DE$6:$DF$17,2)+1))*(VLOOKUP($A26,CURVES!$D$9:$K$261,2))*(INDEX(DailyScalarsTable,S$5/100,MONTH($A26)))*$B26</f>
        <v>-69388.015394280563</v>
      </c>
      <c r="T26" s="1021">
        <f>(VLOOKUP(YEAR($A26),'NY East Load Projections'!$A$4:$EO$14,((MONTH($A26)-1)*12)+VLOOKUP(T$4,$DE$6:$DF$17,2)+1))*(VLOOKUP($A26,CURVES!$D$9:$K$261,2))*(INDEX(DailyScalarsTable,T$5/100,MONTH($A26)))*$B26</f>
        <v>-66176.532085435756</v>
      </c>
      <c r="U26" s="1021">
        <f>(VLOOKUP(YEAR($A26),'NY East Load Projections'!$A$4:$EO$14,((MONTH($A26)-1)*12)+VLOOKUP(U$4,$DE$6:$DF$17,2)+1))*(VLOOKUP($A26,CURVES!$D$9:$K$261,2))*(INDEX(DailyScalarsTable,U$5/100,MONTH($A26)))*$B26</f>
        <v>-71638.209414146171</v>
      </c>
      <c r="V26" s="1021">
        <f>(VLOOKUP(YEAR($A26),'NY East Load Projections'!$A$4:$EO$14,((MONTH($A26)-1)*12)+VLOOKUP(V$4,$DE$6:$DF$17,2)+1))*(VLOOKUP($A26,CURVES!$D$9:$K$261,2))*(INDEX(DailyScalarsTable,V$5/100,MONTH($A26)))*$B26</f>
        <v>-70507.879671334842</v>
      </c>
      <c r="W26" s="1021">
        <f>(VLOOKUP(YEAR($A26),'NY East Load Projections'!$A$4:$EO$14,((MONTH($A26)-1)*12)+VLOOKUP(W$4,$DE$6:$DF$17,2)+1))*(VLOOKUP($A26,CURVES!$D$9:$K$261,2))*(INDEX(DailyScalarsTable,W$5/100,MONTH($A26)))*$B26</f>
        <v>-68304.211601316012</v>
      </c>
      <c r="X26" s="1021">
        <f>(VLOOKUP(YEAR($A26),'NY East Load Projections'!$A$4:$EO$14,((MONTH($A26)-1)*12)+VLOOKUP(X$4,$DE$6:$DF$17,2)+1))*(VLOOKUP($A26,CURVES!$D$9:$K$261,2))*(INDEX(DailyScalarsTable,X$5/100,MONTH($A26)))*$B26</f>
        <v>-70922.938065946917</v>
      </c>
      <c r="Y26" s="1021">
        <f>(VLOOKUP(YEAR($A26),'NY East Load Projections'!$A$4:$EO$14,((MONTH($A26)-1)*12)+VLOOKUP(Y$4,$DE$6:$DF$17,2)+1))*(VLOOKUP($A26,CURVES!$D$9:$K$261,2))*(INDEX(DailyScalarsTable,Y$5/100,MONTH($A26)))*$B26</f>
        <v>-69183.059662779691</v>
      </c>
      <c r="Z26" s="1021">
        <f>(VLOOKUP(YEAR($A26),'NY East Load Projections'!$A$4:$EO$14,((MONTH($A26)-1)*12)+VLOOKUP(Z$4,$DE$6:$DF$17,2)+1))*(VLOOKUP($A26,CURVES!$D$9:$K$261,2))*(INDEX(DailyScalarsTable,Z$5/100,MONTH($A26)))*$B26</f>
        <v>-56665.092414729406</v>
      </c>
      <c r="AA26" s="1021">
        <f>(VLOOKUP(YEAR($A26),'NY East Load Projections'!$A$4:$EO$14,((MONTH($A26)-1)*12)+VLOOKUP(AA$4,$DE$6:$DF$17,2)+1))*(VLOOKUP($A26,CURVES!$D$9:$K$261,2))*(INDEX(DailyScalarsTable,AA$5/100,MONTH($A26)))*$B26</f>
        <v>-74054.719191647848</v>
      </c>
      <c r="AB26" s="1021">
        <f>(VLOOKUP(YEAR($A26),'NY East Load Projections'!$A$4:$EO$14,((MONTH($A26)-1)*12)+VLOOKUP(AB$4,$DE$6:$DF$17,2)+1))*(VLOOKUP($A26,CURVES!$D$9:$K$261,2))*(INDEX(DailyScalarsTable,AB$5/100,MONTH($A26)))*$B26</f>
        <v>-70915.270231767892</v>
      </c>
      <c r="AC26" s="1021">
        <f>(VLOOKUP(YEAR($A26),'NY East Load Projections'!$A$4:$EO$14,((MONTH($A26)-1)*12)+VLOOKUP(AC$4,$DE$6:$DF$17,2)+1))*(VLOOKUP($A26,CURVES!$D$9:$K$261,2))*(INDEX(DailyScalarsTable,AC$5/100,MONTH($A26)))*$B26</f>
        <v>-53973.530421676653</v>
      </c>
      <c r="AD26" s="1021">
        <f>(VLOOKUP(YEAR($A26),'NY East Load Projections'!$A$4:$EO$14,((MONTH($A26)-1)*12)+VLOOKUP(AD$4,$DE$6:$DF$17,2)+1))*(VLOOKUP($A26,CURVES!$D$9:$K$261,2))*(INDEX(DailyScalarsTable,AD$5/100,MONTH($A26)))*$B26</f>
        <v>-42771.805126298073</v>
      </c>
      <c r="AE26" s="1021">
        <f>(VLOOKUP(YEAR($A26),'NY East Load Projections'!$A$4:$EO$14,((MONTH($A26)-1)*12)+VLOOKUP(AE$4,$DE$6:$DF$17,2)+1))*(VLOOKUP($A26,CURVES!$D$9:$K$261,6))*(INDEX(DailyScalarsTable,AE$5/100,MONTH($A26)))*$B26</f>
        <v>-40552.293185156428</v>
      </c>
      <c r="AF26" s="1021"/>
      <c r="AG26" s="1021">
        <f>(VLOOKUP(YEAR($A26),'NY East Load Projections'!$A$4:$EO$14,((MONTH($A26)-1)*12)+VLOOKUP(AG$4,$DE$6:$DF$17,2)+1))*(VLOOKUP($A26,CURVES!$D$9:$T$261,6))*(INDEX(DailyScalarsTable,AG$5/100,MONTH($A26)))*$C26</f>
        <v>-7254.2784822092235</v>
      </c>
      <c r="AH26" s="1021">
        <f>(VLOOKUP(YEAR($A26),'NY East Load Projections'!$A$4:$EO$14,((MONTH($A26)-1)*12)+VLOOKUP(AH$4,$DE$6:$DF$17,2)+1))*(VLOOKUP($A26,CURVES!$D$9:$T$261,6))*(INDEX(DailyScalarsTable,AH$5/100,MONTH($A26)))*$C26</f>
        <v>-6364.3073095124855</v>
      </c>
      <c r="AI26" s="1021">
        <f>(VLOOKUP(YEAR($A26),'NY East Load Projections'!$A$4:$EO$14,((MONTH($A26)-1)*12)+VLOOKUP(AI$4,$DE$6:$DF$17,2)+1))*(VLOOKUP($A26,CURVES!$D$9:$T$261,6))*(INDEX(DailyScalarsTable,AI$5/100,MONTH($A26)))*$C26</f>
        <v>-5968.1503692851611</v>
      </c>
      <c r="AJ26" s="1021">
        <f>(VLOOKUP(YEAR($A26),'NY East Load Projections'!$A$4:$EO$14,((MONTH($A26)-1)*12)+VLOOKUP(AJ$4,$DE$6:$DF$17,2)+1))*(VLOOKUP($A26,CURVES!$D$9:$T$261,6))*(INDEX(DailyScalarsTable,AJ$5/100,MONTH($A26)))*$C26</f>
        <v>-6056.5947094289368</v>
      </c>
      <c r="AK26" s="1021">
        <f>(VLOOKUP(YEAR($A26),'NY East Load Projections'!$A$4:$EO$14,((MONTH($A26)-1)*12)+VLOOKUP(AK$4,$DE$6:$DF$17,2)+1))*(VLOOKUP($A26,CURVES!$D$9:$T$261,6))*(INDEX(DailyScalarsTable,AK$5/100,MONTH($A26)))*$C26</f>
        <v>-6601.3148902179446</v>
      </c>
      <c r="AL26" s="1021">
        <f>(VLOOKUP(YEAR($A26),'NY East Load Projections'!$A$4:$EO$14,((MONTH($A26)-1)*12)+VLOOKUP(AL$4,$DE$6:$DF$17,2)+1))*(VLOOKUP($A26,CURVES!$D$9:$T$261,6))*(INDEX(DailyScalarsTable,AL$5/100,MONTH($A26)))*$C26</f>
        <v>-7639.2223877500974</v>
      </c>
      <c r="AM26" s="1021">
        <f>(VLOOKUP(YEAR($A26),'NY East Load Projections'!$A$4:$EO$14,((MONTH($A26)-1)*12)+VLOOKUP(AM$4,$DE$6:$DF$17,2)+1))*(VLOOKUP($A26,CURVES!$D$9:$T$261,6))*(INDEX(DailyScalarsTable,AM$5/100,MONTH($A26)))*$C26</f>
        <v>-10388.375221715192</v>
      </c>
      <c r="AN26" s="1021">
        <f>(VLOOKUP(YEAR($A26),'NY East Load Projections'!$A$4:$EO$14,((MONTH($A26)-1)*12)+VLOOKUP(AN$4,$DE$6:$DF$17,2)+1))*(VLOOKUP($A26,SatSunCurve,2))*(INDEX(DailyScalarsTable,AN$5/100,MONTH($A26)))*$C26</f>
        <v>-6514.5416531134015</v>
      </c>
      <c r="AO26" s="1021">
        <f>(VLOOKUP(YEAR($A26),'NY East Load Projections'!$A$4:$EO$14,((MONTH($A26)-1)*12)+VLOOKUP(AO$4,$DE$6:$DF$17,2)+1))*(VLOOKUP($A26,SatSunCurve,2))*(INDEX(DailyScalarsTable,AO$5/100,MONTH($A26)))*$C26</f>
        <v>-6946.6151900167815</v>
      </c>
      <c r="AP26" s="1021">
        <f>(VLOOKUP(YEAR($A26),'NY East Load Projections'!$A$4:$EO$14,((MONTH($A26)-1)*12)+VLOOKUP(AP$4,$DE$6:$DF$17,2)+1))*(VLOOKUP($A26,SatSunCurve,2))*(INDEX(DailyScalarsTable,AP$5/100,MONTH($A26)))*$C26</f>
        <v>-8671.5506757969251</v>
      </c>
      <c r="AQ26" s="1021">
        <f>(VLOOKUP(YEAR($A26),'NY East Load Projections'!$A$4:$EO$14,((MONTH($A26)-1)*12)+VLOOKUP(AQ$4,$DE$6:$DF$17,2)+1))*(VLOOKUP($A26,SatSunCurve,2))*(INDEX(DailyScalarsTable,AQ$5/100,MONTH($A26)))*$C26</f>
        <v>-9260.8143510634345</v>
      </c>
      <c r="AR26" s="1021">
        <f>(VLOOKUP(YEAR($A26),'NY East Load Projections'!$A$4:$EO$14,((MONTH($A26)-1)*12)+VLOOKUP(AR$4,$DE$6:$DF$17,2)+1))*(VLOOKUP($A26,SatSunCurve,2))*(INDEX(DailyScalarsTable,AR$5/100,MONTH($A26)))*$C26</f>
        <v>-9867.4880894628186</v>
      </c>
      <c r="AS26" s="1021">
        <f>(VLOOKUP(YEAR($A26),'NY East Load Projections'!$A$4:$EO$14,((MONTH($A26)-1)*12)+VLOOKUP(AS$4,$DE$6:$DF$17,2)+1))*(VLOOKUP($A26,SatSunCurve,2))*(INDEX(DailyScalarsTable,AS$5/100,MONTH($A26)))*$C26</f>
        <v>-9441.8022600768036</v>
      </c>
      <c r="AT26" s="1021">
        <f>(VLOOKUP(YEAR($A26),'NY East Load Projections'!$A$4:$EO$14,((MONTH($A26)-1)*12)+VLOOKUP(AT$4,$DE$6:$DF$17,2)+1))*(VLOOKUP($A26,SatSunCurve,2))*(INDEX(DailyScalarsTable,AT$5/100,MONTH($A26)))*$C26</f>
        <v>-10221.052482488769</v>
      </c>
      <c r="AU26" s="1021">
        <f>(VLOOKUP(YEAR($A26),'NY East Load Projections'!$A$4:$EO$14,((MONTH($A26)-1)*12)+VLOOKUP(AU$4,$DE$6:$DF$17,2)+1))*(VLOOKUP($A26,SatSunCurve,2))*(INDEX(DailyScalarsTable,AU$5/100,MONTH($A26)))*$C26</f>
        <v>-10059.781566893951</v>
      </c>
      <c r="AV26" s="1021">
        <f>(VLOOKUP(YEAR($A26),'NY East Load Projections'!$A$4:$EO$14,((MONTH($A26)-1)*12)+VLOOKUP(AV$4,$DE$6:$DF$17,2)+1))*(VLOOKUP($A26,SatSunCurve,2))*(INDEX(DailyScalarsTable,AV$5/100,MONTH($A26)))*$C26</f>
        <v>-9745.3710423729462</v>
      </c>
      <c r="AW26" s="1021">
        <f>(VLOOKUP(YEAR($A26),'NY East Load Projections'!$A$4:$EO$14,((MONTH($A26)-1)*12)+VLOOKUP(AW$4,$DE$6:$DF$17,2)+1))*(VLOOKUP($A26,SatSunCurve,2))*(INDEX(DailyScalarsTable,AW$5/100,MONTH($A26)))*$C26</f>
        <v>-10090.057979274745</v>
      </c>
      <c r="AX26" s="1021">
        <f>(VLOOKUP(YEAR($A26),'NY East Load Projections'!$A$4:$EO$14,((MONTH($A26)-1)*12)+VLOOKUP(AX$4,$DE$6:$DF$17,2)+1))*(VLOOKUP($A26,SatSunCurve,2))*(INDEX(DailyScalarsTable,AX$5/100,MONTH($A26)))*$C26</f>
        <v>-9842.5291198735558</v>
      </c>
      <c r="AY26" s="1021">
        <f>(VLOOKUP(YEAR($A26),'NY East Load Projections'!$A$4:$EO$14,((MONTH($A26)-1)*12)+VLOOKUP(AY$4,$DE$6:$DF$17,2)+1))*(VLOOKUP($A26,SatSunCurve,2))*(INDEX(DailyScalarsTable,AY$5/100,MONTH($A26)))*$C26</f>
        <v>-8061.6241156555325</v>
      </c>
      <c r="AZ26" s="1021">
        <f>(VLOOKUP(YEAR($A26),'NY East Load Projections'!$A$4:$EO$14,((MONTH($A26)-1)*12)+VLOOKUP(AZ$4,$DE$6:$DF$17,2)+1))*(VLOOKUP($A26,SatSunCurve,2))*(INDEX(DailyScalarsTable,AZ$5/100,MONTH($A26)))*$C26</f>
        <v>-10535.609926196883</v>
      </c>
      <c r="BA26" s="1021">
        <f>(VLOOKUP(YEAR($A26),'NY East Load Projections'!$A$4:$EO$14,((MONTH($A26)-1)*12)+VLOOKUP(BA$4,$DE$6:$DF$17,2)+1))*(VLOOKUP($A26,SatSunCurve,2))*(INDEX(DailyScalarsTable,BA$5/100,MONTH($A26)))*$C26</f>
        <v>-10321.894683694654</v>
      </c>
      <c r="BB26" s="1021">
        <f>(VLOOKUP(YEAR($A26),'NY East Load Projections'!$A$4:$EO$14,((MONTH($A26)-1)*12)+VLOOKUP(BB$4,$DE$6:$DF$17,2)+1))*(VLOOKUP($A26,SatSunCurve,2))*(INDEX(DailyScalarsTable,BB$5/100,MONTH($A26)))*$C26</f>
        <v>-7855.9821445927155</v>
      </c>
      <c r="BC26" s="1021">
        <f>(VLOOKUP(YEAR($A26),'NY East Load Projections'!$A$4:$EO$14,((MONTH($A26)-1)*12)+VLOOKUP(BC$4,$DE$6:$DF$17,2)+1))*(VLOOKUP($A26,SatSunCurve,2))*(INDEX(DailyScalarsTable,BC$5/100,MONTH($A26)))*$C26</f>
        <v>-6225.5430530304538</v>
      </c>
      <c r="BD26" s="1021">
        <f>(VLOOKUP(YEAR($A26),'NY East Load Projections'!$A$4:$EO$14,((MONTH($A26)-1)*12)+VLOOKUP(BD$4,$DE$6:$DF$17,2)+1))*(VLOOKUP($A26,CURVES!$D$9:$T$261,6))*(INDEX(DailyScalarsTable,BD$5/100,MONTH($A26)))*$C26</f>
        <v>-8520.9641858977757</v>
      </c>
      <c r="BE26" s="1021"/>
      <c r="BF26" s="1021">
        <f>(VLOOKUP(YEAR($A26),'NY East Load Projections'!$A$4:$EO$14,((MONTH($A26)-1)*12)+VLOOKUP(BF$4,$DE$6:$DF$17,2)+1))*(VLOOKUP($A26,CURVES!$D$9:$T$261,6))*(INDEX(DailyScalarsTable,BF$5/100,MONTH($A26)))*$D26</f>
        <v>-9067.8481027615289</v>
      </c>
      <c r="BG26" s="1021">
        <f>(VLOOKUP(YEAR($A26),'NY East Load Projections'!$A$4:$EO$14,((MONTH($A26)-1)*12)+VLOOKUP(BG$4,$DE$6:$DF$17,2)+1))*(VLOOKUP($A26,CURVES!$D$9:$T$261,6))*(INDEX(DailyScalarsTable,BG$5/100,MONTH($A26)))*$D26</f>
        <v>-7955.3841368906069</v>
      </c>
      <c r="BH26" s="1021">
        <f>(VLOOKUP(YEAR($A26),'NY East Load Projections'!$A$4:$EO$14,((MONTH($A26)-1)*12)+VLOOKUP(BH$4,$DE$6:$DF$17,2)+1))*(VLOOKUP($A26,CURVES!$D$9:$T$261,6))*(INDEX(DailyScalarsTable,BH$5/100,MONTH($A26)))*$D26</f>
        <v>-7460.1879616064516</v>
      </c>
      <c r="BI26" s="1021">
        <f>(VLOOKUP(YEAR($A26),'NY East Load Projections'!$A$4:$EO$14,((MONTH($A26)-1)*12)+VLOOKUP(BI$4,$DE$6:$DF$17,2)+1))*(VLOOKUP($A26,CURVES!$D$9:$T$261,6))*(INDEX(DailyScalarsTable,BI$5/100,MONTH($A26)))*$D26</f>
        <v>-7570.743386786171</v>
      </c>
      <c r="BJ26" s="1021">
        <f>(VLOOKUP(YEAR($A26),'NY East Load Projections'!$A$4:$EO$14,((MONTH($A26)-1)*12)+VLOOKUP(BJ$4,$DE$6:$DF$17,2)+1))*(VLOOKUP($A26,CURVES!$D$9:$T$261,6))*(INDEX(DailyScalarsTable,BJ$5/100,MONTH($A26)))*$D26</f>
        <v>-8251.6436127724301</v>
      </c>
      <c r="BK26" s="1021">
        <f>(VLOOKUP(YEAR($A26),'NY East Load Projections'!$A$4:$EO$14,((MONTH($A26)-1)*12)+VLOOKUP(BK$4,$DE$6:$DF$17,2)+1))*(VLOOKUP($A26,CURVES!$D$9:$T$261,6))*(INDEX(DailyScalarsTable,BK$5/100,MONTH($A26)))*$D26</f>
        <v>-9549.0279846876219</v>
      </c>
      <c r="BL26" s="1021">
        <f>(VLOOKUP(YEAR($A26),'NY East Load Projections'!$A$4:$EO$14,((MONTH($A26)-1)*12)+VLOOKUP(BL$4,$DE$6:$DF$17,2)+1))*(VLOOKUP($A26,CURVES!$D$9:$T$261,6))*(INDEX(DailyScalarsTable,BL$5/100,MONTH($A26)))*$D26</f>
        <v>-12985.46902714399</v>
      </c>
      <c r="BM26" s="1021">
        <f>(VLOOKUP(YEAR($A26),'NY East Load Projections'!$A$4:$EO$14,((MONTH($A26)-1)*12)+VLOOKUP(BM$4,$DE$6:$DF$17,2)+1))*(VLOOKUP($A26,SatSunCurve,6))*(INDEX(DailyScalarsTable,BM$5/100,MONTH($A26)))*$D26</f>
        <v>-7447.6941674398313</v>
      </c>
      <c r="BN26" s="1021">
        <f>(VLOOKUP(YEAR($A26),'NY East Load Projections'!$A$4:$EO$14,((MONTH($A26)-1)*12)+VLOOKUP(BN$4,$DE$6:$DF$17,2)+1))*(VLOOKUP($A26,SatSunCurve,6))*(INDEX(DailyScalarsTable,BN$5/100,MONTH($A26)))*$D26</f>
        <v>-7941.6585523574558</v>
      </c>
      <c r="BO26" s="1021">
        <f>(VLOOKUP(YEAR($A26),'NY East Load Projections'!$A$4:$EO$14,((MONTH($A26)-1)*12)+VLOOKUP(BO$4,$DE$6:$DF$17,2)+1))*(VLOOKUP($A26,SatSunCurve,6))*(INDEX(DailyScalarsTable,BO$5/100,MONTH($A26)))*$D26</f>
        <v>-9913.6763305406803</v>
      </c>
      <c r="BP26" s="1021">
        <f>(VLOOKUP(YEAR($A26),'NY East Load Projections'!$A$4:$EO$14,((MONTH($A26)-1)*12)+VLOOKUP(BP$4,$DE$6:$DF$17,2)+1))*(VLOOKUP($A26,SatSunCurve,6))*(INDEX(DailyScalarsTable,BP$5/100,MONTH($A26)))*$D26</f>
        <v>-10587.34700010638</v>
      </c>
      <c r="BQ26" s="1021">
        <f>(VLOOKUP(YEAR($A26),'NY East Load Projections'!$A$4:$EO$14,((MONTH($A26)-1)*12)+VLOOKUP(BQ$4,$DE$6:$DF$17,2)+1))*(VLOOKUP($A26,SatSunCurve,6))*(INDEX(DailyScalarsTable,BQ$5/100,MONTH($A26)))*$D26</f>
        <v>-11280.921575818338</v>
      </c>
      <c r="BR26" s="1021">
        <f>(VLOOKUP(YEAR($A26),'NY East Load Projections'!$A$4:$EO$14,((MONTH($A26)-1)*12)+VLOOKUP(BR$4,$DE$6:$DF$17,2)+1))*(VLOOKUP($A26,SatSunCurve,6))*(INDEX(DailyScalarsTable,BR$5/100,MONTH($A26)))*$D26</f>
        <v>-10794.259883024519</v>
      </c>
      <c r="BS26" s="1021">
        <f>(VLOOKUP(YEAR($A26),'NY East Load Projections'!$A$4:$EO$14,((MONTH($A26)-1)*12)+VLOOKUP(BS$4,$DE$6:$DF$17,2)+1))*(VLOOKUP($A26,SatSunCurve,6))*(INDEX(DailyScalarsTable,BS$5/100,MONTH($A26)))*$D26</f>
        <v>-11685.131051782824</v>
      </c>
      <c r="BT26" s="1021">
        <f>(VLOOKUP(YEAR($A26),'NY East Load Projections'!$A$4:$EO$14,((MONTH($A26)-1)*12)+VLOOKUP(BT$4,$DE$6:$DF$17,2)+1))*(VLOOKUP($A26,SatSunCurve,6))*(INDEX(DailyScalarsTable,BT$5/100,MONTH($A26)))*$D26</f>
        <v>-11500.759453378938</v>
      </c>
      <c r="BU26" s="1021">
        <f>(VLOOKUP(YEAR($A26),'NY East Load Projections'!$A$4:$EO$14,((MONTH($A26)-1)*12)+VLOOKUP(BU$4,$DE$6:$DF$17,2)+1))*(VLOOKUP($A26,SatSunCurve,6))*(INDEX(DailyScalarsTable,BU$5/100,MONTH($A26)))*$D26</f>
        <v>-11141.312303549497</v>
      </c>
      <c r="BV26" s="1021">
        <f>(VLOOKUP(YEAR($A26),'NY East Load Projections'!$A$4:$EO$14,((MONTH($A26)-1)*12)+VLOOKUP(BV$4,$DE$6:$DF$17,2)+1))*(VLOOKUP($A26,SatSunCurve,6))*(INDEX(DailyScalarsTable,BV$5/100,MONTH($A26)))*$D26</f>
        <v>-11535.37270353625</v>
      </c>
      <c r="BW26" s="1021">
        <f>(VLOOKUP(YEAR($A26),'NY East Load Projections'!$A$4:$EO$14,((MONTH($A26)-1)*12)+VLOOKUP(BW$4,$DE$6:$DF$17,2)+1))*(VLOOKUP($A26,SatSunCurve,6))*(INDEX(DailyScalarsTable,BW$5/100,MONTH($A26)))*$D26</f>
        <v>-11252.387446767767</v>
      </c>
      <c r="BX26" s="1021">
        <f>(VLOOKUP(YEAR($A26),'NY East Load Projections'!$A$4:$EO$14,((MONTH($A26)-1)*12)+VLOOKUP(BX$4,$DE$6:$DF$17,2)+1))*(VLOOKUP($A26,SatSunCurve,6))*(INDEX(DailyScalarsTable,BX$5/100,MONTH($A26)))*$D26</f>
        <v>-9216.3829941229542</v>
      </c>
      <c r="BY26" s="1021">
        <f>(VLOOKUP(YEAR($A26),'NY East Load Projections'!$A$4:$EO$14,((MONTH($A26)-1)*12)+VLOOKUP(BY$4,$DE$6:$DF$17,2)+1))*(VLOOKUP($A26,SatSunCurve,6))*(INDEX(DailyScalarsTable,BY$5/100,MONTH($A26)))*$D26</f>
        <v>-12044.746165719514</v>
      </c>
      <c r="BZ26" s="1021">
        <f>(VLOOKUP(YEAR($A26),'NY East Load Projections'!$A$4:$EO$14,((MONTH($A26)-1)*12)+VLOOKUP(BZ$4,$DE$6:$DF$17,2)+1))*(VLOOKUP($A26,SatSunCurve,6))*(INDEX(DailyScalarsTable,BZ$5/100,MONTH($A26)))*$D26</f>
        <v>-11800.418037996798</v>
      </c>
      <c r="CA26" s="1021">
        <f>(VLOOKUP(YEAR($A26),'NY East Load Projections'!$A$4:$EO$14,((MONTH($A26)-1)*12)+VLOOKUP(CA$4,$DE$6:$DF$17,2)+1))*(VLOOKUP($A26,SatSunCurve,6))*(INDEX(DailyScalarsTable,CA$5/100,MONTH($A26)))*$D26</f>
        <v>-8981.2845650978816</v>
      </c>
      <c r="CB26" s="1021">
        <f>(VLOOKUP(YEAR($A26),'NY East Load Projections'!$A$4:$EO$14,((MONTH($A26)-1)*12)+VLOOKUP(CB$4,$DE$6:$DF$17,2)+1))*(VLOOKUP($A26,SatSunCurve,6))*(INDEX(DailyScalarsTable,CB$5/100,MONTH($A26)))*$D26</f>
        <v>-7117.298983427554</v>
      </c>
      <c r="CC26" s="1021">
        <f>(VLOOKUP(YEAR($A26),'NY East Load Projections'!$A$4:$EO$14,((MONTH($A26)-1)*12)+VLOOKUP(CC$4,$DE$6:$DF$17,2)+1))*(VLOOKUP($A26,CURVES!$D$9:$T$261,6))*(INDEX(DailyScalarsTable,CC$5/100,MONTH($A26)))*$D26</f>
        <v>-10651.20523237222</v>
      </c>
      <c r="CE26" s="1021">
        <f>(VLOOKUP(YEAR($A26),'NY East Load Projections'!$A$4:$EO$14,((MONTH($A26)-1)*12)+VLOOKUP(CE$4,$DE$6:$DF$17,2)+1))*(VLOOKUP($A26,CURVES!$D$9:$T$261,6))*(INDEX(DailyScalarsTable,CE$5/100,MONTH($A26)))*$E26</f>
        <v>-1813.5696205523059</v>
      </c>
      <c r="CF26" s="1021">
        <f>(VLOOKUP(YEAR($A26),'NY East Load Projections'!$A$4:$EO$14,((MONTH($A26)-1)*12)+VLOOKUP(CF$4,$DE$6:$DF$17,2)+1))*(VLOOKUP($A26,CURVES!$D$9:$T$261,6))*(INDEX(DailyScalarsTable,CF$5/100,MONTH($A26)))*$E26</f>
        <v>-1591.0768273781214</v>
      </c>
      <c r="CG26" s="1021">
        <f>(VLOOKUP(YEAR($A26),'NY East Load Projections'!$A$4:$EO$14,((MONTH($A26)-1)*12)+VLOOKUP(CG$4,$DE$6:$DF$17,2)+1))*(VLOOKUP($A26,CURVES!$D$9:$T$261,6))*(INDEX(DailyScalarsTable,CG$5/100,MONTH($A26)))*$E26</f>
        <v>-1492.0375923212903</v>
      </c>
      <c r="CH26" s="1021">
        <f>(VLOOKUP(YEAR($A26),'NY East Load Projections'!$A$4:$EO$14,((MONTH($A26)-1)*12)+VLOOKUP(CH$4,$DE$6:$DF$17,2)+1))*(VLOOKUP($A26,CURVES!$D$9:$T$261,6))*(INDEX(DailyScalarsTable,CH$5/100,MONTH($A26)))*$E26</f>
        <v>-1514.1486773572342</v>
      </c>
      <c r="CI26" s="1021">
        <f>(VLOOKUP(YEAR($A26),'NY East Load Projections'!$A$4:$EO$14,((MONTH($A26)-1)*12)+VLOOKUP(CI$4,$DE$6:$DF$17,2)+1))*(VLOOKUP($A26,CURVES!$D$9:$T$261,6))*(INDEX(DailyScalarsTable,CI$5/100,MONTH($A26)))*$E26</f>
        <v>-1650.3287225544861</v>
      </c>
      <c r="CJ26" s="1021">
        <f>(VLOOKUP(YEAR($A26),'NY East Load Projections'!$A$4:$EO$14,((MONTH($A26)-1)*12)+VLOOKUP(CJ$4,$DE$6:$DF$17,2)+1))*(VLOOKUP($A26,CURVES!$D$9:$T$261,6))*(INDEX(DailyScalarsTable,CJ$5/100,MONTH($A26)))*$E26</f>
        <v>-1909.8055969375243</v>
      </c>
      <c r="CK26" s="1021">
        <f>(VLOOKUP(YEAR($A26),'NY East Load Projections'!$A$4:$EO$14,((MONTH($A26)-1)*12)+VLOOKUP(CK$4,$DE$6:$DF$17,2)+1))*(VLOOKUP($A26,CURVES!$D$9:$T$261,6))*(INDEX(DailyScalarsTable,CK$5/100,MONTH($A26)))*$E26</f>
        <v>-2597.0938054287981</v>
      </c>
      <c r="CL26" s="1021">
        <f>(VLOOKUP(YEAR($A26),'NY East Load Projections'!$A$4:$EO$14,((MONTH($A26)-1)*12)+VLOOKUP(CL$4,$DE$6:$DF$17,2)+1))*(VLOOKUP($A26,SatSunCurve,6))*(INDEX(DailyScalarsTable,CL$5/100,MONTH($A26)))*$E26</f>
        <v>-1489.5388334879663</v>
      </c>
      <c r="CM26" s="1021">
        <f>(VLOOKUP(YEAR($A26),'NY East Load Projections'!$A$4:$EO$14,((MONTH($A26)-1)*12)+VLOOKUP(CM$4,$DE$6:$DF$17,2)+1))*(VLOOKUP($A26,SatSunCurve,6))*(INDEX(DailyScalarsTable,CM$5/100,MONTH($A26)))*$E26</f>
        <v>-1588.3317104714911</v>
      </c>
      <c r="CN26" s="1021">
        <f>(VLOOKUP(YEAR($A26),'NY East Load Projections'!$A$4:$EO$14,((MONTH($A26)-1)*12)+VLOOKUP(CN$4,$DE$6:$DF$17,2)+1))*(VLOOKUP($A26,SatSunCurve,6))*(INDEX(DailyScalarsTable,CN$5/100,MONTH($A26)))*$E26</f>
        <v>-1982.7352661081361</v>
      </c>
      <c r="CO26" s="1021">
        <f>(VLOOKUP(YEAR($A26),'NY East Load Projections'!$A$4:$EO$14,((MONTH($A26)-1)*12)+VLOOKUP(CO$4,$DE$6:$DF$17,2)+1))*(VLOOKUP($A26,SatSunCurve,6))*(INDEX(DailyScalarsTable,CO$5/100,MONTH($A26)))*$E26</f>
        <v>-2117.4694000212758</v>
      </c>
      <c r="CP26" s="1021">
        <f>(VLOOKUP(YEAR($A26),'NY East Load Projections'!$A$4:$EO$14,((MONTH($A26)-1)*12)+VLOOKUP(CP$4,$DE$6:$DF$17,2)+1))*(VLOOKUP($A26,SatSunCurve,6))*(INDEX(DailyScalarsTable,CP$5/100,MONTH($A26)))*$E26</f>
        <v>-2256.1843151636676</v>
      </c>
      <c r="CQ26" s="1021">
        <f>(VLOOKUP(YEAR($A26),'NY East Load Projections'!$A$4:$EO$14,((MONTH($A26)-1)*12)+VLOOKUP(CQ$4,$DE$6:$DF$17,2)+1))*(VLOOKUP($A26,SatSunCurve,6))*(INDEX(DailyScalarsTable,CQ$5/100,MONTH($A26)))*$E26</f>
        <v>-2158.8519766049039</v>
      </c>
      <c r="CR26" s="1021">
        <f>(VLOOKUP(YEAR($A26),'NY East Load Projections'!$A$4:$EO$14,((MONTH($A26)-1)*12)+VLOOKUP(CR$4,$DE$6:$DF$17,2)+1))*(VLOOKUP($A26,SatSunCurve,6))*(INDEX(DailyScalarsTable,CR$5/100,MONTH($A26)))*$E26</f>
        <v>-2337.0262103565647</v>
      </c>
      <c r="CS26" s="1021">
        <f>(VLOOKUP(YEAR($A26),'NY East Load Projections'!$A$4:$EO$14,((MONTH($A26)-1)*12)+VLOOKUP(CS$4,$DE$6:$DF$17,2)+1))*(VLOOKUP($A26,SatSunCurve,6))*(INDEX(DailyScalarsTable,CS$5/100,MONTH($A26)))*$E26</f>
        <v>-2300.1518906757874</v>
      </c>
      <c r="CT26" s="1021">
        <f>(VLOOKUP(YEAR($A26),'NY East Load Projections'!$A$4:$EO$14,((MONTH($A26)-1)*12)+VLOOKUP(CT$4,$DE$6:$DF$17,2)+1))*(VLOOKUP($A26,SatSunCurve,6))*(INDEX(DailyScalarsTable,CT$5/100,MONTH($A26)))*$E26</f>
        <v>-2228.2624607098996</v>
      </c>
      <c r="CU26" s="1021">
        <f>(VLOOKUP(YEAR($A26),'NY East Load Projections'!$A$4:$EO$14,((MONTH($A26)-1)*12)+VLOOKUP(CU$4,$DE$6:$DF$17,2)+1))*(VLOOKUP($A26,SatSunCurve,6))*(INDEX(DailyScalarsTable,CU$5/100,MONTH($A26)))*$E26</f>
        <v>-2307.07454070725</v>
      </c>
      <c r="CV26" s="1021">
        <f>(VLOOKUP(YEAR($A26),'NY East Load Projections'!$A$4:$EO$14,((MONTH($A26)-1)*12)+VLOOKUP(CV$4,$DE$6:$DF$17,2)+1))*(VLOOKUP($A26,SatSunCurve,6))*(INDEX(DailyScalarsTable,CV$5/100,MONTH($A26)))*$E26</f>
        <v>-2250.4774893535532</v>
      </c>
      <c r="CW26" s="1021">
        <f>(VLOOKUP(YEAR($A26),'NY East Load Projections'!$A$4:$EO$14,((MONTH($A26)-1)*12)+VLOOKUP(CW$4,$DE$6:$DF$17,2)+1))*(VLOOKUP($A26,SatSunCurve,6))*(INDEX(DailyScalarsTable,CW$5/100,MONTH($A26)))*$E26</f>
        <v>-1843.2765988245908</v>
      </c>
      <c r="CX26" s="1021">
        <f>(VLOOKUP(YEAR($A26),'NY East Load Projections'!$A$4:$EO$14,((MONTH($A26)-1)*12)+VLOOKUP(CX$4,$DE$6:$DF$17,2)+1))*(VLOOKUP($A26,SatSunCurve,6))*(INDEX(DailyScalarsTable,CX$5/100,MONTH($A26)))*$E26</f>
        <v>-2408.9492331439028</v>
      </c>
      <c r="CY26" s="1021">
        <f>(VLOOKUP(YEAR($A26),'NY East Load Projections'!$A$4:$EO$14,((MONTH($A26)-1)*12)+VLOOKUP(CY$4,$DE$6:$DF$17,2)+1))*(VLOOKUP($A26,SatSunCurve,6))*(INDEX(DailyScalarsTable,CY$5/100,MONTH($A26)))*$E26</f>
        <v>-2360.0836075993598</v>
      </c>
      <c r="CZ26" s="1021">
        <f>(VLOOKUP(YEAR($A26),'NY East Load Projections'!$A$4:$EO$14,((MONTH($A26)-1)*12)+VLOOKUP(CZ$4,$DE$6:$DF$17,2)+1))*(VLOOKUP($A26,SatSunCurve,6))*(INDEX(DailyScalarsTable,CZ$5/100,MONTH($A26)))*$E26</f>
        <v>-1796.2569130195761</v>
      </c>
      <c r="DA26" s="1021">
        <f>(VLOOKUP(YEAR($A26),'NY East Load Projections'!$A$4:$EO$14,((MONTH($A26)-1)*12)+VLOOKUP(DA$4,$DE$6:$DF$17,2)+1))*(VLOOKUP($A26,SatSunCurve,6))*(INDEX(DailyScalarsTable,DA$5/100,MONTH($A26)))*$E26</f>
        <v>-1423.4597966855108</v>
      </c>
      <c r="DB26" s="1021">
        <f>(VLOOKUP(YEAR($A26),'NY East Load Projections'!$A$4:$EO$14,((MONTH($A26)-1)*12)+VLOOKUP(DB$4,$DE$6:$DF$17,2)+1))*(VLOOKUP($A26,CURVES!$D$9:$T$261,6))*(INDEX(DailyScalarsTable,DB$5/100,MONTH($A26)))*$E26</f>
        <v>-2130.2410464744439</v>
      </c>
      <c r="DH26" s="1021">
        <f t="shared" si="0"/>
        <v>-1783274.0245920899</v>
      </c>
      <c r="DI26">
        <f ca="1">CALC!J46</f>
        <v>0.8312009259670522</v>
      </c>
      <c r="DJ26" s="1029">
        <f t="shared" ca="1" si="1"/>
        <v>-1482259.020493937</v>
      </c>
    </row>
    <row r="27" spans="1:114" x14ac:dyDescent="0.25">
      <c r="A27" s="244">
        <v>37530</v>
      </c>
      <c r="B27" s="13">
        <v>23</v>
      </c>
      <c r="C27" s="210">
        <v>4</v>
      </c>
      <c r="D27" s="210">
        <v>4</v>
      </c>
      <c r="E27" s="210">
        <v>0</v>
      </c>
      <c r="F27" s="13">
        <v>31</v>
      </c>
      <c r="H27" s="1021">
        <f>(VLOOKUP(YEAR($A27),'NY East Load Projections'!$A$4:$EO$14,((MONTH($A27)-1)*12)+VLOOKUP(H$4,$DE$6:$DF$17,2)+1))*(VLOOKUP($A27,CURVES!$D$9:$K$261,6))*(INDEX(DailyScalarsTable,H$5/100,MONTH($A27)))*$B27</f>
        <v>-36384.163465337791</v>
      </c>
      <c r="I27" s="1021">
        <f>(VLOOKUP(YEAR($A27),'NY East Load Projections'!$A$4:$EO$14,((MONTH($A27)-1)*12)+VLOOKUP(I$4,$DE$6:$DF$17,2)+1))*(VLOOKUP($A27,CURVES!$D$9:$K$261,6))*(INDEX(DailyScalarsTable,I$5/100,MONTH($A27)))*$B27</f>
        <v>-34533.341879897227</v>
      </c>
      <c r="J27" s="1021">
        <f>(VLOOKUP(YEAR($A27),'NY East Load Projections'!$A$4:$EO$14,((MONTH($A27)-1)*12)+VLOOKUP(J$4,$DE$6:$DF$17,2)+1))*(VLOOKUP($A27,CURVES!$D$9:$K$261,6))*(INDEX(DailyScalarsTable,J$5/100,MONTH($A27)))*$B27</f>
        <v>-33173.007174242157</v>
      </c>
      <c r="K27" s="1021">
        <f>(VLOOKUP(YEAR($A27),'NY East Load Projections'!$A$4:$EO$14,((MONTH($A27)-1)*12)+VLOOKUP(K$4,$DE$6:$DF$17,2)+1))*(VLOOKUP($A27,CURVES!$D$9:$K$261,6))*(INDEX(DailyScalarsTable,K$5/100,MONTH($A27)))*$B27</f>
        <v>-33192.166817983772</v>
      </c>
      <c r="L27" s="1021">
        <f>(VLOOKUP(YEAR($A27),'NY East Load Projections'!$A$4:$EO$14,((MONTH($A27)-1)*12)+VLOOKUP(L$4,$DE$6:$DF$17,2)+1))*(VLOOKUP($A27,CURVES!$D$9:$K$261,6))*(INDEX(DailyScalarsTable,L$5/100,MONTH($A27)))*$B27</f>
        <v>-37838.310743081071</v>
      </c>
      <c r="M27" s="1021">
        <f>(VLOOKUP(YEAR($A27),'NY East Load Projections'!$A$4:$EO$14,((MONTH($A27)-1)*12)+VLOOKUP(M$4,$DE$6:$DF$17,2)+1))*(VLOOKUP($A27,CURVES!$D$9:$K$261,6))*(INDEX(DailyScalarsTable,M$5/100,MONTH($A27)))*$B27</f>
        <v>-43470.154295667016</v>
      </c>
      <c r="N27" s="1021">
        <f>(VLOOKUP(YEAR($A27),'NY East Load Projections'!$A$4:$EO$14,((MONTH($A27)-1)*12)+VLOOKUP(N$4,$DE$6:$DF$17,2)+1))*(VLOOKUP($A27,CURVES!$D$9:$K$261,6))*(INDEX(DailyScalarsTable,N$5/100,MONTH($A27)))*$B27</f>
        <v>-56195.915361553751</v>
      </c>
      <c r="O27" s="1021">
        <f>(VLOOKUP(YEAR($A27),'NY East Load Projections'!$A$4:$EO$14,((MONTH($A27)-1)*12)+VLOOKUP(O$4,$DE$6:$DF$17,2)+1))*(VLOOKUP($A27,CURVES!$D$9:$K$261,2))*(INDEX(DailyScalarsTable,O$5/100,MONTH($A27)))*$B27</f>
        <v>-67523.24932434957</v>
      </c>
      <c r="P27" s="1021">
        <f>(VLOOKUP(YEAR($A27),'NY East Load Projections'!$A$4:$EO$14,((MONTH($A27)-1)*12)+VLOOKUP(P$4,$DE$6:$DF$17,2)+1))*(VLOOKUP($A27,CURVES!$D$9:$K$261,2))*(INDEX(DailyScalarsTable,P$5/100,MONTH($A27)))*$B27</f>
        <v>-76073.815706757334</v>
      </c>
      <c r="Q27" s="1021">
        <f>(VLOOKUP(YEAR($A27),'NY East Load Projections'!$A$4:$EO$14,((MONTH($A27)-1)*12)+VLOOKUP(Q$4,$DE$6:$DF$17,2)+1))*(VLOOKUP($A27,CURVES!$D$9:$K$261,2))*(INDEX(DailyScalarsTable,Q$5/100,MONTH($A27)))*$B27</f>
        <v>-75838.729749690712</v>
      </c>
      <c r="R27" s="1021">
        <f>(VLOOKUP(YEAR($A27),'NY East Load Projections'!$A$4:$EO$14,((MONTH($A27)-1)*12)+VLOOKUP(R$4,$DE$6:$DF$17,2)+1))*(VLOOKUP($A27,CURVES!$D$9:$K$261,2))*(INDEX(DailyScalarsTable,R$5/100,MONTH($A27)))*$B27</f>
        <v>-75408.858285340335</v>
      </c>
      <c r="S27" s="1021">
        <f>(VLOOKUP(YEAR($A27),'NY East Load Projections'!$A$4:$EO$14,((MONTH($A27)-1)*12)+VLOOKUP(S$4,$DE$6:$DF$17,2)+1))*(VLOOKUP($A27,CURVES!$D$9:$K$261,2))*(INDEX(DailyScalarsTable,S$5/100,MONTH($A27)))*$B27</f>
        <v>-63634.410207118053</v>
      </c>
      <c r="T27" s="1021">
        <f>(VLOOKUP(YEAR($A27),'NY East Load Projections'!$A$4:$EO$14,((MONTH($A27)-1)*12)+VLOOKUP(T$4,$DE$6:$DF$17,2)+1))*(VLOOKUP($A27,CURVES!$D$9:$K$261,2))*(INDEX(DailyScalarsTable,T$5/100,MONTH($A27)))*$B27</f>
        <v>-60226.415376003657</v>
      </c>
      <c r="U27" s="1021">
        <f>(VLOOKUP(YEAR($A27),'NY East Load Projections'!$A$4:$EO$14,((MONTH($A27)-1)*12)+VLOOKUP(U$4,$DE$6:$DF$17,2)+1))*(VLOOKUP($A27,CURVES!$D$9:$K$261,2))*(INDEX(DailyScalarsTable,U$5/100,MONTH($A27)))*$B27</f>
        <v>-58554.775349273368</v>
      </c>
      <c r="V27" s="1021">
        <f>(VLOOKUP(YEAR($A27),'NY East Load Projections'!$A$4:$EO$14,((MONTH($A27)-1)*12)+VLOOKUP(V$4,$DE$6:$DF$17,2)+1))*(VLOOKUP($A27,CURVES!$D$9:$K$261,2))*(INDEX(DailyScalarsTable,V$5/100,MONTH($A27)))*$B27</f>
        <v>-57194.45289837139</v>
      </c>
      <c r="W27" s="1021">
        <f>(VLOOKUP(YEAR($A27),'NY East Load Projections'!$A$4:$EO$14,((MONTH($A27)-1)*12)+VLOOKUP(W$4,$DE$6:$DF$17,2)+1))*(VLOOKUP($A27,CURVES!$D$9:$K$261,2))*(INDEX(DailyScalarsTable,W$5/100,MONTH($A27)))*$B27</f>
        <v>-56801.922041892205</v>
      </c>
      <c r="X27" s="1021">
        <f>(VLOOKUP(YEAR($A27),'NY East Load Projections'!$A$4:$EO$14,((MONTH($A27)-1)*12)+VLOOKUP(X$4,$DE$6:$DF$17,2)+1))*(VLOOKUP($A27,CURVES!$D$9:$K$261,2))*(INDEX(DailyScalarsTable,X$5/100,MONTH($A27)))*$B27</f>
        <v>-57675.936641483211</v>
      </c>
      <c r="Y27" s="1021">
        <f>(VLOOKUP(YEAR($A27),'NY East Load Projections'!$A$4:$EO$14,((MONTH($A27)-1)*12)+VLOOKUP(Y$4,$DE$6:$DF$17,2)+1))*(VLOOKUP($A27,CURVES!$D$9:$K$261,2))*(INDEX(DailyScalarsTable,Y$5/100,MONTH($A27)))*$B27</f>
        <v>-77806.757602792277</v>
      </c>
      <c r="Z27" s="1021">
        <f>(VLOOKUP(YEAR($A27),'NY East Load Projections'!$A$4:$EO$14,((MONTH($A27)-1)*12)+VLOOKUP(Z$4,$DE$6:$DF$17,2)+1))*(VLOOKUP($A27,CURVES!$D$9:$K$261,2))*(INDEX(DailyScalarsTable,Z$5/100,MONTH($A27)))*$B27</f>
        <v>-78416.193084390688</v>
      </c>
      <c r="AA27" s="1021">
        <f>(VLOOKUP(YEAR($A27),'NY East Load Projections'!$A$4:$EO$14,((MONTH($A27)-1)*12)+VLOOKUP(AA$4,$DE$6:$DF$17,2)+1))*(VLOOKUP($A27,CURVES!$D$9:$K$261,2))*(INDEX(DailyScalarsTable,AA$5/100,MONTH($A27)))*$B27</f>
        <v>-74992.981017540063</v>
      </c>
      <c r="AB27" s="1021">
        <f>(VLOOKUP(YEAR($A27),'NY East Load Projections'!$A$4:$EO$14,((MONTH($A27)-1)*12)+VLOOKUP(AB$4,$DE$6:$DF$17,2)+1))*(VLOOKUP($A27,CURVES!$D$9:$K$261,2))*(INDEX(DailyScalarsTable,AB$5/100,MONTH($A27)))*$B27</f>
        <v>-65355.385800458062</v>
      </c>
      <c r="AC27" s="1021">
        <f>(VLOOKUP(YEAR($A27),'NY East Load Projections'!$A$4:$EO$14,((MONTH($A27)-1)*12)+VLOOKUP(AC$4,$DE$6:$DF$17,2)+1))*(VLOOKUP($A27,CURVES!$D$9:$K$261,2))*(INDEX(DailyScalarsTable,AC$5/100,MONTH($A27)))*$B27</f>
        <v>-54215.193740542774</v>
      </c>
      <c r="AD27" s="1021">
        <f>(VLOOKUP(YEAR($A27),'NY East Load Projections'!$A$4:$EO$14,((MONTH($A27)-1)*12)+VLOOKUP(AD$4,$DE$6:$DF$17,2)+1))*(VLOOKUP($A27,CURVES!$D$9:$K$261,2))*(INDEX(DailyScalarsTable,AD$5/100,MONTH($A27)))*$B27</f>
        <v>-46223.848503270936</v>
      </c>
      <c r="AE27" s="1021">
        <f>(VLOOKUP(YEAR($A27),'NY East Load Projections'!$A$4:$EO$14,((MONTH($A27)-1)*12)+VLOOKUP(AE$4,$DE$6:$DF$17,2)+1))*(VLOOKUP($A27,CURVES!$D$9:$K$261,6))*(INDEX(DailyScalarsTable,AE$5/100,MONTH($A27)))*$B27</f>
        <v>-41237.59638540681</v>
      </c>
      <c r="AF27" s="1021"/>
      <c r="AG27" s="1021">
        <f>(VLOOKUP(YEAR($A27),'NY East Load Projections'!$A$4:$EO$14,((MONTH($A27)-1)*12)+VLOOKUP(AG$4,$DE$6:$DF$17,2)+1))*(VLOOKUP($A27,CURVES!$D$9:$T$261,6))*(INDEX(DailyScalarsTable,AG$5/100,MONTH($A27)))*$C27</f>
        <v>-6833.059447423032</v>
      </c>
      <c r="AH27" s="1021">
        <f>(VLOOKUP(YEAR($A27),'NY East Load Projections'!$A$4:$EO$14,((MONTH($A27)-1)*12)+VLOOKUP(AH$4,$DE$6:$DF$17,2)+1))*(VLOOKUP($A27,CURVES!$D$9:$T$261,6))*(INDEX(DailyScalarsTable,AH$5/100,MONTH($A27)))*$C27</f>
        <v>-6485.4693775857149</v>
      </c>
      <c r="AI27" s="1021">
        <f>(VLOOKUP(YEAR($A27),'NY East Load Projections'!$A$4:$EO$14,((MONTH($A27)-1)*12)+VLOOKUP(AI$4,$DE$6:$DF$17,2)+1))*(VLOOKUP($A27,CURVES!$D$9:$T$261,6))*(INDEX(DailyScalarsTable,AI$5/100,MONTH($A27)))*$C27</f>
        <v>-6229.9942744961754</v>
      </c>
      <c r="AJ27" s="1021">
        <f>(VLOOKUP(YEAR($A27),'NY East Load Projections'!$A$4:$EO$14,((MONTH($A27)-1)*12)+VLOOKUP(AJ$4,$DE$6:$DF$17,2)+1))*(VLOOKUP($A27,CURVES!$D$9:$T$261,6))*(INDEX(DailyScalarsTable,AJ$5/100,MONTH($A27)))*$C27</f>
        <v>-6233.5925153847602</v>
      </c>
      <c r="AK27" s="1021">
        <f>(VLOOKUP(YEAR($A27),'NY East Load Projections'!$A$4:$EO$14,((MONTH($A27)-1)*12)+VLOOKUP(AK$4,$DE$6:$DF$17,2)+1))*(VLOOKUP($A27,CURVES!$D$9:$T$261,6))*(INDEX(DailyScalarsTable,AK$5/100,MONTH($A27)))*$C27</f>
        <v>-6775.5137056852873</v>
      </c>
      <c r="AL27" s="1021">
        <f>(VLOOKUP(YEAR($A27),'NY East Load Projections'!$A$4:$EO$14,((MONTH($A27)-1)*12)+VLOOKUP(AL$4,$DE$6:$DF$17,2)+1))*(VLOOKUP($A27,CURVES!$D$9:$T$261,6))*(INDEX(DailyScalarsTable,AL$5/100,MONTH($A27)))*$C27</f>
        <v>-7783.9792642540951</v>
      </c>
      <c r="AM27" s="1021">
        <f>(VLOOKUP(YEAR($A27),'NY East Load Projections'!$A$4:$EO$14,((MONTH($A27)-1)*12)+VLOOKUP(AM$4,$DE$6:$DF$17,2)+1))*(VLOOKUP($A27,CURVES!$D$9:$T$261,6))*(INDEX(DailyScalarsTable,AM$5/100,MONTH($A27)))*$C27</f>
        <v>-10062.716523500219</v>
      </c>
      <c r="AN27" s="1021">
        <f>(VLOOKUP(YEAR($A27),'NY East Load Projections'!$A$4:$EO$14,((MONTH($A27)-1)*12)+VLOOKUP(AN$4,$DE$6:$DF$17,2)+1))*(VLOOKUP($A27,SatSunCurve,2))*(INDEX(DailyScalarsTable,AN$5/100,MONTH($A27)))*$C27</f>
        <v>-9043.3783208881523</v>
      </c>
      <c r="AO27" s="1021">
        <f>(VLOOKUP(YEAR($A27),'NY East Load Projections'!$A$4:$EO$14,((MONTH($A27)-1)*12)+VLOOKUP(AO$4,$DE$6:$DF$17,2)+1))*(VLOOKUP($A27,SatSunCurve,2))*(INDEX(DailyScalarsTable,AO$5/100,MONTH($A27)))*$C27</f>
        <v>-10649.839978028818</v>
      </c>
      <c r="AP27" s="1021">
        <f>(VLOOKUP(YEAR($A27),'NY East Load Projections'!$A$4:$EO$14,((MONTH($A27)-1)*12)+VLOOKUP(AP$4,$DE$6:$DF$17,2)+1))*(VLOOKUP($A27,SatSunCurve,2))*(INDEX(DailyScalarsTable,AP$5/100,MONTH($A27)))*$C27</f>
        <v>-10616.929471298197</v>
      </c>
      <c r="AQ27" s="1021">
        <f>(VLOOKUP(YEAR($A27),'NY East Load Projections'!$A$4:$EO$14,((MONTH($A27)-1)*12)+VLOOKUP(AQ$4,$DE$6:$DF$17,2)+1))*(VLOOKUP($A27,SatSunCurve,2))*(INDEX(DailyScalarsTable,AQ$5/100,MONTH($A27)))*$C27</f>
        <v>-10556.750258990776</v>
      </c>
      <c r="AR27" s="1021">
        <f>(VLOOKUP(YEAR($A27),'NY East Load Projections'!$A$4:$EO$14,((MONTH($A27)-1)*12)+VLOOKUP(AR$4,$DE$6:$DF$17,2)+1))*(VLOOKUP($A27,SatSunCurve,2))*(INDEX(DailyScalarsTable,AR$5/100,MONTH($A27)))*$C27</f>
        <v>-8908.4040218828377</v>
      </c>
      <c r="AS27" s="1021">
        <f>(VLOOKUP(YEAR($A27),'NY East Load Projections'!$A$4:$EO$14,((MONTH($A27)-1)*12)+VLOOKUP(AS$4,$DE$6:$DF$17,2)+1))*(VLOOKUP($A27,SatSunCurve,2))*(INDEX(DailyScalarsTable,AS$5/100,MONTH($A27)))*$C27</f>
        <v>-8325.8386158267131</v>
      </c>
      <c r="AT27" s="1021">
        <f>(VLOOKUP(YEAR($A27),'NY East Load Projections'!$A$4:$EO$14,((MONTH($A27)-1)*12)+VLOOKUP(AT$4,$DE$6:$DF$17,2)+1))*(VLOOKUP($A27,SatSunCurve,2))*(INDEX(DailyScalarsTable,AT$5/100,MONTH($A27)))*$C27</f>
        <v>-8094.7472417274657</v>
      </c>
      <c r="AU27" s="1021">
        <f>(VLOOKUP(YEAR($A27),'NY East Load Projections'!$A$4:$EO$14,((MONTH($A27)-1)*12)+VLOOKUP(AU$4,$DE$6:$DF$17,2)+1))*(VLOOKUP($A27,SatSunCurve,2))*(INDEX(DailyScalarsTable,AU$5/100,MONTH($A27)))*$C27</f>
        <v>-7906.6931275819252</v>
      </c>
      <c r="AV27" s="1021">
        <f>(VLOOKUP(YEAR($A27),'NY East Load Projections'!$A$4:$EO$14,((MONTH($A27)-1)*12)+VLOOKUP(AV$4,$DE$6:$DF$17,2)+1))*(VLOOKUP($A27,SatSunCurve,2))*(INDEX(DailyScalarsTable,AV$5/100,MONTH($A27)))*$C27</f>
        <v>-7852.4287563359485</v>
      </c>
      <c r="AW27" s="1021">
        <f>(VLOOKUP(YEAR($A27),'NY East Load Projections'!$A$4:$EO$14,((MONTH($A27)-1)*12)+VLOOKUP(AW$4,$DE$6:$DF$17,2)+1))*(VLOOKUP($A27,SatSunCurve,2))*(INDEX(DailyScalarsTable,AW$5/100,MONTH($A27)))*$C27</f>
        <v>-7828.0749088864759</v>
      </c>
      <c r="AX27" s="1021">
        <f>(VLOOKUP(YEAR($A27),'NY East Load Projections'!$A$4:$EO$14,((MONTH($A27)-1)*12)+VLOOKUP(AX$4,$DE$6:$DF$17,2)+1))*(VLOOKUP($A27,SatSunCurve,2))*(INDEX(DailyScalarsTable,AX$5/100,MONTH($A27)))*$C27</f>
        <v>-10560.333518609104</v>
      </c>
      <c r="AY27" s="1021">
        <f>(VLOOKUP(YEAR($A27),'NY East Load Projections'!$A$4:$EO$14,((MONTH($A27)-1)*12)+VLOOKUP(AY$4,$DE$6:$DF$17,2)+1))*(VLOOKUP($A27,SatSunCurve,2))*(INDEX(DailyScalarsTable,AY$5/100,MONTH($A27)))*$C27</f>
        <v>-10643.049238194912</v>
      </c>
      <c r="AZ27" s="1021">
        <f>(VLOOKUP(YEAR($A27),'NY East Load Projections'!$A$4:$EO$14,((MONTH($A27)-1)*12)+VLOOKUP(AZ$4,$DE$6:$DF$17,2)+1))*(VLOOKUP($A27,SatSunCurve,2))*(INDEX(DailyScalarsTable,AZ$5/100,MONTH($A27)))*$C27</f>
        <v>-10178.433281372514</v>
      </c>
      <c r="BA27" s="1021">
        <f>(VLOOKUP(YEAR($A27),'NY East Load Projections'!$A$4:$EO$14,((MONTH($A27)-1)*12)+VLOOKUP(BA$4,$DE$6:$DF$17,2)+1))*(VLOOKUP($A27,SatSunCurve,2))*(INDEX(DailyScalarsTable,BA$5/100,MONTH($A27)))*$C27</f>
        <v>-9149.9304669150442</v>
      </c>
      <c r="BB27" s="1021">
        <f>(VLOOKUP(YEAR($A27),'NY East Load Projections'!$A$4:$EO$14,((MONTH($A27)-1)*12)+VLOOKUP(BB$4,$DE$6:$DF$17,2)+1))*(VLOOKUP($A27,SatSunCurve,2))*(INDEX(DailyScalarsTable,BB$5/100,MONTH($A27)))*$C27</f>
        <v>-7590.2735008079062</v>
      </c>
      <c r="BC27" s="1021">
        <f>(VLOOKUP(YEAR($A27),'NY East Load Projections'!$A$4:$EO$14,((MONTH($A27)-1)*12)+VLOOKUP(BC$4,$DE$6:$DF$17,2)+1))*(VLOOKUP($A27,SatSunCurve,2))*(INDEX(DailyScalarsTable,BC$5/100,MONTH($A27)))*$C27</f>
        <v>-6471.4635915312692</v>
      </c>
      <c r="BD27" s="1021">
        <f>(VLOOKUP(YEAR($A27),'NY East Load Projections'!$A$4:$EO$14,((MONTH($A27)-1)*12)+VLOOKUP(BD$4,$DE$6:$DF$17,2)+1))*(VLOOKUP($A27,CURVES!$D$9:$T$261,6))*(INDEX(DailyScalarsTable,BD$5/100,MONTH($A27)))*$C27</f>
        <v>-7719.0326315458933</v>
      </c>
      <c r="BE27" s="1021"/>
      <c r="BF27" s="1021">
        <f>(VLOOKUP(YEAR($A27),'NY East Load Projections'!$A$4:$EO$14,((MONTH($A27)-1)*12)+VLOOKUP(BF$4,$DE$6:$DF$17,2)+1))*(VLOOKUP($A27,CURVES!$D$9:$T$261,6))*(INDEX(DailyScalarsTable,BF$5/100,MONTH($A27)))*$D27</f>
        <v>-6833.059447423032</v>
      </c>
      <c r="BG27" s="1021">
        <f>(VLOOKUP(YEAR($A27),'NY East Load Projections'!$A$4:$EO$14,((MONTH($A27)-1)*12)+VLOOKUP(BG$4,$DE$6:$DF$17,2)+1))*(VLOOKUP($A27,CURVES!$D$9:$T$261,6))*(INDEX(DailyScalarsTable,BG$5/100,MONTH($A27)))*$D27</f>
        <v>-6485.4693775857149</v>
      </c>
      <c r="BH27" s="1021">
        <f>(VLOOKUP(YEAR($A27),'NY East Load Projections'!$A$4:$EO$14,((MONTH($A27)-1)*12)+VLOOKUP(BH$4,$DE$6:$DF$17,2)+1))*(VLOOKUP($A27,CURVES!$D$9:$T$261,6))*(INDEX(DailyScalarsTable,BH$5/100,MONTH($A27)))*$D27</f>
        <v>-6229.9942744961754</v>
      </c>
      <c r="BI27" s="1021">
        <f>(VLOOKUP(YEAR($A27),'NY East Load Projections'!$A$4:$EO$14,((MONTH($A27)-1)*12)+VLOOKUP(BI$4,$DE$6:$DF$17,2)+1))*(VLOOKUP($A27,CURVES!$D$9:$T$261,6))*(INDEX(DailyScalarsTable,BI$5/100,MONTH($A27)))*$D27</f>
        <v>-6233.5925153847602</v>
      </c>
      <c r="BJ27" s="1021">
        <f>(VLOOKUP(YEAR($A27),'NY East Load Projections'!$A$4:$EO$14,((MONTH($A27)-1)*12)+VLOOKUP(BJ$4,$DE$6:$DF$17,2)+1))*(VLOOKUP($A27,CURVES!$D$9:$T$261,6))*(INDEX(DailyScalarsTable,BJ$5/100,MONTH($A27)))*$D27</f>
        <v>-6775.5137056852873</v>
      </c>
      <c r="BK27" s="1021">
        <f>(VLOOKUP(YEAR($A27),'NY East Load Projections'!$A$4:$EO$14,((MONTH($A27)-1)*12)+VLOOKUP(BK$4,$DE$6:$DF$17,2)+1))*(VLOOKUP($A27,CURVES!$D$9:$T$261,6))*(INDEX(DailyScalarsTable,BK$5/100,MONTH($A27)))*$D27</f>
        <v>-7783.9792642540951</v>
      </c>
      <c r="BL27" s="1021">
        <f>(VLOOKUP(YEAR($A27),'NY East Load Projections'!$A$4:$EO$14,((MONTH($A27)-1)*12)+VLOOKUP(BL$4,$DE$6:$DF$17,2)+1))*(VLOOKUP($A27,CURVES!$D$9:$T$261,6))*(INDEX(DailyScalarsTable,BL$5/100,MONTH($A27)))*$D27</f>
        <v>-10062.716523500219</v>
      </c>
      <c r="BM27" s="1021">
        <f>(VLOOKUP(YEAR($A27),'NY East Load Projections'!$A$4:$EO$14,((MONTH($A27)-1)*12)+VLOOKUP(BM$4,$DE$6:$DF$17,2)+1))*(VLOOKUP($A27,SatSunCurve,6))*(INDEX(DailyScalarsTable,BM$5/100,MONTH($A27)))*$D27</f>
        <v>-7230.9266141367352</v>
      </c>
      <c r="BN27" s="1021">
        <f>(VLOOKUP(YEAR($A27),'NY East Load Projections'!$A$4:$EO$14,((MONTH($A27)-1)*12)+VLOOKUP(BN$4,$DE$6:$DF$17,2)+1))*(VLOOKUP($A27,SatSunCurve,6))*(INDEX(DailyScalarsTable,BN$5/100,MONTH($A27)))*$D27</f>
        <v>-8515.4251653449537</v>
      </c>
      <c r="BO27" s="1021">
        <f>(VLOOKUP(YEAR($A27),'NY East Load Projections'!$A$4:$EO$14,((MONTH($A27)-1)*12)+VLOOKUP(BO$4,$DE$6:$DF$17,2)+1))*(VLOOKUP($A27,SatSunCurve,6))*(INDEX(DailyScalarsTable,BO$5/100,MONTH($A27)))*$D27</f>
        <v>-8489.1105016695983</v>
      </c>
      <c r="BP27" s="1021">
        <f>(VLOOKUP(YEAR($A27),'NY East Load Projections'!$A$4:$EO$14,((MONTH($A27)-1)*12)+VLOOKUP(BP$4,$DE$6:$DF$17,2)+1))*(VLOOKUP($A27,SatSunCurve,6))*(INDEX(DailyScalarsTable,BP$5/100,MONTH($A27)))*$D27</f>
        <v>-8440.9922595203789</v>
      </c>
      <c r="BQ27" s="1021">
        <f>(VLOOKUP(YEAR($A27),'NY East Load Projections'!$A$4:$EO$14,((MONTH($A27)-1)*12)+VLOOKUP(BQ$4,$DE$6:$DF$17,2)+1))*(VLOOKUP($A27,SatSunCurve,6))*(INDEX(DailyScalarsTable,BQ$5/100,MONTH($A27)))*$D27</f>
        <v>-7123.0035331518711</v>
      </c>
      <c r="BR27" s="1021">
        <f>(VLOOKUP(YEAR($A27),'NY East Load Projections'!$A$4:$EO$14,((MONTH($A27)-1)*12)+VLOOKUP(BR$4,$DE$6:$DF$17,2)+1))*(VLOOKUP($A27,SatSunCurve,6))*(INDEX(DailyScalarsTable,BR$5/100,MONTH($A27)))*$D27</f>
        <v>-6657.1944572010489</v>
      </c>
      <c r="BS27" s="1021">
        <f>(VLOOKUP(YEAR($A27),'NY East Load Projections'!$A$4:$EO$14,((MONTH($A27)-1)*12)+VLOOKUP(BS$4,$DE$6:$DF$17,2)+1))*(VLOOKUP($A27,SatSunCurve,6))*(INDEX(DailyScalarsTable,BS$5/100,MONTH($A27)))*$D27</f>
        <v>-6472.417849612706</v>
      </c>
      <c r="BT27" s="1021">
        <f>(VLOOKUP(YEAR($A27),'NY East Load Projections'!$A$4:$EO$14,((MONTH($A27)-1)*12)+VLOOKUP(BT$4,$DE$6:$DF$17,2)+1))*(VLOOKUP($A27,SatSunCurve,6))*(INDEX(DailyScalarsTable,BT$5/100,MONTH($A27)))*$D27</f>
        <v>-6322.0530798748241</v>
      </c>
      <c r="BU27" s="1021">
        <f>(VLOOKUP(YEAR($A27),'NY East Load Projections'!$A$4:$EO$14,((MONTH($A27)-1)*12)+VLOOKUP(BU$4,$DE$6:$DF$17,2)+1))*(VLOOKUP($A27,SatSunCurve,6))*(INDEX(DailyScalarsTable,BU$5/100,MONTH($A27)))*$D27</f>
        <v>-6278.6642408459838</v>
      </c>
      <c r="BV27" s="1021">
        <f>(VLOOKUP(YEAR($A27),'NY East Load Projections'!$A$4:$EO$14,((MONTH($A27)-1)*12)+VLOOKUP(BV$4,$DE$6:$DF$17,2)+1))*(VLOOKUP($A27,SatSunCurve,6))*(INDEX(DailyScalarsTable,BV$5/100,MONTH($A27)))*$D27</f>
        <v>-6259.1913317814297</v>
      </c>
      <c r="BW27" s="1021">
        <f>(VLOOKUP(YEAR($A27),'NY East Load Projections'!$A$4:$EO$14,((MONTH($A27)-1)*12)+VLOOKUP(BW$4,$DE$6:$DF$17,2)+1))*(VLOOKUP($A27,SatSunCurve,6))*(INDEX(DailyScalarsTable,BW$5/100,MONTH($A27)))*$D27</f>
        <v>-8443.8573710329292</v>
      </c>
      <c r="BX27" s="1021">
        <f>(VLOOKUP(YEAR($A27),'NY East Load Projections'!$A$4:$EO$14,((MONTH($A27)-1)*12)+VLOOKUP(BX$4,$DE$6:$DF$17,2)+1))*(VLOOKUP($A27,SatSunCurve,6))*(INDEX(DailyScalarsTable,BX$5/100,MONTH($A27)))*$D27</f>
        <v>-8509.9954089361963</v>
      </c>
      <c r="BY27" s="1021">
        <f>(VLOOKUP(YEAR($A27),'NY East Load Projections'!$A$4:$EO$14,((MONTH($A27)-1)*12)+VLOOKUP(BY$4,$DE$6:$DF$17,2)+1))*(VLOOKUP($A27,SatSunCurve,6))*(INDEX(DailyScalarsTable,BY$5/100,MONTH($A27)))*$D27</f>
        <v>-8138.4966428412545</v>
      </c>
      <c r="BZ27" s="1021">
        <f>(VLOOKUP(YEAR($A27),'NY East Load Projections'!$A$4:$EO$14,((MONTH($A27)-1)*12)+VLOOKUP(BZ$4,$DE$6:$DF$17,2)+1))*(VLOOKUP($A27,SatSunCurve,6))*(INDEX(DailyScalarsTable,BZ$5/100,MONTH($A27)))*$D27</f>
        <v>-7316.1238403458419</v>
      </c>
      <c r="CA27" s="1021">
        <f>(VLOOKUP(YEAR($A27),'NY East Load Projections'!$A$4:$EO$14,((MONTH($A27)-1)*12)+VLOOKUP(CA$4,$DE$6:$DF$17,2)+1))*(VLOOKUP($A27,SatSunCurve,6))*(INDEX(DailyScalarsTable,CA$5/100,MONTH($A27)))*$D27</f>
        <v>-6069.0494987694437</v>
      </c>
      <c r="CB27" s="1021">
        <f>(VLOOKUP(YEAR($A27),'NY East Load Projections'!$A$4:$EO$14,((MONTH($A27)-1)*12)+VLOOKUP(CB$4,$DE$6:$DF$17,2)+1))*(VLOOKUP($A27,SatSunCurve,6))*(INDEX(DailyScalarsTable,CB$5/100,MONTH($A27)))*$D27</f>
        <v>-5174.4687279459786</v>
      </c>
      <c r="CC27" s="1021">
        <f>(VLOOKUP(YEAR($A27),'NY East Load Projections'!$A$4:$EO$14,((MONTH($A27)-1)*12)+VLOOKUP(CC$4,$DE$6:$DF$17,2)+1))*(VLOOKUP($A27,CURVES!$D$9:$T$261,6))*(INDEX(DailyScalarsTable,CC$5/100,MONTH($A27)))*$D27</f>
        <v>-7719.0326315458933</v>
      </c>
      <c r="CE27" s="1021">
        <f>(VLOOKUP(YEAR($A27),'NY East Load Projections'!$A$4:$EO$14,((MONTH($A27)-1)*12)+VLOOKUP(CE$4,$DE$6:$DF$17,2)+1))*(VLOOKUP($A27,CURVES!$D$9:$T$261,6))*(INDEX(DailyScalarsTable,CE$5/100,MONTH($A27)))*$E27</f>
        <v>0</v>
      </c>
      <c r="CF27" s="1021">
        <f>(VLOOKUP(YEAR($A27),'NY East Load Projections'!$A$4:$EO$14,((MONTH($A27)-1)*12)+VLOOKUP(CF$4,$DE$6:$DF$17,2)+1))*(VLOOKUP($A27,CURVES!$D$9:$T$261,6))*(INDEX(DailyScalarsTable,CF$5/100,MONTH($A27)))*$E27</f>
        <v>0</v>
      </c>
      <c r="CG27" s="1021">
        <f>(VLOOKUP(YEAR($A27),'NY East Load Projections'!$A$4:$EO$14,((MONTH($A27)-1)*12)+VLOOKUP(CG$4,$DE$6:$DF$17,2)+1))*(VLOOKUP($A27,CURVES!$D$9:$T$261,6))*(INDEX(DailyScalarsTable,CG$5/100,MONTH($A27)))*$E27</f>
        <v>0</v>
      </c>
      <c r="CH27" s="1021">
        <f>(VLOOKUP(YEAR($A27),'NY East Load Projections'!$A$4:$EO$14,((MONTH($A27)-1)*12)+VLOOKUP(CH$4,$DE$6:$DF$17,2)+1))*(VLOOKUP($A27,CURVES!$D$9:$T$261,6))*(INDEX(DailyScalarsTable,CH$5/100,MONTH($A27)))*$E27</f>
        <v>0</v>
      </c>
      <c r="CI27" s="1021">
        <f>(VLOOKUP(YEAR($A27),'NY East Load Projections'!$A$4:$EO$14,((MONTH($A27)-1)*12)+VLOOKUP(CI$4,$DE$6:$DF$17,2)+1))*(VLOOKUP($A27,CURVES!$D$9:$T$261,6))*(INDEX(DailyScalarsTable,CI$5/100,MONTH($A27)))*$E27</f>
        <v>0</v>
      </c>
      <c r="CJ27" s="1021">
        <f>(VLOOKUP(YEAR($A27),'NY East Load Projections'!$A$4:$EO$14,((MONTH($A27)-1)*12)+VLOOKUP(CJ$4,$DE$6:$DF$17,2)+1))*(VLOOKUP($A27,CURVES!$D$9:$T$261,6))*(INDEX(DailyScalarsTable,CJ$5/100,MONTH($A27)))*$E27</f>
        <v>0</v>
      </c>
      <c r="CK27" s="1021">
        <f>(VLOOKUP(YEAR($A27),'NY East Load Projections'!$A$4:$EO$14,((MONTH($A27)-1)*12)+VLOOKUP(CK$4,$DE$6:$DF$17,2)+1))*(VLOOKUP($A27,CURVES!$D$9:$T$261,6))*(INDEX(DailyScalarsTable,CK$5/100,MONTH($A27)))*$E27</f>
        <v>0</v>
      </c>
      <c r="CL27" s="1021">
        <f>(VLOOKUP(YEAR($A27),'NY East Load Projections'!$A$4:$EO$14,((MONTH($A27)-1)*12)+VLOOKUP(CL$4,$DE$6:$DF$17,2)+1))*(VLOOKUP($A27,SatSunCurve,6))*(INDEX(DailyScalarsTable,CL$5/100,MONTH($A27)))*$E27</f>
        <v>0</v>
      </c>
      <c r="CM27" s="1021">
        <f>(VLOOKUP(YEAR($A27),'NY East Load Projections'!$A$4:$EO$14,((MONTH($A27)-1)*12)+VLOOKUP(CM$4,$DE$6:$DF$17,2)+1))*(VLOOKUP($A27,SatSunCurve,6))*(INDEX(DailyScalarsTable,CM$5/100,MONTH($A27)))*$E27</f>
        <v>0</v>
      </c>
      <c r="CN27" s="1021">
        <f>(VLOOKUP(YEAR($A27),'NY East Load Projections'!$A$4:$EO$14,((MONTH($A27)-1)*12)+VLOOKUP(CN$4,$DE$6:$DF$17,2)+1))*(VLOOKUP($A27,SatSunCurve,6))*(INDEX(DailyScalarsTable,CN$5/100,MONTH($A27)))*$E27</f>
        <v>0</v>
      </c>
      <c r="CO27" s="1021">
        <f>(VLOOKUP(YEAR($A27),'NY East Load Projections'!$A$4:$EO$14,((MONTH($A27)-1)*12)+VLOOKUP(CO$4,$DE$6:$DF$17,2)+1))*(VLOOKUP($A27,SatSunCurve,6))*(INDEX(DailyScalarsTable,CO$5/100,MONTH($A27)))*$E27</f>
        <v>0</v>
      </c>
      <c r="CP27" s="1021">
        <f>(VLOOKUP(YEAR($A27),'NY East Load Projections'!$A$4:$EO$14,((MONTH($A27)-1)*12)+VLOOKUP(CP$4,$DE$6:$DF$17,2)+1))*(VLOOKUP($A27,SatSunCurve,6))*(INDEX(DailyScalarsTable,CP$5/100,MONTH($A27)))*$E27</f>
        <v>0</v>
      </c>
      <c r="CQ27" s="1021">
        <f>(VLOOKUP(YEAR($A27),'NY East Load Projections'!$A$4:$EO$14,((MONTH($A27)-1)*12)+VLOOKUP(CQ$4,$DE$6:$DF$17,2)+1))*(VLOOKUP($A27,SatSunCurve,6))*(INDEX(DailyScalarsTable,CQ$5/100,MONTH($A27)))*$E27</f>
        <v>0</v>
      </c>
      <c r="CR27" s="1021">
        <f>(VLOOKUP(YEAR($A27),'NY East Load Projections'!$A$4:$EO$14,((MONTH($A27)-1)*12)+VLOOKUP(CR$4,$DE$6:$DF$17,2)+1))*(VLOOKUP($A27,SatSunCurve,6))*(INDEX(DailyScalarsTable,CR$5/100,MONTH($A27)))*$E27</f>
        <v>0</v>
      </c>
      <c r="CS27" s="1021">
        <f>(VLOOKUP(YEAR($A27),'NY East Load Projections'!$A$4:$EO$14,((MONTH($A27)-1)*12)+VLOOKUP(CS$4,$DE$6:$DF$17,2)+1))*(VLOOKUP($A27,SatSunCurve,6))*(INDEX(DailyScalarsTable,CS$5/100,MONTH($A27)))*$E27</f>
        <v>0</v>
      </c>
      <c r="CT27" s="1021">
        <f>(VLOOKUP(YEAR($A27),'NY East Load Projections'!$A$4:$EO$14,((MONTH($A27)-1)*12)+VLOOKUP(CT$4,$DE$6:$DF$17,2)+1))*(VLOOKUP($A27,SatSunCurve,6))*(INDEX(DailyScalarsTable,CT$5/100,MONTH($A27)))*$E27</f>
        <v>0</v>
      </c>
      <c r="CU27" s="1021">
        <f>(VLOOKUP(YEAR($A27),'NY East Load Projections'!$A$4:$EO$14,((MONTH($A27)-1)*12)+VLOOKUP(CU$4,$DE$6:$DF$17,2)+1))*(VLOOKUP($A27,SatSunCurve,6))*(INDEX(DailyScalarsTable,CU$5/100,MONTH($A27)))*$E27</f>
        <v>0</v>
      </c>
      <c r="CV27" s="1021">
        <f>(VLOOKUP(YEAR($A27),'NY East Load Projections'!$A$4:$EO$14,((MONTH($A27)-1)*12)+VLOOKUP(CV$4,$DE$6:$DF$17,2)+1))*(VLOOKUP($A27,SatSunCurve,6))*(INDEX(DailyScalarsTable,CV$5/100,MONTH($A27)))*$E27</f>
        <v>0</v>
      </c>
      <c r="CW27" s="1021">
        <f>(VLOOKUP(YEAR($A27),'NY East Load Projections'!$A$4:$EO$14,((MONTH($A27)-1)*12)+VLOOKUP(CW$4,$DE$6:$DF$17,2)+1))*(VLOOKUP($A27,SatSunCurve,6))*(INDEX(DailyScalarsTable,CW$5/100,MONTH($A27)))*$E27</f>
        <v>0</v>
      </c>
      <c r="CX27" s="1021">
        <f>(VLOOKUP(YEAR($A27),'NY East Load Projections'!$A$4:$EO$14,((MONTH($A27)-1)*12)+VLOOKUP(CX$4,$DE$6:$DF$17,2)+1))*(VLOOKUP($A27,SatSunCurve,6))*(INDEX(DailyScalarsTable,CX$5/100,MONTH($A27)))*$E27</f>
        <v>0</v>
      </c>
      <c r="CY27" s="1021">
        <f>(VLOOKUP(YEAR($A27),'NY East Load Projections'!$A$4:$EO$14,((MONTH($A27)-1)*12)+VLOOKUP(CY$4,$DE$6:$DF$17,2)+1))*(VLOOKUP($A27,SatSunCurve,6))*(INDEX(DailyScalarsTable,CY$5/100,MONTH($A27)))*$E27</f>
        <v>0</v>
      </c>
      <c r="CZ27" s="1021">
        <f>(VLOOKUP(YEAR($A27),'NY East Load Projections'!$A$4:$EO$14,((MONTH($A27)-1)*12)+VLOOKUP(CZ$4,$DE$6:$DF$17,2)+1))*(VLOOKUP($A27,SatSunCurve,6))*(INDEX(DailyScalarsTable,CZ$5/100,MONTH($A27)))*$E27</f>
        <v>0</v>
      </c>
      <c r="DA27" s="1021">
        <f>(VLOOKUP(YEAR($A27),'NY East Load Projections'!$A$4:$EO$14,((MONTH($A27)-1)*12)+VLOOKUP(DA$4,$DE$6:$DF$17,2)+1))*(VLOOKUP($A27,SatSunCurve,6))*(INDEX(DailyScalarsTable,DA$5/100,MONTH($A27)))*$E27</f>
        <v>0</v>
      </c>
      <c r="DB27" s="1021">
        <f>(VLOOKUP(YEAR($A27),'NY East Load Projections'!$A$4:$EO$14,((MONTH($A27)-1)*12)+VLOOKUP(DB$4,$DE$6:$DF$17,2)+1))*(VLOOKUP($A27,CURVES!$D$9:$T$261,6))*(INDEX(DailyScalarsTable,DB$5/100,MONTH($A27)))*$E27</f>
        <v>0</v>
      </c>
      <c r="DH27" s="1021">
        <f t="shared" si="0"/>
        <v>-1738031.835754083</v>
      </c>
      <c r="DI27">
        <f ca="1">CALC!J47</f>
        <v>0.8260475313611404</v>
      </c>
      <c r="DJ27" s="1029">
        <f t="shared" ca="1" si="1"/>
        <v>-1435696.9073517313</v>
      </c>
    </row>
    <row r="28" spans="1:114" x14ac:dyDescent="0.25">
      <c r="A28" s="244">
        <v>37561</v>
      </c>
      <c r="B28" s="13">
        <v>20</v>
      </c>
      <c r="C28" s="210">
        <v>5</v>
      </c>
      <c r="D28" s="210">
        <v>4</v>
      </c>
      <c r="E28" s="210">
        <v>1</v>
      </c>
      <c r="F28" s="13">
        <v>30</v>
      </c>
      <c r="H28" s="1021">
        <f>(VLOOKUP(YEAR($A28),'NY East Load Projections'!$A$4:$EO$14,((MONTH($A28)-1)*12)+VLOOKUP(H$4,$DE$6:$DF$17,2)+1))*(VLOOKUP($A28,CURVES!$D$9:$K$261,6))*(INDEX(DailyScalarsTable,H$5/100,MONTH($A28)))*$B28</f>
        <v>-29770.108248058234</v>
      </c>
      <c r="I28" s="1021">
        <f>(VLOOKUP(YEAR($A28),'NY East Load Projections'!$A$4:$EO$14,((MONTH($A28)-1)*12)+VLOOKUP(I$4,$DE$6:$DF$17,2)+1))*(VLOOKUP($A28,CURVES!$D$9:$K$261,6))*(INDEX(DailyScalarsTable,I$5/100,MONTH($A28)))*$B28</f>
        <v>-28223.151574167736</v>
      </c>
      <c r="J28" s="1021">
        <f>(VLOOKUP(YEAR($A28),'NY East Load Projections'!$A$4:$EO$14,((MONTH($A28)-1)*12)+VLOOKUP(J$4,$DE$6:$DF$17,2)+1))*(VLOOKUP($A28,CURVES!$D$9:$K$261,6))*(INDEX(DailyScalarsTable,J$5/100,MONTH($A28)))*$B28</f>
        <v>-27086.154432902473</v>
      </c>
      <c r="K28" s="1021">
        <f>(VLOOKUP(YEAR($A28),'NY East Load Projections'!$A$4:$EO$14,((MONTH($A28)-1)*12)+VLOOKUP(K$4,$DE$6:$DF$17,2)+1))*(VLOOKUP($A28,CURVES!$D$9:$K$261,6))*(INDEX(DailyScalarsTable,K$5/100,MONTH($A28)))*$B28</f>
        <v>-27102.168477145642</v>
      </c>
      <c r="L28" s="1021">
        <f>(VLOOKUP(YEAR($A28),'NY East Load Projections'!$A$4:$EO$14,((MONTH($A28)-1)*12)+VLOOKUP(L$4,$DE$6:$DF$17,2)+1))*(VLOOKUP($A28,CURVES!$D$9:$K$261,6))*(INDEX(DailyScalarsTable,L$5/100,MONTH($A28)))*$B28</f>
        <v>-30726.930056521509</v>
      </c>
      <c r="M28" s="1021">
        <f>(VLOOKUP(YEAR($A28),'NY East Load Projections'!$A$4:$EO$14,((MONTH($A28)-1)*12)+VLOOKUP(M$4,$DE$6:$DF$17,2)+1))*(VLOOKUP($A28,CURVES!$D$9:$K$261,6))*(INDEX(DailyScalarsTable,M$5/100,MONTH($A28)))*$B28</f>
        <v>-35401.219802571504</v>
      </c>
      <c r="N28" s="1021">
        <f>(VLOOKUP(YEAR($A28),'NY East Load Projections'!$A$4:$EO$14,((MONTH($A28)-1)*12)+VLOOKUP(N$4,$DE$6:$DF$17,2)+1))*(VLOOKUP($A28,CURVES!$D$9:$K$261,6))*(INDEX(DailyScalarsTable,N$5/100,MONTH($A28)))*$B28</f>
        <v>-50708.756055770747</v>
      </c>
      <c r="O28" s="1021">
        <f>(VLOOKUP(YEAR($A28),'NY East Load Projections'!$A$4:$EO$14,((MONTH($A28)-1)*12)+VLOOKUP(O$4,$DE$6:$DF$17,2)+1))*(VLOOKUP($A28,CURVES!$D$9:$K$261,2))*(INDEX(DailyScalarsTable,O$5/100,MONTH($A28)))*$B28</f>
        <v>-57498.506241150528</v>
      </c>
      <c r="P28" s="1021">
        <f>(VLOOKUP(YEAR($A28),'NY East Load Projections'!$A$4:$EO$14,((MONTH($A28)-1)*12)+VLOOKUP(P$4,$DE$6:$DF$17,2)+1))*(VLOOKUP($A28,CURVES!$D$9:$K$261,2))*(INDEX(DailyScalarsTable,P$5/100,MONTH($A28)))*$B28</f>
        <v>-63788.54876928687</v>
      </c>
      <c r="Q28" s="1021">
        <f>(VLOOKUP(YEAR($A28),'NY East Load Projections'!$A$4:$EO$14,((MONTH($A28)-1)*12)+VLOOKUP(Q$4,$DE$6:$DF$17,2)+1))*(VLOOKUP($A28,CURVES!$D$9:$K$261,2))*(INDEX(DailyScalarsTable,Q$5/100,MONTH($A28)))*$B28</f>
        <v>-63375.424963149351</v>
      </c>
      <c r="R28" s="1021">
        <f>(VLOOKUP(YEAR($A28),'NY East Load Projections'!$A$4:$EO$14,((MONTH($A28)-1)*12)+VLOOKUP(R$4,$DE$6:$DF$17,2)+1))*(VLOOKUP($A28,CURVES!$D$9:$K$261,2))*(INDEX(DailyScalarsTable,R$5/100,MONTH($A28)))*$B28</f>
        <v>-62152.801807147785</v>
      </c>
      <c r="S28" s="1021">
        <f>(VLOOKUP(YEAR($A28),'NY East Load Projections'!$A$4:$EO$14,((MONTH($A28)-1)*12)+VLOOKUP(S$4,$DE$6:$DF$17,2)+1))*(VLOOKUP($A28,CURVES!$D$9:$K$261,2))*(INDEX(DailyScalarsTable,S$5/100,MONTH($A28)))*$B28</f>
        <v>-52332.737280176363</v>
      </c>
      <c r="T28" s="1021">
        <f>(VLOOKUP(YEAR($A28),'NY East Load Projections'!$A$4:$EO$14,((MONTH($A28)-1)*12)+VLOOKUP(T$4,$DE$6:$DF$17,2)+1))*(VLOOKUP($A28,CURVES!$D$9:$K$261,2))*(INDEX(DailyScalarsTable,T$5/100,MONTH($A28)))*$B28</f>
        <v>-49647.142460578441</v>
      </c>
      <c r="U28" s="1021">
        <f>(VLOOKUP(YEAR($A28),'NY East Load Projections'!$A$4:$EO$14,((MONTH($A28)-1)*12)+VLOOKUP(U$4,$DE$6:$DF$17,2)+1))*(VLOOKUP($A28,CURVES!$D$9:$K$261,2))*(INDEX(DailyScalarsTable,U$5/100,MONTH($A28)))*$B28</f>
        <v>-48314.446485591798</v>
      </c>
      <c r="V28" s="1021">
        <f>(VLOOKUP(YEAR($A28),'NY East Load Projections'!$A$4:$EO$14,((MONTH($A28)-1)*12)+VLOOKUP(V$4,$DE$6:$DF$17,2)+1))*(VLOOKUP($A28,CURVES!$D$9:$K$261,2))*(INDEX(DailyScalarsTable,V$5/100,MONTH($A28)))*$B28</f>
        <v>-47184.185342248689</v>
      </c>
      <c r="W28" s="1021">
        <f>(VLOOKUP(YEAR($A28),'NY East Load Projections'!$A$4:$EO$14,((MONTH($A28)-1)*12)+VLOOKUP(W$4,$DE$6:$DF$17,2)+1))*(VLOOKUP($A28,CURVES!$D$9:$K$261,2))*(INDEX(DailyScalarsTable,W$5/100,MONTH($A28)))*$B28</f>
        <v>-46408.185154281789</v>
      </c>
      <c r="X28" s="1021">
        <f>(VLOOKUP(YEAR($A28),'NY East Load Projections'!$A$4:$EO$14,((MONTH($A28)-1)*12)+VLOOKUP(X$4,$DE$6:$DF$17,2)+1))*(VLOOKUP($A28,CURVES!$D$9:$K$261,2))*(INDEX(DailyScalarsTable,X$5/100,MONTH($A28)))*$B28</f>
        <v>-48228.681704729155</v>
      </c>
      <c r="Y28" s="1021">
        <f>(VLOOKUP(YEAR($A28),'NY East Load Projections'!$A$4:$EO$14,((MONTH($A28)-1)*12)+VLOOKUP(Y$4,$DE$6:$DF$17,2)+1))*(VLOOKUP($A28,CURVES!$D$9:$K$261,2))*(INDEX(DailyScalarsTable,Y$5/100,MONTH($A28)))*$B28</f>
        <v>-66207.002597367304</v>
      </c>
      <c r="Z28" s="1021">
        <f>(VLOOKUP(YEAR($A28),'NY East Load Projections'!$A$4:$EO$14,((MONTH($A28)-1)*12)+VLOOKUP(Z$4,$DE$6:$DF$17,2)+1))*(VLOOKUP($A28,CURVES!$D$9:$K$261,2))*(INDEX(DailyScalarsTable,Z$5/100,MONTH($A28)))*$B28</f>
        <v>-66740.096530038572</v>
      </c>
      <c r="AA28" s="1021">
        <f>(VLOOKUP(YEAR($A28),'NY East Load Projections'!$A$4:$EO$14,((MONTH($A28)-1)*12)+VLOOKUP(AA$4,$DE$6:$DF$17,2)+1))*(VLOOKUP($A28,CURVES!$D$9:$K$261,2))*(INDEX(DailyScalarsTable,AA$5/100,MONTH($A28)))*$B28</f>
        <v>-64009.350058600037</v>
      </c>
      <c r="AB28" s="1021">
        <f>(VLOOKUP(YEAR($A28),'NY East Load Projections'!$A$4:$EO$14,((MONTH($A28)-1)*12)+VLOOKUP(AB$4,$DE$6:$DF$17,2)+1))*(VLOOKUP($A28,CURVES!$D$9:$K$261,2))*(INDEX(DailyScalarsTable,AB$5/100,MONTH($A28)))*$B28</f>
        <v>-56489.977706600301</v>
      </c>
      <c r="AC28" s="1021">
        <f>(VLOOKUP(YEAR($A28),'NY East Load Projections'!$A$4:$EO$14,((MONTH($A28)-1)*12)+VLOOKUP(AC$4,$DE$6:$DF$17,2)+1))*(VLOOKUP($A28,CURVES!$D$9:$K$261,2))*(INDEX(DailyScalarsTable,AC$5/100,MONTH($A28)))*$B28</f>
        <v>-44936.742299069876</v>
      </c>
      <c r="AD28" s="1021">
        <f>(VLOOKUP(YEAR($A28),'NY East Load Projections'!$A$4:$EO$14,((MONTH($A28)-1)*12)+VLOOKUP(AD$4,$DE$6:$DF$17,2)+1))*(VLOOKUP($A28,CURVES!$D$9:$K$261,2))*(INDEX(DailyScalarsTable,AD$5/100,MONTH($A28)))*$B28</f>
        <v>-37896.894769649669</v>
      </c>
      <c r="AE28" s="1021">
        <f>(VLOOKUP(YEAR($A28),'NY East Load Projections'!$A$4:$EO$14,((MONTH($A28)-1)*12)+VLOOKUP(AE$4,$DE$6:$DF$17,2)+1))*(VLOOKUP($A28,CURVES!$D$9:$K$261,6))*(INDEX(DailyScalarsTable,AE$5/100,MONTH($A28)))*$B28</f>
        <v>-34424.404703795677</v>
      </c>
      <c r="AF28" s="1021"/>
      <c r="AG28" s="1021">
        <f>(VLOOKUP(YEAR($A28),'NY East Load Projections'!$A$4:$EO$14,((MONTH($A28)-1)*12)+VLOOKUP(AG$4,$DE$6:$DF$17,2)+1))*(VLOOKUP($A28,CURVES!$D$9:$T$261,6))*(INDEX(DailyScalarsTable,AG$5/100,MONTH($A28)))*$C28</f>
        <v>-7773.8835156105779</v>
      </c>
      <c r="AH28" s="1021">
        <f>(VLOOKUP(YEAR($A28),'NY East Load Projections'!$A$4:$EO$14,((MONTH($A28)-1)*12)+VLOOKUP(AH$4,$DE$6:$DF$17,2)+1))*(VLOOKUP($A28,CURVES!$D$9:$T$261,6))*(INDEX(DailyScalarsTable,AH$5/100,MONTH($A28)))*$C28</f>
        <v>-7369.9259321743302</v>
      </c>
      <c r="AI28" s="1021">
        <f>(VLOOKUP(YEAR($A28),'NY East Load Projections'!$A$4:$EO$14,((MONTH($A28)-1)*12)+VLOOKUP(AI$4,$DE$6:$DF$17,2)+1))*(VLOOKUP($A28,CURVES!$D$9:$T$261,6))*(INDEX(DailyScalarsTable,AI$5/100,MONTH($A28)))*$C28</f>
        <v>-7073.0212901042123</v>
      </c>
      <c r="AJ28" s="1021">
        <f>(VLOOKUP(YEAR($A28),'NY East Load Projections'!$A$4:$EO$14,((MONTH($A28)-1)*12)+VLOOKUP(AJ$4,$DE$6:$DF$17,2)+1))*(VLOOKUP($A28,CURVES!$D$9:$T$261,6))*(INDEX(DailyScalarsTable,AJ$5/100,MONTH($A28)))*$C28</f>
        <v>-7077.2030456263255</v>
      </c>
      <c r="AK28" s="1021">
        <f>(VLOOKUP(YEAR($A28),'NY East Load Projections'!$A$4:$EO$14,((MONTH($A28)-1)*12)+VLOOKUP(AK$4,$DE$6:$DF$17,2)+1))*(VLOOKUP($A28,CURVES!$D$9:$T$261,6))*(INDEX(DailyScalarsTable,AK$5/100,MONTH($A28)))*$C28</f>
        <v>-7705.3850695249057</v>
      </c>
      <c r="AL28" s="1021">
        <f>(VLOOKUP(YEAR($A28),'NY East Load Projections'!$A$4:$EO$14,((MONTH($A28)-1)*12)+VLOOKUP(AL$4,$DE$6:$DF$17,2)+1))*(VLOOKUP($A28,CURVES!$D$9:$T$261,6))*(INDEX(DailyScalarsTable,AL$5/100,MONTH($A28)))*$C28</f>
        <v>-8877.555616780819</v>
      </c>
      <c r="AM28" s="1021">
        <f>(VLOOKUP(YEAR($A28),'NY East Load Projections'!$A$4:$EO$14,((MONTH($A28)-1)*12)+VLOOKUP(AM$4,$DE$6:$DF$17,2)+1))*(VLOOKUP($A28,CURVES!$D$9:$T$261,6))*(INDEX(DailyScalarsTable,AM$5/100,MONTH($A28)))*$C28</f>
        <v>-12716.222905691408</v>
      </c>
      <c r="AN28" s="1021">
        <f>(VLOOKUP(YEAR($A28),'NY East Load Projections'!$A$4:$EO$14,((MONTH($A28)-1)*12)+VLOOKUP(AN$4,$DE$6:$DF$17,2)+1))*(VLOOKUP($A28,SatSunCurve,2))*(INDEX(DailyScalarsTable,AN$5/100,MONTH($A28)))*$C28</f>
        <v>-11126.910337850915</v>
      </c>
      <c r="AO28" s="1021">
        <f>(VLOOKUP(YEAR($A28),'NY East Load Projections'!$A$4:$EO$14,((MONTH($A28)-1)*12)+VLOOKUP(AO$4,$DE$6:$DF$17,2)+1))*(VLOOKUP($A28,SatSunCurve,2))*(INDEX(DailyScalarsTable,AO$5/100,MONTH($A28)))*$C28</f>
        <v>-12475.730326427038</v>
      </c>
      <c r="AP28" s="1021">
        <f>(VLOOKUP(YEAR($A28),'NY East Load Projections'!$A$4:$EO$14,((MONTH($A28)-1)*12)+VLOOKUP(AP$4,$DE$6:$DF$17,2)+1))*(VLOOKUP($A28,SatSunCurve,2))*(INDEX(DailyScalarsTable,AP$5/100,MONTH($A28)))*$C28</f>
        <v>-12394.931792893376</v>
      </c>
      <c r="AQ28" s="1021">
        <f>(VLOOKUP(YEAR($A28),'NY East Load Projections'!$A$4:$EO$14,((MONTH($A28)-1)*12)+VLOOKUP(AQ$4,$DE$6:$DF$17,2)+1))*(VLOOKUP($A28,SatSunCurve,2))*(INDEX(DailyScalarsTable,AQ$5/100,MONTH($A28)))*$C28</f>
        <v>-12155.811808516733</v>
      </c>
      <c r="AR28" s="1021">
        <f>(VLOOKUP(YEAR($A28),'NY East Load Projections'!$A$4:$EO$14,((MONTH($A28)-1)*12)+VLOOKUP(AR$4,$DE$6:$DF$17,2)+1))*(VLOOKUP($A28,SatSunCurve,2))*(INDEX(DailyScalarsTable,AR$5/100,MONTH($A28)))*$C28</f>
        <v>-10235.208828980138</v>
      </c>
      <c r="AS28" s="1021">
        <f>(VLOOKUP(YEAR($A28),'NY East Load Projections'!$A$4:$EO$14,((MONTH($A28)-1)*12)+VLOOKUP(AS$4,$DE$6:$DF$17,2)+1))*(VLOOKUP($A28,SatSunCurve,2))*(INDEX(DailyScalarsTable,AS$5/100,MONTH($A28)))*$C28</f>
        <v>-9704.9198006235529</v>
      </c>
      <c r="AT28" s="1021">
        <f>(VLOOKUP(YEAR($A28),'NY East Load Projections'!$A$4:$EO$14,((MONTH($A28)-1)*12)+VLOOKUP(AT$4,$DE$6:$DF$17,2)+1))*(VLOOKUP($A28,SatSunCurve,2))*(INDEX(DailyScalarsTable,AT$5/100,MONTH($A28)))*$C28</f>
        <v>-9444.4071726081729</v>
      </c>
      <c r="AU28" s="1021">
        <f>(VLOOKUP(YEAR($A28),'NY East Load Projections'!$A$4:$EO$14,((MONTH($A28)-1)*12)+VLOOKUP(AU$4,$DE$6:$DF$17,2)+1))*(VLOOKUP($A28,SatSunCurve,2))*(INDEX(DailyScalarsTable,AU$5/100,MONTH($A28)))*$C28</f>
        <v>-9223.4660830255089</v>
      </c>
      <c r="AV28" s="1021">
        <f>(VLOOKUP(YEAR($A28),'NY East Load Projections'!$A$4:$EO$14,((MONTH($A28)-1)*12)+VLOOKUP(AV$4,$DE$6:$DF$17,2)+1))*(VLOOKUP($A28,SatSunCurve,2))*(INDEX(DailyScalarsTable,AV$5/100,MONTH($A28)))*$C28</f>
        <v>-9071.7751857001003</v>
      </c>
      <c r="AW28" s="1021">
        <f>(VLOOKUP(YEAR($A28),'NY East Load Projections'!$A$4:$EO$14,((MONTH($A28)-1)*12)+VLOOKUP(AW$4,$DE$6:$DF$17,2)+1))*(VLOOKUP($A28,SatSunCurve,2))*(INDEX(DailyScalarsTable,AW$5/100,MONTH($A28)))*$C28</f>
        <v>-9443.3626025853318</v>
      </c>
      <c r="AX28" s="1021">
        <f>(VLOOKUP(YEAR($A28),'NY East Load Projections'!$A$4:$EO$14,((MONTH($A28)-1)*12)+VLOOKUP(AX$4,$DE$6:$DF$17,2)+1))*(VLOOKUP($A28,SatSunCurve,2))*(INDEX(DailyScalarsTable,AX$5/100,MONTH($A28)))*$C28</f>
        <v>-12963.587439213408</v>
      </c>
      <c r="AY28" s="1021">
        <f>(VLOOKUP(YEAR($A28),'NY East Load Projections'!$A$4:$EO$14,((MONTH($A28)-1)*12)+VLOOKUP(AY$4,$DE$6:$DF$17,2)+1))*(VLOOKUP($A28,SatSunCurve,2))*(INDEX(DailyScalarsTable,AY$5/100,MONTH($A28)))*$C28</f>
        <v>-13067.969295186042</v>
      </c>
      <c r="AZ28" s="1021">
        <f>(VLOOKUP(YEAR($A28),'NY East Load Projections'!$A$4:$EO$14,((MONTH($A28)-1)*12)+VLOOKUP(AZ$4,$DE$6:$DF$17,2)+1))*(VLOOKUP($A28,SatSunCurve,2))*(INDEX(DailyScalarsTable,AZ$5/100,MONTH($A28)))*$C28</f>
        <v>-12533.278563571128</v>
      </c>
      <c r="BA28" s="1021">
        <f>(VLOOKUP(YEAR($A28),'NY East Load Projections'!$A$4:$EO$14,((MONTH($A28)-1)*12)+VLOOKUP(BA$4,$DE$6:$DF$17,2)+1))*(VLOOKUP($A28,SatSunCurve,2))*(INDEX(DailyScalarsTable,BA$5/100,MONTH($A28)))*$C28</f>
        <v>-11286.653392078008</v>
      </c>
      <c r="BB28" s="1021">
        <f>(VLOOKUP(YEAR($A28),'NY East Load Projections'!$A$4:$EO$14,((MONTH($A28)-1)*12)+VLOOKUP(BB$4,$DE$6:$DF$17,2)+1))*(VLOOKUP($A28,SatSunCurve,2))*(INDEX(DailyScalarsTable,BB$5/100,MONTH($A28)))*$C28</f>
        <v>-8978.325987894179</v>
      </c>
      <c r="BC28" s="1021">
        <f>(VLOOKUP(YEAR($A28),'NY East Load Projections'!$A$4:$EO$14,((MONTH($A28)-1)*12)+VLOOKUP(BC$4,$DE$6:$DF$17,2)+1))*(VLOOKUP($A28,SatSunCurve,2))*(INDEX(DailyScalarsTable,BC$5/100,MONTH($A28)))*$C28</f>
        <v>-7571.7699540021913</v>
      </c>
      <c r="BD28" s="1021">
        <f>(VLOOKUP(YEAR($A28),'NY East Load Projections'!$A$4:$EO$14,((MONTH($A28)-1)*12)+VLOOKUP(BD$4,$DE$6:$DF$17,2)+1))*(VLOOKUP($A28,CURVES!$D$9:$T$261,6))*(INDEX(DailyScalarsTable,BD$5/100,MONTH($A28)))*$C28</f>
        <v>-8912.8659088160475</v>
      </c>
      <c r="BE28" s="1021"/>
      <c r="BF28" s="1021">
        <f>(VLOOKUP(YEAR($A28),'NY East Load Projections'!$A$4:$EO$14,((MONTH($A28)-1)*12)+VLOOKUP(BF$4,$DE$6:$DF$17,2)+1))*(VLOOKUP($A28,CURVES!$D$9:$T$261,6))*(INDEX(DailyScalarsTable,BF$5/100,MONTH($A28)))*$D28</f>
        <v>-6219.1068124884623</v>
      </c>
      <c r="BG28" s="1021">
        <f>(VLOOKUP(YEAR($A28),'NY East Load Projections'!$A$4:$EO$14,((MONTH($A28)-1)*12)+VLOOKUP(BG$4,$DE$6:$DF$17,2)+1))*(VLOOKUP($A28,CURVES!$D$9:$T$261,6))*(INDEX(DailyScalarsTable,BG$5/100,MONTH($A28)))*$D28</f>
        <v>-5895.9407457394645</v>
      </c>
      <c r="BH28" s="1021">
        <f>(VLOOKUP(YEAR($A28),'NY East Load Projections'!$A$4:$EO$14,((MONTH($A28)-1)*12)+VLOOKUP(BH$4,$DE$6:$DF$17,2)+1))*(VLOOKUP($A28,CURVES!$D$9:$T$261,6))*(INDEX(DailyScalarsTable,BH$5/100,MONTH($A28)))*$D28</f>
        <v>-5658.41703208337</v>
      </c>
      <c r="BI28" s="1021">
        <f>(VLOOKUP(YEAR($A28),'NY East Load Projections'!$A$4:$EO$14,((MONTH($A28)-1)*12)+VLOOKUP(BI$4,$DE$6:$DF$17,2)+1))*(VLOOKUP($A28,CURVES!$D$9:$T$261,6))*(INDEX(DailyScalarsTable,BI$5/100,MONTH($A28)))*$D28</f>
        <v>-5661.7624365010606</v>
      </c>
      <c r="BJ28" s="1021">
        <f>(VLOOKUP(YEAR($A28),'NY East Load Projections'!$A$4:$EO$14,((MONTH($A28)-1)*12)+VLOOKUP(BJ$4,$DE$6:$DF$17,2)+1))*(VLOOKUP($A28,CURVES!$D$9:$T$261,6))*(INDEX(DailyScalarsTable,BJ$5/100,MONTH($A28)))*$D28</f>
        <v>-6164.3080556199247</v>
      </c>
      <c r="BK28" s="1021">
        <f>(VLOOKUP(YEAR($A28),'NY East Load Projections'!$A$4:$EO$14,((MONTH($A28)-1)*12)+VLOOKUP(BK$4,$DE$6:$DF$17,2)+1))*(VLOOKUP($A28,CURVES!$D$9:$T$261,6))*(INDEX(DailyScalarsTable,BK$5/100,MONTH($A28)))*$D28</f>
        <v>-7102.0444934246552</v>
      </c>
      <c r="BL28" s="1021">
        <f>(VLOOKUP(YEAR($A28),'NY East Load Projections'!$A$4:$EO$14,((MONTH($A28)-1)*12)+VLOOKUP(BL$4,$DE$6:$DF$17,2)+1))*(VLOOKUP($A28,CURVES!$D$9:$T$261,6))*(INDEX(DailyScalarsTable,BL$5/100,MONTH($A28)))*$D28</f>
        <v>-10172.978324553125</v>
      </c>
      <c r="BM28" s="1021">
        <f>(VLOOKUP(YEAR($A28),'NY East Load Projections'!$A$4:$EO$14,((MONTH($A28)-1)*12)+VLOOKUP(BM$4,$DE$6:$DF$17,2)+1))*(VLOOKUP($A28,SatSunCurve,6))*(INDEX(DailyScalarsTable,BM$5/100,MONTH($A28)))*$D28</f>
        <v>-7193.4040318199477</v>
      </c>
      <c r="BN28" s="1021">
        <f>(VLOOKUP(YEAR($A28),'NY East Load Projections'!$A$4:$EO$14,((MONTH($A28)-1)*12)+VLOOKUP(BN$4,$DE$6:$DF$17,2)+1))*(VLOOKUP($A28,SatSunCurve,6))*(INDEX(DailyScalarsTable,BN$5/100,MONTH($A28)))*$D28</f>
        <v>-8065.3987589650933</v>
      </c>
      <c r="BO28" s="1021">
        <f>(VLOOKUP(YEAR($A28),'NY East Load Projections'!$A$4:$EO$14,((MONTH($A28)-1)*12)+VLOOKUP(BO$4,$DE$6:$DF$17,2)+1))*(VLOOKUP($A28,SatSunCurve,6))*(INDEX(DailyScalarsTable,BO$5/100,MONTH($A28)))*$D28</f>
        <v>-8013.1635490785693</v>
      </c>
      <c r="BP28" s="1021">
        <f>(VLOOKUP(YEAR($A28),'NY East Load Projections'!$A$4:$EO$14,((MONTH($A28)-1)*12)+VLOOKUP(BP$4,$DE$6:$DF$17,2)+1))*(VLOOKUP($A28,SatSunCurve,6))*(INDEX(DailyScalarsTable,BP$5/100,MONTH($A28)))*$D28</f>
        <v>-7858.5755630630465</v>
      </c>
      <c r="BQ28" s="1021">
        <f>(VLOOKUP(YEAR($A28),'NY East Load Projections'!$A$4:$EO$14,((MONTH($A28)-1)*12)+VLOOKUP(BQ$4,$DE$6:$DF$17,2)+1))*(VLOOKUP($A28,SatSunCurve,6))*(INDEX(DailyScalarsTable,BQ$5/100,MONTH($A28)))*$D28</f>
        <v>-6616.9305064360915</v>
      </c>
      <c r="BR28" s="1021">
        <f>(VLOOKUP(YEAR($A28),'NY East Load Projections'!$A$4:$EO$14,((MONTH($A28)-1)*12)+VLOOKUP(BR$4,$DE$6:$DF$17,2)+1))*(VLOOKUP($A28,SatSunCurve,6))*(INDEX(DailyScalarsTable,BR$5/100,MONTH($A28)))*$D28</f>
        <v>-6274.1054886381235</v>
      </c>
      <c r="BS28" s="1021">
        <f>(VLOOKUP(YEAR($A28),'NY East Load Projections'!$A$4:$EO$14,((MONTH($A28)-1)*12)+VLOOKUP(BS$4,$DE$6:$DF$17,2)+1))*(VLOOKUP($A28,SatSunCurve,6))*(INDEX(DailyScalarsTable,BS$5/100,MONTH($A28)))*$D28</f>
        <v>-6105.6874344069265</v>
      </c>
      <c r="BT28" s="1021">
        <f>(VLOOKUP(YEAR($A28),'NY East Load Projections'!$A$4:$EO$14,((MONTH($A28)-1)*12)+VLOOKUP(BT$4,$DE$6:$DF$17,2)+1))*(VLOOKUP($A28,SatSunCurve,6))*(INDEX(DailyScalarsTable,BT$5/100,MONTH($A28)))*$D28</f>
        <v>-5962.8518694260374</v>
      </c>
      <c r="BU28" s="1021">
        <f>(VLOOKUP(YEAR($A28),'NY East Load Projections'!$A$4:$EO$14,((MONTH($A28)-1)*12)+VLOOKUP(BU$4,$DE$6:$DF$17,2)+1))*(VLOOKUP($A28,SatSunCurve,6))*(INDEX(DailyScalarsTable,BU$5/100,MONTH($A28)))*$D28</f>
        <v>-5864.7856606331898</v>
      </c>
      <c r="BV28" s="1021">
        <f>(VLOOKUP(YEAR($A28),'NY East Load Projections'!$A$4:$EO$14,((MONTH($A28)-1)*12)+VLOOKUP(BV$4,$DE$6:$DF$17,2)+1))*(VLOOKUP($A28,SatSunCurve,6))*(INDEX(DailyScalarsTable,BV$5/100,MONTH($A28)))*$D28</f>
        <v>-6105.0121333587767</v>
      </c>
      <c r="BW28" s="1021">
        <f>(VLOOKUP(YEAR($A28),'NY East Load Projections'!$A$4:$EO$14,((MONTH($A28)-1)*12)+VLOOKUP(BW$4,$DE$6:$DF$17,2)+1))*(VLOOKUP($A28,SatSunCurve,6))*(INDEX(DailyScalarsTable,BW$5/100,MONTH($A28)))*$D28</f>
        <v>-8380.7920905830906</v>
      </c>
      <c r="BX28" s="1021">
        <f>(VLOOKUP(YEAR($A28),'NY East Load Projections'!$A$4:$EO$14,((MONTH($A28)-1)*12)+VLOOKUP(BX$4,$DE$6:$DF$17,2)+1))*(VLOOKUP($A28,SatSunCurve,6))*(INDEX(DailyScalarsTable,BX$5/100,MONTH($A28)))*$D28</f>
        <v>-8448.2736142768827</v>
      </c>
      <c r="BY28" s="1021">
        <f>(VLOOKUP(YEAR($A28),'NY East Load Projections'!$A$4:$EO$14,((MONTH($A28)-1)*12)+VLOOKUP(BY$4,$DE$6:$DF$17,2)+1))*(VLOOKUP($A28,SatSunCurve,6))*(INDEX(DailyScalarsTable,BY$5/100,MONTH($A28)))*$D28</f>
        <v>-8102.6029520903148</v>
      </c>
      <c r="BZ28" s="1021">
        <f>(VLOOKUP(YEAR($A28),'NY East Load Projections'!$A$4:$EO$14,((MONTH($A28)-1)*12)+VLOOKUP(BZ$4,$DE$6:$DF$17,2)+1))*(VLOOKUP($A28,SatSunCurve,6))*(INDEX(DailyScalarsTable,BZ$5/100,MONTH($A28)))*$D28</f>
        <v>-7296.6758562026307</v>
      </c>
      <c r="CA28" s="1021">
        <f>(VLOOKUP(YEAR($A28),'NY East Load Projections'!$A$4:$EO$14,((MONTH($A28)-1)*12)+VLOOKUP(CA$4,$DE$6:$DF$17,2)+1))*(VLOOKUP($A28,SatSunCurve,6))*(INDEX(DailyScalarsTable,CA$5/100,MONTH($A28)))*$D28</f>
        <v>-5804.371959447808</v>
      </c>
      <c r="CB28" s="1021">
        <f>(VLOOKUP(YEAR($A28),'NY East Load Projections'!$A$4:$EO$14,((MONTH($A28)-1)*12)+VLOOKUP(CB$4,$DE$6:$DF$17,2)+1))*(VLOOKUP($A28,SatSunCurve,6))*(INDEX(DailyScalarsTable,CB$5/100,MONTH($A28)))*$D28</f>
        <v>-4895.051623616514</v>
      </c>
      <c r="CC28" s="1021">
        <f>(VLOOKUP(YEAR($A28),'NY East Load Projections'!$A$4:$EO$14,((MONTH($A28)-1)*12)+VLOOKUP(CC$4,$DE$6:$DF$17,2)+1))*(VLOOKUP($A28,CURVES!$D$9:$T$261,6))*(INDEX(DailyScalarsTable,CC$5/100,MONTH($A28)))*$D28</f>
        <v>-7130.292727052838</v>
      </c>
      <c r="CE28" s="1021">
        <f>(VLOOKUP(YEAR($A28),'NY East Load Projections'!$A$4:$EO$14,((MONTH($A28)-1)*12)+VLOOKUP(CE$4,$DE$6:$DF$17,2)+1))*(VLOOKUP($A28,CURVES!$D$9:$T$261,6))*(INDEX(DailyScalarsTable,CE$5/100,MONTH($A28)))*$E28</f>
        <v>-1554.7767031221156</v>
      </c>
      <c r="CF28" s="1021">
        <f>(VLOOKUP(YEAR($A28),'NY East Load Projections'!$A$4:$EO$14,((MONTH($A28)-1)*12)+VLOOKUP(CF$4,$DE$6:$DF$17,2)+1))*(VLOOKUP($A28,CURVES!$D$9:$T$261,6))*(INDEX(DailyScalarsTable,CF$5/100,MONTH($A28)))*$E28</f>
        <v>-1473.9851864348661</v>
      </c>
      <c r="CG28" s="1021">
        <f>(VLOOKUP(YEAR($A28),'NY East Load Projections'!$A$4:$EO$14,((MONTH($A28)-1)*12)+VLOOKUP(CG$4,$DE$6:$DF$17,2)+1))*(VLOOKUP($A28,CURVES!$D$9:$T$261,6))*(INDEX(DailyScalarsTable,CG$5/100,MONTH($A28)))*$E28</f>
        <v>-1414.6042580208425</v>
      </c>
      <c r="CH28" s="1021">
        <f>(VLOOKUP(YEAR($A28),'NY East Load Projections'!$A$4:$EO$14,((MONTH($A28)-1)*12)+VLOOKUP(CH$4,$DE$6:$DF$17,2)+1))*(VLOOKUP($A28,CURVES!$D$9:$T$261,6))*(INDEX(DailyScalarsTable,CH$5/100,MONTH($A28)))*$E28</f>
        <v>-1415.4406091252652</v>
      </c>
      <c r="CI28" s="1021">
        <f>(VLOOKUP(YEAR($A28),'NY East Load Projections'!$A$4:$EO$14,((MONTH($A28)-1)*12)+VLOOKUP(CI$4,$DE$6:$DF$17,2)+1))*(VLOOKUP($A28,CURVES!$D$9:$T$261,6))*(INDEX(DailyScalarsTable,CI$5/100,MONTH($A28)))*$E28</f>
        <v>-1541.0770139049812</v>
      </c>
      <c r="CJ28" s="1021">
        <f>(VLOOKUP(YEAR($A28),'NY East Load Projections'!$A$4:$EO$14,((MONTH($A28)-1)*12)+VLOOKUP(CJ$4,$DE$6:$DF$17,2)+1))*(VLOOKUP($A28,CURVES!$D$9:$T$261,6))*(INDEX(DailyScalarsTable,CJ$5/100,MONTH($A28)))*$E28</f>
        <v>-1775.5111233561638</v>
      </c>
      <c r="CK28" s="1021">
        <f>(VLOOKUP(YEAR($A28),'NY East Load Projections'!$A$4:$EO$14,((MONTH($A28)-1)*12)+VLOOKUP(CK$4,$DE$6:$DF$17,2)+1))*(VLOOKUP($A28,CURVES!$D$9:$T$261,6))*(INDEX(DailyScalarsTable,CK$5/100,MONTH($A28)))*$E28</f>
        <v>-2543.2445811382813</v>
      </c>
      <c r="CL28" s="1021">
        <f>(VLOOKUP(YEAR($A28),'NY East Load Projections'!$A$4:$EO$14,((MONTH($A28)-1)*12)+VLOOKUP(CL$4,$DE$6:$DF$17,2)+1))*(VLOOKUP($A28,SatSunCurve,6))*(INDEX(DailyScalarsTable,CL$5/100,MONTH($A28)))*$E28</f>
        <v>-1798.3510079549869</v>
      </c>
      <c r="CM28" s="1021">
        <f>(VLOOKUP(YEAR($A28),'NY East Load Projections'!$A$4:$EO$14,((MONTH($A28)-1)*12)+VLOOKUP(CM$4,$DE$6:$DF$17,2)+1))*(VLOOKUP($A28,SatSunCurve,6))*(INDEX(DailyScalarsTable,CM$5/100,MONTH($A28)))*$E28</f>
        <v>-2016.3496897412733</v>
      </c>
      <c r="CN28" s="1021">
        <f>(VLOOKUP(YEAR($A28),'NY East Load Projections'!$A$4:$EO$14,((MONTH($A28)-1)*12)+VLOOKUP(CN$4,$DE$6:$DF$17,2)+1))*(VLOOKUP($A28,SatSunCurve,6))*(INDEX(DailyScalarsTable,CN$5/100,MONTH($A28)))*$E28</f>
        <v>-2003.2908872696423</v>
      </c>
      <c r="CO28" s="1021">
        <f>(VLOOKUP(YEAR($A28),'NY East Load Projections'!$A$4:$EO$14,((MONTH($A28)-1)*12)+VLOOKUP(CO$4,$DE$6:$DF$17,2)+1))*(VLOOKUP($A28,SatSunCurve,6))*(INDEX(DailyScalarsTable,CO$5/100,MONTH($A28)))*$E28</f>
        <v>-1964.6438907657616</v>
      </c>
      <c r="CP28" s="1021">
        <f>(VLOOKUP(YEAR($A28),'NY East Load Projections'!$A$4:$EO$14,((MONTH($A28)-1)*12)+VLOOKUP(CP$4,$DE$6:$DF$17,2)+1))*(VLOOKUP($A28,SatSunCurve,6))*(INDEX(DailyScalarsTable,CP$5/100,MONTH($A28)))*$E28</f>
        <v>-1654.2326266090229</v>
      </c>
      <c r="CQ28" s="1021">
        <f>(VLOOKUP(YEAR($A28),'NY East Load Projections'!$A$4:$EO$14,((MONTH($A28)-1)*12)+VLOOKUP(CQ$4,$DE$6:$DF$17,2)+1))*(VLOOKUP($A28,SatSunCurve,6))*(INDEX(DailyScalarsTable,CQ$5/100,MONTH($A28)))*$E28</f>
        <v>-1568.5263721595309</v>
      </c>
      <c r="CR28" s="1021">
        <f>(VLOOKUP(YEAR($A28),'NY East Load Projections'!$A$4:$EO$14,((MONTH($A28)-1)*12)+VLOOKUP(CR$4,$DE$6:$DF$17,2)+1))*(VLOOKUP($A28,SatSunCurve,6))*(INDEX(DailyScalarsTable,CR$5/100,MONTH($A28)))*$E28</f>
        <v>-1526.4218586017316</v>
      </c>
      <c r="CS28" s="1021">
        <f>(VLOOKUP(YEAR($A28),'NY East Load Projections'!$A$4:$EO$14,((MONTH($A28)-1)*12)+VLOOKUP(CS$4,$DE$6:$DF$17,2)+1))*(VLOOKUP($A28,SatSunCurve,6))*(INDEX(DailyScalarsTable,CS$5/100,MONTH($A28)))*$E28</f>
        <v>-1490.7129673565094</v>
      </c>
      <c r="CT28" s="1021">
        <f>(VLOOKUP(YEAR($A28),'NY East Load Projections'!$A$4:$EO$14,((MONTH($A28)-1)*12)+VLOOKUP(CT$4,$DE$6:$DF$17,2)+1))*(VLOOKUP($A28,SatSunCurve,6))*(INDEX(DailyScalarsTable,CT$5/100,MONTH($A28)))*$E28</f>
        <v>-1466.1964151582974</v>
      </c>
      <c r="CU28" s="1021">
        <f>(VLOOKUP(YEAR($A28),'NY East Load Projections'!$A$4:$EO$14,((MONTH($A28)-1)*12)+VLOOKUP(CU$4,$DE$6:$DF$17,2)+1))*(VLOOKUP($A28,SatSunCurve,6))*(INDEX(DailyScalarsTable,CU$5/100,MONTH($A28)))*$E28</f>
        <v>-1526.2530333396942</v>
      </c>
      <c r="CV28" s="1021">
        <f>(VLOOKUP(YEAR($A28),'NY East Load Projections'!$A$4:$EO$14,((MONTH($A28)-1)*12)+VLOOKUP(CV$4,$DE$6:$DF$17,2)+1))*(VLOOKUP($A28,SatSunCurve,6))*(INDEX(DailyScalarsTable,CV$5/100,MONTH($A28)))*$E28</f>
        <v>-2095.1980226457727</v>
      </c>
      <c r="CW28" s="1021">
        <f>(VLOOKUP(YEAR($A28),'NY East Load Projections'!$A$4:$EO$14,((MONTH($A28)-1)*12)+VLOOKUP(CW$4,$DE$6:$DF$17,2)+1))*(VLOOKUP($A28,SatSunCurve,6))*(INDEX(DailyScalarsTable,CW$5/100,MONTH($A28)))*$E28</f>
        <v>-2112.0684035692207</v>
      </c>
      <c r="CX28" s="1021">
        <f>(VLOOKUP(YEAR($A28),'NY East Load Projections'!$A$4:$EO$14,((MONTH($A28)-1)*12)+VLOOKUP(CX$4,$DE$6:$DF$17,2)+1))*(VLOOKUP($A28,SatSunCurve,6))*(INDEX(DailyScalarsTable,CX$5/100,MONTH($A28)))*$E28</f>
        <v>-2025.6507380225787</v>
      </c>
      <c r="CY28" s="1021">
        <f>(VLOOKUP(YEAR($A28),'NY East Load Projections'!$A$4:$EO$14,((MONTH($A28)-1)*12)+VLOOKUP(CY$4,$DE$6:$DF$17,2)+1))*(VLOOKUP($A28,SatSunCurve,6))*(INDEX(DailyScalarsTable,CY$5/100,MONTH($A28)))*$E28</f>
        <v>-1824.1689640506577</v>
      </c>
      <c r="CZ28" s="1021">
        <f>(VLOOKUP(YEAR($A28),'NY East Load Projections'!$A$4:$EO$14,((MONTH($A28)-1)*12)+VLOOKUP(CZ$4,$DE$6:$DF$17,2)+1))*(VLOOKUP($A28,SatSunCurve,6))*(INDEX(DailyScalarsTable,CZ$5/100,MONTH($A28)))*$E28</f>
        <v>-1451.092989861952</v>
      </c>
      <c r="DA28" s="1021">
        <f>(VLOOKUP(YEAR($A28),'NY East Load Projections'!$A$4:$EO$14,((MONTH($A28)-1)*12)+VLOOKUP(DA$4,$DE$6:$DF$17,2)+1))*(VLOOKUP($A28,SatSunCurve,6))*(INDEX(DailyScalarsTable,DA$5/100,MONTH($A28)))*$E28</f>
        <v>-1223.7629059041285</v>
      </c>
      <c r="DB28" s="1021">
        <f>(VLOOKUP(YEAR($A28),'NY East Load Projections'!$A$4:$EO$14,((MONTH($A28)-1)*12)+VLOOKUP(DB$4,$DE$6:$DF$17,2)+1))*(VLOOKUP($A28,CURVES!$D$9:$T$261,6))*(INDEX(DailyScalarsTable,DB$5/100,MONTH($A28)))*$E28</f>
        <v>-1782.5731817632095</v>
      </c>
      <c r="DH28" s="1021">
        <f t="shared" si="0"/>
        <v>-1584078.4565254673</v>
      </c>
      <c r="DI28">
        <f ca="1">CALC!J48</f>
        <v>0.82109316755121442</v>
      </c>
      <c r="DJ28" s="1029">
        <f t="shared" ca="1" si="1"/>
        <v>-1300675.9975181348</v>
      </c>
    </row>
    <row r="29" spans="1:114" x14ac:dyDescent="0.25">
      <c r="A29" s="244">
        <v>37591</v>
      </c>
      <c r="B29" s="13">
        <v>21</v>
      </c>
      <c r="C29" s="210">
        <v>4</v>
      </c>
      <c r="D29" s="210">
        <v>5</v>
      </c>
      <c r="E29" s="210">
        <v>1</v>
      </c>
      <c r="F29" s="13">
        <v>31</v>
      </c>
      <c r="H29" s="1021">
        <f>(VLOOKUP(YEAR($A29),'NY East Load Projections'!$A$4:$EO$14,((MONTH($A29)-1)*12)+VLOOKUP(H$4,$DE$6:$DF$17,2)+1))*(VLOOKUP($A29,CURVES!$D$9:$K$261,6))*(INDEX(DailyScalarsTable,H$5/100,MONTH($A29)))*$B29</f>
        <v>-32686.987635105266</v>
      </c>
      <c r="I29" s="1021">
        <f>(VLOOKUP(YEAR($A29),'NY East Load Projections'!$A$4:$EO$14,((MONTH($A29)-1)*12)+VLOOKUP(I$4,$DE$6:$DF$17,2)+1))*(VLOOKUP($A29,CURVES!$D$9:$K$261,6))*(INDEX(DailyScalarsTable,I$5/100,MONTH($A29)))*$B29</f>
        <v>-30988.459929052999</v>
      </c>
      <c r="J29" s="1021">
        <f>(VLOOKUP(YEAR($A29),'NY East Load Projections'!$A$4:$EO$14,((MONTH($A29)-1)*12)+VLOOKUP(J$4,$DE$6:$DF$17,2)+1))*(VLOOKUP($A29,CURVES!$D$9:$K$261,6))*(INDEX(DailyScalarsTable,J$5/100,MONTH($A29)))*$B29</f>
        <v>-29740.059648207127</v>
      </c>
      <c r="K29" s="1021">
        <f>(VLOOKUP(YEAR($A29),'NY East Load Projections'!$A$4:$EO$14,((MONTH($A29)-1)*12)+VLOOKUP(K$4,$DE$6:$DF$17,2)+1))*(VLOOKUP($A29,CURVES!$D$9:$K$261,6))*(INDEX(DailyScalarsTable,K$5/100,MONTH($A29)))*$B29</f>
        <v>-29757.64275075425</v>
      </c>
      <c r="L29" s="1021">
        <f>(VLOOKUP(YEAR($A29),'NY East Load Projections'!$A$4:$EO$14,((MONTH($A29)-1)*12)+VLOOKUP(L$4,$DE$6:$DF$17,2)+1))*(VLOOKUP($A29,CURVES!$D$9:$K$261,6))*(INDEX(DailyScalarsTable,L$5/100,MONTH($A29)))*$B29</f>
        <v>-34113.173294274311</v>
      </c>
      <c r="M29" s="1021">
        <f>(VLOOKUP(YEAR($A29),'NY East Load Projections'!$A$4:$EO$14,((MONTH($A29)-1)*12)+VLOOKUP(M$4,$DE$6:$DF$17,2)+1))*(VLOOKUP($A29,CURVES!$D$9:$K$261,6))*(INDEX(DailyScalarsTable,M$5/100,MONTH($A29)))*$B29</f>
        <v>-39302.590390005615</v>
      </c>
      <c r="N29" s="1021">
        <f>(VLOOKUP(YEAR($A29),'NY East Load Projections'!$A$4:$EO$14,((MONTH($A29)-1)*12)+VLOOKUP(N$4,$DE$6:$DF$17,2)+1))*(VLOOKUP($A29,CURVES!$D$9:$K$261,6))*(INDEX(DailyScalarsTable,N$5/100,MONTH($A29)))*$B29</f>
        <v>-56297.084664351205</v>
      </c>
      <c r="O29" s="1021">
        <f>(VLOOKUP(YEAR($A29),'NY East Load Projections'!$A$4:$EO$14,((MONTH($A29)-1)*12)+VLOOKUP(O$4,$DE$6:$DF$17,2)+1))*(VLOOKUP($A29,CURVES!$D$9:$K$261,2))*(INDEX(DailyScalarsTable,O$5/100,MONTH($A29)))*$B29</f>
        <v>-60075.413794862769</v>
      </c>
      <c r="P29" s="1021">
        <f>(VLOOKUP(YEAR($A29),'NY East Load Projections'!$A$4:$EO$14,((MONTH($A29)-1)*12)+VLOOKUP(P$4,$DE$6:$DF$17,2)+1))*(VLOOKUP($A29,CURVES!$D$9:$K$261,2))*(INDEX(DailyScalarsTable,P$5/100,MONTH($A29)))*$B29</f>
        <v>-66895.951345512993</v>
      </c>
      <c r="Q29" s="1021">
        <f>(VLOOKUP(YEAR($A29),'NY East Load Projections'!$A$4:$EO$14,((MONTH($A29)-1)*12)+VLOOKUP(Q$4,$DE$6:$DF$17,2)+1))*(VLOOKUP($A29,CURVES!$D$9:$K$261,2))*(INDEX(DailyScalarsTable,Q$5/100,MONTH($A29)))*$B29</f>
        <v>-66556.815658162479</v>
      </c>
      <c r="R29" s="1021">
        <f>(VLOOKUP(YEAR($A29),'NY East Load Projections'!$A$4:$EO$14,((MONTH($A29)-1)*12)+VLOOKUP(R$4,$DE$6:$DF$17,2)+1))*(VLOOKUP($A29,CURVES!$D$9:$K$261,2))*(INDEX(DailyScalarsTable,R$5/100,MONTH($A29)))*$B29</f>
        <v>-65108.303908800968</v>
      </c>
      <c r="S29" s="1021">
        <f>(VLOOKUP(YEAR($A29),'NY East Load Projections'!$A$4:$EO$14,((MONTH($A29)-1)*12)+VLOOKUP(S$4,$DE$6:$DF$17,2)+1))*(VLOOKUP($A29,CURVES!$D$9:$K$261,2))*(INDEX(DailyScalarsTable,S$5/100,MONTH($A29)))*$B29</f>
        <v>-52905.167226679972</v>
      </c>
      <c r="T29" s="1021">
        <f>(VLOOKUP(YEAR($A29),'NY East Load Projections'!$A$4:$EO$14,((MONTH($A29)-1)*12)+VLOOKUP(T$4,$DE$6:$DF$17,2)+1))*(VLOOKUP($A29,CURVES!$D$9:$K$261,2))*(INDEX(DailyScalarsTable,T$5/100,MONTH($A29)))*$B29</f>
        <v>-50170.166694954591</v>
      </c>
      <c r="U29" s="1021">
        <f>(VLOOKUP(YEAR($A29),'NY East Load Projections'!$A$4:$EO$14,((MONTH($A29)-1)*12)+VLOOKUP(U$4,$DE$6:$DF$17,2)+1))*(VLOOKUP($A29,CURVES!$D$9:$K$261,2))*(INDEX(DailyScalarsTable,U$5/100,MONTH($A29)))*$B29</f>
        <v>-48008.302156836187</v>
      </c>
      <c r="V29" s="1021">
        <f>(VLOOKUP(YEAR($A29),'NY East Load Projections'!$A$4:$EO$14,((MONTH($A29)-1)*12)+VLOOKUP(V$4,$DE$6:$DF$17,2)+1))*(VLOOKUP($A29,CURVES!$D$9:$K$261,2))*(INDEX(DailyScalarsTable,V$5/100,MONTH($A29)))*$B29</f>
        <v>-45594.124516125725</v>
      </c>
      <c r="W29" s="1021">
        <f>(VLOOKUP(YEAR($A29),'NY East Load Projections'!$A$4:$EO$14,((MONTH($A29)-1)*12)+VLOOKUP(W$4,$DE$6:$DF$17,2)+1))*(VLOOKUP($A29,CURVES!$D$9:$K$261,2))*(INDEX(DailyScalarsTable,W$5/100,MONTH($A29)))*$B29</f>
        <v>-44802.778876177879</v>
      </c>
      <c r="X29" s="1021">
        <f>(VLOOKUP(YEAR($A29),'NY East Load Projections'!$A$4:$EO$14,((MONTH($A29)-1)*12)+VLOOKUP(X$4,$DE$6:$DF$17,2)+1))*(VLOOKUP($A29,CURVES!$D$9:$K$261,2))*(INDEX(DailyScalarsTable,X$5/100,MONTH($A29)))*$B29</f>
        <v>-48709.742013670395</v>
      </c>
      <c r="Y29" s="1021">
        <f>(VLOOKUP(YEAR($A29),'NY East Load Projections'!$A$4:$EO$14,((MONTH($A29)-1)*12)+VLOOKUP(Y$4,$DE$6:$DF$17,2)+1))*(VLOOKUP($A29,CURVES!$D$9:$K$261,2))*(INDEX(DailyScalarsTable,Y$5/100,MONTH($A29)))*$B29</f>
        <v>-68648.797625995168</v>
      </c>
      <c r="Z29" s="1021">
        <f>(VLOOKUP(YEAR($A29),'NY East Load Projections'!$A$4:$EO$14,((MONTH($A29)-1)*12)+VLOOKUP(Z$4,$DE$6:$DF$17,2)+1))*(VLOOKUP($A29,CURVES!$D$9:$K$261,2))*(INDEX(DailyScalarsTable,Z$5/100,MONTH($A29)))*$B29</f>
        <v>-68191.423733098825</v>
      </c>
      <c r="AA29" s="1021">
        <f>(VLOOKUP(YEAR($A29),'NY East Load Projections'!$A$4:$EO$14,((MONTH($A29)-1)*12)+VLOOKUP(AA$4,$DE$6:$DF$17,2)+1))*(VLOOKUP($A29,CURVES!$D$9:$K$261,2))*(INDEX(DailyScalarsTable,AA$5/100,MONTH($A29)))*$B29</f>
        <v>-65843.228095960934</v>
      </c>
      <c r="AB29" s="1021">
        <f>(VLOOKUP(YEAR($A29),'NY East Load Projections'!$A$4:$EO$14,((MONTH($A29)-1)*12)+VLOOKUP(AB$4,$DE$6:$DF$17,2)+1))*(VLOOKUP($A29,CURVES!$D$9:$K$261,2))*(INDEX(DailyScalarsTable,AB$5/100,MONTH($A29)))*$B29</f>
        <v>-61262.024308112785</v>
      </c>
      <c r="AC29" s="1021">
        <f>(VLOOKUP(YEAR($A29),'NY East Load Projections'!$A$4:$EO$14,((MONTH($A29)-1)*12)+VLOOKUP(AC$4,$DE$6:$DF$17,2)+1))*(VLOOKUP($A29,CURVES!$D$9:$K$261,2))*(INDEX(DailyScalarsTable,AC$5/100,MONTH($A29)))*$B29</f>
        <v>-45162.11983578981</v>
      </c>
      <c r="AD29" s="1021">
        <f>(VLOOKUP(YEAR($A29),'NY East Load Projections'!$A$4:$EO$14,((MONTH($A29)-1)*12)+VLOOKUP(AD$4,$DE$6:$DF$17,2)+1))*(VLOOKUP($A29,CURVES!$D$9:$K$261,2))*(INDEX(DailyScalarsTable,AD$5/100,MONTH($A29)))*$B29</f>
        <v>-37259.411843385016</v>
      </c>
      <c r="AE29" s="1021">
        <f>(VLOOKUP(YEAR($A29),'NY East Load Projections'!$A$4:$EO$14,((MONTH($A29)-1)*12)+VLOOKUP(AE$4,$DE$6:$DF$17,2)+1))*(VLOOKUP($A29,CURVES!$D$9:$K$261,6))*(INDEX(DailyScalarsTable,AE$5/100,MONTH($A29)))*$B29</f>
        <v>-37955.308877463656</v>
      </c>
      <c r="AF29" s="1021"/>
      <c r="AG29" s="1021">
        <f>(VLOOKUP(YEAR($A29),'NY East Load Projections'!$A$4:$EO$14,((MONTH($A29)-1)*12)+VLOOKUP(AG$4,$DE$6:$DF$17,2)+1))*(VLOOKUP($A29,CURVES!$D$9:$T$261,6))*(INDEX(DailyScalarsTable,AG$5/100,MONTH($A29)))*$C29</f>
        <v>-6452.6778438398078</v>
      </c>
      <c r="AH29" s="1021">
        <f>(VLOOKUP(YEAR($A29),'NY East Load Projections'!$A$4:$EO$14,((MONTH($A29)-1)*12)+VLOOKUP(AH$4,$DE$6:$DF$17,2)+1))*(VLOOKUP($A29,CURVES!$D$9:$T$261,6))*(INDEX(DailyScalarsTable,AH$5/100,MONTH($A29)))*$C29</f>
        <v>-6117.3746272099388</v>
      </c>
      <c r="AI29" s="1021">
        <f>(VLOOKUP(YEAR($A29),'NY East Load Projections'!$A$4:$EO$14,((MONTH($A29)-1)*12)+VLOOKUP(AI$4,$DE$6:$DF$17,2)+1))*(VLOOKUP($A29,CURVES!$D$9:$T$261,6))*(INDEX(DailyScalarsTable,AI$5/100,MONTH($A29)))*$C29</f>
        <v>-5870.9302340347776</v>
      </c>
      <c r="AJ29" s="1021">
        <f>(VLOOKUP(YEAR($A29),'NY East Load Projections'!$A$4:$EO$14,((MONTH($A29)-1)*12)+VLOOKUP(AJ$4,$DE$6:$DF$17,2)+1))*(VLOOKUP($A29,CURVES!$D$9:$T$261,6))*(INDEX(DailyScalarsTable,AJ$5/100,MONTH($A29)))*$C29</f>
        <v>-5874.4012818259762</v>
      </c>
      <c r="AK29" s="1021">
        <f>(VLOOKUP(YEAR($A29),'NY East Load Projections'!$A$4:$EO$14,((MONTH($A29)-1)*12)+VLOOKUP(AK$4,$DE$6:$DF$17,2)+1))*(VLOOKUP($A29,CURVES!$D$9:$T$261,6))*(INDEX(DailyScalarsTable,AK$5/100,MONTH($A29)))*$C29</f>
        <v>-6437.4601736283748</v>
      </c>
      <c r="AL29" s="1021">
        <f>(VLOOKUP(YEAR($A29),'NY East Load Projections'!$A$4:$EO$14,((MONTH($A29)-1)*12)+VLOOKUP(AL$4,$DE$6:$DF$17,2)+1))*(VLOOKUP($A29,CURVES!$D$9:$T$261,6))*(INDEX(DailyScalarsTable,AL$5/100,MONTH($A29)))*$C29</f>
        <v>-7416.7494818946225</v>
      </c>
      <c r="AM29" s="1021">
        <f>(VLOOKUP(YEAR($A29),'NY East Load Projections'!$A$4:$EO$14,((MONTH($A29)-1)*12)+VLOOKUP(AM$4,$DE$6:$DF$17,2)+1))*(VLOOKUP($A29,CURVES!$D$9:$T$261,6))*(INDEX(DailyScalarsTable,AM$5/100,MONTH($A29)))*$C29</f>
        <v>-10623.762183947103</v>
      </c>
      <c r="AN29" s="1021">
        <f>(VLOOKUP(YEAR($A29),'NY East Load Projections'!$A$4:$EO$14,((MONTH($A29)-1)*12)+VLOOKUP(AN$4,$DE$6:$DF$17,2)+1))*(VLOOKUP($A29,SatSunCurve,2))*(INDEX(DailyScalarsTable,AN$5/100,MONTH($A29)))*$C29</f>
        <v>-9326.2175285799021</v>
      </c>
      <c r="AO29" s="1021">
        <f>(VLOOKUP(YEAR($A29),'NY East Load Projections'!$A$4:$EO$14,((MONTH($A29)-1)*12)+VLOOKUP(AO$4,$DE$6:$DF$17,2)+1))*(VLOOKUP($A29,SatSunCurve,2))*(INDEX(DailyScalarsTable,AO$5/100,MONTH($A29)))*$C29</f>
        <v>-10459.480887888176</v>
      </c>
      <c r="AP29" s="1021">
        <f>(VLOOKUP(YEAR($A29),'NY East Load Projections'!$A$4:$EO$14,((MONTH($A29)-1)*12)+VLOOKUP(AP$4,$DE$6:$DF$17,2)+1))*(VLOOKUP($A29,SatSunCurve,2))*(INDEX(DailyScalarsTable,AP$5/100,MONTH($A29)))*$C29</f>
        <v>-10406.455507892868</v>
      </c>
      <c r="AQ29" s="1021">
        <f>(VLOOKUP(YEAR($A29),'NY East Load Projections'!$A$4:$EO$14,((MONTH($A29)-1)*12)+VLOOKUP(AQ$4,$DE$6:$DF$17,2)+1))*(VLOOKUP($A29,SatSunCurve,2))*(INDEX(DailyScalarsTable,AQ$5/100,MONTH($A29)))*$C29</f>
        <v>-10179.974223845109</v>
      </c>
      <c r="AR29" s="1021">
        <f>(VLOOKUP(YEAR($A29),'NY East Load Projections'!$A$4:$EO$14,((MONTH($A29)-1)*12)+VLOOKUP(AR$4,$DE$6:$DF$17,2)+1))*(VLOOKUP($A29,SatSunCurve,2))*(INDEX(DailyScalarsTable,AR$5/100,MONTH($A29)))*$C29</f>
        <v>-8271.9592792681542</v>
      </c>
      <c r="AS29" s="1021">
        <f>(VLOOKUP(YEAR($A29),'NY East Load Projections'!$A$4:$EO$14,((MONTH($A29)-1)*12)+VLOOKUP(AS$4,$DE$6:$DF$17,2)+1))*(VLOOKUP($A29,SatSunCurve,2))*(INDEX(DailyScalarsTable,AS$5/100,MONTH($A29)))*$C29</f>
        <v>-7802.7877611019494</v>
      </c>
      <c r="AT29" s="1021">
        <f>(VLOOKUP(YEAR($A29),'NY East Load Projections'!$A$4:$EO$14,((MONTH($A29)-1)*12)+VLOOKUP(AT$4,$DE$6:$DF$17,2)+1))*(VLOOKUP($A29,SatSunCurve,2))*(INDEX(DailyScalarsTable,AT$5/100,MONTH($A29)))*$C29</f>
        <v>-7466.5606510396074</v>
      </c>
      <c r="AU29" s="1021">
        <f>(VLOOKUP(YEAR($A29),'NY East Load Projections'!$A$4:$EO$14,((MONTH($A29)-1)*12)+VLOOKUP(AU$4,$DE$6:$DF$17,2)+1))*(VLOOKUP($A29,SatSunCurve,2))*(INDEX(DailyScalarsTable,AU$5/100,MONTH($A29)))*$C29</f>
        <v>-7091.0921806516862</v>
      </c>
      <c r="AV29" s="1021">
        <f>(VLOOKUP(YEAR($A29),'NY East Load Projections'!$A$4:$EO$14,((MONTH($A29)-1)*12)+VLOOKUP(AV$4,$DE$6:$DF$17,2)+1))*(VLOOKUP($A29,SatSunCurve,2))*(INDEX(DailyScalarsTable,AV$5/100,MONTH($A29)))*$C29</f>
        <v>-6968.0170050850984</v>
      </c>
      <c r="AW29" s="1021">
        <f>(VLOOKUP(YEAR($A29),'NY East Load Projections'!$A$4:$EO$14,((MONTH($A29)-1)*12)+VLOOKUP(AW$4,$DE$6:$DF$17,2)+1))*(VLOOKUP($A29,SatSunCurve,2))*(INDEX(DailyScalarsTable,AW$5/100,MONTH($A29)))*$C29</f>
        <v>-7662.8381303076376</v>
      </c>
      <c r="AX29" s="1021">
        <f>(VLOOKUP(YEAR($A29),'NY East Load Projections'!$A$4:$EO$14,((MONTH($A29)-1)*12)+VLOOKUP(AX$4,$DE$6:$DF$17,2)+1))*(VLOOKUP($A29,SatSunCurve,2))*(INDEX(DailyScalarsTable,AX$5/100,MONTH($A29)))*$C29</f>
        <v>-10799.5772981227</v>
      </c>
      <c r="AY29" s="1021">
        <f>(VLOOKUP(YEAR($A29),'NY East Load Projections'!$A$4:$EO$14,((MONTH($A29)-1)*12)+VLOOKUP(AY$4,$DE$6:$DF$17,2)+1))*(VLOOKUP($A29,SatSunCurve,2))*(INDEX(DailyScalarsTable,AY$5/100,MONTH($A29)))*$C29</f>
        <v>-10727.624913211488</v>
      </c>
      <c r="AZ29" s="1021">
        <f>(VLOOKUP(YEAR($A29),'NY East Load Projections'!$A$4:$EO$14,((MONTH($A29)-1)*12)+VLOOKUP(AZ$4,$DE$6:$DF$17,2)+1))*(VLOOKUP($A29,SatSunCurve,2))*(INDEX(DailyScalarsTable,AZ$5/100,MONTH($A29)))*$C29</f>
        <v>-10358.215379885849</v>
      </c>
      <c r="BA29" s="1021">
        <f>(VLOOKUP(YEAR($A29),'NY East Load Projections'!$A$4:$EO$14,((MONTH($A29)-1)*12)+VLOOKUP(BA$4,$DE$6:$DF$17,2)+1))*(VLOOKUP($A29,SatSunCurve,2))*(INDEX(DailyScalarsTable,BA$5/100,MONTH($A29)))*$C29</f>
        <v>-9885.126154860227</v>
      </c>
      <c r="BB29" s="1021">
        <f>(VLOOKUP(YEAR($A29),'NY East Load Projections'!$A$4:$EO$14,((MONTH($A29)-1)*12)+VLOOKUP(BB$4,$DE$6:$DF$17,2)+1))*(VLOOKUP($A29,SatSunCurve,2))*(INDEX(DailyScalarsTable,BB$5/100,MONTH($A29)))*$C29</f>
        <v>-7287.2755518556633</v>
      </c>
      <c r="BC29" s="1021">
        <f>(VLOOKUP(YEAR($A29),'NY East Load Projections'!$A$4:$EO$14,((MONTH($A29)-1)*12)+VLOOKUP(BC$4,$DE$6:$DF$17,2)+1))*(VLOOKUP($A29,SatSunCurve,2))*(INDEX(DailyScalarsTable,BC$5/100,MONTH($A29)))*$C29</f>
        <v>-6012.1093073148604</v>
      </c>
      <c r="BD29" s="1021">
        <f>(VLOOKUP(YEAR($A29),'NY East Load Projections'!$A$4:$EO$14,((MONTH($A29)-1)*12)+VLOOKUP(BD$4,$DE$6:$DF$17,2)+1))*(VLOOKUP($A29,CURVES!$D$9:$T$261,6))*(INDEX(DailyScalarsTable,BD$5/100,MONTH($A29)))*$C29</f>
        <v>-7444.6977036454737</v>
      </c>
      <c r="BE29" s="1021"/>
      <c r="BF29" s="1021">
        <f>(VLOOKUP(YEAR($A29),'NY East Load Projections'!$A$4:$EO$14,((MONTH($A29)-1)*12)+VLOOKUP(BF$4,$DE$6:$DF$17,2)+1))*(VLOOKUP($A29,CURVES!$D$9:$T$261,6))*(INDEX(DailyScalarsTable,BF$5/100,MONTH($A29)))*$D29</f>
        <v>-8065.8473047997595</v>
      </c>
      <c r="BG29" s="1021">
        <f>(VLOOKUP(YEAR($A29),'NY East Load Projections'!$A$4:$EO$14,((MONTH($A29)-1)*12)+VLOOKUP(BG$4,$DE$6:$DF$17,2)+1))*(VLOOKUP($A29,CURVES!$D$9:$T$261,6))*(INDEX(DailyScalarsTable,BG$5/100,MONTH($A29)))*$D29</f>
        <v>-7646.7182840124233</v>
      </c>
      <c r="BH29" s="1021">
        <f>(VLOOKUP(YEAR($A29),'NY East Load Projections'!$A$4:$EO$14,((MONTH($A29)-1)*12)+VLOOKUP(BH$4,$DE$6:$DF$17,2)+1))*(VLOOKUP($A29,CURVES!$D$9:$T$261,6))*(INDEX(DailyScalarsTable,BH$5/100,MONTH($A29)))*$D29</f>
        <v>-7338.6627925434723</v>
      </c>
      <c r="BI29" s="1021">
        <f>(VLOOKUP(YEAR($A29),'NY East Load Projections'!$A$4:$EO$14,((MONTH($A29)-1)*12)+VLOOKUP(BI$4,$DE$6:$DF$17,2)+1))*(VLOOKUP($A29,CURVES!$D$9:$T$261,6))*(INDEX(DailyScalarsTable,BI$5/100,MONTH($A29)))*$D29</f>
        <v>-7343.0016022824702</v>
      </c>
      <c r="BJ29" s="1021">
        <f>(VLOOKUP(YEAR($A29),'NY East Load Projections'!$A$4:$EO$14,((MONTH($A29)-1)*12)+VLOOKUP(BJ$4,$DE$6:$DF$17,2)+1))*(VLOOKUP($A29,CURVES!$D$9:$T$261,6))*(INDEX(DailyScalarsTable,BJ$5/100,MONTH($A29)))*$D29</f>
        <v>-8046.8252170354681</v>
      </c>
      <c r="BK29" s="1021">
        <f>(VLOOKUP(YEAR($A29),'NY East Load Projections'!$A$4:$EO$14,((MONTH($A29)-1)*12)+VLOOKUP(BK$4,$DE$6:$DF$17,2)+1))*(VLOOKUP($A29,CURVES!$D$9:$T$261,6))*(INDEX(DailyScalarsTable,BK$5/100,MONTH($A29)))*$D29</f>
        <v>-9270.9368523682788</v>
      </c>
      <c r="BL29" s="1021">
        <f>(VLOOKUP(YEAR($A29),'NY East Load Projections'!$A$4:$EO$14,((MONTH($A29)-1)*12)+VLOOKUP(BL$4,$DE$6:$DF$17,2)+1))*(VLOOKUP($A29,CURVES!$D$9:$T$261,6))*(INDEX(DailyScalarsTable,BL$5/100,MONTH($A29)))*$D29</f>
        <v>-13279.702729933879</v>
      </c>
      <c r="BM29" s="1021">
        <f>(VLOOKUP(YEAR($A29),'NY East Load Projections'!$A$4:$EO$14,((MONTH($A29)-1)*12)+VLOOKUP(BM$4,$DE$6:$DF$17,2)+1))*(VLOOKUP($A29,SatSunCurve,6))*(INDEX(DailyScalarsTable,BM$5/100,MONTH($A29)))*$D29</f>
        <v>-8848.0938416036061</v>
      </c>
      <c r="BN29" s="1021">
        <f>(VLOOKUP(YEAR($A29),'NY East Load Projections'!$A$4:$EO$14,((MONTH($A29)-1)*12)+VLOOKUP(BN$4,$DE$6:$DF$17,2)+1))*(VLOOKUP($A29,SatSunCurve,6))*(INDEX(DailyScalarsTable,BN$5/100,MONTH($A29)))*$D29</f>
        <v>-9923.2586144262914</v>
      </c>
      <c r="BO29" s="1021">
        <f>(VLOOKUP(YEAR($A29),'NY East Load Projections'!$A$4:$EO$14,((MONTH($A29)-1)*12)+VLOOKUP(BO$4,$DE$6:$DF$17,2)+1))*(VLOOKUP($A29,SatSunCurve,6))*(INDEX(DailyScalarsTable,BO$5/100,MONTH($A29)))*$D29</f>
        <v>-9872.9516666473646</v>
      </c>
      <c r="BP29" s="1021">
        <f>(VLOOKUP(YEAR($A29),'NY East Load Projections'!$A$4:$EO$14,((MONTH($A29)-1)*12)+VLOOKUP(BP$4,$DE$6:$DF$17,2)+1))*(VLOOKUP($A29,SatSunCurve,6))*(INDEX(DailyScalarsTable,BP$5/100,MONTH($A29)))*$D29</f>
        <v>-9658.0813134221189</v>
      </c>
      <c r="BQ29" s="1021">
        <f>(VLOOKUP(YEAR($A29),'NY East Load Projections'!$A$4:$EO$14,((MONTH($A29)-1)*12)+VLOOKUP(BQ$4,$DE$6:$DF$17,2)+1))*(VLOOKUP($A29,SatSunCurve,6))*(INDEX(DailyScalarsTable,BQ$5/100,MONTH($A29)))*$D29</f>
        <v>-7847.883853512596</v>
      </c>
      <c r="BR29" s="1021">
        <f>(VLOOKUP(YEAR($A29),'NY East Load Projections'!$A$4:$EO$14,((MONTH($A29)-1)*12)+VLOOKUP(BR$4,$DE$6:$DF$17,2)+1))*(VLOOKUP($A29,SatSunCurve,6))*(INDEX(DailyScalarsTable,BR$5/100,MONTH($A29)))*$D29</f>
        <v>-7402.7651751394214</v>
      </c>
      <c r="BS29" s="1021">
        <f>(VLOOKUP(YEAR($A29),'NY East Load Projections'!$A$4:$EO$14,((MONTH($A29)-1)*12)+VLOOKUP(BS$4,$DE$6:$DF$17,2)+1))*(VLOOKUP($A29,SatSunCurve,6))*(INDEX(DailyScalarsTable,BS$5/100,MONTH($A29)))*$D29</f>
        <v>-7083.7752938927024</v>
      </c>
      <c r="BT29" s="1021">
        <f>(VLOOKUP(YEAR($A29),'NY East Load Projections'!$A$4:$EO$14,((MONTH($A29)-1)*12)+VLOOKUP(BT$4,$DE$6:$DF$17,2)+1))*(VLOOKUP($A29,SatSunCurve,6))*(INDEX(DailyScalarsTable,BT$5/100,MONTH($A29)))*$D29</f>
        <v>-6727.5558243837631</v>
      </c>
      <c r="BU29" s="1021">
        <f>(VLOOKUP(YEAR($A29),'NY East Load Projections'!$A$4:$EO$14,((MONTH($A29)-1)*12)+VLOOKUP(BU$4,$DE$6:$DF$17,2)+1))*(VLOOKUP($A29,SatSunCurve,6))*(INDEX(DailyScalarsTable,BU$5/100,MONTH($A29)))*$D29</f>
        <v>-6610.7902975613561</v>
      </c>
      <c r="BV29" s="1021">
        <f>(VLOOKUP(YEAR($A29),'NY East Load Projections'!$A$4:$EO$14,((MONTH($A29)-1)*12)+VLOOKUP(BV$4,$DE$6:$DF$17,2)+1))*(VLOOKUP($A29,SatSunCurve,6))*(INDEX(DailyScalarsTable,BV$5/100,MONTH($A29)))*$D29</f>
        <v>-7269.9902894399256</v>
      </c>
      <c r="BW29" s="1021">
        <f>(VLOOKUP(YEAR($A29),'NY East Load Projections'!$A$4:$EO$14,((MONTH($A29)-1)*12)+VLOOKUP(BW$4,$DE$6:$DF$17,2)+1))*(VLOOKUP($A29,SatSunCurve,6))*(INDEX(DailyScalarsTable,BW$5/100,MONTH($A29)))*$D29</f>
        <v>-10245.919429888292</v>
      </c>
      <c r="BX29" s="1021">
        <f>(VLOOKUP(YEAR($A29),'NY East Load Projections'!$A$4:$EO$14,((MONTH($A29)-1)*12)+VLOOKUP(BX$4,$DE$6:$DF$17,2)+1))*(VLOOKUP($A29,SatSunCurve,6))*(INDEX(DailyScalarsTable,BX$5/100,MONTH($A29)))*$D29</f>
        <v>-10177.655800837114</v>
      </c>
      <c r="BY29" s="1021">
        <f>(VLOOKUP(YEAR($A29),'NY East Load Projections'!$A$4:$EO$14,((MONTH($A29)-1)*12)+VLOOKUP(BY$4,$DE$6:$DF$17,2)+1))*(VLOOKUP($A29,SatSunCurve,6))*(INDEX(DailyScalarsTable,BY$5/100,MONTH($A29)))*$D29</f>
        <v>-9827.1846471425088</v>
      </c>
      <c r="BZ29" s="1021">
        <f>(VLOOKUP(YEAR($A29),'NY East Load Projections'!$A$4:$EO$14,((MONTH($A29)-1)*12)+VLOOKUP(BZ$4,$DE$6:$DF$17,2)+1))*(VLOOKUP($A29,SatSunCurve,6))*(INDEX(DailyScalarsTable,BZ$5/100,MONTH($A29)))*$D29</f>
        <v>-9378.3491095142508</v>
      </c>
      <c r="CA29" s="1021">
        <f>(VLOOKUP(YEAR($A29),'NY East Load Projections'!$A$4:$EO$14,((MONTH($A29)-1)*12)+VLOOKUP(CA$4,$DE$6:$DF$17,2)+1))*(VLOOKUP($A29,SatSunCurve,6))*(INDEX(DailyScalarsTable,CA$5/100,MONTH($A29)))*$D29</f>
        <v>-6913.6815364696658</v>
      </c>
      <c r="CB29" s="1021">
        <f>(VLOOKUP(YEAR($A29),'NY East Load Projections'!$A$4:$EO$14,((MONTH($A29)-1)*12)+VLOOKUP(CB$4,$DE$6:$DF$17,2)+1))*(VLOOKUP($A29,SatSunCurve,6))*(INDEX(DailyScalarsTable,CB$5/100,MONTH($A29)))*$D29</f>
        <v>-5703.8887602700415</v>
      </c>
      <c r="CC29" s="1021">
        <f>(VLOOKUP(YEAR($A29),'NY East Load Projections'!$A$4:$EO$14,((MONTH($A29)-1)*12)+VLOOKUP(CC$4,$DE$6:$DF$17,2)+1))*(VLOOKUP($A29,CURVES!$D$9:$T$261,6))*(INDEX(DailyScalarsTable,CC$5/100,MONTH($A29)))*$D29</f>
        <v>-9305.872129556843</v>
      </c>
      <c r="CE29" s="1021">
        <f>(VLOOKUP(YEAR($A29),'NY East Load Projections'!$A$4:$EO$14,((MONTH($A29)-1)*12)+VLOOKUP(CE$4,$DE$6:$DF$17,2)+1))*(VLOOKUP($A29,CURVES!$D$9:$T$261,6))*(INDEX(DailyScalarsTable,CE$5/100,MONTH($A29)))*$E29</f>
        <v>-1613.1694609599519</v>
      </c>
      <c r="CF29" s="1021">
        <f>(VLOOKUP(YEAR($A29),'NY East Load Projections'!$A$4:$EO$14,((MONTH($A29)-1)*12)+VLOOKUP(CF$4,$DE$6:$DF$17,2)+1))*(VLOOKUP($A29,CURVES!$D$9:$T$261,6))*(INDEX(DailyScalarsTable,CF$5/100,MONTH($A29)))*$E29</f>
        <v>-1529.3436568024847</v>
      </c>
      <c r="CG29" s="1021">
        <f>(VLOOKUP(YEAR($A29),'NY East Load Projections'!$A$4:$EO$14,((MONTH($A29)-1)*12)+VLOOKUP(CG$4,$DE$6:$DF$17,2)+1))*(VLOOKUP($A29,CURVES!$D$9:$T$261,6))*(INDEX(DailyScalarsTable,CG$5/100,MONTH($A29)))*$E29</f>
        <v>-1467.7325585086944</v>
      </c>
      <c r="CH29" s="1021">
        <f>(VLOOKUP(YEAR($A29),'NY East Load Projections'!$A$4:$EO$14,((MONTH($A29)-1)*12)+VLOOKUP(CH$4,$DE$6:$DF$17,2)+1))*(VLOOKUP($A29,CURVES!$D$9:$T$261,6))*(INDEX(DailyScalarsTable,CH$5/100,MONTH($A29)))*$E29</f>
        <v>-1468.600320456494</v>
      </c>
      <c r="CI29" s="1021">
        <f>(VLOOKUP(YEAR($A29),'NY East Load Projections'!$A$4:$EO$14,((MONTH($A29)-1)*12)+VLOOKUP(CI$4,$DE$6:$DF$17,2)+1))*(VLOOKUP($A29,CURVES!$D$9:$T$261,6))*(INDEX(DailyScalarsTable,CI$5/100,MONTH($A29)))*$E29</f>
        <v>-1609.3650434070937</v>
      </c>
      <c r="CJ29" s="1021">
        <f>(VLOOKUP(YEAR($A29),'NY East Load Projections'!$A$4:$EO$14,((MONTH($A29)-1)*12)+VLOOKUP(CJ$4,$DE$6:$DF$17,2)+1))*(VLOOKUP($A29,CURVES!$D$9:$T$261,6))*(INDEX(DailyScalarsTable,CJ$5/100,MONTH($A29)))*$E29</f>
        <v>-1854.1873704736556</v>
      </c>
      <c r="CK29" s="1021">
        <f>(VLOOKUP(YEAR($A29),'NY East Load Projections'!$A$4:$EO$14,((MONTH($A29)-1)*12)+VLOOKUP(CK$4,$DE$6:$DF$17,2)+1))*(VLOOKUP($A29,CURVES!$D$9:$T$261,6))*(INDEX(DailyScalarsTable,CK$5/100,MONTH($A29)))*$E29</f>
        <v>-2655.9405459867758</v>
      </c>
      <c r="CL29" s="1021">
        <f>(VLOOKUP(YEAR($A29),'NY East Load Projections'!$A$4:$EO$14,((MONTH($A29)-1)*12)+VLOOKUP(CL$4,$DE$6:$DF$17,2)+1))*(VLOOKUP($A29,SatSunCurve,6))*(INDEX(DailyScalarsTable,CL$5/100,MONTH($A29)))*$E29</f>
        <v>-1769.6187683207213</v>
      </c>
      <c r="CM29" s="1021">
        <f>(VLOOKUP(YEAR($A29),'NY East Load Projections'!$A$4:$EO$14,((MONTH($A29)-1)*12)+VLOOKUP(CM$4,$DE$6:$DF$17,2)+1))*(VLOOKUP($A29,SatSunCurve,6))*(INDEX(DailyScalarsTable,CM$5/100,MONTH($A29)))*$E29</f>
        <v>-1984.6517228852583</v>
      </c>
      <c r="CN29" s="1021">
        <f>(VLOOKUP(YEAR($A29),'NY East Load Projections'!$A$4:$EO$14,((MONTH($A29)-1)*12)+VLOOKUP(CN$4,$DE$6:$DF$17,2)+1))*(VLOOKUP($A29,SatSunCurve,6))*(INDEX(DailyScalarsTable,CN$5/100,MONTH($A29)))*$E29</f>
        <v>-1974.590333329473</v>
      </c>
      <c r="CO29" s="1021">
        <f>(VLOOKUP(YEAR($A29),'NY East Load Projections'!$A$4:$EO$14,((MONTH($A29)-1)*12)+VLOOKUP(CO$4,$DE$6:$DF$17,2)+1))*(VLOOKUP($A29,SatSunCurve,6))*(INDEX(DailyScalarsTable,CO$5/100,MONTH($A29)))*$E29</f>
        <v>-1931.6162626844236</v>
      </c>
      <c r="CP29" s="1021">
        <f>(VLOOKUP(YEAR($A29),'NY East Load Projections'!$A$4:$EO$14,((MONTH($A29)-1)*12)+VLOOKUP(CP$4,$DE$6:$DF$17,2)+1))*(VLOOKUP($A29,SatSunCurve,6))*(INDEX(DailyScalarsTable,CP$5/100,MONTH($A29)))*$E29</f>
        <v>-1569.5767707025193</v>
      </c>
      <c r="CQ29" s="1021">
        <f>(VLOOKUP(YEAR($A29),'NY East Load Projections'!$A$4:$EO$14,((MONTH($A29)-1)*12)+VLOOKUP(CQ$4,$DE$6:$DF$17,2)+1))*(VLOOKUP($A29,SatSunCurve,6))*(INDEX(DailyScalarsTable,CQ$5/100,MONTH($A29)))*$E29</f>
        <v>-1480.5530350278843</v>
      </c>
      <c r="CR29" s="1021">
        <f>(VLOOKUP(YEAR($A29),'NY East Load Projections'!$A$4:$EO$14,((MONTH($A29)-1)*12)+VLOOKUP(CR$4,$DE$6:$DF$17,2)+1))*(VLOOKUP($A29,SatSunCurve,6))*(INDEX(DailyScalarsTable,CR$5/100,MONTH($A29)))*$E29</f>
        <v>-1416.7550587785404</v>
      </c>
      <c r="CS29" s="1021">
        <f>(VLOOKUP(YEAR($A29),'NY East Load Projections'!$A$4:$EO$14,((MONTH($A29)-1)*12)+VLOOKUP(CS$4,$DE$6:$DF$17,2)+1))*(VLOOKUP($A29,SatSunCurve,6))*(INDEX(DailyScalarsTable,CS$5/100,MONTH($A29)))*$E29</f>
        <v>-1345.5111648767527</v>
      </c>
      <c r="CT29" s="1021">
        <f>(VLOOKUP(YEAR($A29),'NY East Load Projections'!$A$4:$EO$14,((MONTH($A29)-1)*12)+VLOOKUP(CT$4,$DE$6:$DF$17,2)+1))*(VLOOKUP($A29,SatSunCurve,6))*(INDEX(DailyScalarsTable,CT$5/100,MONTH($A29)))*$E29</f>
        <v>-1322.1580595122712</v>
      </c>
      <c r="CU29" s="1021">
        <f>(VLOOKUP(YEAR($A29),'NY East Load Projections'!$A$4:$EO$14,((MONTH($A29)-1)*12)+VLOOKUP(CU$4,$DE$6:$DF$17,2)+1))*(VLOOKUP($A29,SatSunCurve,6))*(INDEX(DailyScalarsTable,CU$5/100,MONTH($A29)))*$E29</f>
        <v>-1453.9980578879852</v>
      </c>
      <c r="CV29" s="1021">
        <f>(VLOOKUP(YEAR($A29),'NY East Load Projections'!$A$4:$EO$14,((MONTH($A29)-1)*12)+VLOOKUP(CV$4,$DE$6:$DF$17,2)+1))*(VLOOKUP($A29,SatSunCurve,6))*(INDEX(DailyScalarsTable,CV$5/100,MONTH($A29)))*$E29</f>
        <v>-2049.1838859776585</v>
      </c>
      <c r="CW29" s="1021">
        <f>(VLOOKUP(YEAR($A29),'NY East Load Projections'!$A$4:$EO$14,((MONTH($A29)-1)*12)+VLOOKUP(CW$4,$DE$6:$DF$17,2)+1))*(VLOOKUP($A29,SatSunCurve,6))*(INDEX(DailyScalarsTable,CW$5/100,MONTH($A29)))*$E29</f>
        <v>-2035.5311601674227</v>
      </c>
      <c r="CX29" s="1021">
        <f>(VLOOKUP(YEAR($A29),'NY East Load Projections'!$A$4:$EO$14,((MONTH($A29)-1)*12)+VLOOKUP(CX$4,$DE$6:$DF$17,2)+1))*(VLOOKUP($A29,SatSunCurve,6))*(INDEX(DailyScalarsTable,CX$5/100,MONTH($A29)))*$E29</f>
        <v>-1965.4369294285018</v>
      </c>
      <c r="CY29" s="1021">
        <f>(VLOOKUP(YEAR($A29),'NY East Load Projections'!$A$4:$EO$14,((MONTH($A29)-1)*12)+VLOOKUP(CY$4,$DE$6:$DF$17,2)+1))*(VLOOKUP($A29,SatSunCurve,6))*(INDEX(DailyScalarsTable,CY$5/100,MONTH($A29)))*$E29</f>
        <v>-1875.6698219028501</v>
      </c>
      <c r="CZ29" s="1021">
        <f>(VLOOKUP(YEAR($A29),'NY East Load Projections'!$A$4:$EO$14,((MONTH($A29)-1)*12)+VLOOKUP(CZ$4,$DE$6:$DF$17,2)+1))*(VLOOKUP($A29,SatSunCurve,6))*(INDEX(DailyScalarsTable,CZ$5/100,MONTH($A29)))*$E29</f>
        <v>-1382.7363072939331</v>
      </c>
      <c r="DA29" s="1021">
        <f>(VLOOKUP(YEAR($A29),'NY East Load Projections'!$A$4:$EO$14,((MONTH($A29)-1)*12)+VLOOKUP(DA$4,$DE$6:$DF$17,2)+1))*(VLOOKUP($A29,SatSunCurve,6))*(INDEX(DailyScalarsTable,DA$5/100,MONTH($A29)))*$E29</f>
        <v>-1140.7777520540083</v>
      </c>
      <c r="DB29" s="1021">
        <f>(VLOOKUP(YEAR($A29),'NY East Load Projections'!$A$4:$EO$14,((MONTH($A29)-1)*12)+VLOOKUP(DB$4,$DE$6:$DF$17,2)+1))*(VLOOKUP($A29,CURVES!$D$9:$T$261,6))*(INDEX(DailyScalarsTable,DB$5/100,MONTH($A29)))*$E29</f>
        <v>-1861.1744259113684</v>
      </c>
      <c r="DH29" s="1021">
        <f t="shared" si="0"/>
        <v>-1627525.714954298</v>
      </c>
      <c r="DI29">
        <f ca="1">CALC!J49</f>
        <v>0.8160060600948037</v>
      </c>
      <c r="DJ29" s="1029">
        <f t="shared" ca="1" si="1"/>
        <v>-1328070.8463628353</v>
      </c>
    </row>
    <row r="30" spans="1:114" x14ac:dyDescent="0.25">
      <c r="A30" s="244">
        <v>37622</v>
      </c>
      <c r="B30" s="13">
        <v>22</v>
      </c>
      <c r="C30" s="210">
        <v>4</v>
      </c>
      <c r="D30" s="210">
        <v>4</v>
      </c>
      <c r="E30" s="210">
        <v>1</v>
      </c>
      <c r="F30" s="13">
        <v>31</v>
      </c>
      <c r="H30" s="1021">
        <f>(VLOOKUP(YEAR($A30),'NY East Load Projections'!$A$4:$EO$14,((MONTH($A30)-1)*12)+VLOOKUP(H$4,$DE$6:$DF$17,2)+1))*(VLOOKUP($A30,CURVES!$D$9:$K$261,6))*(INDEX(DailyScalarsTable,H$5/100,MONTH($A30)))*$B30</f>
        <v>-31262.57924714094</v>
      </c>
      <c r="I30" s="1021">
        <f>(VLOOKUP(YEAR($A30),'NY East Load Projections'!$A$4:$EO$14,((MONTH($A30)-1)*12)+VLOOKUP(I$4,$DE$6:$DF$17,2)+1))*(VLOOKUP($A30,CURVES!$D$9:$K$261,6))*(INDEX(DailyScalarsTable,I$5/100,MONTH($A30)))*$B30</f>
        <v>-30653.497105329301</v>
      </c>
      <c r="J30" s="1021">
        <f>(VLOOKUP(YEAR($A30),'NY East Load Projections'!$A$4:$EO$14,((MONTH($A30)-1)*12)+VLOOKUP(J$4,$DE$6:$DF$17,2)+1))*(VLOOKUP($A30,CURVES!$D$9:$K$261,6))*(INDEX(DailyScalarsTable,J$5/100,MONTH($A30)))*$B30</f>
        <v>-28089.349624042061</v>
      </c>
      <c r="K30" s="1021">
        <f>(VLOOKUP(YEAR($A30),'NY East Load Projections'!$A$4:$EO$14,((MONTH($A30)-1)*12)+VLOOKUP(K$4,$DE$6:$DF$17,2)+1))*(VLOOKUP($A30,CURVES!$D$9:$K$261,6))*(INDEX(DailyScalarsTable,K$5/100,MONTH($A30)))*$B30</f>
        <v>-28072.366367826115</v>
      </c>
      <c r="L30" s="1021">
        <f>(VLOOKUP(YEAR($A30),'NY East Load Projections'!$A$4:$EO$14,((MONTH($A30)-1)*12)+VLOOKUP(L$4,$DE$6:$DF$17,2)+1))*(VLOOKUP($A30,CURVES!$D$9:$K$261,6))*(INDEX(DailyScalarsTable,L$5/100,MONTH($A30)))*$B30</f>
        <v>-31043.565340982612</v>
      </c>
      <c r="M30" s="1021">
        <f>(VLOOKUP(YEAR($A30),'NY East Load Projections'!$A$4:$EO$14,((MONTH($A30)-1)*12)+VLOOKUP(M$4,$DE$6:$DF$17,2)+1))*(VLOOKUP($A30,CURVES!$D$9:$K$261,6))*(INDEX(DailyScalarsTable,M$5/100,MONTH($A30)))*$B30</f>
        <v>-33130.250359177422</v>
      </c>
      <c r="N30" s="1021">
        <f>(VLOOKUP(YEAR($A30),'NY East Load Projections'!$A$4:$EO$14,((MONTH($A30)-1)*12)+VLOOKUP(N$4,$DE$6:$DF$17,2)+1))*(VLOOKUP($A30,CURVES!$D$9:$K$261,6))*(INDEX(DailyScalarsTable,N$5/100,MONTH($A30)))*$B30</f>
        <v>-63444.026036503143</v>
      </c>
      <c r="O30" s="1021">
        <f>(VLOOKUP(YEAR($A30),'NY East Load Projections'!$A$4:$EO$14,((MONTH($A30)-1)*12)+VLOOKUP(O$4,$DE$6:$DF$17,2)+1))*(VLOOKUP($A30,CURVES!$D$9:$K$261,2))*(INDEX(DailyScalarsTable,O$5/100,MONTH($A30)))*$B30</f>
        <v>-73885.212433019551</v>
      </c>
      <c r="P30" s="1021">
        <f>(VLOOKUP(YEAR($A30),'NY East Load Projections'!$A$4:$EO$14,((MONTH($A30)-1)*12)+VLOOKUP(P$4,$DE$6:$DF$17,2)+1))*(VLOOKUP($A30,CURVES!$D$9:$K$261,2))*(INDEX(DailyScalarsTable,P$5/100,MONTH($A30)))*$B30</f>
        <v>-80564.844774006982</v>
      </c>
      <c r="Q30" s="1021">
        <f>(VLOOKUP(YEAR($A30),'NY East Load Projections'!$A$4:$EO$14,((MONTH($A30)-1)*12)+VLOOKUP(Q$4,$DE$6:$DF$17,2)+1))*(VLOOKUP($A30,CURVES!$D$9:$K$261,2))*(INDEX(DailyScalarsTable,Q$5/100,MONTH($A30)))*$B30</f>
        <v>-80319.637747100176</v>
      </c>
      <c r="R30" s="1021">
        <f>(VLOOKUP(YEAR($A30),'NY East Load Projections'!$A$4:$EO$14,((MONTH($A30)-1)*12)+VLOOKUP(R$4,$DE$6:$DF$17,2)+1))*(VLOOKUP($A30,CURVES!$D$9:$K$261,2))*(INDEX(DailyScalarsTable,R$5/100,MONTH($A30)))*$B30</f>
        <v>-78917.95472074041</v>
      </c>
      <c r="S30" s="1021">
        <f>(VLOOKUP(YEAR($A30),'NY East Load Projections'!$A$4:$EO$14,((MONTH($A30)-1)*12)+VLOOKUP(S$4,$DE$6:$DF$17,2)+1))*(VLOOKUP($A30,CURVES!$D$9:$K$261,2))*(INDEX(DailyScalarsTable,S$5/100,MONTH($A30)))*$B30</f>
        <v>-59117.014771461872</v>
      </c>
      <c r="T30" s="1021">
        <f>(VLOOKUP(YEAR($A30),'NY East Load Projections'!$A$4:$EO$14,((MONTH($A30)-1)*12)+VLOOKUP(T$4,$DE$6:$DF$17,2)+1))*(VLOOKUP($A30,CURVES!$D$9:$K$261,2))*(INDEX(DailyScalarsTable,T$5/100,MONTH($A30)))*$B30</f>
        <v>-57325.58953236368</v>
      </c>
      <c r="U30" s="1021">
        <f>(VLOOKUP(YEAR($A30),'NY East Load Projections'!$A$4:$EO$14,((MONTH($A30)-1)*12)+VLOOKUP(U$4,$DE$6:$DF$17,2)+1))*(VLOOKUP($A30,CURVES!$D$9:$K$261,2))*(INDEX(DailyScalarsTable,U$5/100,MONTH($A30)))*$B30</f>
        <v>-55474.646304599024</v>
      </c>
      <c r="V30" s="1021">
        <f>(VLOOKUP(YEAR($A30),'NY East Load Projections'!$A$4:$EO$14,((MONTH($A30)-1)*12)+VLOOKUP(V$4,$DE$6:$DF$17,2)+1))*(VLOOKUP($A30,CURVES!$D$9:$K$261,2))*(INDEX(DailyScalarsTable,V$5/100,MONTH($A30)))*$B30</f>
        <v>-52651.28725065363</v>
      </c>
      <c r="W30" s="1021">
        <f>(VLOOKUP(YEAR($A30),'NY East Load Projections'!$A$4:$EO$14,((MONTH($A30)-1)*12)+VLOOKUP(W$4,$DE$6:$DF$17,2)+1))*(VLOOKUP($A30,CURVES!$D$9:$K$261,2))*(INDEX(DailyScalarsTable,W$5/100,MONTH($A30)))*$B30</f>
        <v>-51591.689315918789</v>
      </c>
      <c r="X30" s="1021">
        <f>(VLOOKUP(YEAR($A30),'NY East Load Projections'!$A$4:$EO$14,((MONTH($A30)-1)*12)+VLOOKUP(X$4,$DE$6:$DF$17,2)+1))*(VLOOKUP($A30,CURVES!$D$9:$K$261,2))*(INDEX(DailyScalarsTable,X$5/100,MONTH($A30)))*$B30</f>
        <v>-54152.134897026292</v>
      </c>
      <c r="Y30" s="1021">
        <f>(VLOOKUP(YEAR($A30),'NY East Load Projections'!$A$4:$EO$14,((MONTH($A30)-1)*12)+VLOOKUP(Y$4,$DE$6:$DF$17,2)+1))*(VLOOKUP($A30,CURVES!$D$9:$K$261,2))*(INDEX(DailyScalarsTable,Y$5/100,MONTH($A30)))*$B30</f>
        <v>-75350.343103895299</v>
      </c>
      <c r="Z30" s="1021">
        <f>(VLOOKUP(YEAR($A30),'NY East Load Projections'!$A$4:$EO$14,((MONTH($A30)-1)*12)+VLOOKUP(Z$4,$DE$6:$DF$17,2)+1))*(VLOOKUP($A30,CURVES!$D$9:$K$261,2))*(INDEX(DailyScalarsTable,Z$5/100,MONTH($A30)))*$B30</f>
        <v>-82679.347272681072</v>
      </c>
      <c r="AA30" s="1021">
        <f>(VLOOKUP(YEAR($A30),'NY East Load Projections'!$A$4:$EO$14,((MONTH($A30)-1)*12)+VLOOKUP(AA$4,$DE$6:$DF$17,2)+1))*(VLOOKUP($A30,CURVES!$D$9:$K$261,2))*(INDEX(DailyScalarsTable,AA$5/100,MONTH($A30)))*$B30</f>
        <v>-79138.48203745982</v>
      </c>
      <c r="AB30" s="1021">
        <f>(VLOOKUP(YEAR($A30),'NY East Load Projections'!$A$4:$EO$14,((MONTH($A30)-1)*12)+VLOOKUP(AB$4,$DE$6:$DF$17,2)+1))*(VLOOKUP($A30,CURVES!$D$9:$K$261,2))*(INDEX(DailyScalarsTable,AB$5/100,MONTH($A30)))*$B30</f>
        <v>-71038.66748009219</v>
      </c>
      <c r="AC30" s="1021">
        <f>(VLOOKUP(YEAR($A30),'NY East Load Projections'!$A$4:$EO$14,((MONTH($A30)-1)*12)+VLOOKUP(AC$4,$DE$6:$DF$17,2)+1))*(VLOOKUP($A30,CURVES!$D$9:$K$261,2))*(INDEX(DailyScalarsTable,AC$5/100,MONTH($A30)))*$B30</f>
        <v>-50524.345635983089</v>
      </c>
      <c r="AD30" s="1021">
        <f>(VLOOKUP(YEAR($A30),'NY East Load Projections'!$A$4:$EO$14,((MONTH($A30)-1)*12)+VLOOKUP(AD$4,$DE$6:$DF$17,2)+1))*(VLOOKUP($A30,CURVES!$D$9:$K$261,2))*(INDEX(DailyScalarsTable,AD$5/100,MONTH($A30)))*$B30</f>
        <v>-41360.465538890596</v>
      </c>
      <c r="AE30" s="1021">
        <f>(VLOOKUP(YEAR($A30),'NY East Load Projections'!$A$4:$EO$14,((MONTH($A30)-1)*12)+VLOOKUP(AE$4,$DE$6:$DF$17,2)+1))*(VLOOKUP($A30,CURVES!$D$9:$K$261,6))*(INDEX(DailyScalarsTable,AE$5/100,MONTH($A30)))*$B30</f>
        <v>-36554.217296907053</v>
      </c>
      <c r="AF30" s="1021"/>
      <c r="AG30" s="1021">
        <f>(VLOOKUP(YEAR($A30),'NY East Load Projections'!$A$4:$EO$14,((MONTH($A30)-1)*12)+VLOOKUP(AG$4,$DE$6:$DF$17,2)+1))*(VLOOKUP($A30,CURVES!$D$9:$T$261,6))*(INDEX(DailyScalarsTable,AG$5/100,MONTH($A30)))*$C30</f>
        <v>-6097.0327265744936</v>
      </c>
      <c r="AH30" s="1021">
        <f>(VLOOKUP(YEAR($A30),'NY East Load Projections'!$A$4:$EO$14,((MONTH($A30)-1)*12)+VLOOKUP(AH$4,$DE$6:$DF$17,2)+1))*(VLOOKUP($A30,CURVES!$D$9:$T$261,6))*(INDEX(DailyScalarsTable,AH$5/100,MONTH($A30)))*$C30</f>
        <v>-5978.2455426239803</v>
      </c>
      <c r="AI30" s="1021">
        <f>(VLOOKUP(YEAR($A30),'NY East Load Projections'!$A$4:$EO$14,((MONTH($A30)-1)*12)+VLOOKUP(AI$4,$DE$6:$DF$17,2)+1))*(VLOOKUP($A30,CURVES!$D$9:$T$261,6))*(INDEX(DailyScalarsTable,AI$5/100,MONTH($A30)))*$C30</f>
        <v>-5478.1687260061826</v>
      </c>
      <c r="AJ30" s="1021">
        <f>(VLOOKUP(YEAR($A30),'NY East Load Projections'!$A$4:$EO$14,((MONTH($A30)-1)*12)+VLOOKUP(AJ$4,$DE$6:$DF$17,2)+1))*(VLOOKUP($A30,CURVES!$D$9:$T$261,6))*(INDEX(DailyScalarsTable,AJ$5/100,MONTH($A30)))*$C30</f>
        <v>-5474.8565402733975</v>
      </c>
      <c r="AK30" s="1021">
        <f>(VLOOKUP(YEAR($A30),'NY East Load Projections'!$A$4:$EO$14,((MONTH($A30)-1)*12)+VLOOKUP(AK$4,$DE$6:$DF$17,2)+1))*(VLOOKUP($A30,CURVES!$D$9:$T$261,6))*(INDEX(DailyScalarsTable,AK$5/100,MONTH($A30)))*$C30</f>
        <v>-5764.8467670964419</v>
      </c>
      <c r="AL30" s="1021">
        <f>(VLOOKUP(YEAR($A30),'NY East Load Projections'!$A$4:$EO$14,((MONTH($A30)-1)*12)+VLOOKUP(AL$4,$DE$6:$DF$17,2)+1))*(VLOOKUP($A30,CURVES!$D$9:$T$261,6))*(INDEX(DailyScalarsTable,AL$5/100,MONTH($A30)))*$C30</f>
        <v>-6152.3479851091852</v>
      </c>
      <c r="AM30" s="1021">
        <f>(VLOOKUP(YEAR($A30),'NY East Load Projections'!$A$4:$EO$14,((MONTH($A30)-1)*12)+VLOOKUP(AM$4,$DE$6:$DF$17,2)+1))*(VLOOKUP($A30,CURVES!$D$9:$T$261,6))*(INDEX(DailyScalarsTable,AM$5/100,MONTH($A30)))*$C30</f>
        <v>-11781.671479122084</v>
      </c>
      <c r="AN30" s="1021">
        <f>(VLOOKUP(YEAR($A30),'NY East Load Projections'!$A$4:$EO$14,((MONTH($A30)-1)*12)+VLOOKUP(AN$4,$DE$6:$DF$17,2)+1))*(VLOOKUP($A30,SatSunCurve,2))*(INDEX(DailyScalarsTable,AN$5/100,MONTH($A30)))*$C30</f>
        <v>-10734.90073748451</v>
      </c>
      <c r="AO30" s="1021">
        <f>(VLOOKUP(YEAR($A30),'NY East Load Projections'!$A$4:$EO$14,((MONTH($A30)-1)*12)+VLOOKUP(AO$4,$DE$6:$DF$17,2)+1))*(VLOOKUP($A30,SatSunCurve,2))*(INDEX(DailyScalarsTable,AO$5/100,MONTH($A30)))*$C30</f>
        <v>-11919.222399426713</v>
      </c>
      <c r="AP30" s="1021">
        <f>(VLOOKUP(YEAR($A30),'NY East Load Projections'!$A$4:$EO$14,((MONTH($A30)-1)*12)+VLOOKUP(AP$4,$DE$6:$DF$17,2)+1))*(VLOOKUP($A30,SatSunCurve,2))*(INDEX(DailyScalarsTable,AP$5/100,MONTH($A30)))*$C30</f>
        <v>-11882.945074052317</v>
      </c>
      <c r="AQ30" s="1021">
        <f>(VLOOKUP(YEAR($A30),'NY East Load Projections'!$A$4:$EO$14,((MONTH($A30)-1)*12)+VLOOKUP(AQ$4,$DE$6:$DF$17,2)+1))*(VLOOKUP($A30,SatSunCurve,2))*(INDEX(DailyScalarsTable,AQ$5/100,MONTH($A30)))*$C30</f>
        <v>-11675.57209677484</v>
      </c>
      <c r="AR30" s="1021">
        <f>(VLOOKUP(YEAR($A30),'NY East Load Projections'!$A$4:$EO$14,((MONTH($A30)-1)*12)+VLOOKUP(AR$4,$DE$6:$DF$17,2)+1))*(VLOOKUP($A30,SatSunCurve,2))*(INDEX(DailyScalarsTable,AR$5/100,MONTH($A30)))*$C30</f>
        <v>-8746.1081645202412</v>
      </c>
      <c r="AS30" s="1021">
        <f>(VLOOKUP(YEAR($A30),'NY East Load Projections'!$A$4:$EO$14,((MONTH($A30)-1)*12)+VLOOKUP(AS$4,$DE$6:$DF$17,2)+1))*(VLOOKUP($A30,SatSunCurve,2))*(INDEX(DailyScalarsTable,AS$5/100,MONTH($A30)))*$C30</f>
        <v>-8347.3246649798257</v>
      </c>
      <c r="AT30" s="1021">
        <f>(VLOOKUP(YEAR($A30),'NY East Load Projections'!$A$4:$EO$14,((MONTH($A30)-1)*12)+VLOOKUP(AT$4,$DE$6:$DF$17,2)+1))*(VLOOKUP($A30,SatSunCurve,2))*(INDEX(DailyScalarsTable,AT$5/100,MONTH($A30)))*$C30</f>
        <v>-8077.804121281366</v>
      </c>
      <c r="AU30" s="1021">
        <f>(VLOOKUP(YEAR($A30),'NY East Load Projections'!$A$4:$EO$14,((MONTH($A30)-1)*12)+VLOOKUP(AU$4,$DE$6:$DF$17,2)+1))*(VLOOKUP($A30,SatSunCurve,2))*(INDEX(DailyScalarsTable,AU$5/100,MONTH($A30)))*$C30</f>
        <v>-7666.6876397703099</v>
      </c>
      <c r="AV30" s="1021">
        <f>(VLOOKUP(YEAR($A30),'NY East Load Projections'!$A$4:$EO$14,((MONTH($A30)-1)*12)+VLOOKUP(AV$4,$DE$6:$DF$17,2)+1))*(VLOOKUP($A30,SatSunCurve,2))*(INDEX(DailyScalarsTable,AV$5/100,MONTH($A30)))*$C30</f>
        <v>-7512.3968937400323</v>
      </c>
      <c r="AW30" s="1021">
        <f>(VLOOKUP(YEAR($A30),'NY East Load Projections'!$A$4:$EO$14,((MONTH($A30)-1)*12)+VLOOKUP(AW$4,$DE$6:$DF$17,2)+1))*(VLOOKUP($A30,SatSunCurve,2))*(INDEX(DailyScalarsTable,AW$5/100,MONTH($A30)))*$C30</f>
        <v>-7911.5408694125927</v>
      </c>
      <c r="AX30" s="1021">
        <f>(VLOOKUP(YEAR($A30),'NY East Load Projections'!$A$4:$EO$14,((MONTH($A30)-1)*12)+VLOOKUP(AX$4,$DE$6:$DF$17,2)+1))*(VLOOKUP($A30,SatSunCurve,2))*(INDEX(DailyScalarsTable,AX$5/100,MONTH($A30)))*$C30</f>
        <v>-11008.565407888751</v>
      </c>
      <c r="AY30" s="1021">
        <f>(VLOOKUP(YEAR($A30),'NY East Load Projections'!$A$4:$EO$14,((MONTH($A30)-1)*12)+VLOOKUP(AY$4,$DE$6:$DF$17,2)+1))*(VLOOKUP($A30,SatSunCurve,2))*(INDEX(DailyScalarsTable,AY$5/100,MONTH($A30)))*$C30</f>
        <v>-12079.321272338117</v>
      </c>
      <c r="AZ30" s="1021">
        <f>(VLOOKUP(YEAR($A30),'NY East Load Projections'!$A$4:$EO$14,((MONTH($A30)-1)*12)+VLOOKUP(AZ$4,$DE$6:$DF$17,2)+1))*(VLOOKUP($A30,SatSunCurve,2))*(INDEX(DailyScalarsTable,AZ$5/100,MONTH($A30)))*$C30</f>
        <v>-11562.006487338318</v>
      </c>
      <c r="BA30" s="1021">
        <f>(VLOOKUP(YEAR($A30),'NY East Load Projections'!$A$4:$EO$14,((MONTH($A30)-1)*12)+VLOOKUP(BA$4,$DE$6:$DF$17,2)+1))*(VLOOKUP($A30,SatSunCurve,2))*(INDEX(DailyScalarsTable,BA$5/100,MONTH($A30)))*$C30</f>
        <v>-10647.182526407136</v>
      </c>
      <c r="BB30" s="1021">
        <f>(VLOOKUP(YEAR($A30),'NY East Load Projections'!$A$4:$EO$14,((MONTH($A30)-1)*12)+VLOOKUP(BB$4,$DE$6:$DF$17,2)+1))*(VLOOKUP($A30,SatSunCurve,2))*(INDEX(DailyScalarsTable,BB$5/100,MONTH($A30)))*$C30</f>
        <v>-7572.5228118101468</v>
      </c>
      <c r="BC30" s="1021">
        <f>(VLOOKUP(YEAR($A30),'NY East Load Projections'!$A$4:$EO$14,((MONTH($A30)-1)*12)+VLOOKUP(BC$4,$DE$6:$DF$17,2)+1))*(VLOOKUP($A30,SatSunCurve,2))*(INDEX(DailyScalarsTable,BC$5/100,MONTH($A30)))*$C30</f>
        <v>-6199.052453977265</v>
      </c>
      <c r="BD30" s="1021">
        <f>(VLOOKUP(YEAR($A30),'NY East Load Projections'!$A$4:$EO$14,((MONTH($A30)-1)*12)+VLOOKUP(BD$4,$DE$6:$DF$17,2)+1))*(VLOOKUP($A30,CURVES!$D$9:$T$261,6))*(INDEX(DailyScalarsTable,BD$5/100,MONTH($A30)))*$C30</f>
        <v>-7002.4989008400571</v>
      </c>
      <c r="BE30" s="1021"/>
      <c r="BF30" s="1021">
        <f>(VLOOKUP(YEAR($A30),'NY East Load Projections'!$A$4:$EO$14,((MONTH($A30)-1)*12)+VLOOKUP(BF$4,$DE$6:$DF$17,2)+1))*(VLOOKUP($A30,CURVES!$D$9:$T$261,6))*(INDEX(DailyScalarsTable,BF$5/100,MONTH($A30)))*$D30</f>
        <v>-6097.0327265744936</v>
      </c>
      <c r="BG30" s="1021">
        <f>(VLOOKUP(YEAR($A30),'NY East Load Projections'!$A$4:$EO$14,((MONTH($A30)-1)*12)+VLOOKUP(BG$4,$DE$6:$DF$17,2)+1))*(VLOOKUP($A30,CURVES!$D$9:$T$261,6))*(INDEX(DailyScalarsTable,BG$5/100,MONTH($A30)))*$D30</f>
        <v>-5978.2455426239803</v>
      </c>
      <c r="BH30" s="1021">
        <f>(VLOOKUP(YEAR($A30),'NY East Load Projections'!$A$4:$EO$14,((MONTH($A30)-1)*12)+VLOOKUP(BH$4,$DE$6:$DF$17,2)+1))*(VLOOKUP($A30,CURVES!$D$9:$T$261,6))*(INDEX(DailyScalarsTable,BH$5/100,MONTH($A30)))*$D30</f>
        <v>-5478.1687260061826</v>
      </c>
      <c r="BI30" s="1021">
        <f>(VLOOKUP(YEAR($A30),'NY East Load Projections'!$A$4:$EO$14,((MONTH($A30)-1)*12)+VLOOKUP(BI$4,$DE$6:$DF$17,2)+1))*(VLOOKUP($A30,CURVES!$D$9:$T$261,6))*(INDEX(DailyScalarsTable,BI$5/100,MONTH($A30)))*$D30</f>
        <v>-5474.8565402733975</v>
      </c>
      <c r="BJ30" s="1021">
        <f>(VLOOKUP(YEAR($A30),'NY East Load Projections'!$A$4:$EO$14,((MONTH($A30)-1)*12)+VLOOKUP(BJ$4,$DE$6:$DF$17,2)+1))*(VLOOKUP($A30,CURVES!$D$9:$T$261,6))*(INDEX(DailyScalarsTable,BJ$5/100,MONTH($A30)))*$D30</f>
        <v>-5764.8467670964419</v>
      </c>
      <c r="BK30" s="1021">
        <f>(VLOOKUP(YEAR($A30),'NY East Load Projections'!$A$4:$EO$14,((MONTH($A30)-1)*12)+VLOOKUP(BK$4,$DE$6:$DF$17,2)+1))*(VLOOKUP($A30,CURVES!$D$9:$T$261,6))*(INDEX(DailyScalarsTable,BK$5/100,MONTH($A30)))*$D30</f>
        <v>-6152.3479851091852</v>
      </c>
      <c r="BL30" s="1021">
        <f>(VLOOKUP(YEAR($A30),'NY East Load Projections'!$A$4:$EO$14,((MONTH($A30)-1)*12)+VLOOKUP(BL$4,$DE$6:$DF$17,2)+1))*(VLOOKUP($A30,CURVES!$D$9:$T$261,6))*(INDEX(DailyScalarsTable,BL$5/100,MONTH($A30)))*$D30</f>
        <v>-11781.671479122084</v>
      </c>
      <c r="BM30" s="1021">
        <f>(VLOOKUP(YEAR($A30),'NY East Load Projections'!$A$4:$EO$14,((MONTH($A30)-1)*12)+VLOOKUP(BM$4,$DE$6:$DF$17,2)+1))*(VLOOKUP($A30,SatSunCurve,6))*(INDEX(DailyScalarsTable,BM$5/100,MONTH($A30)))*$D30</f>
        <v>-9128.9001013443249</v>
      </c>
      <c r="BN30" s="1021">
        <f>(VLOOKUP(YEAR($A30),'NY East Load Projections'!$A$4:$EO$14,((MONTH($A30)-1)*12)+VLOOKUP(BN$4,$DE$6:$DF$17,2)+1))*(VLOOKUP($A30,SatSunCurve,6))*(INDEX(DailyScalarsTable,BN$5/100,MONTH($A30)))*$D30</f>
        <v>-10136.040679922411</v>
      </c>
      <c r="BO30" s="1021">
        <f>(VLOOKUP(YEAR($A30),'NY East Load Projections'!$A$4:$EO$14,((MONTH($A30)-1)*12)+VLOOKUP(BO$4,$DE$6:$DF$17,2)+1))*(VLOOKUP($A30,SatSunCurve,6))*(INDEX(DailyScalarsTable,BO$5/100,MONTH($A30)))*$D30</f>
        <v>-10105.190643449281</v>
      </c>
      <c r="BP30" s="1021">
        <f>(VLOOKUP(YEAR($A30),'NY East Load Projections'!$A$4:$EO$14,((MONTH($A30)-1)*12)+VLOOKUP(BP$4,$DE$6:$DF$17,2)+1))*(VLOOKUP($A30,SatSunCurve,6))*(INDEX(DailyScalarsTable,BP$5/100,MONTH($A30)))*$D30</f>
        <v>-9928.8418126981887</v>
      </c>
      <c r="BQ30" s="1021">
        <f>(VLOOKUP(YEAR($A30),'NY East Load Projections'!$A$4:$EO$14,((MONTH($A30)-1)*12)+VLOOKUP(BQ$4,$DE$6:$DF$17,2)+1))*(VLOOKUP($A30,SatSunCurve,6))*(INDEX(DailyScalarsTable,BQ$5/100,MONTH($A30)))*$D30</f>
        <v>-7437.6419178857332</v>
      </c>
      <c r="BR30" s="1021">
        <f>(VLOOKUP(YEAR($A30),'NY East Load Projections'!$A$4:$EO$14,((MONTH($A30)-1)*12)+VLOOKUP(BR$4,$DE$6:$DF$17,2)+1))*(VLOOKUP($A30,SatSunCurve,6))*(INDEX(DailyScalarsTable,BR$5/100,MONTH($A30)))*$D30</f>
        <v>-7098.5186396744057</v>
      </c>
      <c r="BS30" s="1021">
        <f>(VLOOKUP(YEAR($A30),'NY East Load Projections'!$A$4:$EO$14,((MONTH($A30)-1)*12)+VLOOKUP(BS$4,$DE$6:$DF$17,2)+1))*(VLOOKUP($A30,SatSunCurve,6))*(INDEX(DailyScalarsTable,BS$5/100,MONTH($A30)))*$D30</f>
        <v>-6869.3198628201553</v>
      </c>
      <c r="BT30" s="1021">
        <f>(VLOOKUP(YEAR($A30),'NY East Load Projections'!$A$4:$EO$14,((MONTH($A30)-1)*12)+VLOOKUP(BT$4,$DE$6:$DF$17,2)+1))*(VLOOKUP($A30,SatSunCurve,6))*(INDEX(DailyScalarsTable,BT$5/100,MONTH($A30)))*$D30</f>
        <v>-6519.7086850823307</v>
      </c>
      <c r="BU30" s="1021">
        <f>(VLOOKUP(YEAR($A30),'NY East Load Projections'!$A$4:$EO$14,((MONTH($A30)-1)*12)+VLOOKUP(BU$4,$DE$6:$DF$17,2)+1))*(VLOOKUP($A30,SatSunCurve,6))*(INDEX(DailyScalarsTable,BU$5/100,MONTH($A30)))*$D30</f>
        <v>-6388.5006896367813</v>
      </c>
      <c r="BV30" s="1021">
        <f>(VLOOKUP(YEAR($A30),'NY East Load Projections'!$A$4:$EO$14,((MONTH($A30)-1)*12)+VLOOKUP(BV$4,$DE$6:$DF$17,2)+1))*(VLOOKUP($A30,SatSunCurve,6))*(INDEX(DailyScalarsTable,BV$5/100,MONTH($A30)))*$D30</f>
        <v>-6727.9305147533614</v>
      </c>
      <c r="BW30" s="1021">
        <f>(VLOOKUP(YEAR($A30),'NY East Load Projections'!$A$4:$EO$14,((MONTH($A30)-1)*12)+VLOOKUP(BW$4,$DE$6:$DF$17,2)+1))*(VLOOKUP($A30,SatSunCurve,6))*(INDEX(DailyScalarsTable,BW$5/100,MONTH($A30)))*$D30</f>
        <v>-9361.6230205851298</v>
      </c>
      <c r="BX30" s="1021">
        <f>(VLOOKUP(YEAR($A30),'NY East Load Projections'!$A$4:$EO$14,((MONTH($A30)-1)*12)+VLOOKUP(BX$4,$DE$6:$DF$17,2)+1))*(VLOOKUP($A30,SatSunCurve,6))*(INDEX(DailyScalarsTable,BX$5/100,MONTH($A30)))*$D30</f>
        <v>-10272.187874282821</v>
      </c>
      <c r="BY30" s="1021">
        <f>(VLOOKUP(YEAR($A30),'NY East Load Projections'!$A$4:$EO$14,((MONTH($A30)-1)*12)+VLOOKUP(BY$4,$DE$6:$DF$17,2)+1))*(VLOOKUP($A30,SatSunCurve,6))*(INDEX(DailyScalarsTable,BY$5/100,MONTH($A30)))*$D30</f>
        <v>-9832.2662477398462</v>
      </c>
      <c r="BZ30" s="1021">
        <f>(VLOOKUP(YEAR($A30),'NY East Load Projections'!$A$4:$EO$14,((MONTH($A30)-1)*12)+VLOOKUP(BZ$4,$DE$6:$DF$17,2)+1))*(VLOOKUP($A30,SatSunCurve,6))*(INDEX(DailyScalarsTable,BZ$5/100,MONTH($A30)))*$D30</f>
        <v>-9054.3050207211927</v>
      </c>
      <c r="CA30" s="1021">
        <f>(VLOOKUP(YEAR($A30),'NY East Load Projections'!$A$4:$EO$14,((MONTH($A30)-1)*12)+VLOOKUP(CA$4,$DE$6:$DF$17,2)+1))*(VLOOKUP($A30,SatSunCurve,6))*(INDEX(DailyScalarsTable,CA$5/100,MONTH($A30)))*$D30</f>
        <v>-6439.6314371850158</v>
      </c>
      <c r="CB30" s="1021">
        <f>(VLOOKUP(YEAR($A30),'NY East Load Projections'!$A$4:$EO$14,((MONTH($A30)-1)*12)+VLOOKUP(CB$4,$DE$6:$DF$17,2)+1))*(VLOOKUP($A30,SatSunCurve,6))*(INDEX(DailyScalarsTable,CB$5/100,MONTH($A30)))*$D30</f>
        <v>-5271.6398557601015</v>
      </c>
      <c r="CC30" s="1021">
        <f>(VLOOKUP(YEAR($A30),'NY East Load Projections'!$A$4:$EO$14,((MONTH($A30)-1)*12)+VLOOKUP(CC$4,$DE$6:$DF$17,2)+1))*(VLOOKUP($A30,CURVES!$D$9:$T$261,6))*(INDEX(DailyScalarsTable,CC$5/100,MONTH($A30)))*$D30</f>
        <v>-7002.4989008400571</v>
      </c>
      <c r="CE30" s="1021">
        <f>(VLOOKUP(YEAR($A30),'NY East Load Projections'!$A$4:$EO$14,((MONTH($A30)-1)*12)+VLOOKUP(CE$4,$DE$6:$DF$17,2)+1))*(VLOOKUP($A30,CURVES!$D$9:$T$261,6))*(INDEX(DailyScalarsTable,CE$5/100,MONTH($A30)))*$E30</f>
        <v>-1524.2581816436234</v>
      </c>
      <c r="CF30" s="1021">
        <f>(VLOOKUP(YEAR($A30),'NY East Load Projections'!$A$4:$EO$14,((MONTH($A30)-1)*12)+VLOOKUP(CF$4,$DE$6:$DF$17,2)+1))*(VLOOKUP($A30,CURVES!$D$9:$T$261,6))*(INDEX(DailyScalarsTable,CF$5/100,MONTH($A30)))*$E30</f>
        <v>-1494.5613856559951</v>
      </c>
      <c r="CG30" s="1021">
        <f>(VLOOKUP(YEAR($A30),'NY East Load Projections'!$A$4:$EO$14,((MONTH($A30)-1)*12)+VLOOKUP(CG$4,$DE$6:$DF$17,2)+1))*(VLOOKUP($A30,CURVES!$D$9:$T$261,6))*(INDEX(DailyScalarsTable,CG$5/100,MONTH($A30)))*$E30</f>
        <v>-1369.5421815015457</v>
      </c>
      <c r="CH30" s="1021">
        <f>(VLOOKUP(YEAR($A30),'NY East Load Projections'!$A$4:$EO$14,((MONTH($A30)-1)*12)+VLOOKUP(CH$4,$DE$6:$DF$17,2)+1))*(VLOOKUP($A30,CURVES!$D$9:$T$261,6))*(INDEX(DailyScalarsTable,CH$5/100,MONTH($A30)))*$E30</f>
        <v>-1368.7141350683494</v>
      </c>
      <c r="CI30" s="1021">
        <f>(VLOOKUP(YEAR($A30),'NY East Load Projections'!$A$4:$EO$14,((MONTH($A30)-1)*12)+VLOOKUP(CI$4,$DE$6:$DF$17,2)+1))*(VLOOKUP($A30,CURVES!$D$9:$T$261,6))*(INDEX(DailyScalarsTable,CI$5/100,MONTH($A30)))*$E30</f>
        <v>-1441.2116917741105</v>
      </c>
      <c r="CJ30" s="1021">
        <f>(VLOOKUP(YEAR($A30),'NY East Load Projections'!$A$4:$EO$14,((MONTH($A30)-1)*12)+VLOOKUP(CJ$4,$DE$6:$DF$17,2)+1))*(VLOOKUP($A30,CURVES!$D$9:$T$261,6))*(INDEX(DailyScalarsTable,CJ$5/100,MONTH($A30)))*$E30</f>
        <v>-1538.0869962772963</v>
      </c>
      <c r="CK30" s="1021">
        <f>(VLOOKUP(YEAR($A30),'NY East Load Projections'!$A$4:$EO$14,((MONTH($A30)-1)*12)+VLOOKUP(CK$4,$DE$6:$DF$17,2)+1))*(VLOOKUP($A30,CURVES!$D$9:$T$261,6))*(INDEX(DailyScalarsTable,CK$5/100,MONTH($A30)))*$E30</f>
        <v>-2945.417869780521</v>
      </c>
      <c r="CL30" s="1021">
        <f>(VLOOKUP(YEAR($A30),'NY East Load Projections'!$A$4:$EO$14,((MONTH($A30)-1)*12)+VLOOKUP(CL$4,$DE$6:$DF$17,2)+1))*(VLOOKUP($A30,SatSunCurve,6))*(INDEX(DailyScalarsTable,CL$5/100,MONTH($A30)))*$E30</f>
        <v>-2282.2250253360812</v>
      </c>
      <c r="CM30" s="1021">
        <f>(VLOOKUP(YEAR($A30),'NY East Load Projections'!$A$4:$EO$14,((MONTH($A30)-1)*12)+VLOOKUP(CM$4,$DE$6:$DF$17,2)+1))*(VLOOKUP($A30,SatSunCurve,6))*(INDEX(DailyScalarsTable,CM$5/100,MONTH($A30)))*$E30</f>
        <v>-2534.0101699806028</v>
      </c>
      <c r="CN30" s="1021">
        <f>(VLOOKUP(YEAR($A30),'NY East Load Projections'!$A$4:$EO$14,((MONTH($A30)-1)*12)+VLOOKUP(CN$4,$DE$6:$DF$17,2)+1))*(VLOOKUP($A30,SatSunCurve,6))*(INDEX(DailyScalarsTable,CN$5/100,MONTH($A30)))*$E30</f>
        <v>-2526.2976608623203</v>
      </c>
      <c r="CO30" s="1021">
        <f>(VLOOKUP(YEAR($A30),'NY East Load Projections'!$A$4:$EO$14,((MONTH($A30)-1)*12)+VLOOKUP(CO$4,$DE$6:$DF$17,2)+1))*(VLOOKUP($A30,SatSunCurve,6))*(INDEX(DailyScalarsTable,CO$5/100,MONTH($A30)))*$E30</f>
        <v>-2482.2104531745472</v>
      </c>
      <c r="CP30" s="1021">
        <f>(VLOOKUP(YEAR($A30),'NY East Load Projections'!$A$4:$EO$14,((MONTH($A30)-1)*12)+VLOOKUP(CP$4,$DE$6:$DF$17,2)+1))*(VLOOKUP($A30,SatSunCurve,6))*(INDEX(DailyScalarsTable,CP$5/100,MONTH($A30)))*$E30</f>
        <v>-1859.4104794714333</v>
      </c>
      <c r="CQ30" s="1021">
        <f>(VLOOKUP(YEAR($A30),'NY East Load Projections'!$A$4:$EO$14,((MONTH($A30)-1)*12)+VLOOKUP(CQ$4,$DE$6:$DF$17,2)+1))*(VLOOKUP($A30,SatSunCurve,6))*(INDEX(DailyScalarsTable,CQ$5/100,MONTH($A30)))*$E30</f>
        <v>-1774.6296599186014</v>
      </c>
      <c r="CR30" s="1021">
        <f>(VLOOKUP(YEAR($A30),'NY East Load Projections'!$A$4:$EO$14,((MONTH($A30)-1)*12)+VLOOKUP(CR$4,$DE$6:$DF$17,2)+1))*(VLOOKUP($A30,SatSunCurve,6))*(INDEX(DailyScalarsTable,CR$5/100,MONTH($A30)))*$E30</f>
        <v>-1717.3299657050388</v>
      </c>
      <c r="CS30" s="1021">
        <f>(VLOOKUP(YEAR($A30),'NY East Load Projections'!$A$4:$EO$14,((MONTH($A30)-1)*12)+VLOOKUP(CS$4,$DE$6:$DF$17,2)+1))*(VLOOKUP($A30,SatSunCurve,6))*(INDEX(DailyScalarsTable,CS$5/100,MONTH($A30)))*$E30</f>
        <v>-1629.9271712705827</v>
      </c>
      <c r="CT30" s="1021">
        <f>(VLOOKUP(YEAR($A30),'NY East Load Projections'!$A$4:$EO$14,((MONTH($A30)-1)*12)+VLOOKUP(CT$4,$DE$6:$DF$17,2)+1))*(VLOOKUP($A30,SatSunCurve,6))*(INDEX(DailyScalarsTable,CT$5/100,MONTH($A30)))*$E30</f>
        <v>-1597.1251724091953</v>
      </c>
      <c r="CU30" s="1021">
        <f>(VLOOKUP(YEAR($A30),'NY East Load Projections'!$A$4:$EO$14,((MONTH($A30)-1)*12)+VLOOKUP(CU$4,$DE$6:$DF$17,2)+1))*(VLOOKUP($A30,SatSunCurve,6))*(INDEX(DailyScalarsTable,CU$5/100,MONTH($A30)))*$E30</f>
        <v>-1681.9826286883404</v>
      </c>
      <c r="CV30" s="1021">
        <f>(VLOOKUP(YEAR($A30),'NY East Load Projections'!$A$4:$EO$14,((MONTH($A30)-1)*12)+VLOOKUP(CV$4,$DE$6:$DF$17,2)+1))*(VLOOKUP($A30,SatSunCurve,6))*(INDEX(DailyScalarsTable,CV$5/100,MONTH($A30)))*$E30</f>
        <v>-2340.4057551462824</v>
      </c>
      <c r="CW30" s="1021">
        <f>(VLOOKUP(YEAR($A30),'NY East Load Projections'!$A$4:$EO$14,((MONTH($A30)-1)*12)+VLOOKUP(CW$4,$DE$6:$DF$17,2)+1))*(VLOOKUP($A30,SatSunCurve,6))*(INDEX(DailyScalarsTable,CW$5/100,MONTH($A30)))*$E30</f>
        <v>-2568.0469685707053</v>
      </c>
      <c r="CX30" s="1021">
        <f>(VLOOKUP(YEAR($A30),'NY East Load Projections'!$A$4:$EO$14,((MONTH($A30)-1)*12)+VLOOKUP(CX$4,$DE$6:$DF$17,2)+1))*(VLOOKUP($A30,SatSunCurve,6))*(INDEX(DailyScalarsTable,CX$5/100,MONTH($A30)))*$E30</f>
        <v>-2458.0665619349616</v>
      </c>
      <c r="CY30" s="1021">
        <f>(VLOOKUP(YEAR($A30),'NY East Load Projections'!$A$4:$EO$14,((MONTH($A30)-1)*12)+VLOOKUP(CY$4,$DE$6:$DF$17,2)+1))*(VLOOKUP($A30,SatSunCurve,6))*(INDEX(DailyScalarsTable,CY$5/100,MONTH($A30)))*$E30</f>
        <v>-2263.5762551802982</v>
      </c>
      <c r="CZ30" s="1021">
        <f>(VLOOKUP(YEAR($A30),'NY East Load Projections'!$A$4:$EO$14,((MONTH($A30)-1)*12)+VLOOKUP(CZ$4,$DE$6:$DF$17,2)+1))*(VLOOKUP($A30,SatSunCurve,6))*(INDEX(DailyScalarsTable,CZ$5/100,MONTH($A30)))*$E30</f>
        <v>-1609.9078592962539</v>
      </c>
      <c r="DA30" s="1021">
        <f>(VLOOKUP(YEAR($A30),'NY East Load Projections'!$A$4:$EO$14,((MONTH($A30)-1)*12)+VLOOKUP(DA$4,$DE$6:$DF$17,2)+1))*(VLOOKUP($A30,SatSunCurve,6))*(INDEX(DailyScalarsTable,DA$5/100,MONTH($A30)))*$E30</f>
        <v>-1317.9099639400254</v>
      </c>
      <c r="DB30" s="1021">
        <f>(VLOOKUP(YEAR($A30),'NY East Load Projections'!$A$4:$EO$14,((MONTH($A30)-1)*12)+VLOOKUP(DB$4,$DE$6:$DF$17,2)+1))*(VLOOKUP($A30,CURVES!$D$9:$T$261,6))*(INDEX(DailyScalarsTable,DB$5/100,MONTH($A30)))*$E30</f>
        <v>-1750.6247252100143</v>
      </c>
      <c r="DH30" s="1021">
        <f t="shared" si="0"/>
        <v>-1763991.7310716328</v>
      </c>
      <c r="DI30">
        <f ca="1">CALC!J50</f>
        <v>0.81093241220215584</v>
      </c>
      <c r="DJ30" s="1029">
        <f t="shared" ca="1" si="1"/>
        <v>-1430478.0695825757</v>
      </c>
    </row>
    <row r="31" spans="1:114" x14ac:dyDescent="0.25">
      <c r="A31" s="244">
        <v>37653</v>
      </c>
      <c r="B31" s="13">
        <v>20</v>
      </c>
      <c r="C31" s="210">
        <v>4</v>
      </c>
      <c r="D31" s="210">
        <v>4</v>
      </c>
      <c r="E31" s="210">
        <v>0</v>
      </c>
      <c r="F31" s="13">
        <v>28</v>
      </c>
      <c r="H31" s="1021">
        <f>(VLOOKUP(YEAR($A31),'NY East Load Projections'!$A$4:$EO$14,((MONTH($A31)-1)*12)+VLOOKUP(H$4,$DE$6:$DF$17,2)+1))*(VLOOKUP($A31,CURVES!$D$9:$K$261,6))*(INDEX(DailyScalarsTable,H$5/100,MONTH($A31)))*$B31</f>
        <v>-27655.489120320653</v>
      </c>
      <c r="I31" s="1021">
        <f>(VLOOKUP(YEAR($A31),'NY East Load Projections'!$A$4:$EO$14,((MONTH($A31)-1)*12)+VLOOKUP(I$4,$DE$6:$DF$17,2)+1))*(VLOOKUP($A31,CURVES!$D$9:$K$261,6))*(INDEX(DailyScalarsTable,I$5/100,MONTH($A31)))*$B31</f>
        <v>-27116.683143593895</v>
      </c>
      <c r="J31" s="1021">
        <f>(VLOOKUP(YEAR($A31),'NY East Load Projections'!$A$4:$EO$14,((MONTH($A31)-1)*12)+VLOOKUP(J$4,$DE$6:$DF$17,2)+1))*(VLOOKUP($A31,CURVES!$D$9:$K$261,6))*(INDEX(DailyScalarsTable,J$5/100,MONTH($A31)))*$B31</f>
        <v>-24848.388125097557</v>
      </c>
      <c r="K31" s="1021">
        <f>(VLOOKUP(YEAR($A31),'NY East Load Projections'!$A$4:$EO$14,((MONTH($A31)-1)*12)+VLOOKUP(K$4,$DE$6:$DF$17,2)+1))*(VLOOKUP($A31,CURVES!$D$9:$K$261,6))*(INDEX(DailyScalarsTable,K$5/100,MONTH($A31)))*$B31</f>
        <v>-24833.36440444435</v>
      </c>
      <c r="L31" s="1021">
        <f>(VLOOKUP(YEAR($A31),'NY East Load Projections'!$A$4:$EO$14,((MONTH($A31)-1)*12)+VLOOKUP(L$4,$DE$6:$DF$17,2)+1))*(VLOOKUP($A31,CURVES!$D$9:$K$261,6))*(INDEX(DailyScalarsTable,L$5/100,MONTH($A31)))*$B31</f>
        <v>-27281.634411268125</v>
      </c>
      <c r="M31" s="1021">
        <f>(VLOOKUP(YEAR($A31),'NY East Load Projections'!$A$4:$EO$14,((MONTH($A31)-1)*12)+VLOOKUP(M$4,$DE$6:$DF$17,2)+1))*(VLOOKUP($A31,CURVES!$D$9:$K$261,6))*(INDEX(DailyScalarsTable,M$5/100,MONTH($A31)))*$B31</f>
        <v>-29115.450120661098</v>
      </c>
      <c r="N31" s="1021">
        <f>(VLOOKUP(YEAR($A31),'NY East Load Projections'!$A$4:$EO$14,((MONTH($A31)-1)*12)+VLOOKUP(N$4,$DE$6:$DF$17,2)+1))*(VLOOKUP($A31,CURVES!$D$9:$K$261,6))*(INDEX(DailyScalarsTable,N$5/100,MONTH($A31)))*$B31</f>
        <v>-55755.732464848028</v>
      </c>
      <c r="O31" s="1021">
        <f>(VLOOKUP(YEAR($A31),'NY East Load Projections'!$A$4:$EO$14,((MONTH($A31)-1)*12)+VLOOKUP(O$4,$DE$6:$DF$17,2)+1))*(VLOOKUP($A31,CURVES!$D$9:$K$261,2))*(INDEX(DailyScalarsTable,O$5/100,MONTH($A31)))*$B31</f>
        <v>-65542.382772617901</v>
      </c>
      <c r="P31" s="1021">
        <f>(VLOOKUP(YEAR($A31),'NY East Load Projections'!$A$4:$EO$14,((MONTH($A31)-1)*12)+VLOOKUP(P$4,$DE$6:$DF$17,2)+1))*(VLOOKUP($A31,CURVES!$D$9:$K$261,2))*(INDEX(DailyScalarsTable,P$5/100,MONTH($A31)))*$B31</f>
        <v>-71214.436980434155</v>
      </c>
      <c r="Q31" s="1021">
        <f>(VLOOKUP(YEAR($A31),'NY East Load Projections'!$A$4:$EO$14,((MONTH($A31)-1)*12)+VLOOKUP(Q$4,$DE$6:$DF$17,2)+1))*(VLOOKUP($A31,CURVES!$D$9:$K$261,2))*(INDEX(DailyScalarsTable,Q$5/100,MONTH($A31)))*$B31</f>
        <v>-70997.688839060604</v>
      </c>
      <c r="R31" s="1021">
        <f>(VLOOKUP(YEAR($A31),'NY East Load Projections'!$A$4:$EO$14,((MONTH($A31)-1)*12)+VLOOKUP(R$4,$DE$6:$DF$17,2)+1))*(VLOOKUP($A31,CURVES!$D$9:$K$261,2))*(INDEX(DailyScalarsTable,R$5/100,MONTH($A31)))*$B31</f>
        <v>-69758.686047864918</v>
      </c>
      <c r="S31" s="1021">
        <f>(VLOOKUP(YEAR($A31),'NY East Load Projections'!$A$4:$EO$14,((MONTH($A31)-1)*12)+VLOOKUP(S$4,$DE$6:$DF$17,2)+1))*(VLOOKUP($A31,CURVES!$D$9:$K$261,2))*(INDEX(DailyScalarsTable,S$5/100,MONTH($A31)))*$B31</f>
        <v>-52255.855947133328</v>
      </c>
      <c r="T31" s="1021">
        <f>(VLOOKUP(YEAR($A31),'NY East Load Projections'!$A$4:$EO$14,((MONTH($A31)-1)*12)+VLOOKUP(T$4,$DE$6:$DF$17,2)+1))*(VLOOKUP($A31,CURVES!$D$9:$K$261,2))*(INDEX(DailyScalarsTable,T$5/100,MONTH($A31)))*$B31</f>
        <v>-50452.678387256099</v>
      </c>
      <c r="U31" s="1021">
        <f>(VLOOKUP(YEAR($A31),'NY East Load Projections'!$A$4:$EO$14,((MONTH($A31)-1)*12)+VLOOKUP(U$4,$DE$6:$DF$17,2)+1))*(VLOOKUP($A31,CURVES!$D$9:$K$261,2))*(INDEX(DailyScalarsTable,U$5/100,MONTH($A31)))*$B31</f>
        <v>-48823.649464129914</v>
      </c>
      <c r="V31" s="1021">
        <f>(VLOOKUP(YEAR($A31),'NY East Load Projections'!$A$4:$EO$14,((MONTH($A31)-1)*12)+VLOOKUP(V$4,$DE$6:$DF$17,2)+1))*(VLOOKUP($A31,CURVES!$D$9:$K$261,2))*(INDEX(DailyScalarsTable,V$5/100,MONTH($A31)))*$B31</f>
        <v>-46338.790128491775</v>
      </c>
      <c r="W31" s="1021">
        <f>(VLOOKUP(YEAR($A31),'NY East Load Projections'!$A$4:$EO$14,((MONTH($A31)-1)*12)+VLOOKUP(W$4,$DE$6:$DF$17,2)+1))*(VLOOKUP($A31,CURVES!$D$9:$K$261,2))*(INDEX(DailyScalarsTable,W$5/100,MONTH($A31)))*$B31</f>
        <v>-45406.230092789105</v>
      </c>
      <c r="X31" s="1021">
        <f>(VLOOKUP(YEAR($A31),'NY East Load Projections'!$A$4:$EO$14,((MONTH($A31)-1)*12)+VLOOKUP(X$4,$DE$6:$DF$17,2)+1))*(VLOOKUP($A31,CURVES!$D$9:$K$261,2))*(INDEX(DailyScalarsTable,X$5/100,MONTH($A31)))*$B31</f>
        <v>-47664.918661092743</v>
      </c>
      <c r="Y31" s="1021">
        <f>(VLOOKUP(YEAR($A31),'NY East Load Projections'!$A$4:$EO$14,((MONTH($A31)-1)*12)+VLOOKUP(Y$4,$DE$6:$DF$17,2)+1))*(VLOOKUP($A31,CURVES!$D$9:$K$261,2))*(INDEX(DailyScalarsTable,Y$5/100,MONTH($A31)))*$B31</f>
        <v>-66323.663544608047</v>
      </c>
      <c r="Z31" s="1021">
        <f>(VLOOKUP(YEAR($A31),'NY East Load Projections'!$A$4:$EO$14,((MONTH($A31)-1)*12)+VLOOKUP(Z$4,$DE$6:$DF$17,2)+1))*(VLOOKUP($A31,CURVES!$D$9:$K$261,2))*(INDEX(DailyScalarsTable,Z$5/100,MONTH($A31)))*$B31</f>
        <v>-72774.681371260114</v>
      </c>
      <c r="AA31" s="1021">
        <f>(VLOOKUP(YEAR($A31),'NY East Load Projections'!$A$4:$EO$14,((MONTH($A31)-1)*12)+VLOOKUP(AA$4,$DE$6:$DF$17,2)+1))*(VLOOKUP($A31,CURVES!$D$9:$K$261,2))*(INDEX(DailyScalarsTable,AA$5/100,MONTH($A31)))*$B31</f>
        <v>-69657.998090949026</v>
      </c>
      <c r="AB31" s="1021">
        <f>(VLOOKUP(YEAR($A31),'NY East Load Projections'!$A$4:$EO$14,((MONTH($A31)-1)*12)+VLOOKUP(AB$4,$DE$6:$DF$17,2)+1))*(VLOOKUP($A31,CURVES!$D$9:$K$261,2))*(INDEX(DailyScalarsTable,AB$5/100,MONTH($A31)))*$B31</f>
        <v>-62779.44007609447</v>
      </c>
      <c r="AC31" s="1021">
        <f>(VLOOKUP(YEAR($A31),'NY East Load Projections'!$A$4:$EO$14,((MONTH($A31)-1)*12)+VLOOKUP(AC$4,$DE$6:$DF$17,2)+1))*(VLOOKUP($A31,CURVES!$D$9:$K$261,2))*(INDEX(DailyScalarsTable,AC$5/100,MONTH($A31)))*$B31</f>
        <v>-44650.191814577222</v>
      </c>
      <c r="AD31" s="1021">
        <f>(VLOOKUP(YEAR($A31),'NY East Load Projections'!$A$4:$EO$14,((MONTH($A31)-1)*12)+VLOOKUP(AD$4,$DE$6:$DF$17,2)+1))*(VLOOKUP($A31,CURVES!$D$9:$K$261,2))*(INDEX(DailyScalarsTable,AD$5/100,MONTH($A31)))*$B31</f>
        <v>-36551.739495195587</v>
      </c>
      <c r="AE31" s="1021">
        <f>(VLOOKUP(YEAR($A31),'NY East Load Projections'!$A$4:$EO$14,((MONTH($A31)-1)*12)+VLOOKUP(AE$4,$DE$6:$DF$17,2)+1))*(VLOOKUP($A31,CURVES!$D$9:$K$261,6))*(INDEX(DailyScalarsTable,AE$5/100,MONTH($A31)))*$B31</f>
        <v>-32003.259412321189</v>
      </c>
      <c r="AF31" s="1021"/>
      <c r="AG31" s="1021">
        <f>(VLOOKUP(YEAR($A31),'NY East Load Projections'!$A$4:$EO$14,((MONTH($A31)-1)*12)+VLOOKUP(AG$4,$DE$6:$DF$17,2)+1))*(VLOOKUP($A31,CURVES!$D$9:$T$261,6))*(INDEX(DailyScalarsTable,AG$5/100,MONTH($A31)))*$C31</f>
        <v>-5931.3216544245925</v>
      </c>
      <c r="AH31" s="1021">
        <f>(VLOOKUP(YEAR($A31),'NY East Load Projections'!$A$4:$EO$14,((MONTH($A31)-1)*12)+VLOOKUP(AH$4,$DE$6:$DF$17,2)+1))*(VLOOKUP($A31,CURVES!$D$9:$T$261,6))*(INDEX(DailyScalarsTable,AH$5/100,MONTH($A31)))*$C31</f>
        <v>-5815.7629838334233</v>
      </c>
      <c r="AI31" s="1021">
        <f>(VLOOKUP(YEAR($A31),'NY East Load Projections'!$A$4:$EO$14,((MONTH($A31)-1)*12)+VLOOKUP(AI$4,$DE$6:$DF$17,2)+1))*(VLOOKUP($A31,CURVES!$D$9:$T$261,6))*(INDEX(DailyScalarsTable,AI$5/100,MONTH($A31)))*$C31</f>
        <v>-5329.2777402242227</v>
      </c>
      <c r="AJ31" s="1021">
        <f>(VLOOKUP(YEAR($A31),'NY East Load Projections'!$A$4:$EO$14,((MONTH($A31)-1)*12)+VLOOKUP(AJ$4,$DE$6:$DF$17,2)+1))*(VLOOKUP($A31,CURVES!$D$9:$T$261,6))*(INDEX(DailyScalarsTable,AJ$5/100,MONTH($A31)))*$C31</f>
        <v>-5326.0555762895083</v>
      </c>
      <c r="AK31" s="1021">
        <f>(VLOOKUP(YEAR($A31),'NY East Load Projections'!$A$4:$EO$14,((MONTH($A31)-1)*12)+VLOOKUP(AK$4,$DE$6:$DF$17,2)+1))*(VLOOKUP($A31,CURVES!$D$9:$T$261,6))*(INDEX(DailyScalarsTable,AK$5/100,MONTH($A31)))*$C31</f>
        <v>-5566.7739608021975</v>
      </c>
      <c r="AL31" s="1021">
        <f>(VLOOKUP(YEAR($A31),'NY East Load Projections'!$A$4:$EO$14,((MONTH($A31)-1)*12)+VLOOKUP(AL$4,$DE$6:$DF$17,2)+1))*(VLOOKUP($A31,CURVES!$D$9:$T$261,6))*(INDEX(DailyScalarsTable,AL$5/100,MONTH($A31)))*$C31</f>
        <v>-5940.9611295790965</v>
      </c>
      <c r="AM31" s="1021">
        <f>(VLOOKUP(YEAR($A31),'NY East Load Projections'!$A$4:$EO$14,((MONTH($A31)-1)*12)+VLOOKUP(AM$4,$DE$6:$DF$17,2)+1))*(VLOOKUP($A31,CURVES!$D$9:$T$261,6))*(INDEX(DailyScalarsTable,AM$5/100,MONTH($A31)))*$C31</f>
        <v>-11376.868224675489</v>
      </c>
      <c r="AN31" s="1021">
        <f>(VLOOKUP(YEAR($A31),'NY East Load Projections'!$A$4:$EO$14,((MONTH($A31)-1)*12)+VLOOKUP(AN$4,$DE$6:$DF$17,2)+1))*(VLOOKUP($A31,SatSunCurve,2))*(INDEX(DailyScalarsTable,AN$5/100,MONTH($A31)))*$C31</f>
        <v>-10089.58558913486</v>
      </c>
      <c r="AO31" s="1021">
        <f>(VLOOKUP(YEAR($A31),'NY East Load Projections'!$A$4:$EO$14,((MONTH($A31)-1)*12)+VLOOKUP(AO$4,$DE$6:$DF$17,2)+1))*(VLOOKUP($A31,SatSunCurve,2))*(INDEX(DailyScalarsTable,AO$5/100,MONTH($A31)))*$C31</f>
        <v>-11158.26310779849</v>
      </c>
      <c r="AP31" s="1021">
        <f>(VLOOKUP(YEAR($A31),'NY East Load Projections'!$A$4:$EO$14,((MONTH($A31)-1)*12)+VLOOKUP(AP$4,$DE$6:$DF$17,2)+1))*(VLOOKUP($A31,SatSunCurve,2))*(INDEX(DailyScalarsTable,AP$5/100,MONTH($A31)))*$C31</f>
        <v>-11124.301836852308</v>
      </c>
      <c r="AQ31" s="1021">
        <f>(VLOOKUP(YEAR($A31),'NY East Load Projections'!$A$4:$EO$14,((MONTH($A31)-1)*12)+VLOOKUP(AQ$4,$DE$6:$DF$17,2)+1))*(VLOOKUP($A31,SatSunCurve,2))*(INDEX(DailyScalarsTable,AQ$5/100,MONTH($A31)))*$C31</f>
        <v>-10930.168179104559</v>
      </c>
      <c r="AR31" s="1021">
        <f>(VLOOKUP(YEAR($A31),'NY East Load Projections'!$A$4:$EO$14,((MONTH($A31)-1)*12)+VLOOKUP(AR$4,$DE$6:$DF$17,2)+1))*(VLOOKUP($A31,SatSunCurve,2))*(INDEX(DailyScalarsTable,AR$5/100,MONTH($A31)))*$C31</f>
        <v>-8187.7301050843116</v>
      </c>
      <c r="AS31" s="1021">
        <f>(VLOOKUP(YEAR($A31),'NY East Load Projections'!$A$4:$EO$14,((MONTH($A31)-1)*12)+VLOOKUP(AS$4,$DE$6:$DF$17,2)+1))*(VLOOKUP($A31,SatSunCurve,2))*(INDEX(DailyScalarsTable,AS$5/100,MONTH($A31)))*$C31</f>
        <v>-7783.1045112981683</v>
      </c>
      <c r="AT31" s="1021">
        <f>(VLOOKUP(YEAR($A31),'NY East Load Projections'!$A$4:$EO$14,((MONTH($A31)-1)*12)+VLOOKUP(AT$4,$DE$6:$DF$17,2)+1))*(VLOOKUP($A31,SatSunCurve,2))*(INDEX(DailyScalarsTable,AT$5/100,MONTH($A31)))*$C31</f>
        <v>-7531.801651551059</v>
      </c>
      <c r="AU31" s="1021">
        <f>(VLOOKUP(YEAR($A31),'NY East Load Projections'!$A$4:$EO$14,((MONTH($A31)-1)*12)+VLOOKUP(AU$4,$DE$6:$DF$17,2)+1))*(VLOOKUP($A31,SatSunCurve,2))*(INDEX(DailyScalarsTable,AU$5/100,MONTH($A31)))*$C31</f>
        <v>-7148.473738675938</v>
      </c>
      <c r="AV31" s="1021">
        <f>(VLOOKUP(YEAR($A31),'NY East Load Projections'!$A$4:$EO$14,((MONTH($A31)-1)*12)+VLOOKUP(AV$4,$DE$6:$DF$17,2)+1))*(VLOOKUP($A31,SatSunCurve,2))*(INDEX(DailyScalarsTable,AV$5/100,MONTH($A31)))*$C31</f>
        <v>-7004.6119566467951</v>
      </c>
      <c r="AW31" s="1021">
        <f>(VLOOKUP(YEAR($A31),'NY East Load Projections'!$A$4:$EO$14,((MONTH($A31)-1)*12)+VLOOKUP(AW$4,$DE$6:$DF$17,2)+1))*(VLOOKUP($A31,SatSunCurve,2))*(INDEX(DailyScalarsTable,AW$5/100,MONTH($A31)))*$C31</f>
        <v>-7428.1920708028711</v>
      </c>
      <c r="AX31" s="1021">
        <f>(VLOOKUP(YEAR($A31),'NY East Load Projections'!$A$4:$EO$14,((MONTH($A31)-1)*12)+VLOOKUP(AX$4,$DE$6:$DF$17,2)+1))*(VLOOKUP($A31,SatSunCurve,2))*(INDEX(DailyScalarsTable,AX$5/100,MONTH($A31)))*$C31</f>
        <v>-10336.006553406762</v>
      </c>
      <c r="AY31" s="1021">
        <f>(VLOOKUP(YEAR($A31),'NY East Load Projections'!$A$4:$EO$14,((MONTH($A31)-1)*12)+VLOOKUP(AY$4,$DE$6:$DF$17,2)+1))*(VLOOKUP($A31,SatSunCurve,2))*(INDEX(DailyScalarsTable,AY$5/100,MONTH($A31)))*$C31</f>
        <v>-11341.345507392218</v>
      </c>
      <c r="AZ31" s="1021">
        <f>(VLOOKUP(YEAR($A31),'NY East Load Projections'!$A$4:$EO$14,((MONTH($A31)-1)*12)+VLOOKUP(AZ$4,$DE$6:$DF$17,2)+1))*(VLOOKUP($A31,SatSunCurve,2))*(INDEX(DailyScalarsTable,AZ$5/100,MONTH($A31)))*$C31</f>
        <v>-10855.635625149027</v>
      </c>
      <c r="BA31" s="1021">
        <f>(VLOOKUP(YEAR($A31),'NY East Load Projections'!$A$4:$EO$14,((MONTH($A31)-1)*12)+VLOOKUP(BA$4,$DE$6:$DF$17,2)+1))*(VLOOKUP($A31,SatSunCurve,2))*(INDEX(DailyScalarsTable,BA$5/100,MONTH($A31)))*$C31</f>
        <v>-10080.340644547683</v>
      </c>
      <c r="BB31" s="1021">
        <f>(VLOOKUP(YEAR($A31),'NY East Load Projections'!$A$4:$EO$14,((MONTH($A31)-1)*12)+VLOOKUP(BB$4,$DE$6:$DF$17,2)+1))*(VLOOKUP($A31,SatSunCurve,2))*(INDEX(DailyScalarsTable,BB$5/100,MONTH($A31)))*$C31</f>
        <v>-7169.3717368263151</v>
      </c>
      <c r="BC31" s="1021">
        <f>(VLOOKUP(YEAR($A31),'NY East Load Projections'!$A$4:$EO$14,((MONTH($A31)-1)*12)+VLOOKUP(BC$4,$DE$6:$DF$17,2)+1))*(VLOOKUP($A31,SatSunCurve,2))*(INDEX(DailyScalarsTable,BC$5/100,MONTH($A31)))*$C31</f>
        <v>-5869.0231199217242</v>
      </c>
      <c r="BD31" s="1021">
        <f>(VLOOKUP(YEAR($A31),'NY East Load Projections'!$A$4:$EO$14,((MONTH($A31)-1)*12)+VLOOKUP(BD$4,$DE$6:$DF$17,2)+1))*(VLOOKUP($A31,CURVES!$D$9:$T$261,6))*(INDEX(DailyScalarsTable,BD$5/100,MONTH($A31)))*$C31</f>
        <v>-6811.3638771728683</v>
      </c>
      <c r="BE31" s="1021"/>
      <c r="BF31" s="1021">
        <f>(VLOOKUP(YEAR($A31),'NY East Load Projections'!$A$4:$EO$14,((MONTH($A31)-1)*12)+VLOOKUP(BF$4,$DE$6:$DF$17,2)+1))*(VLOOKUP($A31,CURVES!$D$9:$T$261,6))*(INDEX(DailyScalarsTable,BF$5/100,MONTH($A31)))*$D31</f>
        <v>-5931.3216544245925</v>
      </c>
      <c r="BG31" s="1021">
        <f>(VLOOKUP(YEAR($A31),'NY East Load Projections'!$A$4:$EO$14,((MONTH($A31)-1)*12)+VLOOKUP(BG$4,$DE$6:$DF$17,2)+1))*(VLOOKUP($A31,CURVES!$D$9:$T$261,6))*(INDEX(DailyScalarsTable,BG$5/100,MONTH($A31)))*$D31</f>
        <v>-5815.7629838334233</v>
      </c>
      <c r="BH31" s="1021">
        <f>(VLOOKUP(YEAR($A31),'NY East Load Projections'!$A$4:$EO$14,((MONTH($A31)-1)*12)+VLOOKUP(BH$4,$DE$6:$DF$17,2)+1))*(VLOOKUP($A31,CURVES!$D$9:$T$261,6))*(INDEX(DailyScalarsTable,BH$5/100,MONTH($A31)))*$D31</f>
        <v>-5329.2777402242227</v>
      </c>
      <c r="BI31" s="1021">
        <f>(VLOOKUP(YEAR($A31),'NY East Load Projections'!$A$4:$EO$14,((MONTH($A31)-1)*12)+VLOOKUP(BI$4,$DE$6:$DF$17,2)+1))*(VLOOKUP($A31,CURVES!$D$9:$T$261,6))*(INDEX(DailyScalarsTable,BI$5/100,MONTH($A31)))*$D31</f>
        <v>-5326.0555762895083</v>
      </c>
      <c r="BJ31" s="1021">
        <f>(VLOOKUP(YEAR($A31),'NY East Load Projections'!$A$4:$EO$14,((MONTH($A31)-1)*12)+VLOOKUP(BJ$4,$DE$6:$DF$17,2)+1))*(VLOOKUP($A31,CURVES!$D$9:$T$261,6))*(INDEX(DailyScalarsTable,BJ$5/100,MONTH($A31)))*$D31</f>
        <v>-5566.7739608021975</v>
      </c>
      <c r="BK31" s="1021">
        <f>(VLOOKUP(YEAR($A31),'NY East Load Projections'!$A$4:$EO$14,((MONTH($A31)-1)*12)+VLOOKUP(BK$4,$DE$6:$DF$17,2)+1))*(VLOOKUP($A31,CURVES!$D$9:$T$261,6))*(INDEX(DailyScalarsTable,BK$5/100,MONTH($A31)))*$D31</f>
        <v>-5940.9611295790965</v>
      </c>
      <c r="BL31" s="1021">
        <f>(VLOOKUP(YEAR($A31),'NY East Load Projections'!$A$4:$EO$14,((MONTH($A31)-1)*12)+VLOOKUP(BL$4,$DE$6:$DF$17,2)+1))*(VLOOKUP($A31,CURVES!$D$9:$T$261,6))*(INDEX(DailyScalarsTable,BL$5/100,MONTH($A31)))*$D31</f>
        <v>-11376.868224675489</v>
      </c>
      <c r="BM31" s="1021">
        <f>(VLOOKUP(YEAR($A31),'NY East Load Projections'!$A$4:$EO$14,((MONTH($A31)-1)*12)+VLOOKUP(BM$4,$DE$6:$DF$17,2)+1))*(VLOOKUP($A31,SatSunCurve,6))*(INDEX(DailyScalarsTable,BM$5/100,MONTH($A31)))*$D31</f>
        <v>-8150.1951112107135</v>
      </c>
      <c r="BN31" s="1021">
        <f>(VLOOKUP(YEAR($A31),'NY East Load Projections'!$A$4:$EO$14,((MONTH($A31)-1)*12)+VLOOKUP(BN$4,$DE$6:$DF$17,2)+1))*(VLOOKUP($A31,SatSunCurve,6))*(INDEX(DailyScalarsTable,BN$5/100,MONTH($A31)))*$D31</f>
        <v>-9013.4545792162717</v>
      </c>
      <c r="BO31" s="1021">
        <f>(VLOOKUP(YEAR($A31),'NY East Load Projections'!$A$4:$EO$14,((MONTH($A31)-1)*12)+VLOOKUP(BO$4,$DE$6:$DF$17,2)+1))*(VLOOKUP($A31,SatSunCurve,6))*(INDEX(DailyScalarsTable,BO$5/100,MONTH($A31)))*$D31</f>
        <v>-8986.0212439230818</v>
      </c>
      <c r="BP31" s="1021">
        <f>(VLOOKUP(YEAR($A31),'NY East Load Projections'!$A$4:$EO$14,((MONTH($A31)-1)*12)+VLOOKUP(BP$4,$DE$6:$DF$17,2)+1))*(VLOOKUP($A31,SatSunCurve,6))*(INDEX(DailyScalarsTable,BP$5/100,MONTH($A31)))*$D31</f>
        <v>-8829.2033871023814</v>
      </c>
      <c r="BQ31" s="1021">
        <f>(VLOOKUP(YEAR($A31),'NY East Load Projections'!$A$4:$EO$14,((MONTH($A31)-1)*12)+VLOOKUP(BQ$4,$DE$6:$DF$17,2)+1))*(VLOOKUP($A31,SatSunCurve,6))*(INDEX(DailyScalarsTable,BQ$5/100,MONTH($A31)))*$D31</f>
        <v>-6613.9086967290286</v>
      </c>
      <c r="BR31" s="1021">
        <f>(VLOOKUP(YEAR($A31),'NY East Load Projections'!$A$4:$EO$14,((MONTH($A31)-1)*12)+VLOOKUP(BR$4,$DE$6:$DF$17,2)+1))*(VLOOKUP($A31,SatSunCurve,6))*(INDEX(DailyScalarsTable,BR$5/100,MONTH($A31)))*$D31</f>
        <v>-6287.0590449556366</v>
      </c>
      <c r="BS31" s="1021">
        <f>(VLOOKUP(YEAR($A31),'NY East Load Projections'!$A$4:$EO$14,((MONTH($A31)-1)*12)+VLOOKUP(BS$4,$DE$6:$DF$17,2)+1))*(VLOOKUP($A31,SatSunCurve,6))*(INDEX(DailyScalarsTable,BS$5/100,MONTH($A31)))*$D31</f>
        <v>-6084.0608820628249</v>
      </c>
      <c r="BT31" s="1021">
        <f>(VLOOKUP(YEAR($A31),'NY East Load Projections'!$A$4:$EO$14,((MONTH($A31)-1)*12)+VLOOKUP(BT$4,$DE$6:$DF$17,2)+1))*(VLOOKUP($A31,SatSunCurve,6))*(INDEX(DailyScalarsTable,BT$5/100,MONTH($A31)))*$D31</f>
        <v>-5774.415133592267</v>
      </c>
      <c r="BU31" s="1021">
        <f>(VLOOKUP(YEAR($A31),'NY East Load Projections'!$A$4:$EO$14,((MONTH($A31)-1)*12)+VLOOKUP(BU$4,$DE$6:$DF$17,2)+1))*(VLOOKUP($A31,SatSunCurve,6))*(INDEX(DailyScalarsTable,BU$5/100,MONTH($A31)))*$D31</f>
        <v>-5658.2060403420346</v>
      </c>
      <c r="BV31" s="1021">
        <f>(VLOOKUP(YEAR($A31),'NY East Load Projections'!$A$4:$EO$14,((MONTH($A31)-1)*12)+VLOOKUP(BV$4,$DE$6:$DF$17,2)+1))*(VLOOKUP($A31,SatSunCurve,6))*(INDEX(DailyScalarsTable,BV$5/100,MONTH($A31)))*$D31</f>
        <v>-6000.3668303073382</v>
      </c>
      <c r="BW31" s="1021">
        <f>(VLOOKUP(YEAR($A31),'NY East Load Projections'!$A$4:$EO$14,((MONTH($A31)-1)*12)+VLOOKUP(BW$4,$DE$6:$DF$17,2)+1))*(VLOOKUP($A31,SatSunCurve,6))*(INDEX(DailyScalarsTable,BW$5/100,MONTH($A31)))*$D31</f>
        <v>-8349.2497622234805</v>
      </c>
      <c r="BX31" s="1021">
        <f>(VLOOKUP(YEAR($A31),'NY East Load Projections'!$A$4:$EO$14,((MONTH($A31)-1)*12)+VLOOKUP(BX$4,$DE$6:$DF$17,2)+1))*(VLOOKUP($A31,SatSunCurve,6))*(INDEX(DailyScalarsTable,BX$5/100,MONTH($A31)))*$D31</f>
        <v>-9161.345418233921</v>
      </c>
      <c r="BY31" s="1021">
        <f>(VLOOKUP(YEAR($A31),'NY East Load Projections'!$A$4:$EO$14,((MONTH($A31)-1)*12)+VLOOKUP(BY$4,$DE$6:$DF$17,2)+1))*(VLOOKUP($A31,SatSunCurve,6))*(INDEX(DailyScalarsTable,BY$5/100,MONTH($A31)))*$D31</f>
        <v>-8768.997261537761</v>
      </c>
      <c r="BZ31" s="1021">
        <f>(VLOOKUP(YEAR($A31),'NY East Load Projections'!$A$4:$EO$14,((MONTH($A31)-1)*12)+VLOOKUP(BZ$4,$DE$6:$DF$17,2)+1))*(VLOOKUP($A31,SatSunCurve,6))*(INDEX(DailyScalarsTable,BZ$5/100,MONTH($A31)))*$D31</f>
        <v>-8142.7272026913615</v>
      </c>
      <c r="CA31" s="1021">
        <f>(VLOOKUP(YEAR($A31),'NY East Load Projections'!$A$4:$EO$14,((MONTH($A31)-1)*12)+VLOOKUP(CA$4,$DE$6:$DF$17,2)+1))*(VLOOKUP($A31,SatSunCurve,6))*(INDEX(DailyScalarsTable,CA$5/100,MONTH($A31)))*$D31</f>
        <v>-5791.2961799796158</v>
      </c>
      <c r="CB31" s="1021">
        <f>(VLOOKUP(YEAR($A31),'NY East Load Projections'!$A$4:$EO$14,((MONTH($A31)-1)*12)+VLOOKUP(CB$4,$DE$6:$DF$17,2)+1))*(VLOOKUP($A31,SatSunCurve,6))*(INDEX(DailyScalarsTable,CB$5/100,MONTH($A31)))*$D31</f>
        <v>-4740.8967511093015</v>
      </c>
      <c r="CC31" s="1021">
        <f>(VLOOKUP(YEAR($A31),'NY East Load Projections'!$A$4:$EO$14,((MONTH($A31)-1)*12)+VLOOKUP(CC$4,$DE$6:$DF$17,2)+1))*(VLOOKUP($A31,CURVES!$D$9:$T$261,6))*(INDEX(DailyScalarsTable,CC$5/100,MONTH($A31)))*$D31</f>
        <v>-6811.3638771728683</v>
      </c>
      <c r="CE31" s="1021">
        <f>(VLOOKUP(YEAR($A31),'NY East Load Projections'!$A$4:$EO$14,((MONTH($A31)-1)*12)+VLOOKUP(CE$4,$DE$6:$DF$17,2)+1))*(VLOOKUP($A31,CURVES!$D$9:$T$261,6))*(INDEX(DailyScalarsTable,CE$5/100,MONTH($A31)))*$E31</f>
        <v>0</v>
      </c>
      <c r="CF31" s="1021">
        <f>(VLOOKUP(YEAR($A31),'NY East Load Projections'!$A$4:$EO$14,((MONTH($A31)-1)*12)+VLOOKUP(CF$4,$DE$6:$DF$17,2)+1))*(VLOOKUP($A31,CURVES!$D$9:$T$261,6))*(INDEX(DailyScalarsTable,CF$5/100,MONTH($A31)))*$E31</f>
        <v>0</v>
      </c>
      <c r="CG31" s="1021">
        <f>(VLOOKUP(YEAR($A31),'NY East Load Projections'!$A$4:$EO$14,((MONTH($A31)-1)*12)+VLOOKUP(CG$4,$DE$6:$DF$17,2)+1))*(VLOOKUP($A31,CURVES!$D$9:$T$261,6))*(INDEX(DailyScalarsTable,CG$5/100,MONTH($A31)))*$E31</f>
        <v>0</v>
      </c>
      <c r="CH31" s="1021">
        <f>(VLOOKUP(YEAR($A31),'NY East Load Projections'!$A$4:$EO$14,((MONTH($A31)-1)*12)+VLOOKUP(CH$4,$DE$6:$DF$17,2)+1))*(VLOOKUP($A31,CURVES!$D$9:$T$261,6))*(INDEX(DailyScalarsTable,CH$5/100,MONTH($A31)))*$E31</f>
        <v>0</v>
      </c>
      <c r="CI31" s="1021">
        <f>(VLOOKUP(YEAR($A31),'NY East Load Projections'!$A$4:$EO$14,((MONTH($A31)-1)*12)+VLOOKUP(CI$4,$DE$6:$DF$17,2)+1))*(VLOOKUP($A31,CURVES!$D$9:$T$261,6))*(INDEX(DailyScalarsTable,CI$5/100,MONTH($A31)))*$E31</f>
        <v>0</v>
      </c>
      <c r="CJ31" s="1021">
        <f>(VLOOKUP(YEAR($A31),'NY East Load Projections'!$A$4:$EO$14,((MONTH($A31)-1)*12)+VLOOKUP(CJ$4,$DE$6:$DF$17,2)+1))*(VLOOKUP($A31,CURVES!$D$9:$T$261,6))*(INDEX(DailyScalarsTable,CJ$5/100,MONTH($A31)))*$E31</f>
        <v>0</v>
      </c>
      <c r="CK31" s="1021">
        <f>(VLOOKUP(YEAR($A31),'NY East Load Projections'!$A$4:$EO$14,((MONTH($A31)-1)*12)+VLOOKUP(CK$4,$DE$6:$DF$17,2)+1))*(VLOOKUP($A31,CURVES!$D$9:$T$261,6))*(INDEX(DailyScalarsTable,CK$5/100,MONTH($A31)))*$E31</f>
        <v>0</v>
      </c>
      <c r="CL31" s="1021">
        <f>(VLOOKUP(YEAR($A31),'NY East Load Projections'!$A$4:$EO$14,((MONTH($A31)-1)*12)+VLOOKUP(CL$4,$DE$6:$DF$17,2)+1))*(VLOOKUP($A31,SatSunCurve,6))*(INDEX(DailyScalarsTable,CL$5/100,MONTH($A31)))*$E31</f>
        <v>0</v>
      </c>
      <c r="CM31" s="1021">
        <f>(VLOOKUP(YEAR($A31),'NY East Load Projections'!$A$4:$EO$14,((MONTH($A31)-1)*12)+VLOOKUP(CM$4,$DE$6:$DF$17,2)+1))*(VLOOKUP($A31,SatSunCurve,6))*(INDEX(DailyScalarsTable,CM$5/100,MONTH($A31)))*$E31</f>
        <v>0</v>
      </c>
      <c r="CN31" s="1021">
        <f>(VLOOKUP(YEAR($A31),'NY East Load Projections'!$A$4:$EO$14,((MONTH($A31)-1)*12)+VLOOKUP(CN$4,$DE$6:$DF$17,2)+1))*(VLOOKUP($A31,SatSunCurve,6))*(INDEX(DailyScalarsTable,CN$5/100,MONTH($A31)))*$E31</f>
        <v>0</v>
      </c>
      <c r="CO31" s="1021">
        <f>(VLOOKUP(YEAR($A31),'NY East Load Projections'!$A$4:$EO$14,((MONTH($A31)-1)*12)+VLOOKUP(CO$4,$DE$6:$DF$17,2)+1))*(VLOOKUP($A31,SatSunCurve,6))*(INDEX(DailyScalarsTable,CO$5/100,MONTH($A31)))*$E31</f>
        <v>0</v>
      </c>
      <c r="CP31" s="1021">
        <f>(VLOOKUP(YEAR($A31),'NY East Load Projections'!$A$4:$EO$14,((MONTH($A31)-1)*12)+VLOOKUP(CP$4,$DE$6:$DF$17,2)+1))*(VLOOKUP($A31,SatSunCurve,6))*(INDEX(DailyScalarsTable,CP$5/100,MONTH($A31)))*$E31</f>
        <v>0</v>
      </c>
      <c r="CQ31" s="1021">
        <f>(VLOOKUP(YEAR($A31),'NY East Load Projections'!$A$4:$EO$14,((MONTH($A31)-1)*12)+VLOOKUP(CQ$4,$DE$6:$DF$17,2)+1))*(VLOOKUP($A31,SatSunCurve,6))*(INDEX(DailyScalarsTable,CQ$5/100,MONTH($A31)))*$E31</f>
        <v>0</v>
      </c>
      <c r="CR31" s="1021">
        <f>(VLOOKUP(YEAR($A31),'NY East Load Projections'!$A$4:$EO$14,((MONTH($A31)-1)*12)+VLOOKUP(CR$4,$DE$6:$DF$17,2)+1))*(VLOOKUP($A31,SatSunCurve,6))*(INDEX(DailyScalarsTable,CR$5/100,MONTH($A31)))*$E31</f>
        <v>0</v>
      </c>
      <c r="CS31" s="1021">
        <f>(VLOOKUP(YEAR($A31),'NY East Load Projections'!$A$4:$EO$14,((MONTH($A31)-1)*12)+VLOOKUP(CS$4,$DE$6:$DF$17,2)+1))*(VLOOKUP($A31,SatSunCurve,6))*(INDEX(DailyScalarsTable,CS$5/100,MONTH($A31)))*$E31</f>
        <v>0</v>
      </c>
      <c r="CT31" s="1021">
        <f>(VLOOKUP(YEAR($A31),'NY East Load Projections'!$A$4:$EO$14,((MONTH($A31)-1)*12)+VLOOKUP(CT$4,$DE$6:$DF$17,2)+1))*(VLOOKUP($A31,SatSunCurve,6))*(INDEX(DailyScalarsTable,CT$5/100,MONTH($A31)))*$E31</f>
        <v>0</v>
      </c>
      <c r="CU31" s="1021">
        <f>(VLOOKUP(YEAR($A31),'NY East Load Projections'!$A$4:$EO$14,((MONTH($A31)-1)*12)+VLOOKUP(CU$4,$DE$6:$DF$17,2)+1))*(VLOOKUP($A31,SatSunCurve,6))*(INDEX(DailyScalarsTable,CU$5/100,MONTH($A31)))*$E31</f>
        <v>0</v>
      </c>
      <c r="CV31" s="1021">
        <f>(VLOOKUP(YEAR($A31),'NY East Load Projections'!$A$4:$EO$14,((MONTH($A31)-1)*12)+VLOOKUP(CV$4,$DE$6:$DF$17,2)+1))*(VLOOKUP($A31,SatSunCurve,6))*(INDEX(DailyScalarsTable,CV$5/100,MONTH($A31)))*$E31</f>
        <v>0</v>
      </c>
      <c r="CW31" s="1021">
        <f>(VLOOKUP(YEAR($A31),'NY East Load Projections'!$A$4:$EO$14,((MONTH($A31)-1)*12)+VLOOKUP(CW$4,$DE$6:$DF$17,2)+1))*(VLOOKUP($A31,SatSunCurve,6))*(INDEX(DailyScalarsTable,CW$5/100,MONTH($A31)))*$E31</f>
        <v>0</v>
      </c>
      <c r="CX31" s="1021">
        <f>(VLOOKUP(YEAR($A31),'NY East Load Projections'!$A$4:$EO$14,((MONTH($A31)-1)*12)+VLOOKUP(CX$4,$DE$6:$DF$17,2)+1))*(VLOOKUP($A31,SatSunCurve,6))*(INDEX(DailyScalarsTable,CX$5/100,MONTH($A31)))*$E31</f>
        <v>0</v>
      </c>
      <c r="CY31" s="1021">
        <f>(VLOOKUP(YEAR($A31),'NY East Load Projections'!$A$4:$EO$14,((MONTH($A31)-1)*12)+VLOOKUP(CY$4,$DE$6:$DF$17,2)+1))*(VLOOKUP($A31,SatSunCurve,6))*(INDEX(DailyScalarsTable,CY$5/100,MONTH($A31)))*$E31</f>
        <v>0</v>
      </c>
      <c r="CZ31" s="1021">
        <f>(VLOOKUP(YEAR($A31),'NY East Load Projections'!$A$4:$EO$14,((MONTH($A31)-1)*12)+VLOOKUP(CZ$4,$DE$6:$DF$17,2)+1))*(VLOOKUP($A31,SatSunCurve,6))*(INDEX(DailyScalarsTable,CZ$5/100,MONTH($A31)))*$E31</f>
        <v>0</v>
      </c>
      <c r="DA31" s="1021">
        <f>(VLOOKUP(YEAR($A31),'NY East Load Projections'!$A$4:$EO$14,((MONTH($A31)-1)*12)+VLOOKUP(DA$4,$DE$6:$DF$17,2)+1))*(VLOOKUP($A31,SatSunCurve,6))*(INDEX(DailyScalarsTable,DA$5/100,MONTH($A31)))*$E31</f>
        <v>0</v>
      </c>
      <c r="DB31" s="1021">
        <f>(VLOOKUP(YEAR($A31),'NY East Load Projections'!$A$4:$EO$14,((MONTH($A31)-1)*12)+VLOOKUP(DB$4,$DE$6:$DF$17,2)+1))*(VLOOKUP($A31,CURVES!$D$9:$T$261,6))*(INDEX(DailyScalarsTable,DB$5/100,MONTH($A31)))*$E31</f>
        <v>0</v>
      </c>
      <c r="DH31" s="1021">
        <f t="shared" si="0"/>
        <v>-1534389.1626695232</v>
      </c>
      <c r="DI31">
        <f ca="1">CALC!J51</f>
        <v>0.80634639570016642</v>
      </c>
      <c r="DJ31" s="1029">
        <f t="shared" ca="1" si="1"/>
        <v>-1237249.1709199664</v>
      </c>
    </row>
    <row r="32" spans="1:114" x14ac:dyDescent="0.25">
      <c r="A32" s="244">
        <v>37681</v>
      </c>
      <c r="B32" s="13">
        <v>21</v>
      </c>
      <c r="C32" s="210">
        <v>5</v>
      </c>
      <c r="D32" s="210">
        <v>5</v>
      </c>
      <c r="E32" s="210">
        <v>0</v>
      </c>
      <c r="F32" s="13">
        <v>31</v>
      </c>
      <c r="H32" s="1021">
        <f>(VLOOKUP(YEAR($A32),'NY East Load Projections'!$A$4:$EO$14,((MONTH($A32)-1)*12)+VLOOKUP(H$4,$DE$6:$DF$17,2)+1))*(VLOOKUP($A32,CURVES!$D$9:$K$261,6))*(INDEX(DailyScalarsTable,H$5/100,MONTH($A32)))*$B32</f>
        <v>-25080.389488291486</v>
      </c>
      <c r="I32" s="1021">
        <f>(VLOOKUP(YEAR($A32),'NY East Load Projections'!$A$4:$EO$14,((MONTH($A32)-1)*12)+VLOOKUP(I$4,$DE$6:$DF$17,2)+1))*(VLOOKUP($A32,CURVES!$D$9:$K$261,6))*(INDEX(DailyScalarsTable,I$5/100,MONTH($A32)))*$B32</f>
        <v>-23714.620733483895</v>
      </c>
      <c r="J32" s="1021">
        <f>(VLOOKUP(YEAR($A32),'NY East Load Projections'!$A$4:$EO$14,((MONTH($A32)-1)*12)+VLOOKUP(J$4,$DE$6:$DF$17,2)+1))*(VLOOKUP($A32,CURVES!$D$9:$K$261,6))*(INDEX(DailyScalarsTable,J$5/100,MONTH($A32)))*$B32</f>
        <v>-22703.939725541222</v>
      </c>
      <c r="K32" s="1021">
        <f>(VLOOKUP(YEAR($A32),'NY East Load Projections'!$A$4:$EO$14,((MONTH($A32)-1)*12)+VLOOKUP(K$4,$DE$6:$DF$17,2)+1))*(VLOOKUP($A32,CURVES!$D$9:$K$261,6))*(INDEX(DailyScalarsTable,K$5/100,MONTH($A32)))*$B32</f>
        <v>-22718.191752955969</v>
      </c>
      <c r="L32" s="1021">
        <f>(VLOOKUP(YEAR($A32),'NY East Load Projections'!$A$4:$EO$14,((MONTH($A32)-1)*12)+VLOOKUP(L$4,$DE$6:$DF$17,2)+1))*(VLOOKUP($A32,CURVES!$D$9:$K$261,6))*(INDEX(DailyScalarsTable,L$5/100,MONTH($A32)))*$B32</f>
        <v>-26174.41492014394</v>
      </c>
      <c r="M32" s="1021">
        <f>(VLOOKUP(YEAR($A32),'NY East Load Projections'!$A$4:$EO$14,((MONTH($A32)-1)*12)+VLOOKUP(M$4,$DE$6:$DF$17,2)+1))*(VLOOKUP($A32,CURVES!$D$9:$K$261,6))*(INDEX(DailyScalarsTable,M$5/100,MONTH($A32)))*$B32</f>
        <v>-30382.562136645935</v>
      </c>
      <c r="N32" s="1021">
        <f>(VLOOKUP(YEAR($A32),'NY East Load Projections'!$A$4:$EO$14,((MONTH($A32)-1)*12)+VLOOKUP(N$4,$DE$6:$DF$17,2)+1))*(VLOOKUP($A32,CURVES!$D$9:$K$261,6))*(INDEX(DailyScalarsTable,N$5/100,MONTH($A32)))*$B32</f>
        <v>-54821.89255470912</v>
      </c>
      <c r="O32" s="1021">
        <f>(VLOOKUP(YEAR($A32),'NY East Load Projections'!$A$4:$EO$14,((MONTH($A32)-1)*12)+VLOOKUP(O$4,$DE$6:$DF$17,2)+1))*(VLOOKUP($A32,CURVES!$D$9:$K$261,2))*(INDEX(DailyScalarsTable,O$5/100,MONTH($A32)))*$B32</f>
        <v>-58056.632394972083</v>
      </c>
      <c r="P32" s="1021">
        <f>(VLOOKUP(YEAR($A32),'NY East Load Projections'!$A$4:$EO$14,((MONTH($A32)-1)*12)+VLOOKUP(P$4,$DE$6:$DF$17,2)+1))*(VLOOKUP($A32,CURVES!$D$9:$K$261,2))*(INDEX(DailyScalarsTable,P$5/100,MONTH($A32)))*$B32</f>
        <v>-64097.272448076917</v>
      </c>
      <c r="Q32" s="1021">
        <f>(VLOOKUP(YEAR($A32),'NY East Load Projections'!$A$4:$EO$14,((MONTH($A32)-1)*12)+VLOOKUP(Q$4,$DE$6:$DF$17,2)+1))*(VLOOKUP($A32,CURVES!$D$9:$K$261,2))*(INDEX(DailyScalarsTable,Q$5/100,MONTH($A32)))*$B32</f>
        <v>-63903.33213809786</v>
      </c>
      <c r="R32" s="1021">
        <f>(VLOOKUP(YEAR($A32),'NY East Load Projections'!$A$4:$EO$14,((MONTH($A32)-1)*12)+VLOOKUP(R$4,$DE$6:$DF$17,2)+1))*(VLOOKUP($A32,CURVES!$D$9:$K$261,2))*(INDEX(DailyScalarsTable,R$5/100,MONTH($A32)))*$B32</f>
        <v>-62777.400894052807</v>
      </c>
      <c r="S32" s="1021">
        <f>(VLOOKUP(YEAR($A32),'NY East Load Projections'!$A$4:$EO$14,((MONTH($A32)-1)*12)+VLOOKUP(S$4,$DE$6:$DF$17,2)+1))*(VLOOKUP($A32,CURVES!$D$9:$K$261,2))*(INDEX(DailyScalarsTable,S$5/100,MONTH($A32)))*$B32</f>
        <v>-47967.903334819035</v>
      </c>
      <c r="T32" s="1021">
        <f>(VLOOKUP(YEAR($A32),'NY East Load Projections'!$A$4:$EO$14,((MONTH($A32)-1)*12)+VLOOKUP(T$4,$DE$6:$DF$17,2)+1))*(VLOOKUP($A32,CURVES!$D$9:$K$261,2))*(INDEX(DailyScalarsTable,T$5/100,MONTH($A32)))*$B32</f>
        <v>-47175.50870486346</v>
      </c>
      <c r="U32" s="1021">
        <f>(VLOOKUP(YEAR($A32),'NY East Load Projections'!$A$4:$EO$14,((MONTH($A32)-1)*12)+VLOOKUP(U$4,$DE$6:$DF$17,2)+1))*(VLOOKUP($A32,CURVES!$D$9:$K$261,2))*(INDEX(DailyScalarsTable,U$5/100,MONTH($A32)))*$B32</f>
        <v>-45669.907363218881</v>
      </c>
      <c r="V32" s="1021">
        <f>(VLOOKUP(YEAR($A32),'NY East Load Projections'!$A$4:$EO$14,((MONTH($A32)-1)*12)+VLOOKUP(V$4,$DE$6:$DF$17,2)+1))*(VLOOKUP($A32,CURVES!$D$9:$K$261,2))*(INDEX(DailyScalarsTable,V$5/100,MONTH($A32)))*$B32</f>
        <v>-43373.319809478424</v>
      </c>
      <c r="W32" s="1021">
        <f>(VLOOKUP(YEAR($A32),'NY East Load Projections'!$A$4:$EO$14,((MONTH($A32)-1)*12)+VLOOKUP(W$4,$DE$6:$DF$17,2)+1))*(VLOOKUP($A32,CURVES!$D$9:$K$261,2))*(INDEX(DailyScalarsTable,W$5/100,MONTH($A32)))*$B32</f>
        <v>-42511.417592160149</v>
      </c>
      <c r="X32" s="1021">
        <f>(VLOOKUP(YEAR($A32),'NY East Load Projections'!$A$4:$EO$14,((MONTH($A32)-1)*12)+VLOOKUP(X$4,$DE$6:$DF$17,2)+1))*(VLOOKUP($A32,CURVES!$D$9:$K$261,2))*(INDEX(DailyScalarsTable,X$5/100,MONTH($A32)))*$B32</f>
        <v>-44641.850291184797</v>
      </c>
      <c r="Y32" s="1021">
        <f>(VLOOKUP(YEAR($A32),'NY East Load Projections'!$A$4:$EO$14,((MONTH($A32)-1)*12)+VLOOKUP(Y$4,$DE$6:$DF$17,2)+1))*(VLOOKUP($A32,CURVES!$D$9:$K$261,2))*(INDEX(DailyScalarsTable,Y$5/100,MONTH($A32)))*$B32</f>
        <v>-60862.353098257241</v>
      </c>
      <c r="Z32" s="1021">
        <f>(VLOOKUP(YEAR($A32),'NY East Load Projections'!$A$4:$EO$14,((MONTH($A32)-1)*12)+VLOOKUP(Z$4,$DE$6:$DF$17,2)+1))*(VLOOKUP($A32,CURVES!$D$9:$K$261,2))*(INDEX(DailyScalarsTable,Z$5/100,MONTH($A32)))*$B32</f>
        <v>-66831.41405997875</v>
      </c>
      <c r="AA32" s="1021">
        <f>(VLOOKUP(YEAR($A32),'NY East Load Projections'!$A$4:$EO$14,((MONTH($A32)-1)*12)+VLOOKUP(AA$4,$DE$6:$DF$17,2)+1))*(VLOOKUP($A32,CURVES!$D$9:$K$261,2))*(INDEX(DailyScalarsTable,AA$5/100,MONTH($A32)))*$B32</f>
        <v>-63946.718225484816</v>
      </c>
      <c r="AB32" s="1021">
        <f>(VLOOKUP(YEAR($A32),'NY East Load Projections'!$A$4:$EO$14,((MONTH($A32)-1)*12)+VLOOKUP(AB$4,$DE$6:$DF$17,2)+1))*(VLOOKUP($A32,CURVES!$D$9:$K$261,2))*(INDEX(DailyScalarsTable,AB$5/100,MONTH($A32)))*$B32</f>
        <v>-57421.505296263931</v>
      </c>
      <c r="AC32" s="1021">
        <f>(VLOOKUP(YEAR($A32),'NY East Load Projections'!$A$4:$EO$14,((MONTH($A32)-1)*12)+VLOOKUP(AC$4,$DE$6:$DF$17,2)+1))*(VLOOKUP($A32,CURVES!$D$9:$K$261,2))*(INDEX(DailyScalarsTable,AC$5/100,MONTH($A32)))*$B32</f>
        <v>-41695.905732113752</v>
      </c>
      <c r="AD32" s="1021">
        <f>(VLOOKUP(YEAR($A32),'NY East Load Projections'!$A$4:$EO$14,((MONTH($A32)-1)*12)+VLOOKUP(AD$4,$DE$6:$DF$17,2)+1))*(VLOOKUP($A32,CURVES!$D$9:$K$261,2))*(INDEX(DailyScalarsTable,AD$5/100,MONTH($A32)))*$B32</f>
        <v>-34224.240122871481</v>
      </c>
      <c r="AE32" s="1021">
        <f>(VLOOKUP(YEAR($A32),'NY East Load Projections'!$A$4:$EO$14,((MONTH($A32)-1)*12)+VLOOKUP(AE$4,$DE$6:$DF$17,2)+1))*(VLOOKUP($A32,CURVES!$D$9:$K$261,6))*(INDEX(DailyScalarsTable,AE$5/100,MONTH($A32)))*$B32</f>
        <v>-31295.608457538281</v>
      </c>
      <c r="AF32" s="1021"/>
      <c r="AG32" s="1021">
        <f>(VLOOKUP(YEAR($A32),'NY East Load Projections'!$A$4:$EO$14,((MONTH($A32)-1)*12)+VLOOKUP(AG$4,$DE$6:$DF$17,2)+1))*(VLOOKUP($A32,CURVES!$D$9:$T$261,6))*(INDEX(DailyScalarsTable,AG$5/100,MONTH($A32)))*$C32</f>
        <v>-6527.1277650208795</v>
      </c>
      <c r="AH32" s="1021">
        <f>(VLOOKUP(YEAR($A32),'NY East Load Projections'!$A$4:$EO$14,((MONTH($A32)-1)*12)+VLOOKUP(AH$4,$DE$6:$DF$17,2)+1))*(VLOOKUP($A32,CURVES!$D$9:$T$261,6))*(INDEX(DailyScalarsTable,AH$5/100,MONTH($A32)))*$C32</f>
        <v>-6171.688820810532</v>
      </c>
      <c r="AI32" s="1021">
        <f>(VLOOKUP(YEAR($A32),'NY East Load Projections'!$A$4:$EO$14,((MONTH($A32)-1)*12)+VLOOKUP(AI$4,$DE$6:$DF$17,2)+1))*(VLOOKUP($A32,CURVES!$D$9:$T$261,6))*(INDEX(DailyScalarsTable,AI$5/100,MONTH($A32)))*$C32</f>
        <v>-5908.6608454435</v>
      </c>
      <c r="AJ32" s="1021">
        <f>(VLOOKUP(YEAR($A32),'NY East Load Projections'!$A$4:$EO$14,((MONTH($A32)-1)*12)+VLOOKUP(AJ$4,$DE$6:$DF$17,2)+1))*(VLOOKUP($A32,CURVES!$D$9:$T$261,6))*(INDEX(DailyScalarsTable,AJ$5/100,MONTH($A32)))*$C32</f>
        <v>-5912.369910802714</v>
      </c>
      <c r="AK32" s="1021">
        <f>(VLOOKUP(YEAR($A32),'NY East Load Projections'!$A$4:$EO$14,((MONTH($A32)-1)*12)+VLOOKUP(AK$4,$DE$6:$DF$17,2)+1))*(VLOOKUP($A32,CURVES!$D$9:$T$261,6))*(INDEX(DailyScalarsTable,AK$5/100,MONTH($A32)))*$C32</f>
        <v>-6450.241101858699</v>
      </c>
      <c r="AL32" s="1021">
        <f>(VLOOKUP(YEAR($A32),'NY East Load Projections'!$A$4:$EO$14,((MONTH($A32)-1)*12)+VLOOKUP(AL$4,$DE$6:$DF$17,2)+1))*(VLOOKUP($A32,CURVES!$D$9:$T$261,6))*(INDEX(DailyScalarsTable,AL$5/100,MONTH($A32)))*$C32</f>
        <v>-7487.2676876053638</v>
      </c>
      <c r="AM32" s="1021">
        <f>(VLOOKUP(YEAR($A32),'NY East Load Projections'!$A$4:$EO$14,((MONTH($A32)-1)*12)+VLOOKUP(AM$4,$DE$6:$DF$17,2)+1))*(VLOOKUP($A32,CURVES!$D$9:$T$261,6))*(INDEX(DailyScalarsTable,AM$5/100,MONTH($A32)))*$C32</f>
        <v>-13509.926610276321</v>
      </c>
      <c r="AN32" s="1021">
        <f>(VLOOKUP(YEAR($A32),'NY East Load Projections'!$A$4:$EO$14,((MONTH($A32)-1)*12)+VLOOKUP(AN$4,$DE$6:$DF$17,2)+1))*(VLOOKUP($A32,SatSunCurve,2))*(INDEX(DailyScalarsTable,AN$5/100,MONTH($A32)))*$C32</f>
        <v>-9034.5413622366523</v>
      </c>
      <c r="AO32" s="1021">
        <f>(VLOOKUP(YEAR($A32),'NY East Load Projections'!$A$4:$EO$14,((MONTH($A32)-1)*12)+VLOOKUP(AO$4,$DE$6:$DF$17,2)+1))*(VLOOKUP($A32,SatSunCurve,2))*(INDEX(DailyScalarsTable,AO$5/100,MONTH($A32)))*$C32</f>
        <v>-9947.8590351785988</v>
      </c>
      <c r="AP32" s="1021">
        <f>(VLOOKUP(YEAR($A32),'NY East Load Projections'!$A$4:$EO$14,((MONTH($A32)-1)*12)+VLOOKUP(AP$4,$DE$6:$DF$17,2)+1))*(VLOOKUP($A32,SatSunCurve,2))*(INDEX(DailyScalarsTable,AP$5/100,MONTH($A32)))*$C32</f>
        <v>-9917.7596129844114</v>
      </c>
      <c r="AQ32" s="1021">
        <f>(VLOOKUP(YEAR($A32),'NY East Load Projections'!$A$4:$EO$14,((MONTH($A32)-1)*12)+VLOOKUP(AQ$4,$DE$6:$DF$17,2)+1))*(VLOOKUP($A32,SatSunCurve,2))*(INDEX(DailyScalarsTable,AQ$5/100,MONTH($A32)))*$C32</f>
        <v>-9743.0157452459425</v>
      </c>
      <c r="AR32" s="1021">
        <f>(VLOOKUP(YEAR($A32),'NY East Load Projections'!$A$4:$EO$14,((MONTH($A32)-1)*12)+VLOOKUP(AR$4,$DE$6:$DF$17,2)+1))*(VLOOKUP($A32,SatSunCurve,2))*(INDEX(DailyScalarsTable,AR$5/100,MONTH($A32)))*$C32</f>
        <v>-7444.5904226954317</v>
      </c>
      <c r="AS32" s="1021">
        <f>(VLOOKUP(YEAR($A32),'NY East Load Projections'!$A$4:$EO$14,((MONTH($A32)-1)*12)+VLOOKUP(AS$4,$DE$6:$DF$17,2)+1))*(VLOOKUP($A32,SatSunCurve,2))*(INDEX(DailyScalarsTable,AS$5/100,MONTH($A32)))*$C32</f>
        <v>-7133.999898467684</v>
      </c>
      <c r="AT32" s="1021">
        <f>(VLOOKUP(YEAR($A32),'NY East Load Projections'!$A$4:$EO$14,((MONTH($A32)-1)*12)+VLOOKUP(AT$4,$DE$6:$DF$17,2)+1))*(VLOOKUP($A32,SatSunCurve,2))*(INDEX(DailyScalarsTable,AT$5/100,MONTH($A32)))*$C32</f>
        <v>-6906.3190506442479</v>
      </c>
      <c r="AU32" s="1021">
        <f>(VLOOKUP(YEAR($A32),'NY East Load Projections'!$A$4:$EO$14,((MONTH($A32)-1)*12)+VLOOKUP(AU$4,$DE$6:$DF$17,2)+1))*(VLOOKUP($A32,SatSunCurve,2))*(INDEX(DailyScalarsTable,AU$5/100,MONTH($A32)))*$C32</f>
        <v>-6559.0232646527011</v>
      </c>
      <c r="AV32" s="1021">
        <f>(VLOOKUP(YEAR($A32),'NY East Load Projections'!$A$4:$EO$14,((MONTH($A32)-1)*12)+VLOOKUP(AV$4,$DE$6:$DF$17,2)+1))*(VLOOKUP($A32,SatSunCurve,2))*(INDEX(DailyScalarsTable,AV$5/100,MONTH($A32)))*$C32</f>
        <v>-6428.6842285798639</v>
      </c>
      <c r="AW32" s="1021">
        <f>(VLOOKUP(YEAR($A32),'NY East Load Projections'!$A$4:$EO$14,((MONTH($A32)-1)*12)+VLOOKUP(AW$4,$DE$6:$DF$17,2)+1))*(VLOOKUP($A32,SatSunCurve,2))*(INDEX(DailyScalarsTable,AW$5/100,MONTH($A32)))*$C32</f>
        <v>-6844.221414245756</v>
      </c>
      <c r="AX32" s="1021">
        <f>(VLOOKUP(YEAR($A32),'NY East Load Projections'!$A$4:$EO$14,((MONTH($A32)-1)*12)+VLOOKUP(AX$4,$DE$6:$DF$17,2)+1))*(VLOOKUP($A32,SatSunCurve,2))*(INDEX(DailyScalarsTable,AX$5/100,MONTH($A32)))*$C32</f>
        <v>-9331.0518645490338</v>
      </c>
      <c r="AY32" s="1021">
        <f>(VLOOKUP(YEAR($A32),'NY East Load Projections'!$A$4:$EO$14,((MONTH($A32)-1)*12)+VLOOKUP(AY$4,$DE$6:$DF$17,2)+1))*(VLOOKUP($A32,SatSunCurve,2))*(INDEX(DailyScalarsTable,AY$5/100,MONTH($A32)))*$C32</f>
        <v>-10246.192580954774</v>
      </c>
      <c r="AZ32" s="1021">
        <f>(VLOOKUP(YEAR($A32),'NY East Load Projections'!$A$4:$EO$14,((MONTH($A32)-1)*12)+VLOOKUP(AZ$4,$DE$6:$DF$17,2)+1))*(VLOOKUP($A32,SatSunCurve,2))*(INDEX(DailyScalarsTable,AZ$5/100,MONTH($A32)))*$C32</f>
        <v>-9803.9282734664375</v>
      </c>
      <c r="BA32" s="1021">
        <f>(VLOOKUP(YEAR($A32),'NY East Load Projections'!$A$4:$EO$14,((MONTH($A32)-1)*12)+VLOOKUP(BA$4,$DE$6:$DF$17,2)+1))*(VLOOKUP($A32,SatSunCurve,2))*(INDEX(DailyScalarsTable,BA$5/100,MONTH($A32)))*$C32</f>
        <v>-9049.7719774318484</v>
      </c>
      <c r="BB32" s="1021">
        <f>(VLOOKUP(YEAR($A32),'NY East Load Projections'!$A$4:$EO$14,((MONTH($A32)-1)*12)+VLOOKUP(BB$4,$DE$6:$DF$17,2)+1))*(VLOOKUP($A32,SatSunCurve,2))*(INDEX(DailyScalarsTable,BB$5/100,MONTH($A32)))*$C32</f>
        <v>-6571.3783942315786</v>
      </c>
      <c r="BC32" s="1021">
        <f>(VLOOKUP(YEAR($A32),'NY East Load Projections'!$A$4:$EO$14,((MONTH($A32)-1)*12)+VLOOKUP(BC$4,$DE$6:$DF$17,2)+1))*(VLOOKUP($A32,SatSunCurve,2))*(INDEX(DailyScalarsTable,BC$5/100,MONTH($A32)))*$C32</f>
        <v>-5393.8253205809406</v>
      </c>
      <c r="BD32" s="1021">
        <f>(VLOOKUP(YEAR($A32),'NY East Load Projections'!$A$4:$EO$14,((MONTH($A32)-1)*12)+VLOOKUP(BD$4,$DE$6:$DF$17,2)+1))*(VLOOKUP($A32,CURVES!$D$9:$T$261,6))*(INDEX(DailyScalarsTable,BD$5/100,MONTH($A32)))*$C32</f>
        <v>-7810.7216095894637</v>
      </c>
      <c r="BE32" s="1021"/>
      <c r="BF32" s="1021">
        <f>(VLOOKUP(YEAR($A32),'NY East Load Projections'!$A$4:$EO$14,((MONTH($A32)-1)*12)+VLOOKUP(BF$4,$DE$6:$DF$17,2)+1))*(VLOOKUP($A32,CURVES!$D$9:$T$261,6))*(INDEX(DailyScalarsTable,BF$5/100,MONTH($A32)))*$D32</f>
        <v>-6527.1277650208795</v>
      </c>
      <c r="BG32" s="1021">
        <f>(VLOOKUP(YEAR($A32),'NY East Load Projections'!$A$4:$EO$14,((MONTH($A32)-1)*12)+VLOOKUP(BG$4,$DE$6:$DF$17,2)+1))*(VLOOKUP($A32,CURVES!$D$9:$T$261,6))*(INDEX(DailyScalarsTable,BG$5/100,MONTH($A32)))*$D32</f>
        <v>-6171.688820810532</v>
      </c>
      <c r="BH32" s="1021">
        <f>(VLOOKUP(YEAR($A32),'NY East Load Projections'!$A$4:$EO$14,((MONTH($A32)-1)*12)+VLOOKUP(BH$4,$DE$6:$DF$17,2)+1))*(VLOOKUP($A32,CURVES!$D$9:$T$261,6))*(INDEX(DailyScalarsTable,BH$5/100,MONTH($A32)))*$D32</f>
        <v>-5908.6608454435</v>
      </c>
      <c r="BI32" s="1021">
        <f>(VLOOKUP(YEAR($A32),'NY East Load Projections'!$A$4:$EO$14,((MONTH($A32)-1)*12)+VLOOKUP(BI$4,$DE$6:$DF$17,2)+1))*(VLOOKUP($A32,CURVES!$D$9:$T$261,6))*(INDEX(DailyScalarsTable,BI$5/100,MONTH($A32)))*$D32</f>
        <v>-5912.369910802714</v>
      </c>
      <c r="BJ32" s="1021">
        <f>(VLOOKUP(YEAR($A32),'NY East Load Projections'!$A$4:$EO$14,((MONTH($A32)-1)*12)+VLOOKUP(BJ$4,$DE$6:$DF$17,2)+1))*(VLOOKUP($A32,CURVES!$D$9:$T$261,6))*(INDEX(DailyScalarsTable,BJ$5/100,MONTH($A32)))*$D32</f>
        <v>-6450.241101858699</v>
      </c>
      <c r="BK32" s="1021">
        <f>(VLOOKUP(YEAR($A32),'NY East Load Projections'!$A$4:$EO$14,((MONTH($A32)-1)*12)+VLOOKUP(BK$4,$DE$6:$DF$17,2)+1))*(VLOOKUP($A32,CURVES!$D$9:$T$261,6))*(INDEX(DailyScalarsTable,BK$5/100,MONTH($A32)))*$D32</f>
        <v>-7487.2676876053638</v>
      </c>
      <c r="BL32" s="1021">
        <f>(VLOOKUP(YEAR($A32),'NY East Load Projections'!$A$4:$EO$14,((MONTH($A32)-1)*12)+VLOOKUP(BL$4,$DE$6:$DF$17,2)+1))*(VLOOKUP($A32,CURVES!$D$9:$T$261,6))*(INDEX(DailyScalarsTable,BL$5/100,MONTH($A32)))*$D32</f>
        <v>-13509.926610276321</v>
      </c>
      <c r="BM32" s="1021">
        <f>(VLOOKUP(YEAR($A32),'NY East Load Projections'!$A$4:$EO$14,((MONTH($A32)-1)*12)+VLOOKUP(BM$4,$DE$6:$DF$17,2)+1))*(VLOOKUP($A32,SatSunCurve,6))*(INDEX(DailyScalarsTable,BM$5/100,MONTH($A32)))*$D32</f>
        <v>-7579.4366154740928</v>
      </c>
      <c r="BN32" s="1021">
        <f>(VLOOKUP(YEAR($A32),'NY East Load Projections'!$A$4:$EO$14,((MONTH($A32)-1)*12)+VLOOKUP(BN$4,$DE$6:$DF$17,2)+1))*(VLOOKUP($A32,SatSunCurve,6))*(INDEX(DailyScalarsTable,BN$5/100,MONTH($A32)))*$D32</f>
        <v>-8345.655190861964</v>
      </c>
      <c r="BO32" s="1021">
        <f>(VLOOKUP(YEAR($A32),'NY East Load Projections'!$A$4:$EO$14,((MONTH($A32)-1)*12)+VLOOKUP(BO$4,$DE$6:$DF$17,2)+1))*(VLOOKUP($A32,SatSunCurve,6))*(INDEX(DailyScalarsTable,BO$5/100,MONTH($A32)))*$D32</f>
        <v>-8320.4035866536069</v>
      </c>
      <c r="BP32" s="1021">
        <f>(VLOOKUP(YEAR($A32),'NY East Load Projections'!$A$4:$EO$14,((MONTH($A32)-1)*12)+VLOOKUP(BP$4,$DE$6:$DF$17,2)+1))*(VLOOKUP($A32,SatSunCurve,6))*(INDEX(DailyScalarsTable,BP$5/100,MONTH($A32)))*$D32</f>
        <v>-8173.8039955550912</v>
      </c>
      <c r="BQ32" s="1021">
        <f>(VLOOKUP(YEAR($A32),'NY East Load Projections'!$A$4:$EO$14,((MONTH($A32)-1)*12)+VLOOKUP(BQ$4,$DE$6:$DF$17,2)+1))*(VLOOKUP($A32,SatSunCurve,6))*(INDEX(DailyScalarsTable,BQ$5/100,MONTH($A32)))*$D32</f>
        <v>-6245.5634408669466</v>
      </c>
      <c r="BR32" s="1021">
        <f>(VLOOKUP(YEAR($A32),'NY East Load Projections'!$A$4:$EO$14,((MONTH($A32)-1)*12)+VLOOKUP(BR$4,$DE$6:$DF$17,2)+1))*(VLOOKUP($A32,SatSunCurve,6))*(INDEX(DailyScalarsTable,BR$5/100,MONTH($A32)))*$D32</f>
        <v>-5984.9966785528195</v>
      </c>
      <c r="BS32" s="1021">
        <f>(VLOOKUP(YEAR($A32),'NY East Load Projections'!$A$4:$EO$14,((MONTH($A32)-1)*12)+VLOOKUP(BS$4,$DE$6:$DF$17,2)+1))*(VLOOKUP($A32,SatSunCurve,6))*(INDEX(DailyScalarsTable,BS$5/100,MONTH($A32)))*$D32</f>
        <v>-5793.9861462585804</v>
      </c>
      <c r="BT32" s="1021">
        <f>(VLOOKUP(YEAR($A32),'NY East Load Projections'!$A$4:$EO$14,((MONTH($A32)-1)*12)+VLOOKUP(BT$4,$DE$6:$DF$17,2)+1))*(VLOOKUP($A32,SatSunCurve,6))*(INDEX(DailyScalarsTable,BT$5/100,MONTH($A32)))*$D32</f>
        <v>-5502.6258777952662</v>
      </c>
      <c r="BU32" s="1021">
        <f>(VLOOKUP(YEAR($A32),'NY East Load Projections'!$A$4:$EO$14,((MONTH($A32)-1)*12)+VLOOKUP(BU$4,$DE$6:$DF$17,2)+1))*(VLOOKUP($A32,SatSunCurve,6))*(INDEX(DailyScalarsTable,BU$5/100,MONTH($A32)))*$D32</f>
        <v>-5393.2792687282745</v>
      </c>
      <c r="BV32" s="1021">
        <f>(VLOOKUP(YEAR($A32),'NY East Load Projections'!$A$4:$EO$14,((MONTH($A32)-1)*12)+VLOOKUP(BV$4,$DE$6:$DF$17,2)+1))*(VLOOKUP($A32,SatSunCurve,6))*(INDEX(DailyScalarsTable,BV$5/100,MONTH($A32)))*$D32</f>
        <v>-5741.8899655912955</v>
      </c>
      <c r="BW32" s="1021">
        <f>(VLOOKUP(YEAR($A32),'NY East Load Projections'!$A$4:$EO$14,((MONTH($A32)-1)*12)+VLOOKUP(BW$4,$DE$6:$DF$17,2)+1))*(VLOOKUP($A32,SatSunCurve,6))*(INDEX(DailyScalarsTable,BW$5/100,MONTH($A32)))*$D32</f>
        <v>-7828.1910865635573</v>
      </c>
      <c r="BX32" s="1021">
        <f>(VLOOKUP(YEAR($A32),'NY East Load Projections'!$A$4:$EO$14,((MONTH($A32)-1)*12)+VLOOKUP(BX$4,$DE$6:$DF$17,2)+1))*(VLOOKUP($A32,SatSunCurve,6))*(INDEX(DailyScalarsTable,BX$5/100,MONTH($A32)))*$D32</f>
        <v>-8595.9390857292474</v>
      </c>
      <c r="BY32" s="1021">
        <f>(VLOOKUP(YEAR($A32),'NY East Load Projections'!$A$4:$EO$14,((MONTH($A32)-1)*12)+VLOOKUP(BY$4,$DE$6:$DF$17,2)+1))*(VLOOKUP($A32,SatSunCurve,6))*(INDEX(DailyScalarsTable,BY$5/100,MONTH($A32)))*$D32</f>
        <v>-8224.9059417662502</v>
      </c>
      <c r="BZ32" s="1021">
        <f>(VLOOKUP(YEAR($A32),'NY East Load Projections'!$A$4:$EO$14,((MONTH($A32)-1)*12)+VLOOKUP(BZ$4,$DE$6:$DF$17,2)+1))*(VLOOKUP($A32,SatSunCurve,6))*(INDEX(DailyScalarsTable,BZ$5/100,MONTH($A32)))*$D32</f>
        <v>-7592.2141852319974</v>
      </c>
      <c r="CA32" s="1021">
        <f>(VLOOKUP(YEAR($A32),'NY East Load Projections'!$A$4:$EO$14,((MONTH($A32)-1)*12)+VLOOKUP(CA$4,$DE$6:$DF$17,2)+1))*(VLOOKUP($A32,SatSunCurve,6))*(INDEX(DailyScalarsTable,CA$5/100,MONTH($A32)))*$D32</f>
        <v>-5512.9910881323949</v>
      </c>
      <c r="CB32" s="1021">
        <f>(VLOOKUP(YEAR($A32),'NY East Load Projections'!$A$4:$EO$14,((MONTH($A32)-1)*12)+VLOOKUP(CB$4,$DE$6:$DF$17,2)+1))*(VLOOKUP($A32,SatSunCurve,6))*(INDEX(DailyScalarsTable,CB$5/100,MONTH($A32)))*$D32</f>
        <v>-4525.0949099823929</v>
      </c>
      <c r="CC32" s="1021">
        <f>(VLOOKUP(YEAR($A32),'NY East Load Projections'!$A$4:$EO$14,((MONTH($A32)-1)*12)+VLOOKUP(CC$4,$DE$6:$DF$17,2)+1))*(VLOOKUP($A32,CURVES!$D$9:$T$261,6))*(INDEX(DailyScalarsTable,CC$5/100,MONTH($A32)))*$D32</f>
        <v>-7810.7216095894637</v>
      </c>
      <c r="CE32" s="1021">
        <f>(VLOOKUP(YEAR($A32),'NY East Load Projections'!$A$4:$EO$14,((MONTH($A32)-1)*12)+VLOOKUP(CE$4,$DE$6:$DF$17,2)+1))*(VLOOKUP($A32,CURVES!$D$9:$T$261,6))*(INDEX(DailyScalarsTable,CE$5/100,MONTH($A32)))*$E32</f>
        <v>0</v>
      </c>
      <c r="CF32" s="1021">
        <f>(VLOOKUP(YEAR($A32),'NY East Load Projections'!$A$4:$EO$14,((MONTH($A32)-1)*12)+VLOOKUP(CF$4,$DE$6:$DF$17,2)+1))*(VLOOKUP($A32,CURVES!$D$9:$T$261,6))*(INDEX(DailyScalarsTable,CF$5/100,MONTH($A32)))*$E32</f>
        <v>0</v>
      </c>
      <c r="CG32" s="1021">
        <f>(VLOOKUP(YEAR($A32),'NY East Load Projections'!$A$4:$EO$14,((MONTH($A32)-1)*12)+VLOOKUP(CG$4,$DE$6:$DF$17,2)+1))*(VLOOKUP($A32,CURVES!$D$9:$T$261,6))*(INDEX(DailyScalarsTable,CG$5/100,MONTH($A32)))*$E32</f>
        <v>0</v>
      </c>
      <c r="CH32" s="1021">
        <f>(VLOOKUP(YEAR($A32),'NY East Load Projections'!$A$4:$EO$14,((MONTH($A32)-1)*12)+VLOOKUP(CH$4,$DE$6:$DF$17,2)+1))*(VLOOKUP($A32,CURVES!$D$9:$T$261,6))*(INDEX(DailyScalarsTable,CH$5/100,MONTH($A32)))*$E32</f>
        <v>0</v>
      </c>
      <c r="CI32" s="1021">
        <f>(VLOOKUP(YEAR($A32),'NY East Load Projections'!$A$4:$EO$14,((MONTH($A32)-1)*12)+VLOOKUP(CI$4,$DE$6:$DF$17,2)+1))*(VLOOKUP($A32,CURVES!$D$9:$T$261,6))*(INDEX(DailyScalarsTable,CI$5/100,MONTH($A32)))*$E32</f>
        <v>0</v>
      </c>
      <c r="CJ32" s="1021">
        <f>(VLOOKUP(YEAR($A32),'NY East Load Projections'!$A$4:$EO$14,((MONTH($A32)-1)*12)+VLOOKUP(CJ$4,$DE$6:$DF$17,2)+1))*(VLOOKUP($A32,CURVES!$D$9:$T$261,6))*(INDEX(DailyScalarsTable,CJ$5/100,MONTH($A32)))*$E32</f>
        <v>0</v>
      </c>
      <c r="CK32" s="1021">
        <f>(VLOOKUP(YEAR($A32),'NY East Load Projections'!$A$4:$EO$14,((MONTH($A32)-1)*12)+VLOOKUP(CK$4,$DE$6:$DF$17,2)+1))*(VLOOKUP($A32,CURVES!$D$9:$T$261,6))*(INDEX(DailyScalarsTable,CK$5/100,MONTH($A32)))*$E32</f>
        <v>0</v>
      </c>
      <c r="CL32" s="1021">
        <f>(VLOOKUP(YEAR($A32),'NY East Load Projections'!$A$4:$EO$14,((MONTH($A32)-1)*12)+VLOOKUP(CL$4,$DE$6:$DF$17,2)+1))*(VLOOKUP($A32,SatSunCurve,6))*(INDEX(DailyScalarsTable,CL$5/100,MONTH($A32)))*$E32</f>
        <v>0</v>
      </c>
      <c r="CM32" s="1021">
        <f>(VLOOKUP(YEAR($A32),'NY East Load Projections'!$A$4:$EO$14,((MONTH($A32)-1)*12)+VLOOKUP(CM$4,$DE$6:$DF$17,2)+1))*(VLOOKUP($A32,SatSunCurve,6))*(INDEX(DailyScalarsTable,CM$5/100,MONTH($A32)))*$E32</f>
        <v>0</v>
      </c>
      <c r="CN32" s="1021">
        <f>(VLOOKUP(YEAR($A32),'NY East Load Projections'!$A$4:$EO$14,((MONTH($A32)-1)*12)+VLOOKUP(CN$4,$DE$6:$DF$17,2)+1))*(VLOOKUP($A32,SatSunCurve,6))*(INDEX(DailyScalarsTable,CN$5/100,MONTH($A32)))*$E32</f>
        <v>0</v>
      </c>
      <c r="CO32" s="1021">
        <f>(VLOOKUP(YEAR($A32),'NY East Load Projections'!$A$4:$EO$14,((MONTH($A32)-1)*12)+VLOOKUP(CO$4,$DE$6:$DF$17,2)+1))*(VLOOKUP($A32,SatSunCurve,6))*(INDEX(DailyScalarsTable,CO$5/100,MONTH($A32)))*$E32</f>
        <v>0</v>
      </c>
      <c r="CP32" s="1021">
        <f>(VLOOKUP(YEAR($A32),'NY East Load Projections'!$A$4:$EO$14,((MONTH($A32)-1)*12)+VLOOKUP(CP$4,$DE$6:$DF$17,2)+1))*(VLOOKUP($A32,SatSunCurve,6))*(INDEX(DailyScalarsTable,CP$5/100,MONTH($A32)))*$E32</f>
        <v>0</v>
      </c>
      <c r="CQ32" s="1021">
        <f>(VLOOKUP(YEAR($A32),'NY East Load Projections'!$A$4:$EO$14,((MONTH($A32)-1)*12)+VLOOKUP(CQ$4,$DE$6:$DF$17,2)+1))*(VLOOKUP($A32,SatSunCurve,6))*(INDEX(DailyScalarsTable,CQ$5/100,MONTH($A32)))*$E32</f>
        <v>0</v>
      </c>
      <c r="CR32" s="1021">
        <f>(VLOOKUP(YEAR($A32),'NY East Load Projections'!$A$4:$EO$14,((MONTH($A32)-1)*12)+VLOOKUP(CR$4,$DE$6:$DF$17,2)+1))*(VLOOKUP($A32,SatSunCurve,6))*(INDEX(DailyScalarsTable,CR$5/100,MONTH($A32)))*$E32</f>
        <v>0</v>
      </c>
      <c r="CS32" s="1021">
        <f>(VLOOKUP(YEAR($A32),'NY East Load Projections'!$A$4:$EO$14,((MONTH($A32)-1)*12)+VLOOKUP(CS$4,$DE$6:$DF$17,2)+1))*(VLOOKUP($A32,SatSunCurve,6))*(INDEX(DailyScalarsTable,CS$5/100,MONTH($A32)))*$E32</f>
        <v>0</v>
      </c>
      <c r="CT32" s="1021">
        <f>(VLOOKUP(YEAR($A32),'NY East Load Projections'!$A$4:$EO$14,((MONTH($A32)-1)*12)+VLOOKUP(CT$4,$DE$6:$DF$17,2)+1))*(VLOOKUP($A32,SatSunCurve,6))*(INDEX(DailyScalarsTable,CT$5/100,MONTH($A32)))*$E32</f>
        <v>0</v>
      </c>
      <c r="CU32" s="1021">
        <f>(VLOOKUP(YEAR($A32),'NY East Load Projections'!$A$4:$EO$14,((MONTH($A32)-1)*12)+VLOOKUP(CU$4,$DE$6:$DF$17,2)+1))*(VLOOKUP($A32,SatSunCurve,6))*(INDEX(DailyScalarsTable,CU$5/100,MONTH($A32)))*$E32</f>
        <v>0</v>
      </c>
      <c r="CV32" s="1021">
        <f>(VLOOKUP(YEAR($A32),'NY East Load Projections'!$A$4:$EO$14,((MONTH($A32)-1)*12)+VLOOKUP(CV$4,$DE$6:$DF$17,2)+1))*(VLOOKUP($A32,SatSunCurve,6))*(INDEX(DailyScalarsTable,CV$5/100,MONTH($A32)))*$E32</f>
        <v>0</v>
      </c>
      <c r="CW32" s="1021">
        <f>(VLOOKUP(YEAR($A32),'NY East Load Projections'!$A$4:$EO$14,((MONTH($A32)-1)*12)+VLOOKUP(CW$4,$DE$6:$DF$17,2)+1))*(VLOOKUP($A32,SatSunCurve,6))*(INDEX(DailyScalarsTable,CW$5/100,MONTH($A32)))*$E32</f>
        <v>0</v>
      </c>
      <c r="CX32" s="1021">
        <f>(VLOOKUP(YEAR($A32),'NY East Load Projections'!$A$4:$EO$14,((MONTH($A32)-1)*12)+VLOOKUP(CX$4,$DE$6:$DF$17,2)+1))*(VLOOKUP($A32,SatSunCurve,6))*(INDEX(DailyScalarsTable,CX$5/100,MONTH($A32)))*$E32</f>
        <v>0</v>
      </c>
      <c r="CY32" s="1021">
        <f>(VLOOKUP(YEAR($A32),'NY East Load Projections'!$A$4:$EO$14,((MONTH($A32)-1)*12)+VLOOKUP(CY$4,$DE$6:$DF$17,2)+1))*(VLOOKUP($A32,SatSunCurve,6))*(INDEX(DailyScalarsTable,CY$5/100,MONTH($A32)))*$E32</f>
        <v>0</v>
      </c>
      <c r="CZ32" s="1021">
        <f>(VLOOKUP(YEAR($A32),'NY East Load Projections'!$A$4:$EO$14,((MONTH($A32)-1)*12)+VLOOKUP(CZ$4,$DE$6:$DF$17,2)+1))*(VLOOKUP($A32,SatSunCurve,6))*(INDEX(DailyScalarsTable,CZ$5/100,MONTH($A32)))*$E32</f>
        <v>0</v>
      </c>
      <c r="DA32" s="1021">
        <f>(VLOOKUP(YEAR($A32),'NY East Load Projections'!$A$4:$EO$14,((MONTH($A32)-1)*12)+VLOOKUP(DA$4,$DE$6:$DF$17,2)+1))*(VLOOKUP($A32,SatSunCurve,6))*(INDEX(DailyScalarsTable,DA$5/100,MONTH($A32)))*$E32</f>
        <v>0</v>
      </c>
      <c r="DB32" s="1021">
        <f>(VLOOKUP(YEAR($A32),'NY East Load Projections'!$A$4:$EO$14,((MONTH($A32)-1)*12)+VLOOKUP(DB$4,$DE$6:$DF$17,2)+1))*(VLOOKUP($A32,CURVES!$D$9:$T$261,6))*(INDEX(DailyScalarsTable,DB$5/100,MONTH($A32)))*$E32</f>
        <v>0</v>
      </c>
      <c r="DH32" s="1021">
        <f t="shared" si="0"/>
        <v>-1441321.4494879094</v>
      </c>
      <c r="DI32">
        <f ca="1">CALC!J52</f>
        <v>0.8013310793992765</v>
      </c>
      <c r="DJ32" s="1029">
        <f t="shared" ca="1" si="1"/>
        <v>-1154975.6728794763</v>
      </c>
    </row>
    <row r="33" spans="1:114" x14ac:dyDescent="0.25">
      <c r="A33" s="244">
        <v>37712</v>
      </c>
      <c r="B33" s="13">
        <v>22</v>
      </c>
      <c r="C33" s="210">
        <v>4</v>
      </c>
      <c r="D33" s="210">
        <v>4</v>
      </c>
      <c r="E33" s="210">
        <v>0</v>
      </c>
      <c r="F33" s="13">
        <v>30</v>
      </c>
      <c r="H33" s="1021">
        <f>(VLOOKUP(YEAR($A33),'NY East Load Projections'!$A$4:$EO$14,((MONTH($A33)-1)*12)+VLOOKUP(H$4,$DE$6:$DF$17,2)+1))*(VLOOKUP($A33,CURVES!$D$9:$K$261,6))*(INDEX(DailyScalarsTable,H$5/100,MONTH($A33)))*$B33</f>
        <v>-33597.659172243912</v>
      </c>
      <c r="I33" s="1021">
        <f>(VLOOKUP(YEAR($A33),'NY East Load Projections'!$A$4:$EO$14,((MONTH($A33)-1)*12)+VLOOKUP(I$4,$DE$6:$DF$17,2)+1))*(VLOOKUP($A33,CURVES!$D$9:$K$261,6))*(INDEX(DailyScalarsTable,I$5/100,MONTH($A33)))*$B33</f>
        <v>-31866.431979402514</v>
      </c>
      <c r="J33" s="1021">
        <f>(VLOOKUP(YEAR($A33),'NY East Load Projections'!$A$4:$EO$14,((MONTH($A33)-1)*12)+VLOOKUP(J$4,$DE$6:$DF$17,2)+1))*(VLOOKUP($A33,CURVES!$D$9:$K$261,6))*(INDEX(DailyScalarsTable,J$5/100,MONTH($A33)))*$B33</f>
        <v>-30585.308481680368</v>
      </c>
      <c r="K33" s="1021">
        <f>(VLOOKUP(YEAR($A33),'NY East Load Projections'!$A$4:$EO$14,((MONTH($A33)-1)*12)+VLOOKUP(K$4,$DE$6:$DF$17,2)+1))*(VLOOKUP($A33,CURVES!$D$9:$K$261,6))*(INDEX(DailyScalarsTable,K$5/100,MONTH($A33)))*$B33</f>
        <v>-30603.374129563057</v>
      </c>
      <c r="L33" s="1021">
        <f>(VLOOKUP(YEAR($A33),'NY East Load Projections'!$A$4:$EO$14,((MONTH($A33)-1)*12)+VLOOKUP(L$4,$DE$6:$DF$17,2)+1))*(VLOOKUP($A33,CURVES!$D$9:$K$261,6))*(INDEX(DailyScalarsTable,L$5/100,MONTH($A33)))*$B33</f>
        <v>-35978.630062718577</v>
      </c>
      <c r="M33" s="1021">
        <f>(VLOOKUP(YEAR($A33),'NY East Load Projections'!$A$4:$EO$14,((MONTH($A33)-1)*12)+VLOOKUP(M$4,$DE$6:$DF$17,2)+1))*(VLOOKUP($A33,CURVES!$D$9:$K$261,6))*(INDEX(DailyScalarsTable,M$5/100,MONTH($A33)))*$B33</f>
        <v>-41444.33009860196</v>
      </c>
      <c r="N33" s="1021">
        <f>(VLOOKUP(YEAR($A33),'NY East Load Projections'!$A$4:$EO$14,((MONTH($A33)-1)*12)+VLOOKUP(N$4,$DE$6:$DF$17,2)+1))*(VLOOKUP($A33,CURVES!$D$9:$K$261,6))*(INDEX(DailyScalarsTable,N$5/100,MONTH($A33)))*$B33</f>
        <v>-59111.65522029384</v>
      </c>
      <c r="O33" s="1021">
        <f>(VLOOKUP(YEAR($A33),'NY East Load Projections'!$A$4:$EO$14,((MONTH($A33)-1)*12)+VLOOKUP(O$4,$DE$6:$DF$17,2)+1))*(VLOOKUP($A33,CURVES!$D$9:$K$261,2))*(INDEX(DailyScalarsTable,O$5/100,MONTH($A33)))*$B33</f>
        <v>-71758.129034819009</v>
      </c>
      <c r="P33" s="1021">
        <f>(VLOOKUP(YEAR($A33),'NY East Load Projections'!$A$4:$EO$14,((MONTH($A33)-1)*12)+VLOOKUP(P$4,$DE$6:$DF$17,2)+1))*(VLOOKUP($A33,CURVES!$D$9:$K$261,2))*(INDEX(DailyScalarsTable,P$5/100,MONTH($A33)))*$B33</f>
        <v>-80717.313639455795</v>
      </c>
      <c r="Q33" s="1021">
        <f>(VLOOKUP(YEAR($A33),'NY East Load Projections'!$A$4:$EO$14,((MONTH($A33)-1)*12)+VLOOKUP(Q$4,$DE$6:$DF$17,2)+1))*(VLOOKUP($A33,CURVES!$D$9:$K$261,2))*(INDEX(DailyScalarsTable,Q$5/100,MONTH($A33)))*$B33</f>
        <v>-77355.894556430649</v>
      </c>
      <c r="R33" s="1021">
        <f>(VLOOKUP(YEAR($A33),'NY East Load Projections'!$A$4:$EO$14,((MONTH($A33)-1)*12)+VLOOKUP(R$4,$DE$6:$DF$17,2)+1))*(VLOOKUP($A33,CURVES!$D$9:$K$261,2))*(INDEX(DailyScalarsTable,R$5/100,MONTH($A33)))*$B33</f>
        <v>-78950.661957486591</v>
      </c>
      <c r="S33" s="1021">
        <f>(VLOOKUP(YEAR($A33),'NY East Load Projections'!$A$4:$EO$14,((MONTH($A33)-1)*12)+VLOOKUP(S$4,$DE$6:$DF$17,2)+1))*(VLOOKUP($A33,CURVES!$D$9:$K$261,2))*(INDEX(DailyScalarsTable,S$5/100,MONTH($A33)))*$B33</f>
        <v>-79105.47164095816</v>
      </c>
      <c r="T33" s="1021">
        <f>(VLOOKUP(YEAR($A33),'NY East Load Projections'!$A$4:$EO$14,((MONTH($A33)-1)*12)+VLOOKUP(T$4,$DE$6:$DF$17,2)+1))*(VLOOKUP($A33,CURVES!$D$9:$K$261,2))*(INDEX(DailyScalarsTable,T$5/100,MONTH($A33)))*$B33</f>
        <v>-73616.564738344154</v>
      </c>
      <c r="U33" s="1021">
        <f>(VLOOKUP(YEAR($A33),'NY East Load Projections'!$A$4:$EO$14,((MONTH($A33)-1)*12)+VLOOKUP(U$4,$DE$6:$DF$17,2)+1))*(VLOOKUP($A33,CURVES!$D$9:$K$261,2))*(INDEX(DailyScalarsTable,U$5/100,MONTH($A33)))*$B33</f>
        <v>-73695.833893261821</v>
      </c>
      <c r="V33" s="1021">
        <f>(VLOOKUP(YEAR($A33),'NY East Load Projections'!$A$4:$EO$14,((MONTH($A33)-1)*12)+VLOOKUP(V$4,$DE$6:$DF$17,2)+1))*(VLOOKUP($A33,CURVES!$D$9:$K$261,2))*(INDEX(DailyScalarsTable,V$5/100,MONTH($A33)))*$B33</f>
        <v>-69121.537365364202</v>
      </c>
      <c r="W33" s="1021">
        <f>(VLOOKUP(YEAR($A33),'NY East Load Projections'!$A$4:$EO$14,((MONTH($A33)-1)*12)+VLOOKUP(W$4,$DE$6:$DF$17,2)+1))*(VLOOKUP($A33,CURVES!$D$9:$K$261,2))*(INDEX(DailyScalarsTable,W$5/100,MONTH($A33)))*$B33</f>
        <v>-64602.029812189117</v>
      </c>
      <c r="X33" s="1021">
        <f>(VLOOKUP(YEAR($A33),'NY East Load Projections'!$A$4:$EO$14,((MONTH($A33)-1)*12)+VLOOKUP(X$4,$DE$6:$DF$17,2)+1))*(VLOOKUP($A33,CURVES!$D$9:$K$261,2))*(INDEX(DailyScalarsTable,X$5/100,MONTH($A33)))*$B33</f>
        <v>-58925.990791962686</v>
      </c>
      <c r="Y33" s="1021">
        <f>(VLOOKUP(YEAR($A33),'NY East Load Projections'!$A$4:$EO$14,((MONTH($A33)-1)*12)+VLOOKUP(Y$4,$DE$6:$DF$17,2)+1))*(VLOOKUP($A33,CURVES!$D$9:$K$261,2))*(INDEX(DailyScalarsTable,Y$5/100,MONTH($A33)))*$B33</f>
        <v>-58159.628052355074</v>
      </c>
      <c r="Z33" s="1021">
        <f>(VLOOKUP(YEAR($A33),'NY East Load Projections'!$A$4:$EO$14,((MONTH($A33)-1)*12)+VLOOKUP(Z$4,$DE$6:$DF$17,2)+1))*(VLOOKUP($A33,CURVES!$D$9:$K$261,2))*(INDEX(DailyScalarsTable,Z$5/100,MONTH($A33)))*$B33</f>
        <v>-57847.850323297083</v>
      </c>
      <c r="AA33" s="1021">
        <f>(VLOOKUP(YEAR($A33),'NY East Load Projections'!$A$4:$EO$14,((MONTH($A33)-1)*12)+VLOOKUP(AA$4,$DE$6:$DF$17,2)+1))*(VLOOKUP($A33,CURVES!$D$9:$K$261,2))*(INDEX(DailyScalarsTable,AA$5/100,MONTH($A33)))*$B33</f>
        <v>-63450.038259063098</v>
      </c>
      <c r="AB33" s="1021">
        <f>(VLOOKUP(YEAR($A33),'NY East Load Projections'!$A$4:$EO$14,((MONTH($A33)-1)*12)+VLOOKUP(AB$4,$DE$6:$DF$17,2)+1))*(VLOOKUP($A33,CURVES!$D$9:$K$261,2))*(INDEX(DailyScalarsTable,AB$5/100,MONTH($A33)))*$B33</f>
        <v>-70320.385880588816</v>
      </c>
      <c r="AC33" s="1021">
        <f>(VLOOKUP(YEAR($A33),'NY East Load Projections'!$A$4:$EO$14,((MONTH($A33)-1)*12)+VLOOKUP(AC$4,$DE$6:$DF$17,2)+1))*(VLOOKUP($A33,CURVES!$D$9:$K$261,2))*(INDEX(DailyScalarsTable,AC$5/100,MONTH($A33)))*$B33</f>
        <v>-59918.27522919701</v>
      </c>
      <c r="AD33" s="1021">
        <f>(VLOOKUP(YEAR($A33),'NY East Load Projections'!$A$4:$EO$14,((MONTH($A33)-1)*12)+VLOOKUP(AD$4,$DE$6:$DF$17,2)+1))*(VLOOKUP($A33,CURVES!$D$9:$K$261,2))*(INDEX(DailyScalarsTable,AD$5/100,MONTH($A33)))*$B33</f>
        <v>-52934.183027305851</v>
      </c>
      <c r="AE33" s="1021">
        <f>(VLOOKUP(YEAR($A33),'NY East Load Projections'!$A$4:$EO$14,((MONTH($A33)-1)*12)+VLOOKUP(AE$4,$DE$6:$DF$17,2)+1))*(VLOOKUP($A33,CURVES!$D$9:$K$261,6))*(INDEX(DailyScalarsTable,AE$5/100,MONTH($A33)))*$B33</f>
        <v>-39682.648266848875</v>
      </c>
      <c r="AF33" s="1021"/>
      <c r="AG33" s="1021">
        <f>(VLOOKUP(YEAR($A33),'NY East Load Projections'!$A$4:$EO$14,((MONTH($A33)-1)*12)+VLOOKUP(AG$4,$DE$6:$DF$17,2)+1))*(VLOOKUP($A33,CURVES!$D$9:$T$261,6))*(INDEX(DailyScalarsTable,AG$5/100,MONTH($A33)))*$C33</f>
        <v>-6474.5218793628237</v>
      </c>
      <c r="AH33" s="1021">
        <f>(VLOOKUP(YEAR($A33),'NY East Load Projections'!$A$4:$EO$14,((MONTH($A33)-1)*12)+VLOOKUP(AH$4,$DE$6:$DF$17,2)+1))*(VLOOKUP($A33,CURVES!$D$9:$T$261,6))*(INDEX(DailyScalarsTable,AH$5/100,MONTH($A33)))*$C33</f>
        <v>-6140.901364887829</v>
      </c>
      <c r="AI33" s="1021">
        <f>(VLOOKUP(YEAR($A33),'NY East Load Projections'!$A$4:$EO$14,((MONTH($A33)-1)*12)+VLOOKUP(AI$4,$DE$6:$DF$17,2)+1))*(VLOOKUP($A33,CURVES!$D$9:$T$261,6))*(INDEX(DailyScalarsTable,AI$5/100,MONTH($A33)))*$C33</f>
        <v>-5894.0192212943157</v>
      </c>
      <c r="AJ33" s="1021">
        <f>(VLOOKUP(YEAR($A33),'NY East Load Projections'!$A$4:$EO$14,((MONTH($A33)-1)*12)+VLOOKUP(AJ$4,$DE$6:$DF$17,2)+1))*(VLOOKUP($A33,CURVES!$D$9:$T$261,6))*(INDEX(DailyScalarsTable,AJ$5/100,MONTH($A33)))*$C33</f>
        <v>-5897.5006076576237</v>
      </c>
      <c r="AK33" s="1021">
        <f>(VLOOKUP(YEAR($A33),'NY East Load Projections'!$A$4:$EO$14,((MONTH($A33)-1)*12)+VLOOKUP(AK$4,$DE$6:$DF$17,2)+1))*(VLOOKUP($A33,CURVES!$D$9:$T$261,6))*(INDEX(DailyScalarsTable,AK$5/100,MONTH($A33)))*$C33</f>
        <v>-6419.9421099524025</v>
      </c>
      <c r="AL33" s="1021">
        <f>(VLOOKUP(YEAR($A33),'NY East Load Projections'!$A$4:$EO$14,((MONTH($A33)-1)*12)+VLOOKUP(AL$4,$DE$6:$DF$17,2)+1))*(VLOOKUP($A33,CURVES!$D$9:$T$261,6))*(INDEX(DailyScalarsTable,AL$5/100,MONTH($A33)))*$C33</f>
        <v>-7395.228766491784</v>
      </c>
      <c r="AM33" s="1021">
        <f>(VLOOKUP(YEAR($A33),'NY East Load Projections'!$A$4:$EO$14,((MONTH($A33)-1)*12)+VLOOKUP(AM$4,$DE$6:$DF$17,2)+1))*(VLOOKUP($A33,CURVES!$D$9:$T$261,6))*(INDEX(DailyScalarsTable,AM$5/100,MONTH($A33)))*$C33</f>
        <v>-10547.744699456667</v>
      </c>
      <c r="AN33" s="1021">
        <f>(VLOOKUP(YEAR($A33),'NY East Load Projections'!$A$4:$EO$14,((MONTH($A33)-1)*12)+VLOOKUP(AN$4,$DE$6:$DF$17,2)+1))*(VLOOKUP($A33,SatSunCurve,2))*(INDEX(DailyScalarsTable,AN$5/100,MONTH($A33)))*$C33</f>
        <v>-8695.0958488119359</v>
      </c>
      <c r="AO33" s="1021">
        <f>(VLOOKUP(YEAR($A33),'NY East Load Projections'!$A$4:$EO$14,((MONTH($A33)-1)*12)+VLOOKUP(AO$4,$DE$6:$DF$17,2)+1))*(VLOOKUP($A33,SatSunCurve,2))*(INDEX(DailyScalarsTable,AO$5/100,MONTH($A33)))*$C33</f>
        <v>-9489.1945964788665</v>
      </c>
      <c r="AP33" s="1021">
        <f>(VLOOKUP(YEAR($A33),'NY East Load Projections'!$A$4:$EO$14,((MONTH($A33)-1)*12)+VLOOKUP(AP$4,$DE$6:$DF$17,2)+1))*(VLOOKUP($A33,SatSunCurve,2))*(INDEX(DailyScalarsTable,AP$5/100,MONTH($A33)))*$C33</f>
        <v>-9094.0233703696831</v>
      </c>
      <c r="AQ33" s="1021">
        <f>(VLOOKUP(YEAR($A33),'NY East Load Projections'!$A$4:$EO$14,((MONTH($A33)-1)*12)+VLOOKUP(AQ$4,$DE$6:$DF$17,2)+1))*(VLOOKUP($A33,SatSunCurve,2))*(INDEX(DailyScalarsTable,AQ$5/100,MONTH($A33)))*$C33</f>
        <v>-9281.5055538369907</v>
      </c>
      <c r="AR33" s="1021">
        <f>(VLOOKUP(YEAR($A33),'NY East Load Projections'!$A$4:$EO$14,((MONTH($A33)-1)*12)+VLOOKUP(AR$4,$DE$6:$DF$17,2)+1))*(VLOOKUP($A33,SatSunCurve,2))*(INDEX(DailyScalarsTable,AR$5/100,MONTH($A33)))*$C33</f>
        <v>-9299.7051091200447</v>
      </c>
      <c r="AS33" s="1021">
        <f>(VLOOKUP(YEAR($A33),'NY East Load Projections'!$A$4:$EO$14,((MONTH($A33)-1)*12)+VLOOKUP(AS$4,$DE$6:$DF$17,2)+1))*(VLOOKUP($A33,SatSunCurve,2))*(INDEX(DailyScalarsTable,AS$5/100,MONTH($A33)))*$C33</f>
        <v>-8372.1062970227358</v>
      </c>
      <c r="AT33" s="1021">
        <f>(VLOOKUP(YEAR($A33),'NY East Load Projections'!$A$4:$EO$14,((MONTH($A33)-1)*12)+VLOOKUP(AT$4,$DE$6:$DF$17,2)+1))*(VLOOKUP($A33,SatSunCurve,2))*(INDEX(DailyScalarsTable,AT$5/100,MONTH($A33)))*$C33</f>
        <v>-8381.1212489347781</v>
      </c>
      <c r="AU33" s="1021">
        <f>(VLOOKUP(YEAR($A33),'NY East Load Projections'!$A$4:$EO$14,((MONTH($A33)-1)*12)+VLOOKUP(AU$4,$DE$6:$DF$17,2)+1))*(VLOOKUP($A33,SatSunCurve,2))*(INDEX(DailyScalarsTable,AU$5/100,MONTH($A33)))*$C33</f>
        <v>-7860.9054944808931</v>
      </c>
      <c r="AV33" s="1021">
        <f>(VLOOKUP(YEAR($A33),'NY East Load Projections'!$A$4:$EO$14,((MONTH($A33)-1)*12)+VLOOKUP(AV$4,$DE$6:$DF$17,2)+1))*(VLOOKUP($A33,SatSunCurve,2))*(INDEX(DailyScalarsTable,AV$5/100,MONTH($A33)))*$C33</f>
        <v>-7346.9206626721007</v>
      </c>
      <c r="AW33" s="1021">
        <f>(VLOOKUP(YEAR($A33),'NY East Load Projections'!$A$4:$EO$14,((MONTH($A33)-1)*12)+VLOOKUP(AW$4,$DE$6:$DF$17,2)+1))*(VLOOKUP($A33,SatSunCurve,2))*(INDEX(DailyScalarsTable,AW$5/100,MONTH($A33)))*$C33</f>
        <v>-6810.4476105829553</v>
      </c>
      <c r="AX33" s="1021">
        <f>(VLOOKUP(YEAR($A33),'NY East Load Projections'!$A$4:$EO$14,((MONTH($A33)-1)*12)+VLOOKUP(AX$4,$DE$6:$DF$17,2)+1))*(VLOOKUP($A33,SatSunCurve,2))*(INDEX(DailyScalarsTable,AX$5/100,MONTH($A33)))*$C33</f>
        <v>-6721.8742456101545</v>
      </c>
      <c r="AY33" s="1021">
        <f>(VLOOKUP(YEAR($A33),'NY East Load Projections'!$A$4:$EO$14,((MONTH($A33)-1)*12)+VLOOKUP(AY$4,$DE$6:$DF$17,2)+1))*(VLOOKUP($A33,SatSunCurve,2))*(INDEX(DailyScalarsTable,AY$5/100,MONTH($A33)))*$C33</f>
        <v>-6685.8401312684464</v>
      </c>
      <c r="AZ33" s="1021">
        <f>(VLOOKUP(YEAR($A33),'NY East Load Projections'!$A$4:$EO$14,((MONTH($A33)-1)*12)+VLOOKUP(AZ$4,$DE$6:$DF$17,2)+1))*(VLOOKUP($A33,SatSunCurve,2))*(INDEX(DailyScalarsTable,AZ$5/100,MONTH($A33)))*$C33</f>
        <v>-7333.3202487581011</v>
      </c>
      <c r="BA33" s="1021">
        <f>(VLOOKUP(YEAR($A33),'NY East Load Projections'!$A$4:$EO$14,((MONTH($A33)-1)*12)+VLOOKUP(BA$4,$DE$6:$DF$17,2)+1))*(VLOOKUP($A33,SatSunCurve,2))*(INDEX(DailyScalarsTable,BA$5/100,MONTH($A33)))*$C33</f>
        <v>-8865.3653868883703</v>
      </c>
      <c r="BB33" s="1021">
        <f>(VLOOKUP(YEAR($A33),'NY East Load Projections'!$A$4:$EO$14,((MONTH($A33)-1)*12)+VLOOKUP(BB$4,$DE$6:$DF$17,2)+1))*(VLOOKUP($A33,SatSunCurve,2))*(INDEX(DailyScalarsTable,BB$5/100,MONTH($A33)))*$C33</f>
        <v>-7553.9603005165718</v>
      </c>
      <c r="BC33" s="1021">
        <f>(VLOOKUP(YEAR($A33),'NY East Load Projections'!$A$4:$EO$14,((MONTH($A33)-1)*12)+VLOOKUP(BC$4,$DE$6:$DF$17,2)+1))*(VLOOKUP($A33,SatSunCurve,2))*(INDEX(DailyScalarsTable,BC$5/100,MONTH($A33)))*$C33</f>
        <v>-6673.4684134182353</v>
      </c>
      <c r="BD33" s="1021">
        <f>(VLOOKUP(YEAR($A33),'NY East Load Projections'!$A$4:$EO$14,((MONTH($A33)-1)*12)+VLOOKUP(BD$4,$DE$6:$DF$17,2)+1))*(VLOOKUP($A33,CURVES!$D$9:$T$261,6))*(INDEX(DailyScalarsTable,BD$5/100,MONTH($A33)))*$C33</f>
        <v>-7367.1457875822816</v>
      </c>
      <c r="BE33" s="1021"/>
      <c r="BF33" s="1021">
        <f>(VLOOKUP(YEAR($A33),'NY East Load Projections'!$A$4:$EO$14,((MONTH($A33)-1)*12)+VLOOKUP(BF$4,$DE$6:$DF$17,2)+1))*(VLOOKUP($A33,CURVES!$D$9:$T$261,6))*(INDEX(DailyScalarsTable,BF$5/100,MONTH($A33)))*$D33</f>
        <v>-6474.5218793628237</v>
      </c>
      <c r="BG33" s="1021">
        <f>(VLOOKUP(YEAR($A33),'NY East Load Projections'!$A$4:$EO$14,((MONTH($A33)-1)*12)+VLOOKUP(BG$4,$DE$6:$DF$17,2)+1))*(VLOOKUP($A33,CURVES!$D$9:$T$261,6))*(INDEX(DailyScalarsTable,BG$5/100,MONTH($A33)))*$D33</f>
        <v>-6140.901364887829</v>
      </c>
      <c r="BH33" s="1021">
        <f>(VLOOKUP(YEAR($A33),'NY East Load Projections'!$A$4:$EO$14,((MONTH($A33)-1)*12)+VLOOKUP(BH$4,$DE$6:$DF$17,2)+1))*(VLOOKUP($A33,CURVES!$D$9:$T$261,6))*(INDEX(DailyScalarsTable,BH$5/100,MONTH($A33)))*$D33</f>
        <v>-5894.0192212943157</v>
      </c>
      <c r="BI33" s="1021">
        <f>(VLOOKUP(YEAR($A33),'NY East Load Projections'!$A$4:$EO$14,((MONTH($A33)-1)*12)+VLOOKUP(BI$4,$DE$6:$DF$17,2)+1))*(VLOOKUP($A33,CURVES!$D$9:$T$261,6))*(INDEX(DailyScalarsTable,BI$5/100,MONTH($A33)))*$D33</f>
        <v>-5897.5006076576237</v>
      </c>
      <c r="BJ33" s="1021">
        <f>(VLOOKUP(YEAR($A33),'NY East Load Projections'!$A$4:$EO$14,((MONTH($A33)-1)*12)+VLOOKUP(BJ$4,$DE$6:$DF$17,2)+1))*(VLOOKUP($A33,CURVES!$D$9:$T$261,6))*(INDEX(DailyScalarsTable,BJ$5/100,MONTH($A33)))*$D33</f>
        <v>-6419.9421099524025</v>
      </c>
      <c r="BK33" s="1021">
        <f>(VLOOKUP(YEAR($A33),'NY East Load Projections'!$A$4:$EO$14,((MONTH($A33)-1)*12)+VLOOKUP(BK$4,$DE$6:$DF$17,2)+1))*(VLOOKUP($A33,CURVES!$D$9:$T$261,6))*(INDEX(DailyScalarsTable,BK$5/100,MONTH($A33)))*$D33</f>
        <v>-7395.228766491784</v>
      </c>
      <c r="BL33" s="1021">
        <f>(VLOOKUP(YEAR($A33),'NY East Load Projections'!$A$4:$EO$14,((MONTH($A33)-1)*12)+VLOOKUP(BL$4,$DE$6:$DF$17,2)+1))*(VLOOKUP($A33,CURVES!$D$9:$T$261,6))*(INDEX(DailyScalarsTable,BL$5/100,MONTH($A33)))*$D33</f>
        <v>-10547.744699456667</v>
      </c>
      <c r="BM33" s="1021">
        <f>(VLOOKUP(YEAR($A33),'NY East Load Projections'!$A$4:$EO$14,((MONTH($A33)-1)*12)+VLOOKUP(BM$4,$DE$6:$DF$17,2)+1))*(VLOOKUP($A33,SatSunCurve,6))*(INDEX(DailyScalarsTable,BM$5/100,MONTH($A33)))*$D33</f>
        <v>-6927.8493589659029</v>
      </c>
      <c r="BN33" s="1021">
        <f>(VLOOKUP(YEAR($A33),'NY East Load Projections'!$A$4:$EO$14,((MONTH($A33)-1)*12)+VLOOKUP(BN$4,$DE$6:$DF$17,2)+1))*(VLOOKUP($A33,SatSunCurve,6))*(INDEX(DailyScalarsTable,BN$5/100,MONTH($A33)))*$D33</f>
        <v>-7560.550435024963</v>
      </c>
      <c r="BO33" s="1021">
        <f>(VLOOKUP(YEAR($A33),'NY East Load Projections'!$A$4:$EO$14,((MONTH($A33)-1)*12)+VLOOKUP(BO$4,$DE$6:$DF$17,2)+1))*(VLOOKUP($A33,SatSunCurve,6))*(INDEX(DailyScalarsTable,BO$5/100,MONTH($A33)))*$D33</f>
        <v>-7245.6963180509292</v>
      </c>
      <c r="BP33" s="1021">
        <f>(VLOOKUP(YEAR($A33),'NY East Load Projections'!$A$4:$EO$14,((MONTH($A33)-1)*12)+VLOOKUP(BP$4,$DE$6:$DF$17,2)+1))*(VLOOKUP($A33,SatSunCurve,6))*(INDEX(DailyScalarsTable,BP$5/100,MONTH($A33)))*$D33</f>
        <v>-7395.0734321317341</v>
      </c>
      <c r="BQ33" s="1021">
        <f>(VLOOKUP(YEAR($A33),'NY East Load Projections'!$A$4:$EO$14,((MONTH($A33)-1)*12)+VLOOKUP(BQ$4,$DE$6:$DF$17,2)+1))*(VLOOKUP($A33,SatSunCurve,6))*(INDEX(DailyScalarsTable,BQ$5/100,MONTH($A33)))*$D33</f>
        <v>-7409.5739942409373</v>
      </c>
      <c r="BR33" s="1021">
        <f>(VLOOKUP(YEAR($A33),'NY East Load Projections'!$A$4:$EO$14,((MONTH($A33)-1)*12)+VLOOKUP(BR$4,$DE$6:$DF$17,2)+1))*(VLOOKUP($A33,SatSunCurve,6))*(INDEX(DailyScalarsTable,BR$5/100,MONTH($A33)))*$D33</f>
        <v>-6670.5062545053306</v>
      </c>
      <c r="BS33" s="1021">
        <f>(VLOOKUP(YEAR($A33),'NY East Load Projections'!$A$4:$EO$14,((MONTH($A33)-1)*12)+VLOOKUP(BS$4,$DE$6:$DF$17,2)+1))*(VLOOKUP($A33,SatSunCurve,6))*(INDEX(DailyScalarsTable,BS$5/100,MONTH($A33)))*$D33</f>
        <v>-6677.6889503503098</v>
      </c>
      <c r="BT33" s="1021">
        <f>(VLOOKUP(YEAR($A33),'NY East Load Projections'!$A$4:$EO$14,((MONTH($A33)-1)*12)+VLOOKUP(BT$4,$DE$6:$DF$17,2)+1))*(VLOOKUP($A33,SatSunCurve,6))*(INDEX(DailyScalarsTable,BT$5/100,MONTH($A33)))*$D33</f>
        <v>-6263.205148942905</v>
      </c>
      <c r="BU33" s="1021">
        <f>(VLOOKUP(YEAR($A33),'NY East Load Projections'!$A$4:$EO$14,((MONTH($A33)-1)*12)+VLOOKUP(BU$4,$DE$6:$DF$17,2)+1))*(VLOOKUP($A33,SatSunCurve,6))*(INDEX(DailyScalarsTable,BU$5/100,MONTH($A33)))*$D33</f>
        <v>-5853.6858578989459</v>
      </c>
      <c r="BV33" s="1021">
        <f>(VLOOKUP(YEAR($A33),'NY East Load Projections'!$A$4:$EO$14,((MONTH($A33)-1)*12)+VLOOKUP(BV$4,$DE$6:$DF$17,2)+1))*(VLOOKUP($A33,SatSunCurve,6))*(INDEX(DailyScalarsTable,BV$5/100,MONTH($A33)))*$D33</f>
        <v>-5426.2489952534243</v>
      </c>
      <c r="BW33" s="1021">
        <f>(VLOOKUP(YEAR($A33),'NY East Load Projections'!$A$4:$EO$14,((MONTH($A33)-1)*12)+VLOOKUP(BW$4,$DE$6:$DF$17,2)+1))*(VLOOKUP($A33,SatSunCurve,6))*(INDEX(DailyScalarsTable,BW$5/100,MONTH($A33)))*$D33</f>
        <v>-5355.6778433745048</v>
      </c>
      <c r="BX33" s="1021">
        <f>(VLOOKUP(YEAR($A33),'NY East Load Projections'!$A$4:$EO$14,((MONTH($A33)-1)*12)+VLOOKUP(BX$4,$DE$6:$DF$17,2)+1))*(VLOOKUP($A33,SatSunCurve,6))*(INDEX(DailyScalarsTable,BX$5/100,MONTH($A33)))*$D33</f>
        <v>-5326.967531230307</v>
      </c>
      <c r="BY33" s="1021">
        <f>(VLOOKUP(YEAR($A33),'NY East Load Projections'!$A$4:$EO$14,((MONTH($A33)-1)*12)+VLOOKUP(BY$4,$DE$6:$DF$17,2)+1))*(VLOOKUP($A33,SatSunCurve,6))*(INDEX(DailyScalarsTable,BY$5/100,MONTH($A33)))*$D33</f>
        <v>-5842.8496784646914</v>
      </c>
      <c r="BZ33" s="1021">
        <f>(VLOOKUP(YEAR($A33),'NY East Load Projections'!$A$4:$EO$14,((MONTH($A33)-1)*12)+VLOOKUP(BZ$4,$DE$6:$DF$17,2)+1))*(VLOOKUP($A33,SatSunCurve,6))*(INDEX(DailyScalarsTable,BZ$5/100,MONTH($A33)))*$D33</f>
        <v>-7063.5122349968115</v>
      </c>
      <c r="CA33" s="1021">
        <f>(VLOOKUP(YEAR($A33),'NY East Load Projections'!$A$4:$EO$14,((MONTH($A33)-1)*12)+VLOOKUP(CA$4,$DE$6:$DF$17,2)+1))*(VLOOKUP($A33,SatSunCurve,6))*(INDEX(DailyScalarsTable,CA$5/100,MONTH($A33)))*$D33</f>
        <v>-6018.6454451491936</v>
      </c>
      <c r="CB33" s="1021">
        <f>(VLOOKUP(YEAR($A33),'NY East Load Projections'!$A$4:$EO$14,((MONTH($A33)-1)*12)+VLOOKUP(CB$4,$DE$6:$DF$17,2)+1))*(VLOOKUP($A33,SatSunCurve,6))*(INDEX(DailyScalarsTable,CB$5/100,MONTH($A33)))*$D33</f>
        <v>-5317.1103198702276</v>
      </c>
      <c r="CC33" s="1021">
        <f>(VLOOKUP(YEAR($A33),'NY East Load Projections'!$A$4:$EO$14,((MONTH($A33)-1)*12)+VLOOKUP(CC$4,$DE$6:$DF$17,2)+1))*(VLOOKUP($A33,CURVES!$D$9:$T$261,6))*(INDEX(DailyScalarsTable,CC$5/100,MONTH($A33)))*$D33</f>
        <v>-7367.1457875822816</v>
      </c>
      <c r="CE33" s="1021">
        <f>(VLOOKUP(YEAR($A33),'NY East Load Projections'!$A$4:$EO$14,((MONTH($A33)-1)*12)+VLOOKUP(CE$4,$DE$6:$DF$17,2)+1))*(VLOOKUP($A33,CURVES!$D$9:$T$261,6))*(INDEX(DailyScalarsTable,CE$5/100,MONTH($A33)))*$E33</f>
        <v>0</v>
      </c>
      <c r="CF33" s="1021">
        <f>(VLOOKUP(YEAR($A33),'NY East Load Projections'!$A$4:$EO$14,((MONTH($A33)-1)*12)+VLOOKUP(CF$4,$DE$6:$DF$17,2)+1))*(VLOOKUP($A33,CURVES!$D$9:$T$261,6))*(INDEX(DailyScalarsTable,CF$5/100,MONTH($A33)))*$E33</f>
        <v>0</v>
      </c>
      <c r="CG33" s="1021">
        <f>(VLOOKUP(YEAR($A33),'NY East Load Projections'!$A$4:$EO$14,((MONTH($A33)-1)*12)+VLOOKUP(CG$4,$DE$6:$DF$17,2)+1))*(VLOOKUP($A33,CURVES!$D$9:$T$261,6))*(INDEX(DailyScalarsTable,CG$5/100,MONTH($A33)))*$E33</f>
        <v>0</v>
      </c>
      <c r="CH33" s="1021">
        <f>(VLOOKUP(YEAR($A33),'NY East Load Projections'!$A$4:$EO$14,((MONTH($A33)-1)*12)+VLOOKUP(CH$4,$DE$6:$DF$17,2)+1))*(VLOOKUP($A33,CURVES!$D$9:$T$261,6))*(INDEX(DailyScalarsTable,CH$5/100,MONTH($A33)))*$E33</f>
        <v>0</v>
      </c>
      <c r="CI33" s="1021">
        <f>(VLOOKUP(YEAR($A33),'NY East Load Projections'!$A$4:$EO$14,((MONTH($A33)-1)*12)+VLOOKUP(CI$4,$DE$6:$DF$17,2)+1))*(VLOOKUP($A33,CURVES!$D$9:$T$261,6))*(INDEX(DailyScalarsTable,CI$5/100,MONTH($A33)))*$E33</f>
        <v>0</v>
      </c>
      <c r="CJ33" s="1021">
        <f>(VLOOKUP(YEAR($A33),'NY East Load Projections'!$A$4:$EO$14,((MONTH($A33)-1)*12)+VLOOKUP(CJ$4,$DE$6:$DF$17,2)+1))*(VLOOKUP($A33,CURVES!$D$9:$T$261,6))*(INDEX(DailyScalarsTable,CJ$5/100,MONTH($A33)))*$E33</f>
        <v>0</v>
      </c>
      <c r="CK33" s="1021">
        <f>(VLOOKUP(YEAR($A33),'NY East Load Projections'!$A$4:$EO$14,((MONTH($A33)-1)*12)+VLOOKUP(CK$4,$DE$6:$DF$17,2)+1))*(VLOOKUP($A33,CURVES!$D$9:$T$261,6))*(INDEX(DailyScalarsTable,CK$5/100,MONTH($A33)))*$E33</f>
        <v>0</v>
      </c>
      <c r="CL33" s="1021">
        <f>(VLOOKUP(YEAR($A33),'NY East Load Projections'!$A$4:$EO$14,((MONTH($A33)-1)*12)+VLOOKUP(CL$4,$DE$6:$DF$17,2)+1))*(VLOOKUP($A33,SatSunCurve,6))*(INDEX(DailyScalarsTable,CL$5/100,MONTH($A33)))*$E33</f>
        <v>0</v>
      </c>
      <c r="CM33" s="1021">
        <f>(VLOOKUP(YEAR($A33),'NY East Load Projections'!$A$4:$EO$14,((MONTH($A33)-1)*12)+VLOOKUP(CM$4,$DE$6:$DF$17,2)+1))*(VLOOKUP($A33,SatSunCurve,6))*(INDEX(DailyScalarsTable,CM$5/100,MONTH($A33)))*$E33</f>
        <v>0</v>
      </c>
      <c r="CN33" s="1021">
        <f>(VLOOKUP(YEAR($A33),'NY East Load Projections'!$A$4:$EO$14,((MONTH($A33)-1)*12)+VLOOKUP(CN$4,$DE$6:$DF$17,2)+1))*(VLOOKUP($A33,SatSunCurve,6))*(INDEX(DailyScalarsTable,CN$5/100,MONTH($A33)))*$E33</f>
        <v>0</v>
      </c>
      <c r="CO33" s="1021">
        <f>(VLOOKUP(YEAR($A33),'NY East Load Projections'!$A$4:$EO$14,((MONTH($A33)-1)*12)+VLOOKUP(CO$4,$DE$6:$DF$17,2)+1))*(VLOOKUP($A33,SatSunCurve,6))*(INDEX(DailyScalarsTable,CO$5/100,MONTH($A33)))*$E33</f>
        <v>0</v>
      </c>
      <c r="CP33" s="1021">
        <f>(VLOOKUP(YEAR($A33),'NY East Load Projections'!$A$4:$EO$14,((MONTH($A33)-1)*12)+VLOOKUP(CP$4,$DE$6:$DF$17,2)+1))*(VLOOKUP($A33,SatSunCurve,6))*(INDEX(DailyScalarsTable,CP$5/100,MONTH($A33)))*$E33</f>
        <v>0</v>
      </c>
      <c r="CQ33" s="1021">
        <f>(VLOOKUP(YEAR($A33),'NY East Load Projections'!$A$4:$EO$14,((MONTH($A33)-1)*12)+VLOOKUP(CQ$4,$DE$6:$DF$17,2)+1))*(VLOOKUP($A33,SatSunCurve,6))*(INDEX(DailyScalarsTable,CQ$5/100,MONTH($A33)))*$E33</f>
        <v>0</v>
      </c>
      <c r="CR33" s="1021">
        <f>(VLOOKUP(YEAR($A33),'NY East Load Projections'!$A$4:$EO$14,((MONTH($A33)-1)*12)+VLOOKUP(CR$4,$DE$6:$DF$17,2)+1))*(VLOOKUP($A33,SatSunCurve,6))*(INDEX(DailyScalarsTable,CR$5/100,MONTH($A33)))*$E33</f>
        <v>0</v>
      </c>
      <c r="CS33" s="1021">
        <f>(VLOOKUP(YEAR($A33),'NY East Load Projections'!$A$4:$EO$14,((MONTH($A33)-1)*12)+VLOOKUP(CS$4,$DE$6:$DF$17,2)+1))*(VLOOKUP($A33,SatSunCurve,6))*(INDEX(DailyScalarsTable,CS$5/100,MONTH($A33)))*$E33</f>
        <v>0</v>
      </c>
      <c r="CT33" s="1021">
        <f>(VLOOKUP(YEAR($A33),'NY East Load Projections'!$A$4:$EO$14,((MONTH($A33)-1)*12)+VLOOKUP(CT$4,$DE$6:$DF$17,2)+1))*(VLOOKUP($A33,SatSunCurve,6))*(INDEX(DailyScalarsTable,CT$5/100,MONTH($A33)))*$E33</f>
        <v>0</v>
      </c>
      <c r="CU33" s="1021">
        <f>(VLOOKUP(YEAR($A33),'NY East Load Projections'!$A$4:$EO$14,((MONTH($A33)-1)*12)+VLOOKUP(CU$4,$DE$6:$DF$17,2)+1))*(VLOOKUP($A33,SatSunCurve,6))*(INDEX(DailyScalarsTable,CU$5/100,MONTH($A33)))*$E33</f>
        <v>0</v>
      </c>
      <c r="CV33" s="1021">
        <f>(VLOOKUP(YEAR($A33),'NY East Load Projections'!$A$4:$EO$14,((MONTH($A33)-1)*12)+VLOOKUP(CV$4,$DE$6:$DF$17,2)+1))*(VLOOKUP($A33,SatSunCurve,6))*(INDEX(DailyScalarsTable,CV$5/100,MONTH($A33)))*$E33</f>
        <v>0</v>
      </c>
      <c r="CW33" s="1021">
        <f>(VLOOKUP(YEAR($A33),'NY East Load Projections'!$A$4:$EO$14,((MONTH($A33)-1)*12)+VLOOKUP(CW$4,$DE$6:$DF$17,2)+1))*(VLOOKUP($A33,SatSunCurve,6))*(INDEX(DailyScalarsTable,CW$5/100,MONTH($A33)))*$E33</f>
        <v>0</v>
      </c>
      <c r="CX33" s="1021">
        <f>(VLOOKUP(YEAR($A33),'NY East Load Projections'!$A$4:$EO$14,((MONTH($A33)-1)*12)+VLOOKUP(CX$4,$DE$6:$DF$17,2)+1))*(VLOOKUP($A33,SatSunCurve,6))*(INDEX(DailyScalarsTable,CX$5/100,MONTH($A33)))*$E33</f>
        <v>0</v>
      </c>
      <c r="CY33" s="1021">
        <f>(VLOOKUP(YEAR($A33),'NY East Load Projections'!$A$4:$EO$14,((MONTH($A33)-1)*12)+VLOOKUP(CY$4,$DE$6:$DF$17,2)+1))*(VLOOKUP($A33,SatSunCurve,6))*(INDEX(DailyScalarsTable,CY$5/100,MONTH($A33)))*$E33</f>
        <v>0</v>
      </c>
      <c r="CZ33" s="1021">
        <f>(VLOOKUP(YEAR($A33),'NY East Load Projections'!$A$4:$EO$14,((MONTH($A33)-1)*12)+VLOOKUP(CZ$4,$DE$6:$DF$17,2)+1))*(VLOOKUP($A33,SatSunCurve,6))*(INDEX(DailyScalarsTable,CZ$5/100,MONTH($A33)))*$E33</f>
        <v>0</v>
      </c>
      <c r="DA33" s="1021">
        <f>(VLOOKUP(YEAR($A33),'NY East Load Projections'!$A$4:$EO$14,((MONTH($A33)-1)*12)+VLOOKUP(DA$4,$DE$6:$DF$17,2)+1))*(VLOOKUP($A33,SatSunCurve,6))*(INDEX(DailyScalarsTable,DA$5/100,MONTH($A33)))*$E33</f>
        <v>0</v>
      </c>
      <c r="DB33" s="1021">
        <f>(VLOOKUP(YEAR($A33),'NY East Load Projections'!$A$4:$EO$14,((MONTH($A33)-1)*12)+VLOOKUP(DB$4,$DE$6:$DF$17,2)+1))*(VLOOKUP($A33,CURVES!$D$9:$T$261,6))*(INDEX(DailyScalarsTable,DB$5/100,MONTH($A33)))*$E33</f>
        <v>0</v>
      </c>
      <c r="DH33" s="1021">
        <f t="shared" si="0"/>
        <v>-1736443.5308040259</v>
      </c>
      <c r="DI33">
        <f ca="1">CALC!J53</f>
        <v>0.79649788221559004</v>
      </c>
      <c r="DJ33" s="1029">
        <f t="shared" ca="1" si="1"/>
        <v>-1383073.5948723683</v>
      </c>
    </row>
    <row r="34" spans="1:114" x14ac:dyDescent="0.25">
      <c r="A34" s="244">
        <v>37742</v>
      </c>
      <c r="B34" s="13">
        <v>21</v>
      </c>
      <c r="C34" s="210">
        <v>5</v>
      </c>
      <c r="D34" s="210">
        <v>4</v>
      </c>
      <c r="E34" s="210">
        <v>1</v>
      </c>
      <c r="F34" s="13">
        <v>31</v>
      </c>
      <c r="H34" s="1021">
        <f>(VLOOKUP(YEAR($A34),'NY East Load Projections'!$A$4:$EO$14,((MONTH($A34)-1)*12)+VLOOKUP(H$4,$DE$6:$DF$17,2)+1))*(VLOOKUP($A34,CURVES!$D$9:$K$261,6))*(INDEX(DailyScalarsTable,H$5/100,MONTH($A34)))*$B34</f>
        <v>-35820.819807883505</v>
      </c>
      <c r="I34" s="1021">
        <f>(VLOOKUP(YEAR($A34),'NY East Load Projections'!$A$4:$EO$14,((MONTH($A34)-1)*12)+VLOOKUP(I$4,$DE$6:$DF$17,2)+1))*(VLOOKUP($A34,CURVES!$D$9:$K$261,6))*(INDEX(DailyScalarsTable,I$5/100,MONTH($A34)))*$B34</f>
        <v>-32266.01017612189</v>
      </c>
      <c r="J34" s="1021">
        <f>(VLOOKUP(YEAR($A34),'NY East Load Projections'!$A$4:$EO$14,((MONTH($A34)-1)*12)+VLOOKUP(J$4,$DE$6:$DF$17,2)+1))*(VLOOKUP($A34,CURVES!$D$9:$K$261,6))*(INDEX(DailyScalarsTable,J$5/100,MONTH($A34)))*$B34</f>
        <v>-30535.626651666516</v>
      </c>
      <c r="K34" s="1021">
        <f>(VLOOKUP(YEAR($A34),'NY East Load Projections'!$A$4:$EO$14,((MONTH($A34)-1)*12)+VLOOKUP(K$4,$DE$6:$DF$17,2)+1))*(VLOOKUP($A34,CURVES!$D$9:$K$261,6))*(INDEX(DailyScalarsTable,K$5/100,MONTH($A34)))*$B34</f>
        <v>-29604.605081443224</v>
      </c>
      <c r="L34" s="1021">
        <f>(VLOOKUP(YEAR($A34),'NY East Load Projections'!$A$4:$EO$14,((MONTH($A34)-1)*12)+VLOOKUP(L$4,$DE$6:$DF$17,2)+1))*(VLOOKUP($A34,CURVES!$D$9:$K$261,6))*(INDEX(DailyScalarsTable,L$5/100,MONTH($A34)))*$B34</f>
        <v>-35565.776636427116</v>
      </c>
      <c r="M34" s="1021">
        <f>(VLOOKUP(YEAR($A34),'NY East Load Projections'!$A$4:$EO$14,((MONTH($A34)-1)*12)+VLOOKUP(M$4,$DE$6:$DF$17,2)+1))*(VLOOKUP($A34,CURVES!$D$9:$K$261,6))*(INDEX(DailyScalarsTable,M$5/100,MONTH($A34)))*$B34</f>
        <v>-43121.416978203284</v>
      </c>
      <c r="N34" s="1021">
        <f>(VLOOKUP(YEAR($A34),'NY East Load Projections'!$A$4:$EO$14,((MONTH($A34)-1)*12)+VLOOKUP(N$4,$DE$6:$DF$17,2)+1))*(VLOOKUP($A34,CURVES!$D$9:$K$261,6))*(INDEX(DailyScalarsTable,N$5/100,MONTH($A34)))*$B34</f>
        <v>-51595.422444394273</v>
      </c>
      <c r="O34" s="1021">
        <f>(VLOOKUP(YEAR($A34),'NY East Load Projections'!$A$4:$EO$14,((MONTH($A34)-1)*12)+VLOOKUP(O$4,$DE$6:$DF$17,2)+1))*(VLOOKUP($A34,CURVES!$D$9:$K$261,2))*(INDEX(DailyScalarsTable,O$5/100,MONTH($A34)))*$B34</f>
        <v>-65008.311220682604</v>
      </c>
      <c r="P34" s="1021">
        <f>(VLOOKUP(YEAR($A34),'NY East Load Projections'!$A$4:$EO$14,((MONTH($A34)-1)*12)+VLOOKUP(P$4,$DE$6:$DF$17,2)+1))*(VLOOKUP($A34,CURVES!$D$9:$K$261,2))*(INDEX(DailyScalarsTable,P$5/100,MONTH($A34)))*$B34</f>
        <v>-79846.425988894378</v>
      </c>
      <c r="Q34" s="1021">
        <f>(VLOOKUP(YEAR($A34),'NY East Load Projections'!$A$4:$EO$14,((MONTH($A34)-1)*12)+VLOOKUP(Q$4,$DE$6:$DF$17,2)+1))*(VLOOKUP($A34,CURVES!$D$9:$K$261,2))*(INDEX(DailyScalarsTable,Q$5/100,MONTH($A34)))*$B34</f>
        <v>-81262.631629570125</v>
      </c>
      <c r="R34" s="1021">
        <f>(VLOOKUP(YEAR($A34),'NY East Load Projections'!$A$4:$EO$14,((MONTH($A34)-1)*12)+VLOOKUP(R$4,$DE$6:$DF$17,2)+1))*(VLOOKUP($A34,CURVES!$D$9:$K$261,2))*(INDEX(DailyScalarsTable,R$5/100,MONTH($A34)))*$B34</f>
        <v>-86200.552182014711</v>
      </c>
      <c r="S34" s="1021">
        <f>(VLOOKUP(YEAR($A34),'NY East Load Projections'!$A$4:$EO$14,((MONTH($A34)-1)*12)+VLOOKUP(S$4,$DE$6:$DF$17,2)+1))*(VLOOKUP($A34,CURVES!$D$9:$K$261,2))*(INDEX(DailyScalarsTable,S$5/100,MONTH($A34)))*$B34</f>
        <v>-85548.846931438238</v>
      </c>
      <c r="T34" s="1021">
        <f>(VLOOKUP(YEAR($A34),'NY East Load Projections'!$A$4:$EO$14,((MONTH($A34)-1)*12)+VLOOKUP(T$4,$DE$6:$DF$17,2)+1))*(VLOOKUP($A34,CURVES!$D$9:$K$261,2))*(INDEX(DailyScalarsTable,T$5/100,MONTH($A34)))*$B34</f>
        <v>-82454.82365177304</v>
      </c>
      <c r="U34" s="1021">
        <f>(VLOOKUP(YEAR($A34),'NY East Load Projections'!$A$4:$EO$14,((MONTH($A34)-1)*12)+VLOOKUP(U$4,$DE$6:$DF$17,2)+1))*(VLOOKUP($A34,CURVES!$D$9:$K$261,2))*(INDEX(DailyScalarsTable,U$5/100,MONTH($A34)))*$B34</f>
        <v>-82852.227186164382</v>
      </c>
      <c r="V34" s="1021">
        <f>(VLOOKUP(YEAR($A34),'NY East Load Projections'!$A$4:$EO$14,((MONTH($A34)-1)*12)+VLOOKUP(V$4,$DE$6:$DF$17,2)+1))*(VLOOKUP($A34,CURVES!$D$9:$K$261,2))*(INDEX(DailyScalarsTable,V$5/100,MONTH($A34)))*$B34</f>
        <v>-80365.250229005789</v>
      </c>
      <c r="W34" s="1021">
        <f>(VLOOKUP(YEAR($A34),'NY East Load Projections'!$A$4:$EO$14,((MONTH($A34)-1)*12)+VLOOKUP(W$4,$DE$6:$DF$17,2)+1))*(VLOOKUP($A34,CURVES!$D$9:$K$261,2))*(INDEX(DailyScalarsTable,W$5/100,MONTH($A34)))*$B34</f>
        <v>-77237.299829280557</v>
      </c>
      <c r="X34" s="1021">
        <f>(VLOOKUP(YEAR($A34),'NY East Load Projections'!$A$4:$EO$14,((MONTH($A34)-1)*12)+VLOOKUP(X$4,$DE$6:$DF$17,2)+1))*(VLOOKUP($A34,CURVES!$D$9:$K$261,2))*(INDEX(DailyScalarsTable,X$5/100,MONTH($A34)))*$B34</f>
        <v>-73229.640441765179</v>
      </c>
      <c r="Y34" s="1021">
        <f>(VLOOKUP(YEAR($A34),'NY East Load Projections'!$A$4:$EO$14,((MONTH($A34)-1)*12)+VLOOKUP(Y$4,$DE$6:$DF$17,2)+1))*(VLOOKUP($A34,CURVES!$D$9:$K$261,2))*(INDEX(DailyScalarsTable,Y$5/100,MONTH($A34)))*$B34</f>
        <v>-70375.758924630703</v>
      </c>
      <c r="Z34" s="1021">
        <f>(VLOOKUP(YEAR($A34),'NY East Load Projections'!$A$4:$EO$14,((MONTH($A34)-1)*12)+VLOOKUP(Z$4,$DE$6:$DF$17,2)+1))*(VLOOKUP($A34,CURVES!$D$9:$K$261,2))*(INDEX(DailyScalarsTable,Z$5/100,MONTH($A34)))*$B34</f>
        <v>-60974.7374564231</v>
      </c>
      <c r="AA34" s="1021">
        <f>(VLOOKUP(YEAR($A34),'NY East Load Projections'!$A$4:$EO$14,((MONTH($A34)-1)*12)+VLOOKUP(AA$4,$DE$6:$DF$17,2)+1))*(VLOOKUP($A34,CURVES!$D$9:$K$261,2))*(INDEX(DailyScalarsTable,AA$5/100,MONTH($A34)))*$B34</f>
        <v>-60818.853171873758</v>
      </c>
      <c r="AB34" s="1021">
        <f>(VLOOKUP(YEAR($A34),'NY East Load Projections'!$A$4:$EO$14,((MONTH($A34)-1)*12)+VLOOKUP(AB$4,$DE$6:$DF$17,2)+1))*(VLOOKUP($A34,CURVES!$D$9:$K$261,2))*(INDEX(DailyScalarsTable,AB$5/100,MONTH($A34)))*$B34</f>
        <v>-70356.883141255355</v>
      </c>
      <c r="AC34" s="1021">
        <f>(VLOOKUP(YEAR($A34),'NY East Load Projections'!$A$4:$EO$14,((MONTH($A34)-1)*12)+VLOOKUP(AC$4,$DE$6:$DF$17,2)+1))*(VLOOKUP($A34,CURVES!$D$9:$K$261,2))*(INDEX(DailyScalarsTable,AC$5/100,MONTH($A34)))*$B34</f>
        <v>-67107.362586965377</v>
      </c>
      <c r="AD34" s="1021">
        <f>(VLOOKUP(YEAR($A34),'NY East Load Projections'!$A$4:$EO$14,((MONTH($A34)-1)*12)+VLOOKUP(AD$4,$DE$6:$DF$17,2)+1))*(VLOOKUP($A34,CURVES!$D$9:$K$261,2))*(INDEX(DailyScalarsTable,AD$5/100,MONTH($A34)))*$B34</f>
        <v>-53834.076674653923</v>
      </c>
      <c r="AE34" s="1021">
        <f>(VLOOKUP(YEAR($A34),'NY East Load Projections'!$A$4:$EO$14,((MONTH($A34)-1)*12)+VLOOKUP(AE$4,$DE$6:$DF$17,2)+1))*(VLOOKUP($A34,CURVES!$D$9:$K$261,6))*(INDEX(DailyScalarsTable,AE$5/100,MONTH($A34)))*$B34</f>
        <v>-44623.956268747228</v>
      </c>
      <c r="AF34" s="1021"/>
      <c r="AG34" s="1021">
        <f>(VLOOKUP(YEAR($A34),'NY East Load Projections'!$A$4:$EO$14,((MONTH($A34)-1)*12)+VLOOKUP(AG$4,$DE$6:$DF$17,2)+1))*(VLOOKUP($A34,CURVES!$D$9:$T$261,6))*(INDEX(DailyScalarsTable,AG$5/100,MONTH($A34)))*$C34</f>
        <v>-9079.0186347306426</v>
      </c>
      <c r="AH34" s="1021">
        <f>(VLOOKUP(YEAR($A34),'NY East Load Projections'!$A$4:$EO$14,((MONTH($A34)-1)*12)+VLOOKUP(AH$4,$DE$6:$DF$17,2)+1))*(VLOOKUP($A34,CURVES!$D$9:$T$261,6))*(INDEX(DailyScalarsTable,AH$5/100,MONTH($A34)))*$C34</f>
        <v>-8178.0291246418574</v>
      </c>
      <c r="AI34" s="1021">
        <f>(VLOOKUP(YEAR($A34),'NY East Load Projections'!$A$4:$EO$14,((MONTH($A34)-1)*12)+VLOOKUP(AI$4,$DE$6:$DF$17,2)+1))*(VLOOKUP($A34,CURVES!$D$9:$T$261,6))*(INDEX(DailyScalarsTable,AI$5/100,MONTH($A34)))*$C34</f>
        <v>-7739.4522202600165</v>
      </c>
      <c r="AJ34" s="1021">
        <f>(VLOOKUP(YEAR($A34),'NY East Load Projections'!$A$4:$EO$14,((MONTH($A34)-1)*12)+VLOOKUP(AJ$4,$DE$6:$DF$17,2)+1))*(VLOOKUP($A34,CURVES!$D$9:$T$261,6))*(INDEX(DailyScalarsTable,AJ$5/100,MONTH($A34)))*$C34</f>
        <v>-7503.4787771415222</v>
      </c>
      <c r="AK34" s="1021">
        <f>(VLOOKUP(YEAR($A34),'NY East Load Projections'!$A$4:$EO$14,((MONTH($A34)-1)*12)+VLOOKUP(AK$4,$DE$6:$DF$17,2)+1))*(VLOOKUP($A34,CURVES!$D$9:$T$261,6))*(INDEX(DailyScalarsTable,AK$5/100,MONTH($A34)))*$C34</f>
        <v>-8245.6601793580412</v>
      </c>
      <c r="AL34" s="1021">
        <f>(VLOOKUP(YEAR($A34),'NY East Load Projections'!$A$4:$EO$14,((MONTH($A34)-1)*12)+VLOOKUP(AL$4,$DE$6:$DF$17,2)+1))*(VLOOKUP($A34,CURVES!$D$9:$T$261,6))*(INDEX(DailyScalarsTable,AL$5/100,MONTH($A34)))*$C34</f>
        <v>-9997.3790672263549</v>
      </c>
      <c r="AM34" s="1021">
        <f>(VLOOKUP(YEAR($A34),'NY East Load Projections'!$A$4:$EO$14,((MONTH($A34)-1)*12)+VLOOKUP(AM$4,$DE$6:$DF$17,2)+1))*(VLOOKUP($A34,CURVES!$D$9:$T$261,6))*(INDEX(DailyScalarsTable,AM$5/100,MONTH($A34)))*$C34</f>
        <v>-11962.014063012373</v>
      </c>
      <c r="AN34" s="1021">
        <f>(VLOOKUP(YEAR($A34),'NY East Load Projections'!$A$4:$EO$14,((MONTH($A34)-1)*12)+VLOOKUP(AN$4,$DE$6:$DF$17,2)+1))*(VLOOKUP($A34,SatSunCurve,2))*(INDEX(DailyScalarsTable,AN$5/100,MONTH($A34)))*$C34</f>
        <v>-9626.8109273474838</v>
      </c>
      <c r="AO34" s="1021">
        <f>(VLOOKUP(YEAR($A34),'NY East Load Projections'!$A$4:$EO$14,((MONTH($A34)-1)*12)+VLOOKUP(AO$4,$DE$6:$DF$17,2)+1))*(VLOOKUP($A34,SatSunCurve,2))*(INDEX(DailyScalarsTable,AO$5/100,MONTH($A34)))*$C34</f>
        <v>-11805.379455142429</v>
      </c>
      <c r="AP34" s="1021">
        <f>(VLOOKUP(YEAR($A34),'NY East Load Projections'!$A$4:$EO$14,((MONTH($A34)-1)*12)+VLOOKUP(AP$4,$DE$6:$DF$17,2)+1))*(VLOOKUP($A34,SatSunCurve,2))*(INDEX(DailyScalarsTable,AP$5/100,MONTH($A34)))*$C34</f>
        <v>-12014.766973339119</v>
      </c>
      <c r="AQ34" s="1021">
        <f>(VLOOKUP(YEAR($A34),'NY East Load Projections'!$A$4:$EO$14,((MONTH($A34)-1)*12)+VLOOKUP(AQ$4,$DE$6:$DF$17,2)+1))*(VLOOKUP($A34,SatSunCurve,2))*(INDEX(DailyScalarsTable,AQ$5/100,MONTH($A34)))*$C34</f>
        <v>-12744.843806697481</v>
      </c>
      <c r="AR34" s="1021">
        <f>(VLOOKUP(YEAR($A34),'NY East Load Projections'!$A$4:$EO$14,((MONTH($A34)-1)*12)+VLOOKUP(AR$4,$DE$6:$DF$17,2)+1))*(VLOOKUP($A34,SatSunCurve,2))*(INDEX(DailyScalarsTable,AR$5/100,MONTH($A34)))*$C34</f>
        <v>-12648.488488589266</v>
      </c>
      <c r="AS34" s="1021">
        <f>(VLOOKUP(YEAR($A34),'NY East Load Projections'!$A$4:$EO$14,((MONTH($A34)-1)*12)+VLOOKUP(AS$4,$DE$6:$DF$17,2)+1))*(VLOOKUP($A34,SatSunCurve,2))*(INDEX(DailyScalarsTable,AS$5/100,MONTH($A34)))*$C34</f>
        <v>-11832.881257588017</v>
      </c>
      <c r="AT34" s="1021">
        <f>(VLOOKUP(YEAR($A34),'NY East Load Projections'!$A$4:$EO$14,((MONTH($A34)-1)*12)+VLOOKUP(AT$4,$DE$6:$DF$17,2)+1))*(VLOOKUP($A34,SatSunCurve,2))*(INDEX(DailyScalarsTable,AT$5/100,MONTH($A34)))*$C34</f>
        <v>-11889.911624345674</v>
      </c>
      <c r="AU34" s="1021">
        <f>(VLOOKUP(YEAR($A34),'NY East Load Projections'!$A$4:$EO$14,((MONTH($A34)-1)*12)+VLOOKUP(AU$4,$DE$6:$DF$17,2)+1))*(VLOOKUP($A34,SatSunCurve,2))*(INDEX(DailyScalarsTable,AU$5/100,MONTH($A34)))*$C34</f>
        <v>-11533.011909797777</v>
      </c>
      <c r="AV34" s="1021">
        <f>(VLOOKUP(YEAR($A34),'NY East Load Projections'!$A$4:$EO$14,((MONTH($A34)-1)*12)+VLOOKUP(AV$4,$DE$6:$DF$17,2)+1))*(VLOOKUP($A34,SatSunCurve,2))*(INDEX(DailyScalarsTable,AV$5/100,MONTH($A34)))*$C34</f>
        <v>-11084.127732737532</v>
      </c>
      <c r="AW34" s="1021">
        <f>(VLOOKUP(YEAR($A34),'NY East Load Projections'!$A$4:$EO$14,((MONTH($A34)-1)*12)+VLOOKUP(AW$4,$DE$6:$DF$17,2)+1))*(VLOOKUP($A34,SatSunCurve,2))*(INDEX(DailyScalarsTable,AW$5/100,MONTH($A34)))*$C34</f>
        <v>-10415.702251183051</v>
      </c>
      <c r="AX34" s="1021">
        <f>(VLOOKUP(YEAR($A34),'NY East Load Projections'!$A$4:$EO$14,((MONTH($A34)-1)*12)+VLOOKUP(AX$4,$DE$6:$DF$17,2)+1))*(VLOOKUP($A34,SatSunCurve,2))*(INDEX(DailyScalarsTable,AX$5/100,MONTH($A34)))*$C34</f>
        <v>-10009.784920942086</v>
      </c>
      <c r="AY34" s="1021">
        <f>(VLOOKUP(YEAR($A34),'NY East Load Projections'!$A$4:$EO$14,((MONTH($A34)-1)*12)+VLOOKUP(AY$4,$DE$6:$DF$17,2)+1))*(VLOOKUP($A34,SatSunCurve,2))*(INDEX(DailyScalarsTable,AY$5/100,MONTH($A34)))*$C34</f>
        <v>-8672.6454801483233</v>
      </c>
      <c r="AZ34" s="1021">
        <f>(VLOOKUP(YEAR($A34),'NY East Load Projections'!$A$4:$EO$14,((MONTH($A34)-1)*12)+VLOOKUP(AZ$4,$DE$6:$DF$17,2)+1))*(VLOOKUP($A34,SatSunCurve,2))*(INDEX(DailyScalarsTable,AZ$5/100,MONTH($A34)))*$C34</f>
        <v>-8650.4735251351649</v>
      </c>
      <c r="BA34" s="1021">
        <f>(VLOOKUP(YEAR($A34),'NY East Load Projections'!$A$4:$EO$14,((MONTH($A34)-1)*12)+VLOOKUP(BA$4,$DE$6:$DF$17,2)+1))*(VLOOKUP($A34,SatSunCurve,2))*(INDEX(DailyScalarsTable,BA$5/100,MONTH($A34)))*$C34</f>
        <v>-11061.32106895542</v>
      </c>
      <c r="BB34" s="1021">
        <f>(VLOOKUP(YEAR($A34),'NY East Load Projections'!$A$4:$EO$14,((MONTH($A34)-1)*12)+VLOOKUP(BB$4,$DE$6:$DF$17,2)+1))*(VLOOKUP($A34,SatSunCurve,2))*(INDEX(DailyScalarsTable,BB$5/100,MONTH($A34)))*$C34</f>
        <v>-10550.440134974779</v>
      </c>
      <c r="BC34" s="1021">
        <f>(VLOOKUP(YEAR($A34),'NY East Load Projections'!$A$4:$EO$14,((MONTH($A34)-1)*12)+VLOOKUP(BC$4,$DE$6:$DF$17,2)+1))*(VLOOKUP($A34,SatSunCurve,2))*(INDEX(DailyScalarsTable,BC$5/100,MONTH($A34)))*$C34</f>
        <v>-8463.6496098551615</v>
      </c>
      <c r="BD34" s="1021">
        <f>(VLOOKUP(YEAR($A34),'NY East Load Projections'!$A$4:$EO$14,((MONTH($A34)-1)*12)+VLOOKUP(BD$4,$DE$6:$DF$17,2)+1))*(VLOOKUP($A34,CURVES!$D$9:$T$261,6))*(INDEX(DailyScalarsTable,BD$5/100,MONTH($A34)))*$C34</f>
        <v>-10983.684662634318</v>
      </c>
      <c r="BE34" s="1021"/>
      <c r="BF34" s="1021">
        <f>(VLOOKUP(YEAR($A34),'NY East Load Projections'!$A$4:$EO$14,((MONTH($A34)-1)*12)+VLOOKUP(BF$4,$DE$6:$DF$17,2)+1))*(VLOOKUP($A34,CURVES!$D$9:$T$261,6))*(INDEX(DailyScalarsTable,BF$5/100,MONTH($A34)))*$D34</f>
        <v>-7263.2149077845143</v>
      </c>
      <c r="BG34" s="1021">
        <f>(VLOOKUP(YEAR($A34),'NY East Load Projections'!$A$4:$EO$14,((MONTH($A34)-1)*12)+VLOOKUP(BG$4,$DE$6:$DF$17,2)+1))*(VLOOKUP($A34,CURVES!$D$9:$T$261,6))*(INDEX(DailyScalarsTable,BG$5/100,MONTH($A34)))*$D34</f>
        <v>-6542.4232997134859</v>
      </c>
      <c r="BH34" s="1021">
        <f>(VLOOKUP(YEAR($A34),'NY East Load Projections'!$A$4:$EO$14,((MONTH($A34)-1)*12)+VLOOKUP(BH$4,$DE$6:$DF$17,2)+1))*(VLOOKUP($A34,CURVES!$D$9:$T$261,6))*(INDEX(DailyScalarsTable,BH$5/100,MONTH($A34)))*$D34</f>
        <v>-6191.5617762080128</v>
      </c>
      <c r="BI34" s="1021">
        <f>(VLOOKUP(YEAR($A34),'NY East Load Projections'!$A$4:$EO$14,((MONTH($A34)-1)*12)+VLOOKUP(BI$4,$DE$6:$DF$17,2)+1))*(VLOOKUP($A34,CURVES!$D$9:$T$261,6))*(INDEX(DailyScalarsTable,BI$5/100,MONTH($A34)))*$D34</f>
        <v>-6002.7830217132177</v>
      </c>
      <c r="BJ34" s="1021">
        <f>(VLOOKUP(YEAR($A34),'NY East Load Projections'!$A$4:$EO$14,((MONTH($A34)-1)*12)+VLOOKUP(BJ$4,$DE$6:$DF$17,2)+1))*(VLOOKUP($A34,CURVES!$D$9:$T$261,6))*(INDEX(DailyScalarsTable,BJ$5/100,MONTH($A34)))*$D34</f>
        <v>-6596.5281434864328</v>
      </c>
      <c r="BK34" s="1021">
        <f>(VLOOKUP(YEAR($A34),'NY East Load Projections'!$A$4:$EO$14,((MONTH($A34)-1)*12)+VLOOKUP(BK$4,$DE$6:$DF$17,2)+1))*(VLOOKUP($A34,CURVES!$D$9:$T$261,6))*(INDEX(DailyScalarsTable,BK$5/100,MONTH($A34)))*$D34</f>
        <v>-7997.9032537810845</v>
      </c>
      <c r="BL34" s="1021">
        <f>(VLOOKUP(YEAR($A34),'NY East Load Projections'!$A$4:$EO$14,((MONTH($A34)-1)*12)+VLOOKUP(BL$4,$DE$6:$DF$17,2)+1))*(VLOOKUP($A34,CURVES!$D$9:$T$261,6))*(INDEX(DailyScalarsTable,BL$5/100,MONTH($A34)))*$D34</f>
        <v>-9569.6112504098983</v>
      </c>
      <c r="BM34" s="1021">
        <f>(VLOOKUP(YEAR($A34),'NY East Load Projections'!$A$4:$EO$14,((MONTH($A34)-1)*12)+VLOOKUP(BM$4,$DE$6:$DF$17,2)+1))*(VLOOKUP($A34,SatSunCurve,6))*(INDEX(DailyScalarsTable,BM$5/100,MONTH($A34)))*$D34</f>
        <v>-6499.4346469345155</v>
      </c>
      <c r="BN34" s="1021">
        <f>(VLOOKUP(YEAR($A34),'NY East Load Projections'!$A$4:$EO$14,((MONTH($A34)-1)*12)+VLOOKUP(BN$4,$DE$6:$DF$17,2)+1))*(VLOOKUP($A34,SatSunCurve,6))*(INDEX(DailyScalarsTable,BN$5/100,MONTH($A34)))*$D34</f>
        <v>-7970.2710305647288</v>
      </c>
      <c r="BO34" s="1021">
        <f>(VLOOKUP(YEAR($A34),'NY East Load Projections'!$A$4:$EO$14,((MONTH($A34)-1)*12)+VLOOKUP(BO$4,$DE$6:$DF$17,2)+1))*(VLOOKUP($A34,SatSunCurve,6))*(INDEX(DailyScalarsTable,BO$5/100,MONTH($A34)))*$D34</f>
        <v>-8111.6366915997041</v>
      </c>
      <c r="BP34" s="1021">
        <f>(VLOOKUP(YEAR($A34),'NY East Load Projections'!$A$4:$EO$14,((MONTH($A34)-1)*12)+VLOOKUP(BP$4,$DE$6:$DF$17,2)+1))*(VLOOKUP($A34,SatSunCurve,6))*(INDEX(DailyScalarsTable,BP$5/100,MONTH($A34)))*$D34</f>
        <v>-8604.5399698986384</v>
      </c>
      <c r="BQ34" s="1021">
        <f>(VLOOKUP(YEAR($A34),'NY East Load Projections'!$A$4:$EO$14,((MONTH($A34)-1)*12)+VLOOKUP(BQ$4,$DE$6:$DF$17,2)+1))*(VLOOKUP($A34,SatSunCurve,6))*(INDEX(DailyScalarsTable,BQ$5/100,MONTH($A34)))*$D34</f>
        <v>-8539.486745351569</v>
      </c>
      <c r="BR34" s="1021">
        <f>(VLOOKUP(YEAR($A34),'NY East Load Projections'!$A$4:$EO$14,((MONTH($A34)-1)*12)+VLOOKUP(BR$4,$DE$6:$DF$17,2)+1))*(VLOOKUP($A34,SatSunCurve,6))*(INDEX(DailyScalarsTable,BR$5/100,MONTH($A34)))*$D34</f>
        <v>-7988.8385675213576</v>
      </c>
      <c r="BS34" s="1021">
        <f>(VLOOKUP(YEAR($A34),'NY East Load Projections'!$A$4:$EO$14,((MONTH($A34)-1)*12)+VLOOKUP(BS$4,$DE$6:$DF$17,2)+1))*(VLOOKUP($A34,SatSunCurve,6))*(INDEX(DailyScalarsTable,BS$5/100,MONTH($A34)))*$D34</f>
        <v>-8027.3419872342256</v>
      </c>
      <c r="BT34" s="1021">
        <f>(VLOOKUP(YEAR($A34),'NY East Load Projections'!$A$4:$EO$14,((MONTH($A34)-1)*12)+VLOOKUP(BT$4,$DE$6:$DF$17,2)+1))*(VLOOKUP($A34,SatSunCurve,6))*(INDEX(DailyScalarsTable,BT$5/100,MONTH($A34)))*$D34</f>
        <v>-7786.3851025795084</v>
      </c>
      <c r="BU34" s="1021">
        <f>(VLOOKUP(YEAR($A34),'NY East Load Projections'!$A$4:$EO$14,((MONTH($A34)-1)*12)+VLOOKUP(BU$4,$DE$6:$DF$17,2)+1))*(VLOOKUP($A34,SatSunCurve,6))*(INDEX(DailyScalarsTable,BU$5/100,MONTH($A34)))*$D34</f>
        <v>-7483.3259280653265</v>
      </c>
      <c r="BV34" s="1021">
        <f>(VLOOKUP(YEAR($A34),'NY East Load Projections'!$A$4:$EO$14,((MONTH($A34)-1)*12)+VLOOKUP(BV$4,$DE$6:$DF$17,2)+1))*(VLOOKUP($A34,SatSunCurve,6))*(INDEX(DailyScalarsTable,BV$5/100,MONTH($A34)))*$D34</f>
        <v>-7032.0458762916178</v>
      </c>
      <c r="BW34" s="1021">
        <f>(VLOOKUP(YEAR($A34),'NY East Load Projections'!$A$4:$EO$14,((MONTH($A34)-1)*12)+VLOOKUP(BW$4,$DE$6:$DF$17,2)+1))*(VLOOKUP($A34,SatSunCurve,6))*(INDEX(DailyScalarsTable,BW$5/100,MONTH($A34)))*$D34</f>
        <v>-6757.9952919527577</v>
      </c>
      <c r="BX34" s="1021">
        <f>(VLOOKUP(YEAR($A34),'NY East Load Projections'!$A$4:$EO$14,((MONTH($A34)-1)*12)+VLOOKUP(BX$4,$DE$6:$DF$17,2)+1))*(VLOOKUP($A34,SatSunCurve,6))*(INDEX(DailyScalarsTable,BX$5/100,MONTH($A34)))*$D34</f>
        <v>-5855.2404258953447</v>
      </c>
      <c r="BY34" s="1021">
        <f>(VLOOKUP(YEAR($A34),'NY East Load Projections'!$A$4:$EO$14,((MONTH($A34)-1)*12)+VLOOKUP(BY$4,$DE$6:$DF$17,2)+1))*(VLOOKUP($A34,SatSunCurve,6))*(INDEX(DailyScalarsTable,BY$5/100,MONTH($A34)))*$D34</f>
        <v>-5840.271276330619</v>
      </c>
      <c r="BZ34" s="1021">
        <f>(VLOOKUP(YEAR($A34),'NY East Load Projections'!$A$4:$EO$14,((MONTH($A34)-1)*12)+VLOOKUP(BZ$4,$DE$6:$DF$17,2)+1))*(VLOOKUP($A34,SatSunCurve,6))*(INDEX(DailyScalarsTable,BZ$5/100,MONTH($A34)))*$D34</f>
        <v>-7467.9282619134583</v>
      </c>
      <c r="CA34" s="1021">
        <f>(VLOOKUP(YEAR($A34),'NY East Load Projections'!$A$4:$EO$14,((MONTH($A34)-1)*12)+VLOOKUP(CA$4,$DE$6:$DF$17,2)+1))*(VLOOKUP($A34,SatSunCurve,6))*(INDEX(DailyScalarsTable,CA$5/100,MONTH($A34)))*$D34</f>
        <v>-7123.012664439796</v>
      </c>
      <c r="CB34" s="1021">
        <f>(VLOOKUP(YEAR($A34),'NY East Load Projections'!$A$4:$EO$14,((MONTH($A34)-1)*12)+VLOOKUP(CB$4,$DE$6:$DF$17,2)+1))*(VLOOKUP($A34,SatSunCurve,6))*(INDEX(DailyScalarsTable,CB$5/100,MONTH($A34)))*$D34</f>
        <v>-5714.1391815994948</v>
      </c>
      <c r="CC34" s="1021">
        <f>(VLOOKUP(YEAR($A34),'NY East Load Projections'!$A$4:$EO$14,((MONTH($A34)-1)*12)+VLOOKUP(CC$4,$DE$6:$DF$17,2)+1))*(VLOOKUP($A34,CURVES!$D$9:$T$261,6))*(INDEX(DailyScalarsTable,CC$5/100,MONTH($A34)))*$D34</f>
        <v>-8786.9477301074548</v>
      </c>
      <c r="CE34" s="1021">
        <f>(VLOOKUP(YEAR($A34),'NY East Load Projections'!$A$4:$EO$14,((MONTH($A34)-1)*12)+VLOOKUP(CE$4,$DE$6:$DF$17,2)+1))*(VLOOKUP($A34,CURVES!$D$9:$T$261,6))*(INDEX(DailyScalarsTable,CE$5/100,MONTH($A34)))*$E34</f>
        <v>-1815.8037269461286</v>
      </c>
      <c r="CF34" s="1021">
        <f>(VLOOKUP(YEAR($A34),'NY East Load Projections'!$A$4:$EO$14,((MONTH($A34)-1)*12)+VLOOKUP(CF$4,$DE$6:$DF$17,2)+1))*(VLOOKUP($A34,CURVES!$D$9:$T$261,6))*(INDEX(DailyScalarsTable,CF$5/100,MONTH($A34)))*$E34</f>
        <v>-1635.6058249283715</v>
      </c>
      <c r="CG34" s="1021">
        <f>(VLOOKUP(YEAR($A34),'NY East Load Projections'!$A$4:$EO$14,((MONTH($A34)-1)*12)+VLOOKUP(CG$4,$DE$6:$DF$17,2)+1))*(VLOOKUP($A34,CURVES!$D$9:$T$261,6))*(INDEX(DailyScalarsTable,CG$5/100,MONTH($A34)))*$E34</f>
        <v>-1547.8904440520032</v>
      </c>
      <c r="CH34" s="1021">
        <f>(VLOOKUP(YEAR($A34),'NY East Load Projections'!$A$4:$EO$14,((MONTH($A34)-1)*12)+VLOOKUP(CH$4,$DE$6:$DF$17,2)+1))*(VLOOKUP($A34,CURVES!$D$9:$T$261,6))*(INDEX(DailyScalarsTable,CH$5/100,MONTH($A34)))*$E34</f>
        <v>-1500.6957554283044</v>
      </c>
      <c r="CI34" s="1021">
        <f>(VLOOKUP(YEAR($A34),'NY East Load Projections'!$A$4:$EO$14,((MONTH($A34)-1)*12)+VLOOKUP(CI$4,$DE$6:$DF$17,2)+1))*(VLOOKUP($A34,CURVES!$D$9:$T$261,6))*(INDEX(DailyScalarsTable,CI$5/100,MONTH($A34)))*$E34</f>
        <v>-1649.1320358716082</v>
      </c>
      <c r="CJ34" s="1021">
        <f>(VLOOKUP(YEAR($A34),'NY East Load Projections'!$A$4:$EO$14,((MONTH($A34)-1)*12)+VLOOKUP(CJ$4,$DE$6:$DF$17,2)+1))*(VLOOKUP($A34,CURVES!$D$9:$T$261,6))*(INDEX(DailyScalarsTable,CJ$5/100,MONTH($A34)))*$E34</f>
        <v>-1999.4758134452711</v>
      </c>
      <c r="CK34" s="1021">
        <f>(VLOOKUP(YEAR($A34),'NY East Load Projections'!$A$4:$EO$14,((MONTH($A34)-1)*12)+VLOOKUP(CK$4,$DE$6:$DF$17,2)+1))*(VLOOKUP($A34,CURVES!$D$9:$T$261,6))*(INDEX(DailyScalarsTable,CK$5/100,MONTH($A34)))*$E34</f>
        <v>-2392.4028126024746</v>
      </c>
      <c r="CL34" s="1021">
        <f>(VLOOKUP(YEAR($A34),'NY East Load Projections'!$A$4:$EO$14,((MONTH($A34)-1)*12)+VLOOKUP(CL$4,$DE$6:$DF$17,2)+1))*(VLOOKUP($A34,SatSunCurve,6))*(INDEX(DailyScalarsTable,CL$5/100,MONTH($A34)))*$E34</f>
        <v>-1624.8586617336289</v>
      </c>
      <c r="CM34" s="1021">
        <f>(VLOOKUP(YEAR($A34),'NY East Load Projections'!$A$4:$EO$14,((MONTH($A34)-1)*12)+VLOOKUP(CM$4,$DE$6:$DF$17,2)+1))*(VLOOKUP($A34,SatSunCurve,6))*(INDEX(DailyScalarsTable,CM$5/100,MONTH($A34)))*$E34</f>
        <v>-1992.5677576411822</v>
      </c>
      <c r="CN34" s="1021">
        <f>(VLOOKUP(YEAR($A34),'NY East Load Projections'!$A$4:$EO$14,((MONTH($A34)-1)*12)+VLOOKUP(CN$4,$DE$6:$DF$17,2)+1))*(VLOOKUP($A34,SatSunCurve,6))*(INDEX(DailyScalarsTable,CN$5/100,MONTH($A34)))*$E34</f>
        <v>-2027.909172899926</v>
      </c>
      <c r="CO34" s="1021">
        <f>(VLOOKUP(YEAR($A34),'NY East Load Projections'!$A$4:$EO$14,((MONTH($A34)-1)*12)+VLOOKUP(CO$4,$DE$6:$DF$17,2)+1))*(VLOOKUP($A34,SatSunCurve,6))*(INDEX(DailyScalarsTable,CO$5/100,MONTH($A34)))*$E34</f>
        <v>-2151.1349924746596</v>
      </c>
      <c r="CP34" s="1021">
        <f>(VLOOKUP(YEAR($A34),'NY East Load Projections'!$A$4:$EO$14,((MONTH($A34)-1)*12)+VLOOKUP(CP$4,$DE$6:$DF$17,2)+1))*(VLOOKUP($A34,SatSunCurve,6))*(INDEX(DailyScalarsTable,CP$5/100,MONTH($A34)))*$E34</f>
        <v>-2134.8716863378922</v>
      </c>
      <c r="CQ34" s="1021">
        <f>(VLOOKUP(YEAR($A34),'NY East Load Projections'!$A$4:$EO$14,((MONTH($A34)-1)*12)+VLOOKUP(CQ$4,$DE$6:$DF$17,2)+1))*(VLOOKUP($A34,SatSunCurve,6))*(INDEX(DailyScalarsTable,CQ$5/100,MONTH($A34)))*$E34</f>
        <v>-1997.2096418803394</v>
      </c>
      <c r="CR34" s="1021">
        <f>(VLOOKUP(YEAR($A34),'NY East Load Projections'!$A$4:$EO$14,((MONTH($A34)-1)*12)+VLOOKUP(CR$4,$DE$6:$DF$17,2)+1))*(VLOOKUP($A34,SatSunCurve,6))*(INDEX(DailyScalarsTable,CR$5/100,MONTH($A34)))*$E34</f>
        <v>-2006.8354968085564</v>
      </c>
      <c r="CS34" s="1021">
        <f>(VLOOKUP(YEAR($A34),'NY East Load Projections'!$A$4:$EO$14,((MONTH($A34)-1)*12)+VLOOKUP(CS$4,$DE$6:$DF$17,2)+1))*(VLOOKUP($A34,SatSunCurve,6))*(INDEX(DailyScalarsTable,CS$5/100,MONTH($A34)))*$E34</f>
        <v>-1946.5962756448771</v>
      </c>
      <c r="CT34" s="1021">
        <f>(VLOOKUP(YEAR($A34),'NY East Load Projections'!$A$4:$EO$14,((MONTH($A34)-1)*12)+VLOOKUP(CT$4,$DE$6:$DF$17,2)+1))*(VLOOKUP($A34,SatSunCurve,6))*(INDEX(DailyScalarsTable,CT$5/100,MONTH($A34)))*$E34</f>
        <v>-1870.8314820163316</v>
      </c>
      <c r="CU34" s="1021">
        <f>(VLOOKUP(YEAR($A34),'NY East Load Projections'!$A$4:$EO$14,((MONTH($A34)-1)*12)+VLOOKUP(CU$4,$DE$6:$DF$17,2)+1))*(VLOOKUP($A34,SatSunCurve,6))*(INDEX(DailyScalarsTable,CU$5/100,MONTH($A34)))*$E34</f>
        <v>-1758.0114690729044</v>
      </c>
      <c r="CV34" s="1021">
        <f>(VLOOKUP(YEAR($A34),'NY East Load Projections'!$A$4:$EO$14,((MONTH($A34)-1)*12)+VLOOKUP(CV$4,$DE$6:$DF$17,2)+1))*(VLOOKUP($A34,SatSunCurve,6))*(INDEX(DailyScalarsTable,CV$5/100,MONTH($A34)))*$E34</f>
        <v>-1689.4988229881894</v>
      </c>
      <c r="CW34" s="1021">
        <f>(VLOOKUP(YEAR($A34),'NY East Load Projections'!$A$4:$EO$14,((MONTH($A34)-1)*12)+VLOOKUP(CW$4,$DE$6:$DF$17,2)+1))*(VLOOKUP($A34,SatSunCurve,6))*(INDEX(DailyScalarsTable,CW$5/100,MONTH($A34)))*$E34</f>
        <v>-1463.8101064738362</v>
      </c>
      <c r="CX34" s="1021">
        <f>(VLOOKUP(YEAR($A34),'NY East Load Projections'!$A$4:$EO$14,((MONTH($A34)-1)*12)+VLOOKUP(CX$4,$DE$6:$DF$17,2)+1))*(VLOOKUP($A34,SatSunCurve,6))*(INDEX(DailyScalarsTable,CX$5/100,MONTH($A34)))*$E34</f>
        <v>-1460.0678190826548</v>
      </c>
      <c r="CY34" s="1021">
        <f>(VLOOKUP(YEAR($A34),'NY East Load Projections'!$A$4:$EO$14,((MONTH($A34)-1)*12)+VLOOKUP(CY$4,$DE$6:$DF$17,2)+1))*(VLOOKUP($A34,SatSunCurve,6))*(INDEX(DailyScalarsTable,CY$5/100,MONTH($A34)))*$E34</f>
        <v>-1866.9820654783646</v>
      </c>
      <c r="CZ34" s="1021">
        <f>(VLOOKUP(YEAR($A34),'NY East Load Projections'!$A$4:$EO$14,((MONTH($A34)-1)*12)+VLOOKUP(CZ$4,$DE$6:$DF$17,2)+1))*(VLOOKUP($A34,SatSunCurve,6))*(INDEX(DailyScalarsTable,CZ$5/100,MONTH($A34)))*$E34</f>
        <v>-1780.753166109949</v>
      </c>
      <c r="DA34" s="1021">
        <f>(VLOOKUP(YEAR($A34),'NY East Load Projections'!$A$4:$EO$14,((MONTH($A34)-1)*12)+VLOOKUP(DA$4,$DE$6:$DF$17,2)+1))*(VLOOKUP($A34,SatSunCurve,6))*(INDEX(DailyScalarsTable,DA$5/100,MONTH($A34)))*$E34</f>
        <v>-1428.5347953998737</v>
      </c>
      <c r="DB34" s="1021">
        <f>(VLOOKUP(YEAR($A34),'NY East Load Projections'!$A$4:$EO$14,((MONTH($A34)-1)*12)+VLOOKUP(DB$4,$DE$6:$DF$17,2)+1))*(VLOOKUP($A34,CURVES!$D$9:$T$261,6))*(INDEX(DailyScalarsTable,DB$5/100,MONTH($A34)))*$E34</f>
        <v>-2196.7369325268637</v>
      </c>
      <c r="DH34" s="1021">
        <f t="shared" si="0"/>
        <v>-1946991.3549762822</v>
      </c>
      <c r="DI34">
        <f ca="1">CALC!J54</f>
        <v>0.79157518043313924</v>
      </c>
      <c r="DJ34" s="1029">
        <f t="shared" ca="1" si="1"/>
        <v>-1541190.0331171129</v>
      </c>
    </row>
    <row r="35" spans="1:114" x14ac:dyDescent="0.25">
      <c r="A35" s="244">
        <v>37773</v>
      </c>
      <c r="B35" s="13">
        <v>21</v>
      </c>
      <c r="C35" s="210">
        <v>4</v>
      </c>
      <c r="D35" s="210">
        <v>5</v>
      </c>
      <c r="E35" s="210">
        <v>0</v>
      </c>
      <c r="F35" s="13">
        <v>30</v>
      </c>
      <c r="H35" s="1021">
        <f>(VLOOKUP(YEAR($A35),'NY East Load Projections'!$A$4:$EO$14,((MONTH($A35)-1)*12)+VLOOKUP(H$4,$DE$6:$DF$17,2)+1))*(VLOOKUP($A35,CURVES!$D$9:$K$261,6))*(INDEX(DailyScalarsTable,H$5/100,MONTH($A35)))*$B35</f>
        <v>-40200.63789992332</v>
      </c>
      <c r="I35" s="1021">
        <f>(VLOOKUP(YEAR($A35),'NY East Load Projections'!$A$4:$EO$14,((MONTH($A35)-1)*12)+VLOOKUP(I$4,$DE$6:$DF$17,2)+1))*(VLOOKUP($A35,CURVES!$D$9:$K$261,6))*(INDEX(DailyScalarsTable,I$5/100,MONTH($A35)))*$B35</f>
        <v>-33306.748114167334</v>
      </c>
      <c r="J35" s="1021">
        <f>(VLOOKUP(YEAR($A35),'NY East Load Projections'!$A$4:$EO$14,((MONTH($A35)-1)*12)+VLOOKUP(J$4,$DE$6:$DF$17,2)+1))*(VLOOKUP($A35,CURVES!$D$9:$K$261,6))*(INDEX(DailyScalarsTable,J$5/100,MONTH($A35)))*$B35</f>
        <v>-27997.424040361228</v>
      </c>
      <c r="K35" s="1021">
        <f>(VLOOKUP(YEAR($A35),'NY East Load Projections'!$A$4:$EO$14,((MONTH($A35)-1)*12)+VLOOKUP(K$4,$DE$6:$DF$17,2)+1))*(VLOOKUP($A35,CURVES!$D$9:$K$261,6))*(INDEX(DailyScalarsTable,K$5/100,MONTH($A35)))*$B35</f>
        <v>-25990.993431074043</v>
      </c>
      <c r="L35" s="1021">
        <f>(VLOOKUP(YEAR($A35),'NY East Load Projections'!$A$4:$EO$14,((MONTH($A35)-1)*12)+VLOOKUP(L$4,$DE$6:$DF$17,2)+1))*(VLOOKUP($A35,CURVES!$D$9:$K$261,6))*(INDEX(DailyScalarsTable,L$5/100,MONTH($A35)))*$B35</f>
        <v>-30957.966720784912</v>
      </c>
      <c r="M35" s="1021">
        <f>(VLOOKUP(YEAR($A35),'NY East Load Projections'!$A$4:$EO$14,((MONTH($A35)-1)*12)+VLOOKUP(M$4,$DE$6:$DF$17,2)+1))*(VLOOKUP($A35,CURVES!$D$9:$K$261,6))*(INDEX(DailyScalarsTable,M$5/100,MONTH($A35)))*$B35</f>
        <v>-37770.979104957645</v>
      </c>
      <c r="N35" s="1021">
        <f>(VLOOKUP(YEAR($A35),'NY East Load Projections'!$A$4:$EO$14,((MONTH($A35)-1)*12)+VLOOKUP(N$4,$DE$6:$DF$17,2)+1))*(VLOOKUP($A35,CURVES!$D$9:$K$261,6))*(INDEX(DailyScalarsTable,N$5/100,MONTH($A35)))*$B35</f>
        <v>-43307.257825098015</v>
      </c>
      <c r="O35" s="1021">
        <f>(VLOOKUP(YEAR($A35),'NY East Load Projections'!$A$4:$EO$14,((MONTH($A35)-1)*12)+VLOOKUP(O$4,$DE$6:$DF$17,2)+1))*(VLOOKUP($A35,CURVES!$D$9:$K$261,2))*(INDEX(DailyScalarsTable,O$5/100,MONTH($A35)))*$B35</f>
        <v>-63550.220136913282</v>
      </c>
      <c r="P35" s="1021">
        <f>(VLOOKUP(YEAR($A35),'NY East Load Projections'!$A$4:$EO$14,((MONTH($A35)-1)*12)+VLOOKUP(P$4,$DE$6:$DF$17,2)+1))*(VLOOKUP($A35,CURVES!$D$9:$K$261,2))*(INDEX(DailyScalarsTable,P$5/100,MONTH($A35)))*$B35</f>
        <v>-83936.040050364318</v>
      </c>
      <c r="Q35" s="1021">
        <f>(VLOOKUP(YEAR($A35),'NY East Load Projections'!$A$4:$EO$14,((MONTH($A35)-1)*12)+VLOOKUP(Q$4,$DE$6:$DF$17,2)+1))*(VLOOKUP($A35,CURVES!$D$9:$K$261,2))*(INDEX(DailyScalarsTable,Q$5/100,MONTH($A35)))*$B35</f>
        <v>-93881.835505937677</v>
      </c>
      <c r="R35" s="1021">
        <f>(VLOOKUP(YEAR($A35),'NY East Load Projections'!$A$4:$EO$14,((MONTH($A35)-1)*12)+VLOOKUP(R$4,$DE$6:$DF$17,2)+1))*(VLOOKUP($A35,CURVES!$D$9:$K$261,2))*(INDEX(DailyScalarsTable,R$5/100,MONTH($A35)))*$B35</f>
        <v>-107991.32935489461</v>
      </c>
      <c r="S35" s="1021">
        <f>(VLOOKUP(YEAR($A35),'NY East Load Projections'!$A$4:$EO$14,((MONTH($A35)-1)*12)+VLOOKUP(S$4,$DE$6:$DF$17,2)+1))*(VLOOKUP($A35,CURVES!$D$9:$K$261,2))*(INDEX(DailyScalarsTable,S$5/100,MONTH($A35)))*$B35</f>
        <v>-116465.85329337139</v>
      </c>
      <c r="T35" s="1021">
        <f>(VLOOKUP(YEAR($A35),'NY East Load Projections'!$A$4:$EO$14,((MONTH($A35)-1)*12)+VLOOKUP(T$4,$DE$6:$DF$17,2)+1))*(VLOOKUP($A35,CURVES!$D$9:$K$261,2))*(INDEX(DailyScalarsTable,T$5/100,MONTH($A35)))*$B35</f>
        <v>-122825.81408344618</v>
      </c>
      <c r="U35" s="1021">
        <f>(VLOOKUP(YEAR($A35),'NY East Load Projections'!$A$4:$EO$14,((MONTH($A35)-1)*12)+VLOOKUP(U$4,$DE$6:$DF$17,2)+1))*(VLOOKUP($A35,CURVES!$D$9:$K$261,2))*(INDEX(DailyScalarsTable,U$5/100,MONTH($A35)))*$B35</f>
        <v>-135831.07594421465</v>
      </c>
      <c r="V35" s="1021">
        <f>(VLOOKUP(YEAR($A35),'NY East Load Projections'!$A$4:$EO$14,((MONTH($A35)-1)*12)+VLOOKUP(V$4,$DE$6:$DF$17,2)+1))*(VLOOKUP($A35,CURVES!$D$9:$K$261,2))*(INDEX(DailyScalarsTable,V$5/100,MONTH($A35)))*$B35</f>
        <v>-136876.27494565418</v>
      </c>
      <c r="W35" s="1021">
        <f>(VLOOKUP(YEAR($A35),'NY East Load Projections'!$A$4:$EO$14,((MONTH($A35)-1)*12)+VLOOKUP(W$4,$DE$6:$DF$17,2)+1))*(VLOOKUP($A35,CURVES!$D$9:$K$261,2))*(INDEX(DailyScalarsTable,W$5/100,MONTH($A35)))*$B35</f>
        <v>-137100.24616024832</v>
      </c>
      <c r="X35" s="1021">
        <f>(VLOOKUP(YEAR($A35),'NY East Load Projections'!$A$4:$EO$14,((MONTH($A35)-1)*12)+VLOOKUP(X$4,$DE$6:$DF$17,2)+1))*(VLOOKUP($A35,CURVES!$D$9:$K$261,2))*(INDEX(DailyScalarsTable,X$5/100,MONTH($A35)))*$B35</f>
        <v>-131082.96101072995</v>
      </c>
      <c r="Y35" s="1021">
        <f>(VLOOKUP(YEAR($A35),'NY East Load Projections'!$A$4:$EO$14,((MONTH($A35)-1)*12)+VLOOKUP(Y$4,$DE$6:$DF$17,2)+1))*(VLOOKUP($A35,CURVES!$D$9:$K$261,2))*(INDEX(DailyScalarsTable,Y$5/100,MONTH($A35)))*$B35</f>
        <v>-127191.63315734098</v>
      </c>
      <c r="Z35" s="1021">
        <f>(VLOOKUP(YEAR($A35),'NY East Load Projections'!$A$4:$EO$14,((MONTH($A35)-1)*12)+VLOOKUP(Z$4,$DE$6:$DF$17,2)+1))*(VLOOKUP($A35,CURVES!$D$9:$K$261,2))*(INDEX(DailyScalarsTable,Z$5/100,MONTH($A35)))*$B35</f>
        <v>-108605.97702003569</v>
      </c>
      <c r="AA35" s="1021">
        <f>(VLOOKUP(YEAR($A35),'NY East Load Projections'!$A$4:$EO$14,((MONTH($A35)-1)*12)+VLOOKUP(AA$4,$DE$6:$DF$17,2)+1))*(VLOOKUP($A35,CURVES!$D$9:$K$261,2))*(INDEX(DailyScalarsTable,AA$5/100,MONTH($A35)))*$B35</f>
        <v>-86845.446894044871</v>
      </c>
      <c r="AB35" s="1021">
        <f>(VLOOKUP(YEAR($A35),'NY East Load Projections'!$A$4:$EO$14,((MONTH($A35)-1)*12)+VLOOKUP(AB$4,$DE$6:$DF$17,2)+1))*(VLOOKUP($A35,CURVES!$D$9:$K$261,2))*(INDEX(DailyScalarsTable,AB$5/100,MONTH($A35)))*$B35</f>
        <v>-84110.795186705742</v>
      </c>
      <c r="AC35" s="1021">
        <f>(VLOOKUP(YEAR($A35),'NY East Load Projections'!$A$4:$EO$14,((MONTH($A35)-1)*12)+VLOOKUP(AC$4,$DE$6:$DF$17,2)+1))*(VLOOKUP($A35,CURVES!$D$9:$K$261,2))*(INDEX(DailyScalarsTable,AC$5/100,MONTH($A35)))*$B35</f>
        <v>-85700.862318100772</v>
      </c>
      <c r="AD35" s="1021">
        <f>(VLOOKUP(YEAR($A35),'NY East Load Projections'!$A$4:$EO$14,((MONTH($A35)-1)*12)+VLOOKUP(AD$4,$DE$6:$DF$17,2)+1))*(VLOOKUP($A35,CURVES!$D$9:$K$261,2))*(INDEX(DailyScalarsTable,AD$5/100,MONTH($A35)))*$B35</f>
        <v>-68723.45263171001</v>
      </c>
      <c r="AE35" s="1021">
        <f>(VLOOKUP(YEAR($A35),'NY East Load Projections'!$A$4:$EO$14,((MONTH($A35)-1)*12)+VLOOKUP(AE$4,$DE$6:$DF$17,2)+1))*(VLOOKUP($A35,CURVES!$D$9:$K$261,6))*(INDEX(DailyScalarsTable,AE$5/100,MONTH($A35)))*$B35</f>
        <v>-50934.693501465226</v>
      </c>
      <c r="AF35" s="1021"/>
      <c r="AG35" s="1021">
        <f>(VLOOKUP(YEAR($A35),'NY East Load Projections'!$A$4:$EO$14,((MONTH($A35)-1)*12)+VLOOKUP(AG$4,$DE$6:$DF$17,2)+1))*(VLOOKUP($A35,CURVES!$D$9:$T$261,6))*(INDEX(DailyScalarsTable,AG$5/100,MONTH($A35)))*$C35</f>
        <v>-7785.0385006186698</v>
      </c>
      <c r="AH35" s="1021">
        <f>(VLOOKUP(YEAR($A35),'NY East Load Projections'!$A$4:$EO$14,((MONTH($A35)-1)*12)+VLOOKUP(AH$4,$DE$6:$DF$17,2)+1))*(VLOOKUP($A35,CURVES!$D$9:$T$261,6))*(INDEX(DailyScalarsTable,AH$5/100,MONTH($A35)))*$C35</f>
        <v>-6450.0050234201772</v>
      </c>
      <c r="AI35" s="1021">
        <f>(VLOOKUP(YEAR($A35),'NY East Load Projections'!$A$4:$EO$14,((MONTH($A35)-1)*12)+VLOOKUP(AI$4,$DE$6:$DF$17,2)+1))*(VLOOKUP($A35,CURVES!$D$9:$T$261,6))*(INDEX(DailyScalarsTable,AI$5/100,MONTH($A35)))*$C35</f>
        <v>-5421.8299872493972</v>
      </c>
      <c r="AJ35" s="1021">
        <f>(VLOOKUP(YEAR($A35),'NY East Load Projections'!$A$4:$EO$14,((MONTH($A35)-1)*12)+VLOOKUP(AJ$4,$DE$6:$DF$17,2)+1))*(VLOOKUP($A35,CURVES!$D$9:$T$261,6))*(INDEX(DailyScalarsTable,AJ$5/100,MONTH($A35)))*$C35</f>
        <v>-5033.2754677662551</v>
      </c>
      <c r="AK35" s="1021">
        <f>(VLOOKUP(YEAR($A35),'NY East Load Projections'!$A$4:$EO$14,((MONTH($A35)-1)*12)+VLOOKUP(AK$4,$DE$6:$DF$17,2)+1))*(VLOOKUP($A35,CURVES!$D$9:$T$261,6))*(INDEX(DailyScalarsTable,AK$5/100,MONTH($A35)))*$C35</f>
        <v>-5512.5460856316222</v>
      </c>
      <c r="AL35" s="1021">
        <f>(VLOOKUP(YEAR($A35),'NY East Load Projections'!$A$4:$EO$14,((MONTH($A35)-1)*12)+VLOOKUP(AL$4,$DE$6:$DF$17,2)+1))*(VLOOKUP($A35,CURVES!$D$9:$T$261,6))*(INDEX(DailyScalarsTable,AL$5/100,MONTH($A35)))*$C35</f>
        <v>-6725.7086000972668</v>
      </c>
      <c r="AM35" s="1021">
        <f>(VLOOKUP(YEAR($A35),'NY East Load Projections'!$A$4:$EO$14,((MONTH($A35)-1)*12)+VLOOKUP(AM$4,$DE$6:$DF$17,2)+1))*(VLOOKUP($A35,CURVES!$D$9:$T$261,6))*(INDEX(DailyScalarsTable,AM$5/100,MONTH($A35)))*$C35</f>
        <v>-7711.5288854839437</v>
      </c>
      <c r="AN35" s="1021">
        <f>(VLOOKUP(YEAR($A35),'NY East Load Projections'!$A$4:$EO$14,((MONTH($A35)-1)*12)+VLOOKUP(AN$4,$DE$6:$DF$17,2)+1))*(VLOOKUP($A35,SatSunCurve,2))*(INDEX(DailyScalarsTable,AN$5/100,MONTH($A35)))*$C35</f>
        <v>-5820.4847510239688</v>
      </c>
      <c r="AO35" s="1021">
        <f>(VLOOKUP(YEAR($A35),'NY East Load Projections'!$A$4:$EO$14,((MONTH($A35)-1)*12)+VLOOKUP(AO$4,$DE$6:$DF$17,2)+1))*(VLOOKUP($A35,SatSunCurve,2))*(INDEX(DailyScalarsTable,AO$5/100,MONTH($A35)))*$C35</f>
        <v>-7393.9780002590333</v>
      </c>
      <c r="AP35" s="1021">
        <f>(VLOOKUP(YEAR($A35),'NY East Load Projections'!$A$4:$EO$14,((MONTH($A35)-1)*12)+VLOOKUP(AP$4,$DE$6:$DF$17,2)+1))*(VLOOKUP($A35,SatSunCurve,2))*(INDEX(DailyScalarsTable,AP$5/100,MONTH($A35)))*$C35</f>
        <v>-8270.109311069742</v>
      </c>
      <c r="AQ35" s="1021">
        <f>(VLOOKUP(YEAR($A35),'NY East Load Projections'!$A$4:$EO$14,((MONTH($A35)-1)*12)+VLOOKUP(AQ$4,$DE$6:$DF$17,2)+1))*(VLOOKUP($A35,SatSunCurve,2))*(INDEX(DailyScalarsTable,AQ$5/100,MONTH($A35)))*$C35</f>
        <v>-9513.0234043648179</v>
      </c>
      <c r="AR35" s="1021">
        <f>(VLOOKUP(YEAR($A35),'NY East Load Projections'!$A$4:$EO$14,((MONTH($A35)-1)*12)+VLOOKUP(AR$4,$DE$6:$DF$17,2)+1))*(VLOOKUP($A35,SatSunCurve,2))*(INDEX(DailyScalarsTable,AR$5/100,MONTH($A35)))*$C35</f>
        <v>-10259.549491682823</v>
      </c>
      <c r="AS35" s="1021">
        <f>(VLOOKUP(YEAR($A35),'NY East Load Projections'!$A$4:$EO$14,((MONTH($A35)-1)*12)+VLOOKUP(AS$4,$DE$6:$DF$17,2)+1))*(VLOOKUP($A35,SatSunCurve,2))*(INDEX(DailyScalarsTable,AS$5/100,MONTH($A35)))*$C35</f>
        <v>-10784.198562734311</v>
      </c>
      <c r="AT35" s="1021">
        <f>(VLOOKUP(YEAR($A35),'NY East Load Projections'!$A$4:$EO$14,((MONTH($A35)-1)*12)+VLOOKUP(AT$4,$DE$6:$DF$17,2)+1))*(VLOOKUP($A35,SatSunCurve,2))*(INDEX(DailyScalarsTable,AT$5/100,MONTH($A35)))*$C35</f>
        <v>-11926.070304545834</v>
      </c>
      <c r="AU35" s="1021">
        <f>(VLOOKUP(YEAR($A35),'NY East Load Projections'!$A$4:$EO$14,((MONTH($A35)-1)*12)+VLOOKUP(AU$4,$DE$6:$DF$17,2)+1))*(VLOOKUP($A35,SatSunCurve,2))*(INDEX(DailyScalarsTable,AU$5/100,MONTH($A35)))*$C35</f>
        <v>-12017.839560489358</v>
      </c>
      <c r="AV35" s="1021">
        <f>(VLOOKUP(YEAR($A35),'NY East Load Projections'!$A$4:$EO$14,((MONTH($A35)-1)*12)+VLOOKUP(AV$4,$DE$6:$DF$17,2)+1))*(VLOOKUP($A35,SatSunCurve,2))*(INDEX(DailyScalarsTable,AV$5/100,MONTH($A35)))*$C35</f>
        <v>-12037.50440104868</v>
      </c>
      <c r="AW35" s="1021">
        <f>(VLOOKUP(YEAR($A35),'NY East Load Projections'!$A$4:$EO$14,((MONTH($A35)-1)*12)+VLOOKUP(AW$4,$DE$6:$DF$17,2)+1))*(VLOOKUP($A35,SatSunCurve,2))*(INDEX(DailyScalarsTable,AW$5/100,MONTH($A35)))*$C35</f>
        <v>-11686.238335138727</v>
      </c>
      <c r="AX35" s="1021">
        <f>(VLOOKUP(YEAR($A35),'NY East Load Projections'!$A$4:$EO$14,((MONTH($A35)-1)*12)+VLOOKUP(AX$4,$DE$6:$DF$17,2)+1))*(VLOOKUP($A35,SatSunCurve,2))*(INDEX(DailyScalarsTable,AX$5/100,MONTH($A35)))*$C35</f>
        <v>-11339.320746580861</v>
      </c>
      <c r="AY35" s="1021">
        <f>(VLOOKUP(YEAR($A35),'NY East Load Projections'!$A$4:$EO$14,((MONTH($A35)-1)*12)+VLOOKUP(AY$4,$DE$6:$DF$17,2)+1))*(VLOOKUP($A35,SatSunCurve,2))*(INDEX(DailyScalarsTable,AY$5/100,MONTH($A35)))*$C35</f>
        <v>-9682.382227945287</v>
      </c>
      <c r="AZ35" s="1021">
        <f>(VLOOKUP(YEAR($A35),'NY East Load Projections'!$A$4:$EO$14,((MONTH($A35)-1)*12)+VLOOKUP(AZ$4,$DE$6:$DF$17,2)+1))*(VLOOKUP($A35,SatSunCurve,2))*(INDEX(DailyScalarsTable,AZ$5/100,MONTH($A35)))*$C35</f>
        <v>-7742.399034168644</v>
      </c>
      <c r="BA35" s="1021">
        <f>(VLOOKUP(YEAR($A35),'NY East Load Projections'!$A$4:$EO$14,((MONTH($A35)-1)*12)+VLOOKUP(BA$4,$DE$6:$DF$17,2)+1))*(VLOOKUP($A35,SatSunCurve,2))*(INDEX(DailyScalarsTable,BA$5/100,MONTH($A35)))*$C35</f>
        <v>-8117.3428929152951</v>
      </c>
      <c r="BB35" s="1021">
        <f>(VLOOKUP(YEAR($A35),'NY East Load Projections'!$A$4:$EO$14,((MONTH($A35)-1)*12)+VLOOKUP(BB$4,$DE$6:$DF$17,2)+1))*(VLOOKUP($A35,SatSunCurve,2))*(INDEX(DailyScalarsTable,BB$5/100,MONTH($A35)))*$C35</f>
        <v>-8270.7966808581732</v>
      </c>
      <c r="BC35" s="1021">
        <f>(VLOOKUP(YEAR($A35),'NY East Load Projections'!$A$4:$EO$14,((MONTH($A35)-1)*12)+VLOOKUP(BC$4,$DE$6:$DF$17,2)+1))*(VLOOKUP($A35,SatSunCurve,2))*(INDEX(DailyScalarsTable,BC$5/100,MONTH($A35)))*$C35</f>
        <v>-6632.3452127436822</v>
      </c>
      <c r="BD35" s="1021">
        <f>(VLOOKUP(YEAR($A35),'NY East Load Projections'!$A$4:$EO$14,((MONTH($A35)-1)*12)+VLOOKUP(BD$4,$DE$6:$DF$17,2)+1))*(VLOOKUP($A35,CURVES!$D$9:$T$261,6))*(INDEX(DailyScalarsTable,BD$5/100,MONTH($A35)))*$C35</f>
        <v>-9556.8233356253004</v>
      </c>
      <c r="BE35" s="1021"/>
      <c r="BF35" s="1021">
        <f>(VLOOKUP(YEAR($A35),'NY East Load Projections'!$A$4:$EO$14,((MONTH($A35)-1)*12)+VLOOKUP(BF$4,$DE$6:$DF$17,2)+1))*(VLOOKUP($A35,CURVES!$D$9:$T$261,6))*(INDEX(DailyScalarsTable,BF$5/100,MONTH($A35)))*$D35</f>
        <v>-9731.2981257733372</v>
      </c>
      <c r="BG35" s="1021">
        <f>(VLOOKUP(YEAR($A35),'NY East Load Projections'!$A$4:$EO$14,((MONTH($A35)-1)*12)+VLOOKUP(BG$4,$DE$6:$DF$17,2)+1))*(VLOOKUP($A35,CURVES!$D$9:$T$261,6))*(INDEX(DailyScalarsTable,BG$5/100,MONTH($A35)))*$D35</f>
        <v>-8062.5062792752215</v>
      </c>
      <c r="BH35" s="1021">
        <f>(VLOOKUP(YEAR($A35),'NY East Load Projections'!$A$4:$EO$14,((MONTH($A35)-1)*12)+VLOOKUP(BH$4,$DE$6:$DF$17,2)+1))*(VLOOKUP($A35,CURVES!$D$9:$T$261,6))*(INDEX(DailyScalarsTable,BH$5/100,MONTH($A35)))*$D35</f>
        <v>-6777.287484061746</v>
      </c>
      <c r="BI35" s="1021">
        <f>(VLOOKUP(YEAR($A35),'NY East Load Projections'!$A$4:$EO$14,((MONTH($A35)-1)*12)+VLOOKUP(BI$4,$DE$6:$DF$17,2)+1))*(VLOOKUP($A35,CURVES!$D$9:$T$261,6))*(INDEX(DailyScalarsTable,BI$5/100,MONTH($A35)))*$D35</f>
        <v>-6291.5943347078191</v>
      </c>
      <c r="BJ35" s="1021">
        <f>(VLOOKUP(YEAR($A35),'NY East Load Projections'!$A$4:$EO$14,((MONTH($A35)-1)*12)+VLOOKUP(BJ$4,$DE$6:$DF$17,2)+1))*(VLOOKUP($A35,CURVES!$D$9:$T$261,6))*(INDEX(DailyScalarsTable,BJ$5/100,MONTH($A35)))*$D35</f>
        <v>-6890.6826070395273</v>
      </c>
      <c r="BK35" s="1021">
        <f>(VLOOKUP(YEAR($A35),'NY East Load Projections'!$A$4:$EO$14,((MONTH($A35)-1)*12)+VLOOKUP(BK$4,$DE$6:$DF$17,2)+1))*(VLOOKUP($A35,CURVES!$D$9:$T$261,6))*(INDEX(DailyScalarsTable,BK$5/100,MONTH($A35)))*$D35</f>
        <v>-8407.1357501215825</v>
      </c>
      <c r="BL35" s="1021">
        <f>(VLOOKUP(YEAR($A35),'NY East Load Projections'!$A$4:$EO$14,((MONTH($A35)-1)*12)+VLOOKUP(BL$4,$DE$6:$DF$17,2)+1))*(VLOOKUP($A35,CURVES!$D$9:$T$261,6))*(INDEX(DailyScalarsTable,BL$5/100,MONTH($A35)))*$D35</f>
        <v>-9639.41110685493</v>
      </c>
      <c r="BM35" s="1021">
        <f>(VLOOKUP(YEAR($A35),'NY East Load Projections'!$A$4:$EO$14,((MONTH($A35)-1)*12)+VLOOKUP(BM$4,$DE$6:$DF$17,2)+1))*(VLOOKUP($A35,SatSunCurve,6))*(INDEX(DailyScalarsTable,BM$5/100,MONTH($A35)))*$D35</f>
        <v>-5063.9680907354532</v>
      </c>
      <c r="BN35" s="1021">
        <f>(VLOOKUP(YEAR($A35),'NY East Load Projections'!$A$4:$EO$14,((MONTH($A35)-1)*12)+VLOOKUP(BN$4,$DE$6:$DF$17,2)+1))*(VLOOKUP($A35,SatSunCurve,6))*(INDEX(DailyScalarsTable,BN$5/100,MONTH($A35)))*$D35</f>
        <v>-6432.9467833971285</v>
      </c>
      <c r="BO35" s="1021">
        <f>(VLOOKUP(YEAR($A35),'NY East Load Projections'!$A$4:$EO$14,((MONTH($A35)-1)*12)+VLOOKUP(BO$4,$DE$6:$DF$17,2)+1))*(VLOOKUP($A35,SatSunCurve,6))*(INDEX(DailyScalarsTable,BO$5/100,MONTH($A35)))*$D35</f>
        <v>-7195.203054313246</v>
      </c>
      <c r="BP35" s="1021">
        <f>(VLOOKUP(YEAR($A35),'NY East Load Projections'!$A$4:$EO$14,((MONTH($A35)-1)*12)+VLOOKUP(BP$4,$DE$6:$DF$17,2)+1))*(VLOOKUP($A35,SatSunCurve,6))*(INDEX(DailyScalarsTable,BP$5/100,MONTH($A35)))*$D35</f>
        <v>-8276.5695688229462</v>
      </c>
      <c r="BQ35" s="1021">
        <f>(VLOOKUP(YEAR($A35),'NY East Load Projections'!$A$4:$EO$14,((MONTH($A35)-1)*12)+VLOOKUP(BQ$4,$DE$6:$DF$17,2)+1))*(VLOOKUP($A35,SatSunCurve,6))*(INDEX(DailyScalarsTable,BQ$5/100,MONTH($A35)))*$D35</f>
        <v>-8926.0660363491079</v>
      </c>
      <c r="BR35" s="1021">
        <f>(VLOOKUP(YEAR($A35),'NY East Load Projections'!$A$4:$EO$14,((MONTH($A35)-1)*12)+VLOOKUP(BR$4,$DE$6:$DF$17,2)+1))*(VLOOKUP($A35,SatSunCurve,6))*(INDEX(DailyScalarsTable,BR$5/100,MONTH($A35)))*$D35</f>
        <v>-9382.5239205779671</v>
      </c>
      <c r="BS35" s="1021">
        <f>(VLOOKUP(YEAR($A35),'NY East Load Projections'!$A$4:$EO$14,((MONTH($A35)-1)*12)+VLOOKUP(BS$4,$DE$6:$DF$17,2)+1))*(VLOOKUP($A35,SatSunCurve,6))*(INDEX(DailyScalarsTable,BS$5/100,MONTH($A35)))*$D35</f>
        <v>-10375.981048565254</v>
      </c>
      <c r="BT35" s="1021">
        <f>(VLOOKUP(YEAR($A35),'NY East Load Projections'!$A$4:$EO$14,((MONTH($A35)-1)*12)+VLOOKUP(BT$4,$DE$6:$DF$17,2)+1))*(VLOOKUP($A35,SatSunCurve,6))*(INDEX(DailyScalarsTable,BT$5/100,MONTH($A35)))*$D35</f>
        <v>-10455.822608793856</v>
      </c>
      <c r="BU35" s="1021">
        <f>(VLOOKUP(YEAR($A35),'NY East Load Projections'!$A$4:$EO$14,((MONTH($A35)-1)*12)+VLOOKUP(BU$4,$DE$6:$DF$17,2)+1))*(VLOOKUP($A35,SatSunCurve,6))*(INDEX(DailyScalarsTable,BU$5/100,MONTH($A35)))*$D35</f>
        <v>-10472.931514557124</v>
      </c>
      <c r="BV35" s="1021">
        <f>(VLOOKUP(YEAR($A35),'NY East Load Projections'!$A$4:$EO$14,((MONTH($A35)-1)*12)+VLOOKUP(BV$4,$DE$6:$DF$17,2)+1))*(VLOOKUP($A35,SatSunCurve,6))*(INDEX(DailyScalarsTable,BV$5/100,MONTH($A35)))*$D35</f>
        <v>-10167.321204554466</v>
      </c>
      <c r="BW35" s="1021">
        <f>(VLOOKUP(YEAR($A35),'NY East Load Projections'!$A$4:$EO$14,((MONTH($A35)-1)*12)+VLOOKUP(BW$4,$DE$6:$DF$17,2)+1))*(VLOOKUP($A35,SatSunCurve,6))*(INDEX(DailyScalarsTable,BW$5/100,MONTH($A35)))*$D35</f>
        <v>-9865.4941791915226</v>
      </c>
      <c r="BX35" s="1021">
        <f>(VLOOKUP(YEAR($A35),'NY East Load Projections'!$A$4:$EO$14,((MONTH($A35)-1)*12)+VLOOKUP(BX$4,$DE$6:$DF$17,2)+1))*(VLOOKUP($A35,SatSunCurve,6))*(INDEX(DailyScalarsTable,BX$5/100,MONTH($A35)))*$D35</f>
        <v>-8423.9160039021062</v>
      </c>
      <c r="BY35" s="1021">
        <f>(VLOOKUP(YEAR($A35),'NY East Load Projections'!$A$4:$EO$14,((MONTH($A35)-1)*12)+VLOOKUP(BY$4,$DE$6:$DF$17,2)+1))*(VLOOKUP($A35,SatSunCurve,6))*(INDEX(DailyScalarsTable,BY$5/100,MONTH($A35)))*$D35</f>
        <v>-6736.0818440205458</v>
      </c>
      <c r="BZ35" s="1021">
        <f>(VLOOKUP(YEAR($A35),'NY East Load Projections'!$A$4:$EO$14,((MONTH($A35)-1)*12)+VLOOKUP(BZ$4,$DE$6:$DF$17,2)+1))*(VLOOKUP($A35,SatSunCurve,6))*(INDEX(DailyScalarsTable,BZ$5/100,MONTH($A35)))*$D35</f>
        <v>-7062.2924291743393</v>
      </c>
      <c r="CA35" s="1021">
        <f>(VLOOKUP(YEAR($A35),'NY East Load Projections'!$A$4:$EO$14,((MONTH($A35)-1)*12)+VLOOKUP(CA$4,$DE$6:$DF$17,2)+1))*(VLOOKUP($A35,SatSunCurve,6))*(INDEX(DailyScalarsTable,CA$5/100,MONTH($A35)))*$D35</f>
        <v>-7195.801083313243</v>
      </c>
      <c r="CB35" s="1021">
        <f>(VLOOKUP(YEAR($A35),'NY East Load Projections'!$A$4:$EO$14,((MONTH($A35)-1)*12)+VLOOKUP(CB$4,$DE$6:$DF$17,2)+1))*(VLOOKUP($A35,SatSunCurve,6))*(INDEX(DailyScalarsTable,CB$5/100,MONTH($A35)))*$D35</f>
        <v>-5770.3071068380395</v>
      </c>
      <c r="CC35" s="1021">
        <f>(VLOOKUP(YEAR($A35),'NY East Load Projections'!$A$4:$EO$14,((MONTH($A35)-1)*12)+VLOOKUP(CC$4,$DE$6:$DF$17,2)+1))*(VLOOKUP($A35,CURVES!$D$9:$T$261,6))*(INDEX(DailyScalarsTable,CC$5/100,MONTH($A35)))*$D35</f>
        <v>-11946.029169531626</v>
      </c>
      <c r="CE35" s="1021">
        <f>(VLOOKUP(YEAR($A35),'NY East Load Projections'!$A$4:$EO$14,((MONTH($A35)-1)*12)+VLOOKUP(CE$4,$DE$6:$DF$17,2)+1))*(VLOOKUP($A35,CURVES!$D$9:$T$261,6))*(INDEX(DailyScalarsTable,CE$5/100,MONTH($A35)))*$E35</f>
        <v>0</v>
      </c>
      <c r="CF35" s="1021">
        <f>(VLOOKUP(YEAR($A35),'NY East Load Projections'!$A$4:$EO$14,((MONTH($A35)-1)*12)+VLOOKUP(CF$4,$DE$6:$DF$17,2)+1))*(VLOOKUP($A35,CURVES!$D$9:$T$261,6))*(INDEX(DailyScalarsTable,CF$5/100,MONTH($A35)))*$E35</f>
        <v>0</v>
      </c>
      <c r="CG35" s="1021">
        <f>(VLOOKUP(YEAR($A35),'NY East Load Projections'!$A$4:$EO$14,((MONTH($A35)-1)*12)+VLOOKUP(CG$4,$DE$6:$DF$17,2)+1))*(VLOOKUP($A35,CURVES!$D$9:$T$261,6))*(INDEX(DailyScalarsTable,CG$5/100,MONTH($A35)))*$E35</f>
        <v>0</v>
      </c>
      <c r="CH35" s="1021">
        <f>(VLOOKUP(YEAR($A35),'NY East Load Projections'!$A$4:$EO$14,((MONTH($A35)-1)*12)+VLOOKUP(CH$4,$DE$6:$DF$17,2)+1))*(VLOOKUP($A35,CURVES!$D$9:$T$261,6))*(INDEX(DailyScalarsTable,CH$5/100,MONTH($A35)))*$E35</f>
        <v>0</v>
      </c>
      <c r="CI35" s="1021">
        <f>(VLOOKUP(YEAR($A35),'NY East Load Projections'!$A$4:$EO$14,((MONTH($A35)-1)*12)+VLOOKUP(CI$4,$DE$6:$DF$17,2)+1))*(VLOOKUP($A35,CURVES!$D$9:$T$261,6))*(INDEX(DailyScalarsTable,CI$5/100,MONTH($A35)))*$E35</f>
        <v>0</v>
      </c>
      <c r="CJ35" s="1021">
        <f>(VLOOKUP(YEAR($A35),'NY East Load Projections'!$A$4:$EO$14,((MONTH($A35)-1)*12)+VLOOKUP(CJ$4,$DE$6:$DF$17,2)+1))*(VLOOKUP($A35,CURVES!$D$9:$T$261,6))*(INDEX(DailyScalarsTable,CJ$5/100,MONTH($A35)))*$E35</f>
        <v>0</v>
      </c>
      <c r="CK35" s="1021">
        <f>(VLOOKUP(YEAR($A35),'NY East Load Projections'!$A$4:$EO$14,((MONTH($A35)-1)*12)+VLOOKUP(CK$4,$DE$6:$DF$17,2)+1))*(VLOOKUP($A35,CURVES!$D$9:$T$261,6))*(INDEX(DailyScalarsTable,CK$5/100,MONTH($A35)))*$E35</f>
        <v>0</v>
      </c>
      <c r="CL35" s="1021">
        <f>(VLOOKUP(YEAR($A35),'NY East Load Projections'!$A$4:$EO$14,((MONTH($A35)-1)*12)+VLOOKUP(CL$4,$DE$6:$DF$17,2)+1))*(VLOOKUP($A35,SatSunCurve,6))*(INDEX(DailyScalarsTable,CL$5/100,MONTH($A35)))*$E35</f>
        <v>0</v>
      </c>
      <c r="CM35" s="1021">
        <f>(VLOOKUP(YEAR($A35),'NY East Load Projections'!$A$4:$EO$14,((MONTH($A35)-1)*12)+VLOOKUP(CM$4,$DE$6:$DF$17,2)+1))*(VLOOKUP($A35,SatSunCurve,6))*(INDEX(DailyScalarsTable,CM$5/100,MONTH($A35)))*$E35</f>
        <v>0</v>
      </c>
      <c r="CN35" s="1021">
        <f>(VLOOKUP(YEAR($A35),'NY East Load Projections'!$A$4:$EO$14,((MONTH($A35)-1)*12)+VLOOKUP(CN$4,$DE$6:$DF$17,2)+1))*(VLOOKUP($A35,SatSunCurve,6))*(INDEX(DailyScalarsTable,CN$5/100,MONTH($A35)))*$E35</f>
        <v>0</v>
      </c>
      <c r="CO35" s="1021">
        <f>(VLOOKUP(YEAR($A35),'NY East Load Projections'!$A$4:$EO$14,((MONTH($A35)-1)*12)+VLOOKUP(CO$4,$DE$6:$DF$17,2)+1))*(VLOOKUP($A35,SatSunCurve,6))*(INDEX(DailyScalarsTable,CO$5/100,MONTH($A35)))*$E35</f>
        <v>0</v>
      </c>
      <c r="CP35" s="1021">
        <f>(VLOOKUP(YEAR($A35),'NY East Load Projections'!$A$4:$EO$14,((MONTH($A35)-1)*12)+VLOOKUP(CP$4,$DE$6:$DF$17,2)+1))*(VLOOKUP($A35,SatSunCurve,6))*(INDEX(DailyScalarsTable,CP$5/100,MONTH($A35)))*$E35</f>
        <v>0</v>
      </c>
      <c r="CQ35" s="1021">
        <f>(VLOOKUP(YEAR($A35),'NY East Load Projections'!$A$4:$EO$14,((MONTH($A35)-1)*12)+VLOOKUP(CQ$4,$DE$6:$DF$17,2)+1))*(VLOOKUP($A35,SatSunCurve,6))*(INDEX(DailyScalarsTable,CQ$5/100,MONTH($A35)))*$E35</f>
        <v>0</v>
      </c>
      <c r="CR35" s="1021">
        <f>(VLOOKUP(YEAR($A35),'NY East Load Projections'!$A$4:$EO$14,((MONTH($A35)-1)*12)+VLOOKUP(CR$4,$DE$6:$DF$17,2)+1))*(VLOOKUP($A35,SatSunCurve,6))*(INDEX(DailyScalarsTable,CR$5/100,MONTH($A35)))*$E35</f>
        <v>0</v>
      </c>
      <c r="CS35" s="1021">
        <f>(VLOOKUP(YEAR($A35),'NY East Load Projections'!$A$4:$EO$14,((MONTH($A35)-1)*12)+VLOOKUP(CS$4,$DE$6:$DF$17,2)+1))*(VLOOKUP($A35,SatSunCurve,6))*(INDEX(DailyScalarsTable,CS$5/100,MONTH($A35)))*$E35</f>
        <v>0</v>
      </c>
      <c r="CT35" s="1021">
        <f>(VLOOKUP(YEAR($A35),'NY East Load Projections'!$A$4:$EO$14,((MONTH($A35)-1)*12)+VLOOKUP(CT$4,$DE$6:$DF$17,2)+1))*(VLOOKUP($A35,SatSunCurve,6))*(INDEX(DailyScalarsTable,CT$5/100,MONTH($A35)))*$E35</f>
        <v>0</v>
      </c>
      <c r="CU35" s="1021">
        <f>(VLOOKUP(YEAR($A35),'NY East Load Projections'!$A$4:$EO$14,((MONTH($A35)-1)*12)+VLOOKUP(CU$4,$DE$6:$DF$17,2)+1))*(VLOOKUP($A35,SatSunCurve,6))*(INDEX(DailyScalarsTable,CU$5/100,MONTH($A35)))*$E35</f>
        <v>0</v>
      </c>
      <c r="CV35" s="1021">
        <f>(VLOOKUP(YEAR($A35),'NY East Load Projections'!$A$4:$EO$14,((MONTH($A35)-1)*12)+VLOOKUP(CV$4,$DE$6:$DF$17,2)+1))*(VLOOKUP($A35,SatSunCurve,6))*(INDEX(DailyScalarsTable,CV$5/100,MONTH($A35)))*$E35</f>
        <v>0</v>
      </c>
      <c r="CW35" s="1021">
        <f>(VLOOKUP(YEAR($A35),'NY East Load Projections'!$A$4:$EO$14,((MONTH($A35)-1)*12)+VLOOKUP(CW$4,$DE$6:$DF$17,2)+1))*(VLOOKUP($A35,SatSunCurve,6))*(INDEX(DailyScalarsTable,CW$5/100,MONTH($A35)))*$E35</f>
        <v>0</v>
      </c>
      <c r="CX35" s="1021">
        <f>(VLOOKUP(YEAR($A35),'NY East Load Projections'!$A$4:$EO$14,((MONTH($A35)-1)*12)+VLOOKUP(CX$4,$DE$6:$DF$17,2)+1))*(VLOOKUP($A35,SatSunCurve,6))*(INDEX(DailyScalarsTable,CX$5/100,MONTH($A35)))*$E35</f>
        <v>0</v>
      </c>
      <c r="CY35" s="1021">
        <f>(VLOOKUP(YEAR($A35),'NY East Load Projections'!$A$4:$EO$14,((MONTH($A35)-1)*12)+VLOOKUP(CY$4,$DE$6:$DF$17,2)+1))*(VLOOKUP($A35,SatSunCurve,6))*(INDEX(DailyScalarsTable,CY$5/100,MONTH($A35)))*$E35</f>
        <v>0</v>
      </c>
      <c r="CZ35" s="1021">
        <f>(VLOOKUP(YEAR($A35),'NY East Load Projections'!$A$4:$EO$14,((MONTH($A35)-1)*12)+VLOOKUP(CZ$4,$DE$6:$DF$17,2)+1))*(VLOOKUP($A35,SatSunCurve,6))*(INDEX(DailyScalarsTable,CZ$5/100,MONTH($A35)))*$E35</f>
        <v>0</v>
      </c>
      <c r="DA35" s="1021">
        <f>(VLOOKUP(YEAR($A35),'NY East Load Projections'!$A$4:$EO$14,((MONTH($A35)-1)*12)+VLOOKUP(DA$4,$DE$6:$DF$17,2)+1))*(VLOOKUP($A35,SatSunCurve,6))*(INDEX(DailyScalarsTable,DA$5/100,MONTH($A35)))*$E35</f>
        <v>0</v>
      </c>
      <c r="DB35" s="1021">
        <f>(VLOOKUP(YEAR($A35),'NY East Load Projections'!$A$4:$EO$14,((MONTH($A35)-1)*12)+VLOOKUP(DB$4,$DE$6:$DF$17,2)+1))*(VLOOKUP($A35,CURVES!$D$9:$T$261,6))*(INDEX(DailyScalarsTable,DB$5/100,MONTH($A35)))*$E35</f>
        <v>0</v>
      </c>
      <c r="DH35" s="1021">
        <f t="shared" si="0"/>
        <v>-2386426.0284694782</v>
      </c>
      <c r="DI35">
        <f ca="1">CALC!J55</f>
        <v>0.78682273410589021</v>
      </c>
      <c r="DJ35" s="1029">
        <f t="shared" ca="1" si="1"/>
        <v>-1877694.252461816</v>
      </c>
    </row>
    <row r="36" spans="1:114" x14ac:dyDescent="0.25">
      <c r="A36" s="244">
        <v>37803</v>
      </c>
      <c r="B36" s="13">
        <v>22</v>
      </c>
      <c r="C36" s="210">
        <v>4</v>
      </c>
      <c r="D36" s="210">
        <v>4</v>
      </c>
      <c r="E36" s="210">
        <v>1</v>
      </c>
      <c r="F36" s="13">
        <v>31</v>
      </c>
      <c r="H36" s="1021">
        <f>(VLOOKUP(YEAR($A36),'NY East Load Projections'!$A$4:$EO$14,((MONTH($A36)-1)*12)+VLOOKUP(H$4,$DE$6:$DF$17,2)+1))*(VLOOKUP($A36,CURVES!$D$9:$K$261,6))*(INDEX(DailyScalarsTable,H$5/100,MONTH($A36)))*$B36</f>
        <v>-51759.331173496554</v>
      </c>
      <c r="I36" s="1021">
        <f>(VLOOKUP(YEAR($A36),'NY East Load Projections'!$A$4:$EO$14,((MONTH($A36)-1)*12)+VLOOKUP(I$4,$DE$6:$DF$17,2)+1))*(VLOOKUP($A36,CURVES!$D$9:$K$261,6))*(INDEX(DailyScalarsTable,I$5/100,MONTH($A36)))*$B36</f>
        <v>-47278.702777896528</v>
      </c>
      <c r="J36" s="1021">
        <f>(VLOOKUP(YEAR($A36),'NY East Load Projections'!$A$4:$EO$14,((MONTH($A36)-1)*12)+VLOOKUP(J$4,$DE$6:$DF$17,2)+1))*(VLOOKUP($A36,CURVES!$D$9:$K$261,6))*(INDEX(DailyScalarsTable,J$5/100,MONTH($A36)))*$B36</f>
        <v>-45048.480085492032</v>
      </c>
      <c r="K36" s="1021">
        <f>(VLOOKUP(YEAR($A36),'NY East Load Projections'!$A$4:$EO$14,((MONTH($A36)-1)*12)+VLOOKUP(K$4,$DE$6:$DF$17,2)+1))*(VLOOKUP($A36,CURVES!$D$9:$K$261,6))*(INDEX(DailyScalarsTable,K$5/100,MONTH($A36)))*$B36</f>
        <v>-40567.851689892006</v>
      </c>
      <c r="L36" s="1021">
        <f>(VLOOKUP(YEAR($A36),'NY East Load Projections'!$A$4:$EO$14,((MONTH($A36)-1)*12)+VLOOKUP(L$4,$DE$6:$DF$17,2)+1))*(VLOOKUP($A36,CURVES!$D$9:$K$261,6))*(INDEX(DailyScalarsTable,L$5/100,MONTH($A36)))*$B36</f>
        <v>-42259.006100051418</v>
      </c>
      <c r="M36" s="1021">
        <f>(VLOOKUP(YEAR($A36),'NY East Load Projections'!$A$4:$EO$14,((MONTH($A36)-1)*12)+VLOOKUP(M$4,$DE$6:$DF$17,2)+1))*(VLOOKUP($A36,CURVES!$D$9:$K$261,6))*(INDEX(DailyScalarsTable,M$5/100,MONTH($A36)))*$B36</f>
        <v>-46589.003842483304</v>
      </c>
      <c r="N36" s="1021">
        <f>(VLOOKUP(YEAR($A36),'NY East Load Projections'!$A$4:$EO$14,((MONTH($A36)-1)*12)+VLOOKUP(N$4,$DE$6:$DF$17,2)+1))*(VLOOKUP($A36,CURVES!$D$9:$K$261,6))*(INDEX(DailyScalarsTable,N$5/100,MONTH($A36)))*$B36</f>
        <v>-51738.489648700255</v>
      </c>
      <c r="O36" s="1021">
        <f>(VLOOKUP(YEAR($A36),'NY East Load Projections'!$A$4:$EO$14,((MONTH($A36)-1)*12)+VLOOKUP(O$4,$DE$6:$DF$17,2)+1))*(VLOOKUP($A36,CURVES!$D$9:$K$261,2))*(INDEX(DailyScalarsTable,O$5/100,MONTH($A36)))*$B36</f>
        <v>-90057.274282709885</v>
      </c>
      <c r="P36" s="1021">
        <f>(VLOOKUP(YEAR($A36),'NY East Load Projections'!$A$4:$EO$14,((MONTH($A36)-1)*12)+VLOOKUP(P$4,$DE$6:$DF$17,2)+1))*(VLOOKUP($A36,CURVES!$D$9:$K$261,2))*(INDEX(DailyScalarsTable,P$5/100,MONTH($A36)))*$B36</f>
        <v>-111527.42627062807</v>
      </c>
      <c r="Q36" s="1021">
        <f>(VLOOKUP(YEAR($A36),'NY East Load Projections'!$A$4:$EO$14,((MONTH($A36)-1)*12)+VLOOKUP(Q$4,$DE$6:$DF$17,2)+1))*(VLOOKUP($A36,CURVES!$D$9:$K$261,2))*(INDEX(DailyScalarsTable,Q$5/100,MONTH($A36)))*$B36</f>
        <v>-133528.9025224142</v>
      </c>
      <c r="R36" s="1021">
        <f>(VLOOKUP(YEAR($A36),'NY East Load Projections'!$A$4:$EO$14,((MONTH($A36)-1)*12)+VLOOKUP(R$4,$DE$6:$DF$17,2)+1))*(VLOOKUP($A36,CURVES!$D$9:$K$261,2))*(INDEX(DailyScalarsTable,R$5/100,MONTH($A36)))*$B36</f>
        <v>-151941.8189012238</v>
      </c>
      <c r="S36" s="1021">
        <f>(VLOOKUP(YEAR($A36),'NY East Load Projections'!$A$4:$EO$14,((MONTH($A36)-1)*12)+VLOOKUP(S$4,$DE$6:$DF$17,2)+1))*(VLOOKUP($A36,CURVES!$D$9:$K$261,2))*(INDEX(DailyScalarsTable,S$5/100,MONTH($A36)))*$B36</f>
        <v>-181653.21418141367</v>
      </c>
      <c r="T36" s="1021">
        <f>(VLOOKUP(YEAR($A36),'NY East Load Projections'!$A$4:$EO$14,((MONTH($A36)-1)*12)+VLOOKUP(T$4,$DE$6:$DF$17,2)+1))*(VLOOKUP($A36,CURVES!$D$9:$K$261,2))*(INDEX(DailyScalarsTable,T$5/100,MONTH($A36)))*$B36</f>
        <v>-202252.89926870496</v>
      </c>
      <c r="U36" s="1021">
        <f>(VLOOKUP(YEAR($A36),'NY East Load Projections'!$A$4:$EO$14,((MONTH($A36)-1)*12)+VLOOKUP(U$4,$DE$6:$DF$17,2)+1))*(VLOOKUP($A36,CURVES!$D$9:$K$261,2))*(INDEX(DailyScalarsTable,U$5/100,MONTH($A36)))*$B36</f>
        <v>-209060.09609756712</v>
      </c>
      <c r="V36" s="1021">
        <f>(VLOOKUP(YEAR($A36),'NY East Load Projections'!$A$4:$EO$14,((MONTH($A36)-1)*12)+VLOOKUP(V$4,$DE$6:$DF$17,2)+1))*(VLOOKUP($A36,CURVES!$D$9:$K$261,2))*(INDEX(DailyScalarsTable,V$5/100,MONTH($A36)))*$B36</f>
        <v>-217766.97576239082</v>
      </c>
      <c r="W36" s="1021">
        <f>(VLOOKUP(YEAR($A36),'NY East Load Projections'!$A$4:$EO$14,((MONTH($A36)-1)*12)+VLOOKUP(W$4,$DE$6:$DF$17,2)+1))*(VLOOKUP($A36,CURVES!$D$9:$K$261,2))*(INDEX(DailyScalarsTable,W$5/100,MONTH($A36)))*$B36</f>
        <v>-231112.24768502067</v>
      </c>
      <c r="X36" s="1021">
        <f>(VLOOKUP(YEAR($A36),'NY East Load Projections'!$A$4:$EO$14,((MONTH($A36)-1)*12)+VLOOKUP(X$4,$DE$6:$DF$17,2)+1))*(VLOOKUP($A36,CURVES!$D$9:$K$261,2))*(INDEX(DailyScalarsTable,X$5/100,MONTH($A36)))*$B36</f>
        <v>-222688.00295735835</v>
      </c>
      <c r="Y36" s="1021">
        <f>(VLOOKUP(YEAR($A36),'NY East Load Projections'!$A$4:$EO$14,((MONTH($A36)-1)*12)+VLOOKUP(Y$4,$DE$6:$DF$17,2)+1))*(VLOOKUP($A36,CURVES!$D$9:$K$261,2))*(INDEX(DailyScalarsTable,Y$5/100,MONTH($A36)))*$B36</f>
        <v>-217169.77899044778</v>
      </c>
      <c r="Z36" s="1021">
        <f>(VLOOKUP(YEAR($A36),'NY East Load Projections'!$A$4:$EO$14,((MONTH($A36)-1)*12)+VLOOKUP(Z$4,$DE$6:$DF$17,2)+1))*(VLOOKUP($A36,CURVES!$D$9:$K$261,2))*(INDEX(DailyScalarsTable,Z$5/100,MONTH($A36)))*$B36</f>
        <v>-181383.57315625538</v>
      </c>
      <c r="AA36" s="1021">
        <f>(VLOOKUP(YEAR($A36),'NY East Load Projections'!$A$4:$EO$14,((MONTH($A36)-1)*12)+VLOOKUP(AA$4,$DE$6:$DF$17,2)+1))*(VLOOKUP($A36,CURVES!$D$9:$K$261,2))*(INDEX(DailyScalarsTable,AA$5/100,MONTH($A36)))*$B36</f>
        <v>-134216.965048841</v>
      </c>
      <c r="AB36" s="1021">
        <f>(VLOOKUP(YEAR($A36),'NY East Load Projections'!$A$4:$EO$14,((MONTH($A36)-1)*12)+VLOOKUP(AB$4,$DE$6:$DF$17,2)+1))*(VLOOKUP($A36,CURVES!$D$9:$K$261,2))*(INDEX(DailyScalarsTable,AB$5/100,MONTH($A36)))*$B36</f>
        <v>-132186.81106528442</v>
      </c>
      <c r="AC36" s="1021">
        <f>(VLOOKUP(YEAR($A36),'NY East Load Projections'!$A$4:$EO$14,((MONTH($A36)-1)*12)+VLOOKUP(AC$4,$DE$6:$DF$17,2)+1))*(VLOOKUP($A36,CURVES!$D$9:$K$261,2))*(INDEX(DailyScalarsTable,AC$5/100,MONTH($A36)))*$B36</f>
        <v>-140069.81621796382</v>
      </c>
      <c r="AD36" s="1021">
        <f>(VLOOKUP(YEAR($A36),'NY East Load Projections'!$A$4:$EO$14,((MONTH($A36)-1)*12)+VLOOKUP(AD$4,$DE$6:$DF$17,2)+1))*(VLOOKUP($A36,CURVES!$D$9:$K$261,2))*(INDEX(DailyScalarsTable,AD$5/100,MONTH($A36)))*$B36</f>
        <v>-97272.555135680741</v>
      </c>
      <c r="AE36" s="1021">
        <f>(VLOOKUP(YEAR($A36),'NY East Load Projections'!$A$4:$EO$14,((MONTH($A36)-1)*12)+VLOOKUP(AE$4,$DE$6:$DF$17,2)+1))*(VLOOKUP($A36,CURVES!$D$9:$K$261,6))*(INDEX(DailyScalarsTable,AE$5/100,MONTH($A36)))*$B36</f>
        <v>-61268.862489098654</v>
      </c>
      <c r="AF36" s="1021"/>
      <c r="AG36" s="1021">
        <f>(VLOOKUP(YEAR($A36),'NY East Load Projections'!$A$4:$EO$14,((MONTH($A36)-1)*12)+VLOOKUP(AG$4,$DE$6:$DF$17,2)+1))*(VLOOKUP($A36,CURVES!$D$9:$T$261,6))*(INDEX(DailyScalarsTable,AG$5/100,MONTH($A36)))*$C36</f>
        <v>-9054.5330056655821</v>
      </c>
      <c r="AH36" s="1021">
        <f>(VLOOKUP(YEAR($A36),'NY East Load Projections'!$A$4:$EO$14,((MONTH($A36)-1)*12)+VLOOKUP(AH$4,$DE$6:$DF$17,2)+1))*(VLOOKUP($A36,CURVES!$D$9:$T$261,6))*(INDEX(DailyScalarsTable,AH$5/100,MONTH($A36)))*$C36</f>
        <v>-8270.7130301312609</v>
      </c>
      <c r="AI36" s="1021">
        <f>(VLOOKUP(YEAR($A36),'NY East Load Projections'!$A$4:$EO$14,((MONTH($A36)-1)*12)+VLOOKUP(AI$4,$DE$6:$DF$17,2)+1))*(VLOOKUP($A36,CURVES!$D$9:$T$261,6))*(INDEX(DailyScalarsTable,AI$5/100,MONTH($A36)))*$C36</f>
        <v>-7880.5684026693616</v>
      </c>
      <c r="AJ36" s="1021">
        <f>(VLOOKUP(YEAR($A36),'NY East Load Projections'!$A$4:$EO$14,((MONTH($A36)-1)*12)+VLOOKUP(AJ$4,$DE$6:$DF$17,2)+1))*(VLOOKUP($A36,CURVES!$D$9:$T$261,6))*(INDEX(DailyScalarsTable,AJ$5/100,MONTH($A36)))*$C36</f>
        <v>-7096.7484271350413</v>
      </c>
      <c r="AK36" s="1021">
        <f>(VLOOKUP(YEAR($A36),'NY East Load Projections'!$A$4:$EO$14,((MONTH($A36)-1)*12)+VLOOKUP(AK$4,$DE$6:$DF$17,2)+1))*(VLOOKUP($A36,CURVES!$D$9:$T$261,6))*(INDEX(DailyScalarsTable,AK$5/100,MONTH($A36)))*$C36</f>
        <v>-6830.9297878461784</v>
      </c>
      <c r="AL36" s="1021">
        <f>(VLOOKUP(YEAR($A36),'NY East Load Projections'!$A$4:$EO$14,((MONTH($A36)-1)*12)+VLOOKUP(AL$4,$DE$6:$DF$17,2)+1))*(VLOOKUP($A36,CURVES!$D$9:$T$261,6))*(INDEX(DailyScalarsTable,AL$5/100,MONTH($A36)))*$C36</f>
        <v>-7530.8494804687807</v>
      </c>
      <c r="AM36" s="1021">
        <f>(VLOOKUP(YEAR($A36),'NY East Load Projections'!$A$4:$EO$14,((MONTH($A36)-1)*12)+VLOOKUP(AM$4,$DE$6:$DF$17,2)+1))*(VLOOKUP($A36,CURVES!$D$9:$T$261,6))*(INDEX(DailyScalarsTable,AM$5/100,MONTH($A36)))*$C36</f>
        <v>-8363.2347926670172</v>
      </c>
      <c r="AN36" s="1021">
        <f>(VLOOKUP(YEAR($A36),'NY East Load Projections'!$A$4:$EO$14,((MONTH($A36)-1)*12)+VLOOKUP(AN$4,$DE$6:$DF$17,2)+1))*(VLOOKUP($A36,SatSunCurve,2))*(INDEX(DailyScalarsTable,AN$5/100,MONTH($A36)))*$C36</f>
        <v>-7937.8056499622298</v>
      </c>
      <c r="AO36" s="1021">
        <f>(VLOOKUP(YEAR($A36),'NY East Load Projections'!$A$4:$EO$14,((MONTH($A36)-1)*12)+VLOOKUP(AO$4,$DE$6:$DF$17,2)+1))*(VLOOKUP($A36,SatSunCurve,2))*(INDEX(DailyScalarsTable,AO$5/100,MONTH($A36)))*$C36</f>
        <v>-9578.4444027508398</v>
      </c>
      <c r="AP36" s="1021">
        <f>(VLOOKUP(YEAR($A36),'NY East Load Projections'!$A$4:$EO$14,((MONTH($A36)-1)*12)+VLOOKUP(AP$4,$DE$6:$DF$17,2)+1))*(VLOOKUP($A36,SatSunCurve,2))*(INDEX(DailyScalarsTable,AP$5/100,MONTH($A36)))*$C36</f>
        <v>-11468.023711653774</v>
      </c>
      <c r="AQ36" s="1021">
        <f>(VLOOKUP(YEAR($A36),'NY East Load Projections'!$A$4:$EO$14,((MONTH($A36)-1)*12)+VLOOKUP(AQ$4,$DE$6:$DF$17,2)+1))*(VLOOKUP($A36,SatSunCurve,2))*(INDEX(DailyScalarsTable,AQ$5/100,MONTH($A36)))*$C36</f>
        <v>-13049.402406782654</v>
      </c>
      <c r="AR36" s="1021">
        <f>(VLOOKUP(YEAR($A36),'NY East Load Projections'!$A$4:$EO$14,((MONTH($A36)-1)*12)+VLOOKUP(AR$4,$DE$6:$DF$17,2)+1))*(VLOOKUP($A36,SatSunCurve,2))*(INDEX(DailyScalarsTable,AR$5/100,MONTH($A36)))*$C36</f>
        <v>-15601.141986326791</v>
      </c>
      <c r="AS36" s="1021">
        <f>(VLOOKUP(YEAR($A36),'NY East Load Projections'!$A$4:$EO$14,((MONTH($A36)-1)*12)+VLOOKUP(AS$4,$DE$6:$DF$17,2)+1))*(VLOOKUP($A36,SatSunCurve,2))*(INDEX(DailyScalarsTable,AS$5/100,MONTH($A36)))*$C36</f>
        <v>-17457.236389026206</v>
      </c>
      <c r="AT36" s="1021">
        <f>(VLOOKUP(YEAR($A36),'NY East Load Projections'!$A$4:$EO$14,((MONTH($A36)-1)*12)+VLOOKUP(AT$4,$DE$6:$DF$17,2)+1))*(VLOOKUP($A36,SatSunCurve,2))*(INDEX(DailyScalarsTable,AT$5/100,MONTH($A36)))*$C36</f>
        <v>-18044.792090911087</v>
      </c>
      <c r="AU36" s="1021">
        <f>(VLOOKUP(YEAR($A36),'NY East Load Projections'!$A$4:$EO$14,((MONTH($A36)-1)*12)+VLOOKUP(AU$4,$DE$6:$DF$17,2)+1))*(VLOOKUP($A36,SatSunCurve,2))*(INDEX(DailyScalarsTable,AU$5/100,MONTH($A36)))*$C36</f>
        <v>-18796.31682588012</v>
      </c>
      <c r="AV36" s="1021">
        <f>(VLOOKUP(YEAR($A36),'NY East Load Projections'!$A$4:$EO$14,((MONTH($A36)-1)*12)+VLOOKUP(AV$4,$DE$6:$DF$17,2)+1))*(VLOOKUP($A36,SatSunCurve,2))*(INDEX(DailyScalarsTable,AV$5/100,MONTH($A36)))*$C36</f>
        <v>-19948.199283296304</v>
      </c>
      <c r="AW36" s="1021">
        <f>(VLOOKUP(YEAR($A36),'NY East Load Projections'!$A$4:$EO$14,((MONTH($A36)-1)*12)+VLOOKUP(AW$4,$DE$6:$DF$17,2)+1))*(VLOOKUP($A36,SatSunCurve,2))*(INDEX(DailyScalarsTable,AW$5/100,MONTH($A36)))*$C36</f>
        <v>-19346.143533943392</v>
      </c>
      <c r="AX36" s="1021">
        <f>(VLOOKUP(YEAR($A36),'NY East Load Projections'!$A$4:$EO$14,((MONTH($A36)-1)*12)+VLOOKUP(AX$4,$DE$6:$DF$17,2)+1))*(VLOOKUP($A36,SatSunCurve,2))*(INDEX(DailyScalarsTable,AX$5/100,MONTH($A36)))*$C36</f>
        <v>-18866.744772004964</v>
      </c>
      <c r="AY36" s="1021">
        <f>(VLOOKUP(YEAR($A36),'NY East Load Projections'!$A$4:$EO$14,((MONTH($A36)-1)*12)+VLOOKUP(AY$4,$DE$6:$DF$17,2)+1))*(VLOOKUP($A36,SatSunCurve,2))*(INDEX(DailyScalarsTable,AY$5/100,MONTH($A36)))*$C36</f>
        <v>-15757.798329406984</v>
      </c>
      <c r="AZ36" s="1021">
        <f>(VLOOKUP(YEAR($A36),'NY East Load Projections'!$A$4:$EO$14,((MONTH($A36)-1)*12)+VLOOKUP(AZ$4,$DE$6:$DF$17,2)+1))*(VLOOKUP($A36,SatSunCurve,2))*(INDEX(DailyScalarsTable,AZ$5/100,MONTH($A36)))*$C36</f>
        <v>-11660.173139288292</v>
      </c>
      <c r="BA36" s="1021">
        <f>(VLOOKUP(YEAR($A36),'NY East Load Projections'!$A$4:$EO$14,((MONTH($A36)-1)*12)+VLOOKUP(BA$4,$DE$6:$DF$17,2)+1))*(VLOOKUP($A36,SatSunCurve,2))*(INDEX(DailyScalarsTable,BA$5/100,MONTH($A36)))*$C36</f>
        <v>-12441.085477188128</v>
      </c>
      <c r="BB36" s="1021">
        <f>(VLOOKUP(YEAR($A36),'NY East Load Projections'!$A$4:$EO$14,((MONTH($A36)-1)*12)+VLOOKUP(BB$4,$DE$6:$DF$17,2)+1))*(VLOOKUP($A36,SatSunCurve,2))*(INDEX(DailyScalarsTable,BB$5/100,MONTH($A36)))*$C36</f>
        <v>-13183.013814298574</v>
      </c>
      <c r="BC36" s="1021">
        <f>(VLOOKUP(YEAR($A36),'NY East Load Projections'!$A$4:$EO$14,((MONTH($A36)-1)*12)+VLOOKUP(BC$4,$DE$6:$DF$17,2)+1))*(VLOOKUP($A36,SatSunCurve,2))*(INDEX(DailyScalarsTable,BC$5/100,MONTH($A36)))*$C36</f>
        <v>-9155.0447678915352</v>
      </c>
      <c r="BD36" s="1021">
        <f>(VLOOKUP(YEAR($A36),'NY East Load Projections'!$A$4:$EO$14,((MONTH($A36)-1)*12)+VLOOKUP(BD$4,$DE$6:$DF$17,2)+1))*(VLOOKUP($A36,CURVES!$D$9:$T$261,6))*(INDEX(DailyScalarsTable,BD$5/100,MONTH($A36)))*$C36</f>
        <v>-10575.206230145284</v>
      </c>
      <c r="BE36" s="1021"/>
      <c r="BF36" s="1021">
        <f>(VLOOKUP(YEAR($A36),'NY East Load Projections'!$A$4:$EO$14,((MONTH($A36)-1)*12)+VLOOKUP(BF$4,$DE$6:$DF$17,2)+1))*(VLOOKUP($A36,CURVES!$D$9:$T$261,6))*(INDEX(DailyScalarsTable,BF$5/100,MONTH($A36)))*$D36</f>
        <v>-9054.5330056655821</v>
      </c>
      <c r="BG36" s="1021">
        <f>(VLOOKUP(YEAR($A36),'NY East Load Projections'!$A$4:$EO$14,((MONTH($A36)-1)*12)+VLOOKUP(BG$4,$DE$6:$DF$17,2)+1))*(VLOOKUP($A36,CURVES!$D$9:$T$261,6))*(INDEX(DailyScalarsTable,BG$5/100,MONTH($A36)))*$D36</f>
        <v>-8270.7130301312609</v>
      </c>
      <c r="BH36" s="1021">
        <f>(VLOOKUP(YEAR($A36),'NY East Load Projections'!$A$4:$EO$14,((MONTH($A36)-1)*12)+VLOOKUP(BH$4,$DE$6:$DF$17,2)+1))*(VLOOKUP($A36,CURVES!$D$9:$T$261,6))*(INDEX(DailyScalarsTable,BH$5/100,MONTH($A36)))*$D36</f>
        <v>-7880.5684026693616</v>
      </c>
      <c r="BI36" s="1021">
        <f>(VLOOKUP(YEAR($A36),'NY East Load Projections'!$A$4:$EO$14,((MONTH($A36)-1)*12)+VLOOKUP(BI$4,$DE$6:$DF$17,2)+1))*(VLOOKUP($A36,CURVES!$D$9:$T$261,6))*(INDEX(DailyScalarsTable,BI$5/100,MONTH($A36)))*$D36</f>
        <v>-7096.7484271350413</v>
      </c>
      <c r="BJ36" s="1021">
        <f>(VLOOKUP(YEAR($A36),'NY East Load Projections'!$A$4:$EO$14,((MONTH($A36)-1)*12)+VLOOKUP(BJ$4,$DE$6:$DF$17,2)+1))*(VLOOKUP($A36,CURVES!$D$9:$T$261,6))*(INDEX(DailyScalarsTable,BJ$5/100,MONTH($A36)))*$D36</f>
        <v>-6830.9297878461784</v>
      </c>
      <c r="BK36" s="1021">
        <f>(VLOOKUP(YEAR($A36),'NY East Load Projections'!$A$4:$EO$14,((MONTH($A36)-1)*12)+VLOOKUP(BK$4,$DE$6:$DF$17,2)+1))*(VLOOKUP($A36,CURVES!$D$9:$T$261,6))*(INDEX(DailyScalarsTable,BK$5/100,MONTH($A36)))*$D36</f>
        <v>-7530.8494804687807</v>
      </c>
      <c r="BL36" s="1021">
        <f>(VLOOKUP(YEAR($A36),'NY East Load Projections'!$A$4:$EO$14,((MONTH($A36)-1)*12)+VLOOKUP(BL$4,$DE$6:$DF$17,2)+1))*(VLOOKUP($A36,CURVES!$D$9:$T$261,6))*(INDEX(DailyScalarsTable,BL$5/100,MONTH($A36)))*$D36</f>
        <v>-8363.2347926670172</v>
      </c>
      <c r="BM36" s="1021">
        <f>(VLOOKUP(YEAR($A36),'NY East Load Projections'!$A$4:$EO$14,((MONTH($A36)-1)*12)+VLOOKUP(BM$4,$DE$6:$DF$17,2)+1))*(VLOOKUP($A36,SatSunCurve,6))*(INDEX(DailyScalarsTable,BM$5/100,MONTH($A36)))*$D36</f>
        <v>-5570.6107094540721</v>
      </c>
      <c r="BN36" s="1021">
        <f>(VLOOKUP(YEAR($A36),'NY East Load Projections'!$A$4:$EO$14,((MONTH($A36)-1)*12)+VLOOKUP(BN$4,$DE$6:$DF$17,2)+1))*(VLOOKUP($A36,SatSunCurve,6))*(INDEX(DailyScalarsTable,BN$5/100,MONTH($A36)))*$D36</f>
        <v>-6721.9817822231698</v>
      </c>
      <c r="BO36" s="1021">
        <f>(VLOOKUP(YEAR($A36),'NY East Load Projections'!$A$4:$EO$14,((MONTH($A36)-1)*12)+VLOOKUP(BO$4,$DE$6:$DF$17,2)+1))*(VLOOKUP($A36,SatSunCurve,6))*(INDEX(DailyScalarsTable,BO$5/100,MONTH($A36)))*$D36</f>
        <v>-8048.0549060451913</v>
      </c>
      <c r="BP36" s="1021">
        <f>(VLOOKUP(YEAR($A36),'NY East Load Projections'!$A$4:$EO$14,((MONTH($A36)-1)*12)+VLOOKUP(BP$4,$DE$6:$DF$17,2)+1))*(VLOOKUP($A36,SatSunCurve,6))*(INDEX(DailyScalarsTable,BP$5/100,MONTH($A36)))*$D36</f>
        <v>-9157.8383251982359</v>
      </c>
      <c r="BQ36" s="1021">
        <f>(VLOOKUP(YEAR($A36),'NY East Load Projections'!$A$4:$EO$14,((MONTH($A36)-1)*12)+VLOOKUP(BQ$4,$DE$6:$DF$17,2)+1))*(VLOOKUP($A36,SatSunCurve,6))*(INDEX(DailyScalarsTable,BQ$5/100,MONTH($A36)))*$D36</f>
        <v>-10948.603740274133</v>
      </c>
      <c r="BR36" s="1021">
        <f>(VLOOKUP(YEAR($A36),'NY East Load Projections'!$A$4:$EO$14,((MONTH($A36)-1)*12)+VLOOKUP(BR$4,$DE$6:$DF$17,2)+1))*(VLOOKUP($A36,SatSunCurve,6))*(INDEX(DailyScalarsTable,BR$5/100,MONTH($A36)))*$D36</f>
        <v>-12251.17775296545</v>
      </c>
      <c r="BS36" s="1021">
        <f>(VLOOKUP(YEAR($A36),'NY East Load Projections'!$A$4:$EO$14,((MONTH($A36)-1)*12)+VLOOKUP(BS$4,$DE$6:$DF$17,2)+1))*(VLOOKUP($A36,SatSunCurve,6))*(INDEX(DailyScalarsTable,BS$5/100,MONTH($A36)))*$D36</f>
        <v>-12663.513885853296</v>
      </c>
      <c r="BT36" s="1021">
        <f>(VLOOKUP(YEAR($A36),'NY East Load Projections'!$A$4:$EO$14,((MONTH($A36)-1)*12)+VLOOKUP(BT$4,$DE$6:$DF$17,2)+1))*(VLOOKUP($A36,SatSunCurve,6))*(INDEX(DailyScalarsTable,BT$5/100,MONTH($A36)))*$D36</f>
        <v>-13190.92056745403</v>
      </c>
      <c r="BU36" s="1021">
        <f>(VLOOKUP(YEAR($A36),'NY East Load Projections'!$A$4:$EO$14,((MONTH($A36)-1)*12)+VLOOKUP(BU$4,$DE$6:$DF$17,2)+1))*(VLOOKUP($A36,SatSunCurve,6))*(INDEX(DailyScalarsTable,BU$5/100,MONTH($A36)))*$D36</f>
        <v>-13999.291172162069</v>
      </c>
      <c r="BV36" s="1021">
        <f>(VLOOKUP(YEAR($A36),'NY East Load Projections'!$A$4:$EO$14,((MONTH($A36)-1)*12)+VLOOKUP(BV$4,$DE$6:$DF$17,2)+1))*(VLOOKUP($A36,SatSunCurve,6))*(INDEX(DailyScalarsTable,BV$5/100,MONTH($A36)))*$D36</f>
        <v>-13576.779164067026</v>
      </c>
      <c r="BW36" s="1021">
        <f>(VLOOKUP(YEAR($A36),'NY East Load Projections'!$A$4:$EO$14,((MONTH($A36)-1)*12)+VLOOKUP(BW$4,$DE$6:$DF$17,2)+1))*(VLOOKUP($A36,SatSunCurve,6))*(INDEX(DailyScalarsTable,BW$5/100,MONTH($A36)))*$D36</f>
        <v>-13240.345646402615</v>
      </c>
      <c r="BX36" s="1021">
        <f>(VLOOKUP(YEAR($A36),'NY East Load Projections'!$A$4:$EO$14,((MONTH($A36)-1)*12)+VLOOKUP(BX$4,$DE$6:$DF$17,2)+1))*(VLOOKUP($A36,SatSunCurve,6))*(INDEX(DailyScalarsTable,BX$5/100,MONTH($A36)))*$D36</f>
        <v>-11058.542373310655</v>
      </c>
      <c r="BY36" s="1021">
        <f>(VLOOKUP(YEAR($A36),'NY East Load Projections'!$A$4:$EO$14,((MONTH($A36)-1)*12)+VLOOKUP(BY$4,$DE$6:$DF$17,2)+1))*(VLOOKUP($A36,SatSunCurve,6))*(INDEX(DailyScalarsTable,BY$5/100,MONTH($A36)))*$D36</f>
        <v>-8182.9019540327427</v>
      </c>
      <c r="BZ36" s="1021">
        <f>(VLOOKUP(YEAR($A36),'NY East Load Projections'!$A$4:$EO$14,((MONTH($A36)-1)*12)+VLOOKUP(BZ$4,$DE$6:$DF$17,2)+1))*(VLOOKUP($A36,SatSunCurve,6))*(INDEX(DailyScalarsTable,BZ$5/100,MONTH($A36)))*$D36</f>
        <v>-8730.9323322608034</v>
      </c>
      <c r="CA36" s="1021">
        <f>(VLOOKUP(YEAR($A36),'NY East Load Projections'!$A$4:$EO$14,((MONTH($A36)-1)*12)+VLOOKUP(CA$4,$DE$6:$DF$17,2)+1))*(VLOOKUP($A36,SatSunCurve,6))*(INDEX(DailyScalarsTable,CA$5/100,MONTH($A36)))*$D36</f>
        <v>-9251.6044326635856</v>
      </c>
      <c r="CB36" s="1021">
        <f>(VLOOKUP(YEAR($A36),'NY East Load Projections'!$A$4:$EO$14,((MONTH($A36)-1)*12)+VLOOKUP(CB$4,$DE$6:$DF$17,2)+1))*(VLOOKUP($A36,SatSunCurve,6))*(INDEX(DailyScalarsTable,CB$5/100,MONTH($A36)))*$D36</f>
        <v>-6424.8474551390318</v>
      </c>
      <c r="CC36" s="1021">
        <f>(VLOOKUP(YEAR($A36),'NY East Load Projections'!$A$4:$EO$14,((MONTH($A36)-1)*12)+VLOOKUP(CC$4,$DE$6:$DF$17,2)+1))*(VLOOKUP($A36,CURVES!$D$9:$T$261,6))*(INDEX(DailyScalarsTable,CC$5/100,MONTH($A36)))*$D36</f>
        <v>-10575.206230145284</v>
      </c>
      <c r="CE36" s="1021">
        <f>(VLOOKUP(YEAR($A36),'NY East Load Projections'!$A$4:$EO$14,((MONTH($A36)-1)*12)+VLOOKUP(CE$4,$DE$6:$DF$17,2)+1))*(VLOOKUP($A36,CURVES!$D$9:$T$261,6))*(INDEX(DailyScalarsTable,CE$5/100,MONTH($A36)))*$E36</f>
        <v>-2263.6332514163955</v>
      </c>
      <c r="CF36" s="1021">
        <f>(VLOOKUP(YEAR($A36),'NY East Load Projections'!$A$4:$EO$14,((MONTH($A36)-1)*12)+VLOOKUP(CF$4,$DE$6:$DF$17,2)+1))*(VLOOKUP($A36,CURVES!$D$9:$T$261,6))*(INDEX(DailyScalarsTable,CF$5/100,MONTH($A36)))*$E36</f>
        <v>-2067.6782575328152</v>
      </c>
      <c r="CG36" s="1021">
        <f>(VLOOKUP(YEAR($A36),'NY East Load Projections'!$A$4:$EO$14,((MONTH($A36)-1)*12)+VLOOKUP(CG$4,$DE$6:$DF$17,2)+1))*(VLOOKUP($A36,CURVES!$D$9:$T$261,6))*(INDEX(DailyScalarsTable,CG$5/100,MONTH($A36)))*$E36</f>
        <v>-1970.1421006673404</v>
      </c>
      <c r="CH36" s="1021">
        <f>(VLOOKUP(YEAR($A36),'NY East Load Projections'!$A$4:$EO$14,((MONTH($A36)-1)*12)+VLOOKUP(CH$4,$DE$6:$DF$17,2)+1))*(VLOOKUP($A36,CURVES!$D$9:$T$261,6))*(INDEX(DailyScalarsTable,CH$5/100,MONTH($A36)))*$E36</f>
        <v>-1774.1871067837603</v>
      </c>
      <c r="CI36" s="1021">
        <f>(VLOOKUP(YEAR($A36),'NY East Load Projections'!$A$4:$EO$14,((MONTH($A36)-1)*12)+VLOOKUP(CI$4,$DE$6:$DF$17,2)+1))*(VLOOKUP($A36,CURVES!$D$9:$T$261,6))*(INDEX(DailyScalarsTable,CI$5/100,MONTH($A36)))*$E36</f>
        <v>-1707.7324469615446</v>
      </c>
      <c r="CJ36" s="1021">
        <f>(VLOOKUP(YEAR($A36),'NY East Load Projections'!$A$4:$EO$14,((MONTH($A36)-1)*12)+VLOOKUP(CJ$4,$DE$6:$DF$17,2)+1))*(VLOOKUP($A36,CURVES!$D$9:$T$261,6))*(INDEX(DailyScalarsTable,CJ$5/100,MONTH($A36)))*$E36</f>
        <v>-1882.7123701171952</v>
      </c>
      <c r="CK36" s="1021">
        <f>(VLOOKUP(YEAR($A36),'NY East Load Projections'!$A$4:$EO$14,((MONTH($A36)-1)*12)+VLOOKUP(CK$4,$DE$6:$DF$17,2)+1))*(VLOOKUP($A36,CURVES!$D$9:$T$261,6))*(INDEX(DailyScalarsTable,CK$5/100,MONTH($A36)))*$E36</f>
        <v>-2090.8086981667543</v>
      </c>
      <c r="CL36" s="1021">
        <f>(VLOOKUP(YEAR($A36),'NY East Load Projections'!$A$4:$EO$14,((MONTH($A36)-1)*12)+VLOOKUP(CL$4,$DE$6:$DF$17,2)+1))*(VLOOKUP($A36,SatSunCurve,6))*(INDEX(DailyScalarsTable,CL$5/100,MONTH($A36)))*$E36</f>
        <v>-1392.652677363518</v>
      </c>
      <c r="CM36" s="1021">
        <f>(VLOOKUP(YEAR($A36),'NY East Load Projections'!$A$4:$EO$14,((MONTH($A36)-1)*12)+VLOOKUP(CM$4,$DE$6:$DF$17,2)+1))*(VLOOKUP($A36,SatSunCurve,6))*(INDEX(DailyScalarsTable,CM$5/100,MONTH($A36)))*$E36</f>
        <v>-1680.4954455557925</v>
      </c>
      <c r="CN36" s="1021">
        <f>(VLOOKUP(YEAR($A36),'NY East Load Projections'!$A$4:$EO$14,((MONTH($A36)-1)*12)+VLOOKUP(CN$4,$DE$6:$DF$17,2)+1))*(VLOOKUP($A36,SatSunCurve,6))*(INDEX(DailyScalarsTable,CN$5/100,MONTH($A36)))*$E36</f>
        <v>-2012.0137265112978</v>
      </c>
      <c r="CO36" s="1021">
        <f>(VLOOKUP(YEAR($A36),'NY East Load Projections'!$A$4:$EO$14,((MONTH($A36)-1)*12)+VLOOKUP(CO$4,$DE$6:$DF$17,2)+1))*(VLOOKUP($A36,SatSunCurve,6))*(INDEX(DailyScalarsTable,CO$5/100,MONTH($A36)))*$E36</f>
        <v>-2289.459581299559</v>
      </c>
      <c r="CP36" s="1021">
        <f>(VLOOKUP(YEAR($A36),'NY East Load Projections'!$A$4:$EO$14,((MONTH($A36)-1)*12)+VLOOKUP(CP$4,$DE$6:$DF$17,2)+1))*(VLOOKUP($A36,SatSunCurve,6))*(INDEX(DailyScalarsTable,CP$5/100,MONTH($A36)))*$E36</f>
        <v>-2737.1509350685333</v>
      </c>
      <c r="CQ36" s="1021">
        <f>(VLOOKUP(YEAR($A36),'NY East Load Projections'!$A$4:$EO$14,((MONTH($A36)-1)*12)+VLOOKUP(CQ$4,$DE$6:$DF$17,2)+1))*(VLOOKUP($A36,SatSunCurve,6))*(INDEX(DailyScalarsTable,CQ$5/100,MONTH($A36)))*$E36</f>
        <v>-3062.7944382413625</v>
      </c>
      <c r="CR36" s="1021">
        <f>(VLOOKUP(YEAR($A36),'NY East Load Projections'!$A$4:$EO$14,((MONTH($A36)-1)*12)+VLOOKUP(CR$4,$DE$6:$DF$17,2)+1))*(VLOOKUP($A36,SatSunCurve,6))*(INDEX(DailyScalarsTable,CR$5/100,MONTH($A36)))*$E36</f>
        <v>-3165.8784714633239</v>
      </c>
      <c r="CS36" s="1021">
        <f>(VLOOKUP(YEAR($A36),'NY East Load Projections'!$A$4:$EO$14,((MONTH($A36)-1)*12)+VLOOKUP(CS$4,$DE$6:$DF$17,2)+1))*(VLOOKUP($A36,SatSunCurve,6))*(INDEX(DailyScalarsTable,CS$5/100,MONTH($A36)))*$E36</f>
        <v>-3297.7301418635075</v>
      </c>
      <c r="CT36" s="1021">
        <f>(VLOOKUP(YEAR($A36),'NY East Load Projections'!$A$4:$EO$14,((MONTH($A36)-1)*12)+VLOOKUP(CT$4,$DE$6:$DF$17,2)+1))*(VLOOKUP($A36,SatSunCurve,6))*(INDEX(DailyScalarsTable,CT$5/100,MONTH($A36)))*$E36</f>
        <v>-3499.8227930405174</v>
      </c>
      <c r="CU36" s="1021">
        <f>(VLOOKUP(YEAR($A36),'NY East Load Projections'!$A$4:$EO$14,((MONTH($A36)-1)*12)+VLOOKUP(CU$4,$DE$6:$DF$17,2)+1))*(VLOOKUP($A36,SatSunCurve,6))*(INDEX(DailyScalarsTable,CU$5/100,MONTH($A36)))*$E36</f>
        <v>-3394.1947910167564</v>
      </c>
      <c r="CV36" s="1021">
        <f>(VLOOKUP(YEAR($A36),'NY East Load Projections'!$A$4:$EO$14,((MONTH($A36)-1)*12)+VLOOKUP(CV$4,$DE$6:$DF$17,2)+1))*(VLOOKUP($A36,SatSunCurve,6))*(INDEX(DailyScalarsTable,CV$5/100,MONTH($A36)))*$E36</f>
        <v>-3310.0864116006537</v>
      </c>
      <c r="CW36" s="1021">
        <f>(VLOOKUP(YEAR($A36),'NY East Load Projections'!$A$4:$EO$14,((MONTH($A36)-1)*12)+VLOOKUP(CW$4,$DE$6:$DF$17,2)+1))*(VLOOKUP($A36,SatSunCurve,6))*(INDEX(DailyScalarsTable,CW$5/100,MONTH($A36)))*$E36</f>
        <v>-2764.6355933276636</v>
      </c>
      <c r="CX36" s="1021">
        <f>(VLOOKUP(YEAR($A36),'NY East Load Projections'!$A$4:$EO$14,((MONTH($A36)-1)*12)+VLOOKUP(CX$4,$DE$6:$DF$17,2)+1))*(VLOOKUP($A36,SatSunCurve,6))*(INDEX(DailyScalarsTable,CX$5/100,MONTH($A36)))*$E36</f>
        <v>-2045.7254885081857</v>
      </c>
      <c r="CY36" s="1021">
        <f>(VLOOKUP(YEAR($A36),'NY East Load Projections'!$A$4:$EO$14,((MONTH($A36)-1)*12)+VLOOKUP(CY$4,$DE$6:$DF$17,2)+1))*(VLOOKUP($A36,SatSunCurve,6))*(INDEX(DailyScalarsTable,CY$5/100,MONTH($A36)))*$E36</f>
        <v>-2182.7330830652008</v>
      </c>
      <c r="CZ36" s="1021">
        <f>(VLOOKUP(YEAR($A36),'NY East Load Projections'!$A$4:$EO$14,((MONTH($A36)-1)*12)+VLOOKUP(CZ$4,$DE$6:$DF$17,2)+1))*(VLOOKUP($A36,SatSunCurve,6))*(INDEX(DailyScalarsTable,CZ$5/100,MONTH($A36)))*$E36</f>
        <v>-2312.9011081658964</v>
      </c>
      <c r="DA36" s="1021">
        <f>(VLOOKUP(YEAR($A36),'NY East Load Projections'!$A$4:$EO$14,((MONTH($A36)-1)*12)+VLOOKUP(DA$4,$DE$6:$DF$17,2)+1))*(VLOOKUP($A36,SatSunCurve,6))*(INDEX(DailyScalarsTable,DA$5/100,MONTH($A36)))*$E36</f>
        <v>-1606.211863784758</v>
      </c>
      <c r="DB36" s="1021">
        <f>(VLOOKUP(YEAR($A36),'NY East Load Projections'!$A$4:$EO$14,((MONTH($A36)-1)*12)+VLOOKUP(DB$4,$DE$6:$DF$17,2)+1))*(VLOOKUP($A36,CURVES!$D$9:$T$261,6))*(INDEX(DailyScalarsTable,DB$5/100,MONTH($A36)))*$E36</f>
        <v>-2643.8015575363211</v>
      </c>
      <c r="DH36" s="1021">
        <f t="shared" si="0"/>
        <v>-3624068.1467836495</v>
      </c>
      <c r="DI36">
        <f ca="1">CALC!J56</f>
        <v>0.78195449781268733</v>
      </c>
      <c r="DJ36" s="1029">
        <f t="shared" ca="1" si="1"/>
        <v>-2833856.3877571649</v>
      </c>
    </row>
    <row r="37" spans="1:114" x14ac:dyDescent="0.25">
      <c r="A37" s="244">
        <v>37834</v>
      </c>
      <c r="B37" s="13">
        <v>21</v>
      </c>
      <c r="C37" s="210">
        <v>5</v>
      </c>
      <c r="D37" s="210">
        <v>5</v>
      </c>
      <c r="E37" s="210">
        <v>0</v>
      </c>
      <c r="F37" s="13">
        <v>31</v>
      </c>
      <c r="H37" s="1021">
        <f>(VLOOKUP(YEAR($A37),'NY East Load Projections'!$A$4:$EO$14,((MONTH($A37)-1)*12)+VLOOKUP(H$4,$DE$6:$DF$17,2)+1))*(VLOOKUP($A37,CURVES!$D$9:$K$261,6))*(INDEX(DailyScalarsTable,H$5/100,MONTH($A37)))*$B37</f>
        <v>-50125.585896417637</v>
      </c>
      <c r="I37" s="1021">
        <f>(VLOOKUP(YEAR($A37),'NY East Load Projections'!$A$4:$EO$14,((MONTH($A37)-1)*12)+VLOOKUP(I$4,$DE$6:$DF$17,2)+1))*(VLOOKUP($A37,CURVES!$D$9:$K$261,6))*(INDEX(DailyScalarsTable,I$5/100,MONTH($A37)))*$B37</f>
        <v>-45249.244359109136</v>
      </c>
      <c r="J37" s="1021">
        <f>(VLOOKUP(YEAR($A37),'NY East Load Projections'!$A$4:$EO$14,((MONTH($A37)-1)*12)+VLOOKUP(J$4,$DE$6:$DF$17,2)+1))*(VLOOKUP($A37,CURVES!$D$9:$K$261,6))*(INDEX(DailyScalarsTable,J$5/100,MONTH($A37)))*$B37</f>
        <v>-40636.179477570826</v>
      </c>
      <c r="K37" s="1021">
        <f>(VLOOKUP(YEAR($A37),'NY East Load Projections'!$A$4:$EO$14,((MONTH($A37)-1)*12)+VLOOKUP(K$4,$DE$6:$DF$17,2)+1))*(VLOOKUP($A37,CURVES!$D$9:$K$261,6))*(INDEX(DailyScalarsTable,K$5/100,MONTH($A37)))*$B37</f>
        <v>-38232.349142277897</v>
      </c>
      <c r="L37" s="1021">
        <f>(VLOOKUP(YEAR($A37),'NY East Load Projections'!$A$4:$EO$14,((MONTH($A37)-1)*12)+VLOOKUP(L$4,$DE$6:$DF$17,2)+1))*(VLOOKUP($A37,CURVES!$D$9:$K$261,6))*(INDEX(DailyScalarsTable,L$5/100,MONTH($A37)))*$B37</f>
        <v>-43426.306679385896</v>
      </c>
      <c r="M37" s="1021">
        <f>(VLOOKUP(YEAR($A37),'NY East Load Projections'!$A$4:$EO$14,((MONTH($A37)-1)*12)+VLOOKUP(M$4,$DE$6:$DF$17,2)+1))*(VLOOKUP($A37,CURVES!$D$9:$K$261,6))*(INDEX(DailyScalarsTable,M$5/100,MONTH($A37)))*$B37</f>
        <v>-48248.668396018031</v>
      </c>
      <c r="N37" s="1021">
        <f>(VLOOKUP(YEAR($A37),'NY East Load Projections'!$A$4:$EO$14,((MONTH($A37)-1)*12)+VLOOKUP(N$4,$DE$6:$DF$17,2)+1))*(VLOOKUP($A37,CURVES!$D$9:$K$261,6))*(INDEX(DailyScalarsTable,N$5/100,MONTH($A37)))*$B37</f>
        <v>-56139.805750506945</v>
      </c>
      <c r="O37" s="1021">
        <f>(VLOOKUP(YEAR($A37),'NY East Load Projections'!$A$4:$EO$14,((MONTH($A37)-1)*12)+VLOOKUP(O$4,$DE$6:$DF$17,2)+1))*(VLOOKUP($A37,CURVES!$D$9:$K$261,2))*(INDEX(DailyScalarsTable,O$5/100,MONTH($A37)))*$B37</f>
        <v>-92476.436390101575</v>
      </c>
      <c r="P37" s="1021">
        <f>(VLOOKUP(YEAR($A37),'NY East Load Projections'!$A$4:$EO$14,((MONTH($A37)-1)*12)+VLOOKUP(P$4,$DE$6:$DF$17,2)+1))*(VLOOKUP($A37,CURVES!$D$9:$K$261,2))*(INDEX(DailyScalarsTable,P$5/100,MONTH($A37)))*$B37</f>
        <v>-113760.03167687947</v>
      </c>
      <c r="Q37" s="1021">
        <f>(VLOOKUP(YEAR($A37),'NY East Load Projections'!$A$4:$EO$14,((MONTH($A37)-1)*12)+VLOOKUP(Q$4,$DE$6:$DF$17,2)+1))*(VLOOKUP($A37,CURVES!$D$9:$K$261,2))*(INDEX(DailyScalarsTable,Q$5/100,MONTH($A37)))*$B37</f>
        <v>-145890.241965931</v>
      </c>
      <c r="R37" s="1021">
        <f>(VLOOKUP(YEAR($A37),'NY East Load Projections'!$A$4:$EO$14,((MONTH($A37)-1)*12)+VLOOKUP(R$4,$DE$6:$DF$17,2)+1))*(VLOOKUP($A37,CURVES!$D$9:$K$261,2))*(INDEX(DailyScalarsTable,R$5/100,MONTH($A37)))*$B37</f>
        <v>-164659.37470904025</v>
      </c>
      <c r="S37" s="1021">
        <f>(VLOOKUP(YEAR($A37),'NY East Load Projections'!$A$4:$EO$14,((MONTH($A37)-1)*12)+VLOOKUP(S$4,$DE$6:$DF$17,2)+1))*(VLOOKUP($A37,CURVES!$D$9:$K$261,2))*(INDEX(DailyScalarsTable,S$5/100,MONTH($A37)))*$B37</f>
        <v>-171636.82631636565</v>
      </c>
      <c r="T37" s="1021">
        <f>(VLOOKUP(YEAR($A37),'NY East Load Projections'!$A$4:$EO$14,((MONTH($A37)-1)*12)+VLOOKUP(T$4,$DE$6:$DF$17,2)+1))*(VLOOKUP($A37,CURVES!$D$9:$K$261,2))*(INDEX(DailyScalarsTable,T$5/100,MONTH($A37)))*$B37</f>
        <v>-173290.72941443039</v>
      </c>
      <c r="U37" s="1021">
        <f>(VLOOKUP(YEAR($A37),'NY East Load Projections'!$A$4:$EO$14,((MONTH($A37)-1)*12)+VLOOKUP(U$4,$DE$6:$DF$17,2)+1))*(VLOOKUP($A37,CURVES!$D$9:$K$261,2))*(INDEX(DailyScalarsTable,U$5/100,MONTH($A37)))*$B37</f>
        <v>-190233.46482236762</v>
      </c>
      <c r="V37" s="1021">
        <f>(VLOOKUP(YEAR($A37),'NY East Load Projections'!$A$4:$EO$14,((MONTH($A37)-1)*12)+VLOOKUP(V$4,$DE$6:$DF$17,2)+1))*(VLOOKUP($A37,CURVES!$D$9:$K$261,2))*(INDEX(DailyScalarsTable,V$5/100,MONTH($A37)))*$B37</f>
        <v>-201391.92877893263</v>
      </c>
      <c r="W37" s="1021">
        <f>(VLOOKUP(YEAR($A37),'NY East Load Projections'!$A$4:$EO$14,((MONTH($A37)-1)*12)+VLOOKUP(W$4,$DE$6:$DF$17,2)+1))*(VLOOKUP($A37,CURVES!$D$9:$K$261,2))*(INDEX(DailyScalarsTable,W$5/100,MONTH($A37)))*$B37</f>
        <v>-198586.12546296854</v>
      </c>
      <c r="X37" s="1021">
        <f>(VLOOKUP(YEAR($A37),'NY East Load Projections'!$A$4:$EO$14,((MONTH($A37)-1)*12)+VLOOKUP(X$4,$DE$6:$DF$17,2)+1))*(VLOOKUP($A37,CURVES!$D$9:$K$261,2))*(INDEX(DailyScalarsTable,X$5/100,MONTH($A37)))*$B37</f>
        <v>-182342.46226240665</v>
      </c>
      <c r="Y37" s="1021">
        <f>(VLOOKUP(YEAR($A37),'NY East Load Projections'!$A$4:$EO$14,((MONTH($A37)-1)*12)+VLOOKUP(Y$4,$DE$6:$DF$17,2)+1))*(VLOOKUP($A37,CURVES!$D$9:$K$261,2))*(INDEX(DailyScalarsTable,Y$5/100,MONTH($A37)))*$B37</f>
        <v>-168860.39228191963</v>
      </c>
      <c r="Z37" s="1021">
        <f>(VLOOKUP(YEAR($A37),'NY East Load Projections'!$A$4:$EO$14,((MONTH($A37)-1)*12)+VLOOKUP(Z$4,$DE$6:$DF$17,2)+1))*(VLOOKUP($A37,CURVES!$D$9:$K$261,2))*(INDEX(DailyScalarsTable,Z$5/100,MONTH($A37)))*$B37</f>
        <v>-137638.75653763386</v>
      </c>
      <c r="AA37" s="1021">
        <f>(VLOOKUP(YEAR($A37),'NY East Load Projections'!$A$4:$EO$14,((MONTH($A37)-1)*12)+VLOOKUP(AA$4,$DE$6:$DF$17,2)+1))*(VLOOKUP($A37,CURVES!$D$9:$K$261,2))*(INDEX(DailyScalarsTable,AA$5/100,MONTH($A37)))*$B37</f>
        <v>-125312.2925554743</v>
      </c>
      <c r="AB37" s="1021">
        <f>(VLOOKUP(YEAR($A37),'NY East Load Projections'!$A$4:$EO$14,((MONTH($A37)-1)*12)+VLOOKUP(AB$4,$DE$6:$DF$17,2)+1))*(VLOOKUP($A37,CURVES!$D$9:$K$261,2))*(INDEX(DailyScalarsTable,AB$5/100,MONTH($A37)))*$B37</f>
        <v>-139843.00979026069</v>
      </c>
      <c r="AC37" s="1021">
        <f>(VLOOKUP(YEAR($A37),'NY East Load Projections'!$A$4:$EO$14,((MONTH($A37)-1)*12)+VLOOKUP(AC$4,$DE$6:$DF$17,2)+1))*(VLOOKUP($A37,CURVES!$D$9:$K$261,2))*(INDEX(DailyScalarsTable,AC$5/100,MONTH($A37)))*$B37</f>
        <v>-118912.41143667151</v>
      </c>
      <c r="AD37" s="1021">
        <f>(VLOOKUP(YEAR($A37),'NY East Load Projections'!$A$4:$EO$14,((MONTH($A37)-1)*12)+VLOOKUP(AD$4,$DE$6:$DF$17,2)+1))*(VLOOKUP($A37,CURVES!$D$9:$K$261,2))*(INDEX(DailyScalarsTable,AD$5/100,MONTH($A37)))*$B37</f>
        <v>-96291.541394733969</v>
      </c>
      <c r="AE37" s="1021">
        <f>(VLOOKUP(YEAR($A37),'NY East Load Projections'!$A$4:$EO$14,((MONTH($A37)-1)*12)+VLOOKUP(AE$4,$DE$6:$DF$17,2)+1))*(VLOOKUP($A37,CURVES!$D$9:$K$261,6))*(INDEX(DailyScalarsTable,AE$5/100,MONTH($A37)))*$B37</f>
        <v>-60765.983569666787</v>
      </c>
      <c r="AF37" s="1021"/>
      <c r="AG37" s="1021">
        <f>(VLOOKUP(YEAR($A37),'NY East Load Projections'!$A$4:$EO$14,((MONTH($A37)-1)*12)+VLOOKUP(AG$4,$DE$6:$DF$17,2)+1))*(VLOOKUP($A37,CURVES!$D$9:$T$261,6))*(INDEX(DailyScalarsTable,AG$5/100,MONTH($A37)))*$C37</f>
        <v>-11739.095280709931</v>
      </c>
      <c r="AH37" s="1021">
        <f>(VLOOKUP(YEAR($A37),'NY East Load Projections'!$A$4:$EO$14,((MONTH($A37)-1)*12)+VLOOKUP(AH$4,$DE$6:$DF$17,2)+1))*(VLOOKUP($A37,CURVES!$D$9:$T$261,6))*(INDEX(DailyScalarsTable,AH$5/100,MONTH($A37)))*$C37</f>
        <v>-10597.086925016298</v>
      </c>
      <c r="AI37" s="1021">
        <f>(VLOOKUP(YEAR($A37),'NY East Load Projections'!$A$4:$EO$14,((MONTH($A37)-1)*12)+VLOOKUP(AI$4,$DE$6:$DF$17,2)+1))*(VLOOKUP($A37,CURVES!$D$9:$T$261,6))*(INDEX(DailyScalarsTable,AI$5/100,MONTH($A37)))*$C37</f>
        <v>-9516.736297446967</v>
      </c>
      <c r="AJ37" s="1021">
        <f>(VLOOKUP(YEAR($A37),'NY East Load Projections'!$A$4:$EO$14,((MONTH($A37)-1)*12)+VLOOKUP(AJ$4,$DE$6:$DF$17,2)+1))*(VLOOKUP($A37,CURVES!$D$9:$T$261,6))*(INDEX(DailyScalarsTable,AJ$5/100,MONTH($A37)))*$C37</f>
        <v>-8953.7744319641861</v>
      </c>
      <c r="AK37" s="1021">
        <f>(VLOOKUP(YEAR($A37),'NY East Load Projections'!$A$4:$EO$14,((MONTH($A37)-1)*12)+VLOOKUP(AK$4,$DE$6:$DF$17,2)+1))*(VLOOKUP($A37,CURVES!$D$9:$T$261,6))*(INDEX(DailyScalarsTable,AK$5/100,MONTH($A37)))*$C37</f>
        <v>-9453.4149839639904</v>
      </c>
      <c r="AL37" s="1021">
        <f>(VLOOKUP(YEAR($A37),'NY East Load Projections'!$A$4:$EO$14,((MONTH($A37)-1)*12)+VLOOKUP(AL$4,$DE$6:$DF$17,2)+1))*(VLOOKUP($A37,CURVES!$D$9:$T$261,6))*(INDEX(DailyScalarsTable,AL$5/100,MONTH($A37)))*$C37</f>
        <v>-10503.188496749151</v>
      </c>
      <c r="AM37" s="1021">
        <f>(VLOOKUP(YEAR($A37),'NY East Load Projections'!$A$4:$EO$14,((MONTH($A37)-1)*12)+VLOOKUP(AM$4,$DE$6:$DF$17,2)+1))*(VLOOKUP($A37,CURVES!$D$9:$T$261,6))*(INDEX(DailyScalarsTable,AM$5/100,MONTH($A37)))*$C37</f>
        <v>-12220.999699488495</v>
      </c>
      <c r="AN37" s="1021">
        <f>(VLOOKUP(YEAR($A37),'NY East Load Projections'!$A$4:$EO$14,((MONTH($A37)-1)*12)+VLOOKUP(AN$4,$DE$6:$DF$17,2)+1))*(VLOOKUP($A37,SatSunCurve,2))*(INDEX(DailyScalarsTable,AN$5/100,MONTH($A37)))*$C37</f>
        <v>-12508.051985029284</v>
      </c>
      <c r="AO37" s="1021">
        <f>(VLOOKUP(YEAR($A37),'NY East Load Projections'!$A$4:$EO$14,((MONTH($A37)-1)*12)+VLOOKUP(AO$4,$DE$6:$DF$17,2)+1))*(VLOOKUP($A37,SatSunCurve,2))*(INDEX(DailyScalarsTable,AO$5/100,MONTH($A37)))*$C37</f>
        <v>-15015.08080070442</v>
      </c>
      <c r="AP37" s="1021">
        <f>(VLOOKUP(YEAR($A37),'NY East Load Projections'!$A$4:$EO$14,((MONTH($A37)-1)*12)+VLOOKUP(AP$4,$DE$6:$DF$17,2)+1))*(VLOOKUP($A37,SatSunCurve,2))*(INDEX(DailyScalarsTable,AP$5/100,MONTH($A37)))*$C37</f>
        <v>-19255.91738032172</v>
      </c>
      <c r="AQ37" s="1021">
        <f>(VLOOKUP(YEAR($A37),'NY East Load Projections'!$A$4:$EO$14,((MONTH($A37)-1)*12)+VLOOKUP(AQ$4,$DE$6:$DF$17,2)+1))*(VLOOKUP($A37,SatSunCurve,2))*(INDEX(DailyScalarsTable,AQ$5/100,MONTH($A37)))*$C37</f>
        <v>-21733.237758513998</v>
      </c>
      <c r="AR37" s="1021">
        <f>(VLOOKUP(YEAR($A37),'NY East Load Projections'!$A$4:$EO$14,((MONTH($A37)-1)*12)+VLOOKUP(AR$4,$DE$6:$DF$17,2)+1))*(VLOOKUP($A37,SatSunCurve,2))*(INDEX(DailyScalarsTable,AR$5/100,MONTH($A37)))*$C37</f>
        <v>-22654.185108147063</v>
      </c>
      <c r="AS37" s="1021">
        <f>(VLOOKUP(YEAR($A37),'NY East Load Projections'!$A$4:$EO$14,((MONTH($A37)-1)*12)+VLOOKUP(AS$4,$DE$6:$DF$17,2)+1))*(VLOOKUP($A37,SatSunCurve,2))*(INDEX(DailyScalarsTable,AS$5/100,MONTH($A37)))*$C37</f>
        <v>-22906.224028847046</v>
      </c>
      <c r="AT37" s="1021">
        <f>(VLOOKUP(YEAR($A37),'NY East Load Projections'!$A$4:$EO$14,((MONTH($A37)-1)*12)+VLOOKUP(AT$4,$DE$6:$DF$17,2)+1))*(VLOOKUP($A37,SatSunCurve,2))*(INDEX(DailyScalarsTable,AT$5/100,MONTH($A37)))*$C37</f>
        <v>-25145.778875359058</v>
      </c>
      <c r="AU37" s="1021">
        <f>(VLOOKUP(YEAR($A37),'NY East Load Projections'!$A$4:$EO$14,((MONTH($A37)-1)*12)+VLOOKUP(AU$4,$DE$6:$DF$17,2)+1))*(VLOOKUP($A37,SatSunCurve,2))*(INDEX(DailyScalarsTable,AU$5/100,MONTH($A37)))*$C37</f>
        <v>-26620.746844335757</v>
      </c>
      <c r="AV37" s="1021">
        <f>(VLOOKUP(YEAR($A37),'NY East Load Projections'!$A$4:$EO$14,((MONTH($A37)-1)*12)+VLOOKUP(AV$4,$DE$6:$DF$17,2)+1))*(VLOOKUP($A37,SatSunCurve,2))*(INDEX(DailyScalarsTable,AV$5/100,MONTH($A37)))*$C37</f>
        <v>-26249.865150008925</v>
      </c>
      <c r="AW37" s="1021">
        <f>(VLOOKUP(YEAR($A37),'NY East Load Projections'!$A$4:$EO$14,((MONTH($A37)-1)*12)+VLOOKUP(AW$4,$DE$6:$DF$17,2)+1))*(VLOOKUP($A37,SatSunCurve,2))*(INDEX(DailyScalarsTable,AW$5/100,MONTH($A37)))*$C37</f>
        <v>-24396.167601027635</v>
      </c>
      <c r="AX37" s="1021">
        <f>(VLOOKUP(YEAR($A37),'NY East Load Projections'!$A$4:$EO$14,((MONTH($A37)-1)*12)+VLOOKUP(AX$4,$DE$6:$DF$17,2)+1))*(VLOOKUP($A37,SatSunCurve,2))*(INDEX(DailyScalarsTable,AX$5/100,MONTH($A37)))*$C37</f>
        <v>-22592.359345003249</v>
      </c>
      <c r="AY37" s="1021">
        <f>(VLOOKUP(YEAR($A37),'NY East Load Projections'!$A$4:$EO$14,((MONTH($A37)-1)*12)+VLOOKUP(AY$4,$DE$6:$DF$17,2)+1))*(VLOOKUP($A37,SatSunCurve,2))*(INDEX(DailyScalarsTable,AY$5/100,MONTH($A37)))*$C37</f>
        <v>-18415.119173157291</v>
      </c>
      <c r="AZ37" s="1021">
        <f>(VLOOKUP(YEAR($A37),'NY East Load Projections'!$A$4:$EO$14,((MONTH($A37)-1)*12)+VLOOKUP(AZ$4,$DE$6:$DF$17,2)+1))*(VLOOKUP($A37,SatSunCurve,2))*(INDEX(DailyScalarsTable,AZ$5/100,MONTH($A37)))*$C37</f>
        <v>-16765.923053363564</v>
      </c>
      <c r="BA37" s="1021">
        <f>(VLOOKUP(YEAR($A37),'NY East Load Projections'!$A$4:$EO$14,((MONTH($A37)-1)*12)+VLOOKUP(BA$4,$DE$6:$DF$17,2)+1))*(VLOOKUP($A37,SatSunCurve,2))*(INDEX(DailyScalarsTable,BA$5/100,MONTH($A37)))*$C37</f>
        <v>-20237.28669697672</v>
      </c>
      <c r="BB37" s="1021">
        <f>(VLOOKUP(YEAR($A37),'NY East Load Projections'!$A$4:$EO$14,((MONTH($A37)-1)*12)+VLOOKUP(BB$4,$DE$6:$DF$17,2)+1))*(VLOOKUP($A37,SatSunCurve,2))*(INDEX(DailyScalarsTable,BB$5/100,MONTH($A37)))*$C37</f>
        <v>-17208.329294986124</v>
      </c>
      <c r="BC37" s="1021">
        <f>(VLOOKUP(YEAR($A37),'NY East Load Projections'!$A$4:$EO$14,((MONTH($A37)-1)*12)+VLOOKUP(BC$4,$DE$6:$DF$17,2)+1))*(VLOOKUP($A37,SatSunCurve,2))*(INDEX(DailyScalarsTable,BC$5/100,MONTH($A37)))*$C37</f>
        <v>-13934.765367405213</v>
      </c>
      <c r="BD37" s="1021">
        <f>(VLOOKUP(YEAR($A37),'NY East Load Projections'!$A$4:$EO$14,((MONTH($A37)-1)*12)+VLOOKUP(BD$4,$DE$6:$DF$17,2)+1))*(VLOOKUP($A37,CURVES!$D$9:$T$261,6))*(INDEX(DailyScalarsTable,BD$5/100,MONTH($A37)))*$C37</f>
        <v>-14153.025513805558</v>
      </c>
      <c r="BE37" s="1021"/>
      <c r="BF37" s="1021">
        <f>(VLOOKUP(YEAR($A37),'NY East Load Projections'!$A$4:$EO$14,((MONTH($A37)-1)*12)+VLOOKUP(BF$4,$DE$6:$DF$17,2)+1))*(VLOOKUP($A37,CURVES!$D$9:$T$261,6))*(INDEX(DailyScalarsTable,BF$5/100,MONTH($A37)))*$D37</f>
        <v>-11739.095280709931</v>
      </c>
      <c r="BG37" s="1021">
        <f>(VLOOKUP(YEAR($A37),'NY East Load Projections'!$A$4:$EO$14,((MONTH($A37)-1)*12)+VLOOKUP(BG$4,$DE$6:$DF$17,2)+1))*(VLOOKUP($A37,CURVES!$D$9:$T$261,6))*(INDEX(DailyScalarsTable,BG$5/100,MONTH($A37)))*$D37</f>
        <v>-10597.086925016298</v>
      </c>
      <c r="BH37" s="1021">
        <f>(VLOOKUP(YEAR($A37),'NY East Load Projections'!$A$4:$EO$14,((MONTH($A37)-1)*12)+VLOOKUP(BH$4,$DE$6:$DF$17,2)+1))*(VLOOKUP($A37,CURVES!$D$9:$T$261,6))*(INDEX(DailyScalarsTable,BH$5/100,MONTH($A37)))*$D37</f>
        <v>-9516.736297446967</v>
      </c>
      <c r="BI37" s="1021">
        <f>(VLOOKUP(YEAR($A37),'NY East Load Projections'!$A$4:$EO$14,((MONTH($A37)-1)*12)+VLOOKUP(BI$4,$DE$6:$DF$17,2)+1))*(VLOOKUP($A37,CURVES!$D$9:$T$261,6))*(INDEX(DailyScalarsTable,BI$5/100,MONTH($A37)))*$D37</f>
        <v>-8953.7744319641861</v>
      </c>
      <c r="BJ37" s="1021">
        <f>(VLOOKUP(YEAR($A37),'NY East Load Projections'!$A$4:$EO$14,((MONTH($A37)-1)*12)+VLOOKUP(BJ$4,$DE$6:$DF$17,2)+1))*(VLOOKUP($A37,CURVES!$D$9:$T$261,6))*(INDEX(DailyScalarsTable,BJ$5/100,MONTH($A37)))*$D37</f>
        <v>-9453.4149839639904</v>
      </c>
      <c r="BK37" s="1021">
        <f>(VLOOKUP(YEAR($A37),'NY East Load Projections'!$A$4:$EO$14,((MONTH($A37)-1)*12)+VLOOKUP(BK$4,$DE$6:$DF$17,2)+1))*(VLOOKUP($A37,CURVES!$D$9:$T$261,6))*(INDEX(DailyScalarsTable,BK$5/100,MONTH($A37)))*$D37</f>
        <v>-10503.188496749151</v>
      </c>
      <c r="BL37" s="1021">
        <f>(VLOOKUP(YEAR($A37),'NY East Load Projections'!$A$4:$EO$14,((MONTH($A37)-1)*12)+VLOOKUP(BL$4,$DE$6:$DF$17,2)+1))*(VLOOKUP($A37,CURVES!$D$9:$T$261,6))*(INDEX(DailyScalarsTable,BL$5/100,MONTH($A37)))*$D37</f>
        <v>-12220.999699488495</v>
      </c>
      <c r="BM37" s="1021">
        <f>(VLOOKUP(YEAR($A37),'NY East Load Projections'!$A$4:$EO$14,((MONTH($A37)-1)*12)+VLOOKUP(BM$4,$DE$6:$DF$17,2)+1))*(VLOOKUP($A37,SatSunCurve,6))*(INDEX(DailyScalarsTable,BM$5/100,MONTH($A37)))*$D37</f>
        <v>-8748.8994546990889</v>
      </c>
      <c r="BN37" s="1021">
        <f>(VLOOKUP(YEAR($A37),'NY East Load Projections'!$A$4:$EO$14,((MONTH($A37)-1)*12)+VLOOKUP(BN$4,$DE$6:$DF$17,2)+1))*(VLOOKUP($A37,SatSunCurve,6))*(INDEX(DailyScalarsTable,BN$5/100,MONTH($A37)))*$D37</f>
        <v>-10502.469320304646</v>
      </c>
      <c r="BO37" s="1021">
        <f>(VLOOKUP(YEAR($A37),'NY East Load Projections'!$A$4:$EO$14,((MONTH($A37)-1)*12)+VLOOKUP(BO$4,$DE$6:$DF$17,2)+1))*(VLOOKUP($A37,SatSunCurve,6))*(INDEX(DailyScalarsTable,BO$5/100,MONTH($A37)))*$D37</f>
        <v>-13468.770778220667</v>
      </c>
      <c r="BP37" s="1021">
        <f>(VLOOKUP(YEAR($A37),'NY East Load Projections'!$A$4:$EO$14,((MONTH($A37)-1)*12)+VLOOKUP(BP$4,$DE$6:$DF$17,2)+1))*(VLOOKUP($A37,SatSunCurve,6))*(INDEX(DailyScalarsTable,BP$5/100,MONTH($A37)))*$D37</f>
        <v>-15201.560738785467</v>
      </c>
      <c r="BQ37" s="1021">
        <f>(VLOOKUP(YEAR($A37),'NY East Load Projections'!$A$4:$EO$14,((MONTH($A37)-1)*12)+VLOOKUP(BQ$4,$DE$6:$DF$17,2)+1))*(VLOOKUP($A37,SatSunCurve,6))*(INDEX(DailyScalarsTable,BQ$5/100,MONTH($A37)))*$D37</f>
        <v>-15845.72785406888</v>
      </c>
      <c r="BR37" s="1021">
        <f>(VLOOKUP(YEAR($A37),'NY East Load Projections'!$A$4:$EO$14,((MONTH($A37)-1)*12)+VLOOKUP(BR$4,$DE$6:$DF$17,2)+1))*(VLOOKUP($A37,SatSunCurve,6))*(INDEX(DailyScalarsTable,BR$5/100,MONTH($A37)))*$D37</f>
        <v>-16022.019348421018</v>
      </c>
      <c r="BS37" s="1021">
        <f>(VLOOKUP(YEAR($A37),'NY East Load Projections'!$A$4:$EO$14,((MONTH($A37)-1)*12)+VLOOKUP(BS$4,$DE$6:$DF$17,2)+1))*(VLOOKUP($A37,SatSunCurve,6))*(INDEX(DailyScalarsTable,BS$5/100,MONTH($A37)))*$D37</f>
        <v>-17588.5014991883</v>
      </c>
      <c r="BT37" s="1021">
        <f>(VLOOKUP(YEAR($A37),'NY East Load Projections'!$A$4:$EO$14,((MONTH($A37)-1)*12)+VLOOKUP(BT$4,$DE$6:$DF$17,2)+1))*(VLOOKUP($A37,SatSunCurve,6))*(INDEX(DailyScalarsTable,BT$5/100,MONTH($A37)))*$D37</f>
        <v>-18620.18464816497</v>
      </c>
      <c r="BU37" s="1021">
        <f>(VLOOKUP(YEAR($A37),'NY East Load Projections'!$A$4:$EO$14,((MONTH($A37)-1)*12)+VLOOKUP(BU$4,$DE$6:$DF$17,2)+1))*(VLOOKUP($A37,SatSunCurve,6))*(INDEX(DailyScalarsTable,BU$5/100,MONTH($A37)))*$D37</f>
        <v>-18360.767221923252</v>
      </c>
      <c r="BV37" s="1021">
        <f>(VLOOKUP(YEAR($A37),'NY East Load Projections'!$A$4:$EO$14,((MONTH($A37)-1)*12)+VLOOKUP(BV$4,$DE$6:$DF$17,2)+1))*(VLOOKUP($A37,SatSunCurve,6))*(INDEX(DailyScalarsTable,BV$5/100,MONTH($A37)))*$D37</f>
        <v>-17064.177353663166</v>
      </c>
      <c r="BW37" s="1021">
        <f>(VLOOKUP(YEAR($A37),'NY East Load Projections'!$A$4:$EO$14,((MONTH($A37)-1)*12)+VLOOKUP(BW$4,$DE$6:$DF$17,2)+1))*(VLOOKUP($A37,SatSunCurve,6))*(INDEX(DailyScalarsTable,BW$5/100,MONTH($A37)))*$D37</f>
        <v>-15802.483119708755</v>
      </c>
      <c r="BX37" s="1021">
        <f>(VLOOKUP(YEAR($A37),'NY East Load Projections'!$A$4:$EO$14,((MONTH($A37)-1)*12)+VLOOKUP(BX$4,$DE$6:$DF$17,2)+1))*(VLOOKUP($A37,SatSunCurve,6))*(INDEX(DailyScalarsTable,BX$5/100,MONTH($A37)))*$D37</f>
        <v>-12880.664893709056</v>
      </c>
      <c r="BY37" s="1021">
        <f>(VLOOKUP(YEAR($A37),'NY East Load Projections'!$A$4:$EO$14,((MONTH($A37)-1)*12)+VLOOKUP(BY$4,$DE$6:$DF$17,2)+1))*(VLOOKUP($A37,SatSunCurve,6))*(INDEX(DailyScalarsTable,BY$5/100,MONTH($A37)))*$D37</f>
        <v>-11727.11587980788</v>
      </c>
      <c r="BZ37" s="1021">
        <f>(VLOOKUP(YEAR($A37),'NY East Load Projections'!$A$4:$EO$14,((MONTH($A37)-1)*12)+VLOOKUP(BZ$4,$DE$6:$DF$17,2)+1))*(VLOOKUP($A37,SatSunCurve,6))*(INDEX(DailyScalarsTable,BZ$5/100,MONTH($A37)))*$D37</f>
        <v>-14155.200726674486</v>
      </c>
      <c r="CA37" s="1021">
        <f>(VLOOKUP(YEAR($A37),'NY East Load Projections'!$A$4:$EO$14,((MONTH($A37)-1)*12)+VLOOKUP(CA$4,$DE$6:$DF$17,2)+1))*(VLOOKUP($A37,SatSunCurve,6))*(INDEX(DailyScalarsTable,CA$5/100,MONTH($A37)))*$D37</f>
        <v>-12036.561965474917</v>
      </c>
      <c r="CB37" s="1021">
        <f>(VLOOKUP(YEAR($A37),'NY East Load Projections'!$A$4:$EO$14,((MONTH($A37)-1)*12)+VLOOKUP(CB$4,$DE$6:$DF$17,2)+1))*(VLOOKUP($A37,SatSunCurve,6))*(INDEX(DailyScalarsTable,CB$5/100,MONTH($A37)))*$D37</f>
        <v>-9746.8303833537193</v>
      </c>
      <c r="CC37" s="1021">
        <f>(VLOOKUP(YEAR($A37),'NY East Load Projections'!$A$4:$EO$14,((MONTH($A37)-1)*12)+VLOOKUP(CC$4,$DE$6:$DF$17,2)+1))*(VLOOKUP($A37,CURVES!$D$9:$T$261,6))*(INDEX(DailyScalarsTable,CC$5/100,MONTH($A37)))*$D37</f>
        <v>-14153.025513805558</v>
      </c>
      <c r="CE37" s="1021">
        <f>(VLOOKUP(YEAR($A37),'NY East Load Projections'!$A$4:$EO$14,((MONTH($A37)-1)*12)+VLOOKUP(CE$4,$DE$6:$DF$17,2)+1))*(VLOOKUP($A37,CURVES!$D$9:$T$261,6))*(INDEX(DailyScalarsTable,CE$5/100,MONTH($A37)))*$E37</f>
        <v>0</v>
      </c>
      <c r="CF37" s="1021">
        <f>(VLOOKUP(YEAR($A37),'NY East Load Projections'!$A$4:$EO$14,((MONTH($A37)-1)*12)+VLOOKUP(CF$4,$DE$6:$DF$17,2)+1))*(VLOOKUP($A37,CURVES!$D$9:$T$261,6))*(INDEX(DailyScalarsTable,CF$5/100,MONTH($A37)))*$E37</f>
        <v>0</v>
      </c>
      <c r="CG37" s="1021">
        <f>(VLOOKUP(YEAR($A37),'NY East Load Projections'!$A$4:$EO$14,((MONTH($A37)-1)*12)+VLOOKUP(CG$4,$DE$6:$DF$17,2)+1))*(VLOOKUP($A37,CURVES!$D$9:$T$261,6))*(INDEX(DailyScalarsTable,CG$5/100,MONTH($A37)))*$E37</f>
        <v>0</v>
      </c>
      <c r="CH37" s="1021">
        <f>(VLOOKUP(YEAR($A37),'NY East Load Projections'!$A$4:$EO$14,((MONTH($A37)-1)*12)+VLOOKUP(CH$4,$DE$6:$DF$17,2)+1))*(VLOOKUP($A37,CURVES!$D$9:$T$261,6))*(INDEX(DailyScalarsTable,CH$5/100,MONTH($A37)))*$E37</f>
        <v>0</v>
      </c>
      <c r="CI37" s="1021">
        <f>(VLOOKUP(YEAR($A37),'NY East Load Projections'!$A$4:$EO$14,((MONTH($A37)-1)*12)+VLOOKUP(CI$4,$DE$6:$DF$17,2)+1))*(VLOOKUP($A37,CURVES!$D$9:$T$261,6))*(INDEX(DailyScalarsTable,CI$5/100,MONTH($A37)))*$E37</f>
        <v>0</v>
      </c>
      <c r="CJ37" s="1021">
        <f>(VLOOKUP(YEAR($A37),'NY East Load Projections'!$A$4:$EO$14,((MONTH($A37)-1)*12)+VLOOKUP(CJ$4,$DE$6:$DF$17,2)+1))*(VLOOKUP($A37,CURVES!$D$9:$T$261,6))*(INDEX(DailyScalarsTable,CJ$5/100,MONTH($A37)))*$E37</f>
        <v>0</v>
      </c>
      <c r="CK37" s="1021">
        <f>(VLOOKUP(YEAR($A37),'NY East Load Projections'!$A$4:$EO$14,((MONTH($A37)-1)*12)+VLOOKUP(CK$4,$DE$6:$DF$17,2)+1))*(VLOOKUP($A37,CURVES!$D$9:$T$261,6))*(INDEX(DailyScalarsTable,CK$5/100,MONTH($A37)))*$E37</f>
        <v>0</v>
      </c>
      <c r="CL37" s="1021">
        <f>(VLOOKUP(YEAR($A37),'NY East Load Projections'!$A$4:$EO$14,((MONTH($A37)-1)*12)+VLOOKUP(CL$4,$DE$6:$DF$17,2)+1))*(VLOOKUP($A37,SatSunCurve,6))*(INDEX(DailyScalarsTable,CL$5/100,MONTH($A37)))*$E37</f>
        <v>0</v>
      </c>
      <c r="CM37" s="1021">
        <f>(VLOOKUP(YEAR($A37),'NY East Load Projections'!$A$4:$EO$14,((MONTH($A37)-1)*12)+VLOOKUP(CM$4,$DE$6:$DF$17,2)+1))*(VLOOKUP($A37,SatSunCurve,6))*(INDEX(DailyScalarsTable,CM$5/100,MONTH($A37)))*$E37</f>
        <v>0</v>
      </c>
      <c r="CN37" s="1021">
        <f>(VLOOKUP(YEAR($A37),'NY East Load Projections'!$A$4:$EO$14,((MONTH($A37)-1)*12)+VLOOKUP(CN$4,$DE$6:$DF$17,2)+1))*(VLOOKUP($A37,SatSunCurve,6))*(INDEX(DailyScalarsTable,CN$5/100,MONTH($A37)))*$E37</f>
        <v>0</v>
      </c>
      <c r="CO37" s="1021">
        <f>(VLOOKUP(YEAR($A37),'NY East Load Projections'!$A$4:$EO$14,((MONTH($A37)-1)*12)+VLOOKUP(CO$4,$DE$6:$DF$17,2)+1))*(VLOOKUP($A37,SatSunCurve,6))*(INDEX(DailyScalarsTable,CO$5/100,MONTH($A37)))*$E37</f>
        <v>0</v>
      </c>
      <c r="CP37" s="1021">
        <f>(VLOOKUP(YEAR($A37),'NY East Load Projections'!$A$4:$EO$14,((MONTH($A37)-1)*12)+VLOOKUP(CP$4,$DE$6:$DF$17,2)+1))*(VLOOKUP($A37,SatSunCurve,6))*(INDEX(DailyScalarsTable,CP$5/100,MONTH($A37)))*$E37</f>
        <v>0</v>
      </c>
      <c r="CQ37" s="1021">
        <f>(VLOOKUP(YEAR($A37),'NY East Load Projections'!$A$4:$EO$14,((MONTH($A37)-1)*12)+VLOOKUP(CQ$4,$DE$6:$DF$17,2)+1))*(VLOOKUP($A37,SatSunCurve,6))*(INDEX(DailyScalarsTable,CQ$5/100,MONTH($A37)))*$E37</f>
        <v>0</v>
      </c>
      <c r="CR37" s="1021">
        <f>(VLOOKUP(YEAR($A37),'NY East Load Projections'!$A$4:$EO$14,((MONTH($A37)-1)*12)+VLOOKUP(CR$4,$DE$6:$DF$17,2)+1))*(VLOOKUP($A37,SatSunCurve,6))*(INDEX(DailyScalarsTable,CR$5/100,MONTH($A37)))*$E37</f>
        <v>0</v>
      </c>
      <c r="CS37" s="1021">
        <f>(VLOOKUP(YEAR($A37),'NY East Load Projections'!$A$4:$EO$14,((MONTH($A37)-1)*12)+VLOOKUP(CS$4,$DE$6:$DF$17,2)+1))*(VLOOKUP($A37,SatSunCurve,6))*(INDEX(DailyScalarsTable,CS$5/100,MONTH($A37)))*$E37</f>
        <v>0</v>
      </c>
      <c r="CT37" s="1021">
        <f>(VLOOKUP(YEAR($A37),'NY East Load Projections'!$A$4:$EO$14,((MONTH($A37)-1)*12)+VLOOKUP(CT$4,$DE$6:$DF$17,2)+1))*(VLOOKUP($A37,SatSunCurve,6))*(INDEX(DailyScalarsTable,CT$5/100,MONTH($A37)))*$E37</f>
        <v>0</v>
      </c>
      <c r="CU37" s="1021">
        <f>(VLOOKUP(YEAR($A37),'NY East Load Projections'!$A$4:$EO$14,((MONTH($A37)-1)*12)+VLOOKUP(CU$4,$DE$6:$DF$17,2)+1))*(VLOOKUP($A37,SatSunCurve,6))*(INDEX(DailyScalarsTable,CU$5/100,MONTH($A37)))*$E37</f>
        <v>0</v>
      </c>
      <c r="CV37" s="1021">
        <f>(VLOOKUP(YEAR($A37),'NY East Load Projections'!$A$4:$EO$14,((MONTH($A37)-1)*12)+VLOOKUP(CV$4,$DE$6:$DF$17,2)+1))*(VLOOKUP($A37,SatSunCurve,6))*(INDEX(DailyScalarsTable,CV$5/100,MONTH($A37)))*$E37</f>
        <v>0</v>
      </c>
      <c r="CW37" s="1021">
        <f>(VLOOKUP(YEAR($A37),'NY East Load Projections'!$A$4:$EO$14,((MONTH($A37)-1)*12)+VLOOKUP(CW$4,$DE$6:$DF$17,2)+1))*(VLOOKUP($A37,SatSunCurve,6))*(INDEX(DailyScalarsTable,CW$5/100,MONTH($A37)))*$E37</f>
        <v>0</v>
      </c>
      <c r="CX37" s="1021">
        <f>(VLOOKUP(YEAR($A37),'NY East Load Projections'!$A$4:$EO$14,((MONTH($A37)-1)*12)+VLOOKUP(CX$4,$DE$6:$DF$17,2)+1))*(VLOOKUP($A37,SatSunCurve,6))*(INDEX(DailyScalarsTable,CX$5/100,MONTH($A37)))*$E37</f>
        <v>0</v>
      </c>
      <c r="CY37" s="1021">
        <f>(VLOOKUP(YEAR($A37),'NY East Load Projections'!$A$4:$EO$14,((MONTH($A37)-1)*12)+VLOOKUP(CY$4,$DE$6:$DF$17,2)+1))*(VLOOKUP($A37,SatSunCurve,6))*(INDEX(DailyScalarsTable,CY$5/100,MONTH($A37)))*$E37</f>
        <v>0</v>
      </c>
      <c r="CZ37" s="1021">
        <f>(VLOOKUP(YEAR($A37),'NY East Load Projections'!$A$4:$EO$14,((MONTH($A37)-1)*12)+VLOOKUP(CZ$4,$DE$6:$DF$17,2)+1))*(VLOOKUP($A37,SatSunCurve,6))*(INDEX(DailyScalarsTable,CZ$5/100,MONTH($A37)))*$E37</f>
        <v>0</v>
      </c>
      <c r="DA37" s="1021">
        <f>(VLOOKUP(YEAR($A37),'NY East Load Projections'!$A$4:$EO$14,((MONTH($A37)-1)*12)+VLOOKUP(DA$4,$DE$6:$DF$17,2)+1))*(VLOOKUP($A37,SatSunCurve,6))*(INDEX(DailyScalarsTable,DA$5/100,MONTH($A37)))*$E37</f>
        <v>0</v>
      </c>
      <c r="DB37" s="1021">
        <f>(VLOOKUP(YEAR($A37),'NY East Load Projections'!$A$4:$EO$14,((MONTH($A37)-1)*12)+VLOOKUP(DB$4,$DE$6:$DF$17,2)+1))*(VLOOKUP($A37,CURVES!$D$9:$T$261,6))*(INDEX(DailyScalarsTable,DB$5/100,MONTH($A37)))*$E37</f>
        <v>0</v>
      </c>
      <c r="DH37" s="1021">
        <f t="shared" si="0"/>
        <v>-3531635.7659747154</v>
      </c>
      <c r="DI37">
        <f ca="1">CALC!J57</f>
        <v>0.77711898090809006</v>
      </c>
      <c r="DJ37" s="1029">
        <f t="shared" ca="1" si="1"/>
        <v>-2744501.1873928327</v>
      </c>
    </row>
    <row r="38" spans="1:114" x14ac:dyDescent="0.25">
      <c r="A38" s="244">
        <v>37865</v>
      </c>
      <c r="B38" s="13">
        <v>21</v>
      </c>
      <c r="C38" s="210">
        <v>4</v>
      </c>
      <c r="D38" s="210">
        <v>4</v>
      </c>
      <c r="E38" s="210">
        <v>1</v>
      </c>
      <c r="F38" s="13">
        <v>30</v>
      </c>
      <c r="H38" s="1021">
        <f>(VLOOKUP(YEAR($A38),'NY East Load Projections'!$A$4:$EO$14,((MONTH($A38)-1)*12)+VLOOKUP(H$4,$DE$6:$DF$17,2)+1))*(VLOOKUP($A38,CURVES!$D$9:$K$261,6))*(INDEX(DailyScalarsTable,H$5/100,MONTH($A38)))*$B38</f>
        <v>-40362.269306460417</v>
      </c>
      <c r="I38" s="1021">
        <f>(VLOOKUP(YEAR($A38),'NY East Load Projections'!$A$4:$EO$14,((MONTH($A38)-1)*12)+VLOOKUP(I$4,$DE$6:$DF$17,2)+1))*(VLOOKUP($A38,CURVES!$D$9:$K$261,6))*(INDEX(DailyScalarsTable,I$5/100,MONTH($A38)))*$B38</f>
        <v>-35410.535479937585</v>
      </c>
      <c r="J38" s="1021">
        <f>(VLOOKUP(YEAR($A38),'NY East Load Projections'!$A$4:$EO$14,((MONTH($A38)-1)*12)+VLOOKUP(J$4,$DE$6:$DF$17,2)+1))*(VLOOKUP($A38,CURVES!$D$9:$K$261,6))*(INDEX(DailyScalarsTable,J$5/100,MONTH($A38)))*$B38</f>
        <v>-33206.347544735916</v>
      </c>
      <c r="K38" s="1021">
        <f>(VLOOKUP(YEAR($A38),'NY East Load Projections'!$A$4:$EO$14,((MONTH($A38)-1)*12)+VLOOKUP(K$4,$DE$6:$DF$17,2)+1))*(VLOOKUP($A38,CURVES!$D$9:$K$261,6))*(INDEX(DailyScalarsTable,K$5/100,MONTH($A38)))*$B38</f>
        <v>-33698.445316315832</v>
      </c>
      <c r="L38" s="1021">
        <f>(VLOOKUP(YEAR($A38),'NY East Load Projections'!$A$4:$EO$14,((MONTH($A38)-1)*12)+VLOOKUP(L$4,$DE$6:$DF$17,2)+1))*(VLOOKUP($A38,CURVES!$D$9:$K$261,6))*(INDEX(DailyScalarsTable,L$5/100,MONTH($A38)))*$B38</f>
        <v>-39837.990915237264</v>
      </c>
      <c r="M38" s="1021">
        <f>(VLOOKUP(YEAR($A38),'NY East Load Projections'!$A$4:$EO$14,((MONTH($A38)-1)*12)+VLOOKUP(M$4,$DE$6:$DF$17,2)+1))*(VLOOKUP($A38,CURVES!$D$9:$K$261,6))*(INDEX(DailyScalarsTable,M$5/100,MONTH($A38)))*$B38</f>
        <v>-46101.614169873043</v>
      </c>
      <c r="N38" s="1021">
        <f>(VLOOKUP(YEAR($A38),'NY East Load Projections'!$A$4:$EO$14,((MONTH($A38)-1)*12)+VLOOKUP(N$4,$DE$6:$DF$17,2)+1))*(VLOOKUP($A38,CURVES!$D$9:$K$261,6))*(INDEX(DailyScalarsTable,N$5/100,MONTH($A38)))*$B38</f>
        <v>-62692.358202761374</v>
      </c>
      <c r="O38" s="1021">
        <f>(VLOOKUP(YEAR($A38),'NY East Load Projections'!$A$4:$EO$14,((MONTH($A38)-1)*12)+VLOOKUP(O$4,$DE$6:$DF$17,2)+1))*(VLOOKUP($A38,CURVES!$D$9:$K$261,2))*(INDEX(DailyScalarsTable,O$5/100,MONTH($A38)))*$B38</f>
        <v>-56105.380592781847</v>
      </c>
      <c r="P38" s="1021">
        <f>(VLOOKUP(YEAR($A38),'NY East Load Projections'!$A$4:$EO$14,((MONTH($A38)-1)*12)+VLOOKUP(P$4,$DE$6:$DF$17,2)+1))*(VLOOKUP($A38,CURVES!$D$9:$K$261,2))*(INDEX(DailyScalarsTable,P$5/100,MONTH($A38)))*$B38</f>
        <v>-61209.545953351946</v>
      </c>
      <c r="Q38" s="1021">
        <f>(VLOOKUP(YEAR($A38),'NY East Load Projections'!$A$4:$EO$14,((MONTH($A38)-1)*12)+VLOOKUP(Q$4,$DE$6:$DF$17,2)+1))*(VLOOKUP($A38,CURVES!$D$9:$K$261,2))*(INDEX(DailyScalarsTable,Q$5/100,MONTH($A38)))*$B38</f>
        <v>-76408.677472132971</v>
      </c>
      <c r="R38" s="1021">
        <f>(VLOOKUP(YEAR($A38),'NY East Load Projections'!$A$4:$EO$14,((MONTH($A38)-1)*12)+VLOOKUP(R$4,$DE$6:$DF$17,2)+1))*(VLOOKUP($A38,CURVES!$D$9:$K$261,2))*(INDEX(DailyScalarsTable,R$5/100,MONTH($A38)))*$B38</f>
        <v>-81600.927369853205</v>
      </c>
      <c r="S38" s="1021">
        <f>(VLOOKUP(YEAR($A38),'NY East Load Projections'!$A$4:$EO$14,((MONTH($A38)-1)*12)+VLOOKUP(S$4,$DE$6:$DF$17,2)+1))*(VLOOKUP($A38,CURVES!$D$9:$K$261,2))*(INDEX(DailyScalarsTable,S$5/100,MONTH($A38)))*$B38</f>
        <v>-86946.584650915189</v>
      </c>
      <c r="T38" s="1021">
        <f>(VLOOKUP(YEAR($A38),'NY East Load Projections'!$A$4:$EO$14,((MONTH($A38)-1)*12)+VLOOKUP(T$4,$DE$6:$DF$17,2)+1))*(VLOOKUP($A38,CURVES!$D$9:$K$261,2))*(INDEX(DailyScalarsTable,T$5/100,MONTH($A38)))*$B38</f>
        <v>-83625.89998485356</v>
      </c>
      <c r="U38" s="1021">
        <f>(VLOOKUP(YEAR($A38),'NY East Load Projections'!$A$4:$EO$14,((MONTH($A38)-1)*12)+VLOOKUP(U$4,$DE$6:$DF$17,2)+1))*(VLOOKUP($A38,CURVES!$D$9:$K$261,2))*(INDEX(DailyScalarsTable,U$5/100,MONTH($A38)))*$B38</f>
        <v>-90527.707433007832</v>
      </c>
      <c r="V38" s="1021">
        <f>(VLOOKUP(YEAR($A38),'NY East Load Projections'!$A$4:$EO$14,((MONTH($A38)-1)*12)+VLOOKUP(V$4,$DE$6:$DF$17,2)+1))*(VLOOKUP($A38,CURVES!$D$9:$K$261,2))*(INDEX(DailyScalarsTable,V$5/100,MONTH($A38)))*$B38</f>
        <v>-89099.333369824642</v>
      </c>
      <c r="W38" s="1021">
        <f>(VLOOKUP(YEAR($A38),'NY East Load Projections'!$A$4:$EO$14,((MONTH($A38)-1)*12)+VLOOKUP(W$4,$DE$6:$DF$17,2)+1))*(VLOOKUP($A38,CURVES!$D$9:$K$261,2))*(INDEX(DailyScalarsTable,W$5/100,MONTH($A38)))*$B38</f>
        <v>-86314.604103786725</v>
      </c>
      <c r="X38" s="1021">
        <f>(VLOOKUP(YEAR($A38),'NY East Load Projections'!$A$4:$EO$14,((MONTH($A38)-1)*12)+VLOOKUP(X$4,$DE$6:$DF$17,2)+1))*(VLOOKUP($A38,CURVES!$D$9:$K$261,2))*(INDEX(DailyScalarsTable,X$5/100,MONTH($A38)))*$B38</f>
        <v>-87229.451912294637</v>
      </c>
      <c r="Y38" s="1021">
        <f>(VLOOKUP(YEAR($A38),'NY East Load Projections'!$A$4:$EO$14,((MONTH($A38)-1)*12)+VLOOKUP(Y$4,$DE$6:$DF$17,2)+1))*(VLOOKUP($A38,CURVES!$D$9:$K$261,2))*(INDEX(DailyScalarsTable,Y$5/100,MONTH($A38)))*$B38</f>
        <v>-85089.542827293204</v>
      </c>
      <c r="Z38" s="1021">
        <f>(VLOOKUP(YEAR($A38),'NY East Load Projections'!$A$4:$EO$14,((MONTH($A38)-1)*12)+VLOOKUP(Z$4,$DE$6:$DF$17,2)+1))*(VLOOKUP($A38,CURVES!$D$9:$K$261,2))*(INDEX(DailyScalarsTable,Z$5/100,MONTH($A38)))*$B38</f>
        <v>-69693.460094677721</v>
      </c>
      <c r="AA38" s="1021">
        <f>(VLOOKUP(YEAR($A38),'NY East Load Projections'!$A$4:$EO$14,((MONTH($A38)-1)*12)+VLOOKUP(AA$4,$DE$6:$DF$17,2)+1))*(VLOOKUP($A38,CURVES!$D$9:$K$261,2))*(INDEX(DailyScalarsTable,AA$5/100,MONTH($A38)))*$B38</f>
        <v>-91081.288265297189</v>
      </c>
      <c r="AB38" s="1021">
        <f>(VLOOKUP(YEAR($A38),'NY East Load Projections'!$A$4:$EO$14,((MONTH($A38)-1)*12)+VLOOKUP(AB$4,$DE$6:$DF$17,2)+1))*(VLOOKUP($A38,CURVES!$D$9:$K$261,2))*(INDEX(DailyScalarsTable,AB$5/100,MONTH($A38)))*$B38</f>
        <v>-81540.329863432256</v>
      </c>
      <c r="AC38" s="1021">
        <f>(VLOOKUP(YEAR($A38),'NY East Load Projections'!$A$4:$EO$14,((MONTH($A38)-1)*12)+VLOOKUP(AC$4,$DE$6:$DF$17,2)+1))*(VLOOKUP($A38,CURVES!$D$9:$K$261,2))*(INDEX(DailyScalarsTable,AC$5/100,MONTH($A38)))*$B38</f>
        <v>-62060.251058677997</v>
      </c>
      <c r="AD38" s="1021">
        <f>(VLOOKUP(YEAR($A38),'NY East Load Projections'!$A$4:$EO$14,((MONTH($A38)-1)*12)+VLOOKUP(AD$4,$DE$6:$DF$17,2)+1))*(VLOOKUP($A38,CURVES!$D$9:$K$261,2))*(INDEX(DailyScalarsTable,AD$5/100,MONTH($A38)))*$B38</f>
        <v>-49180.198953686522</v>
      </c>
      <c r="AE38" s="1021">
        <f>(VLOOKUP(YEAR($A38),'NY East Load Projections'!$A$4:$EO$14,((MONTH($A38)-1)*12)+VLOOKUP(AE$4,$DE$6:$DF$17,2)+1))*(VLOOKUP($A38,CURVES!$D$9:$K$261,6))*(INDEX(DailyScalarsTable,AE$5/100,MONTH($A38)))*$B38</f>
        <v>-47168.070561149216</v>
      </c>
      <c r="AF38" s="1021"/>
      <c r="AG38" s="1021">
        <f>(VLOOKUP(YEAR($A38),'NY East Load Projections'!$A$4:$EO$14,((MONTH($A38)-1)*12)+VLOOKUP(AG$4,$DE$6:$DF$17,2)+1))*(VLOOKUP($A38,CURVES!$D$9:$T$261,6))*(INDEX(DailyScalarsTable,AG$5/100,MONTH($A38)))*$C38</f>
        <v>-8086.5641158177295</v>
      </c>
      <c r="AH38" s="1021">
        <f>(VLOOKUP(YEAR($A38),'NY East Load Projections'!$A$4:$EO$14,((MONTH($A38)-1)*12)+VLOOKUP(AH$4,$DE$6:$DF$17,2)+1))*(VLOOKUP($A38,CURVES!$D$9:$T$261,6))*(INDEX(DailyScalarsTable,AH$5/100,MONTH($A38)))*$C38</f>
        <v>-7094.4862728052931</v>
      </c>
      <c r="AI38" s="1021">
        <f>(VLOOKUP(YEAR($A38),'NY East Load Projections'!$A$4:$EO$14,((MONTH($A38)-1)*12)+VLOOKUP(AI$4,$DE$6:$DF$17,2)+1))*(VLOOKUP($A38,CURVES!$D$9:$T$261,6))*(INDEX(DailyScalarsTable,AI$5/100,MONTH($A38)))*$C38</f>
        <v>-6652.878123224189</v>
      </c>
      <c r="AJ38" s="1021">
        <f>(VLOOKUP(YEAR($A38),'NY East Load Projections'!$A$4:$EO$14,((MONTH($A38)-1)*12)+VLOOKUP(AJ$4,$DE$6:$DF$17,2)+1))*(VLOOKUP($A38,CURVES!$D$9:$T$261,6))*(INDEX(DailyScalarsTable,AJ$5/100,MONTH($A38)))*$C38</f>
        <v>-6751.4697101074134</v>
      </c>
      <c r="AK38" s="1021">
        <f>(VLOOKUP(YEAR($A38),'NY East Load Projections'!$A$4:$EO$14,((MONTH($A38)-1)*12)+VLOOKUP(AK$4,$DE$6:$DF$17,2)+1))*(VLOOKUP($A38,CURVES!$D$9:$T$261,6))*(INDEX(DailyScalarsTable,AK$5/100,MONTH($A38)))*$C38</f>
        <v>-7351.6954588763783</v>
      </c>
      <c r="AL38" s="1021">
        <f>(VLOOKUP(YEAR($A38),'NY East Load Projections'!$A$4:$EO$14,((MONTH($A38)-1)*12)+VLOOKUP(AL$4,$DE$6:$DF$17,2)+1))*(VLOOKUP($A38,CURVES!$D$9:$T$261,6))*(INDEX(DailyScalarsTable,AL$5/100,MONTH($A38)))*$C38</f>
        <v>-8507.5833332221155</v>
      </c>
      <c r="AM38" s="1021">
        <f>(VLOOKUP(YEAR($A38),'NY East Load Projections'!$A$4:$EO$14,((MONTH($A38)-1)*12)+VLOOKUP(AM$4,$DE$6:$DF$17,2)+1))*(VLOOKUP($A38,CURVES!$D$9:$T$261,6))*(INDEX(DailyScalarsTable,AM$5/100,MONTH($A38)))*$C38</f>
        <v>-11569.236161686269</v>
      </c>
      <c r="AN38" s="1021">
        <f>(VLOOKUP(YEAR($A38),'NY East Load Projections'!$A$4:$EO$14,((MONTH($A38)-1)*12)+VLOOKUP(AN$4,$DE$6:$DF$17,2)+1))*(VLOOKUP($A38,SatSunCurve,2))*(INDEX(DailyScalarsTable,AN$5/100,MONTH($A38)))*$C38</f>
        <v>-7249.2038007486917</v>
      </c>
      <c r="AO38" s="1021">
        <f>(VLOOKUP(YEAR($A38),'NY East Load Projections'!$A$4:$EO$14,((MONTH($A38)-1)*12)+VLOOKUP(AO$4,$DE$6:$DF$17,2)+1))*(VLOOKUP($A38,SatSunCurve,2))*(INDEX(DailyScalarsTable,AO$5/100,MONTH($A38)))*$C38</f>
        <v>-8010.8086452030975</v>
      </c>
      <c r="AP38" s="1021">
        <f>(VLOOKUP(YEAR($A38),'NY East Load Projections'!$A$4:$EO$14,((MONTH($A38)-1)*12)+VLOOKUP(AP$4,$DE$6:$DF$17,2)+1))*(VLOOKUP($A38,SatSunCurve,2))*(INDEX(DailyScalarsTable,AP$5/100,MONTH($A38)))*$C38</f>
        <v>-9999.9972966435398</v>
      </c>
      <c r="AQ38" s="1021">
        <f>(VLOOKUP(YEAR($A38),'NY East Load Projections'!$A$4:$EO$14,((MONTH($A38)-1)*12)+VLOOKUP(AQ$4,$DE$6:$DF$17,2)+1))*(VLOOKUP($A38,SatSunCurve,2))*(INDEX(DailyScalarsTable,AQ$5/100,MONTH($A38)))*$C38</f>
        <v>-10679.533792477232</v>
      </c>
      <c r="AR38" s="1021">
        <f>(VLOOKUP(YEAR($A38),'NY East Load Projections'!$A$4:$EO$14,((MONTH($A38)-1)*12)+VLOOKUP(AR$4,$DE$6:$DF$17,2)+1))*(VLOOKUP($A38,SatSunCurve,2))*(INDEX(DailyScalarsTable,AR$5/100,MONTH($A38)))*$C38</f>
        <v>-11379.147502960557</v>
      </c>
      <c r="AS38" s="1021">
        <f>(VLOOKUP(YEAR($A38),'NY East Load Projections'!$A$4:$EO$14,((MONTH($A38)-1)*12)+VLOOKUP(AS$4,$DE$6:$DF$17,2)+1))*(VLOOKUP($A38,SatSunCurve,2))*(INDEX(DailyScalarsTable,AS$5/100,MONTH($A38)))*$C38</f>
        <v>-10807.062284018853</v>
      </c>
      <c r="AT38" s="1021">
        <f>(VLOOKUP(YEAR($A38),'NY East Load Projections'!$A$4:$EO$14,((MONTH($A38)-1)*12)+VLOOKUP(AT$4,$DE$6:$DF$17,2)+1))*(VLOOKUP($A38,SatSunCurve,2))*(INDEX(DailyScalarsTable,AT$5/100,MONTH($A38)))*$C38</f>
        <v>-11698.990059720136</v>
      </c>
      <c r="AU38" s="1021">
        <f>(VLOOKUP(YEAR($A38),'NY East Load Projections'!$A$4:$EO$14,((MONTH($A38)-1)*12)+VLOOKUP(AU$4,$DE$6:$DF$17,2)+1))*(VLOOKUP($A38,SatSunCurve,2))*(INDEX(DailyScalarsTable,AU$5/100,MONTH($A38)))*$C38</f>
        <v>-11514.399789618486</v>
      </c>
      <c r="AV38" s="1021">
        <f>(VLOOKUP(YEAR($A38),'NY East Load Projections'!$A$4:$EO$14,((MONTH($A38)-1)*12)+VLOOKUP(AV$4,$DE$6:$DF$17,2)+1))*(VLOOKUP($A38,SatSunCurve,2))*(INDEX(DailyScalarsTable,AV$5/100,MONTH($A38)))*$C38</f>
        <v>-11154.526321857269</v>
      </c>
      <c r="AW38" s="1021">
        <f>(VLOOKUP(YEAR($A38),'NY East Load Projections'!$A$4:$EO$14,((MONTH($A38)-1)*12)+VLOOKUP(AW$4,$DE$6:$DF$17,2)+1))*(VLOOKUP($A38,SatSunCurve,2))*(INDEX(DailyScalarsTable,AW$5/100,MONTH($A38)))*$C38</f>
        <v>-11187.011443481977</v>
      </c>
      <c r="AX38" s="1021">
        <f>(VLOOKUP(YEAR($A38),'NY East Load Projections'!$A$4:$EO$14,((MONTH($A38)-1)*12)+VLOOKUP(AX$4,$DE$6:$DF$17,2)+1))*(VLOOKUP($A38,SatSunCurve,2))*(INDEX(DailyScalarsTable,AX$5/100,MONTH($A38)))*$C38</f>
        <v>-10912.572169852332</v>
      </c>
      <c r="AY38" s="1021">
        <f>(VLOOKUP(YEAR($A38),'NY East Load Projections'!$A$4:$EO$14,((MONTH($A38)-1)*12)+VLOOKUP(AY$4,$DE$6:$DF$17,2)+1))*(VLOOKUP($A38,SatSunCurve,2))*(INDEX(DailyScalarsTable,AY$5/100,MONTH($A38)))*$C38</f>
        <v>-8938.0538169485408</v>
      </c>
      <c r="AZ38" s="1021">
        <f>(VLOOKUP(YEAR($A38),'NY East Load Projections'!$A$4:$EO$14,((MONTH($A38)-1)*12)+VLOOKUP(AZ$4,$DE$6:$DF$17,2)+1))*(VLOOKUP($A38,SatSunCurve,2))*(INDEX(DailyScalarsTable,AZ$5/100,MONTH($A38)))*$C38</f>
        <v>-11681.00213601533</v>
      </c>
      <c r="BA38" s="1021">
        <f>(VLOOKUP(YEAR($A38),'NY East Load Projections'!$A$4:$EO$14,((MONTH($A38)-1)*12)+VLOOKUP(BA$4,$DE$6:$DF$17,2)+1))*(VLOOKUP($A38,SatSunCurve,2))*(INDEX(DailyScalarsTable,BA$5/100,MONTH($A38)))*$C38</f>
        <v>-11473.016192438512</v>
      </c>
      <c r="BB38" s="1021">
        <f>(VLOOKUP(YEAR($A38),'NY East Load Projections'!$A$4:$EO$14,((MONTH($A38)-1)*12)+VLOOKUP(BB$4,$DE$6:$DF$17,2)+1))*(VLOOKUP($A38,SatSunCurve,2))*(INDEX(DailyScalarsTable,BB$5/100,MONTH($A38)))*$C38</f>
        <v>-8732.0993978750776</v>
      </c>
      <c r="BC38" s="1021">
        <f>(VLOOKUP(YEAR($A38),'NY East Load Projections'!$A$4:$EO$14,((MONTH($A38)-1)*12)+VLOOKUP(BC$4,$DE$6:$DF$17,2)+1))*(VLOOKUP($A38,SatSunCurve,2))*(INDEX(DailyScalarsTable,BC$5/100,MONTH($A38)))*$C38</f>
        <v>-6919.8299772397122</v>
      </c>
      <c r="BD38" s="1021">
        <f>(VLOOKUP(YEAR($A38),'NY East Load Projections'!$A$4:$EO$14,((MONTH($A38)-1)*12)+VLOOKUP(BD$4,$DE$6:$DF$17,2)+1))*(VLOOKUP($A38,CURVES!$D$9:$T$261,6))*(INDEX(DailyScalarsTable,BD$5/100,MONTH($A38)))*$C38</f>
        <v>-9478.8911772473748</v>
      </c>
      <c r="BE38" s="1021"/>
      <c r="BF38" s="1021">
        <f>(VLOOKUP(YEAR($A38),'NY East Load Projections'!$A$4:$EO$14,((MONTH($A38)-1)*12)+VLOOKUP(BF$4,$DE$6:$DF$17,2)+1))*(VLOOKUP($A38,CURVES!$D$9:$T$261,6))*(INDEX(DailyScalarsTable,BF$5/100,MONTH($A38)))*$D38</f>
        <v>-8086.5641158177295</v>
      </c>
      <c r="BG38" s="1021">
        <f>(VLOOKUP(YEAR($A38),'NY East Load Projections'!$A$4:$EO$14,((MONTH($A38)-1)*12)+VLOOKUP(BG$4,$DE$6:$DF$17,2)+1))*(VLOOKUP($A38,CURVES!$D$9:$T$261,6))*(INDEX(DailyScalarsTable,BG$5/100,MONTH($A38)))*$D38</f>
        <v>-7094.4862728052931</v>
      </c>
      <c r="BH38" s="1021">
        <f>(VLOOKUP(YEAR($A38),'NY East Load Projections'!$A$4:$EO$14,((MONTH($A38)-1)*12)+VLOOKUP(BH$4,$DE$6:$DF$17,2)+1))*(VLOOKUP($A38,CURVES!$D$9:$T$261,6))*(INDEX(DailyScalarsTable,BH$5/100,MONTH($A38)))*$D38</f>
        <v>-6652.878123224189</v>
      </c>
      <c r="BI38" s="1021">
        <f>(VLOOKUP(YEAR($A38),'NY East Load Projections'!$A$4:$EO$14,((MONTH($A38)-1)*12)+VLOOKUP(BI$4,$DE$6:$DF$17,2)+1))*(VLOOKUP($A38,CURVES!$D$9:$T$261,6))*(INDEX(DailyScalarsTable,BI$5/100,MONTH($A38)))*$D38</f>
        <v>-6751.4697101074134</v>
      </c>
      <c r="BJ38" s="1021">
        <f>(VLOOKUP(YEAR($A38),'NY East Load Projections'!$A$4:$EO$14,((MONTH($A38)-1)*12)+VLOOKUP(BJ$4,$DE$6:$DF$17,2)+1))*(VLOOKUP($A38,CURVES!$D$9:$T$261,6))*(INDEX(DailyScalarsTable,BJ$5/100,MONTH($A38)))*$D38</f>
        <v>-7351.6954588763783</v>
      </c>
      <c r="BK38" s="1021">
        <f>(VLOOKUP(YEAR($A38),'NY East Load Projections'!$A$4:$EO$14,((MONTH($A38)-1)*12)+VLOOKUP(BK$4,$DE$6:$DF$17,2)+1))*(VLOOKUP($A38,CURVES!$D$9:$T$261,6))*(INDEX(DailyScalarsTable,BK$5/100,MONTH($A38)))*$D38</f>
        <v>-8507.5833332221155</v>
      </c>
      <c r="BL38" s="1021">
        <f>(VLOOKUP(YEAR($A38),'NY East Load Projections'!$A$4:$EO$14,((MONTH($A38)-1)*12)+VLOOKUP(BL$4,$DE$6:$DF$17,2)+1))*(VLOOKUP($A38,CURVES!$D$9:$T$261,6))*(INDEX(DailyScalarsTable,BL$5/100,MONTH($A38)))*$D38</f>
        <v>-11569.236161686269</v>
      </c>
      <c r="BM38" s="1021">
        <f>(VLOOKUP(YEAR($A38),'NY East Load Projections'!$A$4:$EO$14,((MONTH($A38)-1)*12)+VLOOKUP(BM$4,$DE$6:$DF$17,2)+1))*(VLOOKUP($A38,SatSunCurve,6))*(INDEX(DailyScalarsTable,BM$5/100,MONTH($A38)))*$D38</f>
        <v>-6554.6109714753566</v>
      </c>
      <c r="BN38" s="1021">
        <f>(VLOOKUP(YEAR($A38),'NY East Load Projections'!$A$4:$EO$14,((MONTH($A38)-1)*12)+VLOOKUP(BN$4,$DE$6:$DF$17,2)+1))*(VLOOKUP($A38,SatSunCurve,6))*(INDEX(DailyScalarsTable,BN$5/100,MONTH($A38)))*$D38</f>
        <v>-7243.2415585853578</v>
      </c>
      <c r="BO38" s="1021">
        <f>(VLOOKUP(YEAR($A38),'NY East Load Projections'!$A$4:$EO$14,((MONTH($A38)-1)*12)+VLOOKUP(BO$4,$DE$6:$DF$17,2)+1))*(VLOOKUP($A38,SatSunCurve,6))*(INDEX(DailyScalarsTable,BO$5/100,MONTH($A38)))*$D38</f>
        <v>-9041.833254644338</v>
      </c>
      <c r="BP38" s="1021">
        <f>(VLOOKUP(YEAR($A38),'NY East Load Projections'!$A$4:$EO$14,((MONTH($A38)-1)*12)+VLOOKUP(BP$4,$DE$6:$DF$17,2)+1))*(VLOOKUP($A38,SatSunCurve,6))*(INDEX(DailyScalarsTable,BP$5/100,MONTH($A38)))*$D38</f>
        <v>-9656.2589893228724</v>
      </c>
      <c r="BQ38" s="1021">
        <f>(VLOOKUP(YEAR($A38),'NY East Load Projections'!$A$4:$EO$14,((MONTH($A38)-1)*12)+VLOOKUP(BQ$4,$DE$6:$DF$17,2)+1))*(VLOOKUP($A38,SatSunCurve,6))*(INDEX(DailyScalarsTable,BQ$5/100,MONTH($A38)))*$D38</f>
        <v>-10288.838211616909</v>
      </c>
      <c r="BR38" s="1021">
        <f>(VLOOKUP(YEAR($A38),'NY East Load Projections'!$A$4:$EO$14,((MONTH($A38)-1)*12)+VLOOKUP(BR$4,$DE$6:$DF$17,2)+1))*(VLOOKUP($A38,SatSunCurve,6))*(INDEX(DailyScalarsTable,BR$5/100,MONTH($A38)))*$D38</f>
        <v>-9771.5681560686153</v>
      </c>
      <c r="BS38" s="1021">
        <f>(VLOOKUP(YEAR($A38),'NY East Load Projections'!$A$4:$EO$14,((MONTH($A38)-1)*12)+VLOOKUP(BS$4,$DE$6:$DF$17,2)+1))*(VLOOKUP($A38,SatSunCurve,6))*(INDEX(DailyScalarsTable,BS$5/100,MONTH($A38)))*$D38</f>
        <v>-10578.034596392923</v>
      </c>
      <c r="BT38" s="1021">
        <f>(VLOOKUP(YEAR($A38),'NY East Load Projections'!$A$4:$EO$14,((MONTH($A38)-1)*12)+VLOOKUP(BT$4,$DE$6:$DF$17,2)+1))*(VLOOKUP($A38,SatSunCurve,6))*(INDEX(DailyScalarsTable,BT$5/100,MONTH($A38)))*$D38</f>
        <v>-10411.131107004072</v>
      </c>
      <c r="BU38" s="1021">
        <f>(VLOOKUP(YEAR($A38),'NY East Load Projections'!$A$4:$EO$14,((MONTH($A38)-1)*12)+VLOOKUP(BU$4,$DE$6:$DF$17,2)+1))*(VLOOKUP($A38,SatSunCurve,6))*(INDEX(DailyScalarsTable,BU$5/100,MONTH($A38)))*$D38</f>
        <v>-10085.739430212348</v>
      </c>
      <c r="BV38" s="1021">
        <f>(VLOOKUP(YEAR($A38),'NY East Load Projections'!$A$4:$EO$14,((MONTH($A38)-1)*12)+VLOOKUP(BV$4,$DE$6:$DF$17,2)+1))*(VLOOKUP($A38,SatSunCurve,6))*(INDEX(DailyScalarsTable,BV$5/100,MONTH($A38)))*$D38</f>
        <v>-10115.111943451533</v>
      </c>
      <c r="BW38" s="1021">
        <f>(VLOOKUP(YEAR($A38),'NY East Load Projections'!$A$4:$EO$14,((MONTH($A38)-1)*12)+VLOOKUP(BW$4,$DE$6:$DF$17,2)+1))*(VLOOKUP($A38,SatSunCurve,6))*(INDEX(DailyScalarsTable,BW$5/100,MONTH($A38)))*$D38</f>
        <v>-9866.9684613010086</v>
      </c>
      <c r="BX38" s="1021">
        <f>(VLOOKUP(YEAR($A38),'NY East Load Projections'!$A$4:$EO$14,((MONTH($A38)-1)*12)+VLOOKUP(BX$4,$DE$6:$DF$17,2)+1))*(VLOOKUP($A38,SatSunCurve,6))*(INDEX(DailyScalarsTable,BX$5/100,MONTH($A38)))*$D38</f>
        <v>-8081.641408144359</v>
      </c>
      <c r="BY38" s="1021">
        <f>(VLOOKUP(YEAR($A38),'NY East Load Projections'!$A$4:$EO$14,((MONTH($A38)-1)*12)+VLOOKUP(BY$4,$DE$6:$DF$17,2)+1))*(VLOOKUP($A38,SatSunCurve,6))*(INDEX(DailyScalarsTable,BY$5/100,MONTH($A38)))*$D38</f>
        <v>-10561.77021132247</v>
      </c>
      <c r="BZ38" s="1021">
        <f>(VLOOKUP(YEAR($A38),'NY East Load Projections'!$A$4:$EO$14,((MONTH($A38)-1)*12)+VLOOKUP(BZ$4,$DE$6:$DF$17,2)+1))*(VLOOKUP($A38,SatSunCurve,6))*(INDEX(DailyScalarsTable,BZ$5/100,MONTH($A38)))*$D38</f>
        <v>-10373.712738370685</v>
      </c>
      <c r="CA38" s="1021">
        <f>(VLOOKUP(YEAR($A38),'NY East Load Projections'!$A$4:$EO$14,((MONTH($A38)-1)*12)+VLOOKUP(CA$4,$DE$6:$DF$17,2)+1))*(VLOOKUP($A38,SatSunCurve,6))*(INDEX(DailyScalarsTable,CA$5/100,MONTH($A38)))*$D38</f>
        <v>-7895.420806270351</v>
      </c>
      <c r="CB38" s="1021">
        <f>(VLOOKUP(YEAR($A38),'NY East Load Projections'!$A$4:$EO$14,((MONTH($A38)-1)*12)+VLOOKUP(CB$4,$DE$6:$DF$17,2)+1))*(VLOOKUP($A38,SatSunCurve,6))*(INDEX(DailyScalarsTable,CB$5/100,MONTH($A38)))*$D38</f>
        <v>-6256.7965719042231</v>
      </c>
      <c r="CC38" s="1021">
        <f>(VLOOKUP(YEAR($A38),'NY East Load Projections'!$A$4:$EO$14,((MONTH($A38)-1)*12)+VLOOKUP(CC$4,$DE$6:$DF$17,2)+1))*(VLOOKUP($A38,CURVES!$D$9:$T$261,6))*(INDEX(DailyScalarsTable,CC$5/100,MONTH($A38)))*$D38</f>
        <v>-9478.8911772473748</v>
      </c>
      <c r="CE38" s="1021">
        <f>(VLOOKUP(YEAR($A38),'NY East Load Projections'!$A$4:$EO$14,((MONTH($A38)-1)*12)+VLOOKUP(CE$4,$DE$6:$DF$17,2)+1))*(VLOOKUP($A38,CURVES!$D$9:$T$261,6))*(INDEX(DailyScalarsTable,CE$5/100,MONTH($A38)))*$E38</f>
        <v>-2021.6410289544324</v>
      </c>
      <c r="CF38" s="1021">
        <f>(VLOOKUP(YEAR($A38),'NY East Load Projections'!$A$4:$EO$14,((MONTH($A38)-1)*12)+VLOOKUP(CF$4,$DE$6:$DF$17,2)+1))*(VLOOKUP($A38,CURVES!$D$9:$T$261,6))*(INDEX(DailyScalarsTable,CF$5/100,MONTH($A38)))*$E38</f>
        <v>-1773.6215682013233</v>
      </c>
      <c r="CG38" s="1021">
        <f>(VLOOKUP(YEAR($A38),'NY East Load Projections'!$A$4:$EO$14,((MONTH($A38)-1)*12)+VLOOKUP(CG$4,$DE$6:$DF$17,2)+1))*(VLOOKUP($A38,CURVES!$D$9:$T$261,6))*(INDEX(DailyScalarsTable,CG$5/100,MONTH($A38)))*$E38</f>
        <v>-1663.2195308060473</v>
      </c>
      <c r="CH38" s="1021">
        <f>(VLOOKUP(YEAR($A38),'NY East Load Projections'!$A$4:$EO$14,((MONTH($A38)-1)*12)+VLOOKUP(CH$4,$DE$6:$DF$17,2)+1))*(VLOOKUP($A38,CURVES!$D$9:$T$261,6))*(INDEX(DailyScalarsTable,CH$5/100,MONTH($A38)))*$E38</f>
        <v>-1687.8674275268534</v>
      </c>
      <c r="CI38" s="1021">
        <f>(VLOOKUP(YEAR($A38),'NY East Load Projections'!$A$4:$EO$14,((MONTH($A38)-1)*12)+VLOOKUP(CI$4,$DE$6:$DF$17,2)+1))*(VLOOKUP($A38,CURVES!$D$9:$T$261,6))*(INDEX(DailyScalarsTable,CI$5/100,MONTH($A38)))*$E38</f>
        <v>-1837.9238647190946</v>
      </c>
      <c r="CJ38" s="1021">
        <f>(VLOOKUP(YEAR($A38),'NY East Load Projections'!$A$4:$EO$14,((MONTH($A38)-1)*12)+VLOOKUP(CJ$4,$DE$6:$DF$17,2)+1))*(VLOOKUP($A38,CURVES!$D$9:$T$261,6))*(INDEX(DailyScalarsTable,CJ$5/100,MONTH($A38)))*$E38</f>
        <v>-2126.8958333055289</v>
      </c>
      <c r="CK38" s="1021">
        <f>(VLOOKUP(YEAR($A38),'NY East Load Projections'!$A$4:$EO$14,((MONTH($A38)-1)*12)+VLOOKUP(CK$4,$DE$6:$DF$17,2)+1))*(VLOOKUP($A38,CURVES!$D$9:$T$261,6))*(INDEX(DailyScalarsTable,CK$5/100,MONTH($A38)))*$E38</f>
        <v>-2892.3090404215673</v>
      </c>
      <c r="CL38" s="1021">
        <f>(VLOOKUP(YEAR($A38),'NY East Load Projections'!$A$4:$EO$14,((MONTH($A38)-1)*12)+VLOOKUP(CL$4,$DE$6:$DF$17,2)+1))*(VLOOKUP($A38,SatSunCurve,6))*(INDEX(DailyScalarsTable,CL$5/100,MONTH($A38)))*$E38</f>
        <v>-1638.6527428688391</v>
      </c>
      <c r="CM38" s="1021">
        <f>(VLOOKUP(YEAR($A38),'NY East Load Projections'!$A$4:$EO$14,((MONTH($A38)-1)*12)+VLOOKUP(CM$4,$DE$6:$DF$17,2)+1))*(VLOOKUP($A38,SatSunCurve,6))*(INDEX(DailyScalarsTable,CM$5/100,MONTH($A38)))*$E38</f>
        <v>-1810.8103896463394</v>
      </c>
      <c r="CN38" s="1021">
        <f>(VLOOKUP(YEAR($A38),'NY East Load Projections'!$A$4:$EO$14,((MONTH($A38)-1)*12)+VLOOKUP(CN$4,$DE$6:$DF$17,2)+1))*(VLOOKUP($A38,SatSunCurve,6))*(INDEX(DailyScalarsTable,CN$5/100,MONTH($A38)))*$E38</f>
        <v>-2260.4583136610845</v>
      </c>
      <c r="CO38" s="1021">
        <f>(VLOOKUP(YEAR($A38),'NY East Load Projections'!$A$4:$EO$14,((MONTH($A38)-1)*12)+VLOOKUP(CO$4,$DE$6:$DF$17,2)+1))*(VLOOKUP($A38,SatSunCurve,6))*(INDEX(DailyScalarsTable,CO$5/100,MONTH($A38)))*$E38</f>
        <v>-2414.0647473307181</v>
      </c>
      <c r="CP38" s="1021">
        <f>(VLOOKUP(YEAR($A38),'NY East Load Projections'!$A$4:$EO$14,((MONTH($A38)-1)*12)+VLOOKUP(CP$4,$DE$6:$DF$17,2)+1))*(VLOOKUP($A38,SatSunCurve,6))*(INDEX(DailyScalarsTable,CP$5/100,MONTH($A38)))*$E38</f>
        <v>-2572.2095529042272</v>
      </c>
      <c r="CQ38" s="1021">
        <f>(VLOOKUP(YEAR($A38),'NY East Load Projections'!$A$4:$EO$14,((MONTH($A38)-1)*12)+VLOOKUP(CQ$4,$DE$6:$DF$17,2)+1))*(VLOOKUP($A38,SatSunCurve,6))*(INDEX(DailyScalarsTable,CQ$5/100,MONTH($A38)))*$E38</f>
        <v>-2442.8920390171538</v>
      </c>
      <c r="CR38" s="1021">
        <f>(VLOOKUP(YEAR($A38),'NY East Load Projections'!$A$4:$EO$14,((MONTH($A38)-1)*12)+VLOOKUP(CR$4,$DE$6:$DF$17,2)+1))*(VLOOKUP($A38,SatSunCurve,6))*(INDEX(DailyScalarsTable,CR$5/100,MONTH($A38)))*$E38</f>
        <v>-2644.5086490982308</v>
      </c>
      <c r="CS38" s="1021">
        <f>(VLOOKUP(YEAR($A38),'NY East Load Projections'!$A$4:$EO$14,((MONTH($A38)-1)*12)+VLOOKUP(CS$4,$DE$6:$DF$17,2)+1))*(VLOOKUP($A38,SatSunCurve,6))*(INDEX(DailyScalarsTable,CS$5/100,MONTH($A38)))*$E38</f>
        <v>-2602.782776751018</v>
      </c>
      <c r="CT38" s="1021">
        <f>(VLOOKUP(YEAR($A38),'NY East Load Projections'!$A$4:$EO$14,((MONTH($A38)-1)*12)+VLOOKUP(CT$4,$DE$6:$DF$17,2)+1))*(VLOOKUP($A38,SatSunCurve,6))*(INDEX(DailyScalarsTable,CT$5/100,MONTH($A38)))*$E38</f>
        <v>-2521.4348575530871</v>
      </c>
      <c r="CU38" s="1021">
        <f>(VLOOKUP(YEAR($A38),'NY East Load Projections'!$A$4:$EO$14,((MONTH($A38)-1)*12)+VLOOKUP(CU$4,$DE$6:$DF$17,2)+1))*(VLOOKUP($A38,SatSunCurve,6))*(INDEX(DailyScalarsTable,CU$5/100,MONTH($A38)))*$E38</f>
        <v>-2528.7779858628833</v>
      </c>
      <c r="CV38" s="1021">
        <f>(VLOOKUP(YEAR($A38),'NY East Load Projections'!$A$4:$EO$14,((MONTH($A38)-1)*12)+VLOOKUP(CV$4,$DE$6:$DF$17,2)+1))*(VLOOKUP($A38,SatSunCurve,6))*(INDEX(DailyScalarsTable,CV$5/100,MONTH($A38)))*$E38</f>
        <v>-2466.7421153252521</v>
      </c>
      <c r="CW38" s="1021">
        <f>(VLOOKUP(YEAR($A38),'NY East Load Projections'!$A$4:$EO$14,((MONTH($A38)-1)*12)+VLOOKUP(CW$4,$DE$6:$DF$17,2)+1))*(VLOOKUP($A38,SatSunCurve,6))*(INDEX(DailyScalarsTable,CW$5/100,MONTH($A38)))*$E38</f>
        <v>-2020.4103520360898</v>
      </c>
      <c r="CX38" s="1021">
        <f>(VLOOKUP(YEAR($A38),'NY East Load Projections'!$A$4:$EO$14,((MONTH($A38)-1)*12)+VLOOKUP(CX$4,$DE$6:$DF$17,2)+1))*(VLOOKUP($A38,SatSunCurve,6))*(INDEX(DailyScalarsTable,CX$5/100,MONTH($A38)))*$E38</f>
        <v>-2640.4425528306174</v>
      </c>
      <c r="CY38" s="1021">
        <f>(VLOOKUP(YEAR($A38),'NY East Load Projections'!$A$4:$EO$14,((MONTH($A38)-1)*12)+VLOOKUP(CY$4,$DE$6:$DF$17,2)+1))*(VLOOKUP($A38,SatSunCurve,6))*(INDEX(DailyScalarsTable,CY$5/100,MONTH($A38)))*$E38</f>
        <v>-2593.4281845926712</v>
      </c>
      <c r="CZ38" s="1021">
        <f>(VLOOKUP(YEAR($A38),'NY East Load Projections'!$A$4:$EO$14,((MONTH($A38)-1)*12)+VLOOKUP(CZ$4,$DE$6:$DF$17,2)+1))*(VLOOKUP($A38,SatSunCurve,6))*(INDEX(DailyScalarsTable,CZ$5/100,MONTH($A38)))*$E38</f>
        <v>-1973.8552015675878</v>
      </c>
      <c r="DA38" s="1021">
        <f>(VLOOKUP(YEAR($A38),'NY East Load Projections'!$A$4:$EO$14,((MONTH($A38)-1)*12)+VLOOKUP(DA$4,$DE$6:$DF$17,2)+1))*(VLOOKUP($A38,SatSunCurve,6))*(INDEX(DailyScalarsTable,DA$5/100,MONTH($A38)))*$E38</f>
        <v>-1564.1991429760558</v>
      </c>
      <c r="DB38" s="1021">
        <f>(VLOOKUP(YEAR($A38),'NY East Load Projections'!$A$4:$EO$14,((MONTH($A38)-1)*12)+VLOOKUP(DB$4,$DE$6:$DF$17,2)+1))*(VLOOKUP($A38,CURVES!$D$9:$T$261,6))*(INDEX(DailyScalarsTable,DB$5/100,MONTH($A38)))*$E38</f>
        <v>-2369.7227943118437</v>
      </c>
      <c r="DH38" s="1021">
        <f t="shared" si="0"/>
        <v>-2069365.2278437673</v>
      </c>
      <c r="DI38">
        <f ca="1">CALC!J58</f>
        <v>0.77245698322183542</v>
      </c>
      <c r="DJ38" s="1029">
        <f t="shared" ca="1" si="1"/>
        <v>-1598495.6210843625</v>
      </c>
    </row>
    <row r="39" spans="1:114" x14ac:dyDescent="0.25">
      <c r="A39" s="244">
        <v>37895</v>
      </c>
      <c r="B39" s="13">
        <v>23</v>
      </c>
      <c r="C39" s="210">
        <v>4</v>
      </c>
      <c r="D39" s="210">
        <v>4</v>
      </c>
      <c r="E39" s="210">
        <v>0</v>
      </c>
      <c r="F39" s="13">
        <v>31</v>
      </c>
      <c r="H39" s="1021">
        <f>(VLOOKUP(YEAR($A39),'NY East Load Projections'!$A$4:$EO$14,((MONTH($A39)-1)*12)+VLOOKUP(H$4,$DE$6:$DF$17,2)+1))*(VLOOKUP($A39,CURVES!$D$9:$K$261,6))*(INDEX(DailyScalarsTable,H$5/100,MONTH($A39)))*$B39</f>
        <v>-38878.034699961092</v>
      </c>
      <c r="I39" s="1021">
        <f>(VLOOKUP(YEAR($A39),'NY East Load Projections'!$A$4:$EO$14,((MONTH($A39)-1)*12)+VLOOKUP(I$4,$DE$6:$DF$17,2)+1))*(VLOOKUP($A39,CURVES!$D$9:$K$261,6))*(INDEX(DailyScalarsTable,I$5/100,MONTH($A39)))*$B39</f>
        <v>-36900.352682048375</v>
      </c>
      <c r="J39" s="1021">
        <f>(VLOOKUP(YEAR($A39),'NY East Load Projections'!$A$4:$EO$14,((MONTH($A39)-1)*12)+VLOOKUP(J$4,$DE$6:$DF$17,2)+1))*(VLOOKUP($A39,CURVES!$D$9:$K$261,6))*(INDEX(DailyScalarsTable,J$5/100,MONTH($A39)))*$B39</f>
        <v>-35446.776871781272</v>
      </c>
      <c r="K39" s="1021">
        <f>(VLOOKUP(YEAR($A39),'NY East Load Projections'!$A$4:$EO$14,((MONTH($A39)-1)*12)+VLOOKUP(K$4,$DE$6:$DF$17,2)+1))*(VLOOKUP($A39,CURVES!$D$9:$K$261,6))*(INDEX(DailyScalarsTable,K$5/100,MONTH($A39)))*$B39</f>
        <v>-35467.249770517425</v>
      </c>
      <c r="L39" s="1021">
        <f>(VLOOKUP(YEAR($A39),'NY East Load Projections'!$A$4:$EO$14,((MONTH($A39)-1)*12)+VLOOKUP(L$4,$DE$6:$DF$17,2)+1))*(VLOOKUP($A39,CURVES!$D$9:$K$261,6))*(INDEX(DailyScalarsTable,L$5/100,MONTH($A39)))*$B39</f>
        <v>-41988.393220658116</v>
      </c>
      <c r="M39" s="1021">
        <f>(VLOOKUP(YEAR($A39),'NY East Load Projections'!$A$4:$EO$14,((MONTH($A39)-1)*12)+VLOOKUP(M$4,$DE$6:$DF$17,2)+1))*(VLOOKUP($A39,CURVES!$D$9:$K$261,6))*(INDEX(DailyScalarsTable,M$5/100,MONTH($A39)))*$B39</f>
        <v>-48237.933884585538</v>
      </c>
      <c r="N39" s="1021">
        <f>(VLOOKUP(YEAR($A39),'NY East Load Projections'!$A$4:$EO$14,((MONTH($A39)-1)*12)+VLOOKUP(N$4,$DE$6:$DF$17,2)+1))*(VLOOKUP($A39,CURVES!$D$9:$K$261,6))*(INDEX(DailyScalarsTable,N$5/100,MONTH($A39)))*$B39</f>
        <v>-62359.448539261277</v>
      </c>
      <c r="O39" s="1021">
        <f>(VLOOKUP(YEAR($A39),'NY East Load Projections'!$A$4:$EO$14,((MONTH($A39)-1)*12)+VLOOKUP(O$4,$DE$6:$DF$17,2)+1))*(VLOOKUP($A39,CURVES!$D$9:$K$261,2))*(INDEX(DailyScalarsTable,O$5/100,MONTH($A39)))*$B39</f>
        <v>-74000.417049105788</v>
      </c>
      <c r="P39" s="1021">
        <f>(VLOOKUP(YEAR($A39),'NY East Load Projections'!$A$4:$EO$14,((MONTH($A39)-1)*12)+VLOOKUP(P$4,$DE$6:$DF$17,2)+1))*(VLOOKUP($A39,CURVES!$D$9:$K$261,2))*(INDEX(DailyScalarsTable,P$5/100,MONTH($A39)))*$B39</f>
        <v>-87703.684990212729</v>
      </c>
      <c r="Q39" s="1021">
        <f>(VLOOKUP(YEAR($A39),'NY East Load Projections'!$A$4:$EO$14,((MONTH($A39)-1)*12)+VLOOKUP(Q$4,$DE$6:$DF$17,2)+1))*(VLOOKUP($A39,CURVES!$D$9:$K$261,2))*(INDEX(DailyScalarsTable,Q$5/100,MONTH($A39)))*$B39</f>
        <v>-87432.660005694139</v>
      </c>
      <c r="R39" s="1021">
        <f>(VLOOKUP(YEAR($A39),'NY East Load Projections'!$A$4:$EO$14,((MONTH($A39)-1)*12)+VLOOKUP(R$4,$DE$6:$DF$17,2)+1))*(VLOOKUP($A39,CURVES!$D$9:$K$261,2))*(INDEX(DailyScalarsTable,R$5/100,MONTH($A39)))*$B39</f>
        <v>-86937.071462574444</v>
      </c>
      <c r="S39" s="1021">
        <f>(VLOOKUP(YEAR($A39),'NY East Load Projections'!$A$4:$EO$14,((MONTH($A39)-1)*12)+VLOOKUP(S$4,$DE$6:$DF$17,2)+1))*(VLOOKUP($A39,CURVES!$D$9:$K$261,2))*(INDEX(DailyScalarsTable,S$5/100,MONTH($A39)))*$B39</f>
        <v>-73362.591523686686</v>
      </c>
      <c r="T39" s="1021">
        <f>(VLOOKUP(YEAR($A39),'NY East Load Projections'!$A$4:$EO$14,((MONTH($A39)-1)*12)+VLOOKUP(T$4,$DE$6:$DF$17,2)+1))*(VLOOKUP($A39,CURVES!$D$9:$K$261,2))*(INDEX(DailyScalarsTable,T$5/100,MONTH($A39)))*$B39</f>
        <v>-70163.369883440406</v>
      </c>
      <c r="U39" s="1021">
        <f>(VLOOKUP(YEAR($A39),'NY East Load Projections'!$A$4:$EO$14,((MONTH($A39)-1)*12)+VLOOKUP(U$4,$DE$6:$DF$17,2)+1))*(VLOOKUP($A39,CURVES!$D$9:$K$261,2))*(INDEX(DailyScalarsTable,U$5/100,MONTH($A39)))*$B39</f>
        <v>-68215.920466516051</v>
      </c>
      <c r="V39" s="1021">
        <f>(VLOOKUP(YEAR($A39),'NY East Load Projections'!$A$4:$EO$14,((MONTH($A39)-1)*12)+VLOOKUP(V$4,$DE$6:$DF$17,2)+1))*(VLOOKUP($A39,CURVES!$D$9:$K$261,2))*(INDEX(DailyScalarsTable,V$5/100,MONTH($A39)))*$B39</f>
        <v>-66631.153936954142</v>
      </c>
      <c r="W39" s="1021">
        <f>(VLOOKUP(YEAR($A39),'NY East Load Projections'!$A$4:$EO$14,((MONTH($A39)-1)*12)+VLOOKUP(W$4,$DE$6:$DF$17,2)+1))*(VLOOKUP($A39,CURVES!$D$9:$K$261,2))*(INDEX(DailyScalarsTable,W$5/100,MONTH($A39)))*$B39</f>
        <v>-66173.85812245369</v>
      </c>
      <c r="X39" s="1021">
        <f>(VLOOKUP(YEAR($A39),'NY East Load Projections'!$A$4:$EO$14,((MONTH($A39)-1)*12)+VLOOKUP(X$4,$DE$6:$DF$17,2)+1))*(VLOOKUP($A39,CURVES!$D$9:$K$261,2))*(INDEX(DailyScalarsTable,X$5/100,MONTH($A39)))*$B39</f>
        <v>-65608.343912569238</v>
      </c>
      <c r="Y39" s="1021">
        <f>(VLOOKUP(YEAR($A39),'NY East Load Projections'!$A$4:$EO$14,((MONTH($A39)-1)*12)+VLOOKUP(Y$4,$DE$6:$DF$17,2)+1))*(VLOOKUP($A39,CURVES!$D$9:$K$261,2))*(INDEX(DailyScalarsTable,Y$5/100,MONTH($A39)))*$B39</f>
        <v>-88507.838949499026</v>
      </c>
      <c r="Z39" s="1021">
        <f>(VLOOKUP(YEAR($A39),'NY East Load Projections'!$A$4:$EO$14,((MONTH($A39)-1)*12)+VLOOKUP(Z$4,$DE$6:$DF$17,2)+1))*(VLOOKUP($A39,CURVES!$D$9:$K$261,2))*(INDEX(DailyScalarsTable,Z$5/100,MONTH($A39)))*$B39</f>
        <v>-89201.092583467267</v>
      </c>
      <c r="AA39" s="1021">
        <f>(VLOOKUP(YEAR($A39),'NY East Load Projections'!$A$4:$EO$14,((MONTH($A39)-1)*12)+VLOOKUP(AA$4,$DE$6:$DF$17,2)+1))*(VLOOKUP($A39,CURVES!$D$9:$K$261,2))*(INDEX(DailyScalarsTable,AA$5/100,MONTH($A39)))*$B39</f>
        <v>-85307.072171390333</v>
      </c>
      <c r="AB39" s="1021">
        <f>(VLOOKUP(YEAR($A39),'NY East Load Projections'!$A$4:$EO$14,((MONTH($A39)-1)*12)+VLOOKUP(AB$4,$DE$6:$DF$17,2)+1))*(VLOOKUP($A39,CURVES!$D$9:$K$261,2))*(INDEX(DailyScalarsTable,AB$5/100,MONTH($A39)))*$B39</f>
        <v>-70140.91876471274</v>
      </c>
      <c r="AC39" s="1021">
        <f>(VLOOKUP(YEAR($A39),'NY East Load Projections'!$A$4:$EO$14,((MONTH($A39)-1)*12)+VLOOKUP(AC$4,$DE$6:$DF$17,2)+1))*(VLOOKUP($A39,CURVES!$D$9:$K$261,2))*(INDEX(DailyScalarsTable,AC$5/100,MONTH($A39)))*$B39</f>
        <v>-58185.00577104574</v>
      </c>
      <c r="AD39" s="1021">
        <f>(VLOOKUP(YEAR($A39),'NY East Load Projections'!$A$4:$EO$14,((MONTH($A39)-1)*12)+VLOOKUP(AD$4,$DE$6:$DF$17,2)+1))*(VLOOKUP($A39,CURVES!$D$9:$K$261,2))*(INDEX(DailyScalarsTable,AD$5/100,MONTH($A39)))*$B39</f>
        <v>-49608.508360111176</v>
      </c>
      <c r="AE39" s="1021">
        <f>(VLOOKUP(YEAR($A39),'NY East Load Projections'!$A$4:$EO$14,((MONTH($A39)-1)*12)+VLOOKUP(AE$4,$DE$6:$DF$17,2)+1))*(VLOOKUP($A39,CURVES!$D$9:$K$261,6))*(INDEX(DailyScalarsTable,AE$5/100,MONTH($A39)))*$B39</f>
        <v>-44812.594954053035</v>
      </c>
      <c r="AF39" s="1021"/>
      <c r="AG39" s="1021">
        <f>(VLOOKUP(YEAR($A39),'NY East Load Projections'!$A$4:$EO$14,((MONTH($A39)-1)*12)+VLOOKUP(AG$4,$DE$6:$DF$17,2)+1))*(VLOOKUP($A39,CURVES!$D$9:$T$261,6))*(INDEX(DailyScalarsTable,AG$5/100,MONTH($A39)))*$C39</f>
        <v>-7222.6045783259851</v>
      </c>
      <c r="AH39" s="1021">
        <f>(VLOOKUP(YEAR($A39),'NY East Load Projections'!$A$4:$EO$14,((MONTH($A39)-1)*12)+VLOOKUP(AH$4,$DE$6:$DF$17,2)+1))*(VLOOKUP($A39,CURVES!$D$9:$T$261,6))*(INDEX(DailyScalarsTable,AH$5/100,MONTH($A39)))*$C39</f>
        <v>-6855.198784610192</v>
      </c>
      <c r="AI39" s="1021">
        <f>(VLOOKUP(YEAR($A39),'NY East Load Projections'!$A$4:$EO$14,((MONTH($A39)-1)*12)+VLOOKUP(AI$4,$DE$6:$DF$17,2)+1))*(VLOOKUP($A39,CURVES!$D$9:$T$261,6))*(INDEX(DailyScalarsTable,AI$5/100,MONTH($A39)))*$C39</f>
        <v>-6585.1593296016908</v>
      </c>
      <c r="AJ39" s="1021">
        <f>(VLOOKUP(YEAR($A39),'NY East Load Projections'!$A$4:$EO$14,((MONTH($A39)-1)*12)+VLOOKUP(AJ$4,$DE$6:$DF$17,2)+1))*(VLOOKUP($A39,CURVES!$D$9:$T$261,6))*(INDEX(DailyScalarsTable,AJ$5/100,MONTH($A39)))*$C39</f>
        <v>-6588.9627022074437</v>
      </c>
      <c r="AK39" s="1021">
        <f>(VLOOKUP(YEAR($A39),'NY East Load Projections'!$A$4:$EO$14,((MONTH($A39)-1)*12)+VLOOKUP(AK$4,$DE$6:$DF$17,2)+1))*(VLOOKUP($A39,CURVES!$D$9:$T$261,6))*(INDEX(DailyScalarsTable,AK$5/100,MONTH($A39)))*$C39</f>
        <v>-7155.619132021322</v>
      </c>
      <c r="AL39" s="1021">
        <f>(VLOOKUP(YEAR($A39),'NY East Load Projections'!$A$4:$EO$14,((MONTH($A39)-1)*12)+VLOOKUP(AL$4,$DE$6:$DF$17,2)+1))*(VLOOKUP($A39,CURVES!$D$9:$T$261,6))*(INDEX(DailyScalarsTable,AL$5/100,MONTH($A39)))*$C39</f>
        <v>-8220.6594755785172</v>
      </c>
      <c r="AM39" s="1021">
        <f>(VLOOKUP(YEAR($A39),'NY East Load Projections'!$A$4:$EO$14,((MONTH($A39)-1)*12)+VLOOKUP(AM$4,$DE$6:$DF$17,2)+1))*(VLOOKUP($A39,CURVES!$D$9:$T$261,6))*(INDEX(DailyScalarsTable,AM$5/100,MONTH($A39)))*$C39</f>
        <v>-10627.233594885418</v>
      </c>
      <c r="AN39" s="1021">
        <f>(VLOOKUP(YEAR($A39),'NY East Load Projections'!$A$4:$EO$14,((MONTH($A39)-1)*12)+VLOOKUP(AN$4,$DE$6:$DF$17,2)+1))*(VLOOKUP($A39,SatSunCurve,2))*(INDEX(DailyScalarsTable,AN$5/100,MONTH($A39)))*$C39</f>
        <v>-9543.5856664757412</v>
      </c>
      <c r="AO39" s="1021">
        <f>(VLOOKUP(YEAR($A39),'NY East Load Projections'!$A$4:$EO$14,((MONTH($A39)-1)*12)+VLOOKUP(AO$4,$DE$6:$DF$17,2)+1))*(VLOOKUP($A39,SatSunCurve,2))*(INDEX(DailyScalarsTable,AO$5/100,MONTH($A39)))*$C39</f>
        <v>-11358.813608414326</v>
      </c>
      <c r="AP39" s="1021">
        <f>(VLOOKUP(YEAR($A39),'NY East Load Projections'!$A$4:$EO$14,((MONTH($A39)-1)*12)+VLOOKUP(AP$4,$DE$6:$DF$17,2)+1))*(VLOOKUP($A39,SatSunCurve,2))*(INDEX(DailyScalarsTable,AP$5/100,MONTH($A39)))*$C39</f>
        <v>-11323.712206657792</v>
      </c>
      <c r="AQ39" s="1021">
        <f>(VLOOKUP(YEAR($A39),'NY East Load Projections'!$A$4:$EO$14,((MONTH($A39)-1)*12)+VLOOKUP(AQ$4,$DE$6:$DF$17,2)+1))*(VLOOKUP($A39,SatSunCurve,2))*(INDEX(DailyScalarsTable,AQ$5/100,MONTH($A39)))*$C39</f>
        <v>-11259.526786302988</v>
      </c>
      <c r="AR39" s="1021">
        <f>(VLOOKUP(YEAR($A39),'NY East Load Projections'!$A$4:$EO$14,((MONTH($A39)-1)*12)+VLOOKUP(AR$4,$DE$6:$DF$17,2)+1))*(VLOOKUP($A39,SatSunCurve,2))*(INDEX(DailyScalarsTable,AR$5/100,MONTH($A39)))*$C39</f>
        <v>-9501.4480068971679</v>
      </c>
      <c r="AS39" s="1021">
        <f>(VLOOKUP(YEAR($A39),'NY East Load Projections'!$A$4:$EO$14,((MONTH($A39)-1)*12)+VLOOKUP(AS$4,$DE$6:$DF$17,2)+1))*(VLOOKUP($A39,SatSunCurve,2))*(INDEX(DailyScalarsTable,AS$5/100,MONTH($A39)))*$C39</f>
        <v>-8935.9014356782991</v>
      </c>
      <c r="AT39" s="1021">
        <f>(VLOOKUP(YEAR($A39),'NY East Load Projections'!$A$4:$EO$14,((MONTH($A39)-1)*12)+VLOOKUP(AT$4,$DE$6:$DF$17,2)+1))*(VLOOKUP($A39,SatSunCurve,2))*(INDEX(DailyScalarsTable,AT$5/100,MONTH($A39)))*$C39</f>
        <v>-8687.8772021000841</v>
      </c>
      <c r="AU39" s="1021">
        <f>(VLOOKUP(YEAR($A39),'NY East Load Projections'!$A$4:$EO$14,((MONTH($A39)-1)*12)+VLOOKUP(AU$4,$DE$6:$DF$17,2)+1))*(VLOOKUP($A39,SatSunCurve,2))*(INDEX(DailyScalarsTable,AU$5/100,MONTH($A39)))*$C39</f>
        <v>-8486.0437164757059</v>
      </c>
      <c r="AV39" s="1021">
        <f>(VLOOKUP(YEAR($A39),'NY East Load Projections'!$A$4:$EO$14,((MONTH($A39)-1)*12)+VLOOKUP(AV$4,$DE$6:$DF$17,2)+1))*(VLOOKUP($A39,SatSunCurve,2))*(INDEX(DailyScalarsTable,AV$5/100,MONTH($A39)))*$C39</f>
        <v>-8427.8032081860856</v>
      </c>
      <c r="AW39" s="1021">
        <f>(VLOOKUP(YEAR($A39),'NY East Load Projections'!$A$4:$EO$14,((MONTH($A39)-1)*12)+VLOOKUP(AW$4,$DE$6:$DF$17,2)+1))*(VLOOKUP($A39,SatSunCurve,2))*(INDEX(DailyScalarsTable,AW$5/100,MONTH($A39)))*$C39</f>
        <v>-8304.6385553975306</v>
      </c>
      <c r="AX39" s="1021">
        <f>(VLOOKUP(YEAR($A39),'NY East Load Projections'!$A$4:$EO$14,((MONTH($A39)-1)*12)+VLOOKUP(AX$4,$DE$6:$DF$17,2)+1))*(VLOOKUP($A39,SatSunCurve,2))*(INDEX(DailyScalarsTable,AX$5/100,MONTH($A39)))*$C39</f>
        <v>-11203.23373463644</v>
      </c>
      <c r="AY39" s="1021">
        <f>(VLOOKUP(YEAR($A39),'NY East Load Projections'!$A$4:$EO$14,((MONTH($A39)-1)*12)+VLOOKUP(AY$4,$DE$6:$DF$17,2)+1))*(VLOOKUP($A39,SatSunCurve,2))*(INDEX(DailyScalarsTable,AY$5/100,MONTH($A39)))*$C39</f>
        <v>-11290.985086278455</v>
      </c>
      <c r="AZ39" s="1021">
        <f>(VLOOKUP(YEAR($A39),'NY East Load Projections'!$A$4:$EO$14,((MONTH($A39)-1)*12)+VLOOKUP(AZ$4,$DE$6:$DF$17,2)+1))*(VLOOKUP($A39,SatSunCurve,2))*(INDEX(DailyScalarsTable,AZ$5/100,MONTH($A39)))*$C39</f>
        <v>-10798.083877055222</v>
      </c>
      <c r="BA39" s="1021">
        <f>(VLOOKUP(YEAR($A39),'NY East Load Projections'!$A$4:$EO$14,((MONTH($A39)-1)*12)+VLOOKUP(BA$4,$DE$6:$DF$17,2)+1))*(VLOOKUP($A39,SatSunCurve,2))*(INDEX(DailyScalarsTable,BA$5/100,MONTH($A39)))*$C39</f>
        <v>-9674.1123390551584</v>
      </c>
      <c r="BB39" s="1021">
        <f>(VLOOKUP(YEAR($A39),'NY East Load Projections'!$A$4:$EO$14,((MONTH($A39)-1)*12)+VLOOKUP(BB$4,$DE$6:$DF$17,2)+1))*(VLOOKUP($A39,SatSunCurve,2))*(INDEX(DailyScalarsTable,BB$5/100,MONTH($A39)))*$C39</f>
        <v>-8025.105632931246</v>
      </c>
      <c r="BC39" s="1021">
        <f>(VLOOKUP(YEAR($A39),'NY East Load Projections'!$A$4:$EO$14,((MONTH($A39)-1)*12)+VLOOKUP(BC$4,$DE$6:$DF$17,2)+1))*(VLOOKUP($A39,SatSunCurve,2))*(INDEX(DailyScalarsTable,BC$5/100,MONTH($A39)))*$C39</f>
        <v>-6842.2012614142568</v>
      </c>
      <c r="BD39" s="1021">
        <f>(VLOOKUP(YEAR($A39),'NY East Load Projections'!$A$4:$EO$14,((MONTH($A39)-1)*12)+VLOOKUP(BD$4,$DE$6:$DF$17,2)+1))*(VLOOKUP($A39,CURVES!$D$9:$T$261,6))*(INDEX(DailyScalarsTable,BD$5/100,MONTH($A39)))*$C39</f>
        <v>-8167.3340912648573</v>
      </c>
      <c r="BE39" s="1021"/>
      <c r="BF39" s="1021">
        <f>(VLOOKUP(YEAR($A39),'NY East Load Projections'!$A$4:$EO$14,((MONTH($A39)-1)*12)+VLOOKUP(BF$4,$DE$6:$DF$17,2)+1))*(VLOOKUP($A39,CURVES!$D$9:$T$261,6))*(INDEX(DailyScalarsTable,BF$5/100,MONTH($A39)))*$D39</f>
        <v>-7222.6045783259851</v>
      </c>
      <c r="BG39" s="1021">
        <f>(VLOOKUP(YEAR($A39),'NY East Load Projections'!$A$4:$EO$14,((MONTH($A39)-1)*12)+VLOOKUP(BG$4,$DE$6:$DF$17,2)+1))*(VLOOKUP($A39,CURVES!$D$9:$T$261,6))*(INDEX(DailyScalarsTable,BG$5/100,MONTH($A39)))*$D39</f>
        <v>-6855.198784610192</v>
      </c>
      <c r="BH39" s="1021">
        <f>(VLOOKUP(YEAR($A39),'NY East Load Projections'!$A$4:$EO$14,((MONTH($A39)-1)*12)+VLOOKUP(BH$4,$DE$6:$DF$17,2)+1))*(VLOOKUP($A39,CURVES!$D$9:$T$261,6))*(INDEX(DailyScalarsTable,BH$5/100,MONTH($A39)))*$D39</f>
        <v>-6585.1593296016908</v>
      </c>
      <c r="BI39" s="1021">
        <f>(VLOOKUP(YEAR($A39),'NY East Load Projections'!$A$4:$EO$14,((MONTH($A39)-1)*12)+VLOOKUP(BI$4,$DE$6:$DF$17,2)+1))*(VLOOKUP($A39,CURVES!$D$9:$T$261,6))*(INDEX(DailyScalarsTable,BI$5/100,MONTH($A39)))*$D39</f>
        <v>-6588.9627022074437</v>
      </c>
      <c r="BJ39" s="1021">
        <f>(VLOOKUP(YEAR($A39),'NY East Load Projections'!$A$4:$EO$14,((MONTH($A39)-1)*12)+VLOOKUP(BJ$4,$DE$6:$DF$17,2)+1))*(VLOOKUP($A39,CURVES!$D$9:$T$261,6))*(INDEX(DailyScalarsTable,BJ$5/100,MONTH($A39)))*$D39</f>
        <v>-7155.619132021322</v>
      </c>
      <c r="BK39" s="1021">
        <f>(VLOOKUP(YEAR($A39),'NY East Load Projections'!$A$4:$EO$14,((MONTH($A39)-1)*12)+VLOOKUP(BK$4,$DE$6:$DF$17,2)+1))*(VLOOKUP($A39,CURVES!$D$9:$T$261,6))*(INDEX(DailyScalarsTable,BK$5/100,MONTH($A39)))*$D39</f>
        <v>-8220.6594755785172</v>
      </c>
      <c r="BL39" s="1021">
        <f>(VLOOKUP(YEAR($A39),'NY East Load Projections'!$A$4:$EO$14,((MONTH($A39)-1)*12)+VLOOKUP(BL$4,$DE$6:$DF$17,2)+1))*(VLOOKUP($A39,CURVES!$D$9:$T$261,6))*(INDEX(DailyScalarsTable,BL$5/100,MONTH($A39)))*$D39</f>
        <v>-10627.233594885418</v>
      </c>
      <c r="BM39" s="1021">
        <f>(VLOOKUP(YEAR($A39),'NY East Load Projections'!$A$4:$EO$14,((MONTH($A39)-1)*12)+VLOOKUP(BM$4,$DE$6:$DF$17,2)+1))*(VLOOKUP($A39,SatSunCurve,6))*(INDEX(DailyScalarsTable,BM$5/100,MONTH($A39)))*$D39</f>
        <v>-7528.7907779778188</v>
      </c>
      <c r="BN39" s="1021">
        <f>(VLOOKUP(YEAR($A39),'NY East Load Projections'!$A$4:$EO$14,((MONTH($A39)-1)*12)+VLOOKUP(BN$4,$DE$6:$DF$17,2)+1))*(VLOOKUP($A39,SatSunCurve,6))*(INDEX(DailyScalarsTable,BN$5/100,MONTH($A39)))*$D39</f>
        <v>-8960.7967206919711</v>
      </c>
      <c r="BO39" s="1021">
        <f>(VLOOKUP(YEAR($A39),'NY East Load Projections'!$A$4:$EO$14,((MONTH($A39)-1)*12)+VLOOKUP(BO$4,$DE$6:$DF$17,2)+1))*(VLOOKUP($A39,SatSunCurve,6))*(INDEX(DailyScalarsTable,BO$5/100,MONTH($A39)))*$D39</f>
        <v>-8933.1057543115876</v>
      </c>
      <c r="BP39" s="1021">
        <f>(VLOOKUP(YEAR($A39),'NY East Load Projections'!$A$4:$EO$14,((MONTH($A39)-1)*12)+VLOOKUP(BP$4,$DE$6:$DF$17,2)+1))*(VLOOKUP($A39,SatSunCurve,6))*(INDEX(DailyScalarsTable,BP$5/100,MONTH($A39)))*$D39</f>
        <v>-8882.4708443588879</v>
      </c>
      <c r="BQ39" s="1021">
        <f>(VLOOKUP(YEAR($A39),'NY East Load Projections'!$A$4:$EO$14,((MONTH($A39)-1)*12)+VLOOKUP(BQ$4,$DE$6:$DF$17,2)+1))*(VLOOKUP($A39,SatSunCurve,6))*(INDEX(DailyScalarsTable,BQ$5/100,MONTH($A39)))*$D39</f>
        <v>-7495.5490139356998</v>
      </c>
      <c r="BR39" s="1021">
        <f>(VLOOKUP(YEAR($A39),'NY East Load Projections'!$A$4:$EO$14,((MONTH($A39)-1)*12)+VLOOKUP(BR$4,$DE$6:$DF$17,2)+1))*(VLOOKUP($A39,SatSunCurve,6))*(INDEX(DailyScalarsTable,BR$5/100,MONTH($A39)))*$D39</f>
        <v>-7049.3978545379832</v>
      </c>
      <c r="BS39" s="1021">
        <f>(VLOOKUP(YEAR($A39),'NY East Load Projections'!$A$4:$EO$14,((MONTH($A39)-1)*12)+VLOOKUP(BS$4,$DE$6:$DF$17,2)+1))*(VLOOKUP($A39,SatSunCurve,6))*(INDEX(DailyScalarsTable,BS$5/100,MONTH($A39)))*$D39</f>
        <v>-6853.7352778360073</v>
      </c>
      <c r="BT39" s="1021">
        <f>(VLOOKUP(YEAR($A39),'NY East Load Projections'!$A$4:$EO$14,((MONTH($A39)-1)*12)+VLOOKUP(BT$4,$DE$6:$DF$17,2)+1))*(VLOOKUP($A39,SatSunCurve,6))*(INDEX(DailyScalarsTable,BT$5/100,MONTH($A39)))*$D39</f>
        <v>-6694.5118854590955</v>
      </c>
      <c r="BU39" s="1021">
        <f>(VLOOKUP(YEAR($A39),'NY East Load Projections'!$A$4:$EO$14,((MONTH($A39)-1)*12)+VLOOKUP(BU$4,$DE$6:$DF$17,2)+1))*(VLOOKUP($A39,SatSunCurve,6))*(INDEX(DailyScalarsTable,BU$5/100,MONTH($A39)))*$D39</f>
        <v>-6648.5668269622756</v>
      </c>
      <c r="BV39" s="1021">
        <f>(VLOOKUP(YEAR($A39),'NY East Load Projections'!$A$4:$EO$14,((MONTH($A39)-1)*12)+VLOOKUP(BV$4,$DE$6:$DF$17,2)+1))*(VLOOKUP($A39,SatSunCurve,6))*(INDEX(DailyScalarsTable,BV$5/100,MONTH($A39)))*$D39</f>
        <v>-6551.4040901782791</v>
      </c>
      <c r="BW39" s="1021">
        <f>(VLOOKUP(YEAR($A39),'NY East Load Projections'!$A$4:$EO$14,((MONTH($A39)-1)*12)+VLOOKUP(BW$4,$DE$6:$DF$17,2)+1))*(VLOOKUP($A39,SatSunCurve,6))*(INDEX(DailyScalarsTable,BW$5/100,MONTH($A39)))*$D39</f>
        <v>-8838.0621050168083</v>
      </c>
      <c r="BX39" s="1021">
        <f>(VLOOKUP(YEAR($A39),'NY East Load Projections'!$A$4:$EO$14,((MONTH($A39)-1)*12)+VLOOKUP(BX$4,$DE$6:$DF$17,2)+1))*(VLOOKUP($A39,SatSunCurve,6))*(INDEX(DailyScalarsTable,BX$5/100,MONTH($A39)))*$D39</f>
        <v>-8907.2878226963003</v>
      </c>
      <c r="BY39" s="1021">
        <f>(VLOOKUP(YEAR($A39),'NY East Load Projections'!$A$4:$EO$14,((MONTH($A39)-1)*12)+VLOOKUP(BY$4,$DE$6:$DF$17,2)+1))*(VLOOKUP($A39,SatSunCurve,6))*(INDEX(DailyScalarsTable,BY$5/100,MONTH($A39)))*$D39</f>
        <v>-8518.4454936029852</v>
      </c>
      <c r="BZ39" s="1021">
        <f>(VLOOKUP(YEAR($A39),'NY East Load Projections'!$A$4:$EO$14,((MONTH($A39)-1)*12)+VLOOKUP(BZ$4,$DE$6:$DF$17,2)+1))*(VLOOKUP($A39,SatSunCurve,6))*(INDEX(DailyScalarsTable,BZ$5/100,MONTH($A39)))*$D39</f>
        <v>-7631.7613011270005</v>
      </c>
      <c r="CA39" s="1021">
        <f>(VLOOKUP(YEAR($A39),'NY East Load Projections'!$A$4:$EO$14,((MONTH($A39)-1)*12)+VLOOKUP(CA$4,$DE$6:$DF$17,2)+1))*(VLOOKUP($A39,SatSunCurve,6))*(INDEX(DailyScalarsTable,CA$5/100,MONTH($A39)))*$D39</f>
        <v>-6330.8847840857998</v>
      </c>
      <c r="CB39" s="1021">
        <f>(VLOOKUP(YEAR($A39),'NY East Load Projections'!$A$4:$EO$14,((MONTH($A39)-1)*12)+VLOOKUP(CB$4,$DE$6:$DF$17,2)+1))*(VLOOKUP($A39,SatSunCurve,6))*(INDEX(DailyScalarsTable,CB$5/100,MONTH($A39)))*$D39</f>
        <v>-5397.7093681841261</v>
      </c>
      <c r="CC39" s="1021">
        <f>(VLOOKUP(YEAR($A39),'NY East Load Projections'!$A$4:$EO$14,((MONTH($A39)-1)*12)+VLOOKUP(CC$4,$DE$6:$DF$17,2)+1))*(VLOOKUP($A39,CURVES!$D$9:$T$261,6))*(INDEX(DailyScalarsTable,CC$5/100,MONTH($A39)))*$D39</f>
        <v>-8167.3340912648573</v>
      </c>
      <c r="CE39" s="1021">
        <f>(VLOOKUP(YEAR($A39),'NY East Load Projections'!$A$4:$EO$14,((MONTH($A39)-1)*12)+VLOOKUP(CE$4,$DE$6:$DF$17,2)+1))*(VLOOKUP($A39,CURVES!$D$9:$T$261,6))*(INDEX(DailyScalarsTable,CE$5/100,MONTH($A39)))*$E39</f>
        <v>0</v>
      </c>
      <c r="CF39" s="1021">
        <f>(VLOOKUP(YEAR($A39),'NY East Load Projections'!$A$4:$EO$14,((MONTH($A39)-1)*12)+VLOOKUP(CF$4,$DE$6:$DF$17,2)+1))*(VLOOKUP($A39,CURVES!$D$9:$T$261,6))*(INDEX(DailyScalarsTable,CF$5/100,MONTH($A39)))*$E39</f>
        <v>0</v>
      </c>
      <c r="CG39" s="1021">
        <f>(VLOOKUP(YEAR($A39),'NY East Load Projections'!$A$4:$EO$14,((MONTH($A39)-1)*12)+VLOOKUP(CG$4,$DE$6:$DF$17,2)+1))*(VLOOKUP($A39,CURVES!$D$9:$T$261,6))*(INDEX(DailyScalarsTable,CG$5/100,MONTH($A39)))*$E39</f>
        <v>0</v>
      </c>
      <c r="CH39" s="1021">
        <f>(VLOOKUP(YEAR($A39),'NY East Load Projections'!$A$4:$EO$14,((MONTH($A39)-1)*12)+VLOOKUP(CH$4,$DE$6:$DF$17,2)+1))*(VLOOKUP($A39,CURVES!$D$9:$T$261,6))*(INDEX(DailyScalarsTable,CH$5/100,MONTH($A39)))*$E39</f>
        <v>0</v>
      </c>
      <c r="CI39" s="1021">
        <f>(VLOOKUP(YEAR($A39),'NY East Load Projections'!$A$4:$EO$14,((MONTH($A39)-1)*12)+VLOOKUP(CI$4,$DE$6:$DF$17,2)+1))*(VLOOKUP($A39,CURVES!$D$9:$T$261,6))*(INDEX(DailyScalarsTable,CI$5/100,MONTH($A39)))*$E39</f>
        <v>0</v>
      </c>
      <c r="CJ39" s="1021">
        <f>(VLOOKUP(YEAR($A39),'NY East Load Projections'!$A$4:$EO$14,((MONTH($A39)-1)*12)+VLOOKUP(CJ$4,$DE$6:$DF$17,2)+1))*(VLOOKUP($A39,CURVES!$D$9:$T$261,6))*(INDEX(DailyScalarsTable,CJ$5/100,MONTH($A39)))*$E39</f>
        <v>0</v>
      </c>
      <c r="CK39" s="1021">
        <f>(VLOOKUP(YEAR($A39),'NY East Load Projections'!$A$4:$EO$14,((MONTH($A39)-1)*12)+VLOOKUP(CK$4,$DE$6:$DF$17,2)+1))*(VLOOKUP($A39,CURVES!$D$9:$T$261,6))*(INDEX(DailyScalarsTable,CK$5/100,MONTH($A39)))*$E39</f>
        <v>0</v>
      </c>
      <c r="CL39" s="1021">
        <f>(VLOOKUP(YEAR($A39),'NY East Load Projections'!$A$4:$EO$14,((MONTH($A39)-1)*12)+VLOOKUP(CL$4,$DE$6:$DF$17,2)+1))*(VLOOKUP($A39,SatSunCurve,6))*(INDEX(DailyScalarsTable,CL$5/100,MONTH($A39)))*$E39</f>
        <v>0</v>
      </c>
      <c r="CM39" s="1021">
        <f>(VLOOKUP(YEAR($A39),'NY East Load Projections'!$A$4:$EO$14,((MONTH($A39)-1)*12)+VLOOKUP(CM$4,$DE$6:$DF$17,2)+1))*(VLOOKUP($A39,SatSunCurve,6))*(INDEX(DailyScalarsTable,CM$5/100,MONTH($A39)))*$E39</f>
        <v>0</v>
      </c>
      <c r="CN39" s="1021">
        <f>(VLOOKUP(YEAR($A39),'NY East Load Projections'!$A$4:$EO$14,((MONTH($A39)-1)*12)+VLOOKUP(CN$4,$DE$6:$DF$17,2)+1))*(VLOOKUP($A39,SatSunCurve,6))*(INDEX(DailyScalarsTable,CN$5/100,MONTH($A39)))*$E39</f>
        <v>0</v>
      </c>
      <c r="CO39" s="1021">
        <f>(VLOOKUP(YEAR($A39),'NY East Load Projections'!$A$4:$EO$14,((MONTH($A39)-1)*12)+VLOOKUP(CO$4,$DE$6:$DF$17,2)+1))*(VLOOKUP($A39,SatSunCurve,6))*(INDEX(DailyScalarsTable,CO$5/100,MONTH($A39)))*$E39</f>
        <v>0</v>
      </c>
      <c r="CP39" s="1021">
        <f>(VLOOKUP(YEAR($A39),'NY East Load Projections'!$A$4:$EO$14,((MONTH($A39)-1)*12)+VLOOKUP(CP$4,$DE$6:$DF$17,2)+1))*(VLOOKUP($A39,SatSunCurve,6))*(INDEX(DailyScalarsTable,CP$5/100,MONTH($A39)))*$E39</f>
        <v>0</v>
      </c>
      <c r="CQ39" s="1021">
        <f>(VLOOKUP(YEAR($A39),'NY East Load Projections'!$A$4:$EO$14,((MONTH($A39)-1)*12)+VLOOKUP(CQ$4,$DE$6:$DF$17,2)+1))*(VLOOKUP($A39,SatSunCurve,6))*(INDEX(DailyScalarsTable,CQ$5/100,MONTH($A39)))*$E39</f>
        <v>0</v>
      </c>
      <c r="CR39" s="1021">
        <f>(VLOOKUP(YEAR($A39),'NY East Load Projections'!$A$4:$EO$14,((MONTH($A39)-1)*12)+VLOOKUP(CR$4,$DE$6:$DF$17,2)+1))*(VLOOKUP($A39,SatSunCurve,6))*(INDEX(DailyScalarsTable,CR$5/100,MONTH($A39)))*$E39</f>
        <v>0</v>
      </c>
      <c r="CS39" s="1021">
        <f>(VLOOKUP(YEAR($A39),'NY East Load Projections'!$A$4:$EO$14,((MONTH($A39)-1)*12)+VLOOKUP(CS$4,$DE$6:$DF$17,2)+1))*(VLOOKUP($A39,SatSunCurve,6))*(INDEX(DailyScalarsTable,CS$5/100,MONTH($A39)))*$E39</f>
        <v>0</v>
      </c>
      <c r="CT39" s="1021">
        <f>(VLOOKUP(YEAR($A39),'NY East Load Projections'!$A$4:$EO$14,((MONTH($A39)-1)*12)+VLOOKUP(CT$4,$DE$6:$DF$17,2)+1))*(VLOOKUP($A39,SatSunCurve,6))*(INDEX(DailyScalarsTable,CT$5/100,MONTH($A39)))*$E39</f>
        <v>0</v>
      </c>
      <c r="CU39" s="1021">
        <f>(VLOOKUP(YEAR($A39),'NY East Load Projections'!$A$4:$EO$14,((MONTH($A39)-1)*12)+VLOOKUP(CU$4,$DE$6:$DF$17,2)+1))*(VLOOKUP($A39,SatSunCurve,6))*(INDEX(DailyScalarsTable,CU$5/100,MONTH($A39)))*$E39</f>
        <v>0</v>
      </c>
      <c r="CV39" s="1021">
        <f>(VLOOKUP(YEAR($A39),'NY East Load Projections'!$A$4:$EO$14,((MONTH($A39)-1)*12)+VLOOKUP(CV$4,$DE$6:$DF$17,2)+1))*(VLOOKUP($A39,SatSunCurve,6))*(INDEX(DailyScalarsTable,CV$5/100,MONTH($A39)))*$E39</f>
        <v>0</v>
      </c>
      <c r="CW39" s="1021">
        <f>(VLOOKUP(YEAR($A39),'NY East Load Projections'!$A$4:$EO$14,((MONTH($A39)-1)*12)+VLOOKUP(CW$4,$DE$6:$DF$17,2)+1))*(VLOOKUP($A39,SatSunCurve,6))*(INDEX(DailyScalarsTable,CW$5/100,MONTH($A39)))*$E39</f>
        <v>0</v>
      </c>
      <c r="CX39" s="1021">
        <f>(VLOOKUP(YEAR($A39),'NY East Load Projections'!$A$4:$EO$14,((MONTH($A39)-1)*12)+VLOOKUP(CX$4,$DE$6:$DF$17,2)+1))*(VLOOKUP($A39,SatSunCurve,6))*(INDEX(DailyScalarsTable,CX$5/100,MONTH($A39)))*$E39</f>
        <v>0</v>
      </c>
      <c r="CY39" s="1021">
        <f>(VLOOKUP(YEAR($A39),'NY East Load Projections'!$A$4:$EO$14,((MONTH($A39)-1)*12)+VLOOKUP(CY$4,$DE$6:$DF$17,2)+1))*(VLOOKUP($A39,SatSunCurve,6))*(INDEX(DailyScalarsTable,CY$5/100,MONTH($A39)))*$E39</f>
        <v>0</v>
      </c>
      <c r="CZ39" s="1021">
        <f>(VLOOKUP(YEAR($A39),'NY East Load Projections'!$A$4:$EO$14,((MONTH($A39)-1)*12)+VLOOKUP(CZ$4,$DE$6:$DF$17,2)+1))*(VLOOKUP($A39,SatSunCurve,6))*(INDEX(DailyScalarsTable,CZ$5/100,MONTH($A39)))*$E39</f>
        <v>0</v>
      </c>
      <c r="DA39" s="1021">
        <f>(VLOOKUP(YEAR($A39),'NY East Load Projections'!$A$4:$EO$14,((MONTH($A39)-1)*12)+VLOOKUP(DA$4,$DE$6:$DF$17,2)+1))*(VLOOKUP($A39,SatSunCurve,6))*(INDEX(DailyScalarsTable,DA$5/100,MONTH($A39)))*$E39</f>
        <v>0</v>
      </c>
      <c r="DB39" s="1021">
        <f>(VLOOKUP(YEAR($A39),'NY East Load Projections'!$A$4:$EO$14,((MONTH($A39)-1)*12)+VLOOKUP(DB$4,$DE$6:$DF$17,2)+1))*(VLOOKUP($A39,CURVES!$D$9:$T$261,6))*(INDEX(DailyScalarsTable,DB$5/100,MONTH($A39)))*$E39</f>
        <v>0</v>
      </c>
      <c r="DH39" s="1021">
        <f t="shared" si="0"/>
        <v>-1929001.388198209</v>
      </c>
      <c r="DI39">
        <f ca="1">CALC!J59</f>
        <v>0.7676804069152684</v>
      </c>
      <c r="DJ39" s="1029">
        <f t="shared" ca="1" si="1"/>
        <v>-1480856.5706321187</v>
      </c>
    </row>
    <row r="40" spans="1:114" x14ac:dyDescent="0.25">
      <c r="A40" s="244">
        <v>37926</v>
      </c>
      <c r="B40" s="13">
        <v>19</v>
      </c>
      <c r="C40" s="210">
        <v>5</v>
      </c>
      <c r="D40" s="210">
        <v>5</v>
      </c>
      <c r="E40" s="210">
        <v>1</v>
      </c>
      <c r="F40" s="13">
        <v>30</v>
      </c>
      <c r="H40" s="1021">
        <f>(VLOOKUP(YEAR($A40),'NY East Load Projections'!$A$4:$EO$14,((MONTH($A40)-1)*12)+VLOOKUP(H$4,$DE$6:$DF$17,2)+1))*(VLOOKUP($A40,CURVES!$D$9:$K$261,6))*(INDEX(DailyScalarsTable,H$5/100,MONTH($A40)))*$B40</f>
        <v>-30809.869453360017</v>
      </c>
      <c r="I40" s="1021">
        <f>(VLOOKUP(YEAR($A40),'NY East Load Projections'!$A$4:$EO$14,((MONTH($A40)-1)*12)+VLOOKUP(I$4,$DE$6:$DF$17,2)+1))*(VLOOKUP($A40,CURVES!$D$9:$K$261,6))*(INDEX(DailyScalarsTable,I$5/100,MONTH($A40)))*$B40</f>
        <v>-29208.883230017051</v>
      </c>
      <c r="J40" s="1021">
        <f>(VLOOKUP(YEAR($A40),'NY East Load Projections'!$A$4:$EO$14,((MONTH($A40)-1)*12)+VLOOKUP(J$4,$DE$6:$DF$17,2)+1))*(VLOOKUP($A40,CURVES!$D$9:$K$261,6))*(INDEX(DailyScalarsTable,J$5/100,MONTH($A40)))*$B40</f>
        <v>-28032.174929216319</v>
      </c>
      <c r="K40" s="1021">
        <f>(VLOOKUP(YEAR($A40),'NY East Load Projections'!$A$4:$EO$14,((MONTH($A40)-1)*12)+VLOOKUP(K$4,$DE$6:$DF$17,2)+1))*(VLOOKUP($A40,CURVES!$D$9:$K$261,6))*(INDEX(DailyScalarsTable,K$5/100,MONTH($A40)))*$B40</f>
        <v>-28048.74828556562</v>
      </c>
      <c r="L40" s="1021">
        <f>(VLOOKUP(YEAR($A40),'NY East Load Projections'!$A$4:$EO$14,((MONTH($A40)-1)*12)+VLOOKUP(L$4,$DE$6:$DF$17,2)+1))*(VLOOKUP($A40,CURVES!$D$9:$K$261,6))*(INDEX(DailyScalarsTable,L$5/100,MONTH($A40)))*$B40</f>
        <v>-33043.672529161973</v>
      </c>
      <c r="M40" s="1021">
        <f>(VLOOKUP(YEAR($A40),'NY East Load Projections'!$A$4:$EO$14,((MONTH($A40)-1)*12)+VLOOKUP(M$4,$DE$6:$DF$17,2)+1))*(VLOOKUP($A40,CURVES!$D$9:$K$261,6))*(INDEX(DailyScalarsTable,M$5/100,MONTH($A40)))*$B40</f>
        <v>-38070.393369505531</v>
      </c>
      <c r="N40" s="1021">
        <f>(VLOOKUP(YEAR($A40),'NY East Load Projections'!$A$4:$EO$14,((MONTH($A40)-1)*12)+VLOOKUP(N$4,$DE$6:$DF$17,2)+1))*(VLOOKUP($A40,CURVES!$D$9:$K$261,6))*(INDEX(DailyScalarsTable,N$5/100,MONTH($A40)))*$B40</f>
        <v>-54532.083953255729</v>
      </c>
      <c r="O40" s="1021">
        <f>(VLOOKUP(YEAR($A40),'NY East Load Projections'!$A$4:$EO$14,((MONTH($A40)-1)*12)+VLOOKUP(O$4,$DE$6:$DF$17,2)+1))*(VLOOKUP($A40,CURVES!$D$9:$K$261,2))*(INDEX(DailyScalarsTable,O$5/100,MONTH($A40)))*$B40</f>
        <v>-61079.364108447764</v>
      </c>
      <c r="P40" s="1021">
        <f>(VLOOKUP(YEAR($A40),'NY East Load Projections'!$A$4:$EO$14,((MONTH($A40)-1)*12)+VLOOKUP(P$4,$DE$6:$DF$17,2)+1))*(VLOOKUP($A40,CURVES!$D$9:$K$261,2))*(INDEX(DailyScalarsTable,P$5/100,MONTH($A40)))*$B40</f>
        <v>-70633.334481469385</v>
      </c>
      <c r="Q40" s="1021">
        <f>(VLOOKUP(YEAR($A40),'NY East Load Projections'!$A$4:$EO$14,((MONTH($A40)-1)*12)+VLOOKUP(Q$4,$DE$6:$DF$17,2)+1))*(VLOOKUP($A40,CURVES!$D$9:$K$261,2))*(INDEX(DailyScalarsTable,Q$5/100,MONTH($A40)))*$B40</f>
        <v>-70175.8807136041</v>
      </c>
      <c r="R40" s="1021">
        <f>(VLOOKUP(YEAR($A40),'NY East Load Projections'!$A$4:$EO$14,((MONTH($A40)-1)*12)+VLOOKUP(R$4,$DE$6:$DF$17,2)+1))*(VLOOKUP($A40,CURVES!$D$9:$K$261,2))*(INDEX(DailyScalarsTable,R$5/100,MONTH($A40)))*$B40</f>
        <v>-68822.064833029814</v>
      </c>
      <c r="S40" s="1021">
        <f>(VLOOKUP(YEAR($A40),'NY East Load Projections'!$A$4:$EO$14,((MONTH($A40)-1)*12)+VLOOKUP(S$4,$DE$6:$DF$17,2)+1))*(VLOOKUP($A40,CURVES!$D$9:$K$261,2))*(INDEX(DailyScalarsTable,S$5/100,MONTH($A40)))*$B40</f>
        <v>-57948.265134718538</v>
      </c>
      <c r="T40" s="1021">
        <f>(VLOOKUP(YEAR($A40),'NY East Load Projections'!$A$4:$EO$14,((MONTH($A40)-1)*12)+VLOOKUP(T$4,$DE$6:$DF$17,2)+1))*(VLOOKUP($A40,CURVES!$D$9:$K$261,2))*(INDEX(DailyScalarsTable,T$5/100,MONTH($A40)))*$B40</f>
        <v>-55294.202392803592</v>
      </c>
      <c r="U40" s="1021">
        <f>(VLOOKUP(YEAR($A40),'NY East Load Projections'!$A$4:$EO$14,((MONTH($A40)-1)*12)+VLOOKUP(U$4,$DE$6:$DF$17,2)+1))*(VLOOKUP($A40,CURVES!$D$9:$K$261,2))*(INDEX(DailyScalarsTable,U$5/100,MONTH($A40)))*$B40</f>
        <v>-53809.920371386164</v>
      </c>
      <c r="V40" s="1021">
        <f>(VLOOKUP(YEAR($A40),'NY East Load Projections'!$A$4:$EO$14,((MONTH($A40)-1)*12)+VLOOKUP(V$4,$DE$6:$DF$17,2)+1))*(VLOOKUP($A40,CURVES!$D$9:$K$261,2))*(INDEX(DailyScalarsTable,V$5/100,MONTH($A40)))*$B40</f>
        <v>-52551.098910184046</v>
      </c>
      <c r="W40" s="1021">
        <f>(VLOOKUP(YEAR($A40),'NY East Load Projections'!$A$4:$EO$14,((MONTH($A40)-1)*12)+VLOOKUP(W$4,$DE$6:$DF$17,2)+1))*(VLOOKUP($A40,CURVES!$D$9:$K$261,2))*(INDEX(DailyScalarsTable,W$5/100,MONTH($A40)))*$B40</f>
        <v>-51686.83342935871</v>
      </c>
      <c r="X40" s="1021">
        <f>(VLOOKUP(YEAR($A40),'NY East Load Projections'!$A$4:$EO$14,((MONTH($A40)-1)*12)+VLOOKUP(X$4,$DE$6:$DF$17,2)+1))*(VLOOKUP($A40,CURVES!$D$9:$K$261,2))*(INDEX(DailyScalarsTable,X$5/100,MONTH($A40)))*$B40</f>
        <v>-52454.52785576757</v>
      </c>
      <c r="Y40" s="1021">
        <f>(VLOOKUP(YEAR($A40),'NY East Load Projections'!$A$4:$EO$14,((MONTH($A40)-1)*12)+VLOOKUP(Y$4,$DE$6:$DF$17,2)+1))*(VLOOKUP($A40,CURVES!$D$9:$K$261,2))*(INDEX(DailyScalarsTable,Y$5/100,MONTH($A40)))*$B40</f>
        <v>-72008.127513258194</v>
      </c>
      <c r="Z40" s="1021">
        <f>(VLOOKUP(YEAR($A40),'NY East Load Projections'!$A$4:$EO$14,((MONTH($A40)-1)*12)+VLOOKUP(Z$4,$DE$6:$DF$17,2)+1))*(VLOOKUP($A40,CURVES!$D$9:$K$261,2))*(INDEX(DailyScalarsTable,Z$5/100,MONTH($A40)))*$B40</f>
        <v>-72587.93167859377</v>
      </c>
      <c r="AA40" s="1021">
        <f>(VLOOKUP(YEAR($A40),'NY East Load Projections'!$A$4:$EO$14,((MONTH($A40)-1)*12)+VLOOKUP(AA$4,$DE$6:$DF$17,2)+1))*(VLOOKUP($A40,CURVES!$D$9:$K$261,2))*(INDEX(DailyScalarsTable,AA$5/100,MONTH($A40)))*$B40</f>
        <v>-69617.914423507449</v>
      </c>
      <c r="AB40" s="1021">
        <f>(VLOOKUP(YEAR($A40),'NY East Load Projections'!$A$4:$EO$14,((MONTH($A40)-1)*12)+VLOOKUP(AB$4,$DE$6:$DF$17,2)+1))*(VLOOKUP($A40,CURVES!$D$9:$K$261,2))*(INDEX(DailyScalarsTable,AB$5/100,MONTH($A40)))*$B40</f>
        <v>-58622.072794678395</v>
      </c>
      <c r="AC40" s="1021">
        <f>(VLOOKUP(YEAR($A40),'NY East Load Projections'!$A$4:$EO$14,((MONTH($A40)-1)*12)+VLOOKUP(AC$4,$DE$6:$DF$17,2)+1))*(VLOOKUP($A40,CURVES!$D$9:$K$261,2))*(INDEX(DailyScalarsTable,AC$5/100,MONTH($A40)))*$B40</f>
        <v>-46632.784879006729</v>
      </c>
      <c r="AD40" s="1021">
        <f>(VLOOKUP(YEAR($A40),'NY East Load Projections'!$A$4:$EO$14,((MONTH($A40)-1)*12)+VLOOKUP(AD$4,$DE$6:$DF$17,2)+1))*(VLOOKUP($A40,CURVES!$D$9:$K$261,2))*(INDEX(DailyScalarsTable,AD$5/100,MONTH($A40)))*$B40</f>
        <v>-39327.233149520216</v>
      </c>
      <c r="AE40" s="1021">
        <f>(VLOOKUP(YEAR($A40),'NY East Load Projections'!$A$4:$EO$14,((MONTH($A40)-1)*12)+VLOOKUP(AE$4,$DE$6:$DF$17,2)+1))*(VLOOKUP($A40,CURVES!$D$9:$K$261,6))*(INDEX(DailyScalarsTable,AE$5/100,MONTH($A40)))*$B40</f>
        <v>-36164.910848706437</v>
      </c>
      <c r="AF40" s="1021"/>
      <c r="AG40" s="1021">
        <f>(VLOOKUP(YEAR($A40),'NY East Load Projections'!$A$4:$EO$14,((MONTH($A40)-1)*12)+VLOOKUP(AG$4,$DE$6:$DF$17,2)+1))*(VLOOKUP($A40,CURVES!$D$9:$T$261,6))*(INDEX(DailyScalarsTable,AG$5/100,MONTH($A40)))*$C40</f>
        <v>-8404.7065496858559</v>
      </c>
      <c r="AH40" s="1021">
        <f>(VLOOKUP(YEAR($A40),'NY East Load Projections'!$A$4:$EO$14,((MONTH($A40)-1)*12)+VLOOKUP(AH$4,$DE$6:$DF$17,2)+1))*(VLOOKUP($A40,CURVES!$D$9:$T$261,6))*(INDEX(DailyScalarsTable,AH$5/100,MONTH($A40)))*$C40</f>
        <v>-7967.9692432309585</v>
      </c>
      <c r="AI40" s="1021">
        <f>(VLOOKUP(YEAR($A40),'NY East Load Projections'!$A$4:$EO$14,((MONTH($A40)-1)*12)+VLOOKUP(AI$4,$DE$6:$DF$17,2)+1))*(VLOOKUP($A40,CURVES!$D$9:$T$261,6))*(INDEX(DailyScalarsTable,AI$5/100,MONTH($A40)))*$C40</f>
        <v>-7646.9718440767383</v>
      </c>
      <c r="AJ40" s="1021">
        <f>(VLOOKUP(YEAR($A40),'NY East Load Projections'!$A$4:$EO$14,((MONTH($A40)-1)*12)+VLOOKUP(AJ$4,$DE$6:$DF$17,2)+1))*(VLOOKUP($A40,CURVES!$D$9:$T$261,6))*(INDEX(DailyScalarsTable,AJ$5/100,MONTH($A40)))*$C40</f>
        <v>-7651.4929342056703</v>
      </c>
      <c r="AK40" s="1021">
        <f>(VLOOKUP(YEAR($A40),'NY East Load Projections'!$A$4:$EO$14,((MONTH($A40)-1)*12)+VLOOKUP(AK$4,$DE$6:$DF$17,2)+1))*(VLOOKUP($A40,CURVES!$D$9:$T$261,6))*(INDEX(DailyScalarsTable,AK$5/100,MONTH($A40)))*$C40</f>
        <v>-8319.9372025720531</v>
      </c>
      <c r="AL40" s="1021">
        <f>(VLOOKUP(YEAR($A40),'NY East Load Projections'!$A$4:$EO$14,((MONTH($A40)-1)*12)+VLOOKUP(AL$4,$DE$6:$DF$17,2)+1))*(VLOOKUP($A40,CURVES!$D$9:$T$261,6))*(INDEX(DailyScalarsTable,AL$5/100,MONTH($A40)))*$C40</f>
        <v>-9585.5956032722024</v>
      </c>
      <c r="AM40" s="1021">
        <f>(VLOOKUP(YEAR($A40),'NY East Load Projections'!$A$4:$EO$14,((MONTH($A40)-1)*12)+VLOOKUP(AM$4,$DE$6:$DF$17,2)+1))*(VLOOKUP($A40,CURVES!$D$9:$T$261,6))*(INDEX(DailyScalarsTable,AM$5/100,MONTH($A40)))*$C40</f>
        <v>-13730.420358574509</v>
      </c>
      <c r="AN40" s="1021">
        <f>(VLOOKUP(YEAR($A40),'NY East Load Projections'!$A$4:$EO$14,((MONTH($A40)-1)*12)+VLOOKUP(AN$4,$DE$6:$DF$17,2)+1))*(VLOOKUP($A40,SatSunCurve,2))*(INDEX(DailyScalarsTable,AN$5/100,MONTH($A40)))*$C40</f>
        <v>-12007.222330539989</v>
      </c>
      <c r="AO40" s="1021">
        <f>(VLOOKUP(YEAR($A40),'NY East Load Projections'!$A$4:$EO$14,((MONTH($A40)-1)*12)+VLOOKUP(AO$4,$DE$6:$DF$17,2)+1))*(VLOOKUP($A40,SatSunCurve,2))*(INDEX(DailyScalarsTable,AO$5/100,MONTH($A40)))*$C40</f>
        <v>-13613.791655050552</v>
      </c>
      <c r="AP40" s="1021">
        <f>(VLOOKUP(YEAR($A40),'NY East Load Projections'!$A$4:$EO$14,((MONTH($A40)-1)*12)+VLOOKUP(AP$4,$DE$6:$DF$17,2)+1))*(VLOOKUP($A40,SatSunCurve,2))*(INDEX(DailyScalarsTable,AP$5/100,MONTH($A40)))*$C40</f>
        <v>-13525.622516027817</v>
      </c>
      <c r="AQ40" s="1021">
        <f>(VLOOKUP(YEAR($A40),'NY East Load Projections'!$A$4:$EO$14,((MONTH($A40)-1)*12)+VLOOKUP(AQ$4,$DE$6:$DF$17,2)+1))*(VLOOKUP($A40,SatSunCurve,2))*(INDEX(DailyScalarsTable,AQ$5/100,MONTH($A40)))*$C40</f>
        <v>-13264.689523514597</v>
      </c>
      <c r="AR40" s="1021">
        <f>(VLOOKUP(YEAR($A40),'NY East Load Projections'!$A$4:$EO$14,((MONTH($A40)-1)*12)+VLOOKUP(AR$4,$DE$6:$DF$17,2)+1))*(VLOOKUP($A40,SatSunCurve,2))*(INDEX(DailyScalarsTable,AR$5/100,MONTH($A40)))*$C40</f>
        <v>-11168.885259447214</v>
      </c>
      <c r="AS40" s="1021">
        <f>(VLOOKUP(YEAR($A40),'NY East Load Projections'!$A$4:$EO$14,((MONTH($A40)-1)*12)+VLOOKUP(AS$4,$DE$6:$DF$17,2)+1))*(VLOOKUP($A40,SatSunCurve,2))*(INDEX(DailyScalarsTable,AS$5/100,MONTH($A40)))*$C40</f>
        <v>-10616.262676262166</v>
      </c>
      <c r="AT40" s="1021">
        <f>(VLOOKUP(YEAR($A40),'NY East Load Projections'!$A$4:$EO$14,((MONTH($A40)-1)*12)+VLOOKUP(AT$4,$DE$6:$DF$17,2)+1))*(VLOOKUP($A40,SatSunCurve,2))*(INDEX(DailyScalarsTable,AT$5/100,MONTH($A40)))*$C40</f>
        <v>-10331.286545978539</v>
      </c>
      <c r="AU40" s="1021">
        <f>(VLOOKUP(YEAR($A40),'NY East Load Projections'!$A$4:$EO$14,((MONTH($A40)-1)*12)+VLOOKUP(AU$4,$DE$6:$DF$17,2)+1))*(VLOOKUP($A40,SatSunCurve,2))*(INDEX(DailyScalarsTable,AU$5/100,MONTH($A40)))*$C40</f>
        <v>-10089.597929155718</v>
      </c>
      <c r="AV40" s="1021">
        <f>(VLOOKUP(YEAR($A40),'NY East Load Projections'!$A$4:$EO$14,((MONTH($A40)-1)*12)+VLOOKUP(AV$4,$DE$6:$DF$17,2)+1))*(VLOOKUP($A40,SatSunCurve,2))*(INDEX(DailyScalarsTable,AV$5/100,MONTH($A40)))*$C40</f>
        <v>-9923.6624608893017</v>
      </c>
      <c r="AW40" s="1021">
        <f>(VLOOKUP(YEAR($A40),'NY East Load Projections'!$A$4:$EO$14,((MONTH($A40)-1)*12)+VLOOKUP(AW$4,$DE$6:$DF$17,2)+1))*(VLOOKUP($A40,SatSunCurve,2))*(INDEX(DailyScalarsTable,AW$5/100,MONTH($A40)))*$C40</f>
        <v>-10226.13660050314</v>
      </c>
      <c r="AX40" s="1021">
        <f>(VLOOKUP(YEAR($A40),'NY East Load Projections'!$A$4:$EO$14,((MONTH($A40)-1)*12)+VLOOKUP(AX$4,$DE$6:$DF$17,2)+1))*(VLOOKUP($A40,SatSunCurve,2))*(INDEX(DailyScalarsTable,AX$5/100,MONTH($A40)))*$C40</f>
        <v>-14038.15797030495</v>
      </c>
      <c r="AY40" s="1021">
        <f>(VLOOKUP(YEAR($A40),'NY East Load Projections'!$A$4:$EO$14,((MONTH($A40)-1)*12)+VLOOKUP(AY$4,$DE$6:$DF$17,2)+1))*(VLOOKUP($A40,SatSunCurve,2))*(INDEX(DailyScalarsTable,AY$5/100,MONTH($A40)))*$C40</f>
        <v>-14151.192189439771</v>
      </c>
      <c r="AZ40" s="1021">
        <f>(VLOOKUP(YEAR($A40),'NY East Load Projections'!$A$4:$EO$14,((MONTH($A40)-1)*12)+VLOOKUP(AZ$4,$DE$6:$DF$17,2)+1))*(VLOOKUP($A40,SatSunCurve,2))*(INDEX(DailyScalarsTable,AZ$5/100,MONTH($A40)))*$C40</f>
        <v>-13572.180168973655</v>
      </c>
      <c r="BA40" s="1021">
        <f>(VLOOKUP(YEAR($A40),'NY East Load Projections'!$A$4:$EO$14,((MONTH($A40)-1)*12)+VLOOKUP(BA$4,$DE$6:$DF$17,2)+1))*(VLOOKUP($A40,SatSunCurve,2))*(INDEX(DailyScalarsTable,BA$5/100,MONTH($A40)))*$C40</f>
        <v>-12197.642307350832</v>
      </c>
      <c r="BB40" s="1021">
        <f>(VLOOKUP(YEAR($A40),'NY East Load Projections'!$A$4:$EO$14,((MONTH($A40)-1)*12)+VLOOKUP(BB$4,$DE$6:$DF$17,2)+1))*(VLOOKUP($A40,SatSunCurve,2))*(INDEX(DailyScalarsTable,BB$5/100,MONTH($A40)))*$C40</f>
        <v>-9703.000979545679</v>
      </c>
      <c r="BC40" s="1021">
        <f>(VLOOKUP(YEAR($A40),'NY East Load Projections'!$A$4:$EO$14,((MONTH($A40)-1)*12)+VLOOKUP(BC$4,$DE$6:$DF$17,2)+1))*(VLOOKUP($A40,SatSunCurve,2))*(INDEX(DailyScalarsTable,BC$5/100,MONTH($A40)))*$C40</f>
        <v>-8182.916434493327</v>
      </c>
      <c r="BD40" s="1021">
        <f>(VLOOKUP(YEAR($A40),'NY East Load Projections'!$A$4:$EO$14,((MONTH($A40)-1)*12)+VLOOKUP(BD$4,$DE$6:$DF$17,2)+1))*(VLOOKUP($A40,CURVES!$D$9:$T$261,6))*(INDEX(DailyScalarsTable,BD$5/100,MONTH($A40)))*$C40</f>
        <v>-9637.9754464289854</v>
      </c>
      <c r="BE40" s="1021"/>
      <c r="BF40" s="1021">
        <f>(VLOOKUP(YEAR($A40),'NY East Load Projections'!$A$4:$EO$14,((MONTH($A40)-1)*12)+VLOOKUP(BF$4,$DE$6:$DF$17,2)+1))*(VLOOKUP($A40,CURVES!$D$9:$T$261,6))*(INDEX(DailyScalarsTable,BF$5/100,MONTH($A40)))*$D40</f>
        <v>-8404.7065496858559</v>
      </c>
      <c r="BG40" s="1021">
        <f>(VLOOKUP(YEAR($A40),'NY East Load Projections'!$A$4:$EO$14,((MONTH($A40)-1)*12)+VLOOKUP(BG$4,$DE$6:$DF$17,2)+1))*(VLOOKUP($A40,CURVES!$D$9:$T$261,6))*(INDEX(DailyScalarsTable,BG$5/100,MONTH($A40)))*$D40</f>
        <v>-7967.9692432309585</v>
      </c>
      <c r="BH40" s="1021">
        <f>(VLOOKUP(YEAR($A40),'NY East Load Projections'!$A$4:$EO$14,((MONTH($A40)-1)*12)+VLOOKUP(BH$4,$DE$6:$DF$17,2)+1))*(VLOOKUP($A40,CURVES!$D$9:$T$261,6))*(INDEX(DailyScalarsTable,BH$5/100,MONTH($A40)))*$D40</f>
        <v>-7646.9718440767383</v>
      </c>
      <c r="BI40" s="1021">
        <f>(VLOOKUP(YEAR($A40),'NY East Load Projections'!$A$4:$EO$14,((MONTH($A40)-1)*12)+VLOOKUP(BI$4,$DE$6:$DF$17,2)+1))*(VLOOKUP($A40,CURVES!$D$9:$T$261,6))*(INDEX(DailyScalarsTable,BI$5/100,MONTH($A40)))*$D40</f>
        <v>-7651.4929342056703</v>
      </c>
      <c r="BJ40" s="1021">
        <f>(VLOOKUP(YEAR($A40),'NY East Load Projections'!$A$4:$EO$14,((MONTH($A40)-1)*12)+VLOOKUP(BJ$4,$DE$6:$DF$17,2)+1))*(VLOOKUP($A40,CURVES!$D$9:$T$261,6))*(INDEX(DailyScalarsTable,BJ$5/100,MONTH($A40)))*$D40</f>
        <v>-8319.9372025720531</v>
      </c>
      <c r="BK40" s="1021">
        <f>(VLOOKUP(YEAR($A40),'NY East Load Projections'!$A$4:$EO$14,((MONTH($A40)-1)*12)+VLOOKUP(BK$4,$DE$6:$DF$17,2)+1))*(VLOOKUP($A40,CURVES!$D$9:$T$261,6))*(INDEX(DailyScalarsTable,BK$5/100,MONTH($A40)))*$D40</f>
        <v>-9585.5956032722024</v>
      </c>
      <c r="BL40" s="1021">
        <f>(VLOOKUP(YEAR($A40),'NY East Load Projections'!$A$4:$EO$14,((MONTH($A40)-1)*12)+VLOOKUP(BL$4,$DE$6:$DF$17,2)+1))*(VLOOKUP($A40,CURVES!$D$9:$T$261,6))*(INDEX(DailyScalarsTable,BL$5/100,MONTH($A40)))*$D40</f>
        <v>-13730.420358574509</v>
      </c>
      <c r="BM40" s="1021">
        <f>(VLOOKUP(YEAR($A40),'NY East Load Projections'!$A$4:$EO$14,((MONTH($A40)-1)*12)+VLOOKUP(BM$4,$DE$6:$DF$17,2)+1))*(VLOOKUP($A40,SatSunCurve,6))*(INDEX(DailyScalarsTable,BM$5/100,MONTH($A40)))*$D40</f>
        <v>-9580.5254478357056</v>
      </c>
      <c r="BN40" s="1021">
        <f>(VLOOKUP(YEAR($A40),'NY East Load Projections'!$A$4:$EO$14,((MONTH($A40)-1)*12)+VLOOKUP(BN$4,$DE$6:$DF$17,2)+1))*(VLOOKUP($A40,SatSunCurve,6))*(INDEX(DailyScalarsTable,BN$5/100,MONTH($A40)))*$D40</f>
        <v>-10862.402127843303</v>
      </c>
      <c r="BO40" s="1021">
        <f>(VLOOKUP(YEAR($A40),'NY East Load Projections'!$A$4:$EO$14,((MONTH($A40)-1)*12)+VLOOKUP(BO$4,$DE$6:$DF$17,2)+1))*(VLOOKUP($A40,SatSunCurve,6))*(INDEX(DailyScalarsTable,BO$5/100,MONTH($A40)))*$D40</f>
        <v>-10792.052245341954</v>
      </c>
      <c r="BP40" s="1021">
        <f>(VLOOKUP(YEAR($A40),'NY East Load Projections'!$A$4:$EO$14,((MONTH($A40)-1)*12)+VLOOKUP(BP$4,$DE$6:$DF$17,2)+1))*(VLOOKUP($A40,SatSunCurve,6))*(INDEX(DailyScalarsTable,BP$5/100,MONTH($A40)))*$D40</f>
        <v>-10583.854620101476</v>
      </c>
      <c r="BQ40" s="1021">
        <f>(VLOOKUP(YEAR($A40),'NY East Load Projections'!$A$4:$EO$14,((MONTH($A40)-1)*12)+VLOOKUP(BQ$4,$DE$6:$DF$17,2)+1))*(VLOOKUP($A40,SatSunCurve,6))*(INDEX(DailyScalarsTable,BQ$5/100,MONTH($A40)))*$D40</f>
        <v>-8911.6188995626744</v>
      </c>
      <c r="BR40" s="1021">
        <f>(VLOOKUP(YEAR($A40),'NY East Load Projections'!$A$4:$EO$14,((MONTH($A40)-1)*12)+VLOOKUP(BR$4,$DE$6:$DF$17,2)+1))*(VLOOKUP($A40,SatSunCurve,6))*(INDEX(DailyScalarsTable,BR$5/100,MONTH($A40)))*$D40</f>
        <v>-8470.6830548263861</v>
      </c>
      <c r="BS40" s="1021">
        <f>(VLOOKUP(YEAR($A40),'NY East Load Projections'!$A$4:$EO$14,((MONTH($A40)-1)*12)+VLOOKUP(BS$4,$DE$6:$DF$17,2)+1))*(VLOOKUP($A40,SatSunCurve,6))*(INDEX(DailyScalarsTable,BS$5/100,MONTH($A40)))*$D40</f>
        <v>-8243.3014845473208</v>
      </c>
      <c r="BT40" s="1021">
        <f>(VLOOKUP(YEAR($A40),'NY East Load Projections'!$A$4:$EO$14,((MONTH($A40)-1)*12)+VLOOKUP(BT$4,$DE$6:$DF$17,2)+1))*(VLOOKUP($A40,SatSunCurve,6))*(INDEX(DailyScalarsTable,BT$5/100,MONTH($A40)))*$D40</f>
        <v>-8050.458886968876</v>
      </c>
      <c r="BU40" s="1021">
        <f>(VLOOKUP(YEAR($A40),'NY East Load Projections'!$A$4:$EO$14,((MONTH($A40)-1)*12)+VLOOKUP(BU$4,$DE$6:$DF$17,2)+1))*(VLOOKUP($A40,SatSunCurve,6))*(INDEX(DailyScalarsTable,BU$5/100,MONTH($A40)))*$D40</f>
        <v>-7918.0594916165101</v>
      </c>
      <c r="BV40" s="1021">
        <f>(VLOOKUP(YEAR($A40),'NY East Load Projections'!$A$4:$EO$14,((MONTH($A40)-1)*12)+VLOOKUP(BV$4,$DE$6:$DF$17,2)+1))*(VLOOKUP($A40,SatSunCurve,6))*(INDEX(DailyScalarsTable,BV$5/100,MONTH($A40)))*$D40</f>
        <v>-8159.4026692565158</v>
      </c>
      <c r="BW40" s="1021">
        <f>(VLOOKUP(YEAR($A40),'NY East Load Projections'!$A$4:$EO$14,((MONTH($A40)-1)*12)+VLOOKUP(BW$4,$DE$6:$DF$17,2)+1))*(VLOOKUP($A40,SatSunCurve,6))*(INDEX(DailyScalarsTable,BW$5/100,MONTH($A40)))*$D40</f>
        <v>-11201.002694283899</v>
      </c>
      <c r="BX40" s="1021">
        <f>(VLOOKUP(YEAR($A40),'NY East Load Projections'!$A$4:$EO$14,((MONTH($A40)-1)*12)+VLOOKUP(BX$4,$DE$6:$DF$17,2)+1))*(VLOOKUP($A40,SatSunCurve,6))*(INDEX(DailyScalarsTable,BX$5/100,MONTH($A40)))*$D40</f>
        <v>-11291.192347068372</v>
      </c>
      <c r="BY40" s="1021">
        <f>(VLOOKUP(YEAR($A40),'NY East Load Projections'!$A$4:$EO$14,((MONTH($A40)-1)*12)+VLOOKUP(BY$4,$DE$6:$DF$17,2)+1))*(VLOOKUP($A40,SatSunCurve,6))*(INDEX(DailyScalarsTable,BY$5/100,MONTH($A40)))*$D40</f>
        <v>-10829.200452192807</v>
      </c>
      <c r="BZ40" s="1021">
        <f>(VLOOKUP(YEAR($A40),'NY East Load Projections'!$A$4:$EO$14,((MONTH($A40)-1)*12)+VLOOKUP(BZ$4,$DE$6:$DF$17,2)+1))*(VLOOKUP($A40,SatSunCurve,6))*(INDEX(DailyScalarsTable,BZ$5/100,MONTH($A40)))*$D40</f>
        <v>-9732.460956597999</v>
      </c>
      <c r="CA40" s="1021">
        <f>(VLOOKUP(YEAR($A40),'NY East Load Projections'!$A$4:$EO$14,((MONTH($A40)-1)*12)+VLOOKUP(CA$4,$DE$6:$DF$17,2)+1))*(VLOOKUP($A40,SatSunCurve,6))*(INDEX(DailyScalarsTable,CA$5/100,MONTH($A40)))*$D40</f>
        <v>-7741.9943802049647</v>
      </c>
      <c r="CB40" s="1021">
        <f>(VLOOKUP(YEAR($A40),'NY East Load Projections'!$A$4:$EO$14,((MONTH($A40)-1)*12)+VLOOKUP(CB$4,$DE$6:$DF$17,2)+1))*(VLOOKUP($A40,SatSunCurve,6))*(INDEX(DailyScalarsTable,CB$5/100,MONTH($A40)))*$D40</f>
        <v>-6529.1236374275304</v>
      </c>
      <c r="CC40" s="1021">
        <f>(VLOOKUP(YEAR($A40),'NY East Load Projections'!$A$4:$EO$14,((MONTH($A40)-1)*12)+VLOOKUP(CC$4,$DE$6:$DF$17,2)+1))*(VLOOKUP($A40,CURVES!$D$9:$T$261,6))*(INDEX(DailyScalarsTable,CC$5/100,MONTH($A40)))*$D40</f>
        <v>-9637.9754464289854</v>
      </c>
      <c r="CE40" s="1021">
        <f>(VLOOKUP(YEAR($A40),'NY East Load Projections'!$A$4:$EO$14,((MONTH($A40)-1)*12)+VLOOKUP(CE$4,$DE$6:$DF$17,2)+1))*(VLOOKUP($A40,CURVES!$D$9:$T$261,6))*(INDEX(DailyScalarsTable,CE$5/100,MONTH($A40)))*$E40</f>
        <v>-1680.9413099371711</v>
      </c>
      <c r="CF40" s="1021">
        <f>(VLOOKUP(YEAR($A40),'NY East Load Projections'!$A$4:$EO$14,((MONTH($A40)-1)*12)+VLOOKUP(CF$4,$DE$6:$DF$17,2)+1))*(VLOOKUP($A40,CURVES!$D$9:$T$261,6))*(INDEX(DailyScalarsTable,CF$5/100,MONTH($A40)))*$E40</f>
        <v>-1593.5938486461916</v>
      </c>
      <c r="CG40" s="1021">
        <f>(VLOOKUP(YEAR($A40),'NY East Load Projections'!$A$4:$EO$14,((MONTH($A40)-1)*12)+VLOOKUP(CG$4,$DE$6:$DF$17,2)+1))*(VLOOKUP($A40,CURVES!$D$9:$T$261,6))*(INDEX(DailyScalarsTable,CG$5/100,MONTH($A40)))*$E40</f>
        <v>-1529.3943688153477</v>
      </c>
      <c r="CH40" s="1021">
        <f>(VLOOKUP(YEAR($A40),'NY East Load Projections'!$A$4:$EO$14,((MONTH($A40)-1)*12)+VLOOKUP(CH$4,$DE$6:$DF$17,2)+1))*(VLOOKUP($A40,CURVES!$D$9:$T$261,6))*(INDEX(DailyScalarsTable,CH$5/100,MONTH($A40)))*$E40</f>
        <v>-1530.298586841134</v>
      </c>
      <c r="CI40" s="1021">
        <f>(VLOOKUP(YEAR($A40),'NY East Load Projections'!$A$4:$EO$14,((MONTH($A40)-1)*12)+VLOOKUP(CI$4,$DE$6:$DF$17,2)+1))*(VLOOKUP($A40,CURVES!$D$9:$T$261,6))*(INDEX(DailyScalarsTable,CI$5/100,MONTH($A40)))*$E40</f>
        <v>-1663.9874405144105</v>
      </c>
      <c r="CJ40" s="1021">
        <f>(VLOOKUP(YEAR($A40),'NY East Load Projections'!$A$4:$EO$14,((MONTH($A40)-1)*12)+VLOOKUP(CJ$4,$DE$6:$DF$17,2)+1))*(VLOOKUP($A40,CURVES!$D$9:$T$261,6))*(INDEX(DailyScalarsTable,CJ$5/100,MONTH($A40)))*$E40</f>
        <v>-1917.1191206544406</v>
      </c>
      <c r="CK40" s="1021">
        <f>(VLOOKUP(YEAR($A40),'NY East Load Projections'!$A$4:$EO$14,((MONTH($A40)-1)*12)+VLOOKUP(CK$4,$DE$6:$DF$17,2)+1))*(VLOOKUP($A40,CURVES!$D$9:$T$261,6))*(INDEX(DailyScalarsTable,CK$5/100,MONTH($A40)))*$E40</f>
        <v>-2746.0840717149017</v>
      </c>
      <c r="CL40" s="1021">
        <f>(VLOOKUP(YEAR($A40),'NY East Load Projections'!$A$4:$EO$14,((MONTH($A40)-1)*12)+VLOOKUP(CL$4,$DE$6:$DF$17,2)+1))*(VLOOKUP($A40,SatSunCurve,6))*(INDEX(DailyScalarsTable,CL$5/100,MONTH($A40)))*$E40</f>
        <v>-1916.1050895671412</v>
      </c>
      <c r="CM40" s="1021">
        <f>(VLOOKUP(YEAR($A40),'NY East Load Projections'!$A$4:$EO$14,((MONTH($A40)-1)*12)+VLOOKUP(CM$4,$DE$6:$DF$17,2)+1))*(VLOOKUP($A40,SatSunCurve,6))*(INDEX(DailyScalarsTable,CM$5/100,MONTH($A40)))*$E40</f>
        <v>-2172.4804255686604</v>
      </c>
      <c r="CN40" s="1021">
        <f>(VLOOKUP(YEAR($A40),'NY East Load Projections'!$A$4:$EO$14,((MONTH($A40)-1)*12)+VLOOKUP(CN$4,$DE$6:$DF$17,2)+1))*(VLOOKUP($A40,SatSunCurve,6))*(INDEX(DailyScalarsTable,CN$5/100,MONTH($A40)))*$E40</f>
        <v>-2158.4104490683908</v>
      </c>
      <c r="CO40" s="1021">
        <f>(VLOOKUP(YEAR($A40),'NY East Load Projections'!$A$4:$EO$14,((MONTH($A40)-1)*12)+VLOOKUP(CO$4,$DE$6:$DF$17,2)+1))*(VLOOKUP($A40,SatSunCurve,6))*(INDEX(DailyScalarsTable,CO$5/100,MONTH($A40)))*$E40</f>
        <v>-2116.7709240202953</v>
      </c>
      <c r="CP40" s="1021">
        <f>(VLOOKUP(YEAR($A40),'NY East Load Projections'!$A$4:$EO$14,((MONTH($A40)-1)*12)+VLOOKUP(CP$4,$DE$6:$DF$17,2)+1))*(VLOOKUP($A40,SatSunCurve,6))*(INDEX(DailyScalarsTable,CP$5/100,MONTH($A40)))*$E40</f>
        <v>-1782.3237799125347</v>
      </c>
      <c r="CQ40" s="1021">
        <f>(VLOOKUP(YEAR($A40),'NY East Load Projections'!$A$4:$EO$14,((MONTH($A40)-1)*12)+VLOOKUP(CQ$4,$DE$6:$DF$17,2)+1))*(VLOOKUP($A40,SatSunCurve,6))*(INDEX(DailyScalarsTable,CQ$5/100,MONTH($A40)))*$E40</f>
        <v>-1694.1366109652772</v>
      </c>
      <c r="CR40" s="1021">
        <f>(VLOOKUP(YEAR($A40),'NY East Load Projections'!$A$4:$EO$14,((MONTH($A40)-1)*12)+VLOOKUP(CR$4,$DE$6:$DF$17,2)+1))*(VLOOKUP($A40,SatSunCurve,6))*(INDEX(DailyScalarsTable,CR$5/100,MONTH($A40)))*$E40</f>
        <v>-1648.6602969094643</v>
      </c>
      <c r="CS40" s="1021">
        <f>(VLOOKUP(YEAR($A40),'NY East Load Projections'!$A$4:$EO$14,((MONTH($A40)-1)*12)+VLOOKUP(CS$4,$DE$6:$DF$17,2)+1))*(VLOOKUP($A40,SatSunCurve,6))*(INDEX(DailyScalarsTable,CS$5/100,MONTH($A40)))*$E40</f>
        <v>-1610.0917773937751</v>
      </c>
      <c r="CT40" s="1021">
        <f>(VLOOKUP(YEAR($A40),'NY East Load Projections'!$A$4:$EO$14,((MONTH($A40)-1)*12)+VLOOKUP(CT$4,$DE$6:$DF$17,2)+1))*(VLOOKUP($A40,SatSunCurve,6))*(INDEX(DailyScalarsTable,CT$5/100,MONTH($A40)))*$E40</f>
        <v>-1583.6118983233021</v>
      </c>
      <c r="CU40" s="1021">
        <f>(VLOOKUP(YEAR($A40),'NY East Load Projections'!$A$4:$EO$14,((MONTH($A40)-1)*12)+VLOOKUP(CU$4,$DE$6:$DF$17,2)+1))*(VLOOKUP($A40,SatSunCurve,6))*(INDEX(DailyScalarsTable,CU$5/100,MONTH($A40)))*$E40</f>
        <v>-1631.8805338513032</v>
      </c>
      <c r="CV40" s="1021">
        <f>(VLOOKUP(YEAR($A40),'NY East Load Projections'!$A$4:$EO$14,((MONTH($A40)-1)*12)+VLOOKUP(CV$4,$DE$6:$DF$17,2)+1))*(VLOOKUP($A40,SatSunCurve,6))*(INDEX(DailyScalarsTable,CV$5/100,MONTH($A40)))*$E40</f>
        <v>-2240.20053885678</v>
      </c>
      <c r="CW40" s="1021">
        <f>(VLOOKUP(YEAR($A40),'NY East Load Projections'!$A$4:$EO$14,((MONTH($A40)-1)*12)+VLOOKUP(CW$4,$DE$6:$DF$17,2)+1))*(VLOOKUP($A40,SatSunCurve,6))*(INDEX(DailyScalarsTable,CW$5/100,MONTH($A40)))*$E40</f>
        <v>-2258.2384694136745</v>
      </c>
      <c r="CX40" s="1021">
        <f>(VLOOKUP(YEAR($A40),'NY East Load Projections'!$A$4:$EO$14,((MONTH($A40)-1)*12)+VLOOKUP(CX$4,$DE$6:$DF$17,2)+1))*(VLOOKUP($A40,SatSunCurve,6))*(INDEX(DailyScalarsTable,CX$5/100,MONTH($A40)))*$E40</f>
        <v>-2165.8400904385612</v>
      </c>
      <c r="CY40" s="1021">
        <f>(VLOOKUP(YEAR($A40),'NY East Load Projections'!$A$4:$EO$14,((MONTH($A40)-1)*12)+VLOOKUP(CY$4,$DE$6:$DF$17,2)+1))*(VLOOKUP($A40,SatSunCurve,6))*(INDEX(DailyScalarsTable,CY$5/100,MONTH($A40)))*$E40</f>
        <v>-1946.4921913195997</v>
      </c>
      <c r="CZ40" s="1021">
        <f>(VLOOKUP(YEAR($A40),'NY East Load Projections'!$A$4:$EO$14,((MONTH($A40)-1)*12)+VLOOKUP(CZ$4,$DE$6:$DF$17,2)+1))*(VLOOKUP($A40,SatSunCurve,6))*(INDEX(DailyScalarsTable,CZ$5/100,MONTH($A40)))*$E40</f>
        <v>-1548.3988760409929</v>
      </c>
      <c r="DA40" s="1021">
        <f>(VLOOKUP(YEAR($A40),'NY East Load Projections'!$A$4:$EO$14,((MONTH($A40)-1)*12)+VLOOKUP(DA$4,$DE$6:$DF$17,2)+1))*(VLOOKUP($A40,SatSunCurve,6))*(INDEX(DailyScalarsTable,DA$5/100,MONTH($A40)))*$E40</f>
        <v>-1305.8247274855062</v>
      </c>
      <c r="DB40" s="1021">
        <f>(VLOOKUP(YEAR($A40),'NY East Load Projections'!$A$4:$EO$14,((MONTH($A40)-1)*12)+VLOOKUP(DB$4,$DE$6:$DF$17,2)+1))*(VLOOKUP($A40,CURVES!$D$9:$T$261,6))*(INDEX(DailyScalarsTable,DB$5/100,MONTH($A40)))*$E40</f>
        <v>-1927.595089285797</v>
      </c>
      <c r="DH40" s="1021">
        <f t="shared" si="0"/>
        <v>-1756930.4930909143</v>
      </c>
      <c r="DI40">
        <f ca="1">CALC!J60</f>
        <v>0.76308263577695024</v>
      </c>
      <c r="DJ40" s="1029">
        <f t="shared" ca="1" si="1"/>
        <v>-1340683.1515447118</v>
      </c>
    </row>
    <row r="41" spans="1:114" x14ac:dyDescent="0.25">
      <c r="A41" s="244">
        <v>37956</v>
      </c>
      <c r="B41" s="13">
        <v>22</v>
      </c>
      <c r="C41" s="210">
        <v>4</v>
      </c>
      <c r="D41" s="210">
        <v>4</v>
      </c>
      <c r="E41" s="210">
        <v>1</v>
      </c>
      <c r="F41" s="13">
        <v>31</v>
      </c>
      <c r="H41" s="1021">
        <f>(VLOOKUP(YEAR($A41),'NY East Load Projections'!$A$4:$EO$14,((MONTH($A41)-1)*12)+VLOOKUP(H$4,$DE$6:$DF$17,2)+1))*(VLOOKUP($A41,CURVES!$D$9:$K$261,6))*(INDEX(DailyScalarsTable,H$5/100,MONTH($A41)))*$B41</f>
        <v>-37056.46155512234</v>
      </c>
      <c r="I41" s="1021">
        <f>(VLOOKUP(YEAR($A41),'NY East Load Projections'!$A$4:$EO$14,((MONTH($A41)-1)*12)+VLOOKUP(I$4,$DE$6:$DF$17,2)+1))*(VLOOKUP($A41,CURVES!$D$9:$K$261,6))*(INDEX(DailyScalarsTable,I$5/100,MONTH($A41)))*$B41</f>
        <v>-35130.881035367194</v>
      </c>
      <c r="J41" s="1021">
        <f>(VLOOKUP(YEAR($A41),'NY East Load Projections'!$A$4:$EO$14,((MONTH($A41)-1)*12)+VLOOKUP(J$4,$DE$6:$DF$17,2)+1))*(VLOOKUP($A41,CURVES!$D$9:$K$261,6))*(INDEX(DailyScalarsTable,J$5/100,MONTH($A41)))*$B41</f>
        <v>-33715.59928689291</v>
      </c>
      <c r="K41" s="1021">
        <f>(VLOOKUP(YEAR($A41),'NY East Load Projections'!$A$4:$EO$14,((MONTH($A41)-1)*12)+VLOOKUP(K$4,$DE$6:$DF$17,2)+1))*(VLOOKUP($A41,CURVES!$D$9:$K$261,6))*(INDEX(DailyScalarsTable,K$5/100,MONTH($A41)))*$B41</f>
        <v>-33735.532832646073</v>
      </c>
      <c r="L41" s="1021">
        <f>(VLOOKUP(YEAR($A41),'NY East Load Projections'!$A$4:$EO$14,((MONTH($A41)-1)*12)+VLOOKUP(L$4,$DE$6:$DF$17,2)+1))*(VLOOKUP($A41,CURVES!$D$9:$K$261,6))*(INDEX(DailyScalarsTable,L$5/100,MONTH($A41)))*$B41</f>
        <v>-40285.837906607783</v>
      </c>
      <c r="M41" s="1021">
        <f>(VLOOKUP(YEAR($A41),'NY East Load Projections'!$A$4:$EO$14,((MONTH($A41)-1)*12)+VLOOKUP(M$4,$DE$6:$DF$17,2)+1))*(VLOOKUP($A41,CURVES!$D$9:$K$261,6))*(INDEX(DailyScalarsTable,M$5/100,MONTH($A41)))*$B41</f>
        <v>-46414.262669234602</v>
      </c>
      <c r="N41" s="1021">
        <f>(VLOOKUP(YEAR($A41),'NY East Load Projections'!$A$4:$EO$14,((MONTH($A41)-1)*12)+VLOOKUP(N$4,$DE$6:$DF$17,2)+1))*(VLOOKUP($A41,CURVES!$D$9:$K$261,6))*(INDEX(DailyScalarsTable,N$5/100,MONTH($A41)))*$B41</f>
        <v>-66483.853842565077</v>
      </c>
      <c r="O41" s="1021">
        <f>(VLOOKUP(YEAR($A41),'NY East Load Projections'!$A$4:$EO$14,((MONTH($A41)-1)*12)+VLOOKUP(O$4,$DE$6:$DF$17,2)+1))*(VLOOKUP($A41,CURVES!$D$9:$K$261,2))*(INDEX(DailyScalarsTable,O$5/100,MONTH($A41)))*$B41</f>
        <v>-70063.383324442359</v>
      </c>
      <c r="P41" s="1021">
        <f>(VLOOKUP(YEAR($A41),'NY East Load Projections'!$A$4:$EO$14,((MONTH($A41)-1)*12)+VLOOKUP(P$4,$DE$6:$DF$17,2)+1))*(VLOOKUP($A41,CURVES!$D$9:$K$261,2))*(INDEX(DailyScalarsTable,P$5/100,MONTH($A41)))*$B41</f>
        <v>-81358.232899754556</v>
      </c>
      <c r="Q41" s="1021">
        <f>(VLOOKUP(YEAR($A41),'NY East Load Projections'!$A$4:$EO$14,((MONTH($A41)-1)*12)+VLOOKUP(Q$4,$DE$6:$DF$17,2)+1))*(VLOOKUP($A41,CURVES!$D$9:$K$261,2))*(INDEX(DailyScalarsTable,Q$5/100,MONTH($A41)))*$B41</f>
        <v>-80945.779235801514</v>
      </c>
      <c r="R41" s="1021">
        <f>(VLOOKUP(YEAR($A41),'NY East Load Projections'!$A$4:$EO$14,((MONTH($A41)-1)*12)+VLOOKUP(R$4,$DE$6:$DF$17,2)+1))*(VLOOKUP($A41,CURVES!$D$9:$K$261,2))*(INDEX(DailyScalarsTable,R$5/100,MONTH($A41)))*$B41</f>
        <v>-79184.112738917334</v>
      </c>
      <c r="S41" s="1021">
        <f>(VLOOKUP(YEAR($A41),'NY East Load Projections'!$A$4:$EO$14,((MONTH($A41)-1)*12)+VLOOKUP(S$4,$DE$6:$DF$17,2)+1))*(VLOOKUP($A41,CURVES!$D$9:$K$261,2))*(INDEX(DailyScalarsTable,S$5/100,MONTH($A41)))*$B41</f>
        <v>-64342.771576674771</v>
      </c>
      <c r="T41" s="1021">
        <f>(VLOOKUP(YEAR($A41),'NY East Load Projections'!$A$4:$EO$14,((MONTH($A41)-1)*12)+VLOOKUP(T$4,$DE$6:$DF$17,2)+1))*(VLOOKUP($A41,CURVES!$D$9:$K$261,2))*(INDEX(DailyScalarsTable,T$5/100,MONTH($A41)))*$B41</f>
        <v>-61380.418447468197</v>
      </c>
      <c r="U41" s="1021">
        <f>(VLOOKUP(YEAR($A41),'NY East Load Projections'!$A$4:$EO$14,((MONTH($A41)-1)*12)+VLOOKUP(U$4,$DE$6:$DF$17,2)+1))*(VLOOKUP($A41,CURVES!$D$9:$K$261,2))*(INDEX(DailyScalarsTable,U$5/100,MONTH($A41)))*$B41</f>
        <v>-58735.496998766008</v>
      </c>
      <c r="V41" s="1021">
        <f>(VLOOKUP(YEAR($A41),'NY East Load Projections'!$A$4:$EO$14,((MONTH($A41)-1)*12)+VLOOKUP(V$4,$DE$6:$DF$17,2)+1))*(VLOOKUP($A41,CURVES!$D$9:$K$261,2))*(INDEX(DailyScalarsTable,V$5/100,MONTH($A41)))*$B41</f>
        <v>-55781.884452602542</v>
      </c>
      <c r="W41" s="1021">
        <f>(VLOOKUP(YEAR($A41),'NY East Load Projections'!$A$4:$EO$14,((MONTH($A41)-1)*12)+VLOOKUP(W$4,$DE$6:$DF$17,2)+1))*(VLOOKUP($A41,CURVES!$D$9:$K$261,2))*(INDEX(DailyScalarsTable,W$5/100,MONTH($A41)))*$B41</f>
        <v>-54813.716919655853</v>
      </c>
      <c r="X41" s="1021">
        <f>(VLOOKUP(YEAR($A41),'NY East Load Projections'!$A$4:$EO$14,((MONTH($A41)-1)*12)+VLOOKUP(X$4,$DE$6:$DF$17,2)+1))*(VLOOKUP($A41,CURVES!$D$9:$K$261,2))*(INDEX(DailyScalarsTable,X$5/100,MONTH($A41)))*$B41</f>
        <v>-58188.91656244397</v>
      </c>
      <c r="Y41" s="1021">
        <f>(VLOOKUP(YEAR($A41),'NY East Load Projections'!$A$4:$EO$14,((MONTH($A41)-1)*12)+VLOOKUP(Y$4,$DE$6:$DF$17,2)+1))*(VLOOKUP($A41,CURVES!$D$9:$K$261,2))*(INDEX(DailyScalarsTable,Y$5/100,MONTH($A41)))*$B41</f>
        <v>-82008.218315959268</v>
      </c>
      <c r="Z41" s="1021">
        <f>(VLOOKUP(YEAR($A41),'NY East Load Projections'!$A$4:$EO$14,((MONTH($A41)-1)*12)+VLOOKUP(Z$4,$DE$6:$DF$17,2)+1))*(VLOOKUP($A41,CURVES!$D$9:$K$261,2))*(INDEX(DailyScalarsTable,Z$5/100,MONTH($A41)))*$B41</f>
        <v>-81461.837033871649</v>
      </c>
      <c r="AA41" s="1021">
        <f>(VLOOKUP(YEAR($A41),'NY East Load Projections'!$A$4:$EO$14,((MONTH($A41)-1)*12)+VLOOKUP(AA$4,$DE$6:$DF$17,2)+1))*(VLOOKUP($A41,CURVES!$D$9:$K$261,2))*(INDEX(DailyScalarsTable,AA$5/100,MONTH($A41)))*$B41</f>
        <v>-78656.670051805442</v>
      </c>
      <c r="AB41" s="1021">
        <f>(VLOOKUP(YEAR($A41),'NY East Load Projections'!$A$4:$EO$14,((MONTH($A41)-1)*12)+VLOOKUP(AB$4,$DE$6:$DF$17,2)+1))*(VLOOKUP($A41,CURVES!$D$9:$K$261,2))*(INDEX(DailyScalarsTable,AB$5/100,MONTH($A41)))*$B41</f>
        <v>-69675.931885187645</v>
      </c>
      <c r="AC41" s="1021">
        <f>(VLOOKUP(YEAR($A41),'NY East Load Projections'!$A$4:$EO$14,((MONTH($A41)-1)*12)+VLOOKUP(AC$4,$DE$6:$DF$17,2)+1))*(VLOOKUP($A41,CURVES!$D$9:$K$261,2))*(INDEX(DailyScalarsTable,AC$5/100,MONTH($A41)))*$B41</f>
        <v>-51364.818923433129</v>
      </c>
      <c r="AD41" s="1021">
        <f>(VLOOKUP(YEAR($A41),'NY East Load Projections'!$A$4:$EO$14,((MONTH($A41)-1)*12)+VLOOKUP(AD$4,$DE$6:$DF$17,2)+1))*(VLOOKUP($A41,CURVES!$D$9:$K$261,2))*(INDEX(DailyScalarsTable,AD$5/100,MONTH($A41)))*$B41</f>
        <v>-42376.729646167674</v>
      </c>
      <c r="AE41" s="1021">
        <f>(VLOOKUP(YEAR($A41),'NY East Load Projections'!$A$4:$EO$14,((MONTH($A41)-1)*12)+VLOOKUP(AE$4,$DE$6:$DF$17,2)+1))*(VLOOKUP($A41,CURVES!$D$9:$K$261,6))*(INDEX(DailyScalarsTable,AE$5/100,MONTH($A41)))*$B41</f>
        <v>-43711.923610645521</v>
      </c>
      <c r="AF41" s="1021"/>
      <c r="AG41" s="1021">
        <f>(VLOOKUP(YEAR($A41),'NY East Load Projections'!$A$4:$EO$14,((MONTH($A41)-1)*12)+VLOOKUP(AG$4,$DE$6:$DF$17,2)+1))*(VLOOKUP($A41,CURVES!$D$9:$T$261,6))*(INDEX(DailyScalarsTable,AG$5/100,MONTH($A41)))*$C41</f>
        <v>-7070.6567445883611</v>
      </c>
      <c r="AH41" s="1021">
        <f>(VLOOKUP(YEAR($A41),'NY East Load Projections'!$A$4:$EO$14,((MONTH($A41)-1)*12)+VLOOKUP(AH$4,$DE$6:$DF$17,2)+1))*(VLOOKUP($A41,CURVES!$D$9:$T$261,6))*(INDEX(DailyScalarsTable,AH$5/100,MONTH($A41)))*$C41</f>
        <v>-6703.2412300497726</v>
      </c>
      <c r="AI41" s="1021">
        <f>(VLOOKUP(YEAR($A41),'NY East Load Projections'!$A$4:$EO$14,((MONTH($A41)-1)*12)+VLOOKUP(AI$4,$DE$6:$DF$17,2)+1))*(VLOOKUP($A41,CURVES!$D$9:$T$261,6))*(INDEX(DailyScalarsTable,AI$5/100,MONTH($A41)))*$C41</f>
        <v>-6433.194630337146</v>
      </c>
      <c r="AJ41" s="1021">
        <f>(VLOOKUP(YEAR($A41),'NY East Load Projections'!$A$4:$EO$14,((MONTH($A41)-1)*12)+VLOOKUP(AJ$4,$DE$6:$DF$17,2)+1))*(VLOOKUP($A41,CURVES!$D$9:$T$261,6))*(INDEX(DailyScalarsTable,AJ$5/100,MONTH($A41)))*$C41</f>
        <v>-6436.998103572535</v>
      </c>
      <c r="AK41" s="1021">
        <f>(VLOOKUP(YEAR($A41),'NY East Load Projections'!$A$4:$EO$14,((MONTH($A41)-1)*12)+VLOOKUP(AK$4,$DE$6:$DF$17,2)+1))*(VLOOKUP($A41,CURVES!$D$9:$T$261,6))*(INDEX(DailyScalarsTable,AK$5/100,MONTH($A41)))*$C41</f>
        <v>-7049.1066210909012</v>
      </c>
      <c r="AL41" s="1021">
        <f>(VLOOKUP(YEAR($A41),'NY East Load Projections'!$A$4:$EO$14,((MONTH($A41)-1)*12)+VLOOKUP(AL$4,$DE$6:$DF$17,2)+1))*(VLOOKUP($A41,CURVES!$D$9:$T$261,6))*(INDEX(DailyScalarsTable,AL$5/100,MONTH($A41)))*$C41</f>
        <v>-8121.441759588899</v>
      </c>
      <c r="AM41" s="1021">
        <f>(VLOOKUP(YEAR($A41),'NY East Load Projections'!$A$4:$EO$14,((MONTH($A41)-1)*12)+VLOOKUP(AM$4,$DE$6:$DF$17,2)+1))*(VLOOKUP($A41,CURVES!$D$9:$T$261,6))*(INDEX(DailyScalarsTable,AM$5/100,MONTH($A41)))*$C41</f>
        <v>-11633.164374133468</v>
      </c>
      <c r="AN41" s="1021">
        <f>(VLOOKUP(YEAR($A41),'NY East Load Projections'!$A$4:$EO$14,((MONTH($A41)-1)*12)+VLOOKUP(AN$4,$DE$6:$DF$17,2)+1))*(VLOOKUP($A41,SatSunCurve,2))*(INDEX(DailyScalarsTable,AN$5/100,MONTH($A41)))*$C41</f>
        <v>-10206.341214682498</v>
      </c>
      <c r="AO41" s="1021">
        <f>(VLOOKUP(YEAR($A41),'NY East Load Projections'!$A$4:$EO$14,((MONTH($A41)-1)*12)+VLOOKUP(AO$4,$DE$6:$DF$17,2)+1))*(VLOOKUP($A41,SatSunCurve,2))*(INDEX(DailyScalarsTable,AO$5/100,MONTH($A41)))*$C41</f>
        <v>-11628.174410988355</v>
      </c>
      <c r="AP41" s="1021">
        <f>(VLOOKUP(YEAR($A41),'NY East Load Projections'!$A$4:$EO$14,((MONTH($A41)-1)*12)+VLOOKUP(AP$4,$DE$6:$DF$17,2)+1))*(VLOOKUP($A41,SatSunCurve,2))*(INDEX(DailyScalarsTable,AP$5/100,MONTH($A41)))*$C41</f>
        <v>-11569.224222790355</v>
      </c>
      <c r="AQ41" s="1021">
        <f>(VLOOKUP(YEAR($A41),'NY East Load Projections'!$A$4:$EO$14,((MONTH($A41)-1)*12)+VLOOKUP(AQ$4,$DE$6:$DF$17,2)+1))*(VLOOKUP($A41,SatSunCurve,2))*(INDEX(DailyScalarsTable,AQ$5/100,MONTH($A41)))*$C41</f>
        <v>-11317.436978283649</v>
      </c>
      <c r="AR41" s="1021">
        <f>(VLOOKUP(YEAR($A41),'NY East Load Projections'!$A$4:$EO$14,((MONTH($A41)-1)*12)+VLOOKUP(AR$4,$DE$6:$DF$17,2)+1))*(VLOOKUP($A41,SatSunCurve,2))*(INDEX(DailyScalarsTable,AR$5/100,MONTH($A41)))*$C41</f>
        <v>-9196.229358887851</v>
      </c>
      <c r="AS41" s="1021">
        <f>(VLOOKUP(YEAR($A41),'NY East Load Projections'!$A$4:$EO$14,((MONTH($A41)-1)*12)+VLOOKUP(AS$4,$DE$6:$DF$17,2)+1))*(VLOOKUP($A41,SatSunCurve,2))*(INDEX(DailyScalarsTable,AS$5/100,MONTH($A41)))*$C41</f>
        <v>-8657.2268306070673</v>
      </c>
      <c r="AT41" s="1021">
        <f>(VLOOKUP(YEAR($A41),'NY East Load Projections'!$A$4:$EO$14,((MONTH($A41)-1)*12)+VLOOKUP(AT$4,$DE$6:$DF$17,2)+1))*(VLOOKUP($A41,SatSunCurve,2))*(INDEX(DailyScalarsTable,AT$5/100,MONTH($A41)))*$C41</f>
        <v>-8284.1813951128552</v>
      </c>
      <c r="AU41" s="1021">
        <f>(VLOOKUP(YEAR($A41),'NY East Load Projections'!$A$4:$EO$14,((MONTH($A41)-1)*12)+VLOOKUP(AU$4,$DE$6:$DF$17,2)+1))*(VLOOKUP($A41,SatSunCurve,2))*(INDEX(DailyScalarsTable,AU$5/100,MONTH($A41)))*$C41</f>
        <v>-7867.5975003036683</v>
      </c>
      <c r="AV41" s="1021">
        <f>(VLOOKUP(YEAR($A41),'NY East Load Projections'!$A$4:$EO$14,((MONTH($A41)-1)*12)+VLOOKUP(AV$4,$DE$6:$DF$17,2)+1))*(VLOOKUP($A41,SatSunCurve,2))*(INDEX(DailyScalarsTable,AV$5/100,MONTH($A41)))*$C41</f>
        <v>-7731.0450597248846</v>
      </c>
      <c r="AW41" s="1021">
        <f>(VLOOKUP(YEAR($A41),'NY East Load Projections'!$A$4:$EO$14,((MONTH($A41)-1)*12)+VLOOKUP(AW$4,$DE$6:$DF$17,2)+1))*(VLOOKUP($A41,SatSunCurve,2))*(INDEX(DailyScalarsTable,AW$5/100,MONTH($A41)))*$C41</f>
        <v>-8399.2420805922811</v>
      </c>
      <c r="AX41" s="1021">
        <f>(VLOOKUP(YEAR($A41),'NY East Load Projections'!$A$4:$EO$14,((MONTH($A41)-1)*12)+VLOOKUP(AX$4,$DE$6:$DF$17,2)+1))*(VLOOKUP($A41,SatSunCurve,2))*(INDEX(DailyScalarsTable,AX$5/100,MONTH($A41)))*$C41</f>
        <v>-11837.424013465312</v>
      </c>
      <c r="AY41" s="1021">
        <f>(VLOOKUP(YEAR($A41),'NY East Load Projections'!$A$4:$EO$14,((MONTH($A41)-1)*12)+VLOOKUP(AY$4,$DE$6:$DF$17,2)+1))*(VLOOKUP($A41,SatSunCurve,2))*(INDEX(DailyScalarsTable,AY$5/100,MONTH($A41)))*$C41</f>
        <v>-11758.556955481281</v>
      </c>
      <c r="AZ41" s="1021">
        <f>(VLOOKUP(YEAR($A41),'NY East Load Projections'!$A$4:$EO$14,((MONTH($A41)-1)*12)+VLOOKUP(AZ$4,$DE$6:$DF$17,2)+1))*(VLOOKUP($A41,SatSunCurve,2))*(INDEX(DailyScalarsTable,AZ$5/100,MONTH($A41)))*$C41</f>
        <v>-11353.646915034415</v>
      </c>
      <c r="BA41" s="1021">
        <f>(VLOOKUP(YEAR($A41),'NY East Load Projections'!$A$4:$EO$14,((MONTH($A41)-1)*12)+VLOOKUP(BA$4,$DE$6:$DF$17,2)+1))*(VLOOKUP($A41,SatSunCurve,2))*(INDEX(DailyScalarsTable,BA$5/100,MONTH($A41)))*$C41</f>
        <v>-10818.129554931427</v>
      </c>
      <c r="BB41" s="1021">
        <f>(VLOOKUP(YEAR($A41),'NY East Load Projections'!$A$4:$EO$14,((MONTH($A41)-1)*12)+VLOOKUP(BB$4,$DE$6:$DF$17,2)+1))*(VLOOKUP($A41,SatSunCurve,2))*(INDEX(DailyScalarsTable,BB$5/100,MONTH($A41)))*$C41</f>
        <v>-7975.0819349632957</v>
      </c>
      <c r="BC41" s="1021">
        <f>(VLOOKUP(YEAR($A41),'NY East Load Projections'!$A$4:$EO$14,((MONTH($A41)-1)*12)+VLOOKUP(BC$4,$DE$6:$DF$17,2)+1))*(VLOOKUP($A41,SatSunCurve,2))*(INDEX(DailyScalarsTable,BC$5/100,MONTH($A41)))*$C41</f>
        <v>-6579.5596703602059</v>
      </c>
      <c r="BD41" s="1021">
        <f>(VLOOKUP(YEAR($A41),'NY East Load Projections'!$A$4:$EO$14,((MONTH($A41)-1)*12)+VLOOKUP(BD$4,$DE$6:$DF$17,2)+1))*(VLOOKUP($A41,CURVES!$D$9:$T$261,6))*(INDEX(DailyScalarsTable,BD$5/100,MONTH($A41)))*$C41</f>
        <v>-8152.1471707696865</v>
      </c>
      <c r="BE41" s="1021"/>
      <c r="BF41" s="1021">
        <f>(VLOOKUP(YEAR($A41),'NY East Load Projections'!$A$4:$EO$14,((MONTH($A41)-1)*12)+VLOOKUP(BF$4,$DE$6:$DF$17,2)+1))*(VLOOKUP($A41,CURVES!$D$9:$T$261,6))*(INDEX(DailyScalarsTable,BF$5/100,MONTH($A41)))*$D41</f>
        <v>-7070.6567445883611</v>
      </c>
      <c r="BG41" s="1021">
        <f>(VLOOKUP(YEAR($A41),'NY East Load Projections'!$A$4:$EO$14,((MONTH($A41)-1)*12)+VLOOKUP(BG$4,$DE$6:$DF$17,2)+1))*(VLOOKUP($A41,CURVES!$D$9:$T$261,6))*(INDEX(DailyScalarsTable,BG$5/100,MONTH($A41)))*$D41</f>
        <v>-6703.2412300497726</v>
      </c>
      <c r="BH41" s="1021">
        <f>(VLOOKUP(YEAR($A41),'NY East Load Projections'!$A$4:$EO$14,((MONTH($A41)-1)*12)+VLOOKUP(BH$4,$DE$6:$DF$17,2)+1))*(VLOOKUP($A41,CURVES!$D$9:$T$261,6))*(INDEX(DailyScalarsTable,BH$5/100,MONTH($A41)))*$D41</f>
        <v>-6433.194630337146</v>
      </c>
      <c r="BI41" s="1021">
        <f>(VLOOKUP(YEAR($A41),'NY East Load Projections'!$A$4:$EO$14,((MONTH($A41)-1)*12)+VLOOKUP(BI$4,$DE$6:$DF$17,2)+1))*(VLOOKUP($A41,CURVES!$D$9:$T$261,6))*(INDEX(DailyScalarsTable,BI$5/100,MONTH($A41)))*$D41</f>
        <v>-6436.998103572535</v>
      </c>
      <c r="BJ41" s="1021">
        <f>(VLOOKUP(YEAR($A41),'NY East Load Projections'!$A$4:$EO$14,((MONTH($A41)-1)*12)+VLOOKUP(BJ$4,$DE$6:$DF$17,2)+1))*(VLOOKUP($A41,CURVES!$D$9:$T$261,6))*(INDEX(DailyScalarsTable,BJ$5/100,MONTH($A41)))*$D41</f>
        <v>-7049.1066210909012</v>
      </c>
      <c r="BK41" s="1021">
        <f>(VLOOKUP(YEAR($A41),'NY East Load Projections'!$A$4:$EO$14,((MONTH($A41)-1)*12)+VLOOKUP(BK$4,$DE$6:$DF$17,2)+1))*(VLOOKUP($A41,CURVES!$D$9:$T$261,6))*(INDEX(DailyScalarsTable,BK$5/100,MONTH($A41)))*$D41</f>
        <v>-8121.441759588899</v>
      </c>
      <c r="BL41" s="1021">
        <f>(VLOOKUP(YEAR($A41),'NY East Load Projections'!$A$4:$EO$14,((MONTH($A41)-1)*12)+VLOOKUP(BL$4,$DE$6:$DF$17,2)+1))*(VLOOKUP($A41,CURVES!$D$9:$T$261,6))*(INDEX(DailyScalarsTable,BL$5/100,MONTH($A41)))*$D41</f>
        <v>-11633.164374133468</v>
      </c>
      <c r="BM41" s="1021">
        <f>(VLOOKUP(YEAR($A41),'NY East Load Projections'!$A$4:$EO$14,((MONTH($A41)-1)*12)+VLOOKUP(BM$4,$DE$6:$DF$17,2)+1))*(VLOOKUP($A41,SatSunCurve,6))*(INDEX(DailyScalarsTable,BM$5/100,MONTH($A41)))*$D41</f>
        <v>-7646.8120164114816</v>
      </c>
      <c r="BN41" s="1021">
        <f>(VLOOKUP(YEAR($A41),'NY East Load Projections'!$A$4:$EO$14,((MONTH($A41)-1)*12)+VLOOKUP(BN$4,$DE$6:$DF$17,2)+1))*(VLOOKUP($A41,SatSunCurve,6))*(INDEX(DailyScalarsTable,BN$5/100,MONTH($A41)))*$D41</f>
        <v>-8712.0802591783977</v>
      </c>
      <c r="BO41" s="1021">
        <f>(VLOOKUP(YEAR($A41),'NY East Load Projections'!$A$4:$EO$14,((MONTH($A41)-1)*12)+VLOOKUP(BO$4,$DE$6:$DF$17,2)+1))*(VLOOKUP($A41,SatSunCurve,6))*(INDEX(DailyScalarsTable,BO$5/100,MONTH($A41)))*$D41</f>
        <v>-8667.913500689694</v>
      </c>
      <c r="BP41" s="1021">
        <f>(VLOOKUP(YEAR($A41),'NY East Load Projections'!$A$4:$EO$14,((MONTH($A41)-1)*12)+VLOOKUP(BP$4,$DE$6:$DF$17,2)+1))*(VLOOKUP($A41,SatSunCurve,6))*(INDEX(DailyScalarsTable,BP$5/100,MONTH($A41)))*$D41</f>
        <v>-8479.2690407040482</v>
      </c>
      <c r="BQ41" s="1021">
        <f>(VLOOKUP(YEAR($A41),'NY East Load Projections'!$A$4:$EO$14,((MONTH($A41)-1)*12)+VLOOKUP(BQ$4,$DE$6:$DF$17,2)+1))*(VLOOKUP($A41,SatSunCurve,6))*(INDEX(DailyScalarsTable,BQ$5/100,MONTH($A41)))*$D41</f>
        <v>-6890.0143242376671</v>
      </c>
      <c r="BR41" s="1021">
        <f>(VLOOKUP(YEAR($A41),'NY East Load Projections'!$A$4:$EO$14,((MONTH($A41)-1)*12)+VLOOKUP(BR$4,$DE$6:$DF$17,2)+1))*(VLOOKUP($A41,SatSunCurve,6))*(INDEX(DailyScalarsTable,BR$5/100,MONTH($A41)))*$D41</f>
        <v>-6486.1819494974998</v>
      </c>
      <c r="BS41" s="1021">
        <f>(VLOOKUP(YEAR($A41),'NY East Load Projections'!$A$4:$EO$14,((MONTH($A41)-1)*12)+VLOOKUP(BS$4,$DE$6:$DF$17,2)+1))*(VLOOKUP($A41,SatSunCurve,6))*(INDEX(DailyScalarsTable,BS$5/100,MONTH($A41)))*$D41</f>
        <v>-6206.6882250763601</v>
      </c>
      <c r="BT41" s="1021">
        <f>(VLOOKUP(YEAR($A41),'NY East Load Projections'!$A$4:$EO$14,((MONTH($A41)-1)*12)+VLOOKUP(BT$4,$DE$6:$DF$17,2)+1))*(VLOOKUP($A41,SatSunCurve,6))*(INDEX(DailyScalarsTable,BT$5/100,MONTH($A41)))*$D41</f>
        <v>-5894.574543428349</v>
      </c>
      <c r="BU41" s="1021">
        <f>(VLOOKUP(YEAR($A41),'NY East Load Projections'!$A$4:$EO$14,((MONTH($A41)-1)*12)+VLOOKUP(BU$4,$DE$6:$DF$17,2)+1))*(VLOOKUP($A41,SatSunCurve,6))*(INDEX(DailyScalarsTable,BU$5/100,MONTH($A41)))*$D41</f>
        <v>-5792.2664957622546</v>
      </c>
      <c r="BV41" s="1021">
        <f>(VLOOKUP(YEAR($A41),'NY East Load Projections'!$A$4:$EO$14,((MONTH($A41)-1)*12)+VLOOKUP(BV$4,$DE$6:$DF$17,2)+1))*(VLOOKUP($A41,SatSunCurve,6))*(INDEX(DailyScalarsTable,BV$5/100,MONTH($A41)))*$D41</f>
        <v>-6292.8941840810321</v>
      </c>
      <c r="BW41" s="1021">
        <f>(VLOOKUP(YEAR($A41),'NY East Load Projections'!$A$4:$EO$14,((MONTH($A41)-1)*12)+VLOOKUP(BW$4,$DE$6:$DF$17,2)+1))*(VLOOKUP($A41,SatSunCurve,6))*(INDEX(DailyScalarsTable,BW$5/100,MONTH($A41)))*$D41</f>
        <v>-8868.8545959356561</v>
      </c>
      <c r="BX41" s="1021">
        <f>(VLOOKUP(YEAR($A41),'NY East Load Projections'!$A$4:$EO$14,((MONTH($A41)-1)*12)+VLOOKUP(BX$4,$DE$6:$DF$17,2)+1))*(VLOOKUP($A41,SatSunCurve,6))*(INDEX(DailyScalarsTable,BX$5/100,MONTH($A41)))*$D41</f>
        <v>-8809.7656869911134</v>
      </c>
      <c r="BY41" s="1021">
        <f>(VLOOKUP(YEAR($A41),'NY East Load Projections'!$A$4:$EO$14,((MONTH($A41)-1)*12)+VLOOKUP(BY$4,$DE$6:$DF$17,2)+1))*(VLOOKUP($A41,SatSunCurve,6))*(INDEX(DailyScalarsTable,BY$5/100,MONTH($A41)))*$D41</f>
        <v>-8506.3983100117348</v>
      </c>
      <c r="BZ41" s="1021">
        <f>(VLOOKUP(YEAR($A41),'NY East Load Projections'!$A$4:$EO$14,((MONTH($A41)-1)*12)+VLOOKUP(BZ$4,$DE$6:$DF$17,2)+1))*(VLOOKUP($A41,SatSunCurve,6))*(INDEX(DailyScalarsTable,BZ$5/100,MONTH($A41)))*$D41</f>
        <v>-8105.1770987963428</v>
      </c>
      <c r="CA41" s="1021">
        <f>(VLOOKUP(YEAR($A41),'NY East Load Projections'!$A$4:$EO$14,((MONTH($A41)-1)*12)+VLOOKUP(CA$4,$DE$6:$DF$17,2)+1))*(VLOOKUP($A41,SatSunCurve,6))*(INDEX(DailyScalarsTable,CA$5/100,MONTH($A41)))*$D41</f>
        <v>-5975.1042111363085</v>
      </c>
      <c r="CB41" s="1021">
        <f>(VLOOKUP(YEAR($A41),'NY East Load Projections'!$A$4:$EO$14,((MONTH($A41)-1)*12)+VLOOKUP(CB$4,$DE$6:$DF$17,2)+1))*(VLOOKUP($A41,SatSunCurve,6))*(INDEX(DailyScalarsTable,CB$5/100,MONTH($A41)))*$D41</f>
        <v>-4929.5486885769315</v>
      </c>
      <c r="CC41" s="1021">
        <f>(VLOOKUP(YEAR($A41),'NY East Load Projections'!$A$4:$EO$14,((MONTH($A41)-1)*12)+VLOOKUP(CC$4,$DE$6:$DF$17,2)+1))*(VLOOKUP($A41,CURVES!$D$9:$T$261,6))*(INDEX(DailyScalarsTable,CC$5/100,MONTH($A41)))*$D41</f>
        <v>-8152.1471707696865</v>
      </c>
      <c r="CE41" s="1021">
        <f>(VLOOKUP(YEAR($A41),'NY East Load Projections'!$A$4:$EO$14,((MONTH($A41)-1)*12)+VLOOKUP(CE$4,$DE$6:$DF$17,2)+1))*(VLOOKUP($A41,CURVES!$D$9:$T$261,6))*(INDEX(DailyScalarsTable,CE$5/100,MONTH($A41)))*$E41</f>
        <v>-1767.6641861470903</v>
      </c>
      <c r="CF41" s="1021">
        <f>(VLOOKUP(YEAR($A41),'NY East Load Projections'!$A$4:$EO$14,((MONTH($A41)-1)*12)+VLOOKUP(CF$4,$DE$6:$DF$17,2)+1))*(VLOOKUP($A41,CURVES!$D$9:$T$261,6))*(INDEX(DailyScalarsTable,CF$5/100,MONTH($A41)))*$E41</f>
        <v>-1675.8103075124432</v>
      </c>
      <c r="CG41" s="1021">
        <f>(VLOOKUP(YEAR($A41),'NY East Load Projections'!$A$4:$EO$14,((MONTH($A41)-1)*12)+VLOOKUP(CG$4,$DE$6:$DF$17,2)+1))*(VLOOKUP($A41,CURVES!$D$9:$T$261,6))*(INDEX(DailyScalarsTable,CG$5/100,MONTH($A41)))*$E41</f>
        <v>-1608.2986575842865</v>
      </c>
      <c r="CH41" s="1021">
        <f>(VLOOKUP(YEAR($A41),'NY East Load Projections'!$A$4:$EO$14,((MONTH($A41)-1)*12)+VLOOKUP(CH$4,$DE$6:$DF$17,2)+1))*(VLOOKUP($A41,CURVES!$D$9:$T$261,6))*(INDEX(DailyScalarsTable,CH$5/100,MONTH($A41)))*$E41</f>
        <v>-1609.2495258931338</v>
      </c>
      <c r="CI41" s="1021">
        <f>(VLOOKUP(YEAR($A41),'NY East Load Projections'!$A$4:$EO$14,((MONTH($A41)-1)*12)+VLOOKUP(CI$4,$DE$6:$DF$17,2)+1))*(VLOOKUP($A41,CURVES!$D$9:$T$261,6))*(INDEX(DailyScalarsTable,CI$5/100,MONTH($A41)))*$E41</f>
        <v>-1762.2766552727253</v>
      </c>
      <c r="CJ41" s="1021">
        <f>(VLOOKUP(YEAR($A41),'NY East Load Projections'!$A$4:$EO$14,((MONTH($A41)-1)*12)+VLOOKUP(CJ$4,$DE$6:$DF$17,2)+1))*(VLOOKUP($A41,CURVES!$D$9:$T$261,6))*(INDEX(DailyScalarsTable,CJ$5/100,MONTH($A41)))*$E41</f>
        <v>-2030.3604398972248</v>
      </c>
      <c r="CK41" s="1021">
        <f>(VLOOKUP(YEAR($A41),'NY East Load Projections'!$A$4:$EO$14,((MONTH($A41)-1)*12)+VLOOKUP(CK$4,$DE$6:$DF$17,2)+1))*(VLOOKUP($A41,CURVES!$D$9:$T$261,6))*(INDEX(DailyScalarsTable,CK$5/100,MONTH($A41)))*$E41</f>
        <v>-2908.2910935333671</v>
      </c>
      <c r="CL41" s="1021">
        <f>(VLOOKUP(YEAR($A41),'NY East Load Projections'!$A$4:$EO$14,((MONTH($A41)-1)*12)+VLOOKUP(CL$4,$DE$6:$DF$17,2)+1))*(VLOOKUP($A41,SatSunCurve,6))*(INDEX(DailyScalarsTable,CL$5/100,MONTH($A41)))*$E41</f>
        <v>-1911.7030041028704</v>
      </c>
      <c r="CM41" s="1021">
        <f>(VLOOKUP(YEAR($A41),'NY East Load Projections'!$A$4:$EO$14,((MONTH($A41)-1)*12)+VLOOKUP(CM$4,$DE$6:$DF$17,2)+1))*(VLOOKUP($A41,SatSunCurve,6))*(INDEX(DailyScalarsTable,CM$5/100,MONTH($A41)))*$E41</f>
        <v>-2178.0200647945994</v>
      </c>
      <c r="CN41" s="1021">
        <f>(VLOOKUP(YEAR($A41),'NY East Load Projections'!$A$4:$EO$14,((MONTH($A41)-1)*12)+VLOOKUP(CN$4,$DE$6:$DF$17,2)+1))*(VLOOKUP($A41,SatSunCurve,6))*(INDEX(DailyScalarsTable,CN$5/100,MONTH($A41)))*$E41</f>
        <v>-2166.9783751724235</v>
      </c>
      <c r="CO41" s="1021">
        <f>(VLOOKUP(YEAR($A41),'NY East Load Projections'!$A$4:$EO$14,((MONTH($A41)-1)*12)+VLOOKUP(CO$4,$DE$6:$DF$17,2)+1))*(VLOOKUP($A41,SatSunCurve,6))*(INDEX(DailyScalarsTable,CO$5/100,MONTH($A41)))*$E41</f>
        <v>-2119.817260176012</v>
      </c>
      <c r="CP41" s="1021">
        <f>(VLOOKUP(YEAR($A41),'NY East Load Projections'!$A$4:$EO$14,((MONTH($A41)-1)*12)+VLOOKUP(CP$4,$DE$6:$DF$17,2)+1))*(VLOOKUP($A41,SatSunCurve,6))*(INDEX(DailyScalarsTable,CP$5/100,MONTH($A41)))*$E41</f>
        <v>-1722.5035810594168</v>
      </c>
      <c r="CQ41" s="1021">
        <f>(VLOOKUP(YEAR($A41),'NY East Load Projections'!$A$4:$EO$14,((MONTH($A41)-1)*12)+VLOOKUP(CQ$4,$DE$6:$DF$17,2)+1))*(VLOOKUP($A41,SatSunCurve,6))*(INDEX(DailyScalarsTable,CQ$5/100,MONTH($A41)))*$E41</f>
        <v>-1621.5454873743749</v>
      </c>
      <c r="CR41" s="1021">
        <f>(VLOOKUP(YEAR($A41),'NY East Load Projections'!$A$4:$EO$14,((MONTH($A41)-1)*12)+VLOOKUP(CR$4,$DE$6:$DF$17,2)+1))*(VLOOKUP($A41,SatSunCurve,6))*(INDEX(DailyScalarsTable,CR$5/100,MONTH($A41)))*$E41</f>
        <v>-1551.67205626909</v>
      </c>
      <c r="CS41" s="1021">
        <f>(VLOOKUP(YEAR($A41),'NY East Load Projections'!$A$4:$EO$14,((MONTH($A41)-1)*12)+VLOOKUP(CS$4,$DE$6:$DF$17,2)+1))*(VLOOKUP($A41,SatSunCurve,6))*(INDEX(DailyScalarsTable,CS$5/100,MONTH($A41)))*$E41</f>
        <v>-1473.6436358570872</v>
      </c>
      <c r="CT41" s="1021">
        <f>(VLOOKUP(YEAR($A41),'NY East Load Projections'!$A$4:$EO$14,((MONTH($A41)-1)*12)+VLOOKUP(CT$4,$DE$6:$DF$17,2)+1))*(VLOOKUP($A41,SatSunCurve,6))*(INDEX(DailyScalarsTable,CT$5/100,MONTH($A41)))*$E41</f>
        <v>-1448.0666239405637</v>
      </c>
      <c r="CU41" s="1021">
        <f>(VLOOKUP(YEAR($A41),'NY East Load Projections'!$A$4:$EO$14,((MONTH($A41)-1)*12)+VLOOKUP(CU$4,$DE$6:$DF$17,2)+1))*(VLOOKUP($A41,SatSunCurve,6))*(INDEX(DailyScalarsTable,CU$5/100,MONTH($A41)))*$E41</f>
        <v>-1573.223546020258</v>
      </c>
      <c r="CV41" s="1021">
        <f>(VLOOKUP(YEAR($A41),'NY East Load Projections'!$A$4:$EO$14,((MONTH($A41)-1)*12)+VLOOKUP(CV$4,$DE$6:$DF$17,2)+1))*(VLOOKUP($A41,SatSunCurve,6))*(INDEX(DailyScalarsTable,CV$5/100,MONTH($A41)))*$E41</f>
        <v>-2217.213648983914</v>
      </c>
      <c r="CW41" s="1021">
        <f>(VLOOKUP(YEAR($A41),'NY East Load Projections'!$A$4:$EO$14,((MONTH($A41)-1)*12)+VLOOKUP(CW$4,$DE$6:$DF$17,2)+1))*(VLOOKUP($A41,SatSunCurve,6))*(INDEX(DailyScalarsTable,CW$5/100,MONTH($A41)))*$E41</f>
        <v>-2202.4414217477783</v>
      </c>
      <c r="CX41" s="1021">
        <f>(VLOOKUP(YEAR($A41),'NY East Load Projections'!$A$4:$EO$14,((MONTH($A41)-1)*12)+VLOOKUP(CX$4,$DE$6:$DF$17,2)+1))*(VLOOKUP($A41,SatSunCurve,6))*(INDEX(DailyScalarsTable,CX$5/100,MONTH($A41)))*$E41</f>
        <v>-2126.5995775029337</v>
      </c>
      <c r="CY41" s="1021">
        <f>(VLOOKUP(YEAR($A41),'NY East Load Projections'!$A$4:$EO$14,((MONTH($A41)-1)*12)+VLOOKUP(CY$4,$DE$6:$DF$17,2)+1))*(VLOOKUP($A41,SatSunCurve,6))*(INDEX(DailyScalarsTable,CY$5/100,MONTH($A41)))*$E41</f>
        <v>-2026.2942746990857</v>
      </c>
      <c r="CZ41" s="1021">
        <f>(VLOOKUP(YEAR($A41),'NY East Load Projections'!$A$4:$EO$14,((MONTH($A41)-1)*12)+VLOOKUP(CZ$4,$DE$6:$DF$17,2)+1))*(VLOOKUP($A41,SatSunCurve,6))*(INDEX(DailyScalarsTable,CZ$5/100,MONTH($A41)))*$E41</f>
        <v>-1493.7760527840771</v>
      </c>
      <c r="DA41" s="1021">
        <f>(VLOOKUP(YEAR($A41),'NY East Load Projections'!$A$4:$EO$14,((MONTH($A41)-1)*12)+VLOOKUP(DA$4,$DE$6:$DF$17,2)+1))*(VLOOKUP($A41,SatSunCurve,6))*(INDEX(DailyScalarsTable,DA$5/100,MONTH($A41)))*$E41</f>
        <v>-1232.3871721442329</v>
      </c>
      <c r="DB41" s="1021">
        <f>(VLOOKUP(YEAR($A41),'NY East Load Projections'!$A$4:$EO$14,((MONTH($A41)-1)*12)+VLOOKUP(DB$4,$DE$6:$DF$17,2)+1))*(VLOOKUP($A41,CURVES!$D$9:$T$261,6))*(INDEX(DailyScalarsTable,DB$5/100,MONTH($A41)))*$E41</f>
        <v>-2038.0367926924216</v>
      </c>
      <c r="DH41" s="1021">
        <f t="shared" si="0"/>
        <v>-1845981.6876881816</v>
      </c>
      <c r="DI41">
        <f ca="1">CALC!J61</f>
        <v>0.7583632705034653</v>
      </c>
      <c r="DJ41" s="1029">
        <f t="shared" ca="1" si="1"/>
        <v>-1399924.7099647159</v>
      </c>
    </row>
    <row r="42" spans="1:114" x14ac:dyDescent="0.25">
      <c r="A42" s="244">
        <v>37987</v>
      </c>
      <c r="B42" s="13">
        <v>21</v>
      </c>
      <c r="C42" s="210">
        <v>5</v>
      </c>
      <c r="D42" s="210">
        <v>4</v>
      </c>
      <c r="E42" s="210">
        <v>1</v>
      </c>
      <c r="F42" s="13">
        <v>31</v>
      </c>
      <c r="H42" s="1021">
        <f>(VLOOKUP(YEAR($A42),'NY East Load Projections'!$A$4:$EO$14,((MONTH($A42)-1)*12)+VLOOKUP(H$4,$DE$6:$DF$17,2)+1))*(VLOOKUP($A42,CURVES!$D$9:$K$261,6))*(INDEX(DailyScalarsTable,H$5/100,MONTH($A42)))*$B42</f>
        <v>-32994.203785651152</v>
      </c>
      <c r="I42" s="1021">
        <f>(VLOOKUP(YEAR($A42),'NY East Load Projections'!$A$4:$EO$14,((MONTH($A42)-1)*12)+VLOOKUP(I$4,$DE$6:$DF$17,2)+1))*(VLOOKUP($A42,CURVES!$D$9:$K$261,6))*(INDEX(DailyScalarsTable,I$5/100,MONTH($A42)))*$B42</f>
        <v>-32351.38477349393</v>
      </c>
      <c r="J42" s="1021">
        <f>(VLOOKUP(YEAR($A42),'NY East Load Projections'!$A$4:$EO$14,((MONTH($A42)-1)*12)+VLOOKUP(J$4,$DE$6:$DF$17,2)+1))*(VLOOKUP($A42,CURVES!$D$9:$K$261,6))*(INDEX(DailyScalarsTable,J$5/100,MONTH($A42)))*$B42</f>
        <v>-29645.209960940916</v>
      </c>
      <c r="K42" s="1021">
        <f>(VLOOKUP(YEAR($A42),'NY East Load Projections'!$A$4:$EO$14,((MONTH($A42)-1)*12)+VLOOKUP(K$4,$DE$6:$DF$17,2)+1))*(VLOOKUP($A42,CURVES!$D$9:$K$261,6))*(INDEX(DailyScalarsTable,K$5/100,MONTH($A42)))*$B42</f>
        <v>-29627.286007446768</v>
      </c>
      <c r="L42" s="1021">
        <f>(VLOOKUP(YEAR($A42),'NY East Load Projections'!$A$4:$EO$14,((MONTH($A42)-1)*12)+VLOOKUP(L$4,$DE$6:$DF$17,2)+1))*(VLOOKUP($A42,CURVES!$D$9:$K$261,6))*(INDEX(DailyScalarsTable,L$5/100,MONTH($A42)))*$B42</f>
        <v>-34076.141242026395</v>
      </c>
      <c r="M42" s="1021">
        <f>(VLOOKUP(YEAR($A42),'NY East Load Projections'!$A$4:$EO$14,((MONTH($A42)-1)*12)+VLOOKUP(M$4,$DE$6:$DF$17,2)+1))*(VLOOKUP($A42,CURVES!$D$9:$K$261,6))*(INDEX(DailyScalarsTable,M$5/100,MONTH($A42)))*$B42</f>
        <v>-36366.669814585519</v>
      </c>
      <c r="N42" s="1021">
        <f>(VLOOKUP(YEAR($A42),'NY East Load Projections'!$A$4:$EO$14,((MONTH($A42)-1)*12)+VLOOKUP(N$4,$DE$6:$DF$17,2)+1))*(VLOOKUP($A42,CURVES!$D$9:$K$261,6))*(INDEX(DailyScalarsTable,N$5/100,MONTH($A42)))*$B42</f>
        <v>-69641.729886244138</v>
      </c>
      <c r="O42" s="1021">
        <f>(VLOOKUP(YEAR($A42),'NY East Load Projections'!$A$4:$EO$14,((MONTH($A42)-1)*12)+VLOOKUP(O$4,$DE$6:$DF$17,2)+1))*(VLOOKUP($A42,CURVES!$D$9:$K$261,2))*(INDEX(DailyScalarsTable,O$5/100,MONTH($A42)))*$B42</f>
        <v>-81075.475665231526</v>
      </c>
      <c r="P42" s="1021">
        <f>(VLOOKUP(YEAR($A42),'NY East Load Projections'!$A$4:$EO$14,((MONTH($A42)-1)*12)+VLOOKUP(P$4,$DE$6:$DF$17,2)+1))*(VLOOKUP($A42,CURVES!$D$9:$K$261,2))*(INDEX(DailyScalarsTable,P$5/100,MONTH($A42)))*$B42</f>
        <v>-92796.066721217547</v>
      </c>
      <c r="Q42" s="1021">
        <f>(VLOOKUP(YEAR($A42),'NY East Load Projections'!$A$4:$EO$14,((MONTH($A42)-1)*12)+VLOOKUP(Q$4,$DE$6:$DF$17,2)+1))*(VLOOKUP($A42,CURVES!$D$9:$K$261,2))*(INDEX(DailyScalarsTable,Q$5/100,MONTH($A42)))*$B42</f>
        <v>-92513.632767634146</v>
      </c>
      <c r="R42" s="1021">
        <f>(VLOOKUP(YEAR($A42),'NY East Load Projections'!$A$4:$EO$14,((MONTH($A42)-1)*12)+VLOOKUP(R$4,$DE$6:$DF$17,2)+1))*(VLOOKUP($A42,CURVES!$D$9:$K$261,2))*(INDEX(DailyScalarsTable,R$5/100,MONTH($A42)))*$B42</f>
        <v>-90899.148534455991</v>
      </c>
      <c r="S42" s="1021">
        <f>(VLOOKUP(YEAR($A42),'NY East Load Projections'!$A$4:$EO$14,((MONTH($A42)-1)*12)+VLOOKUP(S$4,$DE$6:$DF$17,2)+1))*(VLOOKUP($A42,CURVES!$D$9:$K$261,2))*(INDEX(DailyScalarsTable,S$5/100,MONTH($A42)))*$B42</f>
        <v>-68092.062517840255</v>
      </c>
      <c r="T42" s="1021">
        <f>(VLOOKUP(YEAR($A42),'NY East Load Projections'!$A$4:$EO$14,((MONTH($A42)-1)*12)+VLOOKUP(T$4,$DE$6:$DF$17,2)+1))*(VLOOKUP($A42,CURVES!$D$9:$K$261,2))*(INDEX(DailyScalarsTable,T$5/100,MONTH($A42)))*$B42</f>
        <v>-67195.703750606437</v>
      </c>
      <c r="U42" s="1021">
        <f>(VLOOKUP(YEAR($A42),'NY East Load Projections'!$A$4:$EO$14,((MONTH($A42)-1)*12)+VLOOKUP(U$4,$DE$6:$DF$17,2)+1))*(VLOOKUP($A42,CURVES!$D$9:$K$261,2))*(INDEX(DailyScalarsTable,U$5/100,MONTH($A42)))*$B42</f>
        <v>-65026.071762402484</v>
      </c>
      <c r="V42" s="1021">
        <f>(VLOOKUP(YEAR($A42),'NY East Load Projections'!$A$4:$EO$14,((MONTH($A42)-1)*12)+VLOOKUP(V$4,$DE$6:$DF$17,2)+1))*(VLOOKUP($A42,CURVES!$D$9:$K$261,2))*(INDEX(DailyScalarsTable,V$5/100,MONTH($A42)))*$B42</f>
        <v>-61716.596881845013</v>
      </c>
      <c r="W42" s="1021">
        <f>(VLOOKUP(YEAR($A42),'NY East Load Projections'!$A$4:$EO$14,((MONTH($A42)-1)*12)+VLOOKUP(W$4,$DE$6:$DF$17,2)+1))*(VLOOKUP($A42,CURVES!$D$9:$K$261,2))*(INDEX(DailyScalarsTable,W$5/100,MONTH($A42)))*$B42</f>
        <v>-60474.561178452888</v>
      </c>
      <c r="X42" s="1021">
        <f>(VLOOKUP(YEAR($A42),'NY East Load Projections'!$A$4:$EO$14,((MONTH($A42)-1)*12)+VLOOKUP(X$4,$DE$6:$DF$17,2)+1))*(VLOOKUP($A42,CURVES!$D$9:$K$261,2))*(INDEX(DailyScalarsTable,X$5/100,MONTH($A42)))*$B42</f>
        <v>-62071.052859285854</v>
      </c>
      <c r="Y42" s="1021">
        <f>(VLOOKUP(YEAR($A42),'NY East Load Projections'!$A$4:$EO$14,((MONTH($A42)-1)*12)+VLOOKUP(Y$4,$DE$6:$DF$17,2)+1))*(VLOOKUP($A42,CURVES!$D$9:$K$261,2))*(INDEX(DailyScalarsTable,Y$5/100,MONTH($A42)))*$B42</f>
        <v>-86369.173415987461</v>
      </c>
      <c r="Z42" s="1021">
        <f>(VLOOKUP(YEAR($A42),'NY East Load Projections'!$A$4:$EO$14,((MONTH($A42)-1)*12)+VLOOKUP(Z$4,$DE$6:$DF$17,2)+1))*(VLOOKUP($A42,CURVES!$D$9:$K$261,2))*(INDEX(DailyScalarsTable,Z$5/100,MONTH($A42)))*$B42</f>
        <v>-94769.931872356479</v>
      </c>
      <c r="AA42" s="1021">
        <f>(VLOOKUP(YEAR($A42),'NY East Load Projections'!$A$4:$EO$14,((MONTH($A42)-1)*12)+VLOOKUP(AA$4,$DE$6:$DF$17,2)+1))*(VLOOKUP($A42,CURVES!$D$9:$K$261,2))*(INDEX(DailyScalarsTable,AA$5/100,MONTH($A42)))*$B42</f>
        <v>-90711.26948349661</v>
      </c>
      <c r="AB42" s="1021">
        <f>(VLOOKUP(YEAR($A42),'NY East Load Projections'!$A$4:$EO$14,((MONTH($A42)-1)*12)+VLOOKUP(AB$4,$DE$6:$DF$17,2)+1))*(VLOOKUP($A42,CURVES!$D$9:$K$261,2))*(INDEX(DailyScalarsTable,AB$5/100,MONTH($A42)))*$B42</f>
        <v>-76651.595241092582</v>
      </c>
      <c r="AC42" s="1021">
        <f>(VLOOKUP(YEAR($A42),'NY East Load Projections'!$A$4:$EO$14,((MONTH($A42)-1)*12)+VLOOKUP(AC$4,$DE$6:$DF$17,2)+1))*(VLOOKUP($A42,CURVES!$D$9:$K$261,2))*(INDEX(DailyScalarsTable,AC$5/100,MONTH($A42)))*$B42</f>
        <v>-54516.389860433963</v>
      </c>
      <c r="AD42" s="1021">
        <f>(VLOOKUP(YEAR($A42),'NY East Load Projections'!$A$4:$EO$14,((MONTH($A42)-1)*12)+VLOOKUP(AD$4,$DE$6:$DF$17,2)+1))*(VLOOKUP($A42,CURVES!$D$9:$K$261,2))*(INDEX(DailyScalarsTable,AD$5/100,MONTH($A42)))*$B42</f>
        <v>-44628.450616119102</v>
      </c>
      <c r="AE42" s="1021">
        <f>(VLOOKUP(YEAR($A42),'NY East Load Projections'!$A$4:$EO$14,((MONTH($A42)-1)*12)+VLOOKUP(AE$4,$DE$6:$DF$17,2)+1))*(VLOOKUP($A42,CURVES!$D$9:$K$261,6))*(INDEX(DailyScalarsTable,AE$5/100,MONTH($A42)))*$B42</f>
        <v>-39455.787599635907</v>
      </c>
      <c r="AF42" s="1021"/>
      <c r="AG42" s="1021">
        <f>(VLOOKUP(YEAR($A42),'NY East Load Projections'!$A$4:$EO$14,((MONTH($A42)-1)*12)+VLOOKUP(AG$4,$DE$6:$DF$17,2)+1))*(VLOOKUP($A42,CURVES!$D$9:$T$261,6))*(INDEX(DailyScalarsTable,AG$5/100,MONTH($A42)))*$C42</f>
        <v>-8249.7231055472512</v>
      </c>
      <c r="AH42" s="1021">
        <f>(VLOOKUP(YEAR($A42),'NY East Load Projections'!$A$4:$EO$14,((MONTH($A42)-1)*12)+VLOOKUP(AH$4,$DE$6:$DF$17,2)+1))*(VLOOKUP($A42,CURVES!$D$9:$T$261,6))*(INDEX(DailyScalarsTable,AH$5/100,MONTH($A42)))*$C42</f>
        <v>-8088.9955155823509</v>
      </c>
      <c r="AI42" s="1021">
        <f>(VLOOKUP(YEAR($A42),'NY East Load Projections'!$A$4:$EO$14,((MONTH($A42)-1)*12)+VLOOKUP(AI$4,$DE$6:$DF$17,2)+1))*(VLOOKUP($A42,CURVES!$D$9:$T$261,6))*(INDEX(DailyScalarsTable,AI$5/100,MONTH($A42)))*$C42</f>
        <v>-7412.3556722994053</v>
      </c>
      <c r="AJ42" s="1021">
        <f>(VLOOKUP(YEAR($A42),'NY East Load Projections'!$A$4:$EO$14,((MONTH($A42)-1)*12)+VLOOKUP(AJ$4,$DE$6:$DF$17,2)+1))*(VLOOKUP($A42,CURVES!$D$9:$T$261,6))*(INDEX(DailyScalarsTable,AJ$5/100,MONTH($A42)))*$C42</f>
        <v>-7407.8740471556657</v>
      </c>
      <c r="AK42" s="1021">
        <f>(VLOOKUP(YEAR($A42),'NY East Load Projections'!$A$4:$EO$14,((MONTH($A42)-1)*12)+VLOOKUP(AK$4,$DE$6:$DF$17,2)+1))*(VLOOKUP($A42,CURVES!$D$9:$T$261,6))*(INDEX(DailyScalarsTable,AK$5/100,MONTH($A42)))*$C42</f>
        <v>-7787.271495511055</v>
      </c>
      <c r="AL42" s="1021">
        <f>(VLOOKUP(YEAR($A42),'NY East Load Projections'!$A$4:$EO$14,((MONTH($A42)-1)*12)+VLOOKUP(AL$4,$DE$6:$DF$17,2)+1))*(VLOOKUP($A42,CURVES!$D$9:$T$261,6))*(INDEX(DailyScalarsTable,AL$5/100,MONTH($A42)))*$C42</f>
        <v>-8310.7159705194172</v>
      </c>
      <c r="AM42" s="1021">
        <f>(VLOOKUP(YEAR($A42),'NY East Load Projections'!$A$4:$EO$14,((MONTH($A42)-1)*12)+VLOOKUP(AM$4,$DE$6:$DF$17,2)+1))*(VLOOKUP($A42,CURVES!$D$9:$T$261,6))*(INDEX(DailyScalarsTable,AM$5/100,MONTH($A42)))*$C42</f>
        <v>-15914.919890412435</v>
      </c>
      <c r="AN42" s="1021">
        <f>(VLOOKUP(YEAR($A42),'NY East Load Projections'!$A$4:$EO$14,((MONTH($A42)-1)*12)+VLOOKUP(AN$4,$DE$6:$DF$17,2)+1))*(VLOOKUP($A42,SatSunCurve,2))*(INDEX(DailyScalarsTable,AN$5/100,MONTH($A42)))*$C42</f>
        <v>-14601.34973704585</v>
      </c>
      <c r="AO42" s="1021">
        <f>(VLOOKUP(YEAR($A42),'NY East Load Projections'!$A$4:$EO$14,((MONTH($A42)-1)*12)+VLOOKUP(AO$4,$DE$6:$DF$17,2)+1))*(VLOOKUP($A42,SatSunCurve,2))*(INDEX(DailyScalarsTable,AO$5/100,MONTH($A42)))*$C42</f>
        <v>-16462.009209427866</v>
      </c>
      <c r="AP42" s="1021">
        <f>(VLOOKUP(YEAR($A42),'NY East Load Projections'!$A$4:$EO$14,((MONTH($A42)-1)*12)+VLOOKUP(AP$4,$DE$6:$DF$17,2)+1))*(VLOOKUP($A42,SatSunCurve,2))*(INDEX(DailyScalarsTable,AP$5/100,MONTH($A42)))*$C42</f>
        <v>-16411.905465710872</v>
      </c>
      <c r="AQ42" s="1021">
        <f>(VLOOKUP(YEAR($A42),'NY East Load Projections'!$A$4:$EO$14,((MONTH($A42)-1)*12)+VLOOKUP(AQ$4,$DE$6:$DF$17,2)+1))*(VLOOKUP($A42,SatSunCurve,2))*(INDEX(DailyScalarsTable,AQ$5/100,MONTH($A42)))*$C42</f>
        <v>-16125.496189389922</v>
      </c>
      <c r="AR42" s="1021">
        <f>(VLOOKUP(YEAR($A42),'NY East Load Projections'!$A$4:$EO$14,((MONTH($A42)-1)*12)+VLOOKUP(AR$4,$DE$6:$DF$17,2)+1))*(VLOOKUP($A42,SatSunCurve,2))*(INDEX(DailyScalarsTable,AR$5/100,MONTH($A42)))*$C42</f>
        <v>-12079.52233175123</v>
      </c>
      <c r="AS42" s="1021">
        <f>(VLOOKUP(YEAR($A42),'NY East Load Projections'!$A$4:$EO$14,((MONTH($A42)-1)*12)+VLOOKUP(AS$4,$DE$6:$DF$17,2)+1))*(VLOOKUP($A42,SatSunCurve,2))*(INDEX(DailyScalarsTable,AS$5/100,MONTH($A42)))*$C42</f>
        <v>-11780.091134925717</v>
      </c>
      <c r="AT42" s="1021">
        <f>(VLOOKUP(YEAR($A42),'NY East Load Projections'!$A$4:$EO$14,((MONTH($A42)-1)*12)+VLOOKUP(AT$4,$DE$6:$DF$17,2)+1))*(VLOOKUP($A42,SatSunCurve,2))*(INDEX(DailyScalarsTable,AT$5/100,MONTH($A42)))*$C42</f>
        <v>-11399.73255359213</v>
      </c>
      <c r="AU42" s="1021">
        <f>(VLOOKUP(YEAR($A42),'NY East Load Projections'!$A$4:$EO$14,((MONTH($A42)-1)*12)+VLOOKUP(AU$4,$DE$6:$DF$17,2)+1))*(VLOOKUP($A42,SatSunCurve,2))*(INDEX(DailyScalarsTable,AU$5/100,MONTH($A42)))*$C42</f>
        <v>-10819.547905978217</v>
      </c>
      <c r="AV42" s="1021">
        <f>(VLOOKUP(YEAR($A42),'NY East Load Projections'!$A$4:$EO$14,((MONTH($A42)-1)*12)+VLOOKUP(AV$4,$DE$6:$DF$17,2)+1))*(VLOOKUP($A42,SatSunCurve,2))*(INDEX(DailyScalarsTable,AV$5/100,MONTH($A42)))*$C42</f>
        <v>-10601.806399272758</v>
      </c>
      <c r="AW42" s="1021">
        <f>(VLOOKUP(YEAR($A42),'NY East Load Projections'!$A$4:$EO$14,((MONTH($A42)-1)*12)+VLOOKUP(AW$4,$DE$6:$DF$17,2)+1))*(VLOOKUP($A42,SatSunCurve,2))*(INDEX(DailyScalarsTable,AW$5/100,MONTH($A42)))*$C42</f>
        <v>-10973.614644755369</v>
      </c>
      <c r="AX42" s="1021">
        <f>(VLOOKUP(YEAR($A42),'NY East Load Projections'!$A$4:$EO$14,((MONTH($A42)-1)*12)+VLOOKUP(AX$4,$DE$6:$DF$17,2)+1))*(VLOOKUP($A42,SatSunCurve,2))*(INDEX(DailyScalarsTable,AX$5/100,MONTH($A42)))*$C42</f>
        <v>-15269.308036416005</v>
      </c>
      <c r="AY42" s="1021">
        <f>(VLOOKUP(YEAR($A42),'NY East Load Projections'!$A$4:$EO$14,((MONTH($A42)-1)*12)+VLOOKUP(AY$4,$DE$6:$DF$17,2)+1))*(VLOOKUP($A42,SatSunCurve,2))*(INDEX(DailyScalarsTable,AY$5/100,MONTH($A42)))*$C42</f>
        <v>-16754.488032200017</v>
      </c>
      <c r="AZ42" s="1021">
        <f>(VLOOKUP(YEAR($A42),'NY East Load Projections'!$A$4:$EO$14,((MONTH($A42)-1)*12)+VLOOKUP(AZ$4,$DE$6:$DF$17,2)+1))*(VLOOKUP($A42,SatSunCurve,2))*(INDEX(DailyScalarsTable,AZ$5/100,MONTH($A42)))*$C42</f>
        <v>-16036.952321480276</v>
      </c>
      <c r="BA42" s="1021">
        <f>(VLOOKUP(YEAR($A42),'NY East Load Projections'!$A$4:$EO$14,((MONTH($A42)-1)*12)+VLOOKUP(BA$4,$DE$6:$DF$17,2)+1))*(VLOOKUP($A42,SatSunCurve,2))*(INDEX(DailyScalarsTable,BA$5/100,MONTH($A42)))*$C42</f>
        <v>-14518.728901910195</v>
      </c>
      <c r="BB42" s="1021">
        <f>(VLOOKUP(YEAR($A42),'NY East Load Projections'!$A$4:$EO$14,((MONTH($A42)-1)*12)+VLOOKUP(BB$4,$DE$6:$DF$17,2)+1))*(VLOOKUP($A42,SatSunCurve,2))*(INDEX(DailyScalarsTable,BB$5/100,MONTH($A42)))*$C42</f>
        <v>-10326.056262820766</v>
      </c>
      <c r="BC42" s="1021">
        <f>(VLOOKUP(YEAR($A42),'NY East Load Projections'!$A$4:$EO$14,((MONTH($A42)-1)*12)+VLOOKUP(BC$4,$DE$6:$DF$17,2)+1))*(VLOOKUP($A42,SatSunCurve,2))*(INDEX(DailyScalarsTable,BC$5/100,MONTH($A42)))*$C42</f>
        <v>-8453.162308882489</v>
      </c>
      <c r="BD42" s="1021">
        <f>(VLOOKUP(YEAR($A42),'NY East Load Projections'!$A$4:$EO$14,((MONTH($A42)-1)*12)+VLOOKUP(BD$4,$DE$6:$DF$17,2)+1))*(VLOOKUP($A42,CURVES!$D$9:$T$261,6))*(INDEX(DailyScalarsTable,BD$5/100,MONTH($A42)))*$C42</f>
        <v>-9483.082390550142</v>
      </c>
      <c r="BE42" s="1021"/>
      <c r="BF42" s="1021">
        <f>(VLOOKUP(YEAR($A42),'NY East Load Projections'!$A$4:$EO$14,((MONTH($A42)-1)*12)+VLOOKUP(BF$4,$DE$6:$DF$17,2)+1))*(VLOOKUP($A42,CURVES!$D$9:$T$261,6))*(INDEX(DailyScalarsTable,BF$5/100,MONTH($A42)))*$D42</f>
        <v>-6599.7784844378011</v>
      </c>
      <c r="BG42" s="1021">
        <f>(VLOOKUP(YEAR($A42),'NY East Load Projections'!$A$4:$EO$14,((MONTH($A42)-1)*12)+VLOOKUP(BG$4,$DE$6:$DF$17,2)+1))*(VLOOKUP($A42,CURVES!$D$9:$T$261,6))*(INDEX(DailyScalarsTable,BG$5/100,MONTH($A42)))*$D42</f>
        <v>-6471.1964124658807</v>
      </c>
      <c r="BH42" s="1021">
        <f>(VLOOKUP(YEAR($A42),'NY East Load Projections'!$A$4:$EO$14,((MONTH($A42)-1)*12)+VLOOKUP(BH$4,$DE$6:$DF$17,2)+1))*(VLOOKUP($A42,CURVES!$D$9:$T$261,6))*(INDEX(DailyScalarsTable,BH$5/100,MONTH($A42)))*$D42</f>
        <v>-5929.8845378395245</v>
      </c>
      <c r="BI42" s="1021">
        <f>(VLOOKUP(YEAR($A42),'NY East Load Projections'!$A$4:$EO$14,((MONTH($A42)-1)*12)+VLOOKUP(BI$4,$DE$6:$DF$17,2)+1))*(VLOOKUP($A42,CURVES!$D$9:$T$261,6))*(INDEX(DailyScalarsTable,BI$5/100,MONTH($A42)))*$D42</f>
        <v>-5926.2992377245328</v>
      </c>
      <c r="BJ42" s="1021">
        <f>(VLOOKUP(YEAR($A42),'NY East Load Projections'!$A$4:$EO$14,((MONTH($A42)-1)*12)+VLOOKUP(BJ$4,$DE$6:$DF$17,2)+1))*(VLOOKUP($A42,CURVES!$D$9:$T$261,6))*(INDEX(DailyScalarsTable,BJ$5/100,MONTH($A42)))*$D42</f>
        <v>-6229.8171964088442</v>
      </c>
      <c r="BK42" s="1021">
        <f>(VLOOKUP(YEAR($A42),'NY East Load Projections'!$A$4:$EO$14,((MONTH($A42)-1)*12)+VLOOKUP(BK$4,$DE$6:$DF$17,2)+1))*(VLOOKUP($A42,CURVES!$D$9:$T$261,6))*(INDEX(DailyScalarsTable,BK$5/100,MONTH($A42)))*$D42</f>
        <v>-6648.5727764155345</v>
      </c>
      <c r="BL42" s="1021">
        <f>(VLOOKUP(YEAR($A42),'NY East Load Projections'!$A$4:$EO$14,((MONTH($A42)-1)*12)+VLOOKUP(BL$4,$DE$6:$DF$17,2)+1))*(VLOOKUP($A42,CURVES!$D$9:$T$261,6))*(INDEX(DailyScalarsTable,BL$5/100,MONTH($A42)))*$D42</f>
        <v>-12731.935912329947</v>
      </c>
      <c r="BM42" s="1021">
        <f>(VLOOKUP(YEAR($A42),'NY East Load Projections'!$A$4:$EO$14,((MONTH($A42)-1)*12)+VLOOKUP(BM$4,$DE$6:$DF$17,2)+1))*(VLOOKUP($A42,SatSunCurve,6))*(INDEX(DailyScalarsTable,BM$5/100,MONTH($A42)))*$D42</f>
        <v>-9972.3746413563949</v>
      </c>
      <c r="BN42" s="1021">
        <f>(VLOOKUP(YEAR($A42),'NY East Load Projections'!$A$4:$EO$14,((MONTH($A42)-1)*12)+VLOOKUP(BN$4,$DE$6:$DF$17,2)+1))*(VLOOKUP($A42,SatSunCurve,6))*(INDEX(DailyScalarsTable,BN$5/100,MONTH($A42)))*$D42</f>
        <v>-11243.160813370661</v>
      </c>
      <c r="BO42" s="1021">
        <f>(VLOOKUP(YEAR($A42),'NY East Load Projections'!$A$4:$EO$14,((MONTH($A42)-1)*12)+VLOOKUP(BO$4,$DE$6:$DF$17,2)+1))*(VLOOKUP($A42,SatSunCurve,6))*(INDEX(DailyScalarsTable,BO$5/100,MONTH($A42)))*$D42</f>
        <v>-11208.941147909689</v>
      </c>
      <c r="BP42" s="1021">
        <f>(VLOOKUP(YEAR($A42),'NY East Load Projections'!$A$4:$EO$14,((MONTH($A42)-1)*12)+VLOOKUP(BP$4,$DE$6:$DF$17,2)+1))*(VLOOKUP($A42,SatSunCurve,6))*(INDEX(DailyScalarsTable,BP$5/100,MONTH($A42)))*$D42</f>
        <v>-11013.330423170608</v>
      </c>
      <c r="BQ42" s="1021">
        <f>(VLOOKUP(YEAR($A42),'NY East Load Projections'!$A$4:$EO$14,((MONTH($A42)-1)*12)+VLOOKUP(BQ$4,$DE$6:$DF$17,2)+1))*(VLOOKUP($A42,SatSunCurve,6))*(INDEX(DailyScalarsTable,BQ$5/100,MONTH($A42)))*$D42</f>
        <v>-8250.0264941414953</v>
      </c>
      <c r="BR42" s="1021">
        <f>(VLOOKUP(YEAR($A42),'NY East Load Projections'!$A$4:$EO$14,((MONTH($A42)-1)*12)+VLOOKUP(BR$4,$DE$6:$DF$17,2)+1))*(VLOOKUP($A42,SatSunCurve,6))*(INDEX(DailyScalarsTable,BR$5/100,MONTH($A42)))*$D42</f>
        <v>-8045.5221073670536</v>
      </c>
      <c r="BS42" s="1021">
        <f>(VLOOKUP(YEAR($A42),'NY East Load Projections'!$A$4:$EO$14,((MONTH($A42)-1)*12)+VLOOKUP(BS$4,$DE$6:$DF$17,2)+1))*(VLOOKUP($A42,SatSunCurve,6))*(INDEX(DailyScalarsTable,BS$5/100,MONTH($A42)))*$D42</f>
        <v>-7785.7462414764004</v>
      </c>
      <c r="BT42" s="1021">
        <f>(VLOOKUP(YEAR($A42),'NY East Load Projections'!$A$4:$EO$14,((MONTH($A42)-1)*12)+VLOOKUP(BT$4,$DE$6:$DF$17,2)+1))*(VLOOKUP($A42,SatSunCurve,6))*(INDEX(DailyScalarsTable,BT$5/100,MONTH($A42)))*$D42</f>
        <v>-7389.4939243026138</v>
      </c>
      <c r="BU42" s="1021">
        <f>(VLOOKUP(YEAR($A42),'NY East Load Projections'!$A$4:$EO$14,((MONTH($A42)-1)*12)+VLOOKUP(BU$4,$DE$6:$DF$17,2)+1))*(VLOOKUP($A42,SatSunCurve,6))*(INDEX(DailyScalarsTable,BU$5/100,MONTH($A42)))*$D42</f>
        <v>-7240.7816532492679</v>
      </c>
      <c r="BV42" s="1021">
        <f>(VLOOKUP(YEAR($A42),'NY East Load Projections'!$A$4:$EO$14,((MONTH($A42)-1)*12)+VLOOKUP(BV$4,$DE$6:$DF$17,2)+1))*(VLOOKUP($A42,SatSunCurve,6))*(INDEX(DailyScalarsTable,BV$5/100,MONTH($A42)))*$D42</f>
        <v>-7494.717843085934</v>
      </c>
      <c r="BW42" s="1021">
        <f>(VLOOKUP(YEAR($A42),'NY East Load Projections'!$A$4:$EO$14,((MONTH($A42)-1)*12)+VLOOKUP(BW$4,$DE$6:$DF$17,2)+1))*(VLOOKUP($A42,SatSunCurve,6))*(INDEX(DailyScalarsTable,BW$5/100,MONTH($A42)))*$D42</f>
        <v>-10428.574275368463</v>
      </c>
      <c r="BX42" s="1021">
        <f>(VLOOKUP(YEAR($A42),'NY East Load Projections'!$A$4:$EO$14,((MONTH($A42)-1)*12)+VLOOKUP(BX$4,$DE$6:$DF$17,2)+1))*(VLOOKUP($A42,SatSunCurve,6))*(INDEX(DailyScalarsTable,BX$5/100,MONTH($A42)))*$D42</f>
        <v>-11442.916893998376</v>
      </c>
      <c r="BY42" s="1021">
        <f>(VLOOKUP(YEAR($A42),'NY East Load Projections'!$A$4:$EO$14,((MONTH($A42)-1)*12)+VLOOKUP(BY$4,$DE$6:$DF$17,2)+1))*(VLOOKUP($A42,SatSunCurve,6))*(INDEX(DailyScalarsTable,BY$5/100,MONTH($A42)))*$D42</f>
        <v>-10952.857067015771</v>
      </c>
      <c r="BZ42" s="1021">
        <f>(VLOOKUP(YEAR($A42),'NY East Load Projections'!$A$4:$EO$14,((MONTH($A42)-1)*12)+VLOOKUP(BZ$4,$DE$6:$DF$17,2)+1))*(VLOOKUP($A42,SatSunCurve,6))*(INDEX(DailyScalarsTable,BZ$5/100,MONTH($A42)))*$D42</f>
        <v>-9915.9465757328417</v>
      </c>
      <c r="CA42" s="1021">
        <f>(VLOOKUP(YEAR($A42),'NY East Load Projections'!$A$4:$EO$14,((MONTH($A42)-1)*12)+VLOOKUP(CA$4,$DE$6:$DF$17,2)+1))*(VLOOKUP($A42,SatSunCurve,6))*(INDEX(DailyScalarsTable,CA$5/100,MONTH($A42)))*$D42</f>
        <v>-7052.450867559809</v>
      </c>
      <c r="CB42" s="1021">
        <f>(VLOOKUP(YEAR($A42),'NY East Load Projections'!$A$4:$EO$14,((MONTH($A42)-1)*12)+VLOOKUP(CB$4,$DE$6:$DF$17,2)+1))*(VLOOKUP($A42,SatSunCurve,6))*(INDEX(DailyScalarsTable,CB$5/100,MONTH($A42)))*$D42</f>
        <v>-5773.3088355860882</v>
      </c>
      <c r="CC42" s="1021">
        <f>(VLOOKUP(YEAR($A42),'NY East Load Projections'!$A$4:$EO$14,((MONTH($A42)-1)*12)+VLOOKUP(CC$4,$DE$6:$DF$17,2)+1))*(VLOOKUP($A42,CURVES!$D$9:$T$261,6))*(INDEX(DailyScalarsTable,CC$5/100,MONTH($A42)))*$D42</f>
        <v>-7586.4659124401142</v>
      </c>
      <c r="CE42" s="1021">
        <f>(VLOOKUP(YEAR($A42),'NY East Load Projections'!$A$4:$EO$14,((MONTH($A42)-1)*12)+VLOOKUP(CE$4,$DE$6:$DF$17,2)+1))*(VLOOKUP($A42,CURVES!$D$9:$T$261,6))*(INDEX(DailyScalarsTable,CE$5/100,MONTH($A42)))*$E42</f>
        <v>-1649.9446211094503</v>
      </c>
      <c r="CF42" s="1021">
        <f>(VLOOKUP(YEAR($A42),'NY East Load Projections'!$A$4:$EO$14,((MONTH($A42)-1)*12)+VLOOKUP(CF$4,$DE$6:$DF$17,2)+1))*(VLOOKUP($A42,CURVES!$D$9:$T$261,6))*(INDEX(DailyScalarsTable,CF$5/100,MONTH($A42)))*$E42</f>
        <v>-1617.7991031164702</v>
      </c>
      <c r="CG42" s="1021">
        <f>(VLOOKUP(YEAR($A42),'NY East Load Projections'!$A$4:$EO$14,((MONTH($A42)-1)*12)+VLOOKUP(CG$4,$DE$6:$DF$17,2)+1))*(VLOOKUP($A42,CURVES!$D$9:$T$261,6))*(INDEX(DailyScalarsTable,CG$5/100,MONTH($A42)))*$E42</f>
        <v>-1482.4711344598811</v>
      </c>
      <c r="CH42" s="1021">
        <f>(VLOOKUP(YEAR($A42),'NY East Load Projections'!$A$4:$EO$14,((MONTH($A42)-1)*12)+VLOOKUP(CH$4,$DE$6:$DF$17,2)+1))*(VLOOKUP($A42,CURVES!$D$9:$T$261,6))*(INDEX(DailyScalarsTable,CH$5/100,MONTH($A42)))*$E42</f>
        <v>-1481.5748094311332</v>
      </c>
      <c r="CI42" s="1021">
        <f>(VLOOKUP(YEAR($A42),'NY East Load Projections'!$A$4:$EO$14,((MONTH($A42)-1)*12)+VLOOKUP(CI$4,$DE$6:$DF$17,2)+1))*(VLOOKUP($A42,CURVES!$D$9:$T$261,6))*(INDEX(DailyScalarsTable,CI$5/100,MONTH($A42)))*$E42</f>
        <v>-1557.4542991022111</v>
      </c>
      <c r="CJ42" s="1021">
        <f>(VLOOKUP(YEAR($A42),'NY East Load Projections'!$A$4:$EO$14,((MONTH($A42)-1)*12)+VLOOKUP(CJ$4,$DE$6:$DF$17,2)+1))*(VLOOKUP($A42,CURVES!$D$9:$T$261,6))*(INDEX(DailyScalarsTable,CJ$5/100,MONTH($A42)))*$E42</f>
        <v>-1662.1431941038836</v>
      </c>
      <c r="CK42" s="1021">
        <f>(VLOOKUP(YEAR($A42),'NY East Load Projections'!$A$4:$EO$14,((MONTH($A42)-1)*12)+VLOOKUP(CK$4,$DE$6:$DF$17,2)+1))*(VLOOKUP($A42,CURVES!$D$9:$T$261,6))*(INDEX(DailyScalarsTable,CK$5/100,MONTH($A42)))*$E42</f>
        <v>-3182.9839780824868</v>
      </c>
      <c r="CL42" s="1021">
        <f>(VLOOKUP(YEAR($A42),'NY East Load Projections'!$A$4:$EO$14,((MONTH($A42)-1)*12)+VLOOKUP(CL$4,$DE$6:$DF$17,2)+1))*(VLOOKUP($A42,SatSunCurve,6))*(INDEX(DailyScalarsTable,CL$5/100,MONTH($A42)))*$E42</f>
        <v>-2493.0936603390987</v>
      </c>
      <c r="CM42" s="1021">
        <f>(VLOOKUP(YEAR($A42),'NY East Load Projections'!$A$4:$EO$14,((MONTH($A42)-1)*12)+VLOOKUP(CM$4,$DE$6:$DF$17,2)+1))*(VLOOKUP($A42,SatSunCurve,6))*(INDEX(DailyScalarsTable,CM$5/100,MONTH($A42)))*$E42</f>
        <v>-2810.7902033426653</v>
      </c>
      <c r="CN42" s="1021">
        <f>(VLOOKUP(YEAR($A42),'NY East Load Projections'!$A$4:$EO$14,((MONTH($A42)-1)*12)+VLOOKUP(CN$4,$DE$6:$DF$17,2)+1))*(VLOOKUP($A42,SatSunCurve,6))*(INDEX(DailyScalarsTable,CN$5/100,MONTH($A42)))*$E42</f>
        <v>-2802.2352869774222</v>
      </c>
      <c r="CO42" s="1021">
        <f>(VLOOKUP(YEAR($A42),'NY East Load Projections'!$A$4:$EO$14,((MONTH($A42)-1)*12)+VLOOKUP(CO$4,$DE$6:$DF$17,2)+1))*(VLOOKUP($A42,SatSunCurve,6))*(INDEX(DailyScalarsTable,CO$5/100,MONTH($A42)))*$E42</f>
        <v>-2753.332605792652</v>
      </c>
      <c r="CP42" s="1021">
        <f>(VLOOKUP(YEAR($A42),'NY East Load Projections'!$A$4:$EO$14,((MONTH($A42)-1)*12)+VLOOKUP(CP$4,$DE$6:$DF$17,2)+1))*(VLOOKUP($A42,SatSunCurve,6))*(INDEX(DailyScalarsTable,CP$5/100,MONTH($A42)))*$E42</f>
        <v>-2062.5066235353738</v>
      </c>
      <c r="CQ42" s="1021">
        <f>(VLOOKUP(YEAR($A42),'NY East Load Projections'!$A$4:$EO$14,((MONTH($A42)-1)*12)+VLOOKUP(CQ$4,$DE$6:$DF$17,2)+1))*(VLOOKUP($A42,SatSunCurve,6))*(INDEX(DailyScalarsTable,CQ$5/100,MONTH($A42)))*$E42</f>
        <v>-2011.3805268417634</v>
      </c>
      <c r="CR42" s="1021">
        <f>(VLOOKUP(YEAR($A42),'NY East Load Projections'!$A$4:$EO$14,((MONTH($A42)-1)*12)+VLOOKUP(CR$4,$DE$6:$DF$17,2)+1))*(VLOOKUP($A42,SatSunCurve,6))*(INDEX(DailyScalarsTable,CR$5/100,MONTH($A42)))*$E42</f>
        <v>-1946.4365603691001</v>
      </c>
      <c r="CS42" s="1021">
        <f>(VLOOKUP(YEAR($A42),'NY East Load Projections'!$A$4:$EO$14,((MONTH($A42)-1)*12)+VLOOKUP(CS$4,$DE$6:$DF$17,2)+1))*(VLOOKUP($A42,SatSunCurve,6))*(INDEX(DailyScalarsTable,CS$5/100,MONTH($A42)))*$E42</f>
        <v>-1847.3734810756534</v>
      </c>
      <c r="CT42" s="1021">
        <f>(VLOOKUP(YEAR($A42),'NY East Load Projections'!$A$4:$EO$14,((MONTH($A42)-1)*12)+VLOOKUP(CT$4,$DE$6:$DF$17,2)+1))*(VLOOKUP($A42,SatSunCurve,6))*(INDEX(DailyScalarsTable,CT$5/100,MONTH($A42)))*$E42</f>
        <v>-1810.195413312317</v>
      </c>
      <c r="CU42" s="1021">
        <f>(VLOOKUP(YEAR($A42),'NY East Load Projections'!$A$4:$EO$14,((MONTH($A42)-1)*12)+VLOOKUP(CU$4,$DE$6:$DF$17,2)+1))*(VLOOKUP($A42,SatSunCurve,6))*(INDEX(DailyScalarsTable,CU$5/100,MONTH($A42)))*$E42</f>
        <v>-1873.6794607714835</v>
      </c>
      <c r="CV42" s="1021">
        <f>(VLOOKUP(YEAR($A42),'NY East Load Projections'!$A$4:$EO$14,((MONTH($A42)-1)*12)+VLOOKUP(CV$4,$DE$6:$DF$17,2)+1))*(VLOOKUP($A42,SatSunCurve,6))*(INDEX(DailyScalarsTable,CV$5/100,MONTH($A42)))*$E42</f>
        <v>-2607.1435688421157</v>
      </c>
      <c r="CW42" s="1021">
        <f>(VLOOKUP(YEAR($A42),'NY East Load Projections'!$A$4:$EO$14,((MONTH($A42)-1)*12)+VLOOKUP(CW$4,$DE$6:$DF$17,2)+1))*(VLOOKUP($A42,SatSunCurve,6))*(INDEX(DailyScalarsTable,CW$5/100,MONTH($A42)))*$E42</f>
        <v>-2860.7292234995939</v>
      </c>
      <c r="CX42" s="1021">
        <f>(VLOOKUP(YEAR($A42),'NY East Load Projections'!$A$4:$EO$14,((MONTH($A42)-1)*12)+VLOOKUP(CX$4,$DE$6:$DF$17,2)+1))*(VLOOKUP($A42,SatSunCurve,6))*(INDEX(DailyScalarsTable,CX$5/100,MONTH($A42)))*$E42</f>
        <v>-2738.2142667539429</v>
      </c>
      <c r="CY42" s="1021">
        <f>(VLOOKUP(YEAR($A42),'NY East Load Projections'!$A$4:$EO$14,((MONTH($A42)-1)*12)+VLOOKUP(CY$4,$DE$6:$DF$17,2)+1))*(VLOOKUP($A42,SatSunCurve,6))*(INDEX(DailyScalarsTable,CY$5/100,MONTH($A42)))*$E42</f>
        <v>-2478.9866439332104</v>
      </c>
      <c r="CZ42" s="1021">
        <f>(VLOOKUP(YEAR($A42),'NY East Load Projections'!$A$4:$EO$14,((MONTH($A42)-1)*12)+VLOOKUP(CZ$4,$DE$6:$DF$17,2)+1))*(VLOOKUP($A42,SatSunCurve,6))*(INDEX(DailyScalarsTable,CZ$5/100,MONTH($A42)))*$E42</f>
        <v>-1763.1127168899523</v>
      </c>
      <c r="DA42" s="1021">
        <f>(VLOOKUP(YEAR($A42),'NY East Load Projections'!$A$4:$EO$14,((MONTH($A42)-1)*12)+VLOOKUP(DA$4,$DE$6:$DF$17,2)+1))*(VLOOKUP($A42,SatSunCurve,6))*(INDEX(DailyScalarsTable,DA$5/100,MONTH($A42)))*$E42</f>
        <v>-1443.3272088965221</v>
      </c>
      <c r="DB42" s="1021">
        <f>(VLOOKUP(YEAR($A42),'NY East Load Projections'!$A$4:$EO$14,((MONTH($A42)-1)*12)+VLOOKUP(DB$4,$DE$6:$DF$17,2)+1))*(VLOOKUP($A42,CURVES!$D$9:$T$261,6))*(INDEX(DailyScalarsTable,DB$5/100,MONTH($A42)))*$E42</f>
        <v>-1896.6164781100285</v>
      </c>
      <c r="DH42" s="1021">
        <f t="shared" si="0"/>
        <v>-2033101.9310650621</v>
      </c>
      <c r="DI42">
        <f ca="1">CALC!J62</f>
        <v>0.75365243967713424</v>
      </c>
      <c r="DJ42" s="1029">
        <f t="shared" ca="1" si="1"/>
        <v>-1532252.2304594768</v>
      </c>
    </row>
    <row r="43" spans="1:114" x14ac:dyDescent="0.25">
      <c r="A43" s="244">
        <v>38018</v>
      </c>
      <c r="B43" s="13">
        <v>20</v>
      </c>
      <c r="C43" s="210">
        <v>4</v>
      </c>
      <c r="D43" s="210">
        <v>5</v>
      </c>
      <c r="E43" s="210">
        <v>0</v>
      </c>
      <c r="F43" s="13">
        <v>29</v>
      </c>
      <c r="H43" s="1021">
        <f>(VLOOKUP(YEAR($A43),'NY East Load Projections'!$A$4:$EO$14,((MONTH($A43)-1)*12)+VLOOKUP(H$4,$DE$6:$DF$17,2)+1))*(VLOOKUP($A43,CURVES!$D$9:$K$261,6))*(INDEX(DailyScalarsTable,H$5/100,MONTH($A43)))*$B43</f>
        <v>-30619.93564172092</v>
      </c>
      <c r="I43" s="1021">
        <f>(VLOOKUP(YEAR($A43),'NY East Load Projections'!$A$4:$EO$14,((MONTH($A43)-1)*12)+VLOOKUP(I$4,$DE$6:$DF$17,2)+1))*(VLOOKUP($A43,CURVES!$D$9:$K$261,6))*(INDEX(DailyScalarsTable,I$5/100,MONTH($A43)))*$B43</f>
        <v>-30023.373987758878</v>
      </c>
      <c r="J43" s="1021">
        <f>(VLOOKUP(YEAR($A43),'NY East Load Projections'!$A$4:$EO$14,((MONTH($A43)-1)*12)+VLOOKUP(J$4,$DE$6:$DF$17,2)+1))*(VLOOKUP($A43,CURVES!$D$9:$K$261,6))*(INDEX(DailyScalarsTable,J$5/100,MONTH($A43)))*$B43</f>
        <v>-27511.935944460631</v>
      </c>
      <c r="K43" s="1021">
        <f>(VLOOKUP(YEAR($A43),'NY East Load Projections'!$A$4:$EO$14,((MONTH($A43)-1)*12)+VLOOKUP(K$4,$DE$6:$DF$17,2)+1))*(VLOOKUP($A43,CURVES!$D$9:$K$261,6))*(INDEX(DailyScalarsTable,K$5/100,MONTH($A43)))*$B43</f>
        <v>-27495.301801506263</v>
      </c>
      <c r="L43" s="1021">
        <f>(VLOOKUP(YEAR($A43),'NY East Load Projections'!$A$4:$EO$14,((MONTH($A43)-1)*12)+VLOOKUP(L$4,$DE$6:$DF$17,2)+1))*(VLOOKUP($A43,CURVES!$D$9:$K$261,6))*(INDEX(DailyScalarsTable,L$5/100,MONTH($A43)))*$B43</f>
        <v>-31527.476229369473</v>
      </c>
      <c r="M43" s="1021">
        <f>(VLOOKUP(YEAR($A43),'NY East Load Projections'!$A$4:$EO$14,((MONTH($A43)-1)*12)+VLOOKUP(M$4,$DE$6:$DF$17,2)+1))*(VLOOKUP($A43,CURVES!$D$9:$K$261,6))*(INDEX(DailyScalarsTable,M$5/100,MONTH($A43)))*$B43</f>
        <v>-33646.688748508423</v>
      </c>
      <c r="N43" s="1021">
        <f>(VLOOKUP(YEAR($A43),'NY East Load Projections'!$A$4:$EO$14,((MONTH($A43)-1)*12)+VLOOKUP(N$4,$DE$6:$DF$17,2)+1))*(VLOOKUP($A43,CURVES!$D$9:$K$261,6))*(INDEX(DailyScalarsTable,N$5/100,MONTH($A43)))*$B43</f>
        <v>-64432.999263802929</v>
      </c>
      <c r="O43" s="1021">
        <f>(VLOOKUP(YEAR($A43),'NY East Load Projections'!$A$4:$EO$14,((MONTH($A43)-1)*12)+VLOOKUP(O$4,$DE$6:$DF$17,2)+1))*(VLOOKUP($A43,CURVES!$D$9:$K$261,2))*(INDEX(DailyScalarsTable,O$5/100,MONTH($A43)))*$B43</f>
        <v>-75718.892522079143</v>
      </c>
      <c r="P43" s="1021">
        <f>(VLOOKUP(YEAR($A43),'NY East Load Projections'!$A$4:$EO$14,((MONTH($A43)-1)*12)+VLOOKUP(P$4,$DE$6:$DF$17,2)+1))*(VLOOKUP($A43,CURVES!$D$9:$K$261,2))*(INDEX(DailyScalarsTable,P$5/100,MONTH($A43)))*$B43</f>
        <v>-86676.824756320493</v>
      </c>
      <c r="Q43" s="1021">
        <f>(VLOOKUP(YEAR($A43),'NY East Load Projections'!$A$4:$EO$14,((MONTH($A43)-1)*12)+VLOOKUP(Q$4,$DE$6:$DF$17,2)+1))*(VLOOKUP($A43,CURVES!$D$9:$K$261,2))*(INDEX(DailyScalarsTable,Q$5/100,MONTH($A43)))*$B43</f>
        <v>-86413.015317354424</v>
      </c>
      <c r="R43" s="1021">
        <f>(VLOOKUP(YEAR($A43),'NY East Load Projections'!$A$4:$EO$14,((MONTH($A43)-1)*12)+VLOOKUP(R$4,$DE$6:$DF$17,2)+1))*(VLOOKUP($A43,CURVES!$D$9:$K$261,2))*(INDEX(DailyScalarsTable,R$5/100,MONTH($A43)))*$B43</f>
        <v>-84904.994860286621</v>
      </c>
      <c r="S43" s="1021">
        <f>(VLOOKUP(YEAR($A43),'NY East Load Projections'!$A$4:$EO$14,((MONTH($A43)-1)*12)+VLOOKUP(S$4,$DE$6:$DF$17,2)+1))*(VLOOKUP($A43,CURVES!$D$9:$K$261,2))*(INDEX(DailyScalarsTable,S$5/100,MONTH($A43)))*$B43</f>
        <v>-63601.874289417312</v>
      </c>
      <c r="T43" s="1021">
        <f>(VLOOKUP(YEAR($A43),'NY East Load Projections'!$A$4:$EO$14,((MONTH($A43)-1)*12)+VLOOKUP(T$4,$DE$6:$DF$17,2)+1))*(VLOOKUP($A43,CURVES!$D$9:$K$261,2))*(INDEX(DailyScalarsTable,T$5/100,MONTH($A43)))*$B43</f>
        <v>-62595.010129886134</v>
      </c>
      <c r="U43" s="1021">
        <f>(VLOOKUP(YEAR($A43),'NY East Load Projections'!$A$4:$EO$14,((MONTH($A43)-1)*12)+VLOOKUP(U$4,$DE$6:$DF$17,2)+1))*(VLOOKUP($A43,CURVES!$D$9:$K$261,2))*(INDEX(DailyScalarsTable,U$5/100,MONTH($A43)))*$B43</f>
        <v>-60573.92650847193</v>
      </c>
      <c r="V43" s="1021">
        <f>(VLOOKUP(YEAR($A43),'NY East Load Projections'!$A$4:$EO$14,((MONTH($A43)-1)*12)+VLOOKUP(V$4,$DE$6:$DF$17,2)+1))*(VLOOKUP($A43,CURVES!$D$9:$K$261,2))*(INDEX(DailyScalarsTable,V$5/100,MONTH($A43)))*$B43</f>
        <v>-57491.041709140853</v>
      </c>
      <c r="W43" s="1021">
        <f>(VLOOKUP(YEAR($A43),'NY East Load Projections'!$A$4:$EO$14,((MONTH($A43)-1)*12)+VLOOKUP(W$4,$DE$6:$DF$17,2)+1))*(VLOOKUP($A43,CURVES!$D$9:$K$261,2))*(INDEX(DailyScalarsTable,W$5/100,MONTH($A43)))*$B43</f>
        <v>-56334.044563548661</v>
      </c>
      <c r="X43" s="1021">
        <f>(VLOOKUP(YEAR($A43),'NY East Load Projections'!$A$4:$EO$14,((MONTH($A43)-1)*12)+VLOOKUP(X$4,$DE$6:$DF$17,2)+1))*(VLOOKUP($A43,CURVES!$D$9:$K$261,2))*(INDEX(DailyScalarsTable,X$5/100,MONTH($A43)))*$B43</f>
        <v>-57810.197995222465</v>
      </c>
      <c r="Y43" s="1021">
        <f>(VLOOKUP(YEAR($A43),'NY East Load Projections'!$A$4:$EO$14,((MONTH($A43)-1)*12)+VLOOKUP(Y$4,$DE$6:$DF$17,2)+1))*(VLOOKUP($A43,CURVES!$D$9:$K$261,2))*(INDEX(DailyScalarsTable,Y$5/100,MONTH($A43)))*$B43</f>
        <v>-80440.378982793132</v>
      </c>
      <c r="Z43" s="1021">
        <f>(VLOOKUP(YEAR($A43),'NY East Load Projections'!$A$4:$EO$14,((MONTH($A43)-1)*12)+VLOOKUP(Z$4,$DE$6:$DF$17,2)+1))*(VLOOKUP($A43,CURVES!$D$9:$K$261,2))*(INDEX(DailyScalarsTable,Z$5/100,MONTH($A43)))*$B43</f>
        <v>-88264.469074734894</v>
      </c>
      <c r="AA43" s="1021">
        <f>(VLOOKUP(YEAR($A43),'NY East Load Projections'!$A$4:$EO$14,((MONTH($A43)-1)*12)+VLOOKUP(AA$4,$DE$6:$DF$17,2)+1))*(VLOOKUP($A43,CURVES!$D$9:$K$261,2))*(INDEX(DailyScalarsTable,AA$5/100,MONTH($A43)))*$B43</f>
        <v>-84484.412744328205</v>
      </c>
      <c r="AB43" s="1021">
        <f>(VLOOKUP(YEAR($A43),'NY East Load Projections'!$A$4:$EO$14,((MONTH($A43)-1)*12)+VLOOKUP(AB$4,$DE$6:$DF$17,2)+1))*(VLOOKUP($A43,CURVES!$D$9:$K$261,2))*(INDEX(DailyScalarsTable,AB$5/100,MONTH($A43)))*$B43</f>
        <v>-71291.285337365975</v>
      </c>
      <c r="AC43" s="1021">
        <f>(VLOOKUP(YEAR($A43),'NY East Load Projections'!$A$4:$EO$14,((MONTH($A43)-1)*12)+VLOOKUP(AC$4,$DE$6:$DF$17,2)+1))*(VLOOKUP($A43,CURVES!$D$9:$K$261,2))*(INDEX(DailyScalarsTable,AC$5/100,MONTH($A43)))*$B43</f>
        <v>-50704.013306949724</v>
      </c>
      <c r="AD43" s="1021">
        <f>(VLOOKUP(YEAR($A43),'NY East Load Projections'!$A$4:$EO$14,((MONTH($A43)-1)*12)+VLOOKUP(AD$4,$DE$6:$DF$17,2)+1))*(VLOOKUP($A43,CURVES!$D$9:$K$261,2))*(INDEX(DailyScalarsTable,AD$5/100,MONTH($A43)))*$B43</f>
        <v>-41507.545890351423</v>
      </c>
      <c r="AE43" s="1021">
        <f>(VLOOKUP(YEAR($A43),'NY East Load Projections'!$A$4:$EO$14,((MONTH($A43)-1)*12)+VLOOKUP(AE$4,$DE$6:$DF$17,2)+1))*(VLOOKUP($A43,CURVES!$D$9:$K$261,6))*(INDEX(DailyScalarsTable,AE$5/100,MONTH($A43)))*$B43</f>
        <v>-36353.816732192427</v>
      </c>
      <c r="AF43" s="1021"/>
      <c r="AG43" s="1021">
        <f>(VLOOKUP(YEAR($A43),'NY East Load Projections'!$A$4:$EO$14,((MONTH($A43)-1)*12)+VLOOKUP(AG$4,$DE$6:$DF$17,2)+1))*(VLOOKUP($A43,CURVES!$D$9:$T$261,6))*(INDEX(DailyScalarsTable,AG$5/100,MONTH($A43)))*$C43</f>
        <v>-6460.9470755901884</v>
      </c>
      <c r="AH43" s="1021">
        <f>(VLOOKUP(YEAR($A43),'NY East Load Projections'!$A$4:$EO$14,((MONTH($A43)-1)*12)+VLOOKUP(AH$4,$DE$6:$DF$17,2)+1))*(VLOOKUP($A43,CURVES!$D$9:$T$261,6))*(INDEX(DailyScalarsTable,AH$5/100,MONTH($A43)))*$C43</f>
        <v>-6335.0698262492851</v>
      </c>
      <c r="AI43" s="1021">
        <f>(VLOOKUP(YEAR($A43),'NY East Load Projections'!$A$4:$EO$14,((MONTH($A43)-1)*12)+VLOOKUP(AI$4,$DE$6:$DF$17,2)+1))*(VLOOKUP($A43,CURVES!$D$9:$T$261,6))*(INDEX(DailyScalarsTable,AI$5/100,MONTH($A43)))*$C43</f>
        <v>-5805.1448626166111</v>
      </c>
      <c r="AJ43" s="1021">
        <f>(VLOOKUP(YEAR($A43),'NY East Load Projections'!$A$4:$EO$14,((MONTH($A43)-1)*12)+VLOOKUP(AJ$4,$DE$6:$DF$17,2)+1))*(VLOOKUP($A43,CURVES!$D$9:$T$261,6))*(INDEX(DailyScalarsTable,AJ$5/100,MONTH($A43)))*$C43</f>
        <v>-5801.6349820429396</v>
      </c>
      <c r="AK43" s="1021">
        <f>(VLOOKUP(YEAR($A43),'NY East Load Projections'!$A$4:$EO$14,((MONTH($A43)-1)*12)+VLOOKUP(AK$4,$DE$6:$DF$17,2)+1))*(VLOOKUP($A43,CURVES!$D$9:$T$261,6))*(INDEX(DailyScalarsTable,AK$5/100,MONTH($A43)))*$C43</f>
        <v>-6054.9931665141748</v>
      </c>
      <c r="AL43" s="1021">
        <f>(VLOOKUP(YEAR($A43),'NY East Load Projections'!$A$4:$EO$14,((MONTH($A43)-1)*12)+VLOOKUP(AL$4,$DE$6:$DF$17,2)+1))*(VLOOKUP($A43,CURVES!$D$9:$T$261,6))*(INDEX(DailyScalarsTable,AL$5/100,MONTH($A43)))*$C43</f>
        <v>-6461.9974325208568</v>
      </c>
      <c r="AM43" s="1021">
        <f>(VLOOKUP(YEAR($A43),'NY East Load Projections'!$A$4:$EO$14,((MONTH($A43)-1)*12)+VLOOKUP(AM$4,$DE$6:$DF$17,2)+1))*(VLOOKUP($A43,CURVES!$D$9:$T$261,6))*(INDEX(DailyScalarsTable,AM$5/100,MONTH($A43)))*$C43</f>
        <v>-12374.646400554662</v>
      </c>
      <c r="AN43" s="1021">
        <f>(VLOOKUP(YEAR($A43),'NY East Load Projections'!$A$4:$EO$14,((MONTH($A43)-1)*12)+VLOOKUP(AN$4,$DE$6:$DF$17,2)+1))*(VLOOKUP($A43,SatSunCurve,2))*(INDEX(DailyScalarsTable,AN$5/100,MONTH($A43)))*$C43</f>
        <v>-11052.544658669911</v>
      </c>
      <c r="AO43" s="1021">
        <f>(VLOOKUP(YEAR($A43),'NY East Load Projections'!$A$4:$EO$14,((MONTH($A43)-1)*12)+VLOOKUP(AO$4,$DE$6:$DF$17,2)+1))*(VLOOKUP($A43,SatSunCurve,2))*(INDEX(DailyScalarsTable,AO$5/100,MONTH($A43)))*$C43</f>
        <v>-12414.416449876275</v>
      </c>
      <c r="AP43" s="1021">
        <f>(VLOOKUP(YEAR($A43),'NY East Load Projections'!$A$4:$EO$14,((MONTH($A43)-1)*12)+VLOOKUP(AP$4,$DE$6:$DF$17,2)+1))*(VLOOKUP($A43,SatSunCurve,2))*(INDEX(DailyScalarsTable,AP$5/100,MONTH($A43)))*$C43</f>
        <v>-12376.631952717544</v>
      </c>
      <c r="AQ43" s="1021">
        <f>(VLOOKUP(YEAR($A43),'NY East Load Projections'!$A$4:$EO$14,((MONTH($A43)-1)*12)+VLOOKUP(AQ$4,$DE$6:$DF$17,2)+1))*(VLOOKUP($A43,SatSunCurve,2))*(INDEX(DailyScalarsTable,AQ$5/100,MONTH($A43)))*$C43</f>
        <v>-12160.64349188497</v>
      </c>
      <c r="AR43" s="1021">
        <f>(VLOOKUP(YEAR($A43),'NY East Load Projections'!$A$4:$EO$14,((MONTH($A43)-1)*12)+VLOOKUP(AR$4,$DE$6:$DF$17,2)+1))*(VLOOKUP($A43,SatSunCurve,2))*(INDEX(DailyScalarsTable,AR$5/100,MONTH($A43)))*$C43</f>
        <v>-9109.4725336477986</v>
      </c>
      <c r="AS43" s="1021">
        <f>(VLOOKUP(YEAR($A43),'NY East Load Projections'!$A$4:$EO$14,((MONTH($A43)-1)*12)+VLOOKUP(AS$4,$DE$6:$DF$17,2)+1))*(VLOOKUP($A43,SatSunCurve,2))*(INDEX(DailyScalarsTable,AS$5/100,MONTH($A43)))*$C43</f>
        <v>-8861.9890722218915</v>
      </c>
      <c r="AT43" s="1021">
        <f>(VLOOKUP(YEAR($A43),'NY East Load Projections'!$A$4:$EO$14,((MONTH($A43)-1)*12)+VLOOKUP(AT$4,$DE$6:$DF$17,2)+1))*(VLOOKUP($A43,SatSunCurve,2))*(INDEX(DailyScalarsTable,AT$5/100,MONTH($A43)))*$C43</f>
        <v>-8575.8509131281571</v>
      </c>
      <c r="AU43" s="1021">
        <f>(VLOOKUP(YEAR($A43),'NY East Load Projections'!$A$4:$EO$14,((MONTH($A43)-1)*12)+VLOOKUP(AU$4,$DE$6:$DF$17,2)+1))*(VLOOKUP($A43,SatSunCurve,2))*(INDEX(DailyScalarsTable,AU$5/100,MONTH($A43)))*$C43</f>
        <v>-8139.3865472641637</v>
      </c>
      <c r="AV43" s="1021">
        <f>(VLOOKUP(YEAR($A43),'NY East Load Projections'!$A$4:$EO$14,((MONTH($A43)-1)*12)+VLOOKUP(AV$4,$DE$6:$DF$17,2)+1))*(VLOOKUP($A43,SatSunCurve,2))*(INDEX(DailyScalarsTable,AV$5/100,MONTH($A43)))*$C43</f>
        <v>-7975.5828185076052</v>
      </c>
      <c r="AW43" s="1021">
        <f>(VLOOKUP(YEAR($A43),'NY East Load Projections'!$A$4:$EO$14,((MONTH($A43)-1)*12)+VLOOKUP(AW$4,$DE$6:$DF$17,2)+1))*(VLOOKUP($A43,SatSunCurve,2))*(INDEX(DailyScalarsTable,AW$5/100,MONTH($A43)))*$C43</f>
        <v>-8308.9765435790814</v>
      </c>
      <c r="AX43" s="1021">
        <f>(VLOOKUP(YEAR($A43),'NY East Load Projections'!$A$4:$EO$14,((MONTH($A43)-1)*12)+VLOOKUP(AX$4,$DE$6:$DF$17,2)+1))*(VLOOKUP($A43,SatSunCurve,2))*(INDEX(DailyScalarsTable,AX$5/100,MONTH($A43)))*$C43</f>
        <v>-11561.579882149439</v>
      </c>
      <c r="AY43" s="1021">
        <f>(VLOOKUP(YEAR($A43),'NY East Load Projections'!$A$4:$EO$14,((MONTH($A43)-1)*12)+VLOOKUP(AY$4,$DE$6:$DF$17,2)+1))*(VLOOKUP($A43,SatSunCurve,2))*(INDEX(DailyScalarsTable,AY$5/100,MONTH($A43)))*$C43</f>
        <v>-12686.125088761017</v>
      </c>
      <c r="AZ43" s="1021">
        <f>(VLOOKUP(YEAR($A43),'NY East Load Projections'!$A$4:$EO$14,((MONTH($A43)-1)*12)+VLOOKUP(AZ$4,$DE$6:$DF$17,2)+1))*(VLOOKUP($A43,SatSunCurve,2))*(INDEX(DailyScalarsTable,AZ$5/100,MONTH($A43)))*$C43</f>
        <v>-12142.823033553519</v>
      </c>
      <c r="BA43" s="1021">
        <f>(VLOOKUP(YEAR($A43),'NY East Load Projections'!$A$4:$EO$14,((MONTH($A43)-1)*12)+VLOOKUP(BA$4,$DE$6:$DF$17,2)+1))*(VLOOKUP($A43,SatSunCurve,2))*(INDEX(DailyScalarsTable,BA$5/100,MONTH($A43)))*$C43</f>
        <v>-11058.356522389693</v>
      </c>
      <c r="BB43" s="1021">
        <f>(VLOOKUP(YEAR($A43),'NY East Load Projections'!$A$4:$EO$14,((MONTH($A43)-1)*12)+VLOOKUP(BB$4,$DE$6:$DF$17,2)+1))*(VLOOKUP($A43,SatSunCurve,2))*(INDEX(DailyScalarsTable,BB$5/100,MONTH($A43)))*$C43</f>
        <v>-7864.9592809397627</v>
      </c>
      <c r="BC43" s="1021">
        <f>(VLOOKUP(YEAR($A43),'NY East Load Projections'!$A$4:$EO$14,((MONTH($A43)-1)*12)+VLOOKUP(BC$4,$DE$6:$DF$17,2)+1))*(VLOOKUP($A43,SatSunCurve,2))*(INDEX(DailyScalarsTable,BC$5/100,MONTH($A43)))*$C43</f>
        <v>-6438.4481027778329</v>
      </c>
      <c r="BD43" s="1021">
        <f>(VLOOKUP(YEAR($A43),'NY East Load Projections'!$A$4:$EO$14,((MONTH($A43)-1)*12)+VLOOKUP(BD$4,$DE$6:$DF$17,2)+1))*(VLOOKUP($A43,CURVES!$D$9:$T$261,6))*(INDEX(DailyScalarsTable,BD$5/100,MONTH($A43)))*$C43</f>
        <v>-7419.4306791098898</v>
      </c>
      <c r="BE43" s="1021"/>
      <c r="BF43" s="1021">
        <f>(VLOOKUP(YEAR($A43),'NY East Load Projections'!$A$4:$EO$14,((MONTH($A43)-1)*12)+VLOOKUP(BF$4,$DE$6:$DF$17,2)+1))*(VLOOKUP($A43,CURVES!$D$9:$T$261,6))*(INDEX(DailyScalarsTable,BF$5/100,MONTH($A43)))*$D43</f>
        <v>-8076.1838444877358</v>
      </c>
      <c r="BG43" s="1021">
        <f>(VLOOKUP(YEAR($A43),'NY East Load Projections'!$A$4:$EO$14,((MONTH($A43)-1)*12)+VLOOKUP(BG$4,$DE$6:$DF$17,2)+1))*(VLOOKUP($A43,CURVES!$D$9:$T$261,6))*(INDEX(DailyScalarsTable,BG$5/100,MONTH($A43)))*$D43</f>
        <v>-7918.8372828116062</v>
      </c>
      <c r="BH43" s="1021">
        <f>(VLOOKUP(YEAR($A43),'NY East Load Projections'!$A$4:$EO$14,((MONTH($A43)-1)*12)+VLOOKUP(BH$4,$DE$6:$DF$17,2)+1))*(VLOOKUP($A43,CURVES!$D$9:$T$261,6))*(INDEX(DailyScalarsTable,BH$5/100,MONTH($A43)))*$D43</f>
        <v>-7256.4310782707635</v>
      </c>
      <c r="BI43" s="1021">
        <f>(VLOOKUP(YEAR($A43),'NY East Load Projections'!$A$4:$EO$14,((MONTH($A43)-1)*12)+VLOOKUP(BI$4,$DE$6:$DF$17,2)+1))*(VLOOKUP($A43,CURVES!$D$9:$T$261,6))*(INDEX(DailyScalarsTable,BI$5/100,MONTH($A43)))*$D43</f>
        <v>-7252.0437275536742</v>
      </c>
      <c r="BJ43" s="1021">
        <f>(VLOOKUP(YEAR($A43),'NY East Load Projections'!$A$4:$EO$14,((MONTH($A43)-1)*12)+VLOOKUP(BJ$4,$DE$6:$DF$17,2)+1))*(VLOOKUP($A43,CURVES!$D$9:$T$261,6))*(INDEX(DailyScalarsTable,BJ$5/100,MONTH($A43)))*$D43</f>
        <v>-7568.7414581427183</v>
      </c>
      <c r="BK43" s="1021">
        <f>(VLOOKUP(YEAR($A43),'NY East Load Projections'!$A$4:$EO$14,((MONTH($A43)-1)*12)+VLOOKUP(BK$4,$DE$6:$DF$17,2)+1))*(VLOOKUP($A43,CURVES!$D$9:$T$261,6))*(INDEX(DailyScalarsTable,BK$5/100,MONTH($A43)))*$D43</f>
        <v>-8077.496790651071</v>
      </c>
      <c r="BL43" s="1021">
        <f>(VLOOKUP(YEAR($A43),'NY East Load Projections'!$A$4:$EO$14,((MONTH($A43)-1)*12)+VLOOKUP(BL$4,$DE$6:$DF$17,2)+1))*(VLOOKUP($A43,CURVES!$D$9:$T$261,6))*(INDEX(DailyScalarsTable,BL$5/100,MONTH($A43)))*$D43</f>
        <v>-15468.308000693327</v>
      </c>
      <c r="BM43" s="1021">
        <f>(VLOOKUP(YEAR($A43),'NY East Load Projections'!$A$4:$EO$14,((MONTH($A43)-1)*12)+VLOOKUP(BM$4,$DE$6:$DF$17,2)+1))*(VLOOKUP($A43,SatSunCurve,6))*(INDEX(DailyScalarsTable,BM$5/100,MONTH($A43)))*$D43</f>
        <v>-11210.423291662572</v>
      </c>
      <c r="BN43" s="1021">
        <f>(VLOOKUP(YEAR($A43),'NY East Load Projections'!$A$4:$EO$14,((MONTH($A43)-1)*12)+VLOOKUP(BN$4,$DE$6:$DF$17,2)+1))*(VLOOKUP($A43,SatSunCurve,6))*(INDEX(DailyScalarsTable,BN$5/100,MONTH($A43)))*$D43</f>
        <v>-12591.748562890682</v>
      </c>
      <c r="BO43" s="1021">
        <f>(VLOOKUP(YEAR($A43),'NY East Load Projections'!$A$4:$EO$14,((MONTH($A43)-1)*12)+VLOOKUP(BO$4,$DE$6:$DF$17,2)+1))*(VLOOKUP($A43,SatSunCurve,6))*(INDEX(DailyScalarsTable,BO$5/100,MONTH($A43)))*$D43</f>
        <v>-12553.424338009156</v>
      </c>
      <c r="BP43" s="1021">
        <f>(VLOOKUP(YEAR($A43),'NY East Load Projections'!$A$4:$EO$14,((MONTH($A43)-1)*12)+VLOOKUP(BP$4,$DE$6:$DF$17,2)+1))*(VLOOKUP($A43,SatSunCurve,6))*(INDEX(DailyScalarsTable,BP$5/100,MONTH($A43)))*$D43</f>
        <v>-12334.350618171389</v>
      </c>
      <c r="BQ43" s="1021">
        <f>(VLOOKUP(YEAR($A43),'NY East Load Projections'!$A$4:$EO$14,((MONTH($A43)-1)*12)+VLOOKUP(BQ$4,$DE$6:$DF$17,2)+1))*(VLOOKUP($A43,SatSunCurve,6))*(INDEX(DailyScalarsTable,BQ$5/100,MONTH($A43)))*$D43</f>
        <v>-9239.5956062352816</v>
      </c>
      <c r="BR43" s="1021">
        <f>(VLOOKUP(YEAR($A43),'NY East Load Projections'!$A$4:$EO$14,((MONTH($A43)-1)*12)+VLOOKUP(BR$4,$DE$6:$DF$17,2)+1))*(VLOOKUP($A43,SatSunCurve,6))*(INDEX(DailyScalarsTable,BR$5/100,MONTH($A43)))*$D43</f>
        <v>-8988.5769995749633</v>
      </c>
      <c r="BS43" s="1021">
        <f>(VLOOKUP(YEAR($A43),'NY East Load Projections'!$A$4:$EO$14,((MONTH($A43)-1)*12)+VLOOKUP(BS$4,$DE$6:$DF$17,2)+1))*(VLOOKUP($A43,SatSunCurve,6))*(INDEX(DailyScalarsTable,BS$5/100,MONTH($A43)))*$D43</f>
        <v>-8698.351537258317</v>
      </c>
      <c r="BT43" s="1021">
        <f>(VLOOKUP(YEAR($A43),'NY East Load Projections'!$A$4:$EO$14,((MONTH($A43)-1)*12)+VLOOKUP(BT$4,$DE$6:$DF$17,2)+1))*(VLOOKUP($A43,SatSunCurve,6))*(INDEX(DailyScalarsTable,BT$5/100,MONTH($A43)))*$D43</f>
        <v>-8255.6525530724175</v>
      </c>
      <c r="BU43" s="1021">
        <f>(VLOOKUP(YEAR($A43),'NY East Load Projections'!$A$4:$EO$14,((MONTH($A43)-1)*12)+VLOOKUP(BU$4,$DE$6:$DF$17,2)+1))*(VLOOKUP($A43,SatSunCurve,6))*(INDEX(DailyScalarsTable,BU$5/100,MONTH($A43)))*$D43</f>
        <v>-8089.5089913114398</v>
      </c>
      <c r="BV43" s="1021">
        <f>(VLOOKUP(YEAR($A43),'NY East Load Projections'!$A$4:$EO$14,((MONTH($A43)-1)*12)+VLOOKUP(BV$4,$DE$6:$DF$17,2)+1))*(VLOOKUP($A43,SatSunCurve,6))*(INDEX(DailyScalarsTable,BV$5/100,MONTH($A43)))*$D43</f>
        <v>-8427.6650355762013</v>
      </c>
      <c r="BW43" s="1021">
        <f>(VLOOKUP(YEAR($A43),'NY East Load Projections'!$A$4:$EO$14,((MONTH($A43)-1)*12)+VLOOKUP(BW$4,$DE$6:$DF$17,2)+1))*(VLOOKUP($A43,SatSunCurve,6))*(INDEX(DailyScalarsTable,BW$5/100,MONTH($A43)))*$D43</f>
        <v>-11726.729762416819</v>
      </c>
      <c r="BX43" s="1021">
        <f>(VLOOKUP(YEAR($A43),'NY East Load Projections'!$A$4:$EO$14,((MONTH($A43)-1)*12)+VLOOKUP(BX$4,$DE$6:$DF$17,2)+1))*(VLOOKUP($A43,SatSunCurve,6))*(INDEX(DailyScalarsTable,BX$5/100,MONTH($A43)))*$D43</f>
        <v>-12867.338388398432</v>
      </c>
      <c r="BY43" s="1021">
        <f>(VLOOKUP(YEAR($A43),'NY East Load Projections'!$A$4:$EO$14,((MONTH($A43)-1)*12)+VLOOKUP(BY$4,$DE$6:$DF$17,2)+1))*(VLOOKUP($A43,SatSunCurve,6))*(INDEX(DailyScalarsTable,BY$5/100,MONTH($A43)))*$D43</f>
        <v>-12316.275605826584</v>
      </c>
      <c r="BZ43" s="1021">
        <f>(VLOOKUP(YEAR($A43),'NY East Load Projections'!$A$4:$EO$14,((MONTH($A43)-1)*12)+VLOOKUP(BZ$4,$DE$6:$DF$17,2)+1))*(VLOOKUP($A43,SatSunCurve,6))*(INDEX(DailyScalarsTable,BZ$5/100,MONTH($A43)))*$D43</f>
        <v>-11216.318174191829</v>
      </c>
      <c r="CA43" s="1021">
        <f>(VLOOKUP(YEAR($A43),'NY East Load Projections'!$A$4:$EO$14,((MONTH($A43)-1)*12)+VLOOKUP(CA$4,$DE$6:$DF$17,2)+1))*(VLOOKUP($A43,SatSunCurve,6))*(INDEX(DailyScalarsTable,CA$5/100,MONTH($A43)))*$D43</f>
        <v>-7977.3052662458413</v>
      </c>
      <c r="CB43" s="1021">
        <f>(VLOOKUP(YEAR($A43),'NY East Load Projections'!$A$4:$EO$14,((MONTH($A43)-1)*12)+VLOOKUP(CB$4,$DE$6:$DF$17,2)+1))*(VLOOKUP($A43,SatSunCurve,6))*(INDEX(DailyScalarsTable,CB$5/100,MONTH($A43)))*$D43</f>
        <v>-6530.4172751677761</v>
      </c>
      <c r="CC43" s="1021">
        <f>(VLOOKUP(YEAR($A43),'NY East Load Projections'!$A$4:$EO$14,((MONTH($A43)-1)*12)+VLOOKUP(CC$4,$DE$6:$DF$17,2)+1))*(VLOOKUP($A43,CURVES!$D$9:$T$261,6))*(INDEX(DailyScalarsTable,CC$5/100,MONTH($A43)))*$D43</f>
        <v>-9274.2883488873631</v>
      </c>
      <c r="CE43" s="1021">
        <f>(VLOOKUP(YEAR($A43),'NY East Load Projections'!$A$4:$EO$14,((MONTH($A43)-1)*12)+VLOOKUP(CE$4,$DE$6:$DF$17,2)+1))*(VLOOKUP($A43,CURVES!$D$9:$T$261,6))*(INDEX(DailyScalarsTable,CE$5/100,MONTH($A43)))*$E43</f>
        <v>0</v>
      </c>
      <c r="CF43" s="1021">
        <f>(VLOOKUP(YEAR($A43),'NY East Load Projections'!$A$4:$EO$14,((MONTH($A43)-1)*12)+VLOOKUP(CF$4,$DE$6:$DF$17,2)+1))*(VLOOKUP($A43,CURVES!$D$9:$T$261,6))*(INDEX(DailyScalarsTable,CF$5/100,MONTH($A43)))*$E43</f>
        <v>0</v>
      </c>
      <c r="CG43" s="1021">
        <f>(VLOOKUP(YEAR($A43),'NY East Load Projections'!$A$4:$EO$14,((MONTH($A43)-1)*12)+VLOOKUP(CG$4,$DE$6:$DF$17,2)+1))*(VLOOKUP($A43,CURVES!$D$9:$T$261,6))*(INDEX(DailyScalarsTable,CG$5/100,MONTH($A43)))*$E43</f>
        <v>0</v>
      </c>
      <c r="CH43" s="1021">
        <f>(VLOOKUP(YEAR($A43),'NY East Load Projections'!$A$4:$EO$14,((MONTH($A43)-1)*12)+VLOOKUP(CH$4,$DE$6:$DF$17,2)+1))*(VLOOKUP($A43,CURVES!$D$9:$T$261,6))*(INDEX(DailyScalarsTable,CH$5/100,MONTH($A43)))*$E43</f>
        <v>0</v>
      </c>
      <c r="CI43" s="1021">
        <f>(VLOOKUP(YEAR($A43),'NY East Load Projections'!$A$4:$EO$14,((MONTH($A43)-1)*12)+VLOOKUP(CI$4,$DE$6:$DF$17,2)+1))*(VLOOKUP($A43,CURVES!$D$9:$T$261,6))*(INDEX(DailyScalarsTable,CI$5/100,MONTH($A43)))*$E43</f>
        <v>0</v>
      </c>
      <c r="CJ43" s="1021">
        <f>(VLOOKUP(YEAR($A43),'NY East Load Projections'!$A$4:$EO$14,((MONTH($A43)-1)*12)+VLOOKUP(CJ$4,$DE$6:$DF$17,2)+1))*(VLOOKUP($A43,CURVES!$D$9:$T$261,6))*(INDEX(DailyScalarsTable,CJ$5/100,MONTH($A43)))*$E43</f>
        <v>0</v>
      </c>
      <c r="CK43" s="1021">
        <f>(VLOOKUP(YEAR($A43),'NY East Load Projections'!$A$4:$EO$14,((MONTH($A43)-1)*12)+VLOOKUP(CK$4,$DE$6:$DF$17,2)+1))*(VLOOKUP($A43,CURVES!$D$9:$T$261,6))*(INDEX(DailyScalarsTable,CK$5/100,MONTH($A43)))*$E43</f>
        <v>0</v>
      </c>
      <c r="CL43" s="1021">
        <f>(VLOOKUP(YEAR($A43),'NY East Load Projections'!$A$4:$EO$14,((MONTH($A43)-1)*12)+VLOOKUP(CL$4,$DE$6:$DF$17,2)+1))*(VLOOKUP($A43,SatSunCurve,6))*(INDEX(DailyScalarsTable,CL$5/100,MONTH($A43)))*$E43</f>
        <v>0</v>
      </c>
      <c r="CM43" s="1021">
        <f>(VLOOKUP(YEAR($A43),'NY East Load Projections'!$A$4:$EO$14,((MONTH($A43)-1)*12)+VLOOKUP(CM$4,$DE$6:$DF$17,2)+1))*(VLOOKUP($A43,SatSunCurve,6))*(INDEX(DailyScalarsTable,CM$5/100,MONTH($A43)))*$E43</f>
        <v>0</v>
      </c>
      <c r="CN43" s="1021">
        <f>(VLOOKUP(YEAR($A43),'NY East Load Projections'!$A$4:$EO$14,((MONTH($A43)-1)*12)+VLOOKUP(CN$4,$DE$6:$DF$17,2)+1))*(VLOOKUP($A43,SatSunCurve,6))*(INDEX(DailyScalarsTable,CN$5/100,MONTH($A43)))*$E43</f>
        <v>0</v>
      </c>
      <c r="CO43" s="1021">
        <f>(VLOOKUP(YEAR($A43),'NY East Load Projections'!$A$4:$EO$14,((MONTH($A43)-1)*12)+VLOOKUP(CO$4,$DE$6:$DF$17,2)+1))*(VLOOKUP($A43,SatSunCurve,6))*(INDEX(DailyScalarsTable,CO$5/100,MONTH($A43)))*$E43</f>
        <v>0</v>
      </c>
      <c r="CP43" s="1021">
        <f>(VLOOKUP(YEAR($A43),'NY East Load Projections'!$A$4:$EO$14,((MONTH($A43)-1)*12)+VLOOKUP(CP$4,$DE$6:$DF$17,2)+1))*(VLOOKUP($A43,SatSunCurve,6))*(INDEX(DailyScalarsTable,CP$5/100,MONTH($A43)))*$E43</f>
        <v>0</v>
      </c>
      <c r="CQ43" s="1021">
        <f>(VLOOKUP(YEAR($A43),'NY East Load Projections'!$A$4:$EO$14,((MONTH($A43)-1)*12)+VLOOKUP(CQ$4,$DE$6:$DF$17,2)+1))*(VLOOKUP($A43,SatSunCurve,6))*(INDEX(DailyScalarsTable,CQ$5/100,MONTH($A43)))*$E43</f>
        <v>0</v>
      </c>
      <c r="CR43" s="1021">
        <f>(VLOOKUP(YEAR($A43),'NY East Load Projections'!$A$4:$EO$14,((MONTH($A43)-1)*12)+VLOOKUP(CR$4,$DE$6:$DF$17,2)+1))*(VLOOKUP($A43,SatSunCurve,6))*(INDEX(DailyScalarsTable,CR$5/100,MONTH($A43)))*$E43</f>
        <v>0</v>
      </c>
      <c r="CS43" s="1021">
        <f>(VLOOKUP(YEAR($A43),'NY East Load Projections'!$A$4:$EO$14,((MONTH($A43)-1)*12)+VLOOKUP(CS$4,$DE$6:$DF$17,2)+1))*(VLOOKUP($A43,SatSunCurve,6))*(INDEX(DailyScalarsTable,CS$5/100,MONTH($A43)))*$E43</f>
        <v>0</v>
      </c>
      <c r="CT43" s="1021">
        <f>(VLOOKUP(YEAR($A43),'NY East Load Projections'!$A$4:$EO$14,((MONTH($A43)-1)*12)+VLOOKUP(CT$4,$DE$6:$DF$17,2)+1))*(VLOOKUP($A43,SatSunCurve,6))*(INDEX(DailyScalarsTable,CT$5/100,MONTH($A43)))*$E43</f>
        <v>0</v>
      </c>
      <c r="CU43" s="1021">
        <f>(VLOOKUP(YEAR($A43),'NY East Load Projections'!$A$4:$EO$14,((MONTH($A43)-1)*12)+VLOOKUP(CU$4,$DE$6:$DF$17,2)+1))*(VLOOKUP($A43,SatSunCurve,6))*(INDEX(DailyScalarsTable,CU$5/100,MONTH($A43)))*$E43</f>
        <v>0</v>
      </c>
      <c r="CV43" s="1021">
        <f>(VLOOKUP(YEAR($A43),'NY East Load Projections'!$A$4:$EO$14,((MONTH($A43)-1)*12)+VLOOKUP(CV$4,$DE$6:$DF$17,2)+1))*(VLOOKUP($A43,SatSunCurve,6))*(INDEX(DailyScalarsTable,CV$5/100,MONTH($A43)))*$E43</f>
        <v>0</v>
      </c>
      <c r="CW43" s="1021">
        <f>(VLOOKUP(YEAR($A43),'NY East Load Projections'!$A$4:$EO$14,((MONTH($A43)-1)*12)+VLOOKUP(CW$4,$DE$6:$DF$17,2)+1))*(VLOOKUP($A43,SatSunCurve,6))*(INDEX(DailyScalarsTable,CW$5/100,MONTH($A43)))*$E43</f>
        <v>0</v>
      </c>
      <c r="CX43" s="1021">
        <f>(VLOOKUP(YEAR($A43),'NY East Load Projections'!$A$4:$EO$14,((MONTH($A43)-1)*12)+VLOOKUP(CX$4,$DE$6:$DF$17,2)+1))*(VLOOKUP($A43,SatSunCurve,6))*(INDEX(DailyScalarsTable,CX$5/100,MONTH($A43)))*$E43</f>
        <v>0</v>
      </c>
      <c r="CY43" s="1021">
        <f>(VLOOKUP(YEAR($A43),'NY East Load Projections'!$A$4:$EO$14,((MONTH($A43)-1)*12)+VLOOKUP(CY$4,$DE$6:$DF$17,2)+1))*(VLOOKUP($A43,SatSunCurve,6))*(INDEX(DailyScalarsTable,CY$5/100,MONTH($A43)))*$E43</f>
        <v>0</v>
      </c>
      <c r="CZ43" s="1021">
        <f>(VLOOKUP(YEAR($A43),'NY East Load Projections'!$A$4:$EO$14,((MONTH($A43)-1)*12)+VLOOKUP(CZ$4,$DE$6:$DF$17,2)+1))*(VLOOKUP($A43,SatSunCurve,6))*(INDEX(DailyScalarsTable,CZ$5/100,MONTH($A43)))*$E43</f>
        <v>0</v>
      </c>
      <c r="DA43" s="1021">
        <f>(VLOOKUP(YEAR($A43),'NY East Load Projections'!$A$4:$EO$14,((MONTH($A43)-1)*12)+VLOOKUP(DA$4,$DE$6:$DF$17,2)+1))*(VLOOKUP($A43,SatSunCurve,6))*(INDEX(DailyScalarsTable,DA$5/100,MONTH($A43)))*$E43</f>
        <v>0</v>
      </c>
      <c r="DB43" s="1021">
        <f>(VLOOKUP(YEAR($A43),'NY East Load Projections'!$A$4:$EO$14,((MONTH($A43)-1)*12)+VLOOKUP(DB$4,$DE$6:$DF$17,2)+1))*(VLOOKUP($A43,CURVES!$D$9:$T$261,6))*(INDEX(DailyScalarsTable,DB$5/100,MONTH($A43)))*$E43</f>
        <v>0</v>
      </c>
      <c r="DH43" s="1021">
        <f t="shared" si="0"/>
        <v>-1841781.1201923459</v>
      </c>
      <c r="DI43">
        <f ca="1">CALC!J63</f>
        <v>0.74924536597621894</v>
      </c>
      <c r="DJ43" s="1029">
        <f t="shared" ca="1" si="1"/>
        <v>-1379945.9694466046</v>
      </c>
    </row>
    <row r="44" spans="1:114" x14ac:dyDescent="0.25">
      <c r="A44" s="244">
        <v>38047</v>
      </c>
      <c r="B44" s="13">
        <v>23</v>
      </c>
      <c r="C44" s="210">
        <v>4</v>
      </c>
      <c r="D44" s="210">
        <v>4</v>
      </c>
      <c r="E44" s="210">
        <v>0</v>
      </c>
      <c r="F44" s="13">
        <v>31</v>
      </c>
      <c r="H44" s="1021">
        <f>(VLOOKUP(YEAR($A44),'NY East Load Projections'!$A$4:$EO$14,((MONTH($A44)-1)*12)+VLOOKUP(H$4,$DE$6:$DF$17,2)+1))*(VLOOKUP($A44,CURVES!$D$9:$K$261,6))*(INDEX(DailyScalarsTable,H$5/100,MONTH($A44)))*$B44</f>
        <v>-30599.079613942842</v>
      </c>
      <c r="I44" s="1021">
        <f>(VLOOKUP(YEAR($A44),'NY East Load Projections'!$A$4:$EO$14,((MONTH($A44)-1)*12)+VLOOKUP(I$4,$DE$6:$DF$17,2)+1))*(VLOOKUP($A44,CURVES!$D$9:$K$261,6))*(INDEX(DailyScalarsTable,I$5/100,MONTH($A44)))*$B44</f>
        <v>-28932.787035747318</v>
      </c>
      <c r="J44" s="1021">
        <f>(VLOOKUP(YEAR($A44),'NY East Load Projections'!$A$4:$EO$14,((MONTH($A44)-1)*12)+VLOOKUP(J$4,$DE$6:$DF$17,2)+1))*(VLOOKUP($A44,CURVES!$D$9:$K$261,6))*(INDEX(DailyScalarsTable,J$5/100,MONTH($A44)))*$B44</f>
        <v>-27699.715729547097</v>
      </c>
      <c r="K44" s="1021">
        <f>(VLOOKUP(YEAR($A44),'NY East Load Projections'!$A$4:$EO$14,((MONTH($A44)-1)*12)+VLOOKUP(K$4,$DE$6:$DF$17,2)+1))*(VLOOKUP($A44,CURVES!$D$9:$K$261,6))*(INDEX(DailyScalarsTable,K$5/100,MONTH($A44)))*$B44</f>
        <v>-27717.103773768962</v>
      </c>
      <c r="L44" s="1021">
        <f>(VLOOKUP(YEAR($A44),'NY East Load Projections'!$A$4:$EO$14,((MONTH($A44)-1)*12)+VLOOKUP(L$4,$DE$6:$DF$17,2)+1))*(VLOOKUP($A44,CURVES!$D$9:$K$261,6))*(INDEX(DailyScalarsTable,L$5/100,MONTH($A44)))*$B44</f>
        <v>-32989.912585821672</v>
      </c>
      <c r="M44" s="1021">
        <f>(VLOOKUP(YEAR($A44),'NY East Load Projections'!$A$4:$EO$14,((MONTH($A44)-1)*12)+VLOOKUP(M$4,$DE$6:$DF$17,2)+1))*(VLOOKUP($A44,CURVES!$D$9:$K$261,6))*(INDEX(DailyScalarsTable,M$5/100,MONTH($A44)))*$B44</f>
        <v>-38293.809893334292</v>
      </c>
      <c r="N44" s="1021">
        <f>(VLOOKUP(YEAR($A44),'NY East Load Projections'!$A$4:$EO$14,((MONTH($A44)-1)*12)+VLOOKUP(N$4,$DE$6:$DF$17,2)+1))*(VLOOKUP($A44,CURVES!$D$9:$K$261,6))*(INDEX(DailyScalarsTable,N$5/100,MONTH($A44)))*$B44</f>
        <v>-69096.843183962803</v>
      </c>
      <c r="O44" s="1021">
        <f>(VLOOKUP(YEAR($A44),'NY East Load Projections'!$A$4:$EO$14,((MONTH($A44)-1)*12)+VLOOKUP(O$4,$DE$6:$DF$17,2)+1))*(VLOOKUP($A44,CURVES!$D$9:$K$261,2))*(INDEX(DailyScalarsTable,O$5/100,MONTH($A44)))*$B44</f>
        <v>-73155.463199978767</v>
      </c>
      <c r="P44" s="1021">
        <f>(VLOOKUP(YEAR($A44),'NY East Load Projections'!$A$4:$EO$14,((MONTH($A44)-1)*12)+VLOOKUP(P$4,$DE$6:$DF$17,2)+1))*(VLOOKUP($A44,CURVES!$D$9:$K$261,2))*(INDEX(DailyScalarsTable,P$5/100,MONTH($A44)))*$B44</f>
        <v>-85469.737852616876</v>
      </c>
      <c r="Q44" s="1021">
        <f>(VLOOKUP(YEAR($A44),'NY East Load Projections'!$A$4:$EO$14,((MONTH($A44)-1)*12)+VLOOKUP(Q$4,$DE$6:$DF$17,2)+1))*(VLOOKUP($A44,CURVES!$D$9:$K$261,2))*(INDEX(DailyScalarsTable,Q$5/100,MONTH($A44)))*$B44</f>
        <v>-85211.13047636085</v>
      </c>
      <c r="R44" s="1021">
        <f>(VLOOKUP(YEAR($A44),'NY East Load Projections'!$A$4:$EO$14,((MONTH($A44)-1)*12)+VLOOKUP(R$4,$DE$6:$DF$17,2)+1))*(VLOOKUP($A44,CURVES!$D$9:$K$261,2))*(INDEX(DailyScalarsTable,R$5/100,MONTH($A44)))*$B44</f>
        <v>-83709.770986430027</v>
      </c>
      <c r="S44" s="1021">
        <f>(VLOOKUP(YEAR($A44),'NY East Load Projections'!$A$4:$EO$14,((MONTH($A44)-1)*12)+VLOOKUP(S$4,$DE$6:$DF$17,2)+1))*(VLOOKUP($A44,CURVES!$D$9:$K$261,2))*(INDEX(DailyScalarsTable,S$5/100,MONTH($A44)))*$B44</f>
        <v>-63962.224393990648</v>
      </c>
      <c r="T44" s="1021">
        <f>(VLOOKUP(YEAR($A44),'NY East Load Projections'!$A$4:$EO$14,((MONTH($A44)-1)*12)+VLOOKUP(T$4,$DE$6:$DF$17,2)+1))*(VLOOKUP($A44,CURVES!$D$9:$K$261,2))*(INDEX(DailyScalarsTable,T$5/100,MONTH($A44)))*$B44</f>
        <v>-64148.115978628113</v>
      </c>
      <c r="U44" s="1021">
        <f>(VLOOKUP(YEAR($A44),'NY East Load Projections'!$A$4:$EO$14,((MONTH($A44)-1)*12)+VLOOKUP(U$4,$DE$6:$DF$17,2)+1))*(VLOOKUP($A44,CURVES!$D$9:$K$261,2))*(INDEX(DailyScalarsTable,U$5/100,MONTH($A44)))*$B44</f>
        <v>-62100.835681437857</v>
      </c>
      <c r="V44" s="1021">
        <f>(VLOOKUP(YEAR($A44),'NY East Load Projections'!$A$4:$EO$14,((MONTH($A44)-1)*12)+VLOOKUP(V$4,$DE$6:$DF$17,2)+1))*(VLOOKUP($A44,CURVES!$D$9:$K$261,2))*(INDEX(DailyScalarsTable,V$5/100,MONTH($A44)))*$B44</f>
        <v>-58977.991459999088</v>
      </c>
      <c r="W44" s="1021">
        <f>(VLOOKUP(YEAR($A44),'NY East Load Projections'!$A$4:$EO$14,((MONTH($A44)-1)*12)+VLOOKUP(W$4,$DE$6:$DF$17,2)+1))*(VLOOKUP($A44,CURVES!$D$9:$K$261,2))*(INDEX(DailyScalarsTable,W$5/100,MONTH($A44)))*$B44</f>
        <v>-57805.997666680021</v>
      </c>
      <c r="X44" s="1021">
        <f>(VLOOKUP(YEAR($A44),'NY East Load Projections'!$A$4:$EO$14,((MONTH($A44)-1)*12)+VLOOKUP(X$4,$DE$6:$DF$17,2)+1))*(VLOOKUP($A44,CURVES!$D$9:$K$261,2))*(INDEX(DailyScalarsTable,X$5/100,MONTH($A44)))*$B44</f>
        <v>-59448.839272932222</v>
      </c>
      <c r="Y44" s="1021">
        <f>(VLOOKUP(YEAR($A44),'NY East Load Projections'!$A$4:$EO$14,((MONTH($A44)-1)*12)+VLOOKUP(Y$4,$DE$6:$DF$17,2)+1))*(VLOOKUP($A44,CURVES!$D$9:$K$261,2))*(INDEX(DailyScalarsTable,Y$5/100,MONTH($A44)))*$B44</f>
        <v>-81049.423881635346</v>
      </c>
      <c r="Z44" s="1021">
        <f>(VLOOKUP(YEAR($A44),'NY East Load Projections'!$A$4:$EO$14,((MONTH($A44)-1)*12)+VLOOKUP(Z$4,$DE$6:$DF$17,2)+1))*(VLOOKUP($A44,CURVES!$D$9:$K$261,2))*(INDEX(DailyScalarsTable,Z$5/100,MONTH($A44)))*$B44</f>
        <v>-88998.327061255273</v>
      </c>
      <c r="AA44" s="1021">
        <f>(VLOOKUP(YEAR($A44),'NY East Load Projections'!$A$4:$EO$14,((MONTH($A44)-1)*12)+VLOOKUP(AA$4,$DE$6:$DF$17,2)+1))*(VLOOKUP($A44,CURVES!$D$9:$K$261,2))*(INDEX(DailyScalarsTable,AA$5/100,MONTH($A44)))*$B44</f>
        <v>-85156.823676034037</v>
      </c>
      <c r="AB44" s="1021">
        <f>(VLOOKUP(YEAR($A44),'NY East Load Projections'!$A$4:$EO$14,((MONTH($A44)-1)*12)+VLOOKUP(AB$4,$DE$6:$DF$17,2)+1))*(VLOOKUP($A44,CURVES!$D$9:$K$261,2))*(INDEX(DailyScalarsTable,AB$5/100,MONTH($A44)))*$B44</f>
        <v>-71613.733922881613</v>
      </c>
      <c r="AC44" s="1021">
        <f>(VLOOKUP(YEAR($A44),'NY East Load Projections'!$A$4:$EO$14,((MONTH($A44)-1)*12)+VLOOKUP(AC$4,$DE$6:$DF$17,2)+1))*(VLOOKUP($A44,CURVES!$D$9:$K$261,2))*(INDEX(DailyScalarsTable,AC$5/100,MONTH($A44)))*$B44</f>
        <v>-52001.414511288145</v>
      </c>
      <c r="AD44" s="1021">
        <f>(VLOOKUP(YEAR($A44),'NY East Load Projections'!$A$4:$EO$14,((MONTH($A44)-1)*12)+VLOOKUP(AD$4,$DE$6:$DF$17,2)+1))*(VLOOKUP($A44,CURVES!$D$9:$K$261,2))*(INDEX(DailyScalarsTable,AD$5/100,MONTH($A44)))*$B44</f>
        <v>-42683.061219427735</v>
      </c>
      <c r="AE44" s="1021">
        <f>(VLOOKUP(YEAR($A44),'NY East Load Projections'!$A$4:$EO$14,((MONTH($A44)-1)*12)+VLOOKUP(AE$4,$DE$6:$DF$17,2)+1))*(VLOOKUP($A44,CURVES!$D$9:$K$261,6))*(INDEX(DailyScalarsTable,AE$5/100,MONTH($A44)))*$B44</f>
        <v>-39040.41298134016</v>
      </c>
      <c r="AF44" s="1021"/>
      <c r="AG44" s="1021">
        <f>(VLOOKUP(YEAR($A44),'NY East Load Projections'!$A$4:$EO$14,((MONTH($A44)-1)*12)+VLOOKUP(AG$4,$DE$6:$DF$17,2)+1))*(VLOOKUP($A44,CURVES!$D$9:$T$261,6))*(INDEX(DailyScalarsTable,AG$5/100,MONTH($A44)))*$C44</f>
        <v>-5952.4505185951593</v>
      </c>
      <c r="AH44" s="1021">
        <f>(VLOOKUP(YEAR($A44),'NY East Load Projections'!$A$4:$EO$14,((MONTH($A44)-1)*12)+VLOOKUP(AH$4,$DE$6:$DF$17,2)+1))*(VLOOKUP($A44,CURVES!$D$9:$T$261,6))*(INDEX(DailyScalarsTable,AH$5/100,MONTH($A44)))*$C44</f>
        <v>-5628.3059937810303</v>
      </c>
      <c r="AI44" s="1021">
        <f>(VLOOKUP(YEAR($A44),'NY East Load Projections'!$A$4:$EO$14,((MONTH($A44)-1)*12)+VLOOKUP(AI$4,$DE$6:$DF$17,2)+1))*(VLOOKUP($A44,CURVES!$D$9:$T$261,6))*(INDEX(DailyScalarsTable,AI$5/100,MONTH($A44)))*$C44</f>
        <v>-5388.4361666927716</v>
      </c>
      <c r="AJ44" s="1021">
        <f>(VLOOKUP(YEAR($A44),'NY East Load Projections'!$A$4:$EO$14,((MONTH($A44)-1)*12)+VLOOKUP(AJ$4,$DE$6:$DF$17,2)+1))*(VLOOKUP($A44,CURVES!$D$9:$T$261,6))*(INDEX(DailyScalarsTable,AJ$5/100,MONTH($A44)))*$C44</f>
        <v>-5391.8186695050008</v>
      </c>
      <c r="AK44" s="1021">
        <f>(VLOOKUP(YEAR($A44),'NY East Load Projections'!$A$4:$EO$14,((MONTH($A44)-1)*12)+VLOOKUP(AK$4,$DE$6:$DF$17,2)+1))*(VLOOKUP($A44,CURVES!$D$9:$T$261,6))*(INDEX(DailyScalarsTable,AK$5/100,MONTH($A44)))*$C44</f>
        <v>-5870.485584065169</v>
      </c>
      <c r="AL44" s="1021">
        <f>(VLOOKUP(YEAR($A44),'NY East Load Projections'!$A$4:$EO$14,((MONTH($A44)-1)*12)+VLOOKUP(AL$4,$DE$6:$DF$17,2)+1))*(VLOOKUP($A44,CURVES!$D$9:$T$261,6))*(INDEX(DailyScalarsTable,AL$5/100,MONTH($A44)))*$C44</f>
        <v>-6814.3029586070052</v>
      </c>
      <c r="AM44" s="1021">
        <f>(VLOOKUP(YEAR($A44),'NY East Load Projections'!$A$4:$EO$14,((MONTH($A44)-1)*12)+VLOOKUP(AM$4,$DE$6:$DF$17,2)+1))*(VLOOKUP($A44,CURVES!$D$9:$T$261,6))*(INDEX(DailyScalarsTable,AM$5/100,MONTH($A44)))*$C44</f>
        <v>-12295.637969959242</v>
      </c>
      <c r="AN44" s="1021">
        <f>(VLOOKUP(YEAR($A44),'NY East Load Projections'!$A$4:$EO$14,((MONTH($A44)-1)*12)+VLOOKUP(AN$4,$DE$6:$DF$17,2)+1))*(VLOOKUP($A44,SatSunCurve,2))*(INDEX(DailyScalarsTable,AN$5/100,MONTH($A44)))*$C44</f>
        <v>-8298.5340381427832</v>
      </c>
      <c r="AO44" s="1021">
        <f>(VLOOKUP(YEAR($A44),'NY East Load Projections'!$A$4:$EO$14,((MONTH($A44)-1)*12)+VLOOKUP(AO$4,$DE$6:$DF$17,2)+1))*(VLOOKUP($A44,SatSunCurve,2))*(INDEX(DailyScalarsTable,AO$5/100,MONTH($A44)))*$C44</f>
        <v>-9317.0832243833484</v>
      </c>
      <c r="AP44" s="1021">
        <f>(VLOOKUP(YEAR($A44),'NY East Load Projections'!$A$4:$EO$14,((MONTH($A44)-1)*12)+VLOOKUP(AP$4,$DE$6:$DF$17,2)+1))*(VLOOKUP($A44,SatSunCurve,2))*(INDEX(DailyScalarsTable,AP$5/100,MONTH($A44)))*$C44</f>
        <v>-9288.8923522974692</v>
      </c>
      <c r="AQ44" s="1021">
        <f>(VLOOKUP(YEAR($A44),'NY East Load Projections'!$A$4:$EO$14,((MONTH($A44)-1)*12)+VLOOKUP(AQ$4,$DE$6:$DF$17,2)+1))*(VLOOKUP($A44,SatSunCurve,2))*(INDEX(DailyScalarsTable,AQ$5/100,MONTH($A44)))*$C44</f>
        <v>-9125.228678243333</v>
      </c>
      <c r="AR44" s="1021">
        <f>(VLOOKUP(YEAR($A44),'NY East Load Projections'!$A$4:$EO$14,((MONTH($A44)-1)*12)+VLOOKUP(AR$4,$DE$6:$DF$17,2)+1))*(VLOOKUP($A44,SatSunCurve,2))*(INDEX(DailyScalarsTable,AR$5/100,MONTH($A44)))*$C44</f>
        <v>-6972.5423625743269</v>
      </c>
      <c r="AS44" s="1021">
        <f>(VLOOKUP(YEAR($A44),'NY East Load Projections'!$A$4:$EO$14,((MONTH($A44)-1)*12)+VLOOKUP(AS$4,$DE$6:$DF$17,2)+1))*(VLOOKUP($A44,SatSunCurve,2))*(INDEX(DailyScalarsTable,AS$5/100,MONTH($A44)))*$C44</f>
        <v>-6807.3686255292487</v>
      </c>
      <c r="AT44" s="1021">
        <f>(VLOOKUP(YEAR($A44),'NY East Load Projections'!$A$4:$EO$14,((MONTH($A44)-1)*12)+VLOOKUP(AT$4,$DE$6:$DF$17,2)+1))*(VLOOKUP($A44,SatSunCurve,2))*(INDEX(DailyScalarsTable,AT$5/100,MONTH($A44)))*$C44</f>
        <v>-6590.112180033635</v>
      </c>
      <c r="AU44" s="1021">
        <f>(VLOOKUP(YEAR($A44),'NY East Load Projections'!$A$4:$EO$14,((MONTH($A44)-1)*12)+VLOOKUP(AU$4,$DE$6:$DF$17,2)+1))*(VLOOKUP($A44,SatSunCurve,2))*(INDEX(DailyScalarsTable,AU$5/100,MONTH($A44)))*$C44</f>
        <v>-6258.7173845493826</v>
      </c>
      <c r="AV44" s="1021">
        <f>(VLOOKUP(YEAR($A44),'NY East Load Projections'!$A$4:$EO$14,((MONTH($A44)-1)*12)+VLOOKUP(AV$4,$DE$6:$DF$17,2)+1))*(VLOOKUP($A44,SatSunCurve,2))*(INDEX(DailyScalarsTable,AV$5/100,MONTH($A44)))*$C44</f>
        <v>-6134.3459411134872</v>
      </c>
      <c r="AW44" s="1021">
        <f>(VLOOKUP(YEAR($A44),'NY East Load Projections'!$A$4:$EO$14,((MONTH($A44)-1)*12)+VLOOKUP(AW$4,$DE$6:$DF$17,2)+1))*(VLOOKUP($A44,SatSunCurve,2))*(INDEX(DailyScalarsTable,AW$5/100,MONTH($A44)))*$C44</f>
        <v>-6402.9348499147754</v>
      </c>
      <c r="AX44" s="1021">
        <f>(VLOOKUP(YEAR($A44),'NY East Load Projections'!$A$4:$EO$14,((MONTH($A44)-1)*12)+VLOOKUP(AX$4,$DE$6:$DF$17,2)+1))*(VLOOKUP($A44,SatSunCurve,2))*(INDEX(DailyScalarsTable,AX$5/100,MONTH($A44)))*$C44</f>
        <v>-8729.4249489833874</v>
      </c>
      <c r="AY44" s="1021">
        <f>(VLOOKUP(YEAR($A44),'NY East Load Projections'!$A$4:$EO$14,((MONTH($A44)-1)*12)+VLOOKUP(AY$4,$DE$6:$DF$17,2)+1))*(VLOOKUP($A44,SatSunCurve,2))*(INDEX(DailyScalarsTable,AY$5/100,MONTH($A44)))*$C44</f>
        <v>-9585.5612471829136</v>
      </c>
      <c r="AZ44" s="1021">
        <f>(VLOOKUP(YEAR($A44),'NY East Load Projections'!$A$4:$EO$14,((MONTH($A44)-1)*12)+VLOOKUP(AZ$4,$DE$6:$DF$17,2)+1))*(VLOOKUP($A44,SatSunCurve,2))*(INDEX(DailyScalarsTable,AZ$5/100,MONTH($A44)))*$C44</f>
        <v>-9171.8122791269798</v>
      </c>
      <c r="BA44" s="1021">
        <f>(VLOOKUP(YEAR($A44),'NY East Load Projections'!$A$4:$EO$14,((MONTH($A44)-1)*12)+VLOOKUP(BA$4,$DE$6:$DF$17,2)+1))*(VLOOKUP($A44,SatSunCurve,2))*(INDEX(DailyScalarsTable,BA$5/100,MONTH($A44)))*$C44</f>
        <v>-8336.6586127225801</v>
      </c>
      <c r="BB44" s="1021">
        <f>(VLOOKUP(YEAR($A44),'NY East Load Projections'!$A$4:$EO$14,((MONTH($A44)-1)*12)+VLOOKUP(BB$4,$DE$6:$DF$17,2)+1))*(VLOOKUP($A44,SatSunCurve,2))*(INDEX(DailyScalarsTable,BB$5/100,MONTH($A44)))*$C44</f>
        <v>-6053.5600702810461</v>
      </c>
      <c r="BC44" s="1021">
        <f>(VLOOKUP(YEAR($A44),'NY East Load Projections'!$A$4:$EO$14,((MONTH($A44)-1)*12)+VLOOKUP(BC$4,$DE$6:$DF$17,2)+1))*(VLOOKUP($A44,SatSunCurve,2))*(INDEX(DailyScalarsTable,BC$5/100,MONTH($A44)))*$C44</f>
        <v>-4968.7970510725363</v>
      </c>
      <c r="BD44" s="1021">
        <f>(VLOOKUP(YEAR($A44),'NY East Load Projections'!$A$4:$EO$14,((MONTH($A44)-1)*12)+VLOOKUP(BD$4,$DE$6:$DF$17,2)+1))*(VLOOKUP($A44,CURVES!$D$9:$T$261,6))*(INDEX(DailyScalarsTable,BD$5/100,MONTH($A44)))*$C44</f>
        <v>-7129.3239345203619</v>
      </c>
      <c r="BE44" s="1021"/>
      <c r="BF44" s="1021">
        <f>(VLOOKUP(YEAR($A44),'NY East Load Projections'!$A$4:$EO$14,((MONTH($A44)-1)*12)+VLOOKUP(BF$4,$DE$6:$DF$17,2)+1))*(VLOOKUP($A44,CURVES!$D$9:$T$261,6))*(INDEX(DailyScalarsTable,BF$5/100,MONTH($A44)))*$D44</f>
        <v>-5952.4505185951593</v>
      </c>
      <c r="BG44" s="1021">
        <f>(VLOOKUP(YEAR($A44),'NY East Load Projections'!$A$4:$EO$14,((MONTH($A44)-1)*12)+VLOOKUP(BG$4,$DE$6:$DF$17,2)+1))*(VLOOKUP($A44,CURVES!$D$9:$T$261,6))*(INDEX(DailyScalarsTable,BG$5/100,MONTH($A44)))*$D44</f>
        <v>-5628.3059937810303</v>
      </c>
      <c r="BH44" s="1021">
        <f>(VLOOKUP(YEAR($A44),'NY East Load Projections'!$A$4:$EO$14,((MONTH($A44)-1)*12)+VLOOKUP(BH$4,$DE$6:$DF$17,2)+1))*(VLOOKUP($A44,CURVES!$D$9:$T$261,6))*(INDEX(DailyScalarsTable,BH$5/100,MONTH($A44)))*$D44</f>
        <v>-5388.4361666927716</v>
      </c>
      <c r="BI44" s="1021">
        <f>(VLOOKUP(YEAR($A44),'NY East Load Projections'!$A$4:$EO$14,((MONTH($A44)-1)*12)+VLOOKUP(BI$4,$DE$6:$DF$17,2)+1))*(VLOOKUP($A44,CURVES!$D$9:$T$261,6))*(INDEX(DailyScalarsTable,BI$5/100,MONTH($A44)))*$D44</f>
        <v>-5391.8186695050008</v>
      </c>
      <c r="BJ44" s="1021">
        <f>(VLOOKUP(YEAR($A44),'NY East Load Projections'!$A$4:$EO$14,((MONTH($A44)-1)*12)+VLOOKUP(BJ$4,$DE$6:$DF$17,2)+1))*(VLOOKUP($A44,CURVES!$D$9:$T$261,6))*(INDEX(DailyScalarsTable,BJ$5/100,MONTH($A44)))*$D44</f>
        <v>-5870.485584065169</v>
      </c>
      <c r="BK44" s="1021">
        <f>(VLOOKUP(YEAR($A44),'NY East Load Projections'!$A$4:$EO$14,((MONTH($A44)-1)*12)+VLOOKUP(BK$4,$DE$6:$DF$17,2)+1))*(VLOOKUP($A44,CURVES!$D$9:$T$261,6))*(INDEX(DailyScalarsTable,BK$5/100,MONTH($A44)))*$D44</f>
        <v>-6814.3029586070052</v>
      </c>
      <c r="BL44" s="1021">
        <f>(VLOOKUP(YEAR($A44),'NY East Load Projections'!$A$4:$EO$14,((MONTH($A44)-1)*12)+VLOOKUP(BL$4,$DE$6:$DF$17,2)+1))*(VLOOKUP($A44,CURVES!$D$9:$T$261,6))*(INDEX(DailyScalarsTable,BL$5/100,MONTH($A44)))*$D44</f>
        <v>-12295.637969959242</v>
      </c>
      <c r="BM44" s="1021">
        <f>(VLOOKUP(YEAR($A44),'NY East Load Projections'!$A$4:$EO$14,((MONTH($A44)-1)*12)+VLOOKUP(BM$4,$DE$6:$DF$17,2)+1))*(VLOOKUP($A44,SatSunCurve,6))*(INDEX(DailyScalarsTable,BM$5/100,MONTH($A44)))*$D44</f>
        <v>-6987.5929135019669</v>
      </c>
      <c r="BN44" s="1021">
        <f>(VLOOKUP(YEAR($A44),'NY East Load Projections'!$A$4:$EO$14,((MONTH($A44)-1)*12)+VLOOKUP(BN$4,$DE$6:$DF$17,2)+1))*(VLOOKUP($A44,SatSunCurve,6))*(INDEX(DailyScalarsTable,BN$5/100,MONTH($A44)))*$D44</f>
        <v>-7845.2392210443304</v>
      </c>
      <c r="BO44" s="1021">
        <f>(VLOOKUP(YEAR($A44),'NY East Load Projections'!$A$4:$EO$14,((MONTH($A44)-1)*12)+VLOOKUP(BO$4,$DE$6:$DF$17,2)+1))*(VLOOKUP($A44,SatSunCurve,6))*(INDEX(DailyScalarsTable,BO$5/100,MONTH($A44)))*$D44</f>
        <v>-7821.5017347476751</v>
      </c>
      <c r="BP44" s="1021">
        <f>(VLOOKUP(YEAR($A44),'NY East Load Projections'!$A$4:$EO$14,((MONTH($A44)-1)*12)+VLOOKUP(BP$4,$DE$6:$DF$17,2)+1))*(VLOOKUP($A44,SatSunCurve,6))*(INDEX(DailyScalarsTable,BP$5/100,MONTH($A44)))*$D44</f>
        <v>-7683.6924393032095</v>
      </c>
      <c r="BQ44" s="1021">
        <f>(VLOOKUP(YEAR($A44),'NY East Load Projections'!$A$4:$EO$14,((MONTH($A44)-1)*12)+VLOOKUP(BQ$4,$DE$6:$DF$17,2)+1))*(VLOOKUP($A44,SatSunCurve,6))*(INDEX(DailyScalarsTable,BQ$5/100,MONTH($A44)))*$D44</f>
        <v>-5871.0716107058934</v>
      </c>
      <c r="BR44" s="1021">
        <f>(VLOOKUP(YEAR($A44),'NY East Load Projections'!$A$4:$EO$14,((MONTH($A44)-1)*12)+VLOOKUP(BR$4,$DE$6:$DF$17,2)+1))*(VLOOKUP($A44,SatSunCurve,6))*(INDEX(DailyScalarsTable,BR$5/100,MONTH($A44)))*$D44</f>
        <v>-5731.9908008703369</v>
      </c>
      <c r="BS44" s="1021">
        <f>(VLOOKUP(YEAR($A44),'NY East Load Projections'!$A$4:$EO$14,((MONTH($A44)-1)*12)+VLOOKUP(BS$4,$DE$6:$DF$17,2)+1))*(VLOOKUP($A44,SatSunCurve,6))*(INDEX(DailyScalarsTable,BS$5/100,MONTH($A44)))*$D44</f>
        <v>-5549.054924246816</v>
      </c>
      <c r="BT44" s="1021">
        <f>(VLOOKUP(YEAR($A44),'NY East Load Projections'!$A$4:$EO$14,((MONTH($A44)-1)*12)+VLOOKUP(BT$4,$DE$6:$DF$17,2)+1))*(VLOOKUP($A44,SatSunCurve,6))*(INDEX(DailyScalarsTable,BT$5/100,MONTH($A44)))*$D44</f>
        <v>-5270.0114312812266</v>
      </c>
      <c r="BU44" s="1021">
        <f>(VLOOKUP(YEAR($A44),'NY East Load Projections'!$A$4:$EO$14,((MONTH($A44)-1)*12)+VLOOKUP(BU$4,$DE$6:$DF$17,2)+1))*(VLOOKUP($A44,SatSunCurve,6))*(INDEX(DailyScalarsTable,BU$5/100,MONTH($A44)))*$D44</f>
        <v>-5165.2872700257321</v>
      </c>
      <c r="BV44" s="1021">
        <f>(VLOOKUP(YEAR($A44),'NY East Load Projections'!$A$4:$EO$14,((MONTH($A44)-1)*12)+VLOOKUP(BV$4,$DE$6:$DF$17,2)+1))*(VLOOKUP($A44,SatSunCurve,6))*(INDEX(DailyScalarsTable,BV$5/100,MONTH($A44)))*$D44</f>
        <v>-5391.4464864799602</v>
      </c>
      <c r="BW44" s="1021">
        <f>(VLOOKUP(YEAR($A44),'NY East Load Projections'!$A$4:$EO$14,((MONTH($A44)-1)*12)+VLOOKUP(BW$4,$DE$6:$DF$17,2)+1))*(VLOOKUP($A44,SatSunCurve,6))*(INDEX(DailyScalarsTable,BW$5/100,MONTH($A44)))*$D44</f>
        <v>-7350.4148602751156</v>
      </c>
      <c r="BX44" s="1021">
        <f>(VLOOKUP(YEAR($A44),'NY East Load Projections'!$A$4:$EO$14,((MONTH($A44)-1)*12)+VLOOKUP(BX$4,$DE$6:$DF$17,2)+1))*(VLOOKUP($A44,SatSunCurve,6))*(INDEX(DailyScalarsTable,BX$5/100,MONTH($A44)))*$D44</f>
        <v>-8071.3050684485188</v>
      </c>
      <c r="BY44" s="1021">
        <f>(VLOOKUP(YEAR($A44),'NY East Load Projections'!$A$4:$EO$14,((MONTH($A44)-1)*12)+VLOOKUP(BY$4,$DE$6:$DF$17,2)+1))*(VLOOKUP($A44,SatSunCurve,6))*(INDEX(DailyScalarsTable,BY$5/100,MONTH($A44)))*$D44</f>
        <v>-7722.9171069280974</v>
      </c>
      <c r="BZ44" s="1021">
        <f>(VLOOKUP(YEAR($A44),'NY East Load Projections'!$A$4:$EO$14,((MONTH($A44)-1)*12)+VLOOKUP(BZ$4,$DE$6:$DF$17,2)+1))*(VLOOKUP($A44,SatSunCurve,6))*(INDEX(DailyScalarsTable,BZ$5/100,MONTH($A44)))*$D44</f>
        <v>-7019.6948493305863</v>
      </c>
      <c r="CA44" s="1021">
        <f>(VLOOKUP(YEAR($A44),'NY East Load Projections'!$A$4:$EO$14,((MONTH($A44)-1)*12)+VLOOKUP(CA$4,$DE$6:$DF$17,2)+1))*(VLOOKUP($A44,SatSunCurve,6))*(INDEX(DailyScalarsTable,CA$5/100,MONTH($A44)))*$D44</f>
        <v>-5097.2633544829114</v>
      </c>
      <c r="CB44" s="1021">
        <f>(VLOOKUP(YEAR($A44),'NY East Load Projections'!$A$4:$EO$14,((MONTH($A44)-1)*12)+VLOOKUP(CB$4,$DE$6:$DF$17,2)+1))*(VLOOKUP($A44,SatSunCurve,6))*(INDEX(DailyScalarsTable,CB$5/100,MONTH($A44)))*$D44</f>
        <v>-4183.863186331434</v>
      </c>
      <c r="CC44" s="1021">
        <f>(VLOOKUP(YEAR($A44),'NY East Load Projections'!$A$4:$EO$14,((MONTH($A44)-1)*12)+VLOOKUP(CC$4,$DE$6:$DF$17,2)+1))*(VLOOKUP($A44,CURVES!$D$9:$T$261,6))*(INDEX(DailyScalarsTable,CC$5/100,MONTH($A44)))*$D44</f>
        <v>-7129.3239345203619</v>
      </c>
      <c r="CE44" s="1021">
        <f>(VLOOKUP(YEAR($A44),'NY East Load Projections'!$A$4:$EO$14,((MONTH($A44)-1)*12)+VLOOKUP(CE$4,$DE$6:$DF$17,2)+1))*(VLOOKUP($A44,CURVES!$D$9:$T$261,6))*(INDEX(DailyScalarsTable,CE$5/100,MONTH($A44)))*$E44</f>
        <v>0</v>
      </c>
      <c r="CF44" s="1021">
        <f>(VLOOKUP(YEAR($A44),'NY East Load Projections'!$A$4:$EO$14,((MONTH($A44)-1)*12)+VLOOKUP(CF$4,$DE$6:$DF$17,2)+1))*(VLOOKUP($A44,CURVES!$D$9:$T$261,6))*(INDEX(DailyScalarsTable,CF$5/100,MONTH($A44)))*$E44</f>
        <v>0</v>
      </c>
      <c r="CG44" s="1021">
        <f>(VLOOKUP(YEAR($A44),'NY East Load Projections'!$A$4:$EO$14,((MONTH($A44)-1)*12)+VLOOKUP(CG$4,$DE$6:$DF$17,2)+1))*(VLOOKUP($A44,CURVES!$D$9:$T$261,6))*(INDEX(DailyScalarsTable,CG$5/100,MONTH($A44)))*$E44</f>
        <v>0</v>
      </c>
      <c r="CH44" s="1021">
        <f>(VLOOKUP(YEAR($A44),'NY East Load Projections'!$A$4:$EO$14,((MONTH($A44)-1)*12)+VLOOKUP(CH$4,$DE$6:$DF$17,2)+1))*(VLOOKUP($A44,CURVES!$D$9:$T$261,6))*(INDEX(DailyScalarsTable,CH$5/100,MONTH($A44)))*$E44</f>
        <v>0</v>
      </c>
      <c r="CI44" s="1021">
        <f>(VLOOKUP(YEAR($A44),'NY East Load Projections'!$A$4:$EO$14,((MONTH($A44)-1)*12)+VLOOKUP(CI$4,$DE$6:$DF$17,2)+1))*(VLOOKUP($A44,CURVES!$D$9:$T$261,6))*(INDEX(DailyScalarsTable,CI$5/100,MONTH($A44)))*$E44</f>
        <v>0</v>
      </c>
      <c r="CJ44" s="1021">
        <f>(VLOOKUP(YEAR($A44),'NY East Load Projections'!$A$4:$EO$14,((MONTH($A44)-1)*12)+VLOOKUP(CJ$4,$DE$6:$DF$17,2)+1))*(VLOOKUP($A44,CURVES!$D$9:$T$261,6))*(INDEX(DailyScalarsTable,CJ$5/100,MONTH($A44)))*$E44</f>
        <v>0</v>
      </c>
      <c r="CK44" s="1021">
        <f>(VLOOKUP(YEAR($A44),'NY East Load Projections'!$A$4:$EO$14,((MONTH($A44)-1)*12)+VLOOKUP(CK$4,$DE$6:$DF$17,2)+1))*(VLOOKUP($A44,CURVES!$D$9:$T$261,6))*(INDEX(DailyScalarsTable,CK$5/100,MONTH($A44)))*$E44</f>
        <v>0</v>
      </c>
      <c r="CL44" s="1021">
        <f>(VLOOKUP(YEAR($A44),'NY East Load Projections'!$A$4:$EO$14,((MONTH($A44)-1)*12)+VLOOKUP(CL$4,$DE$6:$DF$17,2)+1))*(VLOOKUP($A44,SatSunCurve,6))*(INDEX(DailyScalarsTable,CL$5/100,MONTH($A44)))*$E44</f>
        <v>0</v>
      </c>
      <c r="CM44" s="1021">
        <f>(VLOOKUP(YEAR($A44),'NY East Load Projections'!$A$4:$EO$14,((MONTH($A44)-1)*12)+VLOOKUP(CM$4,$DE$6:$DF$17,2)+1))*(VLOOKUP($A44,SatSunCurve,6))*(INDEX(DailyScalarsTable,CM$5/100,MONTH($A44)))*$E44</f>
        <v>0</v>
      </c>
      <c r="CN44" s="1021">
        <f>(VLOOKUP(YEAR($A44),'NY East Load Projections'!$A$4:$EO$14,((MONTH($A44)-1)*12)+VLOOKUP(CN$4,$DE$6:$DF$17,2)+1))*(VLOOKUP($A44,SatSunCurve,6))*(INDEX(DailyScalarsTable,CN$5/100,MONTH($A44)))*$E44</f>
        <v>0</v>
      </c>
      <c r="CO44" s="1021">
        <f>(VLOOKUP(YEAR($A44),'NY East Load Projections'!$A$4:$EO$14,((MONTH($A44)-1)*12)+VLOOKUP(CO$4,$DE$6:$DF$17,2)+1))*(VLOOKUP($A44,SatSunCurve,6))*(INDEX(DailyScalarsTable,CO$5/100,MONTH($A44)))*$E44</f>
        <v>0</v>
      </c>
      <c r="CP44" s="1021">
        <f>(VLOOKUP(YEAR($A44),'NY East Load Projections'!$A$4:$EO$14,((MONTH($A44)-1)*12)+VLOOKUP(CP$4,$DE$6:$DF$17,2)+1))*(VLOOKUP($A44,SatSunCurve,6))*(INDEX(DailyScalarsTable,CP$5/100,MONTH($A44)))*$E44</f>
        <v>0</v>
      </c>
      <c r="CQ44" s="1021">
        <f>(VLOOKUP(YEAR($A44),'NY East Load Projections'!$A$4:$EO$14,((MONTH($A44)-1)*12)+VLOOKUP(CQ$4,$DE$6:$DF$17,2)+1))*(VLOOKUP($A44,SatSunCurve,6))*(INDEX(DailyScalarsTable,CQ$5/100,MONTH($A44)))*$E44</f>
        <v>0</v>
      </c>
      <c r="CR44" s="1021">
        <f>(VLOOKUP(YEAR($A44),'NY East Load Projections'!$A$4:$EO$14,((MONTH($A44)-1)*12)+VLOOKUP(CR$4,$DE$6:$DF$17,2)+1))*(VLOOKUP($A44,SatSunCurve,6))*(INDEX(DailyScalarsTable,CR$5/100,MONTH($A44)))*$E44</f>
        <v>0</v>
      </c>
      <c r="CS44" s="1021">
        <f>(VLOOKUP(YEAR($A44),'NY East Load Projections'!$A$4:$EO$14,((MONTH($A44)-1)*12)+VLOOKUP(CS$4,$DE$6:$DF$17,2)+1))*(VLOOKUP($A44,SatSunCurve,6))*(INDEX(DailyScalarsTable,CS$5/100,MONTH($A44)))*$E44</f>
        <v>0</v>
      </c>
      <c r="CT44" s="1021">
        <f>(VLOOKUP(YEAR($A44),'NY East Load Projections'!$A$4:$EO$14,((MONTH($A44)-1)*12)+VLOOKUP(CT$4,$DE$6:$DF$17,2)+1))*(VLOOKUP($A44,SatSunCurve,6))*(INDEX(DailyScalarsTable,CT$5/100,MONTH($A44)))*$E44</f>
        <v>0</v>
      </c>
      <c r="CU44" s="1021">
        <f>(VLOOKUP(YEAR($A44),'NY East Load Projections'!$A$4:$EO$14,((MONTH($A44)-1)*12)+VLOOKUP(CU$4,$DE$6:$DF$17,2)+1))*(VLOOKUP($A44,SatSunCurve,6))*(INDEX(DailyScalarsTable,CU$5/100,MONTH($A44)))*$E44</f>
        <v>0</v>
      </c>
      <c r="CV44" s="1021">
        <f>(VLOOKUP(YEAR($A44),'NY East Load Projections'!$A$4:$EO$14,((MONTH($A44)-1)*12)+VLOOKUP(CV$4,$DE$6:$DF$17,2)+1))*(VLOOKUP($A44,SatSunCurve,6))*(INDEX(DailyScalarsTable,CV$5/100,MONTH($A44)))*$E44</f>
        <v>0</v>
      </c>
      <c r="CW44" s="1021">
        <f>(VLOOKUP(YEAR($A44),'NY East Load Projections'!$A$4:$EO$14,((MONTH($A44)-1)*12)+VLOOKUP(CW$4,$DE$6:$DF$17,2)+1))*(VLOOKUP($A44,SatSunCurve,6))*(INDEX(DailyScalarsTable,CW$5/100,MONTH($A44)))*$E44</f>
        <v>0</v>
      </c>
      <c r="CX44" s="1021">
        <f>(VLOOKUP(YEAR($A44),'NY East Load Projections'!$A$4:$EO$14,((MONTH($A44)-1)*12)+VLOOKUP(CX$4,$DE$6:$DF$17,2)+1))*(VLOOKUP($A44,SatSunCurve,6))*(INDEX(DailyScalarsTable,CX$5/100,MONTH($A44)))*$E44</f>
        <v>0</v>
      </c>
      <c r="CY44" s="1021">
        <f>(VLOOKUP(YEAR($A44),'NY East Load Projections'!$A$4:$EO$14,((MONTH($A44)-1)*12)+VLOOKUP(CY$4,$DE$6:$DF$17,2)+1))*(VLOOKUP($A44,SatSunCurve,6))*(INDEX(DailyScalarsTable,CY$5/100,MONTH($A44)))*$E44</f>
        <v>0</v>
      </c>
      <c r="CZ44" s="1021">
        <f>(VLOOKUP(YEAR($A44),'NY East Load Projections'!$A$4:$EO$14,((MONTH($A44)-1)*12)+VLOOKUP(CZ$4,$DE$6:$DF$17,2)+1))*(VLOOKUP($A44,SatSunCurve,6))*(INDEX(DailyScalarsTable,CZ$5/100,MONTH($A44)))*$E44</f>
        <v>0</v>
      </c>
      <c r="DA44" s="1021">
        <f>(VLOOKUP(YEAR($A44),'NY East Load Projections'!$A$4:$EO$14,((MONTH($A44)-1)*12)+VLOOKUP(DA$4,$DE$6:$DF$17,2)+1))*(VLOOKUP($A44,SatSunCurve,6))*(INDEX(DailyScalarsTable,DA$5/100,MONTH($A44)))*$E44</f>
        <v>0</v>
      </c>
      <c r="DB44" s="1021">
        <f>(VLOOKUP(YEAR($A44),'NY East Load Projections'!$A$4:$EO$14,((MONTH($A44)-1)*12)+VLOOKUP(DB$4,$DE$6:$DF$17,2)+1))*(VLOOKUP($A44,CURVES!$D$9:$T$261,6))*(INDEX(DailyScalarsTable,DB$5/100,MONTH($A44)))*$E44</f>
        <v>0</v>
      </c>
      <c r="DH44" s="1021">
        <f t="shared" si="0"/>
        <v>-1743608.0007346484</v>
      </c>
      <c r="DI44">
        <f ca="1">CALC!J64</f>
        <v>0.74457726488595455</v>
      </c>
      <c r="DJ44" s="1029">
        <f t="shared" ca="1" si="1"/>
        <v>-1298250.8762202719</v>
      </c>
    </row>
    <row r="45" spans="1:114" x14ac:dyDescent="0.25">
      <c r="A45" s="244">
        <v>38078</v>
      </c>
      <c r="B45" s="13">
        <v>22</v>
      </c>
      <c r="C45" s="210">
        <v>4</v>
      </c>
      <c r="D45" s="210">
        <v>4</v>
      </c>
      <c r="E45" s="210">
        <v>0</v>
      </c>
      <c r="F45" s="13">
        <v>30</v>
      </c>
      <c r="H45" s="1021">
        <f>(VLOOKUP(YEAR($A45),'NY East Load Projections'!$A$4:$EO$14,((MONTH($A45)-1)*12)+VLOOKUP(H$4,$DE$6:$DF$17,2)+1))*(VLOOKUP($A45,CURVES!$D$9:$K$261,6))*(INDEX(DailyScalarsTable,H$5/100,MONTH($A45)))*$B45</f>
        <v>-33846.337697669747</v>
      </c>
      <c r="I45" s="1021">
        <f>(VLOOKUP(YEAR($A45),'NY East Load Projections'!$A$4:$EO$14,((MONTH($A45)-1)*12)+VLOOKUP(I$4,$DE$6:$DF$17,2)+1))*(VLOOKUP($A45,CURVES!$D$9:$K$261,6))*(INDEX(DailyScalarsTable,I$5/100,MONTH($A45)))*$B45</f>
        <v>-32102.296545877041</v>
      </c>
      <c r="J45" s="1021">
        <f>(VLOOKUP(YEAR($A45),'NY East Load Projections'!$A$4:$EO$14,((MONTH($A45)-1)*12)+VLOOKUP(J$4,$DE$6:$DF$17,2)+1))*(VLOOKUP($A45,CURVES!$D$9:$K$261,6))*(INDEX(DailyScalarsTable,J$5/100,MONTH($A45)))*$B45</f>
        <v>-30811.690604730236</v>
      </c>
      <c r="K45" s="1021">
        <f>(VLOOKUP(YEAR($A45),'NY East Load Projections'!$A$4:$EO$14,((MONTH($A45)-1)*12)+VLOOKUP(K$4,$DE$6:$DF$17,2)+1))*(VLOOKUP($A45,CURVES!$D$9:$K$261,6))*(INDEX(DailyScalarsTable,K$5/100,MONTH($A45)))*$B45</f>
        <v>-30829.889968436797</v>
      </c>
      <c r="L45" s="1021">
        <f>(VLOOKUP(YEAR($A45),'NY East Load Projections'!$A$4:$EO$14,((MONTH($A45)-1)*12)+VLOOKUP(L$4,$DE$6:$DF$17,2)+1))*(VLOOKUP($A45,CURVES!$D$9:$K$261,6))*(INDEX(DailyScalarsTable,L$5/100,MONTH($A45)))*$B45</f>
        <v>-36137.79942028605</v>
      </c>
      <c r="M45" s="1021">
        <f>(VLOOKUP(YEAR($A45),'NY East Load Projections'!$A$4:$EO$14,((MONTH($A45)-1)*12)+VLOOKUP(M$4,$DE$6:$DF$17,2)+1))*(VLOOKUP($A45,CURVES!$D$9:$K$261,6))*(INDEX(DailyScalarsTable,M$5/100,MONTH($A45)))*$B45</f>
        <v>-41627.679697658663</v>
      </c>
      <c r="N45" s="1021">
        <f>(VLOOKUP(YEAR($A45),'NY East Load Projections'!$A$4:$EO$14,((MONTH($A45)-1)*12)+VLOOKUP(N$4,$DE$6:$DF$17,2)+1))*(VLOOKUP($A45,CURVES!$D$9:$K$261,6))*(INDEX(DailyScalarsTable,N$5/100,MONTH($A45)))*$B45</f>
        <v>-59373.165015685234</v>
      </c>
      <c r="O45" s="1021">
        <f>(VLOOKUP(YEAR($A45),'NY East Load Projections'!$A$4:$EO$14,((MONTH($A45)-1)*12)+VLOOKUP(O$4,$DE$6:$DF$17,2)+1))*(VLOOKUP($A45,CURVES!$D$9:$K$261,2))*(INDEX(DailyScalarsTable,O$5/100,MONTH($A45)))*$B45</f>
        <v>-72053.182624149864</v>
      </c>
      <c r="P45" s="1021">
        <f>(VLOOKUP(YEAR($A45),'NY East Load Projections'!$A$4:$EO$14,((MONTH($A45)-1)*12)+VLOOKUP(P$4,$DE$6:$DF$17,2)+1))*(VLOOKUP($A45,CURVES!$D$9:$K$261,2))*(INDEX(DailyScalarsTable,P$5/100,MONTH($A45)))*$B45</f>
        <v>-81558.071748032497</v>
      </c>
      <c r="Q45" s="1021">
        <f>(VLOOKUP(YEAR($A45),'NY East Load Projections'!$A$4:$EO$14,((MONTH($A45)-1)*12)+VLOOKUP(Q$4,$DE$6:$DF$17,2)+1))*(VLOOKUP($A45,CURVES!$D$9:$K$261,2))*(INDEX(DailyScalarsTable,Q$5/100,MONTH($A45)))*$B45</f>
        <v>-78161.639850247419</v>
      </c>
      <c r="R45" s="1021">
        <f>(VLOOKUP(YEAR($A45),'NY East Load Projections'!$A$4:$EO$14,((MONTH($A45)-1)*12)+VLOOKUP(R$4,$DE$6:$DF$17,2)+1))*(VLOOKUP($A45,CURVES!$D$9:$K$261,2))*(INDEX(DailyScalarsTable,R$5/100,MONTH($A45)))*$B45</f>
        <v>-79773.018478353362</v>
      </c>
      <c r="S45" s="1021">
        <f>(VLOOKUP(YEAR($A45),'NY East Load Projections'!$A$4:$EO$14,((MONTH($A45)-1)*12)+VLOOKUP(S$4,$DE$6:$DF$17,2)+1))*(VLOOKUP($A45,CURVES!$D$9:$K$261,2))*(INDEX(DailyScalarsTable,S$5/100,MONTH($A45)))*$B45</f>
        <v>-79929.440672088167</v>
      </c>
      <c r="T45" s="1021">
        <f>(VLOOKUP(YEAR($A45),'NY East Load Projections'!$A$4:$EO$14,((MONTH($A45)-1)*12)+VLOOKUP(T$4,$DE$6:$DF$17,2)+1))*(VLOOKUP($A45,CURVES!$D$9:$K$261,2))*(INDEX(DailyScalarsTable,T$5/100,MONTH($A45)))*$B45</f>
        <v>-75349.900574767817</v>
      </c>
      <c r="U45" s="1021">
        <f>(VLOOKUP(YEAR($A45),'NY East Load Projections'!$A$4:$EO$14,((MONTH($A45)-1)*12)+VLOOKUP(U$4,$DE$6:$DF$17,2)+1))*(VLOOKUP($A45,CURVES!$D$9:$K$261,2))*(INDEX(DailyScalarsTable,U$5/100,MONTH($A45)))*$B45</f>
        <v>-75431.036158354516</v>
      </c>
      <c r="V45" s="1021">
        <f>(VLOOKUP(YEAR($A45),'NY East Load Projections'!$A$4:$EO$14,((MONTH($A45)-1)*12)+VLOOKUP(V$4,$DE$6:$DF$17,2)+1))*(VLOOKUP($A45,CURVES!$D$9:$K$261,2))*(INDEX(DailyScalarsTable,V$5/100,MONTH($A45)))*$B45</f>
        <v>-70749.035717262683</v>
      </c>
      <c r="W45" s="1021">
        <f>(VLOOKUP(YEAR($A45),'NY East Load Projections'!$A$4:$EO$14,((MONTH($A45)-1)*12)+VLOOKUP(W$4,$DE$6:$DF$17,2)+1))*(VLOOKUP($A45,CURVES!$D$9:$K$261,2))*(INDEX(DailyScalarsTable,W$5/100,MONTH($A45)))*$B45</f>
        <v>-66123.114282473471</v>
      </c>
      <c r="X45" s="1021">
        <f>(VLOOKUP(YEAR($A45),'NY East Load Projections'!$A$4:$EO$14,((MONTH($A45)-1)*12)+VLOOKUP(X$4,$DE$6:$DF$17,2)+1))*(VLOOKUP($A45,CURVES!$D$9:$K$261,2))*(INDEX(DailyScalarsTable,X$5/100,MONTH($A45)))*$B45</f>
        <v>-60491.315031564736</v>
      </c>
      <c r="Y45" s="1021">
        <f>(VLOOKUP(YEAR($A45),'NY East Load Projections'!$A$4:$EO$14,((MONTH($A45)-1)*12)+VLOOKUP(Y$4,$DE$6:$DF$17,2)+1))*(VLOOKUP($A45,CURVES!$D$9:$K$261,2))*(INDEX(DailyScalarsTable,Y$5/100,MONTH($A45)))*$B45</f>
        <v>-59704.59444720114</v>
      </c>
      <c r="Z45" s="1021">
        <f>(VLOOKUP(YEAR($A45),'NY East Load Projections'!$A$4:$EO$14,((MONTH($A45)-1)*12)+VLOOKUP(Z$4,$DE$6:$DF$17,2)+1))*(VLOOKUP($A45,CURVES!$D$9:$K$261,2))*(INDEX(DailyScalarsTable,Z$5/100,MONTH($A45)))*$B45</f>
        <v>-59384.534579309278</v>
      </c>
      <c r="AA45" s="1021">
        <f>(VLOOKUP(YEAR($A45),'NY East Load Projections'!$A$4:$EO$14,((MONTH($A45)-1)*12)+VLOOKUP(AA$4,$DE$6:$DF$17,2)+1))*(VLOOKUP($A45,CURVES!$D$9:$K$261,2))*(INDEX(DailyScalarsTable,AA$5/100,MONTH($A45)))*$B45</f>
        <v>-65135.5403873385</v>
      </c>
      <c r="AB45" s="1021">
        <f>(VLOOKUP(YEAR($A45),'NY East Load Projections'!$A$4:$EO$14,((MONTH($A45)-1)*12)+VLOOKUP(AB$4,$DE$6:$DF$17,2)+1))*(VLOOKUP($A45,CURVES!$D$9:$K$261,2))*(INDEX(DailyScalarsTable,AB$5/100,MONTH($A45)))*$B45</f>
        <v>-71384.397166752926</v>
      </c>
      <c r="AC45" s="1021">
        <f>(VLOOKUP(YEAR($A45),'NY East Load Projections'!$A$4:$EO$14,((MONTH($A45)-1)*12)+VLOOKUP(AC$4,$DE$6:$DF$17,2)+1))*(VLOOKUP($A45,CURVES!$D$9:$K$261,2))*(INDEX(DailyScalarsTable,AC$5/100,MONTH($A45)))*$B45</f>
        <v>-60824.893136550563</v>
      </c>
      <c r="AD45" s="1021">
        <f>(VLOOKUP(YEAR($A45),'NY East Load Projections'!$A$4:$EO$14,((MONTH($A45)-1)*12)+VLOOKUP(AD$4,$DE$6:$DF$17,2)+1))*(VLOOKUP($A45,CURVES!$D$9:$K$261,2))*(INDEX(DailyScalarsTable,AD$5/100,MONTH($A45)))*$B45</f>
        <v>-53735.125278398897</v>
      </c>
      <c r="AE45" s="1021">
        <f>(VLOOKUP(YEAR($A45),'NY East Load Projections'!$A$4:$EO$14,((MONTH($A45)-1)*12)+VLOOKUP(AE$4,$DE$6:$DF$17,2)+1))*(VLOOKUP($A45,CURVES!$D$9:$K$261,6))*(INDEX(DailyScalarsTable,AE$5/100,MONTH($A45)))*$B45</f>
        <v>-40295.608361146151</v>
      </c>
      <c r="AF45" s="1021"/>
      <c r="AG45" s="1021">
        <f>(VLOOKUP(YEAR($A45),'NY East Load Projections'!$A$4:$EO$14,((MONTH($A45)-1)*12)+VLOOKUP(AG$4,$DE$6:$DF$17,2)+1))*(VLOOKUP($A45,CURVES!$D$9:$T$261,6))*(INDEX(DailyScalarsTable,AG$5/100,MONTH($A45)))*$C45</f>
        <v>-6478.1784950014016</v>
      </c>
      <c r="AH45" s="1021">
        <f>(VLOOKUP(YEAR($A45),'NY East Load Projections'!$A$4:$EO$14,((MONTH($A45)-1)*12)+VLOOKUP(AH$4,$DE$6:$DF$17,2)+1))*(VLOOKUP($A45,CURVES!$D$9:$T$261,6))*(INDEX(DailyScalarsTable,AH$5/100,MONTH($A45)))*$C45</f>
        <v>-6144.3695616727355</v>
      </c>
      <c r="AI45" s="1021">
        <f>(VLOOKUP(YEAR($A45),'NY East Load Projections'!$A$4:$EO$14,((MONTH($A45)-1)*12)+VLOOKUP(AI$4,$DE$6:$DF$17,2)+1))*(VLOOKUP($A45,CURVES!$D$9:$T$261,6))*(INDEX(DailyScalarsTable,AI$5/100,MONTH($A45)))*$C45</f>
        <v>-5897.3479864541587</v>
      </c>
      <c r="AJ45" s="1021">
        <f>(VLOOKUP(YEAR($A45),'NY East Load Projections'!$A$4:$EO$14,((MONTH($A45)-1)*12)+VLOOKUP(AJ$4,$DE$6:$DF$17,2)+1))*(VLOOKUP($A45,CURVES!$D$9:$T$261,6))*(INDEX(DailyScalarsTable,AJ$5/100,MONTH($A45)))*$C45</f>
        <v>-5900.8313389999985</v>
      </c>
      <c r="AK45" s="1021">
        <f>(VLOOKUP(YEAR($A45),'NY East Load Projections'!$A$4:$EO$14,((MONTH($A45)-1)*12)+VLOOKUP(AK$4,$DE$6:$DF$17,2)+1))*(VLOOKUP($A45,CURVES!$D$9:$T$261,6))*(INDEX(DailyScalarsTable,AK$5/100,MONTH($A45)))*$C45</f>
        <v>-6426.105080136871</v>
      </c>
      <c r="AL45" s="1021">
        <f>(VLOOKUP(YEAR($A45),'NY East Load Projections'!$A$4:$EO$14,((MONTH($A45)-1)*12)+VLOOKUP(AL$4,$DE$6:$DF$17,2)+1))*(VLOOKUP($A45,CURVES!$D$9:$T$261,6))*(INDEX(DailyScalarsTable,AL$5/100,MONTH($A45)))*$C45</f>
        <v>-7402.3279853966651</v>
      </c>
      <c r="AM45" s="1021">
        <f>(VLOOKUP(YEAR($A45),'NY East Load Projections'!$A$4:$EO$14,((MONTH($A45)-1)*12)+VLOOKUP(AM$4,$DE$6:$DF$17,2)+1))*(VLOOKUP($A45,CURVES!$D$9:$T$261,6))*(INDEX(DailyScalarsTable,AM$5/100,MONTH($A45)))*$C45</f>
        <v>-10557.870248096018</v>
      </c>
      <c r="AN45" s="1021">
        <f>(VLOOKUP(YEAR($A45),'NY East Load Projections'!$A$4:$EO$14,((MONTH($A45)-1)*12)+VLOOKUP(AN$4,$DE$6:$DF$17,2)+1))*(VLOOKUP($A45,SatSunCurve,2))*(INDEX(DailyScalarsTable,AN$5/100,MONTH($A45)))*$C45</f>
        <v>-8781.2845130530732</v>
      </c>
      <c r="AO45" s="1021">
        <f>(VLOOKUP(YEAR($A45),'NY East Load Projections'!$A$4:$EO$14,((MONTH($A45)-1)*12)+VLOOKUP(AO$4,$DE$6:$DF$17,2)+1))*(VLOOKUP($A45,SatSunCurve,2))*(INDEX(DailyScalarsTable,AO$5/100,MONTH($A45)))*$C45</f>
        <v>-9597.8592591405195</v>
      </c>
      <c r="AP45" s="1021">
        <f>(VLOOKUP(YEAR($A45),'NY East Load Projections'!$A$4:$EO$14,((MONTH($A45)-1)*12)+VLOOKUP(AP$4,$DE$6:$DF$17,2)+1))*(VLOOKUP($A45,SatSunCurve,2))*(INDEX(DailyScalarsTable,AP$5/100,MONTH($A45)))*$C45</f>
        <v>-9198.1627651024155</v>
      </c>
      <c r="AQ45" s="1021">
        <f>(VLOOKUP(YEAR($A45),'NY East Load Projections'!$A$4:$EO$14,((MONTH($A45)-1)*12)+VLOOKUP(AQ$4,$DE$6:$DF$17,2)+1))*(VLOOKUP($A45,SatSunCurve,2))*(INDEX(DailyScalarsTable,AQ$5/100,MONTH($A45)))*$C45</f>
        <v>-9387.7918840144976</v>
      </c>
      <c r="AR45" s="1021">
        <f>(VLOOKUP(YEAR($A45),'NY East Load Projections'!$A$4:$EO$14,((MONTH($A45)-1)*12)+VLOOKUP(AR$4,$DE$6:$DF$17,2)+1))*(VLOOKUP($A45,SatSunCurve,2))*(INDEX(DailyScalarsTable,AR$5/100,MONTH($A45)))*$C45</f>
        <v>-9406.1998498760604</v>
      </c>
      <c r="AS45" s="1021">
        <f>(VLOOKUP(YEAR($A45),'NY East Load Projections'!$A$4:$EO$14,((MONTH($A45)-1)*12)+VLOOKUP(AS$4,$DE$6:$DF$17,2)+1))*(VLOOKUP($A45,SatSunCurve,2))*(INDEX(DailyScalarsTable,AS$5/100,MONTH($A45)))*$C45</f>
        <v>-8635.5632961582851</v>
      </c>
      <c r="AT45" s="1021">
        <f>(VLOOKUP(YEAR($A45),'NY East Load Projections'!$A$4:$EO$14,((MONTH($A45)-1)*12)+VLOOKUP(AT$4,$DE$6:$DF$17,2)+1))*(VLOOKUP($A45,SatSunCurve,2))*(INDEX(DailyScalarsTable,AT$5/100,MONTH($A45)))*$C45</f>
        <v>-8644.8619344084891</v>
      </c>
      <c r="AU45" s="1021">
        <f>(VLOOKUP(YEAR($A45),'NY East Load Projections'!$A$4:$EO$14,((MONTH($A45)-1)*12)+VLOOKUP(AU$4,$DE$6:$DF$17,2)+1))*(VLOOKUP($A45,SatSunCurve,2))*(INDEX(DailyScalarsTable,AU$5/100,MONTH($A45)))*$C45</f>
        <v>-8108.275809499537</v>
      </c>
      <c r="AV45" s="1021">
        <f>(VLOOKUP(YEAR($A45),'NY East Load Projections'!$A$4:$EO$14,((MONTH($A45)-1)*12)+VLOOKUP(AV$4,$DE$6:$DF$17,2)+1))*(VLOOKUP($A45,SatSunCurve,2))*(INDEX(DailyScalarsTable,AV$5/100,MONTH($A45)))*$C45</f>
        <v>-7578.1166845576436</v>
      </c>
      <c r="AW45" s="1021">
        <f>(VLOOKUP(YEAR($A45),'NY East Load Projections'!$A$4:$EO$14,((MONTH($A45)-1)*12)+VLOOKUP(AW$4,$DE$6:$DF$17,2)+1))*(VLOOKUP($A45,SatSunCurve,2))*(INDEX(DailyScalarsTable,AW$5/100,MONTH($A45)))*$C45</f>
        <v>-6997.3502334507257</v>
      </c>
      <c r="AX45" s="1021">
        <f>(VLOOKUP(YEAR($A45),'NY East Load Projections'!$A$4:$EO$14,((MONTH($A45)-1)*12)+VLOOKUP(AX$4,$DE$6:$DF$17,2)+1))*(VLOOKUP($A45,SatSunCurve,2))*(INDEX(DailyScalarsTable,AX$5/100,MONTH($A45)))*$C45</f>
        <v>-6906.3461039854528</v>
      </c>
      <c r="AY45" s="1021">
        <f>(VLOOKUP(YEAR($A45),'NY East Load Projections'!$A$4:$EO$14,((MONTH($A45)-1)*12)+VLOOKUP(AY$4,$DE$6:$DF$17,2)+1))*(VLOOKUP($A45,SatSunCurve,2))*(INDEX(DailyScalarsTable,AY$5/100,MONTH($A45)))*$C45</f>
        <v>-6869.3230868772489</v>
      </c>
      <c r="AZ45" s="1021">
        <f>(VLOOKUP(YEAR($A45),'NY East Load Projections'!$A$4:$EO$14,((MONTH($A45)-1)*12)+VLOOKUP(AZ$4,$DE$6:$DF$17,2)+1))*(VLOOKUP($A45,SatSunCurve,2))*(INDEX(DailyScalarsTable,AZ$5/100,MONTH($A45)))*$C45</f>
        <v>-7534.5723348460078</v>
      </c>
      <c r="BA45" s="1021">
        <f>(VLOOKUP(YEAR($A45),'NY East Load Projections'!$A$4:$EO$14,((MONTH($A45)-1)*12)+VLOOKUP(BA$4,$DE$6:$DF$17,2)+1))*(VLOOKUP($A45,SatSunCurve,2))*(INDEX(DailyScalarsTable,BA$5/100,MONTH($A45)))*$C45</f>
        <v>-8947.6096480661727</v>
      </c>
      <c r="BB45" s="1021">
        <f>(VLOOKUP(YEAR($A45),'NY East Load Projections'!$A$4:$EO$14,((MONTH($A45)-1)*12)+VLOOKUP(BB$4,$DE$6:$DF$17,2)+1))*(VLOOKUP($A45,SatSunCurve,2))*(INDEX(DailyScalarsTable,BB$5/100,MONTH($A45)))*$C45</f>
        <v>-7624.0386172886347</v>
      </c>
      <c r="BC45" s="1021">
        <f>(VLOOKUP(YEAR($A45),'NY East Load Projections'!$A$4:$EO$14,((MONTH($A45)-1)*12)+VLOOKUP(BC$4,$DE$6:$DF$17,2)+1))*(VLOOKUP($A45,SatSunCurve,2))*(INDEX(DailyScalarsTable,BC$5/100,MONTH($A45)))*$C45</f>
        <v>-6735.3783804870181</v>
      </c>
      <c r="BD45" s="1021">
        <f>(VLOOKUP(YEAR($A45),'NY East Load Projections'!$A$4:$EO$14,((MONTH($A45)-1)*12)+VLOOKUP(BD$4,$DE$6:$DF$17,2)+1))*(VLOOKUP($A45,CURVES!$D$9:$T$261,6))*(INDEX(DailyScalarsTable,BD$5/100,MONTH($A45)))*$C45</f>
        <v>-7369.5791851605245</v>
      </c>
      <c r="BE45" s="1021"/>
      <c r="BF45" s="1021">
        <f>(VLOOKUP(YEAR($A45),'NY East Load Projections'!$A$4:$EO$14,((MONTH($A45)-1)*12)+VLOOKUP(BF$4,$DE$6:$DF$17,2)+1))*(VLOOKUP($A45,CURVES!$D$9:$T$261,6))*(INDEX(DailyScalarsTable,BF$5/100,MONTH($A45)))*$D45</f>
        <v>-6478.1784950014016</v>
      </c>
      <c r="BG45" s="1021">
        <f>(VLOOKUP(YEAR($A45),'NY East Load Projections'!$A$4:$EO$14,((MONTH($A45)-1)*12)+VLOOKUP(BG$4,$DE$6:$DF$17,2)+1))*(VLOOKUP($A45,CURVES!$D$9:$T$261,6))*(INDEX(DailyScalarsTable,BG$5/100,MONTH($A45)))*$D45</f>
        <v>-6144.3695616727355</v>
      </c>
      <c r="BH45" s="1021">
        <f>(VLOOKUP(YEAR($A45),'NY East Load Projections'!$A$4:$EO$14,((MONTH($A45)-1)*12)+VLOOKUP(BH$4,$DE$6:$DF$17,2)+1))*(VLOOKUP($A45,CURVES!$D$9:$T$261,6))*(INDEX(DailyScalarsTable,BH$5/100,MONTH($A45)))*$D45</f>
        <v>-5897.3479864541587</v>
      </c>
      <c r="BI45" s="1021">
        <f>(VLOOKUP(YEAR($A45),'NY East Load Projections'!$A$4:$EO$14,((MONTH($A45)-1)*12)+VLOOKUP(BI$4,$DE$6:$DF$17,2)+1))*(VLOOKUP($A45,CURVES!$D$9:$T$261,6))*(INDEX(DailyScalarsTable,BI$5/100,MONTH($A45)))*$D45</f>
        <v>-5900.8313389999985</v>
      </c>
      <c r="BJ45" s="1021">
        <f>(VLOOKUP(YEAR($A45),'NY East Load Projections'!$A$4:$EO$14,((MONTH($A45)-1)*12)+VLOOKUP(BJ$4,$DE$6:$DF$17,2)+1))*(VLOOKUP($A45,CURVES!$D$9:$T$261,6))*(INDEX(DailyScalarsTable,BJ$5/100,MONTH($A45)))*$D45</f>
        <v>-6426.105080136871</v>
      </c>
      <c r="BK45" s="1021">
        <f>(VLOOKUP(YEAR($A45),'NY East Load Projections'!$A$4:$EO$14,((MONTH($A45)-1)*12)+VLOOKUP(BK$4,$DE$6:$DF$17,2)+1))*(VLOOKUP($A45,CURVES!$D$9:$T$261,6))*(INDEX(DailyScalarsTable,BK$5/100,MONTH($A45)))*$D45</f>
        <v>-7402.3279853966651</v>
      </c>
      <c r="BL45" s="1021">
        <f>(VLOOKUP(YEAR($A45),'NY East Load Projections'!$A$4:$EO$14,((MONTH($A45)-1)*12)+VLOOKUP(BL$4,$DE$6:$DF$17,2)+1))*(VLOOKUP($A45,CURVES!$D$9:$T$261,6))*(INDEX(DailyScalarsTable,BL$5/100,MONTH($A45)))*$D45</f>
        <v>-10557.870248096018</v>
      </c>
      <c r="BM45" s="1021">
        <f>(VLOOKUP(YEAR($A45),'NY East Load Projections'!$A$4:$EO$14,((MONTH($A45)-1)*12)+VLOOKUP(BM$4,$DE$6:$DF$17,2)+1))*(VLOOKUP($A45,SatSunCurve,6))*(INDEX(DailyScalarsTable,BM$5/100,MONTH($A45)))*$D45</f>
        <v>-7025.4371400800774</v>
      </c>
      <c r="BN45" s="1021">
        <f>(VLOOKUP(YEAR($A45),'NY East Load Projections'!$A$4:$EO$14,((MONTH($A45)-1)*12)+VLOOKUP(BN$4,$DE$6:$DF$17,2)+1))*(VLOOKUP($A45,SatSunCurve,6))*(INDEX(DailyScalarsTable,BN$5/100,MONTH($A45)))*$D45</f>
        <v>-7678.7350192555741</v>
      </c>
      <c r="BO45" s="1021">
        <f>(VLOOKUP(YEAR($A45),'NY East Load Projections'!$A$4:$EO$14,((MONTH($A45)-1)*12)+VLOOKUP(BO$4,$DE$6:$DF$17,2)+1))*(VLOOKUP($A45,SatSunCurve,6))*(INDEX(DailyScalarsTable,BO$5/100,MONTH($A45)))*$D45</f>
        <v>-7358.9591835220854</v>
      </c>
      <c r="BP45" s="1021">
        <f>(VLOOKUP(YEAR($A45),'NY East Load Projections'!$A$4:$EO$14,((MONTH($A45)-1)*12)+VLOOKUP(BP$4,$DE$6:$DF$17,2)+1))*(VLOOKUP($A45,SatSunCurve,6))*(INDEX(DailyScalarsTable,BP$5/100,MONTH($A45)))*$D45</f>
        <v>-7510.6713223174165</v>
      </c>
      <c r="BQ45" s="1021">
        <f>(VLOOKUP(YEAR($A45),'NY East Load Projections'!$A$4:$EO$14,((MONTH($A45)-1)*12)+VLOOKUP(BQ$4,$DE$6:$DF$17,2)+1))*(VLOOKUP($A45,SatSunCurve,6))*(INDEX(DailyScalarsTable,BQ$5/100,MONTH($A45)))*$D45</f>
        <v>-7525.3985534924132</v>
      </c>
      <c r="BR45" s="1021">
        <f>(VLOOKUP(YEAR($A45),'NY East Load Projections'!$A$4:$EO$14,((MONTH($A45)-1)*12)+VLOOKUP(BR$4,$DE$6:$DF$17,2)+1))*(VLOOKUP($A45,SatSunCurve,6))*(INDEX(DailyScalarsTable,BR$5/100,MONTH($A45)))*$D45</f>
        <v>-6908.8533706157659</v>
      </c>
      <c r="BS45" s="1021">
        <f>(VLOOKUP(YEAR($A45),'NY East Load Projections'!$A$4:$EO$14,((MONTH($A45)-1)*12)+VLOOKUP(BS$4,$DE$6:$DF$17,2)+1))*(VLOOKUP($A45,SatSunCurve,6))*(INDEX(DailyScalarsTable,BS$5/100,MONTH($A45)))*$D45</f>
        <v>-6916.2927148732088</v>
      </c>
      <c r="BT45" s="1021">
        <f>(VLOOKUP(YEAR($A45),'NY East Load Projections'!$A$4:$EO$14,((MONTH($A45)-1)*12)+VLOOKUP(BT$4,$DE$6:$DF$17,2)+1))*(VLOOKUP($A45,SatSunCurve,6))*(INDEX(DailyScalarsTable,BT$5/100,MONTH($A45)))*$D45</f>
        <v>-6486.9987903700921</v>
      </c>
      <c r="BU45" s="1021">
        <f>(VLOOKUP(YEAR($A45),'NY East Load Projections'!$A$4:$EO$14,((MONTH($A45)-1)*12)+VLOOKUP(BU$4,$DE$6:$DF$17,2)+1))*(VLOOKUP($A45,SatSunCurve,6))*(INDEX(DailyScalarsTable,BU$5/100,MONTH($A45)))*$D45</f>
        <v>-6062.8467655743289</v>
      </c>
      <c r="BV45" s="1021">
        <f>(VLOOKUP(YEAR($A45),'NY East Load Projections'!$A$4:$EO$14,((MONTH($A45)-1)*12)+VLOOKUP(BV$4,$DE$6:$DF$17,2)+1))*(VLOOKUP($A45,SatSunCurve,6))*(INDEX(DailyScalarsTable,BV$5/100,MONTH($A45)))*$D45</f>
        <v>-5598.2065196907042</v>
      </c>
      <c r="BW45" s="1021">
        <f>(VLOOKUP(YEAR($A45),'NY East Load Projections'!$A$4:$EO$14,((MONTH($A45)-1)*12)+VLOOKUP(BW$4,$DE$6:$DF$17,2)+1))*(VLOOKUP($A45,SatSunCurve,6))*(INDEX(DailyScalarsTable,BW$5/100,MONTH($A45)))*$D45</f>
        <v>-5525.3989719913197</v>
      </c>
      <c r="BX45" s="1021">
        <f>(VLOOKUP(YEAR($A45),'NY East Load Projections'!$A$4:$EO$14,((MONTH($A45)-1)*12)+VLOOKUP(BX$4,$DE$6:$DF$17,2)+1))*(VLOOKUP($A45,SatSunCurve,6))*(INDEX(DailyScalarsTable,BX$5/100,MONTH($A45)))*$D45</f>
        <v>-5495.7788316754959</v>
      </c>
      <c r="BY45" s="1021">
        <f>(VLOOKUP(YEAR($A45),'NY East Load Projections'!$A$4:$EO$14,((MONTH($A45)-1)*12)+VLOOKUP(BY$4,$DE$6:$DF$17,2)+1))*(VLOOKUP($A45,SatSunCurve,6))*(INDEX(DailyScalarsTable,BY$5/100,MONTH($A45)))*$D45</f>
        <v>-6028.0092550426943</v>
      </c>
      <c r="BZ45" s="1021">
        <f>(VLOOKUP(YEAR($A45),'NY East Load Projections'!$A$4:$EO$14,((MONTH($A45)-1)*12)+VLOOKUP(BZ$4,$DE$6:$DF$17,2)+1))*(VLOOKUP($A45,SatSunCurve,6))*(INDEX(DailyScalarsTable,BZ$5/100,MONTH($A45)))*$D45</f>
        <v>-7158.5050049366273</v>
      </c>
      <c r="CA45" s="1021">
        <f>(VLOOKUP(YEAR($A45),'NY East Load Projections'!$A$4:$EO$14,((MONTH($A45)-1)*12)+VLOOKUP(CA$4,$DE$6:$DF$17,2)+1))*(VLOOKUP($A45,SatSunCurve,6))*(INDEX(DailyScalarsTable,CA$5/100,MONTH($A45)))*$D45</f>
        <v>-6099.5864534039392</v>
      </c>
      <c r="CB45" s="1021">
        <f>(VLOOKUP(YEAR($A45),'NY East Load Projections'!$A$4:$EO$14,((MONTH($A45)-1)*12)+VLOOKUP(CB$4,$DE$6:$DF$17,2)+1))*(VLOOKUP($A45,SatSunCurve,6))*(INDEX(DailyScalarsTable,CB$5/100,MONTH($A45)))*$D45</f>
        <v>-5388.6168198317555</v>
      </c>
      <c r="CC45" s="1021">
        <f>(VLOOKUP(YEAR($A45),'NY East Load Projections'!$A$4:$EO$14,((MONTH($A45)-1)*12)+VLOOKUP(CC$4,$DE$6:$DF$17,2)+1))*(VLOOKUP($A45,CURVES!$D$9:$T$261,6))*(INDEX(DailyScalarsTable,CC$5/100,MONTH($A45)))*$D45</f>
        <v>-7369.5791851605245</v>
      </c>
      <c r="CE45" s="1021">
        <f>(VLOOKUP(YEAR($A45),'NY East Load Projections'!$A$4:$EO$14,((MONTH($A45)-1)*12)+VLOOKUP(CE$4,$DE$6:$DF$17,2)+1))*(VLOOKUP($A45,CURVES!$D$9:$T$261,6))*(INDEX(DailyScalarsTable,CE$5/100,MONTH($A45)))*$E45</f>
        <v>0</v>
      </c>
      <c r="CF45" s="1021">
        <f>(VLOOKUP(YEAR($A45),'NY East Load Projections'!$A$4:$EO$14,((MONTH($A45)-1)*12)+VLOOKUP(CF$4,$DE$6:$DF$17,2)+1))*(VLOOKUP($A45,CURVES!$D$9:$T$261,6))*(INDEX(DailyScalarsTable,CF$5/100,MONTH($A45)))*$E45</f>
        <v>0</v>
      </c>
      <c r="CG45" s="1021">
        <f>(VLOOKUP(YEAR($A45),'NY East Load Projections'!$A$4:$EO$14,((MONTH($A45)-1)*12)+VLOOKUP(CG$4,$DE$6:$DF$17,2)+1))*(VLOOKUP($A45,CURVES!$D$9:$T$261,6))*(INDEX(DailyScalarsTable,CG$5/100,MONTH($A45)))*$E45</f>
        <v>0</v>
      </c>
      <c r="CH45" s="1021">
        <f>(VLOOKUP(YEAR($A45),'NY East Load Projections'!$A$4:$EO$14,((MONTH($A45)-1)*12)+VLOOKUP(CH$4,$DE$6:$DF$17,2)+1))*(VLOOKUP($A45,CURVES!$D$9:$T$261,6))*(INDEX(DailyScalarsTable,CH$5/100,MONTH($A45)))*$E45</f>
        <v>0</v>
      </c>
      <c r="CI45" s="1021">
        <f>(VLOOKUP(YEAR($A45),'NY East Load Projections'!$A$4:$EO$14,((MONTH($A45)-1)*12)+VLOOKUP(CI$4,$DE$6:$DF$17,2)+1))*(VLOOKUP($A45,CURVES!$D$9:$T$261,6))*(INDEX(DailyScalarsTable,CI$5/100,MONTH($A45)))*$E45</f>
        <v>0</v>
      </c>
      <c r="CJ45" s="1021">
        <f>(VLOOKUP(YEAR($A45),'NY East Load Projections'!$A$4:$EO$14,((MONTH($A45)-1)*12)+VLOOKUP(CJ$4,$DE$6:$DF$17,2)+1))*(VLOOKUP($A45,CURVES!$D$9:$T$261,6))*(INDEX(DailyScalarsTable,CJ$5/100,MONTH($A45)))*$E45</f>
        <v>0</v>
      </c>
      <c r="CK45" s="1021">
        <f>(VLOOKUP(YEAR($A45),'NY East Load Projections'!$A$4:$EO$14,((MONTH($A45)-1)*12)+VLOOKUP(CK$4,$DE$6:$DF$17,2)+1))*(VLOOKUP($A45,CURVES!$D$9:$T$261,6))*(INDEX(DailyScalarsTable,CK$5/100,MONTH($A45)))*$E45</f>
        <v>0</v>
      </c>
      <c r="CL45" s="1021">
        <f>(VLOOKUP(YEAR($A45),'NY East Load Projections'!$A$4:$EO$14,((MONTH($A45)-1)*12)+VLOOKUP(CL$4,$DE$6:$DF$17,2)+1))*(VLOOKUP($A45,SatSunCurve,6))*(INDEX(DailyScalarsTable,CL$5/100,MONTH($A45)))*$E45</f>
        <v>0</v>
      </c>
      <c r="CM45" s="1021">
        <f>(VLOOKUP(YEAR($A45),'NY East Load Projections'!$A$4:$EO$14,((MONTH($A45)-1)*12)+VLOOKUP(CM$4,$DE$6:$DF$17,2)+1))*(VLOOKUP($A45,SatSunCurve,6))*(INDEX(DailyScalarsTable,CM$5/100,MONTH($A45)))*$E45</f>
        <v>0</v>
      </c>
      <c r="CN45" s="1021">
        <f>(VLOOKUP(YEAR($A45),'NY East Load Projections'!$A$4:$EO$14,((MONTH($A45)-1)*12)+VLOOKUP(CN$4,$DE$6:$DF$17,2)+1))*(VLOOKUP($A45,SatSunCurve,6))*(INDEX(DailyScalarsTable,CN$5/100,MONTH($A45)))*$E45</f>
        <v>0</v>
      </c>
      <c r="CO45" s="1021">
        <f>(VLOOKUP(YEAR($A45),'NY East Load Projections'!$A$4:$EO$14,((MONTH($A45)-1)*12)+VLOOKUP(CO$4,$DE$6:$DF$17,2)+1))*(VLOOKUP($A45,SatSunCurve,6))*(INDEX(DailyScalarsTable,CO$5/100,MONTH($A45)))*$E45</f>
        <v>0</v>
      </c>
      <c r="CP45" s="1021">
        <f>(VLOOKUP(YEAR($A45),'NY East Load Projections'!$A$4:$EO$14,((MONTH($A45)-1)*12)+VLOOKUP(CP$4,$DE$6:$DF$17,2)+1))*(VLOOKUP($A45,SatSunCurve,6))*(INDEX(DailyScalarsTable,CP$5/100,MONTH($A45)))*$E45</f>
        <v>0</v>
      </c>
      <c r="CQ45" s="1021">
        <f>(VLOOKUP(YEAR($A45),'NY East Load Projections'!$A$4:$EO$14,((MONTH($A45)-1)*12)+VLOOKUP(CQ$4,$DE$6:$DF$17,2)+1))*(VLOOKUP($A45,SatSunCurve,6))*(INDEX(DailyScalarsTable,CQ$5/100,MONTH($A45)))*$E45</f>
        <v>0</v>
      </c>
      <c r="CR45" s="1021">
        <f>(VLOOKUP(YEAR($A45),'NY East Load Projections'!$A$4:$EO$14,((MONTH($A45)-1)*12)+VLOOKUP(CR$4,$DE$6:$DF$17,2)+1))*(VLOOKUP($A45,SatSunCurve,6))*(INDEX(DailyScalarsTable,CR$5/100,MONTH($A45)))*$E45</f>
        <v>0</v>
      </c>
      <c r="CS45" s="1021">
        <f>(VLOOKUP(YEAR($A45),'NY East Load Projections'!$A$4:$EO$14,((MONTH($A45)-1)*12)+VLOOKUP(CS$4,$DE$6:$DF$17,2)+1))*(VLOOKUP($A45,SatSunCurve,6))*(INDEX(DailyScalarsTable,CS$5/100,MONTH($A45)))*$E45</f>
        <v>0</v>
      </c>
      <c r="CT45" s="1021">
        <f>(VLOOKUP(YEAR($A45),'NY East Load Projections'!$A$4:$EO$14,((MONTH($A45)-1)*12)+VLOOKUP(CT$4,$DE$6:$DF$17,2)+1))*(VLOOKUP($A45,SatSunCurve,6))*(INDEX(DailyScalarsTable,CT$5/100,MONTH($A45)))*$E45</f>
        <v>0</v>
      </c>
      <c r="CU45" s="1021">
        <f>(VLOOKUP(YEAR($A45),'NY East Load Projections'!$A$4:$EO$14,((MONTH($A45)-1)*12)+VLOOKUP(CU$4,$DE$6:$DF$17,2)+1))*(VLOOKUP($A45,SatSunCurve,6))*(INDEX(DailyScalarsTable,CU$5/100,MONTH($A45)))*$E45</f>
        <v>0</v>
      </c>
      <c r="CV45" s="1021">
        <f>(VLOOKUP(YEAR($A45),'NY East Load Projections'!$A$4:$EO$14,((MONTH($A45)-1)*12)+VLOOKUP(CV$4,$DE$6:$DF$17,2)+1))*(VLOOKUP($A45,SatSunCurve,6))*(INDEX(DailyScalarsTable,CV$5/100,MONTH($A45)))*$E45</f>
        <v>0</v>
      </c>
      <c r="CW45" s="1021">
        <f>(VLOOKUP(YEAR($A45),'NY East Load Projections'!$A$4:$EO$14,((MONTH($A45)-1)*12)+VLOOKUP(CW$4,$DE$6:$DF$17,2)+1))*(VLOOKUP($A45,SatSunCurve,6))*(INDEX(DailyScalarsTable,CW$5/100,MONTH($A45)))*$E45</f>
        <v>0</v>
      </c>
      <c r="CX45" s="1021">
        <f>(VLOOKUP(YEAR($A45),'NY East Load Projections'!$A$4:$EO$14,((MONTH($A45)-1)*12)+VLOOKUP(CX$4,$DE$6:$DF$17,2)+1))*(VLOOKUP($A45,SatSunCurve,6))*(INDEX(DailyScalarsTable,CX$5/100,MONTH($A45)))*$E45</f>
        <v>0</v>
      </c>
      <c r="CY45" s="1021">
        <f>(VLOOKUP(YEAR($A45),'NY East Load Projections'!$A$4:$EO$14,((MONTH($A45)-1)*12)+VLOOKUP(CY$4,$DE$6:$DF$17,2)+1))*(VLOOKUP($A45,SatSunCurve,6))*(INDEX(DailyScalarsTable,CY$5/100,MONTH($A45)))*$E45</f>
        <v>0</v>
      </c>
      <c r="CZ45" s="1021">
        <f>(VLOOKUP(YEAR($A45),'NY East Load Projections'!$A$4:$EO$14,((MONTH($A45)-1)*12)+VLOOKUP(CZ$4,$DE$6:$DF$17,2)+1))*(VLOOKUP($A45,SatSunCurve,6))*(INDEX(DailyScalarsTable,CZ$5/100,MONTH($A45)))*$E45</f>
        <v>0</v>
      </c>
      <c r="DA45" s="1021">
        <f>(VLOOKUP(YEAR($A45),'NY East Load Projections'!$A$4:$EO$14,((MONTH($A45)-1)*12)+VLOOKUP(DA$4,$DE$6:$DF$17,2)+1))*(VLOOKUP($A45,SatSunCurve,6))*(INDEX(DailyScalarsTable,DA$5/100,MONTH($A45)))*$E45</f>
        <v>0</v>
      </c>
      <c r="DB45" s="1021">
        <f>(VLOOKUP(YEAR($A45),'NY East Load Projections'!$A$4:$EO$14,((MONTH($A45)-1)*12)+VLOOKUP(DB$4,$DE$6:$DF$17,2)+1))*(VLOOKUP($A45,CURVES!$D$9:$T$261,6))*(INDEX(DailyScalarsTable,DB$5/100,MONTH($A45)))*$E45</f>
        <v>0</v>
      </c>
      <c r="DH45" s="1021">
        <f t="shared" si="0"/>
        <v>-1762887.556323658</v>
      </c>
      <c r="DI45">
        <f ca="1">CALC!J65</f>
        <v>0.7400899550175809</v>
      </c>
      <c r="DJ45" s="1029">
        <f t="shared" ca="1" si="1"/>
        <v>-1304695.3722606292</v>
      </c>
    </row>
    <row r="46" spans="1:114" x14ac:dyDescent="0.25">
      <c r="A46" s="244">
        <v>38108</v>
      </c>
      <c r="B46" s="13">
        <v>20</v>
      </c>
      <c r="C46" s="210">
        <v>5</v>
      </c>
      <c r="D46" s="210">
        <v>5</v>
      </c>
      <c r="E46" s="210">
        <v>1</v>
      </c>
      <c r="F46" s="13">
        <v>31</v>
      </c>
      <c r="H46" s="1021">
        <f>(VLOOKUP(YEAR($A46),'NY East Load Projections'!$A$4:$EO$14,((MONTH($A46)-1)*12)+VLOOKUP(H$4,$DE$6:$DF$17,2)+1))*(VLOOKUP($A46,CURVES!$D$9:$K$261,6))*(INDEX(DailyScalarsTable,H$5/100,MONTH($A46)))*$B46</f>
        <v>-34314.97308031546</v>
      </c>
      <c r="I46" s="1021">
        <f>(VLOOKUP(YEAR($A46),'NY East Load Projections'!$A$4:$EO$14,((MONTH($A46)-1)*12)+VLOOKUP(I$4,$DE$6:$DF$17,2)+1))*(VLOOKUP($A46,CURVES!$D$9:$K$261,6))*(INDEX(DailyScalarsTable,I$5/100,MONTH($A46)))*$B46</f>
        <v>-30909.601637847813</v>
      </c>
      <c r="J46" s="1021">
        <f>(VLOOKUP(YEAR($A46),'NY East Load Projections'!$A$4:$EO$14,((MONTH($A46)-1)*12)+VLOOKUP(J$4,$DE$6:$DF$17,2)+1))*(VLOOKUP($A46,CURVES!$D$9:$K$261,6))*(INDEX(DailyScalarsTable,J$5/100,MONTH($A46)))*$B46</f>
        <v>-29251.96051241384</v>
      </c>
      <c r="K46" s="1021">
        <f>(VLOOKUP(YEAR($A46),'NY East Load Projections'!$A$4:$EO$14,((MONTH($A46)-1)*12)+VLOOKUP(K$4,$DE$6:$DF$17,2)+1))*(VLOOKUP($A46,CURVES!$D$9:$K$261,6))*(INDEX(DailyScalarsTable,K$5/100,MONTH($A46)))*$B46</f>
        <v>-28360.077515577064</v>
      </c>
      <c r="L46" s="1021">
        <f>(VLOOKUP(YEAR($A46),'NY East Load Projections'!$A$4:$EO$14,((MONTH($A46)-1)*12)+VLOOKUP(L$4,$DE$6:$DF$17,2)+1))*(VLOOKUP($A46,CURVES!$D$9:$K$261,6))*(INDEX(DailyScalarsTable,L$5/100,MONTH($A46)))*$B46</f>
        <v>-33890.126717856627</v>
      </c>
      <c r="M46" s="1021">
        <f>(VLOOKUP(YEAR($A46),'NY East Load Projections'!$A$4:$EO$14,((MONTH($A46)-1)*12)+VLOOKUP(M$4,$DE$6:$DF$17,2)+1))*(VLOOKUP($A46,CURVES!$D$9:$K$261,6))*(INDEX(DailyScalarsTable,M$5/100,MONTH($A46)))*$B46</f>
        <v>-41089.789788199399</v>
      </c>
      <c r="N46" s="1021">
        <f>(VLOOKUP(YEAR($A46),'NY East Load Projections'!$A$4:$EO$14,((MONTH($A46)-1)*12)+VLOOKUP(N$4,$DE$6:$DF$17,2)+1))*(VLOOKUP($A46,CURVES!$D$9:$K$261,6))*(INDEX(DailyScalarsTable,N$5/100,MONTH($A46)))*$B46</f>
        <v>-49164.550027313147</v>
      </c>
      <c r="O46" s="1021">
        <f>(VLOOKUP(YEAR($A46),'NY East Load Projections'!$A$4:$EO$14,((MONTH($A46)-1)*12)+VLOOKUP(O$4,$DE$6:$DF$17,2)+1))*(VLOOKUP($A46,CURVES!$D$9:$K$261,2))*(INDEX(DailyScalarsTable,O$5/100,MONTH($A46)))*$B46</f>
        <v>-61909.028830048439</v>
      </c>
      <c r="P46" s="1021">
        <f>(VLOOKUP(YEAR($A46),'NY East Load Projections'!$A$4:$EO$14,((MONTH($A46)-1)*12)+VLOOKUP(P$4,$DE$6:$DF$17,2)+1))*(VLOOKUP($A46,CURVES!$D$9:$K$261,2))*(INDEX(DailyScalarsTable,P$5/100,MONTH($A46)))*$B46</f>
        <v>-76455.122903922194</v>
      </c>
      <c r="Q46" s="1021">
        <f>(VLOOKUP(YEAR($A46),'NY East Load Projections'!$A$4:$EO$14,((MONTH($A46)-1)*12)+VLOOKUP(Q$4,$DE$6:$DF$17,2)+1))*(VLOOKUP($A46,CURVES!$D$9:$K$261,2))*(INDEX(DailyScalarsTable,Q$5/100,MONTH($A46)))*$B46</f>
        <v>-77811.178293679419</v>
      </c>
      <c r="R46" s="1021">
        <f>(VLOOKUP(YEAR($A46),'NY East Load Projections'!$A$4:$EO$14,((MONTH($A46)-1)*12)+VLOOKUP(R$4,$DE$6:$DF$17,2)+1))*(VLOOKUP($A46,CURVES!$D$9:$K$261,2))*(INDEX(DailyScalarsTable,R$5/100,MONTH($A46)))*$B46</f>
        <v>-82539.371422567419</v>
      </c>
      <c r="S46" s="1021">
        <f>(VLOOKUP(YEAR($A46),'NY East Load Projections'!$A$4:$EO$14,((MONTH($A46)-1)*12)+VLOOKUP(S$4,$DE$6:$DF$17,2)+1))*(VLOOKUP($A46,CURVES!$D$9:$K$261,2))*(INDEX(DailyScalarsTable,S$5/100,MONTH($A46)))*$B46</f>
        <v>-81915.345933475575</v>
      </c>
      <c r="T46" s="1021">
        <f>(VLOOKUP(YEAR($A46),'NY East Load Projections'!$A$4:$EO$14,((MONTH($A46)-1)*12)+VLOOKUP(T$4,$DE$6:$DF$17,2)+1))*(VLOOKUP($A46,CURVES!$D$9:$K$261,2))*(INDEX(DailyScalarsTable,T$5/100,MONTH($A46)))*$B46</f>
        <v>-79957.885234094167</v>
      </c>
      <c r="U46" s="1021">
        <f>(VLOOKUP(YEAR($A46),'NY East Load Projections'!$A$4:$EO$14,((MONTH($A46)-1)*12)+VLOOKUP(U$4,$DE$6:$DF$17,2)+1))*(VLOOKUP($A46,CURVES!$D$9:$K$261,2))*(INDEX(DailyScalarsTable,U$5/100,MONTH($A46)))*$B46</f>
        <v>-80343.254394892836</v>
      </c>
      <c r="V46" s="1021">
        <f>(VLOOKUP(YEAR($A46),'NY East Load Projections'!$A$4:$EO$14,((MONTH($A46)-1)*12)+VLOOKUP(V$4,$DE$6:$DF$17,2)+1))*(VLOOKUP($A46,CURVES!$D$9:$K$261,2))*(INDEX(DailyScalarsTable,V$5/100,MONTH($A46)))*$B46</f>
        <v>-77931.589324088389</v>
      </c>
      <c r="W46" s="1021">
        <f>(VLOOKUP(YEAR($A46),'NY East Load Projections'!$A$4:$EO$14,((MONTH($A46)-1)*12)+VLOOKUP(W$4,$DE$6:$DF$17,2)+1))*(VLOOKUP($A46,CURVES!$D$9:$K$261,2))*(INDEX(DailyScalarsTable,W$5/100,MONTH($A46)))*$B46</f>
        <v>-74898.361090705454</v>
      </c>
      <c r="X46" s="1021">
        <f>(VLOOKUP(YEAR($A46),'NY East Load Projections'!$A$4:$EO$14,((MONTH($A46)-1)*12)+VLOOKUP(X$4,$DE$6:$DF$17,2)+1))*(VLOOKUP($A46,CURVES!$D$9:$K$261,2))*(INDEX(DailyScalarsTable,X$5/100,MONTH($A46)))*$B46</f>
        <v>-71232.01716457546</v>
      </c>
      <c r="Y46" s="1021">
        <f>(VLOOKUP(YEAR($A46),'NY East Load Projections'!$A$4:$EO$14,((MONTH($A46)-1)*12)+VLOOKUP(Y$4,$DE$6:$DF$17,2)+1))*(VLOOKUP($A46,CURVES!$D$9:$K$261,2))*(INDEX(DailyScalarsTable,Y$5/100,MONTH($A46)))*$B46</f>
        <v>-68455.986366283483</v>
      </c>
      <c r="Z46" s="1021">
        <f>(VLOOKUP(YEAR($A46),'NY East Load Projections'!$A$4:$EO$14,((MONTH($A46)-1)*12)+VLOOKUP(Z$4,$DE$6:$DF$17,2)+1))*(VLOOKUP($A46,CURVES!$D$9:$K$261,2))*(INDEX(DailyScalarsTable,Z$5/100,MONTH($A46)))*$B46</f>
        <v>-59311.414324851175</v>
      </c>
      <c r="AA46" s="1021">
        <f>(VLOOKUP(YEAR($A46),'NY East Load Projections'!$A$4:$EO$14,((MONTH($A46)-1)*12)+VLOOKUP(AA$4,$DE$6:$DF$17,2)+1))*(VLOOKUP($A46,CURVES!$D$9:$K$261,2))*(INDEX(DailyScalarsTable,AA$5/100,MONTH($A46)))*$B46</f>
        <v>-59159.782390490713</v>
      </c>
      <c r="AB46" s="1021">
        <f>(VLOOKUP(YEAR($A46),'NY East Load Projections'!$A$4:$EO$14,((MONTH($A46)-1)*12)+VLOOKUP(AB$4,$DE$6:$DF$17,2)+1))*(VLOOKUP($A46,CURVES!$D$9:$K$261,2))*(INDEX(DailyScalarsTable,AB$5/100,MONTH($A46)))*$B46</f>
        <v>-67893.741825861493</v>
      </c>
      <c r="AC46" s="1021">
        <f>(VLOOKUP(YEAR($A46),'NY East Load Projections'!$A$4:$EO$14,((MONTH($A46)-1)*12)+VLOOKUP(AC$4,$DE$6:$DF$17,2)+1))*(VLOOKUP($A46,CURVES!$D$9:$K$261,2))*(INDEX(DailyScalarsTable,AC$5/100,MONTH($A46)))*$B46</f>
        <v>-64757.984530760012</v>
      </c>
      <c r="AD46" s="1021">
        <f>(VLOOKUP(YEAR($A46),'NY East Load Projections'!$A$4:$EO$14,((MONTH($A46)-1)*12)+VLOOKUP(AD$4,$DE$6:$DF$17,2)+1))*(VLOOKUP($A46,CURVES!$D$9:$K$261,2))*(INDEX(DailyScalarsTable,AD$5/100,MONTH($A46)))*$B46</f>
        <v>-51949.386328619141</v>
      </c>
      <c r="AE46" s="1021">
        <f>(VLOOKUP(YEAR($A46),'NY East Load Projections'!$A$4:$EO$14,((MONTH($A46)-1)*12)+VLOOKUP(AE$4,$DE$6:$DF$17,2)+1))*(VLOOKUP($A46,CURVES!$D$9:$K$261,6))*(INDEX(DailyScalarsTable,AE$5/100,MONTH($A46)))*$B46</f>
        <v>-43087.075047460632</v>
      </c>
      <c r="AF46" s="1021"/>
      <c r="AG46" s="1021">
        <f>(VLOOKUP(YEAR($A46),'NY East Load Projections'!$A$4:$EO$14,((MONTH($A46)-1)*12)+VLOOKUP(AG$4,$DE$6:$DF$17,2)+1))*(VLOOKUP($A46,CURVES!$D$9:$T$261,6))*(INDEX(DailyScalarsTable,AG$5/100,MONTH($A46)))*$C46</f>
        <v>-8992.5498625125347</v>
      </c>
      <c r="AH46" s="1021">
        <f>(VLOOKUP(YEAR($A46),'NY East Load Projections'!$A$4:$EO$14,((MONTH($A46)-1)*12)+VLOOKUP(AH$4,$DE$6:$DF$17,2)+1))*(VLOOKUP($A46,CURVES!$D$9:$T$261,6))*(INDEX(DailyScalarsTable,AH$5/100,MONTH($A46)))*$C46</f>
        <v>-8100.1413962406141</v>
      </c>
      <c r="AI46" s="1021">
        <f>(VLOOKUP(YEAR($A46),'NY East Load Projections'!$A$4:$EO$14,((MONTH($A46)-1)*12)+VLOOKUP(AI$4,$DE$6:$DF$17,2)+1))*(VLOOKUP($A46,CURVES!$D$9:$T$261,6))*(INDEX(DailyScalarsTable,AI$5/100,MONTH($A46)))*$C46</f>
        <v>-7665.7415078966133</v>
      </c>
      <c r="AJ46" s="1021">
        <f>(VLOOKUP(YEAR($A46),'NY East Load Projections'!$A$4:$EO$14,((MONTH($A46)-1)*12)+VLOOKUP(AJ$4,$DE$6:$DF$17,2)+1))*(VLOOKUP($A46,CURVES!$D$9:$T$261,6))*(INDEX(DailyScalarsTable,AJ$5/100,MONTH($A46)))*$C46</f>
        <v>-7432.0154810158701</v>
      </c>
      <c r="AK46" s="1021">
        <f>(VLOOKUP(YEAR($A46),'NY East Load Projections'!$A$4:$EO$14,((MONTH($A46)-1)*12)+VLOOKUP(AK$4,$DE$6:$DF$17,2)+1))*(VLOOKUP($A46,CURVES!$D$9:$T$261,6))*(INDEX(DailyScalarsTable,AK$5/100,MONTH($A46)))*$C46</f>
        <v>-8167.4577976393339</v>
      </c>
      <c r="AL46" s="1021">
        <f>(VLOOKUP(YEAR($A46),'NY East Load Projections'!$A$4:$EO$14,((MONTH($A46)-1)*12)+VLOOKUP(AL$4,$DE$6:$DF$17,2)+1))*(VLOOKUP($A46,CURVES!$D$9:$T$261,6))*(INDEX(DailyScalarsTable,AL$5/100,MONTH($A46)))*$C46</f>
        <v>-9902.5632687340731</v>
      </c>
      <c r="AM46" s="1021">
        <f>(VLOOKUP(YEAR($A46),'NY East Load Projections'!$A$4:$EO$14,((MONTH($A46)-1)*12)+VLOOKUP(AM$4,$DE$6:$DF$17,2)+1))*(VLOOKUP($A46,CURVES!$D$9:$T$261,6))*(INDEX(DailyScalarsTable,AM$5/100,MONTH($A46)))*$C46</f>
        <v>-11848.565537420443</v>
      </c>
      <c r="AN46" s="1021">
        <f>(VLOOKUP(YEAR($A46),'NY East Load Projections'!$A$4:$EO$14,((MONTH($A46)-1)*12)+VLOOKUP(AN$4,$DE$6:$DF$17,2)+1))*(VLOOKUP($A46,SatSunCurve,2))*(INDEX(DailyScalarsTable,AN$5/100,MONTH($A46)))*$C46</f>
        <v>-9615.6770064775046</v>
      </c>
      <c r="AO46" s="1021">
        <f>(VLOOKUP(YEAR($A46),'NY East Load Projections'!$A$4:$EO$14,((MONTH($A46)-1)*12)+VLOOKUP(AO$4,$DE$6:$DF$17,2)+1))*(VLOOKUP($A46,SatSunCurve,2))*(INDEX(DailyScalarsTable,AO$5/100,MONTH($A46)))*$C46</f>
        <v>-11718.974489765471</v>
      </c>
      <c r="AP46" s="1021">
        <f>(VLOOKUP(YEAR($A46),'NY East Load Projections'!$A$4:$EO$14,((MONTH($A46)-1)*12)+VLOOKUP(AP$4,$DE$6:$DF$17,2)+1))*(VLOOKUP($A46,SatSunCurve,2))*(INDEX(DailyScalarsTable,AP$5/100,MONTH($A46)))*$C46</f>
        <v>-11926.829476006802</v>
      </c>
      <c r="AQ46" s="1021">
        <f>(VLOOKUP(YEAR($A46),'NY East Load Projections'!$A$4:$EO$14,((MONTH($A46)-1)*12)+VLOOKUP(AQ$4,$DE$6:$DF$17,2)+1))*(VLOOKUP($A46,SatSunCurve,2))*(INDEX(DailyScalarsTable,AQ$5/100,MONTH($A46)))*$C46</f>
        <v>-12651.562790865944</v>
      </c>
      <c r="AR46" s="1021">
        <f>(VLOOKUP(YEAR($A46),'NY East Load Projections'!$A$4:$EO$14,((MONTH($A46)-1)*12)+VLOOKUP(AR$4,$DE$6:$DF$17,2)+1))*(VLOOKUP($A46,SatSunCurve,2))*(INDEX(DailyScalarsTable,AR$5/100,MONTH($A46)))*$C46</f>
        <v>-12555.91270870179</v>
      </c>
      <c r="AS46" s="1021">
        <f>(VLOOKUP(YEAR($A46),'NY East Load Projections'!$A$4:$EO$14,((MONTH($A46)-1)*12)+VLOOKUP(AS$4,$DE$6:$DF$17,2)+1))*(VLOOKUP($A46,SatSunCurve,2))*(INDEX(DailyScalarsTable,AS$5/100,MONTH($A46)))*$C46</f>
        <v>-12008.146074898166</v>
      </c>
      <c r="AT46" s="1021">
        <f>(VLOOKUP(YEAR($A46),'NY East Load Projections'!$A$4:$EO$14,((MONTH($A46)-1)*12)+VLOOKUP(AT$4,$DE$6:$DF$17,2)+1))*(VLOOKUP($A46,SatSunCurve,2))*(INDEX(DailyScalarsTable,AT$5/100,MONTH($A46)))*$C46</f>
        <v>-12066.021157037758</v>
      </c>
      <c r="AU46" s="1021">
        <f>(VLOOKUP(YEAR($A46),'NY East Load Projections'!$A$4:$EO$14,((MONTH($A46)-1)*12)+VLOOKUP(AU$4,$DE$6:$DF$17,2)+1))*(VLOOKUP($A46,SatSunCurve,2))*(INDEX(DailyScalarsTable,AU$5/100,MONTH($A46)))*$C46</f>
        <v>-11703.835159131937</v>
      </c>
      <c r="AV46" s="1021">
        <f>(VLOOKUP(YEAR($A46),'NY East Load Projections'!$A$4:$EO$14,((MONTH($A46)-1)*12)+VLOOKUP(AV$4,$DE$6:$DF$17,2)+1))*(VLOOKUP($A46,SatSunCurve,2))*(INDEX(DailyScalarsTable,AV$5/100,MONTH($A46)))*$C46</f>
        <v>-11248.302254549355</v>
      </c>
      <c r="AW46" s="1021">
        <f>(VLOOKUP(YEAR($A46),'NY East Load Projections'!$A$4:$EO$14,((MONTH($A46)-1)*12)+VLOOKUP(AW$4,$DE$6:$DF$17,2)+1))*(VLOOKUP($A46,SatSunCurve,2))*(INDEX(DailyScalarsTable,AW$5/100,MONTH($A46)))*$C46</f>
        <v>-10619.45507190125</v>
      </c>
      <c r="AX46" s="1021">
        <f>(VLOOKUP(YEAR($A46),'NY East Load Projections'!$A$4:$EO$14,((MONTH($A46)-1)*12)+VLOOKUP(AX$4,$DE$6:$DF$17,2)+1))*(VLOOKUP($A46,SatSunCurve,2))*(INDEX(DailyScalarsTable,AX$5/100,MONTH($A46)))*$C46</f>
        <v>-10205.597153592342</v>
      </c>
      <c r="AY46" s="1021">
        <f>(VLOOKUP(YEAR($A46),'NY East Load Projections'!$A$4:$EO$14,((MONTH($A46)-1)*12)+VLOOKUP(AY$4,$DE$6:$DF$17,2)+1))*(VLOOKUP($A46,SatSunCurve,2))*(INDEX(DailyScalarsTable,AY$5/100,MONTH($A46)))*$C46</f>
        <v>-8842.300481515942</v>
      </c>
      <c r="AZ46" s="1021">
        <f>(VLOOKUP(YEAR($A46),'NY East Load Projections'!$A$4:$EO$14,((MONTH($A46)-1)*12)+VLOOKUP(AZ$4,$DE$6:$DF$17,2)+1))*(VLOOKUP($A46,SatSunCurve,2))*(INDEX(DailyScalarsTable,AZ$5/100,MONTH($A46)))*$C46</f>
        <v>-8819.6947969024332</v>
      </c>
      <c r="BA46" s="1021">
        <f>(VLOOKUP(YEAR($A46),'NY East Load Projections'!$A$4:$EO$14,((MONTH($A46)-1)*12)+VLOOKUP(BA$4,$DE$6:$DF$17,2)+1))*(VLOOKUP($A46,SatSunCurve,2))*(INDEX(DailyScalarsTable,BA$5/100,MONTH($A46)))*$C46</f>
        <v>-11067.443884817074</v>
      </c>
      <c r="BB46" s="1021">
        <f>(VLOOKUP(YEAR($A46),'NY East Load Projections'!$A$4:$EO$14,((MONTH($A46)-1)*12)+VLOOKUP(BB$4,$DE$6:$DF$17,2)+1))*(VLOOKUP($A46,SatSunCurve,2))*(INDEX(DailyScalarsTable,BB$5/100,MONTH($A46)))*$C46</f>
        <v>-10556.280160935796</v>
      </c>
      <c r="BC46" s="1021">
        <f>(VLOOKUP(YEAR($A46),'NY East Load Projections'!$A$4:$EO$14,((MONTH($A46)-1)*12)+VLOOKUP(BC$4,$DE$6:$DF$17,2)+1))*(VLOOKUP($A46,SatSunCurve,2))*(INDEX(DailyScalarsTable,BC$5/100,MONTH($A46)))*$C46</f>
        <v>-8468.3345265803546</v>
      </c>
      <c r="BD46" s="1021">
        <f>(VLOOKUP(YEAR($A46),'NY East Load Projections'!$A$4:$EO$14,((MONTH($A46)-1)*12)+VLOOKUP(BD$4,$DE$6:$DF$17,2)+1))*(VLOOKUP($A46,CURVES!$D$9:$T$261,6))*(INDEX(DailyScalarsTable,BD$5/100,MONTH($A46)))*$C46</f>
        <v>-10898.141139223788</v>
      </c>
      <c r="BE46" s="1021"/>
      <c r="BF46" s="1021">
        <f>(VLOOKUP(YEAR($A46),'NY East Load Projections'!$A$4:$EO$14,((MONTH($A46)-1)*12)+VLOOKUP(BF$4,$DE$6:$DF$17,2)+1))*(VLOOKUP($A46,CURVES!$D$9:$T$261,6))*(INDEX(DailyScalarsTable,BF$5/100,MONTH($A46)))*$D46</f>
        <v>-8992.5498625125347</v>
      </c>
      <c r="BG46" s="1021">
        <f>(VLOOKUP(YEAR($A46),'NY East Load Projections'!$A$4:$EO$14,((MONTH($A46)-1)*12)+VLOOKUP(BG$4,$DE$6:$DF$17,2)+1))*(VLOOKUP($A46,CURVES!$D$9:$T$261,6))*(INDEX(DailyScalarsTable,BG$5/100,MONTH($A46)))*$D46</f>
        <v>-8100.1413962406141</v>
      </c>
      <c r="BH46" s="1021">
        <f>(VLOOKUP(YEAR($A46),'NY East Load Projections'!$A$4:$EO$14,((MONTH($A46)-1)*12)+VLOOKUP(BH$4,$DE$6:$DF$17,2)+1))*(VLOOKUP($A46,CURVES!$D$9:$T$261,6))*(INDEX(DailyScalarsTable,BH$5/100,MONTH($A46)))*$D46</f>
        <v>-7665.7415078966133</v>
      </c>
      <c r="BI46" s="1021">
        <f>(VLOOKUP(YEAR($A46),'NY East Load Projections'!$A$4:$EO$14,((MONTH($A46)-1)*12)+VLOOKUP(BI$4,$DE$6:$DF$17,2)+1))*(VLOOKUP($A46,CURVES!$D$9:$T$261,6))*(INDEX(DailyScalarsTable,BI$5/100,MONTH($A46)))*$D46</f>
        <v>-7432.0154810158701</v>
      </c>
      <c r="BJ46" s="1021">
        <f>(VLOOKUP(YEAR($A46),'NY East Load Projections'!$A$4:$EO$14,((MONTH($A46)-1)*12)+VLOOKUP(BJ$4,$DE$6:$DF$17,2)+1))*(VLOOKUP($A46,CURVES!$D$9:$T$261,6))*(INDEX(DailyScalarsTable,BJ$5/100,MONTH($A46)))*$D46</f>
        <v>-8167.4577976393339</v>
      </c>
      <c r="BK46" s="1021">
        <f>(VLOOKUP(YEAR($A46),'NY East Load Projections'!$A$4:$EO$14,((MONTH($A46)-1)*12)+VLOOKUP(BK$4,$DE$6:$DF$17,2)+1))*(VLOOKUP($A46,CURVES!$D$9:$T$261,6))*(INDEX(DailyScalarsTable,BK$5/100,MONTH($A46)))*$D46</f>
        <v>-9902.5632687340731</v>
      </c>
      <c r="BL46" s="1021">
        <f>(VLOOKUP(YEAR($A46),'NY East Load Projections'!$A$4:$EO$14,((MONTH($A46)-1)*12)+VLOOKUP(BL$4,$DE$6:$DF$17,2)+1))*(VLOOKUP($A46,CURVES!$D$9:$T$261,6))*(INDEX(DailyScalarsTable,BL$5/100,MONTH($A46)))*$D46</f>
        <v>-11848.565537420443</v>
      </c>
      <c r="BM46" s="1021">
        <f>(VLOOKUP(YEAR($A46),'NY East Load Projections'!$A$4:$EO$14,((MONTH($A46)-1)*12)+VLOOKUP(BM$4,$DE$6:$DF$17,2)+1))*(VLOOKUP($A46,SatSunCurve,6))*(INDEX(DailyScalarsTable,BM$5/100,MONTH($A46)))*$D46</f>
        <v>-8167.3725926409543</v>
      </c>
      <c r="BN46" s="1021">
        <f>(VLOOKUP(YEAR($A46),'NY East Load Projections'!$A$4:$EO$14,((MONTH($A46)-1)*12)+VLOOKUP(BN$4,$DE$6:$DF$17,2)+1))*(VLOOKUP($A46,SatSunCurve,6))*(INDEX(DailyScalarsTable,BN$5/100,MONTH($A46)))*$D46</f>
        <v>-9953.8733463169301</v>
      </c>
      <c r="BO46" s="1021">
        <f>(VLOOKUP(YEAR($A46),'NY East Load Projections'!$A$4:$EO$14,((MONTH($A46)-1)*12)+VLOOKUP(BO$4,$DE$6:$DF$17,2)+1))*(VLOOKUP($A46,SatSunCurve,6))*(INDEX(DailyScalarsTable,BO$5/100,MONTH($A46)))*$D46</f>
        <v>-10130.421405983205</v>
      </c>
      <c r="BP46" s="1021">
        <f>(VLOOKUP(YEAR($A46),'NY East Load Projections'!$A$4:$EO$14,((MONTH($A46)-1)*12)+VLOOKUP(BP$4,$DE$6:$DF$17,2)+1))*(VLOOKUP($A46,SatSunCurve,6))*(INDEX(DailyScalarsTable,BP$5/100,MONTH($A46)))*$D46</f>
        <v>-10745.996056501001</v>
      </c>
      <c r="BQ46" s="1021">
        <f>(VLOOKUP(YEAR($A46),'NY East Load Projections'!$A$4:$EO$14,((MONTH($A46)-1)*12)+VLOOKUP(BQ$4,$DE$6:$DF$17,2)+1))*(VLOOKUP($A46,SatSunCurve,6))*(INDEX(DailyScalarsTable,BQ$5/100,MONTH($A46)))*$D46</f>
        <v>-10664.752701610323</v>
      </c>
      <c r="BR46" s="1021">
        <f>(VLOOKUP(YEAR($A46),'NY East Load Projections'!$A$4:$EO$14,((MONTH($A46)-1)*12)+VLOOKUP(BR$4,$DE$6:$DF$17,2)+1))*(VLOOKUP($A46,SatSunCurve,6))*(INDEX(DailyScalarsTable,BR$5/100,MONTH($A46)))*$D46</f>
        <v>-10199.490173649248</v>
      </c>
      <c r="BS46" s="1021">
        <f>(VLOOKUP(YEAR($A46),'NY East Load Projections'!$A$4:$EO$14,((MONTH($A46)-1)*12)+VLOOKUP(BS$4,$DE$6:$DF$17,2)+1))*(VLOOKUP($A46,SatSunCurve,6))*(INDEX(DailyScalarsTable,BS$5/100,MONTH($A46)))*$D46</f>
        <v>-10248.648164224986</v>
      </c>
      <c r="BT46" s="1021">
        <f>(VLOOKUP(YEAR($A46),'NY East Load Projections'!$A$4:$EO$14,((MONTH($A46)-1)*12)+VLOOKUP(BT$4,$DE$6:$DF$17,2)+1))*(VLOOKUP($A46,SatSunCurve,6))*(INDEX(DailyScalarsTable,BT$5/100,MONTH($A46)))*$D46</f>
        <v>-9941.0142877187736</v>
      </c>
      <c r="BU46" s="1021">
        <f>(VLOOKUP(YEAR($A46),'NY East Load Projections'!$A$4:$EO$14,((MONTH($A46)-1)*12)+VLOOKUP(BU$4,$DE$6:$DF$17,2)+1))*(VLOOKUP($A46,SatSunCurve,6))*(INDEX(DailyScalarsTable,BU$5/100,MONTH($A46)))*$D46</f>
        <v>-9554.0933296387939</v>
      </c>
      <c r="BV46" s="1021">
        <f>(VLOOKUP(YEAR($A46),'NY East Load Projections'!$A$4:$EO$14,((MONTH($A46)-1)*12)+VLOOKUP(BV$4,$DE$6:$DF$17,2)+1))*(VLOOKUP($A46,SatSunCurve,6))*(INDEX(DailyScalarsTable,BV$5/100,MONTH($A46)))*$D46</f>
        <v>-9019.9625304179208</v>
      </c>
      <c r="BW46" s="1021">
        <f>(VLOOKUP(YEAR($A46),'NY East Load Projections'!$A$4:$EO$14,((MONTH($A46)-1)*12)+VLOOKUP(BW$4,$DE$6:$DF$17,2)+1))*(VLOOKUP($A46,SatSunCurve,6))*(INDEX(DailyScalarsTable,BW$5/100,MONTH($A46)))*$D46</f>
        <v>-8668.4395105653766</v>
      </c>
      <c r="BX46" s="1021">
        <f>(VLOOKUP(YEAR($A46),'NY East Load Projections'!$A$4:$EO$14,((MONTH($A46)-1)*12)+VLOOKUP(BX$4,$DE$6:$DF$17,2)+1))*(VLOOKUP($A46,SatSunCurve,6))*(INDEX(DailyScalarsTable,BX$5/100,MONTH($A46)))*$D46</f>
        <v>-7510.4813275217148</v>
      </c>
      <c r="BY46" s="1021">
        <f>(VLOOKUP(YEAR($A46),'NY East Load Projections'!$A$4:$EO$14,((MONTH($A46)-1)*12)+VLOOKUP(BY$4,$DE$6:$DF$17,2)+1))*(VLOOKUP($A46,SatSunCurve,6))*(INDEX(DailyScalarsTable,BY$5/100,MONTH($A46)))*$D46</f>
        <v>-7491.2804903028809</v>
      </c>
      <c r="BZ46" s="1021">
        <f>(VLOOKUP(YEAR($A46),'NY East Load Projections'!$A$4:$EO$14,((MONTH($A46)-1)*12)+VLOOKUP(BZ$4,$DE$6:$DF$17,2)+1))*(VLOOKUP($A46,SatSunCurve,6))*(INDEX(DailyScalarsTable,BZ$5/100,MONTH($A46)))*$D46</f>
        <v>-9400.475680969219</v>
      </c>
      <c r="CA46" s="1021">
        <f>(VLOOKUP(YEAR($A46),'NY East Load Projections'!$A$4:$EO$14,((MONTH($A46)-1)*12)+VLOOKUP(CA$4,$DE$6:$DF$17,2)+1))*(VLOOKUP($A46,SatSunCurve,6))*(INDEX(DailyScalarsTable,CA$5/100,MONTH($A46)))*$D46</f>
        <v>-8966.3029663524667</v>
      </c>
      <c r="CB46" s="1021">
        <f>(VLOOKUP(YEAR($A46),'NY East Load Projections'!$A$4:$EO$14,((MONTH($A46)-1)*12)+VLOOKUP(CB$4,$DE$6:$DF$17,2)+1))*(VLOOKUP($A46,SatSunCurve,6))*(INDEX(DailyScalarsTable,CB$5/100,MONTH($A46)))*$D46</f>
        <v>-7192.841780263192</v>
      </c>
      <c r="CC46" s="1021">
        <f>(VLOOKUP(YEAR($A46),'NY East Load Projections'!$A$4:$EO$14,((MONTH($A46)-1)*12)+VLOOKUP(CC$4,$DE$6:$DF$17,2)+1))*(VLOOKUP($A46,CURVES!$D$9:$T$261,6))*(INDEX(DailyScalarsTable,CC$5/100,MONTH($A46)))*$D46</f>
        <v>-10898.141139223788</v>
      </c>
      <c r="CE46" s="1021">
        <f>(VLOOKUP(YEAR($A46),'NY East Load Projections'!$A$4:$EO$14,((MONTH($A46)-1)*12)+VLOOKUP(CE$4,$DE$6:$DF$17,2)+1))*(VLOOKUP($A46,CURVES!$D$9:$T$261,6))*(INDEX(DailyScalarsTable,CE$5/100,MONTH($A46)))*$E46</f>
        <v>-1798.5099725025068</v>
      </c>
      <c r="CF46" s="1021">
        <f>(VLOOKUP(YEAR($A46),'NY East Load Projections'!$A$4:$EO$14,((MONTH($A46)-1)*12)+VLOOKUP(CF$4,$DE$6:$DF$17,2)+1))*(VLOOKUP($A46,CURVES!$D$9:$T$261,6))*(INDEX(DailyScalarsTable,CF$5/100,MONTH($A46)))*$E46</f>
        <v>-1620.0282792481228</v>
      </c>
      <c r="CG46" s="1021">
        <f>(VLOOKUP(YEAR($A46),'NY East Load Projections'!$A$4:$EO$14,((MONTH($A46)-1)*12)+VLOOKUP(CG$4,$DE$6:$DF$17,2)+1))*(VLOOKUP($A46,CURVES!$D$9:$T$261,6))*(INDEX(DailyScalarsTable,CG$5/100,MONTH($A46)))*$E46</f>
        <v>-1533.1483015793226</v>
      </c>
      <c r="CH46" s="1021">
        <f>(VLOOKUP(YEAR($A46),'NY East Load Projections'!$A$4:$EO$14,((MONTH($A46)-1)*12)+VLOOKUP(CH$4,$DE$6:$DF$17,2)+1))*(VLOOKUP($A46,CURVES!$D$9:$T$261,6))*(INDEX(DailyScalarsTable,CH$5/100,MONTH($A46)))*$E46</f>
        <v>-1486.4030962031741</v>
      </c>
      <c r="CI46" s="1021">
        <f>(VLOOKUP(YEAR($A46),'NY East Load Projections'!$A$4:$EO$14,((MONTH($A46)-1)*12)+VLOOKUP(CI$4,$DE$6:$DF$17,2)+1))*(VLOOKUP($A46,CURVES!$D$9:$T$261,6))*(INDEX(DailyScalarsTable,CI$5/100,MONTH($A46)))*$E46</f>
        <v>-1633.4915595278667</v>
      </c>
      <c r="CJ46" s="1021">
        <f>(VLOOKUP(YEAR($A46),'NY East Load Projections'!$A$4:$EO$14,((MONTH($A46)-1)*12)+VLOOKUP(CJ$4,$DE$6:$DF$17,2)+1))*(VLOOKUP($A46,CURVES!$D$9:$T$261,6))*(INDEX(DailyScalarsTable,CJ$5/100,MONTH($A46)))*$E46</f>
        <v>-1980.5126537468145</v>
      </c>
      <c r="CK46" s="1021">
        <f>(VLOOKUP(YEAR($A46),'NY East Load Projections'!$A$4:$EO$14,((MONTH($A46)-1)*12)+VLOOKUP(CK$4,$DE$6:$DF$17,2)+1))*(VLOOKUP($A46,CURVES!$D$9:$T$261,6))*(INDEX(DailyScalarsTable,CK$5/100,MONTH($A46)))*$E46</f>
        <v>-2369.7131074840886</v>
      </c>
      <c r="CL46" s="1021">
        <f>(VLOOKUP(YEAR($A46),'NY East Load Projections'!$A$4:$EO$14,((MONTH($A46)-1)*12)+VLOOKUP(CL$4,$DE$6:$DF$17,2)+1))*(VLOOKUP($A46,SatSunCurve,6))*(INDEX(DailyScalarsTable,CL$5/100,MONTH($A46)))*$E46</f>
        <v>-1633.4745185281909</v>
      </c>
      <c r="CM46" s="1021">
        <f>(VLOOKUP(YEAR($A46),'NY East Load Projections'!$A$4:$EO$14,((MONTH($A46)-1)*12)+VLOOKUP(CM$4,$DE$6:$DF$17,2)+1))*(VLOOKUP($A46,SatSunCurve,6))*(INDEX(DailyScalarsTable,CM$5/100,MONTH($A46)))*$E46</f>
        <v>-1990.7746692633862</v>
      </c>
      <c r="CN46" s="1021">
        <f>(VLOOKUP(YEAR($A46),'NY East Load Projections'!$A$4:$EO$14,((MONTH($A46)-1)*12)+VLOOKUP(CN$4,$DE$6:$DF$17,2)+1))*(VLOOKUP($A46,SatSunCurve,6))*(INDEX(DailyScalarsTable,CN$5/100,MONTH($A46)))*$E46</f>
        <v>-2026.0842811966411</v>
      </c>
      <c r="CO46" s="1021">
        <f>(VLOOKUP(YEAR($A46),'NY East Load Projections'!$A$4:$EO$14,((MONTH($A46)-1)*12)+VLOOKUP(CO$4,$DE$6:$DF$17,2)+1))*(VLOOKUP($A46,SatSunCurve,6))*(INDEX(DailyScalarsTable,CO$5/100,MONTH($A46)))*$E46</f>
        <v>-2149.1992113002002</v>
      </c>
      <c r="CP46" s="1021">
        <f>(VLOOKUP(YEAR($A46),'NY East Load Projections'!$A$4:$EO$14,((MONTH($A46)-1)*12)+VLOOKUP(CP$4,$DE$6:$DF$17,2)+1))*(VLOOKUP($A46,SatSunCurve,6))*(INDEX(DailyScalarsTable,CP$5/100,MONTH($A46)))*$E46</f>
        <v>-2132.9505403220646</v>
      </c>
      <c r="CQ46" s="1021">
        <f>(VLOOKUP(YEAR($A46),'NY East Load Projections'!$A$4:$EO$14,((MONTH($A46)-1)*12)+VLOOKUP(CQ$4,$DE$6:$DF$17,2)+1))*(VLOOKUP($A46,SatSunCurve,6))*(INDEX(DailyScalarsTable,CQ$5/100,MONTH($A46)))*$E46</f>
        <v>-2039.8980347298495</v>
      </c>
      <c r="CR46" s="1021">
        <f>(VLOOKUP(YEAR($A46),'NY East Load Projections'!$A$4:$EO$14,((MONTH($A46)-1)*12)+VLOOKUP(CR$4,$DE$6:$DF$17,2)+1))*(VLOOKUP($A46,SatSunCurve,6))*(INDEX(DailyScalarsTable,CR$5/100,MONTH($A46)))*$E46</f>
        <v>-2049.729632844997</v>
      </c>
      <c r="CS46" s="1021">
        <f>(VLOOKUP(YEAR($A46),'NY East Load Projections'!$A$4:$EO$14,((MONTH($A46)-1)*12)+VLOOKUP(CS$4,$DE$6:$DF$17,2)+1))*(VLOOKUP($A46,SatSunCurve,6))*(INDEX(DailyScalarsTable,CS$5/100,MONTH($A46)))*$E46</f>
        <v>-1988.2028575437546</v>
      </c>
      <c r="CT46" s="1021">
        <f>(VLOOKUP(YEAR($A46),'NY East Load Projections'!$A$4:$EO$14,((MONTH($A46)-1)*12)+VLOOKUP(CT$4,$DE$6:$DF$17,2)+1))*(VLOOKUP($A46,SatSunCurve,6))*(INDEX(DailyScalarsTable,CT$5/100,MONTH($A46)))*$E46</f>
        <v>-1910.8186659277587</v>
      </c>
      <c r="CU46" s="1021">
        <f>(VLOOKUP(YEAR($A46),'NY East Load Projections'!$A$4:$EO$14,((MONTH($A46)-1)*12)+VLOOKUP(CU$4,$DE$6:$DF$17,2)+1))*(VLOOKUP($A46,SatSunCurve,6))*(INDEX(DailyScalarsTable,CU$5/100,MONTH($A46)))*$E46</f>
        <v>-1803.992506083584</v>
      </c>
      <c r="CV46" s="1021">
        <f>(VLOOKUP(YEAR($A46),'NY East Load Projections'!$A$4:$EO$14,((MONTH($A46)-1)*12)+VLOOKUP(CV$4,$DE$6:$DF$17,2)+1))*(VLOOKUP($A46,SatSunCurve,6))*(INDEX(DailyScalarsTable,CV$5/100,MONTH($A46)))*$E46</f>
        <v>-1733.6879021130753</v>
      </c>
      <c r="CW46" s="1021">
        <f>(VLOOKUP(YEAR($A46),'NY East Load Projections'!$A$4:$EO$14,((MONTH($A46)-1)*12)+VLOOKUP(CW$4,$DE$6:$DF$17,2)+1))*(VLOOKUP($A46,SatSunCurve,6))*(INDEX(DailyScalarsTable,CW$5/100,MONTH($A46)))*$E46</f>
        <v>-1502.0962655043429</v>
      </c>
      <c r="CX46" s="1021">
        <f>(VLOOKUP(YEAR($A46),'NY East Load Projections'!$A$4:$EO$14,((MONTH($A46)-1)*12)+VLOOKUP(CX$4,$DE$6:$DF$17,2)+1))*(VLOOKUP($A46,SatSunCurve,6))*(INDEX(DailyScalarsTable,CX$5/100,MONTH($A46)))*$E46</f>
        <v>-1498.2560980605763</v>
      </c>
      <c r="CY46" s="1021">
        <f>(VLOOKUP(YEAR($A46),'NY East Load Projections'!$A$4:$EO$14,((MONTH($A46)-1)*12)+VLOOKUP(CY$4,$DE$6:$DF$17,2)+1))*(VLOOKUP($A46,SatSunCurve,6))*(INDEX(DailyScalarsTable,CY$5/100,MONTH($A46)))*$E46</f>
        <v>-1880.0951361938437</v>
      </c>
      <c r="CZ46" s="1021">
        <f>(VLOOKUP(YEAR($A46),'NY East Load Projections'!$A$4:$EO$14,((MONTH($A46)-1)*12)+VLOOKUP(CZ$4,$DE$6:$DF$17,2)+1))*(VLOOKUP($A46,SatSunCurve,6))*(INDEX(DailyScalarsTable,CZ$5/100,MONTH($A46)))*$E46</f>
        <v>-1793.2605932704932</v>
      </c>
      <c r="DA46" s="1021">
        <f>(VLOOKUP(YEAR($A46),'NY East Load Projections'!$A$4:$EO$14,((MONTH($A46)-1)*12)+VLOOKUP(DA$4,$DE$6:$DF$17,2)+1))*(VLOOKUP($A46,SatSunCurve,6))*(INDEX(DailyScalarsTable,DA$5/100,MONTH($A46)))*$E46</f>
        <v>-1438.5683560526384</v>
      </c>
      <c r="DB46" s="1021">
        <f>(VLOOKUP(YEAR($A46),'NY East Load Projections'!$A$4:$EO$14,((MONTH($A46)-1)*12)+VLOOKUP(DB$4,$DE$6:$DF$17,2)+1))*(VLOOKUP($A46,CURVES!$D$9:$T$261,6))*(INDEX(DailyScalarsTable,DB$5/100,MONTH($A46)))*$E46</f>
        <v>-2179.6282278447575</v>
      </c>
      <c r="DH46" s="1021">
        <f t="shared" si="0"/>
        <v>-1938706.294672695</v>
      </c>
      <c r="DI46">
        <f ca="1">CALC!J66</f>
        <v>0.73550957482072366</v>
      </c>
      <c r="DJ46" s="1029">
        <f t="shared" ca="1" si="1"/>
        <v>-1425937.0424969746</v>
      </c>
    </row>
    <row r="47" spans="1:114" x14ac:dyDescent="0.25">
      <c r="A47" s="244">
        <v>38139</v>
      </c>
      <c r="B47" s="13">
        <v>22</v>
      </c>
      <c r="C47" s="210">
        <v>4</v>
      </c>
      <c r="D47" s="210">
        <v>4</v>
      </c>
      <c r="E47" s="210">
        <v>0</v>
      </c>
      <c r="F47" s="13">
        <v>30</v>
      </c>
      <c r="H47" s="1021">
        <f>(VLOOKUP(YEAR($A47),'NY East Load Projections'!$A$4:$EO$14,((MONTH($A47)-1)*12)+VLOOKUP(H$4,$DE$6:$DF$17,2)+1))*(VLOOKUP($A47,CURVES!$D$9:$K$261,6))*(INDEX(DailyScalarsTable,H$5/100,MONTH($A47)))*$B47</f>
        <v>-42373.693630459085</v>
      </c>
      <c r="I47" s="1021">
        <f>(VLOOKUP(YEAR($A47),'NY East Load Projections'!$A$4:$EO$14,((MONTH($A47)-1)*12)+VLOOKUP(I$4,$DE$6:$DF$17,2)+1))*(VLOOKUP($A47,CURVES!$D$9:$K$261,6))*(INDEX(DailyScalarsTable,I$5/100,MONTH($A47)))*$B47</f>
        <v>-35107.152874787833</v>
      </c>
      <c r="J47" s="1021">
        <f>(VLOOKUP(YEAR($A47),'NY East Load Projections'!$A$4:$EO$14,((MONTH($A47)-1)*12)+VLOOKUP(J$4,$DE$6:$DF$17,2)+1))*(VLOOKUP($A47,CURVES!$D$9:$K$261,6))*(INDEX(DailyScalarsTable,J$5/100,MONTH($A47)))*$B47</f>
        <v>-29510.831934599224</v>
      </c>
      <c r="K47" s="1021">
        <f>(VLOOKUP(YEAR($A47),'NY East Load Projections'!$A$4:$EO$14,((MONTH($A47)-1)*12)+VLOOKUP(K$4,$DE$6:$DF$17,2)+1))*(VLOOKUP($A47,CURVES!$D$9:$K$261,6))*(INDEX(DailyScalarsTable,K$5/100,MONTH($A47)))*$B47</f>
        <v>-27395.943207202366</v>
      </c>
      <c r="L47" s="1021">
        <f>(VLOOKUP(YEAR($A47),'NY East Load Projections'!$A$4:$EO$14,((MONTH($A47)-1)*12)+VLOOKUP(L$4,$DE$6:$DF$17,2)+1))*(VLOOKUP($A47,CURVES!$D$9:$K$261,6))*(INDEX(DailyScalarsTable,L$5/100,MONTH($A47)))*$B47</f>
        <v>-32582.757507940158</v>
      </c>
      <c r="M47" s="1021">
        <f>(VLOOKUP(YEAR($A47),'NY East Load Projections'!$A$4:$EO$14,((MONTH($A47)-1)*12)+VLOOKUP(M$4,$DE$6:$DF$17,2)+1))*(VLOOKUP($A47,CURVES!$D$9:$K$261,6))*(INDEX(DailyScalarsTable,M$5/100,MONTH($A47)))*$B47</f>
        <v>-39753.342463154717</v>
      </c>
      <c r="N47" s="1021">
        <f>(VLOOKUP(YEAR($A47),'NY East Load Projections'!$A$4:$EO$14,((MONTH($A47)-1)*12)+VLOOKUP(N$4,$DE$6:$DF$17,2)+1))*(VLOOKUP($A47,CURVES!$D$9:$K$261,6))*(INDEX(DailyScalarsTable,N$5/100,MONTH($A47)))*$B47</f>
        <v>-45580.185959100221</v>
      </c>
      <c r="O47" s="1021">
        <f>(VLOOKUP(YEAR($A47),'NY East Load Projections'!$A$4:$EO$14,((MONTH($A47)-1)*12)+VLOOKUP(O$4,$DE$6:$DF$17,2)+1))*(VLOOKUP($A47,CURVES!$D$9:$K$261,2))*(INDEX(DailyScalarsTable,O$5/100,MONTH($A47)))*$B47</f>
        <v>-66666.784550451572</v>
      </c>
      <c r="P47" s="1021">
        <f>(VLOOKUP(YEAR($A47),'NY East Load Projections'!$A$4:$EO$14,((MONTH($A47)-1)*12)+VLOOKUP(P$4,$DE$6:$DF$17,2)+1))*(VLOOKUP($A47,CURVES!$D$9:$K$261,2))*(INDEX(DailyScalarsTable,P$5/100,MONTH($A47)))*$B47</f>
        <v>-88561.0051019323</v>
      </c>
      <c r="Q47" s="1021">
        <f>(VLOOKUP(YEAR($A47),'NY East Load Projections'!$A$4:$EO$14,((MONTH($A47)-1)*12)+VLOOKUP(Q$4,$DE$6:$DF$17,2)+1))*(VLOOKUP($A47,CURVES!$D$9:$K$261,2))*(INDEX(DailyScalarsTable,Q$5/100,MONTH($A47)))*$B47</f>
        <v>-99054.824461950877</v>
      </c>
      <c r="R47" s="1021">
        <f>(VLOOKUP(YEAR($A47),'NY East Load Projections'!$A$4:$EO$14,((MONTH($A47)-1)*12)+VLOOKUP(R$4,$DE$6:$DF$17,2)+1))*(VLOOKUP($A47,CURVES!$D$9:$K$261,2))*(INDEX(DailyScalarsTable,R$5/100,MONTH($A47)))*$B47</f>
        <v>-113941.76642387079</v>
      </c>
      <c r="S47" s="1021">
        <f>(VLOOKUP(YEAR($A47),'NY East Load Projections'!$A$4:$EO$14,((MONTH($A47)-1)*12)+VLOOKUP(S$4,$DE$6:$DF$17,2)+1))*(VLOOKUP($A47,CURVES!$D$9:$K$261,2))*(INDEX(DailyScalarsTable,S$5/100,MONTH($A47)))*$B47</f>
        <v>-122883.24564187485</v>
      </c>
      <c r="T47" s="1021">
        <f>(VLOOKUP(YEAR($A47),'NY East Load Projections'!$A$4:$EO$14,((MONTH($A47)-1)*12)+VLOOKUP(T$4,$DE$6:$DF$17,2)+1))*(VLOOKUP($A47,CURVES!$D$9:$K$261,2))*(INDEX(DailyScalarsTable,T$5/100,MONTH($A47)))*$B47</f>
        <v>-130961.91532115692</v>
      </c>
      <c r="U47" s="1021">
        <f>(VLOOKUP(YEAR($A47),'NY East Load Projections'!$A$4:$EO$14,((MONTH($A47)-1)*12)+VLOOKUP(U$4,$DE$6:$DF$17,2)+1))*(VLOOKUP($A47,CURVES!$D$9:$K$261,2))*(INDEX(DailyScalarsTable,U$5/100,MONTH($A47)))*$B47</f>
        <v>-144828.65836087582</v>
      </c>
      <c r="V47" s="1021">
        <f>(VLOOKUP(YEAR($A47),'NY East Load Projections'!$A$4:$EO$14,((MONTH($A47)-1)*12)+VLOOKUP(V$4,$DE$6:$DF$17,2)+1))*(VLOOKUP($A47,CURVES!$D$9:$K$261,2))*(INDEX(DailyScalarsTable,V$5/100,MONTH($A47)))*$B47</f>
        <v>-145943.09235947553</v>
      </c>
      <c r="W47" s="1021">
        <f>(VLOOKUP(YEAR($A47),'NY East Load Projections'!$A$4:$EO$14,((MONTH($A47)-1)*12)+VLOOKUP(W$4,$DE$6:$DF$17,2)+1))*(VLOOKUP($A47,CURVES!$D$9:$K$261,2))*(INDEX(DailyScalarsTable,W$5/100,MONTH($A47)))*$B47</f>
        <v>-146181.89964488972</v>
      </c>
      <c r="X47" s="1021">
        <f>(VLOOKUP(YEAR($A47),'NY East Load Projections'!$A$4:$EO$14,((MONTH($A47)-1)*12)+VLOOKUP(X$4,$DE$6:$DF$17,2)+1))*(VLOOKUP($A47,CURVES!$D$9:$K$261,2))*(INDEX(DailyScalarsTable,X$5/100,MONTH($A47)))*$B47</f>
        <v>-140145.60560001098</v>
      </c>
      <c r="Y47" s="1021">
        <f>(VLOOKUP(YEAR($A47),'NY East Load Projections'!$A$4:$EO$14,((MONTH($A47)-1)*12)+VLOOKUP(Y$4,$DE$6:$DF$17,2)+1))*(VLOOKUP($A47,CURVES!$D$9:$K$261,2))*(INDEX(DailyScalarsTable,Y$5/100,MONTH($A47)))*$B47</f>
        <v>-135985.24414344647</v>
      </c>
      <c r="Z47" s="1021">
        <f>(VLOOKUP(YEAR($A47),'NY East Load Projections'!$A$4:$EO$14,((MONTH($A47)-1)*12)+VLOOKUP(Z$4,$DE$6:$DF$17,2)+1))*(VLOOKUP($A47,CURVES!$D$9:$K$261,2))*(INDEX(DailyScalarsTable,Z$5/100,MONTH($A47)))*$B47</f>
        <v>-116114.63689783352</v>
      </c>
      <c r="AA47" s="1021">
        <f>(VLOOKUP(YEAR($A47),'NY East Load Projections'!$A$4:$EO$14,((MONTH($A47)-1)*12)+VLOOKUP(AA$4,$DE$6:$DF$17,2)+1))*(VLOOKUP($A47,CURVES!$D$9:$K$261,2))*(INDEX(DailyScalarsTable,AA$5/100,MONTH($A47)))*$B47</f>
        <v>-92849.655323038038</v>
      </c>
      <c r="AB47" s="1021">
        <f>(VLOOKUP(YEAR($A47),'NY East Load Projections'!$A$4:$EO$14,((MONTH($A47)-1)*12)+VLOOKUP(AB$4,$DE$6:$DF$17,2)+1))*(VLOOKUP($A47,CURVES!$D$9:$K$261,2))*(INDEX(DailyScalarsTable,AB$5/100,MONTH($A47)))*$B47</f>
        <v>-89107.279221472738</v>
      </c>
      <c r="AC47" s="1021">
        <f>(VLOOKUP(YEAR($A47),'NY East Load Projections'!$A$4:$EO$14,((MONTH($A47)-1)*12)+VLOOKUP(AC$4,$DE$6:$DF$17,2)+1))*(VLOOKUP($A47,CURVES!$D$9:$K$261,2))*(INDEX(DailyScalarsTable,AC$5/100,MONTH($A47)))*$B47</f>
        <v>-90791.802064748583</v>
      </c>
      <c r="AD47" s="1021">
        <f>(VLOOKUP(YEAR($A47),'NY East Load Projections'!$A$4:$EO$14,((MONTH($A47)-1)*12)+VLOOKUP(AD$4,$DE$6:$DF$17,2)+1))*(VLOOKUP($A47,CURVES!$D$9:$K$261,2))*(INDEX(DailyScalarsTable,AD$5/100,MONTH($A47)))*$B47</f>
        <v>-72805.873123945203</v>
      </c>
      <c r="AE47" s="1021">
        <f>(VLOOKUP(YEAR($A47),'NY East Load Projections'!$A$4:$EO$14,((MONTH($A47)-1)*12)+VLOOKUP(AE$4,$DE$6:$DF$17,2)+1))*(VLOOKUP($A47,CURVES!$D$9:$K$261,6))*(INDEX(DailyScalarsTable,AE$5/100,MONTH($A47)))*$B47</f>
        <v>-54137.48783532063</v>
      </c>
      <c r="AF47" s="1021"/>
      <c r="AG47" s="1021">
        <f>(VLOOKUP(YEAR($A47),'NY East Load Projections'!$A$4:$EO$14,((MONTH($A47)-1)*12)+VLOOKUP(AG$4,$DE$6:$DF$17,2)+1))*(VLOOKUP($A47,CURVES!$D$9:$T$261,6))*(INDEX(DailyScalarsTable,AG$5/100,MONTH($A47)))*$C47</f>
        <v>-7843.0763244345244</v>
      </c>
      <c r="AH47" s="1021">
        <f>(VLOOKUP(YEAR($A47),'NY East Load Projections'!$A$4:$EO$14,((MONTH($A47)-1)*12)+VLOOKUP(AH$4,$DE$6:$DF$17,2)+1))*(VLOOKUP($A47,CURVES!$D$9:$T$261,6))*(INDEX(DailyScalarsTable,AH$5/100,MONTH($A47)))*$C47</f>
        <v>-6498.0901106205665</v>
      </c>
      <c r="AI47" s="1021">
        <f>(VLOOKUP(YEAR($A47),'NY East Load Projections'!$A$4:$EO$14,((MONTH($A47)-1)*12)+VLOOKUP(AI$4,$DE$6:$DF$17,2)+1))*(VLOOKUP($A47,CURVES!$D$9:$T$261,6))*(INDEX(DailyScalarsTable,AI$5/100,MONTH($A47)))*$C47</f>
        <v>-5462.2499817728012</v>
      </c>
      <c r="AJ47" s="1021">
        <f>(VLOOKUP(YEAR($A47),'NY East Load Projections'!$A$4:$EO$14,((MONTH($A47)-1)*12)+VLOOKUP(AJ$4,$DE$6:$DF$17,2)+1))*(VLOOKUP($A47,CURVES!$D$9:$T$261,6))*(INDEX(DailyScalarsTable,AJ$5/100,MONTH($A47)))*$C47</f>
        <v>-5070.7987702896362</v>
      </c>
      <c r="AK47" s="1021">
        <f>(VLOOKUP(YEAR($A47),'NY East Load Projections'!$A$4:$EO$14,((MONTH($A47)-1)*12)+VLOOKUP(AK$4,$DE$6:$DF$17,2)+1))*(VLOOKUP($A47,CURVES!$D$9:$T$261,6))*(INDEX(DailyScalarsTable,AK$5/100,MONTH($A47)))*$C47</f>
        <v>-5551.2862410935322</v>
      </c>
      <c r="AL47" s="1021">
        <f>(VLOOKUP(YEAR($A47),'NY East Load Projections'!$A$4:$EO$14,((MONTH($A47)-1)*12)+VLOOKUP(AL$4,$DE$6:$DF$17,2)+1))*(VLOOKUP($A47,CURVES!$D$9:$T$261,6))*(INDEX(DailyScalarsTable,AL$5/100,MONTH($A47)))*$C47</f>
        <v>-6772.9744175093701</v>
      </c>
      <c r="AM47" s="1021">
        <f>(VLOOKUP(YEAR($A47),'NY East Load Projections'!$A$4:$EO$14,((MONTH($A47)-1)*12)+VLOOKUP(AM$4,$DE$6:$DF$17,2)+1))*(VLOOKUP($A47,CURVES!$D$9:$T$261,6))*(INDEX(DailyScalarsTable,AM$5/100,MONTH($A47)))*$C47</f>
        <v>-7765.7226869020087</v>
      </c>
      <c r="AN47" s="1021">
        <f>(VLOOKUP(YEAR($A47),'NY East Load Projections'!$A$4:$EO$14,((MONTH($A47)-1)*12)+VLOOKUP(AN$4,$DE$6:$DF$17,2)+1))*(VLOOKUP($A47,SatSunCurve,2))*(INDEX(DailyScalarsTable,AN$5/100,MONTH($A47)))*$C47</f>
        <v>-5903.4872268354438</v>
      </c>
      <c r="AO47" s="1021">
        <f>(VLOOKUP(YEAR($A47),'NY East Load Projections'!$A$4:$EO$14,((MONTH($A47)-1)*12)+VLOOKUP(AO$4,$DE$6:$DF$17,2)+1))*(VLOOKUP($A47,SatSunCurve,2))*(INDEX(DailyScalarsTable,AO$5/100,MONTH($A47)))*$C47</f>
        <v>-7548.0854413536881</v>
      </c>
      <c r="AP47" s="1021">
        <f>(VLOOKUP(YEAR($A47),'NY East Load Projections'!$A$4:$EO$14,((MONTH($A47)-1)*12)+VLOOKUP(AP$4,$DE$6:$DF$17,2)+1))*(VLOOKUP($A47,SatSunCurve,2))*(INDEX(DailyScalarsTable,AP$5/100,MONTH($A47)))*$C47</f>
        <v>-8442.4773358944549</v>
      </c>
      <c r="AQ47" s="1021">
        <f>(VLOOKUP(YEAR($A47),'NY East Load Projections'!$A$4:$EO$14,((MONTH($A47)-1)*12)+VLOOKUP(AQ$4,$DE$6:$DF$17,2)+1))*(VLOOKUP($A47,SatSunCurve,2))*(INDEX(DailyScalarsTable,AQ$5/100,MONTH($A47)))*$C47</f>
        <v>-9711.2966064042157</v>
      </c>
      <c r="AR47" s="1021">
        <f>(VLOOKUP(YEAR($A47),'NY East Load Projections'!$A$4:$EO$14,((MONTH($A47)-1)*12)+VLOOKUP(AR$4,$DE$6:$DF$17,2)+1))*(VLOOKUP($A47,SatSunCurve,2))*(INDEX(DailyScalarsTable,AR$5/100,MONTH($A47)))*$C47</f>
        <v>-10473.382007669727</v>
      </c>
      <c r="AS47" s="1021">
        <f>(VLOOKUP(YEAR($A47),'NY East Load Projections'!$A$4:$EO$14,((MONTH($A47)-1)*12)+VLOOKUP(AS$4,$DE$6:$DF$17,2)+1))*(VLOOKUP($A47,SatSunCurve,2))*(INDEX(DailyScalarsTable,AS$5/100,MONTH($A47)))*$C47</f>
        <v>-11173.913322300892</v>
      </c>
      <c r="AT47" s="1021">
        <f>(VLOOKUP(YEAR($A47),'NY East Load Projections'!$A$4:$EO$14,((MONTH($A47)-1)*12)+VLOOKUP(AT$4,$DE$6:$DF$17,2)+1))*(VLOOKUP($A47,SatSunCurve,2))*(INDEX(DailyScalarsTable,AT$5/100,MONTH($A47)))*$C47</f>
        <v>-12357.049537195626</v>
      </c>
      <c r="AU47" s="1021">
        <f>(VLOOKUP(YEAR($A47),'NY East Load Projections'!$A$4:$EO$14,((MONTH($A47)-1)*12)+VLOOKUP(AU$4,$DE$6:$DF$17,2)+1))*(VLOOKUP($A47,SatSunCurve,2))*(INDEX(DailyScalarsTable,AU$5/100,MONTH($A47)))*$C47</f>
        <v>-12452.135111297386</v>
      </c>
      <c r="AV47" s="1021">
        <f>(VLOOKUP(YEAR($A47),'NY East Load Projections'!$A$4:$EO$14,((MONTH($A47)-1)*12)+VLOOKUP(AV$4,$DE$6:$DF$17,2)+1))*(VLOOKUP($A47,SatSunCurve,2))*(INDEX(DailyScalarsTable,AV$5/100,MONTH($A47)))*$C47</f>
        <v>-12472.510591462044</v>
      </c>
      <c r="AW47" s="1021">
        <f>(VLOOKUP(YEAR($A47),'NY East Load Projections'!$A$4:$EO$14,((MONTH($A47)-1)*12)+VLOOKUP(AW$4,$DE$6:$DF$17,2)+1))*(VLOOKUP($A47,SatSunCurve,2))*(INDEX(DailyScalarsTable,AW$5/100,MONTH($A47)))*$C47</f>
        <v>-12075.661019309355</v>
      </c>
      <c r="AX47" s="1021">
        <f>(VLOOKUP(YEAR($A47),'NY East Load Projections'!$A$4:$EO$14,((MONTH($A47)-1)*12)+VLOOKUP(AX$4,$DE$6:$DF$17,2)+1))*(VLOOKUP($A47,SatSunCurve,2))*(INDEX(DailyScalarsTable,AX$5/100,MONTH($A47)))*$C47</f>
        <v>-11717.183031703662</v>
      </c>
      <c r="AY47" s="1021">
        <f>(VLOOKUP(YEAR($A47),'NY East Load Projections'!$A$4:$EO$14,((MONTH($A47)-1)*12)+VLOOKUP(AY$4,$DE$6:$DF$17,2)+1))*(VLOOKUP($A47,SatSunCurve,2))*(INDEX(DailyScalarsTable,AY$5/100,MONTH($A47)))*$C47</f>
        <v>-10005.030043969628</v>
      </c>
      <c r="AZ47" s="1021">
        <f>(VLOOKUP(YEAR($A47),'NY East Load Projections'!$A$4:$EO$14,((MONTH($A47)-1)*12)+VLOOKUP(AZ$4,$DE$6:$DF$17,2)+1))*(VLOOKUP($A47,SatSunCurve,2))*(INDEX(DailyScalarsTable,AZ$5/100,MONTH($A47)))*$C47</f>
        <v>-8000.4004309688598</v>
      </c>
      <c r="BA47" s="1021">
        <f>(VLOOKUP(YEAR($A47),'NY East Load Projections'!$A$4:$EO$14,((MONTH($A47)-1)*12)+VLOOKUP(BA$4,$DE$6:$DF$17,2)+1))*(VLOOKUP($A47,SatSunCurve,2))*(INDEX(DailyScalarsTable,BA$5/100,MONTH($A47)))*$C47</f>
        <v>-8269.8917657610727</v>
      </c>
      <c r="BB47" s="1021">
        <f>(VLOOKUP(YEAR($A47),'NY East Load Projections'!$A$4:$EO$14,((MONTH($A47)-1)*12)+VLOOKUP(BB$4,$DE$6:$DF$17,2)+1))*(VLOOKUP($A47,SatSunCurve,2))*(INDEX(DailyScalarsTable,BB$5/100,MONTH($A47)))*$C47</f>
        <v>-8426.2294040837387</v>
      </c>
      <c r="BC47" s="1021">
        <f>(VLOOKUP(YEAR($A47),'NY East Load Projections'!$A$4:$EO$14,((MONTH($A47)-1)*12)+VLOOKUP(BC$4,$DE$6:$DF$17,2)+1))*(VLOOKUP($A47,SatSunCurve,2))*(INDEX(DailyScalarsTable,BC$5/100,MONTH($A47)))*$C47</f>
        <v>-6756.9865886071047</v>
      </c>
      <c r="BD47" s="1021">
        <f>(VLOOKUP(YEAR($A47),'NY East Load Projections'!$A$4:$EO$14,((MONTH($A47)-1)*12)+VLOOKUP(BD$4,$DE$6:$DF$17,2)+1))*(VLOOKUP($A47,CURVES!$D$9:$T$261,6))*(INDEX(DailyScalarsTable,BD$5/100,MONTH($A47)))*$C47</f>
        <v>-9666.9930806013235</v>
      </c>
      <c r="BE47" s="1021"/>
      <c r="BF47" s="1021">
        <f>(VLOOKUP(YEAR($A47),'NY East Load Projections'!$A$4:$EO$14,((MONTH($A47)-1)*12)+VLOOKUP(BF$4,$DE$6:$DF$17,2)+1))*(VLOOKUP($A47,CURVES!$D$9:$T$261,6))*(INDEX(DailyScalarsTable,BF$5/100,MONTH($A47)))*$D47</f>
        <v>-7843.0763244345244</v>
      </c>
      <c r="BG47" s="1021">
        <f>(VLOOKUP(YEAR($A47),'NY East Load Projections'!$A$4:$EO$14,((MONTH($A47)-1)*12)+VLOOKUP(BG$4,$DE$6:$DF$17,2)+1))*(VLOOKUP($A47,CURVES!$D$9:$T$261,6))*(INDEX(DailyScalarsTable,BG$5/100,MONTH($A47)))*$D47</f>
        <v>-6498.0901106205665</v>
      </c>
      <c r="BH47" s="1021">
        <f>(VLOOKUP(YEAR($A47),'NY East Load Projections'!$A$4:$EO$14,((MONTH($A47)-1)*12)+VLOOKUP(BH$4,$DE$6:$DF$17,2)+1))*(VLOOKUP($A47,CURVES!$D$9:$T$261,6))*(INDEX(DailyScalarsTable,BH$5/100,MONTH($A47)))*$D47</f>
        <v>-5462.2499817728012</v>
      </c>
      <c r="BI47" s="1021">
        <f>(VLOOKUP(YEAR($A47),'NY East Load Projections'!$A$4:$EO$14,((MONTH($A47)-1)*12)+VLOOKUP(BI$4,$DE$6:$DF$17,2)+1))*(VLOOKUP($A47,CURVES!$D$9:$T$261,6))*(INDEX(DailyScalarsTable,BI$5/100,MONTH($A47)))*$D47</f>
        <v>-5070.7987702896362</v>
      </c>
      <c r="BJ47" s="1021">
        <f>(VLOOKUP(YEAR($A47),'NY East Load Projections'!$A$4:$EO$14,((MONTH($A47)-1)*12)+VLOOKUP(BJ$4,$DE$6:$DF$17,2)+1))*(VLOOKUP($A47,CURVES!$D$9:$T$261,6))*(INDEX(DailyScalarsTable,BJ$5/100,MONTH($A47)))*$D47</f>
        <v>-5551.2862410935322</v>
      </c>
      <c r="BK47" s="1021">
        <f>(VLOOKUP(YEAR($A47),'NY East Load Projections'!$A$4:$EO$14,((MONTH($A47)-1)*12)+VLOOKUP(BK$4,$DE$6:$DF$17,2)+1))*(VLOOKUP($A47,CURVES!$D$9:$T$261,6))*(INDEX(DailyScalarsTable,BK$5/100,MONTH($A47)))*$D47</f>
        <v>-6772.9744175093701</v>
      </c>
      <c r="BL47" s="1021">
        <f>(VLOOKUP(YEAR($A47),'NY East Load Projections'!$A$4:$EO$14,((MONTH($A47)-1)*12)+VLOOKUP(BL$4,$DE$6:$DF$17,2)+1))*(VLOOKUP($A47,CURVES!$D$9:$T$261,6))*(INDEX(DailyScalarsTable,BL$5/100,MONTH($A47)))*$D47</f>
        <v>-7765.7226869020087</v>
      </c>
      <c r="BM47" s="1021">
        <f>(VLOOKUP(YEAR($A47),'NY East Load Projections'!$A$4:$EO$14,((MONTH($A47)-1)*12)+VLOOKUP(BM$4,$DE$6:$DF$17,2)+1))*(VLOOKUP($A47,SatSunCurve,6))*(INDEX(DailyScalarsTable,BM$5/100,MONTH($A47)))*$D47</f>
        <v>-4173.4007798368093</v>
      </c>
      <c r="BN47" s="1021">
        <f>(VLOOKUP(YEAR($A47),'NY East Load Projections'!$A$4:$EO$14,((MONTH($A47)-1)*12)+VLOOKUP(BN$4,$DE$6:$DF$17,2)+1))*(VLOOKUP($A47,SatSunCurve,6))*(INDEX(DailyScalarsTable,BN$5/100,MONTH($A47)))*$D47</f>
        <v>-5336.030121997318</v>
      </c>
      <c r="BO47" s="1021">
        <f>(VLOOKUP(YEAR($A47),'NY East Load Projections'!$A$4:$EO$14,((MONTH($A47)-1)*12)+VLOOKUP(BO$4,$DE$6:$DF$17,2)+1))*(VLOOKUP($A47,SatSunCurve,6))*(INDEX(DailyScalarsTable,BO$5/100,MONTH($A47)))*$D47</f>
        <v>-5968.3099401340705</v>
      </c>
      <c r="BP47" s="1021">
        <f>(VLOOKUP(YEAR($A47),'NY East Load Projections'!$A$4:$EO$14,((MONTH($A47)-1)*12)+VLOOKUP(BP$4,$DE$6:$DF$17,2)+1))*(VLOOKUP($A47,SatSunCurve,6))*(INDEX(DailyScalarsTable,BP$5/100,MONTH($A47)))*$D47</f>
        <v>-6865.286782727484</v>
      </c>
      <c r="BQ47" s="1021">
        <f>(VLOOKUP(YEAR($A47),'NY East Load Projections'!$A$4:$EO$14,((MONTH($A47)-1)*12)+VLOOKUP(BQ$4,$DE$6:$DF$17,2)+1))*(VLOOKUP($A47,SatSunCurve,6))*(INDEX(DailyScalarsTable,BQ$5/100,MONTH($A47)))*$D47</f>
        <v>-7404.0340833883893</v>
      </c>
      <c r="BR47" s="1021">
        <f>(VLOOKUP(YEAR($A47),'NY East Load Projections'!$A$4:$EO$14,((MONTH($A47)-1)*12)+VLOOKUP(BR$4,$DE$6:$DF$17,2)+1))*(VLOOKUP($A47,SatSunCurve,6))*(INDEX(DailyScalarsTable,BR$5/100,MONTH($A47)))*$D47</f>
        <v>-7899.2664473193272</v>
      </c>
      <c r="BS47" s="1021">
        <f>(VLOOKUP(YEAR($A47),'NY East Load Projections'!$A$4:$EO$14,((MONTH($A47)-1)*12)+VLOOKUP(BS$4,$DE$6:$DF$17,2)+1))*(VLOOKUP($A47,SatSunCurve,6))*(INDEX(DailyScalarsTable,BS$5/100,MONTH($A47)))*$D47</f>
        <v>-8735.67066268708</v>
      </c>
      <c r="BT47" s="1021">
        <f>(VLOOKUP(YEAR($A47),'NY East Load Projections'!$A$4:$EO$14,((MONTH($A47)-1)*12)+VLOOKUP(BT$4,$DE$6:$DF$17,2)+1))*(VLOOKUP($A47,SatSunCurve,6))*(INDEX(DailyScalarsTable,BT$5/100,MONTH($A47)))*$D47</f>
        <v>-8802.890289639714</v>
      </c>
      <c r="BU47" s="1021">
        <f>(VLOOKUP(YEAR($A47),'NY East Load Projections'!$A$4:$EO$14,((MONTH($A47)-1)*12)+VLOOKUP(BU$4,$DE$6:$DF$17,2)+1))*(VLOOKUP($A47,SatSunCurve,6))*(INDEX(DailyScalarsTable,BU$5/100,MONTH($A47)))*$D47</f>
        <v>-8817.2944954152754</v>
      </c>
      <c r="BV47" s="1021">
        <f>(VLOOKUP(YEAR($A47),'NY East Load Projections'!$A$4:$EO$14,((MONTH($A47)-1)*12)+VLOOKUP(BV$4,$DE$6:$DF$17,2)+1))*(VLOOKUP($A47,SatSunCurve,6))*(INDEX(DailyScalarsTable,BV$5/100,MONTH($A47)))*$D47</f>
        <v>-8536.7463633940333</v>
      </c>
      <c r="BW47" s="1021">
        <f>(VLOOKUP(YEAR($A47),'NY East Load Projections'!$A$4:$EO$14,((MONTH($A47)-1)*12)+VLOOKUP(BW$4,$DE$6:$DF$17,2)+1))*(VLOOKUP($A47,SatSunCurve,6))*(INDEX(DailyScalarsTable,BW$5/100,MONTH($A47)))*$D47</f>
        <v>-8283.3245712324042</v>
      </c>
      <c r="BX47" s="1021">
        <f>(VLOOKUP(YEAR($A47),'NY East Load Projections'!$A$4:$EO$14,((MONTH($A47)-1)*12)+VLOOKUP(BX$4,$DE$6:$DF$17,2)+1))*(VLOOKUP($A47,SatSunCurve,6))*(INDEX(DailyScalarsTable,BX$5/100,MONTH($A47)))*$D47</f>
        <v>-7072.9381776228984</v>
      </c>
      <c r="BY47" s="1021">
        <f>(VLOOKUP(YEAR($A47),'NY East Load Projections'!$A$4:$EO$14,((MONTH($A47)-1)*12)+VLOOKUP(BY$4,$DE$6:$DF$17,2)+1))*(VLOOKUP($A47,SatSunCurve,6))*(INDEX(DailyScalarsTable,BY$5/100,MONTH($A47)))*$D47</f>
        <v>-5655.7888777732205</v>
      </c>
      <c r="BZ47" s="1021">
        <f>(VLOOKUP(YEAR($A47),'NY East Load Projections'!$A$4:$EO$14,((MONTH($A47)-1)*12)+VLOOKUP(BZ$4,$DE$6:$DF$17,2)+1))*(VLOOKUP($A47,SatSunCurve,6))*(INDEX(DailyScalarsTable,BZ$5/100,MONTH($A47)))*$D47</f>
        <v>-5846.3026035705025</v>
      </c>
      <c r="CA47" s="1021">
        <f>(VLOOKUP(YEAR($A47),'NY East Load Projections'!$A$4:$EO$14,((MONTH($A47)-1)*12)+VLOOKUP(CA$4,$DE$6:$DF$17,2)+1))*(VLOOKUP($A47,SatSunCurve,6))*(INDEX(DailyScalarsTable,CA$5/100,MONTH($A47)))*$D47</f>
        <v>-5956.823656064319</v>
      </c>
      <c r="CB47" s="1021">
        <f>(VLOOKUP(YEAR($A47),'NY East Load Projections'!$A$4:$EO$14,((MONTH($A47)-1)*12)+VLOOKUP(CB$4,$DE$6:$DF$17,2)+1))*(VLOOKUP($A47,SatSunCurve,6))*(INDEX(DailyScalarsTable,CB$5/100,MONTH($A47)))*$D47</f>
        <v>-4776.7721034531842</v>
      </c>
      <c r="CC47" s="1021">
        <f>(VLOOKUP(YEAR($A47),'NY East Load Projections'!$A$4:$EO$14,((MONTH($A47)-1)*12)+VLOOKUP(CC$4,$DE$6:$DF$17,2)+1))*(VLOOKUP($A47,CURVES!$D$9:$T$261,6))*(INDEX(DailyScalarsTable,CC$5/100,MONTH($A47)))*$D47</f>
        <v>-9666.9930806013235</v>
      </c>
      <c r="CE47" s="1021">
        <f>(VLOOKUP(YEAR($A47),'NY East Load Projections'!$A$4:$EO$14,((MONTH($A47)-1)*12)+VLOOKUP(CE$4,$DE$6:$DF$17,2)+1))*(VLOOKUP($A47,CURVES!$D$9:$T$261,6))*(INDEX(DailyScalarsTable,CE$5/100,MONTH($A47)))*$E47</f>
        <v>0</v>
      </c>
      <c r="CF47" s="1021">
        <f>(VLOOKUP(YEAR($A47),'NY East Load Projections'!$A$4:$EO$14,((MONTH($A47)-1)*12)+VLOOKUP(CF$4,$DE$6:$DF$17,2)+1))*(VLOOKUP($A47,CURVES!$D$9:$T$261,6))*(INDEX(DailyScalarsTable,CF$5/100,MONTH($A47)))*$E47</f>
        <v>0</v>
      </c>
      <c r="CG47" s="1021">
        <f>(VLOOKUP(YEAR($A47),'NY East Load Projections'!$A$4:$EO$14,((MONTH($A47)-1)*12)+VLOOKUP(CG$4,$DE$6:$DF$17,2)+1))*(VLOOKUP($A47,CURVES!$D$9:$T$261,6))*(INDEX(DailyScalarsTable,CG$5/100,MONTH($A47)))*$E47</f>
        <v>0</v>
      </c>
      <c r="CH47" s="1021">
        <f>(VLOOKUP(YEAR($A47),'NY East Load Projections'!$A$4:$EO$14,((MONTH($A47)-1)*12)+VLOOKUP(CH$4,$DE$6:$DF$17,2)+1))*(VLOOKUP($A47,CURVES!$D$9:$T$261,6))*(INDEX(DailyScalarsTable,CH$5/100,MONTH($A47)))*$E47</f>
        <v>0</v>
      </c>
      <c r="CI47" s="1021">
        <f>(VLOOKUP(YEAR($A47),'NY East Load Projections'!$A$4:$EO$14,((MONTH($A47)-1)*12)+VLOOKUP(CI$4,$DE$6:$DF$17,2)+1))*(VLOOKUP($A47,CURVES!$D$9:$T$261,6))*(INDEX(DailyScalarsTable,CI$5/100,MONTH($A47)))*$E47</f>
        <v>0</v>
      </c>
      <c r="CJ47" s="1021">
        <f>(VLOOKUP(YEAR($A47),'NY East Load Projections'!$A$4:$EO$14,((MONTH($A47)-1)*12)+VLOOKUP(CJ$4,$DE$6:$DF$17,2)+1))*(VLOOKUP($A47,CURVES!$D$9:$T$261,6))*(INDEX(DailyScalarsTable,CJ$5/100,MONTH($A47)))*$E47</f>
        <v>0</v>
      </c>
      <c r="CK47" s="1021">
        <f>(VLOOKUP(YEAR($A47),'NY East Load Projections'!$A$4:$EO$14,((MONTH($A47)-1)*12)+VLOOKUP(CK$4,$DE$6:$DF$17,2)+1))*(VLOOKUP($A47,CURVES!$D$9:$T$261,6))*(INDEX(DailyScalarsTable,CK$5/100,MONTH($A47)))*$E47</f>
        <v>0</v>
      </c>
      <c r="CL47" s="1021">
        <f>(VLOOKUP(YEAR($A47),'NY East Load Projections'!$A$4:$EO$14,((MONTH($A47)-1)*12)+VLOOKUP(CL$4,$DE$6:$DF$17,2)+1))*(VLOOKUP($A47,SatSunCurve,6))*(INDEX(DailyScalarsTable,CL$5/100,MONTH($A47)))*$E47</f>
        <v>0</v>
      </c>
      <c r="CM47" s="1021">
        <f>(VLOOKUP(YEAR($A47),'NY East Load Projections'!$A$4:$EO$14,((MONTH($A47)-1)*12)+VLOOKUP(CM$4,$DE$6:$DF$17,2)+1))*(VLOOKUP($A47,SatSunCurve,6))*(INDEX(DailyScalarsTable,CM$5/100,MONTH($A47)))*$E47</f>
        <v>0</v>
      </c>
      <c r="CN47" s="1021">
        <f>(VLOOKUP(YEAR($A47),'NY East Load Projections'!$A$4:$EO$14,((MONTH($A47)-1)*12)+VLOOKUP(CN$4,$DE$6:$DF$17,2)+1))*(VLOOKUP($A47,SatSunCurve,6))*(INDEX(DailyScalarsTable,CN$5/100,MONTH($A47)))*$E47</f>
        <v>0</v>
      </c>
      <c r="CO47" s="1021">
        <f>(VLOOKUP(YEAR($A47),'NY East Load Projections'!$A$4:$EO$14,((MONTH($A47)-1)*12)+VLOOKUP(CO$4,$DE$6:$DF$17,2)+1))*(VLOOKUP($A47,SatSunCurve,6))*(INDEX(DailyScalarsTable,CO$5/100,MONTH($A47)))*$E47</f>
        <v>0</v>
      </c>
      <c r="CP47" s="1021">
        <f>(VLOOKUP(YEAR($A47),'NY East Load Projections'!$A$4:$EO$14,((MONTH($A47)-1)*12)+VLOOKUP(CP$4,$DE$6:$DF$17,2)+1))*(VLOOKUP($A47,SatSunCurve,6))*(INDEX(DailyScalarsTable,CP$5/100,MONTH($A47)))*$E47</f>
        <v>0</v>
      </c>
      <c r="CQ47" s="1021">
        <f>(VLOOKUP(YEAR($A47),'NY East Load Projections'!$A$4:$EO$14,((MONTH($A47)-1)*12)+VLOOKUP(CQ$4,$DE$6:$DF$17,2)+1))*(VLOOKUP($A47,SatSunCurve,6))*(INDEX(DailyScalarsTable,CQ$5/100,MONTH($A47)))*$E47</f>
        <v>0</v>
      </c>
      <c r="CR47" s="1021">
        <f>(VLOOKUP(YEAR($A47),'NY East Load Projections'!$A$4:$EO$14,((MONTH($A47)-1)*12)+VLOOKUP(CR$4,$DE$6:$DF$17,2)+1))*(VLOOKUP($A47,SatSunCurve,6))*(INDEX(DailyScalarsTable,CR$5/100,MONTH($A47)))*$E47</f>
        <v>0</v>
      </c>
      <c r="CS47" s="1021">
        <f>(VLOOKUP(YEAR($A47),'NY East Load Projections'!$A$4:$EO$14,((MONTH($A47)-1)*12)+VLOOKUP(CS$4,$DE$6:$DF$17,2)+1))*(VLOOKUP($A47,SatSunCurve,6))*(INDEX(DailyScalarsTable,CS$5/100,MONTH($A47)))*$E47</f>
        <v>0</v>
      </c>
      <c r="CT47" s="1021">
        <f>(VLOOKUP(YEAR($A47),'NY East Load Projections'!$A$4:$EO$14,((MONTH($A47)-1)*12)+VLOOKUP(CT$4,$DE$6:$DF$17,2)+1))*(VLOOKUP($A47,SatSunCurve,6))*(INDEX(DailyScalarsTable,CT$5/100,MONTH($A47)))*$E47</f>
        <v>0</v>
      </c>
      <c r="CU47" s="1021">
        <f>(VLOOKUP(YEAR($A47),'NY East Load Projections'!$A$4:$EO$14,((MONTH($A47)-1)*12)+VLOOKUP(CU$4,$DE$6:$DF$17,2)+1))*(VLOOKUP($A47,SatSunCurve,6))*(INDEX(DailyScalarsTable,CU$5/100,MONTH($A47)))*$E47</f>
        <v>0</v>
      </c>
      <c r="CV47" s="1021">
        <f>(VLOOKUP(YEAR($A47),'NY East Load Projections'!$A$4:$EO$14,((MONTH($A47)-1)*12)+VLOOKUP(CV$4,$DE$6:$DF$17,2)+1))*(VLOOKUP($A47,SatSunCurve,6))*(INDEX(DailyScalarsTable,CV$5/100,MONTH($A47)))*$E47</f>
        <v>0</v>
      </c>
      <c r="CW47" s="1021">
        <f>(VLOOKUP(YEAR($A47),'NY East Load Projections'!$A$4:$EO$14,((MONTH($A47)-1)*12)+VLOOKUP(CW$4,$DE$6:$DF$17,2)+1))*(VLOOKUP($A47,SatSunCurve,6))*(INDEX(DailyScalarsTable,CW$5/100,MONTH($A47)))*$E47</f>
        <v>0</v>
      </c>
      <c r="CX47" s="1021">
        <f>(VLOOKUP(YEAR($A47),'NY East Load Projections'!$A$4:$EO$14,((MONTH($A47)-1)*12)+VLOOKUP(CX$4,$DE$6:$DF$17,2)+1))*(VLOOKUP($A47,SatSunCurve,6))*(INDEX(DailyScalarsTable,CX$5/100,MONTH($A47)))*$E47</f>
        <v>0</v>
      </c>
      <c r="CY47" s="1021">
        <f>(VLOOKUP(YEAR($A47),'NY East Load Projections'!$A$4:$EO$14,((MONTH($A47)-1)*12)+VLOOKUP(CY$4,$DE$6:$DF$17,2)+1))*(VLOOKUP($A47,SatSunCurve,6))*(INDEX(DailyScalarsTable,CY$5/100,MONTH($A47)))*$E47</f>
        <v>0</v>
      </c>
      <c r="CZ47" s="1021">
        <f>(VLOOKUP(YEAR($A47),'NY East Load Projections'!$A$4:$EO$14,((MONTH($A47)-1)*12)+VLOOKUP(CZ$4,$DE$6:$DF$17,2)+1))*(VLOOKUP($A47,SatSunCurve,6))*(INDEX(DailyScalarsTable,CZ$5/100,MONTH($A47)))*$E47</f>
        <v>0</v>
      </c>
      <c r="DA47" s="1021">
        <f>(VLOOKUP(YEAR($A47),'NY East Load Projections'!$A$4:$EO$14,((MONTH($A47)-1)*12)+VLOOKUP(DA$4,$DE$6:$DF$17,2)+1))*(VLOOKUP($A47,SatSunCurve,6))*(INDEX(DailyScalarsTable,DA$5/100,MONTH($A47)))*$E47</f>
        <v>0</v>
      </c>
      <c r="DB47" s="1021">
        <f>(VLOOKUP(YEAR($A47),'NY East Load Projections'!$A$4:$EO$14,((MONTH($A47)-1)*12)+VLOOKUP(DB$4,$DE$6:$DF$17,2)+1))*(VLOOKUP($A47,CURVES!$D$9:$T$261,6))*(INDEX(DailyScalarsTable,DB$5/100,MONTH($A47)))*$E47</f>
        <v>0</v>
      </c>
      <c r="DH47" s="1021">
        <f t="shared" si="0"/>
        <v>-2478443.6663010595</v>
      </c>
      <c r="DI47">
        <f ca="1">CALC!J67</f>
        <v>0.73109253639737004</v>
      </c>
      <c r="DJ47" s="1029">
        <f t="shared" ca="1" si="1"/>
        <v>-1811971.6663140387</v>
      </c>
    </row>
    <row r="48" spans="1:114" x14ac:dyDescent="0.25">
      <c r="A48" s="244">
        <v>38169</v>
      </c>
      <c r="B48" s="13">
        <v>21</v>
      </c>
      <c r="C48" s="210">
        <v>5</v>
      </c>
      <c r="D48" s="210">
        <v>4</v>
      </c>
      <c r="E48" s="210">
        <v>1</v>
      </c>
      <c r="F48" s="13">
        <v>31</v>
      </c>
      <c r="H48" s="1021">
        <f>(VLOOKUP(YEAR($A48),'NY East Load Projections'!$A$4:$EO$14,((MONTH($A48)-1)*12)+VLOOKUP(H$4,$DE$6:$DF$17,2)+1))*(VLOOKUP($A48,CURVES!$D$9:$K$261,6))*(INDEX(DailyScalarsTable,H$5/100,MONTH($A48)))*$B48</f>
        <v>-50429.501084811047</v>
      </c>
      <c r="I48" s="1021">
        <f>(VLOOKUP(YEAR($A48),'NY East Load Projections'!$A$4:$EO$14,((MONTH($A48)-1)*12)+VLOOKUP(I$4,$DE$6:$DF$17,2)+1))*(VLOOKUP($A48,CURVES!$D$9:$K$261,6))*(INDEX(DailyScalarsTable,I$5/100,MONTH($A48)))*$B48</f>
        <v>-46063.991534868335</v>
      </c>
      <c r="J48" s="1021">
        <f>(VLOOKUP(YEAR($A48),'NY East Load Projections'!$A$4:$EO$14,((MONTH($A48)-1)*12)+VLOOKUP(J$4,$DE$6:$DF$17,2)+1))*(VLOOKUP($A48,CURVES!$D$9:$K$261,6))*(INDEX(DailyScalarsTable,J$5/100,MONTH($A48)))*$B48</f>
        <v>-43891.068988613079</v>
      </c>
      <c r="K48" s="1021">
        <f>(VLOOKUP(YEAR($A48),'NY East Load Projections'!$A$4:$EO$14,((MONTH($A48)-1)*12)+VLOOKUP(K$4,$DE$6:$DF$17,2)+1))*(VLOOKUP($A48,CURVES!$D$9:$K$261,6))*(INDEX(DailyScalarsTable,K$5/100,MONTH($A48)))*$B48</f>
        <v>-39525.559438670374</v>
      </c>
      <c r="L48" s="1021">
        <f>(VLOOKUP(YEAR($A48),'NY East Load Projections'!$A$4:$EO$14,((MONTH($A48)-1)*12)+VLOOKUP(L$4,$DE$6:$DF$17,2)+1))*(VLOOKUP($A48,CURVES!$D$9:$K$261,6))*(INDEX(DailyScalarsTable,L$5/100,MONTH($A48)))*$B48</f>
        <v>-41107.109076577122</v>
      </c>
      <c r="M48" s="1021">
        <f>(VLOOKUP(YEAR($A48),'NY East Load Projections'!$A$4:$EO$14,((MONTH($A48)-1)*12)+VLOOKUP(M$4,$DE$6:$DF$17,2)+1))*(VLOOKUP($A48,CURVES!$D$9:$K$261,6))*(INDEX(DailyScalarsTable,M$5/100,MONTH($A48)))*$B48</f>
        <v>-45319.079634475871</v>
      </c>
      <c r="N48" s="1021">
        <f>(VLOOKUP(YEAR($A48),'NY East Load Projections'!$A$4:$EO$14,((MONTH($A48)-1)*12)+VLOOKUP(N$4,$DE$6:$DF$17,2)+1))*(VLOOKUP($A48,CURVES!$D$9:$K$261,6))*(INDEX(DailyScalarsTable,N$5/100,MONTH($A48)))*$B48</f>
        <v>-50328.200630442429</v>
      </c>
      <c r="O48" s="1021">
        <f>(VLOOKUP(YEAR($A48),'NY East Load Projections'!$A$4:$EO$14,((MONTH($A48)-1)*12)+VLOOKUP(O$4,$DE$6:$DF$17,2)+1))*(VLOOKUP($A48,CURVES!$D$9:$K$261,2))*(INDEX(DailyScalarsTable,O$5/100,MONTH($A48)))*$B48</f>
        <v>-86285.160204082233</v>
      </c>
      <c r="P48" s="1021">
        <f>(VLOOKUP(YEAR($A48),'NY East Load Projections'!$A$4:$EO$14,((MONTH($A48)-1)*12)+VLOOKUP(P$4,$DE$6:$DF$17,2)+1))*(VLOOKUP($A48,CURVES!$D$9:$K$261,2))*(INDEX(DailyScalarsTable,P$5/100,MONTH($A48)))*$B48</f>
        <v>-107398.52425308069</v>
      </c>
      <c r="Q48" s="1021">
        <f>(VLOOKUP(YEAR($A48),'NY East Load Projections'!$A$4:$EO$14,((MONTH($A48)-1)*12)+VLOOKUP(Q$4,$DE$6:$DF$17,2)+1))*(VLOOKUP($A48,CURVES!$D$9:$K$261,2))*(INDEX(DailyScalarsTable,Q$5/100,MONTH($A48)))*$B48</f>
        <v>-128585.47494175927</v>
      </c>
      <c r="R48" s="1021">
        <f>(VLOOKUP(YEAR($A48),'NY East Load Projections'!$A$4:$EO$14,((MONTH($A48)-1)*12)+VLOOKUP(R$4,$DE$6:$DF$17,2)+1))*(VLOOKUP($A48,CURVES!$D$9:$K$261,2))*(INDEX(DailyScalarsTable,R$5/100,MONTH($A48)))*$B48</f>
        <v>-146316.71928591689</v>
      </c>
      <c r="S48" s="1021">
        <f>(VLOOKUP(YEAR($A48),'NY East Load Projections'!$A$4:$EO$14,((MONTH($A48)-1)*12)+VLOOKUP(S$4,$DE$6:$DF$17,2)+1))*(VLOOKUP($A48,CURVES!$D$9:$K$261,2))*(INDEX(DailyScalarsTable,S$5/100,MONTH($A48)))*$B48</f>
        <v>-174928.15696806405</v>
      </c>
      <c r="T48" s="1021">
        <f>(VLOOKUP(YEAR($A48),'NY East Load Projections'!$A$4:$EO$14,((MONTH($A48)-1)*12)+VLOOKUP(T$4,$DE$6:$DF$17,2)+1))*(VLOOKUP($A48,CURVES!$D$9:$K$261,2))*(INDEX(DailyScalarsTable,T$5/100,MONTH($A48)))*$B48</f>
        <v>-196498.2204250764</v>
      </c>
      <c r="U48" s="1021">
        <f>(VLOOKUP(YEAR($A48),'NY East Load Projections'!$A$4:$EO$14,((MONTH($A48)-1)*12)+VLOOKUP(U$4,$DE$6:$DF$17,2)+1))*(VLOOKUP($A48,CURVES!$D$9:$K$261,2))*(INDEX(DailyScalarsTable,U$5/100,MONTH($A48)))*$B48</f>
        <v>-203111.73285328419</v>
      </c>
      <c r="V48" s="1021">
        <f>(VLOOKUP(YEAR($A48),'NY East Load Projections'!$A$4:$EO$14,((MONTH($A48)-1)*12)+VLOOKUP(V$4,$DE$6:$DF$17,2)+1))*(VLOOKUP($A48,CURVES!$D$9:$K$261,2))*(INDEX(DailyScalarsTable,V$5/100,MONTH($A48)))*$B48</f>
        <v>-211570.87665680575</v>
      </c>
      <c r="W48" s="1021">
        <f>(VLOOKUP(YEAR($A48),'NY East Load Projections'!$A$4:$EO$14,((MONTH($A48)-1)*12)+VLOOKUP(W$4,$DE$6:$DF$17,2)+1))*(VLOOKUP($A48,CURVES!$D$9:$K$261,2))*(INDEX(DailyScalarsTable,W$5/100,MONTH($A48)))*$B48</f>
        <v>-224536.43706838528</v>
      </c>
      <c r="X48" s="1021">
        <f>(VLOOKUP(YEAR($A48),'NY East Load Projections'!$A$4:$EO$14,((MONTH($A48)-1)*12)+VLOOKUP(X$4,$DE$6:$DF$17,2)+1))*(VLOOKUP($A48,CURVES!$D$9:$K$261,2))*(INDEX(DailyScalarsTable,X$5/100,MONTH($A48)))*$B48</f>
        <v>-217014.46116608969</v>
      </c>
      <c r="Y48" s="1021">
        <f>(VLOOKUP(YEAR($A48),'NY East Load Projections'!$A$4:$EO$14,((MONTH($A48)-1)*12)+VLOOKUP(Y$4,$DE$6:$DF$17,2)+1))*(VLOOKUP($A48,CURVES!$D$9:$K$261,2))*(INDEX(DailyScalarsTable,Y$5/100,MONTH($A48)))*$B48</f>
        <v>-211636.82795339159</v>
      </c>
      <c r="Z48" s="1021">
        <f>(VLOOKUP(YEAR($A48),'NY East Load Projections'!$A$4:$EO$14,((MONTH($A48)-1)*12)+VLOOKUP(Z$4,$DE$6:$DF$17,2)+1))*(VLOOKUP($A48,CURVES!$D$9:$K$261,2))*(INDEX(DailyScalarsTable,Z$5/100,MONTH($A48)))*$B48</f>
        <v>-176762.36649543358</v>
      </c>
      <c r="AA48" s="1021">
        <f>(VLOOKUP(YEAR($A48),'NY East Load Projections'!$A$4:$EO$14,((MONTH($A48)-1)*12)+VLOOKUP(AA$4,$DE$6:$DF$17,2)+1))*(VLOOKUP($A48,CURVES!$D$9:$K$261,2))*(INDEX(DailyScalarsTable,AA$5/100,MONTH($A48)))*$B48</f>
        <v>-130797.44738201969</v>
      </c>
      <c r="AB48" s="1021">
        <f>(VLOOKUP(YEAR($A48),'NY East Load Projections'!$A$4:$EO$14,((MONTH($A48)-1)*12)+VLOOKUP(AB$4,$DE$6:$DF$17,2)+1))*(VLOOKUP($A48,CURVES!$D$9:$K$261,2))*(INDEX(DailyScalarsTable,AB$5/100,MONTH($A48)))*$B48</f>
        <v>-127851.60567158036</v>
      </c>
      <c r="AC48" s="1021">
        <f>(VLOOKUP(YEAR($A48),'NY East Load Projections'!$A$4:$EO$14,((MONTH($A48)-1)*12)+VLOOKUP(AC$4,$DE$6:$DF$17,2)+1))*(VLOOKUP($A48,CURVES!$D$9:$K$261,2))*(INDEX(DailyScalarsTable,AC$5/100,MONTH($A48)))*$B48</f>
        <v>-135476.07938544918</v>
      </c>
      <c r="AD48" s="1021">
        <f>(VLOOKUP(YEAR($A48),'NY East Load Projections'!$A$4:$EO$14,((MONTH($A48)-1)*12)+VLOOKUP(AD$4,$DE$6:$DF$17,2)+1))*(VLOOKUP($A48,CURVES!$D$9:$K$261,2))*(INDEX(DailyScalarsTable,AD$5/100,MONTH($A48)))*$B48</f>
        <v>-94082.39945914119</v>
      </c>
      <c r="AE48" s="1021">
        <f>(VLOOKUP(YEAR($A48),'NY East Load Projections'!$A$4:$EO$14,((MONTH($A48)-1)*12)+VLOOKUP(AE$4,$DE$6:$DF$17,2)+1))*(VLOOKUP($A48,CURVES!$D$9:$K$261,6))*(INDEX(DailyScalarsTable,AE$5/100,MONTH($A48)))*$B48</f>
        <v>-60164.21072513621</v>
      </c>
      <c r="AF48" s="1021"/>
      <c r="AG48" s="1021">
        <f>(VLOOKUP(YEAR($A48),'NY East Load Projections'!$A$4:$EO$14,((MONTH($A48)-1)*12)+VLOOKUP(AG$4,$DE$6:$DF$17,2)+1))*(VLOOKUP($A48,CURVES!$D$9:$T$261,6))*(INDEX(DailyScalarsTable,AG$5/100,MONTH($A48)))*$C48</f>
        <v>-11522.453851742481</v>
      </c>
      <c r="AH48" s="1021">
        <f>(VLOOKUP(YEAR($A48),'NY East Load Projections'!$A$4:$EO$14,((MONTH($A48)-1)*12)+VLOOKUP(AH$4,$DE$6:$DF$17,2)+1))*(VLOOKUP($A48,CURVES!$D$9:$T$261,6))*(INDEX(DailyScalarsTable,AH$5/100,MONTH($A48)))*$C48</f>
        <v>-10524.994403473094</v>
      </c>
      <c r="AI48" s="1021">
        <f>(VLOOKUP(YEAR($A48),'NY East Load Projections'!$A$4:$EO$14,((MONTH($A48)-1)*12)+VLOOKUP(AI$4,$DE$6:$DF$17,2)+1))*(VLOOKUP($A48,CURVES!$D$9:$T$261,6))*(INDEX(DailyScalarsTable,AI$5/100,MONTH($A48)))*$C48</f>
        <v>-10028.511209627301</v>
      </c>
      <c r="AJ48" s="1021">
        <f>(VLOOKUP(YEAR($A48),'NY East Load Projections'!$A$4:$EO$14,((MONTH($A48)-1)*12)+VLOOKUP(AJ$4,$DE$6:$DF$17,2)+1))*(VLOOKUP($A48,CURVES!$D$9:$T$261,6))*(INDEX(DailyScalarsTable,AJ$5/100,MONTH($A48)))*$C48</f>
        <v>-9031.0517613579159</v>
      </c>
      <c r="AK48" s="1021">
        <f>(VLOOKUP(YEAR($A48),'NY East Load Projections'!$A$4:$EO$14,((MONTH($A48)-1)*12)+VLOOKUP(AK$4,$DE$6:$DF$17,2)+1))*(VLOOKUP($A48,CURVES!$D$9:$T$261,6))*(INDEX(DailyScalarsTable,AK$5/100,MONTH($A48)))*$C48</f>
        <v>-8690.1749940012724</v>
      </c>
      <c r="AL48" s="1021">
        <f>(VLOOKUP(YEAR($A48),'NY East Load Projections'!$A$4:$EO$14,((MONTH($A48)-1)*12)+VLOOKUP(AL$4,$DE$6:$DF$17,2)+1))*(VLOOKUP($A48,CURVES!$D$9:$T$261,6))*(INDEX(DailyScalarsTable,AL$5/100,MONTH($A48)))*$C48</f>
        <v>-9580.5991089526578</v>
      </c>
      <c r="AM48" s="1021">
        <f>(VLOOKUP(YEAR($A48),'NY East Load Projections'!$A$4:$EO$14,((MONTH($A48)-1)*12)+VLOOKUP(AM$4,$DE$6:$DF$17,2)+1))*(VLOOKUP($A48,CURVES!$D$9:$T$261,6))*(INDEX(DailyScalarsTable,AM$5/100,MONTH($A48)))*$C48</f>
        <v>-10639.543388882059</v>
      </c>
      <c r="AN48" s="1021">
        <f>(VLOOKUP(YEAR($A48),'NY East Load Projections'!$A$4:$EO$14,((MONTH($A48)-1)*12)+VLOOKUP(AN$4,$DE$6:$DF$17,2)+1))*(VLOOKUP($A48,SatSunCurve,2))*(INDEX(DailyScalarsTable,AN$5/100,MONTH($A48)))*$C48</f>
        <v>-10154.01836015514</v>
      </c>
      <c r="AO48" s="1021">
        <f>(VLOOKUP(YEAR($A48),'NY East Load Projections'!$A$4:$EO$14,((MONTH($A48)-1)*12)+VLOOKUP(AO$4,$DE$6:$DF$17,2)+1))*(VLOOKUP($A48,SatSunCurve,2))*(INDEX(DailyScalarsTable,AO$5/100,MONTH($A48)))*$C48</f>
        <v>-12304.613342129836</v>
      </c>
      <c r="AP48" s="1021">
        <f>(VLOOKUP(YEAR($A48),'NY East Load Projections'!$A$4:$EO$14,((MONTH($A48)-1)*12)+VLOOKUP(AP$4,$DE$6:$DF$17,2)+1))*(VLOOKUP($A48,SatSunCurve,2))*(INDEX(DailyScalarsTable,AP$5/100,MONTH($A48)))*$C48</f>
        <v>-14731.995263213201</v>
      </c>
      <c r="AQ48" s="1021">
        <f>(VLOOKUP(YEAR($A48),'NY East Load Projections'!$A$4:$EO$14,((MONTH($A48)-1)*12)+VLOOKUP(AQ$4,$DE$6:$DF$17,2)+1))*(VLOOKUP($A48,SatSunCurve,2))*(INDEX(DailyScalarsTable,AQ$5/100,MONTH($A48)))*$C48</f>
        <v>-16763.458053293649</v>
      </c>
      <c r="AR48" s="1021">
        <f>(VLOOKUP(YEAR($A48),'NY East Load Projections'!$A$4:$EO$14,((MONTH($A48)-1)*12)+VLOOKUP(AR$4,$DE$6:$DF$17,2)+1))*(VLOOKUP($A48,SatSunCurve,2))*(INDEX(DailyScalarsTable,AR$5/100,MONTH($A48)))*$C48</f>
        <v>-20041.460989457511</v>
      </c>
      <c r="AS48" s="1021">
        <f>(VLOOKUP(YEAR($A48),'NY East Load Projections'!$A$4:$EO$14,((MONTH($A48)-1)*12)+VLOOKUP(AS$4,$DE$6:$DF$17,2)+1))*(VLOOKUP($A48,SatSunCurve,2))*(INDEX(DailyScalarsTable,AS$5/100,MONTH($A48)))*$C48</f>
        <v>-22747.372848502451</v>
      </c>
      <c r="AT48" s="1021">
        <f>(VLOOKUP(YEAR($A48),'NY East Load Projections'!$A$4:$EO$14,((MONTH($A48)-1)*12)+VLOOKUP(AT$4,$DE$6:$DF$17,2)+1))*(VLOOKUP($A48,SatSunCurve,2))*(INDEX(DailyScalarsTable,AT$5/100,MONTH($A48)))*$C48</f>
        <v>-23512.977914630821</v>
      </c>
      <c r="AU48" s="1021">
        <f>(VLOOKUP(YEAR($A48),'NY East Load Projections'!$A$4:$EO$14,((MONTH($A48)-1)*12)+VLOOKUP(AU$4,$DE$6:$DF$17,2)+1))*(VLOOKUP($A48,SatSunCurve,2))*(INDEX(DailyScalarsTable,AU$5/100,MONTH($A48)))*$C48</f>
        <v>-24492.240208515941</v>
      </c>
      <c r="AV48" s="1021">
        <f>(VLOOKUP(YEAR($A48),'NY East Load Projections'!$A$4:$EO$14,((MONTH($A48)-1)*12)+VLOOKUP(AV$4,$DE$6:$DF$17,2)+1))*(VLOOKUP($A48,SatSunCurve,2))*(INDEX(DailyScalarsTable,AV$5/100,MONTH($A48)))*$C48</f>
        <v>-25993.182233507145</v>
      </c>
      <c r="AW48" s="1021">
        <f>(VLOOKUP(YEAR($A48),'NY East Load Projections'!$A$4:$EO$14,((MONTH($A48)-1)*12)+VLOOKUP(AW$4,$DE$6:$DF$17,2)+1))*(VLOOKUP($A48,SatSunCurve,2))*(INDEX(DailyScalarsTable,AW$5/100,MONTH($A48)))*$C48</f>
        <v>-25163.265300405168</v>
      </c>
      <c r="AX48" s="1021">
        <f>(VLOOKUP(YEAR($A48),'NY East Load Projections'!$A$4:$EO$14,((MONTH($A48)-1)*12)+VLOOKUP(AX$4,$DE$6:$DF$17,2)+1))*(VLOOKUP($A48,SatSunCurve,2))*(INDEX(DailyScalarsTable,AX$5/100,MONTH($A48)))*$C48</f>
        <v>-24539.717862634065</v>
      </c>
      <c r="AY48" s="1021">
        <f>(VLOOKUP(YEAR($A48),'NY East Load Projections'!$A$4:$EO$14,((MONTH($A48)-1)*12)+VLOOKUP(AY$4,$DE$6:$DF$17,2)+1))*(VLOOKUP($A48,SatSunCurve,2))*(INDEX(DailyScalarsTable,AY$5/100,MONTH($A48)))*$C48</f>
        <v>-20495.953584622544</v>
      </c>
      <c r="AZ48" s="1021">
        <f>(VLOOKUP(YEAR($A48),'NY East Load Projections'!$A$4:$EO$14,((MONTH($A48)-1)*12)+VLOOKUP(AZ$4,$DE$6:$DF$17,2)+1))*(VLOOKUP($A48,SatSunCurve,2))*(INDEX(DailyScalarsTable,AZ$5/100,MONTH($A48)))*$C48</f>
        <v>-15166.228330611539</v>
      </c>
      <c r="BA48" s="1021">
        <f>(VLOOKUP(YEAR($A48),'NY East Load Projections'!$A$4:$EO$14,((MONTH($A48)-1)*12)+VLOOKUP(BA$4,$DE$6:$DF$17,2)+1))*(VLOOKUP($A48,SatSunCurve,2))*(INDEX(DailyScalarsTable,BA$5/100,MONTH($A48)))*$C48</f>
        <v>-15941.742476154599</v>
      </c>
      <c r="BB48" s="1021">
        <f>(VLOOKUP(YEAR($A48),'NY East Load Projections'!$A$4:$EO$14,((MONTH($A48)-1)*12)+VLOOKUP(BB$4,$DE$6:$DF$17,2)+1))*(VLOOKUP($A48,SatSunCurve,2))*(INDEX(DailyScalarsTable,BB$5/100,MONTH($A48)))*$C48</f>
        <v>-16892.43367650552</v>
      </c>
      <c r="BC48" s="1021">
        <f>(VLOOKUP(YEAR($A48),'NY East Load Projections'!$A$4:$EO$14,((MONTH($A48)-1)*12)+VLOOKUP(BC$4,$DE$6:$DF$17,2)+1))*(VLOOKUP($A48,SatSunCurve,2))*(INDEX(DailyScalarsTable,BC$5/100,MONTH($A48)))*$C48</f>
        <v>-11731.079761086872</v>
      </c>
      <c r="BD48" s="1021">
        <f>(VLOOKUP(YEAR($A48),'NY East Load Projections'!$A$4:$EO$14,((MONTH($A48)-1)*12)+VLOOKUP(BD$4,$DE$6:$DF$17,2)+1))*(VLOOKUP($A48,CURVES!$D$9:$T$261,6))*(INDEX(DailyScalarsTable,BD$5/100,MONTH($A48)))*$C48</f>
        <v>-13476.514355490528</v>
      </c>
      <c r="BE48" s="1021"/>
      <c r="BF48" s="1021">
        <f>(VLOOKUP(YEAR($A48),'NY East Load Projections'!$A$4:$EO$14,((MONTH($A48)-1)*12)+VLOOKUP(BF$4,$DE$6:$DF$17,2)+1))*(VLOOKUP($A48,CURVES!$D$9:$T$261,6))*(INDEX(DailyScalarsTable,BF$5/100,MONTH($A48)))*$D48</f>
        <v>-9217.9630813939839</v>
      </c>
      <c r="BG48" s="1021">
        <f>(VLOOKUP(YEAR($A48),'NY East Load Projections'!$A$4:$EO$14,((MONTH($A48)-1)*12)+VLOOKUP(BG$4,$DE$6:$DF$17,2)+1))*(VLOOKUP($A48,CURVES!$D$9:$T$261,6))*(INDEX(DailyScalarsTable,BG$5/100,MONTH($A48)))*$D48</f>
        <v>-8419.9955227784758</v>
      </c>
      <c r="BH48" s="1021">
        <f>(VLOOKUP(YEAR($A48),'NY East Load Projections'!$A$4:$EO$14,((MONTH($A48)-1)*12)+VLOOKUP(BH$4,$DE$6:$DF$17,2)+1))*(VLOOKUP($A48,CURVES!$D$9:$T$261,6))*(INDEX(DailyScalarsTable,BH$5/100,MONTH($A48)))*$D48</f>
        <v>-8022.8089677018406</v>
      </c>
      <c r="BI48" s="1021">
        <f>(VLOOKUP(YEAR($A48),'NY East Load Projections'!$A$4:$EO$14,((MONTH($A48)-1)*12)+VLOOKUP(BI$4,$DE$6:$DF$17,2)+1))*(VLOOKUP($A48,CURVES!$D$9:$T$261,6))*(INDEX(DailyScalarsTable,BI$5/100,MONTH($A48)))*$D48</f>
        <v>-7224.8414090863325</v>
      </c>
      <c r="BJ48" s="1021">
        <f>(VLOOKUP(YEAR($A48),'NY East Load Projections'!$A$4:$EO$14,((MONTH($A48)-1)*12)+VLOOKUP(BJ$4,$DE$6:$DF$17,2)+1))*(VLOOKUP($A48,CURVES!$D$9:$T$261,6))*(INDEX(DailyScalarsTable,BJ$5/100,MONTH($A48)))*$D48</f>
        <v>-6952.1399952010179</v>
      </c>
      <c r="BK48" s="1021">
        <f>(VLOOKUP(YEAR($A48),'NY East Load Projections'!$A$4:$EO$14,((MONTH($A48)-1)*12)+VLOOKUP(BK$4,$DE$6:$DF$17,2)+1))*(VLOOKUP($A48,CURVES!$D$9:$T$261,6))*(INDEX(DailyScalarsTable,BK$5/100,MONTH($A48)))*$D48</f>
        <v>-7664.4792871621266</v>
      </c>
      <c r="BL48" s="1021">
        <f>(VLOOKUP(YEAR($A48),'NY East Load Projections'!$A$4:$EO$14,((MONTH($A48)-1)*12)+VLOOKUP(BL$4,$DE$6:$DF$17,2)+1))*(VLOOKUP($A48,CURVES!$D$9:$T$261,6))*(INDEX(DailyScalarsTable,BL$5/100,MONTH($A48)))*$D48</f>
        <v>-8511.6347111056475</v>
      </c>
      <c r="BM48" s="1021">
        <f>(VLOOKUP(YEAR($A48),'NY East Load Projections'!$A$4:$EO$14,((MONTH($A48)-1)*12)+VLOOKUP(BM$4,$DE$6:$DF$17,2)+1))*(VLOOKUP($A48,SatSunCurve,6))*(INDEX(DailyScalarsTable,BM$5/100,MONTH($A48)))*$D48</f>
        <v>-5714.0154819450017</v>
      </c>
      <c r="BN48" s="1021">
        <f>(VLOOKUP(YEAR($A48),'NY East Load Projections'!$A$4:$EO$14,((MONTH($A48)-1)*12)+VLOOKUP(BN$4,$DE$6:$DF$17,2)+1))*(VLOOKUP($A48,SatSunCurve,6))*(INDEX(DailyScalarsTable,BN$5/100,MONTH($A48)))*$D48</f>
        <v>-6924.2292698791898</v>
      </c>
      <c r="BO48" s="1021">
        <f>(VLOOKUP(YEAR($A48),'NY East Load Projections'!$A$4:$EO$14,((MONTH($A48)-1)*12)+VLOOKUP(BO$4,$DE$6:$DF$17,2)+1))*(VLOOKUP($A48,SatSunCurve,6))*(INDEX(DailyScalarsTable,BO$5/100,MONTH($A48)))*$D48</f>
        <v>-8290.200591350369</v>
      </c>
      <c r="BP48" s="1021">
        <f>(VLOOKUP(YEAR($A48),'NY East Load Projections'!$A$4:$EO$14,((MONTH($A48)-1)*12)+VLOOKUP(BP$4,$DE$6:$DF$17,2)+1))*(VLOOKUP($A48,SatSunCurve,6))*(INDEX(DailyScalarsTable,BP$5/100,MONTH($A48)))*$D48</f>
        <v>-9433.3745961428431</v>
      </c>
      <c r="BQ48" s="1021">
        <f>(VLOOKUP(YEAR($A48),'NY East Load Projections'!$A$4:$EO$14,((MONTH($A48)-1)*12)+VLOOKUP(BQ$4,$DE$6:$DF$17,2)+1))*(VLOOKUP($A48,SatSunCurve,6))*(INDEX(DailyScalarsTable,BQ$5/100,MONTH($A48)))*$D48</f>
        <v>-11278.019628556918</v>
      </c>
      <c r="BR48" s="1021">
        <f>(VLOOKUP(YEAR($A48),'NY East Load Projections'!$A$4:$EO$14,((MONTH($A48)-1)*12)+VLOOKUP(BR$4,$DE$6:$DF$17,2)+1))*(VLOOKUP($A48,SatSunCurve,6))*(INDEX(DailyScalarsTable,BR$5/100,MONTH($A48)))*$D48</f>
        <v>-12800.729328987785</v>
      </c>
      <c r="BS48" s="1021">
        <f>(VLOOKUP(YEAR($A48),'NY East Load Projections'!$A$4:$EO$14,((MONTH($A48)-1)*12)+VLOOKUP(BS$4,$DE$6:$DF$17,2)+1))*(VLOOKUP($A48,SatSunCurve,6))*(INDEX(DailyScalarsTable,BS$5/100,MONTH($A48)))*$D48</f>
        <v>-13231.561640467491</v>
      </c>
      <c r="BT48" s="1021">
        <f>(VLOOKUP(YEAR($A48),'NY East Load Projections'!$A$4:$EO$14,((MONTH($A48)-1)*12)+VLOOKUP(BT$4,$DE$6:$DF$17,2)+1))*(VLOOKUP($A48,SatSunCurve,6))*(INDEX(DailyScalarsTable,BT$5/100,MONTH($A48)))*$D48</f>
        <v>-13782.626224918278</v>
      </c>
      <c r="BU48" s="1021">
        <f>(VLOOKUP(YEAR($A48),'NY East Load Projections'!$A$4:$EO$14,((MONTH($A48)-1)*12)+VLOOKUP(BU$4,$DE$6:$DF$17,2)+1))*(VLOOKUP($A48,SatSunCurve,6))*(INDEX(DailyScalarsTable,BU$5/100,MONTH($A48)))*$D48</f>
        <v>-14627.257942540127</v>
      </c>
      <c r="BV48" s="1021">
        <f>(VLOOKUP(YEAR($A48),'NY East Load Projections'!$A$4:$EO$14,((MONTH($A48)-1)*12)+VLOOKUP(BV$4,$DE$6:$DF$17,2)+1))*(VLOOKUP($A48,SatSunCurve,6))*(INDEX(DailyScalarsTable,BV$5/100,MONTH($A48)))*$D48</f>
        <v>-14160.235130853924</v>
      </c>
      <c r="BW48" s="1021">
        <f>(VLOOKUP(YEAR($A48),'NY East Load Projections'!$A$4:$EO$14,((MONTH($A48)-1)*12)+VLOOKUP(BW$4,$DE$6:$DF$17,2)+1))*(VLOOKUP($A48,SatSunCurve,6))*(INDEX(DailyScalarsTable,BW$5/100,MONTH($A48)))*$D48</f>
        <v>-13809.343534367112</v>
      </c>
      <c r="BX48" s="1021">
        <f>(VLOOKUP(YEAR($A48),'NY East Load Projections'!$A$4:$EO$14,((MONTH($A48)-1)*12)+VLOOKUP(BX$4,$DE$6:$DF$17,2)+1))*(VLOOKUP($A48,SatSunCurve,6))*(INDEX(DailyScalarsTable,BX$5/100,MONTH($A48)))*$D48</f>
        <v>-11533.778248749393</v>
      </c>
      <c r="BY48" s="1021">
        <f>(VLOOKUP(YEAR($A48),'NY East Load Projections'!$A$4:$EO$14,((MONTH($A48)-1)*12)+VLOOKUP(BY$4,$DE$6:$DF$17,2)+1))*(VLOOKUP($A48,SatSunCurve,6))*(INDEX(DailyScalarsTable,BY$5/100,MONTH($A48)))*$D48</f>
        <v>-8534.5584782361129</v>
      </c>
      <c r="BZ48" s="1021">
        <f>(VLOOKUP(YEAR($A48),'NY East Load Projections'!$A$4:$EO$14,((MONTH($A48)-1)*12)+VLOOKUP(BZ$4,$DE$6:$DF$17,2)+1))*(VLOOKUP($A48,SatSunCurve,6))*(INDEX(DailyScalarsTable,BZ$5/100,MONTH($A48)))*$D48</f>
        <v>-8970.9669696259916</v>
      </c>
      <c r="CA48" s="1021">
        <f>(VLOOKUP(YEAR($A48),'NY East Load Projections'!$A$4:$EO$14,((MONTH($A48)-1)*12)+VLOOKUP(CA$4,$DE$6:$DF$17,2)+1))*(VLOOKUP($A48,SatSunCurve,6))*(INDEX(DailyScalarsTable,CA$5/100,MONTH($A48)))*$D48</f>
        <v>-9505.9536167518709</v>
      </c>
      <c r="CB48" s="1021">
        <f>(VLOOKUP(YEAR($A48),'NY East Load Projections'!$A$4:$EO$14,((MONTH($A48)-1)*12)+VLOOKUP(CB$4,$DE$6:$DF$17,2)+1))*(VLOOKUP($A48,SatSunCurve,6))*(INDEX(DailyScalarsTable,CB$5/100,MONTH($A48)))*$D48</f>
        <v>-6601.482191308337</v>
      </c>
      <c r="CC48" s="1021">
        <f>(VLOOKUP(YEAR($A48),'NY East Load Projections'!$A$4:$EO$14,((MONTH($A48)-1)*12)+VLOOKUP(CC$4,$DE$6:$DF$17,2)+1))*(VLOOKUP($A48,CURVES!$D$9:$T$261,6))*(INDEX(DailyScalarsTable,CC$5/100,MONTH($A48)))*$D48</f>
        <v>-10781.211484392423</v>
      </c>
      <c r="CE48" s="1021">
        <f>(VLOOKUP(YEAR($A48),'NY East Load Projections'!$A$4:$EO$14,((MONTH($A48)-1)*12)+VLOOKUP(CE$4,$DE$6:$DF$17,2)+1))*(VLOOKUP($A48,CURVES!$D$9:$T$261,6))*(INDEX(DailyScalarsTable,CE$5/100,MONTH($A48)))*$E48</f>
        <v>-2304.490770348496</v>
      </c>
      <c r="CF48" s="1021">
        <f>(VLOOKUP(YEAR($A48),'NY East Load Projections'!$A$4:$EO$14,((MONTH($A48)-1)*12)+VLOOKUP(CF$4,$DE$6:$DF$17,2)+1))*(VLOOKUP($A48,CURVES!$D$9:$T$261,6))*(INDEX(DailyScalarsTable,CF$5/100,MONTH($A48)))*$E48</f>
        <v>-2104.9988806946189</v>
      </c>
      <c r="CG48" s="1021">
        <f>(VLOOKUP(YEAR($A48),'NY East Load Projections'!$A$4:$EO$14,((MONTH($A48)-1)*12)+VLOOKUP(CG$4,$DE$6:$DF$17,2)+1))*(VLOOKUP($A48,CURVES!$D$9:$T$261,6))*(INDEX(DailyScalarsTable,CG$5/100,MONTH($A48)))*$E48</f>
        <v>-2005.7022419254602</v>
      </c>
      <c r="CH48" s="1021">
        <f>(VLOOKUP(YEAR($A48),'NY East Load Projections'!$A$4:$EO$14,((MONTH($A48)-1)*12)+VLOOKUP(CH$4,$DE$6:$DF$17,2)+1))*(VLOOKUP($A48,CURVES!$D$9:$T$261,6))*(INDEX(DailyScalarsTable,CH$5/100,MONTH($A48)))*$E48</f>
        <v>-1806.2103522715831</v>
      </c>
      <c r="CI48" s="1021">
        <f>(VLOOKUP(YEAR($A48),'NY East Load Projections'!$A$4:$EO$14,((MONTH($A48)-1)*12)+VLOOKUP(CI$4,$DE$6:$DF$17,2)+1))*(VLOOKUP($A48,CURVES!$D$9:$T$261,6))*(INDEX(DailyScalarsTable,CI$5/100,MONTH($A48)))*$E48</f>
        <v>-1738.0349988002545</v>
      </c>
      <c r="CJ48" s="1021">
        <f>(VLOOKUP(YEAR($A48),'NY East Load Projections'!$A$4:$EO$14,((MONTH($A48)-1)*12)+VLOOKUP(CJ$4,$DE$6:$DF$17,2)+1))*(VLOOKUP($A48,CURVES!$D$9:$T$261,6))*(INDEX(DailyScalarsTable,CJ$5/100,MONTH($A48)))*$E48</f>
        <v>-1916.1198217905317</v>
      </c>
      <c r="CK48" s="1021">
        <f>(VLOOKUP(YEAR($A48),'NY East Load Projections'!$A$4:$EO$14,((MONTH($A48)-1)*12)+VLOOKUP(CK$4,$DE$6:$DF$17,2)+1))*(VLOOKUP($A48,CURVES!$D$9:$T$261,6))*(INDEX(DailyScalarsTable,CK$5/100,MONTH($A48)))*$E48</f>
        <v>-2127.9086777764119</v>
      </c>
      <c r="CL48" s="1021">
        <f>(VLOOKUP(YEAR($A48),'NY East Load Projections'!$A$4:$EO$14,((MONTH($A48)-1)*12)+VLOOKUP(CL$4,$DE$6:$DF$17,2)+1))*(VLOOKUP($A48,SatSunCurve,6))*(INDEX(DailyScalarsTable,CL$5/100,MONTH($A48)))*$E48</f>
        <v>-1428.5038704862504</v>
      </c>
      <c r="CM48" s="1021">
        <f>(VLOOKUP(YEAR($A48),'NY East Load Projections'!$A$4:$EO$14,((MONTH($A48)-1)*12)+VLOOKUP(CM$4,$DE$6:$DF$17,2)+1))*(VLOOKUP($A48,SatSunCurve,6))*(INDEX(DailyScalarsTable,CM$5/100,MONTH($A48)))*$E48</f>
        <v>-1731.0573174697975</v>
      </c>
      <c r="CN48" s="1021">
        <f>(VLOOKUP(YEAR($A48),'NY East Load Projections'!$A$4:$EO$14,((MONTH($A48)-1)*12)+VLOOKUP(CN$4,$DE$6:$DF$17,2)+1))*(VLOOKUP($A48,SatSunCurve,6))*(INDEX(DailyScalarsTable,CN$5/100,MONTH($A48)))*$E48</f>
        <v>-2072.5501478375922</v>
      </c>
      <c r="CO48" s="1021">
        <f>(VLOOKUP(YEAR($A48),'NY East Load Projections'!$A$4:$EO$14,((MONTH($A48)-1)*12)+VLOOKUP(CO$4,$DE$6:$DF$17,2)+1))*(VLOOKUP($A48,SatSunCurve,6))*(INDEX(DailyScalarsTable,CO$5/100,MONTH($A48)))*$E48</f>
        <v>-2358.3436490357108</v>
      </c>
      <c r="CP48" s="1021">
        <f>(VLOOKUP(YEAR($A48),'NY East Load Projections'!$A$4:$EO$14,((MONTH($A48)-1)*12)+VLOOKUP(CP$4,$DE$6:$DF$17,2)+1))*(VLOOKUP($A48,SatSunCurve,6))*(INDEX(DailyScalarsTable,CP$5/100,MONTH($A48)))*$E48</f>
        <v>-2819.5049071392295</v>
      </c>
      <c r="CQ48" s="1021">
        <f>(VLOOKUP(YEAR($A48),'NY East Load Projections'!$A$4:$EO$14,((MONTH($A48)-1)*12)+VLOOKUP(CQ$4,$DE$6:$DF$17,2)+1))*(VLOOKUP($A48,SatSunCurve,6))*(INDEX(DailyScalarsTable,CQ$5/100,MONTH($A48)))*$E48</f>
        <v>-3200.1823322469463</v>
      </c>
      <c r="CR48" s="1021">
        <f>(VLOOKUP(YEAR($A48),'NY East Load Projections'!$A$4:$EO$14,((MONTH($A48)-1)*12)+VLOOKUP(CR$4,$DE$6:$DF$17,2)+1))*(VLOOKUP($A48,SatSunCurve,6))*(INDEX(DailyScalarsTable,CR$5/100,MONTH($A48)))*$E48</f>
        <v>-3307.8904101168728</v>
      </c>
      <c r="CS48" s="1021">
        <f>(VLOOKUP(YEAR($A48),'NY East Load Projections'!$A$4:$EO$14,((MONTH($A48)-1)*12)+VLOOKUP(CS$4,$DE$6:$DF$17,2)+1))*(VLOOKUP($A48,SatSunCurve,6))*(INDEX(DailyScalarsTable,CS$5/100,MONTH($A48)))*$E48</f>
        <v>-3445.6565562295696</v>
      </c>
      <c r="CT48" s="1021">
        <f>(VLOOKUP(YEAR($A48),'NY East Load Projections'!$A$4:$EO$14,((MONTH($A48)-1)*12)+VLOOKUP(CT$4,$DE$6:$DF$17,2)+1))*(VLOOKUP($A48,SatSunCurve,6))*(INDEX(DailyScalarsTable,CT$5/100,MONTH($A48)))*$E48</f>
        <v>-3656.8144856350318</v>
      </c>
      <c r="CU48" s="1021">
        <f>(VLOOKUP(YEAR($A48),'NY East Load Projections'!$A$4:$EO$14,((MONTH($A48)-1)*12)+VLOOKUP(CU$4,$DE$6:$DF$17,2)+1))*(VLOOKUP($A48,SatSunCurve,6))*(INDEX(DailyScalarsTable,CU$5/100,MONTH($A48)))*$E48</f>
        <v>-3540.0587827134809</v>
      </c>
      <c r="CV48" s="1021">
        <f>(VLOOKUP(YEAR($A48),'NY East Load Projections'!$A$4:$EO$14,((MONTH($A48)-1)*12)+VLOOKUP(CV$4,$DE$6:$DF$17,2)+1))*(VLOOKUP($A48,SatSunCurve,6))*(INDEX(DailyScalarsTable,CV$5/100,MONTH($A48)))*$E48</f>
        <v>-3452.3358835917779</v>
      </c>
      <c r="CW48" s="1021">
        <f>(VLOOKUP(YEAR($A48),'NY East Load Projections'!$A$4:$EO$14,((MONTH($A48)-1)*12)+VLOOKUP(CW$4,$DE$6:$DF$17,2)+1))*(VLOOKUP($A48,SatSunCurve,6))*(INDEX(DailyScalarsTable,CW$5/100,MONTH($A48)))*$E48</f>
        <v>-2883.4445621873483</v>
      </c>
      <c r="CX48" s="1021">
        <f>(VLOOKUP(YEAR($A48),'NY East Load Projections'!$A$4:$EO$14,((MONTH($A48)-1)*12)+VLOOKUP(CX$4,$DE$6:$DF$17,2)+1))*(VLOOKUP($A48,SatSunCurve,6))*(INDEX(DailyScalarsTable,CX$5/100,MONTH($A48)))*$E48</f>
        <v>-2133.6396195590282</v>
      </c>
      <c r="CY48" s="1021">
        <f>(VLOOKUP(YEAR($A48),'NY East Load Projections'!$A$4:$EO$14,((MONTH($A48)-1)*12)+VLOOKUP(CY$4,$DE$6:$DF$17,2)+1))*(VLOOKUP($A48,SatSunCurve,6))*(INDEX(DailyScalarsTable,CY$5/100,MONTH($A48)))*$E48</f>
        <v>-2242.7417424064979</v>
      </c>
      <c r="CZ48" s="1021">
        <f>(VLOOKUP(YEAR($A48),'NY East Load Projections'!$A$4:$EO$14,((MONTH($A48)-1)*12)+VLOOKUP(CZ$4,$DE$6:$DF$17,2)+1))*(VLOOKUP($A48,SatSunCurve,6))*(INDEX(DailyScalarsTable,CZ$5/100,MONTH($A48)))*$E48</f>
        <v>-2376.4884041879677</v>
      </c>
      <c r="DA48" s="1021">
        <f>(VLOOKUP(YEAR($A48),'NY East Load Projections'!$A$4:$EO$14,((MONTH($A48)-1)*12)+VLOOKUP(DA$4,$DE$6:$DF$17,2)+1))*(VLOOKUP($A48,SatSunCurve,6))*(INDEX(DailyScalarsTable,DA$5/100,MONTH($A48)))*$E48</f>
        <v>-1650.3705478270842</v>
      </c>
      <c r="DB48" s="1021">
        <f>(VLOOKUP(YEAR($A48),'NY East Load Projections'!$A$4:$EO$14,((MONTH($A48)-1)*12)+VLOOKUP(DB$4,$DE$6:$DF$17,2)+1))*(VLOOKUP($A48,CURVES!$D$9:$T$261,6))*(INDEX(DailyScalarsTable,DB$5/100,MONTH($A48)))*$E48</f>
        <v>-2695.3028710981057</v>
      </c>
      <c r="DH48" s="1021">
        <f t="shared" si="0"/>
        <v>-3628838.5537289865</v>
      </c>
      <c r="DI48">
        <f ca="1">CALC!J68</f>
        <v>0.72655927342574345</v>
      </c>
      <c r="DJ48" s="1029">
        <f t="shared" ca="1" si="1"/>
        <v>-2636566.3029766581</v>
      </c>
    </row>
    <row r="49" spans="1:114" x14ac:dyDescent="0.25">
      <c r="A49" s="244">
        <v>38200</v>
      </c>
      <c r="B49" s="13">
        <v>22</v>
      </c>
      <c r="C49" s="210">
        <v>4</v>
      </c>
      <c r="D49" s="210">
        <v>5</v>
      </c>
      <c r="E49" s="210">
        <v>0</v>
      </c>
      <c r="F49" s="13">
        <v>31</v>
      </c>
      <c r="H49" s="1021">
        <f>(VLOOKUP(YEAR($A49),'NY East Load Projections'!$A$4:$EO$14,((MONTH($A49)-1)*12)+VLOOKUP(H$4,$DE$6:$DF$17,2)+1))*(VLOOKUP($A49,CURVES!$D$9:$K$261,6))*(INDEX(DailyScalarsTable,H$5/100,MONTH($A49)))*$B49</f>
        <v>-53497.330367639639</v>
      </c>
      <c r="I49" s="1021">
        <f>(VLOOKUP(YEAR($A49),'NY East Load Projections'!$A$4:$EO$14,((MONTH($A49)-1)*12)+VLOOKUP(I$4,$DE$6:$DF$17,2)+1))*(VLOOKUP($A49,CURVES!$D$9:$K$261,6))*(INDEX(DailyScalarsTable,I$5/100,MONTH($A49)))*$B49</f>
        <v>-48292.977150783176</v>
      </c>
      <c r="J49" s="1021">
        <f>(VLOOKUP(YEAR($A49),'NY East Load Projections'!$A$4:$EO$14,((MONTH($A49)-1)*12)+VLOOKUP(J$4,$DE$6:$DF$17,2)+1))*(VLOOKUP($A49,CURVES!$D$9:$K$261,6))*(INDEX(DailyScalarsTable,J$5/100,MONTH($A49)))*$B49</f>
        <v>-43369.610140470599</v>
      </c>
      <c r="K49" s="1021">
        <f>(VLOOKUP(YEAR($A49),'NY East Load Projections'!$A$4:$EO$14,((MONTH($A49)-1)*12)+VLOOKUP(K$4,$DE$6:$DF$17,2)+1))*(VLOOKUP($A49,CURVES!$D$9:$K$261,6))*(INDEX(DailyScalarsTable,K$5/100,MONTH($A49)))*$B49</f>
        <v>-40804.083906808948</v>
      </c>
      <c r="L49" s="1021">
        <f>(VLOOKUP(YEAR($A49),'NY East Load Projections'!$A$4:$EO$14,((MONTH($A49)-1)*12)+VLOOKUP(L$4,$DE$6:$DF$17,2)+1))*(VLOOKUP($A49,CURVES!$D$9:$K$261,6))*(INDEX(DailyScalarsTable,L$5/100,MONTH($A49)))*$B49</f>
        <v>-46265.224442437633</v>
      </c>
      <c r="M49" s="1021">
        <f>(VLOOKUP(YEAR($A49),'NY East Load Projections'!$A$4:$EO$14,((MONTH($A49)-1)*12)+VLOOKUP(M$4,$DE$6:$DF$17,2)+1))*(VLOOKUP($A49,CURVES!$D$9:$K$261,6))*(INDEX(DailyScalarsTable,M$5/100,MONTH($A49)))*$B49</f>
        <v>-51402.839501664224</v>
      </c>
      <c r="N49" s="1021">
        <f>(VLOOKUP(YEAR($A49),'NY East Load Projections'!$A$4:$EO$14,((MONTH($A49)-1)*12)+VLOOKUP(N$4,$DE$6:$DF$17,2)+1))*(VLOOKUP($A49,CURVES!$D$9:$K$261,6))*(INDEX(DailyScalarsTable,N$5/100,MONTH($A49)))*$B49</f>
        <v>-59809.845962216772</v>
      </c>
      <c r="O49" s="1021">
        <f>(VLOOKUP(YEAR($A49),'NY East Load Projections'!$A$4:$EO$14,((MONTH($A49)-1)*12)+VLOOKUP(O$4,$DE$6:$DF$17,2)+1))*(VLOOKUP($A49,CURVES!$D$9:$K$261,2))*(INDEX(DailyScalarsTable,O$5/100,MONTH($A49)))*$B49</f>
        <v>-96932.856154842113</v>
      </c>
      <c r="P49" s="1021">
        <f>(VLOOKUP(YEAR($A49),'NY East Load Projections'!$A$4:$EO$14,((MONTH($A49)-1)*12)+VLOOKUP(P$4,$DE$6:$DF$17,2)+1))*(VLOOKUP($A49,CURVES!$D$9:$K$261,2))*(INDEX(DailyScalarsTable,P$5/100,MONTH($A49)))*$B49</f>
        <v>-119940.40570757139</v>
      </c>
      <c r="Q49" s="1021">
        <f>(VLOOKUP(YEAR($A49),'NY East Load Projections'!$A$4:$EO$14,((MONTH($A49)-1)*12)+VLOOKUP(Q$4,$DE$6:$DF$17,2)+1))*(VLOOKUP($A49,CURVES!$D$9:$K$261,2))*(INDEX(DailyScalarsTable,Q$5/100,MONTH($A49)))*$B49</f>
        <v>-153816.1914359403</v>
      </c>
      <c r="R49" s="1021">
        <f>(VLOOKUP(YEAR($A49),'NY East Load Projections'!$A$4:$EO$14,((MONTH($A49)-1)*12)+VLOOKUP(R$4,$DE$6:$DF$17,2)+1))*(VLOOKUP($A49,CURVES!$D$9:$K$261,2))*(INDEX(DailyScalarsTable,R$5/100,MONTH($A49)))*$B49</f>
        <v>-173605.01676241314</v>
      </c>
      <c r="S49" s="1021">
        <f>(VLOOKUP(YEAR($A49),'NY East Load Projections'!$A$4:$EO$14,((MONTH($A49)-1)*12)+VLOOKUP(S$4,$DE$6:$DF$17,2)+1))*(VLOOKUP($A49,CURVES!$D$9:$K$261,2))*(INDEX(DailyScalarsTable,S$5/100,MONTH($A49)))*$B49</f>
        <v>-180961.54052784771</v>
      </c>
      <c r="T49" s="1021">
        <f>(VLOOKUP(YEAR($A49),'NY East Load Projections'!$A$4:$EO$14,((MONTH($A49)-1)*12)+VLOOKUP(T$4,$DE$6:$DF$17,2)+1))*(VLOOKUP($A49,CURVES!$D$9:$K$261,2))*(INDEX(DailyScalarsTable,T$5/100,MONTH($A49)))*$B49</f>
        <v>-184361.67483238401</v>
      </c>
      <c r="U49" s="1021">
        <f>(VLOOKUP(YEAR($A49),'NY East Load Projections'!$A$4:$EO$14,((MONTH($A49)-1)*12)+VLOOKUP(U$4,$DE$6:$DF$17,2)+1))*(VLOOKUP($A49,CURVES!$D$9:$K$261,2))*(INDEX(DailyScalarsTable,U$5/100,MONTH($A49)))*$B49</f>
        <v>-202386.82301315636</v>
      </c>
      <c r="V49" s="1021">
        <f>(VLOOKUP(YEAR($A49),'NY East Load Projections'!$A$4:$EO$14,((MONTH($A49)-1)*12)+VLOOKUP(V$4,$DE$6:$DF$17,2)+1))*(VLOOKUP($A49,CURVES!$D$9:$K$261,2))*(INDEX(DailyScalarsTable,V$5/100,MONTH($A49)))*$B49</f>
        <v>-214258.16264304088</v>
      </c>
      <c r="W49" s="1021">
        <f>(VLOOKUP(YEAR($A49),'NY East Load Projections'!$A$4:$EO$14,((MONTH($A49)-1)*12)+VLOOKUP(W$4,$DE$6:$DF$17,2)+1))*(VLOOKUP($A49,CURVES!$D$9:$K$261,2))*(INDEX(DailyScalarsTable,W$5/100,MONTH($A49)))*$B49</f>
        <v>-211273.10625641618</v>
      </c>
      <c r="X49" s="1021">
        <f>(VLOOKUP(YEAR($A49),'NY East Load Projections'!$A$4:$EO$14,((MONTH($A49)-1)*12)+VLOOKUP(X$4,$DE$6:$DF$17,2)+1))*(VLOOKUP($A49,CURVES!$D$9:$K$261,2))*(INDEX(DailyScalarsTable,X$5/100,MONTH($A49)))*$B49</f>
        <v>-194538.90620595214</v>
      </c>
      <c r="Y49" s="1021">
        <f>(VLOOKUP(YEAR($A49),'NY East Load Projections'!$A$4:$EO$14,((MONTH($A49)-1)*12)+VLOOKUP(Y$4,$DE$6:$DF$17,2)+1))*(VLOOKUP($A49,CURVES!$D$9:$K$261,2))*(INDEX(DailyScalarsTable,Y$5/100,MONTH($A49)))*$B49</f>
        <v>-180155.05334549429</v>
      </c>
      <c r="Z49" s="1021">
        <f>(VLOOKUP(YEAR($A49),'NY East Load Projections'!$A$4:$EO$14,((MONTH($A49)-1)*12)+VLOOKUP(Z$4,$DE$6:$DF$17,2)+1))*(VLOOKUP($A49,CURVES!$D$9:$K$261,2))*(INDEX(DailyScalarsTable,Z$5/100,MONTH($A49)))*$B49</f>
        <v>-146845.07830022342</v>
      </c>
      <c r="AA49" s="1021">
        <f>(VLOOKUP(YEAR($A49),'NY East Load Projections'!$A$4:$EO$14,((MONTH($A49)-1)*12)+VLOOKUP(AA$4,$DE$6:$DF$17,2)+1))*(VLOOKUP($A49,CURVES!$D$9:$K$261,2))*(INDEX(DailyScalarsTable,AA$5/100,MONTH($A49)))*$B49</f>
        <v>-133694.12711351906</v>
      </c>
      <c r="AB49" s="1021">
        <f>(VLOOKUP(YEAR($A49),'NY East Load Projections'!$A$4:$EO$14,((MONTH($A49)-1)*12)+VLOOKUP(AB$4,$DE$6:$DF$17,2)+1))*(VLOOKUP($A49,CURVES!$D$9:$K$261,2))*(INDEX(DailyScalarsTable,AB$5/100,MONTH($A49)))*$B49</f>
        <v>-147995.95286865672</v>
      </c>
      <c r="AC49" s="1021">
        <f>(VLOOKUP(YEAR($A49),'NY East Load Projections'!$A$4:$EO$14,((MONTH($A49)-1)*12)+VLOOKUP(AC$4,$DE$6:$DF$17,2)+1))*(VLOOKUP($A49,CURVES!$D$9:$K$261,2))*(INDEX(DailyScalarsTable,AC$5/100,MONTH($A49)))*$B49</f>
        <v>-125845.08632125847</v>
      </c>
      <c r="AD49" s="1021">
        <f>(VLOOKUP(YEAR($A49),'NY East Load Projections'!$A$4:$EO$14,((MONTH($A49)-1)*12)+VLOOKUP(AD$4,$DE$6:$DF$17,2)+1))*(VLOOKUP($A49,CURVES!$D$9:$K$261,2))*(INDEX(DailyScalarsTable,AD$5/100,MONTH($A49)))*$B49</f>
        <v>-101905.40409047919</v>
      </c>
      <c r="AE49" s="1021">
        <f>(VLOOKUP(YEAR($A49),'NY East Load Projections'!$A$4:$EO$14,((MONTH($A49)-1)*12)+VLOOKUP(AE$4,$DE$6:$DF$17,2)+1))*(VLOOKUP($A49,CURVES!$D$9:$K$261,6))*(INDEX(DailyScalarsTable,AE$5/100,MONTH($A49)))*$B49</f>
        <v>-65362.922643965387</v>
      </c>
      <c r="AF49" s="1021"/>
      <c r="AG49" s="1021">
        <f>(VLOOKUP(YEAR($A49),'NY East Load Projections'!$A$4:$EO$14,((MONTH($A49)-1)*12)+VLOOKUP(AG$4,$DE$6:$DF$17,2)+1))*(VLOOKUP($A49,CURVES!$D$9:$T$261,6))*(INDEX(DailyScalarsTable,AG$5/100,MONTH($A49)))*$C49</f>
        <v>-9568.8277289478428</v>
      </c>
      <c r="AH49" s="1021">
        <f>(VLOOKUP(YEAR($A49),'NY East Load Projections'!$A$4:$EO$14,((MONTH($A49)-1)*12)+VLOOKUP(AH$4,$DE$6:$DF$17,2)+1))*(VLOOKUP($A49,CURVES!$D$9:$T$261,6))*(INDEX(DailyScalarsTable,AH$5/100,MONTH($A49)))*$C49</f>
        <v>-8637.948392904962</v>
      </c>
      <c r="AI49" s="1021">
        <f>(VLOOKUP(YEAR($A49),'NY East Load Projections'!$A$4:$EO$14,((MONTH($A49)-1)*12)+VLOOKUP(AI$4,$DE$6:$DF$17,2)+1))*(VLOOKUP($A49,CURVES!$D$9:$T$261,6))*(INDEX(DailyScalarsTable,AI$5/100,MONTH($A49)))*$C49</f>
        <v>-7757.3278003573541</v>
      </c>
      <c r="AJ49" s="1021">
        <f>(VLOOKUP(YEAR($A49),'NY East Load Projections'!$A$4:$EO$14,((MONTH($A49)-1)*12)+VLOOKUP(AJ$4,$DE$6:$DF$17,2)+1))*(VLOOKUP($A49,CURVES!$D$9:$T$261,6))*(INDEX(DailyScalarsTable,AJ$5/100,MONTH($A49)))*$C49</f>
        <v>-7298.4436206179034</v>
      </c>
      <c r="AK49" s="1021">
        <f>(VLOOKUP(YEAR($A49),'NY East Load Projections'!$A$4:$EO$14,((MONTH($A49)-1)*12)+VLOOKUP(AK$4,$DE$6:$DF$17,2)+1))*(VLOOKUP($A49,CURVES!$D$9:$T$261,6))*(INDEX(DailyScalarsTable,AK$5/100,MONTH($A49)))*$C49</f>
        <v>-7696.184941665957</v>
      </c>
      <c r="AL49" s="1021">
        <f>(VLOOKUP(YEAR($A49),'NY East Load Projections'!$A$4:$EO$14,((MONTH($A49)-1)*12)+VLOOKUP(AL$4,$DE$6:$DF$17,2)+1))*(VLOOKUP($A49,CURVES!$D$9:$T$261,6))*(INDEX(DailyScalarsTable,AL$5/100,MONTH($A49)))*$C49</f>
        <v>-8550.8233040949763</v>
      </c>
      <c r="AM49" s="1021">
        <f>(VLOOKUP(YEAR($A49),'NY East Load Projections'!$A$4:$EO$14,((MONTH($A49)-1)*12)+VLOOKUP(AM$4,$DE$6:$DF$17,2)+1))*(VLOOKUP($A49,CURVES!$D$9:$T$261,6))*(INDEX(DailyScalarsTable,AM$5/100,MONTH($A49)))*$C49</f>
        <v>-9949.3224426151792</v>
      </c>
      <c r="AN49" s="1021">
        <f>(VLOOKUP(YEAR($A49),'NY East Load Projections'!$A$4:$EO$14,((MONTH($A49)-1)*12)+VLOOKUP(AN$4,$DE$6:$DF$17,2)+1))*(VLOOKUP($A49,SatSunCurve,2))*(INDEX(DailyScalarsTable,AN$5/100,MONTH($A49)))*$C49</f>
        <v>-10235.884452453151</v>
      </c>
      <c r="AO49" s="1021">
        <f>(VLOOKUP(YEAR($A49),'NY East Load Projections'!$A$4:$EO$14,((MONTH($A49)-1)*12)+VLOOKUP(AO$4,$DE$6:$DF$17,2)+1))*(VLOOKUP($A49,SatSunCurve,2))*(INDEX(DailyScalarsTable,AO$5/100,MONTH($A49)))*$C49</f>
        <v>-12345.851308119709</v>
      </c>
      <c r="AP49" s="1021">
        <f>(VLOOKUP(YEAR($A49),'NY East Load Projections'!$A$4:$EO$14,((MONTH($A49)-1)*12)+VLOOKUP(AP$4,$DE$6:$DF$17,2)+1))*(VLOOKUP($A49,SatSunCurve,2))*(INDEX(DailyScalarsTable,AP$5/100,MONTH($A49)))*$C49</f>
        <v>-15832.794770424212</v>
      </c>
      <c r="AQ49" s="1021">
        <f>(VLOOKUP(YEAR($A49),'NY East Load Projections'!$A$4:$EO$14,((MONTH($A49)-1)*12)+VLOOKUP(AQ$4,$DE$6:$DF$17,2)+1))*(VLOOKUP($A49,SatSunCurve,2))*(INDEX(DailyScalarsTable,AQ$5/100,MONTH($A49)))*$C49</f>
        <v>-17869.722139493177</v>
      </c>
      <c r="AR49" s="1021">
        <f>(VLOOKUP(YEAR($A49),'NY East Load Projections'!$A$4:$EO$14,((MONTH($A49)-1)*12)+VLOOKUP(AR$4,$DE$6:$DF$17,2)+1))*(VLOOKUP($A49,SatSunCurve,2))*(INDEX(DailyScalarsTable,AR$5/100,MONTH($A49)))*$C49</f>
        <v>-18626.952765960621</v>
      </c>
      <c r="AS49" s="1021">
        <f>(VLOOKUP(YEAR($A49),'NY East Load Projections'!$A$4:$EO$14,((MONTH($A49)-1)*12)+VLOOKUP(AS$4,$DE$6:$DF$17,2)+1))*(VLOOKUP($A49,SatSunCurve,2))*(INDEX(DailyScalarsTable,AS$5/100,MONTH($A49)))*$C49</f>
        <v>-19082.802986621828</v>
      </c>
      <c r="AT49" s="1021">
        <f>(VLOOKUP(YEAR($A49),'NY East Load Projections'!$A$4:$EO$14,((MONTH($A49)-1)*12)+VLOOKUP(AT$4,$DE$6:$DF$17,2)+1))*(VLOOKUP($A49,SatSunCurve,2))*(INDEX(DailyScalarsTable,AT$5/100,MONTH($A49)))*$C49</f>
        <v>-20948.539733974943</v>
      </c>
      <c r="AU49" s="1021">
        <f>(VLOOKUP(YEAR($A49),'NY East Load Projections'!$A$4:$EO$14,((MONTH($A49)-1)*12)+VLOOKUP(AU$4,$DE$6:$DF$17,2)+1))*(VLOOKUP($A49,SatSunCurve,2))*(INDEX(DailyScalarsTable,AU$5/100,MONTH($A49)))*$C49</f>
        <v>-22177.311579046993</v>
      </c>
      <c r="AV49" s="1021">
        <f>(VLOOKUP(YEAR($A49),'NY East Load Projections'!$A$4:$EO$14,((MONTH($A49)-1)*12)+VLOOKUP(AV$4,$DE$6:$DF$17,2)+1))*(VLOOKUP($A49,SatSunCurve,2))*(INDEX(DailyScalarsTable,AV$5/100,MONTH($A49)))*$C49</f>
        <v>-21868.336066746477</v>
      </c>
      <c r="AW49" s="1021">
        <f>(VLOOKUP(YEAR($A49),'NY East Load Projections'!$A$4:$EO$14,((MONTH($A49)-1)*12)+VLOOKUP(AW$4,$DE$6:$DF$17,2)+1))*(VLOOKUP($A49,SatSunCurve,2))*(INDEX(DailyScalarsTable,AW$5/100,MONTH($A49)))*$C49</f>
        <v>-20264.806425435923</v>
      </c>
      <c r="AX49" s="1021">
        <f>(VLOOKUP(YEAR($A49),'NY East Load Projections'!$A$4:$EO$14,((MONTH($A49)-1)*12)+VLOOKUP(AX$4,$DE$6:$DF$17,2)+1))*(VLOOKUP($A49,SatSunCurve,2))*(INDEX(DailyScalarsTable,AX$5/100,MONTH($A49)))*$C49</f>
        <v>-18766.463499828311</v>
      </c>
      <c r="AY49" s="1021">
        <f>(VLOOKUP(YEAR($A49),'NY East Load Projections'!$A$4:$EO$14,((MONTH($A49)-1)*12)+VLOOKUP(AY$4,$DE$6:$DF$17,2)+1))*(VLOOKUP($A49,SatSunCurve,2))*(INDEX(DailyScalarsTable,AY$5/100,MONTH($A49)))*$C49</f>
        <v>-15296.616724736992</v>
      </c>
      <c r="AZ49" s="1021">
        <f>(VLOOKUP(YEAR($A49),'NY East Load Projections'!$A$4:$EO$14,((MONTH($A49)-1)*12)+VLOOKUP(AZ$4,$DE$6:$DF$17,2)+1))*(VLOOKUP($A49,SatSunCurve,2))*(INDEX(DailyScalarsTable,AZ$5/100,MONTH($A49)))*$C49</f>
        <v>-13926.703192752888</v>
      </c>
      <c r="BA49" s="1021">
        <f>(VLOOKUP(YEAR($A49),'NY East Load Projections'!$A$4:$EO$14,((MONTH($A49)-1)*12)+VLOOKUP(BA$4,$DE$6:$DF$17,2)+1))*(VLOOKUP($A49,SatSunCurve,2))*(INDEX(DailyScalarsTable,BA$5/100,MONTH($A49)))*$C49</f>
        <v>-16609.41860515657</v>
      </c>
      <c r="BB49" s="1021">
        <f>(VLOOKUP(YEAR($A49),'NY East Load Projections'!$A$4:$EO$14,((MONTH($A49)-1)*12)+VLOOKUP(BB$4,$DE$6:$DF$17,2)+1))*(VLOOKUP($A49,SatSunCurve,2))*(INDEX(DailyScalarsTable,BB$5/100,MONTH($A49)))*$C49</f>
        <v>-14123.451875517609</v>
      </c>
      <c r="BC49" s="1021">
        <f>(VLOOKUP(YEAR($A49),'NY East Load Projections'!$A$4:$EO$14,((MONTH($A49)-1)*12)+VLOOKUP(BC$4,$DE$6:$DF$17,2)+1))*(VLOOKUP($A49,SatSunCurve,2))*(INDEX(DailyScalarsTable,BC$5/100,MONTH($A49)))*$C49</f>
        <v>-11436.728382488549</v>
      </c>
      <c r="BD49" s="1021">
        <f>(VLOOKUP(YEAR($A49),'NY East Load Projections'!$A$4:$EO$14,((MONTH($A49)-1)*12)+VLOOKUP(BD$4,$DE$6:$DF$17,2)+1))*(VLOOKUP($A49,CURVES!$D$9:$T$261,6))*(INDEX(DailyScalarsTable,BD$5/100,MONTH($A49)))*$C49</f>
        <v>-11555.866376715667</v>
      </c>
      <c r="BE49" s="1021"/>
      <c r="BF49" s="1021">
        <f>(VLOOKUP(YEAR($A49),'NY East Load Projections'!$A$4:$EO$14,((MONTH($A49)-1)*12)+VLOOKUP(BF$4,$DE$6:$DF$17,2)+1))*(VLOOKUP($A49,CURVES!$D$9:$T$261,6))*(INDEX(DailyScalarsTable,BF$5/100,MONTH($A49)))*$D49</f>
        <v>-11961.034661184804</v>
      </c>
      <c r="BG49" s="1021">
        <f>(VLOOKUP(YEAR($A49),'NY East Load Projections'!$A$4:$EO$14,((MONTH($A49)-1)*12)+VLOOKUP(BG$4,$DE$6:$DF$17,2)+1))*(VLOOKUP($A49,CURVES!$D$9:$T$261,6))*(INDEX(DailyScalarsTable,BG$5/100,MONTH($A49)))*$D49</f>
        <v>-10797.435491131202</v>
      </c>
      <c r="BH49" s="1021">
        <f>(VLOOKUP(YEAR($A49),'NY East Load Projections'!$A$4:$EO$14,((MONTH($A49)-1)*12)+VLOOKUP(BH$4,$DE$6:$DF$17,2)+1))*(VLOOKUP($A49,CURVES!$D$9:$T$261,6))*(INDEX(DailyScalarsTable,BH$5/100,MONTH($A49)))*$D49</f>
        <v>-9696.6597504466918</v>
      </c>
      <c r="BI49" s="1021">
        <f>(VLOOKUP(YEAR($A49),'NY East Load Projections'!$A$4:$EO$14,((MONTH($A49)-1)*12)+VLOOKUP(BI$4,$DE$6:$DF$17,2)+1))*(VLOOKUP($A49,CURVES!$D$9:$T$261,6))*(INDEX(DailyScalarsTable,BI$5/100,MONTH($A49)))*$D49</f>
        <v>-9123.0545257723788</v>
      </c>
      <c r="BJ49" s="1021">
        <f>(VLOOKUP(YEAR($A49),'NY East Load Projections'!$A$4:$EO$14,((MONTH($A49)-1)*12)+VLOOKUP(BJ$4,$DE$6:$DF$17,2)+1))*(VLOOKUP($A49,CURVES!$D$9:$T$261,6))*(INDEX(DailyScalarsTable,BJ$5/100,MONTH($A49)))*$D49</f>
        <v>-9620.2311770824454</v>
      </c>
      <c r="BK49" s="1021">
        <f>(VLOOKUP(YEAR($A49),'NY East Load Projections'!$A$4:$EO$14,((MONTH($A49)-1)*12)+VLOOKUP(BK$4,$DE$6:$DF$17,2)+1))*(VLOOKUP($A49,CURVES!$D$9:$T$261,6))*(INDEX(DailyScalarsTable,BK$5/100,MONTH($A49)))*$D49</f>
        <v>-10688.529130118721</v>
      </c>
      <c r="BL49" s="1021">
        <f>(VLOOKUP(YEAR($A49),'NY East Load Projections'!$A$4:$EO$14,((MONTH($A49)-1)*12)+VLOOKUP(BL$4,$DE$6:$DF$17,2)+1))*(VLOOKUP($A49,CURVES!$D$9:$T$261,6))*(INDEX(DailyScalarsTable,BL$5/100,MONTH($A49)))*$D49</f>
        <v>-12436.653053268974</v>
      </c>
      <c r="BM49" s="1021">
        <f>(VLOOKUP(YEAR($A49),'NY East Load Projections'!$A$4:$EO$14,((MONTH($A49)-1)*12)+VLOOKUP(BM$4,$DE$6:$DF$17,2)+1))*(VLOOKUP($A49,SatSunCurve,6))*(INDEX(DailyScalarsTable,BM$5/100,MONTH($A49)))*$D49</f>
        <v>-8969.3685396571309</v>
      </c>
      <c r="BN49" s="1021">
        <f>(VLOOKUP(YEAR($A49),'NY East Load Projections'!$A$4:$EO$14,((MONTH($A49)-1)*12)+VLOOKUP(BN$4,$DE$6:$DF$17,2)+1))*(VLOOKUP($A49,SatSunCurve,6))*(INDEX(DailyScalarsTable,BN$5/100,MONTH($A49)))*$D49</f>
        <v>-10818.263026776831</v>
      </c>
      <c r="BO49" s="1021">
        <f>(VLOOKUP(YEAR($A49),'NY East Load Projections'!$A$4:$EO$14,((MONTH($A49)-1)*12)+VLOOKUP(BO$4,$DE$6:$DF$17,2)+1))*(VLOOKUP($A49,SatSunCurve,6))*(INDEX(DailyScalarsTable,BO$5/100,MONTH($A49)))*$D49</f>
        <v>-13873.756778746796</v>
      </c>
      <c r="BP49" s="1021">
        <f>(VLOOKUP(YEAR($A49),'NY East Load Projections'!$A$4:$EO$14,((MONTH($A49)-1)*12)+VLOOKUP(BP$4,$DE$6:$DF$17,2)+1))*(VLOOKUP($A49,SatSunCurve,6))*(INDEX(DailyScalarsTable,BP$5/100,MONTH($A49)))*$D49</f>
        <v>-15658.649168511429</v>
      </c>
      <c r="BQ49" s="1021">
        <f>(VLOOKUP(YEAR($A49),'NY East Load Projections'!$A$4:$EO$14,((MONTH($A49)-1)*12)+VLOOKUP(BQ$4,$DE$6:$DF$17,2)+1))*(VLOOKUP($A49,SatSunCurve,6))*(INDEX(DailyScalarsTable,BQ$5/100,MONTH($A49)))*$D49</f>
        <v>-16322.185435440879</v>
      </c>
      <c r="BR49" s="1021">
        <f>(VLOOKUP(YEAR($A49),'NY East Load Projections'!$A$4:$EO$14,((MONTH($A49)-1)*12)+VLOOKUP(BR$4,$DE$6:$DF$17,2)+1))*(VLOOKUP($A49,SatSunCurve,6))*(INDEX(DailyScalarsTable,BR$5/100,MONTH($A49)))*$D49</f>
        <v>-16721.631975403965</v>
      </c>
      <c r="BS49" s="1021">
        <f>(VLOOKUP(YEAR($A49),'NY East Load Projections'!$A$4:$EO$14,((MONTH($A49)-1)*12)+VLOOKUP(BS$4,$DE$6:$DF$17,2)+1))*(VLOOKUP($A49,SatSunCurve,6))*(INDEX(DailyScalarsTable,BS$5/100,MONTH($A49)))*$D49</f>
        <v>-18356.515659635144</v>
      </c>
      <c r="BT49" s="1021">
        <f>(VLOOKUP(YEAR($A49),'NY East Load Projections'!$A$4:$EO$14,((MONTH($A49)-1)*12)+VLOOKUP(BT$4,$DE$6:$DF$17,2)+1))*(VLOOKUP($A49,SatSunCurve,6))*(INDEX(DailyScalarsTable,BT$5/100,MONTH($A49)))*$D49</f>
        <v>-19433.247971415425</v>
      </c>
      <c r="BU49" s="1021">
        <f>(VLOOKUP(YEAR($A49),'NY East Load Projections'!$A$4:$EO$14,((MONTH($A49)-1)*12)+VLOOKUP(BU$4,$DE$6:$DF$17,2)+1))*(VLOOKUP($A49,SatSunCurve,6))*(INDEX(DailyScalarsTable,BU$5/100,MONTH($A49)))*$D49</f>
        <v>-19162.502902689241</v>
      </c>
      <c r="BV49" s="1021">
        <f>(VLOOKUP(YEAR($A49),'NY East Load Projections'!$A$4:$EO$14,((MONTH($A49)-1)*12)+VLOOKUP(BV$4,$DE$6:$DF$17,2)+1))*(VLOOKUP($A49,SatSunCurve,6))*(INDEX(DailyScalarsTable,BV$5/100,MONTH($A49)))*$D49</f>
        <v>-17757.382672582346</v>
      </c>
      <c r="BW49" s="1021">
        <f>(VLOOKUP(YEAR($A49),'NY East Load Projections'!$A$4:$EO$14,((MONTH($A49)-1)*12)+VLOOKUP(BW$4,$DE$6:$DF$17,2)+1))*(VLOOKUP($A49,SatSunCurve,6))*(INDEX(DailyScalarsTable,BW$5/100,MONTH($A49)))*$D49</f>
        <v>-16444.434098280897</v>
      </c>
      <c r="BX49" s="1021">
        <f>(VLOOKUP(YEAR($A49),'NY East Load Projections'!$A$4:$EO$14,((MONTH($A49)-1)*12)+VLOOKUP(BX$4,$DE$6:$DF$17,2)+1))*(VLOOKUP($A49,SatSunCurve,6))*(INDEX(DailyScalarsTable,BX$5/100,MONTH($A49)))*$D49</f>
        <v>-13403.921610424903</v>
      </c>
      <c r="BY49" s="1021">
        <f>(VLOOKUP(YEAR($A49),'NY East Load Projections'!$A$4:$EO$14,((MONTH($A49)-1)*12)+VLOOKUP(BY$4,$DE$6:$DF$17,2)+1))*(VLOOKUP($A49,SatSunCurve,6))*(INDEX(DailyScalarsTable,BY$5/100,MONTH($A49)))*$D49</f>
        <v>-12203.511485349289</v>
      </c>
      <c r="BZ49" s="1021">
        <f>(VLOOKUP(YEAR($A49),'NY East Load Projections'!$A$4:$EO$14,((MONTH($A49)-1)*12)+VLOOKUP(BZ$4,$DE$6:$DF$17,2)+1))*(VLOOKUP($A49,SatSunCurve,6))*(INDEX(DailyScalarsTable,BZ$5/100,MONTH($A49)))*$D49</f>
        <v>-14554.286675577243</v>
      </c>
      <c r="CA49" s="1021">
        <f>(VLOOKUP(YEAR($A49),'NY East Load Projections'!$A$4:$EO$14,((MONTH($A49)-1)*12)+VLOOKUP(CA$4,$DE$6:$DF$17,2)+1))*(VLOOKUP($A49,SatSunCurve,6))*(INDEX(DailyScalarsTable,CA$5/100,MONTH($A49)))*$D49</f>
        <v>-12375.915878306845</v>
      </c>
      <c r="CB49" s="1021">
        <f>(VLOOKUP(YEAR($A49),'NY East Load Projections'!$A$4:$EO$14,((MONTH($A49)-1)*12)+VLOOKUP(CB$4,$DE$6:$DF$17,2)+1))*(VLOOKUP($A49,SatSunCurve,6))*(INDEX(DailyScalarsTable,CB$5/100,MONTH($A49)))*$D49</f>
        <v>-10021.628538988831</v>
      </c>
      <c r="CC49" s="1021">
        <f>(VLOOKUP(YEAR($A49),'NY East Load Projections'!$A$4:$EO$14,((MONTH($A49)-1)*12)+VLOOKUP(CC$4,$DE$6:$DF$17,2)+1))*(VLOOKUP($A49,CURVES!$D$9:$T$261,6))*(INDEX(DailyScalarsTable,CC$5/100,MONTH($A49)))*$D49</f>
        <v>-14444.832970894584</v>
      </c>
      <c r="CE49" s="1021">
        <f>(VLOOKUP(YEAR($A49),'NY East Load Projections'!$A$4:$EO$14,((MONTH($A49)-1)*12)+VLOOKUP(CE$4,$DE$6:$DF$17,2)+1))*(VLOOKUP($A49,CURVES!$D$9:$T$261,6))*(INDEX(DailyScalarsTable,CE$5/100,MONTH($A49)))*$E49</f>
        <v>0</v>
      </c>
      <c r="CF49" s="1021">
        <f>(VLOOKUP(YEAR($A49),'NY East Load Projections'!$A$4:$EO$14,((MONTH($A49)-1)*12)+VLOOKUP(CF$4,$DE$6:$DF$17,2)+1))*(VLOOKUP($A49,CURVES!$D$9:$T$261,6))*(INDEX(DailyScalarsTable,CF$5/100,MONTH($A49)))*$E49</f>
        <v>0</v>
      </c>
      <c r="CG49" s="1021">
        <f>(VLOOKUP(YEAR($A49),'NY East Load Projections'!$A$4:$EO$14,((MONTH($A49)-1)*12)+VLOOKUP(CG$4,$DE$6:$DF$17,2)+1))*(VLOOKUP($A49,CURVES!$D$9:$T$261,6))*(INDEX(DailyScalarsTable,CG$5/100,MONTH($A49)))*$E49</f>
        <v>0</v>
      </c>
      <c r="CH49" s="1021">
        <f>(VLOOKUP(YEAR($A49),'NY East Load Projections'!$A$4:$EO$14,((MONTH($A49)-1)*12)+VLOOKUP(CH$4,$DE$6:$DF$17,2)+1))*(VLOOKUP($A49,CURVES!$D$9:$T$261,6))*(INDEX(DailyScalarsTable,CH$5/100,MONTH($A49)))*$E49</f>
        <v>0</v>
      </c>
      <c r="CI49" s="1021">
        <f>(VLOOKUP(YEAR($A49),'NY East Load Projections'!$A$4:$EO$14,((MONTH($A49)-1)*12)+VLOOKUP(CI$4,$DE$6:$DF$17,2)+1))*(VLOOKUP($A49,CURVES!$D$9:$T$261,6))*(INDEX(DailyScalarsTable,CI$5/100,MONTH($A49)))*$E49</f>
        <v>0</v>
      </c>
      <c r="CJ49" s="1021">
        <f>(VLOOKUP(YEAR($A49),'NY East Load Projections'!$A$4:$EO$14,((MONTH($A49)-1)*12)+VLOOKUP(CJ$4,$DE$6:$DF$17,2)+1))*(VLOOKUP($A49,CURVES!$D$9:$T$261,6))*(INDEX(DailyScalarsTable,CJ$5/100,MONTH($A49)))*$E49</f>
        <v>0</v>
      </c>
      <c r="CK49" s="1021">
        <f>(VLOOKUP(YEAR($A49),'NY East Load Projections'!$A$4:$EO$14,((MONTH($A49)-1)*12)+VLOOKUP(CK$4,$DE$6:$DF$17,2)+1))*(VLOOKUP($A49,CURVES!$D$9:$T$261,6))*(INDEX(DailyScalarsTable,CK$5/100,MONTH($A49)))*$E49</f>
        <v>0</v>
      </c>
      <c r="CL49" s="1021">
        <f>(VLOOKUP(YEAR($A49),'NY East Load Projections'!$A$4:$EO$14,((MONTH($A49)-1)*12)+VLOOKUP(CL$4,$DE$6:$DF$17,2)+1))*(VLOOKUP($A49,SatSunCurve,6))*(INDEX(DailyScalarsTable,CL$5/100,MONTH($A49)))*$E49</f>
        <v>0</v>
      </c>
      <c r="CM49" s="1021">
        <f>(VLOOKUP(YEAR($A49),'NY East Load Projections'!$A$4:$EO$14,((MONTH($A49)-1)*12)+VLOOKUP(CM$4,$DE$6:$DF$17,2)+1))*(VLOOKUP($A49,SatSunCurve,6))*(INDEX(DailyScalarsTable,CM$5/100,MONTH($A49)))*$E49</f>
        <v>0</v>
      </c>
      <c r="CN49" s="1021">
        <f>(VLOOKUP(YEAR($A49),'NY East Load Projections'!$A$4:$EO$14,((MONTH($A49)-1)*12)+VLOOKUP(CN$4,$DE$6:$DF$17,2)+1))*(VLOOKUP($A49,SatSunCurve,6))*(INDEX(DailyScalarsTable,CN$5/100,MONTH($A49)))*$E49</f>
        <v>0</v>
      </c>
      <c r="CO49" s="1021">
        <f>(VLOOKUP(YEAR($A49),'NY East Load Projections'!$A$4:$EO$14,((MONTH($A49)-1)*12)+VLOOKUP(CO$4,$DE$6:$DF$17,2)+1))*(VLOOKUP($A49,SatSunCurve,6))*(INDEX(DailyScalarsTable,CO$5/100,MONTH($A49)))*$E49</f>
        <v>0</v>
      </c>
      <c r="CP49" s="1021">
        <f>(VLOOKUP(YEAR($A49),'NY East Load Projections'!$A$4:$EO$14,((MONTH($A49)-1)*12)+VLOOKUP(CP$4,$DE$6:$DF$17,2)+1))*(VLOOKUP($A49,SatSunCurve,6))*(INDEX(DailyScalarsTable,CP$5/100,MONTH($A49)))*$E49</f>
        <v>0</v>
      </c>
      <c r="CQ49" s="1021">
        <f>(VLOOKUP(YEAR($A49),'NY East Load Projections'!$A$4:$EO$14,((MONTH($A49)-1)*12)+VLOOKUP(CQ$4,$DE$6:$DF$17,2)+1))*(VLOOKUP($A49,SatSunCurve,6))*(INDEX(DailyScalarsTable,CQ$5/100,MONTH($A49)))*$E49</f>
        <v>0</v>
      </c>
      <c r="CR49" s="1021">
        <f>(VLOOKUP(YEAR($A49),'NY East Load Projections'!$A$4:$EO$14,((MONTH($A49)-1)*12)+VLOOKUP(CR$4,$DE$6:$DF$17,2)+1))*(VLOOKUP($A49,SatSunCurve,6))*(INDEX(DailyScalarsTable,CR$5/100,MONTH($A49)))*$E49</f>
        <v>0</v>
      </c>
      <c r="CS49" s="1021">
        <f>(VLOOKUP(YEAR($A49),'NY East Load Projections'!$A$4:$EO$14,((MONTH($A49)-1)*12)+VLOOKUP(CS$4,$DE$6:$DF$17,2)+1))*(VLOOKUP($A49,SatSunCurve,6))*(INDEX(DailyScalarsTable,CS$5/100,MONTH($A49)))*$E49</f>
        <v>0</v>
      </c>
      <c r="CT49" s="1021">
        <f>(VLOOKUP(YEAR($A49),'NY East Load Projections'!$A$4:$EO$14,((MONTH($A49)-1)*12)+VLOOKUP(CT$4,$DE$6:$DF$17,2)+1))*(VLOOKUP($A49,SatSunCurve,6))*(INDEX(DailyScalarsTable,CT$5/100,MONTH($A49)))*$E49</f>
        <v>0</v>
      </c>
      <c r="CU49" s="1021">
        <f>(VLOOKUP(YEAR($A49),'NY East Load Projections'!$A$4:$EO$14,((MONTH($A49)-1)*12)+VLOOKUP(CU$4,$DE$6:$DF$17,2)+1))*(VLOOKUP($A49,SatSunCurve,6))*(INDEX(DailyScalarsTable,CU$5/100,MONTH($A49)))*$E49</f>
        <v>0</v>
      </c>
      <c r="CV49" s="1021">
        <f>(VLOOKUP(YEAR($A49),'NY East Load Projections'!$A$4:$EO$14,((MONTH($A49)-1)*12)+VLOOKUP(CV$4,$DE$6:$DF$17,2)+1))*(VLOOKUP($A49,SatSunCurve,6))*(INDEX(DailyScalarsTable,CV$5/100,MONTH($A49)))*$E49</f>
        <v>0</v>
      </c>
      <c r="CW49" s="1021">
        <f>(VLOOKUP(YEAR($A49),'NY East Load Projections'!$A$4:$EO$14,((MONTH($A49)-1)*12)+VLOOKUP(CW$4,$DE$6:$DF$17,2)+1))*(VLOOKUP($A49,SatSunCurve,6))*(INDEX(DailyScalarsTable,CW$5/100,MONTH($A49)))*$E49</f>
        <v>0</v>
      </c>
      <c r="CX49" s="1021">
        <f>(VLOOKUP(YEAR($A49),'NY East Load Projections'!$A$4:$EO$14,((MONTH($A49)-1)*12)+VLOOKUP(CX$4,$DE$6:$DF$17,2)+1))*(VLOOKUP($A49,SatSunCurve,6))*(INDEX(DailyScalarsTable,CX$5/100,MONTH($A49)))*$E49</f>
        <v>0</v>
      </c>
      <c r="CY49" s="1021">
        <f>(VLOOKUP(YEAR($A49),'NY East Load Projections'!$A$4:$EO$14,((MONTH($A49)-1)*12)+VLOOKUP(CY$4,$DE$6:$DF$17,2)+1))*(VLOOKUP($A49,SatSunCurve,6))*(INDEX(DailyScalarsTable,CY$5/100,MONTH($A49)))*$E49</f>
        <v>0</v>
      </c>
      <c r="CZ49" s="1021">
        <f>(VLOOKUP(YEAR($A49),'NY East Load Projections'!$A$4:$EO$14,((MONTH($A49)-1)*12)+VLOOKUP(CZ$4,$DE$6:$DF$17,2)+1))*(VLOOKUP($A49,SatSunCurve,6))*(INDEX(DailyScalarsTable,CZ$5/100,MONTH($A49)))*$E49</f>
        <v>0</v>
      </c>
      <c r="DA49" s="1021">
        <f>(VLOOKUP(YEAR($A49),'NY East Load Projections'!$A$4:$EO$14,((MONTH($A49)-1)*12)+VLOOKUP(DA$4,$DE$6:$DF$17,2)+1))*(VLOOKUP($A49,SatSunCurve,6))*(INDEX(DailyScalarsTable,DA$5/100,MONTH($A49)))*$E49</f>
        <v>0</v>
      </c>
      <c r="DB49" s="1021">
        <f>(VLOOKUP(YEAR($A49),'NY East Load Projections'!$A$4:$EO$14,((MONTH($A49)-1)*12)+VLOOKUP(DB$4,$DE$6:$DF$17,2)+1))*(VLOOKUP($A49,CURVES!$D$9:$T$261,6))*(INDEX(DailyScalarsTable,DB$5/100,MONTH($A49)))*$E49</f>
        <v>0</v>
      </c>
      <c r="DH49" s="1021">
        <f t="shared" si="0"/>
        <v>-3642592.9819895462</v>
      </c>
      <c r="DI49">
        <f ca="1">CALC!J69</f>
        <v>0.72204605721980342</v>
      </c>
      <c r="DJ49" s="1029">
        <f t="shared" ca="1" si="1"/>
        <v>-2630119.9007020784</v>
      </c>
    </row>
    <row r="50" spans="1:114" x14ac:dyDescent="0.25">
      <c r="A50" s="244">
        <v>38231</v>
      </c>
      <c r="B50" s="13">
        <v>21</v>
      </c>
      <c r="C50" s="210">
        <v>4</v>
      </c>
      <c r="D50" s="210">
        <v>4</v>
      </c>
      <c r="E50" s="210">
        <v>1</v>
      </c>
      <c r="F50" s="13">
        <v>30</v>
      </c>
      <c r="H50" s="1021">
        <f>(VLOOKUP(YEAR($A50),'NY East Load Projections'!$A$4:$EO$14,((MONTH($A50)-1)*12)+VLOOKUP(H$4,$DE$6:$DF$17,2)+1))*(VLOOKUP($A50,CURVES!$D$9:$K$261,6))*(INDEX(DailyScalarsTable,H$5/100,MONTH($A50)))*$B50</f>
        <v>-40752.707507774649</v>
      </c>
      <c r="I50" s="1021">
        <f>(VLOOKUP(YEAR($A50),'NY East Load Projections'!$A$4:$EO$14,((MONTH($A50)-1)*12)+VLOOKUP(I$4,$DE$6:$DF$17,2)+1))*(VLOOKUP($A50,CURVES!$D$9:$K$261,6))*(INDEX(DailyScalarsTable,I$5/100,MONTH($A50)))*$B50</f>
        <v>-35753.073846038518</v>
      </c>
      <c r="J50" s="1021">
        <f>(VLOOKUP(YEAR($A50),'NY East Load Projections'!$A$4:$EO$14,((MONTH($A50)-1)*12)+VLOOKUP(J$4,$DE$6:$DF$17,2)+1))*(VLOOKUP($A50,CURVES!$D$9:$K$261,6))*(INDEX(DailyScalarsTable,J$5/100,MONTH($A50)))*$B50</f>
        <v>-33527.564038019336</v>
      </c>
      <c r="K50" s="1021">
        <f>(VLOOKUP(YEAR($A50),'NY East Load Projections'!$A$4:$EO$14,((MONTH($A50)-1)*12)+VLOOKUP(K$4,$DE$6:$DF$17,2)+1))*(VLOOKUP($A50,CURVES!$D$9:$K$261,6))*(INDEX(DailyScalarsTable,K$5/100,MONTH($A50)))*$B50</f>
        <v>-34024.422041670136</v>
      </c>
      <c r="L50" s="1021">
        <f>(VLOOKUP(YEAR($A50),'NY East Load Projections'!$A$4:$EO$14,((MONTH($A50)-1)*12)+VLOOKUP(L$4,$DE$6:$DF$17,2)+1))*(VLOOKUP($A50,CURVES!$D$9:$K$261,6))*(INDEX(DailyScalarsTable,L$5/100,MONTH($A50)))*$B50</f>
        <v>-40052.40384114271</v>
      </c>
      <c r="M50" s="1021">
        <f>(VLOOKUP(YEAR($A50),'NY East Load Projections'!$A$4:$EO$14,((MONTH($A50)-1)*12)+VLOOKUP(M$4,$DE$6:$DF$17,2)+1))*(VLOOKUP($A50,CURVES!$D$9:$K$261,6))*(INDEX(DailyScalarsTable,M$5/100,MONTH($A50)))*$B50</f>
        <v>-46349.738680071314</v>
      </c>
      <c r="N50" s="1021">
        <f>(VLOOKUP(YEAR($A50),'NY East Load Projections'!$A$4:$EO$14,((MONTH($A50)-1)*12)+VLOOKUP(N$4,$DE$6:$DF$17,2)+1))*(VLOOKUP($A50,CURVES!$D$9:$K$261,6))*(INDEX(DailyScalarsTable,N$5/100,MONTH($A50)))*$B50</f>
        <v>-63029.776120817703</v>
      </c>
      <c r="O50" s="1021">
        <f>(VLOOKUP(YEAR($A50),'NY East Load Projections'!$A$4:$EO$14,((MONTH($A50)-1)*12)+VLOOKUP(O$4,$DE$6:$DF$17,2)+1))*(VLOOKUP($A50,CURVES!$D$9:$K$261,2))*(INDEX(DailyScalarsTable,O$5/100,MONTH($A50)))*$B50</f>
        <v>-56374.234994450453</v>
      </c>
      <c r="P50" s="1021">
        <f>(VLOOKUP(YEAR($A50),'NY East Load Projections'!$A$4:$EO$14,((MONTH($A50)-1)*12)+VLOOKUP(P$4,$DE$6:$DF$17,2)+1))*(VLOOKUP($A50,CURVES!$D$9:$K$261,2))*(INDEX(DailyScalarsTable,P$5/100,MONTH($A50)))*$B50</f>
        <v>-61810.455245580524</v>
      </c>
      <c r="Q50" s="1021">
        <f>(VLOOKUP(YEAR($A50),'NY East Load Projections'!$A$4:$EO$14,((MONTH($A50)-1)*12)+VLOOKUP(Q$4,$DE$6:$DF$17,2)+1))*(VLOOKUP($A50,CURVES!$D$9:$K$261,2))*(INDEX(DailyScalarsTable,Q$5/100,MONTH($A50)))*$B50</f>
        <v>-77158.800407775925</v>
      </c>
      <c r="R50" s="1021">
        <f>(VLOOKUP(YEAR($A50),'NY East Load Projections'!$A$4:$EO$14,((MONTH($A50)-1)*12)+VLOOKUP(R$4,$DE$6:$DF$17,2)+1))*(VLOOKUP($A50,CURVES!$D$9:$K$261,2))*(INDEX(DailyScalarsTable,R$5/100,MONTH($A50)))*$B50</f>
        <v>-82402.023910389282</v>
      </c>
      <c r="S50" s="1021">
        <f>(VLOOKUP(YEAR($A50),'NY East Load Projections'!$A$4:$EO$14,((MONTH($A50)-1)*12)+VLOOKUP(S$4,$DE$6:$DF$17,2)+1))*(VLOOKUP($A50,CURVES!$D$9:$K$261,2))*(INDEX(DailyScalarsTable,S$5/100,MONTH($A50)))*$B50</f>
        <v>-87800.160834670751</v>
      </c>
      <c r="T50" s="1021">
        <f>(VLOOKUP(YEAR($A50),'NY East Load Projections'!$A$4:$EO$14,((MONTH($A50)-1)*12)+VLOOKUP(T$4,$DE$6:$DF$17,2)+1))*(VLOOKUP($A50,CURVES!$D$9:$K$261,2))*(INDEX(DailyScalarsTable,T$5/100,MONTH($A50)))*$B50</f>
        <v>-85463.196238757344</v>
      </c>
      <c r="U50" s="1021">
        <f>(VLOOKUP(YEAR($A50),'NY East Load Projections'!$A$4:$EO$14,((MONTH($A50)-1)*12)+VLOOKUP(U$4,$DE$6:$DF$17,2)+1))*(VLOOKUP($A50,CURVES!$D$9:$K$261,2))*(INDEX(DailyScalarsTable,U$5/100,MONTH($A50)))*$B50</f>
        <v>-92516.639304249722</v>
      </c>
      <c r="V50" s="1021">
        <f>(VLOOKUP(YEAR($A50),'NY East Load Projections'!$A$4:$EO$14,((MONTH($A50)-1)*12)+VLOOKUP(V$4,$DE$6:$DF$17,2)+1))*(VLOOKUP($A50,CURVES!$D$9:$K$261,2))*(INDEX(DailyScalarsTable,V$5/100,MONTH($A50)))*$B50</f>
        <v>-91056.883261130482</v>
      </c>
      <c r="W50" s="1021">
        <f>(VLOOKUP(YEAR($A50),'NY East Load Projections'!$A$4:$EO$14,((MONTH($A50)-1)*12)+VLOOKUP(W$4,$DE$6:$DF$17,2)+1))*(VLOOKUP($A50,CURVES!$D$9:$K$261,2))*(INDEX(DailyScalarsTable,W$5/100,MONTH($A50)))*$B50</f>
        <v>-88210.972319923094</v>
      </c>
      <c r="X50" s="1021">
        <f>(VLOOKUP(YEAR($A50),'NY East Load Projections'!$A$4:$EO$14,((MONTH($A50)-1)*12)+VLOOKUP(X$4,$DE$6:$DF$17,2)+1))*(VLOOKUP($A50,CURVES!$D$9:$K$261,2))*(INDEX(DailyScalarsTable,X$5/100,MONTH($A50)))*$B50</f>
        <v>-89375.673865900244</v>
      </c>
      <c r="Y50" s="1021">
        <f>(VLOOKUP(YEAR($A50),'NY East Load Projections'!$A$4:$EO$14,((MONTH($A50)-1)*12)+VLOOKUP(Y$4,$DE$6:$DF$17,2)+1))*(VLOOKUP($A50,CURVES!$D$9:$K$261,2))*(INDEX(DailyScalarsTable,Y$5/100,MONTH($A50)))*$B50</f>
        <v>-87183.11375815059</v>
      </c>
      <c r="Z50" s="1021">
        <f>(VLOOKUP(YEAR($A50),'NY East Load Projections'!$A$4:$EO$14,((MONTH($A50)-1)*12)+VLOOKUP(Z$4,$DE$6:$DF$17,2)+1))*(VLOOKUP($A50,CURVES!$D$9:$K$261,2))*(INDEX(DailyScalarsTable,Z$5/100,MONTH($A50)))*$B50</f>
        <v>-71408.220772393877</v>
      </c>
      <c r="AA50" s="1021">
        <f>(VLOOKUP(YEAR($A50),'NY East Load Projections'!$A$4:$EO$14,((MONTH($A50)-1)*12)+VLOOKUP(AA$4,$DE$6:$DF$17,2)+1))*(VLOOKUP($A50,CURVES!$D$9:$K$261,2))*(INDEX(DailyScalarsTable,AA$5/100,MONTH($A50)))*$B50</f>
        <v>-93322.282059849604</v>
      </c>
      <c r="AB50" s="1021">
        <f>(VLOOKUP(YEAR($A50),'NY East Load Projections'!$A$4:$EO$14,((MONTH($A50)-1)*12)+VLOOKUP(AB$4,$DE$6:$DF$17,2)+1))*(VLOOKUP($A50,CURVES!$D$9:$K$261,2))*(INDEX(DailyScalarsTable,AB$5/100,MONTH($A50)))*$B50</f>
        <v>-82950.45032212435</v>
      </c>
      <c r="AC50" s="1021">
        <f>(VLOOKUP(YEAR($A50),'NY East Load Projections'!$A$4:$EO$14,((MONTH($A50)-1)*12)+VLOOKUP(AC$4,$DE$6:$DF$17,2)+1))*(VLOOKUP($A50,CURVES!$D$9:$K$261,2))*(INDEX(DailyScalarsTable,AC$5/100,MONTH($A50)))*$B50</f>
        <v>-63133.492114189787</v>
      </c>
      <c r="AD50" s="1021">
        <f>(VLOOKUP(YEAR($A50),'NY East Load Projections'!$A$4:$EO$14,((MONTH($A50)-1)*12)+VLOOKUP(AD$4,$DE$6:$DF$17,2)+1))*(VLOOKUP($A50,CURVES!$D$9:$K$261,2))*(INDEX(DailyScalarsTable,AD$5/100,MONTH($A50)))*$B50</f>
        <v>-50030.698391489779</v>
      </c>
      <c r="AE50" s="1021">
        <f>(VLOOKUP(YEAR($A50),'NY East Load Projections'!$A$4:$EO$14,((MONTH($A50)-1)*12)+VLOOKUP(AE$4,$DE$6:$DF$17,2)+1))*(VLOOKUP($A50,CURVES!$D$9:$K$261,6))*(INDEX(DailyScalarsTable,AE$5/100,MONTH($A50)))*$B50</f>
        <v>-48011.956621495927</v>
      </c>
      <c r="AF50" s="1021"/>
      <c r="AG50" s="1021">
        <f>(VLOOKUP(YEAR($A50),'NY East Load Projections'!$A$4:$EO$14,((MONTH($A50)-1)*12)+VLOOKUP(AG$4,$DE$6:$DF$17,2)+1))*(VLOOKUP($A50,CURVES!$D$9:$T$261,6))*(INDEX(DailyScalarsTable,AG$5/100,MONTH($A50)))*$C50</f>
        <v>-8117.5224616245077</v>
      </c>
      <c r="AH50" s="1021">
        <f>(VLOOKUP(YEAR($A50),'NY East Load Projections'!$A$4:$EO$14,((MONTH($A50)-1)*12)+VLOOKUP(AH$4,$DE$6:$DF$17,2)+1))*(VLOOKUP($A50,CURVES!$D$9:$T$261,6))*(INDEX(DailyScalarsTable,AH$5/100,MONTH($A50)))*$C50</f>
        <v>-7121.6465792357249</v>
      </c>
      <c r="AI50" s="1021">
        <f>(VLOOKUP(YEAR($A50),'NY East Load Projections'!$A$4:$EO$14,((MONTH($A50)-1)*12)+VLOOKUP(AI$4,$DE$6:$DF$17,2)+1))*(VLOOKUP($A50,CURVES!$D$9:$T$261,6))*(INDEX(DailyScalarsTable,AI$5/100,MONTH($A50)))*$C50</f>
        <v>-6678.347791008835</v>
      </c>
      <c r="AJ50" s="1021">
        <f>(VLOOKUP(YEAR($A50),'NY East Load Projections'!$A$4:$EO$14,((MONTH($A50)-1)*12)+VLOOKUP(AJ$4,$DE$6:$DF$17,2)+1))*(VLOOKUP($A50,CURVES!$D$9:$T$261,6))*(INDEX(DailyScalarsTable,AJ$5/100,MONTH($A50)))*$C50</f>
        <v>-6777.3168227990263</v>
      </c>
      <c r="AK50" s="1021">
        <f>(VLOOKUP(YEAR($A50),'NY East Load Projections'!$A$4:$EO$14,((MONTH($A50)-1)*12)+VLOOKUP(AK$4,$DE$6:$DF$17,2)+1))*(VLOOKUP($A50,CURVES!$D$9:$T$261,6))*(INDEX(DailyScalarsTable,AK$5/100,MONTH($A50)))*$C50</f>
        <v>-7370.8364773508838</v>
      </c>
      <c r="AL50" s="1021">
        <f>(VLOOKUP(YEAR($A50),'NY East Load Projections'!$A$4:$EO$14,((MONTH($A50)-1)*12)+VLOOKUP(AL$4,$DE$6:$DF$17,2)+1))*(VLOOKUP($A50,CURVES!$D$9:$T$261,6))*(INDEX(DailyScalarsTable,AL$5/100,MONTH($A50)))*$C50</f>
        <v>-8529.7338440349613</v>
      </c>
      <c r="AM50" s="1021">
        <f>(VLOOKUP(YEAR($A50),'NY East Load Projections'!$A$4:$EO$14,((MONTH($A50)-1)*12)+VLOOKUP(AM$4,$DE$6:$DF$17,2)+1))*(VLOOKUP($A50,CURVES!$D$9:$T$261,6))*(INDEX(DailyScalarsTable,AM$5/100,MONTH($A50)))*$C50</f>
        <v>-11599.35805184691</v>
      </c>
      <c r="AN50" s="1021">
        <f>(VLOOKUP(YEAR($A50),'NY East Load Projections'!$A$4:$EO$14,((MONTH($A50)-1)*12)+VLOOKUP(AN$4,$DE$6:$DF$17,2)+1))*(VLOOKUP($A50,SatSunCurve,2))*(INDEX(DailyScalarsTable,AN$5/100,MONTH($A50)))*$C50</f>
        <v>-7327.7356737015516</v>
      </c>
      <c r="AO50" s="1021">
        <f>(VLOOKUP(YEAR($A50),'NY East Load Projections'!$A$4:$EO$14,((MONTH($A50)-1)*12)+VLOOKUP(AO$4,$DE$6:$DF$17,2)+1))*(VLOOKUP($A50,SatSunCurve,2))*(INDEX(DailyScalarsTable,AO$5/100,MONTH($A50)))*$C50</f>
        <v>-8084.541591496597</v>
      </c>
      <c r="AP50" s="1021">
        <f>(VLOOKUP(YEAR($A50),'NY East Load Projections'!$A$4:$EO$14,((MONTH($A50)-1)*12)+VLOOKUP(AP$4,$DE$6:$DF$17,2)+1))*(VLOOKUP($A50,SatSunCurve,2))*(INDEX(DailyScalarsTable,AP$5/100,MONTH($A50)))*$C50</f>
        <v>-10092.039098696829</v>
      </c>
      <c r="AQ50" s="1021">
        <f>(VLOOKUP(YEAR($A50),'NY East Load Projections'!$A$4:$EO$14,((MONTH($A50)-1)*12)+VLOOKUP(AQ$4,$DE$6:$DF$17,2)+1))*(VLOOKUP($A50,SatSunCurve,2))*(INDEX(DailyScalarsTable,AQ$5/100,MONTH($A50)))*$C50</f>
        <v>-10777.830172585107</v>
      </c>
      <c r="AR50" s="1021">
        <f>(VLOOKUP(YEAR($A50),'NY East Load Projections'!$A$4:$EO$14,((MONTH($A50)-1)*12)+VLOOKUP(AR$4,$DE$6:$DF$17,2)+1))*(VLOOKUP($A50,SatSunCurve,2))*(INDEX(DailyScalarsTable,AR$5/100,MONTH($A50)))*$C50</f>
        <v>-11483.883255474631</v>
      </c>
      <c r="AS50" s="1021">
        <f>(VLOOKUP(YEAR($A50),'NY East Load Projections'!$A$4:$EO$14,((MONTH($A50)-1)*12)+VLOOKUP(AS$4,$DE$6:$DF$17,2)+1))*(VLOOKUP($A50,SatSunCurve,2))*(INDEX(DailyScalarsTable,AS$5/100,MONTH($A50)))*$C50</f>
        <v>-11099.171527144943</v>
      </c>
      <c r="AT50" s="1021">
        <f>(VLOOKUP(YEAR($A50),'NY East Load Projections'!$A$4:$EO$14,((MONTH($A50)-1)*12)+VLOOKUP(AT$4,$DE$6:$DF$17,2)+1))*(VLOOKUP($A50,SatSunCurve,2))*(INDEX(DailyScalarsTable,AT$5/100,MONTH($A50)))*$C50</f>
        <v>-12015.207644284075</v>
      </c>
      <c r="AU50" s="1021">
        <f>(VLOOKUP(YEAR($A50),'NY East Load Projections'!$A$4:$EO$14,((MONTH($A50)-1)*12)+VLOOKUP(AU$4,$DE$6:$DF$17,2)+1))*(VLOOKUP($A50,SatSunCurve,2))*(INDEX(DailyScalarsTable,AU$5/100,MONTH($A50)))*$C50</f>
        <v>-11825.627995693549</v>
      </c>
      <c r="AV50" s="1021">
        <f>(VLOOKUP(YEAR($A50),'NY East Load Projections'!$A$4:$EO$14,((MONTH($A50)-1)*12)+VLOOKUP(AV$4,$DE$6:$DF$17,2)+1))*(VLOOKUP($A50,SatSunCurve,2))*(INDEX(DailyScalarsTable,AV$5/100,MONTH($A50)))*$C50</f>
        <v>-11456.02733625654</v>
      </c>
      <c r="AW50" s="1021">
        <f>(VLOOKUP(YEAR($A50),'NY East Load Projections'!$A$4:$EO$14,((MONTH($A50)-1)*12)+VLOOKUP(AW$4,$DE$6:$DF$17,2)+1))*(VLOOKUP($A50,SatSunCurve,2))*(INDEX(DailyScalarsTable,AW$5/100,MONTH($A50)))*$C50</f>
        <v>-11490.104443142774</v>
      </c>
      <c r="AX50" s="1021">
        <f>(VLOOKUP(YEAR($A50),'NY East Load Projections'!$A$4:$EO$14,((MONTH($A50)-1)*12)+VLOOKUP(AX$4,$DE$6:$DF$17,2)+1))*(VLOOKUP($A50,SatSunCurve,2))*(INDEX(DailyScalarsTable,AX$5/100,MONTH($A50)))*$C50</f>
        <v>-11208.229705351021</v>
      </c>
      <c r="AY50" s="1021">
        <f>(VLOOKUP(YEAR($A50),'NY East Load Projections'!$A$4:$EO$14,((MONTH($A50)-1)*12)+VLOOKUP(AY$4,$DE$6:$DF$17,2)+1))*(VLOOKUP($A50,SatSunCurve,2))*(INDEX(DailyScalarsTable,AY$5/100,MONTH($A50)))*$C50</f>
        <v>-9180.2151445019317</v>
      </c>
      <c r="AZ50" s="1021">
        <f>(VLOOKUP(YEAR($A50),'NY East Load Projections'!$A$4:$EO$14,((MONTH($A50)-1)*12)+VLOOKUP(AZ$4,$DE$6:$DF$17,2)+1))*(VLOOKUP($A50,SatSunCurve,2))*(INDEX(DailyScalarsTable,AZ$5/100,MONTH($A50)))*$C50</f>
        <v>-11997.47897116793</v>
      </c>
      <c r="BA50" s="1021">
        <f>(VLOOKUP(YEAR($A50),'NY East Load Projections'!$A$4:$EO$14,((MONTH($A50)-1)*12)+VLOOKUP(BA$4,$DE$6:$DF$17,2)+1))*(VLOOKUP($A50,SatSunCurve,2))*(INDEX(DailyScalarsTable,BA$5/100,MONTH($A50)))*$C50</f>
        <v>-11617.014002045036</v>
      </c>
      <c r="BB50" s="1021">
        <f>(VLOOKUP(YEAR($A50),'NY East Load Projections'!$A$4:$EO$14,((MONTH($A50)-1)*12)+VLOOKUP(BB$4,$DE$6:$DF$17,2)+1))*(VLOOKUP($A50,SatSunCurve,2))*(INDEX(DailyScalarsTable,BB$5/100,MONTH($A50)))*$C50</f>
        <v>-8841.6959647647127</v>
      </c>
      <c r="BC50" s="1021">
        <f>(VLOOKUP(YEAR($A50),'NY East Load Projections'!$A$4:$EO$14,((MONTH($A50)-1)*12)+VLOOKUP(BC$4,$DE$6:$DF$17,2)+1))*(VLOOKUP($A50,SatSunCurve,2))*(INDEX(DailyScalarsTable,BC$5/100,MONTH($A50)))*$C50</f>
        <v>-7006.6807532569901</v>
      </c>
      <c r="BD50" s="1021">
        <f>(VLOOKUP(YEAR($A50),'NY East Load Projections'!$A$4:$EO$14,((MONTH($A50)-1)*12)+VLOOKUP(BD$4,$DE$6:$DF$17,2)+1))*(VLOOKUP($A50,CURVES!$D$9:$T$261,6))*(INDEX(DailyScalarsTable,BD$5/100,MONTH($A50)))*$C50</f>
        <v>-9519.7211270047628</v>
      </c>
      <c r="BE50" s="1021"/>
      <c r="BF50" s="1021">
        <f>(VLOOKUP(YEAR($A50),'NY East Load Projections'!$A$4:$EO$14,((MONTH($A50)-1)*12)+VLOOKUP(BF$4,$DE$6:$DF$17,2)+1))*(VLOOKUP($A50,CURVES!$D$9:$T$261,6))*(INDEX(DailyScalarsTable,BF$5/100,MONTH($A50)))*$D50</f>
        <v>-8117.5224616245077</v>
      </c>
      <c r="BG50" s="1021">
        <f>(VLOOKUP(YEAR($A50),'NY East Load Projections'!$A$4:$EO$14,((MONTH($A50)-1)*12)+VLOOKUP(BG$4,$DE$6:$DF$17,2)+1))*(VLOOKUP($A50,CURVES!$D$9:$T$261,6))*(INDEX(DailyScalarsTable,BG$5/100,MONTH($A50)))*$D50</f>
        <v>-7121.6465792357249</v>
      </c>
      <c r="BH50" s="1021">
        <f>(VLOOKUP(YEAR($A50),'NY East Load Projections'!$A$4:$EO$14,((MONTH($A50)-1)*12)+VLOOKUP(BH$4,$DE$6:$DF$17,2)+1))*(VLOOKUP($A50,CURVES!$D$9:$T$261,6))*(INDEX(DailyScalarsTable,BH$5/100,MONTH($A50)))*$D50</f>
        <v>-6678.347791008835</v>
      </c>
      <c r="BI50" s="1021">
        <f>(VLOOKUP(YEAR($A50),'NY East Load Projections'!$A$4:$EO$14,((MONTH($A50)-1)*12)+VLOOKUP(BI$4,$DE$6:$DF$17,2)+1))*(VLOOKUP($A50,CURVES!$D$9:$T$261,6))*(INDEX(DailyScalarsTable,BI$5/100,MONTH($A50)))*$D50</f>
        <v>-6777.3168227990263</v>
      </c>
      <c r="BJ50" s="1021">
        <f>(VLOOKUP(YEAR($A50),'NY East Load Projections'!$A$4:$EO$14,((MONTH($A50)-1)*12)+VLOOKUP(BJ$4,$DE$6:$DF$17,2)+1))*(VLOOKUP($A50,CURVES!$D$9:$T$261,6))*(INDEX(DailyScalarsTable,BJ$5/100,MONTH($A50)))*$D50</f>
        <v>-7370.8364773508838</v>
      </c>
      <c r="BK50" s="1021">
        <f>(VLOOKUP(YEAR($A50),'NY East Load Projections'!$A$4:$EO$14,((MONTH($A50)-1)*12)+VLOOKUP(BK$4,$DE$6:$DF$17,2)+1))*(VLOOKUP($A50,CURVES!$D$9:$T$261,6))*(INDEX(DailyScalarsTable,BK$5/100,MONTH($A50)))*$D50</f>
        <v>-8529.7338440349613</v>
      </c>
      <c r="BL50" s="1021">
        <f>(VLOOKUP(YEAR($A50),'NY East Load Projections'!$A$4:$EO$14,((MONTH($A50)-1)*12)+VLOOKUP(BL$4,$DE$6:$DF$17,2)+1))*(VLOOKUP($A50,CURVES!$D$9:$T$261,6))*(INDEX(DailyScalarsTable,BL$5/100,MONTH($A50)))*$D50</f>
        <v>-11599.35805184691</v>
      </c>
      <c r="BM50" s="1021">
        <f>(VLOOKUP(YEAR($A50),'NY East Load Projections'!$A$4:$EO$14,((MONTH($A50)-1)*12)+VLOOKUP(BM$4,$DE$6:$DF$17,2)+1))*(VLOOKUP($A50,SatSunCurve,6))*(INDEX(DailyScalarsTable,BM$5/100,MONTH($A50)))*$D50</f>
        <v>-6654.1283721989839</v>
      </c>
      <c r="BN50" s="1021">
        <f>(VLOOKUP(YEAR($A50),'NY East Load Projections'!$A$4:$EO$14,((MONTH($A50)-1)*12)+VLOOKUP(BN$4,$DE$6:$DF$17,2)+1))*(VLOOKUP($A50,SatSunCurve,6))*(INDEX(DailyScalarsTable,BN$5/100,MONTH($A50)))*$D50</f>
        <v>-7341.3643689778173</v>
      </c>
      <c r="BO50" s="1021">
        <f>(VLOOKUP(YEAR($A50),'NY East Load Projections'!$A$4:$EO$14,((MONTH($A50)-1)*12)+VLOOKUP(BO$4,$DE$6:$DF$17,2)+1))*(VLOOKUP($A50,SatSunCurve,6))*(INDEX(DailyScalarsTable,BO$5/100,MONTH($A50)))*$D50</f>
        <v>-9164.3212433258832</v>
      </c>
      <c r="BP50" s="1021">
        <f>(VLOOKUP(YEAR($A50),'NY East Load Projections'!$A$4:$EO$14,((MONTH($A50)-1)*12)+VLOOKUP(BP$4,$DE$6:$DF$17,2)+1))*(VLOOKUP($A50,SatSunCurve,6))*(INDEX(DailyScalarsTable,BP$5/100,MONTH($A50)))*$D50</f>
        <v>-9787.0704861155955</v>
      </c>
      <c r="BQ50" s="1021">
        <f>(VLOOKUP(YEAR($A50),'NY East Load Projections'!$A$4:$EO$14,((MONTH($A50)-1)*12)+VLOOKUP(BQ$4,$DE$6:$DF$17,2)+1))*(VLOOKUP($A50,SatSunCurve,6))*(INDEX(DailyScalarsTable,BQ$5/100,MONTH($A50)))*$D50</f>
        <v>-10428.219138351369</v>
      </c>
      <c r="BR50" s="1021">
        <f>(VLOOKUP(YEAR($A50),'NY East Load Projections'!$A$4:$EO$14,((MONTH($A50)-1)*12)+VLOOKUP(BR$4,$DE$6:$DF$17,2)+1))*(VLOOKUP($A50,SatSunCurve,6))*(INDEX(DailyScalarsTable,BR$5/100,MONTH($A50)))*$D50</f>
        <v>-10078.872308636486</v>
      </c>
      <c r="BS50" s="1021">
        <f>(VLOOKUP(YEAR($A50),'NY East Load Projections'!$A$4:$EO$14,((MONTH($A50)-1)*12)+VLOOKUP(BS$4,$DE$6:$DF$17,2)+1))*(VLOOKUP($A50,SatSunCurve,6))*(INDEX(DailyScalarsTable,BS$5/100,MONTH($A50)))*$D50</f>
        <v>-10910.701155696335</v>
      </c>
      <c r="BT50" s="1021">
        <f>(VLOOKUP(YEAR($A50),'NY East Load Projections'!$A$4:$EO$14,((MONTH($A50)-1)*12)+VLOOKUP(BT$4,$DE$6:$DF$17,2)+1))*(VLOOKUP($A50,SatSunCurve,6))*(INDEX(DailyScalarsTable,BT$5/100,MONTH($A50)))*$D50</f>
        <v>-10738.548750826565</v>
      </c>
      <c r="BU50" s="1021">
        <f>(VLOOKUP(YEAR($A50),'NY East Load Projections'!$A$4:$EO$14,((MONTH($A50)-1)*12)+VLOOKUP(BU$4,$DE$6:$DF$17,2)+1))*(VLOOKUP($A50,SatSunCurve,6))*(INDEX(DailyScalarsTable,BU$5/100,MONTH($A50)))*$D50</f>
        <v>-10402.923894273717</v>
      </c>
      <c r="BV50" s="1021">
        <f>(VLOOKUP(YEAR($A50),'NY East Load Projections'!$A$4:$EO$14,((MONTH($A50)-1)*12)+VLOOKUP(BV$4,$DE$6:$DF$17,2)+1))*(VLOOKUP($A50,SatSunCurve,6))*(INDEX(DailyScalarsTable,BV$5/100,MONTH($A50)))*$D50</f>
        <v>-10433.868438928617</v>
      </c>
      <c r="BW50" s="1021">
        <f>(VLOOKUP(YEAR($A50),'NY East Load Projections'!$A$4:$EO$14,((MONTH($A50)-1)*12)+VLOOKUP(BW$4,$DE$6:$DF$17,2)+1))*(VLOOKUP($A50,SatSunCurve,6))*(INDEX(DailyScalarsTable,BW$5/100,MONTH($A50)))*$D50</f>
        <v>-10177.905236424234</v>
      </c>
      <c r="BX50" s="1021">
        <f>(VLOOKUP(YEAR($A50),'NY East Load Projections'!$A$4:$EO$14,((MONTH($A50)-1)*12)+VLOOKUP(BX$4,$DE$6:$DF$17,2)+1))*(VLOOKUP($A50,SatSunCurve,6))*(INDEX(DailyScalarsTable,BX$5/100,MONTH($A50)))*$D50</f>
        <v>-8336.3173531427055</v>
      </c>
      <c r="BY50" s="1021">
        <f>(VLOOKUP(YEAR($A50),'NY East Load Projections'!$A$4:$EO$14,((MONTH($A50)-1)*12)+VLOOKUP(BY$4,$DE$6:$DF$17,2)+1))*(VLOOKUP($A50,SatSunCurve,6))*(INDEX(DailyScalarsTable,BY$5/100,MONTH($A50)))*$D50</f>
        <v>-10894.602203436503</v>
      </c>
      <c r="BZ50" s="1021">
        <f>(VLOOKUP(YEAR($A50),'NY East Load Projections'!$A$4:$EO$14,((MONTH($A50)-1)*12)+VLOOKUP(BZ$4,$DE$6:$DF$17,2)+1))*(VLOOKUP($A50,SatSunCurve,6))*(INDEX(DailyScalarsTable,BZ$5/100,MONTH($A50)))*$D50</f>
        <v>-10549.111746574868</v>
      </c>
      <c r="CA50" s="1021">
        <f>(VLOOKUP(YEAR($A50),'NY East Load Projections'!$A$4:$EO$14,((MONTH($A50)-1)*12)+VLOOKUP(CA$4,$DE$6:$DF$17,2)+1))*(VLOOKUP($A50,SatSunCurve,6))*(INDEX(DailyScalarsTable,CA$5/100,MONTH($A50)))*$D50</f>
        <v>-8028.916789213099</v>
      </c>
      <c r="CB50" s="1021">
        <f>(VLOOKUP(YEAR($A50),'NY East Load Projections'!$A$4:$EO$14,((MONTH($A50)-1)*12)+VLOOKUP(CB$4,$DE$6:$DF$17,2)+1))*(VLOOKUP($A50,SatSunCurve,6))*(INDEX(DailyScalarsTable,CB$5/100,MONTH($A50)))*$D50</f>
        <v>-6362.5866531340707</v>
      </c>
      <c r="CC50" s="1021">
        <f>(VLOOKUP(YEAR($A50),'NY East Load Projections'!$A$4:$EO$14,((MONTH($A50)-1)*12)+VLOOKUP(CC$4,$DE$6:$DF$17,2)+1))*(VLOOKUP($A50,CURVES!$D$9:$T$261,6))*(INDEX(DailyScalarsTable,CC$5/100,MONTH($A50)))*$D50</f>
        <v>-9519.7211270047628</v>
      </c>
      <c r="CE50" s="1021">
        <f>(VLOOKUP(YEAR($A50),'NY East Load Projections'!$A$4:$EO$14,((MONTH($A50)-1)*12)+VLOOKUP(CE$4,$DE$6:$DF$17,2)+1))*(VLOOKUP($A50,CURVES!$D$9:$T$261,6))*(INDEX(DailyScalarsTable,CE$5/100,MONTH($A50)))*$E50</f>
        <v>-2029.3806154061269</v>
      </c>
      <c r="CF50" s="1021">
        <f>(VLOOKUP(YEAR($A50),'NY East Load Projections'!$A$4:$EO$14,((MONTH($A50)-1)*12)+VLOOKUP(CF$4,$DE$6:$DF$17,2)+1))*(VLOOKUP($A50,CURVES!$D$9:$T$261,6))*(INDEX(DailyScalarsTable,CF$5/100,MONTH($A50)))*$E50</f>
        <v>-1780.4116448089312</v>
      </c>
      <c r="CG50" s="1021">
        <f>(VLOOKUP(YEAR($A50),'NY East Load Projections'!$A$4:$EO$14,((MONTH($A50)-1)*12)+VLOOKUP(CG$4,$DE$6:$DF$17,2)+1))*(VLOOKUP($A50,CURVES!$D$9:$T$261,6))*(INDEX(DailyScalarsTable,CG$5/100,MONTH($A50)))*$E50</f>
        <v>-1669.5869477522087</v>
      </c>
      <c r="CH50" s="1021">
        <f>(VLOOKUP(YEAR($A50),'NY East Load Projections'!$A$4:$EO$14,((MONTH($A50)-1)*12)+VLOOKUP(CH$4,$DE$6:$DF$17,2)+1))*(VLOOKUP($A50,CURVES!$D$9:$T$261,6))*(INDEX(DailyScalarsTable,CH$5/100,MONTH($A50)))*$E50</f>
        <v>-1694.3292056997566</v>
      </c>
      <c r="CI50" s="1021">
        <f>(VLOOKUP(YEAR($A50),'NY East Load Projections'!$A$4:$EO$14,((MONTH($A50)-1)*12)+VLOOKUP(CI$4,$DE$6:$DF$17,2)+1))*(VLOOKUP($A50,CURVES!$D$9:$T$261,6))*(INDEX(DailyScalarsTable,CI$5/100,MONTH($A50)))*$E50</f>
        <v>-1842.7091193377209</v>
      </c>
      <c r="CJ50" s="1021">
        <f>(VLOOKUP(YEAR($A50),'NY East Load Projections'!$A$4:$EO$14,((MONTH($A50)-1)*12)+VLOOKUP(CJ$4,$DE$6:$DF$17,2)+1))*(VLOOKUP($A50,CURVES!$D$9:$T$261,6))*(INDEX(DailyScalarsTable,CJ$5/100,MONTH($A50)))*$E50</f>
        <v>-2132.4334610087403</v>
      </c>
      <c r="CK50" s="1021">
        <f>(VLOOKUP(YEAR($A50),'NY East Load Projections'!$A$4:$EO$14,((MONTH($A50)-1)*12)+VLOOKUP(CK$4,$DE$6:$DF$17,2)+1))*(VLOOKUP($A50,CURVES!$D$9:$T$261,6))*(INDEX(DailyScalarsTable,CK$5/100,MONTH($A50)))*$E50</f>
        <v>-2899.8395129617275</v>
      </c>
      <c r="CL50" s="1021">
        <f>(VLOOKUP(YEAR($A50),'NY East Load Projections'!$A$4:$EO$14,((MONTH($A50)-1)*12)+VLOOKUP(CL$4,$DE$6:$DF$17,2)+1))*(VLOOKUP($A50,SatSunCurve,6))*(INDEX(DailyScalarsTable,CL$5/100,MONTH($A50)))*$E50</f>
        <v>-1663.532093049746</v>
      </c>
      <c r="CM50" s="1021">
        <f>(VLOOKUP(YEAR($A50),'NY East Load Projections'!$A$4:$EO$14,((MONTH($A50)-1)*12)+VLOOKUP(CM$4,$DE$6:$DF$17,2)+1))*(VLOOKUP($A50,SatSunCurve,6))*(INDEX(DailyScalarsTable,CM$5/100,MONTH($A50)))*$E50</f>
        <v>-1835.3410922444543</v>
      </c>
      <c r="CN50" s="1021">
        <f>(VLOOKUP(YEAR($A50),'NY East Load Projections'!$A$4:$EO$14,((MONTH($A50)-1)*12)+VLOOKUP(CN$4,$DE$6:$DF$17,2)+1))*(VLOOKUP($A50,SatSunCurve,6))*(INDEX(DailyScalarsTable,CN$5/100,MONTH($A50)))*$E50</f>
        <v>-2291.0803108314708</v>
      </c>
      <c r="CO50" s="1021">
        <f>(VLOOKUP(YEAR($A50),'NY East Load Projections'!$A$4:$EO$14,((MONTH($A50)-1)*12)+VLOOKUP(CO$4,$DE$6:$DF$17,2)+1))*(VLOOKUP($A50,SatSunCurve,6))*(INDEX(DailyScalarsTable,CO$5/100,MONTH($A50)))*$E50</f>
        <v>-2446.7676215288989</v>
      </c>
      <c r="CP50" s="1021">
        <f>(VLOOKUP(YEAR($A50),'NY East Load Projections'!$A$4:$EO$14,((MONTH($A50)-1)*12)+VLOOKUP(CP$4,$DE$6:$DF$17,2)+1))*(VLOOKUP($A50,SatSunCurve,6))*(INDEX(DailyScalarsTable,CP$5/100,MONTH($A50)))*$E50</f>
        <v>-2607.0547845878423</v>
      </c>
      <c r="CQ50" s="1021">
        <f>(VLOOKUP(YEAR($A50),'NY East Load Projections'!$A$4:$EO$14,((MONTH($A50)-1)*12)+VLOOKUP(CQ$4,$DE$6:$DF$17,2)+1))*(VLOOKUP($A50,SatSunCurve,6))*(INDEX(DailyScalarsTable,CQ$5/100,MONTH($A50)))*$E50</f>
        <v>-2519.7180771591215</v>
      </c>
      <c r="CR50" s="1021">
        <f>(VLOOKUP(YEAR($A50),'NY East Load Projections'!$A$4:$EO$14,((MONTH($A50)-1)*12)+VLOOKUP(CR$4,$DE$6:$DF$17,2)+1))*(VLOOKUP($A50,SatSunCurve,6))*(INDEX(DailyScalarsTable,CR$5/100,MONTH($A50)))*$E50</f>
        <v>-2727.6752889240838</v>
      </c>
      <c r="CS50" s="1021">
        <f>(VLOOKUP(YEAR($A50),'NY East Load Projections'!$A$4:$EO$14,((MONTH($A50)-1)*12)+VLOOKUP(CS$4,$DE$6:$DF$17,2)+1))*(VLOOKUP($A50,SatSunCurve,6))*(INDEX(DailyScalarsTable,CS$5/100,MONTH($A50)))*$E50</f>
        <v>-2684.6371877066413</v>
      </c>
      <c r="CT50" s="1021">
        <f>(VLOOKUP(YEAR($A50),'NY East Load Projections'!$A$4:$EO$14,((MONTH($A50)-1)*12)+VLOOKUP(CT$4,$DE$6:$DF$17,2)+1))*(VLOOKUP($A50,SatSunCurve,6))*(INDEX(DailyScalarsTable,CT$5/100,MONTH($A50)))*$E50</f>
        <v>-2600.7309735684294</v>
      </c>
      <c r="CU50" s="1021">
        <f>(VLOOKUP(YEAR($A50),'NY East Load Projections'!$A$4:$EO$14,((MONTH($A50)-1)*12)+VLOOKUP(CU$4,$DE$6:$DF$17,2)+1))*(VLOOKUP($A50,SatSunCurve,6))*(INDEX(DailyScalarsTable,CU$5/100,MONTH($A50)))*$E50</f>
        <v>-2608.4671097321543</v>
      </c>
      <c r="CV50" s="1021">
        <f>(VLOOKUP(YEAR($A50),'NY East Load Projections'!$A$4:$EO$14,((MONTH($A50)-1)*12)+VLOOKUP(CV$4,$DE$6:$DF$17,2)+1))*(VLOOKUP($A50,SatSunCurve,6))*(INDEX(DailyScalarsTable,CV$5/100,MONTH($A50)))*$E50</f>
        <v>-2544.4763091060586</v>
      </c>
      <c r="CW50" s="1021">
        <f>(VLOOKUP(YEAR($A50),'NY East Load Projections'!$A$4:$EO$14,((MONTH($A50)-1)*12)+VLOOKUP(CW$4,$DE$6:$DF$17,2)+1))*(VLOOKUP($A50,SatSunCurve,6))*(INDEX(DailyScalarsTable,CW$5/100,MONTH($A50)))*$E50</f>
        <v>-2084.0793382856764</v>
      </c>
      <c r="CX50" s="1021">
        <f>(VLOOKUP(YEAR($A50),'NY East Load Projections'!$A$4:$EO$14,((MONTH($A50)-1)*12)+VLOOKUP(CX$4,$DE$6:$DF$17,2)+1))*(VLOOKUP($A50,SatSunCurve,6))*(INDEX(DailyScalarsTable,CX$5/100,MONTH($A50)))*$E50</f>
        <v>-2723.6505508591258</v>
      </c>
      <c r="CY50" s="1021">
        <f>(VLOOKUP(YEAR($A50),'NY East Load Projections'!$A$4:$EO$14,((MONTH($A50)-1)*12)+VLOOKUP(CY$4,$DE$6:$DF$17,2)+1))*(VLOOKUP($A50,SatSunCurve,6))*(INDEX(DailyScalarsTable,CY$5/100,MONTH($A50)))*$E50</f>
        <v>-2637.2779366437171</v>
      </c>
      <c r="CZ50" s="1021">
        <f>(VLOOKUP(YEAR($A50),'NY East Load Projections'!$A$4:$EO$14,((MONTH($A50)-1)*12)+VLOOKUP(CZ$4,$DE$6:$DF$17,2)+1))*(VLOOKUP($A50,SatSunCurve,6))*(INDEX(DailyScalarsTable,CZ$5/100,MONTH($A50)))*$E50</f>
        <v>-2007.2291973032748</v>
      </c>
      <c r="DA50" s="1021">
        <f>(VLOOKUP(YEAR($A50),'NY East Load Projections'!$A$4:$EO$14,((MONTH($A50)-1)*12)+VLOOKUP(DA$4,$DE$6:$DF$17,2)+1))*(VLOOKUP($A50,SatSunCurve,6))*(INDEX(DailyScalarsTable,DA$5/100,MONTH($A50)))*$E50</f>
        <v>-1590.6466632835177</v>
      </c>
      <c r="DB50" s="1021">
        <f>(VLOOKUP(YEAR($A50),'NY East Load Projections'!$A$4:$EO$14,((MONTH($A50)-1)*12)+VLOOKUP(DB$4,$DE$6:$DF$17,2)+1))*(VLOOKUP($A50,CURVES!$D$9:$T$261,6))*(INDEX(DailyScalarsTable,DB$5/100,MONTH($A50)))*$E50</f>
        <v>-2379.9302817511907</v>
      </c>
      <c r="DH50" s="1021">
        <f t="shared" si="0"/>
        <v>-2102921.8335502297</v>
      </c>
      <c r="DI50">
        <f ca="1">CALC!J70</f>
        <v>0.71769710979032808</v>
      </c>
      <c r="DJ50" s="1029">
        <f t="shared" ca="1" si="1"/>
        <v>-1509260.9220539771</v>
      </c>
    </row>
    <row r="51" spans="1:114" x14ac:dyDescent="0.25">
      <c r="A51" s="244">
        <v>38261</v>
      </c>
      <c r="B51" s="13">
        <v>21</v>
      </c>
      <c r="C51" s="210">
        <v>5</v>
      </c>
      <c r="D51" s="210">
        <v>5</v>
      </c>
      <c r="E51" s="210">
        <v>0</v>
      </c>
      <c r="F51" s="13">
        <v>31</v>
      </c>
      <c r="H51" s="1021">
        <f>(VLOOKUP(YEAR($A51),'NY East Load Projections'!$A$4:$EO$14,((MONTH($A51)-1)*12)+VLOOKUP(H$4,$DE$6:$DF$17,2)+1))*(VLOOKUP($A51,CURVES!$D$9:$K$261,6))*(INDEX(DailyScalarsTable,H$5/100,MONTH($A51)))*$B51</f>
        <v>-35779.03055156803</v>
      </c>
      <c r="I51" s="1021">
        <f>(VLOOKUP(YEAR($A51),'NY East Load Projections'!$A$4:$EO$14,((MONTH($A51)-1)*12)+VLOOKUP(I$4,$DE$6:$DF$17,2)+1))*(VLOOKUP($A51,CURVES!$D$9:$K$261,6))*(INDEX(DailyScalarsTable,I$5/100,MONTH($A51)))*$B51</f>
        <v>-33958.991398707854</v>
      </c>
      <c r="J51" s="1021">
        <f>(VLOOKUP(YEAR($A51),'NY East Load Projections'!$A$4:$EO$14,((MONTH($A51)-1)*12)+VLOOKUP(J$4,$DE$6:$DF$17,2)+1))*(VLOOKUP($A51,CURVES!$D$9:$K$261,6))*(INDEX(DailyScalarsTable,J$5/100,MONTH($A51)))*$B51</f>
        <v>-32621.281462340652</v>
      </c>
      <c r="K51" s="1021">
        <f>(VLOOKUP(YEAR($A51),'NY East Load Projections'!$A$4:$EO$14,((MONTH($A51)-1)*12)+VLOOKUP(K$4,$DE$6:$DF$17,2)+1))*(VLOOKUP($A51,CURVES!$D$9:$K$261,6))*(INDEX(DailyScalarsTable,K$5/100,MONTH($A51)))*$B51</f>
        <v>-32640.122447359907</v>
      </c>
      <c r="L51" s="1021">
        <f>(VLOOKUP(YEAR($A51),'NY East Load Projections'!$A$4:$EO$14,((MONTH($A51)-1)*12)+VLOOKUP(L$4,$DE$6:$DF$17,2)+1))*(VLOOKUP($A51,CURVES!$D$9:$K$261,6))*(INDEX(DailyScalarsTable,L$5/100,MONTH($A51)))*$B51</f>
        <v>-38624.816536479448</v>
      </c>
      <c r="M51" s="1021">
        <f>(VLOOKUP(YEAR($A51),'NY East Load Projections'!$A$4:$EO$14,((MONTH($A51)-1)*12)+VLOOKUP(M$4,$DE$6:$DF$17,2)+1))*(VLOOKUP($A51,CURVES!$D$9:$K$261,6))*(INDEX(DailyScalarsTable,M$5/100,MONTH($A51)))*$B51</f>
        <v>-44373.723390640822</v>
      </c>
      <c r="N51" s="1021">
        <f>(VLOOKUP(YEAR($A51),'NY East Load Projections'!$A$4:$EO$14,((MONTH($A51)-1)*12)+VLOOKUP(N$4,$DE$6:$DF$17,2)+1))*(VLOOKUP($A51,CURVES!$D$9:$K$261,6))*(INDEX(DailyScalarsTable,N$5/100,MONTH($A51)))*$B51</f>
        <v>-57364.001677491331</v>
      </c>
      <c r="O51" s="1021">
        <f>(VLOOKUP(YEAR($A51),'NY East Load Projections'!$A$4:$EO$14,((MONTH($A51)-1)*12)+VLOOKUP(O$4,$DE$6:$DF$17,2)+1))*(VLOOKUP($A51,CURVES!$D$9:$K$261,2))*(INDEX(DailyScalarsTable,O$5/100,MONTH($A51)))*$B51</f>
        <v>-68019.30138162247</v>
      </c>
      <c r="P51" s="1021">
        <f>(VLOOKUP(YEAR($A51),'NY East Load Projections'!$A$4:$EO$14,((MONTH($A51)-1)*12)+VLOOKUP(P$4,$DE$6:$DF$17,2)+1))*(VLOOKUP($A51,CURVES!$D$9:$K$261,2))*(INDEX(DailyScalarsTable,P$5/100,MONTH($A51)))*$B51</f>
        <v>-81099.851724293738</v>
      </c>
      <c r="Q51" s="1021">
        <f>(VLOOKUP(YEAR($A51),'NY East Load Projections'!$A$4:$EO$14,((MONTH($A51)-1)*12)+VLOOKUP(Q$4,$DE$6:$DF$17,2)+1))*(VLOOKUP($A51,CURVES!$D$9:$K$261,2))*(INDEX(DailyScalarsTable,Q$5/100,MONTH($A51)))*$B51</f>
        <v>-80849.234135528925</v>
      </c>
      <c r="R51" s="1021">
        <f>(VLOOKUP(YEAR($A51),'NY East Load Projections'!$A$4:$EO$14,((MONTH($A51)-1)*12)+VLOOKUP(R$4,$DE$6:$DF$17,2)+1))*(VLOOKUP($A51,CURVES!$D$9:$K$261,2))*(INDEX(DailyScalarsTable,R$5/100,MONTH($A51)))*$B51</f>
        <v>-80390.961973216123</v>
      </c>
      <c r="S51" s="1021">
        <f>(VLOOKUP(YEAR($A51),'NY East Load Projections'!$A$4:$EO$14,((MONTH($A51)-1)*12)+VLOOKUP(S$4,$DE$6:$DF$17,2)+1))*(VLOOKUP($A51,CURVES!$D$9:$K$261,2))*(INDEX(DailyScalarsTable,S$5/100,MONTH($A51)))*$B51</f>
        <v>-67838.601027367011</v>
      </c>
      <c r="T51" s="1021">
        <f>(VLOOKUP(YEAR($A51),'NY East Load Projections'!$A$4:$EO$14,((MONTH($A51)-1)*12)+VLOOKUP(T$4,$DE$6:$DF$17,2)+1))*(VLOOKUP($A51,CURVES!$D$9:$K$261,2))*(INDEX(DailyScalarsTable,T$5/100,MONTH($A51)))*$B51</f>
        <v>-65708.6455193539</v>
      </c>
      <c r="U51" s="1021">
        <f>(VLOOKUP(YEAR($A51),'NY East Load Projections'!$A$4:$EO$14,((MONTH($A51)-1)*12)+VLOOKUP(U$4,$DE$6:$DF$17,2)+1))*(VLOOKUP($A51,CURVES!$D$9:$K$261,2))*(INDEX(DailyScalarsTable,U$5/100,MONTH($A51)))*$B51</f>
        <v>-63884.841109501052</v>
      </c>
      <c r="V51" s="1021">
        <f>(VLOOKUP(YEAR($A51),'NY East Load Projections'!$A$4:$EO$14,((MONTH($A51)-1)*12)+VLOOKUP(V$4,$DE$6:$DF$17,2)+1))*(VLOOKUP($A51,CURVES!$D$9:$K$261,2))*(INDEX(DailyScalarsTable,V$5/100,MONTH($A51)))*$B51</f>
        <v>-62400.692581645097</v>
      </c>
      <c r="W51" s="1021">
        <f>(VLOOKUP(YEAR($A51),'NY East Load Projections'!$A$4:$EO$14,((MONTH($A51)-1)*12)+VLOOKUP(W$4,$DE$6:$DF$17,2)+1))*(VLOOKUP($A51,CURVES!$D$9:$K$261,2))*(INDEX(DailyScalarsTable,W$5/100,MONTH($A51)))*$B51</f>
        <v>-61972.430817388165</v>
      </c>
      <c r="X51" s="1021">
        <f>(VLOOKUP(YEAR($A51),'NY East Load Projections'!$A$4:$EO$14,((MONTH($A51)-1)*12)+VLOOKUP(X$4,$DE$6:$DF$17,2)+1))*(VLOOKUP($A51,CURVES!$D$9:$K$261,2))*(INDEX(DailyScalarsTable,X$5/100,MONTH($A51)))*$B51</f>
        <v>-61550.259409855003</v>
      </c>
      <c r="Y51" s="1021">
        <f>(VLOOKUP(YEAR($A51),'NY East Load Projections'!$A$4:$EO$14,((MONTH($A51)-1)*12)+VLOOKUP(Y$4,$DE$6:$DF$17,2)+1))*(VLOOKUP($A51,CURVES!$D$9:$K$261,2))*(INDEX(DailyScalarsTable,Y$5/100,MONTH($A51)))*$B51</f>
        <v>-83033.34792914454</v>
      </c>
      <c r="Z51" s="1021">
        <f>(VLOOKUP(YEAR($A51),'NY East Load Projections'!$A$4:$EO$14,((MONTH($A51)-1)*12)+VLOOKUP(Z$4,$DE$6:$DF$17,2)+1))*(VLOOKUP($A51,CURVES!$D$9:$K$261,2))*(INDEX(DailyScalarsTable,Z$5/100,MONTH($A51)))*$B51</f>
        <v>-83683.72162344832</v>
      </c>
      <c r="AA51" s="1021">
        <f>(VLOOKUP(YEAR($A51),'NY East Load Projections'!$A$4:$EO$14,((MONTH($A51)-1)*12)+VLOOKUP(AA$4,$DE$6:$DF$17,2)+1))*(VLOOKUP($A51,CURVES!$D$9:$K$261,2))*(INDEX(DailyScalarsTable,AA$5/100,MONTH($A51)))*$B51</f>
        <v>-80030.558744805865</v>
      </c>
      <c r="AB51" s="1021">
        <f>(VLOOKUP(YEAR($A51),'NY East Load Projections'!$A$4:$EO$14,((MONTH($A51)-1)*12)+VLOOKUP(AB$4,$DE$6:$DF$17,2)+1))*(VLOOKUP($A51,CURVES!$D$9:$K$261,2))*(INDEX(DailyScalarsTable,AB$5/100,MONTH($A51)))*$B51</f>
        <v>-65087.648137421485</v>
      </c>
      <c r="AC51" s="1021">
        <f>(VLOOKUP(YEAR($A51),'NY East Load Projections'!$A$4:$EO$14,((MONTH($A51)-1)*12)+VLOOKUP(AC$4,$DE$6:$DF$17,2)+1))*(VLOOKUP($A51,CURVES!$D$9:$K$261,2))*(INDEX(DailyScalarsTable,AC$5/100,MONTH($A51)))*$B51</f>
        <v>-53993.093463796089</v>
      </c>
      <c r="AD51" s="1021">
        <f>(VLOOKUP(YEAR($A51),'NY East Load Projections'!$A$4:$EO$14,((MONTH($A51)-1)*12)+VLOOKUP(AD$4,$DE$6:$DF$17,2)+1))*(VLOOKUP($A51,CURVES!$D$9:$K$261,2))*(INDEX(DailyScalarsTable,AD$5/100,MONTH($A51)))*$B51</f>
        <v>-46034.485912518139</v>
      </c>
      <c r="AE51" s="1021">
        <f>(VLOOKUP(YEAR($A51),'NY East Load Projections'!$A$4:$EO$14,((MONTH($A51)-1)*12)+VLOOKUP(AE$4,$DE$6:$DF$17,2)+1))*(VLOOKUP($A51,CURVES!$D$9:$K$261,6))*(INDEX(DailyScalarsTable,AE$5/100,MONTH($A51)))*$B51</f>
        <v>-41616.580829043211</v>
      </c>
      <c r="AF51" s="1021"/>
      <c r="AG51" s="1021">
        <f>(VLOOKUP(YEAR($A51),'NY East Load Projections'!$A$4:$EO$14,((MONTH($A51)-1)*12)+VLOOKUP(AG$4,$DE$6:$DF$17,2)+1))*(VLOOKUP($A51,CURVES!$D$9:$T$261,6))*(INDEX(DailyScalarsTable,AG$5/100,MONTH($A51)))*$C51</f>
        <v>-8894.0871026791337</v>
      </c>
      <c r="AH51" s="1021">
        <f>(VLOOKUP(YEAR($A51),'NY East Load Projections'!$A$4:$EO$14,((MONTH($A51)-1)*12)+VLOOKUP(AH$4,$DE$6:$DF$17,2)+1))*(VLOOKUP($A51,CURVES!$D$9:$T$261,6))*(INDEX(DailyScalarsTable,AH$5/100,MONTH($A51)))*$C51</f>
        <v>-8441.6548677561186</v>
      </c>
      <c r="AI51" s="1021">
        <f>(VLOOKUP(YEAR($A51),'NY East Load Projections'!$A$4:$EO$14,((MONTH($A51)-1)*12)+VLOOKUP(AI$4,$DE$6:$DF$17,2)+1))*(VLOOKUP($A51,CURVES!$D$9:$T$261,6))*(INDEX(DailyScalarsTable,AI$5/100,MONTH($A51)))*$C51</f>
        <v>-8109.1218586512132</v>
      </c>
      <c r="AJ51" s="1021">
        <f>(VLOOKUP(YEAR($A51),'NY East Load Projections'!$A$4:$EO$14,((MONTH($A51)-1)*12)+VLOOKUP(AJ$4,$DE$6:$DF$17,2)+1))*(VLOOKUP($A51,CURVES!$D$9:$T$261,6))*(INDEX(DailyScalarsTable,AJ$5/100,MONTH($A51)))*$C51</f>
        <v>-8113.8054221597322</v>
      </c>
      <c r="AK51" s="1021">
        <f>(VLOOKUP(YEAR($A51),'NY East Load Projections'!$A$4:$EO$14,((MONTH($A51)-1)*12)+VLOOKUP(AK$4,$DE$6:$DF$17,2)+1))*(VLOOKUP($A51,CURVES!$D$9:$T$261,6))*(INDEX(DailyScalarsTable,AK$5/100,MONTH($A51)))*$C51</f>
        <v>-8799.9296047070711</v>
      </c>
      <c r="AL51" s="1021">
        <f>(VLOOKUP(YEAR($A51),'NY East Load Projections'!$A$4:$EO$14,((MONTH($A51)-1)*12)+VLOOKUP(AL$4,$DE$6:$DF$17,2)+1))*(VLOOKUP($A51,CURVES!$D$9:$T$261,6))*(INDEX(DailyScalarsTable,AL$5/100,MONTH($A51)))*$C51</f>
        <v>-10109.708657582521</v>
      </c>
      <c r="AM51" s="1021">
        <f>(VLOOKUP(YEAR($A51),'NY East Load Projections'!$A$4:$EO$14,((MONTH($A51)-1)*12)+VLOOKUP(AM$4,$DE$6:$DF$17,2)+1))*(VLOOKUP($A51,CURVES!$D$9:$T$261,6))*(INDEX(DailyScalarsTable,AM$5/100,MONTH($A51)))*$C51</f>
        <v>-13069.296423180713</v>
      </c>
      <c r="AN51" s="1021">
        <f>(VLOOKUP(YEAR($A51),'NY East Load Projections'!$A$4:$EO$14,((MONTH($A51)-1)*12)+VLOOKUP(AN$4,$DE$6:$DF$17,2)+1))*(VLOOKUP($A51,SatSunCurve,2))*(INDEX(DailyScalarsTable,AN$5/100,MONTH($A51)))*$C51</f>
        <v>-11832.71204016284</v>
      </c>
      <c r="AO51" s="1021">
        <f>(VLOOKUP(YEAR($A51),'NY East Load Projections'!$A$4:$EO$14,((MONTH($A51)-1)*12)+VLOOKUP(AO$4,$DE$6:$DF$17,2)+1))*(VLOOKUP($A51,SatSunCurve,2))*(INDEX(DailyScalarsTable,AO$5/100,MONTH($A51)))*$C51</f>
        <v>-13987.226036075732</v>
      </c>
      <c r="AP51" s="1021">
        <f>(VLOOKUP(YEAR($A51),'NY East Load Projections'!$A$4:$EO$14,((MONTH($A51)-1)*12)+VLOOKUP(AP$4,$DE$6:$DF$17,2)+1))*(VLOOKUP($A51,SatSunCurve,2))*(INDEX(DailyScalarsTable,AP$5/100,MONTH($A51)))*$C51</f>
        <v>-13944.002222614434</v>
      </c>
      <c r="AQ51" s="1021">
        <f>(VLOOKUP(YEAR($A51),'NY East Load Projections'!$A$4:$EO$14,((MONTH($A51)-1)*12)+VLOOKUP(AQ$4,$DE$6:$DF$17,2)+1))*(VLOOKUP($A51,SatSunCurve,2))*(INDEX(DailyScalarsTable,AQ$5/100,MONTH($A51)))*$C51</f>
        <v>-13864.964392285205</v>
      </c>
      <c r="AR51" s="1021">
        <f>(VLOOKUP(YEAR($A51),'NY East Load Projections'!$A$4:$EO$14,((MONTH($A51)-1)*12)+VLOOKUP(AR$4,$DE$6:$DF$17,2)+1))*(VLOOKUP($A51,SatSunCurve,2))*(INDEX(DailyScalarsTable,AR$5/100,MONTH($A51)))*$C51</f>
        <v>-11700.068820923669</v>
      </c>
      <c r="AS51" s="1021">
        <f>(VLOOKUP(YEAR($A51),'NY East Load Projections'!$A$4:$EO$14,((MONTH($A51)-1)*12)+VLOOKUP(AS$4,$DE$6:$DF$17,2)+1))*(VLOOKUP($A51,SatSunCurve,2))*(INDEX(DailyScalarsTable,AS$5/100,MONTH($A51)))*$C51</f>
        <v>-11262.987219497036</v>
      </c>
      <c r="AT51" s="1021">
        <f>(VLOOKUP(YEAR($A51),'NY East Load Projections'!$A$4:$EO$14,((MONTH($A51)-1)*12)+VLOOKUP(AT$4,$DE$6:$DF$17,2)+1))*(VLOOKUP($A51,SatSunCurve,2))*(INDEX(DailyScalarsTable,AT$5/100,MONTH($A51)))*$C51</f>
        <v>-10950.37256130895</v>
      </c>
      <c r="AU51" s="1021">
        <f>(VLOOKUP(YEAR($A51),'NY East Load Projections'!$A$4:$EO$14,((MONTH($A51)-1)*12)+VLOOKUP(AU$4,$DE$6:$DF$17,2)+1))*(VLOOKUP($A51,SatSunCurve,2))*(INDEX(DailyScalarsTable,AU$5/100,MONTH($A51)))*$C51</f>
        <v>-10695.977637034433</v>
      </c>
      <c r="AV51" s="1021">
        <f>(VLOOKUP(YEAR($A51),'NY East Load Projections'!$A$4:$EO$14,((MONTH($A51)-1)*12)+VLOOKUP(AV$4,$DE$6:$DF$17,2)+1))*(VLOOKUP($A51,SatSunCurve,2))*(INDEX(DailyScalarsTable,AV$5/100,MONTH($A51)))*$C51</f>
        <v>-10622.570146447761</v>
      </c>
      <c r="AW51" s="1021">
        <f>(VLOOKUP(YEAR($A51),'NY East Load Projections'!$A$4:$EO$14,((MONTH($A51)-1)*12)+VLOOKUP(AW$4,$DE$6:$DF$17,2)+1))*(VLOOKUP($A51,SatSunCurve,2))*(INDEX(DailyScalarsTable,AW$5/100,MONTH($A51)))*$C51</f>
        <v>-10505.01924154486</v>
      </c>
      <c r="AX51" s="1021">
        <f>(VLOOKUP(YEAR($A51),'NY East Load Projections'!$A$4:$EO$14,((MONTH($A51)-1)*12)+VLOOKUP(AX$4,$DE$6:$DF$17,2)+1))*(VLOOKUP($A51,SatSunCurve,2))*(INDEX(DailyScalarsTable,AX$5/100,MONTH($A51)))*$C51</f>
        <v>-14171.620494354753</v>
      </c>
      <c r="AY51" s="1021">
        <f>(VLOOKUP(YEAR($A51),'NY East Load Projections'!$A$4:$EO$14,((MONTH($A51)-1)*12)+VLOOKUP(AY$4,$DE$6:$DF$17,2)+1))*(VLOOKUP($A51,SatSunCurve,2))*(INDEX(DailyScalarsTable,AY$5/100,MONTH($A51)))*$C51</f>
        <v>-14282.622271412441</v>
      </c>
      <c r="AZ51" s="1021">
        <f>(VLOOKUP(YEAR($A51),'NY East Load Projections'!$A$4:$EO$14,((MONTH($A51)-1)*12)+VLOOKUP(AZ$4,$DE$6:$DF$17,2)+1))*(VLOOKUP($A51,SatSunCurve,2))*(INDEX(DailyScalarsTable,AZ$5/100,MONTH($A51)))*$C51</f>
        <v>-13659.122927939457</v>
      </c>
      <c r="BA51" s="1021">
        <f>(VLOOKUP(YEAR($A51),'NY East Load Projections'!$A$4:$EO$14,((MONTH($A51)-1)*12)+VLOOKUP(BA$4,$DE$6:$DF$17,2)+1))*(VLOOKUP($A51,SatSunCurve,2))*(INDEX(DailyScalarsTable,BA$5/100,MONTH($A51)))*$C51</f>
        <v>-12028.793481142546</v>
      </c>
      <c r="BB51" s="1021">
        <f>(VLOOKUP(YEAR($A51),'NY East Load Projections'!$A$4:$EO$14,((MONTH($A51)-1)*12)+VLOOKUP(BB$4,$DE$6:$DF$17,2)+1))*(VLOOKUP($A51,SatSunCurve,2))*(INDEX(DailyScalarsTable,BB$5/100,MONTH($A51)))*$C51</f>
        <v>-9978.4181679568683</v>
      </c>
      <c r="BC51" s="1021">
        <f>(VLOOKUP(YEAR($A51),'NY East Load Projections'!$A$4:$EO$14,((MONTH($A51)-1)*12)+VLOOKUP(BC$4,$DE$6:$DF$17,2)+1))*(VLOOKUP($A51,SatSunCurve,2))*(INDEX(DailyScalarsTable,BC$5/100,MONTH($A51)))*$C51</f>
        <v>-8507.5946035585785</v>
      </c>
      <c r="BD51" s="1021">
        <f>(VLOOKUP(YEAR($A51),'NY East Load Projections'!$A$4:$EO$14,((MONTH($A51)-1)*12)+VLOOKUP(BD$4,$DE$6:$DF$17,2)+1))*(VLOOKUP($A51,CURVES!$D$9:$T$261,6))*(INDEX(DailyScalarsTable,BD$5/100,MONTH($A51)))*$C51</f>
        <v>-10072.807296418403</v>
      </c>
      <c r="BE51" s="1021"/>
      <c r="BF51" s="1021">
        <f>(VLOOKUP(YEAR($A51),'NY East Load Projections'!$A$4:$EO$14,((MONTH($A51)-1)*12)+VLOOKUP(BF$4,$DE$6:$DF$17,2)+1))*(VLOOKUP($A51,CURVES!$D$9:$T$261,6))*(INDEX(DailyScalarsTable,BF$5/100,MONTH($A51)))*$D51</f>
        <v>-8894.0871026791337</v>
      </c>
      <c r="BG51" s="1021">
        <f>(VLOOKUP(YEAR($A51),'NY East Load Projections'!$A$4:$EO$14,((MONTH($A51)-1)*12)+VLOOKUP(BG$4,$DE$6:$DF$17,2)+1))*(VLOOKUP($A51,CURVES!$D$9:$T$261,6))*(INDEX(DailyScalarsTable,BG$5/100,MONTH($A51)))*$D51</f>
        <v>-8441.6548677561186</v>
      </c>
      <c r="BH51" s="1021">
        <f>(VLOOKUP(YEAR($A51),'NY East Load Projections'!$A$4:$EO$14,((MONTH($A51)-1)*12)+VLOOKUP(BH$4,$DE$6:$DF$17,2)+1))*(VLOOKUP($A51,CURVES!$D$9:$T$261,6))*(INDEX(DailyScalarsTable,BH$5/100,MONTH($A51)))*$D51</f>
        <v>-8109.1218586512132</v>
      </c>
      <c r="BI51" s="1021">
        <f>(VLOOKUP(YEAR($A51),'NY East Load Projections'!$A$4:$EO$14,((MONTH($A51)-1)*12)+VLOOKUP(BI$4,$DE$6:$DF$17,2)+1))*(VLOOKUP($A51,CURVES!$D$9:$T$261,6))*(INDEX(DailyScalarsTable,BI$5/100,MONTH($A51)))*$D51</f>
        <v>-8113.8054221597322</v>
      </c>
      <c r="BJ51" s="1021">
        <f>(VLOOKUP(YEAR($A51),'NY East Load Projections'!$A$4:$EO$14,((MONTH($A51)-1)*12)+VLOOKUP(BJ$4,$DE$6:$DF$17,2)+1))*(VLOOKUP($A51,CURVES!$D$9:$T$261,6))*(INDEX(DailyScalarsTable,BJ$5/100,MONTH($A51)))*$D51</f>
        <v>-8799.9296047070711</v>
      </c>
      <c r="BK51" s="1021">
        <f>(VLOOKUP(YEAR($A51),'NY East Load Projections'!$A$4:$EO$14,((MONTH($A51)-1)*12)+VLOOKUP(BK$4,$DE$6:$DF$17,2)+1))*(VLOOKUP($A51,CURVES!$D$9:$T$261,6))*(INDEX(DailyScalarsTable,BK$5/100,MONTH($A51)))*$D51</f>
        <v>-10109.708657582521</v>
      </c>
      <c r="BL51" s="1021">
        <f>(VLOOKUP(YEAR($A51),'NY East Load Projections'!$A$4:$EO$14,((MONTH($A51)-1)*12)+VLOOKUP(BL$4,$DE$6:$DF$17,2)+1))*(VLOOKUP($A51,CURVES!$D$9:$T$261,6))*(INDEX(DailyScalarsTable,BL$5/100,MONTH($A51)))*$D51</f>
        <v>-13069.296423180713</v>
      </c>
      <c r="BM51" s="1021">
        <f>(VLOOKUP(YEAR($A51),'NY East Load Projections'!$A$4:$EO$14,((MONTH($A51)-1)*12)+VLOOKUP(BM$4,$DE$6:$DF$17,2)+1))*(VLOOKUP($A51,SatSunCurve,6))*(INDEX(DailyScalarsTable,BM$5/100,MONTH($A51)))*$D51</f>
        <v>-9387.8196712381432</v>
      </c>
      <c r="BN51" s="1021">
        <f>(VLOOKUP(YEAR($A51),'NY East Load Projections'!$A$4:$EO$14,((MONTH($A51)-1)*12)+VLOOKUP(BN$4,$DE$6:$DF$17,2)+1))*(VLOOKUP($A51,SatSunCurve,6))*(INDEX(DailyScalarsTable,BN$5/100,MONTH($A51)))*$D51</f>
        <v>-11097.164815794757</v>
      </c>
      <c r="BO51" s="1021">
        <f>(VLOOKUP(YEAR($A51),'NY East Load Projections'!$A$4:$EO$14,((MONTH($A51)-1)*12)+VLOOKUP(BO$4,$DE$6:$DF$17,2)+1))*(VLOOKUP($A51,SatSunCurve,6))*(INDEX(DailyScalarsTable,BO$5/100,MONTH($A51)))*$D51</f>
        <v>-11062.871970257691</v>
      </c>
      <c r="BP51" s="1021">
        <f>(VLOOKUP(YEAR($A51),'NY East Load Projections'!$A$4:$EO$14,((MONTH($A51)-1)*12)+VLOOKUP(BP$4,$DE$6:$DF$17,2)+1))*(VLOOKUP($A51,SatSunCurve,6))*(INDEX(DailyScalarsTable,BP$5/100,MONTH($A51)))*$D51</f>
        <v>-11000.165052704197</v>
      </c>
      <c r="BQ51" s="1021">
        <f>(VLOOKUP(YEAR($A51),'NY East Load Projections'!$A$4:$EO$14,((MONTH($A51)-1)*12)+VLOOKUP(BQ$4,$DE$6:$DF$17,2)+1))*(VLOOKUP($A51,SatSunCurve,6))*(INDEX(DailyScalarsTable,BQ$5/100,MONTH($A51)))*$D51</f>
        <v>-9282.5833890905451</v>
      </c>
      <c r="BR51" s="1021">
        <f>(VLOOKUP(YEAR($A51),'NY East Load Projections'!$A$4:$EO$14,((MONTH($A51)-1)*12)+VLOOKUP(BR$4,$DE$6:$DF$17,2)+1))*(VLOOKUP($A51,SatSunCurve,6))*(INDEX(DailyScalarsTable,BR$5/100,MONTH($A51)))*$D51</f>
        <v>-8935.812231144515</v>
      </c>
      <c r="BS51" s="1021">
        <f>(VLOOKUP(YEAR($A51),'NY East Load Projections'!$A$4:$EO$14,((MONTH($A51)-1)*12)+VLOOKUP(BS$4,$DE$6:$DF$17,2)+1))*(VLOOKUP($A51,SatSunCurve,6))*(INDEX(DailyScalarsTable,BS$5/100,MONTH($A51)))*$D51</f>
        <v>-8687.7904735208831</v>
      </c>
      <c r="BT51" s="1021">
        <f>(VLOOKUP(YEAR($A51),'NY East Load Projections'!$A$4:$EO$14,((MONTH($A51)-1)*12)+VLOOKUP(BT$4,$DE$6:$DF$17,2)+1))*(VLOOKUP($A51,SatSunCurve,6))*(INDEX(DailyScalarsTable,BT$5/100,MONTH($A51)))*$D51</f>
        <v>-8485.95900274214</v>
      </c>
      <c r="BU51" s="1021">
        <f>(VLOOKUP(YEAR($A51),'NY East Load Projections'!$A$4:$EO$14,((MONTH($A51)-1)*12)+VLOOKUP(BU$4,$DE$6:$DF$17,2)+1))*(VLOOKUP($A51,SatSunCurve,6))*(INDEX(DailyScalarsTable,BU$5/100,MONTH($A51)))*$D51</f>
        <v>-8427.7190758507604</v>
      </c>
      <c r="BV51" s="1021">
        <f>(VLOOKUP(YEAR($A51),'NY East Load Projections'!$A$4:$EO$14,((MONTH($A51)-1)*12)+VLOOKUP(BV$4,$DE$6:$DF$17,2)+1))*(VLOOKUP($A51,SatSunCurve,6))*(INDEX(DailyScalarsTable,BV$5/100,MONTH($A51)))*$D51</f>
        <v>-8334.4567118488631</v>
      </c>
      <c r="BW51" s="1021">
        <f>(VLOOKUP(YEAR($A51),'NY East Load Projections'!$A$4:$EO$14,((MONTH($A51)-1)*12)+VLOOKUP(BW$4,$DE$6:$DF$17,2)+1))*(VLOOKUP($A51,SatSunCurve,6))*(INDEX(DailyScalarsTable,BW$5/100,MONTH($A51)))*$D51</f>
        <v>-11243.459419840176</v>
      </c>
      <c r="BX51" s="1021">
        <f>(VLOOKUP(YEAR($A51),'NY East Load Projections'!$A$4:$EO$14,((MONTH($A51)-1)*12)+VLOOKUP(BX$4,$DE$6:$DF$17,2)+1))*(VLOOKUP($A51,SatSunCurve,6))*(INDEX(DailyScalarsTable,BX$5/100,MONTH($A51)))*$D51</f>
        <v>-11331.52584642671</v>
      </c>
      <c r="BY51" s="1021">
        <f>(VLOOKUP(YEAR($A51),'NY East Load Projections'!$A$4:$EO$14,((MONTH($A51)-1)*12)+VLOOKUP(BY$4,$DE$6:$DF$17,2)+1))*(VLOOKUP($A51,SatSunCurve,6))*(INDEX(DailyScalarsTable,BY$5/100,MONTH($A51)))*$D51</f>
        <v>-10836.854854536399</v>
      </c>
      <c r="BZ51" s="1021">
        <f>(VLOOKUP(YEAR($A51),'NY East Load Projections'!$A$4:$EO$14,((MONTH($A51)-1)*12)+VLOOKUP(BZ$4,$DE$6:$DF$17,2)+1))*(VLOOKUP($A51,SatSunCurve,6))*(INDEX(DailyScalarsTable,BZ$5/100,MONTH($A51)))*$D51</f>
        <v>-9543.3864764258287</v>
      </c>
      <c r="CA51" s="1021">
        <f>(VLOOKUP(YEAR($A51),'NY East Load Projections'!$A$4:$EO$14,((MONTH($A51)-1)*12)+VLOOKUP(CA$4,$DE$6:$DF$17,2)+1))*(VLOOKUP($A51,SatSunCurve,6))*(INDEX(DailyScalarsTable,CA$5/100,MONTH($A51)))*$D51</f>
        <v>-7916.6627267721797</v>
      </c>
      <c r="CB51" s="1021">
        <f>(VLOOKUP(YEAR($A51),'NY East Load Projections'!$A$4:$EO$14,((MONTH($A51)-1)*12)+VLOOKUP(CB$4,$DE$6:$DF$17,2)+1))*(VLOOKUP($A51,SatSunCurve,6))*(INDEX(DailyScalarsTable,CB$5/100,MONTH($A51)))*$D51</f>
        <v>-6749.7428909887985</v>
      </c>
      <c r="CC51" s="1021">
        <f>(VLOOKUP(YEAR($A51),'NY East Load Projections'!$A$4:$EO$14,((MONTH($A51)-1)*12)+VLOOKUP(CC$4,$DE$6:$DF$17,2)+1))*(VLOOKUP($A51,CURVES!$D$9:$T$261,6))*(INDEX(DailyScalarsTable,CC$5/100,MONTH($A51)))*$D51</f>
        <v>-10072.807296418403</v>
      </c>
      <c r="CE51" s="1021">
        <f>(VLOOKUP(YEAR($A51),'NY East Load Projections'!$A$4:$EO$14,((MONTH($A51)-1)*12)+VLOOKUP(CE$4,$DE$6:$DF$17,2)+1))*(VLOOKUP($A51,CURVES!$D$9:$T$261,6))*(INDEX(DailyScalarsTable,CE$5/100,MONTH($A51)))*$E51</f>
        <v>0</v>
      </c>
      <c r="CF51" s="1021">
        <f>(VLOOKUP(YEAR($A51),'NY East Load Projections'!$A$4:$EO$14,((MONTH($A51)-1)*12)+VLOOKUP(CF$4,$DE$6:$DF$17,2)+1))*(VLOOKUP($A51,CURVES!$D$9:$T$261,6))*(INDEX(DailyScalarsTable,CF$5/100,MONTH($A51)))*$E51</f>
        <v>0</v>
      </c>
      <c r="CG51" s="1021">
        <f>(VLOOKUP(YEAR($A51),'NY East Load Projections'!$A$4:$EO$14,((MONTH($A51)-1)*12)+VLOOKUP(CG$4,$DE$6:$DF$17,2)+1))*(VLOOKUP($A51,CURVES!$D$9:$T$261,6))*(INDEX(DailyScalarsTable,CG$5/100,MONTH($A51)))*$E51</f>
        <v>0</v>
      </c>
      <c r="CH51" s="1021">
        <f>(VLOOKUP(YEAR($A51),'NY East Load Projections'!$A$4:$EO$14,((MONTH($A51)-1)*12)+VLOOKUP(CH$4,$DE$6:$DF$17,2)+1))*(VLOOKUP($A51,CURVES!$D$9:$T$261,6))*(INDEX(DailyScalarsTable,CH$5/100,MONTH($A51)))*$E51</f>
        <v>0</v>
      </c>
      <c r="CI51" s="1021">
        <f>(VLOOKUP(YEAR($A51),'NY East Load Projections'!$A$4:$EO$14,((MONTH($A51)-1)*12)+VLOOKUP(CI$4,$DE$6:$DF$17,2)+1))*(VLOOKUP($A51,CURVES!$D$9:$T$261,6))*(INDEX(DailyScalarsTable,CI$5/100,MONTH($A51)))*$E51</f>
        <v>0</v>
      </c>
      <c r="CJ51" s="1021">
        <f>(VLOOKUP(YEAR($A51),'NY East Load Projections'!$A$4:$EO$14,((MONTH($A51)-1)*12)+VLOOKUP(CJ$4,$DE$6:$DF$17,2)+1))*(VLOOKUP($A51,CURVES!$D$9:$T$261,6))*(INDEX(DailyScalarsTable,CJ$5/100,MONTH($A51)))*$E51</f>
        <v>0</v>
      </c>
      <c r="CK51" s="1021">
        <f>(VLOOKUP(YEAR($A51),'NY East Load Projections'!$A$4:$EO$14,((MONTH($A51)-1)*12)+VLOOKUP(CK$4,$DE$6:$DF$17,2)+1))*(VLOOKUP($A51,CURVES!$D$9:$T$261,6))*(INDEX(DailyScalarsTable,CK$5/100,MONTH($A51)))*$E51</f>
        <v>0</v>
      </c>
      <c r="CL51" s="1021">
        <f>(VLOOKUP(YEAR($A51),'NY East Load Projections'!$A$4:$EO$14,((MONTH($A51)-1)*12)+VLOOKUP(CL$4,$DE$6:$DF$17,2)+1))*(VLOOKUP($A51,SatSunCurve,6))*(INDEX(DailyScalarsTable,CL$5/100,MONTH($A51)))*$E51</f>
        <v>0</v>
      </c>
      <c r="CM51" s="1021">
        <f>(VLOOKUP(YEAR($A51),'NY East Load Projections'!$A$4:$EO$14,((MONTH($A51)-1)*12)+VLOOKUP(CM$4,$DE$6:$DF$17,2)+1))*(VLOOKUP($A51,SatSunCurve,6))*(INDEX(DailyScalarsTable,CM$5/100,MONTH($A51)))*$E51</f>
        <v>0</v>
      </c>
      <c r="CN51" s="1021">
        <f>(VLOOKUP(YEAR($A51),'NY East Load Projections'!$A$4:$EO$14,((MONTH($A51)-1)*12)+VLOOKUP(CN$4,$DE$6:$DF$17,2)+1))*(VLOOKUP($A51,SatSunCurve,6))*(INDEX(DailyScalarsTable,CN$5/100,MONTH($A51)))*$E51</f>
        <v>0</v>
      </c>
      <c r="CO51" s="1021">
        <f>(VLOOKUP(YEAR($A51),'NY East Load Projections'!$A$4:$EO$14,((MONTH($A51)-1)*12)+VLOOKUP(CO$4,$DE$6:$DF$17,2)+1))*(VLOOKUP($A51,SatSunCurve,6))*(INDEX(DailyScalarsTable,CO$5/100,MONTH($A51)))*$E51</f>
        <v>0</v>
      </c>
      <c r="CP51" s="1021">
        <f>(VLOOKUP(YEAR($A51),'NY East Load Projections'!$A$4:$EO$14,((MONTH($A51)-1)*12)+VLOOKUP(CP$4,$DE$6:$DF$17,2)+1))*(VLOOKUP($A51,SatSunCurve,6))*(INDEX(DailyScalarsTable,CP$5/100,MONTH($A51)))*$E51</f>
        <v>0</v>
      </c>
      <c r="CQ51" s="1021">
        <f>(VLOOKUP(YEAR($A51),'NY East Load Projections'!$A$4:$EO$14,((MONTH($A51)-1)*12)+VLOOKUP(CQ$4,$DE$6:$DF$17,2)+1))*(VLOOKUP($A51,SatSunCurve,6))*(INDEX(DailyScalarsTable,CQ$5/100,MONTH($A51)))*$E51</f>
        <v>0</v>
      </c>
      <c r="CR51" s="1021">
        <f>(VLOOKUP(YEAR($A51),'NY East Load Projections'!$A$4:$EO$14,((MONTH($A51)-1)*12)+VLOOKUP(CR$4,$DE$6:$DF$17,2)+1))*(VLOOKUP($A51,SatSunCurve,6))*(INDEX(DailyScalarsTable,CR$5/100,MONTH($A51)))*$E51</f>
        <v>0</v>
      </c>
      <c r="CS51" s="1021">
        <f>(VLOOKUP(YEAR($A51),'NY East Load Projections'!$A$4:$EO$14,((MONTH($A51)-1)*12)+VLOOKUP(CS$4,$DE$6:$DF$17,2)+1))*(VLOOKUP($A51,SatSunCurve,6))*(INDEX(DailyScalarsTable,CS$5/100,MONTH($A51)))*$E51</f>
        <v>0</v>
      </c>
      <c r="CT51" s="1021">
        <f>(VLOOKUP(YEAR($A51),'NY East Load Projections'!$A$4:$EO$14,((MONTH($A51)-1)*12)+VLOOKUP(CT$4,$DE$6:$DF$17,2)+1))*(VLOOKUP($A51,SatSunCurve,6))*(INDEX(DailyScalarsTable,CT$5/100,MONTH($A51)))*$E51</f>
        <v>0</v>
      </c>
      <c r="CU51" s="1021">
        <f>(VLOOKUP(YEAR($A51),'NY East Load Projections'!$A$4:$EO$14,((MONTH($A51)-1)*12)+VLOOKUP(CU$4,$DE$6:$DF$17,2)+1))*(VLOOKUP($A51,SatSunCurve,6))*(INDEX(DailyScalarsTable,CU$5/100,MONTH($A51)))*$E51</f>
        <v>0</v>
      </c>
      <c r="CV51" s="1021">
        <f>(VLOOKUP(YEAR($A51),'NY East Load Projections'!$A$4:$EO$14,((MONTH($A51)-1)*12)+VLOOKUP(CV$4,$DE$6:$DF$17,2)+1))*(VLOOKUP($A51,SatSunCurve,6))*(INDEX(DailyScalarsTable,CV$5/100,MONTH($A51)))*$E51</f>
        <v>0</v>
      </c>
      <c r="CW51" s="1021">
        <f>(VLOOKUP(YEAR($A51),'NY East Load Projections'!$A$4:$EO$14,((MONTH($A51)-1)*12)+VLOOKUP(CW$4,$DE$6:$DF$17,2)+1))*(VLOOKUP($A51,SatSunCurve,6))*(INDEX(DailyScalarsTable,CW$5/100,MONTH($A51)))*$E51</f>
        <v>0</v>
      </c>
      <c r="CX51" s="1021">
        <f>(VLOOKUP(YEAR($A51),'NY East Load Projections'!$A$4:$EO$14,((MONTH($A51)-1)*12)+VLOOKUP(CX$4,$DE$6:$DF$17,2)+1))*(VLOOKUP($A51,SatSunCurve,6))*(INDEX(DailyScalarsTable,CX$5/100,MONTH($A51)))*$E51</f>
        <v>0</v>
      </c>
      <c r="CY51" s="1021">
        <f>(VLOOKUP(YEAR($A51),'NY East Load Projections'!$A$4:$EO$14,((MONTH($A51)-1)*12)+VLOOKUP(CY$4,$DE$6:$DF$17,2)+1))*(VLOOKUP($A51,SatSunCurve,6))*(INDEX(DailyScalarsTable,CY$5/100,MONTH($A51)))*$E51</f>
        <v>0</v>
      </c>
      <c r="CZ51" s="1021">
        <f>(VLOOKUP(YEAR($A51),'NY East Load Projections'!$A$4:$EO$14,((MONTH($A51)-1)*12)+VLOOKUP(CZ$4,$DE$6:$DF$17,2)+1))*(VLOOKUP($A51,SatSunCurve,6))*(INDEX(DailyScalarsTable,CZ$5/100,MONTH($A51)))*$E51</f>
        <v>0</v>
      </c>
      <c r="DA51" s="1021">
        <f>(VLOOKUP(YEAR($A51),'NY East Load Projections'!$A$4:$EO$14,((MONTH($A51)-1)*12)+VLOOKUP(DA$4,$DE$6:$DF$17,2)+1))*(VLOOKUP($A51,SatSunCurve,6))*(INDEX(DailyScalarsTable,DA$5/100,MONTH($A51)))*$E51</f>
        <v>0</v>
      </c>
      <c r="DB51" s="1021">
        <f>(VLOOKUP(YEAR($A51),'NY East Load Projections'!$A$4:$EO$14,((MONTH($A51)-1)*12)+VLOOKUP(DB$4,$DE$6:$DF$17,2)+1))*(VLOOKUP($A51,CURVES!$D$9:$T$261,6))*(INDEX(DailyScalarsTable,DB$5/100,MONTH($A51)))*$E51</f>
        <v>0</v>
      </c>
      <c r="DH51" s="1021">
        <f t="shared" si="0"/>
        <v>-1918095.0931242497</v>
      </c>
      <c r="DI51">
        <f ca="1">CALC!J71</f>
        <v>0.71323422394632896</v>
      </c>
      <c r="DJ51" s="1029">
        <f t="shared" ca="1" si="1"/>
        <v>-1368051.0651997358</v>
      </c>
    </row>
    <row r="52" spans="1:114" x14ac:dyDescent="0.25">
      <c r="A52" s="244">
        <v>38292</v>
      </c>
      <c r="B52" s="13">
        <v>21</v>
      </c>
      <c r="C52" s="210">
        <v>4</v>
      </c>
      <c r="D52" s="210">
        <v>4</v>
      </c>
      <c r="E52" s="210">
        <v>1</v>
      </c>
      <c r="F52" s="13">
        <v>30</v>
      </c>
      <c r="H52" s="1021">
        <f>(VLOOKUP(YEAR($A52),'NY East Load Projections'!$A$4:$EO$14,((MONTH($A52)-1)*12)+VLOOKUP(H$4,$DE$6:$DF$17,2)+1))*(VLOOKUP($A52,CURVES!$D$9:$K$261,6))*(INDEX(DailyScalarsTable,H$5/100,MONTH($A52)))*$B52</f>
        <v>-34177.176510317571</v>
      </c>
      <c r="I52" s="1021">
        <f>(VLOOKUP(YEAR($A52),'NY East Load Projections'!$A$4:$EO$14,((MONTH($A52)-1)*12)+VLOOKUP(I$4,$DE$6:$DF$17,2)+1))*(VLOOKUP($A52,CURVES!$D$9:$K$261,6))*(INDEX(DailyScalarsTable,I$5/100,MONTH($A52)))*$B52</f>
        <v>-32401.213492083749</v>
      </c>
      <c r="J52" s="1021">
        <f>(VLOOKUP(YEAR($A52),'NY East Load Projections'!$A$4:$EO$14,((MONTH($A52)-1)*12)+VLOOKUP(J$4,$DE$6:$DF$17,2)+1))*(VLOOKUP($A52,CURVES!$D$9:$K$261,6))*(INDEX(DailyScalarsTable,J$5/100,MONTH($A52)))*$B52</f>
        <v>-31095.89905839222</v>
      </c>
      <c r="K52" s="1021">
        <f>(VLOOKUP(YEAR($A52),'NY East Load Projections'!$A$4:$EO$14,((MONTH($A52)-1)*12)+VLOOKUP(K$4,$DE$6:$DF$17,2)+1))*(VLOOKUP($A52,CURVES!$D$9:$K$261,6))*(INDEX(DailyScalarsTable,K$5/100,MONTH($A52)))*$B52</f>
        <v>-31114.283768725905</v>
      </c>
      <c r="L52" s="1021">
        <f>(VLOOKUP(YEAR($A52),'NY East Load Projections'!$A$4:$EO$14,((MONTH($A52)-1)*12)+VLOOKUP(L$4,$DE$6:$DF$17,2)+1))*(VLOOKUP($A52,CURVES!$D$9:$K$261,6))*(INDEX(DailyScalarsTable,L$5/100,MONTH($A52)))*$B52</f>
        <v>-36489.273690532347</v>
      </c>
      <c r="M52" s="1021">
        <f>(VLOOKUP(YEAR($A52),'NY East Load Projections'!$A$4:$EO$14,((MONTH($A52)-1)*12)+VLOOKUP(M$4,$DE$6:$DF$17,2)+1))*(VLOOKUP($A52,CURVES!$D$9:$K$261,6))*(INDEX(DailyScalarsTable,M$5/100,MONTH($A52)))*$B52</f>
        <v>-42040.151618744603</v>
      </c>
      <c r="N52" s="1021">
        <f>(VLOOKUP(YEAR($A52),'NY East Load Projections'!$A$4:$EO$14,((MONTH($A52)-1)*12)+VLOOKUP(N$4,$DE$6:$DF$17,2)+1))*(VLOOKUP($A52,CURVES!$D$9:$K$261,6))*(INDEX(DailyScalarsTable,N$5/100,MONTH($A52)))*$B52</f>
        <v>-60218.371142897289</v>
      </c>
      <c r="O52" s="1021">
        <f>(VLOOKUP(YEAR($A52),'NY East Load Projections'!$A$4:$EO$14,((MONTH($A52)-1)*12)+VLOOKUP(O$4,$DE$6:$DF$17,2)+1))*(VLOOKUP($A52,CURVES!$D$9:$K$261,2))*(INDEX(DailyScalarsTable,O$5/100,MONTH($A52)))*$B52</f>
        <v>-67399.241627945157</v>
      </c>
      <c r="P52" s="1021">
        <f>(VLOOKUP(YEAR($A52),'NY East Load Projections'!$A$4:$EO$14,((MONTH($A52)-1)*12)+VLOOKUP(P$4,$DE$6:$DF$17,2)+1))*(VLOOKUP($A52,CURVES!$D$9:$K$261,2))*(INDEX(DailyScalarsTable,P$5/100,MONTH($A52)))*$B52</f>
        <v>-78458.608667404595</v>
      </c>
      <c r="Q52" s="1021">
        <f>(VLOOKUP(YEAR($A52),'NY East Load Projections'!$A$4:$EO$14,((MONTH($A52)-1)*12)+VLOOKUP(Q$4,$DE$6:$DF$17,2)+1))*(VLOOKUP($A52,CURVES!$D$9:$K$261,2))*(INDEX(DailyScalarsTable,Q$5/100,MONTH($A52)))*$B52</f>
        <v>-77950.474846173369</v>
      </c>
      <c r="R52" s="1021">
        <f>(VLOOKUP(YEAR($A52),'NY East Load Projections'!$A$4:$EO$14,((MONTH($A52)-1)*12)+VLOOKUP(R$4,$DE$6:$DF$17,2)+1))*(VLOOKUP($A52,CURVES!$D$9:$K$261,2))*(INDEX(DailyScalarsTable,R$5/100,MONTH($A52)))*$B52</f>
        <v>-76446.673402259345</v>
      </c>
      <c r="S52" s="1021">
        <f>(VLOOKUP(YEAR($A52),'NY East Load Projections'!$A$4:$EO$14,((MONTH($A52)-1)*12)+VLOOKUP(S$4,$DE$6:$DF$17,2)+1))*(VLOOKUP($A52,CURVES!$D$9:$K$261,2))*(INDEX(DailyScalarsTable,S$5/100,MONTH($A52)))*$B52</f>
        <v>-64368.195138128016</v>
      </c>
      <c r="T52" s="1021">
        <f>(VLOOKUP(YEAR($A52),'NY East Load Projections'!$A$4:$EO$14,((MONTH($A52)-1)*12)+VLOOKUP(T$4,$DE$6:$DF$17,2)+1))*(VLOOKUP($A52,CURVES!$D$9:$K$261,2))*(INDEX(DailyScalarsTable,T$5/100,MONTH($A52)))*$B52</f>
        <v>-62195.322655831245</v>
      </c>
      <c r="U52" s="1021">
        <f>(VLOOKUP(YEAR($A52),'NY East Load Projections'!$A$4:$EO$14,((MONTH($A52)-1)*12)+VLOOKUP(U$4,$DE$6:$DF$17,2)+1))*(VLOOKUP($A52,CURVES!$D$9:$K$261,2))*(INDEX(DailyScalarsTable,U$5/100,MONTH($A52)))*$B52</f>
        <v>-60525.791398675057</v>
      </c>
      <c r="V52" s="1021">
        <f>(VLOOKUP(YEAR($A52),'NY East Load Projections'!$A$4:$EO$14,((MONTH($A52)-1)*12)+VLOOKUP(V$4,$DE$6:$DF$17,2)+1))*(VLOOKUP($A52,CURVES!$D$9:$K$261,2))*(INDEX(DailyScalarsTable,V$5/100,MONTH($A52)))*$B52</f>
        <v>-59109.859826150176</v>
      </c>
      <c r="W52" s="1021">
        <f>(VLOOKUP(YEAR($A52),'NY East Load Projections'!$A$4:$EO$14,((MONTH($A52)-1)*12)+VLOOKUP(W$4,$DE$6:$DF$17,2)+1))*(VLOOKUP($A52,CURVES!$D$9:$K$261,2))*(INDEX(DailyScalarsTable,W$5/100,MONTH($A52)))*$B52</f>
        <v>-58137.727701730124</v>
      </c>
      <c r="X52" s="1021">
        <f>(VLOOKUP(YEAR($A52),'NY East Load Projections'!$A$4:$EO$14,((MONTH($A52)-1)*12)+VLOOKUP(X$4,$DE$6:$DF$17,2)+1))*(VLOOKUP($A52,CURVES!$D$9:$K$261,2))*(INDEX(DailyScalarsTable,X$5/100,MONTH($A52)))*$B52</f>
        <v>-59193.943869068258</v>
      </c>
      <c r="Y52" s="1021">
        <f>(VLOOKUP(YEAR($A52),'NY East Load Projections'!$A$4:$EO$14,((MONTH($A52)-1)*12)+VLOOKUP(Y$4,$DE$6:$DF$17,2)+1))*(VLOOKUP($A52,CURVES!$D$9:$K$261,2))*(INDEX(DailyScalarsTable,Y$5/100,MONTH($A52)))*$B52</f>
        <v>-81259.811733637471</v>
      </c>
      <c r="Z52" s="1021">
        <f>(VLOOKUP(YEAR($A52),'NY East Load Projections'!$A$4:$EO$14,((MONTH($A52)-1)*12)+VLOOKUP(Z$4,$DE$6:$DF$17,2)+1))*(VLOOKUP($A52,CURVES!$D$9:$K$261,2))*(INDEX(DailyScalarsTable,Z$5/100,MONTH($A52)))*$B52</f>
        <v>-81914.109782269181</v>
      </c>
      <c r="AA52" s="1021">
        <f>(VLOOKUP(YEAR($A52),'NY East Load Projections'!$A$4:$EO$14,((MONTH($A52)-1)*12)+VLOOKUP(AA$4,$DE$6:$DF$17,2)+1))*(VLOOKUP($A52,CURVES!$D$9:$K$261,2))*(INDEX(DailyScalarsTable,AA$5/100,MONTH($A52)))*$B52</f>
        <v>-78562.501410706769</v>
      </c>
      <c r="AB52" s="1021">
        <f>(VLOOKUP(YEAR($A52),'NY East Load Projections'!$A$4:$EO$14,((MONTH($A52)-1)*12)+VLOOKUP(AB$4,$DE$6:$DF$17,2)+1))*(VLOOKUP($A52,CURVES!$D$9:$K$261,2))*(INDEX(DailyScalarsTable,AB$5/100,MONTH($A52)))*$B52</f>
        <v>-65489.27370591076</v>
      </c>
      <c r="AC52" s="1021">
        <f>(VLOOKUP(YEAR($A52),'NY East Load Projections'!$A$4:$EO$14,((MONTH($A52)-1)*12)+VLOOKUP(AC$4,$DE$6:$DF$17,2)+1))*(VLOOKUP($A52,CURVES!$D$9:$K$261,2))*(INDEX(DailyScalarsTable,AC$5/100,MONTH($A52)))*$B52</f>
        <v>-52095.517388244931</v>
      </c>
      <c r="AD52" s="1021">
        <f>(VLOOKUP(YEAR($A52),'NY East Load Projections'!$A$4:$EO$14,((MONTH($A52)-1)*12)+VLOOKUP(AD$4,$DE$6:$DF$17,2)+1))*(VLOOKUP($A52,CURVES!$D$9:$K$261,2))*(INDEX(DailyScalarsTable,AD$5/100,MONTH($A52)))*$B52</f>
        <v>-43934.166996205175</v>
      </c>
      <c r="AE52" s="1021">
        <f>(VLOOKUP(YEAR($A52),'NY East Load Projections'!$A$4:$EO$14,((MONTH($A52)-1)*12)+VLOOKUP(AE$4,$DE$6:$DF$17,2)+1))*(VLOOKUP($A52,CURVES!$D$9:$K$261,6))*(INDEX(DailyScalarsTable,AE$5/100,MONTH($A52)))*$B52</f>
        <v>-40430.844141868394</v>
      </c>
      <c r="AF52" s="1021"/>
      <c r="AG52" s="1021">
        <f>(VLOOKUP(YEAR($A52),'NY East Load Projections'!$A$4:$EO$14,((MONTH($A52)-1)*12)+VLOOKUP(AG$4,$DE$6:$DF$17,2)+1))*(VLOOKUP($A52,CURVES!$D$9:$T$261,6))*(INDEX(DailyScalarsTable,AG$5/100,MONTH($A52)))*$C52</f>
        <v>-6856.9562638793877</v>
      </c>
      <c r="AH52" s="1021">
        <f>(VLOOKUP(YEAR($A52),'NY East Load Projections'!$A$4:$EO$14,((MONTH($A52)-1)*12)+VLOOKUP(AH$4,$DE$6:$DF$17,2)+1))*(VLOOKUP($A52,CURVES!$D$9:$T$261,6))*(INDEX(DailyScalarsTable,AH$5/100,MONTH($A52)))*$C52</f>
        <v>-6500.64535742928</v>
      </c>
      <c r="AI52" s="1021">
        <f>(VLOOKUP(YEAR($A52),'NY East Load Projections'!$A$4:$EO$14,((MONTH($A52)-1)*12)+VLOOKUP(AI$4,$DE$6:$DF$17,2)+1))*(VLOOKUP($A52,CURVES!$D$9:$T$261,6))*(INDEX(DailyScalarsTable,AI$5/100,MONTH($A52)))*$C52</f>
        <v>-6238.7605297071523</v>
      </c>
      <c r="AJ52" s="1021">
        <f>(VLOOKUP(YEAR($A52),'NY East Load Projections'!$A$4:$EO$14,((MONTH($A52)-1)*12)+VLOOKUP(AJ$4,$DE$6:$DF$17,2)+1))*(VLOOKUP($A52,CURVES!$D$9:$T$261,6))*(INDEX(DailyScalarsTable,AJ$5/100,MONTH($A52)))*$C52</f>
        <v>-6242.4490484074631</v>
      </c>
      <c r="AK52" s="1021">
        <f>(VLOOKUP(YEAR($A52),'NY East Load Projections'!$A$4:$EO$14,((MONTH($A52)-1)*12)+VLOOKUP(AK$4,$DE$6:$DF$17,2)+1))*(VLOOKUP($A52,CURVES!$D$9:$T$261,6))*(INDEX(DailyScalarsTable,AK$5/100,MONTH($A52)))*$C52</f>
        <v>-6785.6386419761775</v>
      </c>
      <c r="AL52" s="1021">
        <f>(VLOOKUP(YEAR($A52),'NY East Load Projections'!$A$4:$EO$14,((MONTH($A52)-1)*12)+VLOOKUP(AL$4,$DE$6:$DF$17,2)+1))*(VLOOKUP($A52,CURVES!$D$9:$T$261,6))*(INDEX(DailyScalarsTable,AL$5/100,MONTH($A52)))*$C52</f>
        <v>-7817.8940956204297</v>
      </c>
      <c r="AM52" s="1021">
        <f>(VLOOKUP(YEAR($A52),'NY East Load Projections'!$A$4:$EO$14,((MONTH($A52)-1)*12)+VLOOKUP(AM$4,$DE$6:$DF$17,2)+1))*(VLOOKUP($A52,CURVES!$D$9:$T$261,6))*(INDEX(DailyScalarsTable,AM$5/100,MONTH($A52)))*$C52</f>
        <v>-11198.362281738953</v>
      </c>
      <c r="AN52" s="1021">
        <f>(VLOOKUP(YEAR($A52),'NY East Load Projections'!$A$4:$EO$14,((MONTH($A52)-1)*12)+VLOOKUP(AN$4,$DE$6:$DF$17,2)+1))*(VLOOKUP($A52,SatSunCurve,2))*(INDEX(DailyScalarsTable,AN$5/100,MONTH($A52)))*$C52</f>
        <v>-9870.8669538390404</v>
      </c>
      <c r="AO52" s="1021">
        <f>(VLOOKUP(YEAR($A52),'NY East Load Projections'!$A$4:$EO$14,((MONTH($A52)-1)*12)+VLOOKUP(AO$4,$DE$6:$DF$17,2)+1))*(VLOOKUP($A52,SatSunCurve,2))*(INDEX(DailyScalarsTable,AO$5/100,MONTH($A52)))*$C52</f>
        <v>-11230.704206684621</v>
      </c>
      <c r="AP52" s="1021">
        <f>(VLOOKUP(YEAR($A52),'NY East Load Projections'!$A$4:$EO$14,((MONTH($A52)-1)*12)+VLOOKUP(AP$4,$DE$6:$DF$17,2)+1))*(VLOOKUP($A52,SatSunCurve,2))*(INDEX(DailyScalarsTable,AP$5/100,MONTH($A52)))*$C52</f>
        <v>-11157.969031531928</v>
      </c>
      <c r="AQ52" s="1021">
        <f>(VLOOKUP(YEAR($A52),'NY East Load Projections'!$A$4:$EO$14,((MONTH($A52)-1)*12)+VLOOKUP(AQ$4,$DE$6:$DF$17,2)+1))*(VLOOKUP($A52,SatSunCurve,2))*(INDEX(DailyScalarsTable,AQ$5/100,MONTH($A52)))*$C52</f>
        <v>-10942.712229390852</v>
      </c>
      <c r="AR52" s="1021">
        <f>(VLOOKUP(YEAR($A52),'NY East Load Projections'!$A$4:$EO$14,((MONTH($A52)-1)*12)+VLOOKUP(AR$4,$DE$6:$DF$17,2)+1))*(VLOOKUP($A52,SatSunCurve,2))*(INDEX(DailyScalarsTable,AR$5/100,MONTH($A52)))*$C52</f>
        <v>-9213.7774578559111</v>
      </c>
      <c r="AS52" s="1021">
        <f>(VLOOKUP(YEAR($A52),'NY East Load Projections'!$A$4:$EO$14,((MONTH($A52)-1)*12)+VLOOKUP(AS$4,$DE$6:$DF$17,2)+1))*(VLOOKUP($A52,SatSunCurve,2))*(INDEX(DailyScalarsTable,AS$5/100,MONTH($A52)))*$C52</f>
        <v>-8885.4350483222588</v>
      </c>
      <c r="AT52" s="1021">
        <f>(VLOOKUP(YEAR($A52),'NY East Load Projections'!$A$4:$EO$14,((MONTH($A52)-1)*12)+VLOOKUP(AT$4,$DE$6:$DF$17,2)+1))*(VLOOKUP($A52,SatSunCurve,2))*(INDEX(DailyScalarsTable,AT$5/100,MONTH($A52)))*$C52</f>
        <v>-8646.9201421661401</v>
      </c>
      <c r="AU52" s="1021">
        <f>(VLOOKUP(YEAR($A52),'NY East Load Projections'!$A$4:$EO$14,((MONTH($A52)-1)*12)+VLOOKUP(AU$4,$DE$6:$DF$17,2)+1))*(VLOOKUP($A52,SatSunCurve,2))*(INDEX(DailyScalarsTable,AU$5/100,MONTH($A52)))*$C52</f>
        <v>-8444.6353483375333</v>
      </c>
      <c r="AV52" s="1021">
        <f>(VLOOKUP(YEAR($A52),'NY East Load Projections'!$A$4:$EO$14,((MONTH($A52)-1)*12)+VLOOKUP(AV$4,$DE$6:$DF$17,2)+1))*(VLOOKUP($A52,SatSunCurve,2))*(INDEX(DailyScalarsTable,AV$5/100,MONTH($A52)))*$C52</f>
        <v>-8305.7532510820711</v>
      </c>
      <c r="AW52" s="1021">
        <f>(VLOOKUP(YEAR($A52),'NY East Load Projections'!$A$4:$EO$14,((MONTH($A52)-1)*12)+VLOOKUP(AW$4,$DE$6:$DF$17,2)+1))*(VLOOKUP($A52,SatSunCurve,2))*(INDEX(DailyScalarsTable,AW$5/100,MONTH($A52)))*$C52</f>
        <v>-8521.7437536526522</v>
      </c>
      <c r="AX52" s="1021">
        <f>(VLOOKUP(YEAR($A52),'NY East Load Projections'!$A$4:$EO$14,((MONTH($A52)-1)*12)+VLOOKUP(AX$4,$DE$6:$DF$17,2)+1))*(VLOOKUP($A52,SatSunCurve,2))*(INDEX(DailyScalarsTable,AX$5/100,MONTH($A52)))*$C52</f>
        <v>-11698.414530307517</v>
      </c>
      <c r="AY52" s="1021">
        <f>(VLOOKUP(YEAR($A52),'NY East Load Projections'!$A$4:$EO$14,((MONTH($A52)-1)*12)+VLOOKUP(AY$4,$DE$6:$DF$17,2)+1))*(VLOOKUP($A52,SatSunCurve,2))*(INDEX(DailyScalarsTable,AY$5/100,MONTH($A52)))*$C52</f>
        <v>-11792.609306740853</v>
      </c>
      <c r="AZ52" s="1021">
        <f>(VLOOKUP(YEAR($A52),'NY East Load Projections'!$A$4:$EO$14,((MONTH($A52)-1)*12)+VLOOKUP(AZ$4,$DE$6:$DF$17,2)+1))*(VLOOKUP($A52,SatSunCurve,2))*(INDEX(DailyScalarsTable,AZ$5/100,MONTH($A52)))*$C52</f>
        <v>-11310.101370317028</v>
      </c>
      <c r="BA52" s="1021">
        <f>(VLOOKUP(YEAR($A52),'NY East Load Projections'!$A$4:$EO$14,((MONTH($A52)-1)*12)+VLOOKUP(BA$4,$DE$6:$DF$17,2)+1))*(VLOOKUP($A52,SatSunCurve,2))*(INDEX(DailyScalarsTable,BA$5/100,MONTH($A52)))*$C52</f>
        <v>-10030.006792068029</v>
      </c>
      <c r="BB52" s="1021">
        <f>(VLOOKUP(YEAR($A52),'NY East Load Projections'!$A$4:$EO$14,((MONTH($A52)-1)*12)+VLOOKUP(BB$4,$DE$6:$DF$17,2)+1))*(VLOOKUP($A52,SatSunCurve,2))*(INDEX(DailyScalarsTable,BB$5/100,MONTH($A52)))*$C52</f>
        <v>-7978.6866409122285</v>
      </c>
      <c r="BC52" s="1021">
        <f>(VLOOKUP(YEAR($A52),'NY East Load Projections'!$A$4:$EO$14,((MONTH($A52)-1)*12)+VLOOKUP(BC$4,$DE$6:$DF$17,2)+1))*(VLOOKUP($A52,SatSunCurve,2))*(INDEX(DailyScalarsTable,BC$5/100,MONTH($A52)))*$C52</f>
        <v>-6728.7353858074157</v>
      </c>
      <c r="BD52" s="1021">
        <f>(VLOOKUP(YEAR($A52),'NY East Load Projections'!$A$4:$EO$14,((MONTH($A52)-1)*12)+VLOOKUP(BD$4,$DE$6:$DF$17,2)+1))*(VLOOKUP($A52,CURVES!$D$9:$T$261,6))*(INDEX(DailyScalarsTable,BD$5/100,MONTH($A52)))*$C52</f>
        <v>-7862.652520948669</v>
      </c>
      <c r="BE52" s="1021"/>
      <c r="BF52" s="1021">
        <f>(VLOOKUP(YEAR($A52),'NY East Load Projections'!$A$4:$EO$14,((MONTH($A52)-1)*12)+VLOOKUP(BF$4,$DE$6:$DF$17,2)+1))*(VLOOKUP($A52,CURVES!$D$9:$T$261,6))*(INDEX(DailyScalarsTable,BF$5/100,MONTH($A52)))*$D52</f>
        <v>-6856.9562638793877</v>
      </c>
      <c r="BG52" s="1021">
        <f>(VLOOKUP(YEAR($A52),'NY East Load Projections'!$A$4:$EO$14,((MONTH($A52)-1)*12)+VLOOKUP(BG$4,$DE$6:$DF$17,2)+1))*(VLOOKUP($A52,CURVES!$D$9:$T$261,6))*(INDEX(DailyScalarsTable,BG$5/100,MONTH($A52)))*$D52</f>
        <v>-6500.64535742928</v>
      </c>
      <c r="BH52" s="1021">
        <f>(VLOOKUP(YEAR($A52),'NY East Load Projections'!$A$4:$EO$14,((MONTH($A52)-1)*12)+VLOOKUP(BH$4,$DE$6:$DF$17,2)+1))*(VLOOKUP($A52,CURVES!$D$9:$T$261,6))*(INDEX(DailyScalarsTable,BH$5/100,MONTH($A52)))*$D52</f>
        <v>-6238.7605297071523</v>
      </c>
      <c r="BI52" s="1021">
        <f>(VLOOKUP(YEAR($A52),'NY East Load Projections'!$A$4:$EO$14,((MONTH($A52)-1)*12)+VLOOKUP(BI$4,$DE$6:$DF$17,2)+1))*(VLOOKUP($A52,CURVES!$D$9:$T$261,6))*(INDEX(DailyScalarsTable,BI$5/100,MONTH($A52)))*$D52</f>
        <v>-6242.4490484074631</v>
      </c>
      <c r="BJ52" s="1021">
        <f>(VLOOKUP(YEAR($A52),'NY East Load Projections'!$A$4:$EO$14,((MONTH($A52)-1)*12)+VLOOKUP(BJ$4,$DE$6:$DF$17,2)+1))*(VLOOKUP($A52,CURVES!$D$9:$T$261,6))*(INDEX(DailyScalarsTable,BJ$5/100,MONTH($A52)))*$D52</f>
        <v>-6785.6386419761775</v>
      </c>
      <c r="BK52" s="1021">
        <f>(VLOOKUP(YEAR($A52),'NY East Load Projections'!$A$4:$EO$14,((MONTH($A52)-1)*12)+VLOOKUP(BK$4,$DE$6:$DF$17,2)+1))*(VLOOKUP($A52,CURVES!$D$9:$T$261,6))*(INDEX(DailyScalarsTable,BK$5/100,MONTH($A52)))*$D52</f>
        <v>-7817.8940956204297</v>
      </c>
      <c r="BL52" s="1021">
        <f>(VLOOKUP(YEAR($A52),'NY East Load Projections'!$A$4:$EO$14,((MONTH($A52)-1)*12)+VLOOKUP(BL$4,$DE$6:$DF$17,2)+1))*(VLOOKUP($A52,CURVES!$D$9:$T$261,6))*(INDEX(DailyScalarsTable,BL$5/100,MONTH($A52)))*$D52</f>
        <v>-11198.362281738953</v>
      </c>
      <c r="BM52" s="1021">
        <f>(VLOOKUP(YEAR($A52),'NY East Load Projections'!$A$4:$EO$14,((MONTH($A52)-1)*12)+VLOOKUP(BM$4,$DE$6:$DF$17,2)+1))*(VLOOKUP($A52,SatSunCurve,6))*(INDEX(DailyScalarsTable,BM$5/100,MONTH($A52)))*$D52</f>
        <v>-7917.9280550920885</v>
      </c>
      <c r="BN52" s="1021">
        <f>(VLOOKUP(YEAR($A52),'NY East Load Projections'!$A$4:$EO$14,((MONTH($A52)-1)*12)+VLOOKUP(BN$4,$DE$6:$DF$17,2)+1))*(VLOOKUP($A52,SatSunCurve,6))*(INDEX(DailyScalarsTable,BN$5/100,MONTH($A52)))*$D52</f>
        <v>-9008.7231782578165</v>
      </c>
      <c r="BO52" s="1021">
        <f>(VLOOKUP(YEAR($A52),'NY East Load Projections'!$A$4:$EO$14,((MONTH($A52)-1)*12)+VLOOKUP(BO$4,$DE$6:$DF$17,2)+1))*(VLOOKUP($A52,SatSunCurve,6))*(INDEX(DailyScalarsTable,BO$5/100,MONTH($A52)))*$D52</f>
        <v>-8950.378568141321</v>
      </c>
      <c r="BP52" s="1021">
        <f>(VLOOKUP(YEAR($A52),'NY East Load Projections'!$A$4:$EO$14,((MONTH($A52)-1)*12)+VLOOKUP(BP$4,$DE$6:$DF$17,2)+1))*(VLOOKUP($A52,SatSunCurve,6))*(INDEX(DailyScalarsTable,BP$5/100,MONTH($A52)))*$D52</f>
        <v>-8777.7100598235847</v>
      </c>
      <c r="BQ52" s="1021">
        <f>(VLOOKUP(YEAR($A52),'NY East Load Projections'!$A$4:$EO$14,((MONTH($A52)-1)*12)+VLOOKUP(BQ$4,$DE$6:$DF$17,2)+1))*(VLOOKUP($A52,SatSunCurve,6))*(INDEX(DailyScalarsTable,BQ$5/100,MONTH($A52)))*$D52</f>
        <v>-7390.8429085409398</v>
      </c>
      <c r="BR52" s="1021">
        <f>(VLOOKUP(YEAR($A52),'NY East Load Projections'!$A$4:$EO$14,((MONTH($A52)-1)*12)+VLOOKUP(BR$4,$DE$6:$DF$17,2)+1))*(VLOOKUP($A52,SatSunCurve,6))*(INDEX(DailyScalarsTable,BR$5/100,MONTH($A52)))*$D52</f>
        <v>-7127.4626413079886</v>
      </c>
      <c r="BS52" s="1021">
        <f>(VLOOKUP(YEAR($A52),'NY East Load Projections'!$A$4:$EO$14,((MONTH($A52)-1)*12)+VLOOKUP(BS$4,$DE$6:$DF$17,2)+1))*(VLOOKUP($A52,SatSunCurve,6))*(INDEX(DailyScalarsTable,BS$5/100,MONTH($A52)))*$D52</f>
        <v>-6936.1376162779743</v>
      </c>
      <c r="BT52" s="1021">
        <f>(VLOOKUP(YEAR($A52),'NY East Load Projections'!$A$4:$EO$14,((MONTH($A52)-1)*12)+VLOOKUP(BT$4,$DE$6:$DF$17,2)+1))*(VLOOKUP($A52,SatSunCurve,6))*(INDEX(DailyScalarsTable,BT$5/100,MONTH($A52)))*$D52</f>
        <v>-6773.8746203664432</v>
      </c>
      <c r="BU52" s="1021">
        <f>(VLOOKUP(YEAR($A52),'NY East Load Projections'!$A$4:$EO$14,((MONTH($A52)-1)*12)+VLOOKUP(BU$4,$DE$6:$DF$17,2)+1))*(VLOOKUP($A52,SatSunCurve,6))*(INDEX(DailyScalarsTable,BU$5/100,MONTH($A52)))*$D52</f>
        <v>-6662.470175412258</v>
      </c>
      <c r="BV52" s="1021">
        <f>(VLOOKUP(YEAR($A52),'NY East Load Projections'!$A$4:$EO$14,((MONTH($A52)-1)*12)+VLOOKUP(BV$4,$DE$6:$DF$17,2)+1))*(VLOOKUP($A52,SatSunCurve,6))*(INDEX(DailyScalarsTable,BV$5/100,MONTH($A52)))*$D52</f>
        <v>-6835.7272224310018</v>
      </c>
      <c r="BW52" s="1021">
        <f>(VLOOKUP(YEAR($A52),'NY East Load Projections'!$A$4:$EO$14,((MONTH($A52)-1)*12)+VLOOKUP(BW$4,$DE$6:$DF$17,2)+1))*(VLOOKUP($A52,SatSunCurve,6))*(INDEX(DailyScalarsTable,BW$5/100,MONTH($A52)))*$D52</f>
        <v>-9383.8975890150832</v>
      </c>
      <c r="BX52" s="1021">
        <f>(VLOOKUP(YEAR($A52),'NY East Load Projections'!$A$4:$EO$14,((MONTH($A52)-1)*12)+VLOOKUP(BX$4,$DE$6:$DF$17,2)+1))*(VLOOKUP($A52,SatSunCurve,6))*(INDEX(DailyScalarsTable,BX$5/100,MONTH($A52)))*$D52</f>
        <v>-9459.4560446656851</v>
      </c>
      <c r="BY52" s="1021">
        <f>(VLOOKUP(YEAR($A52),'NY East Load Projections'!$A$4:$EO$14,((MONTH($A52)-1)*12)+VLOOKUP(BY$4,$DE$6:$DF$17,2)+1))*(VLOOKUP($A52,SatSunCurve,6))*(INDEX(DailyScalarsTable,BY$5/100,MONTH($A52)))*$D52</f>
        <v>-9072.4117106187223</v>
      </c>
      <c r="BZ52" s="1021">
        <f>(VLOOKUP(YEAR($A52),'NY East Load Projections'!$A$4:$EO$14,((MONTH($A52)-1)*12)+VLOOKUP(BZ$4,$DE$6:$DF$17,2)+1))*(VLOOKUP($A52,SatSunCurve,6))*(INDEX(DailyScalarsTable,BZ$5/100,MONTH($A52)))*$D52</f>
        <v>-8045.5822718583322</v>
      </c>
      <c r="CA52" s="1021">
        <f>(VLOOKUP(YEAR($A52),'NY East Load Projections'!$A$4:$EO$14,((MONTH($A52)-1)*12)+VLOOKUP(CA$4,$DE$6:$DF$17,2)+1))*(VLOOKUP($A52,SatSunCurve,6))*(INDEX(DailyScalarsTable,CA$5/100,MONTH($A52)))*$D52</f>
        <v>-6400.1132922065271</v>
      </c>
      <c r="CB52" s="1021">
        <f>(VLOOKUP(YEAR($A52),'NY East Load Projections'!$A$4:$EO$14,((MONTH($A52)-1)*12)+VLOOKUP(CB$4,$DE$6:$DF$17,2)+1))*(VLOOKUP($A52,SatSunCurve,6))*(INDEX(DailyScalarsTable,CB$5/100,MONTH($A52)))*$D52</f>
        <v>-5397.4633571425402</v>
      </c>
      <c r="CC52" s="1021">
        <f>(VLOOKUP(YEAR($A52),'NY East Load Projections'!$A$4:$EO$14,((MONTH($A52)-1)*12)+VLOOKUP(CC$4,$DE$6:$DF$17,2)+1))*(VLOOKUP($A52,CURVES!$D$9:$T$261,6))*(INDEX(DailyScalarsTable,CC$5/100,MONTH($A52)))*$D52</f>
        <v>-7862.652520948669</v>
      </c>
      <c r="CE52" s="1021">
        <f>(VLOOKUP(YEAR($A52),'NY East Load Projections'!$A$4:$EO$14,((MONTH($A52)-1)*12)+VLOOKUP(CE$4,$DE$6:$DF$17,2)+1))*(VLOOKUP($A52,CURVES!$D$9:$T$261,6))*(INDEX(DailyScalarsTable,CE$5/100,MONTH($A52)))*$E52</f>
        <v>-1714.2390659698469</v>
      </c>
      <c r="CF52" s="1021">
        <f>(VLOOKUP(YEAR($A52),'NY East Load Projections'!$A$4:$EO$14,((MONTH($A52)-1)*12)+VLOOKUP(CF$4,$DE$6:$DF$17,2)+1))*(VLOOKUP($A52,CURVES!$D$9:$T$261,6))*(INDEX(DailyScalarsTable,CF$5/100,MONTH($A52)))*$E52</f>
        <v>-1625.16133935732</v>
      </c>
      <c r="CG52" s="1021">
        <f>(VLOOKUP(YEAR($A52),'NY East Load Projections'!$A$4:$EO$14,((MONTH($A52)-1)*12)+VLOOKUP(CG$4,$DE$6:$DF$17,2)+1))*(VLOOKUP($A52,CURVES!$D$9:$T$261,6))*(INDEX(DailyScalarsTable,CG$5/100,MONTH($A52)))*$E52</f>
        <v>-1559.6901324267881</v>
      </c>
      <c r="CH52" s="1021">
        <f>(VLOOKUP(YEAR($A52),'NY East Load Projections'!$A$4:$EO$14,((MONTH($A52)-1)*12)+VLOOKUP(CH$4,$DE$6:$DF$17,2)+1))*(VLOOKUP($A52,CURVES!$D$9:$T$261,6))*(INDEX(DailyScalarsTable,CH$5/100,MONTH($A52)))*$E52</f>
        <v>-1560.6122621018658</v>
      </c>
      <c r="CI52" s="1021">
        <f>(VLOOKUP(YEAR($A52),'NY East Load Projections'!$A$4:$EO$14,((MONTH($A52)-1)*12)+VLOOKUP(CI$4,$DE$6:$DF$17,2)+1))*(VLOOKUP($A52,CURVES!$D$9:$T$261,6))*(INDEX(DailyScalarsTable,CI$5/100,MONTH($A52)))*$E52</f>
        <v>-1696.4096604940444</v>
      </c>
      <c r="CJ52" s="1021">
        <f>(VLOOKUP(YEAR($A52),'NY East Load Projections'!$A$4:$EO$14,((MONTH($A52)-1)*12)+VLOOKUP(CJ$4,$DE$6:$DF$17,2)+1))*(VLOOKUP($A52,CURVES!$D$9:$T$261,6))*(INDEX(DailyScalarsTable,CJ$5/100,MONTH($A52)))*$E52</f>
        <v>-1954.4735239051074</v>
      </c>
      <c r="CK52" s="1021">
        <f>(VLOOKUP(YEAR($A52),'NY East Load Projections'!$A$4:$EO$14,((MONTH($A52)-1)*12)+VLOOKUP(CK$4,$DE$6:$DF$17,2)+1))*(VLOOKUP($A52,CURVES!$D$9:$T$261,6))*(INDEX(DailyScalarsTable,CK$5/100,MONTH($A52)))*$E52</f>
        <v>-2799.5905704347383</v>
      </c>
      <c r="CL52" s="1021">
        <f>(VLOOKUP(YEAR($A52),'NY East Load Projections'!$A$4:$EO$14,((MONTH($A52)-1)*12)+VLOOKUP(CL$4,$DE$6:$DF$17,2)+1))*(VLOOKUP($A52,SatSunCurve,6))*(INDEX(DailyScalarsTable,CL$5/100,MONTH($A52)))*$E52</f>
        <v>-1979.4820137730221</v>
      </c>
      <c r="CM52" s="1021">
        <f>(VLOOKUP(YEAR($A52),'NY East Load Projections'!$A$4:$EO$14,((MONTH($A52)-1)*12)+VLOOKUP(CM$4,$DE$6:$DF$17,2)+1))*(VLOOKUP($A52,SatSunCurve,6))*(INDEX(DailyScalarsTable,CM$5/100,MONTH($A52)))*$E52</f>
        <v>-2252.1807945644541</v>
      </c>
      <c r="CN52" s="1021">
        <f>(VLOOKUP(YEAR($A52),'NY East Load Projections'!$A$4:$EO$14,((MONTH($A52)-1)*12)+VLOOKUP(CN$4,$DE$6:$DF$17,2)+1))*(VLOOKUP($A52,SatSunCurve,6))*(INDEX(DailyScalarsTable,CN$5/100,MONTH($A52)))*$E52</f>
        <v>-2237.5946420353303</v>
      </c>
      <c r="CO52" s="1021">
        <f>(VLOOKUP(YEAR($A52),'NY East Load Projections'!$A$4:$EO$14,((MONTH($A52)-1)*12)+VLOOKUP(CO$4,$DE$6:$DF$17,2)+1))*(VLOOKUP($A52,SatSunCurve,6))*(INDEX(DailyScalarsTable,CO$5/100,MONTH($A52)))*$E52</f>
        <v>-2194.4275149558962</v>
      </c>
      <c r="CP52" s="1021">
        <f>(VLOOKUP(YEAR($A52),'NY East Load Projections'!$A$4:$EO$14,((MONTH($A52)-1)*12)+VLOOKUP(CP$4,$DE$6:$DF$17,2)+1))*(VLOOKUP($A52,SatSunCurve,6))*(INDEX(DailyScalarsTable,CP$5/100,MONTH($A52)))*$E52</f>
        <v>-1847.7107271352349</v>
      </c>
      <c r="CQ52" s="1021">
        <f>(VLOOKUP(YEAR($A52),'NY East Load Projections'!$A$4:$EO$14,((MONTH($A52)-1)*12)+VLOOKUP(CQ$4,$DE$6:$DF$17,2)+1))*(VLOOKUP($A52,SatSunCurve,6))*(INDEX(DailyScalarsTable,CQ$5/100,MONTH($A52)))*$E52</f>
        <v>-1781.8656603269972</v>
      </c>
      <c r="CR52" s="1021">
        <f>(VLOOKUP(YEAR($A52),'NY East Load Projections'!$A$4:$EO$14,((MONTH($A52)-1)*12)+VLOOKUP(CR$4,$DE$6:$DF$17,2)+1))*(VLOOKUP($A52,SatSunCurve,6))*(INDEX(DailyScalarsTable,CR$5/100,MONTH($A52)))*$E52</f>
        <v>-1734.0344040694936</v>
      </c>
      <c r="CS52" s="1021">
        <f>(VLOOKUP(YEAR($A52),'NY East Load Projections'!$A$4:$EO$14,((MONTH($A52)-1)*12)+VLOOKUP(CS$4,$DE$6:$DF$17,2)+1))*(VLOOKUP($A52,SatSunCurve,6))*(INDEX(DailyScalarsTable,CS$5/100,MONTH($A52)))*$E52</f>
        <v>-1693.4686550916108</v>
      </c>
      <c r="CT52" s="1021">
        <f>(VLOOKUP(YEAR($A52),'NY East Load Projections'!$A$4:$EO$14,((MONTH($A52)-1)*12)+VLOOKUP(CT$4,$DE$6:$DF$17,2)+1))*(VLOOKUP($A52,SatSunCurve,6))*(INDEX(DailyScalarsTable,CT$5/100,MONTH($A52)))*$E52</f>
        <v>-1665.6175438530645</v>
      </c>
      <c r="CU52" s="1021">
        <f>(VLOOKUP(YEAR($A52),'NY East Load Projections'!$A$4:$EO$14,((MONTH($A52)-1)*12)+VLOOKUP(CU$4,$DE$6:$DF$17,2)+1))*(VLOOKUP($A52,SatSunCurve,6))*(INDEX(DailyScalarsTable,CU$5/100,MONTH($A52)))*$E52</f>
        <v>-1708.9318056077504</v>
      </c>
      <c r="CV52" s="1021">
        <f>(VLOOKUP(YEAR($A52),'NY East Load Projections'!$A$4:$EO$14,((MONTH($A52)-1)*12)+VLOOKUP(CV$4,$DE$6:$DF$17,2)+1))*(VLOOKUP($A52,SatSunCurve,6))*(INDEX(DailyScalarsTable,CV$5/100,MONTH($A52)))*$E52</f>
        <v>-2345.9743972537708</v>
      </c>
      <c r="CW52" s="1021">
        <f>(VLOOKUP(YEAR($A52),'NY East Load Projections'!$A$4:$EO$14,((MONTH($A52)-1)*12)+VLOOKUP(CW$4,$DE$6:$DF$17,2)+1))*(VLOOKUP($A52,SatSunCurve,6))*(INDEX(DailyScalarsTable,CW$5/100,MONTH($A52)))*$E52</f>
        <v>-2364.8640111664213</v>
      </c>
      <c r="CX52" s="1021">
        <f>(VLOOKUP(YEAR($A52),'NY East Load Projections'!$A$4:$EO$14,((MONTH($A52)-1)*12)+VLOOKUP(CX$4,$DE$6:$DF$17,2)+1))*(VLOOKUP($A52,SatSunCurve,6))*(INDEX(DailyScalarsTable,CX$5/100,MONTH($A52)))*$E52</f>
        <v>-2268.1029276546806</v>
      </c>
      <c r="CY52" s="1021">
        <f>(VLOOKUP(YEAR($A52),'NY East Load Projections'!$A$4:$EO$14,((MONTH($A52)-1)*12)+VLOOKUP(CY$4,$DE$6:$DF$17,2)+1))*(VLOOKUP($A52,SatSunCurve,6))*(INDEX(DailyScalarsTable,CY$5/100,MONTH($A52)))*$E52</f>
        <v>-2011.3955679645831</v>
      </c>
      <c r="CZ52" s="1021">
        <f>(VLOOKUP(YEAR($A52),'NY East Load Projections'!$A$4:$EO$14,((MONTH($A52)-1)*12)+VLOOKUP(CZ$4,$DE$6:$DF$17,2)+1))*(VLOOKUP($A52,SatSunCurve,6))*(INDEX(DailyScalarsTable,CZ$5/100,MONTH($A52)))*$E52</f>
        <v>-1600.0283230516318</v>
      </c>
      <c r="DA52" s="1021">
        <f>(VLOOKUP(YEAR($A52),'NY East Load Projections'!$A$4:$EO$14,((MONTH($A52)-1)*12)+VLOOKUP(DA$4,$DE$6:$DF$17,2)+1))*(VLOOKUP($A52,SatSunCurve,6))*(INDEX(DailyScalarsTable,DA$5/100,MONTH($A52)))*$E52</f>
        <v>-1349.365839285635</v>
      </c>
      <c r="DB52" s="1021">
        <f>(VLOOKUP(YEAR($A52),'NY East Load Projections'!$A$4:$EO$14,((MONTH($A52)-1)*12)+VLOOKUP(DB$4,$DE$6:$DF$17,2)+1))*(VLOOKUP($A52,CURVES!$D$9:$T$261,6))*(INDEX(DailyScalarsTable,DB$5/100,MONTH($A52)))*$E52</f>
        <v>-1965.6631302371673</v>
      </c>
      <c r="DH52" s="1021">
        <f t="shared" si="0"/>
        <v>-1818825.2863262063</v>
      </c>
      <c r="DI52">
        <f ca="1">CALC!J72</f>
        <v>0.70892999251362265</v>
      </c>
      <c r="DJ52" s="1029">
        <f t="shared" ca="1" si="1"/>
        <v>-1289419.7966188251</v>
      </c>
    </row>
    <row r="53" spans="1:114" x14ac:dyDescent="0.25">
      <c r="A53" s="244">
        <v>38322</v>
      </c>
      <c r="B53" s="13">
        <v>23</v>
      </c>
      <c r="C53" s="210">
        <v>3</v>
      </c>
      <c r="D53" s="210">
        <v>4</v>
      </c>
      <c r="E53" s="210">
        <v>1</v>
      </c>
      <c r="F53" s="13">
        <v>31</v>
      </c>
      <c r="H53" s="1021">
        <f>(VLOOKUP(YEAR($A53),'NY East Load Projections'!$A$4:$EO$14,((MONTH($A53)-1)*12)+VLOOKUP(H$4,$DE$6:$DF$17,2)+1))*(VLOOKUP($A53,CURVES!$D$9:$K$261,6))*(INDEX(DailyScalarsTable,H$5/100,MONTH($A53)))*$B53</f>
        <v>-38946.148275754058</v>
      </c>
      <c r="I53" s="1021">
        <f>(VLOOKUP(YEAR($A53),'NY East Load Projections'!$A$4:$EO$14,((MONTH($A53)-1)*12)+VLOOKUP(I$4,$DE$6:$DF$17,2)+1))*(VLOOKUP($A53,CURVES!$D$9:$K$261,6))*(INDEX(DailyScalarsTable,I$5/100,MONTH($A53)))*$B53</f>
        <v>-36922.373169009654</v>
      </c>
      <c r="J53" s="1021">
        <f>(VLOOKUP(YEAR($A53),'NY East Load Projections'!$A$4:$EO$14,((MONTH($A53)-1)*12)+VLOOKUP(J$4,$DE$6:$DF$17,2)+1))*(VLOOKUP($A53,CURVES!$D$9:$K$261,6))*(INDEX(DailyScalarsTable,J$5/100,MONTH($A53)))*$B53</f>
        <v>-35434.919415605385</v>
      </c>
      <c r="K53" s="1021">
        <f>(VLOOKUP(YEAR($A53),'NY East Load Projections'!$A$4:$EO$14,((MONTH($A53)-1)*12)+VLOOKUP(K$4,$DE$6:$DF$17,2)+1))*(VLOOKUP($A53,CURVES!$D$9:$K$261,6))*(INDEX(DailyScalarsTable,K$5/100,MONTH($A53)))*$B53</f>
        <v>-35455.869468470228</v>
      </c>
      <c r="L53" s="1021">
        <f>(VLOOKUP(YEAR($A53),'NY East Load Projections'!$A$4:$EO$14,((MONTH($A53)-1)*12)+VLOOKUP(L$4,$DE$6:$DF$17,2)+1))*(VLOOKUP($A53,CURVES!$D$9:$K$261,6))*(INDEX(DailyScalarsTable,L$5/100,MONTH($A53)))*$B53</f>
        <v>-42203.310245465633</v>
      </c>
      <c r="M53" s="1021">
        <f>(VLOOKUP(YEAR($A53),'NY East Load Projections'!$A$4:$EO$14,((MONTH($A53)-1)*12)+VLOOKUP(M$4,$DE$6:$DF$17,2)+1))*(VLOOKUP($A53,CURVES!$D$9:$K$261,6))*(INDEX(DailyScalarsTable,M$5/100,MONTH($A53)))*$B53</f>
        <v>-48623.427711378165</v>
      </c>
      <c r="N53" s="1021">
        <f>(VLOOKUP(YEAR($A53),'NY East Load Projections'!$A$4:$EO$14,((MONTH($A53)-1)*12)+VLOOKUP(N$4,$DE$6:$DF$17,2)+1))*(VLOOKUP($A53,CURVES!$D$9:$K$261,6))*(INDEX(DailyScalarsTable,N$5/100,MONTH($A53)))*$B53</f>
        <v>-69648.264894888693</v>
      </c>
      <c r="O53" s="1021">
        <f>(VLOOKUP(YEAR($A53),'NY East Load Projections'!$A$4:$EO$14,((MONTH($A53)-1)*12)+VLOOKUP(O$4,$DE$6:$DF$17,2)+1))*(VLOOKUP($A53,CURVES!$D$9:$K$261,2))*(INDEX(DailyScalarsTable,O$5/100,MONTH($A53)))*$B53</f>
        <v>-73330.460109985303</v>
      </c>
      <c r="P53" s="1021">
        <f>(VLOOKUP(YEAR($A53),'NY East Load Projections'!$A$4:$EO$14,((MONTH($A53)-1)*12)+VLOOKUP(P$4,$DE$6:$DF$17,2)+1))*(VLOOKUP($A53,CURVES!$D$9:$K$261,2))*(INDEX(DailyScalarsTable,P$5/100,MONTH($A53)))*$B53</f>
        <v>-85724.619084740552</v>
      </c>
      <c r="Q53" s="1021">
        <f>(VLOOKUP(YEAR($A53),'NY East Load Projections'!$A$4:$EO$14,((MONTH($A53)-1)*12)+VLOOKUP(Q$4,$DE$6:$DF$17,2)+1))*(VLOOKUP($A53,CURVES!$D$9:$K$261,2))*(INDEX(DailyScalarsTable,Q$5/100,MONTH($A53)))*$B53</f>
        <v>-85290.029591184983</v>
      </c>
      <c r="R53" s="1021">
        <f>(VLOOKUP(YEAR($A53),'NY East Load Projections'!$A$4:$EO$14,((MONTH($A53)-1)*12)+VLOOKUP(R$4,$DE$6:$DF$17,2)+1))*(VLOOKUP($A53,CURVES!$D$9:$K$261,2))*(INDEX(DailyScalarsTable,R$5/100,MONTH($A53)))*$B53</f>
        <v>-83433.816839049337</v>
      </c>
      <c r="S53" s="1021">
        <f>(VLOOKUP(YEAR($A53),'NY East Load Projections'!$A$4:$EO$14,((MONTH($A53)-1)*12)+VLOOKUP(S$4,$DE$6:$DF$17,2)+1))*(VLOOKUP($A53,CURVES!$D$9:$K$261,2))*(INDEX(DailyScalarsTable,S$5/100,MONTH($A53)))*$B53</f>
        <v>-67795.960994668494</v>
      </c>
      <c r="T53" s="1021">
        <f>(VLOOKUP(YEAR($A53),'NY East Load Projections'!$A$4:$EO$14,((MONTH($A53)-1)*12)+VLOOKUP(T$4,$DE$6:$DF$17,2)+1))*(VLOOKUP($A53,CURVES!$D$9:$K$261,2))*(INDEX(DailyScalarsTable,T$5/100,MONTH($A53)))*$B53</f>
        <v>-65392.658089130775</v>
      </c>
      <c r="U53" s="1021">
        <f>(VLOOKUP(YEAR($A53),'NY East Load Projections'!$A$4:$EO$14,((MONTH($A53)-1)*12)+VLOOKUP(U$4,$DE$6:$DF$17,2)+1))*(VLOOKUP($A53,CURVES!$D$9:$K$261,2))*(INDEX(DailyScalarsTable,U$5/100,MONTH($A53)))*$B53</f>
        <v>-62574.84667072841</v>
      </c>
      <c r="V53" s="1021">
        <f>(VLOOKUP(YEAR($A53),'NY East Load Projections'!$A$4:$EO$14,((MONTH($A53)-1)*12)+VLOOKUP(V$4,$DE$6:$DF$17,2)+1))*(VLOOKUP($A53,CURVES!$D$9:$K$261,2))*(INDEX(DailyScalarsTable,V$5/100,MONTH($A53)))*$B53</f>
        <v>-59428.166015165029</v>
      </c>
      <c r="W53" s="1021">
        <f>(VLOOKUP(YEAR($A53),'NY East Load Projections'!$A$4:$EO$14,((MONTH($A53)-1)*12)+VLOOKUP(W$4,$DE$6:$DF$17,2)+1))*(VLOOKUP($A53,CURVES!$D$9:$K$261,2))*(INDEX(DailyScalarsTable,W$5/100,MONTH($A53)))*$B53</f>
        <v>-58396.71249861455</v>
      </c>
      <c r="X53" s="1021">
        <f>(VLOOKUP(YEAR($A53),'NY East Load Projections'!$A$4:$EO$14,((MONTH($A53)-1)*12)+VLOOKUP(X$4,$DE$6:$DF$17,2)+1))*(VLOOKUP($A53,CURVES!$D$9:$K$261,2))*(INDEX(DailyScalarsTable,X$5/100,MONTH($A53)))*$B53</f>
        <v>-62184.258189169057</v>
      </c>
      <c r="Y53" s="1021">
        <f>(VLOOKUP(YEAR($A53),'NY East Load Projections'!$A$4:$EO$14,((MONTH($A53)-1)*12)+VLOOKUP(Y$4,$DE$6:$DF$17,2)+1))*(VLOOKUP($A53,CURVES!$D$9:$K$261,2))*(INDEX(DailyScalarsTable,Y$5/100,MONTH($A53)))*$B53</f>
        <v>-87639.030294039316</v>
      </c>
      <c r="Z53" s="1021">
        <f>(VLOOKUP(YEAR($A53),'NY East Load Projections'!$A$4:$EO$14,((MONTH($A53)-1)*12)+VLOOKUP(Z$4,$DE$6:$DF$17,2)+1))*(VLOOKUP($A53,CURVES!$D$9:$K$261,2))*(INDEX(DailyScalarsTable,Z$5/100,MONTH($A53)))*$B53</f>
        <v>-87055.133622263267</v>
      </c>
      <c r="AA53" s="1021">
        <f>(VLOOKUP(YEAR($A53),'NY East Load Projections'!$A$4:$EO$14,((MONTH($A53)-1)*12)+VLOOKUP(AA$4,$DE$6:$DF$17,2)+1))*(VLOOKUP($A53,CURVES!$D$9:$K$261,2))*(INDEX(DailyScalarsTable,AA$5/100,MONTH($A53)))*$B53</f>
        <v>-84057.35950682078</v>
      </c>
      <c r="AB53" s="1021">
        <f>(VLOOKUP(YEAR($A53),'NY East Load Projections'!$A$4:$EO$14,((MONTH($A53)-1)*12)+VLOOKUP(AB$4,$DE$6:$DF$17,2)+1))*(VLOOKUP($A53,CURVES!$D$9:$K$261,2))*(INDEX(DailyScalarsTable,AB$5/100,MONTH($A53)))*$B53</f>
        <v>-73765.284806610958</v>
      </c>
      <c r="AC53" s="1021">
        <f>(VLOOKUP(YEAR($A53),'NY East Load Projections'!$A$4:$EO$14,((MONTH($A53)-1)*12)+VLOOKUP(AC$4,$DE$6:$DF$17,2)+1))*(VLOOKUP($A53,CURVES!$D$9:$K$261,2))*(INDEX(DailyScalarsTable,AC$5/100,MONTH($A53)))*$B53</f>
        <v>-54379.473577339173</v>
      </c>
      <c r="AD53" s="1021">
        <f>(VLOOKUP(YEAR($A53),'NY East Load Projections'!$A$4:$EO$14,((MONTH($A53)-1)*12)+VLOOKUP(AD$4,$DE$6:$DF$17,2)+1))*(VLOOKUP($A53,CURVES!$D$9:$K$261,2))*(INDEX(DailyScalarsTable,AD$5/100,MONTH($A53)))*$B53</f>
        <v>-44863.863990699676</v>
      </c>
      <c r="AE53" s="1021">
        <f>(VLOOKUP(YEAR($A53),'NY East Load Projections'!$A$4:$EO$14,((MONTH($A53)-1)*12)+VLOOKUP(AE$4,$DE$6:$DF$17,2)+1))*(VLOOKUP($A53,CURVES!$D$9:$K$261,6))*(INDEX(DailyScalarsTable,AE$5/100,MONTH($A53)))*$B53</f>
        <v>-46320.151077548333</v>
      </c>
      <c r="AF53" s="1021"/>
      <c r="AG53" s="1021">
        <f>(VLOOKUP(YEAR($A53),'NY East Load Projections'!$A$4:$EO$14,((MONTH($A53)-1)*12)+VLOOKUP(AG$4,$DE$6:$DF$17,2)+1))*(VLOOKUP($A53,CURVES!$D$9:$T$261,6))*(INDEX(DailyScalarsTable,AG$5/100,MONTH($A53)))*$C53</f>
        <v>-5370.789707014269</v>
      </c>
      <c r="AH53" s="1021">
        <f>(VLOOKUP(YEAR($A53),'NY East Load Projections'!$A$4:$EO$14,((MONTH($A53)-1)*12)+VLOOKUP(AH$4,$DE$6:$DF$17,2)+1))*(VLOOKUP($A53,CURVES!$D$9:$T$261,6))*(INDEX(DailyScalarsTable,AH$5/100,MONTH($A53)))*$C53</f>
        <v>-5091.7050993232642</v>
      </c>
      <c r="AI53" s="1021">
        <f>(VLOOKUP(YEAR($A53),'NY East Load Projections'!$A$4:$EO$14,((MONTH($A53)-1)*12)+VLOOKUP(AI$4,$DE$6:$DF$17,2)+1))*(VLOOKUP($A53,CURVES!$D$9:$T$261,6))*(INDEX(DailyScalarsTable,AI$5/100,MONTH($A53)))*$C53</f>
        <v>-4886.580801744989</v>
      </c>
      <c r="AJ53" s="1021">
        <f>(VLOOKUP(YEAR($A53),'NY East Load Projections'!$A$4:$EO$14,((MONTH($A53)-1)*12)+VLOOKUP(AJ$4,$DE$6:$DF$17,2)+1))*(VLOOKUP($A53,CURVES!$D$9:$T$261,6))*(INDEX(DailyScalarsTable,AJ$5/100,MONTH($A53)))*$C53</f>
        <v>-4889.4698763587676</v>
      </c>
      <c r="AK53" s="1021">
        <f>(VLOOKUP(YEAR($A53),'NY East Load Projections'!$A$4:$EO$14,((MONTH($A53)-1)*12)+VLOOKUP(AK$4,$DE$6:$DF$17,2)+1))*(VLOOKUP($A53,CURVES!$D$9:$T$261,6))*(INDEX(DailyScalarsTable,AK$5/100,MONTH($A53)))*$C53</f>
        <v>-5353.889454306548</v>
      </c>
      <c r="AL53" s="1021">
        <f>(VLOOKUP(YEAR($A53),'NY East Load Projections'!$A$4:$EO$14,((MONTH($A53)-1)*12)+VLOOKUP(AL$4,$DE$6:$DF$17,2)+1))*(VLOOKUP($A53,CURVES!$D$9:$T$261,6))*(INDEX(DailyScalarsTable,AL$5/100,MONTH($A53)))*$C53</f>
        <v>-6168.3421357724865</v>
      </c>
      <c r="AM53" s="1021">
        <f>(VLOOKUP(YEAR($A53),'NY East Load Projections'!$A$4:$EO$14,((MONTH($A53)-1)*12)+VLOOKUP(AM$4,$DE$6:$DF$17,2)+1))*(VLOOKUP($A53,CURVES!$D$9:$T$261,6))*(INDEX(DailyScalarsTable,AM$5/100,MONTH($A53)))*$C53</f>
        <v>-8835.5417800800842</v>
      </c>
      <c r="AN53" s="1021">
        <f>(VLOOKUP(YEAR($A53),'NY East Load Projections'!$A$4:$EO$14,((MONTH($A53)-1)*12)+VLOOKUP(AN$4,$DE$6:$DF$17,2)+1))*(VLOOKUP($A53,SatSunCurve,2))*(INDEX(DailyScalarsTable,AN$5/100,MONTH($A53)))*$C53</f>
        <v>-7809.7100431244471</v>
      </c>
      <c r="AO53" s="1021">
        <f>(VLOOKUP(YEAR($A53),'NY East Load Projections'!$A$4:$EO$14,((MONTH($A53)-1)*12)+VLOOKUP(AO$4,$DE$6:$DF$17,2)+1))*(VLOOKUP($A53,SatSunCurve,2))*(INDEX(DailyScalarsTable,AO$5/100,MONTH($A53)))*$C53</f>
        <v>-8924.6693631763319</v>
      </c>
      <c r="AP53" s="1021">
        <f>(VLOOKUP(YEAR($A53),'NY East Load Projections'!$A$4:$EO$14,((MONTH($A53)-1)*12)+VLOOKUP(AP$4,$DE$6:$DF$17,2)+1))*(VLOOKUP($A53,SatSunCurve,2))*(INDEX(DailyScalarsTable,AP$5/100,MONTH($A53)))*$C53</f>
        <v>-8879.4248630536822</v>
      </c>
      <c r="AQ53" s="1021">
        <f>(VLOOKUP(YEAR($A53),'NY East Load Projections'!$A$4:$EO$14,((MONTH($A53)-1)*12)+VLOOKUP(AQ$4,$DE$6:$DF$17,2)+1))*(VLOOKUP($A53,SatSunCurve,2))*(INDEX(DailyScalarsTable,AQ$5/100,MONTH($A53)))*$C53</f>
        <v>-8686.1771676145672</v>
      </c>
      <c r="AR53" s="1021">
        <f>(VLOOKUP(YEAR($A53),'NY East Load Projections'!$A$4:$EO$14,((MONTH($A53)-1)*12)+VLOOKUP(AR$4,$DE$6:$DF$17,2)+1))*(VLOOKUP($A53,SatSunCurve,2))*(INDEX(DailyScalarsTable,AR$5/100,MONTH($A53)))*$C53</f>
        <v>-7058.1420191334382</v>
      </c>
      <c r="AS53" s="1021">
        <f>(VLOOKUP(YEAR($A53),'NY East Load Projections'!$A$4:$EO$14,((MONTH($A53)-1)*12)+VLOOKUP(AS$4,$DE$6:$DF$17,2)+1))*(VLOOKUP($A53,SatSunCurve,2))*(INDEX(DailyScalarsTable,AS$5/100,MONTH($A53)))*$C53</f>
        <v>-6748.0312132610161</v>
      </c>
      <c r="AT53" s="1021">
        <f>(VLOOKUP(YEAR($A53),'NY East Load Projections'!$A$4:$EO$14,((MONTH($A53)-1)*12)+VLOOKUP(AT$4,$DE$6:$DF$17,2)+1))*(VLOOKUP($A53,SatSunCurve,2))*(INDEX(DailyScalarsTable,AT$5/100,MONTH($A53)))*$C53</f>
        <v>-6457.254236760913</v>
      </c>
      <c r="AU53" s="1021">
        <f>(VLOOKUP(YEAR($A53),'NY East Load Projections'!$A$4:$EO$14,((MONTH($A53)-1)*12)+VLOOKUP(AU$4,$DE$6:$DF$17,2)+1))*(VLOOKUP($A53,SatSunCurve,2))*(INDEX(DailyScalarsTable,AU$5/100,MONTH($A53)))*$C53</f>
        <v>-6132.5404248072164</v>
      </c>
      <c r="AV53" s="1021">
        <f>(VLOOKUP(YEAR($A53),'NY East Load Projections'!$A$4:$EO$14,((MONTH($A53)-1)*12)+VLOOKUP(AV$4,$DE$6:$DF$17,2)+1))*(VLOOKUP($A53,SatSunCurve,2))*(INDEX(DailyScalarsTable,AV$5/100,MONTH($A53)))*$C53</f>
        <v>-6026.1021681573111</v>
      </c>
      <c r="AW53" s="1021">
        <f>(VLOOKUP(YEAR($A53),'NY East Load Projections'!$A$4:$EO$14,((MONTH($A53)-1)*12)+VLOOKUP(AW$4,$DE$6:$DF$17,2)+1))*(VLOOKUP($A53,SatSunCurve,2))*(INDEX(DailyScalarsTable,AW$5/100,MONTH($A53)))*$C53</f>
        <v>-6511.6392349504804</v>
      </c>
      <c r="AX53" s="1021">
        <f>(VLOOKUP(YEAR($A53),'NY East Load Projections'!$A$4:$EO$14,((MONTH($A53)-1)*12)+VLOOKUP(AX$4,$DE$6:$DF$17,2)+1))*(VLOOKUP($A53,SatSunCurve,2))*(INDEX(DailyScalarsTable,AX$5/100,MONTH($A53)))*$C53</f>
        <v>-9177.1416881688765</v>
      </c>
      <c r="AY53" s="1021">
        <f>(VLOOKUP(YEAR($A53),'NY East Load Projections'!$A$4:$EO$14,((MONTH($A53)-1)*12)+VLOOKUP(AY$4,$DE$6:$DF$17,2)+1))*(VLOOKUP($A53,SatSunCurve,2))*(INDEX(DailyScalarsTable,AY$5/100,MONTH($A53)))*$C53</f>
        <v>-9115.9988107299032</v>
      </c>
      <c r="AZ53" s="1021">
        <f>(VLOOKUP(YEAR($A53),'NY East Load Projections'!$A$4:$EO$14,((MONTH($A53)-1)*12)+VLOOKUP(AZ$4,$DE$6:$DF$17,2)+1))*(VLOOKUP($A53,SatSunCurve,2))*(INDEX(DailyScalarsTable,AZ$5/100,MONTH($A53)))*$C53</f>
        <v>-8802.0861885313425</v>
      </c>
      <c r="BA53" s="1021">
        <f>(VLOOKUP(YEAR($A53),'NY East Load Projections'!$A$4:$EO$14,((MONTH($A53)-1)*12)+VLOOKUP(BA$4,$DE$6:$DF$17,2)+1))*(VLOOKUP($A53,SatSunCurve,2))*(INDEX(DailyScalarsTable,BA$5/100,MONTH($A53)))*$C53</f>
        <v>-8277.6230674706439</v>
      </c>
      <c r="BB53" s="1021">
        <f>(VLOOKUP(YEAR($A53),'NY East Load Projections'!$A$4:$EO$14,((MONTH($A53)-1)*12)+VLOOKUP(BB$4,$DE$6:$DF$17,2)+1))*(VLOOKUP($A53,SatSunCurve,2))*(INDEX(DailyScalarsTable,BB$5/100,MONTH($A53)))*$C53</f>
        <v>-6102.2306910465759</v>
      </c>
      <c r="BC53" s="1021">
        <f>(VLOOKUP(YEAR($A53),'NY East Load Projections'!$A$4:$EO$14,((MONTH($A53)-1)*12)+VLOOKUP(BC$4,$DE$6:$DF$17,2)+1))*(VLOOKUP($A53,SatSunCurve,2))*(INDEX(DailyScalarsTable,BC$5/100,MONTH($A53)))*$C53</f>
        <v>-5034.429900716641</v>
      </c>
      <c r="BD53" s="1021">
        <f>(VLOOKUP(YEAR($A53),'NY East Load Projections'!$A$4:$EO$14,((MONTH($A53)-1)*12)+VLOOKUP(BD$4,$DE$6:$DF$17,2)+1))*(VLOOKUP($A53,CURVES!$D$9:$T$261,6))*(INDEX(DailyScalarsTable,BD$5/100,MONTH($A53)))*$C53</f>
        <v>-6191.5013710459752</v>
      </c>
      <c r="BE53" s="1021"/>
      <c r="BF53" s="1021">
        <f>(VLOOKUP(YEAR($A53),'NY East Load Projections'!$A$4:$EO$14,((MONTH($A53)-1)*12)+VLOOKUP(BF$4,$DE$6:$DF$17,2)+1))*(VLOOKUP($A53,CURVES!$D$9:$T$261,6))*(INDEX(DailyScalarsTable,BF$5/100,MONTH($A53)))*$D53</f>
        <v>-7161.052942685692</v>
      </c>
      <c r="BG53" s="1021">
        <f>(VLOOKUP(YEAR($A53),'NY East Load Projections'!$A$4:$EO$14,((MONTH($A53)-1)*12)+VLOOKUP(BG$4,$DE$6:$DF$17,2)+1))*(VLOOKUP($A53,CURVES!$D$9:$T$261,6))*(INDEX(DailyScalarsTable,BG$5/100,MONTH($A53)))*$D53</f>
        <v>-6788.9401324310184</v>
      </c>
      <c r="BH53" s="1021">
        <f>(VLOOKUP(YEAR($A53),'NY East Load Projections'!$A$4:$EO$14,((MONTH($A53)-1)*12)+VLOOKUP(BH$4,$DE$6:$DF$17,2)+1))*(VLOOKUP($A53,CURVES!$D$9:$T$261,6))*(INDEX(DailyScalarsTable,BH$5/100,MONTH($A53)))*$D53</f>
        <v>-6515.4410689933193</v>
      </c>
      <c r="BI53" s="1021">
        <f>(VLOOKUP(YEAR($A53),'NY East Load Projections'!$A$4:$EO$14,((MONTH($A53)-1)*12)+VLOOKUP(BI$4,$DE$6:$DF$17,2)+1))*(VLOOKUP($A53,CURVES!$D$9:$T$261,6))*(INDEX(DailyScalarsTable,BI$5/100,MONTH($A53)))*$D53</f>
        <v>-6519.2931684783571</v>
      </c>
      <c r="BJ53" s="1021">
        <f>(VLOOKUP(YEAR($A53),'NY East Load Projections'!$A$4:$EO$14,((MONTH($A53)-1)*12)+VLOOKUP(BJ$4,$DE$6:$DF$17,2)+1))*(VLOOKUP($A53,CURVES!$D$9:$T$261,6))*(INDEX(DailyScalarsTable,BJ$5/100,MONTH($A53)))*$D53</f>
        <v>-7138.519272408731</v>
      </c>
      <c r="BK53" s="1021">
        <f>(VLOOKUP(YEAR($A53),'NY East Load Projections'!$A$4:$EO$14,((MONTH($A53)-1)*12)+VLOOKUP(BK$4,$DE$6:$DF$17,2)+1))*(VLOOKUP($A53,CURVES!$D$9:$T$261,6))*(INDEX(DailyScalarsTable,BK$5/100,MONTH($A53)))*$D53</f>
        <v>-8224.456181029982</v>
      </c>
      <c r="BL53" s="1021">
        <f>(VLOOKUP(YEAR($A53),'NY East Load Projections'!$A$4:$EO$14,((MONTH($A53)-1)*12)+VLOOKUP(BL$4,$DE$6:$DF$17,2)+1))*(VLOOKUP($A53,CURVES!$D$9:$T$261,6))*(INDEX(DailyScalarsTable,BL$5/100,MONTH($A53)))*$D53</f>
        <v>-11780.722373440112</v>
      </c>
      <c r="BM53" s="1021">
        <f>(VLOOKUP(YEAR($A53),'NY East Load Projections'!$A$4:$EO$14,((MONTH($A53)-1)*12)+VLOOKUP(BM$4,$DE$6:$DF$17,2)+1))*(VLOOKUP($A53,SatSunCurve,6))*(INDEX(DailyScalarsTable,BM$5/100,MONTH($A53)))*$D53</f>
        <v>-7845.8699061264961</v>
      </c>
      <c r="BN53" s="1021">
        <f>(VLOOKUP(YEAR($A53),'NY East Load Projections'!$A$4:$EO$14,((MONTH($A53)-1)*12)+VLOOKUP(BN$4,$DE$6:$DF$17,2)+1))*(VLOOKUP($A53,SatSunCurve,6))*(INDEX(DailyScalarsTable,BN$5/100,MONTH($A53)))*$D53</f>
        <v>-8965.9916171049736</v>
      </c>
      <c r="BO53" s="1021">
        <f>(VLOOKUP(YEAR($A53),'NY East Load Projections'!$A$4:$EO$14,((MONTH($A53)-1)*12)+VLOOKUP(BO$4,$DE$6:$DF$17,2)+1))*(VLOOKUP($A53,SatSunCurve,6))*(INDEX(DailyScalarsTable,BO$5/100,MONTH($A53)))*$D53</f>
        <v>-8920.5376297008497</v>
      </c>
      <c r="BP53" s="1021">
        <f>(VLOOKUP(YEAR($A53),'NY East Load Projections'!$A$4:$EO$14,((MONTH($A53)-1)*12)+VLOOKUP(BP$4,$DE$6:$DF$17,2)+1))*(VLOOKUP($A53,SatSunCurve,6))*(INDEX(DailyScalarsTable,BP$5/100,MONTH($A53)))*$D53</f>
        <v>-8726.3951750256092</v>
      </c>
      <c r="BQ53" s="1021">
        <f>(VLOOKUP(YEAR($A53),'NY East Load Projections'!$A$4:$EO$14,((MONTH($A53)-1)*12)+VLOOKUP(BQ$4,$DE$6:$DF$17,2)+1))*(VLOOKUP($A53,SatSunCurve,6))*(INDEX(DailyScalarsTable,BQ$5/100,MONTH($A53)))*$D53</f>
        <v>-7090.8220350433221</v>
      </c>
      <c r="BR53" s="1021">
        <f>(VLOOKUP(YEAR($A53),'NY East Load Projections'!$A$4:$EO$14,((MONTH($A53)-1)*12)+VLOOKUP(BR$4,$DE$6:$DF$17,2)+1))*(VLOOKUP($A53,SatSunCurve,6))*(INDEX(DailyScalarsTable,BR$5/100,MONTH($A53)))*$D53</f>
        <v>-6779.2753801836907</v>
      </c>
      <c r="BS53" s="1021">
        <f>(VLOOKUP(YEAR($A53),'NY East Load Projections'!$A$4:$EO$14,((MONTH($A53)-1)*12)+VLOOKUP(BS$4,$DE$6:$DF$17,2)+1))*(VLOOKUP($A53,SatSunCurve,6))*(INDEX(DailyScalarsTable,BS$5/100,MONTH($A53)))*$D53</f>
        <v>-6487.1520725680493</v>
      </c>
      <c r="BT53" s="1021">
        <f>(VLOOKUP(YEAR($A53),'NY East Load Projections'!$A$4:$EO$14,((MONTH($A53)-1)*12)+VLOOKUP(BT$4,$DE$6:$DF$17,2)+1))*(VLOOKUP($A53,SatSunCurve,6))*(INDEX(DailyScalarsTable,BT$5/100,MONTH($A53)))*$D53</f>
        <v>-6160.9347980158336</v>
      </c>
      <c r="BU53" s="1021">
        <f>(VLOOKUP(YEAR($A53),'NY East Load Projections'!$A$4:$EO$14,((MONTH($A53)-1)*12)+VLOOKUP(BU$4,$DE$6:$DF$17,2)+1))*(VLOOKUP($A53,SatSunCurve,6))*(INDEX(DailyScalarsTable,BU$5/100,MONTH($A53)))*$D53</f>
        <v>-6054.0037198965792</v>
      </c>
      <c r="BV53" s="1021">
        <f>(VLOOKUP(YEAR($A53),'NY East Load Projections'!$A$4:$EO$14,((MONTH($A53)-1)*12)+VLOOKUP(BV$4,$DE$6:$DF$17,2)+1))*(VLOOKUP($A53,SatSunCurve,6))*(INDEX(DailyScalarsTable,BV$5/100,MONTH($A53)))*$D53</f>
        <v>-6541.7888796049419</v>
      </c>
      <c r="BW53" s="1021">
        <f>(VLOOKUP(YEAR($A53),'NY East Load Projections'!$A$4:$EO$14,((MONTH($A53)-1)*12)+VLOOKUP(BW$4,$DE$6:$DF$17,2)+1))*(VLOOKUP($A53,SatSunCurve,6))*(INDEX(DailyScalarsTable,BW$5/100,MONTH($A53)))*$D53</f>
        <v>-9219.6329182353147</v>
      </c>
      <c r="BX53" s="1021">
        <f>(VLOOKUP(YEAR($A53),'NY East Load Projections'!$A$4:$EO$14,((MONTH($A53)-1)*12)+VLOOKUP(BX$4,$DE$6:$DF$17,2)+1))*(VLOOKUP($A53,SatSunCurve,6))*(INDEX(DailyScalarsTable,BX$5/100,MONTH($A53)))*$D53</f>
        <v>-9158.2069421845445</v>
      </c>
      <c r="BY53" s="1021">
        <f>(VLOOKUP(YEAR($A53),'NY East Load Projections'!$A$4:$EO$14,((MONTH($A53)-1)*12)+VLOOKUP(BY$4,$DE$6:$DF$17,2)+1))*(VLOOKUP($A53,SatSunCurve,6))*(INDEX(DailyScalarsTable,BY$5/100,MONTH($A53)))*$D53</f>
        <v>-8842.8408681483834</v>
      </c>
      <c r="BZ53" s="1021">
        <f>(VLOOKUP(YEAR($A53),'NY East Load Projections'!$A$4:$EO$14,((MONTH($A53)-1)*12)+VLOOKUP(BZ$4,$DE$6:$DF$17,2)+1))*(VLOOKUP($A53,SatSunCurve,6))*(INDEX(DailyScalarsTable,BZ$5/100,MONTH($A53)))*$D53</f>
        <v>-8315.9494220279248</v>
      </c>
      <c r="CA53" s="1021">
        <f>(VLOOKUP(YEAR($A53),'NY East Load Projections'!$A$4:$EO$14,((MONTH($A53)-1)*12)+VLOOKUP(CA$4,$DE$6:$DF$17,2)+1))*(VLOOKUP($A53,SatSunCurve,6))*(INDEX(DailyScalarsTable,CA$5/100,MONTH($A53)))*$D53</f>
        <v>-6130.4847266735987</v>
      </c>
      <c r="CB53" s="1021">
        <f>(VLOOKUP(YEAR($A53),'NY East Load Projections'!$A$4:$EO$14,((MONTH($A53)-1)*12)+VLOOKUP(CB$4,$DE$6:$DF$17,2)+1))*(VLOOKUP($A53,SatSunCurve,6))*(INDEX(DailyScalarsTable,CB$5/100,MONTH($A53)))*$D53</f>
        <v>-5057.7398948775135</v>
      </c>
      <c r="CC53" s="1021">
        <f>(VLOOKUP(YEAR($A53),'NY East Load Projections'!$A$4:$EO$14,((MONTH($A53)-1)*12)+VLOOKUP(CC$4,$DE$6:$DF$17,2)+1))*(VLOOKUP($A53,CURVES!$D$9:$T$261,6))*(INDEX(DailyScalarsTable,CC$5/100,MONTH($A53)))*$D53</f>
        <v>-8255.3351613946343</v>
      </c>
      <c r="CE53" s="1021">
        <f>(VLOOKUP(YEAR($A53),'NY East Load Projections'!$A$4:$EO$14,((MONTH($A53)-1)*12)+VLOOKUP(CE$4,$DE$6:$DF$17,2)+1))*(VLOOKUP($A53,CURVES!$D$9:$T$261,6))*(INDEX(DailyScalarsTable,CE$5/100,MONTH($A53)))*$E53</f>
        <v>-1790.263235671423</v>
      </c>
      <c r="CF53" s="1021">
        <f>(VLOOKUP(YEAR($A53),'NY East Load Projections'!$A$4:$EO$14,((MONTH($A53)-1)*12)+VLOOKUP(CF$4,$DE$6:$DF$17,2)+1))*(VLOOKUP($A53,CURVES!$D$9:$T$261,6))*(INDEX(DailyScalarsTable,CF$5/100,MONTH($A53)))*$E53</f>
        <v>-1697.2350331077546</v>
      </c>
      <c r="CG53" s="1021">
        <f>(VLOOKUP(YEAR($A53),'NY East Load Projections'!$A$4:$EO$14,((MONTH($A53)-1)*12)+VLOOKUP(CG$4,$DE$6:$DF$17,2)+1))*(VLOOKUP($A53,CURVES!$D$9:$T$261,6))*(INDEX(DailyScalarsTable,CG$5/100,MONTH($A53)))*$E53</f>
        <v>-1628.8602672483298</v>
      </c>
      <c r="CH53" s="1021">
        <f>(VLOOKUP(YEAR($A53),'NY East Load Projections'!$A$4:$EO$14,((MONTH($A53)-1)*12)+VLOOKUP(CH$4,$DE$6:$DF$17,2)+1))*(VLOOKUP($A53,CURVES!$D$9:$T$261,6))*(INDEX(DailyScalarsTable,CH$5/100,MONTH($A53)))*$E53</f>
        <v>-1629.8232921195893</v>
      </c>
      <c r="CI53" s="1021">
        <f>(VLOOKUP(YEAR($A53),'NY East Load Projections'!$A$4:$EO$14,((MONTH($A53)-1)*12)+VLOOKUP(CI$4,$DE$6:$DF$17,2)+1))*(VLOOKUP($A53,CURVES!$D$9:$T$261,6))*(INDEX(DailyScalarsTable,CI$5/100,MONTH($A53)))*$E53</f>
        <v>-1784.6298181021828</v>
      </c>
      <c r="CJ53" s="1021">
        <f>(VLOOKUP(YEAR($A53),'NY East Load Projections'!$A$4:$EO$14,((MONTH($A53)-1)*12)+VLOOKUP(CJ$4,$DE$6:$DF$17,2)+1))*(VLOOKUP($A53,CURVES!$D$9:$T$261,6))*(INDEX(DailyScalarsTable,CJ$5/100,MONTH($A53)))*$E53</f>
        <v>-2056.1140452574955</v>
      </c>
      <c r="CK53" s="1021">
        <f>(VLOOKUP(YEAR($A53),'NY East Load Projections'!$A$4:$EO$14,((MONTH($A53)-1)*12)+VLOOKUP(CK$4,$DE$6:$DF$17,2)+1))*(VLOOKUP($A53,CURVES!$D$9:$T$261,6))*(INDEX(DailyScalarsTable,CK$5/100,MONTH($A53)))*$E53</f>
        <v>-2945.1805933600281</v>
      </c>
      <c r="CL53" s="1021">
        <f>(VLOOKUP(YEAR($A53),'NY East Load Projections'!$A$4:$EO$14,((MONTH($A53)-1)*12)+VLOOKUP(CL$4,$DE$6:$DF$17,2)+1))*(VLOOKUP($A53,SatSunCurve,6))*(INDEX(DailyScalarsTable,CL$5/100,MONTH($A53)))*$E53</f>
        <v>-1961.467476531624</v>
      </c>
      <c r="CM53" s="1021">
        <f>(VLOOKUP(YEAR($A53),'NY East Load Projections'!$A$4:$EO$14,((MONTH($A53)-1)*12)+VLOOKUP(CM$4,$DE$6:$DF$17,2)+1))*(VLOOKUP($A53,SatSunCurve,6))*(INDEX(DailyScalarsTable,CM$5/100,MONTH($A53)))*$E53</f>
        <v>-2241.4979042762434</v>
      </c>
      <c r="CN53" s="1021">
        <f>(VLOOKUP(YEAR($A53),'NY East Load Projections'!$A$4:$EO$14,((MONTH($A53)-1)*12)+VLOOKUP(CN$4,$DE$6:$DF$17,2)+1))*(VLOOKUP($A53,SatSunCurve,6))*(INDEX(DailyScalarsTable,CN$5/100,MONTH($A53)))*$E53</f>
        <v>-2230.1344074252124</v>
      </c>
      <c r="CO53" s="1021">
        <f>(VLOOKUP(YEAR($A53),'NY East Load Projections'!$A$4:$EO$14,((MONTH($A53)-1)*12)+VLOOKUP(CO$4,$DE$6:$DF$17,2)+1))*(VLOOKUP($A53,SatSunCurve,6))*(INDEX(DailyScalarsTable,CO$5/100,MONTH($A53)))*$E53</f>
        <v>-2181.5987937564023</v>
      </c>
      <c r="CP53" s="1021">
        <f>(VLOOKUP(YEAR($A53),'NY East Load Projections'!$A$4:$EO$14,((MONTH($A53)-1)*12)+VLOOKUP(CP$4,$DE$6:$DF$17,2)+1))*(VLOOKUP($A53,SatSunCurve,6))*(INDEX(DailyScalarsTable,CP$5/100,MONTH($A53)))*$E53</f>
        <v>-1772.7055087608305</v>
      </c>
      <c r="CQ53" s="1021">
        <f>(VLOOKUP(YEAR($A53),'NY East Load Projections'!$A$4:$EO$14,((MONTH($A53)-1)*12)+VLOOKUP(CQ$4,$DE$6:$DF$17,2)+1))*(VLOOKUP($A53,SatSunCurve,6))*(INDEX(DailyScalarsTable,CQ$5/100,MONTH($A53)))*$E53</f>
        <v>-1694.8188450459227</v>
      </c>
      <c r="CR53" s="1021">
        <f>(VLOOKUP(YEAR($A53),'NY East Load Projections'!$A$4:$EO$14,((MONTH($A53)-1)*12)+VLOOKUP(CR$4,$DE$6:$DF$17,2)+1))*(VLOOKUP($A53,SatSunCurve,6))*(INDEX(DailyScalarsTable,CR$5/100,MONTH($A53)))*$E53</f>
        <v>-1621.7880181420123</v>
      </c>
      <c r="CS53" s="1021">
        <f>(VLOOKUP(YEAR($A53),'NY East Load Projections'!$A$4:$EO$14,((MONTH($A53)-1)*12)+VLOOKUP(CS$4,$DE$6:$DF$17,2)+1))*(VLOOKUP($A53,SatSunCurve,6))*(INDEX(DailyScalarsTable,CS$5/100,MONTH($A53)))*$E53</f>
        <v>-1540.2336995039584</v>
      </c>
      <c r="CT53" s="1021">
        <f>(VLOOKUP(YEAR($A53),'NY East Load Projections'!$A$4:$EO$14,((MONTH($A53)-1)*12)+VLOOKUP(CT$4,$DE$6:$DF$17,2)+1))*(VLOOKUP($A53,SatSunCurve,6))*(INDEX(DailyScalarsTable,CT$5/100,MONTH($A53)))*$E53</f>
        <v>-1513.5009299741448</v>
      </c>
      <c r="CU53" s="1021">
        <f>(VLOOKUP(YEAR($A53),'NY East Load Projections'!$A$4:$EO$14,((MONTH($A53)-1)*12)+VLOOKUP(CU$4,$DE$6:$DF$17,2)+1))*(VLOOKUP($A53,SatSunCurve,6))*(INDEX(DailyScalarsTable,CU$5/100,MONTH($A53)))*$E53</f>
        <v>-1635.4472199012355</v>
      </c>
      <c r="CV53" s="1021">
        <f>(VLOOKUP(YEAR($A53),'NY East Load Projections'!$A$4:$EO$14,((MONTH($A53)-1)*12)+VLOOKUP(CV$4,$DE$6:$DF$17,2)+1))*(VLOOKUP($A53,SatSunCurve,6))*(INDEX(DailyScalarsTable,CV$5/100,MONTH($A53)))*$E53</f>
        <v>-2304.9082295588287</v>
      </c>
      <c r="CW53" s="1021">
        <f>(VLOOKUP(YEAR($A53),'NY East Load Projections'!$A$4:$EO$14,((MONTH($A53)-1)*12)+VLOOKUP(CW$4,$DE$6:$DF$17,2)+1))*(VLOOKUP($A53,SatSunCurve,6))*(INDEX(DailyScalarsTable,CW$5/100,MONTH($A53)))*$E53</f>
        <v>-2289.5517355461361</v>
      </c>
      <c r="CX53" s="1021">
        <f>(VLOOKUP(YEAR($A53),'NY East Load Projections'!$A$4:$EO$14,((MONTH($A53)-1)*12)+VLOOKUP(CX$4,$DE$6:$DF$17,2)+1))*(VLOOKUP($A53,SatSunCurve,6))*(INDEX(DailyScalarsTable,CX$5/100,MONTH($A53)))*$E53</f>
        <v>-2210.7102170370958</v>
      </c>
      <c r="CY53" s="1021">
        <f>(VLOOKUP(YEAR($A53),'NY East Load Projections'!$A$4:$EO$14,((MONTH($A53)-1)*12)+VLOOKUP(CY$4,$DE$6:$DF$17,2)+1))*(VLOOKUP($A53,SatSunCurve,6))*(INDEX(DailyScalarsTable,CY$5/100,MONTH($A53)))*$E53</f>
        <v>-2078.9873555069812</v>
      </c>
      <c r="CZ53" s="1021">
        <f>(VLOOKUP(YEAR($A53),'NY East Load Projections'!$A$4:$EO$14,((MONTH($A53)-1)*12)+VLOOKUP(CZ$4,$DE$6:$DF$17,2)+1))*(VLOOKUP($A53,SatSunCurve,6))*(INDEX(DailyScalarsTable,CZ$5/100,MONTH($A53)))*$E53</f>
        <v>-1532.6211816683997</v>
      </c>
      <c r="DA53" s="1021">
        <f>(VLOOKUP(YEAR($A53),'NY East Load Projections'!$A$4:$EO$14,((MONTH($A53)-1)*12)+VLOOKUP(DA$4,$DE$6:$DF$17,2)+1))*(VLOOKUP($A53,SatSunCurve,6))*(INDEX(DailyScalarsTable,DA$5/100,MONTH($A53)))*$E53</f>
        <v>-1264.4349737193784</v>
      </c>
      <c r="DB53" s="1021">
        <f>(VLOOKUP(YEAR($A53),'NY East Load Projections'!$A$4:$EO$14,((MONTH($A53)-1)*12)+VLOOKUP(DB$4,$DE$6:$DF$17,2)+1))*(VLOOKUP($A53,CURVES!$D$9:$T$261,6))*(INDEX(DailyScalarsTable,DB$5/100,MONTH($A53)))*$E53</f>
        <v>-2063.8337903486586</v>
      </c>
      <c r="DH53" s="1021">
        <f t="shared" si="0"/>
        <v>-1883748.8923025304</v>
      </c>
      <c r="DI53">
        <f ca="1">CALC!J73</f>
        <v>0.70451331730150835</v>
      </c>
      <c r="DJ53" s="1029">
        <f t="shared" ca="1" si="1"/>
        <v>-1327126.1810790973</v>
      </c>
    </row>
    <row r="54" spans="1:114" x14ac:dyDescent="0.25">
      <c r="A54" s="244">
        <v>38353</v>
      </c>
      <c r="B54" s="13">
        <v>21</v>
      </c>
      <c r="C54" s="210">
        <v>4</v>
      </c>
      <c r="D54" s="210">
        <v>5</v>
      </c>
      <c r="E54" s="210">
        <v>1</v>
      </c>
      <c r="F54" s="13">
        <v>31</v>
      </c>
      <c r="H54" s="1021">
        <f>(VLOOKUP(YEAR($A54),'NY East Load Projections'!$A$4:$EO$14,((MONTH($A54)-1)*12)+VLOOKUP(H$4,$DE$6:$DF$17,2)+1))*(VLOOKUP($A54,CURVES!$D$9:$K$261,6))*(INDEX(DailyScalarsTable,H$5/100,MONTH($A54)))*$B54</f>
        <v>-32908.224106448768</v>
      </c>
      <c r="I54" s="1021">
        <f>(VLOOKUP(YEAR($A54),'NY East Load Projections'!$A$4:$EO$14,((MONTH($A54)-1)*12)+VLOOKUP(I$4,$DE$6:$DF$17,2)+1))*(VLOOKUP($A54,CURVES!$D$9:$K$261,6))*(INDEX(DailyScalarsTable,I$5/100,MONTH($A54)))*$B54</f>
        <v>-32267.080217983254</v>
      </c>
      <c r="J54" s="1021">
        <f>(VLOOKUP(YEAR($A54),'NY East Load Projections'!$A$4:$EO$14,((MONTH($A54)-1)*12)+VLOOKUP(J$4,$DE$6:$DF$17,2)+1))*(VLOOKUP($A54,CURVES!$D$9:$K$261,6))*(INDEX(DailyScalarsTable,J$5/100,MONTH($A54)))*$B54</f>
        <v>-29567.957433227628</v>
      </c>
      <c r="K54" s="1021">
        <f>(VLOOKUP(YEAR($A54),'NY East Load Projections'!$A$4:$EO$14,((MONTH($A54)-1)*12)+VLOOKUP(K$4,$DE$6:$DF$17,2)+1))*(VLOOKUP($A54,CURVES!$D$9:$K$261,6))*(INDEX(DailyScalarsTable,K$5/100,MONTH($A54)))*$B54</f>
        <v>-29550.080187809275</v>
      </c>
      <c r="L54" s="1021">
        <f>(VLOOKUP(YEAR($A54),'NY East Load Projections'!$A$4:$EO$14,((MONTH($A54)-1)*12)+VLOOKUP(L$4,$DE$6:$DF$17,2)+1))*(VLOOKUP($A54,CURVES!$D$9:$K$261,6))*(INDEX(DailyScalarsTable,L$5/100,MONTH($A54)))*$B54</f>
        <v>-33983.156643981209</v>
      </c>
      <c r="M54" s="1021">
        <f>(VLOOKUP(YEAR($A54),'NY East Load Projections'!$A$4:$EO$14,((MONTH($A54)-1)*12)+VLOOKUP(M$4,$DE$6:$DF$17,2)+1))*(VLOOKUP($A54,CURVES!$D$9:$K$261,6))*(INDEX(DailyScalarsTable,M$5/100,MONTH($A54)))*$B54</f>
        <v>-36267.434981893231</v>
      </c>
      <c r="N54" s="1021">
        <f>(VLOOKUP(YEAR($A54),'NY East Load Projections'!$A$4:$EO$14,((MONTH($A54)-1)*12)+VLOOKUP(N$4,$DE$6:$DF$17,2)+1))*(VLOOKUP($A54,CURVES!$D$9:$K$261,6))*(INDEX(DailyScalarsTable,N$5/100,MONTH($A54)))*$B54</f>
        <v>-69451.696389943871</v>
      </c>
      <c r="O54" s="1021">
        <f>(VLOOKUP(YEAR($A54),'NY East Load Projections'!$A$4:$EO$14,((MONTH($A54)-1)*12)+VLOOKUP(O$4,$DE$6:$DF$17,2)+1))*(VLOOKUP($A54,CURVES!$D$9:$K$261,2))*(INDEX(DailyScalarsTable,O$5/100,MONTH($A54)))*$B54</f>
        <v>-81053.489090934236</v>
      </c>
      <c r="P54" s="1021">
        <f>(VLOOKUP(YEAR($A54),'NY East Load Projections'!$A$4:$EO$14,((MONTH($A54)-1)*12)+VLOOKUP(P$4,$DE$6:$DF$17,2)+1))*(VLOOKUP($A54,CURVES!$D$9:$K$261,2))*(INDEX(DailyScalarsTable,P$5/100,MONTH($A54)))*$B54</f>
        <v>-92773.390413637884</v>
      </c>
      <c r="Q54" s="1021">
        <f>(VLOOKUP(YEAR($A54),'NY East Load Projections'!$A$4:$EO$14,((MONTH($A54)-1)*12)+VLOOKUP(Q$4,$DE$6:$DF$17,2)+1))*(VLOOKUP($A54,CURVES!$D$9:$K$261,2))*(INDEX(DailyScalarsTable,Q$5/100,MONTH($A54)))*$B54</f>
        <v>-92491.025477626346</v>
      </c>
      <c r="R54" s="1021">
        <f>(VLOOKUP(YEAR($A54),'NY East Load Projections'!$A$4:$EO$14,((MONTH($A54)-1)*12)+VLOOKUP(R$4,$DE$6:$DF$17,2)+1))*(VLOOKUP($A54,CURVES!$D$9:$K$261,2))*(INDEX(DailyScalarsTable,R$5/100,MONTH($A54)))*$B54</f>
        <v>-90876.935771310687</v>
      </c>
      <c r="S54" s="1021">
        <f>(VLOOKUP(YEAR($A54),'NY East Load Projections'!$A$4:$EO$14,((MONTH($A54)-1)*12)+VLOOKUP(S$4,$DE$6:$DF$17,2)+1))*(VLOOKUP($A54,CURVES!$D$9:$K$261,2))*(INDEX(DailyScalarsTable,S$5/100,MONTH($A54)))*$B54</f>
        <v>-68075.423056622283</v>
      </c>
      <c r="T54" s="1021">
        <f>(VLOOKUP(YEAR($A54),'NY East Load Projections'!$A$4:$EO$14,((MONTH($A54)-1)*12)+VLOOKUP(T$4,$DE$6:$DF$17,2)+1))*(VLOOKUP($A54,CURVES!$D$9:$K$261,2))*(INDEX(DailyScalarsTable,T$5/100,MONTH($A54)))*$B54</f>
        <v>-67179.970346514965</v>
      </c>
      <c r="U54" s="1021">
        <f>(VLOOKUP(YEAR($A54),'NY East Load Projections'!$A$4:$EO$14,((MONTH($A54)-1)*12)+VLOOKUP(U$4,$DE$6:$DF$17,2)+1))*(VLOOKUP($A54,CURVES!$D$9:$K$261,2))*(INDEX(DailyScalarsTable,U$5/100,MONTH($A54)))*$B54</f>
        <v>-65010.846362467455</v>
      </c>
      <c r="V54" s="1021">
        <f>(VLOOKUP(YEAR($A54),'NY East Load Projections'!$A$4:$EO$14,((MONTH($A54)-1)*12)+VLOOKUP(V$4,$DE$6:$DF$17,2)+1))*(VLOOKUP($A54,CURVES!$D$9:$K$261,2))*(INDEX(DailyScalarsTable,V$5/100,MONTH($A54)))*$B54</f>
        <v>-61702.146372308023</v>
      </c>
      <c r="W54" s="1021">
        <f>(VLOOKUP(YEAR($A54),'NY East Load Projections'!$A$4:$EO$14,((MONTH($A54)-1)*12)+VLOOKUP(W$4,$DE$6:$DF$17,2)+1))*(VLOOKUP($A54,CURVES!$D$9:$K$261,2))*(INDEX(DailyScalarsTable,W$5/100,MONTH($A54)))*$B54</f>
        <v>-60460.401482889516</v>
      </c>
      <c r="X54" s="1021">
        <f>(VLOOKUP(YEAR($A54),'NY East Load Projections'!$A$4:$EO$14,((MONTH($A54)-1)*12)+VLOOKUP(X$4,$DE$6:$DF$17,2)+1))*(VLOOKUP($A54,CURVES!$D$9:$K$261,2))*(INDEX(DailyScalarsTable,X$5/100,MONTH($A54)))*$B54</f>
        <v>-62058.28299060039</v>
      </c>
      <c r="Y54" s="1021">
        <f>(VLOOKUP(YEAR($A54),'NY East Load Projections'!$A$4:$EO$14,((MONTH($A54)-1)*12)+VLOOKUP(Y$4,$DE$6:$DF$17,2)+1))*(VLOOKUP($A54,CURVES!$D$9:$K$261,2))*(INDEX(DailyScalarsTable,Y$5/100,MONTH($A54)))*$B54</f>
        <v>-86351.404698490514</v>
      </c>
      <c r="Z54" s="1021">
        <f>(VLOOKUP(YEAR($A54),'NY East Load Projections'!$A$4:$EO$14,((MONTH($A54)-1)*12)+VLOOKUP(Z$4,$DE$6:$DF$17,2)+1))*(VLOOKUP($A54,CURVES!$D$9:$K$261,2))*(INDEX(DailyScalarsTable,Z$5/100,MONTH($A54)))*$B54</f>
        <v>-94750.434868042968</v>
      </c>
      <c r="AA54" s="1021">
        <f>(VLOOKUP(YEAR($A54),'NY East Load Projections'!$A$4:$EO$14,((MONTH($A54)-1)*12)+VLOOKUP(AA$4,$DE$6:$DF$17,2)+1))*(VLOOKUP($A54,CURVES!$D$9:$K$261,2))*(INDEX(DailyScalarsTable,AA$5/100,MONTH($A54)))*$B54</f>
        <v>-90692.607467206632</v>
      </c>
      <c r="AB54" s="1021">
        <f>(VLOOKUP(YEAR($A54),'NY East Load Projections'!$A$4:$EO$14,((MONTH($A54)-1)*12)+VLOOKUP(AB$4,$DE$6:$DF$17,2)+1))*(VLOOKUP($A54,CURVES!$D$9:$K$261,2))*(INDEX(DailyScalarsTable,AB$5/100,MONTH($A54)))*$B54</f>
        <v>-76639.551376093252</v>
      </c>
      <c r="AC54" s="1021">
        <f>(VLOOKUP(YEAR($A54),'NY East Load Projections'!$A$4:$EO$14,((MONTH($A54)-1)*12)+VLOOKUP(AC$4,$DE$6:$DF$17,2)+1))*(VLOOKUP($A54,CURVES!$D$9:$K$261,2))*(INDEX(DailyScalarsTable,AC$5/100,MONTH($A54)))*$B54</f>
        <v>-54507.823984698894</v>
      </c>
      <c r="AD54" s="1021">
        <f>(VLOOKUP(YEAR($A54),'NY East Load Projections'!$A$4:$EO$14,((MONTH($A54)-1)*12)+VLOOKUP(AD$4,$DE$6:$DF$17,2)+1))*(VLOOKUP($A54,CURVES!$D$9:$K$261,2))*(INDEX(DailyScalarsTable,AD$5/100,MONTH($A54)))*$B54</f>
        <v>-44621.438380657339</v>
      </c>
      <c r="AE54" s="1021">
        <f>(VLOOKUP(YEAR($A54),'NY East Load Projections'!$A$4:$EO$14,((MONTH($A54)-1)*12)+VLOOKUP(AE$4,$DE$6:$DF$17,2)+1))*(VLOOKUP($A54,CURVES!$D$9:$K$261,6))*(INDEX(DailyScalarsTable,AE$5/100,MONTH($A54)))*$B54</f>
        <v>-39352.612729750857</v>
      </c>
      <c r="AF54" s="1021"/>
      <c r="AG54" s="1021">
        <f>(VLOOKUP(YEAR($A54),'NY East Load Projections'!$A$4:$EO$14,((MONTH($A54)-1)*12)+VLOOKUP(AG$4,$DE$6:$DF$17,2)+1))*(VLOOKUP($A54,CURVES!$D$9:$T$261,6))*(INDEX(DailyScalarsTable,AG$5/100,MONTH($A54)))*$C54</f>
        <v>-6581.0530257370992</v>
      </c>
      <c r="AH54" s="1021">
        <f>(VLOOKUP(YEAR($A54),'NY East Load Projections'!$A$4:$EO$14,((MONTH($A54)-1)*12)+VLOOKUP(AH$4,$DE$6:$DF$17,2)+1))*(VLOOKUP($A54,CURVES!$D$9:$T$261,6))*(INDEX(DailyScalarsTable,AH$5/100,MONTH($A54)))*$C54</f>
        <v>-6452.8357778701147</v>
      </c>
      <c r="AI54" s="1021">
        <f>(VLOOKUP(YEAR($A54),'NY East Load Projections'!$A$4:$EO$14,((MONTH($A54)-1)*12)+VLOOKUP(AI$4,$DE$6:$DF$17,2)+1))*(VLOOKUP($A54,CURVES!$D$9:$T$261,6))*(INDEX(DailyScalarsTable,AI$5/100,MONTH($A54)))*$C54</f>
        <v>-5913.0597598147651</v>
      </c>
      <c r="AJ54" s="1021">
        <f>(VLOOKUP(YEAR($A54),'NY East Load Projections'!$A$4:$EO$14,((MONTH($A54)-1)*12)+VLOOKUP(AJ$4,$DE$6:$DF$17,2)+1))*(VLOOKUP($A54,CURVES!$D$9:$T$261,6))*(INDEX(DailyScalarsTable,AJ$5/100,MONTH($A54)))*$C54</f>
        <v>-5909.4846322213798</v>
      </c>
      <c r="AK54" s="1021">
        <f>(VLOOKUP(YEAR($A54),'NY East Load Projections'!$A$4:$EO$14,((MONTH($A54)-1)*12)+VLOOKUP(AK$4,$DE$6:$DF$17,2)+1))*(VLOOKUP($A54,CURVES!$D$9:$T$261,6))*(INDEX(DailyScalarsTable,AK$5/100,MONTH($A54)))*$C54</f>
        <v>-6212.1100557602877</v>
      </c>
      <c r="AL54" s="1021">
        <f>(VLOOKUP(YEAR($A54),'NY East Load Projections'!$A$4:$EO$14,((MONTH($A54)-1)*12)+VLOOKUP(AL$4,$DE$6:$DF$17,2)+1))*(VLOOKUP($A54,CURVES!$D$9:$T$261,6))*(INDEX(DailyScalarsTable,AL$5/100,MONTH($A54)))*$C54</f>
        <v>-6629.6753979608311</v>
      </c>
      <c r="AM54" s="1021">
        <f>(VLOOKUP(YEAR($A54),'NY East Load Projections'!$A$4:$EO$14,((MONTH($A54)-1)*12)+VLOOKUP(AM$4,$DE$6:$DF$17,2)+1))*(VLOOKUP($A54,CURVES!$D$9:$T$261,6))*(INDEX(DailyScalarsTable,AM$5/100,MONTH($A54)))*$C54</f>
        <v>-12695.747662687889</v>
      </c>
      <c r="AN54" s="1021">
        <f>(VLOOKUP(YEAR($A54),'NY East Load Projections'!$A$4:$EO$14,((MONTH($A54)-1)*12)+VLOOKUP(AN$4,$DE$6:$DF$17,2)+1))*(VLOOKUP($A54,SatSunCurve,2))*(INDEX(DailyScalarsTable,AN$5/100,MONTH($A54)))*$C54</f>
        <v>-11728.388030162829</v>
      </c>
      <c r="AO54" s="1021">
        <f>(VLOOKUP(YEAR($A54),'NY East Load Projections'!$A$4:$EO$14,((MONTH($A54)-1)*12)+VLOOKUP(AO$4,$DE$6:$DF$17,2)+1))*(VLOOKUP($A54,SatSunCurve,2))*(INDEX(DailyScalarsTable,AO$5/100,MONTH($A54)))*$C54</f>
        <v>-13222.325508374432</v>
      </c>
      <c r="AP54" s="1021">
        <f>(VLOOKUP(YEAR($A54),'NY East Load Projections'!$A$4:$EO$14,((MONTH($A54)-1)*12)+VLOOKUP(AP$4,$DE$6:$DF$17,2)+1))*(VLOOKUP($A54,SatSunCurve,2))*(INDEX(DailyScalarsTable,AP$5/100,MONTH($A54)))*$C54</f>
        <v>-13182.082060555507</v>
      </c>
      <c r="AQ54" s="1021">
        <f>(VLOOKUP(YEAR($A54),'NY East Load Projections'!$A$4:$EO$14,((MONTH($A54)-1)*12)+VLOOKUP(AQ$4,$DE$6:$DF$17,2)+1))*(VLOOKUP($A54,SatSunCurve,2))*(INDEX(DailyScalarsTable,AQ$5/100,MONTH($A54)))*$C54</f>
        <v>-12952.037438908426</v>
      </c>
      <c r="AR54" s="1021">
        <f>(VLOOKUP(YEAR($A54),'NY East Load Projections'!$A$4:$EO$14,((MONTH($A54)-1)*12)+VLOOKUP(AR$4,$DE$6:$DF$17,2)+1))*(VLOOKUP($A54,SatSunCurve,2))*(INDEX(DailyScalarsTable,AR$5/100,MONTH($A54)))*$C54</f>
        <v>-9702.3014763362462</v>
      </c>
      <c r="AS54" s="1021">
        <f>(VLOOKUP(YEAR($A54),'NY East Load Projections'!$A$4:$EO$14,((MONTH($A54)-1)*12)+VLOOKUP(AS$4,$DE$6:$DF$17,2)+1))*(VLOOKUP($A54,SatSunCurve,2))*(INDEX(DailyScalarsTable,AS$5/100,MONTH($A54)))*$C54</f>
        <v>-9462.5117497177798</v>
      </c>
      <c r="AT54" s="1021">
        <f>(VLOOKUP(YEAR($A54),'NY East Load Projections'!$A$4:$EO$14,((MONTH($A54)-1)*12)+VLOOKUP(AT$4,$DE$6:$DF$17,2)+1))*(VLOOKUP($A54,SatSunCurve,2))*(INDEX(DailyScalarsTable,AT$5/100,MONTH($A54)))*$C54</f>
        <v>-9156.9837615425222</v>
      </c>
      <c r="AU54" s="1021">
        <f>(VLOOKUP(YEAR($A54),'NY East Load Projections'!$A$4:$EO$14,((MONTH($A54)-1)*12)+VLOOKUP(AU$4,$DE$6:$DF$17,2)+1))*(VLOOKUP($A54,SatSunCurve,2))*(INDEX(DailyScalarsTable,AU$5/100,MONTH($A54)))*$C54</f>
        <v>-8690.9428810288118</v>
      </c>
      <c r="AV54" s="1021">
        <f>(VLOOKUP(YEAR($A54),'NY East Load Projections'!$A$4:$EO$14,((MONTH($A54)-1)*12)+VLOOKUP(AV$4,$DE$6:$DF$17,2)+1))*(VLOOKUP($A54,SatSunCurve,2))*(INDEX(DailyScalarsTable,AV$5/100,MONTH($A54)))*$C54</f>
        <v>-8516.0391776531214</v>
      </c>
      <c r="AW54" s="1021">
        <f>(VLOOKUP(YEAR($A54),'NY East Load Projections'!$A$4:$EO$14,((MONTH($A54)-1)*12)+VLOOKUP(AW$4,$DE$6:$DF$17,2)+1))*(VLOOKUP($A54,SatSunCurve,2))*(INDEX(DailyScalarsTable,AW$5/100,MONTH($A54)))*$C54</f>
        <v>-8814.7725188249315</v>
      </c>
      <c r="AX54" s="1021">
        <f>(VLOOKUP(YEAR($A54),'NY East Load Projections'!$A$4:$EO$14,((MONTH($A54)-1)*12)+VLOOKUP(AX$4,$DE$6:$DF$17,2)+1))*(VLOOKUP($A54,SatSunCurve,2))*(INDEX(DailyScalarsTable,AX$5/100,MONTH($A54)))*$C54</f>
        <v>-12265.37300771718</v>
      </c>
      <c r="AY54" s="1021">
        <f>(VLOOKUP(YEAR($A54),'NY East Load Projections'!$A$4:$EO$14,((MONTH($A54)-1)*12)+VLOOKUP(AY$4,$DE$6:$DF$17,2)+1))*(VLOOKUP($A54,SatSunCurve,2))*(INDEX(DailyScalarsTable,AY$5/100,MONTH($A54)))*$C54</f>
        <v>-13458.373148158807</v>
      </c>
      <c r="AZ54" s="1021">
        <f>(VLOOKUP(YEAR($A54),'NY East Load Projections'!$A$4:$EO$14,((MONTH($A54)-1)*12)+VLOOKUP(AZ$4,$DE$6:$DF$17,2)+1))*(VLOOKUP($A54,SatSunCurve,2))*(INDEX(DailyScalarsTable,AZ$5/100,MONTH($A54)))*$C54</f>
        <v>-12881.998428535246</v>
      </c>
      <c r="BA54" s="1021">
        <f>(VLOOKUP(YEAR($A54),'NY East Load Projections'!$A$4:$EO$14,((MONTH($A54)-1)*12)+VLOOKUP(BA$4,$DE$6:$DF$17,2)+1))*(VLOOKUP($A54,SatSunCurve,2))*(INDEX(DailyScalarsTable,BA$5/100,MONTH($A54)))*$C54</f>
        <v>-11662.107049078333</v>
      </c>
      <c r="BB54" s="1021">
        <f>(VLOOKUP(YEAR($A54),'NY East Load Projections'!$A$4:$EO$14,((MONTH($A54)-1)*12)+VLOOKUP(BB$4,$DE$6:$DF$17,2)+1))*(VLOOKUP($A54,SatSunCurve,2))*(INDEX(DailyScalarsTable,BB$5/100,MONTH($A54)))*$C54</f>
        <v>-8294.360638965969</v>
      </c>
      <c r="BC54" s="1021">
        <f>(VLOOKUP(YEAR($A54),'NY East Load Projections'!$A$4:$EO$14,((MONTH($A54)-1)*12)+VLOOKUP(BC$4,$DE$6:$DF$17,2)+1))*(VLOOKUP($A54,SatSunCurve,2))*(INDEX(DailyScalarsTable,BC$5/100,MONTH($A54)))*$C54</f>
        <v>-6789.9665608090245</v>
      </c>
      <c r="BD54" s="1021">
        <f>(VLOOKUP(YEAR($A54),'NY East Load Projections'!$A$4:$EO$14,((MONTH($A54)-1)*12)+VLOOKUP(BD$4,$DE$6:$DF$17,2)+1))*(VLOOKUP($A54,CURVES!$D$9:$T$261,6))*(INDEX(DailyScalarsTable,BD$5/100,MONTH($A54)))*$C54</f>
        <v>-7564.9568259318876</v>
      </c>
      <c r="BE54" s="1021"/>
      <c r="BF54" s="1021">
        <f>(VLOOKUP(YEAR($A54),'NY East Load Projections'!$A$4:$EO$14,((MONTH($A54)-1)*12)+VLOOKUP(BF$4,$DE$6:$DF$17,2)+1))*(VLOOKUP($A54,CURVES!$D$9:$T$261,6))*(INDEX(DailyScalarsTable,BF$5/100,MONTH($A54)))*$D54</f>
        <v>-8226.316282171374</v>
      </c>
      <c r="BG54" s="1021">
        <f>(VLOOKUP(YEAR($A54),'NY East Load Projections'!$A$4:$EO$14,((MONTH($A54)-1)*12)+VLOOKUP(BG$4,$DE$6:$DF$17,2)+1))*(VLOOKUP($A54,CURVES!$D$9:$T$261,6))*(INDEX(DailyScalarsTable,BG$5/100,MONTH($A54)))*$D54</f>
        <v>-8066.0447223376432</v>
      </c>
      <c r="BH54" s="1021">
        <f>(VLOOKUP(YEAR($A54),'NY East Load Projections'!$A$4:$EO$14,((MONTH($A54)-1)*12)+VLOOKUP(BH$4,$DE$6:$DF$17,2)+1))*(VLOOKUP($A54,CURVES!$D$9:$T$261,6))*(INDEX(DailyScalarsTable,BH$5/100,MONTH($A54)))*$D54</f>
        <v>-7391.3246997684564</v>
      </c>
      <c r="BI54" s="1021">
        <f>(VLOOKUP(YEAR($A54),'NY East Load Projections'!$A$4:$EO$14,((MONTH($A54)-1)*12)+VLOOKUP(BI$4,$DE$6:$DF$17,2)+1))*(VLOOKUP($A54,CURVES!$D$9:$T$261,6))*(INDEX(DailyScalarsTable,BI$5/100,MONTH($A54)))*$D54</f>
        <v>-7386.8557902767243</v>
      </c>
      <c r="BJ54" s="1021">
        <f>(VLOOKUP(YEAR($A54),'NY East Load Projections'!$A$4:$EO$14,((MONTH($A54)-1)*12)+VLOOKUP(BJ$4,$DE$6:$DF$17,2)+1))*(VLOOKUP($A54,CURVES!$D$9:$T$261,6))*(INDEX(DailyScalarsTable,BJ$5/100,MONTH($A54)))*$D54</f>
        <v>-7765.1375697003596</v>
      </c>
      <c r="BK54" s="1021">
        <f>(VLOOKUP(YEAR($A54),'NY East Load Projections'!$A$4:$EO$14,((MONTH($A54)-1)*12)+VLOOKUP(BK$4,$DE$6:$DF$17,2)+1))*(VLOOKUP($A54,CURVES!$D$9:$T$261,6))*(INDEX(DailyScalarsTable,BK$5/100,MONTH($A54)))*$D54</f>
        <v>-8287.0942474510393</v>
      </c>
      <c r="BL54" s="1021">
        <f>(VLOOKUP(YEAR($A54),'NY East Load Projections'!$A$4:$EO$14,((MONTH($A54)-1)*12)+VLOOKUP(BL$4,$DE$6:$DF$17,2)+1))*(VLOOKUP($A54,CURVES!$D$9:$T$261,6))*(INDEX(DailyScalarsTable,BL$5/100,MONTH($A54)))*$D54</f>
        <v>-15869.684578359862</v>
      </c>
      <c r="BM54" s="1021">
        <f>(VLOOKUP(YEAR($A54),'NY East Load Projections'!$A$4:$EO$14,((MONTH($A54)-1)*12)+VLOOKUP(BM$4,$DE$6:$DF$17,2)+1))*(VLOOKUP($A54,SatSunCurve,6))*(INDEX(DailyScalarsTable,BM$5/100,MONTH($A54)))*$D54</f>
        <v>-12564.280632314338</v>
      </c>
      <c r="BN54" s="1021">
        <f>(VLOOKUP(YEAR($A54),'NY East Load Projections'!$A$4:$EO$14,((MONTH($A54)-1)*12)+VLOOKUP(BN$4,$DE$6:$DF$17,2)+1))*(VLOOKUP($A54,SatSunCurve,6))*(INDEX(DailyScalarsTable,BN$5/100,MONTH($A54)))*$D54</f>
        <v>-14164.692357703163</v>
      </c>
      <c r="BO54" s="1021">
        <f>(VLOOKUP(YEAR($A54),'NY East Load Projections'!$A$4:$EO$14,((MONTH($A54)-1)*12)+VLOOKUP(BO$4,$DE$6:$DF$17,2)+1))*(VLOOKUP($A54,SatSunCurve,6))*(INDEX(DailyScalarsTable,BO$5/100,MONTH($A54)))*$D54</f>
        <v>-14121.580723716594</v>
      </c>
      <c r="BP54" s="1021">
        <f>(VLOOKUP(YEAR($A54),'NY East Load Projections'!$A$4:$EO$14,((MONTH($A54)-1)*12)+VLOOKUP(BP$4,$DE$6:$DF$17,2)+1))*(VLOOKUP($A54,SatSunCurve,6))*(INDEX(DailyScalarsTable,BP$5/100,MONTH($A54)))*$D54</f>
        <v>-13875.140618145806</v>
      </c>
      <c r="BQ54" s="1021">
        <f>(VLOOKUP(YEAR($A54),'NY East Load Projections'!$A$4:$EO$14,((MONTH($A54)-1)*12)+VLOOKUP(BQ$4,$DE$6:$DF$17,2)+1))*(VLOOKUP($A54,SatSunCurve,6))*(INDEX(DailyScalarsTable,BQ$5/100,MONTH($A54)))*$D54</f>
        <v>-10393.79309539385</v>
      </c>
      <c r="BR54" s="1021">
        <f>(VLOOKUP(YEAR($A54),'NY East Load Projections'!$A$4:$EO$14,((MONTH($A54)-1)*12)+VLOOKUP(BR$4,$DE$6:$DF$17,2)+1))*(VLOOKUP($A54,SatSunCurve,6))*(INDEX(DailyScalarsTable,BR$5/100,MONTH($A54)))*$D54</f>
        <v>-10136.913342589618</v>
      </c>
      <c r="BS54" s="1021">
        <f>(VLOOKUP(YEAR($A54),'NY East Load Projections'!$A$4:$EO$14,((MONTH($A54)-1)*12)+VLOOKUP(BS$4,$DE$6:$DF$17,2)+1))*(VLOOKUP($A54,SatSunCurve,6))*(INDEX(DailyScalarsTable,BS$5/100,MONTH($A54)))*$D54</f>
        <v>-9809.6101041063794</v>
      </c>
      <c r="BT54" s="1021">
        <f>(VLOOKUP(YEAR($A54),'NY East Load Projections'!$A$4:$EO$14,((MONTH($A54)-1)*12)+VLOOKUP(BT$4,$DE$6:$DF$17,2)+1))*(VLOOKUP($A54,SatSunCurve,6))*(INDEX(DailyScalarsTable,BT$5/100,MONTH($A54)))*$D54</f>
        <v>-9310.3540772895522</v>
      </c>
      <c r="BU54" s="1021">
        <f>(VLOOKUP(YEAR($A54),'NY East Load Projections'!$A$4:$EO$14,((MONTH($A54)-1)*12)+VLOOKUP(BU$4,$DE$6:$DF$17,2)+1))*(VLOOKUP($A54,SatSunCurve,6))*(INDEX(DailyScalarsTable,BU$5/100,MONTH($A54)))*$D54</f>
        <v>-9122.9848320708861</v>
      </c>
      <c r="BV54" s="1021">
        <f>(VLOOKUP(YEAR($A54),'NY East Load Projections'!$A$4:$EO$14,((MONTH($A54)-1)*12)+VLOOKUP(BV$4,$DE$6:$DF$17,2)+1))*(VLOOKUP($A54,SatSunCurve,6))*(INDEX(DailyScalarsTable,BV$5/100,MONTH($A54)))*$D54</f>
        <v>-9443.0091630410643</v>
      </c>
      <c r="BW54" s="1021">
        <f>(VLOOKUP(YEAR($A54),'NY East Load Projections'!$A$4:$EO$14,((MONTH($A54)-1)*12)+VLOOKUP(BW$4,$DE$6:$DF$17,2)+1))*(VLOOKUP($A54,SatSunCurve,6))*(INDEX(DailyScalarsTable,BW$5/100,MONTH($A54)))*$D54</f>
        <v>-13139.537004799502</v>
      </c>
      <c r="BX54" s="1021">
        <f>(VLOOKUP(YEAR($A54),'NY East Load Projections'!$A$4:$EO$14,((MONTH($A54)-1)*12)+VLOOKUP(BX$4,$DE$6:$DF$17,2)+1))*(VLOOKUP($A54,SatSunCurve,6))*(INDEX(DailyScalarsTable,BX$5/100,MONTH($A54)))*$D54</f>
        <v>-14417.563321830461</v>
      </c>
      <c r="BY54" s="1021">
        <f>(VLOOKUP(YEAR($A54),'NY East Load Projections'!$A$4:$EO$14,((MONTH($A54)-1)*12)+VLOOKUP(BY$4,$DE$6:$DF$17,2)+1))*(VLOOKUP($A54,SatSunCurve,6))*(INDEX(DailyScalarsTable,BY$5/100,MONTH($A54)))*$D54</f>
        <v>-13800.109865473307</v>
      </c>
      <c r="BZ54" s="1021">
        <f>(VLOOKUP(YEAR($A54),'NY East Load Projections'!$A$4:$EO$14,((MONTH($A54)-1)*12)+VLOOKUP(BZ$4,$DE$6:$DF$17,2)+1))*(VLOOKUP($A54,SatSunCurve,6))*(INDEX(DailyScalarsTable,BZ$5/100,MONTH($A54)))*$D54</f>
        <v>-12493.275747006226</v>
      </c>
      <c r="CA54" s="1021">
        <f>(VLOOKUP(YEAR($A54),'NY East Load Projections'!$A$4:$EO$14,((MONTH($A54)-1)*12)+VLOOKUP(CA$4,$DE$6:$DF$17,2)+1))*(VLOOKUP($A54,SatSunCurve,6))*(INDEX(DailyScalarsTable,CA$5/100,MONTH($A54)))*$D54</f>
        <v>-8885.5070676019968</v>
      </c>
      <c r="CB54" s="1021">
        <f>(VLOOKUP(YEAR($A54),'NY East Load Projections'!$A$4:$EO$14,((MONTH($A54)-1)*12)+VLOOKUP(CB$4,$DE$6:$DF$17,2)+1))*(VLOOKUP($A54,SatSunCurve,6))*(INDEX(DailyScalarsTable,CB$5/100,MONTH($A54)))*$D54</f>
        <v>-7273.8934911288416</v>
      </c>
      <c r="CC54" s="1021">
        <f>(VLOOKUP(YEAR($A54),'NY East Load Projections'!$A$4:$EO$14,((MONTH($A54)-1)*12)+VLOOKUP(CC$4,$DE$6:$DF$17,2)+1))*(VLOOKUP($A54,CURVES!$D$9:$T$261,6))*(INDEX(DailyScalarsTable,CC$5/100,MONTH($A54)))*$D54</f>
        <v>-9456.1960324148604</v>
      </c>
      <c r="CE54" s="1021">
        <f>(VLOOKUP(YEAR($A54),'NY East Load Projections'!$A$4:$EO$14,((MONTH($A54)-1)*12)+VLOOKUP(CE$4,$DE$6:$DF$17,2)+1))*(VLOOKUP($A54,CURVES!$D$9:$T$261,6))*(INDEX(DailyScalarsTable,CE$5/100,MONTH($A54)))*$E54</f>
        <v>-1645.2632564342748</v>
      </c>
      <c r="CF54" s="1021">
        <f>(VLOOKUP(YEAR($A54),'NY East Load Projections'!$A$4:$EO$14,((MONTH($A54)-1)*12)+VLOOKUP(CF$4,$DE$6:$DF$17,2)+1))*(VLOOKUP($A54,CURVES!$D$9:$T$261,6))*(INDEX(DailyScalarsTable,CF$5/100,MONTH($A54)))*$E54</f>
        <v>-1613.2089444675287</v>
      </c>
      <c r="CG54" s="1021">
        <f>(VLOOKUP(YEAR($A54),'NY East Load Projections'!$A$4:$EO$14,((MONTH($A54)-1)*12)+VLOOKUP(CG$4,$DE$6:$DF$17,2)+1))*(VLOOKUP($A54,CURVES!$D$9:$T$261,6))*(INDEX(DailyScalarsTable,CG$5/100,MONTH($A54)))*$E54</f>
        <v>-1478.2649399536913</v>
      </c>
      <c r="CH54" s="1021">
        <f>(VLOOKUP(YEAR($A54),'NY East Load Projections'!$A$4:$EO$14,((MONTH($A54)-1)*12)+VLOOKUP(CH$4,$DE$6:$DF$17,2)+1))*(VLOOKUP($A54,CURVES!$D$9:$T$261,6))*(INDEX(DailyScalarsTable,CH$5/100,MONTH($A54)))*$E54</f>
        <v>-1477.3711580553449</v>
      </c>
      <c r="CI54" s="1021">
        <f>(VLOOKUP(YEAR($A54),'NY East Load Projections'!$A$4:$EO$14,((MONTH($A54)-1)*12)+VLOOKUP(CI$4,$DE$6:$DF$17,2)+1))*(VLOOKUP($A54,CURVES!$D$9:$T$261,6))*(INDEX(DailyScalarsTable,CI$5/100,MONTH($A54)))*$E54</f>
        <v>-1553.0275139400719</v>
      </c>
      <c r="CJ54" s="1021">
        <f>(VLOOKUP(YEAR($A54),'NY East Load Projections'!$A$4:$EO$14,((MONTH($A54)-1)*12)+VLOOKUP(CJ$4,$DE$6:$DF$17,2)+1))*(VLOOKUP($A54,CURVES!$D$9:$T$261,6))*(INDEX(DailyScalarsTable,CJ$5/100,MONTH($A54)))*$E54</f>
        <v>-1657.4188494902078</v>
      </c>
      <c r="CK54" s="1021">
        <f>(VLOOKUP(YEAR($A54),'NY East Load Projections'!$A$4:$EO$14,((MONTH($A54)-1)*12)+VLOOKUP(CK$4,$DE$6:$DF$17,2)+1))*(VLOOKUP($A54,CURVES!$D$9:$T$261,6))*(INDEX(DailyScalarsTable,CK$5/100,MONTH($A54)))*$E54</f>
        <v>-3173.9369156719722</v>
      </c>
      <c r="CL54" s="1021">
        <f>(VLOOKUP(YEAR($A54),'NY East Load Projections'!$A$4:$EO$14,((MONTH($A54)-1)*12)+VLOOKUP(CL$4,$DE$6:$DF$17,2)+1))*(VLOOKUP($A54,SatSunCurve,6))*(INDEX(DailyScalarsTable,CL$5/100,MONTH($A54)))*$E54</f>
        <v>-2512.8561264628675</v>
      </c>
      <c r="CM54" s="1021">
        <f>(VLOOKUP(YEAR($A54),'NY East Load Projections'!$A$4:$EO$14,((MONTH($A54)-1)*12)+VLOOKUP(CM$4,$DE$6:$DF$17,2)+1))*(VLOOKUP($A54,SatSunCurve,6))*(INDEX(DailyScalarsTable,CM$5/100,MONTH($A54)))*$E54</f>
        <v>-2832.9384715406327</v>
      </c>
      <c r="CN54" s="1021">
        <f>(VLOOKUP(YEAR($A54),'NY East Load Projections'!$A$4:$EO$14,((MONTH($A54)-1)*12)+VLOOKUP(CN$4,$DE$6:$DF$17,2)+1))*(VLOOKUP($A54,SatSunCurve,6))*(INDEX(DailyScalarsTable,CN$5/100,MONTH($A54)))*$E54</f>
        <v>-2824.3161447433185</v>
      </c>
      <c r="CO54" s="1021">
        <f>(VLOOKUP(YEAR($A54),'NY East Load Projections'!$A$4:$EO$14,((MONTH($A54)-1)*12)+VLOOKUP(CO$4,$DE$6:$DF$17,2)+1))*(VLOOKUP($A54,SatSunCurve,6))*(INDEX(DailyScalarsTable,CO$5/100,MONTH($A54)))*$E54</f>
        <v>-2775.0281236291612</v>
      </c>
      <c r="CP54" s="1021">
        <f>(VLOOKUP(YEAR($A54),'NY East Load Projections'!$A$4:$EO$14,((MONTH($A54)-1)*12)+VLOOKUP(CP$4,$DE$6:$DF$17,2)+1))*(VLOOKUP($A54,SatSunCurve,6))*(INDEX(DailyScalarsTable,CP$5/100,MONTH($A54)))*$E54</f>
        <v>-2078.7586190787702</v>
      </c>
      <c r="CQ54" s="1021">
        <f>(VLOOKUP(YEAR($A54),'NY East Load Projections'!$A$4:$EO$14,((MONTH($A54)-1)*12)+VLOOKUP(CQ$4,$DE$6:$DF$17,2)+1))*(VLOOKUP($A54,SatSunCurve,6))*(INDEX(DailyScalarsTable,CQ$5/100,MONTH($A54)))*$E54</f>
        <v>-2027.3826685179235</v>
      </c>
      <c r="CR54" s="1021">
        <f>(VLOOKUP(YEAR($A54),'NY East Load Projections'!$A$4:$EO$14,((MONTH($A54)-1)*12)+VLOOKUP(CR$4,$DE$6:$DF$17,2)+1))*(VLOOKUP($A54,SatSunCurve,6))*(INDEX(DailyScalarsTable,CR$5/100,MONTH($A54)))*$E54</f>
        <v>-1961.9220208212757</v>
      </c>
      <c r="CS54" s="1021">
        <f>(VLOOKUP(YEAR($A54),'NY East Load Projections'!$A$4:$EO$14,((MONTH($A54)-1)*12)+VLOOKUP(CS$4,$DE$6:$DF$17,2)+1))*(VLOOKUP($A54,SatSunCurve,6))*(INDEX(DailyScalarsTable,CS$5/100,MONTH($A54)))*$E54</f>
        <v>-1862.0708154579104</v>
      </c>
      <c r="CT54" s="1021">
        <f>(VLOOKUP(YEAR($A54),'NY East Load Projections'!$A$4:$EO$14,((MONTH($A54)-1)*12)+VLOOKUP(CT$4,$DE$6:$DF$17,2)+1))*(VLOOKUP($A54,SatSunCurve,6))*(INDEX(DailyScalarsTable,CT$5/100,MONTH($A54)))*$E54</f>
        <v>-1824.5969664141771</v>
      </c>
      <c r="CU54" s="1021">
        <f>(VLOOKUP(YEAR($A54),'NY East Load Projections'!$A$4:$EO$14,((MONTH($A54)-1)*12)+VLOOKUP(CU$4,$DE$6:$DF$17,2)+1))*(VLOOKUP($A54,SatSunCurve,6))*(INDEX(DailyScalarsTable,CU$5/100,MONTH($A54)))*$E54</f>
        <v>-1888.601832608213</v>
      </c>
      <c r="CV54" s="1021">
        <f>(VLOOKUP(YEAR($A54),'NY East Load Projections'!$A$4:$EO$14,((MONTH($A54)-1)*12)+VLOOKUP(CV$4,$DE$6:$DF$17,2)+1))*(VLOOKUP($A54,SatSunCurve,6))*(INDEX(DailyScalarsTable,CV$5/100,MONTH($A54)))*$E54</f>
        <v>-2627.9074009599003</v>
      </c>
      <c r="CW54" s="1021">
        <f>(VLOOKUP(YEAR($A54),'NY East Load Projections'!$A$4:$EO$14,((MONTH($A54)-1)*12)+VLOOKUP(CW$4,$DE$6:$DF$17,2)+1))*(VLOOKUP($A54,SatSunCurve,6))*(INDEX(DailyScalarsTable,CW$5/100,MONTH($A54)))*$E54</f>
        <v>-2883.5126643660924</v>
      </c>
      <c r="CX54" s="1021">
        <f>(VLOOKUP(YEAR($A54),'NY East Load Projections'!$A$4:$EO$14,((MONTH($A54)-1)*12)+VLOOKUP(CX$4,$DE$6:$DF$17,2)+1))*(VLOOKUP($A54,SatSunCurve,6))*(INDEX(DailyScalarsTable,CX$5/100,MONTH($A54)))*$E54</f>
        <v>-2760.0219730946615</v>
      </c>
      <c r="CY54" s="1021">
        <f>(VLOOKUP(YEAR($A54),'NY East Load Projections'!$A$4:$EO$14,((MONTH($A54)-1)*12)+VLOOKUP(CY$4,$DE$6:$DF$17,2)+1))*(VLOOKUP($A54,SatSunCurve,6))*(INDEX(DailyScalarsTable,CY$5/100,MONTH($A54)))*$E54</f>
        <v>-2498.6551494012451</v>
      </c>
      <c r="CZ54" s="1021">
        <f>(VLOOKUP(YEAR($A54),'NY East Load Projections'!$A$4:$EO$14,((MONTH($A54)-1)*12)+VLOOKUP(CZ$4,$DE$6:$DF$17,2)+1))*(VLOOKUP($A54,SatSunCurve,6))*(INDEX(DailyScalarsTable,CZ$5/100,MONTH($A54)))*$E54</f>
        <v>-1777.1014135203995</v>
      </c>
      <c r="DA54" s="1021">
        <f>(VLOOKUP(YEAR($A54),'NY East Load Projections'!$A$4:$EO$14,((MONTH($A54)-1)*12)+VLOOKUP(DA$4,$DE$6:$DF$17,2)+1))*(VLOOKUP($A54,SatSunCurve,6))*(INDEX(DailyScalarsTable,DA$5/100,MONTH($A54)))*$E54</f>
        <v>-1454.7786982257683</v>
      </c>
      <c r="DB54" s="1021">
        <f>(VLOOKUP(YEAR($A54),'NY East Load Projections'!$A$4:$EO$14,((MONTH($A54)-1)*12)+VLOOKUP(DB$4,$DE$6:$DF$17,2)+1))*(VLOOKUP($A54,CURVES!$D$9:$T$261,6))*(INDEX(DailyScalarsTable,DB$5/100,MONTH($A54)))*$E54</f>
        <v>-1891.2392064829719</v>
      </c>
      <c r="DH54" s="1021">
        <f t="shared" si="0"/>
        <v>-2027813.9806455232</v>
      </c>
      <c r="DI54">
        <f ca="1">CALC!J74</f>
        <v>0.70011600191744161</v>
      </c>
      <c r="DJ54" s="1029">
        <f t="shared" ca="1" si="1"/>
        <v>-1419705.0167618359</v>
      </c>
    </row>
    <row r="55" spans="1:114" x14ac:dyDescent="0.25">
      <c r="A55" s="244">
        <v>38384</v>
      </c>
      <c r="B55" s="13">
        <v>20</v>
      </c>
      <c r="C55" s="210">
        <v>4</v>
      </c>
      <c r="D55" s="210">
        <v>4</v>
      </c>
      <c r="E55" s="210">
        <v>0</v>
      </c>
      <c r="F55" s="13">
        <v>28</v>
      </c>
      <c r="H55" s="1021">
        <f>(VLOOKUP(YEAR($A55),'NY East Load Projections'!$A$4:$EO$14,((MONTH($A55)-1)*12)+VLOOKUP(H$4,$DE$6:$DF$17,2)+1))*(VLOOKUP($A55,CURVES!$D$9:$K$261,6))*(INDEX(DailyScalarsTable,H$5/100,MONTH($A55)))*$B55</f>
        <v>-30454.16369642147</v>
      </c>
      <c r="I55" s="1021">
        <f>(VLOOKUP(YEAR($A55),'NY East Load Projections'!$A$4:$EO$14,((MONTH($A55)-1)*12)+VLOOKUP(I$4,$DE$6:$DF$17,2)+1))*(VLOOKUP($A55,CURVES!$D$9:$K$261,6))*(INDEX(DailyScalarsTable,I$5/100,MONTH($A55)))*$B55</f>
        <v>-29860.831741797319</v>
      </c>
      <c r="J55" s="1021">
        <f>(VLOOKUP(YEAR($A55),'NY East Load Projections'!$A$4:$EO$14,((MONTH($A55)-1)*12)+VLOOKUP(J$4,$DE$6:$DF$17,2)+1))*(VLOOKUP($A55,CURVES!$D$9:$K$261,6))*(INDEX(DailyScalarsTable,J$5/100,MONTH($A55)))*$B55</f>
        <v>-27362.990264305343</v>
      </c>
      <c r="K55" s="1021">
        <f>(VLOOKUP(YEAR($A55),'NY East Load Projections'!$A$4:$EO$14,((MONTH($A55)-1)*12)+VLOOKUP(K$4,$DE$6:$DF$17,2)+1))*(VLOOKUP($A55,CURVES!$D$9:$K$261,6))*(INDEX(DailyScalarsTable,K$5/100,MONTH($A55)))*$B55</f>
        <v>-27346.446176218116</v>
      </c>
      <c r="L55" s="1021">
        <f>(VLOOKUP(YEAR($A55),'NY East Load Projections'!$A$4:$EO$14,((MONTH($A55)-1)*12)+VLOOKUP(L$4,$DE$6:$DF$17,2)+1))*(VLOOKUP($A55,CURVES!$D$9:$K$261,6))*(INDEX(DailyScalarsTable,L$5/100,MONTH($A55)))*$B55</f>
        <v>-31286.64455244863</v>
      </c>
      <c r="M55" s="1021">
        <f>(VLOOKUP(YEAR($A55),'NY East Load Projections'!$A$4:$EO$14,((MONTH($A55)-1)*12)+VLOOKUP(M$4,$DE$6:$DF$17,2)+1))*(VLOOKUP($A55,CURVES!$D$9:$K$261,6))*(INDEX(DailyScalarsTable,M$5/100,MONTH($A55)))*$B55</f>
        <v>-33389.668858454919</v>
      </c>
      <c r="N55" s="1021">
        <f>(VLOOKUP(YEAR($A55),'NY East Load Projections'!$A$4:$EO$14,((MONTH($A55)-1)*12)+VLOOKUP(N$4,$DE$6:$DF$17,2)+1))*(VLOOKUP($A55,CURVES!$D$9:$K$261,6))*(INDEX(DailyScalarsTable,N$5/100,MONTH($A55)))*$B55</f>
        <v>-63940.809303882015</v>
      </c>
      <c r="O55" s="1021">
        <f>(VLOOKUP(YEAR($A55),'NY East Load Projections'!$A$4:$EO$14,((MONTH($A55)-1)*12)+VLOOKUP(O$4,$DE$6:$DF$17,2)+1))*(VLOOKUP($A55,CURVES!$D$9:$K$261,2))*(INDEX(DailyScalarsTable,O$5/100,MONTH($A55)))*$B55</f>
        <v>-75327.408695085454</v>
      </c>
      <c r="P55" s="1021">
        <f>(VLOOKUP(YEAR($A55),'NY East Load Projections'!$A$4:$EO$14,((MONTH($A55)-1)*12)+VLOOKUP(P$4,$DE$6:$DF$17,2)+1))*(VLOOKUP($A55,CURVES!$D$9:$K$261,2))*(INDEX(DailyScalarsTable,P$5/100,MONTH($A55)))*$B55</f>
        <v>-86267.99313870538</v>
      </c>
      <c r="Q55" s="1021">
        <f>(VLOOKUP(YEAR($A55),'NY East Load Projections'!$A$4:$EO$14,((MONTH($A55)-1)*12)+VLOOKUP(Q$4,$DE$6:$DF$17,2)+1))*(VLOOKUP($A55,CURVES!$D$9:$K$261,2))*(INDEX(DailyScalarsTable,Q$5/100,MONTH($A55)))*$B55</f>
        <v>-86005.428018967432</v>
      </c>
      <c r="R55" s="1021">
        <f>(VLOOKUP(YEAR($A55),'NY East Load Projections'!$A$4:$EO$14,((MONTH($A55)-1)*12)+VLOOKUP(R$4,$DE$6:$DF$17,2)+1))*(VLOOKUP($A55,CURVES!$D$9:$K$261,2))*(INDEX(DailyScalarsTable,R$5/100,MONTH($A55)))*$B55</f>
        <v>-84504.520494850178</v>
      </c>
      <c r="S55" s="1021">
        <f>(VLOOKUP(YEAR($A55),'NY East Load Projections'!$A$4:$EO$14,((MONTH($A55)-1)*12)+VLOOKUP(S$4,$DE$6:$DF$17,2)+1))*(VLOOKUP($A55,CURVES!$D$9:$K$261,2))*(INDEX(DailyScalarsTable,S$5/100,MONTH($A55)))*$B55</f>
        <v>-63301.881099516817</v>
      </c>
      <c r="T55" s="1021">
        <f>(VLOOKUP(YEAR($A55),'NY East Load Projections'!$A$4:$EO$14,((MONTH($A55)-1)*12)+VLOOKUP(T$4,$DE$6:$DF$17,2)+1))*(VLOOKUP($A55,CURVES!$D$9:$K$261,2))*(INDEX(DailyScalarsTable,T$5/100,MONTH($A55)))*$B55</f>
        <v>-62309.787020287127</v>
      </c>
      <c r="U55" s="1021">
        <f>(VLOOKUP(YEAR($A55),'NY East Load Projections'!$A$4:$EO$14,((MONTH($A55)-1)*12)+VLOOKUP(U$4,$DE$6:$DF$17,2)+1))*(VLOOKUP($A55,CURVES!$D$9:$K$261,2))*(INDEX(DailyScalarsTable,U$5/100,MONTH($A55)))*$B55</f>
        <v>-60297.912755242767</v>
      </c>
      <c r="V55" s="1021">
        <f>(VLOOKUP(YEAR($A55),'NY East Load Projections'!$A$4:$EO$14,((MONTH($A55)-1)*12)+VLOOKUP(V$4,$DE$6:$DF$17,2)+1))*(VLOOKUP($A55,CURVES!$D$9:$K$261,2))*(INDEX(DailyScalarsTable,V$5/100,MONTH($A55)))*$B55</f>
        <v>-57229.075561099009</v>
      </c>
      <c r="W55" s="1021">
        <f>(VLOOKUP(YEAR($A55),'NY East Load Projections'!$A$4:$EO$14,((MONTH($A55)-1)*12)+VLOOKUP(W$4,$DE$6:$DF$17,2)+1))*(VLOOKUP($A55,CURVES!$D$9:$K$261,2))*(INDEX(DailyScalarsTable,W$5/100,MONTH($A55)))*$B55</f>
        <v>-56077.350438356218</v>
      </c>
      <c r="X55" s="1021">
        <f>(VLOOKUP(YEAR($A55),'NY East Load Projections'!$A$4:$EO$14,((MONTH($A55)-1)*12)+VLOOKUP(X$4,$DE$6:$DF$17,2)+1))*(VLOOKUP($A55,CURVES!$D$9:$K$261,2))*(INDEX(DailyScalarsTable,X$5/100,MONTH($A55)))*$B55</f>
        <v>-57582.694315623172</v>
      </c>
      <c r="Y55" s="1021">
        <f>(VLOOKUP(YEAR($A55),'NY East Load Projections'!$A$4:$EO$14,((MONTH($A55)-1)*12)+VLOOKUP(Y$4,$DE$6:$DF$17,2)+1))*(VLOOKUP($A55,CURVES!$D$9:$K$261,2))*(INDEX(DailyScalarsTable,Y$5/100,MONTH($A55)))*$B55</f>
        <v>-80123.817496384465</v>
      </c>
      <c r="Z55" s="1021">
        <f>(VLOOKUP(YEAR($A55),'NY East Load Projections'!$A$4:$EO$14,((MONTH($A55)-1)*12)+VLOOKUP(Z$4,$DE$6:$DF$17,2)+1))*(VLOOKUP($A55,CURVES!$D$9:$K$261,2))*(INDEX(DailyScalarsTable,Z$5/100,MONTH($A55)))*$B55</f>
        <v>-87917.117012490795</v>
      </c>
      <c r="AA55" s="1021">
        <f>(VLOOKUP(YEAR($A55),'NY East Load Projections'!$A$4:$EO$14,((MONTH($A55)-1)*12)+VLOOKUP(AA$4,$DE$6:$DF$17,2)+1))*(VLOOKUP($A55,CURVES!$D$9:$K$261,2))*(INDEX(DailyScalarsTable,AA$5/100,MONTH($A55)))*$B55</f>
        <v>-84151.936547486475</v>
      </c>
      <c r="AB55" s="1021">
        <f>(VLOOKUP(YEAR($A55),'NY East Load Projections'!$A$4:$EO$14,((MONTH($A55)-1)*12)+VLOOKUP(AB$4,$DE$6:$DF$17,2)+1))*(VLOOKUP($A55,CURVES!$D$9:$K$261,2))*(INDEX(DailyScalarsTable,AB$5/100,MONTH($A55)))*$B55</f>
        <v>-71068.314939647418</v>
      </c>
      <c r="AC55" s="1021">
        <f>(VLOOKUP(YEAR($A55),'NY East Load Projections'!$A$4:$EO$14,((MONTH($A55)-1)*12)+VLOOKUP(AC$4,$DE$6:$DF$17,2)+1))*(VLOOKUP($A55,CURVES!$D$9:$K$261,2))*(INDEX(DailyScalarsTable,AC$5/100,MONTH($A55)))*$B55</f>
        <v>-50545.431595882554</v>
      </c>
      <c r="AD55" s="1021">
        <f>(VLOOKUP(YEAR($A55),'NY East Load Projections'!$A$4:$EO$14,((MONTH($A55)-1)*12)+VLOOKUP(AD$4,$DE$6:$DF$17,2)+1))*(VLOOKUP($A55,CURVES!$D$9:$K$261,2))*(INDEX(DailyScalarsTable,AD$5/100,MONTH($A55)))*$B55</f>
        <v>-41377.727021583705</v>
      </c>
      <c r="AE55" s="1021">
        <f>(VLOOKUP(YEAR($A55),'NY East Load Projections'!$A$4:$EO$14,((MONTH($A55)-1)*12)+VLOOKUP(AE$4,$DE$6:$DF$17,2)+1))*(VLOOKUP($A55,CURVES!$D$9:$K$261,6))*(INDEX(DailyScalarsTable,AE$5/100,MONTH($A55)))*$B55</f>
        <v>-36150.190792397814</v>
      </c>
      <c r="AF55" s="1021"/>
      <c r="AG55" s="1021">
        <f>(VLOOKUP(YEAR($A55),'NY East Load Projections'!$A$4:$EO$14,((MONTH($A55)-1)*12)+VLOOKUP(AG$4,$DE$6:$DF$17,2)+1))*(VLOOKUP($A55,CURVES!$D$9:$T$261,6))*(INDEX(DailyScalarsTable,AG$5/100,MONTH($A55)))*$C55</f>
        <v>-6473.316229385624</v>
      </c>
      <c r="AH55" s="1021">
        <f>(VLOOKUP(YEAR($A55),'NY East Load Projections'!$A$4:$EO$14,((MONTH($A55)-1)*12)+VLOOKUP(AH$4,$DE$6:$DF$17,2)+1))*(VLOOKUP($A55,CURVES!$D$9:$T$261,6))*(INDEX(DailyScalarsTable,AH$5/100,MONTH($A55)))*$C55</f>
        <v>-6347.1979944681134</v>
      </c>
      <c r="AI55" s="1021">
        <f>(VLOOKUP(YEAR($A55),'NY East Load Projections'!$A$4:$EO$14,((MONTH($A55)-1)*12)+VLOOKUP(AI$4,$DE$6:$DF$17,2)+1))*(VLOOKUP($A55,CURVES!$D$9:$T$261,6))*(INDEX(DailyScalarsTable,AI$5/100,MONTH($A55)))*$C55</f>
        <v>-5816.2585165082783</v>
      </c>
      <c r="AJ55" s="1021">
        <f>(VLOOKUP(YEAR($A55),'NY East Load Projections'!$A$4:$EO$14,((MONTH($A55)-1)*12)+VLOOKUP(AJ$4,$DE$6:$DF$17,2)+1))*(VLOOKUP($A55,CURVES!$D$9:$T$261,6))*(INDEX(DailyScalarsTable,AJ$5/100,MONTH($A55)))*$C55</f>
        <v>-5812.741916447183</v>
      </c>
      <c r="AK55" s="1021">
        <f>(VLOOKUP(YEAR($A55),'NY East Load Projections'!$A$4:$EO$14,((MONTH($A55)-1)*12)+VLOOKUP(AK$4,$DE$6:$DF$17,2)+1))*(VLOOKUP($A55,CURVES!$D$9:$T$261,6))*(INDEX(DailyScalarsTable,AK$5/100,MONTH($A55)))*$C55</f>
        <v>-6066.4577860471509</v>
      </c>
      <c r="AL55" s="1021">
        <f>(VLOOKUP(YEAR($A55),'NY East Load Projections'!$A$4:$EO$14,((MONTH($A55)-1)*12)+VLOOKUP(AL$4,$DE$6:$DF$17,2)+1))*(VLOOKUP($A55,CURVES!$D$9:$T$261,6))*(INDEX(DailyScalarsTable,AL$5/100,MONTH($A55)))*$C55</f>
        <v>-6474.2326803484884</v>
      </c>
      <c r="AM55" s="1021">
        <f>(VLOOKUP(YEAR($A55),'NY East Load Projections'!$A$4:$EO$14,((MONTH($A55)-1)*12)+VLOOKUP(AM$4,$DE$6:$DF$17,2)+1))*(VLOOKUP($A55,CURVES!$D$9:$T$261,6))*(INDEX(DailyScalarsTable,AM$5/100,MONTH($A55)))*$C55</f>
        <v>-12398.076751165469</v>
      </c>
      <c r="AN55" s="1021">
        <f>(VLOOKUP(YEAR($A55),'NY East Load Projections'!$A$4:$EO$14,((MONTH($A55)-1)*12)+VLOOKUP(AN$4,$DE$6:$DF$17,2)+1))*(VLOOKUP($A55,SatSunCurve,2))*(INDEX(DailyScalarsTable,AN$5/100,MONTH($A55)))*$C55</f>
        <v>-11152.087359529352</v>
      </c>
      <c r="AO55" s="1021">
        <f>(VLOOKUP(YEAR($A55),'NY East Load Projections'!$A$4:$EO$14,((MONTH($A55)-1)*12)+VLOOKUP(AO$4,$DE$6:$DF$17,2)+1))*(VLOOKUP($A55,SatSunCurve,2))*(INDEX(DailyScalarsTable,AO$5/100,MONTH($A55)))*$C55</f>
        <v>-12533.611862970396</v>
      </c>
      <c r="AP55" s="1021">
        <f>(VLOOKUP(YEAR($A55),'NY East Load Projections'!$A$4:$EO$14,((MONTH($A55)-1)*12)+VLOOKUP(AP$4,$DE$6:$DF$17,2)+1))*(VLOOKUP($A55,SatSunCurve,2))*(INDEX(DailyScalarsTable,AP$5/100,MONTH($A55)))*$C55</f>
        <v>-12495.464582851582</v>
      </c>
      <c r="AQ55" s="1021">
        <f>(VLOOKUP(YEAR($A55),'NY East Load Projections'!$A$4:$EO$14,((MONTH($A55)-1)*12)+VLOOKUP(AQ$4,$DE$6:$DF$17,2)+1))*(VLOOKUP($A55,SatSunCurve,2))*(INDEX(DailyScalarsTable,AQ$5/100,MONTH($A55)))*$C55</f>
        <v>-12277.402336761645</v>
      </c>
      <c r="AR55" s="1021">
        <f>(VLOOKUP(YEAR($A55),'NY East Load Projections'!$A$4:$EO$14,((MONTH($A55)-1)*12)+VLOOKUP(AR$4,$DE$6:$DF$17,2)+1))*(VLOOKUP($A55,SatSunCurve,2))*(INDEX(DailyScalarsTable,AR$5/100,MONTH($A55)))*$C55</f>
        <v>-9196.9359553963513</v>
      </c>
      <c r="AS55" s="1021">
        <f>(VLOOKUP(YEAR($A55),'NY East Load Projections'!$A$4:$EO$14,((MONTH($A55)-1)*12)+VLOOKUP(AS$4,$DE$6:$DF$17,2)+1))*(VLOOKUP($A55,SatSunCurve,2))*(INDEX(DailyScalarsTable,AS$5/100,MONTH($A55)))*$C55</f>
        <v>-8939.4418399741153</v>
      </c>
      <c r="AT55" s="1021">
        <f>(VLOOKUP(YEAR($A55),'NY East Load Projections'!$A$4:$EO$14,((MONTH($A55)-1)*12)+VLOOKUP(AT$4,$DE$6:$DF$17,2)+1))*(VLOOKUP($A55,SatSunCurve,2))*(INDEX(DailyScalarsTable,AT$5/100,MONTH($A55)))*$C55</f>
        <v>-8650.80286619863</v>
      </c>
      <c r="AU55" s="1021">
        <f>(VLOOKUP(YEAR($A55),'NY East Load Projections'!$A$4:$EO$14,((MONTH($A55)-1)*12)+VLOOKUP(AU$4,$DE$6:$DF$17,2)+1))*(VLOOKUP($A55,SatSunCurve,2))*(INDEX(DailyScalarsTable,AU$5/100,MONTH($A55)))*$C55</f>
        <v>-8210.5238518526876</v>
      </c>
      <c r="AV55" s="1021">
        <f>(VLOOKUP(YEAR($A55),'NY East Load Projections'!$A$4:$EO$14,((MONTH($A55)-1)*12)+VLOOKUP(AV$4,$DE$6:$DF$17,2)+1))*(VLOOKUP($A55,SatSunCurve,2))*(INDEX(DailyScalarsTable,AV$5/100,MONTH($A55)))*$C55</f>
        <v>-8045.2884973000546</v>
      </c>
      <c r="AW55" s="1021">
        <f>(VLOOKUP(YEAR($A55),'NY East Load Projections'!$A$4:$EO$14,((MONTH($A55)-1)*12)+VLOOKUP(AW$4,$DE$6:$DF$17,2)+1))*(VLOOKUP($A55,SatSunCurve,2))*(INDEX(DailyScalarsTable,AW$5/100,MONTH($A55)))*$C55</f>
        <v>-8380.0194880479958</v>
      </c>
      <c r="AX55" s="1021">
        <f>(VLOOKUP(YEAR($A55),'NY East Load Projections'!$A$4:$EO$14,((MONTH($A55)-1)*12)+VLOOKUP(AX$4,$DE$6:$DF$17,2)+1))*(VLOOKUP($A55,SatSunCurve,2))*(INDEX(DailyScalarsTable,AX$5/100,MONTH($A55)))*$C55</f>
        <v>-11660.433052962057</v>
      </c>
      <c r="AY55" s="1021">
        <f>(VLOOKUP(YEAR($A55),'NY East Load Projections'!$A$4:$EO$14,((MONTH($A55)-1)*12)+VLOOKUP(AY$4,$DE$6:$DF$17,2)+1))*(VLOOKUP($A55,SatSunCurve,2))*(INDEX(DailyScalarsTable,AY$5/100,MONTH($A55)))*$C55</f>
        <v>-12794.593282825543</v>
      </c>
      <c r="AZ55" s="1021">
        <f>(VLOOKUP(YEAR($A55),'NY East Load Projections'!$A$4:$EO$14,((MONTH($A55)-1)*12)+VLOOKUP(AZ$4,$DE$6:$DF$17,2)+1))*(VLOOKUP($A55,SatSunCurve,2))*(INDEX(DailyScalarsTable,AZ$5/100,MONTH($A55)))*$C55</f>
        <v>-12246.645916906729</v>
      </c>
      <c r="BA55" s="1021">
        <f>(VLOOKUP(YEAR($A55),'NY East Load Projections'!$A$4:$EO$14,((MONTH($A55)-1)*12)+VLOOKUP(BA$4,$DE$6:$DF$17,2)+1))*(VLOOKUP($A55,SatSunCurve,2))*(INDEX(DailyScalarsTable,BA$5/100,MONTH($A55)))*$C55</f>
        <v>-11157.986930214887</v>
      </c>
      <c r="BB55" s="1021">
        <f>(VLOOKUP(YEAR($A55),'NY East Load Projections'!$A$4:$EO$14,((MONTH($A55)-1)*12)+VLOOKUP(BB$4,$DE$6:$DF$17,2)+1))*(VLOOKUP($A55,SatSunCurve,2))*(INDEX(DailyScalarsTable,BB$5/100,MONTH($A55)))*$C55</f>
        <v>-7935.8187345214992</v>
      </c>
      <c r="BC55" s="1021">
        <f>(VLOOKUP(YEAR($A55),'NY East Load Projections'!$A$4:$EO$14,((MONTH($A55)-1)*12)+VLOOKUP(BC$4,$DE$6:$DF$17,2)+1))*(VLOOKUP($A55,SatSunCurve,2))*(INDEX(DailyScalarsTable,BC$5/100,MONTH($A55)))*$C55</f>
        <v>-6496.4553852291028</v>
      </c>
      <c r="BD55" s="1021">
        <f>(VLOOKUP(YEAR($A55),'NY East Load Projections'!$A$4:$EO$14,((MONTH($A55)-1)*12)+VLOOKUP(BD$4,$DE$6:$DF$17,2)+1))*(VLOOKUP($A55,CURVES!$D$9:$T$261,6))*(INDEX(DailyScalarsTable,BD$5/100,MONTH($A55)))*$C55</f>
        <v>-7433.5023054623243</v>
      </c>
      <c r="BE55" s="1021"/>
      <c r="BF55" s="1021">
        <f>(VLOOKUP(YEAR($A55),'NY East Load Projections'!$A$4:$EO$14,((MONTH($A55)-1)*12)+VLOOKUP(BF$4,$DE$6:$DF$17,2)+1))*(VLOOKUP($A55,CURVES!$D$9:$T$261,6))*(INDEX(DailyScalarsTable,BF$5/100,MONTH($A55)))*$D55</f>
        <v>-6473.316229385624</v>
      </c>
      <c r="BG55" s="1021">
        <f>(VLOOKUP(YEAR($A55),'NY East Load Projections'!$A$4:$EO$14,((MONTH($A55)-1)*12)+VLOOKUP(BG$4,$DE$6:$DF$17,2)+1))*(VLOOKUP($A55,CURVES!$D$9:$T$261,6))*(INDEX(DailyScalarsTable,BG$5/100,MONTH($A55)))*$D55</f>
        <v>-6347.1979944681134</v>
      </c>
      <c r="BH55" s="1021">
        <f>(VLOOKUP(YEAR($A55),'NY East Load Projections'!$A$4:$EO$14,((MONTH($A55)-1)*12)+VLOOKUP(BH$4,$DE$6:$DF$17,2)+1))*(VLOOKUP($A55,CURVES!$D$9:$T$261,6))*(INDEX(DailyScalarsTable,BH$5/100,MONTH($A55)))*$D55</f>
        <v>-5816.2585165082783</v>
      </c>
      <c r="BI55" s="1021">
        <f>(VLOOKUP(YEAR($A55),'NY East Load Projections'!$A$4:$EO$14,((MONTH($A55)-1)*12)+VLOOKUP(BI$4,$DE$6:$DF$17,2)+1))*(VLOOKUP($A55,CURVES!$D$9:$T$261,6))*(INDEX(DailyScalarsTable,BI$5/100,MONTH($A55)))*$D55</f>
        <v>-5812.741916447183</v>
      </c>
      <c r="BJ55" s="1021">
        <f>(VLOOKUP(YEAR($A55),'NY East Load Projections'!$A$4:$EO$14,((MONTH($A55)-1)*12)+VLOOKUP(BJ$4,$DE$6:$DF$17,2)+1))*(VLOOKUP($A55,CURVES!$D$9:$T$261,6))*(INDEX(DailyScalarsTable,BJ$5/100,MONTH($A55)))*$D55</f>
        <v>-6066.4577860471509</v>
      </c>
      <c r="BK55" s="1021">
        <f>(VLOOKUP(YEAR($A55),'NY East Load Projections'!$A$4:$EO$14,((MONTH($A55)-1)*12)+VLOOKUP(BK$4,$DE$6:$DF$17,2)+1))*(VLOOKUP($A55,CURVES!$D$9:$T$261,6))*(INDEX(DailyScalarsTable,BK$5/100,MONTH($A55)))*$D55</f>
        <v>-6474.2326803484884</v>
      </c>
      <c r="BL55" s="1021">
        <f>(VLOOKUP(YEAR($A55),'NY East Load Projections'!$A$4:$EO$14,((MONTH($A55)-1)*12)+VLOOKUP(BL$4,$DE$6:$DF$17,2)+1))*(VLOOKUP($A55,CURVES!$D$9:$T$261,6))*(INDEX(DailyScalarsTable,BL$5/100,MONTH($A55)))*$D55</f>
        <v>-12398.076751165469</v>
      </c>
      <c r="BM55" s="1021">
        <f>(VLOOKUP(YEAR($A55),'NY East Load Projections'!$A$4:$EO$14,((MONTH($A55)-1)*12)+VLOOKUP(BM$4,$DE$6:$DF$17,2)+1))*(VLOOKUP($A55,SatSunCurve,6))*(INDEX(DailyScalarsTable,BM$5/100,MONTH($A55)))*$D55</f>
        <v>-9089.3824678606907</v>
      </c>
      <c r="BN55" s="1021">
        <f>(VLOOKUP(YEAR($A55),'NY East Load Projections'!$A$4:$EO$14,((MONTH($A55)-1)*12)+VLOOKUP(BN$4,$DE$6:$DF$17,2)+1))*(VLOOKUP($A55,SatSunCurve,6))*(INDEX(DailyScalarsTable,BN$5/100,MONTH($A55)))*$D55</f>
        <v>-10215.378364025093</v>
      </c>
      <c r="BO55" s="1021">
        <f>(VLOOKUP(YEAR($A55),'NY East Load Projections'!$A$4:$EO$14,((MONTH($A55)-1)*12)+VLOOKUP(BO$4,$DE$6:$DF$17,2)+1))*(VLOOKUP($A55,SatSunCurve,6))*(INDEX(DailyScalarsTable,BO$5/100,MONTH($A55)))*$D55</f>
        <v>-10184.286855509225</v>
      </c>
      <c r="BP55" s="1021">
        <f>(VLOOKUP(YEAR($A55),'NY East Load Projections'!$A$4:$EO$14,((MONTH($A55)-1)*12)+VLOOKUP(BP$4,$DE$6:$DF$17,2)+1))*(VLOOKUP($A55,SatSunCurve,6))*(INDEX(DailyScalarsTable,BP$5/100,MONTH($A55)))*$D55</f>
        <v>-10006.557692114664</v>
      </c>
      <c r="BQ55" s="1021">
        <f>(VLOOKUP(YEAR($A55),'NY East Load Projections'!$A$4:$EO$14,((MONTH($A55)-1)*12)+VLOOKUP(BQ$4,$DE$6:$DF$17,2)+1))*(VLOOKUP($A55,SatSunCurve,6))*(INDEX(DailyScalarsTable,BQ$5/100,MONTH($A55)))*$D55</f>
        <v>-7495.8584645220271</v>
      </c>
      <c r="BR55" s="1021">
        <f>(VLOOKUP(YEAR($A55),'NY East Load Projections'!$A$4:$EO$14,((MONTH($A55)-1)*12)+VLOOKUP(BR$4,$DE$6:$DF$17,2)+1))*(VLOOKUP($A55,SatSunCurve,6))*(INDEX(DailyScalarsTable,BR$5/100,MONTH($A55)))*$D55</f>
        <v>-7285.9908027253978</v>
      </c>
      <c r="BS55" s="1021">
        <f>(VLOOKUP(YEAR($A55),'NY East Load Projections'!$A$4:$EO$14,((MONTH($A55)-1)*12)+VLOOKUP(BS$4,$DE$6:$DF$17,2)+1))*(VLOOKUP($A55,SatSunCurve,6))*(INDEX(DailyScalarsTable,BS$5/100,MONTH($A55)))*$D55</f>
        <v>-7050.73887694718</v>
      </c>
      <c r="BT55" s="1021">
        <f>(VLOOKUP(YEAR($A55),'NY East Load Projections'!$A$4:$EO$14,((MONTH($A55)-1)*12)+VLOOKUP(BT$4,$DE$6:$DF$17,2)+1))*(VLOOKUP($A55,SatSunCurve,6))*(INDEX(DailyScalarsTable,BT$5/100,MONTH($A55)))*$D55</f>
        <v>-6691.8944539304048</v>
      </c>
      <c r="BU55" s="1021">
        <f>(VLOOKUP(YEAR($A55),'NY East Load Projections'!$A$4:$EO$14,((MONTH($A55)-1)*12)+VLOOKUP(BU$4,$DE$6:$DF$17,2)+1))*(VLOOKUP($A55,SatSunCurve,6))*(INDEX(DailyScalarsTable,BU$5/100,MONTH($A55)))*$D55</f>
        <v>-6557.2212500428732</v>
      </c>
      <c r="BV55" s="1021">
        <f>(VLOOKUP(YEAR($A55),'NY East Load Projections'!$A$4:$EO$14,((MONTH($A55)-1)*12)+VLOOKUP(BV$4,$DE$6:$DF$17,2)+1))*(VLOOKUP($A55,SatSunCurve,6))*(INDEX(DailyScalarsTable,BV$5/100,MONTH($A55)))*$D55</f>
        <v>-6830.0399521089212</v>
      </c>
      <c r="BW55" s="1021">
        <f>(VLOOKUP(YEAR($A55),'NY East Load Projections'!$A$4:$EO$14,((MONTH($A55)-1)*12)+VLOOKUP(BW$4,$DE$6:$DF$17,2)+1))*(VLOOKUP($A55,SatSunCurve,6))*(INDEX(DailyScalarsTable,BW$5/100,MONTH($A55)))*$D55</f>
        <v>-9503.7038665853415</v>
      </c>
      <c r="BX55" s="1021">
        <f>(VLOOKUP(YEAR($A55),'NY East Load Projections'!$A$4:$EO$14,((MONTH($A55)-1)*12)+VLOOKUP(BX$4,$DE$6:$DF$17,2)+1))*(VLOOKUP($A55,SatSunCurve,6))*(INDEX(DailyScalarsTable,BX$5/100,MONTH($A55)))*$D55</f>
        <v>-10428.088313794431</v>
      </c>
      <c r="BY55" s="1021">
        <f>(VLOOKUP(YEAR($A55),'NY East Load Projections'!$A$4:$EO$14,((MONTH($A55)-1)*12)+VLOOKUP(BY$4,$DE$6:$DF$17,2)+1))*(VLOOKUP($A55,SatSunCurve,6))*(INDEX(DailyScalarsTable,BY$5/100,MONTH($A55)))*$D55</f>
        <v>-9981.490020530784</v>
      </c>
      <c r="BZ55" s="1021">
        <f>(VLOOKUP(YEAR($A55),'NY East Load Projections'!$A$4:$EO$14,((MONTH($A55)-1)*12)+VLOOKUP(BZ$4,$DE$6:$DF$17,2)+1))*(VLOOKUP($A55,SatSunCurve,6))*(INDEX(DailyScalarsTable,BZ$5/100,MONTH($A55)))*$D55</f>
        <v>-9094.1908461156527</v>
      </c>
      <c r="CA55" s="1021">
        <f>(VLOOKUP(YEAR($A55),'NY East Load Projections'!$A$4:$EO$14,((MONTH($A55)-1)*12)+VLOOKUP(CA$4,$DE$6:$DF$17,2)+1))*(VLOOKUP($A55,SatSunCurve,6))*(INDEX(DailyScalarsTable,CA$5/100,MONTH($A55)))*$D55</f>
        <v>-6467.9991599997902</v>
      </c>
      <c r="CB55" s="1021">
        <f>(VLOOKUP(YEAR($A55),'NY East Load Projections'!$A$4:$EO$14,((MONTH($A55)-1)*12)+VLOOKUP(CB$4,$DE$6:$DF$17,2)+1))*(VLOOKUP($A55,SatSunCurve,6))*(INDEX(DailyScalarsTable,CB$5/100,MONTH($A55)))*$D55</f>
        <v>-5294.8623677417636</v>
      </c>
      <c r="CC55" s="1021">
        <f>(VLOOKUP(YEAR($A55),'NY East Load Projections'!$A$4:$EO$14,((MONTH($A55)-1)*12)+VLOOKUP(CC$4,$DE$6:$DF$17,2)+1))*(VLOOKUP($A55,CURVES!$D$9:$T$261,6))*(INDEX(DailyScalarsTable,CC$5/100,MONTH($A55)))*$D55</f>
        <v>-7433.5023054623243</v>
      </c>
      <c r="CE55" s="1021">
        <f>(VLOOKUP(YEAR($A55),'NY East Load Projections'!$A$4:$EO$14,((MONTH($A55)-1)*12)+VLOOKUP(CE$4,$DE$6:$DF$17,2)+1))*(VLOOKUP($A55,CURVES!$D$9:$T$261,6))*(INDEX(DailyScalarsTable,CE$5/100,MONTH($A55)))*$E55</f>
        <v>0</v>
      </c>
      <c r="CF55" s="1021">
        <f>(VLOOKUP(YEAR($A55),'NY East Load Projections'!$A$4:$EO$14,((MONTH($A55)-1)*12)+VLOOKUP(CF$4,$DE$6:$DF$17,2)+1))*(VLOOKUP($A55,CURVES!$D$9:$T$261,6))*(INDEX(DailyScalarsTable,CF$5/100,MONTH($A55)))*$E55</f>
        <v>0</v>
      </c>
      <c r="CG55" s="1021">
        <f>(VLOOKUP(YEAR($A55),'NY East Load Projections'!$A$4:$EO$14,((MONTH($A55)-1)*12)+VLOOKUP(CG$4,$DE$6:$DF$17,2)+1))*(VLOOKUP($A55,CURVES!$D$9:$T$261,6))*(INDEX(DailyScalarsTable,CG$5/100,MONTH($A55)))*$E55</f>
        <v>0</v>
      </c>
      <c r="CH55" s="1021">
        <f>(VLOOKUP(YEAR($A55),'NY East Load Projections'!$A$4:$EO$14,((MONTH($A55)-1)*12)+VLOOKUP(CH$4,$DE$6:$DF$17,2)+1))*(VLOOKUP($A55,CURVES!$D$9:$T$261,6))*(INDEX(DailyScalarsTable,CH$5/100,MONTH($A55)))*$E55</f>
        <v>0</v>
      </c>
      <c r="CI55" s="1021">
        <f>(VLOOKUP(YEAR($A55),'NY East Load Projections'!$A$4:$EO$14,((MONTH($A55)-1)*12)+VLOOKUP(CI$4,$DE$6:$DF$17,2)+1))*(VLOOKUP($A55,CURVES!$D$9:$T$261,6))*(INDEX(DailyScalarsTable,CI$5/100,MONTH($A55)))*$E55</f>
        <v>0</v>
      </c>
      <c r="CJ55" s="1021">
        <f>(VLOOKUP(YEAR($A55),'NY East Load Projections'!$A$4:$EO$14,((MONTH($A55)-1)*12)+VLOOKUP(CJ$4,$DE$6:$DF$17,2)+1))*(VLOOKUP($A55,CURVES!$D$9:$T$261,6))*(INDEX(DailyScalarsTable,CJ$5/100,MONTH($A55)))*$E55</f>
        <v>0</v>
      </c>
      <c r="CK55" s="1021">
        <f>(VLOOKUP(YEAR($A55),'NY East Load Projections'!$A$4:$EO$14,((MONTH($A55)-1)*12)+VLOOKUP(CK$4,$DE$6:$DF$17,2)+1))*(VLOOKUP($A55,CURVES!$D$9:$T$261,6))*(INDEX(DailyScalarsTable,CK$5/100,MONTH($A55)))*$E55</f>
        <v>0</v>
      </c>
      <c r="CL55" s="1021">
        <f>(VLOOKUP(YEAR($A55),'NY East Load Projections'!$A$4:$EO$14,((MONTH($A55)-1)*12)+VLOOKUP(CL$4,$DE$6:$DF$17,2)+1))*(VLOOKUP($A55,SatSunCurve,6))*(INDEX(DailyScalarsTable,CL$5/100,MONTH($A55)))*$E55</f>
        <v>0</v>
      </c>
      <c r="CM55" s="1021">
        <f>(VLOOKUP(YEAR($A55),'NY East Load Projections'!$A$4:$EO$14,((MONTH($A55)-1)*12)+VLOOKUP(CM$4,$DE$6:$DF$17,2)+1))*(VLOOKUP($A55,SatSunCurve,6))*(INDEX(DailyScalarsTable,CM$5/100,MONTH($A55)))*$E55</f>
        <v>0</v>
      </c>
      <c r="CN55" s="1021">
        <f>(VLOOKUP(YEAR($A55),'NY East Load Projections'!$A$4:$EO$14,((MONTH($A55)-1)*12)+VLOOKUP(CN$4,$DE$6:$DF$17,2)+1))*(VLOOKUP($A55,SatSunCurve,6))*(INDEX(DailyScalarsTable,CN$5/100,MONTH($A55)))*$E55</f>
        <v>0</v>
      </c>
      <c r="CO55" s="1021">
        <f>(VLOOKUP(YEAR($A55),'NY East Load Projections'!$A$4:$EO$14,((MONTH($A55)-1)*12)+VLOOKUP(CO$4,$DE$6:$DF$17,2)+1))*(VLOOKUP($A55,SatSunCurve,6))*(INDEX(DailyScalarsTable,CO$5/100,MONTH($A55)))*$E55</f>
        <v>0</v>
      </c>
      <c r="CP55" s="1021">
        <f>(VLOOKUP(YEAR($A55),'NY East Load Projections'!$A$4:$EO$14,((MONTH($A55)-1)*12)+VLOOKUP(CP$4,$DE$6:$DF$17,2)+1))*(VLOOKUP($A55,SatSunCurve,6))*(INDEX(DailyScalarsTable,CP$5/100,MONTH($A55)))*$E55</f>
        <v>0</v>
      </c>
      <c r="CQ55" s="1021">
        <f>(VLOOKUP(YEAR($A55),'NY East Load Projections'!$A$4:$EO$14,((MONTH($A55)-1)*12)+VLOOKUP(CQ$4,$DE$6:$DF$17,2)+1))*(VLOOKUP($A55,SatSunCurve,6))*(INDEX(DailyScalarsTable,CQ$5/100,MONTH($A55)))*$E55</f>
        <v>0</v>
      </c>
      <c r="CR55" s="1021">
        <f>(VLOOKUP(YEAR($A55),'NY East Load Projections'!$A$4:$EO$14,((MONTH($A55)-1)*12)+VLOOKUP(CR$4,$DE$6:$DF$17,2)+1))*(VLOOKUP($A55,SatSunCurve,6))*(INDEX(DailyScalarsTable,CR$5/100,MONTH($A55)))*$E55</f>
        <v>0</v>
      </c>
      <c r="CS55" s="1021">
        <f>(VLOOKUP(YEAR($A55),'NY East Load Projections'!$A$4:$EO$14,((MONTH($A55)-1)*12)+VLOOKUP(CS$4,$DE$6:$DF$17,2)+1))*(VLOOKUP($A55,SatSunCurve,6))*(INDEX(DailyScalarsTable,CS$5/100,MONTH($A55)))*$E55</f>
        <v>0</v>
      </c>
      <c r="CT55" s="1021">
        <f>(VLOOKUP(YEAR($A55),'NY East Load Projections'!$A$4:$EO$14,((MONTH($A55)-1)*12)+VLOOKUP(CT$4,$DE$6:$DF$17,2)+1))*(VLOOKUP($A55,SatSunCurve,6))*(INDEX(DailyScalarsTable,CT$5/100,MONTH($A55)))*$E55</f>
        <v>0</v>
      </c>
      <c r="CU55" s="1021">
        <f>(VLOOKUP(YEAR($A55),'NY East Load Projections'!$A$4:$EO$14,((MONTH($A55)-1)*12)+VLOOKUP(CU$4,$DE$6:$DF$17,2)+1))*(VLOOKUP($A55,SatSunCurve,6))*(INDEX(DailyScalarsTable,CU$5/100,MONTH($A55)))*$E55</f>
        <v>0</v>
      </c>
      <c r="CV55" s="1021">
        <f>(VLOOKUP(YEAR($A55),'NY East Load Projections'!$A$4:$EO$14,((MONTH($A55)-1)*12)+VLOOKUP(CV$4,$DE$6:$DF$17,2)+1))*(VLOOKUP($A55,SatSunCurve,6))*(INDEX(DailyScalarsTable,CV$5/100,MONTH($A55)))*$E55</f>
        <v>0</v>
      </c>
      <c r="CW55" s="1021">
        <f>(VLOOKUP(YEAR($A55),'NY East Load Projections'!$A$4:$EO$14,((MONTH($A55)-1)*12)+VLOOKUP(CW$4,$DE$6:$DF$17,2)+1))*(VLOOKUP($A55,SatSunCurve,6))*(INDEX(DailyScalarsTable,CW$5/100,MONTH($A55)))*$E55</f>
        <v>0</v>
      </c>
      <c r="CX55" s="1021">
        <f>(VLOOKUP(YEAR($A55),'NY East Load Projections'!$A$4:$EO$14,((MONTH($A55)-1)*12)+VLOOKUP(CX$4,$DE$6:$DF$17,2)+1))*(VLOOKUP($A55,SatSunCurve,6))*(INDEX(DailyScalarsTable,CX$5/100,MONTH($A55)))*$E55</f>
        <v>0</v>
      </c>
      <c r="CY55" s="1021">
        <f>(VLOOKUP(YEAR($A55),'NY East Load Projections'!$A$4:$EO$14,((MONTH($A55)-1)*12)+VLOOKUP(CY$4,$DE$6:$DF$17,2)+1))*(VLOOKUP($A55,SatSunCurve,6))*(INDEX(DailyScalarsTable,CY$5/100,MONTH($A55)))*$E55</f>
        <v>0</v>
      </c>
      <c r="CZ55" s="1021">
        <f>(VLOOKUP(YEAR($A55),'NY East Load Projections'!$A$4:$EO$14,((MONTH($A55)-1)*12)+VLOOKUP(CZ$4,$DE$6:$DF$17,2)+1))*(VLOOKUP($A55,SatSunCurve,6))*(INDEX(DailyScalarsTable,CZ$5/100,MONTH($A55)))*$E55</f>
        <v>0</v>
      </c>
      <c r="DA55" s="1021">
        <f>(VLOOKUP(YEAR($A55),'NY East Load Projections'!$A$4:$EO$14,((MONTH($A55)-1)*12)+VLOOKUP(DA$4,$DE$6:$DF$17,2)+1))*(VLOOKUP($A55,SatSunCurve,6))*(INDEX(DailyScalarsTable,DA$5/100,MONTH($A55)))*$E55</f>
        <v>0</v>
      </c>
      <c r="DB55" s="1021">
        <f>(VLOOKUP(YEAR($A55),'NY East Load Projections'!$A$4:$EO$14,((MONTH($A55)-1)*12)+VLOOKUP(DB$4,$DE$6:$DF$17,2)+1))*(VLOOKUP($A55,CURVES!$D$9:$T$261,6))*(INDEX(DailyScalarsTable,DB$5/100,MONTH($A55)))*$E55</f>
        <v>0</v>
      </c>
      <c r="DH55" s="1021">
        <f t="shared" si="0"/>
        <v>-1791874.9055948965</v>
      </c>
      <c r="DI55">
        <f ca="1">CALC!J75</f>
        <v>0.69615197728927514</v>
      </c>
      <c r="DJ55" s="1029">
        <f t="shared" ca="1" si="1"/>
        <v>-1247417.2585849205</v>
      </c>
    </row>
    <row r="56" spans="1:114" x14ac:dyDescent="0.25">
      <c r="A56" s="244">
        <v>38412</v>
      </c>
      <c r="B56" s="13">
        <v>23</v>
      </c>
      <c r="C56" s="210">
        <v>4</v>
      </c>
      <c r="D56" s="210">
        <v>4</v>
      </c>
      <c r="E56" s="210">
        <v>0</v>
      </c>
      <c r="F56" s="13">
        <v>31</v>
      </c>
      <c r="H56" s="1021">
        <f>(VLOOKUP(YEAR($A56),'NY East Load Projections'!$A$4:$EO$14,((MONTH($A56)-1)*12)+VLOOKUP(H$4,$DE$6:$DF$17,2)+1))*(VLOOKUP($A56,CURVES!$D$9:$K$261,6))*(INDEX(DailyScalarsTable,H$5/100,MONTH($A56)))*$B56</f>
        <v>-30567.509265399189</v>
      </c>
      <c r="I56" s="1021">
        <f>(VLOOKUP(YEAR($A56),'NY East Load Projections'!$A$4:$EO$14,((MONTH($A56)-1)*12)+VLOOKUP(I$4,$DE$6:$DF$17,2)+1))*(VLOOKUP($A56,CURVES!$D$9:$K$261,6))*(INDEX(DailyScalarsTable,I$5/100,MONTH($A56)))*$B56</f>
        <v>-28902.935870856672</v>
      </c>
      <c r="J56" s="1021">
        <f>(VLOOKUP(YEAR($A56),'NY East Load Projections'!$A$4:$EO$14,((MONTH($A56)-1)*12)+VLOOKUP(J$4,$DE$6:$DF$17,2)+1))*(VLOOKUP($A56,CURVES!$D$9:$K$261,6))*(INDEX(DailyScalarsTable,J$5/100,MONTH($A56)))*$B56</f>
        <v>-27671.136775827737</v>
      </c>
      <c r="K56" s="1021">
        <f>(VLOOKUP(YEAR($A56),'NY East Load Projections'!$A$4:$EO$14,((MONTH($A56)-1)*12)+VLOOKUP(K$4,$DE$6:$DF$17,2)+1))*(VLOOKUP($A56,CURVES!$D$9:$K$261,6))*(INDEX(DailyScalarsTable,K$5/100,MONTH($A56)))*$B56</f>
        <v>-27688.506880078086</v>
      </c>
      <c r="L56" s="1021">
        <f>(VLOOKUP(YEAR($A56),'NY East Load Projections'!$A$4:$EO$14,((MONTH($A56)-1)*12)+VLOOKUP(L$4,$DE$6:$DF$17,2)+1))*(VLOOKUP($A56,CURVES!$D$9:$K$261,6))*(INDEX(DailyScalarsTable,L$5/100,MONTH($A56)))*$B56</f>
        <v>-32963.258348760137</v>
      </c>
      <c r="M56" s="1021">
        <f>(VLOOKUP(YEAR($A56),'NY East Load Projections'!$A$4:$EO$14,((MONTH($A56)-1)*12)+VLOOKUP(M$4,$DE$6:$DF$17,2)+1))*(VLOOKUP($A56,CURVES!$D$9:$K$261,6))*(INDEX(DailyScalarsTable,M$5/100,MONTH($A56)))*$B56</f>
        <v>-38262.87036646434</v>
      </c>
      <c r="N56" s="1021">
        <f>(VLOOKUP(YEAR($A56),'NY East Load Projections'!$A$4:$EO$14,((MONTH($A56)-1)*12)+VLOOKUP(N$4,$DE$6:$DF$17,2)+1))*(VLOOKUP($A56,CURVES!$D$9:$K$261,6))*(INDEX(DailyScalarsTable,N$5/100,MONTH($A56)))*$B56</f>
        <v>-69041.016311623011</v>
      </c>
      <c r="O56" s="1021">
        <f>(VLOOKUP(YEAR($A56),'NY East Load Projections'!$A$4:$EO$14,((MONTH($A56)-1)*12)+VLOOKUP(O$4,$DE$6:$DF$17,2)+1))*(VLOOKUP($A56,CURVES!$D$9:$K$261,2))*(INDEX(DailyScalarsTable,O$5/100,MONTH($A56)))*$B56</f>
        <v>-73304.165275205523</v>
      </c>
      <c r="P56" s="1021">
        <f>(VLOOKUP(YEAR($A56),'NY East Load Projections'!$A$4:$EO$14,((MONTH($A56)-1)*12)+VLOOKUP(P$4,$DE$6:$DF$17,2)+1))*(VLOOKUP($A56,CURVES!$D$9:$K$261,2))*(INDEX(DailyScalarsTable,P$5/100,MONTH($A56)))*$B56</f>
        <v>-85639.695452366854</v>
      </c>
      <c r="Q56" s="1021">
        <f>(VLOOKUP(YEAR($A56),'NY East Load Projections'!$A$4:$EO$14,((MONTH($A56)-1)*12)+VLOOKUP(Q$4,$DE$6:$DF$17,2)+1))*(VLOOKUP($A56,CURVES!$D$9:$K$261,2))*(INDEX(DailyScalarsTable,Q$5/100,MONTH($A56)))*$B56</f>
        <v>-85380.573832238661</v>
      </c>
      <c r="R56" s="1021">
        <f>(VLOOKUP(YEAR($A56),'NY East Load Projections'!$A$4:$EO$14,((MONTH($A56)-1)*12)+VLOOKUP(R$4,$DE$6:$DF$17,2)+1))*(VLOOKUP($A56,CURVES!$D$9:$K$261,2))*(INDEX(DailyScalarsTable,R$5/100,MONTH($A56)))*$B56</f>
        <v>-83876.228870938896</v>
      </c>
      <c r="S56" s="1021">
        <f>(VLOOKUP(YEAR($A56),'NY East Load Projections'!$A$4:$EO$14,((MONTH($A56)-1)*12)+VLOOKUP(S$4,$DE$6:$DF$17,2)+1))*(VLOOKUP($A56,CURVES!$D$9:$K$261,2))*(INDEX(DailyScalarsTable,S$5/100,MONTH($A56)))*$B56</f>
        <v>-64089.414045039033</v>
      </c>
      <c r="T56" s="1021">
        <f>(VLOOKUP(YEAR($A56),'NY East Load Projections'!$A$4:$EO$14,((MONTH($A56)-1)*12)+VLOOKUP(T$4,$DE$6:$DF$17,2)+1))*(VLOOKUP($A56,CURVES!$D$9:$K$261,2))*(INDEX(DailyScalarsTable,T$5/100,MONTH($A56)))*$B56</f>
        <v>-64274.220896078157</v>
      </c>
      <c r="U56" s="1021">
        <f>(VLOOKUP(YEAR($A56),'NY East Load Projections'!$A$4:$EO$14,((MONTH($A56)-1)*12)+VLOOKUP(U$4,$DE$6:$DF$17,2)+1))*(VLOOKUP($A56,CURVES!$D$9:$K$261,2))*(INDEX(DailyScalarsTable,U$5/100,MONTH($A56)))*$B56</f>
        <v>-62222.915973862895</v>
      </c>
      <c r="V56" s="1021">
        <f>(VLOOKUP(YEAR($A56),'NY East Load Projections'!$A$4:$EO$14,((MONTH($A56)-1)*12)+VLOOKUP(V$4,$DE$6:$DF$17,2)+1))*(VLOOKUP($A56,CURVES!$D$9:$K$261,2))*(INDEX(DailyScalarsTable,V$5/100,MONTH($A56)))*$B56</f>
        <v>-59093.932741063531</v>
      </c>
      <c r="W56" s="1021">
        <f>(VLOOKUP(YEAR($A56),'NY East Load Projections'!$A$4:$EO$14,((MONTH($A56)-1)*12)+VLOOKUP(W$4,$DE$6:$DF$17,2)+1))*(VLOOKUP($A56,CURVES!$D$9:$K$261,2))*(INDEX(DailyScalarsTable,W$5/100,MONTH($A56)))*$B56</f>
        <v>-57919.634995737404</v>
      </c>
      <c r="X56" s="1021">
        <f>(VLOOKUP(YEAR($A56),'NY East Load Projections'!$A$4:$EO$14,((MONTH($A56)-1)*12)+VLOOKUP(X$4,$DE$6:$DF$17,2)+1))*(VLOOKUP($A56,CURVES!$D$9:$K$261,2))*(INDEX(DailyScalarsTable,X$5/100,MONTH($A56)))*$B56</f>
        <v>-59562.007804131114</v>
      </c>
      <c r="Y56" s="1021">
        <f>(VLOOKUP(YEAR($A56),'NY East Load Projections'!$A$4:$EO$14,((MONTH($A56)-1)*12)+VLOOKUP(Y$4,$DE$6:$DF$17,2)+1))*(VLOOKUP($A56,CURVES!$D$9:$K$261,2))*(INDEX(DailyScalarsTable,Y$5/100,MONTH($A56)))*$B56</f>
        <v>-81203.711910928745</v>
      </c>
      <c r="Z56" s="1021">
        <f>(VLOOKUP(YEAR($A56),'NY East Load Projections'!$A$4:$EO$14,((MONTH($A56)-1)*12)+VLOOKUP(Z$4,$DE$6:$DF$17,2)+1))*(VLOOKUP($A56,CURVES!$D$9:$K$261,2))*(INDEX(DailyScalarsTable,Z$5/100,MONTH($A56)))*$B56</f>
        <v>-89167.746852724056</v>
      </c>
      <c r="AA56" s="1021">
        <f>(VLOOKUP(YEAR($A56),'NY East Load Projections'!$A$4:$EO$14,((MONTH($A56)-1)*12)+VLOOKUP(AA$4,$DE$6:$DF$17,2)+1))*(VLOOKUP($A56,CURVES!$D$9:$K$261,2))*(INDEX(DailyScalarsTable,AA$5/100,MONTH($A56)))*$B56</f>
        <v>-85318.93067046559</v>
      </c>
      <c r="AB56" s="1021">
        <f>(VLOOKUP(YEAR($A56),'NY East Load Projections'!$A$4:$EO$14,((MONTH($A56)-1)*12)+VLOOKUP(AB$4,$DE$6:$DF$17,2)+1))*(VLOOKUP($A56,CURVES!$D$9:$K$261,2))*(INDEX(DailyScalarsTable,AB$5/100,MONTH($A56)))*$B56</f>
        <v>-71744.167379365448</v>
      </c>
      <c r="AC56" s="1021">
        <f>(VLOOKUP(YEAR($A56),'NY East Load Projections'!$A$4:$EO$14,((MONTH($A56)-1)*12)+VLOOKUP(AC$4,$DE$6:$DF$17,2)+1))*(VLOOKUP($A56,CURVES!$D$9:$K$261,2))*(INDEX(DailyScalarsTable,AC$5/100,MONTH($A56)))*$B56</f>
        <v>-52096.127129458007</v>
      </c>
      <c r="AD56" s="1021">
        <f>(VLOOKUP(YEAR($A56),'NY East Load Projections'!$A$4:$EO$14,((MONTH($A56)-1)*12)+VLOOKUP(AD$4,$DE$6:$DF$17,2)+1))*(VLOOKUP($A56,CURVES!$D$9:$K$261,2))*(INDEX(DailyScalarsTable,AD$5/100,MONTH($A56)))*$B56</f>
        <v>-42760.801883169079</v>
      </c>
      <c r="AE56" s="1021">
        <f>(VLOOKUP(YEAR($A56),'NY East Load Projections'!$A$4:$EO$14,((MONTH($A56)-1)*12)+VLOOKUP(AE$4,$DE$6:$DF$17,2)+1))*(VLOOKUP($A56,CURVES!$D$9:$K$261,6))*(INDEX(DailyScalarsTable,AE$5/100,MONTH($A56)))*$B56</f>
        <v>-39000.642867756811</v>
      </c>
      <c r="AF56" s="1021"/>
      <c r="AG56" s="1021">
        <f>(VLOOKUP(YEAR($A56),'NY East Load Projections'!$A$4:$EO$14,((MONTH($A56)-1)*12)+VLOOKUP(AG$4,$DE$6:$DF$17,2)+1))*(VLOOKUP($A56,CURVES!$D$9:$T$261,6))*(INDEX(DailyScalarsTable,AG$5/100,MONTH($A56)))*$C56</f>
        <v>-5950.177087873788</v>
      </c>
      <c r="AH56" s="1021">
        <f>(VLOOKUP(YEAR($A56),'NY East Load Projections'!$A$4:$EO$14,((MONTH($A56)-1)*12)+VLOOKUP(AH$4,$DE$6:$DF$17,2)+1))*(VLOOKUP($A56,CURVES!$D$9:$T$261,6))*(INDEX(DailyScalarsTable,AH$5/100,MONTH($A56)))*$C56</f>
        <v>-5626.156364193087</v>
      </c>
      <c r="AI56" s="1021">
        <f>(VLOOKUP(YEAR($A56),'NY East Load Projections'!$A$4:$EO$14,((MONTH($A56)-1)*12)+VLOOKUP(AI$4,$DE$6:$DF$17,2)+1))*(VLOOKUP($A56,CURVES!$D$9:$T$261,6))*(INDEX(DailyScalarsTable,AI$5/100,MONTH($A56)))*$C56</f>
        <v>-5386.3781510430426</v>
      </c>
      <c r="AJ56" s="1021">
        <f>(VLOOKUP(YEAR($A56),'NY East Load Projections'!$A$4:$EO$14,((MONTH($A56)-1)*12)+VLOOKUP(AJ$4,$DE$6:$DF$17,2)+1))*(VLOOKUP($A56,CURVES!$D$9:$T$261,6))*(INDEX(DailyScalarsTable,AJ$5/100,MONTH($A56)))*$C56</f>
        <v>-5389.7593619695544</v>
      </c>
      <c r="AK56" s="1021">
        <f>(VLOOKUP(YEAR($A56),'NY East Load Projections'!$A$4:$EO$14,((MONTH($A56)-1)*12)+VLOOKUP(AK$4,$DE$6:$DF$17,2)+1))*(VLOOKUP($A56,CURVES!$D$9:$T$261,6))*(INDEX(DailyScalarsTable,AK$5/100,MONTH($A56)))*$C56</f>
        <v>-5868.0479763354497</v>
      </c>
      <c r="AL56" s="1021">
        <f>(VLOOKUP(YEAR($A56),'NY East Load Projections'!$A$4:$EO$14,((MONTH($A56)-1)*12)+VLOOKUP(AL$4,$DE$6:$DF$17,2)+1))*(VLOOKUP($A56,CURVES!$D$9:$T$261,6))*(INDEX(DailyScalarsTable,AL$5/100,MONTH($A56)))*$C56</f>
        <v>-6811.4734486241114</v>
      </c>
      <c r="AM56" s="1021">
        <f>(VLOOKUP(YEAR($A56),'NY East Load Projections'!$A$4:$EO$14,((MONTH($A56)-1)*12)+VLOOKUP(AM$4,$DE$6:$DF$17,2)+1))*(VLOOKUP($A56,CURVES!$D$9:$T$261,6))*(INDEX(DailyScalarsTable,AM$5/100,MONTH($A56)))*$C56</f>
        <v>-12290.532439636714</v>
      </c>
      <c r="AN56" s="1021">
        <f>(VLOOKUP(YEAR($A56),'NY East Load Projections'!$A$4:$EO$14,((MONTH($A56)-1)*12)+VLOOKUP(AN$4,$DE$6:$DF$17,2)+1))*(VLOOKUP($A56,SatSunCurve,2))*(INDEX(DailyScalarsTable,AN$5/100,MONTH($A56)))*$C56</f>
        <v>-8371.2817879100076</v>
      </c>
      <c r="AO56" s="1021">
        <f>(VLOOKUP(YEAR($A56),'NY East Load Projections'!$A$4:$EO$14,((MONTH($A56)-1)*12)+VLOOKUP(AO$4,$DE$6:$DF$17,2)+1))*(VLOOKUP($A56,SatSunCurve,2))*(INDEX(DailyScalarsTable,AO$5/100,MONTH($A56)))*$C56</f>
        <v>-9399.7309362110318</v>
      </c>
      <c r="AP56" s="1021">
        <f>(VLOOKUP(YEAR($A56),'NY East Load Projections'!$A$4:$EO$14,((MONTH($A56)-1)*12)+VLOOKUP(AP$4,$DE$6:$DF$17,2)+1))*(VLOOKUP($A56,SatSunCurve,2))*(INDEX(DailyScalarsTable,AP$5/100,MONTH($A56)))*$C56</f>
        <v>-9371.2899954055501</v>
      </c>
      <c r="AQ56" s="1021">
        <f>(VLOOKUP(YEAR($A56),'NY East Load Projections'!$A$4:$EO$14,((MONTH($A56)-1)*12)+VLOOKUP(AQ$4,$DE$6:$DF$17,2)+1))*(VLOOKUP($A56,SatSunCurve,2))*(INDEX(DailyScalarsTable,AQ$5/100,MONTH($A56)))*$C56</f>
        <v>-9206.1745335070718</v>
      </c>
      <c r="AR56" s="1021">
        <f>(VLOOKUP(YEAR($A56),'NY East Load Projections'!$A$4:$EO$14,((MONTH($A56)-1)*12)+VLOOKUP(AR$4,$DE$6:$DF$17,2)+1))*(VLOOKUP($A56,SatSunCurve,2))*(INDEX(DailyScalarsTable,AR$5/100,MONTH($A56)))*$C56</f>
        <v>-7034.3926925553051</v>
      </c>
      <c r="AS56" s="1021">
        <f>(VLOOKUP(YEAR($A56),'NY East Load Projections'!$A$4:$EO$14,((MONTH($A56)-1)*12)+VLOOKUP(AS$4,$DE$6:$DF$17,2)+1))*(VLOOKUP($A56,SatSunCurve,2))*(INDEX(DailyScalarsTable,AS$5/100,MONTH($A56)))*$C56</f>
        <v>-6866.6657259356798</v>
      </c>
      <c r="AT56" s="1021">
        <f>(VLOOKUP(YEAR($A56),'NY East Load Projections'!$A$4:$EO$14,((MONTH($A56)-1)*12)+VLOOKUP(AT$4,$DE$6:$DF$17,2)+1))*(VLOOKUP($A56,SatSunCurve,2))*(INDEX(DailyScalarsTable,AT$5/100,MONTH($A56)))*$C56</f>
        <v>-6647.516819788797</v>
      </c>
      <c r="AU56" s="1021">
        <f>(VLOOKUP(YEAR($A56),'NY East Load Projections'!$A$4:$EO$14,((MONTH($A56)-1)*12)+VLOOKUP(AU$4,$DE$6:$DF$17,2)+1))*(VLOOKUP($A56,SatSunCurve,2))*(INDEX(DailyScalarsTable,AU$5/100,MONTH($A56)))*$C56</f>
        <v>-6313.2353361372097</v>
      </c>
      <c r="AV56" s="1021">
        <f>(VLOOKUP(YEAR($A56),'NY East Load Projections'!$A$4:$EO$14,((MONTH($A56)-1)*12)+VLOOKUP(AV$4,$DE$6:$DF$17,2)+1))*(VLOOKUP($A56,SatSunCurve,2))*(INDEX(DailyScalarsTable,AV$5/100,MONTH($A56)))*$C56</f>
        <v>-6187.7805275458777</v>
      </c>
      <c r="AW56" s="1021">
        <f>(VLOOKUP(YEAR($A56),'NY East Load Projections'!$A$4:$EO$14,((MONTH($A56)-1)*12)+VLOOKUP(AW$4,$DE$6:$DF$17,2)+1))*(VLOOKUP($A56,SatSunCurve,2))*(INDEX(DailyScalarsTable,AW$5/100,MONTH($A56)))*$C56</f>
        <v>-6458.6445552677405</v>
      </c>
      <c r="AX56" s="1021">
        <f>(VLOOKUP(YEAR($A56),'NY East Load Projections'!$A$4:$EO$14,((MONTH($A56)-1)*12)+VLOOKUP(AX$4,$DE$6:$DF$17,2)+1))*(VLOOKUP($A56,SatSunCurve,2))*(INDEX(DailyScalarsTable,AX$5/100,MONTH($A56)))*$C56</f>
        <v>-8805.3766341415067</v>
      </c>
      <c r="AY56" s="1021">
        <f>(VLOOKUP(YEAR($A56),'NY East Load Projections'!$A$4:$EO$14,((MONTH($A56)-1)*12)+VLOOKUP(AY$4,$DE$6:$DF$17,2)+1))*(VLOOKUP($A56,SatSunCurve,2))*(INDEX(DailyScalarsTable,AY$5/100,MONTH($A56)))*$C56</f>
        <v>-9668.9618759946316</v>
      </c>
      <c r="AZ56" s="1021">
        <f>(VLOOKUP(YEAR($A56),'NY East Load Projections'!$A$4:$EO$14,((MONTH($A56)-1)*12)+VLOOKUP(AZ$4,$DE$6:$DF$17,2)+1))*(VLOOKUP($A56,SatSunCurve,2))*(INDEX(DailyScalarsTable,AZ$5/100,MONTH($A56)))*$C56</f>
        <v>-9251.6130223173732</v>
      </c>
      <c r="BA56" s="1021">
        <f>(VLOOKUP(YEAR($A56),'NY East Load Projections'!$A$4:$EO$14,((MONTH($A56)-1)*12)+VLOOKUP(BA$4,$DE$6:$DF$17,2)+1))*(VLOOKUP($A56,SatSunCurve,2))*(INDEX(DailyScalarsTable,BA$5/100,MONTH($A56)))*$C56</f>
        <v>-8409.9625830419791</v>
      </c>
      <c r="BB56" s="1021">
        <f>(VLOOKUP(YEAR($A56),'NY East Load Projections'!$A$4:$EO$14,((MONTH($A56)-1)*12)+VLOOKUP(BB$4,$DE$6:$DF$17,2)+1))*(VLOOKUP($A56,SatSunCurve,2))*(INDEX(DailyScalarsTable,BB$5/100,MONTH($A56)))*$C56</f>
        <v>-6106.7888287480619</v>
      </c>
      <c r="BC56" s="1021">
        <f>(VLOOKUP(YEAR($A56),'NY East Load Projections'!$A$4:$EO$14,((MONTH($A56)-1)*12)+VLOOKUP(BC$4,$DE$6:$DF$17,2)+1))*(VLOOKUP($A56,SatSunCurve,2))*(INDEX(DailyScalarsTable,BC$5/100,MONTH($A56)))*$C56</f>
        <v>-5012.4875232959139</v>
      </c>
      <c r="BD56" s="1021">
        <f>(VLOOKUP(YEAR($A56),'NY East Load Projections'!$A$4:$EO$14,((MONTH($A56)-1)*12)+VLOOKUP(BD$4,$DE$6:$DF$17,2)+1))*(VLOOKUP($A56,CURVES!$D$9:$T$261,6))*(INDEX(DailyScalarsTable,BD$5/100,MONTH($A56)))*$C56</f>
        <v>-7126.5517460174988</v>
      </c>
      <c r="BE56" s="1021"/>
      <c r="BF56" s="1021">
        <f>(VLOOKUP(YEAR($A56),'NY East Load Projections'!$A$4:$EO$14,((MONTH($A56)-1)*12)+VLOOKUP(BF$4,$DE$6:$DF$17,2)+1))*(VLOOKUP($A56,CURVES!$D$9:$T$261,6))*(INDEX(DailyScalarsTable,BF$5/100,MONTH($A56)))*$D56</f>
        <v>-5950.177087873788</v>
      </c>
      <c r="BG56" s="1021">
        <f>(VLOOKUP(YEAR($A56),'NY East Load Projections'!$A$4:$EO$14,((MONTH($A56)-1)*12)+VLOOKUP(BG$4,$DE$6:$DF$17,2)+1))*(VLOOKUP($A56,CURVES!$D$9:$T$261,6))*(INDEX(DailyScalarsTable,BG$5/100,MONTH($A56)))*$D56</f>
        <v>-5626.156364193087</v>
      </c>
      <c r="BH56" s="1021">
        <f>(VLOOKUP(YEAR($A56),'NY East Load Projections'!$A$4:$EO$14,((MONTH($A56)-1)*12)+VLOOKUP(BH$4,$DE$6:$DF$17,2)+1))*(VLOOKUP($A56,CURVES!$D$9:$T$261,6))*(INDEX(DailyScalarsTable,BH$5/100,MONTH($A56)))*$D56</f>
        <v>-5386.3781510430426</v>
      </c>
      <c r="BI56" s="1021">
        <f>(VLOOKUP(YEAR($A56),'NY East Load Projections'!$A$4:$EO$14,((MONTH($A56)-1)*12)+VLOOKUP(BI$4,$DE$6:$DF$17,2)+1))*(VLOOKUP($A56,CURVES!$D$9:$T$261,6))*(INDEX(DailyScalarsTable,BI$5/100,MONTH($A56)))*$D56</f>
        <v>-5389.7593619695544</v>
      </c>
      <c r="BJ56" s="1021">
        <f>(VLOOKUP(YEAR($A56),'NY East Load Projections'!$A$4:$EO$14,((MONTH($A56)-1)*12)+VLOOKUP(BJ$4,$DE$6:$DF$17,2)+1))*(VLOOKUP($A56,CURVES!$D$9:$T$261,6))*(INDEX(DailyScalarsTable,BJ$5/100,MONTH($A56)))*$D56</f>
        <v>-5868.0479763354497</v>
      </c>
      <c r="BK56" s="1021">
        <f>(VLOOKUP(YEAR($A56),'NY East Load Projections'!$A$4:$EO$14,((MONTH($A56)-1)*12)+VLOOKUP(BK$4,$DE$6:$DF$17,2)+1))*(VLOOKUP($A56,CURVES!$D$9:$T$261,6))*(INDEX(DailyScalarsTable,BK$5/100,MONTH($A56)))*$D56</f>
        <v>-6811.4734486241114</v>
      </c>
      <c r="BL56" s="1021">
        <f>(VLOOKUP(YEAR($A56),'NY East Load Projections'!$A$4:$EO$14,((MONTH($A56)-1)*12)+VLOOKUP(BL$4,$DE$6:$DF$17,2)+1))*(VLOOKUP($A56,CURVES!$D$9:$T$261,6))*(INDEX(DailyScalarsTable,BL$5/100,MONTH($A56)))*$D56</f>
        <v>-12290.532439636714</v>
      </c>
      <c r="BM56" s="1021">
        <f>(VLOOKUP(YEAR($A56),'NY East Load Projections'!$A$4:$EO$14,((MONTH($A56)-1)*12)+VLOOKUP(BM$4,$DE$6:$DF$17,2)+1))*(VLOOKUP($A56,SatSunCurve,6))*(INDEX(DailyScalarsTable,BM$5/100,MONTH($A56)))*$D56</f>
        <v>-7074.2911304371464</v>
      </c>
      <c r="BN56" s="1021">
        <f>(VLOOKUP(YEAR($A56),'NY East Load Projections'!$A$4:$EO$14,((MONTH($A56)-1)*12)+VLOOKUP(BN$4,$DE$6:$DF$17,2)+1))*(VLOOKUP($A56,SatSunCurve,6))*(INDEX(DailyScalarsTable,BN$5/100,MONTH($A56)))*$D56</f>
        <v>-7943.3992159443242</v>
      </c>
      <c r="BO56" s="1021">
        <f>(VLOOKUP(YEAR($A56),'NY East Load Projections'!$A$4:$EO$14,((MONTH($A56)-1)*12)+VLOOKUP(BO$4,$DE$6:$DF$17,2)+1))*(VLOOKUP($A56,SatSunCurve,6))*(INDEX(DailyScalarsTable,BO$5/100,MONTH($A56)))*$D56</f>
        <v>-7919.364725124522</v>
      </c>
      <c r="BP56" s="1021">
        <f>(VLOOKUP(YEAR($A56),'NY East Load Projections'!$A$4:$EO$14,((MONTH($A56)-1)*12)+VLOOKUP(BP$4,$DE$6:$DF$17,2)+1))*(VLOOKUP($A56,SatSunCurve,6))*(INDEX(DailyScalarsTable,BP$5/100,MONTH($A56)))*$D56</f>
        <v>-7779.8311534206759</v>
      </c>
      <c r="BQ56" s="1021">
        <f>(VLOOKUP(YEAR($A56),'NY East Load Projections'!$A$4:$EO$14,((MONTH($A56)-1)*12)+VLOOKUP(BQ$4,$DE$6:$DF$17,2)+1))*(VLOOKUP($A56,SatSunCurve,6))*(INDEX(DailyScalarsTable,BQ$5/100,MONTH($A56)))*$D56</f>
        <v>-5944.5307294308504</v>
      </c>
      <c r="BR56" s="1021">
        <f>(VLOOKUP(YEAR($A56),'NY East Load Projections'!$A$4:$EO$14,((MONTH($A56)-1)*12)+VLOOKUP(BR$4,$DE$6:$DF$17,2)+1))*(VLOOKUP($A56,SatSunCurve,6))*(INDEX(DailyScalarsTable,BR$5/100,MONTH($A56)))*$D56</f>
        <v>-5802.7902621578469</v>
      </c>
      <c r="BS56" s="1021">
        <f>(VLOOKUP(YEAR($A56),'NY East Load Projections'!$A$4:$EO$14,((MONTH($A56)-1)*12)+VLOOKUP(BS$4,$DE$6:$DF$17,2)+1))*(VLOOKUP($A56,SatSunCurve,6))*(INDEX(DailyScalarsTable,BS$5/100,MONTH($A56)))*$D56</f>
        <v>-5617.5948282591926</v>
      </c>
      <c r="BT56" s="1021">
        <f>(VLOOKUP(YEAR($A56),'NY East Load Projections'!$A$4:$EO$14,((MONTH($A56)-1)*12)+VLOOKUP(BT$4,$DE$6:$DF$17,2)+1))*(VLOOKUP($A56,SatSunCurve,6))*(INDEX(DailyScalarsTable,BT$5/100,MONTH($A56)))*$D56</f>
        <v>-5335.1046917688536</v>
      </c>
      <c r="BU56" s="1021">
        <f>(VLOOKUP(YEAR($A56),'NY East Load Projections'!$A$4:$EO$14,((MONTH($A56)-1)*12)+VLOOKUP(BU$4,$DE$6:$DF$17,2)+1))*(VLOOKUP($A56,SatSunCurve,6))*(INDEX(DailyScalarsTable,BU$5/100,MONTH($A56)))*$D56</f>
        <v>-5229.0870158413627</v>
      </c>
      <c r="BV56" s="1021">
        <f>(VLOOKUP(YEAR($A56),'NY East Load Projections'!$A$4:$EO$14,((MONTH($A56)-1)*12)+VLOOKUP(BV$4,$DE$6:$DF$17,2)+1))*(VLOOKUP($A56,SatSunCurve,6))*(INDEX(DailyScalarsTable,BV$5/100,MONTH($A56)))*$D56</f>
        <v>-5457.9851747391585</v>
      </c>
      <c r="BW56" s="1021">
        <f>(VLOOKUP(YEAR($A56),'NY East Load Projections'!$A$4:$EO$14,((MONTH($A56)-1)*12)+VLOOKUP(BW$4,$DE$6:$DF$17,2)+1))*(VLOOKUP($A56,SatSunCurve,6))*(INDEX(DailyScalarsTable,BW$5/100,MONTH($A56)))*$D56</f>
        <v>-7441.1302117471378</v>
      </c>
      <c r="BX56" s="1021">
        <f>(VLOOKUP(YEAR($A56),'NY East Load Projections'!$A$4:$EO$14,((MONTH($A56)-1)*12)+VLOOKUP(BX$4,$DE$6:$DF$17,2)+1))*(VLOOKUP($A56,SatSunCurve,6))*(INDEX(DailyScalarsTable,BX$5/100,MONTH($A56)))*$D56</f>
        <v>-8170.9173066745952</v>
      </c>
      <c r="BY56" s="1021">
        <f>(VLOOKUP(YEAR($A56),'NY East Load Projections'!$A$4:$EO$14,((MONTH($A56)-1)*12)+VLOOKUP(BY$4,$DE$6:$DF$17,2)+1))*(VLOOKUP($A56,SatSunCurve,6))*(INDEX(DailyScalarsTable,BY$5/100,MONTH($A56)))*$D56</f>
        <v>-7818.2297053408156</v>
      </c>
      <c r="BZ56" s="1021">
        <f>(VLOOKUP(YEAR($A56),'NY East Load Projections'!$A$4:$EO$14,((MONTH($A56)-1)*12)+VLOOKUP(BZ$4,$DE$6:$DF$17,2)+1))*(VLOOKUP($A56,SatSunCurve,6))*(INDEX(DailyScalarsTable,BZ$5/100,MONTH($A56)))*$D56</f>
        <v>-7106.9789807393026</v>
      </c>
      <c r="CA56" s="1021">
        <f>(VLOOKUP(YEAR($A56),'NY East Load Projections'!$A$4:$EO$14,((MONTH($A56)-1)*12)+VLOOKUP(CA$4,$DE$6:$DF$17,2)+1))*(VLOOKUP($A56,SatSunCurve,6))*(INDEX(DailyScalarsTable,CA$5/100,MONTH($A56)))*$D56</f>
        <v>-5160.6436315472274</v>
      </c>
      <c r="CB56" s="1021">
        <f>(VLOOKUP(YEAR($A56),'NY East Load Projections'!$A$4:$EO$14,((MONTH($A56)-1)*12)+VLOOKUP(CB$4,$DE$6:$DF$17,2)+1))*(VLOOKUP($A56,SatSunCurve,6))*(INDEX(DailyScalarsTable,CB$5/100,MONTH($A56)))*$D56</f>
        <v>-4235.8860836211452</v>
      </c>
      <c r="CC56" s="1021">
        <f>(VLOOKUP(YEAR($A56),'NY East Load Projections'!$A$4:$EO$14,((MONTH($A56)-1)*12)+VLOOKUP(CC$4,$DE$6:$DF$17,2)+1))*(VLOOKUP($A56,CURVES!$D$9:$T$261,6))*(INDEX(DailyScalarsTable,CC$5/100,MONTH($A56)))*$D56</f>
        <v>-7126.5517460174988</v>
      </c>
      <c r="CE56" s="1021">
        <f>(VLOOKUP(YEAR($A56),'NY East Load Projections'!$A$4:$EO$14,((MONTH($A56)-1)*12)+VLOOKUP(CE$4,$DE$6:$DF$17,2)+1))*(VLOOKUP($A56,CURVES!$D$9:$T$261,6))*(INDEX(DailyScalarsTable,CE$5/100,MONTH($A56)))*$E56</f>
        <v>0</v>
      </c>
      <c r="CF56" s="1021">
        <f>(VLOOKUP(YEAR($A56),'NY East Load Projections'!$A$4:$EO$14,((MONTH($A56)-1)*12)+VLOOKUP(CF$4,$DE$6:$DF$17,2)+1))*(VLOOKUP($A56,CURVES!$D$9:$T$261,6))*(INDEX(DailyScalarsTable,CF$5/100,MONTH($A56)))*$E56</f>
        <v>0</v>
      </c>
      <c r="CG56" s="1021">
        <f>(VLOOKUP(YEAR($A56),'NY East Load Projections'!$A$4:$EO$14,((MONTH($A56)-1)*12)+VLOOKUP(CG$4,$DE$6:$DF$17,2)+1))*(VLOOKUP($A56,CURVES!$D$9:$T$261,6))*(INDEX(DailyScalarsTable,CG$5/100,MONTH($A56)))*$E56</f>
        <v>0</v>
      </c>
      <c r="CH56" s="1021">
        <f>(VLOOKUP(YEAR($A56),'NY East Load Projections'!$A$4:$EO$14,((MONTH($A56)-1)*12)+VLOOKUP(CH$4,$DE$6:$DF$17,2)+1))*(VLOOKUP($A56,CURVES!$D$9:$T$261,6))*(INDEX(DailyScalarsTable,CH$5/100,MONTH($A56)))*$E56</f>
        <v>0</v>
      </c>
      <c r="CI56" s="1021">
        <f>(VLOOKUP(YEAR($A56),'NY East Load Projections'!$A$4:$EO$14,((MONTH($A56)-1)*12)+VLOOKUP(CI$4,$DE$6:$DF$17,2)+1))*(VLOOKUP($A56,CURVES!$D$9:$T$261,6))*(INDEX(DailyScalarsTable,CI$5/100,MONTH($A56)))*$E56</f>
        <v>0</v>
      </c>
      <c r="CJ56" s="1021">
        <f>(VLOOKUP(YEAR($A56),'NY East Load Projections'!$A$4:$EO$14,((MONTH($A56)-1)*12)+VLOOKUP(CJ$4,$DE$6:$DF$17,2)+1))*(VLOOKUP($A56,CURVES!$D$9:$T$261,6))*(INDEX(DailyScalarsTable,CJ$5/100,MONTH($A56)))*$E56</f>
        <v>0</v>
      </c>
      <c r="CK56" s="1021">
        <f>(VLOOKUP(YEAR($A56),'NY East Load Projections'!$A$4:$EO$14,((MONTH($A56)-1)*12)+VLOOKUP(CK$4,$DE$6:$DF$17,2)+1))*(VLOOKUP($A56,CURVES!$D$9:$T$261,6))*(INDEX(DailyScalarsTable,CK$5/100,MONTH($A56)))*$E56</f>
        <v>0</v>
      </c>
      <c r="CL56" s="1021">
        <f>(VLOOKUP(YEAR($A56),'NY East Load Projections'!$A$4:$EO$14,((MONTH($A56)-1)*12)+VLOOKUP(CL$4,$DE$6:$DF$17,2)+1))*(VLOOKUP($A56,SatSunCurve,6))*(INDEX(DailyScalarsTable,CL$5/100,MONTH($A56)))*$E56</f>
        <v>0</v>
      </c>
      <c r="CM56" s="1021">
        <f>(VLOOKUP(YEAR($A56),'NY East Load Projections'!$A$4:$EO$14,((MONTH($A56)-1)*12)+VLOOKUP(CM$4,$DE$6:$DF$17,2)+1))*(VLOOKUP($A56,SatSunCurve,6))*(INDEX(DailyScalarsTable,CM$5/100,MONTH($A56)))*$E56</f>
        <v>0</v>
      </c>
      <c r="CN56" s="1021">
        <f>(VLOOKUP(YEAR($A56),'NY East Load Projections'!$A$4:$EO$14,((MONTH($A56)-1)*12)+VLOOKUP(CN$4,$DE$6:$DF$17,2)+1))*(VLOOKUP($A56,SatSunCurve,6))*(INDEX(DailyScalarsTable,CN$5/100,MONTH($A56)))*$E56</f>
        <v>0</v>
      </c>
      <c r="CO56" s="1021">
        <f>(VLOOKUP(YEAR($A56),'NY East Load Projections'!$A$4:$EO$14,((MONTH($A56)-1)*12)+VLOOKUP(CO$4,$DE$6:$DF$17,2)+1))*(VLOOKUP($A56,SatSunCurve,6))*(INDEX(DailyScalarsTable,CO$5/100,MONTH($A56)))*$E56</f>
        <v>0</v>
      </c>
      <c r="CP56" s="1021">
        <f>(VLOOKUP(YEAR($A56),'NY East Load Projections'!$A$4:$EO$14,((MONTH($A56)-1)*12)+VLOOKUP(CP$4,$DE$6:$DF$17,2)+1))*(VLOOKUP($A56,SatSunCurve,6))*(INDEX(DailyScalarsTable,CP$5/100,MONTH($A56)))*$E56</f>
        <v>0</v>
      </c>
      <c r="CQ56" s="1021">
        <f>(VLOOKUP(YEAR($A56),'NY East Load Projections'!$A$4:$EO$14,((MONTH($A56)-1)*12)+VLOOKUP(CQ$4,$DE$6:$DF$17,2)+1))*(VLOOKUP($A56,SatSunCurve,6))*(INDEX(DailyScalarsTable,CQ$5/100,MONTH($A56)))*$E56</f>
        <v>0</v>
      </c>
      <c r="CR56" s="1021">
        <f>(VLOOKUP(YEAR($A56),'NY East Load Projections'!$A$4:$EO$14,((MONTH($A56)-1)*12)+VLOOKUP(CR$4,$DE$6:$DF$17,2)+1))*(VLOOKUP($A56,SatSunCurve,6))*(INDEX(DailyScalarsTable,CR$5/100,MONTH($A56)))*$E56</f>
        <v>0</v>
      </c>
      <c r="CS56" s="1021">
        <f>(VLOOKUP(YEAR($A56),'NY East Load Projections'!$A$4:$EO$14,((MONTH($A56)-1)*12)+VLOOKUP(CS$4,$DE$6:$DF$17,2)+1))*(VLOOKUP($A56,SatSunCurve,6))*(INDEX(DailyScalarsTable,CS$5/100,MONTH($A56)))*$E56</f>
        <v>0</v>
      </c>
      <c r="CT56" s="1021">
        <f>(VLOOKUP(YEAR($A56),'NY East Load Projections'!$A$4:$EO$14,((MONTH($A56)-1)*12)+VLOOKUP(CT$4,$DE$6:$DF$17,2)+1))*(VLOOKUP($A56,SatSunCurve,6))*(INDEX(DailyScalarsTable,CT$5/100,MONTH($A56)))*$E56</f>
        <v>0</v>
      </c>
      <c r="CU56" s="1021">
        <f>(VLOOKUP(YEAR($A56),'NY East Load Projections'!$A$4:$EO$14,((MONTH($A56)-1)*12)+VLOOKUP(CU$4,$DE$6:$DF$17,2)+1))*(VLOOKUP($A56,SatSunCurve,6))*(INDEX(DailyScalarsTable,CU$5/100,MONTH($A56)))*$E56</f>
        <v>0</v>
      </c>
      <c r="CV56" s="1021">
        <f>(VLOOKUP(YEAR($A56),'NY East Load Projections'!$A$4:$EO$14,((MONTH($A56)-1)*12)+VLOOKUP(CV$4,$DE$6:$DF$17,2)+1))*(VLOOKUP($A56,SatSunCurve,6))*(INDEX(DailyScalarsTable,CV$5/100,MONTH($A56)))*$E56</f>
        <v>0</v>
      </c>
      <c r="CW56" s="1021">
        <f>(VLOOKUP(YEAR($A56),'NY East Load Projections'!$A$4:$EO$14,((MONTH($A56)-1)*12)+VLOOKUP(CW$4,$DE$6:$DF$17,2)+1))*(VLOOKUP($A56,SatSunCurve,6))*(INDEX(DailyScalarsTable,CW$5/100,MONTH($A56)))*$E56</f>
        <v>0</v>
      </c>
      <c r="CX56" s="1021">
        <f>(VLOOKUP(YEAR($A56),'NY East Load Projections'!$A$4:$EO$14,((MONTH($A56)-1)*12)+VLOOKUP(CX$4,$DE$6:$DF$17,2)+1))*(VLOOKUP($A56,SatSunCurve,6))*(INDEX(DailyScalarsTable,CX$5/100,MONTH($A56)))*$E56</f>
        <v>0</v>
      </c>
      <c r="CY56" s="1021">
        <f>(VLOOKUP(YEAR($A56),'NY East Load Projections'!$A$4:$EO$14,((MONTH($A56)-1)*12)+VLOOKUP(CY$4,$DE$6:$DF$17,2)+1))*(VLOOKUP($A56,SatSunCurve,6))*(INDEX(DailyScalarsTable,CY$5/100,MONTH($A56)))*$E56</f>
        <v>0</v>
      </c>
      <c r="CZ56" s="1021">
        <f>(VLOOKUP(YEAR($A56),'NY East Load Projections'!$A$4:$EO$14,((MONTH($A56)-1)*12)+VLOOKUP(CZ$4,$DE$6:$DF$17,2)+1))*(VLOOKUP($A56,SatSunCurve,6))*(INDEX(DailyScalarsTable,CZ$5/100,MONTH($A56)))*$E56</f>
        <v>0</v>
      </c>
      <c r="DA56" s="1021">
        <f>(VLOOKUP(YEAR($A56),'NY East Load Projections'!$A$4:$EO$14,((MONTH($A56)-1)*12)+VLOOKUP(DA$4,$DE$6:$DF$17,2)+1))*(VLOOKUP($A56,SatSunCurve,6))*(INDEX(DailyScalarsTable,DA$5/100,MONTH($A56)))*$E56</f>
        <v>0</v>
      </c>
      <c r="DB56" s="1021">
        <f>(VLOOKUP(YEAR($A56),'NY East Load Projections'!$A$4:$EO$14,((MONTH($A56)-1)*12)+VLOOKUP(DB$4,$DE$6:$DF$17,2)+1))*(VLOOKUP($A56,CURVES!$D$9:$T$261,6))*(INDEX(DailyScalarsTable,DB$5/100,MONTH($A56)))*$E56</f>
        <v>0</v>
      </c>
      <c r="DH56" s="1021">
        <f t="shared" si="0"/>
        <v>-1747799.9737755239</v>
      </c>
      <c r="DI56">
        <f ca="1">CALC!J76</f>
        <v>0.69181096412255072</v>
      </c>
      <c r="DJ56" s="1029">
        <f t="shared" ca="1" si="1"/>
        <v>-1209147.1849510141</v>
      </c>
    </row>
    <row r="57" spans="1:114" x14ac:dyDescent="0.25">
      <c r="A57" s="244">
        <v>38443</v>
      </c>
      <c r="B57" s="13">
        <v>21</v>
      </c>
      <c r="C57" s="210">
        <v>5</v>
      </c>
      <c r="D57" s="210">
        <v>4</v>
      </c>
      <c r="E57" s="210">
        <v>0</v>
      </c>
      <c r="F57" s="13">
        <v>30</v>
      </c>
      <c r="H57" s="1021">
        <f>(VLOOKUP(YEAR($A57),'NY East Load Projections'!$A$4:$EO$14,((MONTH($A57)-1)*12)+VLOOKUP(H$4,$DE$6:$DF$17,2)+1))*(VLOOKUP($A57,CURVES!$D$9:$K$261,6))*(INDEX(DailyScalarsTable,H$5/100,MONTH($A57)))*$B57</f>
        <v>-32247.208054828607</v>
      </c>
      <c r="I57" s="1021">
        <f>(VLOOKUP(YEAR($A57),'NY East Load Projections'!$A$4:$EO$14,((MONTH($A57)-1)*12)+VLOOKUP(I$4,$DE$6:$DF$17,2)+1))*(VLOOKUP($A57,CURVES!$D$9:$K$261,6))*(INDEX(DailyScalarsTable,I$5/100,MONTH($A57)))*$B57</f>
        <v>-30585.567188971669</v>
      </c>
      <c r="J57" s="1021">
        <f>(VLOOKUP(YEAR($A57),'NY East Load Projections'!$A$4:$EO$14,((MONTH($A57)-1)*12)+VLOOKUP(J$4,$DE$6:$DF$17,2)+1))*(VLOOKUP($A57,CURVES!$D$9:$K$261,6))*(INDEX(DailyScalarsTable,J$5/100,MONTH($A57)))*$B57</f>
        <v>-29355.938191213831</v>
      </c>
      <c r="K57" s="1021">
        <f>(VLOOKUP(YEAR($A57),'NY East Load Projections'!$A$4:$EO$14,((MONTH($A57)-1)*12)+VLOOKUP(K$4,$DE$6:$DF$17,2)+1))*(VLOOKUP($A57,CURVES!$D$9:$K$261,6))*(INDEX(DailyScalarsTable,K$5/100,MONTH($A57)))*$B57</f>
        <v>-29373.277694032513</v>
      </c>
      <c r="L57" s="1021">
        <f>(VLOOKUP(YEAR($A57),'NY East Load Projections'!$A$4:$EO$14,((MONTH($A57)-1)*12)+VLOOKUP(L$4,$DE$6:$DF$17,2)+1))*(VLOOKUP($A57,CURVES!$D$9:$K$261,6))*(INDEX(DailyScalarsTable,L$5/100,MONTH($A57)))*$B57</f>
        <v>-34412.024086187463</v>
      </c>
      <c r="M57" s="1021">
        <f>(VLOOKUP(YEAR($A57),'NY East Load Projections'!$A$4:$EO$14,((MONTH($A57)-1)*12)+VLOOKUP(M$4,$DE$6:$DF$17,2)+1))*(VLOOKUP($A57,CURVES!$D$9:$K$261,6))*(INDEX(DailyScalarsTable,M$5/100,MONTH($A57)))*$B57</f>
        <v>-39639.732894299952</v>
      </c>
      <c r="N57" s="1021">
        <f>(VLOOKUP(YEAR($A57),'NY East Load Projections'!$A$4:$EO$14,((MONTH($A57)-1)*12)+VLOOKUP(N$4,$DE$6:$DF$17,2)+1))*(VLOOKUP($A57,CURVES!$D$9:$K$261,6))*(INDEX(DailyScalarsTable,N$5/100,MONTH($A57)))*$B57</f>
        <v>-56537.775331333956</v>
      </c>
      <c r="O57" s="1021">
        <f>(VLOOKUP(YEAR($A57),'NY East Load Projections'!$A$4:$EO$14,((MONTH($A57)-1)*12)+VLOOKUP(O$4,$DE$6:$DF$17,2)+1))*(VLOOKUP($A57,CURVES!$D$9:$K$261,2))*(INDEX(DailyScalarsTable,O$5/100,MONTH($A57)))*$B57</f>
        <v>-68810.706740256443</v>
      </c>
      <c r="P57" s="1021">
        <f>(VLOOKUP(YEAR($A57),'NY East Load Projections'!$A$4:$EO$14,((MONTH($A57)-1)*12)+VLOOKUP(P$4,$DE$6:$DF$17,2)+1))*(VLOOKUP($A57,CURVES!$D$9:$K$261,2))*(INDEX(DailyScalarsTable,P$5/100,MONTH($A57)))*$B57</f>
        <v>-77889.357572917186</v>
      </c>
      <c r="Q57" s="1021">
        <f>(VLOOKUP(YEAR($A57),'NY East Load Projections'!$A$4:$EO$14,((MONTH($A57)-1)*12)+VLOOKUP(Q$4,$DE$6:$DF$17,2)+1))*(VLOOKUP($A57,CURVES!$D$9:$K$261,2))*(INDEX(DailyScalarsTable,Q$5/100,MONTH($A57)))*$B57</f>
        <v>-74645.706847873837</v>
      </c>
      <c r="R57" s="1021">
        <f>(VLOOKUP(YEAR($A57),'NY East Load Projections'!$A$4:$EO$14,((MONTH($A57)-1)*12)+VLOOKUP(R$4,$DE$6:$DF$17,2)+1))*(VLOOKUP($A57,CURVES!$D$9:$K$261,2))*(INDEX(DailyScalarsTable,R$5/100,MONTH($A57)))*$B57</f>
        <v>-76184.601079430111</v>
      </c>
      <c r="S57" s="1021">
        <f>(VLOOKUP(YEAR($A57),'NY East Load Projections'!$A$4:$EO$14,((MONTH($A57)-1)*12)+VLOOKUP(S$4,$DE$6:$DF$17,2)+1))*(VLOOKUP($A57,CURVES!$D$9:$K$261,2))*(INDEX(DailyScalarsTable,S$5/100,MONTH($A57)))*$B57</f>
        <v>-76333.986957725399</v>
      </c>
      <c r="T57" s="1021">
        <f>(VLOOKUP(YEAR($A57),'NY East Load Projections'!$A$4:$EO$14,((MONTH($A57)-1)*12)+VLOOKUP(T$4,$DE$6:$DF$17,2)+1))*(VLOOKUP($A57,CURVES!$D$9:$K$261,2))*(INDEX(DailyScalarsTable,T$5/100,MONTH($A57)))*$B57</f>
        <v>-71961.419080533204</v>
      </c>
      <c r="U57" s="1021">
        <f>(VLOOKUP(YEAR($A57),'NY East Load Projections'!$A$4:$EO$14,((MONTH($A57)-1)*12)+VLOOKUP(U$4,$DE$6:$DF$17,2)+1))*(VLOOKUP($A57,CURVES!$D$9:$K$261,2))*(INDEX(DailyScalarsTable,U$5/100,MONTH($A57)))*$B57</f>
        <v>-72038.906000732022</v>
      </c>
      <c r="V57" s="1021">
        <f>(VLOOKUP(YEAR($A57),'NY East Load Projections'!$A$4:$EO$14,((MONTH($A57)-1)*12)+VLOOKUP(V$4,$DE$6:$DF$17,2)+1))*(VLOOKUP($A57,CURVES!$D$9:$K$261,2))*(INDEX(DailyScalarsTable,V$5/100,MONTH($A57)))*$B57</f>
        <v>-67567.454899846634</v>
      </c>
      <c r="W57" s="1021">
        <f>(VLOOKUP(YEAR($A57),'NY East Load Projections'!$A$4:$EO$14,((MONTH($A57)-1)*12)+VLOOKUP(W$4,$DE$6:$DF$17,2)+1))*(VLOOKUP($A57,CURVES!$D$9:$K$261,2))*(INDEX(DailyScalarsTable,W$5/100,MONTH($A57)))*$B57</f>
        <v>-63149.560934981055</v>
      </c>
      <c r="X57" s="1021">
        <f>(VLOOKUP(YEAR($A57),'NY East Load Projections'!$A$4:$EO$14,((MONTH($A57)-1)*12)+VLOOKUP(X$4,$DE$6:$DF$17,2)+1))*(VLOOKUP($A57,CURVES!$D$9:$K$261,2))*(INDEX(DailyScalarsTable,X$5/100,MONTH($A57)))*$B57</f>
        <v>-57782.91781742785</v>
      </c>
      <c r="Y57" s="1021">
        <f>(VLOOKUP(YEAR($A57),'NY East Load Projections'!$A$4:$EO$14,((MONTH($A57)-1)*12)+VLOOKUP(Y$4,$DE$6:$DF$17,2)+1))*(VLOOKUP($A57,CURVES!$D$9:$K$261,2))*(INDEX(DailyScalarsTable,Y$5/100,MONTH($A57)))*$B57</f>
        <v>-57031.421328256809</v>
      </c>
      <c r="Z57" s="1021">
        <f>(VLOOKUP(YEAR($A57),'NY East Load Projections'!$A$4:$EO$14,((MONTH($A57)-1)*12)+VLOOKUP(Z$4,$DE$6:$DF$17,2)+1))*(VLOOKUP($A57,CURVES!$D$9:$K$261,2))*(INDEX(DailyScalarsTable,Z$5/100,MONTH($A57)))*$B57</f>
        <v>-56725.691604355081</v>
      </c>
      <c r="AA57" s="1021">
        <f>(VLOOKUP(YEAR($A57),'NY East Load Projections'!$A$4:$EO$14,((MONTH($A57)-1)*12)+VLOOKUP(AA$4,$DE$6:$DF$17,2)+1))*(VLOOKUP($A57,CURVES!$D$9:$K$261,2))*(INDEX(DailyScalarsTable,AA$5/100,MONTH($A57)))*$B57</f>
        <v>-62219.205769148837</v>
      </c>
      <c r="AB57" s="1021">
        <f>(VLOOKUP(YEAR($A57),'NY East Load Projections'!$A$4:$EO$14,((MONTH($A57)-1)*12)+VLOOKUP(AB$4,$DE$6:$DF$17,2)+1))*(VLOOKUP($A57,CURVES!$D$9:$K$261,2))*(INDEX(DailyScalarsTable,AB$5/100,MONTH($A57)))*$B57</f>
        <v>-68205.227820466927</v>
      </c>
      <c r="AC57" s="1021">
        <f>(VLOOKUP(YEAR($A57),'NY East Load Projections'!$A$4:$EO$14,((MONTH($A57)-1)*12)+VLOOKUP(AC$4,$DE$6:$DF$17,2)+1))*(VLOOKUP($A57,CURVES!$D$9:$K$261,2))*(INDEX(DailyScalarsTable,AC$5/100,MONTH($A57)))*$B57</f>
        <v>-58116.000949660927</v>
      </c>
      <c r="AD57" s="1021">
        <f>(VLOOKUP(YEAR($A57),'NY East Load Projections'!$A$4:$EO$14,((MONTH($A57)-1)*12)+VLOOKUP(AD$4,$DE$6:$DF$17,2)+1))*(VLOOKUP($A57,CURVES!$D$9:$K$261,2))*(INDEX(DailyScalarsTable,AD$5/100,MONTH($A57)))*$B57</f>
        <v>-51341.982380450761</v>
      </c>
      <c r="AE57" s="1021">
        <f>(VLOOKUP(YEAR($A57),'NY East Load Projections'!$A$4:$EO$14,((MONTH($A57)-1)*12)+VLOOKUP(AE$4,$DE$6:$DF$17,2)+1))*(VLOOKUP($A57,CURVES!$D$9:$K$261,6))*(INDEX(DailyScalarsTable,AE$5/100,MONTH($A57)))*$B57</f>
        <v>-38389.96797389233</v>
      </c>
      <c r="AF57" s="1021"/>
      <c r="AG57" s="1021">
        <f>(VLOOKUP(YEAR($A57),'NY East Load Projections'!$A$4:$EO$14,((MONTH($A57)-1)*12)+VLOOKUP(AG$4,$DE$6:$DF$17,2)+1))*(VLOOKUP($A57,CURVES!$D$9:$T$261,6))*(INDEX(DailyScalarsTable,AG$5/100,MONTH($A57)))*$C57</f>
        <v>-7949.6469847813787</v>
      </c>
      <c r="AH57" s="1021">
        <f>(VLOOKUP(YEAR($A57),'NY East Load Projections'!$A$4:$EO$14,((MONTH($A57)-1)*12)+VLOOKUP(AH$4,$DE$6:$DF$17,2)+1))*(VLOOKUP($A57,CURVES!$D$9:$T$261,6))*(INDEX(DailyScalarsTable,AH$5/100,MONTH($A57)))*$C57</f>
        <v>-7540.0159160516569</v>
      </c>
      <c r="AI57" s="1021">
        <f>(VLOOKUP(YEAR($A57),'NY East Load Projections'!$A$4:$EO$14,((MONTH($A57)-1)*12)+VLOOKUP(AI$4,$DE$6:$DF$17,2)+1))*(VLOOKUP($A57,CURVES!$D$9:$T$261,6))*(INDEX(DailyScalarsTable,AI$5/100,MONTH($A57)))*$C57</f>
        <v>-7236.8852872603184</v>
      </c>
      <c r="AJ57" s="1021">
        <f>(VLOOKUP(YEAR($A57),'NY East Load Projections'!$A$4:$EO$14,((MONTH($A57)-1)*12)+VLOOKUP(AJ$4,$DE$6:$DF$17,2)+1))*(VLOOKUP($A57,CURVES!$D$9:$T$261,6))*(INDEX(DailyScalarsTable,AJ$5/100,MONTH($A57)))*$C57</f>
        <v>-7241.1598565832119</v>
      </c>
      <c r="AK57" s="1021">
        <f>(VLOOKUP(YEAR($A57),'NY East Load Projections'!$A$4:$EO$14,((MONTH($A57)-1)*12)+VLOOKUP(AK$4,$DE$6:$DF$17,2)+1))*(VLOOKUP($A57,CURVES!$D$9:$T$261,6))*(INDEX(DailyScalarsTable,AK$5/100,MONTH($A57)))*$C57</f>
        <v>-7889.5734580691424</v>
      </c>
      <c r="AL57" s="1021">
        <f>(VLOOKUP(YEAR($A57),'NY East Load Projections'!$A$4:$EO$14,((MONTH($A57)-1)*12)+VLOOKUP(AL$4,$DE$6:$DF$17,2)+1))*(VLOOKUP($A57,CURVES!$D$9:$T$261,6))*(INDEX(DailyScalarsTable,AL$5/100,MONTH($A57)))*$C57</f>
        <v>-9088.119424319164</v>
      </c>
      <c r="AM57" s="1021">
        <f>(VLOOKUP(YEAR($A57),'NY East Load Projections'!$A$4:$EO$14,((MONTH($A57)-1)*12)+VLOOKUP(AM$4,$DE$6:$DF$17,2)+1))*(VLOOKUP($A57,CURVES!$D$9:$T$261,6))*(INDEX(DailyScalarsTable,AM$5/100,MONTH($A57)))*$C57</f>
        <v>-12962.298599907435</v>
      </c>
      <c r="AN57" s="1021">
        <f>(VLOOKUP(YEAR($A57),'NY East Load Projections'!$A$4:$EO$14,((MONTH($A57)-1)*12)+VLOOKUP(AN$4,$DE$6:$DF$17,2)+1))*(VLOOKUP($A57,SatSunCurve,2))*(INDEX(DailyScalarsTable,AN$5/100,MONTH($A57)))*$C57</f>
        <v>-10876.932497445696</v>
      </c>
      <c r="AO57" s="1021">
        <f>(VLOOKUP(YEAR($A57),'NY East Load Projections'!$A$4:$EO$14,((MONTH($A57)-1)*12)+VLOOKUP(AO$4,$DE$6:$DF$17,2)+1))*(VLOOKUP($A57,SatSunCurve,2))*(INDEX(DailyScalarsTable,AO$5/100,MONTH($A57)))*$C57</f>
        <v>-11852.598194639915</v>
      </c>
      <c r="AP57" s="1021">
        <f>(VLOOKUP(YEAR($A57),'NY East Load Projections'!$A$4:$EO$14,((MONTH($A57)-1)*12)+VLOOKUP(AP$4,$DE$6:$DF$17,2)+1))*(VLOOKUP($A57,SatSunCurve,2))*(INDEX(DailyScalarsTable,AP$5/100,MONTH($A57)))*$C57</f>
        <v>-11359.004590511138</v>
      </c>
      <c r="AQ57" s="1021">
        <f>(VLOOKUP(YEAR($A57),'NY East Load Projections'!$A$4:$EO$14,((MONTH($A57)-1)*12)+VLOOKUP(AQ$4,$DE$6:$DF$17,2)+1))*(VLOOKUP($A57,SatSunCurve,2))*(INDEX(DailyScalarsTable,AQ$5/100,MONTH($A57)))*$C57</f>
        <v>-11593.181576418492</v>
      </c>
      <c r="AR57" s="1021">
        <f>(VLOOKUP(YEAR($A57),'NY East Load Projections'!$A$4:$EO$14,((MONTH($A57)-1)*12)+VLOOKUP(AR$4,$DE$6:$DF$17,2)+1))*(VLOOKUP($A57,SatSunCurve,2))*(INDEX(DailyScalarsTable,AR$5/100,MONTH($A57)))*$C57</f>
        <v>-11615.913960489444</v>
      </c>
      <c r="AS57" s="1021">
        <f>(VLOOKUP(YEAR($A57),'NY East Load Projections'!$A$4:$EO$14,((MONTH($A57)-1)*12)+VLOOKUP(AS$4,$DE$6:$DF$17,2)+1))*(VLOOKUP($A57,SatSunCurve,2))*(INDEX(DailyScalarsTable,AS$5/100,MONTH($A57)))*$C57</f>
        <v>-10698.683491771606</v>
      </c>
      <c r="AT57" s="1021">
        <f>(VLOOKUP(YEAR($A57),'NY East Load Projections'!$A$4:$EO$14,((MONTH($A57)-1)*12)+VLOOKUP(AT$4,$DE$6:$DF$17,2)+1))*(VLOOKUP($A57,SatSunCurve,2))*(INDEX(DailyScalarsTable,AT$5/100,MONTH($A57)))*$C57</f>
        <v>-10710.203665283352</v>
      </c>
      <c r="AU57" s="1021">
        <f>(VLOOKUP(YEAR($A57),'NY East Load Projections'!$A$4:$EO$14,((MONTH($A57)-1)*12)+VLOOKUP(AU$4,$DE$6:$DF$17,2)+1))*(VLOOKUP($A57,SatSunCurve,2))*(INDEX(DailyScalarsTable,AU$5/100,MONTH($A57)))*$C57</f>
        <v>-10045.421887928887</v>
      </c>
      <c r="AV57" s="1021">
        <f>(VLOOKUP(YEAR($A57),'NY East Load Projections'!$A$4:$EO$14,((MONTH($A57)-1)*12)+VLOOKUP(AV$4,$DE$6:$DF$17,2)+1))*(VLOOKUP($A57,SatSunCurve,2))*(INDEX(DailyScalarsTable,AV$5/100,MONTH($A57)))*$C57</f>
        <v>-9388.6025834428401</v>
      </c>
      <c r="AW57" s="1021">
        <f>(VLOOKUP(YEAR($A57),'NY East Load Projections'!$A$4:$EO$14,((MONTH($A57)-1)*12)+VLOOKUP(AW$4,$DE$6:$DF$17,2)+1))*(VLOOKUP($A57,SatSunCurve,2))*(INDEX(DailyScalarsTable,AW$5/100,MONTH($A57)))*$C57</f>
        <v>-8687.8985446415063</v>
      </c>
      <c r="AX57" s="1021">
        <f>(VLOOKUP(YEAR($A57),'NY East Load Projections'!$A$4:$EO$14,((MONTH($A57)-1)*12)+VLOOKUP(AX$4,$DE$6:$DF$17,2)+1))*(VLOOKUP($A57,SatSunCurve,2))*(INDEX(DailyScalarsTable,AX$5/100,MONTH($A57)))*$C57</f>
        <v>-8574.9079671285963</v>
      </c>
      <c r="AY57" s="1021">
        <f>(VLOOKUP(YEAR($A57),'NY East Load Projections'!$A$4:$EO$14,((MONTH($A57)-1)*12)+VLOOKUP(AY$4,$DE$6:$DF$17,2)+1))*(VLOOKUP($A57,SatSunCurve,2))*(INDEX(DailyScalarsTable,AY$5/100,MONTH($A57)))*$C57</f>
        <v>-8528.9402499611806</v>
      </c>
      <c r="AZ57" s="1021">
        <f>(VLOOKUP(YEAR($A57),'NY East Load Projections'!$A$4:$EO$14,((MONTH($A57)-1)*12)+VLOOKUP(AZ$4,$DE$6:$DF$17,2)+1))*(VLOOKUP($A57,SatSunCurve,2))*(INDEX(DailyScalarsTable,AZ$5/100,MONTH($A57)))*$C57</f>
        <v>-9354.9126224204392</v>
      </c>
      <c r="BA57" s="1021">
        <f>(VLOOKUP(YEAR($A57),'NY East Load Projections'!$A$4:$EO$14,((MONTH($A57)-1)*12)+VLOOKUP(BA$4,$DE$6:$DF$17,2)+1))*(VLOOKUP($A57,SatSunCurve,2))*(INDEX(DailyScalarsTable,BA$5/100,MONTH($A57)))*$C57</f>
        <v>-11079.791684533524</v>
      </c>
      <c r="BB57" s="1021">
        <f>(VLOOKUP(YEAR($A57),'NY East Load Projections'!$A$4:$EO$14,((MONTH($A57)-1)*12)+VLOOKUP(BB$4,$DE$6:$DF$17,2)+1))*(VLOOKUP($A57,SatSunCurve,2))*(INDEX(DailyScalarsTable,BB$5/100,MONTH($A57)))*$C57</f>
        <v>-9440.8186093203112</v>
      </c>
      <c r="BC57" s="1021">
        <f>(VLOOKUP(YEAR($A57),'NY East Load Projections'!$A$4:$EO$14,((MONTH($A57)-1)*12)+VLOOKUP(BC$4,$DE$6:$DF$17,2)+1))*(VLOOKUP($A57,SatSunCurve,2))*(INDEX(DailyScalarsTable,BC$5/100,MONTH($A57)))*$C57</f>
        <v>-8340.3939496215989</v>
      </c>
      <c r="BD57" s="1021">
        <f>(VLOOKUP(YEAR($A57),'NY East Load Projections'!$A$4:$EO$14,((MONTH($A57)-1)*12)+VLOOKUP(BD$4,$DE$6:$DF$17,2)+1))*(VLOOKUP($A57,CURVES!$D$9:$T$261,6))*(INDEX(DailyScalarsTable,BD$5/100,MONTH($A57)))*$C57</f>
        <v>-9045.3332551080694</v>
      </c>
      <c r="BE57" s="1021"/>
      <c r="BF57" s="1021">
        <f>(VLOOKUP(YEAR($A57),'NY East Load Projections'!$A$4:$EO$14,((MONTH($A57)-1)*12)+VLOOKUP(BF$4,$DE$6:$DF$17,2)+1))*(VLOOKUP($A57,CURVES!$D$9:$T$261,6))*(INDEX(DailyScalarsTable,BF$5/100,MONTH($A57)))*$D57</f>
        <v>-6359.7175878251028</v>
      </c>
      <c r="BG57" s="1021">
        <f>(VLOOKUP(YEAR($A57),'NY East Load Projections'!$A$4:$EO$14,((MONTH($A57)-1)*12)+VLOOKUP(BG$4,$DE$6:$DF$17,2)+1))*(VLOOKUP($A57,CURVES!$D$9:$T$261,6))*(INDEX(DailyScalarsTable,BG$5/100,MONTH($A57)))*$D57</f>
        <v>-6032.0127328413255</v>
      </c>
      <c r="BH57" s="1021">
        <f>(VLOOKUP(YEAR($A57),'NY East Load Projections'!$A$4:$EO$14,((MONTH($A57)-1)*12)+VLOOKUP(BH$4,$DE$6:$DF$17,2)+1))*(VLOOKUP($A57,CURVES!$D$9:$T$261,6))*(INDEX(DailyScalarsTable,BH$5/100,MONTH($A57)))*$D57</f>
        <v>-5789.5082298082543</v>
      </c>
      <c r="BI57" s="1021">
        <f>(VLOOKUP(YEAR($A57),'NY East Load Projections'!$A$4:$EO$14,((MONTH($A57)-1)*12)+VLOOKUP(BI$4,$DE$6:$DF$17,2)+1))*(VLOOKUP($A57,CURVES!$D$9:$T$261,6))*(INDEX(DailyScalarsTable,BI$5/100,MONTH($A57)))*$D57</f>
        <v>-5792.9278852665693</v>
      </c>
      <c r="BJ57" s="1021">
        <f>(VLOOKUP(YEAR($A57),'NY East Load Projections'!$A$4:$EO$14,((MONTH($A57)-1)*12)+VLOOKUP(BJ$4,$DE$6:$DF$17,2)+1))*(VLOOKUP($A57,CURVES!$D$9:$T$261,6))*(INDEX(DailyScalarsTable,BJ$5/100,MONTH($A57)))*$D57</f>
        <v>-6311.6587664553135</v>
      </c>
      <c r="BK57" s="1021">
        <f>(VLOOKUP(YEAR($A57),'NY East Load Projections'!$A$4:$EO$14,((MONTH($A57)-1)*12)+VLOOKUP(BK$4,$DE$6:$DF$17,2)+1))*(VLOOKUP($A57,CURVES!$D$9:$T$261,6))*(INDEX(DailyScalarsTable,BK$5/100,MONTH($A57)))*$D57</f>
        <v>-7270.4955394553308</v>
      </c>
      <c r="BL57" s="1021">
        <f>(VLOOKUP(YEAR($A57),'NY East Load Projections'!$A$4:$EO$14,((MONTH($A57)-1)*12)+VLOOKUP(BL$4,$DE$6:$DF$17,2)+1))*(VLOOKUP($A57,CURVES!$D$9:$T$261,6))*(INDEX(DailyScalarsTable,BL$5/100,MONTH($A57)))*$D57</f>
        <v>-10369.838879925948</v>
      </c>
      <c r="BM57" s="1021">
        <f>(VLOOKUP(YEAR($A57),'NY East Load Projections'!$A$4:$EO$14,((MONTH($A57)-1)*12)+VLOOKUP(BM$4,$DE$6:$DF$17,2)+1))*(VLOOKUP($A57,SatSunCurve,6))*(INDEX(DailyScalarsTable,BM$5/100,MONTH($A57)))*$D57</f>
        <v>-6989.8651424900845</v>
      </c>
      <c r="BN57" s="1021">
        <f>(VLOOKUP(YEAR($A57),'NY East Load Projections'!$A$4:$EO$14,((MONTH($A57)-1)*12)+VLOOKUP(BN$4,$DE$6:$DF$17,2)+1))*(VLOOKUP($A57,SatSunCurve,6))*(INDEX(DailyScalarsTable,BN$5/100,MONTH($A57)))*$D57</f>
        <v>-7616.8591639334199</v>
      </c>
      <c r="BO57" s="1021">
        <f>(VLOOKUP(YEAR($A57),'NY East Load Projections'!$A$4:$EO$14,((MONTH($A57)-1)*12)+VLOOKUP(BO$4,$DE$6:$DF$17,2)+1))*(VLOOKUP($A57,SatSunCurve,6))*(INDEX(DailyScalarsTable,BO$5/100,MONTH($A57)))*$D57</f>
        <v>-7299.660107226392</v>
      </c>
      <c r="BP57" s="1021">
        <f>(VLOOKUP(YEAR($A57),'NY East Load Projections'!$A$4:$EO$14,((MONTH($A57)-1)*12)+VLOOKUP(BP$4,$DE$6:$DF$17,2)+1))*(VLOOKUP($A57,SatSunCurve,6))*(INDEX(DailyScalarsTable,BP$5/100,MONTH($A57)))*$D57</f>
        <v>-7450.1497375841782</v>
      </c>
      <c r="BQ57" s="1021">
        <f>(VLOOKUP(YEAR($A57),'NY East Load Projections'!$A$4:$EO$14,((MONTH($A57)-1)*12)+VLOOKUP(BQ$4,$DE$6:$DF$17,2)+1))*(VLOOKUP($A57,SatSunCurve,6))*(INDEX(DailyScalarsTable,BQ$5/100,MONTH($A57)))*$D57</f>
        <v>-7464.7582955632379</v>
      </c>
      <c r="BR57" s="1021">
        <f>(VLOOKUP(YEAR($A57),'NY East Load Projections'!$A$4:$EO$14,((MONTH($A57)-1)*12)+VLOOKUP(BR$4,$DE$6:$DF$17,2)+1))*(VLOOKUP($A57,SatSunCurve,6))*(INDEX(DailyScalarsTable,BR$5/100,MONTH($A57)))*$D57</f>
        <v>-6875.3166232510976</v>
      </c>
      <c r="BS57" s="1021">
        <f>(VLOOKUP(YEAR($A57),'NY East Load Projections'!$A$4:$EO$14,((MONTH($A57)-1)*12)+VLOOKUP(BS$4,$DE$6:$DF$17,2)+1))*(VLOOKUP($A57,SatSunCurve,6))*(INDEX(DailyScalarsTable,BS$5/100,MONTH($A57)))*$D57</f>
        <v>-6882.7198556683352</v>
      </c>
      <c r="BT57" s="1021">
        <f>(VLOOKUP(YEAR($A57),'NY East Load Projections'!$A$4:$EO$14,((MONTH($A57)-1)*12)+VLOOKUP(BT$4,$DE$6:$DF$17,2)+1))*(VLOOKUP($A57,SatSunCurve,6))*(INDEX(DailyScalarsTable,BT$5/100,MONTH($A57)))*$D57</f>
        <v>-6455.5097967676465</v>
      </c>
      <c r="BU57" s="1021">
        <f>(VLOOKUP(YEAR($A57),'NY East Load Projections'!$A$4:$EO$14,((MONTH($A57)-1)*12)+VLOOKUP(BU$4,$DE$6:$DF$17,2)+1))*(VLOOKUP($A57,SatSunCurve,6))*(INDEX(DailyScalarsTable,BU$5/100,MONTH($A57)))*$D57</f>
        <v>-6033.4166779200532</v>
      </c>
      <c r="BV57" s="1021">
        <f>(VLOOKUP(YEAR($A57),'NY East Load Projections'!$A$4:$EO$14,((MONTH($A57)-1)*12)+VLOOKUP(BV$4,$DE$6:$DF$17,2)+1))*(VLOOKUP($A57,SatSunCurve,6))*(INDEX(DailyScalarsTable,BV$5/100,MONTH($A57)))*$D57</f>
        <v>-5583.1218234498565</v>
      </c>
      <c r="BW57" s="1021">
        <f>(VLOOKUP(YEAR($A57),'NY East Load Projections'!$A$4:$EO$14,((MONTH($A57)-1)*12)+VLOOKUP(BW$4,$DE$6:$DF$17,2)+1))*(VLOOKUP($A57,SatSunCurve,6))*(INDEX(DailyScalarsTable,BW$5/100,MONTH($A57)))*$D57</f>
        <v>-5510.5104599636161</v>
      </c>
      <c r="BX57" s="1021">
        <f>(VLOOKUP(YEAR($A57),'NY East Load Projections'!$A$4:$EO$14,((MONTH($A57)-1)*12)+VLOOKUP(BX$4,$DE$6:$DF$17,2)+1))*(VLOOKUP($A57,SatSunCurve,6))*(INDEX(DailyScalarsTable,BX$5/100,MONTH($A57)))*$D57</f>
        <v>-5480.9701328554165</v>
      </c>
      <c r="BY57" s="1021">
        <f>(VLOOKUP(YEAR($A57),'NY East Load Projections'!$A$4:$EO$14,((MONTH($A57)-1)*12)+VLOOKUP(BY$4,$DE$6:$DF$17,2)+1))*(VLOOKUP($A57,SatSunCurve,6))*(INDEX(DailyScalarsTable,BY$5/100,MONTH($A57)))*$D57</f>
        <v>-6011.7664300898277</v>
      </c>
      <c r="BZ57" s="1021">
        <f>(VLOOKUP(YEAR($A57),'NY East Load Projections'!$A$4:$EO$14,((MONTH($A57)-1)*12)+VLOOKUP(BZ$4,$DE$6:$DF$17,2)+1))*(VLOOKUP($A57,SatSunCurve,6))*(INDEX(DailyScalarsTable,BZ$5/100,MONTH($A57)))*$D57</f>
        <v>-7120.2289524146281</v>
      </c>
      <c r="CA57" s="1021">
        <f>(VLOOKUP(YEAR($A57),'NY East Load Projections'!$A$4:$EO$14,((MONTH($A57)-1)*12)+VLOOKUP(CA$4,$DE$6:$DF$17,2)+1))*(VLOOKUP($A57,SatSunCurve,6))*(INDEX(DailyScalarsTable,CA$5/100,MONTH($A57)))*$D57</f>
        <v>-6066.9723682993035</v>
      </c>
      <c r="CB57" s="1021">
        <f>(VLOOKUP(YEAR($A57),'NY East Load Projections'!$A$4:$EO$14,((MONTH($A57)-1)*12)+VLOOKUP(CB$4,$DE$6:$DF$17,2)+1))*(VLOOKUP($A57,SatSunCurve,6))*(INDEX(DailyScalarsTable,CB$5/100,MONTH($A57)))*$D57</f>
        <v>-5359.8042423069001</v>
      </c>
      <c r="CC57" s="1021">
        <f>(VLOOKUP(YEAR($A57),'NY East Load Projections'!$A$4:$EO$14,((MONTH($A57)-1)*12)+VLOOKUP(CC$4,$DE$6:$DF$17,2)+1))*(VLOOKUP($A57,CURVES!$D$9:$T$261,6))*(INDEX(DailyScalarsTable,CC$5/100,MONTH($A57)))*$D57</f>
        <v>-7236.2666040864551</v>
      </c>
      <c r="CE57" s="1021">
        <f>(VLOOKUP(YEAR($A57),'NY East Load Projections'!$A$4:$EO$14,((MONTH($A57)-1)*12)+VLOOKUP(CE$4,$DE$6:$DF$17,2)+1))*(VLOOKUP($A57,CURVES!$D$9:$T$261,6))*(INDEX(DailyScalarsTable,CE$5/100,MONTH($A57)))*$E57</f>
        <v>0</v>
      </c>
      <c r="CF57" s="1021">
        <f>(VLOOKUP(YEAR($A57),'NY East Load Projections'!$A$4:$EO$14,((MONTH($A57)-1)*12)+VLOOKUP(CF$4,$DE$6:$DF$17,2)+1))*(VLOOKUP($A57,CURVES!$D$9:$T$261,6))*(INDEX(DailyScalarsTable,CF$5/100,MONTH($A57)))*$E57</f>
        <v>0</v>
      </c>
      <c r="CG57" s="1021">
        <f>(VLOOKUP(YEAR($A57),'NY East Load Projections'!$A$4:$EO$14,((MONTH($A57)-1)*12)+VLOOKUP(CG$4,$DE$6:$DF$17,2)+1))*(VLOOKUP($A57,CURVES!$D$9:$T$261,6))*(INDEX(DailyScalarsTable,CG$5/100,MONTH($A57)))*$E57</f>
        <v>0</v>
      </c>
      <c r="CH57" s="1021">
        <f>(VLOOKUP(YEAR($A57),'NY East Load Projections'!$A$4:$EO$14,((MONTH($A57)-1)*12)+VLOOKUP(CH$4,$DE$6:$DF$17,2)+1))*(VLOOKUP($A57,CURVES!$D$9:$T$261,6))*(INDEX(DailyScalarsTable,CH$5/100,MONTH($A57)))*$E57</f>
        <v>0</v>
      </c>
      <c r="CI57" s="1021">
        <f>(VLOOKUP(YEAR($A57),'NY East Load Projections'!$A$4:$EO$14,((MONTH($A57)-1)*12)+VLOOKUP(CI$4,$DE$6:$DF$17,2)+1))*(VLOOKUP($A57,CURVES!$D$9:$T$261,6))*(INDEX(DailyScalarsTable,CI$5/100,MONTH($A57)))*$E57</f>
        <v>0</v>
      </c>
      <c r="CJ57" s="1021">
        <f>(VLOOKUP(YEAR($A57),'NY East Load Projections'!$A$4:$EO$14,((MONTH($A57)-1)*12)+VLOOKUP(CJ$4,$DE$6:$DF$17,2)+1))*(VLOOKUP($A57,CURVES!$D$9:$T$261,6))*(INDEX(DailyScalarsTable,CJ$5/100,MONTH($A57)))*$E57</f>
        <v>0</v>
      </c>
      <c r="CK57" s="1021">
        <f>(VLOOKUP(YEAR($A57),'NY East Load Projections'!$A$4:$EO$14,((MONTH($A57)-1)*12)+VLOOKUP(CK$4,$DE$6:$DF$17,2)+1))*(VLOOKUP($A57,CURVES!$D$9:$T$261,6))*(INDEX(DailyScalarsTable,CK$5/100,MONTH($A57)))*$E57</f>
        <v>0</v>
      </c>
      <c r="CL57" s="1021">
        <f>(VLOOKUP(YEAR($A57),'NY East Load Projections'!$A$4:$EO$14,((MONTH($A57)-1)*12)+VLOOKUP(CL$4,$DE$6:$DF$17,2)+1))*(VLOOKUP($A57,SatSunCurve,6))*(INDEX(DailyScalarsTable,CL$5/100,MONTH($A57)))*$E57</f>
        <v>0</v>
      </c>
      <c r="CM57" s="1021">
        <f>(VLOOKUP(YEAR($A57),'NY East Load Projections'!$A$4:$EO$14,((MONTH($A57)-1)*12)+VLOOKUP(CM$4,$DE$6:$DF$17,2)+1))*(VLOOKUP($A57,SatSunCurve,6))*(INDEX(DailyScalarsTable,CM$5/100,MONTH($A57)))*$E57</f>
        <v>0</v>
      </c>
      <c r="CN57" s="1021">
        <f>(VLOOKUP(YEAR($A57),'NY East Load Projections'!$A$4:$EO$14,((MONTH($A57)-1)*12)+VLOOKUP(CN$4,$DE$6:$DF$17,2)+1))*(VLOOKUP($A57,SatSunCurve,6))*(INDEX(DailyScalarsTable,CN$5/100,MONTH($A57)))*$E57</f>
        <v>0</v>
      </c>
      <c r="CO57" s="1021">
        <f>(VLOOKUP(YEAR($A57),'NY East Load Projections'!$A$4:$EO$14,((MONTH($A57)-1)*12)+VLOOKUP(CO$4,$DE$6:$DF$17,2)+1))*(VLOOKUP($A57,SatSunCurve,6))*(INDEX(DailyScalarsTable,CO$5/100,MONTH($A57)))*$E57</f>
        <v>0</v>
      </c>
      <c r="CP57" s="1021">
        <f>(VLOOKUP(YEAR($A57),'NY East Load Projections'!$A$4:$EO$14,((MONTH($A57)-1)*12)+VLOOKUP(CP$4,$DE$6:$DF$17,2)+1))*(VLOOKUP($A57,SatSunCurve,6))*(INDEX(DailyScalarsTable,CP$5/100,MONTH($A57)))*$E57</f>
        <v>0</v>
      </c>
      <c r="CQ57" s="1021">
        <f>(VLOOKUP(YEAR($A57),'NY East Load Projections'!$A$4:$EO$14,((MONTH($A57)-1)*12)+VLOOKUP(CQ$4,$DE$6:$DF$17,2)+1))*(VLOOKUP($A57,SatSunCurve,6))*(INDEX(DailyScalarsTable,CQ$5/100,MONTH($A57)))*$E57</f>
        <v>0</v>
      </c>
      <c r="CR57" s="1021">
        <f>(VLOOKUP(YEAR($A57),'NY East Load Projections'!$A$4:$EO$14,((MONTH($A57)-1)*12)+VLOOKUP(CR$4,$DE$6:$DF$17,2)+1))*(VLOOKUP($A57,SatSunCurve,6))*(INDEX(DailyScalarsTable,CR$5/100,MONTH($A57)))*$E57</f>
        <v>0</v>
      </c>
      <c r="CS57" s="1021">
        <f>(VLOOKUP(YEAR($A57),'NY East Load Projections'!$A$4:$EO$14,((MONTH($A57)-1)*12)+VLOOKUP(CS$4,$DE$6:$DF$17,2)+1))*(VLOOKUP($A57,SatSunCurve,6))*(INDEX(DailyScalarsTable,CS$5/100,MONTH($A57)))*$E57</f>
        <v>0</v>
      </c>
      <c r="CT57" s="1021">
        <f>(VLOOKUP(YEAR($A57),'NY East Load Projections'!$A$4:$EO$14,((MONTH($A57)-1)*12)+VLOOKUP(CT$4,$DE$6:$DF$17,2)+1))*(VLOOKUP($A57,SatSunCurve,6))*(INDEX(DailyScalarsTable,CT$5/100,MONTH($A57)))*$E57</f>
        <v>0</v>
      </c>
      <c r="CU57" s="1021">
        <f>(VLOOKUP(YEAR($A57),'NY East Load Projections'!$A$4:$EO$14,((MONTH($A57)-1)*12)+VLOOKUP(CU$4,$DE$6:$DF$17,2)+1))*(VLOOKUP($A57,SatSunCurve,6))*(INDEX(DailyScalarsTable,CU$5/100,MONTH($A57)))*$E57</f>
        <v>0</v>
      </c>
      <c r="CV57" s="1021">
        <f>(VLOOKUP(YEAR($A57),'NY East Load Projections'!$A$4:$EO$14,((MONTH($A57)-1)*12)+VLOOKUP(CV$4,$DE$6:$DF$17,2)+1))*(VLOOKUP($A57,SatSunCurve,6))*(INDEX(DailyScalarsTable,CV$5/100,MONTH($A57)))*$E57</f>
        <v>0</v>
      </c>
      <c r="CW57" s="1021">
        <f>(VLOOKUP(YEAR($A57),'NY East Load Projections'!$A$4:$EO$14,((MONTH($A57)-1)*12)+VLOOKUP(CW$4,$DE$6:$DF$17,2)+1))*(VLOOKUP($A57,SatSunCurve,6))*(INDEX(DailyScalarsTable,CW$5/100,MONTH($A57)))*$E57</f>
        <v>0</v>
      </c>
      <c r="CX57" s="1021">
        <f>(VLOOKUP(YEAR($A57),'NY East Load Projections'!$A$4:$EO$14,((MONTH($A57)-1)*12)+VLOOKUP(CX$4,$DE$6:$DF$17,2)+1))*(VLOOKUP($A57,SatSunCurve,6))*(INDEX(DailyScalarsTable,CX$5/100,MONTH($A57)))*$E57</f>
        <v>0</v>
      </c>
      <c r="CY57" s="1021">
        <f>(VLOOKUP(YEAR($A57),'NY East Load Projections'!$A$4:$EO$14,((MONTH($A57)-1)*12)+VLOOKUP(CY$4,$DE$6:$DF$17,2)+1))*(VLOOKUP($A57,SatSunCurve,6))*(INDEX(DailyScalarsTable,CY$5/100,MONTH($A57)))*$E57</f>
        <v>0</v>
      </c>
      <c r="CZ57" s="1021">
        <f>(VLOOKUP(YEAR($A57),'NY East Load Projections'!$A$4:$EO$14,((MONTH($A57)-1)*12)+VLOOKUP(CZ$4,$DE$6:$DF$17,2)+1))*(VLOOKUP($A57,SatSunCurve,6))*(INDEX(DailyScalarsTable,CZ$5/100,MONTH($A57)))*$E57</f>
        <v>0</v>
      </c>
      <c r="DA57" s="1021">
        <f>(VLOOKUP(YEAR($A57),'NY East Load Projections'!$A$4:$EO$14,((MONTH($A57)-1)*12)+VLOOKUP(DA$4,$DE$6:$DF$17,2)+1))*(VLOOKUP($A57,SatSunCurve,6))*(INDEX(DailyScalarsTable,DA$5/100,MONTH($A57)))*$E57</f>
        <v>0</v>
      </c>
      <c r="DB57" s="1021">
        <f>(VLOOKUP(YEAR($A57),'NY East Load Projections'!$A$4:$EO$14,((MONTH($A57)-1)*12)+VLOOKUP(DB$4,$DE$6:$DF$17,2)+1))*(VLOOKUP($A57,CURVES!$D$9:$T$261,6))*(INDEX(DailyScalarsTable,DB$5/100,MONTH($A57)))*$E57</f>
        <v>0</v>
      </c>
      <c r="DH57" s="1021">
        <f t="shared" si="0"/>
        <v>-1741010.9340919098</v>
      </c>
      <c r="DI57">
        <f ca="1">CALC!J77</f>
        <v>0.68765592276002041</v>
      </c>
      <c r="DJ57" s="1029">
        <f t="shared" ca="1" si="1"/>
        <v>-1197216.4804182574</v>
      </c>
    </row>
    <row r="58" spans="1:114" x14ac:dyDescent="0.25">
      <c r="A58" s="244">
        <v>38473</v>
      </c>
      <c r="B58" s="13">
        <v>21</v>
      </c>
      <c r="C58" s="210">
        <v>4</v>
      </c>
      <c r="D58" s="210">
        <v>5</v>
      </c>
      <c r="E58" s="210">
        <v>1</v>
      </c>
      <c r="F58" s="13">
        <v>31</v>
      </c>
      <c r="H58" s="1021">
        <f>(VLOOKUP(YEAR($A58),'NY East Load Projections'!$A$4:$EO$14,((MONTH($A58)-1)*12)+VLOOKUP(H$4,$DE$6:$DF$17,2)+1))*(VLOOKUP($A58,CURVES!$D$9:$K$261,6))*(INDEX(DailyScalarsTable,H$5/100,MONTH($A58)))*$B58</f>
        <v>-35808.997077341053</v>
      </c>
      <c r="I58" s="1021">
        <f>(VLOOKUP(YEAR($A58),'NY East Load Projections'!$A$4:$EO$14,((MONTH($A58)-1)*12)+VLOOKUP(I$4,$DE$6:$DF$17,2)+1))*(VLOOKUP($A58,CURVES!$D$9:$K$261,6))*(INDEX(DailyScalarsTable,I$5/100,MONTH($A58)))*$B58</f>
        <v>-32255.360717342381</v>
      </c>
      <c r="J58" s="1021">
        <f>(VLOOKUP(YEAR($A58),'NY East Load Projections'!$A$4:$EO$14,((MONTH($A58)-1)*12)+VLOOKUP(J$4,$DE$6:$DF$17,2)+1))*(VLOOKUP($A58,CURVES!$D$9:$K$261,6))*(INDEX(DailyScalarsTable,J$5/100,MONTH($A58)))*$B58</f>
        <v>-30525.548309300713</v>
      </c>
      <c r="K58" s="1021">
        <f>(VLOOKUP(YEAR($A58),'NY East Load Projections'!$A$4:$EO$14,((MONTH($A58)-1)*12)+VLOOKUP(K$4,$DE$6:$DF$17,2)+1))*(VLOOKUP($A58,CURVES!$D$9:$K$261,6))*(INDEX(DailyScalarsTable,K$5/100,MONTH($A58)))*$B58</f>
        <v>-29594.834024539145</v>
      </c>
      <c r="L58" s="1021">
        <f>(VLOOKUP(YEAR($A58),'NY East Load Projections'!$A$4:$EO$14,((MONTH($A58)-1)*12)+VLOOKUP(L$4,$DE$6:$DF$17,2)+1))*(VLOOKUP($A58,CURVES!$D$9:$K$261,6))*(INDEX(DailyScalarsTable,L$5/100,MONTH($A58)))*$B58</f>
        <v>-35235.012041153474</v>
      </c>
      <c r="M58" s="1021">
        <f>(VLOOKUP(YEAR($A58),'NY East Load Projections'!$A$4:$EO$14,((MONTH($A58)-1)*12)+VLOOKUP(M$4,$DE$6:$DF$17,2)+1))*(VLOOKUP($A58,CURVES!$D$9:$K$261,6))*(INDEX(DailyScalarsTable,M$5/100,MONTH($A58)))*$B58</f>
        <v>-42720.384317501797</v>
      </c>
      <c r="N58" s="1021">
        <f>(VLOOKUP(YEAR($A58),'NY East Load Projections'!$A$4:$EO$14,((MONTH($A58)-1)*12)+VLOOKUP(N$4,$DE$6:$DF$17,2)+1))*(VLOOKUP($A58,CURVES!$D$9:$K$261,6))*(INDEX(DailyScalarsTable,N$5/100,MONTH($A58)))*$B58</f>
        <v>-51115.580848433914</v>
      </c>
      <c r="O58" s="1021">
        <f>(VLOOKUP(YEAR($A58),'NY East Load Projections'!$A$4:$EO$14,((MONTH($A58)-1)*12)+VLOOKUP(O$4,$DE$6:$DF$17,2)+1))*(VLOOKUP($A58,CURVES!$D$9:$K$261,2))*(INDEX(DailyScalarsTable,O$5/100,MONTH($A58)))*$B58</f>
        <v>-64524.878212317097</v>
      </c>
      <c r="P58" s="1021">
        <f>(VLOOKUP(YEAR($A58),'NY East Load Projections'!$A$4:$EO$14,((MONTH($A58)-1)*12)+VLOOKUP(P$4,$DE$6:$DF$17,2)+1))*(VLOOKUP($A58,CURVES!$D$9:$K$261,2))*(INDEX(DailyScalarsTable,P$5/100,MONTH($A58)))*$B58</f>
        <v>-79634.744133201792</v>
      </c>
      <c r="Q58" s="1021">
        <f>(VLOOKUP(YEAR($A58),'NY East Load Projections'!$A$4:$EO$14,((MONTH($A58)-1)*12)+VLOOKUP(Q$4,$DE$6:$DF$17,2)+1))*(VLOOKUP($A58,CURVES!$D$9:$K$261,2))*(INDEX(DailyScalarsTable,Q$5/100,MONTH($A58)))*$B58</f>
        <v>-81047.195253442245</v>
      </c>
      <c r="R58" s="1021">
        <f>(VLOOKUP(YEAR($A58),'NY East Load Projections'!$A$4:$EO$14,((MONTH($A58)-1)*12)+VLOOKUP(R$4,$DE$6:$DF$17,2)+1))*(VLOOKUP($A58,CURVES!$D$9:$K$261,2))*(INDEX(DailyScalarsTable,R$5/100,MONTH($A58)))*$B58</f>
        <v>-85972.024823130152</v>
      </c>
      <c r="S58" s="1021">
        <f>(VLOOKUP(YEAR($A58),'NY East Load Projections'!$A$4:$EO$14,((MONTH($A58)-1)*12)+VLOOKUP(S$4,$DE$6:$DF$17,2)+1))*(VLOOKUP($A58,CURVES!$D$9:$K$261,2))*(INDEX(DailyScalarsTable,S$5/100,MONTH($A58)))*$B58</f>
        <v>-85322.047316470809</v>
      </c>
      <c r="T58" s="1021">
        <f>(VLOOKUP(YEAR($A58),'NY East Load Projections'!$A$4:$EO$14,((MONTH($A58)-1)*12)+VLOOKUP(T$4,$DE$6:$DF$17,2)+1))*(VLOOKUP($A58,CURVES!$D$9:$K$261,2))*(INDEX(DailyScalarsTable,T$5/100,MONTH($A58)))*$B58</f>
        <v>-83291.25574547147</v>
      </c>
      <c r="U58" s="1021">
        <f>(VLOOKUP(YEAR($A58),'NY East Load Projections'!$A$4:$EO$14,((MONTH($A58)-1)*12)+VLOOKUP(U$4,$DE$6:$DF$17,2)+1))*(VLOOKUP($A58,CURVES!$D$9:$K$261,2))*(INDEX(DailyScalarsTable,U$5/100,MONTH($A58)))*$B58</f>
        <v>-83692.69059125967</v>
      </c>
      <c r="V58" s="1021">
        <f>(VLOOKUP(YEAR($A58),'NY East Load Projections'!$A$4:$EO$14,((MONTH($A58)-1)*12)+VLOOKUP(V$4,$DE$6:$DF$17,2)+1))*(VLOOKUP($A58,CURVES!$D$9:$K$261,2))*(INDEX(DailyScalarsTable,V$5/100,MONTH($A58)))*$B58</f>
        <v>-81180.485427294887</v>
      </c>
      <c r="W58" s="1021">
        <f>(VLOOKUP(YEAR($A58),'NY East Load Projections'!$A$4:$EO$14,((MONTH($A58)-1)*12)+VLOOKUP(W$4,$DE$6:$DF$17,2)+1))*(VLOOKUP($A58,CURVES!$D$9:$K$261,2))*(INDEX(DailyScalarsTable,W$5/100,MONTH($A58)))*$B58</f>
        <v>-78020.80470560721</v>
      </c>
      <c r="X58" s="1021">
        <f>(VLOOKUP(YEAR($A58),'NY East Load Projections'!$A$4:$EO$14,((MONTH($A58)-1)*12)+VLOOKUP(X$4,$DE$6:$DF$17,2)+1))*(VLOOKUP($A58,CURVES!$D$9:$K$261,2))*(INDEX(DailyScalarsTable,X$5/100,MONTH($A58)))*$B58</f>
        <v>-74277.206826529422</v>
      </c>
      <c r="Y58" s="1021">
        <f>(VLOOKUP(YEAR($A58),'NY East Load Projections'!$A$4:$EO$14,((MONTH($A58)-1)*12)+VLOOKUP(Y$4,$DE$6:$DF$17,2)+1))*(VLOOKUP($A58,CURVES!$D$9:$K$261,2))*(INDEX(DailyScalarsTable,Y$5/100,MONTH($A58)))*$B58</f>
        <v>-71382.499896004767</v>
      </c>
      <c r="Z58" s="1021">
        <f>(VLOOKUP(YEAR($A58),'NY East Load Projections'!$A$4:$EO$14,((MONTH($A58)-1)*12)+VLOOKUP(Z$4,$DE$6:$DF$17,2)+1))*(VLOOKUP($A58,CURVES!$D$9:$K$261,2))*(INDEX(DailyScalarsTable,Z$5/100,MONTH($A58)))*$B58</f>
        <v>-61846.994713100066</v>
      </c>
      <c r="AA58" s="1021">
        <f>(VLOOKUP(YEAR($A58),'NY East Load Projections'!$A$4:$EO$14,((MONTH($A58)-1)*12)+VLOOKUP(AA$4,$DE$6:$DF$17,2)+1))*(VLOOKUP($A58,CURVES!$D$9:$K$261,2))*(INDEX(DailyScalarsTable,AA$5/100,MONTH($A58)))*$B58</f>
        <v>-61688.880468995798</v>
      </c>
      <c r="AB58" s="1021">
        <f>(VLOOKUP(YEAR($A58),'NY East Load Projections'!$A$4:$EO$14,((MONTH($A58)-1)*12)+VLOOKUP(AB$4,$DE$6:$DF$17,2)+1))*(VLOOKUP($A58,CURVES!$D$9:$K$261,2))*(INDEX(DailyScalarsTable,AB$5/100,MONTH($A58)))*$B58</f>
        <v>-70994.224732535833</v>
      </c>
      <c r="AC58" s="1021">
        <f>(VLOOKUP(YEAR($A58),'NY East Load Projections'!$A$4:$EO$14,((MONTH($A58)-1)*12)+VLOOKUP(AC$4,$DE$6:$DF$17,2)+1))*(VLOOKUP($A58,CURVES!$D$9:$K$261,2))*(INDEX(DailyScalarsTable,AC$5/100,MONTH($A58)))*$B58</f>
        <v>-67715.267760535149</v>
      </c>
      <c r="AD58" s="1021">
        <f>(VLOOKUP(YEAR($A58),'NY East Load Projections'!$A$4:$EO$14,((MONTH($A58)-1)*12)+VLOOKUP(AD$4,$DE$6:$DF$17,2)+1))*(VLOOKUP($A58,CURVES!$D$9:$K$261,2))*(INDEX(DailyScalarsTable,AD$5/100,MONTH($A58)))*$B58</f>
        <v>-54321.743190864632</v>
      </c>
      <c r="AE58" s="1021">
        <f>(VLOOKUP(YEAR($A58),'NY East Load Projections'!$A$4:$EO$14,((MONTH($A58)-1)*12)+VLOOKUP(AE$4,$DE$6:$DF$17,2)+1))*(VLOOKUP($A58,CURVES!$D$9:$K$261,6))*(INDEX(DailyScalarsTable,AE$5/100,MONTH($A58)))*$B58</f>
        <v>-44943.647832906296</v>
      </c>
      <c r="AF58" s="1021"/>
      <c r="AG58" s="1021">
        <f>(VLOOKUP(YEAR($A58),'NY East Load Projections'!$A$4:$EO$14,((MONTH($A58)-1)*12)+VLOOKUP(AG$4,$DE$6:$DF$17,2)+1))*(VLOOKUP($A58,CURVES!$D$9:$T$261,6))*(INDEX(DailyScalarsTable,AG$5/100,MONTH($A58)))*$C58</f>
        <v>-7171.1300578608243</v>
      </c>
      <c r="AH58" s="1021">
        <f>(VLOOKUP(YEAR($A58),'NY East Load Projections'!$A$4:$EO$14,((MONTH($A58)-1)*12)+VLOOKUP(AH$4,$DE$6:$DF$17,2)+1))*(VLOOKUP($A58,CURVES!$D$9:$T$261,6))*(INDEX(DailyScalarsTable,AH$5/100,MONTH($A58)))*$C58</f>
        <v>-6459.4768255501403</v>
      </c>
      <c r="AI58" s="1021">
        <f>(VLOOKUP(YEAR($A58),'NY East Load Projections'!$A$4:$EO$14,((MONTH($A58)-1)*12)+VLOOKUP(AI$4,$DE$6:$DF$17,2)+1))*(VLOOKUP($A58,CURVES!$D$9:$T$261,6))*(INDEX(DailyScalarsTable,AI$5/100,MONTH($A58)))*$C58</f>
        <v>-6113.0636119385927</v>
      </c>
      <c r="AJ58" s="1021">
        <f>(VLOOKUP(YEAR($A58),'NY East Load Projections'!$A$4:$EO$14,((MONTH($A58)-1)*12)+VLOOKUP(AJ$4,$DE$6:$DF$17,2)+1))*(VLOOKUP($A58,CURVES!$D$9:$T$261,6))*(INDEX(DailyScalarsTable,AJ$5/100,MONTH($A58)))*$C58</f>
        <v>-5926.6782415715061</v>
      </c>
      <c r="AK58" s="1021">
        <f>(VLOOKUP(YEAR($A58),'NY East Load Projections'!$A$4:$EO$14,((MONTH($A58)-1)*12)+VLOOKUP(AK$4,$DE$6:$DF$17,2)+1))*(VLOOKUP($A58,CURVES!$D$9:$T$261,6))*(INDEX(DailyScalarsTable,AK$5/100,MONTH($A58)))*$C58</f>
        <v>-6513.0473969476006</v>
      </c>
      <c r="AL58" s="1021">
        <f>(VLOOKUP(YEAR($A58),'NY East Load Projections'!$A$4:$EO$14,((MONTH($A58)-1)*12)+VLOOKUP(AL$4,$DE$6:$DF$17,2)+1))*(VLOOKUP($A58,CURVES!$D$9:$T$261,6))*(INDEX(DailyScalarsTable,AL$5/100,MONTH($A58)))*$C58</f>
        <v>-7896.6877477075932</v>
      </c>
      <c r="AM58" s="1021">
        <f>(VLOOKUP(YEAR($A58),'NY East Load Projections'!$A$4:$EO$14,((MONTH($A58)-1)*12)+VLOOKUP(AM$4,$DE$6:$DF$17,2)+1))*(VLOOKUP($A58,CURVES!$D$9:$T$261,6))*(INDEX(DailyScalarsTable,AM$5/100,MONTH($A58)))*$C58</f>
        <v>-9448.5053786704648</v>
      </c>
      <c r="AN58" s="1021">
        <f>(VLOOKUP(YEAR($A58),'NY East Load Projections'!$A$4:$EO$14,((MONTH($A58)-1)*12)+VLOOKUP(AN$4,$DE$6:$DF$17,2)+1))*(VLOOKUP($A58,SatSunCurve,2))*(INDEX(DailyScalarsTable,AN$5/100,MONTH($A58)))*$C58</f>
        <v>-7731.5597202060444</v>
      </c>
      <c r="AO58" s="1021">
        <f>(VLOOKUP(YEAR($A58),'NY East Load Projections'!$A$4:$EO$14,((MONTH($A58)-1)*12)+VLOOKUP(AO$4,$DE$6:$DF$17,2)+1))*(VLOOKUP($A58,SatSunCurve,2))*(INDEX(DailyScalarsTable,AO$5/100,MONTH($A58)))*$C58</f>
        <v>-9425.3141228019394</v>
      </c>
      <c r="AP58" s="1021">
        <f>(VLOOKUP(YEAR($A58),'NY East Load Projections'!$A$4:$EO$14,((MONTH($A58)-1)*12)+VLOOKUP(AP$4,$DE$6:$DF$17,2)+1))*(VLOOKUP($A58,SatSunCurve,2))*(INDEX(DailyScalarsTable,AP$5/100,MONTH($A58)))*$C58</f>
        <v>-9592.4873288726722</v>
      </c>
      <c r="AQ58" s="1021">
        <f>(VLOOKUP(YEAR($A58),'NY East Load Projections'!$A$4:$EO$14,((MONTH($A58)-1)*12)+VLOOKUP(AQ$4,$DE$6:$DF$17,2)+1))*(VLOOKUP($A58,SatSunCurve,2))*(INDEX(DailyScalarsTable,AQ$5/100,MONTH($A58)))*$C58</f>
        <v>-10175.374436765305</v>
      </c>
      <c r="AR58" s="1021">
        <f>(VLOOKUP(YEAR($A58),'NY East Load Projections'!$A$4:$EO$14,((MONTH($A58)-1)*12)+VLOOKUP(AR$4,$DE$6:$DF$17,2)+1))*(VLOOKUP($A58,SatSunCurve,2))*(INDEX(DailyScalarsTable,AR$5/100,MONTH($A58)))*$C58</f>
        <v>-10098.4451737947</v>
      </c>
      <c r="AS58" s="1021">
        <f>(VLOOKUP(YEAR($A58),'NY East Load Projections'!$A$4:$EO$14,((MONTH($A58)-1)*12)+VLOOKUP(AS$4,$DE$6:$DF$17,2)+1))*(VLOOKUP($A58,SatSunCurve,2))*(INDEX(DailyScalarsTable,AS$5/100,MONTH($A58)))*$C58</f>
        <v>-9656.2492946760976</v>
      </c>
      <c r="AT58" s="1021">
        <f>(VLOOKUP(YEAR($A58),'NY East Load Projections'!$A$4:$EO$14,((MONTH($A58)-1)*12)+VLOOKUP(AT$4,$DE$6:$DF$17,2)+1))*(VLOOKUP($A58,SatSunCurve,2))*(INDEX(DailyScalarsTable,AT$5/100,MONTH($A58)))*$C58</f>
        <v>-9702.7890534035487</v>
      </c>
      <c r="AU58" s="1021">
        <f>(VLOOKUP(YEAR($A58),'NY East Load Projections'!$A$4:$EO$14,((MONTH($A58)-1)*12)+VLOOKUP(AU$4,$DE$6:$DF$17,2)+1))*(VLOOKUP($A58,SatSunCurve,2))*(INDEX(DailyScalarsTable,AU$5/100,MONTH($A58)))*$C58</f>
        <v>-9411.5402407220863</v>
      </c>
      <c r="AV58" s="1021">
        <f>(VLOOKUP(YEAR($A58),'NY East Load Projections'!$A$4:$EO$14,((MONTH($A58)-1)*12)+VLOOKUP(AV$4,$DE$6:$DF$17,2)+1))*(VLOOKUP($A58,SatSunCurve,2))*(INDEX(DailyScalarsTable,AV$5/100,MONTH($A58)))*$C58</f>
        <v>-9045.227301060866</v>
      </c>
      <c r="AW58" s="1021">
        <f>(VLOOKUP(YEAR($A58),'NY East Load Projections'!$A$4:$EO$14,((MONTH($A58)-1)*12)+VLOOKUP(AW$4,$DE$6:$DF$17,2)+1))*(VLOOKUP($A58,SatSunCurve,2))*(INDEX(DailyScalarsTable,AW$5/100,MONTH($A58)))*$C58</f>
        <v>-8537.8177598008388</v>
      </c>
      <c r="AX58" s="1021">
        <f>(VLOOKUP(YEAR($A58),'NY East Load Projections'!$A$4:$EO$14,((MONTH($A58)-1)*12)+VLOOKUP(AX$4,$DE$6:$DF$17,2)+1))*(VLOOKUP($A58,SatSunCurve,2))*(INDEX(DailyScalarsTable,AX$5/100,MONTH($A58)))*$C58</f>
        <v>-8205.0847277339308</v>
      </c>
      <c r="AY58" s="1021">
        <f>(VLOOKUP(YEAR($A58),'NY East Load Projections'!$A$4:$EO$14,((MONTH($A58)-1)*12)+VLOOKUP(AY$4,$DE$6:$DF$17,2)+1))*(VLOOKUP($A58,SatSunCurve,2))*(INDEX(DailyScalarsTable,AY$5/100,MONTH($A58)))*$C58</f>
        <v>-7109.0229750429444</v>
      </c>
      <c r="AZ58" s="1021">
        <f>(VLOOKUP(YEAR($A58),'NY East Load Projections'!$A$4:$EO$14,((MONTH($A58)-1)*12)+VLOOKUP(AZ$4,$DE$6:$DF$17,2)+1))*(VLOOKUP($A58,SatSunCurve,2))*(INDEX(DailyScalarsTable,AZ$5/100,MONTH($A58)))*$C58</f>
        <v>-7090.8484816947548</v>
      </c>
      <c r="BA58" s="1021">
        <f>(VLOOKUP(YEAR($A58),'NY East Load Projections'!$A$4:$EO$14,((MONTH($A58)-1)*12)+VLOOKUP(BA$4,$DE$6:$DF$17,2)+1))*(VLOOKUP($A58,SatSunCurve,2))*(INDEX(DailyScalarsTable,BA$5/100,MONTH($A58)))*$C58</f>
        <v>-8898.8845030614229</v>
      </c>
      <c r="BB58" s="1021">
        <f>(VLOOKUP(YEAR($A58),'NY East Load Projections'!$A$4:$EO$14,((MONTH($A58)-1)*12)+VLOOKUP(BB$4,$DE$6:$DF$17,2)+1))*(VLOOKUP($A58,SatSunCurve,2))*(INDEX(DailyScalarsTable,BB$5/100,MONTH($A58)))*$C58</f>
        <v>-8487.8784037023343</v>
      </c>
      <c r="BC58" s="1021">
        <f>(VLOOKUP(YEAR($A58),'NY East Load Projections'!$A$4:$EO$14,((MONTH($A58)-1)*12)+VLOOKUP(BC$4,$DE$6:$DF$17,2)+1))*(VLOOKUP($A58,SatSunCurve,2))*(INDEX(DailyScalarsTable,BC$5/100,MONTH($A58)))*$C58</f>
        <v>-6809.0456721183073</v>
      </c>
      <c r="BD58" s="1021">
        <f>(VLOOKUP(YEAR($A58),'NY East Load Projections'!$A$4:$EO$14,((MONTH($A58)-1)*12)+VLOOKUP(BD$4,$DE$6:$DF$17,2)+1))*(VLOOKUP($A58,CURVES!$D$9:$T$261,6))*(INDEX(DailyScalarsTable,BD$5/100,MONTH($A58)))*$C58</f>
        <v>-8690.6200089507565</v>
      </c>
      <c r="BE58" s="1021"/>
      <c r="BF58" s="1021">
        <f>(VLOOKUP(YEAR($A58),'NY East Load Projections'!$A$4:$EO$14,((MONTH($A58)-1)*12)+VLOOKUP(BF$4,$DE$6:$DF$17,2)+1))*(VLOOKUP($A58,CURVES!$D$9:$T$261,6))*(INDEX(DailyScalarsTable,BF$5/100,MONTH($A58)))*$D58</f>
        <v>-8963.9125723260295</v>
      </c>
      <c r="BG58" s="1021">
        <f>(VLOOKUP(YEAR($A58),'NY East Load Projections'!$A$4:$EO$14,((MONTH($A58)-1)*12)+VLOOKUP(BG$4,$DE$6:$DF$17,2)+1))*(VLOOKUP($A58,CURVES!$D$9:$T$261,6))*(INDEX(DailyScalarsTable,BG$5/100,MONTH($A58)))*$D58</f>
        <v>-8074.3460319376754</v>
      </c>
      <c r="BH58" s="1021">
        <f>(VLOOKUP(YEAR($A58),'NY East Load Projections'!$A$4:$EO$14,((MONTH($A58)-1)*12)+VLOOKUP(BH$4,$DE$6:$DF$17,2)+1))*(VLOOKUP($A58,CURVES!$D$9:$T$261,6))*(INDEX(DailyScalarsTable,BH$5/100,MONTH($A58)))*$D58</f>
        <v>-7641.3295149232408</v>
      </c>
      <c r="BI58" s="1021">
        <f>(VLOOKUP(YEAR($A58),'NY East Load Projections'!$A$4:$EO$14,((MONTH($A58)-1)*12)+VLOOKUP(BI$4,$DE$6:$DF$17,2)+1))*(VLOOKUP($A58,CURVES!$D$9:$T$261,6))*(INDEX(DailyScalarsTable,BI$5/100,MONTH($A58)))*$D58</f>
        <v>-7408.3478019643826</v>
      </c>
      <c r="BJ58" s="1021">
        <f>(VLOOKUP(YEAR($A58),'NY East Load Projections'!$A$4:$EO$14,((MONTH($A58)-1)*12)+VLOOKUP(BJ$4,$DE$6:$DF$17,2)+1))*(VLOOKUP($A58,CURVES!$D$9:$T$261,6))*(INDEX(DailyScalarsTable,BJ$5/100,MONTH($A58)))*$D58</f>
        <v>-8141.3092461845008</v>
      </c>
      <c r="BK58" s="1021">
        <f>(VLOOKUP(YEAR($A58),'NY East Load Projections'!$A$4:$EO$14,((MONTH($A58)-1)*12)+VLOOKUP(BK$4,$DE$6:$DF$17,2)+1))*(VLOOKUP($A58,CURVES!$D$9:$T$261,6))*(INDEX(DailyScalarsTable,BK$5/100,MONTH($A58)))*$D58</f>
        <v>-9870.8596846344917</v>
      </c>
      <c r="BL58" s="1021">
        <f>(VLOOKUP(YEAR($A58),'NY East Load Projections'!$A$4:$EO$14,((MONTH($A58)-1)*12)+VLOOKUP(BL$4,$DE$6:$DF$17,2)+1))*(VLOOKUP($A58,CURVES!$D$9:$T$261,6))*(INDEX(DailyScalarsTable,BL$5/100,MONTH($A58)))*$D58</f>
        <v>-11810.631723338081</v>
      </c>
      <c r="BM58" s="1021">
        <f>(VLOOKUP(YEAR($A58),'NY East Load Projections'!$A$4:$EO$14,((MONTH($A58)-1)*12)+VLOOKUP(BM$4,$DE$6:$DF$17,2)+1))*(VLOOKUP($A58,SatSunCurve,6))*(INDEX(DailyScalarsTable,BM$5/100,MONTH($A58)))*$D58</f>
        <v>-8263.9889988915602</v>
      </c>
      <c r="BN58" s="1021">
        <f>(VLOOKUP(YEAR($A58),'NY East Load Projections'!$A$4:$EO$14,((MONTH($A58)-1)*12)+VLOOKUP(BN$4,$DE$6:$DF$17,2)+1))*(VLOOKUP($A58,SatSunCurve,6))*(INDEX(DailyScalarsTable,BN$5/100,MONTH($A58)))*$D58</f>
        <v>-10074.382794763784</v>
      </c>
      <c r="BO58" s="1021">
        <f>(VLOOKUP(YEAR($A58),'NY East Load Projections'!$A$4:$EO$14,((MONTH($A58)-1)*12)+VLOOKUP(BO$4,$DE$6:$DF$17,2)+1))*(VLOOKUP($A58,SatSunCurve,6))*(INDEX(DailyScalarsTable,BO$5/100,MONTH($A58)))*$D58</f>
        <v>-10253.068284609699</v>
      </c>
      <c r="BP58" s="1021">
        <f>(VLOOKUP(YEAR($A58),'NY East Load Projections'!$A$4:$EO$14,((MONTH($A58)-1)*12)+VLOOKUP(BP$4,$DE$6:$DF$17,2)+1))*(VLOOKUP($A58,SatSunCurve,6))*(INDEX(DailyScalarsTable,BP$5/100,MONTH($A58)))*$D58</f>
        <v>-10876.095567789254</v>
      </c>
      <c r="BQ58" s="1021">
        <f>(VLOOKUP(YEAR($A58),'NY East Load Projections'!$A$4:$EO$14,((MONTH($A58)-1)*12)+VLOOKUP(BQ$4,$DE$6:$DF$17,2)+1))*(VLOOKUP($A58,SatSunCurve,6))*(INDEX(DailyScalarsTable,BQ$5/100,MONTH($A58)))*$D58</f>
        <v>-10793.868616709715</v>
      </c>
      <c r="BR58" s="1021">
        <f>(VLOOKUP(YEAR($A58),'NY East Load Projections'!$A$4:$EO$14,((MONTH($A58)-1)*12)+VLOOKUP(BR$4,$DE$6:$DF$17,2)+1))*(VLOOKUP($A58,SatSunCurve,6))*(INDEX(DailyScalarsTable,BR$5/100,MONTH($A58)))*$D58</f>
        <v>-10321.221180405115</v>
      </c>
      <c r="BS58" s="1021">
        <f>(VLOOKUP(YEAR($A58),'NY East Load Projections'!$A$4:$EO$14,((MONTH($A58)-1)*12)+VLOOKUP(BS$4,$DE$6:$DF$17,2)+1))*(VLOOKUP($A58,SatSunCurve,6))*(INDEX(DailyScalarsTable,BS$5/100,MONTH($A58)))*$D58</f>
        <v>-10370.965872039531</v>
      </c>
      <c r="BT58" s="1021">
        <f>(VLOOKUP(YEAR($A58),'NY East Load Projections'!$A$4:$EO$14,((MONTH($A58)-1)*12)+VLOOKUP(BT$4,$DE$6:$DF$17,2)+1))*(VLOOKUP($A58,SatSunCurve,6))*(INDEX(DailyScalarsTable,BT$5/100,MONTH($A58)))*$D58</f>
        <v>-10059.660382456415</v>
      </c>
      <c r="BU58" s="1021">
        <f>(VLOOKUP(YEAR($A58),'NY East Load Projections'!$A$4:$EO$14,((MONTH($A58)-1)*12)+VLOOKUP(BU$4,$DE$6:$DF$17,2)+1))*(VLOOKUP($A58,SatSunCurve,6))*(INDEX(DailyScalarsTable,BU$5/100,MONTH($A58)))*$D58</f>
        <v>-9668.1215192694053</v>
      </c>
      <c r="BV58" s="1021">
        <f>(VLOOKUP(YEAR($A58),'NY East Load Projections'!$A$4:$EO$14,((MONTH($A58)-1)*12)+VLOOKUP(BV$4,$DE$6:$DF$17,2)+1))*(VLOOKUP($A58,SatSunCurve,6))*(INDEX(DailyScalarsTable,BV$5/100,MONTH($A58)))*$D58</f>
        <v>-9125.7695206232966</v>
      </c>
      <c r="BW58" s="1021">
        <f>(VLOOKUP(YEAR($A58),'NY East Load Projections'!$A$4:$EO$14,((MONTH($A58)-1)*12)+VLOOKUP(BW$4,$DE$6:$DF$17,2)+1))*(VLOOKUP($A58,SatSunCurve,6))*(INDEX(DailyScalarsTable,BW$5/100,MONTH($A58)))*$D58</f>
        <v>-8770.1230254688271</v>
      </c>
      <c r="BX58" s="1021">
        <f>(VLOOKUP(YEAR($A58),'NY East Load Projections'!$A$4:$EO$14,((MONTH($A58)-1)*12)+VLOOKUP(BX$4,$DE$6:$DF$17,2)+1))*(VLOOKUP($A58,SatSunCurve,6))*(INDEX(DailyScalarsTable,BX$5/100,MONTH($A58)))*$D58</f>
        <v>-7598.5816296658686</v>
      </c>
      <c r="BY58" s="1021">
        <f>(VLOOKUP(YEAR($A58),'NY East Load Projections'!$A$4:$EO$14,((MONTH($A58)-1)*12)+VLOOKUP(BY$4,$DE$6:$DF$17,2)+1))*(VLOOKUP($A58,SatSunCurve,6))*(INDEX(DailyScalarsTable,BY$5/100,MONTH($A58)))*$D58</f>
        <v>-7579.1555606028123</v>
      </c>
      <c r="BZ58" s="1021">
        <f>(VLOOKUP(YEAR($A58),'NY East Load Projections'!$A$4:$EO$14,((MONTH($A58)-1)*12)+VLOOKUP(BZ$4,$DE$6:$DF$17,2)+1))*(VLOOKUP($A58,SatSunCurve,6))*(INDEX(DailyScalarsTable,BZ$5/100,MONTH($A58)))*$D58</f>
        <v>-9511.700911203252</v>
      </c>
      <c r="CA58" s="1021">
        <f>(VLOOKUP(YEAR($A58),'NY East Load Projections'!$A$4:$EO$14,((MONTH($A58)-1)*12)+VLOOKUP(CA$4,$DE$6:$DF$17,2)+1))*(VLOOKUP($A58,SatSunCurve,6))*(INDEX(DailyScalarsTable,CA$5/100,MONTH($A58)))*$D58</f>
        <v>-9072.3911203593507</v>
      </c>
      <c r="CB58" s="1021">
        <f>(VLOOKUP(YEAR($A58),'NY East Load Projections'!$A$4:$EO$14,((MONTH($A58)-1)*12)+VLOOKUP(CB$4,$DE$6:$DF$17,2)+1))*(VLOOKUP($A58,SatSunCurve,6))*(INDEX(DailyScalarsTable,CB$5/100,MONTH($A58)))*$D58</f>
        <v>-7277.9465675311758</v>
      </c>
      <c r="CC58" s="1021">
        <f>(VLOOKUP(YEAR($A58),'NY East Load Projections'!$A$4:$EO$14,((MONTH($A58)-1)*12)+VLOOKUP(CC$4,$DE$6:$DF$17,2)+1))*(VLOOKUP($A58,CURVES!$D$9:$T$261,6))*(INDEX(DailyScalarsTable,CC$5/100,MONTH($A58)))*$D58</f>
        <v>-10863.275011188445</v>
      </c>
      <c r="CE58" s="1021">
        <f>(VLOOKUP(YEAR($A58),'NY East Load Projections'!$A$4:$EO$14,((MONTH($A58)-1)*12)+VLOOKUP(CE$4,$DE$6:$DF$17,2)+1))*(VLOOKUP($A58,CURVES!$D$9:$T$261,6))*(INDEX(DailyScalarsTable,CE$5/100,MONTH($A58)))*$E58</f>
        <v>-1792.7825144652061</v>
      </c>
      <c r="CF58" s="1021">
        <f>(VLOOKUP(YEAR($A58),'NY East Load Projections'!$A$4:$EO$14,((MONTH($A58)-1)*12)+VLOOKUP(CF$4,$DE$6:$DF$17,2)+1))*(VLOOKUP($A58,CURVES!$D$9:$T$261,6))*(INDEX(DailyScalarsTable,CF$5/100,MONTH($A58)))*$E58</f>
        <v>-1614.8692063875351</v>
      </c>
      <c r="CG58" s="1021">
        <f>(VLOOKUP(YEAR($A58),'NY East Load Projections'!$A$4:$EO$14,((MONTH($A58)-1)*12)+VLOOKUP(CG$4,$DE$6:$DF$17,2)+1))*(VLOOKUP($A58,CURVES!$D$9:$T$261,6))*(INDEX(DailyScalarsTable,CG$5/100,MONTH($A58)))*$E58</f>
        <v>-1528.2659029846482</v>
      </c>
      <c r="CH58" s="1021">
        <f>(VLOOKUP(YEAR($A58),'NY East Load Projections'!$A$4:$EO$14,((MONTH($A58)-1)*12)+VLOOKUP(CH$4,$DE$6:$DF$17,2)+1))*(VLOOKUP($A58,CURVES!$D$9:$T$261,6))*(INDEX(DailyScalarsTable,CH$5/100,MONTH($A58)))*$E58</f>
        <v>-1481.6695603928765</v>
      </c>
      <c r="CI58" s="1021">
        <f>(VLOOKUP(YEAR($A58),'NY East Load Projections'!$A$4:$EO$14,((MONTH($A58)-1)*12)+VLOOKUP(CI$4,$DE$6:$DF$17,2)+1))*(VLOOKUP($A58,CURVES!$D$9:$T$261,6))*(INDEX(DailyScalarsTable,CI$5/100,MONTH($A58)))*$E58</f>
        <v>-1628.2618492369002</v>
      </c>
      <c r="CJ58" s="1021">
        <f>(VLOOKUP(YEAR($A58),'NY East Load Projections'!$A$4:$EO$14,((MONTH($A58)-1)*12)+VLOOKUP(CJ$4,$DE$6:$DF$17,2)+1))*(VLOOKUP($A58,CURVES!$D$9:$T$261,6))*(INDEX(DailyScalarsTable,CJ$5/100,MONTH($A58)))*$E58</f>
        <v>-1974.1719369268983</v>
      </c>
      <c r="CK58" s="1021">
        <f>(VLOOKUP(YEAR($A58),'NY East Load Projections'!$A$4:$EO$14,((MONTH($A58)-1)*12)+VLOOKUP(CK$4,$DE$6:$DF$17,2)+1))*(VLOOKUP($A58,CURVES!$D$9:$T$261,6))*(INDEX(DailyScalarsTable,CK$5/100,MONTH($A58)))*$E58</f>
        <v>-2362.1263446676162</v>
      </c>
      <c r="CL58" s="1021">
        <f>(VLOOKUP(YEAR($A58),'NY East Load Projections'!$A$4:$EO$14,((MONTH($A58)-1)*12)+VLOOKUP(CL$4,$DE$6:$DF$17,2)+1))*(VLOOKUP($A58,SatSunCurve,6))*(INDEX(DailyScalarsTable,CL$5/100,MONTH($A58)))*$E58</f>
        <v>-1652.7977997783119</v>
      </c>
      <c r="CM58" s="1021">
        <f>(VLOOKUP(YEAR($A58),'NY East Load Projections'!$A$4:$EO$14,((MONTH($A58)-1)*12)+VLOOKUP(CM$4,$DE$6:$DF$17,2)+1))*(VLOOKUP($A58,SatSunCurve,6))*(INDEX(DailyScalarsTable,CM$5/100,MONTH($A58)))*$E58</f>
        <v>-2014.8765589527568</v>
      </c>
      <c r="CN58" s="1021">
        <f>(VLOOKUP(YEAR($A58),'NY East Load Projections'!$A$4:$EO$14,((MONTH($A58)-1)*12)+VLOOKUP(CN$4,$DE$6:$DF$17,2)+1))*(VLOOKUP($A58,SatSunCurve,6))*(INDEX(DailyScalarsTable,CN$5/100,MONTH($A58)))*$E58</f>
        <v>-2050.6136569219398</v>
      </c>
      <c r="CO58" s="1021">
        <f>(VLOOKUP(YEAR($A58),'NY East Load Projections'!$A$4:$EO$14,((MONTH($A58)-1)*12)+VLOOKUP(CO$4,$DE$6:$DF$17,2)+1))*(VLOOKUP($A58,SatSunCurve,6))*(INDEX(DailyScalarsTable,CO$5/100,MONTH($A58)))*$E58</f>
        <v>-2175.219113557851</v>
      </c>
      <c r="CP58" s="1021">
        <f>(VLOOKUP(YEAR($A58),'NY East Load Projections'!$A$4:$EO$14,((MONTH($A58)-1)*12)+VLOOKUP(CP$4,$DE$6:$DF$17,2)+1))*(VLOOKUP($A58,SatSunCurve,6))*(INDEX(DailyScalarsTable,CP$5/100,MONTH($A58)))*$E58</f>
        <v>-2158.773723341943</v>
      </c>
      <c r="CQ58" s="1021">
        <f>(VLOOKUP(YEAR($A58),'NY East Load Projections'!$A$4:$EO$14,((MONTH($A58)-1)*12)+VLOOKUP(CQ$4,$DE$6:$DF$17,2)+1))*(VLOOKUP($A58,SatSunCurve,6))*(INDEX(DailyScalarsTable,CQ$5/100,MONTH($A58)))*$E58</f>
        <v>-2064.2442360810228</v>
      </c>
      <c r="CR58" s="1021">
        <f>(VLOOKUP(YEAR($A58),'NY East Load Projections'!$A$4:$EO$14,((MONTH($A58)-1)*12)+VLOOKUP(CR$4,$DE$6:$DF$17,2)+1))*(VLOOKUP($A58,SatSunCurve,6))*(INDEX(DailyScalarsTable,CR$5/100,MONTH($A58)))*$E58</f>
        <v>-2074.1931744079061</v>
      </c>
      <c r="CS58" s="1021">
        <f>(VLOOKUP(YEAR($A58),'NY East Load Projections'!$A$4:$EO$14,((MONTH($A58)-1)*12)+VLOOKUP(CS$4,$DE$6:$DF$17,2)+1))*(VLOOKUP($A58,SatSunCurve,6))*(INDEX(DailyScalarsTable,CS$5/100,MONTH($A58)))*$E58</f>
        <v>-2011.9320764912832</v>
      </c>
      <c r="CT58" s="1021">
        <f>(VLOOKUP(YEAR($A58),'NY East Load Projections'!$A$4:$EO$14,((MONTH($A58)-1)*12)+VLOOKUP(CT$4,$DE$6:$DF$17,2)+1))*(VLOOKUP($A58,SatSunCurve,6))*(INDEX(DailyScalarsTable,CT$5/100,MONTH($A58)))*$E58</f>
        <v>-1933.624303853881</v>
      </c>
      <c r="CU58" s="1021">
        <f>(VLOOKUP(YEAR($A58),'NY East Load Projections'!$A$4:$EO$14,((MONTH($A58)-1)*12)+VLOOKUP(CU$4,$DE$6:$DF$17,2)+1))*(VLOOKUP($A58,SatSunCurve,6))*(INDEX(DailyScalarsTable,CU$5/100,MONTH($A58)))*$E58</f>
        <v>-1825.1539041246594</v>
      </c>
      <c r="CV58" s="1021">
        <f>(VLOOKUP(YEAR($A58),'NY East Load Projections'!$A$4:$EO$14,((MONTH($A58)-1)*12)+VLOOKUP(CV$4,$DE$6:$DF$17,2)+1))*(VLOOKUP($A58,SatSunCurve,6))*(INDEX(DailyScalarsTable,CV$5/100,MONTH($A58)))*$E58</f>
        <v>-1754.0246050937653</v>
      </c>
      <c r="CW58" s="1021">
        <f>(VLOOKUP(YEAR($A58),'NY East Load Projections'!$A$4:$EO$14,((MONTH($A58)-1)*12)+VLOOKUP(CW$4,$DE$6:$DF$17,2)+1))*(VLOOKUP($A58,SatSunCurve,6))*(INDEX(DailyScalarsTable,CW$5/100,MONTH($A58)))*$E58</f>
        <v>-1519.7163259331737</v>
      </c>
      <c r="CX58" s="1021">
        <f>(VLOOKUP(YEAR($A58),'NY East Load Projections'!$A$4:$EO$14,((MONTH($A58)-1)*12)+VLOOKUP(CX$4,$DE$6:$DF$17,2)+1))*(VLOOKUP($A58,SatSunCurve,6))*(INDEX(DailyScalarsTable,CX$5/100,MONTH($A58)))*$E58</f>
        <v>-1515.8311121205625</v>
      </c>
      <c r="CY58" s="1021">
        <f>(VLOOKUP(YEAR($A58),'NY East Load Projections'!$A$4:$EO$14,((MONTH($A58)-1)*12)+VLOOKUP(CY$4,$DE$6:$DF$17,2)+1))*(VLOOKUP($A58,SatSunCurve,6))*(INDEX(DailyScalarsTable,CY$5/100,MONTH($A58)))*$E58</f>
        <v>-1902.3401822406504</v>
      </c>
      <c r="CZ58" s="1021">
        <f>(VLOOKUP(YEAR($A58),'NY East Load Projections'!$A$4:$EO$14,((MONTH($A58)-1)*12)+VLOOKUP(CZ$4,$DE$6:$DF$17,2)+1))*(VLOOKUP($A58,SatSunCurve,6))*(INDEX(DailyScalarsTable,CZ$5/100,MONTH($A58)))*$E58</f>
        <v>-1814.4782240718703</v>
      </c>
      <c r="DA58" s="1021">
        <f>(VLOOKUP(YEAR($A58),'NY East Load Projections'!$A$4:$EO$14,((MONTH($A58)-1)*12)+VLOOKUP(DA$4,$DE$6:$DF$17,2)+1))*(VLOOKUP($A58,SatSunCurve,6))*(INDEX(DailyScalarsTable,DA$5/100,MONTH($A58)))*$E58</f>
        <v>-1455.5893135062352</v>
      </c>
      <c r="DB58" s="1021">
        <f>(VLOOKUP(YEAR($A58),'NY East Load Projections'!$A$4:$EO$14,((MONTH($A58)-1)*12)+VLOOKUP(DB$4,$DE$6:$DF$17,2)+1))*(VLOOKUP($A58,CURVES!$D$9:$T$261,6))*(INDEX(DailyScalarsTable,DB$5/100,MONTH($A58)))*$E58</f>
        <v>-2172.6550022376891</v>
      </c>
      <c r="DH58" s="1021">
        <f t="shared" si="0"/>
        <v>-1952178.3511965976</v>
      </c>
      <c r="DI58">
        <f ca="1">CALC!J78</f>
        <v>0.68339425162413847</v>
      </c>
      <c r="DJ58" s="1029">
        <f t="shared" ca="1" si="1"/>
        <v>-1334107.4633528434</v>
      </c>
    </row>
    <row r="59" spans="1:114" x14ac:dyDescent="0.25">
      <c r="A59" s="244">
        <v>38504</v>
      </c>
      <c r="B59" s="13">
        <v>22</v>
      </c>
      <c r="C59" s="210">
        <v>4</v>
      </c>
      <c r="D59" s="210">
        <v>4</v>
      </c>
      <c r="E59" s="210">
        <v>0</v>
      </c>
      <c r="F59" s="13">
        <v>30</v>
      </c>
      <c r="H59" s="1021">
        <f>(VLOOKUP(YEAR($A59),'NY East Load Projections'!$A$4:$EO$14,((MONTH($A59)-1)*12)+VLOOKUP(H$4,$DE$6:$DF$17,2)+1))*(VLOOKUP($A59,CURVES!$D$9:$K$261,6))*(INDEX(DailyScalarsTable,H$5/100,MONTH($A59)))*$B59</f>
        <v>-41885.477414251473</v>
      </c>
      <c r="I59" s="1021">
        <f>(VLOOKUP(YEAR($A59),'NY East Load Projections'!$A$4:$EO$14,((MONTH($A59)-1)*12)+VLOOKUP(I$4,$DE$6:$DF$17,2)+1))*(VLOOKUP($A59,CURVES!$D$9:$K$261,6))*(INDEX(DailyScalarsTable,I$5/100,MONTH($A59)))*$B59</f>
        <v>-34702.659429212181</v>
      </c>
      <c r="J59" s="1021">
        <f>(VLOOKUP(YEAR($A59),'NY East Load Projections'!$A$4:$EO$14,((MONTH($A59)-1)*12)+VLOOKUP(J$4,$DE$6:$DF$17,2)+1))*(VLOOKUP($A59,CURVES!$D$9:$K$261,6))*(INDEX(DailyScalarsTable,J$5/100,MONTH($A59)))*$B59</f>
        <v>-29170.817518346106</v>
      </c>
      <c r="K59" s="1021">
        <f>(VLOOKUP(YEAR($A59),'NY East Load Projections'!$A$4:$EO$14,((MONTH($A59)-1)*12)+VLOOKUP(K$4,$DE$6:$DF$17,2)+1))*(VLOOKUP($A59,CURVES!$D$9:$K$261,6))*(INDEX(DailyScalarsTable,K$5/100,MONTH($A59)))*$B59</f>
        <v>-27080.295865983928</v>
      </c>
      <c r="L59" s="1021">
        <f>(VLOOKUP(YEAR($A59),'NY East Load Projections'!$A$4:$EO$14,((MONTH($A59)-1)*12)+VLOOKUP(L$4,$DE$6:$DF$17,2)+1))*(VLOOKUP($A59,CURVES!$D$9:$K$261,6))*(INDEX(DailyScalarsTable,L$5/100,MONTH($A59)))*$B59</f>
        <v>-32198.683205894315</v>
      </c>
      <c r="M59" s="1021">
        <f>(VLOOKUP(YEAR($A59),'NY East Load Projections'!$A$4:$EO$14,((MONTH($A59)-1)*12)+VLOOKUP(M$4,$DE$6:$DF$17,2)+1))*(VLOOKUP($A59,CURVES!$D$9:$K$261,6))*(INDEX(DailyScalarsTable,M$5/100,MONTH($A59)))*$B59</f>
        <v>-39284.743780038203</v>
      </c>
      <c r="N59" s="1021">
        <f>(VLOOKUP(YEAR($A59),'NY East Load Projections'!$A$4:$EO$14,((MONTH($A59)-1)*12)+VLOOKUP(N$4,$DE$6:$DF$17,2)+1))*(VLOOKUP($A59,CURVES!$D$9:$K$261,6))*(INDEX(DailyScalarsTable,N$5/100,MONTH($A59)))*$B59</f>
        <v>-45042.902455544849</v>
      </c>
      <c r="O59" s="1021">
        <f>(VLOOKUP(YEAR($A59),'NY East Load Projections'!$A$4:$EO$14,((MONTH($A59)-1)*12)+VLOOKUP(O$4,$DE$6:$DF$17,2)+1))*(VLOOKUP($A59,CURVES!$D$9:$K$261,2))*(INDEX(DailyScalarsTable,O$5/100,MONTH($A59)))*$B59</f>
        <v>-66044.489027575211</v>
      </c>
      <c r="P59" s="1021">
        <f>(VLOOKUP(YEAR($A59),'NY East Load Projections'!$A$4:$EO$14,((MONTH($A59)-1)*12)+VLOOKUP(P$4,$DE$6:$DF$17,2)+1))*(VLOOKUP($A59,CURVES!$D$9:$K$261,2))*(INDEX(DailyScalarsTable,P$5/100,MONTH($A59)))*$B59</f>
        <v>-87728.588180683524</v>
      </c>
      <c r="Q59" s="1021">
        <f>(VLOOKUP(YEAR($A59),'NY East Load Projections'!$A$4:$EO$14,((MONTH($A59)-1)*12)+VLOOKUP(Q$4,$DE$6:$DF$17,2)+1))*(VLOOKUP($A59,CURVES!$D$9:$K$261,2))*(INDEX(DailyScalarsTable,Q$5/100,MONTH($A59)))*$B59</f>
        <v>-98123.772336711889</v>
      </c>
      <c r="R59" s="1021">
        <f>(VLOOKUP(YEAR($A59),'NY East Load Projections'!$A$4:$EO$14,((MONTH($A59)-1)*12)+VLOOKUP(R$4,$DE$6:$DF$17,2)+1))*(VLOOKUP($A59,CURVES!$D$9:$K$261,2))*(INDEX(DailyScalarsTable,R$5/100,MONTH($A59)))*$B59</f>
        <v>-112870.78654622556</v>
      </c>
      <c r="S59" s="1021">
        <f>(VLOOKUP(YEAR($A59),'NY East Load Projections'!$A$4:$EO$14,((MONTH($A59)-1)*12)+VLOOKUP(S$4,$DE$6:$DF$17,2)+1))*(VLOOKUP($A59,CURVES!$D$9:$K$261,2))*(INDEX(DailyScalarsTable,S$5/100,MONTH($A59)))*$B59</f>
        <v>-121728.22156674683</v>
      </c>
      <c r="T59" s="1021">
        <f>(VLOOKUP(YEAR($A59),'NY East Load Projections'!$A$4:$EO$14,((MONTH($A59)-1)*12)+VLOOKUP(T$4,$DE$6:$DF$17,2)+1))*(VLOOKUP($A59,CURVES!$D$9:$K$261,2))*(INDEX(DailyScalarsTable,T$5/100,MONTH($A59)))*$B59</f>
        <v>-129729.61188372967</v>
      </c>
      <c r="U59" s="1021">
        <f>(VLOOKUP(YEAR($A59),'NY East Load Projections'!$A$4:$EO$14,((MONTH($A59)-1)*12)+VLOOKUP(U$4,$DE$6:$DF$17,2)+1))*(VLOOKUP($A59,CURVES!$D$9:$K$261,2))*(INDEX(DailyScalarsTable,U$5/100,MONTH($A59)))*$B59</f>
        <v>-143465.87397353377</v>
      </c>
      <c r="V59" s="1021">
        <f>(VLOOKUP(YEAR($A59),'NY East Load Projections'!$A$4:$EO$14,((MONTH($A59)-1)*12)+VLOOKUP(V$4,$DE$6:$DF$17,2)+1))*(VLOOKUP($A59,CURVES!$D$9:$K$261,2))*(INDEX(DailyScalarsTable,V$5/100,MONTH($A59)))*$B59</f>
        <v>-144569.82155824825</v>
      </c>
      <c r="W59" s="1021">
        <f>(VLOOKUP(YEAR($A59),'NY East Load Projections'!$A$4:$EO$14,((MONTH($A59)-1)*12)+VLOOKUP(W$4,$DE$6:$DF$17,2)+1))*(VLOOKUP($A59,CURVES!$D$9:$K$261,2))*(INDEX(DailyScalarsTable,W$5/100,MONTH($A59)))*$B59</f>
        <v>-144806.38175497274</v>
      </c>
      <c r="X59" s="1021">
        <f>(VLOOKUP(YEAR($A59),'NY East Load Projections'!$A$4:$EO$14,((MONTH($A59)-1)*12)+VLOOKUP(X$4,$DE$6:$DF$17,2)+1))*(VLOOKUP($A59,CURVES!$D$9:$K$261,2))*(INDEX(DailyScalarsTable,X$5/100,MONTH($A59)))*$B59</f>
        <v>-138836.10816988989</v>
      </c>
      <c r="Y59" s="1021">
        <f>(VLOOKUP(YEAR($A59),'NY East Load Projections'!$A$4:$EO$14,((MONTH($A59)-1)*12)+VLOOKUP(Y$4,$DE$6:$DF$17,2)+1))*(VLOOKUP($A59,CURVES!$D$9:$K$261,2))*(INDEX(DailyScalarsTable,Y$5/100,MONTH($A59)))*$B59</f>
        <v>-134714.62044477364</v>
      </c>
      <c r="Z59" s="1021">
        <f>(VLOOKUP(YEAR($A59),'NY East Load Projections'!$A$4:$EO$14,((MONTH($A59)-1)*12)+VLOOKUP(Z$4,$DE$6:$DF$17,2)+1))*(VLOOKUP($A59,CURVES!$D$9:$K$261,2))*(INDEX(DailyScalarsTable,Z$5/100,MONTH($A59)))*$B59</f>
        <v>-115029.68087679977</v>
      </c>
      <c r="AA59" s="1021">
        <f>(VLOOKUP(YEAR($A59),'NY East Load Projections'!$A$4:$EO$14,((MONTH($A59)-1)*12)+VLOOKUP(AA$4,$DE$6:$DF$17,2)+1))*(VLOOKUP($A59,CURVES!$D$9:$K$261,2))*(INDEX(DailyScalarsTable,AA$5/100,MONTH($A59)))*$B59</f>
        <v>-91982.083453676925</v>
      </c>
      <c r="AB59" s="1021">
        <f>(VLOOKUP(YEAR($A59),'NY East Load Projections'!$A$4:$EO$14,((MONTH($A59)-1)*12)+VLOOKUP(AB$4,$DE$6:$DF$17,2)+1))*(VLOOKUP($A59,CURVES!$D$9:$K$261,2))*(INDEX(DailyScalarsTable,AB$5/100,MONTH($A59)))*$B59</f>
        <v>-88296.673101206048</v>
      </c>
      <c r="AC59" s="1021">
        <f>(VLOOKUP(YEAR($A59),'NY East Load Projections'!$A$4:$EO$14,((MONTH($A59)-1)*12)+VLOOKUP(AC$4,$DE$6:$DF$17,2)+1))*(VLOOKUP($A59,CURVES!$D$9:$K$261,2))*(INDEX(DailyScalarsTable,AC$5/100,MONTH($A59)))*$B59</f>
        <v>-89965.871893086573</v>
      </c>
      <c r="AD59" s="1021">
        <f>(VLOOKUP(YEAR($A59),'NY East Load Projections'!$A$4:$EO$14,((MONTH($A59)-1)*12)+VLOOKUP(AD$4,$DE$6:$DF$17,2)+1))*(VLOOKUP($A59,CURVES!$D$9:$K$261,2))*(INDEX(DailyScalarsTable,AD$5/100,MONTH($A59)))*$B59</f>
        <v>-72143.560382929456</v>
      </c>
      <c r="AE59" s="1021">
        <f>(VLOOKUP(YEAR($A59),'NY East Load Projections'!$A$4:$EO$14,((MONTH($A59)-1)*12)+VLOOKUP(AE$4,$DE$6:$DF$17,2)+1))*(VLOOKUP($A59,CURVES!$D$9:$K$261,6))*(INDEX(DailyScalarsTable,AE$5/100,MONTH($A59)))*$B59</f>
        <v>-53512.15680156694</v>
      </c>
      <c r="AF59" s="1021"/>
      <c r="AG59" s="1021">
        <f>(VLOOKUP(YEAR($A59),'NY East Load Projections'!$A$4:$EO$14,((MONTH($A59)-1)*12)+VLOOKUP(AG$4,$DE$6:$DF$17,2)+1))*(VLOOKUP($A59,CURVES!$D$9:$T$261,6))*(INDEX(DailyScalarsTable,AG$5/100,MONTH($A59)))*$C59</f>
        <v>-7747.4837019596716</v>
      </c>
      <c r="AH59" s="1021">
        <f>(VLOOKUP(YEAR($A59),'NY East Load Projections'!$A$4:$EO$14,((MONTH($A59)-1)*12)+VLOOKUP(AH$4,$DE$6:$DF$17,2)+1))*(VLOOKUP($A59,CURVES!$D$9:$T$261,6))*(INDEX(DailyScalarsTable,AH$5/100,MONTH($A59)))*$C59</f>
        <v>-6418.8903873159597</v>
      </c>
      <c r="AI59" s="1021">
        <f>(VLOOKUP(YEAR($A59),'NY East Load Projections'!$A$4:$EO$14,((MONTH($A59)-1)*12)+VLOOKUP(AI$4,$DE$6:$DF$17,2)+1))*(VLOOKUP($A59,CURVES!$D$9:$T$261,6))*(INDEX(DailyScalarsTable,AI$5/100,MONTH($A59)))*$C59</f>
        <v>-5395.6752375306532</v>
      </c>
      <c r="AJ59" s="1021">
        <f>(VLOOKUP(YEAR($A59),'NY East Load Projections'!$A$4:$EO$14,((MONTH($A59)-1)*12)+VLOOKUP(AJ$4,$DE$6:$DF$17,2)+1))*(VLOOKUP($A59,CURVES!$D$9:$T$261,6))*(INDEX(DailyScalarsTable,AJ$5/100,MONTH($A59)))*$C59</f>
        <v>-5008.9950937164394</v>
      </c>
      <c r="AK59" s="1021">
        <f>(VLOOKUP(YEAR($A59),'NY East Load Projections'!$A$4:$EO$14,((MONTH($A59)-1)*12)+VLOOKUP(AK$4,$DE$6:$DF$17,2)+1))*(VLOOKUP($A59,CURVES!$D$9:$T$261,6))*(INDEX(DailyScalarsTable,AK$5/100,MONTH($A59)))*$C59</f>
        <v>-5483.9171980983501</v>
      </c>
      <c r="AL59" s="1021">
        <f>(VLOOKUP(YEAR($A59),'NY East Load Projections'!$A$4:$EO$14,((MONTH($A59)-1)*12)+VLOOKUP(AL$4,$DE$6:$DF$17,2)+1))*(VLOOKUP($A59,CURVES!$D$9:$T$261,6))*(INDEX(DailyScalarsTable,AL$5/100,MONTH($A59)))*$C59</f>
        <v>-6690.7792676068548</v>
      </c>
      <c r="AM59" s="1021">
        <f>(VLOOKUP(YEAR($A59),'NY East Load Projections'!$A$4:$EO$14,((MONTH($A59)-1)*12)+VLOOKUP(AM$4,$DE$6:$DF$17,2)+1))*(VLOOKUP($A59,CURVES!$D$9:$T$261,6))*(INDEX(DailyScalarsTable,AM$5/100,MONTH($A59)))*$C59</f>
        <v>-7671.4797884346617</v>
      </c>
      <c r="AN59" s="1021">
        <f>(VLOOKUP(YEAR($A59),'NY East Load Projections'!$A$4:$EO$14,((MONTH($A59)-1)*12)+VLOOKUP(AN$4,$DE$6:$DF$17,2)+1))*(VLOOKUP($A59,SatSunCurve,2))*(INDEX(DailyScalarsTable,AN$5/100,MONTH($A59)))*$C59</f>
        <v>-5873.6877484398665</v>
      </c>
      <c r="AO59" s="1021">
        <f>(VLOOKUP(YEAR($A59),'NY East Load Projections'!$A$4:$EO$14,((MONTH($A59)-1)*12)+VLOOKUP(AO$4,$DE$6:$DF$17,2)+1))*(VLOOKUP($A59,SatSunCurve,2))*(INDEX(DailyScalarsTable,AO$5/100,MONTH($A59)))*$C59</f>
        <v>-7506.7095788572133</v>
      </c>
      <c r="AP59" s="1021">
        <f>(VLOOKUP(YEAR($A59),'NY East Load Projections'!$A$4:$EO$14,((MONTH($A59)-1)*12)+VLOOKUP(AP$4,$DE$6:$DF$17,2)+1))*(VLOOKUP($A59,SatSunCurve,2))*(INDEX(DailyScalarsTable,AP$5/100,MONTH($A59)))*$C59</f>
        <v>-8396.1987419260058</v>
      </c>
      <c r="AQ59" s="1021">
        <f>(VLOOKUP(YEAR($A59),'NY East Load Projections'!$A$4:$EO$14,((MONTH($A59)-1)*12)+VLOOKUP(AQ$4,$DE$6:$DF$17,2)+1))*(VLOOKUP($A59,SatSunCurve,2))*(INDEX(DailyScalarsTable,AQ$5/100,MONTH($A59)))*$C59</f>
        <v>-9658.0628061020016</v>
      </c>
      <c r="AR59" s="1021">
        <f>(VLOOKUP(YEAR($A59),'NY East Load Projections'!$A$4:$EO$14,((MONTH($A59)-1)*12)+VLOOKUP(AR$4,$DE$6:$DF$17,2)+1))*(VLOOKUP($A59,SatSunCurve,2))*(INDEX(DailyScalarsTable,AR$5/100,MONTH($A59)))*$C59</f>
        <v>-10415.970732030446</v>
      </c>
      <c r="AS59" s="1021">
        <f>(VLOOKUP(YEAR($A59),'NY East Load Projections'!$A$4:$EO$14,((MONTH($A59)-1)*12)+VLOOKUP(AS$4,$DE$6:$DF$17,2)+1))*(VLOOKUP($A59,SatSunCurve,2))*(INDEX(DailyScalarsTable,AS$5/100,MONTH($A59)))*$C59</f>
        <v>-11115.362733751652</v>
      </c>
      <c r="AT59" s="1021">
        <f>(VLOOKUP(YEAR($A59),'NY East Load Projections'!$A$4:$EO$14,((MONTH($A59)-1)*12)+VLOOKUP(AT$4,$DE$6:$DF$17,2)+1))*(VLOOKUP($A59,SatSunCurve,2))*(INDEX(DailyScalarsTable,AT$5/100,MONTH($A59)))*$C59</f>
        <v>-12292.2993908265</v>
      </c>
      <c r="AU59" s="1021">
        <f>(VLOOKUP(YEAR($A59),'NY East Load Projections'!$A$4:$EO$14,((MONTH($A59)-1)*12)+VLOOKUP(AU$4,$DE$6:$DF$17,2)+1))*(VLOOKUP($A59,SatSunCurve,2))*(INDEX(DailyScalarsTable,AU$5/100,MONTH($A59)))*$C59</f>
        <v>-12386.886722623562</v>
      </c>
      <c r="AV59" s="1021">
        <f>(VLOOKUP(YEAR($A59),'NY East Load Projections'!$A$4:$EO$14,((MONTH($A59)-1)*12)+VLOOKUP(AV$4,$DE$6:$DF$17,2)+1))*(VLOOKUP($A59,SatSunCurve,2))*(INDEX(DailyScalarsTable,AV$5/100,MONTH($A59)))*$C59</f>
        <v>-12407.155436580071</v>
      </c>
      <c r="AW59" s="1021">
        <f>(VLOOKUP(YEAR($A59),'NY East Load Projections'!$A$4:$EO$14,((MONTH($A59)-1)*12)+VLOOKUP(AW$4,$DE$6:$DF$17,2)+1))*(VLOOKUP($A59,SatSunCurve,2))*(INDEX(DailyScalarsTable,AW$5/100,MONTH($A59)))*$C59</f>
        <v>-12016.288866483072</v>
      </c>
      <c r="AX59" s="1021">
        <f>(VLOOKUP(YEAR($A59),'NY East Load Projections'!$A$4:$EO$14,((MONTH($A59)-1)*12)+VLOOKUP(AX$4,$DE$6:$DF$17,2)+1))*(VLOOKUP($A59,SatSunCurve,2))*(INDEX(DailyScalarsTable,AX$5/100,MONTH($A59)))*$C59</f>
        <v>-11659.573400186229</v>
      </c>
      <c r="AY59" s="1021">
        <f>(VLOOKUP(YEAR($A59),'NY East Load Projections'!$A$4:$EO$14,((MONTH($A59)-1)*12)+VLOOKUP(AY$4,$DE$6:$DF$17,2)+1))*(VLOOKUP($A59,SatSunCurve,2))*(INDEX(DailyScalarsTable,AY$5/100,MONTH($A59)))*$C59</f>
        <v>-9955.8385196421186</v>
      </c>
      <c r="AZ59" s="1021">
        <f>(VLOOKUP(YEAR($A59),'NY East Load Projections'!$A$4:$EO$14,((MONTH($A59)-1)*12)+VLOOKUP(AZ$4,$DE$6:$DF$17,2)+1))*(VLOOKUP($A59,SatSunCurve,2))*(INDEX(DailyScalarsTable,AZ$5/100,MONTH($A59)))*$C59</f>
        <v>-7961.0650276067254</v>
      </c>
      <c r="BA59" s="1021">
        <f>(VLOOKUP(YEAR($A59),'NY East Load Projections'!$A$4:$EO$14,((MONTH($A59)-1)*12)+VLOOKUP(BA$4,$DE$6:$DF$17,2)+1))*(VLOOKUP($A59,SatSunCurve,2))*(INDEX(DailyScalarsTable,BA$5/100,MONTH($A59)))*$C59</f>
        <v>-8228.0895632789725</v>
      </c>
      <c r="BB59" s="1021">
        <f>(VLOOKUP(YEAR($A59),'NY East Load Projections'!$A$4:$EO$14,((MONTH($A59)-1)*12)+VLOOKUP(BB$4,$DE$6:$DF$17,2)+1))*(VLOOKUP($A59,SatSunCurve,2))*(INDEX(DailyScalarsTable,BB$5/100,MONTH($A59)))*$C59</f>
        <v>-8383.6369545466769</v>
      </c>
      <c r="BC59" s="1021">
        <f>(VLOOKUP(YEAR($A59),'NY East Load Projections'!$A$4:$EO$14,((MONTH($A59)-1)*12)+VLOOKUP(BC$4,$DE$6:$DF$17,2)+1))*(VLOOKUP($A59,SatSunCurve,2))*(INDEX(DailyScalarsTable,BC$5/100,MONTH($A59)))*$C59</f>
        <v>-6722.8317375466331</v>
      </c>
      <c r="BD59" s="1021">
        <f>(VLOOKUP(YEAR($A59),'NY East Load Projections'!$A$4:$EO$14,((MONTH($A59)-1)*12)+VLOOKUP(BD$4,$DE$6:$DF$17,2)+1))*(VLOOKUP($A59,CURVES!$D$9:$T$261,6))*(INDEX(DailyScalarsTable,BD$5/100,MONTH($A59)))*$C59</f>
        <v>-9549.6099291786886</v>
      </c>
      <c r="BE59" s="1021"/>
      <c r="BF59" s="1021">
        <f>(VLOOKUP(YEAR($A59),'NY East Load Projections'!$A$4:$EO$14,((MONTH($A59)-1)*12)+VLOOKUP(BF$4,$DE$6:$DF$17,2)+1))*(VLOOKUP($A59,CURVES!$D$9:$T$261,6))*(INDEX(DailyScalarsTable,BF$5/100,MONTH($A59)))*$D59</f>
        <v>-7747.4837019596716</v>
      </c>
      <c r="BG59" s="1021">
        <f>(VLOOKUP(YEAR($A59),'NY East Load Projections'!$A$4:$EO$14,((MONTH($A59)-1)*12)+VLOOKUP(BG$4,$DE$6:$DF$17,2)+1))*(VLOOKUP($A59,CURVES!$D$9:$T$261,6))*(INDEX(DailyScalarsTable,BG$5/100,MONTH($A59)))*$D59</f>
        <v>-6418.8903873159597</v>
      </c>
      <c r="BH59" s="1021">
        <f>(VLOOKUP(YEAR($A59),'NY East Load Projections'!$A$4:$EO$14,((MONTH($A59)-1)*12)+VLOOKUP(BH$4,$DE$6:$DF$17,2)+1))*(VLOOKUP($A59,CURVES!$D$9:$T$261,6))*(INDEX(DailyScalarsTable,BH$5/100,MONTH($A59)))*$D59</f>
        <v>-5395.6752375306532</v>
      </c>
      <c r="BI59" s="1021">
        <f>(VLOOKUP(YEAR($A59),'NY East Load Projections'!$A$4:$EO$14,((MONTH($A59)-1)*12)+VLOOKUP(BI$4,$DE$6:$DF$17,2)+1))*(VLOOKUP($A59,CURVES!$D$9:$T$261,6))*(INDEX(DailyScalarsTable,BI$5/100,MONTH($A59)))*$D59</f>
        <v>-5008.9950937164394</v>
      </c>
      <c r="BJ59" s="1021">
        <f>(VLOOKUP(YEAR($A59),'NY East Load Projections'!$A$4:$EO$14,((MONTH($A59)-1)*12)+VLOOKUP(BJ$4,$DE$6:$DF$17,2)+1))*(VLOOKUP($A59,CURVES!$D$9:$T$261,6))*(INDEX(DailyScalarsTable,BJ$5/100,MONTH($A59)))*$D59</f>
        <v>-5483.9171980983501</v>
      </c>
      <c r="BK59" s="1021">
        <f>(VLOOKUP(YEAR($A59),'NY East Load Projections'!$A$4:$EO$14,((MONTH($A59)-1)*12)+VLOOKUP(BK$4,$DE$6:$DF$17,2)+1))*(VLOOKUP($A59,CURVES!$D$9:$T$261,6))*(INDEX(DailyScalarsTable,BK$5/100,MONTH($A59)))*$D59</f>
        <v>-6690.7792676068548</v>
      </c>
      <c r="BL59" s="1021">
        <f>(VLOOKUP(YEAR($A59),'NY East Load Projections'!$A$4:$EO$14,((MONTH($A59)-1)*12)+VLOOKUP(BL$4,$DE$6:$DF$17,2)+1))*(VLOOKUP($A59,CURVES!$D$9:$T$261,6))*(INDEX(DailyScalarsTable,BL$5/100,MONTH($A59)))*$D59</f>
        <v>-7671.4797884346617</v>
      </c>
      <c r="BM59" s="1021">
        <f>(VLOOKUP(YEAR($A59),'NY East Load Projections'!$A$4:$EO$14,((MONTH($A59)-1)*12)+VLOOKUP(BM$4,$DE$6:$DF$17,2)+1))*(VLOOKUP($A59,SatSunCurve,6))*(INDEX(DailyScalarsTable,BM$5/100,MONTH($A59)))*$D59</f>
        <v>-4220.9896916101989</v>
      </c>
      <c r="BN59" s="1021">
        <f>(VLOOKUP(YEAR($A59),'NY East Load Projections'!$A$4:$EO$14,((MONTH($A59)-1)*12)+VLOOKUP(BN$4,$DE$6:$DF$17,2)+1))*(VLOOKUP($A59,SatSunCurve,6))*(INDEX(DailyScalarsTable,BN$5/100,MONTH($A59)))*$D59</f>
        <v>-5394.5230164276281</v>
      </c>
      <c r="BO59" s="1021">
        <f>(VLOOKUP(YEAR($A59),'NY East Load Projections'!$A$4:$EO$14,((MONTH($A59)-1)*12)+VLOOKUP(BO$4,$DE$6:$DF$17,2)+1))*(VLOOKUP($A59,SatSunCurve,6))*(INDEX(DailyScalarsTable,BO$5/100,MONTH($A59)))*$D59</f>
        <v>-6033.7338068053787</v>
      </c>
      <c r="BP59" s="1021">
        <f>(VLOOKUP(YEAR($A59),'NY East Load Projections'!$A$4:$EO$14,((MONTH($A59)-1)*12)+VLOOKUP(BP$4,$DE$6:$DF$17,2)+1))*(VLOOKUP($A59,SatSunCurve,6))*(INDEX(DailyScalarsTable,BP$5/100,MONTH($A59)))*$D59</f>
        <v>-6940.5431972968936</v>
      </c>
      <c r="BQ59" s="1021">
        <f>(VLOOKUP(YEAR($A59),'NY East Load Projections'!$A$4:$EO$14,((MONTH($A59)-1)*12)+VLOOKUP(BQ$4,$DE$6:$DF$17,2)+1))*(VLOOKUP($A59,SatSunCurve,6))*(INDEX(DailyScalarsTable,BQ$5/100,MONTH($A59)))*$D59</f>
        <v>-7485.1961784471696</v>
      </c>
      <c r="BR59" s="1021">
        <f>(VLOOKUP(YEAR($A59),'NY East Load Projections'!$A$4:$EO$14,((MONTH($A59)-1)*12)+VLOOKUP(BR$4,$DE$6:$DF$17,2)+1))*(VLOOKUP($A59,SatSunCurve,6))*(INDEX(DailyScalarsTable,BR$5/100,MONTH($A59)))*$D59</f>
        <v>-7987.7980456376681</v>
      </c>
      <c r="BS59" s="1021">
        <f>(VLOOKUP(YEAR($A59),'NY East Load Projections'!$A$4:$EO$14,((MONTH($A59)-1)*12)+VLOOKUP(BS$4,$DE$6:$DF$17,2)+1))*(VLOOKUP($A59,SatSunCurve,6))*(INDEX(DailyScalarsTable,BS$5/100,MONTH($A59)))*$D59</f>
        <v>-8833.5763215616189</v>
      </c>
      <c r="BT59" s="1021">
        <f>(VLOOKUP(YEAR($A59),'NY East Load Projections'!$A$4:$EO$14,((MONTH($A59)-1)*12)+VLOOKUP(BT$4,$DE$6:$DF$17,2)+1))*(VLOOKUP($A59,SatSunCurve,6))*(INDEX(DailyScalarsTable,BT$5/100,MONTH($A59)))*$D59</f>
        <v>-8901.5493173304785</v>
      </c>
      <c r="BU59" s="1021">
        <f>(VLOOKUP(YEAR($A59),'NY East Load Projections'!$A$4:$EO$14,((MONTH($A59)-1)*12)+VLOOKUP(BU$4,$DE$6:$DF$17,2)+1))*(VLOOKUP($A59,SatSunCurve,6))*(INDEX(DailyScalarsTable,BU$5/100,MONTH($A59)))*$D59</f>
        <v>-8916.114959280947</v>
      </c>
      <c r="BV59" s="1021">
        <f>(VLOOKUP(YEAR($A59),'NY East Load Projections'!$A$4:$EO$14,((MONTH($A59)-1)*12)+VLOOKUP(BV$4,$DE$6:$DF$17,2)+1))*(VLOOKUP($A59,SatSunCurve,6))*(INDEX(DailyScalarsTable,BV$5/100,MONTH($A59)))*$D59</f>
        <v>-8635.2277494334885</v>
      </c>
      <c r="BW59" s="1021">
        <f>(VLOOKUP(YEAR($A59),'NY East Load Projections'!$A$4:$EO$14,((MONTH($A59)-1)*12)+VLOOKUP(BW$4,$DE$6:$DF$17,2)+1))*(VLOOKUP($A59,SatSunCurve,6))*(INDEX(DailyScalarsTable,BW$5/100,MONTH($A59)))*$D59</f>
        <v>-8378.8824395424708</v>
      </c>
      <c r="BX59" s="1021">
        <f>(VLOOKUP(YEAR($A59),'NY East Load Projections'!$A$4:$EO$14,((MONTH($A59)-1)*12)+VLOOKUP(BX$4,$DE$6:$DF$17,2)+1))*(VLOOKUP($A59,SatSunCurve,6))*(INDEX(DailyScalarsTable,BX$5/100,MONTH($A59)))*$D59</f>
        <v>-7154.5328186550514</v>
      </c>
      <c r="BY59" s="1021">
        <f>(VLOOKUP(YEAR($A59),'NY East Load Projections'!$A$4:$EO$14,((MONTH($A59)-1)*12)+VLOOKUP(BY$4,$DE$6:$DF$17,2)+1))*(VLOOKUP($A59,SatSunCurve,6))*(INDEX(DailyScalarsTable,BY$5/100,MONTH($A59)))*$D59</f>
        <v>-5721.0350387951803</v>
      </c>
      <c r="BZ59" s="1021">
        <f>(VLOOKUP(YEAR($A59),'NY East Load Projections'!$A$4:$EO$14,((MONTH($A59)-1)*12)+VLOOKUP(BZ$4,$DE$6:$DF$17,2)+1))*(VLOOKUP($A59,SatSunCurve,6))*(INDEX(DailyScalarsTable,BZ$5/100,MONTH($A59)))*$D59</f>
        <v>-5912.9260382407901</v>
      </c>
      <c r="CA59" s="1021">
        <f>(VLOOKUP(YEAR($A59),'NY East Load Projections'!$A$4:$EO$14,((MONTH($A59)-1)*12)+VLOOKUP(CA$4,$DE$6:$DF$17,2)+1))*(VLOOKUP($A59,SatSunCurve,6))*(INDEX(DailyScalarsTable,CA$5/100,MONTH($A59)))*$D59</f>
        <v>-6024.7065691810385</v>
      </c>
      <c r="CB59" s="1021">
        <f>(VLOOKUP(YEAR($A59),'NY East Load Projections'!$A$4:$EO$14,((MONTH($A59)-1)*12)+VLOOKUP(CB$4,$DE$6:$DF$17,2)+1))*(VLOOKUP($A59,SatSunCurve,6))*(INDEX(DailyScalarsTable,CB$5/100,MONTH($A59)))*$D59</f>
        <v>-4831.2073569371387</v>
      </c>
      <c r="CC59" s="1021">
        <f>(VLOOKUP(YEAR($A59),'NY East Load Projections'!$A$4:$EO$14,((MONTH($A59)-1)*12)+VLOOKUP(CC$4,$DE$6:$DF$17,2)+1))*(VLOOKUP($A59,CURVES!$D$9:$T$261,6))*(INDEX(DailyScalarsTable,CC$5/100,MONTH($A59)))*$D59</f>
        <v>-9549.6099291786886</v>
      </c>
      <c r="CE59" s="1021">
        <f>(VLOOKUP(YEAR($A59),'NY East Load Projections'!$A$4:$EO$14,((MONTH($A59)-1)*12)+VLOOKUP(CE$4,$DE$6:$DF$17,2)+1))*(VLOOKUP($A59,CURVES!$D$9:$T$261,6))*(INDEX(DailyScalarsTable,CE$5/100,MONTH($A59)))*$E59</f>
        <v>0</v>
      </c>
      <c r="CF59" s="1021">
        <f>(VLOOKUP(YEAR($A59),'NY East Load Projections'!$A$4:$EO$14,((MONTH($A59)-1)*12)+VLOOKUP(CF$4,$DE$6:$DF$17,2)+1))*(VLOOKUP($A59,CURVES!$D$9:$T$261,6))*(INDEX(DailyScalarsTable,CF$5/100,MONTH($A59)))*$E59</f>
        <v>0</v>
      </c>
      <c r="CG59" s="1021">
        <f>(VLOOKUP(YEAR($A59),'NY East Load Projections'!$A$4:$EO$14,((MONTH($A59)-1)*12)+VLOOKUP(CG$4,$DE$6:$DF$17,2)+1))*(VLOOKUP($A59,CURVES!$D$9:$T$261,6))*(INDEX(DailyScalarsTable,CG$5/100,MONTH($A59)))*$E59</f>
        <v>0</v>
      </c>
      <c r="CH59" s="1021">
        <f>(VLOOKUP(YEAR($A59),'NY East Load Projections'!$A$4:$EO$14,((MONTH($A59)-1)*12)+VLOOKUP(CH$4,$DE$6:$DF$17,2)+1))*(VLOOKUP($A59,CURVES!$D$9:$T$261,6))*(INDEX(DailyScalarsTable,CH$5/100,MONTH($A59)))*$E59</f>
        <v>0</v>
      </c>
      <c r="CI59" s="1021">
        <f>(VLOOKUP(YEAR($A59),'NY East Load Projections'!$A$4:$EO$14,((MONTH($A59)-1)*12)+VLOOKUP(CI$4,$DE$6:$DF$17,2)+1))*(VLOOKUP($A59,CURVES!$D$9:$T$261,6))*(INDEX(DailyScalarsTable,CI$5/100,MONTH($A59)))*$E59</f>
        <v>0</v>
      </c>
      <c r="CJ59" s="1021">
        <f>(VLOOKUP(YEAR($A59),'NY East Load Projections'!$A$4:$EO$14,((MONTH($A59)-1)*12)+VLOOKUP(CJ$4,$DE$6:$DF$17,2)+1))*(VLOOKUP($A59,CURVES!$D$9:$T$261,6))*(INDEX(DailyScalarsTable,CJ$5/100,MONTH($A59)))*$E59</f>
        <v>0</v>
      </c>
      <c r="CK59" s="1021">
        <f>(VLOOKUP(YEAR($A59),'NY East Load Projections'!$A$4:$EO$14,((MONTH($A59)-1)*12)+VLOOKUP(CK$4,$DE$6:$DF$17,2)+1))*(VLOOKUP($A59,CURVES!$D$9:$T$261,6))*(INDEX(DailyScalarsTable,CK$5/100,MONTH($A59)))*$E59</f>
        <v>0</v>
      </c>
      <c r="CL59" s="1021">
        <f>(VLOOKUP(YEAR($A59),'NY East Load Projections'!$A$4:$EO$14,((MONTH($A59)-1)*12)+VLOOKUP(CL$4,$DE$6:$DF$17,2)+1))*(VLOOKUP($A59,SatSunCurve,6))*(INDEX(DailyScalarsTable,CL$5/100,MONTH($A59)))*$E59</f>
        <v>0</v>
      </c>
      <c r="CM59" s="1021">
        <f>(VLOOKUP(YEAR($A59),'NY East Load Projections'!$A$4:$EO$14,((MONTH($A59)-1)*12)+VLOOKUP(CM$4,$DE$6:$DF$17,2)+1))*(VLOOKUP($A59,SatSunCurve,6))*(INDEX(DailyScalarsTable,CM$5/100,MONTH($A59)))*$E59</f>
        <v>0</v>
      </c>
      <c r="CN59" s="1021">
        <f>(VLOOKUP(YEAR($A59),'NY East Load Projections'!$A$4:$EO$14,((MONTH($A59)-1)*12)+VLOOKUP(CN$4,$DE$6:$DF$17,2)+1))*(VLOOKUP($A59,SatSunCurve,6))*(INDEX(DailyScalarsTable,CN$5/100,MONTH($A59)))*$E59</f>
        <v>0</v>
      </c>
      <c r="CO59" s="1021">
        <f>(VLOOKUP(YEAR($A59),'NY East Load Projections'!$A$4:$EO$14,((MONTH($A59)-1)*12)+VLOOKUP(CO$4,$DE$6:$DF$17,2)+1))*(VLOOKUP($A59,SatSunCurve,6))*(INDEX(DailyScalarsTable,CO$5/100,MONTH($A59)))*$E59</f>
        <v>0</v>
      </c>
      <c r="CP59" s="1021">
        <f>(VLOOKUP(YEAR($A59),'NY East Load Projections'!$A$4:$EO$14,((MONTH($A59)-1)*12)+VLOOKUP(CP$4,$DE$6:$DF$17,2)+1))*(VLOOKUP($A59,SatSunCurve,6))*(INDEX(DailyScalarsTable,CP$5/100,MONTH($A59)))*$E59</f>
        <v>0</v>
      </c>
      <c r="CQ59" s="1021">
        <f>(VLOOKUP(YEAR($A59),'NY East Load Projections'!$A$4:$EO$14,((MONTH($A59)-1)*12)+VLOOKUP(CQ$4,$DE$6:$DF$17,2)+1))*(VLOOKUP($A59,SatSunCurve,6))*(INDEX(DailyScalarsTable,CQ$5/100,MONTH($A59)))*$E59</f>
        <v>0</v>
      </c>
      <c r="CR59" s="1021">
        <f>(VLOOKUP(YEAR($A59),'NY East Load Projections'!$A$4:$EO$14,((MONTH($A59)-1)*12)+VLOOKUP(CR$4,$DE$6:$DF$17,2)+1))*(VLOOKUP($A59,SatSunCurve,6))*(INDEX(DailyScalarsTable,CR$5/100,MONTH($A59)))*$E59</f>
        <v>0</v>
      </c>
      <c r="CS59" s="1021">
        <f>(VLOOKUP(YEAR($A59),'NY East Load Projections'!$A$4:$EO$14,((MONTH($A59)-1)*12)+VLOOKUP(CS$4,$DE$6:$DF$17,2)+1))*(VLOOKUP($A59,SatSunCurve,6))*(INDEX(DailyScalarsTable,CS$5/100,MONTH($A59)))*$E59</f>
        <v>0</v>
      </c>
      <c r="CT59" s="1021">
        <f>(VLOOKUP(YEAR($A59),'NY East Load Projections'!$A$4:$EO$14,((MONTH($A59)-1)*12)+VLOOKUP(CT$4,$DE$6:$DF$17,2)+1))*(VLOOKUP($A59,SatSunCurve,6))*(INDEX(DailyScalarsTable,CT$5/100,MONTH($A59)))*$E59</f>
        <v>0</v>
      </c>
      <c r="CU59" s="1021">
        <f>(VLOOKUP(YEAR($A59),'NY East Load Projections'!$A$4:$EO$14,((MONTH($A59)-1)*12)+VLOOKUP(CU$4,$DE$6:$DF$17,2)+1))*(VLOOKUP($A59,SatSunCurve,6))*(INDEX(DailyScalarsTable,CU$5/100,MONTH($A59)))*$E59</f>
        <v>0</v>
      </c>
      <c r="CV59" s="1021">
        <f>(VLOOKUP(YEAR($A59),'NY East Load Projections'!$A$4:$EO$14,((MONTH($A59)-1)*12)+VLOOKUP(CV$4,$DE$6:$DF$17,2)+1))*(VLOOKUP($A59,SatSunCurve,6))*(INDEX(DailyScalarsTable,CV$5/100,MONTH($A59)))*$E59</f>
        <v>0</v>
      </c>
      <c r="CW59" s="1021">
        <f>(VLOOKUP(YEAR($A59),'NY East Load Projections'!$A$4:$EO$14,((MONTH($A59)-1)*12)+VLOOKUP(CW$4,$DE$6:$DF$17,2)+1))*(VLOOKUP($A59,SatSunCurve,6))*(INDEX(DailyScalarsTable,CW$5/100,MONTH($A59)))*$E59</f>
        <v>0</v>
      </c>
      <c r="CX59" s="1021">
        <f>(VLOOKUP(YEAR($A59),'NY East Load Projections'!$A$4:$EO$14,((MONTH($A59)-1)*12)+VLOOKUP(CX$4,$DE$6:$DF$17,2)+1))*(VLOOKUP($A59,SatSunCurve,6))*(INDEX(DailyScalarsTable,CX$5/100,MONTH($A59)))*$E59</f>
        <v>0</v>
      </c>
      <c r="CY59" s="1021">
        <f>(VLOOKUP(YEAR($A59),'NY East Load Projections'!$A$4:$EO$14,((MONTH($A59)-1)*12)+VLOOKUP(CY$4,$DE$6:$DF$17,2)+1))*(VLOOKUP($A59,SatSunCurve,6))*(INDEX(DailyScalarsTable,CY$5/100,MONTH($A59)))*$E59</f>
        <v>0</v>
      </c>
      <c r="CZ59" s="1021">
        <f>(VLOOKUP(YEAR($A59),'NY East Load Projections'!$A$4:$EO$14,((MONTH($A59)-1)*12)+VLOOKUP(CZ$4,$DE$6:$DF$17,2)+1))*(VLOOKUP($A59,SatSunCurve,6))*(INDEX(DailyScalarsTable,CZ$5/100,MONTH($A59)))*$E59</f>
        <v>0</v>
      </c>
      <c r="DA59" s="1021">
        <f>(VLOOKUP(YEAR($A59),'NY East Load Projections'!$A$4:$EO$14,((MONTH($A59)-1)*12)+VLOOKUP(DA$4,$DE$6:$DF$17,2)+1))*(VLOOKUP($A59,SatSunCurve,6))*(INDEX(DailyScalarsTable,DA$5/100,MONTH($A59)))*$E59</f>
        <v>0</v>
      </c>
      <c r="DB59" s="1021">
        <f>(VLOOKUP(YEAR($A59),'NY East Load Projections'!$A$4:$EO$14,((MONTH($A59)-1)*12)+VLOOKUP(DB$4,$DE$6:$DF$17,2)+1))*(VLOOKUP($A59,CURVES!$D$9:$T$261,6))*(INDEX(DailyScalarsTable,DB$5/100,MONTH($A59)))*$E59</f>
        <v>0</v>
      </c>
      <c r="DH59" s="1021">
        <f t="shared" si="0"/>
        <v>-2457199.7433349215</v>
      </c>
      <c r="DI59">
        <f ca="1">CALC!J79</f>
        <v>0.67928709125806674</v>
      </c>
      <c r="DJ59" s="1029">
        <f t="shared" ca="1" si="1"/>
        <v>-1669144.066290047</v>
      </c>
    </row>
    <row r="60" spans="1:114" x14ac:dyDescent="0.25">
      <c r="A60" s="244">
        <v>38534</v>
      </c>
      <c r="B60" s="13">
        <v>20</v>
      </c>
      <c r="C60" s="210">
        <v>5</v>
      </c>
      <c r="D60" s="210">
        <v>5</v>
      </c>
      <c r="E60" s="210">
        <v>1</v>
      </c>
      <c r="F60" s="13">
        <v>31</v>
      </c>
      <c r="H60" s="1021">
        <f>(VLOOKUP(YEAR($A60),'NY East Load Projections'!$A$4:$EO$14,((MONTH($A60)-1)*12)+VLOOKUP(H$4,$DE$6:$DF$17,2)+1))*(VLOOKUP($A60,CURVES!$D$9:$K$261,6))*(INDEX(DailyScalarsTable,H$5/100,MONTH($A60)))*$B60</f>
        <v>-48011.55808741146</v>
      </c>
      <c r="I60" s="1021">
        <f>(VLOOKUP(YEAR($A60),'NY East Load Projections'!$A$4:$EO$14,((MONTH($A60)-1)*12)+VLOOKUP(I$4,$DE$6:$DF$17,2)+1))*(VLOOKUP($A60,CURVES!$D$9:$K$261,6))*(INDEX(DailyScalarsTable,I$5/100,MONTH($A60)))*$B60</f>
        <v>-43855.361598659118</v>
      </c>
      <c r="J60" s="1021">
        <f>(VLOOKUP(YEAR($A60),'NY East Load Projections'!$A$4:$EO$14,((MONTH($A60)-1)*12)+VLOOKUP(J$4,$DE$6:$DF$17,2)+1))*(VLOOKUP($A60,CURVES!$D$9:$K$261,6))*(INDEX(DailyScalarsTable,J$5/100,MONTH($A60)))*$B60</f>
        <v>-41786.624157185564</v>
      </c>
      <c r="K60" s="1021">
        <f>(VLOOKUP(YEAR($A60),'NY East Load Projections'!$A$4:$EO$14,((MONTH($A60)-1)*12)+VLOOKUP(K$4,$DE$6:$DF$17,2)+1))*(VLOOKUP($A60,CURVES!$D$9:$K$261,6))*(INDEX(DailyScalarsTable,K$5/100,MONTH($A60)))*$B60</f>
        <v>-37630.427668433229</v>
      </c>
      <c r="L60" s="1021">
        <f>(VLOOKUP(YEAR($A60),'NY East Load Projections'!$A$4:$EO$14,((MONTH($A60)-1)*12)+VLOOKUP(L$4,$DE$6:$DF$17,2)+1))*(VLOOKUP($A60,CURVES!$D$9:$K$261,6))*(INDEX(DailyScalarsTable,L$5/100,MONTH($A60)))*$B60</f>
        <v>-39108.807755579655</v>
      </c>
      <c r="M60" s="1021">
        <f>(VLOOKUP(YEAR($A60),'NY East Load Projections'!$A$4:$EO$14,((MONTH($A60)-1)*12)+VLOOKUP(M$4,$DE$6:$DF$17,2)+1))*(VLOOKUP($A60,CURVES!$D$9:$K$261,6))*(INDEX(DailyScalarsTable,M$5/100,MONTH($A60)))*$B60</f>
        <v>-43116.025741017715</v>
      </c>
      <c r="N60" s="1021">
        <f>(VLOOKUP(YEAR($A60),'NY East Load Projections'!$A$4:$EO$14,((MONTH($A60)-1)*12)+VLOOKUP(N$4,$DE$6:$DF$17,2)+1))*(VLOOKUP($A60,CURVES!$D$9:$K$261,6))*(INDEX(DailyScalarsTable,N$5/100,MONTH($A60)))*$B60</f>
        <v>-47881.643038277805</v>
      </c>
      <c r="O60" s="1021">
        <f>(VLOOKUP(YEAR($A60),'NY East Load Projections'!$A$4:$EO$14,((MONTH($A60)-1)*12)+VLOOKUP(O$4,$DE$6:$DF$17,2)+1))*(VLOOKUP($A60,CURVES!$D$9:$K$261,2))*(INDEX(DailyScalarsTable,O$5/100,MONTH($A60)))*$B60</f>
        <v>-82090.66067610294</v>
      </c>
      <c r="P60" s="1021">
        <f>(VLOOKUP(YEAR($A60),'NY East Load Projections'!$A$4:$EO$14,((MONTH($A60)-1)*12)+VLOOKUP(P$4,$DE$6:$DF$17,2)+1))*(VLOOKUP($A60,CURVES!$D$9:$K$261,2))*(INDEX(DailyScalarsTable,P$5/100,MONTH($A60)))*$B60</f>
        <v>-102160.51952059809</v>
      </c>
      <c r="Q60" s="1021">
        <f>(VLOOKUP(YEAR($A60),'NY East Load Projections'!$A$4:$EO$14,((MONTH($A60)-1)*12)+VLOOKUP(Q$4,$DE$6:$DF$17,2)+1))*(VLOOKUP($A60,CURVES!$D$9:$K$261,2))*(INDEX(DailyScalarsTable,Q$5/100,MONTH($A60)))*$B60</f>
        <v>-122314.14737038306</v>
      </c>
      <c r="R60" s="1021">
        <f>(VLOOKUP(YEAR($A60),'NY East Load Projections'!$A$4:$EO$14,((MONTH($A60)-1)*12)+VLOOKUP(R$4,$DE$6:$DF$17,2)+1))*(VLOOKUP($A60,CURVES!$D$9:$K$261,2))*(INDEX(DailyScalarsTable,R$5/100,MONTH($A60)))*$B60</f>
        <v>-139180.60942415611</v>
      </c>
      <c r="S60" s="1021">
        <f>(VLOOKUP(YEAR($A60),'NY East Load Projections'!$A$4:$EO$14,((MONTH($A60)-1)*12)+VLOOKUP(S$4,$DE$6:$DF$17,2)+1))*(VLOOKUP($A60,CURVES!$D$9:$K$261,2))*(INDEX(DailyScalarsTable,S$5/100,MONTH($A60)))*$B60</f>
        <v>-166396.61968284013</v>
      </c>
      <c r="T60" s="1021">
        <f>(VLOOKUP(YEAR($A60),'NY East Load Projections'!$A$4:$EO$14,((MONTH($A60)-1)*12)+VLOOKUP(T$4,$DE$6:$DF$17,2)+1))*(VLOOKUP($A60,CURVES!$D$9:$K$261,2))*(INDEX(DailyScalarsTable,T$5/100,MONTH($A60)))*$B60</f>
        <v>-186911.09316283706</v>
      </c>
      <c r="U60" s="1021">
        <f>(VLOOKUP(YEAR($A60),'NY East Load Projections'!$A$4:$EO$14,((MONTH($A60)-1)*12)+VLOOKUP(U$4,$DE$6:$DF$17,2)+1))*(VLOOKUP($A60,CURVES!$D$9:$K$261,2))*(INDEX(DailyScalarsTable,U$5/100,MONTH($A60)))*$B60</f>
        <v>-193201.93302351487</v>
      </c>
      <c r="V60" s="1021">
        <f>(VLOOKUP(YEAR($A60),'NY East Load Projections'!$A$4:$EO$14,((MONTH($A60)-1)*12)+VLOOKUP(V$4,$DE$6:$DF$17,2)+1))*(VLOOKUP($A60,CURVES!$D$9:$K$261,2))*(INDEX(DailyScalarsTable,V$5/100,MONTH($A60)))*$B60</f>
        <v>-201248.356101126</v>
      </c>
      <c r="W60" s="1021">
        <f>(VLOOKUP(YEAR($A60),'NY East Load Projections'!$A$4:$EO$14,((MONTH($A60)-1)*12)+VLOOKUP(W$4,$DE$6:$DF$17,2)+1))*(VLOOKUP($A60,CURVES!$D$9:$K$261,2))*(INDEX(DailyScalarsTable,W$5/100,MONTH($A60)))*$B60</f>
        <v>-213581.32820008282</v>
      </c>
      <c r="X60" s="1021">
        <f>(VLOOKUP(YEAR($A60),'NY East Load Projections'!$A$4:$EO$14,((MONTH($A60)-1)*12)+VLOOKUP(X$4,$DE$6:$DF$17,2)+1))*(VLOOKUP($A60,CURVES!$D$9:$K$261,2))*(INDEX(DailyScalarsTable,X$5/100,MONTH($A60)))*$B60</f>
        <v>-206460.02289193863</v>
      </c>
      <c r="Y60" s="1021">
        <f>(VLOOKUP(YEAR($A60),'NY East Load Projections'!$A$4:$EO$14,((MONTH($A60)-1)*12)+VLOOKUP(Y$4,$DE$6:$DF$17,2)+1))*(VLOOKUP($A60,CURVES!$D$9:$K$261,2))*(INDEX(DailyScalarsTable,Y$5/100,MONTH($A60)))*$B60</f>
        <v>-201343.92938262929</v>
      </c>
      <c r="Z60" s="1021">
        <f>(VLOOKUP(YEAR($A60),'NY East Load Projections'!$A$4:$EO$14,((MONTH($A60)-1)*12)+VLOOKUP(Z$4,$DE$6:$DF$17,2)+1))*(VLOOKUP($A60,CURVES!$D$9:$K$261,2))*(INDEX(DailyScalarsTable,Z$5/100,MONTH($A60)))*$B60</f>
        <v>-168165.57770843621</v>
      </c>
      <c r="AA60" s="1021">
        <f>(VLOOKUP(YEAR($A60),'NY East Load Projections'!$A$4:$EO$14,((MONTH($A60)-1)*12)+VLOOKUP(AA$4,$DE$6:$DF$17,2)+1))*(VLOOKUP($A60,CURVES!$D$9:$K$261,2))*(INDEX(DailyScalarsTable,AA$5/100,MONTH($A60)))*$B60</f>
        <v>-124436.14971829623</v>
      </c>
      <c r="AB60" s="1021">
        <f>(VLOOKUP(YEAR($A60),'NY East Load Projections'!$A$4:$EO$14,((MONTH($A60)-1)*12)+VLOOKUP(AB$4,$DE$6:$DF$17,2)+1))*(VLOOKUP($A60,CURVES!$D$9:$K$261,2))*(INDEX(DailyScalarsTable,AB$5/100,MONTH($A60)))*$B60</f>
        <v>-121711.14918628665</v>
      </c>
      <c r="AC60" s="1021">
        <f>(VLOOKUP(YEAR($A60),'NY East Load Projections'!$A$4:$EO$14,((MONTH($A60)-1)*12)+VLOOKUP(AC$4,$DE$6:$DF$17,2)+1))*(VLOOKUP($A60,CURVES!$D$9:$K$261,2))*(INDEX(DailyScalarsTable,AC$5/100,MONTH($A60)))*$B60</f>
        <v>-128969.43470238235</v>
      </c>
      <c r="AD60" s="1021">
        <f>(VLOOKUP(YEAR($A60),'NY East Load Projections'!$A$4:$EO$14,((MONTH($A60)-1)*12)+VLOOKUP(AD$4,$DE$6:$DF$17,2)+1))*(VLOOKUP($A60,CURVES!$D$9:$K$261,2))*(INDEX(DailyScalarsTable,AD$5/100,MONTH($A60)))*$B60</f>
        <v>-89563.810295741307</v>
      </c>
      <c r="AE60" s="1021">
        <f>(VLOOKUP(YEAR($A60),'NY East Load Projections'!$A$4:$EO$14,((MONTH($A60)-1)*12)+VLOOKUP(AE$4,$DE$6:$DF$17,2)+1))*(VLOOKUP($A60,CURVES!$D$9:$K$261,6))*(INDEX(DailyScalarsTable,AE$5/100,MONTH($A60)))*$B60</f>
        <v>-57274.644215672655</v>
      </c>
      <c r="AF60" s="1021"/>
      <c r="AG60" s="1021">
        <f>(VLOOKUP(YEAR($A60),'NY East Load Projections'!$A$4:$EO$14,((MONTH($A60)-1)*12)+VLOOKUP(AG$4,$DE$6:$DF$17,2)+1))*(VLOOKUP($A60,CURVES!$D$9:$T$261,6))*(INDEX(DailyScalarsTable,AG$5/100,MONTH($A60)))*$C60</f>
        <v>-11498.837828186015</v>
      </c>
      <c r="AH60" s="1021">
        <f>(VLOOKUP(YEAR($A60),'NY East Load Projections'!$A$4:$EO$14,((MONTH($A60)-1)*12)+VLOOKUP(AH$4,$DE$6:$DF$17,2)+1))*(VLOOKUP($A60,CURVES!$D$9:$T$261,6))*(INDEX(DailyScalarsTable,AH$5/100,MONTH($A60)))*$C60</f>
        <v>-10503.422738360588</v>
      </c>
      <c r="AI60" s="1021">
        <f>(VLOOKUP(YEAR($A60),'NY East Load Projections'!$A$4:$EO$14,((MONTH($A60)-1)*12)+VLOOKUP(AI$4,$DE$6:$DF$17,2)+1))*(VLOOKUP($A60,CURVES!$D$9:$T$261,6))*(INDEX(DailyScalarsTable,AI$5/100,MONTH($A60)))*$C60</f>
        <v>-10007.957119325867</v>
      </c>
      <c r="AJ60" s="1021">
        <f>(VLOOKUP(YEAR($A60),'NY East Load Projections'!$A$4:$EO$14,((MONTH($A60)-1)*12)+VLOOKUP(AJ$4,$DE$6:$DF$17,2)+1))*(VLOOKUP($A60,CURVES!$D$9:$T$261,6))*(INDEX(DailyScalarsTable,AJ$5/100,MONTH($A60)))*$C60</f>
        <v>-9012.5420295004405</v>
      </c>
      <c r="AK60" s="1021">
        <f>(VLOOKUP(YEAR($A60),'NY East Load Projections'!$A$4:$EO$14,((MONTH($A60)-1)*12)+VLOOKUP(AK$4,$DE$6:$DF$17,2)+1))*(VLOOKUP($A60,CURVES!$D$9:$T$261,6))*(INDEX(DailyScalarsTable,AK$5/100,MONTH($A60)))*$C60</f>
        <v>-8672.9274621459845</v>
      </c>
      <c r="AL60" s="1021">
        <f>(VLOOKUP(YEAR($A60),'NY East Load Projections'!$A$4:$EO$14,((MONTH($A60)-1)*12)+VLOOKUP(AL$4,$DE$6:$DF$17,2)+1))*(VLOOKUP($A60,CURVES!$D$9:$T$261,6))*(INDEX(DailyScalarsTable,AL$5/100,MONTH($A60)))*$C60</f>
        <v>-9561.58433785329</v>
      </c>
      <c r="AM60" s="1021">
        <f>(VLOOKUP(YEAR($A60),'NY East Load Projections'!$A$4:$EO$14,((MONTH($A60)-1)*12)+VLOOKUP(AM$4,$DE$6:$DF$17,2)+1))*(VLOOKUP($A60,CURVES!$D$9:$T$261,6))*(INDEX(DailyScalarsTable,AM$5/100,MONTH($A60)))*$C60</f>
        <v>-10618.426913822335</v>
      </c>
      <c r="AN60" s="1021">
        <f>(VLOOKUP(YEAR($A60),'NY East Load Projections'!$A$4:$EO$14,((MONTH($A60)-1)*12)+VLOOKUP(AN$4,$DE$6:$DF$17,2)+1))*(VLOOKUP($A60,SatSunCurve,2))*(INDEX(DailyScalarsTable,AN$5/100,MONTH($A60)))*$C60</f>
        <v>-10189.452559085044</v>
      </c>
      <c r="AO60" s="1021">
        <f>(VLOOKUP(YEAR($A60),'NY East Load Projections'!$A$4:$EO$14,((MONTH($A60)-1)*12)+VLOOKUP(AO$4,$DE$6:$DF$17,2)+1))*(VLOOKUP($A60,SatSunCurve,2))*(INDEX(DailyScalarsTable,AO$5/100,MONTH($A60)))*$C60</f>
        <v>-12321.787819506157</v>
      </c>
      <c r="AP60" s="1021">
        <f>(VLOOKUP(YEAR($A60),'NY East Load Projections'!$A$4:$EO$14,((MONTH($A60)-1)*12)+VLOOKUP(AP$4,$DE$6:$DF$17,2)+1))*(VLOOKUP($A60,SatSunCurve,2))*(INDEX(DailyScalarsTable,AP$5/100,MONTH($A60)))*$C60</f>
        <v>-14752.557820712655</v>
      </c>
      <c r="AQ60" s="1021">
        <f>(VLOOKUP(YEAR($A60),'NY East Load Projections'!$A$4:$EO$14,((MONTH($A60)-1)*12)+VLOOKUP(AQ$4,$DE$6:$DF$17,2)+1))*(VLOOKUP($A60,SatSunCurve,2))*(INDEX(DailyScalarsTable,AQ$5/100,MONTH($A60)))*$C60</f>
        <v>-16786.856076708122</v>
      </c>
      <c r="AR60" s="1021">
        <f>(VLOOKUP(YEAR($A60),'NY East Load Projections'!$A$4:$EO$14,((MONTH($A60)-1)*12)+VLOOKUP(AR$4,$DE$6:$DF$17,2)+1))*(VLOOKUP($A60,SatSunCurve,2))*(INDEX(DailyScalarsTable,AR$5/100,MONTH($A60)))*$C60</f>
        <v>-20069.434368935705</v>
      </c>
      <c r="AS60" s="1021">
        <f>(VLOOKUP(YEAR($A60),'NY East Load Projections'!$A$4:$EO$14,((MONTH($A60)-1)*12)+VLOOKUP(AS$4,$DE$6:$DF$17,2)+1))*(VLOOKUP($A60,SatSunCurve,2))*(INDEX(DailyScalarsTable,AS$5/100,MONTH($A60)))*$C60</f>
        <v>-22803.14417888907</v>
      </c>
      <c r="AT60" s="1021">
        <f>(VLOOKUP(YEAR($A60),'NY East Load Projections'!$A$4:$EO$14,((MONTH($A60)-1)*12)+VLOOKUP(AT$4,$DE$6:$DF$17,2)+1))*(VLOOKUP($A60,SatSunCurve,2))*(INDEX(DailyScalarsTable,AT$5/100,MONTH($A60)))*$C60</f>
        <v>-23570.626332686988</v>
      </c>
      <c r="AU60" s="1021">
        <f>(VLOOKUP(YEAR($A60),'NY East Load Projections'!$A$4:$EO$14,((MONTH($A60)-1)*12)+VLOOKUP(AU$4,$DE$6:$DF$17,2)+1))*(VLOOKUP($A60,SatSunCurve,2))*(INDEX(DailyScalarsTable,AU$5/100,MONTH($A60)))*$C60</f>
        <v>-24552.289552661077</v>
      </c>
      <c r="AV60" s="1021">
        <f>(VLOOKUP(YEAR($A60),'NY East Load Projections'!$A$4:$EO$14,((MONTH($A60)-1)*12)+VLOOKUP(AV$4,$DE$6:$DF$17,2)+1))*(VLOOKUP($A60,SatSunCurve,2))*(INDEX(DailyScalarsTable,AV$5/100,MONTH($A60)))*$C60</f>
        <v>-26056.911542548645</v>
      </c>
      <c r="AW60" s="1021">
        <f>(VLOOKUP(YEAR($A60),'NY East Load Projections'!$A$4:$EO$14,((MONTH($A60)-1)*12)+VLOOKUP(AW$4,$DE$6:$DF$17,2)+1))*(VLOOKUP($A60,SatSunCurve,2))*(INDEX(DailyScalarsTable,AW$5/100,MONTH($A60)))*$C60</f>
        <v>-25261.64193081437</v>
      </c>
      <c r="AX60" s="1021">
        <f>(VLOOKUP(YEAR($A60),'NY East Load Projections'!$A$4:$EO$14,((MONTH($A60)-1)*12)+VLOOKUP(AX$4,$DE$6:$DF$17,2)+1))*(VLOOKUP($A60,SatSunCurve,2))*(INDEX(DailyScalarsTable,AX$5/100,MONTH($A60)))*$C60</f>
        <v>-24635.65671340315</v>
      </c>
      <c r="AY60" s="1021">
        <f>(VLOOKUP(YEAR($A60),'NY East Load Projections'!$A$4:$EO$14,((MONTH($A60)-1)*12)+VLOOKUP(AY$4,$DE$6:$DF$17,2)+1))*(VLOOKUP($A60,SatSunCurve,2))*(INDEX(DailyScalarsTable,AY$5/100,MONTH($A60)))*$C60</f>
        <v>-20576.083203199749</v>
      </c>
      <c r="AZ60" s="1021">
        <f>(VLOOKUP(YEAR($A60),'NY East Load Projections'!$A$4:$EO$14,((MONTH($A60)-1)*12)+VLOOKUP(AZ$4,$DE$6:$DF$17,2)+1))*(VLOOKUP($A60,SatSunCurve,2))*(INDEX(DailyScalarsTable,AZ$5/100,MONTH($A60)))*$C60</f>
        <v>-15225.521209392184</v>
      </c>
      <c r="BA60" s="1021">
        <f>(VLOOKUP(YEAR($A60),'NY East Load Projections'!$A$4:$EO$14,((MONTH($A60)-1)*12)+VLOOKUP(BA$4,$DE$6:$DF$17,2)+1))*(VLOOKUP($A60,SatSunCurve,2))*(INDEX(DailyScalarsTable,BA$5/100,MONTH($A60)))*$C60</f>
        <v>-15997.583190844545</v>
      </c>
      <c r="BB60" s="1021">
        <f>(VLOOKUP(YEAR($A60),'NY East Load Projections'!$A$4:$EO$14,((MONTH($A60)-1)*12)+VLOOKUP(BB$4,$DE$6:$DF$17,2)+1))*(VLOOKUP($A60,SatSunCurve,2))*(INDEX(DailyScalarsTable,BB$5/100,MONTH($A60)))*$C60</f>
        <v>-16951.604471088325</v>
      </c>
      <c r="BC60" s="1021">
        <f>(VLOOKUP(YEAR($A60),'NY East Load Projections'!$A$4:$EO$14,((MONTH($A60)-1)*12)+VLOOKUP(BC$4,$DE$6:$DF$17,2)+1))*(VLOOKUP($A60,SatSunCurve,2))*(INDEX(DailyScalarsTable,BC$5/100,MONTH($A60)))*$C60</f>
        <v>-11772.171371927008</v>
      </c>
      <c r="BD60" s="1021">
        <f>(VLOOKUP(YEAR($A60),'NY East Load Projections'!$A$4:$EO$14,((MONTH($A60)-1)*12)+VLOOKUP(BD$4,$DE$6:$DF$17,2)+1))*(VLOOKUP($A60,CURVES!$D$9:$T$261,6))*(INDEX(DailyScalarsTable,BD$5/100,MONTH($A60)))*$C60</f>
        <v>-13449.943227842716</v>
      </c>
      <c r="BE60" s="1021"/>
      <c r="BF60" s="1021">
        <f>(VLOOKUP(YEAR($A60),'NY East Load Projections'!$A$4:$EO$14,((MONTH($A60)-1)*12)+VLOOKUP(BF$4,$DE$6:$DF$17,2)+1))*(VLOOKUP($A60,CURVES!$D$9:$T$261,6))*(INDEX(DailyScalarsTable,BF$5/100,MONTH($A60)))*$D60</f>
        <v>-11498.837828186015</v>
      </c>
      <c r="BG60" s="1021">
        <f>(VLOOKUP(YEAR($A60),'NY East Load Projections'!$A$4:$EO$14,((MONTH($A60)-1)*12)+VLOOKUP(BG$4,$DE$6:$DF$17,2)+1))*(VLOOKUP($A60,CURVES!$D$9:$T$261,6))*(INDEX(DailyScalarsTable,BG$5/100,MONTH($A60)))*$D60</f>
        <v>-10503.422738360588</v>
      </c>
      <c r="BH60" s="1021">
        <f>(VLOOKUP(YEAR($A60),'NY East Load Projections'!$A$4:$EO$14,((MONTH($A60)-1)*12)+VLOOKUP(BH$4,$DE$6:$DF$17,2)+1))*(VLOOKUP($A60,CURVES!$D$9:$T$261,6))*(INDEX(DailyScalarsTable,BH$5/100,MONTH($A60)))*$D60</f>
        <v>-10007.957119325867</v>
      </c>
      <c r="BI60" s="1021">
        <f>(VLOOKUP(YEAR($A60),'NY East Load Projections'!$A$4:$EO$14,((MONTH($A60)-1)*12)+VLOOKUP(BI$4,$DE$6:$DF$17,2)+1))*(VLOOKUP($A60,CURVES!$D$9:$T$261,6))*(INDEX(DailyScalarsTable,BI$5/100,MONTH($A60)))*$D60</f>
        <v>-9012.5420295004405</v>
      </c>
      <c r="BJ60" s="1021">
        <f>(VLOOKUP(YEAR($A60),'NY East Load Projections'!$A$4:$EO$14,((MONTH($A60)-1)*12)+VLOOKUP(BJ$4,$DE$6:$DF$17,2)+1))*(VLOOKUP($A60,CURVES!$D$9:$T$261,6))*(INDEX(DailyScalarsTable,BJ$5/100,MONTH($A60)))*$D60</f>
        <v>-8672.9274621459845</v>
      </c>
      <c r="BK60" s="1021">
        <f>(VLOOKUP(YEAR($A60),'NY East Load Projections'!$A$4:$EO$14,((MONTH($A60)-1)*12)+VLOOKUP(BK$4,$DE$6:$DF$17,2)+1))*(VLOOKUP($A60,CURVES!$D$9:$T$261,6))*(INDEX(DailyScalarsTable,BK$5/100,MONTH($A60)))*$D60</f>
        <v>-9561.58433785329</v>
      </c>
      <c r="BL60" s="1021">
        <f>(VLOOKUP(YEAR($A60),'NY East Load Projections'!$A$4:$EO$14,((MONTH($A60)-1)*12)+VLOOKUP(BL$4,$DE$6:$DF$17,2)+1))*(VLOOKUP($A60,CURVES!$D$9:$T$261,6))*(INDEX(DailyScalarsTable,BL$5/100,MONTH($A60)))*$D60</f>
        <v>-10618.426913822335</v>
      </c>
      <c r="BM60" s="1021">
        <f>(VLOOKUP(YEAR($A60),'NY East Load Projections'!$A$4:$EO$14,((MONTH($A60)-1)*12)+VLOOKUP(BM$4,$DE$6:$DF$17,2)+1))*(VLOOKUP($A60,SatSunCurve,6))*(INDEX(DailyScalarsTable,BM$5/100,MONTH($A60)))*$D60</f>
        <v>-7183.9305224927757</v>
      </c>
      <c r="BN60" s="1021">
        <f>(VLOOKUP(YEAR($A60),'NY East Load Projections'!$A$4:$EO$14,((MONTH($A60)-1)*12)+VLOOKUP(BN$4,$DE$6:$DF$17,2)+1))*(VLOOKUP($A60,SatSunCurve,6))*(INDEX(DailyScalarsTable,BN$5/100,MONTH($A60)))*$D60</f>
        <v>-8687.3035715059541</v>
      </c>
      <c r="BO60" s="1021">
        <f>(VLOOKUP(YEAR($A60),'NY East Load Projections'!$A$4:$EO$14,((MONTH($A60)-1)*12)+VLOOKUP(BO$4,$DE$6:$DF$17,2)+1))*(VLOOKUP($A60,SatSunCurve,6))*(INDEX(DailyScalarsTable,BO$5/100,MONTH($A60)))*$D60</f>
        <v>-10401.083846115251</v>
      </c>
      <c r="BP60" s="1021">
        <f>(VLOOKUP(YEAR($A60),'NY East Load Projections'!$A$4:$EO$14,((MONTH($A60)-1)*12)+VLOOKUP(BP$4,$DE$6:$DF$17,2)+1))*(VLOOKUP($A60,SatSunCurve,6))*(INDEX(DailyScalarsTable,BP$5/100,MONTH($A60)))*$D60</f>
        <v>-11835.33728106249</v>
      </c>
      <c r="BQ60" s="1021">
        <f>(VLOOKUP(YEAR($A60),'NY East Load Projections'!$A$4:$EO$14,((MONTH($A60)-1)*12)+VLOOKUP(BQ$4,$DE$6:$DF$17,2)+1))*(VLOOKUP($A60,SatSunCurve,6))*(INDEX(DailyScalarsTable,BQ$5/100,MONTH($A60)))*$D60</f>
        <v>-14149.673036517781</v>
      </c>
      <c r="BR60" s="1021">
        <f>(VLOOKUP(YEAR($A60),'NY East Load Projections'!$A$4:$EO$14,((MONTH($A60)-1)*12)+VLOOKUP(BR$4,$DE$6:$DF$17,2)+1))*(VLOOKUP($A60,SatSunCurve,6))*(INDEX(DailyScalarsTable,BR$5/100,MONTH($A60)))*$D60</f>
        <v>-16077.036771662877</v>
      </c>
      <c r="BS60" s="1021">
        <f>(VLOOKUP(YEAR($A60),'NY East Load Projections'!$A$4:$EO$14,((MONTH($A60)-1)*12)+VLOOKUP(BS$4,$DE$6:$DF$17,2)+1))*(VLOOKUP($A60,SatSunCurve,6))*(INDEX(DailyScalarsTable,BS$5/100,MONTH($A60)))*$D60</f>
        <v>-16618.139292938315</v>
      </c>
      <c r="BT60" s="1021">
        <f>(VLOOKUP(YEAR($A60),'NY East Load Projections'!$A$4:$EO$14,((MONTH($A60)-1)*12)+VLOOKUP(BT$4,$DE$6:$DF$17,2)+1))*(VLOOKUP($A60,SatSunCurve,6))*(INDEX(DailyScalarsTable,BT$5/100,MONTH($A60)))*$D60</f>
        <v>-17310.247168988295</v>
      </c>
      <c r="BU60" s="1021">
        <f>(VLOOKUP(YEAR($A60),'NY East Load Projections'!$A$4:$EO$14,((MONTH($A60)-1)*12)+VLOOKUP(BU$4,$DE$6:$DF$17,2)+1))*(VLOOKUP($A60,SatSunCurve,6))*(INDEX(DailyScalarsTable,BU$5/100,MONTH($A60)))*$D60</f>
        <v>-18371.059786279457</v>
      </c>
      <c r="BV60" s="1021">
        <f>(VLOOKUP(YEAR($A60),'NY East Load Projections'!$A$4:$EO$14,((MONTH($A60)-1)*12)+VLOOKUP(BV$4,$DE$6:$DF$17,2)+1))*(VLOOKUP($A60,SatSunCurve,6))*(INDEX(DailyScalarsTable,BV$5/100,MONTH($A60)))*$D60</f>
        <v>-17810.366107770209</v>
      </c>
      <c r="BW60" s="1021">
        <f>(VLOOKUP(YEAR($A60),'NY East Load Projections'!$A$4:$EO$14,((MONTH($A60)-1)*12)+VLOOKUP(BW$4,$DE$6:$DF$17,2)+1))*(VLOOKUP($A60,SatSunCurve,6))*(INDEX(DailyScalarsTable,BW$5/100,MONTH($A60)))*$D60</f>
        <v>-17369.024015649651</v>
      </c>
      <c r="BX60" s="1021">
        <f>(VLOOKUP(YEAR($A60),'NY East Load Projections'!$A$4:$EO$14,((MONTH($A60)-1)*12)+VLOOKUP(BX$4,$DE$6:$DF$17,2)+1))*(VLOOKUP($A60,SatSunCurve,6))*(INDEX(DailyScalarsTable,BX$5/100,MONTH($A60)))*$D60</f>
        <v>-14506.878686531785</v>
      </c>
      <c r="BY60" s="1021">
        <f>(VLOOKUP(YEAR($A60),'NY East Load Projections'!$A$4:$EO$14,((MONTH($A60)-1)*12)+VLOOKUP(BY$4,$DE$6:$DF$17,2)+1))*(VLOOKUP($A60,SatSunCurve,6))*(INDEX(DailyScalarsTable,BY$5/100,MONTH($A60)))*$D60</f>
        <v>-10734.540045479662</v>
      </c>
      <c r="BZ60" s="1021">
        <f>(VLOOKUP(YEAR($A60),'NY East Load Projections'!$A$4:$EO$14,((MONTH($A60)-1)*12)+VLOOKUP(BZ$4,$DE$6:$DF$17,2)+1))*(VLOOKUP($A60,SatSunCurve,6))*(INDEX(DailyScalarsTable,BZ$5/100,MONTH($A60)))*$D60</f>
        <v>-11278.871509967084</v>
      </c>
      <c r="CA60" s="1021">
        <f>(VLOOKUP(YEAR($A60),'NY East Load Projections'!$A$4:$EO$14,((MONTH($A60)-1)*12)+VLOOKUP(CA$4,$DE$6:$DF$17,2)+1))*(VLOOKUP($A60,SatSunCurve,6))*(INDEX(DailyScalarsTable,CA$5/100,MONTH($A60)))*$D60</f>
        <v>-11951.49082435215</v>
      </c>
      <c r="CB60" s="1021">
        <f>(VLOOKUP(YEAR($A60),'NY East Load Projections'!$A$4:$EO$14,((MONTH($A60)-1)*12)+VLOOKUP(CB$4,$DE$6:$DF$17,2)+1))*(VLOOKUP($A60,SatSunCurve,6))*(INDEX(DailyScalarsTable,CB$5/100,MONTH($A60)))*$D60</f>
        <v>-8299.8042087548656</v>
      </c>
      <c r="CC60" s="1021">
        <f>(VLOOKUP(YEAR($A60),'NY East Load Projections'!$A$4:$EO$14,((MONTH($A60)-1)*12)+VLOOKUP(CC$4,$DE$6:$DF$17,2)+1))*(VLOOKUP($A60,CURVES!$D$9:$T$261,6))*(INDEX(DailyScalarsTable,CC$5/100,MONTH($A60)))*$D60</f>
        <v>-13449.943227842716</v>
      </c>
      <c r="CE60" s="1021">
        <f>(VLOOKUP(YEAR($A60),'NY East Load Projections'!$A$4:$EO$14,((MONTH($A60)-1)*12)+VLOOKUP(CE$4,$DE$6:$DF$17,2)+1))*(VLOOKUP($A60,CURVES!$D$9:$T$261,6))*(INDEX(DailyScalarsTable,CE$5/100,MONTH($A60)))*$E60</f>
        <v>-2299.767565637203</v>
      </c>
      <c r="CF60" s="1021">
        <f>(VLOOKUP(YEAR($A60),'NY East Load Projections'!$A$4:$EO$14,((MONTH($A60)-1)*12)+VLOOKUP(CF$4,$DE$6:$DF$17,2)+1))*(VLOOKUP($A60,CURVES!$D$9:$T$261,6))*(INDEX(DailyScalarsTable,CF$5/100,MONTH($A60)))*$E60</f>
        <v>-2100.6845476721178</v>
      </c>
      <c r="CG60" s="1021">
        <f>(VLOOKUP(YEAR($A60),'NY East Load Projections'!$A$4:$EO$14,((MONTH($A60)-1)*12)+VLOOKUP(CG$4,$DE$6:$DF$17,2)+1))*(VLOOKUP($A60,CURVES!$D$9:$T$261,6))*(INDEX(DailyScalarsTable,CG$5/100,MONTH($A60)))*$E60</f>
        <v>-2001.5914238651733</v>
      </c>
      <c r="CH60" s="1021">
        <f>(VLOOKUP(YEAR($A60),'NY East Load Projections'!$A$4:$EO$14,((MONTH($A60)-1)*12)+VLOOKUP(CH$4,$DE$6:$DF$17,2)+1))*(VLOOKUP($A60,CURVES!$D$9:$T$261,6))*(INDEX(DailyScalarsTable,CH$5/100,MONTH($A60)))*$E60</f>
        <v>-1802.5084059000883</v>
      </c>
      <c r="CI60" s="1021">
        <f>(VLOOKUP(YEAR($A60),'NY East Load Projections'!$A$4:$EO$14,((MONTH($A60)-1)*12)+VLOOKUP(CI$4,$DE$6:$DF$17,2)+1))*(VLOOKUP($A60,CURVES!$D$9:$T$261,6))*(INDEX(DailyScalarsTable,CI$5/100,MONTH($A60)))*$E60</f>
        <v>-1734.5854924291971</v>
      </c>
      <c r="CJ60" s="1021">
        <f>(VLOOKUP(YEAR($A60),'NY East Load Projections'!$A$4:$EO$14,((MONTH($A60)-1)*12)+VLOOKUP(CJ$4,$DE$6:$DF$17,2)+1))*(VLOOKUP($A60,CURVES!$D$9:$T$261,6))*(INDEX(DailyScalarsTable,CJ$5/100,MONTH($A60)))*$E60</f>
        <v>-1912.3168675706579</v>
      </c>
      <c r="CK60" s="1021">
        <f>(VLOOKUP(YEAR($A60),'NY East Load Projections'!$A$4:$EO$14,((MONTH($A60)-1)*12)+VLOOKUP(CK$4,$DE$6:$DF$17,2)+1))*(VLOOKUP($A60,CURVES!$D$9:$T$261,6))*(INDEX(DailyScalarsTable,CK$5/100,MONTH($A60)))*$E60</f>
        <v>-2123.6853827644672</v>
      </c>
      <c r="CL60" s="1021">
        <f>(VLOOKUP(YEAR($A60),'NY East Load Projections'!$A$4:$EO$14,((MONTH($A60)-1)*12)+VLOOKUP(CL$4,$DE$6:$DF$17,2)+1))*(VLOOKUP($A60,SatSunCurve,6))*(INDEX(DailyScalarsTable,CL$5/100,MONTH($A60)))*$E60</f>
        <v>-1436.7861044985552</v>
      </c>
      <c r="CM60" s="1021">
        <f>(VLOOKUP(YEAR($A60),'NY East Load Projections'!$A$4:$EO$14,((MONTH($A60)-1)*12)+VLOOKUP(CM$4,$DE$6:$DF$17,2)+1))*(VLOOKUP($A60,SatSunCurve,6))*(INDEX(DailyScalarsTable,CM$5/100,MONTH($A60)))*$E60</f>
        <v>-1737.4607143011908</v>
      </c>
      <c r="CN60" s="1021">
        <f>(VLOOKUP(YEAR($A60),'NY East Load Projections'!$A$4:$EO$14,((MONTH($A60)-1)*12)+VLOOKUP(CN$4,$DE$6:$DF$17,2)+1))*(VLOOKUP($A60,SatSunCurve,6))*(INDEX(DailyScalarsTable,CN$5/100,MONTH($A60)))*$E60</f>
        <v>-2080.2167692230501</v>
      </c>
      <c r="CO60" s="1021">
        <f>(VLOOKUP(YEAR($A60),'NY East Load Projections'!$A$4:$EO$14,((MONTH($A60)-1)*12)+VLOOKUP(CO$4,$DE$6:$DF$17,2)+1))*(VLOOKUP($A60,SatSunCurve,6))*(INDEX(DailyScalarsTable,CO$5/100,MONTH($A60)))*$E60</f>
        <v>-2367.0674562124977</v>
      </c>
      <c r="CP60" s="1021">
        <f>(VLOOKUP(YEAR($A60),'NY East Load Projections'!$A$4:$EO$14,((MONTH($A60)-1)*12)+VLOOKUP(CP$4,$DE$6:$DF$17,2)+1))*(VLOOKUP($A60,SatSunCurve,6))*(INDEX(DailyScalarsTable,CP$5/100,MONTH($A60)))*$E60</f>
        <v>-2829.9346073035563</v>
      </c>
      <c r="CQ60" s="1021">
        <f>(VLOOKUP(YEAR($A60),'NY East Load Projections'!$A$4:$EO$14,((MONTH($A60)-1)*12)+VLOOKUP(CQ$4,$DE$6:$DF$17,2)+1))*(VLOOKUP($A60,SatSunCurve,6))*(INDEX(DailyScalarsTable,CQ$5/100,MONTH($A60)))*$E60</f>
        <v>-3215.4073543325753</v>
      </c>
      <c r="CR60" s="1021">
        <f>(VLOOKUP(YEAR($A60),'NY East Load Projections'!$A$4:$EO$14,((MONTH($A60)-1)*12)+VLOOKUP(CR$4,$DE$6:$DF$17,2)+1))*(VLOOKUP($A60,SatSunCurve,6))*(INDEX(DailyScalarsTable,CR$5/100,MONTH($A60)))*$E60</f>
        <v>-3323.627858587663</v>
      </c>
      <c r="CS60" s="1021">
        <f>(VLOOKUP(YEAR($A60),'NY East Load Projections'!$A$4:$EO$14,((MONTH($A60)-1)*12)+VLOOKUP(CS$4,$DE$6:$DF$17,2)+1))*(VLOOKUP($A60,SatSunCurve,6))*(INDEX(DailyScalarsTable,CS$5/100,MONTH($A60)))*$E60</f>
        <v>-3462.0494337976593</v>
      </c>
      <c r="CT60" s="1021">
        <f>(VLOOKUP(YEAR($A60),'NY East Load Projections'!$A$4:$EO$14,((MONTH($A60)-1)*12)+VLOOKUP(CT$4,$DE$6:$DF$17,2)+1))*(VLOOKUP($A60,SatSunCurve,6))*(INDEX(DailyScalarsTable,CT$5/100,MONTH($A60)))*$E60</f>
        <v>-3674.2119572558913</v>
      </c>
      <c r="CU60" s="1021">
        <f>(VLOOKUP(YEAR($A60),'NY East Load Projections'!$A$4:$EO$14,((MONTH($A60)-1)*12)+VLOOKUP(CU$4,$DE$6:$DF$17,2)+1))*(VLOOKUP($A60,SatSunCurve,6))*(INDEX(DailyScalarsTable,CU$5/100,MONTH($A60)))*$E60</f>
        <v>-3562.073221554042</v>
      </c>
      <c r="CV60" s="1021">
        <f>(VLOOKUP(YEAR($A60),'NY East Load Projections'!$A$4:$EO$14,((MONTH($A60)-1)*12)+VLOOKUP(CV$4,$DE$6:$DF$17,2)+1))*(VLOOKUP($A60,SatSunCurve,6))*(INDEX(DailyScalarsTable,CV$5/100,MONTH($A60)))*$E60</f>
        <v>-3473.8048031299304</v>
      </c>
      <c r="CW60" s="1021">
        <f>(VLOOKUP(YEAR($A60),'NY East Load Projections'!$A$4:$EO$14,((MONTH($A60)-1)*12)+VLOOKUP(CW$4,$DE$6:$DF$17,2)+1))*(VLOOKUP($A60,SatSunCurve,6))*(INDEX(DailyScalarsTable,CW$5/100,MONTH($A60)))*$E60</f>
        <v>-2901.3757373063572</v>
      </c>
      <c r="CX60" s="1021">
        <f>(VLOOKUP(YEAR($A60),'NY East Load Projections'!$A$4:$EO$14,((MONTH($A60)-1)*12)+VLOOKUP(CX$4,$DE$6:$DF$17,2)+1))*(VLOOKUP($A60,SatSunCurve,6))*(INDEX(DailyScalarsTable,CX$5/100,MONTH($A60)))*$E60</f>
        <v>-2146.9080090959324</v>
      </c>
      <c r="CY60" s="1021">
        <f>(VLOOKUP(YEAR($A60),'NY East Load Projections'!$A$4:$EO$14,((MONTH($A60)-1)*12)+VLOOKUP(CY$4,$DE$6:$DF$17,2)+1))*(VLOOKUP($A60,SatSunCurve,6))*(INDEX(DailyScalarsTable,CY$5/100,MONTH($A60)))*$E60</f>
        <v>-2255.7743019934169</v>
      </c>
      <c r="CZ60" s="1021">
        <f>(VLOOKUP(YEAR($A60),'NY East Load Projections'!$A$4:$EO$14,((MONTH($A60)-1)*12)+VLOOKUP(CZ$4,$DE$6:$DF$17,2)+1))*(VLOOKUP($A60,SatSunCurve,6))*(INDEX(DailyScalarsTable,CZ$5/100,MONTH($A60)))*$E60</f>
        <v>-2390.2981648704299</v>
      </c>
      <c r="DA60" s="1021">
        <f>(VLOOKUP(YEAR($A60),'NY East Load Projections'!$A$4:$EO$14,((MONTH($A60)-1)*12)+VLOOKUP(DA$4,$DE$6:$DF$17,2)+1))*(VLOOKUP($A60,SatSunCurve,6))*(INDEX(DailyScalarsTable,DA$5/100,MONTH($A60)))*$E60</f>
        <v>-1659.9608417509733</v>
      </c>
      <c r="DB60" s="1021">
        <f>(VLOOKUP(YEAR($A60),'NY East Load Projections'!$A$4:$EO$14,((MONTH($A60)-1)*12)+VLOOKUP(DB$4,$DE$6:$DF$17,2)+1))*(VLOOKUP($A60,CURVES!$D$9:$T$261,6))*(INDEX(DailyScalarsTable,DB$5/100,MONTH($A60)))*$E60</f>
        <v>-2689.9886455685432</v>
      </c>
      <c r="DH60" s="1021">
        <f t="shared" si="0"/>
        <v>-3546341.911308757</v>
      </c>
      <c r="DI60">
        <f ca="1">CALC!J80</f>
        <v>0.67507196780665579</v>
      </c>
      <c r="DJ60" s="1029">
        <f t="shared" ca="1" si="1"/>
        <v>-2394036.0125824194</v>
      </c>
    </row>
    <row r="61" spans="1:114" x14ac:dyDescent="0.25">
      <c r="A61" s="244">
        <v>38565</v>
      </c>
      <c r="B61" s="13">
        <v>23</v>
      </c>
      <c r="C61" s="210">
        <v>4</v>
      </c>
      <c r="D61" s="210">
        <v>4</v>
      </c>
      <c r="E61" s="210">
        <v>0</v>
      </c>
      <c r="F61" s="13">
        <v>31</v>
      </c>
      <c r="H61" s="1021">
        <f>(VLOOKUP(YEAR($A61),'NY East Load Projections'!$A$4:$EO$14,((MONTH($A61)-1)*12)+VLOOKUP(H$4,$DE$6:$DF$17,2)+1))*(VLOOKUP($A61,CURVES!$D$9:$K$261,6))*(INDEX(DailyScalarsTable,H$5/100,MONTH($A61)))*$B61</f>
        <v>-55904.822204777927</v>
      </c>
      <c r="I61" s="1021">
        <f>(VLOOKUP(YEAR($A61),'NY East Load Projections'!$A$4:$EO$14,((MONTH($A61)-1)*12)+VLOOKUP(I$4,$DE$6:$DF$17,2)+1))*(VLOOKUP($A61,CURVES!$D$9:$K$261,6))*(INDEX(DailyScalarsTable,I$5/100,MONTH($A61)))*$B61</f>
        <v>-50466.262200385296</v>
      </c>
      <c r="J61" s="1021">
        <f>(VLOOKUP(YEAR($A61),'NY East Load Projections'!$A$4:$EO$14,((MONTH($A61)-1)*12)+VLOOKUP(J$4,$DE$6:$DF$17,2)+1))*(VLOOKUP($A61,CURVES!$D$9:$K$261,6))*(INDEX(DailyScalarsTable,J$5/100,MONTH($A61)))*$B61</f>
        <v>-45321.333369938737</v>
      </c>
      <c r="K61" s="1021">
        <f>(VLOOKUP(YEAR($A61),'NY East Load Projections'!$A$4:$EO$14,((MONTH($A61)-1)*12)+VLOOKUP(K$4,$DE$6:$DF$17,2)+1))*(VLOOKUP($A61,CURVES!$D$9:$K$261,6))*(INDEX(DailyScalarsTable,K$5/100,MONTH($A61)))*$B61</f>
        <v>-42640.353086083196</v>
      </c>
      <c r="L61" s="1021">
        <f>(VLOOKUP(YEAR($A61),'NY East Load Projections'!$A$4:$EO$14,((MONTH($A61)-1)*12)+VLOOKUP(L$4,$DE$6:$DF$17,2)+1))*(VLOOKUP($A61,CURVES!$D$9:$K$261,6))*(INDEX(DailyScalarsTable,L$5/100,MONTH($A61)))*$B61</f>
        <v>-48303.238896265735</v>
      </c>
      <c r="M61" s="1021">
        <f>(VLOOKUP(YEAR($A61),'NY East Load Projections'!$A$4:$EO$14,((MONTH($A61)-1)*12)+VLOOKUP(M$4,$DE$6:$DF$17,2)+1))*(VLOOKUP($A61,CURVES!$D$9:$K$261,6))*(INDEX(DailyScalarsTable,M$5/100,MONTH($A61)))*$B61</f>
        <v>-53667.169376526013</v>
      </c>
      <c r="N61" s="1021">
        <f>(VLOOKUP(YEAR($A61),'NY East Load Projections'!$A$4:$EO$14,((MONTH($A61)-1)*12)+VLOOKUP(N$4,$DE$6:$DF$17,2)+1))*(VLOOKUP($A61,CURVES!$D$9:$K$261,6))*(INDEX(DailyScalarsTable,N$5/100,MONTH($A61)))*$B61</f>
        <v>-62444.510162406419</v>
      </c>
      <c r="O61" s="1021">
        <f>(VLOOKUP(YEAR($A61),'NY East Load Projections'!$A$4:$EO$14,((MONTH($A61)-1)*12)+VLOOKUP(O$4,$DE$6:$DF$17,2)+1))*(VLOOKUP($A61,CURVES!$D$9:$K$261,2))*(INDEX(DailyScalarsTable,O$5/100,MONTH($A61)))*$B61</f>
        <v>-101202.81408274964</v>
      </c>
      <c r="P61" s="1021">
        <f>(VLOOKUP(YEAR($A61),'NY East Load Projections'!$A$4:$EO$14,((MONTH($A61)-1)*12)+VLOOKUP(P$4,$DE$6:$DF$17,2)+1))*(VLOOKUP($A61,CURVES!$D$9:$K$261,2))*(INDEX(DailyScalarsTable,P$5/100,MONTH($A61)))*$B61</f>
        <v>-125195.27972368085</v>
      </c>
      <c r="Q61" s="1021">
        <f>(VLOOKUP(YEAR($A61),'NY East Load Projections'!$A$4:$EO$14,((MONTH($A61)-1)*12)+VLOOKUP(Q$4,$DE$6:$DF$17,2)+1))*(VLOOKUP($A61,CURVES!$D$9:$K$261,2))*(INDEX(DailyScalarsTable,Q$5/100,MONTH($A61)))*$B61</f>
        <v>-160555.24407516787</v>
      </c>
      <c r="R61" s="1021">
        <f>(VLOOKUP(YEAR($A61),'NY East Load Projections'!$A$4:$EO$14,((MONTH($A61)-1)*12)+VLOOKUP(R$4,$DE$6:$DF$17,2)+1))*(VLOOKUP($A61,CURVES!$D$9:$K$261,2))*(INDEX(DailyScalarsTable,R$5/100,MONTH($A61)))*$B61</f>
        <v>-181211.06483494741</v>
      </c>
      <c r="S61" s="1021">
        <f>(VLOOKUP(YEAR($A61),'NY East Load Projections'!$A$4:$EO$14,((MONTH($A61)-1)*12)+VLOOKUP(S$4,$DE$6:$DF$17,2)+1))*(VLOOKUP($A61,CURVES!$D$9:$K$261,2))*(INDEX(DailyScalarsTable,S$5/100,MONTH($A61)))*$B61</f>
        <v>-188889.89537728351</v>
      </c>
      <c r="T61" s="1021">
        <f>(VLOOKUP(YEAR($A61),'NY East Load Projections'!$A$4:$EO$14,((MONTH($A61)-1)*12)+VLOOKUP(T$4,$DE$6:$DF$17,2)+1))*(VLOOKUP($A61,CURVES!$D$9:$K$261,2))*(INDEX(DailyScalarsTable,T$5/100,MONTH($A61)))*$B61</f>
        <v>-192435.76469638242</v>
      </c>
      <c r="U61" s="1021">
        <f>(VLOOKUP(YEAR($A61),'NY East Load Projections'!$A$4:$EO$14,((MONTH($A61)-1)*12)+VLOOKUP(U$4,$DE$6:$DF$17,2)+1))*(VLOOKUP($A61,CURVES!$D$9:$K$261,2))*(INDEX(DailyScalarsTable,U$5/100,MONTH($A61)))*$B61</f>
        <v>-211250.32133938407</v>
      </c>
      <c r="V61" s="1021">
        <f>(VLOOKUP(YEAR($A61),'NY East Load Projections'!$A$4:$EO$14,((MONTH($A61)-1)*12)+VLOOKUP(V$4,$DE$6:$DF$17,2)+1))*(VLOOKUP($A61,CURVES!$D$9:$K$261,2))*(INDEX(DailyScalarsTable,V$5/100,MONTH($A61)))*$B61</f>
        <v>-223641.56437687692</v>
      </c>
      <c r="W61" s="1021">
        <f>(VLOOKUP(YEAR($A61),'NY East Load Projections'!$A$4:$EO$14,((MONTH($A61)-1)*12)+VLOOKUP(W$4,$DE$6:$DF$17,2)+1))*(VLOOKUP($A61,CURVES!$D$9:$K$261,2))*(INDEX(DailyScalarsTable,W$5/100,MONTH($A61)))*$B61</f>
        <v>-220525.77792644352</v>
      </c>
      <c r="X61" s="1021">
        <f>(VLOOKUP(YEAR($A61),'NY East Load Projections'!$A$4:$EO$14,((MONTH($A61)-1)*12)+VLOOKUP(X$4,$DE$6:$DF$17,2)+1))*(VLOOKUP($A61,CURVES!$D$9:$K$261,2))*(INDEX(DailyScalarsTable,X$5/100,MONTH($A61)))*$B61</f>
        <v>-203104.33282108846</v>
      </c>
      <c r="Y61" s="1021">
        <f>(VLOOKUP(YEAR($A61),'NY East Load Projections'!$A$4:$EO$14,((MONTH($A61)-1)*12)+VLOOKUP(Y$4,$DE$6:$DF$17,2)+1))*(VLOOKUP($A61,CURVES!$D$9:$K$261,2))*(INDEX(DailyScalarsTable,Y$5/100,MONTH($A61)))*$B61</f>
        <v>-188087.16789713656</v>
      </c>
      <c r="Z61" s="1021">
        <f>(VLOOKUP(YEAR($A61),'NY East Load Projections'!$A$4:$EO$14,((MONTH($A61)-1)*12)+VLOOKUP(Z$4,$DE$6:$DF$17,2)+1))*(VLOOKUP($A61,CURVES!$D$9:$K$261,2))*(INDEX(DailyScalarsTable,Z$5/100,MONTH($A61)))*$B61</f>
        <v>-153310.57544166889</v>
      </c>
      <c r="AA61" s="1021">
        <f>(VLOOKUP(YEAR($A61),'NY East Load Projections'!$A$4:$EO$14,((MONTH($A61)-1)*12)+VLOOKUP(AA$4,$DE$6:$DF$17,2)+1))*(VLOOKUP($A61,CURVES!$D$9:$K$261,2))*(INDEX(DailyScalarsTable,AA$5/100,MONTH($A61)))*$B61</f>
        <v>-139580.59608262713</v>
      </c>
      <c r="AB61" s="1021">
        <f>(VLOOKUP(YEAR($A61),'NY East Load Projections'!$A$4:$EO$14,((MONTH($A61)-1)*12)+VLOOKUP(AB$4,$DE$6:$DF$17,2)+1))*(VLOOKUP($A61,CURVES!$D$9:$K$261,2))*(INDEX(DailyScalarsTable,AB$5/100,MONTH($A61)))*$B61</f>
        <v>-154638.80374975965</v>
      </c>
      <c r="AC61" s="1021">
        <f>(VLOOKUP(YEAR($A61),'NY East Load Projections'!$A$4:$EO$14,((MONTH($A61)-1)*12)+VLOOKUP(AC$4,$DE$6:$DF$17,2)+1))*(VLOOKUP($A61,CURVES!$D$9:$K$261,2))*(INDEX(DailyScalarsTable,AC$5/100,MONTH($A61)))*$B61</f>
        <v>-131493.68769411868</v>
      </c>
      <c r="AD61" s="1021">
        <f>(VLOOKUP(YEAR($A61),'NY East Load Projections'!$A$4:$EO$14,((MONTH($A61)-1)*12)+VLOOKUP(AD$4,$DE$6:$DF$17,2)+1))*(VLOOKUP($A61,CURVES!$D$9:$K$261,2))*(INDEX(DailyScalarsTable,AD$5/100,MONTH($A61)))*$B61</f>
        <v>-106479.46432814233</v>
      </c>
      <c r="AE61" s="1021">
        <f>(VLOOKUP(YEAR($A61),'NY East Load Projections'!$A$4:$EO$14,((MONTH($A61)-1)*12)+VLOOKUP(AE$4,$DE$6:$DF$17,2)+1))*(VLOOKUP($A61,CURVES!$D$9:$K$261,6))*(INDEX(DailyScalarsTable,AE$5/100,MONTH($A61)))*$B61</f>
        <v>-68296.760629807279</v>
      </c>
      <c r="AF61" s="1021"/>
      <c r="AG61" s="1021">
        <f>(VLOOKUP(YEAR($A61),'NY East Load Projections'!$A$4:$EO$14,((MONTH($A61)-1)*12)+VLOOKUP(AG$4,$DE$6:$DF$17,2)+1))*(VLOOKUP($A61,CURVES!$D$9:$T$261,6))*(INDEX(DailyScalarsTable,AG$5/100,MONTH($A61)))*$C61</f>
        <v>-9554.9782712430278</v>
      </c>
      <c r="AH61" s="1021">
        <f>(VLOOKUP(YEAR($A61),'NY East Load Projections'!$A$4:$EO$14,((MONTH($A61)-1)*12)+VLOOKUP(AH$4,$DE$6:$DF$17,2)+1))*(VLOOKUP($A61,CURVES!$D$9:$T$261,6))*(INDEX(DailyScalarsTable,AH$5/100,MONTH($A61)))*$C61</f>
        <v>-8625.4462448558334</v>
      </c>
      <c r="AI61" s="1021">
        <f>(VLOOKUP(YEAR($A61),'NY East Load Projections'!$A$4:$EO$14,((MONTH($A61)-1)*12)+VLOOKUP(AI$4,$DE$6:$DF$17,2)+1))*(VLOOKUP($A61,CURVES!$D$9:$T$261,6))*(INDEX(DailyScalarsTable,AI$5/100,MONTH($A61)))*$C61</f>
        <v>-7746.1002198933002</v>
      </c>
      <c r="AJ61" s="1021">
        <f>(VLOOKUP(YEAR($A61),'NY East Load Projections'!$A$4:$EO$14,((MONTH($A61)-1)*12)+VLOOKUP(AJ$4,$DE$6:$DF$17,2)+1))*(VLOOKUP($A61,CURVES!$D$9:$T$261,6))*(INDEX(DailyScalarsTable,AJ$5/100,MONTH($A61)))*$C61</f>
        <v>-7287.8802068855257</v>
      </c>
      <c r="AK61" s="1021">
        <f>(VLOOKUP(YEAR($A61),'NY East Load Projections'!$A$4:$EO$14,((MONTH($A61)-1)*12)+VLOOKUP(AK$4,$DE$6:$DF$17,2)+1))*(VLOOKUP($A61,CURVES!$D$9:$T$261,6))*(INDEX(DailyScalarsTable,AK$5/100,MONTH($A61)))*$C61</f>
        <v>-7685.4210283277771</v>
      </c>
      <c r="AL61" s="1021">
        <f>(VLOOKUP(YEAR($A61),'NY East Load Projections'!$A$4:$EO$14,((MONTH($A61)-1)*12)+VLOOKUP(AL$4,$DE$6:$DF$17,2)+1))*(VLOOKUP($A61,CURVES!$D$9:$T$261,6))*(INDEX(DailyScalarsTable,AL$5/100,MONTH($A61)))*$C61</f>
        <v>-8538.8640903139931</v>
      </c>
      <c r="AM61" s="1021">
        <f>(VLOOKUP(YEAR($A61),'NY East Load Projections'!$A$4:$EO$14,((MONTH($A61)-1)*12)+VLOOKUP(AM$4,$DE$6:$DF$17,2)+1))*(VLOOKUP($A61,CURVES!$D$9:$T$261,6))*(INDEX(DailyScalarsTable,AM$5/100,MONTH($A61)))*$C61</f>
        <v>-9935.4072826550637</v>
      </c>
      <c r="AN61" s="1021">
        <f>(VLOOKUP(YEAR($A61),'NY East Load Projections'!$A$4:$EO$14,((MONTH($A61)-1)*12)+VLOOKUP(AN$4,$DE$6:$DF$17,2)+1))*(VLOOKUP($A61,SatSunCurve,2))*(INDEX(DailyScalarsTable,AN$5/100,MONTH($A61)))*$C61</f>
        <v>-10274.362456315752</v>
      </c>
      <c r="AO61" s="1021">
        <f>(VLOOKUP(YEAR($A61),'NY East Load Projections'!$A$4:$EO$14,((MONTH($A61)-1)*12)+VLOOKUP(AO$4,$DE$6:$DF$17,2)+1))*(VLOOKUP($A61,SatSunCurve,2))*(INDEX(DailyScalarsTable,AO$5/100,MONTH($A61)))*$C61</f>
        <v>-12378.862127674538</v>
      </c>
      <c r="AP61" s="1021">
        <f>(VLOOKUP(YEAR($A61),'NY East Load Projections'!$A$4:$EO$14,((MONTH($A61)-1)*12)+VLOOKUP(AP$4,$DE$6:$DF$17,2)+1))*(VLOOKUP($A61,SatSunCurve,2))*(INDEX(DailyScalarsTable,AP$5/100,MONTH($A61)))*$C61</f>
        <v>-15875.129115636306</v>
      </c>
      <c r="AQ61" s="1021">
        <f>(VLOOKUP(YEAR($A61),'NY East Load Projections'!$A$4:$EO$14,((MONTH($A61)-1)*12)+VLOOKUP(AQ$4,$DE$6:$DF$17,2)+1))*(VLOOKUP($A61,SatSunCurve,2))*(INDEX(DailyScalarsTable,AQ$5/100,MONTH($A61)))*$C61</f>
        <v>-17917.502900683274</v>
      </c>
      <c r="AR61" s="1021">
        <f>(VLOOKUP(YEAR($A61),'NY East Load Projections'!$A$4:$EO$14,((MONTH($A61)-1)*12)+VLOOKUP(AR$4,$DE$6:$DF$17,2)+1))*(VLOOKUP($A61,SatSunCurve,2))*(INDEX(DailyScalarsTable,AR$5/100,MONTH($A61)))*$C61</f>
        <v>-18676.758239983221</v>
      </c>
      <c r="AS61" s="1021">
        <f>(VLOOKUP(YEAR($A61),'NY East Load Projections'!$A$4:$EO$14,((MONTH($A61)-1)*12)+VLOOKUP(AS$4,$DE$6:$DF$17,2)+1))*(VLOOKUP($A61,SatSunCurve,2))*(INDEX(DailyScalarsTable,AS$5/100,MONTH($A61)))*$C61</f>
        <v>-19144.222280923914</v>
      </c>
      <c r="AT61" s="1021">
        <f>(VLOOKUP(YEAR($A61),'NY East Load Projections'!$A$4:$EO$14,((MONTH($A61)-1)*12)+VLOOKUP(AT$4,$DE$6:$DF$17,2)+1))*(VLOOKUP($A61,SatSunCurve,2))*(INDEX(DailyScalarsTable,AT$5/100,MONTH($A61)))*$C61</f>
        <v>-21015.964028404953</v>
      </c>
      <c r="AU61" s="1021">
        <f>(VLOOKUP(YEAR($A61),'NY East Load Projections'!$A$4:$EO$14,((MONTH($A61)-1)*12)+VLOOKUP(AU$4,$DE$6:$DF$17,2)+1))*(VLOOKUP($A61,SatSunCurve,2))*(INDEX(DailyScalarsTable,AU$5/100,MONTH($A61)))*$C61</f>
        <v>-22248.690758911576</v>
      </c>
      <c r="AV61" s="1021">
        <f>(VLOOKUP(YEAR($A61),'NY East Load Projections'!$A$4:$EO$14,((MONTH($A61)-1)*12)+VLOOKUP(AV$4,$DE$6:$DF$17,2)+1))*(VLOOKUP($A61,SatSunCurve,2))*(INDEX(DailyScalarsTable,AV$5/100,MONTH($A61)))*$C61</f>
        <v>-21938.720787991151</v>
      </c>
      <c r="AW61" s="1021">
        <f>(VLOOKUP(YEAR($A61),'NY East Load Projections'!$A$4:$EO$14,((MONTH($A61)-1)*12)+VLOOKUP(AW$4,$DE$6:$DF$17,2)+1))*(VLOOKUP($A61,SatSunCurve,2))*(INDEX(DailyScalarsTable,AW$5/100,MONTH($A61)))*$C61</f>
        <v>-20347.194043865518</v>
      </c>
      <c r="AX61" s="1021">
        <f>(VLOOKUP(YEAR($A61),'NY East Load Projections'!$A$4:$EO$14,((MONTH($A61)-1)*12)+VLOOKUP(AX$4,$DE$6:$DF$17,2)+1))*(VLOOKUP($A61,SatSunCurve,2))*(INDEX(DailyScalarsTable,AX$5/100,MONTH($A61)))*$C61</f>
        <v>-18842.759527613511</v>
      </c>
      <c r="AY61" s="1021">
        <f>(VLOOKUP(YEAR($A61),'NY East Load Projections'!$A$4:$EO$14,((MONTH($A61)-1)*12)+VLOOKUP(AY$4,$DE$6:$DF$17,2)+1))*(VLOOKUP($A61,SatSunCurve,2))*(INDEX(DailyScalarsTable,AY$5/100,MONTH($A61)))*$C61</f>
        <v>-15358.805911029911</v>
      </c>
      <c r="AZ61" s="1021">
        <f>(VLOOKUP(YEAR($A61),'NY East Load Projections'!$A$4:$EO$14,((MONTH($A61)-1)*12)+VLOOKUP(AZ$4,$DE$6:$DF$17,2)+1))*(VLOOKUP($A61,SatSunCurve,2))*(INDEX(DailyScalarsTable,AZ$5/100,MONTH($A61)))*$C61</f>
        <v>-13983.322924742361</v>
      </c>
      <c r="BA61" s="1021">
        <f>(VLOOKUP(YEAR($A61),'NY East Load Projections'!$A$4:$EO$14,((MONTH($A61)-1)*12)+VLOOKUP(BA$4,$DE$6:$DF$17,2)+1))*(VLOOKUP($A61,SatSunCurve,2))*(INDEX(DailyScalarsTable,BA$5/100,MONTH($A61)))*$C61</f>
        <v>-16672.17194991836</v>
      </c>
      <c r="BB61" s="1021">
        <f>(VLOOKUP(YEAR($A61),'NY East Load Projections'!$A$4:$EO$14,((MONTH($A61)-1)*12)+VLOOKUP(BB$4,$DE$6:$DF$17,2)+1))*(VLOOKUP($A61,SatSunCurve,2))*(INDEX(DailyScalarsTable,BB$5/100,MONTH($A61)))*$C61</f>
        <v>-14176.812794755066</v>
      </c>
      <c r="BC61" s="1021">
        <f>(VLOOKUP(YEAR($A61),'NY East Load Projections'!$A$4:$EO$14,((MONTH($A61)-1)*12)+VLOOKUP(BC$4,$DE$6:$DF$17,2)+1))*(VLOOKUP($A61,SatSunCurve,2))*(INDEX(DailyScalarsTable,BC$5/100,MONTH($A61)))*$C61</f>
        <v>-11479.938381356926</v>
      </c>
      <c r="BD61" s="1021">
        <f>(VLOOKUP(YEAR($A61),'NY East Load Projections'!$A$4:$EO$14,((MONTH($A61)-1)*12)+VLOOKUP(BD$4,$DE$6:$DF$17,2)+1))*(VLOOKUP($A61,CURVES!$D$9:$T$261,6))*(INDEX(DailyScalarsTable,BD$5/100,MONTH($A61)))*$C61</f>
        <v>-11539.923305238761</v>
      </c>
      <c r="BE61" s="1021"/>
      <c r="BF61" s="1021">
        <f>(VLOOKUP(YEAR($A61),'NY East Load Projections'!$A$4:$EO$14,((MONTH($A61)-1)*12)+VLOOKUP(BF$4,$DE$6:$DF$17,2)+1))*(VLOOKUP($A61,CURVES!$D$9:$T$261,6))*(INDEX(DailyScalarsTable,BF$5/100,MONTH($A61)))*$D61</f>
        <v>-9554.9782712430278</v>
      </c>
      <c r="BG61" s="1021">
        <f>(VLOOKUP(YEAR($A61),'NY East Load Projections'!$A$4:$EO$14,((MONTH($A61)-1)*12)+VLOOKUP(BG$4,$DE$6:$DF$17,2)+1))*(VLOOKUP($A61,CURVES!$D$9:$T$261,6))*(INDEX(DailyScalarsTable,BG$5/100,MONTH($A61)))*$D61</f>
        <v>-8625.4462448558334</v>
      </c>
      <c r="BH61" s="1021">
        <f>(VLOOKUP(YEAR($A61),'NY East Load Projections'!$A$4:$EO$14,((MONTH($A61)-1)*12)+VLOOKUP(BH$4,$DE$6:$DF$17,2)+1))*(VLOOKUP($A61,CURVES!$D$9:$T$261,6))*(INDEX(DailyScalarsTable,BH$5/100,MONTH($A61)))*$D61</f>
        <v>-7746.1002198933002</v>
      </c>
      <c r="BI61" s="1021">
        <f>(VLOOKUP(YEAR($A61),'NY East Load Projections'!$A$4:$EO$14,((MONTH($A61)-1)*12)+VLOOKUP(BI$4,$DE$6:$DF$17,2)+1))*(VLOOKUP($A61,CURVES!$D$9:$T$261,6))*(INDEX(DailyScalarsTable,BI$5/100,MONTH($A61)))*$D61</f>
        <v>-7287.8802068855257</v>
      </c>
      <c r="BJ61" s="1021">
        <f>(VLOOKUP(YEAR($A61),'NY East Load Projections'!$A$4:$EO$14,((MONTH($A61)-1)*12)+VLOOKUP(BJ$4,$DE$6:$DF$17,2)+1))*(VLOOKUP($A61,CURVES!$D$9:$T$261,6))*(INDEX(DailyScalarsTable,BJ$5/100,MONTH($A61)))*$D61</f>
        <v>-7685.4210283277771</v>
      </c>
      <c r="BK61" s="1021">
        <f>(VLOOKUP(YEAR($A61),'NY East Load Projections'!$A$4:$EO$14,((MONTH($A61)-1)*12)+VLOOKUP(BK$4,$DE$6:$DF$17,2)+1))*(VLOOKUP($A61,CURVES!$D$9:$T$261,6))*(INDEX(DailyScalarsTable,BK$5/100,MONTH($A61)))*$D61</f>
        <v>-8538.8640903139931</v>
      </c>
      <c r="BL61" s="1021">
        <f>(VLOOKUP(YEAR($A61),'NY East Load Projections'!$A$4:$EO$14,((MONTH($A61)-1)*12)+VLOOKUP(BL$4,$DE$6:$DF$17,2)+1))*(VLOOKUP($A61,CURVES!$D$9:$T$261,6))*(INDEX(DailyScalarsTable,BL$5/100,MONTH($A61)))*$D61</f>
        <v>-9935.4072826550637</v>
      </c>
      <c r="BM61" s="1021">
        <f>(VLOOKUP(YEAR($A61),'NY East Load Projections'!$A$4:$EO$14,((MONTH($A61)-1)*12)+VLOOKUP(BM$4,$DE$6:$DF$17,2)+1))*(VLOOKUP($A61,SatSunCurve,6))*(INDEX(DailyScalarsTable,BM$5/100,MONTH($A61)))*$D61</f>
        <v>-7218.2531080750314</v>
      </c>
      <c r="BN61" s="1021">
        <f>(VLOOKUP(YEAR($A61),'NY East Load Projections'!$A$4:$EO$14,((MONTH($A61)-1)*12)+VLOOKUP(BN$4,$DE$6:$DF$17,2)+1))*(VLOOKUP($A61,SatSunCurve,6))*(INDEX(DailyScalarsTable,BN$5/100,MONTH($A61)))*$D61</f>
        <v>-8696.7693039281858</v>
      </c>
      <c r="BO61" s="1021">
        <f>(VLOOKUP(YEAR($A61),'NY East Load Projections'!$A$4:$EO$14,((MONTH($A61)-1)*12)+VLOOKUP(BO$4,$DE$6:$DF$17,2)+1))*(VLOOKUP($A61,SatSunCurve,6))*(INDEX(DailyScalarsTable,BO$5/100,MONTH($A61)))*$D61</f>
        <v>-11153.071596145039</v>
      </c>
      <c r="BP61" s="1021">
        <f>(VLOOKUP(YEAR($A61),'NY East Load Projections'!$A$4:$EO$14,((MONTH($A61)-1)*12)+VLOOKUP(BP$4,$DE$6:$DF$17,2)+1))*(VLOOKUP($A61,SatSunCurve,6))*(INDEX(DailyScalarsTable,BP$5/100,MONTH($A61)))*$D61</f>
        <v>-12587.941251994484</v>
      </c>
      <c r="BQ61" s="1021">
        <f>(VLOOKUP(YEAR($A61),'NY East Load Projections'!$A$4:$EO$14,((MONTH($A61)-1)*12)+VLOOKUP(BQ$4,$DE$6:$DF$17,2)+1))*(VLOOKUP($A61,SatSunCurve,6))*(INDEX(DailyScalarsTable,BQ$5/100,MONTH($A61)))*$D61</f>
        <v>-13121.356073208573</v>
      </c>
      <c r="BR61" s="1021">
        <f>(VLOOKUP(YEAR($A61),'NY East Load Projections'!$A$4:$EO$14,((MONTH($A61)-1)*12)+VLOOKUP(BR$4,$DE$6:$DF$17,2)+1))*(VLOOKUP($A61,SatSunCurve,6))*(INDEX(DailyScalarsTable,BR$5/100,MONTH($A61)))*$D61</f>
        <v>-13449.772924451663</v>
      </c>
      <c r="BS61" s="1021">
        <f>(VLOOKUP(YEAR($A61),'NY East Load Projections'!$A$4:$EO$14,((MONTH($A61)-1)*12)+VLOOKUP(BS$4,$DE$6:$DF$17,2)+1))*(VLOOKUP($A61,SatSunCurve,6))*(INDEX(DailyScalarsTable,BS$5/100,MONTH($A61)))*$D61</f>
        <v>-14764.765046222066</v>
      </c>
      <c r="BT61" s="1021">
        <f>(VLOOKUP(YEAR($A61),'NY East Load Projections'!$A$4:$EO$14,((MONTH($A61)-1)*12)+VLOOKUP(BT$4,$DE$6:$DF$17,2)+1))*(VLOOKUP($A61,SatSunCurve,6))*(INDEX(DailyScalarsTable,BT$5/100,MONTH($A61)))*$D61</f>
        <v>-15630.817182470853</v>
      </c>
      <c r="BU61" s="1021">
        <f>(VLOOKUP(YEAR($A61),'NY East Load Projections'!$A$4:$EO$14,((MONTH($A61)-1)*12)+VLOOKUP(BU$4,$DE$6:$DF$17,2)+1))*(VLOOKUP($A61,SatSunCurve,6))*(INDEX(DailyScalarsTable,BU$5/100,MONTH($A61)))*$D61</f>
        <v>-15413.047786508876</v>
      </c>
      <c r="BV61" s="1021">
        <f>(VLOOKUP(YEAR($A61),'NY East Load Projections'!$A$4:$EO$14,((MONTH($A61)-1)*12)+VLOOKUP(BV$4,$DE$6:$DF$17,2)+1))*(VLOOKUP($A61,SatSunCurve,6))*(INDEX(DailyScalarsTable,BV$5/100,MONTH($A61)))*$D61</f>
        <v>-14294.920708919983</v>
      </c>
      <c r="BW61" s="1021">
        <f>(VLOOKUP(YEAR($A61),'NY East Load Projections'!$A$4:$EO$14,((MONTH($A61)-1)*12)+VLOOKUP(BW$4,$DE$6:$DF$17,2)+1))*(VLOOKUP($A61,SatSunCurve,6))*(INDEX(DailyScalarsTable,BW$5/100,MONTH($A61)))*$D61</f>
        <v>-13237.980274026524</v>
      </c>
      <c r="BX61" s="1021">
        <f>(VLOOKUP(YEAR($A61),'NY East Load Projections'!$A$4:$EO$14,((MONTH($A61)-1)*12)+VLOOKUP(BX$4,$DE$6:$DF$17,2)+1))*(VLOOKUP($A61,SatSunCurve,6))*(INDEX(DailyScalarsTable,BX$5/100,MONTH($A61)))*$D61</f>
        <v>-10790.328740589035</v>
      </c>
      <c r="BY61" s="1021">
        <f>(VLOOKUP(YEAR($A61),'NY East Load Projections'!$A$4:$EO$14,((MONTH($A61)-1)*12)+VLOOKUP(BY$4,$DE$6:$DF$17,2)+1))*(VLOOKUP($A61,SatSunCurve,6))*(INDEX(DailyScalarsTable,BY$5/100,MONTH($A61)))*$D61</f>
        <v>-9823.9832001150153</v>
      </c>
      <c r="BZ61" s="1021">
        <f>(VLOOKUP(YEAR($A61),'NY East Load Projections'!$A$4:$EO$14,((MONTH($A61)-1)*12)+VLOOKUP(BZ$4,$DE$6:$DF$17,2)+1))*(VLOOKUP($A61,SatSunCurve,6))*(INDEX(DailyScalarsTable,BZ$5/100,MONTH($A61)))*$D61</f>
        <v>-11713.03402109227</v>
      </c>
      <c r="CA61" s="1021">
        <f>(VLOOKUP(YEAR($A61),'NY East Load Projections'!$A$4:$EO$14,((MONTH($A61)-1)*12)+VLOOKUP(CA$4,$DE$6:$DF$17,2)+1))*(VLOOKUP($A61,SatSunCurve,6))*(INDEX(DailyScalarsTable,CA$5/100,MONTH($A61)))*$D61</f>
        <v>-9959.919503855368</v>
      </c>
      <c r="CB61" s="1021">
        <f>(VLOOKUP(YEAR($A61),'NY East Load Projections'!$A$4:$EO$14,((MONTH($A61)-1)*12)+VLOOKUP(CB$4,$DE$6:$DF$17,2)+1))*(VLOOKUP($A61,SatSunCurve,6))*(INDEX(DailyScalarsTable,CB$5/100,MONTH($A61)))*$D61</f>
        <v>-8065.2304465666839</v>
      </c>
      <c r="CC61" s="1021">
        <f>(VLOOKUP(YEAR($A61),'NY East Load Projections'!$A$4:$EO$14,((MONTH($A61)-1)*12)+VLOOKUP(CC$4,$DE$6:$DF$17,2)+1))*(VLOOKUP($A61,CURVES!$D$9:$T$261,6))*(INDEX(DailyScalarsTable,CC$5/100,MONTH($A61)))*$D61</f>
        <v>-11539.923305238761</v>
      </c>
      <c r="CE61" s="1021">
        <f>(VLOOKUP(YEAR($A61),'NY East Load Projections'!$A$4:$EO$14,((MONTH($A61)-1)*12)+VLOOKUP(CE$4,$DE$6:$DF$17,2)+1))*(VLOOKUP($A61,CURVES!$D$9:$T$261,6))*(INDEX(DailyScalarsTable,CE$5/100,MONTH($A61)))*$E61</f>
        <v>0</v>
      </c>
      <c r="CF61" s="1021">
        <f>(VLOOKUP(YEAR($A61),'NY East Load Projections'!$A$4:$EO$14,((MONTH($A61)-1)*12)+VLOOKUP(CF$4,$DE$6:$DF$17,2)+1))*(VLOOKUP($A61,CURVES!$D$9:$T$261,6))*(INDEX(DailyScalarsTable,CF$5/100,MONTH($A61)))*$E61</f>
        <v>0</v>
      </c>
      <c r="CG61" s="1021">
        <f>(VLOOKUP(YEAR($A61),'NY East Load Projections'!$A$4:$EO$14,((MONTH($A61)-1)*12)+VLOOKUP(CG$4,$DE$6:$DF$17,2)+1))*(VLOOKUP($A61,CURVES!$D$9:$T$261,6))*(INDEX(DailyScalarsTable,CG$5/100,MONTH($A61)))*$E61</f>
        <v>0</v>
      </c>
      <c r="CH61" s="1021">
        <f>(VLOOKUP(YEAR($A61),'NY East Load Projections'!$A$4:$EO$14,((MONTH($A61)-1)*12)+VLOOKUP(CH$4,$DE$6:$DF$17,2)+1))*(VLOOKUP($A61,CURVES!$D$9:$T$261,6))*(INDEX(DailyScalarsTable,CH$5/100,MONTH($A61)))*$E61</f>
        <v>0</v>
      </c>
      <c r="CI61" s="1021">
        <f>(VLOOKUP(YEAR($A61),'NY East Load Projections'!$A$4:$EO$14,((MONTH($A61)-1)*12)+VLOOKUP(CI$4,$DE$6:$DF$17,2)+1))*(VLOOKUP($A61,CURVES!$D$9:$T$261,6))*(INDEX(DailyScalarsTable,CI$5/100,MONTH($A61)))*$E61</f>
        <v>0</v>
      </c>
      <c r="CJ61" s="1021">
        <f>(VLOOKUP(YEAR($A61),'NY East Load Projections'!$A$4:$EO$14,((MONTH($A61)-1)*12)+VLOOKUP(CJ$4,$DE$6:$DF$17,2)+1))*(VLOOKUP($A61,CURVES!$D$9:$T$261,6))*(INDEX(DailyScalarsTable,CJ$5/100,MONTH($A61)))*$E61</f>
        <v>0</v>
      </c>
      <c r="CK61" s="1021">
        <f>(VLOOKUP(YEAR($A61),'NY East Load Projections'!$A$4:$EO$14,((MONTH($A61)-1)*12)+VLOOKUP(CK$4,$DE$6:$DF$17,2)+1))*(VLOOKUP($A61,CURVES!$D$9:$T$261,6))*(INDEX(DailyScalarsTable,CK$5/100,MONTH($A61)))*$E61</f>
        <v>0</v>
      </c>
      <c r="CL61" s="1021">
        <f>(VLOOKUP(YEAR($A61),'NY East Load Projections'!$A$4:$EO$14,((MONTH($A61)-1)*12)+VLOOKUP(CL$4,$DE$6:$DF$17,2)+1))*(VLOOKUP($A61,SatSunCurve,6))*(INDEX(DailyScalarsTable,CL$5/100,MONTH($A61)))*$E61</f>
        <v>0</v>
      </c>
      <c r="CM61" s="1021">
        <f>(VLOOKUP(YEAR($A61),'NY East Load Projections'!$A$4:$EO$14,((MONTH($A61)-1)*12)+VLOOKUP(CM$4,$DE$6:$DF$17,2)+1))*(VLOOKUP($A61,SatSunCurve,6))*(INDEX(DailyScalarsTable,CM$5/100,MONTH($A61)))*$E61</f>
        <v>0</v>
      </c>
      <c r="CN61" s="1021">
        <f>(VLOOKUP(YEAR($A61),'NY East Load Projections'!$A$4:$EO$14,((MONTH($A61)-1)*12)+VLOOKUP(CN$4,$DE$6:$DF$17,2)+1))*(VLOOKUP($A61,SatSunCurve,6))*(INDEX(DailyScalarsTable,CN$5/100,MONTH($A61)))*$E61</f>
        <v>0</v>
      </c>
      <c r="CO61" s="1021">
        <f>(VLOOKUP(YEAR($A61),'NY East Load Projections'!$A$4:$EO$14,((MONTH($A61)-1)*12)+VLOOKUP(CO$4,$DE$6:$DF$17,2)+1))*(VLOOKUP($A61,SatSunCurve,6))*(INDEX(DailyScalarsTable,CO$5/100,MONTH($A61)))*$E61</f>
        <v>0</v>
      </c>
      <c r="CP61" s="1021">
        <f>(VLOOKUP(YEAR($A61),'NY East Load Projections'!$A$4:$EO$14,((MONTH($A61)-1)*12)+VLOOKUP(CP$4,$DE$6:$DF$17,2)+1))*(VLOOKUP($A61,SatSunCurve,6))*(INDEX(DailyScalarsTable,CP$5/100,MONTH($A61)))*$E61</f>
        <v>0</v>
      </c>
      <c r="CQ61" s="1021">
        <f>(VLOOKUP(YEAR($A61),'NY East Load Projections'!$A$4:$EO$14,((MONTH($A61)-1)*12)+VLOOKUP(CQ$4,$DE$6:$DF$17,2)+1))*(VLOOKUP($A61,SatSunCurve,6))*(INDEX(DailyScalarsTable,CQ$5/100,MONTH($A61)))*$E61</f>
        <v>0</v>
      </c>
      <c r="CR61" s="1021">
        <f>(VLOOKUP(YEAR($A61),'NY East Load Projections'!$A$4:$EO$14,((MONTH($A61)-1)*12)+VLOOKUP(CR$4,$DE$6:$DF$17,2)+1))*(VLOOKUP($A61,SatSunCurve,6))*(INDEX(DailyScalarsTable,CR$5/100,MONTH($A61)))*$E61</f>
        <v>0</v>
      </c>
      <c r="CS61" s="1021">
        <f>(VLOOKUP(YEAR($A61),'NY East Load Projections'!$A$4:$EO$14,((MONTH($A61)-1)*12)+VLOOKUP(CS$4,$DE$6:$DF$17,2)+1))*(VLOOKUP($A61,SatSunCurve,6))*(INDEX(DailyScalarsTable,CS$5/100,MONTH($A61)))*$E61</f>
        <v>0</v>
      </c>
      <c r="CT61" s="1021">
        <f>(VLOOKUP(YEAR($A61),'NY East Load Projections'!$A$4:$EO$14,((MONTH($A61)-1)*12)+VLOOKUP(CT$4,$DE$6:$DF$17,2)+1))*(VLOOKUP($A61,SatSunCurve,6))*(INDEX(DailyScalarsTable,CT$5/100,MONTH($A61)))*$E61</f>
        <v>0</v>
      </c>
      <c r="CU61" s="1021">
        <f>(VLOOKUP(YEAR($A61),'NY East Load Projections'!$A$4:$EO$14,((MONTH($A61)-1)*12)+VLOOKUP(CU$4,$DE$6:$DF$17,2)+1))*(VLOOKUP($A61,SatSunCurve,6))*(INDEX(DailyScalarsTable,CU$5/100,MONTH($A61)))*$E61</f>
        <v>0</v>
      </c>
      <c r="CV61" s="1021">
        <f>(VLOOKUP(YEAR($A61),'NY East Load Projections'!$A$4:$EO$14,((MONTH($A61)-1)*12)+VLOOKUP(CV$4,$DE$6:$DF$17,2)+1))*(VLOOKUP($A61,SatSunCurve,6))*(INDEX(DailyScalarsTable,CV$5/100,MONTH($A61)))*$E61</f>
        <v>0</v>
      </c>
      <c r="CW61" s="1021">
        <f>(VLOOKUP(YEAR($A61),'NY East Load Projections'!$A$4:$EO$14,((MONTH($A61)-1)*12)+VLOOKUP(CW$4,$DE$6:$DF$17,2)+1))*(VLOOKUP($A61,SatSunCurve,6))*(INDEX(DailyScalarsTable,CW$5/100,MONTH($A61)))*$E61</f>
        <v>0</v>
      </c>
      <c r="CX61" s="1021">
        <f>(VLOOKUP(YEAR($A61),'NY East Load Projections'!$A$4:$EO$14,((MONTH($A61)-1)*12)+VLOOKUP(CX$4,$DE$6:$DF$17,2)+1))*(VLOOKUP($A61,SatSunCurve,6))*(INDEX(DailyScalarsTable,CX$5/100,MONTH($A61)))*$E61</f>
        <v>0</v>
      </c>
      <c r="CY61" s="1021">
        <f>(VLOOKUP(YEAR($A61),'NY East Load Projections'!$A$4:$EO$14,((MONTH($A61)-1)*12)+VLOOKUP(CY$4,$DE$6:$DF$17,2)+1))*(VLOOKUP($A61,SatSunCurve,6))*(INDEX(DailyScalarsTable,CY$5/100,MONTH($A61)))*$E61</f>
        <v>0</v>
      </c>
      <c r="CZ61" s="1021">
        <f>(VLOOKUP(YEAR($A61),'NY East Load Projections'!$A$4:$EO$14,((MONTH($A61)-1)*12)+VLOOKUP(CZ$4,$DE$6:$DF$17,2)+1))*(VLOOKUP($A61,SatSunCurve,6))*(INDEX(DailyScalarsTable,CZ$5/100,MONTH($A61)))*$E61</f>
        <v>0</v>
      </c>
      <c r="DA61" s="1021">
        <f>(VLOOKUP(YEAR($A61),'NY East Load Projections'!$A$4:$EO$14,((MONTH($A61)-1)*12)+VLOOKUP(DA$4,$DE$6:$DF$17,2)+1))*(VLOOKUP($A61,SatSunCurve,6))*(INDEX(DailyScalarsTable,DA$5/100,MONTH($A61)))*$E61</f>
        <v>0</v>
      </c>
      <c r="DB61" s="1021">
        <f>(VLOOKUP(YEAR($A61),'NY East Load Projections'!$A$4:$EO$14,((MONTH($A61)-1)*12)+VLOOKUP(DB$4,$DE$6:$DF$17,2)+1))*(VLOOKUP($A61,CURVES!$D$9:$T$261,6))*(INDEX(DailyScalarsTable,DB$5/100,MONTH($A61)))*$E61</f>
        <v>0</v>
      </c>
      <c r="DH61" s="1021">
        <f t="shared" si="0"/>
        <v>-3710727.2550704526</v>
      </c>
      <c r="DI61">
        <f ca="1">CALC!J81</f>
        <v>0.67087747784082374</v>
      </c>
      <c r="DJ61" s="1029">
        <f t="shared" ca="1" si="1"/>
        <v>-2489443.3418368683</v>
      </c>
    </row>
    <row r="62" spans="1:114" x14ac:dyDescent="0.25">
      <c r="A62" s="244">
        <v>38596</v>
      </c>
      <c r="B62" s="13">
        <v>21</v>
      </c>
      <c r="C62" s="210">
        <v>4</v>
      </c>
      <c r="D62" s="210">
        <v>4</v>
      </c>
      <c r="E62" s="210">
        <v>1</v>
      </c>
      <c r="F62" s="13">
        <v>30</v>
      </c>
      <c r="H62" s="1021">
        <f>(VLOOKUP(YEAR($A62),'NY East Load Projections'!$A$4:$EO$14,((MONTH($A62)-1)*12)+VLOOKUP(H$4,$DE$6:$DF$17,2)+1))*(VLOOKUP($A62,CURVES!$D$9:$K$261,6))*(INDEX(DailyScalarsTable,H$5/100,MONTH($A62)))*$B62</f>
        <v>-40617.295801099172</v>
      </c>
      <c r="I62" s="1021">
        <f>(VLOOKUP(YEAR($A62),'NY East Load Projections'!$A$4:$EO$14,((MONTH($A62)-1)*12)+VLOOKUP(I$4,$DE$6:$DF$17,2)+1))*(VLOOKUP($A62,CURVES!$D$9:$K$261,6))*(INDEX(DailyScalarsTable,I$5/100,MONTH($A62)))*$B62</f>
        <v>-35634.274751586621</v>
      </c>
      <c r="J62" s="1021">
        <f>(VLOOKUP(YEAR($A62),'NY East Load Projections'!$A$4:$EO$14,((MONTH($A62)-1)*12)+VLOOKUP(J$4,$DE$6:$DF$17,2)+1))*(VLOOKUP($A62,CURVES!$D$9:$K$261,6))*(INDEX(DailyScalarsTable,J$5/100,MONTH($A62)))*$B62</f>
        <v>-33416.159791658683</v>
      </c>
      <c r="K62" s="1021">
        <f>(VLOOKUP(YEAR($A62),'NY East Load Projections'!$A$4:$EO$14,((MONTH($A62)-1)*12)+VLOOKUP(K$4,$DE$6:$DF$17,2)+1))*(VLOOKUP($A62,CURVES!$D$9:$K$261,6))*(INDEX(DailyScalarsTable,K$5/100,MONTH($A62)))*$B62</f>
        <v>-33911.366852479812</v>
      </c>
      <c r="L62" s="1021">
        <f>(VLOOKUP(YEAR($A62),'NY East Load Projections'!$A$4:$EO$14,((MONTH($A62)-1)*12)+VLOOKUP(L$4,$DE$6:$DF$17,2)+1))*(VLOOKUP($A62,CURVES!$D$9:$K$261,6))*(INDEX(DailyScalarsTable,L$5/100,MONTH($A62)))*$B62</f>
        <v>-39866.581979514027</v>
      </c>
      <c r="M62" s="1021">
        <f>(VLOOKUP(YEAR($A62),'NY East Load Projections'!$A$4:$EO$14,((MONTH($A62)-1)*12)+VLOOKUP(M$4,$DE$6:$DF$17,2)+1))*(VLOOKUP($A62,CURVES!$D$9:$K$261,6))*(INDEX(DailyScalarsTable,M$5/100,MONTH($A62)))*$B62</f>
        <v>-46134.700532506089</v>
      </c>
      <c r="N62" s="1021">
        <f>(VLOOKUP(YEAR($A62),'NY East Load Projections'!$A$4:$EO$14,((MONTH($A62)-1)*12)+VLOOKUP(N$4,$DE$6:$DF$17,2)+1))*(VLOOKUP($A62,CURVES!$D$9:$K$261,6))*(INDEX(DailyScalarsTable,N$5/100,MONTH($A62)))*$B62</f>
        <v>-62737.351466775377</v>
      </c>
      <c r="O62" s="1021">
        <f>(VLOOKUP(YEAR($A62),'NY East Load Projections'!$A$4:$EO$14,((MONTH($A62)-1)*12)+VLOOKUP(O$4,$DE$6:$DF$17,2)+1))*(VLOOKUP($A62,CURVES!$D$9:$K$261,2))*(INDEX(DailyScalarsTable,O$5/100,MONTH($A62)))*$B62</f>
        <v>-56257.308858530858</v>
      </c>
      <c r="P62" s="1021">
        <f>(VLOOKUP(YEAR($A62),'NY East Load Projections'!$A$4:$EO$14,((MONTH($A62)-1)*12)+VLOOKUP(P$4,$DE$6:$DF$17,2)+1))*(VLOOKUP($A62,CURVES!$D$9:$K$261,2))*(INDEX(DailyScalarsTable,P$5/100,MONTH($A62)))*$B62</f>
        <v>-61672.185951615786</v>
      </c>
      <c r="Q62" s="1021">
        <f>(VLOOKUP(YEAR($A62),'NY East Load Projections'!$A$4:$EO$14,((MONTH($A62)-1)*12)+VLOOKUP(Q$4,$DE$6:$DF$17,2)+1))*(VLOOKUP($A62,CURVES!$D$9:$K$261,2))*(INDEX(DailyScalarsTable,Q$5/100,MONTH($A62)))*$B62</f>
        <v>-76986.197038116836</v>
      </c>
      <c r="R62" s="1021">
        <f>(VLOOKUP(YEAR($A62),'NY East Load Projections'!$A$4:$EO$14,((MONTH($A62)-1)*12)+VLOOKUP(R$4,$DE$6:$DF$17,2)+1))*(VLOOKUP($A62,CURVES!$D$9:$K$261,2))*(INDEX(DailyScalarsTable,R$5/100,MONTH($A62)))*$B62</f>
        <v>-82217.691508660704</v>
      </c>
      <c r="S62" s="1021">
        <f>(VLOOKUP(YEAR($A62),'NY East Load Projections'!$A$4:$EO$14,((MONTH($A62)-1)*12)+VLOOKUP(S$4,$DE$6:$DF$17,2)+1))*(VLOOKUP($A62,CURVES!$D$9:$K$261,2))*(INDEX(DailyScalarsTable,S$5/100,MONTH($A62)))*$B62</f>
        <v>-87603.752861288813</v>
      </c>
      <c r="T62" s="1021">
        <f>(VLOOKUP(YEAR($A62),'NY East Load Projections'!$A$4:$EO$14,((MONTH($A62)-1)*12)+VLOOKUP(T$4,$DE$6:$DF$17,2)+1))*(VLOOKUP($A62,CURVES!$D$9:$K$261,2))*(INDEX(DailyScalarsTable,T$5/100,MONTH($A62)))*$B62</f>
        <v>-85270.781782365753</v>
      </c>
      <c r="U62" s="1021">
        <f>(VLOOKUP(YEAR($A62),'NY East Load Projections'!$A$4:$EO$14,((MONTH($A62)-1)*12)+VLOOKUP(U$4,$DE$6:$DF$17,2)+1))*(VLOOKUP($A62,CURVES!$D$9:$K$261,2))*(INDEX(DailyScalarsTable,U$5/100,MONTH($A62)))*$B62</f>
        <v>-92308.344510205599</v>
      </c>
      <c r="V62" s="1021">
        <f>(VLOOKUP(YEAR($A62),'NY East Load Projections'!$A$4:$EO$14,((MONTH($A62)-1)*12)+VLOOKUP(V$4,$DE$6:$DF$17,2)+1))*(VLOOKUP($A62,CURVES!$D$9:$K$261,2))*(INDEX(DailyScalarsTable,V$5/100,MONTH($A62)))*$B62</f>
        <v>-90851.875006530972</v>
      </c>
      <c r="W62" s="1021">
        <f>(VLOOKUP(YEAR($A62),'NY East Load Projections'!$A$4:$EO$14,((MONTH($A62)-1)*12)+VLOOKUP(W$4,$DE$6:$DF$17,2)+1))*(VLOOKUP($A62,CURVES!$D$9:$K$261,2))*(INDEX(DailyScalarsTable,W$5/100,MONTH($A62)))*$B62</f>
        <v>-88012.371436341666</v>
      </c>
      <c r="X62" s="1021">
        <f>(VLOOKUP(YEAR($A62),'NY East Load Projections'!$A$4:$EO$14,((MONTH($A62)-1)*12)+VLOOKUP(X$4,$DE$6:$DF$17,2)+1))*(VLOOKUP($A62,CURVES!$D$9:$K$261,2))*(INDEX(DailyScalarsTable,X$5/100,MONTH($A62)))*$B62</f>
        <v>-89199.542865686453</v>
      </c>
      <c r="Y62" s="1021">
        <f>(VLOOKUP(YEAR($A62),'NY East Load Projections'!$A$4:$EO$14,((MONTH($A62)-1)*12)+VLOOKUP(Y$4,$DE$6:$DF$17,2)+1))*(VLOOKUP($A62,CURVES!$D$9:$K$261,2))*(INDEX(DailyScalarsTable,Y$5/100,MONTH($A62)))*$B62</f>
        <v>-87011.30359590202</v>
      </c>
      <c r="Z62" s="1021">
        <f>(VLOOKUP(YEAR($A62),'NY East Load Projections'!$A$4:$EO$14,((MONTH($A62)-1)*12)+VLOOKUP(Z$4,$DE$6:$DF$17,2)+1))*(VLOOKUP($A62,CURVES!$D$9:$K$261,2))*(INDEX(DailyScalarsTable,Z$5/100,MONTH($A62)))*$B62</f>
        <v>-71267.497902242438</v>
      </c>
      <c r="AA62" s="1021">
        <f>(VLOOKUP(YEAR($A62),'NY East Load Projections'!$A$4:$EO$14,((MONTH($A62)-1)*12)+VLOOKUP(AA$4,$DE$6:$DF$17,2)+1))*(VLOOKUP($A62,CURVES!$D$9:$K$261,2))*(INDEX(DailyScalarsTable,AA$5/100,MONTH($A62)))*$B62</f>
        <v>-93138.373551298428</v>
      </c>
      <c r="AB62" s="1021">
        <f>(VLOOKUP(YEAR($A62),'NY East Load Projections'!$A$4:$EO$14,((MONTH($A62)-1)*12)+VLOOKUP(AB$4,$DE$6:$DF$17,2)+1))*(VLOOKUP($A62,CURVES!$D$9:$K$261,2))*(INDEX(DailyScalarsTable,AB$5/100,MONTH($A62)))*$B62</f>
        <v>-82873.889701044274</v>
      </c>
      <c r="AC62" s="1021">
        <f>(VLOOKUP(YEAR($A62),'NY East Load Projections'!$A$4:$EO$14,((MONTH($A62)-1)*12)+VLOOKUP(AC$4,$DE$6:$DF$17,2)+1))*(VLOOKUP($A62,CURVES!$D$9:$K$261,2))*(INDEX(DailyScalarsTable,AC$5/100,MONTH($A62)))*$B62</f>
        <v>-63075.221913745467</v>
      </c>
      <c r="AD62" s="1021">
        <f>(VLOOKUP(YEAR($A62),'NY East Load Projections'!$A$4:$EO$14,((MONTH($A62)-1)*12)+VLOOKUP(AD$4,$DE$6:$DF$17,2)+1))*(VLOOKUP($A62,CURVES!$D$9:$K$261,2))*(INDEX(DailyScalarsTable,AD$5/100,MONTH($A62)))*$B62</f>
        <v>-49984.521651917559</v>
      </c>
      <c r="AE62" s="1021">
        <f>(VLOOKUP(YEAR($A62),'NY East Load Projections'!$A$4:$EO$14,((MONTH($A62)-1)*12)+VLOOKUP(AE$4,$DE$6:$DF$17,2)+1))*(VLOOKUP($A62,CURVES!$D$9:$K$261,6))*(INDEX(DailyScalarsTable,AE$5/100,MONTH($A62)))*$B62</f>
        <v>-47844.332967579467</v>
      </c>
      <c r="AF62" s="1021"/>
      <c r="AG62" s="1021">
        <f>(VLOOKUP(YEAR($A62),'NY East Load Projections'!$A$4:$EO$14,((MONTH($A62)-1)*12)+VLOOKUP(AG$4,$DE$6:$DF$17,2)+1))*(VLOOKUP($A62,CURVES!$D$9:$T$261,6))*(INDEX(DailyScalarsTable,AG$5/100,MONTH($A62)))*$C62</f>
        <v>-8071.9212892774958</v>
      </c>
      <c r="AH62" s="1021">
        <f>(VLOOKUP(YEAR($A62),'NY East Load Projections'!$A$4:$EO$14,((MONTH($A62)-1)*12)+VLOOKUP(AH$4,$DE$6:$DF$17,2)+1))*(VLOOKUP($A62,CURVES!$D$9:$T$261,6))*(INDEX(DailyScalarsTable,AH$5/100,MONTH($A62)))*$C62</f>
        <v>-7081.6398611034974</v>
      </c>
      <c r="AI62" s="1021">
        <f>(VLOOKUP(YEAR($A62),'NY East Load Projections'!$A$4:$EO$14,((MONTH($A62)-1)*12)+VLOOKUP(AI$4,$DE$6:$DF$17,2)+1))*(VLOOKUP($A62,CURVES!$D$9:$T$261,6))*(INDEX(DailyScalarsTable,AI$5/100,MONTH($A62)))*$C62</f>
        <v>-6640.8313578790485</v>
      </c>
      <c r="AJ62" s="1021">
        <f>(VLOOKUP(YEAR($A62),'NY East Load Projections'!$A$4:$EO$14,((MONTH($A62)-1)*12)+VLOOKUP(AJ$4,$DE$6:$DF$17,2)+1))*(VLOOKUP($A62,CURVES!$D$9:$T$261,6))*(INDEX(DailyScalarsTable,AJ$5/100,MONTH($A62)))*$C62</f>
        <v>-6739.2444190640435</v>
      </c>
      <c r="AK62" s="1021">
        <f>(VLOOKUP(YEAR($A62),'NY East Load Projections'!$A$4:$EO$14,((MONTH($A62)-1)*12)+VLOOKUP(AK$4,$DE$6:$DF$17,2)+1))*(VLOOKUP($A62,CURVES!$D$9:$T$261,6))*(INDEX(DailyScalarsTable,AK$5/100,MONTH($A62)))*$C62</f>
        <v>-7329.2251873502155</v>
      </c>
      <c r="AL62" s="1021">
        <f>(VLOOKUP(YEAR($A62),'NY East Load Projections'!$A$4:$EO$14,((MONTH($A62)-1)*12)+VLOOKUP(AL$4,$DE$6:$DF$17,2)+1))*(VLOOKUP($A62,CURVES!$D$9:$T$261,6))*(INDEX(DailyScalarsTable,AL$5/100,MONTH($A62)))*$C62</f>
        <v>-8481.5801195963177</v>
      </c>
      <c r="AM62" s="1021">
        <f>(VLOOKUP(YEAR($A62),'NY East Load Projections'!$A$4:$EO$14,((MONTH($A62)-1)*12)+VLOOKUP(AM$4,$DE$6:$DF$17,2)+1))*(VLOOKUP($A62,CURVES!$D$9:$T$261,6))*(INDEX(DailyScalarsTable,AM$5/100,MONTH($A62)))*$C62</f>
        <v>-11533.875083502662</v>
      </c>
      <c r="AN62" s="1021">
        <f>(VLOOKUP(YEAR($A62),'NY East Load Projections'!$A$4:$EO$14,((MONTH($A62)-1)*12)+VLOOKUP(AN$4,$DE$6:$DF$17,2)+1))*(VLOOKUP($A62,SatSunCurve,2))*(INDEX(DailyScalarsTable,AN$5/100,MONTH($A62)))*$C62</f>
        <v>-7345.9943951434643</v>
      </c>
      <c r="AO62" s="1021">
        <f>(VLOOKUP(YEAR($A62),'NY East Load Projections'!$A$4:$EO$14,((MONTH($A62)-1)*12)+VLOOKUP(AO$4,$DE$6:$DF$17,2)+1))*(VLOOKUP($A62,SatSunCurve,2))*(INDEX(DailyScalarsTable,AO$5/100,MONTH($A62)))*$C62</f>
        <v>-8089.6014057938273</v>
      </c>
      <c r="AP62" s="1021">
        <f>(VLOOKUP(YEAR($A62),'NY East Load Projections'!$A$4:$EO$14,((MONTH($A62)-1)*12)+VLOOKUP(AP$4,$DE$6:$DF$17,2)+1))*(VLOOKUP($A62,SatSunCurve,2))*(INDEX(DailyScalarsTable,AP$5/100,MONTH($A62)))*$C62</f>
        <v>-10098.355331119146</v>
      </c>
      <c r="AQ62" s="1021">
        <f>(VLOOKUP(YEAR($A62),'NY East Load Projections'!$A$4:$EO$14,((MONTH($A62)-1)*12)+VLOOKUP(AQ$4,$DE$6:$DF$17,2)+1))*(VLOOKUP($A62,SatSunCurve,2))*(INDEX(DailyScalarsTable,AQ$5/100,MONTH($A62)))*$C62</f>
        <v>-10784.575616168169</v>
      </c>
      <c r="AR62" s="1021">
        <f>(VLOOKUP(YEAR($A62),'NY East Load Projections'!$A$4:$EO$14,((MONTH($A62)-1)*12)+VLOOKUP(AR$4,$DE$6:$DF$17,2)+1))*(VLOOKUP($A62,SatSunCurve,2))*(INDEX(DailyScalarsTable,AR$5/100,MONTH($A62)))*$C62</f>
        <v>-11491.070591457279</v>
      </c>
      <c r="AS62" s="1021">
        <f>(VLOOKUP(YEAR($A62),'NY East Load Projections'!$A$4:$EO$14,((MONTH($A62)-1)*12)+VLOOKUP(AS$4,$DE$6:$DF$17,2)+1))*(VLOOKUP($A62,SatSunCurve,2))*(INDEX(DailyScalarsTable,AS$5/100,MONTH($A62)))*$C62</f>
        <v>-11118.781803960688</v>
      </c>
      <c r="AT62" s="1021">
        <f>(VLOOKUP(YEAR($A62),'NY East Load Projections'!$A$4:$EO$14,((MONTH($A62)-1)*12)+VLOOKUP(AT$4,$DE$6:$DF$17,2)+1))*(VLOOKUP($A62,SatSunCurve,2))*(INDEX(DailyScalarsTable,AT$5/100,MONTH($A62)))*$C62</f>
        <v>-12036.436395216233</v>
      </c>
      <c r="AU62" s="1021">
        <f>(VLOOKUP(YEAR($A62),'NY East Load Projections'!$A$4:$EO$14,((MONTH($A62)-1)*12)+VLOOKUP(AU$4,$DE$6:$DF$17,2)+1))*(VLOOKUP($A62,SatSunCurve,2))*(INDEX(DailyScalarsTable,AU$5/100,MONTH($A62)))*$C62</f>
        <v>-11846.521792852049</v>
      </c>
      <c r="AV62" s="1021">
        <f>(VLOOKUP(YEAR($A62),'NY East Load Projections'!$A$4:$EO$14,((MONTH($A62)-1)*12)+VLOOKUP(AV$4,$DE$6:$DF$17,2)+1))*(VLOOKUP($A62,SatSunCurve,2))*(INDEX(DailyScalarsTable,AV$5/100,MONTH($A62)))*$C62</f>
        <v>-11476.268114293287</v>
      </c>
      <c r="AW62" s="1021">
        <f>(VLOOKUP(YEAR($A62),'NY East Load Projections'!$A$4:$EO$14,((MONTH($A62)-1)*12)+VLOOKUP(AW$4,$DE$6:$DF$17,2)+1))*(VLOOKUP($A62,SatSunCurve,2))*(INDEX(DailyScalarsTable,AW$5/100,MONTH($A62)))*$C62</f>
        <v>-11526.077710069656</v>
      </c>
      <c r="AX62" s="1021">
        <f>(VLOOKUP(YEAR($A62),'NY East Load Projections'!$A$4:$EO$14,((MONTH($A62)-1)*12)+VLOOKUP(AX$4,$DE$6:$DF$17,2)+1))*(VLOOKUP($A62,SatSunCurve,2))*(INDEX(DailyScalarsTable,AX$5/100,MONTH($A62)))*$C62</f>
        <v>-11243.320477672853</v>
      </c>
      <c r="AY62" s="1021">
        <f>(VLOOKUP(YEAR($A62),'NY East Load Projections'!$A$4:$EO$14,((MONTH($A62)-1)*12)+VLOOKUP(AY$4,$DE$6:$DF$17,2)+1))*(VLOOKUP($A62,SatSunCurve,2))*(INDEX(DailyScalarsTable,AY$5/100,MONTH($A62)))*$C62</f>
        <v>-9208.9566003758573</v>
      </c>
      <c r="AZ62" s="1021">
        <f>(VLOOKUP(YEAR($A62),'NY East Load Projections'!$A$4:$EO$14,((MONTH($A62)-1)*12)+VLOOKUP(AZ$4,$DE$6:$DF$17,2)+1))*(VLOOKUP($A62,SatSunCurve,2))*(INDEX(DailyScalarsTable,AZ$5/100,MONTH($A62)))*$C62</f>
        <v>-12035.040728383899</v>
      </c>
      <c r="BA62" s="1021">
        <f>(VLOOKUP(YEAR($A62),'NY East Load Projections'!$A$4:$EO$14,((MONTH($A62)-1)*12)+VLOOKUP(BA$4,$DE$6:$DF$17,2)+1))*(VLOOKUP($A62,SatSunCurve,2))*(INDEX(DailyScalarsTable,BA$5/100,MONTH($A62)))*$C62</f>
        <v>-11647.652455823114</v>
      </c>
      <c r="BB62" s="1021">
        <f>(VLOOKUP(YEAR($A62),'NY East Load Projections'!$A$4:$EO$14,((MONTH($A62)-1)*12)+VLOOKUP(BB$4,$DE$6:$DF$17,2)+1))*(VLOOKUP($A62,SatSunCurve,2))*(INDEX(DailyScalarsTable,BB$5/100,MONTH($A62)))*$C62</f>
        <v>-8865.0148566149401</v>
      </c>
      <c r="BC62" s="1021">
        <f>(VLOOKUP(YEAR($A62),'NY East Load Projections'!$A$4:$EO$14,((MONTH($A62)-1)*12)+VLOOKUP(BC$4,$DE$6:$DF$17,2)+1))*(VLOOKUP($A62,SatSunCurve,2))*(INDEX(DailyScalarsTable,BC$5/100,MONTH($A62)))*$C62</f>
        <v>-7025.1600168920877</v>
      </c>
      <c r="BD62" s="1021">
        <f>(VLOOKUP(YEAR($A62),'NY East Load Projections'!$A$4:$EO$14,((MONTH($A62)-1)*12)+VLOOKUP(BD$4,$DE$6:$DF$17,2)+1))*(VLOOKUP($A62,CURVES!$D$9:$T$261,6))*(INDEX(DailyScalarsTable,BD$5/100,MONTH($A62)))*$C62</f>
        <v>-9467.3538260906553</v>
      </c>
      <c r="BE62" s="1021"/>
      <c r="BF62" s="1021">
        <f>(VLOOKUP(YEAR($A62),'NY East Load Projections'!$A$4:$EO$14,((MONTH($A62)-1)*12)+VLOOKUP(BF$4,$DE$6:$DF$17,2)+1))*(VLOOKUP($A62,CURVES!$D$9:$T$261,6))*(INDEX(DailyScalarsTable,BF$5/100,MONTH($A62)))*$D62</f>
        <v>-8071.9212892774958</v>
      </c>
      <c r="BG62" s="1021">
        <f>(VLOOKUP(YEAR($A62),'NY East Load Projections'!$A$4:$EO$14,((MONTH($A62)-1)*12)+VLOOKUP(BG$4,$DE$6:$DF$17,2)+1))*(VLOOKUP($A62,CURVES!$D$9:$T$261,6))*(INDEX(DailyScalarsTable,BG$5/100,MONTH($A62)))*$D62</f>
        <v>-7081.6398611034974</v>
      </c>
      <c r="BH62" s="1021">
        <f>(VLOOKUP(YEAR($A62),'NY East Load Projections'!$A$4:$EO$14,((MONTH($A62)-1)*12)+VLOOKUP(BH$4,$DE$6:$DF$17,2)+1))*(VLOOKUP($A62,CURVES!$D$9:$T$261,6))*(INDEX(DailyScalarsTable,BH$5/100,MONTH($A62)))*$D62</f>
        <v>-6640.8313578790485</v>
      </c>
      <c r="BI62" s="1021">
        <f>(VLOOKUP(YEAR($A62),'NY East Load Projections'!$A$4:$EO$14,((MONTH($A62)-1)*12)+VLOOKUP(BI$4,$DE$6:$DF$17,2)+1))*(VLOOKUP($A62,CURVES!$D$9:$T$261,6))*(INDEX(DailyScalarsTable,BI$5/100,MONTH($A62)))*$D62</f>
        <v>-6739.2444190640435</v>
      </c>
      <c r="BJ62" s="1021">
        <f>(VLOOKUP(YEAR($A62),'NY East Load Projections'!$A$4:$EO$14,((MONTH($A62)-1)*12)+VLOOKUP(BJ$4,$DE$6:$DF$17,2)+1))*(VLOOKUP($A62,CURVES!$D$9:$T$261,6))*(INDEX(DailyScalarsTable,BJ$5/100,MONTH($A62)))*$D62</f>
        <v>-7329.2251873502155</v>
      </c>
      <c r="BK62" s="1021">
        <f>(VLOOKUP(YEAR($A62),'NY East Load Projections'!$A$4:$EO$14,((MONTH($A62)-1)*12)+VLOOKUP(BK$4,$DE$6:$DF$17,2)+1))*(VLOOKUP($A62,CURVES!$D$9:$T$261,6))*(INDEX(DailyScalarsTable,BK$5/100,MONTH($A62)))*$D62</f>
        <v>-8481.5801195963177</v>
      </c>
      <c r="BL62" s="1021">
        <f>(VLOOKUP(YEAR($A62),'NY East Load Projections'!$A$4:$EO$14,((MONTH($A62)-1)*12)+VLOOKUP(BL$4,$DE$6:$DF$17,2)+1))*(VLOOKUP($A62,CURVES!$D$9:$T$261,6))*(INDEX(DailyScalarsTable,BL$5/100,MONTH($A62)))*$D62</f>
        <v>-11533.875083502662</v>
      </c>
      <c r="BM62" s="1021">
        <f>(VLOOKUP(YEAR($A62),'NY East Load Projections'!$A$4:$EO$14,((MONTH($A62)-1)*12)+VLOOKUP(BM$4,$DE$6:$DF$17,2)+1))*(VLOOKUP($A62,SatSunCurve,6))*(INDEX(DailyScalarsTable,BM$5/100,MONTH($A62)))*$D62</f>
        <v>-6698.9720072260725</v>
      </c>
      <c r="BN62" s="1021">
        <f>(VLOOKUP(YEAR($A62),'NY East Load Projections'!$A$4:$EO$14,((MONTH($A62)-1)*12)+VLOOKUP(BN$4,$DE$6:$DF$17,2)+1))*(VLOOKUP($A62,SatSunCurve,6))*(INDEX(DailyScalarsTable,BN$5/100,MONTH($A62)))*$D62</f>
        <v>-7377.0834079122897</v>
      </c>
      <c r="BO62" s="1021">
        <f>(VLOOKUP(YEAR($A62),'NY East Load Projections'!$A$4:$EO$14,((MONTH($A62)-1)*12)+VLOOKUP(BO$4,$DE$6:$DF$17,2)+1))*(VLOOKUP($A62,SatSunCurve,6))*(INDEX(DailyScalarsTable,BO$5/100,MONTH($A62)))*$D62</f>
        <v>-9208.909787204946</v>
      </c>
      <c r="BP62" s="1021">
        <f>(VLOOKUP(YEAR($A62),'NY East Load Projections'!$A$4:$EO$14,((MONTH($A62)-1)*12)+VLOOKUP(BP$4,$DE$6:$DF$17,2)+1))*(VLOOKUP($A62,SatSunCurve,6))*(INDEX(DailyScalarsTable,BP$5/100,MONTH($A62)))*$D62</f>
        <v>-9834.6889850999542</v>
      </c>
      <c r="BQ62" s="1021">
        <f>(VLOOKUP(YEAR($A62),'NY East Load Projections'!$A$4:$EO$14,((MONTH($A62)-1)*12)+VLOOKUP(BQ$4,$DE$6:$DF$17,2)+1))*(VLOOKUP($A62,SatSunCurve,6))*(INDEX(DailyScalarsTable,BQ$5/100,MONTH($A62)))*$D62</f>
        <v>-10478.957113841861</v>
      </c>
      <c r="BR62" s="1021">
        <f>(VLOOKUP(YEAR($A62),'NY East Load Projections'!$A$4:$EO$14,((MONTH($A62)-1)*12)+VLOOKUP(BR$4,$DE$6:$DF$17,2)+1))*(VLOOKUP($A62,SatSunCurve,6))*(INDEX(DailyScalarsTable,BR$5/100,MONTH($A62)))*$D62</f>
        <v>-10139.458874135527</v>
      </c>
      <c r="BS62" s="1021">
        <f>(VLOOKUP(YEAR($A62),'NY East Load Projections'!$A$4:$EO$14,((MONTH($A62)-1)*12)+VLOOKUP(BS$4,$DE$6:$DF$17,2)+1))*(VLOOKUP($A62,SatSunCurve,6))*(INDEX(DailyScalarsTable,BS$5/100,MONTH($A62)))*$D62</f>
        <v>-10976.288047758022</v>
      </c>
      <c r="BT62" s="1021">
        <f>(VLOOKUP(YEAR($A62),'NY East Load Projections'!$A$4:$EO$14,((MONTH($A62)-1)*12)+VLOOKUP(BT$4,$DE$6:$DF$17,2)+1))*(VLOOKUP($A62,SatSunCurve,6))*(INDEX(DailyScalarsTable,BT$5/100,MONTH($A62)))*$D62</f>
        <v>-10803.100792695286</v>
      </c>
      <c r="BU62" s="1021">
        <f>(VLOOKUP(YEAR($A62),'NY East Load Projections'!$A$4:$EO$14,((MONTH($A62)-1)*12)+VLOOKUP(BU$4,$DE$6:$DF$17,2)+1))*(VLOOKUP($A62,SatSunCurve,6))*(INDEX(DailyScalarsTable,BU$5/100,MONTH($A62)))*$D62</f>
        <v>-10465.458413077164</v>
      </c>
      <c r="BV62" s="1021">
        <f>(VLOOKUP(YEAR($A62),'NY East Load Projections'!$A$4:$EO$14,((MONTH($A62)-1)*12)+VLOOKUP(BV$4,$DE$6:$DF$17,2)+1))*(VLOOKUP($A62,SatSunCurve,6))*(INDEX(DailyScalarsTable,BV$5/100,MONTH($A62)))*$D62</f>
        <v>-10510.88086643729</v>
      </c>
      <c r="BW62" s="1021">
        <f>(VLOOKUP(YEAR($A62),'NY East Load Projections'!$A$4:$EO$14,((MONTH($A62)-1)*12)+VLOOKUP(BW$4,$DE$6:$DF$17,2)+1))*(VLOOKUP($A62,SatSunCurve,6))*(INDEX(DailyScalarsTable,BW$5/100,MONTH($A62)))*$D62</f>
        <v>-10253.028398442053</v>
      </c>
      <c r="BX62" s="1021">
        <f>(VLOOKUP(YEAR($A62),'NY East Load Projections'!$A$4:$EO$14,((MONTH($A62)-1)*12)+VLOOKUP(BX$4,$DE$6:$DF$17,2)+1))*(VLOOKUP($A62,SatSunCurve,6))*(INDEX(DailyScalarsTable,BX$5/100,MONTH($A62)))*$D62</f>
        <v>-8397.8477471289771</v>
      </c>
      <c r="BY62" s="1021">
        <f>(VLOOKUP(YEAR($A62),'NY East Load Projections'!$A$4:$EO$14,((MONTH($A62)-1)*12)+VLOOKUP(BY$4,$DE$6:$DF$17,2)+1))*(VLOOKUP($A62,SatSunCurve,6))*(INDEX(DailyScalarsTable,BY$5/100,MONTH($A62)))*$D62</f>
        <v>-10975.015308828708</v>
      </c>
      <c r="BZ62" s="1021">
        <f>(VLOOKUP(YEAR($A62),'NY East Load Projections'!$A$4:$EO$14,((MONTH($A62)-1)*12)+VLOOKUP(BZ$4,$DE$6:$DF$17,2)+1))*(VLOOKUP($A62,SatSunCurve,6))*(INDEX(DailyScalarsTable,BZ$5/100,MONTH($A62)))*$D62</f>
        <v>-10621.747520395867</v>
      </c>
      <c r="CA62" s="1021">
        <f>(VLOOKUP(YEAR($A62),'NY East Load Projections'!$A$4:$EO$14,((MONTH($A62)-1)*12)+VLOOKUP(CA$4,$DE$6:$DF$17,2)+1))*(VLOOKUP($A62,SatSunCurve,6))*(INDEX(DailyScalarsTable,CA$5/100,MONTH($A62)))*$D62</f>
        <v>-8084.1997929331292</v>
      </c>
      <c r="CB62" s="1021">
        <f>(VLOOKUP(YEAR($A62),'NY East Load Projections'!$A$4:$EO$14,((MONTH($A62)-1)*12)+VLOOKUP(CB$4,$DE$6:$DF$17,2)+1))*(VLOOKUP($A62,SatSunCurve,6))*(INDEX(DailyScalarsTable,CB$5/100,MONTH($A62)))*$D62</f>
        <v>-6406.3961620440132</v>
      </c>
      <c r="CC62" s="1021">
        <f>(VLOOKUP(YEAR($A62),'NY East Load Projections'!$A$4:$EO$14,((MONTH($A62)-1)*12)+VLOOKUP(CC$4,$DE$6:$DF$17,2)+1))*(VLOOKUP($A62,CURVES!$D$9:$T$261,6))*(INDEX(DailyScalarsTable,CC$5/100,MONTH($A62)))*$D62</f>
        <v>-9467.3538260906553</v>
      </c>
      <c r="CE62" s="1021">
        <f>(VLOOKUP(YEAR($A62),'NY East Load Projections'!$A$4:$EO$14,((MONTH($A62)-1)*12)+VLOOKUP(CE$4,$DE$6:$DF$17,2)+1))*(VLOOKUP($A62,CURVES!$D$9:$T$261,6))*(INDEX(DailyScalarsTable,CE$5/100,MONTH($A62)))*$E62</f>
        <v>-2017.980322319374</v>
      </c>
      <c r="CF62" s="1021">
        <f>(VLOOKUP(YEAR($A62),'NY East Load Projections'!$A$4:$EO$14,((MONTH($A62)-1)*12)+VLOOKUP(CF$4,$DE$6:$DF$17,2)+1))*(VLOOKUP($A62,CURVES!$D$9:$T$261,6))*(INDEX(DailyScalarsTable,CF$5/100,MONTH($A62)))*$E62</f>
        <v>-1770.4099652758744</v>
      </c>
      <c r="CG62" s="1021">
        <f>(VLOOKUP(YEAR($A62),'NY East Load Projections'!$A$4:$EO$14,((MONTH($A62)-1)*12)+VLOOKUP(CG$4,$DE$6:$DF$17,2)+1))*(VLOOKUP($A62,CURVES!$D$9:$T$261,6))*(INDEX(DailyScalarsTable,CG$5/100,MONTH($A62)))*$E62</f>
        <v>-1660.2078394697621</v>
      </c>
      <c r="CH62" s="1021">
        <f>(VLOOKUP(YEAR($A62),'NY East Load Projections'!$A$4:$EO$14,((MONTH($A62)-1)*12)+VLOOKUP(CH$4,$DE$6:$DF$17,2)+1))*(VLOOKUP($A62,CURVES!$D$9:$T$261,6))*(INDEX(DailyScalarsTable,CH$5/100,MONTH($A62)))*$E62</f>
        <v>-1684.8111047660109</v>
      </c>
      <c r="CI62" s="1021">
        <f>(VLOOKUP(YEAR($A62),'NY East Load Projections'!$A$4:$EO$14,((MONTH($A62)-1)*12)+VLOOKUP(CI$4,$DE$6:$DF$17,2)+1))*(VLOOKUP($A62,CURVES!$D$9:$T$261,6))*(INDEX(DailyScalarsTable,CI$5/100,MONTH($A62)))*$E62</f>
        <v>-1832.3062968375539</v>
      </c>
      <c r="CJ62" s="1021">
        <f>(VLOOKUP(YEAR($A62),'NY East Load Projections'!$A$4:$EO$14,((MONTH($A62)-1)*12)+VLOOKUP(CJ$4,$DE$6:$DF$17,2)+1))*(VLOOKUP($A62,CURVES!$D$9:$T$261,6))*(INDEX(DailyScalarsTable,CJ$5/100,MONTH($A62)))*$E62</f>
        <v>-2120.3950298990794</v>
      </c>
      <c r="CK62" s="1021">
        <f>(VLOOKUP(YEAR($A62),'NY East Load Projections'!$A$4:$EO$14,((MONTH($A62)-1)*12)+VLOOKUP(CK$4,$DE$6:$DF$17,2)+1))*(VLOOKUP($A62,CURVES!$D$9:$T$261,6))*(INDEX(DailyScalarsTable,CK$5/100,MONTH($A62)))*$E62</f>
        <v>-2883.4687708756655</v>
      </c>
      <c r="CL62" s="1021">
        <f>(VLOOKUP(YEAR($A62),'NY East Load Projections'!$A$4:$EO$14,((MONTH($A62)-1)*12)+VLOOKUP(CL$4,$DE$6:$DF$17,2)+1))*(VLOOKUP($A62,SatSunCurve,6))*(INDEX(DailyScalarsTable,CL$5/100,MONTH($A62)))*$E62</f>
        <v>-1674.7430018065181</v>
      </c>
      <c r="CM62" s="1021">
        <f>(VLOOKUP(YEAR($A62),'NY East Load Projections'!$A$4:$EO$14,((MONTH($A62)-1)*12)+VLOOKUP(CM$4,$DE$6:$DF$17,2)+1))*(VLOOKUP($A62,SatSunCurve,6))*(INDEX(DailyScalarsTable,CM$5/100,MONTH($A62)))*$E62</f>
        <v>-1844.2708519780724</v>
      </c>
      <c r="CN62" s="1021">
        <f>(VLOOKUP(YEAR($A62),'NY East Load Projections'!$A$4:$EO$14,((MONTH($A62)-1)*12)+VLOOKUP(CN$4,$DE$6:$DF$17,2)+1))*(VLOOKUP($A62,SatSunCurve,6))*(INDEX(DailyScalarsTable,CN$5/100,MONTH($A62)))*$E62</f>
        <v>-2302.2274468012365</v>
      </c>
      <c r="CO62" s="1021">
        <f>(VLOOKUP(YEAR($A62),'NY East Load Projections'!$A$4:$EO$14,((MONTH($A62)-1)*12)+VLOOKUP(CO$4,$DE$6:$DF$17,2)+1))*(VLOOKUP($A62,SatSunCurve,6))*(INDEX(DailyScalarsTable,CO$5/100,MONTH($A62)))*$E62</f>
        <v>-2458.6722462749885</v>
      </c>
      <c r="CP62" s="1021">
        <f>(VLOOKUP(YEAR($A62),'NY East Load Projections'!$A$4:$EO$14,((MONTH($A62)-1)*12)+VLOOKUP(CP$4,$DE$6:$DF$17,2)+1))*(VLOOKUP($A62,SatSunCurve,6))*(INDEX(DailyScalarsTable,CP$5/100,MONTH($A62)))*$E62</f>
        <v>-2619.7392784604654</v>
      </c>
      <c r="CQ62" s="1021">
        <f>(VLOOKUP(YEAR($A62),'NY East Load Projections'!$A$4:$EO$14,((MONTH($A62)-1)*12)+VLOOKUP(CQ$4,$DE$6:$DF$17,2)+1))*(VLOOKUP($A62,SatSunCurve,6))*(INDEX(DailyScalarsTable,CQ$5/100,MONTH($A62)))*$E62</f>
        <v>-2534.8647185338818</v>
      </c>
      <c r="CR62" s="1021">
        <f>(VLOOKUP(YEAR($A62),'NY East Load Projections'!$A$4:$EO$14,((MONTH($A62)-1)*12)+VLOOKUP(CR$4,$DE$6:$DF$17,2)+1))*(VLOOKUP($A62,SatSunCurve,6))*(INDEX(DailyScalarsTable,CR$5/100,MONTH($A62)))*$E62</f>
        <v>-2744.0720119395055</v>
      </c>
      <c r="CS62" s="1021">
        <f>(VLOOKUP(YEAR($A62),'NY East Load Projections'!$A$4:$EO$14,((MONTH($A62)-1)*12)+VLOOKUP(CS$4,$DE$6:$DF$17,2)+1))*(VLOOKUP($A62,SatSunCurve,6))*(INDEX(DailyScalarsTable,CS$5/100,MONTH($A62)))*$E62</f>
        <v>-2700.7751981738215</v>
      </c>
      <c r="CT62" s="1021">
        <f>(VLOOKUP(YEAR($A62),'NY East Load Projections'!$A$4:$EO$14,((MONTH($A62)-1)*12)+VLOOKUP(CT$4,$DE$6:$DF$17,2)+1))*(VLOOKUP($A62,SatSunCurve,6))*(INDEX(DailyScalarsTable,CT$5/100,MONTH($A62)))*$E62</f>
        <v>-2616.3646032692909</v>
      </c>
      <c r="CU62" s="1021">
        <f>(VLOOKUP(YEAR($A62),'NY East Load Projections'!$A$4:$EO$14,((MONTH($A62)-1)*12)+VLOOKUP(CU$4,$DE$6:$DF$17,2)+1))*(VLOOKUP($A62,SatSunCurve,6))*(INDEX(DailyScalarsTable,CU$5/100,MONTH($A62)))*$E62</f>
        <v>-2627.7202166093225</v>
      </c>
      <c r="CV62" s="1021">
        <f>(VLOOKUP(YEAR($A62),'NY East Load Projections'!$A$4:$EO$14,((MONTH($A62)-1)*12)+VLOOKUP(CV$4,$DE$6:$DF$17,2)+1))*(VLOOKUP($A62,SatSunCurve,6))*(INDEX(DailyScalarsTable,CV$5/100,MONTH($A62)))*$E62</f>
        <v>-2563.2570996105133</v>
      </c>
      <c r="CW62" s="1021">
        <f>(VLOOKUP(YEAR($A62),'NY East Load Projections'!$A$4:$EO$14,((MONTH($A62)-1)*12)+VLOOKUP(CW$4,$DE$6:$DF$17,2)+1))*(VLOOKUP($A62,SatSunCurve,6))*(INDEX(DailyScalarsTable,CW$5/100,MONTH($A62)))*$E62</f>
        <v>-2099.4619367822443</v>
      </c>
      <c r="CX62" s="1021">
        <f>(VLOOKUP(YEAR($A62),'NY East Load Projections'!$A$4:$EO$14,((MONTH($A62)-1)*12)+VLOOKUP(CX$4,$DE$6:$DF$17,2)+1))*(VLOOKUP($A62,SatSunCurve,6))*(INDEX(DailyScalarsTable,CX$5/100,MONTH($A62)))*$E62</f>
        <v>-2743.753827207177</v>
      </c>
      <c r="CY62" s="1021">
        <f>(VLOOKUP(YEAR($A62),'NY East Load Projections'!$A$4:$EO$14,((MONTH($A62)-1)*12)+VLOOKUP(CY$4,$DE$6:$DF$17,2)+1))*(VLOOKUP($A62,SatSunCurve,6))*(INDEX(DailyScalarsTable,CY$5/100,MONTH($A62)))*$E62</f>
        <v>-2655.4368800989669</v>
      </c>
      <c r="CZ62" s="1021">
        <f>(VLOOKUP(YEAR($A62),'NY East Load Projections'!$A$4:$EO$14,((MONTH($A62)-1)*12)+VLOOKUP(CZ$4,$DE$6:$DF$17,2)+1))*(VLOOKUP($A62,SatSunCurve,6))*(INDEX(DailyScalarsTable,CZ$5/100,MONTH($A62)))*$E62</f>
        <v>-2021.0499482332823</v>
      </c>
      <c r="DA62" s="1021">
        <f>(VLOOKUP(YEAR($A62),'NY East Load Projections'!$A$4:$EO$14,((MONTH($A62)-1)*12)+VLOOKUP(DA$4,$DE$6:$DF$17,2)+1))*(VLOOKUP($A62,SatSunCurve,6))*(INDEX(DailyScalarsTable,DA$5/100,MONTH($A62)))*$E62</f>
        <v>-1601.5990405110033</v>
      </c>
      <c r="DB62" s="1021">
        <f>(VLOOKUP(YEAR($A62),'NY East Load Projections'!$A$4:$EO$14,((MONTH($A62)-1)*12)+VLOOKUP(DB$4,$DE$6:$DF$17,2)+1))*(VLOOKUP($A62,CURVES!$D$9:$T$261,6))*(INDEX(DailyScalarsTable,DB$5/100,MONTH($A62)))*$E62</f>
        <v>-2366.8384565226638</v>
      </c>
      <c r="DH62" s="1021">
        <f t="shared" si="0"/>
        <v>-2099799.554175674</v>
      </c>
      <c r="DI62">
        <f ca="1">CALC!J82</f>
        <v>0.66683762127099377</v>
      </c>
      <c r="DJ62" s="1029">
        <f t="shared" ca="1" si="1"/>
        <v>-1400225.3398523997</v>
      </c>
    </row>
    <row r="63" spans="1:114" x14ac:dyDescent="0.25">
      <c r="A63" s="244">
        <v>38626</v>
      </c>
      <c r="B63" s="13">
        <v>21</v>
      </c>
      <c r="C63" s="210">
        <v>5</v>
      </c>
      <c r="D63" s="210">
        <v>5</v>
      </c>
      <c r="E63" s="210">
        <v>0</v>
      </c>
      <c r="F63" s="13">
        <v>31</v>
      </c>
      <c r="H63" s="1021">
        <f>(VLOOKUP(YEAR($A63),'NY East Load Projections'!$A$4:$EO$14,((MONTH($A63)-1)*12)+VLOOKUP(H$4,$DE$6:$DF$17,2)+1))*(VLOOKUP($A63,CURVES!$D$9:$K$261,6))*(INDEX(DailyScalarsTable,H$5/100,MONTH($A63)))*$B63</f>
        <v>-35653.630608331106</v>
      </c>
      <c r="I63" s="1021">
        <f>(VLOOKUP(YEAR($A63),'NY East Load Projections'!$A$4:$EO$14,((MONTH($A63)-1)*12)+VLOOKUP(I$4,$DE$6:$DF$17,2)+1))*(VLOOKUP($A63,CURVES!$D$9:$K$261,6))*(INDEX(DailyScalarsTable,I$5/100,MONTH($A63)))*$B63</f>
        <v>-33839.970409929432</v>
      </c>
      <c r="J63" s="1021">
        <f>(VLOOKUP(YEAR($A63),'NY East Load Projections'!$A$4:$EO$14,((MONTH($A63)-1)*12)+VLOOKUP(J$4,$DE$6:$DF$17,2)+1))*(VLOOKUP($A63,CURVES!$D$9:$K$261,6))*(INDEX(DailyScalarsTable,J$5/100,MONTH($A63)))*$B63</f>
        <v>-32506.948939054491</v>
      </c>
      <c r="K63" s="1021">
        <f>(VLOOKUP(YEAR($A63),'NY East Load Projections'!$A$4:$EO$14,((MONTH($A63)-1)*12)+VLOOKUP(K$4,$DE$6:$DF$17,2)+1))*(VLOOKUP($A63,CURVES!$D$9:$K$261,6))*(INDEX(DailyScalarsTable,K$5/100,MONTH($A63)))*$B63</f>
        <v>-32525.723889348505</v>
      </c>
      <c r="L63" s="1021">
        <f>(VLOOKUP(YEAR($A63),'NY East Load Projections'!$A$4:$EO$14,((MONTH($A63)-1)*12)+VLOOKUP(L$4,$DE$6:$DF$17,2)+1))*(VLOOKUP($A63,CURVES!$D$9:$K$261,6))*(INDEX(DailyScalarsTable,L$5/100,MONTH($A63)))*$B63</f>
        <v>-38440.295862385057</v>
      </c>
      <c r="M63" s="1021">
        <f>(VLOOKUP(YEAR($A63),'NY East Load Projections'!$A$4:$EO$14,((MONTH($A63)-1)*12)+VLOOKUP(M$4,$DE$6:$DF$17,2)+1))*(VLOOKUP($A63,CURVES!$D$9:$K$261,6))*(INDEX(DailyScalarsTable,M$5/100,MONTH($A63)))*$B63</f>
        <v>-44161.738711195518</v>
      </c>
      <c r="N63" s="1021">
        <f>(VLOOKUP(YEAR($A63),'NY East Load Projections'!$A$4:$EO$14,((MONTH($A63)-1)*12)+VLOOKUP(N$4,$DE$6:$DF$17,2)+1))*(VLOOKUP($A63,CURVES!$D$9:$K$261,6))*(INDEX(DailyScalarsTable,N$5/100,MONTH($A63)))*$B63</f>
        <v>-57089.959100530839</v>
      </c>
      <c r="O63" s="1021">
        <f>(VLOOKUP(YEAR($A63),'NY East Load Projections'!$A$4:$EO$14,((MONTH($A63)-1)*12)+VLOOKUP(O$4,$DE$6:$DF$17,2)+1))*(VLOOKUP($A63,CURVES!$D$9:$K$261,2))*(INDEX(DailyScalarsTable,O$5/100,MONTH($A63)))*$B63</f>
        <v>-67870.872935167223</v>
      </c>
      <c r="P63" s="1021">
        <f>(VLOOKUP(YEAR($A63),'NY East Load Projections'!$A$4:$EO$14,((MONTH($A63)-1)*12)+VLOOKUP(P$4,$DE$6:$DF$17,2)+1))*(VLOOKUP($A63,CURVES!$D$9:$K$261,2))*(INDEX(DailyScalarsTable,P$5/100,MONTH($A63)))*$B63</f>
        <v>-80921.64317119222</v>
      </c>
      <c r="Q63" s="1021">
        <f>(VLOOKUP(YEAR($A63),'NY East Load Projections'!$A$4:$EO$14,((MONTH($A63)-1)*12)+VLOOKUP(Q$4,$DE$6:$DF$17,2)+1))*(VLOOKUP($A63,CURVES!$D$9:$K$261,2))*(INDEX(DailyScalarsTable,Q$5/100,MONTH($A63)))*$B63</f>
        <v>-80671.576288710174</v>
      </c>
      <c r="R63" s="1021">
        <f>(VLOOKUP(YEAR($A63),'NY East Load Projections'!$A$4:$EO$14,((MONTH($A63)-1)*12)+VLOOKUP(R$4,$DE$6:$DF$17,2)+1))*(VLOOKUP($A63,CURVES!$D$9:$K$261,2))*(INDEX(DailyScalarsTable,R$5/100,MONTH($A63)))*$B63</f>
        <v>-80214.31113217157</v>
      </c>
      <c r="S63" s="1021">
        <f>(VLOOKUP(YEAR($A63),'NY East Load Projections'!$A$4:$EO$14,((MONTH($A63)-1)*12)+VLOOKUP(S$4,$DE$6:$DF$17,2)+1))*(VLOOKUP($A63,CURVES!$D$9:$K$261,2))*(INDEX(DailyScalarsTable,S$5/100,MONTH($A63)))*$B63</f>
        <v>-67689.532703856181</v>
      </c>
      <c r="T63" s="1021">
        <f>(VLOOKUP(YEAR($A63),'NY East Load Projections'!$A$4:$EO$14,((MONTH($A63)-1)*12)+VLOOKUP(T$4,$DE$6:$DF$17,2)+1))*(VLOOKUP($A63,CURVES!$D$9:$K$261,2))*(INDEX(DailyScalarsTable,T$5/100,MONTH($A63)))*$B63</f>
        <v>-65566.051112339002</v>
      </c>
      <c r="U63" s="1021">
        <f>(VLOOKUP(YEAR($A63),'NY East Load Projections'!$A$4:$EO$14,((MONTH($A63)-1)*12)+VLOOKUP(U$4,$DE$6:$DF$17,2)+1))*(VLOOKUP($A63,CURVES!$D$9:$K$261,2))*(INDEX(DailyScalarsTable,U$5/100,MONTH($A63)))*$B63</f>
        <v>-63746.204542528038</v>
      </c>
      <c r="V63" s="1021">
        <f>(VLOOKUP(YEAR($A63),'NY East Load Projections'!$A$4:$EO$14,((MONTH($A63)-1)*12)+VLOOKUP(V$4,$DE$6:$DF$17,2)+1))*(VLOOKUP($A63,CURVES!$D$9:$K$261,2))*(INDEX(DailyScalarsTable,V$5/100,MONTH($A63)))*$B63</f>
        <v>-62265.276767094831</v>
      </c>
      <c r="W63" s="1021">
        <f>(VLOOKUP(YEAR($A63),'NY East Load Projections'!$A$4:$EO$14,((MONTH($A63)-1)*12)+VLOOKUP(W$4,$DE$6:$DF$17,2)+1))*(VLOOKUP($A63,CURVES!$D$9:$K$261,2))*(INDEX(DailyScalarsTable,W$5/100,MONTH($A63)))*$B63</f>
        <v>-61837.94437418376</v>
      </c>
      <c r="X63" s="1021">
        <f>(VLOOKUP(YEAR($A63),'NY East Load Projections'!$A$4:$EO$14,((MONTH($A63)-1)*12)+VLOOKUP(X$4,$DE$6:$DF$17,2)+1))*(VLOOKUP($A63,CURVES!$D$9:$K$261,2))*(INDEX(DailyScalarsTable,X$5/100,MONTH($A63)))*$B63</f>
        <v>-61436.203258021495</v>
      </c>
      <c r="Y63" s="1021">
        <f>(VLOOKUP(YEAR($A63),'NY East Load Projections'!$A$4:$EO$14,((MONTH($A63)-1)*12)+VLOOKUP(Y$4,$DE$6:$DF$17,2)+1))*(VLOOKUP($A63,CURVES!$D$9:$K$261,2))*(INDEX(DailyScalarsTable,Y$5/100,MONTH($A63)))*$B63</f>
        <v>-82879.482385287323</v>
      </c>
      <c r="Z63" s="1021">
        <f>(VLOOKUP(YEAR($A63),'NY East Load Projections'!$A$4:$EO$14,((MONTH($A63)-1)*12)+VLOOKUP(Z$4,$DE$6:$DF$17,2)+1))*(VLOOKUP($A63,CURVES!$D$9:$K$261,2))*(INDEX(DailyScalarsTable,Z$5/100,MONTH($A63)))*$B63</f>
        <v>-83528.650899929198</v>
      </c>
      <c r="AA63" s="1021">
        <f>(VLOOKUP(YEAR($A63),'NY East Load Projections'!$A$4:$EO$14,((MONTH($A63)-1)*12)+VLOOKUP(AA$4,$DE$6:$DF$17,2)+1))*(VLOOKUP($A63,CURVES!$D$9:$K$261,2))*(INDEX(DailyScalarsTable,AA$5/100,MONTH($A63)))*$B63</f>
        <v>-79882.257541089784</v>
      </c>
      <c r="AB63" s="1021">
        <f>(VLOOKUP(YEAR($A63),'NY East Load Projections'!$A$4:$EO$14,((MONTH($A63)-1)*12)+VLOOKUP(AB$4,$DE$6:$DF$17,2)+1))*(VLOOKUP($A63,CURVES!$D$9:$K$261,2))*(INDEX(DailyScalarsTable,AB$5/100,MONTH($A63)))*$B63</f>
        <v>-65018.872984491158</v>
      </c>
      <c r="AC63" s="1021">
        <f>(VLOOKUP(YEAR($A63),'NY East Load Projections'!$A$4:$EO$14,((MONTH($A63)-1)*12)+VLOOKUP(AC$4,$DE$6:$DF$17,2)+1))*(VLOOKUP($A63,CURVES!$D$9:$K$261,2))*(INDEX(DailyScalarsTable,AC$5/100,MONTH($A63)))*$B63</f>
        <v>-53936.041421412963</v>
      </c>
      <c r="AD63" s="1021">
        <f>(VLOOKUP(YEAR($A63),'NY East Load Projections'!$A$4:$EO$14,((MONTH($A63)-1)*12)+VLOOKUP(AD$4,$DE$6:$DF$17,2)+1))*(VLOOKUP($A63,CURVES!$D$9:$K$261,2))*(INDEX(DailyScalarsTable,AD$5/100,MONTH($A63)))*$B63</f>
        <v>-45985.843368205933</v>
      </c>
      <c r="AE63" s="1021">
        <f>(VLOOKUP(YEAR($A63),'NY East Load Projections'!$A$4:$EO$14,((MONTH($A63)-1)*12)+VLOOKUP(AE$4,$DE$6:$DF$17,2)+1))*(VLOOKUP($A63,CURVES!$D$9:$K$261,6))*(INDEX(DailyScalarsTable,AE$5/100,MONTH($A63)))*$B63</f>
        <v>-41464.485264131421</v>
      </c>
      <c r="AF63" s="1021"/>
      <c r="AG63" s="1021">
        <f>(VLOOKUP(YEAR($A63),'NY East Load Projections'!$A$4:$EO$14,((MONTH($A63)-1)*12)+VLOOKUP(AG$4,$DE$6:$DF$17,2)+1))*(VLOOKUP($A63,CURVES!$D$9:$T$261,6))*(INDEX(DailyScalarsTable,AG$5/100,MONTH($A63)))*$C63</f>
        <v>-8845.2102924993451</v>
      </c>
      <c r="AH63" s="1021">
        <f>(VLOOKUP(YEAR($A63),'NY East Load Projections'!$A$4:$EO$14,((MONTH($A63)-1)*12)+VLOOKUP(AH$4,$DE$6:$DF$17,2)+1))*(VLOOKUP($A63,CURVES!$D$9:$T$261,6))*(INDEX(DailyScalarsTable,AH$5/100,MONTH($A63)))*$C63</f>
        <v>-8395.2643660878457</v>
      </c>
      <c r="AI63" s="1021">
        <f>(VLOOKUP(YEAR($A63),'NY East Load Projections'!$A$4:$EO$14,((MONTH($A63)-1)*12)+VLOOKUP(AI$4,$DE$6:$DF$17,2)+1))*(VLOOKUP($A63,CURVES!$D$9:$T$261,6))*(INDEX(DailyScalarsTable,AI$5/100,MONTH($A63)))*$C63</f>
        <v>-8064.5587680007193</v>
      </c>
      <c r="AJ63" s="1021">
        <f>(VLOOKUP(YEAR($A63),'NY East Load Projections'!$A$4:$EO$14,((MONTH($A63)-1)*12)+VLOOKUP(AJ$4,$DE$6:$DF$17,2)+1))*(VLOOKUP($A63,CURVES!$D$9:$T$261,6))*(INDEX(DailyScalarsTable,AJ$5/100,MONTH($A63)))*$C63</f>
        <v>-8069.2165933258893</v>
      </c>
      <c r="AK63" s="1021">
        <f>(VLOOKUP(YEAR($A63),'NY East Load Projections'!$A$4:$EO$14,((MONTH($A63)-1)*12)+VLOOKUP(AK$4,$DE$6:$DF$17,2)+1))*(VLOOKUP($A63,CURVES!$D$9:$T$261,6))*(INDEX(DailyScalarsTable,AK$5/100,MONTH($A63)))*$C63</f>
        <v>-8750.5704259161612</v>
      </c>
      <c r="AL63" s="1021">
        <f>(VLOOKUP(YEAR($A63),'NY East Load Projections'!$A$4:$EO$14,((MONTH($A63)-1)*12)+VLOOKUP(AL$4,$DE$6:$DF$17,2)+1))*(VLOOKUP($A63,CURVES!$D$9:$T$261,6))*(INDEX(DailyScalarsTable,AL$5/100,MONTH($A63)))*$C63</f>
        <v>-10053.002872471843</v>
      </c>
      <c r="AM63" s="1021">
        <f>(VLOOKUP(YEAR($A63),'NY East Load Projections'!$A$4:$EO$14,((MONTH($A63)-1)*12)+VLOOKUP(AM$4,$DE$6:$DF$17,2)+1))*(VLOOKUP($A63,CURVES!$D$9:$T$261,6))*(INDEX(DailyScalarsTable,AM$5/100,MONTH($A63)))*$C63</f>
        <v>-12995.990184631017</v>
      </c>
      <c r="AN63" s="1021">
        <f>(VLOOKUP(YEAR($A63),'NY East Load Projections'!$A$4:$EO$14,((MONTH($A63)-1)*12)+VLOOKUP(AN$4,$DE$6:$DF$17,2)+1))*(VLOOKUP($A63,SatSunCurve,2))*(INDEX(DailyScalarsTable,AN$5/100,MONTH($A63)))*$C63</f>
        <v>-11862.379344117433</v>
      </c>
      <c r="AO63" s="1021">
        <f>(VLOOKUP(YEAR($A63),'NY East Load Projections'!$A$4:$EO$14,((MONTH($A63)-1)*12)+VLOOKUP(AO$4,$DE$6:$DF$17,2)+1))*(VLOOKUP($A63,SatSunCurve,2))*(INDEX(DailyScalarsTable,AO$5/100,MONTH($A63)))*$C63</f>
        <v>-14004.803240227731</v>
      </c>
      <c r="AP63" s="1021">
        <f>(VLOOKUP(YEAR($A63),'NY East Load Projections'!$A$4:$EO$14,((MONTH($A63)-1)*12)+VLOOKUP(AP$4,$DE$6:$DF$17,2)+1))*(VLOOKUP($A63,SatSunCurve,2))*(INDEX(DailyScalarsTable,AP$5/100,MONTH($A63)))*$C63</f>
        <v>-13961.525109077462</v>
      </c>
      <c r="AQ63" s="1021">
        <f>(VLOOKUP(YEAR($A63),'NY East Load Projections'!$A$4:$EO$14,((MONTH($A63)-1)*12)+VLOOKUP(AQ$4,$DE$6:$DF$17,2)+1))*(VLOOKUP($A63,SatSunCurve,2))*(INDEX(DailyScalarsTable,AQ$5/100,MONTH($A63)))*$C63</f>
        <v>-13882.387954974109</v>
      </c>
      <c r="AR63" s="1021">
        <f>(VLOOKUP(YEAR($A63),'NY East Load Projections'!$A$4:$EO$14,((MONTH($A63)-1)*12)+VLOOKUP(AR$4,$DE$6:$DF$17,2)+1))*(VLOOKUP($A63,SatSunCurve,2))*(INDEX(DailyScalarsTable,AR$5/100,MONTH($A63)))*$C63</f>
        <v>-11714.771843361958</v>
      </c>
      <c r="AS63" s="1021">
        <f>(VLOOKUP(YEAR($A63),'NY East Load Projections'!$A$4:$EO$14,((MONTH($A63)-1)*12)+VLOOKUP(AS$4,$DE$6:$DF$17,2)+1))*(VLOOKUP($A63,SatSunCurve,2))*(INDEX(DailyScalarsTable,AS$5/100,MONTH($A63)))*$C63</f>
        <v>-11287.392898061571</v>
      </c>
      <c r="AT63" s="1021">
        <f>(VLOOKUP(YEAR($A63),'NY East Load Projections'!$A$4:$EO$14,((MONTH($A63)-1)*12)+VLOOKUP(AT$4,$DE$6:$DF$17,2)+1))*(VLOOKUP($A63,SatSunCurve,2))*(INDEX(DailyScalarsTable,AT$5/100,MONTH($A63)))*$C63</f>
        <v>-10974.10083762543</v>
      </c>
      <c r="AU63" s="1021">
        <f>(VLOOKUP(YEAR($A63),'NY East Load Projections'!$A$4:$EO$14,((MONTH($A63)-1)*12)+VLOOKUP(AU$4,$DE$6:$DF$17,2)+1))*(VLOOKUP($A63,SatSunCurve,2))*(INDEX(DailyScalarsTable,AU$5/100,MONTH($A63)))*$C63</f>
        <v>-10719.154666987115</v>
      </c>
      <c r="AV63" s="1021">
        <f>(VLOOKUP(YEAR($A63),'NY East Load Projections'!$A$4:$EO$14,((MONTH($A63)-1)*12)+VLOOKUP(AV$4,$DE$6:$DF$17,2)+1))*(VLOOKUP($A63,SatSunCurve,2))*(INDEX(DailyScalarsTable,AV$5/100,MONTH($A63)))*$C63</f>
        <v>-10645.588110285513</v>
      </c>
      <c r="AW63" s="1021">
        <f>(VLOOKUP(YEAR($A63),'NY East Load Projections'!$A$4:$EO$14,((MONTH($A63)-1)*12)+VLOOKUP(AW$4,$DE$6:$DF$17,2)+1))*(VLOOKUP($A63,SatSunCurve,2))*(INDEX(DailyScalarsTable,AW$5/100,MONTH($A63)))*$C63</f>
        <v>-10537.402707467065</v>
      </c>
      <c r="AX63" s="1021">
        <f>(VLOOKUP(YEAR($A63),'NY East Load Projections'!$A$4:$EO$14,((MONTH($A63)-1)*12)+VLOOKUP(AX$4,$DE$6:$DF$17,2)+1))*(VLOOKUP($A63,SatSunCurve,2))*(INDEX(DailyScalarsTable,AX$5/100,MONTH($A63)))*$C63</f>
        <v>-14215.306867391213</v>
      </c>
      <c r="AY63" s="1021">
        <f>(VLOOKUP(YEAR($A63),'NY East Load Projections'!$A$4:$EO$14,((MONTH($A63)-1)*12)+VLOOKUP(AY$4,$DE$6:$DF$17,2)+1))*(VLOOKUP($A63,SatSunCurve,2))*(INDEX(DailyScalarsTable,AY$5/100,MONTH($A63)))*$C63</f>
        <v>-14326.650825855908</v>
      </c>
      <c r="AZ63" s="1021">
        <f>(VLOOKUP(YEAR($A63),'NY East Load Projections'!$A$4:$EO$14,((MONTH($A63)-1)*12)+VLOOKUP(AZ$4,$DE$6:$DF$17,2)+1))*(VLOOKUP($A63,SatSunCurve,2))*(INDEX(DailyScalarsTable,AZ$5/100,MONTH($A63)))*$C63</f>
        <v>-13701.229442139338</v>
      </c>
      <c r="BA63" s="1021">
        <f>(VLOOKUP(YEAR($A63),'NY East Load Projections'!$A$4:$EO$14,((MONTH($A63)-1)*12)+VLOOKUP(BA$4,$DE$6:$DF$17,2)+1))*(VLOOKUP($A63,SatSunCurve,2))*(INDEX(DailyScalarsTable,BA$5/100,MONTH($A63)))*$C63</f>
        <v>-12061.011872376705</v>
      </c>
      <c r="BB63" s="1021">
        <f>(VLOOKUP(YEAR($A63),'NY East Load Projections'!$A$4:$EO$14,((MONTH($A63)-1)*12)+VLOOKUP(BB$4,$DE$6:$DF$17,2)+1))*(VLOOKUP($A63,SatSunCurve,2))*(INDEX(DailyScalarsTable,BB$5/100,MONTH($A63)))*$C63</f>
        <v>-10005.144753706078</v>
      </c>
      <c r="BC63" s="1021">
        <f>(VLOOKUP(YEAR($A63),'NY East Load Projections'!$A$4:$EO$14,((MONTH($A63)-1)*12)+VLOOKUP(BC$4,$DE$6:$DF$17,2)+1))*(VLOOKUP($A63,SatSunCurve,2))*(INDEX(DailyScalarsTable,BC$5/100,MONTH($A63)))*$C63</f>
        <v>-8530.3816779088684</v>
      </c>
      <c r="BD63" s="1021">
        <f>(VLOOKUP(YEAR($A63),'NY East Load Projections'!$A$4:$EO$14,((MONTH($A63)-1)*12)+VLOOKUP(BD$4,$DE$6:$DF$17,2)+1))*(VLOOKUP($A63,CURVES!$D$9:$T$261,6))*(INDEX(DailyScalarsTable,BD$5/100,MONTH($A63)))*$C63</f>
        <v>-10018.019109800482</v>
      </c>
      <c r="BE63" s="1021"/>
      <c r="BF63" s="1021">
        <f>(VLOOKUP(YEAR($A63),'NY East Load Projections'!$A$4:$EO$14,((MONTH($A63)-1)*12)+VLOOKUP(BF$4,$DE$6:$DF$17,2)+1))*(VLOOKUP($A63,CURVES!$D$9:$T$261,6))*(INDEX(DailyScalarsTable,BF$5/100,MONTH($A63)))*$D63</f>
        <v>-8845.2102924993451</v>
      </c>
      <c r="BG63" s="1021">
        <f>(VLOOKUP(YEAR($A63),'NY East Load Projections'!$A$4:$EO$14,((MONTH($A63)-1)*12)+VLOOKUP(BG$4,$DE$6:$DF$17,2)+1))*(VLOOKUP($A63,CURVES!$D$9:$T$261,6))*(INDEX(DailyScalarsTable,BG$5/100,MONTH($A63)))*$D63</f>
        <v>-8395.2643660878457</v>
      </c>
      <c r="BH63" s="1021">
        <f>(VLOOKUP(YEAR($A63),'NY East Load Projections'!$A$4:$EO$14,((MONTH($A63)-1)*12)+VLOOKUP(BH$4,$DE$6:$DF$17,2)+1))*(VLOOKUP($A63,CURVES!$D$9:$T$261,6))*(INDEX(DailyScalarsTable,BH$5/100,MONTH($A63)))*$D63</f>
        <v>-8064.5587680007193</v>
      </c>
      <c r="BI63" s="1021">
        <f>(VLOOKUP(YEAR($A63),'NY East Load Projections'!$A$4:$EO$14,((MONTH($A63)-1)*12)+VLOOKUP(BI$4,$DE$6:$DF$17,2)+1))*(VLOOKUP($A63,CURVES!$D$9:$T$261,6))*(INDEX(DailyScalarsTable,BI$5/100,MONTH($A63)))*$D63</f>
        <v>-8069.2165933258893</v>
      </c>
      <c r="BJ63" s="1021">
        <f>(VLOOKUP(YEAR($A63),'NY East Load Projections'!$A$4:$EO$14,((MONTH($A63)-1)*12)+VLOOKUP(BJ$4,$DE$6:$DF$17,2)+1))*(VLOOKUP($A63,CURVES!$D$9:$T$261,6))*(INDEX(DailyScalarsTable,BJ$5/100,MONTH($A63)))*$D63</f>
        <v>-8750.5704259161612</v>
      </c>
      <c r="BK63" s="1021">
        <f>(VLOOKUP(YEAR($A63),'NY East Load Projections'!$A$4:$EO$14,((MONTH($A63)-1)*12)+VLOOKUP(BK$4,$DE$6:$DF$17,2)+1))*(VLOOKUP($A63,CURVES!$D$9:$T$261,6))*(INDEX(DailyScalarsTable,BK$5/100,MONTH($A63)))*$D63</f>
        <v>-10053.002872471843</v>
      </c>
      <c r="BL63" s="1021">
        <f>(VLOOKUP(YEAR($A63),'NY East Load Projections'!$A$4:$EO$14,((MONTH($A63)-1)*12)+VLOOKUP(BL$4,$DE$6:$DF$17,2)+1))*(VLOOKUP($A63,CURVES!$D$9:$T$261,6))*(INDEX(DailyScalarsTable,BL$5/100,MONTH($A63)))*$D63</f>
        <v>-12995.990184631017</v>
      </c>
      <c r="BM63" s="1021">
        <f>(VLOOKUP(YEAR($A63),'NY East Load Projections'!$A$4:$EO$14,((MONTH($A63)-1)*12)+VLOOKUP(BM$4,$DE$6:$DF$17,2)+1))*(VLOOKUP($A63,SatSunCurve,6))*(INDEX(DailyScalarsTable,BM$5/100,MONTH($A63)))*$D63</f>
        <v>-9464.0746432447286</v>
      </c>
      <c r="BN63" s="1021">
        <f>(VLOOKUP(YEAR($A63),'NY East Load Projections'!$A$4:$EO$14,((MONTH($A63)-1)*12)+VLOOKUP(BN$4,$DE$6:$DF$17,2)+1))*(VLOOKUP($A63,SatSunCurve,6))*(INDEX(DailyScalarsTable,BN$5/100,MONTH($A63)))*$D63</f>
        <v>-11173.348902823518</v>
      </c>
      <c r="BO63" s="1021">
        <f>(VLOOKUP(YEAR($A63),'NY East Load Projections'!$A$4:$EO$14,((MONTH($A63)-1)*12)+VLOOKUP(BO$4,$DE$6:$DF$17,2)+1))*(VLOOKUP($A63,SatSunCurve,6))*(INDEX(DailyScalarsTable,BO$5/100,MONTH($A63)))*$D63</f>
        <v>-11138.8206305651</v>
      </c>
      <c r="BP63" s="1021">
        <f>(VLOOKUP(YEAR($A63),'NY East Load Projections'!$A$4:$EO$14,((MONTH($A63)-1)*12)+VLOOKUP(BP$4,$DE$6:$DF$17,2)+1))*(VLOOKUP($A63,SatSunCurve,6))*(INDEX(DailyScalarsTable,BP$5/100,MONTH($A63)))*$D63</f>
        <v>-11075.683218435426</v>
      </c>
      <c r="BQ63" s="1021">
        <f>(VLOOKUP(YEAR($A63),'NY East Load Projections'!$A$4:$EO$14,((MONTH($A63)-1)*12)+VLOOKUP(BQ$4,$DE$6:$DF$17,2)+1))*(VLOOKUP($A63,SatSunCurve,6))*(INDEX(DailyScalarsTable,BQ$5/100,MONTH($A63)))*$D63</f>
        <v>-9346.3100393210316</v>
      </c>
      <c r="BR63" s="1021">
        <f>(VLOOKUP(YEAR($A63),'NY East Load Projections'!$A$4:$EO$14,((MONTH($A63)-1)*12)+VLOOKUP(BR$4,$DE$6:$DF$17,2)+1))*(VLOOKUP($A63,SatSunCurve,6))*(INDEX(DailyScalarsTable,BR$5/100,MONTH($A63)))*$D63</f>
        <v>-9005.3374467289868</v>
      </c>
      <c r="BS63" s="1021">
        <f>(VLOOKUP(YEAR($A63),'NY East Load Projections'!$A$4:$EO$14,((MONTH($A63)-1)*12)+VLOOKUP(BS$4,$DE$6:$DF$17,2)+1))*(VLOOKUP($A63,SatSunCurve,6))*(INDEX(DailyScalarsTable,BS$5/100,MONTH($A63)))*$D63</f>
        <v>-8755.385952252971</v>
      </c>
      <c r="BT63" s="1021">
        <f>(VLOOKUP(YEAR($A63),'NY East Load Projections'!$A$4:$EO$14,((MONTH($A63)-1)*12)+VLOOKUP(BT$4,$DE$6:$DF$17,2)+1))*(VLOOKUP($A63,SatSunCurve,6))*(INDEX(DailyScalarsTable,BT$5/100,MONTH($A63)))*$D63</f>
        <v>-8551.9841288129737</v>
      </c>
      <c r="BU63" s="1021">
        <f>(VLOOKUP(YEAR($A63),'NY East Load Projections'!$A$4:$EO$14,((MONTH($A63)-1)*12)+VLOOKUP(BU$4,$DE$6:$DF$17,2)+1))*(VLOOKUP($A63,SatSunCurve,6))*(INDEX(DailyScalarsTable,BU$5/100,MONTH($A63)))*$D63</f>
        <v>-8493.2910653327763</v>
      </c>
      <c r="BV63" s="1021">
        <f>(VLOOKUP(YEAR($A63),'NY East Load Projections'!$A$4:$EO$14,((MONTH($A63)-1)*12)+VLOOKUP(BV$4,$DE$6:$DF$17,2)+1))*(VLOOKUP($A63,SatSunCurve,6))*(INDEX(DailyScalarsTable,BV$5/100,MONTH($A63)))*$D63</f>
        <v>-8406.9783031219631</v>
      </c>
      <c r="BW63" s="1021">
        <f>(VLOOKUP(YEAR($A63),'NY East Load Projections'!$A$4:$EO$14,((MONTH($A63)-1)*12)+VLOOKUP(BW$4,$DE$6:$DF$17,2)+1))*(VLOOKUP($A63,SatSunCurve,6))*(INDEX(DailyScalarsTable,BW$5/100,MONTH($A63)))*$D63</f>
        <v>-11341.293459506149</v>
      </c>
      <c r="BX63" s="1021">
        <f>(VLOOKUP(YEAR($A63),'NY East Load Projections'!$A$4:$EO$14,((MONTH($A63)-1)*12)+VLOOKUP(BX$4,$DE$6:$DF$17,2)+1))*(VLOOKUP($A63,SatSunCurve,6))*(INDEX(DailyScalarsTable,BX$5/100,MONTH($A63)))*$D63</f>
        <v>-11430.126188878166</v>
      </c>
      <c r="BY63" s="1021">
        <f>(VLOOKUP(YEAR($A63),'NY East Load Projections'!$A$4:$EO$14,((MONTH($A63)-1)*12)+VLOOKUP(BY$4,$DE$6:$DF$17,2)+1))*(VLOOKUP($A63,SatSunCurve,6))*(INDEX(DailyScalarsTable,BY$5/100,MONTH($A63)))*$D63</f>
        <v>-10931.150857937473</v>
      </c>
      <c r="BZ63" s="1021">
        <f>(VLOOKUP(YEAR($A63),'NY East Load Projections'!$A$4:$EO$14,((MONTH($A63)-1)*12)+VLOOKUP(BZ$4,$DE$6:$DF$17,2)+1))*(VLOOKUP($A63,SatSunCurve,6))*(INDEX(DailyScalarsTable,BZ$5/100,MONTH($A63)))*$D63</f>
        <v>-9622.548168621779</v>
      </c>
      <c r="CA63" s="1021">
        <f>(VLOOKUP(YEAR($A63),'NY East Load Projections'!$A$4:$EO$14,((MONTH($A63)-1)*12)+VLOOKUP(CA$4,$DE$6:$DF$17,2)+1))*(VLOOKUP($A63,SatSunCurve,6))*(INDEX(DailyScalarsTable,CA$5/100,MONTH($A63)))*$D63</f>
        <v>-7982.3308645494726</v>
      </c>
      <c r="CB63" s="1021">
        <f>(VLOOKUP(YEAR($A63),'NY East Load Projections'!$A$4:$EO$14,((MONTH($A63)-1)*12)+VLOOKUP(CB$4,$DE$6:$DF$17,2)+1))*(VLOOKUP($A63,SatSunCurve,6))*(INDEX(DailyScalarsTable,CB$5/100,MONTH($A63)))*$D63</f>
        <v>-6805.7315141529289</v>
      </c>
      <c r="CC63" s="1021">
        <f>(VLOOKUP(YEAR($A63),'NY East Load Projections'!$A$4:$EO$14,((MONTH($A63)-1)*12)+VLOOKUP(CC$4,$DE$6:$DF$17,2)+1))*(VLOOKUP($A63,CURVES!$D$9:$T$261,6))*(INDEX(DailyScalarsTable,CC$5/100,MONTH($A63)))*$D63</f>
        <v>-10018.019109800482</v>
      </c>
      <c r="CE63" s="1021">
        <f>(VLOOKUP(YEAR($A63),'NY East Load Projections'!$A$4:$EO$14,((MONTH($A63)-1)*12)+VLOOKUP(CE$4,$DE$6:$DF$17,2)+1))*(VLOOKUP($A63,CURVES!$D$9:$T$261,6))*(INDEX(DailyScalarsTable,CE$5/100,MONTH($A63)))*$E63</f>
        <v>0</v>
      </c>
      <c r="CF63" s="1021">
        <f>(VLOOKUP(YEAR($A63),'NY East Load Projections'!$A$4:$EO$14,((MONTH($A63)-1)*12)+VLOOKUP(CF$4,$DE$6:$DF$17,2)+1))*(VLOOKUP($A63,CURVES!$D$9:$T$261,6))*(INDEX(DailyScalarsTable,CF$5/100,MONTH($A63)))*$E63</f>
        <v>0</v>
      </c>
      <c r="CG63" s="1021">
        <f>(VLOOKUP(YEAR($A63),'NY East Load Projections'!$A$4:$EO$14,((MONTH($A63)-1)*12)+VLOOKUP(CG$4,$DE$6:$DF$17,2)+1))*(VLOOKUP($A63,CURVES!$D$9:$T$261,6))*(INDEX(DailyScalarsTable,CG$5/100,MONTH($A63)))*$E63</f>
        <v>0</v>
      </c>
      <c r="CH63" s="1021">
        <f>(VLOOKUP(YEAR($A63),'NY East Load Projections'!$A$4:$EO$14,((MONTH($A63)-1)*12)+VLOOKUP(CH$4,$DE$6:$DF$17,2)+1))*(VLOOKUP($A63,CURVES!$D$9:$T$261,6))*(INDEX(DailyScalarsTable,CH$5/100,MONTH($A63)))*$E63</f>
        <v>0</v>
      </c>
      <c r="CI63" s="1021">
        <f>(VLOOKUP(YEAR($A63),'NY East Load Projections'!$A$4:$EO$14,((MONTH($A63)-1)*12)+VLOOKUP(CI$4,$DE$6:$DF$17,2)+1))*(VLOOKUP($A63,CURVES!$D$9:$T$261,6))*(INDEX(DailyScalarsTable,CI$5/100,MONTH($A63)))*$E63</f>
        <v>0</v>
      </c>
      <c r="CJ63" s="1021">
        <f>(VLOOKUP(YEAR($A63),'NY East Load Projections'!$A$4:$EO$14,((MONTH($A63)-1)*12)+VLOOKUP(CJ$4,$DE$6:$DF$17,2)+1))*(VLOOKUP($A63,CURVES!$D$9:$T$261,6))*(INDEX(DailyScalarsTable,CJ$5/100,MONTH($A63)))*$E63</f>
        <v>0</v>
      </c>
      <c r="CK63" s="1021">
        <f>(VLOOKUP(YEAR($A63),'NY East Load Projections'!$A$4:$EO$14,((MONTH($A63)-1)*12)+VLOOKUP(CK$4,$DE$6:$DF$17,2)+1))*(VLOOKUP($A63,CURVES!$D$9:$T$261,6))*(INDEX(DailyScalarsTable,CK$5/100,MONTH($A63)))*$E63</f>
        <v>0</v>
      </c>
      <c r="CL63" s="1021">
        <f>(VLOOKUP(YEAR($A63),'NY East Load Projections'!$A$4:$EO$14,((MONTH($A63)-1)*12)+VLOOKUP(CL$4,$DE$6:$DF$17,2)+1))*(VLOOKUP($A63,SatSunCurve,6))*(INDEX(DailyScalarsTable,CL$5/100,MONTH($A63)))*$E63</f>
        <v>0</v>
      </c>
      <c r="CM63" s="1021">
        <f>(VLOOKUP(YEAR($A63),'NY East Load Projections'!$A$4:$EO$14,((MONTH($A63)-1)*12)+VLOOKUP(CM$4,$DE$6:$DF$17,2)+1))*(VLOOKUP($A63,SatSunCurve,6))*(INDEX(DailyScalarsTable,CM$5/100,MONTH($A63)))*$E63</f>
        <v>0</v>
      </c>
      <c r="CN63" s="1021">
        <f>(VLOOKUP(YEAR($A63),'NY East Load Projections'!$A$4:$EO$14,((MONTH($A63)-1)*12)+VLOOKUP(CN$4,$DE$6:$DF$17,2)+1))*(VLOOKUP($A63,SatSunCurve,6))*(INDEX(DailyScalarsTable,CN$5/100,MONTH($A63)))*$E63</f>
        <v>0</v>
      </c>
      <c r="CO63" s="1021">
        <f>(VLOOKUP(YEAR($A63),'NY East Load Projections'!$A$4:$EO$14,((MONTH($A63)-1)*12)+VLOOKUP(CO$4,$DE$6:$DF$17,2)+1))*(VLOOKUP($A63,SatSunCurve,6))*(INDEX(DailyScalarsTable,CO$5/100,MONTH($A63)))*$E63</f>
        <v>0</v>
      </c>
      <c r="CP63" s="1021">
        <f>(VLOOKUP(YEAR($A63),'NY East Load Projections'!$A$4:$EO$14,((MONTH($A63)-1)*12)+VLOOKUP(CP$4,$DE$6:$DF$17,2)+1))*(VLOOKUP($A63,SatSunCurve,6))*(INDEX(DailyScalarsTable,CP$5/100,MONTH($A63)))*$E63</f>
        <v>0</v>
      </c>
      <c r="CQ63" s="1021">
        <f>(VLOOKUP(YEAR($A63),'NY East Load Projections'!$A$4:$EO$14,((MONTH($A63)-1)*12)+VLOOKUP(CQ$4,$DE$6:$DF$17,2)+1))*(VLOOKUP($A63,SatSunCurve,6))*(INDEX(DailyScalarsTable,CQ$5/100,MONTH($A63)))*$E63</f>
        <v>0</v>
      </c>
      <c r="CR63" s="1021">
        <f>(VLOOKUP(YEAR($A63),'NY East Load Projections'!$A$4:$EO$14,((MONTH($A63)-1)*12)+VLOOKUP(CR$4,$DE$6:$DF$17,2)+1))*(VLOOKUP($A63,SatSunCurve,6))*(INDEX(DailyScalarsTable,CR$5/100,MONTH($A63)))*$E63</f>
        <v>0</v>
      </c>
      <c r="CS63" s="1021">
        <f>(VLOOKUP(YEAR($A63),'NY East Load Projections'!$A$4:$EO$14,((MONTH($A63)-1)*12)+VLOOKUP(CS$4,$DE$6:$DF$17,2)+1))*(VLOOKUP($A63,SatSunCurve,6))*(INDEX(DailyScalarsTable,CS$5/100,MONTH($A63)))*$E63</f>
        <v>0</v>
      </c>
      <c r="CT63" s="1021">
        <f>(VLOOKUP(YEAR($A63),'NY East Load Projections'!$A$4:$EO$14,((MONTH($A63)-1)*12)+VLOOKUP(CT$4,$DE$6:$DF$17,2)+1))*(VLOOKUP($A63,SatSunCurve,6))*(INDEX(DailyScalarsTable,CT$5/100,MONTH($A63)))*$E63</f>
        <v>0</v>
      </c>
      <c r="CU63" s="1021">
        <f>(VLOOKUP(YEAR($A63),'NY East Load Projections'!$A$4:$EO$14,((MONTH($A63)-1)*12)+VLOOKUP(CU$4,$DE$6:$DF$17,2)+1))*(VLOOKUP($A63,SatSunCurve,6))*(INDEX(DailyScalarsTable,CU$5/100,MONTH($A63)))*$E63</f>
        <v>0</v>
      </c>
      <c r="CV63" s="1021">
        <f>(VLOOKUP(YEAR($A63),'NY East Load Projections'!$A$4:$EO$14,((MONTH($A63)-1)*12)+VLOOKUP(CV$4,$DE$6:$DF$17,2)+1))*(VLOOKUP($A63,SatSunCurve,6))*(INDEX(DailyScalarsTable,CV$5/100,MONTH($A63)))*$E63</f>
        <v>0</v>
      </c>
      <c r="CW63" s="1021">
        <f>(VLOOKUP(YEAR($A63),'NY East Load Projections'!$A$4:$EO$14,((MONTH($A63)-1)*12)+VLOOKUP(CW$4,$DE$6:$DF$17,2)+1))*(VLOOKUP($A63,SatSunCurve,6))*(INDEX(DailyScalarsTable,CW$5/100,MONTH($A63)))*$E63</f>
        <v>0</v>
      </c>
      <c r="CX63" s="1021">
        <f>(VLOOKUP(YEAR($A63),'NY East Load Projections'!$A$4:$EO$14,((MONTH($A63)-1)*12)+VLOOKUP(CX$4,$DE$6:$DF$17,2)+1))*(VLOOKUP($A63,SatSunCurve,6))*(INDEX(DailyScalarsTable,CX$5/100,MONTH($A63)))*$E63</f>
        <v>0</v>
      </c>
      <c r="CY63" s="1021">
        <f>(VLOOKUP(YEAR($A63),'NY East Load Projections'!$A$4:$EO$14,((MONTH($A63)-1)*12)+VLOOKUP(CY$4,$DE$6:$DF$17,2)+1))*(VLOOKUP($A63,SatSunCurve,6))*(INDEX(DailyScalarsTable,CY$5/100,MONTH($A63)))*$E63</f>
        <v>0</v>
      </c>
      <c r="CZ63" s="1021">
        <f>(VLOOKUP(YEAR($A63),'NY East Load Projections'!$A$4:$EO$14,((MONTH($A63)-1)*12)+VLOOKUP(CZ$4,$DE$6:$DF$17,2)+1))*(VLOOKUP($A63,SatSunCurve,6))*(INDEX(DailyScalarsTable,CZ$5/100,MONTH($A63)))*$E63</f>
        <v>0</v>
      </c>
      <c r="DA63" s="1021">
        <f>(VLOOKUP(YEAR($A63),'NY East Load Projections'!$A$4:$EO$14,((MONTH($A63)-1)*12)+VLOOKUP(DA$4,$DE$6:$DF$17,2)+1))*(VLOOKUP($A63,SatSunCurve,6))*(INDEX(DailyScalarsTable,DA$5/100,MONTH($A63)))*$E63</f>
        <v>0</v>
      </c>
      <c r="DB63" s="1021">
        <f>(VLOOKUP(YEAR($A63),'NY East Load Projections'!$A$4:$EO$14,((MONTH($A63)-1)*12)+VLOOKUP(DB$4,$DE$6:$DF$17,2)+1))*(VLOOKUP($A63,CURVES!$D$9:$T$261,6))*(INDEX(DailyScalarsTable,DB$5/100,MONTH($A63)))*$E63</f>
        <v>0</v>
      </c>
      <c r="DH63" s="1021">
        <f t="shared" si="0"/>
        <v>-1915470.8104319018</v>
      </c>
      <c r="DI63">
        <f ca="1">CALC!J83</f>
        <v>0.66269187746322022</v>
      </c>
      <c r="DJ63" s="1029">
        <f t="shared" ca="1" si="1"/>
        <v>-1269366.9475911129</v>
      </c>
    </row>
    <row r="64" spans="1:114" x14ac:dyDescent="0.25">
      <c r="A64" s="244">
        <v>38657</v>
      </c>
      <c r="B64" s="13">
        <v>21</v>
      </c>
      <c r="C64" s="210">
        <v>4</v>
      </c>
      <c r="D64" s="210">
        <v>4</v>
      </c>
      <c r="E64" s="210">
        <v>1</v>
      </c>
      <c r="F64" s="13">
        <v>30</v>
      </c>
      <c r="H64" s="1021">
        <f>(VLOOKUP(YEAR($A64),'NY East Load Projections'!$A$4:$EO$14,((MONTH($A64)-1)*12)+VLOOKUP(H$4,$DE$6:$DF$17,2)+1))*(VLOOKUP($A64,CURVES!$D$9:$K$261,6))*(INDEX(DailyScalarsTable,H$5/100,MONTH($A64)))*$B64</f>
        <v>-34029.027599505069</v>
      </c>
      <c r="I64" s="1021">
        <f>(VLOOKUP(YEAR($A64),'NY East Load Projections'!$A$4:$EO$14,((MONTH($A64)-1)*12)+VLOOKUP(I$4,$DE$6:$DF$17,2)+1))*(VLOOKUP($A64,CURVES!$D$9:$K$261,6))*(INDEX(DailyScalarsTable,I$5/100,MONTH($A64)))*$B64</f>
        <v>-32260.762905523257</v>
      </c>
      <c r="J64" s="1021">
        <f>(VLOOKUP(YEAR($A64),'NY East Load Projections'!$A$4:$EO$14,((MONTH($A64)-1)*12)+VLOOKUP(J$4,$DE$6:$DF$17,2)+1))*(VLOOKUP($A64,CURVES!$D$9:$K$261,6))*(INDEX(DailyScalarsTable,J$5/100,MONTH($A64)))*$B64</f>
        <v>-30961.106660464164</v>
      </c>
      <c r="K64" s="1021">
        <f>(VLOOKUP(YEAR($A64),'NY East Load Projections'!$A$4:$EO$14,((MONTH($A64)-1)*12)+VLOOKUP(K$4,$DE$6:$DF$17,2)+1))*(VLOOKUP($A64,CURVES!$D$9:$K$261,6))*(INDEX(DailyScalarsTable,K$5/100,MONTH($A64)))*$B64</f>
        <v>-30979.411678000204</v>
      </c>
      <c r="L64" s="1021">
        <f>(VLOOKUP(YEAR($A64),'NY East Load Projections'!$A$4:$EO$14,((MONTH($A64)-1)*12)+VLOOKUP(L$4,$DE$6:$DF$17,2)+1))*(VLOOKUP($A64,CURVES!$D$9:$K$261,6))*(INDEX(DailyScalarsTable,L$5/100,MONTH($A64)))*$B64</f>
        <v>-36280.674933710376</v>
      </c>
      <c r="M64" s="1021">
        <f>(VLOOKUP(YEAR($A64),'NY East Load Projections'!$A$4:$EO$14,((MONTH($A64)-1)*12)+VLOOKUP(M$4,$DE$6:$DF$17,2)+1))*(VLOOKUP($A64,CURVES!$D$9:$K$261,6))*(INDEX(DailyScalarsTable,M$5/100,MONTH($A64)))*$B64</f>
        <v>-41799.82007806631</v>
      </c>
      <c r="N64" s="1021">
        <f>(VLOOKUP(YEAR($A64),'NY East Load Projections'!$A$4:$EO$14,((MONTH($A64)-1)*12)+VLOOKUP(N$4,$DE$6:$DF$17,2)+1))*(VLOOKUP($A64,CURVES!$D$9:$K$261,6))*(INDEX(DailyScalarsTable,N$5/100,MONTH($A64)))*$B64</f>
        <v>-59874.119912664886</v>
      </c>
      <c r="O64" s="1021">
        <f>(VLOOKUP(YEAR($A64),'NY East Load Projections'!$A$4:$EO$14,((MONTH($A64)-1)*12)+VLOOKUP(O$4,$DE$6:$DF$17,2)+1))*(VLOOKUP($A64,CURVES!$D$9:$K$261,2))*(INDEX(DailyScalarsTable,O$5/100,MONTH($A64)))*$B64</f>
        <v>-67189.368590196638</v>
      </c>
      <c r="P64" s="1021">
        <f>(VLOOKUP(YEAR($A64),'NY East Load Projections'!$A$4:$EO$14,((MONTH($A64)-1)*12)+VLOOKUP(P$4,$DE$6:$DF$17,2)+1))*(VLOOKUP($A64,CURVES!$D$9:$K$261,2))*(INDEX(DailyScalarsTable,P$5/100,MONTH($A64)))*$B64</f>
        <v>-78234.510088379742</v>
      </c>
      <c r="Q64" s="1021">
        <f>(VLOOKUP(YEAR($A64),'NY East Load Projections'!$A$4:$EO$14,((MONTH($A64)-1)*12)+VLOOKUP(Q$4,$DE$6:$DF$17,2)+1))*(VLOOKUP($A64,CURVES!$D$9:$K$261,2))*(INDEX(DailyScalarsTable,Q$5/100,MONTH($A64)))*$B64</f>
        <v>-77727.827632004788</v>
      </c>
      <c r="R64" s="1021">
        <f>(VLOOKUP(YEAR($A64),'NY East Load Projections'!$A$4:$EO$14,((MONTH($A64)-1)*12)+VLOOKUP(R$4,$DE$6:$DF$17,2)+1))*(VLOOKUP($A64,CURVES!$D$9:$K$261,2))*(INDEX(DailyScalarsTable,R$5/100,MONTH($A64)))*$B64</f>
        <v>-76228.321443543813</v>
      </c>
      <c r="S64" s="1021">
        <f>(VLOOKUP(YEAR($A64),'NY East Load Projections'!$A$4:$EO$14,((MONTH($A64)-1)*12)+VLOOKUP(S$4,$DE$6:$DF$17,2)+1))*(VLOOKUP($A64,CURVES!$D$9:$K$261,2))*(INDEX(DailyScalarsTable,S$5/100,MONTH($A64)))*$B64</f>
        <v>-64184.342514306984</v>
      </c>
      <c r="T64" s="1021">
        <f>(VLOOKUP(YEAR($A64),'NY East Load Projections'!$A$4:$EO$14,((MONTH($A64)-1)*12)+VLOOKUP(T$4,$DE$6:$DF$17,2)+1))*(VLOOKUP($A64,CURVES!$D$9:$K$261,2))*(INDEX(DailyScalarsTable,T$5/100,MONTH($A64)))*$B64</f>
        <v>-62027.310227368071</v>
      </c>
      <c r="U64" s="1021">
        <f>(VLOOKUP(YEAR($A64),'NY East Load Projections'!$A$4:$EO$14,((MONTH($A64)-1)*12)+VLOOKUP(U$4,$DE$6:$DF$17,2)+1))*(VLOOKUP($A64,CURVES!$D$9:$K$261,2))*(INDEX(DailyScalarsTable,U$5/100,MONTH($A64)))*$B64</f>
        <v>-60362.288987829474</v>
      </c>
      <c r="V64" s="1021">
        <f>(VLOOKUP(YEAR($A64),'NY East Load Projections'!$A$4:$EO$14,((MONTH($A64)-1)*12)+VLOOKUP(V$4,$DE$6:$DF$17,2)+1))*(VLOOKUP($A64,CURVES!$D$9:$K$261,2))*(INDEX(DailyScalarsTable,V$5/100,MONTH($A64)))*$B64</f>
        <v>-58950.182366954963</v>
      </c>
      <c r="W64" s="1021">
        <f>(VLOOKUP(YEAR($A64),'NY East Load Projections'!$A$4:$EO$14,((MONTH($A64)-1)*12)+VLOOKUP(W$4,$DE$6:$DF$17,2)+1))*(VLOOKUP($A64,CURVES!$D$9:$K$261,2))*(INDEX(DailyScalarsTable,W$5/100,MONTH($A64)))*$B64</f>
        <v>-57980.676328742629</v>
      </c>
      <c r="X64" s="1021">
        <f>(VLOOKUP(YEAR($A64),'NY East Load Projections'!$A$4:$EO$14,((MONTH($A64)-1)*12)+VLOOKUP(X$4,$DE$6:$DF$17,2)+1))*(VLOOKUP($A64,CURVES!$D$9:$K$261,2))*(INDEX(DailyScalarsTable,X$5/100,MONTH($A64)))*$B64</f>
        <v>-59053.844169718846</v>
      </c>
      <c r="Y64" s="1021">
        <f>(VLOOKUP(YEAR($A64),'NY East Load Projections'!$A$4:$EO$14,((MONTH($A64)-1)*12)+VLOOKUP(Y$4,$DE$6:$DF$17,2)+1))*(VLOOKUP($A64,CURVES!$D$9:$K$261,2))*(INDEX(DailyScalarsTable,Y$5/100,MONTH($A64)))*$B64</f>
        <v>-81067.486734677193</v>
      </c>
      <c r="Z64" s="1021">
        <f>(VLOOKUP(YEAR($A64),'NY East Load Projections'!$A$4:$EO$14,((MONTH($A64)-1)*12)+VLOOKUP(Z$4,$DE$6:$DF$17,2)+1))*(VLOOKUP($A64,CURVES!$D$9:$K$261,2))*(INDEX(DailyScalarsTable,Z$5/100,MONTH($A64)))*$B64</f>
        <v>-81720.236196512575</v>
      </c>
      <c r="AA64" s="1021">
        <f>(VLOOKUP(YEAR($A64),'NY East Load Projections'!$A$4:$EO$14,((MONTH($A64)-1)*12)+VLOOKUP(AA$4,$DE$6:$DF$17,2)+1))*(VLOOKUP($A64,CURVES!$D$9:$K$261,2))*(INDEX(DailyScalarsTable,AA$5/100,MONTH($A64)))*$B64</f>
        <v>-78376.560381804826</v>
      </c>
      <c r="AB64" s="1021">
        <f>(VLOOKUP(YEAR($A64),'NY East Load Projections'!$A$4:$EO$14,((MONTH($A64)-1)*12)+VLOOKUP(AB$4,$DE$6:$DF$17,2)+1))*(VLOOKUP($A64,CURVES!$D$9:$K$261,2))*(INDEX(DailyScalarsTable,AB$5/100,MONTH($A64)))*$B64</f>
        <v>-65368.276266542111</v>
      </c>
      <c r="AC64" s="1021">
        <f>(VLOOKUP(YEAR($A64),'NY East Load Projections'!$A$4:$EO$14,((MONTH($A64)-1)*12)+VLOOKUP(AC$4,$DE$6:$DF$17,2)+1))*(VLOOKUP($A64,CURVES!$D$9:$K$261,2))*(INDEX(DailyScalarsTable,AC$5/100,MONTH($A64)))*$B64</f>
        <v>-51999.266142050488</v>
      </c>
      <c r="AD64" s="1021">
        <f>(VLOOKUP(YEAR($A64),'NY East Load Projections'!$A$4:$EO$14,((MONTH($A64)-1)*12)+VLOOKUP(AD$4,$DE$6:$DF$17,2)+1))*(VLOOKUP($A64,CURVES!$D$9:$K$261,2))*(INDEX(DailyScalarsTable,AD$5/100,MONTH($A64)))*$B64</f>
        <v>-43852.994593359363</v>
      </c>
      <c r="AE64" s="1021">
        <f>(VLOOKUP(YEAR($A64),'NY East Load Projections'!$A$4:$EO$14,((MONTH($A64)-1)*12)+VLOOKUP(AE$4,$DE$6:$DF$17,2)+1))*(VLOOKUP($A64,CURVES!$D$9:$K$261,6))*(INDEX(DailyScalarsTable,AE$5/100,MONTH($A64)))*$B64</f>
        <v>-40250.775915434046</v>
      </c>
      <c r="AF64" s="1021"/>
      <c r="AG64" s="1021">
        <f>(VLOOKUP(YEAR($A64),'NY East Load Projections'!$A$4:$EO$14,((MONTH($A64)-1)*12)+VLOOKUP(AG$4,$DE$6:$DF$17,2)+1))*(VLOOKUP($A64,CURVES!$D$9:$T$261,6))*(INDEX(DailyScalarsTable,AG$5/100,MONTH($A64)))*$C64</f>
        <v>-6805.3005299774177</v>
      </c>
      <c r="AH64" s="1021">
        <f>(VLOOKUP(YEAR($A64),'NY East Load Projections'!$A$4:$EO$14,((MONTH($A64)-1)*12)+VLOOKUP(AH$4,$DE$6:$DF$17,2)+1))*(VLOOKUP($A64,CURVES!$D$9:$T$261,6))*(INDEX(DailyScalarsTable,AH$5/100,MONTH($A64)))*$C64</f>
        <v>-6451.6738321851535</v>
      </c>
      <c r="AI64" s="1021">
        <f>(VLOOKUP(YEAR($A64),'NY East Load Projections'!$A$4:$EO$14,((MONTH($A64)-1)*12)+VLOOKUP(AI$4,$DE$6:$DF$17,2)+1))*(VLOOKUP($A64,CURVES!$D$9:$T$261,6))*(INDEX(DailyScalarsTable,AI$5/100,MONTH($A64)))*$C64</f>
        <v>-6191.7618700397006</v>
      </c>
      <c r="AJ64" s="1021">
        <f>(VLOOKUP(YEAR($A64),'NY East Load Projections'!$A$4:$EO$14,((MONTH($A64)-1)*12)+VLOOKUP(AJ$4,$DE$6:$DF$17,2)+1))*(VLOOKUP($A64,CURVES!$D$9:$T$261,6))*(INDEX(DailyScalarsTable,AJ$5/100,MONTH($A64)))*$C64</f>
        <v>-6195.4226019009038</v>
      </c>
      <c r="AK64" s="1021">
        <f>(VLOOKUP(YEAR($A64),'NY East Load Projections'!$A$4:$EO$14,((MONTH($A64)-1)*12)+VLOOKUP(AK$4,$DE$6:$DF$17,2)+1))*(VLOOKUP($A64,CURVES!$D$9:$T$261,6))*(INDEX(DailyScalarsTable,AK$5/100,MONTH($A64)))*$C64</f>
        <v>-6734.8705948168335</v>
      </c>
      <c r="AL64" s="1021">
        <f>(VLOOKUP(YEAR($A64),'NY East Load Projections'!$A$4:$EO$14,((MONTH($A64)-1)*12)+VLOOKUP(AL$4,$DE$6:$DF$17,2)+1))*(VLOOKUP($A64,CURVES!$D$9:$T$261,6))*(INDEX(DailyScalarsTable,AL$5/100,MONTH($A64)))*$C64</f>
        <v>-7759.4030327928303</v>
      </c>
      <c r="AM64" s="1021">
        <f>(VLOOKUP(YEAR($A64),'NY East Load Projections'!$A$4:$EO$14,((MONTH($A64)-1)*12)+VLOOKUP(AM$4,$DE$6:$DF$17,2)+1))*(VLOOKUP($A64,CURVES!$D$9:$T$261,6))*(INDEX(DailyScalarsTable,AM$5/100,MONTH($A64)))*$C64</f>
        <v>-11114.579602698272</v>
      </c>
      <c r="AN64" s="1021">
        <f>(VLOOKUP(YEAR($A64),'NY East Load Projections'!$A$4:$EO$14,((MONTH($A64)-1)*12)+VLOOKUP(AN$4,$DE$6:$DF$17,2)+1))*(VLOOKUP($A64,SatSunCurve,2))*(INDEX(DailyScalarsTable,AN$5/100,MONTH($A64)))*$C64</f>
        <v>-9874.7619364354341</v>
      </c>
      <c r="AO64" s="1021">
        <f>(VLOOKUP(YEAR($A64),'NY East Load Projections'!$A$4:$EO$14,((MONTH($A64)-1)*12)+VLOOKUP(AO$4,$DE$6:$DF$17,2)+1))*(VLOOKUP($A64,SatSunCurve,2))*(INDEX(DailyScalarsTable,AO$5/100,MONTH($A64)))*$C64</f>
        <v>-11230.27064036155</v>
      </c>
      <c r="AP64" s="1021">
        <f>(VLOOKUP(YEAR($A64),'NY East Load Projections'!$A$4:$EO$14,((MONTH($A64)-1)*12)+VLOOKUP(AP$4,$DE$6:$DF$17,2)+1))*(VLOOKUP($A64,SatSunCurve,2))*(INDEX(DailyScalarsTable,AP$5/100,MONTH($A64)))*$C64</f>
        <v>-11157.538273182594</v>
      </c>
      <c r="AQ64" s="1021">
        <f>(VLOOKUP(YEAR($A64),'NY East Load Projections'!$A$4:$EO$14,((MONTH($A64)-1)*12)+VLOOKUP(AQ$4,$DE$6:$DF$17,2)+1))*(VLOOKUP($A64,SatSunCurve,2))*(INDEX(DailyScalarsTable,AQ$5/100,MONTH($A64)))*$C64</f>
        <v>-10942.289781125952</v>
      </c>
      <c r="AR64" s="1021">
        <f>(VLOOKUP(YEAR($A64),'NY East Load Projections'!$A$4:$EO$14,((MONTH($A64)-1)*12)+VLOOKUP(AR$4,$DE$6:$DF$17,2)+1))*(VLOOKUP($A64,SatSunCurve,2))*(INDEX(DailyScalarsTable,AR$5/100,MONTH($A64)))*$C64</f>
        <v>-9213.4217558856271</v>
      </c>
      <c r="AS64" s="1021">
        <f>(VLOOKUP(YEAR($A64),'NY East Load Projections'!$A$4:$EO$14,((MONTH($A64)-1)*12)+VLOOKUP(AS$4,$DE$6:$DF$17,2)+1))*(VLOOKUP($A64,SatSunCurve,2))*(INDEX(DailyScalarsTable,AS$5/100,MONTH($A64)))*$C64</f>
        <v>-8892.9241844448152</v>
      </c>
      <c r="AT64" s="1021">
        <f>(VLOOKUP(YEAR($A64),'NY East Load Projections'!$A$4:$EO$14,((MONTH($A64)-1)*12)+VLOOKUP(AT$4,$DE$6:$DF$17,2)+1))*(VLOOKUP($A64,SatSunCurve,2))*(INDEX(DailyScalarsTable,AT$5/100,MONTH($A64)))*$C64</f>
        <v>-8654.2082447332486</v>
      </c>
      <c r="AU64" s="1021">
        <f>(VLOOKUP(YEAR($A64),'NY East Load Projections'!$A$4:$EO$14,((MONTH($A64)-1)*12)+VLOOKUP(AU$4,$DE$6:$DF$17,2)+1))*(VLOOKUP($A64,SatSunCurve,2))*(INDEX(DailyScalarsTable,AU$5/100,MONTH($A64)))*$C64</f>
        <v>-8451.7529540917931</v>
      </c>
      <c r="AV64" s="1021">
        <f>(VLOOKUP(YEAR($A64),'NY East Load Projections'!$A$4:$EO$14,((MONTH($A64)-1)*12)+VLOOKUP(AV$4,$DE$6:$DF$17,2)+1))*(VLOOKUP($A64,SatSunCurve,2))*(INDEX(DailyScalarsTable,AV$5/100,MONTH($A64)))*$C64</f>
        <v>-8312.7537993230344</v>
      </c>
      <c r="AW64" s="1021">
        <f>(VLOOKUP(YEAR($A64),'NY East Load Projections'!$A$4:$EO$14,((MONTH($A64)-1)*12)+VLOOKUP(AW$4,$DE$6:$DF$17,2)+1))*(VLOOKUP($A64,SatSunCurve,2))*(INDEX(DailyScalarsTable,AW$5/100,MONTH($A64)))*$C64</f>
        <v>-8528.447826452355</v>
      </c>
      <c r="AX64" s="1021">
        <f>(VLOOKUP(YEAR($A64),'NY East Load Projections'!$A$4:$EO$14,((MONTH($A64)-1)*12)+VLOOKUP(AX$4,$DE$6:$DF$17,2)+1))*(VLOOKUP($A64,SatSunCurve,2))*(INDEX(DailyScalarsTable,AX$5/100,MONTH($A64)))*$C64</f>
        <v>-11707.617696340132</v>
      </c>
      <c r="AY64" s="1021">
        <f>(VLOOKUP(YEAR($A64),'NY East Load Projections'!$A$4:$EO$14,((MONTH($A64)-1)*12)+VLOOKUP(AY$4,$DE$6:$DF$17,2)+1))*(VLOOKUP($A64,SatSunCurve,2))*(INDEX(DailyScalarsTable,AY$5/100,MONTH($A64)))*$C64</f>
        <v>-11801.886575991874</v>
      </c>
      <c r="AZ64" s="1021">
        <f>(VLOOKUP(YEAR($A64),'NY East Load Projections'!$A$4:$EO$14,((MONTH($A64)-1)*12)+VLOOKUP(AZ$4,$DE$6:$DF$17,2)+1))*(VLOOKUP($A64,SatSunCurve,2))*(INDEX(DailyScalarsTable,AZ$5/100,MONTH($A64)))*$C64</f>
        <v>-11318.99904961255</v>
      </c>
      <c r="BA64" s="1021">
        <f>(VLOOKUP(YEAR($A64),'NY East Load Projections'!$A$4:$EO$14,((MONTH($A64)-1)*12)+VLOOKUP(BA$4,$DE$6:$DF$17,2)+1))*(VLOOKUP($A64,SatSunCurve,2))*(INDEX(DailyScalarsTable,BA$5/100,MONTH($A64)))*$C64</f>
        <v>-10034.016701271863</v>
      </c>
      <c r="BB64" s="1021">
        <f>(VLOOKUP(YEAR($A64),'NY East Load Projections'!$A$4:$EO$14,((MONTH($A64)-1)*12)+VLOOKUP(BB$4,$DE$6:$DF$17,2)+1))*(VLOOKUP($A64,SatSunCurve,2))*(INDEX(DailyScalarsTable,BB$5/100,MONTH($A64)))*$C64</f>
        <v>-7981.8764502173635</v>
      </c>
      <c r="BC64" s="1021">
        <f>(VLOOKUP(YEAR($A64),'NY East Load Projections'!$A$4:$EO$14,((MONTH($A64)-1)*12)+VLOOKUP(BC$4,$DE$6:$DF$17,2)+1))*(VLOOKUP($A64,SatSunCurve,2))*(INDEX(DailyScalarsTable,BC$5/100,MONTH($A64)))*$C64</f>
        <v>-6731.4254755065631</v>
      </c>
      <c r="BD64" s="1021">
        <f>(VLOOKUP(YEAR($A64),'NY East Load Projections'!$A$4:$EO$14,((MONTH($A64)-1)*12)+VLOOKUP(BD$4,$DE$6:$DF$17,2)+1))*(VLOOKUP($A64,CURVES!$D$9:$T$261,6))*(INDEX(DailyScalarsTable,BD$5/100,MONTH($A64)))*$C64</f>
        <v>-7803.8671338777931</v>
      </c>
      <c r="BE64" s="1021"/>
      <c r="BF64" s="1021">
        <f>(VLOOKUP(YEAR($A64),'NY East Load Projections'!$A$4:$EO$14,((MONTH($A64)-1)*12)+VLOOKUP(BF$4,$DE$6:$DF$17,2)+1))*(VLOOKUP($A64,CURVES!$D$9:$T$261,6))*(INDEX(DailyScalarsTable,BF$5/100,MONTH($A64)))*$D64</f>
        <v>-6805.3005299774177</v>
      </c>
      <c r="BG64" s="1021">
        <f>(VLOOKUP(YEAR($A64),'NY East Load Projections'!$A$4:$EO$14,((MONTH($A64)-1)*12)+VLOOKUP(BG$4,$DE$6:$DF$17,2)+1))*(VLOOKUP($A64,CURVES!$D$9:$T$261,6))*(INDEX(DailyScalarsTable,BG$5/100,MONTH($A64)))*$D64</f>
        <v>-6451.6738321851535</v>
      </c>
      <c r="BH64" s="1021">
        <f>(VLOOKUP(YEAR($A64),'NY East Load Projections'!$A$4:$EO$14,((MONTH($A64)-1)*12)+VLOOKUP(BH$4,$DE$6:$DF$17,2)+1))*(VLOOKUP($A64,CURVES!$D$9:$T$261,6))*(INDEX(DailyScalarsTable,BH$5/100,MONTH($A64)))*$D64</f>
        <v>-6191.7618700397006</v>
      </c>
      <c r="BI64" s="1021">
        <f>(VLOOKUP(YEAR($A64),'NY East Load Projections'!$A$4:$EO$14,((MONTH($A64)-1)*12)+VLOOKUP(BI$4,$DE$6:$DF$17,2)+1))*(VLOOKUP($A64,CURVES!$D$9:$T$261,6))*(INDEX(DailyScalarsTable,BI$5/100,MONTH($A64)))*$D64</f>
        <v>-6195.4226019009038</v>
      </c>
      <c r="BJ64" s="1021">
        <f>(VLOOKUP(YEAR($A64),'NY East Load Projections'!$A$4:$EO$14,((MONTH($A64)-1)*12)+VLOOKUP(BJ$4,$DE$6:$DF$17,2)+1))*(VLOOKUP($A64,CURVES!$D$9:$T$261,6))*(INDEX(DailyScalarsTable,BJ$5/100,MONTH($A64)))*$D64</f>
        <v>-6734.8705948168335</v>
      </c>
      <c r="BK64" s="1021">
        <f>(VLOOKUP(YEAR($A64),'NY East Load Projections'!$A$4:$EO$14,((MONTH($A64)-1)*12)+VLOOKUP(BK$4,$DE$6:$DF$17,2)+1))*(VLOOKUP($A64,CURVES!$D$9:$T$261,6))*(INDEX(DailyScalarsTable,BK$5/100,MONTH($A64)))*$D64</f>
        <v>-7759.4030327928303</v>
      </c>
      <c r="BL64" s="1021">
        <f>(VLOOKUP(YEAR($A64),'NY East Load Projections'!$A$4:$EO$14,((MONTH($A64)-1)*12)+VLOOKUP(BL$4,$DE$6:$DF$17,2)+1))*(VLOOKUP($A64,CURVES!$D$9:$T$261,6))*(INDEX(DailyScalarsTable,BL$5/100,MONTH($A64)))*$D64</f>
        <v>-11114.579602698272</v>
      </c>
      <c r="BM64" s="1021">
        <f>(VLOOKUP(YEAR($A64),'NY East Load Projections'!$A$4:$EO$14,((MONTH($A64)-1)*12)+VLOOKUP(BM$4,$DE$6:$DF$17,2)+1))*(VLOOKUP($A64,SatSunCurve,6))*(INDEX(DailyScalarsTable,BM$5/100,MONTH($A64)))*$D64</f>
        <v>-7962.6196317578415</v>
      </c>
      <c r="BN64" s="1021">
        <f>(VLOOKUP(YEAR($A64),'NY East Load Projections'!$A$4:$EO$14,((MONTH($A64)-1)*12)+VLOOKUP(BN$4,$DE$6:$DF$17,2)+1))*(VLOOKUP($A64,SatSunCurve,6))*(INDEX(DailyScalarsTable,BN$5/100,MONTH($A64)))*$D64</f>
        <v>-9055.6485357839483</v>
      </c>
      <c r="BO64" s="1021">
        <f>(VLOOKUP(YEAR($A64),'NY East Load Projections'!$A$4:$EO$14,((MONTH($A64)-1)*12)+VLOOKUP(BO$4,$DE$6:$DF$17,2)+1))*(VLOOKUP($A64,SatSunCurve,6))*(INDEX(DailyScalarsTable,BO$5/100,MONTH($A64)))*$D64</f>
        <v>-8997.000015597705</v>
      </c>
      <c r="BP64" s="1021">
        <f>(VLOOKUP(YEAR($A64),'NY East Load Projections'!$A$4:$EO$14,((MONTH($A64)-1)*12)+VLOOKUP(BP$4,$DE$6:$DF$17,2)+1))*(VLOOKUP($A64,SatSunCurve,6))*(INDEX(DailyScalarsTable,BP$5/100,MONTH($A64)))*$D64</f>
        <v>-8823.4320977492298</v>
      </c>
      <c r="BQ64" s="1021">
        <f>(VLOOKUP(YEAR($A64),'NY East Load Projections'!$A$4:$EO$14,((MONTH($A64)-1)*12)+VLOOKUP(BQ$4,$DE$6:$DF$17,2)+1))*(VLOOKUP($A64,SatSunCurve,6))*(INDEX(DailyScalarsTable,BQ$5/100,MONTH($A64)))*$D64</f>
        <v>-7429.3409219708328</v>
      </c>
      <c r="BR64" s="1021">
        <f>(VLOOKUP(YEAR($A64),'NY East Load Projections'!$A$4:$EO$14,((MONTH($A64)-1)*12)+VLOOKUP(BR$4,$DE$6:$DF$17,2)+1))*(VLOOKUP($A64,SatSunCurve,6))*(INDEX(DailyScalarsTable,BR$5/100,MONTH($A64)))*$D64</f>
        <v>-7170.904286159991</v>
      </c>
      <c r="BS64" s="1021">
        <f>(VLOOKUP(YEAR($A64),'NY East Load Projections'!$A$4:$EO$14,((MONTH($A64)-1)*12)+VLOOKUP(BS$4,$DE$6:$DF$17,2)+1))*(VLOOKUP($A64,SatSunCurve,6))*(INDEX(DailyScalarsTable,BS$5/100,MONTH($A64)))*$D64</f>
        <v>-6978.4131415433958</v>
      </c>
      <c r="BT64" s="1021">
        <f>(VLOOKUP(YEAR($A64),'NY East Load Projections'!$A$4:$EO$14,((MONTH($A64)-1)*12)+VLOOKUP(BT$4,$DE$6:$DF$17,2)+1))*(VLOOKUP($A64,SatSunCurve,6))*(INDEX(DailyScalarsTable,BT$5/100,MONTH($A64)))*$D64</f>
        <v>-6815.161158134385</v>
      </c>
      <c r="BU64" s="1021">
        <f>(VLOOKUP(YEAR($A64),'NY East Load Projections'!$A$4:$EO$14,((MONTH($A64)-1)*12)+VLOOKUP(BU$4,$DE$6:$DF$17,2)+1))*(VLOOKUP($A64,SatSunCurve,6))*(INDEX(DailyScalarsTable,BU$5/100,MONTH($A64)))*$D64</f>
        <v>-6703.077706838646</v>
      </c>
      <c r="BV64" s="1021">
        <f>(VLOOKUP(YEAR($A64),'NY East Load Projections'!$A$4:$EO$14,((MONTH($A64)-1)*12)+VLOOKUP(BV$4,$DE$6:$DF$17,2)+1))*(VLOOKUP($A64,SatSunCurve,6))*(INDEX(DailyScalarsTable,BV$5/100,MONTH($A64)))*$D64</f>
        <v>-6877.0048866459629</v>
      </c>
      <c r="BW64" s="1021">
        <f>(VLOOKUP(YEAR($A64),'NY East Load Projections'!$A$4:$EO$14,((MONTH($A64)-1)*12)+VLOOKUP(BW$4,$DE$6:$DF$17,2)+1))*(VLOOKUP($A64,SatSunCurve,6))*(INDEX(DailyScalarsTable,BW$5/100,MONTH($A64)))*$D64</f>
        <v>-9440.5624267277253</v>
      </c>
      <c r="BX64" s="1021">
        <f>(VLOOKUP(YEAR($A64),'NY East Load Projections'!$A$4:$EO$14,((MONTH($A64)-1)*12)+VLOOKUP(BX$4,$DE$6:$DF$17,2)+1))*(VLOOKUP($A64,SatSunCurve,6))*(INDEX(DailyScalarsTable,BX$5/100,MONTH($A64)))*$D64</f>
        <v>-9516.5771434986818</v>
      </c>
      <c r="BY64" s="1021">
        <f>(VLOOKUP(YEAR($A64),'NY East Load Projections'!$A$4:$EO$14,((MONTH($A64)-1)*12)+VLOOKUP(BY$4,$DE$6:$DF$17,2)+1))*(VLOOKUP($A64,SatSunCurve,6))*(INDEX(DailyScalarsTable,BY$5/100,MONTH($A64)))*$D64</f>
        <v>-9127.1956351413319</v>
      </c>
      <c r="BZ64" s="1021">
        <f>(VLOOKUP(YEAR($A64),'NY East Load Projections'!$A$4:$EO$14,((MONTH($A64)-1)*12)+VLOOKUP(BZ$4,$DE$6:$DF$17,2)+1))*(VLOOKUP($A64,SatSunCurve,6))*(INDEX(DailyScalarsTable,BZ$5/100,MONTH($A64)))*$D64</f>
        <v>-8091.0364103192178</v>
      </c>
      <c r="CA64" s="1021">
        <f>(VLOOKUP(YEAR($A64),'NY East Load Projections'!$A$4:$EO$14,((MONTH($A64)-1)*12)+VLOOKUP(CA$4,$DE$6:$DF$17,2)+1))*(VLOOKUP($A64,SatSunCurve,6))*(INDEX(DailyScalarsTable,CA$5/100,MONTH($A64)))*$D64</f>
        <v>-6436.2712265759083</v>
      </c>
      <c r="CB64" s="1021">
        <f>(VLOOKUP(YEAR($A64),'NY East Load Projections'!$A$4:$EO$14,((MONTH($A64)-1)*12)+VLOOKUP(CB$4,$DE$6:$DF$17,2)+1))*(VLOOKUP($A64,SatSunCurve,6))*(INDEX(DailyScalarsTable,CB$5/100,MONTH($A64)))*$D64</f>
        <v>-5427.9567432621816</v>
      </c>
      <c r="CC64" s="1021">
        <f>(VLOOKUP(YEAR($A64),'NY East Load Projections'!$A$4:$EO$14,((MONTH($A64)-1)*12)+VLOOKUP(CC$4,$DE$6:$DF$17,2)+1))*(VLOOKUP($A64,CURVES!$D$9:$T$261,6))*(INDEX(DailyScalarsTable,CC$5/100,MONTH($A64)))*$D64</f>
        <v>-7803.8671338777931</v>
      </c>
      <c r="CE64" s="1021">
        <f>(VLOOKUP(YEAR($A64),'NY East Load Projections'!$A$4:$EO$14,((MONTH($A64)-1)*12)+VLOOKUP(CE$4,$DE$6:$DF$17,2)+1))*(VLOOKUP($A64,CURVES!$D$9:$T$261,6))*(INDEX(DailyScalarsTable,CE$5/100,MONTH($A64)))*$E64</f>
        <v>-1701.3251324943544</v>
      </c>
      <c r="CF64" s="1021">
        <f>(VLOOKUP(YEAR($A64),'NY East Load Projections'!$A$4:$EO$14,((MONTH($A64)-1)*12)+VLOOKUP(CF$4,$DE$6:$DF$17,2)+1))*(VLOOKUP($A64,CURVES!$D$9:$T$261,6))*(INDEX(DailyScalarsTable,CF$5/100,MONTH($A64)))*$E64</f>
        <v>-1612.9184580462884</v>
      </c>
      <c r="CG64" s="1021">
        <f>(VLOOKUP(YEAR($A64),'NY East Load Projections'!$A$4:$EO$14,((MONTH($A64)-1)*12)+VLOOKUP(CG$4,$DE$6:$DF$17,2)+1))*(VLOOKUP($A64,CURVES!$D$9:$T$261,6))*(INDEX(DailyScalarsTable,CG$5/100,MONTH($A64)))*$E64</f>
        <v>-1547.9404675099252</v>
      </c>
      <c r="CH64" s="1021">
        <f>(VLOOKUP(YEAR($A64),'NY East Load Projections'!$A$4:$EO$14,((MONTH($A64)-1)*12)+VLOOKUP(CH$4,$DE$6:$DF$17,2)+1))*(VLOOKUP($A64,CURVES!$D$9:$T$261,6))*(INDEX(DailyScalarsTable,CH$5/100,MONTH($A64)))*$E64</f>
        <v>-1548.855650475226</v>
      </c>
      <c r="CI64" s="1021">
        <f>(VLOOKUP(YEAR($A64),'NY East Load Projections'!$A$4:$EO$14,((MONTH($A64)-1)*12)+VLOOKUP(CI$4,$DE$6:$DF$17,2)+1))*(VLOOKUP($A64,CURVES!$D$9:$T$261,6))*(INDEX(DailyScalarsTable,CI$5/100,MONTH($A64)))*$E64</f>
        <v>-1683.7176487042084</v>
      </c>
      <c r="CJ64" s="1021">
        <f>(VLOOKUP(YEAR($A64),'NY East Load Projections'!$A$4:$EO$14,((MONTH($A64)-1)*12)+VLOOKUP(CJ$4,$DE$6:$DF$17,2)+1))*(VLOOKUP($A64,CURVES!$D$9:$T$261,6))*(INDEX(DailyScalarsTable,CJ$5/100,MONTH($A64)))*$E64</f>
        <v>-1939.8507581982076</v>
      </c>
      <c r="CK64" s="1021">
        <f>(VLOOKUP(YEAR($A64),'NY East Load Projections'!$A$4:$EO$14,((MONTH($A64)-1)*12)+VLOOKUP(CK$4,$DE$6:$DF$17,2)+1))*(VLOOKUP($A64,CURVES!$D$9:$T$261,6))*(INDEX(DailyScalarsTable,CK$5/100,MONTH($A64)))*$E64</f>
        <v>-2778.6449006745679</v>
      </c>
      <c r="CL64" s="1021">
        <f>(VLOOKUP(YEAR($A64),'NY East Load Projections'!$A$4:$EO$14,((MONTH($A64)-1)*12)+VLOOKUP(CL$4,$DE$6:$DF$17,2)+1))*(VLOOKUP($A64,SatSunCurve,6))*(INDEX(DailyScalarsTable,CL$5/100,MONTH($A64)))*$E64</f>
        <v>-1990.6549079394604</v>
      </c>
      <c r="CM64" s="1021">
        <f>(VLOOKUP(YEAR($A64),'NY East Load Projections'!$A$4:$EO$14,((MONTH($A64)-1)*12)+VLOOKUP(CM$4,$DE$6:$DF$17,2)+1))*(VLOOKUP($A64,SatSunCurve,6))*(INDEX(DailyScalarsTable,CM$5/100,MONTH($A64)))*$E64</f>
        <v>-2263.9121339459871</v>
      </c>
      <c r="CN64" s="1021">
        <f>(VLOOKUP(YEAR($A64),'NY East Load Projections'!$A$4:$EO$14,((MONTH($A64)-1)*12)+VLOOKUP(CN$4,$DE$6:$DF$17,2)+1))*(VLOOKUP($A64,SatSunCurve,6))*(INDEX(DailyScalarsTable,CN$5/100,MONTH($A64)))*$E64</f>
        <v>-2249.2500038994262</v>
      </c>
      <c r="CO64" s="1021">
        <f>(VLOOKUP(YEAR($A64),'NY East Load Projections'!$A$4:$EO$14,((MONTH($A64)-1)*12)+VLOOKUP(CO$4,$DE$6:$DF$17,2)+1))*(VLOOKUP($A64,SatSunCurve,6))*(INDEX(DailyScalarsTable,CO$5/100,MONTH($A64)))*$E64</f>
        <v>-2205.8580244373074</v>
      </c>
      <c r="CP64" s="1021">
        <f>(VLOOKUP(YEAR($A64),'NY East Load Projections'!$A$4:$EO$14,((MONTH($A64)-1)*12)+VLOOKUP(CP$4,$DE$6:$DF$17,2)+1))*(VLOOKUP($A64,SatSunCurve,6))*(INDEX(DailyScalarsTable,CP$5/100,MONTH($A64)))*$E64</f>
        <v>-1857.3352304927082</v>
      </c>
      <c r="CQ64" s="1021">
        <f>(VLOOKUP(YEAR($A64),'NY East Load Projections'!$A$4:$EO$14,((MONTH($A64)-1)*12)+VLOOKUP(CQ$4,$DE$6:$DF$17,2)+1))*(VLOOKUP($A64,SatSunCurve,6))*(INDEX(DailyScalarsTable,CQ$5/100,MONTH($A64)))*$E64</f>
        <v>-1792.7260715399977</v>
      </c>
      <c r="CR64" s="1021">
        <f>(VLOOKUP(YEAR($A64),'NY East Load Projections'!$A$4:$EO$14,((MONTH($A64)-1)*12)+VLOOKUP(CR$4,$DE$6:$DF$17,2)+1))*(VLOOKUP($A64,SatSunCurve,6))*(INDEX(DailyScalarsTable,CR$5/100,MONTH($A64)))*$E64</f>
        <v>-1744.6032853858489</v>
      </c>
      <c r="CS64" s="1021">
        <f>(VLOOKUP(YEAR($A64),'NY East Load Projections'!$A$4:$EO$14,((MONTH($A64)-1)*12)+VLOOKUP(CS$4,$DE$6:$DF$17,2)+1))*(VLOOKUP($A64,SatSunCurve,6))*(INDEX(DailyScalarsTable,CS$5/100,MONTH($A64)))*$E64</f>
        <v>-1703.7902895335963</v>
      </c>
      <c r="CT64" s="1021">
        <f>(VLOOKUP(YEAR($A64),'NY East Load Projections'!$A$4:$EO$14,((MONTH($A64)-1)*12)+VLOOKUP(CT$4,$DE$6:$DF$17,2)+1))*(VLOOKUP($A64,SatSunCurve,6))*(INDEX(DailyScalarsTable,CT$5/100,MONTH($A64)))*$E64</f>
        <v>-1675.7694267096615</v>
      </c>
      <c r="CU64" s="1021">
        <f>(VLOOKUP(YEAR($A64),'NY East Load Projections'!$A$4:$EO$14,((MONTH($A64)-1)*12)+VLOOKUP(CU$4,$DE$6:$DF$17,2)+1))*(VLOOKUP($A64,SatSunCurve,6))*(INDEX(DailyScalarsTable,CU$5/100,MONTH($A64)))*$E64</f>
        <v>-1719.2512216614907</v>
      </c>
      <c r="CV64" s="1021">
        <f>(VLOOKUP(YEAR($A64),'NY East Load Projections'!$A$4:$EO$14,((MONTH($A64)-1)*12)+VLOOKUP(CV$4,$DE$6:$DF$17,2)+1))*(VLOOKUP($A64,SatSunCurve,6))*(INDEX(DailyScalarsTable,CV$5/100,MONTH($A64)))*$E64</f>
        <v>-2360.1406066819313</v>
      </c>
      <c r="CW64" s="1021">
        <f>(VLOOKUP(YEAR($A64),'NY East Load Projections'!$A$4:$EO$14,((MONTH($A64)-1)*12)+VLOOKUP(CW$4,$DE$6:$DF$17,2)+1))*(VLOOKUP($A64,SatSunCurve,6))*(INDEX(DailyScalarsTable,CW$5/100,MONTH($A64)))*$E64</f>
        <v>-2379.1442858746705</v>
      </c>
      <c r="CX64" s="1021">
        <f>(VLOOKUP(YEAR($A64),'NY East Load Projections'!$A$4:$EO$14,((MONTH($A64)-1)*12)+VLOOKUP(CX$4,$DE$6:$DF$17,2)+1))*(VLOOKUP($A64,SatSunCurve,6))*(INDEX(DailyScalarsTable,CX$5/100,MONTH($A64)))*$E64</f>
        <v>-2281.798908785333</v>
      </c>
      <c r="CY64" s="1021">
        <f>(VLOOKUP(YEAR($A64),'NY East Load Projections'!$A$4:$EO$14,((MONTH($A64)-1)*12)+VLOOKUP(CY$4,$DE$6:$DF$17,2)+1))*(VLOOKUP($A64,SatSunCurve,6))*(INDEX(DailyScalarsTable,CY$5/100,MONTH($A64)))*$E64</f>
        <v>-2022.7591025798044</v>
      </c>
      <c r="CZ64" s="1021">
        <f>(VLOOKUP(YEAR($A64),'NY East Load Projections'!$A$4:$EO$14,((MONTH($A64)-1)*12)+VLOOKUP(CZ$4,$DE$6:$DF$17,2)+1))*(VLOOKUP($A64,SatSunCurve,6))*(INDEX(DailyScalarsTable,CZ$5/100,MONTH($A64)))*$E64</f>
        <v>-1609.0678066439771</v>
      </c>
      <c r="DA64" s="1021">
        <f>(VLOOKUP(YEAR($A64),'NY East Load Projections'!$A$4:$EO$14,((MONTH($A64)-1)*12)+VLOOKUP(DA$4,$DE$6:$DF$17,2)+1))*(VLOOKUP($A64,SatSunCurve,6))*(INDEX(DailyScalarsTable,DA$5/100,MONTH($A64)))*$E64</f>
        <v>-1356.9891858155454</v>
      </c>
      <c r="DB64" s="1021">
        <f>(VLOOKUP(YEAR($A64),'NY East Load Projections'!$A$4:$EO$14,((MONTH($A64)-1)*12)+VLOOKUP(DB$4,$DE$6:$DF$17,2)+1))*(VLOOKUP($A64,CURVES!$D$9:$T$261,6))*(INDEX(DailyScalarsTable,DB$5/100,MONTH($A64)))*$E64</f>
        <v>-1950.9667834694483</v>
      </c>
      <c r="DH64" s="1021">
        <f t="shared" si="0"/>
        <v>-1814536.614348121</v>
      </c>
      <c r="DI64">
        <f ca="1">CALC!J84</f>
        <v>0.65869612473466754</v>
      </c>
      <c r="DJ64" s="1029">
        <f t="shared" ca="1" si="1"/>
        <v>-1195228.2360602713</v>
      </c>
    </row>
    <row r="65" spans="1:114" x14ac:dyDescent="0.25">
      <c r="A65" s="244">
        <v>38687</v>
      </c>
      <c r="B65" s="13">
        <v>21</v>
      </c>
      <c r="C65" s="210">
        <v>5</v>
      </c>
      <c r="D65" s="210">
        <v>4</v>
      </c>
      <c r="E65" s="210">
        <v>1</v>
      </c>
      <c r="F65" s="13">
        <v>31</v>
      </c>
      <c r="H65" s="1021">
        <f>(VLOOKUP(YEAR($A65),'NY East Load Projections'!$A$4:$EO$14,((MONTH($A65)-1)*12)+VLOOKUP(H$4,$DE$6:$DF$17,2)+1))*(VLOOKUP($A65,CURVES!$D$9:$K$261,6))*(INDEX(DailyScalarsTable,H$5/100,MONTH($A65)))*$B65</f>
        <v>-35442.974607281722</v>
      </c>
      <c r="I65" s="1021">
        <f>(VLOOKUP(YEAR($A65),'NY East Load Projections'!$A$4:$EO$14,((MONTH($A65)-1)*12)+VLOOKUP(I$4,$DE$6:$DF$17,2)+1))*(VLOOKUP($A65,CURVES!$D$9:$K$261,6))*(INDEX(DailyScalarsTable,I$5/100,MONTH($A65)))*$B65</f>
        <v>-33601.236389388541</v>
      </c>
      <c r="J65" s="1021">
        <f>(VLOOKUP(YEAR($A65),'NY East Load Projections'!$A$4:$EO$14,((MONTH($A65)-1)*12)+VLOOKUP(J$4,$DE$6:$DF$17,2)+1))*(VLOOKUP($A65,CURVES!$D$9:$K$261,6))*(INDEX(DailyScalarsTable,J$5/100,MONTH($A65)))*$B65</f>
        <v>-32247.577864850085</v>
      </c>
      <c r="K65" s="1021">
        <f>(VLOOKUP(YEAR($A65),'NY East Load Projections'!$A$4:$EO$14,((MONTH($A65)-1)*12)+VLOOKUP(K$4,$DE$6:$DF$17,2)+1))*(VLOOKUP($A65,CURVES!$D$9:$K$261,6))*(INDEX(DailyScalarsTable,K$5/100,MONTH($A65)))*$B65</f>
        <v>-32266.643477871748</v>
      </c>
      <c r="L65" s="1021">
        <f>(VLOOKUP(YEAR($A65),'NY East Load Projections'!$A$4:$EO$14,((MONTH($A65)-1)*12)+VLOOKUP(L$4,$DE$6:$DF$17,2)+1))*(VLOOKUP($A65,CURVES!$D$9:$K$261,6))*(INDEX(DailyScalarsTable,L$5/100,MONTH($A65)))*$B65</f>
        <v>-38380.60888903906</v>
      </c>
      <c r="M65" s="1021">
        <f>(VLOOKUP(YEAR($A65),'NY East Load Projections'!$A$4:$EO$14,((MONTH($A65)-1)*12)+VLOOKUP(M$4,$DE$6:$DF$17,2)+1))*(VLOOKUP($A65,CURVES!$D$9:$K$261,6))*(INDEX(DailyScalarsTable,M$5/100,MONTH($A65)))*$B65</f>
        <v>-44219.203445904459</v>
      </c>
      <c r="N65" s="1021">
        <f>(VLOOKUP(YEAR($A65),'NY East Load Projections'!$A$4:$EO$14,((MONTH($A65)-1)*12)+VLOOKUP(N$4,$DE$6:$DF$17,2)+1))*(VLOOKUP($A65,CURVES!$D$9:$K$261,6))*(INDEX(DailyScalarsTable,N$5/100,MONTH($A65)))*$B65</f>
        <v>-63339.647984558673</v>
      </c>
      <c r="O65" s="1021">
        <f>(VLOOKUP(YEAR($A65),'NY East Load Projections'!$A$4:$EO$14,((MONTH($A65)-1)*12)+VLOOKUP(O$4,$DE$6:$DF$17,2)+1))*(VLOOKUP($A65,CURVES!$D$9:$K$261,2))*(INDEX(DailyScalarsTable,O$5/100,MONTH($A65)))*$B65</f>
        <v>-66850.772774828249</v>
      </c>
      <c r="P65" s="1021">
        <f>(VLOOKUP(YEAR($A65),'NY East Load Projections'!$A$4:$EO$14,((MONTH($A65)-1)*12)+VLOOKUP(P$4,$DE$6:$DF$17,2)+1))*(VLOOKUP($A65,CURVES!$D$9:$K$261,2))*(INDEX(DailyScalarsTable,P$5/100,MONTH($A65)))*$B65</f>
        <v>-78161.263389884291</v>
      </c>
      <c r="Q65" s="1021">
        <f>(VLOOKUP(YEAR($A65),'NY East Load Projections'!$A$4:$EO$14,((MONTH($A65)-1)*12)+VLOOKUP(Q$4,$DE$6:$DF$17,2)+1))*(VLOOKUP($A65,CURVES!$D$9:$K$261,2))*(INDEX(DailyScalarsTable,Q$5/100,MONTH($A65)))*$B65</f>
        <v>-77765.017081239916</v>
      </c>
      <c r="R65" s="1021">
        <f>(VLOOKUP(YEAR($A65),'NY East Load Projections'!$A$4:$EO$14,((MONTH($A65)-1)*12)+VLOOKUP(R$4,$DE$6:$DF$17,2)+1))*(VLOOKUP($A65,CURVES!$D$9:$K$261,2))*(INDEX(DailyScalarsTable,R$5/100,MONTH($A65)))*$B65</f>
        <v>-76072.575220589395</v>
      </c>
      <c r="S65" s="1021">
        <f>(VLOOKUP(YEAR($A65),'NY East Load Projections'!$A$4:$EO$14,((MONTH($A65)-1)*12)+VLOOKUP(S$4,$DE$6:$DF$17,2)+1))*(VLOOKUP($A65,CURVES!$D$9:$K$261,2))*(INDEX(DailyScalarsTable,S$5/100,MONTH($A65)))*$B65</f>
        <v>-61814.424148521648</v>
      </c>
      <c r="T65" s="1021">
        <f>(VLOOKUP(YEAR($A65),'NY East Load Projections'!$A$4:$EO$14,((MONTH($A65)-1)*12)+VLOOKUP(T$4,$DE$6:$DF$17,2)+1))*(VLOOKUP($A65,CURVES!$D$9:$K$261,2))*(INDEX(DailyScalarsTable,T$5/100,MONTH($A65)))*$B65</f>
        <v>-59626.797806100316</v>
      </c>
      <c r="U65" s="1021">
        <f>(VLOOKUP(YEAR($A65),'NY East Load Projections'!$A$4:$EO$14,((MONTH($A65)-1)*12)+VLOOKUP(U$4,$DE$6:$DF$17,2)+1))*(VLOOKUP($A65,CURVES!$D$9:$K$261,2))*(INDEX(DailyScalarsTable,U$5/100,MONTH($A65)))*$B65</f>
        <v>-57057.440991275798</v>
      </c>
      <c r="V65" s="1021">
        <f>(VLOOKUP(YEAR($A65),'NY East Load Projections'!$A$4:$EO$14,((MONTH($A65)-1)*12)+VLOOKUP(V$4,$DE$6:$DF$17,2)+1))*(VLOOKUP($A65,CURVES!$D$9:$K$261,2))*(INDEX(DailyScalarsTable,V$5/100,MONTH($A65)))*$B65</f>
        <v>-54188.212293553966</v>
      </c>
      <c r="W65" s="1021">
        <f>(VLOOKUP(YEAR($A65),'NY East Load Projections'!$A$4:$EO$14,((MONTH($A65)-1)*12)+VLOOKUP(W$4,$DE$6:$DF$17,2)+1))*(VLOOKUP($A65,CURVES!$D$9:$K$261,2))*(INDEX(DailyScalarsTable,W$5/100,MONTH($A65)))*$B65</f>
        <v>-53247.705024467003</v>
      </c>
      <c r="X65" s="1021">
        <f>(VLOOKUP(YEAR($A65),'NY East Load Projections'!$A$4:$EO$14,((MONTH($A65)-1)*12)+VLOOKUP(X$4,$DE$6:$DF$17,2)+1))*(VLOOKUP($A65,CURVES!$D$9:$K$261,2))*(INDEX(DailyScalarsTable,X$5/100,MONTH($A65)))*$B65</f>
        <v>-56709.846489578194</v>
      </c>
      <c r="Y65" s="1021">
        <f>(VLOOKUP(YEAR($A65),'NY East Load Projections'!$A$4:$EO$14,((MONTH($A65)-1)*12)+VLOOKUP(Y$4,$DE$6:$DF$17,2)+1))*(VLOOKUP($A65,CURVES!$D$9:$K$261,2))*(INDEX(DailyScalarsTable,Y$5/100,MONTH($A65)))*$B65</f>
        <v>-79923.699328395494</v>
      </c>
      <c r="Z65" s="1021">
        <f>(VLOOKUP(YEAR($A65),'NY East Load Projections'!$A$4:$EO$14,((MONTH($A65)-1)*12)+VLOOKUP(Z$4,$DE$6:$DF$17,2)+1))*(VLOOKUP($A65,CURVES!$D$9:$K$261,2))*(INDEX(DailyScalarsTable,Z$5/100,MONTH($A65)))*$B65</f>
        <v>-79391.206192890619</v>
      </c>
      <c r="AA65" s="1021">
        <f>(VLOOKUP(YEAR($A65),'NY East Load Projections'!$A$4:$EO$14,((MONTH($A65)-1)*12)+VLOOKUP(AA$4,$DE$6:$DF$17,2)+1))*(VLOOKUP($A65,CURVES!$D$9:$K$261,2))*(INDEX(DailyScalarsTable,AA$5/100,MONTH($A65)))*$B65</f>
        <v>-76657.342111405364</v>
      </c>
      <c r="AB65" s="1021">
        <f>(VLOOKUP(YEAR($A65),'NY East Load Projections'!$A$4:$EO$14,((MONTH($A65)-1)*12)+VLOOKUP(AB$4,$DE$6:$DF$17,2)+1))*(VLOOKUP($A65,CURVES!$D$9:$K$261,2))*(INDEX(DailyScalarsTable,AB$5/100,MONTH($A65)))*$B65</f>
        <v>-67290.097847760582</v>
      </c>
      <c r="AC65" s="1021">
        <f>(VLOOKUP(YEAR($A65),'NY East Load Projections'!$A$4:$EO$14,((MONTH($A65)-1)*12)+VLOOKUP(AC$4,$DE$6:$DF$17,2)+1))*(VLOOKUP($A65,CURVES!$D$9:$K$261,2))*(INDEX(DailyScalarsTable,AC$5/100,MONTH($A65)))*$B65</f>
        <v>-49605.99159241531</v>
      </c>
      <c r="AD65" s="1021">
        <f>(VLOOKUP(YEAR($A65),'NY East Load Projections'!$A$4:$EO$14,((MONTH($A65)-1)*12)+VLOOKUP(AD$4,$DE$6:$DF$17,2)+1))*(VLOOKUP($A65,CURVES!$D$9:$K$261,2))*(INDEX(DailyScalarsTable,AD$5/100,MONTH($A65)))*$B65</f>
        <v>-40925.671278534064</v>
      </c>
      <c r="AE65" s="1021">
        <f>(VLOOKUP(YEAR($A65),'NY East Load Projections'!$A$4:$EO$14,((MONTH($A65)-1)*12)+VLOOKUP(AE$4,$DE$6:$DF$17,2)+1))*(VLOOKUP($A65,CURVES!$D$9:$K$261,6))*(INDEX(DailyScalarsTable,AE$5/100,MONTH($A65)))*$B65</f>
        <v>-42151.440924903458</v>
      </c>
      <c r="AF65" s="1021"/>
      <c r="AG65" s="1021">
        <f>(VLOOKUP(YEAR($A65),'NY East Load Projections'!$A$4:$EO$14,((MONTH($A65)-1)*12)+VLOOKUP(AG$4,$DE$6:$DF$17,2)+1))*(VLOOKUP($A65,CURVES!$D$9:$T$261,6))*(INDEX(DailyScalarsTable,AG$5/100,MONTH($A65)))*$C65</f>
        <v>-8694.7708834624864</v>
      </c>
      <c r="AH65" s="1021">
        <f>(VLOOKUP(YEAR($A65),'NY East Load Projections'!$A$4:$EO$14,((MONTH($A65)-1)*12)+VLOOKUP(AH$4,$DE$6:$DF$17,2)+1))*(VLOOKUP($A65,CURVES!$D$9:$T$261,6))*(INDEX(DailyScalarsTable,AH$5/100,MONTH($A65)))*$C65</f>
        <v>-8242.9608418581411</v>
      </c>
      <c r="AI65" s="1021">
        <f>(VLOOKUP(YEAR($A65),'NY East Load Projections'!$A$4:$EO$14,((MONTH($A65)-1)*12)+VLOOKUP(AI$4,$DE$6:$DF$17,2)+1))*(VLOOKUP($A65,CURVES!$D$9:$T$261,6))*(INDEX(DailyScalarsTable,AI$5/100,MONTH($A65)))*$C65</f>
        <v>-7910.8851384015325</v>
      </c>
      <c r="AJ65" s="1021">
        <f>(VLOOKUP(YEAR($A65),'NY East Load Projections'!$A$4:$EO$14,((MONTH($A65)-1)*12)+VLOOKUP(AJ$4,$DE$6:$DF$17,2)+1))*(VLOOKUP($A65,CURVES!$D$9:$T$261,6))*(INDEX(DailyScalarsTable,AJ$5/100,MONTH($A65)))*$C65</f>
        <v>-7915.5622609854272</v>
      </c>
      <c r="AK65" s="1021">
        <f>(VLOOKUP(YEAR($A65),'NY East Load Projections'!$A$4:$EO$14,((MONTH($A65)-1)*12)+VLOOKUP(AK$4,$DE$6:$DF$17,2)+1))*(VLOOKUP($A65,CURVES!$D$9:$T$261,6))*(INDEX(DailyScalarsTable,AK$5/100,MONTH($A65)))*$C65</f>
        <v>-8666.2321250574842</v>
      </c>
      <c r="AL65" s="1021">
        <f>(VLOOKUP(YEAR($A65),'NY East Load Projections'!$A$4:$EO$14,((MONTH($A65)-1)*12)+VLOOKUP(AL$4,$DE$6:$DF$17,2)+1))*(VLOOKUP($A65,CURVES!$D$9:$T$261,6))*(INDEX(DailyScalarsTable,AL$5/100,MONTH($A65)))*$C65</f>
        <v>-9984.5701394484677</v>
      </c>
      <c r="AM65" s="1021">
        <f>(VLOOKUP(YEAR($A65),'NY East Load Projections'!$A$4:$EO$14,((MONTH($A65)-1)*12)+VLOOKUP(AM$4,$DE$6:$DF$17,2)+1))*(VLOOKUP($A65,CURVES!$D$9:$T$261,6))*(INDEX(DailyScalarsTable,AM$5/100,MONTH($A65)))*$C65</f>
        <v>-14301.912034292329</v>
      </c>
      <c r="AN65" s="1021">
        <f>(VLOOKUP(YEAR($A65),'NY East Load Projections'!$A$4:$EO$14,((MONTH($A65)-1)*12)+VLOOKUP(AN$4,$DE$6:$DF$17,2)+1))*(VLOOKUP($A65,SatSunCurve,2))*(INDEX(DailyScalarsTable,AN$5/100,MONTH($A65)))*$C65</f>
        <v>-12735.530964571628</v>
      </c>
      <c r="AO65" s="1021">
        <f>(VLOOKUP(YEAR($A65),'NY East Load Projections'!$A$4:$EO$14,((MONTH($A65)-1)*12)+VLOOKUP(AO$4,$DE$6:$DF$17,2)+1))*(VLOOKUP($A65,SatSunCurve,2))*(INDEX(DailyScalarsTable,AO$5/100,MONTH($A65)))*$C65</f>
        <v>-14508.69522036737</v>
      </c>
      <c r="AP65" s="1021">
        <f>(VLOOKUP(YEAR($A65),'NY East Load Projections'!$A$4:$EO$14,((MONTH($A65)-1)*12)+VLOOKUP(AP$4,$DE$6:$DF$17,2)+1))*(VLOOKUP($A65,SatSunCurve,2))*(INDEX(DailyScalarsTable,AP$5/100,MONTH($A65)))*$C65</f>
        <v>-14435.141945062189</v>
      </c>
      <c r="AQ65" s="1021">
        <f>(VLOOKUP(YEAR($A65),'NY East Load Projections'!$A$4:$EO$14,((MONTH($A65)-1)*12)+VLOOKUP(AQ$4,$DE$6:$DF$17,2)+1))*(VLOOKUP($A65,SatSunCurve,2))*(INDEX(DailyScalarsTable,AQ$5/100,MONTH($A65)))*$C65</f>
        <v>-14120.982192911255</v>
      </c>
      <c r="AR65" s="1021">
        <f>(VLOOKUP(YEAR($A65),'NY East Load Projections'!$A$4:$EO$14,((MONTH($A65)-1)*12)+VLOOKUP(AR$4,$DE$6:$DF$17,2)+1))*(VLOOKUP($A65,SatSunCurve,2))*(INDEX(DailyScalarsTable,AR$5/100,MONTH($A65)))*$C65</f>
        <v>-11474.310947607946</v>
      </c>
      <c r="AS65" s="1021">
        <f>(VLOOKUP(YEAR($A65),'NY East Load Projections'!$A$4:$EO$14,((MONTH($A65)-1)*12)+VLOOKUP(AS$4,$DE$6:$DF$17,2)+1))*(VLOOKUP($A65,SatSunCurve,2))*(INDEX(DailyScalarsTable,AS$5/100,MONTH($A65)))*$C65</f>
        <v>-11025.325520459699</v>
      </c>
      <c r="AT65" s="1021">
        <f>(VLOOKUP(YEAR($A65),'NY East Load Projections'!$A$4:$EO$14,((MONTH($A65)-1)*12)+VLOOKUP(AT$4,$DE$6:$DF$17,2)+1))*(VLOOKUP($A65,SatSunCurve,2))*(INDEX(DailyScalarsTable,AT$5/100,MONTH($A65)))*$C65</f>
        <v>-10550.237199370054</v>
      </c>
      <c r="AU65" s="1021">
        <f>(VLOOKUP(YEAR($A65),'NY East Load Projections'!$A$4:$EO$14,((MONTH($A65)-1)*12)+VLOOKUP(AU$4,$DE$6:$DF$17,2)+1))*(VLOOKUP($A65,SatSunCurve,2))*(INDEX(DailyScalarsTable,AU$5/100,MONTH($A65)))*$C65</f>
        <v>-10019.70090446623</v>
      </c>
      <c r="AV65" s="1021">
        <f>(VLOOKUP(YEAR($A65),'NY East Load Projections'!$A$4:$EO$14,((MONTH($A65)-1)*12)+VLOOKUP(AV$4,$DE$6:$DF$17,2)+1))*(VLOOKUP($A65,SatSunCurve,2))*(INDEX(DailyScalarsTable,AV$5/100,MONTH($A65)))*$C65</f>
        <v>-9845.7958956854054</v>
      </c>
      <c r="AW65" s="1021">
        <f>(VLOOKUP(YEAR($A65),'NY East Load Projections'!$A$4:$EO$14,((MONTH($A65)-1)*12)+VLOOKUP(AW$4,$DE$6:$DF$17,2)+1))*(VLOOKUP($A65,SatSunCurve,2))*(INDEX(DailyScalarsTable,AW$5/100,MONTH($A65)))*$C65</f>
        <v>-10645.93185279522</v>
      </c>
      <c r="AX65" s="1021">
        <f>(VLOOKUP(YEAR($A65),'NY East Load Projections'!$A$4:$EO$14,((MONTH($A65)-1)*12)+VLOOKUP(AX$4,$DE$6:$DF$17,2)+1))*(VLOOKUP($A65,SatSunCurve,2))*(INDEX(DailyScalarsTable,AX$5/100,MONTH($A65)))*$C65</f>
        <v>-15003.783454602722</v>
      </c>
      <c r="AY65" s="1021">
        <f>(VLOOKUP(YEAR($A65),'NY East Load Projections'!$A$4:$EO$14,((MONTH($A65)-1)*12)+VLOOKUP(AY$4,$DE$6:$DF$17,2)+1))*(VLOOKUP($A65,SatSunCurve,2))*(INDEX(DailyScalarsTable,AY$5/100,MONTH($A65)))*$C65</f>
        <v>-14903.820467862704</v>
      </c>
      <c r="AZ65" s="1021">
        <f>(VLOOKUP(YEAR($A65),'NY East Load Projections'!$A$4:$EO$14,((MONTH($A65)-1)*12)+VLOOKUP(AZ$4,$DE$6:$DF$17,2)+1))*(VLOOKUP($A65,SatSunCurve,2))*(INDEX(DailyScalarsTable,AZ$5/100,MONTH($A65)))*$C65</f>
        <v>-14390.602173194155</v>
      </c>
      <c r="BA65" s="1021">
        <f>(VLOOKUP(YEAR($A65),'NY East Load Projections'!$A$4:$EO$14,((MONTH($A65)-1)*12)+VLOOKUP(BA$4,$DE$6:$DF$17,2)+1))*(VLOOKUP($A65,SatSunCurve,2))*(INDEX(DailyScalarsTable,BA$5/100,MONTH($A65)))*$C65</f>
        <v>-13507.65491307513</v>
      </c>
      <c r="BB65" s="1021">
        <f>(VLOOKUP(YEAR($A65),'NY East Load Projections'!$A$4:$EO$14,((MONTH($A65)-1)*12)+VLOOKUP(BB$4,$DE$6:$DF$17,2)+1))*(VLOOKUP($A65,SatSunCurve,2))*(INDEX(DailyScalarsTable,BB$5/100,MONTH($A65)))*$C65</f>
        <v>-9957.7892956437699</v>
      </c>
      <c r="BC65" s="1021">
        <f>(VLOOKUP(YEAR($A65),'NY East Load Projections'!$A$4:$EO$14,((MONTH($A65)-1)*12)+VLOOKUP(BC$4,$DE$6:$DF$17,2)+1))*(VLOOKUP($A65,SatSunCurve,2))*(INDEX(DailyScalarsTable,BC$5/100,MONTH($A65)))*$C65</f>
        <v>-8215.322349019083</v>
      </c>
      <c r="BD65" s="1021">
        <f>(VLOOKUP(YEAR($A65),'NY East Load Projections'!$A$4:$EO$14,((MONTH($A65)-1)*12)+VLOOKUP(BD$4,$DE$6:$DF$17,2)+1))*(VLOOKUP($A65,CURVES!$D$9:$T$261,6))*(INDEX(DailyScalarsTable,BD$5/100,MONTH($A65)))*$C65</f>
        <v>-10028.801962522877</v>
      </c>
      <c r="BE65" s="1021"/>
      <c r="BF65" s="1021">
        <f>(VLOOKUP(YEAR($A65),'NY East Load Projections'!$A$4:$EO$14,((MONTH($A65)-1)*12)+VLOOKUP(BF$4,$DE$6:$DF$17,2)+1))*(VLOOKUP($A65,CURVES!$D$9:$T$261,6))*(INDEX(DailyScalarsTable,BF$5/100,MONTH($A65)))*$D65</f>
        <v>-6955.8167067699887</v>
      </c>
      <c r="BG65" s="1021">
        <f>(VLOOKUP(YEAR($A65),'NY East Load Projections'!$A$4:$EO$14,((MONTH($A65)-1)*12)+VLOOKUP(BG$4,$DE$6:$DF$17,2)+1))*(VLOOKUP($A65,CURVES!$D$9:$T$261,6))*(INDEX(DailyScalarsTable,BG$5/100,MONTH($A65)))*$D65</f>
        <v>-6594.3686734865132</v>
      </c>
      <c r="BH65" s="1021">
        <f>(VLOOKUP(YEAR($A65),'NY East Load Projections'!$A$4:$EO$14,((MONTH($A65)-1)*12)+VLOOKUP(BH$4,$DE$6:$DF$17,2)+1))*(VLOOKUP($A65,CURVES!$D$9:$T$261,6))*(INDEX(DailyScalarsTable,BH$5/100,MONTH($A65)))*$D65</f>
        <v>-6328.7081107212261</v>
      </c>
      <c r="BI65" s="1021">
        <f>(VLOOKUP(YEAR($A65),'NY East Load Projections'!$A$4:$EO$14,((MONTH($A65)-1)*12)+VLOOKUP(BI$4,$DE$6:$DF$17,2)+1))*(VLOOKUP($A65,CURVES!$D$9:$T$261,6))*(INDEX(DailyScalarsTable,BI$5/100,MONTH($A65)))*$D65</f>
        <v>-6332.4498087883421</v>
      </c>
      <c r="BJ65" s="1021">
        <f>(VLOOKUP(YEAR($A65),'NY East Load Projections'!$A$4:$EO$14,((MONTH($A65)-1)*12)+VLOOKUP(BJ$4,$DE$6:$DF$17,2)+1))*(VLOOKUP($A65,CURVES!$D$9:$T$261,6))*(INDEX(DailyScalarsTable,BJ$5/100,MONTH($A65)))*$D65</f>
        <v>-6932.9857000459879</v>
      </c>
      <c r="BK65" s="1021">
        <f>(VLOOKUP(YEAR($A65),'NY East Load Projections'!$A$4:$EO$14,((MONTH($A65)-1)*12)+VLOOKUP(BK$4,$DE$6:$DF$17,2)+1))*(VLOOKUP($A65,CURVES!$D$9:$T$261,6))*(INDEX(DailyScalarsTable,BK$5/100,MONTH($A65)))*$D65</f>
        <v>-7987.6561115587747</v>
      </c>
      <c r="BL65" s="1021">
        <f>(VLOOKUP(YEAR($A65),'NY East Load Projections'!$A$4:$EO$14,((MONTH($A65)-1)*12)+VLOOKUP(BL$4,$DE$6:$DF$17,2)+1))*(VLOOKUP($A65,CURVES!$D$9:$T$261,6))*(INDEX(DailyScalarsTable,BL$5/100,MONTH($A65)))*$D65</f>
        <v>-11441.529627433863</v>
      </c>
      <c r="BM65" s="1021">
        <f>(VLOOKUP(YEAR($A65),'NY East Load Projections'!$A$4:$EO$14,((MONTH($A65)-1)*12)+VLOOKUP(BM$4,$DE$6:$DF$17,2)+1))*(VLOOKUP($A65,SatSunCurve,6))*(INDEX(DailyScalarsTable,BM$5/100,MONTH($A65)))*$D65</f>
        <v>-7719.5782636976874</v>
      </c>
      <c r="BN65" s="1021">
        <f>(VLOOKUP(YEAR($A65),'NY East Load Projections'!$A$4:$EO$14,((MONTH($A65)-1)*12)+VLOOKUP(BN$4,$DE$6:$DF$17,2)+1))*(VLOOKUP($A65,SatSunCurve,6))*(INDEX(DailyScalarsTable,BN$5/100,MONTH($A65)))*$D65</f>
        <v>-8794.3728902495532</v>
      </c>
      <c r="BO65" s="1021">
        <f>(VLOOKUP(YEAR($A65),'NY East Load Projections'!$A$4:$EO$14,((MONTH($A65)-1)*12)+VLOOKUP(BO$4,$DE$6:$DF$17,2)+1))*(VLOOKUP($A65,SatSunCurve,6))*(INDEX(DailyScalarsTable,BO$5/100,MONTH($A65)))*$D65</f>
        <v>-8749.7889410723128</v>
      </c>
      <c r="BP65" s="1021">
        <f>(VLOOKUP(YEAR($A65),'NY East Load Projections'!$A$4:$EO$14,((MONTH($A65)-1)*12)+VLOOKUP(BP$4,$DE$6:$DF$17,2)+1))*(VLOOKUP($A65,SatSunCurve,6))*(INDEX(DailyScalarsTable,BP$5/100,MONTH($A65)))*$D65</f>
        <v>-8559.3625818746077</v>
      </c>
      <c r="BQ65" s="1021">
        <f>(VLOOKUP(YEAR($A65),'NY East Load Projections'!$A$4:$EO$14,((MONTH($A65)-1)*12)+VLOOKUP(BQ$4,$DE$6:$DF$17,2)+1))*(VLOOKUP($A65,SatSunCurve,6))*(INDEX(DailyScalarsTable,BQ$5/100,MONTH($A65)))*$D65</f>
        <v>-6955.096071649501</v>
      </c>
      <c r="BR65" s="1021">
        <f>(VLOOKUP(YEAR($A65),'NY East Load Projections'!$A$4:$EO$14,((MONTH($A65)-1)*12)+VLOOKUP(BR$4,$DE$6:$DF$17,2)+1))*(VLOOKUP($A65,SatSunCurve,6))*(INDEX(DailyScalarsTable,BR$5/100,MONTH($A65)))*$D65</f>
        <v>-6682.9458052984173</v>
      </c>
      <c r="BS65" s="1021">
        <f>(VLOOKUP(YEAR($A65),'NY East Load Projections'!$A$4:$EO$14,((MONTH($A65)-1)*12)+VLOOKUP(BS$4,$DE$6:$DF$17,2)+1))*(VLOOKUP($A65,SatSunCurve,6))*(INDEX(DailyScalarsTable,BS$5/100,MONTH($A65)))*$D65</f>
        <v>-6394.9734006124536</v>
      </c>
      <c r="BT65" s="1021">
        <f>(VLOOKUP(YEAR($A65),'NY East Load Projections'!$A$4:$EO$14,((MONTH($A65)-1)*12)+VLOOKUP(BT$4,$DE$6:$DF$17,2)+1))*(VLOOKUP($A65,SatSunCurve,6))*(INDEX(DailyScalarsTable,BT$5/100,MONTH($A65)))*$D65</f>
        <v>-6073.3914845042536</v>
      </c>
      <c r="BU65" s="1021">
        <f>(VLOOKUP(YEAR($A65),'NY East Load Projections'!$A$4:$EO$14,((MONTH($A65)-1)*12)+VLOOKUP(BU$4,$DE$6:$DF$17,2)+1))*(VLOOKUP($A65,SatSunCurve,6))*(INDEX(DailyScalarsTable,BU$5/100,MONTH($A65)))*$D65</f>
        <v>-5967.9798350436085</v>
      </c>
      <c r="BV65" s="1021">
        <f>(VLOOKUP(YEAR($A65),'NY East Load Projections'!$A$4:$EO$14,((MONTH($A65)-1)*12)+VLOOKUP(BV$4,$DE$6:$DF$17,2)+1))*(VLOOKUP($A65,SatSunCurve,6))*(INDEX(DailyScalarsTable,BV$5/100,MONTH($A65)))*$D65</f>
        <v>-6452.9782351645435</v>
      </c>
      <c r="BW65" s="1021">
        <f>(VLOOKUP(YEAR($A65),'NY East Load Projections'!$A$4:$EO$14,((MONTH($A65)-1)*12)+VLOOKUP(BW$4,$DE$6:$DF$17,2)+1))*(VLOOKUP($A65,SatSunCurve,6))*(INDEX(DailyScalarsTable,BW$5/100,MONTH($A65)))*$D65</f>
        <v>-9094.4681420492288</v>
      </c>
      <c r="BX65" s="1021">
        <f>(VLOOKUP(YEAR($A65),'NY East Load Projections'!$A$4:$EO$14,((MONTH($A65)-1)*12)+VLOOKUP(BX$4,$DE$6:$DF$17,2)+1))*(VLOOKUP($A65,SatSunCurve,6))*(INDEX(DailyScalarsTable,BX$5/100,MONTH($A65)))*$D65</f>
        <v>-9033.8760786512266</v>
      </c>
      <c r="BY65" s="1021">
        <f>(VLOOKUP(YEAR($A65),'NY East Load Projections'!$A$4:$EO$14,((MONTH($A65)-1)*12)+VLOOKUP(BY$4,$DE$6:$DF$17,2)+1))*(VLOOKUP($A65,SatSunCurve,6))*(INDEX(DailyScalarsTable,BY$5/100,MONTH($A65)))*$D65</f>
        <v>-8722.7913815878237</v>
      </c>
      <c r="BZ65" s="1021">
        <f>(VLOOKUP(YEAR($A65),'NY East Load Projections'!$A$4:$EO$14,((MONTH($A65)-1)*12)+VLOOKUP(BZ$4,$DE$6:$DF$17,2)+1))*(VLOOKUP($A65,SatSunCurve,6))*(INDEX(DailyScalarsTable,BZ$5/100,MONTH($A65)))*$D65</f>
        <v>-8187.5973251980831</v>
      </c>
      <c r="CA65" s="1021">
        <f>(VLOOKUP(YEAR($A65),'NY East Load Projections'!$A$4:$EO$14,((MONTH($A65)-1)*12)+VLOOKUP(CA$4,$DE$6:$DF$17,2)+1))*(VLOOKUP($A65,SatSunCurve,6))*(INDEX(DailyScalarsTable,CA$5/100,MONTH($A65)))*$D65</f>
        <v>-6035.8640731174837</v>
      </c>
      <c r="CB65" s="1021">
        <f>(VLOOKUP(YEAR($A65),'NY East Load Projections'!$A$4:$EO$14,((MONTH($A65)-1)*12)+VLOOKUP(CB$4,$DE$6:$DF$17,2)+1))*(VLOOKUP($A65,SatSunCurve,6))*(INDEX(DailyScalarsTable,CB$5/100,MONTH($A65)))*$D65</f>
        <v>-4979.6764666647468</v>
      </c>
      <c r="CC65" s="1021">
        <f>(VLOOKUP(YEAR($A65),'NY East Load Projections'!$A$4:$EO$14,((MONTH($A65)-1)*12)+VLOOKUP(CC$4,$DE$6:$DF$17,2)+1))*(VLOOKUP($A65,CURVES!$D$9:$T$261,6))*(INDEX(DailyScalarsTable,CC$5/100,MONTH($A65)))*$D65</f>
        <v>-8023.0415700183012</v>
      </c>
      <c r="CE65" s="1021">
        <f>(VLOOKUP(YEAR($A65),'NY East Load Projections'!$A$4:$EO$14,((MONTH($A65)-1)*12)+VLOOKUP(CE$4,$DE$6:$DF$17,2)+1))*(VLOOKUP($A65,CURVES!$D$9:$T$261,6))*(INDEX(DailyScalarsTable,CE$5/100,MONTH($A65)))*$E65</f>
        <v>-1738.9541766924972</v>
      </c>
      <c r="CF65" s="1021">
        <f>(VLOOKUP(YEAR($A65),'NY East Load Projections'!$A$4:$EO$14,((MONTH($A65)-1)*12)+VLOOKUP(CF$4,$DE$6:$DF$17,2)+1))*(VLOOKUP($A65,CURVES!$D$9:$T$261,6))*(INDEX(DailyScalarsTable,CF$5/100,MONTH($A65)))*$E65</f>
        <v>-1648.5921683716283</v>
      </c>
      <c r="CG65" s="1021">
        <f>(VLOOKUP(YEAR($A65),'NY East Load Projections'!$A$4:$EO$14,((MONTH($A65)-1)*12)+VLOOKUP(CG$4,$DE$6:$DF$17,2)+1))*(VLOOKUP($A65,CURVES!$D$9:$T$261,6))*(INDEX(DailyScalarsTable,CG$5/100,MONTH($A65)))*$E65</f>
        <v>-1582.1770276803065</v>
      </c>
      <c r="CH65" s="1021">
        <f>(VLOOKUP(YEAR($A65),'NY East Load Projections'!$A$4:$EO$14,((MONTH($A65)-1)*12)+VLOOKUP(CH$4,$DE$6:$DF$17,2)+1))*(VLOOKUP($A65,CURVES!$D$9:$T$261,6))*(INDEX(DailyScalarsTable,CH$5/100,MONTH($A65)))*$E65</f>
        <v>-1583.1124521970855</v>
      </c>
      <c r="CI65" s="1021">
        <f>(VLOOKUP(YEAR($A65),'NY East Load Projections'!$A$4:$EO$14,((MONTH($A65)-1)*12)+VLOOKUP(CI$4,$DE$6:$DF$17,2)+1))*(VLOOKUP($A65,CURVES!$D$9:$T$261,6))*(INDEX(DailyScalarsTable,CI$5/100,MONTH($A65)))*$E65</f>
        <v>-1733.246425011497</v>
      </c>
      <c r="CJ65" s="1021">
        <f>(VLOOKUP(YEAR($A65),'NY East Load Projections'!$A$4:$EO$14,((MONTH($A65)-1)*12)+VLOOKUP(CJ$4,$DE$6:$DF$17,2)+1))*(VLOOKUP($A65,CURVES!$D$9:$T$261,6))*(INDEX(DailyScalarsTable,CJ$5/100,MONTH($A65)))*$E65</f>
        <v>-1996.9140278896937</v>
      </c>
      <c r="CK65" s="1021">
        <f>(VLOOKUP(YEAR($A65),'NY East Load Projections'!$A$4:$EO$14,((MONTH($A65)-1)*12)+VLOOKUP(CK$4,$DE$6:$DF$17,2)+1))*(VLOOKUP($A65,CURVES!$D$9:$T$261,6))*(INDEX(DailyScalarsTable,CK$5/100,MONTH($A65)))*$E65</f>
        <v>-2860.3824068584659</v>
      </c>
      <c r="CL65" s="1021">
        <f>(VLOOKUP(YEAR($A65),'NY East Load Projections'!$A$4:$EO$14,((MONTH($A65)-1)*12)+VLOOKUP(CL$4,$DE$6:$DF$17,2)+1))*(VLOOKUP($A65,SatSunCurve,6))*(INDEX(DailyScalarsTable,CL$5/100,MONTH($A65)))*$E65</f>
        <v>-1929.8945659244218</v>
      </c>
      <c r="CM65" s="1021">
        <f>(VLOOKUP(YEAR($A65),'NY East Load Projections'!$A$4:$EO$14,((MONTH($A65)-1)*12)+VLOOKUP(CM$4,$DE$6:$DF$17,2)+1))*(VLOOKUP($A65,SatSunCurve,6))*(INDEX(DailyScalarsTable,CM$5/100,MONTH($A65)))*$E65</f>
        <v>-2198.5932225623883</v>
      </c>
      <c r="CN65" s="1021">
        <f>(VLOOKUP(YEAR($A65),'NY East Load Projections'!$A$4:$EO$14,((MONTH($A65)-1)*12)+VLOOKUP(CN$4,$DE$6:$DF$17,2)+1))*(VLOOKUP($A65,SatSunCurve,6))*(INDEX(DailyScalarsTable,CN$5/100,MONTH($A65)))*$E65</f>
        <v>-2187.4472352680782</v>
      </c>
      <c r="CO65" s="1021">
        <f>(VLOOKUP(YEAR($A65),'NY East Load Projections'!$A$4:$EO$14,((MONTH($A65)-1)*12)+VLOOKUP(CO$4,$DE$6:$DF$17,2)+1))*(VLOOKUP($A65,SatSunCurve,6))*(INDEX(DailyScalarsTable,CO$5/100,MONTH($A65)))*$E65</f>
        <v>-2139.8406454686519</v>
      </c>
      <c r="CP65" s="1021">
        <f>(VLOOKUP(YEAR($A65),'NY East Load Projections'!$A$4:$EO$14,((MONTH($A65)-1)*12)+VLOOKUP(CP$4,$DE$6:$DF$17,2)+1))*(VLOOKUP($A65,SatSunCurve,6))*(INDEX(DailyScalarsTable,CP$5/100,MONTH($A65)))*$E65</f>
        <v>-1738.7740179123753</v>
      </c>
      <c r="CQ65" s="1021">
        <f>(VLOOKUP(YEAR($A65),'NY East Load Projections'!$A$4:$EO$14,((MONTH($A65)-1)*12)+VLOOKUP(CQ$4,$DE$6:$DF$17,2)+1))*(VLOOKUP($A65,SatSunCurve,6))*(INDEX(DailyScalarsTable,CQ$5/100,MONTH($A65)))*$E65</f>
        <v>-1670.7364513246043</v>
      </c>
      <c r="CR65" s="1021">
        <f>(VLOOKUP(YEAR($A65),'NY East Load Projections'!$A$4:$EO$14,((MONTH($A65)-1)*12)+VLOOKUP(CR$4,$DE$6:$DF$17,2)+1))*(VLOOKUP($A65,SatSunCurve,6))*(INDEX(DailyScalarsTable,CR$5/100,MONTH($A65)))*$E65</f>
        <v>-1598.7433501531134</v>
      </c>
      <c r="CS65" s="1021">
        <f>(VLOOKUP(YEAR($A65),'NY East Load Projections'!$A$4:$EO$14,((MONTH($A65)-1)*12)+VLOOKUP(CS$4,$DE$6:$DF$17,2)+1))*(VLOOKUP($A65,SatSunCurve,6))*(INDEX(DailyScalarsTable,CS$5/100,MONTH($A65)))*$E65</f>
        <v>-1518.3478711260634</v>
      </c>
      <c r="CT65" s="1021">
        <f>(VLOOKUP(YEAR($A65),'NY East Load Projections'!$A$4:$EO$14,((MONTH($A65)-1)*12)+VLOOKUP(CT$4,$DE$6:$DF$17,2)+1))*(VLOOKUP($A65,SatSunCurve,6))*(INDEX(DailyScalarsTable,CT$5/100,MONTH($A65)))*$E65</f>
        <v>-1491.9949587609021</v>
      </c>
      <c r="CU65" s="1021">
        <f>(VLOOKUP(YEAR($A65),'NY East Load Projections'!$A$4:$EO$14,((MONTH($A65)-1)*12)+VLOOKUP(CU$4,$DE$6:$DF$17,2)+1))*(VLOOKUP($A65,SatSunCurve,6))*(INDEX(DailyScalarsTable,CU$5/100,MONTH($A65)))*$E65</f>
        <v>-1613.2445587911359</v>
      </c>
      <c r="CV65" s="1021">
        <f>(VLOOKUP(YEAR($A65),'NY East Load Projections'!$A$4:$EO$14,((MONTH($A65)-1)*12)+VLOOKUP(CV$4,$DE$6:$DF$17,2)+1))*(VLOOKUP($A65,SatSunCurve,6))*(INDEX(DailyScalarsTable,CV$5/100,MONTH($A65)))*$E65</f>
        <v>-2273.6170355123072</v>
      </c>
      <c r="CW65" s="1021">
        <f>(VLOOKUP(YEAR($A65),'NY East Load Projections'!$A$4:$EO$14,((MONTH($A65)-1)*12)+VLOOKUP(CW$4,$DE$6:$DF$17,2)+1))*(VLOOKUP($A65,SatSunCurve,6))*(INDEX(DailyScalarsTable,CW$5/100,MONTH($A65)))*$E65</f>
        <v>-2258.4690196628067</v>
      </c>
      <c r="CX65" s="1021">
        <f>(VLOOKUP(YEAR($A65),'NY East Load Projections'!$A$4:$EO$14,((MONTH($A65)-1)*12)+VLOOKUP(CX$4,$DE$6:$DF$17,2)+1))*(VLOOKUP($A65,SatSunCurve,6))*(INDEX(DailyScalarsTable,CX$5/100,MONTH($A65)))*$E65</f>
        <v>-2180.6978453969559</v>
      </c>
      <c r="CY65" s="1021">
        <f>(VLOOKUP(YEAR($A65),'NY East Load Projections'!$A$4:$EO$14,((MONTH($A65)-1)*12)+VLOOKUP(CY$4,$DE$6:$DF$17,2)+1))*(VLOOKUP($A65,SatSunCurve,6))*(INDEX(DailyScalarsTable,CY$5/100,MONTH($A65)))*$E65</f>
        <v>-2046.8993312995208</v>
      </c>
      <c r="CZ65" s="1021">
        <f>(VLOOKUP(YEAR($A65),'NY East Load Projections'!$A$4:$EO$14,((MONTH($A65)-1)*12)+VLOOKUP(CZ$4,$DE$6:$DF$17,2)+1))*(VLOOKUP($A65,SatSunCurve,6))*(INDEX(DailyScalarsTable,CZ$5/100,MONTH($A65)))*$E65</f>
        <v>-1508.9660182793709</v>
      </c>
      <c r="DA65" s="1021">
        <f>(VLOOKUP(YEAR($A65),'NY East Load Projections'!$A$4:$EO$14,((MONTH($A65)-1)*12)+VLOOKUP(DA$4,$DE$6:$DF$17,2)+1))*(VLOOKUP($A65,SatSunCurve,6))*(INDEX(DailyScalarsTable,DA$5/100,MONTH($A65)))*$E65</f>
        <v>-1244.9191166661867</v>
      </c>
      <c r="DB65" s="1021">
        <f>(VLOOKUP(YEAR($A65),'NY East Load Projections'!$A$4:$EO$14,((MONTH($A65)-1)*12)+VLOOKUP(DB$4,$DE$6:$DF$17,2)+1))*(VLOOKUP($A65,CURVES!$D$9:$T$261,6))*(INDEX(DailyScalarsTable,DB$5/100,MONTH($A65)))*$E65</f>
        <v>-2005.7603925045753</v>
      </c>
      <c r="DH65" s="1021">
        <f t="shared" si="0"/>
        <v>-1851775.3394445342</v>
      </c>
      <c r="DI65">
        <f ca="1">CALC!J85</f>
        <v>0.65459584130256854</v>
      </c>
      <c r="DJ65" s="1029">
        <f t="shared" ca="1" si="1"/>
        <v>-1212164.4362270443</v>
      </c>
    </row>
    <row r="66" spans="1:114" x14ac:dyDescent="0.25">
      <c r="A66" s="244">
        <v>38718</v>
      </c>
      <c r="B66" s="13">
        <v>21</v>
      </c>
      <c r="C66" s="210">
        <v>4</v>
      </c>
      <c r="D66" s="210">
        <v>5</v>
      </c>
      <c r="E66" s="210">
        <v>1</v>
      </c>
      <c r="F66" s="13">
        <v>31</v>
      </c>
      <c r="H66" s="1021">
        <f>(VLOOKUP(YEAR($A66),'NY East Load Projections'!$A$4:$EO$14,((MONTH($A66)-1)*12)+VLOOKUP(H$4,$DE$6:$DF$17,2)+1))*(VLOOKUP($A66,CURVES!$D$9:$K$261,6))*(INDEX(DailyScalarsTable,H$5/100,MONTH($A66)))*$B66</f>
        <v>-32802.588954596678</v>
      </c>
      <c r="I66" s="1021">
        <f>(VLOOKUP(YEAR($A66),'NY East Load Projections'!$A$4:$EO$14,((MONTH($A66)-1)*12)+VLOOKUP(I$4,$DE$6:$DF$17,2)+1))*(VLOOKUP($A66,CURVES!$D$9:$K$261,6))*(INDEX(DailyScalarsTable,I$5/100,MONTH($A66)))*$B66</f>
        <v>-32163.503133190578</v>
      </c>
      <c r="J66" s="1021">
        <f>(VLOOKUP(YEAR($A66),'NY East Load Projections'!$A$4:$EO$14,((MONTH($A66)-1)*12)+VLOOKUP(J$4,$DE$6:$DF$17,2)+1))*(VLOOKUP($A66,CURVES!$D$9:$K$261,6))*(INDEX(DailyScalarsTable,J$5/100,MONTH($A66)))*$B66</f>
        <v>-29473.044512271703</v>
      </c>
      <c r="K66" s="1021">
        <f>(VLOOKUP(YEAR($A66),'NY East Load Projections'!$A$4:$EO$14,((MONTH($A66)-1)*12)+VLOOKUP(K$4,$DE$6:$DF$17,2)+1))*(VLOOKUP($A66,CURVES!$D$9:$K$261,6))*(INDEX(DailyScalarsTable,K$5/100,MONTH($A66)))*$B66</f>
        <v>-29455.224652676683</v>
      </c>
      <c r="L66" s="1021">
        <f>(VLOOKUP(YEAR($A66),'NY East Load Projections'!$A$4:$EO$14,((MONTH($A66)-1)*12)+VLOOKUP(L$4,$DE$6:$DF$17,2)+1))*(VLOOKUP($A66,CURVES!$D$9:$K$261,6))*(INDEX(DailyScalarsTable,L$5/100,MONTH($A66)))*$B66</f>
        <v>-33852.983678180943</v>
      </c>
      <c r="M66" s="1021">
        <f>(VLOOKUP(YEAR($A66),'NY East Load Projections'!$A$4:$EO$14,((MONTH($A66)-1)*12)+VLOOKUP(M$4,$DE$6:$DF$17,2)+1))*(VLOOKUP($A66,CURVES!$D$9:$K$261,6))*(INDEX(DailyScalarsTable,M$5/100,MONTH($A66)))*$B66</f>
        <v>-36128.512055367588</v>
      </c>
      <c r="N66" s="1021">
        <f>(VLOOKUP(YEAR($A66),'NY East Load Projections'!$A$4:$EO$14,((MONTH($A66)-1)*12)+VLOOKUP(N$4,$DE$6:$DF$17,2)+1))*(VLOOKUP($A66,CURVES!$D$9:$K$261,6))*(INDEX(DailyScalarsTable,N$5/100,MONTH($A66)))*$B66</f>
        <v>-69185.660677203807</v>
      </c>
      <c r="O66" s="1021">
        <f>(VLOOKUP(YEAR($A66),'NY East Load Projections'!$A$4:$EO$14,((MONTH($A66)-1)*12)+VLOOKUP(O$4,$DE$6:$DF$17,2)+1))*(VLOOKUP($A66,CURVES!$D$9:$K$261,2))*(INDEX(DailyScalarsTable,O$5/100,MONTH($A66)))*$B66</f>
        <v>-80942.476508217675</v>
      </c>
      <c r="P66" s="1021">
        <f>(VLOOKUP(YEAR($A66),'NY East Load Projections'!$A$4:$EO$14,((MONTH($A66)-1)*12)+VLOOKUP(P$4,$DE$6:$DF$17,2)+1))*(VLOOKUP($A66,CURVES!$D$9:$K$261,2))*(INDEX(DailyScalarsTable,P$5/100,MONTH($A66)))*$B66</f>
        <v>-92658.902518489704</v>
      </c>
      <c r="Q66" s="1021">
        <f>(VLOOKUP(YEAR($A66),'NY East Load Projections'!$A$4:$EO$14,((MONTH($A66)-1)*12)+VLOOKUP(Q$4,$DE$6:$DF$17,2)+1))*(VLOOKUP($A66,CURVES!$D$9:$K$261,2))*(INDEX(DailyScalarsTable,Q$5/100,MONTH($A66)))*$B66</f>
        <v>-92376.886037644508</v>
      </c>
      <c r="R66" s="1021">
        <f>(VLOOKUP(YEAR($A66),'NY East Load Projections'!$A$4:$EO$14,((MONTH($A66)-1)*12)+VLOOKUP(R$4,$DE$6:$DF$17,2)+1))*(VLOOKUP($A66,CURVES!$D$9:$K$261,2))*(INDEX(DailyScalarsTable,R$5/100,MONTH($A66)))*$B66</f>
        <v>-90764.788214262415</v>
      </c>
      <c r="S66" s="1021">
        <f>(VLOOKUP(YEAR($A66),'NY East Load Projections'!$A$4:$EO$14,((MONTH($A66)-1)*12)+VLOOKUP(S$4,$DE$6:$DF$17,2)+1))*(VLOOKUP($A66,CURVES!$D$9:$K$261,2))*(INDEX(DailyScalarsTable,S$5/100,MONTH($A66)))*$B66</f>
        <v>-67991.413925746238</v>
      </c>
      <c r="T66" s="1021">
        <f>(VLOOKUP(YEAR($A66),'NY East Load Projections'!$A$4:$EO$14,((MONTH($A66)-1)*12)+VLOOKUP(T$4,$DE$6:$DF$17,2)+1))*(VLOOKUP($A66,CURVES!$D$9:$K$261,2))*(INDEX(DailyScalarsTable,T$5/100,MONTH($A66)))*$B66</f>
        <v>-67100.512174749383</v>
      </c>
      <c r="U66" s="1021">
        <f>(VLOOKUP(YEAR($A66),'NY East Load Projections'!$A$4:$EO$14,((MONTH($A66)-1)*12)+VLOOKUP(U$4,$DE$6:$DF$17,2)+1))*(VLOOKUP($A66,CURVES!$D$9:$K$261,2))*(INDEX(DailyScalarsTable,U$5/100,MONTH($A66)))*$B66</f>
        <v>-64933.953756378905</v>
      </c>
      <c r="V66" s="1021">
        <f>(VLOOKUP(YEAR($A66),'NY East Load Projections'!$A$4:$EO$14,((MONTH($A66)-1)*12)+VLOOKUP(V$4,$DE$6:$DF$17,2)+1))*(VLOOKUP($A66,CURVES!$D$9:$K$261,2))*(INDEX(DailyScalarsTable,V$5/100,MONTH($A66)))*$B66</f>
        <v>-61629.167183429738</v>
      </c>
      <c r="W66" s="1021">
        <f>(VLOOKUP(YEAR($A66),'NY East Load Projections'!$A$4:$EO$14,((MONTH($A66)-1)*12)+VLOOKUP(W$4,$DE$6:$DF$17,2)+1))*(VLOOKUP($A66,CURVES!$D$9:$K$261,2))*(INDEX(DailyScalarsTable,W$5/100,MONTH($A66)))*$B66</f>
        <v>-60388.890987406056</v>
      </c>
      <c r="X66" s="1021">
        <f>(VLOOKUP(YEAR($A66),'NY East Load Projections'!$A$4:$EO$14,((MONTH($A66)-1)*12)+VLOOKUP(X$4,$DE$6:$DF$17,2)+1))*(VLOOKUP($A66,CURVES!$D$9:$K$261,2))*(INDEX(DailyScalarsTable,X$5/100,MONTH($A66)))*$B66</f>
        <v>-61993.795913532951</v>
      </c>
      <c r="Y66" s="1021">
        <f>(VLOOKUP(YEAR($A66),'NY East Load Projections'!$A$4:$EO$14,((MONTH($A66)-1)*12)+VLOOKUP(Y$4,$DE$6:$DF$17,2)+1))*(VLOOKUP($A66,CURVES!$D$9:$K$261,2))*(INDEX(DailyScalarsTable,Y$5/100,MONTH($A66)))*$B66</f>
        <v>-86261.673732351526</v>
      </c>
      <c r="Z66" s="1021">
        <f>(VLOOKUP(YEAR($A66),'NY East Load Projections'!$A$4:$EO$14,((MONTH($A66)-1)*12)+VLOOKUP(Z$4,$DE$6:$DF$17,2)+1))*(VLOOKUP($A66,CURVES!$D$9:$K$261,2))*(INDEX(DailyScalarsTable,Z$5/100,MONTH($A66)))*$B66</f>
        <v>-94651.976156311706</v>
      </c>
      <c r="AA66" s="1021">
        <f>(VLOOKUP(YEAR($A66),'NY East Load Projections'!$A$4:$EO$14,((MONTH($A66)-1)*12)+VLOOKUP(AA$4,$DE$6:$DF$17,2)+1))*(VLOOKUP($A66,CURVES!$D$9:$K$261,2))*(INDEX(DailyScalarsTable,AA$5/100,MONTH($A66)))*$B66</f>
        <v>-90598.365395313172</v>
      </c>
      <c r="AB66" s="1021">
        <f>(VLOOKUP(YEAR($A66),'NY East Load Projections'!$A$4:$EO$14,((MONTH($A66)-1)*12)+VLOOKUP(AB$4,$DE$6:$DF$17,2)+1))*(VLOOKUP($A66,CURVES!$D$9:$K$261,2))*(INDEX(DailyScalarsTable,AB$5/100,MONTH($A66)))*$B66</f>
        <v>-76578.734241336075</v>
      </c>
      <c r="AC66" s="1021">
        <f>(VLOOKUP(YEAR($A66),'NY East Load Projections'!$A$4:$EO$14,((MONTH($A66)-1)*12)+VLOOKUP(AC$4,$DE$6:$DF$17,2)+1))*(VLOOKUP($A66,CURVES!$D$9:$K$261,2))*(INDEX(DailyScalarsTable,AC$5/100,MONTH($A66)))*$B66</f>
        <v>-54464.569429876014</v>
      </c>
      <c r="AD66" s="1021">
        <f>(VLOOKUP(YEAR($A66),'NY East Load Projections'!$A$4:$EO$14,((MONTH($A66)-1)*12)+VLOOKUP(AD$4,$DE$6:$DF$17,2)+1))*(VLOOKUP($A66,CURVES!$D$9:$K$261,2))*(INDEX(DailyScalarsTable,AD$5/100,MONTH($A66)))*$B66</f>
        <v>-44586.029143751213</v>
      </c>
      <c r="AE66" s="1021">
        <f>(VLOOKUP(YEAR($A66),'NY East Load Projections'!$A$4:$EO$14,((MONTH($A66)-1)*12)+VLOOKUP(AE$4,$DE$6:$DF$17,2)+1))*(VLOOKUP($A66,CURVES!$D$9:$K$261,6))*(INDEX(DailyScalarsTable,AE$5/100,MONTH($A66)))*$B66</f>
        <v>-39224.48612361095</v>
      </c>
      <c r="AF66" s="1021"/>
      <c r="AG66" s="1021">
        <f>(VLOOKUP(YEAR($A66),'NY East Load Projections'!$A$4:$EO$14,((MONTH($A66)-1)*12)+VLOOKUP(AG$4,$DE$6:$DF$17,2)+1))*(VLOOKUP($A66,CURVES!$D$9:$T$261,6))*(INDEX(DailyScalarsTable,AG$5/100,MONTH($A66)))*$C66</f>
        <v>-6552.2323856122493</v>
      </c>
      <c r="AH66" s="1021">
        <f>(VLOOKUP(YEAR($A66),'NY East Load Projections'!$A$4:$EO$14,((MONTH($A66)-1)*12)+VLOOKUP(AH$4,$DE$6:$DF$17,2)+1))*(VLOOKUP($A66,CURVES!$D$9:$T$261,6))*(INDEX(DailyScalarsTable,AH$5/100,MONTH($A66)))*$C66</f>
        <v>-6424.5766441096903</v>
      </c>
      <c r="AI66" s="1021">
        <f>(VLOOKUP(YEAR($A66),'NY East Load Projections'!$A$4:$EO$14,((MONTH($A66)-1)*12)+VLOOKUP(AI$4,$DE$6:$DF$17,2)+1))*(VLOOKUP($A66,CURVES!$D$9:$T$261,6))*(INDEX(DailyScalarsTable,AI$5/100,MONTH($A66)))*$C66</f>
        <v>-5887.1644864127902</v>
      </c>
      <c r="AJ66" s="1021">
        <f>(VLOOKUP(YEAR($A66),'NY East Load Projections'!$A$4:$EO$14,((MONTH($A66)-1)*12)+VLOOKUP(AJ$4,$DE$6:$DF$17,2)+1))*(VLOOKUP($A66,CURVES!$D$9:$T$261,6))*(INDEX(DailyScalarsTable,AJ$5/100,MONTH($A66)))*$C66</f>
        <v>-5883.6050155031262</v>
      </c>
      <c r="AK66" s="1021">
        <f>(VLOOKUP(YEAR($A66),'NY East Load Projections'!$A$4:$EO$14,((MONTH($A66)-1)*12)+VLOOKUP(AK$4,$DE$6:$DF$17,2)+1))*(VLOOKUP($A66,CURVES!$D$9:$T$261,6))*(INDEX(DailyScalarsTable,AK$5/100,MONTH($A66)))*$C66</f>
        <v>-6184.7486686274324</v>
      </c>
      <c r="AL66" s="1021">
        <f>(VLOOKUP(YEAR($A66),'NY East Load Projections'!$A$4:$EO$14,((MONTH($A66)-1)*12)+VLOOKUP(AL$4,$DE$6:$DF$17,2)+1))*(VLOOKUP($A66,CURVES!$D$9:$T$261,6))*(INDEX(DailyScalarsTable,AL$5/100,MONTH($A66)))*$C66</f>
        <v>-6600.474834303629</v>
      </c>
      <c r="AM66" s="1021">
        <f>(VLOOKUP(YEAR($A66),'NY East Load Projections'!$A$4:$EO$14,((MONTH($A66)-1)*12)+VLOOKUP(AM$4,$DE$6:$DF$17,2)+1))*(VLOOKUP($A66,CURVES!$D$9:$T$261,6))*(INDEX(DailyScalarsTable,AM$5/100,MONTH($A66)))*$C66</f>
        <v>-12639.828938836925</v>
      </c>
      <c r="AN66" s="1021">
        <f>(VLOOKUP(YEAR($A66),'NY East Load Projections'!$A$4:$EO$14,((MONTH($A66)-1)*12)+VLOOKUP(AN$4,$DE$6:$DF$17,2)+1))*(VLOOKUP($A66,SatSunCurve,2))*(INDEX(DailyScalarsTable,AN$5/100,MONTH($A66)))*$C66</f>
        <v>-11757.281100841708</v>
      </c>
      <c r="AO66" s="1021">
        <f>(VLOOKUP(YEAR($A66),'NY East Load Projections'!$A$4:$EO$14,((MONTH($A66)-1)*12)+VLOOKUP(AO$4,$DE$6:$DF$17,2)+1))*(VLOOKUP($A66,SatSunCurve,2))*(INDEX(DailyScalarsTable,AO$5/100,MONTH($A66)))*$C66</f>
        <v>-13251.756870182864</v>
      </c>
      <c r="AP66" s="1021">
        <f>(VLOOKUP(YEAR($A66),'NY East Load Projections'!$A$4:$EO$14,((MONTH($A66)-1)*12)+VLOOKUP(AP$4,$DE$6:$DF$17,2)+1))*(VLOOKUP($A66,SatSunCurve,2))*(INDEX(DailyScalarsTable,AP$5/100,MONTH($A66)))*$C66</f>
        <v>-13211.423845120327</v>
      </c>
      <c r="AQ66" s="1021">
        <f>(VLOOKUP(YEAR($A66),'NY East Load Projections'!$A$4:$EO$14,((MONTH($A66)-1)*12)+VLOOKUP(AQ$4,$DE$6:$DF$17,2)+1))*(VLOOKUP($A66,SatSunCurve,2))*(INDEX(DailyScalarsTable,AQ$5/100,MONTH($A66)))*$C66</f>
        <v>-12980.867170847747</v>
      </c>
      <c r="AR66" s="1021">
        <f>(VLOOKUP(YEAR($A66),'NY East Load Projections'!$A$4:$EO$14,((MONTH($A66)-1)*12)+VLOOKUP(AR$4,$DE$6:$DF$17,2)+1))*(VLOOKUP($A66,SatSunCurve,2))*(INDEX(DailyScalarsTable,AR$5/100,MONTH($A66)))*$C66</f>
        <v>-9723.8976732339615</v>
      </c>
      <c r="AS66" s="1021">
        <f>(VLOOKUP(YEAR($A66),'NY East Load Projections'!$A$4:$EO$14,((MONTH($A66)-1)*12)+VLOOKUP(AS$4,$DE$6:$DF$17,2)+1))*(VLOOKUP($A66,SatSunCurve,2))*(INDEX(DailyScalarsTable,AS$5/100,MONTH($A66)))*$C66</f>
        <v>-9487.1996766048469</v>
      </c>
      <c r="AT66" s="1021">
        <f>(VLOOKUP(YEAR($A66),'NY East Load Projections'!$A$4:$EO$14,((MONTH($A66)-1)*12)+VLOOKUP(AT$4,$DE$6:$DF$17,2)+1))*(VLOOKUP($A66,SatSunCurve,2))*(INDEX(DailyScalarsTable,AT$5/100,MONTH($A66)))*$C66</f>
        <v>-9180.8745583616401</v>
      </c>
      <c r="AU66" s="1021">
        <f>(VLOOKUP(YEAR($A66),'NY East Load Projections'!$A$4:$EO$14,((MONTH($A66)-1)*12)+VLOOKUP(AU$4,$DE$6:$DF$17,2)+1))*(VLOOKUP($A66,SatSunCurve,2))*(INDEX(DailyScalarsTable,AU$5/100,MONTH($A66)))*$C66</f>
        <v>-8713.617765679066</v>
      </c>
      <c r="AV66" s="1021">
        <f>(VLOOKUP(YEAR($A66),'NY East Load Projections'!$A$4:$EO$14,((MONTH($A66)-1)*12)+VLOOKUP(AV$4,$DE$6:$DF$17,2)+1))*(VLOOKUP($A66,SatSunCurve,2))*(INDEX(DailyScalarsTable,AV$5/100,MONTH($A66)))*$C66</f>
        <v>-8538.257734220997</v>
      </c>
      <c r="AW66" s="1021">
        <f>(VLOOKUP(YEAR($A66),'NY East Load Projections'!$A$4:$EO$14,((MONTH($A66)-1)*12)+VLOOKUP(AW$4,$DE$6:$DF$17,2)+1))*(VLOOKUP($A66,SatSunCurve,2))*(INDEX(DailyScalarsTable,AW$5/100,MONTH($A66)))*$C66</f>
        <v>-8838.146747950479</v>
      </c>
      <c r="AX66" s="1021">
        <f>(VLOOKUP(YEAR($A66),'NY East Load Projections'!$A$4:$EO$14,((MONTH($A66)-1)*12)+VLOOKUP(AX$4,$DE$6:$DF$17,2)+1))*(VLOOKUP($A66,SatSunCurve,2))*(INDEX(DailyScalarsTable,AX$5/100,MONTH($A66)))*$C66</f>
        <v>-12297.897232066751</v>
      </c>
      <c r="AY66" s="1021">
        <f>(VLOOKUP(YEAR($A66),'NY East Load Projections'!$A$4:$EO$14,((MONTH($A66)-1)*12)+VLOOKUP(AY$4,$DE$6:$DF$17,2)+1))*(VLOOKUP($A66,SatSunCurve,2))*(INDEX(DailyScalarsTable,AY$5/100,MONTH($A66)))*$C66</f>
        <v>-13494.060864086854</v>
      </c>
      <c r="AZ66" s="1021">
        <f>(VLOOKUP(YEAR($A66),'NY East Load Projections'!$A$4:$EO$14,((MONTH($A66)-1)*12)+VLOOKUP(AZ$4,$DE$6:$DF$17,2)+1))*(VLOOKUP($A66,SatSunCurve,2))*(INDEX(DailyScalarsTable,AZ$5/100,MONTH($A66)))*$C66</f>
        <v>-12916.157765287326</v>
      </c>
      <c r="BA66" s="1021">
        <f>(VLOOKUP(YEAR($A66),'NY East Load Projections'!$A$4:$EO$14,((MONTH($A66)-1)*12)+VLOOKUP(BA$4,$DE$6:$DF$17,2)+1))*(VLOOKUP($A66,SatSunCurve,2))*(INDEX(DailyScalarsTable,BA$5/100,MONTH($A66)))*$C66</f>
        <v>-11691.259324565137</v>
      </c>
      <c r="BB66" s="1021">
        <f>(VLOOKUP(YEAR($A66),'NY East Load Projections'!$A$4:$EO$14,((MONTH($A66)-1)*12)+VLOOKUP(BB$4,$DE$6:$DF$17,2)+1))*(VLOOKUP($A66,SatSunCurve,2))*(INDEX(DailyScalarsTable,BB$5/100,MONTH($A66)))*$C66</f>
        <v>-8315.0944124870366</v>
      </c>
      <c r="BC66" s="1021">
        <f>(VLOOKUP(YEAR($A66),'NY East Load Projections'!$A$4:$EO$14,((MONTH($A66)-1)*12)+VLOOKUP(BC$4,$DE$6:$DF$17,2)+1))*(VLOOKUP($A66,SatSunCurve,2))*(INDEX(DailyScalarsTable,BC$5/100,MONTH($A66)))*$C66</f>
        <v>-6806.9397351156804</v>
      </c>
      <c r="BD66" s="1021">
        <f>(VLOOKUP(YEAR($A66),'NY East Load Projections'!$A$4:$EO$14,((MONTH($A66)-1)*12)+VLOOKUP(BD$4,$DE$6:$DF$17,2)+1))*(VLOOKUP($A66,CURVES!$D$9:$T$261,6))*(INDEX(DailyScalarsTable,BD$5/100,MONTH($A66)))*$C66</f>
        <v>-7531.908974780903</v>
      </c>
      <c r="BE66" s="1021"/>
      <c r="BF66" s="1021">
        <f>(VLOOKUP(YEAR($A66),'NY East Load Projections'!$A$4:$EO$14,((MONTH($A66)-1)*12)+VLOOKUP(BF$4,$DE$6:$DF$17,2)+1))*(VLOOKUP($A66,CURVES!$D$9:$T$261,6))*(INDEX(DailyScalarsTable,BF$5/100,MONTH($A66)))*$D66</f>
        <v>-8190.2904820153117</v>
      </c>
      <c r="BG66" s="1021">
        <f>(VLOOKUP(YEAR($A66),'NY East Load Projections'!$A$4:$EO$14,((MONTH($A66)-1)*12)+VLOOKUP(BG$4,$DE$6:$DF$17,2)+1))*(VLOOKUP($A66,CURVES!$D$9:$T$261,6))*(INDEX(DailyScalarsTable,BG$5/100,MONTH($A66)))*$D66</f>
        <v>-8030.7208051371126</v>
      </c>
      <c r="BH66" s="1021">
        <f>(VLOOKUP(YEAR($A66),'NY East Load Projections'!$A$4:$EO$14,((MONTH($A66)-1)*12)+VLOOKUP(BH$4,$DE$6:$DF$17,2)+1))*(VLOOKUP($A66,CURVES!$D$9:$T$261,6))*(INDEX(DailyScalarsTable,BH$5/100,MONTH($A66)))*$D66</f>
        <v>-7358.9556080159873</v>
      </c>
      <c r="BI66" s="1021">
        <f>(VLOOKUP(YEAR($A66),'NY East Load Projections'!$A$4:$EO$14,((MONTH($A66)-1)*12)+VLOOKUP(BI$4,$DE$6:$DF$17,2)+1))*(VLOOKUP($A66,CURVES!$D$9:$T$261,6))*(INDEX(DailyScalarsTable,BI$5/100,MONTH($A66)))*$D66</f>
        <v>-7354.5062693789077</v>
      </c>
      <c r="BJ66" s="1021">
        <f>(VLOOKUP(YEAR($A66),'NY East Load Projections'!$A$4:$EO$14,((MONTH($A66)-1)*12)+VLOOKUP(BJ$4,$DE$6:$DF$17,2)+1))*(VLOOKUP($A66,CURVES!$D$9:$T$261,6))*(INDEX(DailyScalarsTable,BJ$5/100,MONTH($A66)))*$D66</f>
        <v>-7730.9358357842902</v>
      </c>
      <c r="BK66" s="1021">
        <f>(VLOOKUP(YEAR($A66),'NY East Load Projections'!$A$4:$EO$14,((MONTH($A66)-1)*12)+VLOOKUP(BK$4,$DE$6:$DF$17,2)+1))*(VLOOKUP($A66,CURVES!$D$9:$T$261,6))*(INDEX(DailyScalarsTable,BK$5/100,MONTH($A66)))*$D66</f>
        <v>-8250.5935428795365</v>
      </c>
      <c r="BL66" s="1021">
        <f>(VLOOKUP(YEAR($A66),'NY East Load Projections'!$A$4:$EO$14,((MONTH($A66)-1)*12)+VLOOKUP(BL$4,$DE$6:$DF$17,2)+1))*(VLOOKUP($A66,CURVES!$D$9:$T$261,6))*(INDEX(DailyScalarsTable,BL$5/100,MONTH($A66)))*$D66</f>
        <v>-15799.786173546156</v>
      </c>
      <c r="BM66" s="1021">
        <f>(VLOOKUP(YEAR($A66),'NY East Load Projections'!$A$4:$EO$14,((MONTH($A66)-1)*12)+VLOOKUP(BM$4,$DE$6:$DF$17,2)+1))*(VLOOKUP($A66,SatSunCurve,6))*(INDEX(DailyScalarsTable,BM$5/100,MONTH($A66)))*$D66</f>
        <v>-12643.253210093861</v>
      </c>
      <c r="BN66" s="1021">
        <f>(VLOOKUP(YEAR($A66),'NY East Load Projections'!$A$4:$EO$14,((MONTH($A66)-1)*12)+VLOOKUP(BN$4,$DE$6:$DF$17,2)+1))*(VLOOKUP($A66,SatSunCurve,6))*(INDEX(DailyScalarsTable,BN$5/100,MONTH($A66)))*$D66</f>
        <v>-14250.345479647352</v>
      </c>
      <c r="BO66" s="1021">
        <f>(VLOOKUP(YEAR($A66),'NY East Load Projections'!$A$4:$EO$14,((MONTH($A66)-1)*12)+VLOOKUP(BO$4,$DE$6:$DF$17,2)+1))*(VLOOKUP($A66,SatSunCurve,6))*(INDEX(DailyScalarsTable,BO$5/100,MONTH($A66)))*$D66</f>
        <v>-14206.973151961984</v>
      </c>
      <c r="BP66" s="1021">
        <f>(VLOOKUP(YEAR($A66),'NY East Load Projections'!$A$4:$EO$14,((MONTH($A66)-1)*12)+VLOOKUP(BP$4,$DE$6:$DF$17,2)+1))*(VLOOKUP($A66,SatSunCurve,6))*(INDEX(DailyScalarsTable,BP$5/100,MONTH($A66)))*$D66</f>
        <v>-13959.042836517139</v>
      </c>
      <c r="BQ66" s="1021">
        <f>(VLOOKUP(YEAR($A66),'NY East Load Projections'!$A$4:$EO$14,((MONTH($A66)-1)*12)+VLOOKUP(BQ$4,$DE$6:$DF$17,2)+1))*(VLOOKUP($A66,SatSunCurve,6))*(INDEX(DailyScalarsTable,BQ$5/100,MONTH($A66)))*$D66</f>
        <v>-10456.643795217082</v>
      </c>
      <c r="BR66" s="1021">
        <f>(VLOOKUP(YEAR($A66),'NY East Load Projections'!$A$4:$EO$14,((MONTH($A66)-1)*12)+VLOOKUP(BR$4,$DE$6:$DF$17,2)+1))*(VLOOKUP($A66,SatSunCurve,6))*(INDEX(DailyScalarsTable,BR$5/100,MONTH($A66)))*$D66</f>
        <v>-10202.109376924609</v>
      </c>
      <c r="BS66" s="1021">
        <f>(VLOOKUP(YEAR($A66),'NY East Load Projections'!$A$4:$EO$14,((MONTH($A66)-1)*12)+VLOOKUP(BS$4,$DE$6:$DF$17,2)+1))*(VLOOKUP($A66,SatSunCurve,6))*(INDEX(DailyScalarsTable,BS$5/100,MONTH($A66)))*$D66</f>
        <v>-9872.7010722882969</v>
      </c>
      <c r="BT66" s="1021">
        <f>(VLOOKUP(YEAR($A66),'NY East Load Projections'!$A$4:$EO$14,((MONTH($A66)-1)*12)+VLOOKUP(BT$4,$DE$6:$DF$17,2)+1))*(VLOOKUP($A66,SatSunCurve,6))*(INDEX(DailyScalarsTable,BT$5/100,MONTH($A66)))*$D66</f>
        <v>-9370.2340568829077</v>
      </c>
      <c r="BU66" s="1021">
        <f>(VLOOKUP(YEAR($A66),'NY East Load Projections'!$A$4:$EO$14,((MONTH($A66)-1)*12)+VLOOKUP(BU$4,$DE$6:$DF$17,2)+1))*(VLOOKUP($A66,SatSunCurve,6))*(INDEX(DailyScalarsTable,BU$5/100,MONTH($A66)))*$D66</f>
        <v>-9181.6597375621204</v>
      </c>
      <c r="BV66" s="1021">
        <f>(VLOOKUP(YEAR($A66),'NY East Load Projections'!$A$4:$EO$14,((MONTH($A66)-1)*12)+VLOOKUP(BV$4,$DE$6:$DF$17,2)+1))*(VLOOKUP($A66,SatSunCurve,6))*(INDEX(DailyScalarsTable,BV$5/100,MONTH($A66)))*$D66</f>
        <v>-9504.1469438291988</v>
      </c>
      <c r="BW66" s="1021">
        <f>(VLOOKUP(YEAR($A66),'NY East Load Projections'!$A$4:$EO$14,((MONTH($A66)-1)*12)+VLOOKUP(BW$4,$DE$6:$DF$17,2)+1))*(VLOOKUP($A66,SatSunCurve,6))*(INDEX(DailyScalarsTable,BW$5/100,MONTH($A66)))*$D66</f>
        <v>-13224.607570673896</v>
      </c>
      <c r="BX66" s="1021">
        <f>(VLOOKUP(YEAR($A66),'NY East Load Projections'!$A$4:$EO$14,((MONTH($A66)-1)*12)+VLOOKUP(BX$4,$DE$6:$DF$17,2)+1))*(VLOOKUP($A66,SatSunCurve,6))*(INDEX(DailyScalarsTable,BX$5/100,MONTH($A66)))*$D66</f>
        <v>-14510.908336184473</v>
      </c>
      <c r="BY66" s="1021">
        <f>(VLOOKUP(YEAR($A66),'NY East Load Projections'!$A$4:$EO$14,((MONTH($A66)-1)*12)+VLOOKUP(BY$4,$DE$6:$DF$17,2)+1))*(VLOOKUP($A66,SatSunCurve,6))*(INDEX(DailyScalarsTable,BY$5/100,MONTH($A66)))*$D66</f>
        <v>-13889.457241637003</v>
      </c>
      <c r="BZ66" s="1021">
        <f>(VLOOKUP(YEAR($A66),'NY East Load Projections'!$A$4:$EO$14,((MONTH($A66)-1)*12)+VLOOKUP(BZ$4,$DE$6:$DF$17,2)+1))*(VLOOKUP($A66,SatSunCurve,6))*(INDEX(DailyScalarsTable,BZ$5/100,MONTH($A66)))*$D66</f>
        <v>-12572.256350557596</v>
      </c>
      <c r="CA66" s="1021">
        <f>(VLOOKUP(YEAR($A66),'NY East Load Projections'!$A$4:$EO$14,((MONTH($A66)-1)*12)+VLOOKUP(CA$4,$DE$6:$DF$17,2)+1))*(VLOOKUP($A66,SatSunCurve,6))*(INDEX(DailyScalarsTable,CA$5/100,MONTH($A66)))*$D66</f>
        <v>-8941.6799021147817</v>
      </c>
      <c r="CB66" s="1021">
        <f>(VLOOKUP(YEAR($A66),'NY East Load Projections'!$A$4:$EO$14,((MONTH($A66)-1)*12)+VLOOKUP(CB$4,$DE$6:$DF$17,2)+1))*(VLOOKUP($A66,SatSunCurve,6))*(INDEX(DailyScalarsTable,CB$5/100,MONTH($A66)))*$D66</f>
        <v>-7319.87794786633</v>
      </c>
      <c r="CC66" s="1021">
        <f>(VLOOKUP(YEAR($A66),'NY East Load Projections'!$A$4:$EO$14,((MONTH($A66)-1)*12)+VLOOKUP(CC$4,$DE$6:$DF$17,2)+1))*(VLOOKUP($A66,CURVES!$D$9:$T$261,6))*(INDEX(DailyScalarsTable,CC$5/100,MONTH($A66)))*$D66</f>
        <v>-9414.8862184761292</v>
      </c>
      <c r="CE66" s="1021">
        <f>(VLOOKUP(YEAR($A66),'NY East Load Projections'!$A$4:$EO$14,((MONTH($A66)-1)*12)+VLOOKUP(CE$4,$DE$6:$DF$17,2)+1))*(VLOOKUP($A66,CURVES!$D$9:$T$261,6))*(INDEX(DailyScalarsTable,CE$5/100,MONTH($A66)))*$E66</f>
        <v>-1638.0580964030623</v>
      </c>
      <c r="CF66" s="1021">
        <f>(VLOOKUP(YEAR($A66),'NY East Load Projections'!$A$4:$EO$14,((MONTH($A66)-1)*12)+VLOOKUP(CF$4,$DE$6:$DF$17,2)+1))*(VLOOKUP($A66,CURVES!$D$9:$T$261,6))*(INDEX(DailyScalarsTable,CF$5/100,MONTH($A66)))*$E66</f>
        <v>-1606.1441610274226</v>
      </c>
      <c r="CG66" s="1021">
        <f>(VLOOKUP(YEAR($A66),'NY East Load Projections'!$A$4:$EO$14,((MONTH($A66)-1)*12)+VLOOKUP(CG$4,$DE$6:$DF$17,2)+1))*(VLOOKUP($A66,CURVES!$D$9:$T$261,6))*(INDEX(DailyScalarsTable,CG$5/100,MONTH($A66)))*$E66</f>
        <v>-1471.7911216031976</v>
      </c>
      <c r="CH66" s="1021">
        <f>(VLOOKUP(YEAR($A66),'NY East Load Projections'!$A$4:$EO$14,((MONTH($A66)-1)*12)+VLOOKUP(CH$4,$DE$6:$DF$17,2)+1))*(VLOOKUP($A66,CURVES!$D$9:$T$261,6))*(INDEX(DailyScalarsTable,CH$5/100,MONTH($A66)))*$E66</f>
        <v>-1470.9012538757815</v>
      </c>
      <c r="CI66" s="1021">
        <f>(VLOOKUP(YEAR($A66),'NY East Load Projections'!$A$4:$EO$14,((MONTH($A66)-1)*12)+VLOOKUP(CI$4,$DE$6:$DF$17,2)+1))*(VLOOKUP($A66,CURVES!$D$9:$T$261,6))*(INDEX(DailyScalarsTable,CI$5/100,MONTH($A66)))*$E66</f>
        <v>-1546.1871671568581</v>
      </c>
      <c r="CJ66" s="1021">
        <f>(VLOOKUP(YEAR($A66),'NY East Load Projections'!$A$4:$EO$14,((MONTH($A66)-1)*12)+VLOOKUP(CJ$4,$DE$6:$DF$17,2)+1))*(VLOOKUP($A66,CURVES!$D$9:$T$261,6))*(INDEX(DailyScalarsTable,CJ$5/100,MONTH($A66)))*$E66</f>
        <v>-1650.1187085759072</v>
      </c>
      <c r="CK66" s="1021">
        <f>(VLOOKUP(YEAR($A66),'NY East Load Projections'!$A$4:$EO$14,((MONTH($A66)-1)*12)+VLOOKUP(CK$4,$DE$6:$DF$17,2)+1))*(VLOOKUP($A66,CURVES!$D$9:$T$261,6))*(INDEX(DailyScalarsTable,CK$5/100,MONTH($A66)))*$E66</f>
        <v>-3159.9572347092312</v>
      </c>
      <c r="CL66" s="1021">
        <f>(VLOOKUP(YEAR($A66),'NY East Load Projections'!$A$4:$EO$14,((MONTH($A66)-1)*12)+VLOOKUP(CL$4,$DE$6:$DF$17,2)+1))*(VLOOKUP($A66,SatSunCurve,6))*(INDEX(DailyScalarsTable,CL$5/100,MONTH($A66)))*$E66</f>
        <v>-2528.650642018772</v>
      </c>
      <c r="CM66" s="1021">
        <f>(VLOOKUP(YEAR($A66),'NY East Load Projections'!$A$4:$EO$14,((MONTH($A66)-1)*12)+VLOOKUP(CM$4,$DE$6:$DF$17,2)+1))*(VLOOKUP($A66,SatSunCurve,6))*(INDEX(DailyScalarsTable,CM$5/100,MONTH($A66)))*$E66</f>
        <v>-2850.0690959294707</v>
      </c>
      <c r="CN66" s="1021">
        <f>(VLOOKUP(YEAR($A66),'NY East Load Projections'!$A$4:$EO$14,((MONTH($A66)-1)*12)+VLOOKUP(CN$4,$DE$6:$DF$17,2)+1))*(VLOOKUP($A66,SatSunCurve,6))*(INDEX(DailyScalarsTable,CN$5/100,MONTH($A66)))*$E66</f>
        <v>-2841.3946303923967</v>
      </c>
      <c r="CO66" s="1021">
        <f>(VLOOKUP(YEAR($A66),'NY East Load Projections'!$A$4:$EO$14,((MONTH($A66)-1)*12)+VLOOKUP(CO$4,$DE$6:$DF$17,2)+1))*(VLOOKUP($A66,SatSunCurve,6))*(INDEX(DailyScalarsTable,CO$5/100,MONTH($A66)))*$E66</f>
        <v>-2791.8085673034279</v>
      </c>
      <c r="CP66" s="1021">
        <f>(VLOOKUP(YEAR($A66),'NY East Load Projections'!$A$4:$EO$14,((MONTH($A66)-1)*12)+VLOOKUP(CP$4,$DE$6:$DF$17,2)+1))*(VLOOKUP($A66,SatSunCurve,6))*(INDEX(DailyScalarsTable,CP$5/100,MONTH($A66)))*$E66</f>
        <v>-2091.3287590434165</v>
      </c>
      <c r="CQ66" s="1021">
        <f>(VLOOKUP(YEAR($A66),'NY East Load Projections'!$A$4:$EO$14,((MONTH($A66)-1)*12)+VLOOKUP(CQ$4,$DE$6:$DF$17,2)+1))*(VLOOKUP($A66,SatSunCurve,6))*(INDEX(DailyScalarsTable,CQ$5/100,MONTH($A66)))*$E66</f>
        <v>-2040.4218753849218</v>
      </c>
      <c r="CR66" s="1021">
        <f>(VLOOKUP(YEAR($A66),'NY East Load Projections'!$A$4:$EO$14,((MONTH($A66)-1)*12)+VLOOKUP(CR$4,$DE$6:$DF$17,2)+1))*(VLOOKUP($A66,SatSunCurve,6))*(INDEX(DailyScalarsTable,CR$5/100,MONTH($A66)))*$E66</f>
        <v>-1974.5402144576594</v>
      </c>
      <c r="CS66" s="1021">
        <f>(VLOOKUP(YEAR($A66),'NY East Load Projections'!$A$4:$EO$14,((MONTH($A66)-1)*12)+VLOOKUP(CS$4,$DE$6:$DF$17,2)+1))*(VLOOKUP($A66,SatSunCurve,6))*(INDEX(DailyScalarsTable,CS$5/100,MONTH($A66)))*$E66</f>
        <v>-1874.0468113765817</v>
      </c>
      <c r="CT66" s="1021">
        <f>(VLOOKUP(YEAR($A66),'NY East Load Projections'!$A$4:$EO$14,((MONTH($A66)-1)*12)+VLOOKUP(CT$4,$DE$6:$DF$17,2)+1))*(VLOOKUP($A66,SatSunCurve,6))*(INDEX(DailyScalarsTable,CT$5/100,MONTH($A66)))*$E66</f>
        <v>-1836.3319475124242</v>
      </c>
      <c r="CU66" s="1021">
        <f>(VLOOKUP(YEAR($A66),'NY East Load Projections'!$A$4:$EO$14,((MONTH($A66)-1)*12)+VLOOKUP(CU$4,$DE$6:$DF$17,2)+1))*(VLOOKUP($A66,SatSunCurve,6))*(INDEX(DailyScalarsTable,CU$5/100,MONTH($A66)))*$E66</f>
        <v>-1900.8293887658399</v>
      </c>
      <c r="CV66" s="1021">
        <f>(VLOOKUP(YEAR($A66),'NY East Load Projections'!$A$4:$EO$14,((MONTH($A66)-1)*12)+VLOOKUP(CV$4,$DE$6:$DF$17,2)+1))*(VLOOKUP($A66,SatSunCurve,6))*(INDEX(DailyScalarsTable,CV$5/100,MONTH($A66)))*$E66</f>
        <v>-2644.921514134779</v>
      </c>
      <c r="CW66" s="1021">
        <f>(VLOOKUP(YEAR($A66),'NY East Load Projections'!$A$4:$EO$14,((MONTH($A66)-1)*12)+VLOOKUP(CW$4,$DE$6:$DF$17,2)+1))*(VLOOKUP($A66,SatSunCurve,6))*(INDEX(DailyScalarsTable,CW$5/100,MONTH($A66)))*$E66</f>
        <v>-2902.1816672368946</v>
      </c>
      <c r="CX66" s="1021">
        <f>(VLOOKUP(YEAR($A66),'NY East Load Projections'!$A$4:$EO$14,((MONTH($A66)-1)*12)+VLOOKUP(CX$4,$DE$6:$DF$17,2)+1))*(VLOOKUP($A66,SatSunCurve,6))*(INDEX(DailyScalarsTable,CX$5/100,MONTH($A66)))*$E66</f>
        <v>-2777.8914483274007</v>
      </c>
      <c r="CY66" s="1021">
        <f>(VLOOKUP(YEAR($A66),'NY East Load Projections'!$A$4:$EO$14,((MONTH($A66)-1)*12)+VLOOKUP(CY$4,$DE$6:$DF$17,2)+1))*(VLOOKUP($A66,SatSunCurve,6))*(INDEX(DailyScalarsTable,CY$5/100,MONTH($A66)))*$E66</f>
        <v>-2514.4512701115191</v>
      </c>
      <c r="CZ66" s="1021">
        <f>(VLOOKUP(YEAR($A66),'NY East Load Projections'!$A$4:$EO$14,((MONTH($A66)-1)*12)+VLOOKUP(CZ$4,$DE$6:$DF$17,2)+1))*(VLOOKUP($A66,SatSunCurve,6))*(INDEX(DailyScalarsTable,CZ$5/100,MONTH($A66)))*$E66</f>
        <v>-1788.3359804229563</v>
      </c>
      <c r="DA66" s="1021">
        <f>(VLOOKUP(YEAR($A66),'NY East Load Projections'!$A$4:$EO$14,((MONTH($A66)-1)*12)+VLOOKUP(DA$4,$DE$6:$DF$17,2)+1))*(VLOOKUP($A66,SatSunCurve,6))*(INDEX(DailyScalarsTable,DA$5/100,MONTH($A66)))*$E66</f>
        <v>-1463.975589573266</v>
      </c>
      <c r="DB66" s="1021">
        <f>(VLOOKUP(YEAR($A66),'NY East Load Projections'!$A$4:$EO$14,((MONTH($A66)-1)*12)+VLOOKUP(DB$4,$DE$6:$DF$17,2)+1))*(VLOOKUP($A66,CURVES!$D$9:$T$261,6))*(INDEX(DailyScalarsTable,DB$5/100,MONTH($A66)))*$E66</f>
        <v>-1882.9772436952258</v>
      </c>
      <c r="DH66" s="1021">
        <f t="shared" si="0"/>
        <v>-2026601.2978649656</v>
      </c>
      <c r="DI66">
        <f ca="1">CALC!J86</f>
        <v>0.65051551650156136</v>
      </c>
      <c r="DJ66" s="1029">
        <f t="shared" ca="1" si="1"/>
        <v>-1318335.5900233628</v>
      </c>
    </row>
    <row r="67" spans="1:114" x14ac:dyDescent="0.25">
      <c r="A67" s="244">
        <v>38749</v>
      </c>
      <c r="B67" s="13">
        <v>20</v>
      </c>
      <c r="C67" s="210">
        <v>4</v>
      </c>
      <c r="D67" s="210">
        <v>4</v>
      </c>
      <c r="E67" s="210">
        <v>0</v>
      </c>
      <c r="F67" s="13">
        <v>28</v>
      </c>
      <c r="H67" s="1021">
        <f>(VLOOKUP(YEAR($A67),'NY East Load Projections'!$A$4:$EO$14,((MONTH($A67)-1)*12)+VLOOKUP(H$4,$DE$6:$DF$17,2)+1))*(VLOOKUP($A67,CURVES!$D$9:$K$261,6))*(INDEX(DailyScalarsTable,H$5/100,MONTH($A67)))*$B67</f>
        <v>-30337.980377565567</v>
      </c>
      <c r="I67" s="1021">
        <f>(VLOOKUP(YEAR($A67),'NY East Load Projections'!$A$4:$EO$14,((MONTH($A67)-1)*12)+VLOOKUP(I$4,$DE$6:$DF$17,2)+1))*(VLOOKUP($A67,CURVES!$D$9:$K$261,6))*(INDEX(DailyScalarsTable,I$5/100,MONTH($A67)))*$B67</f>
        <v>-29746.911997681433</v>
      </c>
      <c r="J67" s="1021">
        <f>(VLOOKUP(YEAR($A67),'NY East Load Projections'!$A$4:$EO$14,((MONTH($A67)-1)*12)+VLOOKUP(J$4,$DE$6:$DF$17,2)+1))*(VLOOKUP($A67,CURVES!$D$9:$K$261,6))*(INDEX(DailyScalarsTable,J$5/100,MONTH($A67)))*$B67</f>
        <v>-27258.599841556606</v>
      </c>
      <c r="K67" s="1021">
        <f>(VLOOKUP(YEAR($A67),'NY East Load Projections'!$A$4:$EO$14,((MONTH($A67)-1)*12)+VLOOKUP(K$4,$DE$6:$DF$17,2)+1))*(VLOOKUP($A67,CURVES!$D$9:$K$261,6))*(INDEX(DailyScalarsTable,K$5/100,MONTH($A67)))*$B67</f>
        <v>-27242.118869537204</v>
      </c>
      <c r="L67" s="1021">
        <f>(VLOOKUP(YEAR($A67),'NY East Load Projections'!$A$4:$EO$14,((MONTH($A67)-1)*12)+VLOOKUP(L$4,$DE$6:$DF$17,2)+1))*(VLOOKUP($A67,CURVES!$D$9:$K$261,6))*(INDEX(DailyScalarsTable,L$5/100,MONTH($A67)))*$B67</f>
        <v>-31133.310256753248</v>
      </c>
      <c r="M67" s="1021">
        <f>(VLOOKUP(YEAR($A67),'NY East Load Projections'!$A$4:$EO$14,((MONTH($A67)-1)*12)+VLOOKUP(M$4,$DE$6:$DF$17,2)+1))*(VLOOKUP($A67,CURVES!$D$9:$K$261,6))*(INDEX(DailyScalarsTable,M$5/100,MONTH($A67)))*$B67</f>
        <v>-33226.02774477363</v>
      </c>
      <c r="N67" s="1021">
        <f>(VLOOKUP(YEAR($A67),'NY East Load Projections'!$A$4:$EO$14,((MONTH($A67)-1)*12)+VLOOKUP(N$4,$DE$6:$DF$17,2)+1))*(VLOOKUP($A67,CURVES!$D$9:$K$261,6))*(INDEX(DailyScalarsTable,N$5/100,MONTH($A67)))*$B67</f>
        <v>-63627.438563713069</v>
      </c>
      <c r="O67" s="1021">
        <f>(VLOOKUP(YEAR($A67),'NY East Load Projections'!$A$4:$EO$14,((MONTH($A67)-1)*12)+VLOOKUP(O$4,$DE$6:$DF$17,2)+1))*(VLOOKUP($A67,CURVES!$D$9:$K$261,2))*(INDEX(DailyScalarsTable,O$5/100,MONTH($A67)))*$B67</f>
        <v>-75145.161077816767</v>
      </c>
      <c r="P67" s="1021">
        <f>(VLOOKUP(YEAR($A67),'NY East Load Projections'!$A$4:$EO$14,((MONTH($A67)-1)*12)+VLOOKUP(P$4,$DE$6:$DF$17,2)+1))*(VLOOKUP($A67,CURVES!$D$9:$K$261,2))*(INDEX(DailyScalarsTable,P$5/100,MONTH($A67)))*$B67</f>
        <v>-86078.405884651991</v>
      </c>
      <c r="Q67" s="1021">
        <f>(VLOOKUP(YEAR($A67),'NY East Load Projections'!$A$4:$EO$14,((MONTH($A67)-1)*12)+VLOOKUP(Q$4,$DE$6:$DF$17,2)+1))*(VLOOKUP($A67,CURVES!$D$9:$K$261,2))*(INDEX(DailyScalarsTable,Q$5/100,MONTH($A67)))*$B67</f>
        <v>-85816.417792363587</v>
      </c>
      <c r="R67" s="1021">
        <f>(VLOOKUP(YEAR($A67),'NY East Load Projections'!$A$4:$EO$14,((MONTH($A67)-1)*12)+VLOOKUP(R$4,$DE$6:$DF$17,2)+1))*(VLOOKUP($A67,CURVES!$D$9:$K$261,2))*(INDEX(DailyScalarsTable,R$5/100,MONTH($A67)))*$B67</f>
        <v>-84318.808744607435</v>
      </c>
      <c r="S67" s="1021">
        <f>(VLOOKUP(YEAR($A67),'NY East Load Projections'!$A$4:$EO$14,((MONTH($A67)-1)*12)+VLOOKUP(S$4,$DE$6:$DF$17,2)+1))*(VLOOKUP($A67,CURVES!$D$9:$K$261,2))*(INDEX(DailyScalarsTable,S$5/100,MONTH($A67)))*$B67</f>
        <v>-63162.765427789338</v>
      </c>
      <c r="T67" s="1021">
        <f>(VLOOKUP(YEAR($A67),'NY East Load Projections'!$A$4:$EO$14,((MONTH($A67)-1)*12)+VLOOKUP(T$4,$DE$6:$DF$17,2)+1))*(VLOOKUP($A67,CURVES!$D$9:$K$261,2))*(INDEX(DailyScalarsTable,T$5/100,MONTH($A67)))*$B67</f>
        <v>-62177.728236566283</v>
      </c>
      <c r="U67" s="1021">
        <f>(VLOOKUP(YEAR($A67),'NY East Load Projections'!$A$4:$EO$14,((MONTH($A67)-1)*12)+VLOOKUP(U$4,$DE$6:$DF$17,2)+1))*(VLOOKUP($A67,CURVES!$D$9:$K$261,2))*(INDEX(DailyScalarsTable,U$5/100,MONTH($A67)))*$B67</f>
        <v>-60170.117919147902</v>
      </c>
      <c r="V67" s="1021">
        <f>(VLOOKUP(YEAR($A67),'NY East Load Projections'!$A$4:$EO$14,((MONTH($A67)-1)*12)+VLOOKUP(V$4,$DE$6:$DF$17,2)+1))*(VLOOKUP($A67,CURVES!$D$9:$K$261,2))*(INDEX(DailyScalarsTable,V$5/100,MONTH($A67)))*$B67</f>
        <v>-57107.784790042337</v>
      </c>
      <c r="W67" s="1021">
        <f>(VLOOKUP(YEAR($A67),'NY East Load Projections'!$A$4:$EO$14,((MONTH($A67)-1)*12)+VLOOKUP(W$4,$DE$6:$DF$17,2)+1))*(VLOOKUP($A67,CURVES!$D$9:$K$261,2))*(INDEX(DailyScalarsTable,W$5/100,MONTH($A67)))*$B67</f>
        <v>-55958.500622824569</v>
      </c>
      <c r="X67" s="1021">
        <f>(VLOOKUP(YEAR($A67),'NY East Load Projections'!$A$4:$EO$14,((MONTH($A67)-1)*12)+VLOOKUP(X$4,$DE$6:$DF$17,2)+1))*(VLOOKUP($A67,CURVES!$D$9:$K$261,2))*(INDEX(DailyScalarsTable,X$5/100,MONTH($A67)))*$B67</f>
        <v>-57478.116972034157</v>
      </c>
      <c r="Y67" s="1021">
        <f>(VLOOKUP(YEAR($A67),'NY East Load Projections'!$A$4:$EO$14,((MONTH($A67)-1)*12)+VLOOKUP(Y$4,$DE$6:$DF$17,2)+1))*(VLOOKUP($A67,CURVES!$D$9:$K$261,2))*(INDEX(DailyScalarsTable,Y$5/100,MONTH($A67)))*$B67</f>
        <v>-79978.302666077041</v>
      </c>
      <c r="Z67" s="1021">
        <f>(VLOOKUP(YEAR($A67),'NY East Load Projections'!$A$4:$EO$14,((MONTH($A67)-1)*12)+VLOOKUP(Z$4,$DE$6:$DF$17,2)+1))*(VLOOKUP($A67,CURVES!$D$9:$K$261,2))*(INDEX(DailyScalarsTable,Z$5/100,MONTH($A67)))*$B67</f>
        <v>-87757.448579770789</v>
      </c>
      <c r="AA67" s="1021">
        <f>(VLOOKUP(YEAR($A67),'NY East Load Projections'!$A$4:$EO$14,((MONTH($A67)-1)*12)+VLOOKUP(AA$4,$DE$6:$DF$17,2)+1))*(VLOOKUP($A67,CURVES!$D$9:$K$261,2))*(INDEX(DailyScalarsTable,AA$5/100,MONTH($A67)))*$B67</f>
        <v>-83999.106151364846</v>
      </c>
      <c r="AB67" s="1021">
        <f>(VLOOKUP(YEAR($A67),'NY East Load Projections'!$A$4:$EO$14,((MONTH($A67)-1)*12)+VLOOKUP(AB$4,$DE$6:$DF$17,2)+1))*(VLOOKUP($A67,CURVES!$D$9:$K$261,2))*(INDEX(DailyScalarsTable,AB$5/100,MONTH($A67)))*$B67</f>
        <v>-70967.233337180805</v>
      </c>
      <c r="AC67" s="1021">
        <f>(VLOOKUP(YEAR($A67),'NY East Load Projections'!$A$4:$EO$14,((MONTH($A67)-1)*12)+VLOOKUP(AC$4,$DE$6:$DF$17,2)+1))*(VLOOKUP($A67,CURVES!$D$9:$K$261,2))*(INDEX(DailyScalarsTable,AC$5/100,MONTH($A67)))*$B67</f>
        <v>-50473.540019060776</v>
      </c>
      <c r="AD67" s="1021">
        <f>(VLOOKUP(YEAR($A67),'NY East Load Projections'!$A$4:$EO$14,((MONTH($A67)-1)*12)+VLOOKUP(AD$4,$DE$6:$DF$17,2)+1))*(VLOOKUP($A67,CURVES!$D$9:$K$261,2))*(INDEX(DailyScalarsTable,AD$5/100,MONTH($A67)))*$B67</f>
        <v>-41318.874817794727</v>
      </c>
      <c r="AE67" s="1021">
        <f>(VLOOKUP(YEAR($A67),'NY East Load Projections'!$A$4:$EO$14,((MONTH($A67)-1)*12)+VLOOKUP(AE$4,$DE$6:$DF$17,2)+1))*(VLOOKUP($A67,CURVES!$D$9:$K$261,6))*(INDEX(DailyScalarsTable,AE$5/100,MONTH($A67)))*$B67</f>
        <v>-36008.975842109954</v>
      </c>
      <c r="AF67" s="1021"/>
      <c r="AG67" s="1021">
        <f>(VLOOKUP(YEAR($A67),'NY East Load Projections'!$A$4:$EO$14,((MONTH($A67)-1)*12)+VLOOKUP(AG$4,$DE$6:$DF$17,2)+1))*(VLOOKUP($A67,CURVES!$D$9:$T$261,6))*(INDEX(DailyScalarsTable,AG$5/100,MONTH($A67)))*$C67</f>
        <v>-6431.0848892376853</v>
      </c>
      <c r="AH67" s="1021">
        <f>(VLOOKUP(YEAR($A67),'NY East Load Projections'!$A$4:$EO$14,((MONTH($A67)-1)*12)+VLOOKUP(AH$4,$DE$6:$DF$17,2)+1))*(VLOOKUP($A67,CURVES!$D$9:$T$261,6))*(INDEX(DailyScalarsTable,AH$5/100,MONTH($A67)))*$C67</f>
        <v>-6305.7894384834872</v>
      </c>
      <c r="AI67" s="1021">
        <f>(VLOOKUP(YEAR($A67),'NY East Load Projections'!$A$4:$EO$14,((MONTH($A67)-1)*12)+VLOOKUP(AI$4,$DE$6:$DF$17,2)+1))*(VLOOKUP($A67,CURVES!$D$9:$T$261,6))*(INDEX(DailyScalarsTable,AI$5/100,MONTH($A67)))*$C67</f>
        <v>-5778.3137625220643</v>
      </c>
      <c r="AJ67" s="1021">
        <f>(VLOOKUP(YEAR($A67),'NY East Load Projections'!$A$4:$EO$14,((MONTH($A67)-1)*12)+VLOOKUP(AJ$4,$DE$6:$DF$17,2)+1))*(VLOOKUP($A67,CURVES!$D$9:$T$261,6))*(INDEX(DailyScalarsTable,AJ$5/100,MONTH($A67)))*$C67</f>
        <v>-5774.8201044474372</v>
      </c>
      <c r="AK67" s="1021">
        <f>(VLOOKUP(YEAR($A67),'NY East Load Projections'!$A$4:$EO$14,((MONTH($A67)-1)*12)+VLOOKUP(AK$4,$DE$6:$DF$17,2)+1))*(VLOOKUP($A67,CURVES!$D$9:$T$261,6))*(INDEX(DailyScalarsTable,AK$5/100,MONTH($A67)))*$C67</f>
        <v>-6026.992197036926</v>
      </c>
      <c r="AL67" s="1021">
        <f>(VLOOKUP(YEAR($A67),'NY East Load Projections'!$A$4:$EO$14,((MONTH($A67)-1)*12)+VLOOKUP(AL$4,$DE$6:$DF$17,2)+1))*(VLOOKUP($A67,CURVES!$D$9:$T$261,6))*(INDEX(DailyScalarsTable,AL$5/100,MONTH($A67)))*$C67</f>
        <v>-6432.1142951011916</v>
      </c>
      <c r="AM67" s="1021">
        <f>(VLOOKUP(YEAR($A67),'NY East Load Projections'!$A$4:$EO$14,((MONTH($A67)-1)*12)+VLOOKUP(AM$4,$DE$6:$DF$17,2)+1))*(VLOOKUP($A67,CURVES!$D$9:$T$261,6))*(INDEX(DailyScalarsTable,AM$5/100,MONTH($A67)))*$C67</f>
        <v>-12317.420556259754</v>
      </c>
      <c r="AN67" s="1021">
        <f>(VLOOKUP(YEAR($A67),'NY East Load Projections'!$A$4:$EO$14,((MONTH($A67)-1)*12)+VLOOKUP(AN$4,$DE$6:$DF$17,2)+1))*(VLOOKUP($A67,SatSunCurve,2))*(INDEX(DailyScalarsTable,AN$5/100,MONTH($A67)))*$C67</f>
        <v>-11158.030747990681</v>
      </c>
      <c r="AO67" s="1021">
        <f>(VLOOKUP(YEAR($A67),'NY East Load Projections'!$A$4:$EO$14,((MONTH($A67)-1)*12)+VLOOKUP(AO$4,$DE$6:$DF$17,2)+1))*(VLOOKUP($A67,SatSunCurve,2))*(INDEX(DailyScalarsTable,AO$5/100,MONTH($A67)))*$C67</f>
        <v>-12533.774115984486</v>
      </c>
      <c r="AP67" s="1021">
        <f>(VLOOKUP(YEAR($A67),'NY East Load Projections'!$A$4:$EO$14,((MONTH($A67)-1)*12)+VLOOKUP(AP$4,$DE$6:$DF$17,2)+1))*(VLOOKUP($A67,SatSunCurve,2))*(INDEX(DailyScalarsTable,AP$5/100,MONTH($A67)))*$C67</f>
        <v>-12495.62634203267</v>
      </c>
      <c r="AQ67" s="1021">
        <f>(VLOOKUP(YEAR($A67),'NY East Load Projections'!$A$4:$EO$14,((MONTH($A67)-1)*12)+VLOOKUP(AQ$4,$DE$6:$DF$17,2)+1))*(VLOOKUP($A67,SatSunCurve,2))*(INDEX(DailyScalarsTable,AQ$5/100,MONTH($A67)))*$C67</f>
        <v>-12277.561273032859</v>
      </c>
      <c r="AR67" s="1021">
        <f>(VLOOKUP(YEAR($A67),'NY East Load Projections'!$A$4:$EO$14,((MONTH($A67)-1)*12)+VLOOKUP(AR$4,$DE$6:$DF$17,2)+1))*(VLOOKUP($A67,SatSunCurve,2))*(INDEX(DailyScalarsTable,AR$5/100,MONTH($A67)))*$C67</f>
        <v>-9197.0550137009723</v>
      </c>
      <c r="AS67" s="1021">
        <f>(VLOOKUP(YEAR($A67),'NY East Load Projections'!$A$4:$EO$14,((MONTH($A67)-1)*12)+VLOOKUP(AS$4,$DE$6:$DF$17,2)+1))*(VLOOKUP($A67,SatSunCurve,2))*(INDEX(DailyScalarsTable,AS$5/100,MONTH($A67)))*$C67</f>
        <v>-8946.2891804271458</v>
      </c>
      <c r="AT67" s="1021">
        <f>(VLOOKUP(YEAR($A67),'NY East Load Projections'!$A$4:$EO$14,((MONTH($A67)-1)*12)+VLOOKUP(AT$4,$DE$6:$DF$17,2)+1))*(VLOOKUP($A67,SatSunCurve,2))*(INDEX(DailyScalarsTable,AT$5/100,MONTH($A67)))*$C67</f>
        <v>-8657.4291179800366</v>
      </c>
      <c r="AU67" s="1021">
        <f>(VLOOKUP(YEAR($A67),'NY East Load Projections'!$A$4:$EO$14,((MONTH($A67)-1)*12)+VLOOKUP(AU$4,$DE$6:$DF$17,2)+1))*(VLOOKUP($A67,SatSunCurve,2))*(INDEX(DailyScalarsTable,AU$5/100,MONTH($A67)))*$C67</f>
        <v>-8216.8128633052802</v>
      </c>
      <c r="AV67" s="1021">
        <f>(VLOOKUP(YEAR($A67),'NY East Load Projections'!$A$4:$EO$14,((MONTH($A67)-1)*12)+VLOOKUP(AV$4,$DE$6:$DF$17,2)+1))*(VLOOKUP($A67,SatSunCurve,2))*(INDEX(DailyScalarsTable,AV$5/100,MONTH($A67)))*$C67</f>
        <v>-8051.4509434986003</v>
      </c>
      <c r="AW67" s="1021">
        <f>(VLOOKUP(YEAR($A67),'NY East Load Projections'!$A$4:$EO$14,((MONTH($A67)-1)*12)+VLOOKUP(AW$4,$DE$6:$DF$17,2)+1))*(VLOOKUP($A67,SatSunCurve,2))*(INDEX(DailyScalarsTable,AW$5/100,MONTH($A67)))*$C67</f>
        <v>-8387.8294003473547</v>
      </c>
      <c r="AX67" s="1021">
        <f>(VLOOKUP(YEAR($A67),'NY East Load Projections'!$A$4:$EO$14,((MONTH($A67)-1)*12)+VLOOKUP(AX$4,$DE$6:$DF$17,2)+1))*(VLOOKUP($A67,SatSunCurve,2))*(INDEX(DailyScalarsTable,AX$5/100,MONTH($A67)))*$C67</f>
        <v>-11671.300206629905</v>
      </c>
      <c r="AY67" s="1021">
        <f>(VLOOKUP(YEAR($A67),'NY East Load Projections'!$A$4:$EO$14,((MONTH($A67)-1)*12)+VLOOKUP(AY$4,$DE$6:$DF$17,2)+1))*(VLOOKUP($A67,SatSunCurve,2))*(INDEX(DailyScalarsTable,AY$5/100,MONTH($A67)))*$C67</f>
        <v>-12806.517437845392</v>
      </c>
      <c r="AZ67" s="1021">
        <f>(VLOOKUP(YEAR($A67),'NY East Load Projections'!$A$4:$EO$14,((MONTH($A67)-1)*12)+VLOOKUP(AZ$4,$DE$6:$DF$17,2)+1))*(VLOOKUP($A67,SatSunCurve,2))*(INDEX(DailyScalarsTable,AZ$5/100,MONTH($A67)))*$C67</f>
        <v>-12258.059402365656</v>
      </c>
      <c r="BA67" s="1021">
        <f>(VLOOKUP(YEAR($A67),'NY East Load Projections'!$A$4:$EO$14,((MONTH($A67)-1)*12)+VLOOKUP(BA$4,$DE$6:$DF$17,2)+1))*(VLOOKUP($A67,SatSunCurve,2))*(INDEX(DailyScalarsTable,BA$5/100,MONTH($A67)))*$C67</f>
        <v>-11163.90189081702</v>
      </c>
      <c r="BB67" s="1021">
        <f>(VLOOKUP(YEAR($A67),'NY East Load Projections'!$A$4:$EO$14,((MONTH($A67)-1)*12)+VLOOKUP(BB$4,$DE$6:$DF$17,2)+1))*(VLOOKUP($A67,SatSunCurve,2))*(INDEX(DailyScalarsTable,BB$5/100,MONTH($A67)))*$C67</f>
        <v>-7940.0255914979371</v>
      </c>
      <c r="BC67" s="1021">
        <f>(VLOOKUP(YEAR($A67),'NY East Load Projections'!$A$4:$EO$14,((MONTH($A67)-1)*12)+VLOOKUP(BC$4,$DE$6:$DF$17,2)+1))*(VLOOKUP($A67,SatSunCurve,2))*(INDEX(DailyScalarsTable,BC$5/100,MONTH($A67)))*$C67</f>
        <v>-6499.8992212810253</v>
      </c>
      <c r="BD67" s="1021">
        <f>(VLOOKUP(YEAR($A67),'NY East Load Projections'!$A$4:$EO$14,((MONTH($A67)-1)*12)+VLOOKUP(BD$4,$DE$6:$DF$17,2)+1))*(VLOOKUP($A67,CURVES!$D$9:$T$261,6))*(INDEX(DailyScalarsTable,BD$5/100,MONTH($A67)))*$C67</f>
        <v>-7385.1224670417696</v>
      </c>
      <c r="BE67" s="1021"/>
      <c r="BF67" s="1021">
        <f>(VLOOKUP(YEAR($A67),'NY East Load Projections'!$A$4:$EO$14,((MONTH($A67)-1)*12)+VLOOKUP(BF$4,$DE$6:$DF$17,2)+1))*(VLOOKUP($A67,CURVES!$D$9:$T$261,6))*(INDEX(DailyScalarsTable,BF$5/100,MONTH($A67)))*$D67</f>
        <v>-6431.0848892376853</v>
      </c>
      <c r="BG67" s="1021">
        <f>(VLOOKUP(YEAR($A67),'NY East Load Projections'!$A$4:$EO$14,((MONTH($A67)-1)*12)+VLOOKUP(BG$4,$DE$6:$DF$17,2)+1))*(VLOOKUP($A67,CURVES!$D$9:$T$261,6))*(INDEX(DailyScalarsTable,BG$5/100,MONTH($A67)))*$D67</f>
        <v>-6305.7894384834872</v>
      </c>
      <c r="BH67" s="1021">
        <f>(VLOOKUP(YEAR($A67),'NY East Load Projections'!$A$4:$EO$14,((MONTH($A67)-1)*12)+VLOOKUP(BH$4,$DE$6:$DF$17,2)+1))*(VLOOKUP($A67,CURVES!$D$9:$T$261,6))*(INDEX(DailyScalarsTable,BH$5/100,MONTH($A67)))*$D67</f>
        <v>-5778.3137625220643</v>
      </c>
      <c r="BI67" s="1021">
        <f>(VLOOKUP(YEAR($A67),'NY East Load Projections'!$A$4:$EO$14,((MONTH($A67)-1)*12)+VLOOKUP(BI$4,$DE$6:$DF$17,2)+1))*(VLOOKUP($A67,CURVES!$D$9:$T$261,6))*(INDEX(DailyScalarsTable,BI$5/100,MONTH($A67)))*$D67</f>
        <v>-5774.8201044474372</v>
      </c>
      <c r="BJ67" s="1021">
        <f>(VLOOKUP(YEAR($A67),'NY East Load Projections'!$A$4:$EO$14,((MONTH($A67)-1)*12)+VLOOKUP(BJ$4,$DE$6:$DF$17,2)+1))*(VLOOKUP($A67,CURVES!$D$9:$T$261,6))*(INDEX(DailyScalarsTable,BJ$5/100,MONTH($A67)))*$D67</f>
        <v>-6026.992197036926</v>
      </c>
      <c r="BK67" s="1021">
        <f>(VLOOKUP(YEAR($A67),'NY East Load Projections'!$A$4:$EO$14,((MONTH($A67)-1)*12)+VLOOKUP(BK$4,$DE$6:$DF$17,2)+1))*(VLOOKUP($A67,CURVES!$D$9:$T$261,6))*(INDEX(DailyScalarsTable,BK$5/100,MONTH($A67)))*$D67</f>
        <v>-6432.1142951011916</v>
      </c>
      <c r="BL67" s="1021">
        <f>(VLOOKUP(YEAR($A67),'NY East Load Projections'!$A$4:$EO$14,((MONTH($A67)-1)*12)+VLOOKUP(BL$4,$DE$6:$DF$17,2)+1))*(VLOOKUP($A67,CURVES!$D$9:$T$261,6))*(INDEX(DailyScalarsTable,BL$5/100,MONTH($A67)))*$D67</f>
        <v>-12317.420556259754</v>
      </c>
      <c r="BM67" s="1021">
        <f>(VLOOKUP(YEAR($A67),'NY East Load Projections'!$A$4:$EO$14,((MONTH($A67)-1)*12)+VLOOKUP(BM$4,$DE$6:$DF$17,2)+1))*(VLOOKUP($A67,SatSunCurve,6))*(INDEX(DailyScalarsTable,BM$5/100,MONTH($A67)))*$D67</f>
        <v>-9134.1528144314489</v>
      </c>
      <c r="BN67" s="1021">
        <f>(VLOOKUP(YEAR($A67),'NY East Load Projections'!$A$4:$EO$14,((MONTH($A67)-1)*12)+VLOOKUP(BN$4,$DE$6:$DF$17,2)+1))*(VLOOKUP($A67,SatSunCurve,6))*(INDEX(DailyScalarsTable,BN$5/100,MONTH($A67)))*$D67</f>
        <v>-10260.359619244111</v>
      </c>
      <c r="BO67" s="1021">
        <f>(VLOOKUP(YEAR($A67),'NY East Load Projections'!$A$4:$EO$14,((MONTH($A67)-1)*12)+VLOOKUP(BO$4,$DE$6:$DF$17,2)+1))*(VLOOKUP($A67,SatSunCurve,6))*(INDEX(DailyScalarsTable,BO$5/100,MONTH($A67)))*$D67</f>
        <v>-10229.131205855036</v>
      </c>
      <c r="BP67" s="1021">
        <f>(VLOOKUP(YEAR($A67),'NY East Load Projections'!$A$4:$EO$14,((MONTH($A67)-1)*12)+VLOOKUP(BP$4,$DE$6:$DF$17,2)+1))*(VLOOKUP($A67,SatSunCurve,6))*(INDEX(DailyScalarsTable,BP$5/100,MONTH($A67)))*$D67</f>
        <v>-10050.619449728849</v>
      </c>
      <c r="BQ67" s="1021">
        <f>(VLOOKUP(YEAR($A67),'NY East Load Projections'!$A$4:$EO$14,((MONTH($A67)-1)*12)+VLOOKUP(BQ$4,$DE$6:$DF$17,2)+1))*(VLOOKUP($A67,SatSunCurve,6))*(INDEX(DailyScalarsTable,BQ$5/100,MONTH($A67)))*$D67</f>
        <v>-7528.8648898019474</v>
      </c>
      <c r="BR67" s="1021">
        <f>(VLOOKUP(YEAR($A67),'NY East Load Projections'!$A$4:$EO$14,((MONTH($A67)-1)*12)+VLOOKUP(BR$4,$DE$6:$DF$17,2)+1))*(VLOOKUP($A67,SatSunCurve,6))*(INDEX(DailyScalarsTable,BR$5/100,MONTH($A67)))*$D67</f>
        <v>-7323.5837345968639</v>
      </c>
      <c r="BS67" s="1021">
        <f>(VLOOKUP(YEAR($A67),'NY East Load Projections'!$A$4:$EO$14,((MONTH($A67)-1)*12)+VLOOKUP(BS$4,$DE$6:$DF$17,2)+1))*(VLOOKUP($A67,SatSunCurve,6))*(INDEX(DailyScalarsTable,BS$5/100,MONTH($A67)))*$D67</f>
        <v>-7087.1179986646302</v>
      </c>
      <c r="BT67" s="1021">
        <f>(VLOOKUP(YEAR($A67),'NY East Load Projections'!$A$4:$EO$14,((MONTH($A67)-1)*12)+VLOOKUP(BT$4,$DE$6:$DF$17,2)+1))*(VLOOKUP($A67,SatSunCurve,6))*(INDEX(DailyScalarsTable,BT$5/100,MONTH($A67)))*$D67</f>
        <v>-6726.422075376694</v>
      </c>
      <c r="BU67" s="1021">
        <f>(VLOOKUP(YEAR($A67),'NY East Load Projections'!$A$4:$EO$14,((MONTH($A67)-1)*12)+VLOOKUP(BU$4,$DE$6:$DF$17,2)+1))*(VLOOKUP($A67,SatSunCurve,6))*(INDEX(DailyScalarsTable,BU$5/100,MONTH($A67)))*$D67</f>
        <v>-6591.0540091546181</v>
      </c>
      <c r="BV67" s="1021">
        <f>(VLOOKUP(YEAR($A67),'NY East Load Projections'!$A$4:$EO$14,((MONTH($A67)-1)*12)+VLOOKUP(BV$4,$DE$6:$DF$17,2)+1))*(VLOOKUP($A67,SatSunCurve,6))*(INDEX(DailyScalarsTable,BV$5/100,MONTH($A67)))*$D67</f>
        <v>-6866.4191069692542</v>
      </c>
      <c r="BW67" s="1021">
        <f>(VLOOKUP(YEAR($A67),'NY East Load Projections'!$A$4:$EO$14,((MONTH($A67)-1)*12)+VLOOKUP(BW$4,$DE$6:$DF$17,2)+1))*(VLOOKUP($A67,SatSunCurve,6))*(INDEX(DailyScalarsTable,BW$5/100,MONTH($A67)))*$D67</f>
        <v>-9554.323880104077</v>
      </c>
      <c r="BX67" s="1021">
        <f>(VLOOKUP(YEAR($A67),'NY East Load Projections'!$A$4:$EO$14,((MONTH($A67)-1)*12)+VLOOKUP(BX$4,$DE$6:$DF$17,2)+1))*(VLOOKUP($A67,SatSunCurve,6))*(INDEX(DailyScalarsTable,BX$5/100,MONTH($A67)))*$D67</f>
        <v>-10483.631918564653</v>
      </c>
      <c r="BY67" s="1021">
        <f>(VLOOKUP(YEAR($A67),'NY East Load Projections'!$A$4:$EO$14,((MONTH($A67)-1)*12)+VLOOKUP(BY$4,$DE$6:$DF$17,2)+1))*(VLOOKUP($A67,SatSunCurve,6))*(INDEX(DailyScalarsTable,BY$5/100,MONTH($A67)))*$D67</f>
        <v>-10034.654888341205</v>
      </c>
      <c r="BZ67" s="1021">
        <f>(VLOOKUP(YEAR($A67),'NY East Load Projections'!$A$4:$EO$14,((MONTH($A67)-1)*12)+VLOOKUP(BZ$4,$DE$6:$DF$17,2)+1))*(VLOOKUP($A67,SatSunCurve,6))*(INDEX(DailyScalarsTable,BZ$5/100,MONTH($A67)))*$D67</f>
        <v>-9138.9590313152657</v>
      </c>
      <c r="CA67" s="1021">
        <f>(VLOOKUP(YEAR($A67),'NY East Load Projections'!$A$4:$EO$14,((MONTH($A67)-1)*12)+VLOOKUP(CA$4,$DE$6:$DF$17,2)+1))*(VLOOKUP($A67,SatSunCurve,6))*(INDEX(DailyScalarsTable,CA$5/100,MONTH($A67)))*$D67</f>
        <v>-6499.839330188157</v>
      </c>
      <c r="CB67" s="1021">
        <f>(VLOOKUP(YEAR($A67),'NY East Load Projections'!$A$4:$EO$14,((MONTH($A67)-1)*12)+VLOOKUP(CB$4,$DE$6:$DF$17,2)+1))*(VLOOKUP($A67,SatSunCurve,6))*(INDEX(DailyScalarsTable,CB$5/100,MONTH($A67)))*$D67</f>
        <v>-5320.9275101053381</v>
      </c>
      <c r="CC67" s="1021">
        <f>(VLOOKUP(YEAR($A67),'NY East Load Projections'!$A$4:$EO$14,((MONTH($A67)-1)*12)+VLOOKUP(CC$4,$DE$6:$DF$17,2)+1))*(VLOOKUP($A67,CURVES!$D$9:$T$261,6))*(INDEX(DailyScalarsTable,CC$5/100,MONTH($A67)))*$D67</f>
        <v>-7385.1224670417696</v>
      </c>
      <c r="CE67" s="1021">
        <f>(VLOOKUP(YEAR($A67),'NY East Load Projections'!$A$4:$EO$14,((MONTH($A67)-1)*12)+VLOOKUP(CE$4,$DE$6:$DF$17,2)+1))*(VLOOKUP($A67,CURVES!$D$9:$T$261,6))*(INDEX(DailyScalarsTable,CE$5/100,MONTH($A67)))*$E67</f>
        <v>0</v>
      </c>
      <c r="CF67" s="1021">
        <f>(VLOOKUP(YEAR($A67),'NY East Load Projections'!$A$4:$EO$14,((MONTH($A67)-1)*12)+VLOOKUP(CF$4,$DE$6:$DF$17,2)+1))*(VLOOKUP($A67,CURVES!$D$9:$T$261,6))*(INDEX(DailyScalarsTable,CF$5/100,MONTH($A67)))*$E67</f>
        <v>0</v>
      </c>
      <c r="CG67" s="1021">
        <f>(VLOOKUP(YEAR($A67),'NY East Load Projections'!$A$4:$EO$14,((MONTH($A67)-1)*12)+VLOOKUP(CG$4,$DE$6:$DF$17,2)+1))*(VLOOKUP($A67,CURVES!$D$9:$T$261,6))*(INDEX(DailyScalarsTable,CG$5/100,MONTH($A67)))*$E67</f>
        <v>0</v>
      </c>
      <c r="CH67" s="1021">
        <f>(VLOOKUP(YEAR($A67),'NY East Load Projections'!$A$4:$EO$14,((MONTH($A67)-1)*12)+VLOOKUP(CH$4,$DE$6:$DF$17,2)+1))*(VLOOKUP($A67,CURVES!$D$9:$T$261,6))*(INDEX(DailyScalarsTable,CH$5/100,MONTH($A67)))*$E67</f>
        <v>0</v>
      </c>
      <c r="CI67" s="1021">
        <f>(VLOOKUP(YEAR($A67),'NY East Load Projections'!$A$4:$EO$14,((MONTH($A67)-1)*12)+VLOOKUP(CI$4,$DE$6:$DF$17,2)+1))*(VLOOKUP($A67,CURVES!$D$9:$T$261,6))*(INDEX(DailyScalarsTable,CI$5/100,MONTH($A67)))*$E67</f>
        <v>0</v>
      </c>
      <c r="CJ67" s="1021">
        <f>(VLOOKUP(YEAR($A67),'NY East Load Projections'!$A$4:$EO$14,((MONTH($A67)-1)*12)+VLOOKUP(CJ$4,$DE$6:$DF$17,2)+1))*(VLOOKUP($A67,CURVES!$D$9:$T$261,6))*(INDEX(DailyScalarsTable,CJ$5/100,MONTH($A67)))*$E67</f>
        <v>0</v>
      </c>
      <c r="CK67" s="1021">
        <f>(VLOOKUP(YEAR($A67),'NY East Load Projections'!$A$4:$EO$14,((MONTH($A67)-1)*12)+VLOOKUP(CK$4,$DE$6:$DF$17,2)+1))*(VLOOKUP($A67,CURVES!$D$9:$T$261,6))*(INDEX(DailyScalarsTable,CK$5/100,MONTH($A67)))*$E67</f>
        <v>0</v>
      </c>
      <c r="CL67" s="1021">
        <f>(VLOOKUP(YEAR($A67),'NY East Load Projections'!$A$4:$EO$14,((MONTH($A67)-1)*12)+VLOOKUP(CL$4,$DE$6:$DF$17,2)+1))*(VLOOKUP($A67,SatSunCurve,6))*(INDEX(DailyScalarsTable,CL$5/100,MONTH($A67)))*$E67</f>
        <v>0</v>
      </c>
      <c r="CM67" s="1021">
        <f>(VLOOKUP(YEAR($A67),'NY East Load Projections'!$A$4:$EO$14,((MONTH($A67)-1)*12)+VLOOKUP(CM$4,$DE$6:$DF$17,2)+1))*(VLOOKUP($A67,SatSunCurve,6))*(INDEX(DailyScalarsTable,CM$5/100,MONTH($A67)))*$E67</f>
        <v>0</v>
      </c>
      <c r="CN67" s="1021">
        <f>(VLOOKUP(YEAR($A67),'NY East Load Projections'!$A$4:$EO$14,((MONTH($A67)-1)*12)+VLOOKUP(CN$4,$DE$6:$DF$17,2)+1))*(VLOOKUP($A67,SatSunCurve,6))*(INDEX(DailyScalarsTable,CN$5/100,MONTH($A67)))*$E67</f>
        <v>0</v>
      </c>
      <c r="CO67" s="1021">
        <f>(VLOOKUP(YEAR($A67),'NY East Load Projections'!$A$4:$EO$14,((MONTH($A67)-1)*12)+VLOOKUP(CO$4,$DE$6:$DF$17,2)+1))*(VLOOKUP($A67,SatSunCurve,6))*(INDEX(DailyScalarsTable,CO$5/100,MONTH($A67)))*$E67</f>
        <v>0</v>
      </c>
      <c r="CP67" s="1021">
        <f>(VLOOKUP(YEAR($A67),'NY East Load Projections'!$A$4:$EO$14,((MONTH($A67)-1)*12)+VLOOKUP(CP$4,$DE$6:$DF$17,2)+1))*(VLOOKUP($A67,SatSunCurve,6))*(INDEX(DailyScalarsTable,CP$5/100,MONTH($A67)))*$E67</f>
        <v>0</v>
      </c>
      <c r="CQ67" s="1021">
        <f>(VLOOKUP(YEAR($A67),'NY East Load Projections'!$A$4:$EO$14,((MONTH($A67)-1)*12)+VLOOKUP(CQ$4,$DE$6:$DF$17,2)+1))*(VLOOKUP($A67,SatSunCurve,6))*(INDEX(DailyScalarsTable,CQ$5/100,MONTH($A67)))*$E67</f>
        <v>0</v>
      </c>
      <c r="CR67" s="1021">
        <f>(VLOOKUP(YEAR($A67),'NY East Load Projections'!$A$4:$EO$14,((MONTH($A67)-1)*12)+VLOOKUP(CR$4,$DE$6:$DF$17,2)+1))*(VLOOKUP($A67,SatSunCurve,6))*(INDEX(DailyScalarsTable,CR$5/100,MONTH($A67)))*$E67</f>
        <v>0</v>
      </c>
      <c r="CS67" s="1021">
        <f>(VLOOKUP(YEAR($A67),'NY East Load Projections'!$A$4:$EO$14,((MONTH($A67)-1)*12)+VLOOKUP(CS$4,$DE$6:$DF$17,2)+1))*(VLOOKUP($A67,SatSunCurve,6))*(INDEX(DailyScalarsTable,CS$5/100,MONTH($A67)))*$E67</f>
        <v>0</v>
      </c>
      <c r="CT67" s="1021">
        <f>(VLOOKUP(YEAR($A67),'NY East Load Projections'!$A$4:$EO$14,((MONTH($A67)-1)*12)+VLOOKUP(CT$4,$DE$6:$DF$17,2)+1))*(VLOOKUP($A67,SatSunCurve,6))*(INDEX(DailyScalarsTable,CT$5/100,MONTH($A67)))*$E67</f>
        <v>0</v>
      </c>
      <c r="CU67" s="1021">
        <f>(VLOOKUP(YEAR($A67),'NY East Load Projections'!$A$4:$EO$14,((MONTH($A67)-1)*12)+VLOOKUP(CU$4,$DE$6:$DF$17,2)+1))*(VLOOKUP($A67,SatSunCurve,6))*(INDEX(DailyScalarsTable,CU$5/100,MONTH($A67)))*$E67</f>
        <v>0</v>
      </c>
      <c r="CV67" s="1021">
        <f>(VLOOKUP(YEAR($A67),'NY East Load Projections'!$A$4:$EO$14,((MONTH($A67)-1)*12)+VLOOKUP(CV$4,$DE$6:$DF$17,2)+1))*(VLOOKUP($A67,SatSunCurve,6))*(INDEX(DailyScalarsTable,CV$5/100,MONTH($A67)))*$E67</f>
        <v>0</v>
      </c>
      <c r="CW67" s="1021">
        <f>(VLOOKUP(YEAR($A67),'NY East Load Projections'!$A$4:$EO$14,((MONTH($A67)-1)*12)+VLOOKUP(CW$4,$DE$6:$DF$17,2)+1))*(VLOOKUP($A67,SatSunCurve,6))*(INDEX(DailyScalarsTable,CW$5/100,MONTH($A67)))*$E67</f>
        <v>0</v>
      </c>
      <c r="CX67" s="1021">
        <f>(VLOOKUP(YEAR($A67),'NY East Load Projections'!$A$4:$EO$14,((MONTH($A67)-1)*12)+VLOOKUP(CX$4,$DE$6:$DF$17,2)+1))*(VLOOKUP($A67,SatSunCurve,6))*(INDEX(DailyScalarsTable,CX$5/100,MONTH($A67)))*$E67</f>
        <v>0</v>
      </c>
      <c r="CY67" s="1021">
        <f>(VLOOKUP(YEAR($A67),'NY East Load Projections'!$A$4:$EO$14,((MONTH($A67)-1)*12)+VLOOKUP(CY$4,$DE$6:$DF$17,2)+1))*(VLOOKUP($A67,SatSunCurve,6))*(INDEX(DailyScalarsTable,CY$5/100,MONTH($A67)))*$E67</f>
        <v>0</v>
      </c>
      <c r="CZ67" s="1021">
        <f>(VLOOKUP(YEAR($A67),'NY East Load Projections'!$A$4:$EO$14,((MONTH($A67)-1)*12)+VLOOKUP(CZ$4,$DE$6:$DF$17,2)+1))*(VLOOKUP($A67,SatSunCurve,6))*(INDEX(DailyScalarsTable,CZ$5/100,MONTH($A67)))*$E67</f>
        <v>0</v>
      </c>
      <c r="DA67" s="1021">
        <f>(VLOOKUP(YEAR($A67),'NY East Load Projections'!$A$4:$EO$14,((MONTH($A67)-1)*12)+VLOOKUP(DA$4,$DE$6:$DF$17,2)+1))*(VLOOKUP($A67,SatSunCurve,6))*(INDEX(DailyScalarsTable,DA$5/100,MONTH($A67)))*$E67</f>
        <v>0</v>
      </c>
      <c r="DB67" s="1021">
        <f>(VLOOKUP(YEAR($A67),'NY East Load Projections'!$A$4:$EO$14,((MONTH($A67)-1)*12)+VLOOKUP(DB$4,$DE$6:$DF$17,2)+1))*(VLOOKUP($A67,CURVES!$D$9:$T$261,6))*(INDEX(DailyScalarsTable,DB$5/100,MONTH($A67)))*$E67</f>
        <v>0</v>
      </c>
      <c r="DH67" s="1021">
        <f t="shared" si="0"/>
        <v>-1788484.6161642238</v>
      </c>
      <c r="DI67">
        <f ca="1">CALC!J87</f>
        <v>0.64684058945095924</v>
      </c>
      <c r="DJ67" s="1029">
        <f t="shared" ca="1" si="1"/>
        <v>-1156864.4433436391</v>
      </c>
    </row>
    <row r="68" spans="1:114" x14ac:dyDescent="0.25">
      <c r="A68" s="244">
        <v>38777</v>
      </c>
      <c r="B68" s="13">
        <v>23</v>
      </c>
      <c r="C68" s="210">
        <v>4</v>
      </c>
      <c r="D68" s="210">
        <v>4</v>
      </c>
      <c r="E68" s="210">
        <v>0</v>
      </c>
      <c r="F68" s="13">
        <v>31</v>
      </c>
      <c r="H68" s="1021">
        <f>(VLOOKUP(YEAR($A68),'NY East Load Projections'!$A$4:$EO$14,((MONTH($A68)-1)*12)+VLOOKUP(H$4,$DE$6:$DF$17,2)+1))*(VLOOKUP($A68,CURVES!$D$9:$K$261,6))*(INDEX(DailyScalarsTable,H$5/100,MONTH($A68)))*$B68</f>
        <v>-30532.698540256923</v>
      </c>
      <c r="I68" s="1021">
        <f>(VLOOKUP(YEAR($A68),'NY East Load Projections'!$A$4:$EO$14,((MONTH($A68)-1)*12)+VLOOKUP(I$4,$DE$6:$DF$17,2)+1))*(VLOOKUP($A68,CURVES!$D$9:$K$261,6))*(INDEX(DailyScalarsTable,I$5/100,MONTH($A68)))*$B68</f>
        <v>-28870.020786161047</v>
      </c>
      <c r="J68" s="1021">
        <f>(VLOOKUP(YEAR($A68),'NY East Load Projections'!$A$4:$EO$14,((MONTH($A68)-1)*12)+VLOOKUP(J$4,$DE$6:$DF$17,2)+1))*(VLOOKUP($A68,CURVES!$D$9:$K$261,6))*(INDEX(DailyScalarsTable,J$5/100,MONTH($A68)))*$B68</f>
        <v>-27639.624481897794</v>
      </c>
      <c r="K68" s="1021">
        <f>(VLOOKUP(YEAR($A68),'NY East Load Projections'!$A$4:$EO$14,((MONTH($A68)-1)*12)+VLOOKUP(K$4,$DE$6:$DF$17,2)+1))*(VLOOKUP($A68,CURVES!$D$9:$K$261,6))*(INDEX(DailyScalarsTable,K$5/100,MONTH($A68)))*$B68</f>
        <v>-27656.974804820216</v>
      </c>
      <c r="L68" s="1021">
        <f>(VLOOKUP(YEAR($A68),'NY East Load Projections'!$A$4:$EO$14,((MONTH($A68)-1)*12)+VLOOKUP(L$4,$DE$6:$DF$17,2)+1))*(VLOOKUP($A68,CURVES!$D$9:$K$261,6))*(INDEX(DailyScalarsTable,L$5/100,MONTH($A68)))*$B68</f>
        <v>-32930.128074889675</v>
      </c>
      <c r="M68" s="1021">
        <f>(VLOOKUP(YEAR($A68),'NY East Load Projections'!$A$4:$EO$14,((MONTH($A68)-1)*12)+VLOOKUP(M$4,$DE$6:$DF$17,2)+1))*(VLOOKUP($A68,CURVES!$D$9:$K$261,6))*(INDEX(DailyScalarsTable,M$5/100,MONTH($A68)))*$B68</f>
        <v>-38224.413628938622</v>
      </c>
      <c r="N68" s="1021">
        <f>(VLOOKUP(YEAR($A68),'NY East Load Projections'!$A$4:$EO$14,((MONTH($A68)-1)*12)+VLOOKUP(N$4,$DE$6:$DF$17,2)+1))*(VLOOKUP($A68,CURVES!$D$9:$K$261,6))*(INDEX(DailyScalarsTable,N$5/100,MONTH($A68)))*$B68</f>
        <v>-68971.625483977943</v>
      </c>
      <c r="O68" s="1021">
        <f>(VLOOKUP(YEAR($A68),'NY East Load Projections'!$A$4:$EO$14,((MONTH($A68)-1)*12)+VLOOKUP(O$4,$DE$6:$DF$17,2)+1))*(VLOOKUP($A68,CURVES!$D$9:$K$261,2))*(INDEX(DailyScalarsTable,O$5/100,MONTH($A68)))*$B68</f>
        <v>-73438.627471063402</v>
      </c>
      <c r="P68" s="1021">
        <f>(VLOOKUP(YEAR($A68),'NY East Load Projections'!$A$4:$EO$14,((MONTH($A68)-1)*12)+VLOOKUP(P$4,$DE$6:$DF$17,2)+1))*(VLOOKUP($A68,CURVES!$D$9:$K$261,2))*(INDEX(DailyScalarsTable,P$5/100,MONTH($A68)))*$B68</f>
        <v>-85794.518312679167</v>
      </c>
      <c r="Q68" s="1021">
        <f>(VLOOKUP(YEAR($A68),'NY East Load Projections'!$A$4:$EO$14,((MONTH($A68)-1)*12)+VLOOKUP(Q$4,$DE$6:$DF$17,2)+1))*(VLOOKUP($A68,CURVES!$D$9:$K$261,2))*(INDEX(DailyScalarsTable,Q$5/100,MONTH($A68)))*$B68</f>
        <v>-85534.928242141556</v>
      </c>
      <c r="R68" s="1021">
        <f>(VLOOKUP(YEAR($A68),'NY East Load Projections'!$A$4:$EO$14,((MONTH($A68)-1)*12)+VLOOKUP(R$4,$DE$6:$DF$17,2)+1))*(VLOOKUP($A68,CURVES!$D$9:$K$261,2))*(INDEX(DailyScalarsTable,R$5/100,MONTH($A68)))*$B68</f>
        <v>-84027.863665964891</v>
      </c>
      <c r="S68" s="1021">
        <f>(VLOOKUP(YEAR($A68),'NY East Load Projections'!$A$4:$EO$14,((MONTH($A68)-1)*12)+VLOOKUP(S$4,$DE$6:$DF$17,2)+1))*(VLOOKUP($A68,CURVES!$D$9:$K$261,2))*(INDEX(DailyScalarsTable,S$5/100,MONTH($A68)))*$B68</f>
        <v>-64205.277446301508</v>
      </c>
      <c r="T68" s="1021">
        <f>(VLOOKUP(YEAR($A68),'NY East Load Projections'!$A$4:$EO$14,((MONTH($A68)-1)*12)+VLOOKUP(T$4,$DE$6:$DF$17,2)+1))*(VLOOKUP($A68,CURVES!$D$9:$K$261,2))*(INDEX(DailyScalarsTable,T$5/100,MONTH($A68)))*$B68</f>
        <v>-64389.556030689761</v>
      </c>
      <c r="U68" s="1021">
        <f>(VLOOKUP(YEAR($A68),'NY East Load Projections'!$A$4:$EO$14,((MONTH($A68)-1)*12)+VLOOKUP(U$4,$DE$6:$DF$17,2)+1))*(VLOOKUP($A68,CURVES!$D$9:$K$261,2))*(INDEX(DailyScalarsTable,U$5/100,MONTH($A68)))*$B68</f>
        <v>-62334.570199923073</v>
      </c>
      <c r="V68" s="1021">
        <f>(VLOOKUP(YEAR($A68),'NY East Load Projections'!$A$4:$EO$14,((MONTH($A68)-1)*12)+VLOOKUP(V$4,$DE$6:$DF$17,2)+1))*(VLOOKUP($A68,CURVES!$D$9:$K$261,2))*(INDEX(DailyScalarsTable,V$5/100,MONTH($A68)))*$B68</f>
        <v>-59199.972247920254</v>
      </c>
      <c r="W68" s="1021">
        <f>(VLOOKUP(YEAR($A68),'NY East Load Projections'!$A$4:$EO$14,((MONTH($A68)-1)*12)+VLOOKUP(W$4,$DE$6:$DF$17,2)+1))*(VLOOKUP($A68,CURVES!$D$9:$K$261,2))*(INDEX(DailyScalarsTable,W$5/100,MONTH($A68)))*$B68</f>
        <v>-58023.567315814682</v>
      </c>
      <c r="X68" s="1021">
        <f>(VLOOKUP(YEAR($A68),'NY East Load Projections'!$A$4:$EO$14,((MONTH($A68)-1)*12)+VLOOKUP(X$4,$DE$6:$DF$17,2)+1))*(VLOOKUP($A68,CURVES!$D$9:$K$261,2))*(INDEX(DailyScalarsTable,X$5/100,MONTH($A68)))*$B68</f>
        <v>-59666.668495031801</v>
      </c>
      <c r="Y68" s="1021">
        <f>(VLOOKUP(YEAR($A68),'NY East Load Projections'!$A$4:$EO$14,((MONTH($A68)-1)*12)+VLOOKUP(Y$4,$DE$6:$DF$17,2)+1))*(VLOOKUP($A68,CURVES!$D$9:$K$261,2))*(INDEX(DailyScalarsTable,Y$5/100,MONTH($A68)))*$B68</f>
        <v>-81346.400797781724</v>
      </c>
      <c r="Z68" s="1021">
        <f>(VLOOKUP(YEAR($A68),'NY East Load Projections'!$A$4:$EO$14,((MONTH($A68)-1)*12)+VLOOKUP(Z$4,$DE$6:$DF$17,2)+1))*(VLOOKUP($A68,CURVES!$D$9:$K$261,2))*(INDEX(DailyScalarsTable,Z$5/100,MONTH($A68)))*$B68</f>
        <v>-89324.429918586335</v>
      </c>
      <c r="AA68" s="1021">
        <f>(VLOOKUP(YEAR($A68),'NY East Load Projections'!$A$4:$EO$14,((MONTH($A68)-1)*12)+VLOOKUP(AA$4,$DE$6:$DF$17,2)+1))*(VLOOKUP($A68,CURVES!$D$9:$K$261,2))*(INDEX(DailyScalarsTable,AA$5/100,MONTH($A68)))*$B68</f>
        <v>-85468.850704394674</v>
      </c>
      <c r="AB68" s="1021">
        <f>(VLOOKUP(YEAR($A68),'NY East Load Projections'!$A$4:$EO$14,((MONTH($A68)-1)*12)+VLOOKUP(AB$4,$DE$6:$DF$17,2)+1))*(VLOOKUP($A68,CURVES!$D$9:$K$261,2))*(INDEX(DailyScalarsTable,AB$5/100,MONTH($A68)))*$B68</f>
        <v>-71866.704959393071</v>
      </c>
      <c r="AC68" s="1021">
        <f>(VLOOKUP(YEAR($A68),'NY East Load Projections'!$A$4:$EO$14,((MONTH($A68)-1)*12)+VLOOKUP(AC$4,$DE$6:$DF$17,2)+1))*(VLOOKUP($A68,CURVES!$D$9:$K$261,2))*(INDEX(DailyScalarsTable,AC$5/100,MONTH($A68)))*$B68</f>
        <v>-52185.106255991042</v>
      </c>
      <c r="AD68" s="1021">
        <f>(VLOOKUP(YEAR($A68),'NY East Load Projections'!$A$4:$EO$14,((MONTH($A68)-1)*12)+VLOOKUP(AD$4,$DE$6:$DF$17,2)+1))*(VLOOKUP($A68,CURVES!$D$9:$K$261,2))*(INDEX(DailyScalarsTable,AD$5/100,MONTH($A68)))*$B68</f>
        <v>-42833.836463877196</v>
      </c>
      <c r="AE68" s="1021">
        <f>(VLOOKUP(YEAR($A68),'NY East Load Projections'!$A$4:$EO$14,((MONTH($A68)-1)*12)+VLOOKUP(AE$4,$DE$6:$DF$17,2)+1))*(VLOOKUP($A68,CURVES!$D$9:$K$261,6))*(INDEX(DailyScalarsTable,AE$5/100,MONTH($A68)))*$B68</f>
        <v>-38956.531814805981</v>
      </c>
      <c r="AF68" s="1021"/>
      <c r="AG68" s="1021">
        <f>(VLOOKUP(YEAR($A68),'NY East Load Projections'!$A$4:$EO$14,((MONTH($A68)-1)*12)+VLOOKUP(AG$4,$DE$6:$DF$17,2)+1))*(VLOOKUP($A68,CURVES!$D$9:$T$261,6))*(INDEX(DailyScalarsTable,AG$5/100,MONTH($A68)))*$C68</f>
        <v>-5945.7094310722059</v>
      </c>
      <c r="AH68" s="1021">
        <f>(VLOOKUP(YEAR($A68),'NY East Load Projections'!$A$4:$EO$14,((MONTH($A68)-1)*12)+VLOOKUP(AH$4,$DE$6:$DF$17,2)+1))*(VLOOKUP($A68,CURVES!$D$9:$T$261,6))*(INDEX(DailyScalarsTable,AH$5/100,MONTH($A68)))*$C68</f>
        <v>-5621.9319965186405</v>
      </c>
      <c r="AI68" s="1021">
        <f>(VLOOKUP(YEAR($A68),'NY East Load Projections'!$A$4:$EO$14,((MONTH($A68)-1)*12)+VLOOKUP(AI$4,$DE$6:$DF$17,2)+1))*(VLOOKUP($A68,CURVES!$D$9:$T$261,6))*(INDEX(DailyScalarsTable,AI$5/100,MONTH($A68)))*$C68</f>
        <v>-5382.333819483325</v>
      </c>
      <c r="AJ68" s="1021">
        <f>(VLOOKUP(YEAR($A68),'NY East Load Projections'!$A$4:$EO$14,((MONTH($A68)-1)*12)+VLOOKUP(AJ$4,$DE$6:$DF$17,2)+1))*(VLOOKUP($A68,CURVES!$D$9:$T$261,6))*(INDEX(DailyScalarsTable,AJ$5/100,MONTH($A68)))*$C68</f>
        <v>-5385.7124916467428</v>
      </c>
      <c r="AK68" s="1021">
        <f>(VLOOKUP(YEAR($A68),'NY East Load Projections'!$A$4:$EO$14,((MONTH($A68)-1)*12)+VLOOKUP(AK$4,$DE$6:$DF$17,2)+1))*(VLOOKUP($A68,CURVES!$D$9:$T$261,6))*(INDEX(DailyScalarsTable,AK$5/100,MONTH($A68)))*$C68</f>
        <v>-5863.5252011326374</v>
      </c>
      <c r="AL68" s="1021">
        <f>(VLOOKUP(YEAR($A68),'NY East Load Projections'!$A$4:$EO$14,((MONTH($A68)-1)*12)+VLOOKUP(AL$4,$DE$6:$DF$17,2)+1))*(VLOOKUP($A68,CURVES!$D$9:$T$261,6))*(INDEX(DailyScalarsTable,AL$5/100,MONTH($A68)))*$C68</f>
        <v>-6806.2235319001365</v>
      </c>
      <c r="AM68" s="1021">
        <f>(VLOOKUP(YEAR($A68),'NY East Load Projections'!$A$4:$EO$14,((MONTH($A68)-1)*12)+VLOOKUP(AM$4,$DE$6:$DF$17,2)+1))*(VLOOKUP($A68,CURVES!$D$9:$T$261,6))*(INDEX(DailyScalarsTable,AM$5/100,MONTH($A68)))*$C68</f>
        <v>-12281.059559460629</v>
      </c>
      <c r="AN68" s="1021">
        <f>(VLOOKUP(YEAR($A68),'NY East Load Projections'!$A$4:$EO$14,((MONTH($A68)-1)*12)+VLOOKUP(AN$4,$DE$6:$DF$17,2)+1))*(VLOOKUP($A68,SatSunCurve,2))*(INDEX(DailyScalarsTable,AN$5/100,MONTH($A68)))*$C68</f>
        <v>-8441.1619839385639</v>
      </c>
      <c r="AO68" s="1021">
        <f>(VLOOKUP(YEAR($A68),'NY East Load Projections'!$A$4:$EO$14,((MONTH($A68)-1)*12)+VLOOKUP(AO$4,$DE$6:$DF$17,2)+1))*(VLOOKUP($A68,SatSunCurve,2))*(INDEX(DailyScalarsTable,AO$5/100,MONTH($A68)))*$C68</f>
        <v>-9478.7812253742577</v>
      </c>
      <c r="AP68" s="1021">
        <f>(VLOOKUP(YEAR($A68),'NY East Load Projections'!$A$4:$EO$14,((MONTH($A68)-1)*12)+VLOOKUP(AP$4,$DE$6:$DF$17,2)+1))*(VLOOKUP($A68,SatSunCurve,2))*(INDEX(DailyScalarsTable,AP$5/100,MONTH($A68)))*$C68</f>
        <v>-9450.1011006378758</v>
      </c>
      <c r="AQ68" s="1021">
        <f>(VLOOKUP(YEAR($A68),'NY East Load Projections'!$A$4:$EO$14,((MONTH($A68)-1)*12)+VLOOKUP(AQ$4,$DE$6:$DF$17,2)+1))*(VLOOKUP($A68,SatSunCurve,2))*(INDEX(DailyScalarsTable,AQ$5/100,MONTH($A68)))*$C68</f>
        <v>-9283.5970431405476</v>
      </c>
      <c r="AR68" s="1021">
        <f>(VLOOKUP(YEAR($A68),'NY East Load Projections'!$A$4:$EO$14,((MONTH($A68)-1)*12)+VLOOKUP(AR$4,$DE$6:$DF$17,2)+1))*(VLOOKUP($A68,SatSunCurve,2))*(INDEX(DailyScalarsTable,AR$5/100,MONTH($A68)))*$C68</f>
        <v>-7093.5508514651538</v>
      </c>
      <c r="AS68" s="1021">
        <f>(VLOOKUP(YEAR($A68),'NY East Load Projections'!$A$4:$EO$14,((MONTH($A68)-1)*12)+VLOOKUP(AS$4,$DE$6:$DF$17,2)+1))*(VLOOKUP($A68,SatSunCurve,2))*(INDEX(DailyScalarsTable,AS$5/100,MONTH($A68)))*$C68</f>
        <v>-6923.758674438046</v>
      </c>
      <c r="AT68" s="1021">
        <f>(VLOOKUP(YEAR($A68),'NY East Load Projections'!$A$4:$EO$14,((MONTH($A68)-1)*12)+VLOOKUP(AT$4,$DE$6:$DF$17,2)+1))*(VLOOKUP($A68,SatSunCurve,2))*(INDEX(DailyScalarsTable,AT$5/100,MONTH($A68)))*$C68</f>
        <v>-6702.7876529134282</v>
      </c>
      <c r="AU68" s="1021">
        <f>(VLOOKUP(YEAR($A68),'NY East Load Projections'!$A$4:$EO$14,((MONTH($A68)-1)*12)+VLOOKUP(AU$4,$DE$6:$DF$17,2)+1))*(VLOOKUP($A68,SatSunCurve,2))*(INDEX(DailyScalarsTable,AU$5/100,MONTH($A68)))*$C68</f>
        <v>-6365.7267831240642</v>
      </c>
      <c r="AV68" s="1021">
        <f>(VLOOKUP(YEAR($A68),'NY East Load Projections'!$A$4:$EO$14,((MONTH($A68)-1)*12)+VLOOKUP(AV$4,$DE$6:$DF$17,2)+1))*(VLOOKUP($A68,SatSunCurve,2))*(INDEX(DailyScalarsTable,AV$5/100,MONTH($A68)))*$C68</f>
        <v>-6239.2288794976512</v>
      </c>
      <c r="AW68" s="1021">
        <f>(VLOOKUP(YEAR($A68),'NY East Load Projections'!$A$4:$EO$14,((MONTH($A68)-1)*12)+VLOOKUP(AW$4,$DE$6:$DF$17,2)+1))*(VLOOKUP($A68,SatSunCurve,2))*(INDEX(DailyScalarsTable,AW$5/100,MONTH($A68)))*$C68</f>
        <v>-6512.3061358583745</v>
      </c>
      <c r="AX68" s="1021">
        <f>(VLOOKUP(YEAR($A68),'NY East Load Projections'!$A$4:$EO$14,((MONTH($A68)-1)*12)+VLOOKUP(AX$4,$DE$6:$DF$17,2)+1))*(VLOOKUP($A68,SatSunCurve,2))*(INDEX(DailyScalarsTable,AX$5/100,MONTH($A68)))*$C68</f>
        <v>-8878.5360136119998</v>
      </c>
      <c r="AY68" s="1021">
        <f>(VLOOKUP(YEAR($A68),'NY East Load Projections'!$A$4:$EO$14,((MONTH($A68)-1)*12)+VLOOKUP(AY$4,$DE$6:$DF$17,2)+1))*(VLOOKUP($A68,SatSunCurve,2))*(INDEX(DailyScalarsTable,AY$5/100,MONTH($A68)))*$C68</f>
        <v>-9749.2963443953231</v>
      </c>
      <c r="AZ68" s="1021">
        <f>(VLOOKUP(YEAR($A68),'NY East Load Projections'!$A$4:$EO$14,((MONTH($A68)-1)*12)+VLOOKUP(AZ$4,$DE$6:$DF$17,2)+1))*(VLOOKUP($A68,SatSunCurve,2))*(INDEX(DailyScalarsTable,AZ$5/100,MONTH($A68)))*$C68</f>
        <v>-9328.4799521417626</v>
      </c>
      <c r="BA68" s="1021">
        <f>(VLOOKUP(YEAR($A68),'NY East Load Projections'!$A$4:$EO$14,((MONTH($A68)-1)*12)+VLOOKUP(BA$4,$DE$6:$DF$17,2)+1))*(VLOOKUP($A68,SatSunCurve,2))*(INDEX(DailyScalarsTable,BA$5/100,MONTH($A68)))*$C68</f>
        <v>-8480.2994298706781</v>
      </c>
      <c r="BB68" s="1021">
        <f>(VLOOKUP(YEAR($A68),'NY East Load Projections'!$A$4:$EO$14,((MONTH($A68)-1)*12)+VLOOKUP(BB$4,$DE$6:$DF$17,2)+1))*(VLOOKUP($A68,SatSunCurve,2))*(INDEX(DailyScalarsTable,BB$5/100,MONTH($A68)))*$C68</f>
        <v>-6157.8630477141469</v>
      </c>
      <c r="BC68" s="1021">
        <f>(VLOOKUP(YEAR($A68),'NY East Load Projections'!$A$4:$EO$14,((MONTH($A68)-1)*12)+VLOOKUP(BC$4,$DE$6:$DF$17,2)+1))*(VLOOKUP($A68,SatSunCurve,2))*(INDEX(DailyScalarsTable,BC$5/100,MONTH($A68)))*$C68</f>
        <v>-5054.4095370594168</v>
      </c>
      <c r="BD68" s="1021">
        <f>(VLOOKUP(YEAR($A68),'NY East Load Projections'!$A$4:$EO$14,((MONTH($A68)-1)*12)+VLOOKUP(BD$4,$DE$6:$DF$17,2)+1))*(VLOOKUP($A68,CURVES!$D$9:$T$261,6))*(INDEX(DailyScalarsTable,BD$5/100,MONTH($A68)))*$C68</f>
        <v>-7121.1713051819788</v>
      </c>
      <c r="BE68" s="1021"/>
      <c r="BF68" s="1021">
        <f>(VLOOKUP(YEAR($A68),'NY East Load Projections'!$A$4:$EO$14,((MONTH($A68)-1)*12)+VLOOKUP(BF$4,$DE$6:$DF$17,2)+1))*(VLOOKUP($A68,CURVES!$D$9:$T$261,6))*(INDEX(DailyScalarsTable,BF$5/100,MONTH($A68)))*$D68</f>
        <v>-5945.7094310722059</v>
      </c>
      <c r="BG68" s="1021">
        <f>(VLOOKUP(YEAR($A68),'NY East Load Projections'!$A$4:$EO$14,((MONTH($A68)-1)*12)+VLOOKUP(BG$4,$DE$6:$DF$17,2)+1))*(VLOOKUP($A68,CURVES!$D$9:$T$261,6))*(INDEX(DailyScalarsTable,BG$5/100,MONTH($A68)))*$D68</f>
        <v>-5621.9319965186405</v>
      </c>
      <c r="BH68" s="1021">
        <f>(VLOOKUP(YEAR($A68),'NY East Load Projections'!$A$4:$EO$14,((MONTH($A68)-1)*12)+VLOOKUP(BH$4,$DE$6:$DF$17,2)+1))*(VLOOKUP($A68,CURVES!$D$9:$T$261,6))*(INDEX(DailyScalarsTable,BH$5/100,MONTH($A68)))*$D68</f>
        <v>-5382.333819483325</v>
      </c>
      <c r="BI68" s="1021">
        <f>(VLOOKUP(YEAR($A68),'NY East Load Projections'!$A$4:$EO$14,((MONTH($A68)-1)*12)+VLOOKUP(BI$4,$DE$6:$DF$17,2)+1))*(VLOOKUP($A68,CURVES!$D$9:$T$261,6))*(INDEX(DailyScalarsTable,BI$5/100,MONTH($A68)))*$D68</f>
        <v>-5385.7124916467428</v>
      </c>
      <c r="BJ68" s="1021">
        <f>(VLOOKUP(YEAR($A68),'NY East Load Projections'!$A$4:$EO$14,((MONTH($A68)-1)*12)+VLOOKUP(BJ$4,$DE$6:$DF$17,2)+1))*(VLOOKUP($A68,CURVES!$D$9:$T$261,6))*(INDEX(DailyScalarsTable,BJ$5/100,MONTH($A68)))*$D68</f>
        <v>-5863.5252011326374</v>
      </c>
      <c r="BK68" s="1021">
        <f>(VLOOKUP(YEAR($A68),'NY East Load Projections'!$A$4:$EO$14,((MONTH($A68)-1)*12)+VLOOKUP(BK$4,$DE$6:$DF$17,2)+1))*(VLOOKUP($A68,CURVES!$D$9:$T$261,6))*(INDEX(DailyScalarsTable,BK$5/100,MONTH($A68)))*$D68</f>
        <v>-6806.2235319001365</v>
      </c>
      <c r="BL68" s="1021">
        <f>(VLOOKUP(YEAR($A68),'NY East Load Projections'!$A$4:$EO$14,((MONTH($A68)-1)*12)+VLOOKUP(BL$4,$DE$6:$DF$17,2)+1))*(VLOOKUP($A68,CURVES!$D$9:$T$261,6))*(INDEX(DailyScalarsTable,BL$5/100,MONTH($A68)))*$D68</f>
        <v>-12281.059559460629</v>
      </c>
      <c r="BM68" s="1021">
        <f>(VLOOKUP(YEAR($A68),'NY East Load Projections'!$A$4:$EO$14,((MONTH($A68)-1)*12)+VLOOKUP(BM$4,$DE$6:$DF$17,2)+1))*(VLOOKUP($A68,SatSunCurve,6))*(INDEX(DailyScalarsTable,BM$5/100,MONTH($A68)))*$D68</f>
        <v>-7158.6015171423678</v>
      </c>
      <c r="BN68" s="1021">
        <f>(VLOOKUP(YEAR($A68),'NY East Load Projections'!$A$4:$EO$14,((MONTH($A68)-1)*12)+VLOOKUP(BN$4,$DE$6:$DF$17,2)+1))*(VLOOKUP($A68,SatSunCurve,6))*(INDEX(DailyScalarsTable,BN$5/100,MONTH($A68)))*$D68</f>
        <v>-8038.5636230812333</v>
      </c>
      <c r="BO68" s="1021">
        <f>(VLOOKUP(YEAR($A68),'NY East Load Projections'!$A$4:$EO$14,((MONTH($A68)-1)*12)+VLOOKUP(BO$4,$DE$6:$DF$17,2)+1))*(VLOOKUP($A68,SatSunCurve,6))*(INDEX(DailyScalarsTable,BO$5/100,MONTH($A68)))*$D68</f>
        <v>-8014.2411915439216</v>
      </c>
      <c r="BP68" s="1021">
        <f>(VLOOKUP(YEAR($A68),'NY East Load Projections'!$A$4:$EO$14,((MONTH($A68)-1)*12)+VLOOKUP(BP$4,$DE$6:$DF$17,2)+1))*(VLOOKUP($A68,SatSunCurve,6))*(INDEX(DailyScalarsTable,BP$5/100,MONTH($A68)))*$D68</f>
        <v>-7873.0359640078677</v>
      </c>
      <c r="BQ68" s="1021">
        <f>(VLOOKUP(YEAR($A68),'NY East Load Projections'!$A$4:$EO$14,((MONTH($A68)-1)*12)+VLOOKUP(BQ$4,$DE$6:$DF$17,2)+1))*(VLOOKUP($A68,SatSunCurve,6))*(INDEX(DailyScalarsTable,BQ$5/100,MONTH($A68)))*$D68</f>
        <v>-6015.748066894881</v>
      </c>
      <c r="BR68" s="1021">
        <f>(VLOOKUP(YEAR($A68),'NY East Load Projections'!$A$4:$EO$14,((MONTH($A68)-1)*12)+VLOOKUP(BR$4,$DE$6:$DF$17,2)+1))*(VLOOKUP($A68,SatSunCurve,6))*(INDEX(DailyScalarsTable,BR$5/100,MONTH($A68)))*$D68</f>
        <v>-5871.754320728428</v>
      </c>
      <c r="BS68" s="1021">
        <f>(VLOOKUP(YEAR($A68),'NY East Load Projections'!$A$4:$EO$14,((MONTH($A68)-1)*12)+VLOOKUP(BS$4,$DE$6:$DF$17,2)+1))*(VLOOKUP($A68,SatSunCurve,6))*(INDEX(DailyScalarsTable,BS$5/100,MONTH($A68)))*$D68</f>
        <v>-5684.3579062370954</v>
      </c>
      <c r="BT68" s="1021">
        <f>(VLOOKUP(YEAR($A68),'NY East Load Projections'!$A$4:$EO$14,((MONTH($A68)-1)*12)+VLOOKUP(BT$4,$DE$6:$DF$17,2)+1))*(VLOOKUP($A68,SatSunCurve,6))*(INDEX(DailyScalarsTable,BT$5/100,MONTH($A68)))*$D68</f>
        <v>-5398.5104768861856</v>
      </c>
      <c r="BU68" s="1021">
        <f>(VLOOKUP(YEAR($A68),'NY East Load Projections'!$A$4:$EO$14,((MONTH($A68)-1)*12)+VLOOKUP(BU$4,$DE$6:$DF$17,2)+1))*(VLOOKUP($A68,SatSunCurve,6))*(INDEX(DailyScalarsTable,BU$5/100,MONTH($A68)))*$D68</f>
        <v>-5291.2328193150606</v>
      </c>
      <c r="BV68" s="1021">
        <f>(VLOOKUP(YEAR($A68),'NY East Load Projections'!$A$4:$EO$14,((MONTH($A68)-1)*12)+VLOOKUP(BV$4,$DE$6:$DF$17,2)+1))*(VLOOKUP($A68,SatSunCurve,6))*(INDEX(DailyScalarsTable,BV$5/100,MONTH($A68)))*$D68</f>
        <v>-5522.818383648565</v>
      </c>
      <c r="BW68" s="1021">
        <f>(VLOOKUP(YEAR($A68),'NY East Load Projections'!$A$4:$EO$14,((MONTH($A68)-1)*12)+VLOOKUP(BW$4,$DE$6:$DF$17,2)+1))*(VLOOKUP($A68,SatSunCurve,6))*(INDEX(DailyScalarsTable,BW$5/100,MONTH($A68)))*$D68</f>
        <v>-7529.5204022835851</v>
      </c>
      <c r="BX68" s="1021">
        <f>(VLOOKUP(YEAR($A68),'NY East Load Projections'!$A$4:$EO$14,((MONTH($A68)-1)*12)+VLOOKUP(BX$4,$DE$6:$DF$17,2)+1))*(VLOOKUP($A68,SatSunCurve,6))*(INDEX(DailyScalarsTable,BX$5/100,MONTH($A68)))*$D68</f>
        <v>-8267.9763443533557</v>
      </c>
      <c r="BY68" s="1021">
        <f>(VLOOKUP(YEAR($A68),'NY East Load Projections'!$A$4:$EO$14,((MONTH($A68)-1)*12)+VLOOKUP(BY$4,$DE$6:$DF$17,2)+1))*(VLOOKUP($A68,SatSunCurve,6))*(INDEX(DailyScalarsTable,BY$5/100,MONTH($A68)))*$D68</f>
        <v>-7911.0993089692847</v>
      </c>
      <c r="BZ68" s="1021">
        <f>(VLOOKUP(YEAR($A68),'NY East Load Projections'!$A$4:$EO$14,((MONTH($A68)-1)*12)+VLOOKUP(BZ$4,$DE$6:$DF$17,2)+1))*(VLOOKUP($A68,SatSunCurve,6))*(INDEX(DailyScalarsTable,BZ$5/100,MONTH($A68)))*$D68</f>
        <v>-7191.7923717142612</v>
      </c>
      <c r="CA68" s="1021">
        <f>(VLOOKUP(YEAR($A68),'NY East Load Projections'!$A$4:$EO$14,((MONTH($A68)-1)*12)+VLOOKUP(CA$4,$DE$6:$DF$17,2)+1))*(VLOOKUP($A68,SatSunCurve,6))*(INDEX(DailyScalarsTable,CA$5/100,MONTH($A68)))*$D68</f>
        <v>-5222.2298114404057</v>
      </c>
      <c r="CB68" s="1021">
        <f>(VLOOKUP(YEAR($A68),'NY East Load Projections'!$A$4:$EO$14,((MONTH($A68)-1)*12)+VLOOKUP(CB$4,$DE$6:$DF$17,2)+1))*(VLOOKUP($A68,SatSunCurve,6))*(INDEX(DailyScalarsTable,CB$5/100,MONTH($A68)))*$D68</f>
        <v>-4286.436375596003</v>
      </c>
      <c r="CC68" s="1021">
        <f>(VLOOKUP(YEAR($A68),'NY East Load Projections'!$A$4:$EO$14,((MONTH($A68)-1)*12)+VLOOKUP(CC$4,$DE$6:$DF$17,2)+1))*(VLOOKUP($A68,CURVES!$D$9:$T$261,6))*(INDEX(DailyScalarsTable,CC$5/100,MONTH($A68)))*$D68</f>
        <v>-7121.1713051819788</v>
      </c>
      <c r="CE68" s="1021">
        <f>(VLOOKUP(YEAR($A68),'NY East Load Projections'!$A$4:$EO$14,((MONTH($A68)-1)*12)+VLOOKUP(CE$4,$DE$6:$DF$17,2)+1))*(VLOOKUP($A68,CURVES!$D$9:$T$261,6))*(INDEX(DailyScalarsTable,CE$5/100,MONTH($A68)))*$E68</f>
        <v>0</v>
      </c>
      <c r="CF68" s="1021">
        <f>(VLOOKUP(YEAR($A68),'NY East Load Projections'!$A$4:$EO$14,((MONTH($A68)-1)*12)+VLOOKUP(CF$4,$DE$6:$DF$17,2)+1))*(VLOOKUP($A68,CURVES!$D$9:$T$261,6))*(INDEX(DailyScalarsTable,CF$5/100,MONTH($A68)))*$E68</f>
        <v>0</v>
      </c>
      <c r="CG68" s="1021">
        <f>(VLOOKUP(YEAR($A68),'NY East Load Projections'!$A$4:$EO$14,((MONTH($A68)-1)*12)+VLOOKUP(CG$4,$DE$6:$DF$17,2)+1))*(VLOOKUP($A68,CURVES!$D$9:$T$261,6))*(INDEX(DailyScalarsTable,CG$5/100,MONTH($A68)))*$E68</f>
        <v>0</v>
      </c>
      <c r="CH68" s="1021">
        <f>(VLOOKUP(YEAR($A68),'NY East Load Projections'!$A$4:$EO$14,((MONTH($A68)-1)*12)+VLOOKUP(CH$4,$DE$6:$DF$17,2)+1))*(VLOOKUP($A68,CURVES!$D$9:$T$261,6))*(INDEX(DailyScalarsTable,CH$5/100,MONTH($A68)))*$E68</f>
        <v>0</v>
      </c>
      <c r="CI68" s="1021">
        <f>(VLOOKUP(YEAR($A68),'NY East Load Projections'!$A$4:$EO$14,((MONTH($A68)-1)*12)+VLOOKUP(CI$4,$DE$6:$DF$17,2)+1))*(VLOOKUP($A68,CURVES!$D$9:$T$261,6))*(INDEX(DailyScalarsTable,CI$5/100,MONTH($A68)))*$E68</f>
        <v>0</v>
      </c>
      <c r="CJ68" s="1021">
        <f>(VLOOKUP(YEAR($A68),'NY East Load Projections'!$A$4:$EO$14,((MONTH($A68)-1)*12)+VLOOKUP(CJ$4,$DE$6:$DF$17,2)+1))*(VLOOKUP($A68,CURVES!$D$9:$T$261,6))*(INDEX(DailyScalarsTable,CJ$5/100,MONTH($A68)))*$E68</f>
        <v>0</v>
      </c>
      <c r="CK68" s="1021">
        <f>(VLOOKUP(YEAR($A68),'NY East Load Projections'!$A$4:$EO$14,((MONTH($A68)-1)*12)+VLOOKUP(CK$4,$DE$6:$DF$17,2)+1))*(VLOOKUP($A68,CURVES!$D$9:$T$261,6))*(INDEX(DailyScalarsTable,CK$5/100,MONTH($A68)))*$E68</f>
        <v>0</v>
      </c>
      <c r="CL68" s="1021">
        <f>(VLOOKUP(YEAR($A68),'NY East Load Projections'!$A$4:$EO$14,((MONTH($A68)-1)*12)+VLOOKUP(CL$4,$DE$6:$DF$17,2)+1))*(VLOOKUP($A68,SatSunCurve,6))*(INDEX(DailyScalarsTable,CL$5/100,MONTH($A68)))*$E68</f>
        <v>0</v>
      </c>
      <c r="CM68" s="1021">
        <f>(VLOOKUP(YEAR($A68),'NY East Load Projections'!$A$4:$EO$14,((MONTH($A68)-1)*12)+VLOOKUP(CM$4,$DE$6:$DF$17,2)+1))*(VLOOKUP($A68,SatSunCurve,6))*(INDEX(DailyScalarsTable,CM$5/100,MONTH($A68)))*$E68</f>
        <v>0</v>
      </c>
      <c r="CN68" s="1021">
        <f>(VLOOKUP(YEAR($A68),'NY East Load Projections'!$A$4:$EO$14,((MONTH($A68)-1)*12)+VLOOKUP(CN$4,$DE$6:$DF$17,2)+1))*(VLOOKUP($A68,SatSunCurve,6))*(INDEX(DailyScalarsTable,CN$5/100,MONTH($A68)))*$E68</f>
        <v>0</v>
      </c>
      <c r="CO68" s="1021">
        <f>(VLOOKUP(YEAR($A68),'NY East Load Projections'!$A$4:$EO$14,((MONTH($A68)-1)*12)+VLOOKUP(CO$4,$DE$6:$DF$17,2)+1))*(VLOOKUP($A68,SatSunCurve,6))*(INDEX(DailyScalarsTable,CO$5/100,MONTH($A68)))*$E68</f>
        <v>0</v>
      </c>
      <c r="CP68" s="1021">
        <f>(VLOOKUP(YEAR($A68),'NY East Load Projections'!$A$4:$EO$14,((MONTH($A68)-1)*12)+VLOOKUP(CP$4,$DE$6:$DF$17,2)+1))*(VLOOKUP($A68,SatSunCurve,6))*(INDEX(DailyScalarsTable,CP$5/100,MONTH($A68)))*$E68</f>
        <v>0</v>
      </c>
      <c r="CQ68" s="1021">
        <f>(VLOOKUP(YEAR($A68),'NY East Load Projections'!$A$4:$EO$14,((MONTH($A68)-1)*12)+VLOOKUP(CQ$4,$DE$6:$DF$17,2)+1))*(VLOOKUP($A68,SatSunCurve,6))*(INDEX(DailyScalarsTable,CQ$5/100,MONTH($A68)))*$E68</f>
        <v>0</v>
      </c>
      <c r="CR68" s="1021">
        <f>(VLOOKUP(YEAR($A68),'NY East Load Projections'!$A$4:$EO$14,((MONTH($A68)-1)*12)+VLOOKUP(CR$4,$DE$6:$DF$17,2)+1))*(VLOOKUP($A68,SatSunCurve,6))*(INDEX(DailyScalarsTable,CR$5/100,MONTH($A68)))*$E68</f>
        <v>0</v>
      </c>
      <c r="CS68" s="1021">
        <f>(VLOOKUP(YEAR($A68),'NY East Load Projections'!$A$4:$EO$14,((MONTH($A68)-1)*12)+VLOOKUP(CS$4,$DE$6:$DF$17,2)+1))*(VLOOKUP($A68,SatSunCurve,6))*(INDEX(DailyScalarsTable,CS$5/100,MONTH($A68)))*$E68</f>
        <v>0</v>
      </c>
      <c r="CT68" s="1021">
        <f>(VLOOKUP(YEAR($A68),'NY East Load Projections'!$A$4:$EO$14,((MONTH($A68)-1)*12)+VLOOKUP(CT$4,$DE$6:$DF$17,2)+1))*(VLOOKUP($A68,SatSunCurve,6))*(INDEX(DailyScalarsTable,CT$5/100,MONTH($A68)))*$E68</f>
        <v>0</v>
      </c>
      <c r="CU68" s="1021">
        <f>(VLOOKUP(YEAR($A68),'NY East Load Projections'!$A$4:$EO$14,((MONTH($A68)-1)*12)+VLOOKUP(CU$4,$DE$6:$DF$17,2)+1))*(VLOOKUP($A68,SatSunCurve,6))*(INDEX(DailyScalarsTable,CU$5/100,MONTH($A68)))*$E68</f>
        <v>0</v>
      </c>
      <c r="CV68" s="1021">
        <f>(VLOOKUP(YEAR($A68),'NY East Load Projections'!$A$4:$EO$14,((MONTH($A68)-1)*12)+VLOOKUP(CV$4,$DE$6:$DF$17,2)+1))*(VLOOKUP($A68,SatSunCurve,6))*(INDEX(DailyScalarsTable,CV$5/100,MONTH($A68)))*$E68</f>
        <v>0</v>
      </c>
      <c r="CW68" s="1021">
        <f>(VLOOKUP(YEAR($A68),'NY East Load Projections'!$A$4:$EO$14,((MONTH($A68)-1)*12)+VLOOKUP(CW$4,$DE$6:$DF$17,2)+1))*(VLOOKUP($A68,SatSunCurve,6))*(INDEX(DailyScalarsTable,CW$5/100,MONTH($A68)))*$E68</f>
        <v>0</v>
      </c>
      <c r="CX68" s="1021">
        <f>(VLOOKUP(YEAR($A68),'NY East Load Projections'!$A$4:$EO$14,((MONTH($A68)-1)*12)+VLOOKUP(CX$4,$DE$6:$DF$17,2)+1))*(VLOOKUP($A68,SatSunCurve,6))*(INDEX(DailyScalarsTable,CX$5/100,MONTH($A68)))*$E68</f>
        <v>0</v>
      </c>
      <c r="CY68" s="1021">
        <f>(VLOOKUP(YEAR($A68),'NY East Load Projections'!$A$4:$EO$14,((MONTH($A68)-1)*12)+VLOOKUP(CY$4,$DE$6:$DF$17,2)+1))*(VLOOKUP($A68,SatSunCurve,6))*(INDEX(DailyScalarsTable,CY$5/100,MONTH($A68)))*$E68</f>
        <v>0</v>
      </c>
      <c r="CZ68" s="1021">
        <f>(VLOOKUP(YEAR($A68),'NY East Load Projections'!$A$4:$EO$14,((MONTH($A68)-1)*12)+VLOOKUP(CZ$4,$DE$6:$DF$17,2)+1))*(VLOOKUP($A68,SatSunCurve,6))*(INDEX(DailyScalarsTable,CZ$5/100,MONTH($A68)))*$E68</f>
        <v>0</v>
      </c>
      <c r="DA68" s="1021">
        <f>(VLOOKUP(YEAR($A68),'NY East Load Projections'!$A$4:$EO$14,((MONTH($A68)-1)*12)+VLOOKUP(DA$4,$DE$6:$DF$17,2)+1))*(VLOOKUP($A68,SatSunCurve,6))*(INDEX(DailyScalarsTable,DA$5/100,MONTH($A68)))*$E68</f>
        <v>0</v>
      </c>
      <c r="DB68" s="1021">
        <f>(VLOOKUP(YEAR($A68),'NY East Load Projections'!$A$4:$EO$14,((MONTH($A68)-1)*12)+VLOOKUP(DB$4,$DE$6:$DF$17,2)+1))*(VLOOKUP($A68,CURVES!$D$9:$T$261,6))*(INDEX(DailyScalarsTable,DB$5/100,MONTH($A68)))*$E68</f>
        <v>0</v>
      </c>
      <c r="DH68" s="1021">
        <f t="shared" si="0"/>
        <v>-1751656.0343551196</v>
      </c>
      <c r="DI68">
        <f ca="1">CALC!J88</f>
        <v>0.64281264888236933</v>
      </c>
      <c r="DJ68" s="1029">
        <f t="shared" ca="1" si="1"/>
        <v>-1125986.655374601</v>
      </c>
    </row>
    <row r="69" spans="1:114" x14ac:dyDescent="0.25">
      <c r="A69" s="244">
        <v>38808</v>
      </c>
      <c r="B69" s="13">
        <v>20</v>
      </c>
      <c r="C69" s="210">
        <v>5</v>
      </c>
      <c r="D69" s="210">
        <v>5</v>
      </c>
      <c r="E69" s="210">
        <v>0</v>
      </c>
      <c r="F69" s="13">
        <v>30</v>
      </c>
      <c r="H69" s="1021">
        <f>(VLOOKUP(YEAR($A69),'NY East Load Projections'!$A$4:$EO$14,((MONTH($A69)-1)*12)+VLOOKUP(H$4,$DE$6:$DF$17,2)+1))*(VLOOKUP($A69,CURVES!$D$9:$K$261,6))*(INDEX(DailyScalarsTable,H$5/100,MONTH($A69)))*$B69</f>
        <v>-30647.406587417165</v>
      </c>
      <c r="I69" s="1021">
        <f>(VLOOKUP(YEAR($A69),'NY East Load Projections'!$A$4:$EO$14,((MONTH($A69)-1)*12)+VLOOKUP(I$4,$DE$6:$DF$17,2)+1))*(VLOOKUP($A69,CURVES!$D$9:$K$261,6))*(INDEX(DailyScalarsTable,I$5/100,MONTH($A69)))*$B69</f>
        <v>-29068.200625412646</v>
      </c>
      <c r="J69" s="1021">
        <f>(VLOOKUP(YEAR($A69),'NY East Load Projections'!$A$4:$EO$14,((MONTH($A69)-1)*12)+VLOOKUP(J$4,$DE$6:$DF$17,2)+1))*(VLOOKUP($A69,CURVES!$D$9:$K$261,6))*(INDEX(DailyScalarsTable,J$5/100,MONTH($A69)))*$B69</f>
        <v>-27899.574188609546</v>
      </c>
      <c r="K69" s="1021">
        <f>(VLOOKUP(YEAR($A69),'NY East Load Projections'!$A$4:$EO$14,((MONTH($A69)-1)*12)+VLOOKUP(K$4,$DE$6:$DF$17,2)+1))*(VLOOKUP($A69,CURVES!$D$9:$K$261,6))*(INDEX(DailyScalarsTable,K$5/100,MONTH($A69)))*$B69</f>
        <v>-27916.053469296552</v>
      </c>
      <c r="L69" s="1021">
        <f>(VLOOKUP(YEAR($A69),'NY East Load Projections'!$A$4:$EO$14,((MONTH($A69)-1)*12)+VLOOKUP(L$4,$DE$6:$DF$17,2)+1))*(VLOOKUP($A69,CURVES!$D$9:$K$261,6))*(INDEX(DailyScalarsTable,L$5/100,MONTH($A69)))*$B69</f>
        <v>-32681.041507870221</v>
      </c>
      <c r="M69" s="1021">
        <f>(VLOOKUP(YEAR($A69),'NY East Load Projections'!$A$4:$EO$14,((MONTH($A69)-1)*12)+VLOOKUP(M$4,$DE$6:$DF$17,2)+1))*(VLOOKUP($A69,CURVES!$D$9:$K$261,6))*(INDEX(DailyScalarsTable,M$5/100,MONTH($A69)))*$B69</f>
        <v>-37645.787787283611</v>
      </c>
      <c r="N69" s="1021">
        <f>(VLOOKUP(YEAR($A69),'NY East Load Projections'!$A$4:$EO$14,((MONTH($A69)-1)*12)+VLOOKUP(N$4,$DE$6:$DF$17,2)+1))*(VLOOKUP($A69,CURVES!$D$9:$K$261,6))*(INDEX(DailyScalarsTable,N$5/100,MONTH($A69)))*$B69</f>
        <v>-53693.830323326263</v>
      </c>
      <c r="O69" s="1021">
        <f>(VLOOKUP(YEAR($A69),'NY East Load Projections'!$A$4:$EO$14,((MONTH($A69)-1)*12)+VLOOKUP(O$4,$DE$6:$DF$17,2)+1))*(VLOOKUP($A69,CURVES!$D$9:$K$261,2))*(INDEX(DailyScalarsTable,O$5/100,MONTH($A69)))*$B69</f>
        <v>-65538.370362255839</v>
      </c>
      <c r="P69" s="1021">
        <f>(VLOOKUP(YEAR($A69),'NY East Load Projections'!$A$4:$EO$14,((MONTH($A69)-1)*12)+VLOOKUP(P$4,$DE$6:$DF$17,2)+1))*(VLOOKUP($A69,CURVES!$D$9:$K$261,2))*(INDEX(DailyScalarsTable,P$5/100,MONTH($A69)))*$B69</f>
        <v>-74187.23136074275</v>
      </c>
      <c r="Q69" s="1021">
        <f>(VLOOKUP(YEAR($A69),'NY East Load Projections'!$A$4:$EO$14,((MONTH($A69)-1)*12)+VLOOKUP(Q$4,$DE$6:$DF$17,2)+1))*(VLOOKUP($A69,CURVES!$D$9:$K$261,2))*(INDEX(DailyScalarsTable,Q$5/100,MONTH($A69)))*$B69</f>
        <v>-71097.753230602102</v>
      </c>
      <c r="R69" s="1021">
        <f>(VLOOKUP(YEAR($A69),'NY East Load Projections'!$A$4:$EO$14,((MONTH($A69)-1)*12)+VLOOKUP(R$4,$DE$6:$DF$17,2)+1))*(VLOOKUP($A69,CURVES!$D$9:$K$261,2))*(INDEX(DailyScalarsTable,R$5/100,MONTH($A69)))*$B69</f>
        <v>-72563.50292932443</v>
      </c>
      <c r="S69" s="1021">
        <f>(VLOOKUP(YEAR($A69),'NY East Load Projections'!$A$4:$EO$14,((MONTH($A69)-1)*12)+VLOOKUP(S$4,$DE$6:$DF$17,2)+1))*(VLOOKUP($A69,CURVES!$D$9:$K$261,2))*(INDEX(DailyScalarsTable,S$5/100,MONTH($A69)))*$B69</f>
        <v>-72705.788410428126</v>
      </c>
      <c r="T69" s="1021">
        <f>(VLOOKUP(YEAR($A69),'NY East Load Projections'!$A$4:$EO$14,((MONTH($A69)-1)*12)+VLOOKUP(T$4,$DE$6:$DF$17,2)+1))*(VLOOKUP($A69,CURVES!$D$9:$K$261,2))*(INDEX(DailyScalarsTable,T$5/100,MONTH($A69)))*$B69</f>
        <v>-68542.302446900707</v>
      </c>
      <c r="U69" s="1021">
        <f>(VLOOKUP(YEAR($A69),'NY East Load Projections'!$A$4:$EO$14,((MONTH($A69)-1)*12)+VLOOKUP(U$4,$DE$6:$DF$17,2)+1))*(VLOOKUP($A69,CURVES!$D$9:$K$261,2))*(INDEX(DailyScalarsTable,U$5/100,MONTH($A69)))*$B69</f>
        <v>-68616.107716277096</v>
      </c>
      <c r="V69" s="1021">
        <f>(VLOOKUP(YEAR($A69),'NY East Load Projections'!$A$4:$EO$14,((MONTH($A69)-1)*12)+VLOOKUP(V$4,$DE$6:$DF$17,2)+1))*(VLOOKUP($A69,CURVES!$D$9:$K$261,2))*(INDEX(DailyScalarsTable,V$5/100,MONTH($A69)))*$B69</f>
        <v>-64357.109524615218</v>
      </c>
      <c r="W69" s="1021">
        <f>(VLOOKUP(YEAR($A69),'NY East Load Projections'!$A$4:$EO$14,((MONTH($A69)-1)*12)+VLOOKUP(W$4,$DE$6:$DF$17,2)+1))*(VLOOKUP($A69,CURVES!$D$9:$K$261,2))*(INDEX(DailyScalarsTable,W$5/100,MONTH($A69)))*$B69</f>
        <v>-60149.123798551773</v>
      </c>
      <c r="X69" s="1021">
        <f>(VLOOKUP(YEAR($A69),'NY East Load Projections'!$A$4:$EO$14,((MONTH($A69)-1)*12)+VLOOKUP(X$4,$DE$6:$DF$17,2)+1))*(VLOOKUP($A69,CURVES!$D$9:$K$261,2))*(INDEX(DailyScalarsTable,X$5/100,MONTH($A69)))*$B69</f>
        <v>-55052.904805586251</v>
      </c>
      <c r="Y69" s="1021">
        <f>(VLOOKUP(YEAR($A69),'NY East Load Projections'!$A$4:$EO$14,((MONTH($A69)-1)*12)+VLOOKUP(Y$4,$DE$6:$DF$17,2)+1))*(VLOOKUP($A69,CURVES!$D$9:$K$261,2))*(INDEX(DailyScalarsTable,Y$5/100,MONTH($A69)))*$B69</f>
        <v>-54336.913536145934</v>
      </c>
      <c r="Z69" s="1021">
        <f>(VLOOKUP(YEAR($A69),'NY East Load Projections'!$A$4:$EO$14,((MONTH($A69)-1)*12)+VLOOKUP(Z$4,$DE$6:$DF$17,2)+1))*(VLOOKUP($A69,CURVES!$D$9:$K$261,2))*(INDEX(DailyScalarsTable,Z$5/100,MONTH($A69)))*$B69</f>
        <v>-54045.628325534373</v>
      </c>
      <c r="AA69" s="1021">
        <f>(VLOOKUP(YEAR($A69),'NY East Load Projections'!$A$4:$EO$14,((MONTH($A69)-1)*12)+VLOOKUP(AA$4,$DE$6:$DF$17,2)+1))*(VLOOKUP($A69,CURVES!$D$9:$K$261,2))*(INDEX(DailyScalarsTable,AA$5/100,MONTH($A69)))*$B69</f>
        <v>-59279.595798726143</v>
      </c>
      <c r="AB69" s="1021">
        <f>(VLOOKUP(YEAR($A69),'NY East Load Projections'!$A$4:$EO$14,((MONTH($A69)-1)*12)+VLOOKUP(AB$4,$DE$6:$DF$17,2)+1))*(VLOOKUP($A69,CURVES!$D$9:$K$261,2))*(INDEX(DailyScalarsTable,AB$5/100,MONTH($A69)))*$B69</f>
        <v>-65004.798053598635</v>
      </c>
      <c r="AC69" s="1021">
        <f>(VLOOKUP(YEAR($A69),'NY East Load Projections'!$A$4:$EO$14,((MONTH($A69)-1)*12)+VLOOKUP(AC$4,$DE$6:$DF$17,2)+1))*(VLOOKUP($A69,CURVES!$D$9:$K$261,2))*(INDEX(DailyScalarsTable,AC$5/100,MONTH($A69)))*$B69</f>
        <v>-55388.993280098868</v>
      </c>
      <c r="AD69" s="1021">
        <f>(VLOOKUP(YEAR($A69),'NY East Load Projections'!$A$4:$EO$14,((MONTH($A69)-1)*12)+VLOOKUP(AD$4,$DE$6:$DF$17,2)+1))*(VLOOKUP($A69,CURVES!$D$9:$K$261,2))*(INDEX(DailyScalarsTable,AD$5/100,MONTH($A69)))*$B69</f>
        <v>-48932.835545944996</v>
      </c>
      <c r="AE69" s="1021">
        <f>(VLOOKUP(YEAR($A69),'NY East Load Projections'!$A$4:$EO$14,((MONTH($A69)-1)*12)+VLOOKUP(AE$4,$DE$6:$DF$17,2)+1))*(VLOOKUP($A69,CURVES!$D$9:$K$261,6))*(INDEX(DailyScalarsTable,AE$5/100,MONTH($A69)))*$B69</f>
        <v>-36483.084563158613</v>
      </c>
      <c r="AF69" s="1021"/>
      <c r="AG69" s="1021">
        <f>(VLOOKUP(YEAR($A69),'NY East Load Projections'!$A$4:$EO$14,((MONTH($A69)-1)*12)+VLOOKUP(AG$4,$DE$6:$DF$17,2)+1))*(VLOOKUP($A69,CURVES!$D$9:$T$261,6))*(INDEX(DailyScalarsTable,AG$5/100,MONTH($A69)))*$C69</f>
        <v>-7826.0849824958332</v>
      </c>
      <c r="AH69" s="1021">
        <f>(VLOOKUP(YEAR($A69),'NY East Load Projections'!$A$4:$EO$14,((MONTH($A69)-1)*12)+VLOOKUP(AH$4,$DE$6:$DF$17,2)+1))*(VLOOKUP($A69,CURVES!$D$9:$T$261,6))*(INDEX(DailyScalarsTable,AH$5/100,MONTH($A69)))*$C69</f>
        <v>-7422.8208424042659</v>
      </c>
      <c r="AI69" s="1021">
        <f>(VLOOKUP(YEAR($A69),'NY East Load Projections'!$A$4:$EO$14,((MONTH($A69)-1)*12)+VLOOKUP(AI$4,$DE$6:$DF$17,2)+1))*(VLOOKUP($A69,CURVES!$D$9:$T$261,6))*(INDEX(DailyScalarsTable,AI$5/100,MONTH($A69)))*$C69</f>
        <v>-7124.4017973498194</v>
      </c>
      <c r="AJ69" s="1021">
        <f>(VLOOKUP(YEAR($A69),'NY East Load Projections'!$A$4:$EO$14,((MONTH($A69)-1)*12)+VLOOKUP(AJ$4,$DE$6:$DF$17,2)+1))*(VLOOKUP($A69,CURVES!$D$9:$T$261,6))*(INDEX(DailyScalarsTable,AJ$5/100,MONTH($A69)))*$C69</f>
        <v>-7128.6099266980264</v>
      </c>
      <c r="AK69" s="1021">
        <f>(VLOOKUP(YEAR($A69),'NY East Load Projections'!$A$4:$EO$14,((MONTH($A69)-1)*12)+VLOOKUP(AK$4,$DE$6:$DF$17,2)+1))*(VLOOKUP($A69,CURVES!$D$9:$T$261,6))*(INDEX(DailyScalarsTable,AK$5/100,MONTH($A69)))*$C69</f>
        <v>-7770.1509062891291</v>
      </c>
      <c r="AL69" s="1021">
        <f>(VLOOKUP(YEAR($A69),'NY East Load Projections'!$A$4:$EO$14,((MONTH($A69)-1)*12)+VLOOKUP(AL$4,$DE$6:$DF$17,2)+1))*(VLOOKUP($A69,CURVES!$D$9:$T$261,6))*(INDEX(DailyScalarsTable,AL$5/100,MONTH($A69)))*$C69</f>
        <v>-8950.5547741765549</v>
      </c>
      <c r="AM69" s="1021">
        <f>(VLOOKUP(YEAR($A69),'NY East Load Projections'!$A$4:$EO$14,((MONTH($A69)-1)*12)+VLOOKUP(AM$4,$DE$6:$DF$17,2)+1))*(VLOOKUP($A69,CURVES!$D$9:$T$261,6))*(INDEX(DailyScalarsTable,AM$5/100,MONTH($A69)))*$C69</f>
        <v>-12766.091443213534</v>
      </c>
      <c r="AN69" s="1021">
        <f>(VLOOKUP(YEAR($A69),'NY East Load Projections'!$A$4:$EO$14,((MONTH($A69)-1)*12)+VLOOKUP(AN$4,$DE$6:$DF$17,2)+1))*(VLOOKUP($A69,SatSunCurve,2))*(INDEX(DailyScalarsTable,AN$5/100,MONTH($A69)))*$C69</f>
        <v>-10806.900249454036</v>
      </c>
      <c r="AO69" s="1021">
        <f>(VLOOKUP(YEAR($A69),'NY East Load Projections'!$A$4:$EO$14,((MONTH($A69)-1)*12)+VLOOKUP(AO$4,$DE$6:$DF$17,2)+1))*(VLOOKUP($A69,SatSunCurve,2))*(INDEX(DailyScalarsTable,AO$5/100,MONTH($A69)))*$C69</f>
        <v>-11746.066185992115</v>
      </c>
      <c r="AP69" s="1021">
        <f>(VLOOKUP(YEAR($A69),'NY East Load Projections'!$A$4:$EO$14,((MONTH($A69)-1)*12)+VLOOKUP(AP$4,$DE$6:$DF$17,2)+1))*(VLOOKUP($A69,SatSunCurve,2))*(INDEX(DailyScalarsTable,AP$5/100,MONTH($A69)))*$C69</f>
        <v>-11256.909036827896</v>
      </c>
      <c r="AQ69" s="1021">
        <f>(VLOOKUP(YEAR($A69),'NY East Load Projections'!$A$4:$EO$14,((MONTH($A69)-1)*12)+VLOOKUP(AQ$4,$DE$6:$DF$17,2)+1))*(VLOOKUP($A69,SatSunCurve,2))*(INDEX(DailyScalarsTable,AQ$5/100,MONTH($A69)))*$C69</f>
        <v>-11488.981223072076</v>
      </c>
      <c r="AR69" s="1021">
        <f>(VLOOKUP(YEAR($A69),'NY East Load Projections'!$A$4:$EO$14,((MONTH($A69)-1)*12)+VLOOKUP(AR$4,$DE$6:$DF$17,2)+1))*(VLOOKUP($A69,SatSunCurve,2))*(INDEX(DailyScalarsTable,AR$5/100,MONTH($A69)))*$C69</f>
        <v>-11511.509286833116</v>
      </c>
      <c r="AS69" s="1021">
        <f>(VLOOKUP(YEAR($A69),'NY East Load Projections'!$A$4:$EO$14,((MONTH($A69)-1)*12)+VLOOKUP(AS$4,$DE$6:$DF$17,2)+1))*(VLOOKUP($A69,SatSunCurve,2))*(INDEX(DailyScalarsTable,AS$5/100,MONTH($A69)))*$C69</f>
        <v>-10631.697504527001</v>
      </c>
      <c r="AT69" s="1021">
        <f>(VLOOKUP(YEAR($A69),'NY East Load Projections'!$A$4:$EO$14,((MONTH($A69)-1)*12)+VLOOKUP(AT$4,$DE$6:$DF$17,2)+1))*(VLOOKUP($A69,SatSunCurve,2))*(INDEX(DailyScalarsTable,AT$5/100,MONTH($A69)))*$C69</f>
        <v>-10643.145548585017</v>
      </c>
      <c r="AU69" s="1021">
        <f>(VLOOKUP(YEAR($A69),'NY East Load Projections'!$A$4:$EO$14,((MONTH($A69)-1)*12)+VLOOKUP(AU$4,$DE$6:$DF$17,2)+1))*(VLOOKUP($A69,SatSunCurve,2))*(INDEX(DailyScalarsTable,AU$5/100,MONTH($A69)))*$C69</f>
        <v>-9982.5260650017935</v>
      </c>
      <c r="AV69" s="1021">
        <f>(VLOOKUP(YEAR($A69),'NY East Load Projections'!$A$4:$EO$14,((MONTH($A69)-1)*12)+VLOOKUP(AV$4,$DE$6:$DF$17,2)+1))*(VLOOKUP($A69,SatSunCurve,2))*(INDEX(DailyScalarsTable,AV$5/100,MONTH($A69)))*$C69</f>
        <v>-9329.8192001057359</v>
      </c>
      <c r="AW69" s="1021">
        <f>(VLOOKUP(YEAR($A69),'NY East Load Projections'!$A$4:$EO$14,((MONTH($A69)-1)*12)+VLOOKUP(AW$4,$DE$6:$DF$17,2)+1))*(VLOOKUP($A69,SatSunCurve,2))*(INDEX(DailyScalarsTable,AW$5/100,MONTH($A69)))*$C69</f>
        <v>-8649.3850734190146</v>
      </c>
      <c r="AX69" s="1021">
        <f>(VLOOKUP(YEAR($A69),'NY East Load Projections'!$A$4:$EO$14,((MONTH($A69)-1)*12)+VLOOKUP(AX$4,$DE$6:$DF$17,2)+1))*(VLOOKUP($A69,SatSunCurve,2))*(INDEX(DailyScalarsTable,AX$5/100,MONTH($A69)))*$C69</f>
        <v>-8536.895383356974</v>
      </c>
      <c r="AY69" s="1021">
        <f>(VLOOKUP(YEAR($A69),'NY East Load Projections'!$A$4:$EO$14,((MONTH($A69)-1)*12)+VLOOKUP(AY$4,$DE$6:$DF$17,2)+1))*(VLOOKUP($A69,SatSunCurve,2))*(INDEX(DailyScalarsTable,AY$5/100,MONTH($A69)))*$C69</f>
        <v>-8491.131441169573</v>
      </c>
      <c r="AZ69" s="1021">
        <f>(VLOOKUP(YEAR($A69),'NY East Load Projections'!$A$4:$EO$14,((MONTH($A69)-1)*12)+VLOOKUP(AZ$4,$DE$6:$DF$17,2)+1))*(VLOOKUP($A69,SatSunCurve,2))*(INDEX(DailyScalarsTable,AZ$5/100,MONTH($A69)))*$C69</f>
        <v>-9313.4422764879655</v>
      </c>
      <c r="BA69" s="1021">
        <f>(VLOOKUP(YEAR($A69),'NY East Load Projections'!$A$4:$EO$14,((MONTH($A69)-1)*12)+VLOOKUP(BA$4,$DE$6:$DF$17,2)+1))*(VLOOKUP($A69,SatSunCurve,2))*(INDEX(DailyScalarsTable,BA$5/100,MONTH($A69)))*$C69</f>
        <v>-11005.785671922295</v>
      </c>
      <c r="BB69" s="1021">
        <f>(VLOOKUP(YEAR($A69),'NY East Load Projections'!$A$4:$EO$14,((MONTH($A69)-1)*12)+VLOOKUP(BB$4,$DE$6:$DF$17,2)+1))*(VLOOKUP($A69,SatSunCurve,2))*(INDEX(DailyScalarsTable,BB$5/100,MONTH($A69)))*$C69</f>
        <v>-9377.7599019948848</v>
      </c>
      <c r="BC69" s="1021">
        <f>(VLOOKUP(YEAR($A69),'NY East Load Projections'!$A$4:$EO$14,((MONTH($A69)-1)*12)+VLOOKUP(BC$4,$DE$6:$DF$17,2)+1))*(VLOOKUP($A69,SatSunCurve,2))*(INDEX(DailyScalarsTable,BC$5/100,MONTH($A69)))*$C69</f>
        <v>-8284.6853842087712</v>
      </c>
      <c r="BD69" s="1021">
        <f>(VLOOKUP(YEAR($A69),'NY East Load Projections'!$A$4:$EO$14,((MONTH($A69)-1)*12)+VLOOKUP(BD$4,$DE$6:$DF$17,2)+1))*(VLOOKUP($A69,CURVES!$D$9:$T$261,6))*(INDEX(DailyScalarsTable,BD$5/100,MONTH($A69)))*$C69</f>
        <v>-8906.2575075600471</v>
      </c>
      <c r="BE69" s="1021"/>
      <c r="BF69" s="1021">
        <f>(VLOOKUP(YEAR($A69),'NY East Load Projections'!$A$4:$EO$14,((MONTH($A69)-1)*12)+VLOOKUP(BF$4,$DE$6:$DF$17,2)+1))*(VLOOKUP($A69,CURVES!$D$9:$T$261,6))*(INDEX(DailyScalarsTable,BF$5/100,MONTH($A69)))*$D69</f>
        <v>-7826.0849824958332</v>
      </c>
      <c r="BG69" s="1021">
        <f>(VLOOKUP(YEAR($A69),'NY East Load Projections'!$A$4:$EO$14,((MONTH($A69)-1)*12)+VLOOKUP(BG$4,$DE$6:$DF$17,2)+1))*(VLOOKUP($A69,CURVES!$D$9:$T$261,6))*(INDEX(DailyScalarsTable,BG$5/100,MONTH($A69)))*$D69</f>
        <v>-7422.8208424042659</v>
      </c>
      <c r="BH69" s="1021">
        <f>(VLOOKUP(YEAR($A69),'NY East Load Projections'!$A$4:$EO$14,((MONTH($A69)-1)*12)+VLOOKUP(BH$4,$DE$6:$DF$17,2)+1))*(VLOOKUP($A69,CURVES!$D$9:$T$261,6))*(INDEX(DailyScalarsTable,BH$5/100,MONTH($A69)))*$D69</f>
        <v>-7124.4017973498194</v>
      </c>
      <c r="BI69" s="1021">
        <f>(VLOOKUP(YEAR($A69),'NY East Load Projections'!$A$4:$EO$14,((MONTH($A69)-1)*12)+VLOOKUP(BI$4,$DE$6:$DF$17,2)+1))*(VLOOKUP($A69,CURVES!$D$9:$T$261,6))*(INDEX(DailyScalarsTable,BI$5/100,MONTH($A69)))*$D69</f>
        <v>-7128.6099266980264</v>
      </c>
      <c r="BJ69" s="1021">
        <f>(VLOOKUP(YEAR($A69),'NY East Load Projections'!$A$4:$EO$14,((MONTH($A69)-1)*12)+VLOOKUP(BJ$4,$DE$6:$DF$17,2)+1))*(VLOOKUP($A69,CURVES!$D$9:$T$261,6))*(INDEX(DailyScalarsTable,BJ$5/100,MONTH($A69)))*$D69</f>
        <v>-7770.1509062891291</v>
      </c>
      <c r="BK69" s="1021">
        <f>(VLOOKUP(YEAR($A69),'NY East Load Projections'!$A$4:$EO$14,((MONTH($A69)-1)*12)+VLOOKUP(BK$4,$DE$6:$DF$17,2)+1))*(VLOOKUP($A69,CURVES!$D$9:$T$261,6))*(INDEX(DailyScalarsTable,BK$5/100,MONTH($A69)))*$D69</f>
        <v>-8950.5547741765549</v>
      </c>
      <c r="BL69" s="1021">
        <f>(VLOOKUP(YEAR($A69),'NY East Load Projections'!$A$4:$EO$14,((MONTH($A69)-1)*12)+VLOOKUP(BL$4,$DE$6:$DF$17,2)+1))*(VLOOKUP($A69,CURVES!$D$9:$T$261,6))*(INDEX(DailyScalarsTable,BL$5/100,MONTH($A69)))*$D69</f>
        <v>-12766.091443213534</v>
      </c>
      <c r="BM69" s="1021">
        <f>(VLOOKUP(YEAR($A69),'NY East Load Projections'!$A$4:$EO$14,((MONTH($A69)-1)*12)+VLOOKUP(BM$4,$DE$6:$DF$17,2)+1))*(VLOOKUP($A69,SatSunCurve,6))*(INDEX(DailyScalarsTable,BM$5/100,MONTH($A69)))*$D69</f>
        <v>-8715.6023143784332</v>
      </c>
      <c r="BN69" s="1021">
        <f>(VLOOKUP(YEAR($A69),'NY East Load Projections'!$A$4:$EO$14,((MONTH($A69)-1)*12)+VLOOKUP(BN$4,$DE$6:$DF$17,2)+1))*(VLOOKUP($A69,SatSunCurve,6))*(INDEX(DailyScalarsTable,BN$5/100,MONTH($A69)))*$D69</f>
        <v>-9473.0254996706444</v>
      </c>
      <c r="BO69" s="1021">
        <f>(VLOOKUP(YEAR($A69),'NY East Load Projections'!$A$4:$EO$14,((MONTH($A69)-1)*12)+VLOOKUP(BO$4,$DE$6:$DF$17,2)+1))*(VLOOKUP($A69,SatSunCurve,6))*(INDEX(DailyScalarsTable,BO$5/100,MONTH($A69)))*$D69</f>
        <v>-9078.527624892371</v>
      </c>
      <c r="BP69" s="1021">
        <f>(VLOOKUP(YEAR($A69),'NY East Load Projections'!$A$4:$EO$14,((MONTH($A69)-1)*12)+VLOOKUP(BP$4,$DE$6:$DF$17,2)+1))*(VLOOKUP($A69,SatSunCurve,6))*(INDEX(DailyScalarsTable,BP$5/100,MONTH($A69)))*$D69</f>
        <v>-9265.6903484156883</v>
      </c>
      <c r="BQ69" s="1021">
        <f>(VLOOKUP(YEAR($A69),'NY East Load Projections'!$A$4:$EO$14,((MONTH($A69)-1)*12)+VLOOKUP(BQ$4,$DE$6:$DF$17,2)+1))*(VLOOKUP($A69,SatSunCurve,6))*(INDEX(DailyScalarsTable,BQ$5/100,MONTH($A69)))*$D69</f>
        <v>-9283.8588925978274</v>
      </c>
      <c r="BR69" s="1021">
        <f>(VLOOKUP(YEAR($A69),'NY East Load Projections'!$A$4:$EO$14,((MONTH($A69)-1)*12)+VLOOKUP(BR$4,$DE$6:$DF$17,2)+1))*(VLOOKUP($A69,SatSunCurve,6))*(INDEX(DailyScalarsTable,BR$5/100,MONTH($A69)))*$D69</f>
        <v>-8574.3039389031292</v>
      </c>
      <c r="BS69" s="1021">
        <f>(VLOOKUP(YEAR($A69),'NY East Load Projections'!$A$4:$EO$14,((MONTH($A69)-1)*12)+VLOOKUP(BS$4,$DE$6:$DF$17,2)+1))*(VLOOKUP($A69,SatSunCurve,6))*(INDEX(DailyScalarsTable,BS$5/100,MONTH($A69)))*$D69</f>
        <v>-8583.5366140443839</v>
      </c>
      <c r="BT69" s="1021">
        <f>(VLOOKUP(YEAR($A69),'NY East Load Projections'!$A$4:$EO$14,((MONTH($A69)-1)*12)+VLOOKUP(BT$4,$DE$6:$DF$17,2)+1))*(VLOOKUP($A69,SatSunCurve,6))*(INDEX(DailyScalarsTable,BT$5/100,MONTH($A69)))*$D69</f>
        <v>-8050.7569485401791</v>
      </c>
      <c r="BU69" s="1021">
        <f>(VLOOKUP(YEAR($A69),'NY East Load Projections'!$A$4:$EO$14,((MONTH($A69)-1)*12)+VLOOKUP(BU$4,$DE$6:$DF$17,2)+1))*(VLOOKUP($A69,SatSunCurve,6))*(INDEX(DailyScalarsTable,BU$5/100,MONTH($A69)))*$D69</f>
        <v>-7524.3586908541984</v>
      </c>
      <c r="BV69" s="1021">
        <f>(VLOOKUP(YEAR($A69),'NY East Load Projections'!$A$4:$EO$14,((MONTH($A69)-1)*12)+VLOOKUP(BV$4,$DE$6:$DF$17,2)+1))*(VLOOKUP($A69,SatSunCurve,6))*(INDEX(DailyScalarsTable,BV$5/100,MONTH($A69)))*$D69</f>
        <v>-6975.5988140678428</v>
      </c>
      <c r="BW69" s="1021">
        <f>(VLOOKUP(YEAR($A69),'NY East Load Projections'!$A$4:$EO$14,((MONTH($A69)-1)*12)+VLOOKUP(BW$4,$DE$6:$DF$17,2)+1))*(VLOOKUP($A69,SatSunCurve,6))*(INDEX(DailyScalarsTable,BW$5/100,MONTH($A69)))*$D69</f>
        <v>-6884.8775729702429</v>
      </c>
      <c r="BX69" s="1021">
        <f>(VLOOKUP(YEAR($A69),'NY East Load Projections'!$A$4:$EO$14,((MONTH($A69)-1)*12)+VLOOKUP(BX$4,$DE$6:$DF$17,2)+1))*(VLOOKUP($A69,SatSunCurve,6))*(INDEX(DailyScalarsTable,BX$5/100,MONTH($A69)))*$D69</f>
        <v>-6847.96964273708</v>
      </c>
      <c r="BY69" s="1021">
        <f>(VLOOKUP(YEAR($A69),'NY East Load Projections'!$A$4:$EO$14,((MONTH($A69)-1)*12)+VLOOKUP(BY$4,$DE$6:$DF$17,2)+1))*(VLOOKUP($A69,SatSunCurve,6))*(INDEX(DailyScalarsTable,BY$5/100,MONTH($A69)))*$D69</f>
        <v>-7511.1509485700371</v>
      </c>
      <c r="BZ69" s="1021">
        <f>(VLOOKUP(YEAR($A69),'NY East Load Projections'!$A$4:$EO$14,((MONTH($A69)-1)*12)+VLOOKUP(BZ$4,$DE$6:$DF$17,2)+1))*(VLOOKUP($A69,SatSunCurve,6))*(INDEX(DailyScalarsTable,BZ$5/100,MONTH($A69)))*$D69</f>
        <v>-8876.0004126627264</v>
      </c>
      <c r="CA69" s="1021">
        <f>(VLOOKUP(YEAR($A69),'NY East Load Projections'!$A$4:$EO$14,((MONTH($A69)-1)*12)+VLOOKUP(CA$4,$DE$6:$DF$17,2)+1))*(VLOOKUP($A69,SatSunCurve,6))*(INDEX(DailyScalarsTable,CA$5/100,MONTH($A69)))*$D69</f>
        <v>-7563.0221450078634</v>
      </c>
      <c r="CB69" s="1021">
        <f>(VLOOKUP(YEAR($A69),'NY East Load Projections'!$A$4:$EO$14,((MONTH($A69)-1)*12)+VLOOKUP(CB$4,$DE$6:$DF$17,2)+1))*(VLOOKUP($A69,SatSunCurve,6))*(INDEX(DailyScalarsTable,CB$5/100,MONTH($A69)))*$D69</f>
        <v>-6681.4740065871329</v>
      </c>
      <c r="CC69" s="1021">
        <f>(VLOOKUP(YEAR($A69),'NY East Load Projections'!$A$4:$EO$14,((MONTH($A69)-1)*12)+VLOOKUP(CC$4,$DE$6:$DF$17,2)+1))*(VLOOKUP($A69,CURVES!$D$9:$T$261,6))*(INDEX(DailyScalarsTable,CC$5/100,MONTH($A69)))*$D69</f>
        <v>-8906.2575075600471</v>
      </c>
      <c r="CE69" s="1021">
        <f>(VLOOKUP(YEAR($A69),'NY East Load Projections'!$A$4:$EO$14,((MONTH($A69)-1)*12)+VLOOKUP(CE$4,$DE$6:$DF$17,2)+1))*(VLOOKUP($A69,CURVES!$D$9:$T$261,6))*(INDEX(DailyScalarsTable,CE$5/100,MONTH($A69)))*$E69</f>
        <v>0</v>
      </c>
      <c r="CF69" s="1021">
        <f>(VLOOKUP(YEAR($A69),'NY East Load Projections'!$A$4:$EO$14,((MONTH($A69)-1)*12)+VLOOKUP(CF$4,$DE$6:$DF$17,2)+1))*(VLOOKUP($A69,CURVES!$D$9:$T$261,6))*(INDEX(DailyScalarsTable,CF$5/100,MONTH($A69)))*$E69</f>
        <v>0</v>
      </c>
      <c r="CG69" s="1021">
        <f>(VLOOKUP(YEAR($A69),'NY East Load Projections'!$A$4:$EO$14,((MONTH($A69)-1)*12)+VLOOKUP(CG$4,$DE$6:$DF$17,2)+1))*(VLOOKUP($A69,CURVES!$D$9:$T$261,6))*(INDEX(DailyScalarsTable,CG$5/100,MONTH($A69)))*$E69</f>
        <v>0</v>
      </c>
      <c r="CH69" s="1021">
        <f>(VLOOKUP(YEAR($A69),'NY East Load Projections'!$A$4:$EO$14,((MONTH($A69)-1)*12)+VLOOKUP(CH$4,$DE$6:$DF$17,2)+1))*(VLOOKUP($A69,CURVES!$D$9:$T$261,6))*(INDEX(DailyScalarsTable,CH$5/100,MONTH($A69)))*$E69</f>
        <v>0</v>
      </c>
      <c r="CI69" s="1021">
        <f>(VLOOKUP(YEAR($A69),'NY East Load Projections'!$A$4:$EO$14,((MONTH($A69)-1)*12)+VLOOKUP(CI$4,$DE$6:$DF$17,2)+1))*(VLOOKUP($A69,CURVES!$D$9:$T$261,6))*(INDEX(DailyScalarsTable,CI$5/100,MONTH($A69)))*$E69</f>
        <v>0</v>
      </c>
      <c r="CJ69" s="1021">
        <f>(VLOOKUP(YEAR($A69),'NY East Load Projections'!$A$4:$EO$14,((MONTH($A69)-1)*12)+VLOOKUP(CJ$4,$DE$6:$DF$17,2)+1))*(VLOOKUP($A69,CURVES!$D$9:$T$261,6))*(INDEX(DailyScalarsTable,CJ$5/100,MONTH($A69)))*$E69</f>
        <v>0</v>
      </c>
      <c r="CK69" s="1021">
        <f>(VLOOKUP(YEAR($A69),'NY East Load Projections'!$A$4:$EO$14,((MONTH($A69)-1)*12)+VLOOKUP(CK$4,$DE$6:$DF$17,2)+1))*(VLOOKUP($A69,CURVES!$D$9:$T$261,6))*(INDEX(DailyScalarsTable,CK$5/100,MONTH($A69)))*$E69</f>
        <v>0</v>
      </c>
      <c r="CL69" s="1021">
        <f>(VLOOKUP(YEAR($A69),'NY East Load Projections'!$A$4:$EO$14,((MONTH($A69)-1)*12)+VLOOKUP(CL$4,$DE$6:$DF$17,2)+1))*(VLOOKUP($A69,SatSunCurve,6))*(INDEX(DailyScalarsTable,CL$5/100,MONTH($A69)))*$E69</f>
        <v>0</v>
      </c>
      <c r="CM69" s="1021">
        <f>(VLOOKUP(YEAR($A69),'NY East Load Projections'!$A$4:$EO$14,((MONTH($A69)-1)*12)+VLOOKUP(CM$4,$DE$6:$DF$17,2)+1))*(VLOOKUP($A69,SatSunCurve,6))*(INDEX(DailyScalarsTable,CM$5/100,MONTH($A69)))*$E69</f>
        <v>0</v>
      </c>
      <c r="CN69" s="1021">
        <f>(VLOOKUP(YEAR($A69),'NY East Load Projections'!$A$4:$EO$14,((MONTH($A69)-1)*12)+VLOOKUP(CN$4,$DE$6:$DF$17,2)+1))*(VLOOKUP($A69,SatSunCurve,6))*(INDEX(DailyScalarsTable,CN$5/100,MONTH($A69)))*$E69</f>
        <v>0</v>
      </c>
      <c r="CO69" s="1021">
        <f>(VLOOKUP(YEAR($A69),'NY East Load Projections'!$A$4:$EO$14,((MONTH($A69)-1)*12)+VLOOKUP(CO$4,$DE$6:$DF$17,2)+1))*(VLOOKUP($A69,SatSunCurve,6))*(INDEX(DailyScalarsTable,CO$5/100,MONTH($A69)))*$E69</f>
        <v>0</v>
      </c>
      <c r="CP69" s="1021">
        <f>(VLOOKUP(YEAR($A69),'NY East Load Projections'!$A$4:$EO$14,((MONTH($A69)-1)*12)+VLOOKUP(CP$4,$DE$6:$DF$17,2)+1))*(VLOOKUP($A69,SatSunCurve,6))*(INDEX(DailyScalarsTable,CP$5/100,MONTH($A69)))*$E69</f>
        <v>0</v>
      </c>
      <c r="CQ69" s="1021">
        <f>(VLOOKUP(YEAR($A69),'NY East Load Projections'!$A$4:$EO$14,((MONTH($A69)-1)*12)+VLOOKUP(CQ$4,$DE$6:$DF$17,2)+1))*(VLOOKUP($A69,SatSunCurve,6))*(INDEX(DailyScalarsTable,CQ$5/100,MONTH($A69)))*$E69</f>
        <v>0</v>
      </c>
      <c r="CR69" s="1021">
        <f>(VLOOKUP(YEAR($A69),'NY East Load Projections'!$A$4:$EO$14,((MONTH($A69)-1)*12)+VLOOKUP(CR$4,$DE$6:$DF$17,2)+1))*(VLOOKUP($A69,SatSunCurve,6))*(INDEX(DailyScalarsTable,CR$5/100,MONTH($A69)))*$E69</f>
        <v>0</v>
      </c>
      <c r="CS69" s="1021">
        <f>(VLOOKUP(YEAR($A69),'NY East Load Projections'!$A$4:$EO$14,((MONTH($A69)-1)*12)+VLOOKUP(CS$4,$DE$6:$DF$17,2)+1))*(VLOOKUP($A69,SatSunCurve,6))*(INDEX(DailyScalarsTable,CS$5/100,MONTH($A69)))*$E69</f>
        <v>0</v>
      </c>
      <c r="CT69" s="1021">
        <f>(VLOOKUP(YEAR($A69),'NY East Load Projections'!$A$4:$EO$14,((MONTH($A69)-1)*12)+VLOOKUP(CT$4,$DE$6:$DF$17,2)+1))*(VLOOKUP($A69,SatSunCurve,6))*(INDEX(DailyScalarsTable,CT$5/100,MONTH($A69)))*$E69</f>
        <v>0</v>
      </c>
      <c r="CU69" s="1021">
        <f>(VLOOKUP(YEAR($A69),'NY East Load Projections'!$A$4:$EO$14,((MONTH($A69)-1)*12)+VLOOKUP(CU$4,$DE$6:$DF$17,2)+1))*(VLOOKUP($A69,SatSunCurve,6))*(INDEX(DailyScalarsTable,CU$5/100,MONTH($A69)))*$E69</f>
        <v>0</v>
      </c>
      <c r="CV69" s="1021">
        <f>(VLOOKUP(YEAR($A69),'NY East Load Projections'!$A$4:$EO$14,((MONTH($A69)-1)*12)+VLOOKUP(CV$4,$DE$6:$DF$17,2)+1))*(VLOOKUP($A69,SatSunCurve,6))*(INDEX(DailyScalarsTable,CV$5/100,MONTH($A69)))*$E69</f>
        <v>0</v>
      </c>
      <c r="CW69" s="1021">
        <f>(VLOOKUP(YEAR($A69),'NY East Load Projections'!$A$4:$EO$14,((MONTH($A69)-1)*12)+VLOOKUP(CW$4,$DE$6:$DF$17,2)+1))*(VLOOKUP($A69,SatSunCurve,6))*(INDEX(DailyScalarsTable,CW$5/100,MONTH($A69)))*$E69</f>
        <v>0</v>
      </c>
      <c r="CX69" s="1021">
        <f>(VLOOKUP(YEAR($A69),'NY East Load Projections'!$A$4:$EO$14,((MONTH($A69)-1)*12)+VLOOKUP(CX$4,$DE$6:$DF$17,2)+1))*(VLOOKUP($A69,SatSunCurve,6))*(INDEX(DailyScalarsTable,CX$5/100,MONTH($A69)))*$E69</f>
        <v>0</v>
      </c>
      <c r="CY69" s="1021">
        <f>(VLOOKUP(YEAR($A69),'NY East Load Projections'!$A$4:$EO$14,((MONTH($A69)-1)*12)+VLOOKUP(CY$4,$DE$6:$DF$17,2)+1))*(VLOOKUP($A69,SatSunCurve,6))*(INDEX(DailyScalarsTable,CY$5/100,MONTH($A69)))*$E69</f>
        <v>0</v>
      </c>
      <c r="CZ69" s="1021">
        <f>(VLOOKUP(YEAR($A69),'NY East Load Projections'!$A$4:$EO$14,((MONTH($A69)-1)*12)+VLOOKUP(CZ$4,$DE$6:$DF$17,2)+1))*(VLOOKUP($A69,SatSunCurve,6))*(INDEX(DailyScalarsTable,CZ$5/100,MONTH($A69)))*$E69</f>
        <v>0</v>
      </c>
      <c r="DA69" s="1021">
        <f>(VLOOKUP(YEAR($A69),'NY East Load Projections'!$A$4:$EO$14,((MONTH($A69)-1)*12)+VLOOKUP(DA$4,$DE$6:$DF$17,2)+1))*(VLOOKUP($A69,SatSunCurve,6))*(INDEX(DailyScalarsTable,DA$5/100,MONTH($A69)))*$E69</f>
        <v>0</v>
      </c>
      <c r="DB69" s="1021">
        <f>(VLOOKUP(YEAR($A69),'NY East Load Projections'!$A$4:$EO$14,((MONTH($A69)-1)*12)+VLOOKUP(DB$4,$DE$6:$DF$17,2)+1))*(VLOOKUP($A69,CURVES!$D$9:$T$261,6))*(INDEX(DailyScalarsTable,DB$5/100,MONTH($A69)))*$E69</f>
        <v>0</v>
      </c>
      <c r="DH69" s="1021">
        <f t="shared" si="0"/>
        <v>-1712570.2763859408</v>
      </c>
      <c r="DI69">
        <f ca="1">CALC!J89</f>
        <v>0.63892430376292408</v>
      </c>
      <c r="DJ69" s="1029">
        <f t="shared" ca="1" si="1"/>
        <v>-1094202.7714849657</v>
      </c>
    </row>
    <row r="70" spans="1:114" x14ac:dyDescent="0.25">
      <c r="A70" s="244">
        <v>38838</v>
      </c>
      <c r="B70" s="13">
        <v>22</v>
      </c>
      <c r="C70" s="210">
        <v>4</v>
      </c>
      <c r="D70" s="210">
        <v>4</v>
      </c>
      <c r="E70" s="210">
        <v>1</v>
      </c>
      <c r="F70" s="13">
        <v>31</v>
      </c>
      <c r="H70" s="1021">
        <f>(VLOOKUP(YEAR($A70),'NY East Load Projections'!$A$4:$EO$14,((MONTH($A70)-1)*12)+VLOOKUP(H$4,$DE$6:$DF$17,2)+1))*(VLOOKUP($A70,CURVES!$D$9:$K$261,6))*(INDEX(DailyScalarsTable,H$5/100,MONTH($A70)))*$B70</f>
        <v>-37279.596411380844</v>
      </c>
      <c r="I70" s="1021">
        <f>(VLOOKUP(YEAR($A70),'NY East Load Projections'!$A$4:$EO$14,((MONTH($A70)-1)*12)+VLOOKUP(I$4,$DE$6:$DF$17,2)+1))*(VLOOKUP($A70,CURVES!$D$9:$K$261,6))*(INDEX(DailyScalarsTable,I$5/100,MONTH($A70)))*$B70</f>
        <v>-33580.019765672791</v>
      </c>
      <c r="J70" s="1021">
        <f>(VLOOKUP(YEAR($A70),'NY East Load Projections'!$A$4:$EO$14,((MONTH($A70)-1)*12)+VLOOKUP(J$4,$DE$6:$DF$17,2)+1))*(VLOOKUP($A70,CURVES!$D$9:$K$261,6))*(INDEX(DailyScalarsTable,J$5/100,MONTH($A70)))*$B70</f>
        <v>-31779.167641836077</v>
      </c>
      <c r="K70" s="1021">
        <f>(VLOOKUP(YEAR($A70),'NY East Load Projections'!$A$4:$EO$14,((MONTH($A70)-1)*12)+VLOOKUP(K$4,$DE$6:$DF$17,2)+1))*(VLOOKUP($A70,CURVES!$D$9:$K$261,6))*(INDEX(DailyScalarsTable,K$5/100,MONTH($A70)))*$B70</f>
        <v>-30810.230901293478</v>
      </c>
      <c r="L70" s="1021">
        <f>(VLOOKUP(YEAR($A70),'NY East Load Projections'!$A$4:$EO$14,((MONTH($A70)-1)*12)+VLOOKUP(L$4,$DE$6:$DF$17,2)+1))*(VLOOKUP($A70,CURVES!$D$9:$K$261,6))*(INDEX(DailyScalarsTable,L$5/100,MONTH($A70)))*$B70</f>
        <v>-36570.425282615804</v>
      </c>
      <c r="M70" s="1021">
        <f>(VLOOKUP(YEAR($A70),'NY East Load Projections'!$A$4:$EO$14,((MONTH($A70)-1)*12)+VLOOKUP(M$4,$DE$6:$DF$17,2)+1))*(VLOOKUP($A70,CURVES!$D$9:$K$261,6))*(INDEX(DailyScalarsTable,M$5/100,MONTH($A70)))*$B70</f>
        <v>-44339.494503453199</v>
      </c>
      <c r="N70" s="1021">
        <f>(VLOOKUP(YEAR($A70),'NY East Load Projections'!$A$4:$EO$14,((MONTH($A70)-1)*12)+VLOOKUP(N$4,$DE$6:$DF$17,2)+1))*(VLOOKUP($A70,CURVES!$D$9:$K$261,6))*(INDEX(DailyScalarsTable,N$5/100,MONTH($A70)))*$B70</f>
        <v>-53052.870480414495</v>
      </c>
      <c r="O70" s="1021">
        <f>(VLOOKUP(YEAR($A70),'NY East Load Projections'!$A$4:$EO$14,((MONTH($A70)-1)*12)+VLOOKUP(O$4,$DE$6:$DF$17,2)+1))*(VLOOKUP($A70,CURVES!$D$9:$K$261,2))*(INDEX(DailyScalarsTable,O$5/100,MONTH($A70)))*$B70</f>
        <v>-67130.765592920274</v>
      </c>
      <c r="P70" s="1021">
        <f>(VLOOKUP(YEAR($A70),'NY East Load Projections'!$A$4:$EO$14,((MONTH($A70)-1)*12)+VLOOKUP(P$4,$DE$6:$DF$17,2)+1))*(VLOOKUP($A70,CURVES!$D$9:$K$261,2))*(INDEX(DailyScalarsTable,P$5/100,MONTH($A70)))*$B70</f>
        <v>-82807.151378256822</v>
      </c>
      <c r="Q70" s="1021">
        <f>(VLOOKUP(YEAR($A70),'NY East Load Projections'!$A$4:$EO$14,((MONTH($A70)-1)*12)+VLOOKUP(Q$4,$DE$6:$DF$17,2)+1))*(VLOOKUP($A70,CURVES!$D$9:$K$261,2))*(INDEX(DailyScalarsTable,Q$5/100,MONTH($A70)))*$B70</f>
        <v>-84275.870277290436</v>
      </c>
      <c r="R70" s="1021">
        <f>(VLOOKUP(YEAR($A70),'NY East Load Projections'!$A$4:$EO$14,((MONTH($A70)-1)*12)+VLOOKUP(R$4,$DE$6:$DF$17,2)+1))*(VLOOKUP($A70,CURVES!$D$9:$K$261,2))*(INDEX(DailyScalarsTable,R$5/100,MONTH($A70)))*$B70</f>
        <v>-89396.89015533679</v>
      </c>
      <c r="S70" s="1021">
        <f>(VLOOKUP(YEAR($A70),'NY East Load Projections'!$A$4:$EO$14,((MONTH($A70)-1)*12)+VLOOKUP(S$4,$DE$6:$DF$17,2)+1))*(VLOOKUP($A70,CURVES!$D$9:$K$261,2))*(INDEX(DailyScalarsTable,S$5/100,MONTH($A70)))*$B70</f>
        <v>-88721.019511533683</v>
      </c>
      <c r="T70" s="1021">
        <f>(VLOOKUP(YEAR($A70),'NY East Load Projections'!$A$4:$EO$14,((MONTH($A70)-1)*12)+VLOOKUP(T$4,$DE$6:$DF$17,2)+1))*(VLOOKUP($A70,CURVES!$D$9:$K$261,2))*(INDEX(DailyScalarsTable,T$5/100,MONTH($A70)))*$B70</f>
        <v>-86616.274348341627</v>
      </c>
      <c r="U70" s="1021">
        <f>(VLOOKUP(YEAR($A70),'NY East Load Projections'!$A$4:$EO$14,((MONTH($A70)-1)*12)+VLOOKUP(U$4,$DE$6:$DF$17,2)+1))*(VLOOKUP($A70,CURVES!$D$9:$K$261,2))*(INDEX(DailyScalarsTable,U$5/100,MONTH($A70)))*$B70</f>
        <v>-87033.734625828991</v>
      </c>
      <c r="V70" s="1021">
        <f>(VLOOKUP(YEAR($A70),'NY East Load Projections'!$A$4:$EO$14,((MONTH($A70)-1)*12)+VLOOKUP(V$4,$DE$6:$DF$17,2)+1))*(VLOOKUP($A70,CURVES!$D$9:$K$261,2))*(INDEX(DailyScalarsTable,V$5/100,MONTH($A70)))*$B70</f>
        <v>-84421.241276392073</v>
      </c>
      <c r="W70" s="1021">
        <f>(VLOOKUP(YEAR($A70),'NY East Load Projections'!$A$4:$EO$14,((MONTH($A70)-1)*12)+VLOOKUP(W$4,$DE$6:$DF$17,2)+1))*(VLOOKUP($A70,CURVES!$D$9:$K$261,2))*(INDEX(DailyScalarsTable,W$5/100,MONTH($A70)))*$B70</f>
        <v>-81135.424898749741</v>
      </c>
      <c r="X70" s="1021">
        <f>(VLOOKUP(YEAR($A70),'NY East Load Projections'!$A$4:$EO$14,((MONTH($A70)-1)*12)+VLOOKUP(X$4,$DE$6:$DF$17,2)+1))*(VLOOKUP($A70,CURVES!$D$9:$K$261,2))*(INDEX(DailyScalarsTable,X$5/100,MONTH($A70)))*$B70</f>
        <v>-77307.392573568184</v>
      </c>
      <c r="Y70" s="1021">
        <f>(VLOOKUP(YEAR($A70),'NY East Load Projections'!$A$4:$EO$14,((MONTH($A70)-1)*12)+VLOOKUP(Y$4,$DE$6:$DF$17,2)+1))*(VLOOKUP($A70,CURVES!$D$9:$K$261,2))*(INDEX(DailyScalarsTable,Y$5/100,MONTH($A70)))*$B70</f>
        <v>-74294.594238459395</v>
      </c>
      <c r="Z70" s="1021">
        <f>(VLOOKUP(YEAR($A70),'NY East Load Projections'!$A$4:$EO$14,((MONTH($A70)-1)*12)+VLOOKUP(Z$4,$DE$6:$DF$17,2)+1))*(VLOOKUP($A70,CURVES!$D$9:$K$261,2))*(INDEX(DailyScalarsTable,Z$5/100,MONTH($A70)))*$B70</f>
        <v>-64370.082075748185</v>
      </c>
      <c r="AA70" s="1021">
        <f>(VLOOKUP(YEAR($A70),'NY East Load Projections'!$A$4:$EO$14,((MONTH($A70)-1)*12)+VLOOKUP(AA$4,$DE$6:$DF$17,2)+1))*(VLOOKUP($A70,CURVES!$D$9:$K$261,2))*(INDEX(DailyScalarsTable,AA$5/100,MONTH($A70)))*$B70</f>
        <v>-64205.517460805284</v>
      </c>
      <c r="AB70" s="1021">
        <f>(VLOOKUP(YEAR($A70),'NY East Load Projections'!$A$4:$EO$14,((MONTH($A70)-1)*12)+VLOOKUP(AB$4,$DE$6:$DF$17,2)+1))*(VLOOKUP($A70,CURVES!$D$9:$K$261,2))*(INDEX(DailyScalarsTable,AB$5/100,MONTH($A70)))*$B70</f>
        <v>-74060.596343714773</v>
      </c>
      <c r="AC70" s="1021">
        <f>(VLOOKUP(YEAR($A70),'NY East Load Projections'!$A$4:$EO$14,((MONTH($A70)-1)*12)+VLOOKUP(AC$4,$DE$6:$DF$17,2)+1))*(VLOOKUP($A70,CURVES!$D$9:$K$261,2))*(INDEX(DailyScalarsTable,AC$5/100,MONTH($A70)))*$B70</f>
        <v>-70640.01516761721</v>
      </c>
      <c r="AD70" s="1021">
        <f>(VLOOKUP(YEAR($A70),'NY East Load Projections'!$A$4:$EO$14,((MONTH($A70)-1)*12)+VLOOKUP(AD$4,$DE$6:$DF$17,2)+1))*(VLOOKUP($A70,CURVES!$D$9:$K$261,2))*(INDEX(DailyScalarsTable,AD$5/100,MONTH($A70)))*$B70</f>
        <v>-56667.999549290391</v>
      </c>
      <c r="AE70" s="1021">
        <f>(VLOOKUP(YEAR($A70),'NY East Load Projections'!$A$4:$EO$14,((MONTH($A70)-1)*12)+VLOOKUP(AE$4,$DE$6:$DF$17,2)+1))*(VLOOKUP($A70,CURVES!$D$9:$K$261,6))*(INDEX(DailyScalarsTable,AE$5/100,MONTH($A70)))*$B70</f>
        <v>-46772.833743602598</v>
      </c>
      <c r="AF70" s="1021"/>
      <c r="AG70" s="1021">
        <f>(VLOOKUP(YEAR($A70),'NY East Load Projections'!$A$4:$EO$14,((MONTH($A70)-1)*12)+VLOOKUP(AG$4,$DE$6:$DF$17,2)+1))*(VLOOKUP($A70,CURVES!$D$9:$T$261,6))*(INDEX(DailyScalarsTable,AG$5/100,MONTH($A70)))*$C70</f>
        <v>-7151.9187019062101</v>
      </c>
      <c r="AH70" s="1021">
        <f>(VLOOKUP(YEAR($A70),'NY East Load Projections'!$A$4:$EO$14,((MONTH($A70)-1)*12)+VLOOKUP(AH$4,$DE$6:$DF$17,2)+1))*(VLOOKUP($A70,CURVES!$D$9:$T$261,6))*(INDEX(DailyScalarsTable,AH$5/100,MONTH($A70)))*$C70</f>
        <v>-6442.1719785351024</v>
      </c>
      <c r="AI70" s="1021">
        <f>(VLOOKUP(YEAR($A70),'NY East Load Projections'!$A$4:$EO$14,((MONTH($A70)-1)*12)+VLOOKUP(AI$4,$DE$6:$DF$17,2)+1))*(VLOOKUP($A70,CURVES!$D$9:$T$261,6))*(INDEX(DailyScalarsTable,AI$5/100,MONTH($A70)))*$C70</f>
        <v>-6096.6868010211256</v>
      </c>
      <c r="AJ70" s="1021">
        <f>(VLOOKUP(YEAR($A70),'NY East Load Projections'!$A$4:$EO$14,((MONTH($A70)-1)*12)+VLOOKUP(AJ$4,$DE$6:$DF$17,2)+1))*(VLOOKUP($A70,CURVES!$D$9:$T$261,6))*(INDEX(DailyScalarsTable,AJ$5/100,MONTH($A70)))*$C70</f>
        <v>-5910.800754423929</v>
      </c>
      <c r="AK70" s="1021">
        <f>(VLOOKUP(YEAR($A70),'NY East Load Projections'!$A$4:$EO$14,((MONTH($A70)-1)*12)+VLOOKUP(AK$4,$DE$6:$DF$17,2)+1))*(VLOOKUP($A70,CURVES!$D$9:$T$261,6))*(INDEX(DailyScalarsTable,AK$5/100,MONTH($A70)))*$C70</f>
        <v>-6495.2621858374632</v>
      </c>
      <c r="AL70" s="1021">
        <f>(VLOOKUP(YEAR($A70),'NY East Load Projections'!$A$4:$EO$14,((MONTH($A70)-1)*12)+VLOOKUP(AL$4,$DE$6:$DF$17,2)+1))*(VLOOKUP($A70,CURVES!$D$9:$T$261,6))*(INDEX(DailyScalarsTable,AL$5/100,MONTH($A70)))*$C70</f>
        <v>-7875.124222969599</v>
      </c>
      <c r="AM70" s="1021">
        <f>(VLOOKUP(YEAR($A70),'NY East Load Projections'!$A$4:$EO$14,((MONTH($A70)-1)*12)+VLOOKUP(AM$4,$DE$6:$DF$17,2)+1))*(VLOOKUP($A70,CURVES!$D$9:$T$261,6))*(INDEX(DailyScalarsTable,AM$5/100,MONTH($A70)))*$C70</f>
        <v>-9422.7042977642086</v>
      </c>
      <c r="AN70" s="1021">
        <f>(VLOOKUP(YEAR($A70),'NY East Load Projections'!$A$4:$EO$14,((MONTH($A70)-1)*12)+VLOOKUP(AN$4,$DE$6:$DF$17,2)+1))*(VLOOKUP($A70,SatSunCurve,2))*(INDEX(DailyScalarsTable,AN$5/100,MONTH($A70)))*$C70</f>
        <v>-7772.9776578431556</v>
      </c>
      <c r="AO70" s="1021">
        <f>(VLOOKUP(YEAR($A70),'NY East Load Projections'!$A$4:$EO$14,((MONTH($A70)-1)*12)+VLOOKUP(AO$4,$DE$6:$DF$17,2)+1))*(VLOOKUP($A70,SatSunCurve,2))*(INDEX(DailyScalarsTable,AO$5/100,MONTH($A70)))*$C70</f>
        <v>-9483.6663469835858</v>
      </c>
      <c r="AP70" s="1021">
        <f>(VLOOKUP(YEAR($A70),'NY East Load Projections'!$A$4:$EO$14,((MONTH($A70)-1)*12)+VLOOKUP(AP$4,$DE$6:$DF$17,2)+1))*(VLOOKUP($A70,SatSunCurve,2))*(INDEX(DailyScalarsTable,AP$5/100,MONTH($A70)))*$C70</f>
        <v>-9651.8745242256464</v>
      </c>
      <c r="AQ70" s="1021">
        <f>(VLOOKUP(YEAR($A70),'NY East Load Projections'!$A$4:$EO$14,((MONTH($A70)-1)*12)+VLOOKUP(AQ$4,$DE$6:$DF$17,2)+1))*(VLOOKUP($A70,SatSunCurve,2))*(INDEX(DailyScalarsTable,AQ$5/100,MONTH($A70)))*$C70</f>
        <v>-10238.370292662554</v>
      </c>
      <c r="AR70" s="1021">
        <f>(VLOOKUP(YEAR($A70),'NY East Load Projections'!$A$4:$EO$14,((MONTH($A70)-1)*12)+VLOOKUP(AR$4,$DE$6:$DF$17,2)+1))*(VLOOKUP($A70,SatSunCurve,2))*(INDEX(DailyScalarsTable,AR$5/100,MONTH($A70)))*$C70</f>
        <v>-10160.9647597724</v>
      </c>
      <c r="AS70" s="1021">
        <f>(VLOOKUP(YEAR($A70),'NY East Load Projections'!$A$4:$EO$14,((MONTH($A70)-1)*12)+VLOOKUP(AS$4,$DE$6:$DF$17,2)+1))*(VLOOKUP($A70,SatSunCurve,2))*(INDEX(DailyScalarsTable,AS$5/100,MONTH($A70)))*$C70</f>
        <v>-9711.0428242968992</v>
      </c>
      <c r="AT70" s="1021">
        <f>(VLOOKUP(YEAR($A70),'NY East Load Projections'!$A$4:$EO$14,((MONTH($A70)-1)*12)+VLOOKUP(AT$4,$DE$6:$DF$17,2)+1))*(VLOOKUP($A70,SatSunCurve,2))*(INDEX(DailyScalarsTable,AT$5/100,MONTH($A70)))*$C70</f>
        <v>-9757.8466687547989</v>
      </c>
      <c r="AU70" s="1021">
        <f>(VLOOKUP(YEAR($A70),'NY East Load Projections'!$A$4:$EO$14,((MONTH($A70)-1)*12)+VLOOKUP(AU$4,$DE$6:$DF$17,2)+1))*(VLOOKUP($A70,SatSunCurve,2))*(INDEX(DailyScalarsTable,AU$5/100,MONTH($A70)))*$C70</f>
        <v>-9464.9451905344013</v>
      </c>
      <c r="AV70" s="1021">
        <f>(VLOOKUP(YEAR($A70),'NY East Load Projections'!$A$4:$EO$14,((MONTH($A70)-1)*12)+VLOOKUP(AV$4,$DE$6:$DF$17,2)+1))*(VLOOKUP($A70,SatSunCurve,2))*(INDEX(DailyScalarsTable,AV$5/100,MONTH($A70)))*$C70</f>
        <v>-9096.5536406077135</v>
      </c>
      <c r="AW70" s="1021">
        <f>(VLOOKUP(YEAR($A70),'NY East Load Projections'!$A$4:$EO$14,((MONTH($A70)-1)*12)+VLOOKUP(AW$4,$DE$6:$DF$17,2)+1))*(VLOOKUP($A70,SatSunCurve,2))*(INDEX(DailyScalarsTable,AW$5/100,MONTH($A70)))*$C70</f>
        <v>-8581.0079129921705</v>
      </c>
      <c r="AX70" s="1021">
        <f>(VLOOKUP(YEAR($A70),'NY East Load Projections'!$A$4:$EO$14,((MONTH($A70)-1)*12)+VLOOKUP(AX$4,$DE$6:$DF$17,2)+1))*(VLOOKUP($A70,SatSunCurve,2))*(INDEX(DailyScalarsTable,AX$5/100,MONTH($A70)))*$C70</f>
        <v>-8246.5916884478538</v>
      </c>
      <c r="AY70" s="1021">
        <f>(VLOOKUP(YEAR($A70),'NY East Load Projections'!$A$4:$EO$14,((MONTH($A70)-1)*12)+VLOOKUP(AY$4,$DE$6:$DF$17,2)+1))*(VLOOKUP($A70,SatSunCurve,2))*(INDEX(DailyScalarsTable,AY$5/100,MONTH($A70)))*$C70</f>
        <v>-7144.9853017136375</v>
      </c>
      <c r="AZ70" s="1021">
        <f>(VLOOKUP(YEAR($A70),'NY East Load Projections'!$A$4:$EO$14,((MONTH($A70)-1)*12)+VLOOKUP(AZ$4,$DE$6:$DF$17,2)+1))*(VLOOKUP($A70,SatSunCurve,2))*(INDEX(DailyScalarsTable,AZ$5/100,MONTH($A70)))*$C70</f>
        <v>-7126.7188692805476</v>
      </c>
      <c r="BA70" s="1021">
        <f>(VLOOKUP(YEAR($A70),'NY East Load Projections'!$A$4:$EO$14,((MONTH($A70)-1)*12)+VLOOKUP(BA$4,$DE$6:$DF$17,2)+1))*(VLOOKUP($A70,SatSunCurve,2))*(INDEX(DailyScalarsTable,BA$5/100,MONTH($A70)))*$C70</f>
        <v>-8946.6208552556036</v>
      </c>
      <c r="BB70" s="1021">
        <f>(VLOOKUP(YEAR($A70),'NY East Load Projections'!$A$4:$EO$14,((MONTH($A70)-1)*12)+VLOOKUP(BB$4,$DE$6:$DF$17,2)+1))*(VLOOKUP($A70,SatSunCurve,2))*(INDEX(DailyScalarsTable,BB$5/100,MONTH($A70)))*$C70</f>
        <v>-8533.4099928269188</v>
      </c>
      <c r="BC70" s="1021">
        <f>(VLOOKUP(YEAR($A70),'NY East Load Projections'!$A$4:$EO$14,((MONTH($A70)-1)*12)+VLOOKUP(BC$4,$DE$6:$DF$17,2)+1))*(VLOOKUP($A70,SatSunCurve,2))*(INDEX(DailyScalarsTable,BC$5/100,MONTH($A70)))*$C70</f>
        <v>-6845.5714863592593</v>
      </c>
      <c r="BD70" s="1021">
        <f>(VLOOKUP(YEAR($A70),'NY East Load Projections'!$A$4:$EO$14,((MONTH($A70)-1)*12)+VLOOKUP(BD$4,$DE$6:$DF$17,2)+1))*(VLOOKUP($A70,CURVES!$D$9:$T$261,6))*(INDEX(DailyScalarsTable,BD$5/100,MONTH($A70)))*$C70</f>
        <v>-8666.9515155479021</v>
      </c>
      <c r="BE70" s="1021"/>
      <c r="BF70" s="1021">
        <f>(VLOOKUP(YEAR($A70),'NY East Load Projections'!$A$4:$EO$14,((MONTH($A70)-1)*12)+VLOOKUP(BF$4,$DE$6:$DF$17,2)+1))*(VLOOKUP($A70,CURVES!$D$9:$T$261,6))*(INDEX(DailyScalarsTable,BF$5/100,MONTH($A70)))*$D70</f>
        <v>-7151.9187019062101</v>
      </c>
      <c r="BG70" s="1021">
        <f>(VLOOKUP(YEAR($A70),'NY East Load Projections'!$A$4:$EO$14,((MONTH($A70)-1)*12)+VLOOKUP(BG$4,$DE$6:$DF$17,2)+1))*(VLOOKUP($A70,CURVES!$D$9:$T$261,6))*(INDEX(DailyScalarsTable,BG$5/100,MONTH($A70)))*$D70</f>
        <v>-6442.1719785351024</v>
      </c>
      <c r="BH70" s="1021">
        <f>(VLOOKUP(YEAR($A70),'NY East Load Projections'!$A$4:$EO$14,((MONTH($A70)-1)*12)+VLOOKUP(BH$4,$DE$6:$DF$17,2)+1))*(VLOOKUP($A70,CURVES!$D$9:$T$261,6))*(INDEX(DailyScalarsTable,BH$5/100,MONTH($A70)))*$D70</f>
        <v>-6096.6868010211256</v>
      </c>
      <c r="BI70" s="1021">
        <f>(VLOOKUP(YEAR($A70),'NY East Load Projections'!$A$4:$EO$14,((MONTH($A70)-1)*12)+VLOOKUP(BI$4,$DE$6:$DF$17,2)+1))*(VLOOKUP($A70,CURVES!$D$9:$T$261,6))*(INDEX(DailyScalarsTable,BI$5/100,MONTH($A70)))*$D70</f>
        <v>-5910.800754423929</v>
      </c>
      <c r="BJ70" s="1021">
        <f>(VLOOKUP(YEAR($A70),'NY East Load Projections'!$A$4:$EO$14,((MONTH($A70)-1)*12)+VLOOKUP(BJ$4,$DE$6:$DF$17,2)+1))*(VLOOKUP($A70,CURVES!$D$9:$T$261,6))*(INDEX(DailyScalarsTable,BJ$5/100,MONTH($A70)))*$D70</f>
        <v>-6495.2621858374632</v>
      </c>
      <c r="BK70" s="1021">
        <f>(VLOOKUP(YEAR($A70),'NY East Load Projections'!$A$4:$EO$14,((MONTH($A70)-1)*12)+VLOOKUP(BK$4,$DE$6:$DF$17,2)+1))*(VLOOKUP($A70,CURVES!$D$9:$T$261,6))*(INDEX(DailyScalarsTable,BK$5/100,MONTH($A70)))*$D70</f>
        <v>-7875.124222969599</v>
      </c>
      <c r="BL70" s="1021">
        <f>(VLOOKUP(YEAR($A70),'NY East Load Projections'!$A$4:$EO$14,((MONTH($A70)-1)*12)+VLOOKUP(BL$4,$DE$6:$DF$17,2)+1))*(VLOOKUP($A70,CURVES!$D$9:$T$261,6))*(INDEX(DailyScalarsTable,BL$5/100,MONTH($A70)))*$D70</f>
        <v>-9422.7042977642086</v>
      </c>
      <c r="BM70" s="1021">
        <f>(VLOOKUP(YEAR($A70),'NY East Load Projections'!$A$4:$EO$14,((MONTH($A70)-1)*12)+VLOOKUP(BM$4,$DE$6:$DF$17,2)+1))*(VLOOKUP($A70,SatSunCurve,6))*(INDEX(DailyScalarsTable,BM$5/100,MONTH($A70)))*$D70</f>
        <v>-6695.3791440708701</v>
      </c>
      <c r="BN70" s="1021">
        <f>(VLOOKUP(YEAR($A70),'NY East Load Projections'!$A$4:$EO$14,((MONTH($A70)-1)*12)+VLOOKUP(BN$4,$DE$6:$DF$17,2)+1))*(VLOOKUP($A70,SatSunCurve,6))*(INDEX(DailyScalarsTable,BN$5/100,MONTH($A70)))*$D70</f>
        <v>-8168.9083211053176</v>
      </c>
      <c r="BO70" s="1021">
        <f>(VLOOKUP(YEAR($A70),'NY East Load Projections'!$A$4:$EO$14,((MONTH($A70)-1)*12)+VLOOKUP(BO$4,$DE$6:$DF$17,2)+1))*(VLOOKUP($A70,SatSunCurve,6))*(INDEX(DailyScalarsTable,BO$5/100,MONTH($A70)))*$D70</f>
        <v>-8313.7971360927477</v>
      </c>
      <c r="BP70" s="1021">
        <f>(VLOOKUP(YEAR($A70),'NY East Load Projections'!$A$4:$EO$14,((MONTH($A70)-1)*12)+VLOOKUP(BP$4,$DE$6:$DF$17,2)+1))*(VLOOKUP($A70,SatSunCurve,6))*(INDEX(DailyScalarsTable,BP$5/100,MONTH($A70)))*$D70</f>
        <v>-8818.9846856949298</v>
      </c>
      <c r="BQ70" s="1021">
        <f>(VLOOKUP(YEAR($A70),'NY East Load Projections'!$A$4:$EO$14,((MONTH($A70)-1)*12)+VLOOKUP(BQ$4,$DE$6:$DF$17,2)+1))*(VLOOKUP($A70,SatSunCurve,6))*(INDEX(DailyScalarsTable,BQ$5/100,MONTH($A70)))*$D70</f>
        <v>-8752.3101867626592</v>
      </c>
      <c r="BR70" s="1021">
        <f>(VLOOKUP(YEAR($A70),'NY East Load Projections'!$A$4:$EO$14,((MONTH($A70)-1)*12)+VLOOKUP(BR$4,$DE$6:$DF$17,2)+1))*(VLOOKUP($A70,SatSunCurve,6))*(INDEX(DailyScalarsTable,BR$5/100,MONTH($A70)))*$D70</f>
        <v>-8364.7627016360202</v>
      </c>
      <c r="BS70" s="1021">
        <f>(VLOOKUP(YEAR($A70),'NY East Load Projections'!$A$4:$EO$14,((MONTH($A70)-1)*12)+VLOOKUP(BS$4,$DE$6:$DF$17,2)+1))*(VLOOKUP($A70,SatSunCurve,6))*(INDEX(DailyScalarsTable,BS$5/100,MONTH($A70)))*$D70</f>
        <v>-8405.0779447564692</v>
      </c>
      <c r="BT70" s="1021">
        <f>(VLOOKUP(YEAR($A70),'NY East Load Projections'!$A$4:$EO$14,((MONTH($A70)-1)*12)+VLOOKUP(BT$4,$DE$6:$DF$17,2)+1))*(VLOOKUP($A70,SatSunCurve,6))*(INDEX(DailyScalarsTable,BT$5/100,MONTH($A70)))*$D70</f>
        <v>-8152.7825523252823</v>
      </c>
      <c r="BU70" s="1021">
        <f>(VLOOKUP(YEAR($A70),'NY East Load Projections'!$A$4:$EO$14,((MONTH($A70)-1)*12)+VLOOKUP(BU$4,$DE$6:$DF$17,2)+1))*(VLOOKUP($A70,SatSunCurve,6))*(INDEX(DailyScalarsTable,BU$5/100,MONTH($A70)))*$D70</f>
        <v>-7835.4625742159551</v>
      </c>
      <c r="BV70" s="1021">
        <f>(VLOOKUP(YEAR($A70),'NY East Load Projections'!$A$4:$EO$14,((MONTH($A70)-1)*12)+VLOOKUP(BV$4,$DE$6:$DF$17,2)+1))*(VLOOKUP($A70,SatSunCurve,6))*(INDEX(DailyScalarsTable,BV$5/100,MONTH($A70)))*$D70</f>
        <v>-7391.388981773679</v>
      </c>
      <c r="BW70" s="1021">
        <f>(VLOOKUP(YEAR($A70),'NY East Load Projections'!$A$4:$EO$14,((MONTH($A70)-1)*12)+VLOOKUP(BW$4,$DE$6:$DF$17,2)+1))*(VLOOKUP($A70,SatSunCurve,6))*(INDEX(DailyScalarsTable,BW$5/100,MONTH($A70)))*$D70</f>
        <v>-7103.3341958457031</v>
      </c>
      <c r="BX70" s="1021">
        <f>(VLOOKUP(YEAR($A70),'NY East Load Projections'!$A$4:$EO$14,((MONTH($A70)-1)*12)+VLOOKUP(BX$4,$DE$6:$DF$17,2)+1))*(VLOOKUP($A70,SatSunCurve,6))*(INDEX(DailyScalarsTable,BX$5/100,MONTH($A70)))*$D70</f>
        <v>-6154.4478422006141</v>
      </c>
      <c r="BY70" s="1021">
        <f>(VLOOKUP(YEAR($A70),'NY East Load Projections'!$A$4:$EO$14,((MONTH($A70)-1)*12)+VLOOKUP(BY$4,$DE$6:$DF$17,2)+1))*(VLOOKUP($A70,SatSunCurve,6))*(INDEX(DailyScalarsTable,BY$5/100,MONTH($A70)))*$D70</f>
        <v>-6138.7137572549709</v>
      </c>
      <c r="BZ70" s="1021">
        <f>(VLOOKUP(YEAR($A70),'NY East Load Projections'!$A$4:$EO$14,((MONTH($A70)-1)*12)+VLOOKUP(BZ$4,$DE$6:$DF$17,2)+1))*(VLOOKUP($A70,SatSunCurve,6))*(INDEX(DailyScalarsTable,BZ$5/100,MONTH($A70)))*$D70</f>
        <v>-7706.3155615462292</v>
      </c>
      <c r="CA70" s="1021">
        <f>(VLOOKUP(YEAR($A70),'NY East Load Projections'!$A$4:$EO$14,((MONTH($A70)-1)*12)+VLOOKUP(CA$4,$DE$6:$DF$17,2)+1))*(VLOOKUP($A70,SatSunCurve,6))*(INDEX(DailyScalarsTable,CA$5/100,MONTH($A70)))*$D70</f>
        <v>-7350.3897487893919</v>
      </c>
      <c r="CB70" s="1021">
        <f>(VLOOKUP(YEAR($A70),'NY East Load Projections'!$A$4:$EO$14,((MONTH($A70)-1)*12)+VLOOKUP(CB$4,$DE$6:$DF$17,2)+1))*(VLOOKUP($A70,SatSunCurve,6))*(INDEX(DailyScalarsTable,CB$5/100,MONTH($A70)))*$D70</f>
        <v>-5896.5429435871993</v>
      </c>
      <c r="CC70" s="1021">
        <f>(VLOOKUP(YEAR($A70),'NY East Load Projections'!$A$4:$EO$14,((MONTH($A70)-1)*12)+VLOOKUP(CC$4,$DE$6:$DF$17,2)+1))*(VLOOKUP($A70,CURVES!$D$9:$T$261,6))*(INDEX(DailyScalarsTable,CC$5/100,MONTH($A70)))*$D70</f>
        <v>-8666.9515155479021</v>
      </c>
      <c r="CE70" s="1021">
        <f>(VLOOKUP(YEAR($A70),'NY East Load Projections'!$A$4:$EO$14,((MONTH($A70)-1)*12)+VLOOKUP(CE$4,$DE$6:$DF$17,2)+1))*(VLOOKUP($A70,CURVES!$D$9:$T$261,6))*(INDEX(DailyScalarsTable,CE$5/100,MONTH($A70)))*$E70</f>
        <v>-1787.9796754765525</v>
      </c>
      <c r="CF70" s="1021">
        <f>(VLOOKUP(YEAR($A70),'NY East Load Projections'!$A$4:$EO$14,((MONTH($A70)-1)*12)+VLOOKUP(CF$4,$DE$6:$DF$17,2)+1))*(VLOOKUP($A70,CURVES!$D$9:$T$261,6))*(INDEX(DailyScalarsTable,CF$5/100,MONTH($A70)))*$E70</f>
        <v>-1610.5429946337756</v>
      </c>
      <c r="CG70" s="1021">
        <f>(VLOOKUP(YEAR($A70),'NY East Load Projections'!$A$4:$EO$14,((MONTH($A70)-1)*12)+VLOOKUP(CG$4,$DE$6:$DF$17,2)+1))*(VLOOKUP($A70,CURVES!$D$9:$T$261,6))*(INDEX(DailyScalarsTable,CG$5/100,MONTH($A70)))*$E70</f>
        <v>-1524.1717002552814</v>
      </c>
      <c r="CH70" s="1021">
        <f>(VLOOKUP(YEAR($A70),'NY East Load Projections'!$A$4:$EO$14,((MONTH($A70)-1)*12)+VLOOKUP(CH$4,$DE$6:$DF$17,2)+1))*(VLOOKUP($A70,CURVES!$D$9:$T$261,6))*(INDEX(DailyScalarsTable,CH$5/100,MONTH($A70)))*$E70</f>
        <v>-1477.7001886059822</v>
      </c>
      <c r="CI70" s="1021">
        <f>(VLOOKUP(YEAR($A70),'NY East Load Projections'!$A$4:$EO$14,((MONTH($A70)-1)*12)+VLOOKUP(CI$4,$DE$6:$DF$17,2)+1))*(VLOOKUP($A70,CURVES!$D$9:$T$261,6))*(INDEX(DailyScalarsTable,CI$5/100,MONTH($A70)))*$E70</f>
        <v>-1623.8155464593658</v>
      </c>
      <c r="CJ70" s="1021">
        <f>(VLOOKUP(YEAR($A70),'NY East Load Projections'!$A$4:$EO$14,((MONTH($A70)-1)*12)+VLOOKUP(CJ$4,$DE$6:$DF$17,2)+1))*(VLOOKUP($A70,CURVES!$D$9:$T$261,6))*(INDEX(DailyScalarsTable,CJ$5/100,MONTH($A70)))*$E70</f>
        <v>-1968.7810557423998</v>
      </c>
      <c r="CK70" s="1021">
        <f>(VLOOKUP(YEAR($A70),'NY East Load Projections'!$A$4:$EO$14,((MONTH($A70)-1)*12)+VLOOKUP(CK$4,$DE$6:$DF$17,2)+1))*(VLOOKUP($A70,CURVES!$D$9:$T$261,6))*(INDEX(DailyScalarsTable,CK$5/100,MONTH($A70)))*$E70</f>
        <v>-2355.6760744410522</v>
      </c>
      <c r="CL70" s="1021">
        <f>(VLOOKUP(YEAR($A70),'NY East Load Projections'!$A$4:$EO$14,((MONTH($A70)-1)*12)+VLOOKUP(CL$4,$DE$6:$DF$17,2)+1))*(VLOOKUP($A70,SatSunCurve,6))*(INDEX(DailyScalarsTable,CL$5/100,MONTH($A70)))*$E70</f>
        <v>-1673.8447860177175</v>
      </c>
      <c r="CM70" s="1021">
        <f>(VLOOKUP(YEAR($A70),'NY East Load Projections'!$A$4:$EO$14,((MONTH($A70)-1)*12)+VLOOKUP(CM$4,$DE$6:$DF$17,2)+1))*(VLOOKUP($A70,SatSunCurve,6))*(INDEX(DailyScalarsTable,CM$5/100,MONTH($A70)))*$E70</f>
        <v>-2042.2270802763294</v>
      </c>
      <c r="CN70" s="1021">
        <f>(VLOOKUP(YEAR($A70),'NY East Load Projections'!$A$4:$EO$14,((MONTH($A70)-1)*12)+VLOOKUP(CN$4,$DE$6:$DF$17,2)+1))*(VLOOKUP($A70,SatSunCurve,6))*(INDEX(DailyScalarsTable,CN$5/100,MONTH($A70)))*$E70</f>
        <v>-2078.4492840231869</v>
      </c>
      <c r="CO70" s="1021">
        <f>(VLOOKUP(YEAR($A70),'NY East Load Projections'!$A$4:$EO$14,((MONTH($A70)-1)*12)+VLOOKUP(CO$4,$DE$6:$DF$17,2)+1))*(VLOOKUP($A70,SatSunCurve,6))*(INDEX(DailyScalarsTable,CO$5/100,MONTH($A70)))*$E70</f>
        <v>-2204.7461714237324</v>
      </c>
      <c r="CP70" s="1021">
        <f>(VLOOKUP(YEAR($A70),'NY East Load Projections'!$A$4:$EO$14,((MONTH($A70)-1)*12)+VLOOKUP(CP$4,$DE$6:$DF$17,2)+1))*(VLOOKUP($A70,SatSunCurve,6))*(INDEX(DailyScalarsTable,CP$5/100,MONTH($A70)))*$E70</f>
        <v>-2188.0775466906648</v>
      </c>
      <c r="CQ70" s="1021">
        <f>(VLOOKUP(YEAR($A70),'NY East Load Projections'!$A$4:$EO$14,((MONTH($A70)-1)*12)+VLOOKUP(CQ$4,$DE$6:$DF$17,2)+1))*(VLOOKUP($A70,SatSunCurve,6))*(INDEX(DailyScalarsTable,CQ$5/100,MONTH($A70)))*$E70</f>
        <v>-2091.1906754090051</v>
      </c>
      <c r="CR70" s="1021">
        <f>(VLOOKUP(YEAR($A70),'NY East Load Projections'!$A$4:$EO$14,((MONTH($A70)-1)*12)+VLOOKUP(CR$4,$DE$6:$DF$17,2)+1))*(VLOOKUP($A70,SatSunCurve,6))*(INDEX(DailyScalarsTable,CR$5/100,MONTH($A70)))*$E70</f>
        <v>-2101.2694861891173</v>
      </c>
      <c r="CS70" s="1021">
        <f>(VLOOKUP(YEAR($A70),'NY East Load Projections'!$A$4:$EO$14,((MONTH($A70)-1)*12)+VLOOKUP(CS$4,$DE$6:$DF$17,2)+1))*(VLOOKUP($A70,SatSunCurve,6))*(INDEX(DailyScalarsTable,CS$5/100,MONTH($A70)))*$E70</f>
        <v>-2038.1956380813206</v>
      </c>
      <c r="CT70" s="1021">
        <f>(VLOOKUP(YEAR($A70),'NY East Load Projections'!$A$4:$EO$14,((MONTH($A70)-1)*12)+VLOOKUP(CT$4,$DE$6:$DF$17,2)+1))*(VLOOKUP($A70,SatSunCurve,6))*(INDEX(DailyScalarsTable,CT$5/100,MONTH($A70)))*$E70</f>
        <v>-1958.8656435539888</v>
      </c>
      <c r="CU70" s="1021">
        <f>(VLOOKUP(YEAR($A70),'NY East Load Projections'!$A$4:$EO$14,((MONTH($A70)-1)*12)+VLOOKUP(CU$4,$DE$6:$DF$17,2)+1))*(VLOOKUP($A70,SatSunCurve,6))*(INDEX(DailyScalarsTable,CU$5/100,MONTH($A70)))*$E70</f>
        <v>-1847.8472454434198</v>
      </c>
      <c r="CV70" s="1021">
        <f>(VLOOKUP(YEAR($A70),'NY East Load Projections'!$A$4:$EO$14,((MONTH($A70)-1)*12)+VLOOKUP(CV$4,$DE$6:$DF$17,2)+1))*(VLOOKUP($A70,SatSunCurve,6))*(INDEX(DailyScalarsTable,CV$5/100,MONTH($A70)))*$E70</f>
        <v>-1775.8335489614258</v>
      </c>
      <c r="CW70" s="1021">
        <f>(VLOOKUP(YEAR($A70),'NY East Load Projections'!$A$4:$EO$14,((MONTH($A70)-1)*12)+VLOOKUP(CW$4,$DE$6:$DF$17,2)+1))*(VLOOKUP($A70,SatSunCurve,6))*(INDEX(DailyScalarsTable,CW$5/100,MONTH($A70)))*$E70</f>
        <v>-1538.6119605501535</v>
      </c>
      <c r="CX70" s="1021">
        <f>(VLOOKUP(YEAR($A70),'NY East Load Projections'!$A$4:$EO$14,((MONTH($A70)-1)*12)+VLOOKUP(CX$4,$DE$6:$DF$17,2)+1))*(VLOOKUP($A70,SatSunCurve,6))*(INDEX(DailyScalarsTable,CX$5/100,MONTH($A70)))*$E70</f>
        <v>-1534.6784393137427</v>
      </c>
      <c r="CY70" s="1021">
        <f>(VLOOKUP(YEAR($A70),'NY East Load Projections'!$A$4:$EO$14,((MONTH($A70)-1)*12)+VLOOKUP(CY$4,$DE$6:$DF$17,2)+1))*(VLOOKUP($A70,SatSunCurve,6))*(INDEX(DailyScalarsTable,CY$5/100,MONTH($A70)))*$E70</f>
        <v>-1926.5788903865573</v>
      </c>
      <c r="CZ70" s="1021">
        <f>(VLOOKUP(YEAR($A70),'NY East Load Projections'!$A$4:$EO$14,((MONTH($A70)-1)*12)+VLOOKUP(CZ$4,$DE$6:$DF$17,2)+1))*(VLOOKUP($A70,SatSunCurve,6))*(INDEX(DailyScalarsTable,CZ$5/100,MONTH($A70)))*$E70</f>
        <v>-1837.597437197348</v>
      </c>
      <c r="DA70" s="1021">
        <f>(VLOOKUP(YEAR($A70),'NY East Load Projections'!$A$4:$EO$14,((MONTH($A70)-1)*12)+VLOOKUP(DA$4,$DE$6:$DF$17,2)+1))*(VLOOKUP($A70,SatSunCurve,6))*(INDEX(DailyScalarsTable,DA$5/100,MONTH($A70)))*$E70</f>
        <v>-1474.1357358967998</v>
      </c>
      <c r="DB70" s="1021">
        <f>(VLOOKUP(YEAR($A70),'NY East Load Projections'!$A$4:$EO$14,((MONTH($A70)-1)*12)+VLOOKUP(DB$4,$DE$6:$DF$17,2)+1))*(VLOOKUP($A70,CURVES!$D$9:$T$261,6))*(INDEX(DailyScalarsTable,DB$5/100,MONTH($A70)))*$E70</f>
        <v>-2166.7378788869755</v>
      </c>
      <c r="DH70" s="1021">
        <f t="shared" si="0"/>
        <v>-1970231.7500942654</v>
      </c>
      <c r="DI70">
        <f ca="1">CALC!J90</f>
        <v>0.63493471897843934</v>
      </c>
      <c r="DJ70" s="1029">
        <f t="shared" ca="1" si="1"/>
        <v>-1250968.5425685011</v>
      </c>
    </row>
    <row r="71" spans="1:114" x14ac:dyDescent="0.25">
      <c r="A71" s="244">
        <v>38869</v>
      </c>
      <c r="B71" s="13">
        <v>22</v>
      </c>
      <c r="C71" s="210">
        <v>4</v>
      </c>
      <c r="D71" s="210">
        <v>4</v>
      </c>
      <c r="E71" s="210">
        <v>0</v>
      </c>
      <c r="F71" s="13">
        <v>30</v>
      </c>
      <c r="H71" s="1021">
        <f>(VLOOKUP(YEAR($A71),'NY East Load Projections'!$A$4:$EO$14,((MONTH($A71)-1)*12)+VLOOKUP(H$4,$DE$6:$DF$17,2)+1))*(VLOOKUP($A71,CURVES!$D$9:$K$261,6))*(INDEX(DailyScalarsTable,H$5/100,MONTH($A71)))*$B71</f>
        <v>-41344.496680146949</v>
      </c>
      <c r="I71" s="1021">
        <f>(VLOOKUP(YEAR($A71),'NY East Load Projections'!$A$4:$EO$14,((MONTH($A71)-1)*12)+VLOOKUP(I$4,$DE$6:$DF$17,2)+1))*(VLOOKUP($A71,CURVES!$D$9:$K$261,6))*(INDEX(DailyScalarsTable,I$5/100,MONTH($A71)))*$B71</f>
        <v>-34254.449898550207</v>
      </c>
      <c r="J71" s="1021">
        <f>(VLOOKUP(YEAR($A71),'NY East Load Projections'!$A$4:$EO$14,((MONTH($A71)-1)*12)+VLOOKUP(J$4,$DE$6:$DF$17,2)+1))*(VLOOKUP($A71,CURVES!$D$9:$K$261,6))*(INDEX(DailyScalarsTable,J$5/100,MONTH($A71)))*$B71</f>
        <v>-28794.05566078316</v>
      </c>
      <c r="K71" s="1021">
        <f>(VLOOKUP(YEAR($A71),'NY East Load Projections'!$A$4:$EO$14,((MONTH($A71)-1)*12)+VLOOKUP(K$4,$DE$6:$DF$17,2)+1))*(VLOOKUP($A71,CURVES!$D$9:$K$261,6))*(INDEX(DailyScalarsTable,K$5/100,MONTH($A71)))*$B71</f>
        <v>-26730.534582557251</v>
      </c>
      <c r="L71" s="1021">
        <f>(VLOOKUP(YEAR($A71),'NY East Load Projections'!$A$4:$EO$14,((MONTH($A71)-1)*12)+VLOOKUP(L$4,$DE$6:$DF$17,2)+1))*(VLOOKUP($A71,CURVES!$D$9:$K$261,6))*(INDEX(DailyScalarsTable,L$5/100,MONTH($A71)))*$B71</f>
        <v>-31766.907145009121</v>
      </c>
      <c r="M71" s="1021">
        <f>(VLOOKUP(YEAR($A71),'NY East Load Projections'!$A$4:$EO$14,((MONTH($A71)-1)*12)+VLOOKUP(M$4,$DE$6:$DF$17,2)+1))*(VLOOKUP($A71,CURVES!$D$9:$K$261,6))*(INDEX(DailyScalarsTable,M$5/100,MONTH($A71)))*$B71</f>
        <v>-38757.945469257473</v>
      </c>
      <c r="N71" s="1021">
        <f>(VLOOKUP(YEAR($A71),'NY East Load Projections'!$A$4:$EO$14,((MONTH($A71)-1)*12)+VLOOKUP(N$4,$DE$6:$DF$17,2)+1))*(VLOOKUP($A71,CURVES!$D$9:$K$261,6))*(INDEX(DailyScalarsTable,N$5/100,MONTH($A71)))*$B71</f>
        <v>-44438.888717817499</v>
      </c>
      <c r="O71" s="1021">
        <f>(VLOOKUP(YEAR($A71),'NY East Load Projections'!$A$4:$EO$14,((MONTH($A71)-1)*12)+VLOOKUP(O$4,$DE$6:$DF$17,2)+1))*(VLOOKUP($A71,CURVES!$D$9:$K$261,2))*(INDEX(DailyScalarsTable,O$5/100,MONTH($A71)))*$B71</f>
        <v>-65712.706843282023</v>
      </c>
      <c r="P71" s="1021">
        <f>(VLOOKUP(YEAR($A71),'NY East Load Projections'!$A$4:$EO$14,((MONTH($A71)-1)*12)+VLOOKUP(P$4,$DE$6:$DF$17,2)+1))*(VLOOKUP($A71,CURVES!$D$9:$K$261,2))*(INDEX(DailyScalarsTable,P$5/100,MONTH($A71)))*$B71</f>
        <v>-87277.22550689755</v>
      </c>
      <c r="Q71" s="1021">
        <f>(VLOOKUP(YEAR($A71),'NY East Load Projections'!$A$4:$EO$14,((MONTH($A71)-1)*12)+VLOOKUP(Q$4,$DE$6:$DF$17,2)+1))*(VLOOKUP($A71,CURVES!$D$9:$K$261,2))*(INDEX(DailyScalarsTable,Q$5/100,MONTH($A71)))*$B71</f>
        <v>-97618.926548556192</v>
      </c>
      <c r="R71" s="1021">
        <f>(VLOOKUP(YEAR($A71),'NY East Load Projections'!$A$4:$EO$14,((MONTH($A71)-1)*12)+VLOOKUP(R$4,$DE$6:$DF$17,2)+1))*(VLOOKUP($A71,CURVES!$D$9:$K$261,2))*(INDEX(DailyScalarsTable,R$5/100,MONTH($A71)))*$B71</f>
        <v>-112290.0675233353</v>
      </c>
      <c r="S71" s="1021">
        <f>(VLOOKUP(YEAR($A71),'NY East Load Projections'!$A$4:$EO$14,((MONTH($A71)-1)*12)+VLOOKUP(S$4,$DE$6:$DF$17,2)+1))*(VLOOKUP($A71,CURVES!$D$9:$K$261,2))*(INDEX(DailyScalarsTable,S$5/100,MONTH($A71)))*$B71</f>
        <v>-121101.93113279597</v>
      </c>
      <c r="T71" s="1021">
        <f>(VLOOKUP(YEAR($A71),'NY East Load Projections'!$A$4:$EO$14,((MONTH($A71)-1)*12)+VLOOKUP(T$4,$DE$6:$DF$17,2)+1))*(VLOOKUP($A71,CURVES!$D$9:$K$261,2))*(INDEX(DailyScalarsTable,T$5/100,MONTH($A71)))*$B71</f>
        <v>-129059.66908623831</v>
      </c>
      <c r="U71" s="1021">
        <f>(VLOOKUP(YEAR($A71),'NY East Load Projections'!$A$4:$EO$14,((MONTH($A71)-1)*12)+VLOOKUP(U$4,$DE$6:$DF$17,2)+1))*(VLOOKUP($A71,CURVES!$D$9:$K$261,2))*(INDEX(DailyScalarsTable,U$5/100,MONTH($A71)))*$B71</f>
        <v>-142724.99509816559</v>
      </c>
      <c r="V71" s="1021">
        <f>(VLOOKUP(YEAR($A71),'NY East Load Projections'!$A$4:$EO$14,((MONTH($A71)-1)*12)+VLOOKUP(V$4,$DE$6:$DF$17,2)+1))*(VLOOKUP($A71,CURVES!$D$9:$K$261,2))*(INDEX(DailyScalarsTable,V$5/100,MONTH($A71)))*$B71</f>
        <v>-143823.2417351747</v>
      </c>
      <c r="W71" s="1021">
        <f>(VLOOKUP(YEAR($A71),'NY East Load Projections'!$A$4:$EO$14,((MONTH($A71)-1)*12)+VLOOKUP(W$4,$DE$6:$DF$17,2)+1))*(VLOOKUP($A71,CURVES!$D$9:$K$261,2))*(INDEX(DailyScalarsTable,W$5/100,MONTH($A71)))*$B71</f>
        <v>-144058.58030024802</v>
      </c>
      <c r="X71" s="1021">
        <f>(VLOOKUP(YEAR($A71),'NY East Load Projections'!$A$4:$EO$14,((MONTH($A71)-1)*12)+VLOOKUP(X$4,$DE$6:$DF$17,2)+1))*(VLOOKUP($A71,CURVES!$D$9:$K$261,2))*(INDEX(DailyScalarsTable,X$5/100,MONTH($A71)))*$B71</f>
        <v>-138136.2124825684</v>
      </c>
      <c r="Y71" s="1021">
        <f>(VLOOKUP(YEAR($A71),'NY East Load Projections'!$A$4:$EO$14,((MONTH($A71)-1)*12)+VLOOKUP(Y$4,$DE$6:$DF$17,2)+1))*(VLOOKUP($A71,CURVES!$D$9:$K$261,2))*(INDEX(DailyScalarsTable,Y$5/100,MONTH($A71)))*$B71</f>
        <v>-134035.50185587548</v>
      </c>
      <c r="Z71" s="1021">
        <f>(VLOOKUP(YEAR($A71),'NY East Load Projections'!$A$4:$EO$14,((MONTH($A71)-1)*12)+VLOOKUP(Z$4,$DE$6:$DF$17,2)+1))*(VLOOKUP($A71,CURVES!$D$9:$K$261,2))*(INDEX(DailyScalarsTable,Z$5/100,MONTH($A71)))*$B71</f>
        <v>-114449.79731033502</v>
      </c>
      <c r="AA71" s="1021">
        <f>(VLOOKUP(YEAR($A71),'NY East Load Projections'!$A$4:$EO$14,((MONTH($A71)-1)*12)+VLOOKUP(AA$4,$DE$6:$DF$17,2)+1))*(VLOOKUP($A71,CURVES!$D$9:$K$261,2))*(INDEX(DailyScalarsTable,AA$5/100,MONTH($A71)))*$B71</f>
        <v>-91518.386621716636</v>
      </c>
      <c r="AB71" s="1021">
        <f>(VLOOKUP(YEAR($A71),'NY East Load Projections'!$A$4:$EO$14,((MONTH($A71)-1)*12)+VLOOKUP(AB$4,$DE$6:$DF$17,2)+1))*(VLOOKUP($A71,CURVES!$D$9:$K$261,2))*(INDEX(DailyScalarsTable,AB$5/100,MONTH($A71)))*$B71</f>
        <v>-87892.284330423092</v>
      </c>
      <c r="AC71" s="1021">
        <f>(VLOOKUP(YEAR($A71),'NY East Load Projections'!$A$4:$EO$14,((MONTH($A71)-1)*12)+VLOOKUP(AC$4,$DE$6:$DF$17,2)+1))*(VLOOKUP($A71,CURVES!$D$9:$K$261,2))*(INDEX(DailyScalarsTable,AC$5/100,MONTH($A71)))*$B71</f>
        <v>-89553.838380730318</v>
      </c>
      <c r="AD71" s="1021">
        <f>(VLOOKUP(YEAR($A71),'NY East Load Projections'!$A$4:$EO$14,((MONTH($A71)-1)*12)+VLOOKUP(AD$4,$DE$6:$DF$17,2)+1))*(VLOOKUP($A71,CURVES!$D$9:$K$261,2))*(INDEX(DailyScalarsTable,AD$5/100,MONTH($A71)))*$B71</f>
        <v>-71813.151040442463</v>
      </c>
      <c r="AE71" s="1021">
        <f>(VLOOKUP(YEAR($A71),'NY East Load Projections'!$A$4:$EO$14,((MONTH($A71)-1)*12)+VLOOKUP(AE$4,$DE$6:$DF$17,2)+1))*(VLOOKUP($A71,CURVES!$D$9:$K$261,6))*(INDEX(DailyScalarsTable,AE$5/100,MONTH($A71)))*$B71</f>
        <v>-52818.117338757031</v>
      </c>
      <c r="AF71" s="1021"/>
      <c r="AG71" s="1021">
        <f>(VLOOKUP(YEAR($A71),'NY East Load Projections'!$A$4:$EO$14,((MONTH($A71)-1)*12)+VLOOKUP(AG$4,$DE$6:$DF$17,2)+1))*(VLOOKUP($A71,CURVES!$D$9:$T$261,6))*(INDEX(DailyScalarsTable,AG$5/100,MONTH($A71)))*$C71</f>
        <v>-7637.8253129607929</v>
      </c>
      <c r="AH71" s="1021">
        <f>(VLOOKUP(YEAR($A71),'NY East Load Projections'!$A$4:$EO$14,((MONTH($A71)-1)*12)+VLOOKUP(AH$4,$DE$6:$DF$17,2)+1))*(VLOOKUP($A71,CURVES!$D$9:$T$261,6))*(INDEX(DailyScalarsTable,AH$5/100,MONTH($A71)))*$C71</f>
        <v>-6328.0369946388755</v>
      </c>
      <c r="AI71" s="1021">
        <f>(VLOOKUP(YEAR($A71),'NY East Load Projections'!$A$4:$EO$14,((MONTH($A71)-1)*12)+VLOOKUP(AI$4,$DE$6:$DF$17,2)+1))*(VLOOKUP($A71,CURVES!$D$9:$T$261,6))*(INDEX(DailyScalarsTable,AI$5/100,MONTH($A71)))*$C71</f>
        <v>-5319.3044987372186</v>
      </c>
      <c r="AJ71" s="1021">
        <f>(VLOOKUP(YEAR($A71),'NY East Load Projections'!$A$4:$EO$14,((MONTH($A71)-1)*12)+VLOOKUP(AJ$4,$DE$6:$DF$17,2)+1))*(VLOOKUP($A71,CURVES!$D$9:$T$261,6))*(INDEX(DailyScalarsTable,AJ$5/100,MONTH($A71)))*$C71</f>
        <v>-4938.097450867408</v>
      </c>
      <c r="AK71" s="1021">
        <f>(VLOOKUP(YEAR($A71),'NY East Load Projections'!$A$4:$EO$14,((MONTH($A71)-1)*12)+VLOOKUP(AK$4,$DE$6:$DF$17,2)+1))*(VLOOKUP($A71,CURVES!$D$9:$T$261,6))*(INDEX(DailyScalarsTable,AK$5/100,MONTH($A71)))*$C71</f>
        <v>-5406.8320656014002</v>
      </c>
      <c r="AL71" s="1021">
        <f>(VLOOKUP(YEAR($A71),'NY East Load Projections'!$A$4:$EO$14,((MONTH($A71)-1)*12)+VLOOKUP(AL$4,$DE$6:$DF$17,2)+1))*(VLOOKUP($A71,CURVES!$D$9:$T$261,6))*(INDEX(DailyScalarsTable,AL$5/100,MONTH($A71)))*$C71</f>
        <v>-6596.7297793085681</v>
      </c>
      <c r="AM71" s="1021">
        <f>(VLOOKUP(YEAR($A71),'NY East Load Projections'!$A$4:$EO$14,((MONTH($A71)-1)*12)+VLOOKUP(AM$4,$DE$6:$DF$17,2)+1))*(VLOOKUP($A71,CURVES!$D$9:$T$261,6))*(INDEX(DailyScalarsTable,AM$5/100,MONTH($A71)))*$C71</f>
        <v>-7563.6450027190376</v>
      </c>
      <c r="AN71" s="1021">
        <f>(VLOOKUP(YEAR($A71),'NY East Load Projections'!$A$4:$EO$14,((MONTH($A71)-1)*12)+VLOOKUP(AN$4,$DE$6:$DF$17,2)+1))*(VLOOKUP($A71,SatSunCurve,2))*(INDEX(DailyScalarsTable,AN$5/100,MONTH($A71)))*$C71</f>
        <v>-5832.5518396076313</v>
      </c>
      <c r="AO71" s="1021">
        <f>(VLOOKUP(YEAR($A71),'NY East Load Projections'!$A$4:$EO$14,((MONTH($A71)-1)*12)+VLOOKUP(AO$4,$DE$6:$DF$17,2)+1))*(VLOOKUP($A71,SatSunCurve,2))*(INDEX(DailyScalarsTable,AO$5/100,MONTH($A71)))*$C71</f>
        <v>-7448.0798245387969</v>
      </c>
      <c r="AP71" s="1021">
        <f>(VLOOKUP(YEAR($A71),'NY East Load Projections'!$A$4:$EO$14,((MONTH($A71)-1)*12)+VLOOKUP(AP$4,$DE$6:$DF$17,2)+1))*(VLOOKUP($A71,SatSunCurve,2))*(INDEX(DailyScalarsTable,AP$5/100,MONTH($A71)))*$C71</f>
        <v>-8330.6217984894047</v>
      </c>
      <c r="AQ71" s="1021">
        <f>(VLOOKUP(YEAR($A71),'NY East Load Projections'!$A$4:$EO$14,((MONTH($A71)-1)*12)+VLOOKUP(AQ$4,$DE$6:$DF$17,2)+1))*(VLOOKUP($A71,SatSunCurve,2))*(INDEX(DailyScalarsTable,AQ$5/100,MONTH($A71)))*$C71</f>
        <v>-9582.6303088719978</v>
      </c>
      <c r="AR71" s="1021">
        <f>(VLOOKUP(YEAR($A71),'NY East Load Projections'!$A$4:$EO$14,((MONTH($A71)-1)*12)+VLOOKUP(AR$4,$DE$6:$DF$17,2)+1))*(VLOOKUP($A71,SatSunCurve,2))*(INDEX(DailyScalarsTable,AR$5/100,MONTH($A71)))*$C71</f>
        <v>-10334.618736380213</v>
      </c>
      <c r="AS71" s="1021">
        <f>(VLOOKUP(YEAR($A71),'NY East Load Projections'!$A$4:$EO$14,((MONTH($A71)-1)*12)+VLOOKUP(AS$4,$DE$6:$DF$17,2)+1))*(VLOOKUP($A71,SatSunCurve,2))*(INDEX(DailyScalarsTable,AS$5/100,MONTH($A71)))*$C71</f>
        <v>-11033.545488635484</v>
      </c>
      <c r="AT71" s="1021">
        <f>(VLOOKUP(YEAR($A71),'NY East Load Projections'!$A$4:$EO$14,((MONTH($A71)-1)*12)+VLOOKUP(AT$4,$DE$6:$DF$17,2)+1))*(VLOOKUP($A71,SatSunCurve,2))*(INDEX(DailyScalarsTable,AT$5/100,MONTH($A71)))*$C71</f>
        <v>-12201.819026272429</v>
      </c>
      <c r="AU71" s="1021">
        <f>(VLOOKUP(YEAR($A71),'NY East Load Projections'!$A$4:$EO$14,((MONTH($A71)-1)*12)+VLOOKUP(AU$4,$DE$6:$DF$17,2)+1))*(VLOOKUP($A71,SatSunCurve,2))*(INDEX(DailyScalarsTable,AU$5/100,MONTH($A71)))*$C71</f>
        <v>-12295.710125738087</v>
      </c>
      <c r="AV71" s="1021">
        <f>(VLOOKUP(YEAR($A71),'NY East Load Projections'!$A$4:$EO$14,((MONTH($A71)-1)*12)+VLOOKUP(AV$4,$DE$6:$DF$17,2)+1))*(VLOOKUP($A71,SatSunCurve,2))*(INDEX(DailyScalarsTable,AV$5/100,MONTH($A71)))*$C71</f>
        <v>-12315.829647052153</v>
      </c>
      <c r="AW71" s="1021">
        <f>(VLOOKUP(YEAR($A71),'NY East Load Projections'!$A$4:$EO$14,((MONTH($A71)-1)*12)+VLOOKUP(AW$4,$DE$6:$DF$17,2)+1))*(VLOOKUP($A71,SatSunCurve,2))*(INDEX(DailyScalarsTable,AW$5/100,MONTH($A71)))*$C71</f>
        <v>-11935.061622239453</v>
      </c>
      <c r="AX71" s="1021">
        <f>(VLOOKUP(YEAR($A71),'NY East Load Projections'!$A$4:$EO$14,((MONTH($A71)-1)*12)+VLOOKUP(AX$4,$DE$6:$DF$17,2)+1))*(VLOOKUP($A71,SatSunCurve,2))*(INDEX(DailyScalarsTable,AX$5/100,MONTH($A71)))*$C71</f>
        <v>-11580.757467340691</v>
      </c>
      <c r="AY71" s="1021">
        <f>(VLOOKUP(YEAR($A71),'NY East Load Projections'!$A$4:$EO$14,((MONTH($A71)-1)*12)+VLOOKUP(AY$4,$DE$6:$DF$17,2)+1))*(VLOOKUP($A71,SatSunCurve,2))*(INDEX(DailyScalarsTable,AY$5/100,MONTH($A71)))*$C71</f>
        <v>-9888.5394278783824</v>
      </c>
      <c r="AZ71" s="1021">
        <f>(VLOOKUP(YEAR($A71),'NY East Load Projections'!$A$4:$EO$14,((MONTH($A71)-1)*12)+VLOOKUP(AZ$4,$DE$6:$DF$17,2)+1))*(VLOOKUP($A71,SatSunCurve,2))*(INDEX(DailyScalarsTable,AZ$5/100,MONTH($A71)))*$C71</f>
        <v>-7907.2501284625769</v>
      </c>
      <c r="BA71" s="1021">
        <f>(VLOOKUP(YEAR($A71),'NY East Load Projections'!$A$4:$EO$14,((MONTH($A71)-1)*12)+VLOOKUP(BA$4,$DE$6:$DF$17,2)+1))*(VLOOKUP($A71,SatSunCurve,2))*(INDEX(DailyScalarsTable,BA$5/100,MONTH($A71)))*$C71</f>
        <v>-8170.3576618899269</v>
      </c>
      <c r="BB71" s="1021">
        <f>(VLOOKUP(YEAR($A71),'NY East Load Projections'!$A$4:$EO$14,((MONTH($A71)-1)*12)+VLOOKUP(BB$4,$DE$6:$DF$17,2)+1))*(VLOOKUP($A71,SatSunCurve,2))*(INDEX(DailyScalarsTable,BB$5/100,MONTH($A71)))*$C71</f>
        <v>-8324.8136641316705</v>
      </c>
      <c r="BC71" s="1021">
        <f>(VLOOKUP(YEAR($A71),'NY East Load Projections'!$A$4:$EO$14,((MONTH($A71)-1)*12)+VLOOKUP(BC$4,$DE$6:$DF$17,2)+1))*(VLOOKUP($A71,SatSunCurve,2))*(INDEX(DailyScalarsTable,BC$5/100,MONTH($A71)))*$C71</f>
        <v>-6675.6613882277188</v>
      </c>
      <c r="BD71" s="1021">
        <f>(VLOOKUP(YEAR($A71),'NY East Load Projections'!$A$4:$EO$14,((MONTH($A71)-1)*12)+VLOOKUP(BD$4,$DE$6:$DF$17,2)+1))*(VLOOKUP($A71,CURVES!$D$9:$T$261,6))*(INDEX(DailyScalarsTable,BD$5/100,MONTH($A71)))*$C71</f>
        <v>-9415.2516053721829</v>
      </c>
      <c r="BE71" s="1021"/>
      <c r="BF71" s="1021">
        <f>(VLOOKUP(YEAR($A71),'NY East Load Projections'!$A$4:$EO$14,((MONTH($A71)-1)*12)+VLOOKUP(BF$4,$DE$6:$DF$17,2)+1))*(VLOOKUP($A71,CURVES!$D$9:$T$261,6))*(INDEX(DailyScalarsTable,BF$5/100,MONTH($A71)))*$D71</f>
        <v>-7637.8253129607929</v>
      </c>
      <c r="BG71" s="1021">
        <f>(VLOOKUP(YEAR($A71),'NY East Load Projections'!$A$4:$EO$14,((MONTH($A71)-1)*12)+VLOOKUP(BG$4,$DE$6:$DF$17,2)+1))*(VLOOKUP($A71,CURVES!$D$9:$T$261,6))*(INDEX(DailyScalarsTable,BG$5/100,MONTH($A71)))*$D71</f>
        <v>-6328.0369946388755</v>
      </c>
      <c r="BH71" s="1021">
        <f>(VLOOKUP(YEAR($A71),'NY East Load Projections'!$A$4:$EO$14,((MONTH($A71)-1)*12)+VLOOKUP(BH$4,$DE$6:$DF$17,2)+1))*(VLOOKUP($A71,CURVES!$D$9:$T$261,6))*(INDEX(DailyScalarsTable,BH$5/100,MONTH($A71)))*$D71</f>
        <v>-5319.3044987372186</v>
      </c>
      <c r="BI71" s="1021">
        <f>(VLOOKUP(YEAR($A71),'NY East Load Projections'!$A$4:$EO$14,((MONTH($A71)-1)*12)+VLOOKUP(BI$4,$DE$6:$DF$17,2)+1))*(VLOOKUP($A71,CURVES!$D$9:$T$261,6))*(INDEX(DailyScalarsTable,BI$5/100,MONTH($A71)))*$D71</f>
        <v>-4938.097450867408</v>
      </c>
      <c r="BJ71" s="1021">
        <f>(VLOOKUP(YEAR($A71),'NY East Load Projections'!$A$4:$EO$14,((MONTH($A71)-1)*12)+VLOOKUP(BJ$4,$DE$6:$DF$17,2)+1))*(VLOOKUP($A71,CURVES!$D$9:$T$261,6))*(INDEX(DailyScalarsTable,BJ$5/100,MONTH($A71)))*$D71</f>
        <v>-5406.8320656014002</v>
      </c>
      <c r="BK71" s="1021">
        <f>(VLOOKUP(YEAR($A71),'NY East Load Projections'!$A$4:$EO$14,((MONTH($A71)-1)*12)+VLOOKUP(BK$4,$DE$6:$DF$17,2)+1))*(VLOOKUP($A71,CURVES!$D$9:$T$261,6))*(INDEX(DailyScalarsTable,BK$5/100,MONTH($A71)))*$D71</f>
        <v>-6596.7297793085681</v>
      </c>
      <c r="BL71" s="1021">
        <f>(VLOOKUP(YEAR($A71),'NY East Load Projections'!$A$4:$EO$14,((MONTH($A71)-1)*12)+VLOOKUP(BL$4,$DE$6:$DF$17,2)+1))*(VLOOKUP($A71,CURVES!$D$9:$T$261,6))*(INDEX(DailyScalarsTable,BL$5/100,MONTH($A71)))*$D71</f>
        <v>-7563.6450027190376</v>
      </c>
      <c r="BM71" s="1021">
        <f>(VLOOKUP(YEAR($A71),'NY East Load Projections'!$A$4:$EO$14,((MONTH($A71)-1)*12)+VLOOKUP(BM$4,$DE$6:$DF$17,2)+1))*(VLOOKUP($A71,SatSunCurve,6))*(INDEX(DailyScalarsTable,BM$5/100,MONTH($A71)))*$D71</f>
        <v>-4265.743952136364</v>
      </c>
      <c r="BN71" s="1021">
        <f>(VLOOKUP(YEAR($A71),'NY East Load Projections'!$A$4:$EO$14,((MONTH($A71)-1)*12)+VLOOKUP(BN$4,$DE$6:$DF$17,2)+1))*(VLOOKUP($A71,SatSunCurve,6))*(INDEX(DailyScalarsTable,BN$5/100,MONTH($A71)))*$D71</f>
        <v>-5447.2900267771292</v>
      </c>
      <c r="BO71" s="1021">
        <f>(VLOOKUP(YEAR($A71),'NY East Load Projections'!$A$4:$EO$14,((MONTH($A71)-1)*12)+VLOOKUP(BO$4,$DE$6:$DF$17,2)+1))*(VLOOKUP($A71,SatSunCurve,6))*(INDEX(DailyScalarsTable,BO$5/100,MONTH($A71)))*$D71</f>
        <v>-6092.7533147878794</v>
      </c>
      <c r="BP71" s="1021">
        <f>(VLOOKUP(YEAR($A71),'NY East Load Projections'!$A$4:$EO$14,((MONTH($A71)-1)*12)+VLOOKUP(BP$4,$DE$6:$DF$17,2)+1))*(VLOOKUP($A71,SatSunCurve,6))*(INDEX(DailyScalarsTable,BP$5/100,MONTH($A71)))*$D71</f>
        <v>-7008.4327426019481</v>
      </c>
      <c r="BQ71" s="1021">
        <f>(VLOOKUP(YEAR($A71),'NY East Load Projections'!$A$4:$EO$14,((MONTH($A71)-1)*12)+VLOOKUP(BQ$4,$DE$6:$DF$17,2)+1))*(VLOOKUP($A71,SatSunCurve,6))*(INDEX(DailyScalarsTable,BQ$5/100,MONTH($A71)))*$D71</f>
        <v>-7558.4132956998683</v>
      </c>
      <c r="BR71" s="1021">
        <f>(VLOOKUP(YEAR($A71),'NY East Load Projections'!$A$4:$EO$14,((MONTH($A71)-1)*12)+VLOOKUP(BR$4,$DE$6:$DF$17,2)+1))*(VLOOKUP($A71,SatSunCurve,6))*(INDEX(DailyScalarsTable,BR$5/100,MONTH($A71)))*$D71</f>
        <v>-8069.5862176742421</v>
      </c>
      <c r="BS71" s="1021">
        <f>(VLOOKUP(YEAR($A71),'NY East Load Projections'!$A$4:$EO$14,((MONTH($A71)-1)*12)+VLOOKUP(BS$4,$DE$6:$DF$17,2)+1))*(VLOOKUP($A71,SatSunCurve,6))*(INDEX(DailyScalarsTable,BS$5/100,MONTH($A71)))*$D71</f>
        <v>-8924.0245346684387</v>
      </c>
      <c r="BT71" s="1021">
        <f>(VLOOKUP(YEAR($A71),'NY East Load Projections'!$A$4:$EO$14,((MONTH($A71)-1)*12)+VLOOKUP(BT$4,$DE$6:$DF$17,2)+1))*(VLOOKUP($A71,SatSunCurve,6))*(INDEX(DailyScalarsTable,BT$5/100,MONTH($A71)))*$D71</f>
        <v>-8992.6935153683189</v>
      </c>
      <c r="BU71" s="1021">
        <f>(VLOOKUP(YEAR($A71),'NY East Load Projections'!$A$4:$EO$14,((MONTH($A71)-1)*12)+VLOOKUP(BU$4,$DE$6:$DF$17,2)+1))*(VLOOKUP($A71,SatSunCurve,6))*(INDEX(DailyScalarsTable,BU$5/100,MONTH($A71)))*$D71</f>
        <v>-9007.4082969468618</v>
      </c>
      <c r="BV71" s="1021">
        <f>(VLOOKUP(YEAR($A71),'NY East Load Projections'!$A$4:$EO$14,((MONTH($A71)-1)*12)+VLOOKUP(BV$4,$DE$6:$DF$17,2)+1))*(VLOOKUP($A71,SatSunCurve,6))*(INDEX(DailyScalarsTable,BV$5/100,MONTH($A71)))*$D71</f>
        <v>-8728.926605968707</v>
      </c>
      <c r="BW71" s="1021">
        <f>(VLOOKUP(YEAR($A71),'NY East Load Projections'!$A$4:$EO$14,((MONTH($A71)-1)*12)+VLOOKUP(BW$4,$DE$6:$DF$17,2)+1))*(VLOOKUP($A71,SatSunCurve,6))*(INDEX(DailyScalarsTable,BW$5/100,MONTH($A71)))*$D71</f>
        <v>-8469.7997524853345</v>
      </c>
      <c r="BX71" s="1021">
        <f>(VLOOKUP(YEAR($A71),'NY East Load Projections'!$A$4:$EO$14,((MONTH($A71)-1)*12)+VLOOKUP(BX$4,$DE$6:$DF$17,2)+1))*(VLOOKUP($A71,SatSunCurve,6))*(INDEX(DailyScalarsTable,BX$5/100,MONTH($A71)))*$D71</f>
        <v>-7232.1649974004995</v>
      </c>
      <c r="BY71" s="1021">
        <f>(VLOOKUP(YEAR($A71),'NY East Load Projections'!$A$4:$EO$14,((MONTH($A71)-1)*12)+VLOOKUP(BY$4,$DE$6:$DF$17,2)+1))*(VLOOKUP($A71,SatSunCurve,6))*(INDEX(DailyScalarsTable,BY$5/100,MONTH($A71)))*$D71</f>
        <v>-5783.1126651054064</v>
      </c>
      <c r="BZ71" s="1021">
        <f>(VLOOKUP(YEAR($A71),'NY East Load Projections'!$A$4:$EO$14,((MONTH($A71)-1)*12)+VLOOKUP(BZ$4,$DE$6:$DF$17,2)+1))*(VLOOKUP($A71,SatSunCurve,6))*(INDEX(DailyScalarsTable,BZ$5/100,MONTH($A71)))*$D71</f>
        <v>-5975.5411938769112</v>
      </c>
      <c r="CA71" s="1021">
        <f>(VLOOKUP(YEAR($A71),'NY East Load Projections'!$A$4:$EO$14,((MONTH($A71)-1)*12)+VLOOKUP(CA$4,$DE$6:$DF$17,2)+1))*(VLOOKUP($A71,SatSunCurve,6))*(INDEX(DailyScalarsTable,CA$5/100,MONTH($A71)))*$D71</f>
        <v>-6088.5054290097451</v>
      </c>
      <c r="CB71" s="1021">
        <f>(VLOOKUP(YEAR($A71),'NY East Load Projections'!$A$4:$EO$14,((MONTH($A71)-1)*12)+VLOOKUP(CB$4,$DE$6:$DF$17,2)+1))*(VLOOKUP($A71,SatSunCurve,6))*(INDEX(DailyScalarsTable,CB$5/100,MONTH($A71)))*$D71</f>
        <v>-4882.3676113709989</v>
      </c>
      <c r="CC71" s="1021">
        <f>(VLOOKUP(YEAR($A71),'NY East Load Projections'!$A$4:$EO$14,((MONTH($A71)-1)*12)+VLOOKUP(CC$4,$DE$6:$DF$17,2)+1))*(VLOOKUP($A71,CURVES!$D$9:$T$261,6))*(INDEX(DailyScalarsTable,CC$5/100,MONTH($A71)))*$D71</f>
        <v>-9415.2516053721829</v>
      </c>
      <c r="CE71" s="1021">
        <f>(VLOOKUP(YEAR($A71),'NY East Load Projections'!$A$4:$EO$14,((MONTH($A71)-1)*12)+VLOOKUP(CE$4,$DE$6:$DF$17,2)+1))*(VLOOKUP($A71,CURVES!$D$9:$T$261,6))*(INDEX(DailyScalarsTable,CE$5/100,MONTH($A71)))*$E71</f>
        <v>0</v>
      </c>
      <c r="CF71" s="1021">
        <f>(VLOOKUP(YEAR($A71),'NY East Load Projections'!$A$4:$EO$14,((MONTH($A71)-1)*12)+VLOOKUP(CF$4,$DE$6:$DF$17,2)+1))*(VLOOKUP($A71,CURVES!$D$9:$T$261,6))*(INDEX(DailyScalarsTable,CF$5/100,MONTH($A71)))*$E71</f>
        <v>0</v>
      </c>
      <c r="CG71" s="1021">
        <f>(VLOOKUP(YEAR($A71),'NY East Load Projections'!$A$4:$EO$14,((MONTH($A71)-1)*12)+VLOOKUP(CG$4,$DE$6:$DF$17,2)+1))*(VLOOKUP($A71,CURVES!$D$9:$T$261,6))*(INDEX(DailyScalarsTable,CG$5/100,MONTH($A71)))*$E71</f>
        <v>0</v>
      </c>
      <c r="CH71" s="1021">
        <f>(VLOOKUP(YEAR($A71),'NY East Load Projections'!$A$4:$EO$14,((MONTH($A71)-1)*12)+VLOOKUP(CH$4,$DE$6:$DF$17,2)+1))*(VLOOKUP($A71,CURVES!$D$9:$T$261,6))*(INDEX(DailyScalarsTable,CH$5/100,MONTH($A71)))*$E71</f>
        <v>0</v>
      </c>
      <c r="CI71" s="1021">
        <f>(VLOOKUP(YEAR($A71),'NY East Load Projections'!$A$4:$EO$14,((MONTH($A71)-1)*12)+VLOOKUP(CI$4,$DE$6:$DF$17,2)+1))*(VLOOKUP($A71,CURVES!$D$9:$T$261,6))*(INDEX(DailyScalarsTable,CI$5/100,MONTH($A71)))*$E71</f>
        <v>0</v>
      </c>
      <c r="CJ71" s="1021">
        <f>(VLOOKUP(YEAR($A71),'NY East Load Projections'!$A$4:$EO$14,((MONTH($A71)-1)*12)+VLOOKUP(CJ$4,$DE$6:$DF$17,2)+1))*(VLOOKUP($A71,CURVES!$D$9:$T$261,6))*(INDEX(DailyScalarsTable,CJ$5/100,MONTH($A71)))*$E71</f>
        <v>0</v>
      </c>
      <c r="CK71" s="1021">
        <f>(VLOOKUP(YEAR($A71),'NY East Load Projections'!$A$4:$EO$14,((MONTH($A71)-1)*12)+VLOOKUP(CK$4,$DE$6:$DF$17,2)+1))*(VLOOKUP($A71,CURVES!$D$9:$T$261,6))*(INDEX(DailyScalarsTable,CK$5/100,MONTH($A71)))*$E71</f>
        <v>0</v>
      </c>
      <c r="CL71" s="1021">
        <f>(VLOOKUP(YEAR($A71),'NY East Load Projections'!$A$4:$EO$14,((MONTH($A71)-1)*12)+VLOOKUP(CL$4,$DE$6:$DF$17,2)+1))*(VLOOKUP($A71,SatSunCurve,6))*(INDEX(DailyScalarsTable,CL$5/100,MONTH($A71)))*$E71</f>
        <v>0</v>
      </c>
      <c r="CM71" s="1021">
        <f>(VLOOKUP(YEAR($A71),'NY East Load Projections'!$A$4:$EO$14,((MONTH($A71)-1)*12)+VLOOKUP(CM$4,$DE$6:$DF$17,2)+1))*(VLOOKUP($A71,SatSunCurve,6))*(INDEX(DailyScalarsTable,CM$5/100,MONTH($A71)))*$E71</f>
        <v>0</v>
      </c>
      <c r="CN71" s="1021">
        <f>(VLOOKUP(YEAR($A71),'NY East Load Projections'!$A$4:$EO$14,((MONTH($A71)-1)*12)+VLOOKUP(CN$4,$DE$6:$DF$17,2)+1))*(VLOOKUP($A71,SatSunCurve,6))*(INDEX(DailyScalarsTable,CN$5/100,MONTH($A71)))*$E71</f>
        <v>0</v>
      </c>
      <c r="CO71" s="1021">
        <f>(VLOOKUP(YEAR($A71),'NY East Load Projections'!$A$4:$EO$14,((MONTH($A71)-1)*12)+VLOOKUP(CO$4,$DE$6:$DF$17,2)+1))*(VLOOKUP($A71,SatSunCurve,6))*(INDEX(DailyScalarsTable,CO$5/100,MONTH($A71)))*$E71</f>
        <v>0</v>
      </c>
      <c r="CP71" s="1021">
        <f>(VLOOKUP(YEAR($A71),'NY East Load Projections'!$A$4:$EO$14,((MONTH($A71)-1)*12)+VLOOKUP(CP$4,$DE$6:$DF$17,2)+1))*(VLOOKUP($A71,SatSunCurve,6))*(INDEX(DailyScalarsTable,CP$5/100,MONTH($A71)))*$E71</f>
        <v>0</v>
      </c>
      <c r="CQ71" s="1021">
        <f>(VLOOKUP(YEAR($A71),'NY East Load Projections'!$A$4:$EO$14,((MONTH($A71)-1)*12)+VLOOKUP(CQ$4,$DE$6:$DF$17,2)+1))*(VLOOKUP($A71,SatSunCurve,6))*(INDEX(DailyScalarsTable,CQ$5/100,MONTH($A71)))*$E71</f>
        <v>0</v>
      </c>
      <c r="CR71" s="1021">
        <f>(VLOOKUP(YEAR($A71),'NY East Load Projections'!$A$4:$EO$14,((MONTH($A71)-1)*12)+VLOOKUP(CR$4,$DE$6:$DF$17,2)+1))*(VLOOKUP($A71,SatSunCurve,6))*(INDEX(DailyScalarsTable,CR$5/100,MONTH($A71)))*$E71</f>
        <v>0</v>
      </c>
      <c r="CS71" s="1021">
        <f>(VLOOKUP(YEAR($A71),'NY East Load Projections'!$A$4:$EO$14,((MONTH($A71)-1)*12)+VLOOKUP(CS$4,$DE$6:$DF$17,2)+1))*(VLOOKUP($A71,SatSunCurve,6))*(INDEX(DailyScalarsTable,CS$5/100,MONTH($A71)))*$E71</f>
        <v>0</v>
      </c>
      <c r="CT71" s="1021">
        <f>(VLOOKUP(YEAR($A71),'NY East Load Projections'!$A$4:$EO$14,((MONTH($A71)-1)*12)+VLOOKUP(CT$4,$DE$6:$DF$17,2)+1))*(VLOOKUP($A71,SatSunCurve,6))*(INDEX(DailyScalarsTable,CT$5/100,MONTH($A71)))*$E71</f>
        <v>0</v>
      </c>
      <c r="CU71" s="1021">
        <f>(VLOOKUP(YEAR($A71),'NY East Load Projections'!$A$4:$EO$14,((MONTH($A71)-1)*12)+VLOOKUP(CU$4,$DE$6:$DF$17,2)+1))*(VLOOKUP($A71,SatSunCurve,6))*(INDEX(DailyScalarsTable,CU$5/100,MONTH($A71)))*$E71</f>
        <v>0</v>
      </c>
      <c r="CV71" s="1021">
        <f>(VLOOKUP(YEAR($A71),'NY East Load Projections'!$A$4:$EO$14,((MONTH($A71)-1)*12)+VLOOKUP(CV$4,$DE$6:$DF$17,2)+1))*(VLOOKUP($A71,SatSunCurve,6))*(INDEX(DailyScalarsTable,CV$5/100,MONTH($A71)))*$E71</f>
        <v>0</v>
      </c>
      <c r="CW71" s="1021">
        <f>(VLOOKUP(YEAR($A71),'NY East Load Projections'!$A$4:$EO$14,((MONTH($A71)-1)*12)+VLOOKUP(CW$4,$DE$6:$DF$17,2)+1))*(VLOOKUP($A71,SatSunCurve,6))*(INDEX(DailyScalarsTable,CW$5/100,MONTH($A71)))*$E71</f>
        <v>0</v>
      </c>
      <c r="CX71" s="1021">
        <f>(VLOOKUP(YEAR($A71),'NY East Load Projections'!$A$4:$EO$14,((MONTH($A71)-1)*12)+VLOOKUP(CX$4,$DE$6:$DF$17,2)+1))*(VLOOKUP($A71,SatSunCurve,6))*(INDEX(DailyScalarsTable,CX$5/100,MONTH($A71)))*$E71</f>
        <v>0</v>
      </c>
      <c r="CY71" s="1021">
        <f>(VLOOKUP(YEAR($A71),'NY East Load Projections'!$A$4:$EO$14,((MONTH($A71)-1)*12)+VLOOKUP(CY$4,$DE$6:$DF$17,2)+1))*(VLOOKUP($A71,SatSunCurve,6))*(INDEX(DailyScalarsTable,CY$5/100,MONTH($A71)))*$E71</f>
        <v>0</v>
      </c>
      <c r="CZ71" s="1021">
        <f>(VLOOKUP(YEAR($A71),'NY East Load Projections'!$A$4:$EO$14,((MONTH($A71)-1)*12)+VLOOKUP(CZ$4,$DE$6:$DF$17,2)+1))*(VLOOKUP($A71,SatSunCurve,6))*(INDEX(DailyScalarsTable,CZ$5/100,MONTH($A71)))*$E71</f>
        <v>0</v>
      </c>
      <c r="DA71" s="1021">
        <f>(VLOOKUP(YEAR($A71),'NY East Load Projections'!$A$4:$EO$14,((MONTH($A71)-1)*12)+VLOOKUP(DA$4,$DE$6:$DF$17,2)+1))*(VLOOKUP($A71,SatSunCurve,6))*(INDEX(DailyScalarsTable,DA$5/100,MONTH($A71)))*$E71</f>
        <v>0</v>
      </c>
      <c r="DB71" s="1021">
        <f>(VLOOKUP(YEAR($A71),'NY East Load Projections'!$A$4:$EO$14,((MONTH($A71)-1)*12)+VLOOKUP(DB$4,$DE$6:$DF$17,2)+1))*(VLOOKUP($A71,CURVES!$D$9:$T$261,6))*(INDEX(DailyScalarsTable,DB$5/100,MONTH($A71)))*$E71</f>
        <v>0</v>
      </c>
      <c r="DH71" s="1021">
        <f t="shared" ref="DH71:DH125" si="2">SUM(H71:DB71)</f>
        <v>-2442767.969017711</v>
      </c>
      <c r="DI71">
        <f ca="1">CALC!J91</f>
        <v>0.63108905735073273</v>
      </c>
      <c r="DJ71" s="1029">
        <f t="shared" ref="DJ71:DJ125" ca="1" si="3">DH71*DI71</f>
        <v>-1541604.1348939512</v>
      </c>
    </row>
    <row r="72" spans="1:114" x14ac:dyDescent="0.25">
      <c r="A72" s="244">
        <v>38899</v>
      </c>
      <c r="B72" s="13">
        <v>20</v>
      </c>
      <c r="C72" s="210">
        <v>5</v>
      </c>
      <c r="D72" s="210">
        <v>5</v>
      </c>
      <c r="E72" s="210">
        <v>1</v>
      </c>
      <c r="F72" s="13">
        <v>31</v>
      </c>
      <c r="H72" s="1021">
        <f>(VLOOKUP(YEAR($A72),'NY East Load Projections'!$A$4:$EO$14,((MONTH($A72)-1)*12)+VLOOKUP(H$4,$DE$6:$DF$17,2)+1))*(VLOOKUP($A72,CURVES!$D$9:$K$261,6))*(INDEX(DailyScalarsTable,H$5/100,MONTH($A72)))*$B72</f>
        <v>-47993.401795050304</v>
      </c>
      <c r="I72" s="1021">
        <f>(VLOOKUP(YEAR($A72),'NY East Load Projections'!$A$4:$EO$14,((MONTH($A72)-1)*12)+VLOOKUP(I$4,$DE$6:$DF$17,2)+1))*(VLOOKUP($A72,CURVES!$D$9:$K$261,6))*(INDEX(DailyScalarsTable,I$5/100,MONTH($A72)))*$B72</f>
        <v>-43838.777034472725</v>
      </c>
      <c r="J72" s="1021">
        <f>(VLOOKUP(YEAR($A72),'NY East Load Projections'!$A$4:$EO$14,((MONTH($A72)-1)*12)+VLOOKUP(J$4,$DE$6:$DF$17,2)+1))*(VLOOKUP($A72,CURVES!$D$9:$K$261,6))*(INDEX(DailyScalarsTable,J$5/100,MONTH($A72)))*$B72</f>
        <v>-41770.821917158231</v>
      </c>
      <c r="K72" s="1021">
        <f>(VLOOKUP(YEAR($A72),'NY East Load Projections'!$A$4:$EO$14,((MONTH($A72)-1)*12)+VLOOKUP(K$4,$DE$6:$DF$17,2)+1))*(VLOOKUP($A72,CURVES!$D$9:$K$261,6))*(INDEX(DailyScalarsTable,K$5/100,MONTH($A72)))*$B72</f>
        <v>-37616.197156580645</v>
      </c>
      <c r="L72" s="1021">
        <f>(VLOOKUP(YEAR($A72),'NY East Load Projections'!$A$4:$EO$14,((MONTH($A72)-1)*12)+VLOOKUP(L$4,$DE$6:$DF$17,2)+1))*(VLOOKUP($A72,CURVES!$D$9:$K$261,6))*(INDEX(DailyScalarsTable,L$5/100,MONTH($A72)))*$B72</f>
        <v>-39063.979130841049</v>
      </c>
      <c r="M72" s="1021">
        <f>(VLOOKUP(YEAR($A72),'NY East Load Projections'!$A$4:$EO$14,((MONTH($A72)-1)*12)+VLOOKUP(M$4,$DE$6:$DF$17,2)+1))*(VLOOKUP($A72,CURVES!$D$9:$K$261,6))*(INDEX(DailyScalarsTable,M$5/100,MONTH($A72)))*$B72</f>
        <v>-43066.603826899445</v>
      </c>
      <c r="N72" s="1021">
        <f>(VLOOKUP(YEAR($A72),'NY East Load Projections'!$A$4:$EO$14,((MONTH($A72)-1)*12)+VLOOKUP(N$4,$DE$6:$DF$17,2)+1))*(VLOOKUP($A72,CURVES!$D$9:$K$261,6))*(INDEX(DailyScalarsTable,N$5/100,MONTH($A72)))*$B72</f>
        <v>-47826.758516585265</v>
      </c>
      <c r="O72" s="1021">
        <f>(VLOOKUP(YEAR($A72),'NY East Load Projections'!$A$4:$EO$14,((MONTH($A72)-1)*12)+VLOOKUP(O$4,$DE$6:$DF$17,2)+1))*(VLOOKUP($A72,CURVES!$D$9:$K$261,2))*(INDEX(DailyScalarsTable,O$5/100,MONTH($A72)))*$B72</f>
        <v>-82622.491902326408</v>
      </c>
      <c r="P72" s="1021">
        <f>(VLOOKUP(YEAR($A72),'NY East Load Projections'!$A$4:$EO$14,((MONTH($A72)-1)*12)+VLOOKUP(P$4,$DE$6:$DF$17,2)+1))*(VLOOKUP($A72,CURVES!$D$9:$K$261,2))*(INDEX(DailyScalarsTable,P$5/100,MONTH($A72)))*$B72</f>
        <v>-102803.38686675452</v>
      </c>
      <c r="Q72" s="1021">
        <f>(VLOOKUP(YEAR($A72),'NY East Load Projections'!$A$4:$EO$14,((MONTH($A72)-1)*12)+VLOOKUP(Q$4,$DE$6:$DF$17,2)+1))*(VLOOKUP($A72,CURVES!$D$9:$K$261,2))*(INDEX(DailyScalarsTable,Q$5/100,MONTH($A72)))*$B72</f>
        <v>-123083.83581447453</v>
      </c>
      <c r="R72" s="1021">
        <f>(VLOOKUP(YEAR($A72),'NY East Load Projections'!$A$4:$EO$14,((MONTH($A72)-1)*12)+VLOOKUP(R$4,$DE$6:$DF$17,2)+1))*(VLOOKUP($A72,CURVES!$D$9:$K$261,2))*(INDEX(DailyScalarsTable,R$5/100,MONTH($A72)))*$B72</f>
        <v>-140056.43375861342</v>
      </c>
      <c r="S72" s="1021">
        <f>(VLOOKUP(YEAR($A72),'NY East Load Projections'!$A$4:$EO$14,((MONTH($A72)-1)*12)+VLOOKUP(S$4,$DE$6:$DF$17,2)+1))*(VLOOKUP($A72,CURVES!$D$9:$K$261,2))*(INDEX(DailyScalarsTable,S$5/100,MONTH($A72)))*$B72</f>
        <v>-167443.7066965602</v>
      </c>
      <c r="T72" s="1021">
        <f>(VLOOKUP(YEAR($A72),'NY East Load Projections'!$A$4:$EO$14,((MONTH($A72)-1)*12)+VLOOKUP(T$4,$DE$6:$DF$17,2)+1))*(VLOOKUP($A72,CURVES!$D$9:$K$261,2))*(INDEX(DailyScalarsTable,T$5/100,MONTH($A72)))*$B72</f>
        <v>-188083.32562935469</v>
      </c>
      <c r="U72" s="1021">
        <f>(VLOOKUP(YEAR($A72),'NY East Load Projections'!$A$4:$EO$14,((MONTH($A72)-1)*12)+VLOOKUP(U$4,$DE$6:$DF$17,2)+1))*(VLOOKUP($A72,CURVES!$D$9:$K$261,2))*(INDEX(DailyScalarsTable,U$5/100,MONTH($A72)))*$B72</f>
        <v>-194413.61915006713</v>
      </c>
      <c r="V72" s="1021">
        <f>(VLOOKUP(YEAR($A72),'NY East Load Projections'!$A$4:$EO$14,((MONTH($A72)-1)*12)+VLOOKUP(V$4,$DE$6:$DF$17,2)+1))*(VLOOKUP($A72,CURVES!$D$9:$K$261,2))*(INDEX(DailyScalarsTable,V$5/100,MONTH($A72)))*$B72</f>
        <v>-202510.50621144354</v>
      </c>
      <c r="W72" s="1021">
        <f>(VLOOKUP(YEAR($A72),'NY East Load Projections'!$A$4:$EO$14,((MONTH($A72)-1)*12)+VLOOKUP(W$4,$DE$6:$DF$17,2)+1))*(VLOOKUP($A72,CURVES!$D$9:$K$261,2))*(INDEX(DailyScalarsTable,W$5/100,MONTH($A72)))*$B72</f>
        <v>-214920.82583460779</v>
      </c>
      <c r="X72" s="1021">
        <f>(VLOOKUP(YEAR($A72),'NY East Load Projections'!$A$4:$EO$14,((MONTH($A72)-1)*12)+VLOOKUP(X$4,$DE$6:$DF$17,2)+1))*(VLOOKUP($A72,CURVES!$D$9:$K$261,2))*(INDEX(DailyScalarsTable,X$5/100,MONTH($A72)))*$B72</f>
        <v>-207792.15624937351</v>
      </c>
      <c r="Y72" s="1021">
        <f>(VLOOKUP(YEAR($A72),'NY East Load Projections'!$A$4:$EO$14,((MONTH($A72)-1)*12)+VLOOKUP(Y$4,$DE$6:$DF$17,2)+1))*(VLOOKUP($A72,CURVES!$D$9:$K$261,2))*(INDEX(DailyScalarsTable,Y$5/100,MONTH($A72)))*$B72</f>
        <v>-202643.05238421878</v>
      </c>
      <c r="Z72" s="1021">
        <f>(VLOOKUP(YEAR($A72),'NY East Load Projections'!$A$4:$EO$14,((MONTH($A72)-1)*12)+VLOOKUP(Z$4,$DE$6:$DF$17,2)+1))*(VLOOKUP($A72,CURVES!$D$9:$K$261,2))*(INDEX(DailyScalarsTable,Z$5/100,MONTH($A72)))*$B72</f>
        <v>-169250.62542130487</v>
      </c>
      <c r="AA72" s="1021">
        <f>(VLOOKUP(YEAR($A72),'NY East Load Projections'!$A$4:$EO$14,((MONTH($A72)-1)*12)+VLOOKUP(AA$4,$DE$6:$DF$17,2)+1))*(VLOOKUP($A72,CURVES!$D$9:$K$261,2))*(INDEX(DailyScalarsTable,AA$5/100,MONTH($A72)))*$B72</f>
        <v>-125239.04387469796</v>
      </c>
      <c r="AB72" s="1021">
        <f>(VLOOKUP(YEAR($A72),'NY East Load Projections'!$A$4:$EO$14,((MONTH($A72)-1)*12)+VLOOKUP(AB$4,$DE$6:$DF$17,2)+1))*(VLOOKUP($A72,CURVES!$D$9:$K$261,2))*(INDEX(DailyScalarsTable,AB$5/100,MONTH($A72)))*$B72</f>
        <v>-122582.39313743592</v>
      </c>
      <c r="AC72" s="1021">
        <f>(VLOOKUP(YEAR($A72),'NY East Load Projections'!$A$4:$EO$14,((MONTH($A72)-1)*12)+VLOOKUP(AC$4,$DE$6:$DF$17,2)+1))*(VLOOKUP($A72,CURVES!$D$9:$K$261,2))*(INDEX(DailyScalarsTable,AC$5/100,MONTH($A72)))*$B72</f>
        <v>-129892.63558101024</v>
      </c>
      <c r="AD72" s="1021">
        <f>(VLOOKUP(YEAR($A72),'NY East Load Projections'!$A$4:$EO$14,((MONTH($A72)-1)*12)+VLOOKUP(AD$4,$DE$6:$DF$17,2)+1))*(VLOOKUP($A72,CURVES!$D$9:$K$261,2))*(INDEX(DailyScalarsTable,AD$5/100,MONTH($A72)))*$B72</f>
        <v>-90204.934206605161</v>
      </c>
      <c r="AE72" s="1021">
        <f>(VLOOKUP(YEAR($A72),'NY East Load Projections'!$A$4:$EO$14,((MONTH($A72)-1)*12)+VLOOKUP(AE$4,$DE$6:$DF$17,2)+1))*(VLOOKUP($A72,CURVES!$D$9:$K$261,6))*(INDEX(DailyScalarsTable,AE$5/100,MONTH($A72)))*$B72</f>
        <v>-57247.628051521955</v>
      </c>
      <c r="AF72" s="1021"/>
      <c r="AG72" s="1021">
        <f>(VLOOKUP(YEAR($A72),'NY East Load Projections'!$A$4:$EO$14,((MONTH($A72)-1)*12)+VLOOKUP(AG$4,$DE$6:$DF$17,2)+1))*(VLOOKUP($A72,CURVES!$D$9:$T$261,6))*(INDEX(DailyScalarsTable,AG$5/100,MONTH($A72)))*$C72</f>
        <v>-11482.761021975073</v>
      </c>
      <c r="AH72" s="1021">
        <f>(VLOOKUP(YEAR($A72),'NY East Load Projections'!$A$4:$EO$14,((MONTH($A72)-1)*12)+VLOOKUP(AH$4,$DE$6:$DF$17,2)+1))*(VLOOKUP($A72,CURVES!$D$9:$T$261,6))*(INDEX(DailyScalarsTable,AH$5/100,MONTH($A72)))*$C72</f>
        <v>-10488.737646315694</v>
      </c>
      <c r="AI72" s="1021">
        <f>(VLOOKUP(YEAR($A72),'NY East Load Projections'!$A$4:$EO$14,((MONTH($A72)-1)*12)+VLOOKUP(AI$4,$DE$6:$DF$17,2)+1))*(VLOOKUP($A72,CURVES!$D$9:$T$261,6))*(INDEX(DailyScalarsTable,AI$5/100,MONTH($A72)))*$C72</f>
        <v>-9993.9647498726299</v>
      </c>
      <c r="AJ72" s="1021">
        <f>(VLOOKUP(YEAR($A72),'NY East Load Projections'!$A$4:$EO$14,((MONTH($A72)-1)*12)+VLOOKUP(AJ$4,$DE$6:$DF$17,2)+1))*(VLOOKUP($A72,CURVES!$D$9:$T$261,6))*(INDEX(DailyScalarsTable,AJ$5/100,MONTH($A72)))*$C72</f>
        <v>-8999.9413742132529</v>
      </c>
      <c r="AK72" s="1021">
        <f>(VLOOKUP(YEAR($A72),'NY East Load Projections'!$A$4:$EO$14,((MONTH($A72)-1)*12)+VLOOKUP(AK$4,$DE$6:$DF$17,2)+1))*(VLOOKUP($A72,CURVES!$D$9:$T$261,6))*(INDEX(DailyScalarsTable,AK$5/100,MONTH($A72)))*$C72</f>
        <v>-8661.1864139436784</v>
      </c>
      <c r="AL72" s="1021">
        <f>(VLOOKUP(YEAR($A72),'NY East Load Projections'!$A$4:$EO$14,((MONTH($A72)-1)*12)+VLOOKUP(AL$4,$DE$6:$DF$17,2)+1))*(VLOOKUP($A72,CURVES!$D$9:$T$261,6))*(INDEX(DailyScalarsTable,AL$5/100,MONTH($A72)))*$C72</f>
        <v>-9548.6402629614913</v>
      </c>
      <c r="AM72" s="1021">
        <f>(VLOOKUP(YEAR($A72),'NY East Load Projections'!$A$4:$EO$14,((MONTH($A72)-1)*12)+VLOOKUP(AM$4,$DE$6:$DF$17,2)+1))*(VLOOKUP($A72,CURVES!$D$9:$T$261,6))*(INDEX(DailyScalarsTable,AM$5/100,MONTH($A72)))*$C72</f>
        <v>-10604.052129440477</v>
      </c>
      <c r="AN72" s="1021">
        <f>(VLOOKUP(YEAR($A72),'NY East Load Projections'!$A$4:$EO$14,((MONTH($A72)-1)*12)+VLOOKUP(AN$4,$DE$6:$DF$17,2)+1))*(VLOOKUP($A72,SatSunCurve,2))*(INDEX(DailyScalarsTable,AN$5/100,MONTH($A72)))*$C72</f>
        <v>-10231.170295459022</v>
      </c>
      <c r="AO72" s="1021">
        <f>(VLOOKUP(YEAR($A72),'NY East Load Projections'!$A$4:$EO$14,((MONTH($A72)-1)*12)+VLOOKUP(AO$4,$DE$6:$DF$17,2)+1))*(VLOOKUP($A72,SatSunCurve,2))*(INDEX(DailyScalarsTable,AO$5/100,MONTH($A72)))*$C72</f>
        <v>-12354.564406193096</v>
      </c>
      <c r="AP72" s="1021">
        <f>(VLOOKUP(YEAR($A72),'NY East Load Projections'!$A$4:$EO$14,((MONTH($A72)-1)*12)+VLOOKUP(AP$4,$DE$6:$DF$17,2)+1))*(VLOOKUP($A72,SatSunCurve,2))*(INDEX(DailyScalarsTable,AP$5/100,MONTH($A72)))*$C72</f>
        <v>-14791.800380099956</v>
      </c>
      <c r="AQ72" s="1021">
        <f>(VLOOKUP(YEAR($A72),'NY East Load Projections'!$A$4:$EO$14,((MONTH($A72)-1)*12)+VLOOKUP(AQ$4,$DE$6:$DF$17,2)+1))*(VLOOKUP($A72,SatSunCurve,2))*(INDEX(DailyScalarsTable,AQ$5/100,MONTH($A72)))*$C72</f>
        <v>-16831.50997364736</v>
      </c>
      <c r="AR72" s="1021">
        <f>(VLOOKUP(YEAR($A72),'NY East Load Projections'!$A$4:$EO$14,((MONTH($A72)-1)*12)+VLOOKUP(AR$4,$DE$6:$DF$17,2)+1))*(VLOOKUP($A72,SatSunCurve,2))*(INDEX(DailyScalarsTable,AR$5/100,MONTH($A72)))*$C72</f>
        <v>-20122.820092256628</v>
      </c>
      <c r="AS72" s="1021">
        <f>(VLOOKUP(YEAR($A72),'NY East Load Projections'!$A$4:$EO$14,((MONTH($A72)-1)*12)+VLOOKUP(AS$4,$DE$6:$DF$17,2)+1))*(VLOOKUP($A72,SatSunCurve,2))*(INDEX(DailyScalarsTable,AS$5/100,MONTH($A72)))*$C72</f>
        <v>-22880.313352389254</v>
      </c>
      <c r="AT72" s="1021">
        <f>(VLOOKUP(YEAR($A72),'NY East Load Projections'!$A$4:$EO$14,((MONTH($A72)-1)*12)+VLOOKUP(AT$4,$DE$6:$DF$17,2)+1))*(VLOOKUP($A72,SatSunCurve,2))*(INDEX(DailyScalarsTable,AT$5/100,MONTH($A72)))*$C72</f>
        <v>-23650.392777994086</v>
      </c>
      <c r="AU72" s="1021">
        <f>(VLOOKUP(YEAR($A72),'NY East Load Projections'!$A$4:$EO$14,((MONTH($A72)-1)*12)+VLOOKUP(AU$4,$DE$6:$DF$17,2)+1))*(VLOOKUP($A72,SatSunCurve,2))*(INDEX(DailyScalarsTable,AU$5/100,MONTH($A72)))*$C72</f>
        <v>-24635.378089814218</v>
      </c>
      <c r="AV72" s="1021">
        <f>(VLOOKUP(YEAR($A72),'NY East Load Projections'!$A$4:$EO$14,((MONTH($A72)-1)*12)+VLOOKUP(AV$4,$DE$6:$DF$17,2)+1))*(VLOOKUP($A72,SatSunCurve,2))*(INDEX(DailyScalarsTable,AV$5/100,MONTH($A72)))*$C72</f>
        <v>-26145.091940476726</v>
      </c>
      <c r="AW72" s="1021">
        <f>(VLOOKUP(YEAR($A72),'NY East Load Projections'!$A$4:$EO$14,((MONTH($A72)-1)*12)+VLOOKUP(AW$4,$DE$6:$DF$17,2)+1))*(VLOOKUP($A72,SatSunCurve,2))*(INDEX(DailyScalarsTable,AW$5/100,MONTH($A72)))*$C72</f>
        <v>-25372.314963258767</v>
      </c>
      <c r="AX72" s="1021">
        <f>(VLOOKUP(YEAR($A72),'NY East Load Projections'!$A$4:$EO$14,((MONTH($A72)-1)*12)+VLOOKUP(AX$4,$DE$6:$DF$17,2)+1))*(VLOOKUP($A72,SatSunCurve,2))*(INDEX(DailyScalarsTable,AX$5/100,MONTH($A72)))*$C72</f>
        <v>-24743.58726052272</v>
      </c>
      <c r="AY72" s="1021">
        <f>(VLOOKUP(YEAR($A72),'NY East Load Projections'!$A$4:$EO$14,((MONTH($A72)-1)*12)+VLOOKUP(AY$4,$DE$6:$DF$17,2)+1))*(VLOOKUP($A72,SatSunCurve,2))*(INDEX(DailyScalarsTable,AY$5/100,MONTH($A72)))*$C72</f>
        <v>-20666.22847286049</v>
      </c>
      <c r="AZ72" s="1021">
        <f>(VLOOKUP(YEAR($A72),'NY East Load Projections'!$A$4:$EO$14,((MONTH($A72)-1)*12)+VLOOKUP(AZ$4,$DE$6:$DF$17,2)+1))*(VLOOKUP($A72,SatSunCurve,2))*(INDEX(DailyScalarsTable,AZ$5/100,MONTH($A72)))*$C72</f>
        <v>-15292.225290124736</v>
      </c>
      <c r="BA72" s="1021">
        <f>(VLOOKUP(YEAR($A72),'NY East Load Projections'!$A$4:$EO$14,((MONTH($A72)-1)*12)+VLOOKUP(BA$4,$DE$6:$DF$17,2)+1))*(VLOOKUP($A72,SatSunCurve,2))*(INDEX(DailyScalarsTable,BA$5/100,MONTH($A72)))*$C72</f>
        <v>-16063.223734389951</v>
      </c>
      <c r="BB72" s="1021">
        <f>(VLOOKUP(YEAR($A72),'NY East Load Projections'!$A$4:$EO$14,((MONTH($A72)-1)*12)+VLOOKUP(BB$4,$DE$6:$DF$17,2)+1))*(VLOOKUP($A72,SatSunCurve,2))*(INDEX(DailyScalarsTable,BB$5/100,MONTH($A72)))*$C72</f>
        <v>-17021.159510632409</v>
      </c>
      <c r="BC72" s="1021">
        <f>(VLOOKUP(YEAR($A72),'NY East Load Projections'!$A$4:$EO$14,((MONTH($A72)-1)*12)+VLOOKUP(BC$4,$DE$6:$DF$17,2)+1))*(VLOOKUP($A72,SatSunCurve,2))*(INDEX(DailyScalarsTable,BC$5/100,MONTH($A72)))*$C72</f>
        <v>-11820.474401099889</v>
      </c>
      <c r="BD72" s="1021">
        <f>(VLOOKUP(YEAR($A72),'NY East Load Projections'!$A$4:$EO$14,((MONTH($A72)-1)*12)+VLOOKUP(BD$4,$DE$6:$DF$17,2)+1))*(VLOOKUP($A72,CURVES!$D$9:$T$261,6))*(INDEX(DailyScalarsTable,BD$5/100,MONTH($A72)))*$C72</f>
        <v>-13431.85492398209</v>
      </c>
      <c r="BE72" s="1021"/>
      <c r="BF72" s="1021">
        <f>(VLOOKUP(YEAR($A72),'NY East Load Projections'!$A$4:$EO$14,((MONTH($A72)-1)*12)+VLOOKUP(BF$4,$DE$6:$DF$17,2)+1))*(VLOOKUP($A72,CURVES!$D$9:$T$261,6))*(INDEX(DailyScalarsTable,BF$5/100,MONTH($A72)))*$D72</f>
        <v>-11482.761021975073</v>
      </c>
      <c r="BG72" s="1021">
        <f>(VLOOKUP(YEAR($A72),'NY East Load Projections'!$A$4:$EO$14,((MONTH($A72)-1)*12)+VLOOKUP(BG$4,$DE$6:$DF$17,2)+1))*(VLOOKUP($A72,CURVES!$D$9:$T$261,6))*(INDEX(DailyScalarsTable,BG$5/100,MONTH($A72)))*$D72</f>
        <v>-10488.737646315694</v>
      </c>
      <c r="BH72" s="1021">
        <f>(VLOOKUP(YEAR($A72),'NY East Load Projections'!$A$4:$EO$14,((MONTH($A72)-1)*12)+VLOOKUP(BH$4,$DE$6:$DF$17,2)+1))*(VLOOKUP($A72,CURVES!$D$9:$T$261,6))*(INDEX(DailyScalarsTable,BH$5/100,MONTH($A72)))*$D72</f>
        <v>-9993.9647498726299</v>
      </c>
      <c r="BI72" s="1021">
        <f>(VLOOKUP(YEAR($A72),'NY East Load Projections'!$A$4:$EO$14,((MONTH($A72)-1)*12)+VLOOKUP(BI$4,$DE$6:$DF$17,2)+1))*(VLOOKUP($A72,CURVES!$D$9:$T$261,6))*(INDEX(DailyScalarsTable,BI$5/100,MONTH($A72)))*$D72</f>
        <v>-8999.9413742132529</v>
      </c>
      <c r="BJ72" s="1021">
        <f>(VLOOKUP(YEAR($A72),'NY East Load Projections'!$A$4:$EO$14,((MONTH($A72)-1)*12)+VLOOKUP(BJ$4,$DE$6:$DF$17,2)+1))*(VLOOKUP($A72,CURVES!$D$9:$T$261,6))*(INDEX(DailyScalarsTable,BJ$5/100,MONTH($A72)))*$D72</f>
        <v>-8661.1864139436784</v>
      </c>
      <c r="BK72" s="1021">
        <f>(VLOOKUP(YEAR($A72),'NY East Load Projections'!$A$4:$EO$14,((MONTH($A72)-1)*12)+VLOOKUP(BK$4,$DE$6:$DF$17,2)+1))*(VLOOKUP($A72,CURVES!$D$9:$T$261,6))*(INDEX(DailyScalarsTable,BK$5/100,MONTH($A72)))*$D72</f>
        <v>-9548.6402629614913</v>
      </c>
      <c r="BL72" s="1021">
        <f>(VLOOKUP(YEAR($A72),'NY East Load Projections'!$A$4:$EO$14,((MONTH($A72)-1)*12)+VLOOKUP(BL$4,$DE$6:$DF$17,2)+1))*(VLOOKUP($A72,CURVES!$D$9:$T$261,6))*(INDEX(DailyScalarsTable,BL$5/100,MONTH($A72)))*$D72</f>
        <v>-10604.052129440477</v>
      </c>
      <c r="BM72" s="1021">
        <f>(VLOOKUP(YEAR($A72),'NY East Load Projections'!$A$4:$EO$14,((MONTH($A72)-1)*12)+VLOOKUP(BM$4,$DE$6:$DF$17,2)+1))*(VLOOKUP($A72,SatSunCurve,6))*(INDEX(DailyScalarsTable,BM$5/100,MONTH($A72)))*$D72</f>
        <v>-7229.7170095001165</v>
      </c>
      <c r="BN72" s="1021">
        <f>(VLOOKUP(YEAR($A72),'NY East Load Projections'!$A$4:$EO$14,((MONTH($A72)-1)*12)+VLOOKUP(BN$4,$DE$6:$DF$17,2)+1))*(VLOOKUP($A72,SatSunCurve,6))*(INDEX(DailyScalarsTable,BN$5/100,MONTH($A72)))*$D72</f>
        <v>-8730.18450998343</v>
      </c>
      <c r="BO72" s="1021">
        <f>(VLOOKUP(YEAR($A72),'NY East Load Projections'!$A$4:$EO$14,((MONTH($A72)-1)*12)+VLOOKUP(BO$4,$DE$6:$DF$17,2)+1))*(VLOOKUP($A72,SatSunCurve,6))*(INDEX(DailyScalarsTable,BO$5/100,MONTH($A72)))*$D72</f>
        <v>-10452.424084525614</v>
      </c>
      <c r="BP72" s="1021">
        <f>(VLOOKUP(YEAR($A72),'NY East Load Projections'!$A$4:$EO$14,((MONTH($A72)-1)*12)+VLOOKUP(BP$4,$DE$6:$DF$17,2)+1))*(VLOOKUP($A72,SatSunCurve,6))*(INDEX(DailyScalarsTable,BP$5/100,MONTH($A72)))*$D72</f>
        <v>-11893.757061795606</v>
      </c>
      <c r="BQ72" s="1021">
        <f>(VLOOKUP(YEAR($A72),'NY East Load Projections'!$A$4:$EO$14,((MONTH($A72)-1)*12)+VLOOKUP(BQ$4,$DE$6:$DF$17,2)+1))*(VLOOKUP($A72,SatSunCurve,6))*(INDEX(DailyScalarsTable,BQ$5/100,MONTH($A72)))*$D72</f>
        <v>-14219.516487245743</v>
      </c>
      <c r="BR72" s="1021">
        <f>(VLOOKUP(YEAR($A72),'NY East Load Projections'!$A$4:$EO$14,((MONTH($A72)-1)*12)+VLOOKUP(BR$4,$DE$6:$DF$17,2)+1))*(VLOOKUP($A72,SatSunCurve,6))*(INDEX(DailyScalarsTable,BR$5/100,MONTH($A72)))*$D72</f>
        <v>-16168.06150708683</v>
      </c>
      <c r="BS72" s="1021">
        <f>(VLOOKUP(YEAR($A72),'NY East Load Projections'!$A$4:$EO$14,((MONTH($A72)-1)*12)+VLOOKUP(BS$4,$DE$6:$DF$17,2)+1))*(VLOOKUP($A72,SatSunCurve,6))*(INDEX(DailyScalarsTable,BS$5/100,MONTH($A72)))*$D72</f>
        <v>-16712.227634830044</v>
      </c>
      <c r="BT72" s="1021">
        <f>(VLOOKUP(YEAR($A72),'NY East Load Projections'!$A$4:$EO$14,((MONTH($A72)-1)*12)+VLOOKUP(BT$4,$DE$6:$DF$17,2)+1))*(VLOOKUP($A72,SatSunCurve,6))*(INDEX(DailyScalarsTable,BT$5/100,MONTH($A72)))*$D72</f>
        <v>-17408.254077292295</v>
      </c>
      <c r="BU72" s="1021">
        <f>(VLOOKUP(YEAR($A72),'NY East Load Projections'!$A$4:$EO$14,((MONTH($A72)-1)*12)+VLOOKUP(BU$4,$DE$6:$DF$17,2)+1))*(VLOOKUP($A72,SatSunCurve,6))*(INDEX(DailyScalarsTable,BU$5/100,MONTH($A72)))*$D72</f>
        <v>-18475.072788193535</v>
      </c>
      <c r="BV72" s="1021">
        <f>(VLOOKUP(YEAR($A72),'NY East Load Projections'!$A$4:$EO$14,((MONTH($A72)-1)*12)+VLOOKUP(BV$4,$DE$6:$DF$17,2)+1))*(VLOOKUP($A72,SatSunCurve,6))*(INDEX(DailyScalarsTable,BV$5/100,MONTH($A72)))*$D72</f>
        <v>-17929.00047237816</v>
      </c>
      <c r="BW72" s="1021">
        <f>(VLOOKUP(YEAR($A72),'NY East Load Projections'!$A$4:$EO$14,((MONTH($A72)-1)*12)+VLOOKUP(BW$4,$DE$6:$DF$17,2)+1))*(VLOOKUP($A72,SatSunCurve,6))*(INDEX(DailyScalarsTable,BW$5/100,MONTH($A72)))*$D72</f>
        <v>-17484.718612576431</v>
      </c>
      <c r="BX72" s="1021">
        <f>(VLOOKUP(YEAR($A72),'NY East Load Projections'!$A$4:$EO$14,((MONTH($A72)-1)*12)+VLOOKUP(BX$4,$DE$6:$DF$17,2)+1))*(VLOOKUP($A72,SatSunCurve,6))*(INDEX(DailyScalarsTable,BX$5/100,MONTH($A72)))*$D72</f>
        <v>-14603.508611206415</v>
      </c>
      <c r="BY72" s="1021">
        <f>(VLOOKUP(YEAR($A72),'NY East Load Projections'!$A$4:$EO$14,((MONTH($A72)-1)*12)+VLOOKUP(BY$4,$DE$6:$DF$17,2)+1))*(VLOOKUP($A72,SatSunCurve,6))*(INDEX(DailyScalarsTable,BY$5/100,MONTH($A72)))*$D72</f>
        <v>-10806.042524987846</v>
      </c>
      <c r="BZ72" s="1021">
        <f>(VLOOKUP(YEAR($A72),'NY East Load Projections'!$A$4:$EO$14,((MONTH($A72)-1)*12)+VLOOKUP(BZ$4,$DE$6:$DF$17,2)+1))*(VLOOKUP($A72,SatSunCurve,6))*(INDEX(DailyScalarsTable,BZ$5/100,MONTH($A72)))*$D72</f>
        <v>-11350.858064738597</v>
      </c>
      <c r="CA72" s="1021">
        <f>(VLOOKUP(YEAR($A72),'NY East Load Projections'!$A$4:$EO$14,((MONTH($A72)-1)*12)+VLOOKUP(CA$4,$DE$6:$DF$17,2)+1))*(VLOOKUP($A72,SatSunCurve,6))*(INDEX(DailyScalarsTable,CA$5/100,MONTH($A72)))*$D72</f>
        <v>-12027.770321646551</v>
      </c>
      <c r="CB72" s="1021">
        <f>(VLOOKUP(YEAR($A72),'NY East Load Projections'!$A$4:$EO$14,((MONTH($A72)-1)*12)+VLOOKUP(CB$4,$DE$6:$DF$17,2)+1))*(VLOOKUP($A72,SatSunCurve,6))*(INDEX(DailyScalarsTable,CB$5/100,MONTH($A72)))*$D72</f>
        <v>-8352.7770890415486</v>
      </c>
      <c r="CC72" s="1021">
        <f>(VLOOKUP(YEAR($A72),'NY East Load Projections'!$A$4:$EO$14,((MONTH($A72)-1)*12)+VLOOKUP(CC$4,$DE$6:$DF$17,2)+1))*(VLOOKUP($A72,CURVES!$D$9:$T$261,6))*(INDEX(DailyScalarsTable,CC$5/100,MONTH($A72)))*$D72</f>
        <v>-13431.85492398209</v>
      </c>
      <c r="CE72" s="1021">
        <f>(VLOOKUP(YEAR($A72),'NY East Load Projections'!$A$4:$EO$14,((MONTH($A72)-1)*12)+VLOOKUP(CE$4,$DE$6:$DF$17,2)+1))*(VLOOKUP($A72,CURVES!$D$9:$T$261,6))*(INDEX(DailyScalarsTable,CE$5/100,MONTH($A72)))*$E72</f>
        <v>-2296.5522043950145</v>
      </c>
      <c r="CF72" s="1021">
        <f>(VLOOKUP(YEAR($A72),'NY East Load Projections'!$A$4:$EO$14,((MONTH($A72)-1)*12)+VLOOKUP(CF$4,$DE$6:$DF$17,2)+1))*(VLOOKUP($A72,CURVES!$D$9:$T$261,6))*(INDEX(DailyScalarsTable,CF$5/100,MONTH($A72)))*$E72</f>
        <v>-2097.7475292631389</v>
      </c>
      <c r="CG72" s="1021">
        <f>(VLOOKUP(YEAR($A72),'NY East Load Projections'!$A$4:$EO$14,((MONTH($A72)-1)*12)+VLOOKUP(CG$4,$DE$6:$DF$17,2)+1))*(VLOOKUP($A72,CURVES!$D$9:$T$261,6))*(INDEX(DailyScalarsTable,CG$5/100,MONTH($A72)))*$E72</f>
        <v>-1998.792949974526</v>
      </c>
      <c r="CH72" s="1021">
        <f>(VLOOKUP(YEAR($A72),'NY East Load Projections'!$A$4:$EO$14,((MONTH($A72)-1)*12)+VLOOKUP(CH$4,$DE$6:$DF$17,2)+1))*(VLOOKUP($A72,CURVES!$D$9:$T$261,6))*(INDEX(DailyScalarsTable,CH$5/100,MONTH($A72)))*$E72</f>
        <v>-1799.9882748426505</v>
      </c>
      <c r="CI72" s="1021">
        <f>(VLOOKUP(YEAR($A72),'NY East Load Projections'!$A$4:$EO$14,((MONTH($A72)-1)*12)+VLOOKUP(CI$4,$DE$6:$DF$17,2)+1))*(VLOOKUP($A72,CURVES!$D$9:$T$261,6))*(INDEX(DailyScalarsTable,CI$5/100,MONTH($A72)))*$E72</f>
        <v>-1732.2372827887357</v>
      </c>
      <c r="CJ72" s="1021">
        <f>(VLOOKUP(YEAR($A72),'NY East Load Projections'!$A$4:$EO$14,((MONTH($A72)-1)*12)+VLOOKUP(CJ$4,$DE$6:$DF$17,2)+1))*(VLOOKUP($A72,CURVES!$D$9:$T$261,6))*(INDEX(DailyScalarsTable,CJ$5/100,MONTH($A72)))*$E72</f>
        <v>-1909.7280525922981</v>
      </c>
      <c r="CK72" s="1021">
        <f>(VLOOKUP(YEAR($A72),'NY East Load Projections'!$A$4:$EO$14,((MONTH($A72)-1)*12)+VLOOKUP(CK$4,$DE$6:$DF$17,2)+1))*(VLOOKUP($A72,CURVES!$D$9:$T$261,6))*(INDEX(DailyScalarsTable,CK$5/100,MONTH($A72)))*$E72</f>
        <v>-2120.8104258880953</v>
      </c>
      <c r="CL72" s="1021">
        <f>(VLOOKUP(YEAR($A72),'NY East Load Projections'!$A$4:$EO$14,((MONTH($A72)-1)*12)+VLOOKUP(CL$4,$DE$6:$DF$17,2)+1))*(VLOOKUP($A72,SatSunCurve,6))*(INDEX(DailyScalarsTable,CL$5/100,MONTH($A72)))*$E72</f>
        <v>-1445.9434019000232</v>
      </c>
      <c r="CM72" s="1021">
        <f>(VLOOKUP(YEAR($A72),'NY East Load Projections'!$A$4:$EO$14,((MONTH($A72)-1)*12)+VLOOKUP(CM$4,$DE$6:$DF$17,2)+1))*(VLOOKUP($A72,SatSunCurve,6))*(INDEX(DailyScalarsTable,CM$5/100,MONTH($A72)))*$E72</f>
        <v>-1746.0369019966859</v>
      </c>
      <c r="CN72" s="1021">
        <f>(VLOOKUP(YEAR($A72),'NY East Load Projections'!$A$4:$EO$14,((MONTH($A72)-1)*12)+VLOOKUP(CN$4,$DE$6:$DF$17,2)+1))*(VLOOKUP($A72,SatSunCurve,6))*(INDEX(DailyScalarsTable,CN$5/100,MONTH($A72)))*$E72</f>
        <v>-2090.4848169051229</v>
      </c>
      <c r="CO72" s="1021">
        <f>(VLOOKUP(YEAR($A72),'NY East Load Projections'!$A$4:$EO$14,((MONTH($A72)-1)*12)+VLOOKUP(CO$4,$DE$6:$DF$17,2)+1))*(VLOOKUP($A72,SatSunCurve,6))*(INDEX(DailyScalarsTable,CO$5/100,MONTH($A72)))*$E72</f>
        <v>-2378.7514123591213</v>
      </c>
      <c r="CP72" s="1021">
        <f>(VLOOKUP(YEAR($A72),'NY East Load Projections'!$A$4:$EO$14,((MONTH($A72)-1)*12)+VLOOKUP(CP$4,$DE$6:$DF$17,2)+1))*(VLOOKUP($A72,SatSunCurve,6))*(INDEX(DailyScalarsTable,CP$5/100,MONTH($A72)))*$E72</f>
        <v>-2843.9032974491483</v>
      </c>
      <c r="CQ72" s="1021">
        <f>(VLOOKUP(YEAR($A72),'NY East Load Projections'!$A$4:$EO$14,((MONTH($A72)-1)*12)+VLOOKUP(CQ$4,$DE$6:$DF$17,2)+1))*(VLOOKUP($A72,SatSunCurve,6))*(INDEX(DailyScalarsTable,CQ$5/100,MONTH($A72)))*$E72</f>
        <v>-3233.6123014173659</v>
      </c>
      <c r="CR72" s="1021">
        <f>(VLOOKUP(YEAR($A72),'NY East Load Projections'!$A$4:$EO$14,((MONTH($A72)-1)*12)+VLOOKUP(CR$4,$DE$6:$DF$17,2)+1))*(VLOOKUP($A72,SatSunCurve,6))*(INDEX(DailyScalarsTable,CR$5/100,MONTH($A72)))*$E72</f>
        <v>-3342.4455269660084</v>
      </c>
      <c r="CS72" s="1021">
        <f>(VLOOKUP(YEAR($A72),'NY East Load Projections'!$A$4:$EO$14,((MONTH($A72)-1)*12)+VLOOKUP(CS$4,$DE$6:$DF$17,2)+1))*(VLOOKUP($A72,SatSunCurve,6))*(INDEX(DailyScalarsTable,CS$5/100,MONTH($A72)))*$E72</f>
        <v>-3481.650815458459</v>
      </c>
      <c r="CT72" s="1021">
        <f>(VLOOKUP(YEAR($A72),'NY East Load Projections'!$A$4:$EO$14,((MONTH($A72)-1)*12)+VLOOKUP(CT$4,$DE$6:$DF$17,2)+1))*(VLOOKUP($A72,SatSunCurve,6))*(INDEX(DailyScalarsTable,CT$5/100,MONTH($A72)))*$E72</f>
        <v>-3695.0145576387072</v>
      </c>
      <c r="CU72" s="1021">
        <f>(VLOOKUP(YEAR($A72),'NY East Load Projections'!$A$4:$EO$14,((MONTH($A72)-1)*12)+VLOOKUP(CU$4,$DE$6:$DF$17,2)+1))*(VLOOKUP($A72,SatSunCurve,6))*(INDEX(DailyScalarsTable,CU$5/100,MONTH($A72)))*$E72</f>
        <v>-3585.8000944756322</v>
      </c>
      <c r="CV72" s="1021">
        <f>(VLOOKUP(YEAR($A72),'NY East Load Projections'!$A$4:$EO$14,((MONTH($A72)-1)*12)+VLOOKUP(CV$4,$DE$6:$DF$17,2)+1))*(VLOOKUP($A72,SatSunCurve,6))*(INDEX(DailyScalarsTable,CV$5/100,MONTH($A72)))*$E72</f>
        <v>-3496.9437225152865</v>
      </c>
      <c r="CW72" s="1021">
        <f>(VLOOKUP(YEAR($A72),'NY East Load Projections'!$A$4:$EO$14,((MONTH($A72)-1)*12)+VLOOKUP(CW$4,$DE$6:$DF$17,2)+1))*(VLOOKUP($A72,SatSunCurve,6))*(INDEX(DailyScalarsTable,CW$5/100,MONTH($A72)))*$E72</f>
        <v>-2920.7017222412828</v>
      </c>
      <c r="CX72" s="1021">
        <f>(VLOOKUP(YEAR($A72),'NY East Load Projections'!$A$4:$EO$14,((MONTH($A72)-1)*12)+VLOOKUP(CX$4,$DE$6:$DF$17,2)+1))*(VLOOKUP($A72,SatSunCurve,6))*(INDEX(DailyScalarsTable,CX$5/100,MONTH($A72)))*$E72</f>
        <v>-2161.2085049975694</v>
      </c>
      <c r="CY72" s="1021">
        <f>(VLOOKUP(YEAR($A72),'NY East Load Projections'!$A$4:$EO$14,((MONTH($A72)-1)*12)+VLOOKUP(CY$4,$DE$6:$DF$17,2)+1))*(VLOOKUP($A72,SatSunCurve,6))*(INDEX(DailyScalarsTable,CY$5/100,MONTH($A72)))*$E72</f>
        <v>-2270.1716129477195</v>
      </c>
      <c r="CZ72" s="1021">
        <f>(VLOOKUP(YEAR($A72),'NY East Load Projections'!$A$4:$EO$14,((MONTH($A72)-1)*12)+VLOOKUP(CZ$4,$DE$6:$DF$17,2)+1))*(VLOOKUP($A72,SatSunCurve,6))*(INDEX(DailyScalarsTable,CZ$5/100,MONTH($A72)))*$E72</f>
        <v>-2405.5540643293102</v>
      </c>
      <c r="DA72" s="1021">
        <f>(VLOOKUP(YEAR($A72),'NY East Load Projections'!$A$4:$EO$14,((MONTH($A72)-1)*12)+VLOOKUP(DA$4,$DE$6:$DF$17,2)+1))*(VLOOKUP($A72,SatSunCurve,6))*(INDEX(DailyScalarsTable,DA$5/100,MONTH($A72)))*$E72</f>
        <v>-1670.5554178083098</v>
      </c>
      <c r="DB72" s="1021">
        <f>(VLOOKUP(YEAR($A72),'NY East Load Projections'!$A$4:$EO$14,((MONTH($A72)-1)*12)+VLOOKUP(DB$4,$DE$6:$DF$17,2)+1))*(VLOOKUP($A72,CURVES!$D$9:$T$261,6))*(INDEX(DailyScalarsTable,DB$5/100,MONTH($A72)))*$E72</f>
        <v>-2686.3709847964178</v>
      </c>
      <c r="DH72" s="1021">
        <f t="shared" si="2"/>
        <v>-3564266.5688675623</v>
      </c>
      <c r="DI72">
        <f ca="1">CALC!J92</f>
        <v>0.62714345890985712</v>
      </c>
      <c r="DJ72" s="1029">
        <f t="shared" ca="1" si="3"/>
        <v>-2235306.4644763716</v>
      </c>
    </row>
    <row r="73" spans="1:114" x14ac:dyDescent="0.25">
      <c r="A73" s="244">
        <v>38930</v>
      </c>
      <c r="B73" s="13">
        <v>23</v>
      </c>
      <c r="C73" s="210">
        <v>4</v>
      </c>
      <c r="D73" s="210">
        <v>4</v>
      </c>
      <c r="E73" s="210">
        <v>0</v>
      </c>
      <c r="F73" s="13">
        <v>31</v>
      </c>
      <c r="H73" s="1021">
        <f>(VLOOKUP(YEAR($A73),'NY East Load Projections'!$A$4:$EO$14,((MONTH($A73)-1)*12)+VLOOKUP(H$4,$DE$6:$DF$17,2)+1))*(VLOOKUP($A73,CURVES!$D$9:$K$261,6))*(INDEX(DailyScalarsTable,H$5/100,MONTH($A73)))*$B73</f>
        <v>-55885.798535088645</v>
      </c>
      <c r="I73" s="1021">
        <f>(VLOOKUP(YEAR($A73),'NY East Load Projections'!$A$4:$EO$14,((MONTH($A73)-1)*12)+VLOOKUP(I$4,$DE$6:$DF$17,2)+1))*(VLOOKUP($A73,CURVES!$D$9:$K$261,6))*(INDEX(DailyScalarsTable,I$5/100,MONTH($A73)))*$B73</f>
        <v>-50449.089200549308</v>
      </c>
      <c r="J73" s="1021">
        <f>(VLOOKUP(YEAR($A73),'NY East Load Projections'!$A$4:$EO$14,((MONTH($A73)-1)*12)+VLOOKUP(J$4,$DE$6:$DF$17,2)+1))*(VLOOKUP($A73,CURVES!$D$9:$K$261,6))*(INDEX(DailyScalarsTable,J$5/100,MONTH($A73)))*$B73</f>
        <v>-45305.911121161167</v>
      </c>
      <c r="K73" s="1021">
        <f>(VLOOKUP(YEAR($A73),'NY East Load Projections'!$A$4:$EO$14,((MONTH($A73)-1)*12)+VLOOKUP(K$4,$DE$6:$DF$17,2)+1))*(VLOOKUP($A73,CURVES!$D$9:$K$261,6))*(INDEX(DailyScalarsTable,K$5/100,MONTH($A73)))*$B73</f>
        <v>-42625.84313934599</v>
      </c>
      <c r="L73" s="1021">
        <f>(VLOOKUP(YEAR($A73),'NY East Load Projections'!$A$4:$EO$14,((MONTH($A73)-1)*12)+VLOOKUP(L$4,$DE$6:$DF$17,2)+1))*(VLOOKUP($A73,CURVES!$D$9:$K$261,6))*(INDEX(DailyScalarsTable,L$5/100,MONTH($A73)))*$B73</f>
        <v>-48252.198272151145</v>
      </c>
      <c r="M73" s="1021">
        <f>(VLOOKUP(YEAR($A73),'NY East Load Projections'!$A$4:$EO$14,((MONTH($A73)-1)*12)+VLOOKUP(M$4,$DE$6:$DF$17,2)+1))*(VLOOKUP($A73,CURVES!$D$9:$K$261,6))*(INDEX(DailyScalarsTable,M$5/100,MONTH($A73)))*$B73</f>
        <v>-53610.460843474568</v>
      </c>
      <c r="N73" s="1021">
        <f>(VLOOKUP(YEAR($A73),'NY East Load Projections'!$A$4:$EO$14,((MONTH($A73)-1)*12)+VLOOKUP(N$4,$DE$6:$DF$17,2)+1))*(VLOOKUP($A73,CURVES!$D$9:$K$261,6))*(INDEX(DailyScalarsTable,N$5/100,MONTH($A73)))*$B73</f>
        <v>-62378.526869276458</v>
      </c>
      <c r="O73" s="1021">
        <f>(VLOOKUP(YEAR($A73),'NY East Load Projections'!$A$4:$EO$14,((MONTH($A73)-1)*12)+VLOOKUP(O$4,$DE$6:$DF$17,2)+1))*(VLOOKUP($A73,CURVES!$D$9:$K$261,2))*(INDEX(DailyScalarsTable,O$5/100,MONTH($A73)))*$B73</f>
        <v>-101924.53074145797</v>
      </c>
      <c r="P73" s="1021">
        <f>(VLOOKUP(YEAR($A73),'NY East Load Projections'!$A$4:$EO$14,((MONTH($A73)-1)*12)+VLOOKUP(P$4,$DE$6:$DF$17,2)+1))*(VLOOKUP($A73,CURVES!$D$9:$K$261,2))*(INDEX(DailyScalarsTable,P$5/100,MONTH($A73)))*$B73</f>
        <v>-126065.41979564801</v>
      </c>
      <c r="Q73" s="1021">
        <f>(VLOOKUP(YEAR($A73),'NY East Load Projections'!$A$4:$EO$14,((MONTH($A73)-1)*12)+VLOOKUP(Q$4,$DE$6:$DF$17,2)+1))*(VLOOKUP($A73,CURVES!$D$9:$K$261,2))*(INDEX(DailyScalarsTable,Q$5/100,MONTH($A73)))*$B73</f>
        <v>-161671.14518535841</v>
      </c>
      <c r="R73" s="1021">
        <f>(VLOOKUP(YEAR($A73),'NY East Load Projections'!$A$4:$EO$14,((MONTH($A73)-1)*12)+VLOOKUP(R$4,$DE$6:$DF$17,2)+1))*(VLOOKUP($A73,CURVES!$D$9:$K$261,2))*(INDEX(DailyScalarsTable,R$5/100,MONTH($A73)))*$B73</f>
        <v>-182470.5293239021</v>
      </c>
      <c r="S73" s="1021">
        <f>(VLOOKUP(YEAR($A73),'NY East Load Projections'!$A$4:$EO$14,((MONTH($A73)-1)*12)+VLOOKUP(S$4,$DE$6:$DF$17,2)+1))*(VLOOKUP($A73,CURVES!$D$9:$K$261,2))*(INDEX(DailyScalarsTable,S$5/100,MONTH($A73)))*$B73</f>
        <v>-190202.72975506692</v>
      </c>
      <c r="T73" s="1021">
        <f>(VLOOKUP(YEAR($A73),'NY East Load Projections'!$A$4:$EO$14,((MONTH($A73)-1)*12)+VLOOKUP(T$4,$DE$6:$DF$17,2)+1))*(VLOOKUP($A73,CURVES!$D$9:$K$261,2))*(INDEX(DailyScalarsTable,T$5/100,MONTH($A73)))*$B73</f>
        <v>-193770.68027427248</v>
      </c>
      <c r="U73" s="1021">
        <f>(VLOOKUP(YEAR($A73),'NY East Load Projections'!$A$4:$EO$14,((MONTH($A73)-1)*12)+VLOOKUP(U$4,$DE$6:$DF$17,2)+1))*(VLOOKUP($A73,CURVES!$D$9:$K$261,2))*(INDEX(DailyScalarsTable,U$5/100,MONTH($A73)))*$B73</f>
        <v>-212715.75238976683</v>
      </c>
      <c r="V73" s="1021">
        <f>(VLOOKUP(YEAR($A73),'NY East Load Projections'!$A$4:$EO$14,((MONTH($A73)-1)*12)+VLOOKUP(V$4,$DE$6:$DF$17,2)+1))*(VLOOKUP($A73,CURVES!$D$9:$K$261,2))*(INDEX(DailyScalarsTable,V$5/100,MONTH($A73)))*$B73</f>
        <v>-225192.95275118155</v>
      </c>
      <c r="W73" s="1021">
        <f>(VLOOKUP(YEAR($A73),'NY East Load Projections'!$A$4:$EO$14,((MONTH($A73)-1)*12)+VLOOKUP(W$4,$DE$6:$DF$17,2)+1))*(VLOOKUP($A73,CURVES!$D$9:$K$261,2))*(INDEX(DailyScalarsTable,W$5/100,MONTH($A73)))*$B73</f>
        <v>-222055.55227345639</v>
      </c>
      <c r="X73" s="1021">
        <f>(VLOOKUP(YEAR($A73),'NY East Load Projections'!$A$4:$EO$14,((MONTH($A73)-1)*12)+VLOOKUP(X$4,$DE$6:$DF$17,2)+1))*(VLOOKUP($A73,CURVES!$D$9:$K$261,2))*(INDEX(DailyScalarsTable,X$5/100,MONTH($A73)))*$B73</f>
        <v>-204549.44965237024</v>
      </c>
      <c r="Y73" s="1021">
        <f>(VLOOKUP(YEAR($A73),'NY East Load Projections'!$A$4:$EO$14,((MONTH($A73)-1)*12)+VLOOKUP(Y$4,$DE$6:$DF$17,2)+1))*(VLOOKUP($A73,CURVES!$D$9:$K$261,2))*(INDEX(DailyScalarsTable,Y$5/100,MONTH($A73)))*$B73</f>
        <v>-189425.43541856704</v>
      </c>
      <c r="Z73" s="1021">
        <f>(VLOOKUP(YEAR($A73),'NY East Load Projections'!$A$4:$EO$14,((MONTH($A73)-1)*12)+VLOOKUP(Z$4,$DE$6:$DF$17,2)+1))*(VLOOKUP($A73,CURVES!$D$9:$K$261,2))*(INDEX(DailyScalarsTable,Z$5/100,MONTH($A73)))*$B73</f>
        <v>-154401.40245607539</v>
      </c>
      <c r="AA73" s="1021">
        <f>(VLOOKUP(YEAR($A73),'NY East Load Projections'!$A$4:$EO$14,((MONTH($A73)-1)*12)+VLOOKUP(AA$4,$DE$6:$DF$17,2)+1))*(VLOOKUP($A73,CURVES!$D$9:$K$261,2))*(INDEX(DailyScalarsTable,AA$5/100,MONTH($A73)))*$B73</f>
        <v>-140573.7322994553</v>
      </c>
      <c r="AB73" s="1021">
        <f>(VLOOKUP(YEAR($A73),'NY East Load Projections'!$A$4:$EO$14,((MONTH($A73)-1)*12)+VLOOKUP(AB$4,$DE$6:$DF$17,2)+1))*(VLOOKUP($A73,CURVES!$D$9:$K$261,2))*(INDEX(DailyScalarsTable,AB$5/100,MONTH($A73)))*$B73</f>
        <v>-155839.60400882558</v>
      </c>
      <c r="AC73" s="1021">
        <f>(VLOOKUP(YEAR($A73),'NY East Load Projections'!$A$4:$EO$14,((MONTH($A73)-1)*12)+VLOOKUP(AC$4,$DE$6:$DF$17,2)+1))*(VLOOKUP($A73,CURVES!$D$9:$K$261,2))*(INDEX(DailyScalarsTable,AC$5/100,MONTH($A73)))*$B73</f>
        <v>-132514.76164463983</v>
      </c>
      <c r="AD73" s="1021">
        <f>(VLOOKUP(YEAR($A73),'NY East Load Projections'!$A$4:$EO$14,((MONTH($A73)-1)*12)+VLOOKUP(AD$4,$DE$6:$DF$17,2)+1))*(VLOOKUP($A73,CURVES!$D$9:$K$261,2))*(INDEX(DailyScalarsTable,AD$5/100,MONTH($A73)))*$B73</f>
        <v>-107306.2979898754</v>
      </c>
      <c r="AE73" s="1021">
        <f>(VLOOKUP(YEAR($A73),'NY East Load Projections'!$A$4:$EO$14,((MONTH($A73)-1)*12)+VLOOKUP(AE$4,$DE$6:$DF$17,2)+1))*(VLOOKUP($A73,CURVES!$D$9:$K$261,6))*(INDEX(DailyScalarsTable,AE$5/100,MONTH($A73)))*$B73</f>
        <v>-68267.528298625533</v>
      </c>
      <c r="AF73" s="1021"/>
      <c r="AG73" s="1021">
        <f>(VLOOKUP(YEAR($A73),'NY East Load Projections'!$A$4:$EO$14,((MONTH($A73)-1)*12)+VLOOKUP(AG$4,$DE$6:$DF$17,2)+1))*(VLOOKUP($A73,CURVES!$D$9:$T$261,6))*(INDEX(DailyScalarsTable,AG$5/100,MONTH($A73)))*$C73</f>
        <v>-9534.8535782531872</v>
      </c>
      <c r="AH73" s="1021">
        <f>(VLOOKUP(YEAR($A73),'NY East Load Projections'!$A$4:$EO$14,((MONTH($A73)-1)*12)+VLOOKUP(AH$4,$DE$6:$DF$17,2)+1))*(VLOOKUP($A73,CURVES!$D$9:$T$261,6))*(INDEX(DailyScalarsTable,AH$5/100,MONTH($A73)))*$C73</f>
        <v>-8607.2793320015644</v>
      </c>
      <c r="AI73" s="1021">
        <f>(VLOOKUP(YEAR($A73),'NY East Load Projections'!$A$4:$EO$14,((MONTH($A73)-1)*12)+VLOOKUP(AI$4,$DE$6:$DF$17,2)+1))*(VLOOKUP($A73,CURVES!$D$9:$T$261,6))*(INDEX(DailyScalarsTable,AI$5/100,MONTH($A73)))*$C73</f>
        <v>-7729.7853854301957</v>
      </c>
      <c r="AJ73" s="1021">
        <f>(VLOOKUP(YEAR($A73),'NY East Load Projections'!$A$4:$EO$14,((MONTH($A73)-1)*12)+VLOOKUP(AJ$4,$DE$6:$DF$17,2)+1))*(VLOOKUP($A73,CURVES!$D$9:$T$261,6))*(INDEX(DailyScalarsTable,AJ$5/100,MONTH($A73)))*$C73</f>
        <v>-7272.5304753061537</v>
      </c>
      <c r="AK73" s="1021">
        <f>(VLOOKUP(YEAR($A73),'NY East Load Projections'!$A$4:$EO$14,((MONTH($A73)-1)*12)+VLOOKUP(AK$4,$DE$6:$DF$17,2)+1))*(VLOOKUP($A73,CURVES!$D$9:$T$261,6))*(INDEX(DailyScalarsTable,AK$5/100,MONTH($A73)))*$C73</f>
        <v>-7669.7802437190312</v>
      </c>
      <c r="AL73" s="1021">
        <f>(VLOOKUP(YEAR($A73),'NY East Load Projections'!$A$4:$EO$14,((MONTH($A73)-1)*12)+VLOOKUP(AL$4,$DE$6:$DF$17,2)+1))*(VLOOKUP($A73,CURVES!$D$9:$T$261,6))*(INDEX(DailyScalarsTable,AL$5/100,MONTH($A73)))*$C73</f>
        <v>-8521.4864432667218</v>
      </c>
      <c r="AM73" s="1021">
        <f>(VLOOKUP(YEAR($A73),'NY East Load Projections'!$A$4:$EO$14,((MONTH($A73)-1)*12)+VLOOKUP(AM$4,$DE$6:$DF$17,2)+1))*(VLOOKUP($A73,CURVES!$D$9:$T$261,6))*(INDEX(DailyScalarsTable,AM$5/100,MONTH($A73)))*$C73</f>
        <v>-9915.1874970720237</v>
      </c>
      <c r="AN73" s="1021">
        <f>(VLOOKUP(YEAR($A73),'NY East Load Projections'!$A$4:$EO$14,((MONTH($A73)-1)*12)+VLOOKUP(AN$4,$DE$6:$DF$17,2)+1))*(VLOOKUP($A73,SatSunCurve,2))*(INDEX(DailyScalarsTable,AN$5/100,MONTH($A73)))*$C73</f>
        <v>-10306.139363229469</v>
      </c>
      <c r="AO73" s="1021">
        <f>(VLOOKUP(YEAR($A73),'NY East Load Projections'!$A$4:$EO$14,((MONTH($A73)-1)*12)+VLOOKUP(AO$4,$DE$6:$DF$17,2)+1))*(VLOOKUP($A73,SatSunCurve,2))*(INDEX(DailyScalarsTable,AO$5/100,MONTH($A73)))*$C73</f>
        <v>-12397.549129168492</v>
      </c>
      <c r="AP73" s="1021">
        <f>(VLOOKUP(YEAR($A73),'NY East Load Projections'!$A$4:$EO$14,((MONTH($A73)-1)*12)+VLOOKUP(AP$4,$DE$6:$DF$17,2)+1))*(VLOOKUP($A73,SatSunCurve,2))*(INDEX(DailyScalarsTable,AP$5/100,MONTH($A73)))*$C73</f>
        <v>-15899.094045404559</v>
      </c>
      <c r="AQ73" s="1021">
        <f>(VLOOKUP(YEAR($A73),'NY East Load Projections'!$A$4:$EO$14,((MONTH($A73)-1)*12)+VLOOKUP(AQ$4,$DE$6:$DF$17,2)+1))*(VLOOKUP($A73,SatSunCurve,2))*(INDEX(DailyScalarsTable,AQ$5/100,MONTH($A73)))*$C73</f>
        <v>-17944.550976671169</v>
      </c>
      <c r="AR73" s="1021">
        <f>(VLOOKUP(YEAR($A73),'NY East Load Projections'!$A$4:$EO$14,((MONTH($A73)-1)*12)+VLOOKUP(AR$4,$DE$6:$DF$17,2)+1))*(VLOOKUP($A73,SatSunCurve,2))*(INDEX(DailyScalarsTable,AR$5/100,MONTH($A73)))*$C73</f>
        <v>-18704.952479932992</v>
      </c>
      <c r="AS73" s="1021">
        <f>(VLOOKUP(YEAR($A73),'NY East Load Projections'!$A$4:$EO$14,((MONTH($A73)-1)*12)+VLOOKUP(AS$4,$DE$6:$DF$17,2)+1))*(VLOOKUP($A73,SatSunCurve,2))*(INDEX(DailyScalarsTable,AS$5/100,MONTH($A73)))*$C73</f>
        <v>-19188.344270784477</v>
      </c>
      <c r="AT73" s="1021">
        <f>(VLOOKUP(YEAR($A73),'NY East Load Projections'!$A$4:$EO$14,((MONTH($A73)-1)*12)+VLOOKUP(AT$4,$DE$6:$DF$17,2)+1))*(VLOOKUP($A73,SatSunCurve,2))*(INDEX(DailyScalarsTable,AT$5/100,MONTH($A73)))*$C73</f>
        <v>-21064.399850877369</v>
      </c>
      <c r="AU73" s="1021">
        <f>(VLOOKUP(YEAR($A73),'NY East Load Projections'!$A$4:$EO$14,((MONTH($A73)-1)*12)+VLOOKUP(AU$4,$DE$6:$DF$17,2)+1))*(VLOOKUP($A73,SatSunCurve,2))*(INDEX(DailyScalarsTable,AU$5/100,MONTH($A73)))*$C73</f>
        <v>-22299.967666046829</v>
      </c>
      <c r="AV73" s="1021">
        <f>(VLOOKUP(YEAR($A73),'NY East Load Projections'!$A$4:$EO$14,((MONTH($A73)-1)*12)+VLOOKUP(AV$4,$DE$6:$DF$17,2)+1))*(VLOOKUP($A73,SatSunCurve,2))*(INDEX(DailyScalarsTable,AV$5/100,MONTH($A73)))*$C73</f>
        <v>-21989.283302464566</v>
      </c>
      <c r="AW73" s="1021">
        <f>(VLOOKUP(YEAR($A73),'NY East Load Projections'!$A$4:$EO$14,((MONTH($A73)-1)*12)+VLOOKUP(AW$4,$DE$6:$DF$17,2)+1))*(VLOOKUP($A73,SatSunCurve,2))*(INDEX(DailyScalarsTable,AW$5/100,MONTH($A73)))*$C73</f>
        <v>-20419.206378416089</v>
      </c>
      <c r="AX73" s="1021">
        <f>(VLOOKUP(YEAR($A73),'NY East Load Projections'!$A$4:$EO$14,((MONTH($A73)-1)*12)+VLOOKUP(AX$4,$DE$6:$DF$17,2)+1))*(VLOOKUP($A73,SatSunCurve,2))*(INDEX(DailyScalarsTable,AX$5/100,MONTH($A73)))*$C73</f>
        <v>-18909.447401137164</v>
      </c>
      <c r="AY73" s="1021">
        <f>(VLOOKUP(YEAR($A73),'NY East Load Projections'!$A$4:$EO$14,((MONTH($A73)-1)*12)+VLOOKUP(AY$4,$DE$6:$DF$17,2)+1))*(VLOOKUP($A73,SatSunCurve,2))*(INDEX(DailyScalarsTable,AY$5/100,MONTH($A73)))*$C73</f>
        <v>-15413.163453754378</v>
      </c>
      <c r="AZ73" s="1021">
        <f>(VLOOKUP(YEAR($A73),'NY East Load Projections'!$A$4:$EO$14,((MONTH($A73)-1)*12)+VLOOKUP(AZ$4,$DE$6:$DF$17,2)+1))*(VLOOKUP($A73,SatSunCurve,2))*(INDEX(DailyScalarsTable,AZ$5/100,MONTH($A73)))*$C73</f>
        <v>-14032.812388813642</v>
      </c>
      <c r="BA73" s="1021">
        <f>(VLOOKUP(YEAR($A73),'NY East Load Projections'!$A$4:$EO$14,((MONTH($A73)-1)*12)+VLOOKUP(BA$4,$DE$6:$DF$17,2)+1))*(VLOOKUP($A73,SatSunCurve,2))*(INDEX(DailyScalarsTable,BA$5/100,MONTH($A73)))*$C73</f>
        <v>-16724.199289284723</v>
      </c>
      <c r="BB73" s="1021">
        <f>(VLOOKUP(YEAR($A73),'NY East Load Projections'!$A$4:$EO$14,((MONTH($A73)-1)*12)+VLOOKUP(BB$4,$DE$6:$DF$17,2)+1))*(VLOOKUP($A73,SatSunCurve,2))*(INDEX(DailyScalarsTable,BB$5/100,MONTH($A73)))*$C73</f>
        <v>-14221.053092457236</v>
      </c>
      <c r="BC73" s="1021">
        <f>(VLOOKUP(YEAR($A73),'NY East Load Projections'!$A$4:$EO$14,((MONTH($A73)-1)*12)+VLOOKUP(BC$4,$DE$6:$DF$17,2)+1))*(VLOOKUP($A73,SatSunCurve,2))*(INDEX(DailyScalarsTable,BC$5/100,MONTH($A73)))*$C73</f>
        <v>-11515.762786951229</v>
      </c>
      <c r="BD73" s="1021">
        <f>(VLOOKUP(YEAR($A73),'NY East Load Projections'!$A$4:$EO$14,((MONTH($A73)-1)*12)+VLOOKUP(BD$4,$DE$6:$DF$17,2)+1))*(VLOOKUP($A73,CURVES!$D$9:$T$261,6))*(INDEX(DailyScalarsTable,BD$5/100,MONTH($A73)))*$C73</f>
        <v>-11516.757009524175</v>
      </c>
      <c r="BE73" s="1021"/>
      <c r="BF73" s="1021">
        <f>(VLOOKUP(YEAR($A73),'NY East Load Projections'!$A$4:$EO$14,((MONTH($A73)-1)*12)+VLOOKUP(BF$4,$DE$6:$DF$17,2)+1))*(VLOOKUP($A73,CURVES!$D$9:$T$261,6))*(INDEX(DailyScalarsTable,BF$5/100,MONTH($A73)))*$D73</f>
        <v>-9534.8535782531872</v>
      </c>
      <c r="BG73" s="1021">
        <f>(VLOOKUP(YEAR($A73),'NY East Load Projections'!$A$4:$EO$14,((MONTH($A73)-1)*12)+VLOOKUP(BG$4,$DE$6:$DF$17,2)+1))*(VLOOKUP($A73,CURVES!$D$9:$T$261,6))*(INDEX(DailyScalarsTable,BG$5/100,MONTH($A73)))*$D73</f>
        <v>-8607.2793320015644</v>
      </c>
      <c r="BH73" s="1021">
        <f>(VLOOKUP(YEAR($A73),'NY East Load Projections'!$A$4:$EO$14,((MONTH($A73)-1)*12)+VLOOKUP(BH$4,$DE$6:$DF$17,2)+1))*(VLOOKUP($A73,CURVES!$D$9:$T$261,6))*(INDEX(DailyScalarsTable,BH$5/100,MONTH($A73)))*$D73</f>
        <v>-7729.7853854301957</v>
      </c>
      <c r="BI73" s="1021">
        <f>(VLOOKUP(YEAR($A73),'NY East Load Projections'!$A$4:$EO$14,((MONTH($A73)-1)*12)+VLOOKUP(BI$4,$DE$6:$DF$17,2)+1))*(VLOOKUP($A73,CURVES!$D$9:$T$261,6))*(INDEX(DailyScalarsTable,BI$5/100,MONTH($A73)))*$D73</f>
        <v>-7272.5304753061537</v>
      </c>
      <c r="BJ73" s="1021">
        <f>(VLOOKUP(YEAR($A73),'NY East Load Projections'!$A$4:$EO$14,((MONTH($A73)-1)*12)+VLOOKUP(BJ$4,$DE$6:$DF$17,2)+1))*(VLOOKUP($A73,CURVES!$D$9:$T$261,6))*(INDEX(DailyScalarsTable,BJ$5/100,MONTH($A73)))*$D73</f>
        <v>-7669.7802437190312</v>
      </c>
      <c r="BK73" s="1021">
        <f>(VLOOKUP(YEAR($A73),'NY East Load Projections'!$A$4:$EO$14,((MONTH($A73)-1)*12)+VLOOKUP(BK$4,$DE$6:$DF$17,2)+1))*(VLOOKUP($A73,CURVES!$D$9:$T$261,6))*(INDEX(DailyScalarsTable,BK$5/100,MONTH($A73)))*$D73</f>
        <v>-8521.4864432667218</v>
      </c>
      <c r="BL73" s="1021">
        <f>(VLOOKUP(YEAR($A73),'NY East Load Projections'!$A$4:$EO$14,((MONTH($A73)-1)*12)+VLOOKUP(BL$4,$DE$6:$DF$17,2)+1))*(VLOOKUP($A73,CURVES!$D$9:$T$261,6))*(INDEX(DailyScalarsTable,BL$5/100,MONTH($A73)))*$D73</f>
        <v>-9915.1874970720237</v>
      </c>
      <c r="BM73" s="1021">
        <f>(VLOOKUP(YEAR($A73),'NY East Load Projections'!$A$4:$EO$14,((MONTH($A73)-1)*12)+VLOOKUP(BM$4,$DE$6:$DF$17,2)+1))*(VLOOKUP($A73,SatSunCurve,6))*(INDEX(DailyScalarsTable,BM$5/100,MONTH($A73)))*$D73</f>
        <v>-7256.2495763999468</v>
      </c>
      <c r="BN73" s="1021">
        <f>(VLOOKUP(YEAR($A73),'NY East Load Projections'!$A$4:$EO$14,((MONTH($A73)-1)*12)+VLOOKUP(BN$4,$DE$6:$DF$17,2)+1))*(VLOOKUP($A73,SatSunCurve,6))*(INDEX(DailyScalarsTable,BN$5/100,MONTH($A73)))*$D73</f>
        <v>-8728.7496749643378</v>
      </c>
      <c r="BO73" s="1021">
        <f>(VLOOKUP(YEAR($A73),'NY East Load Projections'!$A$4:$EO$14,((MONTH($A73)-1)*12)+VLOOKUP(BO$4,$DE$6:$DF$17,2)+1))*(VLOOKUP($A73,SatSunCurve,6))*(INDEX(DailyScalarsTable,BO$5/100,MONTH($A73)))*$D73</f>
        <v>-11194.084454526412</v>
      </c>
      <c r="BP73" s="1021">
        <f>(VLOOKUP(YEAR($A73),'NY East Load Projections'!$A$4:$EO$14,((MONTH($A73)-1)*12)+VLOOKUP(BP$4,$DE$6:$DF$17,2)+1))*(VLOOKUP($A73,SatSunCurve,6))*(INDEX(DailyScalarsTable,BP$5/100,MONTH($A73)))*$D73</f>
        <v>-12634.230513874552</v>
      </c>
      <c r="BQ73" s="1021">
        <f>(VLOOKUP(YEAR($A73),'NY East Load Projections'!$A$4:$EO$14,((MONTH($A73)-1)*12)+VLOOKUP(BQ$4,$DE$6:$DF$17,2)+1))*(VLOOKUP($A73,SatSunCurve,6))*(INDEX(DailyScalarsTable,BQ$5/100,MONTH($A73)))*$D73</f>
        <v>-13169.606845541828</v>
      </c>
      <c r="BR73" s="1021">
        <f>(VLOOKUP(YEAR($A73),'NY East Load Projections'!$A$4:$EO$14,((MONTH($A73)-1)*12)+VLOOKUP(BR$4,$DE$6:$DF$17,2)+1))*(VLOOKUP($A73,SatSunCurve,6))*(INDEX(DailyScalarsTable,BR$5/100,MONTH($A73)))*$D73</f>
        <v>-13509.948786784718</v>
      </c>
      <c r="BS73" s="1021">
        <f>(VLOOKUP(YEAR($A73),'NY East Load Projections'!$A$4:$EO$14,((MONTH($A73)-1)*12)+VLOOKUP(BS$4,$DE$6:$DF$17,2)+1))*(VLOOKUP($A73,SatSunCurve,6))*(INDEX(DailyScalarsTable,BS$5/100,MONTH($A73)))*$D73</f>
        <v>-14830.824337616206</v>
      </c>
      <c r="BT73" s="1021">
        <f>(VLOOKUP(YEAR($A73),'NY East Load Projections'!$A$4:$EO$14,((MONTH($A73)-1)*12)+VLOOKUP(BT$4,$DE$6:$DF$17,2)+1))*(VLOOKUP($A73,SatSunCurve,6))*(INDEX(DailyScalarsTable,BT$5/100,MONTH($A73)))*$D73</f>
        <v>-15700.75129274981</v>
      </c>
      <c r="BU73" s="1021">
        <f>(VLOOKUP(YEAR($A73),'NY East Load Projections'!$A$4:$EO$14,((MONTH($A73)-1)*12)+VLOOKUP(BU$4,$DE$6:$DF$17,2)+1))*(VLOOKUP($A73,SatSunCurve,6))*(INDEX(DailyScalarsTable,BU$5/100,MONTH($A73)))*$D73</f>
        <v>-15482.007570956061</v>
      </c>
      <c r="BV73" s="1021">
        <f>(VLOOKUP(YEAR($A73),'NY East Load Projections'!$A$4:$EO$14,((MONTH($A73)-1)*12)+VLOOKUP(BV$4,$DE$6:$DF$17,2)+1))*(VLOOKUP($A73,SatSunCurve,6))*(INDEX(DailyScalarsTable,BV$5/100,MONTH($A73)))*$D73</f>
        <v>-14376.562591656646</v>
      </c>
      <c r="BW73" s="1021">
        <f>(VLOOKUP(YEAR($A73),'NY East Load Projections'!$A$4:$EO$14,((MONTH($A73)-1)*12)+VLOOKUP(BW$4,$DE$6:$DF$17,2)+1))*(VLOOKUP($A73,SatSunCurve,6))*(INDEX(DailyScalarsTable,BW$5/100,MONTH($A73)))*$D73</f>
        <v>-13313.585704459443</v>
      </c>
      <c r="BX73" s="1021">
        <f>(VLOOKUP(YEAR($A73),'NY East Load Projections'!$A$4:$EO$14,((MONTH($A73)-1)*12)+VLOOKUP(BX$4,$DE$6:$DF$17,2)+1))*(VLOOKUP($A73,SatSunCurve,6))*(INDEX(DailyScalarsTable,BX$5/100,MONTH($A73)))*$D73</f>
        <v>-10851.955018318544</v>
      </c>
      <c r="BY73" s="1021">
        <f>(VLOOKUP(YEAR($A73),'NY East Load Projections'!$A$4:$EO$14,((MONTH($A73)-1)*12)+VLOOKUP(BY$4,$DE$6:$DF$17,2)+1))*(VLOOKUP($A73,SatSunCurve,6))*(INDEX(DailyScalarsTable,BY$5/100,MONTH($A73)))*$D73</f>
        <v>-9880.0904357382424</v>
      </c>
      <c r="BZ73" s="1021">
        <f>(VLOOKUP(YEAR($A73),'NY East Load Projections'!$A$4:$EO$14,((MONTH($A73)-1)*12)+VLOOKUP(BZ$4,$DE$6:$DF$17,2)+1))*(VLOOKUP($A73,SatSunCurve,6))*(INDEX(DailyScalarsTable,BZ$5/100,MONTH($A73)))*$D73</f>
        <v>-11775.016786739192</v>
      </c>
      <c r="CA73" s="1021">
        <f>(VLOOKUP(YEAR($A73),'NY East Load Projections'!$A$4:$EO$14,((MONTH($A73)-1)*12)+VLOOKUP(CA$4,$DE$6:$DF$17,2)+1))*(VLOOKUP($A73,SatSunCurve,6))*(INDEX(DailyScalarsTable,CA$5/100,MONTH($A73)))*$D73</f>
        <v>-10012.625178180057</v>
      </c>
      <c r="CB73" s="1021">
        <f>(VLOOKUP(YEAR($A73),'NY East Load Projections'!$A$4:$EO$14,((MONTH($A73)-1)*12)+VLOOKUP(CB$4,$DE$6:$DF$17,2)+1))*(VLOOKUP($A73,SatSunCurve,6))*(INDEX(DailyScalarsTable,CB$5/100,MONTH($A73)))*$D73</f>
        <v>-8107.9098486547991</v>
      </c>
      <c r="CC73" s="1021">
        <f>(VLOOKUP(YEAR($A73),'NY East Load Projections'!$A$4:$EO$14,((MONTH($A73)-1)*12)+VLOOKUP(CC$4,$DE$6:$DF$17,2)+1))*(VLOOKUP($A73,CURVES!$D$9:$T$261,6))*(INDEX(DailyScalarsTable,CC$5/100,MONTH($A73)))*$D73</f>
        <v>-11516.757009524175</v>
      </c>
      <c r="CE73" s="1021">
        <f>(VLOOKUP(YEAR($A73),'NY East Load Projections'!$A$4:$EO$14,((MONTH($A73)-1)*12)+VLOOKUP(CE$4,$DE$6:$DF$17,2)+1))*(VLOOKUP($A73,CURVES!$D$9:$T$261,6))*(INDEX(DailyScalarsTable,CE$5/100,MONTH($A73)))*$E73</f>
        <v>0</v>
      </c>
      <c r="CF73" s="1021">
        <f>(VLOOKUP(YEAR($A73),'NY East Load Projections'!$A$4:$EO$14,((MONTH($A73)-1)*12)+VLOOKUP(CF$4,$DE$6:$DF$17,2)+1))*(VLOOKUP($A73,CURVES!$D$9:$T$261,6))*(INDEX(DailyScalarsTable,CF$5/100,MONTH($A73)))*$E73</f>
        <v>0</v>
      </c>
      <c r="CG73" s="1021">
        <f>(VLOOKUP(YEAR($A73),'NY East Load Projections'!$A$4:$EO$14,((MONTH($A73)-1)*12)+VLOOKUP(CG$4,$DE$6:$DF$17,2)+1))*(VLOOKUP($A73,CURVES!$D$9:$T$261,6))*(INDEX(DailyScalarsTable,CG$5/100,MONTH($A73)))*$E73</f>
        <v>0</v>
      </c>
      <c r="CH73" s="1021">
        <f>(VLOOKUP(YEAR($A73),'NY East Load Projections'!$A$4:$EO$14,((MONTH($A73)-1)*12)+VLOOKUP(CH$4,$DE$6:$DF$17,2)+1))*(VLOOKUP($A73,CURVES!$D$9:$T$261,6))*(INDEX(DailyScalarsTable,CH$5/100,MONTH($A73)))*$E73</f>
        <v>0</v>
      </c>
      <c r="CI73" s="1021">
        <f>(VLOOKUP(YEAR($A73),'NY East Load Projections'!$A$4:$EO$14,((MONTH($A73)-1)*12)+VLOOKUP(CI$4,$DE$6:$DF$17,2)+1))*(VLOOKUP($A73,CURVES!$D$9:$T$261,6))*(INDEX(DailyScalarsTable,CI$5/100,MONTH($A73)))*$E73</f>
        <v>0</v>
      </c>
      <c r="CJ73" s="1021">
        <f>(VLOOKUP(YEAR($A73),'NY East Load Projections'!$A$4:$EO$14,((MONTH($A73)-1)*12)+VLOOKUP(CJ$4,$DE$6:$DF$17,2)+1))*(VLOOKUP($A73,CURVES!$D$9:$T$261,6))*(INDEX(DailyScalarsTable,CJ$5/100,MONTH($A73)))*$E73</f>
        <v>0</v>
      </c>
      <c r="CK73" s="1021">
        <f>(VLOOKUP(YEAR($A73),'NY East Load Projections'!$A$4:$EO$14,((MONTH($A73)-1)*12)+VLOOKUP(CK$4,$DE$6:$DF$17,2)+1))*(VLOOKUP($A73,CURVES!$D$9:$T$261,6))*(INDEX(DailyScalarsTable,CK$5/100,MONTH($A73)))*$E73</f>
        <v>0</v>
      </c>
      <c r="CL73" s="1021">
        <f>(VLOOKUP(YEAR($A73),'NY East Load Projections'!$A$4:$EO$14,((MONTH($A73)-1)*12)+VLOOKUP(CL$4,$DE$6:$DF$17,2)+1))*(VLOOKUP($A73,SatSunCurve,6))*(INDEX(DailyScalarsTable,CL$5/100,MONTH($A73)))*$E73</f>
        <v>0</v>
      </c>
      <c r="CM73" s="1021">
        <f>(VLOOKUP(YEAR($A73),'NY East Load Projections'!$A$4:$EO$14,((MONTH($A73)-1)*12)+VLOOKUP(CM$4,$DE$6:$DF$17,2)+1))*(VLOOKUP($A73,SatSunCurve,6))*(INDEX(DailyScalarsTable,CM$5/100,MONTH($A73)))*$E73</f>
        <v>0</v>
      </c>
      <c r="CN73" s="1021">
        <f>(VLOOKUP(YEAR($A73),'NY East Load Projections'!$A$4:$EO$14,((MONTH($A73)-1)*12)+VLOOKUP(CN$4,$DE$6:$DF$17,2)+1))*(VLOOKUP($A73,SatSunCurve,6))*(INDEX(DailyScalarsTable,CN$5/100,MONTH($A73)))*$E73</f>
        <v>0</v>
      </c>
      <c r="CO73" s="1021">
        <f>(VLOOKUP(YEAR($A73),'NY East Load Projections'!$A$4:$EO$14,((MONTH($A73)-1)*12)+VLOOKUP(CO$4,$DE$6:$DF$17,2)+1))*(VLOOKUP($A73,SatSunCurve,6))*(INDEX(DailyScalarsTable,CO$5/100,MONTH($A73)))*$E73</f>
        <v>0</v>
      </c>
      <c r="CP73" s="1021">
        <f>(VLOOKUP(YEAR($A73),'NY East Load Projections'!$A$4:$EO$14,((MONTH($A73)-1)*12)+VLOOKUP(CP$4,$DE$6:$DF$17,2)+1))*(VLOOKUP($A73,SatSunCurve,6))*(INDEX(DailyScalarsTable,CP$5/100,MONTH($A73)))*$E73</f>
        <v>0</v>
      </c>
      <c r="CQ73" s="1021">
        <f>(VLOOKUP(YEAR($A73),'NY East Load Projections'!$A$4:$EO$14,((MONTH($A73)-1)*12)+VLOOKUP(CQ$4,$DE$6:$DF$17,2)+1))*(VLOOKUP($A73,SatSunCurve,6))*(INDEX(DailyScalarsTable,CQ$5/100,MONTH($A73)))*$E73</f>
        <v>0</v>
      </c>
      <c r="CR73" s="1021">
        <f>(VLOOKUP(YEAR($A73),'NY East Load Projections'!$A$4:$EO$14,((MONTH($A73)-1)*12)+VLOOKUP(CR$4,$DE$6:$DF$17,2)+1))*(VLOOKUP($A73,SatSunCurve,6))*(INDEX(DailyScalarsTable,CR$5/100,MONTH($A73)))*$E73</f>
        <v>0</v>
      </c>
      <c r="CS73" s="1021">
        <f>(VLOOKUP(YEAR($A73),'NY East Load Projections'!$A$4:$EO$14,((MONTH($A73)-1)*12)+VLOOKUP(CS$4,$DE$6:$DF$17,2)+1))*(VLOOKUP($A73,SatSunCurve,6))*(INDEX(DailyScalarsTable,CS$5/100,MONTH($A73)))*$E73</f>
        <v>0</v>
      </c>
      <c r="CT73" s="1021">
        <f>(VLOOKUP(YEAR($A73),'NY East Load Projections'!$A$4:$EO$14,((MONTH($A73)-1)*12)+VLOOKUP(CT$4,$DE$6:$DF$17,2)+1))*(VLOOKUP($A73,SatSunCurve,6))*(INDEX(DailyScalarsTable,CT$5/100,MONTH($A73)))*$E73</f>
        <v>0</v>
      </c>
      <c r="CU73" s="1021">
        <f>(VLOOKUP(YEAR($A73),'NY East Load Projections'!$A$4:$EO$14,((MONTH($A73)-1)*12)+VLOOKUP(CU$4,$DE$6:$DF$17,2)+1))*(VLOOKUP($A73,SatSunCurve,6))*(INDEX(DailyScalarsTable,CU$5/100,MONTH($A73)))*$E73</f>
        <v>0</v>
      </c>
      <c r="CV73" s="1021">
        <f>(VLOOKUP(YEAR($A73),'NY East Load Projections'!$A$4:$EO$14,((MONTH($A73)-1)*12)+VLOOKUP(CV$4,$DE$6:$DF$17,2)+1))*(VLOOKUP($A73,SatSunCurve,6))*(INDEX(DailyScalarsTable,CV$5/100,MONTH($A73)))*$E73</f>
        <v>0</v>
      </c>
      <c r="CW73" s="1021">
        <f>(VLOOKUP(YEAR($A73),'NY East Load Projections'!$A$4:$EO$14,((MONTH($A73)-1)*12)+VLOOKUP(CW$4,$DE$6:$DF$17,2)+1))*(VLOOKUP($A73,SatSunCurve,6))*(INDEX(DailyScalarsTable,CW$5/100,MONTH($A73)))*$E73</f>
        <v>0</v>
      </c>
      <c r="CX73" s="1021">
        <f>(VLOOKUP(YEAR($A73),'NY East Load Projections'!$A$4:$EO$14,((MONTH($A73)-1)*12)+VLOOKUP(CX$4,$DE$6:$DF$17,2)+1))*(VLOOKUP($A73,SatSunCurve,6))*(INDEX(DailyScalarsTable,CX$5/100,MONTH($A73)))*$E73</f>
        <v>0</v>
      </c>
      <c r="CY73" s="1021">
        <f>(VLOOKUP(YEAR($A73),'NY East Load Projections'!$A$4:$EO$14,((MONTH($A73)-1)*12)+VLOOKUP(CY$4,$DE$6:$DF$17,2)+1))*(VLOOKUP($A73,SatSunCurve,6))*(INDEX(DailyScalarsTable,CY$5/100,MONTH($A73)))*$E73</f>
        <v>0</v>
      </c>
      <c r="CZ73" s="1021">
        <f>(VLOOKUP(YEAR($A73),'NY East Load Projections'!$A$4:$EO$14,((MONTH($A73)-1)*12)+VLOOKUP(CZ$4,$DE$6:$DF$17,2)+1))*(VLOOKUP($A73,SatSunCurve,6))*(INDEX(DailyScalarsTable,CZ$5/100,MONTH($A73)))*$E73</f>
        <v>0</v>
      </c>
      <c r="DA73" s="1021">
        <f>(VLOOKUP(YEAR($A73),'NY East Load Projections'!$A$4:$EO$14,((MONTH($A73)-1)*12)+VLOOKUP(DA$4,$DE$6:$DF$17,2)+1))*(VLOOKUP($A73,SatSunCurve,6))*(INDEX(DailyScalarsTable,DA$5/100,MONTH($A73)))*$E73</f>
        <v>0</v>
      </c>
      <c r="DB73" s="1021">
        <f>(VLOOKUP(YEAR($A73),'NY East Load Projections'!$A$4:$EO$14,((MONTH($A73)-1)*12)+VLOOKUP(DB$4,$DE$6:$DF$17,2)+1))*(VLOOKUP($A73,CURVES!$D$9:$T$261,6))*(INDEX(DailyScalarsTable,DB$5/100,MONTH($A73)))*$E73</f>
        <v>0</v>
      </c>
      <c r="DH73" s="1021">
        <f t="shared" si="2"/>
        <v>-3730844.7766612945</v>
      </c>
      <c r="DI73">
        <f ca="1">CALC!J93</f>
        <v>0.62321691786190325</v>
      </c>
      <c r="DJ73" s="1029">
        <f t="shared" ca="1" si="3"/>
        <v>-2325125.582732033</v>
      </c>
    </row>
    <row r="74" spans="1:114" x14ac:dyDescent="0.25">
      <c r="A74" s="244">
        <v>38961</v>
      </c>
      <c r="B74" s="13">
        <v>20</v>
      </c>
      <c r="C74" s="210">
        <v>5</v>
      </c>
      <c r="D74" s="210">
        <v>4</v>
      </c>
      <c r="E74" s="210">
        <v>1</v>
      </c>
      <c r="F74" s="13">
        <v>30</v>
      </c>
      <c r="H74" s="1021">
        <f>(VLOOKUP(YEAR($A74),'NY East Load Projections'!$A$4:$EO$14,((MONTH($A74)-1)*12)+VLOOKUP(H$4,$DE$6:$DF$17,2)+1))*(VLOOKUP($A74,CURVES!$D$9:$K$261,6))*(INDEX(DailyScalarsTable,H$5/100,MONTH($A74)))*$B74</f>
        <v>-38575.466934135817</v>
      </c>
      <c r="I74" s="1021">
        <f>(VLOOKUP(YEAR($A74),'NY East Load Projections'!$A$4:$EO$14,((MONTH($A74)-1)*12)+VLOOKUP(I$4,$DE$6:$DF$17,2)+1))*(VLOOKUP($A74,CURVES!$D$9:$K$261,6))*(INDEX(DailyScalarsTable,I$5/100,MONTH($A74)))*$B74</f>
        <v>-33842.942034672364</v>
      </c>
      <c r="J74" s="1021">
        <f>(VLOOKUP(YEAR($A74),'NY East Load Projections'!$A$4:$EO$14,((MONTH($A74)-1)*12)+VLOOKUP(J$4,$DE$6:$DF$17,2)+1))*(VLOOKUP($A74,CURVES!$D$9:$K$261,6))*(INDEX(DailyScalarsTable,J$5/100,MONTH($A74)))*$B74</f>
        <v>-31736.331572178286</v>
      </c>
      <c r="K74" s="1021">
        <f>(VLOOKUP(YEAR($A74),'NY East Load Projections'!$A$4:$EO$14,((MONTH($A74)-1)*12)+VLOOKUP(K$4,$DE$6:$DF$17,2)+1))*(VLOOKUP($A74,CURVES!$D$9:$K$261,6))*(INDEX(DailyScalarsTable,K$5/100,MONTH($A74)))*$B74</f>
        <v>-32206.644605665348</v>
      </c>
      <c r="L74" s="1021">
        <f>(VLOOKUP(YEAR($A74),'NY East Load Projections'!$A$4:$EO$14,((MONTH($A74)-1)*12)+VLOOKUP(L$4,$DE$6:$DF$17,2)+1))*(VLOOKUP($A74,CURVES!$D$9:$K$261,6))*(INDEX(DailyScalarsTable,L$5/100,MONTH($A74)))*$B74</f>
        <v>-37848.762221269295</v>
      </c>
      <c r="M74" s="1021">
        <f>(VLOOKUP(YEAR($A74),'NY East Load Projections'!$A$4:$EO$14,((MONTH($A74)-1)*12)+VLOOKUP(M$4,$DE$6:$DF$17,2)+1))*(VLOOKUP($A74,CURVES!$D$9:$K$261,6))*(INDEX(DailyScalarsTable,M$5/100,MONTH($A74)))*$B74</f>
        <v>-43799.624244224571</v>
      </c>
      <c r="N74" s="1021">
        <f>(VLOOKUP(YEAR($A74),'NY East Load Projections'!$A$4:$EO$14,((MONTH($A74)-1)*12)+VLOOKUP(N$4,$DE$6:$DF$17,2)+1))*(VLOOKUP($A74,CURVES!$D$9:$K$261,6))*(INDEX(DailyScalarsTable,N$5/100,MONTH($A74)))*$B74</f>
        <v>-59561.943365959152</v>
      </c>
      <c r="O74" s="1021">
        <f>(VLOOKUP(YEAR($A74),'NY East Load Projections'!$A$4:$EO$14,((MONTH($A74)-1)*12)+VLOOKUP(O$4,$DE$6:$DF$17,2)+1))*(VLOOKUP($A74,CURVES!$D$9:$K$261,2))*(INDEX(DailyScalarsTable,O$5/100,MONTH($A74)))*$B74</f>
        <v>-53547.89372769554</v>
      </c>
      <c r="P74" s="1021">
        <f>(VLOOKUP(YEAR($A74),'NY East Load Projections'!$A$4:$EO$14,((MONTH($A74)-1)*12)+VLOOKUP(P$4,$DE$6:$DF$17,2)+1))*(VLOOKUP($A74,CURVES!$D$9:$K$261,2))*(INDEX(DailyScalarsTable,P$5/100,MONTH($A74)))*$B74</f>
        <v>-58699.354756972709</v>
      </c>
      <c r="Q74" s="1021">
        <f>(VLOOKUP(YEAR($A74),'NY East Load Projections'!$A$4:$EO$14,((MONTH($A74)-1)*12)+VLOOKUP(Q$4,$DE$6:$DF$17,2)+1))*(VLOOKUP($A74,CURVES!$D$9:$K$261,2))*(INDEX(DailyScalarsTable,Q$5/100,MONTH($A74)))*$B74</f>
        <v>-73275.172942239849</v>
      </c>
      <c r="R74" s="1021">
        <f>(VLOOKUP(YEAR($A74),'NY East Load Projections'!$A$4:$EO$14,((MONTH($A74)-1)*12)+VLOOKUP(R$4,$DE$6:$DF$17,2)+1))*(VLOOKUP($A74,CURVES!$D$9:$K$261,2))*(INDEX(DailyScalarsTable,R$5/100,MONTH($A74)))*$B74</f>
        <v>-78254.489713604416</v>
      </c>
      <c r="S74" s="1021">
        <f>(VLOOKUP(YEAR($A74),'NY East Load Projections'!$A$4:$EO$14,((MONTH($A74)-1)*12)+VLOOKUP(S$4,$DE$6:$DF$17,2)+1))*(VLOOKUP($A74,CURVES!$D$9:$K$261,2))*(INDEX(DailyScalarsTable,S$5/100,MONTH($A74)))*$B74</f>
        <v>-83380.922662304773</v>
      </c>
      <c r="T74" s="1021">
        <f>(VLOOKUP(YEAR($A74),'NY East Load Projections'!$A$4:$EO$14,((MONTH($A74)-1)*12)+VLOOKUP(T$4,$DE$6:$DF$17,2)+1))*(VLOOKUP($A74,CURVES!$D$9:$K$261,2))*(INDEX(DailyScalarsTable,T$5/100,MONTH($A74)))*$B74</f>
        <v>-81160.087504487936</v>
      </c>
      <c r="U74" s="1021">
        <f>(VLOOKUP(YEAR($A74),'NY East Load Projections'!$A$4:$EO$14,((MONTH($A74)-1)*12)+VLOOKUP(U$4,$DE$6:$DF$17,2)+1))*(VLOOKUP($A74,CURVES!$D$9:$K$261,2))*(INDEX(DailyScalarsTable,U$5/100,MONTH($A74)))*$B74</f>
        <v>-87858.386674156442</v>
      </c>
      <c r="V74" s="1021">
        <f>(VLOOKUP(YEAR($A74),'NY East Load Projections'!$A$4:$EO$14,((MONTH($A74)-1)*12)+VLOOKUP(V$4,$DE$6:$DF$17,2)+1))*(VLOOKUP($A74,CURVES!$D$9:$K$261,2))*(INDEX(DailyScalarsTable,V$5/100,MONTH($A74)))*$B74</f>
        <v>-86472.129976433789</v>
      </c>
      <c r="W74" s="1021">
        <f>(VLOOKUP(YEAR($A74),'NY East Load Projections'!$A$4:$EO$14,((MONTH($A74)-1)*12)+VLOOKUP(W$4,$DE$6:$DF$17,2)+1))*(VLOOKUP($A74,CURVES!$D$9:$K$261,2))*(INDEX(DailyScalarsTable,W$5/100,MONTH($A74)))*$B74</f>
        <v>-83769.511876671881</v>
      </c>
      <c r="X74" s="1021">
        <f>(VLOOKUP(YEAR($A74),'NY East Load Projections'!$A$4:$EO$14,((MONTH($A74)-1)*12)+VLOOKUP(X$4,$DE$6:$DF$17,2)+1))*(VLOOKUP($A74,CURVES!$D$9:$K$261,2))*(INDEX(DailyScalarsTable,X$5/100,MONTH($A74)))*$B74</f>
        <v>-84906.017434103996</v>
      </c>
      <c r="Y74" s="1021">
        <f>(VLOOKUP(YEAR($A74),'NY East Load Projections'!$A$4:$EO$14,((MONTH($A74)-1)*12)+VLOOKUP(Y$4,$DE$6:$DF$17,2)+1))*(VLOOKUP($A74,CURVES!$D$9:$K$261,2))*(INDEX(DailyScalarsTable,Y$5/100,MONTH($A74)))*$B74</f>
        <v>-82823.106741724405</v>
      </c>
      <c r="Z74" s="1021">
        <f>(VLOOKUP(YEAR($A74),'NY East Load Projections'!$A$4:$EO$14,((MONTH($A74)-1)*12)+VLOOKUP(Z$4,$DE$6:$DF$17,2)+1))*(VLOOKUP($A74,CURVES!$D$9:$K$261,2))*(INDEX(DailyScalarsTable,Z$5/100,MONTH($A74)))*$B74</f>
        <v>-67837.112444446131</v>
      </c>
      <c r="AA74" s="1021">
        <f>(VLOOKUP(YEAR($A74),'NY East Load Projections'!$A$4:$EO$14,((MONTH($A74)-1)*12)+VLOOKUP(AA$4,$DE$6:$DF$17,2)+1))*(VLOOKUP($A74,CURVES!$D$9:$K$261,2))*(INDEX(DailyScalarsTable,AA$5/100,MONTH($A74)))*$B74</f>
        <v>-88655.256680387189</v>
      </c>
      <c r="AB74" s="1021">
        <f>(VLOOKUP(YEAR($A74),'NY East Load Projections'!$A$4:$EO$14,((MONTH($A74)-1)*12)+VLOOKUP(AB$4,$DE$6:$DF$17,2)+1))*(VLOOKUP($A74,CURVES!$D$9:$K$261,2))*(INDEX(DailyScalarsTable,AB$5/100,MONTH($A74)))*$B74</f>
        <v>-78907.540577144304</v>
      </c>
      <c r="AC74" s="1021">
        <f>(VLOOKUP(YEAR($A74),'NY East Load Projections'!$A$4:$EO$14,((MONTH($A74)-1)*12)+VLOOKUP(AC$4,$DE$6:$DF$17,2)+1))*(VLOOKUP($A74,CURVES!$D$9:$K$261,2))*(INDEX(DailyScalarsTable,AC$5/100,MONTH($A74)))*$B74</f>
        <v>-60056.438167985943</v>
      </c>
      <c r="AD74" s="1021">
        <f>(VLOOKUP(YEAR($A74),'NY East Load Projections'!$A$4:$EO$14,((MONTH($A74)-1)*12)+VLOOKUP(AD$4,$DE$6:$DF$17,2)+1))*(VLOOKUP($A74,CURVES!$D$9:$K$261,2))*(INDEX(DailyScalarsTable,AD$5/100,MONTH($A74)))*$B74</f>
        <v>-47592.259573018855</v>
      </c>
      <c r="AE74" s="1021">
        <f>(VLOOKUP(YEAR($A74),'NY East Load Projections'!$A$4:$EO$14,((MONTH($A74)-1)*12)+VLOOKUP(AE$4,$DE$6:$DF$17,2)+1))*(VLOOKUP($A74,CURVES!$D$9:$K$261,6))*(INDEX(DailyScalarsTable,AE$5/100,MONTH($A74)))*$B74</f>
        <v>-45437.091924273656</v>
      </c>
      <c r="AF74" s="1021"/>
      <c r="AG74" s="1021">
        <f>(VLOOKUP(YEAR($A74),'NY East Load Projections'!$A$4:$EO$14,((MONTH($A74)-1)*12)+VLOOKUP(AG$4,$DE$6:$DF$17,2)+1))*(VLOOKUP($A74,CURVES!$D$9:$T$261,6))*(INDEX(DailyScalarsTable,AG$5/100,MONTH($A74)))*$C74</f>
        <v>-9972.3386268851973</v>
      </c>
      <c r="AH74" s="1021">
        <f>(VLOOKUP(YEAR($A74),'NY East Load Projections'!$A$4:$EO$14,((MONTH($A74)-1)*12)+VLOOKUP(AH$4,$DE$6:$DF$17,2)+1))*(VLOOKUP($A74,CURVES!$D$9:$T$261,6))*(INDEX(DailyScalarsTable,AH$5/100,MONTH($A74)))*$C74</f>
        <v>-8748.9097326038791</v>
      </c>
      <c r="AI74" s="1021">
        <f>(VLOOKUP(YEAR($A74),'NY East Load Projections'!$A$4:$EO$14,((MONTH($A74)-1)*12)+VLOOKUP(AI$4,$DE$6:$DF$17,2)+1))*(VLOOKUP($A74,CURVES!$D$9:$T$261,6))*(INDEX(DailyScalarsTable,AI$5/100,MONTH($A74)))*$C74</f>
        <v>-8204.3192310086779</v>
      </c>
      <c r="AJ74" s="1021">
        <f>(VLOOKUP(YEAR($A74),'NY East Load Projections'!$A$4:$EO$14,((MONTH($A74)-1)*12)+VLOOKUP(AJ$4,$DE$6:$DF$17,2)+1))*(VLOOKUP($A74,CURVES!$D$9:$T$261,6))*(INDEX(DailyScalarsTable,AJ$5/100,MONTH($A74)))*$C74</f>
        <v>-8325.9022267136534</v>
      </c>
      <c r="AK74" s="1021">
        <f>(VLOOKUP(YEAR($A74),'NY East Load Projections'!$A$4:$EO$14,((MONTH($A74)-1)*12)+VLOOKUP(AK$4,$DE$6:$DF$17,2)+1))*(VLOOKUP($A74,CURVES!$D$9:$T$261,6))*(INDEX(DailyScalarsTable,AK$5/100,MONTH($A74)))*$C74</f>
        <v>-9054.0259814330129</v>
      </c>
      <c r="AL74" s="1021">
        <f>(VLOOKUP(YEAR($A74),'NY East Load Projections'!$A$4:$EO$14,((MONTH($A74)-1)*12)+VLOOKUP(AL$4,$DE$6:$DF$17,2)+1))*(VLOOKUP($A74,CURVES!$D$9:$T$261,6))*(INDEX(DailyScalarsTable,AL$5/100,MONTH($A74)))*$C74</f>
        <v>-10477.566837347247</v>
      </c>
      <c r="AM74" s="1021">
        <f>(VLOOKUP(YEAR($A74),'NY East Load Projections'!$A$4:$EO$14,((MONTH($A74)-1)*12)+VLOOKUP(AM$4,$DE$6:$DF$17,2)+1))*(VLOOKUP($A74,CURVES!$D$9:$T$261,6))*(INDEX(DailyScalarsTable,AM$5/100,MONTH($A74)))*$C74</f>
        <v>-14248.164301578858</v>
      </c>
      <c r="AN74" s="1021">
        <f>(VLOOKUP(YEAR($A74),'NY East Load Projections'!$A$4:$EO$14,((MONTH($A74)-1)*12)+VLOOKUP(AN$4,$DE$6:$DF$17,2)+1))*(VLOOKUP($A74,SatSunCurve,2))*(INDEX(DailyScalarsTable,AN$5/100,MONTH($A74)))*$C74</f>
        <v>-9148.7809400495444</v>
      </c>
      <c r="AO74" s="1021">
        <f>(VLOOKUP(YEAR($A74),'NY East Load Projections'!$A$4:$EO$14,((MONTH($A74)-1)*12)+VLOOKUP(AO$4,$DE$6:$DF$17,2)+1))*(VLOOKUP($A74,SatSunCurve,2))*(INDEX(DailyScalarsTable,AO$5/100,MONTH($A74)))*$C74</f>
        <v>-10018.409017811775</v>
      </c>
      <c r="AP74" s="1021">
        <f>(VLOOKUP(YEAR($A74),'NY East Load Projections'!$A$4:$EO$14,((MONTH($A74)-1)*12)+VLOOKUP(AP$4,$DE$6:$DF$17,2)+1))*(VLOOKUP($A74,SatSunCurve,2))*(INDEX(DailyScalarsTable,AP$5/100,MONTH($A74)))*$C74</f>
        <v>-12506.111122099715</v>
      </c>
      <c r="AQ74" s="1021">
        <f>(VLOOKUP(YEAR($A74),'NY East Load Projections'!$A$4:$EO$14,((MONTH($A74)-1)*12)+VLOOKUP(AQ$4,$DE$6:$DF$17,2)+1))*(VLOOKUP($A74,SatSunCurve,2))*(INDEX(DailyScalarsTable,AQ$5/100,MONTH($A74)))*$C74</f>
        <v>-13355.947244682553</v>
      </c>
      <c r="AR74" s="1021">
        <f>(VLOOKUP(YEAR($A74),'NY East Load Projections'!$A$4:$EO$14,((MONTH($A74)-1)*12)+VLOOKUP(AR$4,$DE$6:$DF$17,2)+1))*(VLOOKUP($A74,SatSunCurve,2))*(INDEX(DailyScalarsTable,AR$5/100,MONTH($A74)))*$C74</f>
        <v>-14230.892161796248</v>
      </c>
      <c r="AS74" s="1021">
        <f>(VLOOKUP(YEAR($A74),'NY East Load Projections'!$A$4:$EO$14,((MONTH($A74)-1)*12)+VLOOKUP(AS$4,$DE$6:$DF$17,2)+1))*(VLOOKUP($A74,SatSunCurve,2))*(INDEX(DailyScalarsTable,AS$5/100,MONTH($A74)))*$C74</f>
        <v>-13817.330399071381</v>
      </c>
      <c r="AT74" s="1021">
        <f>(VLOOKUP(YEAR($A74),'NY East Load Projections'!$A$4:$EO$14,((MONTH($A74)-1)*12)+VLOOKUP(AT$4,$DE$6:$DF$17,2)+1))*(VLOOKUP($A74,SatSunCurve,2))*(INDEX(DailyScalarsTable,AT$5/100,MONTH($A74)))*$C74</f>
        <v>-14957.701431002779</v>
      </c>
      <c r="AU74" s="1021">
        <f>(VLOOKUP(YEAR($A74),'NY East Load Projections'!$A$4:$EO$14,((MONTH($A74)-1)*12)+VLOOKUP(AU$4,$DE$6:$DF$17,2)+1))*(VLOOKUP($A74,SatSunCurve,2))*(INDEX(DailyScalarsTable,AU$5/100,MONTH($A74)))*$C74</f>
        <v>-14721.694208742203</v>
      </c>
      <c r="AV74" s="1021">
        <f>(VLOOKUP(YEAR($A74),'NY East Load Projections'!$A$4:$EO$14,((MONTH($A74)-1)*12)+VLOOKUP(AV$4,$DE$6:$DF$17,2)+1))*(VLOOKUP($A74,SatSunCurve,2))*(INDEX(DailyScalarsTable,AV$5/100,MONTH($A74)))*$C74</f>
        <v>-14261.579288032488</v>
      </c>
      <c r="AW74" s="1021">
        <f>(VLOOKUP(YEAR($A74),'NY East Load Projections'!$A$4:$EO$14,((MONTH($A74)-1)*12)+VLOOKUP(AW$4,$DE$6:$DF$17,2)+1))*(VLOOKUP($A74,SatSunCurve,2))*(INDEX(DailyScalarsTable,AW$5/100,MONTH($A74)))*$C74</f>
        <v>-14382.19183521342</v>
      </c>
      <c r="AX74" s="1021">
        <f>(VLOOKUP(YEAR($A74),'NY East Load Projections'!$A$4:$EO$14,((MONTH($A74)-1)*12)+VLOOKUP(AX$4,$DE$6:$DF$17,2)+1))*(VLOOKUP($A74,SatSunCurve,2))*(INDEX(DailyScalarsTable,AX$5/100,MONTH($A74)))*$C74</f>
        <v>-14029.368536479971</v>
      </c>
      <c r="AY74" s="1021">
        <f>(VLOOKUP(YEAR($A74),'NY East Load Projections'!$A$4:$EO$14,((MONTH($A74)-1)*12)+VLOOKUP(AY$4,$DE$6:$DF$17,2)+1))*(VLOOKUP($A74,SatSunCurve,2))*(INDEX(DailyScalarsTable,AY$5/100,MONTH($A74)))*$C74</f>
        <v>-11490.897750329323</v>
      </c>
      <c r="AZ74" s="1021">
        <f>(VLOOKUP(YEAR($A74),'NY East Load Projections'!$A$4:$EO$14,((MONTH($A74)-1)*12)+VLOOKUP(AZ$4,$DE$6:$DF$17,2)+1))*(VLOOKUP($A74,SatSunCurve,2))*(INDEX(DailyScalarsTable,AZ$5/100,MONTH($A74)))*$C74</f>
        <v>-15017.273772933624</v>
      </c>
      <c r="BA74" s="1021">
        <f>(VLOOKUP(YEAR($A74),'NY East Load Projections'!$A$4:$EO$14,((MONTH($A74)-1)*12)+VLOOKUP(BA$4,$DE$6:$DF$17,2)+1))*(VLOOKUP($A74,SatSunCurve,2))*(INDEX(DailyScalarsTable,BA$5/100,MONTH($A74)))*$C74</f>
        <v>-14512.448254198333</v>
      </c>
      <c r="BB74" s="1021">
        <f>(VLOOKUP(YEAR($A74),'NY East Load Projections'!$A$4:$EO$14,((MONTH($A74)-1)*12)+VLOOKUP(BB$4,$DE$6:$DF$17,2)+1))*(VLOOKUP($A74,SatSunCurve,2))*(INDEX(DailyScalarsTable,BB$5/100,MONTH($A74)))*$C74</f>
        <v>-11045.407636197549</v>
      </c>
      <c r="BC74" s="1021">
        <f>(VLOOKUP(YEAR($A74),'NY East Load Projections'!$A$4:$EO$14,((MONTH($A74)-1)*12)+VLOOKUP(BC$4,$DE$6:$DF$17,2)+1))*(VLOOKUP($A74,SatSunCurve,2))*(INDEX(DailyScalarsTable,BC$5/100,MONTH($A74)))*$C74</f>
        <v>-8753.031703967059</v>
      </c>
      <c r="BD74" s="1021">
        <f>(VLOOKUP(YEAR($A74),'NY East Load Projections'!$A$4:$EO$14,((MONTH($A74)-1)*12)+VLOOKUP(BD$4,$DE$6:$DF$17,2)+1))*(VLOOKUP($A74,CURVES!$D$9:$T$261,6))*(INDEX(DailyScalarsTable,BD$5/100,MONTH($A74)))*$C74</f>
        <v>-11700.432723092681</v>
      </c>
      <c r="BE74" s="1021"/>
      <c r="BF74" s="1021">
        <f>(VLOOKUP(YEAR($A74),'NY East Load Projections'!$A$4:$EO$14,((MONTH($A74)-1)*12)+VLOOKUP(BF$4,$DE$6:$DF$17,2)+1))*(VLOOKUP($A74,CURVES!$D$9:$T$261,6))*(INDEX(DailyScalarsTable,BF$5/100,MONTH($A74)))*$D74</f>
        <v>-7977.8709015081586</v>
      </c>
      <c r="BG74" s="1021">
        <f>(VLOOKUP(YEAR($A74),'NY East Load Projections'!$A$4:$EO$14,((MONTH($A74)-1)*12)+VLOOKUP(BG$4,$DE$6:$DF$17,2)+1))*(VLOOKUP($A74,CURVES!$D$9:$T$261,6))*(INDEX(DailyScalarsTable,BG$5/100,MONTH($A74)))*$D74</f>
        <v>-6999.1277860831033</v>
      </c>
      <c r="BH74" s="1021">
        <f>(VLOOKUP(YEAR($A74),'NY East Load Projections'!$A$4:$EO$14,((MONTH($A74)-1)*12)+VLOOKUP(BH$4,$DE$6:$DF$17,2)+1))*(VLOOKUP($A74,CURVES!$D$9:$T$261,6))*(INDEX(DailyScalarsTable,BH$5/100,MONTH($A74)))*$D74</f>
        <v>-6563.4553848069418</v>
      </c>
      <c r="BI74" s="1021">
        <f>(VLOOKUP(YEAR($A74),'NY East Load Projections'!$A$4:$EO$14,((MONTH($A74)-1)*12)+VLOOKUP(BI$4,$DE$6:$DF$17,2)+1))*(VLOOKUP($A74,CURVES!$D$9:$T$261,6))*(INDEX(DailyScalarsTable,BI$5/100,MONTH($A74)))*$D74</f>
        <v>-6660.7217813709231</v>
      </c>
      <c r="BJ74" s="1021">
        <f>(VLOOKUP(YEAR($A74),'NY East Load Projections'!$A$4:$EO$14,((MONTH($A74)-1)*12)+VLOOKUP(BJ$4,$DE$6:$DF$17,2)+1))*(VLOOKUP($A74,CURVES!$D$9:$T$261,6))*(INDEX(DailyScalarsTable,BJ$5/100,MONTH($A74)))*$D74</f>
        <v>-7243.22078514641</v>
      </c>
      <c r="BK74" s="1021">
        <f>(VLOOKUP(YEAR($A74),'NY East Load Projections'!$A$4:$EO$14,((MONTH($A74)-1)*12)+VLOOKUP(BK$4,$DE$6:$DF$17,2)+1))*(VLOOKUP($A74,CURVES!$D$9:$T$261,6))*(INDEX(DailyScalarsTable,BK$5/100,MONTH($A74)))*$D74</f>
        <v>-8382.0534698777974</v>
      </c>
      <c r="BL74" s="1021">
        <f>(VLOOKUP(YEAR($A74),'NY East Load Projections'!$A$4:$EO$14,((MONTH($A74)-1)*12)+VLOOKUP(BL$4,$DE$6:$DF$17,2)+1))*(VLOOKUP($A74,CURVES!$D$9:$T$261,6))*(INDEX(DailyScalarsTable,BL$5/100,MONTH($A74)))*$D74</f>
        <v>-11398.531441263087</v>
      </c>
      <c r="BM74" s="1021">
        <f>(VLOOKUP(YEAR($A74),'NY East Load Projections'!$A$4:$EO$14,((MONTH($A74)-1)*12)+VLOOKUP(BM$4,$DE$6:$DF$17,2)+1))*(VLOOKUP($A74,SatSunCurve,6))*(INDEX(DailyScalarsTable,BM$5/100,MONTH($A74)))*$D74</f>
        <v>-6702.2259673502476</v>
      </c>
      <c r="BN74" s="1021">
        <f>(VLOOKUP(YEAR($A74),'NY East Load Projections'!$A$4:$EO$14,((MONTH($A74)-1)*12)+VLOOKUP(BN$4,$DE$6:$DF$17,2)+1))*(VLOOKUP($A74,SatSunCurve,6))*(INDEX(DailyScalarsTable,BN$5/100,MONTH($A74)))*$D74</f>
        <v>-7339.2992477039616</v>
      </c>
      <c r="BO74" s="1021">
        <f>(VLOOKUP(YEAR($A74),'NY East Load Projections'!$A$4:$EO$14,((MONTH($A74)-1)*12)+VLOOKUP(BO$4,$DE$6:$DF$17,2)+1))*(VLOOKUP($A74,SatSunCurve,6))*(INDEX(DailyScalarsTable,BO$5/100,MONTH($A74)))*$D74</f>
        <v>-9161.7433254064254</v>
      </c>
      <c r="BP74" s="1021">
        <f>(VLOOKUP(YEAR($A74),'NY East Load Projections'!$A$4:$EO$14,((MONTH($A74)-1)*12)+VLOOKUP(BP$4,$DE$6:$DF$17,2)+1))*(VLOOKUP($A74,SatSunCurve,6))*(INDEX(DailyScalarsTable,BP$5/100,MONTH($A74)))*$D74</f>
        <v>-9784.3173892178293</v>
      </c>
      <c r="BQ74" s="1021">
        <f>(VLOOKUP(YEAR($A74),'NY East Load Projections'!$A$4:$EO$14,((MONTH($A74)-1)*12)+VLOOKUP(BQ$4,$DE$6:$DF$17,2)+1))*(VLOOKUP($A74,SatSunCurve,6))*(INDEX(DailyScalarsTable,BQ$5/100,MONTH($A74)))*$D74</f>
        <v>-10425.28568673275</v>
      </c>
      <c r="BR74" s="1021">
        <f>(VLOOKUP(YEAR($A74),'NY East Load Projections'!$A$4:$EO$14,((MONTH($A74)-1)*12)+VLOOKUP(BR$4,$DE$6:$DF$17,2)+1))*(VLOOKUP($A74,SatSunCurve,6))*(INDEX(DailyScalarsTable,BR$5/100,MONTH($A74)))*$D74</f>
        <v>-10122.318066959058</v>
      </c>
      <c r="BS74" s="1021">
        <f>(VLOOKUP(YEAR($A74),'NY East Load Projections'!$A$4:$EO$14,((MONTH($A74)-1)*12)+VLOOKUP(BS$4,$DE$6:$DF$17,2)+1))*(VLOOKUP($A74,SatSunCurve,6))*(INDEX(DailyScalarsTable,BS$5/100,MONTH($A74)))*$D74</f>
        <v>-10957.732576576031</v>
      </c>
      <c r="BT74" s="1021">
        <f>(VLOOKUP(YEAR($A74),'NY East Load Projections'!$A$4:$EO$14,((MONTH($A74)-1)*12)+VLOOKUP(BT$4,$DE$6:$DF$17,2)+1))*(VLOOKUP($A74,SatSunCurve,6))*(INDEX(DailyScalarsTable,BT$5/100,MONTH($A74)))*$D74</f>
        <v>-10784.838095455307</v>
      </c>
      <c r="BU74" s="1021">
        <f>(VLOOKUP(YEAR($A74),'NY East Load Projections'!$A$4:$EO$14,((MONTH($A74)-1)*12)+VLOOKUP(BU$4,$DE$6:$DF$17,2)+1))*(VLOOKUP($A74,SatSunCurve,6))*(INDEX(DailyScalarsTable,BU$5/100,MONTH($A74)))*$D74</f>
        <v>-10447.766502009847</v>
      </c>
      <c r="BV74" s="1021">
        <f>(VLOOKUP(YEAR($A74),'NY East Load Projections'!$A$4:$EO$14,((MONTH($A74)-1)*12)+VLOOKUP(BV$4,$DE$6:$DF$17,2)+1))*(VLOOKUP($A74,SatSunCurve,6))*(INDEX(DailyScalarsTable,BV$5/100,MONTH($A74)))*$D74</f>
        <v>-10536.1250003717</v>
      </c>
      <c r="BW74" s="1021">
        <f>(VLOOKUP(YEAR($A74),'NY East Load Projections'!$A$4:$EO$14,((MONTH($A74)-1)*12)+VLOOKUP(BW$4,$DE$6:$DF$17,2)+1))*(VLOOKUP($A74,SatSunCurve,6))*(INDEX(DailyScalarsTable,BW$5/100,MONTH($A74)))*$D74</f>
        <v>-10277.653244390985</v>
      </c>
      <c r="BX74" s="1021">
        <f>(VLOOKUP(YEAR($A74),'NY East Load Projections'!$A$4:$EO$14,((MONTH($A74)-1)*12)+VLOOKUP(BX$4,$DE$6:$DF$17,2)+1))*(VLOOKUP($A74,SatSunCurve,6))*(INDEX(DailyScalarsTable,BX$5/100,MONTH($A74)))*$D74</f>
        <v>-8418.0169789929059</v>
      </c>
      <c r="BY74" s="1021">
        <f>(VLOOKUP(YEAR($A74),'NY East Load Projections'!$A$4:$EO$14,((MONTH($A74)-1)*12)+VLOOKUP(BY$4,$DE$6:$DF$17,2)+1))*(VLOOKUP($A74,SatSunCurve,6))*(INDEX(DailyScalarsTable,BY$5/100,MONTH($A74)))*$D74</f>
        <v>-11001.374161136982</v>
      </c>
      <c r="BZ74" s="1021">
        <f>(VLOOKUP(YEAR($A74),'NY East Load Projections'!$A$4:$EO$14,((MONTH($A74)-1)*12)+VLOOKUP(BZ$4,$DE$6:$DF$17,2)+1))*(VLOOKUP($A74,SatSunCurve,6))*(INDEX(DailyScalarsTable,BZ$5/100,MONTH($A74)))*$D74</f>
        <v>-10631.548419016806</v>
      </c>
      <c r="CA74" s="1021">
        <f>(VLOOKUP(YEAR($A74),'NY East Load Projections'!$A$4:$EO$14,((MONTH($A74)-1)*12)+VLOOKUP(CA$4,$DE$6:$DF$17,2)+1))*(VLOOKUP($A74,SatSunCurve,6))*(INDEX(DailyScalarsTable,CA$5/100,MONTH($A74)))*$D74</f>
        <v>-8091.6592455749669</v>
      </c>
      <c r="CB74" s="1021">
        <f>(VLOOKUP(YEAR($A74),'NY East Load Projections'!$A$4:$EO$14,((MONTH($A74)-1)*12)+VLOOKUP(CB$4,$DE$6:$DF$17,2)+1))*(VLOOKUP($A74,SatSunCurve,6))*(INDEX(DailyScalarsTable,CB$5/100,MONTH($A74)))*$D74</f>
        <v>-6412.3074717592181</v>
      </c>
      <c r="CC74" s="1021">
        <f>(VLOOKUP(YEAR($A74),'NY East Load Projections'!$A$4:$EO$14,((MONTH($A74)-1)*12)+VLOOKUP(CC$4,$DE$6:$DF$17,2)+1))*(VLOOKUP($A74,CURVES!$D$9:$T$261,6))*(INDEX(DailyScalarsTable,CC$5/100,MONTH($A74)))*$D74</f>
        <v>-9360.3461784741448</v>
      </c>
      <c r="CE74" s="1021">
        <f>(VLOOKUP(YEAR($A74),'NY East Load Projections'!$A$4:$EO$14,((MONTH($A74)-1)*12)+VLOOKUP(CE$4,$DE$6:$DF$17,2)+1))*(VLOOKUP($A74,CURVES!$D$9:$T$261,6))*(INDEX(DailyScalarsTable,CE$5/100,MONTH($A74)))*$E74</f>
        <v>-1994.4677253770396</v>
      </c>
      <c r="CF74" s="1021">
        <f>(VLOOKUP(YEAR($A74),'NY East Load Projections'!$A$4:$EO$14,((MONTH($A74)-1)*12)+VLOOKUP(CF$4,$DE$6:$DF$17,2)+1))*(VLOOKUP($A74,CURVES!$D$9:$T$261,6))*(INDEX(DailyScalarsTable,CF$5/100,MONTH($A74)))*$E74</f>
        <v>-1749.7819465207758</v>
      </c>
      <c r="CG74" s="1021">
        <f>(VLOOKUP(YEAR($A74),'NY East Load Projections'!$A$4:$EO$14,((MONTH($A74)-1)*12)+VLOOKUP(CG$4,$DE$6:$DF$17,2)+1))*(VLOOKUP($A74,CURVES!$D$9:$T$261,6))*(INDEX(DailyScalarsTable,CG$5/100,MONTH($A74)))*$E74</f>
        <v>-1640.8638462017354</v>
      </c>
      <c r="CH74" s="1021">
        <f>(VLOOKUP(YEAR($A74),'NY East Load Projections'!$A$4:$EO$14,((MONTH($A74)-1)*12)+VLOOKUP(CH$4,$DE$6:$DF$17,2)+1))*(VLOOKUP($A74,CURVES!$D$9:$T$261,6))*(INDEX(DailyScalarsTable,CH$5/100,MONTH($A74)))*$E74</f>
        <v>-1665.1804453427308</v>
      </c>
      <c r="CI74" s="1021">
        <f>(VLOOKUP(YEAR($A74),'NY East Load Projections'!$A$4:$EO$14,((MONTH($A74)-1)*12)+VLOOKUP(CI$4,$DE$6:$DF$17,2)+1))*(VLOOKUP($A74,CURVES!$D$9:$T$261,6))*(INDEX(DailyScalarsTable,CI$5/100,MONTH($A74)))*$E74</f>
        <v>-1810.8051962866025</v>
      </c>
      <c r="CJ74" s="1021">
        <f>(VLOOKUP(YEAR($A74),'NY East Load Projections'!$A$4:$EO$14,((MONTH($A74)-1)*12)+VLOOKUP(CJ$4,$DE$6:$DF$17,2)+1))*(VLOOKUP($A74,CURVES!$D$9:$T$261,6))*(INDEX(DailyScalarsTable,CJ$5/100,MONTH($A74)))*$E74</f>
        <v>-2095.5133674694493</v>
      </c>
      <c r="CK74" s="1021">
        <f>(VLOOKUP(YEAR($A74),'NY East Load Projections'!$A$4:$EO$14,((MONTH($A74)-1)*12)+VLOOKUP(CK$4,$DE$6:$DF$17,2)+1))*(VLOOKUP($A74,CURVES!$D$9:$T$261,6))*(INDEX(DailyScalarsTable,CK$5/100,MONTH($A74)))*$E74</f>
        <v>-2849.6328603157717</v>
      </c>
      <c r="CL74" s="1021">
        <f>(VLOOKUP(YEAR($A74),'NY East Load Projections'!$A$4:$EO$14,((MONTH($A74)-1)*12)+VLOOKUP(CL$4,$DE$6:$DF$17,2)+1))*(VLOOKUP($A74,SatSunCurve,6))*(INDEX(DailyScalarsTable,CL$5/100,MONTH($A74)))*$E74</f>
        <v>-1675.5564918375619</v>
      </c>
      <c r="CM74" s="1021">
        <f>(VLOOKUP(YEAR($A74),'NY East Load Projections'!$A$4:$EO$14,((MONTH($A74)-1)*12)+VLOOKUP(CM$4,$DE$6:$DF$17,2)+1))*(VLOOKUP($A74,SatSunCurve,6))*(INDEX(DailyScalarsTable,CM$5/100,MONTH($A74)))*$E74</f>
        <v>-1834.8248119259904</v>
      </c>
      <c r="CN74" s="1021">
        <f>(VLOOKUP(YEAR($A74),'NY East Load Projections'!$A$4:$EO$14,((MONTH($A74)-1)*12)+VLOOKUP(CN$4,$DE$6:$DF$17,2)+1))*(VLOOKUP($A74,SatSunCurve,6))*(INDEX(DailyScalarsTable,CN$5/100,MONTH($A74)))*$E74</f>
        <v>-2290.4358313516063</v>
      </c>
      <c r="CO74" s="1021">
        <f>(VLOOKUP(YEAR($A74),'NY East Load Projections'!$A$4:$EO$14,((MONTH($A74)-1)*12)+VLOOKUP(CO$4,$DE$6:$DF$17,2)+1))*(VLOOKUP($A74,SatSunCurve,6))*(INDEX(DailyScalarsTable,CO$5/100,MONTH($A74)))*$E74</f>
        <v>-2446.0793473044573</v>
      </c>
      <c r="CP74" s="1021">
        <f>(VLOOKUP(YEAR($A74),'NY East Load Projections'!$A$4:$EO$14,((MONTH($A74)-1)*12)+VLOOKUP(CP$4,$DE$6:$DF$17,2)+1))*(VLOOKUP($A74,SatSunCurve,6))*(INDEX(DailyScalarsTable,CP$5/100,MONTH($A74)))*$E74</f>
        <v>-2606.3214216831875</v>
      </c>
      <c r="CQ74" s="1021">
        <f>(VLOOKUP(YEAR($A74),'NY East Load Projections'!$A$4:$EO$14,((MONTH($A74)-1)*12)+VLOOKUP(CQ$4,$DE$6:$DF$17,2)+1))*(VLOOKUP($A74,SatSunCurve,6))*(INDEX(DailyScalarsTable,CQ$5/100,MONTH($A74)))*$E74</f>
        <v>-2530.5795167397646</v>
      </c>
      <c r="CR74" s="1021">
        <f>(VLOOKUP(YEAR($A74),'NY East Load Projections'!$A$4:$EO$14,((MONTH($A74)-1)*12)+VLOOKUP(CR$4,$DE$6:$DF$17,2)+1))*(VLOOKUP($A74,SatSunCurve,6))*(INDEX(DailyScalarsTable,CR$5/100,MONTH($A74)))*$E74</f>
        <v>-2739.4331441440077</v>
      </c>
      <c r="CS74" s="1021">
        <f>(VLOOKUP(YEAR($A74),'NY East Load Projections'!$A$4:$EO$14,((MONTH($A74)-1)*12)+VLOOKUP(CS$4,$DE$6:$DF$17,2)+1))*(VLOOKUP($A74,SatSunCurve,6))*(INDEX(DailyScalarsTable,CS$5/100,MONTH($A74)))*$E74</f>
        <v>-2696.2095238638267</v>
      </c>
      <c r="CT74" s="1021">
        <f>(VLOOKUP(YEAR($A74),'NY East Load Projections'!$A$4:$EO$14,((MONTH($A74)-1)*12)+VLOOKUP(CT$4,$DE$6:$DF$17,2)+1))*(VLOOKUP($A74,SatSunCurve,6))*(INDEX(DailyScalarsTable,CT$5/100,MONTH($A74)))*$E74</f>
        <v>-2611.9416255024616</v>
      </c>
      <c r="CU74" s="1021">
        <f>(VLOOKUP(YEAR($A74),'NY East Load Projections'!$A$4:$EO$14,((MONTH($A74)-1)*12)+VLOOKUP(CU$4,$DE$6:$DF$17,2)+1))*(VLOOKUP($A74,SatSunCurve,6))*(INDEX(DailyScalarsTable,CU$5/100,MONTH($A74)))*$E74</f>
        <v>-2634.0312500929249</v>
      </c>
      <c r="CV74" s="1021">
        <f>(VLOOKUP(YEAR($A74),'NY East Load Projections'!$A$4:$EO$14,((MONTH($A74)-1)*12)+VLOOKUP(CV$4,$DE$6:$DF$17,2)+1))*(VLOOKUP($A74,SatSunCurve,6))*(INDEX(DailyScalarsTable,CV$5/100,MONTH($A74)))*$E74</f>
        <v>-2569.4133110977464</v>
      </c>
      <c r="CW74" s="1021">
        <f>(VLOOKUP(YEAR($A74),'NY East Load Projections'!$A$4:$EO$14,((MONTH($A74)-1)*12)+VLOOKUP(CW$4,$DE$6:$DF$17,2)+1))*(VLOOKUP($A74,SatSunCurve,6))*(INDEX(DailyScalarsTable,CW$5/100,MONTH($A74)))*$E74</f>
        <v>-2104.5042447482265</v>
      </c>
      <c r="CX74" s="1021">
        <f>(VLOOKUP(YEAR($A74),'NY East Load Projections'!$A$4:$EO$14,((MONTH($A74)-1)*12)+VLOOKUP(CX$4,$DE$6:$DF$17,2)+1))*(VLOOKUP($A74,SatSunCurve,6))*(INDEX(DailyScalarsTable,CX$5/100,MONTH($A74)))*$E74</f>
        <v>-2750.3435402842456</v>
      </c>
      <c r="CY74" s="1021">
        <f>(VLOOKUP(YEAR($A74),'NY East Load Projections'!$A$4:$EO$14,((MONTH($A74)-1)*12)+VLOOKUP(CY$4,$DE$6:$DF$17,2)+1))*(VLOOKUP($A74,SatSunCurve,6))*(INDEX(DailyScalarsTable,CY$5/100,MONTH($A74)))*$E74</f>
        <v>-2657.8871047542016</v>
      </c>
      <c r="CZ74" s="1021">
        <f>(VLOOKUP(YEAR($A74),'NY East Load Projections'!$A$4:$EO$14,((MONTH($A74)-1)*12)+VLOOKUP(CZ$4,$DE$6:$DF$17,2)+1))*(VLOOKUP($A74,SatSunCurve,6))*(INDEX(DailyScalarsTable,CZ$5/100,MONTH($A74)))*$E74</f>
        <v>-2022.9148113937417</v>
      </c>
      <c r="DA74" s="1021">
        <f>(VLOOKUP(YEAR($A74),'NY East Load Projections'!$A$4:$EO$14,((MONTH($A74)-1)*12)+VLOOKUP(DA$4,$DE$6:$DF$17,2)+1))*(VLOOKUP($A74,SatSunCurve,6))*(INDEX(DailyScalarsTable,DA$5/100,MONTH($A74)))*$E74</f>
        <v>-1603.0768679398045</v>
      </c>
      <c r="DB74" s="1021">
        <f>(VLOOKUP(YEAR($A74),'NY East Load Projections'!$A$4:$EO$14,((MONTH($A74)-1)*12)+VLOOKUP(DB$4,$DE$6:$DF$17,2)+1))*(VLOOKUP($A74,CURVES!$D$9:$T$261,6))*(INDEX(DailyScalarsTable,DB$5/100,MONTH($A74)))*$E74</f>
        <v>-2340.0865446185362</v>
      </c>
      <c r="DH74" s="1021">
        <f t="shared" si="2"/>
        <v>-2076784.63720301</v>
      </c>
      <c r="DI74">
        <f ca="1">CALC!J94</f>
        <v>0.61943487176854406</v>
      </c>
      <c r="DJ74" s="1029">
        <f t="shared" ca="1" si="3"/>
        <v>-1286432.8254367288</v>
      </c>
    </row>
    <row r="75" spans="1:114" x14ac:dyDescent="0.25">
      <c r="A75" s="244">
        <v>38991</v>
      </c>
      <c r="B75" s="13">
        <v>22</v>
      </c>
      <c r="C75" s="210">
        <v>4</v>
      </c>
      <c r="D75" s="210">
        <v>5</v>
      </c>
      <c r="E75" s="210">
        <v>0</v>
      </c>
      <c r="F75" s="13">
        <v>31</v>
      </c>
      <c r="H75" s="1021">
        <f>(VLOOKUP(YEAR($A75),'NY East Load Projections'!$A$4:$EO$14,((MONTH($A75)-1)*12)+VLOOKUP(H$4,$DE$6:$DF$17,2)+1))*(VLOOKUP($A75,CURVES!$D$9:$K$261,6))*(INDEX(DailyScalarsTable,H$5/100,MONTH($A75)))*$B75</f>
        <v>-37207.190111562275</v>
      </c>
      <c r="I75" s="1021">
        <f>(VLOOKUP(YEAR($A75),'NY East Load Projections'!$A$4:$EO$14,((MONTH($A75)-1)*12)+VLOOKUP(I$4,$DE$6:$DF$17,2)+1))*(VLOOKUP($A75,CURVES!$D$9:$K$261,6))*(INDEX(DailyScalarsTable,I$5/100,MONTH($A75)))*$B75</f>
        <v>-35314.502083770327</v>
      </c>
      <c r="J75" s="1021">
        <f>(VLOOKUP(YEAR($A75),'NY East Load Projections'!$A$4:$EO$14,((MONTH($A75)-1)*12)+VLOOKUP(J$4,$DE$6:$DF$17,2)+1))*(VLOOKUP($A75,CURVES!$D$9:$K$261,6))*(INDEX(DailyScalarsTable,J$5/100,MONTH($A75)))*$B75</f>
        <v>-33923.395976387015</v>
      </c>
      <c r="K75" s="1021">
        <f>(VLOOKUP(YEAR($A75),'NY East Load Projections'!$A$4:$EO$14,((MONTH($A75)-1)*12)+VLOOKUP(K$4,$DE$6:$DF$17,2)+1))*(VLOOKUP($A75,CURVES!$D$9:$K$261,6))*(INDEX(DailyScalarsTable,K$5/100,MONTH($A75)))*$B75</f>
        <v>-33942.989020152971</v>
      </c>
      <c r="L75" s="1021">
        <f>(VLOOKUP(YEAR($A75),'NY East Load Projections'!$A$4:$EO$14,((MONTH($A75)-1)*12)+VLOOKUP(L$4,$DE$6:$DF$17,2)+1))*(VLOOKUP($A75,CURVES!$D$9:$K$261,6))*(INDEX(DailyScalarsTable,L$5/100,MONTH($A75)))*$B75</f>
        <v>-40044.056617206035</v>
      </c>
      <c r="M75" s="1021">
        <f>(VLOOKUP(YEAR($A75),'NY East Load Projections'!$A$4:$EO$14,((MONTH($A75)-1)*12)+VLOOKUP(M$4,$DE$6:$DF$17,2)+1))*(VLOOKUP($A75,CURVES!$D$9:$K$261,6))*(INDEX(DailyScalarsTable,M$5/100,MONTH($A75)))*$B75</f>
        <v>-46004.20276670708</v>
      </c>
      <c r="N75" s="1021">
        <f>(VLOOKUP(YEAR($A75),'NY East Load Projections'!$A$4:$EO$14,((MONTH($A75)-1)*12)+VLOOKUP(N$4,$DE$6:$DF$17,2)+1))*(VLOOKUP($A75,CURVES!$D$9:$K$261,6))*(INDEX(DailyScalarsTable,N$5/100,MONTH($A75)))*$B75</f>
        <v>-59471.799142229356</v>
      </c>
      <c r="O75" s="1021">
        <f>(VLOOKUP(YEAR($A75),'NY East Load Projections'!$A$4:$EO$14,((MONTH($A75)-1)*12)+VLOOKUP(O$4,$DE$6:$DF$17,2)+1))*(VLOOKUP($A75,CURVES!$D$9:$K$261,2))*(INDEX(DailyScalarsTable,O$5/100,MONTH($A75)))*$B75</f>
        <v>-70887.34472016379</v>
      </c>
      <c r="P75" s="1021">
        <f>(VLOOKUP(YEAR($A75),'NY East Load Projections'!$A$4:$EO$14,((MONTH($A75)-1)*12)+VLOOKUP(P$4,$DE$6:$DF$17,2)+1))*(VLOOKUP($A75,CURVES!$D$9:$K$261,2))*(INDEX(DailyScalarsTable,P$5/100,MONTH($A75)))*$B75</f>
        <v>-84516.3455228448</v>
      </c>
      <c r="Q75" s="1021">
        <f>(VLOOKUP(YEAR($A75),'NY East Load Projections'!$A$4:$EO$14,((MONTH($A75)-1)*12)+VLOOKUP(Q$4,$DE$6:$DF$17,2)+1))*(VLOOKUP($A75,CURVES!$D$9:$K$261,2))*(INDEX(DailyScalarsTable,Q$5/100,MONTH($A75)))*$B75</f>
        <v>-84255.170165852076</v>
      </c>
      <c r="R75" s="1021">
        <f>(VLOOKUP(YEAR($A75),'NY East Load Projections'!$A$4:$EO$14,((MONTH($A75)-1)*12)+VLOOKUP(R$4,$DE$6:$DF$17,2)+1))*(VLOOKUP($A75,CURVES!$D$9:$K$261,2))*(INDEX(DailyScalarsTable,R$5/100,MONTH($A75)))*$B75</f>
        <v>-83777.592370208236</v>
      </c>
      <c r="S75" s="1021">
        <f>(VLOOKUP(YEAR($A75),'NY East Load Projections'!$A$4:$EO$14,((MONTH($A75)-1)*12)+VLOOKUP(S$4,$DE$6:$DF$17,2)+1))*(VLOOKUP($A75,CURVES!$D$9:$K$261,2))*(INDEX(DailyScalarsTable,S$5/100,MONTH($A75)))*$B75</f>
        <v>-70696.438061401335</v>
      </c>
      <c r="T75" s="1021">
        <f>(VLOOKUP(YEAR($A75),'NY East Load Projections'!$A$4:$EO$14,((MONTH($A75)-1)*12)+VLOOKUP(T$4,$DE$6:$DF$17,2)+1))*(VLOOKUP($A75,CURVES!$D$9:$K$261,2))*(INDEX(DailyScalarsTable,T$5/100,MONTH($A75)))*$B75</f>
        <v>-68481.235885655537</v>
      </c>
      <c r="U75" s="1021">
        <f>(VLOOKUP(YEAR($A75),'NY East Load Projections'!$A$4:$EO$14,((MONTH($A75)-1)*12)+VLOOKUP(U$4,$DE$6:$DF$17,2)+1))*(VLOOKUP($A75,CURVES!$D$9:$K$261,2))*(INDEX(DailyScalarsTable,U$5/100,MONTH($A75)))*$B75</f>
        <v>-66580.475658241558</v>
      </c>
      <c r="V75" s="1021">
        <f>(VLOOKUP(YEAR($A75),'NY East Load Projections'!$A$4:$EO$14,((MONTH($A75)-1)*12)+VLOOKUP(V$4,$DE$6:$DF$17,2)+1))*(VLOOKUP($A75,CURVES!$D$9:$K$261,2))*(INDEX(DailyScalarsTable,V$5/100,MONTH($A75)))*$B75</f>
        <v>-65033.703165487677</v>
      </c>
      <c r="W75" s="1021">
        <f>(VLOOKUP(YEAR($A75),'NY East Load Projections'!$A$4:$EO$14,((MONTH($A75)-1)*12)+VLOOKUP(W$4,$DE$6:$DF$17,2)+1))*(VLOOKUP($A75,CURVES!$D$9:$K$261,2))*(INDEX(DailyScalarsTable,W$5/100,MONTH($A75)))*$B75</f>
        <v>-64587.370804394523</v>
      </c>
      <c r="X75" s="1021">
        <f>(VLOOKUP(YEAR($A75),'NY East Load Projections'!$A$4:$EO$14,((MONTH($A75)-1)*12)+VLOOKUP(X$4,$DE$6:$DF$17,2)+1))*(VLOOKUP($A75,CURVES!$D$9:$K$261,2))*(INDEX(DailyScalarsTable,X$5/100,MONTH($A75)))*$B75</f>
        <v>-64196.163582792782</v>
      </c>
      <c r="Y75" s="1021">
        <f>(VLOOKUP(YEAR($A75),'NY East Load Projections'!$A$4:$EO$14,((MONTH($A75)-1)*12)+VLOOKUP(Y$4,$DE$6:$DF$17,2)+1))*(VLOOKUP($A75,CURVES!$D$9:$K$261,2))*(INDEX(DailyScalarsTable,Y$5/100,MONTH($A75)))*$B75</f>
        <v>-86602.760696616024</v>
      </c>
      <c r="Z75" s="1021">
        <f>(VLOOKUP(YEAR($A75),'NY East Load Projections'!$A$4:$EO$14,((MONTH($A75)-1)*12)+VLOOKUP(Z$4,$DE$6:$DF$17,2)+1))*(VLOOKUP($A75,CURVES!$D$9:$K$261,2))*(INDEX(DailyScalarsTable,Z$5/100,MONTH($A75)))*$B75</f>
        <v>-87281.092461092485</v>
      </c>
      <c r="AA75" s="1021">
        <f>(VLOOKUP(YEAR($A75),'NY East Load Projections'!$A$4:$EO$14,((MONTH($A75)-1)*12)+VLOOKUP(AA$4,$DE$6:$DF$17,2)+1))*(VLOOKUP($A75,CURVES!$D$9:$K$261,2))*(INDEX(DailyScalarsTable,AA$5/100,MONTH($A75)))*$B75</f>
        <v>-83470.888507437528</v>
      </c>
      <c r="AB75" s="1021">
        <f>(VLOOKUP(YEAR($A75),'NY East Load Projections'!$A$4:$EO$14,((MONTH($A75)-1)*12)+VLOOKUP(AB$4,$DE$6:$DF$17,2)+1))*(VLOOKUP($A75,CURVES!$D$9:$K$261,2))*(INDEX(DailyScalarsTable,AB$5/100,MONTH($A75)))*$B75</f>
        <v>-68015.171664039866</v>
      </c>
      <c r="AC75" s="1021">
        <f>(VLOOKUP(YEAR($A75),'NY East Load Projections'!$A$4:$EO$14,((MONTH($A75)-1)*12)+VLOOKUP(AC$4,$DE$6:$DF$17,2)+1))*(VLOOKUP($A75,CURVES!$D$9:$K$261,2))*(INDEX(DailyScalarsTable,AC$5/100,MONTH($A75)))*$B75</f>
        <v>-56421.60418608303</v>
      </c>
      <c r="AD75" s="1021">
        <f>(VLOOKUP(YEAR($A75),'NY East Load Projections'!$A$4:$EO$14,((MONTH($A75)-1)*12)+VLOOKUP(AD$4,$DE$6:$DF$17,2)+1))*(VLOOKUP($A75,CURVES!$D$9:$K$261,2))*(INDEX(DailyScalarsTable,AD$5/100,MONTH($A75)))*$B75</f>
        <v>-48105.033004036057</v>
      </c>
      <c r="AE75" s="1021">
        <f>(VLOOKUP(YEAR($A75),'NY East Load Projections'!$A$4:$EO$14,((MONTH($A75)-1)*12)+VLOOKUP(AE$4,$DE$6:$DF$17,2)+1))*(VLOOKUP($A75,CURVES!$D$9:$K$261,6))*(INDEX(DailyScalarsTable,AE$5/100,MONTH($A75)))*$B75</f>
        <v>-43262.210966903949</v>
      </c>
      <c r="AF75" s="1021"/>
      <c r="AG75" s="1021">
        <f>(VLOOKUP(YEAR($A75),'NY East Load Projections'!$A$4:$EO$14,((MONTH($A75)-1)*12)+VLOOKUP(AG$4,$DE$6:$DF$17,2)+1))*(VLOOKUP($A75,CURVES!$D$9:$T$261,6))*(INDEX(DailyScalarsTable,AG$5/100,MONTH($A75)))*$C75</f>
        <v>-7097.5275914083004</v>
      </c>
      <c r="AH75" s="1021">
        <f>(VLOOKUP(YEAR($A75),'NY East Load Projections'!$A$4:$EO$14,((MONTH($A75)-1)*12)+VLOOKUP(AH$4,$DE$6:$DF$17,2)+1))*(VLOOKUP($A75,CURVES!$D$9:$T$261,6))*(INDEX(DailyScalarsTable,AH$5/100,MONTH($A75)))*$C75</f>
        <v>-6736.4843237252871</v>
      </c>
      <c r="AI75" s="1021">
        <f>(VLOOKUP(YEAR($A75),'NY East Load Projections'!$A$4:$EO$14,((MONTH($A75)-1)*12)+VLOOKUP(AI$4,$DE$6:$DF$17,2)+1))*(VLOOKUP($A75,CURVES!$D$9:$T$261,6))*(INDEX(DailyScalarsTable,AI$5/100,MONTH($A75)))*$C75</f>
        <v>-6471.12125948622</v>
      </c>
      <c r="AJ75" s="1021">
        <f>(VLOOKUP(YEAR($A75),'NY East Load Projections'!$A$4:$EO$14,((MONTH($A75)-1)*12)+VLOOKUP(AJ$4,$DE$6:$DF$17,2)+1))*(VLOOKUP($A75,CURVES!$D$9:$T$261,6))*(INDEX(DailyScalarsTable,AJ$5/100,MONTH($A75)))*$C75</f>
        <v>-6474.8587674332484</v>
      </c>
      <c r="AK75" s="1021">
        <f>(VLOOKUP(YEAR($A75),'NY East Load Projections'!$A$4:$EO$14,((MONTH($A75)-1)*12)+VLOOKUP(AK$4,$DE$6:$DF$17,2)+1))*(VLOOKUP($A75,CURVES!$D$9:$T$261,6))*(INDEX(DailyScalarsTable,AK$5/100,MONTH($A75)))*$C75</f>
        <v>-7023.1370589449671</v>
      </c>
      <c r="AL75" s="1021">
        <f>(VLOOKUP(YEAR($A75),'NY East Load Projections'!$A$4:$EO$14,((MONTH($A75)-1)*12)+VLOOKUP(AL$4,$DE$6:$DF$17,2)+1))*(VLOOKUP($A75,CURVES!$D$9:$T$261,6))*(INDEX(DailyScalarsTable,AL$5/100,MONTH($A75)))*$C75</f>
        <v>-8068.4588079233918</v>
      </c>
      <c r="AM75" s="1021">
        <f>(VLOOKUP(YEAR($A75),'NY East Load Projections'!$A$4:$EO$14,((MONTH($A75)-1)*12)+VLOOKUP(AM$4,$DE$6:$DF$17,2)+1))*(VLOOKUP($A75,CURVES!$D$9:$T$261,6))*(INDEX(DailyScalarsTable,AM$5/100,MONTH($A75)))*$C75</f>
        <v>-10430.476625049405</v>
      </c>
      <c r="AN75" s="1021">
        <f>(VLOOKUP(YEAR($A75),'NY East Load Projections'!$A$4:$EO$14,((MONTH($A75)-1)*12)+VLOOKUP(AN$4,$DE$6:$DF$17,2)+1))*(VLOOKUP($A75,SatSunCurve,2))*(INDEX(DailyScalarsTable,AN$5/100,MONTH($A75)))*$C75</f>
        <v>-9598.1316702316253</v>
      </c>
      <c r="AO75" s="1021">
        <f>(VLOOKUP(YEAR($A75),'NY East Load Projections'!$A$4:$EO$14,((MONTH($A75)-1)*12)+VLOOKUP(AO$4,$DE$6:$DF$17,2)+1))*(VLOOKUP($A75,SatSunCurve,2))*(INDEX(DailyScalarsTable,AO$5/100,MONTH($A75)))*$C75</f>
        <v>-11358.968314780172</v>
      </c>
      <c r="AP75" s="1021">
        <f>(VLOOKUP(YEAR($A75),'NY East Load Projections'!$A$4:$EO$14,((MONTH($A75)-1)*12)+VLOOKUP(AP$4,$DE$6:$DF$17,2)+1))*(VLOOKUP($A75,SatSunCurve,2))*(INDEX(DailyScalarsTable,AP$5/100,MONTH($A75)))*$C75</f>
        <v>-11323.866434944634</v>
      </c>
      <c r="AQ75" s="1021">
        <f>(VLOOKUP(YEAR($A75),'NY East Load Projections'!$A$4:$EO$14,((MONTH($A75)-1)*12)+VLOOKUP(AQ$4,$DE$6:$DF$17,2)+1))*(VLOOKUP($A75,SatSunCurve,2))*(INDEX(DailyScalarsTable,AQ$5/100,MONTH($A75)))*$C75</f>
        <v>-11259.68014038822</v>
      </c>
      <c r="AR75" s="1021">
        <f>(VLOOKUP(YEAR($A75),'NY East Load Projections'!$A$4:$EO$14,((MONTH($A75)-1)*12)+VLOOKUP(AR$4,$DE$6:$DF$17,2)+1))*(VLOOKUP($A75,SatSunCurve,2))*(INDEX(DailyScalarsTable,AR$5/100,MONTH($A75)))*$C75</f>
        <v>-9501.5774160539768</v>
      </c>
      <c r="AS75" s="1021">
        <f>(VLOOKUP(YEAR($A75),'NY East Load Projections'!$A$4:$EO$14,((MONTH($A75)-1)*12)+VLOOKUP(AS$4,$DE$6:$DF$17,2)+1))*(VLOOKUP($A75,SatSunCurve,2))*(INDEX(DailyScalarsTable,AS$5/100,MONTH($A75)))*$C75</f>
        <v>-9138.8903380509328</v>
      </c>
      <c r="AT75" s="1021">
        <f>(VLOOKUP(YEAR($A75),'NY East Load Projections'!$A$4:$EO$14,((MONTH($A75)-1)*12)+VLOOKUP(AT$4,$DE$6:$DF$17,2)+1))*(VLOOKUP($A75,SatSunCurve,2))*(INDEX(DailyScalarsTable,AT$5/100,MONTH($A75)))*$C75</f>
        <v>-8885.2319591882988</v>
      </c>
      <c r="AU75" s="1021">
        <f>(VLOOKUP(YEAR($A75),'NY East Load Projections'!$A$4:$EO$14,((MONTH($A75)-1)*12)+VLOOKUP(AU$4,$DE$6:$DF$17,2)+1))*(VLOOKUP($A75,SatSunCurve,2))*(INDEX(DailyScalarsTable,AU$5/100,MONTH($A75)))*$C75</f>
        <v>-8678.8136023000825</v>
      </c>
      <c r="AV75" s="1021">
        <f>(VLOOKUP(YEAR($A75),'NY East Load Projections'!$A$4:$EO$14,((MONTH($A75)-1)*12)+VLOOKUP(AV$4,$DE$6:$DF$17,2)+1))*(VLOOKUP($A75,SatSunCurve,2))*(INDEX(DailyScalarsTable,AV$5/100,MONTH($A75)))*$C75</f>
        <v>-8619.2500963323382</v>
      </c>
      <c r="AW75" s="1021">
        <f>(VLOOKUP(YEAR($A75),'NY East Load Projections'!$A$4:$EO$14,((MONTH($A75)-1)*12)+VLOOKUP(AW$4,$DE$6:$DF$17,2)+1))*(VLOOKUP($A75,SatSunCurve,2))*(INDEX(DailyScalarsTable,AW$5/100,MONTH($A75)))*$C75</f>
        <v>-8516.6107842538368</v>
      </c>
      <c r="AX75" s="1021">
        <f>(VLOOKUP(YEAR($A75),'NY East Load Projections'!$A$4:$EO$14,((MONTH($A75)-1)*12)+VLOOKUP(AX$4,$DE$6:$DF$17,2)+1))*(VLOOKUP($A75,SatSunCurve,2))*(INDEX(DailyScalarsTable,AX$5/100,MONTH($A75)))*$C75</f>
        <v>-11489.191324396392</v>
      </c>
      <c r="AY75" s="1021">
        <f>(VLOOKUP(YEAR($A75),'NY East Load Projections'!$A$4:$EO$14,((MONTH($A75)-1)*12)+VLOOKUP(AY$4,$DE$6:$DF$17,2)+1))*(VLOOKUP($A75,SatSunCurve,2))*(INDEX(DailyScalarsTable,AY$5/100,MONTH($A75)))*$C75</f>
        <v>-11579.182490506988</v>
      </c>
      <c r="AZ75" s="1021">
        <f>(VLOOKUP(YEAR($A75),'NY East Load Projections'!$A$4:$EO$14,((MONTH($A75)-1)*12)+VLOOKUP(AZ$4,$DE$6:$DF$17,2)+1))*(VLOOKUP($A75,SatSunCurve,2))*(INDEX(DailyScalarsTable,AZ$5/100,MONTH($A75)))*$C75</f>
        <v>-11073.700195758111</v>
      </c>
      <c r="BA75" s="1021">
        <f>(VLOOKUP(YEAR($A75),'NY East Load Projections'!$A$4:$EO$14,((MONTH($A75)-1)*12)+VLOOKUP(BA$4,$DE$6:$DF$17,2)+1))*(VLOOKUP($A75,SatSunCurve,2))*(INDEX(DailyScalarsTable,BA$5/100,MONTH($A75)))*$C75</f>
        <v>-9755.6305805163483</v>
      </c>
      <c r="BB75" s="1021">
        <f>(VLOOKUP(YEAR($A75),'NY East Load Projections'!$A$4:$EO$14,((MONTH($A75)-1)*12)+VLOOKUP(BB$4,$DE$6:$DF$17,2)+1))*(VLOOKUP($A75,SatSunCurve,2))*(INDEX(DailyScalarsTable,BB$5/100,MONTH($A75)))*$C75</f>
        <v>-8092.7286329346498</v>
      </c>
      <c r="BC75" s="1021">
        <f>(VLOOKUP(YEAR($A75),'NY East Load Projections'!$A$4:$EO$14,((MONTH($A75)-1)*12)+VLOOKUP(BC$4,$DE$6:$DF$17,2)+1))*(VLOOKUP($A75,SatSunCurve,2))*(INDEX(DailyScalarsTable,BC$5/100,MONTH($A75)))*$C75</f>
        <v>-6899.8565991864161</v>
      </c>
      <c r="BD75" s="1021">
        <f>(VLOOKUP(YEAR($A75),'NY East Load Projections'!$A$4:$EO$14,((MONTH($A75)-1)*12)+VLOOKUP(BD$4,$DE$6:$DF$17,2)+1))*(VLOOKUP($A75,CURVES!$D$9:$T$261,6))*(INDEX(DailyScalarsTable,BD$5/100,MONTH($A75)))*$C75</f>
        <v>-8037.728665979168</v>
      </c>
      <c r="BE75" s="1021"/>
      <c r="BF75" s="1021">
        <f>(VLOOKUP(YEAR($A75),'NY East Load Projections'!$A$4:$EO$14,((MONTH($A75)-1)*12)+VLOOKUP(BF$4,$DE$6:$DF$17,2)+1))*(VLOOKUP($A75,CURVES!$D$9:$T$261,6))*(INDEX(DailyScalarsTable,BF$5/100,MONTH($A75)))*$D75</f>
        <v>-8871.9094892603753</v>
      </c>
      <c r="BG75" s="1021">
        <f>(VLOOKUP(YEAR($A75),'NY East Load Projections'!$A$4:$EO$14,((MONTH($A75)-1)*12)+VLOOKUP(BG$4,$DE$6:$DF$17,2)+1))*(VLOOKUP($A75,CURVES!$D$9:$T$261,6))*(INDEX(DailyScalarsTable,BG$5/100,MONTH($A75)))*$D75</f>
        <v>-8420.6054046566096</v>
      </c>
      <c r="BH75" s="1021">
        <f>(VLOOKUP(YEAR($A75),'NY East Load Projections'!$A$4:$EO$14,((MONTH($A75)-1)*12)+VLOOKUP(BH$4,$DE$6:$DF$17,2)+1))*(VLOOKUP($A75,CURVES!$D$9:$T$261,6))*(INDEX(DailyScalarsTable,BH$5/100,MONTH($A75)))*$D75</f>
        <v>-8088.9015743577747</v>
      </c>
      <c r="BI75" s="1021">
        <f>(VLOOKUP(YEAR($A75),'NY East Load Projections'!$A$4:$EO$14,((MONTH($A75)-1)*12)+VLOOKUP(BI$4,$DE$6:$DF$17,2)+1))*(VLOOKUP($A75,CURVES!$D$9:$T$261,6))*(INDEX(DailyScalarsTable,BI$5/100,MONTH($A75)))*$D75</f>
        <v>-8093.5734592915605</v>
      </c>
      <c r="BJ75" s="1021">
        <f>(VLOOKUP(YEAR($A75),'NY East Load Projections'!$A$4:$EO$14,((MONTH($A75)-1)*12)+VLOOKUP(BJ$4,$DE$6:$DF$17,2)+1))*(VLOOKUP($A75,CURVES!$D$9:$T$261,6))*(INDEX(DailyScalarsTable,BJ$5/100,MONTH($A75)))*$D75</f>
        <v>-8778.9213236812084</v>
      </c>
      <c r="BK75" s="1021">
        <f>(VLOOKUP(YEAR($A75),'NY East Load Projections'!$A$4:$EO$14,((MONTH($A75)-1)*12)+VLOOKUP(BK$4,$DE$6:$DF$17,2)+1))*(VLOOKUP($A75,CURVES!$D$9:$T$261,6))*(INDEX(DailyScalarsTable,BK$5/100,MONTH($A75)))*$D75</f>
        <v>-10085.573509904239</v>
      </c>
      <c r="BL75" s="1021">
        <f>(VLOOKUP(YEAR($A75),'NY East Load Projections'!$A$4:$EO$14,((MONTH($A75)-1)*12)+VLOOKUP(BL$4,$DE$6:$DF$17,2)+1))*(VLOOKUP($A75,CURVES!$D$9:$T$261,6))*(INDEX(DailyScalarsTable,BL$5/100,MONTH($A75)))*$D75</f>
        <v>-13038.095781311757</v>
      </c>
      <c r="BM75" s="1021">
        <f>(VLOOKUP(YEAR($A75),'NY East Load Projections'!$A$4:$EO$14,((MONTH($A75)-1)*12)+VLOOKUP(BM$4,$DE$6:$DF$17,2)+1))*(VLOOKUP($A75,SatSunCurve,6))*(INDEX(DailyScalarsTable,BM$5/100,MONTH($A75)))*$D75</f>
        <v>-9624.7427598007544</v>
      </c>
      <c r="BN75" s="1021">
        <f>(VLOOKUP(YEAR($A75),'NY East Load Projections'!$A$4:$EO$14,((MONTH($A75)-1)*12)+VLOOKUP(BN$4,$DE$6:$DF$17,2)+1))*(VLOOKUP($A75,SatSunCurve,6))*(INDEX(DailyScalarsTable,BN$5/100,MONTH($A75)))*$D75</f>
        <v>-11390.461373390215</v>
      </c>
      <c r="BO75" s="1021">
        <f>(VLOOKUP(YEAR($A75),'NY East Load Projections'!$A$4:$EO$14,((MONTH($A75)-1)*12)+VLOOKUP(BO$4,$DE$6:$DF$17,2)+1))*(VLOOKUP($A75,SatSunCurve,6))*(INDEX(DailyScalarsTable,BO$5/100,MONTH($A75)))*$D75</f>
        <v>-11355.262172607179</v>
      </c>
      <c r="BP75" s="1021">
        <f>(VLOOKUP(YEAR($A75),'NY East Load Projections'!$A$4:$EO$14,((MONTH($A75)-1)*12)+VLOOKUP(BP$4,$DE$6:$DF$17,2)+1))*(VLOOKUP($A75,SatSunCurve,6))*(INDEX(DailyScalarsTable,BP$5/100,MONTH($A75)))*$D75</f>
        <v>-11290.897919746771</v>
      </c>
      <c r="BQ75" s="1021">
        <f>(VLOOKUP(YEAR($A75),'NY East Load Projections'!$A$4:$EO$14,((MONTH($A75)-1)*12)+VLOOKUP(BQ$4,$DE$6:$DF$17,2)+1))*(VLOOKUP($A75,SatSunCurve,6))*(INDEX(DailyScalarsTable,BQ$5/100,MONTH($A75)))*$D75</f>
        <v>-9527.9208062421767</v>
      </c>
      <c r="BR75" s="1021">
        <f>(VLOOKUP(YEAR($A75),'NY East Load Projections'!$A$4:$EO$14,((MONTH($A75)-1)*12)+VLOOKUP(BR$4,$DE$6:$DF$17,2)+1))*(VLOOKUP($A75,SatSunCurve,6))*(INDEX(DailyScalarsTable,BR$5/100,MONTH($A75)))*$D75</f>
        <v>-9164.2281681311961</v>
      </c>
      <c r="BS75" s="1021">
        <f>(VLOOKUP(YEAR($A75),'NY East Load Projections'!$A$4:$EO$14,((MONTH($A75)-1)*12)+VLOOKUP(BS$4,$DE$6:$DF$17,2)+1))*(VLOOKUP($A75,SatSunCurve,6))*(INDEX(DailyScalarsTable,BS$5/100,MONTH($A75)))*$D75</f>
        <v>-8909.8665142904938</v>
      </c>
      <c r="BT75" s="1021">
        <f>(VLOOKUP(YEAR($A75),'NY East Load Projections'!$A$4:$EO$14,((MONTH($A75)-1)*12)+VLOOKUP(BT$4,$DE$6:$DF$17,2)+1))*(VLOOKUP($A75,SatSunCurve,6))*(INDEX(DailyScalarsTable,BT$5/100,MONTH($A75)))*$D75</f>
        <v>-8702.8758567116238</v>
      </c>
      <c r="BU75" s="1021">
        <f>(VLOOKUP(YEAR($A75),'NY East Load Projections'!$A$4:$EO$14,((MONTH($A75)-1)*12)+VLOOKUP(BU$4,$DE$6:$DF$17,2)+1))*(VLOOKUP($A75,SatSunCurve,6))*(INDEX(DailyScalarsTable,BU$5/100,MONTH($A75)))*$D75</f>
        <v>-8643.1472092510539</v>
      </c>
      <c r="BV75" s="1021">
        <f>(VLOOKUP(YEAR($A75),'NY East Load Projections'!$A$4:$EO$14,((MONTH($A75)-1)*12)+VLOOKUP(BV$4,$DE$6:$DF$17,2)+1))*(VLOOKUP($A75,SatSunCurve,6))*(INDEX(DailyScalarsTable,BV$5/100,MONTH($A75)))*$D75</f>
        <v>-8540.2233267977244</v>
      </c>
      <c r="BW75" s="1021">
        <f>(VLOOKUP(YEAR($A75),'NY East Load Projections'!$A$4:$EO$14,((MONTH($A75)-1)*12)+VLOOKUP(BW$4,$DE$6:$DF$17,2)+1))*(VLOOKUP($A75,SatSunCurve,6))*(INDEX(DailyScalarsTable,BW$5/100,MONTH($A75)))*$D75</f>
        <v>-11521.045429957228</v>
      </c>
      <c r="BX75" s="1021">
        <f>(VLOOKUP(YEAR($A75),'NY East Load Projections'!$A$4:$EO$14,((MONTH($A75)-1)*12)+VLOOKUP(BX$4,$DE$6:$DF$17,2)+1))*(VLOOKUP($A75,SatSunCurve,6))*(INDEX(DailyScalarsTable,BX$5/100,MONTH($A75)))*$D75</f>
        <v>-11611.286099102799</v>
      </c>
      <c r="BY75" s="1021">
        <f>(VLOOKUP(YEAR($A75),'NY East Load Projections'!$A$4:$EO$14,((MONTH($A75)-1)*12)+VLOOKUP(BY$4,$DE$6:$DF$17,2)+1))*(VLOOKUP($A75,SatSunCurve,6))*(INDEX(DailyScalarsTable,BY$5/100,MONTH($A75)))*$D75</f>
        <v>-11104.402340497898</v>
      </c>
      <c r="BZ75" s="1021">
        <f>(VLOOKUP(YEAR($A75),'NY East Load Projections'!$A$4:$EO$14,((MONTH($A75)-1)*12)+VLOOKUP(BZ$4,$DE$6:$DF$17,2)+1))*(VLOOKUP($A75,SatSunCurve,6))*(INDEX(DailyScalarsTable,BZ$5/100,MONTH($A75)))*$D75</f>
        <v>-9782.6783402367764</v>
      </c>
      <c r="CA75" s="1021">
        <f>(VLOOKUP(YEAR($A75),'NY East Load Projections'!$A$4:$EO$14,((MONTH($A75)-1)*12)+VLOOKUP(CA$4,$DE$6:$DF$17,2)+1))*(VLOOKUP($A75,SatSunCurve,6))*(INDEX(DailyScalarsTable,CA$5/100,MONTH($A75)))*$D75</f>
        <v>-8115.1659503114897</v>
      </c>
      <c r="CB75" s="1021">
        <f>(VLOOKUP(YEAR($A75),'NY East Load Projections'!$A$4:$EO$14,((MONTH($A75)-1)*12)+VLOOKUP(CB$4,$DE$6:$DF$17,2)+1))*(VLOOKUP($A75,SatSunCurve,6))*(INDEX(DailyScalarsTable,CB$5/100,MONTH($A75)))*$D75</f>
        <v>-6918.9866453541063</v>
      </c>
      <c r="CC75" s="1021">
        <f>(VLOOKUP(YEAR($A75),'NY East Load Projections'!$A$4:$EO$14,((MONTH($A75)-1)*12)+VLOOKUP(CC$4,$DE$6:$DF$17,2)+1))*(VLOOKUP($A75,CURVES!$D$9:$T$261,6))*(INDEX(DailyScalarsTable,CC$5/100,MONTH($A75)))*$D75</f>
        <v>-10047.160832473961</v>
      </c>
      <c r="CE75" s="1021">
        <f>(VLOOKUP(YEAR($A75),'NY East Load Projections'!$A$4:$EO$14,((MONTH($A75)-1)*12)+VLOOKUP(CE$4,$DE$6:$DF$17,2)+1))*(VLOOKUP($A75,CURVES!$D$9:$T$261,6))*(INDEX(DailyScalarsTable,CE$5/100,MONTH($A75)))*$E75</f>
        <v>0</v>
      </c>
      <c r="CF75" s="1021">
        <f>(VLOOKUP(YEAR($A75),'NY East Load Projections'!$A$4:$EO$14,((MONTH($A75)-1)*12)+VLOOKUP(CF$4,$DE$6:$DF$17,2)+1))*(VLOOKUP($A75,CURVES!$D$9:$T$261,6))*(INDEX(DailyScalarsTable,CF$5/100,MONTH($A75)))*$E75</f>
        <v>0</v>
      </c>
      <c r="CG75" s="1021">
        <f>(VLOOKUP(YEAR($A75),'NY East Load Projections'!$A$4:$EO$14,((MONTH($A75)-1)*12)+VLOOKUP(CG$4,$DE$6:$DF$17,2)+1))*(VLOOKUP($A75,CURVES!$D$9:$T$261,6))*(INDEX(DailyScalarsTable,CG$5/100,MONTH($A75)))*$E75</f>
        <v>0</v>
      </c>
      <c r="CH75" s="1021">
        <f>(VLOOKUP(YEAR($A75),'NY East Load Projections'!$A$4:$EO$14,((MONTH($A75)-1)*12)+VLOOKUP(CH$4,$DE$6:$DF$17,2)+1))*(VLOOKUP($A75,CURVES!$D$9:$T$261,6))*(INDEX(DailyScalarsTable,CH$5/100,MONTH($A75)))*$E75</f>
        <v>0</v>
      </c>
      <c r="CI75" s="1021">
        <f>(VLOOKUP(YEAR($A75),'NY East Load Projections'!$A$4:$EO$14,((MONTH($A75)-1)*12)+VLOOKUP(CI$4,$DE$6:$DF$17,2)+1))*(VLOOKUP($A75,CURVES!$D$9:$T$261,6))*(INDEX(DailyScalarsTable,CI$5/100,MONTH($A75)))*$E75</f>
        <v>0</v>
      </c>
      <c r="CJ75" s="1021">
        <f>(VLOOKUP(YEAR($A75),'NY East Load Projections'!$A$4:$EO$14,((MONTH($A75)-1)*12)+VLOOKUP(CJ$4,$DE$6:$DF$17,2)+1))*(VLOOKUP($A75,CURVES!$D$9:$T$261,6))*(INDEX(DailyScalarsTable,CJ$5/100,MONTH($A75)))*$E75</f>
        <v>0</v>
      </c>
      <c r="CK75" s="1021">
        <f>(VLOOKUP(YEAR($A75),'NY East Load Projections'!$A$4:$EO$14,((MONTH($A75)-1)*12)+VLOOKUP(CK$4,$DE$6:$DF$17,2)+1))*(VLOOKUP($A75,CURVES!$D$9:$T$261,6))*(INDEX(DailyScalarsTable,CK$5/100,MONTH($A75)))*$E75</f>
        <v>0</v>
      </c>
      <c r="CL75" s="1021">
        <f>(VLOOKUP(YEAR($A75),'NY East Load Projections'!$A$4:$EO$14,((MONTH($A75)-1)*12)+VLOOKUP(CL$4,$DE$6:$DF$17,2)+1))*(VLOOKUP($A75,SatSunCurve,6))*(INDEX(DailyScalarsTable,CL$5/100,MONTH($A75)))*$E75</f>
        <v>0</v>
      </c>
      <c r="CM75" s="1021">
        <f>(VLOOKUP(YEAR($A75),'NY East Load Projections'!$A$4:$EO$14,((MONTH($A75)-1)*12)+VLOOKUP(CM$4,$DE$6:$DF$17,2)+1))*(VLOOKUP($A75,SatSunCurve,6))*(INDEX(DailyScalarsTable,CM$5/100,MONTH($A75)))*$E75</f>
        <v>0</v>
      </c>
      <c r="CN75" s="1021">
        <f>(VLOOKUP(YEAR($A75),'NY East Load Projections'!$A$4:$EO$14,((MONTH($A75)-1)*12)+VLOOKUP(CN$4,$DE$6:$DF$17,2)+1))*(VLOOKUP($A75,SatSunCurve,6))*(INDEX(DailyScalarsTable,CN$5/100,MONTH($A75)))*$E75</f>
        <v>0</v>
      </c>
      <c r="CO75" s="1021">
        <f>(VLOOKUP(YEAR($A75),'NY East Load Projections'!$A$4:$EO$14,((MONTH($A75)-1)*12)+VLOOKUP(CO$4,$DE$6:$DF$17,2)+1))*(VLOOKUP($A75,SatSunCurve,6))*(INDEX(DailyScalarsTable,CO$5/100,MONTH($A75)))*$E75</f>
        <v>0</v>
      </c>
      <c r="CP75" s="1021">
        <f>(VLOOKUP(YEAR($A75),'NY East Load Projections'!$A$4:$EO$14,((MONTH($A75)-1)*12)+VLOOKUP(CP$4,$DE$6:$DF$17,2)+1))*(VLOOKUP($A75,SatSunCurve,6))*(INDEX(DailyScalarsTable,CP$5/100,MONTH($A75)))*$E75</f>
        <v>0</v>
      </c>
      <c r="CQ75" s="1021">
        <f>(VLOOKUP(YEAR($A75),'NY East Load Projections'!$A$4:$EO$14,((MONTH($A75)-1)*12)+VLOOKUP(CQ$4,$DE$6:$DF$17,2)+1))*(VLOOKUP($A75,SatSunCurve,6))*(INDEX(DailyScalarsTable,CQ$5/100,MONTH($A75)))*$E75</f>
        <v>0</v>
      </c>
      <c r="CR75" s="1021">
        <f>(VLOOKUP(YEAR($A75),'NY East Load Projections'!$A$4:$EO$14,((MONTH($A75)-1)*12)+VLOOKUP(CR$4,$DE$6:$DF$17,2)+1))*(VLOOKUP($A75,SatSunCurve,6))*(INDEX(DailyScalarsTable,CR$5/100,MONTH($A75)))*$E75</f>
        <v>0</v>
      </c>
      <c r="CS75" s="1021">
        <f>(VLOOKUP(YEAR($A75),'NY East Load Projections'!$A$4:$EO$14,((MONTH($A75)-1)*12)+VLOOKUP(CS$4,$DE$6:$DF$17,2)+1))*(VLOOKUP($A75,SatSunCurve,6))*(INDEX(DailyScalarsTable,CS$5/100,MONTH($A75)))*$E75</f>
        <v>0</v>
      </c>
      <c r="CT75" s="1021">
        <f>(VLOOKUP(YEAR($A75),'NY East Load Projections'!$A$4:$EO$14,((MONTH($A75)-1)*12)+VLOOKUP(CT$4,$DE$6:$DF$17,2)+1))*(VLOOKUP($A75,SatSunCurve,6))*(INDEX(DailyScalarsTable,CT$5/100,MONTH($A75)))*$E75</f>
        <v>0</v>
      </c>
      <c r="CU75" s="1021">
        <f>(VLOOKUP(YEAR($A75),'NY East Load Projections'!$A$4:$EO$14,((MONTH($A75)-1)*12)+VLOOKUP(CU$4,$DE$6:$DF$17,2)+1))*(VLOOKUP($A75,SatSunCurve,6))*(INDEX(DailyScalarsTable,CU$5/100,MONTH($A75)))*$E75</f>
        <v>0</v>
      </c>
      <c r="CV75" s="1021">
        <f>(VLOOKUP(YEAR($A75),'NY East Load Projections'!$A$4:$EO$14,((MONTH($A75)-1)*12)+VLOOKUP(CV$4,$DE$6:$DF$17,2)+1))*(VLOOKUP($A75,SatSunCurve,6))*(INDEX(DailyScalarsTable,CV$5/100,MONTH($A75)))*$E75</f>
        <v>0</v>
      </c>
      <c r="CW75" s="1021">
        <f>(VLOOKUP(YEAR($A75),'NY East Load Projections'!$A$4:$EO$14,((MONTH($A75)-1)*12)+VLOOKUP(CW$4,$DE$6:$DF$17,2)+1))*(VLOOKUP($A75,SatSunCurve,6))*(INDEX(DailyScalarsTable,CW$5/100,MONTH($A75)))*$E75</f>
        <v>0</v>
      </c>
      <c r="CX75" s="1021">
        <f>(VLOOKUP(YEAR($A75),'NY East Load Projections'!$A$4:$EO$14,((MONTH($A75)-1)*12)+VLOOKUP(CX$4,$DE$6:$DF$17,2)+1))*(VLOOKUP($A75,SatSunCurve,6))*(INDEX(DailyScalarsTable,CX$5/100,MONTH($A75)))*$E75</f>
        <v>0</v>
      </c>
      <c r="CY75" s="1021">
        <f>(VLOOKUP(YEAR($A75),'NY East Load Projections'!$A$4:$EO$14,((MONTH($A75)-1)*12)+VLOOKUP(CY$4,$DE$6:$DF$17,2)+1))*(VLOOKUP($A75,SatSunCurve,6))*(INDEX(DailyScalarsTable,CY$5/100,MONTH($A75)))*$E75</f>
        <v>0</v>
      </c>
      <c r="CZ75" s="1021">
        <f>(VLOOKUP(YEAR($A75),'NY East Load Projections'!$A$4:$EO$14,((MONTH($A75)-1)*12)+VLOOKUP(CZ$4,$DE$6:$DF$17,2)+1))*(VLOOKUP($A75,SatSunCurve,6))*(INDEX(DailyScalarsTable,CZ$5/100,MONTH($A75)))*$E75</f>
        <v>0</v>
      </c>
      <c r="DA75" s="1021">
        <f>(VLOOKUP(YEAR($A75),'NY East Load Projections'!$A$4:$EO$14,((MONTH($A75)-1)*12)+VLOOKUP(DA$4,$DE$6:$DF$17,2)+1))*(VLOOKUP($A75,SatSunCurve,6))*(INDEX(DailyScalarsTable,DA$5/100,MONTH($A75)))*$E75</f>
        <v>0</v>
      </c>
      <c r="DB75" s="1021">
        <f>(VLOOKUP(YEAR($A75),'NY East Load Projections'!$A$4:$EO$14,((MONTH($A75)-1)*12)+VLOOKUP(DB$4,$DE$6:$DF$17,2)+1))*(VLOOKUP($A75,CURVES!$D$9:$T$261,6))*(INDEX(DailyScalarsTable,DB$5/100,MONTH($A75)))*$E75</f>
        <v>0</v>
      </c>
      <c r="DH75" s="1021">
        <f t="shared" si="2"/>
        <v>-1929817.7731084065</v>
      </c>
      <c r="DI75">
        <f ca="1">CALC!J95</f>
        <v>0.61555482530266015</v>
      </c>
      <c r="DJ75" s="1029">
        <f t="shared" ca="1" si="3"/>
        <v>-1187908.6421917137</v>
      </c>
    </row>
    <row r="76" spans="1:114" x14ac:dyDescent="0.25">
      <c r="A76" s="244">
        <v>39022</v>
      </c>
      <c r="B76" s="13">
        <v>21</v>
      </c>
      <c r="C76" s="210">
        <v>4</v>
      </c>
      <c r="D76" s="210">
        <v>4</v>
      </c>
      <c r="E76" s="210">
        <v>1</v>
      </c>
      <c r="F76" s="13">
        <v>30</v>
      </c>
      <c r="H76" s="1021">
        <f>(VLOOKUP(YEAR($A76),'NY East Load Projections'!$A$4:$EO$14,((MONTH($A76)-1)*12)+VLOOKUP(H$4,$DE$6:$DF$17,2)+1))*(VLOOKUP($A76,CURVES!$D$9:$K$261,6))*(INDEX(DailyScalarsTable,H$5/100,MONTH($A76)))*$B76</f>
        <v>-33889.346957001588</v>
      </c>
      <c r="I76" s="1021">
        <f>(VLOOKUP(YEAR($A76),'NY East Load Projections'!$A$4:$EO$14,((MONTH($A76)-1)*12)+VLOOKUP(I$4,$DE$6:$DF$17,2)+1))*(VLOOKUP($A76,CURVES!$D$9:$K$261,6))*(INDEX(DailyScalarsTable,I$5/100,MONTH($A76)))*$B76</f>
        <v>-32128.340547078864</v>
      </c>
      <c r="J76" s="1021">
        <f>(VLOOKUP(YEAR($A76),'NY East Load Projections'!$A$4:$EO$14,((MONTH($A76)-1)*12)+VLOOKUP(J$4,$DE$6:$DF$17,2)+1))*(VLOOKUP($A76,CURVES!$D$9:$K$261,6))*(INDEX(DailyScalarsTable,J$5/100,MONTH($A76)))*$B76</f>
        <v>-30834.019065665674</v>
      </c>
      <c r="K76" s="1021">
        <f>(VLOOKUP(YEAR($A76),'NY East Load Projections'!$A$4:$EO$14,((MONTH($A76)-1)*12)+VLOOKUP(K$4,$DE$6:$DF$17,2)+1))*(VLOOKUP($A76,CURVES!$D$9:$K$261,6))*(INDEX(DailyScalarsTable,K$5/100,MONTH($A76)))*$B76</f>
        <v>-30852.24894568558</v>
      </c>
      <c r="L76" s="1021">
        <f>(VLOOKUP(YEAR($A76),'NY East Load Projections'!$A$4:$EO$14,((MONTH($A76)-1)*12)+VLOOKUP(L$4,$DE$6:$DF$17,2)+1))*(VLOOKUP($A76,CURVES!$D$9:$K$261,6))*(INDEX(DailyScalarsTable,L$5/100,MONTH($A76)))*$B76</f>
        <v>-36088.367719311296</v>
      </c>
      <c r="M76" s="1021">
        <f>(VLOOKUP(YEAR($A76),'NY East Load Projections'!$A$4:$EO$14,((MONTH($A76)-1)*12)+VLOOKUP(M$4,$DE$6:$DF$17,2)+1))*(VLOOKUP($A76,CURVES!$D$9:$K$261,6))*(INDEX(DailyScalarsTable,M$5/100,MONTH($A76)))*$B76</f>
        <v>-41578.258407113863</v>
      </c>
      <c r="N76" s="1021">
        <f>(VLOOKUP(YEAR($A76),'NY East Load Projections'!$A$4:$EO$14,((MONTH($A76)-1)*12)+VLOOKUP(N$4,$DE$6:$DF$17,2)+1))*(VLOOKUP($A76,CURVES!$D$9:$K$261,6))*(INDEX(DailyScalarsTable,N$5/100,MONTH($A76)))*$B76</f>
        <v>-59556.754669707327</v>
      </c>
      <c r="O76" s="1021">
        <f>(VLOOKUP(YEAR($A76),'NY East Load Projections'!$A$4:$EO$14,((MONTH($A76)-1)*12)+VLOOKUP(O$4,$DE$6:$DF$17,2)+1))*(VLOOKUP($A76,CURVES!$D$9:$K$261,2))*(INDEX(DailyScalarsTable,O$5/100,MONTH($A76)))*$B76</f>
        <v>-67008.643885448881</v>
      </c>
      <c r="P76" s="1021">
        <f>(VLOOKUP(YEAR($A76),'NY East Load Projections'!$A$4:$EO$14,((MONTH($A76)-1)*12)+VLOOKUP(P$4,$DE$6:$DF$17,2)+1))*(VLOOKUP($A76,CURVES!$D$9:$K$261,2))*(INDEX(DailyScalarsTable,P$5/100,MONTH($A76)))*$B76</f>
        <v>-78041.544280001006</v>
      </c>
      <c r="Q76" s="1021">
        <f>(VLOOKUP(YEAR($A76),'NY East Load Projections'!$A$4:$EO$14,((MONTH($A76)-1)*12)+VLOOKUP(Q$4,$DE$6:$DF$17,2)+1))*(VLOOKUP($A76,CURVES!$D$9:$K$261,2))*(INDEX(DailyScalarsTable,Q$5/100,MONTH($A76)))*$B76</f>
        <v>-77536.111558425633</v>
      </c>
      <c r="R76" s="1021">
        <f>(VLOOKUP(YEAR($A76),'NY East Load Projections'!$A$4:$EO$14,((MONTH($A76)-1)*12)+VLOOKUP(R$4,$DE$6:$DF$17,2)+1))*(VLOOKUP($A76,CURVES!$D$9:$K$261,2))*(INDEX(DailyScalarsTable,R$5/100,MONTH($A76)))*$B76</f>
        <v>-76040.303909439099</v>
      </c>
      <c r="S76" s="1021">
        <f>(VLOOKUP(YEAR($A76),'NY East Load Projections'!$A$4:$EO$14,((MONTH($A76)-1)*12)+VLOOKUP(S$4,$DE$6:$DF$17,2)+1))*(VLOOKUP($A76,CURVES!$D$9:$K$261,2))*(INDEX(DailyScalarsTable,S$5/100,MONTH($A76)))*$B76</f>
        <v>-64026.0315141545</v>
      </c>
      <c r="T76" s="1021">
        <f>(VLOOKUP(YEAR($A76),'NY East Load Projections'!$A$4:$EO$14,((MONTH($A76)-1)*12)+VLOOKUP(T$4,$DE$6:$DF$17,2)+1))*(VLOOKUP($A76,CURVES!$D$9:$K$261,2))*(INDEX(DailyScalarsTable,T$5/100,MONTH($A76)))*$B76</f>
        <v>-61882.626436297323</v>
      </c>
      <c r="U76" s="1021">
        <f>(VLOOKUP(YEAR($A76),'NY East Load Projections'!$A$4:$EO$14,((MONTH($A76)-1)*12)+VLOOKUP(U$4,$DE$6:$DF$17,2)+1))*(VLOOKUP($A76,CURVES!$D$9:$K$261,2))*(INDEX(DailyScalarsTable,U$5/100,MONTH($A76)))*$B76</f>
        <v>-60221.488995431704</v>
      </c>
      <c r="V76" s="1021">
        <f>(VLOOKUP(YEAR($A76),'NY East Load Projections'!$A$4:$EO$14,((MONTH($A76)-1)*12)+VLOOKUP(V$4,$DE$6:$DF$17,2)+1))*(VLOOKUP($A76,CURVES!$D$9:$K$261,2))*(INDEX(DailyScalarsTable,V$5/100,MONTH($A76)))*$B76</f>
        <v>-58812.676229127959</v>
      </c>
      <c r="W76" s="1021">
        <f>(VLOOKUP(YEAR($A76),'NY East Load Projections'!$A$4:$EO$14,((MONTH($A76)-1)*12)+VLOOKUP(W$4,$DE$6:$DF$17,2)+1))*(VLOOKUP($A76,CURVES!$D$9:$K$261,2))*(INDEX(DailyScalarsTable,W$5/100,MONTH($A76)))*$B76</f>
        <v>-57845.431643307493</v>
      </c>
      <c r="X76" s="1021">
        <f>(VLOOKUP(YEAR($A76),'NY East Load Projections'!$A$4:$EO$14,((MONTH($A76)-1)*12)+VLOOKUP(X$4,$DE$6:$DF$17,2)+1))*(VLOOKUP($A76,CURVES!$D$9:$K$261,2))*(INDEX(DailyScalarsTable,X$5/100,MONTH($A76)))*$B76</f>
        <v>-58933.194203471401</v>
      </c>
      <c r="Y76" s="1021">
        <f>(VLOOKUP(YEAR($A76),'NY East Load Projections'!$A$4:$EO$14,((MONTH($A76)-1)*12)+VLOOKUP(Y$4,$DE$6:$DF$17,2)+1))*(VLOOKUP($A76,CURVES!$D$9:$K$261,2))*(INDEX(DailyScalarsTable,Y$5/100,MONTH($A76)))*$B76</f>
        <v>-80901.861792290816</v>
      </c>
      <c r="Z76" s="1021">
        <f>(VLOOKUP(YEAR($A76),'NY East Load Projections'!$A$4:$EO$14,((MONTH($A76)-1)*12)+VLOOKUP(Z$4,$DE$6:$DF$17,2)+1))*(VLOOKUP($A76,CURVES!$D$9:$K$261,2))*(INDEX(DailyScalarsTable,Z$5/100,MONTH($A76)))*$B76</f>
        <v>-81553.277654228586</v>
      </c>
      <c r="AA76" s="1021">
        <f>(VLOOKUP(YEAR($A76),'NY East Load Projections'!$A$4:$EO$14,((MONTH($A76)-1)*12)+VLOOKUP(AA$4,$DE$6:$DF$17,2)+1))*(VLOOKUP($A76,CURVES!$D$9:$K$261,2))*(INDEX(DailyScalarsTable,AA$5/100,MONTH($A76)))*$B76</f>
        <v>-78216.433136955558</v>
      </c>
      <c r="AB76" s="1021">
        <f>(VLOOKUP(YEAR($A76),'NY East Load Projections'!$A$4:$EO$14,((MONTH($A76)-1)*12)+VLOOKUP(AB$4,$DE$6:$DF$17,2)+1))*(VLOOKUP($A76,CURVES!$D$9:$K$261,2))*(INDEX(DailyScalarsTable,AB$5/100,MONTH($A76)))*$B76</f>
        <v>-65264.080583819486</v>
      </c>
      <c r="AC76" s="1021">
        <f>(VLOOKUP(YEAR($A76),'NY East Load Projections'!$A$4:$EO$14,((MONTH($A76)-1)*12)+VLOOKUP(AC$4,$DE$6:$DF$17,2)+1))*(VLOOKUP($A76,CURVES!$D$9:$K$261,2))*(INDEX(DailyScalarsTable,AC$5/100,MONTH($A76)))*$B76</f>
        <v>-51916.380385438919</v>
      </c>
      <c r="AD76" s="1021">
        <f>(VLOOKUP(YEAR($A76),'NY East Load Projections'!$A$4:$EO$14,((MONTH($A76)-1)*12)+VLOOKUP(AD$4,$DE$6:$DF$17,2)+1))*(VLOOKUP($A76,CURVES!$D$9:$K$261,2))*(INDEX(DailyScalarsTable,AD$5/100,MONTH($A76)))*$B76</f>
        <v>-43783.093825401913</v>
      </c>
      <c r="AE76" s="1021">
        <f>(VLOOKUP(YEAR($A76),'NY East Load Projections'!$A$4:$EO$14,((MONTH($A76)-1)*12)+VLOOKUP(AE$4,$DE$6:$DF$17,2)+1))*(VLOOKUP($A76,CURVES!$D$9:$K$261,6))*(INDEX(DailyScalarsTable,AE$5/100,MONTH($A76)))*$B76</f>
        <v>-40081.416431081285</v>
      </c>
      <c r="AF76" s="1021"/>
      <c r="AG76" s="1021">
        <f>(VLOOKUP(YEAR($A76),'NY East Load Projections'!$A$4:$EO$14,((MONTH($A76)-1)*12)+VLOOKUP(AG$4,$DE$6:$DF$17,2)+1))*(VLOOKUP($A76,CURVES!$D$9:$T$261,6))*(INDEX(DailyScalarsTable,AG$5/100,MONTH($A76)))*$C76</f>
        <v>-6758.4971038032209</v>
      </c>
      <c r="AH76" s="1021">
        <f>(VLOOKUP(YEAR($A76),'NY East Load Projections'!$A$4:$EO$14,((MONTH($A76)-1)*12)+VLOOKUP(AH$4,$DE$6:$DF$17,2)+1))*(VLOOKUP($A76,CURVES!$D$9:$T$261,6))*(INDEX(DailyScalarsTable,AH$5/100,MONTH($A76)))*$C76</f>
        <v>-6407.3024721585771</v>
      </c>
      <c r="AI76" s="1021">
        <f>(VLOOKUP(YEAR($A76),'NY East Load Projections'!$A$4:$EO$14,((MONTH($A76)-1)*12)+VLOOKUP(AI$4,$DE$6:$DF$17,2)+1))*(VLOOKUP($A76,CURVES!$D$9:$T$261,6))*(INDEX(DailyScalarsTable,AI$5/100,MONTH($A76)))*$C76</f>
        <v>-6149.178053454958</v>
      </c>
      <c r="AJ76" s="1021">
        <f>(VLOOKUP(YEAR($A76),'NY East Load Projections'!$A$4:$EO$14,((MONTH($A76)-1)*12)+VLOOKUP(AJ$4,$DE$6:$DF$17,2)+1))*(VLOOKUP($A76,CURVES!$D$9:$T$261,6))*(INDEX(DailyScalarsTable,AJ$5/100,MONTH($A76)))*$C76</f>
        <v>-6152.8136086479662</v>
      </c>
      <c r="AK76" s="1021">
        <f>(VLOOKUP(YEAR($A76),'NY East Load Projections'!$A$4:$EO$14,((MONTH($A76)-1)*12)+VLOOKUP(AK$4,$DE$6:$DF$17,2)+1))*(VLOOKUP($A76,CURVES!$D$9:$T$261,6))*(INDEX(DailyScalarsTable,AK$5/100,MONTH($A76)))*$C76</f>
        <v>-6688.8537533414501</v>
      </c>
      <c r="AL76" s="1021">
        <f>(VLOOKUP(YEAR($A76),'NY East Load Projections'!$A$4:$EO$14,((MONTH($A76)-1)*12)+VLOOKUP(AL$4,$DE$6:$DF$17,2)+1))*(VLOOKUP($A76,CURVES!$D$9:$T$261,6))*(INDEX(DailyScalarsTable,AL$5/100,MONTH($A76)))*$C76</f>
        <v>-7706.3859459347059</v>
      </c>
      <c r="AM76" s="1021">
        <f>(VLOOKUP(YEAR($A76),'NY East Load Projections'!$A$4:$EO$14,((MONTH($A76)-1)*12)+VLOOKUP(AM$4,$DE$6:$DF$17,2)+1))*(VLOOKUP($A76,CURVES!$D$9:$T$261,6))*(INDEX(DailyScalarsTable,AM$5/100,MONTH($A76)))*$C76</f>
        <v>-11038.637854383684</v>
      </c>
      <c r="AN76" s="1021">
        <f>(VLOOKUP(YEAR($A76),'NY East Load Projections'!$A$4:$EO$14,((MONTH($A76)-1)*12)+VLOOKUP(AN$4,$DE$6:$DF$17,2)+1))*(VLOOKUP($A76,SatSunCurve,2))*(INDEX(DailyScalarsTable,AN$5/100,MONTH($A76)))*$C76</f>
        <v>-9884.91126747413</v>
      </c>
      <c r="AO76" s="1021">
        <f>(VLOOKUP(YEAR($A76),'NY East Load Projections'!$A$4:$EO$14,((MONTH($A76)-1)*12)+VLOOKUP(AO$4,$DE$6:$DF$17,2)+1))*(VLOOKUP($A76,SatSunCurve,2))*(INDEX(DailyScalarsTable,AO$5/100,MONTH($A76)))*$C76</f>
        <v>-11237.581088566456</v>
      </c>
      <c r="AP76" s="1021">
        <f>(VLOOKUP(YEAR($A76),'NY East Load Projections'!$A$4:$EO$14,((MONTH($A76)-1)*12)+VLOOKUP(AP$4,$DE$6:$DF$17,2)+1))*(VLOOKUP($A76,SatSunCurve,2))*(INDEX(DailyScalarsTable,AP$5/100,MONTH($A76)))*$C76</f>
        <v>-11164.801375582567</v>
      </c>
      <c r="AQ76" s="1021">
        <f>(VLOOKUP(YEAR($A76),'NY East Load Projections'!$A$4:$EO$14,((MONTH($A76)-1)*12)+VLOOKUP(AQ$4,$DE$6:$DF$17,2)+1))*(VLOOKUP($A76,SatSunCurve,2))*(INDEX(DailyScalarsTable,AQ$5/100,MONTH($A76)))*$C76</f>
        <v>-10949.412765535651</v>
      </c>
      <c r="AR76" s="1021">
        <f>(VLOOKUP(YEAR($A76),'NY East Load Projections'!$A$4:$EO$14,((MONTH($A76)-1)*12)+VLOOKUP(AR$4,$DE$6:$DF$17,2)+1))*(VLOOKUP($A76,SatSunCurve,2))*(INDEX(DailyScalarsTable,AR$5/100,MONTH($A76)))*$C76</f>
        <v>-9219.4193177159068</v>
      </c>
      <c r="AS76" s="1021">
        <f>(VLOOKUP(YEAR($A76),'NY East Load Projections'!$A$4:$EO$14,((MONTH($A76)-1)*12)+VLOOKUP(AS$4,$DE$6:$DF$17,2)+1))*(VLOOKUP($A76,SatSunCurve,2))*(INDEX(DailyScalarsTable,AS$5/100,MONTH($A76)))*$C76</f>
        <v>-8905.5298371981535</v>
      </c>
      <c r="AT76" s="1021">
        <f>(VLOOKUP(YEAR($A76),'NY East Load Projections'!$A$4:$EO$14,((MONTH($A76)-1)*12)+VLOOKUP(AT$4,$DE$6:$DF$17,2)+1))*(VLOOKUP($A76,SatSunCurve,2))*(INDEX(DailyScalarsTable,AT$5/100,MONTH($A76)))*$C76</f>
        <v>-8666.4755194480167</v>
      </c>
      <c r="AU76" s="1021">
        <f>(VLOOKUP(YEAR($A76),'NY East Load Projections'!$A$4:$EO$14,((MONTH($A76)-1)*12)+VLOOKUP(AU$4,$DE$6:$DF$17,2)+1))*(VLOOKUP($A76,SatSunCurve,2))*(INDEX(DailyScalarsTable,AU$5/100,MONTH($A76)))*$C76</f>
        <v>-8463.7332499637214</v>
      </c>
      <c r="AV76" s="1021">
        <f>(VLOOKUP(YEAR($A76),'NY East Load Projections'!$A$4:$EO$14,((MONTH($A76)-1)*12)+VLOOKUP(AV$4,$DE$6:$DF$17,2)+1))*(VLOOKUP($A76,SatSunCurve,2))*(INDEX(DailyScalarsTable,AV$5/100,MONTH($A76)))*$C76</f>
        <v>-8324.5370649446559</v>
      </c>
      <c r="AW76" s="1021">
        <f>(VLOOKUP(YEAR($A76),'NY East Load Projections'!$A$4:$EO$14,((MONTH($A76)-1)*12)+VLOOKUP(AW$4,$DE$6:$DF$17,2)+1))*(VLOOKUP($A76,SatSunCurve,2))*(INDEX(DailyScalarsTable,AW$5/100,MONTH($A76)))*$C76</f>
        <v>-8540.1210529467789</v>
      </c>
      <c r="AX76" s="1021">
        <f>(VLOOKUP(YEAR($A76),'NY East Load Projections'!$A$4:$EO$14,((MONTH($A76)-1)*12)+VLOOKUP(AX$4,$DE$6:$DF$17,2)+1))*(VLOOKUP($A76,SatSunCurve,2))*(INDEX(DailyScalarsTable,AX$5/100,MONTH($A76)))*$C76</f>
        <v>-11723.642379361068</v>
      </c>
      <c r="AY76" s="1021">
        <f>(VLOOKUP(YEAR($A76),'NY East Load Projections'!$A$4:$EO$14,((MONTH($A76)-1)*12)+VLOOKUP(AY$4,$DE$6:$DF$17,2)+1))*(VLOOKUP($A76,SatSunCurve,2))*(INDEX(DailyScalarsTable,AY$5/100,MONTH($A76)))*$C76</f>
        <v>-11818.040288586062</v>
      </c>
      <c r="AZ76" s="1021">
        <f>(VLOOKUP(YEAR($A76),'NY East Load Projections'!$A$4:$EO$14,((MONTH($A76)-1)*12)+VLOOKUP(AZ$4,$DE$6:$DF$17,2)+1))*(VLOOKUP($A76,SatSunCurve,2))*(INDEX(DailyScalarsTable,AZ$5/100,MONTH($A76)))*$C76</f>
        <v>-11334.491814800895</v>
      </c>
      <c r="BA76" s="1021">
        <f>(VLOOKUP(YEAR($A76),'NY East Load Projections'!$A$4:$EO$14,((MONTH($A76)-1)*12)+VLOOKUP(BA$4,$DE$6:$DF$17,2)+1))*(VLOOKUP($A76,SatSunCurve,2))*(INDEX(DailyScalarsTable,BA$5/100,MONTH($A76)))*$C76</f>
        <v>-10044.374985168188</v>
      </c>
      <c r="BB76" s="1021">
        <f>(VLOOKUP(YEAR($A76),'NY East Load Projections'!$A$4:$EO$14,((MONTH($A76)-1)*12)+VLOOKUP(BB$4,$DE$6:$DF$17,2)+1))*(VLOOKUP($A76,SatSunCurve,2))*(INDEX(DailyScalarsTable,BB$5/100,MONTH($A76)))*$C76</f>
        <v>-7990.1162752802684</v>
      </c>
      <c r="BC76" s="1021">
        <f>(VLOOKUP(YEAR($A76),'NY East Load Projections'!$A$4:$EO$14,((MONTH($A76)-1)*12)+VLOOKUP(BC$4,$DE$6:$DF$17,2)+1))*(VLOOKUP($A76,SatSunCurve,2))*(INDEX(DailyScalarsTable,BC$5/100,MONTH($A76)))*$C76</f>
        <v>-6738.3744390351376</v>
      </c>
      <c r="BD76" s="1021">
        <f>(VLOOKUP(YEAR($A76),'NY East Load Projections'!$A$4:$EO$14,((MONTH($A76)-1)*12)+VLOOKUP(BD$4,$DE$6:$DF$17,2)+1))*(VLOOKUP($A76,CURVES!$D$9:$T$261,6))*(INDEX(DailyScalarsTable,BD$5/100,MONTH($A76)))*$C76</f>
        <v>-7750.5811723804973</v>
      </c>
      <c r="BE76" s="1021"/>
      <c r="BF76" s="1021">
        <f>(VLOOKUP(YEAR($A76),'NY East Load Projections'!$A$4:$EO$14,((MONTH($A76)-1)*12)+VLOOKUP(BF$4,$DE$6:$DF$17,2)+1))*(VLOOKUP($A76,CURVES!$D$9:$T$261,6))*(INDEX(DailyScalarsTable,BF$5/100,MONTH($A76)))*$D76</f>
        <v>-6758.4971038032209</v>
      </c>
      <c r="BG76" s="1021">
        <f>(VLOOKUP(YEAR($A76),'NY East Load Projections'!$A$4:$EO$14,((MONTH($A76)-1)*12)+VLOOKUP(BG$4,$DE$6:$DF$17,2)+1))*(VLOOKUP($A76,CURVES!$D$9:$T$261,6))*(INDEX(DailyScalarsTable,BG$5/100,MONTH($A76)))*$D76</f>
        <v>-6407.3024721585771</v>
      </c>
      <c r="BH76" s="1021">
        <f>(VLOOKUP(YEAR($A76),'NY East Load Projections'!$A$4:$EO$14,((MONTH($A76)-1)*12)+VLOOKUP(BH$4,$DE$6:$DF$17,2)+1))*(VLOOKUP($A76,CURVES!$D$9:$T$261,6))*(INDEX(DailyScalarsTable,BH$5/100,MONTH($A76)))*$D76</f>
        <v>-6149.178053454958</v>
      </c>
      <c r="BI76" s="1021">
        <f>(VLOOKUP(YEAR($A76),'NY East Load Projections'!$A$4:$EO$14,((MONTH($A76)-1)*12)+VLOOKUP(BI$4,$DE$6:$DF$17,2)+1))*(VLOOKUP($A76,CURVES!$D$9:$T$261,6))*(INDEX(DailyScalarsTable,BI$5/100,MONTH($A76)))*$D76</f>
        <v>-6152.8136086479662</v>
      </c>
      <c r="BJ76" s="1021">
        <f>(VLOOKUP(YEAR($A76),'NY East Load Projections'!$A$4:$EO$14,((MONTH($A76)-1)*12)+VLOOKUP(BJ$4,$DE$6:$DF$17,2)+1))*(VLOOKUP($A76,CURVES!$D$9:$T$261,6))*(INDEX(DailyScalarsTable,BJ$5/100,MONTH($A76)))*$D76</f>
        <v>-6688.8537533414501</v>
      </c>
      <c r="BK76" s="1021">
        <f>(VLOOKUP(YEAR($A76),'NY East Load Projections'!$A$4:$EO$14,((MONTH($A76)-1)*12)+VLOOKUP(BK$4,$DE$6:$DF$17,2)+1))*(VLOOKUP($A76,CURVES!$D$9:$T$261,6))*(INDEX(DailyScalarsTable,BK$5/100,MONTH($A76)))*$D76</f>
        <v>-7706.3859459347059</v>
      </c>
      <c r="BL76" s="1021">
        <f>(VLOOKUP(YEAR($A76),'NY East Load Projections'!$A$4:$EO$14,((MONTH($A76)-1)*12)+VLOOKUP(BL$4,$DE$6:$DF$17,2)+1))*(VLOOKUP($A76,CURVES!$D$9:$T$261,6))*(INDEX(DailyScalarsTable,BL$5/100,MONTH($A76)))*$D76</f>
        <v>-11038.637854383684</v>
      </c>
      <c r="BM76" s="1021">
        <f>(VLOOKUP(YEAR($A76),'NY East Load Projections'!$A$4:$EO$14,((MONTH($A76)-1)*12)+VLOOKUP(BM$4,$DE$6:$DF$17,2)+1))*(VLOOKUP($A76,SatSunCurve,6))*(INDEX(DailyScalarsTable,BM$5/100,MONTH($A76)))*$D76</f>
        <v>-8011.9768251437235</v>
      </c>
      <c r="BN76" s="1021">
        <f>(VLOOKUP(YEAR($A76),'NY East Load Projections'!$A$4:$EO$14,((MONTH($A76)-1)*12)+VLOOKUP(BN$4,$DE$6:$DF$17,2)+1))*(VLOOKUP($A76,SatSunCurve,6))*(INDEX(DailyScalarsTable,BN$5/100,MONTH($A76)))*$D76</f>
        <v>-9108.3507798926676</v>
      </c>
      <c r="BO76" s="1021">
        <f>(VLOOKUP(YEAR($A76),'NY East Load Projections'!$A$4:$EO$14,((MONTH($A76)-1)*12)+VLOOKUP(BO$4,$DE$6:$DF$17,2)+1))*(VLOOKUP($A76,SatSunCurve,6))*(INDEX(DailyScalarsTable,BO$5/100,MONTH($A76)))*$D76</f>
        <v>-9049.3609358779595</v>
      </c>
      <c r="BP76" s="1021">
        <f>(VLOOKUP(YEAR($A76),'NY East Load Projections'!$A$4:$EO$14,((MONTH($A76)-1)*12)+VLOOKUP(BP$4,$DE$6:$DF$17,2)+1))*(VLOOKUP($A76,SatSunCurve,6))*(INDEX(DailyScalarsTable,BP$5/100,MONTH($A76)))*$D76</f>
        <v>-8874.7828839965914</v>
      </c>
      <c r="BQ76" s="1021">
        <f>(VLOOKUP(YEAR($A76),'NY East Load Projections'!$A$4:$EO$14,((MONTH($A76)-1)*12)+VLOOKUP(BQ$4,$DE$6:$DF$17,2)+1))*(VLOOKUP($A76,SatSunCurve,6))*(INDEX(DailyScalarsTable,BQ$5/100,MONTH($A76)))*$D76</f>
        <v>-7472.5783485658903</v>
      </c>
      <c r="BR76" s="1021">
        <f>(VLOOKUP(YEAR($A76),'NY East Load Projections'!$A$4:$EO$14,((MONTH($A76)-1)*12)+VLOOKUP(BR$4,$DE$6:$DF$17,2)+1))*(VLOOKUP($A76,SatSunCurve,6))*(INDEX(DailyScalarsTable,BR$5/100,MONTH($A76)))*$D76</f>
        <v>-7218.1627877667033</v>
      </c>
      <c r="BS76" s="1021">
        <f>(VLOOKUP(YEAR($A76),'NY East Load Projections'!$A$4:$EO$14,((MONTH($A76)-1)*12)+VLOOKUP(BS$4,$DE$6:$DF$17,2)+1))*(VLOOKUP($A76,SatSunCurve,6))*(INDEX(DailyScalarsTable,BS$5/100,MONTH($A76)))*$D76</f>
        <v>-7024.4030663145895</v>
      </c>
      <c r="BT76" s="1021">
        <f>(VLOOKUP(YEAR($A76),'NY East Load Projections'!$A$4:$EO$14,((MONTH($A76)-1)*12)+VLOOKUP(BT$4,$DE$6:$DF$17,2)+1))*(VLOOKUP($A76,SatSunCurve,6))*(INDEX(DailyScalarsTable,BT$5/100,MONTH($A76)))*$D76</f>
        <v>-6860.0752012855819</v>
      </c>
      <c r="BU76" s="1021">
        <f>(VLOOKUP(YEAR($A76),'NY East Load Projections'!$A$4:$EO$14,((MONTH($A76)-1)*12)+VLOOKUP(BU$4,$DE$6:$DF$17,2)+1))*(VLOOKUP($A76,SatSunCurve,6))*(INDEX(DailyScalarsTable,BU$5/100,MONTH($A76)))*$D76</f>
        <v>-6747.2530849970108</v>
      </c>
      <c r="BV76" s="1021">
        <f>(VLOOKUP(YEAR($A76),'NY East Load Projections'!$A$4:$EO$14,((MONTH($A76)-1)*12)+VLOOKUP(BV$4,$DE$6:$DF$17,2)+1))*(VLOOKUP($A76,SatSunCurve,6))*(INDEX(DailyScalarsTable,BV$5/100,MONTH($A76)))*$D76</f>
        <v>-6921.9894957757806</v>
      </c>
      <c r="BW76" s="1021">
        <f>(VLOOKUP(YEAR($A76),'NY East Load Projections'!$A$4:$EO$14,((MONTH($A76)-1)*12)+VLOOKUP(BW$4,$DE$6:$DF$17,2)+1))*(VLOOKUP($A76,SatSunCurve,6))*(INDEX(DailyScalarsTable,BW$5/100,MONTH($A76)))*$D76</f>
        <v>-9502.316056066662</v>
      </c>
      <c r="BX76" s="1021">
        <f>(VLOOKUP(YEAR($A76),'NY East Load Projections'!$A$4:$EO$14,((MONTH($A76)-1)*12)+VLOOKUP(BX$4,$DE$6:$DF$17,2)+1))*(VLOOKUP($A76,SatSunCurve,6))*(INDEX(DailyScalarsTable,BX$5/100,MONTH($A76)))*$D76</f>
        <v>-9578.8280085351962</v>
      </c>
      <c r="BY76" s="1021">
        <f>(VLOOKUP(YEAR($A76),'NY East Load Projections'!$A$4:$EO$14,((MONTH($A76)-1)*12)+VLOOKUP(BY$4,$DE$6:$DF$17,2)+1))*(VLOOKUP($A76,SatSunCurve,6))*(INDEX(DailyScalarsTable,BY$5/100,MONTH($A76)))*$D76</f>
        <v>-9186.8994356861731</v>
      </c>
      <c r="BZ76" s="1021">
        <f>(VLOOKUP(YEAR($A76),'NY East Load Projections'!$A$4:$EO$14,((MONTH($A76)-1)*12)+VLOOKUP(BZ$4,$DE$6:$DF$17,2)+1))*(VLOOKUP($A76,SatSunCurve,6))*(INDEX(DailyScalarsTable,BZ$5/100,MONTH($A76)))*$D76</f>
        <v>-8141.2263020530399</v>
      </c>
      <c r="CA76" s="1021">
        <f>(VLOOKUP(YEAR($A76),'NY East Load Projections'!$A$4:$EO$14,((MONTH($A76)-1)*12)+VLOOKUP(CA$4,$DE$6:$DF$17,2)+1))*(VLOOKUP($A76,SatSunCurve,6))*(INDEX(DailyScalarsTable,CA$5/100,MONTH($A76)))*$D76</f>
        <v>-6476.1963659090306</v>
      </c>
      <c r="CB76" s="1021">
        <f>(VLOOKUP(YEAR($A76),'NY East Load Projections'!$A$4:$EO$14,((MONTH($A76)-1)*12)+VLOOKUP(CB$4,$DE$6:$DF$17,2)+1))*(VLOOKUP($A76,SatSunCurve,6))*(INDEX(DailyScalarsTable,CB$5/100,MONTH($A76)))*$D76</f>
        <v>-5461.6271591971217</v>
      </c>
      <c r="CC76" s="1021">
        <f>(VLOOKUP(YEAR($A76),'NY East Load Projections'!$A$4:$EO$14,((MONTH($A76)-1)*12)+VLOOKUP(CC$4,$DE$6:$DF$17,2)+1))*(VLOOKUP($A76,CURVES!$D$9:$T$261,6))*(INDEX(DailyScalarsTable,CC$5/100,MONTH($A76)))*$D76</f>
        <v>-7750.5811723804973</v>
      </c>
      <c r="CE76" s="1021">
        <f>(VLOOKUP(YEAR($A76),'NY East Load Projections'!$A$4:$EO$14,((MONTH($A76)-1)*12)+VLOOKUP(CE$4,$DE$6:$DF$17,2)+1))*(VLOOKUP($A76,CURVES!$D$9:$T$261,6))*(INDEX(DailyScalarsTable,CE$5/100,MONTH($A76)))*$E76</f>
        <v>-1689.6242759508052</v>
      </c>
      <c r="CF76" s="1021">
        <f>(VLOOKUP(YEAR($A76),'NY East Load Projections'!$A$4:$EO$14,((MONTH($A76)-1)*12)+VLOOKUP(CF$4,$DE$6:$DF$17,2)+1))*(VLOOKUP($A76,CURVES!$D$9:$T$261,6))*(INDEX(DailyScalarsTable,CF$5/100,MONTH($A76)))*$E76</f>
        <v>-1601.8256180396443</v>
      </c>
      <c r="CG76" s="1021">
        <f>(VLOOKUP(YEAR($A76),'NY East Load Projections'!$A$4:$EO$14,((MONTH($A76)-1)*12)+VLOOKUP(CG$4,$DE$6:$DF$17,2)+1))*(VLOOKUP($A76,CURVES!$D$9:$T$261,6))*(INDEX(DailyScalarsTable,CG$5/100,MONTH($A76)))*$E76</f>
        <v>-1537.2945133637395</v>
      </c>
      <c r="CH76" s="1021">
        <f>(VLOOKUP(YEAR($A76),'NY East Load Projections'!$A$4:$EO$14,((MONTH($A76)-1)*12)+VLOOKUP(CH$4,$DE$6:$DF$17,2)+1))*(VLOOKUP($A76,CURVES!$D$9:$T$261,6))*(INDEX(DailyScalarsTable,CH$5/100,MONTH($A76)))*$E76</f>
        <v>-1538.2034021619916</v>
      </c>
      <c r="CI76" s="1021">
        <f>(VLOOKUP(YEAR($A76),'NY East Load Projections'!$A$4:$EO$14,((MONTH($A76)-1)*12)+VLOOKUP(CI$4,$DE$6:$DF$17,2)+1))*(VLOOKUP($A76,CURVES!$D$9:$T$261,6))*(INDEX(DailyScalarsTable,CI$5/100,MONTH($A76)))*$E76</f>
        <v>-1672.2134383353625</v>
      </c>
      <c r="CJ76" s="1021">
        <f>(VLOOKUP(YEAR($A76),'NY East Load Projections'!$A$4:$EO$14,((MONTH($A76)-1)*12)+VLOOKUP(CJ$4,$DE$6:$DF$17,2)+1))*(VLOOKUP($A76,CURVES!$D$9:$T$261,6))*(INDEX(DailyScalarsTable,CJ$5/100,MONTH($A76)))*$E76</f>
        <v>-1926.5964864836765</v>
      </c>
      <c r="CK76" s="1021">
        <f>(VLOOKUP(YEAR($A76),'NY East Load Projections'!$A$4:$EO$14,((MONTH($A76)-1)*12)+VLOOKUP(CK$4,$DE$6:$DF$17,2)+1))*(VLOOKUP($A76,CURVES!$D$9:$T$261,6))*(INDEX(DailyScalarsTable,CK$5/100,MONTH($A76)))*$E76</f>
        <v>-2759.6594635959209</v>
      </c>
      <c r="CL76" s="1021">
        <f>(VLOOKUP(YEAR($A76),'NY East Load Projections'!$A$4:$EO$14,((MONTH($A76)-1)*12)+VLOOKUP(CL$4,$DE$6:$DF$17,2)+1))*(VLOOKUP($A76,SatSunCurve,6))*(INDEX(DailyScalarsTable,CL$5/100,MONTH($A76)))*$E76</f>
        <v>-2002.9942062859309</v>
      </c>
      <c r="CM76" s="1021">
        <f>(VLOOKUP(YEAR($A76),'NY East Load Projections'!$A$4:$EO$14,((MONTH($A76)-1)*12)+VLOOKUP(CM$4,$DE$6:$DF$17,2)+1))*(VLOOKUP($A76,SatSunCurve,6))*(INDEX(DailyScalarsTable,CM$5/100,MONTH($A76)))*$E76</f>
        <v>-2277.0876949731669</v>
      </c>
      <c r="CN76" s="1021">
        <f>(VLOOKUP(YEAR($A76),'NY East Load Projections'!$A$4:$EO$14,((MONTH($A76)-1)*12)+VLOOKUP(CN$4,$DE$6:$DF$17,2)+1))*(VLOOKUP($A76,SatSunCurve,6))*(INDEX(DailyScalarsTable,CN$5/100,MONTH($A76)))*$E76</f>
        <v>-2262.3402339694899</v>
      </c>
      <c r="CO76" s="1021">
        <f>(VLOOKUP(YEAR($A76),'NY East Load Projections'!$A$4:$EO$14,((MONTH($A76)-1)*12)+VLOOKUP(CO$4,$DE$6:$DF$17,2)+1))*(VLOOKUP($A76,SatSunCurve,6))*(INDEX(DailyScalarsTable,CO$5/100,MONTH($A76)))*$E76</f>
        <v>-2218.6957209991479</v>
      </c>
      <c r="CP76" s="1021">
        <f>(VLOOKUP(YEAR($A76),'NY East Load Projections'!$A$4:$EO$14,((MONTH($A76)-1)*12)+VLOOKUP(CP$4,$DE$6:$DF$17,2)+1))*(VLOOKUP($A76,SatSunCurve,6))*(INDEX(DailyScalarsTable,CP$5/100,MONTH($A76)))*$E76</f>
        <v>-1868.1445871414726</v>
      </c>
      <c r="CQ76" s="1021">
        <f>(VLOOKUP(YEAR($A76),'NY East Load Projections'!$A$4:$EO$14,((MONTH($A76)-1)*12)+VLOOKUP(CQ$4,$DE$6:$DF$17,2)+1))*(VLOOKUP($A76,SatSunCurve,6))*(INDEX(DailyScalarsTable,CQ$5/100,MONTH($A76)))*$E76</f>
        <v>-1804.5406969416758</v>
      </c>
      <c r="CR76" s="1021">
        <f>(VLOOKUP(YEAR($A76),'NY East Load Projections'!$A$4:$EO$14,((MONTH($A76)-1)*12)+VLOOKUP(CR$4,$DE$6:$DF$17,2)+1))*(VLOOKUP($A76,SatSunCurve,6))*(INDEX(DailyScalarsTable,CR$5/100,MONTH($A76)))*$E76</f>
        <v>-1756.1007665786474</v>
      </c>
      <c r="CS76" s="1021">
        <f>(VLOOKUP(YEAR($A76),'NY East Load Projections'!$A$4:$EO$14,((MONTH($A76)-1)*12)+VLOOKUP(CS$4,$DE$6:$DF$17,2)+1))*(VLOOKUP($A76,SatSunCurve,6))*(INDEX(DailyScalarsTable,CS$5/100,MONTH($A76)))*$E76</f>
        <v>-1715.0188003213955</v>
      </c>
      <c r="CT76" s="1021">
        <f>(VLOOKUP(YEAR($A76),'NY East Load Projections'!$A$4:$EO$14,((MONTH($A76)-1)*12)+VLOOKUP(CT$4,$DE$6:$DF$17,2)+1))*(VLOOKUP($A76,SatSunCurve,6))*(INDEX(DailyScalarsTable,CT$5/100,MONTH($A76)))*$E76</f>
        <v>-1686.8132712492527</v>
      </c>
      <c r="CU76" s="1021">
        <f>(VLOOKUP(YEAR($A76),'NY East Load Projections'!$A$4:$EO$14,((MONTH($A76)-1)*12)+VLOOKUP(CU$4,$DE$6:$DF$17,2)+1))*(VLOOKUP($A76,SatSunCurve,6))*(INDEX(DailyScalarsTable,CU$5/100,MONTH($A76)))*$E76</f>
        <v>-1730.4973739439451</v>
      </c>
      <c r="CV76" s="1021">
        <f>(VLOOKUP(YEAR($A76),'NY East Load Projections'!$A$4:$EO$14,((MONTH($A76)-1)*12)+VLOOKUP(CV$4,$DE$6:$DF$17,2)+1))*(VLOOKUP($A76,SatSunCurve,6))*(INDEX(DailyScalarsTable,CV$5/100,MONTH($A76)))*$E76</f>
        <v>-2375.5790140166655</v>
      </c>
      <c r="CW76" s="1021">
        <f>(VLOOKUP(YEAR($A76),'NY East Load Projections'!$A$4:$EO$14,((MONTH($A76)-1)*12)+VLOOKUP(CW$4,$DE$6:$DF$17,2)+1))*(VLOOKUP($A76,SatSunCurve,6))*(INDEX(DailyScalarsTable,CW$5/100,MONTH($A76)))*$E76</f>
        <v>-2394.7070021337991</v>
      </c>
      <c r="CX76" s="1021">
        <f>(VLOOKUP(YEAR($A76),'NY East Load Projections'!$A$4:$EO$14,((MONTH($A76)-1)*12)+VLOOKUP(CX$4,$DE$6:$DF$17,2)+1))*(VLOOKUP($A76,SatSunCurve,6))*(INDEX(DailyScalarsTable,CX$5/100,MONTH($A76)))*$E76</f>
        <v>-2296.7248589215433</v>
      </c>
      <c r="CY76" s="1021">
        <f>(VLOOKUP(YEAR($A76),'NY East Load Projections'!$A$4:$EO$14,((MONTH($A76)-1)*12)+VLOOKUP(CY$4,$DE$6:$DF$17,2)+1))*(VLOOKUP($A76,SatSunCurve,6))*(INDEX(DailyScalarsTable,CY$5/100,MONTH($A76)))*$E76</f>
        <v>-2035.30657551326</v>
      </c>
      <c r="CZ76" s="1021">
        <f>(VLOOKUP(YEAR($A76),'NY East Load Projections'!$A$4:$EO$14,((MONTH($A76)-1)*12)+VLOOKUP(CZ$4,$DE$6:$DF$17,2)+1))*(VLOOKUP($A76,SatSunCurve,6))*(INDEX(DailyScalarsTable,CZ$5/100,MONTH($A76)))*$E76</f>
        <v>-1619.0490914772577</v>
      </c>
      <c r="DA76" s="1021">
        <f>(VLOOKUP(YEAR($A76),'NY East Load Projections'!$A$4:$EO$14,((MONTH($A76)-1)*12)+VLOOKUP(DA$4,$DE$6:$DF$17,2)+1))*(VLOOKUP($A76,SatSunCurve,6))*(INDEX(DailyScalarsTable,DA$5/100,MONTH($A76)))*$E76</f>
        <v>-1365.4067897992804</v>
      </c>
      <c r="DB76" s="1021">
        <f>(VLOOKUP(YEAR($A76),'NY East Load Projections'!$A$4:$EO$14,((MONTH($A76)-1)*12)+VLOOKUP(DB$4,$DE$6:$DF$17,2)+1))*(VLOOKUP($A76,CURVES!$D$9:$T$261,6))*(INDEX(DailyScalarsTable,DB$5/100,MONTH($A76)))*$E76</f>
        <v>-1937.6452930951243</v>
      </c>
      <c r="DH76" s="1021">
        <f t="shared" si="2"/>
        <v>-1811010.0913380596</v>
      </c>
      <c r="DI76">
        <f ca="1">CALC!J96</f>
        <v>0.61181445974366278</v>
      </c>
      <c r="DJ76" s="1029">
        <f t="shared" ca="1" si="3"/>
        <v>-1108002.1606223164</v>
      </c>
    </row>
    <row r="77" spans="1:114" x14ac:dyDescent="0.25">
      <c r="A77" s="244">
        <v>39052</v>
      </c>
      <c r="B77" s="13">
        <v>20</v>
      </c>
      <c r="C77" s="210">
        <v>5</v>
      </c>
      <c r="D77" s="210">
        <v>5</v>
      </c>
      <c r="E77" s="210">
        <v>1</v>
      </c>
      <c r="F77" s="13">
        <v>31</v>
      </c>
      <c r="H77" s="1021">
        <f>(VLOOKUP(YEAR($A77),'NY East Load Projections'!$A$4:$EO$14,((MONTH($A77)-1)*12)+VLOOKUP(H$4,$DE$6:$DF$17,2)+1))*(VLOOKUP($A77,CURVES!$D$9:$K$261,6))*(INDEX(DailyScalarsTable,H$5/100,MONTH($A77)))*$B77</f>
        <v>-32108.808221034375</v>
      </c>
      <c r="I77" s="1021">
        <f>(VLOOKUP(YEAR($A77),'NY East Load Projections'!$A$4:$EO$14,((MONTH($A77)-1)*12)+VLOOKUP(I$4,$DE$6:$DF$17,2)+1))*(VLOOKUP($A77,CURVES!$D$9:$K$261,6))*(INDEX(DailyScalarsTable,I$5/100,MONTH($A77)))*$B77</f>
        <v>-30440.324695401279</v>
      </c>
      <c r="J77" s="1021">
        <f>(VLOOKUP(YEAR($A77),'NY East Load Projections'!$A$4:$EO$14,((MONTH($A77)-1)*12)+VLOOKUP(J$4,$DE$6:$DF$17,2)+1))*(VLOOKUP($A77,CURVES!$D$9:$K$261,6))*(INDEX(DailyScalarsTable,J$5/100,MONTH($A77)))*$B77</f>
        <v>-29214.006576147145</v>
      </c>
      <c r="K77" s="1021">
        <f>(VLOOKUP(YEAR($A77),'NY East Load Projections'!$A$4:$EO$14,((MONTH($A77)-1)*12)+VLOOKUP(K$4,$DE$6:$DF$17,2)+1))*(VLOOKUP($A77,CURVES!$D$9:$K$261,6))*(INDEX(DailyScalarsTable,K$5/100,MONTH($A77)))*$B77</f>
        <v>-29231.278662333822</v>
      </c>
      <c r="L77" s="1021">
        <f>(VLOOKUP(YEAR($A77),'NY East Load Projections'!$A$4:$EO$14,((MONTH($A77)-1)*12)+VLOOKUP(L$4,$DE$6:$DF$17,2)+1))*(VLOOKUP($A77,CURVES!$D$9:$K$261,6))*(INDEX(DailyScalarsTable,L$5/100,MONTH($A77)))*$B77</f>
        <v>-34344.33615946721</v>
      </c>
      <c r="M77" s="1021">
        <f>(VLOOKUP(YEAR($A77),'NY East Load Projections'!$A$4:$EO$14,((MONTH($A77)-1)*12)+VLOOKUP(M$4,$DE$6:$DF$17,2)+1))*(VLOOKUP($A77,CURVES!$D$9:$K$261,6))*(INDEX(DailyScalarsTable,M$5/100,MONTH($A77)))*$B77</f>
        <v>-39568.918571370719</v>
      </c>
      <c r="N77" s="1021">
        <f>(VLOOKUP(YEAR($A77),'NY East Load Projections'!$A$4:$EO$14,((MONTH($A77)-1)*12)+VLOOKUP(N$4,$DE$6:$DF$17,2)+1))*(VLOOKUP($A77,CURVES!$D$9:$K$261,6))*(INDEX(DailyScalarsTable,N$5/100,MONTH($A77)))*$B77</f>
        <v>-56678.573518547099</v>
      </c>
      <c r="O77" s="1021">
        <f>(VLOOKUP(YEAR($A77),'NY East Load Projections'!$A$4:$EO$14,((MONTH($A77)-1)*12)+VLOOKUP(O$4,$DE$6:$DF$17,2)+1))*(VLOOKUP($A77,CURVES!$D$9:$K$261,2))*(INDEX(DailyScalarsTable,O$5/100,MONTH($A77)))*$B77</f>
        <v>-59966.534764110547</v>
      </c>
      <c r="P77" s="1021">
        <f>(VLOOKUP(YEAR($A77),'NY East Load Projections'!$A$4:$EO$14,((MONTH($A77)-1)*12)+VLOOKUP(P$4,$DE$6:$DF$17,2)+1))*(VLOOKUP($A77,CURVES!$D$9:$K$261,2))*(INDEX(DailyScalarsTable,P$5/100,MONTH($A77)))*$B77</f>
        <v>-67661.45111975295</v>
      </c>
      <c r="Q77" s="1021">
        <f>(VLOOKUP(YEAR($A77),'NY East Load Projections'!$A$4:$EO$14,((MONTH($A77)-1)*12)+VLOOKUP(Q$4,$DE$6:$DF$17,2)+1))*(VLOOKUP($A77,CURVES!$D$9:$K$261,2))*(INDEX(DailyScalarsTable,Q$5/100,MONTH($A77)))*$B77</f>
        <v>-67318.43465506268</v>
      </c>
      <c r="R77" s="1021">
        <f>(VLOOKUP(YEAR($A77),'NY East Load Projections'!$A$4:$EO$14,((MONTH($A77)-1)*12)+VLOOKUP(R$4,$DE$6:$DF$17,2)+1))*(VLOOKUP($A77,CURVES!$D$9:$K$261,2))*(INDEX(DailyScalarsTable,R$5/100,MONTH($A77)))*$B77</f>
        <v>-65853.347382148291</v>
      </c>
      <c r="S77" s="1021">
        <f>(VLOOKUP(YEAR($A77),'NY East Load Projections'!$A$4:$EO$14,((MONTH($A77)-1)*12)+VLOOKUP(S$4,$DE$6:$DF$17,2)+1))*(VLOOKUP($A77,CURVES!$D$9:$K$261,2))*(INDEX(DailyScalarsTable,S$5/100,MONTH($A77)))*$B77</f>
        <v>-53510.568491682949</v>
      </c>
      <c r="T77" s="1021">
        <f>(VLOOKUP(YEAR($A77),'NY East Load Projections'!$A$4:$EO$14,((MONTH($A77)-1)*12)+VLOOKUP(T$4,$DE$6:$DF$17,2)+1))*(VLOOKUP($A77,CURVES!$D$9:$K$261,2))*(INDEX(DailyScalarsTable,T$5/100,MONTH($A77)))*$B77</f>
        <v>-51366.131893549944</v>
      </c>
      <c r="U77" s="1021">
        <f>(VLOOKUP(YEAR($A77),'NY East Load Projections'!$A$4:$EO$14,((MONTH($A77)-1)*12)+VLOOKUP(U$4,$DE$6:$DF$17,2)+1))*(VLOOKUP($A77,CURVES!$D$9:$K$261,2))*(INDEX(DailyScalarsTable,U$5/100,MONTH($A77)))*$B77</f>
        <v>-49152.732450885844</v>
      </c>
      <c r="V77" s="1021">
        <f>(VLOOKUP(YEAR($A77),'NY East Load Projections'!$A$4:$EO$14,((MONTH($A77)-1)*12)+VLOOKUP(V$4,$DE$6:$DF$17,2)+1))*(VLOOKUP($A77,CURVES!$D$9:$K$261,2))*(INDEX(DailyScalarsTable,V$5/100,MONTH($A77)))*$B77</f>
        <v>-46681.005221809988</v>
      </c>
      <c r="W77" s="1021">
        <f>(VLOOKUP(YEAR($A77),'NY East Load Projections'!$A$4:$EO$14,((MONTH($A77)-1)*12)+VLOOKUP(W$4,$DE$6:$DF$17,2)+1))*(VLOOKUP($A77,CURVES!$D$9:$K$261,2))*(INDEX(DailyScalarsTable,W$5/100,MONTH($A77)))*$B77</f>
        <v>-45870.795346245941</v>
      </c>
      <c r="X77" s="1021">
        <f>(VLOOKUP(YEAR($A77),'NY East Load Projections'!$A$4:$EO$14,((MONTH($A77)-1)*12)+VLOOKUP(X$4,$DE$6:$DF$17,2)+1))*(VLOOKUP($A77,CURVES!$D$9:$K$261,2))*(INDEX(DailyScalarsTable,X$5/100,MONTH($A77)))*$B77</f>
        <v>-49685.853058198089</v>
      </c>
      <c r="Y77" s="1021">
        <f>(VLOOKUP(YEAR($A77),'NY East Load Projections'!$A$4:$EO$14,((MONTH($A77)-1)*12)+VLOOKUP(Y$4,$DE$6:$DF$17,2)+1))*(VLOOKUP($A77,CURVES!$D$9:$K$261,2))*(INDEX(DailyScalarsTable,Y$5/100,MONTH($A77)))*$B77</f>
        <v>-70024.474170072834</v>
      </c>
      <c r="Z77" s="1021">
        <f>(VLOOKUP(YEAR($A77),'NY East Load Projections'!$A$4:$EO$14,((MONTH($A77)-1)*12)+VLOOKUP(Z$4,$DE$6:$DF$17,2)+1))*(VLOOKUP($A77,CURVES!$D$9:$K$261,2))*(INDEX(DailyScalarsTable,Z$5/100,MONTH($A77)))*$B77</f>
        <v>-69557.934806577003</v>
      </c>
      <c r="AA77" s="1021">
        <f>(VLOOKUP(YEAR($A77),'NY East Load Projections'!$A$4:$EO$14,((MONTH($A77)-1)*12)+VLOOKUP(AA$4,$DE$6:$DF$17,2)+1))*(VLOOKUP($A77,CURVES!$D$9:$K$261,2))*(INDEX(DailyScalarsTable,AA$5/100,MONTH($A77)))*$B77</f>
        <v>-67162.682880463515</v>
      </c>
      <c r="AB77" s="1021">
        <f>(VLOOKUP(YEAR($A77),'NY East Load Projections'!$A$4:$EO$14,((MONTH($A77)-1)*12)+VLOOKUP(AB$4,$DE$6:$DF$17,2)+1))*(VLOOKUP($A77,CURVES!$D$9:$K$261,2))*(INDEX(DailyScalarsTable,AB$5/100,MONTH($A77)))*$B77</f>
        <v>-60438.294438980243</v>
      </c>
      <c r="AC77" s="1021">
        <f>(VLOOKUP(YEAR($A77),'NY East Load Projections'!$A$4:$EO$14,((MONTH($A77)-1)*12)+VLOOKUP(AC$4,$DE$6:$DF$17,2)+1))*(VLOOKUP($A77,CURVES!$D$9:$K$261,2))*(INDEX(DailyScalarsTable,AC$5/100,MONTH($A77)))*$B77</f>
        <v>-44554.869463601943</v>
      </c>
      <c r="AD77" s="1021">
        <f>(VLOOKUP(YEAR($A77),'NY East Load Projections'!$A$4:$EO$14,((MONTH($A77)-1)*12)+VLOOKUP(AD$4,$DE$6:$DF$17,2)+1))*(VLOOKUP($A77,CURVES!$D$9:$K$261,2))*(INDEX(DailyScalarsTable,AD$5/100,MONTH($A77)))*$B77</f>
        <v>-36758.421371908829</v>
      </c>
      <c r="AE77" s="1021">
        <f>(VLOOKUP(YEAR($A77),'NY East Load Projections'!$A$4:$EO$14,((MONTH($A77)-1)*12)+VLOOKUP(AE$4,$DE$6:$DF$17,2)+1))*(VLOOKUP($A77,CURVES!$D$9:$K$261,6))*(INDEX(DailyScalarsTable,AE$5/100,MONTH($A77)))*$B77</f>
        <v>-37767.149745512201</v>
      </c>
      <c r="AF77" s="1021"/>
      <c r="AG77" s="1021">
        <f>(VLOOKUP(YEAR($A77),'NY East Load Projections'!$A$4:$EO$14,((MONTH($A77)-1)*12)+VLOOKUP(AG$4,$DE$6:$DF$17,2)+1))*(VLOOKUP($A77,CURVES!$D$9:$T$261,6))*(INDEX(DailyScalarsTable,AG$5/100,MONTH($A77)))*$C77</f>
        <v>-8201.966077893645</v>
      </c>
      <c r="AH77" s="1021">
        <f>(VLOOKUP(YEAR($A77),'NY East Load Projections'!$A$4:$EO$14,((MONTH($A77)-1)*12)+VLOOKUP(AH$4,$DE$6:$DF$17,2)+1))*(VLOOKUP($A77,CURVES!$D$9:$T$261,6))*(INDEX(DailyScalarsTable,AH$5/100,MONTH($A77)))*$C77</f>
        <v>-7775.7638599675956</v>
      </c>
      <c r="AI77" s="1021">
        <f>(VLOOKUP(YEAR($A77),'NY East Load Projections'!$A$4:$EO$14,((MONTH($A77)-1)*12)+VLOOKUP(AI$4,$DE$6:$DF$17,2)+1))*(VLOOKUP($A77,CURVES!$D$9:$T$261,6))*(INDEX(DailyScalarsTable,AI$5/100,MONTH($A77)))*$C77</f>
        <v>-7462.5096418231906</v>
      </c>
      <c r="AJ77" s="1021">
        <f>(VLOOKUP(YEAR($A77),'NY East Load Projections'!$A$4:$EO$14,((MONTH($A77)-1)*12)+VLOOKUP(AJ$4,$DE$6:$DF$17,2)+1))*(VLOOKUP($A77,CURVES!$D$9:$T$261,6))*(INDEX(DailyScalarsTable,AJ$5/100,MONTH($A77)))*$C77</f>
        <v>-7466.9216730646604</v>
      </c>
      <c r="AK77" s="1021">
        <f>(VLOOKUP(YEAR($A77),'NY East Load Projections'!$A$4:$EO$14,((MONTH($A77)-1)*12)+VLOOKUP(AK$4,$DE$6:$DF$17,2)+1))*(VLOOKUP($A77,CURVES!$D$9:$T$261,6))*(INDEX(DailyScalarsTable,AK$5/100,MONTH($A77)))*$C77</f>
        <v>-8179.5910328046048</v>
      </c>
      <c r="AL77" s="1021">
        <f>(VLOOKUP(YEAR($A77),'NY East Load Projections'!$A$4:$EO$14,((MONTH($A77)-1)*12)+VLOOKUP(AL$4,$DE$6:$DF$17,2)+1))*(VLOOKUP($A77,CURVES!$D$9:$T$261,6))*(INDEX(DailyScalarsTable,AL$5/100,MONTH($A77)))*$C77</f>
        <v>-9423.8994756327957</v>
      </c>
      <c r="AM77" s="1021">
        <f>(VLOOKUP(YEAR($A77),'NY East Load Projections'!$A$4:$EO$14,((MONTH($A77)-1)*12)+VLOOKUP(AM$4,$DE$6:$DF$17,2)+1))*(VLOOKUP($A77,CURVES!$D$9:$T$261,6))*(INDEX(DailyScalarsTable,AM$5/100,MONTH($A77)))*$C77</f>
        <v>-13498.806602400098</v>
      </c>
      <c r="AN77" s="1021">
        <f>(VLOOKUP(YEAR($A77),'NY East Load Projections'!$A$4:$EO$14,((MONTH($A77)-1)*12)+VLOOKUP(AN$4,$DE$6:$DF$17,2)+1))*(VLOOKUP($A77,SatSunCurve,2))*(INDEX(DailyScalarsTable,AN$5/100,MONTH($A77)))*$C77</f>
        <v>-12109.644669465959</v>
      </c>
      <c r="AO77" s="1021">
        <f>(VLOOKUP(YEAR($A77),'NY East Load Projections'!$A$4:$EO$14,((MONTH($A77)-1)*12)+VLOOKUP(AO$4,$DE$6:$DF$17,2)+1))*(VLOOKUP($A77,SatSunCurve,2))*(INDEX(DailyScalarsTable,AO$5/100,MONTH($A77)))*$C77</f>
        <v>-13743.874355808539</v>
      </c>
      <c r="AP77" s="1021">
        <f>(VLOOKUP(YEAR($A77),'NY East Load Projections'!$A$4:$EO$14,((MONTH($A77)-1)*12)+VLOOKUP(AP$4,$DE$6:$DF$17,2)+1))*(VLOOKUP($A77,SatSunCurve,2))*(INDEX(DailyScalarsTable,AP$5/100,MONTH($A77)))*$C77</f>
        <v>-13674.198416042882</v>
      </c>
      <c r="AQ77" s="1021">
        <f>(VLOOKUP(YEAR($A77),'NY East Load Projections'!$A$4:$EO$14,((MONTH($A77)-1)*12)+VLOOKUP(AQ$4,$DE$6:$DF$17,2)+1))*(VLOOKUP($A77,SatSunCurve,2))*(INDEX(DailyScalarsTable,AQ$5/100,MONTH($A77)))*$C77</f>
        <v>-13376.59948687432</v>
      </c>
      <c r="AR77" s="1021">
        <f>(VLOOKUP(YEAR($A77),'NY East Load Projections'!$A$4:$EO$14,((MONTH($A77)-1)*12)+VLOOKUP(AR$4,$DE$6:$DF$17,2)+1))*(VLOOKUP($A77,SatSunCurve,2))*(INDEX(DailyScalarsTable,AR$5/100,MONTH($A77)))*$C77</f>
        <v>-10869.446603442328</v>
      </c>
      <c r="AS77" s="1021">
        <f>(VLOOKUP(YEAR($A77),'NY East Load Projections'!$A$4:$EO$14,((MONTH($A77)-1)*12)+VLOOKUP(AS$4,$DE$6:$DF$17,2)+1))*(VLOOKUP($A77,SatSunCurve,2))*(INDEX(DailyScalarsTable,AS$5/100,MONTH($A77)))*$C77</f>
        <v>-10441.21701662763</v>
      </c>
      <c r="AT77" s="1021">
        <f>(VLOOKUP(YEAR($A77),'NY East Load Projections'!$A$4:$EO$14,((MONTH($A77)-1)*12)+VLOOKUP(AT$4,$DE$6:$DF$17,2)+1))*(VLOOKUP($A77,SatSunCurve,2))*(INDEX(DailyScalarsTable,AT$5/100,MONTH($A77)))*$C77</f>
        <v>-9991.2983041726493</v>
      </c>
      <c r="AU77" s="1021">
        <f>(VLOOKUP(YEAR($A77),'NY East Load Projections'!$A$4:$EO$14,((MONTH($A77)-1)*12)+VLOOKUP(AU$4,$DE$6:$DF$17,2)+1))*(VLOOKUP($A77,SatSunCurve,2))*(INDEX(DailyScalarsTable,AU$5/100,MONTH($A77)))*$C77</f>
        <v>-9488.8691849589995</v>
      </c>
      <c r="AV77" s="1021">
        <f>(VLOOKUP(YEAR($A77),'NY East Load Projections'!$A$4:$EO$14,((MONTH($A77)-1)*12)+VLOOKUP(AV$4,$DE$6:$DF$17,2)+1))*(VLOOKUP($A77,SatSunCurve,2))*(INDEX(DailyScalarsTable,AV$5/100,MONTH($A77)))*$C77</f>
        <v>-9324.1774546704382</v>
      </c>
      <c r="AW77" s="1021">
        <f>(VLOOKUP(YEAR($A77),'NY East Load Projections'!$A$4:$EO$14,((MONTH($A77)-1)*12)+VLOOKUP(AW$4,$DE$6:$DF$17,2)+1))*(VLOOKUP($A77,SatSunCurve,2))*(INDEX(DailyScalarsTable,AW$5/100,MONTH($A77)))*$C77</f>
        <v>-10117.254487507727</v>
      </c>
      <c r="AX77" s="1021">
        <f>(VLOOKUP(YEAR($A77),'NY East Load Projections'!$A$4:$EO$14,((MONTH($A77)-1)*12)+VLOOKUP(AX$4,$DE$6:$DF$17,2)+1))*(VLOOKUP($A77,SatSunCurve,2))*(INDEX(DailyScalarsTable,AX$5/100,MONTH($A77)))*$C77</f>
        <v>-14258.695019338995</v>
      </c>
      <c r="AY77" s="1021">
        <f>(VLOOKUP(YEAR($A77),'NY East Load Projections'!$A$4:$EO$14,((MONTH($A77)-1)*12)+VLOOKUP(AY$4,$DE$6:$DF$17,2)+1))*(VLOOKUP($A77,SatSunCurve,2))*(INDEX(DailyScalarsTable,AY$5/100,MONTH($A77)))*$C77</f>
        <v>-14163.696198177597</v>
      </c>
      <c r="AZ77" s="1021">
        <f>(VLOOKUP(YEAR($A77),'NY East Load Projections'!$A$4:$EO$14,((MONTH($A77)-1)*12)+VLOOKUP(AZ$4,$DE$6:$DF$17,2)+1))*(VLOOKUP($A77,SatSunCurve,2))*(INDEX(DailyScalarsTable,AZ$5/100,MONTH($A77)))*$C77</f>
        <v>-13675.964342798197</v>
      </c>
      <c r="BA77" s="1021">
        <f>(VLOOKUP(YEAR($A77),'NY East Load Projections'!$A$4:$EO$14,((MONTH($A77)-1)*12)+VLOOKUP(BA$4,$DE$6:$DF$17,2)+1))*(VLOOKUP($A77,SatSunCurve,2))*(INDEX(DailyScalarsTable,BA$5/100,MONTH($A77)))*$C77</f>
        <v>-12836.274819067448</v>
      </c>
      <c r="BB77" s="1021">
        <f>(VLOOKUP(YEAR($A77),'NY East Load Projections'!$A$4:$EO$14,((MONTH($A77)-1)*12)+VLOOKUP(BB$4,$DE$6:$DF$17,2)+1))*(VLOOKUP($A77,SatSunCurve,2))*(INDEX(DailyScalarsTable,BB$5/100,MONTH($A77)))*$C77</f>
        <v>-9462.8505696813081</v>
      </c>
      <c r="BC77" s="1021">
        <f>(VLOOKUP(YEAR($A77),'NY East Load Projections'!$A$4:$EO$14,((MONTH($A77)-1)*12)+VLOOKUP(BC$4,$DE$6:$DF$17,2)+1))*(VLOOKUP($A77,SatSunCurve,2))*(INDEX(DailyScalarsTable,BC$5/100,MONTH($A77)))*$C77</f>
        <v>-7806.9906344111787</v>
      </c>
      <c r="BD77" s="1021">
        <f>(VLOOKUP(YEAR($A77),'NY East Load Projections'!$A$4:$EO$14,((MONTH($A77)-1)*12)+VLOOKUP(BD$4,$DE$6:$DF$17,2)+1))*(VLOOKUP($A77,CURVES!$D$9:$T$261,6))*(INDEX(DailyScalarsTable,BD$5/100,MONTH($A77)))*$C77</f>
        <v>-9460.0848984867098</v>
      </c>
      <c r="BE77" s="1021"/>
      <c r="BF77" s="1021">
        <f>(VLOOKUP(YEAR($A77),'NY East Load Projections'!$A$4:$EO$14,((MONTH($A77)-1)*12)+VLOOKUP(BF$4,$DE$6:$DF$17,2)+1))*(VLOOKUP($A77,CURVES!$D$9:$T$261,6))*(INDEX(DailyScalarsTable,BF$5/100,MONTH($A77)))*$D77</f>
        <v>-8201.966077893645</v>
      </c>
      <c r="BG77" s="1021">
        <f>(VLOOKUP(YEAR($A77),'NY East Load Projections'!$A$4:$EO$14,((MONTH($A77)-1)*12)+VLOOKUP(BG$4,$DE$6:$DF$17,2)+1))*(VLOOKUP($A77,CURVES!$D$9:$T$261,6))*(INDEX(DailyScalarsTable,BG$5/100,MONTH($A77)))*$D77</f>
        <v>-7775.7638599675956</v>
      </c>
      <c r="BH77" s="1021">
        <f>(VLOOKUP(YEAR($A77),'NY East Load Projections'!$A$4:$EO$14,((MONTH($A77)-1)*12)+VLOOKUP(BH$4,$DE$6:$DF$17,2)+1))*(VLOOKUP($A77,CURVES!$D$9:$T$261,6))*(INDEX(DailyScalarsTable,BH$5/100,MONTH($A77)))*$D77</f>
        <v>-7462.5096418231906</v>
      </c>
      <c r="BI77" s="1021">
        <f>(VLOOKUP(YEAR($A77),'NY East Load Projections'!$A$4:$EO$14,((MONTH($A77)-1)*12)+VLOOKUP(BI$4,$DE$6:$DF$17,2)+1))*(VLOOKUP($A77,CURVES!$D$9:$T$261,6))*(INDEX(DailyScalarsTable,BI$5/100,MONTH($A77)))*$D77</f>
        <v>-7466.9216730646604</v>
      </c>
      <c r="BJ77" s="1021">
        <f>(VLOOKUP(YEAR($A77),'NY East Load Projections'!$A$4:$EO$14,((MONTH($A77)-1)*12)+VLOOKUP(BJ$4,$DE$6:$DF$17,2)+1))*(VLOOKUP($A77,CURVES!$D$9:$T$261,6))*(INDEX(DailyScalarsTable,BJ$5/100,MONTH($A77)))*$D77</f>
        <v>-8179.5910328046048</v>
      </c>
      <c r="BK77" s="1021">
        <f>(VLOOKUP(YEAR($A77),'NY East Load Projections'!$A$4:$EO$14,((MONTH($A77)-1)*12)+VLOOKUP(BK$4,$DE$6:$DF$17,2)+1))*(VLOOKUP($A77,CURVES!$D$9:$T$261,6))*(INDEX(DailyScalarsTable,BK$5/100,MONTH($A77)))*$D77</f>
        <v>-9423.8994756327957</v>
      </c>
      <c r="BL77" s="1021">
        <f>(VLOOKUP(YEAR($A77),'NY East Load Projections'!$A$4:$EO$14,((MONTH($A77)-1)*12)+VLOOKUP(BL$4,$DE$6:$DF$17,2)+1))*(VLOOKUP($A77,CURVES!$D$9:$T$261,6))*(INDEX(DailyScalarsTable,BL$5/100,MONTH($A77)))*$D77</f>
        <v>-13498.806602400098</v>
      </c>
      <c r="BM77" s="1021">
        <f>(VLOOKUP(YEAR($A77),'NY East Load Projections'!$A$4:$EO$14,((MONTH($A77)-1)*12)+VLOOKUP(BM$4,$DE$6:$DF$17,2)+1))*(VLOOKUP($A77,SatSunCurve,6))*(INDEX(DailyScalarsTable,BM$5/100,MONTH($A77)))*$D77</f>
        <v>-9225.7115040854278</v>
      </c>
      <c r="BN77" s="1021">
        <f>(VLOOKUP(YEAR($A77),'NY East Load Projections'!$A$4:$EO$14,((MONTH($A77)-1)*12)+VLOOKUP(BN$4,$DE$6:$DF$17,2)+1))*(VLOOKUP($A77,SatSunCurve,6))*(INDEX(DailyScalarsTable,BN$5/100,MONTH($A77)))*$D77</f>
        <v>-10470.746517839762</v>
      </c>
      <c r="BO77" s="1021">
        <f>(VLOOKUP(YEAR($A77),'NY East Load Projections'!$A$4:$EO$14,((MONTH($A77)-1)*12)+VLOOKUP(BO$4,$DE$6:$DF$17,2)+1))*(VLOOKUP($A77,SatSunCurve,6))*(INDEX(DailyScalarsTable,BO$5/100,MONTH($A77)))*$D77</f>
        <v>-10417.664025611499</v>
      </c>
      <c r="BP77" s="1021">
        <f>(VLOOKUP(YEAR($A77),'NY East Load Projections'!$A$4:$EO$14,((MONTH($A77)-1)*12)+VLOOKUP(BP$4,$DE$6:$DF$17,2)+1))*(VLOOKUP($A77,SatSunCurve,6))*(INDEX(DailyScalarsTable,BP$5/100,MONTH($A77)))*$D77</f>
        <v>-10190.938804568739</v>
      </c>
      <c r="BQ77" s="1021">
        <f>(VLOOKUP(YEAR($A77),'NY East Load Projections'!$A$4:$EO$14,((MONTH($A77)-1)*12)+VLOOKUP(BQ$4,$DE$6:$DF$17,2)+1))*(VLOOKUP($A77,SatSunCurve,6))*(INDEX(DailyScalarsTable,BQ$5/100,MONTH($A77)))*$D77</f>
        <v>-8280.8687876093118</v>
      </c>
      <c r="BR77" s="1021">
        <f>(VLOOKUP(YEAR($A77),'NY East Load Projections'!$A$4:$EO$14,((MONTH($A77)-1)*12)+VLOOKUP(BR$4,$DE$6:$DF$17,2)+1))*(VLOOKUP($A77,SatSunCurve,6))*(INDEX(DailyScalarsTable,BR$5/100,MONTH($A77)))*$D77</f>
        <v>-7954.622829672353</v>
      </c>
      <c r="BS77" s="1021">
        <f>(VLOOKUP(YEAR($A77),'NY East Load Projections'!$A$4:$EO$14,((MONTH($A77)-1)*12)+VLOOKUP(BS$4,$DE$6:$DF$17,2)+1))*(VLOOKUP($A77,SatSunCurve,6))*(INDEX(DailyScalarsTable,BS$5/100,MONTH($A77)))*$D77</f>
        <v>-7611.8530494933066</v>
      </c>
      <c r="BT77" s="1021">
        <f>(VLOOKUP(YEAR($A77),'NY East Load Projections'!$A$4:$EO$14,((MONTH($A77)-1)*12)+VLOOKUP(BT$4,$DE$6:$DF$17,2)+1))*(VLOOKUP($A77,SatSunCurve,6))*(INDEX(DailyScalarsTable,BT$5/100,MONTH($A77)))*$D77</f>
        <v>-7229.078308232356</v>
      </c>
      <c r="BU77" s="1021">
        <f>(VLOOKUP(YEAR($A77),'NY East Load Projections'!$A$4:$EO$14,((MONTH($A77)-1)*12)+VLOOKUP(BU$4,$DE$6:$DF$17,2)+1))*(VLOOKUP($A77,SatSunCurve,6))*(INDEX(DailyScalarsTable,BU$5/100,MONTH($A77)))*$D77</f>
        <v>-7103.6082030209272</v>
      </c>
      <c r="BV77" s="1021">
        <f>(VLOOKUP(YEAR($A77),'NY East Load Projections'!$A$4:$EO$14,((MONTH($A77)-1)*12)+VLOOKUP(BV$4,$DE$6:$DF$17,2)+1))*(VLOOKUP($A77,SatSunCurve,6))*(INDEX(DailyScalarsTable,BV$5/100,MONTH($A77)))*$D77</f>
        <v>-7707.8125463508113</v>
      </c>
      <c r="BW77" s="1021">
        <f>(VLOOKUP(YEAR($A77),'NY East Load Projections'!$A$4:$EO$14,((MONTH($A77)-1)*12)+VLOOKUP(BW$4,$DE$6:$DF$17,2)+1))*(VLOOKUP($A77,SatSunCurve,6))*(INDEX(DailyScalarsTable,BW$5/100,MONTH($A77)))*$D77</f>
        <v>-10862.961735355575</v>
      </c>
      <c r="BX77" s="1021">
        <f>(VLOOKUP(YEAR($A77),'NY East Load Projections'!$A$4:$EO$14,((MONTH($A77)-1)*12)+VLOOKUP(BX$4,$DE$6:$DF$17,2)+1))*(VLOOKUP($A77,SatSunCurve,6))*(INDEX(DailyScalarsTable,BX$5/100,MONTH($A77)))*$D77</f>
        <v>-10790.587050450647</v>
      </c>
      <c r="BY77" s="1021">
        <f>(VLOOKUP(YEAR($A77),'NY East Load Projections'!$A$4:$EO$14,((MONTH($A77)-1)*12)+VLOOKUP(BY$4,$DE$6:$DF$17,2)+1))*(VLOOKUP($A77,SatSunCurve,6))*(INDEX(DailyScalarsTable,BY$5/100,MONTH($A77)))*$D77</f>
        <v>-10419.009393805738</v>
      </c>
      <c r="BZ77" s="1021">
        <f>(VLOOKUP(YEAR($A77),'NY East Load Projections'!$A$4:$EO$14,((MONTH($A77)-1)*12)+VLOOKUP(BZ$4,$DE$6:$DF$17,2)+1))*(VLOOKUP($A77,SatSunCurve,6))*(INDEX(DailyScalarsTable,BZ$5/100,MONTH($A77)))*$D77</f>
        <v>-9779.293406228011</v>
      </c>
      <c r="CA77" s="1021">
        <f>(VLOOKUP(YEAR($A77),'NY East Load Projections'!$A$4:$EO$14,((MONTH($A77)-1)*12)+VLOOKUP(CA$4,$DE$6:$DF$17,2)+1))*(VLOOKUP($A77,SatSunCurve,6))*(INDEX(DailyScalarsTable,CA$5/100,MONTH($A77)))*$D77</f>
        <v>-7209.2560719207468</v>
      </c>
      <c r="CB77" s="1021">
        <f>(VLOOKUP(YEAR($A77),'NY East Load Projections'!$A$4:$EO$14,((MONTH($A77)-1)*12)+VLOOKUP(CB$4,$DE$6:$DF$17,2)+1))*(VLOOKUP($A77,SatSunCurve,6))*(INDEX(DailyScalarsTable,CB$5/100,MONTH($A77)))*$D77</f>
        <v>-5947.7420910444216</v>
      </c>
      <c r="CC77" s="1021">
        <f>(VLOOKUP(YEAR($A77),'NY East Load Projections'!$A$4:$EO$14,((MONTH($A77)-1)*12)+VLOOKUP(CC$4,$DE$6:$DF$17,2)+1))*(VLOOKUP($A77,CURVES!$D$9:$T$261,6))*(INDEX(DailyScalarsTable,CC$5/100,MONTH($A77)))*$D77</f>
        <v>-9460.0848984867098</v>
      </c>
      <c r="CE77" s="1021">
        <f>(VLOOKUP(YEAR($A77),'NY East Load Projections'!$A$4:$EO$14,((MONTH($A77)-1)*12)+VLOOKUP(CE$4,$DE$6:$DF$17,2)+1))*(VLOOKUP($A77,CURVES!$D$9:$T$261,6))*(INDEX(DailyScalarsTable,CE$5/100,MONTH($A77)))*$E77</f>
        <v>-1640.393215578729</v>
      </c>
      <c r="CF77" s="1021">
        <f>(VLOOKUP(YEAR($A77),'NY East Load Projections'!$A$4:$EO$14,((MONTH($A77)-1)*12)+VLOOKUP(CF$4,$DE$6:$DF$17,2)+1))*(VLOOKUP($A77,CURVES!$D$9:$T$261,6))*(INDEX(DailyScalarsTable,CF$5/100,MONTH($A77)))*$E77</f>
        <v>-1555.1527719935191</v>
      </c>
      <c r="CG77" s="1021">
        <f>(VLOOKUP(YEAR($A77),'NY East Load Projections'!$A$4:$EO$14,((MONTH($A77)-1)*12)+VLOOKUP(CG$4,$DE$6:$DF$17,2)+1))*(VLOOKUP($A77,CURVES!$D$9:$T$261,6))*(INDEX(DailyScalarsTable,CG$5/100,MONTH($A77)))*$E77</f>
        <v>-1492.5019283646382</v>
      </c>
      <c r="CH77" s="1021">
        <f>(VLOOKUP(YEAR($A77),'NY East Load Projections'!$A$4:$EO$14,((MONTH($A77)-1)*12)+VLOOKUP(CH$4,$DE$6:$DF$17,2)+1))*(VLOOKUP($A77,CURVES!$D$9:$T$261,6))*(INDEX(DailyScalarsTable,CH$5/100,MONTH($A77)))*$E77</f>
        <v>-1493.384334612932</v>
      </c>
      <c r="CI77" s="1021">
        <f>(VLOOKUP(YEAR($A77),'NY East Load Projections'!$A$4:$EO$14,((MONTH($A77)-1)*12)+VLOOKUP(CI$4,$DE$6:$DF$17,2)+1))*(VLOOKUP($A77,CURVES!$D$9:$T$261,6))*(INDEX(DailyScalarsTable,CI$5/100,MONTH($A77)))*$E77</f>
        <v>-1635.9182065609209</v>
      </c>
      <c r="CJ77" s="1021">
        <f>(VLOOKUP(YEAR($A77),'NY East Load Projections'!$A$4:$EO$14,((MONTH($A77)-1)*12)+VLOOKUP(CJ$4,$DE$6:$DF$17,2)+1))*(VLOOKUP($A77,CURVES!$D$9:$T$261,6))*(INDEX(DailyScalarsTable,CJ$5/100,MONTH($A77)))*$E77</f>
        <v>-1884.7798951265593</v>
      </c>
      <c r="CK77" s="1021">
        <f>(VLOOKUP(YEAR($A77),'NY East Load Projections'!$A$4:$EO$14,((MONTH($A77)-1)*12)+VLOOKUP(CK$4,$DE$6:$DF$17,2)+1))*(VLOOKUP($A77,CURVES!$D$9:$T$261,6))*(INDEX(DailyScalarsTable,CK$5/100,MONTH($A77)))*$E77</f>
        <v>-2699.7613204800195</v>
      </c>
      <c r="CL77" s="1021">
        <f>(VLOOKUP(YEAR($A77),'NY East Load Projections'!$A$4:$EO$14,((MONTH($A77)-1)*12)+VLOOKUP(CL$4,$DE$6:$DF$17,2)+1))*(VLOOKUP($A77,SatSunCurve,6))*(INDEX(DailyScalarsTable,CL$5/100,MONTH($A77)))*$E77</f>
        <v>-1845.1423008170855</v>
      </c>
      <c r="CM77" s="1021">
        <f>(VLOOKUP(YEAR($A77),'NY East Load Projections'!$A$4:$EO$14,((MONTH($A77)-1)*12)+VLOOKUP(CM$4,$DE$6:$DF$17,2)+1))*(VLOOKUP($A77,SatSunCurve,6))*(INDEX(DailyScalarsTable,CM$5/100,MONTH($A77)))*$E77</f>
        <v>-2094.1493035679523</v>
      </c>
      <c r="CN77" s="1021">
        <f>(VLOOKUP(YEAR($A77),'NY East Load Projections'!$A$4:$EO$14,((MONTH($A77)-1)*12)+VLOOKUP(CN$4,$DE$6:$DF$17,2)+1))*(VLOOKUP($A77,SatSunCurve,6))*(INDEX(DailyScalarsTable,CN$5/100,MONTH($A77)))*$E77</f>
        <v>-2083.5328051222996</v>
      </c>
      <c r="CO77" s="1021">
        <f>(VLOOKUP(YEAR($A77),'NY East Load Projections'!$A$4:$EO$14,((MONTH($A77)-1)*12)+VLOOKUP(CO$4,$DE$6:$DF$17,2)+1))*(VLOOKUP($A77,SatSunCurve,6))*(INDEX(DailyScalarsTable,CO$5/100,MONTH($A77)))*$E77</f>
        <v>-2038.187760913748</v>
      </c>
      <c r="CP77" s="1021">
        <f>(VLOOKUP(YEAR($A77),'NY East Load Projections'!$A$4:$EO$14,((MONTH($A77)-1)*12)+VLOOKUP(CP$4,$DE$6:$DF$17,2)+1))*(VLOOKUP($A77,SatSunCurve,6))*(INDEX(DailyScalarsTable,CP$5/100,MONTH($A77)))*$E77</f>
        <v>-1656.1737575218624</v>
      </c>
      <c r="CQ77" s="1021">
        <f>(VLOOKUP(YEAR($A77),'NY East Load Projections'!$A$4:$EO$14,((MONTH($A77)-1)*12)+VLOOKUP(CQ$4,$DE$6:$DF$17,2)+1))*(VLOOKUP($A77,SatSunCurve,6))*(INDEX(DailyScalarsTable,CQ$5/100,MONTH($A77)))*$E77</f>
        <v>-1590.9245659344706</v>
      </c>
      <c r="CR77" s="1021">
        <f>(VLOOKUP(YEAR($A77),'NY East Load Projections'!$A$4:$EO$14,((MONTH($A77)-1)*12)+VLOOKUP(CR$4,$DE$6:$DF$17,2)+1))*(VLOOKUP($A77,SatSunCurve,6))*(INDEX(DailyScalarsTable,CR$5/100,MONTH($A77)))*$E77</f>
        <v>-1522.3706098986613</v>
      </c>
      <c r="CS77" s="1021">
        <f>(VLOOKUP(YEAR($A77),'NY East Load Projections'!$A$4:$EO$14,((MONTH($A77)-1)*12)+VLOOKUP(CS$4,$DE$6:$DF$17,2)+1))*(VLOOKUP($A77,SatSunCurve,6))*(INDEX(DailyScalarsTable,CS$5/100,MONTH($A77)))*$E77</f>
        <v>-1445.8156616464712</v>
      </c>
      <c r="CT77" s="1021">
        <f>(VLOOKUP(YEAR($A77),'NY East Load Projections'!$A$4:$EO$14,((MONTH($A77)-1)*12)+VLOOKUP(CT$4,$DE$6:$DF$17,2)+1))*(VLOOKUP($A77,SatSunCurve,6))*(INDEX(DailyScalarsTable,CT$5/100,MONTH($A77)))*$E77</f>
        <v>-1420.7216406041855</v>
      </c>
      <c r="CU77" s="1021">
        <f>(VLOOKUP(YEAR($A77),'NY East Load Projections'!$A$4:$EO$14,((MONTH($A77)-1)*12)+VLOOKUP(CU$4,$DE$6:$DF$17,2)+1))*(VLOOKUP($A77,SatSunCurve,6))*(INDEX(DailyScalarsTable,CU$5/100,MONTH($A77)))*$E77</f>
        <v>-1541.5625092701623</v>
      </c>
      <c r="CV77" s="1021">
        <f>(VLOOKUP(YEAR($A77),'NY East Load Projections'!$A$4:$EO$14,((MONTH($A77)-1)*12)+VLOOKUP(CV$4,$DE$6:$DF$17,2)+1))*(VLOOKUP($A77,SatSunCurve,6))*(INDEX(DailyScalarsTable,CV$5/100,MONTH($A77)))*$E77</f>
        <v>-2172.592347071115</v>
      </c>
      <c r="CW77" s="1021">
        <f>(VLOOKUP(YEAR($A77),'NY East Load Projections'!$A$4:$EO$14,((MONTH($A77)-1)*12)+VLOOKUP(CW$4,$DE$6:$DF$17,2)+1))*(VLOOKUP($A77,SatSunCurve,6))*(INDEX(DailyScalarsTable,CW$5/100,MONTH($A77)))*$E77</f>
        <v>-2158.1174100901294</v>
      </c>
      <c r="CX77" s="1021">
        <f>(VLOOKUP(YEAR($A77),'NY East Load Projections'!$A$4:$EO$14,((MONTH($A77)-1)*12)+VLOOKUP(CX$4,$DE$6:$DF$17,2)+1))*(VLOOKUP($A77,SatSunCurve,6))*(INDEX(DailyScalarsTable,CX$5/100,MONTH($A77)))*$E77</f>
        <v>-2083.8018787611477</v>
      </c>
      <c r="CY77" s="1021">
        <f>(VLOOKUP(YEAR($A77),'NY East Load Projections'!$A$4:$EO$14,((MONTH($A77)-1)*12)+VLOOKUP(CY$4,$DE$6:$DF$17,2)+1))*(VLOOKUP($A77,SatSunCurve,6))*(INDEX(DailyScalarsTable,CY$5/100,MONTH($A77)))*$E77</f>
        <v>-1955.8586812456022</v>
      </c>
      <c r="CZ77" s="1021">
        <f>(VLOOKUP(YEAR($A77),'NY East Load Projections'!$A$4:$EO$14,((MONTH($A77)-1)*12)+VLOOKUP(CZ$4,$DE$6:$DF$17,2)+1))*(VLOOKUP($A77,SatSunCurve,6))*(INDEX(DailyScalarsTable,CZ$5/100,MONTH($A77)))*$E77</f>
        <v>-1441.8512143841494</v>
      </c>
      <c r="DA77" s="1021">
        <f>(VLOOKUP(YEAR($A77),'NY East Load Projections'!$A$4:$EO$14,((MONTH($A77)-1)*12)+VLOOKUP(DA$4,$DE$6:$DF$17,2)+1))*(VLOOKUP($A77,SatSunCurve,6))*(INDEX(DailyScalarsTable,DA$5/100,MONTH($A77)))*$E77</f>
        <v>-1189.5484182088844</v>
      </c>
      <c r="DB77" s="1021">
        <f>(VLOOKUP(YEAR($A77),'NY East Load Projections'!$A$4:$EO$14,((MONTH($A77)-1)*12)+VLOOKUP(DB$4,$DE$6:$DF$17,2)+1))*(VLOOKUP($A77,CURVES!$D$9:$T$261,6))*(INDEX(DailyScalarsTable,DB$5/100,MONTH($A77)))*$E77</f>
        <v>-1892.0169796973421</v>
      </c>
      <c r="DH77" s="1021">
        <f t="shared" si="2"/>
        <v>-1706933.0795948203</v>
      </c>
      <c r="DI77">
        <f ca="1">CALC!J97</f>
        <v>0.60797735907077</v>
      </c>
      <c r="DJ77" s="1029">
        <f t="shared" ca="1" si="3"/>
        <v>-1037776.6658425953</v>
      </c>
    </row>
    <row r="78" spans="1:114" x14ac:dyDescent="0.25">
      <c r="A78" s="244">
        <v>39083</v>
      </c>
      <c r="B78" s="13">
        <v>22</v>
      </c>
      <c r="C78" s="210">
        <v>4</v>
      </c>
      <c r="D78" s="210">
        <v>4</v>
      </c>
      <c r="E78" s="210">
        <v>1</v>
      </c>
      <c r="F78" s="13">
        <v>31</v>
      </c>
      <c r="H78" s="1021">
        <f>(VLOOKUP(YEAR($A78),'NY East Load Projections'!$A$4:$EO$14,((MONTH($A78)-1)*12)+VLOOKUP(H$4,$DE$6:$DF$17,2)+1))*(VLOOKUP($A78,CURVES!$D$9:$K$261,6))*(INDEX(DailyScalarsTable,H$5/100,MONTH($A78)))*$B78</f>
        <v>-32543.975976325681</v>
      </c>
      <c r="I78" s="1021">
        <f>(VLOOKUP(YEAR($A78),'NY East Load Projections'!$A$4:$EO$14,((MONTH($A78)-1)*12)+VLOOKUP(I$4,$DE$6:$DF$17,2)+1))*(VLOOKUP($A78,CURVES!$D$9:$K$261,6))*(INDEX(DailyScalarsTable,I$5/100,MONTH($A78)))*$B78</f>
        <v>-31909.92865623645</v>
      </c>
      <c r="J78" s="1021">
        <f>(VLOOKUP(YEAR($A78),'NY East Load Projections'!$A$4:$EO$14,((MONTH($A78)-1)*12)+VLOOKUP(J$4,$DE$6:$DF$17,2)+1))*(VLOOKUP($A78,CURVES!$D$9:$K$261,6))*(INDEX(DailyScalarsTable,J$5/100,MONTH($A78)))*$B78</f>
        <v>-29240.681395123167</v>
      </c>
      <c r="K78" s="1021">
        <f>(VLOOKUP(YEAR($A78),'NY East Load Projections'!$A$4:$EO$14,((MONTH($A78)-1)*12)+VLOOKUP(K$4,$DE$6:$DF$17,2)+1))*(VLOOKUP($A78,CURVES!$D$9:$K$261,6))*(INDEX(DailyScalarsTable,K$5/100,MONTH($A78)))*$B78</f>
        <v>-29223.002025870799</v>
      </c>
      <c r="L78" s="1021">
        <f>(VLOOKUP(YEAR($A78),'NY East Load Projections'!$A$4:$EO$14,((MONTH($A78)-1)*12)+VLOOKUP(L$4,$DE$6:$DF$17,2)+1))*(VLOOKUP($A78,CURVES!$D$9:$K$261,6))*(INDEX(DailyScalarsTable,L$5/100,MONTH($A78)))*$B78</f>
        <v>-33136.287115331696</v>
      </c>
      <c r="M78" s="1021">
        <f>(VLOOKUP(YEAR($A78),'NY East Load Projections'!$A$4:$EO$14,((MONTH($A78)-1)*12)+VLOOKUP(M$4,$DE$6:$DF$17,2)+1))*(VLOOKUP($A78,CURVES!$D$9:$K$261,6))*(INDEX(DailyScalarsTable,M$5/100,MONTH($A78)))*$B78</f>
        <v>-35363.640614283111</v>
      </c>
      <c r="N78" s="1021">
        <f>(VLOOKUP(YEAR($A78),'NY East Load Projections'!$A$4:$EO$14,((MONTH($A78)-1)*12)+VLOOKUP(N$4,$DE$6:$DF$17,2)+1))*(VLOOKUP($A78,CURVES!$D$9:$K$261,6))*(INDEX(DailyScalarsTable,N$5/100,MONTH($A78)))*$B78</f>
        <v>-67720.94118077241</v>
      </c>
      <c r="O78" s="1021">
        <f>(VLOOKUP(YEAR($A78),'NY East Load Projections'!$A$4:$EO$14,((MONTH($A78)-1)*12)+VLOOKUP(O$4,$DE$6:$DF$17,2)+1))*(VLOOKUP($A78,CURVES!$D$9:$K$261,2))*(INDEX(DailyScalarsTable,O$5/100,MONTH($A78)))*$B78</f>
        <v>-79425.063343467613</v>
      </c>
      <c r="P78" s="1021">
        <f>(VLOOKUP(YEAR($A78),'NY East Load Projections'!$A$4:$EO$14,((MONTH($A78)-1)*12)+VLOOKUP(P$4,$DE$6:$DF$17,2)+1))*(VLOOKUP($A78,CURVES!$D$9:$K$261,2))*(INDEX(DailyScalarsTable,P$5/100,MONTH($A78)))*$B78</f>
        <v>-87744.712120318567</v>
      </c>
      <c r="Q78" s="1021">
        <f>(VLOOKUP(YEAR($A78),'NY East Load Projections'!$A$4:$EO$14,((MONTH($A78)-1)*12)+VLOOKUP(Q$4,$DE$6:$DF$17,2)+1))*(VLOOKUP($A78,CURVES!$D$9:$K$261,2))*(INDEX(DailyScalarsTable,Q$5/100,MONTH($A78)))*$B78</f>
        <v>-87477.652461156191</v>
      </c>
      <c r="R78" s="1021">
        <f>(VLOOKUP(YEAR($A78),'NY East Load Projections'!$A$4:$EO$14,((MONTH($A78)-1)*12)+VLOOKUP(R$4,$DE$6:$DF$17,2)+1))*(VLOOKUP($A78,CURVES!$D$9:$K$261,2))*(INDEX(DailyScalarsTable,R$5/100,MONTH($A78)))*$B78</f>
        <v>-85951.052689545177</v>
      </c>
      <c r="S78" s="1021">
        <f>(VLOOKUP(YEAR($A78),'NY East Load Projections'!$A$4:$EO$14,((MONTH($A78)-1)*12)+VLOOKUP(S$4,$DE$6:$DF$17,2)+1))*(VLOOKUP($A78,CURVES!$D$9:$K$261,2))*(INDEX(DailyScalarsTable,S$5/100,MONTH($A78)))*$B78</f>
        <v>-64385.470574482075</v>
      </c>
      <c r="T78" s="1021">
        <f>(VLOOKUP(YEAR($A78),'NY East Load Projections'!$A$4:$EO$14,((MONTH($A78)-1)*12)+VLOOKUP(T$4,$DE$6:$DF$17,2)+1))*(VLOOKUP($A78,CURVES!$D$9:$K$261,2))*(INDEX(DailyScalarsTable,T$5/100,MONTH($A78)))*$B78</f>
        <v>-63216.565085626447</v>
      </c>
      <c r="U78" s="1021">
        <f>(VLOOKUP(YEAR($A78),'NY East Load Projections'!$A$4:$EO$14,((MONTH($A78)-1)*12)+VLOOKUP(U$4,$DE$6:$DF$17,2)+1))*(VLOOKUP($A78,CURVES!$D$9:$K$261,2))*(INDEX(DailyScalarsTable,U$5/100,MONTH($A78)))*$B78</f>
        <v>-61175.412539576741</v>
      </c>
      <c r="V78" s="1021">
        <f>(VLOOKUP(YEAR($A78),'NY East Load Projections'!$A$4:$EO$14,((MONTH($A78)-1)*12)+VLOOKUP(V$4,$DE$6:$DF$17,2)+1))*(VLOOKUP($A78,CURVES!$D$9:$K$261,2))*(INDEX(DailyScalarsTable,V$5/100,MONTH($A78)))*$B78</f>
        <v>-58061.915358827013</v>
      </c>
      <c r="W78" s="1021">
        <f>(VLOOKUP(YEAR($A78),'NY East Load Projections'!$A$4:$EO$14,((MONTH($A78)-1)*12)+VLOOKUP(W$4,$DE$6:$DF$17,2)+1))*(VLOOKUP($A78,CURVES!$D$9:$K$261,2))*(INDEX(DailyScalarsTable,W$5/100,MONTH($A78)))*$B78</f>
        <v>-56893.429481015948</v>
      </c>
      <c r="X78" s="1021">
        <f>(VLOOKUP(YEAR($A78),'NY East Load Projections'!$A$4:$EO$14,((MONTH($A78)-1)*12)+VLOOKUP(X$4,$DE$6:$DF$17,2)+1))*(VLOOKUP($A78,CURVES!$D$9:$K$261,2))*(INDEX(DailyScalarsTable,X$5/100,MONTH($A78)))*$B78</f>
        <v>-59399.961036138768</v>
      </c>
      <c r="Y78" s="1021">
        <f>(VLOOKUP(YEAR($A78),'NY East Load Projections'!$A$4:$EO$14,((MONTH($A78)-1)*12)+VLOOKUP(Y$4,$DE$6:$DF$17,2)+1))*(VLOOKUP($A78,CURVES!$D$9:$K$261,2))*(INDEX(DailyScalarsTable,Y$5/100,MONTH($A78)))*$B78</f>
        <v>-82652.465187976413</v>
      </c>
      <c r="Z78" s="1021">
        <f>(VLOOKUP(YEAR($A78),'NY East Load Projections'!$A$4:$EO$14,((MONTH($A78)-1)*12)+VLOOKUP(Z$4,$DE$6:$DF$17,2)+1))*(VLOOKUP($A78,CURVES!$D$9:$K$261,2))*(INDEX(DailyScalarsTable,Z$5/100,MONTH($A78)))*$B78</f>
        <v>-90691.715401978217</v>
      </c>
      <c r="AA78" s="1021">
        <f>(VLOOKUP(YEAR($A78),'NY East Load Projections'!$A$4:$EO$14,((MONTH($A78)-1)*12)+VLOOKUP(AA$4,$DE$6:$DF$17,2)+1))*(VLOOKUP($A78,CURVES!$D$9:$K$261,2))*(INDEX(DailyScalarsTable,AA$5/100,MONTH($A78)))*$B78</f>
        <v>-86807.708660483884</v>
      </c>
      <c r="AB78" s="1021">
        <f>(VLOOKUP(YEAR($A78),'NY East Load Projections'!$A$4:$EO$14,((MONTH($A78)-1)*12)+VLOOKUP(AB$4,$DE$6:$DF$17,2)+1))*(VLOOKUP($A78,CURVES!$D$9:$K$261,2))*(INDEX(DailyScalarsTable,AB$5/100,MONTH($A78)))*$B78</f>
        <v>-75424.849950331307</v>
      </c>
      <c r="AC78" s="1021">
        <f>(VLOOKUP(YEAR($A78),'NY East Load Projections'!$A$4:$EO$14,((MONTH($A78)-1)*12)+VLOOKUP(AC$4,$DE$6:$DF$17,2)+1))*(VLOOKUP($A78,CURVES!$D$9:$K$261,2))*(INDEX(DailyScalarsTable,AC$5/100,MONTH($A78)))*$B78</f>
        <v>-53643.900197038936</v>
      </c>
      <c r="AD78" s="1021">
        <f>(VLOOKUP(YEAR($A78),'NY East Load Projections'!$A$4:$EO$14,((MONTH($A78)-1)*12)+VLOOKUP(AD$4,$DE$6:$DF$17,2)+1))*(VLOOKUP($A78,CURVES!$D$9:$K$261,2))*(INDEX(DailyScalarsTable,AD$5/100,MONTH($A78)))*$B78</f>
        <v>-43914.209230077518</v>
      </c>
      <c r="AE78" s="1021">
        <f>(VLOOKUP(YEAR($A78),'NY East Load Projections'!$A$4:$EO$14,((MONTH($A78)-1)*12)+VLOOKUP(AE$4,$DE$6:$DF$17,2)+1))*(VLOOKUP($A78,CURVES!$D$9:$K$261,6))*(INDEX(DailyScalarsTable,AE$5/100,MONTH($A78)))*$B78</f>
        <v>-38538.015281818225</v>
      </c>
      <c r="AF78" s="1021"/>
      <c r="AG78" s="1021">
        <f>(VLOOKUP(YEAR($A78),'NY East Load Projections'!$A$4:$EO$14,((MONTH($A78)-1)*12)+VLOOKUP(AG$4,$DE$6:$DF$17,2)+1))*(VLOOKUP($A78,CURVES!$D$9:$T$261,6))*(INDEX(DailyScalarsTable,AG$5/100,MONTH($A78)))*$C78</f>
        <v>-6302.5933592099473</v>
      </c>
      <c r="AH78" s="1021">
        <f>(VLOOKUP(YEAR($A78),'NY East Load Projections'!$A$4:$EO$14,((MONTH($A78)-1)*12)+VLOOKUP(AH$4,$DE$6:$DF$17,2)+1))*(VLOOKUP($A78,CURVES!$D$9:$T$261,6))*(INDEX(DailyScalarsTable,AH$5/100,MONTH($A78)))*$C78</f>
        <v>-6179.8012814402773</v>
      </c>
      <c r="AI78" s="1021">
        <f>(VLOOKUP(YEAR($A78),'NY East Load Projections'!$A$4:$EO$14,((MONTH($A78)-1)*12)+VLOOKUP(AI$4,$DE$6:$DF$17,2)+1))*(VLOOKUP($A78,CURVES!$D$9:$T$261,6))*(INDEX(DailyScalarsTable,AI$5/100,MONTH($A78)))*$C78</f>
        <v>-5662.8644426772435</v>
      </c>
      <c r="AJ78" s="1021">
        <f>(VLOOKUP(YEAR($A78),'NY East Load Projections'!$A$4:$EO$14,((MONTH($A78)-1)*12)+VLOOKUP(AJ$4,$DE$6:$DF$17,2)+1))*(VLOOKUP($A78,CURVES!$D$9:$T$261,6))*(INDEX(DailyScalarsTable,AJ$5/100,MONTH($A78)))*$C78</f>
        <v>-5659.4405870510573</v>
      </c>
      <c r="AK78" s="1021">
        <f>(VLOOKUP(YEAR($A78),'NY East Load Projections'!$A$4:$EO$14,((MONTH($A78)-1)*12)+VLOOKUP(AK$4,$DE$6:$DF$17,2)+1))*(VLOOKUP($A78,CURVES!$D$9:$T$261,6))*(INDEX(DailyScalarsTable,AK$5/100,MONTH($A78)))*$C78</f>
        <v>-5955.9280430644194</v>
      </c>
      <c r="AL78" s="1021">
        <f>(VLOOKUP(YEAR($A78),'NY East Load Projections'!$A$4:$EO$14,((MONTH($A78)-1)*12)+VLOOKUP(AL$4,$DE$6:$DF$17,2)+1))*(VLOOKUP($A78,CURVES!$D$9:$T$261,6))*(INDEX(DailyScalarsTable,AL$5/100,MONTH($A78)))*$C78</f>
        <v>-6356.2733539331311</v>
      </c>
      <c r="AM78" s="1021">
        <f>(VLOOKUP(YEAR($A78),'NY East Load Projections'!$A$4:$EO$14,((MONTH($A78)-1)*12)+VLOOKUP(AM$4,$DE$6:$DF$17,2)+1))*(VLOOKUP($A78,CURVES!$D$9:$T$261,6))*(INDEX(DailyScalarsTable,AM$5/100,MONTH($A78)))*$C78</f>
        <v>-12172.186077379143</v>
      </c>
      <c r="AN78" s="1021">
        <f>(VLOOKUP(YEAR($A78),'NY East Load Projections'!$A$4:$EO$14,((MONTH($A78)-1)*12)+VLOOKUP(AN$4,$DE$6:$DF$17,2)+1))*(VLOOKUP($A78,SatSunCurve,2))*(INDEX(DailyScalarsTable,AN$5/100,MONTH($A78)))*$C78</f>
        <v>-11400.24540640938</v>
      </c>
      <c r="AO78" s="1021">
        <f>(VLOOKUP(YEAR($A78),'NY East Load Projections'!$A$4:$EO$14,((MONTH($A78)-1)*12)+VLOOKUP(AO$4,$DE$6:$DF$17,2)+1))*(VLOOKUP($A78,SatSunCurve,2))*(INDEX(DailyScalarsTable,AO$5/100,MONTH($A78)))*$C78</f>
        <v>-12824.889274518146</v>
      </c>
      <c r="AP78" s="1021">
        <f>(VLOOKUP(YEAR($A78),'NY East Load Projections'!$A$4:$EO$14,((MONTH($A78)-1)*12)+VLOOKUP(AP$4,$DE$6:$DF$17,2)+1))*(VLOOKUP($A78,SatSunCurve,2))*(INDEX(DailyScalarsTable,AP$5/100,MONTH($A78)))*$C78</f>
        <v>-12785.855462956355</v>
      </c>
      <c r="AQ78" s="1021">
        <f>(VLOOKUP(YEAR($A78),'NY East Load Projections'!$A$4:$EO$14,((MONTH($A78)-1)*12)+VLOOKUP(AQ$4,$DE$6:$DF$17,2)+1))*(VLOOKUP($A78,SatSunCurve,2))*(INDEX(DailyScalarsTable,AQ$5/100,MONTH($A78)))*$C78</f>
        <v>-12562.725515130336</v>
      </c>
      <c r="AR78" s="1021">
        <f>(VLOOKUP(YEAR($A78),'NY East Load Projections'!$A$4:$EO$14,((MONTH($A78)-1)*12)+VLOOKUP(AR$4,$DE$6:$DF$17,2)+1))*(VLOOKUP($A78,SatSunCurve,2))*(INDEX(DailyScalarsTable,AR$5/100,MONTH($A78)))*$C78</f>
        <v>-9410.6700113529405</v>
      </c>
      <c r="AS78" s="1021">
        <f>(VLOOKUP(YEAR($A78),'NY East Load Projections'!$A$4:$EO$14,((MONTH($A78)-1)*12)+VLOOKUP(AS$4,$DE$6:$DF$17,2)+1))*(VLOOKUP($A78,SatSunCurve,2))*(INDEX(DailyScalarsTable,AS$5/100,MONTH($A78)))*$C78</f>
        <v>-9133.4743912518843</v>
      </c>
      <c r="AT78" s="1021">
        <f>(VLOOKUP(YEAR($A78),'NY East Load Projections'!$A$4:$EO$14,((MONTH($A78)-1)*12)+VLOOKUP(AT$4,$DE$6:$DF$17,2)+1))*(VLOOKUP($A78,SatSunCurve,2))*(INDEX(DailyScalarsTable,AT$5/100,MONTH($A78)))*$C78</f>
        <v>-8838.5704450673365</v>
      </c>
      <c r="AU78" s="1021">
        <f>(VLOOKUP(YEAR($A78),'NY East Load Projections'!$A$4:$EO$14,((MONTH($A78)-1)*12)+VLOOKUP(AU$4,$DE$6:$DF$17,2)+1))*(VLOOKUP($A78,SatSunCurve,2))*(INDEX(DailyScalarsTable,AU$5/100,MONTH($A78)))*$C78</f>
        <v>-8388.7350778800355</v>
      </c>
      <c r="AV78" s="1021">
        <f>(VLOOKUP(YEAR($A78),'NY East Load Projections'!$A$4:$EO$14,((MONTH($A78)-1)*12)+VLOOKUP(AV$4,$DE$6:$DF$17,2)+1))*(VLOOKUP($A78,SatSunCurve,2))*(INDEX(DailyScalarsTable,AV$5/100,MONTH($A78)))*$C78</f>
        <v>-8219.9132536149682</v>
      </c>
      <c r="AW78" s="1021">
        <f>(VLOOKUP(YEAR($A78),'NY East Load Projections'!$A$4:$EO$14,((MONTH($A78)-1)*12)+VLOOKUP(AW$4,$DE$6:$DF$17,2)+1))*(VLOOKUP($A78,SatSunCurve,2))*(INDEX(DailyScalarsTable,AW$5/100,MONTH($A78)))*$C78</f>
        <v>-8530.9287981982197</v>
      </c>
      <c r="AX78" s="1021">
        <f>(VLOOKUP(YEAR($A78),'NY East Load Projections'!$A$4:$EO$14,((MONTH($A78)-1)*12)+VLOOKUP(AX$4,$DE$6:$DF$17,2)+1))*(VLOOKUP($A78,SatSunCurve,2))*(INDEX(DailyScalarsTable,AX$5/100,MONTH($A78)))*$C78</f>
        <v>-11870.416801876376</v>
      </c>
      <c r="AY78" s="1021">
        <f>(VLOOKUP(YEAR($A78),'NY East Load Projections'!$A$4:$EO$14,((MONTH($A78)-1)*12)+VLOOKUP(AY$4,$DE$6:$DF$17,2)+1))*(VLOOKUP($A78,SatSunCurve,2))*(INDEX(DailyScalarsTable,AY$5/100,MONTH($A78)))*$C78</f>
        <v>-13025.001248906974</v>
      </c>
      <c r="AZ78" s="1021">
        <f>(VLOOKUP(YEAR($A78),'NY East Load Projections'!$A$4:$EO$14,((MONTH($A78)-1)*12)+VLOOKUP(AZ$4,$DE$6:$DF$17,2)+1))*(VLOOKUP($A78,SatSunCurve,2))*(INDEX(DailyScalarsTable,AZ$5/100,MONTH($A78)))*$C78</f>
        <v>-12467.186321330651</v>
      </c>
      <c r="BA78" s="1021">
        <f>(VLOOKUP(YEAR($A78),'NY East Load Projections'!$A$4:$EO$14,((MONTH($A78)-1)*12)+VLOOKUP(BA$4,$DE$6:$DF$17,2)+1))*(VLOOKUP($A78,SatSunCurve,2))*(INDEX(DailyScalarsTable,BA$5/100,MONTH($A78)))*$C78</f>
        <v>-11310.823459214891</v>
      </c>
      <c r="BB78" s="1021">
        <f>(VLOOKUP(YEAR($A78),'NY East Load Projections'!$A$4:$EO$14,((MONTH($A78)-1)*12)+VLOOKUP(BB$4,$DE$6:$DF$17,2)+1))*(VLOOKUP($A78,SatSunCurve,2))*(INDEX(DailyScalarsTable,BB$5/100,MONTH($A78)))*$C78</f>
        <v>-8044.5196137879102</v>
      </c>
      <c r="BC78" s="1021">
        <f>(VLOOKUP(YEAR($A78),'NY East Load Projections'!$A$4:$EO$14,((MONTH($A78)-1)*12)+VLOOKUP(BC$4,$DE$6:$DF$17,2)+1))*(VLOOKUP($A78,SatSunCurve,2))*(INDEX(DailyScalarsTable,BC$5/100,MONTH($A78)))*$C78</f>
        <v>-6585.440584628569</v>
      </c>
      <c r="BD78" s="1021">
        <f>(VLOOKUP(YEAR($A78),'NY East Load Projections'!$A$4:$EO$14,((MONTH($A78)-1)*12)+VLOOKUP(BD$4,$DE$6:$DF$17,2)+1))*(VLOOKUP($A78,CURVES!$D$9:$T$261,6))*(INDEX(DailyScalarsTable,BD$5/100,MONTH($A78)))*$C78</f>
        <v>-7236.9918051102068</v>
      </c>
      <c r="BE78" s="1021"/>
      <c r="BF78" s="1021">
        <f>(VLOOKUP(YEAR($A78),'NY East Load Projections'!$A$4:$EO$14,((MONTH($A78)-1)*12)+VLOOKUP(BF$4,$DE$6:$DF$17,2)+1))*(VLOOKUP($A78,CURVES!$D$9:$T$261,6))*(INDEX(DailyScalarsTable,BF$5/100,MONTH($A78)))*$D78</f>
        <v>-6302.5933592099473</v>
      </c>
      <c r="BG78" s="1021">
        <f>(VLOOKUP(YEAR($A78),'NY East Load Projections'!$A$4:$EO$14,((MONTH($A78)-1)*12)+VLOOKUP(BG$4,$DE$6:$DF$17,2)+1))*(VLOOKUP($A78,CURVES!$D$9:$T$261,6))*(INDEX(DailyScalarsTable,BG$5/100,MONTH($A78)))*$D78</f>
        <v>-6179.8012814402773</v>
      </c>
      <c r="BH78" s="1021">
        <f>(VLOOKUP(YEAR($A78),'NY East Load Projections'!$A$4:$EO$14,((MONTH($A78)-1)*12)+VLOOKUP(BH$4,$DE$6:$DF$17,2)+1))*(VLOOKUP($A78,CURVES!$D$9:$T$261,6))*(INDEX(DailyScalarsTable,BH$5/100,MONTH($A78)))*$D78</f>
        <v>-5662.8644426772435</v>
      </c>
      <c r="BI78" s="1021">
        <f>(VLOOKUP(YEAR($A78),'NY East Load Projections'!$A$4:$EO$14,((MONTH($A78)-1)*12)+VLOOKUP(BI$4,$DE$6:$DF$17,2)+1))*(VLOOKUP($A78,CURVES!$D$9:$T$261,6))*(INDEX(DailyScalarsTable,BI$5/100,MONTH($A78)))*$D78</f>
        <v>-5659.4405870510573</v>
      </c>
      <c r="BJ78" s="1021">
        <f>(VLOOKUP(YEAR($A78),'NY East Load Projections'!$A$4:$EO$14,((MONTH($A78)-1)*12)+VLOOKUP(BJ$4,$DE$6:$DF$17,2)+1))*(VLOOKUP($A78,CURVES!$D$9:$T$261,6))*(INDEX(DailyScalarsTable,BJ$5/100,MONTH($A78)))*$D78</f>
        <v>-5955.9280430644194</v>
      </c>
      <c r="BK78" s="1021">
        <f>(VLOOKUP(YEAR($A78),'NY East Load Projections'!$A$4:$EO$14,((MONTH($A78)-1)*12)+VLOOKUP(BK$4,$DE$6:$DF$17,2)+1))*(VLOOKUP($A78,CURVES!$D$9:$T$261,6))*(INDEX(DailyScalarsTable,BK$5/100,MONTH($A78)))*$D78</f>
        <v>-6356.2733539331311</v>
      </c>
      <c r="BL78" s="1021">
        <f>(VLOOKUP(YEAR($A78),'NY East Load Projections'!$A$4:$EO$14,((MONTH($A78)-1)*12)+VLOOKUP(BL$4,$DE$6:$DF$17,2)+1))*(VLOOKUP($A78,CURVES!$D$9:$T$261,6))*(INDEX(DailyScalarsTable,BL$5/100,MONTH($A78)))*$D78</f>
        <v>-12172.186077379143</v>
      </c>
      <c r="BM78" s="1021">
        <f>(VLOOKUP(YEAR($A78),'NY East Load Projections'!$A$4:$EO$14,((MONTH($A78)-1)*12)+VLOOKUP(BM$4,$DE$6:$DF$17,2)+1))*(VLOOKUP($A78,SatSunCurve,6))*(INDEX(DailyScalarsTable,BM$5/100,MONTH($A78)))*$D78</f>
        <v>-9844.3738512878135</v>
      </c>
      <c r="BN78" s="1021">
        <f>(VLOOKUP(YEAR($A78),'NY East Load Projections'!$A$4:$EO$14,((MONTH($A78)-1)*12)+VLOOKUP(BN$4,$DE$6:$DF$17,2)+1))*(VLOOKUP($A78,SatSunCurve,6))*(INDEX(DailyScalarsTable,BN$5/100,MONTH($A78)))*$D78</f>
        <v>-11074.586565368738</v>
      </c>
      <c r="BO78" s="1021">
        <f>(VLOOKUP(YEAR($A78),'NY East Load Projections'!$A$4:$EO$14,((MONTH($A78)-1)*12)+VLOOKUP(BO$4,$DE$6:$DF$17,2)+1))*(VLOOKUP($A78,SatSunCurve,6))*(INDEX(DailyScalarsTable,BO$5/100,MONTH($A78)))*$D78</f>
        <v>-11040.879972207247</v>
      </c>
      <c r="BP78" s="1021">
        <f>(VLOOKUP(YEAR($A78),'NY East Load Projections'!$A$4:$EO$14,((MONTH($A78)-1)*12)+VLOOKUP(BP$4,$DE$6:$DF$17,2)+1))*(VLOOKUP($A78,SatSunCurve,6))*(INDEX(DailyScalarsTable,BP$5/100,MONTH($A78)))*$D78</f>
        <v>-10848.202135414125</v>
      </c>
      <c r="BQ78" s="1021">
        <f>(VLOOKUP(YEAR($A78),'NY East Load Projections'!$A$4:$EO$14,((MONTH($A78)-1)*12)+VLOOKUP(BQ$4,$DE$6:$DF$17,2)+1))*(VLOOKUP($A78,SatSunCurve,6))*(INDEX(DailyScalarsTable,BQ$5/100,MONTH($A78)))*$D78</f>
        <v>-8126.3297832848893</v>
      </c>
      <c r="BR78" s="1021">
        <f>(VLOOKUP(YEAR($A78),'NY East Load Projections'!$A$4:$EO$14,((MONTH($A78)-1)*12)+VLOOKUP(BR$4,$DE$6:$DF$17,2)+1))*(VLOOKUP($A78,SatSunCurve,6))*(INDEX(DailyScalarsTable,BR$5/100,MONTH($A78)))*$D78</f>
        <v>-7886.9649962180983</v>
      </c>
      <c r="BS78" s="1021">
        <f>(VLOOKUP(YEAR($A78),'NY East Load Projections'!$A$4:$EO$14,((MONTH($A78)-1)*12)+VLOOKUP(BS$4,$DE$6:$DF$17,2)+1))*(VLOOKUP($A78,SatSunCurve,6))*(INDEX(DailyScalarsTable,BS$5/100,MONTH($A78)))*$D78</f>
        <v>-7632.3086626949125</v>
      </c>
      <c r="BT78" s="1021">
        <f>(VLOOKUP(YEAR($A78),'NY East Load Projections'!$A$4:$EO$14,((MONTH($A78)-1)*12)+VLOOKUP(BT$4,$DE$6:$DF$17,2)+1))*(VLOOKUP($A78,SatSunCurve,6))*(INDEX(DailyScalarsTable,BT$5/100,MONTH($A78)))*$D78</f>
        <v>-7243.8654872845455</v>
      </c>
      <c r="BU78" s="1021">
        <f>(VLOOKUP(YEAR($A78),'NY East Load Projections'!$A$4:$EO$14,((MONTH($A78)-1)*12)+VLOOKUP(BU$4,$DE$6:$DF$17,2)+1))*(VLOOKUP($A78,SatSunCurve,6))*(INDEX(DailyScalarsTable,BU$5/100,MONTH($A78)))*$D78</f>
        <v>-7098.0839630212713</v>
      </c>
      <c r="BV78" s="1021">
        <f>(VLOOKUP(YEAR($A78),'NY East Load Projections'!$A$4:$EO$14,((MONTH($A78)-1)*12)+VLOOKUP(BV$4,$DE$6:$DF$17,2)+1))*(VLOOKUP($A78,SatSunCurve,6))*(INDEX(DailyScalarsTable,BV$5/100,MONTH($A78)))*$D78</f>
        <v>-7366.6530319571075</v>
      </c>
      <c r="BW78" s="1021">
        <f>(VLOOKUP(YEAR($A78),'NY East Load Projections'!$A$4:$EO$14,((MONTH($A78)-1)*12)+VLOOKUP(BW$4,$DE$6:$DF$17,2)+1))*(VLOOKUP($A78,SatSunCurve,6))*(INDEX(DailyScalarsTable,BW$5/100,MONTH($A78)))*$D78</f>
        <v>-10250.377654377578</v>
      </c>
      <c r="BX78" s="1021">
        <f>(VLOOKUP(YEAR($A78),'NY East Load Projections'!$A$4:$EO$14,((MONTH($A78)-1)*12)+VLOOKUP(BX$4,$DE$6:$DF$17,2)+1))*(VLOOKUP($A78,SatSunCurve,6))*(INDEX(DailyScalarsTable,BX$5/100,MONTH($A78)))*$D78</f>
        <v>-11247.387853216052</v>
      </c>
      <c r="BY78" s="1021">
        <f>(VLOOKUP(YEAR($A78),'NY East Load Projections'!$A$4:$EO$14,((MONTH($A78)-1)*12)+VLOOKUP(BY$4,$DE$6:$DF$17,2)+1))*(VLOOKUP($A78,SatSunCurve,6))*(INDEX(DailyScalarsTable,BY$5/100,MONTH($A78)))*$D78</f>
        <v>-10765.701846368951</v>
      </c>
      <c r="BZ78" s="1021">
        <f>(VLOOKUP(YEAR($A78),'NY East Load Projections'!$A$4:$EO$14,((MONTH($A78)-1)*12)+VLOOKUP(BZ$4,$DE$6:$DF$17,2)+1))*(VLOOKUP($A78,SatSunCurve,6))*(INDEX(DailyScalarsTable,BZ$5/100,MONTH($A78)))*$D78</f>
        <v>-9767.1559452418878</v>
      </c>
      <c r="CA78" s="1021">
        <f>(VLOOKUP(YEAR($A78),'NY East Load Projections'!$A$4:$EO$14,((MONTH($A78)-1)*12)+VLOOKUP(CA$4,$DE$6:$DF$17,2)+1))*(VLOOKUP($A78,SatSunCurve,6))*(INDEX(DailyScalarsTable,CA$5/100,MONTH($A78)))*$D78</f>
        <v>-6946.6275250199524</v>
      </c>
      <c r="CB78" s="1021">
        <f>(VLOOKUP(YEAR($A78),'NY East Load Projections'!$A$4:$EO$14,((MONTH($A78)-1)*12)+VLOOKUP(CB$4,$DE$6:$DF$17,2)+1))*(VLOOKUP($A78,SatSunCurve,6))*(INDEX(DailyScalarsTable,CB$5/100,MONTH($A78)))*$D78</f>
        <v>-5686.6792581569298</v>
      </c>
      <c r="CC78" s="1021">
        <f>(VLOOKUP(YEAR($A78),'NY East Load Projections'!$A$4:$EO$14,((MONTH($A78)-1)*12)+VLOOKUP(CC$4,$DE$6:$DF$17,2)+1))*(VLOOKUP($A78,CURVES!$D$9:$T$261,6))*(INDEX(DailyScalarsTable,CC$5/100,MONTH($A78)))*$D78</f>
        <v>-7236.9918051102068</v>
      </c>
      <c r="CE78" s="1021">
        <f>(VLOOKUP(YEAR($A78),'NY East Load Projections'!$A$4:$EO$14,((MONTH($A78)-1)*12)+VLOOKUP(CE$4,$DE$6:$DF$17,2)+1))*(VLOOKUP($A78,CURVES!$D$9:$T$261,6))*(INDEX(DailyScalarsTable,CE$5/100,MONTH($A78)))*$E78</f>
        <v>-1575.6483398024868</v>
      </c>
      <c r="CF78" s="1021">
        <f>(VLOOKUP(YEAR($A78),'NY East Load Projections'!$A$4:$EO$14,((MONTH($A78)-1)*12)+VLOOKUP(CF$4,$DE$6:$DF$17,2)+1))*(VLOOKUP($A78,CURVES!$D$9:$T$261,6))*(INDEX(DailyScalarsTable,CF$5/100,MONTH($A78)))*$E78</f>
        <v>-1544.9503203600693</v>
      </c>
      <c r="CG78" s="1021">
        <f>(VLOOKUP(YEAR($A78),'NY East Load Projections'!$A$4:$EO$14,((MONTH($A78)-1)*12)+VLOOKUP(CG$4,$DE$6:$DF$17,2)+1))*(VLOOKUP($A78,CURVES!$D$9:$T$261,6))*(INDEX(DailyScalarsTable,CG$5/100,MONTH($A78)))*$E78</f>
        <v>-1415.7161106693109</v>
      </c>
      <c r="CH78" s="1021">
        <f>(VLOOKUP(YEAR($A78),'NY East Load Projections'!$A$4:$EO$14,((MONTH($A78)-1)*12)+VLOOKUP(CH$4,$DE$6:$DF$17,2)+1))*(VLOOKUP($A78,CURVES!$D$9:$T$261,6))*(INDEX(DailyScalarsTable,CH$5/100,MONTH($A78)))*$E78</f>
        <v>-1414.8601467627643</v>
      </c>
      <c r="CI78" s="1021">
        <f>(VLOOKUP(YEAR($A78),'NY East Load Projections'!$A$4:$EO$14,((MONTH($A78)-1)*12)+VLOOKUP(CI$4,$DE$6:$DF$17,2)+1))*(VLOOKUP($A78,CURVES!$D$9:$T$261,6))*(INDEX(DailyScalarsTable,CI$5/100,MONTH($A78)))*$E78</f>
        <v>-1488.9820107661048</v>
      </c>
      <c r="CJ78" s="1021">
        <f>(VLOOKUP(YEAR($A78),'NY East Load Projections'!$A$4:$EO$14,((MONTH($A78)-1)*12)+VLOOKUP(CJ$4,$DE$6:$DF$17,2)+1))*(VLOOKUP($A78,CURVES!$D$9:$T$261,6))*(INDEX(DailyScalarsTable,CJ$5/100,MONTH($A78)))*$E78</f>
        <v>-1589.0683384832828</v>
      </c>
      <c r="CK78" s="1021">
        <f>(VLOOKUP(YEAR($A78),'NY East Load Projections'!$A$4:$EO$14,((MONTH($A78)-1)*12)+VLOOKUP(CK$4,$DE$6:$DF$17,2)+1))*(VLOOKUP($A78,CURVES!$D$9:$T$261,6))*(INDEX(DailyScalarsTable,CK$5/100,MONTH($A78)))*$E78</f>
        <v>-3043.0465193447858</v>
      </c>
      <c r="CL78" s="1021">
        <f>(VLOOKUP(YEAR($A78),'NY East Load Projections'!$A$4:$EO$14,((MONTH($A78)-1)*12)+VLOOKUP(CL$4,$DE$6:$DF$17,2)+1))*(VLOOKUP($A78,SatSunCurve,6))*(INDEX(DailyScalarsTable,CL$5/100,MONTH($A78)))*$E78</f>
        <v>-2461.0934628219534</v>
      </c>
      <c r="CM78" s="1021">
        <f>(VLOOKUP(YEAR($A78),'NY East Load Projections'!$A$4:$EO$14,((MONTH($A78)-1)*12)+VLOOKUP(CM$4,$DE$6:$DF$17,2)+1))*(VLOOKUP($A78,SatSunCurve,6))*(INDEX(DailyScalarsTable,CM$5/100,MONTH($A78)))*$E78</f>
        <v>-2768.6466413421845</v>
      </c>
      <c r="CN78" s="1021">
        <f>(VLOOKUP(YEAR($A78),'NY East Load Projections'!$A$4:$EO$14,((MONTH($A78)-1)*12)+VLOOKUP(CN$4,$DE$6:$DF$17,2)+1))*(VLOOKUP($A78,SatSunCurve,6))*(INDEX(DailyScalarsTable,CN$5/100,MONTH($A78)))*$E78</f>
        <v>-2760.2199930518118</v>
      </c>
      <c r="CO78" s="1021">
        <f>(VLOOKUP(YEAR($A78),'NY East Load Projections'!$A$4:$EO$14,((MONTH($A78)-1)*12)+VLOOKUP(CO$4,$DE$6:$DF$17,2)+1))*(VLOOKUP($A78,SatSunCurve,6))*(INDEX(DailyScalarsTable,CO$5/100,MONTH($A78)))*$E78</f>
        <v>-2712.0505338535313</v>
      </c>
      <c r="CP78" s="1021">
        <f>(VLOOKUP(YEAR($A78),'NY East Load Projections'!$A$4:$EO$14,((MONTH($A78)-1)*12)+VLOOKUP(CP$4,$DE$6:$DF$17,2)+1))*(VLOOKUP($A78,SatSunCurve,6))*(INDEX(DailyScalarsTable,CP$5/100,MONTH($A78)))*$E78</f>
        <v>-2031.5824458212223</v>
      </c>
      <c r="CQ78" s="1021">
        <f>(VLOOKUP(YEAR($A78),'NY East Load Projections'!$A$4:$EO$14,((MONTH($A78)-1)*12)+VLOOKUP(CQ$4,$DE$6:$DF$17,2)+1))*(VLOOKUP($A78,SatSunCurve,6))*(INDEX(DailyScalarsTable,CQ$5/100,MONTH($A78)))*$E78</f>
        <v>-1971.7412490545246</v>
      </c>
      <c r="CR78" s="1021">
        <f>(VLOOKUP(YEAR($A78),'NY East Load Projections'!$A$4:$EO$14,((MONTH($A78)-1)*12)+VLOOKUP(CR$4,$DE$6:$DF$17,2)+1))*(VLOOKUP($A78,SatSunCurve,6))*(INDEX(DailyScalarsTable,CR$5/100,MONTH($A78)))*$E78</f>
        <v>-1908.0771656737281</v>
      </c>
      <c r="CS78" s="1021">
        <f>(VLOOKUP(YEAR($A78),'NY East Load Projections'!$A$4:$EO$14,((MONTH($A78)-1)*12)+VLOOKUP(CS$4,$DE$6:$DF$17,2)+1))*(VLOOKUP($A78,SatSunCurve,6))*(INDEX(DailyScalarsTable,CS$5/100,MONTH($A78)))*$E78</f>
        <v>-1810.9663718211364</v>
      </c>
      <c r="CT78" s="1021">
        <f>(VLOOKUP(YEAR($A78),'NY East Load Projections'!$A$4:$EO$14,((MONTH($A78)-1)*12)+VLOOKUP(CT$4,$DE$6:$DF$17,2)+1))*(VLOOKUP($A78,SatSunCurve,6))*(INDEX(DailyScalarsTable,CT$5/100,MONTH($A78)))*$E78</f>
        <v>-1774.5209907553178</v>
      </c>
      <c r="CU78" s="1021">
        <f>(VLOOKUP(YEAR($A78),'NY East Load Projections'!$A$4:$EO$14,((MONTH($A78)-1)*12)+VLOOKUP(CU$4,$DE$6:$DF$17,2)+1))*(VLOOKUP($A78,SatSunCurve,6))*(INDEX(DailyScalarsTable,CU$5/100,MONTH($A78)))*$E78</f>
        <v>-1841.6632579892769</v>
      </c>
      <c r="CV78" s="1021">
        <f>(VLOOKUP(YEAR($A78),'NY East Load Projections'!$A$4:$EO$14,((MONTH($A78)-1)*12)+VLOOKUP(CV$4,$DE$6:$DF$17,2)+1))*(VLOOKUP($A78,SatSunCurve,6))*(INDEX(DailyScalarsTable,CV$5/100,MONTH($A78)))*$E78</f>
        <v>-2562.5944135943946</v>
      </c>
      <c r="CW78" s="1021">
        <f>(VLOOKUP(YEAR($A78),'NY East Load Projections'!$A$4:$EO$14,((MONTH($A78)-1)*12)+VLOOKUP(CW$4,$DE$6:$DF$17,2)+1))*(VLOOKUP($A78,SatSunCurve,6))*(INDEX(DailyScalarsTable,CW$5/100,MONTH($A78)))*$E78</f>
        <v>-2811.8469633040131</v>
      </c>
      <c r="CX78" s="1021">
        <f>(VLOOKUP(YEAR($A78),'NY East Load Projections'!$A$4:$EO$14,((MONTH($A78)-1)*12)+VLOOKUP(CX$4,$DE$6:$DF$17,2)+1))*(VLOOKUP($A78,SatSunCurve,6))*(INDEX(DailyScalarsTable,CX$5/100,MONTH($A78)))*$E78</f>
        <v>-2691.4254615922378</v>
      </c>
      <c r="CY78" s="1021">
        <f>(VLOOKUP(YEAR($A78),'NY East Load Projections'!$A$4:$EO$14,((MONTH($A78)-1)*12)+VLOOKUP(CY$4,$DE$6:$DF$17,2)+1))*(VLOOKUP($A78,SatSunCurve,6))*(INDEX(DailyScalarsTable,CY$5/100,MONTH($A78)))*$E78</f>
        <v>-2441.788986310472</v>
      </c>
      <c r="CZ78" s="1021">
        <f>(VLOOKUP(YEAR($A78),'NY East Load Projections'!$A$4:$EO$14,((MONTH($A78)-1)*12)+VLOOKUP(CZ$4,$DE$6:$DF$17,2)+1))*(VLOOKUP($A78,SatSunCurve,6))*(INDEX(DailyScalarsTable,CZ$5/100,MONTH($A78)))*$E78</f>
        <v>-1736.6568812549881</v>
      </c>
      <c r="DA78" s="1021">
        <f>(VLOOKUP(YEAR($A78),'NY East Load Projections'!$A$4:$EO$14,((MONTH($A78)-1)*12)+VLOOKUP(DA$4,$DE$6:$DF$17,2)+1))*(VLOOKUP($A78,SatSunCurve,6))*(INDEX(DailyScalarsTable,DA$5/100,MONTH($A78)))*$E78</f>
        <v>-1421.6698145392324</v>
      </c>
      <c r="DB78" s="1021">
        <f>(VLOOKUP(YEAR($A78),'NY East Load Projections'!$A$4:$EO$14,((MONTH($A78)-1)*12)+VLOOKUP(DB$4,$DE$6:$DF$17,2)+1))*(VLOOKUP($A78,CURVES!$D$9:$T$261,6))*(INDEX(DailyScalarsTable,DB$5/100,MONTH($A78)))*$E78</f>
        <v>-1809.2479512775517</v>
      </c>
      <c r="DH78" s="1021">
        <f t="shared" si="2"/>
        <v>-1903408.3520310246</v>
      </c>
      <c r="DI78">
        <f ca="1">CALC!J98</f>
        <v>0.60415868903812819</v>
      </c>
      <c r="DJ78" s="1029">
        <f t="shared" ca="1" si="3"/>
        <v>-1149960.6946672879</v>
      </c>
    </row>
    <row r="79" spans="1:114" x14ac:dyDescent="0.25">
      <c r="A79" s="244">
        <v>39114</v>
      </c>
      <c r="B79" s="13">
        <v>20</v>
      </c>
      <c r="C79" s="210">
        <v>4</v>
      </c>
      <c r="D79" s="210">
        <v>4</v>
      </c>
      <c r="E79" s="210">
        <v>0</v>
      </c>
      <c r="F79" s="13">
        <v>28</v>
      </c>
      <c r="H79" s="1021">
        <f>(VLOOKUP(YEAR($A79),'NY East Load Projections'!$A$4:$EO$14,((MONTH($A79)-1)*12)+VLOOKUP(H$4,$DE$6:$DF$17,2)+1))*(VLOOKUP($A79,CURVES!$D$9:$K$261,6))*(INDEX(DailyScalarsTable,H$5/100,MONTH($A79)))*$B79</f>
        <v>-28754.646027865343</v>
      </c>
      <c r="I79" s="1021">
        <f>(VLOOKUP(YEAR($A79),'NY East Load Projections'!$A$4:$EO$14,((MONTH($A79)-1)*12)+VLOOKUP(I$4,$DE$6:$DF$17,2)+1))*(VLOOKUP($A79,CURVES!$D$9:$K$261,6))*(INDEX(DailyScalarsTable,I$5/100,MONTH($A79)))*$B79</f>
        <v>-28194.425412309785</v>
      </c>
      <c r="J79" s="1021">
        <f>(VLOOKUP(YEAR($A79),'NY East Load Projections'!$A$4:$EO$14,((MONTH($A79)-1)*12)+VLOOKUP(J$4,$DE$6:$DF$17,2)+1))*(VLOOKUP($A79,CURVES!$D$9:$K$261,6))*(INDEX(DailyScalarsTable,J$5/100,MONTH($A79)))*$B79</f>
        <v>-25835.977870128823</v>
      </c>
      <c r="K79" s="1021">
        <f>(VLOOKUP(YEAR($A79),'NY East Load Projections'!$A$4:$EO$14,((MONTH($A79)-1)*12)+VLOOKUP(K$4,$DE$6:$DF$17,2)+1))*(VLOOKUP($A79,CURVES!$D$9:$K$261,6))*(INDEX(DailyScalarsTable,K$5/100,MONTH($A79)))*$B79</f>
        <v>-25820.357037406433</v>
      </c>
      <c r="L79" s="1021">
        <f>(VLOOKUP(YEAR($A79),'NY East Load Projections'!$A$4:$EO$14,((MONTH($A79)-1)*12)+VLOOKUP(L$4,$DE$6:$DF$17,2)+1))*(VLOOKUP($A79,CURVES!$D$9:$K$261,6))*(INDEX(DailyScalarsTable,L$5/100,MONTH($A79)))*$B79</f>
        <v>-29091.364111104769</v>
      </c>
      <c r="M79" s="1021">
        <f>(VLOOKUP(YEAR($A79),'NY East Load Projections'!$A$4:$EO$14,((MONTH($A79)-1)*12)+VLOOKUP(M$4,$DE$6:$DF$17,2)+1))*(VLOOKUP($A79,CURVES!$D$9:$K$261,6))*(INDEX(DailyScalarsTable,M$5/100,MONTH($A79)))*$B79</f>
        <v>-31046.826152359179</v>
      </c>
      <c r="N79" s="1021">
        <f>(VLOOKUP(YEAR($A79),'NY East Load Projections'!$A$4:$EO$14,((MONTH($A79)-1)*12)+VLOOKUP(N$4,$DE$6:$DF$17,2)+1))*(VLOOKUP($A79,CURVES!$D$9:$K$261,6))*(INDEX(DailyScalarsTable,N$5/100,MONTH($A79)))*$B79</f>
        <v>-59454.294048684285</v>
      </c>
      <c r="O79" s="1021">
        <f>(VLOOKUP(YEAR($A79),'NY East Load Projections'!$A$4:$EO$14,((MONTH($A79)-1)*12)+VLOOKUP(O$4,$DE$6:$DF$17,2)+1))*(VLOOKUP($A79,CURVES!$D$9:$K$261,2))*(INDEX(DailyScalarsTable,O$5/100,MONTH($A79)))*$B79</f>
        <v>-70392.143102023896</v>
      </c>
      <c r="P79" s="1021">
        <f>(VLOOKUP(YEAR($A79),'NY East Load Projections'!$A$4:$EO$14,((MONTH($A79)-1)*12)+VLOOKUP(P$4,$DE$6:$DF$17,2)+1))*(VLOOKUP($A79,CURVES!$D$9:$K$261,2))*(INDEX(DailyScalarsTable,P$5/100,MONTH($A79)))*$B79</f>
        <v>-77620.915476583963</v>
      </c>
      <c r="Q79" s="1021">
        <f>(VLOOKUP(YEAR($A79),'NY East Load Projections'!$A$4:$EO$14,((MONTH($A79)-1)*12)+VLOOKUP(Q$4,$DE$6:$DF$17,2)+1))*(VLOOKUP($A79,CURVES!$D$9:$K$261,2))*(INDEX(DailyScalarsTable,Q$5/100,MONTH($A79)))*$B79</f>
        <v>-77384.668587966633</v>
      </c>
      <c r="R79" s="1021">
        <f>(VLOOKUP(YEAR($A79),'NY East Load Projections'!$A$4:$EO$14,((MONTH($A79)-1)*12)+VLOOKUP(R$4,$DE$6:$DF$17,2)+1))*(VLOOKUP($A79,CURVES!$D$9:$K$261,2))*(INDEX(DailyScalarsTable,R$5/100,MONTH($A79)))*$B79</f>
        <v>-76034.204622955222</v>
      </c>
      <c r="S79" s="1021">
        <f>(VLOOKUP(YEAR($A79),'NY East Load Projections'!$A$4:$EO$14,((MONTH($A79)-1)*12)+VLOOKUP(S$4,$DE$6:$DF$17,2)+1))*(VLOOKUP($A79,CURVES!$D$9:$K$261,2))*(INDEX(DailyScalarsTable,S$5/100,MONTH($A79)))*$B79</f>
        <v>-56956.813107198919</v>
      </c>
      <c r="T79" s="1021">
        <f>(VLOOKUP(YEAR($A79),'NY East Load Projections'!$A$4:$EO$14,((MONTH($A79)-1)*12)+VLOOKUP(T$4,$DE$6:$DF$17,2)+1))*(VLOOKUP($A79,CURVES!$D$9:$K$261,2))*(INDEX(DailyScalarsTable,T$5/100,MONTH($A79)))*$B79</f>
        <v>-55765.09370042674</v>
      </c>
      <c r="U79" s="1021">
        <f>(VLOOKUP(YEAR($A79),'NY East Load Projections'!$A$4:$EO$14,((MONTH($A79)-1)*12)+VLOOKUP(U$4,$DE$6:$DF$17,2)+1))*(VLOOKUP($A79,CURVES!$D$9:$K$261,2))*(INDEX(DailyScalarsTable,U$5/100,MONTH($A79)))*$B79</f>
        <v>-53964.536159327334</v>
      </c>
      <c r="V79" s="1021">
        <f>(VLOOKUP(YEAR($A79),'NY East Load Projections'!$A$4:$EO$14,((MONTH($A79)-1)*12)+VLOOKUP(V$4,$DE$6:$DF$17,2)+1))*(VLOOKUP($A79,CURVES!$D$9:$K$261,2))*(INDEX(DailyScalarsTable,V$5/100,MONTH($A79)))*$B79</f>
        <v>-51218.033533230038</v>
      </c>
      <c r="W79" s="1021">
        <f>(VLOOKUP(YEAR($A79),'NY East Load Projections'!$A$4:$EO$14,((MONTH($A79)-1)*12)+VLOOKUP(W$4,$DE$6:$DF$17,2)+1))*(VLOOKUP($A79,CURVES!$D$9:$K$261,2))*(INDEX(DailyScalarsTable,W$5/100,MONTH($A79)))*$B79</f>
        <v>-50187.279578542693</v>
      </c>
      <c r="X79" s="1021">
        <f>(VLOOKUP(YEAR($A79),'NY East Load Projections'!$A$4:$EO$14,((MONTH($A79)-1)*12)+VLOOKUP(X$4,$DE$6:$DF$17,2)+1))*(VLOOKUP($A79,CURVES!$D$9:$K$261,2))*(INDEX(DailyScalarsTable,X$5/100,MONTH($A79)))*$B79</f>
        <v>-52449.173278265138</v>
      </c>
      <c r="Y79" s="1021">
        <f>(VLOOKUP(YEAR($A79),'NY East Load Projections'!$A$4:$EO$14,((MONTH($A79)-1)*12)+VLOOKUP(Y$4,$DE$6:$DF$17,2)+1))*(VLOOKUP($A79,CURVES!$D$9:$K$261,2))*(INDEX(DailyScalarsTable,Y$5/100,MONTH($A79)))*$B79</f>
        <v>-72980.745995481659</v>
      </c>
      <c r="Z79" s="1021">
        <f>(VLOOKUP(YEAR($A79),'NY East Load Projections'!$A$4:$EO$14,((MONTH($A79)-1)*12)+VLOOKUP(Z$4,$DE$6:$DF$17,2)+1))*(VLOOKUP($A79,CURVES!$D$9:$K$261,2))*(INDEX(DailyScalarsTable,Z$5/100,MONTH($A79)))*$B79</f>
        <v>-80079.269633316697</v>
      </c>
      <c r="AA79" s="1021">
        <f>(VLOOKUP(YEAR($A79),'NY East Load Projections'!$A$4:$EO$14,((MONTH($A79)-1)*12)+VLOOKUP(AA$4,$DE$6:$DF$17,2)+1))*(VLOOKUP($A79,CURVES!$D$9:$K$261,2))*(INDEX(DailyScalarsTable,AA$5/100,MONTH($A79)))*$B79</f>
        <v>-76649.756565544682</v>
      </c>
      <c r="AB79" s="1021">
        <f>(VLOOKUP(YEAR($A79),'NY East Load Projections'!$A$4:$EO$14,((MONTH($A79)-1)*12)+VLOOKUP(AB$4,$DE$6:$DF$17,2)+1))*(VLOOKUP($A79,CURVES!$D$9:$K$261,2))*(INDEX(DailyScalarsTable,AB$5/100,MONTH($A79)))*$B79</f>
        <v>-66665.38812562199</v>
      </c>
      <c r="AC79" s="1021">
        <f>(VLOOKUP(YEAR($A79),'NY East Load Projections'!$A$4:$EO$14,((MONTH($A79)-1)*12)+VLOOKUP(AC$4,$DE$6:$DF$17,2)+1))*(VLOOKUP($A79,CURVES!$D$9:$K$261,2))*(INDEX(DailyScalarsTable,AC$5/100,MONTH($A79)))*$B79</f>
        <v>-47413.968069710711</v>
      </c>
      <c r="AD79" s="1021">
        <f>(VLOOKUP(YEAR($A79),'NY East Load Projections'!$A$4:$EO$14,((MONTH($A79)-1)*12)+VLOOKUP(AD$4,$DE$6:$DF$17,2)+1))*(VLOOKUP($A79,CURVES!$D$9:$K$261,2))*(INDEX(DailyScalarsTable,AD$5/100,MONTH($A79)))*$B79</f>
        <v>-38814.234360170965</v>
      </c>
      <c r="AE79" s="1021">
        <f>(VLOOKUP(YEAR($A79),'NY East Load Projections'!$A$4:$EO$14,((MONTH($A79)-1)*12)+VLOOKUP(AE$4,$DE$6:$DF$17,2)+1))*(VLOOKUP($A79,CURVES!$D$9:$K$261,6))*(INDEX(DailyScalarsTable,AE$5/100,MONTH($A79)))*$B79</f>
        <v>-33741.852717023859</v>
      </c>
      <c r="AF79" s="1021"/>
      <c r="AG79" s="1021">
        <f>(VLOOKUP(YEAR($A79),'NY East Load Projections'!$A$4:$EO$14,((MONTH($A79)-1)*12)+VLOOKUP(AG$4,$DE$6:$DF$17,2)+1))*(VLOOKUP($A79,CURVES!$D$9:$T$261,6))*(INDEX(DailyScalarsTable,AG$5/100,MONTH($A79)))*$C79</f>
        <v>-6093.7902040556455</v>
      </c>
      <c r="AH79" s="1021">
        <f>(VLOOKUP(YEAR($A79),'NY East Load Projections'!$A$4:$EO$14,((MONTH($A79)-1)*12)+VLOOKUP(AH$4,$DE$6:$DF$17,2)+1))*(VLOOKUP($A79,CURVES!$D$9:$T$261,6))*(INDEX(DailyScalarsTable,AH$5/100,MONTH($A79)))*$C79</f>
        <v>-5975.0661934775217</v>
      </c>
      <c r="AI79" s="1021">
        <f>(VLOOKUP(YEAR($A79),'NY East Load Projections'!$A$4:$EO$14,((MONTH($A79)-1)*12)+VLOOKUP(AI$4,$DE$6:$DF$17,2)+1))*(VLOOKUP($A79,CURVES!$D$9:$T$261,6))*(INDEX(DailyScalarsTable,AI$5/100,MONTH($A79)))*$C79</f>
        <v>-5475.2553275953942</v>
      </c>
      <c r="AJ79" s="1021">
        <f>(VLOOKUP(YEAR($A79),'NY East Load Projections'!$A$4:$EO$14,((MONTH($A79)-1)*12)+VLOOKUP(AJ$4,$DE$6:$DF$17,2)+1))*(VLOOKUP($A79,CURVES!$D$9:$T$261,6))*(INDEX(DailyScalarsTable,AJ$5/100,MONTH($A79)))*$C79</f>
        <v>-5471.9449033484516</v>
      </c>
      <c r="AK79" s="1021">
        <f>(VLOOKUP(YEAR($A79),'NY East Load Projections'!$A$4:$EO$14,((MONTH($A79)-1)*12)+VLOOKUP(AK$4,$DE$6:$DF$17,2)+1))*(VLOOKUP($A79,CURVES!$D$9:$T$261,6))*(INDEX(DailyScalarsTable,AK$5/100,MONTH($A79)))*$C79</f>
        <v>-5713.8176097653377</v>
      </c>
      <c r="AL79" s="1021">
        <f>(VLOOKUP(YEAR($A79),'NY East Load Projections'!$A$4:$EO$14,((MONTH($A79)-1)*12)+VLOOKUP(AL$4,$DE$6:$DF$17,2)+1))*(VLOOKUP($A79,CURVES!$D$9:$T$261,6))*(INDEX(DailyScalarsTable,AL$5/100,MONTH($A79)))*$C79</f>
        <v>-6097.8887521110528</v>
      </c>
      <c r="AM79" s="1021">
        <f>(VLOOKUP(YEAR($A79),'NY East Load Projections'!$A$4:$EO$14,((MONTH($A79)-1)*12)+VLOOKUP(AM$4,$DE$6:$DF$17,2)+1))*(VLOOKUP($A79,CURVES!$D$9:$T$261,6))*(INDEX(DailyScalarsTable,AM$5/100,MONTH($A79)))*$C79</f>
        <v>-11677.382711038434</v>
      </c>
      <c r="AN79" s="1021">
        <f>(VLOOKUP(YEAR($A79),'NY East Load Projections'!$A$4:$EO$14,((MONTH($A79)-1)*12)+VLOOKUP(AN$4,$DE$6:$DF$17,2)+1))*(VLOOKUP($A79,SatSunCurve,2))*(INDEX(DailyScalarsTable,AN$5/100,MONTH($A79)))*$C79</f>
        <v>-10653.024250977696</v>
      </c>
      <c r="AO79" s="1021">
        <f>(VLOOKUP(YEAR($A79),'NY East Load Projections'!$A$4:$EO$14,((MONTH($A79)-1)*12)+VLOOKUP(AO$4,$DE$6:$DF$17,2)+1))*(VLOOKUP($A79,SatSunCurve,2))*(INDEX(DailyScalarsTable,AO$5/100,MONTH($A79)))*$C79</f>
        <v>-11922.89591447292</v>
      </c>
      <c r="AP79" s="1021">
        <f>(VLOOKUP(YEAR($A79),'NY East Load Projections'!$A$4:$EO$14,((MONTH($A79)-1)*12)+VLOOKUP(AP$4,$DE$6:$DF$17,2)+1))*(VLOOKUP($A79,SatSunCurve,2))*(INDEX(DailyScalarsTable,AP$5/100,MONTH($A79)))*$C79</f>
        <v>-11886.607408394268</v>
      </c>
      <c r="AQ79" s="1021">
        <f>(VLOOKUP(YEAR($A79),'NY East Load Projections'!$A$4:$EO$14,((MONTH($A79)-1)*12)+VLOOKUP(AQ$4,$DE$6:$DF$17,2)+1))*(VLOOKUP($A79,SatSunCurve,2))*(INDEX(DailyScalarsTable,AQ$5/100,MONTH($A79)))*$C79</f>
        <v>-11679.170518578987</v>
      </c>
      <c r="AR79" s="1021">
        <f>(VLOOKUP(YEAR($A79),'NY East Load Projections'!$A$4:$EO$14,((MONTH($A79)-1)*12)+VLOOKUP(AR$4,$DE$6:$DF$17,2)+1))*(VLOOKUP($A79,SatSunCurve,2))*(INDEX(DailyScalarsTable,AR$5/100,MONTH($A79)))*$C79</f>
        <v>-8748.8037229099937</v>
      </c>
      <c r="AS79" s="1021">
        <f>(VLOOKUP(YEAR($A79),'NY East Load Projections'!$A$4:$EO$14,((MONTH($A79)-1)*12)+VLOOKUP(AS$4,$DE$6:$DF$17,2)+1))*(VLOOKUP($A79,SatSunCurve,2))*(INDEX(DailyScalarsTable,AS$5/100,MONTH($A79)))*$C79</f>
        <v>-8489.6007756732961</v>
      </c>
      <c r="AT79" s="1021">
        <f>(VLOOKUP(YEAR($A79),'NY East Load Projections'!$A$4:$EO$14,((MONTH($A79)-1)*12)+VLOOKUP(AT$4,$DE$6:$DF$17,2)+1))*(VLOOKUP($A79,SatSunCurve,2))*(INDEX(DailyScalarsTable,AT$5/100,MONTH($A79)))*$C79</f>
        <v>-8215.4863846946082</v>
      </c>
      <c r="AU79" s="1021">
        <f>(VLOOKUP(YEAR($A79),'NY East Load Projections'!$A$4:$EO$14,((MONTH($A79)-1)*12)+VLOOKUP(AU$4,$DE$6:$DF$17,2)+1))*(VLOOKUP($A79,SatSunCurve,2))*(INDEX(DailyScalarsTable,AU$5/100,MONTH($A79)))*$C79</f>
        <v>-7797.3626216437824</v>
      </c>
      <c r="AV79" s="1021">
        <f>(VLOOKUP(YEAR($A79),'NY East Load Projections'!$A$4:$EO$14,((MONTH($A79)-1)*12)+VLOOKUP(AV$4,$DE$6:$DF$17,2)+1))*(VLOOKUP($A79,SatSunCurve,2))*(INDEX(DailyScalarsTable,AV$5/100,MONTH($A79)))*$C79</f>
        <v>-7640.4420644893153</v>
      </c>
      <c r="AW79" s="1021">
        <f>(VLOOKUP(YEAR($A79),'NY East Load Projections'!$A$4:$EO$14,((MONTH($A79)-1)*12)+VLOOKUP(AW$4,$DE$6:$DF$17,2)+1))*(VLOOKUP($A79,SatSunCurve,2))*(INDEX(DailyScalarsTable,AW$5/100,MONTH($A79)))*$C79</f>
        <v>-7987.8580245697576</v>
      </c>
      <c r="AX79" s="1021">
        <f>(VLOOKUP(YEAR($A79),'NY East Load Projections'!$A$4:$EO$14,((MONTH($A79)-1)*12)+VLOOKUP(AX$4,$DE$6:$DF$17,2)+1))*(VLOOKUP($A79,SatSunCurve,2))*(INDEX(DailyScalarsTable,AX$5/100,MONTH($A79)))*$C79</f>
        <v>-11114.757413739315</v>
      </c>
      <c r="AY79" s="1021">
        <f>(VLOOKUP(YEAR($A79),'NY East Load Projections'!$A$4:$EO$14,((MONTH($A79)-1)*12)+VLOOKUP(AY$4,$DE$6:$DF$17,2)+1))*(VLOOKUP($A79,SatSunCurve,2))*(INDEX(DailyScalarsTable,AY$5/100,MONTH($A79)))*$C79</f>
        <v>-12195.842118397111</v>
      </c>
      <c r="AZ79" s="1021">
        <f>(VLOOKUP(YEAR($A79),'NY East Load Projections'!$A$4:$EO$14,((MONTH($A79)-1)*12)+VLOOKUP(AZ$4,$DE$6:$DF$17,2)+1))*(VLOOKUP($A79,SatSunCurve,2))*(INDEX(DailyScalarsTable,AZ$5/100,MONTH($A79)))*$C79</f>
        <v>-11673.537155963666</v>
      </c>
      <c r="BA79" s="1021">
        <f>(VLOOKUP(YEAR($A79),'NY East Load Projections'!$A$4:$EO$14,((MONTH($A79)-1)*12)+VLOOKUP(BA$4,$DE$6:$DF$17,2)+1))*(VLOOKUP($A79,SatSunCurve,2))*(INDEX(DailyScalarsTable,BA$5/100,MONTH($A79)))*$C79</f>
        <v>-10643.345505447227</v>
      </c>
      <c r="BB79" s="1021">
        <f>(VLOOKUP(YEAR($A79),'NY East Load Projections'!$A$4:$EO$14,((MONTH($A79)-1)*12)+VLOOKUP(BB$4,$DE$6:$DF$17,2)+1))*(VLOOKUP($A79,SatSunCurve,2))*(INDEX(DailyScalarsTable,BB$5/100,MONTH($A79)))*$C79</f>
        <v>-7569.7938336343477</v>
      </c>
      <c r="BC79" s="1021">
        <f>(VLOOKUP(YEAR($A79),'NY East Load Projections'!$A$4:$EO$14,((MONTH($A79)-1)*12)+VLOOKUP(BC$4,$DE$6:$DF$17,2)+1))*(VLOOKUP($A79,SatSunCurve,2))*(INDEX(DailyScalarsTable,BC$5/100,MONTH($A79)))*$C79</f>
        <v>-6196.8184456714534</v>
      </c>
      <c r="BD79" s="1021">
        <f>(VLOOKUP(YEAR($A79),'NY East Load Projections'!$A$4:$EO$14,((MONTH($A79)-1)*12)+VLOOKUP(BD$4,$DE$6:$DF$17,2)+1))*(VLOOKUP($A79,CURVES!$D$9:$T$261,6))*(INDEX(DailyScalarsTable,BD$5/100,MONTH($A79)))*$C79</f>
        <v>-6991.3369407872369</v>
      </c>
      <c r="BE79" s="1021"/>
      <c r="BF79" s="1021">
        <f>(VLOOKUP(YEAR($A79),'NY East Load Projections'!$A$4:$EO$14,((MONTH($A79)-1)*12)+VLOOKUP(BF$4,$DE$6:$DF$17,2)+1))*(VLOOKUP($A79,CURVES!$D$9:$T$261,6))*(INDEX(DailyScalarsTable,BF$5/100,MONTH($A79)))*$D79</f>
        <v>-6093.7902040556455</v>
      </c>
      <c r="BG79" s="1021">
        <f>(VLOOKUP(YEAR($A79),'NY East Load Projections'!$A$4:$EO$14,((MONTH($A79)-1)*12)+VLOOKUP(BG$4,$DE$6:$DF$17,2)+1))*(VLOOKUP($A79,CURVES!$D$9:$T$261,6))*(INDEX(DailyScalarsTable,BG$5/100,MONTH($A79)))*$D79</f>
        <v>-5975.0661934775217</v>
      </c>
      <c r="BH79" s="1021">
        <f>(VLOOKUP(YEAR($A79),'NY East Load Projections'!$A$4:$EO$14,((MONTH($A79)-1)*12)+VLOOKUP(BH$4,$DE$6:$DF$17,2)+1))*(VLOOKUP($A79,CURVES!$D$9:$T$261,6))*(INDEX(DailyScalarsTable,BH$5/100,MONTH($A79)))*$D79</f>
        <v>-5475.2553275953942</v>
      </c>
      <c r="BI79" s="1021">
        <f>(VLOOKUP(YEAR($A79),'NY East Load Projections'!$A$4:$EO$14,((MONTH($A79)-1)*12)+VLOOKUP(BI$4,$DE$6:$DF$17,2)+1))*(VLOOKUP($A79,CURVES!$D$9:$T$261,6))*(INDEX(DailyScalarsTable,BI$5/100,MONTH($A79)))*$D79</f>
        <v>-5471.9449033484516</v>
      </c>
      <c r="BJ79" s="1021">
        <f>(VLOOKUP(YEAR($A79),'NY East Load Projections'!$A$4:$EO$14,((MONTH($A79)-1)*12)+VLOOKUP(BJ$4,$DE$6:$DF$17,2)+1))*(VLOOKUP($A79,CURVES!$D$9:$T$261,6))*(INDEX(DailyScalarsTable,BJ$5/100,MONTH($A79)))*$D79</f>
        <v>-5713.8176097653377</v>
      </c>
      <c r="BK79" s="1021">
        <f>(VLOOKUP(YEAR($A79),'NY East Load Projections'!$A$4:$EO$14,((MONTH($A79)-1)*12)+VLOOKUP(BK$4,$DE$6:$DF$17,2)+1))*(VLOOKUP($A79,CURVES!$D$9:$T$261,6))*(INDEX(DailyScalarsTable,BK$5/100,MONTH($A79)))*$D79</f>
        <v>-6097.8887521110528</v>
      </c>
      <c r="BL79" s="1021">
        <f>(VLOOKUP(YEAR($A79),'NY East Load Projections'!$A$4:$EO$14,((MONTH($A79)-1)*12)+VLOOKUP(BL$4,$DE$6:$DF$17,2)+1))*(VLOOKUP($A79,CURVES!$D$9:$T$261,6))*(INDEX(DailyScalarsTable,BL$5/100,MONTH($A79)))*$D79</f>
        <v>-11677.382711038434</v>
      </c>
      <c r="BM79" s="1021">
        <f>(VLOOKUP(YEAR($A79),'NY East Load Projections'!$A$4:$EO$14,((MONTH($A79)-1)*12)+VLOOKUP(BM$4,$DE$6:$DF$17,2)+1))*(VLOOKUP($A79,SatSunCurve,6))*(INDEX(DailyScalarsTable,BM$5/100,MONTH($A79)))*$D79</f>
        <v>-8758.5192067248572</v>
      </c>
      <c r="BN79" s="1021">
        <f>(VLOOKUP(YEAR($A79),'NY East Load Projections'!$A$4:$EO$14,((MONTH($A79)-1)*12)+VLOOKUP(BN$4,$DE$6:$DF$17,2)+1))*(VLOOKUP($A79,SatSunCurve,6))*(INDEX(DailyScalarsTable,BN$5/100,MONTH($A79)))*$D79</f>
        <v>-9802.5603252624242</v>
      </c>
      <c r="BO79" s="1021">
        <f>(VLOOKUP(YEAR($A79),'NY East Load Projections'!$A$4:$EO$14,((MONTH($A79)-1)*12)+VLOOKUP(BO$4,$DE$6:$DF$17,2)+1))*(VLOOKUP($A79,SatSunCurve,6))*(INDEX(DailyScalarsTable,BO$5/100,MONTH($A79)))*$D79</f>
        <v>-9772.7252690393943</v>
      </c>
      <c r="BP79" s="1021">
        <f>(VLOOKUP(YEAR($A79),'NY East Load Projections'!$A$4:$EO$14,((MONTH($A79)-1)*12)+VLOOKUP(BP$4,$DE$6:$DF$17,2)+1))*(VLOOKUP($A79,SatSunCurve,6))*(INDEX(DailyScalarsTable,BP$5/100,MONTH($A79)))*$D79</f>
        <v>-9602.1783951351445</v>
      </c>
      <c r="BQ79" s="1021">
        <f>(VLOOKUP(YEAR($A79),'NY East Load Projections'!$A$4:$EO$14,((MONTH($A79)-1)*12)+VLOOKUP(BQ$4,$DE$6:$DF$17,2)+1))*(VLOOKUP($A79,SatSunCurve,6))*(INDEX(DailyScalarsTable,BQ$5/100,MONTH($A79)))*$D79</f>
        <v>-7192.9401114374268</v>
      </c>
      <c r="BR79" s="1021">
        <f>(VLOOKUP(YEAR($A79),'NY East Load Projections'!$A$4:$EO$14,((MONTH($A79)-1)*12)+VLOOKUP(BR$4,$DE$6:$DF$17,2)+1))*(VLOOKUP($A79,SatSunCurve,6))*(INDEX(DailyScalarsTable,BR$5/100,MONTH($A79)))*$D79</f>
        <v>-6979.8331158719238</v>
      </c>
      <c r="BS79" s="1021">
        <f>(VLOOKUP(YEAR($A79),'NY East Load Projections'!$A$4:$EO$14,((MONTH($A79)-1)*12)+VLOOKUP(BS$4,$DE$6:$DF$17,2)+1))*(VLOOKUP($A79,SatSunCurve,6))*(INDEX(DailyScalarsTable,BS$5/100,MONTH($A79)))*$D79</f>
        <v>-6754.4664874230884</v>
      </c>
      <c r="BT79" s="1021">
        <f>(VLOOKUP(YEAR($A79),'NY East Load Projections'!$A$4:$EO$14,((MONTH($A79)-1)*12)+VLOOKUP(BT$4,$DE$6:$DF$17,2)+1))*(VLOOKUP($A79,SatSunCurve,6))*(INDEX(DailyScalarsTable,BT$5/100,MONTH($A79)))*$D79</f>
        <v>-6410.7007244630886</v>
      </c>
      <c r="BU79" s="1021">
        <f>(VLOOKUP(YEAR($A79),'NY East Load Projections'!$A$4:$EO$14,((MONTH($A79)-1)*12)+VLOOKUP(BU$4,$DE$6:$DF$17,2)+1))*(VLOOKUP($A79,SatSunCurve,6))*(INDEX(DailyScalarsTable,BU$5/100,MONTH($A79)))*$D79</f>
        <v>-6281.686495133682</v>
      </c>
      <c r="BV79" s="1021">
        <f>(VLOOKUP(YEAR($A79),'NY East Load Projections'!$A$4:$EO$14,((MONTH($A79)-1)*12)+VLOOKUP(BV$4,$DE$6:$DF$17,2)+1))*(VLOOKUP($A79,SatSunCurve,6))*(INDEX(DailyScalarsTable,BV$5/100,MONTH($A79)))*$D79</f>
        <v>-6567.3189397240576</v>
      </c>
      <c r="BW79" s="1021">
        <f>(VLOOKUP(YEAR($A79),'NY East Load Projections'!$A$4:$EO$14,((MONTH($A79)-1)*12)+VLOOKUP(BW$4,$DE$6:$DF$17,2)+1))*(VLOOKUP($A79,SatSunCurve,6))*(INDEX(DailyScalarsTable,BW$5/100,MONTH($A79)))*$D79</f>
        <v>-9138.1389916003427</v>
      </c>
      <c r="BX79" s="1021">
        <f>(VLOOKUP(YEAR($A79),'NY East Load Projections'!$A$4:$EO$14,((MONTH($A79)-1)*12)+VLOOKUP(BX$4,$DE$6:$DF$17,2)+1))*(VLOOKUP($A79,SatSunCurve,6))*(INDEX(DailyScalarsTable,BX$5/100,MONTH($A79)))*$D79</f>
        <v>-10026.966513885647</v>
      </c>
      <c r="BY79" s="1021">
        <f>(VLOOKUP(YEAR($A79),'NY East Load Projections'!$A$4:$EO$14,((MONTH($A79)-1)*12)+VLOOKUP(BY$4,$DE$6:$DF$17,2)+1))*(VLOOKUP($A79,SatSunCurve,6))*(INDEX(DailyScalarsTable,BY$5/100,MONTH($A79)))*$D79</f>
        <v>-9597.5468545038329</v>
      </c>
      <c r="BZ79" s="1021">
        <f>(VLOOKUP(YEAR($A79),'NY East Load Projections'!$A$4:$EO$14,((MONTH($A79)-1)*12)+VLOOKUP(BZ$4,$DE$6:$DF$17,2)+1))*(VLOOKUP($A79,SatSunCurve,6))*(INDEX(DailyScalarsTable,BZ$5/100,MONTH($A79)))*$D79</f>
        <v>-8750.5617031438596</v>
      </c>
      <c r="CA79" s="1021">
        <f>(VLOOKUP(YEAR($A79),'NY East Load Projections'!$A$4:$EO$14,((MONTH($A79)-1)*12)+VLOOKUP(CA$4,$DE$6:$DF$17,2)+1))*(VLOOKUP($A79,SatSunCurve,6))*(INDEX(DailyScalarsTable,CA$5/100,MONTH($A79)))*$D79</f>
        <v>-6223.6021547354549</v>
      </c>
      <c r="CB79" s="1021">
        <f>(VLOOKUP(YEAR($A79),'NY East Load Projections'!$A$4:$EO$14,((MONTH($A79)-1)*12)+VLOOKUP(CB$4,$DE$6:$DF$17,2)+1))*(VLOOKUP($A79,SatSunCurve,6))*(INDEX(DailyScalarsTable,CB$5/100,MONTH($A79)))*$D79</f>
        <v>-5094.7929994638989</v>
      </c>
      <c r="CC79" s="1021">
        <f>(VLOOKUP(YEAR($A79),'NY East Load Projections'!$A$4:$EO$14,((MONTH($A79)-1)*12)+VLOOKUP(CC$4,$DE$6:$DF$17,2)+1))*(VLOOKUP($A79,CURVES!$D$9:$T$261,6))*(INDEX(DailyScalarsTable,CC$5/100,MONTH($A79)))*$D79</f>
        <v>-6991.3369407872369</v>
      </c>
      <c r="CE79" s="1021">
        <f>(VLOOKUP(YEAR($A79),'NY East Load Projections'!$A$4:$EO$14,((MONTH($A79)-1)*12)+VLOOKUP(CE$4,$DE$6:$DF$17,2)+1))*(VLOOKUP($A79,CURVES!$D$9:$T$261,6))*(INDEX(DailyScalarsTable,CE$5/100,MONTH($A79)))*$E79</f>
        <v>0</v>
      </c>
      <c r="CF79" s="1021">
        <f>(VLOOKUP(YEAR($A79),'NY East Load Projections'!$A$4:$EO$14,((MONTH($A79)-1)*12)+VLOOKUP(CF$4,$DE$6:$DF$17,2)+1))*(VLOOKUP($A79,CURVES!$D$9:$T$261,6))*(INDEX(DailyScalarsTable,CF$5/100,MONTH($A79)))*$E79</f>
        <v>0</v>
      </c>
      <c r="CG79" s="1021">
        <f>(VLOOKUP(YEAR($A79),'NY East Load Projections'!$A$4:$EO$14,((MONTH($A79)-1)*12)+VLOOKUP(CG$4,$DE$6:$DF$17,2)+1))*(VLOOKUP($A79,CURVES!$D$9:$T$261,6))*(INDEX(DailyScalarsTable,CG$5/100,MONTH($A79)))*$E79</f>
        <v>0</v>
      </c>
      <c r="CH79" s="1021">
        <f>(VLOOKUP(YEAR($A79),'NY East Load Projections'!$A$4:$EO$14,((MONTH($A79)-1)*12)+VLOOKUP(CH$4,$DE$6:$DF$17,2)+1))*(VLOOKUP($A79,CURVES!$D$9:$T$261,6))*(INDEX(DailyScalarsTable,CH$5/100,MONTH($A79)))*$E79</f>
        <v>0</v>
      </c>
      <c r="CI79" s="1021">
        <f>(VLOOKUP(YEAR($A79),'NY East Load Projections'!$A$4:$EO$14,((MONTH($A79)-1)*12)+VLOOKUP(CI$4,$DE$6:$DF$17,2)+1))*(VLOOKUP($A79,CURVES!$D$9:$T$261,6))*(INDEX(DailyScalarsTable,CI$5/100,MONTH($A79)))*$E79</f>
        <v>0</v>
      </c>
      <c r="CJ79" s="1021">
        <f>(VLOOKUP(YEAR($A79),'NY East Load Projections'!$A$4:$EO$14,((MONTH($A79)-1)*12)+VLOOKUP(CJ$4,$DE$6:$DF$17,2)+1))*(VLOOKUP($A79,CURVES!$D$9:$T$261,6))*(INDEX(DailyScalarsTable,CJ$5/100,MONTH($A79)))*$E79</f>
        <v>0</v>
      </c>
      <c r="CK79" s="1021">
        <f>(VLOOKUP(YEAR($A79),'NY East Load Projections'!$A$4:$EO$14,((MONTH($A79)-1)*12)+VLOOKUP(CK$4,$DE$6:$DF$17,2)+1))*(VLOOKUP($A79,CURVES!$D$9:$T$261,6))*(INDEX(DailyScalarsTable,CK$5/100,MONTH($A79)))*$E79</f>
        <v>0</v>
      </c>
      <c r="CL79" s="1021">
        <f>(VLOOKUP(YEAR($A79),'NY East Load Projections'!$A$4:$EO$14,((MONTH($A79)-1)*12)+VLOOKUP(CL$4,$DE$6:$DF$17,2)+1))*(VLOOKUP($A79,SatSunCurve,6))*(INDEX(DailyScalarsTable,CL$5/100,MONTH($A79)))*$E79</f>
        <v>0</v>
      </c>
      <c r="CM79" s="1021">
        <f>(VLOOKUP(YEAR($A79),'NY East Load Projections'!$A$4:$EO$14,((MONTH($A79)-1)*12)+VLOOKUP(CM$4,$DE$6:$DF$17,2)+1))*(VLOOKUP($A79,SatSunCurve,6))*(INDEX(DailyScalarsTable,CM$5/100,MONTH($A79)))*$E79</f>
        <v>0</v>
      </c>
      <c r="CN79" s="1021">
        <f>(VLOOKUP(YEAR($A79),'NY East Load Projections'!$A$4:$EO$14,((MONTH($A79)-1)*12)+VLOOKUP(CN$4,$DE$6:$DF$17,2)+1))*(VLOOKUP($A79,SatSunCurve,6))*(INDEX(DailyScalarsTable,CN$5/100,MONTH($A79)))*$E79</f>
        <v>0</v>
      </c>
      <c r="CO79" s="1021">
        <f>(VLOOKUP(YEAR($A79),'NY East Load Projections'!$A$4:$EO$14,((MONTH($A79)-1)*12)+VLOOKUP(CO$4,$DE$6:$DF$17,2)+1))*(VLOOKUP($A79,SatSunCurve,6))*(INDEX(DailyScalarsTable,CO$5/100,MONTH($A79)))*$E79</f>
        <v>0</v>
      </c>
      <c r="CP79" s="1021">
        <f>(VLOOKUP(YEAR($A79),'NY East Load Projections'!$A$4:$EO$14,((MONTH($A79)-1)*12)+VLOOKUP(CP$4,$DE$6:$DF$17,2)+1))*(VLOOKUP($A79,SatSunCurve,6))*(INDEX(DailyScalarsTable,CP$5/100,MONTH($A79)))*$E79</f>
        <v>0</v>
      </c>
      <c r="CQ79" s="1021">
        <f>(VLOOKUP(YEAR($A79),'NY East Load Projections'!$A$4:$EO$14,((MONTH($A79)-1)*12)+VLOOKUP(CQ$4,$DE$6:$DF$17,2)+1))*(VLOOKUP($A79,SatSunCurve,6))*(INDEX(DailyScalarsTable,CQ$5/100,MONTH($A79)))*$E79</f>
        <v>0</v>
      </c>
      <c r="CR79" s="1021">
        <f>(VLOOKUP(YEAR($A79),'NY East Load Projections'!$A$4:$EO$14,((MONTH($A79)-1)*12)+VLOOKUP(CR$4,$DE$6:$DF$17,2)+1))*(VLOOKUP($A79,SatSunCurve,6))*(INDEX(DailyScalarsTable,CR$5/100,MONTH($A79)))*$E79</f>
        <v>0</v>
      </c>
      <c r="CS79" s="1021">
        <f>(VLOOKUP(YEAR($A79),'NY East Load Projections'!$A$4:$EO$14,((MONTH($A79)-1)*12)+VLOOKUP(CS$4,$DE$6:$DF$17,2)+1))*(VLOOKUP($A79,SatSunCurve,6))*(INDEX(DailyScalarsTable,CS$5/100,MONTH($A79)))*$E79</f>
        <v>0</v>
      </c>
      <c r="CT79" s="1021">
        <f>(VLOOKUP(YEAR($A79),'NY East Load Projections'!$A$4:$EO$14,((MONTH($A79)-1)*12)+VLOOKUP(CT$4,$DE$6:$DF$17,2)+1))*(VLOOKUP($A79,SatSunCurve,6))*(INDEX(DailyScalarsTable,CT$5/100,MONTH($A79)))*$E79</f>
        <v>0</v>
      </c>
      <c r="CU79" s="1021">
        <f>(VLOOKUP(YEAR($A79),'NY East Load Projections'!$A$4:$EO$14,((MONTH($A79)-1)*12)+VLOOKUP(CU$4,$DE$6:$DF$17,2)+1))*(VLOOKUP($A79,SatSunCurve,6))*(INDEX(DailyScalarsTable,CU$5/100,MONTH($A79)))*$E79</f>
        <v>0</v>
      </c>
      <c r="CV79" s="1021">
        <f>(VLOOKUP(YEAR($A79),'NY East Load Projections'!$A$4:$EO$14,((MONTH($A79)-1)*12)+VLOOKUP(CV$4,$DE$6:$DF$17,2)+1))*(VLOOKUP($A79,SatSunCurve,6))*(INDEX(DailyScalarsTable,CV$5/100,MONTH($A79)))*$E79</f>
        <v>0</v>
      </c>
      <c r="CW79" s="1021">
        <f>(VLOOKUP(YEAR($A79),'NY East Load Projections'!$A$4:$EO$14,((MONTH($A79)-1)*12)+VLOOKUP(CW$4,$DE$6:$DF$17,2)+1))*(VLOOKUP($A79,SatSunCurve,6))*(INDEX(DailyScalarsTable,CW$5/100,MONTH($A79)))*$E79</f>
        <v>0</v>
      </c>
      <c r="CX79" s="1021">
        <f>(VLOOKUP(YEAR($A79),'NY East Load Projections'!$A$4:$EO$14,((MONTH($A79)-1)*12)+VLOOKUP(CX$4,$DE$6:$DF$17,2)+1))*(VLOOKUP($A79,SatSunCurve,6))*(INDEX(DailyScalarsTable,CX$5/100,MONTH($A79)))*$E79</f>
        <v>0</v>
      </c>
      <c r="CY79" s="1021">
        <f>(VLOOKUP(YEAR($A79),'NY East Load Projections'!$A$4:$EO$14,((MONTH($A79)-1)*12)+VLOOKUP(CY$4,$DE$6:$DF$17,2)+1))*(VLOOKUP($A79,SatSunCurve,6))*(INDEX(DailyScalarsTable,CY$5/100,MONTH($A79)))*$E79</f>
        <v>0</v>
      </c>
      <c r="CZ79" s="1021">
        <f>(VLOOKUP(YEAR($A79),'NY East Load Projections'!$A$4:$EO$14,((MONTH($A79)-1)*12)+VLOOKUP(CZ$4,$DE$6:$DF$17,2)+1))*(VLOOKUP($A79,SatSunCurve,6))*(INDEX(DailyScalarsTable,CZ$5/100,MONTH($A79)))*$E79</f>
        <v>0</v>
      </c>
      <c r="DA79" s="1021">
        <f>(VLOOKUP(YEAR($A79),'NY East Load Projections'!$A$4:$EO$14,((MONTH($A79)-1)*12)+VLOOKUP(DA$4,$DE$6:$DF$17,2)+1))*(VLOOKUP($A79,SatSunCurve,6))*(INDEX(DailyScalarsTable,DA$5/100,MONTH($A79)))*$E79</f>
        <v>0</v>
      </c>
      <c r="DB79" s="1021">
        <f>(VLOOKUP(YEAR($A79),'NY East Load Projections'!$A$4:$EO$14,((MONTH($A79)-1)*12)+VLOOKUP(DB$4,$DE$6:$DF$17,2)+1))*(VLOOKUP($A79,CURVES!$D$9:$T$261,6))*(INDEX(DailyScalarsTable,DB$5/100,MONTH($A79)))*$E79</f>
        <v>0</v>
      </c>
      <c r="DH79" s="1021">
        <f t="shared" si="2"/>
        <v>-1654878.8170044131</v>
      </c>
      <c r="DI79">
        <f ca="1">CALC!J99</f>
        <v>0.60071826693255137</v>
      </c>
      <c r="DJ79" s="1029">
        <f t="shared" ca="1" si="3"/>
        <v>-994115.93493428186</v>
      </c>
    </row>
    <row r="80" spans="1:114" x14ac:dyDescent="0.25">
      <c r="A80" s="244">
        <v>39142</v>
      </c>
      <c r="B80" s="13">
        <v>22</v>
      </c>
      <c r="C80" s="210">
        <v>5</v>
      </c>
      <c r="D80" s="210">
        <v>4</v>
      </c>
      <c r="E80" s="210">
        <v>0</v>
      </c>
      <c r="F80" s="13">
        <v>31</v>
      </c>
      <c r="H80" s="1021">
        <f>(VLOOKUP(YEAR($A80),'NY East Load Projections'!$A$4:$EO$14,((MONTH($A80)-1)*12)+VLOOKUP(H$4,$DE$6:$DF$17,2)+1))*(VLOOKUP($A80,CURVES!$D$9:$K$261,6))*(INDEX(DailyScalarsTable,H$5/100,MONTH($A80)))*$B80</f>
        <v>-27705.997970832559</v>
      </c>
      <c r="I80" s="1021">
        <f>(VLOOKUP(YEAR($A80),'NY East Load Projections'!$A$4:$EO$14,((MONTH($A80)-1)*12)+VLOOKUP(I$4,$DE$6:$DF$17,2)+1))*(VLOOKUP($A80,CURVES!$D$9:$K$261,6))*(INDEX(DailyScalarsTable,I$5/100,MONTH($A80)))*$B80</f>
        <v>-26197.250015901838</v>
      </c>
      <c r="J80" s="1021">
        <f>(VLOOKUP(YEAR($A80),'NY East Load Projections'!$A$4:$EO$14,((MONTH($A80)-1)*12)+VLOOKUP(J$4,$DE$6:$DF$17,2)+1))*(VLOOKUP($A80,CURVES!$D$9:$K$261,6))*(INDEX(DailyScalarsTable,J$5/100,MONTH($A80)))*$B80</f>
        <v>-25080.763130070532</v>
      </c>
      <c r="K80" s="1021">
        <f>(VLOOKUP(YEAR($A80),'NY East Load Projections'!$A$4:$EO$14,((MONTH($A80)-1)*12)+VLOOKUP(K$4,$DE$6:$DF$17,2)+1))*(VLOOKUP($A80,CURVES!$D$9:$K$261,6))*(INDEX(DailyScalarsTable,K$5/100,MONTH($A80)))*$B80</f>
        <v>-25096.50716956472</v>
      </c>
      <c r="L80" s="1021">
        <f>(VLOOKUP(YEAR($A80),'NY East Load Projections'!$A$4:$EO$14,((MONTH($A80)-1)*12)+VLOOKUP(L$4,$DE$6:$DF$17,2)+1))*(VLOOKUP($A80,CURVES!$D$9:$K$261,6))*(INDEX(DailyScalarsTable,L$5/100,MONTH($A80)))*$B80</f>
        <v>-29444.976547243095</v>
      </c>
      <c r="M80" s="1021">
        <f>(VLOOKUP(YEAR($A80),'NY East Load Projections'!$A$4:$EO$14,((MONTH($A80)-1)*12)+VLOOKUP(M$4,$DE$6:$DF$17,2)+1))*(VLOOKUP($A80,CURVES!$D$9:$K$261,6))*(INDEX(DailyScalarsTable,M$5/100,MONTH($A80)))*$B80</f>
        <v>-34178.942768657536</v>
      </c>
      <c r="N80" s="1021">
        <f>(VLOOKUP(YEAR($A80),'NY East Load Projections'!$A$4:$EO$14,((MONTH($A80)-1)*12)+VLOOKUP(N$4,$DE$6:$DF$17,2)+1))*(VLOOKUP($A80,CURVES!$D$9:$K$261,6))*(INDEX(DailyScalarsTable,N$5/100,MONTH($A80)))*$B80</f>
        <v>-61672.03146560397</v>
      </c>
      <c r="O80" s="1021">
        <f>(VLOOKUP(YEAR($A80),'NY East Load Projections'!$A$4:$EO$14,((MONTH($A80)-1)*12)+VLOOKUP(O$4,$DE$6:$DF$17,2)+1))*(VLOOKUP($A80,CURVES!$D$9:$K$261,2))*(INDEX(DailyScalarsTable,O$5/100,MONTH($A80)))*$B80</f>
        <v>-65852.862428048596</v>
      </c>
      <c r="P80" s="1021">
        <f>(VLOOKUP(YEAR($A80),'NY East Load Projections'!$A$4:$EO$14,((MONTH($A80)-1)*12)+VLOOKUP(P$4,$DE$6:$DF$17,2)+1))*(VLOOKUP($A80,CURVES!$D$9:$K$261,2))*(INDEX(DailyScalarsTable,P$5/100,MONTH($A80)))*$B80</f>
        <v>-73810.682406173961</v>
      </c>
      <c r="Q80" s="1021">
        <f>(VLOOKUP(YEAR($A80),'NY East Load Projections'!$A$4:$EO$14,((MONTH($A80)-1)*12)+VLOOKUP(Q$4,$DE$6:$DF$17,2)+1))*(VLOOKUP($A80,CURVES!$D$9:$K$261,2))*(INDEX(DailyScalarsTable,Q$5/100,MONTH($A80)))*$B80</f>
        <v>-73587.352050935922</v>
      </c>
      <c r="R80" s="1021">
        <f>(VLOOKUP(YEAR($A80),'NY East Load Projections'!$A$4:$EO$14,((MONTH($A80)-1)*12)+VLOOKUP(R$4,$DE$6:$DF$17,2)+1))*(VLOOKUP($A80,CURVES!$D$9:$K$261,2))*(INDEX(DailyScalarsTable,R$5/100,MONTH($A80)))*$B80</f>
        <v>-72290.795266359492</v>
      </c>
      <c r="S80" s="1021">
        <f>(VLOOKUP(YEAR($A80),'NY East Load Projections'!$A$4:$EO$14,((MONTH($A80)-1)*12)+VLOOKUP(S$4,$DE$6:$DF$17,2)+1))*(VLOOKUP($A80,CURVES!$D$9:$K$261,2))*(INDEX(DailyScalarsTable,S$5/100,MONTH($A80)))*$B80</f>
        <v>-55237.041195543192</v>
      </c>
      <c r="T80" s="1021">
        <f>(VLOOKUP(YEAR($A80),'NY East Load Projections'!$A$4:$EO$14,((MONTH($A80)-1)*12)+VLOOKUP(T$4,$DE$6:$DF$17,2)+1))*(VLOOKUP($A80,CURVES!$D$9:$K$261,2))*(INDEX(DailyScalarsTable,T$5/100,MONTH($A80)))*$B80</f>
        <v>-55170.831953075103</v>
      </c>
      <c r="U80" s="1021">
        <f>(VLOOKUP(YEAR($A80),'NY East Load Projections'!$A$4:$EO$14,((MONTH($A80)-1)*12)+VLOOKUP(U$4,$DE$6:$DF$17,2)+1))*(VLOOKUP($A80,CURVES!$D$9:$K$261,2))*(INDEX(DailyScalarsTable,U$5/100,MONTH($A80)))*$B80</f>
        <v>-53410.060720530157</v>
      </c>
      <c r="V80" s="1021">
        <f>(VLOOKUP(YEAR($A80),'NY East Load Projections'!$A$4:$EO$14,((MONTH($A80)-1)*12)+VLOOKUP(V$4,$DE$6:$DF$17,2)+1))*(VLOOKUP($A80,CURVES!$D$9:$K$261,2))*(INDEX(DailyScalarsTable,V$5/100,MONTH($A80)))*$B80</f>
        <v>-50724.246630307607</v>
      </c>
      <c r="W80" s="1021">
        <f>(VLOOKUP(YEAR($A80),'NY East Load Projections'!$A$4:$EO$14,((MONTH($A80)-1)*12)+VLOOKUP(W$4,$DE$6:$DF$17,2)+1))*(VLOOKUP($A80,CURVES!$D$9:$K$261,2))*(INDEX(DailyScalarsTable,W$5/100,MONTH($A80)))*$B80</f>
        <v>-49716.268895734771</v>
      </c>
      <c r="X80" s="1021">
        <f>(VLOOKUP(YEAR($A80),'NY East Load Projections'!$A$4:$EO$14,((MONTH($A80)-1)*12)+VLOOKUP(X$4,$DE$6:$DF$17,2)+1))*(VLOOKUP($A80,CURVES!$D$9:$K$261,2))*(INDEX(DailyScalarsTable,X$5/100,MONTH($A80)))*$B80</f>
        <v>-52047.040947721893</v>
      </c>
      <c r="Y80" s="1021">
        <f>(VLOOKUP(YEAR($A80),'NY East Load Projections'!$A$4:$EO$14,((MONTH($A80)-1)*12)+VLOOKUP(Y$4,$DE$6:$DF$17,2)+1))*(VLOOKUP($A80,CURVES!$D$9:$K$261,2))*(INDEX(DailyScalarsTable,Y$5/100,MONTH($A80)))*$B80</f>
        <v>-70958.200953091189</v>
      </c>
      <c r="Z80" s="1021">
        <f>(VLOOKUP(YEAR($A80),'NY East Load Projections'!$A$4:$EO$14,((MONTH($A80)-1)*12)+VLOOKUP(Z$4,$DE$6:$DF$17,2)+1))*(VLOOKUP($A80,CURVES!$D$9:$K$261,2))*(INDEX(DailyScalarsTable,Z$5/100,MONTH($A80)))*$B80</f>
        <v>-77917.409818040818</v>
      </c>
      <c r="AA80" s="1021">
        <f>(VLOOKUP(YEAR($A80),'NY East Load Projections'!$A$4:$EO$14,((MONTH($A80)-1)*12)+VLOOKUP(AA$4,$DE$6:$DF$17,2)+1))*(VLOOKUP($A80,CURVES!$D$9:$K$261,2))*(INDEX(DailyScalarsTable,AA$5/100,MONTH($A80)))*$B80</f>
        <v>-74554.200604257945</v>
      </c>
      <c r="AB80" s="1021">
        <f>(VLOOKUP(YEAR($A80),'NY East Load Projections'!$A$4:$EO$14,((MONTH($A80)-1)*12)+VLOOKUP(AB$4,$DE$6:$DF$17,2)+1))*(VLOOKUP($A80,CURVES!$D$9:$K$261,2))*(INDEX(DailyScalarsTable,AB$5/100,MONTH($A80)))*$B80</f>
        <v>-64685.97411241004</v>
      </c>
      <c r="AC80" s="1021">
        <f>(VLOOKUP(YEAR($A80),'NY East Load Projections'!$A$4:$EO$14,((MONTH($A80)-1)*12)+VLOOKUP(AC$4,$DE$6:$DF$17,2)+1))*(VLOOKUP($A80,CURVES!$D$9:$K$261,2))*(INDEX(DailyScalarsTable,AC$5/100,MONTH($A80)))*$B80</f>
        <v>-46970.90863197008</v>
      </c>
      <c r="AD80" s="1021">
        <f>(VLOOKUP(YEAR($A80),'NY East Load Projections'!$A$4:$EO$14,((MONTH($A80)-1)*12)+VLOOKUP(AD$4,$DE$6:$DF$17,2)+1))*(VLOOKUP($A80,CURVES!$D$9:$K$261,2))*(INDEX(DailyScalarsTable,AD$5/100,MONTH($A80)))*$B80</f>
        <v>-38553.992954082481</v>
      </c>
      <c r="AE80" s="1021">
        <f>(VLOOKUP(YEAR($A80),'NY East Load Projections'!$A$4:$EO$14,((MONTH($A80)-1)*12)+VLOOKUP(AE$4,$DE$6:$DF$17,2)+1))*(VLOOKUP($A80,CURVES!$D$9:$K$261,6))*(INDEX(DailyScalarsTable,AE$5/100,MONTH($A80)))*$B80</f>
        <v>-34964.744790918332</v>
      </c>
      <c r="AF80" s="1021"/>
      <c r="AG80" s="1021">
        <f>(VLOOKUP(YEAR($A80),'NY East Load Projections'!$A$4:$EO$14,((MONTH($A80)-1)*12)+VLOOKUP(AG$4,$DE$6:$DF$17,2)+1))*(VLOOKUP($A80,CURVES!$D$9:$T$261,6))*(INDEX(DailyScalarsTable,AG$5/100,MONTH($A80)))*$C80</f>
        <v>-6971.1018364496995</v>
      </c>
      <c r="AH80" s="1021">
        <f>(VLOOKUP(YEAR($A80),'NY East Load Projections'!$A$4:$EO$14,((MONTH($A80)-1)*12)+VLOOKUP(AH$4,$DE$6:$DF$17,2)+1))*(VLOOKUP($A80,CURVES!$D$9:$T$261,6))*(INDEX(DailyScalarsTable,AH$5/100,MONTH($A80)))*$C80</f>
        <v>-6591.4859983763099</v>
      </c>
      <c r="AI80" s="1021">
        <f>(VLOOKUP(YEAR($A80),'NY East Load Projections'!$A$4:$EO$14,((MONTH($A80)-1)*12)+VLOOKUP(AI$4,$DE$6:$DF$17,2)+1))*(VLOOKUP($A80,CURVES!$D$9:$T$261,6))*(INDEX(DailyScalarsTable,AI$5/100,MONTH($A80)))*$C80</f>
        <v>-6310.5669068357583</v>
      </c>
      <c r="AJ80" s="1021">
        <f>(VLOOKUP(YEAR($A80),'NY East Load Projections'!$A$4:$EO$14,((MONTH($A80)-1)*12)+VLOOKUP(AJ$4,$DE$6:$DF$17,2)+1))*(VLOOKUP($A80,CURVES!$D$9:$T$261,6))*(INDEX(DailyScalarsTable,AJ$5/100,MONTH($A80)))*$C80</f>
        <v>-6314.5282621620172</v>
      </c>
      <c r="AK80" s="1021">
        <f>(VLOOKUP(YEAR($A80),'NY East Load Projections'!$A$4:$EO$14,((MONTH($A80)-1)*12)+VLOOKUP(AK$4,$DE$6:$DF$17,2)+1))*(VLOOKUP($A80,CURVES!$D$9:$T$261,6))*(INDEX(DailyScalarsTable,AK$5/100,MONTH($A80)))*$C80</f>
        <v>-6875.9465495814366</v>
      </c>
      <c r="AL80" s="1021">
        <f>(VLOOKUP(YEAR($A80),'NY East Load Projections'!$A$4:$EO$14,((MONTH($A80)-1)*12)+VLOOKUP(AL$4,$DE$6:$DF$17,2)+1))*(VLOOKUP($A80,CURVES!$D$9:$T$261,6))*(INDEX(DailyScalarsTable,AL$5/100,MONTH($A80)))*$C80</f>
        <v>-7981.4152074947469</v>
      </c>
      <c r="AM80" s="1021">
        <f>(VLOOKUP(YEAR($A80),'NY East Load Projections'!$A$4:$EO$14,((MONTH($A80)-1)*12)+VLOOKUP(AM$4,$DE$6:$DF$17,2)+1))*(VLOOKUP($A80,CURVES!$D$9:$T$261,6))*(INDEX(DailyScalarsTable,AM$5/100,MONTH($A80)))*$C80</f>
        <v>-14401.559847779916</v>
      </c>
      <c r="AN80" s="1021">
        <f>(VLOOKUP(YEAR($A80),'NY East Load Projections'!$A$4:$EO$14,((MONTH($A80)-1)*12)+VLOOKUP(AN$4,$DE$6:$DF$17,2)+1))*(VLOOKUP($A80,SatSunCurve,2))*(INDEX(DailyScalarsTable,AN$5/100,MONTH($A80)))*$C80</f>
        <v>-9988.393822482547</v>
      </c>
      <c r="AO80" s="1021">
        <f>(VLOOKUP(YEAR($A80),'NY East Load Projections'!$A$4:$EO$14,((MONTH($A80)-1)*12)+VLOOKUP(AO$4,$DE$6:$DF$17,2)+1))*(VLOOKUP($A80,SatSunCurve,2))*(INDEX(DailyScalarsTable,AO$5/100,MONTH($A80)))*$C80</f>
        <v>-11159.85381856256</v>
      </c>
      <c r="AP80" s="1021">
        <f>(VLOOKUP(YEAR($A80),'NY East Load Projections'!$A$4:$EO$14,((MONTH($A80)-1)*12)+VLOOKUP(AP$4,$DE$6:$DF$17,2)+1))*(VLOOKUP($A80,SatSunCurve,2))*(INDEX(DailyScalarsTable,AP$5/100,MONTH($A80)))*$C80</f>
        <v>-11126.087241199284</v>
      </c>
      <c r="AQ80" s="1021">
        <f>(VLOOKUP(YEAR($A80),'NY East Load Projections'!$A$4:$EO$14,((MONTH($A80)-1)*12)+VLOOKUP(AQ$4,$DE$6:$DF$17,2)+1))*(VLOOKUP($A80,SatSunCurve,2))*(INDEX(DailyScalarsTable,AQ$5/100,MONTH($A80)))*$C80</f>
        <v>-10930.053500395823</v>
      </c>
      <c r="AR80" s="1021">
        <f>(VLOOKUP(YEAR($A80),'NY East Load Projections'!$A$4:$EO$14,((MONTH($A80)-1)*12)+VLOOKUP(AR$4,$DE$6:$DF$17,2)+1))*(VLOOKUP($A80,SatSunCurve,2))*(INDEX(DailyScalarsTable,AR$5/100,MONTH($A80)))*$C80</f>
        <v>-8351.6001345168115</v>
      </c>
      <c r="AS80" s="1021">
        <f>(VLOOKUP(YEAR($A80),'NY East Load Projections'!$A$4:$EO$14,((MONTH($A80)-1)*12)+VLOOKUP(AS$4,$DE$6:$DF$17,2)+1))*(VLOOKUP($A80,SatSunCurve,2))*(INDEX(DailyScalarsTable,AS$5/100,MONTH($A80)))*$C80</f>
        <v>-8144.9651633914391</v>
      </c>
      <c r="AT80" s="1021">
        <f>(VLOOKUP(YEAR($A80),'NY East Load Projections'!$A$4:$EO$14,((MONTH($A80)-1)*12)+VLOOKUP(AT$4,$DE$6:$DF$17,2)+1))*(VLOOKUP($A80,SatSunCurve,2))*(INDEX(DailyScalarsTable,AT$5/100,MONTH($A80)))*$C80</f>
        <v>-7885.0194666874577</v>
      </c>
      <c r="AU80" s="1021">
        <f>(VLOOKUP(YEAR($A80),'NY East Load Projections'!$A$4:$EO$14,((MONTH($A80)-1)*12)+VLOOKUP(AU$4,$DE$6:$DF$17,2)+1))*(VLOOKUP($A80,SatSunCurve,2))*(INDEX(DailyScalarsTable,AU$5/100,MONTH($A80)))*$C80</f>
        <v>-7488.5080959904408</v>
      </c>
      <c r="AV80" s="1021">
        <f>(VLOOKUP(YEAR($A80),'NY East Load Projections'!$A$4:$EO$14,((MONTH($A80)-1)*12)+VLOOKUP(AV$4,$DE$6:$DF$17,2)+1))*(VLOOKUP($A80,SatSunCurve,2))*(INDEX(DailyScalarsTable,AV$5/100,MONTH($A80)))*$C80</f>
        <v>-7339.6986029497557</v>
      </c>
      <c r="AW80" s="1021">
        <f>(VLOOKUP(YEAR($A80),'NY East Load Projections'!$A$4:$EO$14,((MONTH($A80)-1)*12)+VLOOKUP(AW$4,$DE$6:$DF$17,2)+1))*(VLOOKUP($A80,SatSunCurve,2))*(INDEX(DailyScalarsTable,AW$5/100,MONTH($A80)))*$C80</f>
        <v>-7700.0631577831864</v>
      </c>
      <c r="AX80" s="1021">
        <f>(VLOOKUP(YEAR($A80),'NY East Load Projections'!$A$4:$EO$14,((MONTH($A80)-1)*12)+VLOOKUP(AX$4,$DE$6:$DF$17,2)+1))*(VLOOKUP($A80,SatSunCurve,2))*(INDEX(DailyScalarsTable,AX$5/100,MONTH($A80)))*$C80</f>
        <v>-10497.861529731948</v>
      </c>
      <c r="AY80" s="1021">
        <f>(VLOOKUP(YEAR($A80),'NY East Load Projections'!$A$4:$EO$14,((MONTH($A80)-1)*12)+VLOOKUP(AY$4,$DE$6:$DF$17,2)+1))*(VLOOKUP($A80,SatSunCurve,2))*(INDEX(DailyScalarsTable,AY$5/100,MONTH($A80)))*$C80</f>
        <v>-11527.436829548533</v>
      </c>
      <c r="AZ80" s="1021">
        <f>(VLOOKUP(YEAR($A80),'NY East Load Projections'!$A$4:$EO$14,((MONTH($A80)-1)*12)+VLOOKUP(AZ$4,$DE$6:$DF$17,2)+1))*(VLOOKUP($A80,SatSunCurve,2))*(INDEX(DailyScalarsTable,AZ$5/100,MONTH($A80)))*$C80</f>
        <v>-11029.869189056188</v>
      </c>
      <c r="BA80" s="1021">
        <f>(VLOOKUP(YEAR($A80),'NY East Load Projections'!$A$4:$EO$14,((MONTH($A80)-1)*12)+VLOOKUP(BA$4,$DE$6:$DF$17,2)+1))*(VLOOKUP($A80,SatSunCurve,2))*(INDEX(DailyScalarsTable,BA$5/100,MONTH($A80)))*$C80</f>
        <v>-10020.859574710526</v>
      </c>
      <c r="BB80" s="1021">
        <f>(VLOOKUP(YEAR($A80),'NY East Load Projections'!$A$4:$EO$14,((MONTH($A80)-1)*12)+VLOOKUP(BB$4,$DE$6:$DF$17,2)+1))*(VLOOKUP($A80,SatSunCurve,2))*(INDEX(DailyScalarsTable,BB$5/100,MONTH($A80)))*$C80</f>
        <v>-7276.52147093861</v>
      </c>
      <c r="BC80" s="1021">
        <f>(VLOOKUP(YEAR($A80),'NY East Load Projections'!$A$4:$EO$14,((MONTH($A80)-1)*12)+VLOOKUP(BC$4,$DE$6:$DF$17,2)+1))*(VLOOKUP($A80,SatSunCurve,2))*(INDEX(DailyScalarsTable,BC$5/100,MONTH($A80)))*$C80</f>
        <v>-5972.6108285214696</v>
      </c>
      <c r="BD80" s="1021">
        <f>(VLOOKUP(YEAR($A80),'NY East Load Projections'!$A$4:$EO$14,((MONTH($A80)-1)*12)+VLOOKUP(BD$4,$DE$6:$DF$17,2)+1))*(VLOOKUP($A80,CURVES!$D$9:$T$261,6))*(INDEX(DailyScalarsTable,BD$5/100,MONTH($A80)))*$C80</f>
        <v>-8339.2212316061814</v>
      </c>
      <c r="BE80" s="1021"/>
      <c r="BF80" s="1021">
        <f>(VLOOKUP(YEAR($A80),'NY East Load Projections'!$A$4:$EO$14,((MONTH($A80)-1)*12)+VLOOKUP(BF$4,$DE$6:$DF$17,2)+1))*(VLOOKUP($A80,CURVES!$D$9:$T$261,6))*(INDEX(DailyScalarsTable,BF$5/100,MONTH($A80)))*$D80</f>
        <v>-5576.8814691597599</v>
      </c>
      <c r="BG80" s="1021">
        <f>(VLOOKUP(YEAR($A80),'NY East Load Projections'!$A$4:$EO$14,((MONTH($A80)-1)*12)+VLOOKUP(BG$4,$DE$6:$DF$17,2)+1))*(VLOOKUP($A80,CURVES!$D$9:$T$261,6))*(INDEX(DailyScalarsTable,BG$5/100,MONTH($A80)))*$D80</f>
        <v>-5273.1887987010477</v>
      </c>
      <c r="BH80" s="1021">
        <f>(VLOOKUP(YEAR($A80),'NY East Load Projections'!$A$4:$EO$14,((MONTH($A80)-1)*12)+VLOOKUP(BH$4,$DE$6:$DF$17,2)+1))*(VLOOKUP($A80,CURVES!$D$9:$T$261,6))*(INDEX(DailyScalarsTable,BH$5/100,MONTH($A80)))*$D80</f>
        <v>-5048.453525468607</v>
      </c>
      <c r="BI80" s="1021">
        <f>(VLOOKUP(YEAR($A80),'NY East Load Projections'!$A$4:$EO$14,((MONTH($A80)-1)*12)+VLOOKUP(BI$4,$DE$6:$DF$17,2)+1))*(VLOOKUP($A80,CURVES!$D$9:$T$261,6))*(INDEX(DailyScalarsTable,BI$5/100,MONTH($A80)))*$D80</f>
        <v>-5051.6226097296139</v>
      </c>
      <c r="BJ80" s="1021">
        <f>(VLOOKUP(YEAR($A80),'NY East Load Projections'!$A$4:$EO$14,((MONTH($A80)-1)*12)+VLOOKUP(BJ$4,$DE$6:$DF$17,2)+1))*(VLOOKUP($A80,CURVES!$D$9:$T$261,6))*(INDEX(DailyScalarsTable,BJ$5/100,MONTH($A80)))*$D80</f>
        <v>-5500.7572396651494</v>
      </c>
      <c r="BK80" s="1021">
        <f>(VLOOKUP(YEAR($A80),'NY East Load Projections'!$A$4:$EO$14,((MONTH($A80)-1)*12)+VLOOKUP(BK$4,$DE$6:$DF$17,2)+1))*(VLOOKUP($A80,CURVES!$D$9:$T$261,6))*(INDEX(DailyScalarsTable,BK$5/100,MONTH($A80)))*$D80</f>
        <v>-6385.1321659957975</v>
      </c>
      <c r="BL80" s="1021">
        <f>(VLOOKUP(YEAR($A80),'NY East Load Projections'!$A$4:$EO$14,((MONTH($A80)-1)*12)+VLOOKUP(BL$4,$DE$6:$DF$17,2)+1))*(VLOOKUP($A80,CURVES!$D$9:$T$261,6))*(INDEX(DailyScalarsTable,BL$5/100,MONTH($A80)))*$D80</f>
        <v>-11521.247878223932</v>
      </c>
      <c r="BM80" s="1021">
        <f>(VLOOKUP(YEAR($A80),'NY East Load Projections'!$A$4:$EO$14,((MONTH($A80)-1)*12)+VLOOKUP(BM$4,$DE$6:$DF$17,2)+1))*(VLOOKUP($A80,SatSunCurve,6))*(INDEX(DailyScalarsTable,BM$5/100,MONTH($A80)))*$D80</f>
        <v>-6800.1371204366078</v>
      </c>
      <c r="BN80" s="1021">
        <f>(VLOOKUP(YEAR($A80),'NY East Load Projections'!$A$4:$EO$14,((MONTH($A80)-1)*12)+VLOOKUP(BN$4,$DE$6:$DF$17,2)+1))*(VLOOKUP($A80,SatSunCurve,6))*(INDEX(DailyScalarsTable,BN$5/100,MONTH($A80)))*$D80</f>
        <v>-7597.6716135719926</v>
      </c>
      <c r="BO80" s="1021">
        <f>(VLOOKUP(YEAR($A80),'NY East Load Projections'!$A$4:$EO$14,((MONTH($A80)-1)*12)+VLOOKUP(BO$4,$DE$6:$DF$17,2)+1))*(VLOOKUP($A80,SatSunCurve,6))*(INDEX(DailyScalarsTable,BO$5/100,MONTH($A80)))*$D80</f>
        <v>-7574.6831971920465</v>
      </c>
      <c r="BP80" s="1021">
        <f>(VLOOKUP(YEAR($A80),'NY East Load Projections'!$A$4:$EO$14,((MONTH($A80)-1)*12)+VLOOKUP(BP$4,$DE$6:$DF$17,2)+1))*(VLOOKUP($A80,SatSunCurve,6))*(INDEX(DailyScalarsTable,BP$5/100,MONTH($A80)))*$D80</f>
        <v>-7441.2226687640295</v>
      </c>
      <c r="BQ80" s="1021">
        <f>(VLOOKUP(YEAR($A80),'NY East Load Projections'!$A$4:$EO$14,((MONTH($A80)-1)*12)+VLOOKUP(BQ$4,$DE$6:$DF$17,2)+1))*(VLOOKUP($A80,SatSunCurve,6))*(INDEX(DailyScalarsTable,BQ$5/100,MONTH($A80)))*$D80</f>
        <v>-5685.801651306524</v>
      </c>
      <c r="BR80" s="1021">
        <f>(VLOOKUP(YEAR($A80),'NY East Load Projections'!$A$4:$EO$14,((MONTH($A80)-1)*12)+VLOOKUP(BR$4,$DE$6:$DF$17,2)+1))*(VLOOKUP($A80,SatSunCurve,6))*(INDEX(DailyScalarsTable,BR$5/100,MONTH($A80)))*$D80</f>
        <v>-5545.123764300587</v>
      </c>
      <c r="BS80" s="1021">
        <f>(VLOOKUP(YEAR($A80),'NY East Load Projections'!$A$4:$EO$14,((MONTH($A80)-1)*12)+VLOOKUP(BS$4,$DE$6:$DF$17,2)+1))*(VLOOKUP($A80,SatSunCurve,6))*(INDEX(DailyScalarsTable,BS$5/100,MONTH($A80)))*$D80</f>
        <v>-5368.1517292697181</v>
      </c>
      <c r="BT80" s="1021">
        <f>(VLOOKUP(YEAR($A80),'NY East Load Projections'!$A$4:$EO$14,((MONTH($A80)-1)*12)+VLOOKUP(BT$4,$DE$6:$DF$17,2)+1))*(VLOOKUP($A80,SatSunCurve,6))*(INDEX(DailyScalarsTable,BT$5/100,MONTH($A80)))*$D80</f>
        <v>-5098.2052555450937</v>
      </c>
      <c r="BU80" s="1021">
        <f>(VLOOKUP(YEAR($A80),'NY East Load Projections'!$A$4:$EO$14,((MONTH($A80)-1)*12)+VLOOKUP(BU$4,$DE$6:$DF$17,2)+1))*(VLOOKUP($A80,SatSunCurve,6))*(INDEX(DailyScalarsTable,BU$5/100,MONTH($A80)))*$D80</f>
        <v>-4996.8951775201749</v>
      </c>
      <c r="BV80" s="1021">
        <f>(VLOOKUP(YEAR($A80),'NY East Load Projections'!$A$4:$EO$14,((MONTH($A80)-1)*12)+VLOOKUP(BV$4,$DE$6:$DF$17,2)+1))*(VLOOKUP($A80,SatSunCurve,6))*(INDEX(DailyScalarsTable,BV$5/100,MONTH($A80)))*$D80</f>
        <v>-5242.2327592939946</v>
      </c>
      <c r="BW80" s="1021">
        <f>(VLOOKUP(YEAR($A80),'NY East Load Projections'!$A$4:$EO$14,((MONTH($A80)-1)*12)+VLOOKUP(BW$4,$DE$6:$DF$17,2)+1))*(VLOOKUP($A80,SatSunCurve,6))*(INDEX(DailyScalarsTable,BW$5/100,MONTH($A80)))*$D80</f>
        <v>-7146.9847046730629</v>
      </c>
      <c r="BX80" s="1021">
        <f>(VLOOKUP(YEAR($A80),'NY East Load Projections'!$A$4:$EO$14,((MONTH($A80)-1)*12)+VLOOKUP(BX$4,$DE$6:$DF$17,2)+1))*(VLOOKUP($A80,SatSunCurve,6))*(INDEX(DailyScalarsTable,BX$5/100,MONTH($A80)))*$D80</f>
        <v>-7847.9235481944816</v>
      </c>
      <c r="BY80" s="1021">
        <f>(VLOOKUP(YEAR($A80),'NY East Load Projections'!$A$4:$EO$14,((MONTH($A80)-1)*12)+VLOOKUP(BY$4,$DE$6:$DF$17,2)+1))*(VLOOKUP($A80,SatSunCurve,6))*(INDEX(DailyScalarsTable,BY$5/100,MONTH($A80)))*$D80</f>
        <v>-7509.1775754011205</v>
      </c>
      <c r="BZ80" s="1021">
        <f>(VLOOKUP(YEAR($A80),'NY East Load Projections'!$A$4:$EO$14,((MONTH($A80)-1)*12)+VLOOKUP(BZ$4,$DE$6:$DF$17,2)+1))*(VLOOKUP($A80,SatSunCurve,6))*(INDEX(DailyScalarsTable,BZ$5/100,MONTH($A80)))*$D80</f>
        <v>-6822.2399300366314</v>
      </c>
      <c r="CA80" s="1021">
        <f>(VLOOKUP(YEAR($A80),'NY East Load Projections'!$A$4:$EO$14,((MONTH($A80)-1)*12)+VLOOKUP(CA$4,$DE$6:$DF$17,2)+1))*(VLOOKUP($A80,SatSunCurve,6))*(INDEX(DailyScalarsTable,CA$5/100,MONTH($A80)))*$D80</f>
        <v>-4953.8839418613743</v>
      </c>
      <c r="CB80" s="1021">
        <f>(VLOOKUP(YEAR($A80),'NY East Load Projections'!$A$4:$EO$14,((MONTH($A80)-1)*12)+VLOOKUP(CB$4,$DE$6:$DF$17,2)+1))*(VLOOKUP($A80,SatSunCurve,6))*(INDEX(DailyScalarsTable,CB$5/100,MONTH($A80)))*$D80</f>
        <v>-4066.1765367653488</v>
      </c>
      <c r="CC80" s="1021">
        <f>(VLOOKUP(YEAR($A80),'NY East Load Projections'!$A$4:$EO$14,((MONTH($A80)-1)*12)+VLOOKUP(CC$4,$DE$6:$DF$17,2)+1))*(VLOOKUP($A80,CURVES!$D$9:$T$261,6))*(INDEX(DailyScalarsTable,CC$5/100,MONTH($A80)))*$D80</f>
        <v>-6671.3769852849455</v>
      </c>
      <c r="CE80" s="1021">
        <f>(VLOOKUP(YEAR($A80),'NY East Load Projections'!$A$4:$EO$14,((MONTH($A80)-1)*12)+VLOOKUP(CE$4,$DE$6:$DF$17,2)+1))*(VLOOKUP($A80,CURVES!$D$9:$T$261,6))*(INDEX(DailyScalarsTable,CE$5/100,MONTH($A80)))*$E80</f>
        <v>0</v>
      </c>
      <c r="CF80" s="1021">
        <f>(VLOOKUP(YEAR($A80),'NY East Load Projections'!$A$4:$EO$14,((MONTH($A80)-1)*12)+VLOOKUP(CF$4,$DE$6:$DF$17,2)+1))*(VLOOKUP($A80,CURVES!$D$9:$T$261,6))*(INDEX(DailyScalarsTable,CF$5/100,MONTH($A80)))*$E80</f>
        <v>0</v>
      </c>
      <c r="CG80" s="1021">
        <f>(VLOOKUP(YEAR($A80),'NY East Load Projections'!$A$4:$EO$14,((MONTH($A80)-1)*12)+VLOOKUP(CG$4,$DE$6:$DF$17,2)+1))*(VLOOKUP($A80,CURVES!$D$9:$T$261,6))*(INDEX(DailyScalarsTable,CG$5/100,MONTH($A80)))*$E80</f>
        <v>0</v>
      </c>
      <c r="CH80" s="1021">
        <f>(VLOOKUP(YEAR($A80),'NY East Load Projections'!$A$4:$EO$14,((MONTH($A80)-1)*12)+VLOOKUP(CH$4,$DE$6:$DF$17,2)+1))*(VLOOKUP($A80,CURVES!$D$9:$T$261,6))*(INDEX(DailyScalarsTable,CH$5/100,MONTH($A80)))*$E80</f>
        <v>0</v>
      </c>
      <c r="CI80" s="1021">
        <f>(VLOOKUP(YEAR($A80),'NY East Load Projections'!$A$4:$EO$14,((MONTH($A80)-1)*12)+VLOOKUP(CI$4,$DE$6:$DF$17,2)+1))*(VLOOKUP($A80,CURVES!$D$9:$T$261,6))*(INDEX(DailyScalarsTable,CI$5/100,MONTH($A80)))*$E80</f>
        <v>0</v>
      </c>
      <c r="CJ80" s="1021">
        <f>(VLOOKUP(YEAR($A80),'NY East Load Projections'!$A$4:$EO$14,((MONTH($A80)-1)*12)+VLOOKUP(CJ$4,$DE$6:$DF$17,2)+1))*(VLOOKUP($A80,CURVES!$D$9:$T$261,6))*(INDEX(DailyScalarsTable,CJ$5/100,MONTH($A80)))*$E80</f>
        <v>0</v>
      </c>
      <c r="CK80" s="1021">
        <f>(VLOOKUP(YEAR($A80),'NY East Load Projections'!$A$4:$EO$14,((MONTH($A80)-1)*12)+VLOOKUP(CK$4,$DE$6:$DF$17,2)+1))*(VLOOKUP($A80,CURVES!$D$9:$T$261,6))*(INDEX(DailyScalarsTable,CK$5/100,MONTH($A80)))*$E80</f>
        <v>0</v>
      </c>
      <c r="CL80" s="1021">
        <f>(VLOOKUP(YEAR($A80),'NY East Load Projections'!$A$4:$EO$14,((MONTH($A80)-1)*12)+VLOOKUP(CL$4,$DE$6:$DF$17,2)+1))*(VLOOKUP($A80,SatSunCurve,6))*(INDEX(DailyScalarsTable,CL$5/100,MONTH($A80)))*$E80</f>
        <v>0</v>
      </c>
      <c r="CM80" s="1021">
        <f>(VLOOKUP(YEAR($A80),'NY East Load Projections'!$A$4:$EO$14,((MONTH($A80)-1)*12)+VLOOKUP(CM$4,$DE$6:$DF$17,2)+1))*(VLOOKUP($A80,SatSunCurve,6))*(INDEX(DailyScalarsTable,CM$5/100,MONTH($A80)))*$E80</f>
        <v>0</v>
      </c>
      <c r="CN80" s="1021">
        <f>(VLOOKUP(YEAR($A80),'NY East Load Projections'!$A$4:$EO$14,((MONTH($A80)-1)*12)+VLOOKUP(CN$4,$DE$6:$DF$17,2)+1))*(VLOOKUP($A80,SatSunCurve,6))*(INDEX(DailyScalarsTable,CN$5/100,MONTH($A80)))*$E80</f>
        <v>0</v>
      </c>
      <c r="CO80" s="1021">
        <f>(VLOOKUP(YEAR($A80),'NY East Load Projections'!$A$4:$EO$14,((MONTH($A80)-1)*12)+VLOOKUP(CO$4,$DE$6:$DF$17,2)+1))*(VLOOKUP($A80,SatSunCurve,6))*(INDEX(DailyScalarsTable,CO$5/100,MONTH($A80)))*$E80</f>
        <v>0</v>
      </c>
      <c r="CP80" s="1021">
        <f>(VLOOKUP(YEAR($A80),'NY East Load Projections'!$A$4:$EO$14,((MONTH($A80)-1)*12)+VLOOKUP(CP$4,$DE$6:$DF$17,2)+1))*(VLOOKUP($A80,SatSunCurve,6))*(INDEX(DailyScalarsTable,CP$5/100,MONTH($A80)))*$E80</f>
        <v>0</v>
      </c>
      <c r="CQ80" s="1021">
        <f>(VLOOKUP(YEAR($A80),'NY East Load Projections'!$A$4:$EO$14,((MONTH($A80)-1)*12)+VLOOKUP(CQ$4,$DE$6:$DF$17,2)+1))*(VLOOKUP($A80,SatSunCurve,6))*(INDEX(DailyScalarsTable,CQ$5/100,MONTH($A80)))*$E80</f>
        <v>0</v>
      </c>
      <c r="CR80" s="1021">
        <f>(VLOOKUP(YEAR($A80),'NY East Load Projections'!$A$4:$EO$14,((MONTH($A80)-1)*12)+VLOOKUP(CR$4,$DE$6:$DF$17,2)+1))*(VLOOKUP($A80,SatSunCurve,6))*(INDEX(DailyScalarsTable,CR$5/100,MONTH($A80)))*$E80</f>
        <v>0</v>
      </c>
      <c r="CS80" s="1021">
        <f>(VLOOKUP(YEAR($A80),'NY East Load Projections'!$A$4:$EO$14,((MONTH($A80)-1)*12)+VLOOKUP(CS$4,$DE$6:$DF$17,2)+1))*(VLOOKUP($A80,SatSunCurve,6))*(INDEX(DailyScalarsTable,CS$5/100,MONTH($A80)))*$E80</f>
        <v>0</v>
      </c>
      <c r="CT80" s="1021">
        <f>(VLOOKUP(YEAR($A80),'NY East Load Projections'!$A$4:$EO$14,((MONTH($A80)-1)*12)+VLOOKUP(CT$4,$DE$6:$DF$17,2)+1))*(VLOOKUP($A80,SatSunCurve,6))*(INDEX(DailyScalarsTable,CT$5/100,MONTH($A80)))*$E80</f>
        <v>0</v>
      </c>
      <c r="CU80" s="1021">
        <f>(VLOOKUP(YEAR($A80),'NY East Load Projections'!$A$4:$EO$14,((MONTH($A80)-1)*12)+VLOOKUP(CU$4,$DE$6:$DF$17,2)+1))*(VLOOKUP($A80,SatSunCurve,6))*(INDEX(DailyScalarsTable,CU$5/100,MONTH($A80)))*$E80</f>
        <v>0</v>
      </c>
      <c r="CV80" s="1021">
        <f>(VLOOKUP(YEAR($A80),'NY East Load Projections'!$A$4:$EO$14,((MONTH($A80)-1)*12)+VLOOKUP(CV$4,$DE$6:$DF$17,2)+1))*(VLOOKUP($A80,SatSunCurve,6))*(INDEX(DailyScalarsTable,CV$5/100,MONTH($A80)))*$E80</f>
        <v>0</v>
      </c>
      <c r="CW80" s="1021">
        <f>(VLOOKUP(YEAR($A80),'NY East Load Projections'!$A$4:$EO$14,((MONTH($A80)-1)*12)+VLOOKUP(CW$4,$DE$6:$DF$17,2)+1))*(VLOOKUP($A80,SatSunCurve,6))*(INDEX(DailyScalarsTable,CW$5/100,MONTH($A80)))*$E80</f>
        <v>0</v>
      </c>
      <c r="CX80" s="1021">
        <f>(VLOOKUP(YEAR($A80),'NY East Load Projections'!$A$4:$EO$14,((MONTH($A80)-1)*12)+VLOOKUP(CX$4,$DE$6:$DF$17,2)+1))*(VLOOKUP($A80,SatSunCurve,6))*(INDEX(DailyScalarsTable,CX$5/100,MONTH($A80)))*$E80</f>
        <v>0</v>
      </c>
      <c r="CY80" s="1021">
        <f>(VLOOKUP(YEAR($A80),'NY East Load Projections'!$A$4:$EO$14,((MONTH($A80)-1)*12)+VLOOKUP(CY$4,$DE$6:$DF$17,2)+1))*(VLOOKUP($A80,SatSunCurve,6))*(INDEX(DailyScalarsTable,CY$5/100,MONTH($A80)))*$E80</f>
        <v>0</v>
      </c>
      <c r="CZ80" s="1021">
        <f>(VLOOKUP(YEAR($A80),'NY East Load Projections'!$A$4:$EO$14,((MONTH($A80)-1)*12)+VLOOKUP(CZ$4,$DE$6:$DF$17,2)+1))*(VLOOKUP($A80,SatSunCurve,6))*(INDEX(DailyScalarsTable,CZ$5/100,MONTH($A80)))*$E80</f>
        <v>0</v>
      </c>
      <c r="DA80" s="1021">
        <f>(VLOOKUP(YEAR($A80),'NY East Load Projections'!$A$4:$EO$14,((MONTH($A80)-1)*12)+VLOOKUP(DA$4,$DE$6:$DF$17,2)+1))*(VLOOKUP($A80,SatSunCurve,6))*(INDEX(DailyScalarsTable,DA$5/100,MONTH($A80)))*$E80</f>
        <v>0</v>
      </c>
      <c r="DB80" s="1021">
        <f>(VLOOKUP(YEAR($A80),'NY East Load Projections'!$A$4:$EO$14,((MONTH($A80)-1)*12)+VLOOKUP(DB$4,$DE$6:$DF$17,2)+1))*(VLOOKUP($A80,CURVES!$D$9:$T$261,6))*(INDEX(DailyScalarsTable,DB$5/100,MONTH($A80)))*$E80</f>
        <v>0</v>
      </c>
      <c r="DH80" s="1021">
        <f t="shared" si="2"/>
        <v>-1600779.4835401902</v>
      </c>
      <c r="DI80">
        <f ca="1">CALC!J100</f>
        <v>0.5969503290230761</v>
      </c>
      <c r="DJ80" s="1029">
        <f t="shared" ca="1" si="3"/>
        <v>-955585.83939270629</v>
      </c>
    </row>
    <row r="81" spans="1:114" x14ac:dyDescent="0.25">
      <c r="A81" s="244">
        <v>39173</v>
      </c>
      <c r="B81" s="13">
        <v>21</v>
      </c>
      <c r="C81" s="210">
        <v>4</v>
      </c>
      <c r="D81" s="210">
        <v>5</v>
      </c>
      <c r="E81" s="210">
        <v>0</v>
      </c>
      <c r="F81" s="13">
        <v>30</v>
      </c>
      <c r="H81" s="1021">
        <f>(VLOOKUP(YEAR($A81),'NY East Load Projections'!$A$4:$EO$14,((MONTH($A81)-1)*12)+VLOOKUP(H$4,$DE$6:$DF$17,2)+1))*(VLOOKUP($A81,CURVES!$D$9:$K$261,6))*(INDEX(DailyScalarsTable,H$5/100,MONTH($A81)))*$B81</f>
        <v>-30630.093392945633</v>
      </c>
      <c r="I81" s="1021">
        <f>(VLOOKUP(YEAR($A81),'NY East Load Projections'!$A$4:$EO$14,((MONTH($A81)-1)*12)+VLOOKUP(I$4,$DE$6:$DF$17,2)+1))*(VLOOKUP($A81,CURVES!$D$9:$K$261,6))*(INDEX(DailyScalarsTable,I$5/100,MONTH($A81)))*$B81</f>
        <v>-29051.779548838684</v>
      </c>
      <c r="J81" s="1021">
        <f>(VLOOKUP(YEAR($A81),'NY East Load Projections'!$A$4:$EO$14,((MONTH($A81)-1)*12)+VLOOKUP(J$4,$DE$6:$DF$17,2)+1))*(VLOOKUP($A81,CURVES!$D$9:$K$261,6))*(INDEX(DailyScalarsTable,J$5/100,MONTH($A81)))*$B81</f>
        <v>-27883.813287202676</v>
      </c>
      <c r="K81" s="1021">
        <f>(VLOOKUP(YEAR($A81),'NY East Load Projections'!$A$4:$EO$14,((MONTH($A81)-1)*12)+VLOOKUP(K$4,$DE$6:$DF$17,2)+1))*(VLOOKUP($A81,CURVES!$D$9:$K$261,6))*(INDEX(DailyScalarsTable,K$5/100,MONTH($A81)))*$B81</f>
        <v>-27900.283258488889</v>
      </c>
      <c r="L81" s="1021">
        <f>(VLOOKUP(YEAR($A81),'NY East Load Projections'!$A$4:$EO$14,((MONTH($A81)-1)*12)+VLOOKUP(L$4,$DE$6:$DF$17,2)+1))*(VLOOKUP($A81,CURVES!$D$9:$K$261,6))*(INDEX(DailyScalarsTable,L$5/100,MONTH($A81)))*$B81</f>
        <v>-32189.444932675491</v>
      </c>
      <c r="M81" s="1021">
        <f>(VLOOKUP(YEAR($A81),'NY East Load Projections'!$A$4:$EO$14,((MONTH($A81)-1)*12)+VLOOKUP(M$4,$DE$6:$DF$17,2)+1))*(VLOOKUP($A81,CURVES!$D$9:$K$261,6))*(INDEX(DailyScalarsTable,M$5/100,MONTH($A81)))*$B81</f>
        <v>-37079.51023023943</v>
      </c>
      <c r="N81" s="1021">
        <f>(VLOOKUP(YEAR($A81),'NY East Load Projections'!$A$4:$EO$14,((MONTH($A81)-1)*12)+VLOOKUP(N$4,$DE$6:$DF$17,2)+1))*(VLOOKUP($A81,CURVES!$D$9:$K$261,6))*(INDEX(DailyScalarsTable,N$5/100,MONTH($A81)))*$B81</f>
        <v>-52886.154010755949</v>
      </c>
      <c r="O81" s="1021">
        <f>(VLOOKUP(YEAR($A81),'NY East Load Projections'!$A$4:$EO$14,((MONTH($A81)-1)*12)+VLOOKUP(O$4,$DE$6:$DF$17,2)+1))*(VLOOKUP($A81,CURVES!$D$9:$K$261,2))*(INDEX(DailyScalarsTable,O$5/100,MONTH($A81)))*$B81</f>
        <v>-64739.122325413591</v>
      </c>
      <c r="P81" s="1021">
        <f>(VLOOKUP(YEAR($A81),'NY East Load Projections'!$A$4:$EO$14,((MONTH($A81)-1)*12)+VLOOKUP(P$4,$DE$6:$DF$17,2)+1))*(VLOOKUP($A81,CURVES!$D$9:$K$261,2))*(INDEX(DailyScalarsTable,P$5/100,MONTH($A81)))*$B81</f>
        <v>-70501.040544265939</v>
      </c>
      <c r="Q81" s="1021">
        <f>(VLOOKUP(YEAR($A81),'NY East Load Projections'!$A$4:$EO$14,((MONTH($A81)-1)*12)+VLOOKUP(Q$4,$DE$6:$DF$17,2)+1))*(VLOOKUP($A81,CURVES!$D$9:$K$261,2))*(INDEX(DailyScalarsTable,Q$5/100,MONTH($A81)))*$B81</f>
        <v>-67565.071390025099</v>
      </c>
      <c r="R81" s="1021">
        <f>(VLOOKUP(YEAR($A81),'NY East Load Projections'!$A$4:$EO$14,((MONTH($A81)-1)*12)+VLOOKUP(R$4,$DE$6:$DF$17,2)+1))*(VLOOKUP($A81,CURVES!$D$9:$K$261,2))*(INDEX(DailyScalarsTable,R$5/100,MONTH($A81)))*$B81</f>
        <v>-68957.991398522005</v>
      </c>
      <c r="S81" s="1021">
        <f>(VLOOKUP(YEAR($A81),'NY East Load Projections'!$A$4:$EO$14,((MONTH($A81)-1)*12)+VLOOKUP(S$4,$DE$6:$DF$17,2)+1))*(VLOOKUP($A81,CURVES!$D$9:$K$261,2))*(INDEX(DailyScalarsTable,S$5/100,MONTH($A81)))*$B81</f>
        <v>-69093.207045314033</v>
      </c>
      <c r="T81" s="1021">
        <f>(VLOOKUP(YEAR($A81),'NY East Load Projections'!$A$4:$EO$14,((MONTH($A81)-1)*12)+VLOOKUP(T$4,$DE$6:$DF$17,2)+1))*(VLOOKUP($A81,CURVES!$D$9:$K$261,2))*(INDEX(DailyScalarsTable,T$5/100,MONTH($A81)))*$B81</f>
        <v>-64798.506834207961</v>
      </c>
      <c r="U81" s="1021">
        <f>(VLOOKUP(YEAR($A81),'NY East Load Projections'!$A$4:$EO$14,((MONTH($A81)-1)*12)+VLOOKUP(U$4,$DE$6:$DF$17,2)+1))*(VLOOKUP($A81,CURVES!$D$9:$K$261,2))*(INDEX(DailyScalarsTable,U$5/100,MONTH($A81)))*$B81</f>
        <v>-64868.280843562134</v>
      </c>
      <c r="V81" s="1021">
        <f>(VLOOKUP(YEAR($A81),'NY East Load Projections'!$A$4:$EO$14,((MONTH($A81)-1)*12)+VLOOKUP(V$4,$DE$6:$DF$17,2)+1))*(VLOOKUP($A81,CURVES!$D$9:$K$261,2))*(INDEX(DailyScalarsTable,V$5/100,MONTH($A81)))*$B81</f>
        <v>-60841.9100684765</v>
      </c>
      <c r="W81" s="1021">
        <f>(VLOOKUP(YEAR($A81),'NY East Load Projections'!$A$4:$EO$14,((MONTH($A81)-1)*12)+VLOOKUP(W$4,$DE$6:$DF$17,2)+1))*(VLOOKUP($A81,CURVES!$D$9:$K$261,2))*(INDEX(DailyScalarsTable,W$5/100,MONTH($A81)))*$B81</f>
        <v>-56863.765446915109</v>
      </c>
      <c r="X81" s="1021">
        <f>(VLOOKUP(YEAR($A81),'NY East Load Projections'!$A$4:$EO$14,((MONTH($A81)-1)*12)+VLOOKUP(X$4,$DE$6:$DF$17,2)+1))*(VLOOKUP($A81,CURVES!$D$9:$K$261,2))*(INDEX(DailyScalarsTable,X$5/100,MONTH($A81)))*$B81</f>
        <v>-52956.508344727328</v>
      </c>
      <c r="Y81" s="1021">
        <f>(VLOOKUP(YEAR($A81),'NY East Load Projections'!$A$4:$EO$14,((MONTH($A81)-1)*12)+VLOOKUP(Y$4,$DE$6:$DF$17,2)+1))*(VLOOKUP($A81,CURVES!$D$9:$K$261,2))*(INDEX(DailyScalarsTable,Y$5/100,MONTH($A81)))*$B81</f>
        <v>-52267.781786723419</v>
      </c>
      <c r="Z81" s="1021">
        <f>(VLOOKUP(YEAR($A81),'NY East Load Projections'!$A$4:$EO$14,((MONTH($A81)-1)*12)+VLOOKUP(Z$4,$DE$6:$DF$17,2)+1))*(VLOOKUP($A81,CURVES!$D$9:$K$261,2))*(INDEX(DailyScalarsTable,Z$5/100,MONTH($A81)))*$B81</f>
        <v>-51987.588620878312</v>
      </c>
      <c r="AA81" s="1021">
        <f>(VLOOKUP(YEAR($A81),'NY East Load Projections'!$A$4:$EO$14,((MONTH($A81)-1)*12)+VLOOKUP(AA$4,$DE$6:$DF$17,2)+1))*(VLOOKUP($A81,CURVES!$D$9:$K$261,2))*(INDEX(DailyScalarsTable,AA$5/100,MONTH($A81)))*$B81</f>
        <v>-57022.248338633777</v>
      </c>
      <c r="AB81" s="1021">
        <f>(VLOOKUP(YEAR($A81),'NY East Load Projections'!$A$4:$EO$14,((MONTH($A81)-1)*12)+VLOOKUP(AB$4,$DE$6:$DF$17,2)+1))*(VLOOKUP($A81,CURVES!$D$9:$K$261,2))*(INDEX(DailyScalarsTable,AB$5/100,MONTH($A81)))*$B81</f>
        <v>-64443.232729210758</v>
      </c>
      <c r="AC81" s="1021">
        <f>(VLOOKUP(YEAR($A81),'NY East Load Projections'!$A$4:$EO$14,((MONTH($A81)-1)*12)+VLOOKUP(AC$4,$DE$6:$DF$17,2)+1))*(VLOOKUP($A81,CURVES!$D$9:$K$261,2))*(INDEX(DailyScalarsTable,AC$5/100,MONTH($A81)))*$B81</f>
        <v>-54910.497247341256</v>
      </c>
      <c r="AD81" s="1021">
        <f>(VLOOKUP(YEAR($A81),'NY East Load Projections'!$A$4:$EO$14,((MONTH($A81)-1)*12)+VLOOKUP(AD$4,$DE$6:$DF$17,2)+1))*(VLOOKUP($A81,CURVES!$D$9:$K$261,2))*(INDEX(DailyScalarsTable,AD$5/100,MONTH($A81)))*$B81</f>
        <v>-48510.113154839033</v>
      </c>
      <c r="AE81" s="1021">
        <f>(VLOOKUP(YEAR($A81),'NY East Load Projections'!$A$4:$EO$14,((MONTH($A81)-1)*12)+VLOOKUP(AE$4,$DE$6:$DF$17,2)+1))*(VLOOKUP($A81,CURVES!$D$9:$K$261,6))*(INDEX(DailyScalarsTable,AE$5/100,MONTH($A81)))*$B81</f>
        <v>-36063.667053780249</v>
      </c>
      <c r="AF81" s="1021"/>
      <c r="AG81" s="1021">
        <f>(VLOOKUP(YEAR($A81),'NY East Load Projections'!$A$4:$EO$14,((MONTH($A81)-1)*12)+VLOOKUP(AG$4,$DE$6:$DF$17,2)+1))*(VLOOKUP($A81,CURVES!$D$9:$T$261,6))*(INDEX(DailyScalarsTable,AG$5/100,MONTH($A81)))*$C81</f>
        <v>-6026.5755862539145</v>
      </c>
      <c r="AH81" s="1021">
        <f>(VLOOKUP(YEAR($A81),'NY East Load Projections'!$A$4:$EO$14,((MONTH($A81)-1)*12)+VLOOKUP(AH$4,$DE$6:$DF$17,2)+1))*(VLOOKUP($A81,CURVES!$D$9:$T$261,6))*(INDEX(DailyScalarsTable,AH$5/100,MONTH($A81)))*$C81</f>
        <v>-5716.0369418457276</v>
      </c>
      <c r="AI81" s="1021">
        <f>(VLOOKUP(YEAR($A81),'NY East Load Projections'!$A$4:$EO$14,((MONTH($A81)-1)*12)+VLOOKUP(AI$4,$DE$6:$DF$17,2)+1))*(VLOOKUP($A81,CURVES!$D$9:$T$261,6))*(INDEX(DailyScalarsTable,AI$5/100,MONTH($A81)))*$C81</f>
        <v>-5486.2355870916181</v>
      </c>
      <c r="AJ81" s="1021">
        <f>(VLOOKUP(YEAR($A81),'NY East Load Projections'!$A$4:$EO$14,((MONTH($A81)-1)*12)+VLOOKUP(AJ$4,$DE$6:$DF$17,2)+1))*(VLOOKUP($A81,CURVES!$D$9:$T$261,6))*(INDEX(DailyScalarsTable,AJ$5/100,MONTH($A81)))*$C81</f>
        <v>-5489.4761102459697</v>
      </c>
      <c r="AK81" s="1021">
        <f>(VLOOKUP(YEAR($A81),'NY East Load Projections'!$A$4:$EO$14,((MONTH($A81)-1)*12)+VLOOKUP(AK$4,$DE$6:$DF$17,2)+1))*(VLOOKUP($A81,CURVES!$D$9:$T$261,6))*(INDEX(DailyScalarsTable,AK$5/100,MONTH($A81)))*$C81</f>
        <v>-5975.7711861898088</v>
      </c>
      <c r="AL81" s="1021">
        <f>(VLOOKUP(YEAR($A81),'NY East Load Projections'!$A$4:$EO$14,((MONTH($A81)-1)*12)+VLOOKUP(AL$4,$DE$6:$DF$17,2)+1))*(VLOOKUP($A81,CURVES!$D$9:$T$261,6))*(INDEX(DailyScalarsTable,AL$5/100,MONTH($A81)))*$C81</f>
        <v>-6883.5815372190718</v>
      </c>
      <c r="AM81" s="1021">
        <f>(VLOOKUP(YEAR($A81),'NY East Load Projections'!$A$4:$EO$14,((MONTH($A81)-1)*12)+VLOOKUP(AM$4,$DE$6:$DF$17,2)+1))*(VLOOKUP($A81,CURVES!$D$9:$T$261,6))*(INDEX(DailyScalarsTable,AM$5/100,MONTH($A81)))*$C81</f>
        <v>-9817.9871056137545</v>
      </c>
      <c r="AN81" s="1021">
        <f>(VLOOKUP(YEAR($A81),'NY East Load Projections'!$A$4:$EO$14,((MONTH($A81)-1)*12)+VLOOKUP(AN$4,$DE$6:$DF$17,2)+1))*(VLOOKUP($A81,SatSunCurve,2))*(INDEX(DailyScalarsTable,AN$5/100,MONTH($A81)))*$C81</f>
        <v>-8384.1858150864864</v>
      </c>
      <c r="AO81" s="1021">
        <f>(VLOOKUP(YEAR($A81),'NY East Load Projections'!$A$4:$EO$14,((MONTH($A81)-1)*12)+VLOOKUP(AO$4,$DE$6:$DF$17,2)+1))*(VLOOKUP($A81,SatSunCurve,2))*(INDEX(DailyScalarsTable,AO$5/100,MONTH($A81)))*$C81</f>
        <v>-9105.6067296984638</v>
      </c>
      <c r="AP81" s="1021">
        <f>(VLOOKUP(YEAR($A81),'NY East Load Projections'!$A$4:$EO$14,((MONTH($A81)-1)*12)+VLOOKUP(AP$4,$DE$6:$DF$17,2)+1))*(VLOOKUP($A81,SatSunCurve,2))*(INDEX(DailyScalarsTable,AP$5/100,MONTH($A81)))*$C81</f>
        <v>-8726.4097663251814</v>
      </c>
      <c r="AQ81" s="1021">
        <f>(VLOOKUP(YEAR($A81),'NY East Load Projections'!$A$4:$EO$14,((MONTH($A81)-1)*12)+VLOOKUP(AQ$4,$DE$6:$DF$17,2)+1))*(VLOOKUP($A81,SatSunCurve,2))*(INDEX(DailyScalarsTable,AQ$5/100,MONTH($A81)))*$C81</f>
        <v>-8906.3132359106748</v>
      </c>
      <c r="AR81" s="1021">
        <f>(VLOOKUP(YEAR($A81),'NY East Load Projections'!$A$4:$EO$14,((MONTH($A81)-1)*12)+VLOOKUP(AR$4,$DE$6:$DF$17,2)+1))*(VLOOKUP($A81,SatSunCurve,2))*(INDEX(DailyScalarsTable,AR$5/100,MONTH($A81)))*$C81</f>
        <v>-8923.7770987683725</v>
      </c>
      <c r="AS81" s="1021">
        <f>(VLOOKUP(YEAR($A81),'NY East Load Projections'!$A$4:$EO$14,((MONTH($A81)-1)*12)+VLOOKUP(AS$4,$DE$6:$DF$17,2)+1))*(VLOOKUP($A81,SatSunCurve,2))*(INDEX(DailyScalarsTable,AS$5/100,MONTH($A81)))*$C81</f>
        <v>-8211.4938951905751</v>
      </c>
      <c r="AT81" s="1021">
        <f>(VLOOKUP(YEAR($A81),'NY East Load Projections'!$A$4:$EO$14,((MONTH($A81)-1)*12)+VLOOKUP(AT$4,$DE$6:$DF$17,2)+1))*(VLOOKUP($A81,SatSunCurve,2))*(INDEX(DailyScalarsTable,AT$5/100,MONTH($A81)))*$C81</f>
        <v>-8220.3359022034929</v>
      </c>
      <c r="AU81" s="1021">
        <f>(VLOOKUP(YEAR($A81),'NY East Load Projections'!$A$4:$EO$14,((MONTH($A81)-1)*12)+VLOOKUP(AU$4,$DE$6:$DF$17,2)+1))*(VLOOKUP($A81,SatSunCurve,2))*(INDEX(DailyScalarsTable,AU$5/100,MONTH($A81)))*$C81</f>
        <v>-7710.1000857520057</v>
      </c>
      <c r="AV81" s="1021">
        <f>(VLOOKUP(YEAR($A81),'NY East Load Projections'!$A$4:$EO$14,((MONTH($A81)-1)*12)+VLOOKUP(AV$4,$DE$6:$DF$17,2)+1))*(VLOOKUP($A81,SatSunCurve,2))*(INDEX(DailyScalarsTable,AV$5/100,MONTH($A81)))*$C81</f>
        <v>-7205.9756565006282</v>
      </c>
      <c r="AW81" s="1021">
        <f>(VLOOKUP(YEAR($A81),'NY East Load Projections'!$A$4:$EO$14,((MONTH($A81)-1)*12)+VLOOKUP(AW$4,$DE$6:$DF$17,2)+1))*(VLOOKUP($A81,SatSunCurve,2))*(INDEX(DailyScalarsTable,AW$5/100,MONTH($A81)))*$C81</f>
        <v>-6692.2564050046731</v>
      </c>
      <c r="AX81" s="1021">
        <f>(VLOOKUP(YEAR($A81),'NY East Load Projections'!$A$4:$EO$14,((MONTH($A81)-1)*12)+VLOOKUP(AX$4,$DE$6:$DF$17,2)+1))*(VLOOKUP($A81,SatSunCurve,2))*(INDEX(DailyScalarsTable,AX$5/100,MONTH($A81)))*$C81</f>
        <v>-6605.2201772931576</v>
      </c>
      <c r="AY81" s="1021">
        <f>(VLOOKUP(YEAR($A81),'NY East Load Projections'!$A$4:$EO$14,((MONTH($A81)-1)*12)+VLOOKUP(AY$4,$DE$6:$DF$17,2)+1))*(VLOOKUP($A81,SatSunCurve,2))*(INDEX(DailyScalarsTable,AY$5/100,MONTH($A81)))*$C81</f>
        <v>-6569.8114132455148</v>
      </c>
      <c r="AZ81" s="1021">
        <f>(VLOOKUP(YEAR($A81),'NY East Load Projections'!$A$4:$EO$14,((MONTH($A81)-1)*12)+VLOOKUP(AZ$4,$DE$6:$DF$17,2)+1))*(VLOOKUP($A81,SatSunCurve,2))*(INDEX(DailyScalarsTable,AZ$5/100,MONTH($A81)))*$C81</f>
        <v>-7206.054904297408</v>
      </c>
      <c r="BA81" s="1021">
        <f>(VLOOKUP(YEAR($A81),'NY East Load Projections'!$A$4:$EO$14,((MONTH($A81)-1)*12)+VLOOKUP(BA$4,$DE$6:$DF$17,2)+1))*(VLOOKUP($A81,SatSunCurve,2))*(INDEX(DailyScalarsTable,BA$5/100,MONTH($A81)))*$C81</f>
        <v>-8530.8592771919084</v>
      </c>
      <c r="BB81" s="1021">
        <f>(VLOOKUP(YEAR($A81),'NY East Load Projections'!$A$4:$EO$14,((MONTH($A81)-1)*12)+VLOOKUP(BB$4,$DE$6:$DF$17,2)+1))*(VLOOKUP($A81,SatSunCurve,2))*(INDEX(DailyScalarsTable,BB$5/100,MONTH($A81)))*$C81</f>
        <v>-7268.9358528311504</v>
      </c>
      <c r="BC81" s="1021">
        <f>(VLOOKUP(YEAR($A81),'NY East Load Projections'!$A$4:$EO$14,((MONTH($A81)-1)*12)+VLOOKUP(BC$4,$DE$6:$DF$17,2)+1))*(VLOOKUP($A81,SatSunCurve,2))*(INDEX(DailyScalarsTable,BC$5/100,MONTH($A81)))*$C81</f>
        <v>-6421.6665011748564</v>
      </c>
      <c r="BD81" s="1021">
        <f>(VLOOKUP(YEAR($A81),'NY East Load Projections'!$A$4:$EO$14,((MONTH($A81)-1)*12)+VLOOKUP(BD$4,$DE$6:$DF$17,2)+1))*(VLOOKUP($A81,CURVES!$D$9:$T$261,6))*(INDEX(DailyScalarsTable,BD$5/100,MONTH($A81)))*$C81</f>
        <v>-6843.3969071778611</v>
      </c>
      <c r="BE81" s="1021"/>
      <c r="BF81" s="1021">
        <f>(VLOOKUP(YEAR($A81),'NY East Load Projections'!$A$4:$EO$14,((MONTH($A81)-1)*12)+VLOOKUP(BF$4,$DE$6:$DF$17,2)+1))*(VLOOKUP($A81,CURVES!$D$9:$T$261,6))*(INDEX(DailyScalarsTable,BF$5/100,MONTH($A81)))*$D81</f>
        <v>-7533.2194828173933</v>
      </c>
      <c r="BG81" s="1021">
        <f>(VLOOKUP(YEAR($A81),'NY East Load Projections'!$A$4:$EO$14,((MONTH($A81)-1)*12)+VLOOKUP(BG$4,$DE$6:$DF$17,2)+1))*(VLOOKUP($A81,CURVES!$D$9:$T$261,6))*(INDEX(DailyScalarsTable,BG$5/100,MONTH($A81)))*$D81</f>
        <v>-7145.0461773071593</v>
      </c>
      <c r="BH81" s="1021">
        <f>(VLOOKUP(YEAR($A81),'NY East Load Projections'!$A$4:$EO$14,((MONTH($A81)-1)*12)+VLOOKUP(BH$4,$DE$6:$DF$17,2)+1))*(VLOOKUP($A81,CURVES!$D$9:$T$261,6))*(INDEX(DailyScalarsTable,BH$5/100,MONTH($A81)))*$D81</f>
        <v>-6857.7944838645226</v>
      </c>
      <c r="BI81" s="1021">
        <f>(VLOOKUP(YEAR($A81),'NY East Load Projections'!$A$4:$EO$14,((MONTH($A81)-1)*12)+VLOOKUP(BI$4,$DE$6:$DF$17,2)+1))*(VLOOKUP($A81,CURVES!$D$9:$T$261,6))*(INDEX(DailyScalarsTable,BI$5/100,MONTH($A81)))*$D81</f>
        <v>-6861.8451378074624</v>
      </c>
      <c r="BJ81" s="1021">
        <f>(VLOOKUP(YEAR($A81),'NY East Load Projections'!$A$4:$EO$14,((MONTH($A81)-1)*12)+VLOOKUP(BJ$4,$DE$6:$DF$17,2)+1))*(VLOOKUP($A81,CURVES!$D$9:$T$261,6))*(INDEX(DailyScalarsTable,BJ$5/100,MONTH($A81)))*$D81</f>
        <v>-7469.7139827372612</v>
      </c>
      <c r="BK81" s="1021">
        <f>(VLOOKUP(YEAR($A81),'NY East Load Projections'!$A$4:$EO$14,((MONTH($A81)-1)*12)+VLOOKUP(BK$4,$DE$6:$DF$17,2)+1))*(VLOOKUP($A81,CURVES!$D$9:$T$261,6))*(INDEX(DailyScalarsTable,BK$5/100,MONTH($A81)))*$D81</f>
        <v>-8604.4769215238393</v>
      </c>
      <c r="BL81" s="1021">
        <f>(VLOOKUP(YEAR($A81),'NY East Load Projections'!$A$4:$EO$14,((MONTH($A81)-1)*12)+VLOOKUP(BL$4,$DE$6:$DF$17,2)+1))*(VLOOKUP($A81,CURVES!$D$9:$T$261,6))*(INDEX(DailyScalarsTable,BL$5/100,MONTH($A81)))*$D81</f>
        <v>-12272.483882017194</v>
      </c>
      <c r="BM81" s="1021">
        <f>(VLOOKUP(YEAR($A81),'NY East Load Projections'!$A$4:$EO$14,((MONTH($A81)-1)*12)+VLOOKUP(BM$4,$DE$6:$DF$17,2)+1))*(VLOOKUP($A81,SatSunCurve,6))*(INDEX(DailyScalarsTable,BM$5/100,MONTH($A81)))*$D81</f>
        <v>-8485.136138041602</v>
      </c>
      <c r="BN81" s="1021">
        <f>(VLOOKUP(YEAR($A81),'NY East Load Projections'!$A$4:$EO$14,((MONTH($A81)-1)*12)+VLOOKUP(BN$4,$DE$6:$DF$17,2)+1))*(VLOOKUP($A81,SatSunCurve,6))*(INDEX(DailyScalarsTable,BN$5/100,MONTH($A81)))*$D81</f>
        <v>-9215.2433670939881</v>
      </c>
      <c r="BO81" s="1021">
        <f>(VLOOKUP(YEAR($A81),'NY East Load Projections'!$A$4:$EO$14,((MONTH($A81)-1)*12)+VLOOKUP(BO$4,$DE$6:$DF$17,2)+1))*(VLOOKUP($A81,SatSunCurve,6))*(INDEX(DailyScalarsTable,BO$5/100,MONTH($A81)))*$D81</f>
        <v>-8831.4806585475417</v>
      </c>
      <c r="BP81" s="1021">
        <f>(VLOOKUP(YEAR($A81),'NY East Load Projections'!$A$4:$EO$14,((MONTH($A81)-1)*12)+VLOOKUP(BP$4,$DE$6:$DF$17,2)+1))*(VLOOKUP($A81,SatSunCurve,6))*(INDEX(DailyScalarsTable,BP$5/100,MONTH($A81)))*$D81</f>
        <v>-9013.5502673093324</v>
      </c>
      <c r="BQ81" s="1021">
        <f>(VLOOKUP(YEAR($A81),'NY East Load Projections'!$A$4:$EO$14,((MONTH($A81)-1)*12)+VLOOKUP(BQ$4,$DE$6:$DF$17,2)+1))*(VLOOKUP($A81,SatSunCurve,6))*(INDEX(DailyScalarsTable,BQ$5/100,MONTH($A81)))*$D81</f>
        <v>-9031.2244049193323</v>
      </c>
      <c r="BR81" s="1021">
        <f>(VLOOKUP(YEAR($A81),'NY East Load Projections'!$A$4:$EO$14,((MONTH($A81)-1)*12)+VLOOKUP(BR$4,$DE$6:$DF$17,2)+1))*(VLOOKUP($A81,SatSunCurve,6))*(INDEX(DailyScalarsTable,BR$5/100,MONTH($A81)))*$D81</f>
        <v>-8310.3649100924413</v>
      </c>
      <c r="BS81" s="1021">
        <f>(VLOOKUP(YEAR($A81),'NY East Load Projections'!$A$4:$EO$14,((MONTH($A81)-1)*12)+VLOOKUP(BS$4,$DE$6:$DF$17,2)+1))*(VLOOKUP($A81,SatSunCurve,6))*(INDEX(DailyScalarsTable,BS$5/100,MONTH($A81)))*$D81</f>
        <v>-8319.3133798535891</v>
      </c>
      <c r="BT81" s="1021">
        <f>(VLOOKUP(YEAR($A81),'NY East Load Projections'!$A$4:$EO$14,((MONTH($A81)-1)*12)+VLOOKUP(BT$4,$DE$6:$DF$17,2)+1))*(VLOOKUP($A81,SatSunCurve,6))*(INDEX(DailyScalarsTable,BT$5/100,MONTH($A81)))*$D81</f>
        <v>-7802.9340365779026</v>
      </c>
      <c r="BU81" s="1021">
        <f>(VLOOKUP(YEAR($A81),'NY East Load Projections'!$A$4:$EO$14,((MONTH($A81)-1)*12)+VLOOKUP(BU$4,$DE$6:$DF$17,2)+1))*(VLOOKUP($A81,SatSunCurve,6))*(INDEX(DailyScalarsTable,BU$5/100,MONTH($A81)))*$D81</f>
        <v>-7292.7396650488972</v>
      </c>
      <c r="BV81" s="1021">
        <f>(VLOOKUP(YEAR($A81),'NY East Load Projections'!$A$4:$EO$14,((MONTH($A81)-1)*12)+VLOOKUP(BV$4,$DE$6:$DF$17,2)+1))*(VLOOKUP($A81,SatSunCurve,6))*(INDEX(DailyScalarsTable,BV$5/100,MONTH($A81)))*$D81</f>
        <v>-6772.8349442073713</v>
      </c>
      <c r="BW81" s="1021">
        <f>(VLOOKUP(YEAR($A81),'NY East Load Projections'!$A$4:$EO$14,((MONTH($A81)-1)*12)+VLOOKUP(BW$4,$DE$6:$DF$17,2)+1))*(VLOOKUP($A81,SatSunCurve,6))*(INDEX(DailyScalarsTable,BW$5/100,MONTH($A81)))*$D81</f>
        <v>-6684.7507512562897</v>
      </c>
      <c r="BX81" s="1021">
        <f>(VLOOKUP(YEAR($A81),'NY East Load Projections'!$A$4:$EO$14,((MONTH($A81)-1)*12)+VLOOKUP(BX$4,$DE$6:$DF$17,2)+1))*(VLOOKUP($A81,SatSunCurve,6))*(INDEX(DailyScalarsTable,BX$5/100,MONTH($A81)))*$D81</f>
        <v>-6648.9156457313848</v>
      </c>
      <c r="BY81" s="1021">
        <f>(VLOOKUP(YEAR($A81),'NY East Load Projections'!$A$4:$EO$14,((MONTH($A81)-1)*12)+VLOOKUP(BY$4,$DE$6:$DF$17,2)+1))*(VLOOKUP($A81,SatSunCurve,6))*(INDEX(DailyScalarsTable,BY$5/100,MONTH($A81)))*$D81</f>
        <v>-7292.819867033817</v>
      </c>
      <c r="BZ81" s="1021">
        <f>(VLOOKUP(YEAR($A81),'NY East Load Projections'!$A$4:$EO$14,((MONTH($A81)-1)*12)+VLOOKUP(BZ$4,$DE$6:$DF$17,2)+1))*(VLOOKUP($A81,SatSunCurve,6))*(INDEX(DailyScalarsTable,BZ$5/100,MONTH($A81)))*$D81</f>
        <v>-8633.5756313031834</v>
      </c>
      <c r="CA81" s="1021">
        <f>(VLOOKUP(YEAR($A81),'NY East Load Projections'!$A$4:$EO$14,((MONTH($A81)-1)*12)+VLOOKUP(CA$4,$DE$6:$DF$17,2)+1))*(VLOOKUP($A81,SatSunCurve,6))*(INDEX(DailyScalarsTable,CA$5/100,MONTH($A81)))*$D81</f>
        <v>-7356.4579376307165</v>
      </c>
      <c r="CB81" s="1021">
        <f>(VLOOKUP(YEAR($A81),'NY East Load Projections'!$A$4:$EO$14,((MONTH($A81)-1)*12)+VLOOKUP(CB$4,$DE$6:$DF$17,2)+1))*(VLOOKUP($A81,SatSunCurve,6))*(INDEX(DailyScalarsTable,CB$5/100,MONTH($A81)))*$D81</f>
        <v>-6498.9869854176013</v>
      </c>
      <c r="CC81" s="1021">
        <f>(VLOOKUP(YEAR($A81),'NY East Load Projections'!$A$4:$EO$14,((MONTH($A81)-1)*12)+VLOOKUP(CC$4,$DE$6:$DF$17,2)+1))*(VLOOKUP($A81,CURVES!$D$9:$T$261,6))*(INDEX(DailyScalarsTable,CC$5/100,MONTH($A81)))*$D81</f>
        <v>-8554.2461339723268</v>
      </c>
      <c r="CE81" s="1021">
        <f>(VLOOKUP(YEAR($A81),'NY East Load Projections'!$A$4:$EO$14,((MONTH($A81)-1)*12)+VLOOKUP(CE$4,$DE$6:$DF$17,2)+1))*(VLOOKUP($A81,CURVES!$D$9:$T$261,6))*(INDEX(DailyScalarsTable,CE$5/100,MONTH($A81)))*$E81</f>
        <v>0</v>
      </c>
      <c r="CF81" s="1021">
        <f>(VLOOKUP(YEAR($A81),'NY East Load Projections'!$A$4:$EO$14,((MONTH($A81)-1)*12)+VLOOKUP(CF$4,$DE$6:$DF$17,2)+1))*(VLOOKUP($A81,CURVES!$D$9:$T$261,6))*(INDEX(DailyScalarsTable,CF$5/100,MONTH($A81)))*$E81</f>
        <v>0</v>
      </c>
      <c r="CG81" s="1021">
        <f>(VLOOKUP(YEAR($A81),'NY East Load Projections'!$A$4:$EO$14,((MONTH($A81)-1)*12)+VLOOKUP(CG$4,$DE$6:$DF$17,2)+1))*(VLOOKUP($A81,CURVES!$D$9:$T$261,6))*(INDEX(DailyScalarsTable,CG$5/100,MONTH($A81)))*$E81</f>
        <v>0</v>
      </c>
      <c r="CH81" s="1021">
        <f>(VLOOKUP(YEAR($A81),'NY East Load Projections'!$A$4:$EO$14,((MONTH($A81)-1)*12)+VLOOKUP(CH$4,$DE$6:$DF$17,2)+1))*(VLOOKUP($A81,CURVES!$D$9:$T$261,6))*(INDEX(DailyScalarsTable,CH$5/100,MONTH($A81)))*$E81</f>
        <v>0</v>
      </c>
      <c r="CI81" s="1021">
        <f>(VLOOKUP(YEAR($A81),'NY East Load Projections'!$A$4:$EO$14,((MONTH($A81)-1)*12)+VLOOKUP(CI$4,$DE$6:$DF$17,2)+1))*(VLOOKUP($A81,CURVES!$D$9:$T$261,6))*(INDEX(DailyScalarsTable,CI$5/100,MONTH($A81)))*$E81</f>
        <v>0</v>
      </c>
      <c r="CJ81" s="1021">
        <f>(VLOOKUP(YEAR($A81),'NY East Load Projections'!$A$4:$EO$14,((MONTH($A81)-1)*12)+VLOOKUP(CJ$4,$DE$6:$DF$17,2)+1))*(VLOOKUP($A81,CURVES!$D$9:$T$261,6))*(INDEX(DailyScalarsTable,CJ$5/100,MONTH($A81)))*$E81</f>
        <v>0</v>
      </c>
      <c r="CK81" s="1021">
        <f>(VLOOKUP(YEAR($A81),'NY East Load Projections'!$A$4:$EO$14,((MONTH($A81)-1)*12)+VLOOKUP(CK$4,$DE$6:$DF$17,2)+1))*(VLOOKUP($A81,CURVES!$D$9:$T$261,6))*(INDEX(DailyScalarsTable,CK$5/100,MONTH($A81)))*$E81</f>
        <v>0</v>
      </c>
      <c r="CL81" s="1021">
        <f>(VLOOKUP(YEAR($A81),'NY East Load Projections'!$A$4:$EO$14,((MONTH($A81)-1)*12)+VLOOKUP(CL$4,$DE$6:$DF$17,2)+1))*(VLOOKUP($A81,SatSunCurve,6))*(INDEX(DailyScalarsTable,CL$5/100,MONTH($A81)))*$E81</f>
        <v>0</v>
      </c>
      <c r="CM81" s="1021">
        <f>(VLOOKUP(YEAR($A81),'NY East Load Projections'!$A$4:$EO$14,((MONTH($A81)-1)*12)+VLOOKUP(CM$4,$DE$6:$DF$17,2)+1))*(VLOOKUP($A81,SatSunCurve,6))*(INDEX(DailyScalarsTable,CM$5/100,MONTH($A81)))*$E81</f>
        <v>0</v>
      </c>
      <c r="CN81" s="1021">
        <f>(VLOOKUP(YEAR($A81),'NY East Load Projections'!$A$4:$EO$14,((MONTH($A81)-1)*12)+VLOOKUP(CN$4,$DE$6:$DF$17,2)+1))*(VLOOKUP($A81,SatSunCurve,6))*(INDEX(DailyScalarsTable,CN$5/100,MONTH($A81)))*$E81</f>
        <v>0</v>
      </c>
      <c r="CO81" s="1021">
        <f>(VLOOKUP(YEAR($A81),'NY East Load Projections'!$A$4:$EO$14,((MONTH($A81)-1)*12)+VLOOKUP(CO$4,$DE$6:$DF$17,2)+1))*(VLOOKUP($A81,SatSunCurve,6))*(INDEX(DailyScalarsTable,CO$5/100,MONTH($A81)))*$E81</f>
        <v>0</v>
      </c>
      <c r="CP81" s="1021">
        <f>(VLOOKUP(YEAR($A81),'NY East Load Projections'!$A$4:$EO$14,((MONTH($A81)-1)*12)+VLOOKUP(CP$4,$DE$6:$DF$17,2)+1))*(VLOOKUP($A81,SatSunCurve,6))*(INDEX(DailyScalarsTable,CP$5/100,MONTH($A81)))*$E81</f>
        <v>0</v>
      </c>
      <c r="CQ81" s="1021">
        <f>(VLOOKUP(YEAR($A81),'NY East Load Projections'!$A$4:$EO$14,((MONTH($A81)-1)*12)+VLOOKUP(CQ$4,$DE$6:$DF$17,2)+1))*(VLOOKUP($A81,SatSunCurve,6))*(INDEX(DailyScalarsTable,CQ$5/100,MONTH($A81)))*$E81</f>
        <v>0</v>
      </c>
      <c r="CR81" s="1021">
        <f>(VLOOKUP(YEAR($A81),'NY East Load Projections'!$A$4:$EO$14,((MONTH($A81)-1)*12)+VLOOKUP(CR$4,$DE$6:$DF$17,2)+1))*(VLOOKUP($A81,SatSunCurve,6))*(INDEX(DailyScalarsTable,CR$5/100,MONTH($A81)))*$E81</f>
        <v>0</v>
      </c>
      <c r="CS81" s="1021">
        <f>(VLOOKUP(YEAR($A81),'NY East Load Projections'!$A$4:$EO$14,((MONTH($A81)-1)*12)+VLOOKUP(CS$4,$DE$6:$DF$17,2)+1))*(VLOOKUP($A81,SatSunCurve,6))*(INDEX(DailyScalarsTable,CS$5/100,MONTH($A81)))*$E81</f>
        <v>0</v>
      </c>
      <c r="CT81" s="1021">
        <f>(VLOOKUP(YEAR($A81),'NY East Load Projections'!$A$4:$EO$14,((MONTH($A81)-1)*12)+VLOOKUP(CT$4,$DE$6:$DF$17,2)+1))*(VLOOKUP($A81,SatSunCurve,6))*(INDEX(DailyScalarsTable,CT$5/100,MONTH($A81)))*$E81</f>
        <v>0</v>
      </c>
      <c r="CU81" s="1021">
        <f>(VLOOKUP(YEAR($A81),'NY East Load Projections'!$A$4:$EO$14,((MONTH($A81)-1)*12)+VLOOKUP(CU$4,$DE$6:$DF$17,2)+1))*(VLOOKUP($A81,SatSunCurve,6))*(INDEX(DailyScalarsTable,CU$5/100,MONTH($A81)))*$E81</f>
        <v>0</v>
      </c>
      <c r="CV81" s="1021">
        <f>(VLOOKUP(YEAR($A81),'NY East Load Projections'!$A$4:$EO$14,((MONTH($A81)-1)*12)+VLOOKUP(CV$4,$DE$6:$DF$17,2)+1))*(VLOOKUP($A81,SatSunCurve,6))*(INDEX(DailyScalarsTable,CV$5/100,MONTH($A81)))*$E81</f>
        <v>0</v>
      </c>
      <c r="CW81" s="1021">
        <f>(VLOOKUP(YEAR($A81),'NY East Load Projections'!$A$4:$EO$14,((MONTH($A81)-1)*12)+VLOOKUP(CW$4,$DE$6:$DF$17,2)+1))*(VLOOKUP($A81,SatSunCurve,6))*(INDEX(DailyScalarsTable,CW$5/100,MONTH($A81)))*$E81</f>
        <v>0</v>
      </c>
      <c r="CX81" s="1021">
        <f>(VLOOKUP(YEAR($A81),'NY East Load Projections'!$A$4:$EO$14,((MONTH($A81)-1)*12)+VLOOKUP(CX$4,$DE$6:$DF$17,2)+1))*(VLOOKUP($A81,SatSunCurve,6))*(INDEX(DailyScalarsTable,CX$5/100,MONTH($A81)))*$E81</f>
        <v>0</v>
      </c>
      <c r="CY81" s="1021">
        <f>(VLOOKUP(YEAR($A81),'NY East Load Projections'!$A$4:$EO$14,((MONTH($A81)-1)*12)+VLOOKUP(CY$4,$DE$6:$DF$17,2)+1))*(VLOOKUP($A81,SatSunCurve,6))*(INDEX(DailyScalarsTable,CY$5/100,MONTH($A81)))*$E81</f>
        <v>0</v>
      </c>
      <c r="CZ81" s="1021">
        <f>(VLOOKUP(YEAR($A81),'NY East Load Projections'!$A$4:$EO$14,((MONTH($A81)-1)*12)+VLOOKUP(CZ$4,$DE$6:$DF$17,2)+1))*(VLOOKUP($A81,SatSunCurve,6))*(INDEX(DailyScalarsTable,CZ$5/100,MONTH($A81)))*$E81</f>
        <v>0</v>
      </c>
      <c r="DA81" s="1021">
        <f>(VLOOKUP(YEAR($A81),'NY East Load Projections'!$A$4:$EO$14,((MONTH($A81)-1)*12)+VLOOKUP(DA$4,$DE$6:$DF$17,2)+1))*(VLOOKUP($A81,SatSunCurve,6))*(INDEX(DailyScalarsTable,DA$5/100,MONTH($A81)))*$E81</f>
        <v>0</v>
      </c>
      <c r="DB81" s="1021">
        <f>(VLOOKUP(YEAR($A81),'NY East Load Projections'!$A$4:$EO$14,((MONTH($A81)-1)*12)+VLOOKUP(DB$4,$DE$6:$DF$17,2)+1))*(VLOOKUP($A81,CURVES!$D$9:$T$261,6))*(INDEX(DailyScalarsTable,DB$5/100,MONTH($A81)))*$E81</f>
        <v>0</v>
      </c>
      <c r="DH81" s="1021">
        <f t="shared" si="2"/>
        <v>-1612428.8303042077</v>
      </c>
      <c r="DI81">
        <f ca="1">CALC!J101</f>
        <v>0.59334585051619781</v>
      </c>
      <c r="DJ81" s="1029">
        <f t="shared" ca="1" si="3"/>
        <v>-956727.95571368816</v>
      </c>
    </row>
    <row r="82" spans="1:114" x14ac:dyDescent="0.25">
      <c r="A82" s="244">
        <v>39203</v>
      </c>
      <c r="B82" s="13">
        <v>22</v>
      </c>
      <c r="C82" s="210">
        <v>4</v>
      </c>
      <c r="D82" s="210">
        <v>4</v>
      </c>
      <c r="E82" s="210">
        <v>1</v>
      </c>
      <c r="F82" s="13">
        <v>31</v>
      </c>
      <c r="H82" s="1021">
        <f>(VLOOKUP(YEAR($A82),'NY East Load Projections'!$A$4:$EO$14,((MONTH($A82)-1)*12)+VLOOKUP(H$4,$DE$6:$DF$17,2)+1))*(VLOOKUP($A82,CURVES!$D$9:$K$261,6))*(INDEX(DailyScalarsTable,H$5/100,MONTH($A82)))*$B82</f>
        <v>-35448.933236225559</v>
      </c>
      <c r="I82" s="1021">
        <f>(VLOOKUP(YEAR($A82),'NY East Load Projections'!$A$4:$EO$14,((MONTH($A82)-1)*12)+VLOOKUP(I$4,$DE$6:$DF$17,2)+1))*(VLOOKUP($A82,CURVES!$D$9:$K$261,6))*(INDEX(DailyScalarsTable,I$5/100,MONTH($A82)))*$B82</f>
        <v>-31931.029124045646</v>
      </c>
      <c r="J82" s="1021">
        <f>(VLOOKUP(YEAR($A82),'NY East Load Projections'!$A$4:$EO$14,((MONTH($A82)-1)*12)+VLOOKUP(J$4,$DE$6:$DF$17,2)+1))*(VLOOKUP($A82,CURVES!$D$9:$K$261,6))*(INDEX(DailyScalarsTable,J$5/100,MONTH($A82)))*$B82</f>
        <v>-30218.610191132688</v>
      </c>
      <c r="K82" s="1021">
        <f>(VLOOKUP(YEAR($A82),'NY East Load Projections'!$A$4:$EO$14,((MONTH($A82)-1)*12)+VLOOKUP(K$4,$DE$6:$DF$17,2)+1))*(VLOOKUP($A82,CURVES!$D$9:$K$261,6))*(INDEX(DailyScalarsTable,K$5/100,MONTH($A82)))*$B82</f>
        <v>-29297.254352228414</v>
      </c>
      <c r="L82" s="1021">
        <f>(VLOOKUP(YEAR($A82),'NY East Load Projections'!$A$4:$EO$14,((MONTH($A82)-1)*12)+VLOOKUP(L$4,$DE$6:$DF$17,2)+1))*(VLOOKUP($A82,CURVES!$D$9:$K$261,6))*(INDEX(DailyScalarsTable,L$5/100,MONTH($A82)))*$B82</f>
        <v>-34200.452132465463</v>
      </c>
      <c r="M82" s="1021">
        <f>(VLOOKUP(YEAR($A82),'NY East Load Projections'!$A$4:$EO$14,((MONTH($A82)-1)*12)+VLOOKUP(M$4,$DE$6:$DF$17,2)+1))*(VLOOKUP($A82,CURVES!$D$9:$K$261,6))*(INDEX(DailyScalarsTable,M$5/100,MONTH($A82)))*$B82</f>
        <v>-41466.041141827249</v>
      </c>
      <c r="N82" s="1021">
        <f>(VLOOKUP(YEAR($A82),'NY East Load Projections'!$A$4:$EO$14,((MONTH($A82)-1)*12)+VLOOKUP(N$4,$DE$6:$DF$17,2)+1))*(VLOOKUP($A82,CURVES!$D$9:$K$261,6))*(INDEX(DailyScalarsTable,N$5/100,MONTH($A82)))*$B82</f>
        <v>-49614.740417520326</v>
      </c>
      <c r="O82" s="1021">
        <f>(VLOOKUP(YEAR($A82),'NY East Load Projections'!$A$4:$EO$14,((MONTH($A82)-1)*12)+VLOOKUP(O$4,$DE$6:$DF$17,2)+1))*(VLOOKUP($A82,CURVES!$D$9:$K$261,2))*(INDEX(DailyScalarsTable,O$5/100,MONTH($A82)))*$B82</f>
        <v>-62928.826356198137</v>
      </c>
      <c r="P82" s="1021">
        <f>(VLOOKUP(YEAR($A82),'NY East Load Projections'!$A$4:$EO$14,((MONTH($A82)-1)*12)+VLOOKUP(P$4,$DE$6:$DF$17,2)+1))*(VLOOKUP($A82,CURVES!$D$9:$K$261,2))*(INDEX(DailyScalarsTable,P$5/100,MONTH($A82)))*$B82</f>
        <v>-74709.01676307623</v>
      </c>
      <c r="Q82" s="1021">
        <f>(VLOOKUP(YEAR($A82),'NY East Load Projections'!$A$4:$EO$14,((MONTH($A82)-1)*12)+VLOOKUP(Q$4,$DE$6:$DF$17,2)+1))*(VLOOKUP($A82,CURVES!$D$9:$K$261,2))*(INDEX(DailyScalarsTable,Q$5/100,MONTH($A82)))*$B82</f>
        <v>-76034.102133383523</v>
      </c>
      <c r="R82" s="1021">
        <f>(VLOOKUP(YEAR($A82),'NY East Load Projections'!$A$4:$EO$14,((MONTH($A82)-1)*12)+VLOOKUP(R$4,$DE$6:$DF$17,2)+1))*(VLOOKUP($A82,CURVES!$D$9:$K$261,2))*(INDEX(DailyScalarsTable,R$5/100,MONTH($A82)))*$B82</f>
        <v>-80654.311300649584</v>
      </c>
      <c r="S82" s="1021">
        <f>(VLOOKUP(YEAR($A82),'NY East Load Projections'!$A$4:$EO$14,((MONTH($A82)-1)*12)+VLOOKUP(S$4,$DE$6:$DF$17,2)+1))*(VLOOKUP($A82,CURVES!$D$9:$K$261,2))*(INDEX(DailyScalarsTable,S$5/100,MONTH($A82)))*$B82</f>
        <v>-80044.537501924089</v>
      </c>
      <c r="T82" s="1021">
        <f>(VLOOKUP(YEAR($A82),'NY East Load Projections'!$A$4:$EO$14,((MONTH($A82)-1)*12)+VLOOKUP(T$4,$DE$6:$DF$17,2)+1))*(VLOOKUP($A82,CURVES!$D$9:$K$261,2))*(INDEX(DailyScalarsTable,T$5/100,MONTH($A82)))*$B82</f>
        <v>-77819.383910973396</v>
      </c>
      <c r="U82" s="1021">
        <f>(VLOOKUP(YEAR($A82),'NY East Load Projections'!$A$4:$EO$14,((MONTH($A82)-1)*12)+VLOOKUP(U$4,$DE$6:$DF$17,2)+1))*(VLOOKUP($A82,CURVES!$D$9:$K$261,2))*(INDEX(DailyScalarsTable,U$5/100,MONTH($A82)))*$B82</f>
        <v>-78194.44624014631</v>
      </c>
      <c r="V82" s="1021">
        <f>(VLOOKUP(YEAR($A82),'NY East Load Projections'!$A$4:$EO$14,((MONTH($A82)-1)*12)+VLOOKUP(V$4,$DE$6:$DF$17,2)+1))*(VLOOKUP($A82,CURVES!$D$9:$K$261,2))*(INDEX(DailyScalarsTable,V$5/100,MONTH($A82)))*$B82</f>
        <v>-75847.281986612608</v>
      </c>
      <c r="W82" s="1021">
        <f>(VLOOKUP(YEAR($A82),'NY East Load Projections'!$A$4:$EO$14,((MONTH($A82)-1)*12)+VLOOKUP(W$4,$DE$6:$DF$17,2)+1))*(VLOOKUP($A82,CURVES!$D$9:$K$261,2))*(INDEX(DailyScalarsTable,W$5/100,MONTH($A82)))*$B82</f>
        <v>-72895.178492477411</v>
      </c>
      <c r="X82" s="1021">
        <f>(VLOOKUP(YEAR($A82),'NY East Load Projections'!$A$4:$EO$14,((MONTH($A82)-1)*12)+VLOOKUP(X$4,$DE$6:$DF$17,2)+1))*(VLOOKUP($A82,CURVES!$D$9:$K$261,2))*(INDEX(DailyScalarsTable,X$5/100,MONTH($A82)))*$B82</f>
        <v>-70734.300140239196</v>
      </c>
      <c r="Y82" s="1021">
        <f>(VLOOKUP(YEAR($A82),'NY East Load Projections'!$A$4:$EO$14,((MONTH($A82)-1)*12)+VLOOKUP(Y$4,$DE$6:$DF$17,2)+1))*(VLOOKUP($A82,CURVES!$D$9:$K$261,2))*(INDEX(DailyScalarsTable,Y$5/100,MONTH($A82)))*$B82</f>
        <v>-67977.666206494789</v>
      </c>
      <c r="Z82" s="1021">
        <f>(VLOOKUP(YEAR($A82),'NY East Load Projections'!$A$4:$EO$14,((MONTH($A82)-1)*12)+VLOOKUP(Z$4,$DE$6:$DF$17,2)+1))*(VLOOKUP($A82,CURVES!$D$9:$K$261,2))*(INDEX(DailyScalarsTable,Z$5/100,MONTH($A82)))*$B82</f>
        <v>-58896.989718866265</v>
      </c>
      <c r="AA82" s="1021">
        <f>(VLOOKUP(YEAR($A82),'NY East Load Projections'!$A$4:$EO$14,((MONTH($A82)-1)*12)+VLOOKUP(AA$4,$DE$6:$DF$17,2)+1))*(VLOOKUP($A82,CURVES!$D$9:$K$261,2))*(INDEX(DailyScalarsTable,AA$5/100,MONTH($A82)))*$B82</f>
        <v>-58746.417277107132</v>
      </c>
      <c r="AB82" s="1021">
        <f>(VLOOKUP(YEAR($A82),'NY East Load Projections'!$A$4:$EO$14,((MONTH($A82)-1)*12)+VLOOKUP(AB$4,$DE$6:$DF$17,2)+1))*(VLOOKUP($A82,CURVES!$D$9:$K$261,2))*(INDEX(DailyScalarsTable,AB$5/100,MONTH($A82)))*$B82</f>
        <v>-69853.143980617882</v>
      </c>
      <c r="AC82" s="1021">
        <f>(VLOOKUP(YEAR($A82),'NY East Load Projections'!$A$4:$EO$14,((MONTH($A82)-1)*12)+VLOOKUP(AC$4,$DE$6:$DF$17,2)+1))*(VLOOKUP($A82,CURVES!$D$9:$K$261,2))*(INDEX(DailyScalarsTable,AC$5/100,MONTH($A82)))*$B82</f>
        <v>-66626.889248851701</v>
      </c>
      <c r="AD82" s="1021">
        <f>(VLOOKUP(YEAR($A82),'NY East Load Projections'!$A$4:$EO$14,((MONTH($A82)-1)*12)+VLOOKUP(AD$4,$DE$6:$DF$17,2)+1))*(VLOOKUP($A82,CURVES!$D$9:$K$261,2))*(INDEX(DailyScalarsTable,AD$5/100,MONTH($A82)))*$B82</f>
        <v>-53448.637022028342</v>
      </c>
      <c r="AE82" s="1021">
        <f>(VLOOKUP(YEAR($A82),'NY East Load Projections'!$A$4:$EO$14,((MONTH($A82)-1)*12)+VLOOKUP(AE$4,$DE$6:$DF$17,2)+1))*(VLOOKUP($A82,CURVES!$D$9:$K$261,6))*(INDEX(DailyScalarsTable,AE$5/100,MONTH($A82)))*$B82</f>
        <v>-44011.507083232354</v>
      </c>
      <c r="AF82" s="1021"/>
      <c r="AG82" s="1021">
        <f>(VLOOKUP(YEAR($A82),'NY East Load Projections'!$A$4:$EO$14,((MONTH($A82)-1)*12)+VLOOKUP(AG$4,$DE$6:$DF$17,2)+1))*(VLOOKUP($A82,CURVES!$D$9:$T$261,6))*(INDEX(DailyScalarsTable,AG$5/100,MONTH($A82)))*$C82</f>
        <v>-6790.1761427801921</v>
      </c>
      <c r="AH82" s="1021">
        <f>(VLOOKUP(YEAR($A82),'NY East Load Projections'!$A$4:$EO$14,((MONTH($A82)-1)*12)+VLOOKUP(AH$4,$DE$6:$DF$17,2)+1))*(VLOOKUP($A82,CURVES!$D$9:$T$261,6))*(INDEX(DailyScalarsTable,AH$5/100,MONTH($A82)))*$C82</f>
        <v>-6116.3282609290718</v>
      </c>
      <c r="AI82" s="1021">
        <f>(VLOOKUP(YEAR($A82),'NY East Load Projections'!$A$4:$EO$14,((MONTH($A82)-1)*12)+VLOOKUP(AI$4,$DE$6:$DF$17,2)+1))*(VLOOKUP($A82,CURVES!$D$9:$T$261,6))*(INDEX(DailyScalarsTable,AI$5/100,MONTH($A82)))*$C82</f>
        <v>-5788.3176517740312</v>
      </c>
      <c r="AJ82" s="1021">
        <f>(VLOOKUP(YEAR($A82),'NY East Load Projections'!$A$4:$EO$14,((MONTH($A82)-1)*12)+VLOOKUP(AJ$4,$DE$6:$DF$17,2)+1))*(VLOOKUP($A82,CURVES!$D$9:$T$261,6))*(INDEX(DailyScalarsTable,AJ$5/100,MONTH($A82)))*$C82</f>
        <v>-5611.8336827177836</v>
      </c>
      <c r="AK82" s="1021">
        <f>(VLOOKUP(YEAR($A82),'NY East Load Projections'!$A$4:$EO$14,((MONTH($A82)-1)*12)+VLOOKUP(AK$4,$DE$6:$DF$17,2)+1))*(VLOOKUP($A82,CURVES!$D$9:$T$261,6))*(INDEX(DailyScalarsTable,AK$5/100,MONTH($A82)))*$C82</f>
        <v>-6172.3461560645892</v>
      </c>
      <c r="AL82" s="1021">
        <f>(VLOOKUP(YEAR($A82),'NY East Load Projections'!$A$4:$EO$14,((MONTH($A82)-1)*12)+VLOOKUP(AL$4,$DE$6:$DF$17,2)+1))*(VLOOKUP($A82,CURVES!$D$9:$T$261,6))*(INDEX(DailyScalarsTable,AL$5/100,MONTH($A82)))*$C82</f>
        <v>-7483.6074873412199</v>
      </c>
      <c r="AM82" s="1021">
        <f>(VLOOKUP(YEAR($A82),'NY East Load Projections'!$A$4:$EO$14,((MONTH($A82)-1)*12)+VLOOKUP(AM$4,$DE$6:$DF$17,2)+1))*(VLOOKUP($A82,CURVES!$D$9:$T$261,6))*(INDEX(DailyScalarsTable,AM$5/100,MONTH($A82)))*$C82</f>
        <v>-8954.248648938772</v>
      </c>
      <c r="AN82" s="1021">
        <f>(VLOOKUP(YEAR($A82),'NY East Load Projections'!$A$4:$EO$14,((MONTH($A82)-1)*12)+VLOOKUP(AN$4,$DE$6:$DF$17,2)+1))*(VLOOKUP($A82,SatSunCurve,2))*(INDEX(DailyScalarsTable,AN$5/100,MONTH($A82)))*$C82</f>
        <v>-7445.8101387047636</v>
      </c>
      <c r="AO82" s="1021">
        <f>(VLOOKUP(YEAR($A82),'NY East Load Projections'!$A$4:$EO$14,((MONTH($A82)-1)*12)+VLOOKUP(AO$4,$DE$6:$DF$17,2)+1))*(VLOOKUP($A82,SatSunCurve,2))*(INDEX(DailyScalarsTable,AO$5/100,MONTH($A82)))*$C82</f>
        <v>-9027.0194795795051</v>
      </c>
      <c r="AP82" s="1021">
        <f>(VLOOKUP(YEAR($A82),'NY East Load Projections'!$A$4:$EO$14,((MONTH($A82)-1)*12)+VLOOKUP(AP$4,$DE$6:$DF$17,2)+1))*(VLOOKUP($A82,SatSunCurve,2))*(INDEX(DailyScalarsTable,AP$5/100,MONTH($A82)))*$C82</f>
        <v>-9187.1282852917175</v>
      </c>
      <c r="AQ82" s="1021">
        <f>(VLOOKUP(YEAR($A82),'NY East Load Projections'!$A$4:$EO$14,((MONTH($A82)-1)*12)+VLOOKUP(AQ$4,$DE$6:$DF$17,2)+1))*(VLOOKUP($A82,SatSunCurve,2))*(INDEX(DailyScalarsTable,AQ$5/100,MONTH($A82)))*$C82</f>
        <v>-9745.3837671555266</v>
      </c>
      <c r="AR82" s="1021">
        <f>(VLOOKUP(YEAR($A82),'NY East Load Projections'!$A$4:$EO$14,((MONTH($A82)-1)*12)+VLOOKUP(AR$4,$DE$6:$DF$17,2)+1))*(VLOOKUP($A82,SatSunCurve,2))*(INDEX(DailyScalarsTable,AR$5/100,MONTH($A82)))*$C82</f>
        <v>-9671.7053786861889</v>
      </c>
      <c r="AS82" s="1021">
        <f>(VLOOKUP(YEAR($A82),'NY East Load Projections'!$A$4:$EO$14,((MONTH($A82)-1)*12)+VLOOKUP(AS$4,$DE$6:$DF$17,2)+1))*(VLOOKUP($A82,SatSunCurve,2))*(INDEX(DailyScalarsTable,AS$5/100,MONTH($A82)))*$C82</f>
        <v>-9211.873597791644</v>
      </c>
      <c r="AT82" s="1021">
        <f>(VLOOKUP(YEAR($A82),'NY East Load Projections'!$A$4:$EO$14,((MONTH($A82)-1)*12)+VLOOKUP(AT$4,$DE$6:$DF$17,2)+1))*(VLOOKUP($A82,SatSunCurve,2))*(INDEX(DailyScalarsTable,AT$5/100,MONTH($A82)))*$C82</f>
        <v>-9256.2716204178196</v>
      </c>
      <c r="AU82" s="1021">
        <f>(VLOOKUP(YEAR($A82),'NY East Load Projections'!$A$4:$EO$14,((MONTH($A82)-1)*12)+VLOOKUP(AU$4,$DE$6:$DF$17,2)+1))*(VLOOKUP($A82,SatSunCurve,2))*(INDEX(DailyScalarsTable,AU$5/100,MONTH($A82)))*$C82</f>
        <v>-8978.425930434676</v>
      </c>
      <c r="AV82" s="1021">
        <f>(VLOOKUP(YEAR($A82),'NY East Load Projections'!$A$4:$EO$14,((MONTH($A82)-1)*12)+VLOOKUP(AV$4,$DE$6:$DF$17,2)+1))*(VLOOKUP($A82,SatSunCurve,2))*(INDEX(DailyScalarsTable,AV$5/100,MONTH($A82)))*$C82</f>
        <v>-8628.9705265383491</v>
      </c>
      <c r="AW82" s="1021">
        <f>(VLOOKUP(YEAR($A82),'NY East Load Projections'!$A$4:$EO$14,((MONTH($A82)-1)*12)+VLOOKUP(AW$4,$DE$6:$DF$17,2)+1))*(VLOOKUP($A82,SatSunCurve,2))*(INDEX(DailyScalarsTable,AW$5/100,MONTH($A82)))*$C82</f>
        <v>-8209.7395482320953</v>
      </c>
      <c r="AX82" s="1021">
        <f>(VLOOKUP(YEAR($A82),'NY East Load Projections'!$A$4:$EO$14,((MONTH($A82)-1)*12)+VLOOKUP(AX$4,$DE$6:$DF$17,2)+1))*(VLOOKUP($A82,SatSunCurve,2))*(INDEX(DailyScalarsTable,AX$5/100,MONTH($A82)))*$C82</f>
        <v>-7889.7922725682256</v>
      </c>
      <c r="AY82" s="1021">
        <f>(VLOOKUP(YEAR($A82),'NY East Load Projections'!$A$4:$EO$14,((MONTH($A82)-1)*12)+VLOOKUP(AY$4,$DE$6:$DF$17,2)+1))*(VLOOKUP($A82,SatSunCurve,2))*(INDEX(DailyScalarsTable,AY$5/100,MONTH($A82)))*$C82</f>
        <v>-6835.8483056754867</v>
      </c>
      <c r="AZ82" s="1021">
        <f>(VLOOKUP(YEAR($A82),'NY East Load Projections'!$A$4:$EO$14,((MONTH($A82)-1)*12)+VLOOKUP(AZ$4,$DE$6:$DF$17,2)+1))*(VLOOKUP($A82,SatSunCurve,2))*(INDEX(DailyScalarsTable,AZ$5/100,MONTH($A82)))*$C82</f>
        <v>-6818.3721939795632</v>
      </c>
      <c r="BA82" s="1021">
        <f>(VLOOKUP(YEAR($A82),'NY East Load Projections'!$A$4:$EO$14,((MONTH($A82)-1)*12)+VLOOKUP(BA$4,$DE$6:$DF$17,2)+1))*(VLOOKUP($A82,SatSunCurve,2))*(INDEX(DailyScalarsTable,BA$5/100,MONTH($A82)))*$C82</f>
        <v>-8558.665321875671</v>
      </c>
      <c r="BB82" s="1021">
        <f>(VLOOKUP(YEAR($A82),'NY East Load Projections'!$A$4:$EO$14,((MONTH($A82)-1)*12)+VLOOKUP(BB$4,$DE$6:$DF$17,2)+1))*(VLOOKUP($A82,SatSunCurve,2))*(INDEX(DailyScalarsTable,BB$5/100,MONTH($A82)))*$C82</f>
        <v>-8163.3726704816845</v>
      </c>
      <c r="BC82" s="1021">
        <f>(VLOOKUP(YEAR($A82),'NY East Load Projections'!$A$4:$EO$14,((MONTH($A82)-1)*12)+VLOOKUP(BC$4,$DE$6:$DF$17,2)+1))*(VLOOKUP($A82,SatSunCurve,2))*(INDEX(DailyScalarsTable,BC$5/100,MONTH($A82)))*$C82</f>
        <v>-6548.7245113674826</v>
      </c>
      <c r="BD82" s="1021">
        <f>(VLOOKUP(YEAR($A82),'NY East Load Projections'!$A$4:$EO$14,((MONTH($A82)-1)*12)+VLOOKUP(BD$4,$DE$6:$DF$17,2)+1))*(VLOOKUP($A82,CURVES!$D$9:$T$261,6))*(INDEX(DailyScalarsTable,BD$5/100,MONTH($A82)))*$C82</f>
        <v>-8225.1234950879571</v>
      </c>
      <c r="BE82" s="1021"/>
      <c r="BF82" s="1021">
        <f>(VLOOKUP(YEAR($A82),'NY East Load Projections'!$A$4:$EO$14,((MONTH($A82)-1)*12)+VLOOKUP(BF$4,$DE$6:$DF$17,2)+1))*(VLOOKUP($A82,CURVES!$D$9:$T$261,6))*(INDEX(DailyScalarsTable,BF$5/100,MONTH($A82)))*$D82</f>
        <v>-6790.1761427801921</v>
      </c>
      <c r="BG82" s="1021">
        <f>(VLOOKUP(YEAR($A82),'NY East Load Projections'!$A$4:$EO$14,((MONTH($A82)-1)*12)+VLOOKUP(BG$4,$DE$6:$DF$17,2)+1))*(VLOOKUP($A82,CURVES!$D$9:$T$261,6))*(INDEX(DailyScalarsTable,BG$5/100,MONTH($A82)))*$D82</f>
        <v>-6116.3282609290718</v>
      </c>
      <c r="BH82" s="1021">
        <f>(VLOOKUP(YEAR($A82),'NY East Load Projections'!$A$4:$EO$14,((MONTH($A82)-1)*12)+VLOOKUP(BH$4,$DE$6:$DF$17,2)+1))*(VLOOKUP($A82,CURVES!$D$9:$T$261,6))*(INDEX(DailyScalarsTable,BH$5/100,MONTH($A82)))*$D82</f>
        <v>-5788.3176517740312</v>
      </c>
      <c r="BI82" s="1021">
        <f>(VLOOKUP(YEAR($A82),'NY East Load Projections'!$A$4:$EO$14,((MONTH($A82)-1)*12)+VLOOKUP(BI$4,$DE$6:$DF$17,2)+1))*(VLOOKUP($A82,CURVES!$D$9:$T$261,6))*(INDEX(DailyScalarsTable,BI$5/100,MONTH($A82)))*$D82</f>
        <v>-5611.8336827177836</v>
      </c>
      <c r="BJ82" s="1021">
        <f>(VLOOKUP(YEAR($A82),'NY East Load Projections'!$A$4:$EO$14,((MONTH($A82)-1)*12)+VLOOKUP(BJ$4,$DE$6:$DF$17,2)+1))*(VLOOKUP($A82,CURVES!$D$9:$T$261,6))*(INDEX(DailyScalarsTable,BJ$5/100,MONTH($A82)))*$D82</f>
        <v>-6172.3461560645892</v>
      </c>
      <c r="BK82" s="1021">
        <f>(VLOOKUP(YEAR($A82),'NY East Load Projections'!$A$4:$EO$14,((MONTH($A82)-1)*12)+VLOOKUP(BK$4,$DE$6:$DF$17,2)+1))*(VLOOKUP($A82,CURVES!$D$9:$T$261,6))*(INDEX(DailyScalarsTable,BK$5/100,MONTH($A82)))*$D82</f>
        <v>-7483.6074873412199</v>
      </c>
      <c r="BL82" s="1021">
        <f>(VLOOKUP(YEAR($A82),'NY East Load Projections'!$A$4:$EO$14,((MONTH($A82)-1)*12)+VLOOKUP(BL$4,$DE$6:$DF$17,2)+1))*(VLOOKUP($A82,CURVES!$D$9:$T$261,6))*(INDEX(DailyScalarsTable,BL$5/100,MONTH($A82)))*$D82</f>
        <v>-8954.248648938772</v>
      </c>
      <c r="BM82" s="1021">
        <f>(VLOOKUP(YEAR($A82),'NY East Load Projections'!$A$4:$EO$14,((MONTH($A82)-1)*12)+VLOOKUP(BM$4,$DE$6:$DF$17,2)+1))*(VLOOKUP($A82,SatSunCurve,6))*(INDEX(DailyScalarsTable,BM$5/100,MONTH($A82)))*$D82</f>
        <v>-6462.2342592635996</v>
      </c>
      <c r="BN82" s="1021">
        <f>(VLOOKUP(YEAR($A82),'NY East Load Projections'!$A$4:$EO$14,((MONTH($A82)-1)*12)+VLOOKUP(BN$4,$DE$6:$DF$17,2)+1))*(VLOOKUP($A82,SatSunCurve,6))*(INDEX(DailyScalarsTable,BN$5/100,MONTH($A82)))*$D82</f>
        <v>-7834.5691675299913</v>
      </c>
      <c r="BO82" s="1021">
        <f>(VLOOKUP(YEAR($A82),'NY East Load Projections'!$A$4:$EO$14,((MONTH($A82)-1)*12)+VLOOKUP(BO$4,$DE$6:$DF$17,2)+1))*(VLOOKUP($A82,SatSunCurve,6))*(INDEX(DailyScalarsTable,BO$5/100,MONTH($A82)))*$D82</f>
        <v>-7973.5279363152531</v>
      </c>
      <c r="BP82" s="1021">
        <f>(VLOOKUP(YEAR($A82),'NY East Load Projections'!$A$4:$EO$14,((MONTH($A82)-1)*12)+VLOOKUP(BP$4,$DE$6:$DF$17,2)+1))*(VLOOKUP($A82,SatSunCurve,6))*(INDEX(DailyScalarsTable,BP$5/100,MONTH($A82)))*$D82</f>
        <v>-8458.0390416373102</v>
      </c>
      <c r="BQ82" s="1021">
        <f>(VLOOKUP(YEAR($A82),'NY East Load Projections'!$A$4:$EO$14,((MONTH($A82)-1)*12)+VLOOKUP(BQ$4,$DE$6:$DF$17,2)+1))*(VLOOKUP($A82,SatSunCurve,6))*(INDEX(DailyScalarsTable,BQ$5/100,MONTH($A82)))*$D82</f>
        <v>-8394.0934135237367</v>
      </c>
      <c r="BR82" s="1021">
        <f>(VLOOKUP(YEAR($A82),'NY East Load Projections'!$A$4:$EO$14,((MONTH($A82)-1)*12)+VLOOKUP(BR$4,$DE$6:$DF$17,2)+1))*(VLOOKUP($A82,SatSunCurve,6))*(INDEX(DailyScalarsTable,BR$5/100,MONTH($A82)))*$D82</f>
        <v>-7995.0044450113282</v>
      </c>
      <c r="BS82" s="1021">
        <f>(VLOOKUP(YEAR($A82),'NY East Load Projections'!$A$4:$EO$14,((MONTH($A82)-1)*12)+VLOOKUP(BS$4,$DE$6:$DF$17,2)+1))*(VLOOKUP($A82,SatSunCurve,6))*(INDEX(DailyScalarsTable,BS$5/100,MONTH($A82)))*$D82</f>
        <v>-8033.5375821063781</v>
      </c>
      <c r="BT82" s="1021">
        <f>(VLOOKUP(YEAR($A82),'NY East Load Projections'!$A$4:$EO$14,((MONTH($A82)-1)*12)+VLOOKUP(BT$4,$DE$6:$DF$17,2)+1))*(VLOOKUP($A82,SatSunCurve,6))*(INDEX(DailyScalarsTable,BT$5/100,MONTH($A82)))*$D82</f>
        <v>-7792.3947241567203</v>
      </c>
      <c r="BU82" s="1021">
        <f>(VLOOKUP(YEAR($A82),'NY East Load Projections'!$A$4:$EO$14,((MONTH($A82)-1)*12)+VLOOKUP(BU$4,$DE$6:$DF$17,2)+1))*(VLOOKUP($A82,SatSunCurve,6))*(INDEX(DailyScalarsTable,BU$5/100,MONTH($A82)))*$D82</f>
        <v>-7489.1016450860161</v>
      </c>
      <c r="BV82" s="1021">
        <f>(VLOOKUP(YEAR($A82),'NY East Load Projections'!$A$4:$EO$14,((MONTH($A82)-1)*12)+VLOOKUP(BV$4,$DE$6:$DF$17,2)+1))*(VLOOKUP($A82,SatSunCurve,6))*(INDEX(DailyScalarsTable,BV$5/100,MONTH($A82)))*$D82</f>
        <v>-7125.2501984217388</v>
      </c>
      <c r="BW82" s="1021">
        <f>(VLOOKUP(YEAR($A82),'NY East Load Projections'!$A$4:$EO$14,((MONTH($A82)-1)*12)+VLOOKUP(BW$4,$DE$6:$DF$17,2)+1))*(VLOOKUP($A82,SatSunCurve,6))*(INDEX(DailyScalarsTable,BW$5/100,MONTH($A82)))*$D82</f>
        <v>-6847.5672858256394</v>
      </c>
      <c r="BX82" s="1021">
        <f>(VLOOKUP(YEAR($A82),'NY East Load Projections'!$A$4:$EO$14,((MONTH($A82)-1)*12)+VLOOKUP(BX$4,$DE$6:$DF$17,2)+1))*(VLOOKUP($A82,SatSunCurve,6))*(INDEX(DailyScalarsTable,BX$5/100,MONTH($A82)))*$D82</f>
        <v>-5932.8471031561385</v>
      </c>
      <c r="BY82" s="1021">
        <f>(VLOOKUP(YEAR($A82),'NY East Load Projections'!$A$4:$EO$14,((MONTH($A82)-1)*12)+VLOOKUP(BY$4,$DE$6:$DF$17,2)+1))*(VLOOKUP($A82,SatSunCurve,6))*(INDEX(DailyScalarsTable,BY$5/100,MONTH($A82)))*$D82</f>
        <v>-5917.6795491067742</v>
      </c>
      <c r="BZ82" s="1021">
        <f>(VLOOKUP(YEAR($A82),'NY East Load Projections'!$A$4:$EO$14,((MONTH($A82)-1)*12)+VLOOKUP(BZ$4,$DE$6:$DF$17,2)+1))*(VLOOKUP($A82,SatSunCurve,6))*(INDEX(DailyScalarsTable,BZ$5/100,MONTH($A82)))*$D82</f>
        <v>-7428.0836102835974</v>
      </c>
      <c r="CA82" s="1021">
        <f>(VLOOKUP(YEAR($A82),'NY East Load Projections'!$A$4:$EO$14,((MONTH($A82)-1)*12)+VLOOKUP(CA$4,$DE$6:$DF$17,2)+1))*(VLOOKUP($A82,SatSunCurve,6))*(INDEX(DailyScalarsTable,CA$5/100,MONTH($A82)))*$D82</f>
        <v>-7085.0082878287949</v>
      </c>
      <c r="CB82" s="1021">
        <f>(VLOOKUP(YEAR($A82),'NY East Load Projections'!$A$4:$EO$14,((MONTH($A82)-1)*12)+VLOOKUP(CB$4,$DE$6:$DF$17,2)+1))*(VLOOKUP($A82,SatSunCurve,6))*(INDEX(DailyScalarsTable,CB$5/100,MONTH($A82)))*$D82</f>
        <v>-5683.6517589743289</v>
      </c>
      <c r="CC82" s="1021">
        <f>(VLOOKUP(YEAR($A82),'NY East Load Projections'!$A$4:$EO$14,((MONTH($A82)-1)*12)+VLOOKUP(CC$4,$DE$6:$DF$17,2)+1))*(VLOOKUP($A82,CURVES!$D$9:$T$261,6))*(INDEX(DailyScalarsTable,CC$5/100,MONTH($A82)))*$D82</f>
        <v>-8225.1234950879571</v>
      </c>
      <c r="CE82" s="1021">
        <f>(VLOOKUP(YEAR($A82),'NY East Load Projections'!$A$4:$EO$14,((MONTH($A82)-1)*12)+VLOOKUP(CE$4,$DE$6:$DF$17,2)+1))*(VLOOKUP($A82,CURVES!$D$9:$T$261,6))*(INDEX(DailyScalarsTable,CE$5/100,MONTH($A82)))*$E82</f>
        <v>-1697.544035695048</v>
      </c>
      <c r="CF82" s="1021">
        <f>(VLOOKUP(YEAR($A82),'NY East Load Projections'!$A$4:$EO$14,((MONTH($A82)-1)*12)+VLOOKUP(CF$4,$DE$6:$DF$17,2)+1))*(VLOOKUP($A82,CURVES!$D$9:$T$261,6))*(INDEX(DailyScalarsTable,CF$5/100,MONTH($A82)))*$E82</f>
        <v>-1529.082065232268</v>
      </c>
      <c r="CG82" s="1021">
        <f>(VLOOKUP(YEAR($A82),'NY East Load Projections'!$A$4:$EO$14,((MONTH($A82)-1)*12)+VLOOKUP(CG$4,$DE$6:$DF$17,2)+1))*(VLOOKUP($A82,CURVES!$D$9:$T$261,6))*(INDEX(DailyScalarsTable,CG$5/100,MONTH($A82)))*$E82</f>
        <v>-1447.0794129435078</v>
      </c>
      <c r="CH82" s="1021">
        <f>(VLOOKUP(YEAR($A82),'NY East Load Projections'!$A$4:$EO$14,((MONTH($A82)-1)*12)+VLOOKUP(CH$4,$DE$6:$DF$17,2)+1))*(VLOOKUP($A82,CURVES!$D$9:$T$261,6))*(INDEX(DailyScalarsTable,CH$5/100,MONTH($A82)))*$E82</f>
        <v>-1402.9584206794459</v>
      </c>
      <c r="CI82" s="1021">
        <f>(VLOOKUP(YEAR($A82),'NY East Load Projections'!$A$4:$EO$14,((MONTH($A82)-1)*12)+VLOOKUP(CI$4,$DE$6:$DF$17,2)+1))*(VLOOKUP($A82,CURVES!$D$9:$T$261,6))*(INDEX(DailyScalarsTable,CI$5/100,MONTH($A82)))*$E82</f>
        <v>-1543.0865390161473</v>
      </c>
      <c r="CJ82" s="1021">
        <f>(VLOOKUP(YEAR($A82),'NY East Load Projections'!$A$4:$EO$14,((MONTH($A82)-1)*12)+VLOOKUP(CJ$4,$DE$6:$DF$17,2)+1))*(VLOOKUP($A82,CURVES!$D$9:$T$261,6))*(INDEX(DailyScalarsTable,CJ$5/100,MONTH($A82)))*$E82</f>
        <v>-1870.901871835305</v>
      </c>
      <c r="CK82" s="1021">
        <f>(VLOOKUP(YEAR($A82),'NY East Load Projections'!$A$4:$EO$14,((MONTH($A82)-1)*12)+VLOOKUP(CK$4,$DE$6:$DF$17,2)+1))*(VLOOKUP($A82,CURVES!$D$9:$T$261,6))*(INDEX(DailyScalarsTable,CK$5/100,MONTH($A82)))*$E82</f>
        <v>-2238.562162234693</v>
      </c>
      <c r="CL82" s="1021">
        <f>(VLOOKUP(YEAR($A82),'NY East Load Projections'!$A$4:$EO$14,((MONTH($A82)-1)*12)+VLOOKUP(CL$4,$DE$6:$DF$17,2)+1))*(VLOOKUP($A82,SatSunCurve,6))*(INDEX(DailyScalarsTable,CL$5/100,MONTH($A82)))*$E82</f>
        <v>-1615.5585648158999</v>
      </c>
      <c r="CM82" s="1021">
        <f>(VLOOKUP(YEAR($A82),'NY East Load Projections'!$A$4:$EO$14,((MONTH($A82)-1)*12)+VLOOKUP(CM$4,$DE$6:$DF$17,2)+1))*(VLOOKUP($A82,SatSunCurve,6))*(INDEX(DailyScalarsTable,CM$5/100,MONTH($A82)))*$E82</f>
        <v>-1958.6422918824978</v>
      </c>
      <c r="CN82" s="1021">
        <f>(VLOOKUP(YEAR($A82),'NY East Load Projections'!$A$4:$EO$14,((MONTH($A82)-1)*12)+VLOOKUP(CN$4,$DE$6:$DF$17,2)+1))*(VLOOKUP($A82,SatSunCurve,6))*(INDEX(DailyScalarsTable,CN$5/100,MONTH($A82)))*$E82</f>
        <v>-1993.3819840788133</v>
      </c>
      <c r="CO82" s="1021">
        <f>(VLOOKUP(YEAR($A82),'NY East Load Projections'!$A$4:$EO$14,((MONTH($A82)-1)*12)+VLOOKUP(CO$4,$DE$6:$DF$17,2)+1))*(VLOOKUP($A82,SatSunCurve,6))*(INDEX(DailyScalarsTable,CO$5/100,MONTH($A82)))*$E82</f>
        <v>-2114.5097604093276</v>
      </c>
      <c r="CP82" s="1021">
        <f>(VLOOKUP(YEAR($A82),'NY East Load Projections'!$A$4:$EO$14,((MONTH($A82)-1)*12)+VLOOKUP(CP$4,$DE$6:$DF$17,2)+1))*(VLOOKUP($A82,SatSunCurve,6))*(INDEX(DailyScalarsTable,CP$5/100,MONTH($A82)))*$E82</f>
        <v>-2098.5233533809342</v>
      </c>
      <c r="CQ82" s="1021">
        <f>(VLOOKUP(YEAR($A82),'NY East Load Projections'!$A$4:$EO$14,((MONTH($A82)-1)*12)+VLOOKUP(CQ$4,$DE$6:$DF$17,2)+1))*(VLOOKUP($A82,SatSunCurve,6))*(INDEX(DailyScalarsTable,CQ$5/100,MONTH($A82)))*$E82</f>
        <v>-1998.7511112528321</v>
      </c>
      <c r="CR82" s="1021">
        <f>(VLOOKUP(YEAR($A82),'NY East Load Projections'!$A$4:$EO$14,((MONTH($A82)-1)*12)+VLOOKUP(CR$4,$DE$6:$DF$17,2)+1))*(VLOOKUP($A82,SatSunCurve,6))*(INDEX(DailyScalarsTable,CR$5/100,MONTH($A82)))*$E82</f>
        <v>-2008.3843955265945</v>
      </c>
      <c r="CS82" s="1021">
        <f>(VLOOKUP(YEAR($A82),'NY East Load Projections'!$A$4:$EO$14,((MONTH($A82)-1)*12)+VLOOKUP(CS$4,$DE$6:$DF$17,2)+1))*(VLOOKUP($A82,SatSunCurve,6))*(INDEX(DailyScalarsTable,CS$5/100,MONTH($A82)))*$E82</f>
        <v>-1948.0986810391801</v>
      </c>
      <c r="CT82" s="1021">
        <f>(VLOOKUP(YEAR($A82),'NY East Load Projections'!$A$4:$EO$14,((MONTH($A82)-1)*12)+VLOOKUP(CT$4,$DE$6:$DF$17,2)+1))*(VLOOKUP($A82,SatSunCurve,6))*(INDEX(DailyScalarsTable,CT$5/100,MONTH($A82)))*$E82</f>
        <v>-1872.275411271504</v>
      </c>
      <c r="CU82" s="1021">
        <f>(VLOOKUP(YEAR($A82),'NY East Load Projections'!$A$4:$EO$14,((MONTH($A82)-1)*12)+VLOOKUP(CU$4,$DE$6:$DF$17,2)+1))*(VLOOKUP($A82,SatSunCurve,6))*(INDEX(DailyScalarsTable,CU$5/100,MONTH($A82)))*$E82</f>
        <v>-1781.3125496054347</v>
      </c>
      <c r="CV82" s="1021">
        <f>(VLOOKUP(YEAR($A82),'NY East Load Projections'!$A$4:$EO$14,((MONTH($A82)-1)*12)+VLOOKUP(CV$4,$DE$6:$DF$17,2)+1))*(VLOOKUP($A82,SatSunCurve,6))*(INDEX(DailyScalarsTable,CV$5/100,MONTH($A82)))*$E82</f>
        <v>-1711.8918214564098</v>
      </c>
      <c r="CW82" s="1021">
        <f>(VLOOKUP(YEAR($A82),'NY East Load Projections'!$A$4:$EO$14,((MONTH($A82)-1)*12)+VLOOKUP(CW$4,$DE$6:$DF$17,2)+1))*(VLOOKUP($A82,SatSunCurve,6))*(INDEX(DailyScalarsTable,CW$5/100,MONTH($A82)))*$E82</f>
        <v>-1483.2117757890346</v>
      </c>
      <c r="CX82" s="1021">
        <f>(VLOOKUP(YEAR($A82),'NY East Load Projections'!$A$4:$EO$14,((MONTH($A82)-1)*12)+VLOOKUP(CX$4,$DE$6:$DF$17,2)+1))*(VLOOKUP($A82,SatSunCurve,6))*(INDEX(DailyScalarsTable,CX$5/100,MONTH($A82)))*$E82</f>
        <v>-1479.4198872766935</v>
      </c>
      <c r="CY82" s="1021">
        <f>(VLOOKUP(YEAR($A82),'NY East Load Projections'!$A$4:$EO$14,((MONTH($A82)-1)*12)+VLOOKUP(CY$4,$DE$6:$DF$17,2)+1))*(VLOOKUP($A82,SatSunCurve,6))*(INDEX(DailyScalarsTable,CY$5/100,MONTH($A82)))*$E82</f>
        <v>-1857.0209025708994</v>
      </c>
      <c r="CZ82" s="1021">
        <f>(VLOOKUP(YEAR($A82),'NY East Load Projections'!$A$4:$EO$14,((MONTH($A82)-1)*12)+VLOOKUP(CZ$4,$DE$6:$DF$17,2)+1))*(VLOOKUP($A82,SatSunCurve,6))*(INDEX(DailyScalarsTable,CZ$5/100,MONTH($A82)))*$E82</f>
        <v>-1771.2520719571987</v>
      </c>
      <c r="DA82" s="1021">
        <f>(VLOOKUP(YEAR($A82),'NY East Load Projections'!$A$4:$EO$14,((MONTH($A82)-1)*12)+VLOOKUP(DA$4,$DE$6:$DF$17,2)+1))*(VLOOKUP($A82,SatSunCurve,6))*(INDEX(DailyScalarsTable,DA$5/100,MONTH($A82)))*$E82</f>
        <v>-1420.9129397435822</v>
      </c>
      <c r="DB82" s="1021">
        <f>(VLOOKUP(YEAR($A82),'NY East Load Projections'!$A$4:$EO$14,((MONTH($A82)-1)*12)+VLOOKUP(DB$4,$DE$6:$DF$17,2)+1))*(VLOOKUP($A82,CURVES!$D$9:$T$261,6))*(INDEX(DailyScalarsTable,DB$5/100,MONTH($A82)))*$E82</f>
        <v>-2056.2808737719893</v>
      </c>
      <c r="DH82" s="1021">
        <f t="shared" si="2"/>
        <v>-1825411.9954500636</v>
      </c>
      <c r="DI82">
        <f ca="1">CALC!J102</f>
        <v>0.58965192229306307</v>
      </c>
      <c r="DJ82" s="1029">
        <f t="shared" ca="1" si="3"/>
        <v>-1076357.692093946</v>
      </c>
    </row>
    <row r="83" spans="1:114" x14ac:dyDescent="0.25">
      <c r="A83" s="244">
        <v>39234</v>
      </c>
      <c r="B83" s="13">
        <v>21</v>
      </c>
      <c r="C83" s="210">
        <v>5</v>
      </c>
      <c r="D83" s="210">
        <v>4</v>
      </c>
      <c r="E83" s="210">
        <v>0</v>
      </c>
      <c r="F83" s="13">
        <v>30</v>
      </c>
      <c r="H83" s="1021">
        <f>(VLOOKUP(YEAR($A83),'NY East Load Projections'!$A$4:$EO$14,((MONTH($A83)-1)*12)+VLOOKUP(H$4,$DE$6:$DF$17,2)+1))*(VLOOKUP($A83,CURVES!$D$9:$K$261,6))*(INDEX(DailyScalarsTable,H$5/100,MONTH($A83)))*$B83</f>
        <v>-37220.655208056669</v>
      </c>
      <c r="I83" s="1021">
        <f>(VLOOKUP(YEAR($A83),'NY East Load Projections'!$A$4:$EO$14,((MONTH($A83)-1)*12)+VLOOKUP(I$4,$DE$6:$DF$17,2)+1))*(VLOOKUP($A83,CURVES!$D$9:$K$261,6))*(INDEX(DailyScalarsTable,I$5/100,MONTH($A83)))*$B83</f>
        <v>-30837.793936134993</v>
      </c>
      <c r="J83" s="1021">
        <f>(VLOOKUP(YEAR($A83),'NY East Load Projections'!$A$4:$EO$14,((MONTH($A83)-1)*12)+VLOOKUP(J$4,$DE$6:$DF$17,2)+1))*(VLOOKUP($A83,CURVES!$D$9:$K$261,6))*(INDEX(DailyScalarsTable,J$5/100,MONTH($A83)))*$B83</f>
        <v>-25922.038090893824</v>
      </c>
      <c r="K83" s="1021">
        <f>(VLOOKUP(YEAR($A83),'NY East Load Projections'!$A$4:$EO$14,((MONTH($A83)-1)*12)+VLOOKUP(K$4,$DE$6:$DF$17,2)+1))*(VLOOKUP($A83,CURVES!$D$9:$K$261,6))*(INDEX(DailyScalarsTable,K$5/100,MONTH($A83)))*$B83</f>
        <v>-24064.339661006179</v>
      </c>
      <c r="L83" s="1021">
        <f>(VLOOKUP(YEAR($A83),'NY East Load Projections'!$A$4:$EO$14,((MONTH($A83)-1)*12)+VLOOKUP(L$4,$DE$6:$DF$17,2)+1))*(VLOOKUP($A83,CURVES!$D$9:$K$261,6))*(INDEX(DailyScalarsTable,L$5/100,MONTH($A83)))*$B83</f>
        <v>-28014.199980958034</v>
      </c>
      <c r="M83" s="1021">
        <f>(VLOOKUP(YEAR($A83),'NY East Load Projections'!$A$4:$EO$14,((MONTH($A83)-1)*12)+VLOOKUP(M$4,$DE$6:$DF$17,2)+1))*(VLOOKUP($A83,CURVES!$D$9:$K$261,6))*(INDEX(DailyScalarsTable,M$5/100,MONTH($A83)))*$B83</f>
        <v>-34179.368808884195</v>
      </c>
      <c r="N83" s="1021">
        <f>(VLOOKUP(YEAR($A83),'NY East Load Projections'!$A$4:$EO$14,((MONTH($A83)-1)*12)+VLOOKUP(N$4,$DE$6:$DF$17,2)+1))*(VLOOKUP($A83,CURVES!$D$9:$K$261,6))*(INDEX(DailyScalarsTable,N$5/100,MONTH($A83)))*$B83</f>
        <v>-39189.207491610265</v>
      </c>
      <c r="O83" s="1021">
        <f>(VLOOKUP(YEAR($A83),'NY East Load Projections'!$A$4:$EO$14,((MONTH($A83)-1)*12)+VLOOKUP(O$4,$DE$6:$DF$17,2)+1))*(VLOOKUP($A83,CURVES!$D$9:$K$261,2))*(INDEX(DailyScalarsTable,O$5/100,MONTH($A83)))*$B83</f>
        <v>-58803.806823766899</v>
      </c>
      <c r="P83" s="1021">
        <f>(VLOOKUP(YEAR($A83),'NY East Load Projections'!$A$4:$EO$14,((MONTH($A83)-1)*12)+VLOOKUP(P$4,$DE$6:$DF$17,2)+1))*(VLOOKUP($A83,CURVES!$D$9:$K$261,2))*(INDEX(DailyScalarsTable,P$5/100,MONTH($A83)))*$B83</f>
        <v>-74952.701924947411</v>
      </c>
      <c r="Q83" s="1021">
        <f>(VLOOKUP(YEAR($A83),'NY East Load Projections'!$A$4:$EO$14,((MONTH($A83)-1)*12)+VLOOKUP(Q$4,$DE$6:$DF$17,2)+1))*(VLOOKUP($A83,CURVES!$D$9:$K$261,2))*(INDEX(DailyScalarsTable,Q$5/100,MONTH($A83)))*$B83</f>
        <v>-83834.038734984977</v>
      </c>
      <c r="R83" s="1021">
        <f>(VLOOKUP(YEAR($A83),'NY East Load Projections'!$A$4:$EO$14,((MONTH($A83)-1)*12)+VLOOKUP(R$4,$DE$6:$DF$17,2)+1))*(VLOOKUP($A83,CURVES!$D$9:$K$261,2))*(INDEX(DailyScalarsTable,R$5/100,MONTH($A83)))*$B83</f>
        <v>-96433.449978810488</v>
      </c>
      <c r="S83" s="1021">
        <f>(VLOOKUP(YEAR($A83),'NY East Load Projections'!$A$4:$EO$14,((MONTH($A83)-1)*12)+VLOOKUP(S$4,$DE$6:$DF$17,2)+1))*(VLOOKUP($A83,CURVES!$D$9:$K$261,2))*(INDEX(DailyScalarsTable,S$5/100,MONTH($A83)))*$B83</f>
        <v>-104000.97956842833</v>
      </c>
      <c r="T83" s="1021">
        <f>(VLOOKUP(YEAR($A83),'NY East Load Projections'!$A$4:$EO$14,((MONTH($A83)-1)*12)+VLOOKUP(T$4,$DE$6:$DF$17,2)+1))*(VLOOKUP($A83,CURVES!$D$9:$K$261,2))*(INDEX(DailyScalarsTable,T$5/100,MONTH($A83)))*$B83</f>
        <v>-110441.49349250452</v>
      </c>
      <c r="U83" s="1021">
        <f>(VLOOKUP(YEAR($A83),'NY East Load Projections'!$A$4:$EO$14,((MONTH($A83)-1)*12)+VLOOKUP(U$4,$DE$6:$DF$17,2)+1))*(VLOOKUP($A83,CURVES!$D$9:$K$261,2))*(INDEX(DailyScalarsTable,U$5/100,MONTH($A83)))*$B83</f>
        <v>-122135.45663765057</v>
      </c>
      <c r="V83" s="1021">
        <f>(VLOOKUP(YEAR($A83),'NY East Load Projections'!$A$4:$EO$14,((MONTH($A83)-1)*12)+VLOOKUP(V$4,$DE$6:$DF$17,2)+1))*(VLOOKUP($A83,CURVES!$D$9:$K$261,2))*(INDEX(DailyScalarsTable,V$5/100,MONTH($A83)))*$B83</f>
        <v>-123075.26997882192</v>
      </c>
      <c r="W83" s="1021">
        <f>(VLOOKUP(YEAR($A83),'NY East Load Projections'!$A$4:$EO$14,((MONTH($A83)-1)*12)+VLOOKUP(W$4,$DE$6:$DF$17,2)+1))*(VLOOKUP($A83,CURVES!$D$9:$K$261,2))*(INDEX(DailyScalarsTable,W$5/100,MONTH($A83)))*$B83</f>
        <v>-123276.65855193001</v>
      </c>
      <c r="X83" s="1021">
        <f>(VLOOKUP(YEAR($A83),'NY East Load Projections'!$A$4:$EO$14,((MONTH($A83)-1)*12)+VLOOKUP(X$4,$DE$6:$DF$17,2)+1))*(VLOOKUP($A83,CURVES!$D$9:$K$261,2))*(INDEX(DailyScalarsTable,X$5/100,MONTH($A83)))*$B83</f>
        <v>-120525.05924361096</v>
      </c>
      <c r="Y83" s="1021">
        <f>(VLOOKUP(YEAR($A83),'NY East Load Projections'!$A$4:$EO$14,((MONTH($A83)-1)*12)+VLOOKUP(Y$4,$DE$6:$DF$17,2)+1))*(VLOOKUP($A83,CURVES!$D$9:$K$261,2))*(INDEX(DailyScalarsTable,Y$5/100,MONTH($A83)))*$B83</f>
        <v>-116947.15318740257</v>
      </c>
      <c r="Z83" s="1021">
        <f>(VLOOKUP(YEAR($A83),'NY East Load Projections'!$A$4:$EO$14,((MONTH($A83)-1)*12)+VLOOKUP(Z$4,$DE$6:$DF$17,2)+1))*(VLOOKUP($A83,CURVES!$D$9:$K$261,2))*(INDEX(DailyScalarsTable,Z$5/100,MONTH($A83)))*$B83</f>
        <v>-99858.453864790063</v>
      </c>
      <c r="AA83" s="1021">
        <f>(VLOOKUP(YEAR($A83),'NY East Load Projections'!$A$4:$EO$14,((MONTH($A83)-1)*12)+VLOOKUP(AA$4,$DE$6:$DF$17,2)+1))*(VLOOKUP($A83,CURVES!$D$9:$K$261,2))*(INDEX(DailyScalarsTable,AA$5/100,MONTH($A83)))*$B83</f>
        <v>-79850.596532419135</v>
      </c>
      <c r="AB83" s="1021">
        <f>(VLOOKUP(YEAR($A83),'NY East Load Projections'!$A$4:$EO$14,((MONTH($A83)-1)*12)+VLOOKUP(AB$4,$DE$6:$DF$17,2)+1))*(VLOOKUP($A83,CURVES!$D$9:$K$261,2))*(INDEX(DailyScalarsTable,AB$5/100,MONTH($A83)))*$B83</f>
        <v>-79375.232632697531</v>
      </c>
      <c r="AC83" s="1021">
        <f>(VLOOKUP(YEAR($A83),'NY East Load Projections'!$A$4:$EO$14,((MONTH($A83)-1)*12)+VLOOKUP(AC$4,$DE$6:$DF$17,2)+1))*(VLOOKUP($A83,CURVES!$D$9:$K$261,2))*(INDEX(DailyScalarsTable,AC$5/100,MONTH($A83)))*$B83</f>
        <v>-80875.776625605053</v>
      </c>
      <c r="AD83" s="1021">
        <f>(VLOOKUP(YEAR($A83),'NY East Load Projections'!$A$4:$EO$14,((MONTH($A83)-1)*12)+VLOOKUP(AD$4,$DE$6:$DF$17,2)+1))*(VLOOKUP($A83,CURVES!$D$9:$K$261,2))*(INDEX(DailyScalarsTable,AD$5/100,MONTH($A83)))*$B83</f>
        <v>-64854.220291884012</v>
      </c>
      <c r="AE83" s="1021">
        <f>(VLOOKUP(YEAR($A83),'NY East Load Projections'!$A$4:$EO$14,((MONTH($A83)-1)*12)+VLOOKUP(AE$4,$DE$6:$DF$17,2)+1))*(VLOOKUP($A83,CURVES!$D$9:$K$261,6))*(INDEX(DailyScalarsTable,AE$5/100,MONTH($A83)))*$B83</f>
        <v>-47007.199887744566</v>
      </c>
      <c r="AF83" s="1021"/>
      <c r="AG83" s="1021">
        <f>(VLOOKUP(YEAR($A83),'NY East Load Projections'!$A$4:$EO$14,((MONTH($A83)-1)*12)+VLOOKUP(AG$4,$DE$6:$DF$17,2)+1))*(VLOOKUP($A83,CURVES!$D$9:$T$261,6))*(INDEX(DailyScalarsTable,AG$5/100,MONTH($A83)))*$C83</f>
        <v>-8990.7489335924511</v>
      </c>
      <c r="AH83" s="1021">
        <f>(VLOOKUP(YEAR($A83),'NY East Load Projections'!$A$4:$EO$14,((MONTH($A83)-1)*12)+VLOOKUP(AH$4,$DE$6:$DF$17,2)+1))*(VLOOKUP($A83,CURVES!$D$9:$T$261,6))*(INDEX(DailyScalarsTable,AH$5/100,MONTH($A83)))*$C83</f>
        <v>-7448.9517015712208</v>
      </c>
      <c r="AI83" s="1021">
        <f>(VLOOKUP(YEAR($A83),'NY East Load Projections'!$A$4:$EO$14,((MONTH($A83)-1)*12)+VLOOKUP(AI$4,$DE$6:$DF$17,2)+1))*(VLOOKUP($A83,CURVES!$D$9:$T$261,6))*(INDEX(DailyScalarsTable,AI$5/100,MONTH($A83)))*$C83</f>
        <v>-6261.5377139250195</v>
      </c>
      <c r="AJ83" s="1021">
        <f>(VLOOKUP(YEAR($A83),'NY East Load Projections'!$A$4:$EO$14,((MONTH($A83)-1)*12)+VLOOKUP(AJ$4,$DE$6:$DF$17,2)+1))*(VLOOKUP($A83,CURVES!$D$9:$T$261,6))*(INDEX(DailyScalarsTable,AJ$5/100,MONTH($A83)))*$C83</f>
        <v>-5812.8056837098866</v>
      </c>
      <c r="AK83" s="1021">
        <f>(VLOOKUP(YEAR($A83),'NY East Load Projections'!$A$4:$EO$14,((MONTH($A83)-1)*12)+VLOOKUP(AK$4,$DE$6:$DF$17,2)+1))*(VLOOKUP($A83,CURVES!$D$9:$T$261,6))*(INDEX(DailyScalarsTable,AK$5/100,MONTH($A83)))*$C83</f>
        <v>-6371.0305157354996</v>
      </c>
      <c r="AL83" s="1021">
        <f>(VLOOKUP(YEAR($A83),'NY East Load Projections'!$A$4:$EO$14,((MONTH($A83)-1)*12)+VLOOKUP(AL$4,$DE$6:$DF$17,2)+1))*(VLOOKUP($A83,CURVES!$D$9:$T$261,6))*(INDEX(DailyScalarsTable,AL$5/100,MONTH($A83)))*$C83</f>
        <v>-7773.122267921085</v>
      </c>
      <c r="AM83" s="1021">
        <f>(VLOOKUP(YEAR($A83),'NY East Load Projections'!$A$4:$EO$14,((MONTH($A83)-1)*12)+VLOOKUP(AM$4,$DE$6:$DF$17,2)+1))*(VLOOKUP($A83,CURVES!$D$9:$T$261,6))*(INDEX(DailyScalarsTable,AM$5/100,MONTH($A83)))*$C83</f>
        <v>-8912.4671411730524</v>
      </c>
      <c r="AN83" s="1021">
        <f>(VLOOKUP(YEAR($A83),'NY East Load Projections'!$A$4:$EO$14,((MONTH($A83)-1)*12)+VLOOKUP(AN$4,$DE$6:$DF$17,2)+1))*(VLOOKUP($A83,SatSunCurve,2))*(INDEX(DailyScalarsTable,AN$5/100,MONTH($A83)))*$C83</f>
        <v>-6921.6475214252405</v>
      </c>
      <c r="AO83" s="1021">
        <f>(VLOOKUP(YEAR($A83),'NY East Load Projections'!$A$4:$EO$14,((MONTH($A83)-1)*12)+VLOOKUP(AO$4,$DE$6:$DF$17,2)+1))*(VLOOKUP($A83,SatSunCurve,2))*(INDEX(DailyScalarsTable,AO$5/100,MONTH($A83)))*$C83</f>
        <v>-8766.1467845070911</v>
      </c>
      <c r="AP83" s="1021">
        <f>(VLOOKUP(YEAR($A83),'NY East Load Projections'!$A$4:$EO$14,((MONTH($A83)-1)*12)+VLOOKUP(AP$4,$DE$6:$DF$17,2)+1))*(VLOOKUP($A83,SatSunCurve,2))*(INDEX(DailyScalarsTable,AP$5/100,MONTH($A83)))*$C83</f>
        <v>-9804.8698741349217</v>
      </c>
      <c r="AQ83" s="1021">
        <f>(VLOOKUP(YEAR($A83),'NY East Load Projections'!$A$4:$EO$14,((MONTH($A83)-1)*12)+VLOOKUP(AQ$4,$DE$6:$DF$17,2)+1))*(VLOOKUP($A83,SatSunCurve,2))*(INDEX(DailyScalarsTable,AQ$5/100,MONTH($A83)))*$C83</f>
        <v>-11278.443014598077</v>
      </c>
      <c r="AR83" s="1021">
        <f>(VLOOKUP(YEAR($A83),'NY East Load Projections'!$A$4:$EO$14,((MONTH($A83)-1)*12)+VLOOKUP(AR$4,$DE$6:$DF$17,2)+1))*(VLOOKUP($A83,SatSunCurve,2))*(INDEX(DailyScalarsTable,AR$5/100,MONTH($A83)))*$C83</f>
        <v>-12163.508842446647</v>
      </c>
      <c r="AS83" s="1021">
        <f>(VLOOKUP(YEAR($A83),'NY East Load Projections'!$A$4:$EO$14,((MONTH($A83)-1)*12)+VLOOKUP(AS$4,$DE$6:$DF$17,2)+1))*(VLOOKUP($A83,SatSunCurve,2))*(INDEX(DailyScalarsTable,AS$5/100,MONTH($A83)))*$C83</f>
        <v>-12937.677745439762</v>
      </c>
      <c r="AT83" s="1021">
        <f>(VLOOKUP(YEAR($A83),'NY East Load Projections'!$A$4:$EO$14,((MONTH($A83)-1)*12)+VLOOKUP(AT$4,$DE$6:$DF$17,2)+1))*(VLOOKUP($A83,SatSunCurve,2))*(INDEX(DailyScalarsTable,AT$5/100,MONTH($A83)))*$C83</f>
        <v>-14307.56801000067</v>
      </c>
      <c r="AU83" s="1021">
        <f>(VLOOKUP(YEAR($A83),'NY East Load Projections'!$A$4:$EO$14,((MONTH($A83)-1)*12)+VLOOKUP(AU$4,$DE$6:$DF$17,2)+1))*(VLOOKUP($A83,SatSunCurve,2))*(INDEX(DailyScalarsTable,AU$5/100,MONTH($A83)))*$C83</f>
        <v>-14417.662520355741</v>
      </c>
      <c r="AV83" s="1021">
        <f>(VLOOKUP(YEAR($A83),'NY East Load Projections'!$A$4:$EO$14,((MONTH($A83)-1)*12)+VLOOKUP(AV$4,$DE$6:$DF$17,2)+1))*(VLOOKUP($A83,SatSunCurve,2))*(INDEX(DailyScalarsTable,AV$5/100,MONTH($A83)))*$C83</f>
        <v>-14441.254201146108</v>
      </c>
      <c r="AW83" s="1021">
        <f>(VLOOKUP(YEAR($A83),'NY East Load Projections'!$A$4:$EO$14,((MONTH($A83)-1)*12)+VLOOKUP(AW$4,$DE$6:$DF$17,2)+1))*(VLOOKUP($A83,SatSunCurve,2))*(INDEX(DailyScalarsTable,AW$5/100,MONTH($A83)))*$C83</f>
        <v>-14110.604142648262</v>
      </c>
      <c r="AX83" s="1021">
        <f>(VLOOKUP(YEAR($A83),'NY East Load Projections'!$A$4:$EO$14,((MONTH($A83)-1)*12)+VLOOKUP(AX$4,$DE$6:$DF$17,2)+1))*(VLOOKUP($A83,SatSunCurve,2))*(INDEX(DailyScalarsTable,AX$5/100,MONTH($A83)))*$C83</f>
        <v>-13691.716847876685</v>
      </c>
      <c r="AY83" s="1021">
        <f>(VLOOKUP(YEAR($A83),'NY East Load Projections'!$A$4:$EO$14,((MONTH($A83)-1)*12)+VLOOKUP(AY$4,$DE$6:$DF$17,2)+1))*(VLOOKUP($A83,SatSunCurve,2))*(INDEX(DailyScalarsTable,AY$5/100,MONTH($A83)))*$C83</f>
        <v>-11691.038541079595</v>
      </c>
      <c r="AZ83" s="1021">
        <f>(VLOOKUP(YEAR($A83),'NY East Load Projections'!$A$4:$EO$14,((MONTH($A83)-1)*12)+VLOOKUP(AZ$4,$DE$6:$DF$17,2)+1))*(VLOOKUP($A83,SatSunCurve,2))*(INDEX(DailyScalarsTable,AZ$5/100,MONTH($A83)))*$C83</f>
        <v>-9348.5965930609345</v>
      </c>
      <c r="BA83" s="1021">
        <f>(VLOOKUP(YEAR($A83),'NY East Load Projections'!$A$4:$EO$14,((MONTH($A83)-1)*12)+VLOOKUP(BA$4,$DE$6:$DF$17,2)+1))*(VLOOKUP($A83,SatSunCurve,2))*(INDEX(DailyScalarsTable,BA$5/100,MONTH($A83)))*$C83</f>
        <v>-9673.5241672598731</v>
      </c>
      <c r="BB83" s="1021">
        <f>(VLOOKUP(YEAR($A83),'NY East Load Projections'!$A$4:$EO$14,((MONTH($A83)-1)*12)+VLOOKUP(BB$4,$DE$6:$DF$17,2)+1))*(VLOOKUP($A83,SatSunCurve,2))*(INDEX(DailyScalarsTable,BB$5/100,MONTH($A83)))*$C83</f>
        <v>-9856.3966842652353</v>
      </c>
      <c r="BC83" s="1021">
        <f>(VLOOKUP(YEAR($A83),'NY East Load Projections'!$A$4:$EO$14,((MONTH($A83)-1)*12)+VLOOKUP(BC$4,$DE$6:$DF$17,2)+1))*(VLOOKUP($A83,SatSunCurve,2))*(INDEX(DailyScalarsTable,BC$5/100,MONTH($A83)))*$C83</f>
        <v>-7903.8365814363578</v>
      </c>
      <c r="BD83" s="1021">
        <f>(VLOOKUP(YEAR($A83),'NY East Load Projections'!$A$4:$EO$14,((MONTH($A83)-1)*12)+VLOOKUP(BD$4,$DE$6:$DF$17,2)+1))*(VLOOKUP($A83,CURVES!$D$9:$T$261,6))*(INDEX(DailyScalarsTable,BD$5/100,MONTH($A83)))*$C83</f>
        <v>-11068.569983093061</v>
      </c>
      <c r="BE83" s="1021"/>
      <c r="BF83" s="1021">
        <f>(VLOOKUP(YEAR($A83),'NY East Load Projections'!$A$4:$EO$14,((MONTH($A83)-1)*12)+VLOOKUP(BF$4,$DE$6:$DF$17,2)+1))*(VLOOKUP($A83,CURVES!$D$9:$T$261,6))*(INDEX(DailyScalarsTable,BF$5/100,MONTH($A83)))*$D83</f>
        <v>-7192.5991468739603</v>
      </c>
      <c r="BG83" s="1021">
        <f>(VLOOKUP(YEAR($A83),'NY East Load Projections'!$A$4:$EO$14,((MONTH($A83)-1)*12)+VLOOKUP(BG$4,$DE$6:$DF$17,2)+1))*(VLOOKUP($A83,CURVES!$D$9:$T$261,6))*(INDEX(DailyScalarsTable,BG$5/100,MONTH($A83)))*$D83</f>
        <v>-5959.1613612569763</v>
      </c>
      <c r="BH83" s="1021">
        <f>(VLOOKUP(YEAR($A83),'NY East Load Projections'!$A$4:$EO$14,((MONTH($A83)-1)*12)+VLOOKUP(BH$4,$DE$6:$DF$17,2)+1))*(VLOOKUP($A83,CURVES!$D$9:$T$261,6))*(INDEX(DailyScalarsTable,BH$5/100,MONTH($A83)))*$D83</f>
        <v>-5009.230171140016</v>
      </c>
      <c r="BI83" s="1021">
        <f>(VLOOKUP(YEAR($A83),'NY East Load Projections'!$A$4:$EO$14,((MONTH($A83)-1)*12)+VLOOKUP(BI$4,$DE$6:$DF$17,2)+1))*(VLOOKUP($A83,CURVES!$D$9:$T$261,6))*(INDEX(DailyScalarsTable,BI$5/100,MONTH($A83)))*$D83</f>
        <v>-4650.2445469679096</v>
      </c>
      <c r="BJ83" s="1021">
        <f>(VLOOKUP(YEAR($A83),'NY East Load Projections'!$A$4:$EO$14,((MONTH($A83)-1)*12)+VLOOKUP(BJ$4,$DE$6:$DF$17,2)+1))*(VLOOKUP($A83,CURVES!$D$9:$T$261,6))*(INDEX(DailyScalarsTable,BJ$5/100,MONTH($A83)))*$D83</f>
        <v>-5096.8244125883994</v>
      </c>
      <c r="BK83" s="1021">
        <f>(VLOOKUP(YEAR($A83),'NY East Load Projections'!$A$4:$EO$14,((MONTH($A83)-1)*12)+VLOOKUP(BK$4,$DE$6:$DF$17,2)+1))*(VLOOKUP($A83,CURVES!$D$9:$T$261,6))*(INDEX(DailyScalarsTable,BK$5/100,MONTH($A83)))*$D83</f>
        <v>-6218.497814336868</v>
      </c>
      <c r="BL83" s="1021">
        <f>(VLOOKUP(YEAR($A83),'NY East Load Projections'!$A$4:$EO$14,((MONTH($A83)-1)*12)+VLOOKUP(BL$4,$DE$6:$DF$17,2)+1))*(VLOOKUP($A83,CURVES!$D$9:$T$261,6))*(INDEX(DailyScalarsTable,BL$5/100,MONTH($A83)))*$D83</f>
        <v>-7129.9737129384421</v>
      </c>
      <c r="BM83" s="1021">
        <f>(VLOOKUP(YEAR($A83),'NY East Load Projections'!$A$4:$EO$14,((MONTH($A83)-1)*12)+VLOOKUP(BM$4,$DE$6:$DF$17,2)+1))*(VLOOKUP($A83,SatSunCurve,6))*(INDEX(DailyScalarsTable,BM$5/100,MONTH($A83)))*$D83</f>
        <v>-4127.9343492790595</v>
      </c>
      <c r="BN83" s="1021">
        <f>(VLOOKUP(YEAR($A83),'NY East Load Projections'!$A$4:$EO$14,((MONTH($A83)-1)*12)+VLOOKUP(BN$4,$DE$6:$DF$17,2)+1))*(VLOOKUP($A83,SatSunCurve,6))*(INDEX(DailyScalarsTable,BN$5/100,MONTH($A83)))*$D83</f>
        <v>-5227.9574061780459</v>
      </c>
      <c r="BO83" s="1021">
        <f>(VLOOKUP(YEAR($A83),'NY East Load Projections'!$A$4:$EO$14,((MONTH($A83)-1)*12)+VLOOKUP(BO$4,$DE$6:$DF$17,2)+1))*(VLOOKUP($A83,SatSunCurve,6))*(INDEX(DailyScalarsTable,BO$5/100,MONTH($A83)))*$D83</f>
        <v>-5847.4314125893252</v>
      </c>
      <c r="BP83" s="1021">
        <f>(VLOOKUP(YEAR($A83),'NY East Load Projections'!$A$4:$EO$14,((MONTH($A83)-1)*12)+VLOOKUP(BP$4,$DE$6:$DF$17,2)+1))*(VLOOKUP($A83,SatSunCurve,6))*(INDEX(DailyScalarsTable,BP$5/100,MONTH($A83)))*$D83</f>
        <v>-6726.2414305603579</v>
      </c>
      <c r="BQ83" s="1021">
        <f>(VLOOKUP(YEAR($A83),'NY East Load Projections'!$A$4:$EO$14,((MONTH($A83)-1)*12)+VLOOKUP(BQ$4,$DE$6:$DF$17,2)+1))*(VLOOKUP($A83,SatSunCurve,6))*(INDEX(DailyScalarsTable,BQ$5/100,MONTH($A83)))*$D83</f>
        <v>-7254.0772703427529</v>
      </c>
      <c r="BR83" s="1021">
        <f>(VLOOKUP(YEAR($A83),'NY East Load Projections'!$A$4:$EO$14,((MONTH($A83)-1)*12)+VLOOKUP(BR$4,$DE$6:$DF$17,2)+1))*(VLOOKUP($A83,SatSunCurve,6))*(INDEX(DailyScalarsTable,BR$5/100,MONTH($A83)))*$D83</f>
        <v>-7715.7763668247599</v>
      </c>
      <c r="BS83" s="1021">
        <f>(VLOOKUP(YEAR($A83),'NY East Load Projections'!$A$4:$EO$14,((MONTH($A83)-1)*12)+VLOOKUP(BS$4,$DE$6:$DF$17,2)+1))*(VLOOKUP($A83,SatSunCurve,6))*(INDEX(DailyScalarsTable,BS$5/100,MONTH($A83)))*$D83</f>
        <v>-8532.75195830353</v>
      </c>
      <c r="BT83" s="1021">
        <f>(VLOOKUP(YEAR($A83),'NY East Load Projections'!$A$4:$EO$14,((MONTH($A83)-1)*12)+VLOOKUP(BT$4,$DE$6:$DF$17,2)+1))*(VLOOKUP($A83,SatSunCurve,6))*(INDEX(DailyScalarsTable,BT$5/100,MONTH($A83)))*$D83</f>
        <v>-8598.4101573890821</v>
      </c>
      <c r="BU83" s="1021">
        <f>(VLOOKUP(YEAR($A83),'NY East Load Projections'!$A$4:$EO$14,((MONTH($A83)-1)*12)+VLOOKUP(BU$4,$DE$6:$DF$17,2)+1))*(VLOOKUP($A83,SatSunCurve,6))*(INDEX(DailyScalarsTable,BU$5/100,MONTH($A83)))*$D83</f>
        <v>-8612.4797714788401</v>
      </c>
      <c r="BV83" s="1021">
        <f>(VLOOKUP(YEAR($A83),'NY East Load Projections'!$A$4:$EO$14,((MONTH($A83)-1)*12)+VLOOKUP(BV$4,$DE$6:$DF$17,2)+1))*(VLOOKUP($A83,SatSunCurve,6))*(INDEX(DailyScalarsTable,BV$5/100,MONTH($A83)))*$D83</f>
        <v>-8415.2865844753887</v>
      </c>
      <c r="BW83" s="1021">
        <f>(VLOOKUP(YEAR($A83),'NY East Load Projections'!$A$4:$EO$14,((MONTH($A83)-1)*12)+VLOOKUP(BW$4,$DE$6:$DF$17,2)+1))*(VLOOKUP($A83,SatSunCurve,6))*(INDEX(DailyScalarsTable,BW$5/100,MONTH($A83)))*$D83</f>
        <v>-8165.4704464516299</v>
      </c>
      <c r="BX83" s="1021">
        <f>(VLOOKUP(YEAR($A83),'NY East Load Projections'!$A$4:$EO$14,((MONTH($A83)-1)*12)+VLOOKUP(BX$4,$DE$6:$DF$17,2)+1))*(VLOOKUP($A83,SatSunCurve,6))*(INDEX(DailyScalarsTable,BX$5/100,MONTH($A83)))*$D83</f>
        <v>-6972.3052818110837</v>
      </c>
      <c r="BY83" s="1021">
        <f>(VLOOKUP(YEAR($A83),'NY East Load Projections'!$A$4:$EO$14,((MONTH($A83)-1)*12)+VLOOKUP(BY$4,$DE$6:$DF$17,2)+1))*(VLOOKUP($A83,SatSunCurve,6))*(INDEX(DailyScalarsTable,BY$5/100,MONTH($A83)))*$D83</f>
        <v>-5575.3190081692055</v>
      </c>
      <c r="BZ83" s="1021">
        <f>(VLOOKUP(YEAR($A83),'NY East Load Projections'!$A$4:$EO$14,((MONTH($A83)-1)*12)+VLOOKUP(BZ$4,$DE$6:$DF$17,2)+1))*(VLOOKUP($A83,SatSunCurve,6))*(INDEX(DailyScalarsTable,BZ$5/100,MONTH($A83)))*$D83</f>
        <v>-5769.0994181672495</v>
      </c>
      <c r="CA83" s="1021">
        <f>(VLOOKUP(YEAR($A83),'NY East Load Projections'!$A$4:$EO$14,((MONTH($A83)-1)*12)+VLOOKUP(CA$4,$DE$6:$DF$17,2)+1))*(VLOOKUP($A83,SatSunCurve,6))*(INDEX(DailyScalarsTable,CA$5/100,MONTH($A83)))*$D83</f>
        <v>-5878.1609879956577</v>
      </c>
      <c r="CB83" s="1021">
        <f>(VLOOKUP(YEAR($A83),'NY East Load Projections'!$A$4:$EO$14,((MONTH($A83)-1)*12)+VLOOKUP(CB$4,$DE$6:$DF$17,2)+1))*(VLOOKUP($A83,SatSunCurve,6))*(INDEX(DailyScalarsTable,CB$5/100,MONTH($A83)))*$D83</f>
        <v>-4713.6925731348665</v>
      </c>
      <c r="CC83" s="1021">
        <f>(VLOOKUP(YEAR($A83),'NY East Load Projections'!$A$4:$EO$14,((MONTH($A83)-1)*12)+VLOOKUP(CC$4,$DE$6:$DF$17,2)+1))*(VLOOKUP($A83,CURVES!$D$9:$T$261,6))*(INDEX(DailyScalarsTable,CC$5/100,MONTH($A83)))*$D83</f>
        <v>-8854.8559864744493</v>
      </c>
      <c r="CE83" s="1021">
        <f>(VLOOKUP(YEAR($A83),'NY East Load Projections'!$A$4:$EO$14,((MONTH($A83)-1)*12)+VLOOKUP(CE$4,$DE$6:$DF$17,2)+1))*(VLOOKUP($A83,CURVES!$D$9:$T$261,6))*(INDEX(DailyScalarsTable,CE$5/100,MONTH($A83)))*$E83</f>
        <v>0</v>
      </c>
      <c r="CF83" s="1021">
        <f>(VLOOKUP(YEAR($A83),'NY East Load Projections'!$A$4:$EO$14,((MONTH($A83)-1)*12)+VLOOKUP(CF$4,$DE$6:$DF$17,2)+1))*(VLOOKUP($A83,CURVES!$D$9:$T$261,6))*(INDEX(DailyScalarsTable,CF$5/100,MONTH($A83)))*$E83</f>
        <v>0</v>
      </c>
      <c r="CG83" s="1021">
        <f>(VLOOKUP(YEAR($A83),'NY East Load Projections'!$A$4:$EO$14,((MONTH($A83)-1)*12)+VLOOKUP(CG$4,$DE$6:$DF$17,2)+1))*(VLOOKUP($A83,CURVES!$D$9:$T$261,6))*(INDEX(DailyScalarsTable,CG$5/100,MONTH($A83)))*$E83</f>
        <v>0</v>
      </c>
      <c r="CH83" s="1021">
        <f>(VLOOKUP(YEAR($A83),'NY East Load Projections'!$A$4:$EO$14,((MONTH($A83)-1)*12)+VLOOKUP(CH$4,$DE$6:$DF$17,2)+1))*(VLOOKUP($A83,CURVES!$D$9:$T$261,6))*(INDEX(DailyScalarsTable,CH$5/100,MONTH($A83)))*$E83</f>
        <v>0</v>
      </c>
      <c r="CI83" s="1021">
        <f>(VLOOKUP(YEAR($A83),'NY East Load Projections'!$A$4:$EO$14,((MONTH($A83)-1)*12)+VLOOKUP(CI$4,$DE$6:$DF$17,2)+1))*(VLOOKUP($A83,CURVES!$D$9:$T$261,6))*(INDEX(DailyScalarsTable,CI$5/100,MONTH($A83)))*$E83</f>
        <v>0</v>
      </c>
      <c r="CJ83" s="1021">
        <f>(VLOOKUP(YEAR($A83),'NY East Load Projections'!$A$4:$EO$14,((MONTH($A83)-1)*12)+VLOOKUP(CJ$4,$DE$6:$DF$17,2)+1))*(VLOOKUP($A83,CURVES!$D$9:$T$261,6))*(INDEX(DailyScalarsTable,CJ$5/100,MONTH($A83)))*$E83</f>
        <v>0</v>
      </c>
      <c r="CK83" s="1021">
        <f>(VLOOKUP(YEAR($A83),'NY East Load Projections'!$A$4:$EO$14,((MONTH($A83)-1)*12)+VLOOKUP(CK$4,$DE$6:$DF$17,2)+1))*(VLOOKUP($A83,CURVES!$D$9:$T$261,6))*(INDEX(DailyScalarsTable,CK$5/100,MONTH($A83)))*$E83</f>
        <v>0</v>
      </c>
      <c r="CL83" s="1021">
        <f>(VLOOKUP(YEAR($A83),'NY East Load Projections'!$A$4:$EO$14,((MONTH($A83)-1)*12)+VLOOKUP(CL$4,$DE$6:$DF$17,2)+1))*(VLOOKUP($A83,SatSunCurve,6))*(INDEX(DailyScalarsTable,CL$5/100,MONTH($A83)))*$E83</f>
        <v>0</v>
      </c>
      <c r="CM83" s="1021">
        <f>(VLOOKUP(YEAR($A83),'NY East Load Projections'!$A$4:$EO$14,((MONTH($A83)-1)*12)+VLOOKUP(CM$4,$DE$6:$DF$17,2)+1))*(VLOOKUP($A83,SatSunCurve,6))*(INDEX(DailyScalarsTable,CM$5/100,MONTH($A83)))*$E83</f>
        <v>0</v>
      </c>
      <c r="CN83" s="1021">
        <f>(VLOOKUP(YEAR($A83),'NY East Load Projections'!$A$4:$EO$14,((MONTH($A83)-1)*12)+VLOOKUP(CN$4,$DE$6:$DF$17,2)+1))*(VLOOKUP($A83,SatSunCurve,6))*(INDEX(DailyScalarsTable,CN$5/100,MONTH($A83)))*$E83</f>
        <v>0</v>
      </c>
      <c r="CO83" s="1021">
        <f>(VLOOKUP(YEAR($A83),'NY East Load Projections'!$A$4:$EO$14,((MONTH($A83)-1)*12)+VLOOKUP(CO$4,$DE$6:$DF$17,2)+1))*(VLOOKUP($A83,SatSunCurve,6))*(INDEX(DailyScalarsTable,CO$5/100,MONTH($A83)))*$E83</f>
        <v>0</v>
      </c>
      <c r="CP83" s="1021">
        <f>(VLOOKUP(YEAR($A83),'NY East Load Projections'!$A$4:$EO$14,((MONTH($A83)-1)*12)+VLOOKUP(CP$4,$DE$6:$DF$17,2)+1))*(VLOOKUP($A83,SatSunCurve,6))*(INDEX(DailyScalarsTable,CP$5/100,MONTH($A83)))*$E83</f>
        <v>0</v>
      </c>
      <c r="CQ83" s="1021">
        <f>(VLOOKUP(YEAR($A83),'NY East Load Projections'!$A$4:$EO$14,((MONTH($A83)-1)*12)+VLOOKUP(CQ$4,$DE$6:$DF$17,2)+1))*(VLOOKUP($A83,SatSunCurve,6))*(INDEX(DailyScalarsTable,CQ$5/100,MONTH($A83)))*$E83</f>
        <v>0</v>
      </c>
      <c r="CR83" s="1021">
        <f>(VLOOKUP(YEAR($A83),'NY East Load Projections'!$A$4:$EO$14,((MONTH($A83)-1)*12)+VLOOKUP(CR$4,$DE$6:$DF$17,2)+1))*(VLOOKUP($A83,SatSunCurve,6))*(INDEX(DailyScalarsTable,CR$5/100,MONTH($A83)))*$E83</f>
        <v>0</v>
      </c>
      <c r="CS83" s="1021">
        <f>(VLOOKUP(YEAR($A83),'NY East Load Projections'!$A$4:$EO$14,((MONTH($A83)-1)*12)+VLOOKUP(CS$4,$DE$6:$DF$17,2)+1))*(VLOOKUP($A83,SatSunCurve,6))*(INDEX(DailyScalarsTable,CS$5/100,MONTH($A83)))*$E83</f>
        <v>0</v>
      </c>
      <c r="CT83" s="1021">
        <f>(VLOOKUP(YEAR($A83),'NY East Load Projections'!$A$4:$EO$14,((MONTH($A83)-1)*12)+VLOOKUP(CT$4,$DE$6:$DF$17,2)+1))*(VLOOKUP($A83,SatSunCurve,6))*(INDEX(DailyScalarsTable,CT$5/100,MONTH($A83)))*$E83</f>
        <v>0</v>
      </c>
      <c r="CU83" s="1021">
        <f>(VLOOKUP(YEAR($A83),'NY East Load Projections'!$A$4:$EO$14,((MONTH($A83)-1)*12)+VLOOKUP(CU$4,$DE$6:$DF$17,2)+1))*(VLOOKUP($A83,SatSunCurve,6))*(INDEX(DailyScalarsTable,CU$5/100,MONTH($A83)))*$E83</f>
        <v>0</v>
      </c>
      <c r="CV83" s="1021">
        <f>(VLOOKUP(YEAR($A83),'NY East Load Projections'!$A$4:$EO$14,((MONTH($A83)-1)*12)+VLOOKUP(CV$4,$DE$6:$DF$17,2)+1))*(VLOOKUP($A83,SatSunCurve,6))*(INDEX(DailyScalarsTable,CV$5/100,MONTH($A83)))*$E83</f>
        <v>0</v>
      </c>
      <c r="CW83" s="1021">
        <f>(VLOOKUP(YEAR($A83),'NY East Load Projections'!$A$4:$EO$14,((MONTH($A83)-1)*12)+VLOOKUP(CW$4,$DE$6:$DF$17,2)+1))*(VLOOKUP($A83,SatSunCurve,6))*(INDEX(DailyScalarsTable,CW$5/100,MONTH($A83)))*$E83</f>
        <v>0</v>
      </c>
      <c r="CX83" s="1021">
        <f>(VLOOKUP(YEAR($A83),'NY East Load Projections'!$A$4:$EO$14,((MONTH($A83)-1)*12)+VLOOKUP(CX$4,$DE$6:$DF$17,2)+1))*(VLOOKUP($A83,SatSunCurve,6))*(INDEX(DailyScalarsTable,CX$5/100,MONTH($A83)))*$E83</f>
        <v>0</v>
      </c>
      <c r="CY83" s="1021">
        <f>(VLOOKUP(YEAR($A83),'NY East Load Projections'!$A$4:$EO$14,((MONTH($A83)-1)*12)+VLOOKUP(CY$4,$DE$6:$DF$17,2)+1))*(VLOOKUP($A83,SatSunCurve,6))*(INDEX(DailyScalarsTable,CY$5/100,MONTH($A83)))*$E83</f>
        <v>0</v>
      </c>
      <c r="CZ83" s="1021">
        <f>(VLOOKUP(YEAR($A83),'NY East Load Projections'!$A$4:$EO$14,((MONTH($A83)-1)*12)+VLOOKUP(CZ$4,$DE$6:$DF$17,2)+1))*(VLOOKUP($A83,SatSunCurve,6))*(INDEX(DailyScalarsTable,CZ$5/100,MONTH($A83)))*$E83</f>
        <v>0</v>
      </c>
      <c r="DA83" s="1021">
        <f>(VLOOKUP(YEAR($A83),'NY East Load Projections'!$A$4:$EO$14,((MONTH($A83)-1)*12)+VLOOKUP(DA$4,$DE$6:$DF$17,2)+1))*(VLOOKUP($A83,SatSunCurve,6))*(INDEX(DailyScalarsTable,DA$5/100,MONTH($A83)))*$E83</f>
        <v>0</v>
      </c>
      <c r="DB83" s="1021">
        <f>(VLOOKUP(YEAR($A83),'NY East Load Projections'!$A$4:$EO$14,((MONTH($A83)-1)*12)+VLOOKUP(DB$4,$DE$6:$DF$17,2)+1))*(VLOOKUP($A83,CURVES!$D$9:$T$261,6))*(INDEX(DailyScalarsTable,DB$5/100,MONTH($A83)))*$E83</f>
        <v>0</v>
      </c>
      <c r="DH83" s="1021">
        <f t="shared" si="2"/>
        <v>-2207872.6587236738</v>
      </c>
      <c r="DI83">
        <f ca="1">CALC!J103</f>
        <v>0.58609365136337499</v>
      </c>
      <c r="DJ83" s="1029">
        <f t="shared" ca="1" si="3"/>
        <v>-1294020.1482967206</v>
      </c>
    </row>
    <row r="84" spans="1:114" x14ac:dyDescent="0.25">
      <c r="A84" s="244">
        <v>39264</v>
      </c>
      <c r="B84" s="13">
        <v>21</v>
      </c>
      <c r="C84" s="210">
        <v>4</v>
      </c>
      <c r="D84" s="210">
        <v>5</v>
      </c>
      <c r="E84" s="210">
        <v>1</v>
      </c>
      <c r="F84" s="13">
        <v>31</v>
      </c>
      <c r="H84" s="1021">
        <f>(VLOOKUP(YEAR($A84),'NY East Load Projections'!$A$4:$EO$14,((MONTH($A84)-1)*12)+VLOOKUP(H$4,$DE$6:$DF$17,2)+1))*(VLOOKUP($A84,CURVES!$D$9:$K$261,6))*(INDEX(DailyScalarsTable,H$5/100,MONTH($A84)))*$B84</f>
        <v>-47031.117141264629</v>
      </c>
      <c r="I84" s="1021">
        <f>(VLOOKUP(YEAR($A84),'NY East Load Projections'!$A$4:$EO$14,((MONTH($A84)-1)*12)+VLOOKUP(I$4,$DE$6:$DF$17,2)+1))*(VLOOKUP($A84,CURVES!$D$9:$K$261,6))*(INDEX(DailyScalarsTable,I$5/100,MONTH($A84)))*$B84</f>
        <v>-42959.794074249316</v>
      </c>
      <c r="J84" s="1021">
        <f>(VLOOKUP(YEAR($A84),'NY East Load Projections'!$A$4:$EO$14,((MONTH($A84)-1)*12)+VLOOKUP(J$4,$DE$6:$DF$17,2)+1))*(VLOOKUP($A84,CURVES!$D$9:$K$261,6))*(INDEX(DailyScalarsTable,J$5/100,MONTH($A84)))*$B84</f>
        <v>-40933.302187289002</v>
      </c>
      <c r="K84" s="1021">
        <f>(VLOOKUP(YEAR($A84),'NY East Load Projections'!$A$4:$EO$14,((MONTH($A84)-1)*12)+VLOOKUP(K$4,$DE$6:$DF$17,2)+1))*(VLOOKUP($A84,CURVES!$D$9:$K$261,6))*(INDEX(DailyScalarsTable,K$5/100,MONTH($A84)))*$B84</f>
        <v>-36861.979120273689</v>
      </c>
      <c r="L84" s="1021">
        <f>(VLOOKUP(YEAR($A84),'NY East Load Projections'!$A$4:$EO$14,((MONTH($A84)-1)*12)+VLOOKUP(L$4,$DE$6:$DF$17,2)+1))*(VLOOKUP($A84,CURVES!$D$9:$K$261,6))*(INDEX(DailyScalarsTable,L$5/100,MONTH($A84)))*$B84</f>
        <v>-37356.890620847531</v>
      </c>
      <c r="M84" s="1021">
        <f>(VLOOKUP(YEAR($A84),'NY East Load Projections'!$A$4:$EO$14,((MONTH($A84)-1)*12)+VLOOKUP(M$4,$DE$6:$DF$17,2)+1))*(VLOOKUP($A84,CURVES!$D$9:$K$261,6))*(INDEX(DailyScalarsTable,M$5/100,MONTH($A84)))*$B84</f>
        <v>-41184.601373664969</v>
      </c>
      <c r="N84" s="1021">
        <f>(VLOOKUP(YEAR($A84),'NY East Load Projections'!$A$4:$EO$14,((MONTH($A84)-1)*12)+VLOOKUP(N$4,$DE$6:$DF$17,2)+1))*(VLOOKUP($A84,CURVES!$D$9:$K$261,6))*(INDEX(DailyScalarsTable,N$5/100,MONTH($A84)))*$B84</f>
        <v>-45736.738202463217</v>
      </c>
      <c r="O84" s="1021">
        <f>(VLOOKUP(YEAR($A84),'NY East Load Projections'!$A$4:$EO$14,((MONTH($A84)-1)*12)+VLOOKUP(O$4,$DE$6:$DF$17,2)+1))*(VLOOKUP($A84,CURVES!$D$9:$K$261,2))*(INDEX(DailyScalarsTable,O$5/100,MONTH($A84)))*$B84</f>
        <v>-80845.127650638722</v>
      </c>
      <c r="P84" s="1021">
        <f>(VLOOKUP(YEAR($A84),'NY East Load Projections'!$A$4:$EO$14,((MONTH($A84)-1)*12)+VLOOKUP(P$4,$DE$6:$DF$17,2)+1))*(VLOOKUP($A84,CURVES!$D$9:$K$261,2))*(INDEX(DailyScalarsTable,P$5/100,MONTH($A84)))*$B84</f>
        <v>-96730.801653997521</v>
      </c>
      <c r="Q84" s="1021">
        <f>(VLOOKUP(YEAR($A84),'NY East Load Projections'!$A$4:$EO$14,((MONTH($A84)-1)*12)+VLOOKUP(Q$4,$DE$6:$DF$17,2)+1))*(VLOOKUP($A84,CURVES!$D$9:$K$261,2))*(INDEX(DailyScalarsTable,Q$5/100,MONTH($A84)))*$B84</f>
        <v>-115813.28662269395</v>
      </c>
      <c r="R84" s="1021">
        <f>(VLOOKUP(YEAR($A84),'NY East Load Projections'!$A$4:$EO$14,((MONTH($A84)-1)*12)+VLOOKUP(R$4,$DE$6:$DF$17,2)+1))*(VLOOKUP($A84,CURVES!$D$9:$K$261,2))*(INDEX(DailyScalarsTable,R$5/100,MONTH($A84)))*$B84</f>
        <v>-131783.31499749332</v>
      </c>
      <c r="S84" s="1021">
        <f>(VLOOKUP(YEAR($A84),'NY East Load Projections'!$A$4:$EO$14,((MONTH($A84)-1)*12)+VLOOKUP(S$4,$DE$6:$DF$17,2)+1))*(VLOOKUP($A84,CURVES!$D$9:$K$261,2))*(INDEX(DailyScalarsTable,S$5/100,MONTH($A84)))*$B84</f>
        <v>-157552.82461333985</v>
      </c>
      <c r="T84" s="1021">
        <f>(VLOOKUP(YEAR($A84),'NY East Load Projections'!$A$4:$EO$14,((MONTH($A84)-1)*12)+VLOOKUP(T$4,$DE$6:$DF$17,2)+1))*(VLOOKUP($A84,CURVES!$D$9:$K$261,2))*(INDEX(DailyScalarsTable,T$5/100,MONTH($A84)))*$B84</f>
        <v>-176521.45851233223</v>
      </c>
      <c r="U84" s="1021">
        <f>(VLOOKUP(YEAR($A84),'NY East Load Projections'!$A$4:$EO$14,((MONTH($A84)-1)*12)+VLOOKUP(U$4,$DE$6:$DF$17,2)+1))*(VLOOKUP($A84,CURVES!$D$9:$K$261,2))*(INDEX(DailyScalarsTable,U$5/100,MONTH($A84)))*$B84</f>
        <v>-182462.61592938783</v>
      </c>
      <c r="V84" s="1021">
        <f>(VLOOKUP(YEAR($A84),'NY East Load Projections'!$A$4:$EO$14,((MONTH($A84)-1)*12)+VLOOKUP(V$4,$DE$6:$DF$17,2)+1))*(VLOOKUP($A84,CURVES!$D$9:$K$261,2))*(INDEX(DailyScalarsTable,V$5/100,MONTH($A84)))*$B84</f>
        <v>-190061.77076515666</v>
      </c>
      <c r="W84" s="1021">
        <f>(VLOOKUP(YEAR($A84),'NY East Load Projections'!$A$4:$EO$14,((MONTH($A84)-1)*12)+VLOOKUP(W$4,$DE$6:$DF$17,2)+1))*(VLOOKUP($A84,CURVES!$D$9:$K$261,2))*(INDEX(DailyScalarsTable,W$5/100,MONTH($A84)))*$B84</f>
        <v>-201709.20263161694</v>
      </c>
      <c r="X84" s="1021">
        <f>(VLOOKUP(YEAR($A84),'NY East Load Projections'!$A$4:$EO$14,((MONTH($A84)-1)*12)+VLOOKUP(X$4,$DE$6:$DF$17,2)+1))*(VLOOKUP($A84,CURVES!$D$9:$K$261,2))*(INDEX(DailyScalarsTable,X$5/100,MONTH($A84)))*$B84</f>
        <v>-199142.44479878555</v>
      </c>
      <c r="Y84" s="1021">
        <f>(VLOOKUP(YEAR($A84),'NY East Load Projections'!$A$4:$EO$14,((MONTH($A84)-1)*12)+VLOOKUP(Y$4,$DE$6:$DF$17,2)+1))*(VLOOKUP($A84,CURVES!$D$9:$K$261,2))*(INDEX(DailyScalarsTable,Y$5/100,MONTH($A84)))*$B84</f>
        <v>-194207.68137586219</v>
      </c>
      <c r="Z84" s="1021">
        <f>(VLOOKUP(YEAR($A84),'NY East Load Projections'!$A$4:$EO$14,((MONTH($A84)-1)*12)+VLOOKUP(Z$4,$DE$6:$DF$17,2)+1))*(VLOOKUP($A84,CURVES!$D$9:$K$261,2))*(INDEX(DailyScalarsTable,Z$5/100,MONTH($A84)))*$B84</f>
        <v>-162205.2725112128</v>
      </c>
      <c r="AA84" s="1021">
        <f>(VLOOKUP(YEAR($A84),'NY East Load Projections'!$A$4:$EO$14,((MONTH($A84)-1)*12)+VLOOKUP(AA$4,$DE$6:$DF$17,2)+1))*(VLOOKUP($A84,CURVES!$D$9:$K$261,2))*(INDEX(DailyScalarsTable,AA$5/100,MONTH($A84)))*$B84</f>
        <v>-120025.74992069713</v>
      </c>
      <c r="AB84" s="1021">
        <f>(VLOOKUP(YEAR($A84),'NY East Load Projections'!$A$4:$EO$14,((MONTH($A84)-1)*12)+VLOOKUP(AB$4,$DE$6:$DF$17,2)+1))*(VLOOKUP($A84,CURVES!$D$9:$K$261,2))*(INDEX(DailyScalarsTable,AB$5/100,MONTH($A84)))*$B84</f>
        <v>-121623.63520777783</v>
      </c>
      <c r="AC84" s="1021">
        <f>(VLOOKUP(YEAR($A84),'NY East Load Projections'!$A$4:$EO$14,((MONTH($A84)-1)*12)+VLOOKUP(AC$4,$DE$6:$DF$17,2)+1))*(VLOOKUP($A84,CURVES!$D$9:$K$261,2))*(INDEX(DailyScalarsTable,AC$5/100,MONTH($A84)))*$B84</f>
        <v>-128876.7017981883</v>
      </c>
      <c r="AD84" s="1021">
        <f>(VLOOKUP(YEAR($A84),'NY East Load Projections'!$A$4:$EO$14,((MONTH($A84)-1)*12)+VLOOKUP(AD$4,$DE$6:$DF$17,2)+1))*(VLOOKUP($A84,CURVES!$D$9:$K$261,2))*(INDEX(DailyScalarsTable,AD$5/100,MONTH($A84)))*$B84</f>
        <v>-89499.411221196453</v>
      </c>
      <c r="AE84" s="1021">
        <f>(VLOOKUP(YEAR($A84),'NY East Load Projections'!$A$4:$EO$14,((MONTH($A84)-1)*12)+VLOOKUP(AE$4,$DE$6:$DF$17,2)+1))*(VLOOKUP($A84,CURVES!$D$9:$K$261,6))*(INDEX(DailyScalarsTable,AE$5/100,MONTH($A84)))*$B84</f>
        <v>-55511.896026663606</v>
      </c>
      <c r="AF84" s="1021"/>
      <c r="AG84" s="1021">
        <f>(VLOOKUP(YEAR($A84),'NY East Load Projections'!$A$4:$EO$14,((MONTH($A84)-1)*12)+VLOOKUP(AG$4,$DE$6:$DF$17,2)+1))*(VLOOKUP($A84,CURVES!$D$9:$T$261,6))*(INDEX(DailyScalarsTable,AG$5/100,MONTH($A84)))*$C84</f>
        <v>-8563.9534465538436</v>
      </c>
      <c r="AH84" s="1021">
        <f>(VLOOKUP(YEAR($A84),'NY East Load Projections'!$A$4:$EO$14,((MONTH($A84)-1)*12)+VLOOKUP(AH$4,$DE$6:$DF$17,2)+1))*(VLOOKUP($A84,CURVES!$D$9:$T$261,6))*(INDEX(DailyScalarsTable,AH$5/100,MONTH($A84)))*$C84</f>
        <v>-7822.6012667390805</v>
      </c>
      <c r="AI84" s="1021">
        <f>(VLOOKUP(YEAR($A84),'NY East Load Projections'!$A$4:$EO$14,((MONTH($A84)-1)*12)+VLOOKUP(AI$4,$DE$6:$DF$17,2)+1))*(VLOOKUP($A84,CURVES!$D$9:$T$261,6))*(INDEX(DailyScalarsTable,AI$5/100,MONTH($A84)))*$C84</f>
        <v>-7453.5948889484016</v>
      </c>
      <c r="AJ84" s="1021">
        <f>(VLOOKUP(YEAR($A84),'NY East Load Projections'!$A$4:$EO$14,((MONTH($A84)-1)*12)+VLOOKUP(AJ$4,$DE$6:$DF$17,2)+1))*(VLOOKUP($A84,CURVES!$D$9:$T$261,6))*(INDEX(DailyScalarsTable,AJ$5/100,MONTH($A84)))*$C84</f>
        <v>-6712.2427091336394</v>
      </c>
      <c r="AK84" s="1021">
        <f>(VLOOKUP(YEAR($A84),'NY East Load Projections'!$A$4:$EO$14,((MONTH($A84)-1)*12)+VLOOKUP(AK$4,$DE$6:$DF$17,2)+1))*(VLOOKUP($A84,CURVES!$D$9:$T$261,6))*(INDEX(DailyScalarsTable,AK$5/100,MONTH($A84)))*$C84</f>
        <v>-6466.2224809772979</v>
      </c>
      <c r="AL84" s="1021">
        <f>(VLOOKUP(YEAR($A84),'NY East Load Projections'!$A$4:$EO$14,((MONTH($A84)-1)*12)+VLOOKUP(AL$4,$DE$6:$DF$17,2)+1))*(VLOOKUP($A84,CURVES!$D$9:$T$261,6))*(INDEX(DailyScalarsTable,AL$5/100,MONTH($A84)))*$C84</f>
        <v>-7128.7730548929467</v>
      </c>
      <c r="AM84" s="1021">
        <f>(VLOOKUP(YEAR($A84),'NY East Load Projections'!$A$4:$EO$14,((MONTH($A84)-1)*12)+VLOOKUP(AM$4,$DE$6:$DF$17,2)+1))*(VLOOKUP($A84,CURVES!$D$9:$T$261,6))*(INDEX(DailyScalarsTable,AM$5/100,MONTH($A84)))*$C84</f>
        <v>-7916.7168320560613</v>
      </c>
      <c r="AN84" s="1021">
        <f>(VLOOKUP(YEAR($A84),'NY East Load Projections'!$A$4:$EO$14,((MONTH($A84)-1)*12)+VLOOKUP(AN$4,$DE$6:$DF$17,2)+1))*(VLOOKUP($A84,SatSunCurve,2))*(INDEX(DailyScalarsTable,AN$5/100,MONTH($A84)))*$C84</f>
        <v>-7698.9417184687009</v>
      </c>
      <c r="AO84" s="1021">
        <f>(VLOOKUP(YEAR($A84),'NY East Load Projections'!$A$4:$EO$14,((MONTH($A84)-1)*12)+VLOOKUP(AO$4,$DE$6:$DF$17,2)+1))*(VLOOKUP($A84,SatSunCurve,2))*(INDEX(DailyScalarsTable,AO$5/100,MONTH($A84)))*$C84</f>
        <v>-9207.2635758672513</v>
      </c>
      <c r="AP84" s="1021">
        <f>(VLOOKUP(YEAR($A84),'NY East Load Projections'!$A$4:$EO$14,((MONTH($A84)-1)*12)+VLOOKUP(AP$4,$DE$6:$DF$17,2)+1))*(VLOOKUP($A84,SatSunCurve,2))*(INDEX(DailyScalarsTable,AP$5/100,MONTH($A84)))*$C84</f>
        <v>-11023.618509198377</v>
      </c>
      <c r="AQ84" s="1021">
        <f>(VLOOKUP(YEAR($A84),'NY East Load Projections'!$A$4:$EO$14,((MONTH($A84)-1)*12)+VLOOKUP(AQ$4,$DE$6:$DF$17,2)+1))*(VLOOKUP($A84,SatSunCurve,2))*(INDEX(DailyScalarsTable,AQ$5/100,MONTH($A84)))*$C84</f>
        <v>-12543.716120782474</v>
      </c>
      <c r="AR84" s="1021">
        <f>(VLOOKUP(YEAR($A84),'NY East Load Projections'!$A$4:$EO$14,((MONTH($A84)-1)*12)+VLOOKUP(AR$4,$DE$6:$DF$17,2)+1))*(VLOOKUP($A84,SatSunCurve,2))*(INDEX(DailyScalarsTable,AR$5/100,MONTH($A84)))*$C84</f>
        <v>-14996.571500836479</v>
      </c>
      <c r="AS84" s="1021">
        <f>(VLOOKUP(YEAR($A84),'NY East Load Projections'!$A$4:$EO$14,((MONTH($A84)-1)*12)+VLOOKUP(AS$4,$DE$6:$DF$17,2)+1))*(VLOOKUP($A84,SatSunCurve,2))*(INDEX(DailyScalarsTable,AS$5/100,MONTH($A84)))*$C84</f>
        <v>-16996.763968187675</v>
      </c>
      <c r="AT84" s="1021">
        <f>(VLOOKUP(YEAR($A84),'NY East Load Projections'!$A$4:$EO$14,((MONTH($A84)-1)*12)+VLOOKUP(AT$4,$DE$6:$DF$17,2)+1))*(VLOOKUP($A84,SatSunCurve,2))*(INDEX(DailyScalarsTable,AT$5/100,MONTH($A84)))*$C84</f>
        <v>-17568.821615833313</v>
      </c>
      <c r="AU84" s="1021">
        <f>(VLOOKUP(YEAR($A84),'NY East Load Projections'!$A$4:$EO$14,((MONTH($A84)-1)*12)+VLOOKUP(AU$4,$DE$6:$DF$17,2)+1))*(VLOOKUP($A84,SatSunCurve,2))*(INDEX(DailyScalarsTable,AU$5/100,MONTH($A84)))*$C84</f>
        <v>-18300.523258170757</v>
      </c>
      <c r="AV84" s="1021">
        <f>(VLOOKUP(YEAR($A84),'NY East Load Projections'!$A$4:$EO$14,((MONTH($A84)-1)*12)+VLOOKUP(AV$4,$DE$6:$DF$17,2)+1))*(VLOOKUP($A84,SatSunCurve,2))*(INDEX(DailyScalarsTable,AV$5/100,MONTH($A84)))*$C84</f>
        <v>-19422.022320880704</v>
      </c>
      <c r="AW84" s="1021">
        <f>(VLOOKUP(YEAR($A84),'NY East Load Projections'!$A$4:$EO$14,((MONTH($A84)-1)*12)+VLOOKUP(AW$4,$DE$6:$DF$17,2)+1))*(VLOOKUP($A84,SatSunCurve,2))*(INDEX(DailyScalarsTable,AW$5/100,MONTH($A84)))*$C84</f>
        <v>-19057.587411104243</v>
      </c>
      <c r="AX84" s="1021">
        <f>(VLOOKUP(YEAR($A84),'NY East Load Projections'!$A$4:$EO$14,((MONTH($A84)-1)*12)+VLOOKUP(AX$4,$DE$6:$DF$17,2)+1))*(VLOOKUP($A84,SatSunCurve,2))*(INDEX(DailyScalarsTable,AX$5/100,MONTH($A84)))*$C84</f>
        <v>-18585.339089655216</v>
      </c>
      <c r="AY84" s="1021">
        <f>(VLOOKUP(YEAR($A84),'NY East Load Projections'!$A$4:$EO$14,((MONTH($A84)-1)*12)+VLOOKUP(AY$4,$DE$6:$DF$17,2)+1))*(VLOOKUP($A84,SatSunCurve,2))*(INDEX(DailyScalarsTable,AY$5/100,MONTH($A84)))*$C84</f>
        <v>-15522.763931857051</v>
      </c>
      <c r="AZ84" s="1021">
        <f>(VLOOKUP(YEAR($A84),'NY East Load Projections'!$A$4:$EO$14,((MONTH($A84)-1)*12)+VLOOKUP(AZ$4,$DE$6:$DF$17,2)+1))*(VLOOKUP($A84,SatSunCurve,2))*(INDEX(DailyScalarsTable,AZ$5/100,MONTH($A84)))*$C84</f>
        <v>-11486.256598929594</v>
      </c>
      <c r="BA84" s="1021">
        <f>(VLOOKUP(YEAR($A84),'NY East Load Projections'!$A$4:$EO$14,((MONTH($A84)-1)*12)+VLOOKUP(BA$4,$DE$6:$DF$17,2)+1))*(VLOOKUP($A84,SatSunCurve,2))*(INDEX(DailyScalarsTable,BA$5/100,MONTH($A84)))*$C84</f>
        <v>-12074.031493775266</v>
      </c>
      <c r="BB84" s="1021">
        <f>(VLOOKUP(YEAR($A84),'NY East Load Projections'!$A$4:$EO$14,((MONTH($A84)-1)*12)+VLOOKUP(BB$4,$DE$6:$DF$17,2)+1))*(VLOOKUP($A84,SatSunCurve,2))*(INDEX(DailyScalarsTable,BB$5/100,MONTH($A84)))*$C84</f>
        <v>-12794.070442532693</v>
      </c>
      <c r="BC84" s="1021">
        <f>(VLOOKUP(YEAR($A84),'NY East Load Projections'!$A$4:$EO$14,((MONTH($A84)-1)*12)+VLOOKUP(BC$4,$DE$6:$DF$17,2)+1))*(VLOOKUP($A84,SatSunCurve,2))*(INDEX(DailyScalarsTable,BC$5/100,MONTH($A84)))*$C84</f>
        <v>-8884.9400687043744</v>
      </c>
      <c r="BD84" s="1021">
        <f>(VLOOKUP(YEAR($A84),'NY East Load Projections'!$A$4:$EO$14,((MONTH($A84)-1)*12)+VLOOKUP(BD$4,$DE$6:$DF$17,2)+1))*(VLOOKUP($A84,CURVES!$D$9:$T$261,6))*(INDEX(DailyScalarsTable,BD$5/100,MONTH($A84)))*$C84</f>
        <v>-10016.664482555807</v>
      </c>
      <c r="BE84" s="1021"/>
      <c r="BF84" s="1021">
        <f>(VLOOKUP(YEAR($A84),'NY East Load Projections'!$A$4:$EO$14,((MONTH($A84)-1)*12)+VLOOKUP(BF$4,$DE$6:$DF$17,2)+1))*(VLOOKUP($A84,CURVES!$D$9:$T$261,6))*(INDEX(DailyScalarsTable,BF$5/100,MONTH($A84)))*$D84</f>
        <v>-10704.941808192305</v>
      </c>
      <c r="BG84" s="1021">
        <f>(VLOOKUP(YEAR($A84),'NY East Load Projections'!$A$4:$EO$14,((MONTH($A84)-1)*12)+VLOOKUP(BG$4,$DE$6:$DF$17,2)+1))*(VLOOKUP($A84,CURVES!$D$9:$T$261,6))*(INDEX(DailyScalarsTable,BG$5/100,MONTH($A84)))*$D84</f>
        <v>-9778.2515834238511</v>
      </c>
      <c r="BH84" s="1021">
        <f>(VLOOKUP(YEAR($A84),'NY East Load Projections'!$A$4:$EO$14,((MONTH($A84)-1)*12)+VLOOKUP(BH$4,$DE$6:$DF$17,2)+1))*(VLOOKUP($A84,CURVES!$D$9:$T$261,6))*(INDEX(DailyScalarsTable,BH$5/100,MONTH($A84)))*$D84</f>
        <v>-9316.9936111855022</v>
      </c>
      <c r="BI84" s="1021">
        <f>(VLOOKUP(YEAR($A84),'NY East Load Projections'!$A$4:$EO$14,((MONTH($A84)-1)*12)+VLOOKUP(BI$4,$DE$6:$DF$17,2)+1))*(VLOOKUP($A84,CURVES!$D$9:$T$261,6))*(INDEX(DailyScalarsTable,BI$5/100,MONTH($A84)))*$D84</f>
        <v>-8390.3033864170502</v>
      </c>
      <c r="BJ84" s="1021">
        <f>(VLOOKUP(YEAR($A84),'NY East Load Projections'!$A$4:$EO$14,((MONTH($A84)-1)*12)+VLOOKUP(BJ$4,$DE$6:$DF$17,2)+1))*(VLOOKUP($A84,CURVES!$D$9:$T$261,6))*(INDEX(DailyScalarsTable,BJ$5/100,MONTH($A84)))*$D84</f>
        <v>-8082.7781012216219</v>
      </c>
      <c r="BK84" s="1021">
        <f>(VLOOKUP(YEAR($A84),'NY East Load Projections'!$A$4:$EO$14,((MONTH($A84)-1)*12)+VLOOKUP(BK$4,$DE$6:$DF$17,2)+1))*(VLOOKUP($A84,CURVES!$D$9:$T$261,6))*(INDEX(DailyScalarsTable,BK$5/100,MONTH($A84)))*$D84</f>
        <v>-8910.9663186161833</v>
      </c>
      <c r="BL84" s="1021">
        <f>(VLOOKUP(YEAR($A84),'NY East Load Projections'!$A$4:$EO$14,((MONTH($A84)-1)*12)+VLOOKUP(BL$4,$DE$6:$DF$17,2)+1))*(VLOOKUP($A84,CURVES!$D$9:$T$261,6))*(INDEX(DailyScalarsTable,BL$5/100,MONTH($A84)))*$D84</f>
        <v>-9895.8960400700762</v>
      </c>
      <c r="BM84" s="1021">
        <f>(VLOOKUP(YEAR($A84),'NY East Load Projections'!$A$4:$EO$14,((MONTH($A84)-1)*12)+VLOOKUP(BM$4,$DE$6:$DF$17,2)+1))*(VLOOKUP($A84,SatSunCurve,6))*(INDEX(DailyScalarsTable,BM$5/100,MONTH($A84)))*$D84</f>
        <v>-6956.4518982187838</v>
      </c>
      <c r="BN84" s="1021">
        <f>(VLOOKUP(YEAR($A84),'NY East Load Projections'!$A$4:$EO$14,((MONTH($A84)-1)*12)+VLOOKUP(BN$4,$DE$6:$DF$17,2)+1))*(VLOOKUP($A84,SatSunCurve,6))*(INDEX(DailyScalarsTable,BN$5/100,MONTH($A84)))*$D84</f>
        <v>-8319.3104353674407</v>
      </c>
      <c r="BO84" s="1021">
        <f>(VLOOKUP(YEAR($A84),'NY East Load Projections'!$A$4:$EO$14,((MONTH($A84)-1)*12)+VLOOKUP(BO$4,$DE$6:$DF$17,2)+1))*(VLOOKUP($A84,SatSunCurve,6))*(INDEX(DailyScalarsTable,BO$5/100,MONTH($A84)))*$D84</f>
        <v>-9960.4951833308933</v>
      </c>
      <c r="BP84" s="1021">
        <f>(VLOOKUP(YEAR($A84),'NY East Load Projections'!$A$4:$EO$14,((MONTH($A84)-1)*12)+VLOOKUP(BP$4,$DE$6:$DF$17,2)+1))*(VLOOKUP($A84,SatSunCurve,6))*(INDEX(DailyScalarsTable,BP$5/100,MONTH($A84)))*$D84</f>
        <v>-11333.993814995463</v>
      </c>
      <c r="BQ84" s="1021">
        <f>(VLOOKUP(YEAR($A84),'NY East Load Projections'!$A$4:$EO$14,((MONTH($A84)-1)*12)+VLOOKUP(BQ$4,$DE$6:$DF$17,2)+1))*(VLOOKUP($A84,SatSunCurve,6))*(INDEX(DailyScalarsTable,BQ$5/100,MONTH($A84)))*$D84</f>
        <v>-13550.294585749532</v>
      </c>
      <c r="BR84" s="1021">
        <f>(VLOOKUP(YEAR($A84),'NY East Load Projections'!$A$4:$EO$14,((MONTH($A84)-1)*12)+VLOOKUP(BR$4,$DE$6:$DF$17,2)+1))*(VLOOKUP($A84,SatSunCurve,6))*(INDEX(DailyScalarsTable,BR$5/100,MONTH($A84)))*$D84</f>
        <v>-15357.587483282421</v>
      </c>
      <c r="BS84" s="1021">
        <f>(VLOOKUP(YEAR($A84),'NY East Load Projections'!$A$4:$EO$14,((MONTH($A84)-1)*12)+VLOOKUP(BS$4,$DE$6:$DF$17,2)+1))*(VLOOKUP($A84,SatSunCurve,6))*(INDEX(DailyScalarsTable,BS$5/100,MONTH($A84)))*$D84</f>
        <v>-15874.475603023453</v>
      </c>
      <c r="BT84" s="1021">
        <f>(VLOOKUP(YEAR($A84),'NY East Load Projections'!$A$4:$EO$14,((MONTH($A84)-1)*12)+VLOOKUP(BT$4,$DE$6:$DF$17,2)+1))*(VLOOKUP($A84,SatSunCurve,6))*(INDEX(DailyScalarsTable,BT$5/100,MONTH($A84)))*$D84</f>
        <v>-16535.611570134071</v>
      </c>
      <c r="BU84" s="1021">
        <f>(VLOOKUP(YEAR($A84),'NY East Load Projections'!$A$4:$EO$14,((MONTH($A84)-1)*12)+VLOOKUP(BU$4,$DE$6:$DF$17,2)+1))*(VLOOKUP($A84,SatSunCurve,6))*(INDEX(DailyScalarsTable,BU$5/100,MONTH($A84)))*$D84</f>
        <v>-17548.95269790545</v>
      </c>
      <c r="BV84" s="1021">
        <f>(VLOOKUP(YEAR($A84),'NY East Load Projections'!$A$4:$EO$14,((MONTH($A84)-1)*12)+VLOOKUP(BV$4,$DE$6:$DF$17,2)+1))*(VLOOKUP($A84,SatSunCurve,6))*(INDEX(DailyScalarsTable,BV$5/100,MONTH($A84)))*$D84</f>
        <v>-17219.664074533994</v>
      </c>
      <c r="BW84" s="1021">
        <f>(VLOOKUP(YEAR($A84),'NY East Load Projections'!$A$4:$EO$14,((MONTH($A84)-1)*12)+VLOOKUP(BW$4,$DE$6:$DF$17,2)+1))*(VLOOKUP($A84,SatSunCurve,6))*(INDEX(DailyScalarsTable,BW$5/100,MONTH($A84)))*$D84</f>
        <v>-16792.959619258789</v>
      </c>
      <c r="BX84" s="1021">
        <f>(VLOOKUP(YEAR($A84),'NY East Load Projections'!$A$4:$EO$14,((MONTH($A84)-1)*12)+VLOOKUP(BX$4,$DE$6:$DF$17,2)+1))*(VLOOKUP($A84,SatSunCurve,6))*(INDEX(DailyScalarsTable,BX$5/100,MONTH($A84)))*$D84</f>
        <v>-14025.740753476783</v>
      </c>
      <c r="BY84" s="1021">
        <f>(VLOOKUP(YEAR($A84),'NY East Load Projections'!$A$4:$EO$14,((MONTH($A84)-1)*12)+VLOOKUP(BY$4,$DE$6:$DF$17,2)+1))*(VLOOKUP($A84,SatSunCurve,6))*(INDEX(DailyScalarsTable,BY$5/100,MONTH($A84)))*$D84</f>
        <v>-10378.516222479524</v>
      </c>
      <c r="BZ84" s="1021">
        <f>(VLOOKUP(YEAR($A84),'NY East Load Projections'!$A$4:$EO$14,((MONTH($A84)-1)*12)+VLOOKUP(BZ$4,$DE$6:$DF$17,2)+1))*(VLOOKUP($A84,SatSunCurve,6))*(INDEX(DailyScalarsTable,BZ$5/100,MONTH($A84)))*$D84</f>
        <v>-10909.605810177791</v>
      </c>
      <c r="CA84" s="1021">
        <f>(VLOOKUP(YEAR($A84),'NY East Load Projections'!$A$4:$EO$14,((MONTH($A84)-1)*12)+VLOOKUP(CA$4,$DE$6:$DF$17,2)+1))*(VLOOKUP($A84,SatSunCurve,6))*(INDEX(DailyScalarsTable,CA$5/100,MONTH($A84)))*$D84</f>
        <v>-11560.203839756241</v>
      </c>
      <c r="CB84" s="1021">
        <f>(VLOOKUP(YEAR($A84),'NY East Load Projections'!$A$4:$EO$14,((MONTH($A84)-1)*12)+VLOOKUP(CB$4,$DE$6:$DF$17,2)+1))*(VLOOKUP($A84,SatSunCurve,6))*(INDEX(DailyScalarsTable,CB$5/100,MONTH($A84)))*$D84</f>
        <v>-8028.0719697137874</v>
      </c>
      <c r="CC84" s="1021">
        <f>(VLOOKUP(YEAR($A84),'NY East Load Projections'!$A$4:$EO$14,((MONTH($A84)-1)*12)+VLOOKUP(CC$4,$DE$6:$DF$17,2)+1))*(VLOOKUP($A84,CURVES!$D$9:$T$261,6))*(INDEX(DailyScalarsTable,CC$5/100,MONTH($A84)))*$D84</f>
        <v>-12520.830603194758</v>
      </c>
      <c r="CE84" s="1021">
        <f>(VLOOKUP(YEAR($A84),'NY East Load Projections'!$A$4:$EO$14,((MONTH($A84)-1)*12)+VLOOKUP(CE$4,$DE$6:$DF$17,2)+1))*(VLOOKUP($A84,CURVES!$D$9:$T$261,6))*(INDEX(DailyScalarsTable,CE$5/100,MONTH($A84)))*$E84</f>
        <v>-2140.9883616384609</v>
      </c>
      <c r="CF84" s="1021">
        <f>(VLOOKUP(YEAR($A84),'NY East Load Projections'!$A$4:$EO$14,((MONTH($A84)-1)*12)+VLOOKUP(CF$4,$DE$6:$DF$17,2)+1))*(VLOOKUP($A84,CURVES!$D$9:$T$261,6))*(INDEX(DailyScalarsTable,CF$5/100,MONTH($A84)))*$E84</f>
        <v>-1955.6503166847701</v>
      </c>
      <c r="CG84" s="1021">
        <f>(VLOOKUP(YEAR($A84),'NY East Load Projections'!$A$4:$EO$14,((MONTH($A84)-1)*12)+VLOOKUP(CG$4,$DE$6:$DF$17,2)+1))*(VLOOKUP($A84,CURVES!$D$9:$T$261,6))*(INDEX(DailyScalarsTable,CG$5/100,MONTH($A84)))*$E84</f>
        <v>-1863.3987222371004</v>
      </c>
      <c r="CH84" s="1021">
        <f>(VLOOKUP(YEAR($A84),'NY East Load Projections'!$A$4:$EO$14,((MONTH($A84)-1)*12)+VLOOKUP(CH$4,$DE$6:$DF$17,2)+1))*(VLOOKUP($A84,CURVES!$D$9:$T$261,6))*(INDEX(DailyScalarsTable,CH$5/100,MONTH($A84)))*$E84</f>
        <v>-1678.0606772834099</v>
      </c>
      <c r="CI84" s="1021">
        <f>(VLOOKUP(YEAR($A84),'NY East Load Projections'!$A$4:$EO$14,((MONTH($A84)-1)*12)+VLOOKUP(CI$4,$DE$6:$DF$17,2)+1))*(VLOOKUP($A84,CURVES!$D$9:$T$261,6))*(INDEX(DailyScalarsTable,CI$5/100,MONTH($A84)))*$E84</f>
        <v>-1616.5556202443245</v>
      </c>
      <c r="CJ84" s="1021">
        <f>(VLOOKUP(YEAR($A84),'NY East Load Projections'!$A$4:$EO$14,((MONTH($A84)-1)*12)+VLOOKUP(CJ$4,$DE$6:$DF$17,2)+1))*(VLOOKUP($A84,CURVES!$D$9:$T$261,6))*(INDEX(DailyScalarsTable,CJ$5/100,MONTH($A84)))*$E84</f>
        <v>-1782.1932637232367</v>
      </c>
      <c r="CK84" s="1021">
        <f>(VLOOKUP(YEAR($A84),'NY East Load Projections'!$A$4:$EO$14,((MONTH($A84)-1)*12)+VLOOKUP(CK$4,$DE$6:$DF$17,2)+1))*(VLOOKUP($A84,CURVES!$D$9:$T$261,6))*(INDEX(DailyScalarsTable,CK$5/100,MONTH($A84)))*$E84</f>
        <v>-1979.1792080140153</v>
      </c>
      <c r="CL84" s="1021">
        <f>(VLOOKUP(YEAR($A84),'NY East Load Projections'!$A$4:$EO$14,((MONTH($A84)-1)*12)+VLOOKUP(CL$4,$DE$6:$DF$17,2)+1))*(VLOOKUP($A84,SatSunCurve,6))*(INDEX(DailyScalarsTable,CL$5/100,MONTH($A84)))*$E84</f>
        <v>-1391.2903796437568</v>
      </c>
      <c r="CM84" s="1021">
        <f>(VLOOKUP(YEAR($A84),'NY East Load Projections'!$A$4:$EO$14,((MONTH($A84)-1)*12)+VLOOKUP(CM$4,$DE$6:$DF$17,2)+1))*(VLOOKUP($A84,SatSunCurve,6))*(INDEX(DailyScalarsTable,CM$5/100,MONTH($A84)))*$E84</f>
        <v>-1663.8620870734883</v>
      </c>
      <c r="CN84" s="1021">
        <f>(VLOOKUP(YEAR($A84),'NY East Load Projections'!$A$4:$EO$14,((MONTH($A84)-1)*12)+VLOOKUP(CN$4,$DE$6:$DF$17,2)+1))*(VLOOKUP($A84,SatSunCurve,6))*(INDEX(DailyScalarsTable,CN$5/100,MONTH($A84)))*$E84</f>
        <v>-1992.0990366661788</v>
      </c>
      <c r="CO84" s="1021">
        <f>(VLOOKUP(YEAR($A84),'NY East Load Projections'!$A$4:$EO$14,((MONTH($A84)-1)*12)+VLOOKUP(CO$4,$DE$6:$DF$17,2)+1))*(VLOOKUP($A84,SatSunCurve,6))*(INDEX(DailyScalarsTable,CO$5/100,MONTH($A84)))*$E84</f>
        <v>-2266.7987629990926</v>
      </c>
      <c r="CP84" s="1021">
        <f>(VLOOKUP(YEAR($A84),'NY East Load Projections'!$A$4:$EO$14,((MONTH($A84)-1)*12)+VLOOKUP(CP$4,$DE$6:$DF$17,2)+1))*(VLOOKUP($A84,SatSunCurve,6))*(INDEX(DailyScalarsTable,CP$5/100,MONTH($A84)))*$E84</f>
        <v>-2710.0589171499064</v>
      </c>
      <c r="CQ84" s="1021">
        <f>(VLOOKUP(YEAR($A84),'NY East Load Projections'!$A$4:$EO$14,((MONTH($A84)-1)*12)+VLOOKUP(CQ$4,$DE$6:$DF$17,2)+1))*(VLOOKUP($A84,SatSunCurve,6))*(INDEX(DailyScalarsTable,CQ$5/100,MONTH($A84)))*$E84</f>
        <v>-3071.5174966564841</v>
      </c>
      <c r="CR84" s="1021">
        <f>(VLOOKUP(YEAR($A84),'NY East Load Projections'!$A$4:$EO$14,((MONTH($A84)-1)*12)+VLOOKUP(CR$4,$DE$6:$DF$17,2)+1))*(VLOOKUP($A84,SatSunCurve,6))*(INDEX(DailyScalarsTable,CR$5/100,MONTH($A84)))*$E84</f>
        <v>-3174.8951206046904</v>
      </c>
      <c r="CS84" s="1021">
        <f>(VLOOKUP(YEAR($A84),'NY East Load Projections'!$A$4:$EO$14,((MONTH($A84)-1)*12)+VLOOKUP(CS$4,$DE$6:$DF$17,2)+1))*(VLOOKUP($A84,SatSunCurve,6))*(INDEX(DailyScalarsTable,CS$5/100,MONTH($A84)))*$E84</f>
        <v>-3307.1223140268144</v>
      </c>
      <c r="CT84" s="1021">
        <f>(VLOOKUP(YEAR($A84),'NY East Load Projections'!$A$4:$EO$14,((MONTH($A84)-1)*12)+VLOOKUP(CT$4,$DE$6:$DF$17,2)+1))*(VLOOKUP($A84,SatSunCurve,6))*(INDEX(DailyScalarsTable,CT$5/100,MONTH($A84)))*$E84</f>
        <v>-3509.7905395810903</v>
      </c>
      <c r="CU84" s="1021">
        <f>(VLOOKUP(YEAR($A84),'NY East Load Projections'!$A$4:$EO$14,((MONTH($A84)-1)*12)+VLOOKUP(CU$4,$DE$6:$DF$17,2)+1))*(VLOOKUP($A84,SatSunCurve,6))*(INDEX(DailyScalarsTable,CU$5/100,MONTH($A84)))*$E84</f>
        <v>-3443.9328149067987</v>
      </c>
      <c r="CV84" s="1021">
        <f>(VLOOKUP(YEAR($A84),'NY East Load Projections'!$A$4:$EO$14,((MONTH($A84)-1)*12)+VLOOKUP(CV$4,$DE$6:$DF$17,2)+1))*(VLOOKUP($A84,SatSunCurve,6))*(INDEX(DailyScalarsTable,CV$5/100,MONTH($A84)))*$E84</f>
        <v>-3358.5919238517577</v>
      </c>
      <c r="CW84" s="1021">
        <f>(VLOOKUP(YEAR($A84),'NY East Load Projections'!$A$4:$EO$14,((MONTH($A84)-1)*12)+VLOOKUP(CW$4,$DE$6:$DF$17,2)+1))*(VLOOKUP($A84,SatSunCurve,6))*(INDEX(DailyScalarsTable,CW$5/100,MONTH($A84)))*$E84</f>
        <v>-2805.1481506953564</v>
      </c>
      <c r="CX84" s="1021">
        <f>(VLOOKUP(YEAR($A84),'NY East Load Projections'!$A$4:$EO$14,((MONTH($A84)-1)*12)+VLOOKUP(CX$4,$DE$6:$DF$17,2)+1))*(VLOOKUP($A84,SatSunCurve,6))*(INDEX(DailyScalarsTable,CX$5/100,MONTH($A84)))*$E84</f>
        <v>-2075.703244495905</v>
      </c>
      <c r="CY84" s="1021">
        <f>(VLOOKUP(YEAR($A84),'NY East Load Projections'!$A$4:$EO$14,((MONTH($A84)-1)*12)+VLOOKUP(CY$4,$DE$6:$DF$17,2)+1))*(VLOOKUP($A84,SatSunCurve,6))*(INDEX(DailyScalarsTable,CY$5/100,MONTH($A84)))*$E84</f>
        <v>-2181.9211620355582</v>
      </c>
      <c r="CZ84" s="1021">
        <f>(VLOOKUP(YEAR($A84),'NY East Load Projections'!$A$4:$EO$14,((MONTH($A84)-1)*12)+VLOOKUP(CZ$4,$DE$6:$DF$17,2)+1))*(VLOOKUP($A84,SatSunCurve,6))*(INDEX(DailyScalarsTable,CZ$5/100,MONTH($A84)))*$E84</f>
        <v>-2312.0407679512482</v>
      </c>
      <c r="DA84" s="1021">
        <f>(VLOOKUP(YEAR($A84),'NY East Load Projections'!$A$4:$EO$14,((MONTH($A84)-1)*12)+VLOOKUP(DA$4,$DE$6:$DF$17,2)+1))*(VLOOKUP($A84,SatSunCurve,6))*(INDEX(DailyScalarsTable,DA$5/100,MONTH($A84)))*$E84</f>
        <v>-1605.6143939427575</v>
      </c>
      <c r="DB84" s="1021">
        <f>(VLOOKUP(YEAR($A84),'NY East Load Projections'!$A$4:$EO$14,((MONTH($A84)-1)*12)+VLOOKUP(DB$4,$DE$6:$DF$17,2)+1))*(VLOOKUP($A84,CURVES!$D$9:$T$261,6))*(INDEX(DailyScalarsTable,DB$5/100,MONTH($A84)))*$E84</f>
        <v>-2504.1661206389517</v>
      </c>
      <c r="DH84" s="1021">
        <f t="shared" si="2"/>
        <v>-3323225.0961602079</v>
      </c>
      <c r="DI84">
        <f ca="1">CALC!J104</f>
        <v>0.58244205146161265</v>
      </c>
      <c r="DJ84" s="1029">
        <f t="shared" ca="1" si="3"/>
        <v>-1935586.0424762664</v>
      </c>
    </row>
    <row r="85" spans="1:114" x14ac:dyDescent="0.25">
      <c r="A85" s="244">
        <v>39295</v>
      </c>
      <c r="B85" s="13">
        <v>23</v>
      </c>
      <c r="C85" s="210">
        <v>4</v>
      </c>
      <c r="D85" s="210">
        <v>4</v>
      </c>
      <c r="E85" s="210">
        <v>0</v>
      </c>
      <c r="F85" s="13">
        <v>31</v>
      </c>
      <c r="H85" s="1021">
        <f>(VLOOKUP(YEAR($A85),'NY East Load Projections'!$A$4:$EO$14,((MONTH($A85)-1)*12)+VLOOKUP(H$4,$DE$6:$DF$17,2)+1))*(VLOOKUP($A85,CURVES!$D$9:$K$261,6))*(INDEX(DailyScalarsTable,H$5/100,MONTH($A85)))*$B85</f>
        <v>-52232.20094354621</v>
      </c>
      <c r="I85" s="1021">
        <f>(VLOOKUP(YEAR($A85),'NY East Load Projections'!$A$4:$EO$14,((MONTH($A85)-1)*12)+VLOOKUP(I$4,$DE$6:$DF$17,2)+1))*(VLOOKUP($A85,CURVES!$D$9:$K$261,6))*(INDEX(DailyScalarsTable,I$5/100,MONTH($A85)))*$B85</f>
        <v>-47150.922660387805</v>
      </c>
      <c r="J85" s="1021">
        <f>(VLOOKUP(YEAR($A85),'NY East Load Projections'!$A$4:$EO$14,((MONTH($A85)-1)*12)+VLOOKUP(J$4,$DE$6:$DF$17,2)+1))*(VLOOKUP($A85,CURVES!$D$9:$K$261,6))*(INDEX(DailyScalarsTable,J$5/100,MONTH($A85)))*$B85</f>
        <v>-42343.985692986782</v>
      </c>
      <c r="K85" s="1021">
        <f>(VLOOKUP(YEAR($A85),'NY East Load Projections'!$A$4:$EO$14,((MONTH($A85)-1)*12)+VLOOKUP(K$4,$DE$6:$DF$17,2)+1))*(VLOOKUP($A85,CURVES!$D$9:$K$261,6))*(INDEX(DailyScalarsTable,K$5/100,MONTH($A85)))*$B85</f>
        <v>-39839.130201288957</v>
      </c>
      <c r="L85" s="1021">
        <f>(VLOOKUP(YEAR($A85),'NY East Load Projections'!$A$4:$EO$14,((MONTH($A85)-1)*12)+VLOOKUP(L$4,$DE$6:$DF$17,2)+1))*(VLOOKUP($A85,CURVES!$D$9:$K$261,6))*(INDEX(DailyScalarsTable,L$5/100,MONTH($A85)))*$B85</f>
        <v>-44008.894386331922</v>
      </c>
      <c r="M85" s="1021">
        <f>(VLOOKUP(YEAR($A85),'NY East Load Projections'!$A$4:$EO$14,((MONTH($A85)-1)*12)+VLOOKUP(M$4,$DE$6:$DF$17,2)+1))*(VLOOKUP($A85,CURVES!$D$9:$K$261,6))*(INDEX(DailyScalarsTable,M$5/100,MONTH($A85)))*$B85</f>
        <v>-48895.950728627249</v>
      </c>
      <c r="N85" s="1021">
        <f>(VLOOKUP(YEAR($A85),'NY East Load Projections'!$A$4:$EO$14,((MONTH($A85)-1)*12)+VLOOKUP(N$4,$DE$6:$DF$17,2)+1))*(VLOOKUP($A85,CURVES!$D$9:$K$261,6))*(INDEX(DailyScalarsTable,N$5/100,MONTH($A85)))*$B85</f>
        <v>-56892.952016019532</v>
      </c>
      <c r="O85" s="1021">
        <f>(VLOOKUP(YEAR($A85),'NY East Load Projections'!$A$4:$EO$14,((MONTH($A85)-1)*12)+VLOOKUP(O$4,$DE$6:$DF$17,2)+1))*(VLOOKUP($A85,CURVES!$D$9:$K$261,2))*(INDEX(DailyScalarsTable,O$5/100,MONTH($A85)))*$B85</f>
        <v>-95083.679483494911</v>
      </c>
      <c r="P85" s="1021">
        <f>(VLOOKUP(YEAR($A85),'NY East Load Projections'!$A$4:$EO$14,((MONTH($A85)-1)*12)+VLOOKUP(P$4,$DE$6:$DF$17,2)+1))*(VLOOKUP($A85,CURVES!$D$9:$K$261,2))*(INDEX(DailyScalarsTable,P$5/100,MONTH($A85)))*$B85</f>
        <v>-112898.14798806033</v>
      </c>
      <c r="Q85" s="1021">
        <f>(VLOOKUP(YEAR($A85),'NY East Load Projections'!$A$4:$EO$14,((MONTH($A85)-1)*12)+VLOOKUP(Q$4,$DE$6:$DF$17,2)+1))*(VLOOKUP($A85,CURVES!$D$9:$K$261,2))*(INDEX(DailyScalarsTable,Q$5/100,MONTH($A85)))*$B85</f>
        <v>-144784.92915918474</v>
      </c>
      <c r="R85" s="1021">
        <f>(VLOOKUP(YEAR($A85),'NY East Load Projections'!$A$4:$EO$14,((MONTH($A85)-1)*12)+VLOOKUP(R$4,$DE$6:$DF$17,2)+1))*(VLOOKUP($A85,CURVES!$D$9:$K$261,2))*(INDEX(DailyScalarsTable,R$5/100,MONTH($A85)))*$B85</f>
        <v>-163411.86073439597</v>
      </c>
      <c r="S85" s="1021">
        <f>(VLOOKUP(YEAR($A85),'NY East Load Projections'!$A$4:$EO$14,((MONTH($A85)-1)*12)+VLOOKUP(S$4,$DE$6:$DF$17,2)+1))*(VLOOKUP($A85,CURVES!$D$9:$K$261,2))*(INDEX(DailyScalarsTable,S$5/100,MONTH($A85)))*$B85</f>
        <v>-170336.44885670615</v>
      </c>
      <c r="T85" s="1021">
        <f>(VLOOKUP(YEAR($A85),'NY East Load Projections'!$A$4:$EO$14,((MONTH($A85)-1)*12)+VLOOKUP(T$4,$DE$6:$DF$17,2)+1))*(VLOOKUP($A85,CURVES!$D$9:$K$261,2))*(INDEX(DailyScalarsTable,T$5/100,MONTH($A85)))*$B85</f>
        <v>-173239.66095577535</v>
      </c>
      <c r="U85" s="1021">
        <f>(VLOOKUP(YEAR($A85),'NY East Load Projections'!$A$4:$EO$14,((MONTH($A85)-1)*12)+VLOOKUP(U$4,$DE$6:$DF$17,2)+1))*(VLOOKUP($A85,CURVES!$D$9:$K$261,2))*(INDEX(DailyScalarsTable,U$5/100,MONTH($A85)))*$B85</f>
        <v>-190177.40337080634</v>
      </c>
      <c r="V85" s="1021">
        <f>(VLOOKUP(YEAR($A85),'NY East Load Projections'!$A$4:$EO$14,((MONTH($A85)-1)*12)+VLOOKUP(V$4,$DE$6:$DF$17,2)+1))*(VLOOKUP($A85,CURVES!$D$9:$K$261,2))*(INDEX(DailyScalarsTable,V$5/100,MONTH($A85)))*$B85</f>
        <v>-201332.5789486038</v>
      </c>
      <c r="W85" s="1021">
        <f>(VLOOKUP(YEAR($A85),'NY East Load Projections'!$A$4:$EO$14,((MONTH($A85)-1)*12)+VLOOKUP(W$4,$DE$6:$DF$17,2)+1))*(VLOOKUP($A85,CURVES!$D$9:$K$261,2))*(INDEX(DailyScalarsTable,W$5/100,MONTH($A85)))*$B85</f>
        <v>-198527.60249770698</v>
      </c>
      <c r="X85" s="1021">
        <f>(VLOOKUP(YEAR($A85),'NY East Load Projections'!$A$4:$EO$14,((MONTH($A85)-1)*12)+VLOOKUP(X$4,$DE$6:$DF$17,2)+1))*(VLOOKUP($A85,CURVES!$D$9:$K$261,2))*(INDEX(DailyScalarsTable,X$5/100,MONTH($A85)))*$B85</f>
        <v>-186690.20559167693</v>
      </c>
      <c r="Y85" s="1021">
        <f>(VLOOKUP(YEAR($A85),'NY East Load Projections'!$A$4:$EO$14,((MONTH($A85)-1)*12)+VLOOKUP(Y$4,$DE$6:$DF$17,2)+1))*(VLOOKUP($A85,CURVES!$D$9:$K$261,2))*(INDEX(DailyScalarsTable,Y$5/100,MONTH($A85)))*$B85</f>
        <v>-172886.67137792721</v>
      </c>
      <c r="Z85" s="1021">
        <f>(VLOOKUP(YEAR($A85),'NY East Load Projections'!$A$4:$EO$14,((MONTH($A85)-1)*12)+VLOOKUP(Z$4,$DE$6:$DF$17,2)+1))*(VLOOKUP($A85,CURVES!$D$9:$K$261,2))*(INDEX(DailyScalarsTable,Z$5/100,MONTH($A85)))*$B85</f>
        <v>-140920.59214608569</v>
      </c>
      <c r="AA85" s="1021">
        <f>(VLOOKUP(YEAR($A85),'NY East Load Projections'!$A$4:$EO$14,((MONTH($A85)-1)*12)+VLOOKUP(AA$4,$DE$6:$DF$17,2)+1))*(VLOOKUP($A85,CURVES!$D$9:$K$261,2))*(INDEX(DailyScalarsTable,AA$5/100,MONTH($A85)))*$B85</f>
        <v>-128300.21800780024</v>
      </c>
      <c r="AB85" s="1021">
        <f>(VLOOKUP(YEAR($A85),'NY East Load Projections'!$A$4:$EO$14,((MONTH($A85)-1)*12)+VLOOKUP(AB$4,$DE$6:$DF$17,2)+1))*(VLOOKUP($A85,CURVES!$D$9:$K$261,2))*(INDEX(DailyScalarsTable,AB$5/100,MONTH($A85)))*$B85</f>
        <v>-147391.32266780626</v>
      </c>
      <c r="AC85" s="1021">
        <f>(VLOOKUP(YEAR($A85),'NY East Load Projections'!$A$4:$EO$14,((MONTH($A85)-1)*12)+VLOOKUP(AC$4,$DE$6:$DF$17,2)+1))*(VLOOKUP($A85,CURVES!$D$9:$K$261,2))*(INDEX(DailyScalarsTable,AC$5/100,MONTH($A85)))*$B85</f>
        <v>-125330.95239838024</v>
      </c>
      <c r="AD85" s="1021">
        <f>(VLOOKUP(YEAR($A85),'NY East Load Projections'!$A$4:$EO$14,((MONTH($A85)-1)*12)+VLOOKUP(AD$4,$DE$6:$DF$17,2)+1))*(VLOOKUP($A85,CURVES!$D$9:$K$261,2))*(INDEX(DailyScalarsTable,AD$5/100,MONTH($A85)))*$B85</f>
        <v>-101489.07456424105</v>
      </c>
      <c r="AE85" s="1021">
        <f>(VLOOKUP(YEAR($A85),'NY East Load Projections'!$A$4:$EO$14,((MONTH($A85)-1)*12)+VLOOKUP(AE$4,$DE$6:$DF$17,2)+1))*(VLOOKUP($A85,CURVES!$D$9:$K$261,6))*(INDEX(DailyScalarsTable,AE$5/100,MONTH($A85)))*$B85</f>
        <v>-63125.430782989446</v>
      </c>
      <c r="AF85" s="1021"/>
      <c r="AG85" s="1021">
        <f>(VLOOKUP(YEAR($A85),'NY East Load Projections'!$A$4:$EO$14,((MONTH($A85)-1)*12)+VLOOKUP(AG$4,$DE$6:$DF$17,2)+1))*(VLOOKUP($A85,CURVES!$D$9:$T$261,6))*(INDEX(DailyScalarsTable,AG$5/100,MONTH($A85)))*$C85</f>
        <v>-8897.3027402612806</v>
      </c>
      <c r="AH85" s="1021">
        <f>(VLOOKUP(YEAR($A85),'NY East Load Projections'!$A$4:$EO$14,((MONTH($A85)-1)*12)+VLOOKUP(AH$4,$DE$6:$DF$17,2)+1))*(VLOOKUP($A85,CURVES!$D$9:$T$261,6))*(INDEX(DailyScalarsTable,AH$5/100,MONTH($A85)))*$C85</f>
        <v>-8031.7510235790933</v>
      </c>
      <c r="AI85" s="1021">
        <f>(VLOOKUP(YEAR($A85),'NY East Load Projections'!$A$4:$EO$14,((MONTH($A85)-1)*12)+VLOOKUP(AI$4,$DE$6:$DF$17,2)+1))*(VLOOKUP($A85,CURVES!$D$9:$T$261,6))*(INDEX(DailyScalarsTable,AI$5/100,MONTH($A85)))*$C85</f>
        <v>-7212.930972351578</v>
      </c>
      <c r="AJ85" s="1021">
        <f>(VLOOKUP(YEAR($A85),'NY East Load Projections'!$A$4:$EO$14,((MONTH($A85)-1)*12)+VLOOKUP(AJ$4,$DE$6:$DF$17,2)+1))*(VLOOKUP($A85,CURVES!$D$9:$T$261,6))*(INDEX(DailyScalarsTable,AJ$5/100,MONTH($A85)))*$C85</f>
        <v>-6786.2505486350037</v>
      </c>
      <c r="AK85" s="1021">
        <f>(VLOOKUP(YEAR($A85),'NY East Load Projections'!$A$4:$EO$14,((MONTH($A85)-1)*12)+VLOOKUP(AK$4,$DE$6:$DF$17,2)+1))*(VLOOKUP($A85,CURVES!$D$9:$T$261,6))*(INDEX(DailyScalarsTable,AK$5/100,MONTH($A85)))*$C85</f>
        <v>-7162.6326002030992</v>
      </c>
      <c r="AL85" s="1021">
        <f>(VLOOKUP(YEAR($A85),'NY East Load Projections'!$A$4:$EO$14,((MONTH($A85)-1)*12)+VLOOKUP(AL$4,$DE$6:$DF$17,2)+1))*(VLOOKUP($A85,CURVES!$D$9:$T$261,6))*(INDEX(DailyScalarsTable,AL$5/100,MONTH($A85)))*$C85</f>
        <v>-7958.0215679210714</v>
      </c>
      <c r="AM85" s="1021">
        <f>(VLOOKUP(YEAR($A85),'NY East Load Projections'!$A$4:$EO$14,((MONTH($A85)-1)*12)+VLOOKUP(AM$4,$DE$6:$DF$17,2)+1))*(VLOOKUP($A85,CURVES!$D$9:$T$261,6))*(INDEX(DailyScalarsTable,AM$5/100,MONTH($A85)))*$C85</f>
        <v>-9259.5671514595615</v>
      </c>
      <c r="AN85" s="1021">
        <f>(VLOOKUP(YEAR($A85),'NY East Load Projections'!$A$4:$EO$14,((MONTH($A85)-1)*12)+VLOOKUP(AN$4,$DE$6:$DF$17,2)+1))*(VLOOKUP($A85,SatSunCurve,2))*(INDEX(DailyScalarsTable,AN$5/100,MONTH($A85)))*$C85</f>
        <v>-9706.0127606566348</v>
      </c>
      <c r="AO85" s="1021">
        <f>(VLOOKUP(YEAR($A85),'NY East Load Projections'!$A$4:$EO$14,((MONTH($A85)-1)*12)+VLOOKUP(AO$4,$DE$6:$DF$17,2)+1))*(VLOOKUP($A85,SatSunCurve,2))*(INDEX(DailyScalarsTable,AO$5/100,MONTH($A85)))*$C85</f>
        <v>-11578.874831878871</v>
      </c>
      <c r="AP85" s="1021">
        <f>(VLOOKUP(YEAR($A85),'NY East Load Projections'!$A$4:$EO$14,((MONTH($A85)-1)*12)+VLOOKUP(AP$4,$DE$6:$DF$17,2)+1))*(VLOOKUP($A85,SatSunCurve,2))*(INDEX(DailyScalarsTable,AP$5/100,MONTH($A85)))*$C85</f>
        <v>-14849.194624999021</v>
      </c>
      <c r="AQ85" s="1021">
        <f>(VLOOKUP(YEAR($A85),'NY East Load Projections'!$A$4:$EO$14,((MONTH($A85)-1)*12)+VLOOKUP(AQ$4,$DE$6:$DF$17,2)+1))*(VLOOKUP($A85,SatSunCurve,2))*(INDEX(DailyScalarsTable,AQ$5/100,MONTH($A85)))*$C85</f>
        <v>-16759.579454643463</v>
      </c>
      <c r="AR85" s="1021">
        <f>(VLOOKUP(YEAR($A85),'NY East Load Projections'!$A$4:$EO$14,((MONTH($A85)-1)*12)+VLOOKUP(AR$4,$DE$6:$DF$17,2)+1))*(VLOOKUP($A85,SatSunCurve,2))*(INDEX(DailyScalarsTable,AR$5/100,MONTH($A85)))*$C85</f>
        <v>-17469.767713347443</v>
      </c>
      <c r="AS85" s="1021">
        <f>(VLOOKUP(YEAR($A85),'NY East Load Projections'!$A$4:$EO$14,((MONTH($A85)-1)*12)+VLOOKUP(AS$4,$DE$6:$DF$17,2)+1))*(VLOOKUP($A85,SatSunCurve,2))*(INDEX(DailyScalarsTable,AS$5/100,MONTH($A85)))*$C85</f>
        <v>-17879.451586386152</v>
      </c>
      <c r="AT85" s="1021">
        <f>(VLOOKUP(YEAR($A85),'NY East Load Projections'!$A$4:$EO$14,((MONTH($A85)-1)*12)+VLOOKUP(AT$4,$DE$6:$DF$17,2)+1))*(VLOOKUP($A85,SatSunCurve,2))*(INDEX(DailyScalarsTable,AT$5/100,MONTH($A85)))*$C85</f>
        <v>-19627.535967419051</v>
      </c>
      <c r="AU85" s="1021">
        <f>(VLOOKUP(YEAR($A85),'NY East Load Projections'!$A$4:$EO$14,((MONTH($A85)-1)*12)+VLOOKUP(AU$4,$DE$6:$DF$17,2)+1))*(VLOOKUP($A85,SatSunCurve,2))*(INDEX(DailyScalarsTable,AU$5/100,MONTH($A85)))*$C85</f>
        <v>-20778.822113908234</v>
      </c>
      <c r="AV85" s="1021">
        <f>(VLOOKUP(YEAR($A85),'NY East Load Projections'!$A$4:$EO$14,((MONTH($A85)-1)*12)+VLOOKUP(AV$4,$DE$6:$DF$17,2)+1))*(VLOOKUP($A85,SatSunCurve,2))*(INDEX(DailyScalarsTable,AV$5/100,MONTH($A85)))*$C85</f>
        <v>-20489.330432972849</v>
      </c>
      <c r="AW85" s="1021">
        <f>(VLOOKUP(YEAR($A85),'NY East Load Projections'!$A$4:$EO$14,((MONTH($A85)-1)*12)+VLOOKUP(AW$4,$DE$6:$DF$17,2)+1))*(VLOOKUP($A85,SatSunCurve,2))*(INDEX(DailyScalarsTable,AW$5/100,MONTH($A85)))*$C85</f>
        <v>-19209.752228436799</v>
      </c>
      <c r="AX85" s="1021">
        <f>(VLOOKUP(YEAR($A85),'NY East Load Projections'!$A$4:$EO$14,((MONTH($A85)-1)*12)+VLOOKUP(AX$4,$DE$6:$DF$17,2)+1))*(VLOOKUP($A85,SatSunCurve,2))*(INDEX(DailyScalarsTable,AX$5/100,MONTH($A85)))*$C85</f>
        <v>-17789.418091021806</v>
      </c>
      <c r="AY85" s="1021">
        <f>(VLOOKUP(YEAR($A85),'NY East Load Projections'!$A$4:$EO$14,((MONTH($A85)-1)*12)+VLOOKUP(AY$4,$DE$6:$DF$17,2)+1))*(VLOOKUP($A85,SatSunCurve,2))*(INDEX(DailyScalarsTable,AY$5/100,MONTH($A85)))*$C85</f>
        <v>-14500.223246481817</v>
      </c>
      <c r="AZ85" s="1021">
        <f>(VLOOKUP(YEAR($A85),'NY East Load Projections'!$A$4:$EO$14,((MONTH($A85)-1)*12)+VLOOKUP(AZ$4,$DE$6:$DF$17,2)+1))*(VLOOKUP($A85,SatSunCurve,2))*(INDEX(DailyScalarsTable,AZ$5/100,MONTH($A85)))*$C85</f>
        <v>-13201.632035130964</v>
      </c>
      <c r="BA85" s="1021">
        <f>(VLOOKUP(YEAR($A85),'NY East Load Projections'!$A$4:$EO$14,((MONTH($A85)-1)*12)+VLOOKUP(BA$4,$DE$6:$DF$17,2)+1))*(VLOOKUP($A85,SatSunCurve,2))*(INDEX(DailyScalarsTable,BA$5/100,MONTH($A85)))*$C85</f>
        <v>-15731.589694059197</v>
      </c>
      <c r="BB85" s="1021">
        <f>(VLOOKUP(YEAR($A85),'NY East Load Projections'!$A$4:$EO$14,((MONTH($A85)-1)*12)+VLOOKUP(BB$4,$DE$6:$DF$17,2)+1))*(VLOOKUP($A85,SatSunCurve,2))*(INDEX(DailyScalarsTable,BB$5/100,MONTH($A85)))*$C85</f>
        <v>-13377.009469823006</v>
      </c>
      <c r="BC85" s="1021">
        <f>(VLOOKUP(YEAR($A85),'NY East Load Projections'!$A$4:$EO$14,((MONTH($A85)-1)*12)+VLOOKUP(BC$4,$DE$6:$DF$17,2)+1))*(VLOOKUP($A85,SatSunCurve,2))*(INDEX(DailyScalarsTable,BC$5/100,MONTH($A85)))*$C85</f>
        <v>-10832.282732633021</v>
      </c>
      <c r="BD85" s="1021">
        <f>(VLOOKUP(YEAR($A85),'NY East Load Projections'!$A$4:$EO$14,((MONTH($A85)-1)*12)+VLOOKUP(BD$4,$DE$6:$DF$17,2)+1))*(VLOOKUP($A85,CURVES!$D$9:$T$261,6))*(INDEX(DailyScalarsTable,BD$5/100,MONTH($A85)))*$C85</f>
        <v>-10742.426423950474</v>
      </c>
      <c r="BE85" s="1021"/>
      <c r="BF85" s="1021">
        <f>(VLOOKUP(YEAR($A85),'NY East Load Projections'!$A$4:$EO$14,((MONTH($A85)-1)*12)+VLOOKUP(BF$4,$DE$6:$DF$17,2)+1))*(VLOOKUP($A85,CURVES!$D$9:$T$261,6))*(INDEX(DailyScalarsTable,BF$5/100,MONTH($A85)))*$D85</f>
        <v>-8897.3027402612806</v>
      </c>
      <c r="BG85" s="1021">
        <f>(VLOOKUP(YEAR($A85),'NY East Load Projections'!$A$4:$EO$14,((MONTH($A85)-1)*12)+VLOOKUP(BG$4,$DE$6:$DF$17,2)+1))*(VLOOKUP($A85,CURVES!$D$9:$T$261,6))*(INDEX(DailyScalarsTable,BG$5/100,MONTH($A85)))*$D85</f>
        <v>-8031.7510235790933</v>
      </c>
      <c r="BH85" s="1021">
        <f>(VLOOKUP(YEAR($A85),'NY East Load Projections'!$A$4:$EO$14,((MONTH($A85)-1)*12)+VLOOKUP(BH$4,$DE$6:$DF$17,2)+1))*(VLOOKUP($A85,CURVES!$D$9:$T$261,6))*(INDEX(DailyScalarsTable,BH$5/100,MONTH($A85)))*$D85</f>
        <v>-7212.930972351578</v>
      </c>
      <c r="BI85" s="1021">
        <f>(VLOOKUP(YEAR($A85),'NY East Load Projections'!$A$4:$EO$14,((MONTH($A85)-1)*12)+VLOOKUP(BI$4,$DE$6:$DF$17,2)+1))*(VLOOKUP($A85,CURVES!$D$9:$T$261,6))*(INDEX(DailyScalarsTable,BI$5/100,MONTH($A85)))*$D85</f>
        <v>-6786.2505486350037</v>
      </c>
      <c r="BJ85" s="1021">
        <f>(VLOOKUP(YEAR($A85),'NY East Load Projections'!$A$4:$EO$14,((MONTH($A85)-1)*12)+VLOOKUP(BJ$4,$DE$6:$DF$17,2)+1))*(VLOOKUP($A85,CURVES!$D$9:$T$261,6))*(INDEX(DailyScalarsTable,BJ$5/100,MONTH($A85)))*$D85</f>
        <v>-7162.6326002030992</v>
      </c>
      <c r="BK85" s="1021">
        <f>(VLOOKUP(YEAR($A85),'NY East Load Projections'!$A$4:$EO$14,((MONTH($A85)-1)*12)+VLOOKUP(BK$4,$DE$6:$DF$17,2)+1))*(VLOOKUP($A85,CURVES!$D$9:$T$261,6))*(INDEX(DailyScalarsTable,BK$5/100,MONTH($A85)))*$D85</f>
        <v>-7958.0215679210714</v>
      </c>
      <c r="BL85" s="1021">
        <f>(VLOOKUP(YEAR($A85),'NY East Load Projections'!$A$4:$EO$14,((MONTH($A85)-1)*12)+VLOOKUP(BL$4,$DE$6:$DF$17,2)+1))*(VLOOKUP($A85,CURVES!$D$9:$T$261,6))*(INDEX(DailyScalarsTable,BL$5/100,MONTH($A85)))*$D85</f>
        <v>-9259.5671514595615</v>
      </c>
      <c r="BM85" s="1021">
        <f>(VLOOKUP(YEAR($A85),'NY East Load Projections'!$A$4:$EO$14,((MONTH($A85)-1)*12)+VLOOKUP(BM$4,$DE$6:$DF$17,2)+1))*(VLOOKUP($A85,SatSunCurve,6))*(INDEX(DailyScalarsTable,BM$5/100,MONTH($A85)))*$D85</f>
        <v>-6981.4852182712793</v>
      </c>
      <c r="BN85" s="1021">
        <f>(VLOOKUP(YEAR($A85),'NY East Load Projections'!$A$4:$EO$14,((MONTH($A85)-1)*12)+VLOOKUP(BN$4,$DE$6:$DF$17,2)+1))*(VLOOKUP($A85,SatSunCurve,6))*(INDEX(DailyScalarsTable,BN$5/100,MONTH($A85)))*$D85</f>
        <v>-8328.6253043733686</v>
      </c>
      <c r="BO85" s="1021">
        <f>(VLOOKUP(YEAR($A85),'NY East Load Projections'!$A$4:$EO$14,((MONTH($A85)-1)*12)+VLOOKUP(BO$4,$DE$6:$DF$17,2)+1))*(VLOOKUP($A85,SatSunCurve,6))*(INDEX(DailyScalarsTable,BO$5/100,MONTH($A85)))*$D85</f>
        <v>-10680.949565396049</v>
      </c>
      <c r="BP85" s="1021">
        <f>(VLOOKUP(YEAR($A85),'NY East Load Projections'!$A$4:$EO$14,((MONTH($A85)-1)*12)+VLOOKUP(BP$4,$DE$6:$DF$17,2)+1))*(VLOOKUP($A85,SatSunCurve,6))*(INDEX(DailyScalarsTable,BP$5/100,MONTH($A85)))*$D85</f>
        <v>-12055.079579260781</v>
      </c>
      <c r="BQ85" s="1021">
        <f>(VLOOKUP(YEAR($A85),'NY East Load Projections'!$A$4:$EO$14,((MONTH($A85)-1)*12)+VLOOKUP(BQ$4,$DE$6:$DF$17,2)+1))*(VLOOKUP($A85,SatSunCurve,6))*(INDEX(DailyScalarsTable,BQ$5/100,MONTH($A85)))*$D85</f>
        <v>-12565.914352776595</v>
      </c>
      <c r="BR85" s="1021">
        <f>(VLOOKUP(YEAR($A85),'NY East Load Projections'!$A$4:$EO$14,((MONTH($A85)-1)*12)+VLOOKUP(BR$4,$DE$6:$DF$17,2)+1))*(VLOOKUP($A85,SatSunCurve,6))*(INDEX(DailyScalarsTable,BR$5/100,MONTH($A85)))*$D85</f>
        <v>-12860.59786229945</v>
      </c>
      <c r="BS85" s="1021">
        <f>(VLOOKUP(YEAR($A85),'NY East Load Projections'!$A$4:$EO$14,((MONTH($A85)-1)*12)+VLOOKUP(BS$4,$DE$6:$DF$17,2)+1))*(VLOOKUP($A85,SatSunCurve,6))*(INDEX(DailyScalarsTable,BS$5/100,MONTH($A85)))*$D85</f>
        <v>-14117.985995554534</v>
      </c>
      <c r="BT85" s="1021">
        <f>(VLOOKUP(YEAR($A85),'NY East Load Projections'!$A$4:$EO$14,((MONTH($A85)-1)*12)+VLOOKUP(BT$4,$DE$6:$DF$17,2)+1))*(VLOOKUP($A85,SatSunCurve,6))*(INDEX(DailyScalarsTable,BT$5/100,MONTH($A85)))*$D85</f>
        <v>-14946.10021834801</v>
      </c>
      <c r="BU85" s="1021">
        <f>(VLOOKUP(YEAR($A85),'NY East Load Projections'!$A$4:$EO$14,((MONTH($A85)-1)*12)+VLOOKUP(BU$4,$DE$6:$DF$17,2)+1))*(VLOOKUP($A85,SatSunCurve,6))*(INDEX(DailyScalarsTable,BU$5/100,MONTH($A85)))*$D85</f>
        <v>-14737.870336407677</v>
      </c>
      <c r="BV85" s="1021">
        <f>(VLOOKUP(YEAR($A85),'NY East Load Projections'!$A$4:$EO$14,((MONTH($A85)-1)*12)+VLOOKUP(BV$4,$DE$6:$DF$17,2)+1))*(VLOOKUP($A85,SatSunCurve,6))*(INDEX(DailyScalarsTable,BV$5/100,MONTH($A85)))*$D85</f>
        <v>-13817.47629398462</v>
      </c>
      <c r="BW85" s="1021">
        <f>(VLOOKUP(YEAR($A85),'NY East Load Projections'!$A$4:$EO$14,((MONTH($A85)-1)*12)+VLOOKUP(BW$4,$DE$6:$DF$17,2)+1))*(VLOOKUP($A85,SatSunCurve,6))*(INDEX(DailyScalarsTable,BW$5/100,MONTH($A85)))*$D85</f>
        <v>-12795.837230664656</v>
      </c>
      <c r="BX85" s="1021">
        <f>(VLOOKUP(YEAR($A85),'NY East Load Projections'!$A$4:$EO$14,((MONTH($A85)-1)*12)+VLOOKUP(BX$4,$DE$6:$DF$17,2)+1))*(VLOOKUP($A85,SatSunCurve,6))*(INDEX(DailyScalarsTable,BX$5/100,MONTH($A85)))*$D85</f>
        <v>-10429.936241923682</v>
      </c>
      <c r="BY85" s="1021">
        <f>(VLOOKUP(YEAR($A85),'NY East Load Projections'!$A$4:$EO$14,((MONTH($A85)-1)*12)+VLOOKUP(BY$4,$DE$6:$DF$17,2)+1))*(VLOOKUP($A85,SatSunCurve,6))*(INDEX(DailyScalarsTable,BY$5/100,MONTH($A85)))*$D85</f>
        <v>-9495.8662411740006</v>
      </c>
      <c r="BZ85" s="1021">
        <f>(VLOOKUP(YEAR($A85),'NY East Load Projections'!$A$4:$EO$14,((MONTH($A85)-1)*12)+VLOOKUP(BZ$4,$DE$6:$DF$17,2)+1))*(VLOOKUP($A85,SatSunCurve,6))*(INDEX(DailyScalarsTable,BZ$5/100,MONTH($A85)))*$D85</f>
        <v>-11315.65181473683</v>
      </c>
      <c r="CA85" s="1021">
        <f>(VLOOKUP(YEAR($A85),'NY East Load Projections'!$A$4:$EO$14,((MONTH($A85)-1)*12)+VLOOKUP(CA$4,$DE$6:$DF$17,2)+1))*(VLOOKUP($A85,SatSunCurve,6))*(INDEX(DailyScalarsTable,CA$5/100,MONTH($A85)))*$D85</f>
        <v>-9622.0143308286843</v>
      </c>
      <c r="CB85" s="1021">
        <f>(VLOOKUP(YEAR($A85),'NY East Load Projections'!$A$4:$EO$14,((MONTH($A85)-1)*12)+VLOOKUP(CB$4,$DE$6:$DF$17,2)+1))*(VLOOKUP($A85,SatSunCurve,6))*(INDEX(DailyScalarsTable,CB$5/100,MONTH($A85)))*$D85</f>
        <v>-7791.6054349898068</v>
      </c>
      <c r="CC85" s="1021">
        <f>(VLOOKUP(YEAR($A85),'NY East Load Projections'!$A$4:$EO$14,((MONTH($A85)-1)*12)+VLOOKUP(CC$4,$DE$6:$DF$17,2)+1))*(VLOOKUP($A85,CURVES!$D$9:$T$261,6))*(INDEX(DailyScalarsTable,CC$5/100,MONTH($A85)))*$D85</f>
        <v>-10742.426423950474</v>
      </c>
      <c r="CE85" s="1021">
        <f>(VLOOKUP(YEAR($A85),'NY East Load Projections'!$A$4:$EO$14,((MONTH($A85)-1)*12)+VLOOKUP(CE$4,$DE$6:$DF$17,2)+1))*(VLOOKUP($A85,CURVES!$D$9:$T$261,6))*(INDEX(DailyScalarsTable,CE$5/100,MONTH($A85)))*$E85</f>
        <v>0</v>
      </c>
      <c r="CF85" s="1021">
        <f>(VLOOKUP(YEAR($A85),'NY East Load Projections'!$A$4:$EO$14,((MONTH($A85)-1)*12)+VLOOKUP(CF$4,$DE$6:$DF$17,2)+1))*(VLOOKUP($A85,CURVES!$D$9:$T$261,6))*(INDEX(DailyScalarsTable,CF$5/100,MONTH($A85)))*$E85</f>
        <v>0</v>
      </c>
      <c r="CG85" s="1021">
        <f>(VLOOKUP(YEAR($A85),'NY East Load Projections'!$A$4:$EO$14,((MONTH($A85)-1)*12)+VLOOKUP(CG$4,$DE$6:$DF$17,2)+1))*(VLOOKUP($A85,CURVES!$D$9:$T$261,6))*(INDEX(DailyScalarsTable,CG$5/100,MONTH($A85)))*$E85</f>
        <v>0</v>
      </c>
      <c r="CH85" s="1021">
        <f>(VLOOKUP(YEAR($A85),'NY East Load Projections'!$A$4:$EO$14,((MONTH($A85)-1)*12)+VLOOKUP(CH$4,$DE$6:$DF$17,2)+1))*(VLOOKUP($A85,CURVES!$D$9:$T$261,6))*(INDEX(DailyScalarsTable,CH$5/100,MONTH($A85)))*$E85</f>
        <v>0</v>
      </c>
      <c r="CI85" s="1021">
        <f>(VLOOKUP(YEAR($A85),'NY East Load Projections'!$A$4:$EO$14,((MONTH($A85)-1)*12)+VLOOKUP(CI$4,$DE$6:$DF$17,2)+1))*(VLOOKUP($A85,CURVES!$D$9:$T$261,6))*(INDEX(DailyScalarsTable,CI$5/100,MONTH($A85)))*$E85</f>
        <v>0</v>
      </c>
      <c r="CJ85" s="1021">
        <f>(VLOOKUP(YEAR($A85),'NY East Load Projections'!$A$4:$EO$14,((MONTH($A85)-1)*12)+VLOOKUP(CJ$4,$DE$6:$DF$17,2)+1))*(VLOOKUP($A85,CURVES!$D$9:$T$261,6))*(INDEX(DailyScalarsTable,CJ$5/100,MONTH($A85)))*$E85</f>
        <v>0</v>
      </c>
      <c r="CK85" s="1021">
        <f>(VLOOKUP(YEAR($A85),'NY East Load Projections'!$A$4:$EO$14,((MONTH($A85)-1)*12)+VLOOKUP(CK$4,$DE$6:$DF$17,2)+1))*(VLOOKUP($A85,CURVES!$D$9:$T$261,6))*(INDEX(DailyScalarsTable,CK$5/100,MONTH($A85)))*$E85</f>
        <v>0</v>
      </c>
      <c r="CL85" s="1021">
        <f>(VLOOKUP(YEAR($A85),'NY East Load Projections'!$A$4:$EO$14,((MONTH($A85)-1)*12)+VLOOKUP(CL$4,$DE$6:$DF$17,2)+1))*(VLOOKUP($A85,SatSunCurve,6))*(INDEX(DailyScalarsTable,CL$5/100,MONTH($A85)))*$E85</f>
        <v>0</v>
      </c>
      <c r="CM85" s="1021">
        <f>(VLOOKUP(YEAR($A85),'NY East Load Projections'!$A$4:$EO$14,((MONTH($A85)-1)*12)+VLOOKUP(CM$4,$DE$6:$DF$17,2)+1))*(VLOOKUP($A85,SatSunCurve,6))*(INDEX(DailyScalarsTable,CM$5/100,MONTH($A85)))*$E85</f>
        <v>0</v>
      </c>
      <c r="CN85" s="1021">
        <f>(VLOOKUP(YEAR($A85),'NY East Load Projections'!$A$4:$EO$14,((MONTH($A85)-1)*12)+VLOOKUP(CN$4,$DE$6:$DF$17,2)+1))*(VLOOKUP($A85,SatSunCurve,6))*(INDEX(DailyScalarsTable,CN$5/100,MONTH($A85)))*$E85</f>
        <v>0</v>
      </c>
      <c r="CO85" s="1021">
        <f>(VLOOKUP(YEAR($A85),'NY East Load Projections'!$A$4:$EO$14,((MONTH($A85)-1)*12)+VLOOKUP(CO$4,$DE$6:$DF$17,2)+1))*(VLOOKUP($A85,SatSunCurve,6))*(INDEX(DailyScalarsTable,CO$5/100,MONTH($A85)))*$E85</f>
        <v>0</v>
      </c>
      <c r="CP85" s="1021">
        <f>(VLOOKUP(YEAR($A85),'NY East Load Projections'!$A$4:$EO$14,((MONTH($A85)-1)*12)+VLOOKUP(CP$4,$DE$6:$DF$17,2)+1))*(VLOOKUP($A85,SatSunCurve,6))*(INDEX(DailyScalarsTable,CP$5/100,MONTH($A85)))*$E85</f>
        <v>0</v>
      </c>
      <c r="CQ85" s="1021">
        <f>(VLOOKUP(YEAR($A85),'NY East Load Projections'!$A$4:$EO$14,((MONTH($A85)-1)*12)+VLOOKUP(CQ$4,$DE$6:$DF$17,2)+1))*(VLOOKUP($A85,SatSunCurve,6))*(INDEX(DailyScalarsTable,CQ$5/100,MONTH($A85)))*$E85</f>
        <v>0</v>
      </c>
      <c r="CR85" s="1021">
        <f>(VLOOKUP(YEAR($A85),'NY East Load Projections'!$A$4:$EO$14,((MONTH($A85)-1)*12)+VLOOKUP(CR$4,$DE$6:$DF$17,2)+1))*(VLOOKUP($A85,SatSunCurve,6))*(INDEX(DailyScalarsTable,CR$5/100,MONTH($A85)))*$E85</f>
        <v>0</v>
      </c>
      <c r="CS85" s="1021">
        <f>(VLOOKUP(YEAR($A85),'NY East Load Projections'!$A$4:$EO$14,((MONTH($A85)-1)*12)+VLOOKUP(CS$4,$DE$6:$DF$17,2)+1))*(VLOOKUP($A85,SatSunCurve,6))*(INDEX(DailyScalarsTable,CS$5/100,MONTH($A85)))*$E85</f>
        <v>0</v>
      </c>
      <c r="CT85" s="1021">
        <f>(VLOOKUP(YEAR($A85),'NY East Load Projections'!$A$4:$EO$14,((MONTH($A85)-1)*12)+VLOOKUP(CT$4,$DE$6:$DF$17,2)+1))*(VLOOKUP($A85,SatSunCurve,6))*(INDEX(DailyScalarsTable,CT$5/100,MONTH($A85)))*$E85</f>
        <v>0</v>
      </c>
      <c r="CU85" s="1021">
        <f>(VLOOKUP(YEAR($A85),'NY East Load Projections'!$A$4:$EO$14,((MONTH($A85)-1)*12)+VLOOKUP(CU$4,$DE$6:$DF$17,2)+1))*(VLOOKUP($A85,SatSunCurve,6))*(INDEX(DailyScalarsTable,CU$5/100,MONTH($A85)))*$E85</f>
        <v>0</v>
      </c>
      <c r="CV85" s="1021">
        <f>(VLOOKUP(YEAR($A85),'NY East Load Projections'!$A$4:$EO$14,((MONTH($A85)-1)*12)+VLOOKUP(CV$4,$DE$6:$DF$17,2)+1))*(VLOOKUP($A85,SatSunCurve,6))*(INDEX(DailyScalarsTable,CV$5/100,MONTH($A85)))*$E85</f>
        <v>0</v>
      </c>
      <c r="CW85" s="1021">
        <f>(VLOOKUP(YEAR($A85),'NY East Load Projections'!$A$4:$EO$14,((MONTH($A85)-1)*12)+VLOOKUP(CW$4,$DE$6:$DF$17,2)+1))*(VLOOKUP($A85,SatSunCurve,6))*(INDEX(DailyScalarsTable,CW$5/100,MONTH($A85)))*$E85</f>
        <v>0</v>
      </c>
      <c r="CX85" s="1021">
        <f>(VLOOKUP(YEAR($A85),'NY East Load Projections'!$A$4:$EO$14,((MONTH($A85)-1)*12)+VLOOKUP(CX$4,$DE$6:$DF$17,2)+1))*(VLOOKUP($A85,SatSunCurve,6))*(INDEX(DailyScalarsTable,CX$5/100,MONTH($A85)))*$E85</f>
        <v>0</v>
      </c>
      <c r="CY85" s="1021">
        <f>(VLOOKUP(YEAR($A85),'NY East Load Projections'!$A$4:$EO$14,((MONTH($A85)-1)*12)+VLOOKUP(CY$4,$DE$6:$DF$17,2)+1))*(VLOOKUP($A85,SatSunCurve,6))*(INDEX(DailyScalarsTable,CY$5/100,MONTH($A85)))*$E85</f>
        <v>0</v>
      </c>
      <c r="CZ85" s="1021">
        <f>(VLOOKUP(YEAR($A85),'NY East Load Projections'!$A$4:$EO$14,((MONTH($A85)-1)*12)+VLOOKUP(CZ$4,$DE$6:$DF$17,2)+1))*(VLOOKUP($A85,SatSunCurve,6))*(INDEX(DailyScalarsTable,CZ$5/100,MONTH($A85)))*$E85</f>
        <v>0</v>
      </c>
      <c r="DA85" s="1021">
        <f>(VLOOKUP(YEAR($A85),'NY East Load Projections'!$A$4:$EO$14,((MONTH($A85)-1)*12)+VLOOKUP(DA$4,$DE$6:$DF$17,2)+1))*(VLOOKUP($A85,SatSunCurve,6))*(INDEX(DailyScalarsTable,DA$5/100,MONTH($A85)))*$E85</f>
        <v>0</v>
      </c>
      <c r="DB85" s="1021">
        <f>(VLOOKUP(YEAR($A85),'NY East Load Projections'!$A$4:$EO$14,((MONTH($A85)-1)*12)+VLOOKUP(DB$4,$DE$6:$DF$17,2)+1))*(VLOOKUP($A85,CURVES!$D$9:$T$261,6))*(INDEX(DailyScalarsTable,DB$5/100,MONTH($A85)))*$E85</f>
        <v>0</v>
      </c>
      <c r="DH85" s="1021">
        <f t="shared" si="2"/>
        <v>-3415716.0552223418</v>
      </c>
      <c r="DI85">
        <f ca="1">CALC!J105</f>
        <v>0.57880972281525267</v>
      </c>
      <c r="DJ85" s="1029">
        <f t="shared" ca="1" si="3"/>
        <v>-1977049.663138852</v>
      </c>
    </row>
    <row r="86" spans="1:114" x14ac:dyDescent="0.25">
      <c r="A86" s="244">
        <v>39326</v>
      </c>
      <c r="B86" s="13">
        <v>19</v>
      </c>
      <c r="C86" s="210">
        <v>5</v>
      </c>
      <c r="D86" s="210">
        <v>5</v>
      </c>
      <c r="E86" s="210">
        <v>1</v>
      </c>
      <c r="F86" s="13">
        <v>30</v>
      </c>
      <c r="H86" s="1021">
        <f>(VLOOKUP(YEAR($A86),'NY East Load Projections'!$A$4:$EO$14,((MONTH($A86)-1)*12)+VLOOKUP(H$4,$DE$6:$DF$17,2)+1))*(VLOOKUP($A86,CURVES!$D$9:$K$261,6))*(INDEX(DailyScalarsTable,H$5/100,MONTH($A86)))*$B86</f>
        <v>-34992.635756929529</v>
      </c>
      <c r="I86" s="1021">
        <f>(VLOOKUP(YEAR($A86),'NY East Load Projections'!$A$4:$EO$14,((MONTH($A86)-1)*12)+VLOOKUP(I$4,$DE$6:$DF$17,2)+1))*(VLOOKUP($A86,CURVES!$D$9:$K$261,6))*(INDEX(DailyScalarsTable,I$5/100,MONTH($A86)))*$B86</f>
        <v>-30699.660631047645</v>
      </c>
      <c r="J86" s="1021">
        <f>(VLOOKUP(YEAR($A86),'NY East Load Projections'!$A$4:$EO$14,((MONTH($A86)-1)*12)+VLOOKUP(J$4,$DE$6:$DF$17,2)+1))*(VLOOKUP($A86,CURVES!$D$9:$K$261,6))*(INDEX(DailyScalarsTable,J$5/100,MONTH($A86)))*$B86</f>
        <v>-28788.70897045841</v>
      </c>
      <c r="K86" s="1021">
        <f>(VLOOKUP(YEAR($A86),'NY East Load Projections'!$A$4:$EO$14,((MONTH($A86)-1)*12)+VLOOKUP(K$4,$DE$6:$DF$17,2)+1))*(VLOOKUP($A86,CURVES!$D$9:$K$261,6))*(INDEX(DailyScalarsTable,K$5/100,MONTH($A86)))*$B86</f>
        <v>-29215.340038869035</v>
      </c>
      <c r="L86" s="1021">
        <f>(VLOOKUP(YEAR($A86),'NY East Load Projections'!$A$4:$EO$14,((MONTH($A86)-1)*12)+VLOOKUP(L$4,$DE$6:$DF$17,2)+1))*(VLOOKUP($A86,CURVES!$D$9:$K$261,6))*(INDEX(DailyScalarsTable,L$5/100,MONTH($A86)))*$B86</f>
        <v>-33691.883404387503</v>
      </c>
      <c r="M86" s="1021">
        <f>(VLOOKUP(YEAR($A86),'NY East Load Projections'!$A$4:$EO$14,((MONTH($A86)-1)*12)+VLOOKUP(M$4,$DE$6:$DF$17,2)+1))*(VLOOKUP($A86,CURVES!$D$9:$K$261,6))*(INDEX(DailyScalarsTable,M$5/100,MONTH($A86)))*$B86</f>
        <v>-38989.170228745978</v>
      </c>
      <c r="N86" s="1021">
        <f>(VLOOKUP(YEAR($A86),'NY East Load Projections'!$A$4:$EO$14,((MONTH($A86)-1)*12)+VLOOKUP(N$4,$DE$6:$DF$17,2)+1))*(VLOOKUP($A86,CURVES!$D$9:$K$261,6))*(INDEX(DailyScalarsTable,N$5/100,MONTH($A86)))*$B86</f>
        <v>-53020.334971401579</v>
      </c>
      <c r="O86" s="1021">
        <f>(VLOOKUP(YEAR($A86),'NY East Load Projections'!$A$4:$EO$14,((MONTH($A86)-1)*12)+VLOOKUP(O$4,$DE$6:$DF$17,2)+1))*(VLOOKUP($A86,CURVES!$D$9:$K$261,2))*(INDEX(DailyScalarsTable,O$5/100,MONTH($A86)))*$B86</f>
        <v>-47790.289475081467</v>
      </c>
      <c r="P86" s="1021">
        <f>(VLOOKUP(YEAR($A86),'NY East Load Projections'!$A$4:$EO$14,((MONTH($A86)-1)*12)+VLOOKUP(P$4,$DE$6:$DF$17,2)+1))*(VLOOKUP($A86,CURVES!$D$9:$K$261,2))*(INDEX(DailyScalarsTable,P$5/100,MONTH($A86)))*$B86</f>
        <v>-50443.439890141664</v>
      </c>
      <c r="Q86" s="1021">
        <f>(VLOOKUP(YEAR($A86),'NY East Load Projections'!$A$4:$EO$14,((MONTH($A86)-1)*12)+VLOOKUP(Q$4,$DE$6:$DF$17,2)+1))*(VLOOKUP($A86,CURVES!$D$9:$K$261,2))*(INDEX(DailyScalarsTable,Q$5/100,MONTH($A86)))*$B86</f>
        <v>-62969.20634059517</v>
      </c>
      <c r="R86" s="1021">
        <f>(VLOOKUP(YEAR($A86),'NY East Load Projections'!$A$4:$EO$14,((MONTH($A86)-1)*12)+VLOOKUP(R$4,$DE$6:$DF$17,2)+1))*(VLOOKUP($A86,CURVES!$D$9:$K$261,2))*(INDEX(DailyScalarsTable,R$5/100,MONTH($A86)))*$B86</f>
        <v>-67248.194879569986</v>
      </c>
      <c r="S86" s="1021">
        <f>(VLOOKUP(YEAR($A86),'NY East Load Projections'!$A$4:$EO$14,((MONTH($A86)-1)*12)+VLOOKUP(S$4,$DE$6:$DF$17,2)+1))*(VLOOKUP($A86,CURVES!$D$9:$K$261,2))*(INDEX(DailyScalarsTable,S$5/100,MONTH($A86)))*$B86</f>
        <v>-71653.608079923593</v>
      </c>
      <c r="T86" s="1021">
        <f>(VLOOKUP(YEAR($A86),'NY East Load Projections'!$A$4:$EO$14,((MONTH($A86)-1)*12)+VLOOKUP(T$4,$DE$6:$DF$17,2)+1))*(VLOOKUP($A86,CURVES!$D$9:$K$261,2))*(INDEX(DailyScalarsTable,T$5/100,MONTH($A86)))*$B86</f>
        <v>-69538.265462249983</v>
      </c>
      <c r="U86" s="1021">
        <f>(VLOOKUP(YEAR($A86),'NY East Load Projections'!$A$4:$EO$14,((MONTH($A86)-1)*12)+VLOOKUP(U$4,$DE$6:$DF$17,2)+1))*(VLOOKUP($A86,CURVES!$D$9:$K$261,2))*(INDEX(DailyScalarsTable,U$5/100,MONTH($A86)))*$B86</f>
        <v>-75277.393155775702</v>
      </c>
      <c r="V86" s="1021">
        <f>(VLOOKUP(YEAR($A86),'NY East Load Projections'!$A$4:$EO$14,((MONTH($A86)-1)*12)+VLOOKUP(V$4,$DE$6:$DF$17,2)+1))*(VLOOKUP($A86,CURVES!$D$9:$K$261,2))*(INDEX(DailyScalarsTable,V$5/100,MONTH($A86)))*$B86</f>
        <v>-74089.643250506939</v>
      </c>
      <c r="W86" s="1021">
        <f>(VLOOKUP(YEAR($A86),'NY East Load Projections'!$A$4:$EO$14,((MONTH($A86)-1)*12)+VLOOKUP(W$4,$DE$6:$DF$17,2)+1))*(VLOOKUP($A86,CURVES!$D$9:$K$261,2))*(INDEX(DailyScalarsTable,W$5/100,MONTH($A86)))*$B86</f>
        <v>-71774.029989814808</v>
      </c>
      <c r="X86" s="1021">
        <f>(VLOOKUP(YEAR($A86),'NY East Load Projections'!$A$4:$EO$14,((MONTH($A86)-1)*12)+VLOOKUP(X$4,$DE$6:$DF$17,2)+1))*(VLOOKUP($A86,CURVES!$D$9:$K$261,2))*(INDEX(DailyScalarsTable,X$5/100,MONTH($A86)))*$B86</f>
        <v>-74091.369483493065</v>
      </c>
      <c r="Y86" s="1021">
        <f>(VLOOKUP(YEAR($A86),'NY East Load Projections'!$A$4:$EO$14,((MONTH($A86)-1)*12)+VLOOKUP(Y$4,$DE$6:$DF$17,2)+1))*(VLOOKUP($A86,CURVES!$D$9:$K$261,2))*(INDEX(DailyScalarsTable,Y$5/100,MONTH($A86)))*$B86</f>
        <v>-72273.763259882515</v>
      </c>
      <c r="Z86" s="1021">
        <f>(VLOOKUP(YEAR($A86),'NY East Load Projections'!$A$4:$EO$14,((MONTH($A86)-1)*12)+VLOOKUP(Z$4,$DE$6:$DF$17,2)+1))*(VLOOKUP($A86,CURVES!$D$9:$K$261,2))*(INDEX(DailyScalarsTable,Z$5/100,MONTH($A86)))*$B86</f>
        <v>-59196.564798431886</v>
      </c>
      <c r="AA86" s="1021">
        <f>(VLOOKUP(YEAR($A86),'NY East Load Projections'!$A$4:$EO$14,((MONTH($A86)-1)*12)+VLOOKUP(AA$4,$DE$6:$DF$17,2)+1))*(VLOOKUP($A86,CURVES!$D$9:$K$261,2))*(INDEX(DailyScalarsTable,AA$5/100,MONTH($A86)))*$B86</f>
        <v>-77363.060685992037</v>
      </c>
      <c r="AB86" s="1021">
        <f>(VLOOKUP(YEAR($A86),'NY East Load Projections'!$A$4:$EO$14,((MONTH($A86)-1)*12)+VLOOKUP(AB$4,$DE$6:$DF$17,2)+1))*(VLOOKUP($A86,CURVES!$D$9:$K$261,2))*(INDEX(DailyScalarsTable,AB$5/100,MONTH($A86)))*$B86</f>
        <v>-70950.53520077643</v>
      </c>
      <c r="AC86" s="1021">
        <f>(VLOOKUP(YEAR($A86),'NY East Load Projections'!$A$4:$EO$14,((MONTH($A86)-1)*12)+VLOOKUP(AC$4,$DE$6:$DF$17,2)+1))*(VLOOKUP($A86,CURVES!$D$9:$K$261,2))*(INDEX(DailyScalarsTable,AC$5/100,MONTH($A86)))*$B86</f>
        <v>-54000.370548935287</v>
      </c>
      <c r="AD86" s="1021">
        <f>(VLOOKUP(YEAR($A86),'NY East Load Projections'!$A$4:$EO$14,((MONTH($A86)-1)*12)+VLOOKUP(AD$4,$DE$6:$DF$17,2)+1))*(VLOOKUP($A86,CURVES!$D$9:$K$261,2))*(INDEX(DailyScalarsTable,AD$5/100,MONTH($A86)))*$B86</f>
        <v>-42793.074824309362</v>
      </c>
      <c r="AE86" s="1021">
        <f>(VLOOKUP(YEAR($A86),'NY East Load Projections'!$A$4:$EO$14,((MONTH($A86)-1)*12)+VLOOKUP(AE$4,$DE$6:$DF$17,2)+1))*(VLOOKUP($A86,CURVES!$D$9:$K$261,6))*(INDEX(DailyScalarsTable,AE$5/100,MONTH($A86)))*$B86</f>
        <v>-40749.664345105259</v>
      </c>
      <c r="AF86" s="1021"/>
      <c r="AG86" s="1021">
        <f>(VLOOKUP(YEAR($A86),'NY East Load Projections'!$A$4:$EO$14,((MONTH($A86)-1)*12)+VLOOKUP(AG$4,$DE$6:$DF$17,2)+1))*(VLOOKUP($A86,CURVES!$D$9:$T$261,6))*(INDEX(DailyScalarsTable,AG$5/100,MONTH($A86)))*$C86</f>
        <v>-9468.379463116431</v>
      </c>
      <c r="AH86" s="1021">
        <f>(VLOOKUP(YEAR($A86),'NY East Load Projections'!$A$4:$EO$14,((MONTH($A86)-1)*12)+VLOOKUP(AH$4,$DE$6:$DF$17,2)+1))*(VLOOKUP($A86,CURVES!$D$9:$T$261,6))*(INDEX(DailyScalarsTable,AH$5/100,MONTH($A86)))*$C86</f>
        <v>-8306.7774106182751</v>
      </c>
      <c r="AI86" s="1021">
        <f>(VLOOKUP(YEAR($A86),'NY East Load Projections'!$A$4:$EO$14,((MONTH($A86)-1)*12)+VLOOKUP(AI$4,$DE$6:$DF$17,2)+1))*(VLOOKUP($A86,CURVES!$D$9:$T$261,6))*(INDEX(DailyScalarsTable,AI$5/100,MONTH($A86)))*$C86</f>
        <v>-7789.7081739990153</v>
      </c>
      <c r="AJ86" s="1021">
        <f>(VLOOKUP(YEAR($A86),'NY East Load Projections'!$A$4:$EO$14,((MONTH($A86)-1)*12)+VLOOKUP(AJ$4,$DE$6:$DF$17,2)+1))*(VLOOKUP($A86,CURVES!$D$9:$T$261,6))*(INDEX(DailyScalarsTable,AJ$5/100,MONTH($A86)))*$C86</f>
        <v>-7905.146887290759</v>
      </c>
      <c r="AK86" s="1021">
        <f>(VLOOKUP(YEAR($A86),'NY East Load Projections'!$A$4:$EO$14,((MONTH($A86)-1)*12)+VLOOKUP(AK$4,$DE$6:$DF$17,2)+1))*(VLOOKUP($A86,CURVES!$D$9:$T$261,6))*(INDEX(DailyScalarsTable,AK$5/100,MONTH($A86)))*$C86</f>
        <v>-8602.0848316689371</v>
      </c>
      <c r="AL86" s="1021">
        <f>(VLOOKUP(YEAR($A86),'NY East Load Projections'!$A$4:$EO$14,((MONTH($A86)-1)*12)+VLOOKUP(AL$4,$DE$6:$DF$17,2)+1))*(VLOOKUP($A86,CURVES!$D$9:$T$261,6))*(INDEX(DailyScalarsTable,AL$5/100,MONTH($A86)))*$C86</f>
        <v>-9954.5681610775773</v>
      </c>
      <c r="AM86" s="1021">
        <f>(VLOOKUP(YEAR($A86),'NY East Load Projections'!$A$4:$EO$14,((MONTH($A86)-1)*12)+VLOOKUP(AM$4,$DE$6:$DF$17,2)+1))*(VLOOKUP($A86,CURVES!$D$9:$T$261,6))*(INDEX(DailyScalarsTable,AM$5/100,MONTH($A86)))*$C86</f>
        <v>-13536.952320335589</v>
      </c>
      <c r="AN86" s="1021">
        <f>(VLOOKUP(YEAR($A86),'NY East Load Projections'!$A$4:$EO$14,((MONTH($A86)-1)*12)+VLOOKUP(AN$4,$DE$6:$DF$17,2)+1))*(VLOOKUP($A86,SatSunCurve,2))*(INDEX(DailyScalarsTable,AN$5/100,MONTH($A86)))*$C86</f>
        <v>-8762.8181383842966</v>
      </c>
      <c r="AO86" s="1021">
        <f>(VLOOKUP(YEAR($A86),'NY East Load Projections'!$A$4:$EO$14,((MONTH($A86)-1)*12)+VLOOKUP(AO$4,$DE$6:$DF$17,2)+1))*(VLOOKUP($A86,SatSunCurve,2))*(INDEX(DailyScalarsTable,AO$5/100,MONTH($A86)))*$C86</f>
        <v>-9521.5049821273005</v>
      </c>
      <c r="AP86" s="1021">
        <f>(VLOOKUP(YEAR($A86),'NY East Load Projections'!$A$4:$EO$14,((MONTH($A86)-1)*12)+VLOOKUP(AP$4,$DE$6:$DF$17,2)+1))*(VLOOKUP($A86,SatSunCurve,2))*(INDEX(DailyScalarsTable,AP$5/100,MONTH($A86)))*$C86</f>
        <v>-11885.819309673077</v>
      </c>
      <c r="AQ86" s="1021">
        <f>(VLOOKUP(YEAR($A86),'NY East Load Projections'!$A$4:$EO$14,((MONTH($A86)-1)*12)+VLOOKUP(AQ$4,$DE$6:$DF$17,2)+1))*(VLOOKUP($A86,SatSunCurve,2))*(INDEX(DailyScalarsTable,AQ$5/100,MONTH($A86)))*$C86</f>
        <v>-12693.504328399897</v>
      </c>
      <c r="AR86" s="1021">
        <f>(VLOOKUP(YEAR($A86),'NY East Load Projections'!$A$4:$EO$14,((MONTH($A86)-1)*12)+VLOOKUP(AR$4,$DE$6:$DF$17,2)+1))*(VLOOKUP($A86,SatSunCurve,2))*(INDEX(DailyScalarsTable,AR$5/100,MONTH($A86)))*$C86</f>
        <v>-13525.052768134556</v>
      </c>
      <c r="AS86" s="1021">
        <f>(VLOOKUP(YEAR($A86),'NY East Load Projections'!$A$4:$EO$14,((MONTH($A86)-1)*12)+VLOOKUP(AS$4,$DE$6:$DF$17,2)+1))*(VLOOKUP($A86,SatSunCurve,2))*(INDEX(DailyScalarsTable,AS$5/100,MONTH($A86)))*$C86</f>
        <v>-13123.433757383389</v>
      </c>
      <c r="AT86" s="1021">
        <f>(VLOOKUP(YEAR($A86),'NY East Load Projections'!$A$4:$EO$14,((MONTH($A86)-1)*12)+VLOOKUP(AT$4,$DE$6:$DF$17,2)+1))*(VLOOKUP($A86,SatSunCurve,2))*(INDEX(DailyScalarsTable,AT$5/100,MONTH($A86)))*$C86</f>
        <v>-14206.536155904338</v>
      </c>
      <c r="AU86" s="1021">
        <f>(VLOOKUP(YEAR($A86),'NY East Load Projections'!$A$4:$EO$14,((MONTH($A86)-1)*12)+VLOOKUP(AU$4,$DE$6:$DF$17,2)+1))*(VLOOKUP($A86,SatSunCurve,2))*(INDEX(DailyScalarsTable,AU$5/100,MONTH($A86)))*$C86</f>
        <v>-13982.38105081914</v>
      </c>
      <c r="AV86" s="1021">
        <f>(VLOOKUP(YEAR($A86),'NY East Load Projections'!$A$4:$EO$14,((MONTH($A86)-1)*12)+VLOOKUP(AV$4,$DE$6:$DF$17,2)+1))*(VLOOKUP($A86,SatSunCurve,2))*(INDEX(DailyScalarsTable,AV$5/100,MONTH($A86)))*$C86</f>
        <v>-13545.372778720248</v>
      </c>
      <c r="AW86" s="1021">
        <f>(VLOOKUP(YEAR($A86),'NY East Load Projections'!$A$4:$EO$14,((MONTH($A86)-1)*12)+VLOOKUP(AW$4,$DE$6:$DF$17,2)+1))*(VLOOKUP($A86,SatSunCurve,2))*(INDEX(DailyScalarsTable,AW$5/100,MONTH($A86)))*$C86</f>
        <v>-13768.752575815455</v>
      </c>
      <c r="AX86" s="1021">
        <f>(VLOOKUP(YEAR($A86),'NY East Load Projections'!$A$4:$EO$14,((MONTH($A86)-1)*12)+VLOOKUP(AX$4,$DE$6:$DF$17,2)+1))*(VLOOKUP($A86,SatSunCurve,2))*(INDEX(DailyScalarsTable,AX$5/100,MONTH($A86)))*$C86</f>
        <v>-13430.97814206401</v>
      </c>
      <c r="AY86" s="1021">
        <f>(VLOOKUP(YEAR($A86),'NY East Load Projections'!$A$4:$EO$14,((MONTH($A86)-1)*12)+VLOOKUP(AY$4,$DE$6:$DF$17,2)+1))*(VLOOKUP($A86,SatSunCurve,2))*(INDEX(DailyScalarsTable,AY$5/100,MONTH($A86)))*$C86</f>
        <v>-11000.779979231247</v>
      </c>
      <c r="AZ86" s="1021">
        <f>(VLOOKUP(YEAR($A86),'NY East Load Projections'!$A$4:$EO$14,((MONTH($A86)-1)*12)+VLOOKUP(AZ$4,$DE$6:$DF$17,2)+1))*(VLOOKUP($A86,SatSunCurve,2))*(INDEX(DailyScalarsTable,AZ$5/100,MONTH($A86)))*$C86</f>
        <v>-14376.746556568054</v>
      </c>
      <c r="BA86" s="1021">
        <f>(VLOOKUP(YEAR($A86),'NY East Load Projections'!$A$4:$EO$14,((MONTH($A86)-1)*12)+VLOOKUP(BA$4,$DE$6:$DF$17,2)+1))*(VLOOKUP($A86,SatSunCurve,2))*(INDEX(DailyScalarsTable,BA$5/100,MONTH($A86)))*$C86</f>
        <v>-13890.019705577924</v>
      </c>
      <c r="BB86" s="1021">
        <f>(VLOOKUP(YEAR($A86),'NY East Load Projections'!$A$4:$EO$14,((MONTH($A86)-1)*12)+VLOOKUP(BB$4,$DE$6:$DF$17,2)+1))*(VLOOKUP($A86,SatSunCurve,2))*(INDEX(DailyScalarsTable,BB$5/100,MONTH($A86)))*$C86</f>
        <v>-10571.67798538344</v>
      </c>
      <c r="BC86" s="1021">
        <f>(VLOOKUP(YEAR($A86),'NY East Load Projections'!$A$4:$EO$14,((MONTH($A86)-1)*12)+VLOOKUP(BC$4,$DE$6:$DF$17,2)+1))*(VLOOKUP($A86,SatSunCurve,2))*(INDEX(DailyScalarsTable,BC$5/100,MONTH($A86)))*$C86</f>
        <v>-8377.6204209016742</v>
      </c>
      <c r="BD86" s="1021">
        <f>(VLOOKUP(YEAR($A86),'NY East Load Projections'!$A$4:$EO$14,((MONTH($A86)-1)*12)+VLOOKUP(BD$4,$DE$6:$DF$17,2)+1))*(VLOOKUP($A86,CURVES!$D$9:$T$261,6))*(INDEX(DailyScalarsTable,BD$5/100,MONTH($A86)))*$C86</f>
        <v>-11108.246705315434</v>
      </c>
      <c r="BE86" s="1021"/>
      <c r="BF86" s="1021">
        <f>(VLOOKUP(YEAR($A86),'NY East Load Projections'!$A$4:$EO$14,((MONTH($A86)-1)*12)+VLOOKUP(BF$4,$DE$6:$DF$17,2)+1))*(VLOOKUP($A86,CURVES!$D$9:$T$261,6))*(INDEX(DailyScalarsTable,BF$5/100,MONTH($A86)))*$D86</f>
        <v>-9468.379463116431</v>
      </c>
      <c r="BG86" s="1021">
        <f>(VLOOKUP(YEAR($A86),'NY East Load Projections'!$A$4:$EO$14,((MONTH($A86)-1)*12)+VLOOKUP(BG$4,$DE$6:$DF$17,2)+1))*(VLOOKUP($A86,CURVES!$D$9:$T$261,6))*(INDEX(DailyScalarsTable,BG$5/100,MONTH($A86)))*$D86</f>
        <v>-8306.7774106182751</v>
      </c>
      <c r="BH86" s="1021">
        <f>(VLOOKUP(YEAR($A86),'NY East Load Projections'!$A$4:$EO$14,((MONTH($A86)-1)*12)+VLOOKUP(BH$4,$DE$6:$DF$17,2)+1))*(VLOOKUP($A86,CURVES!$D$9:$T$261,6))*(INDEX(DailyScalarsTable,BH$5/100,MONTH($A86)))*$D86</f>
        <v>-7789.7081739990153</v>
      </c>
      <c r="BI86" s="1021">
        <f>(VLOOKUP(YEAR($A86),'NY East Load Projections'!$A$4:$EO$14,((MONTH($A86)-1)*12)+VLOOKUP(BI$4,$DE$6:$DF$17,2)+1))*(VLOOKUP($A86,CURVES!$D$9:$T$261,6))*(INDEX(DailyScalarsTable,BI$5/100,MONTH($A86)))*$D86</f>
        <v>-7905.146887290759</v>
      </c>
      <c r="BJ86" s="1021">
        <f>(VLOOKUP(YEAR($A86),'NY East Load Projections'!$A$4:$EO$14,((MONTH($A86)-1)*12)+VLOOKUP(BJ$4,$DE$6:$DF$17,2)+1))*(VLOOKUP($A86,CURVES!$D$9:$T$261,6))*(INDEX(DailyScalarsTable,BJ$5/100,MONTH($A86)))*$D86</f>
        <v>-8602.0848316689371</v>
      </c>
      <c r="BK86" s="1021">
        <f>(VLOOKUP(YEAR($A86),'NY East Load Projections'!$A$4:$EO$14,((MONTH($A86)-1)*12)+VLOOKUP(BK$4,$DE$6:$DF$17,2)+1))*(VLOOKUP($A86,CURVES!$D$9:$T$261,6))*(INDEX(DailyScalarsTable,BK$5/100,MONTH($A86)))*$D86</f>
        <v>-9954.5681610775773</v>
      </c>
      <c r="BL86" s="1021">
        <f>(VLOOKUP(YEAR($A86),'NY East Load Projections'!$A$4:$EO$14,((MONTH($A86)-1)*12)+VLOOKUP(BL$4,$DE$6:$DF$17,2)+1))*(VLOOKUP($A86,CURVES!$D$9:$T$261,6))*(INDEX(DailyScalarsTable,BL$5/100,MONTH($A86)))*$D86</f>
        <v>-13536.952320335589</v>
      </c>
      <c r="BM86" s="1021">
        <f>(VLOOKUP(YEAR($A86),'NY East Load Projections'!$A$4:$EO$14,((MONTH($A86)-1)*12)+VLOOKUP(BM$4,$DE$6:$DF$17,2)+1))*(VLOOKUP($A86,SatSunCurve,6))*(INDEX(DailyScalarsTable,BM$5/100,MONTH($A86)))*$D86</f>
        <v>-8057.3209790675182</v>
      </c>
      <c r="BN86" s="1021">
        <f>(VLOOKUP(YEAR($A86),'NY East Load Projections'!$A$4:$EO$14,((MONTH($A86)-1)*12)+VLOOKUP(BN$4,$DE$6:$DF$17,2)+1))*(VLOOKUP($A86,SatSunCurve,6))*(INDEX(DailyScalarsTable,BN$5/100,MONTH($A86)))*$D86</f>
        <v>-8754.9257137653622</v>
      </c>
      <c r="BO86" s="1021">
        <f>(VLOOKUP(YEAR($A86),'NY East Load Projections'!$A$4:$EO$14,((MONTH($A86)-1)*12)+VLOOKUP(BO$4,$DE$6:$DF$17,2)+1))*(VLOOKUP($A86,SatSunCurve,6))*(INDEX(DailyScalarsTable,BO$5/100,MONTH($A86)))*$D86</f>
        <v>-10928.888374133547</v>
      </c>
      <c r="BP86" s="1021">
        <f>(VLOOKUP(YEAR($A86),'NY East Load Projections'!$A$4:$EO$14,((MONTH($A86)-1)*12)+VLOOKUP(BP$4,$DE$6:$DF$17,2)+1))*(VLOOKUP($A86,SatSunCurve,6))*(INDEX(DailyScalarsTable,BP$5/100,MONTH($A86)))*$D86</f>
        <v>-11671.546425812121</v>
      </c>
      <c r="BQ86" s="1021">
        <f>(VLOOKUP(YEAR($A86),'NY East Load Projections'!$A$4:$EO$14,((MONTH($A86)-1)*12)+VLOOKUP(BQ$4,$DE$6:$DF$17,2)+1))*(VLOOKUP($A86,SatSunCurve,6))*(INDEX(DailyScalarsTable,BQ$5/100,MONTH($A86)))*$D86</f>
        <v>-12436.146647199381</v>
      </c>
      <c r="BR86" s="1021">
        <f>(VLOOKUP(YEAR($A86),'NY East Load Projections'!$A$4:$EO$14,((MONTH($A86)-1)*12)+VLOOKUP(BR$4,$DE$6:$DF$17,2)+1))*(VLOOKUP($A86,SatSunCurve,6))*(INDEX(DailyScalarsTable,BR$5/100,MONTH($A86)))*$D86</f>
        <v>-12066.862105421318</v>
      </c>
      <c r="BS86" s="1021">
        <f>(VLOOKUP(YEAR($A86),'NY East Load Projections'!$A$4:$EO$14,((MONTH($A86)-1)*12)+VLOOKUP(BS$4,$DE$6:$DF$17,2)+1))*(VLOOKUP($A86,SatSunCurve,6))*(INDEX(DailyScalarsTable,BS$5/100,MONTH($A86)))*$D86</f>
        <v>-13062.763599696795</v>
      </c>
      <c r="BT86" s="1021">
        <f>(VLOOKUP(YEAR($A86),'NY East Load Projections'!$A$4:$EO$14,((MONTH($A86)-1)*12)+VLOOKUP(BT$4,$DE$6:$DF$17,2)+1))*(VLOOKUP($A86,SatSunCurve,6))*(INDEX(DailyScalarsTable,BT$5/100,MONTH($A86)))*$D86</f>
        <v>-12856.655290446746</v>
      </c>
      <c r="BU86" s="1021">
        <f>(VLOOKUP(YEAR($A86),'NY East Load Projections'!$A$4:$EO$14,((MONTH($A86)-1)*12)+VLOOKUP(BU$4,$DE$6:$DF$17,2)+1))*(VLOOKUP($A86,SatSunCurve,6))*(INDEX(DailyScalarsTable,BU$5/100,MONTH($A86)))*$D86</f>
        <v>-12454.830687539072</v>
      </c>
      <c r="BV86" s="1021">
        <f>(VLOOKUP(YEAR($A86),'NY East Load Projections'!$A$4:$EO$14,((MONTH($A86)-1)*12)+VLOOKUP(BV$4,$DE$6:$DF$17,2)+1))*(VLOOKUP($A86,SatSunCurve,6))*(INDEX(DailyScalarsTable,BV$5/100,MONTH($A86)))*$D86</f>
        <v>-12660.226109081726</v>
      </c>
      <c r="BW86" s="1021">
        <f>(VLOOKUP(YEAR($A86),'NY East Load Projections'!$A$4:$EO$14,((MONTH($A86)-1)*12)+VLOOKUP(BW$4,$DE$6:$DF$17,2)+1))*(VLOOKUP($A86,SatSunCurve,6))*(INDEX(DailyScalarsTable,BW$5/100,MONTH($A86)))*$D86</f>
        <v>-12349.645997948668</v>
      </c>
      <c r="BX86" s="1021">
        <f>(VLOOKUP(YEAR($A86),'NY East Load Projections'!$A$4:$EO$14,((MONTH($A86)-1)*12)+VLOOKUP(BX$4,$DE$6:$DF$17,2)+1))*(VLOOKUP($A86,SatSunCurve,6))*(INDEX(DailyScalarsTable,BX$5/100,MONTH($A86)))*$D86</f>
        <v>-10115.103829954513</v>
      </c>
      <c r="BY86" s="1021">
        <f>(VLOOKUP(YEAR($A86),'NY East Load Projections'!$A$4:$EO$14,((MONTH($A86)-1)*12)+VLOOKUP(BY$4,$DE$6:$DF$17,2)+1))*(VLOOKUP($A86,SatSunCurve,6))*(INDEX(DailyScalarsTable,BY$5/100,MONTH($A86)))*$D86</f>
        <v>-13219.27030912123</v>
      </c>
      <c r="BZ86" s="1021">
        <f>(VLOOKUP(YEAR($A86),'NY East Load Projections'!$A$4:$EO$14,((MONTH($A86)-1)*12)+VLOOKUP(BZ$4,$DE$6:$DF$17,2)+1))*(VLOOKUP($A86,SatSunCurve,6))*(INDEX(DailyScalarsTable,BZ$5/100,MONTH($A86)))*$D86</f>
        <v>-12771.729985263575</v>
      </c>
      <c r="CA86" s="1021">
        <f>(VLOOKUP(YEAR($A86),'NY East Load Projections'!$A$4:$EO$14,((MONTH($A86)-1)*12)+VLOOKUP(CA$4,$DE$6:$DF$17,2)+1))*(VLOOKUP($A86,SatSunCurve,6))*(INDEX(DailyScalarsTable,CA$5/100,MONTH($A86)))*$D86</f>
        <v>-9720.5489684260137</v>
      </c>
      <c r="CB86" s="1021">
        <f>(VLOOKUP(YEAR($A86),'NY East Load Projections'!$A$4:$EO$14,((MONTH($A86)-1)*12)+VLOOKUP(CB$4,$DE$6:$DF$17,2)+1))*(VLOOKUP($A86,SatSunCurve,6))*(INDEX(DailyScalarsTable,CB$5/100,MONTH($A86)))*$D86</f>
        <v>-7703.1356472315765</v>
      </c>
      <c r="CC86" s="1021">
        <f>(VLOOKUP(YEAR($A86),'NY East Load Projections'!$A$4:$EO$14,((MONTH($A86)-1)*12)+VLOOKUP(CC$4,$DE$6:$DF$17,2)+1))*(VLOOKUP($A86,CURVES!$D$9:$T$261,6))*(INDEX(DailyScalarsTable,CC$5/100,MONTH($A86)))*$D86</f>
        <v>-11108.246705315434</v>
      </c>
      <c r="CE86" s="1021">
        <f>(VLOOKUP(YEAR($A86),'NY East Load Projections'!$A$4:$EO$14,((MONTH($A86)-1)*12)+VLOOKUP(CE$4,$DE$6:$DF$17,2)+1))*(VLOOKUP($A86,CURVES!$D$9:$T$261,6))*(INDEX(DailyScalarsTable,CE$5/100,MONTH($A86)))*$E86</f>
        <v>-1893.6758926232862</v>
      </c>
      <c r="CF86" s="1021">
        <f>(VLOOKUP(YEAR($A86),'NY East Load Projections'!$A$4:$EO$14,((MONTH($A86)-1)*12)+VLOOKUP(CF$4,$DE$6:$DF$17,2)+1))*(VLOOKUP($A86,CURVES!$D$9:$T$261,6))*(INDEX(DailyScalarsTable,CF$5/100,MONTH($A86)))*$E86</f>
        <v>-1661.3554821236551</v>
      </c>
      <c r="CG86" s="1021">
        <f>(VLOOKUP(YEAR($A86),'NY East Load Projections'!$A$4:$EO$14,((MONTH($A86)-1)*12)+VLOOKUP(CG$4,$DE$6:$DF$17,2)+1))*(VLOOKUP($A86,CURVES!$D$9:$T$261,6))*(INDEX(DailyScalarsTable,CG$5/100,MONTH($A86)))*$E86</f>
        <v>-1557.9416347998031</v>
      </c>
      <c r="CH86" s="1021">
        <f>(VLOOKUP(YEAR($A86),'NY East Load Projections'!$A$4:$EO$14,((MONTH($A86)-1)*12)+VLOOKUP(CH$4,$DE$6:$DF$17,2)+1))*(VLOOKUP($A86,CURVES!$D$9:$T$261,6))*(INDEX(DailyScalarsTable,CH$5/100,MONTH($A86)))*$E86</f>
        <v>-1581.0293774581519</v>
      </c>
      <c r="CI86" s="1021">
        <f>(VLOOKUP(YEAR($A86),'NY East Load Projections'!$A$4:$EO$14,((MONTH($A86)-1)*12)+VLOOKUP(CI$4,$DE$6:$DF$17,2)+1))*(VLOOKUP($A86,CURVES!$D$9:$T$261,6))*(INDEX(DailyScalarsTable,CI$5/100,MONTH($A86)))*$E86</f>
        <v>-1720.4169663337873</v>
      </c>
      <c r="CJ86" s="1021">
        <f>(VLOOKUP(YEAR($A86),'NY East Load Projections'!$A$4:$EO$14,((MONTH($A86)-1)*12)+VLOOKUP(CJ$4,$DE$6:$DF$17,2)+1))*(VLOOKUP($A86,CURVES!$D$9:$T$261,6))*(INDEX(DailyScalarsTable,CJ$5/100,MONTH($A86)))*$E86</f>
        <v>-1990.9136322155155</v>
      </c>
      <c r="CK86" s="1021">
        <f>(VLOOKUP(YEAR($A86),'NY East Load Projections'!$A$4:$EO$14,((MONTH($A86)-1)*12)+VLOOKUP(CK$4,$DE$6:$DF$17,2)+1))*(VLOOKUP($A86,CURVES!$D$9:$T$261,6))*(INDEX(DailyScalarsTable,CK$5/100,MONTH($A86)))*$E86</f>
        <v>-2707.390464067118</v>
      </c>
      <c r="CL86" s="1021">
        <f>(VLOOKUP(YEAR($A86),'NY East Load Projections'!$A$4:$EO$14,((MONTH($A86)-1)*12)+VLOOKUP(CL$4,$DE$6:$DF$17,2)+1))*(VLOOKUP($A86,SatSunCurve,6))*(INDEX(DailyScalarsTable,CL$5/100,MONTH($A86)))*$E86</f>
        <v>-1611.4641958135037</v>
      </c>
      <c r="CM86" s="1021">
        <f>(VLOOKUP(YEAR($A86),'NY East Load Projections'!$A$4:$EO$14,((MONTH($A86)-1)*12)+VLOOKUP(CM$4,$DE$6:$DF$17,2)+1))*(VLOOKUP($A86,SatSunCurve,6))*(INDEX(DailyScalarsTable,CM$5/100,MONTH($A86)))*$E86</f>
        <v>-1750.9851427530725</v>
      </c>
      <c r="CN86" s="1021">
        <f>(VLOOKUP(YEAR($A86),'NY East Load Projections'!$A$4:$EO$14,((MONTH($A86)-1)*12)+VLOOKUP(CN$4,$DE$6:$DF$17,2)+1))*(VLOOKUP($A86,SatSunCurve,6))*(INDEX(DailyScalarsTable,CN$5/100,MONTH($A86)))*$E86</f>
        <v>-2185.7776748267092</v>
      </c>
      <c r="CO86" s="1021">
        <f>(VLOOKUP(YEAR($A86),'NY East Load Projections'!$A$4:$EO$14,((MONTH($A86)-1)*12)+VLOOKUP(CO$4,$DE$6:$DF$17,2)+1))*(VLOOKUP($A86,SatSunCurve,6))*(INDEX(DailyScalarsTable,CO$5/100,MONTH($A86)))*$E86</f>
        <v>-2334.3092851624242</v>
      </c>
      <c r="CP86" s="1021">
        <f>(VLOOKUP(YEAR($A86),'NY East Load Projections'!$A$4:$EO$14,((MONTH($A86)-1)*12)+VLOOKUP(CP$4,$DE$6:$DF$17,2)+1))*(VLOOKUP($A86,SatSunCurve,6))*(INDEX(DailyScalarsTable,CP$5/100,MONTH($A86)))*$E86</f>
        <v>-2487.229329439876</v>
      </c>
      <c r="CQ86" s="1021">
        <f>(VLOOKUP(YEAR($A86),'NY East Load Projections'!$A$4:$EO$14,((MONTH($A86)-1)*12)+VLOOKUP(CQ$4,$DE$6:$DF$17,2)+1))*(VLOOKUP($A86,SatSunCurve,6))*(INDEX(DailyScalarsTable,CQ$5/100,MONTH($A86)))*$E86</f>
        <v>-2413.3724210842638</v>
      </c>
      <c r="CR86" s="1021">
        <f>(VLOOKUP(YEAR($A86),'NY East Load Projections'!$A$4:$EO$14,((MONTH($A86)-1)*12)+VLOOKUP(CR$4,$DE$6:$DF$17,2)+1))*(VLOOKUP($A86,SatSunCurve,6))*(INDEX(DailyScalarsTable,CR$5/100,MONTH($A86)))*$E86</f>
        <v>-2612.5527199393591</v>
      </c>
      <c r="CS86" s="1021">
        <f>(VLOOKUP(YEAR($A86),'NY East Load Projections'!$A$4:$EO$14,((MONTH($A86)-1)*12)+VLOOKUP(CS$4,$DE$6:$DF$17,2)+1))*(VLOOKUP($A86,SatSunCurve,6))*(INDEX(DailyScalarsTable,CS$5/100,MONTH($A86)))*$E86</f>
        <v>-2571.3310580893494</v>
      </c>
      <c r="CT86" s="1021">
        <f>(VLOOKUP(YEAR($A86),'NY East Load Projections'!$A$4:$EO$14,((MONTH($A86)-1)*12)+VLOOKUP(CT$4,$DE$6:$DF$17,2)+1))*(VLOOKUP($A86,SatSunCurve,6))*(INDEX(DailyScalarsTable,CT$5/100,MONTH($A86)))*$E86</f>
        <v>-2490.9661375078144</v>
      </c>
      <c r="CU86" s="1021">
        <f>(VLOOKUP(YEAR($A86),'NY East Load Projections'!$A$4:$EO$14,((MONTH($A86)-1)*12)+VLOOKUP(CU$4,$DE$6:$DF$17,2)+1))*(VLOOKUP($A86,SatSunCurve,6))*(INDEX(DailyScalarsTable,CU$5/100,MONTH($A86)))*$E86</f>
        <v>-2532.0452218163455</v>
      </c>
      <c r="CV86" s="1021">
        <f>(VLOOKUP(YEAR($A86),'NY East Load Projections'!$A$4:$EO$14,((MONTH($A86)-1)*12)+VLOOKUP(CV$4,$DE$6:$DF$17,2)+1))*(VLOOKUP($A86,SatSunCurve,6))*(INDEX(DailyScalarsTable,CV$5/100,MONTH($A86)))*$E86</f>
        <v>-2469.9291995897338</v>
      </c>
      <c r="CW86" s="1021">
        <f>(VLOOKUP(YEAR($A86),'NY East Load Projections'!$A$4:$EO$14,((MONTH($A86)-1)*12)+VLOOKUP(CW$4,$DE$6:$DF$17,2)+1))*(VLOOKUP($A86,SatSunCurve,6))*(INDEX(DailyScalarsTable,CW$5/100,MONTH($A86)))*$E86</f>
        <v>-2023.0207659909026</v>
      </c>
      <c r="CX86" s="1021">
        <f>(VLOOKUP(YEAR($A86),'NY East Load Projections'!$A$4:$EO$14,((MONTH($A86)-1)*12)+VLOOKUP(CX$4,$DE$6:$DF$17,2)+1))*(VLOOKUP($A86,SatSunCurve,6))*(INDEX(DailyScalarsTable,CX$5/100,MONTH($A86)))*$E86</f>
        <v>-2643.8540618242459</v>
      </c>
      <c r="CY86" s="1021">
        <f>(VLOOKUP(YEAR($A86),'NY East Load Projections'!$A$4:$EO$14,((MONTH($A86)-1)*12)+VLOOKUP(CY$4,$DE$6:$DF$17,2)+1))*(VLOOKUP($A86,SatSunCurve,6))*(INDEX(DailyScalarsTable,CY$5/100,MONTH($A86)))*$E86</f>
        <v>-2554.3459970527151</v>
      </c>
      <c r="CZ86" s="1021">
        <f>(VLOOKUP(YEAR($A86),'NY East Load Projections'!$A$4:$EO$14,((MONTH($A86)-1)*12)+VLOOKUP(CZ$4,$DE$6:$DF$17,2)+1))*(VLOOKUP($A86,SatSunCurve,6))*(INDEX(DailyScalarsTable,CZ$5/100,MONTH($A86)))*$E86</f>
        <v>-1944.1097936852029</v>
      </c>
      <c r="DA86" s="1021">
        <f>(VLOOKUP(YEAR($A86),'NY East Load Projections'!$A$4:$EO$14,((MONTH($A86)-1)*12)+VLOOKUP(DA$4,$DE$6:$DF$17,2)+1))*(VLOOKUP($A86,SatSunCurve,6))*(INDEX(DailyScalarsTable,DA$5/100,MONTH($A86)))*$E86</f>
        <v>-1540.6271294463154</v>
      </c>
      <c r="DB86" s="1021">
        <f>(VLOOKUP(YEAR($A86),'NY East Load Projections'!$A$4:$EO$14,((MONTH($A86)-1)*12)+VLOOKUP(DB$4,$DE$6:$DF$17,2)+1))*(VLOOKUP($A86,CURVES!$D$9:$T$261,6))*(INDEX(DailyScalarsTable,DB$5/100,MONTH($A86)))*$E86</f>
        <v>-2221.6493410630869</v>
      </c>
      <c r="DH86" s="1021">
        <f t="shared" si="2"/>
        <v>-1913936.8278091727</v>
      </c>
      <c r="DI86">
        <f ca="1">CALC!J106</f>
        <v>0.57531267715270051</v>
      </c>
      <c r="DJ86" s="1029">
        <f t="shared" ca="1" si="3"/>
        <v>-1101112.1203080423</v>
      </c>
    </row>
    <row r="87" spans="1:114" x14ac:dyDescent="0.25">
      <c r="A87" s="244">
        <v>39356</v>
      </c>
      <c r="B87" s="13">
        <v>23</v>
      </c>
      <c r="C87" s="210">
        <v>4</v>
      </c>
      <c r="D87" s="210">
        <v>4</v>
      </c>
      <c r="E87" s="210">
        <v>0</v>
      </c>
      <c r="F87" s="13">
        <v>31</v>
      </c>
      <c r="H87" s="1021">
        <f>(VLOOKUP(YEAR($A87),'NY East Load Projections'!$A$4:$EO$14,((MONTH($A87)-1)*12)+VLOOKUP(H$4,$DE$6:$DF$17,2)+1))*(VLOOKUP($A87,CURVES!$D$9:$K$261,6))*(INDEX(DailyScalarsTable,H$5/100,MONTH($A87)))*$B87</f>
        <v>-37077.754265038398</v>
      </c>
      <c r="I87" s="1021">
        <f>(VLOOKUP(YEAR($A87),'NY East Load Projections'!$A$4:$EO$14,((MONTH($A87)-1)*12)+VLOOKUP(I$4,$DE$6:$DF$17,2)+1))*(VLOOKUP($A87,CURVES!$D$9:$K$261,6))*(INDEX(DailyScalarsTable,I$5/100,MONTH($A87)))*$B87</f>
        <v>-35191.650493578309</v>
      </c>
      <c r="J87" s="1021">
        <f>(VLOOKUP(YEAR($A87),'NY East Load Projections'!$A$4:$EO$14,((MONTH($A87)-1)*12)+VLOOKUP(J$4,$DE$6:$DF$17,2)+1))*(VLOOKUP($A87,CURVES!$D$9:$K$261,6))*(INDEX(DailyScalarsTable,J$5/100,MONTH($A87)))*$B87</f>
        <v>-33805.383746438907</v>
      </c>
      <c r="K87" s="1021">
        <f>(VLOOKUP(YEAR($A87),'NY East Load Projections'!$A$4:$EO$14,((MONTH($A87)-1)*12)+VLOOKUP(K$4,$DE$6:$DF$17,2)+1))*(VLOOKUP($A87,CURVES!$D$9:$K$261,6))*(INDEX(DailyScalarsTable,K$5/100,MONTH($A87)))*$B87</f>
        <v>-33824.908630201433</v>
      </c>
      <c r="L87" s="1021">
        <f>(VLOOKUP(YEAR($A87),'NY East Load Projections'!$A$4:$EO$14,((MONTH($A87)-1)*12)+VLOOKUP(L$4,$DE$6:$DF$17,2)+1))*(VLOOKUP($A87,CURVES!$D$9:$K$261,6))*(INDEX(DailyScalarsTable,L$5/100,MONTH($A87)))*$B87</f>
        <v>-39370.055049443312</v>
      </c>
      <c r="M87" s="1021">
        <f>(VLOOKUP(YEAR($A87),'NY East Load Projections'!$A$4:$EO$14,((MONTH($A87)-1)*12)+VLOOKUP(M$4,$DE$6:$DF$17,2)+1))*(VLOOKUP($A87,CURVES!$D$9:$K$261,6))*(INDEX(DailyScalarsTable,M$5/100,MONTH($A87)))*$B87</f>
        <v>-45229.882994740918</v>
      </c>
      <c r="N87" s="1021">
        <f>(VLOOKUP(YEAR($A87),'NY East Load Projections'!$A$4:$EO$14,((MONTH($A87)-1)*12)+VLOOKUP(N$4,$DE$6:$DF$17,2)+1))*(VLOOKUP($A87,CURVES!$D$9:$K$261,6))*(INDEX(DailyScalarsTable,N$5/100,MONTH($A87)))*$B87</f>
        <v>-58470.799512179161</v>
      </c>
      <c r="O87" s="1021">
        <f>(VLOOKUP(YEAR($A87),'NY East Load Projections'!$A$4:$EO$14,((MONTH($A87)-1)*12)+VLOOKUP(O$4,$DE$6:$DF$17,2)+1))*(VLOOKUP($A87,CURVES!$D$9:$K$261,2))*(INDEX(DailyScalarsTable,O$5/100,MONTH($A87)))*$B87</f>
        <v>-69876.889014599423</v>
      </c>
      <c r="P87" s="1021">
        <f>(VLOOKUP(YEAR($A87),'NY East Load Projections'!$A$4:$EO$14,((MONTH($A87)-1)*12)+VLOOKUP(P$4,$DE$6:$DF$17,2)+1))*(VLOOKUP($A87,CURVES!$D$9:$K$261,2))*(INDEX(DailyScalarsTable,P$5/100,MONTH($A87)))*$B87</f>
        <v>-80250.868605283584</v>
      </c>
      <c r="Q87" s="1021">
        <f>(VLOOKUP(YEAR($A87),'NY East Load Projections'!$A$4:$EO$14,((MONTH($A87)-1)*12)+VLOOKUP(Q$4,$DE$6:$DF$17,2)+1))*(VLOOKUP($A87,CURVES!$D$9:$K$261,2))*(INDEX(DailyScalarsTable,Q$5/100,MONTH($A87)))*$B87</f>
        <v>-80002.874573746856</v>
      </c>
      <c r="R87" s="1021">
        <f>(VLOOKUP(YEAR($A87),'NY East Load Projections'!$A$4:$EO$14,((MONTH($A87)-1)*12)+VLOOKUP(R$4,$DE$6:$DF$17,2)+1))*(VLOOKUP($A87,CURVES!$D$9:$K$261,2))*(INDEX(DailyScalarsTable,R$5/100,MONTH($A87)))*$B87</f>
        <v>-79549.399773222569</v>
      </c>
      <c r="S87" s="1021">
        <f>(VLOOKUP(YEAR($A87),'NY East Load Projections'!$A$4:$EO$14,((MONTH($A87)-1)*12)+VLOOKUP(S$4,$DE$6:$DF$17,2)+1))*(VLOOKUP($A87,CURVES!$D$9:$K$261,2))*(INDEX(DailyScalarsTable,S$5/100,MONTH($A87)))*$B87</f>
        <v>-67128.441565111847</v>
      </c>
      <c r="T87" s="1021">
        <f>(VLOOKUP(YEAR($A87),'NY East Load Projections'!$A$4:$EO$14,((MONTH($A87)-1)*12)+VLOOKUP(T$4,$DE$6:$DF$17,2)+1))*(VLOOKUP($A87,CURVES!$D$9:$K$261,2))*(INDEX(DailyScalarsTable,T$5/100,MONTH($A87)))*$B87</f>
        <v>-64736.712026532943</v>
      </c>
      <c r="U87" s="1021">
        <f>(VLOOKUP(YEAR($A87),'NY East Load Projections'!$A$4:$EO$14,((MONTH($A87)-1)*12)+VLOOKUP(U$4,$DE$6:$DF$17,2)+1))*(VLOOKUP($A87,CURVES!$D$9:$K$261,2))*(INDEX(DailyScalarsTable,U$5/100,MONTH($A87)))*$B87</f>
        <v>-62939.884532370263</v>
      </c>
      <c r="V87" s="1021">
        <f>(VLOOKUP(YEAR($A87),'NY East Load Projections'!$A$4:$EO$14,((MONTH($A87)-1)*12)+VLOOKUP(V$4,$DE$6:$DF$17,2)+1))*(VLOOKUP($A87,CURVES!$D$9:$K$261,2))*(INDEX(DailyScalarsTable,V$5/100,MONTH($A87)))*$B87</f>
        <v>-61477.688879225738</v>
      </c>
      <c r="W87" s="1021">
        <f>(VLOOKUP(YEAR($A87),'NY East Load Projections'!$A$4:$EO$14,((MONTH($A87)-1)*12)+VLOOKUP(W$4,$DE$6:$DF$17,2)+1))*(VLOOKUP($A87,CURVES!$D$9:$K$261,2))*(INDEX(DailyScalarsTable,W$5/100,MONTH($A87)))*$B87</f>
        <v>-61055.761775333289</v>
      </c>
      <c r="X87" s="1021">
        <f>(VLOOKUP(YEAR($A87),'NY East Load Projections'!$A$4:$EO$14,((MONTH($A87)-1)*12)+VLOOKUP(X$4,$DE$6:$DF$17,2)+1))*(VLOOKUP($A87,CURVES!$D$9:$K$261,2))*(INDEX(DailyScalarsTable,X$5/100,MONTH($A87)))*$B87</f>
        <v>-61705.551371969959</v>
      </c>
      <c r="Y87" s="1021">
        <f>(VLOOKUP(YEAR($A87),'NY East Load Projections'!$A$4:$EO$14,((MONTH($A87)-1)*12)+VLOOKUP(Y$4,$DE$6:$DF$17,2)+1))*(VLOOKUP($A87,CURVES!$D$9:$K$261,2))*(INDEX(DailyScalarsTable,Y$5/100,MONTH($A87)))*$B87</f>
        <v>-83242.841953126306</v>
      </c>
      <c r="Z87" s="1021">
        <f>(VLOOKUP(YEAR($A87),'NY East Load Projections'!$A$4:$EO$14,((MONTH($A87)-1)*12)+VLOOKUP(Z$4,$DE$6:$DF$17,2)+1))*(VLOOKUP($A87,CURVES!$D$9:$K$261,2))*(INDEX(DailyScalarsTable,Z$5/100,MONTH($A87)))*$B87</f>
        <v>-83894.856547209623</v>
      </c>
      <c r="AA87" s="1021">
        <f>(VLOOKUP(YEAR($A87),'NY East Load Projections'!$A$4:$EO$14,((MONTH($A87)-1)*12)+VLOOKUP(AA$4,$DE$6:$DF$17,2)+1))*(VLOOKUP($A87,CURVES!$D$9:$K$261,2))*(INDEX(DailyScalarsTable,AA$5/100,MONTH($A87)))*$B87</f>
        <v>-80232.476699592691</v>
      </c>
      <c r="AB87" s="1021">
        <f>(VLOOKUP(YEAR($A87),'NY East Load Projections'!$A$4:$EO$14,((MONTH($A87)-1)*12)+VLOOKUP(AB$4,$DE$6:$DF$17,2)+1))*(VLOOKUP($A87,CURVES!$D$9:$K$261,2))*(INDEX(DailyScalarsTable,AB$5/100,MONTH($A87)))*$B87</f>
        <v>-67189.211685142916</v>
      </c>
      <c r="AC87" s="1021">
        <f>(VLOOKUP(YEAR($A87),'NY East Load Projections'!$A$4:$EO$14,((MONTH($A87)-1)*12)+VLOOKUP(AC$4,$DE$6:$DF$17,2)+1))*(VLOOKUP($A87,CURVES!$D$9:$K$261,2))*(INDEX(DailyScalarsTable,AC$5/100,MONTH($A87)))*$B87</f>
        <v>-55736.433718043059</v>
      </c>
      <c r="AD87" s="1021">
        <f>(VLOOKUP(YEAR($A87),'NY East Load Projections'!$A$4:$EO$14,((MONTH($A87)-1)*12)+VLOOKUP(AD$4,$DE$6:$DF$17,2)+1))*(VLOOKUP($A87,CURVES!$D$9:$K$261,2))*(INDEX(DailyScalarsTable,AD$5/100,MONTH($A87)))*$B87</f>
        <v>-47520.856987527404</v>
      </c>
      <c r="AE87" s="1021">
        <f>(VLOOKUP(YEAR($A87),'NY East Load Projections'!$A$4:$EO$14,((MONTH($A87)-1)*12)+VLOOKUP(AE$4,$DE$6:$DF$17,2)+1))*(VLOOKUP($A87,CURVES!$D$9:$K$261,6))*(INDEX(DailyScalarsTable,AE$5/100,MONTH($A87)))*$B87</f>
        <v>-42625.114702584448</v>
      </c>
      <c r="AF87" s="1021"/>
      <c r="AG87" s="1021">
        <f>(VLOOKUP(YEAR($A87),'NY East Load Projections'!$A$4:$EO$14,((MONTH($A87)-1)*12)+VLOOKUP(AG$4,$DE$6:$DF$17,2)+1))*(VLOOKUP($A87,CURVES!$D$9:$T$261,6))*(INDEX(DailyScalarsTable,AG$5/100,MONTH($A87)))*$C87</f>
        <v>-6848.5639473375641</v>
      </c>
      <c r="AH87" s="1021">
        <f>(VLOOKUP(YEAR($A87),'NY East Load Projections'!$A$4:$EO$14,((MONTH($A87)-1)*12)+VLOOKUP(AH$4,$DE$6:$DF$17,2)+1))*(VLOOKUP($A87,CURVES!$D$9:$T$261,6))*(INDEX(DailyScalarsTable,AH$5/100,MONTH($A87)))*$C87</f>
        <v>-6500.1851809801074</v>
      </c>
      <c r="AI87" s="1021">
        <f>(VLOOKUP(YEAR($A87),'NY East Load Projections'!$A$4:$EO$14,((MONTH($A87)-1)*12)+VLOOKUP(AI$4,$DE$6:$DF$17,2)+1))*(VLOOKUP($A87,CURVES!$D$9:$T$261,6))*(INDEX(DailyScalarsTable,AI$5/100,MONTH($A87)))*$C87</f>
        <v>-6244.1303941128263</v>
      </c>
      <c r="AJ87" s="1021">
        <f>(VLOOKUP(YEAR($A87),'NY East Load Projections'!$A$4:$EO$14,((MONTH($A87)-1)*12)+VLOOKUP(AJ$4,$DE$6:$DF$17,2)+1))*(VLOOKUP($A87,CURVES!$D$9:$T$261,6))*(INDEX(DailyScalarsTable,AJ$5/100,MONTH($A87)))*$C87</f>
        <v>-6247.7367995616614</v>
      </c>
      <c r="AK87" s="1021">
        <f>(VLOOKUP(YEAR($A87),'NY East Load Projections'!$A$4:$EO$14,((MONTH($A87)-1)*12)+VLOOKUP(AK$4,$DE$6:$DF$17,2)+1))*(VLOOKUP($A87,CURVES!$D$9:$T$261,6))*(INDEX(DailyScalarsTable,AK$5/100,MONTH($A87)))*$C87</f>
        <v>-6784.0523953915563</v>
      </c>
      <c r="AL87" s="1021">
        <f>(VLOOKUP(YEAR($A87),'NY East Load Projections'!$A$4:$EO$14,((MONTH($A87)-1)*12)+VLOOKUP(AL$4,$DE$6:$DF$17,2)+1))*(VLOOKUP($A87,CURVES!$D$9:$T$261,6))*(INDEX(DailyScalarsTable,AL$5/100,MONTH($A87)))*$C87</f>
        <v>-7793.7888501400676</v>
      </c>
      <c r="AM87" s="1021">
        <f>(VLOOKUP(YEAR($A87),'NY East Load Projections'!$A$4:$EO$14,((MONTH($A87)-1)*12)+VLOOKUP(AM$4,$DE$6:$DF$17,2)+1))*(VLOOKUP($A87,CURVES!$D$9:$T$261,6))*(INDEX(DailyScalarsTable,AM$5/100,MONTH($A87)))*$C87</f>
        <v>-10075.397837084491</v>
      </c>
      <c r="AN87" s="1021">
        <f>(VLOOKUP(YEAR($A87),'NY East Load Projections'!$A$4:$EO$14,((MONTH($A87)-1)*12)+VLOOKUP(AN$4,$DE$6:$DF$17,2)+1))*(VLOOKUP($A87,SatSunCurve,2))*(INDEX(DailyScalarsTable,AN$5/100,MONTH($A87)))*$C87</f>
        <v>-9346.6245617130826</v>
      </c>
      <c r="AO87" s="1021">
        <f>(VLOOKUP(YEAR($A87),'NY East Load Projections'!$A$4:$EO$14,((MONTH($A87)-1)*12)+VLOOKUP(AO$4,$DE$6:$DF$17,2)+1))*(VLOOKUP($A87,SatSunCurve,2))*(INDEX(DailyScalarsTable,AO$5/100,MONTH($A87)))*$C87</f>
        <v>-11083.086403186127</v>
      </c>
      <c r="AP87" s="1021">
        <f>(VLOOKUP(YEAR($A87),'NY East Load Projections'!$A$4:$EO$14,((MONTH($A87)-1)*12)+VLOOKUP(AP$4,$DE$6:$DF$17,2)+1))*(VLOOKUP($A87,SatSunCurve,2))*(INDEX(DailyScalarsTable,AP$5/100,MONTH($A87)))*$C87</f>
        <v>-11048.837063250447</v>
      </c>
      <c r="AQ87" s="1021">
        <f>(VLOOKUP(YEAR($A87),'NY East Load Projections'!$A$4:$EO$14,((MONTH($A87)-1)*12)+VLOOKUP(AQ$4,$DE$6:$DF$17,2)+1))*(VLOOKUP($A87,SatSunCurve,2))*(INDEX(DailyScalarsTable,AQ$5/100,MONTH($A87)))*$C87</f>
        <v>-10986.209698796632</v>
      </c>
      <c r="AR87" s="1021">
        <f>(VLOOKUP(YEAR($A87),'NY East Load Projections'!$A$4:$EO$14,((MONTH($A87)-1)*12)+VLOOKUP(AR$4,$DE$6:$DF$17,2)+1))*(VLOOKUP($A87,SatSunCurve,2))*(INDEX(DailyScalarsTable,AR$5/100,MONTH($A87)))*$C87</f>
        <v>-9270.8070443038469</v>
      </c>
      <c r="AS87" s="1021">
        <f>(VLOOKUP(YEAR($A87),'NY East Load Projections'!$A$4:$EO$14,((MONTH($A87)-1)*12)+VLOOKUP(AS$4,$DE$6:$DF$17,2)+1))*(VLOOKUP($A87,SatSunCurve,2))*(INDEX(DailyScalarsTable,AS$5/100,MONTH($A87)))*$C87</f>
        <v>-8865.3220998184788</v>
      </c>
      <c r="AT87" s="1021">
        <f>(VLOOKUP(YEAR($A87),'NY East Load Projections'!$A$4:$EO$14,((MONTH($A87)-1)*12)+VLOOKUP(AT$4,$DE$6:$DF$17,2)+1))*(VLOOKUP($A87,SatSunCurve,2))*(INDEX(DailyScalarsTable,AT$5/100,MONTH($A87)))*$C87</f>
        <v>-8619.2568611787265</v>
      </c>
      <c r="AU87" s="1021">
        <f>(VLOOKUP(YEAR($A87),'NY East Load Projections'!$A$4:$EO$14,((MONTH($A87)-1)*12)+VLOOKUP(AU$4,$DE$6:$DF$17,2)+1))*(VLOOKUP($A87,SatSunCurve,2))*(INDEX(DailyScalarsTable,AU$5/100,MONTH($A87)))*$C87</f>
        <v>-8419.0175374273476</v>
      </c>
      <c r="AV87" s="1021">
        <f>(VLOOKUP(YEAR($A87),'NY East Load Projections'!$A$4:$EO$14,((MONTH($A87)-1)*12)+VLOOKUP(AV$4,$DE$6:$DF$17,2)+1))*(VLOOKUP($A87,SatSunCurve,2))*(INDEX(DailyScalarsTable,AV$5/100,MONTH($A87)))*$C87</f>
        <v>-8361.2370360463538</v>
      </c>
      <c r="AW87" s="1021">
        <f>(VLOOKUP(YEAR($A87),'NY East Load Projections'!$A$4:$EO$14,((MONTH($A87)-1)*12)+VLOOKUP(AW$4,$DE$6:$DF$17,2)+1))*(VLOOKUP($A87,SatSunCurve,2))*(INDEX(DailyScalarsTable,AW$5/100,MONTH($A87)))*$C87</f>
        <v>-8259.6906528430954</v>
      </c>
      <c r="AX87" s="1021">
        <f>(VLOOKUP(YEAR($A87),'NY East Load Projections'!$A$4:$EO$14,((MONTH($A87)-1)*12)+VLOOKUP(AX$4,$DE$6:$DF$17,2)+1))*(VLOOKUP($A87,SatSunCurve,2))*(INDEX(DailyScalarsTable,AX$5/100,MONTH($A87)))*$C87</f>
        <v>-11142.597518521807</v>
      </c>
      <c r="AY87" s="1021">
        <f>(VLOOKUP(YEAR($A87),'NY East Load Projections'!$A$4:$EO$14,((MONTH($A87)-1)*12)+VLOOKUP(AY$4,$DE$6:$DF$17,2)+1))*(VLOOKUP($A87,SatSunCurve,2))*(INDEX(DailyScalarsTable,AY$5/100,MONTH($A87)))*$C87</f>
        <v>-11229.873926049602</v>
      </c>
      <c r="AZ87" s="1021">
        <f>(VLOOKUP(YEAR($A87),'NY East Load Projections'!$A$4:$EO$14,((MONTH($A87)-1)*12)+VLOOKUP(AZ$4,$DE$6:$DF$17,2)+1))*(VLOOKUP($A87,SatSunCurve,2))*(INDEX(DailyScalarsTable,AZ$5/100,MONTH($A87)))*$C87</f>
        <v>-10739.640488021145</v>
      </c>
      <c r="BA87" s="1021">
        <f>(VLOOKUP(YEAR($A87),'NY East Load Projections'!$A$4:$EO$14,((MONTH($A87)-1)*12)+VLOOKUP(BA$4,$DE$6:$DF$17,2)+1))*(VLOOKUP($A87,SatSunCurve,2))*(INDEX(DailyScalarsTable,BA$5/100,MONTH($A87)))*$C87</f>
        <v>-9479.9491592594022</v>
      </c>
      <c r="BB87" s="1021">
        <f>(VLOOKUP(YEAR($A87),'NY East Load Projections'!$A$4:$EO$14,((MONTH($A87)-1)*12)+VLOOKUP(BB$4,$DE$6:$DF$17,2)+1))*(VLOOKUP($A87,SatSunCurve,2))*(INDEX(DailyScalarsTable,BB$5/100,MONTH($A87)))*$C87</f>
        <v>-7864.0386561093765</v>
      </c>
      <c r="BC87" s="1021">
        <f>(VLOOKUP(YEAR($A87),'NY East Load Projections'!$A$4:$EO$14,((MONTH($A87)-1)*12)+VLOOKUP(BC$4,$DE$6:$DF$17,2)+1))*(VLOOKUP($A87,SatSunCurve,2))*(INDEX(DailyScalarsTable,BC$5/100,MONTH($A87)))*$C87</f>
        <v>-6704.8756332679468</v>
      </c>
      <c r="BD87" s="1021">
        <f>(VLOOKUP(YEAR($A87),'NY East Load Projections'!$A$4:$EO$14,((MONTH($A87)-1)*12)+VLOOKUP(BD$4,$DE$6:$DF$17,2)+1))*(VLOOKUP($A87,CURVES!$D$9:$T$261,6))*(INDEX(DailyScalarsTable,BD$5/100,MONTH($A87)))*$C87</f>
        <v>-7747.7207310233334</v>
      </c>
      <c r="BE87" s="1021"/>
      <c r="BF87" s="1021">
        <f>(VLOOKUP(YEAR($A87),'NY East Load Projections'!$A$4:$EO$14,((MONTH($A87)-1)*12)+VLOOKUP(BF$4,$DE$6:$DF$17,2)+1))*(VLOOKUP($A87,CURVES!$D$9:$T$261,6))*(INDEX(DailyScalarsTable,BF$5/100,MONTH($A87)))*$D87</f>
        <v>-6848.5639473375641</v>
      </c>
      <c r="BG87" s="1021">
        <f>(VLOOKUP(YEAR($A87),'NY East Load Projections'!$A$4:$EO$14,((MONTH($A87)-1)*12)+VLOOKUP(BG$4,$DE$6:$DF$17,2)+1))*(VLOOKUP($A87,CURVES!$D$9:$T$261,6))*(INDEX(DailyScalarsTable,BG$5/100,MONTH($A87)))*$D87</f>
        <v>-6500.1851809801074</v>
      </c>
      <c r="BH87" s="1021">
        <f>(VLOOKUP(YEAR($A87),'NY East Load Projections'!$A$4:$EO$14,((MONTH($A87)-1)*12)+VLOOKUP(BH$4,$DE$6:$DF$17,2)+1))*(VLOOKUP($A87,CURVES!$D$9:$T$261,6))*(INDEX(DailyScalarsTable,BH$5/100,MONTH($A87)))*$D87</f>
        <v>-6244.1303941128263</v>
      </c>
      <c r="BI87" s="1021">
        <f>(VLOOKUP(YEAR($A87),'NY East Load Projections'!$A$4:$EO$14,((MONTH($A87)-1)*12)+VLOOKUP(BI$4,$DE$6:$DF$17,2)+1))*(VLOOKUP($A87,CURVES!$D$9:$T$261,6))*(INDEX(DailyScalarsTable,BI$5/100,MONTH($A87)))*$D87</f>
        <v>-6247.7367995616614</v>
      </c>
      <c r="BJ87" s="1021">
        <f>(VLOOKUP(YEAR($A87),'NY East Load Projections'!$A$4:$EO$14,((MONTH($A87)-1)*12)+VLOOKUP(BJ$4,$DE$6:$DF$17,2)+1))*(VLOOKUP($A87,CURVES!$D$9:$T$261,6))*(INDEX(DailyScalarsTable,BJ$5/100,MONTH($A87)))*$D87</f>
        <v>-6784.0523953915563</v>
      </c>
      <c r="BK87" s="1021">
        <f>(VLOOKUP(YEAR($A87),'NY East Load Projections'!$A$4:$EO$14,((MONTH($A87)-1)*12)+VLOOKUP(BK$4,$DE$6:$DF$17,2)+1))*(VLOOKUP($A87,CURVES!$D$9:$T$261,6))*(INDEX(DailyScalarsTable,BK$5/100,MONTH($A87)))*$D87</f>
        <v>-7793.7888501400676</v>
      </c>
      <c r="BL87" s="1021">
        <f>(VLOOKUP(YEAR($A87),'NY East Load Projections'!$A$4:$EO$14,((MONTH($A87)-1)*12)+VLOOKUP(BL$4,$DE$6:$DF$17,2)+1))*(VLOOKUP($A87,CURVES!$D$9:$T$261,6))*(INDEX(DailyScalarsTable,BL$5/100,MONTH($A87)))*$D87</f>
        <v>-10075.397837084491</v>
      </c>
      <c r="BM87" s="1021">
        <f>(VLOOKUP(YEAR($A87),'NY East Load Projections'!$A$4:$EO$14,((MONTH($A87)-1)*12)+VLOOKUP(BM$4,$DE$6:$DF$17,2)+1))*(VLOOKUP($A87,SatSunCurve,6))*(INDEX(DailyScalarsTable,BM$5/100,MONTH($A87)))*$D87</f>
        <v>-7538.6650380258761</v>
      </c>
      <c r="BN87" s="1021">
        <f>(VLOOKUP(YEAR($A87),'NY East Load Projections'!$A$4:$EO$14,((MONTH($A87)-1)*12)+VLOOKUP(BN$4,$DE$6:$DF$17,2)+1))*(VLOOKUP($A87,SatSunCurve,6))*(INDEX(DailyScalarsTable,BN$5/100,MONTH($A87)))*$D87</f>
        <v>-8939.2352746653578</v>
      </c>
      <c r="BO87" s="1021">
        <f>(VLOOKUP(YEAR($A87),'NY East Load Projections'!$A$4:$EO$14,((MONTH($A87)-1)*12)+VLOOKUP(BO$4,$DE$6:$DF$17,2)+1))*(VLOOKUP($A87,SatSunCurve,6))*(INDEX(DailyScalarsTable,BO$5/100,MONTH($A87)))*$D87</f>
        <v>-8911.6109382170707</v>
      </c>
      <c r="BP87" s="1021">
        <f>(VLOOKUP(YEAR($A87),'NY East Load Projections'!$A$4:$EO$14,((MONTH($A87)-1)*12)+VLOOKUP(BP$4,$DE$6:$DF$17,2)+1))*(VLOOKUP($A87,SatSunCurve,6))*(INDEX(DailyScalarsTable,BP$5/100,MONTH($A87)))*$D87</f>
        <v>-8861.0978658544918</v>
      </c>
      <c r="BQ87" s="1021">
        <f>(VLOOKUP(YEAR($A87),'NY East Load Projections'!$A$4:$EO$14,((MONTH($A87)-1)*12)+VLOOKUP(BQ$4,$DE$6:$DF$17,2)+1))*(VLOOKUP($A87,SatSunCurve,6))*(INDEX(DailyScalarsTable,BQ$5/100,MONTH($A87)))*$D87</f>
        <v>-7477.5132431731936</v>
      </c>
      <c r="BR87" s="1021">
        <f>(VLOOKUP(YEAR($A87),'NY East Load Projections'!$A$4:$EO$14,((MONTH($A87)-1)*12)+VLOOKUP(BR$4,$DE$6:$DF$17,2)+1))*(VLOOKUP($A87,SatSunCurve,6))*(INDEX(DailyScalarsTable,BR$5/100,MONTH($A87)))*$D87</f>
        <v>-7150.4630707548586</v>
      </c>
      <c r="BS87" s="1021">
        <f>(VLOOKUP(YEAR($A87),'NY East Load Projections'!$A$4:$EO$14,((MONTH($A87)-1)*12)+VLOOKUP(BS$4,$DE$6:$DF$17,2)+1))*(VLOOKUP($A87,SatSunCurve,6))*(INDEX(DailyScalarsTable,BS$5/100,MONTH($A87)))*$D87</f>
        <v>-6951.9953352254224</v>
      </c>
      <c r="BT87" s="1021">
        <f>(VLOOKUP(YEAR($A87),'NY East Load Projections'!$A$4:$EO$14,((MONTH($A87)-1)*12)+VLOOKUP(BT$4,$DE$6:$DF$17,2)+1))*(VLOOKUP($A87,SatSunCurve,6))*(INDEX(DailyScalarsTable,BT$5/100,MONTH($A87)))*$D87</f>
        <v>-6790.4892022642216</v>
      </c>
      <c r="BU87" s="1021">
        <f>(VLOOKUP(YEAR($A87),'NY East Load Projections'!$A$4:$EO$14,((MONTH($A87)-1)*12)+VLOOKUP(BU$4,$DE$6:$DF$17,2)+1))*(VLOOKUP($A87,SatSunCurve,6))*(INDEX(DailyScalarsTable,BU$5/100,MONTH($A87)))*$D87</f>
        <v>-6743.8854425042737</v>
      </c>
      <c r="BV87" s="1021">
        <f>(VLOOKUP(YEAR($A87),'NY East Load Projections'!$A$4:$EO$14,((MONTH($A87)-1)*12)+VLOOKUP(BV$4,$DE$6:$DF$17,2)+1))*(VLOOKUP($A87,SatSunCurve,6))*(INDEX(DailyScalarsTable,BV$5/100,MONTH($A87)))*$D87</f>
        <v>-6661.9816318036474</v>
      </c>
      <c r="BW87" s="1021">
        <f>(VLOOKUP(YEAR($A87),'NY East Load Projections'!$A$4:$EO$14,((MONTH($A87)-1)*12)+VLOOKUP(BW$4,$DE$6:$DF$17,2)+1))*(VLOOKUP($A87,SatSunCurve,6))*(INDEX(DailyScalarsTable,BW$5/100,MONTH($A87)))*$D87</f>
        <v>-8987.234887958135</v>
      </c>
      <c r="BX87" s="1021">
        <f>(VLOOKUP(YEAR($A87),'NY East Load Projections'!$A$4:$EO$14,((MONTH($A87)-1)*12)+VLOOKUP(BX$4,$DE$6:$DF$17,2)+1))*(VLOOKUP($A87,SatSunCurve,6))*(INDEX(DailyScalarsTable,BX$5/100,MONTH($A87)))*$D87</f>
        <v>-9057.6290284021034</v>
      </c>
      <c r="BY87" s="1021">
        <f>(VLOOKUP(YEAR($A87),'NY East Load Projections'!$A$4:$EO$14,((MONTH($A87)-1)*12)+VLOOKUP(BY$4,$DE$6:$DF$17,2)+1))*(VLOOKUP($A87,SatSunCurve,6))*(INDEX(DailyScalarsTable,BY$5/100,MONTH($A87)))*$D87</f>
        <v>-8662.2236437806641</v>
      </c>
      <c r="BZ87" s="1021">
        <f>(VLOOKUP(YEAR($A87),'NY East Load Projections'!$A$4:$EO$14,((MONTH($A87)-1)*12)+VLOOKUP(BZ$4,$DE$6:$DF$17,2)+1))*(VLOOKUP($A87,SatSunCurve,6))*(INDEX(DailyScalarsTable,BZ$5/100,MONTH($A87)))*$D87</f>
        <v>-7646.2000604925415</v>
      </c>
      <c r="CA87" s="1021">
        <f>(VLOOKUP(YEAR($A87),'NY East Load Projections'!$A$4:$EO$14,((MONTH($A87)-1)*12)+VLOOKUP(CA$4,$DE$6:$DF$17,2)+1))*(VLOOKUP($A87,SatSunCurve,6))*(INDEX(DailyScalarsTable,CA$5/100,MONTH($A87)))*$D87</f>
        <v>-6342.8623759366992</v>
      </c>
      <c r="CB87" s="1021">
        <f>(VLOOKUP(YEAR($A87),'NY East Load Projections'!$A$4:$EO$14,((MONTH($A87)-1)*12)+VLOOKUP(CB$4,$DE$6:$DF$17,2)+1))*(VLOOKUP($A87,SatSunCurve,6))*(INDEX(DailyScalarsTable,CB$5/100,MONTH($A87)))*$D87</f>
        <v>-5407.9214573228192</v>
      </c>
      <c r="CC87" s="1021">
        <f>(VLOOKUP(YEAR($A87),'NY East Load Projections'!$A$4:$EO$14,((MONTH($A87)-1)*12)+VLOOKUP(CC$4,$DE$6:$DF$17,2)+1))*(VLOOKUP($A87,CURVES!$D$9:$T$261,6))*(INDEX(DailyScalarsTable,CC$5/100,MONTH($A87)))*$D87</f>
        <v>-7747.7207310233334</v>
      </c>
      <c r="CE87" s="1021">
        <f>(VLOOKUP(YEAR($A87),'NY East Load Projections'!$A$4:$EO$14,((MONTH($A87)-1)*12)+VLOOKUP(CE$4,$DE$6:$DF$17,2)+1))*(VLOOKUP($A87,CURVES!$D$9:$T$261,6))*(INDEX(DailyScalarsTable,CE$5/100,MONTH($A87)))*$E87</f>
        <v>0</v>
      </c>
      <c r="CF87" s="1021">
        <f>(VLOOKUP(YEAR($A87),'NY East Load Projections'!$A$4:$EO$14,((MONTH($A87)-1)*12)+VLOOKUP(CF$4,$DE$6:$DF$17,2)+1))*(VLOOKUP($A87,CURVES!$D$9:$T$261,6))*(INDEX(DailyScalarsTable,CF$5/100,MONTH($A87)))*$E87</f>
        <v>0</v>
      </c>
      <c r="CG87" s="1021">
        <f>(VLOOKUP(YEAR($A87),'NY East Load Projections'!$A$4:$EO$14,((MONTH($A87)-1)*12)+VLOOKUP(CG$4,$DE$6:$DF$17,2)+1))*(VLOOKUP($A87,CURVES!$D$9:$T$261,6))*(INDEX(DailyScalarsTable,CG$5/100,MONTH($A87)))*$E87</f>
        <v>0</v>
      </c>
      <c r="CH87" s="1021">
        <f>(VLOOKUP(YEAR($A87),'NY East Load Projections'!$A$4:$EO$14,((MONTH($A87)-1)*12)+VLOOKUP(CH$4,$DE$6:$DF$17,2)+1))*(VLOOKUP($A87,CURVES!$D$9:$T$261,6))*(INDEX(DailyScalarsTable,CH$5/100,MONTH($A87)))*$E87</f>
        <v>0</v>
      </c>
      <c r="CI87" s="1021">
        <f>(VLOOKUP(YEAR($A87),'NY East Load Projections'!$A$4:$EO$14,((MONTH($A87)-1)*12)+VLOOKUP(CI$4,$DE$6:$DF$17,2)+1))*(VLOOKUP($A87,CURVES!$D$9:$T$261,6))*(INDEX(DailyScalarsTable,CI$5/100,MONTH($A87)))*$E87</f>
        <v>0</v>
      </c>
      <c r="CJ87" s="1021">
        <f>(VLOOKUP(YEAR($A87),'NY East Load Projections'!$A$4:$EO$14,((MONTH($A87)-1)*12)+VLOOKUP(CJ$4,$DE$6:$DF$17,2)+1))*(VLOOKUP($A87,CURVES!$D$9:$T$261,6))*(INDEX(DailyScalarsTable,CJ$5/100,MONTH($A87)))*$E87</f>
        <v>0</v>
      </c>
      <c r="CK87" s="1021">
        <f>(VLOOKUP(YEAR($A87),'NY East Load Projections'!$A$4:$EO$14,((MONTH($A87)-1)*12)+VLOOKUP(CK$4,$DE$6:$DF$17,2)+1))*(VLOOKUP($A87,CURVES!$D$9:$T$261,6))*(INDEX(DailyScalarsTable,CK$5/100,MONTH($A87)))*$E87</f>
        <v>0</v>
      </c>
      <c r="CL87" s="1021">
        <f>(VLOOKUP(YEAR($A87),'NY East Load Projections'!$A$4:$EO$14,((MONTH($A87)-1)*12)+VLOOKUP(CL$4,$DE$6:$DF$17,2)+1))*(VLOOKUP($A87,SatSunCurve,6))*(INDEX(DailyScalarsTable,CL$5/100,MONTH($A87)))*$E87</f>
        <v>0</v>
      </c>
      <c r="CM87" s="1021">
        <f>(VLOOKUP(YEAR($A87),'NY East Load Projections'!$A$4:$EO$14,((MONTH($A87)-1)*12)+VLOOKUP(CM$4,$DE$6:$DF$17,2)+1))*(VLOOKUP($A87,SatSunCurve,6))*(INDEX(DailyScalarsTable,CM$5/100,MONTH($A87)))*$E87</f>
        <v>0</v>
      </c>
      <c r="CN87" s="1021">
        <f>(VLOOKUP(YEAR($A87),'NY East Load Projections'!$A$4:$EO$14,((MONTH($A87)-1)*12)+VLOOKUP(CN$4,$DE$6:$DF$17,2)+1))*(VLOOKUP($A87,SatSunCurve,6))*(INDEX(DailyScalarsTable,CN$5/100,MONTH($A87)))*$E87</f>
        <v>0</v>
      </c>
      <c r="CO87" s="1021">
        <f>(VLOOKUP(YEAR($A87),'NY East Load Projections'!$A$4:$EO$14,((MONTH($A87)-1)*12)+VLOOKUP(CO$4,$DE$6:$DF$17,2)+1))*(VLOOKUP($A87,SatSunCurve,6))*(INDEX(DailyScalarsTable,CO$5/100,MONTH($A87)))*$E87</f>
        <v>0</v>
      </c>
      <c r="CP87" s="1021">
        <f>(VLOOKUP(YEAR($A87),'NY East Load Projections'!$A$4:$EO$14,((MONTH($A87)-1)*12)+VLOOKUP(CP$4,$DE$6:$DF$17,2)+1))*(VLOOKUP($A87,SatSunCurve,6))*(INDEX(DailyScalarsTable,CP$5/100,MONTH($A87)))*$E87</f>
        <v>0</v>
      </c>
      <c r="CQ87" s="1021">
        <f>(VLOOKUP(YEAR($A87),'NY East Load Projections'!$A$4:$EO$14,((MONTH($A87)-1)*12)+VLOOKUP(CQ$4,$DE$6:$DF$17,2)+1))*(VLOOKUP($A87,SatSunCurve,6))*(INDEX(DailyScalarsTable,CQ$5/100,MONTH($A87)))*$E87</f>
        <v>0</v>
      </c>
      <c r="CR87" s="1021">
        <f>(VLOOKUP(YEAR($A87),'NY East Load Projections'!$A$4:$EO$14,((MONTH($A87)-1)*12)+VLOOKUP(CR$4,$DE$6:$DF$17,2)+1))*(VLOOKUP($A87,SatSunCurve,6))*(INDEX(DailyScalarsTable,CR$5/100,MONTH($A87)))*$E87</f>
        <v>0</v>
      </c>
      <c r="CS87" s="1021">
        <f>(VLOOKUP(YEAR($A87),'NY East Load Projections'!$A$4:$EO$14,((MONTH($A87)-1)*12)+VLOOKUP(CS$4,$DE$6:$DF$17,2)+1))*(VLOOKUP($A87,SatSunCurve,6))*(INDEX(DailyScalarsTable,CS$5/100,MONTH($A87)))*$E87</f>
        <v>0</v>
      </c>
      <c r="CT87" s="1021">
        <f>(VLOOKUP(YEAR($A87),'NY East Load Projections'!$A$4:$EO$14,((MONTH($A87)-1)*12)+VLOOKUP(CT$4,$DE$6:$DF$17,2)+1))*(VLOOKUP($A87,SatSunCurve,6))*(INDEX(DailyScalarsTable,CT$5/100,MONTH($A87)))*$E87</f>
        <v>0</v>
      </c>
      <c r="CU87" s="1021">
        <f>(VLOOKUP(YEAR($A87),'NY East Load Projections'!$A$4:$EO$14,((MONTH($A87)-1)*12)+VLOOKUP(CU$4,$DE$6:$DF$17,2)+1))*(VLOOKUP($A87,SatSunCurve,6))*(INDEX(DailyScalarsTable,CU$5/100,MONTH($A87)))*$E87</f>
        <v>0</v>
      </c>
      <c r="CV87" s="1021">
        <f>(VLOOKUP(YEAR($A87),'NY East Load Projections'!$A$4:$EO$14,((MONTH($A87)-1)*12)+VLOOKUP(CV$4,$DE$6:$DF$17,2)+1))*(VLOOKUP($A87,SatSunCurve,6))*(INDEX(DailyScalarsTable,CV$5/100,MONTH($A87)))*$E87</f>
        <v>0</v>
      </c>
      <c r="CW87" s="1021">
        <f>(VLOOKUP(YEAR($A87),'NY East Load Projections'!$A$4:$EO$14,((MONTH($A87)-1)*12)+VLOOKUP(CW$4,$DE$6:$DF$17,2)+1))*(VLOOKUP($A87,SatSunCurve,6))*(INDEX(DailyScalarsTable,CW$5/100,MONTH($A87)))*$E87</f>
        <v>0</v>
      </c>
      <c r="CX87" s="1021">
        <f>(VLOOKUP(YEAR($A87),'NY East Load Projections'!$A$4:$EO$14,((MONTH($A87)-1)*12)+VLOOKUP(CX$4,$DE$6:$DF$17,2)+1))*(VLOOKUP($A87,SatSunCurve,6))*(INDEX(DailyScalarsTable,CX$5/100,MONTH($A87)))*$E87</f>
        <v>0</v>
      </c>
      <c r="CY87" s="1021">
        <f>(VLOOKUP(YEAR($A87),'NY East Load Projections'!$A$4:$EO$14,((MONTH($A87)-1)*12)+VLOOKUP(CY$4,$DE$6:$DF$17,2)+1))*(VLOOKUP($A87,SatSunCurve,6))*(INDEX(DailyScalarsTable,CY$5/100,MONTH($A87)))*$E87</f>
        <v>0</v>
      </c>
      <c r="CZ87" s="1021">
        <f>(VLOOKUP(YEAR($A87),'NY East Load Projections'!$A$4:$EO$14,((MONTH($A87)-1)*12)+VLOOKUP(CZ$4,$DE$6:$DF$17,2)+1))*(VLOOKUP($A87,SatSunCurve,6))*(INDEX(DailyScalarsTable,CZ$5/100,MONTH($A87)))*$E87</f>
        <v>0</v>
      </c>
      <c r="DA87" s="1021">
        <f>(VLOOKUP(YEAR($A87),'NY East Load Projections'!$A$4:$EO$14,((MONTH($A87)-1)*12)+VLOOKUP(DA$4,$DE$6:$DF$17,2)+1))*(VLOOKUP($A87,SatSunCurve,6))*(INDEX(DailyScalarsTable,DA$5/100,MONTH($A87)))*$E87</f>
        <v>0</v>
      </c>
      <c r="DB87" s="1021">
        <f>(VLOOKUP(YEAR($A87),'NY East Load Projections'!$A$4:$EO$14,((MONTH($A87)-1)*12)+VLOOKUP(DB$4,$DE$6:$DF$17,2)+1))*(VLOOKUP($A87,CURVES!$D$9:$T$261,6))*(INDEX(DailyScalarsTable,DB$5/100,MONTH($A87)))*$E87</f>
        <v>0</v>
      </c>
      <c r="DH87" s="1021">
        <f t="shared" si="2"/>
        <v>-1822171.524209681</v>
      </c>
      <c r="DI87">
        <f ca="1">CALC!J107</f>
        <v>0.57172407099571054</v>
      </c>
      <c r="DJ87" s="1029">
        <f t="shared" ca="1" si="3"/>
        <v>-1041779.3218736177</v>
      </c>
    </row>
    <row r="88" spans="1:114" x14ac:dyDescent="0.25">
      <c r="A88" s="244">
        <v>39387</v>
      </c>
      <c r="B88" s="13">
        <v>21</v>
      </c>
      <c r="C88" s="210">
        <v>4</v>
      </c>
      <c r="D88" s="210">
        <v>4</v>
      </c>
      <c r="E88" s="210">
        <v>1</v>
      </c>
      <c r="F88" s="13">
        <v>30</v>
      </c>
      <c r="H88" s="1021">
        <f>(VLOOKUP(YEAR($A88),'NY East Load Projections'!$A$4:$EO$14,((MONTH($A88)-1)*12)+VLOOKUP(H$4,$DE$6:$DF$17,2)+1))*(VLOOKUP($A88,CURVES!$D$9:$K$261,6))*(INDEX(DailyScalarsTable,H$5/100,MONTH($A88)))*$B88</f>
        <v>-32285.000177857244</v>
      </c>
      <c r="I88" s="1021">
        <f>(VLOOKUP(YEAR($A88),'NY East Load Projections'!$A$4:$EO$14,((MONTH($A88)-1)*12)+VLOOKUP(I$4,$DE$6:$DF$17,2)+1))*(VLOOKUP($A88,CURVES!$D$9:$K$261,6))*(INDEX(DailyScalarsTable,I$5/100,MONTH($A88)))*$B88</f>
        <v>-30607.361115360738</v>
      </c>
      <c r="J88" s="1021">
        <f>(VLOOKUP(YEAR($A88),'NY East Load Projections'!$A$4:$EO$14,((MONTH($A88)-1)*12)+VLOOKUP(J$4,$DE$6:$DF$17,2)+1))*(VLOOKUP($A88,CURVES!$D$9:$K$261,6))*(INDEX(DailyScalarsTable,J$5/100,MONTH($A88)))*$B88</f>
        <v>-29374.313771289806</v>
      </c>
      <c r="K88" s="1021">
        <f>(VLOOKUP(YEAR($A88),'NY East Load Projections'!$A$4:$EO$14,((MONTH($A88)-1)*12)+VLOOKUP(K$4,$DE$6:$DF$17,2)+1))*(VLOOKUP($A88,CURVES!$D$9:$K$261,6))*(INDEX(DailyScalarsTable,K$5/100,MONTH($A88)))*$B88</f>
        <v>-29391.680635290802</v>
      </c>
      <c r="L88" s="1021">
        <f>(VLOOKUP(YEAR($A88),'NY East Load Projections'!$A$4:$EO$14,((MONTH($A88)-1)*12)+VLOOKUP(L$4,$DE$6:$DF$17,2)+1))*(VLOOKUP($A88,CURVES!$D$9:$K$261,6))*(INDEX(DailyScalarsTable,L$5/100,MONTH($A88)))*$B88</f>
        <v>-33949.921835130444</v>
      </c>
      <c r="M88" s="1021">
        <f>(VLOOKUP(YEAR($A88),'NY East Load Projections'!$A$4:$EO$14,((MONTH($A88)-1)*12)+VLOOKUP(M$4,$DE$6:$DF$17,2)+1))*(VLOOKUP($A88,CURVES!$D$9:$K$261,6))*(INDEX(DailyScalarsTable,M$5/100,MONTH($A88)))*$B88</f>
        <v>-39114.50453900743</v>
      </c>
      <c r="N88" s="1021">
        <f>(VLOOKUP(YEAR($A88),'NY East Load Projections'!$A$4:$EO$14,((MONTH($A88)-1)*12)+VLOOKUP(N$4,$DE$6:$DF$17,2)+1))*(VLOOKUP($A88,CURVES!$D$9:$K$261,6))*(INDEX(DailyScalarsTable,N$5/100,MONTH($A88)))*$B88</f>
        <v>-56027.670232052005</v>
      </c>
      <c r="O88" s="1021">
        <f>(VLOOKUP(YEAR($A88),'NY East Load Projections'!$A$4:$EO$14,((MONTH($A88)-1)*12)+VLOOKUP(O$4,$DE$6:$DF$17,2)+1))*(VLOOKUP($A88,CURVES!$D$9:$K$261,2))*(INDEX(DailyScalarsTable,O$5/100,MONTH($A88)))*$B88</f>
        <v>-63203.881097165606</v>
      </c>
      <c r="P88" s="1021">
        <f>(VLOOKUP(YEAR($A88),'NY East Load Projections'!$A$4:$EO$14,((MONTH($A88)-1)*12)+VLOOKUP(P$4,$DE$6:$DF$17,2)+1))*(VLOOKUP($A88,CURVES!$D$9:$K$261,2))*(INDEX(DailyScalarsTable,P$5/100,MONTH($A88)))*$B88</f>
        <v>-71081.109450373391</v>
      </c>
      <c r="Q88" s="1021">
        <f>(VLOOKUP(YEAR($A88),'NY East Load Projections'!$A$4:$EO$14,((MONTH($A88)-1)*12)+VLOOKUP(Q$4,$DE$6:$DF$17,2)+1))*(VLOOKUP($A88,CURVES!$D$9:$K$261,2))*(INDEX(DailyScalarsTable,Q$5/100,MONTH($A88)))*$B88</f>
        <v>-70620.755687085475</v>
      </c>
      <c r="R88" s="1021">
        <f>(VLOOKUP(YEAR($A88),'NY East Load Projections'!$A$4:$EO$14,((MONTH($A88)-1)*12)+VLOOKUP(R$4,$DE$6:$DF$17,2)+1))*(VLOOKUP($A88,CURVES!$D$9:$K$261,2))*(INDEX(DailyScalarsTable,R$5/100,MONTH($A88)))*$B88</f>
        <v>-69258.357387625321</v>
      </c>
      <c r="S88" s="1021">
        <f>(VLOOKUP(YEAR($A88),'NY East Load Projections'!$A$4:$EO$14,((MONTH($A88)-1)*12)+VLOOKUP(S$4,$DE$6:$DF$17,2)+1))*(VLOOKUP($A88,CURVES!$D$9:$K$261,2))*(INDEX(DailyScalarsTable,S$5/100,MONTH($A88)))*$B88</f>
        <v>-58315.624014335735</v>
      </c>
      <c r="T88" s="1021">
        <f>(VLOOKUP(YEAR($A88),'NY East Load Projections'!$A$4:$EO$14,((MONTH($A88)-1)*12)+VLOOKUP(T$4,$DE$6:$DF$17,2)+1))*(VLOOKUP($A88,CURVES!$D$9:$K$261,2))*(INDEX(DailyScalarsTable,T$5/100,MONTH($A88)))*$B88</f>
        <v>-56141.154836172434</v>
      </c>
      <c r="U88" s="1021">
        <f>(VLOOKUP(YEAR($A88),'NY East Load Projections'!$A$4:$EO$14,((MONTH($A88)-1)*12)+VLOOKUP(U$4,$DE$6:$DF$17,2)+1))*(VLOOKUP($A88,CURVES!$D$9:$K$261,2))*(INDEX(DailyScalarsTable,U$5/100,MONTH($A88)))*$B88</f>
        <v>-54634.137767855194</v>
      </c>
      <c r="V88" s="1021">
        <f>(VLOOKUP(YEAR($A88),'NY East Load Projections'!$A$4:$EO$14,((MONTH($A88)-1)*12)+VLOOKUP(V$4,$DE$6:$DF$17,2)+1))*(VLOOKUP($A88,CURVES!$D$9:$K$261,2))*(INDEX(DailyScalarsTable,V$5/100,MONTH($A88)))*$B88</f>
        <v>-53356.03468459881</v>
      </c>
      <c r="W88" s="1021">
        <f>(VLOOKUP(YEAR($A88),'NY East Load Projections'!$A$4:$EO$14,((MONTH($A88)-1)*12)+VLOOKUP(W$4,$DE$6:$DF$17,2)+1))*(VLOOKUP($A88,CURVES!$D$9:$K$261,2))*(INDEX(DailyScalarsTable,W$5/100,MONTH($A88)))*$B88</f>
        <v>-52478.531075198909</v>
      </c>
      <c r="X88" s="1021">
        <f>(VLOOKUP(YEAR($A88),'NY East Load Projections'!$A$4:$EO$14,((MONTH($A88)-1)*12)+VLOOKUP(X$4,$DE$6:$DF$17,2)+1))*(VLOOKUP($A88,CURVES!$D$9:$K$261,2))*(INDEX(DailyScalarsTable,X$5/100,MONTH($A88)))*$B88</f>
        <v>-54352.594586737752</v>
      </c>
      <c r="Y88" s="1021">
        <f>(VLOOKUP(YEAR($A88),'NY East Load Projections'!$A$4:$EO$14,((MONTH($A88)-1)*12)+VLOOKUP(Y$4,$DE$6:$DF$17,2)+1))*(VLOOKUP($A88,CURVES!$D$9:$K$261,2))*(INDEX(DailyScalarsTable,Y$5/100,MONTH($A88)))*$B88</f>
        <v>-74613.741113826429</v>
      </c>
      <c r="Z88" s="1021">
        <f>(VLOOKUP(YEAR($A88),'NY East Load Projections'!$A$4:$EO$14,((MONTH($A88)-1)*12)+VLOOKUP(Z$4,$DE$6:$DF$17,2)+1))*(VLOOKUP($A88,CURVES!$D$9:$K$261,2))*(INDEX(DailyScalarsTable,Z$5/100,MONTH($A88)))*$B88</f>
        <v>-75214.525488911066</v>
      </c>
      <c r="AA88" s="1021">
        <f>(VLOOKUP(YEAR($A88),'NY East Load Projections'!$A$4:$EO$14,((MONTH($A88)-1)*12)+VLOOKUP(AA$4,$DE$6:$DF$17,2)+1))*(VLOOKUP($A88,CURVES!$D$9:$K$261,2))*(INDEX(DailyScalarsTable,AA$5/100,MONTH($A88)))*$B88</f>
        <v>-72137.038179804091</v>
      </c>
      <c r="AB88" s="1021">
        <f>(VLOOKUP(YEAR($A88),'NY East Load Projections'!$A$4:$EO$14,((MONTH($A88)-1)*12)+VLOOKUP(AB$4,$DE$6:$DF$17,2)+1))*(VLOOKUP($A88,CURVES!$D$9:$K$261,2))*(INDEX(DailyScalarsTable,AB$5/100,MONTH($A88)))*$B88</f>
        <v>-61683.774046811435</v>
      </c>
      <c r="AC88" s="1021">
        <f>(VLOOKUP(YEAR($A88),'NY East Load Projections'!$A$4:$EO$14,((MONTH($A88)-1)*12)+VLOOKUP(AC$4,$DE$6:$DF$17,2)+1))*(VLOOKUP($A88,CURVES!$D$9:$K$261,2))*(INDEX(DailyScalarsTable,AC$5/100,MONTH($A88)))*$B88</f>
        <v>-49068.312130910148</v>
      </c>
      <c r="AD88" s="1021">
        <f>(VLOOKUP(YEAR($A88),'NY East Load Projections'!$A$4:$EO$14,((MONTH($A88)-1)*12)+VLOOKUP(AD$4,$DE$6:$DF$17,2)+1))*(VLOOKUP($A88,CURVES!$D$9:$K$261,2))*(INDEX(DailyScalarsTable,AD$5/100,MONTH($A88)))*$B88</f>
        <v>-41381.207586735014</v>
      </c>
      <c r="AE88" s="1021">
        <f>(VLOOKUP(YEAR($A88),'NY East Load Projections'!$A$4:$EO$14,((MONTH($A88)-1)*12)+VLOOKUP(AE$4,$DE$6:$DF$17,2)+1))*(VLOOKUP($A88,CURVES!$D$9:$K$261,6))*(INDEX(DailyScalarsTable,AE$5/100,MONTH($A88)))*$B88</f>
        <v>-37783.170219098465</v>
      </c>
      <c r="AF88" s="1021"/>
      <c r="AG88" s="1021">
        <f>(VLOOKUP(YEAR($A88),'NY East Load Projections'!$A$4:$EO$14,((MONTH($A88)-1)*12)+VLOOKUP(AG$4,$DE$6:$DF$17,2)+1))*(VLOOKUP($A88,CURVES!$D$9:$T$261,6))*(INDEX(DailyScalarsTable,AG$5/100,MONTH($A88)))*$C88</f>
        <v>-6440.9521529536587</v>
      </c>
      <c r="AH88" s="1021">
        <f>(VLOOKUP(YEAR($A88),'NY East Load Projections'!$A$4:$EO$14,((MONTH($A88)-1)*12)+VLOOKUP(AH$4,$DE$6:$DF$17,2)+1))*(VLOOKUP($A88,CURVES!$D$9:$T$261,6))*(INDEX(DailyScalarsTable,AH$5/100,MONTH($A88)))*$C88</f>
        <v>-6106.2582433381003</v>
      </c>
      <c r="AI88" s="1021">
        <f>(VLOOKUP(YEAR($A88),'NY East Load Projections'!$A$4:$EO$14,((MONTH($A88)-1)*12)+VLOOKUP(AI$4,$DE$6:$DF$17,2)+1))*(VLOOKUP($A88,CURVES!$D$9:$T$261,6))*(INDEX(DailyScalarsTable,AI$5/100,MONTH($A88)))*$C88</f>
        <v>-5860.2616845109296</v>
      </c>
      <c r="AJ88" s="1021">
        <f>(VLOOKUP(YEAR($A88),'NY East Load Projections'!$A$4:$EO$14,((MONTH($A88)-1)*12)+VLOOKUP(AJ$4,$DE$6:$DF$17,2)+1))*(VLOOKUP($A88,CURVES!$D$9:$T$261,6))*(INDEX(DailyScalarsTable,AJ$5/100,MONTH($A88)))*$C88</f>
        <v>-5863.7264247761013</v>
      </c>
      <c r="AK88" s="1021">
        <f>(VLOOKUP(YEAR($A88),'NY East Load Projections'!$A$4:$EO$14,((MONTH($A88)-1)*12)+VLOOKUP(AK$4,$DE$6:$DF$17,2)+1))*(VLOOKUP($A88,CURVES!$D$9:$T$261,6))*(INDEX(DailyScalarsTable,AK$5/100,MONTH($A88)))*$C88</f>
        <v>-6379.0116397587608</v>
      </c>
      <c r="AL88" s="1021">
        <f>(VLOOKUP(YEAR($A88),'NY East Load Projections'!$A$4:$EO$14,((MONTH($A88)-1)*12)+VLOOKUP(AL$4,$DE$6:$DF$17,2)+1))*(VLOOKUP($A88,CURVES!$D$9:$T$261,6))*(INDEX(DailyScalarsTable,AL$5/100,MONTH($A88)))*$C88</f>
        <v>-7349.4095494363482</v>
      </c>
      <c r="AM88" s="1021">
        <f>(VLOOKUP(YEAR($A88),'NY East Load Projections'!$A$4:$EO$14,((MONTH($A88)-1)*12)+VLOOKUP(AM$4,$DE$6:$DF$17,2)+1))*(VLOOKUP($A88,CURVES!$D$9:$T$261,6))*(INDEX(DailyScalarsTable,AM$5/100,MONTH($A88)))*$C88</f>
        <v>-10527.30437184678</v>
      </c>
      <c r="AN88" s="1021">
        <f>(VLOOKUP(YEAR($A88),'NY East Load Projections'!$A$4:$EO$14,((MONTH($A88)-1)*12)+VLOOKUP(AN$4,$DE$6:$DF$17,2)+1))*(VLOOKUP($A88,SatSunCurve,2))*(INDEX(DailyScalarsTable,AN$5/100,MONTH($A88)))*$C88</f>
        <v>-9501.4348386929087</v>
      </c>
      <c r="AO88" s="1021">
        <f>(VLOOKUP(YEAR($A88),'NY East Load Projections'!$A$4:$EO$14,((MONTH($A88)-1)*12)+VLOOKUP(AO$4,$DE$6:$DF$17,2)+1))*(VLOOKUP($A88,SatSunCurve,2))*(INDEX(DailyScalarsTable,AO$5/100,MONTH($A88)))*$C88</f>
        <v>-10770.634348386153</v>
      </c>
      <c r="AP88" s="1021">
        <f>(VLOOKUP(YEAR($A88),'NY East Load Projections'!$A$4:$EO$14,((MONTH($A88)-1)*12)+VLOOKUP(AP$4,$DE$6:$DF$17,2)+1))*(VLOOKUP($A88,SatSunCurve,2))*(INDEX(DailyScalarsTable,AP$5/100,MONTH($A88)))*$C88</f>
        <v>-10700.87879598106</v>
      </c>
      <c r="AQ88" s="1021">
        <f>(VLOOKUP(YEAR($A88),'NY East Load Projections'!$A$4:$EO$14,((MONTH($A88)-1)*12)+VLOOKUP(AQ$4,$DE$6:$DF$17,2)+1))*(VLOOKUP($A88,SatSunCurve,2))*(INDEX(DailyScalarsTable,AQ$5/100,MONTH($A88)))*$C88</f>
        <v>-10494.440066565992</v>
      </c>
      <c r="AR88" s="1021">
        <f>(VLOOKUP(YEAR($A88),'NY East Load Projections'!$A$4:$EO$14,((MONTH($A88)-1)*12)+VLOOKUP(AR$4,$DE$6:$DF$17,2)+1))*(VLOOKUP($A88,SatSunCurve,2))*(INDEX(DailyScalarsTable,AR$5/100,MONTH($A88)))*$C88</f>
        <v>-8836.3317330449663</v>
      </c>
      <c r="AS88" s="1021">
        <f>(VLOOKUP(YEAR($A88),'NY East Load Projections'!$A$4:$EO$14,((MONTH($A88)-1)*12)+VLOOKUP(AS$4,$DE$6:$DF$17,2)+1))*(VLOOKUP($A88,SatSunCurve,2))*(INDEX(DailyScalarsTable,AS$5/100,MONTH($A88)))*$C88</f>
        <v>-8522.6848456766584</v>
      </c>
      <c r="AT88" s="1021">
        <f>(VLOOKUP(YEAR($A88),'NY East Load Projections'!$A$4:$EO$14,((MONTH($A88)-1)*12)+VLOOKUP(AT$4,$DE$6:$DF$17,2)+1))*(VLOOKUP($A88,SatSunCurve,2))*(INDEX(DailyScalarsTable,AT$5/100,MONTH($A88)))*$C88</f>
        <v>-8293.9073727549949</v>
      </c>
      <c r="AU88" s="1021">
        <f>(VLOOKUP(YEAR($A88),'NY East Load Projections'!$A$4:$EO$14,((MONTH($A88)-1)*12)+VLOOKUP(AU$4,$DE$6:$DF$17,2)+1))*(VLOOKUP($A88,SatSunCurve,2))*(INDEX(DailyScalarsTable,AU$5/100,MONTH($A88)))*$C88</f>
        <v>-8099.8809083783935</v>
      </c>
      <c r="AV88" s="1021">
        <f>(VLOOKUP(YEAR($A88),'NY East Load Projections'!$A$4:$EO$14,((MONTH($A88)-1)*12)+VLOOKUP(AV$4,$DE$6:$DF$17,2)+1))*(VLOOKUP($A88,SatSunCurve,2))*(INDEX(DailyScalarsTable,AV$5/100,MONTH($A88)))*$C88</f>
        <v>-7966.6687089556535</v>
      </c>
      <c r="AW88" s="1021">
        <f>(VLOOKUP(YEAR($A88),'NY East Load Projections'!$A$4:$EO$14,((MONTH($A88)-1)*12)+VLOOKUP(AW$4,$DE$6:$DF$17,2)+1))*(VLOOKUP($A88,SatSunCurve,2))*(INDEX(DailyScalarsTable,AW$5/100,MONTH($A88)))*$C88</f>
        <v>-8197.475277811307</v>
      </c>
      <c r="AX88" s="1021">
        <f>(VLOOKUP(YEAR($A88),'NY East Load Projections'!$A$4:$EO$14,((MONTH($A88)-1)*12)+VLOOKUP(AX$4,$DE$6:$DF$17,2)+1))*(VLOOKUP($A88,SatSunCurve,2))*(INDEX(DailyScalarsTable,AX$5/100,MONTH($A88)))*$C88</f>
        <v>-11253.267720081369</v>
      </c>
      <c r="AY88" s="1021">
        <f>(VLOOKUP(YEAR($A88),'NY East Load Projections'!$A$4:$EO$14,((MONTH($A88)-1)*12)+VLOOKUP(AY$4,$DE$6:$DF$17,2)+1))*(VLOOKUP($A88,SatSunCurve,2))*(INDEX(DailyScalarsTable,AY$5/100,MONTH($A88)))*$C88</f>
        <v>-11343.878207023114</v>
      </c>
      <c r="AZ88" s="1021">
        <f>(VLOOKUP(YEAR($A88),'NY East Load Projections'!$A$4:$EO$14,((MONTH($A88)-1)*12)+VLOOKUP(AZ$4,$DE$6:$DF$17,2)+1))*(VLOOKUP($A88,SatSunCurve,2))*(INDEX(DailyScalarsTable,AZ$5/100,MONTH($A88)))*$C88</f>
        <v>-10879.730610648054</v>
      </c>
      <c r="BA88" s="1021">
        <f>(VLOOKUP(YEAR($A88),'NY East Load Projections'!$A$4:$EO$14,((MONTH($A88)-1)*12)+VLOOKUP(BA$4,$DE$6:$DF$17,2)+1))*(VLOOKUP($A88,SatSunCurve,2))*(INDEX(DailyScalarsTable,BA$5/100,MONTH($A88)))*$C88</f>
        <v>-9642.3742441739141</v>
      </c>
      <c r="BB88" s="1021">
        <f>(VLOOKUP(YEAR($A88),'NY East Load Projections'!$A$4:$EO$14,((MONTH($A88)-1)*12)+VLOOKUP(BB$4,$DE$6:$DF$17,2)+1))*(VLOOKUP($A88,SatSunCurve,2))*(INDEX(DailyScalarsTable,BB$5/100,MONTH($A88)))*$C88</f>
        <v>-7670.3320509720315</v>
      </c>
      <c r="BC88" s="1021">
        <f>(VLOOKUP(YEAR($A88),'NY East Load Projections'!$A$4:$EO$14,((MONTH($A88)-1)*12)+VLOOKUP(BC$4,$DE$6:$DF$17,2)+1))*(VLOOKUP($A88,SatSunCurve,2))*(INDEX(DailyScalarsTable,BC$5/100,MONTH($A88)))*$C88</f>
        <v>-6468.6880203591199</v>
      </c>
      <c r="BD88" s="1021">
        <f>(VLOOKUP(YEAR($A88),'NY East Load Projections'!$A$4:$EO$14,((MONTH($A88)-1)*12)+VLOOKUP(BD$4,$DE$6:$DF$17,2)+1))*(VLOOKUP($A88,CURVES!$D$9:$T$261,6))*(INDEX(DailyScalarsTable,BD$5/100,MONTH($A88)))*$C88</f>
        <v>-7382.1116560696901</v>
      </c>
      <c r="BE88" s="1021"/>
      <c r="BF88" s="1021">
        <f>(VLOOKUP(YEAR($A88),'NY East Load Projections'!$A$4:$EO$14,((MONTH($A88)-1)*12)+VLOOKUP(BF$4,$DE$6:$DF$17,2)+1))*(VLOOKUP($A88,CURVES!$D$9:$T$261,6))*(INDEX(DailyScalarsTable,BF$5/100,MONTH($A88)))*$D88</f>
        <v>-6440.9521529536587</v>
      </c>
      <c r="BG88" s="1021">
        <f>(VLOOKUP(YEAR($A88),'NY East Load Projections'!$A$4:$EO$14,((MONTH($A88)-1)*12)+VLOOKUP(BG$4,$DE$6:$DF$17,2)+1))*(VLOOKUP($A88,CURVES!$D$9:$T$261,6))*(INDEX(DailyScalarsTable,BG$5/100,MONTH($A88)))*$D88</f>
        <v>-6106.2582433381003</v>
      </c>
      <c r="BH88" s="1021">
        <f>(VLOOKUP(YEAR($A88),'NY East Load Projections'!$A$4:$EO$14,((MONTH($A88)-1)*12)+VLOOKUP(BH$4,$DE$6:$DF$17,2)+1))*(VLOOKUP($A88,CURVES!$D$9:$T$261,6))*(INDEX(DailyScalarsTable,BH$5/100,MONTH($A88)))*$D88</f>
        <v>-5860.2616845109296</v>
      </c>
      <c r="BI88" s="1021">
        <f>(VLOOKUP(YEAR($A88),'NY East Load Projections'!$A$4:$EO$14,((MONTH($A88)-1)*12)+VLOOKUP(BI$4,$DE$6:$DF$17,2)+1))*(VLOOKUP($A88,CURVES!$D$9:$T$261,6))*(INDEX(DailyScalarsTable,BI$5/100,MONTH($A88)))*$D88</f>
        <v>-5863.7264247761013</v>
      </c>
      <c r="BJ88" s="1021">
        <f>(VLOOKUP(YEAR($A88),'NY East Load Projections'!$A$4:$EO$14,((MONTH($A88)-1)*12)+VLOOKUP(BJ$4,$DE$6:$DF$17,2)+1))*(VLOOKUP($A88,CURVES!$D$9:$T$261,6))*(INDEX(DailyScalarsTable,BJ$5/100,MONTH($A88)))*$D88</f>
        <v>-6379.0116397587608</v>
      </c>
      <c r="BK88" s="1021">
        <f>(VLOOKUP(YEAR($A88),'NY East Load Projections'!$A$4:$EO$14,((MONTH($A88)-1)*12)+VLOOKUP(BK$4,$DE$6:$DF$17,2)+1))*(VLOOKUP($A88,CURVES!$D$9:$T$261,6))*(INDEX(DailyScalarsTable,BK$5/100,MONTH($A88)))*$D88</f>
        <v>-7349.4095494363482</v>
      </c>
      <c r="BL88" s="1021">
        <f>(VLOOKUP(YEAR($A88),'NY East Load Projections'!$A$4:$EO$14,((MONTH($A88)-1)*12)+VLOOKUP(BL$4,$DE$6:$DF$17,2)+1))*(VLOOKUP($A88,CURVES!$D$9:$T$261,6))*(INDEX(DailyScalarsTable,BL$5/100,MONTH($A88)))*$D88</f>
        <v>-10527.30437184678</v>
      </c>
      <c r="BM88" s="1021">
        <f>(VLOOKUP(YEAR($A88),'NY East Load Projections'!$A$4:$EO$14,((MONTH($A88)-1)*12)+VLOOKUP(BM$4,$DE$6:$DF$17,2)+1))*(VLOOKUP($A88,SatSunCurve,6))*(INDEX(DailyScalarsTable,BM$5/100,MONTH($A88)))*$D88</f>
        <v>-7740.3218907285454</v>
      </c>
      <c r="BN88" s="1021">
        <f>(VLOOKUP(YEAR($A88),'NY East Load Projections'!$A$4:$EO$14,((MONTH($A88)-1)*12)+VLOOKUP(BN$4,$DE$6:$DF$17,2)+1))*(VLOOKUP($A88,SatSunCurve,6))*(INDEX(DailyScalarsTable,BN$5/100,MONTH($A88)))*$D88</f>
        <v>-8774.2723324633025</v>
      </c>
      <c r="BO88" s="1021">
        <f>(VLOOKUP(YEAR($A88),'NY East Load Projections'!$A$4:$EO$14,((MONTH($A88)-1)*12)+VLOOKUP(BO$4,$DE$6:$DF$17,2)+1))*(VLOOKUP($A88,SatSunCurve,6))*(INDEX(DailyScalarsTable,BO$5/100,MONTH($A88)))*$D88</f>
        <v>-8717.4461332157716</v>
      </c>
      <c r="BP88" s="1021">
        <f>(VLOOKUP(YEAR($A88),'NY East Load Projections'!$A$4:$EO$14,((MONTH($A88)-1)*12)+VLOOKUP(BP$4,$DE$6:$DF$17,2)+1))*(VLOOKUP($A88,SatSunCurve,6))*(INDEX(DailyScalarsTable,BP$5/100,MONTH($A88)))*$D88</f>
        <v>-8549.2713003075387</v>
      </c>
      <c r="BQ88" s="1021">
        <f>(VLOOKUP(YEAR($A88),'NY East Load Projections'!$A$4:$EO$14,((MONTH($A88)-1)*12)+VLOOKUP(BQ$4,$DE$6:$DF$17,2)+1))*(VLOOKUP($A88,SatSunCurve,6))*(INDEX(DailyScalarsTable,BQ$5/100,MONTH($A88)))*$D88</f>
        <v>-7198.4971857615083</v>
      </c>
      <c r="BR88" s="1021">
        <f>(VLOOKUP(YEAR($A88),'NY East Load Projections'!$A$4:$EO$14,((MONTH($A88)-1)*12)+VLOOKUP(BR$4,$DE$6:$DF$17,2)+1))*(VLOOKUP($A88,SatSunCurve,6))*(INDEX(DailyScalarsTable,BR$5/100,MONTH($A88)))*$D88</f>
        <v>-6942.9854752176134</v>
      </c>
      <c r="BS88" s="1021">
        <f>(VLOOKUP(YEAR($A88),'NY East Load Projections'!$A$4:$EO$14,((MONTH($A88)-1)*12)+VLOOKUP(BS$4,$DE$6:$DF$17,2)+1))*(VLOOKUP($A88,SatSunCurve,6))*(INDEX(DailyScalarsTable,BS$5/100,MONTH($A88)))*$D88</f>
        <v>-6756.6124366371878</v>
      </c>
      <c r="BT88" s="1021">
        <f>(VLOOKUP(YEAR($A88),'NY East Load Projections'!$A$4:$EO$14,((MONTH($A88)-1)*12)+VLOOKUP(BT$4,$DE$6:$DF$17,2)+1))*(VLOOKUP($A88,SatSunCurve,6))*(INDEX(DailyScalarsTable,BT$5/100,MONTH($A88)))*$D88</f>
        <v>-6598.5492267018899</v>
      </c>
      <c r="BU88" s="1021">
        <f>(VLOOKUP(YEAR($A88),'NY East Load Projections'!$A$4:$EO$14,((MONTH($A88)-1)*12)+VLOOKUP(BU$4,$DE$6:$DF$17,2)+1))*(VLOOKUP($A88,SatSunCurve,6))*(INDEX(DailyScalarsTable,BU$5/100,MONTH($A88)))*$D88</f>
        <v>-6490.0282168955673</v>
      </c>
      <c r="BV88" s="1021">
        <f>(VLOOKUP(YEAR($A88),'NY East Load Projections'!$A$4:$EO$14,((MONTH($A88)-1)*12)+VLOOKUP(BV$4,$DE$6:$DF$17,2)+1))*(VLOOKUP($A88,SatSunCurve,6))*(INDEX(DailyScalarsTable,BV$5/100,MONTH($A88)))*$D88</f>
        <v>-6678.0542537802357</v>
      </c>
      <c r="BW88" s="1021">
        <f>(VLOOKUP(YEAR($A88),'NY East Load Projections'!$A$4:$EO$14,((MONTH($A88)-1)*12)+VLOOKUP(BW$4,$DE$6:$DF$17,2)+1))*(VLOOKUP($A88,SatSunCurve,6))*(INDEX(DailyScalarsTable,BW$5/100,MONTH($A88)))*$D88</f>
        <v>-9167.4484911751915</v>
      </c>
      <c r="BX88" s="1021">
        <f>(VLOOKUP(YEAR($A88),'NY East Load Projections'!$A$4:$EO$14,((MONTH($A88)-1)*12)+VLOOKUP(BX$4,$DE$6:$DF$17,2)+1))*(VLOOKUP($A88,SatSunCurve,6))*(INDEX(DailyScalarsTable,BX$5/100,MONTH($A88)))*$D88</f>
        <v>-9241.264114553318</v>
      </c>
      <c r="BY88" s="1021">
        <f>(VLOOKUP(YEAR($A88),'NY East Load Projections'!$A$4:$EO$14,((MONTH($A88)-1)*12)+VLOOKUP(BY$4,$DE$6:$DF$17,2)+1))*(VLOOKUP($A88,SatSunCurve,6))*(INDEX(DailyScalarsTable,BY$5/100,MONTH($A88)))*$D88</f>
        <v>-8863.1473499021013</v>
      </c>
      <c r="BZ88" s="1021">
        <f>(VLOOKUP(YEAR($A88),'NY East Load Projections'!$A$4:$EO$14,((MONTH($A88)-1)*12)+VLOOKUP(BZ$4,$DE$6:$DF$17,2)+1))*(VLOOKUP($A88,SatSunCurve,6))*(INDEX(DailyScalarsTable,BZ$5/100,MONTH($A88)))*$D88</f>
        <v>-7855.1378510578543</v>
      </c>
      <c r="CA88" s="1021">
        <f>(VLOOKUP(YEAR($A88),'NY East Load Projections'!$A$4:$EO$14,((MONTH($A88)-1)*12)+VLOOKUP(CA$4,$DE$6:$DF$17,2)+1))*(VLOOKUP($A88,SatSunCurve,6))*(INDEX(DailyScalarsTable,CA$5/100,MONTH($A88)))*$D88</f>
        <v>-6248.6182446379953</v>
      </c>
      <c r="CB88" s="1021">
        <f>(VLOOKUP(YEAR($A88),'NY East Load Projections'!$A$4:$EO$14,((MONTH($A88)-1)*12)+VLOOKUP(CB$4,$DE$6:$DF$17,2)+1))*(VLOOKUP($A88,SatSunCurve,6))*(INDEX(DailyScalarsTable,CB$5/100,MONTH($A88)))*$D88</f>
        <v>-5269.7017175110323</v>
      </c>
      <c r="CC88" s="1021">
        <f>(VLOOKUP(YEAR($A88),'NY East Load Projections'!$A$4:$EO$14,((MONTH($A88)-1)*12)+VLOOKUP(CC$4,$DE$6:$DF$17,2)+1))*(VLOOKUP($A88,CURVES!$D$9:$T$261,6))*(INDEX(DailyScalarsTable,CC$5/100,MONTH($A88)))*$D88</f>
        <v>-7382.1116560696901</v>
      </c>
      <c r="CE88" s="1021">
        <f>(VLOOKUP(YEAR($A88),'NY East Load Projections'!$A$4:$EO$14,((MONTH($A88)-1)*12)+VLOOKUP(CE$4,$DE$6:$DF$17,2)+1))*(VLOOKUP($A88,CURVES!$D$9:$T$261,6))*(INDEX(DailyScalarsTable,CE$5/100,MONTH($A88)))*$E88</f>
        <v>-1610.2380382384147</v>
      </c>
      <c r="CF88" s="1021">
        <f>(VLOOKUP(YEAR($A88),'NY East Load Projections'!$A$4:$EO$14,((MONTH($A88)-1)*12)+VLOOKUP(CF$4,$DE$6:$DF$17,2)+1))*(VLOOKUP($A88,CURVES!$D$9:$T$261,6))*(INDEX(DailyScalarsTable,CF$5/100,MONTH($A88)))*$E88</f>
        <v>-1526.5645608345251</v>
      </c>
      <c r="CG88" s="1021">
        <f>(VLOOKUP(YEAR($A88),'NY East Load Projections'!$A$4:$EO$14,((MONTH($A88)-1)*12)+VLOOKUP(CG$4,$DE$6:$DF$17,2)+1))*(VLOOKUP($A88,CURVES!$D$9:$T$261,6))*(INDEX(DailyScalarsTable,CG$5/100,MONTH($A88)))*$E88</f>
        <v>-1465.0654211277324</v>
      </c>
      <c r="CH88" s="1021">
        <f>(VLOOKUP(YEAR($A88),'NY East Load Projections'!$A$4:$EO$14,((MONTH($A88)-1)*12)+VLOOKUP(CH$4,$DE$6:$DF$17,2)+1))*(VLOOKUP($A88,CURVES!$D$9:$T$261,6))*(INDEX(DailyScalarsTable,CH$5/100,MONTH($A88)))*$E88</f>
        <v>-1465.9316061940253</v>
      </c>
      <c r="CI88" s="1021">
        <f>(VLOOKUP(YEAR($A88),'NY East Load Projections'!$A$4:$EO$14,((MONTH($A88)-1)*12)+VLOOKUP(CI$4,$DE$6:$DF$17,2)+1))*(VLOOKUP($A88,CURVES!$D$9:$T$261,6))*(INDEX(DailyScalarsTable,CI$5/100,MONTH($A88)))*$E88</f>
        <v>-1594.7529099396902</v>
      </c>
      <c r="CJ88" s="1021">
        <f>(VLOOKUP(YEAR($A88),'NY East Load Projections'!$A$4:$EO$14,((MONTH($A88)-1)*12)+VLOOKUP(CJ$4,$DE$6:$DF$17,2)+1))*(VLOOKUP($A88,CURVES!$D$9:$T$261,6))*(INDEX(DailyScalarsTable,CJ$5/100,MONTH($A88)))*$E88</f>
        <v>-1837.3523873590871</v>
      </c>
      <c r="CK88" s="1021">
        <f>(VLOOKUP(YEAR($A88),'NY East Load Projections'!$A$4:$EO$14,((MONTH($A88)-1)*12)+VLOOKUP(CK$4,$DE$6:$DF$17,2)+1))*(VLOOKUP($A88,CURVES!$D$9:$T$261,6))*(INDEX(DailyScalarsTable,CK$5/100,MONTH($A88)))*$E88</f>
        <v>-2631.8260929616949</v>
      </c>
      <c r="CL88" s="1021">
        <f>(VLOOKUP(YEAR($A88),'NY East Load Projections'!$A$4:$EO$14,((MONTH($A88)-1)*12)+VLOOKUP(CL$4,$DE$6:$DF$17,2)+1))*(VLOOKUP($A88,SatSunCurve,6))*(INDEX(DailyScalarsTable,CL$5/100,MONTH($A88)))*$E88</f>
        <v>-1935.0804726821364</v>
      </c>
      <c r="CM88" s="1021">
        <f>(VLOOKUP(YEAR($A88),'NY East Load Projections'!$A$4:$EO$14,((MONTH($A88)-1)*12)+VLOOKUP(CM$4,$DE$6:$DF$17,2)+1))*(VLOOKUP($A88,SatSunCurve,6))*(INDEX(DailyScalarsTable,CM$5/100,MONTH($A88)))*$E88</f>
        <v>-2193.5680831158256</v>
      </c>
      <c r="CN88" s="1021">
        <f>(VLOOKUP(YEAR($A88),'NY East Load Projections'!$A$4:$EO$14,((MONTH($A88)-1)*12)+VLOOKUP(CN$4,$DE$6:$DF$17,2)+1))*(VLOOKUP($A88,SatSunCurve,6))*(INDEX(DailyScalarsTable,CN$5/100,MONTH($A88)))*$E88</f>
        <v>-2179.3615333039429</v>
      </c>
      <c r="CO88" s="1021">
        <f>(VLOOKUP(YEAR($A88),'NY East Load Projections'!$A$4:$EO$14,((MONTH($A88)-1)*12)+VLOOKUP(CO$4,$DE$6:$DF$17,2)+1))*(VLOOKUP($A88,SatSunCurve,6))*(INDEX(DailyScalarsTable,CO$5/100,MONTH($A88)))*$E88</f>
        <v>-2137.3178250768847</v>
      </c>
      <c r="CP88" s="1021">
        <f>(VLOOKUP(YEAR($A88),'NY East Load Projections'!$A$4:$EO$14,((MONTH($A88)-1)*12)+VLOOKUP(CP$4,$DE$6:$DF$17,2)+1))*(VLOOKUP($A88,SatSunCurve,6))*(INDEX(DailyScalarsTable,CP$5/100,MONTH($A88)))*$E88</f>
        <v>-1799.6242964403771</v>
      </c>
      <c r="CQ88" s="1021">
        <f>(VLOOKUP(YEAR($A88),'NY East Load Projections'!$A$4:$EO$14,((MONTH($A88)-1)*12)+VLOOKUP(CQ$4,$DE$6:$DF$17,2)+1))*(VLOOKUP($A88,SatSunCurve,6))*(INDEX(DailyScalarsTable,CQ$5/100,MONTH($A88)))*$E88</f>
        <v>-1735.7463688044033</v>
      </c>
      <c r="CR88" s="1021">
        <f>(VLOOKUP(YEAR($A88),'NY East Load Projections'!$A$4:$EO$14,((MONTH($A88)-1)*12)+VLOOKUP(CR$4,$DE$6:$DF$17,2)+1))*(VLOOKUP($A88,SatSunCurve,6))*(INDEX(DailyScalarsTable,CR$5/100,MONTH($A88)))*$E88</f>
        <v>-1689.1531091592969</v>
      </c>
      <c r="CS88" s="1021">
        <f>(VLOOKUP(YEAR($A88),'NY East Load Projections'!$A$4:$EO$14,((MONTH($A88)-1)*12)+VLOOKUP(CS$4,$DE$6:$DF$17,2)+1))*(VLOOKUP($A88,SatSunCurve,6))*(INDEX(DailyScalarsTable,CS$5/100,MONTH($A88)))*$E88</f>
        <v>-1649.6373066754725</v>
      </c>
      <c r="CT88" s="1021">
        <f>(VLOOKUP(YEAR($A88),'NY East Load Projections'!$A$4:$EO$14,((MONTH($A88)-1)*12)+VLOOKUP(CT$4,$DE$6:$DF$17,2)+1))*(VLOOKUP($A88,SatSunCurve,6))*(INDEX(DailyScalarsTable,CT$5/100,MONTH($A88)))*$E88</f>
        <v>-1622.5070542238918</v>
      </c>
      <c r="CU88" s="1021">
        <f>(VLOOKUP(YEAR($A88),'NY East Load Projections'!$A$4:$EO$14,((MONTH($A88)-1)*12)+VLOOKUP(CU$4,$DE$6:$DF$17,2)+1))*(VLOOKUP($A88,SatSunCurve,6))*(INDEX(DailyScalarsTable,CU$5/100,MONTH($A88)))*$E88</f>
        <v>-1669.5135634450589</v>
      </c>
      <c r="CV88" s="1021">
        <f>(VLOOKUP(YEAR($A88),'NY East Load Projections'!$A$4:$EO$14,((MONTH($A88)-1)*12)+VLOOKUP(CV$4,$DE$6:$DF$17,2)+1))*(VLOOKUP($A88,SatSunCurve,6))*(INDEX(DailyScalarsTable,CV$5/100,MONTH($A88)))*$E88</f>
        <v>-2291.8621227937979</v>
      </c>
      <c r="CW88" s="1021">
        <f>(VLOOKUP(YEAR($A88),'NY East Load Projections'!$A$4:$EO$14,((MONTH($A88)-1)*12)+VLOOKUP(CW$4,$DE$6:$DF$17,2)+1))*(VLOOKUP($A88,SatSunCurve,6))*(INDEX(DailyScalarsTable,CW$5/100,MONTH($A88)))*$E88</f>
        <v>-2310.3160286383295</v>
      </c>
      <c r="CX88" s="1021">
        <f>(VLOOKUP(YEAR($A88),'NY East Load Projections'!$A$4:$EO$14,((MONTH($A88)-1)*12)+VLOOKUP(CX$4,$DE$6:$DF$17,2)+1))*(VLOOKUP($A88,SatSunCurve,6))*(INDEX(DailyScalarsTable,CX$5/100,MONTH($A88)))*$E88</f>
        <v>-2215.7868374755253</v>
      </c>
      <c r="CY88" s="1021">
        <f>(VLOOKUP(YEAR($A88),'NY East Load Projections'!$A$4:$EO$14,((MONTH($A88)-1)*12)+VLOOKUP(CY$4,$DE$6:$DF$17,2)+1))*(VLOOKUP($A88,SatSunCurve,6))*(INDEX(DailyScalarsTable,CY$5/100,MONTH($A88)))*$E88</f>
        <v>-1963.7844627644636</v>
      </c>
      <c r="CZ88" s="1021">
        <f>(VLOOKUP(YEAR($A88),'NY East Load Projections'!$A$4:$EO$14,((MONTH($A88)-1)*12)+VLOOKUP(CZ$4,$DE$6:$DF$17,2)+1))*(VLOOKUP($A88,SatSunCurve,6))*(INDEX(DailyScalarsTable,CZ$5/100,MONTH($A88)))*$E88</f>
        <v>-1562.1545611594988</v>
      </c>
      <c r="DA88" s="1021">
        <f>(VLOOKUP(YEAR($A88),'NY East Load Projections'!$A$4:$EO$14,((MONTH($A88)-1)*12)+VLOOKUP(DA$4,$DE$6:$DF$17,2)+1))*(VLOOKUP($A88,SatSunCurve,6))*(INDEX(DailyScalarsTable,DA$5/100,MONTH($A88)))*$E88</f>
        <v>-1317.4254293777581</v>
      </c>
      <c r="DB88" s="1021">
        <f>(VLOOKUP(YEAR($A88),'NY East Load Projections'!$A$4:$EO$14,((MONTH($A88)-1)*12)+VLOOKUP(DB$4,$DE$6:$DF$17,2)+1))*(VLOOKUP($A88,CURVES!$D$9:$T$261,6))*(INDEX(DailyScalarsTable,DB$5/100,MONTH($A88)))*$E88</f>
        <v>-1845.5279140174225</v>
      </c>
      <c r="DH88" s="1021">
        <f t="shared" si="2"/>
        <v>-1691876.5350604763</v>
      </c>
      <c r="DI88">
        <f ca="1">CALC!J108</f>
        <v>0.56826708324181341</v>
      </c>
      <c r="DJ88" s="1029">
        <f t="shared" ca="1" si="3"/>
        <v>-961437.74378408247</v>
      </c>
    </row>
    <row r="89" spans="1:114" x14ac:dyDescent="0.25">
      <c r="A89" s="244">
        <v>39417</v>
      </c>
      <c r="B89" s="13">
        <v>20</v>
      </c>
      <c r="C89" s="210">
        <v>5</v>
      </c>
      <c r="D89" s="210">
        <v>5</v>
      </c>
      <c r="E89" s="210">
        <v>1</v>
      </c>
      <c r="F89" s="13">
        <v>31</v>
      </c>
      <c r="H89" s="1021">
        <f>(VLOOKUP(YEAR($A89),'NY East Load Projections'!$A$4:$EO$14,((MONTH($A89)-1)*12)+VLOOKUP(H$4,$DE$6:$DF$17,2)+1))*(VLOOKUP($A89,CURVES!$D$9:$K$261,6))*(INDEX(DailyScalarsTable,H$5/100,MONTH($A89)))*$B89</f>
        <v>-31987.11648830495</v>
      </c>
      <c r="I89" s="1021">
        <f>(VLOOKUP(YEAR($A89),'NY East Load Projections'!$A$4:$EO$14,((MONTH($A89)-1)*12)+VLOOKUP(I$4,$DE$6:$DF$17,2)+1))*(VLOOKUP($A89,CURVES!$D$9:$K$261,6))*(INDEX(DailyScalarsTable,I$5/100,MONTH($A89)))*$B89</f>
        <v>-30324.956481435529</v>
      </c>
      <c r="J89" s="1021">
        <f>(VLOOKUP(YEAR($A89),'NY East Load Projections'!$A$4:$EO$14,((MONTH($A89)-1)*12)+VLOOKUP(J$4,$DE$6:$DF$17,2)+1))*(VLOOKUP($A89,CURVES!$D$9:$K$261,6))*(INDEX(DailyScalarsTable,J$5/100,MONTH($A89)))*$B89</f>
        <v>-29103.28608301183</v>
      </c>
      <c r="K89" s="1021">
        <f>(VLOOKUP(YEAR($A89),'NY East Load Projections'!$A$4:$EO$14,((MONTH($A89)-1)*12)+VLOOKUP(K$4,$DE$6:$DF$17,2)+1))*(VLOOKUP($A89,CURVES!$D$9:$K$261,6))*(INDEX(DailyScalarsTable,K$5/100,MONTH($A89)))*$B89</f>
        <v>-29120.492708341739</v>
      </c>
      <c r="L89" s="1021">
        <f>(VLOOKUP(YEAR($A89),'NY East Load Projections'!$A$4:$EO$14,((MONTH($A89)-1)*12)+VLOOKUP(L$4,$DE$6:$DF$17,2)+1))*(VLOOKUP($A89,CURVES!$D$9:$K$261,6))*(INDEX(DailyScalarsTable,L$5/100,MONTH($A89)))*$B89</f>
        <v>-34175.444732497497</v>
      </c>
      <c r="M89" s="1021">
        <f>(VLOOKUP(YEAR($A89),'NY East Load Projections'!$A$4:$EO$14,((MONTH($A89)-1)*12)+VLOOKUP(M$4,$DE$6:$DF$17,2)+1))*(VLOOKUP($A89,CURVES!$D$9:$K$261,6))*(INDEX(DailyScalarsTable,M$5/100,MONTH($A89)))*$B89</f>
        <v>-39374.334780607154</v>
      </c>
      <c r="N89" s="1021">
        <f>(VLOOKUP(YEAR($A89),'NY East Load Projections'!$A$4:$EO$14,((MONTH($A89)-1)*12)+VLOOKUP(N$4,$DE$6:$DF$17,2)+1))*(VLOOKUP($A89,CURVES!$D$9:$K$261,6))*(INDEX(DailyScalarsTable,N$5/100,MONTH($A89)))*$B89</f>
        <v>-56399.851428368725</v>
      </c>
      <c r="O89" s="1021">
        <f>(VLOOKUP(YEAR($A89),'NY East Load Projections'!$A$4:$EO$14,((MONTH($A89)-1)*12)+VLOOKUP(O$4,$DE$6:$DF$17,2)+1))*(VLOOKUP($A89,CURVES!$D$9:$K$261,2))*(INDEX(DailyScalarsTable,O$5/100,MONTH($A89)))*$B89</f>
        <v>-59817.718843501287</v>
      </c>
      <c r="P89" s="1021">
        <f>(VLOOKUP(YEAR($A89),'NY East Load Projections'!$A$4:$EO$14,((MONTH($A89)-1)*12)+VLOOKUP(P$4,$DE$6:$DF$17,2)+1))*(VLOOKUP($A89,CURVES!$D$9:$K$261,2))*(INDEX(DailyScalarsTable,P$5/100,MONTH($A89)))*$B89</f>
        <v>-67504.094128793688</v>
      </c>
      <c r="Q89" s="1021">
        <f>(VLOOKUP(YEAR($A89),'NY East Load Projections'!$A$4:$EO$14,((MONTH($A89)-1)*12)+VLOOKUP(Q$4,$DE$6:$DF$17,2)+1))*(VLOOKUP($A89,CURVES!$D$9:$K$261,2))*(INDEX(DailyScalarsTable,Q$5/100,MONTH($A89)))*$B89</f>
        <v>-67161.875401039884</v>
      </c>
      <c r="R89" s="1021">
        <f>(VLOOKUP(YEAR($A89),'NY East Load Projections'!$A$4:$EO$14,((MONTH($A89)-1)*12)+VLOOKUP(R$4,$DE$6:$DF$17,2)+1))*(VLOOKUP($A89,CURVES!$D$9:$K$261,2))*(INDEX(DailyScalarsTable,R$5/100,MONTH($A89)))*$B89</f>
        <v>-65700.195411311754</v>
      </c>
      <c r="S89" s="1021">
        <f>(VLOOKUP(YEAR($A89),'NY East Load Projections'!$A$4:$EO$14,((MONTH($A89)-1)*12)+VLOOKUP(S$4,$DE$6:$DF$17,2)+1))*(VLOOKUP($A89,CURVES!$D$9:$K$261,2))*(INDEX(DailyScalarsTable,S$5/100,MONTH($A89)))*$B89</f>
        <v>-53386.121529594195</v>
      </c>
      <c r="T89" s="1021">
        <f>(VLOOKUP(YEAR($A89),'NY East Load Projections'!$A$4:$EO$14,((MONTH($A89)-1)*12)+VLOOKUP(T$4,$DE$6:$DF$17,2)+1))*(VLOOKUP($A89,CURVES!$D$9:$K$261,2))*(INDEX(DailyScalarsTable,T$5/100,MONTH($A89)))*$B89</f>
        <v>-51251.349079033418</v>
      </c>
      <c r="U89" s="1021">
        <f>(VLOOKUP(YEAR($A89),'NY East Load Projections'!$A$4:$EO$14,((MONTH($A89)-1)*12)+VLOOKUP(U$4,$DE$6:$DF$17,2)+1))*(VLOOKUP($A89,CURVES!$D$9:$K$261,2))*(INDEX(DailyScalarsTable,U$5/100,MONTH($A89)))*$B89</f>
        <v>-49042.895701185029</v>
      </c>
      <c r="V89" s="1021">
        <f>(VLOOKUP(YEAR($A89),'NY East Load Projections'!$A$4:$EO$14,((MONTH($A89)-1)*12)+VLOOKUP(V$4,$DE$6:$DF$17,2)+1))*(VLOOKUP($A89,CURVES!$D$9:$K$261,2))*(INDEX(DailyScalarsTable,V$5/100,MONTH($A89)))*$B89</f>
        <v>-46576.69179647899</v>
      </c>
      <c r="W89" s="1021">
        <f>(VLOOKUP(YEAR($A89),'NY East Load Projections'!$A$4:$EO$14,((MONTH($A89)-1)*12)+VLOOKUP(W$4,$DE$6:$DF$17,2)+1))*(VLOOKUP($A89,CURVES!$D$9:$K$261,2))*(INDEX(DailyScalarsTable,W$5/100,MONTH($A89)))*$B89</f>
        <v>-45768.292416789125</v>
      </c>
      <c r="X89" s="1021">
        <f>(VLOOKUP(YEAR($A89),'NY East Load Projections'!$A$4:$EO$14,((MONTH($A89)-1)*12)+VLOOKUP(X$4,$DE$6:$DF$17,2)+1))*(VLOOKUP($A89,CURVES!$D$9:$K$261,2))*(INDEX(DailyScalarsTable,X$5/100,MONTH($A89)))*$B89</f>
        <v>-49589.04282373545</v>
      </c>
      <c r="Y89" s="1021">
        <f>(VLOOKUP(YEAR($A89),'NY East Load Projections'!$A$4:$EO$14,((MONTH($A89)-1)*12)+VLOOKUP(Y$4,$DE$6:$DF$17,2)+1))*(VLOOKUP($A89,CURVES!$D$9:$K$261,2))*(INDEX(DailyScalarsTable,Y$5/100,MONTH($A89)))*$B89</f>
        <v>-69888.035217226687</v>
      </c>
      <c r="Z89" s="1021">
        <f>(VLOOKUP(YEAR($A89),'NY East Load Projections'!$A$4:$EO$14,((MONTH($A89)-1)*12)+VLOOKUP(Z$4,$DE$6:$DF$17,2)+1))*(VLOOKUP($A89,CURVES!$D$9:$K$261,2))*(INDEX(DailyScalarsTable,Z$5/100,MONTH($A89)))*$B89</f>
        <v>-69422.404880795628</v>
      </c>
      <c r="AA89" s="1021">
        <f>(VLOOKUP(YEAR($A89),'NY East Load Projections'!$A$4:$EO$14,((MONTH($A89)-1)*12)+VLOOKUP(AA$4,$DE$6:$DF$17,2)+1))*(VLOOKUP($A89,CURVES!$D$9:$K$261,2))*(INDEX(DailyScalarsTable,AA$5/100,MONTH($A89)))*$B89</f>
        <v>-67031.819975298509</v>
      </c>
      <c r="AB89" s="1021">
        <f>(VLOOKUP(YEAR($A89),'NY East Load Projections'!$A$4:$EO$14,((MONTH($A89)-1)*12)+VLOOKUP(AB$4,$DE$6:$DF$17,2)+1))*(VLOOKUP($A89,CURVES!$D$9:$K$261,2))*(INDEX(DailyScalarsTable,AB$5/100,MONTH($A89)))*$B89</f>
        <v>-60350.531359401662</v>
      </c>
      <c r="AC89" s="1021">
        <f>(VLOOKUP(YEAR($A89),'NY East Load Projections'!$A$4:$EO$14,((MONTH($A89)-1)*12)+VLOOKUP(AC$4,$DE$6:$DF$17,2)+1))*(VLOOKUP($A89,CURVES!$D$9:$K$261,2))*(INDEX(DailyScalarsTable,AC$5/100,MONTH($A89)))*$B89</f>
        <v>-44490.170871581038</v>
      </c>
      <c r="AD89" s="1021">
        <f>(VLOOKUP(YEAR($A89),'NY East Load Projections'!$A$4:$EO$14,((MONTH($A89)-1)*12)+VLOOKUP(AD$4,$DE$6:$DF$17,2)+1))*(VLOOKUP($A89,CURVES!$D$9:$K$261,2))*(INDEX(DailyScalarsTable,AD$5/100,MONTH($A89)))*$B89</f>
        <v>-36705.044083717767</v>
      </c>
      <c r="AE89" s="1021">
        <f>(VLOOKUP(YEAR($A89),'NY East Load Projections'!$A$4:$EO$14,((MONTH($A89)-1)*12)+VLOOKUP(AE$4,$DE$6:$DF$17,2)+1))*(VLOOKUP($A89,CURVES!$D$9:$K$261,6))*(INDEX(DailyScalarsTable,AE$5/100,MONTH($A89)))*$B89</f>
        <v>-37620.214121436991</v>
      </c>
      <c r="AF89" s="1021"/>
      <c r="AG89" s="1021">
        <f>(VLOOKUP(YEAR($A89),'NY East Load Projections'!$A$4:$EO$14,((MONTH($A89)-1)*12)+VLOOKUP(AG$4,$DE$6:$DF$17,2)+1))*(VLOOKUP($A89,CURVES!$D$9:$T$261,6))*(INDEX(DailyScalarsTable,AG$5/100,MONTH($A89)))*$C89</f>
        <v>-8156.7229360615047</v>
      </c>
      <c r="AH89" s="1021">
        <f>(VLOOKUP(YEAR($A89),'NY East Load Projections'!$A$4:$EO$14,((MONTH($A89)-1)*12)+VLOOKUP(AH$4,$DE$6:$DF$17,2)+1))*(VLOOKUP($A89,CURVES!$D$9:$T$261,6))*(INDEX(DailyScalarsTable,AH$5/100,MONTH($A89)))*$C89</f>
        <v>-7732.8717065706269</v>
      </c>
      <c r="AI89" s="1021">
        <f>(VLOOKUP(YEAR($A89),'NY East Load Projections'!$A$4:$EO$14,((MONTH($A89)-1)*12)+VLOOKUP(AI$4,$DE$6:$DF$17,2)+1))*(VLOOKUP($A89,CURVES!$D$9:$T$261,6))*(INDEX(DailyScalarsTable,AI$5/100,MONTH($A89)))*$C89</f>
        <v>-7421.3454405887187</v>
      </c>
      <c r="AJ89" s="1021">
        <f>(VLOOKUP(YEAR($A89),'NY East Load Projections'!$A$4:$EO$14,((MONTH($A89)-1)*12)+VLOOKUP(AJ$4,$DE$6:$DF$17,2)+1))*(VLOOKUP($A89,CURVES!$D$9:$T$261,6))*(INDEX(DailyScalarsTable,AJ$5/100,MONTH($A89)))*$C89</f>
        <v>-7425.7331344757868</v>
      </c>
      <c r="AK89" s="1021">
        <f>(VLOOKUP(YEAR($A89),'NY East Load Projections'!$A$4:$EO$14,((MONTH($A89)-1)*12)+VLOOKUP(AK$4,$DE$6:$DF$17,2)+1))*(VLOOKUP($A89,CURVES!$D$9:$T$261,6))*(INDEX(DailyScalarsTable,AK$5/100,MONTH($A89)))*$C89</f>
        <v>-8134.3556228053885</v>
      </c>
      <c r="AL89" s="1021">
        <f>(VLOOKUP(YEAR($A89),'NY East Load Projections'!$A$4:$EO$14,((MONTH($A89)-1)*12)+VLOOKUP(AL$4,$DE$6:$DF$17,2)+1))*(VLOOKUP($A89,CURVES!$D$9:$T$261,6))*(INDEX(DailyScalarsTable,AL$5/100,MONTH($A89)))*$C89</f>
        <v>-9371.7826943827331</v>
      </c>
      <c r="AM89" s="1021">
        <f>(VLOOKUP(YEAR($A89),'NY East Load Projections'!$A$4:$EO$14,((MONTH($A89)-1)*12)+VLOOKUP(AM$4,$DE$6:$DF$17,2)+1))*(VLOOKUP($A89,CURVES!$D$9:$T$261,6))*(INDEX(DailyScalarsTable,AM$5/100,MONTH($A89)))*$C89</f>
        <v>-13424.154453079826</v>
      </c>
      <c r="AN89" s="1021">
        <f>(VLOOKUP(YEAR($A89),'NY East Load Projections'!$A$4:$EO$14,((MONTH($A89)-1)*12)+VLOOKUP(AN$4,$DE$6:$DF$17,2)+1))*(VLOOKUP($A89,SatSunCurve,2))*(INDEX(DailyScalarsTable,AN$5/100,MONTH($A89)))*$C89</f>
        <v>-12131.876962066042</v>
      </c>
      <c r="AO89" s="1021">
        <f>(VLOOKUP(YEAR($A89),'NY East Load Projections'!$A$4:$EO$14,((MONTH($A89)-1)*12)+VLOOKUP(AO$4,$DE$6:$DF$17,2)+1))*(VLOOKUP($A89,SatSunCurve,2))*(INDEX(DailyScalarsTable,AO$5/100,MONTH($A89)))*$C89</f>
        <v>-13763.903798013303</v>
      </c>
      <c r="AP89" s="1021">
        <f>(VLOOKUP(YEAR($A89),'NY East Load Projections'!$A$4:$EO$14,((MONTH($A89)-1)*12)+VLOOKUP(AP$4,$DE$6:$DF$17,2)+1))*(VLOOKUP($A89,SatSunCurve,2))*(INDEX(DailyScalarsTable,AP$5/100,MONTH($A89)))*$C89</f>
        <v>-13694.126316995706</v>
      </c>
      <c r="AQ89" s="1021">
        <f>(VLOOKUP(YEAR($A89),'NY East Load Projections'!$A$4:$EO$14,((MONTH($A89)-1)*12)+VLOOKUP(AQ$4,$DE$6:$DF$17,2)+1))*(VLOOKUP($A89,SatSunCurve,2))*(INDEX(DailyScalarsTable,AQ$5/100,MONTH($A89)))*$C89</f>
        <v>-13396.093686208687</v>
      </c>
      <c r="AR89" s="1021">
        <f>(VLOOKUP(YEAR($A89),'NY East Load Projections'!$A$4:$EO$14,((MONTH($A89)-1)*12)+VLOOKUP(AR$4,$DE$6:$DF$17,2)+1))*(VLOOKUP($A89,SatSunCurve,2))*(INDEX(DailyScalarsTable,AR$5/100,MONTH($A89)))*$C89</f>
        <v>-10885.287038745011</v>
      </c>
      <c r="AS89" s="1021">
        <f>(VLOOKUP(YEAR($A89),'NY East Load Projections'!$A$4:$EO$14,((MONTH($A89)-1)*12)+VLOOKUP(AS$4,$DE$6:$DF$17,2)+1))*(VLOOKUP($A89,SatSunCurve,2))*(INDEX(DailyScalarsTable,AS$5/100,MONTH($A89)))*$C89</f>
        <v>-10462.617301281387</v>
      </c>
      <c r="AT89" s="1021">
        <f>(VLOOKUP(YEAR($A89),'NY East Load Projections'!$A$4:$EO$14,((MONTH($A89)-1)*12)+VLOOKUP(AT$4,$DE$6:$DF$17,2)+1))*(VLOOKUP($A89,SatSunCurve,2))*(INDEX(DailyScalarsTable,AT$5/100,MONTH($A89)))*$C89</f>
        <v>-10011.77643688739</v>
      </c>
      <c r="AU89" s="1021">
        <f>(VLOOKUP(YEAR($A89),'NY East Load Projections'!$A$4:$EO$14,((MONTH($A89)-1)*12)+VLOOKUP(AU$4,$DE$6:$DF$17,2)+1))*(VLOOKUP($A89,SatSunCurve,2))*(INDEX(DailyScalarsTable,AU$5/100,MONTH($A89)))*$C89</f>
        <v>-9508.3175405747279</v>
      </c>
      <c r="AV89" s="1021">
        <f>(VLOOKUP(YEAR($A89),'NY East Load Projections'!$A$4:$EO$14,((MONTH($A89)-1)*12)+VLOOKUP(AV$4,$DE$6:$DF$17,2)+1))*(VLOOKUP($A89,SatSunCurve,2))*(INDEX(DailyScalarsTable,AV$5/100,MONTH($A89)))*$C89</f>
        <v>-9343.2882586480118</v>
      </c>
      <c r="AW89" s="1021">
        <f>(VLOOKUP(YEAR($A89),'NY East Load Projections'!$A$4:$EO$14,((MONTH($A89)-1)*12)+VLOOKUP(AW$4,$DE$6:$DF$17,2)+1))*(VLOOKUP($A89,SatSunCurve,2))*(INDEX(DailyScalarsTable,AW$5/100,MONTH($A89)))*$C89</f>
        <v>-10138.856891802969</v>
      </c>
      <c r="AX89" s="1021">
        <f>(VLOOKUP(YEAR($A89),'NY East Load Projections'!$A$4:$EO$14,((MONTH($A89)-1)*12)+VLOOKUP(AX$4,$DE$6:$DF$17,2)+1))*(VLOOKUP($A89,SatSunCurve,2))*(INDEX(DailyScalarsTable,AX$5/100,MONTH($A89)))*$C89</f>
        <v>-14289.140244860466</v>
      </c>
      <c r="AY89" s="1021">
        <f>(VLOOKUP(YEAR($A89),'NY East Load Projections'!$A$4:$EO$14,((MONTH($A89)-1)*12)+VLOOKUP(AY$4,$DE$6:$DF$17,2)+1))*(VLOOKUP($A89,SatSunCurve,2))*(INDEX(DailyScalarsTable,AY$5/100,MONTH($A89)))*$C89</f>
        <v>-14193.938581816932</v>
      </c>
      <c r="AZ89" s="1021">
        <f>(VLOOKUP(YEAR($A89),'NY East Load Projections'!$A$4:$EO$14,((MONTH($A89)-1)*12)+VLOOKUP(AZ$4,$DE$6:$DF$17,2)+1))*(VLOOKUP($A89,SatSunCurve,2))*(INDEX(DailyScalarsTable,AZ$5/100,MONTH($A89)))*$C89</f>
        <v>-13705.165319330441</v>
      </c>
      <c r="BA89" s="1021">
        <f>(VLOOKUP(YEAR($A89),'NY East Load Projections'!$A$4:$EO$14,((MONTH($A89)-1)*12)+VLOOKUP(BA$4,$DE$6:$DF$17,2)+1))*(VLOOKUP($A89,SatSunCurve,2))*(INDEX(DailyScalarsTable,BA$5/100,MONTH($A89)))*$C89</f>
        <v>-12860.834147455913</v>
      </c>
      <c r="BB89" s="1021">
        <f>(VLOOKUP(YEAR($A89),'NY East Load Projections'!$A$4:$EO$14,((MONTH($A89)-1)*12)+VLOOKUP(BB$4,$DE$6:$DF$17,2)+1))*(VLOOKUP($A89,SatSunCurve,2))*(INDEX(DailyScalarsTable,BB$5/100,MONTH($A89)))*$C89</f>
        <v>-9480.9556085580498</v>
      </c>
      <c r="BC89" s="1021">
        <f>(VLOOKUP(YEAR($A89),'NY East Load Projections'!$A$4:$EO$14,((MONTH($A89)-1)*12)+VLOOKUP(BC$4,$DE$6:$DF$17,2)+1))*(VLOOKUP($A89,SatSunCurve,2))*(INDEX(DailyScalarsTable,BC$5/100,MONTH($A89)))*$C89</f>
        <v>-7821.9275572660363</v>
      </c>
      <c r="BD89" s="1021">
        <f>(VLOOKUP(YEAR($A89),'NY East Load Projections'!$A$4:$EO$14,((MONTH($A89)-1)*12)+VLOOKUP(BD$4,$DE$6:$DF$17,2)+1))*(VLOOKUP($A89,CURVES!$D$9:$T$261,6))*(INDEX(DailyScalarsTable,BD$5/100,MONTH($A89)))*$C89</f>
        <v>-9408.4944453604785</v>
      </c>
      <c r="BE89" s="1021"/>
      <c r="BF89" s="1021">
        <f>(VLOOKUP(YEAR($A89),'NY East Load Projections'!$A$4:$EO$14,((MONTH($A89)-1)*12)+VLOOKUP(BF$4,$DE$6:$DF$17,2)+1))*(VLOOKUP($A89,CURVES!$D$9:$T$261,6))*(INDEX(DailyScalarsTable,BF$5/100,MONTH($A89)))*$D89</f>
        <v>-8156.7229360615047</v>
      </c>
      <c r="BG89" s="1021">
        <f>(VLOOKUP(YEAR($A89),'NY East Load Projections'!$A$4:$EO$14,((MONTH($A89)-1)*12)+VLOOKUP(BG$4,$DE$6:$DF$17,2)+1))*(VLOOKUP($A89,CURVES!$D$9:$T$261,6))*(INDEX(DailyScalarsTable,BG$5/100,MONTH($A89)))*$D89</f>
        <v>-7732.8717065706269</v>
      </c>
      <c r="BH89" s="1021">
        <f>(VLOOKUP(YEAR($A89),'NY East Load Projections'!$A$4:$EO$14,((MONTH($A89)-1)*12)+VLOOKUP(BH$4,$DE$6:$DF$17,2)+1))*(VLOOKUP($A89,CURVES!$D$9:$T$261,6))*(INDEX(DailyScalarsTable,BH$5/100,MONTH($A89)))*$D89</f>
        <v>-7421.3454405887187</v>
      </c>
      <c r="BI89" s="1021">
        <f>(VLOOKUP(YEAR($A89),'NY East Load Projections'!$A$4:$EO$14,((MONTH($A89)-1)*12)+VLOOKUP(BI$4,$DE$6:$DF$17,2)+1))*(VLOOKUP($A89,CURVES!$D$9:$T$261,6))*(INDEX(DailyScalarsTable,BI$5/100,MONTH($A89)))*$D89</f>
        <v>-7425.7331344757868</v>
      </c>
      <c r="BJ89" s="1021">
        <f>(VLOOKUP(YEAR($A89),'NY East Load Projections'!$A$4:$EO$14,((MONTH($A89)-1)*12)+VLOOKUP(BJ$4,$DE$6:$DF$17,2)+1))*(VLOOKUP($A89,CURVES!$D$9:$T$261,6))*(INDEX(DailyScalarsTable,BJ$5/100,MONTH($A89)))*$D89</f>
        <v>-8134.3556228053885</v>
      </c>
      <c r="BK89" s="1021">
        <f>(VLOOKUP(YEAR($A89),'NY East Load Projections'!$A$4:$EO$14,((MONTH($A89)-1)*12)+VLOOKUP(BK$4,$DE$6:$DF$17,2)+1))*(VLOOKUP($A89,CURVES!$D$9:$T$261,6))*(INDEX(DailyScalarsTable,BK$5/100,MONTH($A89)))*$D89</f>
        <v>-9371.7826943827331</v>
      </c>
      <c r="BL89" s="1021">
        <f>(VLOOKUP(YEAR($A89),'NY East Load Projections'!$A$4:$EO$14,((MONTH($A89)-1)*12)+VLOOKUP(BL$4,$DE$6:$DF$17,2)+1))*(VLOOKUP($A89,CURVES!$D$9:$T$261,6))*(INDEX(DailyScalarsTable,BL$5/100,MONTH($A89)))*$D89</f>
        <v>-13424.154453079826</v>
      </c>
      <c r="BM89" s="1021">
        <f>(VLOOKUP(YEAR($A89),'NY East Load Projections'!$A$4:$EO$14,((MONTH($A89)-1)*12)+VLOOKUP(BM$4,$DE$6:$DF$17,2)+1))*(VLOOKUP($A89,SatSunCurve,6))*(INDEX(DailyScalarsTable,BM$5/100,MONTH($A89)))*$D89</f>
        <v>-9292.7050327780489</v>
      </c>
      <c r="BN89" s="1021">
        <f>(VLOOKUP(YEAR($A89),'NY East Load Projections'!$A$4:$EO$14,((MONTH($A89)-1)*12)+VLOOKUP(BN$4,$DE$6:$DF$17,2)+1))*(VLOOKUP($A89,SatSunCurve,6))*(INDEX(DailyScalarsTable,BN$5/100,MONTH($A89)))*$D89</f>
        <v>-10542.795520792133</v>
      </c>
      <c r="BO89" s="1021">
        <f>(VLOOKUP(YEAR($A89),'NY East Load Projections'!$A$4:$EO$14,((MONTH($A89)-1)*12)+VLOOKUP(BO$4,$DE$6:$DF$17,2)+1))*(VLOOKUP($A89,SatSunCurve,6))*(INDEX(DailyScalarsTable,BO$5/100,MONTH($A89)))*$D89</f>
        <v>-10489.347768968217</v>
      </c>
      <c r="BP89" s="1021">
        <f>(VLOOKUP(YEAR($A89),'NY East Load Projections'!$A$4:$EO$14,((MONTH($A89)-1)*12)+VLOOKUP(BP$4,$DE$6:$DF$17,2)+1))*(VLOOKUP($A89,SatSunCurve,6))*(INDEX(DailyScalarsTable,BP$5/100,MONTH($A89)))*$D89</f>
        <v>-10261.062456093186</v>
      </c>
      <c r="BQ89" s="1021">
        <f>(VLOOKUP(YEAR($A89),'NY East Load Projections'!$A$4:$EO$14,((MONTH($A89)-1)*12)+VLOOKUP(BQ$4,$DE$6:$DF$17,2)+1))*(VLOOKUP($A89,SatSunCurve,6))*(INDEX(DailyScalarsTable,BQ$5/100,MONTH($A89)))*$D89</f>
        <v>-8337.8492845309156</v>
      </c>
      <c r="BR89" s="1021">
        <f>(VLOOKUP(YEAR($A89),'NY East Load Projections'!$A$4:$EO$14,((MONTH($A89)-1)*12)+VLOOKUP(BR$4,$DE$6:$DF$17,2)+1))*(VLOOKUP($A89,SatSunCurve,6))*(INDEX(DailyScalarsTable,BR$5/100,MONTH($A89)))*$D89</f>
        <v>-8014.0951606791432</v>
      </c>
      <c r="BS89" s="1021">
        <f>(VLOOKUP(YEAR($A89),'NY East Load Projections'!$A$4:$EO$14,((MONTH($A89)-1)*12)+VLOOKUP(BS$4,$DE$6:$DF$17,2)+1))*(VLOOKUP($A89,SatSunCurve,6))*(INDEX(DailyScalarsTable,BS$5/100,MONTH($A89)))*$D89</f>
        <v>-7668.762679758348</v>
      </c>
      <c r="BT89" s="1021">
        <f>(VLOOKUP(YEAR($A89),'NY East Load Projections'!$A$4:$EO$14,((MONTH($A89)-1)*12)+VLOOKUP(BT$4,$DE$6:$DF$17,2)+1))*(VLOOKUP($A89,SatSunCurve,6))*(INDEX(DailyScalarsTable,BT$5/100,MONTH($A89)))*$D89</f>
        <v>-7283.1261427088657</v>
      </c>
      <c r="BU89" s="1021">
        <f>(VLOOKUP(YEAR($A89),'NY East Load Projections'!$A$4:$EO$14,((MONTH($A89)-1)*12)+VLOOKUP(BU$4,$DE$6:$DF$17,2)+1))*(VLOOKUP($A89,SatSunCurve,6))*(INDEX(DailyScalarsTable,BU$5/100,MONTH($A89)))*$D89</f>
        <v>-7156.7179666688935</v>
      </c>
      <c r="BV89" s="1021">
        <f>(VLOOKUP(YEAR($A89),'NY East Load Projections'!$A$4:$EO$14,((MONTH($A89)-1)*12)+VLOOKUP(BV$4,$DE$6:$DF$17,2)+1))*(VLOOKUP($A89,SatSunCurve,6))*(INDEX(DailyScalarsTable,BV$5/100,MONTH($A89)))*$D89</f>
        <v>-7766.1030325046067</v>
      </c>
      <c r="BW89" s="1021">
        <f>(VLOOKUP(YEAR($A89),'NY East Load Projections'!$A$4:$EO$14,((MONTH($A89)-1)*12)+VLOOKUP(BW$4,$DE$6:$DF$17,2)+1))*(VLOOKUP($A89,SatSunCurve,6))*(INDEX(DailyScalarsTable,BW$5/100,MONTH($A89)))*$D89</f>
        <v>-10945.113100196921</v>
      </c>
      <c r="BX89" s="1021">
        <f>(VLOOKUP(YEAR($A89),'NY East Load Projections'!$A$4:$EO$14,((MONTH($A89)-1)*12)+VLOOKUP(BX$4,$DE$6:$DF$17,2)+1))*(VLOOKUP($A89,SatSunCurve,6))*(INDEX(DailyScalarsTable,BX$5/100,MONTH($A89)))*$D89</f>
        <v>-10872.191080293513</v>
      </c>
      <c r="BY89" s="1021">
        <f>(VLOOKUP(YEAR($A89),'NY East Load Projections'!$A$4:$EO$14,((MONTH($A89)-1)*12)+VLOOKUP(BY$4,$DE$6:$DF$17,2)+1))*(VLOOKUP($A89,SatSunCurve,6))*(INDEX(DailyScalarsTable,BY$5/100,MONTH($A89)))*$D89</f>
        <v>-10497.803360207197</v>
      </c>
      <c r="BZ89" s="1021">
        <f>(VLOOKUP(YEAR($A89),'NY East Load Projections'!$A$4:$EO$14,((MONTH($A89)-1)*12)+VLOOKUP(BZ$4,$DE$6:$DF$17,2)+1))*(VLOOKUP($A89,SatSunCurve,6))*(INDEX(DailyScalarsTable,BZ$5/100,MONTH($A89)))*$D89</f>
        <v>-9851.0674466512755</v>
      </c>
      <c r="CA89" s="1021">
        <f>(VLOOKUP(YEAR($A89),'NY East Load Projections'!$A$4:$EO$14,((MONTH($A89)-1)*12)+VLOOKUP(CA$4,$DE$6:$DF$17,2)+1))*(VLOOKUP($A89,SatSunCurve,6))*(INDEX(DailyScalarsTable,CA$5/100,MONTH($A89)))*$D89</f>
        <v>-7262.1676080853322</v>
      </c>
      <c r="CB89" s="1021">
        <f>(VLOOKUP(YEAR($A89),'NY East Load Projections'!$A$4:$EO$14,((MONTH($A89)-1)*12)+VLOOKUP(CB$4,$DE$6:$DF$17,2)+1))*(VLOOKUP($A89,SatSunCurve,6))*(INDEX(DailyScalarsTable,CB$5/100,MONTH($A89)))*$D89</f>
        <v>-5991.3948851203122</v>
      </c>
      <c r="CC89" s="1021">
        <f>(VLOOKUP(YEAR($A89),'NY East Load Projections'!$A$4:$EO$14,((MONTH($A89)-1)*12)+VLOOKUP(CC$4,$DE$6:$DF$17,2)+1))*(VLOOKUP($A89,CURVES!$D$9:$T$261,6))*(INDEX(DailyScalarsTable,CC$5/100,MONTH($A89)))*$D89</f>
        <v>-9408.4944453604785</v>
      </c>
      <c r="CE89" s="1021">
        <f>(VLOOKUP(YEAR($A89),'NY East Load Projections'!$A$4:$EO$14,((MONTH($A89)-1)*12)+VLOOKUP(CE$4,$DE$6:$DF$17,2)+1))*(VLOOKUP($A89,CURVES!$D$9:$T$261,6))*(INDEX(DailyScalarsTable,CE$5/100,MONTH($A89)))*$E89</f>
        <v>-1631.3445872123009</v>
      </c>
      <c r="CF89" s="1021">
        <f>(VLOOKUP(YEAR($A89),'NY East Load Projections'!$A$4:$EO$14,((MONTH($A89)-1)*12)+VLOOKUP(CF$4,$DE$6:$DF$17,2)+1))*(VLOOKUP($A89,CURVES!$D$9:$T$261,6))*(INDEX(DailyScalarsTable,CF$5/100,MONTH($A89)))*$E89</f>
        <v>-1546.5743413141254</v>
      </c>
      <c r="CG89" s="1021">
        <f>(VLOOKUP(YEAR($A89),'NY East Load Projections'!$A$4:$EO$14,((MONTH($A89)-1)*12)+VLOOKUP(CG$4,$DE$6:$DF$17,2)+1))*(VLOOKUP($A89,CURVES!$D$9:$T$261,6))*(INDEX(DailyScalarsTable,CG$5/100,MONTH($A89)))*$E89</f>
        <v>-1484.2690881177436</v>
      </c>
      <c r="CH89" s="1021">
        <f>(VLOOKUP(YEAR($A89),'NY East Load Projections'!$A$4:$EO$14,((MONTH($A89)-1)*12)+VLOOKUP(CH$4,$DE$6:$DF$17,2)+1))*(VLOOKUP($A89,CURVES!$D$9:$T$261,6))*(INDEX(DailyScalarsTable,CH$5/100,MONTH($A89)))*$E89</f>
        <v>-1485.1466268951574</v>
      </c>
      <c r="CI89" s="1021">
        <f>(VLOOKUP(YEAR($A89),'NY East Load Projections'!$A$4:$EO$14,((MONTH($A89)-1)*12)+VLOOKUP(CI$4,$DE$6:$DF$17,2)+1))*(VLOOKUP($A89,CURVES!$D$9:$T$261,6))*(INDEX(DailyScalarsTable,CI$5/100,MONTH($A89)))*$E89</f>
        <v>-1626.8711245610777</v>
      </c>
      <c r="CJ89" s="1021">
        <f>(VLOOKUP(YEAR($A89),'NY East Load Projections'!$A$4:$EO$14,((MONTH($A89)-1)*12)+VLOOKUP(CJ$4,$DE$6:$DF$17,2)+1))*(VLOOKUP($A89,CURVES!$D$9:$T$261,6))*(INDEX(DailyScalarsTable,CJ$5/100,MONTH($A89)))*$E89</f>
        <v>-1874.3565388765467</v>
      </c>
      <c r="CK89" s="1021">
        <f>(VLOOKUP(YEAR($A89),'NY East Load Projections'!$A$4:$EO$14,((MONTH($A89)-1)*12)+VLOOKUP(CK$4,$DE$6:$DF$17,2)+1))*(VLOOKUP($A89,CURVES!$D$9:$T$261,6))*(INDEX(DailyScalarsTable,CK$5/100,MONTH($A89)))*$E89</f>
        <v>-2684.830890615965</v>
      </c>
      <c r="CL89" s="1021">
        <f>(VLOOKUP(YEAR($A89),'NY East Load Projections'!$A$4:$EO$14,((MONTH($A89)-1)*12)+VLOOKUP(CL$4,$DE$6:$DF$17,2)+1))*(VLOOKUP($A89,SatSunCurve,6))*(INDEX(DailyScalarsTable,CL$5/100,MONTH($A89)))*$E89</f>
        <v>-1858.5410065556098</v>
      </c>
      <c r="CM89" s="1021">
        <f>(VLOOKUP(YEAR($A89),'NY East Load Projections'!$A$4:$EO$14,((MONTH($A89)-1)*12)+VLOOKUP(CM$4,$DE$6:$DF$17,2)+1))*(VLOOKUP($A89,SatSunCurve,6))*(INDEX(DailyScalarsTable,CM$5/100,MONTH($A89)))*$E89</f>
        <v>-2108.5591041584266</v>
      </c>
      <c r="CN89" s="1021">
        <f>(VLOOKUP(YEAR($A89),'NY East Load Projections'!$A$4:$EO$14,((MONTH($A89)-1)*12)+VLOOKUP(CN$4,$DE$6:$DF$17,2)+1))*(VLOOKUP($A89,SatSunCurve,6))*(INDEX(DailyScalarsTable,CN$5/100,MONTH($A89)))*$E89</f>
        <v>-2097.8695537936433</v>
      </c>
      <c r="CO89" s="1021">
        <f>(VLOOKUP(YEAR($A89),'NY East Load Projections'!$A$4:$EO$14,((MONTH($A89)-1)*12)+VLOOKUP(CO$4,$DE$6:$DF$17,2)+1))*(VLOOKUP($A89,SatSunCurve,6))*(INDEX(DailyScalarsTable,CO$5/100,MONTH($A89)))*$E89</f>
        <v>-2052.2124912186373</v>
      </c>
      <c r="CP89" s="1021">
        <f>(VLOOKUP(YEAR($A89),'NY East Load Projections'!$A$4:$EO$14,((MONTH($A89)-1)*12)+VLOOKUP(CP$4,$DE$6:$DF$17,2)+1))*(VLOOKUP($A89,SatSunCurve,6))*(INDEX(DailyScalarsTable,CP$5/100,MONTH($A89)))*$E89</f>
        <v>-1667.5698569061831</v>
      </c>
      <c r="CQ89" s="1021">
        <f>(VLOOKUP(YEAR($A89),'NY East Load Projections'!$A$4:$EO$14,((MONTH($A89)-1)*12)+VLOOKUP(CQ$4,$DE$6:$DF$17,2)+1))*(VLOOKUP($A89,SatSunCurve,6))*(INDEX(DailyScalarsTable,CQ$5/100,MONTH($A89)))*$E89</f>
        <v>-1602.8190321358286</v>
      </c>
      <c r="CR89" s="1021">
        <f>(VLOOKUP(YEAR($A89),'NY East Load Projections'!$A$4:$EO$14,((MONTH($A89)-1)*12)+VLOOKUP(CR$4,$DE$6:$DF$17,2)+1))*(VLOOKUP($A89,SatSunCurve,6))*(INDEX(DailyScalarsTable,CR$5/100,MONTH($A89)))*$E89</f>
        <v>-1533.7525359516696</v>
      </c>
      <c r="CS89" s="1021">
        <f>(VLOOKUP(YEAR($A89),'NY East Load Projections'!$A$4:$EO$14,((MONTH($A89)-1)*12)+VLOOKUP(CS$4,$DE$6:$DF$17,2)+1))*(VLOOKUP($A89,SatSunCurve,6))*(INDEX(DailyScalarsTable,CS$5/100,MONTH($A89)))*$E89</f>
        <v>-1456.6252285417731</v>
      </c>
      <c r="CT89" s="1021">
        <f>(VLOOKUP(YEAR($A89),'NY East Load Projections'!$A$4:$EO$14,((MONTH($A89)-1)*12)+VLOOKUP(CT$4,$DE$6:$DF$17,2)+1))*(VLOOKUP($A89,SatSunCurve,6))*(INDEX(DailyScalarsTable,CT$5/100,MONTH($A89)))*$E89</f>
        <v>-1431.3435933337787</v>
      </c>
      <c r="CU89" s="1021">
        <f>(VLOOKUP(YEAR($A89),'NY East Load Projections'!$A$4:$EO$14,((MONTH($A89)-1)*12)+VLOOKUP(CU$4,$DE$6:$DF$17,2)+1))*(VLOOKUP($A89,SatSunCurve,6))*(INDEX(DailyScalarsTable,CU$5/100,MONTH($A89)))*$E89</f>
        <v>-1553.2206065009213</v>
      </c>
      <c r="CV89" s="1021">
        <f>(VLOOKUP(YEAR($A89),'NY East Load Projections'!$A$4:$EO$14,((MONTH($A89)-1)*12)+VLOOKUP(CV$4,$DE$6:$DF$17,2)+1))*(VLOOKUP($A89,SatSunCurve,6))*(INDEX(DailyScalarsTable,CV$5/100,MONTH($A89)))*$E89</f>
        <v>-2189.022620039384</v>
      </c>
      <c r="CW89" s="1021">
        <f>(VLOOKUP(YEAR($A89),'NY East Load Projections'!$A$4:$EO$14,((MONTH($A89)-1)*12)+VLOOKUP(CW$4,$DE$6:$DF$17,2)+1))*(VLOOKUP($A89,SatSunCurve,6))*(INDEX(DailyScalarsTable,CW$5/100,MONTH($A89)))*$E89</f>
        <v>-2174.4382160587024</v>
      </c>
      <c r="CX89" s="1021">
        <f>(VLOOKUP(YEAR($A89),'NY East Load Projections'!$A$4:$EO$14,((MONTH($A89)-1)*12)+VLOOKUP(CX$4,$DE$6:$DF$17,2)+1))*(VLOOKUP($A89,SatSunCurve,6))*(INDEX(DailyScalarsTable,CX$5/100,MONTH($A89)))*$E89</f>
        <v>-2099.5606720414394</v>
      </c>
      <c r="CY89" s="1021">
        <f>(VLOOKUP(YEAR($A89),'NY East Load Projections'!$A$4:$EO$14,((MONTH($A89)-1)*12)+VLOOKUP(CY$4,$DE$6:$DF$17,2)+1))*(VLOOKUP($A89,SatSunCurve,6))*(INDEX(DailyScalarsTable,CY$5/100,MONTH($A89)))*$E89</f>
        <v>-1970.2134893302552</v>
      </c>
      <c r="CZ89" s="1021">
        <f>(VLOOKUP(YEAR($A89),'NY East Load Projections'!$A$4:$EO$14,((MONTH($A89)-1)*12)+VLOOKUP(CZ$4,$DE$6:$DF$17,2)+1))*(VLOOKUP($A89,SatSunCurve,6))*(INDEX(DailyScalarsTable,CZ$5/100,MONTH($A89)))*$E89</f>
        <v>-1452.4335216170664</v>
      </c>
      <c r="DA89" s="1021">
        <f>(VLOOKUP(YEAR($A89),'NY East Load Projections'!$A$4:$EO$14,((MONTH($A89)-1)*12)+VLOOKUP(DA$4,$DE$6:$DF$17,2)+1))*(VLOOKUP($A89,SatSunCurve,6))*(INDEX(DailyScalarsTable,DA$5/100,MONTH($A89)))*$E89</f>
        <v>-1198.2789770240624</v>
      </c>
      <c r="DB89" s="1021">
        <f>(VLOOKUP(YEAR($A89),'NY East Load Projections'!$A$4:$EO$14,((MONTH($A89)-1)*12)+VLOOKUP(DB$4,$DE$6:$DF$17,2)+1))*(VLOOKUP($A89,CURVES!$D$9:$T$261,6))*(INDEX(DailyScalarsTable,DB$5/100,MONTH($A89)))*$E89</f>
        <v>-1881.6988890720957</v>
      </c>
      <c r="DH89" s="1021">
        <f t="shared" si="2"/>
        <v>-1704524.8620185587</v>
      </c>
      <c r="DI89">
        <f ca="1">CALC!J109</f>
        <v>0.56471969020165991</v>
      </c>
      <c r="DJ89" s="1029">
        <f t="shared" ca="1" si="3"/>
        <v>-962578.75202014751</v>
      </c>
    </row>
    <row r="90" spans="1:114" x14ac:dyDescent="0.25">
      <c r="A90" s="244">
        <v>39448</v>
      </c>
      <c r="B90" s="13">
        <v>22</v>
      </c>
      <c r="C90" s="210">
        <v>4</v>
      </c>
      <c r="D90" s="210">
        <v>4</v>
      </c>
      <c r="E90" s="210">
        <v>1</v>
      </c>
      <c r="F90" s="13">
        <v>31</v>
      </c>
      <c r="H90" s="1021">
        <f>(VLOOKUP(YEAR($A90),'NY East Load Projections'!$A$4:$EO$14,((MONTH($A90)-1)*12)+VLOOKUP(H$4,$DE$6:$DF$17,2)+1))*(VLOOKUP($A90,CURVES!$D$9:$K$261,6))*(INDEX(DailyScalarsTable,H$5/100,MONTH($A90)))*$B90</f>
        <v>-32613.760790508466</v>
      </c>
      <c r="I90" s="1021">
        <f>(VLOOKUP(YEAR($A90),'NY East Load Projections'!$A$4:$EO$14,((MONTH($A90)-1)*12)+VLOOKUP(I$4,$DE$6:$DF$17,2)+1))*(VLOOKUP($A90,CURVES!$D$9:$K$261,6))*(INDEX(DailyScalarsTable,I$5/100,MONTH($A90)))*$B90</f>
        <v>-31978.353867817274</v>
      </c>
      <c r="J90" s="1021">
        <f>(VLOOKUP(YEAR($A90),'NY East Load Projections'!$A$4:$EO$14,((MONTH($A90)-1)*12)+VLOOKUP(J$4,$DE$6:$DF$17,2)+1))*(VLOOKUP($A90,CURVES!$D$9:$K$261,6))*(INDEX(DailyScalarsTable,J$5/100,MONTH($A90)))*$B90</f>
        <v>-29303.382876934153</v>
      </c>
      <c r="K90" s="1021">
        <f>(VLOOKUP(YEAR($A90),'NY East Load Projections'!$A$4:$EO$14,((MONTH($A90)-1)*12)+VLOOKUP(K$4,$DE$6:$DF$17,2)+1))*(VLOOKUP($A90,CURVES!$D$9:$K$261,6))*(INDEX(DailyScalarsTable,K$5/100,MONTH($A90)))*$B90</f>
        <v>-29285.665597393898</v>
      </c>
      <c r="L90" s="1021">
        <f>(VLOOKUP(YEAR($A90),'NY East Load Projections'!$A$4:$EO$14,((MONTH($A90)-1)*12)+VLOOKUP(L$4,$DE$6:$DF$17,2)+1))*(VLOOKUP($A90,CURVES!$D$9:$K$261,6))*(INDEX(DailyScalarsTable,L$5/100,MONTH($A90)))*$B90</f>
        <v>-33189.524024266168</v>
      </c>
      <c r="M90" s="1021">
        <f>(VLOOKUP(YEAR($A90),'NY East Load Projections'!$A$4:$EO$14,((MONTH($A90)-1)*12)+VLOOKUP(M$4,$DE$6:$DF$17,2)+1))*(VLOOKUP($A90,CURVES!$D$9:$K$261,6))*(INDEX(DailyScalarsTable,M$5/100,MONTH($A90)))*$B90</f>
        <v>-35420.455999435391</v>
      </c>
      <c r="N90" s="1021">
        <f>(VLOOKUP(YEAR($A90),'NY East Load Projections'!$A$4:$EO$14,((MONTH($A90)-1)*12)+VLOOKUP(N$4,$DE$6:$DF$17,2)+1))*(VLOOKUP($A90,CURVES!$D$9:$K$261,6))*(INDEX(DailyScalarsTable,N$5/100,MONTH($A90)))*$B90</f>
        <v>-67829.741951542193</v>
      </c>
      <c r="O90" s="1021">
        <f>(VLOOKUP(YEAR($A90),'NY East Load Projections'!$A$4:$EO$14,((MONTH($A90)-1)*12)+VLOOKUP(O$4,$DE$6:$DF$17,2)+1))*(VLOOKUP($A90,CURVES!$D$9:$K$261,2))*(INDEX(DailyScalarsTable,O$5/100,MONTH($A90)))*$B90</f>
        <v>-79750.167184203048</v>
      </c>
      <c r="P90" s="1021">
        <f>(VLOOKUP(YEAR($A90),'NY East Load Projections'!$A$4:$EO$14,((MONTH($A90)-1)*12)+VLOOKUP(P$4,$DE$6:$DF$17,2)+1))*(VLOOKUP($A90,CURVES!$D$9:$K$261,2))*(INDEX(DailyScalarsTable,P$5/100,MONTH($A90)))*$B90</f>
        <v>-88714.782117334908</v>
      </c>
      <c r="Q90" s="1021">
        <f>(VLOOKUP(YEAR($A90),'NY East Load Projections'!$A$4:$EO$14,((MONTH($A90)-1)*12)+VLOOKUP(Q$4,$DE$6:$DF$17,2)+1))*(VLOOKUP($A90,CURVES!$D$9:$K$261,2))*(INDEX(DailyScalarsTable,Q$5/100,MONTH($A90)))*$B90</f>
        <v>-88444.769954750867</v>
      </c>
      <c r="R90" s="1021">
        <f>(VLOOKUP(YEAR($A90),'NY East Load Projections'!$A$4:$EO$14,((MONTH($A90)-1)*12)+VLOOKUP(R$4,$DE$6:$DF$17,2)+1))*(VLOOKUP($A90,CURVES!$D$9:$K$261,2))*(INDEX(DailyScalarsTable,R$5/100,MONTH($A90)))*$B90</f>
        <v>-86901.292714400086</v>
      </c>
      <c r="S90" s="1021">
        <f>(VLOOKUP(YEAR($A90),'NY East Load Projections'!$A$4:$EO$14,((MONTH($A90)-1)*12)+VLOOKUP(S$4,$DE$6:$DF$17,2)+1))*(VLOOKUP($A90,CURVES!$D$9:$K$261,2))*(INDEX(DailyScalarsTable,S$5/100,MONTH($A90)))*$B90</f>
        <v>-65097.290258412868</v>
      </c>
      <c r="T90" s="1021">
        <f>(VLOOKUP(YEAR($A90),'NY East Load Projections'!$A$4:$EO$14,((MONTH($A90)-1)*12)+VLOOKUP(T$4,$DE$6:$DF$17,2)+1))*(VLOOKUP($A90,CURVES!$D$9:$K$261,2))*(INDEX(DailyScalarsTable,T$5/100,MONTH($A90)))*$B90</f>
        <v>-63979.818862815191</v>
      </c>
      <c r="U90" s="1021">
        <f>(VLOOKUP(YEAR($A90),'NY East Load Projections'!$A$4:$EO$14,((MONTH($A90)-1)*12)+VLOOKUP(U$4,$DE$6:$DF$17,2)+1))*(VLOOKUP($A90,CURVES!$D$9:$K$261,2))*(INDEX(DailyScalarsTable,U$5/100,MONTH($A90)))*$B90</f>
        <v>-61914.02218451185</v>
      </c>
      <c r="V90" s="1021">
        <f>(VLOOKUP(YEAR($A90),'NY East Load Projections'!$A$4:$EO$14,((MONTH($A90)-1)*12)+VLOOKUP(V$4,$DE$6:$DF$17,2)+1))*(VLOOKUP($A90,CURVES!$D$9:$K$261,2))*(INDEX(DailyScalarsTable,V$5/100,MONTH($A90)))*$B90</f>
        <v>-58762.933773041885</v>
      </c>
      <c r="W90" s="1021">
        <f>(VLOOKUP(YEAR($A90),'NY East Load Projections'!$A$4:$EO$14,((MONTH($A90)-1)*12)+VLOOKUP(W$4,$DE$6:$DF$17,2)+1))*(VLOOKUP($A90,CURVES!$D$9:$K$261,2))*(INDEX(DailyScalarsTable,W$5/100,MONTH($A90)))*$B90</f>
        <v>-57580.340022418954</v>
      </c>
      <c r="X90" s="1021">
        <f>(VLOOKUP(YEAR($A90),'NY East Load Projections'!$A$4:$EO$14,((MONTH($A90)-1)*12)+VLOOKUP(X$4,$DE$6:$DF$17,2)+1))*(VLOOKUP($A90,CURVES!$D$9:$K$261,2))*(INDEX(DailyScalarsTable,X$5/100,MONTH($A90)))*$B90</f>
        <v>-60160.341276850115</v>
      </c>
      <c r="Y90" s="1021">
        <f>(VLOOKUP(YEAR($A90),'NY East Load Projections'!$A$4:$EO$14,((MONTH($A90)-1)*12)+VLOOKUP(Y$4,$DE$6:$DF$17,2)+1))*(VLOOKUP($A90,CURVES!$D$9:$K$261,2))*(INDEX(DailyScalarsTable,Y$5/100,MONTH($A90)))*$B90</f>
        <v>-83710.50125868668</v>
      </c>
      <c r="Z90" s="1021">
        <f>(VLOOKUP(YEAR($A90),'NY East Load Projections'!$A$4:$EO$14,((MONTH($A90)-1)*12)+VLOOKUP(Z$4,$DE$6:$DF$17,2)+1))*(VLOOKUP($A90,CURVES!$D$9:$K$261,2))*(INDEX(DailyScalarsTable,Z$5/100,MONTH($A90)))*$B90</f>
        <v>-91852.662095965556</v>
      </c>
      <c r="AA90" s="1021">
        <f>(VLOOKUP(YEAR($A90),'NY East Load Projections'!$A$4:$EO$14,((MONTH($A90)-1)*12)+VLOOKUP(AA$4,$DE$6:$DF$17,2)+1))*(VLOOKUP($A90,CURVES!$D$9:$K$261,2))*(INDEX(DailyScalarsTable,AA$5/100,MONTH($A90)))*$B90</f>
        <v>-87918.936096587771</v>
      </c>
      <c r="AB90" s="1021">
        <f>(VLOOKUP(YEAR($A90),'NY East Load Projections'!$A$4:$EO$14,((MONTH($A90)-1)*12)+VLOOKUP(AB$4,$DE$6:$DF$17,2)+1))*(VLOOKUP($A90,CURVES!$D$9:$K$261,2))*(INDEX(DailyScalarsTable,AB$5/100,MONTH($A90)))*$B90</f>
        <v>-75825.310402729039</v>
      </c>
      <c r="AC90" s="1021">
        <f>(VLOOKUP(YEAR($A90),'NY East Load Projections'!$A$4:$EO$14,((MONTH($A90)-1)*12)+VLOOKUP(AC$4,$DE$6:$DF$17,2)+1))*(VLOOKUP($A90,CURVES!$D$9:$K$261,2))*(INDEX(DailyScalarsTable,AC$5/100,MONTH($A90)))*$B90</f>
        <v>-53928.716945835004</v>
      </c>
      <c r="AD90" s="1021">
        <f>(VLOOKUP(YEAR($A90),'NY East Load Projections'!$A$4:$EO$14,((MONTH($A90)-1)*12)+VLOOKUP(AD$4,$DE$6:$DF$17,2)+1))*(VLOOKUP($A90,CURVES!$D$9:$K$261,2))*(INDEX(DailyScalarsTable,AD$5/100,MONTH($A90)))*$B90</f>
        <v>-44147.367189378012</v>
      </c>
      <c r="AE90" s="1021">
        <f>(VLOOKUP(YEAR($A90),'NY East Load Projections'!$A$4:$EO$14,((MONTH($A90)-1)*12)+VLOOKUP(AE$4,$DE$6:$DF$17,2)+1))*(VLOOKUP($A90,CURVES!$D$9:$K$261,6))*(INDEX(DailyScalarsTable,AE$5/100,MONTH($A90)))*$B90</f>
        <v>-38646.683801379724</v>
      </c>
      <c r="AF90" s="1021"/>
      <c r="AG90" s="1021">
        <f>(VLOOKUP(YEAR($A90),'NY East Load Projections'!$A$4:$EO$14,((MONTH($A90)-1)*12)+VLOOKUP(AG$4,$DE$6:$DF$17,2)+1))*(VLOOKUP($A90,CURVES!$D$9:$T$261,6))*(INDEX(DailyScalarsTable,AG$5/100,MONTH($A90)))*$C90</f>
        <v>-6309.7680740312207</v>
      </c>
      <c r="AH90" s="1021">
        <f>(VLOOKUP(YEAR($A90),'NY East Load Projections'!$A$4:$EO$14,((MONTH($A90)-1)*12)+VLOOKUP(AH$4,$DE$6:$DF$17,2)+1))*(VLOOKUP($A90,CURVES!$D$9:$T$261,6))*(INDEX(DailyScalarsTable,AH$5/100,MONTH($A90)))*$C90</f>
        <v>-6186.836212827955</v>
      </c>
      <c r="AI90" s="1021">
        <f>(VLOOKUP(YEAR($A90),'NY East Load Projections'!$A$4:$EO$14,((MONTH($A90)-1)*12)+VLOOKUP(AI$4,$DE$6:$DF$17,2)+1))*(VLOOKUP($A90,CURVES!$D$9:$T$261,6))*(INDEX(DailyScalarsTable,AI$5/100,MONTH($A90)))*$C90</f>
        <v>-5669.3109060824008</v>
      </c>
      <c r="AJ90" s="1021">
        <f>(VLOOKUP(YEAR($A90),'NY East Load Projections'!$A$4:$EO$14,((MONTH($A90)-1)*12)+VLOOKUP(AJ$4,$DE$6:$DF$17,2)+1))*(VLOOKUP($A90,CURVES!$D$9:$T$261,6))*(INDEX(DailyScalarsTable,AJ$5/100,MONTH($A90)))*$C90</f>
        <v>-5665.88315282451</v>
      </c>
      <c r="AK90" s="1021">
        <f>(VLOOKUP(YEAR($A90),'NY East Load Projections'!$A$4:$EO$14,((MONTH($A90)-1)*12)+VLOOKUP(AK$4,$DE$6:$DF$17,2)+1))*(VLOOKUP($A90,CURVES!$D$9:$T$261,6))*(INDEX(DailyScalarsTable,AK$5/100,MONTH($A90)))*$C90</f>
        <v>-5963.0587954682724</v>
      </c>
      <c r="AL90" s="1021">
        <f>(VLOOKUP(YEAR($A90),'NY East Load Projections'!$A$4:$EO$14,((MONTH($A90)-1)*12)+VLOOKUP(AL$4,$DE$6:$DF$17,2)+1))*(VLOOKUP($A90,CURVES!$D$9:$T$261,6))*(INDEX(DailyScalarsTable,AL$5/100,MONTH($A90)))*$C90</f>
        <v>-6363.8834209403867</v>
      </c>
      <c r="AM90" s="1021">
        <f>(VLOOKUP(YEAR($A90),'NY East Load Projections'!$A$4:$EO$14,((MONTH($A90)-1)*12)+VLOOKUP(AM$4,$DE$6:$DF$17,2)+1))*(VLOOKUP($A90,CURVES!$D$9:$T$261,6))*(INDEX(DailyScalarsTable,AM$5/100,MONTH($A90)))*$C90</f>
        <v>-12186.759263036161</v>
      </c>
      <c r="AN90" s="1021">
        <f>(VLOOKUP(YEAR($A90),'NY East Load Projections'!$A$4:$EO$14,((MONTH($A90)-1)*12)+VLOOKUP(AN$4,$DE$6:$DF$17,2)+1))*(VLOOKUP($A90,SatSunCurve,2))*(INDEX(DailyScalarsTable,AN$5/100,MONTH($A90)))*$C90</f>
        <v>-11492.330293136178</v>
      </c>
      <c r="AO90" s="1021">
        <f>(VLOOKUP(YEAR($A90),'NY East Load Projections'!$A$4:$EO$14,((MONTH($A90)-1)*12)+VLOOKUP(AO$4,$DE$6:$DF$17,2)+1))*(VLOOKUP($A90,SatSunCurve,2))*(INDEX(DailyScalarsTable,AO$5/100,MONTH($A90)))*$C90</f>
        <v>-12990.921398647319</v>
      </c>
      <c r="AP90" s="1021">
        <f>(VLOOKUP(YEAR($A90),'NY East Load Projections'!$A$4:$EO$14,((MONTH($A90)-1)*12)+VLOOKUP(AP$4,$DE$6:$DF$17,2)+1))*(VLOOKUP($A90,SatSunCurve,2))*(INDEX(DailyScalarsTable,AP$5/100,MONTH($A90)))*$C90</f>
        <v>-12951.382251990017</v>
      </c>
      <c r="AQ90" s="1021">
        <f>(VLOOKUP(YEAR($A90),'NY East Load Projections'!$A$4:$EO$14,((MONTH($A90)-1)*12)+VLOOKUP(AQ$4,$DE$6:$DF$17,2)+1))*(VLOOKUP($A90,SatSunCurve,2))*(INDEX(DailyScalarsTable,AQ$5/100,MONTH($A90)))*$C90</f>
        <v>-12725.363644589524</v>
      </c>
      <c r="AR90" s="1021">
        <f>(VLOOKUP(YEAR($A90),'NY East Load Projections'!$A$4:$EO$14,((MONTH($A90)-1)*12)+VLOOKUP(AR$4,$DE$6:$DF$17,2)+1))*(VLOOKUP($A90,SatSunCurve,2))*(INDEX(DailyScalarsTable,AR$5/100,MONTH($A90)))*$C90</f>
        <v>-9532.5013580428586</v>
      </c>
      <c r="AS90" s="1021">
        <f>(VLOOKUP(YEAR($A90),'NY East Load Projections'!$A$4:$EO$14,((MONTH($A90)-1)*12)+VLOOKUP(AS$4,$DE$6:$DF$17,2)+1))*(VLOOKUP($A90,SatSunCurve,2))*(INDEX(DailyScalarsTable,AS$5/100,MONTH($A90)))*$C90</f>
        <v>-9281.0103210262696</v>
      </c>
      <c r="AT90" s="1021">
        <f>(VLOOKUP(YEAR($A90),'NY East Load Projections'!$A$4:$EO$14,((MONTH($A90)-1)*12)+VLOOKUP(AT$4,$DE$6:$DF$17,2)+1))*(VLOOKUP($A90,SatSunCurve,2))*(INDEX(DailyScalarsTable,AT$5/100,MONTH($A90)))*$C90</f>
        <v>-8981.3426971840563</v>
      </c>
      <c r="AU90" s="1021">
        <f>(VLOOKUP(YEAR($A90),'NY East Load Projections'!$A$4:$EO$14,((MONTH($A90)-1)*12)+VLOOKUP(AU$4,$DE$6:$DF$17,2)+1))*(VLOOKUP($A90,SatSunCurve,2))*(INDEX(DailyScalarsTable,AU$5/100,MONTH($A90)))*$C90</f>
        <v>-8524.2409955986477</v>
      </c>
      <c r="AV90" s="1021">
        <f>(VLOOKUP(YEAR($A90),'NY East Load Projections'!$A$4:$EO$14,((MONTH($A90)-1)*12)+VLOOKUP(AV$4,$DE$6:$DF$17,2)+1))*(VLOOKUP($A90,SatSunCurve,2))*(INDEX(DailyScalarsTable,AV$5/100,MONTH($A90)))*$C90</f>
        <v>-8352.6921384715824</v>
      </c>
      <c r="AW90" s="1021">
        <f>(VLOOKUP(YEAR($A90),'NY East Load Projections'!$A$4:$EO$14,((MONTH($A90)-1)*12)+VLOOKUP(AW$4,$DE$6:$DF$17,2)+1))*(VLOOKUP($A90,SatSunCurve,2))*(INDEX(DailyScalarsTable,AW$5/100,MONTH($A90)))*$C90</f>
        <v>-8618.611291792331</v>
      </c>
      <c r="AX90" s="1021">
        <f>(VLOOKUP(YEAR($A90),'NY East Load Projections'!$A$4:$EO$14,((MONTH($A90)-1)*12)+VLOOKUP(AX$4,$DE$6:$DF$17,2)+1))*(VLOOKUP($A90,SatSunCurve,2))*(INDEX(DailyScalarsTable,AX$5/100,MONTH($A90)))*$C90</f>
        <v>-11992.423182401999</v>
      </c>
      <c r="AY90" s="1021">
        <f>(VLOOKUP(YEAR($A90),'NY East Load Projections'!$A$4:$EO$14,((MONTH($A90)-1)*12)+VLOOKUP(AY$4,$DE$6:$DF$17,2)+1))*(VLOOKUP($A90,SatSunCurve,2))*(INDEX(DailyScalarsTable,AY$5/100,MONTH($A90)))*$C90</f>
        <v>-13158.874665927146</v>
      </c>
      <c r="AZ90" s="1021">
        <f>(VLOOKUP(YEAR($A90),'NY East Load Projections'!$A$4:$EO$14,((MONTH($A90)-1)*12)+VLOOKUP(AZ$4,$DE$6:$DF$17,2)+1))*(VLOOKUP($A90,SatSunCurve,2))*(INDEX(DailyScalarsTable,AZ$5/100,MONTH($A90)))*$C90</f>
        <v>-12595.326411421142</v>
      </c>
      <c r="BA90" s="1021">
        <f>(VLOOKUP(YEAR($A90),'NY East Load Projections'!$A$4:$EO$14,((MONTH($A90)-1)*12)+VLOOKUP(BA$4,$DE$6:$DF$17,2)+1))*(VLOOKUP($A90,SatSunCurve,2))*(INDEX(DailyScalarsTable,BA$5/100,MONTH($A90)))*$C90</f>
        <v>-11401.638046749713</v>
      </c>
      <c r="BB90" s="1021">
        <f>(VLOOKUP(YEAR($A90),'NY East Load Projections'!$A$4:$EO$14,((MONTH($A90)-1)*12)+VLOOKUP(BB$4,$DE$6:$DF$17,2)+1))*(VLOOKUP($A90,SatSunCurve,2))*(INDEX(DailyScalarsTable,BB$5/100,MONTH($A90)))*$C90</f>
        <v>-8109.109051796223</v>
      </c>
      <c r="BC90" s="1021">
        <f>(VLOOKUP(YEAR($A90),'NY East Load Projections'!$A$4:$EO$14,((MONTH($A90)-1)*12)+VLOOKUP(BC$4,$DE$6:$DF$17,2)+1))*(VLOOKUP($A90,SatSunCurve,2))*(INDEX(DailyScalarsTable,BC$5/100,MONTH($A90)))*$C90</f>
        <v>-6638.3150789202191</v>
      </c>
      <c r="BD90" s="1021">
        <f>(VLOOKUP(YEAR($A90),'NY East Load Projections'!$A$4:$EO$14,((MONTH($A90)-1)*12)+VLOOKUP(BD$4,$DE$6:$DF$17,2)+1))*(VLOOKUP($A90,CURVES!$D$9:$T$261,6))*(INDEX(DailyScalarsTable,BD$5/100,MONTH($A90)))*$C90</f>
        <v>-7245.3080829023111</v>
      </c>
      <c r="BE90" s="1021"/>
      <c r="BF90" s="1021">
        <f>(VLOOKUP(YEAR($A90),'NY East Load Projections'!$A$4:$EO$14,((MONTH($A90)-1)*12)+VLOOKUP(BF$4,$DE$6:$DF$17,2)+1))*(VLOOKUP($A90,CURVES!$D$9:$T$261,6))*(INDEX(DailyScalarsTable,BF$5/100,MONTH($A90)))*$D90</f>
        <v>-6309.7680740312207</v>
      </c>
      <c r="BG90" s="1021">
        <f>(VLOOKUP(YEAR($A90),'NY East Load Projections'!$A$4:$EO$14,((MONTH($A90)-1)*12)+VLOOKUP(BG$4,$DE$6:$DF$17,2)+1))*(VLOOKUP($A90,CURVES!$D$9:$T$261,6))*(INDEX(DailyScalarsTable,BG$5/100,MONTH($A90)))*$D90</f>
        <v>-6186.836212827955</v>
      </c>
      <c r="BH90" s="1021">
        <f>(VLOOKUP(YEAR($A90),'NY East Load Projections'!$A$4:$EO$14,((MONTH($A90)-1)*12)+VLOOKUP(BH$4,$DE$6:$DF$17,2)+1))*(VLOOKUP($A90,CURVES!$D$9:$T$261,6))*(INDEX(DailyScalarsTable,BH$5/100,MONTH($A90)))*$D90</f>
        <v>-5669.3109060824008</v>
      </c>
      <c r="BI90" s="1021">
        <f>(VLOOKUP(YEAR($A90),'NY East Load Projections'!$A$4:$EO$14,((MONTH($A90)-1)*12)+VLOOKUP(BI$4,$DE$6:$DF$17,2)+1))*(VLOOKUP($A90,CURVES!$D$9:$T$261,6))*(INDEX(DailyScalarsTable,BI$5/100,MONTH($A90)))*$D90</f>
        <v>-5665.88315282451</v>
      </c>
      <c r="BJ90" s="1021">
        <f>(VLOOKUP(YEAR($A90),'NY East Load Projections'!$A$4:$EO$14,((MONTH($A90)-1)*12)+VLOOKUP(BJ$4,$DE$6:$DF$17,2)+1))*(VLOOKUP($A90,CURVES!$D$9:$T$261,6))*(INDEX(DailyScalarsTable,BJ$5/100,MONTH($A90)))*$D90</f>
        <v>-5963.0587954682724</v>
      </c>
      <c r="BK90" s="1021">
        <f>(VLOOKUP(YEAR($A90),'NY East Load Projections'!$A$4:$EO$14,((MONTH($A90)-1)*12)+VLOOKUP(BK$4,$DE$6:$DF$17,2)+1))*(VLOOKUP($A90,CURVES!$D$9:$T$261,6))*(INDEX(DailyScalarsTable,BK$5/100,MONTH($A90)))*$D90</f>
        <v>-6363.8834209403867</v>
      </c>
      <c r="BL90" s="1021">
        <f>(VLOOKUP(YEAR($A90),'NY East Load Projections'!$A$4:$EO$14,((MONTH($A90)-1)*12)+VLOOKUP(BL$4,$DE$6:$DF$17,2)+1))*(VLOOKUP($A90,CURVES!$D$9:$T$261,6))*(INDEX(DailyScalarsTable,BL$5/100,MONTH($A90)))*$D90</f>
        <v>-12186.759263036161</v>
      </c>
      <c r="BM90" s="1021">
        <f>(VLOOKUP(YEAR($A90),'NY East Load Projections'!$A$4:$EO$14,((MONTH($A90)-1)*12)+VLOOKUP(BM$4,$DE$6:$DF$17,2)+1))*(VLOOKUP($A90,SatSunCurve,6))*(INDEX(DailyScalarsTable,BM$5/100,MONTH($A90)))*$D90</f>
        <v>-9960.7884182187154</v>
      </c>
      <c r="BN90" s="1021">
        <f>(VLOOKUP(YEAR($A90),'NY East Load Projections'!$A$4:$EO$14,((MONTH($A90)-1)*12)+VLOOKUP(BN$4,$DE$6:$DF$17,2)+1))*(VLOOKUP($A90,SatSunCurve,6))*(INDEX(DailyScalarsTable,BN$5/100,MONTH($A90)))*$D90</f>
        <v>-11259.667631282775</v>
      </c>
      <c r="BO90" s="1021">
        <f>(VLOOKUP(YEAR($A90),'NY East Load Projections'!$A$4:$EO$14,((MONTH($A90)-1)*12)+VLOOKUP(BO$4,$DE$6:$DF$17,2)+1))*(VLOOKUP($A90,SatSunCurve,6))*(INDEX(DailyScalarsTable,BO$5/100,MONTH($A90)))*$D90</f>
        <v>-11225.397725698393</v>
      </c>
      <c r="BP90" s="1021">
        <f>(VLOOKUP(YEAR($A90),'NY East Load Projections'!$A$4:$EO$14,((MONTH($A90)-1)*12)+VLOOKUP(BP$4,$DE$6:$DF$17,2)+1))*(VLOOKUP($A90,SatSunCurve,6))*(INDEX(DailyScalarsTable,BP$5/100,MONTH($A90)))*$D90</f>
        <v>-11029.499812092363</v>
      </c>
      <c r="BQ90" s="1021">
        <f>(VLOOKUP(YEAR($A90),'NY East Load Projections'!$A$4:$EO$14,((MONTH($A90)-1)*12)+VLOOKUP(BQ$4,$DE$6:$DF$17,2)+1))*(VLOOKUP($A90,SatSunCurve,6))*(INDEX(DailyScalarsTable,BQ$5/100,MONTH($A90)))*$D90</f>
        <v>-8262.138896282624</v>
      </c>
      <c r="BR90" s="1021">
        <f>(VLOOKUP(YEAR($A90),'NY East Load Projections'!$A$4:$EO$14,((MONTH($A90)-1)*12)+VLOOKUP(BR$4,$DE$6:$DF$17,2)+1))*(VLOOKUP($A90,SatSunCurve,6))*(INDEX(DailyScalarsTable,BR$5/100,MONTH($A90)))*$D90</f>
        <v>-8044.1631729172068</v>
      </c>
      <c r="BS90" s="1021">
        <f>(VLOOKUP(YEAR($A90),'NY East Load Projections'!$A$4:$EO$14,((MONTH($A90)-1)*12)+VLOOKUP(BS$4,$DE$6:$DF$17,2)+1))*(VLOOKUP($A90,SatSunCurve,6))*(INDEX(DailyScalarsTable,BS$5/100,MONTH($A90)))*$D90</f>
        <v>-7784.4311846480041</v>
      </c>
      <c r="BT90" s="1021">
        <f>(VLOOKUP(YEAR($A90),'NY East Load Projections'!$A$4:$EO$14,((MONTH($A90)-1)*12)+VLOOKUP(BT$4,$DE$6:$DF$17,2)+1))*(VLOOKUP($A90,SatSunCurve,6))*(INDEX(DailyScalarsTable,BT$5/100,MONTH($A90)))*$D90</f>
        <v>-7388.245796744618</v>
      </c>
      <c r="BU90" s="1021">
        <f>(VLOOKUP(YEAR($A90),'NY East Load Projections'!$A$4:$EO$14,((MONTH($A90)-1)*12)+VLOOKUP(BU$4,$DE$6:$DF$17,2)+1))*(VLOOKUP($A90,SatSunCurve,6))*(INDEX(DailyScalarsTable,BU$5/100,MONTH($A90)))*$D90</f>
        <v>-7239.5586440397838</v>
      </c>
      <c r="BV90" s="1021">
        <f>(VLOOKUP(YEAR($A90),'NY East Load Projections'!$A$4:$EO$14,((MONTH($A90)-1)*12)+VLOOKUP(BV$4,$DE$6:$DF$17,2)+1))*(VLOOKUP($A90,SatSunCurve,6))*(INDEX(DailyScalarsTable,BV$5/100,MONTH($A90)))*$D90</f>
        <v>-7470.0397001021756</v>
      </c>
      <c r="BW90" s="1021">
        <f>(VLOOKUP(YEAR($A90),'NY East Load Projections'!$A$4:$EO$14,((MONTH($A90)-1)*12)+VLOOKUP(BW$4,$DE$6:$DF$17,2)+1))*(VLOOKUP($A90,SatSunCurve,6))*(INDEX(DailyScalarsTable,BW$5/100,MONTH($A90)))*$D90</f>
        <v>-10394.235711532905</v>
      </c>
      <c r="BX90" s="1021">
        <f>(VLOOKUP(YEAR($A90),'NY East Load Projections'!$A$4:$EO$14,((MONTH($A90)-1)*12)+VLOOKUP(BX$4,$DE$6:$DF$17,2)+1))*(VLOOKUP($A90,SatSunCurve,6))*(INDEX(DailyScalarsTable,BX$5/100,MONTH($A90)))*$D90</f>
        <v>-11405.238365576941</v>
      </c>
      <c r="BY90" s="1021">
        <f>(VLOOKUP(YEAR($A90),'NY East Load Projections'!$A$4:$EO$14,((MONTH($A90)-1)*12)+VLOOKUP(BY$4,$DE$6:$DF$17,2)+1))*(VLOOKUP($A90,SatSunCurve,6))*(INDEX(DailyScalarsTable,BY$5/100,MONTH($A90)))*$D90</f>
        <v>-10916.792177257468</v>
      </c>
      <c r="BZ90" s="1021">
        <f>(VLOOKUP(YEAR($A90),'NY East Load Projections'!$A$4:$EO$14,((MONTH($A90)-1)*12)+VLOOKUP(BZ$4,$DE$6:$DF$17,2)+1))*(VLOOKUP($A90,SatSunCurve,6))*(INDEX(DailyScalarsTable,BZ$5/100,MONTH($A90)))*$D90</f>
        <v>-9882.1824040870069</v>
      </c>
      <c r="CA90" s="1021">
        <f>(VLOOKUP(YEAR($A90),'NY East Load Projections'!$A$4:$EO$14,((MONTH($A90)-1)*12)+VLOOKUP(CA$4,$DE$6:$DF$17,2)+1))*(VLOOKUP($A90,SatSunCurve,6))*(INDEX(DailyScalarsTable,CA$5/100,MONTH($A90)))*$D90</f>
        <v>-7028.4370066744705</v>
      </c>
      <c r="CB90" s="1021">
        <f>(VLOOKUP(YEAR($A90),'NY East Load Projections'!$A$4:$EO$14,((MONTH($A90)-1)*12)+VLOOKUP(CB$4,$DE$6:$DF$17,2)+1))*(VLOOKUP($A90,SatSunCurve,6))*(INDEX(DailyScalarsTable,CB$5/100,MONTH($A90)))*$D90</f>
        <v>-5753.6505015077073</v>
      </c>
      <c r="CC90" s="1021">
        <f>(VLOOKUP(YEAR($A90),'NY East Load Projections'!$A$4:$EO$14,((MONTH($A90)-1)*12)+VLOOKUP(CC$4,$DE$6:$DF$17,2)+1))*(VLOOKUP($A90,CURVES!$D$9:$T$261,6))*(INDEX(DailyScalarsTable,CC$5/100,MONTH($A90)))*$D90</f>
        <v>-7245.3080829023111</v>
      </c>
      <c r="CE90" s="1021">
        <f>(VLOOKUP(YEAR($A90),'NY East Load Projections'!$A$4:$EO$14,((MONTH($A90)-1)*12)+VLOOKUP(CE$4,$DE$6:$DF$17,2)+1))*(VLOOKUP($A90,CURVES!$D$9:$T$261,6))*(INDEX(DailyScalarsTable,CE$5/100,MONTH($A90)))*$E90</f>
        <v>-1577.4420185078052</v>
      </c>
      <c r="CF90" s="1021">
        <f>(VLOOKUP(YEAR($A90),'NY East Load Projections'!$A$4:$EO$14,((MONTH($A90)-1)*12)+VLOOKUP(CF$4,$DE$6:$DF$17,2)+1))*(VLOOKUP($A90,CURVES!$D$9:$T$261,6))*(INDEX(DailyScalarsTable,CF$5/100,MONTH($A90)))*$E90</f>
        <v>-1546.7090532069888</v>
      </c>
      <c r="CG90" s="1021">
        <f>(VLOOKUP(YEAR($A90),'NY East Load Projections'!$A$4:$EO$14,((MONTH($A90)-1)*12)+VLOOKUP(CG$4,$DE$6:$DF$17,2)+1))*(VLOOKUP($A90,CURVES!$D$9:$T$261,6))*(INDEX(DailyScalarsTable,CG$5/100,MONTH($A90)))*$E90</f>
        <v>-1417.3277265206002</v>
      </c>
      <c r="CH90" s="1021">
        <f>(VLOOKUP(YEAR($A90),'NY East Load Projections'!$A$4:$EO$14,((MONTH($A90)-1)*12)+VLOOKUP(CH$4,$DE$6:$DF$17,2)+1))*(VLOOKUP($A90,CURVES!$D$9:$T$261,6))*(INDEX(DailyScalarsTable,CH$5/100,MONTH($A90)))*$E90</f>
        <v>-1416.4707882061275</v>
      </c>
      <c r="CI90" s="1021">
        <f>(VLOOKUP(YEAR($A90),'NY East Load Projections'!$A$4:$EO$14,((MONTH($A90)-1)*12)+VLOOKUP(CI$4,$DE$6:$DF$17,2)+1))*(VLOOKUP($A90,CURVES!$D$9:$T$261,6))*(INDEX(DailyScalarsTable,CI$5/100,MONTH($A90)))*$E90</f>
        <v>-1490.7646988670681</v>
      </c>
      <c r="CJ90" s="1021">
        <f>(VLOOKUP(YEAR($A90),'NY East Load Projections'!$A$4:$EO$14,((MONTH($A90)-1)*12)+VLOOKUP(CJ$4,$DE$6:$DF$17,2)+1))*(VLOOKUP($A90,CURVES!$D$9:$T$261,6))*(INDEX(DailyScalarsTable,CJ$5/100,MONTH($A90)))*$E90</f>
        <v>-1590.9708552350967</v>
      </c>
      <c r="CK90" s="1021">
        <f>(VLOOKUP(YEAR($A90),'NY East Load Projections'!$A$4:$EO$14,((MONTH($A90)-1)*12)+VLOOKUP(CK$4,$DE$6:$DF$17,2)+1))*(VLOOKUP($A90,CURVES!$D$9:$T$261,6))*(INDEX(DailyScalarsTable,CK$5/100,MONTH($A90)))*$E90</f>
        <v>-3046.6898157590404</v>
      </c>
      <c r="CL90" s="1021">
        <f>(VLOOKUP(YEAR($A90),'NY East Load Projections'!$A$4:$EO$14,((MONTH($A90)-1)*12)+VLOOKUP(CL$4,$DE$6:$DF$17,2)+1))*(VLOOKUP($A90,SatSunCurve,6))*(INDEX(DailyScalarsTable,CL$5/100,MONTH($A90)))*$E90</f>
        <v>-2490.1971045546788</v>
      </c>
      <c r="CM90" s="1021">
        <f>(VLOOKUP(YEAR($A90),'NY East Load Projections'!$A$4:$EO$14,((MONTH($A90)-1)*12)+VLOOKUP(CM$4,$DE$6:$DF$17,2)+1))*(VLOOKUP($A90,SatSunCurve,6))*(INDEX(DailyScalarsTable,CM$5/100,MONTH($A90)))*$E90</f>
        <v>-2814.9169078206937</v>
      </c>
      <c r="CN90" s="1021">
        <f>(VLOOKUP(YEAR($A90),'NY East Load Projections'!$A$4:$EO$14,((MONTH($A90)-1)*12)+VLOOKUP(CN$4,$DE$6:$DF$17,2)+1))*(VLOOKUP($A90,SatSunCurve,6))*(INDEX(DailyScalarsTable,CN$5/100,MONTH($A90)))*$E90</f>
        <v>-2806.3494314245982</v>
      </c>
      <c r="CO90" s="1021">
        <f>(VLOOKUP(YEAR($A90),'NY East Load Projections'!$A$4:$EO$14,((MONTH($A90)-1)*12)+VLOOKUP(CO$4,$DE$6:$DF$17,2)+1))*(VLOOKUP($A90,SatSunCurve,6))*(INDEX(DailyScalarsTable,CO$5/100,MONTH($A90)))*$E90</f>
        <v>-2757.3749530230907</v>
      </c>
      <c r="CP90" s="1021">
        <f>(VLOOKUP(YEAR($A90),'NY East Load Projections'!$A$4:$EO$14,((MONTH($A90)-1)*12)+VLOOKUP(CP$4,$DE$6:$DF$17,2)+1))*(VLOOKUP($A90,SatSunCurve,6))*(INDEX(DailyScalarsTable,CP$5/100,MONTH($A90)))*$E90</f>
        <v>-2065.534724070656</v>
      </c>
      <c r="CQ90" s="1021">
        <f>(VLOOKUP(YEAR($A90),'NY East Load Projections'!$A$4:$EO$14,((MONTH($A90)-1)*12)+VLOOKUP(CQ$4,$DE$6:$DF$17,2)+1))*(VLOOKUP($A90,SatSunCurve,6))*(INDEX(DailyScalarsTable,CQ$5/100,MONTH($A90)))*$E90</f>
        <v>-2011.0407932293017</v>
      </c>
      <c r="CR90" s="1021">
        <f>(VLOOKUP(YEAR($A90),'NY East Load Projections'!$A$4:$EO$14,((MONTH($A90)-1)*12)+VLOOKUP(CR$4,$DE$6:$DF$17,2)+1))*(VLOOKUP($A90,SatSunCurve,6))*(INDEX(DailyScalarsTable,CR$5/100,MONTH($A90)))*$E90</f>
        <v>-1946.107796162001</v>
      </c>
      <c r="CS90" s="1021">
        <f>(VLOOKUP(YEAR($A90),'NY East Load Projections'!$A$4:$EO$14,((MONTH($A90)-1)*12)+VLOOKUP(CS$4,$DE$6:$DF$17,2)+1))*(VLOOKUP($A90,SatSunCurve,6))*(INDEX(DailyScalarsTable,CS$5/100,MONTH($A90)))*$E90</f>
        <v>-1847.0614491861545</v>
      </c>
      <c r="CT90" s="1021">
        <f>(VLOOKUP(YEAR($A90),'NY East Load Projections'!$A$4:$EO$14,((MONTH($A90)-1)*12)+VLOOKUP(CT$4,$DE$6:$DF$17,2)+1))*(VLOOKUP($A90,SatSunCurve,6))*(INDEX(DailyScalarsTable,CT$5/100,MONTH($A90)))*$E90</f>
        <v>-1809.8896610099459</v>
      </c>
      <c r="CU90" s="1021">
        <f>(VLOOKUP(YEAR($A90),'NY East Load Projections'!$A$4:$EO$14,((MONTH($A90)-1)*12)+VLOOKUP(CU$4,$DE$6:$DF$17,2)+1))*(VLOOKUP($A90,SatSunCurve,6))*(INDEX(DailyScalarsTable,CU$5/100,MONTH($A90)))*$E90</f>
        <v>-1867.5099250255439</v>
      </c>
      <c r="CV90" s="1021">
        <f>(VLOOKUP(YEAR($A90),'NY East Load Projections'!$A$4:$EO$14,((MONTH($A90)-1)*12)+VLOOKUP(CV$4,$DE$6:$DF$17,2)+1))*(VLOOKUP($A90,SatSunCurve,6))*(INDEX(DailyScalarsTable,CV$5/100,MONTH($A90)))*$E90</f>
        <v>-2598.5589278832263</v>
      </c>
      <c r="CW90" s="1021">
        <f>(VLOOKUP(YEAR($A90),'NY East Load Projections'!$A$4:$EO$14,((MONTH($A90)-1)*12)+VLOOKUP(CW$4,$DE$6:$DF$17,2)+1))*(VLOOKUP($A90,SatSunCurve,6))*(INDEX(DailyScalarsTable,CW$5/100,MONTH($A90)))*$E90</f>
        <v>-2851.3095913942352</v>
      </c>
      <c r="CX90" s="1021">
        <f>(VLOOKUP(YEAR($A90),'NY East Load Projections'!$A$4:$EO$14,((MONTH($A90)-1)*12)+VLOOKUP(CX$4,$DE$6:$DF$17,2)+1))*(VLOOKUP($A90,SatSunCurve,6))*(INDEX(DailyScalarsTable,CX$5/100,MONTH($A90)))*$E90</f>
        <v>-2729.1980443143671</v>
      </c>
      <c r="CY90" s="1021">
        <f>(VLOOKUP(YEAR($A90),'NY East Load Projections'!$A$4:$EO$14,((MONTH($A90)-1)*12)+VLOOKUP(CY$4,$DE$6:$DF$17,2)+1))*(VLOOKUP($A90,SatSunCurve,6))*(INDEX(DailyScalarsTable,CY$5/100,MONTH($A90)))*$E90</f>
        <v>-2470.5456010217517</v>
      </c>
      <c r="CZ90" s="1021">
        <f>(VLOOKUP(YEAR($A90),'NY East Load Projections'!$A$4:$EO$14,((MONTH($A90)-1)*12)+VLOOKUP(CZ$4,$DE$6:$DF$17,2)+1))*(VLOOKUP($A90,SatSunCurve,6))*(INDEX(DailyScalarsTable,CZ$5/100,MONTH($A90)))*$E90</f>
        <v>-1757.1092516686176</v>
      </c>
      <c r="DA90" s="1021">
        <f>(VLOOKUP(YEAR($A90),'NY East Load Projections'!$A$4:$EO$14,((MONTH($A90)-1)*12)+VLOOKUP(DA$4,$DE$6:$DF$17,2)+1))*(VLOOKUP($A90,SatSunCurve,6))*(INDEX(DailyScalarsTable,DA$5/100,MONTH($A90)))*$E90</f>
        <v>-1438.4126253769268</v>
      </c>
      <c r="DB90" s="1021">
        <f>(VLOOKUP(YEAR($A90),'NY East Load Projections'!$A$4:$EO$14,((MONTH($A90)-1)*12)+VLOOKUP(DB$4,$DE$6:$DF$17,2)+1))*(VLOOKUP($A90,CURVES!$D$9:$T$261,6))*(INDEX(DailyScalarsTable,DB$5/100,MONTH($A90)))*$E90</f>
        <v>-1811.3270207255778</v>
      </c>
      <c r="DH90" s="1021">
        <f t="shared" si="2"/>
        <v>-1920687.8058039772</v>
      </c>
      <c r="DI90">
        <f ca="1">CALC!J110</f>
        <v>0.56119095626846427</v>
      </c>
      <c r="DJ90" s="1029">
        <f t="shared" ca="1" si="3"/>
        <v>-1077872.6264323124</v>
      </c>
    </row>
    <row r="91" spans="1:114" x14ac:dyDescent="0.25">
      <c r="A91" s="244">
        <v>39479</v>
      </c>
      <c r="B91" s="13">
        <v>21</v>
      </c>
      <c r="C91" s="210">
        <v>4</v>
      </c>
      <c r="D91" s="210">
        <v>4</v>
      </c>
      <c r="E91" s="210">
        <v>0</v>
      </c>
      <c r="F91" s="13">
        <v>29</v>
      </c>
      <c r="H91" s="1021">
        <f>(VLOOKUP(YEAR($A91),'NY East Load Projections'!$A$4:$EO$14,((MONTH($A91)-1)*12)+VLOOKUP(H$4,$DE$6:$DF$17,2)+1))*(VLOOKUP($A91,CURVES!$D$9:$K$261,6))*(INDEX(DailyScalarsTable,H$5/100,MONTH($A91)))*$B91</f>
        <v>-30341.977604037133</v>
      </c>
      <c r="I91" s="1021">
        <f>(VLOOKUP(YEAR($A91),'NY East Load Projections'!$A$4:$EO$14,((MONTH($A91)-1)*12)+VLOOKUP(I$4,$DE$6:$DF$17,2)+1))*(VLOOKUP($A91,CURVES!$D$9:$K$261,6))*(INDEX(DailyScalarsTable,I$5/100,MONTH($A91)))*$B91</f>
        <v>-29750.831347044987</v>
      </c>
      <c r="J91" s="1021">
        <f>(VLOOKUP(YEAR($A91),'NY East Load Projections'!$A$4:$EO$14,((MONTH($A91)-1)*12)+VLOOKUP(J$4,$DE$6:$DF$17,2)+1))*(VLOOKUP($A91,CURVES!$D$9:$K$261,6))*(INDEX(DailyScalarsTable,J$5/100,MONTH($A91)))*$B91</f>
        <v>-27262.191339590041</v>
      </c>
      <c r="K91" s="1021">
        <f>(VLOOKUP(YEAR($A91),'NY East Load Projections'!$A$4:$EO$14,((MONTH($A91)-1)*12)+VLOOKUP(K$4,$DE$6:$DF$17,2)+1))*(VLOOKUP($A91,CURVES!$D$9:$K$261,6))*(INDEX(DailyScalarsTable,K$5/100,MONTH($A91)))*$B91</f>
        <v>-27245.708196095249</v>
      </c>
      <c r="L91" s="1021">
        <f>(VLOOKUP(YEAR($A91),'NY East Load Projections'!$A$4:$EO$14,((MONTH($A91)-1)*12)+VLOOKUP(L$4,$DE$6:$DF$17,2)+1))*(VLOOKUP($A91,CURVES!$D$9:$K$261,6))*(INDEX(DailyScalarsTable,L$5/100,MONTH($A91)))*$B91</f>
        <v>-30739.630864174622</v>
      </c>
      <c r="M91" s="1021">
        <f>(VLOOKUP(YEAR($A91),'NY East Load Projections'!$A$4:$EO$14,((MONTH($A91)-1)*12)+VLOOKUP(M$4,$DE$6:$DF$17,2)+1))*(VLOOKUP($A91,CURVES!$D$9:$K$261,6))*(INDEX(DailyScalarsTable,M$5/100,MONTH($A91)))*$B91</f>
        <v>-32805.886027992143</v>
      </c>
      <c r="N91" s="1021">
        <f>(VLOOKUP(YEAR($A91),'NY East Load Projections'!$A$4:$EO$14,((MONTH($A91)-1)*12)+VLOOKUP(N$4,$DE$6:$DF$17,2)+1))*(VLOOKUP($A91,CURVES!$D$9:$K$261,6))*(INDEX(DailyScalarsTable,N$5/100,MONTH($A91)))*$B91</f>
        <v>-62822.872291815809</v>
      </c>
      <c r="O91" s="1021">
        <f>(VLOOKUP(YEAR($A91),'NY East Load Projections'!$A$4:$EO$14,((MONTH($A91)-1)*12)+VLOOKUP(O$4,$DE$6:$DF$17,2)+1))*(VLOOKUP($A91,CURVES!$D$9:$K$261,2))*(INDEX(DailyScalarsTable,O$5/100,MONTH($A91)))*$B91</f>
        <v>-74566.858263889051</v>
      </c>
      <c r="P91" s="1021">
        <f>(VLOOKUP(YEAR($A91),'NY East Load Projections'!$A$4:$EO$14,((MONTH($A91)-1)*12)+VLOOKUP(P$4,$DE$6:$DF$17,2)+1))*(VLOOKUP($A91,CURVES!$D$9:$K$261,2))*(INDEX(DailyScalarsTable,P$5/100,MONTH($A91)))*$B91</f>
        <v>-82827.364648219635</v>
      </c>
      <c r="Q91" s="1021">
        <f>(VLOOKUP(YEAR($A91),'NY East Load Projections'!$A$4:$EO$14,((MONTH($A91)-1)*12)+VLOOKUP(Q$4,$DE$6:$DF$17,2)+1))*(VLOOKUP($A91,CURVES!$D$9:$K$261,2))*(INDEX(DailyScalarsTable,Q$5/100,MONTH($A91)))*$B91</f>
        <v>-82575.271419604993</v>
      </c>
      <c r="R91" s="1021">
        <f>(VLOOKUP(YEAR($A91),'NY East Load Projections'!$A$4:$EO$14,((MONTH($A91)-1)*12)+VLOOKUP(R$4,$DE$6:$DF$17,2)+1))*(VLOOKUP($A91,CURVES!$D$9:$K$261,2))*(INDEX(DailyScalarsTable,R$5/100,MONTH($A91)))*$B91</f>
        <v>-81134.224627158648</v>
      </c>
      <c r="S91" s="1021">
        <f>(VLOOKUP(YEAR($A91),'NY East Load Projections'!$A$4:$EO$14,((MONTH($A91)-1)*12)+VLOOKUP(S$4,$DE$6:$DF$17,2)+1))*(VLOOKUP($A91,CURVES!$D$9:$K$261,2))*(INDEX(DailyScalarsTable,S$5/100,MONTH($A91)))*$B91</f>
        <v>-60777.210619908525</v>
      </c>
      <c r="T91" s="1021">
        <f>(VLOOKUP(YEAR($A91),'NY East Load Projections'!$A$4:$EO$14,((MONTH($A91)-1)*12)+VLOOKUP(T$4,$DE$6:$DF$17,2)+1))*(VLOOKUP($A91,CURVES!$D$9:$K$261,2))*(INDEX(DailyScalarsTable,T$5/100,MONTH($A91)))*$B91</f>
        <v>-59586.264647168224</v>
      </c>
      <c r="U91" s="1021">
        <f>(VLOOKUP(YEAR($A91),'NY East Load Projections'!$A$4:$EO$14,((MONTH($A91)-1)*12)+VLOOKUP(U$4,$DE$6:$DF$17,2)+1))*(VLOOKUP($A91,CURVES!$D$9:$K$261,2))*(INDEX(DailyScalarsTable,U$5/100,MONTH($A91)))*$B91</f>
        <v>-57662.328165813706</v>
      </c>
      <c r="V91" s="1021">
        <f>(VLOOKUP(YEAR($A91),'NY East Load Projections'!$A$4:$EO$14,((MONTH($A91)-1)*12)+VLOOKUP(V$4,$DE$6:$DF$17,2)+1))*(VLOOKUP($A91,CURVES!$D$9:$K$261,2))*(INDEX(DailyScalarsTable,V$5/100,MONTH($A91)))*$B91</f>
        <v>-54727.627953312789</v>
      </c>
      <c r="W91" s="1021">
        <f>(VLOOKUP(YEAR($A91),'NY East Load Projections'!$A$4:$EO$14,((MONTH($A91)-1)*12)+VLOOKUP(W$4,$DE$6:$DF$17,2)+1))*(VLOOKUP($A91,CURVES!$D$9:$K$261,2))*(INDEX(DailyScalarsTable,W$5/100,MONTH($A91)))*$B91</f>
        <v>-53626.244025580854</v>
      </c>
      <c r="X91" s="1021">
        <f>(VLOOKUP(YEAR($A91),'NY East Load Projections'!$A$4:$EO$14,((MONTH($A91)-1)*12)+VLOOKUP(X$4,$DE$6:$DF$17,2)+1))*(VLOOKUP($A91,CURVES!$D$9:$K$261,2))*(INDEX(DailyScalarsTable,X$5/100,MONTH($A91)))*$B91</f>
        <v>-56042.657182033443</v>
      </c>
      <c r="Y91" s="1021">
        <f>(VLOOKUP(YEAR($A91),'NY East Load Projections'!$A$4:$EO$14,((MONTH($A91)-1)*12)+VLOOKUP(Y$4,$DE$6:$DF$17,2)+1))*(VLOOKUP($A91,CURVES!$D$9:$K$261,2))*(INDEX(DailyScalarsTable,Y$5/100,MONTH($A91)))*$B91</f>
        <v>-77980.922730935476</v>
      </c>
      <c r="Z91" s="1021">
        <f>(VLOOKUP(YEAR($A91),'NY East Load Projections'!$A$4:$EO$14,((MONTH($A91)-1)*12)+VLOOKUP(Z$4,$DE$6:$DF$17,2)+1))*(VLOOKUP($A91,CURVES!$D$9:$K$261,2))*(INDEX(DailyScalarsTable,Z$5/100,MONTH($A91)))*$B91</f>
        <v>-85565.792079078397</v>
      </c>
      <c r="AA91" s="1021">
        <f>(VLOOKUP(YEAR($A91),'NY East Load Projections'!$A$4:$EO$14,((MONTH($A91)-1)*12)+VLOOKUP(AA$4,$DE$6:$DF$17,2)+1))*(VLOOKUP($A91,CURVES!$D$9:$K$261,2))*(INDEX(DailyScalarsTable,AA$5/100,MONTH($A91)))*$B91</f>
        <v>-81901.310579269935</v>
      </c>
      <c r="AB91" s="1021">
        <f>(VLOOKUP(YEAR($A91),'NY East Load Projections'!$A$4:$EO$14,((MONTH($A91)-1)*12)+VLOOKUP(AB$4,$DE$6:$DF$17,2)+1))*(VLOOKUP($A91,CURVES!$D$9:$K$261,2))*(INDEX(DailyScalarsTable,AB$5/100,MONTH($A91)))*$B91</f>
        <v>-70591.128166800278</v>
      </c>
      <c r="AC91" s="1021">
        <f>(VLOOKUP(YEAR($A91),'NY East Load Projections'!$A$4:$EO$14,((MONTH($A91)-1)*12)+VLOOKUP(AC$4,$DE$6:$DF$17,2)+1))*(VLOOKUP($A91,CURVES!$D$9:$K$261,2))*(INDEX(DailyScalarsTable,AC$5/100,MONTH($A91)))*$B91</f>
        <v>-50206.045310927191</v>
      </c>
      <c r="AD91" s="1021">
        <f>(VLOOKUP(YEAR($A91),'NY East Load Projections'!$A$4:$EO$14,((MONTH($A91)-1)*12)+VLOOKUP(AD$4,$DE$6:$DF$17,2)+1))*(VLOOKUP($A91,CURVES!$D$9:$K$261,2))*(INDEX(DailyScalarsTable,AD$5/100,MONTH($A91)))*$B91</f>
        <v>-41099.8971048065</v>
      </c>
      <c r="AE91" s="1021">
        <f>(VLOOKUP(YEAR($A91),'NY East Load Projections'!$A$4:$EO$14,((MONTH($A91)-1)*12)+VLOOKUP(AE$4,$DE$6:$DF$17,2)+1))*(VLOOKUP($A91,CURVES!$D$9:$K$261,6))*(INDEX(DailyScalarsTable,AE$5/100,MONTH($A91)))*$B91</f>
        <v>-35639.494904759784</v>
      </c>
      <c r="AF91" s="1021"/>
      <c r="AG91" s="1021">
        <f>(VLOOKUP(YEAR($A91),'NY East Load Projections'!$A$4:$EO$14,((MONTH($A91)-1)*12)+VLOOKUP(AG$4,$DE$6:$DF$17,2)+1))*(VLOOKUP($A91,CURVES!$D$9:$T$261,6))*(INDEX(DailyScalarsTable,AG$5/100,MONTH($A91)))*$C91</f>
        <v>-6182.086255115978</v>
      </c>
      <c r="AH91" s="1021">
        <f>(VLOOKUP(YEAR($A91),'NY East Load Projections'!$A$4:$EO$14,((MONTH($A91)-1)*12)+VLOOKUP(AH$4,$DE$6:$DF$17,2)+1))*(VLOOKUP($A91,CURVES!$D$9:$T$261,6))*(INDEX(DailyScalarsTable,AH$5/100,MONTH($A91)))*$C91</f>
        <v>-6061.6419914689004</v>
      </c>
      <c r="AI91" s="1021">
        <f>(VLOOKUP(YEAR($A91),'NY East Load Projections'!$A$4:$EO$14,((MONTH($A91)-1)*12)+VLOOKUP(AI$4,$DE$6:$DF$17,2)+1))*(VLOOKUP($A91,CURVES!$D$9:$T$261,6))*(INDEX(DailyScalarsTable,AI$5/100,MONTH($A91)))*$C91</f>
        <v>-5554.5891096563482</v>
      </c>
      <c r="AJ91" s="1021">
        <f>(VLOOKUP(YEAR($A91),'NY East Load Projections'!$A$4:$EO$14,((MONTH($A91)-1)*12)+VLOOKUP(AJ$4,$DE$6:$DF$17,2)+1))*(VLOOKUP($A91,CURVES!$D$9:$T$261,6))*(INDEX(DailyScalarsTable,AJ$5/100,MONTH($A91)))*$C91</f>
        <v>-5551.2307189749608</v>
      </c>
      <c r="AK91" s="1021">
        <f>(VLOOKUP(YEAR($A91),'NY East Load Projections'!$A$4:$EO$14,((MONTH($A91)-1)*12)+VLOOKUP(AK$4,$DE$6:$DF$17,2)+1))*(VLOOKUP($A91,CURVES!$D$9:$T$261,6))*(INDEX(DailyScalarsTable,AK$5/100,MONTH($A91)))*$C91</f>
        <v>-5794.7001821158374</v>
      </c>
      <c r="AL91" s="1021">
        <f>(VLOOKUP(YEAR($A91),'NY East Load Projections'!$A$4:$EO$14,((MONTH($A91)-1)*12)+VLOOKUP(AL$4,$DE$6:$DF$17,2)+1))*(VLOOKUP($A91,CURVES!$D$9:$T$261,6))*(INDEX(DailyScalarsTable,AL$5/100,MONTH($A91)))*$C91</f>
        <v>-6184.2080856744797</v>
      </c>
      <c r="AM91" s="1021">
        <f>(VLOOKUP(YEAR($A91),'NY East Load Projections'!$A$4:$EO$14,((MONTH($A91)-1)*12)+VLOOKUP(AM$4,$DE$6:$DF$17,2)+1))*(VLOOKUP($A91,CURVES!$D$9:$T$261,6))*(INDEX(DailyScalarsTable,AM$5/100,MONTH($A91)))*$C91</f>
        <v>-11842.68318376893</v>
      </c>
      <c r="AN91" s="1021">
        <f>(VLOOKUP(YEAR($A91),'NY East Load Projections'!$A$4:$EO$14,((MONTH($A91)-1)*12)+VLOOKUP(AN$4,$DE$6:$DF$17,2)+1))*(VLOOKUP($A91,SatSunCurve,2))*(INDEX(DailyScalarsTable,AN$5/100,MONTH($A91)))*$C91</f>
        <v>-10880.05027336023</v>
      </c>
      <c r="AO91" s="1021">
        <f>(VLOOKUP(YEAR($A91),'NY East Load Projections'!$A$4:$EO$14,((MONTH($A91)-1)*12)+VLOOKUP(AO$4,$DE$6:$DF$17,2)+1))*(VLOOKUP($A91,SatSunCurve,2))*(INDEX(DailyScalarsTable,AO$5/100,MONTH($A91)))*$C91</f>
        <v>-12262.534224440145</v>
      </c>
      <c r="AP91" s="1021">
        <f>(VLOOKUP(YEAR($A91),'NY East Load Projections'!$A$4:$EO$14,((MONTH($A91)-1)*12)+VLOOKUP(AP$4,$DE$6:$DF$17,2)+1))*(VLOOKUP($A91,SatSunCurve,2))*(INDEX(DailyScalarsTable,AP$5/100,MONTH($A91)))*$C91</f>
        <v>-12225.211995768912</v>
      </c>
      <c r="AQ91" s="1021">
        <f>(VLOOKUP(YEAR($A91),'NY East Load Projections'!$A$4:$EO$14,((MONTH($A91)-1)*12)+VLOOKUP(AQ$4,$DE$6:$DF$17,2)+1))*(VLOOKUP($A91,SatSunCurve,2))*(INDEX(DailyScalarsTable,AQ$5/100,MONTH($A91)))*$C91</f>
        <v>-12011.866011788328</v>
      </c>
      <c r="AR91" s="1021">
        <f>(VLOOKUP(YEAR($A91),'NY East Load Projections'!$A$4:$EO$14,((MONTH($A91)-1)*12)+VLOOKUP(AR$4,$DE$6:$DF$17,2)+1))*(VLOOKUP($A91,SatSunCurve,2))*(INDEX(DailyScalarsTable,AR$5/100,MONTH($A91)))*$C91</f>
        <v>-8998.0241247317663</v>
      </c>
      <c r="AS91" s="1021">
        <f>(VLOOKUP(YEAR($A91),'NY East Load Projections'!$A$4:$EO$14,((MONTH($A91)-1)*12)+VLOOKUP(AS$4,$DE$6:$DF$17,2)+1))*(VLOOKUP($A91,SatSunCurve,2))*(INDEX(DailyScalarsTable,AS$5/100,MONTH($A91)))*$C91</f>
        <v>-8745.2282732367366</v>
      </c>
      <c r="AT91" s="1021">
        <f>(VLOOKUP(YEAR($A91),'NY East Load Projections'!$A$4:$EO$14,((MONTH($A91)-1)*12)+VLOOKUP(AT$4,$DE$6:$DF$17,2)+1))*(VLOOKUP($A91,SatSunCurve,2))*(INDEX(DailyScalarsTable,AT$5/100,MONTH($A91)))*$C91</f>
        <v>-8462.8601165435539</v>
      </c>
      <c r="AU91" s="1021">
        <f>(VLOOKUP(YEAR($A91),'NY East Load Projections'!$A$4:$EO$14,((MONTH($A91)-1)*12)+VLOOKUP(AU$4,$DE$6:$DF$17,2)+1))*(VLOOKUP($A91,SatSunCurve,2))*(INDEX(DailyScalarsTable,AU$5/100,MONTH($A91)))*$C91</f>
        <v>-8032.1463702832971</v>
      </c>
      <c r="AV91" s="1021">
        <f>(VLOOKUP(YEAR($A91),'NY East Load Projections'!$A$4:$EO$14,((MONTH($A91)-1)*12)+VLOOKUP(AV$4,$DE$6:$DF$17,2)+1))*(VLOOKUP($A91,SatSunCurve,2))*(INDEX(DailyScalarsTable,AV$5/100,MONTH($A91)))*$C91</f>
        <v>-7870.5008313067638</v>
      </c>
      <c r="AW91" s="1021">
        <f>(VLOOKUP(YEAR($A91),'NY East Load Projections'!$A$4:$EO$14,((MONTH($A91)-1)*12)+VLOOKUP(AW$4,$DE$6:$DF$17,2)+1))*(VLOOKUP($A91,SatSunCurve,2))*(INDEX(DailyScalarsTable,AW$5/100,MONTH($A91)))*$C91</f>
        <v>-8170.0740067918159</v>
      </c>
      <c r="AX91" s="1021">
        <f>(VLOOKUP(YEAR($A91),'NY East Load Projections'!$A$4:$EO$14,((MONTH($A91)-1)*12)+VLOOKUP(AX$4,$DE$6:$DF$17,2)+1))*(VLOOKUP($A91,SatSunCurve,2))*(INDEX(DailyScalarsTable,AX$5/100,MONTH($A91)))*$C91</f>
        <v>-11368.303036742986</v>
      </c>
      <c r="AY91" s="1021">
        <f>(VLOOKUP(YEAR($A91),'NY East Load Projections'!$A$4:$EO$14,((MONTH($A91)-1)*12)+VLOOKUP(AY$4,$DE$6:$DF$17,2)+1))*(VLOOKUP($A91,SatSunCurve,2))*(INDEX(DailyScalarsTable,AY$5/100,MONTH($A91)))*$C91</f>
        <v>-12474.049034918837</v>
      </c>
      <c r="AZ91" s="1021">
        <f>(VLOOKUP(YEAR($A91),'NY East Load Projections'!$A$4:$EO$14,((MONTH($A91)-1)*12)+VLOOKUP(AZ$4,$DE$6:$DF$17,2)+1))*(VLOOKUP($A91,SatSunCurve,2))*(INDEX(DailyScalarsTable,AZ$5/100,MONTH($A91)))*$C91</f>
        <v>-11939.829450135252</v>
      </c>
      <c r="BA91" s="1021">
        <f>(VLOOKUP(YEAR($A91),'NY East Load Projections'!$A$4:$EO$14,((MONTH($A91)-1)*12)+VLOOKUP(BA$4,$DE$6:$DF$17,2)+1))*(VLOOKUP($A91,SatSunCurve,2))*(INDEX(DailyScalarsTable,BA$5/100,MONTH($A91)))*$C91</f>
        <v>-10870.639730507291</v>
      </c>
      <c r="BB91" s="1021">
        <f>(VLOOKUP(YEAR($A91),'NY East Load Projections'!$A$4:$EO$14,((MONTH($A91)-1)*12)+VLOOKUP(BB$4,$DE$6:$DF$17,2)+1))*(VLOOKUP($A91,SatSunCurve,2))*(INDEX(DailyScalarsTable,BB$5/100,MONTH($A91)))*$C91</f>
        <v>-7731.4507508508177</v>
      </c>
      <c r="BC91" s="1021">
        <f>(VLOOKUP(YEAR($A91),'NY East Load Projections'!$A$4:$EO$14,((MONTH($A91)-1)*12)+VLOOKUP(BC$4,$DE$6:$DF$17,2)+1))*(VLOOKUP($A91,SatSunCurve,2))*(INDEX(DailyScalarsTable,BC$5/100,MONTH($A91)))*$C91</f>
        <v>-6329.1547534353931</v>
      </c>
      <c r="BD91" s="1021">
        <f>(VLOOKUP(YEAR($A91),'NY East Load Projections'!$A$4:$EO$14,((MONTH($A91)-1)*12)+VLOOKUP(BD$4,$DE$6:$DF$17,2)+1))*(VLOOKUP($A91,CURVES!$D$9:$T$261,6))*(INDEX(DailyScalarsTable,BD$5/100,MONTH($A91)))*$C91</f>
        <v>-7090.6130590378507</v>
      </c>
      <c r="BE91" s="1021"/>
      <c r="BF91" s="1021">
        <f>(VLOOKUP(YEAR($A91),'NY East Load Projections'!$A$4:$EO$14,((MONTH($A91)-1)*12)+VLOOKUP(BF$4,$DE$6:$DF$17,2)+1))*(VLOOKUP($A91,CURVES!$D$9:$T$261,6))*(INDEX(DailyScalarsTable,BF$5/100,MONTH($A91)))*$D91</f>
        <v>-6182.086255115978</v>
      </c>
      <c r="BG91" s="1021">
        <f>(VLOOKUP(YEAR($A91),'NY East Load Projections'!$A$4:$EO$14,((MONTH($A91)-1)*12)+VLOOKUP(BG$4,$DE$6:$DF$17,2)+1))*(VLOOKUP($A91,CURVES!$D$9:$T$261,6))*(INDEX(DailyScalarsTable,BG$5/100,MONTH($A91)))*$D91</f>
        <v>-6061.6419914689004</v>
      </c>
      <c r="BH91" s="1021">
        <f>(VLOOKUP(YEAR($A91),'NY East Load Projections'!$A$4:$EO$14,((MONTH($A91)-1)*12)+VLOOKUP(BH$4,$DE$6:$DF$17,2)+1))*(VLOOKUP($A91,CURVES!$D$9:$T$261,6))*(INDEX(DailyScalarsTable,BH$5/100,MONTH($A91)))*$D91</f>
        <v>-5554.5891096563482</v>
      </c>
      <c r="BI91" s="1021">
        <f>(VLOOKUP(YEAR($A91),'NY East Load Projections'!$A$4:$EO$14,((MONTH($A91)-1)*12)+VLOOKUP(BI$4,$DE$6:$DF$17,2)+1))*(VLOOKUP($A91,CURVES!$D$9:$T$261,6))*(INDEX(DailyScalarsTable,BI$5/100,MONTH($A91)))*$D91</f>
        <v>-5551.2307189749608</v>
      </c>
      <c r="BJ91" s="1021">
        <f>(VLOOKUP(YEAR($A91),'NY East Load Projections'!$A$4:$EO$14,((MONTH($A91)-1)*12)+VLOOKUP(BJ$4,$DE$6:$DF$17,2)+1))*(VLOOKUP($A91,CURVES!$D$9:$T$261,6))*(INDEX(DailyScalarsTable,BJ$5/100,MONTH($A91)))*$D91</f>
        <v>-5794.7001821158374</v>
      </c>
      <c r="BK91" s="1021">
        <f>(VLOOKUP(YEAR($A91),'NY East Load Projections'!$A$4:$EO$14,((MONTH($A91)-1)*12)+VLOOKUP(BK$4,$DE$6:$DF$17,2)+1))*(VLOOKUP($A91,CURVES!$D$9:$T$261,6))*(INDEX(DailyScalarsTable,BK$5/100,MONTH($A91)))*$D91</f>
        <v>-6184.2080856744797</v>
      </c>
      <c r="BL91" s="1021">
        <f>(VLOOKUP(YEAR($A91),'NY East Load Projections'!$A$4:$EO$14,((MONTH($A91)-1)*12)+VLOOKUP(BL$4,$DE$6:$DF$17,2)+1))*(VLOOKUP($A91,CURVES!$D$9:$T$261,6))*(INDEX(DailyScalarsTable,BL$5/100,MONTH($A91)))*$D91</f>
        <v>-11842.68318376893</v>
      </c>
      <c r="BM91" s="1021">
        <f>(VLOOKUP(YEAR($A91),'NY East Load Projections'!$A$4:$EO$14,((MONTH($A91)-1)*12)+VLOOKUP(BM$4,$DE$6:$DF$17,2)+1))*(VLOOKUP($A91,SatSunCurve,6))*(INDEX(DailyScalarsTable,BM$5/100,MONTH($A91)))*$D91</f>
        <v>-8983.4012355519117</v>
      </c>
      <c r="BN91" s="1021">
        <f>(VLOOKUP(YEAR($A91),'NY East Load Projections'!$A$4:$EO$14,((MONTH($A91)-1)*12)+VLOOKUP(BN$4,$DE$6:$DF$17,2)+1))*(VLOOKUP($A91,SatSunCurve,6))*(INDEX(DailyScalarsTable,BN$5/100,MONTH($A91)))*$D91</f>
        <v>-10124.885670111089</v>
      </c>
      <c r="BO91" s="1021">
        <f>(VLOOKUP(YEAR($A91),'NY East Load Projections'!$A$4:$EO$14,((MONTH($A91)-1)*12)+VLOOKUP(BO$4,$DE$6:$DF$17,2)+1))*(VLOOKUP($A91,SatSunCurve,6))*(INDEX(DailyScalarsTable,BO$5/100,MONTH($A91)))*$D91</f>
        <v>-10094.069585007177</v>
      </c>
      <c r="BP91" s="1021">
        <f>(VLOOKUP(YEAR($A91),'NY East Load Projections'!$A$4:$EO$14,((MONTH($A91)-1)*12)+VLOOKUP(BP$4,$DE$6:$DF$17,2)+1))*(VLOOKUP($A91,SatSunCurve,6))*(INDEX(DailyScalarsTable,BP$5/100,MONTH($A91)))*$D91</f>
        <v>-9917.9148313123405</v>
      </c>
      <c r="BQ91" s="1021">
        <f>(VLOOKUP(YEAR($A91),'NY East Load Projections'!$A$4:$EO$14,((MONTH($A91)-1)*12)+VLOOKUP(BQ$4,$DE$6:$DF$17,2)+1))*(VLOOKUP($A91,SatSunCurve,6))*(INDEX(DailyScalarsTable,BQ$5/100,MONTH($A91)))*$D91</f>
        <v>-7429.4565749903095</v>
      </c>
      <c r="BR91" s="1021">
        <f>(VLOOKUP(YEAR($A91),'NY East Load Projections'!$A$4:$EO$14,((MONTH($A91)-1)*12)+VLOOKUP(BR$4,$DE$6:$DF$17,2)+1))*(VLOOKUP($A91,SatSunCurve,6))*(INDEX(DailyScalarsTable,BR$5/100,MONTH($A91)))*$D91</f>
        <v>-7220.7289949143887</v>
      </c>
      <c r="BS91" s="1021">
        <f>(VLOOKUP(YEAR($A91),'NY East Load Projections'!$A$4:$EO$14,((MONTH($A91)-1)*12)+VLOOKUP(BS$4,$DE$6:$DF$17,2)+1))*(VLOOKUP($A91,SatSunCurve,6))*(INDEX(DailyScalarsTable,BS$5/100,MONTH($A91)))*$D91</f>
        <v>-6987.5842589999802</v>
      </c>
      <c r="BT91" s="1021">
        <f>(VLOOKUP(YEAR($A91),'NY East Load Projections'!$A$4:$EO$14,((MONTH($A91)-1)*12)+VLOOKUP(BT$4,$DE$6:$DF$17,2)+1))*(VLOOKUP($A91,SatSunCurve,6))*(INDEX(DailyScalarsTable,BT$5/100,MONTH($A91)))*$D91</f>
        <v>-6631.9540640001014</v>
      </c>
      <c r="BU91" s="1021">
        <f>(VLOOKUP(YEAR($A91),'NY East Load Projections'!$A$4:$EO$14,((MONTH($A91)-1)*12)+VLOOKUP(BU$4,$DE$6:$DF$17,2)+1))*(VLOOKUP($A91,SatSunCurve,6))*(INDEX(DailyScalarsTable,BU$5/100,MONTH($A91)))*$D91</f>
        <v>-6498.4871499621422</v>
      </c>
      <c r="BV91" s="1021">
        <f>(VLOOKUP(YEAR($A91),'NY East Load Projections'!$A$4:$EO$14,((MONTH($A91)-1)*12)+VLOOKUP(BV$4,$DE$6:$DF$17,2)+1))*(VLOOKUP($A91,SatSunCurve,6))*(INDEX(DailyScalarsTable,BV$5/100,MONTH($A91)))*$D91</f>
        <v>-6745.8376646357719</v>
      </c>
      <c r="BW91" s="1021">
        <f>(VLOOKUP(YEAR($A91),'NY East Load Projections'!$A$4:$EO$14,((MONTH($A91)-1)*12)+VLOOKUP(BW$4,$DE$6:$DF$17,2)+1))*(VLOOKUP($A91,SatSunCurve,6))*(INDEX(DailyScalarsTable,BW$5/100,MONTH($A91)))*$D91</f>
        <v>-9386.540041681681</v>
      </c>
      <c r="BX91" s="1021">
        <f>(VLOOKUP(YEAR($A91),'NY East Load Projections'!$A$4:$EO$14,((MONTH($A91)-1)*12)+VLOOKUP(BX$4,$DE$6:$DF$17,2)+1))*(VLOOKUP($A91,SatSunCurve,6))*(INDEX(DailyScalarsTable,BX$5/100,MONTH($A91)))*$D91</f>
        <v>-10299.528466977959</v>
      </c>
      <c r="BY91" s="1021">
        <f>(VLOOKUP(YEAR($A91),'NY East Load Projections'!$A$4:$EO$14,((MONTH($A91)-1)*12)+VLOOKUP(BY$4,$DE$6:$DF$17,2)+1))*(VLOOKUP($A91,SatSunCurve,6))*(INDEX(DailyScalarsTable,BY$5/100,MONTH($A91)))*$D91</f>
        <v>-9858.4359391473226</v>
      </c>
      <c r="BZ91" s="1021">
        <f>(VLOOKUP(YEAR($A91),'NY East Load Projections'!$A$4:$EO$14,((MONTH($A91)-1)*12)+VLOOKUP(BZ$4,$DE$6:$DF$17,2)+1))*(VLOOKUP($A91,SatSunCurve,6))*(INDEX(DailyScalarsTable,BZ$5/100,MONTH($A91)))*$D91</f>
        <v>-8975.6311719797541</v>
      </c>
      <c r="CA91" s="1021">
        <f>(VLOOKUP(YEAR($A91),'NY East Load Projections'!$A$4:$EO$14,((MONTH($A91)-1)*12)+VLOOKUP(CA$4,$DE$6:$DF$17,2)+1))*(VLOOKUP($A91,SatSunCurve,6))*(INDEX(DailyScalarsTable,CA$5/100,MONTH($A91)))*$D91</f>
        <v>-6383.6767737977916</v>
      </c>
      <c r="CB91" s="1021">
        <f>(VLOOKUP(YEAR($A91),'NY East Load Projections'!$A$4:$EO$14,((MONTH($A91)-1)*12)+VLOOKUP(CB$4,$DE$6:$DF$17,2)+1))*(VLOOKUP($A91,SatSunCurve,6))*(INDEX(DailyScalarsTable,CB$5/100,MONTH($A91)))*$D91</f>
        <v>-5225.8339992440833</v>
      </c>
      <c r="CC91" s="1021">
        <f>(VLOOKUP(YEAR($A91),'NY East Load Projections'!$A$4:$EO$14,((MONTH($A91)-1)*12)+VLOOKUP(CC$4,$DE$6:$DF$17,2)+1))*(VLOOKUP($A91,CURVES!$D$9:$T$261,6))*(INDEX(DailyScalarsTable,CC$5/100,MONTH($A91)))*$D91</f>
        <v>-7090.6130590378507</v>
      </c>
      <c r="CE91" s="1021">
        <f>(VLOOKUP(YEAR($A91),'NY East Load Projections'!$A$4:$EO$14,((MONTH($A91)-1)*12)+VLOOKUP(CE$4,$DE$6:$DF$17,2)+1))*(VLOOKUP($A91,CURVES!$D$9:$T$261,6))*(INDEX(DailyScalarsTable,CE$5/100,MONTH($A91)))*$E91</f>
        <v>0</v>
      </c>
      <c r="CF91" s="1021">
        <f>(VLOOKUP(YEAR($A91),'NY East Load Projections'!$A$4:$EO$14,((MONTH($A91)-1)*12)+VLOOKUP(CF$4,$DE$6:$DF$17,2)+1))*(VLOOKUP($A91,CURVES!$D$9:$T$261,6))*(INDEX(DailyScalarsTable,CF$5/100,MONTH($A91)))*$E91</f>
        <v>0</v>
      </c>
      <c r="CG91" s="1021">
        <f>(VLOOKUP(YEAR($A91),'NY East Load Projections'!$A$4:$EO$14,((MONTH($A91)-1)*12)+VLOOKUP(CG$4,$DE$6:$DF$17,2)+1))*(VLOOKUP($A91,CURVES!$D$9:$T$261,6))*(INDEX(DailyScalarsTable,CG$5/100,MONTH($A91)))*$E91</f>
        <v>0</v>
      </c>
      <c r="CH91" s="1021">
        <f>(VLOOKUP(YEAR($A91),'NY East Load Projections'!$A$4:$EO$14,((MONTH($A91)-1)*12)+VLOOKUP(CH$4,$DE$6:$DF$17,2)+1))*(VLOOKUP($A91,CURVES!$D$9:$T$261,6))*(INDEX(DailyScalarsTable,CH$5/100,MONTH($A91)))*$E91</f>
        <v>0</v>
      </c>
      <c r="CI91" s="1021">
        <f>(VLOOKUP(YEAR($A91),'NY East Load Projections'!$A$4:$EO$14,((MONTH($A91)-1)*12)+VLOOKUP(CI$4,$DE$6:$DF$17,2)+1))*(VLOOKUP($A91,CURVES!$D$9:$T$261,6))*(INDEX(DailyScalarsTable,CI$5/100,MONTH($A91)))*$E91</f>
        <v>0</v>
      </c>
      <c r="CJ91" s="1021">
        <f>(VLOOKUP(YEAR($A91),'NY East Load Projections'!$A$4:$EO$14,((MONTH($A91)-1)*12)+VLOOKUP(CJ$4,$DE$6:$DF$17,2)+1))*(VLOOKUP($A91,CURVES!$D$9:$T$261,6))*(INDEX(DailyScalarsTable,CJ$5/100,MONTH($A91)))*$E91</f>
        <v>0</v>
      </c>
      <c r="CK91" s="1021">
        <f>(VLOOKUP(YEAR($A91),'NY East Load Projections'!$A$4:$EO$14,((MONTH($A91)-1)*12)+VLOOKUP(CK$4,$DE$6:$DF$17,2)+1))*(VLOOKUP($A91,CURVES!$D$9:$T$261,6))*(INDEX(DailyScalarsTable,CK$5/100,MONTH($A91)))*$E91</f>
        <v>0</v>
      </c>
      <c r="CL91" s="1021">
        <f>(VLOOKUP(YEAR($A91),'NY East Load Projections'!$A$4:$EO$14,((MONTH($A91)-1)*12)+VLOOKUP(CL$4,$DE$6:$DF$17,2)+1))*(VLOOKUP($A91,SatSunCurve,6))*(INDEX(DailyScalarsTable,CL$5/100,MONTH($A91)))*$E91</f>
        <v>0</v>
      </c>
      <c r="CM91" s="1021">
        <f>(VLOOKUP(YEAR($A91),'NY East Load Projections'!$A$4:$EO$14,((MONTH($A91)-1)*12)+VLOOKUP(CM$4,$DE$6:$DF$17,2)+1))*(VLOOKUP($A91,SatSunCurve,6))*(INDEX(DailyScalarsTable,CM$5/100,MONTH($A91)))*$E91</f>
        <v>0</v>
      </c>
      <c r="CN91" s="1021">
        <f>(VLOOKUP(YEAR($A91),'NY East Load Projections'!$A$4:$EO$14,((MONTH($A91)-1)*12)+VLOOKUP(CN$4,$DE$6:$DF$17,2)+1))*(VLOOKUP($A91,SatSunCurve,6))*(INDEX(DailyScalarsTable,CN$5/100,MONTH($A91)))*$E91</f>
        <v>0</v>
      </c>
      <c r="CO91" s="1021">
        <f>(VLOOKUP(YEAR($A91),'NY East Load Projections'!$A$4:$EO$14,((MONTH($A91)-1)*12)+VLOOKUP(CO$4,$DE$6:$DF$17,2)+1))*(VLOOKUP($A91,SatSunCurve,6))*(INDEX(DailyScalarsTable,CO$5/100,MONTH($A91)))*$E91</f>
        <v>0</v>
      </c>
      <c r="CP91" s="1021">
        <f>(VLOOKUP(YEAR($A91),'NY East Load Projections'!$A$4:$EO$14,((MONTH($A91)-1)*12)+VLOOKUP(CP$4,$DE$6:$DF$17,2)+1))*(VLOOKUP($A91,SatSunCurve,6))*(INDEX(DailyScalarsTable,CP$5/100,MONTH($A91)))*$E91</f>
        <v>0</v>
      </c>
      <c r="CQ91" s="1021">
        <f>(VLOOKUP(YEAR($A91),'NY East Load Projections'!$A$4:$EO$14,((MONTH($A91)-1)*12)+VLOOKUP(CQ$4,$DE$6:$DF$17,2)+1))*(VLOOKUP($A91,SatSunCurve,6))*(INDEX(DailyScalarsTable,CQ$5/100,MONTH($A91)))*$E91</f>
        <v>0</v>
      </c>
      <c r="CR91" s="1021">
        <f>(VLOOKUP(YEAR($A91),'NY East Load Projections'!$A$4:$EO$14,((MONTH($A91)-1)*12)+VLOOKUP(CR$4,$DE$6:$DF$17,2)+1))*(VLOOKUP($A91,SatSunCurve,6))*(INDEX(DailyScalarsTable,CR$5/100,MONTH($A91)))*$E91</f>
        <v>0</v>
      </c>
      <c r="CS91" s="1021">
        <f>(VLOOKUP(YEAR($A91),'NY East Load Projections'!$A$4:$EO$14,((MONTH($A91)-1)*12)+VLOOKUP(CS$4,$DE$6:$DF$17,2)+1))*(VLOOKUP($A91,SatSunCurve,6))*(INDEX(DailyScalarsTable,CS$5/100,MONTH($A91)))*$E91</f>
        <v>0</v>
      </c>
      <c r="CT91" s="1021">
        <f>(VLOOKUP(YEAR($A91),'NY East Load Projections'!$A$4:$EO$14,((MONTH($A91)-1)*12)+VLOOKUP(CT$4,$DE$6:$DF$17,2)+1))*(VLOOKUP($A91,SatSunCurve,6))*(INDEX(DailyScalarsTable,CT$5/100,MONTH($A91)))*$E91</f>
        <v>0</v>
      </c>
      <c r="CU91" s="1021">
        <f>(VLOOKUP(YEAR($A91),'NY East Load Projections'!$A$4:$EO$14,((MONTH($A91)-1)*12)+VLOOKUP(CU$4,$DE$6:$DF$17,2)+1))*(VLOOKUP($A91,SatSunCurve,6))*(INDEX(DailyScalarsTable,CU$5/100,MONTH($A91)))*$E91</f>
        <v>0</v>
      </c>
      <c r="CV91" s="1021">
        <f>(VLOOKUP(YEAR($A91),'NY East Load Projections'!$A$4:$EO$14,((MONTH($A91)-1)*12)+VLOOKUP(CV$4,$DE$6:$DF$17,2)+1))*(VLOOKUP($A91,SatSunCurve,6))*(INDEX(DailyScalarsTable,CV$5/100,MONTH($A91)))*$E91</f>
        <v>0</v>
      </c>
      <c r="CW91" s="1021">
        <f>(VLOOKUP(YEAR($A91),'NY East Load Projections'!$A$4:$EO$14,((MONTH($A91)-1)*12)+VLOOKUP(CW$4,$DE$6:$DF$17,2)+1))*(VLOOKUP($A91,SatSunCurve,6))*(INDEX(DailyScalarsTable,CW$5/100,MONTH($A91)))*$E91</f>
        <v>0</v>
      </c>
      <c r="CX91" s="1021">
        <f>(VLOOKUP(YEAR($A91),'NY East Load Projections'!$A$4:$EO$14,((MONTH($A91)-1)*12)+VLOOKUP(CX$4,$DE$6:$DF$17,2)+1))*(VLOOKUP($A91,SatSunCurve,6))*(INDEX(DailyScalarsTable,CX$5/100,MONTH($A91)))*$E91</f>
        <v>0</v>
      </c>
      <c r="CY91" s="1021">
        <f>(VLOOKUP(YEAR($A91),'NY East Load Projections'!$A$4:$EO$14,((MONTH($A91)-1)*12)+VLOOKUP(CY$4,$DE$6:$DF$17,2)+1))*(VLOOKUP($A91,SatSunCurve,6))*(INDEX(DailyScalarsTable,CY$5/100,MONTH($A91)))*$E91</f>
        <v>0</v>
      </c>
      <c r="CZ91" s="1021">
        <f>(VLOOKUP(YEAR($A91),'NY East Load Projections'!$A$4:$EO$14,((MONTH($A91)-1)*12)+VLOOKUP(CZ$4,$DE$6:$DF$17,2)+1))*(VLOOKUP($A91,SatSunCurve,6))*(INDEX(DailyScalarsTable,CZ$5/100,MONTH($A91)))*$E91</f>
        <v>0</v>
      </c>
      <c r="DA91" s="1021">
        <f>(VLOOKUP(YEAR($A91),'NY East Load Projections'!$A$4:$EO$14,((MONTH($A91)-1)*12)+VLOOKUP(DA$4,$DE$6:$DF$17,2)+1))*(VLOOKUP($A91,SatSunCurve,6))*(INDEX(DailyScalarsTable,DA$5/100,MONTH($A91)))*$E91</f>
        <v>0</v>
      </c>
      <c r="DB91" s="1021">
        <f>(VLOOKUP(YEAR($A91),'NY East Load Projections'!$A$4:$EO$14,((MONTH($A91)-1)*12)+VLOOKUP(DB$4,$DE$6:$DF$17,2)+1))*(VLOOKUP($A91,CURVES!$D$9:$T$261,6))*(INDEX(DailyScalarsTable,DB$5/100,MONTH($A91)))*$E91</f>
        <v>0</v>
      </c>
      <c r="DH91" s="1021">
        <f t="shared" si="2"/>
        <v>-1745139.1346787999</v>
      </c>
      <c r="DI91">
        <f ca="1">CALC!J111</f>
        <v>0.55790431277218178</v>
      </c>
      <c r="DJ91" s="1029">
        <f t="shared" ca="1" si="3"/>
        <v>-973620.64962481579</v>
      </c>
    </row>
    <row r="92" spans="1:114" x14ac:dyDescent="0.25">
      <c r="A92" s="244">
        <v>39508</v>
      </c>
      <c r="B92" s="13">
        <v>21</v>
      </c>
      <c r="C92" s="210">
        <v>5</v>
      </c>
      <c r="D92" s="210">
        <v>5</v>
      </c>
      <c r="E92" s="210">
        <v>0</v>
      </c>
      <c r="F92" s="13">
        <v>31</v>
      </c>
      <c r="H92" s="1021">
        <f>(VLOOKUP(YEAR($A92),'NY East Load Projections'!$A$4:$EO$14,((MONTH($A92)-1)*12)+VLOOKUP(H$4,$DE$6:$DF$17,2)+1))*(VLOOKUP($A92,CURVES!$D$9:$K$261,6))*(INDEX(DailyScalarsTable,H$5/100,MONTH($A92)))*$B92</f>
        <v>-26589.936324888691</v>
      </c>
      <c r="I92" s="1021">
        <f>(VLOOKUP(YEAR($A92),'NY East Load Projections'!$A$4:$EO$14,((MONTH($A92)-1)*12)+VLOOKUP(I$4,$DE$6:$DF$17,2)+1))*(VLOOKUP($A92,CURVES!$D$9:$K$261,6))*(INDEX(DailyScalarsTable,I$5/100,MONTH($A92)))*$B92</f>
        <v>-25141.964225340162</v>
      </c>
      <c r="J92" s="1021">
        <f>(VLOOKUP(YEAR($A92),'NY East Load Projections'!$A$4:$EO$14,((MONTH($A92)-1)*12)+VLOOKUP(J$4,$DE$6:$DF$17,2)+1))*(VLOOKUP($A92,CURVES!$D$9:$K$261,6))*(INDEX(DailyScalarsTable,J$5/100,MONTH($A92)))*$B92</f>
        <v>-24070.45201224172</v>
      </c>
      <c r="K92" s="1021">
        <f>(VLOOKUP(YEAR($A92),'NY East Load Projections'!$A$4:$EO$14,((MONTH($A92)-1)*12)+VLOOKUP(K$4,$DE$6:$DF$17,2)+1))*(VLOOKUP($A92,CURVES!$D$9:$K$261,6))*(INDEX(DailyScalarsTable,K$5/100,MONTH($A92)))*$B92</f>
        <v>-24085.561845429744</v>
      </c>
      <c r="L92" s="1021">
        <f>(VLOOKUP(YEAR($A92),'NY East Load Projections'!$A$4:$EO$14,((MONTH($A92)-1)*12)+VLOOKUP(L$4,$DE$6:$DF$17,2)+1))*(VLOOKUP($A92,CURVES!$D$9:$K$261,6))*(INDEX(DailyScalarsTable,L$5/100,MONTH($A92)))*$B92</f>
        <v>-28279.984544481427</v>
      </c>
      <c r="M92" s="1021">
        <f>(VLOOKUP(YEAR($A92),'NY East Load Projections'!$A$4:$EO$14,((MONTH($A92)-1)*12)+VLOOKUP(M$4,$DE$6:$DF$17,2)+1))*(VLOOKUP($A92,CURVES!$D$9:$K$261,6))*(INDEX(DailyScalarsTable,M$5/100,MONTH($A92)))*$B92</f>
        <v>-32826.651150274069</v>
      </c>
      <c r="N92" s="1021">
        <f>(VLOOKUP(YEAR($A92),'NY East Load Projections'!$A$4:$EO$14,((MONTH($A92)-1)*12)+VLOOKUP(N$4,$DE$6:$DF$17,2)+1))*(VLOOKUP($A92,CURVES!$D$9:$K$261,6))*(INDEX(DailyScalarsTable,N$5/100,MONTH($A92)))*$B92</f>
        <v>-59231.974387065668</v>
      </c>
      <c r="O92" s="1021">
        <f>(VLOOKUP(YEAR($A92),'NY East Load Projections'!$A$4:$EO$14,((MONTH($A92)-1)*12)+VLOOKUP(O$4,$DE$6:$DF$17,2)+1))*(VLOOKUP($A92,CURVES!$D$9:$K$261,2))*(INDEX(DailyScalarsTable,O$5/100,MONTH($A92)))*$B92</f>
        <v>-63427.067052463033</v>
      </c>
      <c r="P92" s="1021">
        <f>(VLOOKUP(YEAR($A92),'NY East Load Projections'!$A$4:$EO$14,((MONTH($A92)-1)*12)+VLOOKUP(P$4,$DE$6:$DF$17,2)+1))*(VLOOKUP($A92,CURVES!$D$9:$K$261,2))*(INDEX(DailyScalarsTable,P$5/100,MONTH($A92)))*$B92</f>
        <v>-71634.480932958017</v>
      </c>
      <c r="Q92" s="1021">
        <f>(VLOOKUP(YEAR($A92),'NY East Load Projections'!$A$4:$EO$14,((MONTH($A92)-1)*12)+VLOOKUP(Q$4,$DE$6:$DF$17,2)+1))*(VLOOKUP($A92,CURVES!$D$9:$K$261,2))*(INDEX(DailyScalarsTable,Q$5/100,MONTH($A92)))*$B92</f>
        <v>-71417.735151012603</v>
      </c>
      <c r="R92" s="1021">
        <f>(VLOOKUP(YEAR($A92),'NY East Load Projections'!$A$4:$EO$14,((MONTH($A92)-1)*12)+VLOOKUP(R$4,$DE$6:$DF$17,2)+1))*(VLOOKUP($A92,CURVES!$D$9:$K$261,2))*(INDEX(DailyScalarsTable,R$5/100,MONTH($A92)))*$B92</f>
        <v>-70159.405472496204</v>
      </c>
      <c r="S92" s="1021">
        <f>(VLOOKUP(YEAR($A92),'NY East Load Projections'!$A$4:$EO$14,((MONTH($A92)-1)*12)+VLOOKUP(S$4,$DE$6:$DF$17,2)+1))*(VLOOKUP($A92,CURVES!$D$9:$K$261,2))*(INDEX(DailyScalarsTable,S$5/100,MONTH($A92)))*$B92</f>
        <v>-53608.45673449809</v>
      </c>
      <c r="T92" s="1021">
        <f>(VLOOKUP(YEAR($A92),'NY East Load Projections'!$A$4:$EO$14,((MONTH($A92)-1)*12)+VLOOKUP(T$4,$DE$6:$DF$17,2)+1))*(VLOOKUP($A92,CURVES!$D$9:$K$261,2))*(INDEX(DailyScalarsTable,T$5/100,MONTH($A92)))*$B92</f>
        <v>-53632.705191364679</v>
      </c>
      <c r="U92" s="1021">
        <f>(VLOOKUP(YEAR($A92),'NY East Load Projections'!$A$4:$EO$14,((MONTH($A92)-1)*12)+VLOOKUP(U$4,$DE$6:$DF$17,2)+1))*(VLOOKUP($A92,CURVES!$D$9:$K$261,2))*(INDEX(DailyScalarsTable,U$5/100,MONTH($A92)))*$B92</f>
        <v>-51921.02311078921</v>
      </c>
      <c r="V92" s="1021">
        <f>(VLOOKUP(YEAR($A92),'NY East Load Projections'!$A$4:$EO$14,((MONTH($A92)-1)*12)+VLOOKUP(V$4,$DE$6:$DF$17,2)+1))*(VLOOKUP($A92,CURVES!$D$9:$K$261,2))*(INDEX(DailyScalarsTable,V$5/100,MONTH($A92)))*$B92</f>
        <v>-49310.087763244745</v>
      </c>
      <c r="W92" s="1021">
        <f>(VLOOKUP(YEAR($A92),'NY East Load Projections'!$A$4:$EO$14,((MONTH($A92)-1)*12)+VLOOKUP(W$4,$DE$6:$DF$17,2)+1))*(VLOOKUP($A92,CURVES!$D$9:$K$261,2))*(INDEX(DailyScalarsTable,W$5/100,MONTH($A92)))*$B92</f>
        <v>-48330.211789581976</v>
      </c>
      <c r="X92" s="1021">
        <f>(VLOOKUP(YEAR($A92),'NY East Load Projections'!$A$4:$EO$14,((MONTH($A92)-1)*12)+VLOOKUP(X$4,$DE$6:$DF$17,2)+1))*(VLOOKUP($A92,CURVES!$D$9:$K$261,2))*(INDEX(DailyScalarsTable,X$5/100,MONTH($A92)))*$B92</f>
        <v>-50584.222645268768</v>
      </c>
      <c r="Y92" s="1021">
        <f>(VLOOKUP(YEAR($A92),'NY East Load Projections'!$A$4:$EO$14,((MONTH($A92)-1)*12)+VLOOKUP(Y$4,$DE$6:$DF$17,2)+1))*(VLOOKUP($A92,CURVES!$D$9:$K$261,2))*(INDEX(DailyScalarsTable,Y$5/100,MONTH($A92)))*$B92</f>
        <v>-68963.871339471298</v>
      </c>
      <c r="Z92" s="1021">
        <f>(VLOOKUP(YEAR($A92),'NY East Load Projections'!$A$4:$EO$14,((MONTH($A92)-1)*12)+VLOOKUP(Z$4,$DE$6:$DF$17,2)+1))*(VLOOKUP($A92,CURVES!$D$9:$K$261,2))*(INDEX(DailyScalarsTable,Z$5/100,MONTH($A92)))*$B92</f>
        <v>-75727.486796748286</v>
      </c>
      <c r="AA92" s="1021">
        <f>(VLOOKUP(YEAR($A92),'NY East Load Projections'!$A$4:$EO$14,((MONTH($A92)-1)*12)+VLOOKUP(AA$4,$DE$6:$DF$17,2)+1))*(VLOOKUP($A92,CURVES!$D$9:$K$261,2))*(INDEX(DailyScalarsTable,AA$5/100,MONTH($A92)))*$B92</f>
        <v>-72458.802918187488</v>
      </c>
      <c r="AB92" s="1021">
        <f>(VLOOKUP(YEAR($A92),'NY East Load Projections'!$A$4:$EO$14,((MONTH($A92)-1)*12)+VLOOKUP(AB$4,$DE$6:$DF$17,2)+1))*(VLOOKUP($A92,CURVES!$D$9:$K$261,2))*(INDEX(DailyScalarsTable,AB$5/100,MONTH($A92)))*$B92</f>
        <v>-62301.402031557955</v>
      </c>
      <c r="AC92" s="1021">
        <f>(VLOOKUP(YEAR($A92),'NY East Load Projections'!$A$4:$EO$14,((MONTH($A92)-1)*12)+VLOOKUP(AC$4,$DE$6:$DF$17,2)+1))*(VLOOKUP($A92,CURVES!$D$9:$K$261,2))*(INDEX(DailyScalarsTable,AC$5/100,MONTH($A92)))*$B92</f>
        <v>-45239.381529334059</v>
      </c>
      <c r="AD92" s="1021">
        <f>(VLOOKUP(YEAR($A92),'NY East Load Projections'!$A$4:$EO$14,((MONTH($A92)-1)*12)+VLOOKUP(AD$4,$DE$6:$DF$17,2)+1))*(VLOOKUP($A92,CURVES!$D$9:$K$261,2))*(INDEX(DailyScalarsTable,AD$5/100,MONTH($A92)))*$B92</f>
        <v>-37132.745512652429</v>
      </c>
      <c r="AE92" s="1021">
        <f>(VLOOKUP(YEAR($A92),'NY East Load Projections'!$A$4:$EO$14,((MONTH($A92)-1)*12)+VLOOKUP(AE$4,$DE$6:$DF$17,2)+1))*(VLOOKUP($A92,CURVES!$D$9:$K$261,6))*(INDEX(DailyScalarsTable,AE$5/100,MONTH($A92)))*$B92</f>
        <v>-33580.413751284068</v>
      </c>
      <c r="AF92" s="1021"/>
      <c r="AG92" s="1021">
        <f>(VLOOKUP(YEAR($A92),'NY East Load Projections'!$A$4:$EO$14,((MONTH($A92)-1)*12)+VLOOKUP(AG$4,$DE$6:$DF$17,2)+1))*(VLOOKUP($A92,CURVES!$D$9:$T$261,6))*(INDEX(DailyScalarsTable,AG$5/100,MONTH($A92)))*$C92</f>
        <v>-6910.5329634712798</v>
      </c>
      <c r="AH92" s="1021">
        <f>(VLOOKUP(YEAR($A92),'NY East Load Projections'!$A$4:$EO$14,((MONTH($A92)-1)*12)+VLOOKUP(AH$4,$DE$6:$DF$17,2)+1))*(VLOOKUP($A92,CURVES!$D$9:$T$261,6))*(INDEX(DailyScalarsTable,AH$5/100,MONTH($A92)))*$C92</f>
        <v>-6534.2154423664706</v>
      </c>
      <c r="AI92" s="1021">
        <f>(VLOOKUP(YEAR($A92),'NY East Load Projections'!$A$4:$EO$14,((MONTH($A92)-1)*12)+VLOOKUP(AI$4,$DE$6:$DF$17,2)+1))*(VLOOKUP($A92,CURVES!$D$9:$T$261,6))*(INDEX(DailyScalarsTable,AI$5/100,MONTH($A92)))*$C92</f>
        <v>-6255.7371346750051</v>
      </c>
      <c r="AJ92" s="1021">
        <f>(VLOOKUP(YEAR($A92),'NY East Load Projections'!$A$4:$EO$14,((MONTH($A92)-1)*12)+VLOOKUP(AJ$4,$DE$6:$DF$17,2)+1))*(VLOOKUP($A92,CURVES!$D$9:$T$261,6))*(INDEX(DailyScalarsTable,AJ$5/100,MONTH($A92)))*$C92</f>
        <v>-6259.6640715071417</v>
      </c>
      <c r="AK92" s="1021">
        <f>(VLOOKUP(YEAR($A92),'NY East Load Projections'!$A$4:$EO$14,((MONTH($A92)-1)*12)+VLOOKUP(AK$4,$DE$6:$DF$17,2)+1))*(VLOOKUP($A92,CURVES!$D$9:$T$261,6))*(INDEX(DailyScalarsTable,AK$5/100,MONTH($A92)))*$C92</f>
        <v>-6819.1465243441407</v>
      </c>
      <c r="AL92" s="1021">
        <f>(VLOOKUP(YEAR($A92),'NY East Load Projections'!$A$4:$EO$14,((MONTH($A92)-1)*12)+VLOOKUP(AL$4,$DE$6:$DF$17,2)+1))*(VLOOKUP($A92,CURVES!$D$9:$T$261,6))*(INDEX(DailyScalarsTable,AL$5/100,MONTH($A92)))*$C92</f>
        <v>-7915.4832544252977</v>
      </c>
      <c r="AM92" s="1021">
        <f>(VLOOKUP(YEAR($A92),'NY East Load Projections'!$A$4:$EO$14,((MONTH($A92)-1)*12)+VLOOKUP(AM$4,$DE$6:$DF$17,2)+1))*(VLOOKUP($A92,CURVES!$D$9:$T$261,6))*(INDEX(DailyScalarsTable,AM$5/100,MONTH($A92)))*$C92</f>
        <v>-14282.593105250462</v>
      </c>
      <c r="AN92" s="1021">
        <f>(VLOOKUP(YEAR($A92),'NY East Load Projections'!$A$4:$EO$14,((MONTH($A92)-1)*12)+VLOOKUP(AN$4,$DE$6:$DF$17,2)+1))*(VLOOKUP($A92,SatSunCurve,2))*(INDEX(DailyScalarsTable,AN$5/100,MONTH($A92)))*$C92</f>
        <v>-9995.1176724593497</v>
      </c>
      <c r="AO92" s="1021">
        <f>(VLOOKUP(YEAR($A92),'NY East Load Projections'!$A$4:$EO$14,((MONTH($A92)-1)*12)+VLOOKUP(AO$4,$DE$6:$DF$17,2)+1))*(VLOOKUP($A92,SatSunCurve,2))*(INDEX(DailyScalarsTable,AO$5/100,MONTH($A92)))*$C92</f>
        <v>-11215.631214611571</v>
      </c>
      <c r="AP92" s="1021">
        <f>(VLOOKUP(YEAR($A92),'NY East Load Projections'!$A$4:$EO$14,((MONTH($A92)-1)*12)+VLOOKUP(AP$4,$DE$6:$DF$17,2)+1))*(VLOOKUP($A92,SatSunCurve,2))*(INDEX(DailyScalarsTable,AP$5/100,MONTH($A92)))*$C92</f>
        <v>-11181.695870543153</v>
      </c>
      <c r="AQ92" s="1021">
        <f>(VLOOKUP(YEAR($A92),'NY East Load Projections'!$A$4:$EO$14,((MONTH($A92)-1)*12)+VLOOKUP(AQ$4,$DE$6:$DF$17,2)+1))*(VLOOKUP($A92,SatSunCurve,2))*(INDEX(DailyScalarsTable,AQ$5/100,MONTH($A92)))*$C92</f>
        <v>-10984.682345257072</v>
      </c>
      <c r="AR92" s="1021">
        <f>(VLOOKUP(YEAR($A92),'NY East Load Projections'!$A$4:$EO$14,((MONTH($A92)-1)*12)+VLOOKUP(AR$4,$DE$6:$DF$17,2)+1))*(VLOOKUP($A92,SatSunCurve,2))*(INDEX(DailyScalarsTable,AR$5/100,MONTH($A92)))*$C92</f>
        <v>-8393.3417662549527</v>
      </c>
      <c r="AS92" s="1021">
        <f>(VLOOKUP(YEAR($A92),'NY East Load Projections'!$A$4:$EO$14,((MONTH($A92)-1)*12)+VLOOKUP(AS$4,$DE$6:$DF$17,2)+1))*(VLOOKUP($A92,SatSunCurve,2))*(INDEX(DailyScalarsTable,AS$5/100,MONTH($A92)))*$C92</f>
        <v>-8232.6900308425702</v>
      </c>
      <c r="AT92" s="1021">
        <f>(VLOOKUP(YEAR($A92),'NY East Load Projections'!$A$4:$EO$14,((MONTH($A92)-1)*12)+VLOOKUP(AT$4,$DE$6:$DF$17,2)+1))*(VLOOKUP($A92,SatSunCurve,2))*(INDEX(DailyScalarsTable,AT$5/100,MONTH($A92)))*$C92</f>
        <v>-7969.9446043263197</v>
      </c>
      <c r="AU92" s="1021">
        <f>(VLOOKUP(YEAR($A92),'NY East Load Projections'!$A$4:$EO$14,((MONTH($A92)-1)*12)+VLOOKUP(AU$4,$DE$6:$DF$17,2)+1))*(VLOOKUP($A92,SatSunCurve,2))*(INDEX(DailyScalarsTable,AU$5/100,MONTH($A92)))*$C92</f>
        <v>-7569.1626312707303</v>
      </c>
      <c r="AV92" s="1021">
        <f>(VLOOKUP(YEAR($A92),'NY East Load Projections'!$A$4:$EO$14,((MONTH($A92)-1)*12)+VLOOKUP(AV$4,$DE$6:$DF$17,2)+1))*(VLOOKUP($A92,SatSunCurve,2))*(INDEX(DailyScalarsTable,AV$5/100,MONTH($A92)))*$C92</f>
        <v>-7418.7503943520078</v>
      </c>
      <c r="AW92" s="1021">
        <f>(VLOOKUP(YEAR($A92),'NY East Load Projections'!$A$4:$EO$14,((MONTH($A92)-1)*12)+VLOOKUP(AW$4,$DE$6:$DF$17,2)+1))*(VLOOKUP($A92,SatSunCurve,2))*(INDEX(DailyScalarsTable,AW$5/100,MONTH($A92)))*$C92</f>
        <v>-7732.310100163797</v>
      </c>
      <c r="AX92" s="1021">
        <f>(VLOOKUP(YEAR($A92),'NY East Load Projections'!$A$4:$EO$14,((MONTH($A92)-1)*12)+VLOOKUP(AX$4,$DE$6:$DF$17,2)+1))*(VLOOKUP($A92,SatSunCurve,2))*(INDEX(DailyScalarsTable,AX$5/100,MONTH($A92)))*$C92</f>
        <v>-10541.825316642806</v>
      </c>
      <c r="AY92" s="1021">
        <f>(VLOOKUP(YEAR($A92),'NY East Load Projections'!$A$4:$EO$14,((MONTH($A92)-1)*12)+VLOOKUP(AY$4,$DE$6:$DF$17,2)+1))*(VLOOKUP($A92,SatSunCurve,2))*(INDEX(DailyScalarsTable,AY$5/100,MONTH($A92)))*$C92</f>
        <v>-11575.712354517815</v>
      </c>
      <c r="AZ92" s="1021">
        <f>(VLOOKUP(YEAR($A92),'NY East Load Projections'!$A$4:$EO$14,((MONTH($A92)-1)*12)+VLOOKUP(AZ$4,$DE$6:$DF$17,2)+1))*(VLOOKUP($A92,SatSunCurve,2))*(INDEX(DailyScalarsTable,AZ$5/100,MONTH($A92)))*$C92</f>
        <v>-11076.0609603335</v>
      </c>
      <c r="BA92" s="1021">
        <f>(VLOOKUP(YEAR($A92),'NY East Load Projections'!$A$4:$EO$14,((MONTH($A92)-1)*12)+VLOOKUP(BA$4,$DE$6:$DF$17,2)+1))*(VLOOKUP($A92,SatSunCurve,2))*(INDEX(DailyScalarsTable,BA$5/100,MONTH($A92)))*$C92</f>
        <v>-10023.599449971158</v>
      </c>
      <c r="BB92" s="1021">
        <f>(VLOOKUP(YEAR($A92),'NY East Load Projections'!$A$4:$EO$14,((MONTH($A92)-1)*12)+VLOOKUP(BB$4,$DE$6:$DF$17,2)+1))*(VLOOKUP($A92,SatSunCurve,2))*(INDEX(DailyScalarsTable,BB$5/100,MONTH($A92)))*$C92</f>
        <v>-7278.5109969880523</v>
      </c>
      <c r="BC92" s="1021">
        <f>(VLOOKUP(YEAR($A92),'NY East Load Projections'!$A$4:$EO$14,((MONTH($A92)-1)*12)+VLOOKUP(BC$4,$DE$6:$DF$17,2)+1))*(VLOOKUP($A92,SatSunCurve,2))*(INDEX(DailyScalarsTable,BC$5/100,MONTH($A92)))*$C92</f>
        <v>-5974.2438429877875</v>
      </c>
      <c r="BD92" s="1021">
        <f>(VLOOKUP(YEAR($A92),'NY East Load Projections'!$A$4:$EO$14,((MONTH($A92)-1)*12)+VLOOKUP(BD$4,$DE$6:$DF$17,2)+1))*(VLOOKUP($A92,CURVES!$D$9:$T$261,6))*(INDEX(DailyScalarsTable,BD$5/100,MONTH($A92)))*$C92</f>
        <v>-8267.0297215105747</v>
      </c>
      <c r="BE92" s="1021"/>
      <c r="BF92" s="1021">
        <f>(VLOOKUP(YEAR($A92),'NY East Load Projections'!$A$4:$EO$14,((MONTH($A92)-1)*12)+VLOOKUP(BF$4,$DE$6:$DF$17,2)+1))*(VLOOKUP($A92,CURVES!$D$9:$T$261,6))*(INDEX(DailyScalarsTable,BF$5/100,MONTH($A92)))*$D92</f>
        <v>-6910.5329634712798</v>
      </c>
      <c r="BG92" s="1021">
        <f>(VLOOKUP(YEAR($A92),'NY East Load Projections'!$A$4:$EO$14,((MONTH($A92)-1)*12)+VLOOKUP(BG$4,$DE$6:$DF$17,2)+1))*(VLOOKUP($A92,CURVES!$D$9:$T$261,6))*(INDEX(DailyScalarsTable,BG$5/100,MONTH($A92)))*$D92</f>
        <v>-6534.2154423664706</v>
      </c>
      <c r="BH92" s="1021">
        <f>(VLOOKUP(YEAR($A92),'NY East Load Projections'!$A$4:$EO$14,((MONTH($A92)-1)*12)+VLOOKUP(BH$4,$DE$6:$DF$17,2)+1))*(VLOOKUP($A92,CURVES!$D$9:$T$261,6))*(INDEX(DailyScalarsTable,BH$5/100,MONTH($A92)))*$D92</f>
        <v>-6255.7371346750051</v>
      </c>
      <c r="BI92" s="1021">
        <f>(VLOOKUP(YEAR($A92),'NY East Load Projections'!$A$4:$EO$14,((MONTH($A92)-1)*12)+VLOOKUP(BI$4,$DE$6:$DF$17,2)+1))*(VLOOKUP($A92,CURVES!$D$9:$T$261,6))*(INDEX(DailyScalarsTable,BI$5/100,MONTH($A92)))*$D92</f>
        <v>-6259.6640715071417</v>
      </c>
      <c r="BJ92" s="1021">
        <f>(VLOOKUP(YEAR($A92),'NY East Load Projections'!$A$4:$EO$14,((MONTH($A92)-1)*12)+VLOOKUP(BJ$4,$DE$6:$DF$17,2)+1))*(VLOOKUP($A92,CURVES!$D$9:$T$261,6))*(INDEX(DailyScalarsTable,BJ$5/100,MONTH($A92)))*$D92</f>
        <v>-6819.1465243441407</v>
      </c>
      <c r="BK92" s="1021">
        <f>(VLOOKUP(YEAR($A92),'NY East Load Projections'!$A$4:$EO$14,((MONTH($A92)-1)*12)+VLOOKUP(BK$4,$DE$6:$DF$17,2)+1))*(VLOOKUP($A92,CURVES!$D$9:$T$261,6))*(INDEX(DailyScalarsTable,BK$5/100,MONTH($A92)))*$D92</f>
        <v>-7915.4832544252977</v>
      </c>
      <c r="BL92" s="1021">
        <f>(VLOOKUP(YEAR($A92),'NY East Load Projections'!$A$4:$EO$14,((MONTH($A92)-1)*12)+VLOOKUP(BL$4,$DE$6:$DF$17,2)+1))*(VLOOKUP($A92,CURVES!$D$9:$T$261,6))*(INDEX(DailyScalarsTable,BL$5/100,MONTH($A92)))*$D92</f>
        <v>-14282.593105250462</v>
      </c>
      <c r="BM92" s="1021">
        <f>(VLOOKUP(YEAR($A92),'NY East Load Projections'!$A$4:$EO$14,((MONTH($A92)-1)*12)+VLOOKUP(BM$4,$DE$6:$DF$17,2)+1))*(VLOOKUP($A92,SatSunCurve,6))*(INDEX(DailyScalarsTable,BM$5/100,MONTH($A92)))*$D92</f>
        <v>-8534.8896974442159</v>
      </c>
      <c r="BN92" s="1021">
        <f>(VLOOKUP(YEAR($A92),'NY East Load Projections'!$A$4:$EO$14,((MONTH($A92)-1)*12)+VLOOKUP(BN$4,$DE$6:$DF$17,2)+1))*(VLOOKUP($A92,SatSunCurve,6))*(INDEX(DailyScalarsTable,BN$5/100,MONTH($A92)))*$D92</f>
        <v>-9577.0933810695824</v>
      </c>
      <c r="BO92" s="1021">
        <f>(VLOOKUP(YEAR($A92),'NY East Load Projections'!$A$4:$EO$14,((MONTH($A92)-1)*12)+VLOOKUP(BO$4,$DE$6:$DF$17,2)+1))*(VLOOKUP($A92,SatSunCurve,6))*(INDEX(DailyScalarsTable,BO$5/100,MONTH($A92)))*$D92</f>
        <v>-9548.1157914143041</v>
      </c>
      <c r="BP92" s="1021">
        <f>(VLOOKUP(YEAR($A92),'NY East Load Projections'!$A$4:$EO$14,((MONTH($A92)-1)*12)+VLOOKUP(BP$4,$DE$6:$DF$17,2)+1))*(VLOOKUP($A92,SatSunCurve,6))*(INDEX(DailyScalarsTable,BP$5/100,MONTH($A92)))*$D92</f>
        <v>-9379.8847848044916</v>
      </c>
      <c r="BQ92" s="1021">
        <f>(VLOOKUP(YEAR($A92),'NY East Load Projections'!$A$4:$EO$14,((MONTH($A92)-1)*12)+VLOOKUP(BQ$4,$DE$6:$DF$17,2)+1))*(VLOOKUP($A92,SatSunCurve,6))*(INDEX(DailyScalarsTable,BQ$5/100,MONTH($A92)))*$D92</f>
        <v>-7167.1238414055779</v>
      </c>
      <c r="BR92" s="1021">
        <f>(VLOOKUP(YEAR($A92),'NY East Load Projections'!$A$4:$EO$14,((MONTH($A92)-1)*12)+VLOOKUP(BR$4,$DE$6:$DF$17,2)+1))*(VLOOKUP($A92,SatSunCurve,6))*(INDEX(DailyScalarsTable,BR$5/100,MONTH($A92)))*$D92</f>
        <v>-7029.9423807784833</v>
      </c>
      <c r="BS92" s="1021">
        <f>(VLOOKUP(YEAR($A92),'NY East Load Projections'!$A$4:$EO$14,((MONTH($A92)-1)*12)+VLOOKUP(BS$4,$DE$6:$DF$17,2)+1))*(VLOOKUP($A92,SatSunCurve,6))*(INDEX(DailyScalarsTable,BS$5/100,MONTH($A92)))*$D92</f>
        <v>-6805.5825175621485</v>
      </c>
      <c r="BT92" s="1021">
        <f>(VLOOKUP(YEAR($A92),'NY East Load Projections'!$A$4:$EO$14,((MONTH($A92)-1)*12)+VLOOKUP(BT$4,$DE$6:$DF$17,2)+1))*(VLOOKUP($A92,SatSunCurve,6))*(INDEX(DailyScalarsTable,BT$5/100,MONTH($A92)))*$D92</f>
        <v>-6463.3524363517254</v>
      </c>
      <c r="BU92" s="1021">
        <f>(VLOOKUP(YEAR($A92),'NY East Load Projections'!$A$4:$EO$14,((MONTH($A92)-1)*12)+VLOOKUP(BU$4,$DE$6:$DF$17,2)+1))*(VLOOKUP($A92,SatSunCurve,6))*(INDEX(DailyScalarsTable,BU$5/100,MONTH($A92)))*$D92</f>
        <v>-6334.9145436409253</v>
      </c>
      <c r="BV92" s="1021">
        <f>(VLOOKUP(YEAR($A92),'NY East Load Projections'!$A$4:$EO$14,((MONTH($A92)-1)*12)+VLOOKUP(BV$4,$DE$6:$DF$17,2)+1))*(VLOOKUP($A92,SatSunCurve,6))*(INDEX(DailyScalarsTable,BV$5/100,MONTH($A92)))*$D92</f>
        <v>-6602.6650184593163</v>
      </c>
      <c r="BW92" s="1021">
        <f>(VLOOKUP(YEAR($A92),'NY East Load Projections'!$A$4:$EO$14,((MONTH($A92)-1)*12)+VLOOKUP(BW$4,$DE$6:$DF$17,2)+1))*(VLOOKUP($A92,SatSunCurve,6))*(INDEX(DailyScalarsTable,BW$5/100,MONTH($A92)))*$D92</f>
        <v>-9001.7265664800216</v>
      </c>
      <c r="BX92" s="1021">
        <f>(VLOOKUP(YEAR($A92),'NY East Load Projections'!$A$4:$EO$14,((MONTH($A92)-1)*12)+VLOOKUP(BX$4,$DE$6:$DF$17,2)+1))*(VLOOKUP($A92,SatSunCurve,6))*(INDEX(DailyScalarsTable,BX$5/100,MONTH($A92)))*$D92</f>
        <v>-9884.5687817542439</v>
      </c>
      <c r="BY92" s="1021">
        <f>(VLOOKUP(YEAR($A92),'NY East Load Projections'!$A$4:$EO$14,((MONTH($A92)-1)*12)+VLOOKUP(BY$4,$DE$6:$DF$17,2)+1))*(VLOOKUP($A92,SatSunCurve,6))*(INDEX(DailyScalarsTable,BY$5/100,MONTH($A92)))*$D92</f>
        <v>-9457.913521027529</v>
      </c>
      <c r="BZ92" s="1021">
        <f>(VLOOKUP(YEAR($A92),'NY East Load Projections'!$A$4:$EO$14,((MONTH($A92)-1)*12)+VLOOKUP(BZ$4,$DE$6:$DF$17,2)+1))*(VLOOKUP($A92,SatSunCurve,6))*(INDEX(DailyScalarsTable,BZ$5/100,MONTH($A92)))*$D92</f>
        <v>-8559.2104545794973</v>
      </c>
      <c r="CA92" s="1021">
        <f>(VLOOKUP(YEAR($A92),'NY East Load Projections'!$A$4:$EO$14,((MONTH($A92)-1)*12)+VLOOKUP(CA$4,$DE$6:$DF$17,2)+1))*(VLOOKUP($A92,SatSunCurve,6))*(INDEX(DailyScalarsTable,CA$5/100,MONTH($A92)))*$D92</f>
        <v>-6215.1632983869113</v>
      </c>
      <c r="CB92" s="1021">
        <f>(VLOOKUP(YEAR($A92),'NY East Load Projections'!$A$4:$EO$14,((MONTH($A92)-1)*12)+VLOOKUP(CB$4,$DE$6:$DF$17,2)+1))*(VLOOKUP($A92,SatSunCurve,6))*(INDEX(DailyScalarsTable,CB$5/100,MONTH($A92)))*$D92</f>
        <v>-5101.4419135887756</v>
      </c>
      <c r="CC92" s="1021">
        <f>(VLOOKUP(YEAR($A92),'NY East Load Projections'!$A$4:$EO$14,((MONTH($A92)-1)*12)+VLOOKUP(CC$4,$DE$6:$DF$17,2)+1))*(VLOOKUP($A92,CURVES!$D$9:$T$261,6))*(INDEX(DailyScalarsTable,CC$5/100,MONTH($A92)))*$D92</f>
        <v>-8267.0297215105747</v>
      </c>
      <c r="CE92" s="1021">
        <f>(VLOOKUP(YEAR($A92),'NY East Load Projections'!$A$4:$EO$14,((MONTH($A92)-1)*12)+VLOOKUP(CE$4,$DE$6:$DF$17,2)+1))*(VLOOKUP($A92,CURVES!$D$9:$T$261,6))*(INDEX(DailyScalarsTable,CE$5/100,MONTH($A92)))*$E92</f>
        <v>0</v>
      </c>
      <c r="CF92" s="1021">
        <f>(VLOOKUP(YEAR($A92),'NY East Load Projections'!$A$4:$EO$14,((MONTH($A92)-1)*12)+VLOOKUP(CF$4,$DE$6:$DF$17,2)+1))*(VLOOKUP($A92,CURVES!$D$9:$T$261,6))*(INDEX(DailyScalarsTable,CF$5/100,MONTH($A92)))*$E92</f>
        <v>0</v>
      </c>
      <c r="CG92" s="1021">
        <f>(VLOOKUP(YEAR($A92),'NY East Load Projections'!$A$4:$EO$14,((MONTH($A92)-1)*12)+VLOOKUP(CG$4,$DE$6:$DF$17,2)+1))*(VLOOKUP($A92,CURVES!$D$9:$T$261,6))*(INDEX(DailyScalarsTable,CG$5/100,MONTH($A92)))*$E92</f>
        <v>0</v>
      </c>
      <c r="CH92" s="1021">
        <f>(VLOOKUP(YEAR($A92),'NY East Load Projections'!$A$4:$EO$14,((MONTH($A92)-1)*12)+VLOOKUP(CH$4,$DE$6:$DF$17,2)+1))*(VLOOKUP($A92,CURVES!$D$9:$T$261,6))*(INDEX(DailyScalarsTable,CH$5/100,MONTH($A92)))*$E92</f>
        <v>0</v>
      </c>
      <c r="CI92" s="1021">
        <f>(VLOOKUP(YEAR($A92),'NY East Load Projections'!$A$4:$EO$14,((MONTH($A92)-1)*12)+VLOOKUP(CI$4,$DE$6:$DF$17,2)+1))*(VLOOKUP($A92,CURVES!$D$9:$T$261,6))*(INDEX(DailyScalarsTable,CI$5/100,MONTH($A92)))*$E92</f>
        <v>0</v>
      </c>
      <c r="CJ92" s="1021">
        <f>(VLOOKUP(YEAR($A92),'NY East Load Projections'!$A$4:$EO$14,((MONTH($A92)-1)*12)+VLOOKUP(CJ$4,$DE$6:$DF$17,2)+1))*(VLOOKUP($A92,CURVES!$D$9:$T$261,6))*(INDEX(DailyScalarsTable,CJ$5/100,MONTH($A92)))*$E92</f>
        <v>0</v>
      </c>
      <c r="CK92" s="1021">
        <f>(VLOOKUP(YEAR($A92),'NY East Load Projections'!$A$4:$EO$14,((MONTH($A92)-1)*12)+VLOOKUP(CK$4,$DE$6:$DF$17,2)+1))*(VLOOKUP($A92,CURVES!$D$9:$T$261,6))*(INDEX(DailyScalarsTable,CK$5/100,MONTH($A92)))*$E92</f>
        <v>0</v>
      </c>
      <c r="CL92" s="1021">
        <f>(VLOOKUP(YEAR($A92),'NY East Load Projections'!$A$4:$EO$14,((MONTH($A92)-1)*12)+VLOOKUP(CL$4,$DE$6:$DF$17,2)+1))*(VLOOKUP($A92,SatSunCurve,6))*(INDEX(DailyScalarsTable,CL$5/100,MONTH($A92)))*$E92</f>
        <v>0</v>
      </c>
      <c r="CM92" s="1021">
        <f>(VLOOKUP(YEAR($A92),'NY East Load Projections'!$A$4:$EO$14,((MONTH($A92)-1)*12)+VLOOKUP(CM$4,$DE$6:$DF$17,2)+1))*(VLOOKUP($A92,SatSunCurve,6))*(INDEX(DailyScalarsTable,CM$5/100,MONTH($A92)))*$E92</f>
        <v>0</v>
      </c>
      <c r="CN92" s="1021">
        <f>(VLOOKUP(YEAR($A92),'NY East Load Projections'!$A$4:$EO$14,((MONTH($A92)-1)*12)+VLOOKUP(CN$4,$DE$6:$DF$17,2)+1))*(VLOOKUP($A92,SatSunCurve,6))*(INDEX(DailyScalarsTable,CN$5/100,MONTH($A92)))*$E92</f>
        <v>0</v>
      </c>
      <c r="CO92" s="1021">
        <f>(VLOOKUP(YEAR($A92),'NY East Load Projections'!$A$4:$EO$14,((MONTH($A92)-1)*12)+VLOOKUP(CO$4,$DE$6:$DF$17,2)+1))*(VLOOKUP($A92,SatSunCurve,6))*(INDEX(DailyScalarsTable,CO$5/100,MONTH($A92)))*$E92</f>
        <v>0</v>
      </c>
      <c r="CP92" s="1021">
        <f>(VLOOKUP(YEAR($A92),'NY East Load Projections'!$A$4:$EO$14,((MONTH($A92)-1)*12)+VLOOKUP(CP$4,$DE$6:$DF$17,2)+1))*(VLOOKUP($A92,SatSunCurve,6))*(INDEX(DailyScalarsTable,CP$5/100,MONTH($A92)))*$E92</f>
        <v>0</v>
      </c>
      <c r="CQ92" s="1021">
        <f>(VLOOKUP(YEAR($A92),'NY East Load Projections'!$A$4:$EO$14,((MONTH($A92)-1)*12)+VLOOKUP(CQ$4,$DE$6:$DF$17,2)+1))*(VLOOKUP($A92,SatSunCurve,6))*(INDEX(DailyScalarsTable,CQ$5/100,MONTH($A92)))*$E92</f>
        <v>0</v>
      </c>
      <c r="CR92" s="1021">
        <f>(VLOOKUP(YEAR($A92),'NY East Load Projections'!$A$4:$EO$14,((MONTH($A92)-1)*12)+VLOOKUP(CR$4,$DE$6:$DF$17,2)+1))*(VLOOKUP($A92,SatSunCurve,6))*(INDEX(DailyScalarsTable,CR$5/100,MONTH($A92)))*$E92</f>
        <v>0</v>
      </c>
      <c r="CS92" s="1021">
        <f>(VLOOKUP(YEAR($A92),'NY East Load Projections'!$A$4:$EO$14,((MONTH($A92)-1)*12)+VLOOKUP(CS$4,$DE$6:$DF$17,2)+1))*(VLOOKUP($A92,SatSunCurve,6))*(INDEX(DailyScalarsTable,CS$5/100,MONTH($A92)))*$E92</f>
        <v>0</v>
      </c>
      <c r="CT92" s="1021">
        <f>(VLOOKUP(YEAR($A92),'NY East Load Projections'!$A$4:$EO$14,((MONTH($A92)-1)*12)+VLOOKUP(CT$4,$DE$6:$DF$17,2)+1))*(VLOOKUP($A92,SatSunCurve,6))*(INDEX(DailyScalarsTable,CT$5/100,MONTH($A92)))*$E92</f>
        <v>0</v>
      </c>
      <c r="CU92" s="1021">
        <f>(VLOOKUP(YEAR($A92),'NY East Load Projections'!$A$4:$EO$14,((MONTH($A92)-1)*12)+VLOOKUP(CU$4,$DE$6:$DF$17,2)+1))*(VLOOKUP($A92,SatSunCurve,6))*(INDEX(DailyScalarsTable,CU$5/100,MONTH($A92)))*$E92</f>
        <v>0</v>
      </c>
      <c r="CV92" s="1021">
        <f>(VLOOKUP(YEAR($A92),'NY East Load Projections'!$A$4:$EO$14,((MONTH($A92)-1)*12)+VLOOKUP(CV$4,$DE$6:$DF$17,2)+1))*(VLOOKUP($A92,SatSunCurve,6))*(INDEX(DailyScalarsTable,CV$5/100,MONTH($A92)))*$E92</f>
        <v>0</v>
      </c>
      <c r="CW92" s="1021">
        <f>(VLOOKUP(YEAR($A92),'NY East Load Projections'!$A$4:$EO$14,((MONTH($A92)-1)*12)+VLOOKUP(CW$4,$DE$6:$DF$17,2)+1))*(VLOOKUP($A92,SatSunCurve,6))*(INDEX(DailyScalarsTable,CW$5/100,MONTH($A92)))*$E92</f>
        <v>0</v>
      </c>
      <c r="CX92" s="1021">
        <f>(VLOOKUP(YEAR($A92),'NY East Load Projections'!$A$4:$EO$14,((MONTH($A92)-1)*12)+VLOOKUP(CX$4,$DE$6:$DF$17,2)+1))*(VLOOKUP($A92,SatSunCurve,6))*(INDEX(DailyScalarsTable,CX$5/100,MONTH($A92)))*$E92</f>
        <v>0</v>
      </c>
      <c r="CY92" s="1021">
        <f>(VLOOKUP(YEAR($A92),'NY East Load Projections'!$A$4:$EO$14,((MONTH($A92)-1)*12)+VLOOKUP(CY$4,$DE$6:$DF$17,2)+1))*(VLOOKUP($A92,SatSunCurve,6))*(INDEX(DailyScalarsTable,CY$5/100,MONTH($A92)))*$E92</f>
        <v>0</v>
      </c>
      <c r="CZ92" s="1021">
        <f>(VLOOKUP(YEAR($A92),'NY East Load Projections'!$A$4:$EO$14,((MONTH($A92)-1)*12)+VLOOKUP(CZ$4,$DE$6:$DF$17,2)+1))*(VLOOKUP($A92,SatSunCurve,6))*(INDEX(DailyScalarsTable,CZ$5/100,MONTH($A92)))*$E92</f>
        <v>0</v>
      </c>
      <c r="DA92" s="1021">
        <f>(VLOOKUP(YEAR($A92),'NY East Load Projections'!$A$4:$EO$14,((MONTH($A92)-1)*12)+VLOOKUP(DA$4,$DE$6:$DF$17,2)+1))*(VLOOKUP($A92,SatSunCurve,6))*(INDEX(DailyScalarsTable,DA$5/100,MONTH($A92)))*$E92</f>
        <v>0</v>
      </c>
      <c r="DB92" s="1021">
        <f>(VLOOKUP(YEAR($A92),'NY East Load Projections'!$A$4:$EO$14,((MONTH($A92)-1)*12)+VLOOKUP(DB$4,$DE$6:$DF$17,2)+1))*(VLOOKUP($A92,CURVES!$D$9:$T$261,6))*(INDEX(DailyScalarsTable,DB$5/100,MONTH($A92)))*$E92</f>
        <v>0</v>
      </c>
      <c r="DH92" s="1021">
        <f t="shared" si="2"/>
        <v>-1598971.6971280051</v>
      </c>
      <c r="DI92">
        <f ca="1">CALC!J112</f>
        <v>0.55441972575425003</v>
      </c>
      <c r="DJ92" s="1029">
        <f t="shared" ca="1" si="3"/>
        <v>-886501.44981051632</v>
      </c>
    </row>
    <row r="93" spans="1:114" x14ac:dyDescent="0.25">
      <c r="A93" s="244">
        <v>39539</v>
      </c>
      <c r="B93" s="13">
        <v>22</v>
      </c>
      <c r="C93" s="210">
        <v>4</v>
      </c>
      <c r="D93" s="210">
        <v>4</v>
      </c>
      <c r="E93" s="210">
        <v>0</v>
      </c>
      <c r="F93" s="13">
        <v>30</v>
      </c>
      <c r="H93" s="1021">
        <f>(VLOOKUP(YEAR($A93),'NY East Load Projections'!$A$4:$EO$14,((MONTH($A93)-1)*12)+VLOOKUP(H$4,$DE$6:$DF$17,2)+1))*(VLOOKUP($A93,CURVES!$D$9:$K$261,6))*(INDEX(DailyScalarsTable,H$5/100,MONTH($A93)))*$B93</f>
        <v>-32186.104896173321</v>
      </c>
      <c r="I93" s="1021">
        <f>(VLOOKUP(YEAR($A93),'NY East Load Projections'!$A$4:$EO$14,((MONTH($A93)-1)*12)+VLOOKUP(I$4,$DE$6:$DF$17,2)+1))*(VLOOKUP($A93,CURVES!$D$9:$K$261,6))*(INDEX(DailyScalarsTable,I$5/100,MONTH($A93)))*$B93</f>
        <v>-30527.612566626318</v>
      </c>
      <c r="J93" s="1021">
        <f>(VLOOKUP(YEAR($A93),'NY East Load Projections'!$A$4:$EO$14,((MONTH($A93)-1)*12)+VLOOKUP(J$4,$DE$6:$DF$17,2)+1))*(VLOOKUP($A93,CURVES!$D$9:$K$261,6))*(INDEX(DailyScalarsTable,J$5/100,MONTH($A93)))*$B93</f>
        <v>-29300.313513699966</v>
      </c>
      <c r="K93" s="1021">
        <f>(VLOOKUP(YEAR($A93),'NY East Load Projections'!$A$4:$EO$14,((MONTH($A93)-1)*12)+VLOOKUP(K$4,$DE$6:$DF$17,2)+1))*(VLOOKUP($A93,CURVES!$D$9:$K$261,6))*(INDEX(DailyScalarsTable,K$5/100,MONTH($A93)))*$B93</f>
        <v>-29317.620161010971</v>
      </c>
      <c r="L93" s="1021">
        <f>(VLOOKUP(YEAR($A93),'NY East Load Projections'!$A$4:$EO$14,((MONTH($A93)-1)*12)+VLOOKUP(L$4,$DE$6:$DF$17,2)+1))*(VLOOKUP($A93,CURVES!$D$9:$K$261,6))*(INDEX(DailyScalarsTable,L$5/100,MONTH($A93)))*$B93</f>
        <v>-33802.512714759185</v>
      </c>
      <c r="M93" s="1021">
        <f>(VLOOKUP(YEAR($A93),'NY East Load Projections'!$A$4:$EO$14,((MONTH($A93)-1)*12)+VLOOKUP(M$4,$DE$6:$DF$17,2)+1))*(VLOOKUP($A93,CURVES!$D$9:$K$261,6))*(INDEX(DailyScalarsTable,M$5/100,MONTH($A93)))*$B93</f>
        <v>-38937.627493613763</v>
      </c>
      <c r="N93" s="1021">
        <f>(VLOOKUP(YEAR($A93),'NY East Load Projections'!$A$4:$EO$14,((MONTH($A93)-1)*12)+VLOOKUP(N$4,$DE$6:$DF$17,2)+1))*(VLOOKUP($A93,CURVES!$D$9:$K$261,6))*(INDEX(DailyScalarsTable,N$5/100,MONTH($A93)))*$B93</f>
        <v>-55536.369052720511</v>
      </c>
      <c r="O93" s="1021">
        <f>(VLOOKUP(YEAR($A93),'NY East Load Projections'!$A$4:$EO$14,((MONTH($A93)-1)*12)+VLOOKUP(O$4,$DE$6:$DF$17,2)+1))*(VLOOKUP($A93,CURVES!$D$9:$K$261,2))*(INDEX(DailyScalarsTable,O$5/100,MONTH($A93)))*$B93</f>
        <v>-68179.76494570158</v>
      </c>
      <c r="P93" s="1021">
        <f>(VLOOKUP(YEAR($A93),'NY East Load Projections'!$A$4:$EO$14,((MONTH($A93)-1)*12)+VLOOKUP(P$4,$DE$6:$DF$17,2)+1))*(VLOOKUP($A93,CURVES!$D$9:$K$261,2))*(INDEX(DailyScalarsTable,P$5/100,MONTH($A93)))*$B93</f>
        <v>-74770.373923171472</v>
      </c>
      <c r="Q93" s="1021">
        <f>(VLOOKUP(YEAR($A93),'NY East Load Projections'!$A$4:$EO$14,((MONTH($A93)-1)*12)+VLOOKUP(Q$4,$DE$6:$DF$17,2)+1))*(VLOOKUP($A93,CURVES!$D$9:$K$261,2))*(INDEX(DailyScalarsTable,Q$5/100,MONTH($A93)))*$B93</f>
        <v>-71656.611207121197</v>
      </c>
      <c r="R93" s="1021">
        <f>(VLOOKUP(YEAR($A93),'NY East Load Projections'!$A$4:$EO$14,((MONTH($A93)-1)*12)+VLOOKUP(R$4,$DE$6:$DF$17,2)+1))*(VLOOKUP($A93,CURVES!$D$9:$K$261,2))*(INDEX(DailyScalarsTable,R$5/100,MONTH($A93)))*$B93</f>
        <v>-73133.882309453198</v>
      </c>
      <c r="S93" s="1021">
        <f>(VLOOKUP(YEAR($A93),'NY East Load Projections'!$A$4:$EO$14,((MONTH($A93)-1)*12)+VLOOKUP(S$4,$DE$6:$DF$17,2)+1))*(VLOOKUP($A93,CURVES!$D$9:$K$261,2))*(INDEX(DailyScalarsTable,S$5/100,MONTH($A93)))*$B93</f>
        <v>-73277.286213748128</v>
      </c>
      <c r="T93" s="1021">
        <f>(VLOOKUP(YEAR($A93),'NY East Load Projections'!$A$4:$EO$14,((MONTH($A93)-1)*12)+VLOOKUP(T$4,$DE$6:$DF$17,2)+1))*(VLOOKUP($A93,CURVES!$D$9:$K$261,2))*(INDEX(DailyScalarsTable,T$5/100,MONTH($A93)))*$B93</f>
        <v>-68877.969160219131</v>
      </c>
      <c r="U93" s="1021">
        <f>(VLOOKUP(YEAR($A93),'NY East Load Projections'!$A$4:$EO$14,((MONTH($A93)-1)*12)+VLOOKUP(U$4,$DE$6:$DF$17,2)+1))*(VLOOKUP($A93,CURVES!$D$9:$K$261,2))*(INDEX(DailyScalarsTable,U$5/100,MONTH($A93)))*$B93</f>
        <v>-68952.135870214115</v>
      </c>
      <c r="V93" s="1021">
        <f>(VLOOKUP(YEAR($A93),'NY East Load Projections'!$A$4:$EO$14,((MONTH($A93)-1)*12)+VLOOKUP(V$4,$DE$6:$DF$17,2)+1))*(VLOOKUP($A93,CURVES!$D$9:$K$261,2))*(INDEX(DailyScalarsTable,V$5/100,MONTH($A93)))*$B93</f>
        <v>-64672.280428737336</v>
      </c>
      <c r="W93" s="1021">
        <f>(VLOOKUP(YEAR($A93),'NY East Load Projections'!$A$4:$EO$14,((MONTH($A93)-1)*12)+VLOOKUP(W$4,$DE$6:$DF$17,2)+1))*(VLOOKUP($A93,CURVES!$D$9:$K$261,2))*(INDEX(DailyScalarsTable,W$5/100,MONTH($A93)))*$B93</f>
        <v>-60443.687272110066</v>
      </c>
      <c r="X93" s="1021">
        <f>(VLOOKUP(YEAR($A93),'NY East Load Projections'!$A$4:$EO$14,((MONTH($A93)-1)*12)+VLOOKUP(X$4,$DE$6:$DF$17,2)+1))*(VLOOKUP($A93,CURVES!$D$9:$K$261,2))*(INDEX(DailyScalarsTable,X$5/100,MONTH($A93)))*$B93</f>
        <v>-56263.171228275649</v>
      </c>
      <c r="Y93" s="1021">
        <f>(VLOOKUP(YEAR($A93),'NY East Load Projections'!$A$4:$EO$14,((MONTH($A93)-1)*12)+VLOOKUP(Y$4,$DE$6:$DF$17,2)+1))*(VLOOKUP($A93,CURVES!$D$9:$K$261,2))*(INDEX(DailyScalarsTable,Y$5/100,MONTH($A93)))*$B93</f>
        <v>-55531.439823134911</v>
      </c>
      <c r="Z93" s="1021">
        <f>(VLOOKUP(YEAR($A93),'NY East Load Projections'!$A$4:$EO$14,((MONTH($A93)-1)*12)+VLOOKUP(Z$4,$DE$6:$DF$17,2)+1))*(VLOOKUP($A93,CURVES!$D$9:$K$261,2))*(INDEX(DailyScalarsTable,Z$5/100,MONTH($A93)))*$B93</f>
        <v>-55233.751086477379</v>
      </c>
      <c r="AA93" s="1021">
        <f>(VLOOKUP(YEAR($A93),'NY East Load Projections'!$A$4:$EO$14,((MONTH($A93)-1)*12)+VLOOKUP(AA$4,$DE$6:$DF$17,2)+1))*(VLOOKUP($A93,CURVES!$D$9:$K$261,2))*(INDEX(DailyScalarsTable,AA$5/100,MONTH($A93)))*$B93</f>
        <v>-60582.780518935826</v>
      </c>
      <c r="AB93" s="1021">
        <f>(VLOOKUP(YEAR($A93),'NY East Load Projections'!$A$4:$EO$14,((MONTH($A93)-1)*12)+VLOOKUP(AB$4,$DE$6:$DF$17,2)+1))*(VLOOKUP($A93,CURVES!$D$9:$K$261,2))*(INDEX(DailyScalarsTable,AB$5/100,MONTH($A93)))*$B93</f>
        <v>-67965.32219558135</v>
      </c>
      <c r="AC93" s="1021">
        <f>(VLOOKUP(YEAR($A93),'NY East Load Projections'!$A$4:$EO$14,((MONTH($A93)-1)*12)+VLOOKUP(AC$4,$DE$6:$DF$17,2)+1))*(VLOOKUP($A93,CURVES!$D$9:$K$261,2))*(INDEX(DailyScalarsTable,AC$5/100,MONTH($A93)))*$B93</f>
        <v>-57911.583253698111</v>
      </c>
      <c r="AD93" s="1021">
        <f>(VLOOKUP(YEAR($A93),'NY East Load Projections'!$A$4:$EO$14,((MONTH($A93)-1)*12)+VLOOKUP(AD$4,$DE$6:$DF$17,2)+1))*(VLOOKUP($A93,CURVES!$D$9:$K$261,2))*(INDEX(DailyScalarsTable,AD$5/100,MONTH($A93)))*$B93</f>
        <v>-51161.391672678787</v>
      </c>
      <c r="AE93" s="1021">
        <f>(VLOOKUP(YEAR($A93),'NY East Load Projections'!$A$4:$EO$14,((MONTH($A93)-1)*12)+VLOOKUP(AE$4,$DE$6:$DF$17,2)+1))*(VLOOKUP($A93,CURVES!$D$9:$K$261,6))*(INDEX(DailyScalarsTable,AE$5/100,MONTH($A93)))*$B93</f>
        <v>-37925.101463730738</v>
      </c>
      <c r="AF93" s="1021"/>
      <c r="AG93" s="1021">
        <f>(VLOOKUP(YEAR($A93),'NY East Load Projections'!$A$4:$EO$14,((MONTH($A93)-1)*12)+VLOOKUP(AG$4,$DE$6:$DF$17,2)+1))*(VLOOKUP($A93,CURVES!$D$9:$T$261,6))*(INDEX(DailyScalarsTable,AG$5/100,MONTH($A93)))*$C93</f>
        <v>-6120.719518542297</v>
      </c>
      <c r="AH93" s="1021">
        <f>(VLOOKUP(YEAR($A93),'NY East Load Projections'!$A$4:$EO$14,((MONTH($A93)-1)*12)+VLOOKUP(AH$4,$DE$6:$DF$17,2)+1))*(VLOOKUP($A93,CURVES!$D$9:$T$261,6))*(INDEX(DailyScalarsTable,AH$5/100,MONTH($A93)))*$C93</f>
        <v>-5805.3298059456065</v>
      </c>
      <c r="AI93" s="1021">
        <f>(VLOOKUP(YEAR($A93),'NY East Load Projections'!$A$4:$EO$14,((MONTH($A93)-1)*12)+VLOOKUP(AI$4,$DE$6:$DF$17,2)+1))*(VLOOKUP($A93,CURVES!$D$9:$T$261,6))*(INDEX(DailyScalarsTable,AI$5/100,MONTH($A93)))*$C93</f>
        <v>-5571.9386176496937</v>
      </c>
      <c r="AJ93" s="1021">
        <f>(VLOOKUP(YEAR($A93),'NY East Load Projections'!$A$4:$EO$14,((MONTH($A93)-1)*12)+VLOOKUP(AJ$4,$DE$6:$DF$17,2)+1))*(VLOOKUP($A93,CURVES!$D$9:$T$261,6))*(INDEX(DailyScalarsTable,AJ$5/100,MONTH($A93)))*$C93</f>
        <v>-5575.2297625191559</v>
      </c>
      <c r="AK93" s="1021">
        <f>(VLOOKUP(YEAR($A93),'NY East Load Projections'!$A$4:$EO$14,((MONTH($A93)-1)*12)+VLOOKUP(AK$4,$DE$6:$DF$17,2)+1))*(VLOOKUP($A93,CURVES!$D$9:$T$261,6))*(INDEX(DailyScalarsTable,AK$5/100,MONTH($A93)))*$C93</f>
        <v>-6068.7386358405683</v>
      </c>
      <c r="AL93" s="1021">
        <f>(VLOOKUP(YEAR($A93),'NY East Load Projections'!$A$4:$EO$14,((MONTH($A93)-1)*12)+VLOOKUP(AL$4,$DE$6:$DF$17,2)+1))*(VLOOKUP($A93,CURVES!$D$9:$T$261,6))*(INDEX(DailyScalarsTable,AL$5/100,MONTH($A93)))*$C93</f>
        <v>-6990.6721536498435</v>
      </c>
      <c r="AM93" s="1021">
        <f>(VLOOKUP(YEAR($A93),'NY East Load Projections'!$A$4:$EO$14,((MONTH($A93)-1)*12)+VLOOKUP(AM$4,$DE$6:$DF$17,2)+1))*(VLOOKUP($A93,CURVES!$D$9:$T$261,6))*(INDEX(DailyScalarsTable,AM$5/100,MONTH($A93)))*$C93</f>
        <v>-9970.7294368499879</v>
      </c>
      <c r="AN93" s="1021">
        <f>(VLOOKUP(YEAR($A93),'NY East Load Projections'!$A$4:$EO$14,((MONTH($A93)-1)*12)+VLOOKUP(AN$4,$DE$6:$DF$17,2)+1))*(VLOOKUP($A93,SatSunCurve,2))*(INDEX(DailyScalarsTable,AN$5/100,MONTH($A93)))*$C93</f>
        <v>-8588.8979035611264</v>
      </c>
      <c r="AO93" s="1021">
        <f>(VLOOKUP(YEAR($A93),'NY East Load Projections'!$A$4:$EO$14,((MONTH($A93)-1)*12)+VLOOKUP(AO$4,$DE$6:$DF$17,2)+1))*(VLOOKUP($A93,SatSunCurve,2))*(INDEX(DailyScalarsTable,AO$5/100,MONTH($A93)))*$C93</f>
        <v>-9397.1648510299874</v>
      </c>
      <c r="AP93" s="1021">
        <f>(VLOOKUP(YEAR($A93),'NY East Load Projections'!$A$4:$EO$14,((MONTH($A93)-1)*12)+VLOOKUP(AP$4,$DE$6:$DF$17,2)+1))*(VLOOKUP($A93,SatSunCurve,2))*(INDEX(DailyScalarsTable,AP$5/100,MONTH($A93)))*$C93</f>
        <v>-9005.826142736496</v>
      </c>
      <c r="AQ93" s="1021">
        <f>(VLOOKUP(YEAR($A93),'NY East Load Projections'!$A$4:$EO$14,((MONTH($A93)-1)*12)+VLOOKUP(AQ$4,$DE$6:$DF$17,2)+1))*(VLOOKUP($A93,SatSunCurve,2))*(INDEX(DailyScalarsTable,AQ$5/100,MONTH($A93)))*$C93</f>
        <v>-9191.4900541212501</v>
      </c>
      <c r="AR93" s="1021">
        <f>(VLOOKUP(YEAR($A93),'NY East Load Projections'!$A$4:$EO$14,((MONTH($A93)-1)*12)+VLOOKUP(AR$4,$DE$6:$DF$17,2)+1))*(VLOOKUP($A93,SatSunCurve,2))*(INDEX(DailyScalarsTable,AR$5/100,MONTH($A93)))*$C93</f>
        <v>-9209.5131033349044</v>
      </c>
      <c r="AS93" s="1021">
        <f>(VLOOKUP(YEAR($A93),'NY East Load Projections'!$A$4:$EO$14,((MONTH($A93)-1)*12)+VLOOKUP(AS$4,$DE$6:$DF$17,2)+1))*(VLOOKUP($A93,SatSunCurve,2))*(INDEX(DailyScalarsTable,AS$5/100,MONTH($A93)))*$C93</f>
        <v>-8492.5303933485029</v>
      </c>
      <c r="AT93" s="1021">
        <f>(VLOOKUP(YEAR($A93),'NY East Load Projections'!$A$4:$EO$14,((MONTH($A93)-1)*12)+VLOOKUP(AT$4,$DE$6:$DF$17,2)+1))*(VLOOKUP($A93,SatSunCurve,2))*(INDEX(DailyScalarsTable,AT$5/100,MONTH($A93)))*$C93</f>
        <v>-8501.6750160266492</v>
      </c>
      <c r="AU93" s="1021">
        <f>(VLOOKUP(YEAR($A93),'NY East Load Projections'!$A$4:$EO$14,((MONTH($A93)-1)*12)+VLOOKUP(AU$4,$DE$6:$DF$17,2)+1))*(VLOOKUP($A93,SatSunCurve,2))*(INDEX(DailyScalarsTable,AU$5/100,MONTH($A93)))*$C93</f>
        <v>-7973.9764955994251</v>
      </c>
      <c r="AV93" s="1021">
        <f>(VLOOKUP(YEAR($A93),'NY East Load Projections'!$A$4:$EO$14,((MONTH($A93)-1)*12)+VLOOKUP(AV$4,$DE$6:$DF$17,2)+1))*(VLOOKUP($A93,SatSunCurve,2))*(INDEX(DailyScalarsTable,AV$5/100,MONTH($A93)))*$C93</f>
        <v>-7452.5985231997474</v>
      </c>
      <c r="AW93" s="1021">
        <f>(VLOOKUP(YEAR($A93),'NY East Load Projections'!$A$4:$EO$14,((MONTH($A93)-1)*12)+VLOOKUP(AW$4,$DE$6:$DF$17,2)+1))*(VLOOKUP($A93,SatSunCurve,2))*(INDEX(DailyScalarsTable,AW$5/100,MONTH($A93)))*$C93</f>
        <v>-6858.3692089899059</v>
      </c>
      <c r="AX93" s="1021">
        <f>(VLOOKUP(YEAR($A93),'NY East Load Projections'!$A$4:$EO$14,((MONTH($A93)-1)*12)+VLOOKUP(AX$4,$DE$6:$DF$17,2)+1))*(VLOOKUP($A93,SatSunCurve,2))*(INDEX(DailyScalarsTable,AX$5/100,MONTH($A93)))*$C93</f>
        <v>-6769.172599045778</v>
      </c>
      <c r="AY93" s="1021">
        <f>(VLOOKUP(YEAR($A93),'NY East Load Projections'!$A$4:$EO$14,((MONTH($A93)-1)*12)+VLOOKUP(AY$4,$DE$6:$DF$17,2)+1))*(VLOOKUP($A93,SatSunCurve,2))*(INDEX(DailyScalarsTable,AY$5/100,MONTH($A93)))*$C93</f>
        <v>-6732.8849312733455</v>
      </c>
      <c r="AZ93" s="1021">
        <f>(VLOOKUP(YEAR($A93),'NY East Load Projections'!$A$4:$EO$14,((MONTH($A93)-1)*12)+VLOOKUP(AZ$4,$DE$6:$DF$17,2)+1))*(VLOOKUP($A93,SatSunCurve,2))*(INDEX(DailyScalarsTable,AZ$5/100,MONTH($A93)))*$C93</f>
        <v>-7384.9210315619302</v>
      </c>
      <c r="BA93" s="1021">
        <f>(VLOOKUP(YEAR($A93),'NY East Load Projections'!$A$4:$EO$14,((MONTH($A93)-1)*12)+VLOOKUP(BA$4,$DE$6:$DF$17,2)+1))*(VLOOKUP($A93,SatSunCurve,2))*(INDEX(DailyScalarsTable,BA$5/100,MONTH($A93)))*$C93</f>
        <v>-8738.5481057028446</v>
      </c>
      <c r="BB93" s="1021">
        <f>(VLOOKUP(YEAR($A93),'NY East Load Projections'!$A$4:$EO$14,((MONTH($A93)-1)*12)+VLOOKUP(BB$4,$DE$6:$DF$17,2)+1))*(VLOOKUP($A93,SatSunCurve,2))*(INDEX(DailyScalarsTable,BB$5/100,MONTH($A93)))*$C93</f>
        <v>-7445.902407165474</v>
      </c>
      <c r="BC93" s="1021">
        <f>(VLOOKUP(YEAR($A93),'NY East Load Projections'!$A$4:$EO$14,((MONTH($A93)-1)*12)+VLOOKUP(BC$4,$DE$6:$DF$17,2)+1))*(VLOOKUP($A93,SatSunCurve,2))*(INDEX(DailyScalarsTable,BC$5/100,MONTH($A93)))*$C93</f>
        <v>-6578.0057806519817</v>
      </c>
      <c r="BD93" s="1021">
        <f>(VLOOKUP(YEAR($A93),'NY East Load Projections'!$A$4:$EO$14,((MONTH($A93)-1)*12)+VLOOKUP(BD$4,$DE$6:$DF$17,2)+1))*(VLOOKUP($A93,CURVES!$D$9:$T$261,6))*(INDEX(DailyScalarsTable,BD$5/100,MONTH($A93)))*$C93</f>
        <v>-6949.3816185308042</v>
      </c>
      <c r="BE93" s="1021"/>
      <c r="BF93" s="1021">
        <f>(VLOOKUP(YEAR($A93),'NY East Load Projections'!$A$4:$EO$14,((MONTH($A93)-1)*12)+VLOOKUP(BF$4,$DE$6:$DF$17,2)+1))*(VLOOKUP($A93,CURVES!$D$9:$T$261,6))*(INDEX(DailyScalarsTable,BF$5/100,MONTH($A93)))*$D93</f>
        <v>-6120.719518542297</v>
      </c>
      <c r="BG93" s="1021">
        <f>(VLOOKUP(YEAR($A93),'NY East Load Projections'!$A$4:$EO$14,((MONTH($A93)-1)*12)+VLOOKUP(BG$4,$DE$6:$DF$17,2)+1))*(VLOOKUP($A93,CURVES!$D$9:$T$261,6))*(INDEX(DailyScalarsTable,BG$5/100,MONTH($A93)))*$D93</f>
        <v>-5805.3298059456065</v>
      </c>
      <c r="BH93" s="1021">
        <f>(VLOOKUP(YEAR($A93),'NY East Load Projections'!$A$4:$EO$14,((MONTH($A93)-1)*12)+VLOOKUP(BH$4,$DE$6:$DF$17,2)+1))*(VLOOKUP($A93,CURVES!$D$9:$T$261,6))*(INDEX(DailyScalarsTable,BH$5/100,MONTH($A93)))*$D93</f>
        <v>-5571.9386176496937</v>
      </c>
      <c r="BI93" s="1021">
        <f>(VLOOKUP(YEAR($A93),'NY East Load Projections'!$A$4:$EO$14,((MONTH($A93)-1)*12)+VLOOKUP(BI$4,$DE$6:$DF$17,2)+1))*(VLOOKUP($A93,CURVES!$D$9:$T$261,6))*(INDEX(DailyScalarsTable,BI$5/100,MONTH($A93)))*$D93</f>
        <v>-5575.2297625191559</v>
      </c>
      <c r="BJ93" s="1021">
        <f>(VLOOKUP(YEAR($A93),'NY East Load Projections'!$A$4:$EO$14,((MONTH($A93)-1)*12)+VLOOKUP(BJ$4,$DE$6:$DF$17,2)+1))*(VLOOKUP($A93,CURVES!$D$9:$T$261,6))*(INDEX(DailyScalarsTable,BJ$5/100,MONTH($A93)))*$D93</f>
        <v>-6068.7386358405683</v>
      </c>
      <c r="BK93" s="1021">
        <f>(VLOOKUP(YEAR($A93),'NY East Load Projections'!$A$4:$EO$14,((MONTH($A93)-1)*12)+VLOOKUP(BK$4,$DE$6:$DF$17,2)+1))*(VLOOKUP($A93,CURVES!$D$9:$T$261,6))*(INDEX(DailyScalarsTable,BK$5/100,MONTH($A93)))*$D93</f>
        <v>-6990.6721536498435</v>
      </c>
      <c r="BL93" s="1021">
        <f>(VLOOKUP(YEAR($A93),'NY East Load Projections'!$A$4:$EO$14,((MONTH($A93)-1)*12)+VLOOKUP(BL$4,$DE$6:$DF$17,2)+1))*(VLOOKUP($A93,CURVES!$D$9:$T$261,6))*(INDEX(DailyScalarsTable,BL$5/100,MONTH($A93)))*$D93</f>
        <v>-9970.7294368499879</v>
      </c>
      <c r="BM93" s="1021">
        <f>(VLOOKUP(YEAR($A93),'NY East Load Projections'!$A$4:$EO$14,((MONTH($A93)-1)*12)+VLOOKUP(BM$4,$DE$6:$DF$17,2)+1))*(VLOOKUP($A93,SatSunCurve,6))*(INDEX(DailyScalarsTable,BM$5/100,MONTH($A93)))*$D93</f>
        <v>-6980.4859592941038</v>
      </c>
      <c r="BN93" s="1021">
        <f>(VLOOKUP(YEAR($A93),'NY East Load Projections'!$A$4:$EO$14,((MONTH($A93)-1)*12)+VLOOKUP(BN$4,$DE$6:$DF$17,2)+1))*(VLOOKUP($A93,SatSunCurve,6))*(INDEX(DailyScalarsTable,BN$5/100,MONTH($A93)))*$D93</f>
        <v>-7637.3916696098086</v>
      </c>
      <c r="BO93" s="1021">
        <f>(VLOOKUP(YEAR($A93),'NY East Load Projections'!$A$4:$EO$14,((MONTH($A93)-1)*12)+VLOOKUP(BO$4,$DE$6:$DF$17,2)+1))*(VLOOKUP($A93,SatSunCurve,6))*(INDEX(DailyScalarsTable,BO$5/100,MONTH($A93)))*$D93</f>
        <v>-7319.3375502986009</v>
      </c>
      <c r="BP93" s="1021">
        <f>(VLOOKUP(YEAR($A93),'NY East Load Projections'!$A$4:$EO$14,((MONTH($A93)-1)*12)+VLOOKUP(BP$4,$DE$6:$DF$17,2)+1))*(VLOOKUP($A93,SatSunCurve,6))*(INDEX(DailyScalarsTable,BP$5/100,MONTH($A93)))*$D93</f>
        <v>-7470.2328503849531</v>
      </c>
      <c r="BQ93" s="1021">
        <f>(VLOOKUP(YEAR($A93),'NY East Load Projections'!$A$4:$EO$14,((MONTH($A93)-1)*12)+VLOOKUP(BQ$4,$DE$6:$DF$17,2)+1))*(VLOOKUP($A93,SatSunCurve,6))*(INDEX(DailyScalarsTable,BQ$5/100,MONTH($A93)))*$D93</f>
        <v>-7484.8807881520825</v>
      </c>
      <c r="BR93" s="1021">
        <f>(VLOOKUP(YEAR($A93),'NY East Load Projections'!$A$4:$EO$14,((MONTH($A93)-1)*12)+VLOOKUP(BR$4,$DE$6:$DF$17,2)+1))*(VLOOKUP($A93,SatSunCurve,6))*(INDEX(DailyScalarsTable,BR$5/100,MONTH($A93)))*$D93</f>
        <v>-6902.1648452787158</v>
      </c>
      <c r="BS93" s="1021">
        <f>(VLOOKUP(YEAR($A93),'NY East Load Projections'!$A$4:$EO$14,((MONTH($A93)-1)*12)+VLOOKUP(BS$4,$DE$6:$DF$17,2)+1))*(VLOOKUP($A93,SatSunCurve,6))*(INDEX(DailyScalarsTable,BS$5/100,MONTH($A93)))*$D93</f>
        <v>-6909.5969874376506</v>
      </c>
      <c r="BT93" s="1021">
        <f>(VLOOKUP(YEAR($A93),'NY East Load Projections'!$A$4:$EO$14,((MONTH($A93)-1)*12)+VLOOKUP(BT$4,$DE$6:$DF$17,2)+1))*(VLOOKUP($A93,SatSunCurve,6))*(INDEX(DailyScalarsTable,BT$5/100,MONTH($A93)))*$D93</f>
        <v>-6480.7186663837674</v>
      </c>
      <c r="BU93" s="1021">
        <f>(VLOOKUP(YEAR($A93),'NY East Load Projections'!$A$4:$EO$14,((MONTH($A93)-1)*12)+VLOOKUP(BU$4,$DE$6:$DF$17,2)+1))*(VLOOKUP($A93,SatSunCurve,6))*(INDEX(DailyScalarsTable,BU$5/100,MONTH($A93)))*$D93</f>
        <v>-6056.9772671162109</v>
      </c>
      <c r="BV93" s="1021">
        <f>(VLOOKUP(YEAR($A93),'NY East Load Projections'!$A$4:$EO$14,((MONTH($A93)-1)*12)+VLOOKUP(BV$4,$DE$6:$DF$17,2)+1))*(VLOOKUP($A93,SatSunCurve,6))*(INDEX(DailyScalarsTable,BV$5/100,MONTH($A93)))*$D93</f>
        <v>-5574.0271341634225</v>
      </c>
      <c r="BW93" s="1021">
        <f>(VLOOKUP(YEAR($A93),'NY East Load Projections'!$A$4:$EO$14,((MONTH($A93)-1)*12)+VLOOKUP(BW$4,$DE$6:$DF$17,2)+1))*(VLOOKUP($A93,SatSunCurve,6))*(INDEX(DailyScalarsTable,BW$5/100,MONTH($A93)))*$D93</f>
        <v>-5501.5340517769782</v>
      </c>
      <c r="BX93" s="1021">
        <f>(VLOOKUP(YEAR($A93),'NY East Load Projections'!$A$4:$EO$14,((MONTH($A93)-1)*12)+VLOOKUP(BX$4,$DE$6:$DF$17,2)+1))*(VLOOKUP($A93,SatSunCurve,6))*(INDEX(DailyScalarsTable,BX$5/100,MONTH($A93)))*$D93</f>
        <v>-5472.0418447179127</v>
      </c>
      <c r="BY93" s="1021">
        <f>(VLOOKUP(YEAR($A93),'NY East Load Projections'!$A$4:$EO$14,((MONTH($A93)-1)*12)+VLOOKUP(BY$4,$DE$6:$DF$17,2)+1))*(VLOOKUP($A93,SatSunCurve,6))*(INDEX(DailyScalarsTable,BY$5/100,MONTH($A93)))*$D93</f>
        <v>-6001.9734953351817</v>
      </c>
      <c r="BZ93" s="1021">
        <f>(VLOOKUP(YEAR($A93),'NY East Load Projections'!$A$4:$EO$14,((MONTH($A93)-1)*12)+VLOOKUP(BZ$4,$DE$6:$DF$17,2)+1))*(VLOOKUP($A93,SatSunCurve,6))*(INDEX(DailyScalarsTable,BZ$5/100,MONTH($A93)))*$D93</f>
        <v>-7102.1117076247101</v>
      </c>
      <c r="CA93" s="1021">
        <f>(VLOOKUP(YEAR($A93),'NY East Load Projections'!$A$4:$EO$14,((MONTH($A93)-1)*12)+VLOOKUP(CA$4,$DE$6:$DF$17,2)+1))*(VLOOKUP($A93,SatSunCurve,6))*(INDEX(DailyScalarsTable,CA$5/100,MONTH($A93)))*$D93</f>
        <v>-6051.5351085897164</v>
      </c>
      <c r="CB93" s="1021">
        <f>(VLOOKUP(YEAR($A93),'NY East Load Projections'!$A$4:$EO$14,((MONTH($A93)-1)*12)+VLOOKUP(CB$4,$DE$6:$DF$17,2)+1))*(VLOOKUP($A93,SatSunCurve,6))*(INDEX(DailyScalarsTable,CB$5/100,MONTH($A93)))*$D93</f>
        <v>-5346.1663542371643</v>
      </c>
      <c r="CC93" s="1021">
        <f>(VLOOKUP(YEAR($A93),'NY East Load Projections'!$A$4:$EO$14,((MONTH($A93)-1)*12)+VLOOKUP(CC$4,$DE$6:$DF$17,2)+1))*(VLOOKUP($A93,CURVES!$D$9:$T$261,6))*(INDEX(DailyScalarsTable,CC$5/100,MONTH($A93)))*$D93</f>
        <v>-6949.3816185308042</v>
      </c>
      <c r="CE93" s="1021">
        <f>(VLOOKUP(YEAR($A93),'NY East Load Projections'!$A$4:$EO$14,((MONTH($A93)-1)*12)+VLOOKUP(CE$4,$DE$6:$DF$17,2)+1))*(VLOOKUP($A93,CURVES!$D$9:$T$261,6))*(INDEX(DailyScalarsTable,CE$5/100,MONTH($A93)))*$E93</f>
        <v>0</v>
      </c>
      <c r="CF93" s="1021">
        <f>(VLOOKUP(YEAR($A93),'NY East Load Projections'!$A$4:$EO$14,((MONTH($A93)-1)*12)+VLOOKUP(CF$4,$DE$6:$DF$17,2)+1))*(VLOOKUP($A93,CURVES!$D$9:$T$261,6))*(INDEX(DailyScalarsTable,CF$5/100,MONTH($A93)))*$E93</f>
        <v>0</v>
      </c>
      <c r="CG93" s="1021">
        <f>(VLOOKUP(YEAR($A93),'NY East Load Projections'!$A$4:$EO$14,((MONTH($A93)-1)*12)+VLOOKUP(CG$4,$DE$6:$DF$17,2)+1))*(VLOOKUP($A93,CURVES!$D$9:$T$261,6))*(INDEX(DailyScalarsTable,CG$5/100,MONTH($A93)))*$E93</f>
        <v>0</v>
      </c>
      <c r="CH93" s="1021">
        <f>(VLOOKUP(YEAR($A93),'NY East Load Projections'!$A$4:$EO$14,((MONTH($A93)-1)*12)+VLOOKUP(CH$4,$DE$6:$DF$17,2)+1))*(VLOOKUP($A93,CURVES!$D$9:$T$261,6))*(INDEX(DailyScalarsTable,CH$5/100,MONTH($A93)))*$E93</f>
        <v>0</v>
      </c>
      <c r="CI93" s="1021">
        <f>(VLOOKUP(YEAR($A93),'NY East Load Projections'!$A$4:$EO$14,((MONTH($A93)-1)*12)+VLOOKUP(CI$4,$DE$6:$DF$17,2)+1))*(VLOOKUP($A93,CURVES!$D$9:$T$261,6))*(INDEX(DailyScalarsTable,CI$5/100,MONTH($A93)))*$E93</f>
        <v>0</v>
      </c>
      <c r="CJ93" s="1021">
        <f>(VLOOKUP(YEAR($A93),'NY East Load Projections'!$A$4:$EO$14,((MONTH($A93)-1)*12)+VLOOKUP(CJ$4,$DE$6:$DF$17,2)+1))*(VLOOKUP($A93,CURVES!$D$9:$T$261,6))*(INDEX(DailyScalarsTable,CJ$5/100,MONTH($A93)))*$E93</f>
        <v>0</v>
      </c>
      <c r="CK93" s="1021">
        <f>(VLOOKUP(YEAR($A93),'NY East Load Projections'!$A$4:$EO$14,((MONTH($A93)-1)*12)+VLOOKUP(CK$4,$DE$6:$DF$17,2)+1))*(VLOOKUP($A93,CURVES!$D$9:$T$261,6))*(INDEX(DailyScalarsTable,CK$5/100,MONTH($A93)))*$E93</f>
        <v>0</v>
      </c>
      <c r="CL93" s="1021">
        <f>(VLOOKUP(YEAR($A93),'NY East Load Projections'!$A$4:$EO$14,((MONTH($A93)-1)*12)+VLOOKUP(CL$4,$DE$6:$DF$17,2)+1))*(VLOOKUP($A93,SatSunCurve,6))*(INDEX(DailyScalarsTable,CL$5/100,MONTH($A93)))*$E93</f>
        <v>0</v>
      </c>
      <c r="CM93" s="1021">
        <f>(VLOOKUP(YEAR($A93),'NY East Load Projections'!$A$4:$EO$14,((MONTH($A93)-1)*12)+VLOOKUP(CM$4,$DE$6:$DF$17,2)+1))*(VLOOKUP($A93,SatSunCurve,6))*(INDEX(DailyScalarsTable,CM$5/100,MONTH($A93)))*$E93</f>
        <v>0</v>
      </c>
      <c r="CN93" s="1021">
        <f>(VLOOKUP(YEAR($A93),'NY East Load Projections'!$A$4:$EO$14,((MONTH($A93)-1)*12)+VLOOKUP(CN$4,$DE$6:$DF$17,2)+1))*(VLOOKUP($A93,SatSunCurve,6))*(INDEX(DailyScalarsTable,CN$5/100,MONTH($A93)))*$E93</f>
        <v>0</v>
      </c>
      <c r="CO93" s="1021">
        <f>(VLOOKUP(YEAR($A93),'NY East Load Projections'!$A$4:$EO$14,((MONTH($A93)-1)*12)+VLOOKUP(CO$4,$DE$6:$DF$17,2)+1))*(VLOOKUP($A93,SatSunCurve,6))*(INDEX(DailyScalarsTable,CO$5/100,MONTH($A93)))*$E93</f>
        <v>0</v>
      </c>
      <c r="CP93" s="1021">
        <f>(VLOOKUP(YEAR($A93),'NY East Load Projections'!$A$4:$EO$14,((MONTH($A93)-1)*12)+VLOOKUP(CP$4,$DE$6:$DF$17,2)+1))*(VLOOKUP($A93,SatSunCurve,6))*(INDEX(DailyScalarsTable,CP$5/100,MONTH($A93)))*$E93</f>
        <v>0</v>
      </c>
      <c r="CQ93" s="1021">
        <f>(VLOOKUP(YEAR($A93),'NY East Load Projections'!$A$4:$EO$14,((MONTH($A93)-1)*12)+VLOOKUP(CQ$4,$DE$6:$DF$17,2)+1))*(VLOOKUP($A93,SatSunCurve,6))*(INDEX(DailyScalarsTable,CQ$5/100,MONTH($A93)))*$E93</f>
        <v>0</v>
      </c>
      <c r="CR93" s="1021">
        <f>(VLOOKUP(YEAR($A93),'NY East Load Projections'!$A$4:$EO$14,((MONTH($A93)-1)*12)+VLOOKUP(CR$4,$DE$6:$DF$17,2)+1))*(VLOOKUP($A93,SatSunCurve,6))*(INDEX(DailyScalarsTable,CR$5/100,MONTH($A93)))*$E93</f>
        <v>0</v>
      </c>
      <c r="CS93" s="1021">
        <f>(VLOOKUP(YEAR($A93),'NY East Load Projections'!$A$4:$EO$14,((MONTH($A93)-1)*12)+VLOOKUP(CS$4,$DE$6:$DF$17,2)+1))*(VLOOKUP($A93,SatSunCurve,6))*(INDEX(DailyScalarsTable,CS$5/100,MONTH($A93)))*$E93</f>
        <v>0</v>
      </c>
      <c r="CT93" s="1021">
        <f>(VLOOKUP(YEAR($A93),'NY East Load Projections'!$A$4:$EO$14,((MONTH($A93)-1)*12)+VLOOKUP(CT$4,$DE$6:$DF$17,2)+1))*(VLOOKUP($A93,SatSunCurve,6))*(INDEX(DailyScalarsTable,CT$5/100,MONTH($A93)))*$E93</f>
        <v>0</v>
      </c>
      <c r="CU93" s="1021">
        <f>(VLOOKUP(YEAR($A93),'NY East Load Projections'!$A$4:$EO$14,((MONTH($A93)-1)*12)+VLOOKUP(CU$4,$DE$6:$DF$17,2)+1))*(VLOOKUP($A93,SatSunCurve,6))*(INDEX(DailyScalarsTable,CU$5/100,MONTH($A93)))*$E93</f>
        <v>0</v>
      </c>
      <c r="CV93" s="1021">
        <f>(VLOOKUP(YEAR($A93),'NY East Load Projections'!$A$4:$EO$14,((MONTH($A93)-1)*12)+VLOOKUP(CV$4,$DE$6:$DF$17,2)+1))*(VLOOKUP($A93,SatSunCurve,6))*(INDEX(DailyScalarsTable,CV$5/100,MONTH($A93)))*$E93</f>
        <v>0</v>
      </c>
      <c r="CW93" s="1021">
        <f>(VLOOKUP(YEAR($A93),'NY East Load Projections'!$A$4:$EO$14,((MONTH($A93)-1)*12)+VLOOKUP(CW$4,$DE$6:$DF$17,2)+1))*(VLOOKUP($A93,SatSunCurve,6))*(INDEX(DailyScalarsTable,CW$5/100,MONTH($A93)))*$E93</f>
        <v>0</v>
      </c>
      <c r="CX93" s="1021">
        <f>(VLOOKUP(YEAR($A93),'NY East Load Projections'!$A$4:$EO$14,((MONTH($A93)-1)*12)+VLOOKUP(CX$4,$DE$6:$DF$17,2)+1))*(VLOOKUP($A93,SatSunCurve,6))*(INDEX(DailyScalarsTable,CX$5/100,MONTH($A93)))*$E93</f>
        <v>0</v>
      </c>
      <c r="CY93" s="1021">
        <f>(VLOOKUP(YEAR($A93),'NY East Load Projections'!$A$4:$EO$14,((MONTH($A93)-1)*12)+VLOOKUP(CY$4,$DE$6:$DF$17,2)+1))*(VLOOKUP($A93,SatSunCurve,6))*(INDEX(DailyScalarsTable,CY$5/100,MONTH($A93)))*$E93</f>
        <v>0</v>
      </c>
      <c r="CZ93" s="1021">
        <f>(VLOOKUP(YEAR($A93),'NY East Load Projections'!$A$4:$EO$14,((MONTH($A93)-1)*12)+VLOOKUP(CZ$4,$DE$6:$DF$17,2)+1))*(VLOOKUP($A93,SatSunCurve,6))*(INDEX(DailyScalarsTable,CZ$5/100,MONTH($A93)))*$E93</f>
        <v>0</v>
      </c>
      <c r="DA93" s="1021">
        <f>(VLOOKUP(YEAR($A93),'NY East Load Projections'!$A$4:$EO$14,((MONTH($A93)-1)*12)+VLOOKUP(DA$4,$DE$6:$DF$17,2)+1))*(VLOOKUP($A93,SatSunCurve,6))*(INDEX(DailyScalarsTable,DA$5/100,MONTH($A93)))*$E93</f>
        <v>0</v>
      </c>
      <c r="DB93" s="1021">
        <f>(VLOOKUP(YEAR($A93),'NY East Load Projections'!$A$4:$EO$14,((MONTH($A93)-1)*12)+VLOOKUP(DB$4,$DE$6:$DF$17,2)+1))*(VLOOKUP($A93,CURVES!$D$9:$T$261,6))*(INDEX(DailyScalarsTable,DB$5/100,MONTH($A93)))*$E93</f>
        <v>0</v>
      </c>
      <c r="DH93" s="1021">
        <f t="shared" si="2"/>
        <v>-1654864.8248983989</v>
      </c>
      <c r="DI93">
        <f ca="1">CALC!J113</f>
        <v>0.5510607206691106</v>
      </c>
      <c r="DJ93" s="1029">
        <f t="shared" ca="1" si="3"/>
        <v>-911931.00301847328</v>
      </c>
    </row>
    <row r="94" spans="1:114" x14ac:dyDescent="0.25">
      <c r="A94" s="244">
        <v>39569</v>
      </c>
      <c r="B94" s="13">
        <v>21</v>
      </c>
      <c r="C94" s="210">
        <v>5</v>
      </c>
      <c r="D94" s="210">
        <v>4</v>
      </c>
      <c r="E94" s="210">
        <v>1</v>
      </c>
      <c r="F94" s="13">
        <v>31</v>
      </c>
      <c r="H94" s="1021">
        <f>(VLOOKUP(YEAR($A94),'NY East Load Projections'!$A$4:$EO$14,((MONTH($A94)-1)*12)+VLOOKUP(H$4,$DE$6:$DF$17,2)+1))*(VLOOKUP($A94,CURVES!$D$9:$K$261,6))*(INDEX(DailyScalarsTable,H$5/100,MONTH($A94)))*$B94</f>
        <v>-33819.640907448906</v>
      </c>
      <c r="I94" s="1021">
        <f>(VLOOKUP(YEAR($A94),'NY East Load Projections'!$A$4:$EO$14,((MONTH($A94)-1)*12)+VLOOKUP(I$4,$DE$6:$DF$17,2)+1))*(VLOOKUP($A94,CURVES!$D$9:$K$261,6))*(INDEX(DailyScalarsTable,I$5/100,MONTH($A94)))*$B94</f>
        <v>-30463.425558796836</v>
      </c>
      <c r="J94" s="1021">
        <f>(VLOOKUP(YEAR($A94),'NY East Load Projections'!$A$4:$EO$14,((MONTH($A94)-1)*12)+VLOOKUP(J$4,$DE$6:$DF$17,2)+1))*(VLOOKUP($A94,CURVES!$D$9:$K$261,6))*(INDEX(DailyScalarsTable,J$5/100,MONTH($A94)))*$B94</f>
        <v>-28829.712267389496</v>
      </c>
      <c r="K94" s="1021">
        <f>(VLOOKUP(YEAR($A94),'NY East Load Projections'!$A$4:$EO$14,((MONTH($A94)-1)*12)+VLOOKUP(K$4,$DE$6:$DF$17,2)+1))*(VLOOKUP($A94,CURVES!$D$9:$K$261,6))*(INDEX(DailyScalarsTable,K$5/100,MONTH($A94)))*$B94</f>
        <v>-27950.703485599664</v>
      </c>
      <c r="L94" s="1021">
        <f>(VLOOKUP(YEAR($A94),'NY East Load Projections'!$A$4:$EO$14,((MONTH($A94)-1)*12)+VLOOKUP(L$4,$DE$6:$DF$17,2)+1))*(VLOOKUP($A94,CURVES!$D$9:$K$261,6))*(INDEX(DailyScalarsTable,L$5/100,MONTH($A94)))*$B94</f>
        <v>-32613.760735077401</v>
      </c>
      <c r="M94" s="1021">
        <f>(VLOOKUP(YEAR($A94),'NY East Load Projections'!$A$4:$EO$14,((MONTH($A94)-1)*12)+VLOOKUP(M$4,$DE$6:$DF$17,2)+1))*(VLOOKUP($A94,CURVES!$D$9:$K$261,6))*(INDEX(DailyScalarsTable,M$5/100,MONTH($A94)))*$B94</f>
        <v>-39542.270938186557</v>
      </c>
      <c r="N94" s="1021">
        <f>(VLOOKUP(YEAR($A94),'NY East Load Projections'!$A$4:$EO$14,((MONTH($A94)-1)*12)+VLOOKUP(N$4,$DE$6:$DF$17,2)+1))*(VLOOKUP($A94,CURVES!$D$9:$K$261,6))*(INDEX(DailyScalarsTable,N$5/100,MONTH($A94)))*$B94</f>
        <v>-47312.920502999616</v>
      </c>
      <c r="O94" s="1021">
        <f>(VLOOKUP(YEAR($A94),'NY East Load Projections'!$A$4:$EO$14,((MONTH($A94)-1)*12)+VLOOKUP(O$4,$DE$6:$DF$17,2)+1))*(VLOOKUP($A94,CURVES!$D$9:$K$261,2))*(INDEX(DailyScalarsTable,O$5/100,MONTH($A94)))*$B94</f>
        <v>-60147.032908581685</v>
      </c>
      <c r="P94" s="1021">
        <f>(VLOOKUP(YEAR($A94),'NY East Load Projections'!$A$4:$EO$14,((MONTH($A94)-1)*12)+VLOOKUP(P$4,$DE$6:$DF$17,2)+1))*(VLOOKUP($A94,CURVES!$D$9:$K$261,2))*(INDEX(DailyScalarsTable,P$5/100,MONTH($A94)))*$B94</f>
        <v>-71868.030456622699</v>
      </c>
      <c r="Q94" s="1021">
        <f>(VLOOKUP(YEAR($A94),'NY East Load Projections'!$A$4:$EO$14,((MONTH($A94)-1)*12)+VLOOKUP(Q$4,$DE$6:$DF$17,2)+1))*(VLOOKUP($A94,CURVES!$D$9:$K$261,2))*(INDEX(DailyScalarsTable,Q$5/100,MONTH($A94)))*$B94</f>
        <v>-73142.726335071682</v>
      </c>
      <c r="R94" s="1021">
        <f>(VLOOKUP(YEAR($A94),'NY East Load Projections'!$A$4:$EO$14,((MONTH($A94)-1)*12)+VLOOKUP(R$4,$DE$6:$DF$17,2)+1))*(VLOOKUP($A94,CURVES!$D$9:$K$261,2))*(INDEX(DailyScalarsTable,R$5/100,MONTH($A94)))*$B94</f>
        <v>-77587.24116789375</v>
      </c>
      <c r="S94" s="1021">
        <f>(VLOOKUP(YEAR($A94),'NY East Load Projections'!$A$4:$EO$14,((MONTH($A94)-1)*12)+VLOOKUP(S$4,$DE$6:$DF$17,2)+1))*(VLOOKUP($A94,CURVES!$D$9:$K$261,2))*(INDEX(DailyScalarsTable,S$5/100,MONTH($A94)))*$B94</f>
        <v>-77000.655453917207</v>
      </c>
      <c r="T94" s="1021">
        <f>(VLOOKUP(YEAR($A94),'NY East Load Projections'!$A$4:$EO$14,((MONTH($A94)-1)*12)+VLOOKUP(T$4,$DE$6:$DF$17,2)+1))*(VLOOKUP($A94,CURVES!$D$9:$K$261,2))*(INDEX(DailyScalarsTable,T$5/100,MONTH($A94)))*$B94</f>
        <v>-75019.813117074213</v>
      </c>
      <c r="U94" s="1021">
        <f>(VLOOKUP(YEAR($A94),'NY East Load Projections'!$A$4:$EO$14,((MONTH($A94)-1)*12)+VLOOKUP(U$4,$DE$6:$DF$17,2)+1))*(VLOOKUP($A94,CURVES!$D$9:$K$261,2))*(INDEX(DailyScalarsTable,U$5/100,MONTH($A94)))*$B94</f>
        <v>-75381.382489995449</v>
      </c>
      <c r="V94" s="1021">
        <f>(VLOOKUP(YEAR($A94),'NY East Load Projections'!$A$4:$EO$14,((MONTH($A94)-1)*12)+VLOOKUP(V$4,$DE$6:$DF$17,2)+1))*(VLOOKUP($A94,CURVES!$D$9:$K$261,2))*(INDEX(DailyScalarsTable,V$5/100,MONTH($A94)))*$B94</f>
        <v>-73118.658027198107</v>
      </c>
      <c r="W94" s="1021">
        <f>(VLOOKUP(YEAR($A94),'NY East Load Projections'!$A$4:$EO$14,((MONTH($A94)-1)*12)+VLOOKUP(W$4,$DE$6:$DF$17,2)+1))*(VLOOKUP($A94,CURVES!$D$9:$K$261,2))*(INDEX(DailyScalarsTable,W$5/100,MONTH($A94)))*$B94</f>
        <v>-70272.757156463325</v>
      </c>
      <c r="X94" s="1021">
        <f>(VLOOKUP(YEAR($A94),'NY East Load Projections'!$A$4:$EO$14,((MONTH($A94)-1)*12)+VLOOKUP(X$4,$DE$6:$DF$17,2)+1))*(VLOOKUP($A94,CURVES!$D$9:$K$261,2))*(INDEX(DailyScalarsTable,X$5/100,MONTH($A94)))*$B94</f>
        <v>-68151.444630567275</v>
      </c>
      <c r="Y94" s="1021">
        <f>(VLOOKUP(YEAR($A94),'NY East Load Projections'!$A$4:$EO$14,((MONTH($A94)-1)*12)+VLOOKUP(Y$4,$DE$6:$DF$17,2)+1))*(VLOOKUP($A94,CURVES!$D$9:$K$261,2))*(INDEX(DailyScalarsTable,Y$5/100,MONTH($A94)))*$B94</f>
        <v>-65495.468894186888</v>
      </c>
      <c r="Z94" s="1021">
        <f>(VLOOKUP(YEAR($A94),'NY East Load Projections'!$A$4:$EO$14,((MONTH($A94)-1)*12)+VLOOKUP(Z$4,$DE$6:$DF$17,2)+1))*(VLOOKUP($A94,CURVES!$D$9:$K$261,2))*(INDEX(DailyScalarsTable,Z$5/100,MONTH($A94)))*$B94</f>
        <v>-56746.372350816215</v>
      </c>
      <c r="AA94" s="1021">
        <f>(VLOOKUP(YEAR($A94),'NY East Load Projections'!$A$4:$EO$14,((MONTH($A94)-1)*12)+VLOOKUP(AA$4,$DE$6:$DF$17,2)+1))*(VLOOKUP($A94,CURVES!$D$9:$K$261,2))*(INDEX(DailyScalarsTable,AA$5/100,MONTH($A94)))*$B94</f>
        <v>-56601.298045887888</v>
      </c>
      <c r="AB94" s="1021">
        <f>(VLOOKUP(YEAR($A94),'NY East Load Projections'!$A$4:$EO$14,((MONTH($A94)-1)*12)+VLOOKUP(AB$4,$DE$6:$DF$17,2)+1))*(VLOOKUP($A94,CURVES!$D$9:$K$261,2))*(INDEX(DailyScalarsTable,AB$5/100,MONTH($A94)))*$B94</f>
        <v>-66873.230749984083</v>
      </c>
      <c r="AC94" s="1021">
        <f>(VLOOKUP(YEAR($A94),'NY East Load Projections'!$A$4:$EO$14,((MONTH($A94)-1)*12)+VLOOKUP(AC$4,$DE$6:$DF$17,2)+1))*(VLOOKUP($A94,CURVES!$D$9:$K$261,2))*(INDEX(DailyScalarsTable,AC$5/100,MONTH($A94)))*$B94</f>
        <v>-63784.607033985114</v>
      </c>
      <c r="AD94" s="1021">
        <f>(VLOOKUP(YEAR($A94),'NY East Load Projections'!$A$4:$EO$14,((MONTH($A94)-1)*12)+VLOOKUP(AD$4,$DE$6:$DF$17,2)+1))*(VLOOKUP($A94,CURVES!$D$9:$K$261,2))*(INDEX(DailyScalarsTable,AD$5/100,MONTH($A94)))*$B94</f>
        <v>-51168.534917168501</v>
      </c>
      <c r="AE94" s="1021">
        <f>(VLOOKUP(YEAR($A94),'NY East Load Projections'!$A$4:$EO$14,((MONTH($A94)-1)*12)+VLOOKUP(AE$4,$DE$6:$DF$17,2)+1))*(VLOOKUP($A94,CURVES!$D$9:$K$261,6))*(INDEX(DailyScalarsTable,AE$5/100,MONTH($A94)))*$B94</f>
        <v>-42037.515924434323</v>
      </c>
      <c r="AF94" s="1021"/>
      <c r="AG94" s="1021">
        <f>(VLOOKUP(YEAR($A94),'NY East Load Projections'!$A$4:$EO$14,((MONTH($A94)-1)*12)+VLOOKUP(AG$4,$DE$6:$DF$17,2)+1))*(VLOOKUP($A94,CURVES!$D$9:$T$261,6))*(INDEX(DailyScalarsTable,AG$5/100,MONTH($A94)))*$C94</f>
        <v>-8409.0177846212537</v>
      </c>
      <c r="AH94" s="1021">
        <f>(VLOOKUP(YEAR($A94),'NY East Load Projections'!$A$4:$EO$14,((MONTH($A94)-1)*12)+VLOOKUP(AH$4,$DE$6:$DF$17,2)+1))*(VLOOKUP($A94,CURVES!$D$9:$T$261,6))*(INDEX(DailyScalarsTable,AH$5/100,MONTH($A94)))*$C94</f>
        <v>-7574.5182512563715</v>
      </c>
      <c r="AI94" s="1021">
        <f>(VLOOKUP(YEAR($A94),'NY East Load Projections'!$A$4:$EO$14,((MONTH($A94)-1)*12)+VLOOKUP(AI$4,$DE$6:$DF$17,2)+1))*(VLOOKUP($A94,CURVES!$D$9:$T$261,6))*(INDEX(DailyScalarsTable,AI$5/100,MONTH($A94)))*$C94</f>
        <v>-7168.3068381898702</v>
      </c>
      <c r="AJ94" s="1021">
        <f>(VLOOKUP(YEAR($A94),'NY East Load Projections'!$A$4:$EO$14,((MONTH($A94)-1)*12)+VLOOKUP(AJ$4,$DE$6:$DF$17,2)+1))*(VLOOKUP($A94,CURVES!$D$9:$T$261,6))*(INDEX(DailyScalarsTable,AJ$5/100,MONTH($A94)))*$C94</f>
        <v>-6949.7474365943035</v>
      </c>
      <c r="AK94" s="1021">
        <f>(VLOOKUP(YEAR($A94),'NY East Load Projections'!$A$4:$EO$14,((MONTH($A94)-1)*12)+VLOOKUP(AK$4,$DE$6:$DF$17,2)+1))*(VLOOKUP($A94,CURVES!$D$9:$T$261,6))*(INDEX(DailyScalarsTable,AK$5/100,MONTH($A94)))*$C94</f>
        <v>-7647.6418651554904</v>
      </c>
      <c r="AL94" s="1021">
        <f>(VLOOKUP(YEAR($A94),'NY East Load Projections'!$A$4:$EO$14,((MONTH($A94)-1)*12)+VLOOKUP(AL$4,$DE$6:$DF$17,2)+1))*(VLOOKUP($A94,CURVES!$D$9:$T$261,6))*(INDEX(DailyScalarsTable,AL$5/100,MONTH($A94)))*$C94</f>
        <v>-9272.3169562272524</v>
      </c>
      <c r="AM94" s="1021">
        <f>(VLOOKUP(YEAR($A94),'NY East Load Projections'!$A$4:$EO$14,((MONTH($A94)-1)*12)+VLOOKUP(AM$4,$DE$6:$DF$17,2)+1))*(VLOOKUP($A94,CURVES!$D$9:$T$261,6))*(INDEX(DailyScalarsTable,AM$5/100,MONTH($A94)))*$C94</f>
        <v>-11094.466367760782</v>
      </c>
      <c r="AN94" s="1021">
        <f>(VLOOKUP(YEAR($A94),'NY East Load Projections'!$A$4:$EO$14,((MONTH($A94)-1)*12)+VLOOKUP(AN$4,$DE$6:$DF$17,2)+1))*(VLOOKUP($A94,SatSunCurve,2))*(INDEX(DailyScalarsTable,AN$5/100,MONTH($A94)))*$C94</f>
        <v>-9297.990663806966</v>
      </c>
      <c r="AO94" s="1021">
        <f>(VLOOKUP(YEAR($A94),'NY East Load Projections'!$A$4:$EO$14,((MONTH($A94)-1)*12)+VLOOKUP(AO$4,$DE$6:$DF$17,2)+1))*(VLOOKUP($A94,SatSunCurve,2))*(INDEX(DailyScalarsTable,AO$5/100,MONTH($A94)))*$C94</f>
        <v>-11271.115887652475</v>
      </c>
      <c r="AP94" s="1021">
        <f>(VLOOKUP(YEAR($A94),'NY East Load Projections'!$A$4:$EO$14,((MONTH($A94)-1)*12)+VLOOKUP(AP$4,$DE$6:$DF$17,2)+1))*(VLOOKUP($A94,SatSunCurve,2))*(INDEX(DailyScalarsTable,AP$5/100,MONTH($A94)))*$C94</f>
        <v>-11471.027376477581</v>
      </c>
      <c r="AQ94" s="1021">
        <f>(VLOOKUP(YEAR($A94),'NY East Load Projections'!$A$4:$EO$14,((MONTH($A94)-1)*12)+VLOOKUP(AQ$4,$DE$6:$DF$17,2)+1))*(VLOOKUP($A94,SatSunCurve,2))*(INDEX(DailyScalarsTable,AQ$5/100,MONTH($A94)))*$C94</f>
        <v>-12168.063895035904</v>
      </c>
      <c r="AR94" s="1021">
        <f>(VLOOKUP(YEAR($A94),'NY East Load Projections'!$A$4:$EO$14,((MONTH($A94)-1)*12)+VLOOKUP(AR$4,$DE$6:$DF$17,2)+1))*(VLOOKUP($A94,SatSunCurve,2))*(INDEX(DailyScalarsTable,AR$5/100,MONTH($A94)))*$C94</f>
        <v>-12076.069227611961</v>
      </c>
      <c r="AS94" s="1021">
        <f>(VLOOKUP(YEAR($A94),'NY East Load Projections'!$A$4:$EO$14,((MONTH($A94)-1)*12)+VLOOKUP(AS$4,$DE$6:$DF$17,2)+1))*(VLOOKUP($A94,SatSunCurve,2))*(INDEX(DailyScalarsTable,AS$5/100,MONTH($A94)))*$C94</f>
        <v>-11580.900909118811</v>
      </c>
      <c r="AT94" s="1021">
        <f>(VLOOKUP(YEAR($A94),'NY East Load Projections'!$A$4:$EO$14,((MONTH($A94)-1)*12)+VLOOKUP(AT$4,$DE$6:$DF$17,2)+1))*(VLOOKUP($A94,SatSunCurve,2))*(INDEX(DailyScalarsTable,AT$5/100,MONTH($A94)))*$C94</f>
        <v>-11636.716818351195</v>
      </c>
      <c r="AU94" s="1021">
        <f>(VLOOKUP(YEAR($A94),'NY East Load Projections'!$A$4:$EO$14,((MONTH($A94)-1)*12)+VLOOKUP(AU$4,$DE$6:$DF$17,2)+1))*(VLOOKUP($A94,SatSunCurve,2))*(INDEX(DailyScalarsTable,AU$5/100,MONTH($A94)))*$C94</f>
        <v>-11287.417257348545</v>
      </c>
      <c r="AV94" s="1021">
        <f>(VLOOKUP(YEAR($A94),'NY East Load Projections'!$A$4:$EO$14,((MONTH($A94)-1)*12)+VLOOKUP(AV$4,$DE$6:$DF$17,2)+1))*(VLOOKUP($A94,SatSunCurve,2))*(INDEX(DailyScalarsTable,AV$5/100,MONTH($A94)))*$C94</f>
        <v>-10848.092036293663</v>
      </c>
      <c r="AW94" s="1021">
        <f>(VLOOKUP(YEAR($A94),'NY East Load Projections'!$A$4:$EO$14,((MONTH($A94)-1)*12)+VLOOKUP(AW$4,$DE$6:$DF$17,2)+1))*(VLOOKUP($A94,SatSunCurve,2))*(INDEX(DailyScalarsTable,AW$5/100,MONTH($A94)))*$C94</f>
        <v>-10301.501949183121</v>
      </c>
      <c r="AX94" s="1021">
        <f>(VLOOKUP(YEAR($A94),'NY East Load Projections'!$A$4:$EO$14,((MONTH($A94)-1)*12)+VLOOKUP(AX$4,$DE$6:$DF$17,2)+1))*(VLOOKUP($A94,SatSunCurve,2))*(INDEX(DailyScalarsTable,AX$5/100,MONTH($A94)))*$C94</f>
        <v>-9900.0351956370923</v>
      </c>
      <c r="AY94" s="1021">
        <f>(VLOOKUP(YEAR($A94),'NY East Load Projections'!$A$4:$EO$14,((MONTH($A94)-1)*12)+VLOOKUP(AY$4,$DE$6:$DF$17,2)+1))*(VLOOKUP($A94,SatSunCurve,2))*(INDEX(DailyScalarsTable,AY$5/100,MONTH($A94)))*$C94</f>
        <v>-8577.5564780737132</v>
      </c>
      <c r="AZ94" s="1021">
        <f>(VLOOKUP(YEAR($A94),'NY East Load Projections'!$A$4:$EO$14,((MONTH($A94)-1)*12)+VLOOKUP(AZ$4,$DE$6:$DF$17,2)+1))*(VLOOKUP($A94,SatSunCurve,2))*(INDEX(DailyScalarsTable,AZ$5/100,MONTH($A94)))*$C94</f>
        <v>-8555.6276217875875</v>
      </c>
      <c r="BA94" s="1021">
        <f>(VLOOKUP(YEAR($A94),'NY East Load Projections'!$A$4:$EO$14,((MONTH($A94)-1)*12)+VLOOKUP(BA$4,$DE$6:$DF$17,2)+1))*(VLOOKUP($A94,SatSunCurve,2))*(INDEX(DailyScalarsTable,BA$5/100,MONTH($A94)))*$C94</f>
        <v>-10689.434110819093</v>
      </c>
      <c r="BB94" s="1021">
        <f>(VLOOKUP(YEAR($A94),'NY East Load Projections'!$A$4:$EO$14,((MONTH($A94)-1)*12)+VLOOKUP(BB$4,$DE$6:$DF$17,2)+1))*(VLOOKUP($A94,SatSunCurve,2))*(INDEX(DailyScalarsTable,BB$5/100,MONTH($A94)))*$C94</f>
        <v>-10195.729240648869</v>
      </c>
      <c r="BC94" s="1021">
        <f>(VLOOKUP(YEAR($A94),'NY East Load Projections'!$A$4:$EO$14,((MONTH($A94)-1)*12)+VLOOKUP(BC$4,$DE$6:$DF$17,2)+1))*(VLOOKUP($A94,SatSunCurve,2))*(INDEX(DailyScalarsTable,BC$5/100,MONTH($A94)))*$C94</f>
        <v>-8179.0976211262059</v>
      </c>
      <c r="BD94" s="1021">
        <f>(VLOOKUP(YEAR($A94),'NY East Load Projections'!$A$4:$EO$14,((MONTH($A94)-1)*12)+VLOOKUP(BD$4,$DE$6:$DF$17,2)+1))*(VLOOKUP($A94,CURVES!$D$9:$T$261,6))*(INDEX(DailyScalarsTable,BD$5/100,MONTH($A94)))*$C94</f>
        <v>-10192.746378051872</v>
      </c>
      <c r="BE94" s="1021"/>
      <c r="BF94" s="1021">
        <f>(VLOOKUP(YEAR($A94),'NY East Load Projections'!$A$4:$EO$14,((MONTH($A94)-1)*12)+VLOOKUP(BF$4,$DE$6:$DF$17,2)+1))*(VLOOKUP($A94,CURVES!$D$9:$T$261,6))*(INDEX(DailyScalarsTable,BF$5/100,MONTH($A94)))*$D94</f>
        <v>-6727.2142276970035</v>
      </c>
      <c r="BG94" s="1021">
        <f>(VLOOKUP(YEAR($A94),'NY East Load Projections'!$A$4:$EO$14,((MONTH($A94)-1)*12)+VLOOKUP(BG$4,$DE$6:$DF$17,2)+1))*(VLOOKUP($A94,CURVES!$D$9:$T$261,6))*(INDEX(DailyScalarsTable,BG$5/100,MONTH($A94)))*$D94</f>
        <v>-6059.614601005097</v>
      </c>
      <c r="BH94" s="1021">
        <f>(VLOOKUP(YEAR($A94),'NY East Load Projections'!$A$4:$EO$14,((MONTH($A94)-1)*12)+VLOOKUP(BH$4,$DE$6:$DF$17,2)+1))*(VLOOKUP($A94,CURVES!$D$9:$T$261,6))*(INDEX(DailyScalarsTable,BH$5/100,MONTH($A94)))*$D94</f>
        <v>-5734.6454705518963</v>
      </c>
      <c r="BI94" s="1021">
        <f>(VLOOKUP(YEAR($A94),'NY East Load Projections'!$A$4:$EO$14,((MONTH($A94)-1)*12)+VLOOKUP(BI$4,$DE$6:$DF$17,2)+1))*(VLOOKUP($A94,CURVES!$D$9:$T$261,6))*(INDEX(DailyScalarsTable,BI$5/100,MONTH($A94)))*$D94</f>
        <v>-5559.797949275443</v>
      </c>
      <c r="BJ94" s="1021">
        <f>(VLOOKUP(YEAR($A94),'NY East Load Projections'!$A$4:$EO$14,((MONTH($A94)-1)*12)+VLOOKUP(BJ$4,$DE$6:$DF$17,2)+1))*(VLOOKUP($A94,CURVES!$D$9:$T$261,6))*(INDEX(DailyScalarsTable,BJ$5/100,MONTH($A94)))*$D94</f>
        <v>-6118.113492124392</v>
      </c>
      <c r="BK94" s="1021">
        <f>(VLOOKUP(YEAR($A94),'NY East Load Projections'!$A$4:$EO$14,((MONTH($A94)-1)*12)+VLOOKUP(BK$4,$DE$6:$DF$17,2)+1))*(VLOOKUP($A94,CURVES!$D$9:$T$261,6))*(INDEX(DailyScalarsTable,BK$5/100,MONTH($A94)))*$D94</f>
        <v>-7417.8535649818023</v>
      </c>
      <c r="BL94" s="1021">
        <f>(VLOOKUP(YEAR($A94),'NY East Load Projections'!$A$4:$EO$14,((MONTH($A94)-1)*12)+VLOOKUP(BL$4,$DE$6:$DF$17,2)+1))*(VLOOKUP($A94,CURVES!$D$9:$T$261,6))*(INDEX(DailyScalarsTable,BL$5/100,MONTH($A94)))*$D94</f>
        <v>-8875.5730942086266</v>
      </c>
      <c r="BM94" s="1021">
        <f>(VLOOKUP(YEAR($A94),'NY East Load Projections'!$A$4:$EO$14,((MONTH($A94)-1)*12)+VLOOKUP(BM$4,$DE$6:$DF$17,2)+1))*(VLOOKUP($A94,SatSunCurve,6))*(INDEX(DailyScalarsTable,BM$5/100,MONTH($A94)))*$D94</f>
        <v>-6508.7035131699522</v>
      </c>
      <c r="BN94" s="1021">
        <f>(VLOOKUP(YEAR($A94),'NY East Load Projections'!$A$4:$EO$14,((MONTH($A94)-1)*12)+VLOOKUP(BN$4,$DE$6:$DF$17,2)+1))*(VLOOKUP($A94,SatSunCurve,6))*(INDEX(DailyScalarsTable,BN$5/100,MONTH($A94)))*$D94</f>
        <v>-7889.9145232387973</v>
      </c>
      <c r="BO94" s="1021">
        <f>(VLOOKUP(YEAR($A94),'NY East Load Projections'!$A$4:$EO$14,((MONTH($A94)-1)*12)+VLOOKUP(BO$4,$DE$6:$DF$17,2)+1))*(VLOOKUP($A94,SatSunCurve,6))*(INDEX(DailyScalarsTable,BO$5/100,MONTH($A94)))*$D94</f>
        <v>-8029.8549315147347</v>
      </c>
      <c r="BP94" s="1021">
        <f>(VLOOKUP(YEAR($A94),'NY East Load Projections'!$A$4:$EO$14,((MONTH($A94)-1)*12)+VLOOKUP(BP$4,$DE$6:$DF$17,2)+1))*(VLOOKUP($A94,SatSunCurve,6))*(INDEX(DailyScalarsTable,BP$5/100,MONTH($A94)))*$D94</f>
        <v>-8517.7887444414482</v>
      </c>
      <c r="BQ94" s="1021">
        <f>(VLOOKUP(YEAR($A94),'NY East Load Projections'!$A$4:$EO$14,((MONTH($A94)-1)*12)+VLOOKUP(BQ$4,$DE$6:$DF$17,2)+1))*(VLOOKUP($A94,SatSunCurve,6))*(INDEX(DailyScalarsTable,BQ$5/100,MONTH($A94)))*$D94</f>
        <v>-8453.3913884206613</v>
      </c>
      <c r="BR94" s="1021">
        <f>(VLOOKUP(YEAR($A94),'NY East Load Projections'!$A$4:$EO$14,((MONTH($A94)-1)*12)+VLOOKUP(BR$4,$DE$6:$DF$17,2)+1))*(VLOOKUP($A94,SatSunCurve,6))*(INDEX(DailyScalarsTable,BR$5/100,MONTH($A94)))*$D94</f>
        <v>-8106.7677047970374</v>
      </c>
      <c r="BS94" s="1021">
        <f>(VLOOKUP(YEAR($A94),'NY East Load Projections'!$A$4:$EO$14,((MONTH($A94)-1)*12)+VLOOKUP(BS$4,$DE$6:$DF$17,2)+1))*(VLOOKUP($A94,SatSunCurve,6))*(INDEX(DailyScalarsTable,BS$5/100,MONTH($A94)))*$D94</f>
        <v>-8145.8395018817255</v>
      </c>
      <c r="BT94" s="1021">
        <f>(VLOOKUP(YEAR($A94),'NY East Load Projections'!$A$4:$EO$14,((MONTH($A94)-1)*12)+VLOOKUP(BT$4,$DE$6:$DF$17,2)+1))*(VLOOKUP($A94,SatSunCurve,6))*(INDEX(DailyScalarsTable,BT$5/100,MONTH($A94)))*$D94</f>
        <v>-7901.3256749646507</v>
      </c>
      <c r="BU94" s="1021">
        <f>(VLOOKUP(YEAR($A94),'NY East Load Projections'!$A$4:$EO$14,((MONTH($A94)-1)*12)+VLOOKUP(BU$4,$DE$6:$DF$17,2)+1))*(VLOOKUP($A94,SatSunCurve,6))*(INDEX(DailyScalarsTable,BU$5/100,MONTH($A94)))*$D94</f>
        <v>-7593.7928204916279</v>
      </c>
      <c r="BV94" s="1021">
        <f>(VLOOKUP(YEAR($A94),'NY East Load Projections'!$A$4:$EO$14,((MONTH($A94)-1)*12)+VLOOKUP(BV$4,$DE$6:$DF$17,2)+1))*(VLOOKUP($A94,SatSunCurve,6))*(INDEX(DailyScalarsTable,BV$5/100,MONTH($A94)))*$D94</f>
        <v>-7211.1732902216745</v>
      </c>
      <c r="BW94" s="1021">
        <f>(VLOOKUP(YEAR($A94),'NY East Load Projections'!$A$4:$EO$14,((MONTH($A94)-1)*12)+VLOOKUP(BW$4,$DE$6:$DF$17,2)+1))*(VLOOKUP($A94,SatSunCurve,6))*(INDEX(DailyScalarsTable,BW$5/100,MONTH($A94)))*$D94</f>
        <v>-6930.1418110874401</v>
      </c>
      <c r="BX94" s="1021">
        <f>(VLOOKUP(YEAR($A94),'NY East Load Projections'!$A$4:$EO$14,((MONTH($A94)-1)*12)+VLOOKUP(BX$4,$DE$6:$DF$17,2)+1))*(VLOOKUP($A94,SatSunCurve,6))*(INDEX(DailyScalarsTable,BX$5/100,MONTH($A94)))*$D94</f>
        <v>-6004.391056292322</v>
      </c>
      <c r="BY94" s="1021">
        <f>(VLOOKUP(YEAR($A94),'NY East Load Projections'!$A$4:$EO$14,((MONTH($A94)-1)*12)+VLOOKUP(BY$4,$DE$6:$DF$17,2)+1))*(VLOOKUP($A94,SatSunCurve,6))*(INDEX(DailyScalarsTable,BY$5/100,MONTH($A94)))*$D94</f>
        <v>-5989.0405973480165</v>
      </c>
      <c r="BZ94" s="1021">
        <f>(VLOOKUP(YEAR($A94),'NY East Load Projections'!$A$4:$EO$14,((MONTH($A94)-1)*12)+VLOOKUP(BZ$4,$DE$6:$DF$17,2)+1))*(VLOOKUP($A94,SatSunCurve,6))*(INDEX(DailyScalarsTable,BZ$5/100,MONTH($A94)))*$D94</f>
        <v>-7482.7303948270946</v>
      </c>
      <c r="CA94" s="1021">
        <f>(VLOOKUP(YEAR($A94),'NY East Load Projections'!$A$4:$EO$14,((MONTH($A94)-1)*12)+VLOOKUP(CA$4,$DE$6:$DF$17,2)+1))*(VLOOKUP($A94,SatSunCurve,6))*(INDEX(DailyScalarsTable,CA$5/100,MONTH($A94)))*$D94</f>
        <v>-7137.1311423505003</v>
      </c>
      <c r="CB94" s="1021">
        <f>(VLOOKUP(YEAR($A94),'NY East Load Projections'!$A$4:$EO$14,((MONTH($A94)-1)*12)+VLOOKUP(CB$4,$DE$6:$DF$17,2)+1))*(VLOOKUP($A94,SatSunCurve,6))*(INDEX(DailyScalarsTable,CB$5/100,MONTH($A94)))*$D94</f>
        <v>-5725.4651403777034</v>
      </c>
      <c r="CC94" s="1021">
        <f>(VLOOKUP(YEAR($A94),'NY East Load Projections'!$A$4:$EO$14,((MONTH($A94)-1)*12)+VLOOKUP(CC$4,$DE$6:$DF$17,2)+1))*(VLOOKUP($A94,CURVES!$D$9:$T$261,6))*(INDEX(DailyScalarsTable,CC$5/100,MONTH($A94)))*$D94</f>
        <v>-8154.1971024414979</v>
      </c>
      <c r="CE94" s="1021">
        <f>(VLOOKUP(YEAR($A94),'NY East Load Projections'!$A$4:$EO$14,((MONTH($A94)-1)*12)+VLOOKUP(CE$4,$DE$6:$DF$17,2)+1))*(VLOOKUP($A94,CURVES!$D$9:$T$261,6))*(INDEX(DailyScalarsTable,CE$5/100,MONTH($A94)))*$E94</f>
        <v>-1681.8035569242509</v>
      </c>
      <c r="CF94" s="1021">
        <f>(VLOOKUP(YEAR($A94),'NY East Load Projections'!$A$4:$EO$14,((MONTH($A94)-1)*12)+VLOOKUP(CF$4,$DE$6:$DF$17,2)+1))*(VLOOKUP($A94,CURVES!$D$9:$T$261,6))*(INDEX(DailyScalarsTable,CF$5/100,MONTH($A94)))*$E94</f>
        <v>-1514.9036502512743</v>
      </c>
      <c r="CG94" s="1021">
        <f>(VLOOKUP(YEAR($A94),'NY East Load Projections'!$A$4:$EO$14,((MONTH($A94)-1)*12)+VLOOKUP(CG$4,$DE$6:$DF$17,2)+1))*(VLOOKUP($A94,CURVES!$D$9:$T$261,6))*(INDEX(DailyScalarsTable,CG$5/100,MONTH($A94)))*$E94</f>
        <v>-1433.6613676379741</v>
      </c>
      <c r="CH94" s="1021">
        <f>(VLOOKUP(YEAR($A94),'NY East Load Projections'!$A$4:$EO$14,((MONTH($A94)-1)*12)+VLOOKUP(CH$4,$DE$6:$DF$17,2)+1))*(VLOOKUP($A94,CURVES!$D$9:$T$261,6))*(INDEX(DailyScalarsTable,CH$5/100,MONTH($A94)))*$E94</f>
        <v>-1389.9494873188607</v>
      </c>
      <c r="CI94" s="1021">
        <f>(VLOOKUP(YEAR($A94),'NY East Load Projections'!$A$4:$EO$14,((MONTH($A94)-1)*12)+VLOOKUP(CI$4,$DE$6:$DF$17,2)+1))*(VLOOKUP($A94,CURVES!$D$9:$T$261,6))*(INDEX(DailyScalarsTable,CI$5/100,MONTH($A94)))*$E94</f>
        <v>-1529.528373031098</v>
      </c>
      <c r="CJ94" s="1021">
        <f>(VLOOKUP(YEAR($A94),'NY East Load Projections'!$A$4:$EO$14,((MONTH($A94)-1)*12)+VLOOKUP(CJ$4,$DE$6:$DF$17,2)+1))*(VLOOKUP($A94,CURVES!$D$9:$T$261,6))*(INDEX(DailyScalarsTable,CJ$5/100,MONTH($A94)))*$E94</f>
        <v>-1854.4633912454506</v>
      </c>
      <c r="CK94" s="1021">
        <f>(VLOOKUP(YEAR($A94),'NY East Load Projections'!$A$4:$EO$14,((MONTH($A94)-1)*12)+VLOOKUP(CK$4,$DE$6:$DF$17,2)+1))*(VLOOKUP($A94,CURVES!$D$9:$T$261,6))*(INDEX(DailyScalarsTable,CK$5/100,MONTH($A94)))*$E94</f>
        <v>-2218.8932735521566</v>
      </c>
      <c r="CL94" s="1021">
        <f>(VLOOKUP(YEAR($A94),'NY East Load Projections'!$A$4:$EO$14,((MONTH($A94)-1)*12)+VLOOKUP(CL$4,$DE$6:$DF$17,2)+1))*(VLOOKUP($A94,SatSunCurve,6))*(INDEX(DailyScalarsTable,CL$5/100,MONTH($A94)))*$E94</f>
        <v>-1627.1758782924881</v>
      </c>
      <c r="CM94" s="1021">
        <f>(VLOOKUP(YEAR($A94),'NY East Load Projections'!$A$4:$EO$14,((MONTH($A94)-1)*12)+VLOOKUP(CM$4,$DE$6:$DF$17,2)+1))*(VLOOKUP($A94,SatSunCurve,6))*(INDEX(DailyScalarsTable,CM$5/100,MONTH($A94)))*$E94</f>
        <v>-1972.4786308096993</v>
      </c>
      <c r="CN94" s="1021">
        <f>(VLOOKUP(YEAR($A94),'NY East Load Projections'!$A$4:$EO$14,((MONTH($A94)-1)*12)+VLOOKUP(CN$4,$DE$6:$DF$17,2)+1))*(VLOOKUP($A94,SatSunCurve,6))*(INDEX(DailyScalarsTable,CN$5/100,MONTH($A94)))*$E94</f>
        <v>-2007.4637328786837</v>
      </c>
      <c r="CO94" s="1021">
        <f>(VLOOKUP(YEAR($A94),'NY East Load Projections'!$A$4:$EO$14,((MONTH($A94)-1)*12)+VLOOKUP(CO$4,$DE$6:$DF$17,2)+1))*(VLOOKUP($A94,SatSunCurve,6))*(INDEX(DailyScalarsTable,CO$5/100,MONTH($A94)))*$E94</f>
        <v>-2129.4471861103621</v>
      </c>
      <c r="CP94" s="1021">
        <f>(VLOOKUP(YEAR($A94),'NY East Load Projections'!$A$4:$EO$14,((MONTH($A94)-1)*12)+VLOOKUP(CP$4,$DE$6:$DF$17,2)+1))*(VLOOKUP($A94,SatSunCurve,6))*(INDEX(DailyScalarsTable,CP$5/100,MONTH($A94)))*$E94</f>
        <v>-2113.3478471051653</v>
      </c>
      <c r="CQ94" s="1021">
        <f>(VLOOKUP(YEAR($A94),'NY East Load Projections'!$A$4:$EO$14,((MONTH($A94)-1)*12)+VLOOKUP(CQ$4,$DE$6:$DF$17,2)+1))*(VLOOKUP($A94,SatSunCurve,6))*(INDEX(DailyScalarsTable,CQ$5/100,MONTH($A94)))*$E94</f>
        <v>-2026.6919261992593</v>
      </c>
      <c r="CR94" s="1021">
        <f>(VLOOKUP(YEAR($A94),'NY East Load Projections'!$A$4:$EO$14,((MONTH($A94)-1)*12)+VLOOKUP(CR$4,$DE$6:$DF$17,2)+1))*(VLOOKUP($A94,SatSunCurve,6))*(INDEX(DailyScalarsTable,CR$5/100,MONTH($A94)))*$E94</f>
        <v>-2036.4598754704314</v>
      </c>
      <c r="CS94" s="1021">
        <f>(VLOOKUP(YEAR($A94),'NY East Load Projections'!$A$4:$EO$14,((MONTH($A94)-1)*12)+VLOOKUP(CS$4,$DE$6:$DF$17,2)+1))*(VLOOKUP($A94,SatSunCurve,6))*(INDEX(DailyScalarsTable,CS$5/100,MONTH($A94)))*$E94</f>
        <v>-1975.3314187411627</v>
      </c>
      <c r="CT94" s="1021">
        <f>(VLOOKUP(YEAR($A94),'NY East Load Projections'!$A$4:$EO$14,((MONTH($A94)-1)*12)+VLOOKUP(CT$4,$DE$6:$DF$17,2)+1))*(VLOOKUP($A94,SatSunCurve,6))*(INDEX(DailyScalarsTable,CT$5/100,MONTH($A94)))*$E94</f>
        <v>-1898.448205122907</v>
      </c>
      <c r="CU94" s="1021">
        <f>(VLOOKUP(YEAR($A94),'NY East Load Projections'!$A$4:$EO$14,((MONTH($A94)-1)*12)+VLOOKUP(CU$4,$DE$6:$DF$17,2)+1))*(VLOOKUP($A94,SatSunCurve,6))*(INDEX(DailyScalarsTable,CU$5/100,MONTH($A94)))*$E94</f>
        <v>-1802.7933225554186</v>
      </c>
      <c r="CV94" s="1021">
        <f>(VLOOKUP(YEAR($A94),'NY East Load Projections'!$A$4:$EO$14,((MONTH($A94)-1)*12)+VLOOKUP(CV$4,$DE$6:$DF$17,2)+1))*(VLOOKUP($A94,SatSunCurve,6))*(INDEX(DailyScalarsTable,CV$5/100,MONTH($A94)))*$E94</f>
        <v>-1732.53545277186</v>
      </c>
      <c r="CW94" s="1021">
        <f>(VLOOKUP(YEAR($A94),'NY East Load Projections'!$A$4:$EO$14,((MONTH($A94)-1)*12)+VLOOKUP(CW$4,$DE$6:$DF$17,2)+1))*(VLOOKUP($A94,SatSunCurve,6))*(INDEX(DailyScalarsTable,CW$5/100,MONTH($A94)))*$E94</f>
        <v>-1501.0977640730805</v>
      </c>
      <c r="CX94" s="1021">
        <f>(VLOOKUP(YEAR($A94),'NY East Load Projections'!$A$4:$EO$14,((MONTH($A94)-1)*12)+VLOOKUP(CX$4,$DE$6:$DF$17,2)+1))*(VLOOKUP($A94,SatSunCurve,6))*(INDEX(DailyScalarsTable,CX$5/100,MONTH($A94)))*$E94</f>
        <v>-1497.2601493370041</v>
      </c>
      <c r="CY94" s="1021">
        <f>(VLOOKUP(YEAR($A94),'NY East Load Projections'!$A$4:$EO$14,((MONTH($A94)-1)*12)+VLOOKUP(CY$4,$DE$6:$DF$17,2)+1))*(VLOOKUP($A94,SatSunCurve,6))*(INDEX(DailyScalarsTable,CY$5/100,MONTH($A94)))*$E94</f>
        <v>-1870.6825987067737</v>
      </c>
      <c r="CZ94" s="1021">
        <f>(VLOOKUP(YEAR($A94),'NY East Load Projections'!$A$4:$EO$14,((MONTH($A94)-1)*12)+VLOOKUP(CZ$4,$DE$6:$DF$17,2)+1))*(VLOOKUP($A94,SatSunCurve,6))*(INDEX(DailyScalarsTable,CZ$5/100,MONTH($A94)))*$E94</f>
        <v>-1784.2827855876251</v>
      </c>
      <c r="DA94" s="1021">
        <f>(VLOOKUP(YEAR($A94),'NY East Load Projections'!$A$4:$EO$14,((MONTH($A94)-1)*12)+VLOOKUP(DA$4,$DE$6:$DF$17,2)+1))*(VLOOKUP($A94,SatSunCurve,6))*(INDEX(DailyScalarsTable,DA$5/100,MONTH($A94)))*$E94</f>
        <v>-1431.3662850944258</v>
      </c>
      <c r="DB94" s="1021">
        <f>(VLOOKUP(YEAR($A94),'NY East Load Projections'!$A$4:$EO$14,((MONTH($A94)-1)*12)+VLOOKUP(DB$4,$DE$6:$DF$17,2)+1))*(VLOOKUP($A94,CURVES!$D$9:$T$261,6))*(INDEX(DailyScalarsTable,DB$5/100,MONTH($A94)))*$E94</f>
        <v>-2038.5492756103745</v>
      </c>
      <c r="DH94" s="1021">
        <f t="shared" si="2"/>
        <v>-1816617.4193943164</v>
      </c>
      <c r="DI94">
        <f ca="1">CALC!J114</f>
        <v>0.54761412968906398</v>
      </c>
      <c r="DJ94" s="1029">
        <f t="shared" ca="1" si="3"/>
        <v>-994805.3670996119</v>
      </c>
    </row>
    <row r="95" spans="1:114" x14ac:dyDescent="0.25">
      <c r="A95" s="244">
        <v>39600</v>
      </c>
      <c r="B95" s="13">
        <v>21</v>
      </c>
      <c r="C95" s="210">
        <v>4</v>
      </c>
      <c r="D95" s="210">
        <v>5</v>
      </c>
      <c r="E95" s="210">
        <v>0</v>
      </c>
      <c r="F95" s="13">
        <v>30</v>
      </c>
      <c r="H95" s="1021">
        <f>(VLOOKUP(YEAR($A95),'NY East Load Projections'!$A$4:$EO$14,((MONTH($A95)-1)*12)+VLOOKUP(H$4,$DE$6:$DF$17,2)+1))*(VLOOKUP($A95,CURVES!$D$9:$K$261,6))*(INDEX(DailyScalarsTable,H$5/100,MONTH($A95)))*$B95</f>
        <v>-36878.71612123966</v>
      </c>
      <c r="I95" s="1021">
        <f>(VLOOKUP(YEAR($A95),'NY East Load Projections'!$A$4:$EO$14,((MONTH($A95)-1)*12)+VLOOKUP(I$4,$DE$6:$DF$17,2)+1))*(VLOOKUP($A95,CURVES!$D$9:$K$261,6))*(INDEX(DailyScalarsTable,I$5/100,MONTH($A95)))*$B95</f>
        <v>-30554.492982967175</v>
      </c>
      <c r="J95" s="1021">
        <f>(VLOOKUP(YEAR($A95),'NY East Load Projections'!$A$4:$EO$14,((MONTH($A95)-1)*12)+VLOOKUP(J$4,$DE$6:$DF$17,2)+1))*(VLOOKUP($A95,CURVES!$D$9:$K$261,6))*(INDEX(DailyScalarsTable,J$5/100,MONTH($A95)))*$B95</f>
        <v>-25683.897252596133</v>
      </c>
      <c r="K95" s="1021">
        <f>(VLOOKUP(YEAR($A95),'NY East Load Projections'!$A$4:$EO$14,((MONTH($A95)-1)*12)+VLOOKUP(K$4,$DE$6:$DF$17,2)+1))*(VLOOKUP($A95,CURVES!$D$9:$K$261,6))*(INDEX(DailyScalarsTable,K$5/100,MONTH($A95)))*$B95</f>
        <v>-23843.265145188474</v>
      </c>
      <c r="L95" s="1021">
        <f>(VLOOKUP(YEAR($A95),'NY East Load Projections'!$A$4:$EO$14,((MONTH($A95)-1)*12)+VLOOKUP(L$4,$DE$6:$DF$17,2)+1))*(VLOOKUP($A95,CURVES!$D$9:$K$261,6))*(INDEX(DailyScalarsTable,L$5/100,MONTH($A95)))*$B95</f>
        <v>-27789.776763778744</v>
      </c>
      <c r="M95" s="1021">
        <f>(VLOOKUP(YEAR($A95),'NY East Load Projections'!$A$4:$EO$14,((MONTH($A95)-1)*12)+VLOOKUP(M$4,$DE$6:$DF$17,2)+1))*(VLOOKUP($A95,CURVES!$D$9:$K$261,6))*(INDEX(DailyScalarsTable,M$5/100,MONTH($A95)))*$B95</f>
        <v>-33905.556102668736</v>
      </c>
      <c r="N95" s="1021">
        <f>(VLOOKUP(YEAR($A95),'NY East Load Projections'!$A$4:$EO$14,((MONTH($A95)-1)*12)+VLOOKUP(N$4,$DE$6:$DF$17,2)+1))*(VLOOKUP($A95,CURVES!$D$9:$K$261,6))*(INDEX(DailyScalarsTable,N$5/100,MONTH($A95)))*$B95</f>
        <v>-38875.260706410183</v>
      </c>
      <c r="O95" s="1021">
        <f>(VLOOKUP(YEAR($A95),'NY East Load Projections'!$A$4:$EO$14,((MONTH($A95)-1)*12)+VLOOKUP(O$4,$DE$6:$DF$17,2)+1))*(VLOOKUP($A95,CURVES!$D$9:$K$261,2))*(INDEX(DailyScalarsTable,O$5/100,MONTH($A95)))*$B95</f>
        <v>-59562.210211951402</v>
      </c>
      <c r="P95" s="1021">
        <f>(VLOOKUP(YEAR($A95),'NY East Load Projections'!$A$4:$EO$14,((MONTH($A95)-1)*12)+VLOOKUP(P$4,$DE$6:$DF$17,2)+1))*(VLOOKUP($A95,CURVES!$D$9:$K$261,2))*(INDEX(DailyScalarsTable,P$5/100,MONTH($A95)))*$B95</f>
        <v>-76338.066885740307</v>
      </c>
      <c r="Q95" s="1021">
        <f>(VLOOKUP(YEAR($A95),'NY East Load Projections'!$A$4:$EO$14,((MONTH($A95)-1)*12)+VLOOKUP(Q$4,$DE$6:$DF$17,2)+1))*(VLOOKUP($A95,CURVES!$D$9:$K$261,2))*(INDEX(DailyScalarsTable,Q$5/100,MONTH($A95)))*$B95</f>
        <v>-85383.559123209241</v>
      </c>
      <c r="R95" s="1021">
        <f>(VLOOKUP(YEAR($A95),'NY East Load Projections'!$A$4:$EO$14,((MONTH($A95)-1)*12)+VLOOKUP(R$4,$DE$6:$DF$17,2)+1))*(VLOOKUP($A95,CURVES!$D$9:$K$261,2))*(INDEX(DailyScalarsTable,R$5/100,MONTH($A95)))*$B95</f>
        <v>-98215.847667192575</v>
      </c>
      <c r="S95" s="1021">
        <f>(VLOOKUP(YEAR($A95),'NY East Load Projections'!$A$4:$EO$14,((MONTH($A95)-1)*12)+VLOOKUP(S$4,$DE$6:$DF$17,2)+1))*(VLOOKUP($A95,CURVES!$D$9:$K$261,2))*(INDEX(DailyScalarsTable,S$5/100,MONTH($A95)))*$B95</f>
        <v>-105923.24933698862</v>
      </c>
      <c r="T95" s="1021">
        <f>(VLOOKUP(YEAR($A95),'NY East Load Projections'!$A$4:$EO$14,((MONTH($A95)-1)*12)+VLOOKUP(T$4,$DE$6:$DF$17,2)+1))*(VLOOKUP($A95,CURVES!$D$9:$K$261,2))*(INDEX(DailyScalarsTable,T$5/100,MONTH($A95)))*$B95</f>
        <v>-112694.8056168403</v>
      </c>
      <c r="U95" s="1021">
        <f>(VLOOKUP(YEAR($A95),'NY East Load Projections'!$A$4:$EO$14,((MONTH($A95)-1)*12)+VLOOKUP(U$4,$DE$6:$DF$17,2)+1))*(VLOOKUP($A95,CURVES!$D$9:$K$261,2))*(INDEX(DailyScalarsTable,U$5/100,MONTH($A95)))*$B95</f>
        <v>-124627.35797427624</v>
      </c>
      <c r="V95" s="1021">
        <f>(VLOOKUP(YEAR($A95),'NY East Load Projections'!$A$4:$EO$14,((MONTH($A95)-1)*12)+VLOOKUP(V$4,$DE$6:$DF$17,2)+1))*(VLOOKUP($A95,CURVES!$D$9:$K$261,2))*(INDEX(DailyScalarsTable,V$5/100,MONTH($A95)))*$B95</f>
        <v>-125586.34610862816</v>
      </c>
      <c r="W95" s="1021">
        <f>(VLOOKUP(YEAR($A95),'NY East Load Projections'!$A$4:$EO$14,((MONTH($A95)-1)*12)+VLOOKUP(W$4,$DE$6:$DF$17,2)+1))*(VLOOKUP($A95,CURVES!$D$9:$K$261,2))*(INDEX(DailyScalarsTable,W$5/100,MONTH($A95)))*$B95</f>
        <v>-125791.84356598926</v>
      </c>
      <c r="X95" s="1021">
        <f>(VLOOKUP(YEAR($A95),'NY East Load Projections'!$A$4:$EO$14,((MONTH($A95)-1)*12)+VLOOKUP(X$4,$DE$6:$DF$17,2)+1))*(VLOOKUP($A95,CURVES!$D$9:$K$261,2))*(INDEX(DailyScalarsTable,X$5/100,MONTH($A95)))*$B95</f>
        <v>-122913.83266995491</v>
      </c>
      <c r="Y95" s="1021">
        <f>(VLOOKUP(YEAR($A95),'NY East Load Projections'!$A$4:$EO$14,((MONTH($A95)-1)*12)+VLOOKUP(Y$4,$DE$6:$DF$17,2)+1))*(VLOOKUP($A95,CURVES!$D$9:$K$261,2))*(INDEX(DailyScalarsTable,Y$5/100,MONTH($A95)))*$B95</f>
        <v>-119265.01350270833</v>
      </c>
      <c r="Z95" s="1021">
        <f>(VLOOKUP(YEAR($A95),'NY East Load Projections'!$A$4:$EO$14,((MONTH($A95)-1)*12)+VLOOKUP(Z$4,$DE$6:$DF$17,2)+1))*(VLOOKUP($A95,CURVES!$D$9:$K$261,2))*(INDEX(DailyScalarsTable,Z$5/100,MONTH($A95)))*$B95</f>
        <v>-101837.62087358494</v>
      </c>
      <c r="AA95" s="1021">
        <f>(VLOOKUP(YEAR($A95),'NY East Load Projections'!$A$4:$EO$14,((MONTH($A95)-1)*12)+VLOOKUP(AA$4,$DE$6:$DF$17,2)+1))*(VLOOKUP($A95,CURVES!$D$9:$K$261,2))*(INDEX(DailyScalarsTable,AA$5/100,MONTH($A95)))*$B95</f>
        <v>-81433.21332822433</v>
      </c>
      <c r="AB95" s="1021">
        <f>(VLOOKUP(YEAR($A95),'NY East Load Projections'!$A$4:$EO$14,((MONTH($A95)-1)*12)+VLOOKUP(AB$4,$DE$6:$DF$17,2)+1))*(VLOOKUP($A95,CURVES!$D$9:$K$261,2))*(INDEX(DailyScalarsTable,AB$5/100,MONTH($A95)))*$B95</f>
        <v>-80418.379615061873</v>
      </c>
      <c r="AC95" s="1021">
        <f>(VLOOKUP(YEAR($A95),'NY East Load Projections'!$A$4:$EO$14,((MONTH($A95)-1)*12)+VLOOKUP(AC$4,$DE$6:$DF$17,2)+1))*(VLOOKUP($A95,CURVES!$D$9:$K$261,2))*(INDEX(DailyScalarsTable,AC$5/100,MONTH($A95)))*$B95</f>
        <v>-81938.643713173369</v>
      </c>
      <c r="AD95" s="1021">
        <f>(VLOOKUP(YEAR($A95),'NY East Load Projections'!$A$4:$EO$14,((MONTH($A95)-1)*12)+VLOOKUP(AD$4,$DE$6:$DF$17,2)+1))*(VLOOKUP($A95,CURVES!$D$9:$K$261,2))*(INDEX(DailyScalarsTable,AD$5/100,MONTH($A95)))*$B95</f>
        <v>-65706.532555384751</v>
      </c>
      <c r="AE95" s="1021">
        <f>(VLOOKUP(YEAR($A95),'NY East Load Projections'!$A$4:$EO$14,((MONTH($A95)-1)*12)+VLOOKUP(AE$4,$DE$6:$DF$17,2)+1))*(VLOOKUP($A95,CURVES!$D$9:$K$261,6))*(INDEX(DailyScalarsTable,AE$5/100,MONTH($A95)))*$B95</f>
        <v>-46641.892073770316</v>
      </c>
      <c r="AF95" s="1021"/>
      <c r="AG95" s="1021">
        <f>(VLOOKUP(YEAR($A95),'NY East Load Projections'!$A$4:$EO$14,((MONTH($A95)-1)*12)+VLOOKUP(AG$4,$DE$6:$DF$17,2)+1))*(VLOOKUP($A95,CURVES!$D$9:$T$261,6))*(INDEX(DailyScalarsTable,AG$5/100,MONTH($A95)))*$C95</f>
        <v>-7136.512024104989</v>
      </c>
      <c r="AH95" s="1021">
        <f>(VLOOKUP(YEAR($A95),'NY East Load Projections'!$A$4:$EO$14,((MONTH($A95)-1)*12)+VLOOKUP(AH$4,$DE$6:$DF$17,2)+1))*(VLOOKUP($A95,CURVES!$D$9:$T$261,6))*(INDEX(DailyScalarsTable,AH$5/100,MONTH($A95)))*$C95</f>
        <v>-5912.692455087752</v>
      </c>
      <c r="AI95" s="1021">
        <f>(VLOOKUP(YEAR($A95),'NY East Load Projections'!$A$4:$EO$14,((MONTH($A95)-1)*12)+VLOOKUP(AI$4,$DE$6:$DF$17,2)+1))*(VLOOKUP($A95,CURVES!$D$9:$T$261,6))*(INDEX(DailyScalarsTable,AI$5/100,MONTH($A95)))*$C95</f>
        <v>-4970.168727307313</v>
      </c>
      <c r="AJ95" s="1021">
        <f>(VLOOKUP(YEAR($A95),'NY East Load Projections'!$A$4:$EO$14,((MONTH($A95)-1)*12)+VLOOKUP(AJ$4,$DE$6:$DF$17,2)+1))*(VLOOKUP($A95,CURVES!$D$9:$T$261,6))*(INDEX(DailyScalarsTable,AJ$5/100,MONTH($A95)))*$C95</f>
        <v>-4613.9824348321481</v>
      </c>
      <c r="AK95" s="1021">
        <f>(VLOOKUP(YEAR($A95),'NY East Load Projections'!$A$4:$EO$14,((MONTH($A95)-1)*12)+VLOOKUP(AK$4,$DE$6:$DF$17,2)+1))*(VLOOKUP($A95,CURVES!$D$9:$T$261,6))*(INDEX(DailyScalarsTable,AK$5/100,MONTH($A95)))*$C95</f>
        <v>-5059.7528239355415</v>
      </c>
      <c r="AL95" s="1021">
        <f>(VLOOKUP(YEAR($A95),'NY East Load Projections'!$A$4:$EO$14,((MONTH($A95)-1)*12)+VLOOKUP(AL$4,$DE$6:$DF$17,2)+1))*(VLOOKUP($A95,CURVES!$D$9:$T$261,6))*(INDEX(DailyScalarsTable,AL$5/100,MONTH($A95)))*$C95</f>
        <v>-6173.2677702250048</v>
      </c>
      <c r="AM95" s="1021">
        <f>(VLOOKUP(YEAR($A95),'NY East Load Projections'!$A$4:$EO$14,((MONTH($A95)-1)*12)+VLOOKUP(AM$4,$DE$6:$DF$17,2)+1))*(VLOOKUP($A95,CURVES!$D$9:$T$261,6))*(INDEX(DailyScalarsTable,AM$5/100,MONTH($A95)))*$C95</f>
        <v>-7078.114078155083</v>
      </c>
      <c r="AN95" s="1021">
        <f>(VLOOKUP(YEAR($A95),'NY East Load Projections'!$A$4:$EO$14,((MONTH($A95)-1)*12)+VLOOKUP(AN$4,$DE$6:$DF$17,2)+1))*(VLOOKUP($A95,SatSunCurve,2))*(INDEX(DailyScalarsTable,AN$5/100,MONTH($A95)))*$C95</f>
        <v>-5536.2511265432695</v>
      </c>
      <c r="AO95" s="1021">
        <f>(VLOOKUP(YEAR($A95),'NY East Load Projections'!$A$4:$EO$14,((MONTH($A95)-1)*12)+VLOOKUP(AO$4,$DE$6:$DF$17,2)+1))*(VLOOKUP($A95,SatSunCurve,2))*(INDEX(DailyScalarsTable,AO$5/100,MONTH($A95)))*$C95</f>
        <v>-7056.9107004394973</v>
      </c>
      <c r="AP95" s="1021">
        <f>(VLOOKUP(YEAR($A95),'NY East Load Projections'!$A$4:$EO$14,((MONTH($A95)-1)*12)+VLOOKUP(AP$4,$DE$6:$DF$17,2)+1))*(VLOOKUP($A95,SatSunCurve,2))*(INDEX(DailyScalarsTable,AP$5/100,MONTH($A95)))*$C95</f>
        <v>-7893.1020472400387</v>
      </c>
      <c r="AQ95" s="1021">
        <f>(VLOOKUP(YEAR($A95),'NY East Load Projections'!$A$4:$EO$14,((MONTH($A95)-1)*12)+VLOOKUP(AQ$4,$DE$6:$DF$17,2)+1))*(VLOOKUP($A95,SatSunCurve,2))*(INDEX(DailyScalarsTable,AQ$5/100,MONTH($A95)))*$C95</f>
        <v>-9079.3557478047132</v>
      </c>
      <c r="AR95" s="1021">
        <f>(VLOOKUP(YEAR($A95),'NY East Load Projections'!$A$4:$EO$14,((MONTH($A95)-1)*12)+VLOOKUP(AR$4,$DE$6:$DF$17,2)+1))*(VLOOKUP($A95,SatSunCurve,2))*(INDEX(DailyScalarsTable,AR$5/100,MONTH($A95)))*$C95</f>
        <v>-9791.8501498122805</v>
      </c>
      <c r="AS95" s="1021">
        <f>(VLOOKUP(YEAR($A95),'NY East Load Projections'!$A$4:$EO$14,((MONTH($A95)-1)*12)+VLOOKUP(AS$4,$DE$6:$DF$17,2)+1))*(VLOOKUP($A95,SatSunCurve,2))*(INDEX(DailyScalarsTable,AS$5/100,MONTH($A95)))*$C95</f>
        <v>-10438.496764662226</v>
      </c>
      <c r="AT95" s="1021">
        <f>(VLOOKUP(YEAR($A95),'NY East Load Projections'!$A$4:$EO$14,((MONTH($A95)-1)*12)+VLOOKUP(AT$4,$DE$6:$DF$17,2)+1))*(VLOOKUP($A95,SatSunCurve,2))*(INDEX(DailyScalarsTable,AT$5/100,MONTH($A95)))*$C95</f>
        <v>-11543.764292260184</v>
      </c>
      <c r="AU95" s="1021">
        <f>(VLOOKUP(YEAR($A95),'NY East Load Projections'!$A$4:$EO$14,((MONTH($A95)-1)*12)+VLOOKUP(AU$4,$DE$6:$DF$17,2)+1))*(VLOOKUP($A95,SatSunCurve,2))*(INDEX(DailyScalarsTable,AU$5/100,MONTH($A95)))*$C95</f>
        <v>-11632.591762905256</v>
      </c>
      <c r="AV95" s="1021">
        <f>(VLOOKUP(YEAR($A95),'NY East Load Projections'!$A$4:$EO$14,((MONTH($A95)-1)*12)+VLOOKUP(AV$4,$DE$6:$DF$17,2)+1))*(VLOOKUP($A95,SatSunCurve,2))*(INDEX(DailyScalarsTable,AV$5/100,MONTH($A95)))*$C95</f>
        <v>-11651.626220900625</v>
      </c>
      <c r="AW95" s="1021">
        <f>(VLOOKUP(YEAR($A95),'NY East Load Projections'!$A$4:$EO$14,((MONTH($A95)-1)*12)+VLOOKUP(AW$4,$DE$6:$DF$17,2)+1))*(VLOOKUP($A95,SatSunCurve,2))*(INDEX(DailyScalarsTable,AW$5/100,MONTH($A95)))*$C95</f>
        <v>-11327.002963057466</v>
      </c>
      <c r="AX95" s="1021">
        <f>(VLOOKUP(YEAR($A95),'NY East Load Projections'!$A$4:$EO$14,((MONTH($A95)-1)*12)+VLOOKUP(AX$4,$DE$6:$DF$17,2)+1))*(VLOOKUP($A95,SatSunCurve,2))*(INDEX(DailyScalarsTable,AX$5/100,MONTH($A95)))*$C95</f>
        <v>-10990.749633214264</v>
      </c>
      <c r="AY95" s="1021">
        <f>(VLOOKUP(YEAR($A95),'NY East Load Projections'!$A$4:$EO$14,((MONTH($A95)-1)*12)+VLOOKUP(AY$4,$DE$6:$DF$17,2)+1))*(VLOOKUP($A95,SatSunCurve,2))*(INDEX(DailyScalarsTable,AY$5/100,MONTH($A95)))*$C95</f>
        <v>-9384.7454621581037</v>
      </c>
      <c r="AZ95" s="1021">
        <f>(VLOOKUP(YEAR($A95),'NY East Load Projections'!$A$4:$EO$14,((MONTH($A95)-1)*12)+VLOOKUP(AZ$4,$DE$6:$DF$17,2)+1))*(VLOOKUP($A95,SatSunCurve,2))*(INDEX(DailyScalarsTable,AZ$5/100,MONTH($A95)))*$C95</f>
        <v>-7504.3974190999106</v>
      </c>
      <c r="BA95" s="1021">
        <f>(VLOOKUP(YEAR($A95),'NY East Load Projections'!$A$4:$EO$14,((MONTH($A95)-1)*12)+VLOOKUP(BA$4,$DE$6:$DF$17,2)+1))*(VLOOKUP($A95,SatSunCurve,2))*(INDEX(DailyScalarsTable,BA$5/100,MONTH($A95)))*$C95</f>
        <v>-7741.7927372716767</v>
      </c>
      <c r="BB95" s="1021">
        <f>(VLOOKUP(YEAR($A95),'NY East Load Projections'!$A$4:$EO$14,((MONTH($A95)-1)*12)+VLOOKUP(BB$4,$DE$6:$DF$17,2)+1))*(VLOOKUP($A95,SatSunCurve,2))*(INDEX(DailyScalarsTable,BB$5/100,MONTH($A95)))*$C95</f>
        <v>-7888.1469613909858</v>
      </c>
      <c r="BC95" s="1021">
        <f>(VLOOKUP(YEAR($A95),'NY East Load Projections'!$A$4:$EO$14,((MONTH($A95)-1)*12)+VLOOKUP(BC$4,$DE$6:$DF$17,2)+1))*(VLOOKUP($A95,SatSunCurve,2))*(INDEX(DailyScalarsTable,BC$5/100,MONTH($A95)))*$C95</f>
        <v>-6325.4987101643701</v>
      </c>
      <c r="BD95" s="1021">
        <f>(VLOOKUP(YEAR($A95),'NY East Load Projections'!$A$4:$EO$14,((MONTH($A95)-1)*12)+VLOOKUP(BD$4,$DE$6:$DF$17,2)+1))*(VLOOKUP($A95,CURVES!$D$9:$T$261,6))*(INDEX(DailyScalarsTable,BD$5/100,MONTH($A95)))*$C95</f>
        <v>-8795.5225942984471</v>
      </c>
      <c r="BE95" s="1021"/>
      <c r="BF95" s="1021">
        <f>(VLOOKUP(YEAR($A95),'NY East Load Projections'!$A$4:$EO$14,((MONTH($A95)-1)*12)+VLOOKUP(BF$4,$DE$6:$DF$17,2)+1))*(VLOOKUP($A95,CURVES!$D$9:$T$261,6))*(INDEX(DailyScalarsTable,BF$5/100,MONTH($A95)))*$D95</f>
        <v>-8920.6400301312369</v>
      </c>
      <c r="BG95" s="1021">
        <f>(VLOOKUP(YEAR($A95),'NY East Load Projections'!$A$4:$EO$14,((MONTH($A95)-1)*12)+VLOOKUP(BG$4,$DE$6:$DF$17,2)+1))*(VLOOKUP($A95,CURVES!$D$9:$T$261,6))*(INDEX(DailyScalarsTable,BG$5/100,MONTH($A95)))*$D95</f>
        <v>-7390.86556885969</v>
      </c>
      <c r="BH95" s="1021">
        <f>(VLOOKUP(YEAR($A95),'NY East Load Projections'!$A$4:$EO$14,((MONTH($A95)-1)*12)+VLOOKUP(BH$4,$DE$6:$DF$17,2)+1))*(VLOOKUP($A95,CURVES!$D$9:$T$261,6))*(INDEX(DailyScalarsTable,BH$5/100,MONTH($A95)))*$D95</f>
        <v>-6212.7109091341408</v>
      </c>
      <c r="BI95" s="1021">
        <f>(VLOOKUP(YEAR($A95),'NY East Load Projections'!$A$4:$EO$14,((MONTH($A95)-1)*12)+VLOOKUP(BI$4,$DE$6:$DF$17,2)+1))*(VLOOKUP($A95,CURVES!$D$9:$T$261,6))*(INDEX(DailyScalarsTable,BI$5/100,MONTH($A95)))*$D95</f>
        <v>-5767.4780435401854</v>
      </c>
      <c r="BJ95" s="1021">
        <f>(VLOOKUP(YEAR($A95),'NY East Load Projections'!$A$4:$EO$14,((MONTH($A95)-1)*12)+VLOOKUP(BJ$4,$DE$6:$DF$17,2)+1))*(VLOOKUP($A95,CURVES!$D$9:$T$261,6))*(INDEX(DailyScalarsTable,BJ$5/100,MONTH($A95)))*$D95</f>
        <v>-6324.6910299194269</v>
      </c>
      <c r="BK95" s="1021">
        <f>(VLOOKUP(YEAR($A95),'NY East Load Projections'!$A$4:$EO$14,((MONTH($A95)-1)*12)+VLOOKUP(BK$4,$DE$6:$DF$17,2)+1))*(VLOOKUP($A95,CURVES!$D$9:$T$261,6))*(INDEX(DailyScalarsTable,BK$5/100,MONTH($A95)))*$D95</f>
        <v>-7716.5847127812558</v>
      </c>
      <c r="BL95" s="1021">
        <f>(VLOOKUP(YEAR($A95),'NY East Load Projections'!$A$4:$EO$14,((MONTH($A95)-1)*12)+VLOOKUP(BL$4,$DE$6:$DF$17,2)+1))*(VLOOKUP($A95,CURVES!$D$9:$T$261,6))*(INDEX(DailyScalarsTable,BL$5/100,MONTH($A95)))*$D95</f>
        <v>-8847.6425976938535</v>
      </c>
      <c r="BM95" s="1021">
        <f>(VLOOKUP(YEAR($A95),'NY East Load Projections'!$A$4:$EO$14,((MONTH($A95)-1)*12)+VLOOKUP(BM$4,$DE$6:$DF$17,2)+1))*(VLOOKUP($A95,SatSunCurve,6))*(INDEX(DailyScalarsTable,BM$5/100,MONTH($A95)))*$D95</f>
        <v>-5266.6927929501153</v>
      </c>
      <c r="BN95" s="1021">
        <f>(VLOOKUP(YEAR($A95),'NY East Load Projections'!$A$4:$EO$14,((MONTH($A95)-1)*12)+VLOOKUP(BN$4,$DE$6:$DF$17,2)+1))*(VLOOKUP($A95,SatSunCurve,6))*(INDEX(DailyScalarsTable,BN$5/100,MONTH($A95)))*$D95</f>
        <v>-6713.311928410184</v>
      </c>
      <c r="BO95" s="1021">
        <f>(VLOOKUP(YEAR($A95),'NY East Load Projections'!$A$4:$EO$14,((MONTH($A95)-1)*12)+VLOOKUP(BO$4,$DE$6:$DF$17,2)+1))*(VLOOKUP($A95,SatSunCurve,6))*(INDEX(DailyScalarsTable,BO$5/100,MONTH($A95)))*$D95</f>
        <v>-7508.7893804005907</v>
      </c>
      <c r="BP95" s="1021">
        <f>(VLOOKUP(YEAR($A95),'NY East Load Projections'!$A$4:$EO$14,((MONTH($A95)-1)*12)+VLOOKUP(BP$4,$DE$6:$DF$17,2)+1))*(VLOOKUP($A95,SatSunCurve,6))*(INDEX(DailyScalarsTable,BP$5/100,MONTH($A95)))*$D95</f>
        <v>-8637.284759777518</v>
      </c>
      <c r="BQ95" s="1021">
        <f>(VLOOKUP(YEAR($A95),'NY East Load Projections'!$A$4:$EO$14,((MONTH($A95)-1)*12)+VLOOKUP(BQ$4,$DE$6:$DF$17,2)+1))*(VLOOKUP($A95,SatSunCurve,6))*(INDEX(DailyScalarsTable,BQ$5/100,MONTH($A95)))*$D95</f>
        <v>-9315.0880324794052</v>
      </c>
      <c r="BR95" s="1021">
        <f>(VLOOKUP(YEAR($A95),'NY East Load Projections'!$A$4:$EO$14,((MONTH($A95)-1)*12)+VLOOKUP(BR$4,$DE$6:$DF$17,2)+1))*(VLOOKUP($A95,SatSunCurve,6))*(INDEX(DailyScalarsTable,BR$5/100,MONTH($A95)))*$D95</f>
        <v>-9930.2496261591805</v>
      </c>
      <c r="BS95" s="1021">
        <f>(VLOOKUP(YEAR($A95),'NY East Load Projections'!$A$4:$EO$14,((MONTH($A95)-1)*12)+VLOOKUP(BS$4,$DE$6:$DF$17,2)+1))*(VLOOKUP($A95,SatSunCurve,6))*(INDEX(DailyScalarsTable,BS$5/100,MONTH($A95)))*$D95</f>
        <v>-10981.702023969128</v>
      </c>
      <c r="BT95" s="1021">
        <f>(VLOOKUP(YEAR($A95),'NY East Load Projections'!$A$4:$EO$14,((MONTH($A95)-1)*12)+VLOOKUP(BT$4,$DE$6:$DF$17,2)+1))*(VLOOKUP($A95,SatSunCurve,6))*(INDEX(DailyScalarsTable,BT$5/100,MONTH($A95)))*$D95</f>
        <v>-11066.204512886117</v>
      </c>
      <c r="BU95" s="1021">
        <f>(VLOOKUP(YEAR($A95),'NY East Load Projections'!$A$4:$EO$14,((MONTH($A95)-1)*12)+VLOOKUP(BU$4,$DE$6:$DF$17,2)+1))*(VLOOKUP($A95,SatSunCurve,6))*(INDEX(DailyScalarsTable,BU$5/100,MONTH($A95)))*$D95</f>
        <v>-11084.312189082613</v>
      </c>
      <c r="BV95" s="1021">
        <f>(VLOOKUP(YEAR($A95),'NY East Load Projections'!$A$4:$EO$14,((MONTH($A95)-1)*12)+VLOOKUP(BV$4,$DE$6:$DF$17,2)+1))*(VLOOKUP($A95,SatSunCurve,6))*(INDEX(DailyScalarsTable,BV$5/100,MONTH($A95)))*$D95</f>
        <v>-10775.494736003304</v>
      </c>
      <c r="BW95" s="1021">
        <f>(VLOOKUP(YEAR($A95),'NY East Load Projections'!$A$4:$EO$14,((MONTH($A95)-1)*12)+VLOOKUP(BW$4,$DE$6:$DF$17,2)+1))*(VLOOKUP($A95,SatSunCurve,6))*(INDEX(DailyScalarsTable,BW$5/100,MONTH($A95)))*$D95</f>
        <v>-10455.613475487502</v>
      </c>
      <c r="BX95" s="1021">
        <f>(VLOOKUP(YEAR($A95),'NY East Load Projections'!$A$4:$EO$14,((MONTH($A95)-1)*12)+VLOOKUP(BX$4,$DE$6:$DF$17,2)+1))*(VLOOKUP($A95,SatSunCurve,6))*(INDEX(DailyScalarsTable,BX$5/100,MONTH($A95)))*$D95</f>
        <v>-8927.8051445763067</v>
      </c>
      <c r="BY95" s="1021">
        <f>(VLOOKUP(YEAR($A95),'NY East Load Projections'!$A$4:$EO$14,((MONTH($A95)-1)*12)+VLOOKUP(BY$4,$DE$6:$DF$17,2)+1))*(VLOOKUP($A95,SatSunCurve,6))*(INDEX(DailyScalarsTable,BY$5/100,MONTH($A95)))*$D95</f>
        <v>-7139.0106588760509</v>
      </c>
      <c r="BZ95" s="1021">
        <f>(VLOOKUP(YEAR($A95),'NY East Load Projections'!$A$4:$EO$14,((MONTH($A95)-1)*12)+VLOOKUP(BZ$4,$DE$6:$DF$17,2)+1))*(VLOOKUP($A95,SatSunCurve,6))*(INDEX(DailyScalarsTable,BZ$5/100,MONTH($A95)))*$D95</f>
        <v>-7364.8472733498593</v>
      </c>
      <c r="CA95" s="1021">
        <f>(VLOOKUP(YEAR($A95),'NY East Load Projections'!$A$4:$EO$14,((MONTH($A95)-1)*12)+VLOOKUP(CA$4,$DE$6:$DF$17,2)+1))*(VLOOKUP($A95,SatSunCurve,6))*(INDEX(DailyScalarsTable,CA$5/100,MONTH($A95)))*$D95</f>
        <v>-7504.0755561297701</v>
      </c>
      <c r="CB95" s="1021">
        <f>(VLOOKUP(YEAR($A95),'NY East Load Projections'!$A$4:$EO$14,((MONTH($A95)-1)*12)+VLOOKUP(CB$4,$DE$6:$DF$17,2)+1))*(VLOOKUP($A95,SatSunCurve,6))*(INDEX(DailyScalarsTable,CB$5/100,MONTH($A95)))*$D95</f>
        <v>-6017.5121588891598</v>
      </c>
      <c r="CC95" s="1021">
        <f>(VLOOKUP(YEAR($A95),'NY East Load Projections'!$A$4:$EO$14,((MONTH($A95)-1)*12)+VLOOKUP(CC$4,$DE$6:$DF$17,2)+1))*(VLOOKUP($A95,CURVES!$D$9:$T$261,6))*(INDEX(DailyScalarsTable,CC$5/100,MONTH($A95)))*$D95</f>
        <v>-10994.403242873059</v>
      </c>
      <c r="CE95" s="1021">
        <f>(VLOOKUP(YEAR($A95),'NY East Load Projections'!$A$4:$EO$14,((MONTH($A95)-1)*12)+VLOOKUP(CE$4,$DE$6:$DF$17,2)+1))*(VLOOKUP($A95,CURVES!$D$9:$T$261,6))*(INDEX(DailyScalarsTable,CE$5/100,MONTH($A95)))*$E95</f>
        <v>0</v>
      </c>
      <c r="CF95" s="1021">
        <f>(VLOOKUP(YEAR($A95),'NY East Load Projections'!$A$4:$EO$14,((MONTH($A95)-1)*12)+VLOOKUP(CF$4,$DE$6:$DF$17,2)+1))*(VLOOKUP($A95,CURVES!$D$9:$T$261,6))*(INDEX(DailyScalarsTable,CF$5/100,MONTH($A95)))*$E95</f>
        <v>0</v>
      </c>
      <c r="CG95" s="1021">
        <f>(VLOOKUP(YEAR($A95),'NY East Load Projections'!$A$4:$EO$14,((MONTH($A95)-1)*12)+VLOOKUP(CG$4,$DE$6:$DF$17,2)+1))*(VLOOKUP($A95,CURVES!$D$9:$T$261,6))*(INDEX(DailyScalarsTable,CG$5/100,MONTH($A95)))*$E95</f>
        <v>0</v>
      </c>
      <c r="CH95" s="1021">
        <f>(VLOOKUP(YEAR($A95),'NY East Load Projections'!$A$4:$EO$14,((MONTH($A95)-1)*12)+VLOOKUP(CH$4,$DE$6:$DF$17,2)+1))*(VLOOKUP($A95,CURVES!$D$9:$T$261,6))*(INDEX(DailyScalarsTable,CH$5/100,MONTH($A95)))*$E95</f>
        <v>0</v>
      </c>
      <c r="CI95" s="1021">
        <f>(VLOOKUP(YEAR($A95),'NY East Load Projections'!$A$4:$EO$14,((MONTH($A95)-1)*12)+VLOOKUP(CI$4,$DE$6:$DF$17,2)+1))*(VLOOKUP($A95,CURVES!$D$9:$T$261,6))*(INDEX(DailyScalarsTable,CI$5/100,MONTH($A95)))*$E95</f>
        <v>0</v>
      </c>
      <c r="CJ95" s="1021">
        <f>(VLOOKUP(YEAR($A95),'NY East Load Projections'!$A$4:$EO$14,((MONTH($A95)-1)*12)+VLOOKUP(CJ$4,$DE$6:$DF$17,2)+1))*(VLOOKUP($A95,CURVES!$D$9:$T$261,6))*(INDEX(DailyScalarsTable,CJ$5/100,MONTH($A95)))*$E95</f>
        <v>0</v>
      </c>
      <c r="CK95" s="1021">
        <f>(VLOOKUP(YEAR($A95),'NY East Load Projections'!$A$4:$EO$14,((MONTH($A95)-1)*12)+VLOOKUP(CK$4,$DE$6:$DF$17,2)+1))*(VLOOKUP($A95,CURVES!$D$9:$T$261,6))*(INDEX(DailyScalarsTable,CK$5/100,MONTH($A95)))*$E95</f>
        <v>0</v>
      </c>
      <c r="CL95" s="1021">
        <f>(VLOOKUP(YEAR($A95),'NY East Load Projections'!$A$4:$EO$14,((MONTH($A95)-1)*12)+VLOOKUP(CL$4,$DE$6:$DF$17,2)+1))*(VLOOKUP($A95,SatSunCurve,6))*(INDEX(DailyScalarsTable,CL$5/100,MONTH($A95)))*$E95</f>
        <v>0</v>
      </c>
      <c r="CM95" s="1021">
        <f>(VLOOKUP(YEAR($A95),'NY East Load Projections'!$A$4:$EO$14,((MONTH($A95)-1)*12)+VLOOKUP(CM$4,$DE$6:$DF$17,2)+1))*(VLOOKUP($A95,SatSunCurve,6))*(INDEX(DailyScalarsTable,CM$5/100,MONTH($A95)))*$E95</f>
        <v>0</v>
      </c>
      <c r="CN95" s="1021">
        <f>(VLOOKUP(YEAR($A95),'NY East Load Projections'!$A$4:$EO$14,((MONTH($A95)-1)*12)+VLOOKUP(CN$4,$DE$6:$DF$17,2)+1))*(VLOOKUP($A95,SatSunCurve,6))*(INDEX(DailyScalarsTable,CN$5/100,MONTH($A95)))*$E95</f>
        <v>0</v>
      </c>
      <c r="CO95" s="1021">
        <f>(VLOOKUP(YEAR($A95),'NY East Load Projections'!$A$4:$EO$14,((MONTH($A95)-1)*12)+VLOOKUP(CO$4,$DE$6:$DF$17,2)+1))*(VLOOKUP($A95,SatSunCurve,6))*(INDEX(DailyScalarsTable,CO$5/100,MONTH($A95)))*$E95</f>
        <v>0</v>
      </c>
      <c r="CP95" s="1021">
        <f>(VLOOKUP(YEAR($A95),'NY East Load Projections'!$A$4:$EO$14,((MONTH($A95)-1)*12)+VLOOKUP(CP$4,$DE$6:$DF$17,2)+1))*(VLOOKUP($A95,SatSunCurve,6))*(INDEX(DailyScalarsTable,CP$5/100,MONTH($A95)))*$E95</f>
        <v>0</v>
      </c>
      <c r="CQ95" s="1021">
        <f>(VLOOKUP(YEAR($A95),'NY East Load Projections'!$A$4:$EO$14,((MONTH($A95)-1)*12)+VLOOKUP(CQ$4,$DE$6:$DF$17,2)+1))*(VLOOKUP($A95,SatSunCurve,6))*(INDEX(DailyScalarsTable,CQ$5/100,MONTH($A95)))*$E95</f>
        <v>0</v>
      </c>
      <c r="CR95" s="1021">
        <f>(VLOOKUP(YEAR($A95),'NY East Load Projections'!$A$4:$EO$14,((MONTH($A95)-1)*12)+VLOOKUP(CR$4,$DE$6:$DF$17,2)+1))*(VLOOKUP($A95,SatSunCurve,6))*(INDEX(DailyScalarsTable,CR$5/100,MONTH($A95)))*$E95</f>
        <v>0</v>
      </c>
      <c r="CS95" s="1021">
        <f>(VLOOKUP(YEAR($A95),'NY East Load Projections'!$A$4:$EO$14,((MONTH($A95)-1)*12)+VLOOKUP(CS$4,$DE$6:$DF$17,2)+1))*(VLOOKUP($A95,SatSunCurve,6))*(INDEX(DailyScalarsTable,CS$5/100,MONTH($A95)))*$E95</f>
        <v>0</v>
      </c>
      <c r="CT95" s="1021">
        <f>(VLOOKUP(YEAR($A95),'NY East Load Projections'!$A$4:$EO$14,((MONTH($A95)-1)*12)+VLOOKUP(CT$4,$DE$6:$DF$17,2)+1))*(VLOOKUP($A95,SatSunCurve,6))*(INDEX(DailyScalarsTable,CT$5/100,MONTH($A95)))*$E95</f>
        <v>0</v>
      </c>
      <c r="CU95" s="1021">
        <f>(VLOOKUP(YEAR($A95),'NY East Load Projections'!$A$4:$EO$14,((MONTH($A95)-1)*12)+VLOOKUP(CU$4,$DE$6:$DF$17,2)+1))*(VLOOKUP($A95,SatSunCurve,6))*(INDEX(DailyScalarsTable,CU$5/100,MONTH($A95)))*$E95</f>
        <v>0</v>
      </c>
      <c r="CV95" s="1021">
        <f>(VLOOKUP(YEAR($A95),'NY East Load Projections'!$A$4:$EO$14,((MONTH($A95)-1)*12)+VLOOKUP(CV$4,$DE$6:$DF$17,2)+1))*(VLOOKUP($A95,SatSunCurve,6))*(INDEX(DailyScalarsTable,CV$5/100,MONTH($A95)))*$E95</f>
        <v>0</v>
      </c>
      <c r="CW95" s="1021">
        <f>(VLOOKUP(YEAR($A95),'NY East Load Projections'!$A$4:$EO$14,((MONTH($A95)-1)*12)+VLOOKUP(CW$4,$DE$6:$DF$17,2)+1))*(VLOOKUP($A95,SatSunCurve,6))*(INDEX(DailyScalarsTable,CW$5/100,MONTH($A95)))*$E95</f>
        <v>0</v>
      </c>
      <c r="CX95" s="1021">
        <f>(VLOOKUP(YEAR($A95),'NY East Load Projections'!$A$4:$EO$14,((MONTH($A95)-1)*12)+VLOOKUP(CX$4,$DE$6:$DF$17,2)+1))*(VLOOKUP($A95,SatSunCurve,6))*(INDEX(DailyScalarsTable,CX$5/100,MONTH($A95)))*$E95</f>
        <v>0</v>
      </c>
      <c r="CY95" s="1021">
        <f>(VLOOKUP(YEAR($A95),'NY East Load Projections'!$A$4:$EO$14,((MONTH($A95)-1)*12)+VLOOKUP(CY$4,$DE$6:$DF$17,2)+1))*(VLOOKUP($A95,SatSunCurve,6))*(INDEX(DailyScalarsTable,CY$5/100,MONTH($A95)))*$E95</f>
        <v>0</v>
      </c>
      <c r="CZ95" s="1021">
        <f>(VLOOKUP(YEAR($A95),'NY East Load Projections'!$A$4:$EO$14,((MONTH($A95)-1)*12)+VLOOKUP(CZ$4,$DE$6:$DF$17,2)+1))*(VLOOKUP($A95,SatSunCurve,6))*(INDEX(DailyScalarsTable,CZ$5/100,MONTH($A95)))*$E95</f>
        <v>0</v>
      </c>
      <c r="DA95" s="1021">
        <f>(VLOOKUP(YEAR($A95),'NY East Load Projections'!$A$4:$EO$14,((MONTH($A95)-1)*12)+VLOOKUP(DA$4,$DE$6:$DF$17,2)+1))*(VLOOKUP($A95,SatSunCurve,6))*(INDEX(DailyScalarsTable,DA$5/100,MONTH($A95)))*$E95</f>
        <v>0</v>
      </c>
      <c r="DB95" s="1021">
        <f>(VLOOKUP(YEAR($A95),'NY East Load Projections'!$A$4:$EO$14,((MONTH($A95)-1)*12)+VLOOKUP(DB$4,$DE$6:$DF$17,2)+1))*(VLOOKUP($A95,CURVES!$D$9:$T$261,6))*(INDEX(DailyScalarsTable,DB$5/100,MONTH($A95)))*$E95</f>
        <v>0</v>
      </c>
      <c r="DH95" s="1021">
        <f t="shared" si="2"/>
        <v>-2228198.6858887593</v>
      </c>
      <c r="DI95">
        <f ca="1">CALC!J115</f>
        <v>0.54429372116598296</v>
      </c>
      <c r="DJ95" s="1029">
        <f t="shared" ca="1" si="3"/>
        <v>-1212794.5542395459</v>
      </c>
    </row>
    <row r="96" spans="1:114" x14ac:dyDescent="0.25">
      <c r="A96" s="244">
        <v>39630</v>
      </c>
      <c r="B96" s="13">
        <v>22</v>
      </c>
      <c r="C96" s="210">
        <v>4</v>
      </c>
      <c r="D96" s="210">
        <v>4</v>
      </c>
      <c r="E96" s="210">
        <v>1</v>
      </c>
      <c r="F96" s="13">
        <v>31</v>
      </c>
      <c r="H96" s="1021">
        <f>(VLOOKUP(YEAR($A96),'NY East Load Projections'!$A$4:$EO$14,((MONTH($A96)-1)*12)+VLOOKUP(H$4,$DE$6:$DF$17,2)+1))*(VLOOKUP($A96,CURVES!$D$9:$K$261,6))*(INDEX(DailyScalarsTable,H$5/100,MONTH($A96)))*$B96</f>
        <v>-49667.474973092088</v>
      </c>
      <c r="I96" s="1021">
        <f>(VLOOKUP(YEAR($A96),'NY East Load Projections'!$A$4:$EO$14,((MONTH($A96)-1)*12)+VLOOKUP(I$4,$DE$6:$DF$17,2)+1))*(VLOOKUP($A96,CURVES!$D$9:$K$261,6))*(INDEX(DailyScalarsTable,I$5/100,MONTH($A96)))*$B96</f>
        <v>-45367.931419172623</v>
      </c>
      <c r="J96" s="1021">
        <f>(VLOOKUP(YEAR($A96),'NY East Load Projections'!$A$4:$EO$14,((MONTH($A96)-1)*12)+VLOOKUP(J$4,$DE$6:$DF$17,2)+1))*(VLOOKUP($A96,CURVES!$D$9:$K$261,6))*(INDEX(DailyScalarsTable,J$5/100,MONTH($A96)))*$B96</f>
        <v>-43227.843298865875</v>
      </c>
      <c r="K96" s="1021">
        <f>(VLOOKUP(YEAR($A96),'NY East Load Projections'!$A$4:$EO$14,((MONTH($A96)-1)*12)+VLOOKUP(K$4,$DE$6:$DF$17,2)+1))*(VLOOKUP($A96,CURVES!$D$9:$K$261,6))*(INDEX(DailyScalarsTable,K$5/100,MONTH($A96)))*$B96</f>
        <v>-38928.299744946409</v>
      </c>
      <c r="L96" s="1021">
        <f>(VLOOKUP(YEAR($A96),'NY East Load Projections'!$A$4:$EO$14,((MONTH($A96)-1)*12)+VLOOKUP(L$4,$DE$6:$DF$17,2)+1))*(VLOOKUP($A96,CURVES!$D$9:$K$261,6))*(INDEX(DailyScalarsTable,L$5/100,MONTH($A96)))*$B96</f>
        <v>-39459.146591656485</v>
      </c>
      <c r="M96" s="1021">
        <f>(VLOOKUP(YEAR($A96),'NY East Load Projections'!$A$4:$EO$14,((MONTH($A96)-1)*12)+VLOOKUP(M$4,$DE$6:$DF$17,2)+1))*(VLOOKUP($A96,CURVES!$D$9:$K$261,6))*(INDEX(DailyScalarsTable,M$5/100,MONTH($A96)))*$B96</f>
        <v>-43502.261454690459</v>
      </c>
      <c r="N96" s="1021">
        <f>(VLOOKUP(YEAR($A96),'NY East Load Projections'!$A$4:$EO$14,((MONTH($A96)-1)*12)+VLOOKUP(N$4,$DE$6:$DF$17,2)+1))*(VLOOKUP($A96,CURVES!$D$9:$K$261,6))*(INDEX(DailyScalarsTable,N$5/100,MONTH($A96)))*$B96</f>
        <v>-48310.569412007084</v>
      </c>
      <c r="O96" s="1021">
        <f>(VLOOKUP(YEAR($A96),'NY East Load Projections'!$A$4:$EO$14,((MONTH($A96)-1)*12)+VLOOKUP(O$4,$DE$6:$DF$17,2)+1))*(VLOOKUP($A96,CURVES!$D$9:$K$261,2))*(INDEX(DailyScalarsTable,O$5/100,MONTH($A96)))*$B96</f>
        <v>-87335.468806715435</v>
      </c>
      <c r="P96" s="1021">
        <f>(VLOOKUP(YEAR($A96),'NY East Load Projections'!$A$4:$EO$14,((MONTH($A96)-1)*12)+VLOOKUP(P$4,$DE$6:$DF$17,2)+1))*(VLOOKUP($A96,CURVES!$D$9:$K$261,2))*(INDEX(DailyScalarsTable,P$5/100,MONTH($A96)))*$B96</f>
        <v>-104971.08982173527</v>
      </c>
      <c r="Q96" s="1021">
        <f>(VLOOKUP(YEAR($A96),'NY East Load Projections'!$A$4:$EO$14,((MONTH($A96)-1)*12)+VLOOKUP(Q$4,$DE$6:$DF$17,2)+1))*(VLOOKUP($A96,CURVES!$D$9:$K$261,2))*(INDEX(DailyScalarsTable,Q$5/100,MONTH($A96)))*$B96</f>
        <v>-125679.17048911145</v>
      </c>
      <c r="R96" s="1021">
        <f>(VLOOKUP(YEAR($A96),'NY East Load Projections'!$A$4:$EO$14,((MONTH($A96)-1)*12)+VLOOKUP(R$4,$DE$6:$DF$17,2)+1))*(VLOOKUP($A96,CURVES!$D$9:$K$261,2))*(INDEX(DailyScalarsTable,R$5/100,MONTH($A96)))*$B96</f>
        <v>-143009.65110461504</v>
      </c>
      <c r="S96" s="1021">
        <f>(VLOOKUP(YEAR($A96),'NY East Load Projections'!$A$4:$EO$14,((MONTH($A96)-1)*12)+VLOOKUP(S$4,$DE$6:$DF$17,2)+1))*(VLOOKUP($A96,CURVES!$D$9:$K$261,2))*(INDEX(DailyScalarsTable,S$5/100,MONTH($A96)))*$B96</f>
        <v>-170974.40961269574</v>
      </c>
      <c r="T96" s="1021">
        <f>(VLOOKUP(YEAR($A96),'NY East Load Projections'!$A$4:$EO$14,((MONTH($A96)-1)*12)+VLOOKUP(T$4,$DE$6:$DF$17,2)+1))*(VLOOKUP($A96,CURVES!$D$9:$K$261,2))*(INDEX(DailyScalarsTable,T$5/100,MONTH($A96)))*$B96</f>
        <v>-191856.553624327</v>
      </c>
      <c r="U96" s="1021">
        <f>(VLOOKUP(YEAR($A96),'NY East Load Projections'!$A$4:$EO$14,((MONTH($A96)-1)*12)+VLOOKUP(U$4,$DE$6:$DF$17,2)+1))*(VLOOKUP($A96,CURVES!$D$9:$K$261,2))*(INDEX(DailyScalarsTable,U$5/100,MONTH($A96)))*$B96</f>
        <v>-198313.84213860851</v>
      </c>
      <c r="V96" s="1021">
        <f>(VLOOKUP(YEAR($A96),'NY East Load Projections'!$A$4:$EO$14,((MONTH($A96)-1)*12)+VLOOKUP(V$4,$DE$6:$DF$17,2)+1))*(VLOOKUP($A96,CURVES!$D$9:$K$261,2))*(INDEX(DailyScalarsTable,V$5/100,MONTH($A96)))*$B96</f>
        <v>-206573.16465687548</v>
      </c>
      <c r="W96" s="1021">
        <f>(VLOOKUP(YEAR($A96),'NY East Load Projections'!$A$4:$EO$14,((MONTH($A96)-1)*12)+VLOOKUP(W$4,$DE$6:$DF$17,2)+1))*(VLOOKUP($A96,CURVES!$D$9:$K$261,2))*(INDEX(DailyScalarsTable,W$5/100,MONTH($A96)))*$B96</f>
        <v>-219232.45353487396</v>
      </c>
      <c r="X96" s="1021">
        <f>(VLOOKUP(YEAR($A96),'NY East Load Projections'!$A$4:$EO$14,((MONTH($A96)-1)*12)+VLOOKUP(X$4,$DE$6:$DF$17,2)+1))*(VLOOKUP($A96,CURVES!$D$9:$K$261,2))*(INDEX(DailyScalarsTable,X$5/100,MONTH($A96)))*$B96</f>
        <v>-216435.28675158703</v>
      </c>
      <c r="Y96" s="1021">
        <f>(VLOOKUP(YEAR($A96),'NY East Load Projections'!$A$4:$EO$14,((MONTH($A96)-1)*12)+VLOOKUP(Y$4,$DE$6:$DF$17,2)+1))*(VLOOKUP($A96,CURVES!$D$9:$K$261,2))*(INDEX(DailyScalarsTable,Y$5/100,MONTH($A96)))*$B96</f>
        <v>-211072.00552055243</v>
      </c>
      <c r="Z96" s="1021">
        <f>(VLOOKUP(YEAR($A96),'NY East Load Projections'!$A$4:$EO$14,((MONTH($A96)-1)*12)+VLOOKUP(Z$4,$DE$6:$DF$17,2)+1))*(VLOOKUP($A96,CURVES!$D$9:$K$261,2))*(INDEX(DailyScalarsTable,Z$5/100,MONTH($A96)))*$B96</f>
        <v>-176290.61802498144</v>
      </c>
      <c r="AA96" s="1021">
        <f>(VLOOKUP(YEAR($A96),'NY East Load Projections'!$A$4:$EO$14,((MONTH($A96)-1)*12)+VLOOKUP(AA$4,$DE$6:$DF$17,2)+1))*(VLOOKUP($A96,CURVES!$D$9:$K$261,2))*(INDEX(DailyScalarsTable,AA$5/100,MONTH($A96)))*$B96</f>
        <v>-130448.37140524434</v>
      </c>
      <c r="AB96" s="1021">
        <f>(VLOOKUP(YEAR($A96),'NY East Load Projections'!$A$4:$EO$14,((MONTH($A96)-1)*12)+VLOOKUP(AB$4,$DE$6:$DF$17,2)+1))*(VLOOKUP($A96,CURVES!$D$9:$K$261,2))*(INDEX(DailyScalarsTable,AB$5/100,MONTH($A96)))*$B96</f>
        <v>-131513.56322248824</v>
      </c>
      <c r="AC96" s="1021">
        <f>(VLOOKUP(YEAR($A96),'NY East Load Projections'!$A$4:$EO$14,((MONTH($A96)-1)*12)+VLOOKUP(AC$4,$DE$6:$DF$17,2)+1))*(VLOOKUP($A96,CURVES!$D$9:$K$261,2))*(INDEX(DailyScalarsTable,AC$5/100,MONTH($A96)))*$B96</f>
        <v>-139356.41901252684</v>
      </c>
      <c r="AD96" s="1021">
        <f>(VLOOKUP(YEAR($A96),'NY East Load Projections'!$A$4:$EO$14,((MONTH($A96)-1)*12)+VLOOKUP(AD$4,$DE$6:$DF$17,2)+1))*(VLOOKUP($A96,CURVES!$D$9:$K$261,2))*(INDEX(DailyScalarsTable,AD$5/100,MONTH($A96)))*$B96</f>
        <v>-96777.130990256541</v>
      </c>
      <c r="AE96" s="1021">
        <f>(VLOOKUP(YEAR($A96),'NY East Load Projections'!$A$4:$EO$14,((MONTH($A96)-1)*12)+VLOOKUP(AE$4,$DE$6:$DF$17,2)+1))*(VLOOKUP($A96,CURVES!$D$9:$K$261,6))*(INDEX(DailyScalarsTable,AE$5/100,MONTH($A96)))*$B96</f>
        <v>-58691.983739683455</v>
      </c>
      <c r="AF96" s="1021"/>
      <c r="AG96" s="1021">
        <f>(VLOOKUP(YEAR($A96),'NY East Load Projections'!$A$4:$EO$14,((MONTH($A96)-1)*12)+VLOOKUP(AG$4,$DE$6:$DF$17,2)+1))*(VLOOKUP($A96,CURVES!$D$9:$T$261,6))*(INDEX(DailyScalarsTable,AG$5/100,MONTH($A96)))*$C96</f>
        <v>-8628.1561560680675</v>
      </c>
      <c r="AH96" s="1021">
        <f>(VLOOKUP(YEAR($A96),'NY East Load Projections'!$A$4:$EO$14,((MONTH($A96)-1)*12)+VLOOKUP(AH$4,$DE$6:$DF$17,2)+1))*(VLOOKUP($A96,CURVES!$D$9:$T$261,6))*(INDEX(DailyScalarsTable,AH$5/100,MONTH($A96)))*$C96</f>
        <v>-7881.246167123978</v>
      </c>
      <c r="AI96" s="1021">
        <f>(VLOOKUP(YEAR($A96),'NY East Load Projections'!$A$4:$EO$14,((MONTH($A96)-1)*12)+VLOOKUP(AI$4,$DE$6:$DF$17,2)+1))*(VLOOKUP($A96,CURVES!$D$9:$T$261,6))*(INDEX(DailyScalarsTable,AI$5/100,MONTH($A96)))*$C96</f>
        <v>-7509.4734023567653</v>
      </c>
      <c r="AJ96" s="1021">
        <f>(VLOOKUP(YEAR($A96),'NY East Load Projections'!$A$4:$EO$14,((MONTH($A96)-1)*12)+VLOOKUP(AJ$4,$DE$6:$DF$17,2)+1))*(VLOOKUP($A96,CURVES!$D$9:$T$261,6))*(INDEX(DailyScalarsTable,AJ$5/100,MONTH($A96)))*$C96</f>
        <v>-6762.5634134126758</v>
      </c>
      <c r="AK96" s="1021">
        <f>(VLOOKUP(YEAR($A96),'NY East Load Projections'!$A$4:$EO$14,((MONTH($A96)-1)*12)+VLOOKUP(AK$4,$DE$6:$DF$17,2)+1))*(VLOOKUP($A96,CURVES!$D$9:$T$261,6))*(INDEX(DailyScalarsTable,AK$5/100,MONTH($A96)))*$C96</f>
        <v>-6518.2932445873548</v>
      </c>
      <c r="AL96" s="1021">
        <f>(VLOOKUP(YEAR($A96),'NY East Load Projections'!$A$4:$EO$14,((MONTH($A96)-1)*12)+VLOOKUP(AL$4,$DE$6:$DF$17,2)+1))*(VLOOKUP($A96,CURVES!$D$9:$T$261,6))*(INDEX(DailyScalarsTable,AL$5/100,MONTH($A96)))*$C96</f>
        <v>-7186.1791614200729</v>
      </c>
      <c r="AM96" s="1021">
        <f>(VLOOKUP(YEAR($A96),'NY East Load Projections'!$A$4:$EO$14,((MONTH($A96)-1)*12)+VLOOKUP(AM$4,$DE$6:$DF$17,2)+1))*(VLOOKUP($A96,CURVES!$D$9:$T$261,6))*(INDEX(DailyScalarsTable,AM$5/100,MONTH($A96)))*$C96</f>
        <v>-7980.46803949479</v>
      </c>
      <c r="AN96" s="1021">
        <f>(VLOOKUP(YEAR($A96),'NY East Load Projections'!$A$4:$EO$14,((MONTH($A96)-1)*12)+VLOOKUP(AN$4,$DE$6:$DF$17,2)+1))*(VLOOKUP($A96,SatSunCurve,2))*(INDEX(DailyScalarsTable,AN$5/100,MONTH($A96)))*$C96</f>
        <v>-7803.6859894467334</v>
      </c>
      <c r="AO96" s="1021">
        <f>(VLOOKUP(YEAR($A96),'NY East Load Projections'!$A$4:$EO$14,((MONTH($A96)-1)*12)+VLOOKUP(AO$4,$DE$6:$DF$17,2)+1))*(VLOOKUP($A96,SatSunCurve,2))*(INDEX(DailyScalarsTable,AO$5/100,MONTH($A96)))*$C96</f>
        <v>-9378.2882216804774</v>
      </c>
      <c r="AP96" s="1021">
        <f>(VLOOKUP(YEAR($A96),'NY East Load Projections'!$A$4:$EO$14,((MONTH($A96)-1)*12)+VLOOKUP(AP$4,$DE$6:$DF$17,2)+1))*(VLOOKUP($A96,SatSunCurve,2))*(INDEX(DailyScalarsTable,AP$5/100,MONTH($A96)))*$C96</f>
        <v>-11228.381893626436</v>
      </c>
      <c r="AQ96" s="1021">
        <f>(VLOOKUP(YEAR($A96),'NY East Load Projections'!$A$4:$EO$14,((MONTH($A96)-1)*12)+VLOOKUP(AQ$4,$DE$6:$DF$17,2)+1))*(VLOOKUP($A96,SatSunCurve,2))*(INDEX(DailyScalarsTable,AQ$5/100,MONTH($A96)))*$C96</f>
        <v>-12776.71527292594</v>
      </c>
      <c r="AR96" s="1021">
        <f>(VLOOKUP(YEAR($A96),'NY East Load Projections'!$A$4:$EO$14,((MONTH($A96)-1)*12)+VLOOKUP(AR$4,$DE$6:$DF$17,2)+1))*(VLOOKUP($A96,SatSunCurve,2))*(INDEX(DailyScalarsTable,AR$5/100,MONTH($A96)))*$C96</f>
        <v>-15275.132368374334</v>
      </c>
      <c r="AS96" s="1021">
        <f>(VLOOKUP(YEAR($A96),'NY East Load Projections'!$A$4:$EO$14,((MONTH($A96)-1)*12)+VLOOKUP(AS$4,$DE$6:$DF$17,2)+1))*(VLOOKUP($A96,SatSunCurve,2))*(INDEX(DailyScalarsTable,AS$5/100,MONTH($A96)))*$C96</f>
        <v>-17354.91178184035</v>
      </c>
      <c r="AT96" s="1021">
        <f>(VLOOKUP(YEAR($A96),'NY East Load Projections'!$A$4:$EO$14,((MONTH($A96)-1)*12)+VLOOKUP(AT$4,$DE$6:$DF$17,2)+1))*(VLOOKUP($A96,SatSunCurve,2))*(INDEX(DailyScalarsTable,AT$5/100,MONTH($A96)))*$C96</f>
        <v>-17939.023559093897</v>
      </c>
      <c r="AU96" s="1021">
        <f>(VLOOKUP(YEAR($A96),'NY East Load Projections'!$A$4:$EO$14,((MONTH($A96)-1)*12)+VLOOKUP(AU$4,$DE$6:$DF$17,2)+1))*(VLOOKUP($A96,SatSunCurve,2))*(INDEX(DailyScalarsTable,AU$5/100,MONTH($A96)))*$C96</f>
        <v>-18686.143274185644</v>
      </c>
      <c r="AV96" s="1021">
        <f>(VLOOKUP(YEAR($A96),'NY East Load Projections'!$A$4:$EO$14,((MONTH($A96)-1)*12)+VLOOKUP(AV$4,$DE$6:$DF$17,2)+1))*(VLOOKUP($A96,SatSunCurve,2))*(INDEX(DailyScalarsTable,AV$5/100,MONTH($A96)))*$C96</f>
        <v>-19831.274037499003</v>
      </c>
      <c r="AW96" s="1021">
        <f>(VLOOKUP(YEAR($A96),'NY East Load Projections'!$A$4:$EO$14,((MONTH($A96)-1)*12)+VLOOKUP(AW$4,$DE$6:$DF$17,2)+1))*(VLOOKUP($A96,SatSunCurve,2))*(INDEX(DailyScalarsTable,AW$5/100,MONTH($A96)))*$C96</f>
        <v>-19367.096044370312</v>
      </c>
      <c r="AX96" s="1021">
        <f>(VLOOKUP(YEAR($A96),'NY East Load Projections'!$A$4:$EO$14,((MONTH($A96)-1)*12)+VLOOKUP(AX$4,$DE$6:$DF$17,2)+1))*(VLOOKUP($A96,SatSunCurve,2))*(INDEX(DailyScalarsTable,AX$5/100,MONTH($A96)))*$C96</f>
        <v>-18887.178077788303</v>
      </c>
      <c r="AY96" s="1021">
        <f>(VLOOKUP(YEAR($A96),'NY East Load Projections'!$A$4:$EO$14,((MONTH($A96)-1)*12)+VLOOKUP(AY$4,$DE$6:$DF$17,2)+1))*(VLOOKUP($A96,SatSunCurve,2))*(INDEX(DailyScalarsTable,AY$5/100,MONTH($A96)))*$C96</f>
        <v>-15774.864543829661</v>
      </c>
      <c r="AZ96" s="1021">
        <f>(VLOOKUP(YEAR($A96),'NY East Load Projections'!$A$4:$EO$14,((MONTH($A96)-1)*12)+VLOOKUP(AZ$4,$DE$6:$DF$17,2)+1))*(VLOOKUP($A96,SatSunCurve,2))*(INDEX(DailyScalarsTable,AZ$5/100,MONTH($A96)))*$C96</f>
        <v>-11672.801490714093</v>
      </c>
      <c r="BA96" s="1021">
        <f>(VLOOKUP(YEAR($A96),'NY East Load Projections'!$A$4:$EO$14,((MONTH($A96)-1)*12)+VLOOKUP(BA$4,$DE$6:$DF$17,2)+1))*(VLOOKUP($A96,SatSunCurve,2))*(INDEX(DailyScalarsTable,BA$5/100,MONTH($A96)))*$C96</f>
        <v>-12233.892109881923</v>
      </c>
      <c r="BB96" s="1021">
        <f>(VLOOKUP(YEAR($A96),'NY East Load Projections'!$A$4:$EO$14,((MONTH($A96)-1)*12)+VLOOKUP(BB$4,$DE$6:$DF$17,2)+1))*(VLOOKUP($A96,SatSunCurve,2))*(INDEX(DailyScalarsTable,BB$5/100,MONTH($A96)))*$C96</f>
        <v>-12963.464400508508</v>
      </c>
      <c r="BC96" s="1021">
        <f>(VLOOKUP(YEAR($A96),'NY East Load Projections'!$A$4:$EO$14,((MONTH($A96)-1)*12)+VLOOKUP(BC$4,$DE$6:$DF$17,2)+1))*(VLOOKUP($A96,SatSunCurve,2))*(INDEX(DailyScalarsTable,BC$5/100,MONTH($A96)))*$C96</f>
        <v>-9002.5769983567479</v>
      </c>
      <c r="BD96" s="1021">
        <f>(VLOOKUP(YEAR($A96),'NY East Load Projections'!$A$4:$EO$14,((MONTH($A96)-1)*12)+VLOOKUP(BD$4,$DE$6:$DF$17,2)+1))*(VLOOKUP($A96,CURVES!$D$9:$T$261,6))*(INDEX(DailyScalarsTable,BD$5/100,MONTH($A96)))*$C96</f>
        <v>-10093.690096272383</v>
      </c>
      <c r="BE96" s="1021"/>
      <c r="BF96" s="1021">
        <f>(VLOOKUP(YEAR($A96),'NY East Load Projections'!$A$4:$EO$14,((MONTH($A96)-1)*12)+VLOOKUP(BF$4,$DE$6:$DF$17,2)+1))*(VLOOKUP($A96,CURVES!$D$9:$T$261,6))*(INDEX(DailyScalarsTable,BF$5/100,MONTH($A96)))*$D96</f>
        <v>-8628.1561560680675</v>
      </c>
      <c r="BG96" s="1021">
        <f>(VLOOKUP(YEAR($A96),'NY East Load Projections'!$A$4:$EO$14,((MONTH($A96)-1)*12)+VLOOKUP(BG$4,$DE$6:$DF$17,2)+1))*(VLOOKUP($A96,CURVES!$D$9:$T$261,6))*(INDEX(DailyScalarsTable,BG$5/100,MONTH($A96)))*$D96</f>
        <v>-7881.246167123978</v>
      </c>
      <c r="BH96" s="1021">
        <f>(VLOOKUP(YEAR($A96),'NY East Load Projections'!$A$4:$EO$14,((MONTH($A96)-1)*12)+VLOOKUP(BH$4,$DE$6:$DF$17,2)+1))*(VLOOKUP($A96,CURVES!$D$9:$T$261,6))*(INDEX(DailyScalarsTable,BH$5/100,MONTH($A96)))*$D96</f>
        <v>-7509.4734023567653</v>
      </c>
      <c r="BI96" s="1021">
        <f>(VLOOKUP(YEAR($A96),'NY East Load Projections'!$A$4:$EO$14,((MONTH($A96)-1)*12)+VLOOKUP(BI$4,$DE$6:$DF$17,2)+1))*(VLOOKUP($A96,CURVES!$D$9:$T$261,6))*(INDEX(DailyScalarsTable,BI$5/100,MONTH($A96)))*$D96</f>
        <v>-6762.5634134126758</v>
      </c>
      <c r="BJ96" s="1021">
        <f>(VLOOKUP(YEAR($A96),'NY East Load Projections'!$A$4:$EO$14,((MONTH($A96)-1)*12)+VLOOKUP(BJ$4,$DE$6:$DF$17,2)+1))*(VLOOKUP($A96,CURVES!$D$9:$T$261,6))*(INDEX(DailyScalarsTable,BJ$5/100,MONTH($A96)))*$D96</f>
        <v>-6518.2932445873548</v>
      </c>
      <c r="BK96" s="1021">
        <f>(VLOOKUP(YEAR($A96),'NY East Load Projections'!$A$4:$EO$14,((MONTH($A96)-1)*12)+VLOOKUP(BK$4,$DE$6:$DF$17,2)+1))*(VLOOKUP($A96,CURVES!$D$9:$T$261,6))*(INDEX(DailyScalarsTable,BK$5/100,MONTH($A96)))*$D96</f>
        <v>-7186.1791614200729</v>
      </c>
      <c r="BL96" s="1021">
        <f>(VLOOKUP(YEAR($A96),'NY East Load Projections'!$A$4:$EO$14,((MONTH($A96)-1)*12)+VLOOKUP(BL$4,$DE$6:$DF$17,2)+1))*(VLOOKUP($A96,CURVES!$D$9:$T$261,6))*(INDEX(DailyScalarsTable,BL$5/100,MONTH($A96)))*$D96</f>
        <v>-7980.46803949479</v>
      </c>
      <c r="BM96" s="1021">
        <f>(VLOOKUP(YEAR($A96),'NY East Load Projections'!$A$4:$EO$14,((MONTH($A96)-1)*12)+VLOOKUP(BM$4,$DE$6:$DF$17,2)+1))*(VLOOKUP($A96,SatSunCurve,6))*(INDEX(DailyScalarsTable,BM$5/100,MONTH($A96)))*$D96</f>
        <v>-5652.7230271734243</v>
      </c>
      <c r="BN96" s="1021">
        <f>(VLOOKUP(YEAR($A96),'NY East Load Projections'!$A$4:$EO$14,((MONTH($A96)-1)*12)+VLOOKUP(BN$4,$DE$6:$DF$17,2)+1))*(VLOOKUP($A96,SatSunCurve,6))*(INDEX(DailyScalarsTable,BN$5/100,MONTH($A96)))*$D96</f>
        <v>-6793.3109889165398</v>
      </c>
      <c r="BO96" s="1021">
        <f>(VLOOKUP(YEAR($A96),'NY East Load Projections'!$A$4:$EO$14,((MONTH($A96)-1)*12)+VLOOKUP(BO$4,$DE$6:$DF$17,2)+1))*(VLOOKUP($A96,SatSunCurve,6))*(INDEX(DailyScalarsTable,BO$5/100,MONTH($A96)))*$D96</f>
        <v>-8133.4555201008616</v>
      </c>
      <c r="BP96" s="1021">
        <f>(VLOOKUP(YEAR($A96),'NY East Load Projections'!$A$4:$EO$14,((MONTH($A96)-1)*12)+VLOOKUP(BP$4,$DE$6:$DF$17,2)+1))*(VLOOKUP($A96,SatSunCurve,6))*(INDEX(DailyScalarsTable,BP$5/100,MONTH($A96)))*$D96</f>
        <v>-9255.0152239054041</v>
      </c>
      <c r="BQ96" s="1021">
        <f>(VLOOKUP(YEAR($A96),'NY East Load Projections'!$A$4:$EO$14,((MONTH($A96)-1)*12)+VLOOKUP(BQ$4,$DE$6:$DF$17,2)+1))*(VLOOKUP($A96,SatSunCurve,6))*(INDEX(DailyScalarsTable,BQ$5/100,MONTH($A96)))*$D96</f>
        <v>-11064.783052342356</v>
      </c>
      <c r="BR96" s="1021">
        <f>(VLOOKUP(YEAR($A96),'NY East Load Projections'!$A$4:$EO$14,((MONTH($A96)-1)*12)+VLOOKUP(BR$4,$DE$6:$DF$17,2)+1))*(VLOOKUP($A96,SatSunCurve,6))*(INDEX(DailyScalarsTable,BR$5/100,MONTH($A96)))*$D96</f>
        <v>-12571.30407302916</v>
      </c>
      <c r="BS96" s="1021">
        <f>(VLOOKUP(YEAR($A96),'NY East Load Projections'!$A$4:$EO$14,((MONTH($A96)-1)*12)+VLOOKUP(BS$4,$DE$6:$DF$17,2)+1))*(VLOOKUP($A96,SatSunCurve,6))*(INDEX(DailyScalarsTable,BS$5/100,MONTH($A96)))*$D96</f>
        <v>-12994.41465156724</v>
      </c>
      <c r="BT96" s="1021">
        <f>(VLOOKUP(YEAR($A96),'NY East Load Projections'!$A$4:$EO$14,((MONTH($A96)-1)*12)+VLOOKUP(BT$4,$DE$6:$DF$17,2)+1))*(VLOOKUP($A96,SatSunCurve,6))*(INDEX(DailyScalarsTable,BT$5/100,MONTH($A96)))*$D96</f>
        <v>-13535.602600860133</v>
      </c>
      <c r="BU96" s="1021">
        <f>(VLOOKUP(YEAR($A96),'NY East Load Projections'!$A$4:$EO$14,((MONTH($A96)-1)*12)+VLOOKUP(BU$4,$DE$6:$DF$17,2)+1))*(VLOOKUP($A96,SatSunCurve,6))*(INDEX(DailyScalarsTable,BU$5/100,MONTH($A96)))*$D96</f>
        <v>-14365.096130412703</v>
      </c>
      <c r="BV96" s="1021">
        <f>(VLOOKUP(YEAR($A96),'NY East Load Projections'!$A$4:$EO$14,((MONTH($A96)-1)*12)+VLOOKUP(BV$4,$DE$6:$DF$17,2)+1))*(VLOOKUP($A96,SatSunCurve,6))*(INDEX(DailyScalarsTable,BV$5/100,MONTH($A96)))*$D96</f>
        <v>-14028.861480016199</v>
      </c>
      <c r="BW96" s="1021">
        <f>(VLOOKUP(YEAR($A96),'NY East Load Projections'!$A$4:$EO$14,((MONTH($A96)-1)*12)+VLOOKUP(BW$4,$DE$6:$DF$17,2)+1))*(VLOOKUP($A96,SatSunCurve,6))*(INDEX(DailyScalarsTable,BW$5/100,MONTH($A96)))*$D96</f>
        <v>-13681.225331595946</v>
      </c>
      <c r="BX96" s="1021">
        <f>(VLOOKUP(YEAR($A96),'NY East Load Projections'!$A$4:$EO$14,((MONTH($A96)-1)*12)+VLOOKUP(BX$4,$DE$6:$DF$17,2)+1))*(VLOOKUP($A96,SatSunCurve,6))*(INDEX(DailyScalarsTable,BX$5/100,MONTH($A96)))*$D96</f>
        <v>-11426.771935472196</v>
      </c>
      <c r="BY96" s="1021">
        <f>(VLOOKUP(YEAR($A96),'NY East Load Projections'!$A$4:$EO$14,((MONTH($A96)-1)*12)+VLOOKUP(BY$4,$DE$6:$DF$17,2)+1))*(VLOOKUP($A96,SatSunCurve,6))*(INDEX(DailyScalarsTable,BY$5/100,MONTH($A96)))*$D96</f>
        <v>-8455.3778646931314</v>
      </c>
      <c r="BZ96" s="1021">
        <f>(VLOOKUP(YEAR($A96),'NY East Load Projections'!$A$4:$EO$14,((MONTH($A96)-1)*12)+VLOOKUP(BZ$4,$DE$6:$DF$17,2)+1))*(VLOOKUP($A96,SatSunCurve,6))*(INDEX(DailyScalarsTable,BZ$5/100,MONTH($A96)))*$D96</f>
        <v>-8861.8127042792166</v>
      </c>
      <c r="CA96" s="1021">
        <f>(VLOOKUP(YEAR($A96),'NY East Load Projections'!$A$4:$EO$14,((MONTH($A96)-1)*12)+VLOOKUP(CA$4,$DE$6:$DF$17,2)+1))*(VLOOKUP($A96,SatSunCurve,6))*(INDEX(DailyScalarsTable,CA$5/100,MONTH($A96)))*$D96</f>
        <v>-9390.2898999005847</v>
      </c>
      <c r="CB96" s="1021">
        <f>(VLOOKUP(YEAR($A96),'NY East Load Projections'!$A$4:$EO$14,((MONTH($A96)-1)*12)+VLOOKUP(CB$4,$DE$6:$DF$17,2)+1))*(VLOOKUP($A96,SatSunCurve,6))*(INDEX(DailyScalarsTable,CB$5/100,MONTH($A96)))*$D96</f>
        <v>-6521.1586385372902</v>
      </c>
      <c r="CC96" s="1021">
        <f>(VLOOKUP(YEAR($A96),'NY East Load Projections'!$A$4:$EO$14,((MONTH($A96)-1)*12)+VLOOKUP(CC$4,$DE$6:$DF$17,2)+1))*(VLOOKUP($A96,CURVES!$D$9:$T$261,6))*(INDEX(DailyScalarsTable,CC$5/100,MONTH($A96)))*$D96</f>
        <v>-10093.690096272383</v>
      </c>
      <c r="CE96" s="1021">
        <f>(VLOOKUP(YEAR($A96),'NY East Load Projections'!$A$4:$EO$14,((MONTH($A96)-1)*12)+VLOOKUP(CE$4,$DE$6:$DF$17,2)+1))*(VLOOKUP($A96,CURVES!$D$9:$T$261,6))*(INDEX(DailyScalarsTable,CE$5/100,MONTH($A96)))*$E96</f>
        <v>-2157.0390390170169</v>
      </c>
      <c r="CF96" s="1021">
        <f>(VLOOKUP(YEAR($A96),'NY East Load Projections'!$A$4:$EO$14,((MONTH($A96)-1)*12)+VLOOKUP(CF$4,$DE$6:$DF$17,2)+1))*(VLOOKUP($A96,CURVES!$D$9:$T$261,6))*(INDEX(DailyScalarsTable,CF$5/100,MONTH($A96)))*$E96</f>
        <v>-1970.3115417809945</v>
      </c>
      <c r="CG96" s="1021">
        <f>(VLOOKUP(YEAR($A96),'NY East Load Projections'!$A$4:$EO$14,((MONTH($A96)-1)*12)+VLOOKUP(CG$4,$DE$6:$DF$17,2)+1))*(VLOOKUP($A96,CURVES!$D$9:$T$261,6))*(INDEX(DailyScalarsTable,CG$5/100,MONTH($A96)))*$E96</f>
        <v>-1877.3683505891913</v>
      </c>
      <c r="CH96" s="1021">
        <f>(VLOOKUP(YEAR($A96),'NY East Load Projections'!$A$4:$EO$14,((MONTH($A96)-1)*12)+VLOOKUP(CH$4,$DE$6:$DF$17,2)+1))*(VLOOKUP($A96,CURVES!$D$9:$T$261,6))*(INDEX(DailyScalarsTable,CH$5/100,MONTH($A96)))*$E96</f>
        <v>-1690.6408533531689</v>
      </c>
      <c r="CI96" s="1021">
        <f>(VLOOKUP(YEAR($A96),'NY East Load Projections'!$A$4:$EO$14,((MONTH($A96)-1)*12)+VLOOKUP(CI$4,$DE$6:$DF$17,2)+1))*(VLOOKUP($A96,CURVES!$D$9:$T$261,6))*(INDEX(DailyScalarsTable,CI$5/100,MONTH($A96)))*$E96</f>
        <v>-1629.5733111468387</v>
      </c>
      <c r="CJ96" s="1021">
        <f>(VLOOKUP(YEAR($A96),'NY East Load Projections'!$A$4:$EO$14,((MONTH($A96)-1)*12)+VLOOKUP(CJ$4,$DE$6:$DF$17,2)+1))*(VLOOKUP($A96,CURVES!$D$9:$T$261,6))*(INDEX(DailyScalarsTable,CJ$5/100,MONTH($A96)))*$E96</f>
        <v>-1796.5447903550182</v>
      </c>
      <c r="CK96" s="1021">
        <f>(VLOOKUP(YEAR($A96),'NY East Load Projections'!$A$4:$EO$14,((MONTH($A96)-1)*12)+VLOOKUP(CK$4,$DE$6:$DF$17,2)+1))*(VLOOKUP($A96,CURVES!$D$9:$T$261,6))*(INDEX(DailyScalarsTable,CK$5/100,MONTH($A96)))*$E96</f>
        <v>-1995.1170098736975</v>
      </c>
      <c r="CL96" s="1021">
        <f>(VLOOKUP(YEAR($A96),'NY East Load Projections'!$A$4:$EO$14,((MONTH($A96)-1)*12)+VLOOKUP(CL$4,$DE$6:$DF$17,2)+1))*(VLOOKUP($A96,SatSunCurve,6))*(INDEX(DailyScalarsTable,CL$5/100,MONTH($A96)))*$E96</f>
        <v>-1413.1807567933561</v>
      </c>
      <c r="CM96" s="1021">
        <f>(VLOOKUP(YEAR($A96),'NY East Load Projections'!$A$4:$EO$14,((MONTH($A96)-1)*12)+VLOOKUP(CM$4,$DE$6:$DF$17,2)+1))*(VLOOKUP($A96,SatSunCurve,6))*(INDEX(DailyScalarsTable,CM$5/100,MONTH($A96)))*$E96</f>
        <v>-1698.327747229135</v>
      </c>
      <c r="CN96" s="1021">
        <f>(VLOOKUP(YEAR($A96),'NY East Load Projections'!$A$4:$EO$14,((MONTH($A96)-1)*12)+VLOOKUP(CN$4,$DE$6:$DF$17,2)+1))*(VLOOKUP($A96,SatSunCurve,6))*(INDEX(DailyScalarsTable,CN$5/100,MONTH($A96)))*$E96</f>
        <v>-2033.3638800252154</v>
      </c>
      <c r="CO96" s="1021">
        <f>(VLOOKUP(YEAR($A96),'NY East Load Projections'!$A$4:$EO$14,((MONTH($A96)-1)*12)+VLOOKUP(CO$4,$DE$6:$DF$17,2)+1))*(VLOOKUP($A96,SatSunCurve,6))*(INDEX(DailyScalarsTable,CO$5/100,MONTH($A96)))*$E96</f>
        <v>-2313.753805976351</v>
      </c>
      <c r="CP96" s="1021">
        <f>(VLOOKUP(YEAR($A96),'NY East Load Projections'!$A$4:$EO$14,((MONTH($A96)-1)*12)+VLOOKUP(CP$4,$DE$6:$DF$17,2)+1))*(VLOOKUP($A96,SatSunCurve,6))*(INDEX(DailyScalarsTable,CP$5/100,MONTH($A96)))*$E96</f>
        <v>-2766.1957630855891</v>
      </c>
      <c r="CQ96" s="1021">
        <f>(VLOOKUP(YEAR($A96),'NY East Load Projections'!$A$4:$EO$14,((MONTH($A96)-1)*12)+VLOOKUP(CQ$4,$DE$6:$DF$17,2)+1))*(VLOOKUP($A96,SatSunCurve,6))*(INDEX(DailyScalarsTable,CQ$5/100,MONTH($A96)))*$E96</f>
        <v>-3142.8260182572899</v>
      </c>
      <c r="CR96" s="1021">
        <f>(VLOOKUP(YEAR($A96),'NY East Load Projections'!$A$4:$EO$14,((MONTH($A96)-1)*12)+VLOOKUP(CR$4,$DE$6:$DF$17,2)+1))*(VLOOKUP($A96,SatSunCurve,6))*(INDEX(DailyScalarsTable,CR$5/100,MONTH($A96)))*$E96</f>
        <v>-3248.60366289181</v>
      </c>
      <c r="CS96" s="1021">
        <f>(VLOOKUP(YEAR($A96),'NY East Load Projections'!$A$4:$EO$14,((MONTH($A96)-1)*12)+VLOOKUP(CS$4,$DE$6:$DF$17,2)+1))*(VLOOKUP($A96,SatSunCurve,6))*(INDEX(DailyScalarsTable,CS$5/100,MONTH($A96)))*$E96</f>
        <v>-3383.9006502150332</v>
      </c>
      <c r="CT96" s="1021">
        <f>(VLOOKUP(YEAR($A96),'NY East Load Projections'!$A$4:$EO$14,((MONTH($A96)-1)*12)+VLOOKUP(CT$4,$DE$6:$DF$17,2)+1))*(VLOOKUP($A96,SatSunCurve,6))*(INDEX(DailyScalarsTable,CT$5/100,MONTH($A96)))*$E96</f>
        <v>-3591.2740326031758</v>
      </c>
      <c r="CU96" s="1021">
        <f>(VLOOKUP(YEAR($A96),'NY East Load Projections'!$A$4:$EO$14,((MONTH($A96)-1)*12)+VLOOKUP(CU$4,$DE$6:$DF$17,2)+1))*(VLOOKUP($A96,SatSunCurve,6))*(INDEX(DailyScalarsTable,CU$5/100,MONTH($A96)))*$E96</f>
        <v>-3507.2153700040499</v>
      </c>
      <c r="CV96" s="1021">
        <f>(VLOOKUP(YEAR($A96),'NY East Load Projections'!$A$4:$EO$14,((MONTH($A96)-1)*12)+VLOOKUP(CV$4,$DE$6:$DF$17,2)+1))*(VLOOKUP($A96,SatSunCurve,6))*(INDEX(DailyScalarsTable,CV$5/100,MONTH($A96)))*$E96</f>
        <v>-3420.3063328989865</v>
      </c>
      <c r="CW96" s="1021">
        <f>(VLOOKUP(YEAR($A96),'NY East Load Projections'!$A$4:$EO$14,((MONTH($A96)-1)*12)+VLOOKUP(CW$4,$DE$6:$DF$17,2)+1))*(VLOOKUP($A96,SatSunCurve,6))*(INDEX(DailyScalarsTable,CW$5/100,MONTH($A96)))*$E96</f>
        <v>-2856.6929838680489</v>
      </c>
      <c r="CX96" s="1021">
        <f>(VLOOKUP(YEAR($A96),'NY East Load Projections'!$A$4:$EO$14,((MONTH($A96)-1)*12)+VLOOKUP(CX$4,$DE$6:$DF$17,2)+1))*(VLOOKUP($A96,SatSunCurve,6))*(INDEX(DailyScalarsTable,CX$5/100,MONTH($A96)))*$E96</f>
        <v>-2113.8444661732829</v>
      </c>
      <c r="CY96" s="1021">
        <f>(VLOOKUP(YEAR($A96),'NY East Load Projections'!$A$4:$EO$14,((MONTH($A96)-1)*12)+VLOOKUP(CY$4,$DE$6:$DF$17,2)+1))*(VLOOKUP($A96,SatSunCurve,6))*(INDEX(DailyScalarsTable,CY$5/100,MONTH($A96)))*$E96</f>
        <v>-2215.4531760698042</v>
      </c>
      <c r="CZ96" s="1021">
        <f>(VLOOKUP(YEAR($A96),'NY East Load Projections'!$A$4:$EO$14,((MONTH($A96)-1)*12)+VLOOKUP(CZ$4,$DE$6:$DF$17,2)+1))*(VLOOKUP($A96,SatSunCurve,6))*(INDEX(DailyScalarsTable,CZ$5/100,MONTH($A96)))*$E96</f>
        <v>-2347.5724749751462</v>
      </c>
      <c r="DA96" s="1021">
        <f>(VLOOKUP(YEAR($A96),'NY East Load Projections'!$A$4:$EO$14,((MONTH($A96)-1)*12)+VLOOKUP(DA$4,$DE$6:$DF$17,2)+1))*(VLOOKUP($A96,SatSunCurve,6))*(INDEX(DailyScalarsTable,DA$5/100,MONTH($A96)))*$E96</f>
        <v>-1630.2896596343226</v>
      </c>
      <c r="DB96" s="1021">
        <f>(VLOOKUP(YEAR($A96),'NY East Load Projections'!$A$4:$EO$14,((MONTH($A96)-1)*12)+VLOOKUP(DB$4,$DE$6:$DF$17,2)+1))*(VLOOKUP($A96,CURVES!$D$9:$T$261,6))*(INDEX(DailyScalarsTable,DB$5/100,MONTH($A96)))*$E96</f>
        <v>-2523.4225240680958</v>
      </c>
      <c r="DH96" s="1021">
        <f t="shared" si="2"/>
        <v>-3496344.3001005901</v>
      </c>
      <c r="DI96">
        <f ca="1">CALC!J116</f>
        <v>0.54088683486088429</v>
      </c>
      <c r="DJ96" s="1029">
        <f t="shared" ca="1" si="3"/>
        <v>-1891126.602065302</v>
      </c>
    </row>
    <row r="97" spans="1:114" x14ac:dyDescent="0.25">
      <c r="A97" s="244">
        <v>39661</v>
      </c>
      <c r="B97" s="13">
        <v>21</v>
      </c>
      <c r="C97" s="210">
        <v>5</v>
      </c>
      <c r="D97" s="210">
        <v>5</v>
      </c>
      <c r="E97" s="210">
        <v>0</v>
      </c>
      <c r="F97" s="13">
        <v>31</v>
      </c>
      <c r="H97" s="1021">
        <f>(VLOOKUP(YEAR($A97),'NY East Load Projections'!$A$4:$EO$14,((MONTH($A97)-1)*12)+VLOOKUP(H$4,$DE$6:$DF$17,2)+1))*(VLOOKUP($A97,CURVES!$D$9:$K$261,6))*(INDEX(DailyScalarsTable,H$5/100,MONTH($A97)))*$B97</f>
        <v>-48044.967770959855</v>
      </c>
      <c r="I97" s="1021">
        <f>(VLOOKUP(YEAR($A97),'NY East Load Projections'!$A$4:$EO$14,((MONTH($A97)-1)*12)+VLOOKUP(I$4,$DE$6:$DF$17,2)+1))*(VLOOKUP($A97,CURVES!$D$9:$K$261,6))*(INDEX(DailyScalarsTable,I$5/100,MONTH($A97)))*$B97</f>
        <v>-43371.033934369567</v>
      </c>
      <c r="J97" s="1021">
        <f>(VLOOKUP(YEAR($A97),'NY East Load Projections'!$A$4:$EO$14,((MONTH($A97)-1)*12)+VLOOKUP(J$4,$DE$6:$DF$17,2)+1))*(VLOOKUP($A97,CURVES!$D$9:$K$261,6))*(INDEX(DailyScalarsTable,J$5/100,MONTH($A97)))*$B97</f>
        <v>-38949.44863825247</v>
      </c>
      <c r="K97" s="1021">
        <f>(VLOOKUP(YEAR($A97),'NY East Load Projections'!$A$4:$EO$14,((MONTH($A97)-1)*12)+VLOOKUP(K$4,$DE$6:$DF$17,2)+1))*(VLOOKUP($A97,CURVES!$D$9:$K$261,6))*(INDEX(DailyScalarsTable,K$5/100,MONTH($A97)))*$B97</f>
        <v>-36645.396746975552</v>
      </c>
      <c r="L97" s="1021">
        <f>(VLOOKUP(YEAR($A97),'NY East Load Projections'!$A$4:$EO$14,((MONTH($A97)-1)*12)+VLOOKUP(L$4,$DE$6:$DF$17,2)+1))*(VLOOKUP($A97,CURVES!$D$9:$K$261,6))*(INDEX(DailyScalarsTable,L$5/100,MONTH($A97)))*$B97</f>
        <v>-40495.68592305819</v>
      </c>
      <c r="M97" s="1021">
        <f>(VLOOKUP(YEAR($A97),'NY East Load Projections'!$A$4:$EO$14,((MONTH($A97)-1)*12)+VLOOKUP(M$4,$DE$6:$DF$17,2)+1))*(VLOOKUP($A97,CURVES!$D$9:$K$261,6))*(INDEX(DailyScalarsTable,M$5/100,MONTH($A97)))*$B97</f>
        <v>-44992.610953452619</v>
      </c>
      <c r="N97" s="1021">
        <f>(VLOOKUP(YEAR($A97),'NY East Load Projections'!$A$4:$EO$14,((MONTH($A97)-1)*12)+VLOOKUP(N$4,$DE$6:$DF$17,2)+1))*(VLOOKUP($A97,CURVES!$D$9:$K$261,6))*(INDEX(DailyScalarsTable,N$5/100,MONTH($A97)))*$B97</f>
        <v>-52351.215548643457</v>
      </c>
      <c r="O97" s="1021">
        <f>(VLOOKUP(YEAR($A97),'NY East Load Projections'!$A$4:$EO$14,((MONTH($A97)-1)*12)+VLOOKUP(O$4,$DE$6:$DF$17,2)+1))*(VLOOKUP($A97,CURVES!$D$9:$K$261,2))*(INDEX(DailyScalarsTable,O$5/100,MONTH($A97)))*$B97</f>
        <v>-89627.176354995798</v>
      </c>
      <c r="P97" s="1021">
        <f>(VLOOKUP(YEAR($A97),'NY East Load Projections'!$A$4:$EO$14,((MONTH($A97)-1)*12)+VLOOKUP(P$4,$DE$6:$DF$17,2)+1))*(VLOOKUP($A97,CURVES!$D$9:$K$261,2))*(INDEX(DailyScalarsTable,P$5/100,MONTH($A97)))*$B97</f>
        <v>-106956.33329387485</v>
      </c>
      <c r="Q97" s="1021">
        <f>(VLOOKUP(YEAR($A97),'NY East Load Projections'!$A$4:$EO$14,((MONTH($A97)-1)*12)+VLOOKUP(Q$4,$DE$6:$DF$17,2)+1))*(VLOOKUP($A97,CURVES!$D$9:$K$261,2))*(INDEX(DailyScalarsTable,Q$5/100,MONTH($A97)))*$B97</f>
        <v>-137164.91736177576</v>
      </c>
      <c r="R97" s="1021">
        <f>(VLOOKUP(YEAR($A97),'NY East Load Projections'!$A$4:$EO$14,((MONTH($A97)-1)*12)+VLOOKUP(R$4,$DE$6:$DF$17,2)+1))*(VLOOKUP($A97,CURVES!$D$9:$K$261,2))*(INDEX(DailyScalarsTable,R$5/100,MONTH($A97)))*$B97</f>
        <v>-154811.51597569801</v>
      </c>
      <c r="S97" s="1021">
        <f>(VLOOKUP(YEAR($A97),'NY East Load Projections'!$A$4:$EO$14,((MONTH($A97)-1)*12)+VLOOKUP(S$4,$DE$6:$DF$17,2)+1))*(VLOOKUP($A97,CURVES!$D$9:$K$261,2))*(INDEX(DailyScalarsTable,S$5/100,MONTH($A97)))*$B97</f>
        <v>-161371.66393499795</v>
      </c>
      <c r="T97" s="1021">
        <f>(VLOOKUP(YEAR($A97),'NY East Load Projections'!$A$4:$EO$14,((MONTH($A97)-1)*12)+VLOOKUP(T$4,$DE$6:$DF$17,2)+1))*(VLOOKUP($A97,CURVES!$D$9:$K$261,2))*(INDEX(DailyScalarsTable,T$5/100,MONTH($A97)))*$B97</f>
        <v>-164368.71002986777</v>
      </c>
      <c r="U97" s="1021">
        <f>(VLOOKUP(YEAR($A97),'NY East Load Projections'!$A$4:$EO$14,((MONTH($A97)-1)*12)+VLOOKUP(U$4,$DE$6:$DF$17,2)+1))*(VLOOKUP($A97,CURVES!$D$9:$K$261,2))*(INDEX(DailyScalarsTable,U$5/100,MONTH($A97)))*$B97</f>
        <v>-180439.1344131591</v>
      </c>
      <c r="V97" s="1021">
        <f>(VLOOKUP(YEAR($A97),'NY East Load Projections'!$A$4:$EO$14,((MONTH($A97)-1)*12)+VLOOKUP(V$4,$DE$6:$DF$17,2)+1))*(VLOOKUP($A97,CURVES!$D$9:$K$261,2))*(INDEX(DailyScalarsTable,V$5/100,MONTH($A97)))*$B97</f>
        <v>-191023.09544011659</v>
      </c>
      <c r="W97" s="1021">
        <f>(VLOOKUP(YEAR($A97),'NY East Load Projections'!$A$4:$EO$14,((MONTH($A97)-1)*12)+VLOOKUP(W$4,$DE$6:$DF$17,2)+1))*(VLOOKUP($A97,CURVES!$D$9:$K$261,2))*(INDEX(DailyScalarsTable,W$5/100,MONTH($A97)))*$B97</f>
        <v>-188361.75127473075</v>
      </c>
      <c r="X97" s="1021">
        <f>(VLOOKUP(YEAR($A97),'NY East Load Projections'!$A$4:$EO$14,((MONTH($A97)-1)*12)+VLOOKUP(X$4,$DE$6:$DF$17,2)+1))*(VLOOKUP($A97,CURVES!$D$9:$K$261,2))*(INDEX(DailyScalarsTable,X$5/100,MONTH($A97)))*$B97</f>
        <v>-177079.86991200634</v>
      </c>
      <c r="Y97" s="1021">
        <f>(VLOOKUP(YEAR($A97),'NY East Load Projections'!$A$4:$EO$14,((MONTH($A97)-1)*12)+VLOOKUP(Y$4,$DE$6:$DF$17,2)+1))*(VLOOKUP($A97,CURVES!$D$9:$K$261,2))*(INDEX(DailyScalarsTable,Y$5/100,MONTH($A97)))*$B97</f>
        <v>-163986.90643730276</v>
      </c>
      <c r="Z97" s="1021">
        <f>(VLOOKUP(YEAR($A97),'NY East Load Projections'!$A$4:$EO$14,((MONTH($A97)-1)*12)+VLOOKUP(Z$4,$DE$6:$DF$17,2)+1))*(VLOOKUP($A97,CURVES!$D$9:$K$261,2))*(INDEX(DailyScalarsTable,Z$5/100,MONTH($A97)))*$B97</f>
        <v>-133666.35944325232</v>
      </c>
      <c r="AA97" s="1021">
        <f>(VLOOKUP(YEAR($A97),'NY East Load Projections'!$A$4:$EO$14,((MONTH($A97)-1)*12)+VLOOKUP(AA$4,$DE$6:$DF$17,2)+1))*(VLOOKUP($A97,CURVES!$D$9:$K$261,2))*(INDEX(DailyScalarsTable,AA$5/100,MONTH($A97)))*$B97</f>
        <v>-121695.64998066617</v>
      </c>
      <c r="AB97" s="1021">
        <f>(VLOOKUP(YEAR($A97),'NY East Load Projections'!$A$4:$EO$14,((MONTH($A97)-1)*12)+VLOOKUP(AB$4,$DE$6:$DF$17,2)+1))*(VLOOKUP($A97,CURVES!$D$9:$K$261,2))*(INDEX(DailyScalarsTable,AB$5/100,MONTH($A97)))*$B97</f>
        <v>-139055.11276611715</v>
      </c>
      <c r="AC97" s="1021">
        <f>(VLOOKUP(YEAR($A97),'NY East Load Projections'!$A$4:$EO$14,((MONTH($A97)-1)*12)+VLOOKUP(AC$4,$DE$6:$DF$17,2)+1))*(VLOOKUP($A97,CURVES!$D$9:$K$261,2))*(INDEX(DailyScalarsTable,AC$5/100,MONTH($A97)))*$B97</f>
        <v>-118242.44062264792</v>
      </c>
      <c r="AD97" s="1021">
        <f>(VLOOKUP(YEAR($A97),'NY East Load Projections'!$A$4:$EO$14,((MONTH($A97)-1)*12)+VLOOKUP(AD$4,$DE$6:$DF$17,2)+1))*(VLOOKUP($A97,CURVES!$D$9:$K$261,2))*(INDEX(DailyScalarsTable,AD$5/100,MONTH($A97)))*$B97</f>
        <v>-95749.0200414758</v>
      </c>
      <c r="AE97" s="1021">
        <f>(VLOOKUP(YEAR($A97),'NY East Load Projections'!$A$4:$EO$14,((MONTH($A97)-1)*12)+VLOOKUP(AE$4,$DE$6:$DF$17,2)+1))*(VLOOKUP($A97,CURVES!$D$9:$K$261,6))*(INDEX(DailyScalarsTable,AE$5/100,MONTH($A97)))*$B97</f>
        <v>-58137.180608303745</v>
      </c>
      <c r="AF97" s="1021"/>
      <c r="AG97" s="1021">
        <f>(VLOOKUP(YEAR($A97),'NY East Load Projections'!$A$4:$EO$14,((MONTH($A97)-1)*12)+VLOOKUP(AG$4,$DE$6:$DF$17,2)+1))*(VLOOKUP($A97,CURVES!$D$9:$T$261,6))*(INDEX(DailyScalarsTable,AG$5/100,MONTH($A97)))*$C97</f>
        <v>-11199.218452449997</v>
      </c>
      <c r="AH97" s="1021">
        <f>(VLOOKUP(YEAR($A97),'NY East Load Projections'!$A$4:$EO$14,((MONTH($A97)-1)*12)+VLOOKUP(AH$4,$DE$6:$DF$17,2)+1))*(VLOOKUP($A97,CURVES!$D$9:$T$261,6))*(INDEX(DailyScalarsTable,AH$5/100,MONTH($A97)))*$C97</f>
        <v>-10109.73065597964</v>
      </c>
      <c r="AI97" s="1021">
        <f>(VLOOKUP(YEAR($A97),'NY East Load Projections'!$A$4:$EO$14,((MONTH($A97)-1)*12)+VLOOKUP(AI$4,$DE$6:$DF$17,2)+1))*(VLOOKUP($A97,CURVES!$D$9:$T$261,6))*(INDEX(DailyScalarsTable,AI$5/100,MONTH($A97)))*$C97</f>
        <v>-9079.0649705863216</v>
      </c>
      <c r="AJ97" s="1021">
        <f>(VLOOKUP(YEAR($A97),'NY East Load Projections'!$A$4:$EO$14,((MONTH($A97)-1)*12)+VLOOKUP(AJ$4,$DE$6:$DF$17,2)+1))*(VLOOKUP($A97,CURVES!$D$9:$T$261,6))*(INDEX(DailyScalarsTable,AJ$5/100,MONTH($A97)))*$C97</f>
        <v>-8541.9935216220583</v>
      </c>
      <c r="AK97" s="1021">
        <f>(VLOOKUP(YEAR($A97),'NY East Load Projections'!$A$4:$EO$14,((MONTH($A97)-1)*12)+VLOOKUP(AK$4,$DE$6:$DF$17,2)+1))*(VLOOKUP($A97,CURVES!$D$9:$T$261,6))*(INDEX(DailyScalarsTable,AK$5/100,MONTH($A97)))*$C97</f>
        <v>-9018.0583761614216</v>
      </c>
      <c r="AL97" s="1021">
        <f>(VLOOKUP(YEAR($A97),'NY East Load Projections'!$A$4:$EO$14,((MONTH($A97)-1)*12)+VLOOKUP(AL$4,$DE$6:$DF$17,2)+1))*(VLOOKUP($A97,CURVES!$D$9:$T$261,6))*(INDEX(DailyScalarsTable,AL$5/100,MONTH($A97)))*$C97</f>
        <v>-10019.486837315779</v>
      </c>
      <c r="AM97" s="1021">
        <f>(VLOOKUP(YEAR($A97),'NY East Load Projections'!$A$4:$EO$14,((MONTH($A97)-1)*12)+VLOOKUP(AM$4,$DE$6:$DF$17,2)+1))*(VLOOKUP($A97,CURVES!$D$9:$T$261,6))*(INDEX(DailyScalarsTable,AM$5/100,MONTH($A97)))*$C97</f>
        <v>-11658.187955568357</v>
      </c>
      <c r="AN97" s="1021">
        <f>(VLOOKUP(YEAR($A97),'NY East Load Projections'!$A$4:$EO$14,((MONTH($A97)-1)*12)+VLOOKUP(AN$4,$DE$6:$DF$17,2)+1))*(VLOOKUP($A97,SatSunCurve,2))*(INDEX(DailyScalarsTable,AN$5/100,MONTH($A97)))*$C97</f>
        <v>-12283.644587814815</v>
      </c>
      <c r="AO97" s="1021">
        <f>(VLOOKUP(YEAR($A97),'NY East Load Projections'!$A$4:$EO$14,((MONTH($A97)-1)*12)+VLOOKUP(AO$4,$DE$6:$DF$17,2)+1))*(VLOOKUP($A97,SatSunCurve,2))*(INDEX(DailyScalarsTable,AO$5/100,MONTH($A97)))*$C97</f>
        <v>-14717.185997701781</v>
      </c>
      <c r="AP97" s="1021">
        <f>(VLOOKUP(YEAR($A97),'NY East Load Projections'!$A$4:$EO$14,((MONTH($A97)-1)*12)+VLOOKUP(AP$4,$DE$6:$DF$17,2)+1))*(VLOOKUP($A97,SatSunCurve,2))*(INDEX(DailyScalarsTable,AP$5/100,MONTH($A97)))*$C97</f>
        <v>-18873.885622332316</v>
      </c>
      <c r="AQ97" s="1021">
        <f>(VLOOKUP(YEAR($A97),'NY East Load Projections'!$A$4:$EO$14,((MONTH($A97)-1)*12)+VLOOKUP(AQ$4,$DE$6:$DF$17,2)+1))*(VLOOKUP($A97,SatSunCurve,2))*(INDEX(DailyScalarsTable,AQ$5/100,MONTH($A97)))*$C97</f>
        <v>-21302.056690185796</v>
      </c>
      <c r="AR97" s="1021">
        <f>(VLOOKUP(YEAR($A97),'NY East Load Projections'!$A$4:$EO$14,((MONTH($A97)-1)*12)+VLOOKUP(AR$4,$DE$6:$DF$17,2)+1))*(VLOOKUP($A97,SatSunCurve,2))*(INDEX(DailyScalarsTable,AR$5/100,MONTH($A97)))*$C97</f>
        <v>-22204.732714280479</v>
      </c>
      <c r="AS97" s="1021">
        <f>(VLOOKUP(YEAR($A97),'NY East Load Projections'!$A$4:$EO$14,((MONTH($A97)-1)*12)+VLOOKUP(AS$4,$DE$6:$DF$17,2)+1))*(VLOOKUP($A97,SatSunCurve,2))*(INDEX(DailyScalarsTable,AS$5/100,MONTH($A97)))*$C97</f>
        <v>-22785.286089294841</v>
      </c>
      <c r="AT97" s="1021">
        <f>(VLOOKUP(YEAR($A97),'NY East Load Projections'!$A$4:$EO$14,((MONTH($A97)-1)*12)+VLOOKUP(AT$4,$DE$6:$DF$17,2)+1))*(VLOOKUP($A97,SatSunCurve,2))*(INDEX(DailyScalarsTable,AT$5/100,MONTH($A97)))*$C97</f>
        <v>-25013.016763114305</v>
      </c>
      <c r="AU97" s="1021">
        <f>(VLOOKUP(YEAR($A97),'NY East Load Projections'!$A$4:$EO$14,((MONTH($A97)-1)*12)+VLOOKUP(AU$4,$DE$6:$DF$17,2)+1))*(VLOOKUP($A97,SatSunCurve,2))*(INDEX(DailyScalarsTable,AU$5/100,MONTH($A97)))*$C97</f>
        <v>-26480.197347018333</v>
      </c>
      <c r="AV97" s="1021">
        <f>(VLOOKUP(YEAR($A97),'NY East Load Projections'!$A$4:$EO$14,((MONTH($A97)-1)*12)+VLOOKUP(AV$4,$DE$6:$DF$17,2)+1))*(VLOOKUP($A97,SatSunCurve,2))*(INDEX(DailyScalarsTable,AV$5/100,MONTH($A97)))*$C97</f>
        <v>-26111.273795939953</v>
      </c>
      <c r="AW97" s="1021">
        <f>(VLOOKUP(YEAR($A97),'NY East Load Projections'!$A$4:$EO$14,((MONTH($A97)-1)*12)+VLOOKUP(AW$4,$DE$6:$DF$17,2)+1))*(VLOOKUP($A97,SatSunCurve,2))*(INDEX(DailyScalarsTable,AW$5/100,MONTH($A97)))*$C97</f>
        <v>-24374.959132005417</v>
      </c>
      <c r="AX97" s="1021">
        <f>(VLOOKUP(YEAR($A97),'NY East Load Projections'!$A$4:$EO$14,((MONTH($A97)-1)*12)+VLOOKUP(AX$4,$DE$6:$DF$17,2)+1))*(VLOOKUP($A97,SatSunCurve,2))*(INDEX(DailyScalarsTable,AX$5/100,MONTH($A97)))*$C97</f>
        <v>-22572.718991602527</v>
      </c>
      <c r="AY97" s="1021">
        <f>(VLOOKUP(YEAR($A97),'NY East Load Projections'!$A$4:$EO$14,((MONTH($A97)-1)*12)+VLOOKUP(AY$4,$DE$6:$DF$17,2)+1))*(VLOOKUP($A97,SatSunCurve,2))*(INDEX(DailyScalarsTable,AY$5/100,MONTH($A97)))*$C97</f>
        <v>-18399.110245406358</v>
      </c>
      <c r="AZ97" s="1021">
        <f>(VLOOKUP(YEAR($A97),'NY East Load Projections'!$A$4:$EO$14,((MONTH($A97)-1)*12)+VLOOKUP(AZ$4,$DE$6:$DF$17,2)+1))*(VLOOKUP($A97,SatSunCurve,2))*(INDEX(DailyScalarsTable,AZ$5/100,MONTH($A97)))*$C97</f>
        <v>-16751.347831323717</v>
      </c>
      <c r="BA97" s="1021">
        <f>(VLOOKUP(YEAR($A97),'NY East Load Projections'!$A$4:$EO$14,((MONTH($A97)-1)*12)+VLOOKUP(BA$4,$DE$6:$DF$17,2)+1))*(VLOOKUP($A97,SatSunCurve,2))*(INDEX(DailyScalarsTable,BA$5/100,MONTH($A97)))*$C97</f>
        <v>-19917.018351777842</v>
      </c>
      <c r="BB97" s="1021">
        <f>(VLOOKUP(YEAR($A97),'NY East Load Projections'!$A$4:$EO$14,((MONTH($A97)-1)*12)+VLOOKUP(BB$4,$DE$6:$DF$17,2)+1))*(VLOOKUP($A97,SatSunCurve,2))*(INDEX(DailyScalarsTable,BB$5/100,MONTH($A97)))*$C97</f>
        <v>-16935.996188801197</v>
      </c>
      <c r="BC97" s="1021">
        <f>(VLOOKUP(YEAR($A97),'NY East Load Projections'!$A$4:$EO$14,((MONTH($A97)-1)*12)+VLOOKUP(BC$4,$DE$6:$DF$17,2)+1))*(VLOOKUP($A97,SatSunCurve,2))*(INDEX(DailyScalarsTable,BC$5/100,MONTH($A97)))*$C97</f>
        <v>-13714.238559054949</v>
      </c>
      <c r="BD97" s="1021">
        <f>(VLOOKUP(YEAR($A97),'NY East Load Projections'!$A$4:$EO$14,((MONTH($A97)-1)*12)+VLOOKUP(BD$4,$DE$6:$DF$17,2)+1))*(VLOOKUP($A97,CURVES!$D$9:$T$261,6))*(INDEX(DailyScalarsTable,BD$5/100,MONTH($A97)))*$C97</f>
        <v>-13530.320485192962</v>
      </c>
      <c r="BE97" s="1021"/>
      <c r="BF97" s="1021">
        <f>(VLOOKUP(YEAR($A97),'NY East Load Projections'!$A$4:$EO$14,((MONTH($A97)-1)*12)+VLOOKUP(BF$4,$DE$6:$DF$17,2)+1))*(VLOOKUP($A97,CURVES!$D$9:$T$261,6))*(INDEX(DailyScalarsTable,BF$5/100,MONTH($A97)))*$D97</f>
        <v>-11199.218452449997</v>
      </c>
      <c r="BG97" s="1021">
        <f>(VLOOKUP(YEAR($A97),'NY East Load Projections'!$A$4:$EO$14,((MONTH($A97)-1)*12)+VLOOKUP(BG$4,$DE$6:$DF$17,2)+1))*(VLOOKUP($A97,CURVES!$D$9:$T$261,6))*(INDEX(DailyScalarsTable,BG$5/100,MONTH($A97)))*$D97</f>
        <v>-10109.73065597964</v>
      </c>
      <c r="BH97" s="1021">
        <f>(VLOOKUP(YEAR($A97),'NY East Load Projections'!$A$4:$EO$14,((MONTH($A97)-1)*12)+VLOOKUP(BH$4,$DE$6:$DF$17,2)+1))*(VLOOKUP($A97,CURVES!$D$9:$T$261,6))*(INDEX(DailyScalarsTable,BH$5/100,MONTH($A97)))*$D97</f>
        <v>-9079.0649705863216</v>
      </c>
      <c r="BI97" s="1021">
        <f>(VLOOKUP(YEAR($A97),'NY East Load Projections'!$A$4:$EO$14,((MONTH($A97)-1)*12)+VLOOKUP(BI$4,$DE$6:$DF$17,2)+1))*(VLOOKUP($A97,CURVES!$D$9:$T$261,6))*(INDEX(DailyScalarsTable,BI$5/100,MONTH($A97)))*$D97</f>
        <v>-8541.9935216220583</v>
      </c>
      <c r="BJ97" s="1021">
        <f>(VLOOKUP(YEAR($A97),'NY East Load Projections'!$A$4:$EO$14,((MONTH($A97)-1)*12)+VLOOKUP(BJ$4,$DE$6:$DF$17,2)+1))*(VLOOKUP($A97,CURVES!$D$9:$T$261,6))*(INDEX(DailyScalarsTable,BJ$5/100,MONTH($A97)))*$D97</f>
        <v>-9018.0583761614216</v>
      </c>
      <c r="BK97" s="1021">
        <f>(VLOOKUP(YEAR($A97),'NY East Load Projections'!$A$4:$EO$14,((MONTH($A97)-1)*12)+VLOOKUP(BK$4,$DE$6:$DF$17,2)+1))*(VLOOKUP($A97,CURVES!$D$9:$T$261,6))*(INDEX(DailyScalarsTable,BK$5/100,MONTH($A97)))*$D97</f>
        <v>-10019.486837315779</v>
      </c>
      <c r="BL97" s="1021">
        <f>(VLOOKUP(YEAR($A97),'NY East Load Projections'!$A$4:$EO$14,((MONTH($A97)-1)*12)+VLOOKUP(BL$4,$DE$6:$DF$17,2)+1))*(VLOOKUP($A97,CURVES!$D$9:$T$261,6))*(INDEX(DailyScalarsTable,BL$5/100,MONTH($A97)))*$D97</f>
        <v>-11658.187955568357</v>
      </c>
      <c r="BM97" s="1021">
        <f>(VLOOKUP(YEAR($A97),'NY East Load Projections'!$A$4:$EO$14,((MONTH($A97)-1)*12)+VLOOKUP(BM$4,$DE$6:$DF$17,2)+1))*(VLOOKUP($A97,SatSunCurve,6))*(INDEX(DailyScalarsTable,BM$5/100,MONTH($A97)))*$D97</f>
        <v>-8853.3488018779426</v>
      </c>
      <c r="BN97" s="1021">
        <f>(VLOOKUP(YEAR($A97),'NY East Load Projections'!$A$4:$EO$14,((MONTH($A97)-1)*12)+VLOOKUP(BN$4,$DE$6:$DF$17,2)+1))*(VLOOKUP($A97,SatSunCurve,6))*(INDEX(DailyScalarsTable,BN$5/100,MONTH($A97)))*$D97</f>
        <v>-10607.306332276978</v>
      </c>
      <c r="BO97" s="1021">
        <f>(VLOOKUP(YEAR($A97),'NY East Load Projections'!$A$4:$EO$14,((MONTH($A97)-1)*12)+VLOOKUP(BO$4,$DE$6:$DF$17,2)+1))*(VLOOKUP($A97,SatSunCurve,6))*(INDEX(DailyScalarsTable,BO$5/100,MONTH($A97)))*$D97</f>
        <v>-13603.217796370865</v>
      </c>
      <c r="BP97" s="1021">
        <f>(VLOOKUP(YEAR($A97),'NY East Load Projections'!$A$4:$EO$14,((MONTH($A97)-1)*12)+VLOOKUP(BP$4,$DE$6:$DF$17,2)+1))*(VLOOKUP($A97,SatSunCurve,6))*(INDEX(DailyScalarsTable,BP$5/100,MONTH($A97)))*$D97</f>
        <v>-15353.30469123759</v>
      </c>
      <c r="BQ97" s="1021">
        <f>(VLOOKUP(YEAR($A97),'NY East Load Projections'!$A$4:$EO$14,((MONTH($A97)-1)*12)+VLOOKUP(BQ$4,$DE$6:$DF$17,2)+1))*(VLOOKUP($A97,SatSunCurve,6))*(INDEX(DailyScalarsTable,BQ$5/100,MONTH($A97)))*$D97</f>
        <v>-16003.901966278441</v>
      </c>
      <c r="BR97" s="1021">
        <f>(VLOOKUP(YEAR($A97),'NY East Load Projections'!$A$4:$EO$14,((MONTH($A97)-1)*12)+VLOOKUP(BR$4,$DE$6:$DF$17,2)+1))*(VLOOKUP($A97,SatSunCurve,6))*(INDEX(DailyScalarsTable,BR$5/100,MONTH($A97)))*$D97</f>
        <v>-16422.331650592838</v>
      </c>
      <c r="BS97" s="1021">
        <f>(VLOOKUP(YEAR($A97),'NY East Load Projections'!$A$4:$EO$14,((MONTH($A97)-1)*12)+VLOOKUP(BS$4,$DE$6:$DF$17,2)+1))*(VLOOKUP($A97,SatSunCurve,6))*(INDEX(DailyScalarsTable,BS$5/100,MONTH($A97)))*$D97</f>
        <v>-18027.952567981727</v>
      </c>
      <c r="BT97" s="1021">
        <f>(VLOOKUP(YEAR($A97),'NY East Load Projections'!$A$4:$EO$14,((MONTH($A97)-1)*12)+VLOOKUP(BT$4,$DE$6:$DF$17,2)+1))*(VLOOKUP($A97,SatSunCurve,6))*(INDEX(DailyScalarsTable,BT$5/100,MONTH($A97)))*$D97</f>
        <v>-19085.412458797084</v>
      </c>
      <c r="BU97" s="1021">
        <f>(VLOOKUP(YEAR($A97),'NY East Load Projections'!$A$4:$EO$14,((MONTH($A97)-1)*12)+VLOOKUP(BU$4,$DE$6:$DF$17,2)+1))*(VLOOKUP($A97,SatSunCurve,6))*(INDEX(DailyScalarsTable,BU$5/100,MONTH($A97)))*$D97</f>
        <v>-18819.513453369625</v>
      </c>
      <c r="BV97" s="1021">
        <f>(VLOOKUP(YEAR($A97),'NY East Load Projections'!$A$4:$EO$14,((MONTH($A97)-1)*12)+VLOOKUP(BV$4,$DE$6:$DF$17,2)+1))*(VLOOKUP($A97,SatSunCurve,6))*(INDEX(DailyScalarsTable,BV$5/100,MONTH($A97)))*$D97</f>
        <v>-17568.077103210413</v>
      </c>
      <c r="BW97" s="1021">
        <f>(VLOOKUP(YEAR($A97),'NY East Load Projections'!$A$4:$EO$14,((MONTH($A97)-1)*12)+VLOOKUP(BW$4,$DE$6:$DF$17,2)+1))*(VLOOKUP($A97,SatSunCurve,6))*(INDEX(DailyScalarsTable,BW$5/100,MONTH($A97)))*$D97</f>
        <v>-16269.125438363302</v>
      </c>
      <c r="BX97" s="1021">
        <f>(VLOOKUP(YEAR($A97),'NY East Load Projections'!$A$4:$EO$14,((MONTH($A97)-1)*12)+VLOOKUP(BX$4,$DE$6:$DF$17,2)+1))*(VLOOKUP($A97,SatSunCurve,6))*(INDEX(DailyScalarsTable,BX$5/100,MONTH($A97)))*$D97</f>
        <v>-13261.026846085781</v>
      </c>
      <c r="BY97" s="1021">
        <f>(VLOOKUP(YEAR($A97),'NY East Load Projections'!$A$4:$EO$14,((MONTH($A97)-1)*12)+VLOOKUP(BY$4,$DE$6:$DF$17,2)+1))*(VLOOKUP($A97,SatSunCurve,6))*(INDEX(DailyScalarsTable,BY$5/100,MONTH($A97)))*$D97</f>
        <v>-12073.413895368421</v>
      </c>
      <c r="BZ97" s="1021">
        <f>(VLOOKUP(YEAR($A97),'NY East Load Projections'!$A$4:$EO$14,((MONTH($A97)-1)*12)+VLOOKUP(BZ$4,$DE$6:$DF$17,2)+1))*(VLOOKUP($A97,SatSunCurve,6))*(INDEX(DailyScalarsTable,BZ$5/100,MONTH($A97)))*$D97</f>
        <v>-14355.048235164038</v>
      </c>
      <c r="CA97" s="1021">
        <f>(VLOOKUP(YEAR($A97),'NY East Load Projections'!$A$4:$EO$14,((MONTH($A97)-1)*12)+VLOOKUP(CA$4,$DE$6:$DF$17,2)+1))*(VLOOKUP($A97,SatSunCurve,6))*(INDEX(DailyScalarsTable,CA$5/100,MONTH($A97)))*$D97</f>
        <v>-12206.497875676974</v>
      </c>
      <c r="CB97" s="1021">
        <f>(VLOOKUP(YEAR($A97),'NY East Load Projections'!$A$4:$EO$14,((MONTH($A97)-1)*12)+VLOOKUP(CB$4,$DE$6:$DF$17,2)+1))*(VLOOKUP($A97,SatSunCurve,6))*(INDEX(DailyScalarsTable,CB$5/100,MONTH($A97)))*$D97</f>
        <v>-9884.4391538258224</v>
      </c>
      <c r="CC97" s="1021">
        <f>(VLOOKUP(YEAR($A97),'NY East Load Projections'!$A$4:$EO$14,((MONTH($A97)-1)*12)+VLOOKUP(CC$4,$DE$6:$DF$17,2)+1))*(VLOOKUP($A97,CURVES!$D$9:$T$261,6))*(INDEX(DailyScalarsTable,CC$5/100,MONTH($A97)))*$D97</f>
        <v>-13530.320485192962</v>
      </c>
      <c r="CE97" s="1021">
        <f>(VLOOKUP(YEAR($A97),'NY East Load Projections'!$A$4:$EO$14,((MONTH($A97)-1)*12)+VLOOKUP(CE$4,$DE$6:$DF$17,2)+1))*(VLOOKUP($A97,CURVES!$D$9:$T$261,6))*(INDEX(DailyScalarsTable,CE$5/100,MONTH($A97)))*$E97</f>
        <v>0</v>
      </c>
      <c r="CF97" s="1021">
        <f>(VLOOKUP(YEAR($A97),'NY East Load Projections'!$A$4:$EO$14,((MONTH($A97)-1)*12)+VLOOKUP(CF$4,$DE$6:$DF$17,2)+1))*(VLOOKUP($A97,CURVES!$D$9:$T$261,6))*(INDEX(DailyScalarsTable,CF$5/100,MONTH($A97)))*$E97</f>
        <v>0</v>
      </c>
      <c r="CG97" s="1021">
        <f>(VLOOKUP(YEAR($A97),'NY East Load Projections'!$A$4:$EO$14,((MONTH($A97)-1)*12)+VLOOKUP(CG$4,$DE$6:$DF$17,2)+1))*(VLOOKUP($A97,CURVES!$D$9:$T$261,6))*(INDEX(DailyScalarsTable,CG$5/100,MONTH($A97)))*$E97</f>
        <v>0</v>
      </c>
      <c r="CH97" s="1021">
        <f>(VLOOKUP(YEAR($A97),'NY East Load Projections'!$A$4:$EO$14,((MONTH($A97)-1)*12)+VLOOKUP(CH$4,$DE$6:$DF$17,2)+1))*(VLOOKUP($A97,CURVES!$D$9:$T$261,6))*(INDEX(DailyScalarsTable,CH$5/100,MONTH($A97)))*$E97</f>
        <v>0</v>
      </c>
      <c r="CI97" s="1021">
        <f>(VLOOKUP(YEAR($A97),'NY East Load Projections'!$A$4:$EO$14,((MONTH($A97)-1)*12)+VLOOKUP(CI$4,$DE$6:$DF$17,2)+1))*(VLOOKUP($A97,CURVES!$D$9:$T$261,6))*(INDEX(DailyScalarsTable,CI$5/100,MONTH($A97)))*$E97</f>
        <v>0</v>
      </c>
      <c r="CJ97" s="1021">
        <f>(VLOOKUP(YEAR($A97),'NY East Load Projections'!$A$4:$EO$14,((MONTH($A97)-1)*12)+VLOOKUP(CJ$4,$DE$6:$DF$17,2)+1))*(VLOOKUP($A97,CURVES!$D$9:$T$261,6))*(INDEX(DailyScalarsTable,CJ$5/100,MONTH($A97)))*$E97</f>
        <v>0</v>
      </c>
      <c r="CK97" s="1021">
        <f>(VLOOKUP(YEAR($A97),'NY East Load Projections'!$A$4:$EO$14,((MONTH($A97)-1)*12)+VLOOKUP(CK$4,$DE$6:$DF$17,2)+1))*(VLOOKUP($A97,CURVES!$D$9:$T$261,6))*(INDEX(DailyScalarsTable,CK$5/100,MONTH($A97)))*$E97</f>
        <v>0</v>
      </c>
      <c r="CL97" s="1021">
        <f>(VLOOKUP(YEAR($A97),'NY East Load Projections'!$A$4:$EO$14,((MONTH($A97)-1)*12)+VLOOKUP(CL$4,$DE$6:$DF$17,2)+1))*(VLOOKUP($A97,SatSunCurve,6))*(INDEX(DailyScalarsTable,CL$5/100,MONTH($A97)))*$E97</f>
        <v>0</v>
      </c>
      <c r="CM97" s="1021">
        <f>(VLOOKUP(YEAR($A97),'NY East Load Projections'!$A$4:$EO$14,((MONTH($A97)-1)*12)+VLOOKUP(CM$4,$DE$6:$DF$17,2)+1))*(VLOOKUP($A97,SatSunCurve,6))*(INDEX(DailyScalarsTable,CM$5/100,MONTH($A97)))*$E97</f>
        <v>0</v>
      </c>
      <c r="CN97" s="1021">
        <f>(VLOOKUP(YEAR($A97),'NY East Load Projections'!$A$4:$EO$14,((MONTH($A97)-1)*12)+VLOOKUP(CN$4,$DE$6:$DF$17,2)+1))*(VLOOKUP($A97,SatSunCurve,6))*(INDEX(DailyScalarsTable,CN$5/100,MONTH($A97)))*$E97</f>
        <v>0</v>
      </c>
      <c r="CO97" s="1021">
        <f>(VLOOKUP(YEAR($A97),'NY East Load Projections'!$A$4:$EO$14,((MONTH($A97)-1)*12)+VLOOKUP(CO$4,$DE$6:$DF$17,2)+1))*(VLOOKUP($A97,SatSunCurve,6))*(INDEX(DailyScalarsTable,CO$5/100,MONTH($A97)))*$E97</f>
        <v>0</v>
      </c>
      <c r="CP97" s="1021">
        <f>(VLOOKUP(YEAR($A97),'NY East Load Projections'!$A$4:$EO$14,((MONTH($A97)-1)*12)+VLOOKUP(CP$4,$DE$6:$DF$17,2)+1))*(VLOOKUP($A97,SatSunCurve,6))*(INDEX(DailyScalarsTable,CP$5/100,MONTH($A97)))*$E97</f>
        <v>0</v>
      </c>
      <c r="CQ97" s="1021">
        <f>(VLOOKUP(YEAR($A97),'NY East Load Projections'!$A$4:$EO$14,((MONTH($A97)-1)*12)+VLOOKUP(CQ$4,$DE$6:$DF$17,2)+1))*(VLOOKUP($A97,SatSunCurve,6))*(INDEX(DailyScalarsTable,CQ$5/100,MONTH($A97)))*$E97</f>
        <v>0</v>
      </c>
      <c r="CR97" s="1021">
        <f>(VLOOKUP(YEAR($A97),'NY East Load Projections'!$A$4:$EO$14,((MONTH($A97)-1)*12)+VLOOKUP(CR$4,$DE$6:$DF$17,2)+1))*(VLOOKUP($A97,SatSunCurve,6))*(INDEX(DailyScalarsTable,CR$5/100,MONTH($A97)))*$E97</f>
        <v>0</v>
      </c>
      <c r="CS97" s="1021">
        <f>(VLOOKUP(YEAR($A97),'NY East Load Projections'!$A$4:$EO$14,((MONTH($A97)-1)*12)+VLOOKUP(CS$4,$DE$6:$DF$17,2)+1))*(VLOOKUP($A97,SatSunCurve,6))*(INDEX(DailyScalarsTable,CS$5/100,MONTH($A97)))*$E97</f>
        <v>0</v>
      </c>
      <c r="CT97" s="1021">
        <f>(VLOOKUP(YEAR($A97),'NY East Load Projections'!$A$4:$EO$14,((MONTH($A97)-1)*12)+VLOOKUP(CT$4,$DE$6:$DF$17,2)+1))*(VLOOKUP($A97,SatSunCurve,6))*(INDEX(DailyScalarsTable,CT$5/100,MONTH($A97)))*$E97</f>
        <v>0</v>
      </c>
      <c r="CU97" s="1021">
        <f>(VLOOKUP(YEAR($A97),'NY East Load Projections'!$A$4:$EO$14,((MONTH($A97)-1)*12)+VLOOKUP(CU$4,$DE$6:$DF$17,2)+1))*(VLOOKUP($A97,SatSunCurve,6))*(INDEX(DailyScalarsTable,CU$5/100,MONTH($A97)))*$E97</f>
        <v>0</v>
      </c>
      <c r="CV97" s="1021">
        <f>(VLOOKUP(YEAR($A97),'NY East Load Projections'!$A$4:$EO$14,((MONTH($A97)-1)*12)+VLOOKUP(CV$4,$DE$6:$DF$17,2)+1))*(VLOOKUP($A97,SatSunCurve,6))*(INDEX(DailyScalarsTable,CV$5/100,MONTH($A97)))*$E97</f>
        <v>0</v>
      </c>
      <c r="CW97" s="1021">
        <f>(VLOOKUP(YEAR($A97),'NY East Load Projections'!$A$4:$EO$14,((MONTH($A97)-1)*12)+VLOOKUP(CW$4,$DE$6:$DF$17,2)+1))*(VLOOKUP($A97,SatSunCurve,6))*(INDEX(DailyScalarsTable,CW$5/100,MONTH($A97)))*$E97</f>
        <v>0</v>
      </c>
      <c r="CX97" s="1021">
        <f>(VLOOKUP(YEAR($A97),'NY East Load Projections'!$A$4:$EO$14,((MONTH($A97)-1)*12)+VLOOKUP(CX$4,$DE$6:$DF$17,2)+1))*(VLOOKUP($A97,SatSunCurve,6))*(INDEX(DailyScalarsTable,CX$5/100,MONTH($A97)))*$E97</f>
        <v>0</v>
      </c>
      <c r="CY97" s="1021">
        <f>(VLOOKUP(YEAR($A97),'NY East Load Projections'!$A$4:$EO$14,((MONTH($A97)-1)*12)+VLOOKUP(CY$4,$DE$6:$DF$17,2)+1))*(VLOOKUP($A97,SatSunCurve,6))*(INDEX(DailyScalarsTable,CY$5/100,MONTH($A97)))*$E97</f>
        <v>0</v>
      </c>
      <c r="CZ97" s="1021">
        <f>(VLOOKUP(YEAR($A97),'NY East Load Projections'!$A$4:$EO$14,((MONTH($A97)-1)*12)+VLOOKUP(CZ$4,$DE$6:$DF$17,2)+1))*(VLOOKUP($A97,SatSunCurve,6))*(INDEX(DailyScalarsTable,CZ$5/100,MONTH($A97)))*$E97</f>
        <v>0</v>
      </c>
      <c r="DA97" s="1021">
        <f>(VLOOKUP(YEAR($A97),'NY East Load Projections'!$A$4:$EO$14,((MONTH($A97)-1)*12)+VLOOKUP(DA$4,$DE$6:$DF$17,2)+1))*(VLOOKUP($A97,SatSunCurve,6))*(INDEX(DailyScalarsTable,DA$5/100,MONTH($A97)))*$E97</f>
        <v>0</v>
      </c>
      <c r="DB97" s="1021">
        <f>(VLOOKUP(YEAR($A97),'NY East Load Projections'!$A$4:$EO$14,((MONTH($A97)-1)*12)+VLOOKUP(DB$4,$DE$6:$DF$17,2)+1))*(VLOOKUP($A97,CURVES!$D$9:$T$261,6))*(INDEX(DailyScalarsTable,DB$5/100,MONTH($A97)))*$E97</f>
        <v>0</v>
      </c>
      <c r="DH97" s="1021">
        <f t="shared" si="2"/>
        <v>-3407729.9070905871</v>
      </c>
      <c r="DI97">
        <f ca="1">CALC!J117</f>
        <v>0.53749778610818577</v>
      </c>
      <c r="DJ97" s="1029">
        <f t="shared" ca="1" si="3"/>
        <v>-1831647.2807158441</v>
      </c>
    </row>
    <row r="98" spans="1:114" x14ac:dyDescent="0.25">
      <c r="A98" s="244">
        <v>39692</v>
      </c>
      <c r="B98" s="13">
        <v>21</v>
      </c>
      <c r="C98" s="210">
        <v>4</v>
      </c>
      <c r="D98" s="210">
        <v>4</v>
      </c>
      <c r="E98" s="210">
        <v>1</v>
      </c>
      <c r="F98" s="13">
        <v>30</v>
      </c>
      <c r="H98" s="1021">
        <f>(VLOOKUP(YEAR($A98),'NY East Load Projections'!$A$4:$EO$14,((MONTH($A98)-1)*12)+VLOOKUP(H$4,$DE$6:$DF$17,2)+1))*(VLOOKUP($A98,CURVES!$D$9:$K$261,6))*(INDEX(DailyScalarsTable,H$5/100,MONTH($A98)))*$B98</f>
        <v>-38789.352558470615</v>
      </c>
      <c r="I98" s="1021">
        <f>(VLOOKUP(YEAR($A98),'NY East Load Projections'!$A$4:$EO$14,((MONTH($A98)-1)*12)+VLOOKUP(I$4,$DE$6:$DF$17,2)+1))*(VLOOKUP($A98,CURVES!$D$9:$K$261,6))*(INDEX(DailyScalarsTable,I$5/100,MONTH($A98)))*$B98</f>
        <v>-34030.587690362583</v>
      </c>
      <c r="J98" s="1021">
        <f>(VLOOKUP(YEAR($A98),'NY East Load Projections'!$A$4:$EO$14,((MONTH($A98)-1)*12)+VLOOKUP(J$4,$DE$6:$DF$17,2)+1))*(VLOOKUP($A98,CURVES!$D$9:$K$261,6))*(INDEX(DailyScalarsTable,J$5/100,MONTH($A98)))*$B98</f>
        <v>-31912.296910562949</v>
      </c>
      <c r="K98" s="1021">
        <f>(VLOOKUP(YEAR($A98),'NY East Load Projections'!$A$4:$EO$14,((MONTH($A98)-1)*12)+VLOOKUP(K$4,$DE$6:$DF$17,2)+1))*(VLOOKUP($A98,CURVES!$D$9:$K$261,6))*(INDEX(DailyScalarsTable,K$5/100,MONTH($A98)))*$B98</f>
        <v>-32385.217642797292</v>
      </c>
      <c r="L98" s="1021">
        <f>(VLOOKUP(YEAR($A98),'NY East Load Projections'!$A$4:$EO$14,((MONTH($A98)-1)*12)+VLOOKUP(L$4,$DE$6:$DF$17,2)+1))*(VLOOKUP($A98,CURVES!$D$9:$K$261,6))*(INDEX(DailyScalarsTable,L$5/100,MONTH($A98)))*$B98</f>
        <v>-37326.369036198877</v>
      </c>
      <c r="M98" s="1021">
        <f>(VLOOKUP(YEAR($A98),'NY East Load Projections'!$A$4:$EO$14,((MONTH($A98)-1)*12)+VLOOKUP(M$4,$DE$6:$DF$17,2)+1))*(VLOOKUP($A98,CURVES!$D$9:$K$261,6))*(INDEX(DailyScalarsTable,M$5/100,MONTH($A98)))*$B98</f>
        <v>-43195.096543158295</v>
      </c>
      <c r="N98" s="1021">
        <f>(VLOOKUP(YEAR($A98),'NY East Load Projections'!$A$4:$EO$14,((MONTH($A98)-1)*12)+VLOOKUP(N$4,$DE$6:$DF$17,2)+1))*(VLOOKUP($A98,CURVES!$D$9:$K$261,6))*(INDEX(DailyScalarsTable,N$5/100,MONTH($A98)))*$B98</f>
        <v>-58739.862233635024</v>
      </c>
      <c r="O98" s="1021">
        <f>(VLOOKUP(YEAR($A98),'NY East Load Projections'!$A$4:$EO$14,((MONTH($A98)-1)*12)+VLOOKUP(O$4,$DE$6:$DF$17,2)+1))*(VLOOKUP($A98,CURVES!$D$9:$K$261,2))*(INDEX(DailyScalarsTable,O$5/100,MONTH($A98)))*$B98</f>
        <v>-53083.150790133725</v>
      </c>
      <c r="P98" s="1021">
        <f>(VLOOKUP(YEAR($A98),'NY East Load Projections'!$A$4:$EO$14,((MONTH($A98)-1)*12)+VLOOKUP(P$4,$DE$6:$DF$17,2)+1))*(VLOOKUP($A98,CURVES!$D$9:$K$261,2))*(INDEX(DailyScalarsTable,P$5/100,MONTH($A98)))*$B98</f>
        <v>-56359.557315227787</v>
      </c>
      <c r="Q98" s="1021">
        <f>(VLOOKUP(YEAR($A98),'NY East Load Projections'!$A$4:$EO$14,((MONTH($A98)-1)*12)+VLOOKUP(Q$4,$DE$6:$DF$17,2)+1))*(VLOOKUP($A98,CURVES!$D$9:$K$261,2))*(INDEX(DailyScalarsTable,Q$5/100,MONTH($A98)))*$B98</f>
        <v>-70354.373166782316</v>
      </c>
      <c r="R98" s="1021">
        <f>(VLOOKUP(YEAR($A98),'NY East Load Projections'!$A$4:$EO$14,((MONTH($A98)-1)*12)+VLOOKUP(R$4,$DE$6:$DF$17,2)+1))*(VLOOKUP($A98,CURVES!$D$9:$K$261,2))*(INDEX(DailyScalarsTable,R$5/100,MONTH($A98)))*$B98</f>
        <v>-75135.210880046288</v>
      </c>
      <c r="S98" s="1021">
        <f>(VLOOKUP(YEAR($A98),'NY East Load Projections'!$A$4:$EO$14,((MONTH($A98)-1)*12)+VLOOKUP(S$4,$DE$6:$DF$17,2)+1))*(VLOOKUP($A98,CURVES!$D$9:$K$261,2))*(INDEX(DailyScalarsTable,S$5/100,MONTH($A98)))*$B98</f>
        <v>-80057.300616656707</v>
      </c>
      <c r="T98" s="1021">
        <f>(VLOOKUP(YEAR($A98),'NY East Load Projections'!$A$4:$EO$14,((MONTH($A98)-1)*12)+VLOOKUP(T$4,$DE$6:$DF$17,2)+1))*(VLOOKUP($A98,CURVES!$D$9:$K$261,2))*(INDEX(DailyScalarsTable,T$5/100,MONTH($A98)))*$B98</f>
        <v>-77871.667995253738</v>
      </c>
      <c r="U98" s="1021">
        <f>(VLOOKUP(YEAR($A98),'NY East Load Projections'!$A$4:$EO$14,((MONTH($A98)-1)*12)+VLOOKUP(U$4,$DE$6:$DF$17,2)+1))*(VLOOKUP($A98,CURVES!$D$9:$K$261,2))*(INDEX(DailyScalarsTable,U$5/100,MONTH($A98)))*$B98</f>
        <v>-84298.567535553841</v>
      </c>
      <c r="V98" s="1021">
        <f>(VLOOKUP(YEAR($A98),'NY East Load Projections'!$A$4:$EO$14,((MONTH($A98)-1)*12)+VLOOKUP(V$4,$DE$6:$DF$17,2)+1))*(VLOOKUP($A98,CURVES!$D$9:$K$261,2))*(INDEX(DailyScalarsTable,V$5/100,MONTH($A98)))*$B98</f>
        <v>-82968.478761126564</v>
      </c>
      <c r="W98" s="1021">
        <f>(VLOOKUP(YEAR($A98),'NY East Load Projections'!$A$4:$EO$14,((MONTH($A98)-1)*12)+VLOOKUP(W$4,$DE$6:$DF$17,2)+1))*(VLOOKUP($A98,CURVES!$D$9:$K$261,2))*(INDEX(DailyScalarsTable,W$5/100,MONTH($A98)))*$B98</f>
        <v>-80375.364511822845</v>
      </c>
      <c r="X98" s="1021">
        <f>(VLOOKUP(YEAR($A98),'NY East Load Projections'!$A$4:$EO$14,((MONTH($A98)-1)*12)+VLOOKUP(X$4,$DE$6:$DF$17,2)+1))*(VLOOKUP($A98,CURVES!$D$9:$K$261,2))*(INDEX(DailyScalarsTable,X$5/100,MONTH($A98)))*$B98</f>
        <v>-82926.765830669043</v>
      </c>
      <c r="Y98" s="1021">
        <f>(VLOOKUP(YEAR($A98),'NY East Load Projections'!$A$4:$EO$14,((MONTH($A98)-1)*12)+VLOOKUP(Y$4,$DE$6:$DF$17,2)+1))*(VLOOKUP($A98,CURVES!$D$9:$K$261,2))*(INDEX(DailyScalarsTable,Y$5/100,MONTH($A98)))*$B98</f>
        <v>-80892.410051737184</v>
      </c>
      <c r="Z98" s="1021">
        <f>(VLOOKUP(YEAR($A98),'NY East Load Projections'!$A$4:$EO$14,((MONTH($A98)-1)*12)+VLOOKUP(Z$4,$DE$6:$DF$17,2)+1))*(VLOOKUP($A98,CURVES!$D$9:$K$261,2))*(INDEX(DailyScalarsTable,Z$5/100,MONTH($A98)))*$B98</f>
        <v>-66255.75557910651</v>
      </c>
      <c r="AA98" s="1021">
        <f>(VLOOKUP(YEAR($A98),'NY East Load Projections'!$A$4:$EO$14,((MONTH($A98)-1)*12)+VLOOKUP(AA$4,$DE$6:$DF$17,2)+1))*(VLOOKUP($A98,CURVES!$D$9:$K$261,2))*(INDEX(DailyScalarsTable,AA$5/100,MONTH($A98)))*$B98</f>
        <v>-86588.606232746344</v>
      </c>
      <c r="AB98" s="1021">
        <f>(VLOOKUP(YEAR($A98),'NY East Load Projections'!$A$4:$EO$14,((MONTH($A98)-1)*12)+VLOOKUP(AB$4,$DE$6:$DF$17,2)+1))*(VLOOKUP($A98,CURVES!$D$9:$K$261,2))*(INDEX(DailyScalarsTable,AB$5/100,MONTH($A98)))*$B98</f>
        <v>-78957.268551331974</v>
      </c>
      <c r="AC98" s="1021">
        <f>(VLOOKUP(YEAR($A98),'NY East Load Projections'!$A$4:$EO$14,((MONTH($A98)-1)*12)+VLOOKUP(AC$4,$DE$6:$DF$17,2)+1))*(VLOOKUP($A98,CURVES!$D$9:$K$261,2))*(INDEX(DailyScalarsTable,AC$5/100,MONTH($A98)))*$B98</f>
        <v>-60094.286071813352</v>
      </c>
      <c r="AD98" s="1021">
        <f>(VLOOKUP(YEAR($A98),'NY East Load Projections'!$A$4:$EO$14,((MONTH($A98)-1)*12)+VLOOKUP(AD$4,$DE$6:$DF$17,2)+1))*(VLOOKUP($A98,CURVES!$D$9:$K$261,2))*(INDEX(DailyScalarsTable,AD$5/100,MONTH($A98)))*$B98</f>
        <v>-47622.252481659401</v>
      </c>
      <c r="AE98" s="1021">
        <f>(VLOOKUP(YEAR($A98),'NY East Load Projections'!$A$4:$EO$14,((MONTH($A98)-1)*12)+VLOOKUP(AE$4,$DE$6:$DF$17,2)+1))*(VLOOKUP($A98,CURVES!$D$9:$K$261,6))*(INDEX(DailyScalarsTable,AE$5/100,MONTH($A98)))*$B98</f>
        <v>-45230.7616155004</v>
      </c>
      <c r="AF98" s="1021"/>
      <c r="AG98" s="1021">
        <f>(VLOOKUP(YEAR($A98),'NY East Load Projections'!$A$4:$EO$14,((MONTH($A98)-1)*12)+VLOOKUP(AG$4,$DE$6:$DF$17,2)+1))*(VLOOKUP($A98,CURVES!$D$9:$T$261,6))*(INDEX(DailyScalarsTable,AG$5/100,MONTH($A98)))*$C98</f>
        <v>-7706.1308376554452</v>
      </c>
      <c r="AH98" s="1021">
        <f>(VLOOKUP(YEAR($A98),'NY East Load Projections'!$A$4:$EO$14,((MONTH($A98)-1)*12)+VLOOKUP(AH$4,$DE$6:$DF$17,2)+1))*(VLOOKUP($A98,CURVES!$D$9:$T$261,6))*(INDEX(DailyScalarsTable,AH$5/100,MONTH($A98)))*$C98</f>
        <v>-6760.7254034193311</v>
      </c>
      <c r="AI98" s="1021">
        <f>(VLOOKUP(YEAR($A98),'NY East Load Projections'!$A$4:$EO$14,((MONTH($A98)-1)*12)+VLOOKUP(AI$4,$DE$6:$DF$17,2)+1))*(VLOOKUP($A98,CURVES!$D$9:$T$261,6))*(INDEX(DailyScalarsTable,AI$5/100,MONTH($A98)))*$C98</f>
        <v>-6339.8927567096753</v>
      </c>
      <c r="AJ98" s="1021">
        <f>(VLOOKUP(YEAR($A98),'NY East Load Projections'!$A$4:$EO$14,((MONTH($A98)-1)*12)+VLOOKUP(AJ$4,$DE$6:$DF$17,2)+1))*(VLOOKUP($A98,CURVES!$D$9:$T$261,6))*(INDEX(DailyScalarsTable,AJ$5/100,MONTH($A98)))*$C98</f>
        <v>-6433.8460917890416</v>
      </c>
      <c r="AK98" s="1021">
        <f>(VLOOKUP(YEAR($A98),'NY East Load Projections'!$A$4:$EO$14,((MONTH($A98)-1)*12)+VLOOKUP(AK$4,$DE$6:$DF$17,2)+1))*(VLOOKUP($A98,CURVES!$D$9:$T$261,6))*(INDEX(DailyScalarsTable,AK$5/100,MONTH($A98)))*$C98</f>
        <v>-6999.7408242101283</v>
      </c>
      <c r="AL98" s="1021">
        <f>(VLOOKUP(YEAR($A98),'NY East Load Projections'!$A$4:$EO$14,((MONTH($A98)-1)*12)+VLOOKUP(AL$4,$DE$6:$DF$17,2)+1))*(VLOOKUP($A98,CURVES!$D$9:$T$261,6))*(INDEX(DailyScalarsTable,AL$5/100,MONTH($A98)))*$C98</f>
        <v>-8100.2917906539851</v>
      </c>
      <c r="AM98" s="1021">
        <f>(VLOOKUP(YEAR($A98),'NY East Load Projections'!$A$4:$EO$14,((MONTH($A98)-1)*12)+VLOOKUP(AM$4,$DE$6:$DF$17,2)+1))*(VLOOKUP($A98,CURVES!$D$9:$T$261,6))*(INDEX(DailyScalarsTable,AM$5/100,MONTH($A98)))*$C98</f>
        <v>-11015.371232238253</v>
      </c>
      <c r="AN98" s="1021">
        <f>(VLOOKUP(YEAR($A98),'NY East Load Projections'!$A$4:$EO$14,((MONTH($A98)-1)*12)+VLOOKUP(AN$4,$DE$6:$DF$17,2)+1))*(VLOOKUP($A98,SatSunCurve,2))*(INDEX(DailyScalarsTable,AN$5/100,MONTH($A98)))*$C98</f>
        <v>-7188.3696612526992</v>
      </c>
      <c r="AO98" s="1021">
        <f>(VLOOKUP(YEAR($A98),'NY East Load Projections'!$A$4:$EO$14,((MONTH($A98)-1)*12)+VLOOKUP(AO$4,$DE$6:$DF$17,2)+1))*(VLOOKUP($A98,SatSunCurve,2))*(INDEX(DailyScalarsTable,AO$5/100,MONTH($A98)))*$C98</f>
        <v>-7914.6119753655821</v>
      </c>
      <c r="AP98" s="1021">
        <f>(VLOOKUP(YEAR($A98),'NY East Load Projections'!$A$4:$EO$14,((MONTH($A98)-1)*12)+VLOOKUP(AP$4,$DE$6:$DF$17,2)+1))*(VLOOKUP($A98,SatSunCurve,2))*(INDEX(DailyScalarsTable,AP$5/100,MONTH($A98)))*$C98</f>
        <v>-9879.9137344307164</v>
      </c>
      <c r="AQ98" s="1021">
        <f>(VLOOKUP(YEAR($A98),'NY East Load Projections'!$A$4:$EO$14,((MONTH($A98)-1)*12)+VLOOKUP(AQ$4,$DE$6:$DF$17,2)+1))*(VLOOKUP($A98,SatSunCurve,2))*(INDEX(DailyScalarsTable,AQ$5/100,MONTH($A98)))*$C98</f>
        <v>-10551.290111751105</v>
      </c>
      <c r="AR98" s="1021">
        <f>(VLOOKUP(YEAR($A98),'NY East Load Projections'!$A$4:$EO$14,((MONTH($A98)-1)*12)+VLOOKUP(AR$4,$DE$6:$DF$17,2)+1))*(VLOOKUP($A98,SatSunCurve,2))*(INDEX(DailyScalarsTable,AR$5/100,MONTH($A98)))*$C98</f>
        <v>-11242.502609310506</v>
      </c>
      <c r="AS98" s="1021">
        <f>(VLOOKUP(YEAR($A98),'NY East Load Projections'!$A$4:$EO$14,((MONTH($A98)-1)*12)+VLOOKUP(AS$4,$DE$6:$DF$17,2)+1))*(VLOOKUP($A98,SatSunCurve,2))*(INDEX(DailyScalarsTable,AS$5/100,MONTH($A98)))*$C98</f>
        <v>-10890.059805270423</v>
      </c>
      <c r="AT98" s="1021">
        <f>(VLOOKUP(YEAR($A98),'NY East Load Projections'!$A$4:$EO$14,((MONTH($A98)-1)*12)+VLOOKUP(AT$4,$DE$6:$DF$17,2)+1))*(VLOOKUP($A98,SatSunCurve,2))*(INDEX(DailyScalarsTable,AT$5/100,MONTH($A98)))*$C98</f>
        <v>-11788.837527106289</v>
      </c>
      <c r="AU98" s="1021">
        <f>(VLOOKUP(YEAR($A98),'NY East Load Projections'!$A$4:$EO$14,((MONTH($A98)-1)*12)+VLOOKUP(AU$4,$DE$6:$DF$17,2)+1))*(VLOOKUP($A98,SatSunCurve,2))*(INDEX(DailyScalarsTable,AU$5/100,MONTH($A98)))*$C98</f>
        <v>-11602.829615978526</v>
      </c>
      <c r="AV98" s="1021">
        <f>(VLOOKUP(YEAR($A98),'NY East Load Projections'!$A$4:$EO$14,((MONTH($A98)-1)*12)+VLOOKUP(AV$4,$DE$6:$DF$17,2)+1))*(VLOOKUP($A98,SatSunCurve,2))*(INDEX(DailyScalarsTable,AV$5/100,MONTH($A98)))*$C98</f>
        <v>-11240.192343863877</v>
      </c>
      <c r="AW98" s="1021">
        <f>(VLOOKUP(YEAR($A98),'NY East Load Projections'!$A$4:$EO$14,((MONTH($A98)-1)*12)+VLOOKUP(AW$4,$DE$6:$DF$17,2)+1))*(VLOOKUP($A98,SatSunCurve,2))*(INDEX(DailyScalarsTable,AW$5/100,MONTH($A98)))*$C98</f>
        <v>-11291.474161122889</v>
      </c>
      <c r="AX98" s="1021">
        <f>(VLOOKUP(YEAR($A98),'NY East Load Projections'!$A$4:$EO$14,((MONTH($A98)-1)*12)+VLOOKUP(AX$4,$DE$6:$DF$17,2)+1))*(VLOOKUP($A98,SatSunCurve,2))*(INDEX(DailyScalarsTable,AX$5/100,MONTH($A98)))*$C98</f>
        <v>-11014.472212689918</v>
      </c>
      <c r="AY98" s="1021">
        <f>(VLOOKUP(YEAR($A98),'NY East Load Projections'!$A$4:$EO$14,((MONTH($A98)-1)*12)+VLOOKUP(AY$4,$DE$6:$DF$17,2)+1))*(VLOOKUP($A98,SatSunCurve,2))*(INDEX(DailyScalarsTable,AY$5/100,MONTH($A98)))*$C98</f>
        <v>-9021.5160889642884</v>
      </c>
      <c r="AZ98" s="1021">
        <f>(VLOOKUP(YEAR($A98),'NY East Load Projections'!$A$4:$EO$14,((MONTH($A98)-1)*12)+VLOOKUP(AZ$4,$DE$6:$DF$17,2)+1))*(VLOOKUP($A98,SatSunCurve,2))*(INDEX(DailyScalarsTable,AZ$5/100,MONTH($A98)))*$C98</f>
        <v>-11790.077668302232</v>
      </c>
      <c r="BA98" s="1021">
        <f>(VLOOKUP(YEAR($A98),'NY East Load Projections'!$A$4:$EO$14,((MONTH($A98)-1)*12)+VLOOKUP(BA$4,$DE$6:$DF$17,2)+1))*(VLOOKUP($A98,SatSunCurve,2))*(INDEX(DailyScalarsTable,BA$5/100,MONTH($A98)))*$C98</f>
        <v>-11389.790649671128</v>
      </c>
      <c r="BB98" s="1021">
        <f>(VLOOKUP(YEAR($A98),'NY East Load Projections'!$A$4:$EO$14,((MONTH($A98)-1)*12)+VLOOKUP(BB$4,$DE$6:$DF$17,2)+1))*(VLOOKUP($A98,SatSunCurve,2))*(INDEX(DailyScalarsTable,BB$5/100,MONTH($A98)))*$C98</f>
        <v>-8668.7565332179292</v>
      </c>
      <c r="BC98" s="1021">
        <f>(VLOOKUP(YEAR($A98),'NY East Load Projections'!$A$4:$EO$14,((MONTH($A98)-1)*12)+VLOOKUP(BC$4,$DE$6:$DF$17,2)+1))*(VLOOKUP($A98,SatSunCurve,2))*(INDEX(DailyScalarsTable,BC$5/100,MONTH($A98)))*$C98</f>
        <v>-6869.6333597108915</v>
      </c>
      <c r="BD98" s="1021">
        <f>(VLOOKUP(YEAR($A98),'NY East Load Projections'!$A$4:$EO$14,((MONTH($A98)-1)*12)+VLOOKUP(BD$4,$DE$6:$DF$17,2)+1))*(VLOOKUP($A98,CURVES!$D$9:$T$261,6))*(INDEX(DailyScalarsTable,BD$5/100,MONTH($A98)))*$C98</f>
        <v>-9035.4550768156987</v>
      </c>
      <c r="BE98" s="1021"/>
      <c r="BF98" s="1021">
        <f>(VLOOKUP(YEAR($A98),'NY East Load Projections'!$A$4:$EO$14,((MONTH($A98)-1)*12)+VLOOKUP(BF$4,$DE$6:$DF$17,2)+1))*(VLOOKUP($A98,CURVES!$D$9:$T$261,6))*(INDEX(DailyScalarsTable,BF$5/100,MONTH($A98)))*$D98</f>
        <v>-7706.1308376554452</v>
      </c>
      <c r="BG98" s="1021">
        <f>(VLOOKUP(YEAR($A98),'NY East Load Projections'!$A$4:$EO$14,((MONTH($A98)-1)*12)+VLOOKUP(BG$4,$DE$6:$DF$17,2)+1))*(VLOOKUP($A98,CURVES!$D$9:$T$261,6))*(INDEX(DailyScalarsTable,BG$5/100,MONTH($A98)))*$D98</f>
        <v>-6760.7254034193311</v>
      </c>
      <c r="BH98" s="1021">
        <f>(VLOOKUP(YEAR($A98),'NY East Load Projections'!$A$4:$EO$14,((MONTH($A98)-1)*12)+VLOOKUP(BH$4,$DE$6:$DF$17,2)+1))*(VLOOKUP($A98,CURVES!$D$9:$T$261,6))*(INDEX(DailyScalarsTable,BH$5/100,MONTH($A98)))*$D98</f>
        <v>-6339.8927567096753</v>
      </c>
      <c r="BI98" s="1021">
        <f>(VLOOKUP(YEAR($A98),'NY East Load Projections'!$A$4:$EO$14,((MONTH($A98)-1)*12)+VLOOKUP(BI$4,$DE$6:$DF$17,2)+1))*(VLOOKUP($A98,CURVES!$D$9:$T$261,6))*(INDEX(DailyScalarsTable,BI$5/100,MONTH($A98)))*$D98</f>
        <v>-6433.8460917890416</v>
      </c>
      <c r="BJ98" s="1021">
        <f>(VLOOKUP(YEAR($A98),'NY East Load Projections'!$A$4:$EO$14,((MONTH($A98)-1)*12)+VLOOKUP(BJ$4,$DE$6:$DF$17,2)+1))*(VLOOKUP($A98,CURVES!$D$9:$T$261,6))*(INDEX(DailyScalarsTable,BJ$5/100,MONTH($A98)))*$D98</f>
        <v>-6999.7408242101283</v>
      </c>
      <c r="BK98" s="1021">
        <f>(VLOOKUP(YEAR($A98),'NY East Load Projections'!$A$4:$EO$14,((MONTH($A98)-1)*12)+VLOOKUP(BK$4,$DE$6:$DF$17,2)+1))*(VLOOKUP($A98,CURVES!$D$9:$T$261,6))*(INDEX(DailyScalarsTable,BK$5/100,MONTH($A98)))*$D98</f>
        <v>-8100.2917906539851</v>
      </c>
      <c r="BL98" s="1021">
        <f>(VLOOKUP(YEAR($A98),'NY East Load Projections'!$A$4:$EO$14,((MONTH($A98)-1)*12)+VLOOKUP(BL$4,$DE$6:$DF$17,2)+1))*(VLOOKUP($A98,CURVES!$D$9:$T$261,6))*(INDEX(DailyScalarsTable,BL$5/100,MONTH($A98)))*$D98</f>
        <v>-11015.371232238253</v>
      </c>
      <c r="BM98" s="1021">
        <f>(VLOOKUP(YEAR($A98),'NY East Load Projections'!$A$4:$EO$14,((MONTH($A98)-1)*12)+VLOOKUP(BM$4,$DE$6:$DF$17,2)+1))*(VLOOKUP($A98,SatSunCurve,6))*(INDEX(DailyScalarsTable,BM$5/100,MONTH($A98)))*$D98</f>
        <v>-6636.386148409927</v>
      </c>
      <c r="BN98" s="1021">
        <f>(VLOOKUP(YEAR($A98),'NY East Load Projections'!$A$4:$EO$14,((MONTH($A98)-1)*12)+VLOOKUP(BN$4,$DE$6:$DF$17,2)+1))*(VLOOKUP($A98,SatSunCurve,6))*(INDEX(DailyScalarsTable,BN$5/100,MONTH($A98)))*$D98</f>
        <v>-7306.861466303918</v>
      </c>
      <c r="BO98" s="1021">
        <f>(VLOOKUP(YEAR($A98),'NY East Load Projections'!$A$4:$EO$14,((MONTH($A98)-1)*12)+VLOOKUP(BO$4,$DE$6:$DF$17,2)+1))*(VLOOKUP($A98,SatSunCurve,6))*(INDEX(DailyScalarsTable,BO$5/100,MONTH($A98)))*$D98</f>
        <v>-9121.2508182606234</v>
      </c>
      <c r="BP98" s="1021">
        <f>(VLOOKUP(YEAR($A98),'NY East Load Projections'!$A$4:$EO$14,((MONTH($A98)-1)*12)+VLOOKUP(BP$4,$DE$6:$DF$17,2)+1))*(VLOOKUP($A98,SatSunCurve,6))*(INDEX(DailyScalarsTable,BP$5/100,MONTH($A98)))*$D98</f>
        <v>-9741.0732676868283</v>
      </c>
      <c r="BQ98" s="1021">
        <f>(VLOOKUP(YEAR($A98),'NY East Load Projections'!$A$4:$EO$14,((MONTH($A98)-1)*12)+VLOOKUP(BQ$4,$DE$6:$DF$17,2)+1))*(VLOOKUP($A98,SatSunCurve,6))*(INDEX(DailyScalarsTable,BQ$5/100,MONTH($A98)))*$D98</f>
        <v>-10379.208653118807</v>
      </c>
      <c r="BR98" s="1021">
        <f>(VLOOKUP(YEAR($A98),'NY East Load Projections'!$A$4:$EO$14,((MONTH($A98)-1)*12)+VLOOKUP(BR$4,$DE$6:$DF$17,2)+1))*(VLOOKUP($A98,SatSunCurve,6))*(INDEX(DailyScalarsTable,BR$5/100,MONTH($A98)))*$D98</f>
        <v>-10053.829373385053</v>
      </c>
      <c r="BS98" s="1021">
        <f>(VLOOKUP(YEAR($A98),'NY East Load Projections'!$A$4:$EO$14,((MONTH($A98)-1)*12)+VLOOKUP(BS$4,$DE$6:$DF$17,2)+1))*(VLOOKUP($A98,SatSunCurve,6))*(INDEX(DailyScalarsTable,BS$5/100,MONTH($A98)))*$D98</f>
        <v>-10883.591378508692</v>
      </c>
      <c r="BT98" s="1021">
        <f>(VLOOKUP(YEAR($A98),'NY East Load Projections'!$A$4:$EO$14,((MONTH($A98)-1)*12)+VLOOKUP(BT$4,$DE$6:$DF$17,2)+1))*(VLOOKUP($A98,SatSunCurve,6))*(INDEX(DailyScalarsTable,BT$5/100,MONTH($A98)))*$D98</f>
        <v>-10711.866720057023</v>
      </c>
      <c r="BU98" s="1021">
        <f>(VLOOKUP(YEAR($A98),'NY East Load Projections'!$A$4:$EO$14,((MONTH($A98)-1)*12)+VLOOKUP(BU$4,$DE$6:$DF$17,2)+1))*(VLOOKUP($A98,SatSunCurve,6))*(INDEX(DailyScalarsTable,BU$5/100,MONTH($A98)))*$D98</f>
        <v>-10377.075789294091</v>
      </c>
      <c r="BV98" s="1021">
        <f>(VLOOKUP(YEAR($A98),'NY East Load Projections'!$A$4:$EO$14,((MONTH($A98)-1)*12)+VLOOKUP(BV$4,$DE$6:$DF$17,2)+1))*(VLOOKUP($A98,SatSunCurve,6))*(INDEX(DailyScalarsTable,BV$5/100,MONTH($A98)))*$D98</f>
        <v>-10424.4197570866</v>
      </c>
      <c r="BW98" s="1021">
        <f>(VLOOKUP(YEAR($A98),'NY East Load Projections'!$A$4:$EO$14,((MONTH($A98)-1)*12)+VLOOKUP(BW$4,$DE$6:$DF$17,2)+1))*(VLOOKUP($A98,SatSunCurve,6))*(INDEX(DailyScalarsTable,BW$5/100,MONTH($A98)))*$D98</f>
        <v>-10168.688349230375</v>
      </c>
      <c r="BX98" s="1021">
        <f>(VLOOKUP(YEAR($A98),'NY East Load Projections'!$A$4:$EO$14,((MONTH($A98)-1)*12)+VLOOKUP(BX$4,$DE$6:$DF$17,2)+1))*(VLOOKUP($A98,SatSunCurve,6))*(INDEX(DailyScalarsTable,BX$5/100,MONTH($A98)))*$D98</f>
        <v>-8328.7681674437517</v>
      </c>
      <c r="BY98" s="1021">
        <f>(VLOOKUP(YEAR($A98),'NY East Load Projections'!$A$4:$EO$14,((MONTH($A98)-1)*12)+VLOOKUP(BY$4,$DE$6:$DF$17,2)+1))*(VLOOKUP($A98,SatSunCurve,6))*(INDEX(DailyScalarsTable,BY$5/100,MONTH($A98)))*$D98</f>
        <v>-10884.736291227802</v>
      </c>
      <c r="BZ98" s="1021">
        <f>(VLOOKUP(YEAR($A98),'NY East Load Projections'!$A$4:$EO$14,((MONTH($A98)-1)*12)+VLOOKUP(BZ$4,$DE$6:$DF$17,2)+1))*(VLOOKUP($A98,SatSunCurve,6))*(INDEX(DailyScalarsTable,BZ$5/100,MONTH($A98)))*$D98</f>
        <v>-10515.186678309195</v>
      </c>
      <c r="CA98" s="1021">
        <f>(VLOOKUP(YEAR($A98),'NY East Load Projections'!$A$4:$EO$14,((MONTH($A98)-1)*12)+VLOOKUP(CA$4,$DE$6:$DF$17,2)+1))*(VLOOKUP($A98,SatSunCurve,6))*(INDEX(DailyScalarsTable,CA$5/100,MONTH($A98)))*$D98</f>
        <v>-8003.0964588652014</v>
      </c>
      <c r="CB98" s="1021">
        <f>(VLOOKUP(YEAR($A98),'NY East Load Projections'!$A$4:$EO$14,((MONTH($A98)-1)*12)+VLOOKUP(CB$4,$DE$6:$DF$17,2)+1))*(VLOOKUP($A98,SatSunCurve,6))*(INDEX(DailyScalarsTable,CB$5/100,MONTH($A98)))*$D98</f>
        <v>-6342.1251022718461</v>
      </c>
      <c r="CC98" s="1021">
        <f>(VLOOKUP(YEAR($A98),'NY East Load Projections'!$A$4:$EO$14,((MONTH($A98)-1)*12)+VLOOKUP(CC$4,$DE$6:$DF$17,2)+1))*(VLOOKUP($A98,CURVES!$D$9:$T$261,6))*(INDEX(DailyScalarsTable,CC$5/100,MONTH($A98)))*$D98</f>
        <v>-9035.4550768156987</v>
      </c>
      <c r="CE98" s="1021">
        <f>(VLOOKUP(YEAR($A98),'NY East Load Projections'!$A$4:$EO$14,((MONTH($A98)-1)*12)+VLOOKUP(CE$4,$DE$6:$DF$17,2)+1))*(VLOOKUP($A98,CURVES!$D$9:$T$261,6))*(INDEX(DailyScalarsTable,CE$5/100,MONTH($A98)))*$E98</f>
        <v>-1926.5327094138613</v>
      </c>
      <c r="CF98" s="1021">
        <f>(VLOOKUP(YEAR($A98),'NY East Load Projections'!$A$4:$EO$14,((MONTH($A98)-1)*12)+VLOOKUP(CF$4,$DE$6:$DF$17,2)+1))*(VLOOKUP($A98,CURVES!$D$9:$T$261,6))*(INDEX(DailyScalarsTable,CF$5/100,MONTH($A98)))*$E98</f>
        <v>-1690.1813508548328</v>
      </c>
      <c r="CG98" s="1021">
        <f>(VLOOKUP(YEAR($A98),'NY East Load Projections'!$A$4:$EO$14,((MONTH($A98)-1)*12)+VLOOKUP(CG$4,$DE$6:$DF$17,2)+1))*(VLOOKUP($A98,CURVES!$D$9:$T$261,6))*(INDEX(DailyScalarsTable,CG$5/100,MONTH($A98)))*$E98</f>
        <v>-1584.9731891774188</v>
      </c>
      <c r="CH98" s="1021">
        <f>(VLOOKUP(YEAR($A98),'NY East Load Projections'!$A$4:$EO$14,((MONTH($A98)-1)*12)+VLOOKUP(CH$4,$DE$6:$DF$17,2)+1))*(VLOOKUP($A98,CURVES!$D$9:$T$261,6))*(INDEX(DailyScalarsTable,CH$5/100,MONTH($A98)))*$E98</f>
        <v>-1608.4615229472604</v>
      </c>
      <c r="CI98" s="1021">
        <f>(VLOOKUP(YEAR($A98),'NY East Load Projections'!$A$4:$EO$14,((MONTH($A98)-1)*12)+VLOOKUP(CI$4,$DE$6:$DF$17,2)+1))*(VLOOKUP($A98,CURVES!$D$9:$T$261,6))*(INDEX(DailyScalarsTable,CI$5/100,MONTH($A98)))*$E98</f>
        <v>-1749.9352060525321</v>
      </c>
      <c r="CJ98" s="1021">
        <f>(VLOOKUP(YEAR($A98),'NY East Load Projections'!$A$4:$EO$14,((MONTH($A98)-1)*12)+VLOOKUP(CJ$4,$DE$6:$DF$17,2)+1))*(VLOOKUP($A98,CURVES!$D$9:$T$261,6))*(INDEX(DailyScalarsTable,CJ$5/100,MONTH($A98)))*$E98</f>
        <v>-2025.0729476634963</v>
      </c>
      <c r="CK98" s="1021">
        <f>(VLOOKUP(YEAR($A98),'NY East Load Projections'!$A$4:$EO$14,((MONTH($A98)-1)*12)+VLOOKUP(CK$4,$DE$6:$DF$17,2)+1))*(VLOOKUP($A98,CURVES!$D$9:$T$261,6))*(INDEX(DailyScalarsTable,CK$5/100,MONTH($A98)))*$E98</f>
        <v>-2753.8428080595631</v>
      </c>
      <c r="CL98" s="1021">
        <f>(VLOOKUP(YEAR($A98),'NY East Load Projections'!$A$4:$EO$14,((MONTH($A98)-1)*12)+VLOOKUP(CL$4,$DE$6:$DF$17,2)+1))*(VLOOKUP($A98,SatSunCurve,6))*(INDEX(DailyScalarsTable,CL$5/100,MONTH($A98)))*$E98</f>
        <v>-1659.0965371024818</v>
      </c>
      <c r="CM98" s="1021">
        <f>(VLOOKUP(YEAR($A98),'NY East Load Projections'!$A$4:$EO$14,((MONTH($A98)-1)*12)+VLOOKUP(CM$4,$DE$6:$DF$17,2)+1))*(VLOOKUP($A98,SatSunCurve,6))*(INDEX(DailyScalarsTable,CM$5/100,MONTH($A98)))*$E98</f>
        <v>-1826.7153665759795</v>
      </c>
      <c r="CN98" s="1021">
        <f>(VLOOKUP(YEAR($A98),'NY East Load Projections'!$A$4:$EO$14,((MONTH($A98)-1)*12)+VLOOKUP(CN$4,$DE$6:$DF$17,2)+1))*(VLOOKUP($A98,SatSunCurve,6))*(INDEX(DailyScalarsTable,CN$5/100,MONTH($A98)))*$E98</f>
        <v>-2280.3127045651559</v>
      </c>
      <c r="CO98" s="1021">
        <f>(VLOOKUP(YEAR($A98),'NY East Load Projections'!$A$4:$EO$14,((MONTH($A98)-1)*12)+VLOOKUP(CO$4,$DE$6:$DF$17,2)+1))*(VLOOKUP($A98,SatSunCurve,6))*(INDEX(DailyScalarsTable,CO$5/100,MONTH($A98)))*$E98</f>
        <v>-2435.2683169217071</v>
      </c>
      <c r="CP98" s="1021">
        <f>(VLOOKUP(YEAR($A98),'NY East Load Projections'!$A$4:$EO$14,((MONTH($A98)-1)*12)+VLOOKUP(CP$4,$DE$6:$DF$17,2)+1))*(VLOOKUP($A98,SatSunCurve,6))*(INDEX(DailyScalarsTable,CP$5/100,MONTH($A98)))*$E98</f>
        <v>-2594.8021632797017</v>
      </c>
      <c r="CQ98" s="1021">
        <f>(VLOOKUP(YEAR($A98),'NY East Load Projections'!$A$4:$EO$14,((MONTH($A98)-1)*12)+VLOOKUP(CQ$4,$DE$6:$DF$17,2)+1))*(VLOOKUP($A98,SatSunCurve,6))*(INDEX(DailyScalarsTable,CQ$5/100,MONTH($A98)))*$E98</f>
        <v>-2513.4573433462633</v>
      </c>
      <c r="CR98" s="1021">
        <f>(VLOOKUP(YEAR($A98),'NY East Load Projections'!$A$4:$EO$14,((MONTH($A98)-1)*12)+VLOOKUP(CR$4,$DE$6:$DF$17,2)+1))*(VLOOKUP($A98,SatSunCurve,6))*(INDEX(DailyScalarsTable,CR$5/100,MONTH($A98)))*$E98</f>
        <v>-2720.8978446271731</v>
      </c>
      <c r="CS98" s="1021">
        <f>(VLOOKUP(YEAR($A98),'NY East Load Projections'!$A$4:$EO$14,((MONTH($A98)-1)*12)+VLOOKUP(CS$4,$DE$6:$DF$17,2)+1))*(VLOOKUP($A98,SatSunCurve,6))*(INDEX(DailyScalarsTable,CS$5/100,MONTH($A98)))*$E98</f>
        <v>-2677.9666800142559</v>
      </c>
      <c r="CT98" s="1021">
        <f>(VLOOKUP(YEAR($A98),'NY East Load Projections'!$A$4:$EO$14,((MONTH($A98)-1)*12)+VLOOKUP(CT$4,$DE$6:$DF$17,2)+1))*(VLOOKUP($A98,SatSunCurve,6))*(INDEX(DailyScalarsTable,CT$5/100,MONTH($A98)))*$E98</f>
        <v>-2594.2689473235228</v>
      </c>
      <c r="CU98" s="1021">
        <f>(VLOOKUP(YEAR($A98),'NY East Load Projections'!$A$4:$EO$14,((MONTH($A98)-1)*12)+VLOOKUP(CU$4,$DE$6:$DF$17,2)+1))*(VLOOKUP($A98,SatSunCurve,6))*(INDEX(DailyScalarsTable,CU$5/100,MONTH($A98)))*$E98</f>
        <v>-2606.10493927165</v>
      </c>
      <c r="CV98" s="1021">
        <f>(VLOOKUP(YEAR($A98),'NY East Load Projections'!$A$4:$EO$14,((MONTH($A98)-1)*12)+VLOOKUP(CV$4,$DE$6:$DF$17,2)+1))*(VLOOKUP($A98,SatSunCurve,6))*(INDEX(DailyScalarsTable,CV$5/100,MONTH($A98)))*$E98</f>
        <v>-2542.1720873075938</v>
      </c>
      <c r="CW98" s="1021">
        <f>(VLOOKUP(YEAR($A98),'NY East Load Projections'!$A$4:$EO$14,((MONTH($A98)-1)*12)+VLOOKUP(CW$4,$DE$6:$DF$17,2)+1))*(VLOOKUP($A98,SatSunCurve,6))*(INDEX(DailyScalarsTable,CW$5/100,MONTH($A98)))*$E98</f>
        <v>-2082.1920418609379</v>
      </c>
      <c r="CX98" s="1021">
        <f>(VLOOKUP(YEAR($A98),'NY East Load Projections'!$A$4:$EO$14,((MONTH($A98)-1)*12)+VLOOKUP(CX$4,$DE$6:$DF$17,2)+1))*(VLOOKUP($A98,SatSunCurve,6))*(INDEX(DailyScalarsTable,CX$5/100,MONTH($A98)))*$E98</f>
        <v>-2721.1840728069506</v>
      </c>
      <c r="CY98" s="1021">
        <f>(VLOOKUP(YEAR($A98),'NY East Load Projections'!$A$4:$EO$14,((MONTH($A98)-1)*12)+VLOOKUP(CY$4,$DE$6:$DF$17,2)+1))*(VLOOKUP($A98,SatSunCurve,6))*(INDEX(DailyScalarsTable,CY$5/100,MONTH($A98)))*$E98</f>
        <v>-2628.7966695772989</v>
      </c>
      <c r="CZ98" s="1021">
        <f>(VLOOKUP(YEAR($A98),'NY East Load Projections'!$A$4:$EO$14,((MONTH($A98)-1)*12)+VLOOKUP(CZ$4,$DE$6:$DF$17,2)+1))*(VLOOKUP($A98,SatSunCurve,6))*(INDEX(DailyScalarsTable,CZ$5/100,MONTH($A98)))*$E98</f>
        <v>-2000.7741147163003</v>
      </c>
      <c r="DA98" s="1021">
        <f>(VLOOKUP(YEAR($A98),'NY East Load Projections'!$A$4:$EO$14,((MONTH($A98)-1)*12)+VLOOKUP(DA$4,$DE$6:$DF$17,2)+1))*(VLOOKUP($A98,SatSunCurve,6))*(INDEX(DailyScalarsTable,DA$5/100,MONTH($A98)))*$E98</f>
        <v>-1585.5312755679615</v>
      </c>
      <c r="DB98" s="1021">
        <f>(VLOOKUP(YEAR($A98),'NY East Load Projections'!$A$4:$EO$14,((MONTH($A98)-1)*12)+VLOOKUP(DB$4,$DE$6:$DF$17,2)+1))*(VLOOKUP($A98,CURVES!$D$9:$T$261,6))*(INDEX(DailyScalarsTable,DB$5/100,MONTH($A98)))*$E98</f>
        <v>-2258.8637692039247</v>
      </c>
      <c r="DH98" s="1021">
        <f t="shared" si="2"/>
        <v>-1975523.3657150434</v>
      </c>
      <c r="DI98">
        <f ca="1">CALC!J118</f>
        <v>0.53423481538699313</v>
      </c>
      <c r="DJ98" s="1029">
        <f t="shared" ca="1" si="3"/>
        <v>-1055393.3605754676</v>
      </c>
    </row>
    <row r="99" spans="1:114" x14ac:dyDescent="0.25">
      <c r="A99" s="244">
        <v>39722</v>
      </c>
      <c r="B99" s="13">
        <v>23</v>
      </c>
      <c r="C99" s="210">
        <v>4</v>
      </c>
      <c r="D99" s="210">
        <v>4</v>
      </c>
      <c r="E99" s="210">
        <v>0</v>
      </c>
      <c r="F99" s="13">
        <v>31</v>
      </c>
      <c r="H99" s="1021">
        <f>(VLOOKUP(YEAR($A99),'NY East Load Projections'!$A$4:$EO$14,((MONTH($A99)-1)*12)+VLOOKUP(H$4,$DE$6:$DF$17,2)+1))*(VLOOKUP($A99,CURVES!$D$9:$K$261,6))*(INDEX(DailyScalarsTable,H$5/100,MONTH($A99)))*$B99</f>
        <v>-37138.197318741986</v>
      </c>
      <c r="I99" s="1021">
        <f>(VLOOKUP(YEAR($A99),'NY East Load Projections'!$A$4:$EO$14,((MONTH($A99)-1)*12)+VLOOKUP(I$4,$DE$6:$DF$17,2)+1))*(VLOOKUP($A99,CURVES!$D$9:$K$261,6))*(INDEX(DailyScalarsTable,I$5/100,MONTH($A99)))*$B99</f>
        <v>-35249.018876935523</v>
      </c>
      <c r="J99" s="1021">
        <f>(VLOOKUP(YEAR($A99),'NY East Load Projections'!$A$4:$EO$14,((MONTH($A99)-1)*12)+VLOOKUP(J$4,$DE$6:$DF$17,2)+1))*(VLOOKUP($A99,CURVES!$D$9:$K$261,6))*(INDEX(DailyScalarsTable,J$5/100,MONTH($A99)))*$B99</f>
        <v>-33860.492278920421</v>
      </c>
      <c r="K99" s="1021">
        <f>(VLOOKUP(YEAR($A99),'NY East Load Projections'!$A$4:$EO$14,((MONTH($A99)-1)*12)+VLOOKUP(K$4,$DE$6:$DF$17,2)+1))*(VLOOKUP($A99,CURVES!$D$9:$K$261,6))*(INDEX(DailyScalarsTable,K$5/100,MONTH($A99)))*$B99</f>
        <v>-33880.048991568518</v>
      </c>
      <c r="L99" s="1021">
        <f>(VLOOKUP(YEAR($A99),'NY East Load Projections'!$A$4:$EO$14,((MONTH($A99)-1)*12)+VLOOKUP(L$4,$DE$6:$DF$17,2)+1))*(VLOOKUP($A99,CURVES!$D$9:$K$261,6))*(INDEX(DailyScalarsTable,L$5/100,MONTH($A99)))*$B99</f>
        <v>-39427.437813359611</v>
      </c>
      <c r="M99" s="1021">
        <f>(VLOOKUP(YEAR($A99),'NY East Load Projections'!$A$4:$EO$14,((MONTH($A99)-1)*12)+VLOOKUP(M$4,$DE$6:$DF$17,2)+1))*(VLOOKUP($A99,CURVES!$D$9:$K$261,6))*(INDEX(DailyScalarsTable,M$5/100,MONTH($A99)))*$B99</f>
        <v>-45295.806593135429</v>
      </c>
      <c r="N99" s="1021">
        <f>(VLOOKUP(YEAR($A99),'NY East Load Projections'!$A$4:$EO$14,((MONTH($A99)-1)*12)+VLOOKUP(N$4,$DE$6:$DF$17,2)+1))*(VLOOKUP($A99,CURVES!$D$9:$K$261,6))*(INDEX(DailyScalarsTable,N$5/100,MONTH($A99)))*$B99</f>
        <v>-58556.022052005203</v>
      </c>
      <c r="O99" s="1021">
        <f>(VLOOKUP(YEAR($A99),'NY East Load Projections'!$A$4:$EO$14,((MONTH($A99)-1)*12)+VLOOKUP(O$4,$DE$6:$DF$17,2)+1))*(VLOOKUP($A99,CURVES!$D$9:$K$261,2))*(INDEX(DailyScalarsTable,O$5/100,MONTH($A99)))*$B99</f>
        <v>-70162.648782890901</v>
      </c>
      <c r="P99" s="1021">
        <f>(VLOOKUP(YEAR($A99),'NY East Load Projections'!$A$4:$EO$14,((MONTH($A99)-1)*12)+VLOOKUP(P$4,$DE$6:$DF$17,2)+1))*(VLOOKUP($A99,CURVES!$D$9:$K$261,2))*(INDEX(DailyScalarsTable,P$5/100,MONTH($A99)))*$B99</f>
        <v>-81091.730367456345</v>
      </c>
      <c r="Q99" s="1021">
        <f>(VLOOKUP(YEAR($A99),'NY East Load Projections'!$A$4:$EO$14,((MONTH($A99)-1)*12)+VLOOKUP(Q$4,$DE$6:$DF$17,2)+1))*(VLOOKUP($A99,CURVES!$D$9:$K$261,2))*(INDEX(DailyScalarsTable,Q$5/100,MONTH($A99)))*$B99</f>
        <v>-80841.137875591521</v>
      </c>
      <c r="R99" s="1021">
        <f>(VLOOKUP(YEAR($A99),'NY East Load Projections'!$A$4:$EO$14,((MONTH($A99)-1)*12)+VLOOKUP(R$4,$DE$6:$DF$17,2)+1))*(VLOOKUP($A99,CURVES!$D$9:$K$261,2))*(INDEX(DailyScalarsTable,R$5/100,MONTH($A99)))*$B99</f>
        <v>-80382.911604752997</v>
      </c>
      <c r="S99" s="1021">
        <f>(VLOOKUP(YEAR($A99),'NY East Load Projections'!$A$4:$EO$14,((MONTH($A99)-1)*12)+VLOOKUP(S$4,$DE$6:$DF$17,2)+1))*(VLOOKUP($A99,CURVES!$D$9:$K$261,2))*(INDEX(DailyScalarsTable,S$5/100,MONTH($A99)))*$B99</f>
        <v>-67831.807655066354</v>
      </c>
      <c r="T99" s="1021">
        <f>(VLOOKUP(YEAR($A99),'NY East Load Projections'!$A$4:$EO$14,((MONTH($A99)-1)*12)+VLOOKUP(T$4,$DE$6:$DF$17,2)+1))*(VLOOKUP($A99,CURVES!$D$9:$K$261,2))*(INDEX(DailyScalarsTable,T$5/100,MONTH($A99)))*$B99</f>
        <v>-65565.434628295145</v>
      </c>
      <c r="U99" s="1021">
        <f>(VLOOKUP(YEAR($A99),'NY East Load Projections'!$A$4:$EO$14,((MONTH($A99)-1)*12)+VLOOKUP(U$4,$DE$6:$DF$17,2)+1))*(VLOOKUP($A99,CURVES!$D$9:$K$261,2))*(INDEX(DailyScalarsTable,U$5/100,MONTH($A99)))*$B99</f>
        <v>-63745.605169570699</v>
      </c>
      <c r="V99" s="1021">
        <f>(VLOOKUP(YEAR($A99),'NY East Load Projections'!$A$4:$EO$14,((MONTH($A99)-1)*12)+VLOOKUP(V$4,$DE$6:$DF$17,2)+1))*(VLOOKUP($A99,CURVES!$D$9:$K$261,2))*(INDEX(DailyScalarsTable,V$5/100,MONTH($A99)))*$B99</f>
        <v>-62264.691318543912</v>
      </c>
      <c r="W99" s="1021">
        <f>(VLOOKUP(YEAR($A99),'NY East Load Projections'!$A$4:$EO$14,((MONTH($A99)-1)*12)+VLOOKUP(W$4,$DE$6:$DF$17,2)+1))*(VLOOKUP($A99,CURVES!$D$9:$K$261,2))*(INDEX(DailyScalarsTable,W$5/100,MONTH($A99)))*$B99</f>
        <v>-61837.36294362077</v>
      </c>
      <c r="X99" s="1021">
        <f>(VLOOKUP(YEAR($A99),'NY East Load Projections'!$A$4:$EO$14,((MONTH($A99)-1)*12)+VLOOKUP(X$4,$DE$6:$DF$17,2)+1))*(VLOOKUP($A99,CURVES!$D$9:$K$261,2))*(INDEX(DailyScalarsTable,X$5/100,MONTH($A99)))*$B99</f>
        <v>-62468.091247865508</v>
      </c>
      <c r="Y99" s="1021">
        <f>(VLOOKUP(YEAR($A99),'NY East Load Projections'!$A$4:$EO$14,((MONTH($A99)-1)*12)+VLOOKUP(Y$4,$DE$6:$DF$17,2)+1))*(VLOOKUP($A99,CURVES!$D$9:$K$261,2))*(INDEX(DailyScalarsTable,Y$5/100,MONTH($A99)))*$B99</f>
        <v>-84271.533617989437</v>
      </c>
      <c r="Z99" s="1021">
        <f>(VLOOKUP(YEAR($A99),'NY East Load Projections'!$A$4:$EO$14,((MONTH($A99)-1)*12)+VLOOKUP(Z$4,$DE$6:$DF$17,2)+1))*(VLOOKUP($A99,CURVES!$D$9:$K$261,2))*(INDEX(DailyScalarsTable,Z$5/100,MONTH($A99)))*$B99</f>
        <v>-84931.605625329743</v>
      </c>
      <c r="AA99" s="1021">
        <f>(VLOOKUP(YEAR($A99),'NY East Load Projections'!$A$4:$EO$14,((MONTH($A99)-1)*12)+VLOOKUP(AA$4,$DE$6:$DF$17,2)+1))*(VLOOKUP($A99,CURVES!$D$9:$K$261,2))*(INDEX(DailyScalarsTable,AA$5/100,MONTH($A99)))*$B99</f>
        <v>-81223.967116013999</v>
      </c>
      <c r="AB99" s="1021">
        <f>(VLOOKUP(YEAR($A99),'NY East Load Projections'!$A$4:$EO$14,((MONTH($A99)-1)*12)+VLOOKUP(AB$4,$DE$6:$DF$17,2)+1))*(VLOOKUP($A99,CURVES!$D$9:$K$261,2))*(INDEX(DailyScalarsTable,AB$5/100,MONTH($A99)))*$B99</f>
        <v>-67547.466627564194</v>
      </c>
      <c r="AC99" s="1021">
        <f>(VLOOKUP(YEAR($A99),'NY East Load Projections'!$A$4:$EO$14,((MONTH($A99)-1)*12)+VLOOKUP(AC$4,$DE$6:$DF$17,2)+1))*(VLOOKUP($A99,CURVES!$D$9:$K$261,2))*(INDEX(DailyScalarsTable,AC$5/100,MONTH($A99)))*$B99</f>
        <v>-56033.622096230865</v>
      </c>
      <c r="AD99" s="1021">
        <f>(VLOOKUP(YEAR($A99),'NY East Load Projections'!$A$4:$EO$14,((MONTH($A99)-1)*12)+VLOOKUP(AD$4,$DE$6:$DF$17,2)+1))*(VLOOKUP($A99,CURVES!$D$9:$K$261,2))*(INDEX(DailyScalarsTable,AD$5/100,MONTH($A99)))*$B99</f>
        <v>-47774.239658002174</v>
      </c>
      <c r="AE99" s="1021">
        <f>(VLOOKUP(YEAR($A99),'NY East Load Projections'!$A$4:$EO$14,((MONTH($A99)-1)*12)+VLOOKUP(AE$4,$DE$6:$DF$17,2)+1))*(VLOOKUP($A99,CURVES!$D$9:$K$261,6))*(INDEX(DailyScalarsTable,AE$5/100,MONTH($A99)))*$B99</f>
        <v>-42740.067054702085</v>
      </c>
      <c r="AF99" s="1021"/>
      <c r="AG99" s="1021">
        <f>(VLOOKUP(YEAR($A99),'NY East Load Projections'!$A$4:$EO$14,((MONTH($A99)-1)*12)+VLOOKUP(AG$4,$DE$6:$DF$17,2)+1))*(VLOOKUP($A99,CURVES!$D$9:$T$261,6))*(INDEX(DailyScalarsTable,AG$5/100,MONTH($A99)))*$C99</f>
        <v>-6857.2206127456429</v>
      </c>
      <c r="AH99" s="1021">
        <f>(VLOOKUP(YEAR($A99),'NY East Load Projections'!$A$4:$EO$14,((MONTH($A99)-1)*12)+VLOOKUP(AH$4,$DE$6:$DF$17,2)+1))*(VLOOKUP($A99,CURVES!$D$9:$T$261,6))*(INDEX(DailyScalarsTable,AH$5/100,MONTH($A99)))*$C99</f>
        <v>-6508.4014915285661</v>
      </c>
      <c r="AI99" s="1021">
        <f>(VLOOKUP(YEAR($A99),'NY East Load Projections'!$A$4:$EO$14,((MONTH($A99)-1)*12)+VLOOKUP(AI$4,$DE$6:$DF$17,2)+1))*(VLOOKUP($A99,CURVES!$D$9:$T$261,6))*(INDEX(DailyScalarsTable,AI$5/100,MONTH($A99)))*$C99</f>
        <v>-6252.0230483980022</v>
      </c>
      <c r="AJ99" s="1021">
        <f>(VLOOKUP(YEAR($A99),'NY East Load Projections'!$A$4:$EO$14,((MONTH($A99)-1)*12)+VLOOKUP(AJ$4,$DE$6:$DF$17,2)+1))*(VLOOKUP($A99,CURVES!$D$9:$T$261,6))*(INDEX(DailyScalarsTable,AJ$5/100,MONTH($A99)))*$C99</f>
        <v>-6255.6340123857563</v>
      </c>
      <c r="AK99" s="1021">
        <f>(VLOOKUP(YEAR($A99),'NY East Load Projections'!$A$4:$EO$14,((MONTH($A99)-1)*12)+VLOOKUP(AK$4,$DE$6:$DF$17,2)+1))*(VLOOKUP($A99,CURVES!$D$9:$T$261,6))*(INDEX(DailyScalarsTable,AK$5/100,MONTH($A99)))*$C99</f>
        <v>-6792.796087705563</v>
      </c>
      <c r="AL99" s="1021">
        <f>(VLOOKUP(YEAR($A99),'NY East Load Projections'!$A$4:$EO$14,((MONTH($A99)-1)*12)+VLOOKUP(AL$4,$DE$6:$DF$17,2)+1))*(VLOOKUP($A99,CURVES!$D$9:$T$261,6))*(INDEX(DailyScalarsTable,AL$5/100,MONTH($A99)))*$C99</f>
        <v>-7803.8339511643835</v>
      </c>
      <c r="AM99" s="1021">
        <f>(VLOOKUP(YEAR($A99),'NY East Load Projections'!$A$4:$EO$14,((MONTH($A99)-1)*12)+VLOOKUP(AM$4,$DE$6:$DF$17,2)+1))*(VLOOKUP($A99,CURVES!$D$9:$T$261,6))*(INDEX(DailyScalarsTable,AM$5/100,MONTH($A99)))*$C99</f>
        <v>-10088.383612177931</v>
      </c>
      <c r="AN99" s="1021">
        <f>(VLOOKUP(YEAR($A99),'NY East Load Projections'!$A$4:$EO$14,((MONTH($A99)-1)*12)+VLOOKUP(AN$4,$DE$6:$DF$17,2)+1))*(VLOOKUP($A99,SatSunCurve,2))*(INDEX(DailyScalarsTable,AN$5/100,MONTH($A99)))*$C99</f>
        <v>-9434.4006245466881</v>
      </c>
      <c r="AO99" s="1021">
        <f>(VLOOKUP(YEAR($A99),'NY East Load Projections'!$A$4:$EO$14,((MONTH($A99)-1)*12)+VLOOKUP(AO$4,$DE$6:$DF$17,2)+1))*(VLOOKUP($A99,SatSunCurve,2))*(INDEX(DailyScalarsTable,AO$5/100,MONTH($A99)))*$C99</f>
        <v>-11234.686706795723</v>
      </c>
      <c r="AP99" s="1021">
        <f>(VLOOKUP(YEAR($A99),'NY East Load Projections'!$A$4:$EO$14,((MONTH($A99)-1)*12)+VLOOKUP(AP$4,$DE$6:$DF$17,2)+1))*(VLOOKUP($A99,SatSunCurve,2))*(INDEX(DailyScalarsTable,AP$5/100,MONTH($A99)))*$C99</f>
        <v>-11199.968886317367</v>
      </c>
      <c r="AQ99" s="1021">
        <f>(VLOOKUP(YEAR($A99),'NY East Load Projections'!$A$4:$EO$14,((MONTH($A99)-1)*12)+VLOOKUP(AQ$4,$DE$6:$DF$17,2)+1))*(VLOOKUP($A99,SatSunCurve,2))*(INDEX(DailyScalarsTable,AQ$5/100,MONTH($A99)))*$C99</f>
        <v>-11136.484871728375</v>
      </c>
      <c r="AR99" s="1021">
        <f>(VLOOKUP(YEAR($A99),'NY East Load Projections'!$A$4:$EO$14,((MONTH($A99)-1)*12)+VLOOKUP(AR$4,$DE$6:$DF$17,2)+1))*(VLOOKUP($A99,SatSunCurve,2))*(INDEX(DailyScalarsTable,AR$5/100,MONTH($A99)))*$C99</f>
        <v>-9397.6180346267593</v>
      </c>
      <c r="AS99" s="1021">
        <f>(VLOOKUP(YEAR($A99),'NY East Load Projections'!$A$4:$EO$14,((MONTH($A99)-1)*12)+VLOOKUP(AS$4,$DE$6:$DF$17,2)+1))*(VLOOKUP($A99,SatSunCurve,2))*(INDEX(DailyScalarsTable,AS$5/100,MONTH($A99)))*$C99</f>
        <v>-9024.6481376735865</v>
      </c>
      <c r="AT99" s="1021">
        <f>(VLOOKUP(YEAR($A99),'NY East Load Projections'!$A$4:$EO$14,((MONTH($A99)-1)*12)+VLOOKUP(AT$4,$DE$6:$DF$17,2)+1))*(VLOOKUP($A99,SatSunCurve,2))*(INDEX(DailyScalarsTable,AT$5/100,MONTH($A99)))*$C99</f>
        <v>-8774.1606570571821</v>
      </c>
      <c r="AU99" s="1021">
        <f>(VLOOKUP(YEAR($A99),'NY East Load Projections'!$A$4:$EO$14,((MONTH($A99)-1)*12)+VLOOKUP(AU$4,$DE$6:$DF$17,2)+1))*(VLOOKUP($A99,SatSunCurve,2))*(INDEX(DailyScalarsTable,AU$5/100,MONTH($A99)))*$C99</f>
        <v>-8570.3226667580038</v>
      </c>
      <c r="AV99" s="1021">
        <f>(VLOOKUP(YEAR($A99),'NY East Load Projections'!$A$4:$EO$14,((MONTH($A99)-1)*12)+VLOOKUP(AV$4,$DE$6:$DF$17,2)+1))*(VLOOKUP($A99,SatSunCurve,2))*(INDEX(DailyScalarsTable,AV$5/100,MONTH($A99)))*$C99</f>
        <v>-8511.5037441841123</v>
      </c>
      <c r="AW99" s="1021">
        <f>(VLOOKUP(YEAR($A99),'NY East Load Projections'!$A$4:$EO$14,((MONTH($A99)-1)*12)+VLOOKUP(AW$4,$DE$6:$DF$17,2)+1))*(VLOOKUP($A99,SatSunCurve,2))*(INDEX(DailyScalarsTable,AW$5/100,MONTH($A99)))*$C99</f>
        <v>-8360.962461178553</v>
      </c>
      <c r="AX99" s="1021">
        <f>(VLOOKUP(YEAR($A99),'NY East Load Projections'!$A$4:$EO$14,((MONTH($A99)-1)*12)+VLOOKUP(AX$4,$DE$6:$DF$17,2)+1))*(VLOOKUP($A99,SatSunCurve,2))*(INDEX(DailyScalarsTable,AX$5/100,MONTH($A99)))*$C99</f>
        <v>-11279.216557621832</v>
      </c>
      <c r="AY99" s="1021">
        <f>(VLOOKUP(YEAR($A99),'NY East Load Projections'!$A$4:$EO$14,((MONTH($A99)-1)*12)+VLOOKUP(AY$4,$DE$6:$DF$17,2)+1))*(VLOOKUP($A99,SatSunCurve,2))*(INDEX(DailyScalarsTable,AY$5/100,MONTH($A99)))*$C99</f>
        <v>-11367.563058448135</v>
      </c>
      <c r="AZ99" s="1021">
        <f>(VLOOKUP(YEAR($A99),'NY East Load Projections'!$A$4:$EO$14,((MONTH($A99)-1)*12)+VLOOKUP(AZ$4,$DE$6:$DF$17,2)+1))*(VLOOKUP($A99,SatSunCurve,2))*(INDEX(DailyScalarsTable,AZ$5/100,MONTH($A99)))*$C99</f>
        <v>-10871.318883594013</v>
      </c>
      <c r="BA99" s="1021">
        <f>(VLOOKUP(YEAR($A99),'NY East Load Projections'!$A$4:$EO$14,((MONTH($A99)-1)*12)+VLOOKUP(BA$4,$DE$6:$DF$17,2)+1))*(VLOOKUP($A99,SatSunCurve,2))*(INDEX(DailyScalarsTable,BA$5/100,MONTH($A99)))*$C99</f>
        <v>-9571.2424550269261</v>
      </c>
      <c r="BB99" s="1021">
        <f>(VLOOKUP(YEAR($A99),'NY East Load Projections'!$A$4:$EO$14,((MONTH($A99)-1)*12)+VLOOKUP(BB$4,$DE$6:$DF$17,2)+1))*(VLOOKUP($A99,SatSunCurve,2))*(INDEX(DailyScalarsTable,BB$5/100,MONTH($A99)))*$C99</f>
        <v>-7939.7704975885263</v>
      </c>
      <c r="BC99" s="1021">
        <f>(VLOOKUP(YEAR($A99),'NY East Load Projections'!$A$4:$EO$14,((MONTH($A99)-1)*12)+VLOOKUP(BC$4,$DE$6:$DF$17,2)+1))*(VLOOKUP($A99,SatSunCurve,2))*(INDEX(DailyScalarsTable,BC$5/100,MONTH($A99)))*$C99</f>
        <v>-6769.4445654414412</v>
      </c>
      <c r="BD99" s="1021">
        <f>(VLOOKUP(YEAR($A99),'NY East Load Projections'!$A$4:$EO$14,((MONTH($A99)-1)*12)+VLOOKUP(BD$4,$DE$6:$DF$17,2)+1))*(VLOOKUP($A99,CURVES!$D$9:$T$261,6))*(INDEX(DailyScalarsTable,BD$5/100,MONTH($A99)))*$C99</f>
        <v>-7759.5428496759823</v>
      </c>
      <c r="BE99" s="1021"/>
      <c r="BF99" s="1021">
        <f>(VLOOKUP(YEAR($A99),'NY East Load Projections'!$A$4:$EO$14,((MONTH($A99)-1)*12)+VLOOKUP(BF$4,$DE$6:$DF$17,2)+1))*(VLOOKUP($A99,CURVES!$D$9:$T$261,6))*(INDEX(DailyScalarsTable,BF$5/100,MONTH($A99)))*$D99</f>
        <v>-6857.2206127456429</v>
      </c>
      <c r="BG99" s="1021">
        <f>(VLOOKUP(YEAR($A99),'NY East Load Projections'!$A$4:$EO$14,((MONTH($A99)-1)*12)+VLOOKUP(BG$4,$DE$6:$DF$17,2)+1))*(VLOOKUP($A99,CURVES!$D$9:$T$261,6))*(INDEX(DailyScalarsTable,BG$5/100,MONTH($A99)))*$D99</f>
        <v>-6508.4014915285661</v>
      </c>
      <c r="BH99" s="1021">
        <f>(VLOOKUP(YEAR($A99),'NY East Load Projections'!$A$4:$EO$14,((MONTH($A99)-1)*12)+VLOOKUP(BH$4,$DE$6:$DF$17,2)+1))*(VLOOKUP($A99,CURVES!$D$9:$T$261,6))*(INDEX(DailyScalarsTable,BH$5/100,MONTH($A99)))*$D99</f>
        <v>-6252.0230483980022</v>
      </c>
      <c r="BI99" s="1021">
        <f>(VLOOKUP(YEAR($A99),'NY East Load Projections'!$A$4:$EO$14,((MONTH($A99)-1)*12)+VLOOKUP(BI$4,$DE$6:$DF$17,2)+1))*(VLOOKUP($A99,CURVES!$D$9:$T$261,6))*(INDEX(DailyScalarsTable,BI$5/100,MONTH($A99)))*$D99</f>
        <v>-6255.6340123857563</v>
      </c>
      <c r="BJ99" s="1021">
        <f>(VLOOKUP(YEAR($A99),'NY East Load Projections'!$A$4:$EO$14,((MONTH($A99)-1)*12)+VLOOKUP(BJ$4,$DE$6:$DF$17,2)+1))*(VLOOKUP($A99,CURVES!$D$9:$T$261,6))*(INDEX(DailyScalarsTable,BJ$5/100,MONTH($A99)))*$D99</f>
        <v>-6792.796087705563</v>
      </c>
      <c r="BK99" s="1021">
        <f>(VLOOKUP(YEAR($A99),'NY East Load Projections'!$A$4:$EO$14,((MONTH($A99)-1)*12)+VLOOKUP(BK$4,$DE$6:$DF$17,2)+1))*(VLOOKUP($A99,CURVES!$D$9:$T$261,6))*(INDEX(DailyScalarsTable,BK$5/100,MONTH($A99)))*$D99</f>
        <v>-7803.8339511643835</v>
      </c>
      <c r="BL99" s="1021">
        <f>(VLOOKUP(YEAR($A99),'NY East Load Projections'!$A$4:$EO$14,((MONTH($A99)-1)*12)+VLOOKUP(BL$4,$DE$6:$DF$17,2)+1))*(VLOOKUP($A99,CURVES!$D$9:$T$261,6))*(INDEX(DailyScalarsTable,BL$5/100,MONTH($A99)))*$D99</f>
        <v>-10088.383612177931</v>
      </c>
      <c r="BM99" s="1021">
        <f>(VLOOKUP(YEAR($A99),'NY East Load Projections'!$A$4:$EO$14,((MONTH($A99)-1)*12)+VLOOKUP(BM$4,$DE$6:$DF$17,2)+1))*(VLOOKUP($A99,SatSunCurve,6))*(INDEX(DailyScalarsTable,BM$5/100,MONTH($A99)))*$D99</f>
        <v>-7650.0335463297497</v>
      </c>
      <c r="BN99" s="1021">
        <f>(VLOOKUP(YEAR($A99),'NY East Load Projections'!$A$4:$EO$14,((MONTH($A99)-1)*12)+VLOOKUP(BN$4,$DE$6:$DF$17,2)+1))*(VLOOKUP($A99,SatSunCurve,6))*(INDEX(DailyScalarsTable,BN$5/100,MONTH($A99)))*$D99</f>
        <v>-9109.8241011597693</v>
      </c>
      <c r="BO99" s="1021">
        <f>(VLOOKUP(YEAR($A99),'NY East Load Projections'!$A$4:$EO$14,((MONTH($A99)-1)*12)+VLOOKUP(BO$4,$DE$6:$DF$17,2)+1))*(VLOOKUP($A99,SatSunCurve,6))*(INDEX(DailyScalarsTable,BO$5/100,MONTH($A99)))*$D99</f>
        <v>-9081.6726051734895</v>
      </c>
      <c r="BP99" s="1021">
        <f>(VLOOKUP(YEAR($A99),'NY East Load Projections'!$A$4:$EO$14,((MONTH($A99)-1)*12)+VLOOKUP(BP$4,$DE$6:$DF$17,2)+1))*(VLOOKUP($A99,SatSunCurve,6))*(INDEX(DailyScalarsTable,BP$5/100,MONTH($A99)))*$D99</f>
        <v>-9030.1955839414386</v>
      </c>
      <c r="BQ99" s="1021">
        <f>(VLOOKUP(YEAR($A99),'NY East Load Projections'!$A$4:$EO$14,((MONTH($A99)-1)*12)+VLOOKUP(BQ$4,$DE$6:$DF$17,2)+1))*(VLOOKUP($A99,SatSunCurve,6))*(INDEX(DailyScalarsTable,BQ$5/100,MONTH($A99)))*$D99</f>
        <v>-7620.2077992572531</v>
      </c>
      <c r="BR99" s="1021">
        <f>(VLOOKUP(YEAR($A99),'NY East Load Projections'!$A$4:$EO$14,((MONTH($A99)-1)*12)+VLOOKUP(BR$4,$DE$6:$DF$17,2)+1))*(VLOOKUP($A99,SatSunCurve,6))*(INDEX(DailyScalarsTable,BR$5/100,MONTH($A99)))*$D99</f>
        <v>-7317.7792362768641</v>
      </c>
      <c r="BS99" s="1021">
        <f>(VLOOKUP(YEAR($A99),'NY East Load Projections'!$A$4:$EO$14,((MONTH($A99)-1)*12)+VLOOKUP(BS$4,$DE$6:$DF$17,2)+1))*(VLOOKUP($A99,SatSunCurve,6))*(INDEX(DailyScalarsTable,BS$5/100,MONTH($A99)))*$D99</f>
        <v>-7114.6674853654822</v>
      </c>
      <c r="BT99" s="1021">
        <f>(VLOOKUP(YEAR($A99),'NY East Load Projections'!$A$4:$EO$14,((MONTH($A99)-1)*12)+VLOOKUP(BT$4,$DE$6:$DF$17,2)+1))*(VLOOKUP($A99,SatSunCurve,6))*(INDEX(DailyScalarsTable,BT$5/100,MONTH($A99)))*$D99</f>
        <v>-6949.3822143809166</v>
      </c>
      <c r="BU99" s="1021">
        <f>(VLOOKUP(YEAR($A99),'NY East Load Projections'!$A$4:$EO$14,((MONTH($A99)-1)*12)+VLOOKUP(BU$4,$DE$6:$DF$17,2)+1))*(VLOOKUP($A99,SatSunCurve,6))*(INDEX(DailyScalarsTable,BU$5/100,MONTH($A99)))*$D99</f>
        <v>-6901.6879570818883</v>
      </c>
      <c r="BV99" s="1021">
        <f>(VLOOKUP(YEAR($A99),'NY East Load Projections'!$A$4:$EO$14,((MONTH($A99)-1)*12)+VLOOKUP(BV$4,$DE$6:$DF$17,2)+1))*(VLOOKUP($A99,SatSunCurve,6))*(INDEX(DailyScalarsTable,BV$5/100,MONTH($A99)))*$D99</f>
        <v>-6779.6191674543152</v>
      </c>
      <c r="BW99" s="1021">
        <f>(VLOOKUP(YEAR($A99),'NY East Load Projections'!$A$4:$EO$14,((MONTH($A99)-1)*12)+VLOOKUP(BW$4,$DE$6:$DF$17,2)+1))*(VLOOKUP($A99,SatSunCurve,6))*(INDEX(DailyScalarsTable,BW$5/100,MONTH($A99)))*$D99</f>
        <v>-9145.9318377494656</v>
      </c>
      <c r="BX99" s="1021">
        <f>(VLOOKUP(YEAR($A99),'NY East Load Projections'!$A$4:$EO$14,((MONTH($A99)-1)*12)+VLOOKUP(BX$4,$DE$6:$DF$17,2)+1))*(VLOOKUP($A99,SatSunCurve,6))*(INDEX(DailyScalarsTable,BX$5/100,MONTH($A99)))*$D99</f>
        <v>-9217.5690007149224</v>
      </c>
      <c r="BY99" s="1021">
        <f>(VLOOKUP(YEAR($A99),'NY East Load Projections'!$A$4:$EO$14,((MONTH($A99)-1)*12)+VLOOKUP(BY$4,$DE$6:$DF$17,2)+1))*(VLOOKUP($A99,SatSunCurve,6))*(INDEX(DailyScalarsTable,BY$5/100,MONTH($A99)))*$D99</f>
        <v>-8815.1815321429949</v>
      </c>
      <c r="BZ99" s="1021">
        <f>(VLOOKUP(YEAR($A99),'NY East Load Projections'!$A$4:$EO$14,((MONTH($A99)-1)*12)+VLOOKUP(BZ$4,$DE$6:$DF$17,2)+1))*(VLOOKUP($A99,SatSunCurve,6))*(INDEX(DailyScalarsTable,BZ$5/100,MONTH($A99)))*$D99</f>
        <v>-7760.9939173565317</v>
      </c>
      <c r="CA99" s="1021">
        <f>(VLOOKUP(YEAR($A99),'NY East Load Projections'!$A$4:$EO$14,((MONTH($A99)-1)*12)+VLOOKUP(CA$4,$DE$6:$DF$17,2)+1))*(VLOOKUP($A99,SatSunCurve,6))*(INDEX(DailyScalarsTable,CA$5/100,MONTH($A99)))*$D99</f>
        <v>-6438.0889760688906</v>
      </c>
      <c r="CB99" s="1021">
        <f>(VLOOKUP(YEAR($A99),'NY East Load Projections'!$A$4:$EO$14,((MONTH($A99)-1)*12)+VLOOKUP(CB$4,$DE$6:$DF$17,2)+1))*(VLOOKUP($A99,SatSunCurve,6))*(INDEX(DailyScalarsTable,CB$5/100,MONTH($A99)))*$D99</f>
        <v>-5489.111611489885</v>
      </c>
      <c r="CC99" s="1021">
        <f>(VLOOKUP(YEAR($A99),'NY East Load Projections'!$A$4:$EO$14,((MONTH($A99)-1)*12)+VLOOKUP(CC$4,$DE$6:$DF$17,2)+1))*(VLOOKUP($A99,CURVES!$D$9:$T$261,6))*(INDEX(DailyScalarsTable,CC$5/100,MONTH($A99)))*$D99</f>
        <v>-7759.5428496759823</v>
      </c>
      <c r="CE99" s="1021">
        <f>(VLOOKUP(YEAR($A99),'NY East Load Projections'!$A$4:$EO$14,((MONTH($A99)-1)*12)+VLOOKUP(CE$4,$DE$6:$DF$17,2)+1))*(VLOOKUP($A99,CURVES!$D$9:$T$261,6))*(INDEX(DailyScalarsTable,CE$5/100,MONTH($A99)))*$E99</f>
        <v>0</v>
      </c>
      <c r="CF99" s="1021">
        <f>(VLOOKUP(YEAR($A99),'NY East Load Projections'!$A$4:$EO$14,((MONTH($A99)-1)*12)+VLOOKUP(CF$4,$DE$6:$DF$17,2)+1))*(VLOOKUP($A99,CURVES!$D$9:$T$261,6))*(INDEX(DailyScalarsTable,CF$5/100,MONTH($A99)))*$E99</f>
        <v>0</v>
      </c>
      <c r="CG99" s="1021">
        <f>(VLOOKUP(YEAR($A99),'NY East Load Projections'!$A$4:$EO$14,((MONTH($A99)-1)*12)+VLOOKUP(CG$4,$DE$6:$DF$17,2)+1))*(VLOOKUP($A99,CURVES!$D$9:$T$261,6))*(INDEX(DailyScalarsTable,CG$5/100,MONTH($A99)))*$E99</f>
        <v>0</v>
      </c>
      <c r="CH99" s="1021">
        <f>(VLOOKUP(YEAR($A99),'NY East Load Projections'!$A$4:$EO$14,((MONTH($A99)-1)*12)+VLOOKUP(CH$4,$DE$6:$DF$17,2)+1))*(VLOOKUP($A99,CURVES!$D$9:$T$261,6))*(INDEX(DailyScalarsTable,CH$5/100,MONTH($A99)))*$E99</f>
        <v>0</v>
      </c>
      <c r="CI99" s="1021">
        <f>(VLOOKUP(YEAR($A99),'NY East Load Projections'!$A$4:$EO$14,((MONTH($A99)-1)*12)+VLOOKUP(CI$4,$DE$6:$DF$17,2)+1))*(VLOOKUP($A99,CURVES!$D$9:$T$261,6))*(INDEX(DailyScalarsTable,CI$5/100,MONTH($A99)))*$E99</f>
        <v>0</v>
      </c>
      <c r="CJ99" s="1021">
        <f>(VLOOKUP(YEAR($A99),'NY East Load Projections'!$A$4:$EO$14,((MONTH($A99)-1)*12)+VLOOKUP(CJ$4,$DE$6:$DF$17,2)+1))*(VLOOKUP($A99,CURVES!$D$9:$T$261,6))*(INDEX(DailyScalarsTable,CJ$5/100,MONTH($A99)))*$E99</f>
        <v>0</v>
      </c>
      <c r="CK99" s="1021">
        <f>(VLOOKUP(YEAR($A99),'NY East Load Projections'!$A$4:$EO$14,((MONTH($A99)-1)*12)+VLOOKUP(CK$4,$DE$6:$DF$17,2)+1))*(VLOOKUP($A99,CURVES!$D$9:$T$261,6))*(INDEX(DailyScalarsTable,CK$5/100,MONTH($A99)))*$E99</f>
        <v>0</v>
      </c>
      <c r="CL99" s="1021">
        <f>(VLOOKUP(YEAR($A99),'NY East Load Projections'!$A$4:$EO$14,((MONTH($A99)-1)*12)+VLOOKUP(CL$4,$DE$6:$DF$17,2)+1))*(VLOOKUP($A99,SatSunCurve,6))*(INDEX(DailyScalarsTable,CL$5/100,MONTH($A99)))*$E99</f>
        <v>0</v>
      </c>
      <c r="CM99" s="1021">
        <f>(VLOOKUP(YEAR($A99),'NY East Load Projections'!$A$4:$EO$14,((MONTH($A99)-1)*12)+VLOOKUP(CM$4,$DE$6:$DF$17,2)+1))*(VLOOKUP($A99,SatSunCurve,6))*(INDEX(DailyScalarsTable,CM$5/100,MONTH($A99)))*$E99</f>
        <v>0</v>
      </c>
      <c r="CN99" s="1021">
        <f>(VLOOKUP(YEAR($A99),'NY East Load Projections'!$A$4:$EO$14,((MONTH($A99)-1)*12)+VLOOKUP(CN$4,$DE$6:$DF$17,2)+1))*(VLOOKUP($A99,SatSunCurve,6))*(INDEX(DailyScalarsTable,CN$5/100,MONTH($A99)))*$E99</f>
        <v>0</v>
      </c>
      <c r="CO99" s="1021">
        <f>(VLOOKUP(YEAR($A99),'NY East Load Projections'!$A$4:$EO$14,((MONTH($A99)-1)*12)+VLOOKUP(CO$4,$DE$6:$DF$17,2)+1))*(VLOOKUP($A99,SatSunCurve,6))*(INDEX(DailyScalarsTable,CO$5/100,MONTH($A99)))*$E99</f>
        <v>0</v>
      </c>
      <c r="CP99" s="1021">
        <f>(VLOOKUP(YEAR($A99),'NY East Load Projections'!$A$4:$EO$14,((MONTH($A99)-1)*12)+VLOOKUP(CP$4,$DE$6:$DF$17,2)+1))*(VLOOKUP($A99,SatSunCurve,6))*(INDEX(DailyScalarsTable,CP$5/100,MONTH($A99)))*$E99</f>
        <v>0</v>
      </c>
      <c r="CQ99" s="1021">
        <f>(VLOOKUP(YEAR($A99),'NY East Load Projections'!$A$4:$EO$14,((MONTH($A99)-1)*12)+VLOOKUP(CQ$4,$DE$6:$DF$17,2)+1))*(VLOOKUP($A99,SatSunCurve,6))*(INDEX(DailyScalarsTable,CQ$5/100,MONTH($A99)))*$E99</f>
        <v>0</v>
      </c>
      <c r="CR99" s="1021">
        <f>(VLOOKUP(YEAR($A99),'NY East Load Projections'!$A$4:$EO$14,((MONTH($A99)-1)*12)+VLOOKUP(CR$4,$DE$6:$DF$17,2)+1))*(VLOOKUP($A99,SatSunCurve,6))*(INDEX(DailyScalarsTable,CR$5/100,MONTH($A99)))*$E99</f>
        <v>0</v>
      </c>
      <c r="CS99" s="1021">
        <f>(VLOOKUP(YEAR($A99),'NY East Load Projections'!$A$4:$EO$14,((MONTH($A99)-1)*12)+VLOOKUP(CS$4,$DE$6:$DF$17,2)+1))*(VLOOKUP($A99,SatSunCurve,6))*(INDEX(DailyScalarsTable,CS$5/100,MONTH($A99)))*$E99</f>
        <v>0</v>
      </c>
      <c r="CT99" s="1021">
        <f>(VLOOKUP(YEAR($A99),'NY East Load Projections'!$A$4:$EO$14,((MONTH($A99)-1)*12)+VLOOKUP(CT$4,$DE$6:$DF$17,2)+1))*(VLOOKUP($A99,SatSunCurve,6))*(INDEX(DailyScalarsTable,CT$5/100,MONTH($A99)))*$E99</f>
        <v>0</v>
      </c>
      <c r="CU99" s="1021">
        <f>(VLOOKUP(YEAR($A99),'NY East Load Projections'!$A$4:$EO$14,((MONTH($A99)-1)*12)+VLOOKUP(CU$4,$DE$6:$DF$17,2)+1))*(VLOOKUP($A99,SatSunCurve,6))*(INDEX(DailyScalarsTable,CU$5/100,MONTH($A99)))*$E99</f>
        <v>0</v>
      </c>
      <c r="CV99" s="1021">
        <f>(VLOOKUP(YEAR($A99),'NY East Load Projections'!$A$4:$EO$14,((MONTH($A99)-1)*12)+VLOOKUP(CV$4,$DE$6:$DF$17,2)+1))*(VLOOKUP($A99,SatSunCurve,6))*(INDEX(DailyScalarsTable,CV$5/100,MONTH($A99)))*$E99</f>
        <v>0</v>
      </c>
      <c r="CW99" s="1021">
        <f>(VLOOKUP(YEAR($A99),'NY East Load Projections'!$A$4:$EO$14,((MONTH($A99)-1)*12)+VLOOKUP(CW$4,$DE$6:$DF$17,2)+1))*(VLOOKUP($A99,SatSunCurve,6))*(INDEX(DailyScalarsTable,CW$5/100,MONTH($A99)))*$E99</f>
        <v>0</v>
      </c>
      <c r="CX99" s="1021">
        <f>(VLOOKUP(YEAR($A99),'NY East Load Projections'!$A$4:$EO$14,((MONTH($A99)-1)*12)+VLOOKUP(CX$4,$DE$6:$DF$17,2)+1))*(VLOOKUP($A99,SatSunCurve,6))*(INDEX(DailyScalarsTable,CX$5/100,MONTH($A99)))*$E99</f>
        <v>0</v>
      </c>
      <c r="CY99" s="1021">
        <f>(VLOOKUP(YEAR($A99),'NY East Load Projections'!$A$4:$EO$14,((MONTH($A99)-1)*12)+VLOOKUP(CY$4,$DE$6:$DF$17,2)+1))*(VLOOKUP($A99,SatSunCurve,6))*(INDEX(DailyScalarsTable,CY$5/100,MONTH($A99)))*$E99</f>
        <v>0</v>
      </c>
      <c r="CZ99" s="1021">
        <f>(VLOOKUP(YEAR($A99),'NY East Load Projections'!$A$4:$EO$14,((MONTH($A99)-1)*12)+VLOOKUP(CZ$4,$DE$6:$DF$17,2)+1))*(VLOOKUP($A99,SatSunCurve,6))*(INDEX(DailyScalarsTable,CZ$5/100,MONTH($A99)))*$E99</f>
        <v>0</v>
      </c>
      <c r="DA99" s="1021">
        <f>(VLOOKUP(YEAR($A99),'NY East Load Projections'!$A$4:$EO$14,((MONTH($A99)-1)*12)+VLOOKUP(DA$4,$DE$6:$DF$17,2)+1))*(VLOOKUP($A99,SatSunCurve,6))*(INDEX(DailyScalarsTable,DA$5/100,MONTH($A99)))*$E99</f>
        <v>0</v>
      </c>
      <c r="DB99" s="1021">
        <f>(VLOOKUP(YEAR($A99),'NY East Load Projections'!$A$4:$EO$14,((MONTH($A99)-1)*12)+VLOOKUP(DB$4,$DE$6:$DF$17,2)+1))*(VLOOKUP($A99,CURVES!$D$9:$T$261,6))*(INDEX(DailyScalarsTable,DB$5/100,MONTH($A99)))*$E99</f>
        <v>0</v>
      </c>
      <c r="DH99" s="1021">
        <f t="shared" si="2"/>
        <v>-1838621.878026248</v>
      </c>
      <c r="DI99">
        <f ca="1">CALC!J119</f>
        <v>0.53088701329765786</v>
      </c>
      <c r="DJ99" s="1029">
        <f t="shared" ca="1" si="3"/>
        <v>-976100.47740908538</v>
      </c>
    </row>
    <row r="100" spans="1:114" x14ac:dyDescent="0.25">
      <c r="A100" s="244">
        <v>39753</v>
      </c>
      <c r="B100" s="13">
        <v>19</v>
      </c>
      <c r="C100" s="210">
        <v>5</v>
      </c>
      <c r="D100" s="210">
        <v>5</v>
      </c>
      <c r="E100" s="210">
        <v>1</v>
      </c>
      <c r="F100" s="13">
        <v>30</v>
      </c>
      <c r="H100" s="1021">
        <f>(VLOOKUP(YEAR($A100),'NY East Load Projections'!$A$4:$EO$14,((MONTH($A100)-1)*12)+VLOOKUP(H$4,$DE$6:$DF$17,2)+1))*(VLOOKUP($A100,CURVES!$D$9:$K$261,6))*(INDEX(DailyScalarsTable,H$5/100,MONTH($A100)))*$B100</f>
        <v>-29279.687570065096</v>
      </c>
      <c r="I100" s="1021">
        <f>(VLOOKUP(YEAR($A100),'NY East Load Projections'!$A$4:$EO$14,((MONTH($A100)-1)*12)+VLOOKUP(I$4,$DE$6:$DF$17,2)+1))*(VLOOKUP($A100,CURVES!$D$9:$K$261,6))*(INDEX(DailyScalarsTable,I$5/100,MONTH($A100)))*$B100</f>
        <v>-27758.2148324275</v>
      </c>
      <c r="J100" s="1021">
        <f>(VLOOKUP(YEAR($A100),'NY East Load Projections'!$A$4:$EO$14,((MONTH($A100)-1)*12)+VLOOKUP(J$4,$DE$6:$DF$17,2)+1))*(VLOOKUP($A100,CURVES!$D$9:$K$261,6))*(INDEX(DailyScalarsTable,J$5/100,MONTH($A100)))*$B100</f>
        <v>-26639.948120499252</v>
      </c>
      <c r="K100" s="1021">
        <f>(VLOOKUP(YEAR($A100),'NY East Load Projections'!$A$4:$EO$14,((MONTH($A100)-1)*12)+VLOOKUP(K$4,$DE$6:$DF$17,2)+1))*(VLOOKUP($A100,CURVES!$D$9:$K$261,6))*(INDEX(DailyScalarsTable,K$5/100,MONTH($A100)))*$B100</f>
        <v>-26655.698355878518</v>
      </c>
      <c r="L100" s="1021">
        <f>(VLOOKUP(YEAR($A100),'NY East Load Projections'!$A$4:$EO$14,((MONTH($A100)-1)*12)+VLOOKUP(L$4,$DE$6:$DF$17,2)+1))*(VLOOKUP($A100,CURVES!$D$9:$K$261,6))*(INDEX(DailyScalarsTable,L$5/100,MONTH($A100)))*$B100</f>
        <v>-30790.231814706385</v>
      </c>
      <c r="M100" s="1021">
        <f>(VLOOKUP(YEAR($A100),'NY East Load Projections'!$A$4:$EO$14,((MONTH($A100)-1)*12)+VLOOKUP(M$4,$DE$6:$DF$17,2)+1))*(VLOOKUP($A100,CURVES!$D$9:$K$261,6))*(INDEX(DailyScalarsTable,M$5/100,MONTH($A100)))*$B100</f>
        <v>-35474.151249067123</v>
      </c>
      <c r="N100" s="1021">
        <f>(VLOOKUP(YEAR($A100),'NY East Load Projections'!$A$4:$EO$14,((MONTH($A100)-1)*12)+VLOOKUP(N$4,$DE$6:$DF$17,2)+1))*(VLOOKUP($A100,CURVES!$D$9:$K$261,6))*(INDEX(DailyScalarsTable,N$5/100,MONTH($A100)))*$B100</f>
        <v>-50813.223160287642</v>
      </c>
      <c r="O100" s="1021">
        <f>(VLOOKUP(YEAR($A100),'NY East Load Projections'!$A$4:$EO$14,((MONTH($A100)-1)*12)+VLOOKUP(O$4,$DE$6:$DF$17,2)+1))*(VLOOKUP($A100,CURVES!$D$9:$K$261,2))*(INDEX(DailyScalarsTable,O$5/100,MONTH($A100)))*$B100</f>
        <v>-57472.794464525585</v>
      </c>
      <c r="P100" s="1021">
        <f>(VLOOKUP(YEAR($A100),'NY East Load Projections'!$A$4:$EO$14,((MONTH($A100)-1)*12)+VLOOKUP(P$4,$DE$6:$DF$17,2)+1))*(VLOOKUP($A100,CURVES!$D$9:$K$261,2))*(INDEX(DailyScalarsTable,P$5/100,MONTH($A100)))*$B100</f>
        <v>-65063.772863526428</v>
      </c>
      <c r="Q100" s="1021">
        <f>(VLOOKUP(YEAR($A100),'NY East Load Projections'!$A$4:$EO$14,((MONTH($A100)-1)*12)+VLOOKUP(Q$4,$DE$6:$DF$17,2)+1))*(VLOOKUP($A100,CURVES!$D$9:$K$261,2))*(INDEX(DailyScalarsTable,Q$5/100,MONTH($A100)))*$B100</f>
        <v>-64642.390123118501</v>
      </c>
      <c r="R100" s="1021">
        <f>(VLOOKUP(YEAR($A100),'NY East Load Projections'!$A$4:$EO$14,((MONTH($A100)-1)*12)+VLOOKUP(R$4,$DE$6:$DF$17,2)+1))*(VLOOKUP($A100,CURVES!$D$9:$K$261,2))*(INDEX(DailyScalarsTable,R$5/100,MONTH($A100)))*$B100</f>
        <v>-63395.324985965315</v>
      </c>
      <c r="S100" s="1021">
        <f>(VLOOKUP(YEAR($A100),'NY East Load Projections'!$A$4:$EO$14,((MONTH($A100)-1)*12)+VLOOKUP(S$4,$DE$6:$DF$17,2)+1))*(VLOOKUP($A100,CURVES!$D$9:$K$261,2))*(INDEX(DailyScalarsTable,S$5/100,MONTH($A100)))*$B100</f>
        <v>-53378.943359241792</v>
      </c>
      <c r="T100" s="1021">
        <f>(VLOOKUP(YEAR($A100),'NY East Load Projections'!$A$4:$EO$14,((MONTH($A100)-1)*12)+VLOOKUP(T$4,$DE$6:$DF$17,2)+1))*(VLOOKUP($A100,CURVES!$D$9:$K$261,2))*(INDEX(DailyScalarsTable,T$5/100,MONTH($A100)))*$B100</f>
        <v>-51492.634495592967</v>
      </c>
      <c r="U100" s="1021">
        <f>(VLOOKUP(YEAR($A100),'NY East Load Projections'!$A$4:$EO$14,((MONTH($A100)-1)*12)+VLOOKUP(U$4,$DE$6:$DF$17,2)+1))*(VLOOKUP($A100,CURVES!$D$9:$K$261,2))*(INDEX(DailyScalarsTable,U$5/100,MONTH($A100)))*$B100</f>
        <v>-50110.399318850919</v>
      </c>
      <c r="V100" s="1021">
        <f>(VLOOKUP(YEAR($A100),'NY East Load Projections'!$A$4:$EO$14,((MONTH($A100)-1)*12)+VLOOKUP(V$4,$DE$6:$DF$17,2)+1))*(VLOOKUP($A100,CURVES!$D$9:$K$261,2))*(INDEX(DailyScalarsTable,V$5/100,MONTH($A100)))*$B100</f>
        <v>-48938.123915791206</v>
      </c>
      <c r="W100" s="1021">
        <f>(VLOOKUP(YEAR($A100),'NY East Load Projections'!$A$4:$EO$14,((MONTH($A100)-1)*12)+VLOOKUP(W$4,$DE$6:$DF$17,2)+1))*(VLOOKUP($A100,CURVES!$D$9:$K$261,2))*(INDEX(DailyScalarsTable,W$5/100,MONTH($A100)))*$B100</f>
        <v>-48133.278116675589</v>
      </c>
      <c r="X100" s="1021">
        <f>(VLOOKUP(YEAR($A100),'NY East Load Projections'!$A$4:$EO$14,((MONTH($A100)-1)*12)+VLOOKUP(X$4,$DE$6:$DF$17,2)+1))*(VLOOKUP($A100,CURVES!$D$9:$K$261,2))*(INDEX(DailyScalarsTable,X$5/100,MONTH($A100)))*$B100</f>
        <v>-49834.097690748611</v>
      </c>
      <c r="Y100" s="1021">
        <f>(VLOOKUP(YEAR($A100),'NY East Load Projections'!$A$4:$EO$14,((MONTH($A100)-1)*12)+VLOOKUP(Y$4,$DE$6:$DF$17,2)+1))*(VLOOKUP($A100,CURVES!$D$9:$K$261,2))*(INDEX(DailyScalarsTable,Y$5/100,MONTH($A100)))*$B100</f>
        <v>-68410.873335675758</v>
      </c>
      <c r="Z100" s="1021">
        <f>(VLOOKUP(YEAR($A100),'NY East Load Projections'!$A$4:$EO$14,((MONTH($A100)-1)*12)+VLOOKUP(Z$4,$DE$6:$DF$17,2)+1))*(VLOOKUP($A100,CURVES!$D$9:$K$261,2))*(INDEX(DailyScalarsTable,Z$5/100,MONTH($A100)))*$B100</f>
        <v>-68961.712674012495</v>
      </c>
      <c r="AA100" s="1021">
        <f>(VLOOKUP(YEAR($A100),'NY East Load Projections'!$A$4:$EO$14,((MONTH($A100)-1)*12)+VLOOKUP(AA$4,$DE$6:$DF$17,2)+1))*(VLOOKUP($A100,CURVES!$D$9:$K$261,2))*(INDEX(DailyScalarsTable,AA$5/100,MONTH($A100)))*$B100</f>
        <v>-66140.066267430506</v>
      </c>
      <c r="AB100" s="1021">
        <f>(VLOOKUP(YEAR($A100),'NY East Load Projections'!$A$4:$EO$14,((MONTH($A100)-1)*12)+VLOOKUP(AB$4,$DE$6:$DF$17,2)+1))*(VLOOKUP($A100,CURVES!$D$9:$K$261,2))*(INDEX(DailyScalarsTable,AB$5/100,MONTH($A100)))*$B100</f>
        <v>-56135.116602391325</v>
      </c>
      <c r="AC100" s="1021">
        <f>(VLOOKUP(YEAR($A100),'NY East Load Projections'!$A$4:$EO$14,((MONTH($A100)-1)*12)+VLOOKUP(AC$4,$DE$6:$DF$17,2)+1))*(VLOOKUP($A100,CURVES!$D$9:$K$261,2))*(INDEX(DailyScalarsTable,AC$5/100,MONTH($A100)))*$B100</f>
        <v>-44654.456792167657</v>
      </c>
      <c r="AD100" s="1021">
        <f>(VLOOKUP(YEAR($A100),'NY East Load Projections'!$A$4:$EO$14,((MONTH($A100)-1)*12)+VLOOKUP(AD$4,$DE$6:$DF$17,2)+1))*(VLOOKUP($A100,CURVES!$D$9:$K$261,2))*(INDEX(DailyScalarsTable,AD$5/100,MONTH($A100)))*$B100</f>
        <v>-37658.832471344358</v>
      </c>
      <c r="AE100" s="1021">
        <f>(VLOOKUP(YEAR($A100),'NY East Load Projections'!$A$4:$EO$14,((MONTH($A100)-1)*12)+VLOOKUP(AE$4,$DE$6:$DF$17,2)+1))*(VLOOKUP($A100,CURVES!$D$9:$K$261,6))*(INDEX(DailyScalarsTable,AE$5/100,MONTH($A100)))*$B100</f>
        <v>-34293.96494111744</v>
      </c>
      <c r="AF100" s="1021"/>
      <c r="AG100" s="1021">
        <f>(VLOOKUP(YEAR($A100),'NY East Load Projections'!$A$4:$EO$14,((MONTH($A100)-1)*12)+VLOOKUP(AG$4,$DE$6:$DF$17,2)+1))*(VLOOKUP($A100,CURVES!$D$9:$T$261,6))*(INDEX(DailyScalarsTable,AG$5/100,MONTH($A100)))*$C100</f>
        <v>-7916.3793496072922</v>
      </c>
      <c r="AH100" s="1021">
        <f>(VLOOKUP(YEAR($A100),'NY East Load Projections'!$A$4:$EO$14,((MONTH($A100)-1)*12)+VLOOKUP(AH$4,$DE$6:$DF$17,2)+1))*(VLOOKUP($A100,CURVES!$D$9:$T$261,6))*(INDEX(DailyScalarsTable,AH$5/100,MONTH($A100)))*$C100</f>
        <v>-7505.0171951306575</v>
      </c>
      <c r="AI100" s="1021">
        <f>(VLOOKUP(YEAR($A100),'NY East Load Projections'!$A$4:$EO$14,((MONTH($A100)-1)*12)+VLOOKUP(AI$4,$DE$6:$DF$17,2)+1))*(VLOOKUP($A100,CURVES!$D$9:$T$261,6))*(INDEX(DailyScalarsTable,AI$5/100,MONTH($A100)))*$C100</f>
        <v>-7202.6702699977268</v>
      </c>
      <c r="AJ100" s="1021">
        <f>(VLOOKUP(YEAR($A100),'NY East Load Projections'!$A$4:$EO$14,((MONTH($A100)-1)*12)+VLOOKUP(AJ$4,$DE$6:$DF$17,2)+1))*(VLOOKUP($A100,CURVES!$D$9:$T$261,6))*(INDEX(DailyScalarsTable,AJ$5/100,MONTH($A100)))*$C100</f>
        <v>-7206.9286773939657</v>
      </c>
      <c r="AK100" s="1021">
        <f>(VLOOKUP(YEAR($A100),'NY East Load Projections'!$A$4:$EO$14,((MONTH($A100)-1)*12)+VLOOKUP(AK$4,$DE$6:$DF$17,2)+1))*(VLOOKUP($A100,CURVES!$D$9:$T$261,6))*(INDEX(DailyScalarsTable,AK$5/100,MONTH($A100)))*$C100</f>
        <v>-7840.741081572759</v>
      </c>
      <c r="AL100" s="1021">
        <f>(VLOOKUP(YEAR($A100),'NY East Load Projections'!$A$4:$EO$14,((MONTH($A100)-1)*12)+VLOOKUP(AL$4,$DE$6:$DF$17,2)+1))*(VLOOKUP($A100,CURVES!$D$9:$T$261,6))*(INDEX(DailyScalarsTable,AL$5/100,MONTH($A100)))*$C100</f>
        <v>-9033.5024661826683</v>
      </c>
      <c r="AM100" s="1021">
        <f>(VLOOKUP(YEAR($A100),'NY East Load Projections'!$A$4:$EO$14,((MONTH($A100)-1)*12)+VLOOKUP(AM$4,$DE$6:$DF$17,2)+1))*(VLOOKUP($A100,CURVES!$D$9:$T$261,6))*(INDEX(DailyScalarsTable,AM$5/100,MONTH($A100)))*$C100</f>
        <v>-12939.601387791337</v>
      </c>
      <c r="AN100" s="1021">
        <f>(VLOOKUP(YEAR($A100),'NY East Load Projections'!$A$4:$EO$14,((MONTH($A100)-1)*12)+VLOOKUP(AN$4,$DE$6:$DF$17,2)+1))*(VLOOKUP($A100,SatSunCurve,2))*(INDEX(DailyScalarsTable,AN$5/100,MONTH($A100)))*$C100</f>
        <v>-11770.605573560559</v>
      </c>
      <c r="AO100" s="1021">
        <f>(VLOOKUP(YEAR($A100),'NY East Load Projections'!$A$4:$EO$14,((MONTH($A100)-1)*12)+VLOOKUP(AO$4,$DE$6:$DF$17,2)+1))*(VLOOKUP($A100,SatSunCurve,2))*(INDEX(DailyScalarsTable,AO$5/100,MONTH($A100)))*$C100</f>
        <v>-13387.882202025876</v>
      </c>
      <c r="AP100" s="1021">
        <f>(VLOOKUP(YEAR($A100),'NY East Load Projections'!$A$4:$EO$14,((MONTH($A100)-1)*12)+VLOOKUP(AP$4,$DE$6:$DF$17,2)+1))*(VLOOKUP($A100,SatSunCurve,2))*(INDEX(DailyScalarsTable,AP$5/100,MONTH($A100)))*$C100</f>
        <v>-13301.17615590738</v>
      </c>
      <c r="AQ100" s="1021">
        <f>(VLOOKUP(YEAR($A100),'NY East Load Projections'!$A$4:$EO$14,((MONTH($A100)-1)*12)+VLOOKUP(AQ$4,$DE$6:$DF$17,2)+1))*(VLOOKUP($A100,SatSunCurve,2))*(INDEX(DailyScalarsTable,AQ$5/100,MONTH($A100)))*$C100</f>
        <v>-13044.573127529675</v>
      </c>
      <c r="AR100" s="1021">
        <f>(VLOOKUP(YEAR($A100),'NY East Load Projections'!$A$4:$EO$14,((MONTH($A100)-1)*12)+VLOOKUP(AR$4,$DE$6:$DF$17,2)+1))*(VLOOKUP($A100,SatSunCurve,2))*(INDEX(DailyScalarsTable,AR$5/100,MONTH($A100)))*$C100</f>
        <v>-10983.54697722655</v>
      </c>
      <c r="AS100" s="1021">
        <f>(VLOOKUP(YEAR($A100),'NY East Load Projections'!$A$4:$EO$14,((MONTH($A100)-1)*12)+VLOOKUP(AS$4,$DE$6:$DF$17,2)+1))*(VLOOKUP($A100,SatSunCurve,2))*(INDEX(DailyScalarsTable,AS$5/100,MONTH($A100)))*$C100</f>
        <v>-10665.186953500383</v>
      </c>
      <c r="AT100" s="1021">
        <f>(VLOOKUP(YEAR($A100),'NY East Load Projections'!$A$4:$EO$14,((MONTH($A100)-1)*12)+VLOOKUP(AT$4,$DE$6:$DF$17,2)+1))*(VLOOKUP($A100,SatSunCurve,2))*(INDEX(DailyScalarsTable,AT$5/100,MONTH($A100)))*$C100</f>
        <v>-10378.897531371083</v>
      </c>
      <c r="AU100" s="1021">
        <f>(VLOOKUP(YEAR($A100),'NY East Load Projections'!$A$4:$EO$14,((MONTH($A100)-1)*12)+VLOOKUP(AU$4,$DE$6:$DF$17,2)+1))*(VLOOKUP($A100,SatSunCurve,2))*(INDEX(DailyScalarsTable,AU$5/100,MONTH($A100)))*$C100</f>
        <v>-10136.09511007155</v>
      </c>
      <c r="AV100" s="1021">
        <f>(VLOOKUP(YEAR($A100),'NY East Load Projections'!$A$4:$EO$14,((MONTH($A100)-1)*12)+VLOOKUP(AV$4,$DE$6:$DF$17,2)+1))*(VLOOKUP($A100,SatSunCurve,2))*(INDEX(DailyScalarsTable,AV$5/100,MONTH($A100)))*$C100</f>
        <v>-9969.3949402241105</v>
      </c>
      <c r="AW100" s="1021">
        <f>(VLOOKUP(YEAR($A100),'NY East Load Projections'!$A$4:$EO$14,((MONTH($A100)-1)*12)+VLOOKUP(AW$4,$DE$6:$DF$17,2)+1))*(VLOOKUP($A100,SatSunCurve,2))*(INDEX(DailyScalarsTable,AW$5/100,MONTH($A100)))*$C100</f>
        <v>-10196.248642933322</v>
      </c>
      <c r="AX100" s="1021">
        <f>(VLOOKUP(YEAR($A100),'NY East Load Projections'!$A$4:$EO$14,((MONTH($A100)-1)*12)+VLOOKUP(AX$4,$DE$6:$DF$17,2)+1))*(VLOOKUP($A100,SatSunCurve,2))*(INDEX(DailyScalarsTable,AX$5/100,MONTH($A100)))*$C100</f>
        <v>-13997.128607392451</v>
      </c>
      <c r="AY100" s="1021">
        <f>(VLOOKUP(YEAR($A100),'NY East Load Projections'!$A$4:$EO$14,((MONTH($A100)-1)*12)+VLOOKUP(AY$4,$DE$6:$DF$17,2)+1))*(VLOOKUP($A100,SatSunCurve,2))*(INDEX(DailyScalarsTable,AY$5/100,MONTH($A100)))*$C100</f>
        <v>-14109.832461104097</v>
      </c>
      <c r="AZ100" s="1021">
        <f>(VLOOKUP(YEAR($A100),'NY East Load Projections'!$A$4:$EO$14,((MONTH($A100)-1)*12)+VLOOKUP(AZ$4,$DE$6:$DF$17,2)+1))*(VLOOKUP($A100,SatSunCurve,2))*(INDEX(DailyScalarsTable,AZ$5/100,MONTH($A100)))*$C100</f>
        <v>-13532.512720662802</v>
      </c>
      <c r="BA100" s="1021">
        <f>(VLOOKUP(YEAR($A100),'NY East Load Projections'!$A$4:$EO$14,((MONTH($A100)-1)*12)+VLOOKUP(BA$4,$DE$6:$DF$17,2)+1))*(VLOOKUP($A100,SatSunCurve,2))*(INDEX(DailyScalarsTable,BA$5/100,MONTH($A100)))*$C100</f>
        <v>-11946.334965906071</v>
      </c>
      <c r="BB100" s="1021">
        <f>(VLOOKUP(YEAR($A100),'NY East Load Projections'!$A$4:$EO$14,((MONTH($A100)-1)*12)+VLOOKUP(BB$4,$DE$6:$DF$17,2)+1))*(VLOOKUP($A100,SatSunCurve,2))*(INDEX(DailyScalarsTable,BB$5/100,MONTH($A100)))*$C100</f>
        <v>-9503.0905936888958</v>
      </c>
      <c r="BC100" s="1021">
        <f>(VLOOKUP(YEAR($A100),'NY East Load Projections'!$A$4:$EO$14,((MONTH($A100)-1)*12)+VLOOKUP(BC$4,$DE$6:$DF$17,2)+1))*(VLOOKUP($A100,SatSunCurve,2))*(INDEX(DailyScalarsTable,BC$5/100,MONTH($A100)))*$C100</f>
        <v>-8014.3242654002997</v>
      </c>
      <c r="BD100" s="1021">
        <f>(VLOOKUP(YEAR($A100),'NY East Load Projections'!$A$4:$EO$14,((MONTH($A100)-1)*12)+VLOOKUP(BD$4,$DE$6:$DF$17,2)+1))*(VLOOKUP($A100,CURVES!$D$9:$T$261,6))*(INDEX(DailyScalarsTable,BD$5/100,MONTH($A100)))*$C100</f>
        <v>-9074.5567195891126</v>
      </c>
      <c r="BE100" s="1021"/>
      <c r="BF100" s="1021">
        <f>(VLOOKUP(YEAR($A100),'NY East Load Projections'!$A$4:$EO$14,((MONTH($A100)-1)*12)+VLOOKUP(BF$4,$DE$6:$DF$17,2)+1))*(VLOOKUP($A100,CURVES!$D$9:$T$261,6))*(INDEX(DailyScalarsTable,BF$5/100,MONTH($A100)))*$D100</f>
        <v>-7916.3793496072922</v>
      </c>
      <c r="BG100" s="1021">
        <f>(VLOOKUP(YEAR($A100),'NY East Load Projections'!$A$4:$EO$14,((MONTH($A100)-1)*12)+VLOOKUP(BG$4,$DE$6:$DF$17,2)+1))*(VLOOKUP($A100,CURVES!$D$9:$T$261,6))*(INDEX(DailyScalarsTable,BG$5/100,MONTH($A100)))*$D100</f>
        <v>-7505.0171951306575</v>
      </c>
      <c r="BH100" s="1021">
        <f>(VLOOKUP(YEAR($A100),'NY East Load Projections'!$A$4:$EO$14,((MONTH($A100)-1)*12)+VLOOKUP(BH$4,$DE$6:$DF$17,2)+1))*(VLOOKUP($A100,CURVES!$D$9:$T$261,6))*(INDEX(DailyScalarsTable,BH$5/100,MONTH($A100)))*$D100</f>
        <v>-7202.6702699977268</v>
      </c>
      <c r="BI100" s="1021">
        <f>(VLOOKUP(YEAR($A100),'NY East Load Projections'!$A$4:$EO$14,((MONTH($A100)-1)*12)+VLOOKUP(BI$4,$DE$6:$DF$17,2)+1))*(VLOOKUP($A100,CURVES!$D$9:$T$261,6))*(INDEX(DailyScalarsTable,BI$5/100,MONTH($A100)))*$D100</f>
        <v>-7206.9286773939657</v>
      </c>
      <c r="BJ100" s="1021">
        <f>(VLOOKUP(YEAR($A100),'NY East Load Projections'!$A$4:$EO$14,((MONTH($A100)-1)*12)+VLOOKUP(BJ$4,$DE$6:$DF$17,2)+1))*(VLOOKUP($A100,CURVES!$D$9:$T$261,6))*(INDEX(DailyScalarsTable,BJ$5/100,MONTH($A100)))*$D100</f>
        <v>-7840.741081572759</v>
      </c>
      <c r="BK100" s="1021">
        <f>(VLOOKUP(YEAR($A100),'NY East Load Projections'!$A$4:$EO$14,((MONTH($A100)-1)*12)+VLOOKUP(BK$4,$DE$6:$DF$17,2)+1))*(VLOOKUP($A100,CURVES!$D$9:$T$261,6))*(INDEX(DailyScalarsTable,BK$5/100,MONTH($A100)))*$D100</f>
        <v>-9033.5024661826683</v>
      </c>
      <c r="BL100" s="1021">
        <f>(VLOOKUP(YEAR($A100),'NY East Load Projections'!$A$4:$EO$14,((MONTH($A100)-1)*12)+VLOOKUP(BL$4,$DE$6:$DF$17,2)+1))*(VLOOKUP($A100,CURVES!$D$9:$T$261,6))*(INDEX(DailyScalarsTable,BL$5/100,MONTH($A100)))*$D100</f>
        <v>-12939.601387791337</v>
      </c>
      <c r="BM100" s="1021">
        <f>(VLOOKUP(YEAR($A100),'NY East Load Projections'!$A$4:$EO$14,((MONTH($A100)-1)*12)+VLOOKUP(BM$4,$DE$6:$DF$17,2)+1))*(VLOOKUP($A100,SatSunCurve,6))*(INDEX(DailyScalarsTable,BM$5/100,MONTH($A100)))*$D100</f>
        <v>-9636.9082498422758</v>
      </c>
      <c r="BN100" s="1021">
        <f>(VLOOKUP(YEAR($A100),'NY East Load Projections'!$A$4:$EO$14,((MONTH($A100)-1)*12)+VLOOKUP(BN$4,$DE$6:$DF$17,2)+1))*(VLOOKUP($A100,SatSunCurve,6))*(INDEX(DailyScalarsTable,BN$5/100,MONTH($A100)))*$D100</f>
        <v>-10961.015695778888</v>
      </c>
      <c r="BO100" s="1021">
        <f>(VLOOKUP(YEAR($A100),'NY East Load Projections'!$A$4:$EO$14,((MONTH($A100)-1)*12)+VLOOKUP(BO$4,$DE$6:$DF$17,2)+1))*(VLOOKUP($A100,SatSunCurve,6))*(INDEX(DailyScalarsTable,BO$5/100,MONTH($A100)))*$D100</f>
        <v>-10890.027146725181</v>
      </c>
      <c r="BP100" s="1021">
        <f>(VLOOKUP(YEAR($A100),'NY East Load Projections'!$A$4:$EO$14,((MONTH($A100)-1)*12)+VLOOKUP(BP$4,$DE$6:$DF$17,2)+1))*(VLOOKUP($A100,SatSunCurve,6))*(INDEX(DailyScalarsTable,BP$5/100,MONTH($A100)))*$D100</f>
        <v>-10679.939413714892</v>
      </c>
      <c r="BQ100" s="1021">
        <f>(VLOOKUP(YEAR($A100),'NY East Load Projections'!$A$4:$EO$14,((MONTH($A100)-1)*12)+VLOOKUP(BQ$4,$DE$6:$DF$17,2)+1))*(VLOOKUP($A100,SatSunCurve,6))*(INDEX(DailyScalarsTable,BQ$5/100,MONTH($A100)))*$D100</f>
        <v>-8992.522416613976</v>
      </c>
      <c r="BR100" s="1021">
        <f>(VLOOKUP(YEAR($A100),'NY East Load Projections'!$A$4:$EO$14,((MONTH($A100)-1)*12)+VLOOKUP(BR$4,$DE$6:$DF$17,2)+1))*(VLOOKUP($A100,SatSunCurve,6))*(INDEX(DailyScalarsTable,BR$5/100,MONTH($A100)))*$D100</f>
        <v>-8731.8725868415731</v>
      </c>
      <c r="BS100" s="1021">
        <f>(VLOOKUP(YEAR($A100),'NY East Load Projections'!$A$4:$EO$14,((MONTH($A100)-1)*12)+VLOOKUP(BS$4,$DE$6:$DF$17,2)+1))*(VLOOKUP($A100,SatSunCurve,6))*(INDEX(DailyScalarsTable,BS$5/100,MONTH($A100)))*$D100</f>
        <v>-8497.4798126789883</v>
      </c>
      <c r="BT100" s="1021">
        <f>(VLOOKUP(YEAR($A100),'NY East Load Projections'!$A$4:$EO$14,((MONTH($A100)-1)*12)+VLOOKUP(BT$4,$DE$6:$DF$17,2)+1))*(VLOOKUP($A100,SatSunCurve,6))*(INDEX(DailyScalarsTable,BT$5/100,MONTH($A100)))*$D100</f>
        <v>-8298.6910042119871</v>
      </c>
      <c r="BU100" s="1021">
        <f>(VLOOKUP(YEAR($A100),'NY East Load Projections'!$A$4:$EO$14,((MONTH($A100)-1)*12)+VLOOKUP(BU$4,$DE$6:$DF$17,2)+1))*(VLOOKUP($A100,SatSunCurve,6))*(INDEX(DailyScalarsTable,BU$5/100,MONTH($A100)))*$D100</f>
        <v>-8162.2091357122554</v>
      </c>
      <c r="BV100" s="1021">
        <f>(VLOOKUP(YEAR($A100),'NY East Load Projections'!$A$4:$EO$14,((MONTH($A100)-1)*12)+VLOOKUP(BV$4,$DE$6:$DF$17,2)+1))*(VLOOKUP($A100,SatSunCurve,6))*(INDEX(DailyScalarsTable,BV$5/100,MONTH($A100)))*$D100</f>
        <v>-8347.9403035339255</v>
      </c>
      <c r="BW100" s="1021">
        <f>(VLOOKUP(YEAR($A100),'NY East Load Projections'!$A$4:$EO$14,((MONTH($A100)-1)*12)+VLOOKUP(BW$4,$DE$6:$DF$17,2)+1))*(VLOOKUP($A100,SatSunCurve,6))*(INDEX(DailyScalarsTable,BW$5/100,MONTH($A100)))*$D100</f>
        <v>-11459.821952888724</v>
      </c>
      <c r="BX100" s="1021">
        <f>(VLOOKUP(YEAR($A100),'NY East Load Projections'!$A$4:$EO$14,((MONTH($A100)-1)*12)+VLOOKUP(BX$4,$DE$6:$DF$17,2)+1))*(VLOOKUP($A100,SatSunCurve,6))*(INDEX(DailyScalarsTable,BX$5/100,MONTH($A100)))*$D100</f>
        <v>-11552.095599374887</v>
      </c>
      <c r="BY100" s="1021">
        <f>(VLOOKUP(YEAR($A100),'NY East Load Projections'!$A$4:$EO$14,((MONTH($A100)-1)*12)+VLOOKUP(BY$4,$DE$6:$DF$17,2)+1))*(VLOOKUP($A100,SatSunCurve,6))*(INDEX(DailyScalarsTable,BY$5/100,MONTH($A100)))*$D100</f>
        <v>-11079.428553088621</v>
      </c>
      <c r="BZ100" s="1021">
        <f>(VLOOKUP(YEAR($A100),'NY East Load Projections'!$A$4:$EO$14,((MONTH($A100)-1)*12)+VLOOKUP(BZ$4,$DE$6:$DF$17,2)+1))*(VLOOKUP($A100,SatSunCurve,6))*(INDEX(DailyScalarsTable,BZ$5/100,MONTH($A100)))*$D100</f>
        <v>-9780.7825832612998</v>
      </c>
      <c r="CA100" s="1021">
        <f>(VLOOKUP(YEAR($A100),'NY East Load Projections'!$A$4:$EO$14,((MONTH($A100)-1)*12)+VLOOKUP(CA$4,$DE$6:$DF$17,2)+1))*(VLOOKUP($A100,SatSunCurve,6))*(INDEX(DailyScalarsTable,CA$5/100,MONTH($A100)))*$D100</f>
        <v>-7780.4333489034234</v>
      </c>
      <c r="CB100" s="1021">
        <f>(VLOOKUP(YEAR($A100),'NY East Load Projections'!$A$4:$EO$14,((MONTH($A100)-1)*12)+VLOOKUP(CB$4,$DE$6:$DF$17,2)+1))*(VLOOKUP($A100,SatSunCurve,6))*(INDEX(DailyScalarsTable,CB$5/100,MONTH($A100)))*$D100</f>
        <v>-6561.5407081204694</v>
      </c>
      <c r="CC100" s="1021">
        <f>(VLOOKUP(YEAR($A100),'NY East Load Projections'!$A$4:$EO$14,((MONTH($A100)-1)*12)+VLOOKUP(CC$4,$DE$6:$DF$17,2)+1))*(VLOOKUP($A100,CURVES!$D$9:$T$261,6))*(INDEX(DailyScalarsTable,CC$5/100,MONTH($A100)))*$D100</f>
        <v>-9074.5567195891126</v>
      </c>
      <c r="CE100" s="1021">
        <f>(VLOOKUP(YEAR($A100),'NY East Load Projections'!$A$4:$EO$14,((MONTH($A100)-1)*12)+VLOOKUP(CE$4,$DE$6:$DF$17,2)+1))*(VLOOKUP($A100,CURVES!$D$9:$T$261,6))*(INDEX(DailyScalarsTable,CE$5/100,MONTH($A100)))*$E100</f>
        <v>-1583.2758699214585</v>
      </c>
      <c r="CF100" s="1021">
        <f>(VLOOKUP(YEAR($A100),'NY East Load Projections'!$A$4:$EO$14,((MONTH($A100)-1)*12)+VLOOKUP(CF$4,$DE$6:$DF$17,2)+1))*(VLOOKUP($A100,CURVES!$D$9:$T$261,6))*(INDEX(DailyScalarsTable,CF$5/100,MONTH($A100)))*$E100</f>
        <v>-1501.0034390261314</v>
      </c>
      <c r="CG100" s="1021">
        <f>(VLOOKUP(YEAR($A100),'NY East Load Projections'!$A$4:$EO$14,((MONTH($A100)-1)*12)+VLOOKUP(CG$4,$DE$6:$DF$17,2)+1))*(VLOOKUP($A100,CURVES!$D$9:$T$261,6))*(INDEX(DailyScalarsTable,CG$5/100,MONTH($A100)))*$E100</f>
        <v>-1440.5340539995454</v>
      </c>
      <c r="CH100" s="1021">
        <f>(VLOOKUP(YEAR($A100),'NY East Load Projections'!$A$4:$EO$14,((MONTH($A100)-1)*12)+VLOOKUP(CH$4,$DE$6:$DF$17,2)+1))*(VLOOKUP($A100,CURVES!$D$9:$T$261,6))*(INDEX(DailyScalarsTable,CH$5/100,MONTH($A100)))*$E100</f>
        <v>-1441.3857354787931</v>
      </c>
      <c r="CI100" s="1021">
        <f>(VLOOKUP(YEAR($A100),'NY East Load Projections'!$A$4:$EO$14,((MONTH($A100)-1)*12)+VLOOKUP(CI$4,$DE$6:$DF$17,2)+1))*(VLOOKUP($A100,CURVES!$D$9:$T$261,6))*(INDEX(DailyScalarsTable,CI$5/100,MONTH($A100)))*$E100</f>
        <v>-1568.1482163145517</v>
      </c>
      <c r="CJ100" s="1021">
        <f>(VLOOKUP(YEAR($A100),'NY East Load Projections'!$A$4:$EO$14,((MONTH($A100)-1)*12)+VLOOKUP(CJ$4,$DE$6:$DF$17,2)+1))*(VLOOKUP($A100,CURVES!$D$9:$T$261,6))*(INDEX(DailyScalarsTable,CJ$5/100,MONTH($A100)))*$E100</f>
        <v>-1806.7004932365337</v>
      </c>
      <c r="CK100" s="1021">
        <f>(VLOOKUP(YEAR($A100),'NY East Load Projections'!$A$4:$EO$14,((MONTH($A100)-1)*12)+VLOOKUP(CK$4,$DE$6:$DF$17,2)+1))*(VLOOKUP($A100,CURVES!$D$9:$T$261,6))*(INDEX(DailyScalarsTable,CK$5/100,MONTH($A100)))*$E100</f>
        <v>-2587.9202775582676</v>
      </c>
      <c r="CL100" s="1021">
        <f>(VLOOKUP(YEAR($A100),'NY East Load Projections'!$A$4:$EO$14,((MONTH($A100)-1)*12)+VLOOKUP(CL$4,$DE$6:$DF$17,2)+1))*(VLOOKUP($A100,SatSunCurve,6))*(INDEX(DailyScalarsTable,CL$5/100,MONTH($A100)))*$E100</f>
        <v>-1927.3816499684551</v>
      </c>
      <c r="CM100" s="1021">
        <f>(VLOOKUP(YEAR($A100),'NY East Load Projections'!$A$4:$EO$14,((MONTH($A100)-1)*12)+VLOOKUP(CM$4,$DE$6:$DF$17,2)+1))*(VLOOKUP($A100,SatSunCurve,6))*(INDEX(DailyScalarsTable,CM$5/100,MONTH($A100)))*$E100</f>
        <v>-2192.2031391557775</v>
      </c>
      <c r="CN100" s="1021">
        <f>(VLOOKUP(YEAR($A100),'NY East Load Projections'!$A$4:$EO$14,((MONTH($A100)-1)*12)+VLOOKUP(CN$4,$DE$6:$DF$17,2)+1))*(VLOOKUP($A100,SatSunCurve,6))*(INDEX(DailyScalarsTable,CN$5/100,MONTH($A100)))*$E100</f>
        <v>-2178.0054293450362</v>
      </c>
      <c r="CO100" s="1021">
        <f>(VLOOKUP(YEAR($A100),'NY East Load Projections'!$A$4:$EO$14,((MONTH($A100)-1)*12)+VLOOKUP(CO$4,$DE$6:$DF$17,2)+1))*(VLOOKUP($A100,SatSunCurve,6))*(INDEX(DailyScalarsTable,CO$5/100,MONTH($A100)))*$E100</f>
        <v>-2135.9878827429784</v>
      </c>
      <c r="CP100" s="1021">
        <f>(VLOOKUP(YEAR($A100),'NY East Load Projections'!$A$4:$EO$14,((MONTH($A100)-1)*12)+VLOOKUP(CP$4,$DE$6:$DF$17,2)+1))*(VLOOKUP($A100,SatSunCurve,6))*(INDEX(DailyScalarsTable,CP$5/100,MONTH($A100)))*$E100</f>
        <v>-1798.5044833227951</v>
      </c>
      <c r="CQ100" s="1021">
        <f>(VLOOKUP(YEAR($A100),'NY East Load Projections'!$A$4:$EO$14,((MONTH($A100)-1)*12)+VLOOKUP(CQ$4,$DE$6:$DF$17,2)+1))*(VLOOKUP($A100,SatSunCurve,6))*(INDEX(DailyScalarsTable,CQ$5/100,MONTH($A100)))*$E100</f>
        <v>-1746.3745173683146</v>
      </c>
      <c r="CR100" s="1021">
        <f>(VLOOKUP(YEAR($A100),'NY East Load Projections'!$A$4:$EO$14,((MONTH($A100)-1)*12)+VLOOKUP(CR$4,$DE$6:$DF$17,2)+1))*(VLOOKUP($A100,SatSunCurve,6))*(INDEX(DailyScalarsTable,CR$5/100,MONTH($A100)))*$E100</f>
        <v>-1699.4959625357976</v>
      </c>
      <c r="CS100" s="1021">
        <f>(VLOOKUP(YEAR($A100),'NY East Load Projections'!$A$4:$EO$14,((MONTH($A100)-1)*12)+VLOOKUP(CS$4,$DE$6:$DF$17,2)+1))*(VLOOKUP($A100,SatSunCurve,6))*(INDEX(DailyScalarsTable,CS$5/100,MONTH($A100)))*$E100</f>
        <v>-1659.7382008423974</v>
      </c>
      <c r="CT100" s="1021">
        <f>(VLOOKUP(YEAR($A100),'NY East Load Projections'!$A$4:$EO$14,((MONTH($A100)-1)*12)+VLOOKUP(CT$4,$DE$6:$DF$17,2)+1))*(VLOOKUP($A100,SatSunCurve,6))*(INDEX(DailyScalarsTable,CT$5/100,MONTH($A100)))*$E100</f>
        <v>-1632.4418271424511</v>
      </c>
      <c r="CU100" s="1021">
        <f>(VLOOKUP(YEAR($A100),'NY East Load Projections'!$A$4:$EO$14,((MONTH($A100)-1)*12)+VLOOKUP(CU$4,$DE$6:$DF$17,2)+1))*(VLOOKUP($A100,SatSunCurve,6))*(INDEX(DailyScalarsTable,CU$5/100,MONTH($A100)))*$E100</f>
        <v>-1669.5880607067852</v>
      </c>
      <c r="CV100" s="1021">
        <f>(VLOOKUP(YEAR($A100),'NY East Load Projections'!$A$4:$EO$14,((MONTH($A100)-1)*12)+VLOOKUP(CV$4,$DE$6:$DF$17,2)+1))*(VLOOKUP($A100,SatSunCurve,6))*(INDEX(DailyScalarsTable,CV$5/100,MONTH($A100)))*$E100</f>
        <v>-2291.9643905777448</v>
      </c>
      <c r="CW100" s="1021">
        <f>(VLOOKUP(YEAR($A100),'NY East Load Projections'!$A$4:$EO$14,((MONTH($A100)-1)*12)+VLOOKUP(CW$4,$DE$6:$DF$17,2)+1))*(VLOOKUP($A100,SatSunCurve,6))*(INDEX(DailyScalarsTable,CW$5/100,MONTH($A100)))*$E100</f>
        <v>-2310.4191198749772</v>
      </c>
      <c r="CX100" s="1021">
        <f>(VLOOKUP(YEAR($A100),'NY East Load Projections'!$A$4:$EO$14,((MONTH($A100)-1)*12)+VLOOKUP(CX$4,$DE$6:$DF$17,2)+1))*(VLOOKUP($A100,SatSunCurve,6))*(INDEX(DailyScalarsTable,CX$5/100,MONTH($A100)))*$E100</f>
        <v>-2215.8857106177243</v>
      </c>
      <c r="CY100" s="1021">
        <f>(VLOOKUP(YEAR($A100),'NY East Load Projections'!$A$4:$EO$14,((MONTH($A100)-1)*12)+VLOOKUP(CY$4,$DE$6:$DF$17,2)+1))*(VLOOKUP($A100,SatSunCurve,6))*(INDEX(DailyScalarsTable,CY$5/100,MONTH($A100)))*$E100</f>
        <v>-1956.1565166522598</v>
      </c>
      <c r="CZ100" s="1021">
        <f>(VLOOKUP(YEAR($A100),'NY East Load Projections'!$A$4:$EO$14,((MONTH($A100)-1)*12)+VLOOKUP(CZ$4,$DE$6:$DF$17,2)+1))*(VLOOKUP($A100,SatSunCurve,6))*(INDEX(DailyScalarsTable,CZ$5/100,MONTH($A100)))*$E100</f>
        <v>-1556.0866697806846</v>
      </c>
      <c r="DA100" s="1021">
        <f>(VLOOKUP(YEAR($A100),'NY East Load Projections'!$A$4:$EO$14,((MONTH($A100)-1)*12)+VLOOKUP(DA$4,$DE$6:$DF$17,2)+1))*(VLOOKUP($A100,SatSunCurve,6))*(INDEX(DailyScalarsTable,DA$5/100,MONTH($A100)))*$E100</f>
        <v>-1312.3081416240939</v>
      </c>
      <c r="DB100" s="1021">
        <f>(VLOOKUP(YEAR($A100),'NY East Load Projections'!$A$4:$EO$14,((MONTH($A100)-1)*12)+VLOOKUP(DB$4,$DE$6:$DF$17,2)+1))*(VLOOKUP($A100,CURVES!$D$9:$T$261,6))*(INDEX(DailyScalarsTable,DB$5/100,MONTH($A100)))*$E100</f>
        <v>-1814.9113439178225</v>
      </c>
      <c r="DH100" s="1021">
        <f t="shared" si="2"/>
        <v>-1673942.692287148</v>
      </c>
      <c r="DI100">
        <f ca="1">CALC!J120</f>
        <v>0.52766161927294875</v>
      </c>
      <c r="DJ100" s="1029">
        <f t="shared" ca="1" si="3"/>
        <v>-883275.31158235588</v>
      </c>
    </row>
    <row r="101" spans="1:114" x14ac:dyDescent="0.25">
      <c r="A101" s="244">
        <v>39783</v>
      </c>
      <c r="B101" s="13">
        <v>22</v>
      </c>
      <c r="C101" s="210">
        <v>4</v>
      </c>
      <c r="D101" s="210">
        <v>4</v>
      </c>
      <c r="E101" s="210">
        <v>1</v>
      </c>
      <c r="F101" s="13">
        <v>31</v>
      </c>
      <c r="H101" s="1021">
        <f>(VLOOKUP(YEAR($A101),'NY East Load Projections'!$A$4:$EO$14,((MONTH($A101)-1)*12)+VLOOKUP(H$4,$DE$6:$DF$17,2)+1))*(VLOOKUP($A101,CURVES!$D$9:$K$261,6))*(INDEX(DailyScalarsTable,H$5/100,MONTH($A101)))*$B101</f>
        <v>-35244.937054860362</v>
      </c>
      <c r="I101" s="1021">
        <f>(VLOOKUP(YEAR($A101),'NY East Load Projections'!$A$4:$EO$14,((MONTH($A101)-1)*12)+VLOOKUP(I$4,$DE$6:$DF$17,2)+1))*(VLOOKUP($A101,CURVES!$D$9:$K$261,6))*(INDEX(DailyScalarsTable,I$5/100,MONTH($A101)))*$B101</f>
        <v>-33413.489545715929</v>
      </c>
      <c r="J101" s="1021">
        <f>(VLOOKUP(YEAR($A101),'NY East Load Projections'!$A$4:$EO$14,((MONTH($A101)-1)*12)+VLOOKUP(J$4,$DE$6:$DF$17,2)+1))*(VLOOKUP($A101,CURVES!$D$9:$K$261,6))*(INDEX(DailyScalarsTable,J$5/100,MONTH($A101)))*$B101</f>
        <v>-32067.39458557871</v>
      </c>
      <c r="K101" s="1021">
        <f>(VLOOKUP(YEAR($A101),'NY East Load Projections'!$A$4:$EO$14,((MONTH($A101)-1)*12)+VLOOKUP(K$4,$DE$6:$DF$17,2)+1))*(VLOOKUP($A101,CURVES!$D$9:$K$261,6))*(INDEX(DailyScalarsTable,K$5/100,MONTH($A101)))*$B101</f>
        <v>-32086.353669524298</v>
      </c>
      <c r="L101" s="1021">
        <f>(VLOOKUP(YEAR($A101),'NY East Load Projections'!$A$4:$EO$14,((MONTH($A101)-1)*12)+VLOOKUP(L$4,$DE$6:$DF$17,2)+1))*(VLOOKUP($A101,CURVES!$D$9:$K$261,6))*(INDEX(DailyScalarsTable,L$5/100,MONTH($A101)))*$B101</f>
        <v>-37631.730931095233</v>
      </c>
      <c r="M101" s="1021">
        <f>(VLOOKUP(YEAR($A101),'NY East Load Projections'!$A$4:$EO$14,((MONTH($A101)-1)*12)+VLOOKUP(M$4,$DE$6:$DF$17,2)+1))*(VLOOKUP($A101,CURVES!$D$9:$K$261,6))*(INDEX(DailyScalarsTable,M$5/100,MONTH($A101)))*$B101</f>
        <v>-43356.403512891193</v>
      </c>
      <c r="N101" s="1021">
        <f>(VLOOKUP(YEAR($A101),'NY East Load Projections'!$A$4:$EO$14,((MONTH($A101)-1)*12)+VLOOKUP(N$4,$DE$6:$DF$17,2)+1))*(VLOOKUP($A101,CURVES!$D$9:$K$261,6))*(INDEX(DailyScalarsTable,N$5/100,MONTH($A101)))*$B101</f>
        <v>-62103.772170897384</v>
      </c>
      <c r="O101" s="1021">
        <f>(VLOOKUP(YEAR($A101),'NY East Load Projections'!$A$4:$EO$14,((MONTH($A101)-1)*12)+VLOOKUP(O$4,$DE$6:$DF$17,2)+1))*(VLOOKUP($A101,CURVES!$D$9:$K$261,2))*(INDEX(DailyScalarsTable,O$5/100,MONTH($A101)))*$B101</f>
        <v>-66028.938420359424</v>
      </c>
      <c r="P101" s="1021">
        <f>(VLOOKUP(YEAR($A101),'NY East Load Projections'!$A$4:$EO$14,((MONTH($A101)-1)*12)+VLOOKUP(P$4,$DE$6:$DF$17,2)+1))*(VLOOKUP($A101,CURVES!$D$9:$K$261,2))*(INDEX(DailyScalarsTable,P$5/100,MONTH($A101)))*$B101</f>
        <v>-75011.168968340557</v>
      </c>
      <c r="Q101" s="1021">
        <f>(VLOOKUP(YEAR($A101),'NY East Load Projections'!$A$4:$EO$14,((MONTH($A101)-1)*12)+VLOOKUP(Q$4,$DE$6:$DF$17,2)+1))*(VLOOKUP($A101,CURVES!$D$9:$K$261,2))*(INDEX(DailyScalarsTable,Q$5/100,MONTH($A101)))*$B101</f>
        <v>-74630.892377076409</v>
      </c>
      <c r="R101" s="1021">
        <f>(VLOOKUP(YEAR($A101),'NY East Load Projections'!$A$4:$EO$14,((MONTH($A101)-1)*12)+VLOOKUP(R$4,$DE$6:$DF$17,2)+1))*(VLOOKUP($A101,CURVES!$D$9:$K$261,2))*(INDEX(DailyScalarsTable,R$5/100,MONTH($A101)))*$B101</f>
        <v>-73006.660156761776</v>
      </c>
      <c r="S101" s="1021">
        <f>(VLOOKUP(YEAR($A101),'NY East Load Projections'!$A$4:$EO$14,((MONTH($A101)-1)*12)+VLOOKUP(S$4,$DE$6:$DF$17,2)+1))*(VLOOKUP($A101,CURVES!$D$9:$K$261,2))*(INDEX(DailyScalarsTable,S$5/100,MONTH($A101)))*$B101</f>
        <v>-59323.148237206267</v>
      </c>
      <c r="T101" s="1021">
        <f>(VLOOKUP(YEAR($A101),'NY East Load Projections'!$A$4:$EO$14,((MONTH($A101)-1)*12)+VLOOKUP(T$4,$DE$6:$DF$17,2)+1))*(VLOOKUP($A101,CURVES!$D$9:$K$261,2))*(INDEX(DailyScalarsTable,T$5/100,MONTH($A101)))*$B101</f>
        <v>-57012.600554248325</v>
      </c>
      <c r="U101" s="1021">
        <f>(VLOOKUP(YEAR($A101),'NY East Load Projections'!$A$4:$EO$14,((MONTH($A101)-1)*12)+VLOOKUP(U$4,$DE$6:$DF$17,2)+1))*(VLOOKUP($A101,CURVES!$D$9:$K$261,2))*(INDEX(DailyScalarsTable,U$5/100,MONTH($A101)))*$B101</f>
        <v>-54555.891169295566</v>
      </c>
      <c r="V101" s="1021">
        <f>(VLOOKUP(YEAR($A101),'NY East Load Projections'!$A$4:$EO$14,((MONTH($A101)-1)*12)+VLOOKUP(V$4,$DE$6:$DF$17,2)+1))*(VLOOKUP($A101,CURVES!$D$9:$K$261,2))*(INDEX(DailyScalarsTable,V$5/100,MONTH($A101)))*$B101</f>
        <v>-51812.45708158971</v>
      </c>
      <c r="W101" s="1021">
        <f>(VLOOKUP(YEAR($A101),'NY East Load Projections'!$A$4:$EO$14,((MONTH($A101)-1)*12)+VLOOKUP(W$4,$DE$6:$DF$17,2)+1))*(VLOOKUP($A101,CURVES!$D$9:$K$261,2))*(INDEX(DailyScalarsTable,W$5/100,MONTH($A101)))*$B101</f>
        <v>-50913.184150227695</v>
      </c>
      <c r="X101" s="1021">
        <f>(VLOOKUP(YEAR($A101),'NY East Load Projections'!$A$4:$EO$14,((MONTH($A101)-1)*12)+VLOOKUP(X$4,$DE$6:$DF$17,2)+1))*(VLOOKUP($A101,CURVES!$D$9:$K$261,2))*(INDEX(DailyScalarsTable,X$5/100,MONTH($A101)))*$B101</f>
        <v>-55219.857564129117</v>
      </c>
      <c r="Y101" s="1021">
        <f>(VLOOKUP(YEAR($A101),'NY East Load Projections'!$A$4:$EO$14,((MONTH($A101)-1)*12)+VLOOKUP(Y$4,$DE$6:$DF$17,2)+1))*(VLOOKUP($A101,CURVES!$D$9:$K$261,2))*(INDEX(DailyScalarsTable,Y$5/100,MONTH($A101)))*$B101</f>
        <v>-77823.791918099188</v>
      </c>
      <c r="Z101" s="1021">
        <f>(VLOOKUP(YEAR($A101),'NY East Load Projections'!$A$4:$EO$14,((MONTH($A101)-1)*12)+VLOOKUP(Z$4,$DE$6:$DF$17,2)+1))*(VLOOKUP($A101,CURVES!$D$9:$K$261,2))*(INDEX(DailyScalarsTable,Z$5/100,MONTH($A101)))*$B101</f>
        <v>-77305.289454830141</v>
      </c>
      <c r="AA101" s="1021">
        <f>(VLOOKUP(YEAR($A101),'NY East Load Projections'!$A$4:$EO$14,((MONTH($A101)-1)*12)+VLOOKUP(AA$4,$DE$6:$DF$17,2)+1))*(VLOOKUP($A101,CURVES!$D$9:$K$261,2))*(INDEX(DailyScalarsTable,AA$5/100,MONTH($A101)))*$B101</f>
        <v>-74643.254649162875</v>
      </c>
      <c r="AB101" s="1021">
        <f>(VLOOKUP(YEAR($A101),'NY East Load Projections'!$A$4:$EO$14,((MONTH($A101)-1)*12)+VLOOKUP(AB$4,$DE$6:$DF$17,2)+1))*(VLOOKUP($A101,CURVES!$D$9:$K$261,2))*(INDEX(DailyScalarsTable,AB$5/100,MONTH($A101)))*$B101</f>
        <v>-66705.257272050207</v>
      </c>
      <c r="AC101" s="1021">
        <f>(VLOOKUP(YEAR($A101),'NY East Load Projections'!$A$4:$EO$14,((MONTH($A101)-1)*12)+VLOOKUP(AC$4,$DE$6:$DF$17,2)+1))*(VLOOKUP($A101,CURVES!$D$9:$K$261,2))*(INDEX(DailyScalarsTable,AC$5/100,MONTH($A101)))*$B101</f>
        <v>-49174.849453980183</v>
      </c>
      <c r="AD101" s="1021">
        <f>(VLOOKUP(YEAR($A101),'NY East Load Projections'!$A$4:$EO$14,((MONTH($A101)-1)*12)+VLOOKUP(AD$4,$DE$6:$DF$17,2)+1))*(VLOOKUP($A101,CURVES!$D$9:$K$261,2))*(INDEX(DailyScalarsTable,AD$5/100,MONTH($A101)))*$B101</f>
        <v>-40569.972685168621</v>
      </c>
      <c r="AE101" s="1021">
        <f>(VLOOKUP(YEAR($A101),'NY East Load Projections'!$A$4:$EO$14,((MONTH($A101)-1)*12)+VLOOKUP(AE$4,$DE$6:$DF$17,2)+1))*(VLOOKUP($A101,CURVES!$D$9:$K$261,6))*(INDEX(DailyScalarsTable,AE$5/100,MONTH($A101)))*$B101</f>
        <v>-41479.716602475601</v>
      </c>
      <c r="AF101" s="1021"/>
      <c r="AG101" s="1021">
        <f>(VLOOKUP(YEAR($A101),'NY East Load Projections'!$A$4:$EO$14,((MONTH($A101)-1)*12)+VLOOKUP(AG$4,$DE$6:$DF$17,2)+1))*(VLOOKUP($A101,CURVES!$D$9:$T$261,6))*(INDEX(DailyScalarsTable,AG$5/100,MONTH($A101)))*$C101</f>
        <v>-6649.3187433797448</v>
      </c>
      <c r="AH101" s="1021">
        <f>(VLOOKUP(YEAR($A101),'NY East Load Projections'!$A$4:$EO$14,((MONTH($A101)-1)*12)+VLOOKUP(AH$4,$DE$6:$DF$17,2)+1))*(VLOOKUP($A101,CURVES!$D$9:$T$261,6))*(INDEX(DailyScalarsTable,AH$5/100,MONTH($A101)))*$C101</f>
        <v>-6303.7973928630781</v>
      </c>
      <c r="AI101" s="1021">
        <f>(VLOOKUP(YEAR($A101),'NY East Load Projections'!$A$4:$EO$14,((MONTH($A101)-1)*12)+VLOOKUP(AI$4,$DE$6:$DF$17,2)+1))*(VLOOKUP($A101,CURVES!$D$9:$T$261,6))*(INDEX(DailyScalarsTable,AI$5/100,MONTH($A101)))*$C101</f>
        <v>-6049.8427770589024</v>
      </c>
      <c r="AJ101" s="1021">
        <f>(VLOOKUP(YEAR($A101),'NY East Load Projections'!$A$4:$EO$14,((MONTH($A101)-1)*12)+VLOOKUP(AJ$4,$DE$6:$DF$17,2)+1))*(VLOOKUP($A101,CURVES!$D$9:$T$261,6))*(INDEX(DailyScalarsTable,AJ$5/100,MONTH($A101)))*$C101</f>
        <v>-6053.4196026336085</v>
      </c>
      <c r="AK101" s="1021">
        <f>(VLOOKUP(YEAR($A101),'NY East Load Projections'!$A$4:$EO$14,((MONTH($A101)-1)*12)+VLOOKUP(AK$4,$DE$6:$DF$17,2)+1))*(VLOOKUP($A101,CURVES!$D$9:$T$261,6))*(INDEX(DailyScalarsTable,AK$5/100,MONTH($A101)))*$C101</f>
        <v>-6631.5023586552579</v>
      </c>
      <c r="AL101" s="1021">
        <f>(VLOOKUP(YEAR($A101),'NY East Load Projections'!$A$4:$EO$14,((MONTH($A101)-1)*12)+VLOOKUP(AL$4,$DE$6:$DF$17,2)+1))*(VLOOKUP($A101,CURVES!$D$9:$T$261,6))*(INDEX(DailyScalarsTable,AL$5/100,MONTH($A101)))*$C101</f>
        <v>-7640.3100533696106</v>
      </c>
      <c r="AM101" s="1021">
        <f>(VLOOKUP(YEAR($A101),'NY East Load Projections'!$A$4:$EO$14,((MONTH($A101)-1)*12)+VLOOKUP(AM$4,$DE$6:$DF$17,2)+1))*(VLOOKUP($A101,CURVES!$D$9:$T$261,6))*(INDEX(DailyScalarsTable,AM$5/100,MONTH($A101)))*$C101</f>
        <v>-10943.990654769186</v>
      </c>
      <c r="AN101" s="1021">
        <f>(VLOOKUP(YEAR($A101),'NY East Load Projections'!$A$4:$EO$14,((MONTH($A101)-1)*12)+VLOOKUP(AN$4,$DE$6:$DF$17,2)+1))*(VLOOKUP($A101,SatSunCurve,2))*(INDEX(DailyScalarsTable,AN$5/100,MONTH($A101)))*$C101</f>
        <v>-9963.5448630549599</v>
      </c>
      <c r="AO101" s="1021">
        <f>(VLOOKUP(YEAR($A101),'NY East Load Projections'!$A$4:$EO$14,((MONTH($A101)-1)*12)+VLOOKUP(AO$4,$DE$6:$DF$17,2)+1))*(VLOOKUP($A101,SatSunCurve,2))*(INDEX(DailyScalarsTable,AO$5/100,MONTH($A101)))*$C101</f>
        <v>-11382.87556358449</v>
      </c>
      <c r="AP101" s="1021">
        <f>(VLOOKUP(YEAR($A101),'NY East Load Projections'!$A$4:$EO$14,((MONTH($A101)-1)*12)+VLOOKUP(AP$4,$DE$6:$DF$17,2)+1))*(VLOOKUP($A101,SatSunCurve,2))*(INDEX(DailyScalarsTable,AP$5/100,MONTH($A101)))*$C101</f>
        <v>-11325.168942322118</v>
      </c>
      <c r="AQ101" s="1021">
        <f>(VLOOKUP(YEAR($A101),'NY East Load Projections'!$A$4:$EO$14,((MONTH($A101)-1)*12)+VLOOKUP(AQ$4,$DE$6:$DF$17,2)+1))*(VLOOKUP($A101,SatSunCurve,2))*(INDEX(DailyScalarsTable,AQ$5/100,MONTH($A101)))*$C101</f>
        <v>-11078.693204048937</v>
      </c>
      <c r="AR101" s="1021">
        <f>(VLOOKUP(YEAR($A101),'NY East Load Projections'!$A$4:$EO$14,((MONTH($A101)-1)*12)+VLOOKUP(AR$4,$DE$6:$DF$17,2)+1))*(VLOOKUP($A101,SatSunCurve,2))*(INDEX(DailyScalarsTable,AR$5/100,MONTH($A101)))*$C101</f>
        <v>-9002.2329169300265</v>
      </c>
      <c r="AS101" s="1021">
        <f>(VLOOKUP(YEAR($A101),'NY East Load Projections'!$A$4:$EO$14,((MONTH($A101)-1)*12)+VLOOKUP(AS$4,$DE$6:$DF$17,2)+1))*(VLOOKUP($A101,SatSunCurve,2))*(INDEX(DailyScalarsTable,AS$5/100,MONTH($A101)))*$C101</f>
        <v>-8650.4003919952611</v>
      </c>
      <c r="AT101" s="1021">
        <f>(VLOOKUP(YEAR($A101),'NY East Load Projections'!$A$4:$EO$14,((MONTH($A101)-1)*12)+VLOOKUP(AT$4,$DE$6:$DF$17,2)+1))*(VLOOKUP($A101,SatSunCurve,2))*(INDEX(DailyScalarsTable,AT$5/100,MONTH($A101)))*$C101</f>
        <v>-8277.6491121024483</v>
      </c>
      <c r="AU101" s="1021">
        <f>(VLOOKUP(YEAR($A101),'NY East Load Projections'!$A$4:$EO$14,((MONTH($A101)-1)*12)+VLOOKUP(AU$4,$DE$6:$DF$17,2)+1))*(VLOOKUP($A101,SatSunCurve,2))*(INDEX(DailyScalarsTable,AU$5/100,MONTH($A101)))*$C101</f>
        <v>-7861.3937040523851</v>
      </c>
      <c r="AV101" s="1021">
        <f>(VLOOKUP(YEAR($A101),'NY East Load Projections'!$A$4:$EO$14,((MONTH($A101)-1)*12)+VLOOKUP(AV$4,$DE$6:$DF$17,2)+1))*(VLOOKUP($A101,SatSunCurve,2))*(INDEX(DailyScalarsTable,AV$5/100,MONTH($A101)))*$C101</f>
        <v>-7724.9489384682784</v>
      </c>
      <c r="AW101" s="1021">
        <f>(VLOOKUP(YEAR($A101),'NY East Load Projections'!$A$4:$EO$14,((MONTH($A101)-1)*12)+VLOOKUP(AW$4,$DE$6:$DF$17,2)+1))*(VLOOKUP($A101,SatSunCurve,2))*(INDEX(DailyScalarsTable,AW$5/100,MONTH($A101)))*$C101</f>
        <v>-8332.5006103699907</v>
      </c>
      <c r="AX101" s="1021">
        <f>(VLOOKUP(YEAR($A101),'NY East Load Projections'!$A$4:$EO$14,((MONTH($A101)-1)*12)+VLOOKUP(AX$4,$DE$6:$DF$17,2)+1))*(VLOOKUP($A101,SatSunCurve,2))*(INDEX(DailyScalarsTable,AX$5/100,MONTH($A101)))*$C101</f>
        <v>-11743.362302334393</v>
      </c>
      <c r="AY101" s="1021">
        <f>(VLOOKUP(YEAR($A101),'NY East Load Projections'!$A$4:$EO$14,((MONTH($A101)-1)*12)+VLOOKUP(AY$4,$DE$6:$DF$17,2)+1))*(VLOOKUP($A101,SatSunCurve,2))*(INDEX(DailyScalarsTable,AY$5/100,MONTH($A101)))*$C101</f>
        <v>-11665.121932252849</v>
      </c>
      <c r="AZ101" s="1021">
        <f>(VLOOKUP(YEAR($A101),'NY East Load Projections'!$A$4:$EO$14,((MONTH($A101)-1)*12)+VLOOKUP(AZ$4,$DE$6:$DF$17,2)+1))*(VLOOKUP($A101,SatSunCurve,2))*(INDEX(DailyScalarsTable,AZ$5/100,MONTH($A101)))*$C101</f>
        <v>-11263.429359661759</v>
      </c>
      <c r="BA101" s="1021">
        <f>(VLOOKUP(YEAR($A101),'NY East Load Projections'!$A$4:$EO$14,((MONTH($A101)-1)*12)+VLOOKUP(BA$4,$DE$6:$DF$17,2)+1))*(VLOOKUP($A101,SatSunCurve,2))*(INDEX(DailyScalarsTable,BA$5/100,MONTH($A101)))*$C101</f>
        <v>-10556.905856399246</v>
      </c>
      <c r="BB101" s="1021">
        <f>(VLOOKUP(YEAR($A101),'NY East Load Projections'!$A$4:$EO$14,((MONTH($A101)-1)*12)+VLOOKUP(BB$4,$DE$6:$DF$17,2)+1))*(VLOOKUP($A101,SatSunCurve,2))*(INDEX(DailyScalarsTable,BB$5/100,MONTH($A101)))*$C101</f>
        <v>-7782.5088668954768</v>
      </c>
      <c r="BC101" s="1021">
        <f>(VLOOKUP(YEAR($A101),'NY East Load Projections'!$A$4:$EO$14,((MONTH($A101)-1)*12)+VLOOKUP(BC$4,$DE$6:$DF$17,2)+1))*(VLOOKUP($A101,SatSunCurve,2))*(INDEX(DailyScalarsTable,BC$5/100,MONTH($A101)))*$C101</f>
        <v>-6420.6840622361397</v>
      </c>
      <c r="BD101" s="1021">
        <f>(VLOOKUP(YEAR($A101),'NY East Load Projections'!$A$4:$EO$14,((MONTH($A101)-1)*12)+VLOOKUP(BD$4,$DE$6:$DF$17,2)+1))*(VLOOKUP($A101,CURVES!$D$9:$T$261,6))*(INDEX(DailyScalarsTable,BD$5/100,MONTH($A101)))*$C101</f>
        <v>-7666.3833791041261</v>
      </c>
      <c r="BE101" s="1021"/>
      <c r="BF101" s="1021">
        <f>(VLOOKUP(YEAR($A101),'NY East Load Projections'!$A$4:$EO$14,((MONTH($A101)-1)*12)+VLOOKUP(BF$4,$DE$6:$DF$17,2)+1))*(VLOOKUP($A101,CURVES!$D$9:$T$261,6))*(INDEX(DailyScalarsTable,BF$5/100,MONTH($A101)))*$D101</f>
        <v>-6649.3187433797448</v>
      </c>
      <c r="BG101" s="1021">
        <f>(VLOOKUP(YEAR($A101),'NY East Load Projections'!$A$4:$EO$14,((MONTH($A101)-1)*12)+VLOOKUP(BG$4,$DE$6:$DF$17,2)+1))*(VLOOKUP($A101,CURVES!$D$9:$T$261,6))*(INDEX(DailyScalarsTable,BG$5/100,MONTH($A101)))*$D101</f>
        <v>-6303.7973928630781</v>
      </c>
      <c r="BH101" s="1021">
        <f>(VLOOKUP(YEAR($A101),'NY East Load Projections'!$A$4:$EO$14,((MONTH($A101)-1)*12)+VLOOKUP(BH$4,$DE$6:$DF$17,2)+1))*(VLOOKUP($A101,CURVES!$D$9:$T$261,6))*(INDEX(DailyScalarsTable,BH$5/100,MONTH($A101)))*$D101</f>
        <v>-6049.8427770589024</v>
      </c>
      <c r="BI101" s="1021">
        <f>(VLOOKUP(YEAR($A101),'NY East Load Projections'!$A$4:$EO$14,((MONTH($A101)-1)*12)+VLOOKUP(BI$4,$DE$6:$DF$17,2)+1))*(VLOOKUP($A101,CURVES!$D$9:$T$261,6))*(INDEX(DailyScalarsTable,BI$5/100,MONTH($A101)))*$D101</f>
        <v>-6053.4196026336085</v>
      </c>
      <c r="BJ101" s="1021">
        <f>(VLOOKUP(YEAR($A101),'NY East Load Projections'!$A$4:$EO$14,((MONTH($A101)-1)*12)+VLOOKUP(BJ$4,$DE$6:$DF$17,2)+1))*(VLOOKUP($A101,CURVES!$D$9:$T$261,6))*(INDEX(DailyScalarsTable,BJ$5/100,MONTH($A101)))*$D101</f>
        <v>-6631.5023586552579</v>
      </c>
      <c r="BK101" s="1021">
        <f>(VLOOKUP(YEAR($A101),'NY East Load Projections'!$A$4:$EO$14,((MONTH($A101)-1)*12)+VLOOKUP(BK$4,$DE$6:$DF$17,2)+1))*(VLOOKUP($A101,CURVES!$D$9:$T$261,6))*(INDEX(DailyScalarsTable,BK$5/100,MONTH($A101)))*$D101</f>
        <v>-7640.3100533696106</v>
      </c>
      <c r="BL101" s="1021">
        <f>(VLOOKUP(YEAR($A101),'NY East Load Projections'!$A$4:$EO$14,((MONTH($A101)-1)*12)+VLOOKUP(BL$4,$DE$6:$DF$17,2)+1))*(VLOOKUP($A101,CURVES!$D$9:$T$261,6))*(INDEX(DailyScalarsTable,BL$5/100,MONTH($A101)))*$D101</f>
        <v>-10943.990654769186</v>
      </c>
      <c r="BM101" s="1021">
        <f>(VLOOKUP(YEAR($A101),'NY East Load Projections'!$A$4:$EO$14,((MONTH($A101)-1)*12)+VLOOKUP(BM$4,$DE$6:$DF$17,2)+1))*(VLOOKUP($A101,SatSunCurve,6))*(INDEX(DailyScalarsTable,BM$5/100,MONTH($A101)))*$D101</f>
        <v>-7672.5251788051346</v>
      </c>
      <c r="BN101" s="1021">
        <f>(VLOOKUP(YEAR($A101),'NY East Load Projections'!$A$4:$EO$14,((MONTH($A101)-1)*12)+VLOOKUP(BN$4,$DE$6:$DF$17,2)+1))*(VLOOKUP($A101,SatSunCurve,6))*(INDEX(DailyScalarsTable,BN$5/100,MONTH($A101)))*$D101</f>
        <v>-8765.4946677310854</v>
      </c>
      <c r="BO101" s="1021">
        <f>(VLOOKUP(YEAR($A101),'NY East Load Projections'!$A$4:$EO$14,((MONTH($A101)-1)*12)+VLOOKUP(BO$4,$DE$6:$DF$17,2)+1))*(VLOOKUP($A101,SatSunCurve,6))*(INDEX(DailyScalarsTable,BO$5/100,MONTH($A101)))*$D101</f>
        <v>-8721.0571195788125</v>
      </c>
      <c r="BP101" s="1021">
        <f>(VLOOKUP(YEAR($A101),'NY East Load Projections'!$A$4:$EO$14,((MONTH($A101)-1)*12)+VLOOKUP(BP$4,$DE$6:$DF$17,2)+1))*(VLOOKUP($A101,SatSunCurve,6))*(INDEX(DailyScalarsTable,BP$5/100,MONTH($A101)))*$D101</f>
        <v>-8531.2560664538578</v>
      </c>
      <c r="BQ101" s="1021">
        <f>(VLOOKUP(YEAR($A101),'NY East Load Projections'!$A$4:$EO$14,((MONTH($A101)-1)*12)+VLOOKUP(BQ$4,$DE$6:$DF$17,2)+1))*(VLOOKUP($A101,SatSunCurve,6))*(INDEX(DailyScalarsTable,BQ$5/100,MONTH($A101)))*$D101</f>
        <v>-6932.2575117543311</v>
      </c>
      <c r="BR101" s="1021">
        <f>(VLOOKUP(YEAR($A101),'NY East Load Projections'!$A$4:$EO$14,((MONTH($A101)-1)*12)+VLOOKUP(BR$4,$DE$6:$DF$17,2)+1))*(VLOOKUP($A101,SatSunCurve,6))*(INDEX(DailyScalarsTable,BR$5/100,MONTH($A101)))*$D101</f>
        <v>-6661.3254345280639</v>
      </c>
      <c r="BS101" s="1021">
        <f>(VLOOKUP(YEAR($A101),'NY East Load Projections'!$A$4:$EO$14,((MONTH($A101)-1)*12)+VLOOKUP(BS$4,$DE$6:$DF$17,2)+1))*(VLOOKUP($A101,SatSunCurve,6))*(INDEX(DailyScalarsTable,BS$5/100,MONTH($A101)))*$D101</f>
        <v>-6374.2846654325012</v>
      </c>
      <c r="BT101" s="1021">
        <f>(VLOOKUP(YEAR($A101),'NY East Load Projections'!$A$4:$EO$14,((MONTH($A101)-1)*12)+VLOOKUP(BT$4,$DE$6:$DF$17,2)+1))*(VLOOKUP($A101,SatSunCurve,6))*(INDEX(DailyScalarsTable,BT$5/100,MONTH($A101)))*$D101</f>
        <v>-6053.743116919949</v>
      </c>
      <c r="BU101" s="1021">
        <f>(VLOOKUP(YEAR($A101),'NY East Load Projections'!$A$4:$EO$14,((MONTH($A101)-1)*12)+VLOOKUP(BU$4,$DE$6:$DF$17,2)+1))*(VLOOKUP($A101,SatSunCurve,6))*(INDEX(DailyScalarsTable,BU$5/100,MONTH($A101)))*$D101</f>
        <v>-5948.6724905666661</v>
      </c>
      <c r="BV101" s="1021">
        <f>(VLOOKUP(YEAR($A101),'NY East Load Projections'!$A$4:$EO$14,((MONTH($A101)-1)*12)+VLOOKUP(BV$4,$DE$6:$DF$17,2)+1))*(VLOOKUP($A101,SatSunCurve,6))*(INDEX(DailyScalarsTable,BV$5/100,MONTH($A101)))*$D101</f>
        <v>-6416.5235981956203</v>
      </c>
      <c r="BW101" s="1021">
        <f>(VLOOKUP(YEAR($A101),'NY East Load Projections'!$A$4:$EO$14,((MONTH($A101)-1)*12)+VLOOKUP(BW$4,$DE$6:$DF$17,2)+1))*(VLOOKUP($A101,SatSunCurve,6))*(INDEX(DailyScalarsTable,BW$5/100,MONTH($A101)))*$D101</f>
        <v>-9043.0910069556703</v>
      </c>
      <c r="BX101" s="1021">
        <f>(VLOOKUP(YEAR($A101),'NY East Load Projections'!$A$4:$EO$14,((MONTH($A101)-1)*12)+VLOOKUP(BX$4,$DE$6:$DF$17,2)+1))*(VLOOKUP($A101,SatSunCurve,6))*(INDEX(DailyScalarsTable,BX$5/100,MONTH($A101)))*$D101</f>
        <v>-8982.8412446772254</v>
      </c>
      <c r="BY101" s="1021">
        <f>(VLOOKUP(YEAR($A101),'NY East Load Projections'!$A$4:$EO$14,((MONTH($A101)-1)*12)+VLOOKUP(BY$4,$DE$6:$DF$17,2)+1))*(VLOOKUP($A101,SatSunCurve,6))*(INDEX(DailyScalarsTable,BY$5/100,MONTH($A101)))*$D101</f>
        <v>-8673.5139500541773</v>
      </c>
      <c r="BZ101" s="1021">
        <f>(VLOOKUP(YEAR($A101),'NY East Load Projections'!$A$4:$EO$14,((MONTH($A101)-1)*12)+VLOOKUP(BZ$4,$DE$6:$DF$17,2)+1))*(VLOOKUP($A101,SatSunCurve,6))*(INDEX(DailyScalarsTable,BZ$5/100,MONTH($A101)))*$D101</f>
        <v>-8129.4486156068206</v>
      </c>
      <c r="CA101" s="1021">
        <f>(VLOOKUP(YEAR($A101),'NY East Load Projections'!$A$4:$EO$14,((MONTH($A101)-1)*12)+VLOOKUP(CA$4,$DE$6:$DF$17,2)+1))*(VLOOKUP($A101,SatSunCurve,6))*(INDEX(DailyScalarsTable,CA$5/100,MONTH($A101)))*$D101</f>
        <v>-5992.9970764663567</v>
      </c>
      <c r="CB101" s="1021">
        <f>(VLOOKUP(YEAR($A101),'NY East Load Projections'!$A$4:$EO$14,((MONTH($A101)-1)*12)+VLOOKUP(CB$4,$DE$6:$DF$17,2)+1))*(VLOOKUP($A101,SatSunCurve,6))*(INDEX(DailyScalarsTable,CB$5/100,MONTH($A101)))*$D101</f>
        <v>-4944.3105651410633</v>
      </c>
      <c r="CC101" s="1021">
        <f>(VLOOKUP(YEAR($A101),'NY East Load Projections'!$A$4:$EO$14,((MONTH($A101)-1)*12)+VLOOKUP(CC$4,$DE$6:$DF$17,2)+1))*(VLOOKUP($A101,CURVES!$D$9:$T$261,6))*(INDEX(DailyScalarsTable,CC$5/100,MONTH($A101)))*$D101</f>
        <v>-7666.3833791041261</v>
      </c>
      <c r="CE101" s="1021">
        <f>(VLOOKUP(YEAR($A101),'NY East Load Projections'!$A$4:$EO$14,((MONTH($A101)-1)*12)+VLOOKUP(CE$4,$DE$6:$DF$17,2)+1))*(VLOOKUP($A101,CURVES!$D$9:$T$261,6))*(INDEX(DailyScalarsTable,CE$5/100,MONTH($A101)))*$E101</f>
        <v>-1662.3296858449362</v>
      </c>
      <c r="CF101" s="1021">
        <f>(VLOOKUP(YEAR($A101),'NY East Load Projections'!$A$4:$EO$14,((MONTH($A101)-1)*12)+VLOOKUP(CF$4,$DE$6:$DF$17,2)+1))*(VLOOKUP($A101,CURVES!$D$9:$T$261,6))*(INDEX(DailyScalarsTable,CF$5/100,MONTH($A101)))*$E101</f>
        <v>-1575.9493482157695</v>
      </c>
      <c r="CG101" s="1021">
        <f>(VLOOKUP(YEAR($A101),'NY East Load Projections'!$A$4:$EO$14,((MONTH($A101)-1)*12)+VLOOKUP(CG$4,$DE$6:$DF$17,2)+1))*(VLOOKUP($A101,CURVES!$D$9:$T$261,6))*(INDEX(DailyScalarsTable,CG$5/100,MONTH($A101)))*$E101</f>
        <v>-1512.4606942647256</v>
      </c>
      <c r="CH101" s="1021">
        <f>(VLOOKUP(YEAR($A101),'NY East Load Projections'!$A$4:$EO$14,((MONTH($A101)-1)*12)+VLOOKUP(CH$4,$DE$6:$DF$17,2)+1))*(VLOOKUP($A101,CURVES!$D$9:$T$261,6))*(INDEX(DailyScalarsTable,CH$5/100,MONTH($A101)))*$E101</f>
        <v>-1513.3549006584021</v>
      </c>
      <c r="CI101" s="1021">
        <f>(VLOOKUP(YEAR($A101),'NY East Load Projections'!$A$4:$EO$14,((MONTH($A101)-1)*12)+VLOOKUP(CI$4,$DE$6:$DF$17,2)+1))*(VLOOKUP($A101,CURVES!$D$9:$T$261,6))*(INDEX(DailyScalarsTable,CI$5/100,MONTH($A101)))*$E101</f>
        <v>-1657.8755896638145</v>
      </c>
      <c r="CJ101" s="1021">
        <f>(VLOOKUP(YEAR($A101),'NY East Load Projections'!$A$4:$EO$14,((MONTH($A101)-1)*12)+VLOOKUP(CJ$4,$DE$6:$DF$17,2)+1))*(VLOOKUP($A101,CURVES!$D$9:$T$261,6))*(INDEX(DailyScalarsTable,CJ$5/100,MONTH($A101)))*$E101</f>
        <v>-1910.0775133424027</v>
      </c>
      <c r="CK101" s="1021">
        <f>(VLOOKUP(YEAR($A101),'NY East Load Projections'!$A$4:$EO$14,((MONTH($A101)-1)*12)+VLOOKUP(CK$4,$DE$6:$DF$17,2)+1))*(VLOOKUP($A101,CURVES!$D$9:$T$261,6))*(INDEX(DailyScalarsTable,CK$5/100,MONTH($A101)))*$E101</f>
        <v>-2735.9976636922966</v>
      </c>
      <c r="CL101" s="1021">
        <f>(VLOOKUP(YEAR($A101),'NY East Load Projections'!$A$4:$EO$14,((MONTH($A101)-1)*12)+VLOOKUP(CL$4,$DE$6:$DF$17,2)+1))*(VLOOKUP($A101,SatSunCurve,6))*(INDEX(DailyScalarsTable,CL$5/100,MONTH($A101)))*$E101</f>
        <v>-1918.1312947012837</v>
      </c>
      <c r="CM101" s="1021">
        <f>(VLOOKUP(YEAR($A101),'NY East Load Projections'!$A$4:$EO$14,((MONTH($A101)-1)*12)+VLOOKUP(CM$4,$DE$6:$DF$17,2)+1))*(VLOOKUP($A101,SatSunCurve,6))*(INDEX(DailyScalarsTable,CM$5/100,MONTH($A101)))*$E101</f>
        <v>-2191.3736669327714</v>
      </c>
      <c r="CN101" s="1021">
        <f>(VLOOKUP(YEAR($A101),'NY East Load Projections'!$A$4:$EO$14,((MONTH($A101)-1)*12)+VLOOKUP(CN$4,$DE$6:$DF$17,2)+1))*(VLOOKUP($A101,SatSunCurve,6))*(INDEX(DailyScalarsTable,CN$5/100,MONTH($A101)))*$E101</f>
        <v>-2180.2642798947031</v>
      </c>
      <c r="CO101" s="1021">
        <f>(VLOOKUP(YEAR($A101),'NY East Load Projections'!$A$4:$EO$14,((MONTH($A101)-1)*12)+VLOOKUP(CO$4,$DE$6:$DF$17,2)+1))*(VLOOKUP($A101,SatSunCurve,6))*(INDEX(DailyScalarsTable,CO$5/100,MONTH($A101)))*$E101</f>
        <v>-2132.8140166134644</v>
      </c>
      <c r="CP101" s="1021">
        <f>(VLOOKUP(YEAR($A101),'NY East Load Projections'!$A$4:$EO$14,((MONTH($A101)-1)*12)+VLOOKUP(CP$4,$DE$6:$DF$17,2)+1))*(VLOOKUP($A101,SatSunCurve,6))*(INDEX(DailyScalarsTable,CP$5/100,MONTH($A101)))*$E101</f>
        <v>-1733.0643779385828</v>
      </c>
      <c r="CQ101" s="1021">
        <f>(VLOOKUP(YEAR($A101),'NY East Load Projections'!$A$4:$EO$14,((MONTH($A101)-1)*12)+VLOOKUP(CQ$4,$DE$6:$DF$17,2)+1))*(VLOOKUP($A101,SatSunCurve,6))*(INDEX(DailyScalarsTable,CQ$5/100,MONTH($A101)))*$E101</f>
        <v>-1665.331358632016</v>
      </c>
      <c r="CR101" s="1021">
        <f>(VLOOKUP(YEAR($A101),'NY East Load Projections'!$A$4:$EO$14,((MONTH($A101)-1)*12)+VLOOKUP(CR$4,$DE$6:$DF$17,2)+1))*(VLOOKUP($A101,SatSunCurve,6))*(INDEX(DailyScalarsTable,CR$5/100,MONTH($A101)))*$E101</f>
        <v>-1593.5711663581253</v>
      </c>
      <c r="CS101" s="1021">
        <f>(VLOOKUP(YEAR($A101),'NY East Load Projections'!$A$4:$EO$14,((MONTH($A101)-1)*12)+VLOOKUP(CS$4,$DE$6:$DF$17,2)+1))*(VLOOKUP($A101,SatSunCurve,6))*(INDEX(DailyScalarsTable,CS$5/100,MONTH($A101)))*$E101</f>
        <v>-1513.4357792299872</v>
      </c>
      <c r="CT101" s="1021">
        <f>(VLOOKUP(YEAR($A101),'NY East Load Projections'!$A$4:$EO$14,((MONTH($A101)-1)*12)+VLOOKUP(CT$4,$DE$6:$DF$17,2)+1))*(VLOOKUP($A101,SatSunCurve,6))*(INDEX(DailyScalarsTable,CT$5/100,MONTH($A101)))*$E101</f>
        <v>-1487.1681226416665</v>
      </c>
      <c r="CU101" s="1021">
        <f>(VLOOKUP(YEAR($A101),'NY East Load Projections'!$A$4:$EO$14,((MONTH($A101)-1)*12)+VLOOKUP(CU$4,$DE$6:$DF$17,2)+1))*(VLOOKUP($A101,SatSunCurve,6))*(INDEX(DailyScalarsTable,CU$5/100,MONTH($A101)))*$E101</f>
        <v>-1604.1308995489051</v>
      </c>
      <c r="CV101" s="1021">
        <f>(VLOOKUP(YEAR($A101),'NY East Load Projections'!$A$4:$EO$14,((MONTH($A101)-1)*12)+VLOOKUP(CV$4,$DE$6:$DF$17,2)+1))*(VLOOKUP($A101,SatSunCurve,6))*(INDEX(DailyScalarsTable,CV$5/100,MONTH($A101)))*$E101</f>
        <v>-2260.7727517389176</v>
      </c>
      <c r="CW101" s="1021">
        <f>(VLOOKUP(YEAR($A101),'NY East Load Projections'!$A$4:$EO$14,((MONTH($A101)-1)*12)+VLOOKUP(CW$4,$DE$6:$DF$17,2)+1))*(VLOOKUP($A101,SatSunCurve,6))*(INDEX(DailyScalarsTable,CW$5/100,MONTH($A101)))*$E101</f>
        <v>-2245.7103111693064</v>
      </c>
      <c r="CX101" s="1021">
        <f>(VLOOKUP(YEAR($A101),'NY East Load Projections'!$A$4:$EO$14,((MONTH($A101)-1)*12)+VLOOKUP(CX$4,$DE$6:$DF$17,2)+1))*(VLOOKUP($A101,SatSunCurve,6))*(INDEX(DailyScalarsTable,CX$5/100,MONTH($A101)))*$E101</f>
        <v>-2168.3784875135443</v>
      </c>
      <c r="CY101" s="1021">
        <f>(VLOOKUP(YEAR($A101),'NY East Load Projections'!$A$4:$EO$14,((MONTH($A101)-1)*12)+VLOOKUP(CY$4,$DE$6:$DF$17,2)+1))*(VLOOKUP($A101,SatSunCurve,6))*(INDEX(DailyScalarsTable,CY$5/100,MONTH($A101)))*$E101</f>
        <v>-2032.3621539017051</v>
      </c>
      <c r="CZ101" s="1021">
        <f>(VLOOKUP(YEAR($A101),'NY East Load Projections'!$A$4:$EO$14,((MONTH($A101)-1)*12)+VLOOKUP(CZ$4,$DE$6:$DF$17,2)+1))*(VLOOKUP($A101,SatSunCurve,6))*(INDEX(DailyScalarsTable,CZ$5/100,MONTH($A101)))*$E101</f>
        <v>-1498.2492691165892</v>
      </c>
      <c r="DA101" s="1021">
        <f>(VLOOKUP(YEAR($A101),'NY East Load Projections'!$A$4:$EO$14,((MONTH($A101)-1)*12)+VLOOKUP(DA$4,$DE$6:$DF$17,2)+1))*(VLOOKUP($A101,SatSunCurve,6))*(INDEX(DailyScalarsTable,DA$5/100,MONTH($A101)))*$E101</f>
        <v>-1236.0776412852658</v>
      </c>
      <c r="DB101" s="1021">
        <f>(VLOOKUP(YEAR($A101),'NY East Load Projections'!$A$4:$EO$14,((MONTH($A101)-1)*12)+VLOOKUP(DB$4,$DE$6:$DF$17,2)+1))*(VLOOKUP($A101,CURVES!$D$9:$T$261,6))*(INDEX(DailyScalarsTable,DB$5/100,MONTH($A101)))*$E101</f>
        <v>-1916.5958447760315</v>
      </c>
      <c r="DH101" s="1021">
        <f t="shared" si="2"/>
        <v>-1751818.381862483</v>
      </c>
      <c r="DI101">
        <f ca="1">CALC!J121</f>
        <v>0.52435246926669343</v>
      </c>
      <c r="DJ101" s="1029">
        <f t="shared" ca="1" si="3"/>
        <v>-918570.29423637618</v>
      </c>
    </row>
    <row r="102" spans="1:114" x14ac:dyDescent="0.25">
      <c r="A102" s="244">
        <v>39814</v>
      </c>
      <c r="B102" s="13">
        <v>21</v>
      </c>
      <c r="C102" s="210">
        <v>5</v>
      </c>
      <c r="D102" s="210">
        <v>4</v>
      </c>
      <c r="E102" s="210">
        <v>1</v>
      </c>
      <c r="F102" s="13">
        <v>31</v>
      </c>
      <c r="H102" s="1021">
        <f>(VLOOKUP(YEAR($A102),'NY East Load Projections'!$A$4:$EO$14,((MONTH($A102)-1)*12)+VLOOKUP(H$4,$DE$6:$DF$17,2)+1))*(VLOOKUP($A102,CURVES!$D$9:$K$261,6))*(INDEX(DailyScalarsTable,H$5/100,MONTH($A102)))*$B102</f>
        <v>-31331.100307666296</v>
      </c>
      <c r="I102" s="1021">
        <f>(VLOOKUP(YEAR($A102),'NY East Load Projections'!$A$4:$EO$14,((MONTH($A102)-1)*12)+VLOOKUP(I$4,$DE$6:$DF$17,2)+1))*(VLOOKUP($A102,CURVES!$D$9:$K$261,6))*(INDEX(DailyScalarsTable,I$5/100,MONTH($A102)))*$B102</f>
        <v>-30720.683184694786</v>
      </c>
      <c r="J102" s="1021">
        <f>(VLOOKUP(YEAR($A102),'NY East Load Projections'!$A$4:$EO$14,((MONTH($A102)-1)*12)+VLOOKUP(J$4,$DE$6:$DF$17,2)+1))*(VLOOKUP($A102,CURVES!$D$9:$K$261,6))*(INDEX(DailyScalarsTable,J$5/100,MONTH($A102)))*$B102</f>
        <v>-28150.915626338017</v>
      </c>
      <c r="K102" s="1021">
        <f>(VLOOKUP(YEAR($A102),'NY East Load Projections'!$A$4:$EO$14,((MONTH($A102)-1)*12)+VLOOKUP(K$4,$DE$6:$DF$17,2)+1))*(VLOOKUP($A102,CURVES!$D$9:$K$261,6))*(INDEX(DailyScalarsTable,K$5/100,MONTH($A102)))*$B102</f>
        <v>-28133.895146362702</v>
      </c>
      <c r="L102" s="1021">
        <f>(VLOOKUP(YEAR($A102),'NY East Load Projections'!$A$4:$EO$14,((MONTH($A102)-1)*12)+VLOOKUP(L$4,$DE$6:$DF$17,2)+1))*(VLOOKUP($A102,CURVES!$D$9:$K$261,6))*(INDEX(DailyScalarsTable,L$5/100,MONTH($A102)))*$B102</f>
        <v>-31856.178157645474</v>
      </c>
      <c r="M102" s="1021">
        <f>(VLOOKUP(YEAR($A102),'NY East Load Projections'!$A$4:$EO$14,((MONTH($A102)-1)*12)+VLOOKUP(M$4,$DE$6:$DF$17,2)+1))*(VLOOKUP($A102,CURVES!$D$9:$K$261,6))*(INDEX(DailyScalarsTable,M$5/100,MONTH($A102)))*$B102</f>
        <v>-33997.485348631919</v>
      </c>
      <c r="N102" s="1021">
        <f>(VLOOKUP(YEAR($A102),'NY East Load Projections'!$A$4:$EO$14,((MONTH($A102)-1)*12)+VLOOKUP(N$4,$DE$6:$DF$17,2)+1))*(VLOOKUP($A102,CURVES!$D$9:$K$261,6))*(INDEX(DailyScalarsTable,N$5/100,MONTH($A102)))*$B102</f>
        <v>-65104.770481661748</v>
      </c>
      <c r="O102" s="1021">
        <f>(VLOOKUP(YEAR($A102),'NY East Load Projections'!$A$4:$EO$14,((MONTH($A102)-1)*12)+VLOOKUP(O$4,$DE$6:$DF$17,2)+1))*(VLOOKUP($A102,CURVES!$D$9:$K$261,2))*(INDEX(DailyScalarsTable,O$5/100,MONTH($A102)))*$B102</f>
        <v>-75980.416293578353</v>
      </c>
      <c r="P102" s="1021">
        <f>(VLOOKUP(YEAR($A102),'NY East Load Projections'!$A$4:$EO$14,((MONTH($A102)-1)*12)+VLOOKUP(P$4,$DE$6:$DF$17,2)+1))*(VLOOKUP($A102,CURVES!$D$9:$K$261,2))*(INDEX(DailyScalarsTable,P$5/100,MONTH($A102)))*$B102</f>
        <v>-84533.016469811424</v>
      </c>
      <c r="Q102" s="1021">
        <f>(VLOOKUP(YEAR($A102),'NY East Load Projections'!$A$4:$EO$14,((MONTH($A102)-1)*12)+VLOOKUP(Q$4,$DE$6:$DF$17,2)+1))*(VLOOKUP($A102,CURVES!$D$9:$K$261,2))*(INDEX(DailyScalarsTable,Q$5/100,MONTH($A102)))*$B102</f>
        <v>-84275.73192216325</v>
      </c>
      <c r="R102" s="1021">
        <f>(VLOOKUP(YEAR($A102),'NY East Load Projections'!$A$4:$EO$14,((MONTH($A102)-1)*12)+VLOOKUP(R$4,$DE$6:$DF$17,2)+1))*(VLOOKUP($A102,CURVES!$D$9:$K$261,2))*(INDEX(DailyScalarsTable,R$5/100,MONTH($A102)))*$B102</f>
        <v>-82805.009863614032</v>
      </c>
      <c r="S102" s="1021">
        <f>(VLOOKUP(YEAR($A102),'NY East Load Projections'!$A$4:$EO$14,((MONTH($A102)-1)*12)+VLOOKUP(S$4,$DE$6:$DF$17,2)+1))*(VLOOKUP($A102,CURVES!$D$9:$K$261,2))*(INDEX(DailyScalarsTable,S$5/100,MONTH($A102)))*$B102</f>
        <v>-62028.786840465524</v>
      </c>
      <c r="T102" s="1021">
        <f>(VLOOKUP(YEAR($A102),'NY East Load Projections'!$A$4:$EO$14,((MONTH($A102)-1)*12)+VLOOKUP(T$4,$DE$6:$DF$17,2)+1))*(VLOOKUP($A102,CURVES!$D$9:$K$261,2))*(INDEX(DailyScalarsTable,T$5/100,MONTH($A102)))*$B102</f>
        <v>-60968.043638247254</v>
      </c>
      <c r="U102" s="1021">
        <f>(VLOOKUP(YEAR($A102),'NY East Load Projections'!$A$4:$EO$14,((MONTH($A102)-1)*12)+VLOOKUP(U$4,$DE$6:$DF$17,2)+1))*(VLOOKUP($A102,CURVES!$D$9:$K$261,2))*(INDEX(DailyScalarsTable,U$5/100,MONTH($A102)))*$B102</f>
        <v>-58999.491925079703</v>
      </c>
      <c r="V102" s="1021">
        <f>(VLOOKUP(YEAR($A102),'NY East Load Projections'!$A$4:$EO$14,((MONTH($A102)-1)*12)+VLOOKUP(V$4,$DE$6:$DF$17,2)+1))*(VLOOKUP($A102,CURVES!$D$9:$K$261,2))*(INDEX(DailyScalarsTable,V$5/100,MONTH($A102)))*$B102</f>
        <v>-55996.737319124848</v>
      </c>
      <c r="W102" s="1021">
        <f>(VLOOKUP(YEAR($A102),'NY East Load Projections'!$A$4:$EO$14,((MONTH($A102)-1)*12)+VLOOKUP(W$4,$DE$6:$DF$17,2)+1))*(VLOOKUP($A102,CURVES!$D$9:$K$261,2))*(INDEX(DailyScalarsTable,W$5/100,MONTH($A102)))*$B102</f>
        <v>-54869.812787673858</v>
      </c>
      <c r="X102" s="1021">
        <f>(VLOOKUP(YEAR($A102),'NY East Load Projections'!$A$4:$EO$14,((MONTH($A102)-1)*12)+VLOOKUP(X$4,$DE$6:$DF$17,2)+1))*(VLOOKUP($A102,CURVES!$D$9:$K$261,2))*(INDEX(DailyScalarsTable,X$5/100,MONTH($A102)))*$B102</f>
        <v>-57341.696123529822</v>
      </c>
      <c r="Y102" s="1021">
        <f>(VLOOKUP(YEAR($A102),'NY East Load Projections'!$A$4:$EO$14,((MONTH($A102)-1)*12)+VLOOKUP(Y$4,$DE$6:$DF$17,2)+1))*(VLOOKUP($A102,CURVES!$D$9:$K$261,2))*(INDEX(DailyScalarsTable,Y$5/100,MONTH($A102)))*$B102</f>
        <v>-79788.478982100889</v>
      </c>
      <c r="Z102" s="1021">
        <f>(VLOOKUP(YEAR($A102),'NY East Load Projections'!$A$4:$EO$14,((MONTH($A102)-1)*12)+VLOOKUP(Z$4,$DE$6:$DF$17,2)+1))*(VLOOKUP($A102,CURVES!$D$9:$K$261,2))*(INDEX(DailyScalarsTable,Z$5/100,MONTH($A102)))*$B102</f>
        <v>-87549.161561536486</v>
      </c>
      <c r="AA102" s="1021">
        <f>(VLOOKUP(YEAR($A102),'NY East Load Projections'!$A$4:$EO$14,((MONTH($A102)-1)*12)+VLOOKUP(AA$4,$DE$6:$DF$17,2)+1))*(VLOOKUP($A102,CURVES!$D$9:$K$261,2))*(INDEX(DailyScalarsTable,AA$5/100,MONTH($A102)))*$B102</f>
        <v>-83799.739332504876</v>
      </c>
      <c r="AB102" s="1021">
        <f>(VLOOKUP(YEAR($A102),'NY East Load Projections'!$A$4:$EO$14,((MONTH($A102)-1)*12)+VLOOKUP(AB$4,$DE$6:$DF$17,2)+1))*(VLOOKUP($A102,CURVES!$D$9:$K$261,2))*(INDEX(DailyScalarsTable,AB$5/100,MONTH($A102)))*$B102</f>
        <v>-72299.411286008864</v>
      </c>
      <c r="AC102" s="1021">
        <f>(VLOOKUP(YEAR($A102),'NY East Load Projections'!$A$4:$EO$14,((MONTH($A102)-1)*12)+VLOOKUP(AC$4,$DE$6:$DF$17,2)+1))*(VLOOKUP($A102,CURVES!$D$9:$K$261,2))*(INDEX(DailyScalarsTable,AC$5/100,MONTH($A102)))*$B102</f>
        <v>-51421.015830795077</v>
      </c>
      <c r="AD102" s="1021">
        <f>(VLOOKUP(YEAR($A102),'NY East Load Projections'!$A$4:$EO$14,((MONTH($A102)-1)*12)+VLOOKUP(AD$4,$DE$6:$DF$17,2)+1))*(VLOOKUP($A102,CURVES!$D$9:$K$261,2))*(INDEX(DailyScalarsTable,AD$5/100,MONTH($A102)))*$B102</f>
        <v>-42094.501699585751</v>
      </c>
      <c r="AE102" s="1021">
        <f>(VLOOKUP(YEAR($A102),'NY East Load Projections'!$A$4:$EO$14,((MONTH($A102)-1)*12)+VLOOKUP(AE$4,$DE$6:$DF$17,2)+1))*(VLOOKUP($A102,CURVES!$D$9:$K$261,6))*(INDEX(DailyScalarsTable,AE$5/100,MONTH($A102)))*$B102</f>
        <v>-37124.052553037269</v>
      </c>
      <c r="AF102" s="1021"/>
      <c r="AG102" s="1021">
        <f>(VLOOKUP(YEAR($A102),'NY East Load Projections'!$A$4:$EO$14,((MONTH($A102)-1)*12)+VLOOKUP(AG$4,$DE$6:$DF$17,2)+1))*(VLOOKUP($A102,CURVES!$D$9:$T$261,6))*(INDEX(DailyScalarsTable,AG$5/100,MONTH($A102)))*$C102</f>
        <v>-7807.9770037825065</v>
      </c>
      <c r="AH102" s="1021">
        <f>(VLOOKUP(YEAR($A102),'NY East Load Projections'!$A$4:$EO$14,((MONTH($A102)-1)*12)+VLOOKUP(AH$4,$DE$6:$DF$17,2)+1))*(VLOOKUP($A102,CURVES!$D$9:$T$261,6))*(INDEX(DailyScalarsTable,AH$5/100,MONTH($A102)))*$C102</f>
        <v>-7655.8558585921328</v>
      </c>
      <c r="AI102" s="1021">
        <f>(VLOOKUP(YEAR($A102),'NY East Load Projections'!$A$4:$EO$14,((MONTH($A102)-1)*12)+VLOOKUP(AI$4,$DE$6:$DF$17,2)+1))*(VLOOKUP($A102,CURVES!$D$9:$T$261,6))*(INDEX(DailyScalarsTable,AI$5/100,MONTH($A102)))*$C102</f>
        <v>-7015.4478996093967</v>
      </c>
      <c r="AJ102" s="1021">
        <f>(VLOOKUP(YEAR($A102),'NY East Load Projections'!$A$4:$EO$14,((MONTH($A102)-1)*12)+VLOOKUP(AJ$4,$DE$6:$DF$17,2)+1))*(VLOOKUP($A102,CURVES!$D$9:$T$261,6))*(INDEX(DailyScalarsTable,AJ$5/100,MONTH($A102)))*$C102</f>
        <v>-7011.2062510577789</v>
      </c>
      <c r="AK102" s="1021">
        <f>(VLOOKUP(YEAR($A102),'NY East Load Projections'!$A$4:$EO$14,((MONTH($A102)-1)*12)+VLOOKUP(AK$4,$DE$6:$DF$17,2)+1))*(VLOOKUP($A102,CURVES!$D$9:$T$261,6))*(INDEX(DailyScalarsTable,AK$5/100,MONTH($A102)))*$C102</f>
        <v>-7377.3807841047455</v>
      </c>
      <c r="AL102" s="1021">
        <f>(VLOOKUP(YEAR($A102),'NY East Load Projections'!$A$4:$EO$14,((MONTH($A102)-1)*12)+VLOOKUP(AL$4,$DE$6:$DF$17,2)+1))*(VLOOKUP($A102,CURVES!$D$9:$T$261,6))*(INDEX(DailyScalarsTable,AL$5/100,MONTH($A102)))*$C102</f>
        <v>-7873.273243189873</v>
      </c>
      <c r="AM102" s="1021">
        <f>(VLOOKUP(YEAR($A102),'NY East Load Projections'!$A$4:$EO$14,((MONTH($A102)-1)*12)+VLOOKUP(AM$4,$DE$6:$DF$17,2)+1))*(VLOOKUP($A102,CURVES!$D$9:$T$261,6))*(INDEX(DailyScalarsTable,AM$5/100,MONTH($A102)))*$C102</f>
        <v>-15077.222393976623</v>
      </c>
      <c r="AN102" s="1021">
        <f>(VLOOKUP(YEAR($A102),'NY East Load Projections'!$A$4:$EO$14,((MONTH($A102)-1)*12)+VLOOKUP(AN$4,$DE$6:$DF$17,2)+1))*(VLOOKUP($A102,SatSunCurve,2))*(INDEX(DailyScalarsTable,AN$5/100,MONTH($A102)))*$C102</f>
        <v>-14174.50072886447</v>
      </c>
      <c r="AO102" s="1021">
        <f>(VLOOKUP(YEAR($A102),'NY East Load Projections'!$A$4:$EO$14,((MONTH($A102)-1)*12)+VLOOKUP(AO$4,$DE$6:$DF$17,2)+1))*(VLOOKUP($A102,SatSunCurve,2))*(INDEX(DailyScalarsTable,AO$5/100,MONTH($A102)))*$C102</f>
        <v>-15988.859690977815</v>
      </c>
      <c r="AP102" s="1021">
        <f>(VLOOKUP(YEAR($A102),'NY East Load Projections'!$A$4:$EO$14,((MONTH($A102)-1)*12)+VLOOKUP(AP$4,$DE$6:$DF$17,2)+1))*(VLOOKUP($A102,SatSunCurve,2))*(INDEX(DailyScalarsTable,AP$5/100,MONTH($A102)))*$C102</f>
        <v>-15940.196024344405</v>
      </c>
      <c r="AQ102" s="1021">
        <f>(VLOOKUP(YEAR($A102),'NY East Load Projections'!$A$4:$EO$14,((MONTH($A102)-1)*12)+VLOOKUP(AQ$4,$DE$6:$DF$17,2)+1))*(VLOOKUP($A102,SatSunCurve,2))*(INDEX(DailyScalarsTable,AQ$5/100,MONTH($A102)))*$C102</f>
        <v>-15662.01869647196</v>
      </c>
      <c r="AR102" s="1021">
        <f>(VLOOKUP(YEAR($A102),'NY East Load Projections'!$A$4:$EO$14,((MONTH($A102)-1)*12)+VLOOKUP(AR$4,$DE$6:$DF$17,2)+1))*(VLOOKUP($A102,SatSunCurve,2))*(INDEX(DailyScalarsTable,AR$5/100,MONTH($A102)))*$C102</f>
        <v>-11732.333838435268</v>
      </c>
      <c r="AS102" s="1021">
        <f>(VLOOKUP(YEAR($A102),'NY East Load Projections'!$A$4:$EO$14,((MONTH($A102)-1)*12)+VLOOKUP(AS$4,$DE$6:$DF$17,2)+1))*(VLOOKUP($A102,SatSunCurve,2))*(INDEX(DailyScalarsTable,AS$5/100,MONTH($A102)))*$C102</f>
        <v>-11462.521397063298</v>
      </c>
      <c r="AT102" s="1021">
        <f>(VLOOKUP(YEAR($A102),'NY East Load Projections'!$A$4:$EO$14,((MONTH($A102)-1)*12)+VLOOKUP(AT$4,$DE$6:$DF$17,2)+1))*(VLOOKUP($A102,SatSunCurve,2))*(INDEX(DailyScalarsTable,AT$5/100,MONTH($A102)))*$C102</f>
        <v>-11092.41658826715</v>
      </c>
      <c r="AU102" s="1021">
        <f>(VLOOKUP(YEAR($A102),'NY East Load Projections'!$A$4:$EO$14,((MONTH($A102)-1)*12)+VLOOKUP(AU$4,$DE$6:$DF$17,2)+1))*(VLOOKUP($A102,SatSunCurve,2))*(INDEX(DailyScalarsTable,AU$5/100,MONTH($A102)))*$C102</f>
        <v>-10527.872658907809</v>
      </c>
      <c r="AV102" s="1021">
        <f>(VLOOKUP(YEAR($A102),'NY East Load Projections'!$A$4:$EO$14,((MONTH($A102)-1)*12)+VLOOKUP(AV$4,$DE$6:$DF$17,2)+1))*(VLOOKUP($A102,SatSunCurve,2))*(INDEX(DailyScalarsTable,AV$5/100,MONTH($A102)))*$C102</f>
        <v>-10316.001065466535</v>
      </c>
      <c r="AW102" s="1021">
        <f>(VLOOKUP(YEAR($A102),'NY East Load Projections'!$A$4:$EO$14,((MONTH($A102)-1)*12)+VLOOKUP(AW$4,$DE$6:$DF$17,2)+1))*(VLOOKUP($A102,SatSunCurve,2))*(INDEX(DailyScalarsTable,AW$5/100,MONTH($A102)))*$C102</f>
        <v>-10648.036200035776</v>
      </c>
      <c r="AX102" s="1021">
        <f>(VLOOKUP(YEAR($A102),'NY East Load Projections'!$A$4:$EO$14,((MONTH($A102)-1)*12)+VLOOKUP(AX$4,$DE$6:$DF$17,2)+1))*(VLOOKUP($A102,SatSunCurve,2))*(INDEX(DailyScalarsTable,AX$5/100,MONTH($A102)))*$C102</f>
        <v>-14816.279775138699</v>
      </c>
      <c r="AY102" s="1021">
        <f>(VLOOKUP(YEAR($A102),'NY East Load Projections'!$A$4:$EO$14,((MONTH($A102)-1)*12)+VLOOKUP(AY$4,$DE$6:$DF$17,2)+1))*(VLOOKUP($A102,SatSunCurve,2))*(INDEX(DailyScalarsTable,AY$5/100,MONTH($A102)))*$C102</f>
        <v>-16257.395658156813</v>
      </c>
      <c r="AZ102" s="1021">
        <f>(VLOOKUP(YEAR($A102),'NY East Load Projections'!$A$4:$EO$14,((MONTH($A102)-1)*12)+VLOOKUP(AZ$4,$DE$6:$DF$17,2)+1))*(VLOOKUP($A102,SatSunCurve,2))*(INDEX(DailyScalarsTable,AZ$5/100,MONTH($A102)))*$C102</f>
        <v>-15561.148662987016</v>
      </c>
      <c r="BA102" s="1021">
        <f>(VLOOKUP(YEAR($A102),'NY East Load Projections'!$A$4:$EO$14,((MONTH($A102)-1)*12)+VLOOKUP(BA$4,$DE$6:$DF$17,2)+1))*(VLOOKUP($A102,SatSunCurve,2))*(INDEX(DailyScalarsTable,BA$5/100,MONTH($A102)))*$C102</f>
        <v>-14066.75412430588</v>
      </c>
      <c r="BB102" s="1021">
        <f>(VLOOKUP(YEAR($A102),'NY East Load Projections'!$A$4:$EO$14,((MONTH($A102)-1)*12)+VLOOKUP(BB$4,$DE$6:$DF$17,2)+1))*(VLOOKUP($A102,SatSunCurve,2))*(INDEX(DailyScalarsTable,BB$5/100,MONTH($A102)))*$C102</f>
        <v>-10004.601332816252</v>
      </c>
      <c r="BC102" s="1021">
        <f>(VLOOKUP(YEAR($A102),'NY East Load Projections'!$A$4:$EO$14,((MONTH($A102)-1)*12)+VLOOKUP(BC$4,$DE$6:$DF$17,2)+1))*(VLOOKUP($A102,SatSunCurve,2))*(INDEX(DailyScalarsTable,BC$5/100,MONTH($A102)))*$C102</f>
        <v>-8190.0114380023488</v>
      </c>
      <c r="BD102" s="1021">
        <f>(VLOOKUP(YEAR($A102),'NY East Load Projections'!$A$4:$EO$14,((MONTH($A102)-1)*12)+VLOOKUP(BD$4,$DE$6:$DF$17,2)+1))*(VLOOKUP($A102,CURVES!$D$9:$T$261,6))*(INDEX(DailyScalarsTable,BD$5/100,MONTH($A102)))*$C102</f>
        <v>-8966.3758801577733</v>
      </c>
      <c r="BE102" s="1021"/>
      <c r="BF102" s="1021">
        <f>(VLOOKUP(YEAR($A102),'NY East Load Projections'!$A$4:$EO$14,((MONTH($A102)-1)*12)+VLOOKUP(BF$4,$DE$6:$DF$17,2)+1))*(VLOOKUP($A102,CURVES!$D$9:$T$261,6))*(INDEX(DailyScalarsTable,BF$5/100,MONTH($A102)))*$D102</f>
        <v>-6246.381603026005</v>
      </c>
      <c r="BG102" s="1021">
        <f>(VLOOKUP(YEAR($A102),'NY East Load Projections'!$A$4:$EO$14,((MONTH($A102)-1)*12)+VLOOKUP(BG$4,$DE$6:$DF$17,2)+1))*(VLOOKUP($A102,CURVES!$D$9:$T$261,6))*(INDEX(DailyScalarsTable,BG$5/100,MONTH($A102)))*$D102</f>
        <v>-6124.6846868737066</v>
      </c>
      <c r="BH102" s="1021">
        <f>(VLOOKUP(YEAR($A102),'NY East Load Projections'!$A$4:$EO$14,((MONTH($A102)-1)*12)+VLOOKUP(BH$4,$DE$6:$DF$17,2)+1))*(VLOOKUP($A102,CURVES!$D$9:$T$261,6))*(INDEX(DailyScalarsTable,BH$5/100,MONTH($A102)))*$D102</f>
        <v>-5612.358319687517</v>
      </c>
      <c r="BI102" s="1021">
        <f>(VLOOKUP(YEAR($A102),'NY East Load Projections'!$A$4:$EO$14,((MONTH($A102)-1)*12)+VLOOKUP(BI$4,$DE$6:$DF$17,2)+1))*(VLOOKUP($A102,CURVES!$D$9:$T$261,6))*(INDEX(DailyScalarsTable,BI$5/100,MONTH($A102)))*$D102</f>
        <v>-5608.9650008462231</v>
      </c>
      <c r="BJ102" s="1021">
        <f>(VLOOKUP(YEAR($A102),'NY East Load Projections'!$A$4:$EO$14,((MONTH($A102)-1)*12)+VLOOKUP(BJ$4,$DE$6:$DF$17,2)+1))*(VLOOKUP($A102,CURVES!$D$9:$T$261,6))*(INDEX(DailyScalarsTable,BJ$5/100,MONTH($A102)))*$D102</f>
        <v>-5901.9046272837968</v>
      </c>
      <c r="BK102" s="1021">
        <f>(VLOOKUP(YEAR($A102),'NY East Load Projections'!$A$4:$EO$14,((MONTH($A102)-1)*12)+VLOOKUP(BK$4,$DE$6:$DF$17,2)+1))*(VLOOKUP($A102,CURVES!$D$9:$T$261,6))*(INDEX(DailyScalarsTable,BK$5/100,MONTH($A102)))*$D102</f>
        <v>-6298.6185945518982</v>
      </c>
      <c r="BL102" s="1021">
        <f>(VLOOKUP(YEAR($A102),'NY East Load Projections'!$A$4:$EO$14,((MONTH($A102)-1)*12)+VLOOKUP(BL$4,$DE$6:$DF$17,2)+1))*(VLOOKUP($A102,CURVES!$D$9:$T$261,6))*(INDEX(DailyScalarsTable,BL$5/100,MONTH($A102)))*$D102</f>
        <v>-12061.777915181297</v>
      </c>
      <c r="BM102" s="1021">
        <f>(VLOOKUP(YEAR($A102),'NY East Load Projections'!$A$4:$EO$14,((MONTH($A102)-1)*12)+VLOOKUP(BM$4,$DE$6:$DF$17,2)+1))*(VLOOKUP($A102,SatSunCurve,6))*(INDEX(DailyScalarsTable,BM$5/100,MONTH($A102)))*$D102</f>
        <v>-9864.5032060603899</v>
      </c>
      <c r="BN102" s="1021">
        <f>(VLOOKUP(YEAR($A102),'NY East Load Projections'!$A$4:$EO$14,((MONTH($A102)-1)*12)+VLOOKUP(BN$4,$DE$6:$DF$17,2)+1))*(VLOOKUP($A102,SatSunCurve,6))*(INDEX(DailyScalarsTable,BN$5/100,MONTH($A102)))*$D102</f>
        <v>-11127.175531602348</v>
      </c>
      <c r="BO102" s="1021">
        <f>(VLOOKUP(YEAR($A102),'NY East Load Projections'!$A$4:$EO$14,((MONTH($A102)-1)*12)+VLOOKUP(BO$4,$DE$6:$DF$17,2)+1))*(VLOOKUP($A102,SatSunCurve,6))*(INDEX(DailyScalarsTable,BO$5/100,MONTH($A102)))*$D102</f>
        <v>-11093.308878751121</v>
      </c>
      <c r="BP102" s="1021">
        <f>(VLOOKUP(YEAR($A102),'NY East Load Projections'!$A$4:$EO$14,((MONTH($A102)-1)*12)+VLOOKUP(BP$4,$DE$6:$DF$17,2)+1))*(VLOOKUP($A102,SatSunCurve,6))*(INDEX(DailyScalarsTable,BP$5/100,MONTH($A102)))*$D102</f>
        <v>-10899.716088772771</v>
      </c>
      <c r="BQ102" s="1021">
        <f>(VLOOKUP(YEAR($A102),'NY East Load Projections'!$A$4:$EO$14,((MONTH($A102)-1)*12)+VLOOKUP(BQ$4,$DE$6:$DF$17,2)+1))*(VLOOKUP($A102,SatSunCurve,6))*(INDEX(DailyScalarsTable,BQ$5/100,MONTH($A102)))*$D102</f>
        <v>-8164.9186082540073</v>
      </c>
      <c r="BR102" s="1021">
        <f>(VLOOKUP(YEAR($A102),'NY East Load Projections'!$A$4:$EO$14,((MONTH($A102)-1)*12)+VLOOKUP(BR$4,$DE$6:$DF$17,2)+1))*(VLOOKUP($A102,SatSunCurve,6))*(INDEX(DailyScalarsTable,BR$5/100,MONTH($A102)))*$D102</f>
        <v>-7977.147219062932</v>
      </c>
      <c r="BS102" s="1021">
        <f>(VLOOKUP(YEAR($A102),'NY East Load Projections'!$A$4:$EO$14,((MONTH($A102)-1)*12)+VLOOKUP(BS$4,$DE$6:$DF$17,2)+1))*(VLOOKUP($A102,SatSunCurve,6))*(INDEX(DailyScalarsTable,BS$5/100,MONTH($A102)))*$D102</f>
        <v>-7719.5790589715234</v>
      </c>
      <c r="BT102" s="1021">
        <f>(VLOOKUP(YEAR($A102),'NY East Load Projections'!$A$4:$EO$14,((MONTH($A102)-1)*12)+VLOOKUP(BT$4,$DE$6:$DF$17,2)+1))*(VLOOKUP($A102,SatSunCurve,6))*(INDEX(DailyScalarsTable,BT$5/100,MONTH($A102)))*$D102</f>
        <v>-7326.6942930349887</v>
      </c>
      <c r="BU102" s="1021">
        <f>(VLOOKUP(YEAR($A102),'NY East Load Projections'!$A$4:$EO$14,((MONTH($A102)-1)*12)+VLOOKUP(BU$4,$DE$6:$DF$17,2)+1))*(VLOOKUP($A102,SatSunCurve,6))*(INDEX(DailyScalarsTable,BU$5/100,MONTH($A102)))*$D102</f>
        <v>-7179.24585356237</v>
      </c>
      <c r="BV102" s="1021">
        <f>(VLOOKUP(YEAR($A102),'NY East Load Projections'!$A$4:$EO$14,((MONTH($A102)-1)*12)+VLOOKUP(BV$4,$DE$6:$DF$17,2)+1))*(VLOOKUP($A102,SatSunCurve,6))*(INDEX(DailyScalarsTable,BV$5/100,MONTH($A102)))*$D102</f>
        <v>-7410.3200700117104</v>
      </c>
      <c r="BW102" s="1021">
        <f>(VLOOKUP(YEAR($A102),'NY East Load Projections'!$A$4:$EO$14,((MONTH($A102)-1)*12)+VLOOKUP(BW$4,$DE$6:$DF$17,2)+1))*(VLOOKUP($A102,SatSunCurve,6))*(INDEX(DailyScalarsTable,BW$5/100,MONTH($A102)))*$D102</f>
        <v>-10311.138440743654</v>
      </c>
      <c r="BX102" s="1021">
        <f>(VLOOKUP(YEAR($A102),'NY East Load Projections'!$A$4:$EO$14,((MONTH($A102)-1)*12)+VLOOKUP(BX$4,$DE$6:$DF$17,2)+1))*(VLOOKUP($A102,SatSunCurve,6))*(INDEX(DailyScalarsTable,BX$5/100,MONTH($A102)))*$D102</f>
        <v>-11314.058580243734</v>
      </c>
      <c r="BY102" s="1021">
        <f>(VLOOKUP(YEAR($A102),'NY East Load Projections'!$A$4:$EO$14,((MONTH($A102)-1)*12)+VLOOKUP(BY$4,$DE$6:$DF$17,2)+1))*(VLOOKUP($A102,SatSunCurve,6))*(INDEX(DailyScalarsTable,BY$5/100,MONTH($A102)))*$D102</f>
        <v>-10829.517300981859</v>
      </c>
      <c r="BZ102" s="1021">
        <f>(VLOOKUP(YEAR($A102),'NY East Load Projections'!$A$4:$EO$14,((MONTH($A102)-1)*12)+VLOOKUP(BZ$4,$DE$6:$DF$17,2)+1))*(VLOOKUP($A102,SatSunCurve,6))*(INDEX(DailyScalarsTable,BZ$5/100,MONTH($A102)))*$D102</f>
        <v>-9789.5187853431271</v>
      </c>
      <c r="CA102" s="1021">
        <f>(VLOOKUP(YEAR($A102),'NY East Load Projections'!$A$4:$EO$14,((MONTH($A102)-1)*12)+VLOOKUP(CA$4,$DE$6:$DF$17,2)+1))*(VLOOKUP($A102,SatSunCurve,6))*(INDEX(DailyScalarsTable,CA$5/100,MONTH($A102)))*$D102</f>
        <v>-6962.5324948449261</v>
      </c>
      <c r="CB102" s="1021">
        <f>(VLOOKUP(YEAR($A102),'NY East Load Projections'!$A$4:$EO$14,((MONTH($A102)-1)*12)+VLOOKUP(CB$4,$DE$6:$DF$17,2)+1))*(VLOOKUP($A102,SatSunCurve,6))*(INDEX(DailyScalarsTable,CB$5/100,MONTH($A102)))*$D102</f>
        <v>-5699.6994556095106</v>
      </c>
      <c r="CC102" s="1021">
        <f>(VLOOKUP(YEAR($A102),'NY East Load Projections'!$A$4:$EO$14,((MONTH($A102)-1)*12)+VLOOKUP(CC$4,$DE$6:$DF$17,2)+1))*(VLOOKUP($A102,CURVES!$D$9:$T$261,6))*(INDEX(DailyScalarsTable,CC$5/100,MONTH($A102)))*$D102</f>
        <v>-7173.1007041262192</v>
      </c>
      <c r="CE102" s="1021">
        <f>(VLOOKUP(YEAR($A102),'NY East Load Projections'!$A$4:$EO$14,((MONTH($A102)-1)*12)+VLOOKUP(CE$4,$DE$6:$DF$17,2)+1))*(VLOOKUP($A102,CURVES!$D$9:$T$261,6))*(INDEX(DailyScalarsTable,CE$5/100,MONTH($A102)))*$E102</f>
        <v>-1561.5954007565012</v>
      </c>
      <c r="CF102" s="1021">
        <f>(VLOOKUP(YEAR($A102),'NY East Load Projections'!$A$4:$EO$14,((MONTH($A102)-1)*12)+VLOOKUP(CF$4,$DE$6:$DF$17,2)+1))*(VLOOKUP($A102,CURVES!$D$9:$T$261,6))*(INDEX(DailyScalarsTable,CF$5/100,MONTH($A102)))*$E102</f>
        <v>-1531.1711717184266</v>
      </c>
      <c r="CG102" s="1021">
        <f>(VLOOKUP(YEAR($A102),'NY East Load Projections'!$A$4:$EO$14,((MONTH($A102)-1)*12)+VLOOKUP(CG$4,$DE$6:$DF$17,2)+1))*(VLOOKUP($A102,CURVES!$D$9:$T$261,6))*(INDEX(DailyScalarsTable,CG$5/100,MONTH($A102)))*$E102</f>
        <v>-1403.0895799218792</v>
      </c>
      <c r="CH102" s="1021">
        <f>(VLOOKUP(YEAR($A102),'NY East Load Projections'!$A$4:$EO$14,((MONTH($A102)-1)*12)+VLOOKUP(CH$4,$DE$6:$DF$17,2)+1))*(VLOOKUP($A102,CURVES!$D$9:$T$261,6))*(INDEX(DailyScalarsTable,CH$5/100,MONTH($A102)))*$E102</f>
        <v>-1402.2412502115558</v>
      </c>
      <c r="CI102" s="1021">
        <f>(VLOOKUP(YEAR($A102),'NY East Load Projections'!$A$4:$EO$14,((MONTH($A102)-1)*12)+VLOOKUP(CI$4,$DE$6:$DF$17,2)+1))*(VLOOKUP($A102,CURVES!$D$9:$T$261,6))*(INDEX(DailyScalarsTable,CI$5/100,MONTH($A102)))*$E102</f>
        <v>-1475.4761568209492</v>
      </c>
      <c r="CJ102" s="1021">
        <f>(VLOOKUP(YEAR($A102),'NY East Load Projections'!$A$4:$EO$14,((MONTH($A102)-1)*12)+VLOOKUP(CJ$4,$DE$6:$DF$17,2)+1))*(VLOOKUP($A102,CURVES!$D$9:$T$261,6))*(INDEX(DailyScalarsTable,CJ$5/100,MONTH($A102)))*$E102</f>
        <v>-1574.6546486379746</v>
      </c>
      <c r="CK102" s="1021">
        <f>(VLOOKUP(YEAR($A102),'NY East Load Projections'!$A$4:$EO$14,((MONTH($A102)-1)*12)+VLOOKUP(CK$4,$DE$6:$DF$17,2)+1))*(VLOOKUP($A102,CURVES!$D$9:$T$261,6))*(INDEX(DailyScalarsTable,CK$5/100,MONTH($A102)))*$E102</f>
        <v>-3015.4444787953244</v>
      </c>
      <c r="CL102" s="1021">
        <f>(VLOOKUP(YEAR($A102),'NY East Load Projections'!$A$4:$EO$14,((MONTH($A102)-1)*12)+VLOOKUP(CL$4,$DE$6:$DF$17,2)+1))*(VLOOKUP($A102,SatSunCurve,6))*(INDEX(DailyScalarsTable,CL$5/100,MONTH($A102)))*$E102</f>
        <v>-2466.1258015150975</v>
      </c>
      <c r="CM102" s="1021">
        <f>(VLOOKUP(YEAR($A102),'NY East Load Projections'!$A$4:$EO$14,((MONTH($A102)-1)*12)+VLOOKUP(CM$4,$DE$6:$DF$17,2)+1))*(VLOOKUP($A102,SatSunCurve,6))*(INDEX(DailyScalarsTable,CM$5/100,MONTH($A102)))*$E102</f>
        <v>-2781.7938829005871</v>
      </c>
      <c r="CN102" s="1021">
        <f>(VLOOKUP(YEAR($A102),'NY East Load Projections'!$A$4:$EO$14,((MONTH($A102)-1)*12)+VLOOKUP(CN$4,$DE$6:$DF$17,2)+1))*(VLOOKUP($A102,SatSunCurve,6))*(INDEX(DailyScalarsTable,CN$5/100,MONTH($A102)))*$E102</f>
        <v>-2773.3272196877801</v>
      </c>
      <c r="CO102" s="1021">
        <f>(VLOOKUP(YEAR($A102),'NY East Load Projections'!$A$4:$EO$14,((MONTH($A102)-1)*12)+VLOOKUP(CO$4,$DE$6:$DF$17,2)+1))*(VLOOKUP($A102,SatSunCurve,6))*(INDEX(DailyScalarsTable,CO$5/100,MONTH($A102)))*$E102</f>
        <v>-2724.9290221931928</v>
      </c>
      <c r="CP102" s="1021">
        <f>(VLOOKUP(YEAR($A102),'NY East Load Projections'!$A$4:$EO$14,((MONTH($A102)-1)*12)+VLOOKUP(CP$4,$DE$6:$DF$17,2)+1))*(VLOOKUP($A102,SatSunCurve,6))*(INDEX(DailyScalarsTable,CP$5/100,MONTH($A102)))*$E102</f>
        <v>-2041.2296520635018</v>
      </c>
      <c r="CQ102" s="1021">
        <f>(VLOOKUP(YEAR($A102),'NY East Load Projections'!$A$4:$EO$14,((MONTH($A102)-1)*12)+VLOOKUP(CQ$4,$DE$6:$DF$17,2)+1))*(VLOOKUP($A102,SatSunCurve,6))*(INDEX(DailyScalarsTable,CQ$5/100,MONTH($A102)))*$E102</f>
        <v>-1994.286804765733</v>
      </c>
      <c r="CR102" s="1021">
        <f>(VLOOKUP(YEAR($A102),'NY East Load Projections'!$A$4:$EO$14,((MONTH($A102)-1)*12)+VLOOKUP(CR$4,$DE$6:$DF$17,2)+1))*(VLOOKUP($A102,SatSunCurve,6))*(INDEX(DailyScalarsTable,CR$5/100,MONTH($A102)))*$E102</f>
        <v>-1929.8947647428809</v>
      </c>
      <c r="CS102" s="1021">
        <f>(VLOOKUP(YEAR($A102),'NY East Load Projections'!$A$4:$EO$14,((MONTH($A102)-1)*12)+VLOOKUP(CS$4,$DE$6:$DF$17,2)+1))*(VLOOKUP($A102,SatSunCurve,6))*(INDEX(DailyScalarsTable,CS$5/100,MONTH($A102)))*$E102</f>
        <v>-1831.6735732587472</v>
      </c>
      <c r="CT102" s="1021">
        <f>(VLOOKUP(YEAR($A102),'NY East Load Projections'!$A$4:$EO$14,((MONTH($A102)-1)*12)+VLOOKUP(CT$4,$DE$6:$DF$17,2)+1))*(VLOOKUP($A102,SatSunCurve,6))*(INDEX(DailyScalarsTable,CT$5/100,MONTH($A102)))*$E102</f>
        <v>-1794.8114633905925</v>
      </c>
      <c r="CU102" s="1021">
        <f>(VLOOKUP(YEAR($A102),'NY East Load Projections'!$A$4:$EO$14,((MONTH($A102)-1)*12)+VLOOKUP(CU$4,$DE$6:$DF$17,2)+1))*(VLOOKUP($A102,SatSunCurve,6))*(INDEX(DailyScalarsTable,CU$5/100,MONTH($A102)))*$E102</f>
        <v>-1852.5800175029276</v>
      </c>
      <c r="CV102" s="1021">
        <f>(VLOOKUP(YEAR($A102),'NY East Load Projections'!$A$4:$EO$14,((MONTH($A102)-1)*12)+VLOOKUP(CV$4,$DE$6:$DF$17,2)+1))*(VLOOKUP($A102,SatSunCurve,6))*(INDEX(DailyScalarsTable,CV$5/100,MONTH($A102)))*$E102</f>
        <v>-2577.7846101859136</v>
      </c>
      <c r="CW102" s="1021">
        <f>(VLOOKUP(YEAR($A102),'NY East Load Projections'!$A$4:$EO$14,((MONTH($A102)-1)*12)+VLOOKUP(CW$4,$DE$6:$DF$17,2)+1))*(VLOOKUP($A102,SatSunCurve,6))*(INDEX(DailyScalarsTable,CW$5/100,MONTH($A102)))*$E102</f>
        <v>-2828.5146450609336</v>
      </c>
      <c r="CX102" s="1021">
        <f>(VLOOKUP(YEAR($A102),'NY East Load Projections'!$A$4:$EO$14,((MONTH($A102)-1)*12)+VLOOKUP(CX$4,$DE$6:$DF$17,2)+1))*(VLOOKUP($A102,SatSunCurve,6))*(INDEX(DailyScalarsTable,CX$5/100,MONTH($A102)))*$E102</f>
        <v>-2707.3793252454648</v>
      </c>
      <c r="CY102" s="1021">
        <f>(VLOOKUP(YEAR($A102),'NY East Load Projections'!$A$4:$EO$14,((MONTH($A102)-1)*12)+VLOOKUP(CY$4,$DE$6:$DF$17,2)+1))*(VLOOKUP($A102,SatSunCurve,6))*(INDEX(DailyScalarsTable,CY$5/100,MONTH($A102)))*$E102</f>
        <v>-2447.3796963357818</v>
      </c>
      <c r="CZ102" s="1021">
        <f>(VLOOKUP(YEAR($A102),'NY East Load Projections'!$A$4:$EO$14,((MONTH($A102)-1)*12)+VLOOKUP(CZ$4,$DE$6:$DF$17,2)+1))*(VLOOKUP($A102,SatSunCurve,6))*(INDEX(DailyScalarsTable,CZ$5/100,MONTH($A102)))*$E102</f>
        <v>-1740.6331237112315</v>
      </c>
      <c r="DA102" s="1021">
        <f>(VLOOKUP(YEAR($A102),'NY East Load Projections'!$A$4:$EO$14,((MONTH($A102)-1)*12)+VLOOKUP(DA$4,$DE$6:$DF$17,2)+1))*(VLOOKUP($A102,SatSunCurve,6))*(INDEX(DailyScalarsTable,DA$5/100,MONTH($A102)))*$E102</f>
        <v>-1424.9248639023776</v>
      </c>
      <c r="DB102" s="1021">
        <f>(VLOOKUP(YEAR($A102),'NY East Load Projections'!$A$4:$EO$14,((MONTH($A102)-1)*12)+VLOOKUP(DB$4,$DE$6:$DF$17,2)+1))*(VLOOKUP($A102,CURVES!$D$9:$T$261,6))*(INDEX(DailyScalarsTable,DB$5/100,MONTH($A102)))*$E102</f>
        <v>-1793.2751760315548</v>
      </c>
      <c r="DH102" s="1021">
        <f t="shared" si="2"/>
        <v>-1904766.9015233549</v>
      </c>
      <c r="DI102">
        <f ca="1">CALC!J122</f>
        <v>0.52106058799387756</v>
      </c>
      <c r="DJ102" s="1029">
        <f t="shared" ca="1" si="3"/>
        <v>-992498.9616990356</v>
      </c>
    </row>
    <row r="103" spans="1:114" x14ac:dyDescent="0.25">
      <c r="A103" s="244">
        <v>39845</v>
      </c>
      <c r="B103" s="13">
        <v>20</v>
      </c>
      <c r="C103" s="210">
        <v>4</v>
      </c>
      <c r="D103" s="210">
        <v>4</v>
      </c>
      <c r="E103" s="210">
        <v>0</v>
      </c>
      <c r="F103" s="13">
        <v>28</v>
      </c>
      <c r="H103" s="1021">
        <f>(VLOOKUP(YEAR($A103),'NY East Load Projections'!$A$4:$EO$14,((MONTH($A103)-1)*12)+VLOOKUP(H$4,$DE$6:$DF$17,2)+1))*(VLOOKUP($A103,CURVES!$D$9:$K$261,6))*(INDEX(DailyScalarsTable,H$5/100,MONTH($A103)))*$B103</f>
        <v>-28979.946690429271</v>
      </c>
      <c r="I103" s="1021">
        <f>(VLOOKUP(YEAR($A103),'NY East Load Projections'!$A$4:$EO$14,((MONTH($A103)-1)*12)+VLOOKUP(I$4,$DE$6:$DF$17,2)+1))*(VLOOKUP($A103,CURVES!$D$9:$K$261,6))*(INDEX(DailyScalarsTable,I$5/100,MONTH($A103)))*$B103</f>
        <v>-28415.336590275489</v>
      </c>
      <c r="J103" s="1021">
        <f>(VLOOKUP(YEAR($A103),'NY East Load Projections'!$A$4:$EO$14,((MONTH($A103)-1)*12)+VLOOKUP(J$4,$DE$6:$DF$17,2)+1))*(VLOOKUP($A103,CURVES!$D$9:$K$261,6))*(INDEX(DailyScalarsTable,J$5/100,MONTH($A103)))*$B103</f>
        <v>-26038.40995454698</v>
      </c>
      <c r="K103" s="1021">
        <f>(VLOOKUP(YEAR($A103),'NY East Load Projections'!$A$4:$EO$14,((MONTH($A103)-1)*12)+VLOOKUP(K$4,$DE$6:$DF$17,2)+1))*(VLOOKUP($A103,CURVES!$D$9:$K$261,6))*(INDEX(DailyScalarsTable,K$5/100,MONTH($A103)))*$B103</f>
        <v>-26022.666728248299</v>
      </c>
      <c r="L103" s="1021">
        <f>(VLOOKUP(YEAR($A103),'NY East Load Projections'!$A$4:$EO$14,((MONTH($A103)-1)*12)+VLOOKUP(L$4,$DE$6:$DF$17,2)+1))*(VLOOKUP($A103,CURVES!$D$9:$K$261,6))*(INDEX(DailyScalarsTable,L$5/100,MONTH($A103)))*$B103</f>
        <v>-29249.840295172722</v>
      </c>
      <c r="M103" s="1021">
        <f>(VLOOKUP(YEAR($A103),'NY East Load Projections'!$A$4:$EO$14,((MONTH($A103)-1)*12)+VLOOKUP(M$4,$DE$6:$DF$17,2)+1))*(VLOOKUP($A103,CURVES!$D$9:$K$261,6))*(INDEX(DailyScalarsTable,M$5/100,MONTH($A103)))*$B103</f>
        <v>-31215.95478164091</v>
      </c>
      <c r="N103" s="1021">
        <f>(VLOOKUP(YEAR($A103),'NY East Load Projections'!$A$4:$EO$14,((MONTH($A103)-1)*12)+VLOOKUP(N$4,$DE$6:$DF$17,2)+1))*(VLOOKUP($A103,CURVES!$D$9:$K$261,6))*(INDEX(DailyScalarsTable,N$5/100,MONTH($A103)))*$B103</f>
        <v>-59778.173314410873</v>
      </c>
      <c r="O103" s="1021">
        <f>(VLOOKUP(YEAR($A103),'NY East Load Projections'!$A$4:$EO$14,((MONTH($A103)-1)*12)+VLOOKUP(O$4,$DE$6:$DF$17,2)+1))*(VLOOKUP($A103,CURVES!$D$9:$K$261,2))*(INDEX(DailyScalarsTable,O$5/100,MONTH($A103)))*$B103</f>
        <v>-70423.48918200031</v>
      </c>
      <c r="P103" s="1021">
        <f>(VLOOKUP(YEAR($A103),'NY East Load Projections'!$A$4:$EO$14,((MONTH($A103)-1)*12)+VLOOKUP(P$4,$DE$6:$DF$17,2)+1))*(VLOOKUP($A103,CURVES!$D$9:$K$261,2))*(INDEX(DailyScalarsTable,P$5/100,MONTH($A103)))*$B103</f>
        <v>-78265.762469060879</v>
      </c>
      <c r="Q103" s="1021">
        <f>(VLOOKUP(YEAR($A103),'NY East Load Projections'!$A$4:$EO$14,((MONTH($A103)-1)*12)+VLOOKUP(Q$4,$DE$6:$DF$17,2)+1))*(VLOOKUP($A103,CURVES!$D$9:$K$261,2))*(INDEX(DailyScalarsTable,Q$5/100,MONTH($A103)))*$B103</f>
        <v>-78027.552925214972</v>
      </c>
      <c r="R103" s="1021">
        <f>(VLOOKUP(YEAR($A103),'NY East Load Projections'!$A$4:$EO$14,((MONTH($A103)-1)*12)+VLOOKUP(R$4,$DE$6:$DF$17,2)+1))*(VLOOKUP($A103,CURVES!$D$9:$K$261,2))*(INDEX(DailyScalarsTable,R$5/100,MONTH($A103)))*$B103</f>
        <v>-76665.869785307994</v>
      </c>
      <c r="S103" s="1021">
        <f>(VLOOKUP(YEAR($A103),'NY East Load Projections'!$A$4:$EO$14,((MONTH($A103)-1)*12)+VLOOKUP(S$4,$DE$6:$DF$17,2)+1))*(VLOOKUP($A103,CURVES!$D$9:$K$261,2))*(INDEX(DailyScalarsTable,S$5/100,MONTH($A103)))*$B103</f>
        <v>-57429.99007770665</v>
      </c>
      <c r="T103" s="1021">
        <f>(VLOOKUP(YEAR($A103),'NY East Load Projections'!$A$4:$EO$14,((MONTH($A103)-1)*12)+VLOOKUP(T$4,$DE$6:$DF$17,2)+1))*(VLOOKUP($A103,CURVES!$D$9:$K$261,2))*(INDEX(DailyScalarsTable,T$5/100,MONTH($A103)))*$B103</f>
        <v>-56318.371713808345</v>
      </c>
      <c r="U103" s="1021">
        <f>(VLOOKUP(YEAR($A103),'NY East Load Projections'!$A$4:$EO$14,((MONTH($A103)-1)*12)+VLOOKUP(U$4,$DE$6:$DF$17,2)+1))*(VLOOKUP($A103,CURVES!$D$9:$K$261,2))*(INDEX(DailyScalarsTable,U$5/100,MONTH($A103)))*$B103</f>
        <v>-54499.949791369043</v>
      </c>
      <c r="V103" s="1021">
        <f>(VLOOKUP(YEAR($A103),'NY East Load Projections'!$A$4:$EO$14,((MONTH($A103)-1)*12)+VLOOKUP(V$4,$DE$6:$DF$17,2)+1))*(VLOOKUP($A103,CURVES!$D$9:$K$261,2))*(INDEX(DailyScalarsTable,V$5/100,MONTH($A103)))*$B103</f>
        <v>-51726.197511126506</v>
      </c>
      <c r="W103" s="1021">
        <f>(VLOOKUP(YEAR($A103),'NY East Load Projections'!$A$4:$EO$14,((MONTH($A103)-1)*12)+VLOOKUP(W$4,$DE$6:$DF$17,2)+1))*(VLOOKUP($A103,CURVES!$D$9:$K$261,2))*(INDEX(DailyScalarsTable,W$5/100,MONTH($A103)))*$B103</f>
        <v>-50685.216845382267</v>
      </c>
      <c r="X103" s="1021">
        <f>(VLOOKUP(YEAR($A103),'NY East Load Projections'!$A$4:$EO$14,((MONTH($A103)-1)*12)+VLOOKUP(X$4,$DE$6:$DF$17,2)+1))*(VLOOKUP($A103,CURVES!$D$9:$K$261,2))*(INDEX(DailyScalarsTable,X$5/100,MONTH($A103)))*$B103</f>
        <v>-53031.405053441238</v>
      </c>
      <c r="Y103" s="1021">
        <f>(VLOOKUP(YEAR($A103),'NY East Load Projections'!$A$4:$EO$14,((MONTH($A103)-1)*12)+VLOOKUP(Y$4,$DE$6:$DF$17,2)+1))*(VLOOKUP($A103,CURVES!$D$9:$K$261,2))*(INDEX(DailyScalarsTable,Y$5/100,MONTH($A103)))*$B103</f>
        <v>-73790.896215947272</v>
      </c>
      <c r="Z103" s="1021">
        <f>(VLOOKUP(YEAR($A103),'NY East Load Projections'!$A$4:$EO$14,((MONTH($A103)-1)*12)+VLOOKUP(Z$4,$DE$6:$DF$17,2)+1))*(VLOOKUP($A103,CURVES!$D$9:$K$261,2))*(INDEX(DailyScalarsTable,Z$5/100,MONTH($A103)))*$B103</f>
        <v>-80968.219685323216</v>
      </c>
      <c r="AA103" s="1021">
        <f>(VLOOKUP(YEAR($A103),'NY East Load Projections'!$A$4:$EO$14,((MONTH($A103)-1)*12)+VLOOKUP(AA$4,$DE$6:$DF$17,2)+1))*(VLOOKUP($A103,CURVES!$D$9:$K$261,2))*(INDEX(DailyScalarsTable,AA$5/100,MONTH($A103)))*$B103</f>
        <v>-77500.636017832789</v>
      </c>
      <c r="AB103" s="1021">
        <f>(VLOOKUP(YEAR($A103),'NY East Load Projections'!$A$4:$EO$14,((MONTH($A103)-1)*12)+VLOOKUP(AB$4,$DE$6:$DF$17,2)+1))*(VLOOKUP($A103,CURVES!$D$9:$K$261,2))*(INDEX(DailyScalarsTable,AB$5/100,MONTH($A103)))*$B103</f>
        <v>-66895.411803783034</v>
      </c>
      <c r="AC103" s="1021">
        <f>(VLOOKUP(YEAR($A103),'NY East Load Projections'!$A$4:$EO$14,((MONTH($A103)-1)*12)+VLOOKUP(AC$4,$DE$6:$DF$17,2)+1))*(VLOOKUP($A103,CURVES!$D$9:$K$261,2))*(INDEX(DailyScalarsTable,AC$5/100,MONTH($A103)))*$B103</f>
        <v>-47577.56623718937</v>
      </c>
      <c r="AD103" s="1021">
        <f>(VLOOKUP(YEAR($A103),'NY East Load Projections'!$A$4:$EO$14,((MONTH($A103)-1)*12)+VLOOKUP(AD$4,$DE$6:$DF$17,2)+1))*(VLOOKUP($A103,CURVES!$D$9:$K$261,2))*(INDEX(DailyScalarsTable,AD$5/100,MONTH($A103)))*$B103</f>
        <v>-38948.159822896952</v>
      </c>
      <c r="AE103" s="1021">
        <f>(VLOOKUP(YEAR($A103),'NY East Load Projections'!$A$4:$EO$14,((MONTH($A103)-1)*12)+VLOOKUP(AE$4,$DE$6:$DF$17,2)+1))*(VLOOKUP($A103,CURVES!$D$9:$K$261,6))*(INDEX(DailyScalarsTable,AE$5/100,MONTH($A103)))*$B103</f>
        <v>-34027.567726861525</v>
      </c>
      <c r="AF103" s="1021"/>
      <c r="AG103" s="1021">
        <f>(VLOOKUP(YEAR($A103),'NY East Load Projections'!$A$4:$EO$14,((MONTH($A103)-1)*12)+VLOOKUP(AG$4,$DE$6:$DF$17,2)+1))*(VLOOKUP($A103,CURVES!$D$9:$T$261,6))*(INDEX(DailyScalarsTable,AG$5/100,MONTH($A103)))*$C103</f>
        <v>-6110.1345682250185</v>
      </c>
      <c r="AH103" s="1021">
        <f>(VLOOKUP(YEAR($A103),'NY East Load Projections'!$A$4:$EO$14,((MONTH($A103)-1)*12)+VLOOKUP(AH$4,$DE$6:$DF$17,2)+1))*(VLOOKUP($A103,CURVES!$D$9:$T$261,6))*(INDEX(DailyScalarsTable,AH$5/100,MONTH($A103)))*$C103</f>
        <v>-5991.0921238971996</v>
      </c>
      <c r="AI103" s="1021">
        <f>(VLOOKUP(YEAR($A103),'NY East Load Projections'!$A$4:$EO$14,((MONTH($A103)-1)*12)+VLOOKUP(AI$4,$DE$6:$DF$17,2)+1))*(VLOOKUP($A103,CURVES!$D$9:$T$261,6))*(INDEX(DailyScalarsTable,AI$5/100,MONTH($A103)))*$C103</f>
        <v>-5489.9406981115899</v>
      </c>
      <c r="AJ103" s="1021">
        <f>(VLOOKUP(YEAR($A103),'NY East Load Projections'!$A$4:$EO$14,((MONTH($A103)-1)*12)+VLOOKUP(AJ$4,$DE$6:$DF$17,2)+1))*(VLOOKUP($A103,CURVES!$D$9:$T$261,6))*(INDEX(DailyScalarsTable,AJ$5/100,MONTH($A103)))*$C103</f>
        <v>-5486.6213948619843</v>
      </c>
      <c r="AK103" s="1021">
        <f>(VLOOKUP(YEAR($A103),'NY East Load Projections'!$A$4:$EO$14,((MONTH($A103)-1)*12)+VLOOKUP(AK$4,$DE$6:$DF$17,2)+1))*(VLOOKUP($A103,CURVES!$D$9:$T$261,6))*(INDEX(DailyScalarsTable,AK$5/100,MONTH($A103)))*$C103</f>
        <v>-5727.7795846110066</v>
      </c>
      <c r="AL103" s="1021">
        <f>(VLOOKUP(YEAR($A103),'NY East Load Projections'!$A$4:$EO$14,((MONTH($A103)-1)*12)+VLOOKUP(AL$4,$DE$6:$DF$17,2)+1))*(VLOOKUP($A103,CURVES!$D$9:$T$261,6))*(INDEX(DailyScalarsTable,AL$5/100,MONTH($A103)))*$C103</f>
        <v>-6112.7892223716281</v>
      </c>
      <c r="AM103" s="1021">
        <f>(VLOOKUP(YEAR($A103),'NY East Load Projections'!$A$4:$EO$14,((MONTH($A103)-1)*12)+VLOOKUP(AM$4,$DE$6:$DF$17,2)+1))*(VLOOKUP($A103,CURVES!$D$9:$T$261,6))*(INDEX(DailyScalarsTable,AM$5/100,MONTH($A103)))*$C103</f>
        <v>-11705.916930155985</v>
      </c>
      <c r="AN103" s="1021">
        <f>(VLOOKUP(YEAR($A103),'NY East Load Projections'!$A$4:$EO$14,((MONTH($A103)-1)*12)+VLOOKUP(AN$4,$DE$6:$DF$17,2)+1))*(VLOOKUP($A103,SatSunCurve,2))*(INDEX(DailyScalarsTable,AN$5/100,MONTH($A103)))*$C103</f>
        <v>-10722.362903297189</v>
      </c>
      <c r="AO103" s="1021">
        <f>(VLOOKUP(YEAR($A103),'NY East Load Projections'!$A$4:$EO$14,((MONTH($A103)-1)*12)+VLOOKUP(AO$4,$DE$6:$DF$17,2)+1))*(VLOOKUP($A103,SatSunCurve,2))*(INDEX(DailyScalarsTable,AO$5/100,MONTH($A103)))*$C103</f>
        <v>-12055.905069753448</v>
      </c>
      <c r="AP103" s="1021">
        <f>(VLOOKUP(YEAR($A103),'NY East Load Projections'!$A$4:$EO$14,((MONTH($A103)-1)*12)+VLOOKUP(AP$4,$DE$6:$DF$17,2)+1))*(VLOOKUP($A103,SatSunCurve,2))*(INDEX(DailyScalarsTable,AP$5/100,MONTH($A103)))*$C103</f>
        <v>-12019.211737232081</v>
      </c>
      <c r="AQ103" s="1021">
        <f>(VLOOKUP(YEAR($A103),'NY East Load Projections'!$A$4:$EO$14,((MONTH($A103)-1)*12)+VLOOKUP(AQ$4,$DE$6:$DF$17,2)+1))*(VLOOKUP($A103,SatSunCurve,2))*(INDEX(DailyScalarsTable,AQ$5/100,MONTH($A103)))*$C103</f>
        <v>-11809.460727954023</v>
      </c>
      <c r="AR103" s="1021">
        <f>(VLOOKUP(YEAR($A103),'NY East Load Projections'!$A$4:$EO$14,((MONTH($A103)-1)*12)+VLOOKUP(AR$4,$DE$6:$DF$17,2)+1))*(VLOOKUP($A103,SatSunCurve,2))*(INDEX(DailyScalarsTable,AR$5/100,MONTH($A103)))*$C103</f>
        <v>-8846.4034169144379</v>
      </c>
      <c r="AS103" s="1021">
        <f>(VLOOKUP(YEAR($A103),'NY East Load Projections'!$A$4:$EO$14,((MONTH($A103)-1)*12)+VLOOKUP(AS$4,$DE$6:$DF$17,2)+1))*(VLOOKUP($A103,SatSunCurve,2))*(INDEX(DailyScalarsTable,AS$5/100,MONTH($A103)))*$C103</f>
        <v>-8628.3785982828213</v>
      </c>
      <c r="AT103" s="1021">
        <f>(VLOOKUP(YEAR($A103),'NY East Load Projections'!$A$4:$EO$14,((MONTH($A103)-1)*12)+VLOOKUP(AT$4,$DE$6:$DF$17,2)+1))*(VLOOKUP($A103,SatSunCurve,2))*(INDEX(DailyScalarsTable,AT$5/100,MONTH($A103)))*$C103</f>
        <v>-8349.7833136400914</v>
      </c>
      <c r="AU103" s="1021">
        <f>(VLOOKUP(YEAR($A103),'NY East Load Projections'!$A$4:$EO$14,((MONTH($A103)-1)*12)+VLOOKUP(AU$4,$DE$6:$DF$17,2)+1))*(VLOOKUP($A103,SatSunCurve,2))*(INDEX(DailyScalarsTable,AU$5/100,MONTH($A103)))*$C103</f>
        <v>-7924.8245642394049</v>
      </c>
      <c r="AV103" s="1021">
        <f>(VLOOKUP(YEAR($A103),'NY East Load Projections'!$A$4:$EO$14,((MONTH($A103)-1)*12)+VLOOKUP(AV$4,$DE$6:$DF$17,2)+1))*(VLOOKUP($A103,SatSunCurve,2))*(INDEX(DailyScalarsTable,AV$5/100,MONTH($A103)))*$C103</f>
        <v>-7765.3388578134945</v>
      </c>
      <c r="AW103" s="1021">
        <f>(VLOOKUP(YEAR($A103),'NY East Load Projections'!$A$4:$EO$14,((MONTH($A103)-1)*12)+VLOOKUP(AW$4,$DE$6:$DF$17,2)+1))*(VLOOKUP($A103,SatSunCurve,2))*(INDEX(DailyScalarsTable,AW$5/100,MONTH($A103)))*$C103</f>
        <v>-8066.724338117343</v>
      </c>
      <c r="AX103" s="1021">
        <f>(VLOOKUP(YEAR($A103),'NY East Load Projections'!$A$4:$EO$14,((MONTH($A103)-1)*12)+VLOOKUP(AX$4,$DE$6:$DF$17,2)+1))*(VLOOKUP($A103,SatSunCurve,2))*(INDEX(DailyScalarsTable,AX$5/100,MONTH($A103)))*$C103</f>
        <v>-11224.496462743573</v>
      </c>
      <c r="AY103" s="1021">
        <f>(VLOOKUP(YEAR($A103),'NY East Load Projections'!$A$4:$EO$14,((MONTH($A103)-1)*12)+VLOOKUP(AY$4,$DE$6:$DF$17,2)+1))*(VLOOKUP($A103,SatSunCurve,2))*(INDEX(DailyScalarsTable,AY$5/100,MONTH($A103)))*$C103</f>
        <v>-12316.255013259268</v>
      </c>
      <c r="AZ103" s="1021">
        <f>(VLOOKUP(YEAR($A103),'NY East Load Projections'!$A$4:$EO$14,((MONTH($A103)-1)*12)+VLOOKUP(AZ$4,$DE$6:$DF$17,2)+1))*(VLOOKUP($A103,SatSunCurve,2))*(INDEX(DailyScalarsTable,AZ$5/100,MONTH($A103)))*$C103</f>
        <v>-11788.793190650287</v>
      </c>
      <c r="BA103" s="1021">
        <f>(VLOOKUP(YEAR($A103),'NY East Load Projections'!$A$4:$EO$14,((MONTH($A103)-1)*12)+VLOOKUP(BA$4,$DE$6:$DF$17,2)+1))*(VLOOKUP($A103,SatSunCurve,2))*(INDEX(DailyScalarsTable,BA$5/100,MONTH($A103)))*$C103</f>
        <v>-10712.66170858803</v>
      </c>
      <c r="BB103" s="1021">
        <f>(VLOOKUP(YEAR($A103),'NY East Load Projections'!$A$4:$EO$14,((MONTH($A103)-1)*12)+VLOOKUP(BB$4,$DE$6:$DF$17,2)+1))*(VLOOKUP($A103,SatSunCurve,2))*(INDEX(DailyScalarsTable,BB$5/100,MONTH($A103)))*$C103</f>
        <v>-7619.0931227382916</v>
      </c>
      <c r="BC103" s="1021">
        <f>(VLOOKUP(YEAR($A103),'NY East Load Projections'!$A$4:$EO$14,((MONTH($A103)-1)*12)+VLOOKUP(BC$4,$DE$6:$DF$17,2)+1))*(VLOOKUP($A103,SatSunCurve,2))*(INDEX(DailyScalarsTable,BC$5/100,MONTH($A103)))*$C103</f>
        <v>-6237.1760499592219</v>
      </c>
      <c r="BD103" s="1021">
        <f>(VLOOKUP(YEAR($A103),'NY East Load Projections'!$A$4:$EO$14,((MONTH($A103)-1)*12)+VLOOKUP(BD$4,$DE$6:$DF$17,2)+1))*(VLOOKUP($A103,CURVES!$D$9:$T$261,6))*(INDEX(DailyScalarsTable,BD$5/100,MONTH($A103)))*$C103</f>
        <v>-7008.4471199808777</v>
      </c>
      <c r="BE103" s="1021"/>
      <c r="BF103" s="1021">
        <f>(VLOOKUP(YEAR($A103),'NY East Load Projections'!$A$4:$EO$14,((MONTH($A103)-1)*12)+VLOOKUP(BF$4,$DE$6:$DF$17,2)+1))*(VLOOKUP($A103,CURVES!$D$9:$T$261,6))*(INDEX(DailyScalarsTable,BF$5/100,MONTH($A103)))*$D103</f>
        <v>-6110.1345682250185</v>
      </c>
      <c r="BG103" s="1021">
        <f>(VLOOKUP(YEAR($A103),'NY East Load Projections'!$A$4:$EO$14,((MONTH($A103)-1)*12)+VLOOKUP(BG$4,$DE$6:$DF$17,2)+1))*(VLOOKUP($A103,CURVES!$D$9:$T$261,6))*(INDEX(DailyScalarsTable,BG$5/100,MONTH($A103)))*$D103</f>
        <v>-5991.0921238971996</v>
      </c>
      <c r="BH103" s="1021">
        <f>(VLOOKUP(YEAR($A103),'NY East Load Projections'!$A$4:$EO$14,((MONTH($A103)-1)*12)+VLOOKUP(BH$4,$DE$6:$DF$17,2)+1))*(VLOOKUP($A103,CURVES!$D$9:$T$261,6))*(INDEX(DailyScalarsTable,BH$5/100,MONTH($A103)))*$D103</f>
        <v>-5489.9406981115899</v>
      </c>
      <c r="BI103" s="1021">
        <f>(VLOOKUP(YEAR($A103),'NY East Load Projections'!$A$4:$EO$14,((MONTH($A103)-1)*12)+VLOOKUP(BI$4,$DE$6:$DF$17,2)+1))*(VLOOKUP($A103,CURVES!$D$9:$T$261,6))*(INDEX(DailyScalarsTable,BI$5/100,MONTH($A103)))*$D103</f>
        <v>-5486.6213948619843</v>
      </c>
      <c r="BJ103" s="1021">
        <f>(VLOOKUP(YEAR($A103),'NY East Load Projections'!$A$4:$EO$14,((MONTH($A103)-1)*12)+VLOOKUP(BJ$4,$DE$6:$DF$17,2)+1))*(VLOOKUP($A103,CURVES!$D$9:$T$261,6))*(INDEX(DailyScalarsTable,BJ$5/100,MONTH($A103)))*$D103</f>
        <v>-5727.7795846110066</v>
      </c>
      <c r="BK103" s="1021">
        <f>(VLOOKUP(YEAR($A103),'NY East Load Projections'!$A$4:$EO$14,((MONTH($A103)-1)*12)+VLOOKUP(BK$4,$DE$6:$DF$17,2)+1))*(VLOOKUP($A103,CURVES!$D$9:$T$261,6))*(INDEX(DailyScalarsTable,BK$5/100,MONTH($A103)))*$D103</f>
        <v>-6112.7892223716281</v>
      </c>
      <c r="BL103" s="1021">
        <f>(VLOOKUP(YEAR($A103),'NY East Load Projections'!$A$4:$EO$14,((MONTH($A103)-1)*12)+VLOOKUP(BL$4,$DE$6:$DF$17,2)+1))*(VLOOKUP($A103,CURVES!$D$9:$T$261,6))*(INDEX(DailyScalarsTable,BL$5/100,MONTH($A103)))*$D103</f>
        <v>-11705.916930155985</v>
      </c>
      <c r="BM103" s="1021">
        <f>(VLOOKUP(YEAR($A103),'NY East Load Projections'!$A$4:$EO$14,((MONTH($A103)-1)*12)+VLOOKUP(BM$4,$DE$6:$DF$17,2)+1))*(VLOOKUP($A103,SatSunCurve,6))*(INDEX(DailyScalarsTable,BM$5/100,MONTH($A103)))*$D103</f>
        <v>-8890.5392609000774</v>
      </c>
      <c r="BN103" s="1021">
        <f>(VLOOKUP(YEAR($A103),'NY East Load Projections'!$A$4:$EO$14,((MONTH($A103)-1)*12)+VLOOKUP(BN$4,$DE$6:$DF$17,2)+1))*(VLOOKUP($A103,SatSunCurve,6))*(INDEX(DailyScalarsTable,BN$5/100,MONTH($A103)))*$D103</f>
        <v>-9996.2571976898635</v>
      </c>
      <c r="BO103" s="1021">
        <f>(VLOOKUP(YEAR($A103),'NY East Load Projections'!$A$4:$EO$14,((MONTH($A103)-1)*12)+VLOOKUP(BO$4,$DE$6:$DF$17,2)+1))*(VLOOKUP($A103,SatSunCurve,6))*(INDEX(DailyScalarsTable,BO$5/100,MONTH($A103)))*$D103</f>
        <v>-9965.8326059896372</v>
      </c>
      <c r="BP103" s="1021">
        <f>(VLOOKUP(YEAR($A103),'NY East Load Projections'!$A$4:$EO$14,((MONTH($A103)-1)*12)+VLOOKUP(BP$4,$DE$6:$DF$17,2)+1))*(VLOOKUP($A103,SatSunCurve,6))*(INDEX(DailyScalarsTable,BP$5/100,MONTH($A103)))*$D103</f>
        <v>-9791.9157557749731</v>
      </c>
      <c r="BQ103" s="1021">
        <f>(VLOOKUP(YEAR($A103),'NY East Load Projections'!$A$4:$EO$14,((MONTH($A103)-1)*12)+VLOOKUP(BQ$4,$DE$6:$DF$17,2)+1))*(VLOOKUP($A103,SatSunCurve,6))*(INDEX(DailyScalarsTable,BQ$5/100,MONTH($A103)))*$D103</f>
        <v>-7335.0713462284775</v>
      </c>
      <c r="BR103" s="1021">
        <f>(VLOOKUP(YEAR($A103),'NY East Load Projections'!$A$4:$EO$14,((MONTH($A103)-1)*12)+VLOOKUP(BR$4,$DE$6:$DF$17,2)+1))*(VLOOKUP($A103,SatSunCurve,6))*(INDEX(DailyScalarsTable,BR$5/100,MONTH($A103)))*$D103</f>
        <v>-7154.2941959513728</v>
      </c>
      <c r="BS103" s="1021">
        <f>(VLOOKUP(YEAR($A103),'NY East Load Projections'!$A$4:$EO$14,((MONTH($A103)-1)*12)+VLOOKUP(BS$4,$DE$6:$DF$17,2)+1))*(VLOOKUP($A103,SatSunCurve,6))*(INDEX(DailyScalarsTable,BS$5/100,MONTH($A103)))*$D103</f>
        <v>-6923.294523737688</v>
      </c>
      <c r="BT103" s="1021">
        <f>(VLOOKUP(YEAR($A103),'NY East Load Projections'!$A$4:$EO$14,((MONTH($A103)-1)*12)+VLOOKUP(BT$4,$DE$6:$DF$17,2)+1))*(VLOOKUP($A103,SatSunCurve,6))*(INDEX(DailyScalarsTable,BT$5/100,MONTH($A103)))*$D103</f>
        <v>-6570.9363280784082</v>
      </c>
      <c r="BU103" s="1021">
        <f>(VLOOKUP(YEAR($A103),'NY East Load Projections'!$A$4:$EO$14,((MONTH($A103)-1)*12)+VLOOKUP(BU$4,$DE$6:$DF$17,2)+1))*(VLOOKUP($A103,SatSunCurve,6))*(INDEX(DailyScalarsTable,BU$5/100,MONTH($A103)))*$D103</f>
        <v>-6438.6973852894143</v>
      </c>
      <c r="BV103" s="1021">
        <f>(VLOOKUP(YEAR($A103),'NY East Load Projections'!$A$4:$EO$14,((MONTH($A103)-1)*12)+VLOOKUP(BV$4,$DE$6:$DF$17,2)+1))*(VLOOKUP($A103,SatSunCurve,6))*(INDEX(DailyScalarsTable,BV$5/100,MONTH($A103)))*$D103</f>
        <v>-6688.5937439066583</v>
      </c>
      <c r="BW103" s="1021">
        <f>(VLOOKUP(YEAR($A103),'NY East Load Projections'!$A$4:$EO$14,((MONTH($A103)-1)*12)+VLOOKUP(BW$4,$DE$6:$DF$17,2)+1))*(VLOOKUP($A103,SatSunCurve,6))*(INDEX(DailyScalarsTable,BW$5/100,MONTH($A103)))*$D103</f>
        <v>-9306.8876129131186</v>
      </c>
      <c r="BX103" s="1021">
        <f>(VLOOKUP(YEAR($A103),'NY East Load Projections'!$A$4:$EO$14,((MONTH($A103)-1)*12)+VLOOKUP(BX$4,$DE$6:$DF$17,2)+1))*(VLOOKUP($A103,SatSunCurve,6))*(INDEX(DailyScalarsTable,BX$5/100,MONTH($A103)))*$D103</f>
        <v>-10212.128588649763</v>
      </c>
      <c r="BY103" s="1021">
        <f>(VLOOKUP(YEAR($A103),'NY East Load Projections'!$A$4:$EO$14,((MONTH($A103)-1)*12)+VLOOKUP(BY$4,$DE$6:$DF$17,2)+1))*(VLOOKUP($A103,SatSunCurve,6))*(INDEX(DailyScalarsTable,BY$5/100,MONTH($A103)))*$D103</f>
        <v>-9774.7790897730702</v>
      </c>
      <c r="BZ103" s="1021">
        <f>(VLOOKUP(YEAR($A103),'NY East Load Projections'!$A$4:$EO$14,((MONTH($A103)-1)*12)+VLOOKUP(BZ$4,$DE$6:$DF$17,2)+1))*(VLOOKUP($A103,SatSunCurve,6))*(INDEX(DailyScalarsTable,BZ$5/100,MONTH($A103)))*$D103</f>
        <v>-8882.4954320148499</v>
      </c>
      <c r="CA103" s="1021">
        <f>(VLOOKUP(YEAR($A103),'NY East Load Projections'!$A$4:$EO$14,((MONTH($A103)-1)*12)+VLOOKUP(CA$4,$DE$6:$DF$17,2)+1))*(VLOOKUP($A103,SatSunCurve,6))*(INDEX(DailyScalarsTable,CA$5/100,MONTH($A103)))*$D103</f>
        <v>-6317.436478421072</v>
      </c>
      <c r="CB103" s="1021">
        <f>(VLOOKUP(YEAR($A103),'NY East Load Projections'!$A$4:$EO$14,((MONTH($A103)-1)*12)+VLOOKUP(CB$4,$DE$6:$DF$17,2)+1))*(VLOOKUP($A103,SatSunCurve,6))*(INDEX(DailyScalarsTable,CB$5/100,MONTH($A103)))*$D103</f>
        <v>-5171.6080727184062</v>
      </c>
      <c r="CC103" s="1021">
        <f>(VLOOKUP(YEAR($A103),'NY East Load Projections'!$A$4:$EO$14,((MONTH($A103)-1)*12)+VLOOKUP(CC$4,$DE$6:$DF$17,2)+1))*(VLOOKUP($A103,CURVES!$D$9:$T$261,6))*(INDEX(DailyScalarsTable,CC$5/100,MONTH($A103)))*$D103</f>
        <v>-7008.4471199808777</v>
      </c>
      <c r="CE103" s="1021">
        <f>(VLOOKUP(YEAR($A103),'NY East Load Projections'!$A$4:$EO$14,((MONTH($A103)-1)*12)+VLOOKUP(CE$4,$DE$6:$DF$17,2)+1))*(VLOOKUP($A103,CURVES!$D$9:$T$261,6))*(INDEX(DailyScalarsTable,CE$5/100,MONTH($A103)))*$E103</f>
        <v>0</v>
      </c>
      <c r="CF103" s="1021">
        <f>(VLOOKUP(YEAR($A103),'NY East Load Projections'!$A$4:$EO$14,((MONTH($A103)-1)*12)+VLOOKUP(CF$4,$DE$6:$DF$17,2)+1))*(VLOOKUP($A103,CURVES!$D$9:$T$261,6))*(INDEX(DailyScalarsTable,CF$5/100,MONTH($A103)))*$E103</f>
        <v>0</v>
      </c>
      <c r="CG103" s="1021">
        <f>(VLOOKUP(YEAR($A103),'NY East Load Projections'!$A$4:$EO$14,((MONTH($A103)-1)*12)+VLOOKUP(CG$4,$DE$6:$DF$17,2)+1))*(VLOOKUP($A103,CURVES!$D$9:$T$261,6))*(INDEX(DailyScalarsTable,CG$5/100,MONTH($A103)))*$E103</f>
        <v>0</v>
      </c>
      <c r="CH103" s="1021">
        <f>(VLOOKUP(YEAR($A103),'NY East Load Projections'!$A$4:$EO$14,((MONTH($A103)-1)*12)+VLOOKUP(CH$4,$DE$6:$DF$17,2)+1))*(VLOOKUP($A103,CURVES!$D$9:$T$261,6))*(INDEX(DailyScalarsTable,CH$5/100,MONTH($A103)))*$E103</f>
        <v>0</v>
      </c>
      <c r="CI103" s="1021">
        <f>(VLOOKUP(YEAR($A103),'NY East Load Projections'!$A$4:$EO$14,((MONTH($A103)-1)*12)+VLOOKUP(CI$4,$DE$6:$DF$17,2)+1))*(VLOOKUP($A103,CURVES!$D$9:$T$261,6))*(INDEX(DailyScalarsTable,CI$5/100,MONTH($A103)))*$E103</f>
        <v>0</v>
      </c>
      <c r="CJ103" s="1021">
        <f>(VLOOKUP(YEAR($A103),'NY East Load Projections'!$A$4:$EO$14,((MONTH($A103)-1)*12)+VLOOKUP(CJ$4,$DE$6:$DF$17,2)+1))*(VLOOKUP($A103,CURVES!$D$9:$T$261,6))*(INDEX(DailyScalarsTable,CJ$5/100,MONTH($A103)))*$E103</f>
        <v>0</v>
      </c>
      <c r="CK103" s="1021">
        <f>(VLOOKUP(YEAR($A103),'NY East Load Projections'!$A$4:$EO$14,((MONTH($A103)-1)*12)+VLOOKUP(CK$4,$DE$6:$DF$17,2)+1))*(VLOOKUP($A103,CURVES!$D$9:$T$261,6))*(INDEX(DailyScalarsTable,CK$5/100,MONTH($A103)))*$E103</f>
        <v>0</v>
      </c>
      <c r="CL103" s="1021">
        <f>(VLOOKUP(YEAR($A103),'NY East Load Projections'!$A$4:$EO$14,((MONTH($A103)-1)*12)+VLOOKUP(CL$4,$DE$6:$DF$17,2)+1))*(VLOOKUP($A103,SatSunCurve,6))*(INDEX(DailyScalarsTable,CL$5/100,MONTH($A103)))*$E103</f>
        <v>0</v>
      </c>
      <c r="CM103" s="1021">
        <f>(VLOOKUP(YEAR($A103),'NY East Load Projections'!$A$4:$EO$14,((MONTH($A103)-1)*12)+VLOOKUP(CM$4,$DE$6:$DF$17,2)+1))*(VLOOKUP($A103,SatSunCurve,6))*(INDEX(DailyScalarsTable,CM$5/100,MONTH($A103)))*$E103</f>
        <v>0</v>
      </c>
      <c r="CN103" s="1021">
        <f>(VLOOKUP(YEAR($A103),'NY East Load Projections'!$A$4:$EO$14,((MONTH($A103)-1)*12)+VLOOKUP(CN$4,$DE$6:$DF$17,2)+1))*(VLOOKUP($A103,SatSunCurve,6))*(INDEX(DailyScalarsTable,CN$5/100,MONTH($A103)))*$E103</f>
        <v>0</v>
      </c>
      <c r="CO103" s="1021">
        <f>(VLOOKUP(YEAR($A103),'NY East Load Projections'!$A$4:$EO$14,((MONTH($A103)-1)*12)+VLOOKUP(CO$4,$DE$6:$DF$17,2)+1))*(VLOOKUP($A103,SatSunCurve,6))*(INDEX(DailyScalarsTable,CO$5/100,MONTH($A103)))*$E103</f>
        <v>0</v>
      </c>
      <c r="CP103" s="1021">
        <f>(VLOOKUP(YEAR($A103),'NY East Load Projections'!$A$4:$EO$14,((MONTH($A103)-1)*12)+VLOOKUP(CP$4,$DE$6:$DF$17,2)+1))*(VLOOKUP($A103,SatSunCurve,6))*(INDEX(DailyScalarsTable,CP$5/100,MONTH($A103)))*$E103</f>
        <v>0</v>
      </c>
      <c r="CQ103" s="1021">
        <f>(VLOOKUP(YEAR($A103),'NY East Load Projections'!$A$4:$EO$14,((MONTH($A103)-1)*12)+VLOOKUP(CQ$4,$DE$6:$DF$17,2)+1))*(VLOOKUP($A103,SatSunCurve,6))*(INDEX(DailyScalarsTable,CQ$5/100,MONTH($A103)))*$E103</f>
        <v>0</v>
      </c>
      <c r="CR103" s="1021">
        <f>(VLOOKUP(YEAR($A103),'NY East Load Projections'!$A$4:$EO$14,((MONTH($A103)-1)*12)+VLOOKUP(CR$4,$DE$6:$DF$17,2)+1))*(VLOOKUP($A103,SatSunCurve,6))*(INDEX(DailyScalarsTable,CR$5/100,MONTH($A103)))*$E103</f>
        <v>0</v>
      </c>
      <c r="CS103" s="1021">
        <f>(VLOOKUP(YEAR($A103),'NY East Load Projections'!$A$4:$EO$14,((MONTH($A103)-1)*12)+VLOOKUP(CS$4,$DE$6:$DF$17,2)+1))*(VLOOKUP($A103,SatSunCurve,6))*(INDEX(DailyScalarsTable,CS$5/100,MONTH($A103)))*$E103</f>
        <v>0</v>
      </c>
      <c r="CT103" s="1021">
        <f>(VLOOKUP(YEAR($A103),'NY East Load Projections'!$A$4:$EO$14,((MONTH($A103)-1)*12)+VLOOKUP(CT$4,$DE$6:$DF$17,2)+1))*(VLOOKUP($A103,SatSunCurve,6))*(INDEX(DailyScalarsTable,CT$5/100,MONTH($A103)))*$E103</f>
        <v>0</v>
      </c>
      <c r="CU103" s="1021">
        <f>(VLOOKUP(YEAR($A103),'NY East Load Projections'!$A$4:$EO$14,((MONTH($A103)-1)*12)+VLOOKUP(CU$4,$DE$6:$DF$17,2)+1))*(VLOOKUP($A103,SatSunCurve,6))*(INDEX(DailyScalarsTable,CU$5/100,MONTH($A103)))*$E103</f>
        <v>0</v>
      </c>
      <c r="CV103" s="1021">
        <f>(VLOOKUP(YEAR($A103),'NY East Load Projections'!$A$4:$EO$14,((MONTH($A103)-1)*12)+VLOOKUP(CV$4,$DE$6:$DF$17,2)+1))*(VLOOKUP($A103,SatSunCurve,6))*(INDEX(DailyScalarsTable,CV$5/100,MONTH($A103)))*$E103</f>
        <v>0</v>
      </c>
      <c r="CW103" s="1021">
        <f>(VLOOKUP(YEAR($A103),'NY East Load Projections'!$A$4:$EO$14,((MONTH($A103)-1)*12)+VLOOKUP(CW$4,$DE$6:$DF$17,2)+1))*(VLOOKUP($A103,SatSunCurve,6))*(INDEX(DailyScalarsTable,CW$5/100,MONTH($A103)))*$E103</f>
        <v>0</v>
      </c>
      <c r="CX103" s="1021">
        <f>(VLOOKUP(YEAR($A103),'NY East Load Projections'!$A$4:$EO$14,((MONTH($A103)-1)*12)+VLOOKUP(CX$4,$DE$6:$DF$17,2)+1))*(VLOOKUP($A103,SatSunCurve,6))*(INDEX(DailyScalarsTable,CX$5/100,MONTH($A103)))*$E103</f>
        <v>0</v>
      </c>
      <c r="CY103" s="1021">
        <f>(VLOOKUP(YEAR($A103),'NY East Load Projections'!$A$4:$EO$14,((MONTH($A103)-1)*12)+VLOOKUP(CY$4,$DE$6:$DF$17,2)+1))*(VLOOKUP($A103,SatSunCurve,6))*(INDEX(DailyScalarsTable,CY$5/100,MONTH($A103)))*$E103</f>
        <v>0</v>
      </c>
      <c r="CZ103" s="1021">
        <f>(VLOOKUP(YEAR($A103),'NY East Load Projections'!$A$4:$EO$14,((MONTH($A103)-1)*12)+VLOOKUP(CZ$4,$DE$6:$DF$17,2)+1))*(VLOOKUP($A103,SatSunCurve,6))*(INDEX(DailyScalarsTable,CZ$5/100,MONTH($A103)))*$E103</f>
        <v>0</v>
      </c>
      <c r="DA103" s="1021">
        <f>(VLOOKUP(YEAR($A103),'NY East Load Projections'!$A$4:$EO$14,((MONTH($A103)-1)*12)+VLOOKUP(DA$4,$DE$6:$DF$17,2)+1))*(VLOOKUP($A103,SatSunCurve,6))*(INDEX(DailyScalarsTable,DA$5/100,MONTH($A103)))*$E103</f>
        <v>0</v>
      </c>
      <c r="DB103" s="1021">
        <f>(VLOOKUP(YEAR($A103),'NY East Load Projections'!$A$4:$EO$14,((MONTH($A103)-1)*12)+VLOOKUP(DB$4,$DE$6:$DF$17,2)+1))*(VLOOKUP($A103,CURVES!$D$9:$T$261,6))*(INDEX(DailyScalarsTable,DB$5/100,MONTH($A103)))*$E103</f>
        <v>0</v>
      </c>
      <c r="DH103" s="1021">
        <f t="shared" si="2"/>
        <v>-1669255.6711966272</v>
      </c>
      <c r="DI103">
        <f ca="1">CALC!J123</f>
        <v>0.5180972415705154</v>
      </c>
      <c r="DJ103" s="1029">
        <f t="shared" ca="1" si="3"/>
        <v>-864836.75872291182</v>
      </c>
    </row>
    <row r="104" spans="1:114" x14ac:dyDescent="0.25">
      <c r="A104" s="244">
        <v>39873</v>
      </c>
      <c r="B104" s="13">
        <v>22</v>
      </c>
      <c r="C104" s="210">
        <v>4</v>
      </c>
      <c r="D104" s="210">
        <v>5</v>
      </c>
      <c r="E104" s="210">
        <v>0</v>
      </c>
      <c r="F104" s="13">
        <v>31</v>
      </c>
      <c r="H104" s="1021">
        <f>(VLOOKUP(YEAR($A104),'NY East Load Projections'!$A$4:$EO$14,((MONTH($A104)-1)*12)+VLOOKUP(H$4,$DE$6:$DF$17,2)+1))*(VLOOKUP($A104,CURVES!$D$9:$K$261,6))*(INDEX(DailyScalarsTable,H$5/100,MONTH($A104)))*$B104</f>
        <v>-28052.024823537377</v>
      </c>
      <c r="I104" s="1021">
        <f>(VLOOKUP(YEAR($A104),'NY East Load Projections'!$A$4:$EO$14,((MONTH($A104)-1)*12)+VLOOKUP(I$4,$DE$6:$DF$17,2)+1))*(VLOOKUP($A104,CURVES!$D$9:$K$261,6))*(INDEX(DailyScalarsTable,I$5/100,MONTH($A104)))*$B104</f>
        <v>-26524.433753591671</v>
      </c>
      <c r="J104" s="1021">
        <f>(VLOOKUP(YEAR($A104),'NY East Load Projections'!$A$4:$EO$14,((MONTH($A104)-1)*12)+VLOOKUP(J$4,$DE$6:$DF$17,2)+1))*(VLOOKUP($A104,CURVES!$D$9:$K$261,6))*(INDEX(DailyScalarsTable,J$5/100,MONTH($A104)))*$B104</f>
        <v>-25394.002795303662</v>
      </c>
      <c r="K104" s="1021">
        <f>(VLOOKUP(YEAR($A104),'NY East Load Projections'!$A$4:$EO$14,((MONTH($A104)-1)*12)+VLOOKUP(K$4,$DE$6:$DF$17,2)+1))*(VLOOKUP($A104,CURVES!$D$9:$K$261,6))*(INDEX(DailyScalarsTable,K$5/100,MONTH($A104)))*$B104</f>
        <v>-25409.943465882599</v>
      </c>
      <c r="L104" s="1021">
        <f>(VLOOKUP(YEAR($A104),'NY East Load Projections'!$A$4:$EO$14,((MONTH($A104)-1)*12)+VLOOKUP(L$4,$DE$6:$DF$17,2)+1))*(VLOOKUP($A104,CURVES!$D$9:$K$261,6))*(INDEX(DailyScalarsTable,L$5/100,MONTH($A104)))*$B104</f>
        <v>-29781.032242290548</v>
      </c>
      <c r="M104" s="1021">
        <f>(VLOOKUP(YEAR($A104),'NY East Load Projections'!$A$4:$EO$14,((MONTH($A104)-1)*12)+VLOOKUP(M$4,$DE$6:$DF$17,2)+1))*(VLOOKUP($A104,CURVES!$D$9:$K$261,6))*(INDEX(DailyScalarsTable,M$5/100,MONTH($A104)))*$B104</f>
        <v>-34569.027248761624</v>
      </c>
      <c r="N104" s="1021">
        <f>(VLOOKUP(YEAR($A104),'NY East Load Projections'!$A$4:$EO$14,((MONTH($A104)-1)*12)+VLOOKUP(N$4,$DE$6:$DF$17,2)+1))*(VLOOKUP($A104,CURVES!$D$9:$K$261,6))*(INDEX(DailyScalarsTable,N$5/100,MONTH($A104)))*$B104</f>
        <v>-62375.894732939545</v>
      </c>
      <c r="O104" s="1021">
        <f>(VLOOKUP(YEAR($A104),'NY East Load Projections'!$A$4:$EO$14,((MONTH($A104)-1)*12)+VLOOKUP(O$4,$DE$6:$DF$17,2)+1))*(VLOOKUP($A104,CURVES!$D$9:$K$261,2))*(INDEX(DailyScalarsTable,O$5/100,MONTH($A104)))*$B104</f>
        <v>-66292.810919553958</v>
      </c>
      <c r="P104" s="1021">
        <f>(VLOOKUP(YEAR($A104),'NY East Load Projections'!$A$4:$EO$14,((MONTH($A104)-1)*12)+VLOOKUP(P$4,$DE$6:$DF$17,2)+1))*(VLOOKUP($A104,CURVES!$D$9:$K$261,2))*(INDEX(DailyScalarsTable,P$5/100,MONTH($A104)))*$B104</f>
        <v>-74888.263711216016</v>
      </c>
      <c r="Q104" s="1021">
        <f>(VLOOKUP(YEAR($A104),'NY East Load Projections'!$A$4:$EO$14,((MONTH($A104)-1)*12)+VLOOKUP(Q$4,$DE$6:$DF$17,2)+1))*(VLOOKUP($A104,CURVES!$D$9:$K$261,2))*(INDEX(DailyScalarsTable,Q$5/100,MONTH($A104)))*$B104</f>
        <v>-74661.672898171484</v>
      </c>
      <c r="R104" s="1021">
        <f>(VLOOKUP(YEAR($A104),'NY East Load Projections'!$A$4:$EO$14,((MONTH($A104)-1)*12)+VLOOKUP(R$4,$DE$6:$DF$17,2)+1))*(VLOOKUP($A104,CURVES!$D$9:$K$261,2))*(INDEX(DailyScalarsTable,R$5/100,MONTH($A104)))*$B104</f>
        <v>-73346.187344662976</v>
      </c>
      <c r="S104" s="1021">
        <f>(VLOOKUP(YEAR($A104),'NY East Load Projections'!$A$4:$EO$14,((MONTH($A104)-1)*12)+VLOOKUP(S$4,$DE$6:$DF$17,2)+1))*(VLOOKUP($A104,CURVES!$D$9:$K$261,2))*(INDEX(DailyScalarsTable,S$5/100,MONTH($A104)))*$B104</f>
        <v>-56043.461093012884</v>
      </c>
      <c r="T104" s="1021">
        <f>(VLOOKUP(YEAR($A104),'NY East Load Projections'!$A$4:$EO$14,((MONTH($A104)-1)*12)+VLOOKUP(T$4,$DE$6:$DF$17,2)+1))*(VLOOKUP($A104,CURVES!$D$9:$K$261,2))*(INDEX(DailyScalarsTable,T$5/100,MONTH($A104)))*$B104</f>
        <v>-56078.762524299273</v>
      </c>
      <c r="U104" s="1021">
        <f>(VLOOKUP(YEAR($A104),'NY East Load Projections'!$A$4:$EO$14,((MONTH($A104)-1)*12)+VLOOKUP(U$4,$DE$6:$DF$17,2)+1))*(VLOOKUP($A104,CURVES!$D$9:$K$261,2))*(INDEX(DailyScalarsTable,U$5/100,MONTH($A104)))*$B104</f>
        <v>-54289.014784162064</v>
      </c>
      <c r="V104" s="1021">
        <f>(VLOOKUP(YEAR($A104),'NY East Load Projections'!$A$4:$EO$14,((MONTH($A104)-1)*12)+VLOOKUP(V$4,$DE$6:$DF$17,2)+1))*(VLOOKUP($A104,CURVES!$D$9:$K$261,2))*(INDEX(DailyScalarsTable,V$5/100,MONTH($A104)))*$B104</f>
        <v>-51559.001021126685</v>
      </c>
      <c r="W104" s="1021">
        <f>(VLOOKUP(YEAR($A104),'NY East Load Projections'!$A$4:$EO$14,((MONTH($A104)-1)*12)+VLOOKUP(W$4,$DE$6:$DF$17,2)+1))*(VLOOKUP($A104,CURVES!$D$9:$K$261,2))*(INDEX(DailyScalarsTable,W$5/100,MONTH($A104)))*$B104</f>
        <v>-50534.435285830739</v>
      </c>
      <c r="X104" s="1021">
        <f>(VLOOKUP(YEAR($A104),'NY East Load Projections'!$A$4:$EO$14,((MONTH($A104)-1)*12)+VLOOKUP(X$4,$DE$6:$DF$17,2)+1))*(VLOOKUP($A104,CURVES!$D$9:$K$261,2))*(INDEX(DailyScalarsTable,X$5/100,MONTH($A104)))*$B104</f>
        <v>-52921.093727334839</v>
      </c>
      <c r="Y104" s="1021">
        <f>(VLOOKUP(YEAR($A104),'NY East Load Projections'!$A$4:$EO$14,((MONTH($A104)-1)*12)+VLOOKUP(Y$4,$DE$6:$DF$17,2)+1))*(VLOOKUP($A104,CURVES!$D$9:$K$261,2))*(INDEX(DailyScalarsTable,Y$5/100,MONTH($A104)))*$B104</f>
        <v>-72149.83858800841</v>
      </c>
      <c r="Z104" s="1021">
        <f>(VLOOKUP(YEAR($A104),'NY East Load Projections'!$A$4:$EO$14,((MONTH($A104)-1)*12)+VLOOKUP(Z$4,$DE$6:$DF$17,2)+1))*(VLOOKUP($A104,CURVES!$D$9:$K$261,2))*(INDEX(DailyScalarsTable,Z$5/100,MONTH($A104)))*$B104</f>
        <v>-79225.917033659571</v>
      </c>
      <c r="AA104" s="1021">
        <f>(VLOOKUP(YEAR($A104),'NY East Load Projections'!$A$4:$EO$14,((MONTH($A104)-1)*12)+VLOOKUP(AA$4,$DE$6:$DF$17,2)+1))*(VLOOKUP($A104,CURVES!$D$9:$K$261,2))*(INDEX(DailyScalarsTable,AA$5/100,MONTH($A104)))*$B104</f>
        <v>-75806.227714414432</v>
      </c>
      <c r="AB104" s="1021">
        <f>(VLOOKUP(YEAR($A104),'NY East Load Projections'!$A$4:$EO$14,((MONTH($A104)-1)*12)+VLOOKUP(AB$4,$DE$6:$DF$17,2)+1))*(VLOOKUP($A104,CURVES!$D$9:$K$261,2))*(INDEX(DailyScalarsTable,AB$5/100,MONTH($A104)))*$B104</f>
        <v>-65226.184056687212</v>
      </c>
      <c r="AC104" s="1021">
        <f>(VLOOKUP(YEAR($A104),'NY East Load Projections'!$A$4:$EO$14,((MONTH($A104)-1)*12)+VLOOKUP(AC$4,$DE$6:$DF$17,2)+1))*(VLOOKUP($A104,CURVES!$D$9:$K$261,2))*(INDEX(DailyScalarsTable,AC$5/100,MONTH($A104)))*$B104</f>
        <v>-47363.17530620507</v>
      </c>
      <c r="AD104" s="1021">
        <f>(VLOOKUP(YEAR($A104),'NY East Load Projections'!$A$4:$EO$14,((MONTH($A104)-1)*12)+VLOOKUP(AD$4,$DE$6:$DF$17,2)+1))*(VLOOKUP($A104,CURVES!$D$9:$K$261,2))*(INDEX(DailyScalarsTable,AD$5/100,MONTH($A104)))*$B104</f>
        <v>-38875.967704732357</v>
      </c>
      <c r="AE104" s="1021">
        <f>(VLOOKUP(YEAR($A104),'NY East Load Projections'!$A$4:$EO$14,((MONTH($A104)-1)*12)+VLOOKUP(AE$4,$DE$6:$DF$17,2)+1))*(VLOOKUP($A104,CURVES!$D$9:$K$261,6))*(INDEX(DailyScalarsTable,AE$5/100,MONTH($A104)))*$B104</f>
        <v>-35422.480405433111</v>
      </c>
      <c r="AF104" s="1021"/>
      <c r="AG104" s="1021">
        <f>(VLOOKUP(YEAR($A104),'NY East Load Projections'!$A$4:$EO$14,((MONTH($A104)-1)*12)+VLOOKUP(AG$4,$DE$6:$DF$17,2)+1))*(VLOOKUP($A104,CURVES!$D$9:$T$261,6))*(INDEX(DailyScalarsTable,AG$5/100,MONTH($A104)))*$C104</f>
        <v>-5635.1836098139156</v>
      </c>
      <c r="AH104" s="1021">
        <f>(VLOOKUP(YEAR($A104),'NY East Load Projections'!$A$4:$EO$14,((MONTH($A104)-1)*12)+VLOOKUP(AH$4,$DE$6:$DF$17,2)+1))*(VLOOKUP($A104,CURVES!$D$9:$T$261,6))*(INDEX(DailyScalarsTable,AH$5/100,MONTH($A104)))*$C104</f>
        <v>-5328.3160587545244</v>
      </c>
      <c r="AI104" s="1021">
        <f>(VLOOKUP(YEAR($A104),'NY East Load Projections'!$A$4:$EO$14,((MONTH($A104)-1)*12)+VLOOKUP(AI$4,$DE$6:$DF$17,2)+1))*(VLOOKUP($A104,CURVES!$D$9:$T$261,6))*(INDEX(DailyScalarsTable,AI$5/100,MONTH($A104)))*$C104</f>
        <v>-5101.2313456814845</v>
      </c>
      <c r="AJ104" s="1021">
        <f>(VLOOKUP(YEAR($A104),'NY East Load Projections'!$A$4:$EO$14,((MONTH($A104)-1)*12)+VLOOKUP(AJ$4,$DE$6:$DF$17,2)+1))*(VLOOKUP($A104,CURVES!$D$9:$T$261,6))*(INDEX(DailyScalarsTable,AJ$5/100,MONTH($A104)))*$C104</f>
        <v>-5104.4335603572854</v>
      </c>
      <c r="AK104" s="1021">
        <f>(VLOOKUP(YEAR($A104),'NY East Load Projections'!$A$4:$EO$14,((MONTH($A104)-1)*12)+VLOOKUP(AK$4,$DE$6:$DF$17,2)+1))*(VLOOKUP($A104,CURVES!$D$9:$T$261,6))*(INDEX(DailyScalarsTable,AK$5/100,MONTH($A104)))*$C104</f>
        <v>-5558.599519180234</v>
      </c>
      <c r="AL104" s="1021">
        <f>(VLOOKUP(YEAR($A104),'NY East Load Projections'!$A$4:$EO$14,((MONTH($A104)-1)*12)+VLOOKUP(AL$4,$DE$6:$DF$17,2)+1))*(VLOOKUP($A104,CURVES!$D$9:$T$261,6))*(INDEX(DailyScalarsTable,AL$5/100,MONTH($A104)))*$C104</f>
        <v>-6452.2739400088549</v>
      </c>
      <c r="AM104" s="1021">
        <f>(VLOOKUP(YEAR($A104),'NY East Load Projections'!$A$4:$EO$14,((MONTH($A104)-1)*12)+VLOOKUP(AM$4,$DE$6:$DF$17,2)+1))*(VLOOKUP($A104,CURVES!$D$9:$T$261,6))*(INDEX(DailyScalarsTable,AM$5/100,MONTH($A104)))*$C104</f>
        <v>-11642.397605634074</v>
      </c>
      <c r="AN104" s="1021">
        <f>(VLOOKUP(YEAR($A104),'NY East Load Projections'!$A$4:$EO$14,((MONTH($A104)-1)*12)+VLOOKUP(AN$4,$DE$6:$DF$17,2)+1))*(VLOOKUP($A104,SatSunCurve,2))*(INDEX(DailyScalarsTable,AN$5/100,MONTH($A104)))*$C104</f>
        <v>-8135.6618137385685</v>
      </c>
      <c r="AO104" s="1021">
        <f>(VLOOKUP(YEAR($A104),'NY East Load Projections'!$A$4:$EO$14,((MONTH($A104)-1)*12)+VLOOKUP(AO$4,$DE$6:$DF$17,2)+1))*(VLOOKUP($A104,SatSunCurve,2))*(INDEX(DailyScalarsTable,AO$5/100,MONTH($A104)))*$C104</f>
        <v>-9139.5251087516135</v>
      </c>
      <c r="AP104" s="1021">
        <f>(VLOOKUP(YEAR($A104),'NY East Load Projections'!$A$4:$EO$14,((MONTH($A104)-1)*12)+VLOOKUP(AP$4,$DE$6:$DF$17,2)+1))*(VLOOKUP($A104,SatSunCurve,2))*(INDEX(DailyScalarsTable,AP$5/100,MONTH($A104)))*$C104</f>
        <v>-9111.8714775602311</v>
      </c>
      <c r="AQ104" s="1021">
        <f>(VLOOKUP(YEAR($A104),'NY East Load Projections'!$A$4:$EO$14,((MONTH($A104)-1)*12)+VLOOKUP(AQ$4,$DE$6:$DF$17,2)+1))*(VLOOKUP($A104,SatSunCurve,2))*(INDEX(DailyScalarsTable,AQ$5/100,MONTH($A104)))*$C104</f>
        <v>-8951.3267853658217</v>
      </c>
      <c r="AR104" s="1021">
        <f>(VLOOKUP(YEAR($A104),'NY East Load Projections'!$A$4:$EO$14,((MONTH($A104)-1)*12)+VLOOKUP(AR$4,$DE$6:$DF$17,2)+1))*(VLOOKUP($A104,SatSunCurve,2))*(INDEX(DailyScalarsTable,AR$5/100,MONTH($A104)))*$C104</f>
        <v>-6839.6647813350446</v>
      </c>
      <c r="AS104" s="1021">
        <f>(VLOOKUP(YEAR($A104),'NY East Load Projections'!$A$4:$EO$14,((MONTH($A104)-1)*12)+VLOOKUP(AS$4,$DE$6:$DF$17,2)+1))*(VLOOKUP($A104,SatSunCurve,2))*(INDEX(DailyScalarsTable,AS$5/100,MONTH($A104)))*$C104</f>
        <v>-6696.808459827148</v>
      </c>
      <c r="AT104" s="1021">
        <f>(VLOOKUP(YEAR($A104),'NY East Load Projections'!$A$4:$EO$14,((MONTH($A104)-1)*12)+VLOOKUP(AT$4,$DE$6:$DF$17,2)+1))*(VLOOKUP($A104,SatSunCurve,2))*(INDEX(DailyScalarsTable,AT$5/100,MONTH($A104)))*$C104</f>
        <v>-6483.0805302581966</v>
      </c>
      <c r="AU104" s="1021">
        <f>(VLOOKUP(YEAR($A104),'NY East Load Projections'!$A$4:$EO$14,((MONTH($A104)-1)*12)+VLOOKUP(AU$4,$DE$6:$DF$17,2)+1))*(VLOOKUP($A104,SatSunCurve,2))*(INDEX(DailyScalarsTable,AU$5/100,MONTH($A104)))*$C104</f>
        <v>-6157.0680000099046</v>
      </c>
      <c r="AV104" s="1021">
        <f>(VLOOKUP(YEAR($A104),'NY East Load Projections'!$A$4:$EO$14,((MONTH($A104)-1)*12)+VLOOKUP(AV$4,$DE$6:$DF$17,2)+1))*(VLOOKUP($A104,SatSunCurve,2))*(INDEX(DailyScalarsTable,AV$5/100,MONTH($A104)))*$C104</f>
        <v>-6034.7165040972441</v>
      </c>
      <c r="AW104" s="1021">
        <f>(VLOOKUP(YEAR($A104),'NY East Load Projections'!$A$4:$EO$14,((MONTH($A104)-1)*12)+VLOOKUP(AW$4,$DE$6:$DF$17,2)+1))*(VLOOKUP($A104,SatSunCurve,2))*(INDEX(DailyScalarsTable,AW$5/100,MONTH($A104)))*$C104</f>
        <v>-6289.1729924702395</v>
      </c>
      <c r="AX104" s="1021">
        <f>(VLOOKUP(YEAR($A104),'NY East Load Projections'!$A$4:$EO$14,((MONTH($A104)-1)*12)+VLOOKUP(AX$4,$DE$6:$DF$17,2)+1))*(VLOOKUP($A104,SatSunCurve,2))*(INDEX(DailyScalarsTable,AX$5/100,MONTH($A104)))*$C104</f>
        <v>-8574.3280098614396</v>
      </c>
      <c r="AY104" s="1021">
        <f>(VLOOKUP(YEAR($A104),'NY East Load Projections'!$A$4:$EO$14,((MONTH($A104)-1)*12)+VLOOKUP(AY$4,$DE$6:$DF$17,2)+1))*(VLOOKUP($A104,SatSunCurve,2))*(INDEX(DailyScalarsTable,AY$5/100,MONTH($A104)))*$C104</f>
        <v>-9415.2532122444663</v>
      </c>
      <c r="AZ104" s="1021">
        <f>(VLOOKUP(YEAR($A104),'NY East Load Projections'!$A$4:$EO$14,((MONTH($A104)-1)*12)+VLOOKUP(AZ$4,$DE$6:$DF$17,2)+1))*(VLOOKUP($A104,SatSunCurve,2))*(INDEX(DailyScalarsTable,AZ$5/100,MONTH($A104)))*$C104</f>
        <v>-9008.8553811632319</v>
      </c>
      <c r="BA104" s="1021">
        <f>(VLOOKUP(YEAR($A104),'NY East Load Projections'!$A$4:$EO$14,((MONTH($A104)-1)*12)+VLOOKUP(BA$4,$DE$6:$DF$17,2)+1))*(VLOOKUP($A104,SatSunCurve,2))*(INDEX(DailyScalarsTable,BA$5/100,MONTH($A104)))*$C104</f>
        <v>-8161.3499862812932</v>
      </c>
      <c r="BB104" s="1021">
        <f>(VLOOKUP(YEAR($A104),'NY East Load Projections'!$A$4:$EO$14,((MONTH($A104)-1)*12)+VLOOKUP(BB$4,$DE$6:$DF$17,2)+1))*(VLOOKUP($A104,SatSunCurve,2))*(INDEX(DailyScalarsTable,BB$5/100,MONTH($A104)))*$C104</f>
        <v>-5926.2619103946336</v>
      </c>
      <c r="BC104" s="1021">
        <f>(VLOOKUP(YEAR($A104),'NY East Load Projections'!$A$4:$EO$14,((MONTH($A104)-1)*12)+VLOOKUP(BC$4,$DE$6:$DF$17,2)+1))*(VLOOKUP($A104,SatSunCurve,2))*(INDEX(DailyScalarsTable,BC$5/100,MONTH($A104)))*$C104</f>
        <v>-4864.3099865836894</v>
      </c>
      <c r="BD104" s="1021">
        <f>(VLOOKUP(YEAR($A104),'NY East Load Projections'!$A$4:$EO$14,((MONTH($A104)-1)*12)+VLOOKUP(BD$4,$DE$6:$DF$17,2)+1))*(VLOOKUP($A104,CURVES!$D$9:$T$261,6))*(INDEX(DailyScalarsTable,BD$5/100,MONTH($A104)))*$C104</f>
        <v>-6740.9046626864429</v>
      </c>
      <c r="BE104" s="1021"/>
      <c r="BF104" s="1021">
        <f>(VLOOKUP(YEAR($A104),'NY East Load Projections'!$A$4:$EO$14,((MONTH($A104)-1)*12)+VLOOKUP(BF$4,$DE$6:$DF$17,2)+1))*(VLOOKUP($A104,CURVES!$D$9:$T$261,6))*(INDEX(DailyScalarsTable,BF$5/100,MONTH($A104)))*$D104</f>
        <v>-7043.979512267395</v>
      </c>
      <c r="BG104" s="1021">
        <f>(VLOOKUP(YEAR($A104),'NY East Load Projections'!$A$4:$EO$14,((MONTH($A104)-1)*12)+VLOOKUP(BG$4,$DE$6:$DF$17,2)+1))*(VLOOKUP($A104,CURVES!$D$9:$T$261,6))*(INDEX(DailyScalarsTable,BG$5/100,MONTH($A104)))*$D104</f>
        <v>-6660.3950734431555</v>
      </c>
      <c r="BH104" s="1021">
        <f>(VLOOKUP(YEAR($A104),'NY East Load Projections'!$A$4:$EO$14,((MONTH($A104)-1)*12)+VLOOKUP(BH$4,$DE$6:$DF$17,2)+1))*(VLOOKUP($A104,CURVES!$D$9:$T$261,6))*(INDEX(DailyScalarsTable,BH$5/100,MONTH($A104)))*$D104</f>
        <v>-6376.5391821018557</v>
      </c>
      <c r="BI104" s="1021">
        <f>(VLOOKUP(YEAR($A104),'NY East Load Projections'!$A$4:$EO$14,((MONTH($A104)-1)*12)+VLOOKUP(BI$4,$DE$6:$DF$17,2)+1))*(VLOOKUP($A104,CURVES!$D$9:$T$261,6))*(INDEX(DailyScalarsTable,BI$5/100,MONTH($A104)))*$D104</f>
        <v>-6380.5419504466063</v>
      </c>
      <c r="BJ104" s="1021">
        <f>(VLOOKUP(YEAR($A104),'NY East Load Projections'!$A$4:$EO$14,((MONTH($A104)-1)*12)+VLOOKUP(BJ$4,$DE$6:$DF$17,2)+1))*(VLOOKUP($A104,CURVES!$D$9:$T$261,6))*(INDEX(DailyScalarsTable,BJ$5/100,MONTH($A104)))*$D104</f>
        <v>-6948.2493989752929</v>
      </c>
      <c r="BK104" s="1021">
        <f>(VLOOKUP(YEAR($A104),'NY East Load Projections'!$A$4:$EO$14,((MONTH($A104)-1)*12)+VLOOKUP(BK$4,$DE$6:$DF$17,2)+1))*(VLOOKUP($A104,CURVES!$D$9:$T$261,6))*(INDEX(DailyScalarsTable,BK$5/100,MONTH($A104)))*$D104</f>
        <v>-8065.3424250110684</v>
      </c>
      <c r="BL104" s="1021">
        <f>(VLOOKUP(YEAR($A104),'NY East Load Projections'!$A$4:$EO$14,((MONTH($A104)-1)*12)+VLOOKUP(BL$4,$DE$6:$DF$17,2)+1))*(VLOOKUP($A104,CURVES!$D$9:$T$261,6))*(INDEX(DailyScalarsTable,BL$5/100,MONTH($A104)))*$D104</f>
        <v>-14552.997007042593</v>
      </c>
      <c r="BM104" s="1021">
        <f>(VLOOKUP(YEAR($A104),'NY East Load Projections'!$A$4:$EO$14,((MONTH($A104)-1)*12)+VLOOKUP(BM$4,$DE$6:$DF$17,2)+1))*(VLOOKUP($A104,SatSunCurve,6))*(INDEX(DailyScalarsTable,BM$5/100,MONTH($A104)))*$D104</f>
        <v>-8712.9168293091225</v>
      </c>
      <c r="BN104" s="1021">
        <f>(VLOOKUP(YEAR($A104),'NY East Load Projections'!$A$4:$EO$14,((MONTH($A104)-1)*12)+VLOOKUP(BN$4,$DE$6:$DF$17,2)+1))*(VLOOKUP($A104,SatSunCurve,6))*(INDEX(DailyScalarsTable,BN$5/100,MONTH($A104)))*$D104</f>
        <v>-9788.0079033597485</v>
      </c>
      <c r="BO104" s="1021">
        <f>(VLOOKUP(YEAR($A104),'NY East Load Projections'!$A$4:$EO$14,((MONTH($A104)-1)*12)+VLOOKUP(BO$4,$DE$6:$DF$17,2)+1))*(VLOOKUP($A104,SatSunCurve,6))*(INDEX(DailyScalarsTable,BO$5/100,MONTH($A104)))*$D104</f>
        <v>-9758.3921457096421</v>
      </c>
      <c r="BP104" s="1021">
        <f>(VLOOKUP(YEAR($A104),'NY East Load Projections'!$A$4:$EO$14,((MONTH($A104)-1)*12)+VLOOKUP(BP$4,$DE$6:$DF$17,2)+1))*(VLOOKUP($A104,SatSunCurve,6))*(INDEX(DailyScalarsTable,BP$5/100,MONTH($A104)))*$D104</f>
        <v>-9586.4562193520887</v>
      </c>
      <c r="BQ104" s="1021">
        <f>(VLOOKUP(YEAR($A104),'NY East Load Projections'!$A$4:$EO$14,((MONTH($A104)-1)*12)+VLOOKUP(BQ$4,$DE$6:$DF$17,2)+1))*(VLOOKUP($A104,SatSunCurve,6))*(INDEX(DailyScalarsTable,BQ$5/100,MONTH($A104)))*$D104</f>
        <v>-7324.9640587926706</v>
      </c>
      <c r="BR104" s="1021">
        <f>(VLOOKUP(YEAR($A104),'NY East Load Projections'!$A$4:$EO$14,((MONTH($A104)-1)*12)+VLOOKUP(BR$4,$DE$6:$DF$17,2)+1))*(VLOOKUP($A104,SatSunCurve,6))*(INDEX(DailyScalarsTable,BR$5/100,MONTH($A104)))*$D104</f>
        <v>-7171.9715578338128</v>
      </c>
      <c r="BS104" s="1021">
        <f>(VLOOKUP(YEAR($A104),'NY East Load Projections'!$A$4:$EO$14,((MONTH($A104)-1)*12)+VLOOKUP(BS$4,$DE$6:$DF$17,2)+1))*(VLOOKUP($A104,SatSunCurve,6))*(INDEX(DailyScalarsTable,BS$5/100,MONTH($A104)))*$D104</f>
        <v>-6943.078848541245</v>
      </c>
      <c r="BT104" s="1021">
        <f>(VLOOKUP(YEAR($A104),'NY East Load Projections'!$A$4:$EO$14,((MONTH($A104)-1)*12)+VLOOKUP(BT$4,$DE$6:$DF$17,2)+1))*(VLOOKUP($A104,SatSunCurve,6))*(INDEX(DailyScalarsTable,BT$5/100,MONTH($A104)))*$D104</f>
        <v>-6593.9345347290291</v>
      </c>
      <c r="BU104" s="1021">
        <f>(VLOOKUP(YEAR($A104),'NY East Load Projections'!$A$4:$EO$14,((MONTH($A104)-1)*12)+VLOOKUP(BU$4,$DE$6:$DF$17,2)+1))*(VLOOKUP($A104,SatSunCurve,6))*(INDEX(DailyScalarsTable,BU$5/100,MONTH($A104)))*$D104</f>
        <v>-6462.901751873138</v>
      </c>
      <c r="BV104" s="1021">
        <f>(VLOOKUP(YEAR($A104),'NY East Load Projections'!$A$4:$EO$14,((MONTH($A104)-1)*12)+VLOOKUP(BV$4,$DE$6:$DF$17,2)+1))*(VLOOKUP($A104,SatSunCurve,6))*(INDEX(DailyScalarsTable,BV$5/100,MONTH($A104)))*$D104</f>
        <v>-6735.4128604504476</v>
      </c>
      <c r="BW104" s="1021">
        <f>(VLOOKUP(YEAR($A104),'NY East Load Projections'!$A$4:$EO$14,((MONTH($A104)-1)*12)+VLOOKUP(BW$4,$DE$6:$DF$17,2)+1))*(VLOOKUP($A104,SatSunCurve,6))*(INDEX(DailyScalarsTable,BW$5/100,MONTH($A104)))*$D104</f>
        <v>-9182.7079993641182</v>
      </c>
      <c r="BX104" s="1021">
        <f>(VLOOKUP(YEAR($A104),'NY East Load Projections'!$A$4:$EO$14,((MONTH($A104)-1)*12)+VLOOKUP(BX$4,$DE$6:$DF$17,2)+1))*(VLOOKUP($A104,SatSunCurve,6))*(INDEX(DailyScalarsTable,BX$5/100,MONTH($A104)))*$D104</f>
        <v>-10083.299926091013</v>
      </c>
      <c r="BY104" s="1021">
        <f>(VLOOKUP(YEAR($A104),'NY East Load Projections'!$A$4:$EO$14,((MONTH($A104)-1)*12)+VLOOKUP(BY$4,$DE$6:$DF$17,2)+1))*(VLOOKUP($A104,SatSunCurve,6))*(INDEX(DailyScalarsTable,BY$5/100,MONTH($A104)))*$D104</f>
        <v>-9648.0666798119055</v>
      </c>
      <c r="BZ104" s="1021">
        <f>(VLOOKUP(YEAR($A104),'NY East Load Projections'!$A$4:$EO$14,((MONTH($A104)-1)*12)+VLOOKUP(BZ$4,$DE$6:$DF$17,2)+1))*(VLOOKUP($A104,SatSunCurve,6))*(INDEX(DailyScalarsTable,BZ$5/100,MONTH($A104)))*$D104</f>
        <v>-8740.427671817808</v>
      </c>
      <c r="CA104" s="1021">
        <f>(VLOOKUP(YEAR($A104),'NY East Load Projections'!$A$4:$EO$14,((MONTH($A104)-1)*12)+VLOOKUP(CA$4,$DE$6:$DF$17,2)+1))*(VLOOKUP($A104,SatSunCurve,6))*(INDEX(DailyScalarsTable,CA$5/100,MONTH($A104)))*$D104</f>
        <v>-6346.7519073587528</v>
      </c>
      <c r="CB104" s="1021">
        <f>(VLOOKUP(YEAR($A104),'NY East Load Projections'!$A$4:$EO$14,((MONTH($A104)-1)*12)+VLOOKUP(CB$4,$DE$6:$DF$17,2)+1))*(VLOOKUP($A104,SatSunCurve,6))*(INDEX(DailyScalarsTable,CB$5/100,MONTH($A104)))*$D104</f>
        <v>-5209.4506034544174</v>
      </c>
      <c r="CC104" s="1021">
        <f>(VLOOKUP(YEAR($A104),'NY East Load Projections'!$A$4:$EO$14,((MONTH($A104)-1)*12)+VLOOKUP(CC$4,$DE$6:$DF$17,2)+1))*(VLOOKUP($A104,CURVES!$D$9:$T$261,6))*(INDEX(DailyScalarsTable,CC$5/100,MONTH($A104)))*$D104</f>
        <v>-8426.1308283580529</v>
      </c>
      <c r="CE104" s="1021">
        <f>(VLOOKUP(YEAR($A104),'NY East Load Projections'!$A$4:$EO$14,((MONTH($A104)-1)*12)+VLOOKUP(CE$4,$DE$6:$DF$17,2)+1))*(VLOOKUP($A104,CURVES!$D$9:$T$261,6))*(INDEX(DailyScalarsTable,CE$5/100,MONTH($A104)))*$E104</f>
        <v>0</v>
      </c>
      <c r="CF104" s="1021">
        <f>(VLOOKUP(YEAR($A104),'NY East Load Projections'!$A$4:$EO$14,((MONTH($A104)-1)*12)+VLOOKUP(CF$4,$DE$6:$DF$17,2)+1))*(VLOOKUP($A104,CURVES!$D$9:$T$261,6))*(INDEX(DailyScalarsTable,CF$5/100,MONTH($A104)))*$E104</f>
        <v>0</v>
      </c>
      <c r="CG104" s="1021">
        <f>(VLOOKUP(YEAR($A104),'NY East Load Projections'!$A$4:$EO$14,((MONTH($A104)-1)*12)+VLOOKUP(CG$4,$DE$6:$DF$17,2)+1))*(VLOOKUP($A104,CURVES!$D$9:$T$261,6))*(INDEX(DailyScalarsTable,CG$5/100,MONTH($A104)))*$E104</f>
        <v>0</v>
      </c>
      <c r="CH104" s="1021">
        <f>(VLOOKUP(YEAR($A104),'NY East Load Projections'!$A$4:$EO$14,((MONTH($A104)-1)*12)+VLOOKUP(CH$4,$DE$6:$DF$17,2)+1))*(VLOOKUP($A104,CURVES!$D$9:$T$261,6))*(INDEX(DailyScalarsTable,CH$5/100,MONTH($A104)))*$E104</f>
        <v>0</v>
      </c>
      <c r="CI104" s="1021">
        <f>(VLOOKUP(YEAR($A104),'NY East Load Projections'!$A$4:$EO$14,((MONTH($A104)-1)*12)+VLOOKUP(CI$4,$DE$6:$DF$17,2)+1))*(VLOOKUP($A104,CURVES!$D$9:$T$261,6))*(INDEX(DailyScalarsTable,CI$5/100,MONTH($A104)))*$E104</f>
        <v>0</v>
      </c>
      <c r="CJ104" s="1021">
        <f>(VLOOKUP(YEAR($A104),'NY East Load Projections'!$A$4:$EO$14,((MONTH($A104)-1)*12)+VLOOKUP(CJ$4,$DE$6:$DF$17,2)+1))*(VLOOKUP($A104,CURVES!$D$9:$T$261,6))*(INDEX(DailyScalarsTable,CJ$5/100,MONTH($A104)))*$E104</f>
        <v>0</v>
      </c>
      <c r="CK104" s="1021">
        <f>(VLOOKUP(YEAR($A104),'NY East Load Projections'!$A$4:$EO$14,((MONTH($A104)-1)*12)+VLOOKUP(CK$4,$DE$6:$DF$17,2)+1))*(VLOOKUP($A104,CURVES!$D$9:$T$261,6))*(INDEX(DailyScalarsTable,CK$5/100,MONTH($A104)))*$E104</f>
        <v>0</v>
      </c>
      <c r="CL104" s="1021">
        <f>(VLOOKUP(YEAR($A104),'NY East Load Projections'!$A$4:$EO$14,((MONTH($A104)-1)*12)+VLOOKUP(CL$4,$DE$6:$DF$17,2)+1))*(VLOOKUP($A104,SatSunCurve,6))*(INDEX(DailyScalarsTable,CL$5/100,MONTH($A104)))*$E104</f>
        <v>0</v>
      </c>
      <c r="CM104" s="1021">
        <f>(VLOOKUP(YEAR($A104),'NY East Load Projections'!$A$4:$EO$14,((MONTH($A104)-1)*12)+VLOOKUP(CM$4,$DE$6:$DF$17,2)+1))*(VLOOKUP($A104,SatSunCurve,6))*(INDEX(DailyScalarsTable,CM$5/100,MONTH($A104)))*$E104</f>
        <v>0</v>
      </c>
      <c r="CN104" s="1021">
        <f>(VLOOKUP(YEAR($A104),'NY East Load Projections'!$A$4:$EO$14,((MONTH($A104)-1)*12)+VLOOKUP(CN$4,$DE$6:$DF$17,2)+1))*(VLOOKUP($A104,SatSunCurve,6))*(INDEX(DailyScalarsTable,CN$5/100,MONTH($A104)))*$E104</f>
        <v>0</v>
      </c>
      <c r="CO104" s="1021">
        <f>(VLOOKUP(YEAR($A104),'NY East Load Projections'!$A$4:$EO$14,((MONTH($A104)-1)*12)+VLOOKUP(CO$4,$DE$6:$DF$17,2)+1))*(VLOOKUP($A104,SatSunCurve,6))*(INDEX(DailyScalarsTable,CO$5/100,MONTH($A104)))*$E104</f>
        <v>0</v>
      </c>
      <c r="CP104" s="1021">
        <f>(VLOOKUP(YEAR($A104),'NY East Load Projections'!$A$4:$EO$14,((MONTH($A104)-1)*12)+VLOOKUP(CP$4,$DE$6:$DF$17,2)+1))*(VLOOKUP($A104,SatSunCurve,6))*(INDEX(DailyScalarsTable,CP$5/100,MONTH($A104)))*$E104</f>
        <v>0</v>
      </c>
      <c r="CQ104" s="1021">
        <f>(VLOOKUP(YEAR($A104),'NY East Load Projections'!$A$4:$EO$14,((MONTH($A104)-1)*12)+VLOOKUP(CQ$4,$DE$6:$DF$17,2)+1))*(VLOOKUP($A104,SatSunCurve,6))*(INDEX(DailyScalarsTable,CQ$5/100,MONTH($A104)))*$E104</f>
        <v>0</v>
      </c>
      <c r="CR104" s="1021">
        <f>(VLOOKUP(YEAR($A104),'NY East Load Projections'!$A$4:$EO$14,((MONTH($A104)-1)*12)+VLOOKUP(CR$4,$DE$6:$DF$17,2)+1))*(VLOOKUP($A104,SatSunCurve,6))*(INDEX(DailyScalarsTable,CR$5/100,MONTH($A104)))*$E104</f>
        <v>0</v>
      </c>
      <c r="CS104" s="1021">
        <f>(VLOOKUP(YEAR($A104),'NY East Load Projections'!$A$4:$EO$14,((MONTH($A104)-1)*12)+VLOOKUP(CS$4,$DE$6:$DF$17,2)+1))*(VLOOKUP($A104,SatSunCurve,6))*(INDEX(DailyScalarsTable,CS$5/100,MONTH($A104)))*$E104</f>
        <v>0</v>
      </c>
      <c r="CT104" s="1021">
        <f>(VLOOKUP(YEAR($A104),'NY East Load Projections'!$A$4:$EO$14,((MONTH($A104)-1)*12)+VLOOKUP(CT$4,$DE$6:$DF$17,2)+1))*(VLOOKUP($A104,SatSunCurve,6))*(INDEX(DailyScalarsTable,CT$5/100,MONTH($A104)))*$E104</f>
        <v>0</v>
      </c>
      <c r="CU104" s="1021">
        <f>(VLOOKUP(YEAR($A104),'NY East Load Projections'!$A$4:$EO$14,((MONTH($A104)-1)*12)+VLOOKUP(CU$4,$DE$6:$DF$17,2)+1))*(VLOOKUP($A104,SatSunCurve,6))*(INDEX(DailyScalarsTable,CU$5/100,MONTH($A104)))*$E104</f>
        <v>0</v>
      </c>
      <c r="CV104" s="1021">
        <f>(VLOOKUP(YEAR($A104),'NY East Load Projections'!$A$4:$EO$14,((MONTH($A104)-1)*12)+VLOOKUP(CV$4,$DE$6:$DF$17,2)+1))*(VLOOKUP($A104,SatSunCurve,6))*(INDEX(DailyScalarsTable,CV$5/100,MONTH($A104)))*$E104</f>
        <v>0</v>
      </c>
      <c r="CW104" s="1021">
        <f>(VLOOKUP(YEAR($A104),'NY East Load Projections'!$A$4:$EO$14,((MONTH($A104)-1)*12)+VLOOKUP(CW$4,$DE$6:$DF$17,2)+1))*(VLOOKUP($A104,SatSunCurve,6))*(INDEX(DailyScalarsTable,CW$5/100,MONTH($A104)))*$E104</f>
        <v>0</v>
      </c>
      <c r="CX104" s="1021">
        <f>(VLOOKUP(YEAR($A104),'NY East Load Projections'!$A$4:$EO$14,((MONTH($A104)-1)*12)+VLOOKUP(CX$4,$DE$6:$DF$17,2)+1))*(VLOOKUP($A104,SatSunCurve,6))*(INDEX(DailyScalarsTable,CX$5/100,MONTH($A104)))*$E104</f>
        <v>0</v>
      </c>
      <c r="CY104" s="1021">
        <f>(VLOOKUP(YEAR($A104),'NY East Load Projections'!$A$4:$EO$14,((MONTH($A104)-1)*12)+VLOOKUP(CY$4,$DE$6:$DF$17,2)+1))*(VLOOKUP($A104,SatSunCurve,6))*(INDEX(DailyScalarsTable,CY$5/100,MONTH($A104)))*$E104</f>
        <v>0</v>
      </c>
      <c r="CZ104" s="1021">
        <f>(VLOOKUP(YEAR($A104),'NY East Load Projections'!$A$4:$EO$14,((MONTH($A104)-1)*12)+VLOOKUP(CZ$4,$DE$6:$DF$17,2)+1))*(VLOOKUP($A104,SatSunCurve,6))*(INDEX(DailyScalarsTable,CZ$5/100,MONTH($A104)))*$E104</f>
        <v>0</v>
      </c>
      <c r="DA104" s="1021">
        <f>(VLOOKUP(YEAR($A104),'NY East Load Projections'!$A$4:$EO$14,((MONTH($A104)-1)*12)+VLOOKUP(DA$4,$DE$6:$DF$17,2)+1))*(VLOOKUP($A104,SatSunCurve,6))*(INDEX(DailyScalarsTable,DA$5/100,MONTH($A104)))*$E104</f>
        <v>0</v>
      </c>
      <c r="DB104" s="1021">
        <f>(VLOOKUP(YEAR($A104),'NY East Load Projections'!$A$4:$EO$14,((MONTH($A104)-1)*12)+VLOOKUP(DB$4,$DE$6:$DF$17,2)+1))*(VLOOKUP($A104,CURVES!$D$9:$T$261,6))*(INDEX(DailyScalarsTable,DB$5/100,MONTH($A104)))*$E104</f>
        <v>0</v>
      </c>
      <c r="DH104" s="1021">
        <f t="shared" si="2"/>
        <v>-1620886.3652983715</v>
      </c>
      <c r="DI104">
        <f ca="1">CALC!J124</f>
        <v>0.51484882515290875</v>
      </c>
      <c r="DJ104" s="1029">
        <f t="shared" ca="1" si="3"/>
        <v>-834511.44088023505</v>
      </c>
    </row>
    <row r="105" spans="1:114" x14ac:dyDescent="0.25">
      <c r="A105" s="244">
        <v>39904</v>
      </c>
      <c r="B105" s="13">
        <v>22</v>
      </c>
      <c r="C105" s="210">
        <v>4</v>
      </c>
      <c r="D105" s="210">
        <v>4</v>
      </c>
      <c r="E105" s="210">
        <v>0</v>
      </c>
      <c r="F105" s="13">
        <v>30</v>
      </c>
      <c r="H105" s="1021">
        <f>(VLOOKUP(YEAR($A105),'NY East Load Projections'!$A$4:$EO$14,((MONTH($A105)-1)*12)+VLOOKUP(H$4,$DE$6:$DF$17,2)+1))*(VLOOKUP($A105,CURVES!$D$9:$K$261,6))*(INDEX(DailyScalarsTable,H$5/100,MONTH($A105)))*$B105</f>
        <v>-32437.171764766921</v>
      </c>
      <c r="I105" s="1021">
        <f>(VLOOKUP(YEAR($A105),'NY East Load Projections'!$A$4:$EO$14,((MONTH($A105)-1)*12)+VLOOKUP(I$4,$DE$6:$DF$17,2)+1))*(VLOOKUP($A105,CURVES!$D$9:$K$261,6))*(INDEX(DailyScalarsTable,I$5/100,MONTH($A105)))*$B105</f>
        <v>-30765.74240922348</v>
      </c>
      <c r="J105" s="1021">
        <f>(VLOOKUP(YEAR($A105),'NY East Load Projections'!$A$4:$EO$14,((MONTH($A105)-1)*12)+VLOOKUP(J$4,$DE$6:$DF$17,2)+1))*(VLOOKUP($A105,CURVES!$D$9:$K$261,6))*(INDEX(DailyScalarsTable,J$5/100,MONTH($A105)))*$B105</f>
        <v>-29528.869842166103</v>
      </c>
      <c r="K105" s="1021">
        <f>(VLOOKUP(YEAR($A105),'NY East Load Projections'!$A$4:$EO$14,((MONTH($A105)-1)*12)+VLOOKUP(K$4,$DE$6:$DF$17,2)+1))*(VLOOKUP($A105,CURVES!$D$9:$K$261,6))*(INDEX(DailyScalarsTable,K$5/100,MONTH($A105)))*$B105</f>
        <v>-29546.311489526364</v>
      </c>
      <c r="L105" s="1021">
        <f>(VLOOKUP(YEAR($A105),'NY East Load Projections'!$A$4:$EO$14,((MONTH($A105)-1)*12)+VLOOKUP(L$4,$DE$6:$DF$17,2)+1))*(VLOOKUP($A105,CURVES!$D$9:$K$261,6))*(INDEX(DailyScalarsTable,L$5/100,MONTH($A105)))*$B105</f>
        <v>-34026.06023904324</v>
      </c>
      <c r="M105" s="1021">
        <f>(VLOOKUP(YEAR($A105),'NY East Load Projections'!$A$4:$EO$14,((MONTH($A105)-1)*12)+VLOOKUP(M$4,$DE$6:$DF$17,2)+1))*(VLOOKUP($A105,CURVES!$D$9:$K$261,6))*(INDEX(DailyScalarsTable,M$5/100,MONTH($A105)))*$B105</f>
        <v>-39195.135280124901</v>
      </c>
      <c r="N105" s="1021">
        <f>(VLOOKUP(YEAR($A105),'NY East Load Projections'!$A$4:$EO$14,((MONTH($A105)-1)*12)+VLOOKUP(N$4,$DE$6:$DF$17,2)+1))*(VLOOKUP($A105,CURVES!$D$9:$K$261,6))*(INDEX(DailyScalarsTable,N$5/100,MONTH($A105)))*$B105</f>
        <v>-55903.649968024802</v>
      </c>
      <c r="O105" s="1021">
        <f>(VLOOKUP(YEAR($A105),'NY East Load Projections'!$A$4:$EO$14,((MONTH($A105)-1)*12)+VLOOKUP(O$4,$DE$6:$DF$17,2)+1))*(VLOOKUP($A105,CURVES!$D$9:$K$261,2))*(INDEX(DailyScalarsTable,O$5/100,MONTH($A105)))*$B105</f>
        <v>-68122.084324717769</v>
      </c>
      <c r="P105" s="1021">
        <f>(VLOOKUP(YEAR($A105),'NY East Load Projections'!$A$4:$EO$14,((MONTH($A105)-1)*12)+VLOOKUP(P$4,$DE$6:$DF$17,2)+1))*(VLOOKUP($A105,CURVES!$D$9:$K$261,2))*(INDEX(DailyScalarsTable,P$5/100,MONTH($A105)))*$B105</f>
        <v>-74704.486913644505</v>
      </c>
      <c r="Q105" s="1021">
        <f>(VLOOKUP(YEAR($A105),'NY East Load Projections'!$A$4:$EO$14,((MONTH($A105)-1)*12)+VLOOKUP(Q$4,$DE$6:$DF$17,2)+1))*(VLOOKUP($A105,CURVES!$D$9:$K$261,2))*(INDEX(DailyScalarsTable,Q$5/100,MONTH($A105)))*$B105</f>
        <v>-71593.468018481741</v>
      </c>
      <c r="R105" s="1021">
        <f>(VLOOKUP(YEAR($A105),'NY East Load Projections'!$A$4:$EO$14,((MONTH($A105)-1)*12)+VLOOKUP(R$4,$DE$6:$DF$17,2)+1))*(VLOOKUP($A105,CURVES!$D$9:$K$261,2))*(INDEX(DailyScalarsTable,R$5/100,MONTH($A105)))*$B105</f>
        <v>-73069.437362241646</v>
      </c>
      <c r="S105" s="1021">
        <f>(VLOOKUP(YEAR($A105),'NY East Load Projections'!$A$4:$EO$14,((MONTH($A105)-1)*12)+VLOOKUP(S$4,$DE$6:$DF$17,2)+1))*(VLOOKUP($A105,CURVES!$D$9:$K$261,2))*(INDEX(DailyScalarsTable,S$5/100,MONTH($A105)))*$B105</f>
        <v>-73212.714900251201</v>
      </c>
      <c r="T105" s="1021">
        <f>(VLOOKUP(YEAR($A105),'NY East Load Projections'!$A$4:$EO$14,((MONTH($A105)-1)*12)+VLOOKUP(T$4,$DE$6:$DF$17,2)+1))*(VLOOKUP($A105,CURVES!$D$9:$K$261,2))*(INDEX(DailyScalarsTable,T$5/100,MONTH($A105)))*$B105</f>
        <v>-68818.847230491359</v>
      </c>
      <c r="U105" s="1021">
        <f>(VLOOKUP(YEAR($A105),'NY East Load Projections'!$A$4:$EO$14,((MONTH($A105)-1)*12)+VLOOKUP(U$4,$DE$6:$DF$17,2)+1))*(VLOOKUP($A105,CURVES!$D$9:$K$261,2))*(INDEX(DailyScalarsTable,U$5/100,MONTH($A105)))*$B105</f>
        <v>-68892.950278925622</v>
      </c>
      <c r="V105" s="1021">
        <f>(VLOOKUP(YEAR($A105),'NY East Load Projections'!$A$4:$EO$14,((MONTH($A105)-1)*12)+VLOOKUP(V$4,$DE$6:$DF$17,2)+1))*(VLOOKUP($A105,CURVES!$D$9:$K$261,2))*(INDEX(DailyScalarsTable,V$5/100,MONTH($A105)))*$B105</f>
        <v>-64616.768483982574</v>
      </c>
      <c r="W105" s="1021">
        <f>(VLOOKUP(YEAR($A105),'NY East Load Projections'!$A$4:$EO$14,((MONTH($A105)-1)*12)+VLOOKUP(W$4,$DE$6:$DF$17,2)+1))*(VLOOKUP($A105,CURVES!$D$9:$K$261,2))*(INDEX(DailyScalarsTable,W$5/100,MONTH($A105)))*$B105</f>
        <v>-60391.804972516184</v>
      </c>
      <c r="X105" s="1021">
        <f>(VLOOKUP(YEAR($A105),'NY East Load Projections'!$A$4:$EO$14,((MONTH($A105)-1)*12)+VLOOKUP(X$4,$DE$6:$DF$17,2)+1))*(VLOOKUP($A105,CURVES!$D$9:$K$261,2))*(INDEX(DailyScalarsTable,X$5/100,MONTH($A105)))*$B105</f>
        <v>-56242.779078905311</v>
      </c>
      <c r="Y105" s="1021">
        <f>(VLOOKUP(YEAR($A105),'NY East Load Projections'!$A$4:$EO$14,((MONTH($A105)-1)*12)+VLOOKUP(Y$4,$DE$6:$DF$17,2)+1))*(VLOOKUP($A105,CURVES!$D$9:$K$261,2))*(INDEX(DailyScalarsTable,Y$5/100,MONTH($A105)))*$B105</f>
        <v>-55511.31288412842</v>
      </c>
      <c r="Z105" s="1021">
        <f>(VLOOKUP(YEAR($A105),'NY East Load Projections'!$A$4:$EO$14,((MONTH($A105)-1)*12)+VLOOKUP(Z$4,$DE$6:$DF$17,2)+1))*(VLOOKUP($A105,CURVES!$D$9:$K$261,2))*(INDEX(DailyScalarsTable,Z$5/100,MONTH($A105)))*$B105</f>
        <v>-55213.732042441094</v>
      </c>
      <c r="AA105" s="1021">
        <f>(VLOOKUP(YEAR($A105),'NY East Load Projections'!$A$4:$EO$14,((MONTH($A105)-1)*12)+VLOOKUP(AA$4,$DE$6:$DF$17,2)+1))*(VLOOKUP($A105,CURVES!$D$9:$K$261,2))*(INDEX(DailyScalarsTable,AA$5/100,MONTH($A105)))*$B105</f>
        <v>-60560.822760731964</v>
      </c>
      <c r="AB105" s="1021">
        <f>(VLOOKUP(YEAR($A105),'NY East Load Projections'!$A$4:$EO$14,((MONTH($A105)-1)*12)+VLOOKUP(AB$4,$DE$6:$DF$17,2)+1))*(VLOOKUP($A105,CURVES!$D$9:$K$261,2))*(INDEX(DailyScalarsTable,AB$5/100,MONTH($A105)))*$B105</f>
        <v>-67980.12649900149</v>
      </c>
      <c r="AC105" s="1021">
        <f>(VLOOKUP(YEAR($A105),'NY East Load Projections'!$A$4:$EO$14,((MONTH($A105)-1)*12)+VLOOKUP(AC$4,$DE$6:$DF$17,2)+1))*(VLOOKUP($A105,CURVES!$D$9:$K$261,2))*(INDEX(DailyScalarsTable,AC$5/100,MONTH($A105)))*$B105</f>
        <v>-57924.197637362202</v>
      </c>
      <c r="AD105" s="1021">
        <f>(VLOOKUP(YEAR($A105),'NY East Load Projections'!$A$4:$EO$14,((MONTH($A105)-1)*12)+VLOOKUP(AD$4,$DE$6:$DF$17,2)+1))*(VLOOKUP($A105,CURVES!$D$9:$K$261,2))*(INDEX(DailyScalarsTable,AD$5/100,MONTH($A105)))*$B105</f>
        <v>-51172.535719984859</v>
      </c>
      <c r="AE105" s="1021">
        <f>(VLOOKUP(YEAR($A105),'NY East Load Projections'!$A$4:$EO$14,((MONTH($A105)-1)*12)+VLOOKUP(AE$4,$DE$6:$DF$17,2)+1))*(VLOOKUP($A105,CURVES!$D$9:$K$261,6))*(INDEX(DailyScalarsTable,AE$5/100,MONTH($A105)))*$B105</f>
        <v>-38216.56011519031</v>
      </c>
      <c r="AF105" s="1021"/>
      <c r="AG105" s="1021">
        <f>(VLOOKUP(YEAR($A105),'NY East Load Projections'!$A$4:$EO$14,((MONTH($A105)-1)*12)+VLOOKUP(AG$4,$DE$6:$DF$17,2)+1))*(VLOOKUP($A105,CURVES!$D$9:$T$261,6))*(INDEX(DailyScalarsTable,AG$5/100,MONTH($A105)))*$C105</f>
        <v>-6147.2232681381611</v>
      </c>
      <c r="AH105" s="1021">
        <f>(VLOOKUP(YEAR($A105),'NY East Load Projections'!$A$4:$EO$14,((MONTH($A105)-1)*12)+VLOOKUP(AH$4,$DE$6:$DF$17,2)+1))*(VLOOKUP($A105,CURVES!$D$9:$T$261,6))*(INDEX(DailyScalarsTable,AH$5/100,MONTH($A105)))*$C105</f>
        <v>-5830.467864801607</v>
      </c>
      <c r="AI105" s="1021">
        <f>(VLOOKUP(YEAR($A105),'NY East Load Projections'!$A$4:$EO$14,((MONTH($A105)-1)*12)+VLOOKUP(AI$4,$DE$6:$DF$17,2)+1))*(VLOOKUP($A105,CURVES!$D$9:$T$261,6))*(INDEX(DailyScalarsTable,AI$5/100,MONTH($A105)))*$C105</f>
        <v>-5596.0660532295024</v>
      </c>
      <c r="AJ105" s="1021">
        <f>(VLOOKUP(YEAR($A105),'NY East Load Projections'!$A$4:$EO$14,((MONTH($A105)-1)*12)+VLOOKUP(AJ$4,$DE$6:$DF$17,2)+1))*(VLOOKUP($A105,CURVES!$D$9:$T$261,6))*(INDEX(DailyScalarsTable,AJ$5/100,MONTH($A105)))*$C105</f>
        <v>-5599.3714493122807</v>
      </c>
      <c r="AK105" s="1021">
        <f>(VLOOKUP(YEAR($A105),'NY East Load Projections'!$A$4:$EO$14,((MONTH($A105)-1)*12)+VLOOKUP(AK$4,$DE$6:$DF$17,2)+1))*(VLOOKUP($A105,CURVES!$D$9:$T$261,6))*(INDEX(DailyScalarsTable,AK$5/100,MONTH($A105)))*$C105</f>
        <v>-6095.8102292545855</v>
      </c>
      <c r="AL105" s="1021">
        <f>(VLOOKUP(YEAR($A105),'NY East Load Projections'!$A$4:$EO$14,((MONTH($A105)-1)*12)+VLOOKUP(AL$4,$DE$6:$DF$17,2)+1))*(VLOOKUP($A105,CURVES!$D$9:$T$261,6))*(INDEX(DailyScalarsTable,AL$5/100,MONTH($A105)))*$C105</f>
        <v>-7021.8563330304887</v>
      </c>
      <c r="AM105" s="1021">
        <f>(VLOOKUP(YEAR($A105),'NY East Load Projections'!$A$4:$EO$14,((MONTH($A105)-1)*12)+VLOOKUP(AM$4,$DE$6:$DF$17,2)+1))*(VLOOKUP($A105,CURVES!$D$9:$T$261,6))*(INDEX(DailyScalarsTable,AM$5/100,MONTH($A105)))*$C105</f>
        <v>-10015.207136344488</v>
      </c>
      <c r="AN105" s="1021">
        <f>(VLOOKUP(YEAR($A105),'NY East Load Projections'!$A$4:$EO$14,((MONTH($A105)-1)*12)+VLOOKUP(AN$4,$DE$6:$DF$17,2)+1))*(VLOOKUP($A105,SatSunCurve,2))*(INDEX(DailyScalarsTable,AN$5/100,MONTH($A105)))*$C105</f>
        <v>-8612.6463412619323</v>
      </c>
      <c r="AO105" s="1021">
        <f>(VLOOKUP(YEAR($A105),'NY East Load Projections'!$A$4:$EO$14,((MONTH($A105)-1)*12)+VLOOKUP(AO$4,$DE$6:$DF$17,2)+1))*(VLOOKUP($A105,SatSunCurve,2))*(INDEX(DailyScalarsTable,AO$5/100,MONTH($A105)))*$C105</f>
        <v>-9415.4670382859968</v>
      </c>
      <c r="AP105" s="1021">
        <f>(VLOOKUP(YEAR($A105),'NY East Load Projections'!$A$4:$EO$14,((MONTH($A105)-1)*12)+VLOOKUP(AP$4,$DE$6:$DF$17,2)+1))*(VLOOKUP($A105,SatSunCurve,2))*(INDEX(DailyScalarsTable,AP$5/100,MONTH($A105)))*$C105</f>
        <v>-9023.3661475222325</v>
      </c>
      <c r="AQ105" s="1021">
        <f>(VLOOKUP(YEAR($A105),'NY East Load Projections'!$A$4:$EO$14,((MONTH($A105)-1)*12)+VLOOKUP(AQ$4,$DE$6:$DF$17,2)+1))*(VLOOKUP($A105,SatSunCurve,2))*(INDEX(DailyScalarsTable,AQ$5/100,MONTH($A105)))*$C105</f>
        <v>-9209.3916632553955</v>
      </c>
      <c r="AR105" s="1021">
        <f>(VLOOKUP(YEAR($A105),'NY East Load Projections'!$A$4:$EO$14,((MONTH($A105)-1)*12)+VLOOKUP(AR$4,$DE$6:$DF$17,2)+1))*(VLOOKUP($A105,SatSunCurve,2))*(INDEX(DailyScalarsTable,AR$5/100,MONTH($A105)))*$C105</f>
        <v>-9227.4498146756068</v>
      </c>
      <c r="AS105" s="1021">
        <f>(VLOOKUP(YEAR($A105),'NY East Load Projections'!$A$4:$EO$14,((MONTH($A105)-1)*12)+VLOOKUP(AS$4,$DE$6:$DF$17,2)+1))*(VLOOKUP($A105,SatSunCurve,2))*(INDEX(DailyScalarsTable,AS$5/100,MONTH($A105)))*$C105</f>
        <v>-8516.7103203931165</v>
      </c>
      <c r="AT105" s="1021">
        <f>(VLOOKUP(YEAR($A105),'NY East Load Projections'!$A$4:$EO$14,((MONTH($A105)-1)*12)+VLOOKUP(AT$4,$DE$6:$DF$17,2)+1))*(VLOOKUP($A105,SatSunCurve,2))*(INDEX(DailyScalarsTable,AT$5/100,MONTH($A105)))*$C105</f>
        <v>-8525.8809796350379</v>
      </c>
      <c r="AU105" s="1021">
        <f>(VLOOKUP(YEAR($A105),'NY East Load Projections'!$A$4:$EO$14,((MONTH($A105)-1)*12)+VLOOKUP(AU$4,$DE$6:$DF$17,2)+1))*(VLOOKUP($A105,SatSunCurve,2))*(INDEX(DailyScalarsTable,AU$5/100,MONTH($A105)))*$C105</f>
        <v>-7996.6799963216681</v>
      </c>
      <c r="AV105" s="1021">
        <f>(VLOOKUP(YEAR($A105),'NY East Load Projections'!$A$4:$EO$14,((MONTH($A105)-1)*12)+VLOOKUP(AV$4,$DE$6:$DF$17,2)+1))*(VLOOKUP($A105,SatSunCurve,2))*(INDEX(DailyScalarsTable,AV$5/100,MONTH($A105)))*$C105</f>
        <v>-7473.8175568961005</v>
      </c>
      <c r="AW105" s="1021">
        <f>(VLOOKUP(YEAR($A105),'NY East Load Projections'!$A$4:$EO$14,((MONTH($A105)-1)*12)+VLOOKUP(AW$4,$DE$6:$DF$17,2)+1))*(VLOOKUP($A105,SatSunCurve,2))*(INDEX(DailyScalarsTable,AW$5/100,MONTH($A105)))*$C105</f>
        <v>-6881.8538965146672</v>
      </c>
      <c r="AX105" s="1021">
        <f>(VLOOKUP(YEAR($A105),'NY East Load Projections'!$A$4:$EO$14,((MONTH($A105)-1)*12)+VLOOKUP(AX$4,$DE$6:$DF$17,2)+1))*(VLOOKUP($A105,SatSunCurve,2))*(INDEX(DailyScalarsTable,AX$5/100,MONTH($A105)))*$C105</f>
        <v>-6792.3518561615056</v>
      </c>
      <c r="AY105" s="1021">
        <f>(VLOOKUP(YEAR($A105),'NY East Load Projections'!$A$4:$EO$14,((MONTH($A105)-1)*12)+VLOOKUP(AY$4,$DE$6:$DF$17,2)+1))*(VLOOKUP($A105,SatSunCurve,2))*(INDEX(DailyScalarsTable,AY$5/100,MONTH($A105)))*$C105</f>
        <v>-6755.9399307831218</v>
      </c>
      <c r="AZ105" s="1021">
        <f>(VLOOKUP(YEAR($A105),'NY East Load Projections'!$A$4:$EO$14,((MONTH($A105)-1)*12)+VLOOKUP(AZ$4,$DE$6:$DF$17,2)+1))*(VLOOKUP($A105,SatSunCurve,2))*(INDEX(DailyScalarsTable,AZ$5/100,MONTH($A105)))*$C105</f>
        <v>-7410.2087577744433</v>
      </c>
      <c r="BA105" s="1021">
        <f>(VLOOKUP(YEAR($A105),'NY East Load Projections'!$A$4:$EO$14,((MONTH($A105)-1)*12)+VLOOKUP(BA$4,$DE$6:$DF$17,2)+1))*(VLOOKUP($A105,SatSunCurve,2))*(INDEX(DailyScalarsTable,BA$5/100,MONTH($A105)))*$C105</f>
        <v>-8761.9684174862159</v>
      </c>
      <c r="BB105" s="1021">
        <f>(VLOOKUP(YEAR($A105),'NY East Load Projections'!$A$4:$EO$14,((MONTH($A105)-1)*12)+VLOOKUP(BB$4,$DE$6:$DF$17,2)+1))*(VLOOKUP($A105,SatSunCurve,2))*(INDEX(DailyScalarsTable,BB$5/100,MONTH($A105)))*$C105</f>
        <v>-7465.8582801291486</v>
      </c>
      <c r="BC105" s="1021">
        <f>(VLOOKUP(YEAR($A105),'NY East Load Projections'!$A$4:$EO$14,((MONTH($A105)-1)*12)+VLOOKUP(BC$4,$DE$6:$DF$17,2)+1))*(VLOOKUP($A105,SatSunCurve,2))*(INDEX(DailyScalarsTable,BC$5/100,MONTH($A105)))*$C105</f>
        <v>-6595.6355910543689</v>
      </c>
      <c r="BD105" s="1021">
        <f>(VLOOKUP(YEAR($A105),'NY East Load Projections'!$A$4:$EO$14,((MONTH($A105)-1)*12)+VLOOKUP(BD$4,$DE$6:$DF$17,2)+1))*(VLOOKUP($A105,CURVES!$D$9:$T$261,6))*(INDEX(DailyScalarsTable,BD$5/100,MONTH($A105)))*$C105</f>
        <v>-6979.7906010552597</v>
      </c>
      <c r="BE105" s="1021"/>
      <c r="BF105" s="1021">
        <f>(VLOOKUP(YEAR($A105),'NY East Load Projections'!$A$4:$EO$14,((MONTH($A105)-1)*12)+VLOOKUP(BF$4,$DE$6:$DF$17,2)+1))*(VLOOKUP($A105,CURVES!$D$9:$T$261,6))*(INDEX(DailyScalarsTable,BF$5/100,MONTH($A105)))*$D105</f>
        <v>-6147.2232681381611</v>
      </c>
      <c r="BG105" s="1021">
        <f>(VLOOKUP(YEAR($A105),'NY East Load Projections'!$A$4:$EO$14,((MONTH($A105)-1)*12)+VLOOKUP(BG$4,$DE$6:$DF$17,2)+1))*(VLOOKUP($A105,CURVES!$D$9:$T$261,6))*(INDEX(DailyScalarsTable,BG$5/100,MONTH($A105)))*$D105</f>
        <v>-5830.467864801607</v>
      </c>
      <c r="BH105" s="1021">
        <f>(VLOOKUP(YEAR($A105),'NY East Load Projections'!$A$4:$EO$14,((MONTH($A105)-1)*12)+VLOOKUP(BH$4,$DE$6:$DF$17,2)+1))*(VLOOKUP($A105,CURVES!$D$9:$T$261,6))*(INDEX(DailyScalarsTable,BH$5/100,MONTH($A105)))*$D105</f>
        <v>-5596.0660532295024</v>
      </c>
      <c r="BI105" s="1021">
        <f>(VLOOKUP(YEAR($A105),'NY East Load Projections'!$A$4:$EO$14,((MONTH($A105)-1)*12)+VLOOKUP(BI$4,$DE$6:$DF$17,2)+1))*(VLOOKUP($A105,CURVES!$D$9:$T$261,6))*(INDEX(DailyScalarsTable,BI$5/100,MONTH($A105)))*$D105</f>
        <v>-5599.3714493122807</v>
      </c>
      <c r="BJ105" s="1021">
        <f>(VLOOKUP(YEAR($A105),'NY East Load Projections'!$A$4:$EO$14,((MONTH($A105)-1)*12)+VLOOKUP(BJ$4,$DE$6:$DF$17,2)+1))*(VLOOKUP($A105,CURVES!$D$9:$T$261,6))*(INDEX(DailyScalarsTable,BJ$5/100,MONTH($A105)))*$D105</f>
        <v>-6095.8102292545855</v>
      </c>
      <c r="BK105" s="1021">
        <f>(VLOOKUP(YEAR($A105),'NY East Load Projections'!$A$4:$EO$14,((MONTH($A105)-1)*12)+VLOOKUP(BK$4,$DE$6:$DF$17,2)+1))*(VLOOKUP($A105,CURVES!$D$9:$T$261,6))*(INDEX(DailyScalarsTable,BK$5/100,MONTH($A105)))*$D105</f>
        <v>-7021.8563330304887</v>
      </c>
      <c r="BL105" s="1021">
        <f>(VLOOKUP(YEAR($A105),'NY East Load Projections'!$A$4:$EO$14,((MONTH($A105)-1)*12)+VLOOKUP(BL$4,$DE$6:$DF$17,2)+1))*(VLOOKUP($A105,CURVES!$D$9:$T$261,6))*(INDEX(DailyScalarsTable,BL$5/100,MONTH($A105)))*$D105</f>
        <v>-10015.207136344488</v>
      </c>
      <c r="BM105" s="1021">
        <f>(VLOOKUP(YEAR($A105),'NY East Load Projections'!$A$4:$EO$14,((MONTH($A105)-1)*12)+VLOOKUP(BM$4,$DE$6:$DF$17,2)+1))*(VLOOKUP($A105,SatSunCurve,6))*(INDEX(DailyScalarsTable,BM$5/100,MONTH($A105)))*$D105</f>
        <v>-7026.1057746052447</v>
      </c>
      <c r="BN105" s="1021">
        <f>(VLOOKUP(YEAR($A105),'NY East Load Projections'!$A$4:$EO$14,((MONTH($A105)-1)*12)+VLOOKUP(BN$4,$DE$6:$DF$17,2)+1))*(VLOOKUP($A105,SatSunCurve,6))*(INDEX(DailyScalarsTable,BN$5/100,MONTH($A105)))*$D105</f>
        <v>-7681.0384064386917</v>
      </c>
      <c r="BO105" s="1021">
        <f>(VLOOKUP(YEAR($A105),'NY East Load Projections'!$A$4:$EO$14,((MONTH($A105)-1)*12)+VLOOKUP(BO$4,$DE$6:$DF$17,2)+1))*(VLOOKUP($A105,SatSunCurve,6))*(INDEX(DailyScalarsTable,BO$5/100,MONTH($A105)))*$D105</f>
        <v>-7361.1666476710507</v>
      </c>
      <c r="BP105" s="1021">
        <f>(VLOOKUP(YEAR($A105),'NY East Load Projections'!$A$4:$EO$14,((MONTH($A105)-1)*12)+VLOOKUP(BP$4,$DE$6:$DF$17,2)+1))*(VLOOKUP($A105,SatSunCurve,6))*(INDEX(DailyScalarsTable,BP$5/100,MONTH($A105)))*$D105</f>
        <v>-7512.9242954981628</v>
      </c>
      <c r="BQ105" s="1021">
        <f>(VLOOKUP(YEAR($A105),'NY East Load Projections'!$A$4:$EO$14,((MONTH($A105)-1)*12)+VLOOKUP(BQ$4,$DE$6:$DF$17,2)+1))*(VLOOKUP($A105,SatSunCurve,6))*(INDEX(DailyScalarsTable,BQ$5/100,MONTH($A105)))*$D105</f>
        <v>-7527.6559443950155</v>
      </c>
      <c r="BR105" s="1021">
        <f>(VLOOKUP(YEAR($A105),'NY East Load Projections'!$A$4:$EO$14,((MONTH($A105)-1)*12)+VLOOKUP(BR$4,$DE$6:$DF$17,2)+1))*(VLOOKUP($A105,SatSunCurve,6))*(INDEX(DailyScalarsTable,BR$5/100,MONTH($A105)))*$D105</f>
        <v>-6947.842183658785</v>
      </c>
      <c r="BS105" s="1021">
        <f>(VLOOKUP(YEAR($A105),'NY East Load Projections'!$A$4:$EO$14,((MONTH($A105)-1)*12)+VLOOKUP(BS$4,$DE$6:$DF$17,2)+1))*(VLOOKUP($A105,SatSunCurve,6))*(INDEX(DailyScalarsTable,BS$5/100,MONTH($A105)))*$D105</f>
        <v>-6955.3235104546984</v>
      </c>
      <c r="BT105" s="1021">
        <f>(VLOOKUP(YEAR($A105),'NY East Load Projections'!$A$4:$EO$14,((MONTH($A105)-1)*12)+VLOOKUP(BT$4,$DE$6:$DF$17,2)+1))*(VLOOKUP($A105,SatSunCurve,6))*(INDEX(DailyScalarsTable,BT$5/100,MONTH($A105)))*$D105</f>
        <v>-6523.6069465257478</v>
      </c>
      <c r="BU105" s="1021">
        <f>(VLOOKUP(YEAR($A105),'NY East Load Projections'!$A$4:$EO$14,((MONTH($A105)-1)*12)+VLOOKUP(BU$4,$DE$6:$DF$17,2)+1))*(VLOOKUP($A105,SatSunCurve,6))*(INDEX(DailyScalarsTable,BU$5/100,MONTH($A105)))*$D105</f>
        <v>-6097.0612996469181</v>
      </c>
      <c r="BV105" s="1021">
        <f>(VLOOKUP(YEAR($A105),'NY East Load Projections'!$A$4:$EO$14,((MONTH($A105)-1)*12)+VLOOKUP(BV$4,$DE$6:$DF$17,2)+1))*(VLOOKUP($A105,SatSunCurve,6))*(INDEX(DailyScalarsTable,BV$5/100,MONTH($A105)))*$D105</f>
        <v>-5614.143607713333</v>
      </c>
      <c r="BW105" s="1021">
        <f>(VLOOKUP(YEAR($A105),'NY East Load Projections'!$A$4:$EO$14,((MONTH($A105)-1)*12)+VLOOKUP(BW$4,$DE$6:$DF$17,2)+1))*(VLOOKUP($A105,SatSunCurve,6))*(INDEX(DailyScalarsTable,BW$5/100,MONTH($A105)))*$D105</f>
        <v>-5541.1287900083998</v>
      </c>
      <c r="BX105" s="1021">
        <f>(VLOOKUP(YEAR($A105),'NY East Load Projections'!$A$4:$EO$14,((MONTH($A105)-1)*12)+VLOOKUP(BX$4,$DE$6:$DF$17,2)+1))*(VLOOKUP($A105,SatSunCurve,6))*(INDEX(DailyScalarsTable,BX$5/100,MONTH($A105)))*$D105</f>
        <v>-5511.424326475526</v>
      </c>
      <c r="BY105" s="1021">
        <f>(VLOOKUP(YEAR($A105),'NY East Load Projections'!$A$4:$EO$14,((MONTH($A105)-1)*12)+VLOOKUP(BY$4,$DE$6:$DF$17,2)+1))*(VLOOKUP($A105,SatSunCurve,6))*(INDEX(DailyScalarsTable,BY$5/100,MONTH($A105)))*$D105</f>
        <v>-6045.1699142218322</v>
      </c>
      <c r="BZ105" s="1021">
        <f>(VLOOKUP(YEAR($A105),'NY East Load Projections'!$A$4:$EO$14,((MONTH($A105)-1)*12)+VLOOKUP(BZ$4,$DE$6:$DF$17,2)+1))*(VLOOKUP($A105,SatSunCurve,6))*(INDEX(DailyScalarsTable,BZ$5/100,MONTH($A105)))*$D105</f>
        <v>-7147.9211447556645</v>
      </c>
      <c r="CA105" s="1021">
        <f>(VLOOKUP(YEAR($A105),'NY East Load Projections'!$A$4:$EO$14,((MONTH($A105)-1)*12)+VLOOKUP(CA$4,$DE$6:$DF$17,2)+1))*(VLOOKUP($A105,SatSunCurve,6))*(INDEX(DailyScalarsTable,CA$5/100,MONTH($A105)))*$D105</f>
        <v>-6090.5682058592347</v>
      </c>
      <c r="CB105" s="1021">
        <f>(VLOOKUP(YEAR($A105),'NY East Load Projections'!$A$4:$EO$14,((MONTH($A105)-1)*12)+VLOOKUP(CB$4,$DE$6:$DF$17,2)+1))*(VLOOKUP($A105,SatSunCurve,6))*(INDEX(DailyScalarsTable,CB$5/100,MONTH($A105)))*$D105</f>
        <v>-5380.649741936224</v>
      </c>
      <c r="CC105" s="1021">
        <f>(VLOOKUP(YEAR($A105),'NY East Load Projections'!$A$4:$EO$14,((MONTH($A105)-1)*12)+VLOOKUP(CC$4,$DE$6:$DF$17,2)+1))*(VLOOKUP($A105,CURVES!$D$9:$T$261,6))*(INDEX(DailyScalarsTable,CC$5/100,MONTH($A105)))*$D105</f>
        <v>-6979.7906010552597</v>
      </c>
      <c r="CE105" s="1021">
        <f>(VLOOKUP(YEAR($A105),'NY East Load Projections'!$A$4:$EO$14,((MONTH($A105)-1)*12)+VLOOKUP(CE$4,$DE$6:$DF$17,2)+1))*(VLOOKUP($A105,CURVES!$D$9:$T$261,6))*(INDEX(DailyScalarsTable,CE$5/100,MONTH($A105)))*$E105</f>
        <v>0</v>
      </c>
      <c r="CF105" s="1021">
        <f>(VLOOKUP(YEAR($A105),'NY East Load Projections'!$A$4:$EO$14,((MONTH($A105)-1)*12)+VLOOKUP(CF$4,$DE$6:$DF$17,2)+1))*(VLOOKUP($A105,CURVES!$D$9:$T$261,6))*(INDEX(DailyScalarsTable,CF$5/100,MONTH($A105)))*$E105</f>
        <v>0</v>
      </c>
      <c r="CG105" s="1021">
        <f>(VLOOKUP(YEAR($A105),'NY East Load Projections'!$A$4:$EO$14,((MONTH($A105)-1)*12)+VLOOKUP(CG$4,$DE$6:$DF$17,2)+1))*(VLOOKUP($A105,CURVES!$D$9:$T$261,6))*(INDEX(DailyScalarsTable,CG$5/100,MONTH($A105)))*$E105</f>
        <v>0</v>
      </c>
      <c r="CH105" s="1021">
        <f>(VLOOKUP(YEAR($A105),'NY East Load Projections'!$A$4:$EO$14,((MONTH($A105)-1)*12)+VLOOKUP(CH$4,$DE$6:$DF$17,2)+1))*(VLOOKUP($A105,CURVES!$D$9:$T$261,6))*(INDEX(DailyScalarsTable,CH$5/100,MONTH($A105)))*$E105</f>
        <v>0</v>
      </c>
      <c r="CI105" s="1021">
        <f>(VLOOKUP(YEAR($A105),'NY East Load Projections'!$A$4:$EO$14,((MONTH($A105)-1)*12)+VLOOKUP(CI$4,$DE$6:$DF$17,2)+1))*(VLOOKUP($A105,CURVES!$D$9:$T$261,6))*(INDEX(DailyScalarsTable,CI$5/100,MONTH($A105)))*$E105</f>
        <v>0</v>
      </c>
      <c r="CJ105" s="1021">
        <f>(VLOOKUP(YEAR($A105),'NY East Load Projections'!$A$4:$EO$14,((MONTH($A105)-1)*12)+VLOOKUP(CJ$4,$DE$6:$DF$17,2)+1))*(VLOOKUP($A105,CURVES!$D$9:$T$261,6))*(INDEX(DailyScalarsTable,CJ$5/100,MONTH($A105)))*$E105</f>
        <v>0</v>
      </c>
      <c r="CK105" s="1021">
        <f>(VLOOKUP(YEAR($A105),'NY East Load Projections'!$A$4:$EO$14,((MONTH($A105)-1)*12)+VLOOKUP(CK$4,$DE$6:$DF$17,2)+1))*(VLOOKUP($A105,CURVES!$D$9:$T$261,6))*(INDEX(DailyScalarsTable,CK$5/100,MONTH($A105)))*$E105</f>
        <v>0</v>
      </c>
      <c r="CL105" s="1021">
        <f>(VLOOKUP(YEAR($A105),'NY East Load Projections'!$A$4:$EO$14,((MONTH($A105)-1)*12)+VLOOKUP(CL$4,$DE$6:$DF$17,2)+1))*(VLOOKUP($A105,SatSunCurve,6))*(INDEX(DailyScalarsTable,CL$5/100,MONTH($A105)))*$E105</f>
        <v>0</v>
      </c>
      <c r="CM105" s="1021">
        <f>(VLOOKUP(YEAR($A105),'NY East Load Projections'!$A$4:$EO$14,((MONTH($A105)-1)*12)+VLOOKUP(CM$4,$DE$6:$DF$17,2)+1))*(VLOOKUP($A105,SatSunCurve,6))*(INDEX(DailyScalarsTable,CM$5/100,MONTH($A105)))*$E105</f>
        <v>0</v>
      </c>
      <c r="CN105" s="1021">
        <f>(VLOOKUP(YEAR($A105),'NY East Load Projections'!$A$4:$EO$14,((MONTH($A105)-1)*12)+VLOOKUP(CN$4,$DE$6:$DF$17,2)+1))*(VLOOKUP($A105,SatSunCurve,6))*(INDEX(DailyScalarsTable,CN$5/100,MONTH($A105)))*$E105</f>
        <v>0</v>
      </c>
      <c r="CO105" s="1021">
        <f>(VLOOKUP(YEAR($A105),'NY East Load Projections'!$A$4:$EO$14,((MONTH($A105)-1)*12)+VLOOKUP(CO$4,$DE$6:$DF$17,2)+1))*(VLOOKUP($A105,SatSunCurve,6))*(INDEX(DailyScalarsTable,CO$5/100,MONTH($A105)))*$E105</f>
        <v>0</v>
      </c>
      <c r="CP105" s="1021">
        <f>(VLOOKUP(YEAR($A105),'NY East Load Projections'!$A$4:$EO$14,((MONTH($A105)-1)*12)+VLOOKUP(CP$4,$DE$6:$DF$17,2)+1))*(VLOOKUP($A105,SatSunCurve,6))*(INDEX(DailyScalarsTable,CP$5/100,MONTH($A105)))*$E105</f>
        <v>0</v>
      </c>
      <c r="CQ105" s="1021">
        <f>(VLOOKUP(YEAR($A105),'NY East Load Projections'!$A$4:$EO$14,((MONTH($A105)-1)*12)+VLOOKUP(CQ$4,$DE$6:$DF$17,2)+1))*(VLOOKUP($A105,SatSunCurve,6))*(INDEX(DailyScalarsTable,CQ$5/100,MONTH($A105)))*$E105</f>
        <v>0</v>
      </c>
      <c r="CR105" s="1021">
        <f>(VLOOKUP(YEAR($A105),'NY East Load Projections'!$A$4:$EO$14,((MONTH($A105)-1)*12)+VLOOKUP(CR$4,$DE$6:$DF$17,2)+1))*(VLOOKUP($A105,SatSunCurve,6))*(INDEX(DailyScalarsTable,CR$5/100,MONTH($A105)))*$E105</f>
        <v>0</v>
      </c>
      <c r="CS105" s="1021">
        <f>(VLOOKUP(YEAR($A105),'NY East Load Projections'!$A$4:$EO$14,((MONTH($A105)-1)*12)+VLOOKUP(CS$4,$DE$6:$DF$17,2)+1))*(VLOOKUP($A105,SatSunCurve,6))*(INDEX(DailyScalarsTable,CS$5/100,MONTH($A105)))*$E105</f>
        <v>0</v>
      </c>
      <c r="CT105" s="1021">
        <f>(VLOOKUP(YEAR($A105),'NY East Load Projections'!$A$4:$EO$14,((MONTH($A105)-1)*12)+VLOOKUP(CT$4,$DE$6:$DF$17,2)+1))*(VLOOKUP($A105,SatSunCurve,6))*(INDEX(DailyScalarsTable,CT$5/100,MONTH($A105)))*$E105</f>
        <v>0</v>
      </c>
      <c r="CU105" s="1021">
        <f>(VLOOKUP(YEAR($A105),'NY East Load Projections'!$A$4:$EO$14,((MONTH($A105)-1)*12)+VLOOKUP(CU$4,$DE$6:$DF$17,2)+1))*(VLOOKUP($A105,SatSunCurve,6))*(INDEX(DailyScalarsTable,CU$5/100,MONTH($A105)))*$E105</f>
        <v>0</v>
      </c>
      <c r="CV105" s="1021">
        <f>(VLOOKUP(YEAR($A105),'NY East Load Projections'!$A$4:$EO$14,((MONTH($A105)-1)*12)+VLOOKUP(CV$4,$DE$6:$DF$17,2)+1))*(VLOOKUP($A105,SatSunCurve,6))*(INDEX(DailyScalarsTable,CV$5/100,MONTH($A105)))*$E105</f>
        <v>0</v>
      </c>
      <c r="CW105" s="1021">
        <f>(VLOOKUP(YEAR($A105),'NY East Load Projections'!$A$4:$EO$14,((MONTH($A105)-1)*12)+VLOOKUP(CW$4,$DE$6:$DF$17,2)+1))*(VLOOKUP($A105,SatSunCurve,6))*(INDEX(DailyScalarsTable,CW$5/100,MONTH($A105)))*$E105</f>
        <v>0</v>
      </c>
      <c r="CX105" s="1021">
        <f>(VLOOKUP(YEAR($A105),'NY East Load Projections'!$A$4:$EO$14,((MONTH($A105)-1)*12)+VLOOKUP(CX$4,$DE$6:$DF$17,2)+1))*(VLOOKUP($A105,SatSunCurve,6))*(INDEX(DailyScalarsTable,CX$5/100,MONTH($A105)))*$E105</f>
        <v>0</v>
      </c>
      <c r="CY105" s="1021">
        <f>(VLOOKUP(YEAR($A105),'NY East Load Projections'!$A$4:$EO$14,((MONTH($A105)-1)*12)+VLOOKUP(CY$4,$DE$6:$DF$17,2)+1))*(VLOOKUP($A105,SatSunCurve,6))*(INDEX(DailyScalarsTable,CY$5/100,MONTH($A105)))*$E105</f>
        <v>0</v>
      </c>
      <c r="CZ105" s="1021">
        <f>(VLOOKUP(YEAR($A105),'NY East Load Projections'!$A$4:$EO$14,((MONTH($A105)-1)*12)+VLOOKUP(CZ$4,$DE$6:$DF$17,2)+1))*(VLOOKUP($A105,SatSunCurve,6))*(INDEX(DailyScalarsTable,CZ$5/100,MONTH($A105)))*$E105</f>
        <v>0</v>
      </c>
      <c r="DA105" s="1021">
        <f>(VLOOKUP(YEAR($A105),'NY East Load Projections'!$A$4:$EO$14,((MONTH($A105)-1)*12)+VLOOKUP(DA$4,$DE$6:$DF$17,2)+1))*(VLOOKUP($A105,SatSunCurve,6))*(INDEX(DailyScalarsTable,DA$5/100,MONTH($A105)))*$E105</f>
        <v>0</v>
      </c>
      <c r="DB105" s="1021">
        <f>(VLOOKUP(YEAR($A105),'NY East Load Projections'!$A$4:$EO$14,((MONTH($A105)-1)*12)+VLOOKUP(DB$4,$DE$6:$DF$17,2)+1))*(VLOOKUP($A105,CURVES!$D$9:$T$261,6))*(INDEX(DailyScalarsTable,DB$5/100,MONTH($A105)))*$E105</f>
        <v>0</v>
      </c>
      <c r="DH105" s="1021">
        <f t="shared" si="2"/>
        <v>-1657848.1134142217</v>
      </c>
      <c r="DI105">
        <f ca="1">CALC!J125</f>
        <v>0.5117147372508184</v>
      </c>
      <c r="DJ105" s="1029">
        <f t="shared" ca="1" si="3"/>
        <v>-848345.31175752345</v>
      </c>
    </row>
    <row r="106" spans="1:114" x14ac:dyDescent="0.25">
      <c r="A106" s="244">
        <v>39934</v>
      </c>
      <c r="B106" s="13">
        <v>20</v>
      </c>
      <c r="C106" s="210">
        <v>5</v>
      </c>
      <c r="D106" s="210">
        <v>5</v>
      </c>
      <c r="E106" s="210">
        <v>1</v>
      </c>
      <c r="F106" s="13">
        <v>31</v>
      </c>
      <c r="H106" s="1021">
        <f>(VLOOKUP(YEAR($A106),'NY East Load Projections'!$A$4:$EO$14,((MONTH($A106)-1)*12)+VLOOKUP(H$4,$DE$6:$DF$17,2)+1))*(VLOOKUP($A106,CURVES!$D$9:$K$261,6))*(INDEX(DailyScalarsTable,H$5/100,MONTH($A106)))*$B106</f>
        <v>-32340.843724155762</v>
      </c>
      <c r="I106" s="1021">
        <f>(VLOOKUP(YEAR($A106),'NY East Load Projections'!$A$4:$EO$14,((MONTH($A106)-1)*12)+VLOOKUP(I$4,$DE$6:$DF$17,2)+1))*(VLOOKUP($A106,CURVES!$D$9:$K$261,6))*(INDEX(DailyScalarsTable,I$5/100,MONTH($A106)))*$B106</f>
        <v>-29131.382204667469</v>
      </c>
      <c r="J106" s="1021">
        <f>(VLOOKUP(YEAR($A106),'NY East Load Projections'!$A$4:$EO$14,((MONTH($A106)-1)*12)+VLOOKUP(J$4,$DE$6:$DF$17,2)+1))*(VLOOKUP($A106,CURVES!$D$9:$K$261,6))*(INDEX(DailyScalarsTable,J$5/100,MONTH($A106)))*$B106</f>
        <v>-27569.104639625562</v>
      </c>
      <c r="K106" s="1021">
        <f>(VLOOKUP(YEAR($A106),'NY East Load Projections'!$A$4:$EO$14,((MONTH($A106)-1)*12)+VLOOKUP(K$4,$DE$6:$DF$17,2)+1))*(VLOOKUP($A106,CURVES!$D$9:$K$261,6))*(INDEX(DailyScalarsTable,K$5/100,MONTH($A106)))*$B106</f>
        <v>-26728.531384521477</v>
      </c>
      <c r="L106" s="1021">
        <f>(VLOOKUP(YEAR($A106),'NY East Load Projections'!$A$4:$EO$14,((MONTH($A106)-1)*12)+VLOOKUP(L$4,$DE$6:$DF$17,2)+1))*(VLOOKUP($A106,CURVES!$D$9:$K$261,6))*(INDEX(DailyScalarsTable,L$5/100,MONTH($A106)))*$B106</f>
        <v>-31138.099250815634</v>
      </c>
      <c r="M106" s="1021">
        <f>(VLOOKUP(YEAR($A106),'NY East Load Projections'!$A$4:$EO$14,((MONTH($A106)-1)*12)+VLOOKUP(M$4,$DE$6:$DF$17,2)+1))*(VLOOKUP($A106,CURVES!$D$9:$K$261,6))*(INDEX(DailyScalarsTable,M$5/100,MONTH($A106)))*$B106</f>
        <v>-37753.11798837153</v>
      </c>
      <c r="N106" s="1021">
        <f>(VLOOKUP(YEAR($A106),'NY East Load Projections'!$A$4:$EO$14,((MONTH($A106)-1)*12)+VLOOKUP(N$4,$DE$6:$DF$17,2)+1))*(VLOOKUP($A106,CURVES!$D$9:$K$261,6))*(INDEX(DailyScalarsTable,N$5/100,MONTH($A106)))*$B106</f>
        <v>-45172.172152591702</v>
      </c>
      <c r="O106" s="1021">
        <f>(VLOOKUP(YEAR($A106),'NY East Load Projections'!$A$4:$EO$14,((MONTH($A106)-1)*12)+VLOOKUP(O$4,$DE$6:$DF$17,2)+1))*(VLOOKUP($A106,CURVES!$D$9:$K$261,2))*(INDEX(DailyScalarsTable,O$5/100,MONTH($A106)))*$B106</f>
        <v>-56937.124982066583</v>
      </c>
      <c r="P106" s="1021">
        <f>(VLOOKUP(YEAR($A106),'NY East Load Projections'!$A$4:$EO$14,((MONTH($A106)-1)*12)+VLOOKUP(P$4,$DE$6:$DF$17,2)+1))*(VLOOKUP($A106,CURVES!$D$9:$K$261,2))*(INDEX(DailyScalarsTable,P$5/100,MONTH($A106)))*$B106</f>
        <v>-68007.653053034432</v>
      </c>
      <c r="Q106" s="1021">
        <f>(VLOOKUP(YEAR($A106),'NY East Load Projections'!$A$4:$EO$14,((MONTH($A106)-1)*12)+VLOOKUP(Q$4,$DE$6:$DF$17,2)+1))*(VLOOKUP($A106,CURVES!$D$9:$K$261,2))*(INDEX(DailyScalarsTable,Q$5/100,MONTH($A106)))*$B106</f>
        <v>-69213.878888067091</v>
      </c>
      <c r="R106" s="1021">
        <f>(VLOOKUP(YEAR($A106),'NY East Load Projections'!$A$4:$EO$14,((MONTH($A106)-1)*12)+VLOOKUP(R$4,$DE$6:$DF$17,2)+1))*(VLOOKUP($A106,CURVES!$D$9:$K$261,2))*(INDEX(DailyScalarsTable,R$5/100,MONTH($A106)))*$B106</f>
        <v>-73419.657463313619</v>
      </c>
      <c r="S106" s="1021">
        <f>(VLOOKUP(YEAR($A106),'NY East Load Projections'!$A$4:$EO$14,((MONTH($A106)-1)*12)+VLOOKUP(S$4,$DE$6:$DF$17,2)+1))*(VLOOKUP($A106,CURVES!$D$9:$K$261,2))*(INDEX(DailyScalarsTable,S$5/100,MONTH($A106)))*$B106</f>
        <v>-72864.580087900336</v>
      </c>
      <c r="T106" s="1021">
        <f>(VLOOKUP(YEAR($A106),'NY East Load Projections'!$A$4:$EO$14,((MONTH($A106)-1)*12)+VLOOKUP(T$4,$DE$6:$DF$17,2)+1))*(VLOOKUP($A106,CURVES!$D$9:$K$261,2))*(INDEX(DailyScalarsTable,T$5/100,MONTH($A106)))*$B106</f>
        <v>-70992.763890208938</v>
      </c>
      <c r="U106" s="1021">
        <f>(VLOOKUP(YEAR($A106),'NY East Load Projections'!$A$4:$EO$14,((MONTH($A106)-1)*12)+VLOOKUP(U$4,$DE$6:$DF$17,2)+1))*(VLOOKUP($A106,CURVES!$D$9:$K$261,2))*(INDEX(DailyScalarsTable,U$5/100,MONTH($A106)))*$B106</f>
        <v>-71334.924288311624</v>
      </c>
      <c r="V106" s="1021">
        <f>(VLOOKUP(YEAR($A106),'NY East Load Projections'!$A$4:$EO$14,((MONTH($A106)-1)*12)+VLOOKUP(V$4,$DE$6:$DF$17,2)+1))*(VLOOKUP($A106,CURVES!$D$9:$K$261,2))*(INDEX(DailyScalarsTable,V$5/100,MONTH($A106)))*$B106</f>
        <v>-69193.662442120636</v>
      </c>
      <c r="W106" s="1021">
        <f>(VLOOKUP(YEAR($A106),'NY East Load Projections'!$A$4:$EO$14,((MONTH($A106)-1)*12)+VLOOKUP(W$4,$DE$6:$DF$17,2)+1))*(VLOOKUP($A106,CURVES!$D$9:$K$261,2))*(INDEX(DailyScalarsTable,W$5/100,MONTH($A106)))*$B106</f>
        <v>-66500.528986086574</v>
      </c>
      <c r="X106" s="1021">
        <f>(VLOOKUP(YEAR($A106),'NY East Load Projections'!$A$4:$EO$14,((MONTH($A106)-1)*12)+VLOOKUP(X$4,$DE$6:$DF$17,2)+1))*(VLOOKUP($A106,CURVES!$D$9:$K$261,2))*(INDEX(DailyScalarsTable,X$5/100,MONTH($A106)))*$B106</f>
        <v>-64524.968914024837</v>
      </c>
      <c r="Y106" s="1021">
        <f>(VLOOKUP(YEAR($A106),'NY East Load Projections'!$A$4:$EO$14,((MONTH($A106)-1)*12)+VLOOKUP(Y$4,$DE$6:$DF$17,2)+1))*(VLOOKUP($A106,CURVES!$D$9:$K$261,2))*(INDEX(DailyScalarsTable,Y$5/100,MONTH($A106)))*$B106</f>
        <v>-62010.322999248674</v>
      </c>
      <c r="Z106" s="1021">
        <f>(VLOOKUP(YEAR($A106),'NY East Load Projections'!$A$4:$EO$14,((MONTH($A106)-1)*12)+VLOOKUP(Z$4,$DE$6:$DF$17,2)+1))*(VLOOKUP($A106,CURVES!$D$9:$K$261,2))*(INDEX(DailyScalarsTable,Z$5/100,MONTH($A106)))*$B106</f>
        <v>-53726.783515280214</v>
      </c>
      <c r="AA106" s="1021">
        <f>(VLOOKUP(YEAR($A106),'NY East Load Projections'!$A$4:$EO$14,((MONTH($A106)-1)*12)+VLOOKUP(AA$4,$DE$6:$DF$17,2)+1))*(VLOOKUP($A106,CURVES!$D$9:$K$261,2))*(INDEX(DailyScalarsTable,AA$5/100,MONTH($A106)))*$B106</f>
        <v>-53589.428906489935</v>
      </c>
      <c r="AB106" s="1021">
        <f>(VLOOKUP(YEAR($A106),'NY East Load Projections'!$A$4:$EO$14,((MONTH($A106)-1)*12)+VLOOKUP(AB$4,$DE$6:$DF$17,2)+1))*(VLOOKUP($A106,CURVES!$D$9:$K$261,2))*(INDEX(DailyScalarsTable,AB$5/100,MONTH($A106)))*$B106</f>
        <v>-63393.107899897477</v>
      </c>
      <c r="AC106" s="1021">
        <f>(VLOOKUP(YEAR($A106),'NY East Load Projections'!$A$4:$EO$14,((MONTH($A106)-1)*12)+VLOOKUP(AC$4,$DE$6:$DF$17,2)+1))*(VLOOKUP($A106,CURVES!$D$9:$K$261,2))*(INDEX(DailyScalarsTable,AC$5/100,MONTH($A106)))*$B106</f>
        <v>-60465.21800591996</v>
      </c>
      <c r="AD106" s="1021">
        <f>(VLOOKUP(YEAR($A106),'NY East Load Projections'!$A$4:$EO$14,((MONTH($A106)-1)*12)+VLOOKUP(AD$4,$DE$6:$DF$17,2)+1))*(VLOOKUP($A106,CURVES!$D$9:$K$261,2))*(INDEX(DailyScalarsTable,AD$5/100,MONTH($A106)))*$B106</f>
        <v>-48505.693813581849</v>
      </c>
      <c r="AE106" s="1021">
        <f>(VLOOKUP(YEAR($A106),'NY East Load Projections'!$A$4:$EO$14,((MONTH($A106)-1)*12)+VLOOKUP(AE$4,$DE$6:$DF$17,2)+1))*(VLOOKUP($A106,CURVES!$D$9:$K$261,6))*(INDEX(DailyScalarsTable,AE$5/100,MONTH($A106)))*$B106</f>
        <v>-40191.727741346149</v>
      </c>
      <c r="AF106" s="1021"/>
      <c r="AG106" s="1021">
        <f>(VLOOKUP(YEAR($A106),'NY East Load Projections'!$A$4:$EO$14,((MONTH($A106)-1)*12)+VLOOKUP(AG$4,$DE$6:$DF$17,2)+1))*(VLOOKUP($A106,CURVES!$D$9:$T$261,6))*(INDEX(DailyScalarsTable,AG$5/100,MONTH($A106)))*$C106</f>
        <v>-8368.4895629407256</v>
      </c>
      <c r="AH106" s="1021">
        <f>(VLOOKUP(YEAR($A106),'NY East Load Projections'!$A$4:$EO$14,((MONTH($A106)-1)*12)+VLOOKUP(AH$4,$DE$6:$DF$17,2)+1))*(VLOOKUP($A106,CURVES!$D$9:$T$261,6))*(INDEX(DailyScalarsTable,AH$5/100,MONTH($A106)))*$C106</f>
        <v>-7538.0119953923941</v>
      </c>
      <c r="AI106" s="1021">
        <f>(VLOOKUP(YEAR($A106),'NY East Load Projections'!$A$4:$EO$14,((MONTH($A106)-1)*12)+VLOOKUP(AI$4,$DE$6:$DF$17,2)+1))*(VLOOKUP($A106,CURVES!$D$9:$T$261,6))*(INDEX(DailyScalarsTable,AI$5/100,MONTH($A106)))*$C106</f>
        <v>-7133.7583646281291</v>
      </c>
      <c r="AJ106" s="1021">
        <f>(VLOOKUP(YEAR($A106),'NY East Load Projections'!$A$4:$EO$14,((MONTH($A106)-1)*12)+VLOOKUP(AJ$4,$DE$6:$DF$17,2)+1))*(VLOOKUP($A106,CURVES!$D$9:$T$261,6))*(INDEX(DailyScalarsTable,AJ$5/100,MONTH($A106)))*$C106</f>
        <v>-6916.2523350321335</v>
      </c>
      <c r="AK106" s="1021">
        <f>(VLOOKUP(YEAR($A106),'NY East Load Projections'!$A$4:$EO$14,((MONTH($A106)-1)*12)+VLOOKUP(AK$4,$DE$6:$DF$17,2)+1))*(VLOOKUP($A106,CURVES!$D$9:$T$261,6))*(INDEX(DailyScalarsTable,AK$5/100,MONTH($A106)))*$C106</f>
        <v>-7613.387521188889</v>
      </c>
      <c r="AL106" s="1021">
        <f>(VLOOKUP(YEAR($A106),'NY East Load Projections'!$A$4:$EO$14,((MONTH($A106)-1)*12)+VLOOKUP(AL$4,$DE$6:$DF$17,2)+1))*(VLOOKUP($A106,CURVES!$D$9:$T$261,6))*(INDEX(DailyScalarsTable,AL$5/100,MONTH($A106)))*$C106</f>
        <v>-9230.7855743992022</v>
      </c>
      <c r="AM106" s="1021">
        <f>(VLOOKUP(YEAR($A106),'NY East Load Projections'!$A$4:$EO$14,((MONTH($A106)-1)*12)+VLOOKUP(AM$4,$DE$6:$DF$17,2)+1))*(VLOOKUP($A106,CURVES!$D$9:$T$261,6))*(INDEX(DailyScalarsTable,AM$5/100,MONTH($A106)))*$C106</f>
        <v>-11044.773446231771</v>
      </c>
      <c r="AN106" s="1021">
        <f>(VLOOKUP(YEAR($A106),'NY East Load Projections'!$A$4:$EO$14,((MONTH($A106)-1)*12)+VLOOKUP(AN$4,$DE$6:$DF$17,2)+1))*(VLOOKUP($A106,SatSunCurve,2))*(INDEX(DailyScalarsTable,AN$5/100,MONTH($A106)))*$C106</f>
        <v>-9227.8043760493674</v>
      </c>
      <c r="AO106" s="1021">
        <f>(VLOOKUP(YEAR($A106),'NY East Load Projections'!$A$4:$EO$14,((MONTH($A106)-1)*12)+VLOOKUP(AO$4,$DE$6:$DF$17,2)+1))*(VLOOKUP($A106,SatSunCurve,2))*(INDEX(DailyScalarsTable,AO$5/100,MONTH($A106)))*$C106</f>
        <v>-11126.261745348636</v>
      </c>
      <c r="AP106" s="1021">
        <f>(VLOOKUP(YEAR($A106),'NY East Load Projections'!$A$4:$EO$14,((MONTH($A106)-1)*12)+VLOOKUP(AP$4,$DE$6:$DF$17,2)+1))*(VLOOKUP($A106,SatSunCurve,2))*(INDEX(DailyScalarsTable,AP$5/100,MONTH($A106)))*$C106</f>
        <v>-11323.604011433144</v>
      </c>
      <c r="AQ106" s="1021">
        <f>(VLOOKUP(YEAR($A106),'NY East Load Projections'!$A$4:$EO$14,((MONTH($A106)-1)*12)+VLOOKUP(AQ$4,$DE$6:$DF$17,2)+1))*(VLOOKUP($A106,SatSunCurve,2))*(INDEX(DailyScalarsTable,AQ$5/100,MONTH($A106)))*$C106</f>
        <v>-12011.682355126031</v>
      </c>
      <c r="AR106" s="1021">
        <f>(VLOOKUP(YEAR($A106),'NY East Load Projections'!$A$4:$EO$14,((MONTH($A106)-1)*12)+VLOOKUP(AR$4,$DE$6:$DF$17,2)+1))*(VLOOKUP($A106,SatSunCurve,2))*(INDEX(DailyScalarsTable,AR$5/100,MONTH($A106)))*$C106</f>
        <v>-11920.869984892448</v>
      </c>
      <c r="AS106" s="1021">
        <f>(VLOOKUP(YEAR($A106),'NY East Load Projections'!$A$4:$EO$14,((MONTH($A106)-1)*12)+VLOOKUP(AS$4,$DE$6:$DF$17,2)+1))*(VLOOKUP($A106,SatSunCurve,2))*(INDEX(DailyScalarsTable,AS$5/100,MONTH($A106)))*$C106</f>
        <v>-11470.113211545604</v>
      </c>
      <c r="AT106" s="1021">
        <f>(VLOOKUP(YEAR($A106),'NY East Load Projections'!$A$4:$EO$14,((MONTH($A106)-1)*12)+VLOOKUP(AT$4,$DE$6:$DF$17,2)+1))*(VLOOKUP($A106,SatSunCurve,2))*(INDEX(DailyScalarsTable,AT$5/100,MONTH($A106)))*$C106</f>
        <v>-11525.395162658464</v>
      </c>
      <c r="AU106" s="1021">
        <f>(VLOOKUP(YEAR($A106),'NY East Load Projections'!$A$4:$EO$14,((MONTH($A106)-1)*12)+VLOOKUP(AU$4,$DE$6:$DF$17,2)+1))*(VLOOKUP($A106,SatSunCurve,2))*(INDEX(DailyScalarsTable,AU$5/100,MONTH($A106)))*$C106</f>
        <v>-11179.437146016699</v>
      </c>
      <c r="AV106" s="1021">
        <f>(VLOOKUP(YEAR($A106),'NY East Load Projections'!$A$4:$EO$14,((MONTH($A106)-1)*12)+VLOOKUP(AV$4,$DE$6:$DF$17,2)+1))*(VLOOKUP($A106,SatSunCurve,2))*(INDEX(DailyScalarsTable,AV$5/100,MONTH($A106)))*$C106</f>
        <v>-10744.314692096123</v>
      </c>
      <c r="AW106" s="1021">
        <f>(VLOOKUP(YEAR($A106),'NY East Load Projections'!$A$4:$EO$14,((MONTH($A106)-1)*12)+VLOOKUP(AW$4,$DE$6:$DF$17,2)+1))*(VLOOKUP($A106,SatSunCurve,2))*(INDEX(DailyScalarsTable,AW$5/100,MONTH($A106)))*$C106</f>
        <v>-10243.237800515279</v>
      </c>
      <c r="AX106" s="1021">
        <f>(VLOOKUP(YEAR($A106),'NY East Load Projections'!$A$4:$EO$14,((MONTH($A106)-1)*12)+VLOOKUP(AX$4,$DE$6:$DF$17,2)+1))*(VLOOKUP($A106,SatSunCurve,2))*(INDEX(DailyScalarsTable,AX$5/100,MONTH($A106)))*$C106</f>
        <v>-9844.0416982518673</v>
      </c>
      <c r="AY106" s="1021">
        <f>(VLOOKUP(YEAR($A106),'NY East Load Projections'!$A$4:$EO$14,((MONTH($A106)-1)*12)+VLOOKUP(AY$4,$DE$6:$DF$17,2)+1))*(VLOOKUP($A106,SatSunCurve,2))*(INDEX(DailyScalarsTable,AY$5/100,MONTH($A106)))*$C106</f>
        <v>-8529.0427731488744</v>
      </c>
      <c r="AZ106" s="1021">
        <f>(VLOOKUP(YEAR($A106),'NY East Load Projections'!$A$4:$EO$14,((MONTH($A106)-1)*12)+VLOOKUP(AZ$4,$DE$6:$DF$17,2)+1))*(VLOOKUP($A106,SatSunCurve,2))*(INDEX(DailyScalarsTable,AZ$5/100,MONTH($A106)))*$C106</f>
        <v>-8507.2379440336499</v>
      </c>
      <c r="BA106" s="1021">
        <f>(VLOOKUP(YEAR($A106),'NY East Load Projections'!$A$4:$EO$14,((MONTH($A106)-1)*12)+VLOOKUP(BA$4,$DE$6:$DF$17,2)+1))*(VLOOKUP($A106,SatSunCurve,2))*(INDEX(DailyScalarsTable,BA$5/100,MONTH($A106)))*$C106</f>
        <v>-10608.14498531732</v>
      </c>
      <c r="BB106" s="1021">
        <f>(VLOOKUP(YEAR($A106),'NY East Load Projections'!$A$4:$EO$14,((MONTH($A106)-1)*12)+VLOOKUP(BB$4,$DE$6:$DF$17,2)+1))*(VLOOKUP($A106,SatSunCurve,2))*(INDEX(DailyScalarsTable,BB$5/100,MONTH($A106)))*$C106</f>
        <v>-10118.194554973941</v>
      </c>
      <c r="BC106" s="1021">
        <f>(VLOOKUP(YEAR($A106),'NY East Load Projections'!$A$4:$EO$14,((MONTH($A106)-1)*12)+VLOOKUP(BC$4,$DE$6:$DF$17,2)+1))*(VLOOKUP($A106,SatSunCurve,2))*(INDEX(DailyScalarsTable,BC$5/100,MONTH($A106)))*$C106</f>
        <v>-8116.8986603466037</v>
      </c>
      <c r="BD106" s="1021">
        <f>(VLOOKUP(YEAR($A106),'NY East Load Projections'!$A$4:$EO$14,((MONTH($A106)-1)*12)+VLOOKUP(BD$4,$DE$6:$DF$17,2)+1))*(VLOOKUP($A106,CURVES!$D$9:$T$261,6))*(INDEX(DailyScalarsTable,BD$5/100,MONTH($A106)))*$C106</f>
        <v>-10146.51894616455</v>
      </c>
      <c r="BE106" s="1021"/>
      <c r="BF106" s="1021">
        <f>(VLOOKUP(YEAR($A106),'NY East Load Projections'!$A$4:$EO$14,((MONTH($A106)-1)*12)+VLOOKUP(BF$4,$DE$6:$DF$17,2)+1))*(VLOOKUP($A106,CURVES!$D$9:$T$261,6))*(INDEX(DailyScalarsTable,BF$5/100,MONTH($A106)))*$D106</f>
        <v>-8368.4895629407256</v>
      </c>
      <c r="BG106" s="1021">
        <f>(VLOOKUP(YEAR($A106),'NY East Load Projections'!$A$4:$EO$14,((MONTH($A106)-1)*12)+VLOOKUP(BG$4,$DE$6:$DF$17,2)+1))*(VLOOKUP($A106,CURVES!$D$9:$T$261,6))*(INDEX(DailyScalarsTable,BG$5/100,MONTH($A106)))*$D106</f>
        <v>-7538.0119953923941</v>
      </c>
      <c r="BH106" s="1021">
        <f>(VLOOKUP(YEAR($A106),'NY East Load Projections'!$A$4:$EO$14,((MONTH($A106)-1)*12)+VLOOKUP(BH$4,$DE$6:$DF$17,2)+1))*(VLOOKUP($A106,CURVES!$D$9:$T$261,6))*(INDEX(DailyScalarsTable,BH$5/100,MONTH($A106)))*$D106</f>
        <v>-7133.7583646281291</v>
      </c>
      <c r="BI106" s="1021">
        <f>(VLOOKUP(YEAR($A106),'NY East Load Projections'!$A$4:$EO$14,((MONTH($A106)-1)*12)+VLOOKUP(BI$4,$DE$6:$DF$17,2)+1))*(VLOOKUP($A106,CURVES!$D$9:$T$261,6))*(INDEX(DailyScalarsTable,BI$5/100,MONTH($A106)))*$D106</f>
        <v>-6916.2523350321335</v>
      </c>
      <c r="BJ106" s="1021">
        <f>(VLOOKUP(YEAR($A106),'NY East Load Projections'!$A$4:$EO$14,((MONTH($A106)-1)*12)+VLOOKUP(BJ$4,$DE$6:$DF$17,2)+1))*(VLOOKUP($A106,CURVES!$D$9:$T$261,6))*(INDEX(DailyScalarsTable,BJ$5/100,MONTH($A106)))*$D106</f>
        <v>-7613.387521188889</v>
      </c>
      <c r="BK106" s="1021">
        <f>(VLOOKUP(YEAR($A106),'NY East Load Projections'!$A$4:$EO$14,((MONTH($A106)-1)*12)+VLOOKUP(BK$4,$DE$6:$DF$17,2)+1))*(VLOOKUP($A106,CURVES!$D$9:$T$261,6))*(INDEX(DailyScalarsTable,BK$5/100,MONTH($A106)))*$D106</f>
        <v>-9230.7855743992022</v>
      </c>
      <c r="BL106" s="1021">
        <f>(VLOOKUP(YEAR($A106),'NY East Load Projections'!$A$4:$EO$14,((MONTH($A106)-1)*12)+VLOOKUP(BL$4,$DE$6:$DF$17,2)+1))*(VLOOKUP($A106,CURVES!$D$9:$T$261,6))*(INDEX(DailyScalarsTable,BL$5/100,MONTH($A106)))*$D106</f>
        <v>-11044.773446231771</v>
      </c>
      <c r="BM106" s="1021">
        <f>(VLOOKUP(YEAR($A106),'NY East Load Projections'!$A$4:$EO$14,((MONTH($A106)-1)*12)+VLOOKUP(BM$4,$DE$6:$DF$17,2)+1))*(VLOOKUP($A106,SatSunCurve,6))*(INDEX(DailyScalarsTable,BM$5/100,MONTH($A106)))*$D106</f>
        <v>-8145.5174247070681</v>
      </c>
      <c r="BN106" s="1021">
        <f>(VLOOKUP(YEAR($A106),'NY East Load Projections'!$A$4:$EO$14,((MONTH($A106)-1)*12)+VLOOKUP(BN$4,$DE$6:$DF$17,2)+1))*(VLOOKUP($A106,SatSunCurve,6))*(INDEX(DailyScalarsTable,BN$5/100,MONTH($A106)))*$D106</f>
        <v>-9821.3134159861092</v>
      </c>
      <c r="BO106" s="1021">
        <f>(VLOOKUP(YEAR($A106),'NY East Load Projections'!$A$4:$EO$14,((MONTH($A106)-1)*12)+VLOOKUP(BO$4,$DE$6:$DF$17,2)+1))*(VLOOKUP($A106,SatSunCurve,6))*(INDEX(DailyScalarsTable,BO$5/100,MONTH($A106)))*$D106</f>
        <v>-9995.5103106661354</v>
      </c>
      <c r="BP106" s="1021">
        <f>(VLOOKUP(YEAR($A106),'NY East Load Projections'!$A$4:$EO$14,((MONTH($A106)-1)*12)+VLOOKUP(BP$4,$DE$6:$DF$17,2)+1))*(VLOOKUP($A106,SatSunCurve,6))*(INDEX(DailyScalarsTable,BP$5/100,MONTH($A106)))*$D106</f>
        <v>-10602.887093886749</v>
      </c>
      <c r="BQ106" s="1021">
        <f>(VLOOKUP(YEAR($A106),'NY East Load Projections'!$A$4:$EO$14,((MONTH($A106)-1)*12)+VLOOKUP(BQ$4,$DE$6:$DF$17,2)+1))*(VLOOKUP($A106,SatSunCurve,6))*(INDEX(DailyScalarsTable,BQ$5/100,MONTH($A106)))*$D106</f>
        <v>-10522.725691025142</v>
      </c>
      <c r="BR106" s="1021">
        <f>(VLOOKUP(YEAR($A106),'NY East Load Projections'!$A$4:$EO$14,((MONTH($A106)-1)*12)+VLOOKUP(BR$4,$DE$6:$DF$17,2)+1))*(VLOOKUP($A106,SatSunCurve,6))*(INDEX(DailyScalarsTable,BR$5/100,MONTH($A106)))*$D106</f>
        <v>-10124.83611708368</v>
      </c>
      <c r="BS106" s="1021">
        <f>(VLOOKUP(YEAR($A106),'NY East Load Projections'!$A$4:$EO$14,((MONTH($A106)-1)*12)+VLOOKUP(BS$4,$DE$6:$DF$17,2)+1))*(VLOOKUP($A106,SatSunCurve,6))*(INDEX(DailyScalarsTable,BS$5/100,MONTH($A106)))*$D106</f>
        <v>-10173.634301105696</v>
      </c>
      <c r="BT106" s="1021">
        <f>(VLOOKUP(YEAR($A106),'NY East Load Projections'!$A$4:$EO$14,((MONTH($A106)-1)*12)+VLOOKUP(BT$4,$DE$6:$DF$17,2)+1))*(VLOOKUP($A106,SatSunCurve,6))*(INDEX(DailyScalarsTable,BT$5/100,MONTH($A106)))*$D106</f>
        <v>-9868.2521172259949</v>
      </c>
      <c r="BU106" s="1021">
        <f>(VLOOKUP(YEAR($A106),'NY East Load Projections'!$A$4:$EO$14,((MONTH($A106)-1)*12)+VLOOKUP(BU$4,$DE$6:$DF$17,2)+1))*(VLOOKUP($A106,SatSunCurve,6))*(INDEX(DailyScalarsTable,BU$5/100,MONTH($A106)))*$D106</f>
        <v>-9484.1631849236892</v>
      </c>
      <c r="BV106" s="1021">
        <f>(VLOOKUP(YEAR($A106),'NY East Load Projections'!$A$4:$EO$14,((MONTH($A106)-1)*12)+VLOOKUP(BV$4,$DE$6:$DF$17,2)+1))*(VLOOKUP($A106,SatSunCurve,6))*(INDEX(DailyScalarsTable,BV$5/100,MONTH($A106)))*$D106</f>
        <v>-9041.8553091647082</v>
      </c>
      <c r="BW106" s="1021">
        <f>(VLOOKUP(YEAR($A106),'NY East Load Projections'!$A$4:$EO$14,((MONTH($A106)-1)*12)+VLOOKUP(BW$4,$DE$6:$DF$17,2)+1))*(VLOOKUP($A106,SatSunCurve,6))*(INDEX(DailyScalarsTable,BW$5/100,MONTH($A106)))*$D106</f>
        <v>-8689.4790911229175</v>
      </c>
      <c r="BX106" s="1021">
        <f>(VLOOKUP(YEAR($A106),'NY East Load Projections'!$A$4:$EO$14,((MONTH($A106)-1)*12)+VLOOKUP(BX$4,$DE$6:$DF$17,2)+1))*(VLOOKUP($A106,SatSunCurve,6))*(INDEX(DailyScalarsTable,BX$5/100,MONTH($A106)))*$D106</f>
        <v>-7528.7103728676166</v>
      </c>
      <c r="BY106" s="1021">
        <f>(VLOOKUP(YEAR($A106),'NY East Load Projections'!$A$4:$EO$14,((MONTH($A106)-1)*12)+VLOOKUP(BY$4,$DE$6:$DF$17,2)+1))*(VLOOKUP($A106,SatSunCurve,6))*(INDEX(DailyScalarsTable,BY$5/100,MONTH($A106)))*$D106</f>
        <v>-7509.4629323863455</v>
      </c>
      <c r="BZ106" s="1021">
        <f>(VLOOKUP(YEAR($A106),'NY East Load Projections'!$A$4:$EO$14,((MONTH($A106)-1)*12)+VLOOKUP(BZ$4,$DE$6:$DF$17,2)+1))*(VLOOKUP($A106,SatSunCurve,6))*(INDEX(DailyScalarsTable,BZ$5/100,MONTH($A106)))*$D106</f>
        <v>-9363.9641999774067</v>
      </c>
      <c r="CA106" s="1021">
        <f>(VLOOKUP(YEAR($A106),'NY East Load Projections'!$A$4:$EO$14,((MONTH($A106)-1)*12)+VLOOKUP(CA$4,$DE$6:$DF$17,2)+1))*(VLOOKUP($A106,SatSunCurve,6))*(INDEX(DailyScalarsTable,CA$5/100,MONTH($A106)))*$D106</f>
        <v>-8931.4778137290141</v>
      </c>
      <c r="CB106" s="1021">
        <f>(VLOOKUP(YEAR($A106),'NY East Load Projections'!$A$4:$EO$14,((MONTH($A106)-1)*12)+VLOOKUP(CB$4,$DE$6:$DF$17,2)+1))*(VLOOKUP($A106,SatSunCurve,6))*(INDEX(DailyScalarsTable,CB$5/100,MONTH($A106)))*$D106</f>
        <v>-7164.904757196492</v>
      </c>
      <c r="CC106" s="1021">
        <f>(VLOOKUP(YEAR($A106),'NY East Load Projections'!$A$4:$EO$14,((MONTH($A106)-1)*12)+VLOOKUP(CC$4,$DE$6:$DF$17,2)+1))*(VLOOKUP($A106,CURVES!$D$9:$T$261,6))*(INDEX(DailyScalarsTable,CC$5/100,MONTH($A106)))*$D106</f>
        <v>-10146.51894616455</v>
      </c>
      <c r="CE106" s="1021">
        <f>(VLOOKUP(YEAR($A106),'NY East Load Projections'!$A$4:$EO$14,((MONTH($A106)-1)*12)+VLOOKUP(CE$4,$DE$6:$DF$17,2)+1))*(VLOOKUP($A106,CURVES!$D$9:$T$261,6))*(INDEX(DailyScalarsTable,CE$5/100,MONTH($A106)))*$E106</f>
        <v>-1673.6979125881453</v>
      </c>
      <c r="CF106" s="1021">
        <f>(VLOOKUP(YEAR($A106),'NY East Load Projections'!$A$4:$EO$14,((MONTH($A106)-1)*12)+VLOOKUP(CF$4,$DE$6:$DF$17,2)+1))*(VLOOKUP($A106,CURVES!$D$9:$T$261,6))*(INDEX(DailyScalarsTable,CF$5/100,MONTH($A106)))*$E106</f>
        <v>-1507.6023990784788</v>
      </c>
      <c r="CG106" s="1021">
        <f>(VLOOKUP(YEAR($A106),'NY East Load Projections'!$A$4:$EO$14,((MONTH($A106)-1)*12)+VLOOKUP(CG$4,$DE$6:$DF$17,2)+1))*(VLOOKUP($A106,CURVES!$D$9:$T$261,6))*(INDEX(DailyScalarsTable,CG$5/100,MONTH($A106)))*$E106</f>
        <v>-1426.7516729256258</v>
      </c>
      <c r="CH106" s="1021">
        <f>(VLOOKUP(YEAR($A106),'NY East Load Projections'!$A$4:$EO$14,((MONTH($A106)-1)*12)+VLOOKUP(CH$4,$DE$6:$DF$17,2)+1))*(VLOOKUP($A106,CURVES!$D$9:$T$261,6))*(INDEX(DailyScalarsTable,CH$5/100,MONTH($A106)))*$E106</f>
        <v>-1383.2504670064268</v>
      </c>
      <c r="CI106" s="1021">
        <f>(VLOOKUP(YEAR($A106),'NY East Load Projections'!$A$4:$EO$14,((MONTH($A106)-1)*12)+VLOOKUP(CI$4,$DE$6:$DF$17,2)+1))*(VLOOKUP($A106,CURVES!$D$9:$T$261,6))*(INDEX(DailyScalarsTable,CI$5/100,MONTH($A106)))*$E106</f>
        <v>-1522.6775042377778</v>
      </c>
      <c r="CJ106" s="1021">
        <f>(VLOOKUP(YEAR($A106),'NY East Load Projections'!$A$4:$EO$14,((MONTH($A106)-1)*12)+VLOOKUP(CJ$4,$DE$6:$DF$17,2)+1))*(VLOOKUP($A106,CURVES!$D$9:$T$261,6))*(INDEX(DailyScalarsTable,CJ$5/100,MONTH($A106)))*$E106</f>
        <v>-1846.1571148798405</v>
      </c>
      <c r="CK106" s="1021">
        <f>(VLOOKUP(YEAR($A106),'NY East Load Projections'!$A$4:$EO$14,((MONTH($A106)-1)*12)+VLOOKUP(CK$4,$DE$6:$DF$17,2)+1))*(VLOOKUP($A106,CURVES!$D$9:$T$261,6))*(INDEX(DailyScalarsTable,CK$5/100,MONTH($A106)))*$E106</f>
        <v>-2208.9546892463541</v>
      </c>
      <c r="CL106" s="1021">
        <f>(VLOOKUP(YEAR($A106),'NY East Load Projections'!$A$4:$EO$14,((MONTH($A106)-1)*12)+VLOOKUP(CL$4,$DE$6:$DF$17,2)+1))*(VLOOKUP($A106,SatSunCurve,6))*(INDEX(DailyScalarsTable,CL$5/100,MONTH($A106)))*$E106</f>
        <v>-1629.1034849414136</v>
      </c>
      <c r="CM106" s="1021">
        <f>(VLOOKUP(YEAR($A106),'NY East Load Projections'!$A$4:$EO$14,((MONTH($A106)-1)*12)+VLOOKUP(CM$4,$DE$6:$DF$17,2)+1))*(VLOOKUP($A106,SatSunCurve,6))*(INDEX(DailyScalarsTable,CM$5/100,MONTH($A106)))*$E106</f>
        <v>-1964.2626831972218</v>
      </c>
      <c r="CN106" s="1021">
        <f>(VLOOKUP(YEAR($A106),'NY East Load Projections'!$A$4:$EO$14,((MONTH($A106)-1)*12)+VLOOKUP(CN$4,$DE$6:$DF$17,2)+1))*(VLOOKUP($A106,SatSunCurve,6))*(INDEX(DailyScalarsTable,CN$5/100,MONTH($A106)))*$E106</f>
        <v>-1999.102062133227</v>
      </c>
      <c r="CO106" s="1021">
        <f>(VLOOKUP(YEAR($A106),'NY East Load Projections'!$A$4:$EO$14,((MONTH($A106)-1)*12)+VLOOKUP(CO$4,$DE$6:$DF$17,2)+1))*(VLOOKUP($A106,SatSunCurve,6))*(INDEX(DailyScalarsTable,CO$5/100,MONTH($A106)))*$E106</f>
        <v>-2120.57741877735</v>
      </c>
      <c r="CP106" s="1021">
        <f>(VLOOKUP(YEAR($A106),'NY East Load Projections'!$A$4:$EO$14,((MONTH($A106)-1)*12)+VLOOKUP(CP$4,$DE$6:$DF$17,2)+1))*(VLOOKUP($A106,SatSunCurve,6))*(INDEX(DailyScalarsTable,CP$5/100,MONTH($A106)))*$E106</f>
        <v>-2104.5451382050283</v>
      </c>
      <c r="CQ106" s="1021">
        <f>(VLOOKUP(YEAR($A106),'NY East Load Projections'!$A$4:$EO$14,((MONTH($A106)-1)*12)+VLOOKUP(CQ$4,$DE$6:$DF$17,2)+1))*(VLOOKUP($A106,SatSunCurve,6))*(INDEX(DailyScalarsTable,CQ$5/100,MONTH($A106)))*$E106</f>
        <v>-2024.9672234167358</v>
      </c>
      <c r="CR106" s="1021">
        <f>(VLOOKUP(YEAR($A106),'NY East Load Projections'!$A$4:$EO$14,((MONTH($A106)-1)*12)+VLOOKUP(CR$4,$DE$6:$DF$17,2)+1))*(VLOOKUP($A106,SatSunCurve,6))*(INDEX(DailyScalarsTable,CR$5/100,MONTH($A106)))*$E106</f>
        <v>-2034.7268602211391</v>
      </c>
      <c r="CS106" s="1021">
        <f>(VLOOKUP(YEAR($A106),'NY East Load Projections'!$A$4:$EO$14,((MONTH($A106)-1)*12)+VLOOKUP(CS$4,$DE$6:$DF$17,2)+1))*(VLOOKUP($A106,SatSunCurve,6))*(INDEX(DailyScalarsTable,CS$5/100,MONTH($A106)))*$E106</f>
        <v>-1973.6504234451988</v>
      </c>
      <c r="CT106" s="1021">
        <f>(VLOOKUP(YEAR($A106),'NY East Load Projections'!$A$4:$EO$14,((MONTH($A106)-1)*12)+VLOOKUP(CT$4,$DE$6:$DF$17,2)+1))*(VLOOKUP($A106,SatSunCurve,6))*(INDEX(DailyScalarsTable,CT$5/100,MONTH($A106)))*$E106</f>
        <v>-1896.832636984738</v>
      </c>
      <c r="CU106" s="1021">
        <f>(VLOOKUP(YEAR($A106),'NY East Load Projections'!$A$4:$EO$14,((MONTH($A106)-1)*12)+VLOOKUP(CU$4,$DE$6:$DF$17,2)+1))*(VLOOKUP($A106,SatSunCurve,6))*(INDEX(DailyScalarsTable,CU$5/100,MONTH($A106)))*$E106</f>
        <v>-1808.3710618329417</v>
      </c>
      <c r="CV106" s="1021">
        <f>(VLOOKUP(YEAR($A106),'NY East Load Projections'!$A$4:$EO$14,((MONTH($A106)-1)*12)+VLOOKUP(CV$4,$DE$6:$DF$17,2)+1))*(VLOOKUP($A106,SatSunCurve,6))*(INDEX(DailyScalarsTable,CV$5/100,MONTH($A106)))*$E106</f>
        <v>-1737.8958182245835</v>
      </c>
      <c r="CW106" s="1021">
        <f>(VLOOKUP(YEAR($A106),'NY East Load Projections'!$A$4:$EO$14,((MONTH($A106)-1)*12)+VLOOKUP(CW$4,$DE$6:$DF$17,2)+1))*(VLOOKUP($A106,SatSunCurve,6))*(INDEX(DailyScalarsTable,CW$5/100,MONTH($A106)))*$E106</f>
        <v>-1505.7420745735233</v>
      </c>
      <c r="CX106" s="1021">
        <f>(VLOOKUP(YEAR($A106),'NY East Load Projections'!$A$4:$EO$14,((MONTH($A106)-1)*12)+VLOOKUP(CX$4,$DE$6:$DF$17,2)+1))*(VLOOKUP($A106,SatSunCurve,6))*(INDEX(DailyScalarsTable,CX$5/100,MONTH($A106)))*$E106</f>
        <v>-1501.8925864772691</v>
      </c>
      <c r="CY106" s="1021">
        <f>(VLOOKUP(YEAR($A106),'NY East Load Projections'!$A$4:$EO$14,((MONTH($A106)-1)*12)+VLOOKUP(CY$4,$DE$6:$DF$17,2)+1))*(VLOOKUP($A106,SatSunCurve,6))*(INDEX(DailyScalarsTable,CY$5/100,MONTH($A106)))*$E106</f>
        <v>-1872.7928399954815</v>
      </c>
      <c r="CZ106" s="1021">
        <f>(VLOOKUP(YEAR($A106),'NY East Load Projections'!$A$4:$EO$14,((MONTH($A106)-1)*12)+VLOOKUP(CZ$4,$DE$6:$DF$17,2)+1))*(VLOOKUP($A106,SatSunCurve,6))*(INDEX(DailyScalarsTable,CZ$5/100,MONTH($A106)))*$E106</f>
        <v>-1786.2955627458027</v>
      </c>
      <c r="DA106" s="1021">
        <f>(VLOOKUP(YEAR($A106),'NY East Load Projections'!$A$4:$EO$14,((MONTH($A106)-1)*12)+VLOOKUP(DA$4,$DE$6:$DF$17,2)+1))*(VLOOKUP($A106,SatSunCurve,6))*(INDEX(DailyScalarsTable,DA$5/100,MONTH($A106)))*$E106</f>
        <v>-1432.9809514392985</v>
      </c>
      <c r="DB106" s="1021">
        <f>(VLOOKUP(YEAR($A106),'NY East Load Projections'!$A$4:$EO$14,((MONTH($A106)-1)*12)+VLOOKUP(DB$4,$DE$6:$DF$17,2)+1))*(VLOOKUP($A106,CURVES!$D$9:$T$261,6))*(INDEX(DailyScalarsTable,DB$5/100,MONTH($A106)))*$E106</f>
        <v>-2029.30378923291</v>
      </c>
      <c r="DH106" s="1021">
        <f t="shared" si="2"/>
        <v>-1787146.3423242196</v>
      </c>
      <c r="DI106">
        <f ca="1">CALC!J126</f>
        <v>0.5084995006426769</v>
      </c>
      <c r="DJ106" s="1029">
        <f t="shared" ca="1" si="3"/>
        <v>-908763.02264725219</v>
      </c>
    </row>
    <row r="107" spans="1:114" x14ac:dyDescent="0.25">
      <c r="A107" s="244">
        <v>39965</v>
      </c>
      <c r="B107" s="13">
        <v>22</v>
      </c>
      <c r="C107" s="210">
        <v>4</v>
      </c>
      <c r="D107" s="210">
        <v>4</v>
      </c>
      <c r="E107" s="210">
        <v>0</v>
      </c>
      <c r="F107" s="13">
        <v>30</v>
      </c>
      <c r="H107" s="1021">
        <f>(VLOOKUP(YEAR($A107),'NY East Load Projections'!$A$4:$EO$14,((MONTH($A107)-1)*12)+VLOOKUP(H$4,$DE$6:$DF$17,2)+1))*(VLOOKUP($A107,CURVES!$D$9:$K$261,6))*(INDEX(DailyScalarsTable,H$5/100,MONTH($A107)))*$B107</f>
        <v>-38192.886143898344</v>
      </c>
      <c r="I107" s="1021">
        <f>(VLOOKUP(YEAR($A107),'NY East Load Projections'!$A$4:$EO$14,((MONTH($A107)-1)*12)+VLOOKUP(I$4,$DE$6:$DF$17,2)+1))*(VLOOKUP($A107,CURVES!$D$9:$K$261,6))*(INDEX(DailyScalarsTable,I$5/100,MONTH($A107)))*$B107</f>
        <v>-31643.29983306858</v>
      </c>
      <c r="J107" s="1021">
        <f>(VLOOKUP(YEAR($A107),'NY East Load Projections'!$A$4:$EO$14,((MONTH($A107)-1)*12)+VLOOKUP(J$4,$DE$6:$DF$17,2)+1))*(VLOOKUP($A107,CURVES!$D$9:$K$261,6))*(INDEX(DailyScalarsTable,J$5/100,MONTH($A107)))*$B107</f>
        <v>-26599.140823534013</v>
      </c>
      <c r="K107" s="1021">
        <f>(VLOOKUP(YEAR($A107),'NY East Load Projections'!$A$4:$EO$14,((MONTH($A107)-1)*12)+VLOOKUP(K$4,$DE$6:$DF$17,2)+1))*(VLOOKUP($A107,CURVES!$D$9:$K$261,6))*(INDEX(DailyScalarsTable,K$5/100,MONTH($A107)))*$B107</f>
        <v>-24692.917942023862</v>
      </c>
      <c r="L107" s="1021">
        <f>(VLOOKUP(YEAR($A107),'NY East Load Projections'!$A$4:$EO$14,((MONTH($A107)-1)*12)+VLOOKUP(L$4,$DE$6:$DF$17,2)+1))*(VLOOKUP($A107,CURVES!$D$9:$K$261,6))*(INDEX(DailyScalarsTable,L$5/100,MONTH($A107)))*$B107</f>
        <v>-28773.692931665166</v>
      </c>
      <c r="M107" s="1021">
        <f>(VLOOKUP(YEAR($A107),'NY East Load Projections'!$A$4:$EO$14,((MONTH($A107)-1)*12)+VLOOKUP(M$4,$DE$6:$DF$17,2)+1))*(VLOOKUP($A107,CURVES!$D$9:$K$261,6))*(INDEX(DailyScalarsTable,M$5/100,MONTH($A107)))*$B107</f>
        <v>-35106.005646188554</v>
      </c>
      <c r="N107" s="1021">
        <f>(VLOOKUP(YEAR($A107),'NY East Load Projections'!$A$4:$EO$14,((MONTH($A107)-1)*12)+VLOOKUP(N$4,$DE$6:$DF$17,2)+1))*(VLOOKUP($A107,CURVES!$D$9:$K$261,6))*(INDEX(DailyScalarsTable,N$5/100,MONTH($A107)))*$B107</f>
        <v>-40251.666060975382</v>
      </c>
      <c r="O107" s="1021">
        <f>(VLOOKUP(YEAR($A107),'NY East Load Projections'!$A$4:$EO$14,((MONTH($A107)-1)*12)+VLOOKUP(O$4,$DE$6:$DF$17,2)+1))*(VLOOKUP($A107,CURVES!$D$9:$K$261,2))*(INDEX(DailyScalarsTable,O$5/100,MONTH($A107)))*$B107</f>
        <v>-62598.606785042932</v>
      </c>
      <c r="P107" s="1021">
        <f>(VLOOKUP(YEAR($A107),'NY East Load Projections'!$A$4:$EO$14,((MONTH($A107)-1)*12)+VLOOKUP(P$4,$DE$6:$DF$17,2)+1))*(VLOOKUP($A107,CURVES!$D$9:$K$261,2))*(INDEX(DailyScalarsTable,P$5/100,MONTH($A107)))*$B107</f>
        <v>-80210.032944842547</v>
      </c>
      <c r="Q107" s="1021">
        <f>(VLOOKUP(YEAR($A107),'NY East Load Projections'!$A$4:$EO$14,((MONTH($A107)-1)*12)+VLOOKUP(Q$4,$DE$6:$DF$17,2)+1))*(VLOOKUP($A107,CURVES!$D$9:$K$261,2))*(INDEX(DailyScalarsTable,Q$5/100,MONTH($A107)))*$B107</f>
        <v>-89714.324315695034</v>
      </c>
      <c r="R107" s="1021">
        <f>(VLOOKUP(YEAR($A107),'NY East Load Projections'!$A$4:$EO$14,((MONTH($A107)-1)*12)+VLOOKUP(R$4,$DE$6:$DF$17,2)+1))*(VLOOKUP($A107,CURVES!$D$9:$K$261,2))*(INDEX(DailyScalarsTable,R$5/100,MONTH($A107)))*$B107</f>
        <v>-103197.48322789554</v>
      </c>
      <c r="S107" s="1021">
        <f>(VLOOKUP(YEAR($A107),'NY East Load Projections'!$A$4:$EO$14,((MONTH($A107)-1)*12)+VLOOKUP(S$4,$DE$6:$DF$17,2)+1))*(VLOOKUP($A107,CURVES!$D$9:$K$261,2))*(INDEX(DailyScalarsTable,S$5/100,MONTH($A107)))*$B107</f>
        <v>-111295.81433678765</v>
      </c>
      <c r="T107" s="1021">
        <f>(VLOOKUP(YEAR($A107),'NY East Load Projections'!$A$4:$EO$14,((MONTH($A107)-1)*12)+VLOOKUP(T$4,$DE$6:$DF$17,2)+1))*(VLOOKUP($A107,CURVES!$D$9:$K$261,2))*(INDEX(DailyScalarsTable,T$5/100,MONTH($A107)))*$B107</f>
        <v>-118374.76925768313</v>
      </c>
      <c r="U107" s="1021">
        <f>(VLOOKUP(YEAR($A107),'NY East Load Projections'!$A$4:$EO$14,((MONTH($A107)-1)*12)+VLOOKUP(U$4,$DE$6:$DF$17,2)+1))*(VLOOKUP($A107,CURVES!$D$9:$K$261,2))*(INDEX(DailyScalarsTable,U$5/100,MONTH($A107)))*$B107</f>
        <v>-130908.73765343345</v>
      </c>
      <c r="V107" s="1021">
        <f>(VLOOKUP(YEAR($A107),'NY East Load Projections'!$A$4:$EO$14,((MONTH($A107)-1)*12)+VLOOKUP(V$4,$DE$6:$DF$17,2)+1))*(VLOOKUP($A107,CURVES!$D$9:$K$261,2))*(INDEX(DailyScalarsTable,V$5/100,MONTH($A107)))*$B107</f>
        <v>-131916.06002737436</v>
      </c>
      <c r="W107" s="1021">
        <f>(VLOOKUP(YEAR($A107),'NY East Load Projections'!$A$4:$EO$14,((MONTH($A107)-1)*12)+VLOOKUP(W$4,$DE$6:$DF$17,2)+1))*(VLOOKUP($A107,CURVES!$D$9:$K$261,2))*(INDEX(DailyScalarsTable,W$5/100,MONTH($A107)))*$B107</f>
        <v>-132131.91482179024</v>
      </c>
      <c r="X107" s="1021">
        <f>(VLOOKUP(YEAR($A107),'NY East Load Projections'!$A$4:$EO$14,((MONTH($A107)-1)*12)+VLOOKUP(X$4,$DE$6:$DF$17,2)+1))*(VLOOKUP($A107,CURVES!$D$9:$K$261,2))*(INDEX(DailyScalarsTable,X$5/100,MONTH($A107)))*$B107</f>
        <v>-129096.14173147602</v>
      </c>
      <c r="Y107" s="1021">
        <f>(VLOOKUP(YEAR($A107),'NY East Load Projections'!$A$4:$EO$14,((MONTH($A107)-1)*12)+VLOOKUP(Y$4,$DE$6:$DF$17,2)+1))*(VLOOKUP($A107,CURVES!$D$9:$K$261,2))*(INDEX(DailyScalarsTable,Y$5/100,MONTH($A107)))*$B107</f>
        <v>-125263.79458115782</v>
      </c>
      <c r="Z107" s="1021">
        <f>(VLOOKUP(YEAR($A107),'NY East Load Projections'!$A$4:$EO$14,((MONTH($A107)-1)*12)+VLOOKUP(Z$4,$DE$6:$DF$17,2)+1))*(VLOOKUP($A107,CURVES!$D$9:$K$261,2))*(INDEX(DailyScalarsTable,Z$5/100,MONTH($A107)))*$B107</f>
        <v>-106959.84050220135</v>
      </c>
      <c r="AA107" s="1021">
        <f>(VLOOKUP(YEAR($A107),'NY East Load Projections'!$A$4:$EO$14,((MONTH($A107)-1)*12)+VLOOKUP(AA$4,$DE$6:$DF$17,2)+1))*(VLOOKUP($A107,CURVES!$D$9:$K$261,2))*(INDEX(DailyScalarsTable,AA$5/100,MONTH($A107)))*$B107</f>
        <v>-85529.133874609877</v>
      </c>
      <c r="AB107" s="1021">
        <f>(VLOOKUP(YEAR($A107),'NY East Load Projections'!$A$4:$EO$14,((MONTH($A107)-1)*12)+VLOOKUP(AB$4,$DE$6:$DF$17,2)+1))*(VLOOKUP($A107,CURVES!$D$9:$K$261,2))*(INDEX(DailyScalarsTable,AB$5/100,MONTH($A107)))*$B107</f>
        <v>-84483.89131408096</v>
      </c>
      <c r="AC107" s="1021">
        <f>(VLOOKUP(YEAR($A107),'NY East Load Projections'!$A$4:$EO$14,((MONTH($A107)-1)*12)+VLOOKUP(AC$4,$DE$6:$DF$17,2)+1))*(VLOOKUP($A107,CURVES!$D$9:$K$261,2))*(INDEX(DailyScalarsTable,AC$5/100,MONTH($A107)))*$B107</f>
        <v>-86081.011617279597</v>
      </c>
      <c r="AD107" s="1021">
        <f>(VLOOKUP(YEAR($A107),'NY East Load Projections'!$A$4:$EO$14,((MONTH($A107)-1)*12)+VLOOKUP(AD$4,$DE$6:$DF$17,2)+1))*(VLOOKUP($A107,CURVES!$D$9:$K$261,2))*(INDEX(DailyScalarsTable,AD$5/100,MONTH($A107)))*$B107</f>
        <v>-69028.294049269185</v>
      </c>
      <c r="AE107" s="1021">
        <f>(VLOOKUP(YEAR($A107),'NY East Load Projections'!$A$4:$EO$14,((MONTH($A107)-1)*12)+VLOOKUP(AE$4,$DE$6:$DF$17,2)+1))*(VLOOKUP($A107,CURVES!$D$9:$K$261,6))*(INDEX(DailyScalarsTable,AE$5/100,MONTH($A107)))*$B107</f>
        <v>-48273.794217289658</v>
      </c>
      <c r="AF107" s="1021"/>
      <c r="AG107" s="1021">
        <f>(VLOOKUP(YEAR($A107),'NY East Load Projections'!$A$4:$EO$14,((MONTH($A107)-1)*12)+VLOOKUP(AG$4,$DE$6:$DF$17,2)+1))*(VLOOKUP($A107,CURVES!$D$9:$T$261,6))*(INDEX(DailyScalarsTable,AG$5/100,MONTH($A107)))*$C107</f>
        <v>-7061.162503732653</v>
      </c>
      <c r="AH107" s="1021">
        <f>(VLOOKUP(YEAR($A107),'NY East Load Projections'!$A$4:$EO$14,((MONTH($A107)-1)*12)+VLOOKUP(AH$4,$DE$6:$DF$17,2)+1))*(VLOOKUP($A107,CURVES!$D$9:$T$261,6))*(INDEX(DailyScalarsTable,AH$5/100,MONTH($A107)))*$C107</f>
        <v>-5850.2644035276671</v>
      </c>
      <c r="AI107" s="1021">
        <f>(VLOOKUP(YEAR($A107),'NY East Load Projections'!$A$4:$EO$14,((MONTH($A107)-1)*12)+VLOOKUP(AI$4,$DE$6:$DF$17,2)+1))*(VLOOKUP($A107,CURVES!$D$9:$T$261,6))*(INDEX(DailyScalarsTable,AI$5/100,MONTH($A107)))*$C107</f>
        <v>-4917.6921353100961</v>
      </c>
      <c r="AJ107" s="1021">
        <f>(VLOOKUP(YEAR($A107),'NY East Load Projections'!$A$4:$EO$14,((MONTH($A107)-1)*12)+VLOOKUP(AJ$4,$DE$6:$DF$17,2)+1))*(VLOOKUP($A107,CURVES!$D$9:$T$261,6))*(INDEX(DailyScalarsTable,AJ$5/100,MONTH($A107)))*$C107</f>
        <v>-4565.2665688325269</v>
      </c>
      <c r="AK107" s="1021">
        <f>(VLOOKUP(YEAR($A107),'NY East Load Projections'!$A$4:$EO$14,((MONTH($A107)-1)*12)+VLOOKUP(AK$4,$DE$6:$DF$17,2)+1))*(VLOOKUP($A107,CURVES!$D$9:$T$261,6))*(INDEX(DailyScalarsTable,AK$5/100,MONTH($A107)))*$C107</f>
        <v>-5005.514351428933</v>
      </c>
      <c r="AL107" s="1021">
        <f>(VLOOKUP(YEAR($A107),'NY East Load Projections'!$A$4:$EO$14,((MONTH($A107)-1)*12)+VLOOKUP(AL$4,$DE$6:$DF$17,2)+1))*(VLOOKUP($A107,CURVES!$D$9:$T$261,6))*(INDEX(DailyScalarsTable,AL$5/100,MONTH($A107)))*$C107</f>
        <v>-6107.0928747543512</v>
      </c>
      <c r="AM107" s="1021">
        <f>(VLOOKUP(YEAR($A107),'NY East Load Projections'!$A$4:$EO$14,((MONTH($A107)-1)*12)+VLOOKUP(AM$4,$DE$6:$DF$17,2)+1))*(VLOOKUP($A107,CURVES!$D$9:$T$261,6))*(INDEX(DailyScalarsTable,AM$5/100,MONTH($A107)))*$C107</f>
        <v>-7002.2396018347072</v>
      </c>
      <c r="AN107" s="1021">
        <f>(VLOOKUP(YEAR($A107),'NY East Load Projections'!$A$4:$EO$14,((MONTH($A107)-1)*12)+VLOOKUP(AN$4,$DE$6:$DF$17,2)+1))*(VLOOKUP($A107,SatSunCurve,2))*(INDEX(DailyScalarsTable,AN$5/100,MONTH($A107)))*$C107</f>
        <v>-5449.4320030382733</v>
      </c>
      <c r="AO107" s="1021">
        <f>(VLOOKUP(YEAR($A107),'NY East Load Projections'!$A$4:$EO$14,((MONTH($A107)-1)*12)+VLOOKUP(AO$4,$DE$6:$DF$17,2)+1))*(VLOOKUP($A107,SatSunCurve,2))*(INDEX(DailyScalarsTable,AO$5/100,MONTH($A107)))*$C107</f>
        <v>-6947.3831478307484</v>
      </c>
      <c r="AP107" s="1021">
        <f>(VLOOKUP(YEAR($A107),'NY East Load Projections'!$A$4:$EO$14,((MONTH($A107)-1)*12)+VLOOKUP(AP$4,$DE$6:$DF$17,2)+1))*(VLOOKUP($A107,SatSunCurve,2))*(INDEX(DailyScalarsTable,AP$5/100,MONTH($A107)))*$C107</f>
        <v>-7770.5962955842224</v>
      </c>
      <c r="AQ107" s="1021">
        <f>(VLOOKUP(YEAR($A107),'NY East Load Projections'!$A$4:$EO$14,((MONTH($A107)-1)*12)+VLOOKUP(AQ$4,$DE$6:$DF$17,2)+1))*(VLOOKUP($A107,SatSunCurve,2))*(INDEX(DailyScalarsTable,AQ$5/100,MONTH($A107)))*$C107</f>
        <v>-8938.4386161398197</v>
      </c>
      <c r="AR107" s="1021">
        <f>(VLOOKUP(YEAR($A107),'NY East Load Projections'!$A$4:$EO$14,((MONTH($A107)-1)*12)+VLOOKUP(AR$4,$DE$6:$DF$17,2)+1))*(VLOOKUP($A107,SatSunCurve,2))*(INDEX(DailyScalarsTable,AR$5/100,MONTH($A107)))*$C107</f>
        <v>-9639.8746710303585</v>
      </c>
      <c r="AS107" s="1021">
        <f>(VLOOKUP(YEAR($A107),'NY East Load Projections'!$A$4:$EO$14,((MONTH($A107)-1)*12)+VLOOKUP(AS$4,$DE$6:$DF$17,2)+1))*(VLOOKUP($A107,SatSunCurve,2))*(INDEX(DailyScalarsTable,AS$5/100,MONTH($A107)))*$C107</f>
        <v>-10271.60173406885</v>
      </c>
      <c r="AT107" s="1021">
        <f>(VLOOKUP(YEAR($A107),'NY East Load Projections'!$A$4:$EO$14,((MONTH($A107)-1)*12)+VLOOKUP(AT$4,$DE$6:$DF$17,2)+1))*(VLOOKUP($A107,SatSunCurve,2))*(INDEX(DailyScalarsTable,AT$5/100,MONTH($A107)))*$C107</f>
        <v>-11359.19778444254</v>
      </c>
      <c r="AU107" s="1021">
        <f>(VLOOKUP(YEAR($A107),'NY East Load Projections'!$A$4:$EO$14,((MONTH($A107)-1)*12)+VLOOKUP(AU$4,$DE$6:$DF$17,2)+1))*(VLOOKUP($A107,SatSunCurve,2))*(INDEX(DailyScalarsTable,AU$5/100,MONTH($A107)))*$C107</f>
        <v>-11446.605044518499</v>
      </c>
      <c r="AV107" s="1021">
        <f>(VLOOKUP(YEAR($A107),'NY East Load Projections'!$A$4:$EO$14,((MONTH($A107)-1)*12)+VLOOKUP(AV$4,$DE$6:$DF$17,2)+1))*(VLOOKUP($A107,SatSunCurve,2))*(INDEX(DailyScalarsTable,AV$5/100,MONTH($A107)))*$C107</f>
        <v>-11465.335171677629</v>
      </c>
      <c r="AW107" s="1021">
        <f>(VLOOKUP(YEAR($A107),'NY East Load Projections'!$A$4:$EO$14,((MONTH($A107)-1)*12)+VLOOKUP(AW$4,$DE$6:$DF$17,2)+1))*(VLOOKUP($A107,SatSunCurve,2))*(INDEX(DailyScalarsTable,AW$5/100,MONTH($A107)))*$C107</f>
        <v>-11140.710037583256</v>
      </c>
      <c r="AX107" s="1021">
        <f>(VLOOKUP(YEAR($A107),'NY East Load Projections'!$A$4:$EO$14,((MONTH($A107)-1)*12)+VLOOKUP(AX$4,$DE$6:$DF$17,2)+1))*(VLOOKUP($A107,SatSunCurve,2))*(INDEX(DailyScalarsTable,AX$5/100,MONTH($A107)))*$C107</f>
        <v>-10809.986998207994</v>
      </c>
      <c r="AY107" s="1021">
        <f>(VLOOKUP(YEAR($A107),'NY East Load Projections'!$A$4:$EO$14,((MONTH($A107)-1)*12)+VLOOKUP(AY$4,$DE$6:$DF$17,2)+1))*(VLOOKUP($A107,SatSunCurve,2))*(INDEX(DailyScalarsTable,AY$5/100,MONTH($A107)))*$C107</f>
        <v>-9230.3964527442022</v>
      </c>
      <c r="AZ107" s="1021">
        <f>(VLOOKUP(YEAR($A107),'NY East Load Projections'!$A$4:$EO$14,((MONTH($A107)-1)*12)+VLOOKUP(AZ$4,$DE$6:$DF$17,2)+1))*(VLOOKUP($A107,SatSunCurve,2))*(INDEX(DailyScalarsTable,AZ$5/100,MONTH($A107)))*$C107</f>
        <v>-7380.9741134218948</v>
      </c>
      <c r="BA107" s="1021">
        <f>(VLOOKUP(YEAR($A107),'NY East Load Projections'!$A$4:$EO$14,((MONTH($A107)-1)*12)+VLOOKUP(BA$4,$DE$6:$DF$17,2)+1))*(VLOOKUP($A107,SatSunCurve,2))*(INDEX(DailyScalarsTable,BA$5/100,MONTH($A107)))*$C107</f>
        <v>-7616.652541095259</v>
      </c>
      <c r="BB107" s="1021">
        <f>(VLOOKUP(YEAR($A107),'NY East Load Projections'!$A$4:$EO$14,((MONTH($A107)-1)*12)+VLOOKUP(BB$4,$DE$6:$DF$17,2)+1))*(VLOOKUP($A107,SatSunCurve,2))*(INDEX(DailyScalarsTable,BB$5/100,MONTH($A107)))*$C107</f>
        <v>-7760.6410604044449</v>
      </c>
      <c r="BC107" s="1021">
        <f>(VLOOKUP(YEAR($A107),'NY East Load Projections'!$A$4:$EO$14,((MONTH($A107)-1)*12)+VLOOKUP(BC$4,$DE$6:$DF$17,2)+1))*(VLOOKUP($A107,SatSunCurve,2))*(INDEX(DailyScalarsTable,BC$5/100,MONTH($A107)))*$C107</f>
        <v>-6223.2518306150459</v>
      </c>
      <c r="BD107" s="1021">
        <f>(VLOOKUP(YEAR($A107),'NY East Load Projections'!$A$4:$EO$14,((MONTH($A107)-1)*12)+VLOOKUP(BD$4,$DE$6:$DF$17,2)+1))*(VLOOKUP($A107,CURVES!$D$9:$T$261,6))*(INDEX(DailyScalarsTable,BD$5/100,MONTH($A107)))*$C107</f>
        <v>-8696.9746818906278</v>
      </c>
      <c r="BE107" s="1021"/>
      <c r="BF107" s="1021">
        <f>(VLOOKUP(YEAR($A107),'NY East Load Projections'!$A$4:$EO$14,((MONTH($A107)-1)*12)+VLOOKUP(BF$4,$DE$6:$DF$17,2)+1))*(VLOOKUP($A107,CURVES!$D$9:$T$261,6))*(INDEX(DailyScalarsTable,BF$5/100,MONTH($A107)))*$D107</f>
        <v>-7061.162503732653</v>
      </c>
      <c r="BG107" s="1021">
        <f>(VLOOKUP(YEAR($A107),'NY East Load Projections'!$A$4:$EO$14,((MONTH($A107)-1)*12)+VLOOKUP(BG$4,$DE$6:$DF$17,2)+1))*(VLOOKUP($A107,CURVES!$D$9:$T$261,6))*(INDEX(DailyScalarsTable,BG$5/100,MONTH($A107)))*$D107</f>
        <v>-5850.2644035276671</v>
      </c>
      <c r="BH107" s="1021">
        <f>(VLOOKUP(YEAR($A107),'NY East Load Projections'!$A$4:$EO$14,((MONTH($A107)-1)*12)+VLOOKUP(BH$4,$DE$6:$DF$17,2)+1))*(VLOOKUP($A107,CURVES!$D$9:$T$261,6))*(INDEX(DailyScalarsTable,BH$5/100,MONTH($A107)))*$D107</f>
        <v>-4917.6921353100961</v>
      </c>
      <c r="BI107" s="1021">
        <f>(VLOOKUP(YEAR($A107),'NY East Load Projections'!$A$4:$EO$14,((MONTH($A107)-1)*12)+VLOOKUP(BI$4,$DE$6:$DF$17,2)+1))*(VLOOKUP($A107,CURVES!$D$9:$T$261,6))*(INDEX(DailyScalarsTable,BI$5/100,MONTH($A107)))*$D107</f>
        <v>-4565.2665688325269</v>
      </c>
      <c r="BJ107" s="1021">
        <f>(VLOOKUP(YEAR($A107),'NY East Load Projections'!$A$4:$EO$14,((MONTH($A107)-1)*12)+VLOOKUP(BJ$4,$DE$6:$DF$17,2)+1))*(VLOOKUP($A107,CURVES!$D$9:$T$261,6))*(INDEX(DailyScalarsTable,BJ$5/100,MONTH($A107)))*$D107</f>
        <v>-5005.514351428933</v>
      </c>
      <c r="BK107" s="1021">
        <f>(VLOOKUP(YEAR($A107),'NY East Load Projections'!$A$4:$EO$14,((MONTH($A107)-1)*12)+VLOOKUP(BK$4,$DE$6:$DF$17,2)+1))*(VLOOKUP($A107,CURVES!$D$9:$T$261,6))*(INDEX(DailyScalarsTable,BK$5/100,MONTH($A107)))*$D107</f>
        <v>-6107.0928747543512</v>
      </c>
      <c r="BL107" s="1021">
        <f>(VLOOKUP(YEAR($A107),'NY East Load Projections'!$A$4:$EO$14,((MONTH($A107)-1)*12)+VLOOKUP(BL$4,$DE$6:$DF$17,2)+1))*(VLOOKUP($A107,CURVES!$D$9:$T$261,6))*(INDEX(DailyScalarsTable,BL$5/100,MONTH($A107)))*$D107</f>
        <v>-7002.2396018347072</v>
      </c>
      <c r="BM107" s="1021">
        <f>(VLOOKUP(YEAR($A107),'NY East Load Projections'!$A$4:$EO$14,((MONTH($A107)-1)*12)+VLOOKUP(BM$4,$DE$6:$DF$17,2)+1))*(VLOOKUP($A107,SatSunCurve,6))*(INDEX(DailyScalarsTable,BM$5/100,MONTH($A107)))*$D107</f>
        <v>-4240.7769592929271</v>
      </c>
      <c r="BN107" s="1021">
        <f>(VLOOKUP(YEAR($A107),'NY East Load Projections'!$A$4:$EO$14,((MONTH($A107)-1)*12)+VLOOKUP(BN$4,$DE$6:$DF$17,2)+1))*(VLOOKUP($A107,SatSunCurve,6))*(INDEX(DailyScalarsTable,BN$5/100,MONTH($A107)))*$D107</f>
        <v>-5406.490504748791</v>
      </c>
      <c r="BO107" s="1021">
        <f>(VLOOKUP(YEAR($A107),'NY East Load Projections'!$A$4:$EO$14,((MONTH($A107)-1)*12)+VLOOKUP(BO$4,$DE$6:$DF$17,2)+1))*(VLOOKUP($A107,SatSunCurve,6))*(INDEX(DailyScalarsTable,BO$5/100,MONTH($A107)))*$D107</f>
        <v>-6047.1193533395308</v>
      </c>
      <c r="BP107" s="1021">
        <f>(VLOOKUP(YEAR($A107),'NY East Load Projections'!$A$4:$EO$14,((MONTH($A107)-1)*12)+VLOOKUP(BP$4,$DE$6:$DF$17,2)+1))*(VLOOKUP($A107,SatSunCurve,6))*(INDEX(DailyScalarsTable,BP$5/100,MONTH($A107)))*$D107</f>
        <v>-6955.9404565917803</v>
      </c>
      <c r="BQ107" s="1021">
        <f>(VLOOKUP(YEAR($A107),'NY East Load Projections'!$A$4:$EO$14,((MONTH($A107)-1)*12)+VLOOKUP(BQ$4,$DE$6:$DF$17,2)+1))*(VLOOKUP($A107,SatSunCurve,6))*(INDEX(DailyScalarsTable,BQ$5/100,MONTH($A107)))*$D107</f>
        <v>-7501.8017240300478</v>
      </c>
      <c r="BR107" s="1021">
        <f>(VLOOKUP(YEAR($A107),'NY East Load Projections'!$A$4:$EO$14,((MONTH($A107)-1)*12)+VLOOKUP(BR$4,$DE$6:$DF$17,2)+1))*(VLOOKUP($A107,SatSunCurve,6))*(INDEX(DailyScalarsTable,BR$5/100,MONTH($A107)))*$D107</f>
        <v>-7993.4150833676395</v>
      </c>
      <c r="BS107" s="1021">
        <f>(VLOOKUP(YEAR($A107),'NY East Load Projections'!$A$4:$EO$14,((MONTH($A107)-1)*12)+VLOOKUP(BS$4,$DE$6:$DF$17,2)+1))*(VLOOKUP($A107,SatSunCurve,6))*(INDEX(DailyScalarsTable,BS$5/100,MONTH($A107)))*$D107</f>
        <v>-8839.7881124964042</v>
      </c>
      <c r="BT107" s="1021">
        <f>(VLOOKUP(YEAR($A107),'NY East Load Projections'!$A$4:$EO$14,((MONTH($A107)-1)*12)+VLOOKUP(BT$4,$DE$6:$DF$17,2)+1))*(VLOOKUP($A107,SatSunCurve,6))*(INDEX(DailyScalarsTable,BT$5/100,MONTH($A107)))*$D107</f>
        <v>-8907.8089070302904</v>
      </c>
      <c r="BU107" s="1021">
        <f>(VLOOKUP(YEAR($A107),'NY East Load Projections'!$A$4:$EO$14,((MONTH($A107)-1)*12)+VLOOKUP(BU$4,$DE$6:$DF$17,2)+1))*(VLOOKUP($A107,SatSunCurve,6))*(INDEX(DailyScalarsTable,BU$5/100,MONTH($A107)))*$D107</f>
        <v>-8922.3847915732622</v>
      </c>
      <c r="BV107" s="1021">
        <f>(VLOOKUP(YEAR($A107),'NY East Load Projections'!$A$4:$EO$14,((MONTH($A107)-1)*12)+VLOOKUP(BV$4,$DE$6:$DF$17,2)+1))*(VLOOKUP($A107,SatSunCurve,6))*(INDEX(DailyScalarsTable,BV$5/100,MONTH($A107)))*$D107</f>
        <v>-8669.7597861952254</v>
      </c>
      <c r="BW107" s="1021">
        <f>(VLOOKUP(YEAR($A107),'NY East Load Projections'!$A$4:$EO$14,((MONTH($A107)-1)*12)+VLOOKUP(BW$4,$DE$6:$DF$17,2)+1))*(VLOOKUP($A107,SatSunCurve,6))*(INDEX(DailyScalarsTable,BW$5/100,MONTH($A107)))*$D107</f>
        <v>-8412.3893585051519</v>
      </c>
      <c r="BX107" s="1021">
        <f>(VLOOKUP(YEAR($A107),'NY East Load Projections'!$A$4:$EO$14,((MONTH($A107)-1)*12)+VLOOKUP(BX$4,$DE$6:$DF$17,2)+1))*(VLOOKUP($A107,SatSunCurve,6))*(INDEX(DailyScalarsTable,BX$5/100,MONTH($A107)))*$D107</f>
        <v>-7183.1435973716943</v>
      </c>
      <c r="BY107" s="1021">
        <f>(VLOOKUP(YEAR($A107),'NY East Load Projections'!$A$4:$EO$14,((MONTH($A107)-1)*12)+VLOOKUP(BY$4,$DE$6:$DF$17,2)+1))*(VLOOKUP($A107,SatSunCurve,6))*(INDEX(DailyScalarsTable,BY$5/100,MONTH($A107)))*$D107</f>
        <v>-5743.9132995669161</v>
      </c>
      <c r="BZ107" s="1021">
        <f>(VLOOKUP(YEAR($A107),'NY East Load Projections'!$A$4:$EO$14,((MONTH($A107)-1)*12)+VLOOKUP(BZ$4,$DE$6:$DF$17,2)+1))*(VLOOKUP($A107,SatSunCurve,6))*(INDEX(DailyScalarsTable,BZ$5/100,MONTH($A107)))*$D107</f>
        <v>-5927.3195050801414</v>
      </c>
      <c r="CA107" s="1021">
        <f>(VLOOKUP(YEAR($A107),'NY East Load Projections'!$A$4:$EO$14,((MONTH($A107)-1)*12)+VLOOKUP(CA$4,$DE$6:$DF$17,2)+1))*(VLOOKUP($A107,SatSunCurve,6))*(INDEX(DailyScalarsTable,CA$5/100,MONTH($A107)))*$D107</f>
        <v>-6039.3721363908271</v>
      </c>
      <c r="CB107" s="1021">
        <f>(VLOOKUP(YEAR($A107),'NY East Load Projections'!$A$4:$EO$14,((MONTH($A107)-1)*12)+VLOOKUP(CB$4,$DE$6:$DF$17,2)+1))*(VLOOKUP($A107,SatSunCurve,6))*(INDEX(DailyScalarsTable,CB$5/100,MONTH($A107)))*$D107</f>
        <v>-4842.9676634987945</v>
      </c>
      <c r="CC107" s="1021">
        <f>(VLOOKUP(YEAR($A107),'NY East Load Projections'!$A$4:$EO$14,((MONTH($A107)-1)*12)+VLOOKUP(CC$4,$DE$6:$DF$17,2)+1))*(VLOOKUP($A107,CURVES!$D$9:$T$261,6))*(INDEX(DailyScalarsTable,CC$5/100,MONTH($A107)))*$D107</f>
        <v>-8696.9746818906278</v>
      </c>
      <c r="CE107" s="1021">
        <f>(VLOOKUP(YEAR($A107),'NY East Load Projections'!$A$4:$EO$14,((MONTH($A107)-1)*12)+VLOOKUP(CE$4,$DE$6:$DF$17,2)+1))*(VLOOKUP($A107,CURVES!$D$9:$T$261,6))*(INDEX(DailyScalarsTable,CE$5/100,MONTH($A107)))*$E107</f>
        <v>0</v>
      </c>
      <c r="CF107" s="1021">
        <f>(VLOOKUP(YEAR($A107),'NY East Load Projections'!$A$4:$EO$14,((MONTH($A107)-1)*12)+VLOOKUP(CF$4,$DE$6:$DF$17,2)+1))*(VLOOKUP($A107,CURVES!$D$9:$T$261,6))*(INDEX(DailyScalarsTable,CF$5/100,MONTH($A107)))*$E107</f>
        <v>0</v>
      </c>
      <c r="CG107" s="1021">
        <f>(VLOOKUP(YEAR($A107),'NY East Load Projections'!$A$4:$EO$14,((MONTH($A107)-1)*12)+VLOOKUP(CG$4,$DE$6:$DF$17,2)+1))*(VLOOKUP($A107,CURVES!$D$9:$T$261,6))*(INDEX(DailyScalarsTable,CG$5/100,MONTH($A107)))*$E107</f>
        <v>0</v>
      </c>
      <c r="CH107" s="1021">
        <f>(VLOOKUP(YEAR($A107),'NY East Load Projections'!$A$4:$EO$14,((MONTH($A107)-1)*12)+VLOOKUP(CH$4,$DE$6:$DF$17,2)+1))*(VLOOKUP($A107,CURVES!$D$9:$T$261,6))*(INDEX(DailyScalarsTable,CH$5/100,MONTH($A107)))*$E107</f>
        <v>0</v>
      </c>
      <c r="CI107" s="1021">
        <f>(VLOOKUP(YEAR($A107),'NY East Load Projections'!$A$4:$EO$14,((MONTH($A107)-1)*12)+VLOOKUP(CI$4,$DE$6:$DF$17,2)+1))*(VLOOKUP($A107,CURVES!$D$9:$T$261,6))*(INDEX(DailyScalarsTable,CI$5/100,MONTH($A107)))*$E107</f>
        <v>0</v>
      </c>
      <c r="CJ107" s="1021">
        <f>(VLOOKUP(YEAR($A107),'NY East Load Projections'!$A$4:$EO$14,((MONTH($A107)-1)*12)+VLOOKUP(CJ$4,$DE$6:$DF$17,2)+1))*(VLOOKUP($A107,CURVES!$D$9:$T$261,6))*(INDEX(DailyScalarsTable,CJ$5/100,MONTH($A107)))*$E107</f>
        <v>0</v>
      </c>
      <c r="CK107" s="1021">
        <f>(VLOOKUP(YEAR($A107),'NY East Load Projections'!$A$4:$EO$14,((MONTH($A107)-1)*12)+VLOOKUP(CK$4,$DE$6:$DF$17,2)+1))*(VLOOKUP($A107,CURVES!$D$9:$T$261,6))*(INDEX(DailyScalarsTable,CK$5/100,MONTH($A107)))*$E107</f>
        <v>0</v>
      </c>
      <c r="CL107" s="1021">
        <f>(VLOOKUP(YEAR($A107),'NY East Load Projections'!$A$4:$EO$14,((MONTH($A107)-1)*12)+VLOOKUP(CL$4,$DE$6:$DF$17,2)+1))*(VLOOKUP($A107,SatSunCurve,6))*(INDEX(DailyScalarsTable,CL$5/100,MONTH($A107)))*$E107</f>
        <v>0</v>
      </c>
      <c r="CM107" s="1021">
        <f>(VLOOKUP(YEAR($A107),'NY East Load Projections'!$A$4:$EO$14,((MONTH($A107)-1)*12)+VLOOKUP(CM$4,$DE$6:$DF$17,2)+1))*(VLOOKUP($A107,SatSunCurve,6))*(INDEX(DailyScalarsTable,CM$5/100,MONTH($A107)))*$E107</f>
        <v>0</v>
      </c>
      <c r="CN107" s="1021">
        <f>(VLOOKUP(YEAR($A107),'NY East Load Projections'!$A$4:$EO$14,((MONTH($A107)-1)*12)+VLOOKUP(CN$4,$DE$6:$DF$17,2)+1))*(VLOOKUP($A107,SatSunCurve,6))*(INDEX(DailyScalarsTable,CN$5/100,MONTH($A107)))*$E107</f>
        <v>0</v>
      </c>
      <c r="CO107" s="1021">
        <f>(VLOOKUP(YEAR($A107),'NY East Load Projections'!$A$4:$EO$14,((MONTH($A107)-1)*12)+VLOOKUP(CO$4,$DE$6:$DF$17,2)+1))*(VLOOKUP($A107,SatSunCurve,6))*(INDEX(DailyScalarsTable,CO$5/100,MONTH($A107)))*$E107</f>
        <v>0</v>
      </c>
      <c r="CP107" s="1021">
        <f>(VLOOKUP(YEAR($A107),'NY East Load Projections'!$A$4:$EO$14,((MONTH($A107)-1)*12)+VLOOKUP(CP$4,$DE$6:$DF$17,2)+1))*(VLOOKUP($A107,SatSunCurve,6))*(INDEX(DailyScalarsTable,CP$5/100,MONTH($A107)))*$E107</f>
        <v>0</v>
      </c>
      <c r="CQ107" s="1021">
        <f>(VLOOKUP(YEAR($A107),'NY East Load Projections'!$A$4:$EO$14,((MONTH($A107)-1)*12)+VLOOKUP(CQ$4,$DE$6:$DF$17,2)+1))*(VLOOKUP($A107,SatSunCurve,6))*(INDEX(DailyScalarsTable,CQ$5/100,MONTH($A107)))*$E107</f>
        <v>0</v>
      </c>
      <c r="CR107" s="1021">
        <f>(VLOOKUP(YEAR($A107),'NY East Load Projections'!$A$4:$EO$14,((MONTH($A107)-1)*12)+VLOOKUP(CR$4,$DE$6:$DF$17,2)+1))*(VLOOKUP($A107,SatSunCurve,6))*(INDEX(DailyScalarsTable,CR$5/100,MONTH($A107)))*$E107</f>
        <v>0</v>
      </c>
      <c r="CS107" s="1021">
        <f>(VLOOKUP(YEAR($A107),'NY East Load Projections'!$A$4:$EO$14,((MONTH($A107)-1)*12)+VLOOKUP(CS$4,$DE$6:$DF$17,2)+1))*(VLOOKUP($A107,SatSunCurve,6))*(INDEX(DailyScalarsTable,CS$5/100,MONTH($A107)))*$E107</f>
        <v>0</v>
      </c>
      <c r="CT107" s="1021">
        <f>(VLOOKUP(YEAR($A107),'NY East Load Projections'!$A$4:$EO$14,((MONTH($A107)-1)*12)+VLOOKUP(CT$4,$DE$6:$DF$17,2)+1))*(VLOOKUP($A107,SatSunCurve,6))*(INDEX(DailyScalarsTable,CT$5/100,MONTH($A107)))*$E107</f>
        <v>0</v>
      </c>
      <c r="CU107" s="1021">
        <f>(VLOOKUP(YEAR($A107),'NY East Load Projections'!$A$4:$EO$14,((MONTH($A107)-1)*12)+VLOOKUP(CU$4,$DE$6:$DF$17,2)+1))*(VLOOKUP($A107,SatSunCurve,6))*(INDEX(DailyScalarsTable,CU$5/100,MONTH($A107)))*$E107</f>
        <v>0</v>
      </c>
      <c r="CV107" s="1021">
        <f>(VLOOKUP(YEAR($A107),'NY East Load Projections'!$A$4:$EO$14,((MONTH($A107)-1)*12)+VLOOKUP(CV$4,$DE$6:$DF$17,2)+1))*(VLOOKUP($A107,SatSunCurve,6))*(INDEX(DailyScalarsTable,CV$5/100,MONTH($A107)))*$E107</f>
        <v>0</v>
      </c>
      <c r="CW107" s="1021">
        <f>(VLOOKUP(YEAR($A107),'NY East Load Projections'!$A$4:$EO$14,((MONTH($A107)-1)*12)+VLOOKUP(CW$4,$DE$6:$DF$17,2)+1))*(VLOOKUP($A107,SatSunCurve,6))*(INDEX(DailyScalarsTable,CW$5/100,MONTH($A107)))*$E107</f>
        <v>0</v>
      </c>
      <c r="CX107" s="1021">
        <f>(VLOOKUP(YEAR($A107),'NY East Load Projections'!$A$4:$EO$14,((MONTH($A107)-1)*12)+VLOOKUP(CX$4,$DE$6:$DF$17,2)+1))*(VLOOKUP($A107,SatSunCurve,6))*(INDEX(DailyScalarsTable,CX$5/100,MONTH($A107)))*$E107</f>
        <v>0</v>
      </c>
      <c r="CY107" s="1021">
        <f>(VLOOKUP(YEAR($A107),'NY East Load Projections'!$A$4:$EO$14,((MONTH($A107)-1)*12)+VLOOKUP(CY$4,$DE$6:$DF$17,2)+1))*(VLOOKUP($A107,SatSunCurve,6))*(INDEX(DailyScalarsTable,CY$5/100,MONTH($A107)))*$E107</f>
        <v>0</v>
      </c>
      <c r="CZ107" s="1021">
        <f>(VLOOKUP(YEAR($A107),'NY East Load Projections'!$A$4:$EO$14,((MONTH($A107)-1)*12)+VLOOKUP(CZ$4,$DE$6:$DF$17,2)+1))*(VLOOKUP($A107,SatSunCurve,6))*(INDEX(DailyScalarsTable,CZ$5/100,MONTH($A107)))*$E107</f>
        <v>0</v>
      </c>
      <c r="DA107" s="1021">
        <f>(VLOOKUP(YEAR($A107),'NY East Load Projections'!$A$4:$EO$14,((MONTH($A107)-1)*12)+VLOOKUP(DA$4,$DE$6:$DF$17,2)+1))*(VLOOKUP($A107,SatSunCurve,6))*(INDEX(DailyScalarsTable,DA$5/100,MONTH($A107)))*$E107</f>
        <v>0</v>
      </c>
      <c r="DB107" s="1021">
        <f>(VLOOKUP(YEAR($A107),'NY East Load Projections'!$A$4:$EO$14,((MONTH($A107)-1)*12)+VLOOKUP(DB$4,$DE$6:$DF$17,2)+1))*(VLOOKUP($A107,CURVES!$D$9:$T$261,6))*(INDEX(DailyScalarsTable,DB$5/100,MONTH($A107)))*$E107</f>
        <v>0</v>
      </c>
      <c r="DH107" s="1021">
        <f t="shared" si="2"/>
        <v>-2273821.1376233692</v>
      </c>
      <c r="DI107">
        <f ca="1">CALC!J127</f>
        <v>0.50540161644795423</v>
      </c>
      <c r="DJ107" s="1029">
        <f t="shared" ca="1" si="3"/>
        <v>-1149192.8784683771</v>
      </c>
    </row>
    <row r="108" spans="1:114" x14ac:dyDescent="0.25">
      <c r="A108" s="244">
        <v>39995</v>
      </c>
      <c r="B108" s="13">
        <v>23</v>
      </c>
      <c r="C108" s="210">
        <v>3</v>
      </c>
      <c r="D108" s="210">
        <v>4</v>
      </c>
      <c r="E108" s="210">
        <v>1</v>
      </c>
      <c r="F108" s="13">
        <v>31</v>
      </c>
      <c r="H108" s="1021">
        <f>(VLOOKUP(YEAR($A108),'NY East Load Projections'!$A$4:$EO$14,((MONTH($A108)-1)*12)+VLOOKUP(H$4,$DE$6:$DF$17,2)+1))*(VLOOKUP($A108,CURVES!$D$9:$K$261,6))*(INDEX(DailyScalarsTable,H$5/100,MONTH($A108)))*$B108</f>
        <v>-52130.852210025783</v>
      </c>
      <c r="I108" s="1021">
        <f>(VLOOKUP(YEAR($A108),'NY East Load Projections'!$A$4:$EO$14,((MONTH($A108)-1)*12)+VLOOKUP(I$4,$DE$6:$DF$17,2)+1))*(VLOOKUP($A108,CURVES!$D$9:$K$261,6))*(INDEX(DailyScalarsTable,I$5/100,MONTH($A108)))*$B108</f>
        <v>-47618.062508085532</v>
      </c>
      <c r="J108" s="1021">
        <f>(VLOOKUP(YEAR($A108),'NY East Load Projections'!$A$4:$EO$14,((MONTH($A108)-1)*12)+VLOOKUP(J$4,$DE$6:$DF$17,2)+1))*(VLOOKUP($A108,CURVES!$D$9:$K$261,6))*(INDEX(DailyScalarsTable,J$5/100,MONTH($A108)))*$B108</f>
        <v>-45371.831597885568</v>
      </c>
      <c r="K108" s="1021">
        <f>(VLOOKUP(YEAR($A108),'NY East Load Projections'!$A$4:$EO$14,((MONTH($A108)-1)*12)+VLOOKUP(K$4,$DE$6:$DF$17,2)+1))*(VLOOKUP($A108,CURVES!$D$9:$K$261,6))*(INDEX(DailyScalarsTable,K$5/100,MONTH($A108)))*$B108</f>
        <v>-40859.041895945324</v>
      </c>
      <c r="L108" s="1021">
        <f>(VLOOKUP(YEAR($A108),'NY East Load Projections'!$A$4:$EO$14,((MONTH($A108)-1)*12)+VLOOKUP(L$4,$DE$6:$DF$17,2)+1))*(VLOOKUP($A108,CURVES!$D$9:$K$261,6))*(INDEX(DailyScalarsTable,L$5/100,MONTH($A108)))*$B108</f>
        <v>-41417.841978010823</v>
      </c>
      <c r="M108" s="1021">
        <f>(VLOOKUP(YEAR($A108),'NY East Load Projections'!$A$4:$EO$14,((MONTH($A108)-1)*12)+VLOOKUP(M$4,$DE$6:$DF$17,2)+1))*(VLOOKUP($A108,CURVES!$D$9:$K$261,6))*(INDEX(DailyScalarsTable,M$5/100,MONTH($A108)))*$B108</f>
        <v>-45661.651258252488</v>
      </c>
      <c r="N108" s="1021">
        <f>(VLOOKUP(YEAR($A108),'NY East Load Projections'!$A$4:$EO$14,((MONTH($A108)-1)*12)+VLOOKUP(N$4,$DE$6:$DF$17,2)+1))*(VLOOKUP($A108,CURVES!$D$9:$K$261,6))*(INDEX(DailyScalarsTable,N$5/100,MONTH($A108)))*$B108</f>
        <v>-50708.636719409471</v>
      </c>
      <c r="O108" s="1021">
        <f>(VLOOKUP(YEAR($A108),'NY East Load Projections'!$A$4:$EO$14,((MONTH($A108)-1)*12)+VLOOKUP(O$4,$DE$6:$DF$17,2)+1))*(VLOOKUP($A108,CURVES!$D$9:$K$261,2))*(INDEX(DailyScalarsTable,O$5/100,MONTH($A108)))*$B108</f>
        <v>-93518.919177438802</v>
      </c>
      <c r="P108" s="1021">
        <f>(VLOOKUP(YEAR($A108),'NY East Load Projections'!$A$4:$EO$14,((MONTH($A108)-1)*12)+VLOOKUP(P$4,$DE$6:$DF$17,2)+1))*(VLOOKUP($A108,CURVES!$D$9:$K$261,2))*(INDEX(DailyScalarsTable,P$5/100,MONTH($A108)))*$B108</f>
        <v>-112370.17572844087</v>
      </c>
      <c r="Q108" s="1021">
        <f>(VLOOKUP(YEAR($A108),'NY East Load Projections'!$A$4:$EO$14,((MONTH($A108)-1)*12)+VLOOKUP(Q$4,$DE$6:$DF$17,2)+1))*(VLOOKUP($A108,CURVES!$D$9:$K$261,2))*(INDEX(DailyScalarsTable,Q$5/100,MONTH($A108)))*$B108</f>
        <v>-134537.90464831312</v>
      </c>
      <c r="R108" s="1021">
        <f>(VLOOKUP(YEAR($A108),'NY East Load Projections'!$A$4:$EO$14,((MONTH($A108)-1)*12)+VLOOKUP(R$4,$DE$6:$DF$17,2)+1))*(VLOOKUP($A108,CURVES!$D$9:$K$261,2))*(INDEX(DailyScalarsTable,R$5/100,MONTH($A108)))*$B108</f>
        <v>-153089.95698510084</v>
      </c>
      <c r="S108" s="1021">
        <f>(VLOOKUP(YEAR($A108),'NY East Load Projections'!$A$4:$EO$14,((MONTH($A108)-1)*12)+VLOOKUP(S$4,$DE$6:$DF$17,2)+1))*(VLOOKUP($A108,CURVES!$D$9:$K$261,2))*(INDEX(DailyScalarsTable,S$5/100,MONTH($A108)))*$B108</f>
        <v>-183025.86441535575</v>
      </c>
      <c r="T108" s="1021">
        <f>(VLOOKUP(YEAR($A108),'NY East Load Projections'!$A$4:$EO$14,((MONTH($A108)-1)*12)+VLOOKUP(T$4,$DE$6:$DF$17,2)+1))*(VLOOKUP($A108,CURVES!$D$9:$K$261,2))*(INDEX(DailyScalarsTable,T$5/100,MONTH($A108)))*$B108</f>
        <v>-205288.18119509474</v>
      </c>
      <c r="U108" s="1021">
        <f>(VLOOKUP(YEAR($A108),'NY East Load Projections'!$A$4:$EO$14,((MONTH($A108)-1)*12)+VLOOKUP(U$4,$DE$6:$DF$17,2)+1))*(VLOOKUP($A108,CURVES!$D$9:$K$261,2))*(INDEX(DailyScalarsTable,U$5/100,MONTH($A108)))*$B108</f>
        <v>-212197.53607251256</v>
      </c>
      <c r="V108" s="1021">
        <f>(VLOOKUP(YEAR($A108),'NY East Load Projections'!$A$4:$EO$14,((MONTH($A108)-1)*12)+VLOOKUP(V$4,$DE$6:$DF$17,2)+1))*(VLOOKUP($A108,CURVES!$D$9:$K$261,2))*(INDEX(DailyScalarsTable,V$5/100,MONTH($A108)))*$B108</f>
        <v>-221035.0830087447</v>
      </c>
      <c r="W108" s="1021">
        <f>(VLOOKUP(YEAR($A108),'NY East Load Projections'!$A$4:$EO$14,((MONTH($A108)-1)*12)+VLOOKUP(W$4,$DE$6:$DF$17,2)+1))*(VLOOKUP($A108,CURVES!$D$9:$K$261,2))*(INDEX(DailyScalarsTable,W$5/100,MONTH($A108)))*$B108</f>
        <v>-234580.63222191518</v>
      </c>
      <c r="X108" s="1021">
        <f>(VLOOKUP(YEAR($A108),'NY East Load Projections'!$A$4:$EO$14,((MONTH($A108)-1)*12)+VLOOKUP(X$4,$DE$6:$DF$17,2)+1))*(VLOOKUP($A108,CURVES!$D$9:$K$261,2))*(INDEX(DailyScalarsTable,X$5/100,MONTH($A108)))*$B108</f>
        <v>-231565.8349405996</v>
      </c>
      <c r="Y108" s="1021">
        <f>(VLOOKUP(YEAR($A108),'NY East Load Projections'!$A$4:$EO$14,((MONTH($A108)-1)*12)+VLOOKUP(Y$4,$DE$6:$DF$17,2)+1))*(VLOOKUP($A108,CURVES!$D$9:$K$261,2))*(INDEX(DailyScalarsTable,Y$5/100,MONTH($A108)))*$B108</f>
        <v>-225827.61768903278</v>
      </c>
      <c r="Z108" s="1021">
        <f>(VLOOKUP(YEAR($A108),'NY East Load Projections'!$A$4:$EO$14,((MONTH($A108)-1)*12)+VLOOKUP(Z$4,$DE$6:$DF$17,2)+1))*(VLOOKUP($A108,CURVES!$D$9:$K$261,2))*(INDEX(DailyScalarsTable,Z$5/100,MONTH($A108)))*$B108</f>
        <v>-188614.73453727303</v>
      </c>
      <c r="AA108" s="1021">
        <f>(VLOOKUP(YEAR($A108),'NY East Load Projections'!$A$4:$EO$14,((MONTH($A108)-1)*12)+VLOOKUP(AA$4,$DE$6:$DF$17,2)+1))*(VLOOKUP($A108,CURVES!$D$9:$K$261,2))*(INDEX(DailyScalarsTable,AA$5/100,MONTH($A108)))*$B108</f>
        <v>-139567.75022442293</v>
      </c>
      <c r="AB108" s="1021">
        <f>(VLOOKUP(YEAR($A108),'NY East Load Projections'!$A$4:$EO$14,((MONTH($A108)-1)*12)+VLOOKUP(AB$4,$DE$6:$DF$17,2)+1))*(VLOOKUP($A108,CURVES!$D$9:$K$261,2))*(INDEX(DailyScalarsTable,AB$5/100,MONTH($A108)))*$B108</f>
        <v>-140711.4125059979</v>
      </c>
      <c r="AC108" s="1021">
        <f>(VLOOKUP(YEAR($A108),'NY East Load Projections'!$A$4:$EO$14,((MONTH($A108)-1)*12)+VLOOKUP(AC$4,$DE$6:$DF$17,2)+1))*(VLOOKUP($A108,CURVES!$D$9:$K$261,2))*(INDEX(DailyScalarsTable,AC$5/100,MONTH($A108)))*$B108</f>
        <v>-149102.78514662961</v>
      </c>
      <c r="AD108" s="1021">
        <f>(VLOOKUP(YEAR($A108),'NY East Load Projections'!$A$4:$EO$14,((MONTH($A108)-1)*12)+VLOOKUP(AD$4,$DE$6:$DF$17,2)+1))*(VLOOKUP($A108,CURVES!$D$9:$K$261,2))*(INDEX(DailyScalarsTable,AD$5/100,MONTH($A108)))*$B108</f>
        <v>-103545.56949292985</v>
      </c>
      <c r="AE108" s="1021">
        <f>(VLOOKUP(YEAR($A108),'NY East Load Projections'!$A$4:$EO$14,((MONTH($A108)-1)*12)+VLOOKUP(AE$4,$DE$6:$DF$17,2)+1))*(VLOOKUP($A108,CURVES!$D$9:$K$261,6))*(INDEX(DailyScalarsTable,AE$5/100,MONTH($A108)))*$B108</f>
        <v>-61555.735091978771</v>
      </c>
      <c r="AF108" s="1021"/>
      <c r="AG108" s="1021">
        <f>(VLOOKUP(YEAR($A108),'NY East Load Projections'!$A$4:$EO$14,((MONTH($A108)-1)*12)+VLOOKUP(AG$4,$DE$6:$DF$17,2)+1))*(VLOOKUP($A108,CURVES!$D$9:$T$261,6))*(INDEX(DailyScalarsTable,AG$5/100,MONTH($A108)))*$C108</f>
        <v>-6495.5845850244314</v>
      </c>
      <c r="AH108" s="1021">
        <f>(VLOOKUP(YEAR($A108),'NY East Load Projections'!$A$4:$EO$14,((MONTH($A108)-1)*12)+VLOOKUP(AH$4,$DE$6:$DF$17,2)+1))*(VLOOKUP($A108,CURVES!$D$9:$T$261,6))*(INDEX(DailyScalarsTable,AH$5/100,MONTH($A108)))*$C108</f>
        <v>-5933.2840282393163</v>
      </c>
      <c r="AI108" s="1021">
        <f>(VLOOKUP(YEAR($A108),'NY East Load Projections'!$A$4:$EO$14,((MONTH($A108)-1)*12)+VLOOKUP(AI$4,$DE$6:$DF$17,2)+1))*(VLOOKUP($A108,CURVES!$D$9:$T$261,6))*(INDEX(DailyScalarsTable,AI$5/100,MONTH($A108)))*$C108</f>
        <v>-5653.4001925422235</v>
      </c>
      <c r="AJ108" s="1021">
        <f>(VLOOKUP(YEAR($A108),'NY East Load Projections'!$A$4:$EO$14,((MONTH($A108)-1)*12)+VLOOKUP(AJ$4,$DE$6:$DF$17,2)+1))*(VLOOKUP($A108,CURVES!$D$9:$T$261,6))*(INDEX(DailyScalarsTable,AJ$5/100,MONTH($A108)))*$C108</f>
        <v>-5091.0996357571075</v>
      </c>
      <c r="AK108" s="1021">
        <f>(VLOOKUP(YEAR($A108),'NY East Load Projections'!$A$4:$EO$14,((MONTH($A108)-1)*12)+VLOOKUP(AK$4,$DE$6:$DF$17,2)+1))*(VLOOKUP($A108,CURVES!$D$9:$T$261,6))*(INDEX(DailyScalarsTable,AK$5/100,MONTH($A108)))*$C108</f>
        <v>-4906.4435268461893</v>
      </c>
      <c r="AL108" s="1021">
        <f>(VLOOKUP(YEAR($A108),'NY East Load Projections'!$A$4:$EO$14,((MONTH($A108)-1)*12)+VLOOKUP(AL$4,$DE$6:$DF$17,2)+1))*(VLOOKUP($A108,CURVES!$D$9:$T$261,6))*(INDEX(DailyScalarsTable,AL$5/100,MONTH($A108)))*$C108</f>
        <v>-5409.1739825581535</v>
      </c>
      <c r="AM108" s="1021">
        <f>(VLOOKUP(YEAR($A108),'NY East Load Projections'!$A$4:$EO$14,((MONTH($A108)-1)*12)+VLOOKUP(AM$4,$DE$6:$DF$17,2)+1))*(VLOOKUP($A108,CURVES!$D$9:$T$261,6))*(INDEX(DailyScalarsTable,AM$5/100,MONTH($A108)))*$C108</f>
        <v>-6007.0503557194415</v>
      </c>
      <c r="AN108" s="1021">
        <f>(VLOOKUP(YEAR($A108),'NY East Load Projections'!$A$4:$EO$14,((MONTH($A108)-1)*12)+VLOOKUP(AN$4,$DE$6:$DF$17,2)+1))*(VLOOKUP($A108,SatSunCurve,2))*(INDEX(DailyScalarsTable,AN$5/100,MONTH($A108)))*$C108</f>
        <v>-5851.8499124989976</v>
      </c>
      <c r="AO108" s="1021">
        <f>(VLOOKUP(YEAR($A108),'NY East Load Projections'!$A$4:$EO$14,((MONTH($A108)-1)*12)+VLOOKUP(AO$4,$DE$6:$DF$17,2)+1))*(VLOOKUP($A108,SatSunCurve,2))*(INDEX(DailyScalarsTable,AO$5/100,MONTH($A108)))*$C108</f>
        <v>-7031.5837598005692</v>
      </c>
      <c r="AP108" s="1021">
        <f>(VLOOKUP(YEAR($A108),'NY East Load Projections'!$A$4:$EO$14,((MONTH($A108)-1)*12)+VLOOKUP(AP$4,$DE$6:$DF$17,2)+1))*(VLOOKUP($A108,SatSunCurve,2))*(INDEX(DailyScalarsTable,AP$5/100,MONTH($A108)))*$C108</f>
        <v>-8418.7333451258455</v>
      </c>
      <c r="AQ108" s="1021">
        <f>(VLOOKUP(YEAR($A108),'NY East Load Projections'!$A$4:$EO$14,((MONTH($A108)-1)*12)+VLOOKUP(AQ$4,$DE$6:$DF$17,2)+1))*(VLOOKUP($A108,SatSunCurve,2))*(INDEX(DailyScalarsTable,AQ$5/100,MONTH($A108)))*$C108</f>
        <v>-9579.6313242976412</v>
      </c>
      <c r="AR108" s="1021">
        <f>(VLOOKUP(YEAR($A108),'NY East Load Projections'!$A$4:$EO$14,((MONTH($A108)-1)*12)+VLOOKUP(AR$4,$DE$6:$DF$17,2)+1))*(VLOOKUP($A108,SatSunCurve,2))*(INDEX(DailyScalarsTable,AR$5/100,MONTH($A108)))*$C108</f>
        <v>-11452.876063454856</v>
      </c>
      <c r="AS108" s="1021">
        <f>(VLOOKUP(YEAR($A108),'NY East Load Projections'!$A$4:$EO$14,((MONTH($A108)-1)*12)+VLOOKUP(AS$4,$DE$6:$DF$17,2)+1))*(VLOOKUP($A108,SatSunCurve,2))*(INDEX(DailyScalarsTable,AS$5/100,MONTH($A108)))*$C108</f>
        <v>-13007.40798142703</v>
      </c>
      <c r="AT108" s="1021">
        <f>(VLOOKUP(YEAR($A108),'NY East Load Projections'!$A$4:$EO$14,((MONTH($A108)-1)*12)+VLOOKUP(AT$4,$DE$6:$DF$17,2)+1))*(VLOOKUP($A108,SatSunCurve,2))*(INDEX(DailyScalarsTable,AT$5/100,MONTH($A108)))*$C108</f>
        <v>-13445.196446675434</v>
      </c>
      <c r="AU108" s="1021">
        <f>(VLOOKUP(YEAR($A108),'NY East Load Projections'!$A$4:$EO$14,((MONTH($A108)-1)*12)+VLOOKUP(AU$4,$DE$6:$DF$17,2)+1))*(VLOOKUP($A108,SatSunCurve,2))*(INDEX(DailyScalarsTable,AU$5/100,MONTH($A108)))*$C108</f>
        <v>-14005.15843710944</v>
      </c>
      <c r="AV108" s="1021">
        <f>(VLOOKUP(YEAR($A108),'NY East Load Projections'!$A$4:$EO$14,((MONTH($A108)-1)*12)+VLOOKUP(AV$4,$DE$6:$DF$17,2)+1))*(VLOOKUP($A108,SatSunCurve,2))*(INDEX(DailyScalarsTable,AV$5/100,MONTH($A108)))*$C108</f>
        <v>-14863.427451538289</v>
      </c>
      <c r="AW108" s="1021">
        <f>(VLOOKUP(YEAR($A108),'NY East Load Projections'!$A$4:$EO$14,((MONTH($A108)-1)*12)+VLOOKUP(AW$4,$DE$6:$DF$17,2)+1))*(VLOOKUP($A108,SatSunCurve,2))*(INDEX(DailyScalarsTable,AW$5/100,MONTH($A108)))*$C108</f>
        <v>-14513.72276337471</v>
      </c>
      <c r="AX108" s="1021">
        <f>(VLOOKUP(YEAR($A108),'NY East Load Projections'!$A$4:$EO$14,((MONTH($A108)-1)*12)+VLOOKUP(AX$4,$DE$6:$DF$17,2)+1))*(VLOOKUP($A108,SatSunCurve,2))*(INDEX(DailyScalarsTable,AX$5/100,MONTH($A108)))*$C108</f>
        <v>-14154.071719140924</v>
      </c>
      <c r="AY108" s="1021">
        <f>(VLOOKUP(YEAR($A108),'NY East Load Projections'!$A$4:$EO$14,((MONTH($A108)-1)*12)+VLOOKUP(AY$4,$DE$6:$DF$17,2)+1))*(VLOOKUP($A108,SatSunCurve,2))*(INDEX(DailyScalarsTable,AY$5/100,MONTH($A108)))*$C108</f>
        <v>-11821.700584042163</v>
      </c>
      <c r="AZ108" s="1021">
        <f>(VLOOKUP(YEAR($A108),'NY East Load Projections'!$A$4:$EO$14,((MONTH($A108)-1)*12)+VLOOKUP(AZ$4,$DE$6:$DF$17,2)+1))*(VLOOKUP($A108,SatSunCurve,2))*(INDEX(DailyScalarsTable,AZ$5/100,MONTH($A108)))*$C108</f>
        <v>-8747.6100867160058</v>
      </c>
      <c r="BA108" s="1021">
        <f>(VLOOKUP(YEAR($A108),'NY East Load Projections'!$A$4:$EO$14,((MONTH($A108)-1)*12)+VLOOKUP(BA$4,$DE$6:$DF$17,2)+1))*(VLOOKUP($A108,SatSunCurve,2))*(INDEX(DailyScalarsTable,BA$5/100,MONTH($A108)))*$C108</f>
        <v>-9169.7113202263772</v>
      </c>
      <c r="BB108" s="1021">
        <f>(VLOOKUP(YEAR($A108),'NY East Load Projections'!$A$4:$EO$14,((MONTH($A108)-1)*12)+VLOOKUP(BB$4,$DE$6:$DF$17,2)+1))*(VLOOKUP($A108,SatSunCurve,2))*(INDEX(DailyScalarsTable,BB$5/100,MONTH($A108)))*$C108</f>
        <v>-9716.5501538693734</v>
      </c>
      <c r="BC108" s="1021">
        <f>(VLOOKUP(YEAR($A108),'NY East Load Projections'!$A$4:$EO$14,((MONTH($A108)-1)*12)+VLOOKUP(BC$4,$DE$6:$DF$17,2)+1))*(VLOOKUP($A108,SatSunCurve,2))*(INDEX(DailyScalarsTable,BC$5/100,MONTH($A108)))*$C108</f>
        <v>-6747.7325671656781</v>
      </c>
      <c r="BD108" s="1021">
        <f>(VLOOKUP(YEAR($A108),'NY East Load Projections'!$A$4:$EO$14,((MONTH($A108)-1)*12)+VLOOKUP(BD$4,$DE$6:$DF$17,2)+1))*(VLOOKUP($A108,CURVES!$D$9:$T$261,6))*(INDEX(DailyScalarsTable,BD$5/100,MONTH($A108)))*$C108</f>
        <v>-7594.1732470102297</v>
      </c>
      <c r="BE108" s="1021"/>
      <c r="BF108" s="1021">
        <f>(VLOOKUP(YEAR($A108),'NY East Load Projections'!$A$4:$EO$14,((MONTH($A108)-1)*12)+VLOOKUP(BF$4,$DE$6:$DF$17,2)+1))*(VLOOKUP($A108,CURVES!$D$9:$T$261,6))*(INDEX(DailyScalarsTable,BF$5/100,MONTH($A108)))*$D108</f>
        <v>-8660.7794466992418</v>
      </c>
      <c r="BG108" s="1021">
        <f>(VLOOKUP(YEAR($A108),'NY East Load Projections'!$A$4:$EO$14,((MONTH($A108)-1)*12)+VLOOKUP(BG$4,$DE$6:$DF$17,2)+1))*(VLOOKUP($A108,CURVES!$D$9:$T$261,6))*(INDEX(DailyScalarsTable,BG$5/100,MONTH($A108)))*$D108</f>
        <v>-7911.0453709857547</v>
      </c>
      <c r="BH108" s="1021">
        <f>(VLOOKUP(YEAR($A108),'NY East Load Projections'!$A$4:$EO$14,((MONTH($A108)-1)*12)+VLOOKUP(BH$4,$DE$6:$DF$17,2)+1))*(VLOOKUP($A108,CURVES!$D$9:$T$261,6))*(INDEX(DailyScalarsTable,BH$5/100,MONTH($A108)))*$D108</f>
        <v>-7537.8669233896308</v>
      </c>
      <c r="BI108" s="1021">
        <f>(VLOOKUP(YEAR($A108),'NY East Load Projections'!$A$4:$EO$14,((MONTH($A108)-1)*12)+VLOOKUP(BI$4,$DE$6:$DF$17,2)+1))*(VLOOKUP($A108,CURVES!$D$9:$T$261,6))*(INDEX(DailyScalarsTable,BI$5/100,MONTH($A108)))*$D108</f>
        <v>-6788.1328476761437</v>
      </c>
      <c r="BJ108" s="1021">
        <f>(VLOOKUP(YEAR($A108),'NY East Load Projections'!$A$4:$EO$14,((MONTH($A108)-1)*12)+VLOOKUP(BJ$4,$DE$6:$DF$17,2)+1))*(VLOOKUP($A108,CURVES!$D$9:$T$261,6))*(INDEX(DailyScalarsTable,BJ$5/100,MONTH($A108)))*$D108</f>
        <v>-6541.9247024615852</v>
      </c>
      <c r="BK108" s="1021">
        <f>(VLOOKUP(YEAR($A108),'NY East Load Projections'!$A$4:$EO$14,((MONTH($A108)-1)*12)+VLOOKUP(BK$4,$DE$6:$DF$17,2)+1))*(VLOOKUP($A108,CURVES!$D$9:$T$261,6))*(INDEX(DailyScalarsTable,BK$5/100,MONTH($A108)))*$D108</f>
        <v>-7212.2319767442041</v>
      </c>
      <c r="BL108" s="1021">
        <f>(VLOOKUP(YEAR($A108),'NY East Load Projections'!$A$4:$EO$14,((MONTH($A108)-1)*12)+VLOOKUP(BL$4,$DE$6:$DF$17,2)+1))*(VLOOKUP($A108,CURVES!$D$9:$T$261,6))*(INDEX(DailyScalarsTable,BL$5/100,MONTH($A108)))*$D108</f>
        <v>-8009.400474292589</v>
      </c>
      <c r="BM108" s="1021">
        <f>(VLOOKUP(YEAR($A108),'NY East Load Projections'!$A$4:$EO$14,((MONTH($A108)-1)*12)+VLOOKUP(BM$4,$DE$6:$DF$17,2)+1))*(VLOOKUP($A108,SatSunCurve,6))*(INDEX(DailyScalarsTable,BM$5/100,MONTH($A108)))*$D108</f>
        <v>-5663.556152860303</v>
      </c>
      <c r="BN108" s="1021">
        <f>(VLOOKUP(YEAR($A108),'NY East Load Projections'!$A$4:$EO$14,((MONTH($A108)-1)*12)+VLOOKUP(BN$4,$DE$6:$DF$17,2)+1))*(VLOOKUP($A108,SatSunCurve,6))*(INDEX(DailyScalarsTable,BN$5/100,MONTH($A108)))*$D108</f>
        <v>-6805.3299491005901</v>
      </c>
      <c r="BO108" s="1021">
        <f>(VLOOKUP(YEAR($A108),'NY East Load Projections'!$A$4:$EO$14,((MONTH($A108)-1)*12)+VLOOKUP(BO$4,$DE$6:$DF$17,2)+1))*(VLOOKUP($A108,SatSunCurve,6))*(INDEX(DailyScalarsTable,BO$5/100,MONTH($A108)))*$D108</f>
        <v>-8147.84551022708</v>
      </c>
      <c r="BP108" s="1021">
        <f>(VLOOKUP(YEAR($A108),'NY East Load Projections'!$A$4:$EO$14,((MONTH($A108)-1)*12)+VLOOKUP(BP$4,$DE$6:$DF$17,2)+1))*(VLOOKUP($A108,SatSunCurve,6))*(INDEX(DailyScalarsTable,BP$5/100,MONTH($A108)))*$D108</f>
        <v>-9271.3895161555884</v>
      </c>
      <c r="BQ108" s="1021">
        <f>(VLOOKUP(YEAR($A108),'NY East Load Projections'!$A$4:$EO$14,((MONTH($A108)-1)*12)+VLOOKUP(BQ$4,$DE$6:$DF$17,2)+1))*(VLOOKUP($A108,SatSunCurve,6))*(INDEX(DailyScalarsTable,BQ$5/100,MONTH($A108)))*$D108</f>
        <v>-11084.359248275125</v>
      </c>
      <c r="BR108" s="1021">
        <f>(VLOOKUP(YEAR($A108),'NY East Load Projections'!$A$4:$EO$14,((MONTH($A108)-1)*12)+VLOOKUP(BR$4,$DE$6:$DF$17,2)+1))*(VLOOKUP($A108,SatSunCurve,6))*(INDEX(DailyScalarsTable,BR$5/100,MONTH($A108)))*$D108</f>
        <v>-12588.871315483844</v>
      </c>
      <c r="BS108" s="1021">
        <f>(VLOOKUP(YEAR($A108),'NY East Load Projections'!$A$4:$EO$14,((MONTH($A108)-1)*12)+VLOOKUP(BS$4,$DE$6:$DF$17,2)+1))*(VLOOKUP($A108,SatSunCurve,6))*(INDEX(DailyScalarsTable,BS$5/100,MONTH($A108)))*$D108</f>
        <v>-13012.573152182187</v>
      </c>
      <c r="BT108" s="1021">
        <f>(VLOOKUP(YEAR($A108),'NY East Load Projections'!$A$4:$EO$14,((MONTH($A108)-1)*12)+VLOOKUP(BT$4,$DE$6:$DF$17,2)+1))*(VLOOKUP($A108,SatSunCurve,6))*(INDEX(DailyScalarsTable,BT$5/100,MONTH($A108)))*$D108</f>
        <v>-13554.517361912627</v>
      </c>
      <c r="BU108" s="1021">
        <f>(VLOOKUP(YEAR($A108),'NY East Load Projections'!$A$4:$EO$14,((MONTH($A108)-1)*12)+VLOOKUP(BU$4,$DE$6:$DF$17,2)+1))*(VLOOKUP($A108,SatSunCurve,6))*(INDEX(DailyScalarsTable,BU$5/100,MONTH($A108)))*$D108</f>
        <v>-14385.170032463106</v>
      </c>
      <c r="BV108" s="1021">
        <f>(VLOOKUP(YEAR($A108),'NY East Load Projections'!$A$4:$EO$14,((MONTH($A108)-1)*12)+VLOOKUP(BV$4,$DE$6:$DF$17,2)+1))*(VLOOKUP($A108,SatSunCurve,6))*(INDEX(DailyScalarsTable,BV$5/100,MONTH($A108)))*$D108</f>
        <v>-14046.717719442804</v>
      </c>
      <c r="BW108" s="1021">
        <f>(VLOOKUP(YEAR($A108),'NY East Load Projections'!$A$4:$EO$14,((MONTH($A108)-1)*12)+VLOOKUP(BW$4,$DE$6:$DF$17,2)+1))*(VLOOKUP($A108,SatSunCurve,6))*(INDEX(DailyScalarsTable,BW$5/100,MONTH($A108)))*$D108</f>
        <v>-13698.639092186446</v>
      </c>
      <c r="BX108" s="1021">
        <f>(VLOOKUP(YEAR($A108),'NY East Load Projections'!$A$4:$EO$14,((MONTH($A108)-1)*12)+VLOOKUP(BX$4,$DE$6:$DF$17,2)+1))*(VLOOKUP($A108,SatSunCurve,6))*(INDEX(DailyScalarsTable,BX$5/100,MONTH($A108)))*$D108</f>
        <v>-11441.316178841027</v>
      </c>
      <c r="BY108" s="1021">
        <f>(VLOOKUP(YEAR($A108),'NY East Load Projections'!$A$4:$EO$14,((MONTH($A108)-1)*12)+VLOOKUP(BY$4,$DE$6:$DF$17,2)+1))*(VLOOKUP($A108,SatSunCurve,6))*(INDEX(DailyScalarsTable,BY$5/100,MONTH($A108)))*$D108</f>
        <v>-8466.1400531864329</v>
      </c>
      <c r="BZ108" s="1021">
        <f>(VLOOKUP(YEAR($A108),'NY East Load Projections'!$A$4:$EO$14,((MONTH($A108)-1)*12)+VLOOKUP(BZ$4,$DE$6:$DF$17,2)+1))*(VLOOKUP($A108,SatSunCurve,6))*(INDEX(DailyScalarsTable,BZ$5/100,MONTH($A108)))*$D108</f>
        <v>-8874.6594229453021</v>
      </c>
      <c r="CA108" s="1021">
        <f>(VLOOKUP(YEAR($A108),'NY East Load Projections'!$A$4:$EO$14,((MONTH($A108)-1)*12)+VLOOKUP(CA$4,$DE$6:$DF$17,2)+1))*(VLOOKUP($A108,SatSunCurve,6))*(INDEX(DailyScalarsTable,CA$5/100,MONTH($A108)))*$D108</f>
        <v>-9403.9027369760897</v>
      </c>
      <c r="CB108" s="1021">
        <f>(VLOOKUP(YEAR($A108),'NY East Load Projections'!$A$4:$EO$14,((MONTH($A108)-1)*12)+VLOOKUP(CB$4,$DE$6:$DF$17,2)+1))*(VLOOKUP($A108,SatSunCurve,6))*(INDEX(DailyScalarsTable,CB$5/100,MONTH($A108)))*$D108</f>
        <v>-6530.6121773562436</v>
      </c>
      <c r="CC108" s="1021">
        <f>(VLOOKUP(YEAR($A108),'NY East Load Projections'!$A$4:$EO$14,((MONTH($A108)-1)*12)+VLOOKUP(CC$4,$DE$6:$DF$17,2)+1))*(VLOOKUP($A108,CURVES!$D$9:$T$261,6))*(INDEX(DailyScalarsTable,CC$5/100,MONTH($A108)))*$D108</f>
        <v>-10125.564329346973</v>
      </c>
      <c r="CE108" s="1021">
        <f>(VLOOKUP(YEAR($A108),'NY East Load Projections'!$A$4:$EO$14,((MONTH($A108)-1)*12)+VLOOKUP(CE$4,$DE$6:$DF$17,2)+1))*(VLOOKUP($A108,CURVES!$D$9:$T$261,6))*(INDEX(DailyScalarsTable,CE$5/100,MONTH($A108)))*$E108</f>
        <v>-2165.1948616748105</v>
      </c>
      <c r="CF108" s="1021">
        <f>(VLOOKUP(YEAR($A108),'NY East Load Projections'!$A$4:$EO$14,((MONTH($A108)-1)*12)+VLOOKUP(CF$4,$DE$6:$DF$17,2)+1))*(VLOOKUP($A108,CURVES!$D$9:$T$261,6))*(INDEX(DailyScalarsTable,CF$5/100,MONTH($A108)))*$E108</f>
        <v>-1977.7613427464387</v>
      </c>
      <c r="CG108" s="1021">
        <f>(VLOOKUP(YEAR($A108),'NY East Load Projections'!$A$4:$EO$14,((MONTH($A108)-1)*12)+VLOOKUP(CG$4,$DE$6:$DF$17,2)+1))*(VLOOKUP($A108,CURVES!$D$9:$T$261,6))*(INDEX(DailyScalarsTable,CG$5/100,MONTH($A108)))*$E108</f>
        <v>-1884.4667308474077</v>
      </c>
      <c r="CH108" s="1021">
        <f>(VLOOKUP(YEAR($A108),'NY East Load Projections'!$A$4:$EO$14,((MONTH($A108)-1)*12)+VLOOKUP(CH$4,$DE$6:$DF$17,2)+1))*(VLOOKUP($A108,CURVES!$D$9:$T$261,6))*(INDEX(DailyScalarsTable,CH$5/100,MONTH($A108)))*$E108</f>
        <v>-1697.0332119190359</v>
      </c>
      <c r="CI108" s="1021">
        <f>(VLOOKUP(YEAR($A108),'NY East Load Projections'!$A$4:$EO$14,((MONTH($A108)-1)*12)+VLOOKUP(CI$4,$DE$6:$DF$17,2)+1))*(VLOOKUP($A108,CURVES!$D$9:$T$261,6))*(INDEX(DailyScalarsTable,CI$5/100,MONTH($A108)))*$E108</f>
        <v>-1635.4811756153963</v>
      </c>
      <c r="CJ108" s="1021">
        <f>(VLOOKUP(YEAR($A108),'NY East Load Projections'!$A$4:$EO$14,((MONTH($A108)-1)*12)+VLOOKUP(CJ$4,$DE$6:$DF$17,2)+1))*(VLOOKUP($A108,CURVES!$D$9:$T$261,6))*(INDEX(DailyScalarsTable,CJ$5/100,MONTH($A108)))*$E108</f>
        <v>-1803.057994186051</v>
      </c>
      <c r="CK108" s="1021">
        <f>(VLOOKUP(YEAR($A108),'NY East Load Projections'!$A$4:$EO$14,((MONTH($A108)-1)*12)+VLOOKUP(CK$4,$DE$6:$DF$17,2)+1))*(VLOOKUP($A108,CURVES!$D$9:$T$261,6))*(INDEX(DailyScalarsTable,CK$5/100,MONTH($A108)))*$E108</f>
        <v>-2002.3501185731473</v>
      </c>
      <c r="CL108" s="1021">
        <f>(VLOOKUP(YEAR($A108),'NY East Load Projections'!$A$4:$EO$14,((MONTH($A108)-1)*12)+VLOOKUP(CL$4,$DE$6:$DF$17,2)+1))*(VLOOKUP($A108,SatSunCurve,6))*(INDEX(DailyScalarsTable,CL$5/100,MONTH($A108)))*$E108</f>
        <v>-1415.8890382150757</v>
      </c>
      <c r="CM108" s="1021">
        <f>(VLOOKUP(YEAR($A108),'NY East Load Projections'!$A$4:$EO$14,((MONTH($A108)-1)*12)+VLOOKUP(CM$4,$DE$6:$DF$17,2)+1))*(VLOOKUP($A108,SatSunCurve,6))*(INDEX(DailyScalarsTable,CM$5/100,MONTH($A108)))*$E108</f>
        <v>-1701.3324872751475</v>
      </c>
      <c r="CN108" s="1021">
        <f>(VLOOKUP(YEAR($A108),'NY East Load Projections'!$A$4:$EO$14,((MONTH($A108)-1)*12)+VLOOKUP(CN$4,$DE$6:$DF$17,2)+1))*(VLOOKUP($A108,SatSunCurve,6))*(INDEX(DailyScalarsTable,CN$5/100,MONTH($A108)))*$E108</f>
        <v>-2036.96137755677</v>
      </c>
      <c r="CO108" s="1021">
        <f>(VLOOKUP(YEAR($A108),'NY East Load Projections'!$A$4:$EO$14,((MONTH($A108)-1)*12)+VLOOKUP(CO$4,$DE$6:$DF$17,2)+1))*(VLOOKUP($A108,SatSunCurve,6))*(INDEX(DailyScalarsTable,CO$5/100,MONTH($A108)))*$E108</f>
        <v>-2317.8473790388971</v>
      </c>
      <c r="CP108" s="1021">
        <f>(VLOOKUP(YEAR($A108),'NY East Load Projections'!$A$4:$EO$14,((MONTH($A108)-1)*12)+VLOOKUP(CP$4,$DE$6:$DF$17,2)+1))*(VLOOKUP($A108,SatSunCurve,6))*(INDEX(DailyScalarsTable,CP$5/100,MONTH($A108)))*$E108</f>
        <v>-2771.0898120687812</v>
      </c>
      <c r="CQ108" s="1021">
        <f>(VLOOKUP(YEAR($A108),'NY East Load Projections'!$A$4:$EO$14,((MONTH($A108)-1)*12)+VLOOKUP(CQ$4,$DE$6:$DF$17,2)+1))*(VLOOKUP($A108,SatSunCurve,6))*(INDEX(DailyScalarsTable,CQ$5/100,MONTH($A108)))*$E108</f>
        <v>-3147.2178288709611</v>
      </c>
      <c r="CR108" s="1021">
        <f>(VLOOKUP(YEAR($A108),'NY East Load Projections'!$A$4:$EO$14,((MONTH($A108)-1)*12)+VLOOKUP(CR$4,$DE$6:$DF$17,2)+1))*(VLOOKUP($A108,SatSunCurve,6))*(INDEX(DailyScalarsTable,CR$5/100,MONTH($A108)))*$E108</f>
        <v>-3253.1432880455468</v>
      </c>
      <c r="CS108" s="1021">
        <f>(VLOOKUP(YEAR($A108),'NY East Load Projections'!$A$4:$EO$14,((MONTH($A108)-1)*12)+VLOOKUP(CS$4,$DE$6:$DF$17,2)+1))*(VLOOKUP($A108,SatSunCurve,6))*(INDEX(DailyScalarsTable,CS$5/100,MONTH($A108)))*$E108</f>
        <v>-3388.6293404781568</v>
      </c>
      <c r="CT108" s="1021">
        <f>(VLOOKUP(YEAR($A108),'NY East Load Projections'!$A$4:$EO$14,((MONTH($A108)-1)*12)+VLOOKUP(CT$4,$DE$6:$DF$17,2)+1))*(VLOOKUP($A108,SatSunCurve,6))*(INDEX(DailyScalarsTable,CT$5/100,MONTH($A108)))*$E108</f>
        <v>-3596.2925081157764</v>
      </c>
      <c r="CU108" s="1021">
        <f>(VLOOKUP(YEAR($A108),'NY East Load Projections'!$A$4:$EO$14,((MONTH($A108)-1)*12)+VLOOKUP(CU$4,$DE$6:$DF$17,2)+1))*(VLOOKUP($A108,SatSunCurve,6))*(INDEX(DailyScalarsTable,CU$5/100,MONTH($A108)))*$E108</f>
        <v>-3511.679429860701</v>
      </c>
      <c r="CV108" s="1021">
        <f>(VLOOKUP(YEAR($A108),'NY East Load Projections'!$A$4:$EO$14,((MONTH($A108)-1)*12)+VLOOKUP(CV$4,$DE$6:$DF$17,2)+1))*(VLOOKUP($A108,SatSunCurve,6))*(INDEX(DailyScalarsTable,CV$5/100,MONTH($A108)))*$E108</f>
        <v>-3424.6597730466115</v>
      </c>
      <c r="CW108" s="1021">
        <f>(VLOOKUP(YEAR($A108),'NY East Load Projections'!$A$4:$EO$14,((MONTH($A108)-1)*12)+VLOOKUP(CW$4,$DE$6:$DF$17,2)+1))*(VLOOKUP($A108,SatSunCurve,6))*(INDEX(DailyScalarsTable,CW$5/100,MONTH($A108)))*$E108</f>
        <v>-2860.3290447102568</v>
      </c>
      <c r="CX108" s="1021">
        <f>(VLOOKUP(YEAR($A108),'NY East Load Projections'!$A$4:$EO$14,((MONTH($A108)-1)*12)+VLOOKUP(CX$4,$DE$6:$DF$17,2)+1))*(VLOOKUP($A108,SatSunCurve,6))*(INDEX(DailyScalarsTable,CX$5/100,MONTH($A108)))*$E108</f>
        <v>-2116.5350132966082</v>
      </c>
      <c r="CY108" s="1021">
        <f>(VLOOKUP(YEAR($A108),'NY East Load Projections'!$A$4:$EO$14,((MONTH($A108)-1)*12)+VLOOKUP(CY$4,$DE$6:$DF$17,2)+1))*(VLOOKUP($A108,SatSunCurve,6))*(INDEX(DailyScalarsTable,CY$5/100,MONTH($A108)))*$E108</f>
        <v>-2218.6648557363255</v>
      </c>
      <c r="CZ108" s="1021">
        <f>(VLOOKUP(YEAR($A108),'NY East Load Projections'!$A$4:$EO$14,((MONTH($A108)-1)*12)+VLOOKUP(CZ$4,$DE$6:$DF$17,2)+1))*(VLOOKUP($A108,SatSunCurve,6))*(INDEX(DailyScalarsTable,CZ$5/100,MONTH($A108)))*$E108</f>
        <v>-2350.9756842440224</v>
      </c>
      <c r="DA108" s="1021">
        <f>(VLOOKUP(YEAR($A108),'NY East Load Projections'!$A$4:$EO$14,((MONTH($A108)-1)*12)+VLOOKUP(DA$4,$DE$6:$DF$17,2)+1))*(VLOOKUP($A108,SatSunCurve,6))*(INDEX(DailyScalarsTable,DA$5/100,MONTH($A108)))*$E108</f>
        <v>-1632.6530443390609</v>
      </c>
      <c r="DB108" s="1021">
        <f>(VLOOKUP(YEAR($A108),'NY East Load Projections'!$A$4:$EO$14,((MONTH($A108)-1)*12)+VLOOKUP(DB$4,$DE$6:$DF$17,2)+1))*(VLOOKUP($A108,CURVES!$D$9:$T$261,6))*(INDEX(DailyScalarsTable,DB$5/100,MONTH($A108)))*$E108</f>
        <v>-2531.3910823367432</v>
      </c>
      <c r="DH108" s="1021">
        <f t="shared" si="2"/>
        <v>-3620723.9668335463</v>
      </c>
      <c r="DI108">
        <f ca="1">CALC!J128</f>
        <v>0.5022236150639402</v>
      </c>
      <c r="DJ108" s="1029">
        <f t="shared" ca="1" si="3"/>
        <v>-1818413.0797717934</v>
      </c>
    </row>
    <row r="109" spans="1:114" x14ac:dyDescent="0.25">
      <c r="A109" s="244">
        <v>40026</v>
      </c>
      <c r="B109" s="13">
        <v>21</v>
      </c>
      <c r="C109" s="210">
        <v>5</v>
      </c>
      <c r="D109" s="210">
        <v>5</v>
      </c>
      <c r="E109" s="210">
        <v>0</v>
      </c>
      <c r="F109" s="13">
        <v>31</v>
      </c>
      <c r="H109" s="1021">
        <f>(VLOOKUP(YEAR($A109),'NY East Load Projections'!$A$4:$EO$14,((MONTH($A109)-1)*12)+VLOOKUP(H$4,$DE$6:$DF$17,2)+1))*(VLOOKUP($A109,CURVES!$D$9:$K$261,6))*(INDEX(DailyScalarsTable,H$5/100,MONTH($A109)))*$B109</f>
        <v>-48255.25844108485</v>
      </c>
      <c r="I109" s="1021">
        <f>(VLOOKUP(YEAR($A109),'NY East Load Projections'!$A$4:$EO$14,((MONTH($A109)-1)*12)+VLOOKUP(I$4,$DE$6:$DF$17,2)+1))*(VLOOKUP($A109,CURVES!$D$9:$K$261,6))*(INDEX(DailyScalarsTable,I$5/100,MONTH($A109)))*$B109</f>
        <v>-43560.86700561965</v>
      </c>
      <c r="J109" s="1021">
        <f>(VLOOKUP(YEAR($A109),'NY East Load Projections'!$A$4:$EO$14,((MONTH($A109)-1)*12)+VLOOKUP(J$4,$DE$6:$DF$17,2)+1))*(VLOOKUP($A109,CURVES!$D$9:$K$261,6))*(INDEX(DailyScalarsTable,J$5/100,MONTH($A109)))*$B109</f>
        <v>-39119.92862887674</v>
      </c>
      <c r="K109" s="1021">
        <f>(VLOOKUP(YEAR($A109),'NY East Load Projections'!$A$4:$EO$14,((MONTH($A109)-1)*12)+VLOOKUP(K$4,$DE$6:$DF$17,2)+1))*(VLOOKUP($A109,CURVES!$D$9:$K$261,6))*(INDEX(DailyScalarsTable,K$5/100,MONTH($A109)))*$B109</f>
        <v>-36805.792005760079</v>
      </c>
      <c r="L109" s="1021">
        <f>(VLOOKUP(YEAR($A109),'NY East Load Projections'!$A$4:$EO$14,((MONTH($A109)-1)*12)+VLOOKUP(L$4,$DE$6:$DF$17,2)+1))*(VLOOKUP($A109,CURVES!$D$9:$K$261,6))*(INDEX(DailyScalarsTable,L$5/100,MONTH($A109)))*$B109</f>
        <v>-40673.063187557935</v>
      </c>
      <c r="M109" s="1021">
        <f>(VLOOKUP(YEAR($A109),'NY East Load Projections'!$A$4:$EO$14,((MONTH($A109)-1)*12)+VLOOKUP(M$4,$DE$6:$DF$17,2)+1))*(VLOOKUP($A109,CURVES!$D$9:$K$261,6))*(INDEX(DailyScalarsTable,M$5/100,MONTH($A109)))*$B109</f>
        <v>-45189.685433652514</v>
      </c>
      <c r="N109" s="1021">
        <f>(VLOOKUP(YEAR($A109),'NY East Load Projections'!$A$4:$EO$14,((MONTH($A109)-1)*12)+VLOOKUP(N$4,$DE$6:$DF$17,2)+1))*(VLOOKUP($A109,CURVES!$D$9:$K$261,6))*(INDEX(DailyScalarsTable,N$5/100,MONTH($A109)))*$B109</f>
        <v>-52580.521836352673</v>
      </c>
      <c r="O109" s="1021">
        <f>(VLOOKUP(YEAR($A109),'NY East Load Projections'!$A$4:$EO$14,((MONTH($A109)-1)*12)+VLOOKUP(O$4,$DE$6:$DF$17,2)+1))*(VLOOKUP($A109,CURVES!$D$9:$K$261,2))*(INDEX(DailyScalarsTable,O$5/100,MONTH($A109)))*$B109</f>
        <v>-92037.006405933746</v>
      </c>
      <c r="P109" s="1021">
        <f>(VLOOKUP(YEAR($A109),'NY East Load Projections'!$A$4:$EO$14,((MONTH($A109)-1)*12)+VLOOKUP(P$4,$DE$6:$DF$17,2)+1))*(VLOOKUP($A109,CURVES!$D$9:$K$261,2))*(INDEX(DailyScalarsTable,P$5/100,MONTH($A109)))*$B109</f>
        <v>-109799.61115463087</v>
      </c>
      <c r="Q109" s="1021">
        <f>(VLOOKUP(YEAR($A109),'NY East Load Projections'!$A$4:$EO$14,((MONTH($A109)-1)*12)+VLOOKUP(Q$4,$DE$6:$DF$17,2)+1))*(VLOOKUP($A109,CURVES!$D$9:$K$261,2))*(INDEX(DailyScalarsTable,Q$5/100,MONTH($A109)))*$B109</f>
        <v>-140811.24629617928</v>
      </c>
      <c r="R109" s="1021">
        <f>(VLOOKUP(YEAR($A109),'NY East Load Projections'!$A$4:$EO$14,((MONTH($A109)-1)*12)+VLOOKUP(R$4,$DE$6:$DF$17,2)+1))*(VLOOKUP($A109,CURVES!$D$9:$K$261,2))*(INDEX(DailyScalarsTable,R$5/100,MONTH($A109)))*$B109</f>
        <v>-158926.95395312336</v>
      </c>
      <c r="S109" s="1021">
        <f>(VLOOKUP(YEAR($A109),'NY East Load Projections'!$A$4:$EO$14,((MONTH($A109)-1)*12)+VLOOKUP(S$4,$DE$6:$DF$17,2)+1))*(VLOOKUP($A109,CURVES!$D$9:$K$261,2))*(INDEX(DailyScalarsTable,S$5/100,MONTH($A109)))*$B109</f>
        <v>-165661.49386175006</v>
      </c>
      <c r="T109" s="1021">
        <f>(VLOOKUP(YEAR($A109),'NY East Load Projections'!$A$4:$EO$14,((MONTH($A109)-1)*12)+VLOOKUP(T$4,$DE$6:$DF$17,2)+1))*(VLOOKUP($A109,CURVES!$D$9:$K$261,2))*(INDEX(DailyScalarsTable,T$5/100,MONTH($A109)))*$B109</f>
        <v>-168663.92297334495</v>
      </c>
      <c r="U109" s="1021">
        <f>(VLOOKUP(YEAR($A109),'NY East Load Projections'!$A$4:$EO$14,((MONTH($A109)-1)*12)+VLOOKUP(U$4,$DE$6:$DF$17,2)+1))*(VLOOKUP($A109,CURVES!$D$9:$K$261,2))*(INDEX(DailyScalarsTable,U$5/100,MONTH($A109)))*$B109</f>
        <v>-185154.29282439436</v>
      </c>
      <c r="V109" s="1021">
        <f>(VLOOKUP(YEAR($A109),'NY East Load Projections'!$A$4:$EO$14,((MONTH($A109)-1)*12)+VLOOKUP(V$4,$DE$6:$DF$17,2)+1))*(VLOOKUP($A109,CURVES!$D$9:$K$261,2))*(INDEX(DailyScalarsTable,V$5/100,MONTH($A109)))*$B109</f>
        <v>-196014.82940145498</v>
      </c>
      <c r="W109" s="1021">
        <f>(VLOOKUP(YEAR($A109),'NY East Load Projections'!$A$4:$EO$14,((MONTH($A109)-1)*12)+VLOOKUP(W$4,$DE$6:$DF$17,2)+1))*(VLOOKUP($A109,CURVES!$D$9:$K$261,2))*(INDEX(DailyScalarsTable,W$5/100,MONTH($A109)))*$B109</f>
        <v>-193283.94012675888</v>
      </c>
      <c r="X109" s="1021">
        <f>(VLOOKUP(YEAR($A109),'NY East Load Projections'!$A$4:$EO$14,((MONTH($A109)-1)*12)+VLOOKUP(X$4,$DE$6:$DF$17,2)+1))*(VLOOKUP($A109,CURVES!$D$9:$K$261,2))*(INDEX(DailyScalarsTable,X$5/100,MONTH($A109)))*$B109</f>
        <v>-181678.67894822836</v>
      </c>
      <c r="Y109" s="1021">
        <f>(VLOOKUP(YEAR($A109),'NY East Load Projections'!$A$4:$EO$14,((MONTH($A109)-1)*12)+VLOOKUP(Y$4,$DE$6:$DF$17,2)+1))*(VLOOKUP($A109,CURVES!$D$9:$K$261,2))*(INDEX(DailyScalarsTable,Y$5/100,MONTH($A109)))*$B109</f>
        <v>-168245.6878985762</v>
      </c>
      <c r="Z109" s="1021">
        <f>(VLOOKUP(YEAR($A109),'NY East Load Projections'!$A$4:$EO$14,((MONTH($A109)-1)*12)+VLOOKUP(Z$4,$DE$6:$DF$17,2)+1))*(VLOOKUP($A109,CURVES!$D$9:$K$261,2))*(INDEX(DailyScalarsTable,Z$5/100,MONTH($A109)))*$B109</f>
        <v>-137137.70862569741</v>
      </c>
      <c r="AA109" s="1021">
        <f>(VLOOKUP(YEAR($A109),'NY East Load Projections'!$A$4:$EO$14,((MONTH($A109)-1)*12)+VLOOKUP(AA$4,$DE$6:$DF$17,2)+1))*(VLOOKUP($A109,CURVES!$D$9:$K$261,2))*(INDEX(DailyScalarsTable,AA$5/100,MONTH($A109)))*$B109</f>
        <v>-124856.11680887257</v>
      </c>
      <c r="AB109" s="1021">
        <f>(VLOOKUP(YEAR($A109),'NY East Load Projections'!$A$4:$EO$14,((MONTH($A109)-1)*12)+VLOOKUP(AB$4,$DE$6:$DF$17,2)+1))*(VLOOKUP($A109,CURVES!$D$9:$K$261,2))*(INDEX(DailyScalarsTable,AB$5/100,MONTH($A109)))*$B109</f>
        <v>-142667.59505068971</v>
      </c>
      <c r="AC109" s="1021">
        <f>(VLOOKUP(YEAR($A109),'NY East Load Projections'!$A$4:$EO$14,((MONTH($A109)-1)*12)+VLOOKUP(AC$4,$DE$6:$DF$17,2)+1))*(VLOOKUP($A109,CURVES!$D$9:$K$261,2))*(INDEX(DailyScalarsTable,AC$5/100,MONTH($A109)))*$B109</f>
        <v>-121314.2350611047</v>
      </c>
      <c r="AD109" s="1021">
        <f>(VLOOKUP(YEAR($A109),'NY East Load Projections'!$A$4:$EO$14,((MONTH($A109)-1)*12)+VLOOKUP(AD$4,$DE$6:$DF$17,2)+1))*(VLOOKUP($A109,CURVES!$D$9:$K$261,2))*(INDEX(DailyScalarsTable,AD$5/100,MONTH($A109)))*$B109</f>
        <v>-98236.462838683728</v>
      </c>
      <c r="AE109" s="1021">
        <f>(VLOOKUP(YEAR($A109),'NY East Load Projections'!$A$4:$EO$14,((MONTH($A109)-1)*12)+VLOOKUP(AE$4,$DE$6:$DF$17,2)+1))*(VLOOKUP($A109,CURVES!$D$9:$K$261,6))*(INDEX(DailyScalarsTable,AE$5/100,MONTH($A109)))*$B109</f>
        <v>-58340.170956337482</v>
      </c>
      <c r="AF109" s="1021"/>
      <c r="AG109" s="1021">
        <f>(VLOOKUP(YEAR($A109),'NY East Load Projections'!$A$4:$EO$14,((MONTH($A109)-1)*12)+VLOOKUP(AG$4,$DE$6:$DF$17,2)+1))*(VLOOKUP($A109,CURVES!$D$9:$T$261,6))*(INDEX(DailyScalarsTable,AG$5/100,MONTH($A109)))*$C109</f>
        <v>-11244.150774769114</v>
      </c>
      <c r="AH109" s="1021">
        <f>(VLOOKUP(YEAR($A109),'NY East Load Projections'!$A$4:$EO$14,((MONTH($A109)-1)*12)+VLOOKUP(AH$4,$DE$6:$DF$17,2)+1))*(VLOOKUP($A109,CURVES!$D$9:$T$261,6))*(INDEX(DailyScalarsTable,AH$5/100,MONTH($A109)))*$C109</f>
        <v>-10150.291850345355</v>
      </c>
      <c r="AI109" s="1021">
        <f>(VLOOKUP(YEAR($A109),'NY East Load Projections'!$A$4:$EO$14,((MONTH($A109)-1)*12)+VLOOKUP(AI$4,$DE$6:$DF$17,2)+1))*(VLOOKUP($A109,CURVES!$D$9:$T$261,6))*(INDEX(DailyScalarsTable,AI$5/100,MONTH($A109)))*$C109</f>
        <v>-9115.4910368646633</v>
      </c>
      <c r="AJ109" s="1021">
        <f>(VLOOKUP(YEAR($A109),'NY East Load Projections'!$A$4:$EO$14,((MONTH($A109)-1)*12)+VLOOKUP(AJ$4,$DE$6:$DF$17,2)+1))*(VLOOKUP($A109,CURVES!$D$9:$T$261,6))*(INDEX(DailyScalarsTable,AJ$5/100,MONTH($A109)))*$C109</f>
        <v>-8576.2648065149206</v>
      </c>
      <c r="AK109" s="1021">
        <f>(VLOOKUP(YEAR($A109),'NY East Load Projections'!$A$4:$EO$14,((MONTH($A109)-1)*12)+VLOOKUP(AK$4,$DE$6:$DF$17,2)+1))*(VLOOKUP($A109,CURVES!$D$9:$T$261,6))*(INDEX(DailyScalarsTable,AK$5/100,MONTH($A109)))*$C109</f>
        <v>-9053.2794322621794</v>
      </c>
      <c r="AL109" s="1021">
        <f>(VLOOKUP(YEAR($A109),'NY East Load Projections'!$A$4:$EO$14,((MONTH($A109)-1)*12)+VLOOKUP(AL$4,$DE$6:$DF$17,2)+1))*(VLOOKUP($A109,CURVES!$D$9:$T$261,6))*(INDEX(DailyScalarsTable,AL$5/100,MONTH($A109)))*$C109</f>
        <v>-10058.619086551465</v>
      </c>
      <c r="AM109" s="1021">
        <f>(VLOOKUP(YEAR($A109),'NY East Load Projections'!$A$4:$EO$14,((MONTH($A109)-1)*12)+VLOOKUP(AM$4,$DE$6:$DF$17,2)+1))*(VLOOKUP($A109,CURVES!$D$9:$T$261,6))*(INDEX(DailyScalarsTable,AM$5/100,MONTH($A109)))*$C109</f>
        <v>-11703.720339024832</v>
      </c>
      <c r="AN109" s="1021">
        <f>(VLOOKUP(YEAR($A109),'NY East Load Projections'!$A$4:$EO$14,((MONTH($A109)-1)*12)+VLOOKUP(AN$4,$DE$6:$DF$17,2)+1))*(VLOOKUP($A109,SatSunCurve,2))*(INDEX(DailyScalarsTable,AN$5/100,MONTH($A109)))*$C109</f>
        <v>-12283.055863931662</v>
      </c>
      <c r="AO109" s="1021">
        <f>(VLOOKUP(YEAR($A109),'NY East Load Projections'!$A$4:$EO$14,((MONTH($A109)-1)*12)+VLOOKUP(AO$4,$DE$6:$DF$17,2)+1))*(VLOOKUP($A109,SatSunCurve,2))*(INDEX(DailyScalarsTable,AO$5/100,MONTH($A109)))*$C109</f>
        <v>-14713.216638286089</v>
      </c>
      <c r="AP109" s="1021">
        <f>(VLOOKUP(YEAR($A109),'NY East Load Projections'!$A$4:$EO$14,((MONTH($A109)-1)*12)+VLOOKUP(AP$4,$DE$6:$DF$17,2)+1))*(VLOOKUP($A109,SatSunCurve,2))*(INDEX(DailyScalarsTable,AP$5/100,MONTH($A109)))*$C109</f>
        <v>-18868.795163081657</v>
      </c>
      <c r="AQ109" s="1021">
        <f>(VLOOKUP(YEAR($A109),'NY East Load Projections'!$A$4:$EO$14,((MONTH($A109)-1)*12)+VLOOKUP(AQ$4,$DE$6:$DF$17,2)+1))*(VLOOKUP($A109,SatSunCurve,2))*(INDEX(DailyScalarsTable,AQ$5/100,MONTH($A109)))*$C109</f>
        <v>-21296.311331031538</v>
      </c>
      <c r="AR109" s="1021">
        <f>(VLOOKUP(YEAR($A109),'NY East Load Projections'!$A$4:$EO$14,((MONTH($A109)-1)*12)+VLOOKUP(AR$4,$DE$6:$DF$17,2)+1))*(VLOOKUP($A109,SatSunCurve,2))*(INDEX(DailyScalarsTable,AR$5/100,MONTH($A109)))*$C109</f>
        <v>-22198.743895162061</v>
      </c>
      <c r="AS109" s="1021">
        <f>(VLOOKUP(YEAR($A109),'NY East Load Projections'!$A$4:$EO$14,((MONTH($A109)-1)*12)+VLOOKUP(AS$4,$DE$6:$DF$17,2)+1))*(VLOOKUP($A109,SatSunCurve,2))*(INDEX(DailyScalarsTable,AS$5/100,MONTH($A109)))*$C109</f>
        <v>-22772.390089955075</v>
      </c>
      <c r="AT109" s="1021">
        <f>(VLOOKUP(YEAR($A109),'NY East Load Projections'!$A$4:$EO$14,((MONTH($A109)-1)*12)+VLOOKUP(AT$4,$DE$6:$DF$17,2)+1))*(VLOOKUP($A109,SatSunCurve,2))*(INDEX(DailyScalarsTable,AT$5/100,MONTH($A109)))*$C109</f>
        <v>-24998.859914418237</v>
      </c>
      <c r="AU109" s="1021">
        <f>(VLOOKUP(YEAR($A109),'NY East Load Projections'!$A$4:$EO$14,((MONTH($A109)-1)*12)+VLOOKUP(AU$4,$DE$6:$DF$17,2)+1))*(VLOOKUP($A109,SatSunCurve,2))*(INDEX(DailyScalarsTable,AU$5/100,MONTH($A109)))*$C109</f>
        <v>-26465.210104542384</v>
      </c>
      <c r="AV109" s="1021">
        <f>(VLOOKUP(YEAR($A109),'NY East Load Projections'!$A$4:$EO$14,((MONTH($A109)-1)*12)+VLOOKUP(AV$4,$DE$6:$DF$17,2)+1))*(VLOOKUP($A109,SatSunCurve,2))*(INDEX(DailyScalarsTable,AV$5/100,MONTH($A109)))*$C109</f>
        <v>-26096.495356542116</v>
      </c>
      <c r="AW109" s="1021">
        <f>(VLOOKUP(YEAR($A109),'NY East Load Projections'!$A$4:$EO$14,((MONTH($A109)-1)*12)+VLOOKUP(AW$4,$DE$6:$DF$17,2)+1))*(VLOOKUP($A109,SatSunCurve,2))*(INDEX(DailyScalarsTable,AW$5/100,MONTH($A109)))*$C109</f>
        <v>-24359.051243897997</v>
      </c>
      <c r="AX109" s="1021">
        <f>(VLOOKUP(YEAR($A109),'NY East Load Projections'!$A$4:$EO$14,((MONTH($A109)-1)*12)+VLOOKUP(AX$4,$DE$6:$DF$17,2)+1))*(VLOOKUP($A109,SatSunCurve,2))*(INDEX(DailyScalarsTable,AX$5/100,MONTH($A109)))*$C109</f>
        <v>-22557.987303805479</v>
      </c>
      <c r="AY109" s="1021">
        <f>(VLOOKUP(YEAR($A109),'NY East Load Projections'!$A$4:$EO$14,((MONTH($A109)-1)*12)+VLOOKUP(AY$4,$DE$6:$DF$17,2)+1))*(VLOOKUP($A109,SatSunCurve,2))*(INDEX(DailyScalarsTable,AY$5/100,MONTH($A109)))*$C109</f>
        <v>-18387.102389906999</v>
      </c>
      <c r="AZ109" s="1021">
        <f>(VLOOKUP(YEAR($A109),'NY East Load Projections'!$A$4:$EO$14,((MONTH($A109)-1)*12)+VLOOKUP(AZ$4,$DE$6:$DF$17,2)+1))*(VLOOKUP($A109,SatSunCurve,2))*(INDEX(DailyScalarsTable,AZ$5/100,MONTH($A109)))*$C109</f>
        <v>-16740.415358965263</v>
      </c>
      <c r="BA109" s="1021">
        <f>(VLOOKUP(YEAR($A109),'NY East Load Projections'!$A$4:$EO$14,((MONTH($A109)-1)*12)+VLOOKUP(BA$4,$DE$6:$DF$17,2)+1))*(VLOOKUP($A109,SatSunCurve,2))*(INDEX(DailyScalarsTable,BA$5/100,MONTH($A109)))*$C109</f>
        <v>-19908.316485679818</v>
      </c>
      <c r="BB109" s="1021">
        <f>(VLOOKUP(YEAR($A109),'NY East Load Projections'!$A$4:$EO$14,((MONTH($A109)-1)*12)+VLOOKUP(BB$4,$DE$6:$DF$17,2)+1))*(VLOOKUP($A109,SatSunCurve,2))*(INDEX(DailyScalarsTable,BB$5/100,MONTH($A109)))*$C109</f>
        <v>-16928.596749363598</v>
      </c>
      <c r="BC109" s="1021">
        <f>(VLOOKUP(YEAR($A109),'NY East Load Projections'!$A$4:$EO$14,((MONTH($A109)-1)*12)+VLOOKUP(BC$4,$DE$6:$DF$17,2)+1))*(VLOOKUP($A109,SatSunCurve,2))*(INDEX(DailyScalarsTable,BC$5/100,MONTH($A109)))*$C109</f>
        <v>-13708.246725063062</v>
      </c>
      <c r="BD109" s="1021">
        <f>(VLOOKUP(YEAR($A109),'NY East Load Projections'!$A$4:$EO$14,((MONTH($A109)-1)*12)+VLOOKUP(BD$4,$DE$6:$DF$17,2)+1))*(VLOOKUP($A109,CURVES!$D$9:$T$261,6))*(INDEX(DailyScalarsTable,BD$5/100,MONTH($A109)))*$C109</f>
        <v>-13577.880882200818</v>
      </c>
      <c r="BE109" s="1021"/>
      <c r="BF109" s="1021">
        <f>(VLOOKUP(YEAR($A109),'NY East Load Projections'!$A$4:$EO$14,((MONTH($A109)-1)*12)+VLOOKUP(BF$4,$DE$6:$DF$17,2)+1))*(VLOOKUP($A109,CURVES!$D$9:$T$261,6))*(INDEX(DailyScalarsTable,BF$5/100,MONTH($A109)))*$D109</f>
        <v>-11244.150774769114</v>
      </c>
      <c r="BG109" s="1021">
        <f>(VLOOKUP(YEAR($A109),'NY East Load Projections'!$A$4:$EO$14,((MONTH($A109)-1)*12)+VLOOKUP(BG$4,$DE$6:$DF$17,2)+1))*(VLOOKUP($A109,CURVES!$D$9:$T$261,6))*(INDEX(DailyScalarsTable,BG$5/100,MONTH($A109)))*$D109</f>
        <v>-10150.291850345355</v>
      </c>
      <c r="BH109" s="1021">
        <f>(VLOOKUP(YEAR($A109),'NY East Load Projections'!$A$4:$EO$14,((MONTH($A109)-1)*12)+VLOOKUP(BH$4,$DE$6:$DF$17,2)+1))*(VLOOKUP($A109,CURVES!$D$9:$T$261,6))*(INDEX(DailyScalarsTable,BH$5/100,MONTH($A109)))*$D109</f>
        <v>-9115.4910368646633</v>
      </c>
      <c r="BI109" s="1021">
        <f>(VLOOKUP(YEAR($A109),'NY East Load Projections'!$A$4:$EO$14,((MONTH($A109)-1)*12)+VLOOKUP(BI$4,$DE$6:$DF$17,2)+1))*(VLOOKUP($A109,CURVES!$D$9:$T$261,6))*(INDEX(DailyScalarsTable,BI$5/100,MONTH($A109)))*$D109</f>
        <v>-8576.2648065149206</v>
      </c>
      <c r="BJ109" s="1021">
        <f>(VLOOKUP(YEAR($A109),'NY East Load Projections'!$A$4:$EO$14,((MONTH($A109)-1)*12)+VLOOKUP(BJ$4,$DE$6:$DF$17,2)+1))*(VLOOKUP($A109,CURVES!$D$9:$T$261,6))*(INDEX(DailyScalarsTable,BJ$5/100,MONTH($A109)))*$D109</f>
        <v>-9053.2794322621794</v>
      </c>
      <c r="BK109" s="1021">
        <f>(VLOOKUP(YEAR($A109),'NY East Load Projections'!$A$4:$EO$14,((MONTH($A109)-1)*12)+VLOOKUP(BK$4,$DE$6:$DF$17,2)+1))*(VLOOKUP($A109,CURVES!$D$9:$T$261,6))*(INDEX(DailyScalarsTable,BK$5/100,MONTH($A109)))*$D109</f>
        <v>-10058.619086551465</v>
      </c>
      <c r="BL109" s="1021">
        <f>(VLOOKUP(YEAR($A109),'NY East Load Projections'!$A$4:$EO$14,((MONTH($A109)-1)*12)+VLOOKUP(BL$4,$DE$6:$DF$17,2)+1))*(VLOOKUP($A109,CURVES!$D$9:$T$261,6))*(INDEX(DailyScalarsTable,BL$5/100,MONTH($A109)))*$D109</f>
        <v>-11703.720339024832</v>
      </c>
      <c r="BM109" s="1021">
        <f>(VLOOKUP(YEAR($A109),'NY East Load Projections'!$A$4:$EO$14,((MONTH($A109)-1)*12)+VLOOKUP(BM$4,$DE$6:$DF$17,2)+1))*(VLOOKUP($A109,SatSunCurve,6))*(INDEX(DailyScalarsTable,BM$5/100,MONTH($A109)))*$D109</f>
        <v>-8870.5273133598675</v>
      </c>
      <c r="BN109" s="1021">
        <f>(VLOOKUP(YEAR($A109),'NY East Load Projections'!$A$4:$EO$14,((MONTH($A109)-1)*12)+VLOOKUP(BN$4,$DE$6:$DF$17,2)+1))*(VLOOKUP($A109,SatSunCurve,6))*(INDEX(DailyScalarsTable,BN$5/100,MONTH($A109)))*$D109</f>
        <v>-10625.530934898932</v>
      </c>
      <c r="BO109" s="1021">
        <f>(VLOOKUP(YEAR($A109),'NY East Load Projections'!$A$4:$EO$14,((MONTH($A109)-1)*12)+VLOOKUP(BO$4,$DE$6:$DF$17,2)+1))*(VLOOKUP($A109,SatSunCurve,6))*(INDEX(DailyScalarsTable,BO$5/100,MONTH($A109)))*$D109</f>
        <v>-13626.589728033139</v>
      </c>
      <c r="BP109" s="1021">
        <f>(VLOOKUP(YEAR($A109),'NY East Load Projections'!$A$4:$EO$14,((MONTH($A109)-1)*12)+VLOOKUP(BP$4,$DE$6:$DF$17,2)+1))*(VLOOKUP($A109,SatSunCurve,6))*(INDEX(DailyScalarsTable,BP$5/100,MONTH($A109)))*$D109</f>
        <v>-15379.683478477869</v>
      </c>
      <c r="BQ109" s="1021">
        <f>(VLOOKUP(YEAR($A109),'NY East Load Projections'!$A$4:$EO$14,((MONTH($A109)-1)*12)+VLOOKUP(BQ$4,$DE$6:$DF$17,2)+1))*(VLOOKUP($A109,SatSunCurve,6))*(INDEX(DailyScalarsTable,BQ$5/100,MONTH($A109)))*$D109</f>
        <v>-16031.398556326814</v>
      </c>
      <c r="BR109" s="1021">
        <f>(VLOOKUP(YEAR($A109),'NY East Load Projections'!$A$4:$EO$14,((MONTH($A109)-1)*12)+VLOOKUP(BR$4,$DE$6:$DF$17,2)+1))*(VLOOKUP($A109,SatSunCurve,6))*(INDEX(DailyScalarsTable,BR$5/100,MONTH($A109)))*$D109</f>
        <v>-16445.672031550395</v>
      </c>
      <c r="BS109" s="1021">
        <f>(VLOOKUP(YEAR($A109),'NY East Load Projections'!$A$4:$EO$14,((MONTH($A109)-1)*12)+VLOOKUP(BS$4,$DE$6:$DF$17,2)+1))*(VLOOKUP($A109,SatSunCurve,6))*(INDEX(DailyScalarsTable,BS$5/100,MONTH($A109)))*$D109</f>
        <v>-18053.574951561241</v>
      </c>
      <c r="BT109" s="1021">
        <f>(VLOOKUP(YEAR($A109),'NY East Load Projections'!$A$4:$EO$14,((MONTH($A109)-1)*12)+VLOOKUP(BT$4,$DE$6:$DF$17,2)+1))*(VLOOKUP($A109,SatSunCurve,6))*(INDEX(DailyScalarsTable,BT$5/100,MONTH($A109)))*$D109</f>
        <v>-19112.53776639641</v>
      </c>
      <c r="BU109" s="1021">
        <f>(VLOOKUP(YEAR($A109),'NY East Load Projections'!$A$4:$EO$14,((MONTH($A109)-1)*12)+VLOOKUP(BU$4,$DE$6:$DF$17,2)+1))*(VLOOKUP($A109,SatSunCurve,6))*(INDEX(DailyScalarsTable,BU$5/100,MONTH($A109)))*$D109</f>
        <v>-18846.260849706712</v>
      </c>
      <c r="BV109" s="1021">
        <f>(VLOOKUP(YEAR($A109),'NY East Load Projections'!$A$4:$EO$14,((MONTH($A109)-1)*12)+VLOOKUP(BV$4,$DE$6:$DF$17,2)+1))*(VLOOKUP($A109,SatSunCurve,6))*(INDEX(DailyScalarsTable,BV$5/100,MONTH($A109)))*$D109</f>
        <v>-17591.520528781992</v>
      </c>
      <c r="BW109" s="1021">
        <f>(VLOOKUP(YEAR($A109),'NY East Load Projections'!$A$4:$EO$14,((MONTH($A109)-1)*12)+VLOOKUP(BW$4,$DE$6:$DF$17,2)+1))*(VLOOKUP($A109,SatSunCurve,6))*(INDEX(DailyScalarsTable,BW$5/100,MONTH($A109)))*$D109</f>
        <v>-16290.835499691486</v>
      </c>
      <c r="BX109" s="1021">
        <f>(VLOOKUP(YEAR($A109),'NY East Load Projections'!$A$4:$EO$14,((MONTH($A109)-1)*12)+VLOOKUP(BX$4,$DE$6:$DF$17,2)+1))*(VLOOKUP($A109,SatSunCurve,6))*(INDEX(DailyScalarsTable,BX$5/100,MONTH($A109)))*$D109</f>
        <v>-13278.72280074505</v>
      </c>
      <c r="BY109" s="1021">
        <f>(VLOOKUP(YEAR($A109),'NY East Load Projections'!$A$4:$EO$14,((MONTH($A109)-1)*12)+VLOOKUP(BY$4,$DE$6:$DF$17,2)+1))*(VLOOKUP($A109,SatSunCurve,6))*(INDEX(DailyScalarsTable,BY$5/100,MONTH($A109)))*$D109</f>
        <v>-12089.525059862301</v>
      </c>
      <c r="BZ109" s="1021">
        <f>(VLOOKUP(YEAR($A109),'NY East Load Projections'!$A$4:$EO$14,((MONTH($A109)-1)*12)+VLOOKUP(BZ$4,$DE$6:$DF$17,2)+1))*(VLOOKUP($A109,SatSunCurve,6))*(INDEX(DailyScalarsTable,BZ$5/100,MONTH($A109)))*$D109</f>
        <v>-14377.307007761883</v>
      </c>
      <c r="CA109" s="1021">
        <f>(VLOOKUP(YEAR($A109),'NY East Load Projections'!$A$4:$EO$14,((MONTH($A109)-1)*12)+VLOOKUP(CA$4,$DE$6:$DF$17,2)+1))*(VLOOKUP($A109,SatSunCurve,6))*(INDEX(DailyScalarsTable,CA$5/100,MONTH($A109)))*$D109</f>
        <v>-12225.425130812571</v>
      </c>
      <c r="CB109" s="1021">
        <f>(VLOOKUP(YEAR($A109),'NY East Load Projections'!$A$4:$EO$14,((MONTH($A109)-1)*12)+VLOOKUP(CB$4,$DE$6:$DF$17,2)+1))*(VLOOKUP($A109,SatSunCurve,6))*(INDEX(DailyScalarsTable,CB$5/100,MONTH($A109)))*$D109</f>
        <v>-9899.7658514291998</v>
      </c>
      <c r="CC109" s="1021">
        <f>(VLOOKUP(YEAR($A109),'NY East Load Projections'!$A$4:$EO$14,((MONTH($A109)-1)*12)+VLOOKUP(CC$4,$DE$6:$DF$17,2)+1))*(VLOOKUP($A109,CURVES!$D$9:$T$261,6))*(INDEX(DailyScalarsTable,CC$5/100,MONTH($A109)))*$D109</f>
        <v>-13577.880882200818</v>
      </c>
      <c r="CE109" s="1021">
        <f>(VLOOKUP(YEAR($A109),'NY East Load Projections'!$A$4:$EO$14,((MONTH($A109)-1)*12)+VLOOKUP(CE$4,$DE$6:$DF$17,2)+1))*(VLOOKUP($A109,CURVES!$D$9:$T$261,6))*(INDEX(DailyScalarsTable,CE$5/100,MONTH($A109)))*$E109</f>
        <v>0</v>
      </c>
      <c r="CF109" s="1021">
        <f>(VLOOKUP(YEAR($A109),'NY East Load Projections'!$A$4:$EO$14,((MONTH($A109)-1)*12)+VLOOKUP(CF$4,$DE$6:$DF$17,2)+1))*(VLOOKUP($A109,CURVES!$D$9:$T$261,6))*(INDEX(DailyScalarsTable,CF$5/100,MONTH($A109)))*$E109</f>
        <v>0</v>
      </c>
      <c r="CG109" s="1021">
        <f>(VLOOKUP(YEAR($A109),'NY East Load Projections'!$A$4:$EO$14,((MONTH($A109)-1)*12)+VLOOKUP(CG$4,$DE$6:$DF$17,2)+1))*(VLOOKUP($A109,CURVES!$D$9:$T$261,6))*(INDEX(DailyScalarsTable,CG$5/100,MONTH($A109)))*$E109</f>
        <v>0</v>
      </c>
      <c r="CH109" s="1021">
        <f>(VLOOKUP(YEAR($A109),'NY East Load Projections'!$A$4:$EO$14,((MONTH($A109)-1)*12)+VLOOKUP(CH$4,$DE$6:$DF$17,2)+1))*(VLOOKUP($A109,CURVES!$D$9:$T$261,6))*(INDEX(DailyScalarsTable,CH$5/100,MONTH($A109)))*$E109</f>
        <v>0</v>
      </c>
      <c r="CI109" s="1021">
        <f>(VLOOKUP(YEAR($A109),'NY East Load Projections'!$A$4:$EO$14,((MONTH($A109)-1)*12)+VLOOKUP(CI$4,$DE$6:$DF$17,2)+1))*(VLOOKUP($A109,CURVES!$D$9:$T$261,6))*(INDEX(DailyScalarsTable,CI$5/100,MONTH($A109)))*$E109</f>
        <v>0</v>
      </c>
      <c r="CJ109" s="1021">
        <f>(VLOOKUP(YEAR($A109),'NY East Load Projections'!$A$4:$EO$14,((MONTH($A109)-1)*12)+VLOOKUP(CJ$4,$DE$6:$DF$17,2)+1))*(VLOOKUP($A109,CURVES!$D$9:$T$261,6))*(INDEX(DailyScalarsTable,CJ$5/100,MONTH($A109)))*$E109</f>
        <v>0</v>
      </c>
      <c r="CK109" s="1021">
        <f>(VLOOKUP(YEAR($A109),'NY East Load Projections'!$A$4:$EO$14,((MONTH($A109)-1)*12)+VLOOKUP(CK$4,$DE$6:$DF$17,2)+1))*(VLOOKUP($A109,CURVES!$D$9:$T$261,6))*(INDEX(DailyScalarsTable,CK$5/100,MONTH($A109)))*$E109</f>
        <v>0</v>
      </c>
      <c r="CL109" s="1021">
        <f>(VLOOKUP(YEAR($A109),'NY East Load Projections'!$A$4:$EO$14,((MONTH($A109)-1)*12)+VLOOKUP(CL$4,$DE$6:$DF$17,2)+1))*(VLOOKUP($A109,SatSunCurve,6))*(INDEX(DailyScalarsTable,CL$5/100,MONTH($A109)))*$E109</f>
        <v>0</v>
      </c>
      <c r="CM109" s="1021">
        <f>(VLOOKUP(YEAR($A109),'NY East Load Projections'!$A$4:$EO$14,((MONTH($A109)-1)*12)+VLOOKUP(CM$4,$DE$6:$DF$17,2)+1))*(VLOOKUP($A109,SatSunCurve,6))*(INDEX(DailyScalarsTable,CM$5/100,MONTH($A109)))*$E109</f>
        <v>0</v>
      </c>
      <c r="CN109" s="1021">
        <f>(VLOOKUP(YEAR($A109),'NY East Load Projections'!$A$4:$EO$14,((MONTH($A109)-1)*12)+VLOOKUP(CN$4,$DE$6:$DF$17,2)+1))*(VLOOKUP($A109,SatSunCurve,6))*(INDEX(DailyScalarsTable,CN$5/100,MONTH($A109)))*$E109</f>
        <v>0</v>
      </c>
      <c r="CO109" s="1021">
        <f>(VLOOKUP(YEAR($A109),'NY East Load Projections'!$A$4:$EO$14,((MONTH($A109)-1)*12)+VLOOKUP(CO$4,$DE$6:$DF$17,2)+1))*(VLOOKUP($A109,SatSunCurve,6))*(INDEX(DailyScalarsTable,CO$5/100,MONTH($A109)))*$E109</f>
        <v>0</v>
      </c>
      <c r="CP109" s="1021">
        <f>(VLOOKUP(YEAR($A109),'NY East Load Projections'!$A$4:$EO$14,((MONTH($A109)-1)*12)+VLOOKUP(CP$4,$DE$6:$DF$17,2)+1))*(VLOOKUP($A109,SatSunCurve,6))*(INDEX(DailyScalarsTable,CP$5/100,MONTH($A109)))*$E109</f>
        <v>0</v>
      </c>
      <c r="CQ109" s="1021">
        <f>(VLOOKUP(YEAR($A109),'NY East Load Projections'!$A$4:$EO$14,((MONTH($A109)-1)*12)+VLOOKUP(CQ$4,$DE$6:$DF$17,2)+1))*(VLOOKUP($A109,SatSunCurve,6))*(INDEX(DailyScalarsTable,CQ$5/100,MONTH($A109)))*$E109</f>
        <v>0</v>
      </c>
      <c r="CR109" s="1021">
        <f>(VLOOKUP(YEAR($A109),'NY East Load Projections'!$A$4:$EO$14,((MONTH($A109)-1)*12)+VLOOKUP(CR$4,$DE$6:$DF$17,2)+1))*(VLOOKUP($A109,SatSunCurve,6))*(INDEX(DailyScalarsTable,CR$5/100,MONTH($A109)))*$E109</f>
        <v>0</v>
      </c>
      <c r="CS109" s="1021">
        <f>(VLOOKUP(YEAR($A109),'NY East Load Projections'!$A$4:$EO$14,((MONTH($A109)-1)*12)+VLOOKUP(CS$4,$DE$6:$DF$17,2)+1))*(VLOOKUP($A109,SatSunCurve,6))*(INDEX(DailyScalarsTable,CS$5/100,MONTH($A109)))*$E109</f>
        <v>0</v>
      </c>
      <c r="CT109" s="1021">
        <f>(VLOOKUP(YEAR($A109),'NY East Load Projections'!$A$4:$EO$14,((MONTH($A109)-1)*12)+VLOOKUP(CT$4,$DE$6:$DF$17,2)+1))*(VLOOKUP($A109,SatSunCurve,6))*(INDEX(DailyScalarsTable,CT$5/100,MONTH($A109)))*$E109</f>
        <v>0</v>
      </c>
      <c r="CU109" s="1021">
        <f>(VLOOKUP(YEAR($A109),'NY East Load Projections'!$A$4:$EO$14,((MONTH($A109)-1)*12)+VLOOKUP(CU$4,$DE$6:$DF$17,2)+1))*(VLOOKUP($A109,SatSunCurve,6))*(INDEX(DailyScalarsTable,CU$5/100,MONTH($A109)))*$E109</f>
        <v>0</v>
      </c>
      <c r="CV109" s="1021">
        <f>(VLOOKUP(YEAR($A109),'NY East Load Projections'!$A$4:$EO$14,((MONTH($A109)-1)*12)+VLOOKUP(CV$4,$DE$6:$DF$17,2)+1))*(VLOOKUP($A109,SatSunCurve,6))*(INDEX(DailyScalarsTable,CV$5/100,MONTH($A109)))*$E109</f>
        <v>0</v>
      </c>
      <c r="CW109" s="1021">
        <f>(VLOOKUP(YEAR($A109),'NY East Load Projections'!$A$4:$EO$14,((MONTH($A109)-1)*12)+VLOOKUP(CW$4,$DE$6:$DF$17,2)+1))*(VLOOKUP($A109,SatSunCurve,6))*(INDEX(DailyScalarsTable,CW$5/100,MONTH($A109)))*$E109</f>
        <v>0</v>
      </c>
      <c r="CX109" s="1021">
        <f>(VLOOKUP(YEAR($A109),'NY East Load Projections'!$A$4:$EO$14,((MONTH($A109)-1)*12)+VLOOKUP(CX$4,$DE$6:$DF$17,2)+1))*(VLOOKUP($A109,SatSunCurve,6))*(INDEX(DailyScalarsTable,CX$5/100,MONTH($A109)))*$E109</f>
        <v>0</v>
      </c>
      <c r="CY109" s="1021">
        <f>(VLOOKUP(YEAR($A109),'NY East Load Projections'!$A$4:$EO$14,((MONTH($A109)-1)*12)+VLOOKUP(CY$4,$DE$6:$DF$17,2)+1))*(VLOOKUP($A109,SatSunCurve,6))*(INDEX(DailyScalarsTable,CY$5/100,MONTH($A109)))*$E109</f>
        <v>0</v>
      </c>
      <c r="CZ109" s="1021">
        <f>(VLOOKUP(YEAR($A109),'NY East Load Projections'!$A$4:$EO$14,((MONTH($A109)-1)*12)+VLOOKUP(CZ$4,$DE$6:$DF$17,2)+1))*(VLOOKUP($A109,SatSunCurve,6))*(INDEX(DailyScalarsTable,CZ$5/100,MONTH($A109)))*$E109</f>
        <v>0</v>
      </c>
      <c r="DA109" s="1021">
        <f>(VLOOKUP(YEAR($A109),'NY East Load Projections'!$A$4:$EO$14,((MONTH($A109)-1)*12)+VLOOKUP(DA$4,$DE$6:$DF$17,2)+1))*(VLOOKUP($A109,SatSunCurve,6))*(INDEX(DailyScalarsTable,DA$5/100,MONTH($A109)))*$E109</f>
        <v>0</v>
      </c>
      <c r="DB109" s="1021">
        <f>(VLOOKUP(YEAR($A109),'NY East Load Projections'!$A$4:$EO$14,((MONTH($A109)-1)*12)+VLOOKUP(DB$4,$DE$6:$DF$17,2)+1))*(VLOOKUP($A109,CURVES!$D$9:$T$261,6))*(INDEX(DailyScalarsTable,DB$5/100,MONTH($A109)))*$E109</f>
        <v>0</v>
      </c>
      <c r="DH109" s="1021">
        <f t="shared" si="2"/>
        <v>-3471002.1382447602</v>
      </c>
      <c r="DI109">
        <f ca="1">CALC!J129</f>
        <v>0.4990621226429876</v>
      </c>
      <c r="DJ109" s="1029">
        <f t="shared" ca="1" si="3"/>
        <v>-1732245.6948107788</v>
      </c>
    </row>
    <row r="110" spans="1:114" x14ac:dyDescent="0.25">
      <c r="A110" s="244">
        <v>40057</v>
      </c>
      <c r="B110" s="13">
        <v>21</v>
      </c>
      <c r="C110" s="210">
        <v>4</v>
      </c>
      <c r="D110" s="210">
        <v>4</v>
      </c>
      <c r="E110" s="210">
        <v>1</v>
      </c>
      <c r="F110" s="13">
        <v>30</v>
      </c>
      <c r="H110" s="1021">
        <f>(VLOOKUP(YEAR($A110),'NY East Load Projections'!$A$4:$EO$14,((MONTH($A110)-1)*12)+VLOOKUP(H$4,$DE$6:$DF$17,2)+1))*(VLOOKUP($A110,CURVES!$D$9:$K$261,6))*(INDEX(DailyScalarsTable,H$5/100,MONTH($A110)))*$B110</f>
        <v>-38830.281591062281</v>
      </c>
      <c r="I110" s="1021">
        <f>(VLOOKUP(YEAR($A110),'NY East Load Projections'!$A$4:$EO$14,((MONTH($A110)-1)*12)+VLOOKUP(I$4,$DE$6:$DF$17,2)+1))*(VLOOKUP($A110,CURVES!$D$9:$K$261,6))*(INDEX(DailyScalarsTable,I$5/100,MONTH($A110)))*$B110</f>
        <v>-34066.495457335302</v>
      </c>
      <c r="J110" s="1021">
        <f>(VLOOKUP(YEAR($A110),'NY East Load Projections'!$A$4:$EO$14,((MONTH($A110)-1)*12)+VLOOKUP(J$4,$DE$6:$DF$17,2)+1))*(VLOOKUP($A110,CURVES!$D$9:$K$261,6))*(INDEX(DailyScalarsTable,J$5/100,MONTH($A110)))*$B110</f>
        <v>-31945.969538595564</v>
      </c>
      <c r="K110" s="1021">
        <f>(VLOOKUP(YEAR($A110),'NY East Load Projections'!$A$4:$EO$14,((MONTH($A110)-1)*12)+VLOOKUP(K$4,$DE$6:$DF$17,2)+1))*(VLOOKUP($A110,CURVES!$D$9:$K$261,6))*(INDEX(DailyScalarsTable,K$5/100,MONTH($A110)))*$B110</f>
        <v>-32419.38927859328</v>
      </c>
      <c r="L110" s="1021">
        <f>(VLOOKUP(YEAR($A110),'NY East Load Projections'!$A$4:$EO$14,((MONTH($A110)-1)*12)+VLOOKUP(L$4,$DE$6:$DF$17,2)+1))*(VLOOKUP($A110,CURVES!$D$9:$K$261,6))*(INDEX(DailyScalarsTable,L$5/100,MONTH($A110)))*$B110</f>
        <v>-37308.000175780631</v>
      </c>
      <c r="M110" s="1021">
        <f>(VLOOKUP(YEAR($A110),'NY East Load Projections'!$A$4:$EO$14,((MONTH($A110)-1)*12)+VLOOKUP(M$4,$DE$6:$DF$17,2)+1))*(VLOOKUP($A110,CURVES!$D$9:$K$261,6))*(INDEX(DailyScalarsTable,M$5/100,MONTH($A110)))*$B110</f>
        <v>-43173.839594796016</v>
      </c>
      <c r="N110" s="1021">
        <f>(VLOOKUP(YEAR($A110),'NY East Load Projections'!$A$4:$EO$14,((MONTH($A110)-1)*12)+VLOOKUP(N$4,$DE$6:$DF$17,2)+1))*(VLOOKUP($A110,CURVES!$D$9:$K$261,6))*(INDEX(DailyScalarsTable,N$5/100,MONTH($A110)))*$B110</f>
        <v>-58710.95547527045</v>
      </c>
      <c r="O110" s="1021">
        <f>(VLOOKUP(YEAR($A110),'NY East Load Projections'!$A$4:$EO$14,((MONTH($A110)-1)*12)+VLOOKUP(O$4,$DE$6:$DF$17,2)+1))*(VLOOKUP($A110,CURVES!$D$9:$K$261,2))*(INDEX(DailyScalarsTable,O$5/100,MONTH($A110)))*$B110</f>
        <v>-52646.792992224306</v>
      </c>
      <c r="P110" s="1021">
        <f>(VLOOKUP(YEAR($A110),'NY East Load Projections'!$A$4:$EO$14,((MONTH($A110)-1)*12)+VLOOKUP(P$4,$DE$6:$DF$17,2)+1))*(VLOOKUP($A110,CURVES!$D$9:$K$261,2))*(INDEX(DailyScalarsTable,P$5/100,MONTH($A110)))*$B110</f>
        <v>-55876.449153835616</v>
      </c>
      <c r="Q110" s="1021">
        <f>(VLOOKUP(YEAR($A110),'NY East Load Projections'!$A$4:$EO$14,((MONTH($A110)-1)*12)+VLOOKUP(Q$4,$DE$6:$DF$17,2)+1))*(VLOOKUP($A110,CURVES!$D$9:$K$261,2))*(INDEX(DailyScalarsTable,Q$5/100,MONTH($A110)))*$B110</f>
        <v>-69751.302924828517</v>
      </c>
      <c r="R110" s="1021">
        <f>(VLOOKUP(YEAR($A110),'NY East Load Projections'!$A$4:$EO$14,((MONTH($A110)-1)*12)+VLOOKUP(R$4,$DE$6:$DF$17,2)+1))*(VLOOKUP($A110,CURVES!$D$9:$K$261,2))*(INDEX(DailyScalarsTable,R$5/100,MONTH($A110)))*$B110</f>
        <v>-74491.159803118018</v>
      </c>
      <c r="S110" s="1021">
        <f>(VLOOKUP(YEAR($A110),'NY East Load Projections'!$A$4:$EO$14,((MONTH($A110)-1)*12)+VLOOKUP(S$4,$DE$6:$DF$17,2)+1))*(VLOOKUP($A110,CURVES!$D$9:$K$261,2))*(INDEX(DailyScalarsTable,S$5/100,MONTH($A110)))*$B110</f>
        <v>-79371.057907356997</v>
      </c>
      <c r="T110" s="1021">
        <f>(VLOOKUP(YEAR($A110),'NY East Load Projections'!$A$4:$EO$14,((MONTH($A110)-1)*12)+VLOOKUP(T$4,$DE$6:$DF$17,2)+1))*(VLOOKUP($A110,CURVES!$D$9:$K$261,2))*(INDEX(DailyScalarsTable,T$5/100,MONTH($A110)))*$B110</f>
        <v>-77174.327050852735</v>
      </c>
      <c r="U110" s="1021">
        <f>(VLOOKUP(YEAR($A110),'NY East Load Projections'!$A$4:$EO$14,((MONTH($A110)-1)*12)+VLOOKUP(U$4,$DE$6:$DF$17,2)+1))*(VLOOKUP($A110,CURVES!$D$9:$K$261,2))*(INDEX(DailyScalarsTable,U$5/100,MONTH($A110)))*$B110</f>
        <v>-83543.67369277039</v>
      </c>
      <c r="V110" s="1021">
        <f>(VLOOKUP(YEAR($A110),'NY East Load Projections'!$A$4:$EO$14,((MONTH($A110)-1)*12)+VLOOKUP(V$4,$DE$6:$DF$17,2)+1))*(VLOOKUP($A110,CURVES!$D$9:$K$261,2))*(INDEX(DailyScalarsTable,V$5/100,MONTH($A110)))*$B110</f>
        <v>-82225.49586600835</v>
      </c>
      <c r="W110" s="1021">
        <f>(VLOOKUP(YEAR($A110),'NY East Load Projections'!$A$4:$EO$14,((MONTH($A110)-1)*12)+VLOOKUP(W$4,$DE$6:$DF$17,2)+1))*(VLOOKUP($A110,CURVES!$D$9:$K$261,2))*(INDEX(DailyScalarsTable,W$5/100,MONTH($A110)))*$B110</f>
        <v>-79655.602960051983</v>
      </c>
      <c r="X110" s="1021">
        <f>(VLOOKUP(YEAR($A110),'NY East Load Projections'!$A$4:$EO$14,((MONTH($A110)-1)*12)+VLOOKUP(X$4,$DE$6:$DF$17,2)+1))*(VLOOKUP($A110,CURVES!$D$9:$K$261,2))*(INDEX(DailyScalarsTable,X$5/100,MONTH($A110)))*$B110</f>
        <v>-82199.916436300395</v>
      </c>
      <c r="Y110" s="1021">
        <f>(VLOOKUP(YEAR($A110),'NY East Load Projections'!$A$4:$EO$14,((MONTH($A110)-1)*12)+VLOOKUP(Y$4,$DE$6:$DF$17,2)+1))*(VLOOKUP($A110,CURVES!$D$9:$K$261,2))*(INDEX(DailyScalarsTable,Y$5/100,MONTH($A110)))*$B110</f>
        <v>-80183.391694803024</v>
      </c>
      <c r="Z110" s="1021">
        <f>(VLOOKUP(YEAR($A110),'NY East Load Projections'!$A$4:$EO$14,((MONTH($A110)-1)*12)+VLOOKUP(Z$4,$DE$6:$DF$17,2)+1))*(VLOOKUP($A110,CURVES!$D$9:$K$261,2))*(INDEX(DailyScalarsTable,Z$5/100,MONTH($A110)))*$B110</f>
        <v>-65675.026844135136</v>
      </c>
      <c r="AA110" s="1021">
        <f>(VLOOKUP(YEAR($A110),'NY East Load Projections'!$A$4:$EO$14,((MONTH($A110)-1)*12)+VLOOKUP(AA$4,$DE$6:$DF$17,2)+1))*(VLOOKUP($A110,CURVES!$D$9:$K$261,2))*(INDEX(DailyScalarsTable,AA$5/100,MONTH($A110)))*$B110</f>
        <v>-85829.660970995639</v>
      </c>
      <c r="AB110" s="1021">
        <f>(VLOOKUP(YEAR($A110),'NY East Load Projections'!$A$4:$EO$14,((MONTH($A110)-1)*12)+VLOOKUP(AB$4,$DE$6:$DF$17,2)+1))*(VLOOKUP($A110,CURVES!$D$9:$K$261,2))*(INDEX(DailyScalarsTable,AB$5/100,MONTH($A110)))*$B110</f>
        <v>-78361.007706486664</v>
      </c>
      <c r="AC110" s="1021">
        <f>(VLOOKUP(YEAR($A110),'NY East Load Projections'!$A$4:$EO$14,((MONTH($A110)-1)*12)+VLOOKUP(AC$4,$DE$6:$DF$17,2)+1))*(VLOOKUP($A110,CURVES!$D$9:$K$261,2))*(INDEX(DailyScalarsTable,AC$5/100,MONTH($A110)))*$B110</f>
        <v>-59640.472630176126</v>
      </c>
      <c r="AD110" s="1021">
        <f>(VLOOKUP(YEAR($A110),'NY East Load Projections'!$A$4:$EO$14,((MONTH($A110)-1)*12)+VLOOKUP(AD$4,$DE$6:$DF$17,2)+1))*(VLOOKUP($A110,CURVES!$D$9:$K$261,2))*(INDEX(DailyScalarsTable,AD$5/100,MONTH($A110)))*$B110</f>
        <v>-47262.623976024224</v>
      </c>
      <c r="AE110" s="1021">
        <f>(VLOOKUP(YEAR($A110),'NY East Load Projections'!$A$4:$EO$14,((MONTH($A110)-1)*12)+VLOOKUP(AE$4,$DE$6:$DF$17,2)+1))*(VLOOKUP($A110,CURVES!$D$9:$K$261,6))*(INDEX(DailyScalarsTable,AE$5/100,MONTH($A110)))*$B110</f>
        <v>-45238.978861842501</v>
      </c>
      <c r="AF110" s="1021"/>
      <c r="AG110" s="1021">
        <f>(VLOOKUP(YEAR($A110),'NY East Load Projections'!$A$4:$EO$14,((MONTH($A110)-1)*12)+VLOOKUP(AG$4,$DE$6:$DF$17,2)+1))*(VLOOKUP($A110,CURVES!$D$9:$T$261,6))*(INDEX(DailyScalarsTable,AG$5/100,MONTH($A110)))*$C110</f>
        <v>-7694.5423509249367</v>
      </c>
      <c r="AH110" s="1021">
        <f>(VLOOKUP(YEAR($A110),'NY East Load Projections'!$A$4:$EO$14,((MONTH($A110)-1)*12)+VLOOKUP(AH$4,$DE$6:$DF$17,2)+1))*(VLOOKUP($A110,CURVES!$D$9:$T$261,6))*(INDEX(DailyScalarsTable,AH$5/100,MONTH($A110)))*$C110</f>
        <v>-6750.5586182612979</v>
      </c>
      <c r="AI110" s="1021">
        <f>(VLOOKUP(YEAR($A110),'NY East Load Projections'!$A$4:$EO$14,((MONTH($A110)-1)*12)+VLOOKUP(AI$4,$DE$6:$DF$17,2)+1))*(VLOOKUP($A110,CURVES!$D$9:$T$261,6))*(INDEX(DailyScalarsTable,AI$5/100,MONTH($A110)))*$C110</f>
        <v>-6330.3588200776921</v>
      </c>
      <c r="AJ110" s="1021">
        <f>(VLOOKUP(YEAR($A110),'NY East Load Projections'!$A$4:$EO$14,((MONTH($A110)-1)*12)+VLOOKUP(AJ$4,$DE$6:$DF$17,2)+1))*(VLOOKUP($A110,CURVES!$D$9:$T$261,6))*(INDEX(DailyScalarsTable,AJ$5/100,MONTH($A110)))*$C110</f>
        <v>-6424.1708680442662</v>
      </c>
      <c r="AK110" s="1021">
        <f>(VLOOKUP(YEAR($A110),'NY East Load Projections'!$A$4:$EO$14,((MONTH($A110)-1)*12)+VLOOKUP(AK$4,$DE$6:$DF$17,2)+1))*(VLOOKUP($A110,CURVES!$D$9:$T$261,6))*(INDEX(DailyScalarsTable,AK$5/100,MONTH($A110)))*$C110</f>
        <v>-6987.9985207843893</v>
      </c>
      <c r="AL110" s="1021">
        <f>(VLOOKUP(YEAR($A110),'NY East Load Projections'!$A$4:$EO$14,((MONTH($A110)-1)*12)+VLOOKUP(AL$4,$DE$6:$DF$17,2)+1))*(VLOOKUP($A110,CURVES!$D$9:$T$261,6))*(INDEX(DailyScalarsTable,AL$5/100,MONTH($A110)))*$C110</f>
        <v>-8086.7032755315531</v>
      </c>
      <c r="AM110" s="1021">
        <f>(VLOOKUP(YEAR($A110),'NY East Load Projections'!$A$4:$EO$14,((MONTH($A110)-1)*12)+VLOOKUP(AM$4,$DE$6:$DF$17,2)+1))*(VLOOKUP($A110,CURVES!$D$9:$T$261,6))*(INDEX(DailyScalarsTable,AM$5/100,MONTH($A110)))*$C110</f>
        <v>-10996.892572155764</v>
      </c>
      <c r="AN110" s="1021">
        <f>(VLOOKUP(YEAR($A110),'NY East Load Projections'!$A$4:$EO$14,((MONTH($A110)-1)*12)+VLOOKUP(AN$4,$DE$6:$DF$17,2)+1))*(VLOOKUP($A110,SatSunCurve,2))*(INDEX(DailyScalarsTable,AN$5/100,MONTH($A110)))*$C110</f>
        <v>-7159.769639656216</v>
      </c>
      <c r="AO110" s="1021">
        <f>(VLOOKUP(YEAR($A110),'NY East Load Projections'!$A$4:$EO$14,((MONTH($A110)-1)*12)+VLOOKUP(AO$4,$DE$6:$DF$17,2)+1))*(VLOOKUP($A110,SatSunCurve,2))*(INDEX(DailyScalarsTable,AO$5/100,MONTH($A110)))*$C110</f>
        <v>-7866.1884717650937</v>
      </c>
      <c r="AP110" s="1021">
        <f>(VLOOKUP(YEAR($A110),'NY East Load Projections'!$A$4:$EO$14,((MONTH($A110)-1)*12)+VLOOKUP(AP$4,$DE$6:$DF$17,2)+1))*(VLOOKUP($A110,SatSunCurve,2))*(INDEX(DailyScalarsTable,AP$5/100,MONTH($A110)))*$C110</f>
        <v>-9819.4660410023062</v>
      </c>
      <c r="AQ110" s="1021">
        <f>(VLOOKUP(YEAR($A110),'NY East Load Projections'!$A$4:$EO$14,((MONTH($A110)-1)*12)+VLOOKUP(AQ$4,$DE$6:$DF$17,2)+1))*(VLOOKUP($A110,SatSunCurve,2))*(INDEX(DailyScalarsTable,AQ$5/100,MONTH($A110)))*$C110</f>
        <v>-10486.734775834895</v>
      </c>
      <c r="AR110" s="1021">
        <f>(VLOOKUP(YEAR($A110),'NY East Load Projections'!$A$4:$EO$14,((MONTH($A110)-1)*12)+VLOOKUP(AR$4,$DE$6:$DF$17,2)+1))*(VLOOKUP($A110,SatSunCurve,2))*(INDEX(DailyScalarsTable,AR$5/100,MONTH($A110)))*$C110</f>
        <v>-11173.718268742086</v>
      </c>
      <c r="AS110" s="1021">
        <f>(VLOOKUP(YEAR($A110),'NY East Load Projections'!$A$4:$EO$14,((MONTH($A110)-1)*12)+VLOOKUP(AS$4,$DE$6:$DF$17,2)+1))*(VLOOKUP($A110,SatSunCurve,2))*(INDEX(DailyScalarsTable,AS$5/100,MONTH($A110)))*$C110</f>
        <v>-10834.10669152009</v>
      </c>
      <c r="AT110" s="1021">
        <f>(VLOOKUP(YEAR($A110),'NY East Load Projections'!$A$4:$EO$14,((MONTH($A110)-1)*12)+VLOOKUP(AT$4,$DE$6:$DF$17,2)+1))*(VLOOKUP($A110,SatSunCurve,2))*(INDEX(DailyScalarsTable,AT$5/100,MONTH($A110)))*$C110</f>
        <v>-11728.266494537751</v>
      </c>
      <c r="AU110" s="1021">
        <f>(VLOOKUP(YEAR($A110),'NY East Load Projections'!$A$4:$EO$14,((MONTH($A110)-1)*12)+VLOOKUP(AU$4,$DE$6:$DF$17,2)+1))*(VLOOKUP($A110,SatSunCurve,2))*(INDEX(DailyScalarsTable,AU$5/100,MONTH($A110)))*$C110</f>
        <v>-11543.214291826276</v>
      </c>
      <c r="AV110" s="1021">
        <f>(VLOOKUP(YEAR($A110),'NY East Load Projections'!$A$4:$EO$14,((MONTH($A110)-1)*12)+VLOOKUP(AV$4,$DE$6:$DF$17,2)+1))*(VLOOKUP($A110,SatSunCurve,2))*(INDEX(DailyScalarsTable,AV$5/100,MONTH($A110)))*$C110</f>
        <v>-11182.440249565236</v>
      </c>
      <c r="AW110" s="1021">
        <f>(VLOOKUP(YEAR($A110),'NY East Load Projections'!$A$4:$EO$14,((MONTH($A110)-1)*12)+VLOOKUP(AW$4,$DE$6:$DF$17,2)+1))*(VLOOKUP($A110,SatSunCurve,2))*(INDEX(DailyScalarsTable,AW$5/100,MONTH($A110)))*$C110</f>
        <v>-11248.257868782954</v>
      </c>
      <c r="AX110" s="1021">
        <f>(VLOOKUP(YEAR($A110),'NY East Load Projections'!$A$4:$EO$14,((MONTH($A110)-1)*12)+VLOOKUP(AX$4,$DE$6:$DF$17,2)+1))*(VLOOKUP($A110,SatSunCurve,2))*(INDEX(DailyScalarsTable,AX$5/100,MONTH($A110)))*$C110</f>
        <v>-10972.3161005365</v>
      </c>
      <c r="AY110" s="1021">
        <f>(VLOOKUP(YEAR($A110),'NY East Load Projections'!$A$4:$EO$14,((MONTH($A110)-1)*12)+VLOOKUP(AY$4,$DE$6:$DF$17,2)+1))*(VLOOKUP($A110,SatSunCurve,2))*(INDEX(DailyScalarsTable,AY$5/100,MONTH($A110)))*$C110</f>
        <v>-8986.9876942580868</v>
      </c>
      <c r="AZ110" s="1021">
        <f>(VLOOKUP(YEAR($A110),'NY East Load Projections'!$A$4:$EO$14,((MONTH($A110)-1)*12)+VLOOKUP(AZ$4,$DE$6:$DF$17,2)+1))*(VLOOKUP($A110,SatSunCurve,2))*(INDEX(DailyScalarsTable,AZ$5/100,MONTH($A110)))*$C110</f>
        <v>-11744.953051626562</v>
      </c>
      <c r="BA110" s="1021">
        <f>(VLOOKUP(YEAR($A110),'NY East Load Projections'!$A$4:$EO$14,((MONTH($A110)-1)*12)+VLOOKUP(BA$4,$DE$6:$DF$17,2)+1))*(VLOOKUP($A110,SatSunCurve,2))*(INDEX(DailyScalarsTable,BA$5/100,MONTH($A110)))*$C110</f>
        <v>-11341.782560619213</v>
      </c>
      <c r="BB110" s="1021">
        <f>(VLOOKUP(YEAR($A110),'NY East Load Projections'!$A$4:$EO$14,((MONTH($A110)-1)*12)+VLOOKUP(BB$4,$DE$6:$DF$17,2)+1))*(VLOOKUP($A110,SatSunCurve,2))*(INDEX(DailyScalarsTable,BB$5/100,MONTH($A110)))*$C110</f>
        <v>-8632.2176319846476</v>
      </c>
      <c r="BC110" s="1021">
        <f>(VLOOKUP(YEAR($A110),'NY East Load Projections'!$A$4:$EO$14,((MONTH($A110)-1)*12)+VLOOKUP(BC$4,$DE$6:$DF$17,2)+1))*(VLOOKUP($A110,SatSunCurve,2))*(INDEX(DailyScalarsTable,BC$5/100,MONTH($A110)))*$C110</f>
        <v>-6840.6777818402379</v>
      </c>
      <c r="BD110" s="1021">
        <f>(VLOOKUP(YEAR($A110),'NY East Load Projections'!$A$4:$EO$14,((MONTH($A110)-1)*12)+VLOOKUP(BD$4,$DE$6:$DF$17,2)+1))*(VLOOKUP($A110,CURVES!$D$9:$T$261,6))*(INDEX(DailyScalarsTable,BD$5/100,MONTH($A110)))*$C110</f>
        <v>-9018.1572517851764</v>
      </c>
      <c r="BE110" s="1021"/>
      <c r="BF110" s="1021">
        <f>(VLOOKUP(YEAR($A110),'NY East Load Projections'!$A$4:$EO$14,((MONTH($A110)-1)*12)+VLOOKUP(BF$4,$DE$6:$DF$17,2)+1))*(VLOOKUP($A110,CURVES!$D$9:$T$261,6))*(INDEX(DailyScalarsTable,BF$5/100,MONTH($A110)))*$D110</f>
        <v>-7694.5423509249367</v>
      </c>
      <c r="BG110" s="1021">
        <f>(VLOOKUP(YEAR($A110),'NY East Load Projections'!$A$4:$EO$14,((MONTH($A110)-1)*12)+VLOOKUP(BG$4,$DE$6:$DF$17,2)+1))*(VLOOKUP($A110,CURVES!$D$9:$T$261,6))*(INDEX(DailyScalarsTable,BG$5/100,MONTH($A110)))*$D110</f>
        <v>-6750.5586182612979</v>
      </c>
      <c r="BH110" s="1021">
        <f>(VLOOKUP(YEAR($A110),'NY East Load Projections'!$A$4:$EO$14,((MONTH($A110)-1)*12)+VLOOKUP(BH$4,$DE$6:$DF$17,2)+1))*(VLOOKUP($A110,CURVES!$D$9:$T$261,6))*(INDEX(DailyScalarsTable,BH$5/100,MONTH($A110)))*$D110</f>
        <v>-6330.3588200776921</v>
      </c>
      <c r="BI110" s="1021">
        <f>(VLOOKUP(YEAR($A110),'NY East Load Projections'!$A$4:$EO$14,((MONTH($A110)-1)*12)+VLOOKUP(BI$4,$DE$6:$DF$17,2)+1))*(VLOOKUP($A110,CURVES!$D$9:$T$261,6))*(INDEX(DailyScalarsTable,BI$5/100,MONTH($A110)))*$D110</f>
        <v>-6424.1708680442662</v>
      </c>
      <c r="BJ110" s="1021">
        <f>(VLOOKUP(YEAR($A110),'NY East Load Projections'!$A$4:$EO$14,((MONTH($A110)-1)*12)+VLOOKUP(BJ$4,$DE$6:$DF$17,2)+1))*(VLOOKUP($A110,CURVES!$D$9:$T$261,6))*(INDEX(DailyScalarsTable,BJ$5/100,MONTH($A110)))*$D110</f>
        <v>-6987.9985207843893</v>
      </c>
      <c r="BK110" s="1021">
        <f>(VLOOKUP(YEAR($A110),'NY East Load Projections'!$A$4:$EO$14,((MONTH($A110)-1)*12)+VLOOKUP(BK$4,$DE$6:$DF$17,2)+1))*(VLOOKUP($A110,CURVES!$D$9:$T$261,6))*(INDEX(DailyScalarsTable,BK$5/100,MONTH($A110)))*$D110</f>
        <v>-8086.7032755315531</v>
      </c>
      <c r="BL110" s="1021">
        <f>(VLOOKUP(YEAR($A110),'NY East Load Projections'!$A$4:$EO$14,((MONTH($A110)-1)*12)+VLOOKUP(BL$4,$DE$6:$DF$17,2)+1))*(VLOOKUP($A110,CURVES!$D$9:$T$261,6))*(INDEX(DailyScalarsTable,BL$5/100,MONTH($A110)))*$D110</f>
        <v>-10996.892572155764</v>
      </c>
      <c r="BM110" s="1021">
        <f>(VLOOKUP(YEAR($A110),'NY East Load Projections'!$A$4:$EO$14,((MONTH($A110)-1)*12)+VLOOKUP(BM$4,$DE$6:$DF$17,2)+1))*(VLOOKUP($A110,SatSunCurve,6))*(INDEX(DailyScalarsTable,BM$5/100,MONTH($A110)))*$D110</f>
        <v>-6636.3402477857198</v>
      </c>
      <c r="BN110" s="1021">
        <f>(VLOOKUP(YEAR($A110),'NY East Load Projections'!$A$4:$EO$14,((MONTH($A110)-1)*12)+VLOOKUP(BN$4,$DE$6:$DF$17,2)+1))*(VLOOKUP($A110,SatSunCurve,6))*(INDEX(DailyScalarsTable,BN$5/100,MONTH($A110)))*$D110</f>
        <v>-7291.1149072038161</v>
      </c>
      <c r="BO110" s="1021">
        <f>(VLOOKUP(YEAR($A110),'NY East Load Projections'!$A$4:$EO$14,((MONTH($A110)-1)*12)+VLOOKUP(BO$4,$DE$6:$DF$17,2)+1))*(VLOOKUP($A110,SatSunCurve,6))*(INDEX(DailyScalarsTable,BO$5/100,MONTH($A110)))*$D110</f>
        <v>-9101.5941824069196</v>
      </c>
      <c r="BP110" s="1021">
        <f>(VLOOKUP(YEAR($A110),'NY East Load Projections'!$A$4:$EO$14,((MONTH($A110)-1)*12)+VLOOKUP(BP$4,$DE$6:$DF$17,2)+1))*(VLOOKUP($A110,SatSunCurve,6))*(INDEX(DailyScalarsTable,BP$5/100,MONTH($A110)))*$D110</f>
        <v>-9720.0808913272358</v>
      </c>
      <c r="BQ110" s="1021">
        <f>(VLOOKUP(YEAR($A110),'NY East Load Projections'!$A$4:$EO$14,((MONTH($A110)-1)*12)+VLOOKUP(BQ$4,$DE$6:$DF$17,2)+1))*(VLOOKUP($A110,SatSunCurve,6))*(INDEX(DailyScalarsTable,BQ$5/100,MONTH($A110)))*$D110</f>
        <v>-10356.841071192926</v>
      </c>
      <c r="BR110" s="1021">
        <f>(VLOOKUP(YEAR($A110),'NY East Load Projections'!$A$4:$EO$14,((MONTH($A110)-1)*12)+VLOOKUP(BR$4,$DE$6:$DF$17,2)+1))*(VLOOKUP($A110,SatSunCurve,6))*(INDEX(DailyScalarsTable,BR$5/100,MONTH($A110)))*$D110</f>
        <v>-10042.057482898521</v>
      </c>
      <c r="BS110" s="1021">
        <f>(VLOOKUP(YEAR($A110),'NY East Load Projections'!$A$4:$EO$14,((MONTH($A110)-1)*12)+VLOOKUP(BS$4,$DE$6:$DF$17,2)+1))*(VLOOKUP($A110,SatSunCurve,6))*(INDEX(DailyScalarsTable,BS$5/100,MONTH($A110)))*$D110</f>
        <v>-10870.847931106737</v>
      </c>
      <c r="BT110" s="1021">
        <f>(VLOOKUP(YEAR($A110),'NY East Load Projections'!$A$4:$EO$14,((MONTH($A110)-1)*12)+VLOOKUP(BT$4,$DE$6:$DF$17,2)+1))*(VLOOKUP($A110,SatSunCurve,6))*(INDEX(DailyScalarsTable,BT$5/100,MONTH($A110)))*$D110</f>
        <v>-10699.324342694956</v>
      </c>
      <c r="BU110" s="1021">
        <f>(VLOOKUP(YEAR($A110),'NY East Load Projections'!$A$4:$EO$14,((MONTH($A110)-1)*12)+VLOOKUP(BU$4,$DE$6:$DF$17,2)+1))*(VLOOKUP($A110,SatSunCurve,6))*(INDEX(DailyScalarsTable,BU$5/100,MONTH($A110)))*$D110</f>
        <v>-10364.925414026595</v>
      </c>
      <c r="BV110" s="1021">
        <f>(VLOOKUP(YEAR($A110),'NY East Load Projections'!$A$4:$EO$14,((MONTH($A110)-1)*12)+VLOOKUP(BV$4,$DE$6:$DF$17,2)+1))*(VLOOKUP($A110,SatSunCurve,6))*(INDEX(DailyScalarsTable,BV$5/100,MONTH($A110)))*$D110</f>
        <v>-10425.931303519004</v>
      </c>
      <c r="BW110" s="1021">
        <f>(VLOOKUP(YEAR($A110),'NY East Load Projections'!$A$4:$EO$14,((MONTH($A110)-1)*12)+VLOOKUP(BW$4,$DE$6:$DF$17,2)+1))*(VLOOKUP($A110,SatSunCurve,6))*(INDEX(DailyScalarsTable,BW$5/100,MONTH($A110)))*$D110</f>
        <v>-10170.162814472056</v>
      </c>
      <c r="BX110" s="1021">
        <f>(VLOOKUP(YEAR($A110),'NY East Load Projections'!$A$4:$EO$14,((MONTH($A110)-1)*12)+VLOOKUP(BX$4,$DE$6:$DF$17,2)+1))*(VLOOKUP($A110,SatSunCurve,6))*(INDEX(DailyScalarsTable,BX$5/100,MONTH($A110)))*$D110</f>
        <v>-8329.9758432763829</v>
      </c>
      <c r="BY110" s="1021">
        <f>(VLOOKUP(YEAR($A110),'NY East Load Projections'!$A$4:$EO$14,((MONTH($A110)-1)*12)+VLOOKUP(BY$4,$DE$6:$DF$17,2)+1))*(VLOOKUP($A110,SatSunCurve,6))*(INDEX(DailyScalarsTable,BY$5/100,MONTH($A110)))*$D110</f>
        <v>-10886.314583803509</v>
      </c>
      <c r="BZ110" s="1021">
        <f>(VLOOKUP(YEAR($A110),'NY East Load Projections'!$A$4:$EO$14,((MONTH($A110)-1)*12)+VLOOKUP(BZ$4,$DE$6:$DF$17,2)+1))*(VLOOKUP($A110,SatSunCurve,6))*(INDEX(DailyScalarsTable,BZ$5/100,MONTH($A110)))*$D110</f>
        <v>-10512.61868423542</v>
      </c>
      <c r="CA110" s="1021">
        <f>(VLOOKUP(YEAR($A110),'NY East Load Projections'!$A$4:$EO$14,((MONTH($A110)-1)*12)+VLOOKUP(CA$4,$DE$6:$DF$17,2)+1))*(VLOOKUP($A110,SatSunCurve,6))*(INDEX(DailyScalarsTable,CA$5/100,MONTH($A110)))*$D110</f>
        <v>-8001.1419615360564</v>
      </c>
      <c r="CB110" s="1021">
        <f>(VLOOKUP(YEAR($A110),'NY East Load Projections'!$A$4:$EO$14,((MONTH($A110)-1)*12)+VLOOKUP(CB$4,$DE$6:$DF$17,2)+1))*(VLOOKUP($A110,SatSunCurve,6))*(INDEX(DailyScalarsTable,CB$5/100,MONTH($A110)))*$D110</f>
        <v>-6340.5762434473645</v>
      </c>
      <c r="CC110" s="1021">
        <f>(VLOOKUP(YEAR($A110),'NY East Load Projections'!$A$4:$EO$14,((MONTH($A110)-1)*12)+VLOOKUP(CC$4,$DE$6:$DF$17,2)+1))*(VLOOKUP($A110,CURVES!$D$9:$T$261,6))*(INDEX(DailyScalarsTable,CC$5/100,MONTH($A110)))*$D110</f>
        <v>-9018.1572517851764</v>
      </c>
      <c r="CE110" s="1021">
        <f>(VLOOKUP(YEAR($A110),'NY East Load Projections'!$A$4:$EO$14,((MONTH($A110)-1)*12)+VLOOKUP(CE$4,$DE$6:$DF$17,2)+1))*(VLOOKUP($A110,CURVES!$D$9:$T$261,6))*(INDEX(DailyScalarsTable,CE$5/100,MONTH($A110)))*$E110</f>
        <v>-1923.6355877312342</v>
      </c>
      <c r="CF110" s="1021">
        <f>(VLOOKUP(YEAR($A110),'NY East Load Projections'!$A$4:$EO$14,((MONTH($A110)-1)*12)+VLOOKUP(CF$4,$DE$6:$DF$17,2)+1))*(VLOOKUP($A110,CURVES!$D$9:$T$261,6))*(INDEX(DailyScalarsTable,CF$5/100,MONTH($A110)))*$E110</f>
        <v>-1687.6396545653245</v>
      </c>
      <c r="CG110" s="1021">
        <f>(VLOOKUP(YEAR($A110),'NY East Load Projections'!$A$4:$EO$14,((MONTH($A110)-1)*12)+VLOOKUP(CG$4,$DE$6:$DF$17,2)+1))*(VLOOKUP($A110,CURVES!$D$9:$T$261,6))*(INDEX(DailyScalarsTable,CG$5/100,MONTH($A110)))*$E110</f>
        <v>-1582.589705019423</v>
      </c>
      <c r="CH110" s="1021">
        <f>(VLOOKUP(YEAR($A110),'NY East Load Projections'!$A$4:$EO$14,((MONTH($A110)-1)*12)+VLOOKUP(CH$4,$DE$6:$DF$17,2)+1))*(VLOOKUP($A110,CURVES!$D$9:$T$261,6))*(INDEX(DailyScalarsTable,CH$5/100,MONTH($A110)))*$E110</f>
        <v>-1606.0427170110665</v>
      </c>
      <c r="CI110" s="1021">
        <f>(VLOOKUP(YEAR($A110),'NY East Load Projections'!$A$4:$EO$14,((MONTH($A110)-1)*12)+VLOOKUP(CI$4,$DE$6:$DF$17,2)+1))*(VLOOKUP($A110,CURVES!$D$9:$T$261,6))*(INDEX(DailyScalarsTable,CI$5/100,MONTH($A110)))*$E110</f>
        <v>-1746.9996301960973</v>
      </c>
      <c r="CJ110" s="1021">
        <f>(VLOOKUP(YEAR($A110),'NY East Load Projections'!$A$4:$EO$14,((MONTH($A110)-1)*12)+VLOOKUP(CJ$4,$DE$6:$DF$17,2)+1))*(VLOOKUP($A110,CURVES!$D$9:$T$261,6))*(INDEX(DailyScalarsTable,CJ$5/100,MONTH($A110)))*$E110</f>
        <v>-2021.6758188828883</v>
      </c>
      <c r="CK110" s="1021">
        <f>(VLOOKUP(YEAR($A110),'NY East Load Projections'!$A$4:$EO$14,((MONTH($A110)-1)*12)+VLOOKUP(CK$4,$DE$6:$DF$17,2)+1))*(VLOOKUP($A110,CURVES!$D$9:$T$261,6))*(INDEX(DailyScalarsTable,CK$5/100,MONTH($A110)))*$E110</f>
        <v>-2749.2231430389411</v>
      </c>
      <c r="CL110" s="1021">
        <f>(VLOOKUP(YEAR($A110),'NY East Load Projections'!$A$4:$EO$14,((MONTH($A110)-1)*12)+VLOOKUP(CL$4,$DE$6:$DF$17,2)+1))*(VLOOKUP($A110,SatSunCurve,6))*(INDEX(DailyScalarsTable,CL$5/100,MONTH($A110)))*$E110</f>
        <v>-1659.08506194643</v>
      </c>
      <c r="CM110" s="1021">
        <f>(VLOOKUP(YEAR($A110),'NY East Load Projections'!$A$4:$EO$14,((MONTH($A110)-1)*12)+VLOOKUP(CM$4,$DE$6:$DF$17,2)+1))*(VLOOKUP($A110,SatSunCurve,6))*(INDEX(DailyScalarsTable,CM$5/100,MONTH($A110)))*$E110</f>
        <v>-1822.778726800954</v>
      </c>
      <c r="CN110" s="1021">
        <f>(VLOOKUP(YEAR($A110),'NY East Load Projections'!$A$4:$EO$14,((MONTH($A110)-1)*12)+VLOOKUP(CN$4,$DE$6:$DF$17,2)+1))*(VLOOKUP($A110,SatSunCurve,6))*(INDEX(DailyScalarsTable,CN$5/100,MONTH($A110)))*$E110</f>
        <v>-2275.3985456017299</v>
      </c>
      <c r="CO110" s="1021">
        <f>(VLOOKUP(YEAR($A110),'NY East Load Projections'!$A$4:$EO$14,((MONTH($A110)-1)*12)+VLOOKUP(CO$4,$DE$6:$DF$17,2)+1))*(VLOOKUP($A110,SatSunCurve,6))*(INDEX(DailyScalarsTable,CO$5/100,MONTH($A110)))*$E110</f>
        <v>-2430.020222831809</v>
      </c>
      <c r="CP110" s="1021">
        <f>(VLOOKUP(YEAR($A110),'NY East Load Projections'!$A$4:$EO$14,((MONTH($A110)-1)*12)+VLOOKUP(CP$4,$DE$6:$DF$17,2)+1))*(VLOOKUP($A110,SatSunCurve,6))*(INDEX(DailyScalarsTable,CP$5/100,MONTH($A110)))*$E110</f>
        <v>-2589.2102677982316</v>
      </c>
      <c r="CQ110" s="1021">
        <f>(VLOOKUP(YEAR($A110),'NY East Load Projections'!$A$4:$EO$14,((MONTH($A110)-1)*12)+VLOOKUP(CQ$4,$DE$6:$DF$17,2)+1))*(VLOOKUP($A110,SatSunCurve,6))*(INDEX(DailyScalarsTable,CQ$5/100,MONTH($A110)))*$E110</f>
        <v>-2510.5143707246302</v>
      </c>
      <c r="CR110" s="1021">
        <f>(VLOOKUP(YEAR($A110),'NY East Load Projections'!$A$4:$EO$14,((MONTH($A110)-1)*12)+VLOOKUP(CR$4,$DE$6:$DF$17,2)+1))*(VLOOKUP($A110,SatSunCurve,6))*(INDEX(DailyScalarsTable,CR$5/100,MONTH($A110)))*$E110</f>
        <v>-2717.7119827766842</v>
      </c>
      <c r="CS110" s="1021">
        <f>(VLOOKUP(YEAR($A110),'NY East Load Projections'!$A$4:$EO$14,((MONTH($A110)-1)*12)+VLOOKUP(CS$4,$DE$6:$DF$17,2)+1))*(VLOOKUP($A110,SatSunCurve,6))*(INDEX(DailyScalarsTable,CS$5/100,MONTH($A110)))*$E110</f>
        <v>-2674.8310856737389</v>
      </c>
      <c r="CT110" s="1021">
        <f>(VLOOKUP(YEAR($A110),'NY East Load Projections'!$A$4:$EO$14,((MONTH($A110)-1)*12)+VLOOKUP(CT$4,$DE$6:$DF$17,2)+1))*(VLOOKUP($A110,SatSunCurve,6))*(INDEX(DailyScalarsTable,CT$5/100,MONTH($A110)))*$E110</f>
        <v>-2591.2313535066487</v>
      </c>
      <c r="CU110" s="1021">
        <f>(VLOOKUP(YEAR($A110),'NY East Load Projections'!$A$4:$EO$14,((MONTH($A110)-1)*12)+VLOOKUP(CU$4,$DE$6:$DF$17,2)+1))*(VLOOKUP($A110,SatSunCurve,6))*(INDEX(DailyScalarsTable,CU$5/100,MONTH($A110)))*$E110</f>
        <v>-2606.4828258797511</v>
      </c>
      <c r="CV110" s="1021">
        <f>(VLOOKUP(YEAR($A110),'NY East Load Projections'!$A$4:$EO$14,((MONTH($A110)-1)*12)+VLOOKUP(CV$4,$DE$6:$DF$17,2)+1))*(VLOOKUP($A110,SatSunCurve,6))*(INDEX(DailyScalarsTable,CV$5/100,MONTH($A110)))*$E110</f>
        <v>-2542.540703618014</v>
      </c>
      <c r="CW110" s="1021">
        <f>(VLOOKUP(YEAR($A110),'NY East Load Projections'!$A$4:$EO$14,((MONTH($A110)-1)*12)+VLOOKUP(CW$4,$DE$6:$DF$17,2)+1))*(VLOOKUP($A110,SatSunCurve,6))*(INDEX(DailyScalarsTable,CW$5/100,MONTH($A110)))*$E110</f>
        <v>-2082.4939608190957</v>
      </c>
      <c r="CX110" s="1021">
        <f>(VLOOKUP(YEAR($A110),'NY East Load Projections'!$A$4:$EO$14,((MONTH($A110)-1)*12)+VLOOKUP(CX$4,$DE$6:$DF$17,2)+1))*(VLOOKUP($A110,SatSunCurve,6))*(INDEX(DailyScalarsTable,CX$5/100,MONTH($A110)))*$E110</f>
        <v>-2721.5786459508772</v>
      </c>
      <c r="CY110" s="1021">
        <f>(VLOOKUP(YEAR($A110),'NY East Load Projections'!$A$4:$EO$14,((MONTH($A110)-1)*12)+VLOOKUP(CY$4,$DE$6:$DF$17,2)+1))*(VLOOKUP($A110,SatSunCurve,6))*(INDEX(DailyScalarsTable,CY$5/100,MONTH($A110)))*$E110</f>
        <v>-2628.154671058855</v>
      </c>
      <c r="CZ110" s="1021">
        <f>(VLOOKUP(YEAR($A110),'NY East Load Projections'!$A$4:$EO$14,((MONTH($A110)-1)*12)+VLOOKUP(CZ$4,$DE$6:$DF$17,2)+1))*(VLOOKUP($A110,SatSunCurve,6))*(INDEX(DailyScalarsTable,CZ$5/100,MONTH($A110)))*$E110</f>
        <v>-2000.2854903840141</v>
      </c>
      <c r="DA110" s="1021">
        <f>(VLOOKUP(YEAR($A110),'NY East Load Projections'!$A$4:$EO$14,((MONTH($A110)-1)*12)+VLOOKUP(DA$4,$DE$6:$DF$17,2)+1))*(VLOOKUP($A110,SatSunCurve,6))*(INDEX(DailyScalarsTable,DA$5/100,MONTH($A110)))*$E110</f>
        <v>-1585.1440608618411</v>
      </c>
      <c r="DB110" s="1021">
        <f>(VLOOKUP(YEAR($A110),'NY East Load Projections'!$A$4:$EO$14,((MONTH($A110)-1)*12)+VLOOKUP(DB$4,$DE$6:$DF$17,2)+1))*(VLOOKUP($A110,CURVES!$D$9:$T$261,6))*(INDEX(DailyScalarsTable,DB$5/100,MONTH($A110)))*$E110</f>
        <v>-2254.5393129462941</v>
      </c>
      <c r="DH110" s="1021">
        <f t="shared" si="2"/>
        <v>-1964481.390203031</v>
      </c>
      <c r="DI110">
        <f ca="1">CALC!J130</f>
        <v>0.49601811076526392</v>
      </c>
      <c r="DJ110" s="1029">
        <f t="shared" ca="1" si="3"/>
        <v>-974418.34780202666</v>
      </c>
    </row>
    <row r="111" spans="1:114" x14ac:dyDescent="0.25">
      <c r="A111" s="244">
        <v>40087</v>
      </c>
      <c r="B111" s="13">
        <v>22</v>
      </c>
      <c r="C111" s="210">
        <v>5</v>
      </c>
      <c r="D111" s="210">
        <v>4</v>
      </c>
      <c r="E111" s="210">
        <v>0</v>
      </c>
      <c r="F111" s="13">
        <v>31</v>
      </c>
      <c r="H111" s="1021">
        <f>(VLOOKUP(YEAR($A111),'NY East Load Projections'!$A$4:$EO$14,((MONTH($A111)-1)*12)+VLOOKUP(H$4,$DE$6:$DF$17,2)+1))*(VLOOKUP($A111,CURVES!$D$9:$K$261,6))*(INDEX(DailyScalarsTable,H$5/100,MONTH($A111)))*$B111</f>
        <v>-35623.848540628445</v>
      </c>
      <c r="I111" s="1021">
        <f>(VLOOKUP(YEAR($A111),'NY East Load Projections'!$A$4:$EO$14,((MONTH($A111)-1)*12)+VLOOKUP(I$4,$DE$6:$DF$17,2)+1))*(VLOOKUP($A111,CURVES!$D$9:$K$261,6))*(INDEX(DailyScalarsTable,I$5/100,MONTH($A111)))*$B111</f>
        <v>-33811.703322605958</v>
      </c>
      <c r="J111" s="1021">
        <f>(VLOOKUP(YEAR($A111),'NY East Load Projections'!$A$4:$EO$14,((MONTH($A111)-1)*12)+VLOOKUP(J$4,$DE$6:$DF$17,2)+1))*(VLOOKUP($A111,CURVES!$D$9:$K$261,6))*(INDEX(DailyScalarsTable,J$5/100,MONTH($A111)))*$B111</f>
        <v>-32479.795346626692</v>
      </c>
      <c r="K111" s="1021">
        <f>(VLOOKUP(YEAR($A111),'NY East Load Projections'!$A$4:$EO$14,((MONTH($A111)-1)*12)+VLOOKUP(K$4,$DE$6:$DF$17,2)+1))*(VLOOKUP($A111,CURVES!$D$9:$K$261,6))*(INDEX(DailyScalarsTable,K$5/100,MONTH($A111)))*$B111</f>
        <v>-32498.554613894004</v>
      </c>
      <c r="L111" s="1021">
        <f>(VLOOKUP(YEAR($A111),'NY East Load Projections'!$A$4:$EO$14,((MONTH($A111)-1)*12)+VLOOKUP(L$4,$DE$6:$DF$17,2)+1))*(VLOOKUP($A111,CURVES!$D$9:$K$261,6))*(INDEX(DailyScalarsTable,L$5/100,MONTH($A111)))*$B111</f>
        <v>-37787.063684317778</v>
      </c>
      <c r="M111" s="1021">
        <f>(VLOOKUP(YEAR($A111),'NY East Load Projections'!$A$4:$EO$14,((MONTH($A111)-1)*12)+VLOOKUP(M$4,$DE$6:$DF$17,2)+1))*(VLOOKUP($A111,CURVES!$D$9:$K$261,6))*(INDEX(DailyScalarsTable,M$5/100,MONTH($A111)))*$B111</f>
        <v>-43411.279639058652</v>
      </c>
      <c r="N111" s="1021">
        <f>(VLOOKUP(YEAR($A111),'NY East Load Projections'!$A$4:$EO$14,((MONTH($A111)-1)*12)+VLOOKUP(N$4,$DE$6:$DF$17,2)+1))*(VLOOKUP($A111,CURVES!$D$9:$K$261,6))*(INDEX(DailyScalarsTable,N$5/100,MONTH($A111)))*$B111</f>
        <v>-56119.805320692125</v>
      </c>
      <c r="O111" s="1021">
        <f>(VLOOKUP(YEAR($A111),'NY East Load Projections'!$A$4:$EO$14,((MONTH($A111)-1)*12)+VLOOKUP(O$4,$DE$6:$DF$17,2)+1))*(VLOOKUP($A111,CURVES!$D$9:$K$261,2))*(INDEX(DailyScalarsTable,O$5/100,MONTH($A111)))*$B111</f>
        <v>-66717.514534558504</v>
      </c>
      <c r="P111" s="1021">
        <f>(VLOOKUP(YEAR($A111),'NY East Load Projections'!$A$4:$EO$14,((MONTH($A111)-1)*12)+VLOOKUP(P$4,$DE$6:$DF$17,2)+1))*(VLOOKUP($A111,CURVES!$D$9:$K$261,2))*(INDEX(DailyScalarsTable,P$5/100,MONTH($A111)))*$B111</f>
        <v>-77130.243298463029</v>
      </c>
      <c r="Q111" s="1021">
        <f>(VLOOKUP(YEAR($A111),'NY East Load Projections'!$A$4:$EO$14,((MONTH($A111)-1)*12)+VLOOKUP(Q$4,$DE$6:$DF$17,2)+1))*(VLOOKUP($A111,CURVES!$D$9:$K$261,2))*(INDEX(DailyScalarsTable,Q$5/100,MONTH($A111)))*$B111</f>
        <v>-76891.892732027729</v>
      </c>
      <c r="R111" s="1021">
        <f>(VLOOKUP(YEAR($A111),'NY East Load Projections'!$A$4:$EO$14,((MONTH($A111)-1)*12)+VLOOKUP(R$4,$DE$6:$DF$17,2)+1))*(VLOOKUP($A111,CURVES!$D$9:$K$261,2))*(INDEX(DailyScalarsTable,R$5/100,MONTH($A111)))*$B111</f>
        <v>-76456.051696260329</v>
      </c>
      <c r="S111" s="1021">
        <f>(VLOOKUP(YEAR($A111),'NY East Load Projections'!$A$4:$EO$14,((MONTH($A111)-1)*12)+VLOOKUP(S$4,$DE$6:$DF$17,2)+1))*(VLOOKUP($A111,CURVES!$D$9:$K$261,2))*(INDEX(DailyScalarsTable,S$5/100,MONTH($A111)))*$B111</f>
        <v>-64518.093325943737</v>
      </c>
      <c r="T111" s="1021">
        <f>(VLOOKUP(YEAR($A111),'NY East Load Projections'!$A$4:$EO$14,((MONTH($A111)-1)*12)+VLOOKUP(T$4,$DE$6:$DF$17,2)+1))*(VLOOKUP($A111,CURVES!$D$9:$K$261,2))*(INDEX(DailyScalarsTable,T$5/100,MONTH($A111)))*$B111</f>
        <v>-62361.874031702515</v>
      </c>
      <c r="U111" s="1021">
        <f>(VLOOKUP(YEAR($A111),'NY East Load Projections'!$A$4:$EO$14,((MONTH($A111)-1)*12)+VLOOKUP(U$4,$DE$6:$DF$17,2)+1))*(VLOOKUP($A111,CURVES!$D$9:$K$261,2))*(INDEX(DailyScalarsTable,U$5/100,MONTH($A111)))*$B111</f>
        <v>-60630.962369062821</v>
      </c>
      <c r="V111" s="1021">
        <f>(VLOOKUP(YEAR($A111),'NY East Load Projections'!$A$4:$EO$14,((MONTH($A111)-1)*12)+VLOOKUP(V$4,$DE$6:$DF$17,2)+1))*(VLOOKUP($A111,CURVES!$D$9:$K$261,2))*(INDEX(DailyScalarsTable,V$5/100,MONTH($A111)))*$B111</f>
        <v>-59222.406724566572</v>
      </c>
      <c r="W111" s="1021">
        <f>(VLOOKUP(YEAR($A111),'NY East Load Projections'!$A$4:$EO$14,((MONTH($A111)-1)*12)+VLOOKUP(W$4,$DE$6:$DF$17,2)+1))*(VLOOKUP($A111,CURVES!$D$9:$K$261,2))*(INDEX(DailyScalarsTable,W$5/100,MONTH($A111)))*$B111</f>
        <v>-58815.95783212487</v>
      </c>
      <c r="X111" s="1021">
        <f>(VLOOKUP(YEAR($A111),'NY East Load Projections'!$A$4:$EO$14,((MONTH($A111)-1)*12)+VLOOKUP(X$4,$DE$6:$DF$17,2)+1))*(VLOOKUP($A111,CURVES!$D$9:$K$261,2))*(INDEX(DailyScalarsTable,X$5/100,MONTH($A111)))*$B111</f>
        <v>-59396.835526353745</v>
      </c>
      <c r="Y111" s="1021">
        <f>(VLOOKUP(YEAR($A111),'NY East Load Projections'!$A$4:$EO$14,((MONTH($A111)-1)*12)+VLOOKUP(Y$4,$DE$6:$DF$17,2)+1))*(VLOOKUP($A111,CURVES!$D$9:$K$261,2))*(INDEX(DailyScalarsTable,Y$5/100,MONTH($A111)))*$B111</f>
        <v>-80128.307458607378</v>
      </c>
      <c r="Z111" s="1021">
        <f>(VLOOKUP(YEAR($A111),'NY East Load Projections'!$A$4:$EO$14,((MONTH($A111)-1)*12)+VLOOKUP(Z$4,$DE$6:$DF$17,2)+1))*(VLOOKUP($A111,CURVES!$D$9:$K$261,2))*(INDEX(DailyScalarsTable,Z$5/100,MONTH($A111)))*$B111</f>
        <v>-80755.92689874646</v>
      </c>
      <c r="AA111" s="1021">
        <f>(VLOOKUP(YEAR($A111),'NY East Load Projections'!$A$4:$EO$14,((MONTH($A111)-1)*12)+VLOOKUP(AA$4,$DE$6:$DF$17,2)+1))*(VLOOKUP($A111,CURVES!$D$9:$K$261,2))*(INDEX(DailyScalarsTable,AA$5/100,MONTH($A111)))*$B111</f>
        <v>-77230.575149880155</v>
      </c>
      <c r="AB111" s="1021">
        <f>(VLOOKUP(YEAR($A111),'NY East Load Projections'!$A$4:$EO$14,((MONTH($A111)-1)*12)+VLOOKUP(AB$4,$DE$6:$DF$17,2)+1))*(VLOOKUP($A111,CURVES!$D$9:$K$261,2))*(INDEX(DailyScalarsTable,AB$5/100,MONTH($A111)))*$B111</f>
        <v>-64240.829716566725</v>
      </c>
      <c r="AC111" s="1021">
        <f>(VLOOKUP(YEAR($A111),'NY East Load Projections'!$A$4:$EO$14,((MONTH($A111)-1)*12)+VLOOKUP(AC$4,$DE$6:$DF$17,2)+1))*(VLOOKUP($A111,CURVES!$D$9:$K$261,2))*(INDEX(DailyScalarsTable,AC$5/100,MONTH($A111)))*$B111</f>
        <v>-53290.61999221603</v>
      </c>
      <c r="AD111" s="1021">
        <f>(VLOOKUP(YEAR($A111),'NY East Load Projections'!$A$4:$EO$14,((MONTH($A111)-1)*12)+VLOOKUP(AD$4,$DE$6:$DF$17,2)+1))*(VLOOKUP($A111,CURVES!$D$9:$K$261,2))*(INDEX(DailyScalarsTable,AD$5/100,MONTH($A111)))*$B111</f>
        <v>-45435.557363387074</v>
      </c>
      <c r="AE111" s="1021">
        <f>(VLOOKUP(YEAR($A111),'NY East Load Projections'!$A$4:$EO$14,((MONTH($A111)-1)*12)+VLOOKUP(AE$4,$DE$6:$DF$17,2)+1))*(VLOOKUP($A111,CURVES!$D$9:$K$261,6))*(INDEX(DailyScalarsTable,AE$5/100,MONTH($A111)))*$B111</f>
        <v>-40968.303738108894</v>
      </c>
      <c r="AF111" s="1021"/>
      <c r="AG111" s="1021">
        <f>(VLOOKUP(YEAR($A111),'NY East Load Projections'!$A$4:$EO$14,((MONTH($A111)-1)*12)+VLOOKUP(AG$4,$DE$6:$DF$17,2)+1))*(VLOOKUP($A111,CURVES!$D$9:$T$261,6))*(INDEX(DailyScalarsTable,AG$5/100,MONTH($A111)))*$C111</f>
        <v>-8483.4785911018498</v>
      </c>
      <c r="AH111" s="1021">
        <f>(VLOOKUP(YEAR($A111),'NY East Load Projections'!$A$4:$EO$14,((MONTH($A111)-1)*12)+VLOOKUP(AH$4,$DE$6:$DF$17,2)+1))*(VLOOKUP($A111,CURVES!$D$9:$T$261,6))*(INDEX(DailyScalarsTable,AH$5/100,MONTH($A111)))*$C111</f>
        <v>-8051.93355060662</v>
      </c>
      <c r="AI111" s="1021">
        <f>(VLOOKUP(YEAR($A111),'NY East Load Projections'!$A$4:$EO$14,((MONTH($A111)-1)*12)+VLOOKUP(AI$4,$DE$6:$DF$17,2)+1))*(VLOOKUP($A111,CURVES!$D$9:$T$261,6))*(INDEX(DailyScalarsTable,AI$5/100,MONTH($A111)))*$C111</f>
        <v>-7734.7524131825912</v>
      </c>
      <c r="AJ111" s="1021">
        <f>(VLOOKUP(YEAR($A111),'NY East Load Projections'!$A$4:$EO$14,((MONTH($A111)-1)*12)+VLOOKUP(AJ$4,$DE$6:$DF$17,2)+1))*(VLOOKUP($A111,CURVES!$D$9:$T$261,6))*(INDEX(DailyScalarsTable,AJ$5/100,MONTH($A111)))*$C111</f>
        <v>-7739.2197531463089</v>
      </c>
      <c r="AK111" s="1021">
        <f>(VLOOKUP(YEAR($A111),'NY East Load Projections'!$A$4:$EO$14,((MONTH($A111)-1)*12)+VLOOKUP(AK$4,$DE$6:$DF$17,2)+1))*(VLOOKUP($A111,CURVES!$D$9:$T$261,6))*(INDEX(DailyScalarsTable,AK$5/100,MONTH($A111)))*$C111</f>
        <v>-8397.4817192907649</v>
      </c>
      <c r="AL111" s="1021">
        <f>(VLOOKUP(YEAR($A111),'NY East Load Projections'!$A$4:$EO$14,((MONTH($A111)-1)*12)+VLOOKUP(AL$4,$DE$6:$DF$17,2)+1))*(VLOOKUP($A111,CURVES!$D$9:$T$261,6))*(INDEX(DailyScalarsTable,AL$5/100,MONTH($A111)))*$C111</f>
        <v>-9647.3605418381976</v>
      </c>
      <c r="AM111" s="1021">
        <f>(VLOOKUP(YEAR($A111),'NY East Load Projections'!$A$4:$EO$14,((MONTH($A111)-1)*12)+VLOOKUP(AM$4,$DE$6:$DF$17,2)+1))*(VLOOKUP($A111,CURVES!$D$9:$T$261,6))*(INDEX(DailyScalarsTable,AM$5/100,MONTH($A111)))*$C111</f>
        <v>-12471.59724311289</v>
      </c>
      <c r="AN111" s="1021">
        <f>(VLOOKUP(YEAR($A111),'NY East Load Projections'!$A$4:$EO$14,((MONTH($A111)-1)*12)+VLOOKUP(AN$4,$DE$6:$DF$17,2)+1))*(VLOOKUP($A111,SatSunCurve,2))*(INDEX(DailyScalarsTable,AN$5/100,MONTH($A111)))*$C111</f>
        <v>-11634.603541286528</v>
      </c>
      <c r="AO111" s="1021">
        <f>(VLOOKUP(YEAR($A111),'NY East Load Projections'!$A$4:$EO$14,((MONTH($A111)-1)*12)+VLOOKUP(AO$4,$DE$6:$DF$17,2)+1))*(VLOOKUP($A111,SatSunCurve,2))*(INDEX(DailyScalarsTable,AO$5/100,MONTH($A111)))*$C111</f>
        <v>-13778.600842008009</v>
      </c>
      <c r="AP111" s="1021">
        <f>(VLOOKUP(YEAR($A111),'NY East Load Projections'!$A$4:$EO$14,((MONTH($A111)-1)*12)+VLOOKUP(AP$4,$DE$6:$DF$17,2)+1))*(VLOOKUP($A111,SatSunCurve,2))*(INDEX(DailyScalarsTable,AP$5/100,MONTH($A111)))*$C111</f>
        <v>-13736.021729393644</v>
      </c>
      <c r="AQ111" s="1021">
        <f>(VLOOKUP(YEAR($A111),'NY East Load Projections'!$A$4:$EO$14,((MONTH($A111)-1)*12)+VLOOKUP(AQ$4,$DE$6:$DF$17,2)+1))*(VLOOKUP($A111,SatSunCurve,2))*(INDEX(DailyScalarsTable,AQ$5/100,MONTH($A111)))*$C111</f>
        <v>-13658.162780613095</v>
      </c>
      <c r="AR111" s="1021">
        <f>(VLOOKUP(YEAR($A111),'NY East Load Projections'!$A$4:$EO$14,((MONTH($A111)-1)*12)+VLOOKUP(AR$4,$DE$6:$DF$17,2)+1))*(VLOOKUP($A111,SatSunCurve,2))*(INDEX(DailyScalarsTable,AR$5/100,MONTH($A111)))*$C111</f>
        <v>-11525.557511670835</v>
      </c>
      <c r="AS111" s="1021">
        <f>(VLOOKUP(YEAR($A111),'NY East Load Projections'!$A$4:$EO$14,((MONTH($A111)-1)*12)+VLOOKUP(AS$4,$DE$6:$DF$17,2)+1))*(VLOOKUP($A111,SatSunCurve,2))*(INDEX(DailyScalarsTable,AS$5/100,MONTH($A111)))*$C111</f>
        <v>-11113.063609638088</v>
      </c>
      <c r="AT111" s="1021">
        <f>(VLOOKUP(YEAR($A111),'NY East Load Projections'!$A$4:$EO$14,((MONTH($A111)-1)*12)+VLOOKUP(AT$4,$DE$6:$DF$17,2)+1))*(VLOOKUP($A111,SatSunCurve,2))*(INDEX(DailyScalarsTable,AT$5/100,MONTH($A111)))*$C111</f>
        <v>-10804.610220315624</v>
      </c>
      <c r="AU111" s="1021">
        <f>(VLOOKUP(YEAR($A111),'NY East Load Projections'!$A$4:$EO$14,((MONTH($A111)-1)*12)+VLOOKUP(AU$4,$DE$6:$DF$17,2)+1))*(VLOOKUP($A111,SatSunCurve,2))*(INDEX(DailyScalarsTable,AU$5/100,MONTH($A111)))*$C111</f>
        <v>-10553.601591757668</v>
      </c>
      <c r="AV111" s="1021">
        <f>(VLOOKUP(YEAR($A111),'NY East Load Projections'!$A$4:$EO$14,((MONTH($A111)-1)*12)+VLOOKUP(AV$4,$DE$6:$DF$17,2)+1))*(VLOOKUP($A111,SatSunCurve,2))*(INDEX(DailyScalarsTable,AV$5/100,MONTH($A111)))*$C111</f>
        <v>-10481.171241228509</v>
      </c>
      <c r="AW111" s="1021">
        <f>(VLOOKUP(YEAR($A111),'NY East Load Projections'!$A$4:$EO$14,((MONTH($A111)-1)*12)+VLOOKUP(AW$4,$DE$6:$DF$17,2)+1))*(VLOOKUP($A111,SatSunCurve,2))*(INDEX(DailyScalarsTable,AW$5/100,MONTH($A111)))*$C111</f>
        <v>-10334.047819243608</v>
      </c>
      <c r="AX111" s="1021">
        <f>(VLOOKUP(YEAR($A111),'NY East Load Projections'!$A$4:$EO$14,((MONTH($A111)-1)*12)+VLOOKUP(AX$4,$DE$6:$DF$17,2)+1))*(VLOOKUP($A111,SatSunCurve,2))*(INDEX(DailyScalarsTable,AX$5/100,MONTH($A111)))*$C111</f>
        <v>-13940.974356873037</v>
      </c>
      <c r="AY111" s="1021">
        <f>(VLOOKUP(YEAR($A111),'NY East Load Projections'!$A$4:$EO$14,((MONTH($A111)-1)*12)+VLOOKUP(AY$4,$DE$6:$DF$17,2)+1))*(VLOOKUP($A111,SatSunCurve,2))*(INDEX(DailyScalarsTable,AY$5/100,MONTH($A111)))*$C111</f>
        <v>-14050.169556401916</v>
      </c>
      <c r="AZ111" s="1021">
        <f>(VLOOKUP(YEAR($A111),'NY East Load Projections'!$A$4:$EO$14,((MONTH($A111)-1)*12)+VLOOKUP(AZ$4,$DE$6:$DF$17,2)+1))*(VLOOKUP($A111,SatSunCurve,2))*(INDEX(DailyScalarsTable,AZ$5/100,MONTH($A111)))*$C111</f>
        <v>-13436.817797346092</v>
      </c>
      <c r="BA111" s="1021">
        <f>(VLOOKUP(YEAR($A111),'NY East Load Projections'!$A$4:$EO$14,((MONTH($A111)-1)*12)+VLOOKUP(BA$4,$DE$6:$DF$17,2)+1))*(VLOOKUP($A111,SatSunCurve,2))*(INDEX(DailyScalarsTable,BA$5/100,MONTH($A111)))*$C111</f>
        <v>-11807.492198623728</v>
      </c>
      <c r="BB111" s="1021">
        <f>(VLOOKUP(YEAR($A111),'NY East Load Projections'!$A$4:$EO$14,((MONTH($A111)-1)*12)+VLOOKUP(BB$4,$DE$6:$DF$17,2)+1))*(VLOOKUP($A111,SatSunCurve,2))*(INDEX(DailyScalarsTable,BB$5/100,MONTH($A111)))*$C111</f>
        <v>-9794.838930227017</v>
      </c>
      <c r="BC111" s="1021">
        <f>(VLOOKUP(YEAR($A111),'NY East Load Projections'!$A$4:$EO$14,((MONTH($A111)-1)*12)+VLOOKUP(BC$4,$DE$6:$DF$17,2)+1))*(VLOOKUP($A111,SatSunCurve,2))*(INDEX(DailyScalarsTable,BC$5/100,MONTH($A111)))*$C111</f>
        <v>-8351.0750324254259</v>
      </c>
      <c r="BD111" s="1021">
        <f>(VLOOKUP(YEAR($A111),'NY East Load Projections'!$A$4:$EO$14,((MONTH($A111)-1)*12)+VLOOKUP(BD$4,$DE$6:$DF$17,2)+1))*(VLOOKUP($A111,CURVES!$D$9:$T$261,6))*(INDEX(DailyScalarsTable,BD$5/100,MONTH($A111)))*$C111</f>
        <v>-9595.9659878936109</v>
      </c>
      <c r="BE111" s="1021"/>
      <c r="BF111" s="1021">
        <f>(VLOOKUP(YEAR($A111),'NY East Load Projections'!$A$4:$EO$14,((MONTH($A111)-1)*12)+VLOOKUP(BF$4,$DE$6:$DF$17,2)+1))*(VLOOKUP($A111,CURVES!$D$9:$T$261,6))*(INDEX(DailyScalarsTable,BF$5/100,MONTH($A111)))*$D111</f>
        <v>-6786.7828728814793</v>
      </c>
      <c r="BG111" s="1021">
        <f>(VLOOKUP(YEAR($A111),'NY East Load Projections'!$A$4:$EO$14,((MONTH($A111)-1)*12)+VLOOKUP(BG$4,$DE$6:$DF$17,2)+1))*(VLOOKUP($A111,CURVES!$D$9:$T$261,6))*(INDEX(DailyScalarsTable,BG$5/100,MONTH($A111)))*$D111</f>
        <v>-6441.5468404852963</v>
      </c>
      <c r="BH111" s="1021">
        <f>(VLOOKUP(YEAR($A111),'NY East Load Projections'!$A$4:$EO$14,((MONTH($A111)-1)*12)+VLOOKUP(BH$4,$DE$6:$DF$17,2)+1))*(VLOOKUP($A111,CURVES!$D$9:$T$261,6))*(INDEX(DailyScalarsTable,BH$5/100,MONTH($A111)))*$D111</f>
        <v>-6187.801930546073</v>
      </c>
      <c r="BI111" s="1021">
        <f>(VLOOKUP(YEAR($A111),'NY East Load Projections'!$A$4:$EO$14,((MONTH($A111)-1)*12)+VLOOKUP(BI$4,$DE$6:$DF$17,2)+1))*(VLOOKUP($A111,CURVES!$D$9:$T$261,6))*(INDEX(DailyScalarsTable,BI$5/100,MONTH($A111)))*$D111</f>
        <v>-6191.3758025170473</v>
      </c>
      <c r="BJ111" s="1021">
        <f>(VLOOKUP(YEAR($A111),'NY East Load Projections'!$A$4:$EO$14,((MONTH($A111)-1)*12)+VLOOKUP(BJ$4,$DE$6:$DF$17,2)+1))*(VLOOKUP($A111,CURVES!$D$9:$T$261,6))*(INDEX(DailyScalarsTable,BJ$5/100,MONTH($A111)))*$D111</f>
        <v>-6717.9853754326114</v>
      </c>
      <c r="BK111" s="1021">
        <f>(VLOOKUP(YEAR($A111),'NY East Load Projections'!$A$4:$EO$14,((MONTH($A111)-1)*12)+VLOOKUP(BK$4,$DE$6:$DF$17,2)+1))*(VLOOKUP($A111,CURVES!$D$9:$T$261,6))*(INDEX(DailyScalarsTable,BK$5/100,MONTH($A111)))*$D111</f>
        <v>-7717.8884334705581</v>
      </c>
      <c r="BL111" s="1021">
        <f>(VLOOKUP(YEAR($A111),'NY East Load Projections'!$A$4:$EO$14,((MONTH($A111)-1)*12)+VLOOKUP(BL$4,$DE$6:$DF$17,2)+1))*(VLOOKUP($A111,CURVES!$D$9:$T$261,6))*(INDEX(DailyScalarsTable,BL$5/100,MONTH($A111)))*$D111</f>
        <v>-9977.2777944903119</v>
      </c>
      <c r="BM111" s="1021">
        <f>(VLOOKUP(YEAR($A111),'NY East Load Projections'!$A$4:$EO$14,((MONTH($A111)-1)*12)+VLOOKUP(BM$4,$DE$6:$DF$17,2)+1))*(VLOOKUP($A111,SatSunCurve,6))*(INDEX(DailyScalarsTable,BM$5/100,MONTH($A111)))*$D111</f>
        <v>-7586.8773009511715</v>
      </c>
      <c r="BN111" s="1021">
        <f>(VLOOKUP(YEAR($A111),'NY East Load Projections'!$A$4:$EO$14,((MONTH($A111)-1)*12)+VLOOKUP(BN$4,$DE$6:$DF$17,2)+1))*(VLOOKUP($A111,SatSunCurve,6))*(INDEX(DailyScalarsTable,BN$5/100,MONTH($A111)))*$D111</f>
        <v>-8984.969156545736</v>
      </c>
      <c r="BO111" s="1021">
        <f>(VLOOKUP(YEAR($A111),'NY East Load Projections'!$A$4:$EO$14,((MONTH($A111)-1)*12)+VLOOKUP(BO$4,$DE$6:$DF$17,2)+1))*(VLOOKUP($A111,SatSunCurve,6))*(INDEX(DailyScalarsTable,BO$5/100,MONTH($A111)))*$D111</f>
        <v>-8957.2034916614775</v>
      </c>
      <c r="BP111" s="1021">
        <f>(VLOOKUP(YEAR($A111),'NY East Load Projections'!$A$4:$EO$14,((MONTH($A111)-1)*12)+VLOOKUP(BP$4,$DE$6:$DF$17,2)+1))*(VLOOKUP($A111,SatSunCurve,6))*(INDEX(DailyScalarsTable,BP$5/100,MONTH($A111)))*$D111</f>
        <v>-8906.4319901588351</v>
      </c>
      <c r="BQ111" s="1021">
        <f>(VLOOKUP(YEAR($A111),'NY East Load Projections'!$A$4:$EO$14,((MONTH($A111)-1)*12)+VLOOKUP(BQ$4,$DE$6:$DF$17,2)+1))*(VLOOKUP($A111,SatSunCurve,6))*(INDEX(DailyScalarsTable,BQ$5/100,MONTH($A111)))*$D111</f>
        <v>-7515.7688318130231</v>
      </c>
      <c r="BR111" s="1021">
        <f>(VLOOKUP(YEAR($A111),'NY East Load Projections'!$A$4:$EO$14,((MONTH($A111)-1)*12)+VLOOKUP(BR$4,$DE$6:$DF$17,2)+1))*(VLOOKUP($A111,SatSunCurve,6))*(INDEX(DailyScalarsTable,BR$5/100,MONTH($A111)))*$D111</f>
        <v>-7246.7832483328875</v>
      </c>
      <c r="BS111" s="1021">
        <f>(VLOOKUP(YEAR($A111),'NY East Load Projections'!$A$4:$EO$14,((MONTH($A111)-1)*12)+VLOOKUP(BS$4,$DE$6:$DF$17,2)+1))*(VLOOKUP($A111,SatSunCurve,6))*(INDEX(DailyScalarsTable,BS$5/100,MONTH($A111)))*$D111</f>
        <v>-7045.6420569250631</v>
      </c>
      <c r="BT111" s="1021">
        <f>(VLOOKUP(YEAR($A111),'NY East Load Projections'!$A$4:$EO$14,((MONTH($A111)-1)*12)+VLOOKUP(BT$4,$DE$6:$DF$17,2)+1))*(VLOOKUP($A111,SatSunCurve,6))*(INDEX(DailyScalarsTable,BT$5/100,MONTH($A111)))*$D111</f>
        <v>-6881.9603586539188</v>
      </c>
      <c r="BU111" s="1021">
        <f>(VLOOKUP(YEAR($A111),'NY East Load Projections'!$A$4:$EO$14,((MONTH($A111)-1)*12)+VLOOKUP(BU$4,$DE$6:$DF$17,2)+1))*(VLOOKUP($A111,SatSunCurve,6))*(INDEX(DailyScalarsTable,BU$5/100,MONTH($A111)))*$D111</f>
        <v>-6834.7288238294104</v>
      </c>
      <c r="BV111" s="1021">
        <f>(VLOOKUP(YEAR($A111),'NY East Load Projections'!$A$4:$EO$14,((MONTH($A111)-1)*12)+VLOOKUP(BV$4,$DE$6:$DF$17,2)+1))*(VLOOKUP($A111,SatSunCurve,6))*(INDEX(DailyScalarsTable,BV$5/100,MONTH($A111)))*$D111</f>
        <v>-6738.790243134802</v>
      </c>
      <c r="BW111" s="1021">
        <f>(VLOOKUP(YEAR($A111),'NY East Load Projections'!$A$4:$EO$14,((MONTH($A111)-1)*12)+VLOOKUP(BW$4,$DE$6:$DF$17,2)+1))*(VLOOKUP($A111,SatSunCurve,6))*(INDEX(DailyScalarsTable,BW$5/100,MONTH($A111)))*$D111</f>
        <v>-9090.8522603260753</v>
      </c>
      <c r="BX111" s="1021">
        <f>(VLOOKUP(YEAR($A111),'NY East Load Projections'!$A$4:$EO$14,((MONTH($A111)-1)*12)+VLOOKUP(BX$4,$DE$6:$DF$17,2)+1))*(VLOOKUP($A111,SatSunCurve,6))*(INDEX(DailyScalarsTable,BX$5/100,MONTH($A111)))*$D111</f>
        <v>-9162.0580025534437</v>
      </c>
      <c r="BY111" s="1021">
        <f>(VLOOKUP(YEAR($A111),'NY East Load Projections'!$A$4:$EO$14,((MONTH($A111)-1)*12)+VLOOKUP(BY$4,$DE$6:$DF$17,2)+1))*(VLOOKUP($A111,SatSunCurve,6))*(INDEX(DailyScalarsTable,BY$5/100,MONTH($A111)))*$D111</f>
        <v>-8762.0938334465227</v>
      </c>
      <c r="BZ111" s="1021">
        <f>(VLOOKUP(YEAR($A111),'NY East Load Projections'!$A$4:$EO$14,((MONTH($A111)-1)*12)+VLOOKUP(BZ$4,$DE$6:$DF$17,2)+1))*(VLOOKUP($A111,SatSunCurve,6))*(INDEX(DailyScalarsTable,BZ$5/100,MONTH($A111)))*$D111</f>
        <v>-7699.6172860558509</v>
      </c>
      <c r="CA111" s="1021">
        <f>(VLOOKUP(YEAR($A111),'NY East Load Projections'!$A$4:$EO$14,((MONTH($A111)-1)*12)+VLOOKUP(CA$4,$DE$6:$DF$17,2)+1))*(VLOOKUP($A111,SatSunCurve,6))*(INDEX(DailyScalarsTable,CA$5/100,MONTH($A111)))*$D111</f>
        <v>-6387.1743358085168</v>
      </c>
      <c r="CB111" s="1021">
        <f>(VLOOKUP(YEAR($A111),'NY East Load Projections'!$A$4:$EO$14,((MONTH($A111)-1)*12)+VLOOKUP(CB$4,$DE$6:$DF$17,2)+1))*(VLOOKUP($A111,SatSunCurve,6))*(INDEX(DailyScalarsTable,CB$5/100,MONTH($A111)))*$D111</f>
        <v>-5445.7018133204447</v>
      </c>
      <c r="CC111" s="1021">
        <f>(VLOOKUP(YEAR($A111),'NY East Load Projections'!$A$4:$EO$14,((MONTH($A111)-1)*12)+VLOOKUP(CC$4,$DE$6:$DF$17,2)+1))*(VLOOKUP($A111,CURVES!$D$9:$T$261,6))*(INDEX(DailyScalarsTable,CC$5/100,MONTH($A111)))*$D111</f>
        <v>-7676.7727903148889</v>
      </c>
      <c r="CE111" s="1021">
        <f>(VLOOKUP(YEAR($A111),'NY East Load Projections'!$A$4:$EO$14,((MONTH($A111)-1)*12)+VLOOKUP(CE$4,$DE$6:$DF$17,2)+1))*(VLOOKUP($A111,CURVES!$D$9:$T$261,6))*(INDEX(DailyScalarsTable,CE$5/100,MONTH($A111)))*$E111</f>
        <v>0</v>
      </c>
      <c r="CF111" s="1021">
        <f>(VLOOKUP(YEAR($A111),'NY East Load Projections'!$A$4:$EO$14,((MONTH($A111)-1)*12)+VLOOKUP(CF$4,$DE$6:$DF$17,2)+1))*(VLOOKUP($A111,CURVES!$D$9:$T$261,6))*(INDEX(DailyScalarsTable,CF$5/100,MONTH($A111)))*$E111</f>
        <v>0</v>
      </c>
      <c r="CG111" s="1021">
        <f>(VLOOKUP(YEAR($A111),'NY East Load Projections'!$A$4:$EO$14,((MONTH($A111)-1)*12)+VLOOKUP(CG$4,$DE$6:$DF$17,2)+1))*(VLOOKUP($A111,CURVES!$D$9:$T$261,6))*(INDEX(DailyScalarsTable,CG$5/100,MONTH($A111)))*$E111</f>
        <v>0</v>
      </c>
      <c r="CH111" s="1021">
        <f>(VLOOKUP(YEAR($A111),'NY East Load Projections'!$A$4:$EO$14,((MONTH($A111)-1)*12)+VLOOKUP(CH$4,$DE$6:$DF$17,2)+1))*(VLOOKUP($A111,CURVES!$D$9:$T$261,6))*(INDEX(DailyScalarsTable,CH$5/100,MONTH($A111)))*$E111</f>
        <v>0</v>
      </c>
      <c r="CI111" s="1021">
        <f>(VLOOKUP(YEAR($A111),'NY East Load Projections'!$A$4:$EO$14,((MONTH($A111)-1)*12)+VLOOKUP(CI$4,$DE$6:$DF$17,2)+1))*(VLOOKUP($A111,CURVES!$D$9:$T$261,6))*(INDEX(DailyScalarsTable,CI$5/100,MONTH($A111)))*$E111</f>
        <v>0</v>
      </c>
      <c r="CJ111" s="1021">
        <f>(VLOOKUP(YEAR($A111),'NY East Load Projections'!$A$4:$EO$14,((MONTH($A111)-1)*12)+VLOOKUP(CJ$4,$DE$6:$DF$17,2)+1))*(VLOOKUP($A111,CURVES!$D$9:$T$261,6))*(INDEX(DailyScalarsTable,CJ$5/100,MONTH($A111)))*$E111</f>
        <v>0</v>
      </c>
      <c r="CK111" s="1021">
        <f>(VLOOKUP(YEAR($A111),'NY East Load Projections'!$A$4:$EO$14,((MONTH($A111)-1)*12)+VLOOKUP(CK$4,$DE$6:$DF$17,2)+1))*(VLOOKUP($A111,CURVES!$D$9:$T$261,6))*(INDEX(DailyScalarsTable,CK$5/100,MONTH($A111)))*$E111</f>
        <v>0</v>
      </c>
      <c r="CL111" s="1021">
        <f>(VLOOKUP(YEAR($A111),'NY East Load Projections'!$A$4:$EO$14,((MONTH($A111)-1)*12)+VLOOKUP(CL$4,$DE$6:$DF$17,2)+1))*(VLOOKUP($A111,SatSunCurve,6))*(INDEX(DailyScalarsTable,CL$5/100,MONTH($A111)))*$E111</f>
        <v>0</v>
      </c>
      <c r="CM111" s="1021">
        <f>(VLOOKUP(YEAR($A111),'NY East Load Projections'!$A$4:$EO$14,((MONTH($A111)-1)*12)+VLOOKUP(CM$4,$DE$6:$DF$17,2)+1))*(VLOOKUP($A111,SatSunCurve,6))*(INDEX(DailyScalarsTable,CM$5/100,MONTH($A111)))*$E111</f>
        <v>0</v>
      </c>
      <c r="CN111" s="1021">
        <f>(VLOOKUP(YEAR($A111),'NY East Load Projections'!$A$4:$EO$14,((MONTH($A111)-1)*12)+VLOOKUP(CN$4,$DE$6:$DF$17,2)+1))*(VLOOKUP($A111,SatSunCurve,6))*(INDEX(DailyScalarsTable,CN$5/100,MONTH($A111)))*$E111</f>
        <v>0</v>
      </c>
      <c r="CO111" s="1021">
        <f>(VLOOKUP(YEAR($A111),'NY East Load Projections'!$A$4:$EO$14,((MONTH($A111)-1)*12)+VLOOKUP(CO$4,$DE$6:$DF$17,2)+1))*(VLOOKUP($A111,SatSunCurve,6))*(INDEX(DailyScalarsTable,CO$5/100,MONTH($A111)))*$E111</f>
        <v>0</v>
      </c>
      <c r="CP111" s="1021">
        <f>(VLOOKUP(YEAR($A111),'NY East Load Projections'!$A$4:$EO$14,((MONTH($A111)-1)*12)+VLOOKUP(CP$4,$DE$6:$DF$17,2)+1))*(VLOOKUP($A111,SatSunCurve,6))*(INDEX(DailyScalarsTable,CP$5/100,MONTH($A111)))*$E111</f>
        <v>0</v>
      </c>
      <c r="CQ111" s="1021">
        <f>(VLOOKUP(YEAR($A111),'NY East Load Projections'!$A$4:$EO$14,((MONTH($A111)-1)*12)+VLOOKUP(CQ$4,$DE$6:$DF$17,2)+1))*(VLOOKUP($A111,SatSunCurve,6))*(INDEX(DailyScalarsTable,CQ$5/100,MONTH($A111)))*$E111</f>
        <v>0</v>
      </c>
      <c r="CR111" s="1021">
        <f>(VLOOKUP(YEAR($A111),'NY East Load Projections'!$A$4:$EO$14,((MONTH($A111)-1)*12)+VLOOKUP(CR$4,$DE$6:$DF$17,2)+1))*(VLOOKUP($A111,SatSunCurve,6))*(INDEX(DailyScalarsTable,CR$5/100,MONTH($A111)))*$E111</f>
        <v>0</v>
      </c>
      <c r="CS111" s="1021">
        <f>(VLOOKUP(YEAR($A111),'NY East Load Projections'!$A$4:$EO$14,((MONTH($A111)-1)*12)+VLOOKUP(CS$4,$DE$6:$DF$17,2)+1))*(VLOOKUP($A111,SatSunCurve,6))*(INDEX(DailyScalarsTable,CS$5/100,MONTH($A111)))*$E111</f>
        <v>0</v>
      </c>
      <c r="CT111" s="1021">
        <f>(VLOOKUP(YEAR($A111),'NY East Load Projections'!$A$4:$EO$14,((MONTH($A111)-1)*12)+VLOOKUP(CT$4,$DE$6:$DF$17,2)+1))*(VLOOKUP($A111,SatSunCurve,6))*(INDEX(DailyScalarsTable,CT$5/100,MONTH($A111)))*$E111</f>
        <v>0</v>
      </c>
      <c r="CU111" s="1021">
        <f>(VLOOKUP(YEAR($A111),'NY East Load Projections'!$A$4:$EO$14,((MONTH($A111)-1)*12)+VLOOKUP(CU$4,$DE$6:$DF$17,2)+1))*(VLOOKUP($A111,SatSunCurve,6))*(INDEX(DailyScalarsTable,CU$5/100,MONTH($A111)))*$E111</f>
        <v>0</v>
      </c>
      <c r="CV111" s="1021">
        <f>(VLOOKUP(YEAR($A111),'NY East Load Projections'!$A$4:$EO$14,((MONTH($A111)-1)*12)+VLOOKUP(CV$4,$DE$6:$DF$17,2)+1))*(VLOOKUP($A111,SatSunCurve,6))*(INDEX(DailyScalarsTable,CV$5/100,MONTH($A111)))*$E111</f>
        <v>0</v>
      </c>
      <c r="CW111" s="1021">
        <f>(VLOOKUP(YEAR($A111),'NY East Load Projections'!$A$4:$EO$14,((MONTH($A111)-1)*12)+VLOOKUP(CW$4,$DE$6:$DF$17,2)+1))*(VLOOKUP($A111,SatSunCurve,6))*(INDEX(DailyScalarsTable,CW$5/100,MONTH($A111)))*$E111</f>
        <v>0</v>
      </c>
      <c r="CX111" s="1021">
        <f>(VLOOKUP(YEAR($A111),'NY East Load Projections'!$A$4:$EO$14,((MONTH($A111)-1)*12)+VLOOKUP(CX$4,$DE$6:$DF$17,2)+1))*(VLOOKUP($A111,SatSunCurve,6))*(INDEX(DailyScalarsTable,CX$5/100,MONTH($A111)))*$E111</f>
        <v>0</v>
      </c>
      <c r="CY111" s="1021">
        <f>(VLOOKUP(YEAR($A111),'NY East Load Projections'!$A$4:$EO$14,((MONTH($A111)-1)*12)+VLOOKUP(CY$4,$DE$6:$DF$17,2)+1))*(VLOOKUP($A111,SatSunCurve,6))*(INDEX(DailyScalarsTable,CY$5/100,MONTH($A111)))*$E111</f>
        <v>0</v>
      </c>
      <c r="CZ111" s="1021">
        <f>(VLOOKUP(YEAR($A111),'NY East Load Projections'!$A$4:$EO$14,((MONTH($A111)-1)*12)+VLOOKUP(CZ$4,$DE$6:$DF$17,2)+1))*(VLOOKUP($A111,SatSunCurve,6))*(INDEX(DailyScalarsTable,CZ$5/100,MONTH($A111)))*$E111</f>
        <v>0</v>
      </c>
      <c r="DA111" s="1021">
        <f>(VLOOKUP(YEAR($A111),'NY East Load Projections'!$A$4:$EO$14,((MONTH($A111)-1)*12)+VLOOKUP(DA$4,$DE$6:$DF$17,2)+1))*(VLOOKUP($A111,SatSunCurve,6))*(INDEX(DailyScalarsTable,DA$5/100,MONTH($A111)))*$E111</f>
        <v>0</v>
      </c>
      <c r="DB111" s="1021">
        <f>(VLOOKUP(YEAR($A111),'NY East Load Projections'!$A$4:$EO$14,((MONTH($A111)-1)*12)+VLOOKUP(DB$4,$DE$6:$DF$17,2)+1))*(VLOOKUP($A111,CURVES!$D$9:$T$261,6))*(INDEX(DailyScalarsTable,DB$5/100,MONTH($A111)))*$E111</f>
        <v>0</v>
      </c>
      <c r="DH111" s="1021">
        <f t="shared" si="2"/>
        <v>-1817990.6862892807</v>
      </c>
      <c r="DI111">
        <f ca="1">CALC!J131</f>
        <v>0.49289551418382949</v>
      </c>
      <c r="DJ111" s="1029">
        <f t="shared" ca="1" si="3"/>
        <v>-896079.45409996808</v>
      </c>
    </row>
    <row r="112" spans="1:114" x14ac:dyDescent="0.25">
      <c r="A112" s="244">
        <v>40118</v>
      </c>
      <c r="B112" s="13">
        <v>20</v>
      </c>
      <c r="C112" s="210">
        <v>4</v>
      </c>
      <c r="D112" s="210">
        <v>5</v>
      </c>
      <c r="E112" s="210">
        <v>1</v>
      </c>
      <c r="F112" s="13">
        <v>30</v>
      </c>
      <c r="H112" s="1021">
        <f>(VLOOKUP(YEAR($A112),'NY East Load Projections'!$A$4:$EO$14,((MONTH($A112)-1)*12)+VLOOKUP(H$4,$DE$6:$DF$17,2)+1))*(VLOOKUP($A112,CURVES!$D$9:$K$261,6))*(INDEX(DailyScalarsTable,H$5/100,MONTH($A112)))*$B112</f>
        <v>-30290.879997766511</v>
      </c>
      <c r="I112" s="1021">
        <f>(VLOOKUP(YEAR($A112),'NY East Load Projections'!$A$4:$EO$14,((MONTH($A112)-1)*12)+VLOOKUP(I$4,$DE$6:$DF$17,2)+1))*(VLOOKUP($A112,CURVES!$D$9:$K$261,6))*(INDEX(DailyScalarsTable,I$5/100,MONTH($A112)))*$B112</f>
        <v>-28716.862242099891</v>
      </c>
      <c r="J112" s="1021">
        <f>(VLOOKUP(YEAR($A112),'NY East Load Projections'!$A$4:$EO$14,((MONTH($A112)-1)*12)+VLOOKUP(J$4,$DE$6:$DF$17,2)+1))*(VLOOKUP($A112,CURVES!$D$9:$K$261,6))*(INDEX(DailyScalarsTable,J$5/100,MONTH($A112)))*$B112</f>
        <v>-27559.975485864594</v>
      </c>
      <c r="K112" s="1021">
        <f>(VLOOKUP(YEAR($A112),'NY East Load Projections'!$A$4:$EO$14,((MONTH($A112)-1)*12)+VLOOKUP(K$4,$DE$6:$DF$17,2)+1))*(VLOOKUP($A112,CURVES!$D$9:$K$261,6))*(INDEX(DailyScalarsTable,K$5/100,MONTH($A112)))*$B112</f>
        <v>-27576.269665529875</v>
      </c>
      <c r="L112" s="1021">
        <f>(VLOOKUP(YEAR($A112),'NY East Load Projections'!$A$4:$EO$14,((MONTH($A112)-1)*12)+VLOOKUP(L$4,$DE$6:$DF$17,2)+1))*(VLOOKUP($A112,CURVES!$D$9:$K$261,6))*(INDEX(DailyScalarsTable,L$5/100,MONTH($A112)))*$B112</f>
        <v>-31497.591063341577</v>
      </c>
      <c r="M112" s="1021">
        <f>(VLOOKUP(YEAR($A112),'NY East Load Projections'!$A$4:$EO$14,((MONTH($A112)-1)*12)+VLOOKUP(M$4,$DE$6:$DF$17,2)+1))*(VLOOKUP($A112,CURVES!$D$9:$K$261,6))*(INDEX(DailyScalarsTable,M$5/100,MONTH($A112)))*$B112</f>
        <v>-36289.11649923215</v>
      </c>
      <c r="N112" s="1021">
        <f>(VLOOKUP(YEAR($A112),'NY East Load Projections'!$A$4:$EO$14,((MONTH($A112)-1)*12)+VLOOKUP(N$4,$DE$6:$DF$17,2)+1))*(VLOOKUP($A112,CURVES!$D$9:$K$261,6))*(INDEX(DailyScalarsTable,N$5/100,MONTH($A112)))*$B112</f>
        <v>-51980.580508283514</v>
      </c>
      <c r="O112" s="1021">
        <f>(VLOOKUP(YEAR($A112),'NY East Load Projections'!$A$4:$EO$14,((MONTH($A112)-1)*12)+VLOOKUP(O$4,$DE$6:$DF$17,2)+1))*(VLOOKUP($A112,CURVES!$D$9:$K$261,2))*(INDEX(DailyScalarsTable,O$5/100,MONTH($A112)))*$B112</f>
        <v>-58331.419123952597</v>
      </c>
      <c r="P112" s="1021">
        <f>(VLOOKUP(YEAR($A112),'NY East Load Projections'!$A$4:$EO$14,((MONTH($A112)-1)*12)+VLOOKUP(P$4,$DE$6:$DF$17,2)+1))*(VLOOKUP($A112,CURVES!$D$9:$K$261,2))*(INDEX(DailyScalarsTable,P$5/100,MONTH($A112)))*$B112</f>
        <v>-66135.167227524304</v>
      </c>
      <c r="Q112" s="1021">
        <f>(VLOOKUP(YEAR($A112),'NY East Load Projections'!$A$4:$EO$14,((MONTH($A112)-1)*12)+VLOOKUP(Q$4,$DE$6:$DF$17,2)+1))*(VLOOKUP($A112,CURVES!$D$9:$K$261,2))*(INDEX(DailyScalarsTable,Q$5/100,MONTH($A112)))*$B112</f>
        <v>-65706.84564737053</v>
      </c>
      <c r="R112" s="1021">
        <f>(VLOOKUP(YEAR($A112),'NY East Load Projections'!$A$4:$EO$14,((MONTH($A112)-1)*12)+VLOOKUP(R$4,$DE$6:$DF$17,2)+1))*(VLOOKUP($A112,CURVES!$D$9:$K$261,2))*(INDEX(DailyScalarsTable,R$5/100,MONTH($A112)))*$B112</f>
        <v>-64439.245295293884</v>
      </c>
      <c r="S112" s="1021">
        <f>(VLOOKUP(YEAR($A112),'NY East Load Projections'!$A$4:$EO$14,((MONTH($A112)-1)*12)+VLOOKUP(S$4,$DE$6:$DF$17,2)+1))*(VLOOKUP($A112,CURVES!$D$9:$K$261,2))*(INDEX(DailyScalarsTable,S$5/100,MONTH($A112)))*$B112</f>
        <v>-54257.925572449909</v>
      </c>
      <c r="T112" s="1021">
        <f>(VLOOKUP(YEAR($A112),'NY East Load Projections'!$A$4:$EO$14,((MONTH($A112)-1)*12)+VLOOKUP(T$4,$DE$6:$DF$17,2)+1))*(VLOOKUP($A112,CURVES!$D$9:$K$261,2))*(INDEX(DailyScalarsTable,T$5/100,MONTH($A112)))*$B112</f>
        <v>-52356.945728339299</v>
      </c>
      <c r="U112" s="1021">
        <f>(VLOOKUP(YEAR($A112),'NY East Load Projections'!$A$4:$EO$14,((MONTH($A112)-1)*12)+VLOOKUP(U$4,$DE$6:$DF$17,2)+1))*(VLOOKUP($A112,CURVES!$D$9:$K$261,2))*(INDEX(DailyScalarsTable,U$5/100,MONTH($A112)))*$B112</f>
        <v>-50951.509536515034</v>
      </c>
      <c r="V112" s="1021">
        <f>(VLOOKUP(YEAR($A112),'NY East Load Projections'!$A$4:$EO$14,((MONTH($A112)-1)*12)+VLOOKUP(V$4,$DE$6:$DF$17,2)+1))*(VLOOKUP($A112,CURVES!$D$9:$K$261,2))*(INDEX(DailyScalarsTable,V$5/100,MONTH($A112)))*$B112</f>
        <v>-49759.55732319571</v>
      </c>
      <c r="W112" s="1021">
        <f>(VLOOKUP(YEAR($A112),'NY East Load Projections'!$A$4:$EO$14,((MONTH($A112)-1)*12)+VLOOKUP(W$4,$DE$6:$DF$17,2)+1))*(VLOOKUP($A112,CURVES!$D$9:$K$261,2))*(INDEX(DailyScalarsTable,W$5/100,MONTH($A112)))*$B112</f>
        <v>-48941.202072260072</v>
      </c>
      <c r="X112" s="1021">
        <f>(VLOOKUP(YEAR($A112),'NY East Load Projections'!$A$4:$EO$14,((MONTH($A112)-1)*12)+VLOOKUP(X$4,$DE$6:$DF$17,2)+1))*(VLOOKUP($A112,CURVES!$D$9:$K$261,2))*(INDEX(DailyScalarsTable,X$5/100,MONTH($A112)))*$B112</f>
        <v>-50607.534485402219</v>
      </c>
      <c r="Y112" s="1021">
        <f>(VLOOKUP(YEAR($A112),'NY East Load Projections'!$A$4:$EO$14,((MONTH($A112)-1)*12)+VLOOKUP(Y$4,$DE$6:$DF$17,2)+1))*(VLOOKUP($A112,CURVES!$D$9:$K$261,2))*(INDEX(DailyScalarsTable,Y$5/100,MONTH($A112)))*$B112</f>
        <v>-69472.626011936649</v>
      </c>
      <c r="Z112" s="1021">
        <f>(VLOOKUP(YEAR($A112),'NY East Load Projections'!$A$4:$EO$14,((MONTH($A112)-1)*12)+VLOOKUP(Z$4,$DE$6:$DF$17,2)+1))*(VLOOKUP($A112,CURVES!$D$9:$K$261,2))*(INDEX(DailyScalarsTable,Z$5/100,MONTH($A112)))*$B112</f>
        <v>-70032.014505007872</v>
      </c>
      <c r="AA112" s="1021">
        <f>(VLOOKUP(YEAR($A112),'NY East Load Projections'!$A$4:$EO$14,((MONTH($A112)-1)*12)+VLOOKUP(AA$4,$DE$6:$DF$17,2)+1))*(VLOOKUP($A112,CURVES!$D$9:$K$261,2))*(INDEX(DailyScalarsTable,AA$5/100,MONTH($A112)))*$B112</f>
        <v>-67166.575489479801</v>
      </c>
      <c r="AB112" s="1021">
        <f>(VLOOKUP(YEAR($A112),'NY East Load Projections'!$A$4:$EO$14,((MONTH($A112)-1)*12)+VLOOKUP(AB$4,$DE$6:$DF$17,2)+1))*(VLOOKUP($A112,CURVES!$D$9:$K$261,2))*(INDEX(DailyScalarsTable,AB$5/100,MONTH($A112)))*$B112</f>
        <v>-57085.804575909868</v>
      </c>
      <c r="AC112" s="1021">
        <f>(VLOOKUP(YEAR($A112),'NY East Load Projections'!$A$4:$EO$14,((MONTH($A112)-1)*12)+VLOOKUP(AC$4,$DE$6:$DF$17,2)+1))*(VLOOKUP($A112,CURVES!$D$9:$K$261,2))*(INDEX(DailyScalarsTable,AC$5/100,MONTH($A112)))*$B112</f>
        <v>-45410.711657317595</v>
      </c>
      <c r="AD112" s="1021">
        <f>(VLOOKUP(YEAR($A112),'NY East Load Projections'!$A$4:$EO$14,((MONTH($A112)-1)*12)+VLOOKUP(AD$4,$DE$6:$DF$17,2)+1))*(VLOOKUP($A112,CURVES!$D$9:$K$261,2))*(INDEX(DailyScalarsTable,AD$5/100,MONTH($A112)))*$B112</f>
        <v>-38296.61148195625</v>
      </c>
      <c r="AE112" s="1021">
        <f>(VLOOKUP(YEAR($A112),'NY East Load Projections'!$A$4:$EO$14,((MONTH($A112)-1)*12)+VLOOKUP(AE$4,$DE$6:$DF$17,2)+1))*(VLOOKUP($A112,CURVES!$D$9:$K$261,6))*(INDEX(DailyScalarsTable,AE$5/100,MONTH($A112)))*$B112</f>
        <v>-35150.811053484664</v>
      </c>
      <c r="AF112" s="1021"/>
      <c r="AG112" s="1021">
        <f>(VLOOKUP(YEAR($A112),'NY East Load Projections'!$A$4:$EO$14,((MONTH($A112)-1)*12)+VLOOKUP(AG$4,$DE$6:$DF$17,2)+1))*(VLOOKUP($A112,CURVES!$D$9:$T$261,6))*(INDEX(DailyScalarsTable,AG$5/100,MONTH($A112)))*$C112</f>
        <v>-6284.1207429779397</v>
      </c>
      <c r="AH112" s="1021">
        <f>(VLOOKUP(YEAR($A112),'NY East Load Projections'!$A$4:$EO$14,((MONTH($A112)-1)*12)+VLOOKUP(AH$4,$DE$6:$DF$17,2)+1))*(VLOOKUP($A112,CURVES!$D$9:$T$261,6))*(INDEX(DailyScalarsTable,AH$5/100,MONTH($A112)))*$C112</f>
        <v>-5957.5763299754281</v>
      </c>
      <c r="AI112" s="1021">
        <f>(VLOOKUP(YEAR($A112),'NY East Load Projections'!$A$4:$EO$14,((MONTH($A112)-1)*12)+VLOOKUP(AI$4,$DE$6:$DF$17,2)+1))*(VLOOKUP($A112,CURVES!$D$9:$T$261,6))*(INDEX(DailyScalarsTable,AI$5/100,MONTH($A112)))*$C112</f>
        <v>-5717.5695667955288</v>
      </c>
      <c r="AJ112" s="1021">
        <f>(VLOOKUP(YEAR($A112),'NY East Load Projections'!$A$4:$EO$14,((MONTH($A112)-1)*12)+VLOOKUP(AJ$4,$DE$6:$DF$17,2)+1))*(VLOOKUP($A112,CURVES!$D$9:$T$261,6))*(INDEX(DailyScalarsTable,AJ$5/100,MONTH($A112)))*$C112</f>
        <v>-5720.9499437417235</v>
      </c>
      <c r="AK112" s="1021">
        <f>(VLOOKUP(YEAR($A112),'NY East Load Projections'!$A$4:$EO$14,((MONTH($A112)-1)*12)+VLOOKUP(AK$4,$DE$6:$DF$17,2)+1))*(VLOOKUP($A112,CURVES!$D$9:$T$261,6))*(INDEX(DailyScalarsTable,AK$5/100,MONTH($A112)))*$C112</f>
        <v>-6205.2194180101278</v>
      </c>
      <c r="AL112" s="1021">
        <f>(VLOOKUP(YEAR($A112),'NY East Load Projections'!$A$4:$EO$14,((MONTH($A112)-1)*12)+VLOOKUP(AL$4,$DE$6:$DF$17,2)+1))*(VLOOKUP($A112,CURVES!$D$9:$T$261,6))*(INDEX(DailyScalarsTable,AL$5/100,MONTH($A112)))*$C112</f>
        <v>-7149.1794375838699</v>
      </c>
      <c r="AM112" s="1021">
        <f>(VLOOKUP(YEAR($A112),'NY East Load Projections'!$A$4:$EO$14,((MONTH($A112)-1)*12)+VLOOKUP(AM$4,$DE$6:$DF$17,2)+1))*(VLOOKUP($A112,CURVES!$D$9:$T$261,6))*(INDEX(DailyScalarsTable,AM$5/100,MONTH($A112)))*$C112</f>
        <v>-10240.4944835556</v>
      </c>
      <c r="AN112" s="1021">
        <f>(VLOOKUP(YEAR($A112),'NY East Load Projections'!$A$4:$EO$14,((MONTH($A112)-1)*12)+VLOOKUP(AN$4,$DE$6:$DF$17,2)+1))*(VLOOKUP($A112,SatSunCurve,2))*(INDEX(DailyScalarsTable,AN$5/100,MONTH($A112)))*$C112</f>
        <v>-9290.187434623751</v>
      </c>
      <c r="AO112" s="1021">
        <f>(VLOOKUP(YEAR($A112),'NY East Load Projections'!$A$4:$EO$14,((MONTH($A112)-1)*12)+VLOOKUP(AO$4,$DE$6:$DF$17,2)+1))*(VLOOKUP($A112,SatSunCurve,2))*(INDEX(DailyScalarsTable,AO$5/100,MONTH($A112)))*$C112</f>
        <v>-10579.697196455711</v>
      </c>
      <c r="AP112" s="1021">
        <f>(VLOOKUP(YEAR($A112),'NY East Load Projections'!$A$4:$EO$14,((MONTH($A112)-1)*12)+VLOOKUP(AP$4,$DE$6:$DF$17,2)+1))*(VLOOKUP($A112,SatSunCurve,2))*(INDEX(DailyScalarsTable,AP$5/100,MONTH($A112)))*$C112</f>
        <v>-10511.178240343534</v>
      </c>
      <c r="AQ112" s="1021">
        <f>(VLOOKUP(YEAR($A112),'NY East Load Projections'!$A$4:$EO$14,((MONTH($A112)-1)*12)+VLOOKUP(AQ$4,$DE$6:$DF$17,2)+1))*(VLOOKUP($A112,SatSunCurve,2))*(INDEX(DailyScalarsTable,AQ$5/100,MONTH($A112)))*$C112</f>
        <v>-10308.399167525067</v>
      </c>
      <c r="AR112" s="1021">
        <f>(VLOOKUP(YEAR($A112),'NY East Load Projections'!$A$4:$EO$14,((MONTH($A112)-1)*12)+VLOOKUP(AR$4,$DE$6:$DF$17,2)+1))*(VLOOKUP($A112,SatSunCurve,2))*(INDEX(DailyScalarsTable,AR$5/100,MONTH($A112)))*$C112</f>
        <v>-8679.6850621018584</v>
      </c>
      <c r="AS112" s="1021">
        <f>(VLOOKUP(YEAR($A112),'NY East Load Projections'!$A$4:$EO$14,((MONTH($A112)-1)*12)+VLOOKUP(AS$4,$DE$6:$DF$17,2)+1))*(VLOOKUP($A112,SatSunCurve,2))*(INDEX(DailyScalarsTable,AS$5/100,MONTH($A112)))*$C112</f>
        <v>-8420.4665685068649</v>
      </c>
      <c r="AT112" s="1021">
        <f>(VLOOKUP(YEAR($A112),'NY East Load Projections'!$A$4:$EO$14,((MONTH($A112)-1)*12)+VLOOKUP(AT$4,$DE$6:$DF$17,2)+1))*(VLOOKUP($A112,SatSunCurve,2))*(INDEX(DailyScalarsTable,AT$5/100,MONTH($A112)))*$C112</f>
        <v>-8194.4329773033169</v>
      </c>
      <c r="AU112" s="1021">
        <f>(VLOOKUP(YEAR($A112),'NY East Load Projections'!$A$4:$EO$14,((MONTH($A112)-1)*12)+VLOOKUP(AU$4,$DE$6:$DF$17,2)+1))*(VLOOKUP($A112,SatSunCurve,2))*(INDEX(DailyScalarsTable,AU$5/100,MONTH($A112)))*$C112</f>
        <v>-8002.7336024851174</v>
      </c>
      <c r="AV112" s="1021">
        <f>(VLOOKUP(YEAR($A112),'NY East Load Projections'!$A$4:$EO$14,((MONTH($A112)-1)*12)+VLOOKUP(AV$4,$DE$6:$DF$17,2)+1))*(VLOOKUP($A112,SatSunCurve,2))*(INDEX(DailyScalarsTable,AV$5/100,MONTH($A112)))*$C112</f>
        <v>-7871.1191063412798</v>
      </c>
      <c r="AW112" s="1021">
        <f>(VLOOKUP(YEAR($A112),'NY East Load Projections'!$A$4:$EO$14,((MONTH($A112)-1)*12)+VLOOKUP(AW$4,$DE$6:$DF$17,2)+1))*(VLOOKUP($A112,SatSunCurve,2))*(INDEX(DailyScalarsTable,AW$5/100,MONTH($A112)))*$C112</f>
        <v>-8041.3721758241127</v>
      </c>
      <c r="AX112" s="1021">
        <f>(VLOOKUP(YEAR($A112),'NY East Load Projections'!$A$4:$EO$14,((MONTH($A112)-1)*12)+VLOOKUP(AX$4,$DE$6:$DF$17,2)+1))*(VLOOKUP($A112,SatSunCurve,2))*(INDEX(DailyScalarsTable,AX$5/100,MONTH($A112)))*$C112</f>
        <v>-11038.973691851486</v>
      </c>
      <c r="AY112" s="1021">
        <f>(VLOOKUP(YEAR($A112),'NY East Load Projections'!$A$4:$EO$14,((MONTH($A112)-1)*12)+VLOOKUP(AY$4,$DE$6:$DF$17,2)+1))*(VLOOKUP($A112,SatSunCurve,2))*(INDEX(DailyScalarsTable,AY$5/100,MONTH($A112)))*$C112</f>
        <v>-11127.858698983311</v>
      </c>
      <c r="AZ112" s="1021">
        <f>(VLOOKUP(YEAR($A112),'NY East Load Projections'!$A$4:$EO$14,((MONTH($A112)-1)*12)+VLOOKUP(AZ$4,$DE$6:$DF$17,2)+1))*(VLOOKUP($A112,SatSunCurve,2))*(INDEX(DailyScalarsTable,AZ$5/100,MONTH($A112)))*$C112</f>
        <v>-10672.54978489988</v>
      </c>
      <c r="BA112" s="1021">
        <f>(VLOOKUP(YEAR($A112),'NY East Load Projections'!$A$4:$EO$14,((MONTH($A112)-1)*12)+VLOOKUP(BA$4,$DE$6:$DF$17,2)+1))*(VLOOKUP($A112,SatSunCurve,2))*(INDEX(DailyScalarsTable,BA$5/100,MONTH($A112)))*$C112</f>
        <v>-9435.5905216046176</v>
      </c>
      <c r="BB112" s="1021">
        <f>(VLOOKUP(YEAR($A112),'NY East Load Projections'!$A$4:$EO$14,((MONTH($A112)-1)*12)+VLOOKUP(BB$4,$DE$6:$DF$17,2)+1))*(VLOOKUP($A112,SatSunCurve,2))*(INDEX(DailyScalarsTable,BB$5/100,MONTH($A112)))*$C112</f>
        <v>-7505.8393882026994</v>
      </c>
      <c r="BC112" s="1021">
        <f>(VLOOKUP(YEAR($A112),'NY East Load Projections'!$A$4:$EO$14,((MONTH($A112)-1)*12)+VLOOKUP(BC$4,$DE$6:$DF$17,2)+1))*(VLOOKUP($A112,SatSunCurve,2))*(INDEX(DailyScalarsTable,BC$5/100,MONTH($A112)))*$C112</f>
        <v>-6329.9649885500721</v>
      </c>
      <c r="BD112" s="1021">
        <f>(VLOOKUP(YEAR($A112),'NY East Load Projections'!$A$4:$EO$14,((MONTH($A112)-1)*12)+VLOOKUP(BD$4,$DE$6:$DF$17,2)+1))*(VLOOKUP($A112,CURVES!$D$9:$T$261,6))*(INDEX(DailyScalarsTable,BD$5/100,MONTH($A112)))*$C112</f>
        <v>-7186.77714443885</v>
      </c>
      <c r="BE112" s="1021"/>
      <c r="BF112" s="1021">
        <f>(VLOOKUP(YEAR($A112),'NY East Load Projections'!$A$4:$EO$14,((MONTH($A112)-1)*12)+VLOOKUP(BF$4,$DE$6:$DF$17,2)+1))*(VLOOKUP($A112,CURVES!$D$9:$T$261,6))*(INDEX(DailyScalarsTable,BF$5/100,MONTH($A112)))*$D112</f>
        <v>-7855.1509287224244</v>
      </c>
      <c r="BG112" s="1021">
        <f>(VLOOKUP(YEAR($A112),'NY East Load Projections'!$A$4:$EO$14,((MONTH($A112)-1)*12)+VLOOKUP(BG$4,$DE$6:$DF$17,2)+1))*(VLOOKUP($A112,CURVES!$D$9:$T$261,6))*(INDEX(DailyScalarsTable,BG$5/100,MONTH($A112)))*$D112</f>
        <v>-7446.9704124692853</v>
      </c>
      <c r="BH112" s="1021">
        <f>(VLOOKUP(YEAR($A112),'NY East Load Projections'!$A$4:$EO$14,((MONTH($A112)-1)*12)+VLOOKUP(BH$4,$DE$6:$DF$17,2)+1))*(VLOOKUP($A112,CURVES!$D$9:$T$261,6))*(INDEX(DailyScalarsTable,BH$5/100,MONTH($A112)))*$D112</f>
        <v>-7146.9619584944112</v>
      </c>
      <c r="BI112" s="1021">
        <f>(VLOOKUP(YEAR($A112),'NY East Load Projections'!$A$4:$EO$14,((MONTH($A112)-1)*12)+VLOOKUP(BI$4,$DE$6:$DF$17,2)+1))*(VLOOKUP($A112,CURVES!$D$9:$T$261,6))*(INDEX(DailyScalarsTable,BI$5/100,MONTH($A112)))*$D112</f>
        <v>-7151.1874296771548</v>
      </c>
      <c r="BJ112" s="1021">
        <f>(VLOOKUP(YEAR($A112),'NY East Load Projections'!$A$4:$EO$14,((MONTH($A112)-1)*12)+VLOOKUP(BJ$4,$DE$6:$DF$17,2)+1))*(VLOOKUP($A112,CURVES!$D$9:$T$261,6))*(INDEX(DailyScalarsTable,BJ$5/100,MONTH($A112)))*$D112</f>
        <v>-7756.52427251266</v>
      </c>
      <c r="BK112" s="1021">
        <f>(VLOOKUP(YEAR($A112),'NY East Load Projections'!$A$4:$EO$14,((MONTH($A112)-1)*12)+VLOOKUP(BK$4,$DE$6:$DF$17,2)+1))*(VLOOKUP($A112,CURVES!$D$9:$T$261,6))*(INDEX(DailyScalarsTable,BK$5/100,MONTH($A112)))*$D112</f>
        <v>-8936.4742969798372</v>
      </c>
      <c r="BL112" s="1021">
        <f>(VLOOKUP(YEAR($A112),'NY East Load Projections'!$A$4:$EO$14,((MONTH($A112)-1)*12)+VLOOKUP(BL$4,$DE$6:$DF$17,2)+1))*(VLOOKUP($A112,CURVES!$D$9:$T$261,6))*(INDEX(DailyScalarsTable,BL$5/100,MONTH($A112)))*$D112</f>
        <v>-12800.6181044445</v>
      </c>
      <c r="BM112" s="1021">
        <f>(VLOOKUP(YEAR($A112),'NY East Load Projections'!$A$4:$EO$14,((MONTH($A112)-1)*12)+VLOOKUP(BM$4,$DE$6:$DF$17,2)+1))*(VLOOKUP($A112,SatSunCurve,6))*(INDEX(DailyScalarsTable,BM$5/100,MONTH($A112)))*$D112</f>
        <v>-9554.5330612906</v>
      </c>
      <c r="BN112" s="1021">
        <f>(VLOOKUP(YEAR($A112),'NY East Load Projections'!$A$4:$EO$14,((MONTH($A112)-1)*12)+VLOOKUP(BN$4,$DE$6:$DF$17,2)+1))*(VLOOKUP($A112,SatSunCurve,6))*(INDEX(DailyScalarsTable,BN$5/100,MONTH($A112)))*$D112</f>
        <v>-10880.734899410931</v>
      </c>
      <c r="BO112" s="1021">
        <f>(VLOOKUP(YEAR($A112),'NY East Load Projections'!$A$4:$EO$14,((MONTH($A112)-1)*12)+VLOOKUP(BO$4,$DE$6:$DF$17,2)+1))*(VLOOKUP($A112,SatSunCurve,6))*(INDEX(DailyScalarsTable,BO$5/100,MONTH($A112)))*$D112</f>
        <v>-10810.266285499114</v>
      </c>
      <c r="BP112" s="1021">
        <f>(VLOOKUP(YEAR($A112),'NY East Load Projections'!$A$4:$EO$14,((MONTH($A112)-1)*12)+VLOOKUP(BP$4,$DE$6:$DF$17,2)+1))*(VLOOKUP($A112,SatSunCurve,6))*(INDEX(DailyScalarsTable,BP$5/100,MONTH($A112)))*$D112</f>
        <v>-10601.717279462793</v>
      </c>
      <c r="BQ112" s="1021">
        <f>(VLOOKUP(YEAR($A112),'NY East Load Projections'!$A$4:$EO$14,((MONTH($A112)-1)*12)+VLOOKUP(BQ$4,$DE$6:$DF$17,2)+1))*(VLOOKUP($A112,SatSunCurve,6))*(INDEX(DailyScalarsTable,BQ$5/100,MONTH($A112)))*$D112</f>
        <v>-8926.6592812076033</v>
      </c>
      <c r="BR112" s="1021">
        <f>(VLOOKUP(YEAR($A112),'NY East Load Projections'!$A$4:$EO$14,((MONTH($A112)-1)*12)+VLOOKUP(BR$4,$DE$6:$DF$17,2)+1))*(VLOOKUP($A112,SatSunCurve,6))*(INDEX(DailyScalarsTable,BR$5/100,MONTH($A112)))*$D112</f>
        <v>-8660.0649111176281</v>
      </c>
      <c r="BS112" s="1021">
        <f>(VLOOKUP(YEAR($A112),'NY East Load Projections'!$A$4:$EO$14,((MONTH($A112)-1)*12)+VLOOKUP(BS$4,$DE$6:$DF$17,2)+1))*(VLOOKUP($A112,SatSunCurve,6))*(INDEX(DailyScalarsTable,BS$5/100,MONTH($A112)))*$D112</f>
        <v>-8427.5996960383582</v>
      </c>
      <c r="BT112" s="1021">
        <f>(VLOOKUP(YEAR($A112),'NY East Load Projections'!$A$4:$EO$14,((MONTH($A112)-1)*12)+VLOOKUP(BT$4,$DE$6:$DF$17,2)+1))*(VLOOKUP($A112,SatSunCurve,6))*(INDEX(DailyScalarsTable,BT$5/100,MONTH($A112)))*$D112</f>
        <v>-8230.4456528698611</v>
      </c>
      <c r="BU112" s="1021">
        <f>(VLOOKUP(YEAR($A112),'NY East Load Projections'!$A$4:$EO$14,((MONTH($A112)-1)*12)+VLOOKUP(BU$4,$DE$6:$DF$17,2)+1))*(VLOOKUP($A112,SatSunCurve,6))*(INDEX(DailyScalarsTable,BU$5/100,MONTH($A112)))*$D112</f>
        <v>-8095.0861605452246</v>
      </c>
      <c r="BV112" s="1021">
        <f>(VLOOKUP(YEAR($A112),'NY East Load Projections'!$A$4:$EO$14,((MONTH($A112)-1)*12)+VLOOKUP(BV$4,$DE$6:$DF$17,2)+1))*(VLOOKUP($A112,SatSunCurve,6))*(INDEX(DailyScalarsTable,BV$5/100,MONTH($A112)))*$D112</f>
        <v>-8270.1836591271604</v>
      </c>
      <c r="BW112" s="1021">
        <f>(VLOOKUP(YEAR($A112),'NY East Load Projections'!$A$4:$EO$14,((MONTH($A112)-1)*12)+VLOOKUP(BW$4,$DE$6:$DF$17,2)+1))*(VLOOKUP($A112,SatSunCurve,6))*(INDEX(DailyScalarsTable,BW$5/100,MONTH($A112)))*$D112</f>
        <v>-11353.079778393487</v>
      </c>
      <c r="BX112" s="1021">
        <f>(VLOOKUP(YEAR($A112),'NY East Load Projections'!$A$4:$EO$14,((MONTH($A112)-1)*12)+VLOOKUP(BX$4,$DE$6:$DF$17,2)+1))*(VLOOKUP($A112,SatSunCurve,6))*(INDEX(DailyScalarsTable,BX$5/100,MONTH($A112)))*$D112</f>
        <v>-11444.49394471364</v>
      </c>
      <c r="BY112" s="1021">
        <f>(VLOOKUP(YEAR($A112),'NY East Load Projections'!$A$4:$EO$14,((MONTH($A112)-1)*12)+VLOOKUP(BY$4,$DE$6:$DF$17,2)+1))*(VLOOKUP($A112,SatSunCurve,6))*(INDEX(DailyScalarsTable,BY$5/100,MONTH($A112)))*$D112</f>
        <v>-10976.229541726741</v>
      </c>
      <c r="BZ112" s="1021">
        <f>(VLOOKUP(YEAR($A112),'NY East Load Projections'!$A$4:$EO$14,((MONTH($A112)-1)*12)+VLOOKUP(BZ$4,$DE$6:$DF$17,2)+1))*(VLOOKUP($A112,SatSunCurve,6))*(INDEX(DailyScalarsTable,BZ$5/100,MONTH($A112)))*$D112</f>
        <v>-9704.073488924465</v>
      </c>
      <c r="CA112" s="1021">
        <f>(VLOOKUP(YEAR($A112),'NY East Load Projections'!$A$4:$EO$14,((MONTH($A112)-1)*12)+VLOOKUP(CA$4,$DE$6:$DF$17,2)+1))*(VLOOKUP($A112,SatSunCurve,6))*(INDEX(DailyScalarsTable,CA$5/100,MONTH($A112)))*$D112</f>
        <v>-7719.4126697643233</v>
      </c>
      <c r="CB112" s="1021">
        <f>(VLOOKUP(YEAR($A112),'NY East Load Projections'!$A$4:$EO$14,((MONTH($A112)-1)*12)+VLOOKUP(CB$4,$DE$6:$DF$17,2)+1))*(VLOOKUP($A112,SatSunCurve,6))*(INDEX(DailyScalarsTable,CB$5/100,MONTH($A112)))*$D112</f>
        <v>-6510.0796066299226</v>
      </c>
      <c r="CC112" s="1021">
        <f>(VLOOKUP(YEAR($A112),'NY East Load Projections'!$A$4:$EO$14,((MONTH($A112)-1)*12)+VLOOKUP(CC$4,$DE$6:$DF$17,2)+1))*(VLOOKUP($A112,CURVES!$D$9:$T$261,6))*(INDEX(DailyScalarsTable,CC$5/100,MONTH($A112)))*$D112</f>
        <v>-8983.4714305485631</v>
      </c>
      <c r="CE112" s="1021">
        <f>(VLOOKUP(YEAR($A112),'NY East Load Projections'!$A$4:$EO$14,((MONTH($A112)-1)*12)+VLOOKUP(CE$4,$DE$6:$DF$17,2)+1))*(VLOOKUP($A112,CURVES!$D$9:$T$261,6))*(INDEX(DailyScalarsTable,CE$5/100,MONTH($A112)))*$E112</f>
        <v>-1571.0301857444849</v>
      </c>
      <c r="CF112" s="1021">
        <f>(VLOOKUP(YEAR($A112),'NY East Load Projections'!$A$4:$EO$14,((MONTH($A112)-1)*12)+VLOOKUP(CF$4,$DE$6:$DF$17,2)+1))*(VLOOKUP($A112,CURVES!$D$9:$T$261,6))*(INDEX(DailyScalarsTable,CF$5/100,MONTH($A112)))*$E112</f>
        <v>-1489.394082493857</v>
      </c>
      <c r="CG112" s="1021">
        <f>(VLOOKUP(YEAR($A112),'NY East Load Projections'!$A$4:$EO$14,((MONTH($A112)-1)*12)+VLOOKUP(CG$4,$DE$6:$DF$17,2)+1))*(VLOOKUP($A112,CURVES!$D$9:$T$261,6))*(INDEX(DailyScalarsTable,CG$5/100,MONTH($A112)))*$E112</f>
        <v>-1429.3923916988822</v>
      </c>
      <c r="CH112" s="1021">
        <f>(VLOOKUP(YEAR($A112),'NY East Load Projections'!$A$4:$EO$14,((MONTH($A112)-1)*12)+VLOOKUP(CH$4,$DE$6:$DF$17,2)+1))*(VLOOKUP($A112,CURVES!$D$9:$T$261,6))*(INDEX(DailyScalarsTable,CH$5/100,MONTH($A112)))*$E112</f>
        <v>-1430.2374859354309</v>
      </c>
      <c r="CI112" s="1021">
        <f>(VLOOKUP(YEAR($A112),'NY East Load Projections'!$A$4:$EO$14,((MONTH($A112)-1)*12)+VLOOKUP(CI$4,$DE$6:$DF$17,2)+1))*(VLOOKUP($A112,CURVES!$D$9:$T$261,6))*(INDEX(DailyScalarsTable,CI$5/100,MONTH($A112)))*$E112</f>
        <v>-1551.304854502532</v>
      </c>
      <c r="CJ112" s="1021">
        <f>(VLOOKUP(YEAR($A112),'NY East Load Projections'!$A$4:$EO$14,((MONTH($A112)-1)*12)+VLOOKUP(CJ$4,$DE$6:$DF$17,2)+1))*(VLOOKUP($A112,CURVES!$D$9:$T$261,6))*(INDEX(DailyScalarsTable,CJ$5/100,MONTH($A112)))*$E112</f>
        <v>-1787.2948593959675</v>
      </c>
      <c r="CK112" s="1021">
        <f>(VLOOKUP(YEAR($A112),'NY East Load Projections'!$A$4:$EO$14,((MONTH($A112)-1)*12)+VLOOKUP(CK$4,$DE$6:$DF$17,2)+1))*(VLOOKUP($A112,CURVES!$D$9:$T$261,6))*(INDEX(DailyScalarsTable,CK$5/100,MONTH($A112)))*$E112</f>
        <v>-2560.1236208888999</v>
      </c>
      <c r="CL112" s="1021">
        <f>(VLOOKUP(YEAR($A112),'NY East Load Projections'!$A$4:$EO$14,((MONTH($A112)-1)*12)+VLOOKUP(CL$4,$DE$6:$DF$17,2)+1))*(VLOOKUP($A112,SatSunCurve,6))*(INDEX(DailyScalarsTable,CL$5/100,MONTH($A112)))*$E112</f>
        <v>-1910.90661225812</v>
      </c>
      <c r="CM112" s="1021">
        <f>(VLOOKUP(YEAR($A112),'NY East Load Projections'!$A$4:$EO$14,((MONTH($A112)-1)*12)+VLOOKUP(CM$4,$DE$6:$DF$17,2)+1))*(VLOOKUP($A112,SatSunCurve,6))*(INDEX(DailyScalarsTable,CM$5/100,MONTH($A112)))*$E112</f>
        <v>-2176.1469798821863</v>
      </c>
      <c r="CN112" s="1021">
        <f>(VLOOKUP(YEAR($A112),'NY East Load Projections'!$A$4:$EO$14,((MONTH($A112)-1)*12)+VLOOKUP(CN$4,$DE$6:$DF$17,2)+1))*(VLOOKUP($A112,SatSunCurve,6))*(INDEX(DailyScalarsTable,CN$5/100,MONTH($A112)))*$E112</f>
        <v>-2162.053257099823</v>
      </c>
      <c r="CO112" s="1021">
        <f>(VLOOKUP(YEAR($A112),'NY East Load Projections'!$A$4:$EO$14,((MONTH($A112)-1)*12)+VLOOKUP(CO$4,$DE$6:$DF$17,2)+1))*(VLOOKUP($A112,SatSunCurve,6))*(INDEX(DailyScalarsTable,CO$5/100,MONTH($A112)))*$E112</f>
        <v>-2120.3434558925587</v>
      </c>
      <c r="CP112" s="1021">
        <f>(VLOOKUP(YEAR($A112),'NY East Load Projections'!$A$4:$EO$14,((MONTH($A112)-1)*12)+VLOOKUP(CP$4,$DE$6:$DF$17,2)+1))*(VLOOKUP($A112,SatSunCurve,6))*(INDEX(DailyScalarsTable,CP$5/100,MONTH($A112)))*$E112</f>
        <v>-1785.3318562415207</v>
      </c>
      <c r="CQ112" s="1021">
        <f>(VLOOKUP(YEAR($A112),'NY East Load Projections'!$A$4:$EO$14,((MONTH($A112)-1)*12)+VLOOKUP(CQ$4,$DE$6:$DF$17,2)+1))*(VLOOKUP($A112,SatSunCurve,6))*(INDEX(DailyScalarsTable,CQ$5/100,MONTH($A112)))*$E112</f>
        <v>-1732.0129822235256</v>
      </c>
      <c r="CR112" s="1021">
        <f>(VLOOKUP(YEAR($A112),'NY East Load Projections'!$A$4:$EO$14,((MONTH($A112)-1)*12)+VLOOKUP(CR$4,$DE$6:$DF$17,2)+1))*(VLOOKUP($A112,SatSunCurve,6))*(INDEX(DailyScalarsTable,CR$5/100,MONTH($A112)))*$E112</f>
        <v>-1685.5199392076715</v>
      </c>
      <c r="CS112" s="1021">
        <f>(VLOOKUP(YEAR($A112),'NY East Load Projections'!$A$4:$EO$14,((MONTH($A112)-1)*12)+VLOOKUP(CS$4,$DE$6:$DF$17,2)+1))*(VLOOKUP($A112,SatSunCurve,6))*(INDEX(DailyScalarsTable,CS$5/100,MONTH($A112)))*$E112</f>
        <v>-1646.0891305739724</v>
      </c>
      <c r="CT112" s="1021">
        <f>(VLOOKUP(YEAR($A112),'NY East Load Projections'!$A$4:$EO$14,((MONTH($A112)-1)*12)+VLOOKUP(CT$4,$DE$6:$DF$17,2)+1))*(VLOOKUP($A112,SatSunCurve,6))*(INDEX(DailyScalarsTable,CT$5/100,MONTH($A112)))*$E112</f>
        <v>-1619.0172321090449</v>
      </c>
      <c r="CU112" s="1021">
        <f>(VLOOKUP(YEAR($A112),'NY East Load Projections'!$A$4:$EO$14,((MONTH($A112)-1)*12)+VLOOKUP(CU$4,$DE$6:$DF$17,2)+1))*(VLOOKUP($A112,SatSunCurve,6))*(INDEX(DailyScalarsTable,CU$5/100,MONTH($A112)))*$E112</f>
        <v>-1654.0367318254321</v>
      </c>
      <c r="CV112" s="1021">
        <f>(VLOOKUP(YEAR($A112),'NY East Load Projections'!$A$4:$EO$14,((MONTH($A112)-1)*12)+VLOOKUP(CV$4,$DE$6:$DF$17,2)+1))*(VLOOKUP($A112,SatSunCurve,6))*(INDEX(DailyScalarsTable,CV$5/100,MONTH($A112)))*$E112</f>
        <v>-2270.6159556786974</v>
      </c>
      <c r="CW112" s="1021">
        <f>(VLOOKUP(YEAR($A112),'NY East Load Projections'!$A$4:$EO$14,((MONTH($A112)-1)*12)+VLOOKUP(CW$4,$DE$6:$DF$17,2)+1))*(VLOOKUP($A112,SatSunCurve,6))*(INDEX(DailyScalarsTable,CW$5/100,MONTH($A112)))*$E112</f>
        <v>-2288.8987889427281</v>
      </c>
      <c r="CX112" s="1021">
        <f>(VLOOKUP(YEAR($A112),'NY East Load Projections'!$A$4:$EO$14,((MONTH($A112)-1)*12)+VLOOKUP(CX$4,$DE$6:$DF$17,2)+1))*(VLOOKUP($A112,SatSunCurve,6))*(INDEX(DailyScalarsTable,CX$5/100,MONTH($A112)))*$E112</f>
        <v>-2195.2459083453482</v>
      </c>
      <c r="CY112" s="1021">
        <f>(VLOOKUP(YEAR($A112),'NY East Load Projections'!$A$4:$EO$14,((MONTH($A112)-1)*12)+VLOOKUP(CY$4,$DE$6:$DF$17,2)+1))*(VLOOKUP($A112,SatSunCurve,6))*(INDEX(DailyScalarsTable,CY$5/100,MONTH($A112)))*$E112</f>
        <v>-1940.814697784893</v>
      </c>
      <c r="CZ112" s="1021">
        <f>(VLOOKUP(YEAR($A112),'NY East Load Projections'!$A$4:$EO$14,((MONTH($A112)-1)*12)+VLOOKUP(CZ$4,$DE$6:$DF$17,2)+1))*(VLOOKUP($A112,SatSunCurve,6))*(INDEX(DailyScalarsTable,CZ$5/100,MONTH($A112)))*$E112</f>
        <v>-1543.8825339528646</v>
      </c>
      <c r="DA112" s="1021">
        <f>(VLOOKUP(YEAR($A112),'NY East Load Projections'!$A$4:$EO$14,((MONTH($A112)-1)*12)+VLOOKUP(DA$4,$DE$6:$DF$17,2)+1))*(VLOOKUP($A112,SatSunCurve,6))*(INDEX(DailyScalarsTable,DA$5/100,MONTH($A112)))*$E112</f>
        <v>-1302.0159213259844</v>
      </c>
      <c r="DB112" s="1021">
        <f>(VLOOKUP(YEAR($A112),'NY East Load Projections'!$A$4:$EO$14,((MONTH($A112)-1)*12)+VLOOKUP(DB$4,$DE$6:$DF$17,2)+1))*(VLOOKUP($A112,CURVES!$D$9:$T$261,6))*(INDEX(DailyScalarsTable,DB$5/100,MONTH($A112)))*$E112</f>
        <v>-1796.6942861097125</v>
      </c>
      <c r="DH112" s="1021">
        <f t="shared" si="2"/>
        <v>-1640376.1404228806</v>
      </c>
      <c r="DI112">
        <f ca="1">CALC!J132</f>
        <v>0.48988674343446137</v>
      </c>
      <c r="DJ112" s="1029">
        <f t="shared" ca="1" si="3"/>
        <v>-803598.52543935576</v>
      </c>
    </row>
    <row r="113" spans="1:114" x14ac:dyDescent="0.25">
      <c r="A113" s="244">
        <v>40148</v>
      </c>
      <c r="B113" s="13">
        <v>22</v>
      </c>
      <c r="C113" s="210">
        <v>4</v>
      </c>
      <c r="D113" s="210">
        <v>4</v>
      </c>
      <c r="E113" s="210">
        <v>1</v>
      </c>
      <c r="F113" s="13">
        <v>31</v>
      </c>
      <c r="H113" s="1021">
        <f>(VLOOKUP(YEAR($A113),'NY East Load Projections'!$A$4:$EO$14,((MONTH($A113)-1)*12)+VLOOKUP(H$4,$DE$6:$DF$17,2)+1))*(VLOOKUP($A113,CURVES!$D$9:$K$261,6))*(INDEX(DailyScalarsTable,H$5/100,MONTH($A113)))*$B113</f>
        <v>-34927.91417277437</v>
      </c>
      <c r="I113" s="1021">
        <f>(VLOOKUP(YEAR($A113),'NY East Load Projections'!$A$4:$EO$14,((MONTH($A113)-1)*12)+VLOOKUP(I$4,$DE$6:$DF$17,2)+1))*(VLOOKUP($A113,CURVES!$D$9:$K$261,6))*(INDEX(DailyScalarsTable,I$5/100,MONTH($A113)))*$B113</f>
        <v>-33112.940257179966</v>
      </c>
      <c r="J113" s="1021">
        <f>(VLOOKUP(YEAR($A113),'NY East Load Projections'!$A$4:$EO$14,((MONTH($A113)-1)*12)+VLOOKUP(J$4,$DE$6:$DF$17,2)+1))*(VLOOKUP($A113,CURVES!$D$9:$K$261,6))*(INDEX(DailyScalarsTable,J$5/100,MONTH($A113)))*$B113</f>
        <v>-31778.953217767925</v>
      </c>
      <c r="K113" s="1021">
        <f>(VLOOKUP(YEAR($A113),'NY East Load Projections'!$A$4:$EO$14,((MONTH($A113)-1)*12)+VLOOKUP(K$4,$DE$6:$DF$17,2)+1))*(VLOOKUP($A113,CURVES!$D$9:$K$261,6))*(INDEX(DailyScalarsTable,K$5/100,MONTH($A113)))*$B113</f>
        <v>-31797.741767618798</v>
      </c>
      <c r="L113" s="1021">
        <f>(VLOOKUP(YEAR($A113),'NY East Load Projections'!$A$4:$EO$14,((MONTH($A113)-1)*12)+VLOOKUP(L$4,$DE$6:$DF$17,2)+1))*(VLOOKUP($A113,CURVES!$D$9:$K$261,6))*(INDEX(DailyScalarsTable,L$5/100,MONTH($A113)))*$B113</f>
        <v>-36476.19965993832</v>
      </c>
      <c r="M113" s="1021">
        <f>(VLOOKUP(YEAR($A113),'NY East Load Projections'!$A$4:$EO$14,((MONTH($A113)-1)*12)+VLOOKUP(M$4,$DE$6:$DF$17,2)+1))*(VLOOKUP($A113,CURVES!$D$9:$K$261,6))*(INDEX(DailyScalarsTable,M$5/100,MONTH($A113)))*$B113</f>
        <v>-42025.088720176049</v>
      </c>
      <c r="N113" s="1021">
        <f>(VLOOKUP(YEAR($A113),'NY East Load Projections'!$A$4:$EO$14,((MONTH($A113)-1)*12)+VLOOKUP(N$4,$DE$6:$DF$17,2)+1))*(VLOOKUP($A113,CURVES!$D$9:$K$261,6))*(INDEX(DailyScalarsTable,N$5/100,MONTH($A113)))*$B113</f>
        <v>-60196.795026219232</v>
      </c>
      <c r="O113" s="1021">
        <f>(VLOOKUP(YEAR($A113),'NY East Load Projections'!$A$4:$EO$14,((MONTH($A113)-1)*12)+VLOOKUP(O$4,$DE$6:$DF$17,2)+1))*(VLOOKUP($A113,CURVES!$D$9:$K$261,2))*(INDEX(DailyScalarsTable,O$5/100,MONTH($A113)))*$B113</f>
        <v>-63533.701151161062</v>
      </c>
      <c r="P113" s="1021">
        <f>(VLOOKUP(YEAR($A113),'NY East Load Projections'!$A$4:$EO$14,((MONTH($A113)-1)*12)+VLOOKUP(P$4,$DE$6:$DF$17,2)+1))*(VLOOKUP($A113,CURVES!$D$9:$K$261,2))*(INDEX(DailyScalarsTable,P$5/100,MONTH($A113)))*$B113</f>
        <v>-72266.326620105392</v>
      </c>
      <c r="Q113" s="1021">
        <f>(VLOOKUP(YEAR($A113),'NY East Load Projections'!$A$4:$EO$14,((MONTH($A113)-1)*12)+VLOOKUP(Q$4,$DE$6:$DF$17,2)+1))*(VLOOKUP($A113,CURVES!$D$9:$K$261,2))*(INDEX(DailyScalarsTable,Q$5/100,MONTH($A113)))*$B113</f>
        <v>-71899.965280477772</v>
      </c>
      <c r="R113" s="1021">
        <f>(VLOOKUP(YEAR($A113),'NY East Load Projections'!$A$4:$EO$14,((MONTH($A113)-1)*12)+VLOOKUP(R$4,$DE$6:$DF$17,2)+1))*(VLOOKUP($A113,CURVES!$D$9:$K$261,2))*(INDEX(DailyScalarsTable,R$5/100,MONTH($A113)))*$B113</f>
        <v>-70335.167694271688</v>
      </c>
      <c r="S113" s="1021">
        <f>(VLOOKUP(YEAR($A113),'NY East Load Projections'!$A$4:$EO$14,((MONTH($A113)-1)*12)+VLOOKUP(S$4,$DE$6:$DF$17,2)+1))*(VLOOKUP($A113,CURVES!$D$9:$K$261,2))*(INDEX(DailyScalarsTable,S$5/100,MONTH($A113)))*$B113</f>
        <v>-57152.368981908403</v>
      </c>
      <c r="T113" s="1021">
        <f>(VLOOKUP(YEAR($A113),'NY East Load Projections'!$A$4:$EO$14,((MONTH($A113)-1)*12)+VLOOKUP(T$4,$DE$6:$DF$17,2)+1))*(VLOOKUP($A113,CURVES!$D$9:$K$261,2))*(INDEX(DailyScalarsTable,T$5/100,MONTH($A113)))*$B113</f>
        <v>-54900.031118852065</v>
      </c>
      <c r="U113" s="1021">
        <f>(VLOOKUP(YEAR($A113),'NY East Load Projections'!$A$4:$EO$14,((MONTH($A113)-1)*12)+VLOOKUP(U$4,$DE$6:$DF$17,2)+1))*(VLOOKUP($A113,CURVES!$D$9:$K$261,2))*(INDEX(DailyScalarsTable,U$5/100,MONTH($A113)))*$B113</f>
        <v>-52534.35370065488</v>
      </c>
      <c r="V113" s="1021">
        <f>(VLOOKUP(YEAR($A113),'NY East Load Projections'!$A$4:$EO$14,((MONTH($A113)-1)*12)+VLOOKUP(V$4,$DE$6:$DF$17,2)+1))*(VLOOKUP($A113,CURVES!$D$9:$K$261,2))*(INDEX(DailyScalarsTable,V$5/100,MONTH($A113)))*$B113</f>
        <v>-49892.576000227768</v>
      </c>
      <c r="W113" s="1021">
        <f>(VLOOKUP(YEAR($A113),'NY East Load Projections'!$A$4:$EO$14,((MONTH($A113)-1)*12)+VLOOKUP(W$4,$DE$6:$DF$17,2)+1))*(VLOOKUP($A113,CURVES!$D$9:$K$261,2))*(INDEX(DailyScalarsTable,W$5/100,MONTH($A113)))*$B113</f>
        <v>-49026.625115052142</v>
      </c>
      <c r="X113" s="1021">
        <f>(VLOOKUP(YEAR($A113),'NY East Load Projections'!$A$4:$EO$14,((MONTH($A113)-1)*12)+VLOOKUP(X$4,$DE$6:$DF$17,2)+1))*(VLOOKUP($A113,CURVES!$D$9:$K$261,2))*(INDEX(DailyScalarsTable,X$5/100,MONTH($A113)))*$B113</f>
        <v>-53092.059063251516</v>
      </c>
      <c r="Y113" s="1021">
        <f>(VLOOKUP(YEAR($A113),'NY East Load Projections'!$A$4:$EO$14,((MONTH($A113)-1)*12)+VLOOKUP(Y$4,$DE$6:$DF$17,2)+1))*(VLOOKUP($A113,CURVES!$D$9:$K$261,2))*(INDEX(DailyScalarsTable,Y$5/100,MONTH($A113)))*$B113</f>
        <v>-74824.991213413712</v>
      </c>
      <c r="Z113" s="1021">
        <f>(VLOOKUP(YEAR($A113),'NY East Load Projections'!$A$4:$EO$14,((MONTH($A113)-1)*12)+VLOOKUP(Z$4,$DE$6:$DF$17,2)+1))*(VLOOKUP($A113,CURVES!$D$9:$K$261,2))*(INDEX(DailyScalarsTable,Z$5/100,MONTH($A113)))*$B113</f>
        <v>-74326.468315697944</v>
      </c>
      <c r="AA113" s="1021">
        <f>(VLOOKUP(YEAR($A113),'NY East Load Projections'!$A$4:$EO$14,((MONTH($A113)-1)*12)+VLOOKUP(AA$4,$DE$6:$DF$17,2)+1))*(VLOOKUP($A113,CURVES!$D$9:$K$261,2))*(INDEX(DailyScalarsTable,AA$5/100,MONTH($A113)))*$B113</f>
        <v>-71767.010262645534</v>
      </c>
      <c r="AB113" s="1021">
        <f>(VLOOKUP(YEAR($A113),'NY East Load Projections'!$A$4:$EO$14,((MONTH($A113)-1)*12)+VLOOKUP(AB$4,$DE$6:$DF$17,2)+1))*(VLOOKUP($A113,CURVES!$D$9:$K$261,2))*(INDEX(DailyScalarsTable,AB$5/100,MONTH($A113)))*$B113</f>
        <v>-64398.313530846324</v>
      </c>
      <c r="AC113" s="1021">
        <f>(VLOOKUP(YEAR($A113),'NY East Load Projections'!$A$4:$EO$14,((MONTH($A113)-1)*12)+VLOOKUP(AC$4,$DE$6:$DF$17,2)+1))*(VLOOKUP($A113,CURVES!$D$9:$K$261,2))*(INDEX(DailyScalarsTable,AC$5/100,MONTH($A113)))*$B113</f>
        <v>-47474.179734503123</v>
      </c>
      <c r="AD113" s="1021">
        <f>(VLOOKUP(YEAR($A113),'NY East Load Projections'!$A$4:$EO$14,((MONTH($A113)-1)*12)+VLOOKUP(AD$4,$DE$6:$DF$17,2)+1))*(VLOOKUP($A113,CURVES!$D$9:$K$261,2))*(INDEX(DailyScalarsTable,AD$5/100,MONTH($A113)))*$B113</f>
        <v>-39166.895200808511</v>
      </c>
      <c r="AE113" s="1021">
        <f>(VLOOKUP(YEAR($A113),'NY East Load Projections'!$A$4:$EO$14,((MONTH($A113)-1)*12)+VLOOKUP(AE$4,$DE$6:$DF$17,2)+1))*(VLOOKUP($A113,CURVES!$D$9:$K$261,6))*(INDEX(DailyScalarsTable,AE$5/100,MONTH($A113)))*$B113</f>
        <v>-40339.987535762186</v>
      </c>
      <c r="AF113" s="1021"/>
      <c r="AG113" s="1021">
        <f>(VLOOKUP(YEAR($A113),'NY East Load Projections'!$A$4:$EO$14,((MONTH($A113)-1)*12)+VLOOKUP(AG$4,$DE$6:$DF$17,2)+1))*(VLOOKUP($A113,CURVES!$D$9:$T$261,6))*(INDEX(DailyScalarsTable,AG$5/100,MONTH($A113)))*$C113</f>
        <v>-6607.8102899983769</v>
      </c>
      <c r="AH113" s="1021">
        <f>(VLOOKUP(YEAR($A113),'NY East Load Projections'!$A$4:$EO$14,((MONTH($A113)-1)*12)+VLOOKUP(AH$4,$DE$6:$DF$17,2)+1))*(VLOOKUP($A113,CURVES!$D$9:$T$261,6))*(INDEX(DailyScalarsTable,AH$5/100,MONTH($A113)))*$C113</f>
        <v>-6264.4458607278857</v>
      </c>
      <c r="AI113" s="1021">
        <f>(VLOOKUP(YEAR($A113),'NY East Load Projections'!$A$4:$EO$14,((MONTH($A113)-1)*12)+VLOOKUP(AI$4,$DE$6:$DF$17,2)+1))*(VLOOKUP($A113,CURVES!$D$9:$T$261,6))*(INDEX(DailyScalarsTable,AI$5/100,MONTH($A113)))*$C113</f>
        <v>-6012.0765597112722</v>
      </c>
      <c r="AJ113" s="1021">
        <f>(VLOOKUP(YEAR($A113),'NY East Load Projections'!$A$4:$EO$14,((MONTH($A113)-1)*12)+VLOOKUP(AJ$4,$DE$6:$DF$17,2)+1))*(VLOOKUP($A113,CURVES!$D$9:$T$261,6))*(INDEX(DailyScalarsTable,AJ$5/100,MONTH($A113)))*$C113</f>
        <v>-6015.6310569086891</v>
      </c>
      <c r="AK113" s="1021">
        <f>(VLOOKUP(YEAR($A113),'NY East Load Projections'!$A$4:$EO$14,((MONTH($A113)-1)*12)+VLOOKUP(AK$4,$DE$6:$DF$17,2)+1))*(VLOOKUP($A113,CURVES!$D$9:$T$261,6))*(INDEX(DailyScalarsTable,AK$5/100,MONTH($A113)))*$C113</f>
        <v>-6544.4863435320158</v>
      </c>
      <c r="AL113" s="1021">
        <f>(VLOOKUP(YEAR($A113),'NY East Load Projections'!$A$4:$EO$14,((MONTH($A113)-1)*12)+VLOOKUP(AL$4,$DE$6:$DF$17,2)+1))*(VLOOKUP($A113,CURVES!$D$9:$T$261,6))*(INDEX(DailyScalarsTable,AL$5/100,MONTH($A113)))*$C113</f>
        <v>-7540.0568529341836</v>
      </c>
      <c r="AM113" s="1021">
        <f>(VLOOKUP(YEAR($A113),'NY East Load Projections'!$A$4:$EO$14,((MONTH($A113)-1)*12)+VLOOKUP(AM$4,$DE$6:$DF$17,2)+1))*(VLOOKUP($A113,CURVES!$D$9:$T$261,6))*(INDEX(DailyScalarsTable,AM$5/100,MONTH($A113)))*$C113</f>
        <v>-10800.387832238164</v>
      </c>
      <c r="AN113" s="1021">
        <f>(VLOOKUP(YEAR($A113),'NY East Load Projections'!$A$4:$EO$14,((MONTH($A113)-1)*12)+VLOOKUP(AN$4,$DE$6:$DF$17,2)+1))*(VLOOKUP($A113,SatSunCurve,2))*(INDEX(DailyScalarsTable,AN$5/100,MONTH($A113)))*$C113</f>
        <v>-9808.7623040813487</v>
      </c>
      <c r="AO113" s="1021">
        <f>(VLOOKUP(YEAR($A113),'NY East Load Projections'!$A$4:$EO$14,((MONTH($A113)-1)*12)+VLOOKUP(AO$4,$DE$6:$DF$17,2)+1))*(VLOOKUP($A113,SatSunCurve,2))*(INDEX(DailyScalarsTable,AO$5/100,MONTH($A113)))*$C113</f>
        <v>-11201.660092429469</v>
      </c>
      <c r="AP113" s="1021">
        <f>(VLOOKUP(YEAR($A113),'NY East Load Projections'!$A$4:$EO$14,((MONTH($A113)-1)*12)+VLOOKUP(AP$4,$DE$6:$DF$17,2)+1))*(VLOOKUP($A113,SatSunCurve,2))*(INDEX(DailyScalarsTable,AP$5/100,MONTH($A113)))*$C113</f>
        <v>-11144.872161044923</v>
      </c>
      <c r="AQ113" s="1021">
        <f>(VLOOKUP(YEAR($A113),'NY East Load Projections'!$A$4:$EO$14,((MONTH($A113)-1)*12)+VLOOKUP(AQ$4,$DE$6:$DF$17,2)+1))*(VLOOKUP($A113,SatSunCurve,2))*(INDEX(DailyScalarsTable,AQ$5/100,MONTH($A113)))*$C113</f>
        <v>-10902.320318521104</v>
      </c>
      <c r="AR113" s="1021">
        <f>(VLOOKUP(YEAR($A113),'NY East Load Projections'!$A$4:$EO$14,((MONTH($A113)-1)*12)+VLOOKUP(AR$4,$DE$6:$DF$17,2)+1))*(VLOOKUP($A113,SatSunCurve,2))*(INDEX(DailyScalarsTable,AR$5/100,MONTH($A113)))*$C113</f>
        <v>-8858.917295989073</v>
      </c>
      <c r="AS113" s="1021">
        <f>(VLOOKUP(YEAR($A113),'NY East Load Projections'!$A$4:$EO$14,((MONTH($A113)-1)*12)+VLOOKUP(AS$4,$DE$6:$DF$17,2)+1))*(VLOOKUP($A113,SatSunCurve,2))*(INDEX(DailyScalarsTable,AS$5/100,MONTH($A113)))*$C113</f>
        <v>-8512.9866767845251</v>
      </c>
      <c r="AT113" s="1021">
        <f>(VLOOKUP(YEAR($A113),'NY East Load Projections'!$A$4:$EO$14,((MONTH($A113)-1)*12)+VLOOKUP(AT$4,$DE$6:$DF$17,2)+1))*(VLOOKUP($A113,SatSunCurve,2))*(INDEX(DailyScalarsTable,AT$5/100,MONTH($A113)))*$C113</f>
        <v>-8146.1566416779115</v>
      </c>
      <c r="AU113" s="1021">
        <f>(VLOOKUP(YEAR($A113),'NY East Load Projections'!$A$4:$EO$14,((MONTH($A113)-1)*12)+VLOOKUP(AU$4,$DE$6:$DF$17,2)+1))*(VLOOKUP($A113,SatSunCurve,2))*(INDEX(DailyScalarsTable,AU$5/100,MONTH($A113)))*$C113</f>
        <v>-7736.5135520760959</v>
      </c>
      <c r="AV113" s="1021">
        <f>(VLOOKUP(YEAR($A113),'NY East Load Projections'!$A$4:$EO$14,((MONTH($A113)-1)*12)+VLOOKUP(AV$4,$DE$6:$DF$17,2)+1))*(VLOOKUP($A113,SatSunCurve,2))*(INDEX(DailyScalarsTable,AV$5/100,MONTH($A113)))*$C113</f>
        <v>-7602.2362447956903</v>
      </c>
      <c r="AW113" s="1021">
        <f>(VLOOKUP(YEAR($A113),'NY East Load Projections'!$A$4:$EO$14,((MONTH($A113)-1)*12)+VLOOKUP(AW$4,$DE$6:$DF$17,2)+1))*(VLOOKUP($A113,SatSunCurve,2))*(INDEX(DailyScalarsTable,AW$5/100,MONTH($A113)))*$C113</f>
        <v>-8195.6627911185515</v>
      </c>
      <c r="AX113" s="1021">
        <f>(VLOOKUP(YEAR($A113),'NY East Load Projections'!$A$4:$EO$14,((MONTH($A113)-1)*12)+VLOOKUP(AX$4,$DE$6:$DF$17,2)+1))*(VLOOKUP($A113,SatSunCurve,2))*(INDEX(DailyScalarsTable,AX$5/100,MONTH($A113)))*$C113</f>
        <v>-11550.510700723813</v>
      </c>
      <c r="AY113" s="1021">
        <f>(VLOOKUP(YEAR($A113),'NY East Load Projections'!$A$4:$EO$14,((MONTH($A113)-1)*12)+VLOOKUP(AY$4,$DE$6:$DF$17,2)+1))*(VLOOKUP($A113,SatSunCurve,2))*(INDEX(DailyScalarsTable,AY$5/100,MONTH($A113)))*$C113</f>
        <v>-11473.555208030224</v>
      </c>
      <c r="AZ113" s="1021">
        <f>(VLOOKUP(YEAR($A113),'NY East Load Projections'!$A$4:$EO$14,((MONTH($A113)-1)*12)+VLOOKUP(AZ$4,$DE$6:$DF$17,2)+1))*(VLOOKUP($A113,SatSunCurve,2))*(INDEX(DailyScalarsTable,AZ$5/100,MONTH($A113)))*$C113</f>
        <v>-11078.459302899853</v>
      </c>
      <c r="BA113" s="1021">
        <f>(VLOOKUP(YEAR($A113),'NY East Load Projections'!$A$4:$EO$14,((MONTH($A113)-1)*12)+VLOOKUP(BA$4,$DE$6:$DF$17,2)+1))*(VLOOKUP($A113,SatSunCurve,2))*(INDEX(DailyScalarsTable,BA$5/100,MONTH($A113)))*$C113</f>
        <v>-10415.070046049546</v>
      </c>
      <c r="BB113" s="1021">
        <f>(VLOOKUP(YEAR($A113),'NY East Load Projections'!$A$4:$EO$14,((MONTH($A113)-1)*12)+VLOOKUP(BB$4,$DE$6:$DF$17,2)+1))*(VLOOKUP($A113,SatSunCurve,2))*(INDEX(DailyScalarsTable,BB$5/100,MONTH($A113)))*$C113</f>
        <v>-7677.9480735432526</v>
      </c>
      <c r="BC113" s="1021">
        <f>(VLOOKUP(YEAR($A113),'NY East Load Projections'!$A$4:$EO$14,((MONTH($A113)-1)*12)+VLOOKUP(BC$4,$DE$6:$DF$17,2)+1))*(VLOOKUP($A113,SatSunCurve,2))*(INDEX(DailyScalarsTable,BC$5/100,MONTH($A113)))*$C113</f>
        <v>-6334.4198727705634</v>
      </c>
      <c r="BD113" s="1021">
        <f>(VLOOKUP(YEAR($A113),'NY East Load Projections'!$A$4:$EO$14,((MONTH($A113)-1)*12)+VLOOKUP(BD$4,$DE$6:$DF$17,2)+1))*(VLOOKUP($A113,CURVES!$D$9:$T$261,6))*(INDEX(DailyScalarsTable,BD$5/100,MONTH($A113)))*$C113</f>
        <v>-7581.9233166031199</v>
      </c>
      <c r="BE113" s="1021"/>
      <c r="BF113" s="1021">
        <f>(VLOOKUP(YEAR($A113),'NY East Load Projections'!$A$4:$EO$14,((MONTH($A113)-1)*12)+VLOOKUP(BF$4,$DE$6:$DF$17,2)+1))*(VLOOKUP($A113,CURVES!$D$9:$T$261,6))*(INDEX(DailyScalarsTable,BF$5/100,MONTH($A113)))*$D113</f>
        <v>-6607.8102899983769</v>
      </c>
      <c r="BG113" s="1021">
        <f>(VLOOKUP(YEAR($A113),'NY East Load Projections'!$A$4:$EO$14,((MONTH($A113)-1)*12)+VLOOKUP(BG$4,$DE$6:$DF$17,2)+1))*(VLOOKUP($A113,CURVES!$D$9:$T$261,6))*(INDEX(DailyScalarsTable,BG$5/100,MONTH($A113)))*$D113</f>
        <v>-6264.4458607278857</v>
      </c>
      <c r="BH113" s="1021">
        <f>(VLOOKUP(YEAR($A113),'NY East Load Projections'!$A$4:$EO$14,((MONTH($A113)-1)*12)+VLOOKUP(BH$4,$DE$6:$DF$17,2)+1))*(VLOOKUP($A113,CURVES!$D$9:$T$261,6))*(INDEX(DailyScalarsTable,BH$5/100,MONTH($A113)))*$D113</f>
        <v>-6012.0765597112722</v>
      </c>
      <c r="BI113" s="1021">
        <f>(VLOOKUP(YEAR($A113),'NY East Load Projections'!$A$4:$EO$14,((MONTH($A113)-1)*12)+VLOOKUP(BI$4,$DE$6:$DF$17,2)+1))*(VLOOKUP($A113,CURVES!$D$9:$T$261,6))*(INDEX(DailyScalarsTable,BI$5/100,MONTH($A113)))*$D113</f>
        <v>-6015.6310569086891</v>
      </c>
      <c r="BJ113" s="1021">
        <f>(VLOOKUP(YEAR($A113),'NY East Load Projections'!$A$4:$EO$14,((MONTH($A113)-1)*12)+VLOOKUP(BJ$4,$DE$6:$DF$17,2)+1))*(VLOOKUP($A113,CURVES!$D$9:$T$261,6))*(INDEX(DailyScalarsTable,BJ$5/100,MONTH($A113)))*$D113</f>
        <v>-6544.4863435320158</v>
      </c>
      <c r="BK113" s="1021">
        <f>(VLOOKUP(YEAR($A113),'NY East Load Projections'!$A$4:$EO$14,((MONTH($A113)-1)*12)+VLOOKUP(BK$4,$DE$6:$DF$17,2)+1))*(VLOOKUP($A113,CURVES!$D$9:$T$261,6))*(INDEX(DailyScalarsTable,BK$5/100,MONTH($A113)))*$D113</f>
        <v>-7540.0568529341836</v>
      </c>
      <c r="BL113" s="1021">
        <f>(VLOOKUP(YEAR($A113),'NY East Load Projections'!$A$4:$EO$14,((MONTH($A113)-1)*12)+VLOOKUP(BL$4,$DE$6:$DF$17,2)+1))*(VLOOKUP($A113,CURVES!$D$9:$T$261,6))*(INDEX(DailyScalarsTable,BL$5/100,MONTH($A113)))*$D113</f>
        <v>-10800.387832238164</v>
      </c>
      <c r="BM113" s="1021">
        <f>(VLOOKUP(YEAR($A113),'NY East Load Projections'!$A$4:$EO$14,((MONTH($A113)-1)*12)+VLOOKUP(BM$4,$DE$6:$DF$17,2)+1))*(VLOOKUP($A113,SatSunCurve,6))*(INDEX(DailyScalarsTable,BM$5/100,MONTH($A113)))*$D113</f>
        <v>-7593.0169218230903</v>
      </c>
      <c r="BN113" s="1021">
        <f>(VLOOKUP(YEAR($A113),'NY East Load Projections'!$A$4:$EO$14,((MONTH($A113)-1)*12)+VLOOKUP(BN$4,$DE$6:$DF$17,2)+1))*(VLOOKUP($A113,SatSunCurve,6))*(INDEX(DailyScalarsTable,BN$5/100,MONTH($A113)))*$D113</f>
        <v>-8671.2667712354378</v>
      </c>
      <c r="BO113" s="1021">
        <f>(VLOOKUP(YEAR($A113),'NY East Load Projections'!$A$4:$EO$14,((MONTH($A113)-1)*12)+VLOOKUP(BO$4,$DE$6:$DF$17,2)+1))*(VLOOKUP($A113,SatSunCurve,6))*(INDEX(DailyScalarsTable,BO$5/100,MONTH($A113)))*$D113</f>
        <v>-8627.3069207883764</v>
      </c>
      <c r="BP113" s="1021">
        <f>(VLOOKUP(YEAR($A113),'NY East Load Projections'!$A$4:$EO$14,((MONTH($A113)-1)*12)+VLOOKUP(BP$4,$DE$6:$DF$17,2)+1))*(VLOOKUP($A113,SatSunCurve,6))*(INDEX(DailyScalarsTable,BP$5/100,MONTH($A113)))*$D113</f>
        <v>-8439.5462036246608</v>
      </c>
      <c r="BQ113" s="1021">
        <f>(VLOOKUP(YEAR($A113),'NY East Load Projections'!$A$4:$EO$14,((MONTH($A113)-1)*12)+VLOOKUP(BQ$4,$DE$6:$DF$17,2)+1))*(VLOOKUP($A113,SatSunCurve,6))*(INDEX(DailyScalarsTable,BQ$5/100,MONTH($A113)))*$D113</f>
        <v>-6857.7366697414473</v>
      </c>
      <c r="BR113" s="1021">
        <f>(VLOOKUP(YEAR($A113),'NY East Load Projections'!$A$4:$EO$14,((MONTH($A113)-1)*12)+VLOOKUP(BR$4,$DE$6:$DF$17,2)+1))*(VLOOKUP($A113,SatSunCurve,6))*(INDEX(DailyScalarsTable,BR$5/100,MONTH($A113)))*$D113</f>
        <v>-6589.949872185558</v>
      </c>
      <c r="BS113" s="1021">
        <f>(VLOOKUP(YEAR($A113),'NY East Load Projections'!$A$4:$EO$14,((MONTH($A113)-1)*12)+VLOOKUP(BS$4,$DE$6:$DF$17,2)+1))*(VLOOKUP($A113,SatSunCurve,6))*(INDEX(DailyScalarsTable,BS$5/100,MONTH($A113)))*$D113</f>
        <v>-6305.9847216753333</v>
      </c>
      <c r="BT113" s="1021">
        <f>(VLOOKUP(YEAR($A113),'NY East Load Projections'!$A$4:$EO$14,((MONTH($A113)-1)*12)+VLOOKUP(BT$4,$DE$6:$DF$17,2)+1))*(VLOOKUP($A113,SatSunCurve,6))*(INDEX(DailyScalarsTable,BT$5/100,MONTH($A113)))*$D113</f>
        <v>-5988.8777498854006</v>
      </c>
      <c r="BU113" s="1021">
        <f>(VLOOKUP(YEAR($A113),'NY East Load Projections'!$A$4:$EO$14,((MONTH($A113)-1)*12)+VLOOKUP(BU$4,$DE$6:$DF$17,2)+1))*(VLOOKUP($A113,SatSunCurve,6))*(INDEX(DailyScalarsTable,BU$5/100,MONTH($A113)))*$D113</f>
        <v>-5884.932946780862</v>
      </c>
      <c r="BV113" s="1021">
        <f>(VLOOKUP(YEAR($A113),'NY East Load Projections'!$A$4:$EO$14,((MONTH($A113)-1)*12)+VLOOKUP(BV$4,$DE$6:$DF$17,2)+1))*(VLOOKUP($A113,SatSunCurve,6))*(INDEX(DailyScalarsTable,BV$5/100,MONTH($A113)))*$D113</f>
        <v>-6344.3077046148501</v>
      </c>
      <c r="BW113" s="1021">
        <f>(VLOOKUP(YEAR($A113),'NY East Load Projections'!$A$4:$EO$14,((MONTH($A113)-1)*12)+VLOOKUP(BW$4,$DE$6:$DF$17,2)+1))*(VLOOKUP($A113,SatSunCurve,6))*(INDEX(DailyScalarsTable,BW$5/100,MONTH($A113)))*$D113</f>
        <v>-8941.3139484277199</v>
      </c>
      <c r="BX113" s="1021">
        <f>(VLOOKUP(YEAR($A113),'NY East Load Projections'!$A$4:$EO$14,((MONTH($A113)-1)*12)+VLOOKUP(BX$4,$DE$6:$DF$17,2)+1))*(VLOOKUP($A113,SatSunCurve,6))*(INDEX(DailyScalarsTable,BX$5/100,MONTH($A113)))*$D113</f>
        <v>-8881.7422776975054</v>
      </c>
      <c r="BY113" s="1021">
        <f>(VLOOKUP(YEAR($A113),'NY East Load Projections'!$A$4:$EO$14,((MONTH($A113)-1)*12)+VLOOKUP(BY$4,$DE$6:$DF$17,2)+1))*(VLOOKUP($A113,SatSunCurve,6))*(INDEX(DailyScalarsTable,BY$5/100,MONTH($A113)))*$D113</f>
        <v>-8575.8963615262437</v>
      </c>
      <c r="BZ113" s="1021">
        <f>(VLOOKUP(YEAR($A113),'NY East Load Projections'!$A$4:$EO$14,((MONTH($A113)-1)*12)+VLOOKUP(BZ$4,$DE$6:$DF$17,2)+1))*(VLOOKUP($A113,SatSunCurve,6))*(INDEX(DailyScalarsTable,BZ$5/100,MONTH($A113)))*$D113</f>
        <v>-8062.3630841499416</v>
      </c>
      <c r="CA113" s="1021">
        <f>(VLOOKUP(YEAR($A113),'NY East Load Projections'!$A$4:$EO$14,((MONTH($A113)-1)*12)+VLOOKUP(CA$4,$DE$6:$DF$17,2)+1))*(VLOOKUP($A113,SatSunCurve,6))*(INDEX(DailyScalarsTable,CA$5/100,MONTH($A113)))*$D113</f>
        <v>-5943.5418904009166</v>
      </c>
      <c r="CB113" s="1021">
        <f>(VLOOKUP(YEAR($A113),'NY East Load Projections'!$A$4:$EO$14,((MONTH($A113)-1)*12)+VLOOKUP(CB$4,$DE$6:$DF$17,2)+1))*(VLOOKUP($A113,SatSunCurve,6))*(INDEX(DailyScalarsTable,CB$5/100,MONTH($A113)))*$D113</f>
        <v>-4903.5093106361055</v>
      </c>
      <c r="CC113" s="1021">
        <f>(VLOOKUP(YEAR($A113),'NY East Load Projections'!$A$4:$EO$14,((MONTH($A113)-1)*12)+VLOOKUP(CC$4,$DE$6:$DF$17,2)+1))*(VLOOKUP($A113,CURVES!$D$9:$T$261,6))*(INDEX(DailyScalarsTable,CC$5/100,MONTH($A113)))*$D113</f>
        <v>-7581.9233166031199</v>
      </c>
      <c r="CE113" s="1021">
        <f>(VLOOKUP(YEAR($A113),'NY East Load Projections'!$A$4:$EO$14,((MONTH($A113)-1)*12)+VLOOKUP(CE$4,$DE$6:$DF$17,2)+1))*(VLOOKUP($A113,CURVES!$D$9:$T$261,6))*(INDEX(DailyScalarsTable,CE$5/100,MONTH($A113)))*$E113</f>
        <v>-1651.9525724995942</v>
      </c>
      <c r="CF113" s="1021">
        <f>(VLOOKUP(YEAR($A113),'NY East Load Projections'!$A$4:$EO$14,((MONTH($A113)-1)*12)+VLOOKUP(CF$4,$DE$6:$DF$17,2)+1))*(VLOOKUP($A113,CURVES!$D$9:$T$261,6))*(INDEX(DailyScalarsTable,CF$5/100,MONTH($A113)))*$E113</f>
        <v>-1566.1114651819714</v>
      </c>
      <c r="CG113" s="1021">
        <f>(VLOOKUP(YEAR($A113),'NY East Load Projections'!$A$4:$EO$14,((MONTH($A113)-1)*12)+VLOOKUP(CG$4,$DE$6:$DF$17,2)+1))*(VLOOKUP($A113,CURVES!$D$9:$T$261,6))*(INDEX(DailyScalarsTable,CG$5/100,MONTH($A113)))*$E113</f>
        <v>-1503.0191399278181</v>
      </c>
      <c r="CH113" s="1021">
        <f>(VLOOKUP(YEAR($A113),'NY East Load Projections'!$A$4:$EO$14,((MONTH($A113)-1)*12)+VLOOKUP(CH$4,$DE$6:$DF$17,2)+1))*(VLOOKUP($A113,CURVES!$D$9:$T$261,6))*(INDEX(DailyScalarsTable,CH$5/100,MONTH($A113)))*$E113</f>
        <v>-1503.9077642271723</v>
      </c>
      <c r="CI113" s="1021">
        <f>(VLOOKUP(YEAR($A113),'NY East Load Projections'!$A$4:$EO$14,((MONTH($A113)-1)*12)+VLOOKUP(CI$4,$DE$6:$DF$17,2)+1))*(VLOOKUP($A113,CURVES!$D$9:$T$261,6))*(INDEX(DailyScalarsTable,CI$5/100,MONTH($A113)))*$E113</f>
        <v>-1636.1215858830039</v>
      </c>
      <c r="CJ113" s="1021">
        <f>(VLOOKUP(YEAR($A113),'NY East Load Projections'!$A$4:$EO$14,((MONTH($A113)-1)*12)+VLOOKUP(CJ$4,$DE$6:$DF$17,2)+1))*(VLOOKUP($A113,CURVES!$D$9:$T$261,6))*(INDEX(DailyScalarsTable,CJ$5/100,MONTH($A113)))*$E113</f>
        <v>-1885.0142132335459</v>
      </c>
      <c r="CK113" s="1021">
        <f>(VLOOKUP(YEAR($A113),'NY East Load Projections'!$A$4:$EO$14,((MONTH($A113)-1)*12)+VLOOKUP(CK$4,$DE$6:$DF$17,2)+1))*(VLOOKUP($A113,CURVES!$D$9:$T$261,6))*(INDEX(DailyScalarsTable,CK$5/100,MONTH($A113)))*$E113</f>
        <v>-2700.0969580595411</v>
      </c>
      <c r="CL113" s="1021">
        <f>(VLOOKUP(YEAR($A113),'NY East Load Projections'!$A$4:$EO$14,((MONTH($A113)-1)*12)+VLOOKUP(CL$4,$DE$6:$DF$17,2)+1))*(VLOOKUP($A113,SatSunCurve,6))*(INDEX(DailyScalarsTable,CL$5/100,MONTH($A113)))*$E113</f>
        <v>-1898.2542304557726</v>
      </c>
      <c r="CM113" s="1021">
        <f>(VLOOKUP(YEAR($A113),'NY East Load Projections'!$A$4:$EO$14,((MONTH($A113)-1)*12)+VLOOKUP(CM$4,$DE$6:$DF$17,2)+1))*(VLOOKUP($A113,SatSunCurve,6))*(INDEX(DailyScalarsTable,CM$5/100,MONTH($A113)))*$E113</f>
        <v>-2167.8166928088594</v>
      </c>
      <c r="CN113" s="1021">
        <f>(VLOOKUP(YEAR($A113),'NY East Load Projections'!$A$4:$EO$14,((MONTH($A113)-1)*12)+VLOOKUP(CN$4,$DE$6:$DF$17,2)+1))*(VLOOKUP($A113,SatSunCurve,6))*(INDEX(DailyScalarsTable,CN$5/100,MONTH($A113)))*$E113</f>
        <v>-2156.8267301970941</v>
      </c>
      <c r="CO113" s="1021">
        <f>(VLOOKUP(YEAR($A113),'NY East Load Projections'!$A$4:$EO$14,((MONTH($A113)-1)*12)+VLOOKUP(CO$4,$DE$6:$DF$17,2)+1))*(VLOOKUP($A113,SatSunCurve,6))*(INDEX(DailyScalarsTable,CO$5/100,MONTH($A113)))*$E113</f>
        <v>-2109.8865509061652</v>
      </c>
      <c r="CP113" s="1021">
        <f>(VLOOKUP(YEAR($A113),'NY East Load Projections'!$A$4:$EO$14,((MONTH($A113)-1)*12)+VLOOKUP(CP$4,$DE$6:$DF$17,2)+1))*(VLOOKUP($A113,SatSunCurve,6))*(INDEX(DailyScalarsTable,CP$5/100,MONTH($A113)))*$E113</f>
        <v>-1714.4341674353618</v>
      </c>
      <c r="CQ113" s="1021">
        <f>(VLOOKUP(YEAR($A113),'NY East Load Projections'!$A$4:$EO$14,((MONTH($A113)-1)*12)+VLOOKUP(CQ$4,$DE$6:$DF$17,2)+1))*(VLOOKUP($A113,SatSunCurve,6))*(INDEX(DailyScalarsTable,CQ$5/100,MONTH($A113)))*$E113</f>
        <v>-1647.4874680463895</v>
      </c>
      <c r="CR113" s="1021">
        <f>(VLOOKUP(YEAR($A113),'NY East Load Projections'!$A$4:$EO$14,((MONTH($A113)-1)*12)+VLOOKUP(CR$4,$DE$6:$DF$17,2)+1))*(VLOOKUP($A113,SatSunCurve,6))*(INDEX(DailyScalarsTable,CR$5/100,MONTH($A113)))*$E113</f>
        <v>-1576.4961804188333</v>
      </c>
      <c r="CS113" s="1021">
        <f>(VLOOKUP(YEAR($A113),'NY East Load Projections'!$A$4:$EO$14,((MONTH($A113)-1)*12)+VLOOKUP(CS$4,$DE$6:$DF$17,2)+1))*(VLOOKUP($A113,SatSunCurve,6))*(INDEX(DailyScalarsTable,CS$5/100,MONTH($A113)))*$E113</f>
        <v>-1497.2194374713501</v>
      </c>
      <c r="CT113" s="1021">
        <f>(VLOOKUP(YEAR($A113),'NY East Load Projections'!$A$4:$EO$14,((MONTH($A113)-1)*12)+VLOOKUP(CT$4,$DE$6:$DF$17,2)+1))*(VLOOKUP($A113,SatSunCurve,6))*(INDEX(DailyScalarsTable,CT$5/100,MONTH($A113)))*$E113</f>
        <v>-1471.2332366952155</v>
      </c>
      <c r="CU113" s="1021">
        <f>(VLOOKUP(YEAR($A113),'NY East Load Projections'!$A$4:$EO$14,((MONTH($A113)-1)*12)+VLOOKUP(CU$4,$DE$6:$DF$17,2)+1))*(VLOOKUP($A113,SatSunCurve,6))*(INDEX(DailyScalarsTable,CU$5/100,MONTH($A113)))*$E113</f>
        <v>-1586.0769261537125</v>
      </c>
      <c r="CV113" s="1021">
        <f>(VLOOKUP(YEAR($A113),'NY East Load Projections'!$A$4:$EO$14,((MONTH($A113)-1)*12)+VLOOKUP(CV$4,$DE$6:$DF$17,2)+1))*(VLOOKUP($A113,SatSunCurve,6))*(INDEX(DailyScalarsTable,CV$5/100,MONTH($A113)))*$E113</f>
        <v>-2235.32848710693</v>
      </c>
      <c r="CW113" s="1021">
        <f>(VLOOKUP(YEAR($A113),'NY East Load Projections'!$A$4:$EO$14,((MONTH($A113)-1)*12)+VLOOKUP(CW$4,$DE$6:$DF$17,2)+1))*(VLOOKUP($A113,SatSunCurve,6))*(INDEX(DailyScalarsTable,CW$5/100,MONTH($A113)))*$E113</f>
        <v>-2220.4355694243764</v>
      </c>
      <c r="CX113" s="1021">
        <f>(VLOOKUP(YEAR($A113),'NY East Load Projections'!$A$4:$EO$14,((MONTH($A113)-1)*12)+VLOOKUP(CX$4,$DE$6:$DF$17,2)+1))*(VLOOKUP($A113,SatSunCurve,6))*(INDEX(DailyScalarsTable,CX$5/100,MONTH($A113)))*$E113</f>
        <v>-2143.9740903815609</v>
      </c>
      <c r="CY113" s="1021">
        <f>(VLOOKUP(YEAR($A113),'NY East Load Projections'!$A$4:$EO$14,((MONTH($A113)-1)*12)+VLOOKUP(CY$4,$DE$6:$DF$17,2)+1))*(VLOOKUP($A113,SatSunCurve,6))*(INDEX(DailyScalarsTable,CY$5/100,MONTH($A113)))*$E113</f>
        <v>-2015.5907710374854</v>
      </c>
      <c r="CZ113" s="1021">
        <f>(VLOOKUP(YEAR($A113),'NY East Load Projections'!$A$4:$EO$14,((MONTH($A113)-1)*12)+VLOOKUP(CZ$4,$DE$6:$DF$17,2)+1))*(VLOOKUP($A113,SatSunCurve,6))*(INDEX(DailyScalarsTable,CZ$5/100,MONTH($A113)))*$E113</f>
        <v>-1485.8854726002291</v>
      </c>
      <c r="DA113" s="1021">
        <f>(VLOOKUP(YEAR($A113),'NY East Load Projections'!$A$4:$EO$14,((MONTH($A113)-1)*12)+VLOOKUP(DA$4,$DE$6:$DF$17,2)+1))*(VLOOKUP($A113,SatSunCurve,6))*(INDEX(DailyScalarsTable,DA$5/100,MONTH($A113)))*$E113</f>
        <v>-1225.8773276590264</v>
      </c>
      <c r="DB113" s="1021">
        <f>(VLOOKUP(YEAR($A113),'NY East Load Projections'!$A$4:$EO$14,((MONTH($A113)-1)*12)+VLOOKUP(DB$4,$DE$6:$DF$17,2)+1))*(VLOOKUP($A113,CURVES!$D$9:$T$261,6))*(INDEX(DailyScalarsTable,DB$5/100,MONTH($A113)))*$E113</f>
        <v>-1895.48082915078</v>
      </c>
      <c r="DH113" s="1021">
        <f t="shared" si="2"/>
        <v>-1702726.162071313</v>
      </c>
      <c r="DI113">
        <f ca="1">CALC!J133</f>
        <v>0.48680038887296539</v>
      </c>
      <c r="DJ113" s="1029">
        <f t="shared" ca="1" si="3"/>
        <v>-828887.75784048706</v>
      </c>
    </row>
    <row r="114" spans="1:114" x14ac:dyDescent="0.25">
      <c r="A114" s="244">
        <v>40179</v>
      </c>
      <c r="B114" s="13">
        <v>20</v>
      </c>
      <c r="C114" s="210">
        <v>5</v>
      </c>
      <c r="D114" s="210">
        <v>5</v>
      </c>
      <c r="E114" s="210">
        <v>1</v>
      </c>
      <c r="F114" s="13">
        <v>31</v>
      </c>
      <c r="H114" s="1021">
        <f>(VLOOKUP(YEAR($A114),'NY East Load Projections'!$A$4:$EO$14,((MONTH($A114)-1)*12)+VLOOKUP(H$4,$DE$6:$DF$17,2)+1))*(VLOOKUP($A114,CURVES!$D$9:$K$261,6))*(INDEX(DailyScalarsTable,H$5/100,MONTH($A114)))*$B114</f>
        <v>-28788.442508479999</v>
      </c>
      <c r="I114" s="1021">
        <f>(VLOOKUP(YEAR($A114),'NY East Load Projections'!$A$4:$EO$14,((MONTH($A114)-1)*12)+VLOOKUP(I$4,$DE$6:$DF$17,2)+1))*(VLOOKUP($A114,CURVES!$D$9:$K$261,6))*(INDEX(DailyScalarsTable,I$5/100,MONTH($A114)))*$B114</f>
        <v>-28227.5634433245</v>
      </c>
      <c r="J114" s="1021">
        <f>(VLOOKUP(YEAR($A114),'NY East Load Projections'!$A$4:$EO$14,((MONTH($A114)-1)*12)+VLOOKUP(J$4,$DE$6:$DF$17,2)+1))*(VLOOKUP($A114,CURVES!$D$9:$K$261,6))*(INDEX(DailyScalarsTable,J$5/100,MONTH($A114)))*$B114</f>
        <v>-25866.343923823326</v>
      </c>
      <c r="K114" s="1021">
        <f>(VLOOKUP(YEAR($A114),'NY East Load Projections'!$A$4:$EO$14,((MONTH($A114)-1)*12)+VLOOKUP(K$4,$DE$6:$DF$17,2)+1))*(VLOOKUP($A114,CURVES!$D$9:$K$261,6))*(INDEX(DailyScalarsTable,K$5/100,MONTH($A114)))*$B114</f>
        <v>-25850.704731314141</v>
      </c>
      <c r="L114" s="1021">
        <f>(VLOOKUP(YEAR($A114),'NY East Load Projections'!$A$4:$EO$14,((MONTH($A114)-1)*12)+VLOOKUP(L$4,$DE$6:$DF$17,2)+1))*(VLOOKUP($A114,CURVES!$D$9:$K$261,6))*(INDEX(DailyScalarsTable,L$5/100,MONTH($A114)))*$B114</f>
        <v>-28903.959627532695</v>
      </c>
      <c r="M114" s="1021">
        <f>(VLOOKUP(YEAR($A114),'NY East Load Projections'!$A$4:$EO$14,((MONTH($A114)-1)*12)+VLOOKUP(M$4,$DE$6:$DF$17,2)+1))*(VLOOKUP($A114,CURVES!$D$9:$K$261,6))*(INDEX(DailyScalarsTable,M$5/100,MONTH($A114)))*$B114</f>
        <v>-30846.824722401696</v>
      </c>
      <c r="N114" s="1021">
        <f>(VLOOKUP(YEAR($A114),'NY East Load Projections'!$A$4:$EO$14,((MONTH($A114)-1)*12)+VLOOKUP(N$4,$DE$6:$DF$17,2)+1))*(VLOOKUP($A114,CURVES!$D$9:$K$261,6))*(INDEX(DailyScalarsTable,N$5/100,MONTH($A114)))*$B114</f>
        <v>-59071.29374557775</v>
      </c>
      <c r="O114" s="1021">
        <f>(VLOOKUP(YEAR($A114),'NY East Load Projections'!$A$4:$EO$14,((MONTH($A114)-1)*12)+VLOOKUP(O$4,$DE$6:$DF$17,2)+1))*(VLOOKUP($A114,CURVES!$D$9:$K$261,2))*(INDEX(DailyScalarsTable,O$5/100,MONTH($A114)))*$B114</f>
        <v>-68815.987024308808</v>
      </c>
      <c r="P114" s="1021">
        <f>(VLOOKUP(YEAR($A114),'NY East Load Projections'!$A$4:$EO$14,((MONTH($A114)-1)*12)+VLOOKUP(P$4,$DE$6:$DF$17,2)+1))*(VLOOKUP($A114,CURVES!$D$9:$K$261,2))*(INDEX(DailyScalarsTable,P$5/100,MONTH($A114)))*$B114</f>
        <v>-74814.539068800019</v>
      </c>
      <c r="Q114" s="1021">
        <f>(VLOOKUP(YEAR($A114),'NY East Load Projections'!$A$4:$EO$14,((MONTH($A114)-1)*12)+VLOOKUP(Q$4,$DE$6:$DF$17,2)+1))*(VLOOKUP($A114,CURVES!$D$9:$K$261,2))*(INDEX(DailyScalarsTable,Q$5/100,MONTH($A114)))*$B114</f>
        <v>-74586.833662727135</v>
      </c>
      <c r="R114" s="1021">
        <f>(VLOOKUP(YEAR($A114),'NY East Load Projections'!$A$4:$EO$14,((MONTH($A114)-1)*12)+VLOOKUP(R$4,$DE$6:$DF$17,2)+1))*(VLOOKUP($A114,CURVES!$D$9:$K$261,2))*(INDEX(DailyScalarsTable,R$5/100,MONTH($A114)))*$B114</f>
        <v>-73285.195586816641</v>
      </c>
      <c r="S114" s="1021">
        <f>(VLOOKUP(YEAR($A114),'NY East Load Projections'!$A$4:$EO$14,((MONTH($A114)-1)*12)+VLOOKUP(S$4,$DE$6:$DF$17,2)+1))*(VLOOKUP($A114,CURVES!$D$9:$K$261,2))*(INDEX(DailyScalarsTable,S$5/100,MONTH($A114)))*$B114</f>
        <v>-54897.545246401503</v>
      </c>
      <c r="T114" s="1021">
        <f>(VLOOKUP(YEAR($A114),'NY East Load Projections'!$A$4:$EO$14,((MONTH($A114)-1)*12)+VLOOKUP(T$4,$DE$6:$DF$17,2)+1))*(VLOOKUP($A114,CURVES!$D$9:$K$261,2))*(INDEX(DailyScalarsTable,T$5/100,MONTH($A114)))*$B114</f>
        <v>-53089.602114610738</v>
      </c>
      <c r="U114" s="1021">
        <f>(VLOOKUP(YEAR($A114),'NY East Load Projections'!$A$4:$EO$14,((MONTH($A114)-1)*12)+VLOOKUP(U$4,$DE$6:$DF$17,2)+1))*(VLOOKUP($A114,CURVES!$D$9:$K$261,2))*(INDEX(DailyScalarsTable,U$5/100,MONTH($A114)))*$B114</f>
        <v>-51375.431526913897</v>
      </c>
      <c r="V114" s="1021">
        <f>(VLOOKUP(YEAR($A114),'NY East Load Projections'!$A$4:$EO$14,((MONTH($A114)-1)*12)+VLOOKUP(V$4,$DE$6:$DF$17,2)+1))*(VLOOKUP($A114,CURVES!$D$9:$K$261,2))*(INDEX(DailyScalarsTable,V$5/100,MONTH($A114)))*$B114</f>
        <v>-48760.700304376332</v>
      </c>
      <c r="W114" s="1021">
        <f>(VLOOKUP(YEAR($A114),'NY East Load Projections'!$A$4:$EO$14,((MONTH($A114)-1)*12)+VLOOKUP(W$4,$DE$6:$DF$17,2)+1))*(VLOOKUP($A114,CURVES!$D$9:$K$261,2))*(INDEX(DailyScalarsTable,W$5/100,MONTH($A114)))*$B114</f>
        <v>-47779.39975054987</v>
      </c>
      <c r="X114" s="1021">
        <f>(VLOOKUP(YEAR($A114),'NY East Load Projections'!$A$4:$EO$14,((MONTH($A114)-1)*12)+VLOOKUP(X$4,$DE$6:$DF$17,2)+1))*(VLOOKUP($A114,CURVES!$D$9:$K$261,2))*(INDEX(DailyScalarsTable,X$5/100,MONTH($A114)))*$B114</f>
        <v>-49682.132566100488</v>
      </c>
      <c r="Y114" s="1021">
        <f>(VLOOKUP(YEAR($A114),'NY East Load Projections'!$A$4:$EO$14,((MONTH($A114)-1)*12)+VLOOKUP(Y$4,$DE$6:$DF$17,2)+1))*(VLOOKUP($A114,CURVES!$D$9:$K$261,2))*(INDEX(DailyScalarsTable,Y$5/100,MONTH($A114)))*$B114</f>
        <v>-69130.529056841595</v>
      </c>
      <c r="Z114" s="1021">
        <f>(VLOOKUP(YEAR($A114),'NY East Load Projections'!$A$4:$EO$14,((MONTH($A114)-1)*12)+VLOOKUP(Z$4,$DE$6:$DF$17,2)+1))*(VLOOKUP($A114,CURVES!$D$9:$K$261,2))*(INDEX(DailyScalarsTable,Z$5/100,MONTH($A114)))*$B114</f>
        <v>-75854.558633579742</v>
      </c>
      <c r="AA114" s="1021">
        <f>(VLOOKUP(YEAR($A114),'NY East Load Projections'!$A$4:$EO$14,((MONTH($A114)-1)*12)+VLOOKUP(AA$4,$DE$6:$DF$17,2)+1))*(VLOOKUP($A114,CURVES!$D$9:$K$261,2))*(INDEX(DailyScalarsTable,AA$5/100,MONTH($A114)))*$B114</f>
        <v>-72605.975057891032</v>
      </c>
      <c r="AB114" s="1021">
        <f>(VLOOKUP(YEAR($A114),'NY East Load Projections'!$A$4:$EO$14,((MONTH($A114)-1)*12)+VLOOKUP(AB$4,$DE$6:$DF$17,2)+1))*(VLOOKUP($A114,CURVES!$D$9:$K$261,2))*(INDEX(DailyScalarsTable,AB$5/100,MONTH($A114)))*$B114</f>
        <v>-64704.737515436078</v>
      </c>
      <c r="AC114" s="1021">
        <f>(VLOOKUP(YEAR($A114),'NY East Load Projections'!$A$4:$EO$14,((MONTH($A114)-1)*12)+VLOOKUP(AC$4,$DE$6:$DF$17,2)+1))*(VLOOKUP($A114,CURVES!$D$9:$K$261,2))*(INDEX(DailyScalarsTable,AC$5/100,MONTH($A114)))*$B114</f>
        <v>-46019.507945184945</v>
      </c>
      <c r="AD114" s="1021">
        <f>(VLOOKUP(YEAR($A114),'NY East Load Projections'!$A$4:$EO$14,((MONTH($A114)-1)*12)+VLOOKUP(AD$4,$DE$6:$DF$17,2)+1))*(VLOOKUP($A114,CURVES!$D$9:$K$261,2))*(INDEX(DailyScalarsTable,AD$5/100,MONTH($A114)))*$B114</f>
        <v>-37672.695183368072</v>
      </c>
      <c r="AE114" s="1021">
        <f>(VLOOKUP(YEAR($A114),'NY East Load Projections'!$A$4:$EO$14,((MONTH($A114)-1)*12)+VLOOKUP(AE$4,$DE$6:$DF$17,2)+1))*(VLOOKUP($A114,CURVES!$D$9:$K$261,6))*(INDEX(DailyScalarsTable,AE$5/100,MONTH($A114)))*$B114</f>
        <v>-33283.783883430835</v>
      </c>
      <c r="AF114" s="1021"/>
      <c r="AG114" s="1021">
        <f>(VLOOKUP(YEAR($A114),'NY East Load Projections'!$A$4:$EO$14,((MONTH($A114)-1)*12)+VLOOKUP(AG$4,$DE$6:$DF$17,2)+1))*(VLOOKUP($A114,CURVES!$D$9:$T$261,6))*(INDEX(DailyScalarsTable,AG$5/100,MONTH($A114)))*$C114</f>
        <v>-7477.6619208273041</v>
      </c>
      <c r="AH114" s="1021">
        <f>(VLOOKUP(YEAR($A114),'NY East Load Projections'!$A$4:$EO$14,((MONTH($A114)-1)*12)+VLOOKUP(AH$4,$DE$6:$DF$17,2)+1))*(VLOOKUP($A114,CURVES!$D$9:$T$261,6))*(INDEX(DailyScalarsTable,AH$5/100,MONTH($A114)))*$C114</f>
        <v>-7331.9762337163365</v>
      </c>
      <c r="AI114" s="1021">
        <f>(VLOOKUP(YEAR($A114),'NY East Load Projections'!$A$4:$EO$14,((MONTH($A114)-1)*12)+VLOOKUP(AI$4,$DE$6:$DF$17,2)+1))*(VLOOKUP($A114,CURVES!$D$9:$T$261,6))*(INDEX(DailyScalarsTable,AI$5/100,MONTH($A114)))*$C114</f>
        <v>-6718.660619907525</v>
      </c>
      <c r="AJ114" s="1021">
        <f>(VLOOKUP(YEAR($A114),'NY East Load Projections'!$A$4:$EO$14,((MONTH($A114)-1)*12)+VLOOKUP(AJ$4,$DE$6:$DF$17,2)+1))*(VLOOKUP($A114,CURVES!$D$9:$T$261,6))*(INDEX(DailyScalarsTable,AJ$5/100,MONTH($A114)))*$C114</f>
        <v>-6714.5984135459285</v>
      </c>
      <c r="AK114" s="1021">
        <f>(VLOOKUP(YEAR($A114),'NY East Load Projections'!$A$4:$EO$14,((MONTH($A114)-1)*12)+VLOOKUP(AK$4,$DE$6:$DF$17,2)+1))*(VLOOKUP($A114,CURVES!$D$9:$T$261,6))*(INDEX(DailyScalarsTable,AK$5/100,MONTH($A114)))*$C114</f>
        <v>-7030.1681517746347</v>
      </c>
      <c r="AL114" s="1021">
        <f>(VLOOKUP(YEAR($A114),'NY East Load Projections'!$A$4:$EO$14,((MONTH($A114)-1)*12)+VLOOKUP(AL$4,$DE$6:$DF$17,2)+1))*(VLOOKUP($A114,CURVES!$D$9:$T$261,6))*(INDEX(DailyScalarsTable,AL$5/100,MONTH($A114)))*$C114</f>
        <v>-7502.7216873162488</v>
      </c>
      <c r="AM114" s="1021">
        <f>(VLOOKUP(YEAR($A114),'NY East Load Projections'!$A$4:$EO$14,((MONTH($A114)-1)*12)+VLOOKUP(AM$4,$DE$6:$DF$17,2)+1))*(VLOOKUP($A114,CURVES!$D$9:$T$261,6))*(INDEX(DailyScalarsTable,AM$5/100,MONTH($A114)))*$C114</f>
        <v>-14367.620676397069</v>
      </c>
      <c r="AN114" s="1021">
        <f>(VLOOKUP(YEAR($A114),'NY East Load Projections'!$A$4:$EO$14,((MONTH($A114)-1)*12)+VLOOKUP(AN$4,$DE$6:$DF$17,2)+1))*(VLOOKUP($A114,SatSunCurve,2))*(INDEX(DailyScalarsTable,AN$5/100,MONTH($A114)))*$C114</f>
        <v>-13466.458600064365</v>
      </c>
      <c r="AO114" s="1021">
        <f>(VLOOKUP(YEAR($A114),'NY East Load Projections'!$A$4:$EO$14,((MONTH($A114)-1)*12)+VLOOKUP(AO$4,$DE$6:$DF$17,2)+1))*(VLOOKUP($A114,SatSunCurve,2))*(INDEX(DailyScalarsTable,AO$5/100,MONTH($A114)))*$C114</f>
        <v>-14945.902699471882</v>
      </c>
      <c r="AP114" s="1021">
        <f>(VLOOKUP(YEAR($A114),'NY East Load Projections'!$A$4:$EO$14,((MONTH($A114)-1)*12)+VLOOKUP(AP$4,$DE$6:$DF$17,2)+1))*(VLOOKUP($A114,SatSunCurve,2))*(INDEX(DailyScalarsTable,AP$5/100,MONTH($A114)))*$C114</f>
        <v>-14900.413374994734</v>
      </c>
      <c r="AQ114" s="1021">
        <f>(VLOOKUP(YEAR($A114),'NY East Load Projections'!$A$4:$EO$14,((MONTH($A114)-1)*12)+VLOOKUP(AQ$4,$DE$6:$DF$17,2)+1))*(VLOOKUP($A114,SatSunCurve,2))*(INDEX(DailyScalarsTable,AQ$5/100,MONTH($A114)))*$C114</f>
        <v>-14640.38161813801</v>
      </c>
      <c r="AR114" s="1021">
        <f>(VLOOKUP(YEAR($A114),'NY East Load Projections'!$A$4:$EO$14,((MONTH($A114)-1)*12)+VLOOKUP(AR$4,$DE$6:$DF$17,2)+1))*(VLOOKUP($A114,SatSunCurve,2))*(INDEX(DailyScalarsTable,AR$5/100,MONTH($A114)))*$C114</f>
        <v>-10967.031006340094</v>
      </c>
      <c r="AS114" s="1021">
        <f>(VLOOKUP(YEAR($A114),'NY East Load Projections'!$A$4:$EO$14,((MONTH($A114)-1)*12)+VLOOKUP(AS$4,$DE$6:$DF$17,2)+1))*(VLOOKUP($A114,SatSunCurve,2))*(INDEX(DailyScalarsTable,AS$5/100,MONTH($A114)))*$C114</f>
        <v>-10459.022655003315</v>
      </c>
      <c r="AT114" s="1021">
        <f>(VLOOKUP(YEAR($A114),'NY East Load Projections'!$A$4:$EO$14,((MONTH($A114)-1)*12)+VLOOKUP(AT$4,$DE$6:$DF$17,2)+1))*(VLOOKUP($A114,SatSunCurve,2))*(INDEX(DailyScalarsTable,AT$5/100,MONTH($A114)))*$C114</f>
        <v>-10121.319069043919</v>
      </c>
      <c r="AU114" s="1021">
        <f>(VLOOKUP(YEAR($A114),'NY East Load Projections'!$A$4:$EO$14,((MONTH($A114)-1)*12)+VLOOKUP(AU$4,$DE$6:$DF$17,2)+1))*(VLOOKUP($A114,SatSunCurve,2))*(INDEX(DailyScalarsTable,AU$5/100,MONTH($A114)))*$C114</f>
        <v>-9606.1987440841167</v>
      </c>
      <c r="AV114" s="1021">
        <f>(VLOOKUP(YEAR($A114),'NY East Load Projections'!$A$4:$EO$14,((MONTH($A114)-1)*12)+VLOOKUP(AV$4,$DE$6:$DF$17,2)+1))*(VLOOKUP($A114,SatSunCurve,2))*(INDEX(DailyScalarsTable,AV$5/100,MONTH($A114)))*$C114</f>
        <v>-9412.8756767595332</v>
      </c>
      <c r="AW114" s="1021">
        <f>(VLOOKUP(YEAR($A114),'NY East Load Projections'!$A$4:$EO$14,((MONTH($A114)-1)*12)+VLOOKUP(AW$4,$DE$6:$DF$17,2)+1))*(VLOOKUP($A114,SatSunCurve,2))*(INDEX(DailyScalarsTable,AW$5/100,MONTH($A114)))*$C114</f>
        <v>-9917.0192328853809</v>
      </c>
      <c r="AX114" s="1021">
        <f>(VLOOKUP(YEAR($A114),'NY East Load Projections'!$A$4:$EO$14,((MONTH($A114)-1)*12)+VLOOKUP(AX$4,$DE$6:$DF$17,2)+1))*(VLOOKUP($A114,SatSunCurve,2))*(INDEX(DailyScalarsTable,AX$5/100,MONTH($A114)))*$C114</f>
        <v>-13799.101423919603</v>
      </c>
      <c r="AY114" s="1021">
        <f>(VLOOKUP(YEAR($A114),'NY East Load Projections'!$A$4:$EO$14,((MONTH($A114)-1)*12)+VLOOKUP(AY$4,$DE$6:$DF$17,2)+1))*(VLOOKUP($A114,SatSunCurve,2))*(INDEX(DailyScalarsTable,AY$5/100,MONTH($A114)))*$C114</f>
        <v>-15141.280738510894</v>
      </c>
      <c r="AZ114" s="1021">
        <f>(VLOOKUP(YEAR($A114),'NY East Load Projections'!$A$4:$EO$14,((MONTH($A114)-1)*12)+VLOOKUP(AZ$4,$DE$6:$DF$17,2)+1))*(VLOOKUP($A114,SatSunCurve,2))*(INDEX(DailyScalarsTable,AZ$5/100,MONTH($A114)))*$C114</f>
        <v>-14492.833014233402</v>
      </c>
      <c r="BA114" s="1021">
        <f>(VLOOKUP(YEAR($A114),'NY East Load Projections'!$A$4:$EO$14,((MONTH($A114)-1)*12)+VLOOKUP(BA$4,$DE$6:$DF$17,2)+1))*(VLOOKUP($A114,SatSunCurve,2))*(INDEX(DailyScalarsTable,BA$5/100,MONTH($A114)))*$C114</f>
        <v>-13379.103851994832</v>
      </c>
      <c r="BB114" s="1021">
        <f>(VLOOKUP(YEAR($A114),'NY East Load Projections'!$A$4:$EO$14,((MONTH($A114)-1)*12)+VLOOKUP(BB$4,$DE$6:$DF$17,2)+1))*(VLOOKUP($A114,SatSunCurve,2))*(INDEX(DailyScalarsTable,BB$5/100,MONTH($A114)))*$C114</f>
        <v>-9515.5285325042587</v>
      </c>
      <c r="BC114" s="1021">
        <f>(VLOOKUP(YEAR($A114),'NY East Load Projections'!$A$4:$EO$14,((MONTH($A114)-1)*12)+VLOOKUP(BC$4,$DE$6:$DF$17,2)+1))*(VLOOKUP($A114,SatSunCurve,2))*(INDEX(DailyScalarsTable,BC$5/100,MONTH($A114)))*$C114</f>
        <v>-7789.6444773087205</v>
      </c>
      <c r="BD114" s="1021">
        <f>(VLOOKUP(YEAR($A114),'NY East Load Projections'!$A$4:$EO$14,((MONTH($A114)-1)*12)+VLOOKUP(BD$4,$DE$6:$DF$17,2)+1))*(VLOOKUP($A114,CURVES!$D$9:$T$261,6))*(INDEX(DailyScalarsTable,BD$5/100,MONTH($A114)))*$C114</f>
        <v>-8553.9745235498031</v>
      </c>
      <c r="BE114" s="1021"/>
      <c r="BF114" s="1021">
        <f>(VLOOKUP(YEAR($A114),'NY East Load Projections'!$A$4:$EO$14,((MONTH($A114)-1)*12)+VLOOKUP(BF$4,$DE$6:$DF$17,2)+1))*(VLOOKUP($A114,CURVES!$D$9:$T$261,6))*(INDEX(DailyScalarsTable,BF$5/100,MONTH($A114)))*$D114</f>
        <v>-7477.6619208273041</v>
      </c>
      <c r="BG114" s="1021">
        <f>(VLOOKUP(YEAR($A114),'NY East Load Projections'!$A$4:$EO$14,((MONTH($A114)-1)*12)+VLOOKUP(BG$4,$DE$6:$DF$17,2)+1))*(VLOOKUP($A114,CURVES!$D$9:$T$261,6))*(INDEX(DailyScalarsTable,BG$5/100,MONTH($A114)))*$D114</f>
        <v>-7331.9762337163365</v>
      </c>
      <c r="BH114" s="1021">
        <f>(VLOOKUP(YEAR($A114),'NY East Load Projections'!$A$4:$EO$14,((MONTH($A114)-1)*12)+VLOOKUP(BH$4,$DE$6:$DF$17,2)+1))*(VLOOKUP($A114,CURVES!$D$9:$T$261,6))*(INDEX(DailyScalarsTable,BH$5/100,MONTH($A114)))*$D114</f>
        <v>-6718.660619907525</v>
      </c>
      <c r="BI114" s="1021">
        <f>(VLOOKUP(YEAR($A114),'NY East Load Projections'!$A$4:$EO$14,((MONTH($A114)-1)*12)+VLOOKUP(BI$4,$DE$6:$DF$17,2)+1))*(VLOOKUP($A114,CURVES!$D$9:$T$261,6))*(INDEX(DailyScalarsTable,BI$5/100,MONTH($A114)))*$D114</f>
        <v>-6714.5984135459285</v>
      </c>
      <c r="BJ114" s="1021">
        <f>(VLOOKUP(YEAR($A114),'NY East Load Projections'!$A$4:$EO$14,((MONTH($A114)-1)*12)+VLOOKUP(BJ$4,$DE$6:$DF$17,2)+1))*(VLOOKUP($A114,CURVES!$D$9:$T$261,6))*(INDEX(DailyScalarsTable,BJ$5/100,MONTH($A114)))*$D114</f>
        <v>-7030.1681517746347</v>
      </c>
      <c r="BK114" s="1021">
        <f>(VLOOKUP(YEAR($A114),'NY East Load Projections'!$A$4:$EO$14,((MONTH($A114)-1)*12)+VLOOKUP(BK$4,$DE$6:$DF$17,2)+1))*(VLOOKUP($A114,CURVES!$D$9:$T$261,6))*(INDEX(DailyScalarsTable,BK$5/100,MONTH($A114)))*$D114</f>
        <v>-7502.7216873162488</v>
      </c>
      <c r="BL114" s="1021">
        <f>(VLOOKUP(YEAR($A114),'NY East Load Projections'!$A$4:$EO$14,((MONTH($A114)-1)*12)+VLOOKUP(BL$4,$DE$6:$DF$17,2)+1))*(VLOOKUP($A114,CURVES!$D$9:$T$261,6))*(INDEX(DailyScalarsTable,BL$5/100,MONTH($A114)))*$D114</f>
        <v>-14367.620676397069</v>
      </c>
      <c r="BM114" s="1021">
        <f>(VLOOKUP(YEAR($A114),'NY East Load Projections'!$A$4:$EO$14,((MONTH($A114)-1)*12)+VLOOKUP(BM$4,$DE$6:$DF$17,2)+1))*(VLOOKUP($A114,SatSunCurve,6))*(INDEX(DailyScalarsTable,BM$5/100,MONTH($A114)))*$D114</f>
        <v>-11291.5962893336</v>
      </c>
      <c r="BN114" s="1021">
        <f>(VLOOKUP(YEAR($A114),'NY East Load Projections'!$A$4:$EO$14,((MONTH($A114)-1)*12)+VLOOKUP(BN$4,$DE$6:$DF$17,2)+1))*(VLOOKUP($A114,SatSunCurve,6))*(INDEX(DailyScalarsTable,BN$5/100,MONTH($A114)))*$D114</f>
        <v>-12532.106953589944</v>
      </c>
      <c r="BO114" s="1021">
        <f>(VLOOKUP(YEAR($A114),'NY East Load Projections'!$A$4:$EO$14,((MONTH($A114)-1)*12)+VLOOKUP(BO$4,$DE$6:$DF$17,2)+1))*(VLOOKUP($A114,SatSunCurve,6))*(INDEX(DailyScalarsTable,BO$5/100,MONTH($A114)))*$D114</f>
        <v>-12493.964253810806</v>
      </c>
      <c r="BP114" s="1021">
        <f>(VLOOKUP(YEAR($A114),'NY East Load Projections'!$A$4:$EO$14,((MONTH($A114)-1)*12)+VLOOKUP(BP$4,$DE$6:$DF$17,2)+1))*(VLOOKUP($A114,SatSunCurve,6))*(INDEX(DailyScalarsTable,BP$5/100,MONTH($A114)))*$D114</f>
        <v>-12275.928190430468</v>
      </c>
      <c r="BQ114" s="1021">
        <f>(VLOOKUP(YEAR($A114),'NY East Load Projections'!$A$4:$EO$14,((MONTH($A114)-1)*12)+VLOOKUP(BQ$4,$DE$6:$DF$17,2)+1))*(VLOOKUP($A114,SatSunCurve,6))*(INDEX(DailyScalarsTable,BQ$5/100,MONTH($A114)))*$D114</f>
        <v>-9195.831680320498</v>
      </c>
      <c r="BR114" s="1021">
        <f>(VLOOKUP(YEAR($A114),'NY East Load Projections'!$A$4:$EO$14,((MONTH($A114)-1)*12)+VLOOKUP(BR$4,$DE$6:$DF$17,2)+1))*(VLOOKUP($A114,SatSunCurve,6))*(INDEX(DailyScalarsTable,BR$5/100,MONTH($A114)))*$D114</f>
        <v>-8769.8677810309382</v>
      </c>
      <c r="BS114" s="1021">
        <f>(VLOOKUP(YEAR($A114),'NY East Load Projections'!$A$4:$EO$14,((MONTH($A114)-1)*12)+VLOOKUP(BS$4,$DE$6:$DF$17,2)+1))*(VLOOKUP($A114,SatSunCurve,6))*(INDEX(DailyScalarsTable,BS$5/100,MONTH($A114)))*$D114</f>
        <v>-8486.7040576378022</v>
      </c>
      <c r="BT114" s="1021">
        <f>(VLOOKUP(YEAR($A114),'NY East Load Projections'!$A$4:$EO$14,((MONTH($A114)-1)*12)+VLOOKUP(BT$4,$DE$6:$DF$17,2)+1))*(VLOOKUP($A114,SatSunCurve,6))*(INDEX(DailyScalarsTable,BT$5/100,MONTH($A114)))*$D114</f>
        <v>-8054.776783911313</v>
      </c>
      <c r="BU114" s="1021">
        <f>(VLOOKUP(YEAR($A114),'NY East Load Projections'!$A$4:$EO$14,((MONTH($A114)-1)*12)+VLOOKUP(BU$4,$DE$6:$DF$17,2)+1))*(VLOOKUP($A114,SatSunCurve,6))*(INDEX(DailyScalarsTable,BU$5/100,MONTH($A114)))*$D114</f>
        <v>-7892.6758118239368</v>
      </c>
      <c r="BV114" s="1021">
        <f>(VLOOKUP(YEAR($A114),'NY East Load Projections'!$A$4:$EO$14,((MONTH($A114)-1)*12)+VLOOKUP(BV$4,$DE$6:$DF$17,2)+1))*(VLOOKUP($A114,SatSunCurve,6))*(INDEX(DailyScalarsTable,BV$5/100,MONTH($A114)))*$D114</f>
        <v>-8315.3990887227974</v>
      </c>
      <c r="BW114" s="1021">
        <f>(VLOOKUP(YEAR($A114),'NY East Load Projections'!$A$4:$EO$14,((MONTH($A114)-1)*12)+VLOOKUP(BW$4,$DE$6:$DF$17,2)+1))*(VLOOKUP($A114,SatSunCurve,6))*(INDEX(DailyScalarsTable,BW$5/100,MONTH($A114)))*$D114</f>
        <v>-11570.516574693502</v>
      </c>
      <c r="BX114" s="1021">
        <f>(VLOOKUP(YEAR($A114),'NY East Load Projections'!$A$4:$EO$14,((MONTH($A114)-1)*12)+VLOOKUP(BX$4,$DE$6:$DF$17,2)+1))*(VLOOKUP($A114,SatSunCurve,6))*(INDEX(DailyScalarsTable,BX$5/100,MONTH($A114)))*$D114</f>
        <v>-12695.931014996824</v>
      </c>
      <c r="BY114" s="1021">
        <f>(VLOOKUP(YEAR($A114),'NY East Load Projections'!$A$4:$EO$14,((MONTH($A114)-1)*12)+VLOOKUP(BY$4,$DE$6:$DF$17,2)+1))*(VLOOKUP($A114,SatSunCurve,6))*(INDEX(DailyScalarsTable,BY$5/100,MONTH($A114)))*$D114</f>
        <v>-12152.209006506519</v>
      </c>
      <c r="BZ114" s="1021">
        <f>(VLOOKUP(YEAR($A114),'NY East Load Projections'!$A$4:$EO$14,((MONTH($A114)-1)*12)+VLOOKUP(BZ$4,$DE$6:$DF$17,2)+1))*(VLOOKUP($A114,SatSunCurve,6))*(INDEX(DailyScalarsTable,BZ$5/100,MONTH($A114)))*$D114</f>
        <v>-11218.349522796709</v>
      </c>
      <c r="CA114" s="1021">
        <f>(VLOOKUP(YEAR($A114),'NY East Load Projections'!$A$4:$EO$14,((MONTH($A114)-1)*12)+VLOOKUP(CA$4,$DE$6:$DF$17,2)+1))*(VLOOKUP($A114,SatSunCurve,6))*(INDEX(DailyScalarsTable,CA$5/100,MONTH($A114)))*$D114</f>
        <v>-7978.750008421629</v>
      </c>
      <c r="CB114" s="1021">
        <f>(VLOOKUP(YEAR($A114),'NY East Load Projections'!$A$4:$EO$14,((MONTH($A114)-1)*12)+VLOOKUP(CB$4,$DE$6:$DF$17,2)+1))*(VLOOKUP($A114,SatSunCurve,6))*(INDEX(DailyScalarsTable,CB$5/100,MONTH($A114)))*$D114</f>
        <v>-6531.5999764620155</v>
      </c>
      <c r="CC114" s="1021">
        <f>(VLOOKUP(YEAR($A114),'NY East Load Projections'!$A$4:$EO$14,((MONTH($A114)-1)*12)+VLOOKUP(CC$4,$DE$6:$DF$17,2)+1))*(VLOOKUP($A114,CURVES!$D$9:$T$261,6))*(INDEX(DailyScalarsTable,CC$5/100,MONTH($A114)))*$D114</f>
        <v>-8553.9745235498031</v>
      </c>
      <c r="CE114" s="1021">
        <f>(VLOOKUP(YEAR($A114),'NY East Load Projections'!$A$4:$EO$14,((MONTH($A114)-1)*12)+VLOOKUP(CE$4,$DE$6:$DF$17,2)+1))*(VLOOKUP($A114,CURVES!$D$9:$T$261,6))*(INDEX(DailyScalarsTable,CE$5/100,MONTH($A114)))*$E114</f>
        <v>-1495.5323841654608</v>
      </c>
      <c r="CF114" s="1021">
        <f>(VLOOKUP(YEAR($A114),'NY East Load Projections'!$A$4:$EO$14,((MONTH($A114)-1)*12)+VLOOKUP(CF$4,$DE$6:$DF$17,2)+1))*(VLOOKUP($A114,CURVES!$D$9:$T$261,6))*(INDEX(DailyScalarsTable,CF$5/100,MONTH($A114)))*$E114</f>
        <v>-1466.3952467432673</v>
      </c>
      <c r="CG114" s="1021">
        <f>(VLOOKUP(YEAR($A114),'NY East Load Projections'!$A$4:$EO$14,((MONTH($A114)-1)*12)+VLOOKUP(CG$4,$DE$6:$DF$17,2)+1))*(VLOOKUP($A114,CURVES!$D$9:$T$261,6))*(INDEX(DailyScalarsTable,CG$5/100,MONTH($A114)))*$E114</f>
        <v>-1343.7321239815051</v>
      </c>
      <c r="CH114" s="1021">
        <f>(VLOOKUP(YEAR($A114),'NY East Load Projections'!$A$4:$EO$14,((MONTH($A114)-1)*12)+VLOOKUP(CH$4,$DE$6:$DF$17,2)+1))*(VLOOKUP($A114,CURVES!$D$9:$T$261,6))*(INDEX(DailyScalarsTable,CH$5/100,MONTH($A114)))*$E114</f>
        <v>-1342.9196827091857</v>
      </c>
      <c r="CI114" s="1021">
        <f>(VLOOKUP(YEAR($A114),'NY East Load Projections'!$A$4:$EO$14,((MONTH($A114)-1)*12)+VLOOKUP(CI$4,$DE$6:$DF$17,2)+1))*(VLOOKUP($A114,CURVES!$D$9:$T$261,6))*(INDEX(DailyScalarsTable,CI$5/100,MONTH($A114)))*$E114</f>
        <v>-1406.033630354927</v>
      </c>
      <c r="CJ114" s="1021">
        <f>(VLOOKUP(YEAR($A114),'NY East Load Projections'!$A$4:$EO$14,((MONTH($A114)-1)*12)+VLOOKUP(CJ$4,$DE$6:$DF$17,2)+1))*(VLOOKUP($A114,CURVES!$D$9:$T$261,6))*(INDEX(DailyScalarsTable,CJ$5/100,MONTH($A114)))*$E114</f>
        <v>-1500.5443374632498</v>
      </c>
      <c r="CK114" s="1021">
        <f>(VLOOKUP(YEAR($A114),'NY East Load Projections'!$A$4:$EO$14,((MONTH($A114)-1)*12)+VLOOKUP(CK$4,$DE$6:$DF$17,2)+1))*(VLOOKUP($A114,CURVES!$D$9:$T$261,6))*(INDEX(DailyScalarsTable,CK$5/100,MONTH($A114)))*$E114</f>
        <v>-2873.5241352794137</v>
      </c>
      <c r="CL114" s="1021">
        <f>(VLOOKUP(YEAR($A114),'NY East Load Projections'!$A$4:$EO$14,((MONTH($A114)-1)*12)+VLOOKUP(CL$4,$DE$6:$DF$17,2)+1))*(VLOOKUP($A114,SatSunCurve,6))*(INDEX(DailyScalarsTable,CL$5/100,MONTH($A114)))*$E114</f>
        <v>-2258.3192578667199</v>
      </c>
      <c r="CM114" s="1021">
        <f>(VLOOKUP(YEAR($A114),'NY East Load Projections'!$A$4:$EO$14,((MONTH($A114)-1)*12)+VLOOKUP(CM$4,$DE$6:$DF$17,2)+1))*(VLOOKUP($A114,SatSunCurve,6))*(INDEX(DailyScalarsTable,CM$5/100,MONTH($A114)))*$E114</f>
        <v>-2506.4213907179887</v>
      </c>
      <c r="CN114" s="1021">
        <f>(VLOOKUP(YEAR($A114),'NY East Load Projections'!$A$4:$EO$14,((MONTH($A114)-1)*12)+VLOOKUP(CN$4,$DE$6:$DF$17,2)+1))*(VLOOKUP($A114,SatSunCurve,6))*(INDEX(DailyScalarsTable,CN$5/100,MONTH($A114)))*$E114</f>
        <v>-2498.7928507621609</v>
      </c>
      <c r="CO114" s="1021">
        <f>(VLOOKUP(YEAR($A114),'NY East Load Projections'!$A$4:$EO$14,((MONTH($A114)-1)*12)+VLOOKUP(CO$4,$DE$6:$DF$17,2)+1))*(VLOOKUP($A114,SatSunCurve,6))*(INDEX(DailyScalarsTable,CO$5/100,MONTH($A114)))*$E114</f>
        <v>-2455.1856380860936</v>
      </c>
      <c r="CP114" s="1021">
        <f>(VLOOKUP(YEAR($A114),'NY East Load Projections'!$A$4:$EO$14,((MONTH($A114)-1)*12)+VLOOKUP(CP$4,$DE$6:$DF$17,2)+1))*(VLOOKUP($A114,SatSunCurve,6))*(INDEX(DailyScalarsTable,CP$5/100,MONTH($A114)))*$E114</f>
        <v>-1839.1663360640996</v>
      </c>
      <c r="CQ114" s="1021">
        <f>(VLOOKUP(YEAR($A114),'NY East Load Projections'!$A$4:$EO$14,((MONTH($A114)-1)*12)+VLOOKUP(CQ$4,$DE$6:$DF$17,2)+1))*(VLOOKUP($A114,SatSunCurve,6))*(INDEX(DailyScalarsTable,CQ$5/100,MONTH($A114)))*$E114</f>
        <v>-1753.9735562061878</v>
      </c>
      <c r="CR114" s="1021">
        <f>(VLOOKUP(YEAR($A114),'NY East Load Projections'!$A$4:$EO$14,((MONTH($A114)-1)*12)+VLOOKUP(CR$4,$DE$6:$DF$17,2)+1))*(VLOOKUP($A114,SatSunCurve,6))*(INDEX(DailyScalarsTable,CR$5/100,MONTH($A114)))*$E114</f>
        <v>-1697.3408115275604</v>
      </c>
      <c r="CS114" s="1021">
        <f>(VLOOKUP(YEAR($A114),'NY East Load Projections'!$A$4:$EO$14,((MONTH($A114)-1)*12)+VLOOKUP(CS$4,$DE$6:$DF$17,2)+1))*(VLOOKUP($A114,SatSunCurve,6))*(INDEX(DailyScalarsTable,CS$5/100,MONTH($A114)))*$E114</f>
        <v>-1610.9553567822627</v>
      </c>
      <c r="CT114" s="1021">
        <f>(VLOOKUP(YEAR($A114),'NY East Load Projections'!$A$4:$EO$14,((MONTH($A114)-1)*12)+VLOOKUP(CT$4,$DE$6:$DF$17,2)+1))*(VLOOKUP($A114,SatSunCurve,6))*(INDEX(DailyScalarsTable,CT$5/100,MONTH($A114)))*$E114</f>
        <v>-1578.5351623647873</v>
      </c>
      <c r="CU114" s="1021">
        <f>(VLOOKUP(YEAR($A114),'NY East Load Projections'!$A$4:$EO$14,((MONTH($A114)-1)*12)+VLOOKUP(CU$4,$DE$6:$DF$17,2)+1))*(VLOOKUP($A114,SatSunCurve,6))*(INDEX(DailyScalarsTable,CU$5/100,MONTH($A114)))*$E114</f>
        <v>-1663.0798177445595</v>
      </c>
      <c r="CV114" s="1021">
        <f>(VLOOKUP(YEAR($A114),'NY East Load Projections'!$A$4:$EO$14,((MONTH($A114)-1)*12)+VLOOKUP(CV$4,$DE$6:$DF$17,2)+1))*(VLOOKUP($A114,SatSunCurve,6))*(INDEX(DailyScalarsTable,CV$5/100,MONTH($A114)))*$E114</f>
        <v>-2314.1033149387004</v>
      </c>
      <c r="CW114" s="1021">
        <f>(VLOOKUP(YEAR($A114),'NY East Load Projections'!$A$4:$EO$14,((MONTH($A114)-1)*12)+VLOOKUP(CW$4,$DE$6:$DF$17,2)+1))*(VLOOKUP($A114,SatSunCurve,6))*(INDEX(DailyScalarsTable,CW$5/100,MONTH($A114)))*$E114</f>
        <v>-2539.1862029993649</v>
      </c>
      <c r="CX114" s="1021">
        <f>(VLOOKUP(YEAR($A114),'NY East Load Projections'!$A$4:$EO$14,((MONTH($A114)-1)*12)+VLOOKUP(CX$4,$DE$6:$DF$17,2)+1))*(VLOOKUP($A114,SatSunCurve,6))*(INDEX(DailyScalarsTable,CX$5/100,MONTH($A114)))*$E114</f>
        <v>-2430.4418013013037</v>
      </c>
      <c r="CY114" s="1021">
        <f>(VLOOKUP(YEAR($A114),'NY East Load Projections'!$A$4:$EO$14,((MONTH($A114)-1)*12)+VLOOKUP(CY$4,$DE$6:$DF$17,2)+1))*(VLOOKUP($A114,SatSunCurve,6))*(INDEX(DailyScalarsTable,CY$5/100,MONTH($A114)))*$E114</f>
        <v>-2243.6699045593418</v>
      </c>
      <c r="CZ114" s="1021">
        <f>(VLOOKUP(YEAR($A114),'NY East Load Projections'!$A$4:$EO$14,((MONTH($A114)-1)*12)+VLOOKUP(CZ$4,$DE$6:$DF$17,2)+1))*(VLOOKUP($A114,SatSunCurve,6))*(INDEX(DailyScalarsTable,CZ$5/100,MONTH($A114)))*$E114</f>
        <v>-1595.7500016843258</v>
      </c>
      <c r="DA114" s="1021">
        <f>(VLOOKUP(YEAR($A114),'NY East Load Projections'!$A$4:$EO$14,((MONTH($A114)-1)*12)+VLOOKUP(DA$4,$DE$6:$DF$17,2)+1))*(VLOOKUP($A114,SatSunCurve,6))*(INDEX(DailyScalarsTable,DA$5/100,MONTH($A114)))*$E114</f>
        <v>-1306.3199952924031</v>
      </c>
      <c r="DB114" s="1021">
        <f>(VLOOKUP(YEAR($A114),'NY East Load Projections'!$A$4:$EO$14,((MONTH($A114)-1)*12)+VLOOKUP(DB$4,$DE$6:$DF$17,2)+1))*(VLOOKUP($A114,CURVES!$D$9:$T$261,6))*(INDEX(DailyScalarsTable,DB$5/100,MONTH($A114)))*$E114</f>
        <v>-1710.7949047099605</v>
      </c>
      <c r="DH114" s="1021">
        <f t="shared" si="2"/>
        <v>-1754750.090837914</v>
      </c>
      <c r="DI114">
        <f ca="1">CALC!J134</f>
        <v>0.48373001478463451</v>
      </c>
      <c r="DJ114" s="1029">
        <f t="shared" ca="1" si="3"/>
        <v>-848825.28738436289</v>
      </c>
    </row>
    <row r="115" spans="1:114" x14ac:dyDescent="0.25">
      <c r="A115" s="244">
        <v>40210</v>
      </c>
      <c r="B115" s="13">
        <v>20</v>
      </c>
      <c r="C115" s="210">
        <v>4</v>
      </c>
      <c r="D115" s="210">
        <v>4</v>
      </c>
      <c r="E115" s="210">
        <v>0</v>
      </c>
      <c r="F115" s="13">
        <v>28</v>
      </c>
      <c r="H115" s="1021">
        <f>(VLOOKUP(YEAR($A115),'NY East Load Projections'!$A$4:$EO$14,((MONTH($A115)-1)*12)+VLOOKUP(H$4,$DE$6:$DF$17,2)+1))*(VLOOKUP($A115,CURVES!$D$9:$K$261,6))*(INDEX(DailyScalarsTable,H$5/100,MONTH($A115)))*$B115</f>
        <v>-26818.219587548192</v>
      </c>
      <c r="I115" s="1021">
        <f>(VLOOKUP(YEAR($A115),'NY East Load Projections'!$A$4:$EO$14,((MONTH($A115)-1)*12)+VLOOKUP(I$4,$DE$6:$DF$17,2)+1))*(VLOOKUP($A115,CURVES!$D$9:$K$261,6))*(INDEX(DailyScalarsTable,I$5/100,MONTH($A115)))*$B115</f>
        <v>-26295.725953966998</v>
      </c>
      <c r="J115" s="1021">
        <f>(VLOOKUP(YEAR($A115),'NY East Load Projections'!$A$4:$EO$14,((MONTH($A115)-1)*12)+VLOOKUP(J$4,$DE$6:$DF$17,2)+1))*(VLOOKUP($A115,CURVES!$D$9:$K$261,6))*(INDEX(DailyScalarsTable,J$5/100,MONTH($A115)))*$B115</f>
        <v>-24096.103534319438</v>
      </c>
      <c r="K115" s="1021">
        <f>(VLOOKUP(YEAR($A115),'NY East Load Projections'!$A$4:$EO$14,((MONTH($A115)-1)*12)+VLOOKUP(K$4,$DE$6:$DF$17,2)+1))*(VLOOKUP($A115,CURVES!$D$9:$K$261,6))*(INDEX(DailyScalarsTable,K$5/100,MONTH($A115)))*$B115</f>
        <v>-24081.534656591521</v>
      </c>
      <c r="L115" s="1021">
        <f>(VLOOKUP(YEAR($A115),'NY East Load Projections'!$A$4:$EO$14,((MONTH($A115)-1)*12)+VLOOKUP(L$4,$DE$6:$DF$17,2)+1))*(VLOOKUP($A115,CURVES!$D$9:$K$261,6))*(INDEX(DailyScalarsTable,L$5/100,MONTH($A115)))*$B115</f>
        <v>-26063.217302504014</v>
      </c>
      <c r="M115" s="1021">
        <f>(VLOOKUP(YEAR($A115),'NY East Load Projections'!$A$4:$EO$14,((MONTH($A115)-1)*12)+VLOOKUP(M$4,$DE$6:$DF$17,2)+1))*(VLOOKUP($A115,CURVES!$D$9:$K$261,6))*(INDEX(DailyScalarsTable,M$5/100,MONTH($A115)))*$B115</f>
        <v>-27815.133503936355</v>
      </c>
      <c r="N115" s="1021">
        <f>(VLOOKUP(YEAR($A115),'NY East Load Projections'!$A$4:$EO$14,((MONTH($A115)-1)*12)+VLOOKUP(N$4,$DE$6:$DF$17,2)+1))*(VLOOKUP($A115,CURVES!$D$9:$K$261,6))*(INDEX(DailyScalarsTable,N$5/100,MONTH($A115)))*$B115</f>
        <v>-53265.64197676543</v>
      </c>
      <c r="O115" s="1021">
        <f>(VLOOKUP(YEAR($A115),'NY East Load Projections'!$A$4:$EO$14,((MONTH($A115)-1)*12)+VLOOKUP(O$4,$DE$6:$DF$17,2)+1))*(VLOOKUP($A115,CURVES!$D$9:$K$261,2))*(INDEX(DailyScalarsTable,O$5/100,MONTH($A115)))*$B115</f>
        <v>-62634.835707176389</v>
      </c>
      <c r="P115" s="1021">
        <f>(VLOOKUP(YEAR($A115),'NY East Load Projections'!$A$4:$EO$14,((MONTH($A115)-1)*12)+VLOOKUP(P$4,$DE$6:$DF$17,2)+1))*(VLOOKUP($A115,CURVES!$D$9:$K$261,2))*(INDEX(DailyScalarsTable,P$5/100,MONTH($A115)))*$B115</f>
        <v>-68066.757729556179</v>
      </c>
      <c r="Q115" s="1021">
        <f>(VLOOKUP(YEAR($A115),'NY East Load Projections'!$A$4:$EO$14,((MONTH($A115)-1)*12)+VLOOKUP(Q$4,$DE$6:$DF$17,2)+1))*(VLOOKUP($A115,CURVES!$D$9:$K$261,2))*(INDEX(DailyScalarsTable,Q$5/100,MONTH($A115)))*$B115</f>
        <v>-67859.589859489919</v>
      </c>
      <c r="R115" s="1021">
        <f>(VLOOKUP(YEAR($A115),'NY East Load Projections'!$A$4:$EO$14,((MONTH($A115)-1)*12)+VLOOKUP(R$4,$DE$6:$DF$17,2)+1))*(VLOOKUP($A115,CURVES!$D$9:$K$261,2))*(INDEX(DailyScalarsTable,R$5/100,MONTH($A115)))*$B115</f>
        <v>-66675.351011435399</v>
      </c>
      <c r="S115" s="1021">
        <f>(VLOOKUP(YEAR($A115),'NY East Load Projections'!$A$4:$EO$14,((MONTH($A115)-1)*12)+VLOOKUP(S$4,$DE$6:$DF$17,2)+1))*(VLOOKUP($A115,CURVES!$D$9:$K$261,2))*(INDEX(DailyScalarsTable,S$5/100,MONTH($A115)))*$B115</f>
        <v>-49946.146280442415</v>
      </c>
      <c r="T115" s="1021">
        <f>(VLOOKUP(YEAR($A115),'NY East Load Projections'!$A$4:$EO$14,((MONTH($A115)-1)*12)+VLOOKUP(T$4,$DE$6:$DF$17,2)+1))*(VLOOKUP($A115,CURVES!$D$9:$K$261,2))*(INDEX(DailyScalarsTable,T$5/100,MONTH($A115)))*$B115</f>
        <v>-48153.361818473066</v>
      </c>
      <c r="U115" s="1021">
        <f>(VLOOKUP(YEAR($A115),'NY East Load Projections'!$A$4:$EO$14,((MONTH($A115)-1)*12)+VLOOKUP(U$4,$DE$6:$DF$17,2)+1))*(VLOOKUP($A115,CURVES!$D$9:$K$261,2))*(INDEX(DailyScalarsTable,U$5/100,MONTH($A115)))*$B115</f>
        <v>-46598.573814039446</v>
      </c>
      <c r="V115" s="1021">
        <f>(VLOOKUP(YEAR($A115),'NY East Load Projections'!$A$4:$EO$14,((MONTH($A115)-1)*12)+VLOOKUP(V$4,$DE$6:$DF$17,2)+1))*(VLOOKUP($A115,CURVES!$D$9:$K$261,2))*(INDEX(DailyScalarsTable,V$5/100,MONTH($A115)))*$B115</f>
        <v>-44226.958778291068</v>
      </c>
      <c r="W115" s="1021">
        <f>(VLOOKUP(YEAR($A115),'NY East Load Projections'!$A$4:$EO$14,((MONTH($A115)-1)*12)+VLOOKUP(W$4,$DE$6:$DF$17,2)+1))*(VLOOKUP($A115,CURVES!$D$9:$K$261,2))*(INDEX(DailyScalarsTable,W$5/100,MONTH($A115)))*$B115</f>
        <v>-43336.89897865153</v>
      </c>
      <c r="X115" s="1021">
        <f>(VLOOKUP(YEAR($A115),'NY East Load Projections'!$A$4:$EO$14,((MONTH($A115)-1)*12)+VLOOKUP(X$4,$DE$6:$DF$17,2)+1))*(VLOOKUP($A115,CURVES!$D$9:$K$261,2))*(INDEX(DailyScalarsTable,X$5/100,MONTH($A115)))*$B115</f>
        <v>-45521.632466543975</v>
      </c>
      <c r="Y115" s="1021">
        <f>(VLOOKUP(YEAR($A115),'NY East Load Projections'!$A$4:$EO$14,((MONTH($A115)-1)*12)+VLOOKUP(Y$4,$DE$6:$DF$17,2)+1))*(VLOOKUP($A115,CURVES!$D$9:$K$261,2))*(INDEX(DailyScalarsTable,Y$5/100,MONTH($A115)))*$B115</f>
        <v>-63341.373918609199</v>
      </c>
      <c r="Z115" s="1021">
        <f>(VLOOKUP(YEAR($A115),'NY East Load Projections'!$A$4:$EO$14,((MONTH($A115)-1)*12)+VLOOKUP(Z$4,$DE$6:$DF$17,2)+1))*(VLOOKUP($A115,CURVES!$D$9:$K$261,2))*(INDEX(DailyScalarsTable,Z$5/100,MONTH($A115)))*$B115</f>
        <v>-69502.317245250902</v>
      </c>
      <c r="AA115" s="1021">
        <f>(VLOOKUP(YEAR($A115),'NY East Load Projections'!$A$4:$EO$14,((MONTH($A115)-1)*12)+VLOOKUP(AA$4,$DE$6:$DF$17,2)+1))*(VLOOKUP($A115,CURVES!$D$9:$K$261,2))*(INDEX(DailyScalarsTable,AA$5/100,MONTH($A115)))*$B115</f>
        <v>-66525.77779472305</v>
      </c>
      <c r="AB115" s="1021">
        <f>(VLOOKUP(YEAR($A115),'NY East Load Projections'!$A$4:$EO$14,((MONTH($A115)-1)*12)+VLOOKUP(AB$4,$DE$6:$DF$17,2)+1))*(VLOOKUP($A115,CURVES!$D$9:$K$261,2))*(INDEX(DailyScalarsTable,AB$5/100,MONTH($A115)))*$B115</f>
        <v>-60252.518038494251</v>
      </c>
      <c r="AC115" s="1021">
        <f>(VLOOKUP(YEAR($A115),'NY East Load Projections'!$A$4:$EO$14,((MONTH($A115)-1)*12)+VLOOKUP(AC$4,$DE$6:$DF$17,2)+1))*(VLOOKUP($A115,CURVES!$D$9:$K$261,2))*(INDEX(DailyScalarsTable,AC$5/100,MONTH($A115)))*$B115</f>
        <v>-42852.986335481284</v>
      </c>
      <c r="AD115" s="1021">
        <f>(VLOOKUP(YEAR($A115),'NY East Load Projections'!$A$4:$EO$14,((MONTH($A115)-1)*12)+VLOOKUP(AD$4,$DE$6:$DF$17,2)+1))*(VLOOKUP($A115,CURVES!$D$9:$K$261,2))*(INDEX(DailyScalarsTable,AD$5/100,MONTH($A115)))*$B115</f>
        <v>-35080.503116994725</v>
      </c>
      <c r="AE115" s="1021">
        <f>(VLOOKUP(YEAR($A115),'NY East Load Projections'!$A$4:$EO$14,((MONTH($A115)-1)*12)+VLOOKUP(AE$4,$DE$6:$DF$17,2)+1))*(VLOOKUP($A115,CURVES!$D$9:$K$261,6))*(INDEX(DailyScalarsTable,AE$5/100,MONTH($A115)))*$B115</f>
        <v>-30705.480564328784</v>
      </c>
      <c r="AF115" s="1021"/>
      <c r="AG115" s="1021">
        <f>(VLOOKUP(YEAR($A115),'NY East Load Projections'!$A$4:$EO$14,((MONTH($A115)-1)*12)+VLOOKUP(AG$4,$DE$6:$DF$17,2)+1))*(VLOOKUP($A115,CURVES!$D$9:$T$261,6))*(INDEX(DailyScalarsTable,AG$5/100,MONTH($A115)))*$C115</f>
        <v>-5272.8046979762703</v>
      </c>
      <c r="AH115" s="1021">
        <f>(VLOOKUP(YEAR($A115),'NY East Load Projections'!$A$4:$EO$14,((MONTH($A115)-1)*12)+VLOOKUP(AH$4,$DE$6:$DF$17,2)+1))*(VLOOKUP($A115,CURVES!$D$9:$T$261,6))*(INDEX(DailyScalarsTable,AH$5/100,MONTH($A115)))*$C115</f>
        <v>-5170.0757723361521</v>
      </c>
      <c r="AI115" s="1021">
        <f>(VLOOKUP(YEAR($A115),'NY East Load Projections'!$A$4:$EO$14,((MONTH($A115)-1)*12)+VLOOKUP(AI$4,$DE$6:$DF$17,2)+1))*(VLOOKUP($A115,CURVES!$D$9:$T$261,6))*(INDEX(DailyScalarsTable,AI$5/100,MONTH($A115)))*$C115</f>
        <v>-4737.6018942612372</v>
      </c>
      <c r="AJ115" s="1021">
        <f>(VLOOKUP(YEAR($A115),'NY East Load Projections'!$A$4:$EO$14,((MONTH($A115)-1)*12)+VLOOKUP(AJ$4,$DE$6:$DF$17,2)+1))*(VLOOKUP($A115,CURVES!$D$9:$T$261,6))*(INDEX(DailyScalarsTable,AJ$5/100,MONTH($A115)))*$C115</f>
        <v>-4734.7374667149861</v>
      </c>
      <c r="AK115" s="1021">
        <f>(VLOOKUP(YEAR($A115),'NY East Load Projections'!$A$4:$EO$14,((MONTH($A115)-1)*12)+VLOOKUP(AK$4,$DE$6:$DF$17,2)+1))*(VLOOKUP($A115,CURVES!$D$9:$T$261,6))*(INDEX(DailyScalarsTable,AK$5/100,MONTH($A115)))*$C115</f>
        <v>-4934.584212265524</v>
      </c>
      <c r="AL115" s="1021">
        <f>(VLOOKUP(YEAR($A115),'NY East Load Projections'!$A$4:$EO$14,((MONTH($A115)-1)*12)+VLOOKUP(AL$4,$DE$6:$DF$17,2)+1))*(VLOOKUP($A115,CURVES!$D$9:$T$261,6))*(INDEX(DailyScalarsTable,AL$5/100,MONTH($A115)))*$C115</f>
        <v>-5266.2768781579134</v>
      </c>
      <c r="AM115" s="1021">
        <f>(VLOOKUP(YEAR($A115),'NY East Load Projections'!$A$4:$EO$14,((MONTH($A115)-1)*12)+VLOOKUP(AM$4,$DE$6:$DF$17,2)+1))*(VLOOKUP($A115,CURVES!$D$9:$T$261,6))*(INDEX(DailyScalarsTable,AM$5/100,MONTH($A115)))*$C115</f>
        <v>-10084.856098309931</v>
      </c>
      <c r="AN115" s="1021">
        <f>(VLOOKUP(YEAR($A115),'NY East Load Projections'!$A$4:$EO$14,((MONTH($A115)-1)*12)+VLOOKUP(AN$4,$DE$6:$DF$17,2)+1))*(VLOOKUP($A115,SatSunCurve,2))*(INDEX(DailyScalarsTable,AN$5/100,MONTH($A115)))*$C115</f>
        <v>-9210.3142311574902</v>
      </c>
      <c r="AO115" s="1021">
        <f>(VLOOKUP(YEAR($A115),'NY East Load Projections'!$A$4:$EO$14,((MONTH($A115)-1)*12)+VLOOKUP(AO$4,$DE$6:$DF$17,2)+1))*(VLOOKUP($A115,SatSunCurve,2))*(INDEX(DailyScalarsTable,AO$5/100,MONTH($A115)))*$C115</f>
        <v>-10035.182380490254</v>
      </c>
      <c r="AP115" s="1021">
        <f>(VLOOKUP(YEAR($A115),'NY East Load Projections'!$A$4:$EO$14,((MONTH($A115)-1)*12)+VLOOKUP(AP$4,$DE$6:$DF$17,2)+1))*(VLOOKUP($A115,SatSunCurve,2))*(INDEX(DailyScalarsTable,AP$5/100,MONTH($A115)))*$C115</f>
        <v>-10004.639316168712</v>
      </c>
      <c r="AQ115" s="1021">
        <f>(VLOOKUP(YEAR($A115),'NY East Load Projections'!$A$4:$EO$14,((MONTH($A115)-1)*12)+VLOOKUP(AQ$4,$DE$6:$DF$17,2)+1))*(VLOOKUP($A115,SatSunCurve,2))*(INDEX(DailyScalarsTable,AQ$5/100,MONTH($A115)))*$C115</f>
        <v>-9830.045237962333</v>
      </c>
      <c r="AR115" s="1021">
        <f>(VLOOKUP(YEAR($A115),'NY East Load Projections'!$A$4:$EO$14,((MONTH($A115)-1)*12)+VLOOKUP(AR$4,$DE$6:$DF$17,2)+1))*(VLOOKUP($A115,SatSunCurve,2))*(INDEX(DailyScalarsTable,AR$5/100,MONTH($A115)))*$C115</f>
        <v>-7363.6339359417398</v>
      </c>
      <c r="AS115" s="1021">
        <f>(VLOOKUP(YEAR($A115),'NY East Load Projections'!$A$4:$EO$14,((MONTH($A115)-1)*12)+VLOOKUP(AS$4,$DE$6:$DF$17,2)+1))*(VLOOKUP($A115,SatSunCurve,2))*(INDEX(DailyScalarsTable,AS$5/100,MONTH($A115)))*$C115</f>
        <v>-7104.4032731016587</v>
      </c>
      <c r="AT115" s="1021">
        <f>(VLOOKUP(YEAR($A115),'NY East Load Projections'!$A$4:$EO$14,((MONTH($A115)-1)*12)+VLOOKUP(AT$4,$DE$6:$DF$17,2)+1))*(VLOOKUP($A115,SatSunCurve,2))*(INDEX(DailyScalarsTable,AT$5/100,MONTH($A115)))*$C115</f>
        <v>-6875.0144917053021</v>
      </c>
      <c r="AU115" s="1021">
        <f>(VLOOKUP(YEAR($A115),'NY East Load Projections'!$A$4:$EO$14,((MONTH($A115)-1)*12)+VLOOKUP(AU$4,$DE$6:$DF$17,2)+1))*(VLOOKUP($A115,SatSunCurve,2))*(INDEX(DailyScalarsTable,AU$5/100,MONTH($A115)))*$C115</f>
        <v>-6525.1134881985408</v>
      </c>
      <c r="AV115" s="1021">
        <f>(VLOOKUP(YEAR($A115),'NY East Load Projections'!$A$4:$EO$14,((MONTH($A115)-1)*12)+VLOOKUP(AV$4,$DE$6:$DF$17,2)+1))*(VLOOKUP($A115,SatSunCurve,2))*(INDEX(DailyScalarsTable,AV$5/100,MONTH($A115)))*$C115</f>
        <v>-6393.7967220368573</v>
      </c>
      <c r="AW115" s="1021">
        <f>(VLOOKUP(YEAR($A115),'NY East Load Projections'!$A$4:$EO$14,((MONTH($A115)-1)*12)+VLOOKUP(AW$4,$DE$6:$DF$17,2)+1))*(VLOOKUP($A115,SatSunCurve,2))*(INDEX(DailyScalarsTable,AW$5/100,MONTH($A115)))*$C115</f>
        <v>-6830.7915786492949</v>
      </c>
      <c r="AX115" s="1021">
        <f>(VLOOKUP(YEAR($A115),'NY East Load Projections'!$A$4:$EO$14,((MONTH($A115)-1)*12)+VLOOKUP(AX$4,$DE$6:$DF$17,2)+1))*(VLOOKUP($A115,SatSunCurve,2))*(INDEX(DailyScalarsTable,AX$5/100,MONTH($A115)))*$C115</f>
        <v>-9504.7497222623315</v>
      </c>
      <c r="AY115" s="1021">
        <f>(VLOOKUP(YEAR($A115),'NY East Load Projections'!$A$4:$EO$14,((MONTH($A115)-1)*12)+VLOOKUP(AY$4,$DE$6:$DF$17,2)+1))*(VLOOKUP($A115,SatSunCurve,2))*(INDEX(DailyScalarsTable,AY$5/100,MONTH($A115)))*$C115</f>
        <v>-10429.235895360129</v>
      </c>
      <c r="AZ115" s="1021">
        <f>(VLOOKUP(YEAR($A115),'NY East Load Projections'!$A$4:$EO$14,((MONTH($A115)-1)*12)+VLOOKUP(AZ$4,$DE$6:$DF$17,2)+1))*(VLOOKUP($A115,SatSunCurve,2))*(INDEX(DailyScalarsTable,AZ$5/100,MONTH($A115)))*$C115</f>
        <v>-9982.5884552199695</v>
      </c>
      <c r="BA115" s="1021">
        <f>(VLOOKUP(YEAR($A115),'NY East Load Projections'!$A$4:$EO$14,((MONTH($A115)-1)*12)+VLOOKUP(BA$4,$DE$6:$DF$17,2)+1))*(VLOOKUP($A115,SatSunCurve,2))*(INDEX(DailyScalarsTable,BA$5/100,MONTH($A115)))*$C115</f>
        <v>-9203.6767240251247</v>
      </c>
      <c r="BB115" s="1021">
        <f>(VLOOKUP(YEAR($A115),'NY East Load Projections'!$A$4:$EO$14,((MONTH($A115)-1)*12)+VLOOKUP(BB$4,$DE$6:$DF$17,2)+1))*(VLOOKUP($A115,SatSunCurve,2))*(INDEX(DailyScalarsTable,BB$5/100,MONTH($A115)))*$C115</f>
        <v>-6545.8680521676706</v>
      </c>
      <c r="BC115" s="1021">
        <f>(VLOOKUP(YEAR($A115),'NY East Load Projections'!$A$4:$EO$14,((MONTH($A115)-1)*12)+VLOOKUP(BC$4,$DE$6:$DF$17,2)+1))*(VLOOKUP($A115,SatSunCurve,2))*(INDEX(DailyScalarsTable,BC$5/100,MONTH($A115)))*$C115</f>
        <v>-5358.6077481226512</v>
      </c>
      <c r="BD115" s="1021">
        <f>(VLOOKUP(YEAR($A115),'NY East Load Projections'!$A$4:$EO$14,((MONTH($A115)-1)*12)+VLOOKUP(BD$4,$DE$6:$DF$17,2)+1))*(VLOOKUP($A115,CURVES!$D$9:$T$261,6))*(INDEX(DailyScalarsTable,BD$5/100,MONTH($A115)))*$C115</f>
        <v>-6039.0147221863099</v>
      </c>
      <c r="BE115" s="1021"/>
      <c r="BF115" s="1021">
        <f>(VLOOKUP(YEAR($A115),'NY East Load Projections'!$A$4:$EO$14,((MONTH($A115)-1)*12)+VLOOKUP(BF$4,$DE$6:$DF$17,2)+1))*(VLOOKUP($A115,CURVES!$D$9:$T$261,6))*(INDEX(DailyScalarsTable,BF$5/100,MONTH($A115)))*$D115</f>
        <v>-5272.8046979762703</v>
      </c>
      <c r="BG115" s="1021">
        <f>(VLOOKUP(YEAR($A115),'NY East Load Projections'!$A$4:$EO$14,((MONTH($A115)-1)*12)+VLOOKUP(BG$4,$DE$6:$DF$17,2)+1))*(VLOOKUP($A115,CURVES!$D$9:$T$261,6))*(INDEX(DailyScalarsTable,BG$5/100,MONTH($A115)))*$D115</f>
        <v>-5170.0757723361521</v>
      </c>
      <c r="BH115" s="1021">
        <f>(VLOOKUP(YEAR($A115),'NY East Load Projections'!$A$4:$EO$14,((MONTH($A115)-1)*12)+VLOOKUP(BH$4,$DE$6:$DF$17,2)+1))*(VLOOKUP($A115,CURVES!$D$9:$T$261,6))*(INDEX(DailyScalarsTable,BH$5/100,MONTH($A115)))*$D115</f>
        <v>-4737.6018942612372</v>
      </c>
      <c r="BI115" s="1021">
        <f>(VLOOKUP(YEAR($A115),'NY East Load Projections'!$A$4:$EO$14,((MONTH($A115)-1)*12)+VLOOKUP(BI$4,$DE$6:$DF$17,2)+1))*(VLOOKUP($A115,CURVES!$D$9:$T$261,6))*(INDEX(DailyScalarsTable,BI$5/100,MONTH($A115)))*$D115</f>
        <v>-4734.7374667149861</v>
      </c>
      <c r="BJ115" s="1021">
        <f>(VLOOKUP(YEAR($A115),'NY East Load Projections'!$A$4:$EO$14,((MONTH($A115)-1)*12)+VLOOKUP(BJ$4,$DE$6:$DF$17,2)+1))*(VLOOKUP($A115,CURVES!$D$9:$T$261,6))*(INDEX(DailyScalarsTable,BJ$5/100,MONTH($A115)))*$D115</f>
        <v>-4934.584212265524</v>
      </c>
      <c r="BK115" s="1021">
        <f>(VLOOKUP(YEAR($A115),'NY East Load Projections'!$A$4:$EO$14,((MONTH($A115)-1)*12)+VLOOKUP(BK$4,$DE$6:$DF$17,2)+1))*(VLOOKUP($A115,CURVES!$D$9:$T$261,6))*(INDEX(DailyScalarsTable,BK$5/100,MONTH($A115)))*$D115</f>
        <v>-5266.2768781579134</v>
      </c>
      <c r="BL115" s="1021">
        <f>(VLOOKUP(YEAR($A115),'NY East Load Projections'!$A$4:$EO$14,((MONTH($A115)-1)*12)+VLOOKUP(BL$4,$DE$6:$DF$17,2)+1))*(VLOOKUP($A115,CURVES!$D$9:$T$261,6))*(INDEX(DailyScalarsTable,BL$5/100,MONTH($A115)))*$D115</f>
        <v>-10084.856098309931</v>
      </c>
      <c r="BM115" s="1021">
        <f>(VLOOKUP(YEAR($A115),'NY East Load Projections'!$A$4:$EO$14,((MONTH($A115)-1)*12)+VLOOKUP(BM$4,$DE$6:$DF$17,2)+1))*(VLOOKUP($A115,SatSunCurve,6))*(INDEX(DailyScalarsTable,BM$5/100,MONTH($A115)))*$D115</f>
        <v>-7338.7280232452604</v>
      </c>
      <c r="BN115" s="1021">
        <f>(VLOOKUP(YEAR($A115),'NY East Load Projections'!$A$4:$EO$14,((MONTH($A115)-1)*12)+VLOOKUP(BN$4,$DE$6:$DF$17,2)+1))*(VLOOKUP($A115,SatSunCurve,6))*(INDEX(DailyScalarsTable,BN$5/100,MONTH($A115)))*$D115</f>
        <v>-7995.9784547791323</v>
      </c>
      <c r="BO115" s="1021">
        <f>(VLOOKUP(YEAR($A115),'NY East Load Projections'!$A$4:$EO$14,((MONTH($A115)-1)*12)+VLOOKUP(BO$4,$DE$6:$DF$17,2)+1))*(VLOOKUP($A115,SatSunCurve,6))*(INDEX(DailyScalarsTable,BO$5/100,MONTH($A115)))*$D115</f>
        <v>-7971.6419081177792</v>
      </c>
      <c r="BP115" s="1021">
        <f>(VLOOKUP(YEAR($A115),'NY East Load Projections'!$A$4:$EO$14,((MONTH($A115)-1)*12)+VLOOKUP(BP$4,$DE$6:$DF$17,2)+1))*(VLOOKUP($A115,SatSunCurve,6))*(INDEX(DailyScalarsTable,BP$5/100,MONTH($A115)))*$D115</f>
        <v>-7832.5263011723246</v>
      </c>
      <c r="BQ115" s="1021">
        <f>(VLOOKUP(YEAR($A115),'NY East Load Projections'!$A$4:$EO$14,((MONTH($A115)-1)*12)+VLOOKUP(BQ$4,$DE$6:$DF$17,2)+1))*(VLOOKUP($A115,SatSunCurve,6))*(INDEX(DailyScalarsTable,BQ$5/100,MONTH($A115)))*$D115</f>
        <v>-5867.3032604908312</v>
      </c>
      <c r="BR115" s="1021">
        <f>(VLOOKUP(YEAR($A115),'NY East Load Projections'!$A$4:$EO$14,((MONTH($A115)-1)*12)+VLOOKUP(BR$4,$DE$6:$DF$17,2)+1))*(VLOOKUP($A115,SatSunCurve,6))*(INDEX(DailyScalarsTable,BR$5/100,MONTH($A115)))*$D115</f>
        <v>-5660.7496856482639</v>
      </c>
      <c r="BS115" s="1021">
        <f>(VLOOKUP(YEAR($A115),'NY East Load Projections'!$A$4:$EO$14,((MONTH($A115)-1)*12)+VLOOKUP(BS$4,$DE$6:$DF$17,2)+1))*(VLOOKUP($A115,SatSunCurve,6))*(INDEX(DailyScalarsTable,BS$5/100,MONTH($A115)))*$D115</f>
        <v>-5477.9739587836275</v>
      </c>
      <c r="BT115" s="1021">
        <f>(VLOOKUP(YEAR($A115),'NY East Load Projections'!$A$4:$EO$14,((MONTH($A115)-1)*12)+VLOOKUP(BT$4,$DE$6:$DF$17,2)+1))*(VLOOKUP($A115,SatSunCurve,6))*(INDEX(DailyScalarsTable,BT$5/100,MONTH($A115)))*$D115</f>
        <v>-5199.174752225611</v>
      </c>
      <c r="BU115" s="1021">
        <f>(VLOOKUP(YEAR($A115),'NY East Load Projections'!$A$4:$EO$14,((MONTH($A115)-1)*12)+VLOOKUP(BU$4,$DE$6:$DF$17,2)+1))*(VLOOKUP($A115,SatSunCurve,6))*(INDEX(DailyScalarsTable,BU$5/100,MONTH($A115)))*$D115</f>
        <v>-5094.5422709045506</v>
      </c>
      <c r="BV115" s="1021">
        <f>(VLOOKUP(YEAR($A115),'NY East Load Projections'!$A$4:$EO$14,((MONTH($A115)-1)*12)+VLOOKUP(BV$4,$DE$6:$DF$17,2)+1))*(VLOOKUP($A115,SatSunCurve,6))*(INDEX(DailyScalarsTable,BV$5/100,MONTH($A115)))*$D115</f>
        <v>-5442.7373834433656</v>
      </c>
      <c r="BW115" s="1021">
        <f>(VLOOKUP(YEAR($A115),'NY East Load Projections'!$A$4:$EO$14,((MONTH($A115)-1)*12)+VLOOKUP(BW$4,$DE$6:$DF$17,2)+1))*(VLOOKUP($A115,SatSunCurve,6))*(INDEX(DailyScalarsTable,BW$5/100,MONTH($A115)))*$D115</f>
        <v>-7573.3326127715754</v>
      </c>
      <c r="BX115" s="1021">
        <f>(VLOOKUP(YEAR($A115),'NY East Load Projections'!$A$4:$EO$14,((MONTH($A115)-1)*12)+VLOOKUP(BX$4,$DE$6:$DF$17,2)+1))*(VLOOKUP($A115,SatSunCurve,6))*(INDEX(DailyScalarsTable,BX$5/100,MONTH($A115)))*$D115</f>
        <v>-8309.9581409934217</v>
      </c>
      <c r="BY115" s="1021">
        <f>(VLOOKUP(YEAR($A115),'NY East Load Projections'!$A$4:$EO$14,((MONTH($A115)-1)*12)+VLOOKUP(BY$4,$DE$6:$DF$17,2)+1))*(VLOOKUP($A115,SatSunCurve,6))*(INDEX(DailyScalarsTable,BY$5/100,MONTH($A115)))*$D115</f>
        <v>-7954.0719026739052</v>
      </c>
      <c r="BZ115" s="1021">
        <f>(VLOOKUP(YEAR($A115),'NY East Load Projections'!$A$4:$EO$14,((MONTH($A115)-1)*12)+VLOOKUP(BZ$4,$DE$6:$DF$17,2)+1))*(VLOOKUP($A115,SatSunCurve,6))*(INDEX(DailyScalarsTable,BZ$5/100,MONTH($A115)))*$D115</f>
        <v>-7333.4392938518595</v>
      </c>
      <c r="CA115" s="1021">
        <f>(VLOOKUP(YEAR($A115),'NY East Load Projections'!$A$4:$EO$14,((MONTH($A115)-1)*12)+VLOOKUP(CA$4,$DE$6:$DF$17,2)+1))*(VLOOKUP($A115,SatSunCurve,6))*(INDEX(DailyScalarsTable,CA$5/100,MONTH($A115)))*$D115</f>
        <v>-5215.7118753234563</v>
      </c>
      <c r="CB115" s="1021">
        <f>(VLOOKUP(YEAR($A115),'NY East Load Projections'!$A$4:$EO$14,((MONTH($A115)-1)*12)+VLOOKUP(CB$4,$DE$6:$DF$17,2)+1))*(VLOOKUP($A115,SatSunCurve,6))*(INDEX(DailyScalarsTable,CB$5/100,MONTH($A115)))*$D115</f>
        <v>-4269.7093562447044</v>
      </c>
      <c r="CC115" s="1021">
        <f>(VLOOKUP(YEAR($A115),'NY East Load Projections'!$A$4:$EO$14,((MONTH($A115)-1)*12)+VLOOKUP(CC$4,$DE$6:$DF$17,2)+1))*(VLOOKUP($A115,CURVES!$D$9:$T$261,6))*(INDEX(DailyScalarsTable,CC$5/100,MONTH($A115)))*$D115</f>
        <v>-6039.0147221863099</v>
      </c>
      <c r="CE115" s="1021">
        <f>(VLOOKUP(YEAR($A115),'NY East Load Projections'!$A$4:$EO$14,((MONTH($A115)-1)*12)+VLOOKUP(CE$4,$DE$6:$DF$17,2)+1))*(VLOOKUP($A115,CURVES!$D$9:$T$261,6))*(INDEX(DailyScalarsTable,CE$5/100,MONTH($A115)))*$E115</f>
        <v>0</v>
      </c>
      <c r="CF115" s="1021">
        <f>(VLOOKUP(YEAR($A115),'NY East Load Projections'!$A$4:$EO$14,((MONTH($A115)-1)*12)+VLOOKUP(CF$4,$DE$6:$DF$17,2)+1))*(VLOOKUP($A115,CURVES!$D$9:$T$261,6))*(INDEX(DailyScalarsTable,CF$5/100,MONTH($A115)))*$E115</f>
        <v>0</v>
      </c>
      <c r="CG115" s="1021">
        <f>(VLOOKUP(YEAR($A115),'NY East Load Projections'!$A$4:$EO$14,((MONTH($A115)-1)*12)+VLOOKUP(CG$4,$DE$6:$DF$17,2)+1))*(VLOOKUP($A115,CURVES!$D$9:$T$261,6))*(INDEX(DailyScalarsTable,CG$5/100,MONTH($A115)))*$E115</f>
        <v>0</v>
      </c>
      <c r="CH115" s="1021">
        <f>(VLOOKUP(YEAR($A115),'NY East Load Projections'!$A$4:$EO$14,((MONTH($A115)-1)*12)+VLOOKUP(CH$4,$DE$6:$DF$17,2)+1))*(VLOOKUP($A115,CURVES!$D$9:$T$261,6))*(INDEX(DailyScalarsTable,CH$5/100,MONTH($A115)))*$E115</f>
        <v>0</v>
      </c>
      <c r="CI115" s="1021">
        <f>(VLOOKUP(YEAR($A115),'NY East Load Projections'!$A$4:$EO$14,((MONTH($A115)-1)*12)+VLOOKUP(CI$4,$DE$6:$DF$17,2)+1))*(VLOOKUP($A115,CURVES!$D$9:$T$261,6))*(INDEX(DailyScalarsTable,CI$5/100,MONTH($A115)))*$E115</f>
        <v>0</v>
      </c>
      <c r="CJ115" s="1021">
        <f>(VLOOKUP(YEAR($A115),'NY East Load Projections'!$A$4:$EO$14,((MONTH($A115)-1)*12)+VLOOKUP(CJ$4,$DE$6:$DF$17,2)+1))*(VLOOKUP($A115,CURVES!$D$9:$T$261,6))*(INDEX(DailyScalarsTable,CJ$5/100,MONTH($A115)))*$E115</f>
        <v>0</v>
      </c>
      <c r="CK115" s="1021">
        <f>(VLOOKUP(YEAR($A115),'NY East Load Projections'!$A$4:$EO$14,((MONTH($A115)-1)*12)+VLOOKUP(CK$4,$DE$6:$DF$17,2)+1))*(VLOOKUP($A115,CURVES!$D$9:$T$261,6))*(INDEX(DailyScalarsTable,CK$5/100,MONTH($A115)))*$E115</f>
        <v>0</v>
      </c>
      <c r="CL115" s="1021">
        <f>(VLOOKUP(YEAR($A115),'NY East Load Projections'!$A$4:$EO$14,((MONTH($A115)-1)*12)+VLOOKUP(CL$4,$DE$6:$DF$17,2)+1))*(VLOOKUP($A115,SatSunCurve,6))*(INDEX(DailyScalarsTable,CL$5/100,MONTH($A115)))*$E115</f>
        <v>0</v>
      </c>
      <c r="CM115" s="1021">
        <f>(VLOOKUP(YEAR($A115),'NY East Load Projections'!$A$4:$EO$14,((MONTH($A115)-1)*12)+VLOOKUP(CM$4,$DE$6:$DF$17,2)+1))*(VLOOKUP($A115,SatSunCurve,6))*(INDEX(DailyScalarsTable,CM$5/100,MONTH($A115)))*$E115</f>
        <v>0</v>
      </c>
      <c r="CN115" s="1021">
        <f>(VLOOKUP(YEAR($A115),'NY East Load Projections'!$A$4:$EO$14,((MONTH($A115)-1)*12)+VLOOKUP(CN$4,$DE$6:$DF$17,2)+1))*(VLOOKUP($A115,SatSunCurve,6))*(INDEX(DailyScalarsTable,CN$5/100,MONTH($A115)))*$E115</f>
        <v>0</v>
      </c>
      <c r="CO115" s="1021">
        <f>(VLOOKUP(YEAR($A115),'NY East Load Projections'!$A$4:$EO$14,((MONTH($A115)-1)*12)+VLOOKUP(CO$4,$DE$6:$DF$17,2)+1))*(VLOOKUP($A115,SatSunCurve,6))*(INDEX(DailyScalarsTable,CO$5/100,MONTH($A115)))*$E115</f>
        <v>0</v>
      </c>
      <c r="CP115" s="1021">
        <f>(VLOOKUP(YEAR($A115),'NY East Load Projections'!$A$4:$EO$14,((MONTH($A115)-1)*12)+VLOOKUP(CP$4,$DE$6:$DF$17,2)+1))*(VLOOKUP($A115,SatSunCurve,6))*(INDEX(DailyScalarsTable,CP$5/100,MONTH($A115)))*$E115</f>
        <v>0</v>
      </c>
      <c r="CQ115" s="1021">
        <f>(VLOOKUP(YEAR($A115),'NY East Load Projections'!$A$4:$EO$14,((MONTH($A115)-1)*12)+VLOOKUP(CQ$4,$DE$6:$DF$17,2)+1))*(VLOOKUP($A115,SatSunCurve,6))*(INDEX(DailyScalarsTable,CQ$5/100,MONTH($A115)))*$E115</f>
        <v>0</v>
      </c>
      <c r="CR115" s="1021">
        <f>(VLOOKUP(YEAR($A115),'NY East Load Projections'!$A$4:$EO$14,((MONTH($A115)-1)*12)+VLOOKUP(CR$4,$DE$6:$DF$17,2)+1))*(VLOOKUP($A115,SatSunCurve,6))*(INDEX(DailyScalarsTable,CR$5/100,MONTH($A115)))*$E115</f>
        <v>0</v>
      </c>
      <c r="CS115" s="1021">
        <f>(VLOOKUP(YEAR($A115),'NY East Load Projections'!$A$4:$EO$14,((MONTH($A115)-1)*12)+VLOOKUP(CS$4,$DE$6:$DF$17,2)+1))*(VLOOKUP($A115,SatSunCurve,6))*(INDEX(DailyScalarsTable,CS$5/100,MONTH($A115)))*$E115</f>
        <v>0</v>
      </c>
      <c r="CT115" s="1021">
        <f>(VLOOKUP(YEAR($A115),'NY East Load Projections'!$A$4:$EO$14,((MONTH($A115)-1)*12)+VLOOKUP(CT$4,$DE$6:$DF$17,2)+1))*(VLOOKUP($A115,SatSunCurve,6))*(INDEX(DailyScalarsTable,CT$5/100,MONTH($A115)))*$E115</f>
        <v>0</v>
      </c>
      <c r="CU115" s="1021">
        <f>(VLOOKUP(YEAR($A115),'NY East Load Projections'!$A$4:$EO$14,((MONTH($A115)-1)*12)+VLOOKUP(CU$4,$DE$6:$DF$17,2)+1))*(VLOOKUP($A115,SatSunCurve,6))*(INDEX(DailyScalarsTable,CU$5/100,MONTH($A115)))*$E115</f>
        <v>0</v>
      </c>
      <c r="CV115" s="1021">
        <f>(VLOOKUP(YEAR($A115),'NY East Load Projections'!$A$4:$EO$14,((MONTH($A115)-1)*12)+VLOOKUP(CV$4,$DE$6:$DF$17,2)+1))*(VLOOKUP($A115,SatSunCurve,6))*(INDEX(DailyScalarsTable,CV$5/100,MONTH($A115)))*$E115</f>
        <v>0</v>
      </c>
      <c r="CW115" s="1021">
        <f>(VLOOKUP(YEAR($A115),'NY East Load Projections'!$A$4:$EO$14,((MONTH($A115)-1)*12)+VLOOKUP(CW$4,$DE$6:$DF$17,2)+1))*(VLOOKUP($A115,SatSunCurve,6))*(INDEX(DailyScalarsTable,CW$5/100,MONTH($A115)))*$E115</f>
        <v>0</v>
      </c>
      <c r="CX115" s="1021">
        <f>(VLOOKUP(YEAR($A115),'NY East Load Projections'!$A$4:$EO$14,((MONTH($A115)-1)*12)+VLOOKUP(CX$4,$DE$6:$DF$17,2)+1))*(VLOOKUP($A115,SatSunCurve,6))*(INDEX(DailyScalarsTable,CX$5/100,MONTH($A115)))*$E115</f>
        <v>0</v>
      </c>
      <c r="CY115" s="1021">
        <f>(VLOOKUP(YEAR($A115),'NY East Load Projections'!$A$4:$EO$14,((MONTH($A115)-1)*12)+VLOOKUP(CY$4,$DE$6:$DF$17,2)+1))*(VLOOKUP($A115,SatSunCurve,6))*(INDEX(DailyScalarsTable,CY$5/100,MONTH($A115)))*$E115</f>
        <v>0</v>
      </c>
      <c r="CZ115" s="1021">
        <f>(VLOOKUP(YEAR($A115),'NY East Load Projections'!$A$4:$EO$14,((MONTH($A115)-1)*12)+VLOOKUP(CZ$4,$DE$6:$DF$17,2)+1))*(VLOOKUP($A115,SatSunCurve,6))*(INDEX(DailyScalarsTable,CZ$5/100,MONTH($A115)))*$E115</f>
        <v>0</v>
      </c>
      <c r="DA115" s="1021">
        <f>(VLOOKUP(YEAR($A115),'NY East Load Projections'!$A$4:$EO$14,((MONTH($A115)-1)*12)+VLOOKUP(DA$4,$DE$6:$DF$17,2)+1))*(VLOOKUP($A115,SatSunCurve,6))*(INDEX(DailyScalarsTable,DA$5/100,MONTH($A115)))*$E115</f>
        <v>0</v>
      </c>
      <c r="DB115" s="1021">
        <f>(VLOOKUP(YEAR($A115),'NY East Load Projections'!$A$4:$EO$14,((MONTH($A115)-1)*12)+VLOOKUP(DB$4,$DE$6:$DF$17,2)+1))*(VLOOKUP($A115,CURVES!$D$9:$T$261,6))*(INDEX(DailyScalarsTable,DB$5/100,MONTH($A115)))*$E115</f>
        <v>0</v>
      </c>
      <c r="DH115" s="1021">
        <f t="shared" si="2"/>
        <v>-1447931.7838912697</v>
      </c>
      <c r="DI115">
        <f ca="1">CALC!J135</f>
        <v>0.48096549532935601</v>
      </c>
      <c r="DJ115" s="1029">
        <f t="shared" ca="1" si="3"/>
        <v>-696405.22764238261</v>
      </c>
    </row>
    <row r="116" spans="1:114" x14ac:dyDescent="0.25">
      <c r="A116" s="244">
        <v>40238</v>
      </c>
      <c r="B116" s="13">
        <v>23</v>
      </c>
      <c r="C116" s="210">
        <v>4</v>
      </c>
      <c r="D116" s="210">
        <v>4</v>
      </c>
      <c r="E116" s="210">
        <v>0</v>
      </c>
      <c r="F116" s="13">
        <v>31</v>
      </c>
      <c r="H116" s="1021">
        <f>(VLOOKUP(YEAR($A116),'NY East Load Projections'!$A$4:$EO$14,((MONTH($A116)-1)*12)+VLOOKUP(H$4,$DE$6:$DF$17,2)+1))*(VLOOKUP($A116,CURVES!$D$9:$K$261,6))*(INDEX(DailyScalarsTable,H$5/100,MONTH($A116)))*$B116</f>
        <v>-27189.406728835333</v>
      </c>
      <c r="I116" s="1021">
        <f>(VLOOKUP(YEAR($A116),'NY East Load Projections'!$A$4:$EO$14,((MONTH($A116)-1)*12)+VLOOKUP(I$4,$DE$6:$DF$17,2)+1))*(VLOOKUP($A116,CURVES!$D$9:$K$261,6))*(INDEX(DailyScalarsTable,I$5/100,MONTH($A116)))*$B116</f>
        <v>-25708.79008253746</v>
      </c>
      <c r="J116" s="1021">
        <f>(VLOOKUP(YEAR($A116),'NY East Load Projections'!$A$4:$EO$14,((MONTH($A116)-1)*12)+VLOOKUP(J$4,$DE$6:$DF$17,2)+1))*(VLOOKUP($A116,CURVES!$D$9:$K$261,6))*(INDEX(DailyScalarsTable,J$5/100,MONTH($A116)))*$B116</f>
        <v>-24613.120614928463</v>
      </c>
      <c r="K116" s="1021">
        <f>(VLOOKUP(YEAR($A116),'NY East Load Projections'!$A$4:$EO$14,((MONTH($A116)-1)*12)+VLOOKUP(K$4,$DE$6:$DF$17,2)+1))*(VLOOKUP($A116,CURVES!$D$9:$K$261,6))*(INDEX(DailyScalarsTable,K$5/100,MONTH($A116)))*$B116</f>
        <v>-24628.571099470217</v>
      </c>
      <c r="L116" s="1021">
        <f>(VLOOKUP(YEAR($A116),'NY East Load Projections'!$A$4:$EO$14,((MONTH($A116)-1)*12)+VLOOKUP(L$4,$DE$6:$DF$17,2)+1))*(VLOOKUP($A116,CURVES!$D$9:$K$261,6))*(INDEX(DailyScalarsTable,L$5/100,MONTH($A116)))*$B116</f>
        <v>-27480.47021694258</v>
      </c>
      <c r="M116" s="1021">
        <f>(VLOOKUP(YEAR($A116),'NY East Load Projections'!$A$4:$EO$14,((MONTH($A116)-1)*12)+VLOOKUP(M$4,$DE$6:$DF$17,2)+1))*(VLOOKUP($A116,CURVES!$D$9:$K$261,6))*(INDEX(DailyScalarsTable,M$5/100,MONTH($A116)))*$B116</f>
        <v>-31898.596261188733</v>
      </c>
      <c r="N116" s="1021">
        <f>(VLOOKUP(YEAR($A116),'NY East Load Projections'!$A$4:$EO$14,((MONTH($A116)-1)*12)+VLOOKUP(N$4,$DE$6:$DF$17,2)+1))*(VLOOKUP($A116,CURVES!$D$9:$K$261,6))*(INDEX(DailyScalarsTable,N$5/100,MONTH($A116)))*$B116</f>
        <v>-57557.404441796236</v>
      </c>
      <c r="O116" s="1021">
        <f>(VLOOKUP(YEAR($A116),'NY East Load Projections'!$A$4:$EO$14,((MONTH($A116)-1)*12)+VLOOKUP(O$4,$DE$6:$DF$17,2)+1))*(VLOOKUP($A116,CURVES!$D$9:$K$261,2))*(INDEX(DailyScalarsTable,O$5/100,MONTH($A116)))*$B116</f>
        <v>-61089.782652450122</v>
      </c>
      <c r="P116" s="1021">
        <f>(VLOOKUP(YEAR($A116),'NY East Load Projections'!$A$4:$EO$14,((MONTH($A116)-1)*12)+VLOOKUP(P$4,$DE$6:$DF$17,2)+1))*(VLOOKUP($A116,CURVES!$D$9:$K$261,2))*(INDEX(DailyScalarsTable,P$5/100,MONTH($A116)))*$B116</f>
        <v>-67455.136539737781</v>
      </c>
      <c r="Q116" s="1021">
        <f>(VLOOKUP(YEAR($A116),'NY East Load Projections'!$A$4:$EO$14,((MONTH($A116)-1)*12)+VLOOKUP(Q$4,$DE$6:$DF$17,2)+1))*(VLOOKUP($A116,CURVES!$D$9:$K$261,2))*(INDEX(DailyScalarsTable,Q$5/100,MONTH($A116)))*$B116</f>
        <v>-67251.036277892883</v>
      </c>
      <c r="R116" s="1021">
        <f>(VLOOKUP(YEAR($A116),'NY East Load Projections'!$A$4:$EO$14,((MONTH($A116)-1)*12)+VLOOKUP(R$4,$DE$6:$DF$17,2)+1))*(VLOOKUP($A116,CURVES!$D$9:$K$261,2))*(INDEX(DailyScalarsTable,R$5/100,MONTH($A116)))*$B116</f>
        <v>-66066.120868848913</v>
      </c>
      <c r="S116" s="1021">
        <f>(VLOOKUP(YEAR($A116),'NY East Load Projections'!$A$4:$EO$14,((MONTH($A116)-1)*12)+VLOOKUP(S$4,$DE$6:$DF$17,2)+1))*(VLOOKUP($A116,CURVES!$D$9:$K$261,2))*(INDEX(DailyScalarsTable,S$5/100,MONTH($A116)))*$B116</f>
        <v>-50480.798096304017</v>
      </c>
      <c r="T116" s="1021">
        <f>(VLOOKUP(YEAR($A116),'NY East Load Projections'!$A$4:$EO$14,((MONTH($A116)-1)*12)+VLOOKUP(T$4,$DE$6:$DF$17,2)+1))*(VLOOKUP($A116,CURVES!$D$9:$K$261,2))*(INDEX(DailyScalarsTable,T$5/100,MONTH($A116)))*$B116</f>
        <v>-49681.967617107068</v>
      </c>
      <c r="U116" s="1021">
        <f>(VLOOKUP(YEAR($A116),'NY East Load Projections'!$A$4:$EO$14,((MONTH($A116)-1)*12)+VLOOKUP(U$4,$DE$6:$DF$17,2)+1))*(VLOOKUP($A116,CURVES!$D$9:$K$261,2))*(INDEX(DailyScalarsTable,U$5/100,MONTH($A116)))*$B116</f>
        <v>-48096.372905922806</v>
      </c>
      <c r="V116" s="1021">
        <f>(VLOOKUP(YEAR($A116),'NY East Load Projections'!$A$4:$EO$14,((MONTH($A116)-1)*12)+VLOOKUP(V$4,$DE$6:$DF$17,2)+1))*(VLOOKUP($A116,CURVES!$D$9:$K$261,2))*(INDEX(DailyScalarsTable,V$5/100,MONTH($A116)))*$B116</f>
        <v>-45677.766480529412</v>
      </c>
      <c r="W116" s="1021">
        <f>(VLOOKUP(YEAR($A116),'NY East Load Projections'!$A$4:$EO$14,((MONTH($A116)-1)*12)+VLOOKUP(W$4,$DE$6:$DF$17,2)+1))*(VLOOKUP($A116,CURVES!$D$9:$K$261,2))*(INDEX(DailyScalarsTable,W$5/100,MONTH($A116)))*$B116</f>
        <v>-44770.070957460157</v>
      </c>
      <c r="X116" s="1021">
        <f>(VLOOKUP(YEAR($A116),'NY East Load Projections'!$A$4:$EO$14,((MONTH($A116)-1)*12)+VLOOKUP(X$4,$DE$6:$DF$17,2)+1))*(VLOOKUP($A116,CURVES!$D$9:$K$261,2))*(INDEX(DailyScalarsTable,X$5/100,MONTH($A116)))*$B116</f>
        <v>-47177.71953417785</v>
      </c>
      <c r="Y116" s="1021">
        <f>(VLOOKUP(YEAR($A116),'NY East Load Projections'!$A$4:$EO$14,((MONTH($A116)-1)*12)+VLOOKUP(Y$4,$DE$6:$DF$17,2)+1))*(VLOOKUP($A116,CURVES!$D$9:$K$261,2))*(INDEX(DailyScalarsTable,Y$5/100,MONTH($A116)))*$B116</f>
        <v>-64319.623983566627</v>
      </c>
      <c r="Z116" s="1021">
        <f>(VLOOKUP(YEAR($A116),'NY East Load Projections'!$A$4:$EO$14,((MONTH($A116)-1)*12)+VLOOKUP(Z$4,$DE$6:$DF$17,2)+1))*(VLOOKUP($A116,CURVES!$D$9:$K$261,2))*(INDEX(DailyScalarsTable,Z$5/100,MONTH($A116)))*$B116</f>
        <v>-70627.755974012252</v>
      </c>
      <c r="AA116" s="1021">
        <f>(VLOOKUP(YEAR($A116),'NY East Load Projections'!$A$4:$EO$14,((MONTH($A116)-1)*12)+VLOOKUP(AA$4,$DE$6:$DF$17,2)+1))*(VLOOKUP($A116,CURVES!$D$9:$K$261,2))*(INDEX(DailyScalarsTable,AA$5/100,MONTH($A116)))*$B116</f>
        <v>-67579.195707502891</v>
      </c>
      <c r="AB116" s="1021">
        <f>(VLOOKUP(YEAR($A116),'NY East Load Projections'!$A$4:$EO$14,((MONTH($A116)-1)*12)+VLOOKUP(AB$4,$DE$6:$DF$17,2)+1))*(VLOOKUP($A116,CURVES!$D$9:$K$261,2))*(INDEX(DailyScalarsTable,AB$5/100,MONTH($A116)))*$B116</f>
        <v>-61382.414038462673</v>
      </c>
      <c r="AC116" s="1021">
        <f>(VLOOKUP(YEAR($A116),'NY East Load Projections'!$A$4:$EO$14,((MONTH($A116)-1)*12)+VLOOKUP(AC$4,$DE$6:$DF$17,2)+1))*(VLOOKUP($A116,CURVES!$D$9:$K$261,2))*(INDEX(DailyScalarsTable,AC$5/100,MONTH($A116)))*$B116</f>
        <v>-44572.069926627984</v>
      </c>
      <c r="AD116" s="1021">
        <f>(VLOOKUP(YEAR($A116),'NY East Load Projections'!$A$4:$EO$14,((MONTH($A116)-1)*12)+VLOOKUP(AD$4,$DE$6:$DF$17,2)+1))*(VLOOKUP($A116,CURVES!$D$9:$K$261,2))*(INDEX(DailyScalarsTable,AD$5/100,MONTH($A116)))*$B116</f>
        <v>-36585.012296961635</v>
      </c>
      <c r="AE116" s="1021">
        <f>(VLOOKUP(YEAR($A116),'NY East Load Projections'!$A$4:$EO$14,((MONTH($A116)-1)*12)+VLOOKUP(AE$4,$DE$6:$DF$17,2)+1))*(VLOOKUP($A116,CURVES!$D$9:$K$261,6))*(INDEX(DailyScalarsTable,AE$5/100,MONTH($A116)))*$B116</f>
        <v>-33379.76143469369</v>
      </c>
      <c r="AF116" s="1021"/>
      <c r="AG116" s="1021">
        <f>(VLOOKUP(YEAR($A116),'NY East Load Projections'!$A$4:$EO$14,((MONTH($A116)-1)*12)+VLOOKUP(AG$4,$DE$6:$DF$17,2)+1))*(VLOOKUP($A116,CURVES!$D$9:$T$261,6))*(INDEX(DailyScalarsTable,AG$5/100,MONTH($A116)))*$C116</f>
        <v>-4855.5390158358314</v>
      </c>
      <c r="AH116" s="1021">
        <f>(VLOOKUP(YEAR($A116),'NY East Load Projections'!$A$4:$EO$14,((MONTH($A116)-1)*12)+VLOOKUP(AH$4,$DE$6:$DF$17,2)+1))*(VLOOKUP($A116,CURVES!$D$9:$T$261,6))*(INDEX(DailyScalarsTable,AH$5/100,MONTH($A116)))*$C116</f>
        <v>-4591.1275130290805</v>
      </c>
      <c r="AI116" s="1021">
        <f>(VLOOKUP(YEAR($A116),'NY East Load Projections'!$A$4:$EO$14,((MONTH($A116)-1)*12)+VLOOKUP(AI$4,$DE$6:$DF$17,2)+1))*(VLOOKUP($A116,CURVES!$D$9:$T$261,6))*(INDEX(DailyScalarsTable,AI$5/100,MONTH($A116)))*$C116</f>
        <v>-4395.4606527149335</v>
      </c>
      <c r="AJ116" s="1021">
        <f>(VLOOKUP(YEAR($A116),'NY East Load Projections'!$A$4:$EO$14,((MONTH($A116)-1)*12)+VLOOKUP(AJ$4,$DE$6:$DF$17,2)+1))*(VLOOKUP($A116,CURVES!$D$9:$T$261,6))*(INDEX(DailyScalarsTable,AJ$5/100,MONTH($A116)))*$C116</f>
        <v>-4398.2198313632298</v>
      </c>
      <c r="AK116" s="1021">
        <f>(VLOOKUP(YEAR($A116),'NY East Load Projections'!$A$4:$EO$14,((MONTH($A116)-1)*12)+VLOOKUP(AK$4,$DE$6:$DF$17,2)+1))*(VLOOKUP($A116,CURVES!$D$9:$T$261,6))*(INDEX(DailyScalarsTable,AK$5/100,MONTH($A116)))*$C116</f>
        <v>-4791.2686252308959</v>
      </c>
      <c r="AL116" s="1021">
        <f>(VLOOKUP(YEAR($A116),'NY East Load Projections'!$A$4:$EO$14,((MONTH($A116)-1)*12)+VLOOKUP(AL$4,$DE$6:$DF$17,2)+1))*(VLOOKUP($A116,CURVES!$D$9:$T$261,6))*(INDEX(DailyScalarsTable,AL$5/100,MONTH($A116)))*$C116</f>
        <v>-5561.5767215261722</v>
      </c>
      <c r="AM116" s="1021">
        <f>(VLOOKUP(YEAR($A116),'NY East Load Projections'!$A$4:$EO$14,((MONTH($A116)-1)*12)+VLOOKUP(AM$4,$DE$6:$DF$17,2)+1))*(VLOOKUP($A116,CURVES!$D$9:$T$261,6))*(INDEX(DailyScalarsTable,AM$5/100,MONTH($A116)))*$C116</f>
        <v>-10035.235346216197</v>
      </c>
      <c r="AN116" s="1021">
        <f>(VLOOKUP(YEAR($A116),'NY East Load Projections'!$A$4:$EO$14,((MONTH($A116)-1)*12)+VLOOKUP(AN$4,$DE$6:$DF$17,2)+1))*(VLOOKUP($A116,SatSunCurve,2))*(INDEX(DailyScalarsTable,AN$5/100,MONTH($A116)))*$C116</f>
        <v>-7002.5789588534008</v>
      </c>
      <c r="AO116" s="1021">
        <f>(VLOOKUP(YEAR($A116),'NY East Load Projections'!$A$4:$EO$14,((MONTH($A116)-1)*12)+VLOOKUP(AO$4,$DE$6:$DF$17,2)+1))*(VLOOKUP($A116,SatSunCurve,2))*(INDEX(DailyScalarsTable,AO$5/100,MONTH($A116)))*$C116</f>
        <v>-7606.6303914421478</v>
      </c>
      <c r="AP116" s="1021">
        <f>(VLOOKUP(YEAR($A116),'NY East Load Projections'!$A$4:$EO$14,((MONTH($A116)-1)*12)+VLOOKUP(AP$4,$DE$6:$DF$17,2)+1))*(VLOOKUP($A116,SatSunCurve,2))*(INDEX(DailyScalarsTable,AP$5/100,MONTH($A116)))*$C116</f>
        <v>-7583.6148683212941</v>
      </c>
      <c r="AQ116" s="1021">
        <f>(VLOOKUP(YEAR($A116),'NY East Load Projections'!$A$4:$EO$14,((MONTH($A116)-1)*12)+VLOOKUP(AQ$4,$DE$6:$DF$17,2)+1))*(VLOOKUP($A116,SatSunCurve,2))*(INDEX(DailyScalarsTable,AQ$5/100,MONTH($A116)))*$C116</f>
        <v>-7449.9969702030048</v>
      </c>
      <c r="AR116" s="1021">
        <f>(VLOOKUP(YEAR($A116),'NY East Load Projections'!$A$4:$EO$14,((MONTH($A116)-1)*12)+VLOOKUP(AR$4,$DE$6:$DF$17,2)+1))*(VLOOKUP($A116,SatSunCurve,2))*(INDEX(DailyScalarsTable,AR$5/100,MONTH($A116)))*$C116</f>
        <v>-5692.5060518911487</v>
      </c>
      <c r="AS116" s="1021">
        <f>(VLOOKUP(YEAR($A116),'NY East Load Projections'!$A$4:$EO$14,((MONTH($A116)-1)*12)+VLOOKUP(AS$4,$DE$6:$DF$17,2)+1))*(VLOOKUP($A116,SatSunCurve,2))*(INDEX(DailyScalarsTable,AS$5/100,MONTH($A116)))*$C116</f>
        <v>-5524.039767606323</v>
      </c>
      <c r="AT116" s="1021">
        <f>(VLOOKUP(YEAR($A116),'NY East Load Projections'!$A$4:$EO$14,((MONTH($A116)-1)*12)+VLOOKUP(AT$4,$DE$6:$DF$17,2)+1))*(VLOOKUP($A116,SatSunCurve,2))*(INDEX(DailyScalarsTable,AT$5/100,MONTH($A116)))*$C116</f>
        <v>-5347.740626086973</v>
      </c>
      <c r="AU116" s="1021">
        <f>(VLOOKUP(YEAR($A116),'NY East Load Projections'!$A$4:$EO$14,((MONTH($A116)-1)*12)+VLOOKUP(AU$4,$DE$6:$DF$17,2)+1))*(VLOOKUP($A116,SatSunCurve,2))*(INDEX(DailyScalarsTable,AU$5/100,MONTH($A116)))*$C116</f>
        <v>-5078.8205587694119</v>
      </c>
      <c r="AV116" s="1021">
        <f>(VLOOKUP(YEAR($A116),'NY East Load Projections'!$A$4:$EO$14,((MONTH($A116)-1)*12)+VLOOKUP(AV$4,$DE$6:$DF$17,2)+1))*(VLOOKUP($A116,SatSunCurve,2))*(INDEX(DailyScalarsTable,AV$5/100,MONTH($A116)))*$C116</f>
        <v>-4977.8956878996387</v>
      </c>
      <c r="AW116" s="1021">
        <f>(VLOOKUP(YEAR($A116),'NY East Load Projections'!$A$4:$EO$14,((MONTH($A116)-1)*12)+VLOOKUP(AW$4,$DE$6:$DF$17,2)+1))*(VLOOKUP($A116,SatSunCurve,2))*(INDEX(DailyScalarsTable,AW$5/100,MONTH($A116)))*$C116</f>
        <v>-5317.5577621631692</v>
      </c>
      <c r="AX116" s="1021">
        <f>(VLOOKUP(YEAR($A116),'NY East Load Projections'!$A$4:$EO$14,((MONTH($A116)-1)*12)+VLOOKUP(AX$4,$DE$6:$DF$17,2)+1))*(VLOOKUP($A116,SatSunCurve,2))*(INDEX(DailyScalarsTable,AX$5/100,MONTH($A116)))*$C116</f>
        <v>-7249.678855830507</v>
      </c>
      <c r="AY116" s="1021">
        <f>(VLOOKUP(YEAR($A116),'NY East Load Projections'!$A$4:$EO$14,((MONTH($A116)-1)*12)+VLOOKUP(AY$4,$DE$6:$DF$17,2)+1))*(VLOOKUP($A116,SatSunCurve,2))*(INDEX(DailyScalarsTable,AY$5/100,MONTH($A116)))*$C116</f>
        <v>-7960.6894040670131</v>
      </c>
      <c r="AZ116" s="1021">
        <f>(VLOOKUP(YEAR($A116),'NY East Load Projections'!$A$4:$EO$14,((MONTH($A116)-1)*12)+VLOOKUP(AZ$4,$DE$6:$DF$17,2)+1))*(VLOOKUP($A116,SatSunCurve,2))*(INDEX(DailyScalarsTable,AZ$5/100,MONTH($A116)))*$C116</f>
        <v>-7617.0760317238428</v>
      </c>
      <c r="BA116" s="1021">
        <f>(VLOOKUP(YEAR($A116),'NY East Load Projections'!$A$4:$EO$14,((MONTH($A116)-1)*12)+VLOOKUP(BA$4,$DE$6:$DF$17,2)+1))*(VLOOKUP($A116,SatSunCurve,2))*(INDEX(DailyScalarsTable,BA$5/100,MONTH($A116)))*$C116</f>
        <v>-6998.8387631291353</v>
      </c>
      <c r="BB116" s="1021">
        <f>(VLOOKUP(YEAR($A116),'NY East Load Projections'!$A$4:$EO$14,((MONTH($A116)-1)*12)+VLOOKUP(BB$4,$DE$6:$DF$17,2)+1))*(VLOOKUP($A116,SatSunCurve,2))*(INDEX(DailyScalarsTable,BB$5/100,MONTH($A116)))*$C116</f>
        <v>-5082.1189691222389</v>
      </c>
      <c r="BC116" s="1021">
        <f>(VLOOKUP(YEAR($A116),'NY East Load Projections'!$A$4:$EO$14,((MONTH($A116)-1)*12)+VLOOKUP(BC$4,$DE$6:$DF$17,2)+1))*(VLOOKUP($A116,SatSunCurve,2))*(INDEX(DailyScalarsTable,BC$5/100,MONTH($A116)))*$C116</f>
        <v>-4171.4325874034012</v>
      </c>
      <c r="BD116" s="1021">
        <f>(VLOOKUP(YEAR($A116),'NY East Load Projections'!$A$4:$EO$14,((MONTH($A116)-1)*12)+VLOOKUP(BD$4,$DE$6:$DF$17,2)+1))*(VLOOKUP($A116,CURVES!$D$9:$T$261,6))*(INDEX(DailyScalarsTable,BD$5/100,MONTH($A116)))*$C116</f>
        <v>-5788.9817310080552</v>
      </c>
      <c r="BE116" s="1021"/>
      <c r="BF116" s="1021">
        <f>(VLOOKUP(YEAR($A116),'NY East Load Projections'!$A$4:$EO$14,((MONTH($A116)-1)*12)+VLOOKUP(BF$4,$DE$6:$DF$17,2)+1))*(VLOOKUP($A116,CURVES!$D$9:$T$261,6))*(INDEX(DailyScalarsTable,BF$5/100,MONTH($A116)))*$D116</f>
        <v>-4855.5390158358314</v>
      </c>
      <c r="BG116" s="1021">
        <f>(VLOOKUP(YEAR($A116),'NY East Load Projections'!$A$4:$EO$14,((MONTH($A116)-1)*12)+VLOOKUP(BG$4,$DE$6:$DF$17,2)+1))*(VLOOKUP($A116,CURVES!$D$9:$T$261,6))*(INDEX(DailyScalarsTable,BG$5/100,MONTH($A116)))*$D116</f>
        <v>-4591.1275130290805</v>
      </c>
      <c r="BH116" s="1021">
        <f>(VLOOKUP(YEAR($A116),'NY East Load Projections'!$A$4:$EO$14,((MONTH($A116)-1)*12)+VLOOKUP(BH$4,$DE$6:$DF$17,2)+1))*(VLOOKUP($A116,CURVES!$D$9:$T$261,6))*(INDEX(DailyScalarsTable,BH$5/100,MONTH($A116)))*$D116</f>
        <v>-4395.4606527149335</v>
      </c>
      <c r="BI116" s="1021">
        <f>(VLOOKUP(YEAR($A116),'NY East Load Projections'!$A$4:$EO$14,((MONTH($A116)-1)*12)+VLOOKUP(BI$4,$DE$6:$DF$17,2)+1))*(VLOOKUP($A116,CURVES!$D$9:$T$261,6))*(INDEX(DailyScalarsTable,BI$5/100,MONTH($A116)))*$D116</f>
        <v>-4398.2198313632298</v>
      </c>
      <c r="BJ116" s="1021">
        <f>(VLOOKUP(YEAR($A116),'NY East Load Projections'!$A$4:$EO$14,((MONTH($A116)-1)*12)+VLOOKUP(BJ$4,$DE$6:$DF$17,2)+1))*(VLOOKUP($A116,CURVES!$D$9:$T$261,6))*(INDEX(DailyScalarsTable,BJ$5/100,MONTH($A116)))*$D116</f>
        <v>-4791.2686252308959</v>
      </c>
      <c r="BK116" s="1021">
        <f>(VLOOKUP(YEAR($A116),'NY East Load Projections'!$A$4:$EO$14,((MONTH($A116)-1)*12)+VLOOKUP(BK$4,$DE$6:$DF$17,2)+1))*(VLOOKUP($A116,CURVES!$D$9:$T$261,6))*(INDEX(DailyScalarsTable,BK$5/100,MONTH($A116)))*$D116</f>
        <v>-5561.5767215261722</v>
      </c>
      <c r="BL116" s="1021">
        <f>(VLOOKUP(YEAR($A116),'NY East Load Projections'!$A$4:$EO$14,((MONTH($A116)-1)*12)+VLOOKUP(BL$4,$DE$6:$DF$17,2)+1))*(VLOOKUP($A116,CURVES!$D$9:$T$261,6))*(INDEX(DailyScalarsTable,BL$5/100,MONTH($A116)))*$D116</f>
        <v>-10035.235346216197</v>
      </c>
      <c r="BM116" s="1021">
        <f>(VLOOKUP(YEAR($A116),'NY East Load Projections'!$A$4:$EO$14,((MONTH($A116)-1)*12)+VLOOKUP(BM$4,$DE$6:$DF$17,2)+1))*(VLOOKUP($A116,SatSunCurve,6))*(INDEX(DailyScalarsTable,BM$5/100,MONTH($A116)))*$D116</f>
        <v>-5695.0210183655217</v>
      </c>
      <c r="BN116" s="1021">
        <f>(VLOOKUP(YEAR($A116),'NY East Load Projections'!$A$4:$EO$14,((MONTH($A116)-1)*12)+VLOOKUP(BN$4,$DE$6:$DF$17,2)+1))*(VLOOKUP($A116,SatSunCurve,6))*(INDEX(DailyScalarsTable,BN$5/100,MONTH($A116)))*$D116</f>
        <v>-6186.2808277843633</v>
      </c>
      <c r="BO116" s="1021">
        <f>(VLOOKUP(YEAR($A116),'NY East Load Projections'!$A$4:$EO$14,((MONTH($A116)-1)*12)+VLOOKUP(BO$4,$DE$6:$DF$17,2)+1))*(VLOOKUP($A116,SatSunCurve,6))*(INDEX(DailyScalarsTable,BO$5/100,MONTH($A116)))*$D116</f>
        <v>-6167.562882768374</v>
      </c>
      <c r="BP116" s="1021">
        <f>(VLOOKUP(YEAR($A116),'NY East Load Projections'!$A$4:$EO$14,((MONTH($A116)-1)*12)+VLOOKUP(BP$4,$DE$6:$DF$17,2)+1))*(VLOOKUP($A116,SatSunCurve,6))*(INDEX(DailyScalarsTable,BP$5/100,MONTH($A116)))*$D116</f>
        <v>-6058.8948130922163</v>
      </c>
      <c r="BQ116" s="1021">
        <f>(VLOOKUP(YEAR($A116),'NY East Load Projections'!$A$4:$EO$14,((MONTH($A116)-1)*12)+VLOOKUP(BQ$4,$DE$6:$DF$17,2)+1))*(VLOOKUP($A116,SatSunCurve,6))*(INDEX(DailyScalarsTable,BQ$5/100,MONTH($A116)))*$D116</f>
        <v>-4629.5717339546118</v>
      </c>
      <c r="BR116" s="1021">
        <f>(VLOOKUP(YEAR($A116),'NY East Load Projections'!$A$4:$EO$14,((MONTH($A116)-1)*12)+VLOOKUP(BR$4,$DE$6:$DF$17,2)+1))*(VLOOKUP($A116,SatSunCurve,6))*(INDEX(DailyScalarsTable,BR$5/100,MONTH($A116)))*$D116</f>
        <v>-4492.5623499083222</v>
      </c>
      <c r="BS116" s="1021">
        <f>(VLOOKUP(YEAR($A116),'NY East Load Projections'!$A$4:$EO$14,((MONTH($A116)-1)*12)+VLOOKUP(BS$4,$DE$6:$DF$17,2)+1))*(VLOOKUP($A116,SatSunCurve,6))*(INDEX(DailyScalarsTable,BS$5/100,MONTH($A116)))*$D116</f>
        <v>-4349.1827004431625</v>
      </c>
      <c r="BT116" s="1021">
        <f>(VLOOKUP(YEAR($A116),'NY East Load Projections'!$A$4:$EO$14,((MONTH($A116)-1)*12)+VLOOKUP(BT$4,$DE$6:$DF$17,2)+1))*(VLOOKUP($A116,SatSunCurve,6))*(INDEX(DailyScalarsTable,BT$5/100,MONTH($A116)))*$D116</f>
        <v>-4130.4767858604382</v>
      </c>
      <c r="BU116" s="1021">
        <f>(VLOOKUP(YEAR($A116),'NY East Load Projections'!$A$4:$EO$14,((MONTH($A116)-1)*12)+VLOOKUP(BU$4,$DE$6:$DF$17,2)+1))*(VLOOKUP($A116,SatSunCurve,6))*(INDEX(DailyScalarsTable,BU$5/100,MONTH($A116)))*$D116</f>
        <v>-4048.3971314564697</v>
      </c>
      <c r="BV116" s="1021">
        <f>(VLOOKUP(YEAR($A116),'NY East Load Projections'!$A$4:$EO$14,((MONTH($A116)-1)*12)+VLOOKUP(BV$4,$DE$6:$DF$17,2)+1))*(VLOOKUP($A116,SatSunCurve,6))*(INDEX(DailyScalarsTable,BV$5/100,MONTH($A116)))*$D116</f>
        <v>-4324.6357377526238</v>
      </c>
      <c r="BW116" s="1021">
        <f>(VLOOKUP(YEAR($A116),'NY East Load Projections'!$A$4:$EO$14,((MONTH($A116)-1)*12)+VLOOKUP(BW$4,$DE$6:$DF$17,2)+1))*(VLOOKUP($A116,SatSunCurve,6))*(INDEX(DailyScalarsTable,BW$5/100,MONTH($A116)))*$D116</f>
        <v>-5895.9811382284188</v>
      </c>
      <c r="BX116" s="1021">
        <f>(VLOOKUP(YEAR($A116),'NY East Load Projections'!$A$4:$EO$14,((MONTH($A116)-1)*12)+VLOOKUP(BX$4,$DE$6:$DF$17,2)+1))*(VLOOKUP($A116,SatSunCurve,6))*(INDEX(DailyScalarsTable,BX$5/100,MONTH($A116)))*$D116</f>
        <v>-6474.2281012800868</v>
      </c>
      <c r="BY116" s="1021">
        <f>(VLOOKUP(YEAR($A116),'NY East Load Projections'!$A$4:$EO$14,((MONTH($A116)-1)*12)+VLOOKUP(BY$4,$DE$6:$DF$17,2)+1))*(VLOOKUP($A116,SatSunCurve,6))*(INDEX(DailyScalarsTable,BY$5/100,MONTH($A116)))*$D116</f>
        <v>-6194.7760038193774</v>
      </c>
      <c r="BZ116" s="1021">
        <f>(VLOOKUP(YEAR($A116),'NY East Load Projections'!$A$4:$EO$14,((MONTH($A116)-1)*12)+VLOOKUP(BZ$4,$DE$6:$DF$17,2)+1))*(VLOOKUP($A116,SatSunCurve,6))*(INDEX(DailyScalarsTable,BZ$5/100,MONTH($A116)))*$D116</f>
        <v>-5691.9792114272987</v>
      </c>
      <c r="CA116" s="1021">
        <f>(VLOOKUP(YEAR($A116),'NY East Load Projections'!$A$4:$EO$14,((MONTH($A116)-1)*12)+VLOOKUP(CA$4,$DE$6:$DF$17,2)+1))*(VLOOKUP($A116,SatSunCurve,6))*(INDEX(DailyScalarsTable,CA$5/100,MONTH($A116)))*$D116</f>
        <v>-4133.1592998880433</v>
      </c>
      <c r="CB116" s="1021">
        <f>(VLOOKUP(YEAR($A116),'NY East Load Projections'!$A$4:$EO$14,((MONTH($A116)-1)*12)+VLOOKUP(CB$4,$DE$6:$DF$17,2)+1))*(VLOOKUP($A116,SatSunCurve,6))*(INDEX(DailyScalarsTable,CB$5/100,MONTH($A116)))*$D116</f>
        <v>-3392.5210128365479</v>
      </c>
      <c r="CC116" s="1021">
        <f>(VLOOKUP(YEAR($A116),'NY East Load Projections'!$A$4:$EO$14,((MONTH($A116)-1)*12)+VLOOKUP(CC$4,$DE$6:$DF$17,2)+1))*(VLOOKUP($A116,CURVES!$D$9:$T$261,6))*(INDEX(DailyScalarsTable,CC$5/100,MONTH($A116)))*$D116</f>
        <v>-5788.9817310080552</v>
      </c>
      <c r="CE116" s="1021">
        <f>(VLOOKUP(YEAR($A116),'NY East Load Projections'!$A$4:$EO$14,((MONTH($A116)-1)*12)+VLOOKUP(CE$4,$DE$6:$DF$17,2)+1))*(VLOOKUP($A116,CURVES!$D$9:$T$261,6))*(INDEX(DailyScalarsTable,CE$5/100,MONTH($A116)))*$E116</f>
        <v>0</v>
      </c>
      <c r="CF116" s="1021">
        <f>(VLOOKUP(YEAR($A116),'NY East Load Projections'!$A$4:$EO$14,((MONTH($A116)-1)*12)+VLOOKUP(CF$4,$DE$6:$DF$17,2)+1))*(VLOOKUP($A116,CURVES!$D$9:$T$261,6))*(INDEX(DailyScalarsTable,CF$5/100,MONTH($A116)))*$E116</f>
        <v>0</v>
      </c>
      <c r="CG116" s="1021">
        <f>(VLOOKUP(YEAR($A116),'NY East Load Projections'!$A$4:$EO$14,((MONTH($A116)-1)*12)+VLOOKUP(CG$4,$DE$6:$DF$17,2)+1))*(VLOOKUP($A116,CURVES!$D$9:$T$261,6))*(INDEX(DailyScalarsTable,CG$5/100,MONTH($A116)))*$E116</f>
        <v>0</v>
      </c>
      <c r="CH116" s="1021">
        <f>(VLOOKUP(YEAR($A116),'NY East Load Projections'!$A$4:$EO$14,((MONTH($A116)-1)*12)+VLOOKUP(CH$4,$DE$6:$DF$17,2)+1))*(VLOOKUP($A116,CURVES!$D$9:$T$261,6))*(INDEX(DailyScalarsTable,CH$5/100,MONTH($A116)))*$E116</f>
        <v>0</v>
      </c>
      <c r="CI116" s="1021">
        <f>(VLOOKUP(YEAR($A116),'NY East Load Projections'!$A$4:$EO$14,((MONTH($A116)-1)*12)+VLOOKUP(CI$4,$DE$6:$DF$17,2)+1))*(VLOOKUP($A116,CURVES!$D$9:$T$261,6))*(INDEX(DailyScalarsTable,CI$5/100,MONTH($A116)))*$E116</f>
        <v>0</v>
      </c>
      <c r="CJ116" s="1021">
        <f>(VLOOKUP(YEAR($A116),'NY East Load Projections'!$A$4:$EO$14,((MONTH($A116)-1)*12)+VLOOKUP(CJ$4,$DE$6:$DF$17,2)+1))*(VLOOKUP($A116,CURVES!$D$9:$T$261,6))*(INDEX(DailyScalarsTable,CJ$5/100,MONTH($A116)))*$E116</f>
        <v>0</v>
      </c>
      <c r="CK116" s="1021">
        <f>(VLOOKUP(YEAR($A116),'NY East Load Projections'!$A$4:$EO$14,((MONTH($A116)-1)*12)+VLOOKUP(CK$4,$DE$6:$DF$17,2)+1))*(VLOOKUP($A116,CURVES!$D$9:$T$261,6))*(INDEX(DailyScalarsTable,CK$5/100,MONTH($A116)))*$E116</f>
        <v>0</v>
      </c>
      <c r="CL116" s="1021">
        <f>(VLOOKUP(YEAR($A116),'NY East Load Projections'!$A$4:$EO$14,((MONTH($A116)-1)*12)+VLOOKUP(CL$4,$DE$6:$DF$17,2)+1))*(VLOOKUP($A116,SatSunCurve,6))*(INDEX(DailyScalarsTable,CL$5/100,MONTH($A116)))*$E116</f>
        <v>0</v>
      </c>
      <c r="CM116" s="1021">
        <f>(VLOOKUP(YEAR($A116),'NY East Load Projections'!$A$4:$EO$14,((MONTH($A116)-1)*12)+VLOOKUP(CM$4,$DE$6:$DF$17,2)+1))*(VLOOKUP($A116,SatSunCurve,6))*(INDEX(DailyScalarsTable,CM$5/100,MONTH($A116)))*$E116</f>
        <v>0</v>
      </c>
      <c r="CN116" s="1021">
        <f>(VLOOKUP(YEAR($A116),'NY East Load Projections'!$A$4:$EO$14,((MONTH($A116)-1)*12)+VLOOKUP(CN$4,$DE$6:$DF$17,2)+1))*(VLOOKUP($A116,SatSunCurve,6))*(INDEX(DailyScalarsTable,CN$5/100,MONTH($A116)))*$E116</f>
        <v>0</v>
      </c>
      <c r="CO116" s="1021">
        <f>(VLOOKUP(YEAR($A116),'NY East Load Projections'!$A$4:$EO$14,((MONTH($A116)-1)*12)+VLOOKUP(CO$4,$DE$6:$DF$17,2)+1))*(VLOOKUP($A116,SatSunCurve,6))*(INDEX(DailyScalarsTable,CO$5/100,MONTH($A116)))*$E116</f>
        <v>0</v>
      </c>
      <c r="CP116" s="1021">
        <f>(VLOOKUP(YEAR($A116),'NY East Load Projections'!$A$4:$EO$14,((MONTH($A116)-1)*12)+VLOOKUP(CP$4,$DE$6:$DF$17,2)+1))*(VLOOKUP($A116,SatSunCurve,6))*(INDEX(DailyScalarsTable,CP$5/100,MONTH($A116)))*$E116</f>
        <v>0</v>
      </c>
      <c r="CQ116" s="1021">
        <f>(VLOOKUP(YEAR($A116),'NY East Load Projections'!$A$4:$EO$14,((MONTH($A116)-1)*12)+VLOOKUP(CQ$4,$DE$6:$DF$17,2)+1))*(VLOOKUP($A116,SatSunCurve,6))*(INDEX(DailyScalarsTable,CQ$5/100,MONTH($A116)))*$E116</f>
        <v>0</v>
      </c>
      <c r="CR116" s="1021">
        <f>(VLOOKUP(YEAR($A116),'NY East Load Projections'!$A$4:$EO$14,((MONTH($A116)-1)*12)+VLOOKUP(CR$4,$DE$6:$DF$17,2)+1))*(VLOOKUP($A116,SatSunCurve,6))*(INDEX(DailyScalarsTable,CR$5/100,MONTH($A116)))*$E116</f>
        <v>0</v>
      </c>
      <c r="CS116" s="1021">
        <f>(VLOOKUP(YEAR($A116),'NY East Load Projections'!$A$4:$EO$14,((MONTH($A116)-1)*12)+VLOOKUP(CS$4,$DE$6:$DF$17,2)+1))*(VLOOKUP($A116,SatSunCurve,6))*(INDEX(DailyScalarsTable,CS$5/100,MONTH($A116)))*$E116</f>
        <v>0</v>
      </c>
      <c r="CT116" s="1021">
        <f>(VLOOKUP(YEAR($A116),'NY East Load Projections'!$A$4:$EO$14,((MONTH($A116)-1)*12)+VLOOKUP(CT$4,$DE$6:$DF$17,2)+1))*(VLOOKUP($A116,SatSunCurve,6))*(INDEX(DailyScalarsTable,CT$5/100,MONTH($A116)))*$E116</f>
        <v>0</v>
      </c>
      <c r="CU116" s="1021">
        <f>(VLOOKUP(YEAR($A116),'NY East Load Projections'!$A$4:$EO$14,((MONTH($A116)-1)*12)+VLOOKUP(CU$4,$DE$6:$DF$17,2)+1))*(VLOOKUP($A116,SatSunCurve,6))*(INDEX(DailyScalarsTable,CU$5/100,MONTH($A116)))*$E116</f>
        <v>0</v>
      </c>
      <c r="CV116" s="1021">
        <f>(VLOOKUP(YEAR($A116),'NY East Load Projections'!$A$4:$EO$14,((MONTH($A116)-1)*12)+VLOOKUP(CV$4,$DE$6:$DF$17,2)+1))*(VLOOKUP($A116,SatSunCurve,6))*(INDEX(DailyScalarsTable,CV$5/100,MONTH($A116)))*$E116</f>
        <v>0</v>
      </c>
      <c r="CW116" s="1021">
        <f>(VLOOKUP(YEAR($A116),'NY East Load Projections'!$A$4:$EO$14,((MONTH($A116)-1)*12)+VLOOKUP(CW$4,$DE$6:$DF$17,2)+1))*(VLOOKUP($A116,SatSunCurve,6))*(INDEX(DailyScalarsTable,CW$5/100,MONTH($A116)))*$E116</f>
        <v>0</v>
      </c>
      <c r="CX116" s="1021">
        <f>(VLOOKUP(YEAR($A116),'NY East Load Projections'!$A$4:$EO$14,((MONTH($A116)-1)*12)+VLOOKUP(CX$4,$DE$6:$DF$17,2)+1))*(VLOOKUP($A116,SatSunCurve,6))*(INDEX(DailyScalarsTable,CX$5/100,MONTH($A116)))*$E116</f>
        <v>0</v>
      </c>
      <c r="CY116" s="1021">
        <f>(VLOOKUP(YEAR($A116),'NY East Load Projections'!$A$4:$EO$14,((MONTH($A116)-1)*12)+VLOOKUP(CY$4,$DE$6:$DF$17,2)+1))*(VLOOKUP($A116,SatSunCurve,6))*(INDEX(DailyScalarsTable,CY$5/100,MONTH($A116)))*$E116</f>
        <v>0</v>
      </c>
      <c r="CZ116" s="1021">
        <f>(VLOOKUP(YEAR($A116),'NY East Load Projections'!$A$4:$EO$14,((MONTH($A116)-1)*12)+VLOOKUP(CZ$4,$DE$6:$DF$17,2)+1))*(VLOOKUP($A116,SatSunCurve,6))*(INDEX(DailyScalarsTable,CZ$5/100,MONTH($A116)))*$E116</f>
        <v>0</v>
      </c>
      <c r="DA116" s="1021">
        <f>(VLOOKUP(YEAR($A116),'NY East Load Projections'!$A$4:$EO$14,((MONTH($A116)-1)*12)+VLOOKUP(DA$4,$DE$6:$DF$17,2)+1))*(VLOOKUP($A116,SatSunCurve,6))*(INDEX(DailyScalarsTable,DA$5/100,MONTH($A116)))*$E116</f>
        <v>0</v>
      </c>
      <c r="DB116" s="1021">
        <f>(VLOOKUP(YEAR($A116),'NY East Load Projections'!$A$4:$EO$14,((MONTH($A116)-1)*12)+VLOOKUP(DB$4,$DE$6:$DF$17,2)+1))*(VLOOKUP($A116,CURVES!$D$9:$T$261,6))*(INDEX(DailyScalarsTable,DB$5/100,MONTH($A116)))*$E116</f>
        <v>0</v>
      </c>
      <c r="DH116" s="1021">
        <f t="shared" si="2"/>
        <v>-1416630.2306151858</v>
      </c>
      <c r="DI116">
        <f ca="1">CALC!J136</f>
        <v>0.47793649822986561</v>
      </c>
      <c r="DJ116" s="1029">
        <f t="shared" ca="1" si="3"/>
        <v>-677059.29170678882</v>
      </c>
    </row>
    <row r="117" spans="1:114" x14ac:dyDescent="0.25">
      <c r="A117" s="244">
        <v>40269</v>
      </c>
      <c r="B117" s="13">
        <v>22</v>
      </c>
      <c r="C117" s="210">
        <v>4</v>
      </c>
      <c r="D117" s="210">
        <v>4</v>
      </c>
      <c r="E117" s="210">
        <v>0</v>
      </c>
      <c r="F117" s="13">
        <v>30</v>
      </c>
      <c r="H117" s="1021">
        <f>(VLOOKUP(YEAR($A117),'NY East Load Projections'!$A$4:$EO$14,((MONTH($A117)-1)*12)+VLOOKUP(H$4,$DE$6:$DF$17,2)+1))*(VLOOKUP($A117,CURVES!$D$9:$K$261,6))*(INDEX(DailyScalarsTable,H$5/100,MONTH($A117)))*$B117</f>
        <v>-30633.463882487176</v>
      </c>
      <c r="I117" s="1021">
        <f>(VLOOKUP(YEAR($A117),'NY East Load Projections'!$A$4:$EO$14,((MONTH($A117)-1)*12)+VLOOKUP(I$4,$DE$6:$DF$17,2)+1))*(VLOOKUP($A117,CURVES!$D$9:$K$261,6))*(INDEX(DailyScalarsTable,I$5/100,MONTH($A117)))*$B117</f>
        <v>-29054.976363091795</v>
      </c>
      <c r="J117" s="1021">
        <f>(VLOOKUP(YEAR($A117),'NY East Load Projections'!$A$4:$EO$14,((MONTH($A117)-1)*12)+VLOOKUP(J$4,$DE$6:$DF$17,2)+1))*(VLOOKUP($A117,CURVES!$D$9:$K$261,6))*(INDEX(DailyScalarsTable,J$5/100,MONTH($A117)))*$B117</f>
        <v>-27886.881580199937</v>
      </c>
      <c r="K117" s="1021">
        <f>(VLOOKUP(YEAR($A117),'NY East Load Projections'!$A$4:$EO$14,((MONTH($A117)-1)*12)+VLOOKUP(K$4,$DE$6:$DF$17,2)+1))*(VLOOKUP($A117,CURVES!$D$9:$K$261,6))*(INDEX(DailyScalarsTable,K$5/100,MONTH($A117)))*$B117</f>
        <v>-27903.353363817092</v>
      </c>
      <c r="L117" s="1021">
        <f>(VLOOKUP(YEAR($A117),'NY East Load Projections'!$A$4:$EO$14,((MONTH($A117)-1)*12)+VLOOKUP(L$4,$DE$6:$DF$17,2)+1))*(VLOOKUP($A117,CURVES!$D$9:$K$261,6))*(INDEX(DailyScalarsTable,L$5/100,MONTH($A117)))*$B117</f>
        <v>-31119.082242995428</v>
      </c>
      <c r="M117" s="1021">
        <f>(VLOOKUP(YEAR($A117),'NY East Load Projections'!$A$4:$EO$14,((MONTH($A117)-1)*12)+VLOOKUP(M$4,$DE$6:$DF$17,2)+1))*(VLOOKUP($A117,CURVES!$D$9:$K$261,6))*(INDEX(DailyScalarsTable,M$5/100,MONTH($A117)))*$B117</f>
        <v>-35846.543200672204</v>
      </c>
      <c r="N117" s="1021">
        <f>(VLOOKUP(YEAR($A117),'NY East Load Projections'!$A$4:$EO$14,((MONTH($A117)-1)*12)+VLOOKUP(N$4,$DE$6:$DF$17,2)+1))*(VLOOKUP($A117,CURVES!$D$9:$K$261,6))*(INDEX(DailyScalarsTable,N$5/100,MONTH($A117)))*$B117</f>
        <v>-51127.584822247671</v>
      </c>
      <c r="O117" s="1021">
        <f>(VLOOKUP(YEAR($A117),'NY East Load Projections'!$A$4:$EO$14,((MONTH($A117)-1)*12)+VLOOKUP(O$4,$DE$6:$DF$17,2)+1))*(VLOOKUP($A117,CURVES!$D$9:$K$261,2))*(INDEX(DailyScalarsTable,O$5/100,MONTH($A117)))*$B117</f>
        <v>-62237.355137772705</v>
      </c>
      <c r="P117" s="1021">
        <f>(VLOOKUP(YEAR($A117),'NY East Load Projections'!$A$4:$EO$14,((MONTH($A117)-1)*12)+VLOOKUP(P$4,$DE$6:$DF$17,2)+1))*(VLOOKUP($A117,CURVES!$D$9:$K$261,2))*(INDEX(DailyScalarsTable,P$5/100,MONTH($A117)))*$B117</f>
        <v>-66566.720917335377</v>
      </c>
      <c r="Q117" s="1021">
        <f>(VLOOKUP(YEAR($A117),'NY East Load Projections'!$A$4:$EO$14,((MONTH($A117)-1)*12)+VLOOKUP(Q$4,$DE$6:$DF$17,2)+1))*(VLOOKUP($A117,CURVES!$D$9:$K$261,2))*(INDEX(DailyScalarsTable,Q$5/100,MONTH($A117)))*$B117</f>
        <v>-63794.593899017913</v>
      </c>
      <c r="R117" s="1021">
        <f>(VLOOKUP(YEAR($A117),'NY East Load Projections'!$A$4:$EO$14,((MONTH($A117)-1)*12)+VLOOKUP(R$4,$DE$6:$DF$17,2)+1))*(VLOOKUP($A117,CURVES!$D$9:$K$261,2))*(INDEX(DailyScalarsTable,R$5/100,MONTH($A117)))*$B117</f>
        <v>-65109.781827450934</v>
      </c>
      <c r="S117" s="1021">
        <f>(VLOOKUP(YEAR($A117),'NY East Load Projections'!$A$4:$EO$14,((MONTH($A117)-1)*12)+VLOOKUP(S$4,$DE$6:$DF$17,2)+1))*(VLOOKUP($A117,CURVES!$D$9:$K$261,2))*(INDEX(DailyScalarsTable,S$5/100,MONTH($A117)))*$B117</f>
        <v>-65237.451747698564</v>
      </c>
      <c r="T117" s="1021">
        <f>(VLOOKUP(YEAR($A117),'NY East Load Projections'!$A$4:$EO$14,((MONTH($A117)-1)*12)+VLOOKUP(T$4,$DE$6:$DF$17,2)+1))*(VLOOKUP($A117,CURVES!$D$9:$K$261,2))*(INDEX(DailyScalarsTable,T$5/100,MONTH($A117)))*$B117</f>
        <v>-60039.69976744982</v>
      </c>
      <c r="U117" s="1021">
        <f>(VLOOKUP(YEAR($A117),'NY East Load Projections'!$A$4:$EO$14,((MONTH($A117)-1)*12)+VLOOKUP(U$4,$DE$6:$DF$17,2)+1))*(VLOOKUP($A117,CURVES!$D$9:$K$261,2))*(INDEX(DailyScalarsTable,U$5/100,MONTH($A117)))*$B117</f>
        <v>-60104.349568469363</v>
      </c>
      <c r="V117" s="1021">
        <f>(VLOOKUP(YEAR($A117),'NY East Load Projections'!$A$4:$EO$14,((MONTH($A117)-1)*12)+VLOOKUP(V$4,$DE$6:$DF$17,2)+1))*(VLOOKUP($A117,CURVES!$D$9:$K$261,2))*(INDEX(DailyScalarsTable,V$5/100,MONTH($A117)))*$B117</f>
        <v>-56373.67575669325</v>
      </c>
      <c r="W117" s="1021">
        <f>(VLOOKUP(YEAR($A117),'NY East Load Projections'!$A$4:$EO$14,((MONTH($A117)-1)*12)+VLOOKUP(W$4,$DE$6:$DF$17,2)+1))*(VLOOKUP($A117,CURVES!$D$9:$K$261,2))*(INDEX(DailyScalarsTable,W$5/100,MONTH($A117)))*$B117</f>
        <v>-52687.686366210088</v>
      </c>
      <c r="X117" s="1021">
        <f>(VLOOKUP(YEAR($A117),'NY East Load Projections'!$A$4:$EO$14,((MONTH($A117)-1)*12)+VLOOKUP(X$4,$DE$6:$DF$17,2)+1))*(VLOOKUP($A117,CURVES!$D$9:$K$261,2))*(INDEX(DailyScalarsTable,X$5/100,MONTH($A117)))*$B117</f>
        <v>-49533.854476394336</v>
      </c>
      <c r="Y117" s="1021">
        <f>(VLOOKUP(YEAR($A117),'NY East Load Projections'!$A$4:$EO$14,((MONTH($A117)-1)*12)+VLOOKUP(Y$4,$DE$6:$DF$17,2)+1))*(VLOOKUP($A117,CURVES!$D$9:$K$261,2))*(INDEX(DailyScalarsTable,Y$5/100,MONTH($A117)))*$B117</f>
        <v>-48889.641287788399</v>
      </c>
      <c r="Z117" s="1021">
        <f>(VLOOKUP(YEAR($A117),'NY East Load Projections'!$A$4:$EO$14,((MONTH($A117)-1)*12)+VLOOKUP(Z$4,$DE$6:$DF$17,2)+1))*(VLOOKUP($A117,CURVES!$D$9:$K$261,2))*(INDEX(DailyScalarsTable,Z$5/100,MONTH($A117)))*$B117</f>
        <v>-48627.557401669917</v>
      </c>
      <c r="AA117" s="1021">
        <f>(VLOOKUP(YEAR($A117),'NY East Load Projections'!$A$4:$EO$14,((MONTH($A117)-1)*12)+VLOOKUP(AA$4,$DE$6:$DF$17,2)+1))*(VLOOKUP($A117,CURVES!$D$9:$K$261,2))*(INDEX(DailyScalarsTable,AA$5/100,MONTH($A117)))*$B117</f>
        <v>-53336.819956785002</v>
      </c>
      <c r="AB117" s="1021">
        <f>(VLOOKUP(YEAR($A117),'NY East Load Projections'!$A$4:$EO$14,((MONTH($A117)-1)*12)+VLOOKUP(AB$4,$DE$6:$DF$17,2)+1))*(VLOOKUP($A117,CURVES!$D$9:$K$261,2))*(INDEX(DailyScalarsTable,AB$5/100,MONTH($A117)))*$B117</f>
        <v>-62739.438227855047</v>
      </c>
      <c r="AC117" s="1021">
        <f>(VLOOKUP(YEAR($A117),'NY East Load Projections'!$A$4:$EO$14,((MONTH($A117)-1)*12)+VLOOKUP(AC$4,$DE$6:$DF$17,2)+1))*(VLOOKUP($A117,CURVES!$D$9:$K$261,2))*(INDEX(DailyScalarsTable,AC$5/100,MONTH($A117)))*$B117</f>
        <v>-53458.735761851392</v>
      </c>
      <c r="AD117" s="1021">
        <f>(VLOOKUP(YEAR($A117),'NY East Load Projections'!$A$4:$EO$14,((MONTH($A117)-1)*12)+VLOOKUP(AD$4,$DE$6:$DF$17,2)+1))*(VLOOKUP($A117,CURVES!$D$9:$K$261,2))*(INDEX(DailyScalarsTable,AD$5/100,MONTH($A117)))*$B117</f>
        <v>-47227.569425218004</v>
      </c>
      <c r="AE117" s="1021">
        <f>(VLOOKUP(YEAR($A117),'NY East Load Projections'!$A$4:$EO$14,((MONTH($A117)-1)*12)+VLOOKUP(AE$4,$DE$6:$DF$17,2)+1))*(VLOOKUP($A117,CURVES!$D$9:$K$261,6))*(INDEX(DailyScalarsTable,AE$5/100,MONTH($A117)))*$B117</f>
        <v>-35307.109442530091</v>
      </c>
      <c r="AF117" s="1021"/>
      <c r="AG117" s="1021">
        <f>(VLOOKUP(YEAR($A117),'NY East Load Projections'!$A$4:$EO$14,((MONTH($A117)-1)*12)+VLOOKUP(AG$4,$DE$6:$DF$17,2)+1))*(VLOOKUP($A117,CURVES!$D$9:$T$261,6))*(INDEX(DailyScalarsTable,AG$5/100,MONTH($A117)))*$C117</f>
        <v>-5434.2327642723512</v>
      </c>
      <c r="AH117" s="1021">
        <f>(VLOOKUP(YEAR($A117),'NY East Load Projections'!$A$4:$EO$14,((MONTH($A117)-1)*12)+VLOOKUP(AH$4,$DE$6:$DF$17,2)+1))*(VLOOKUP($A117,CURVES!$D$9:$T$261,6))*(INDEX(DailyScalarsTable,AH$5/100,MONTH($A117)))*$C117</f>
        <v>-5154.2164844027657</v>
      </c>
      <c r="AI117" s="1021">
        <f>(VLOOKUP(YEAR($A117),'NY East Load Projections'!$A$4:$EO$14,((MONTH($A117)-1)*12)+VLOOKUP(AI$4,$DE$6:$DF$17,2)+1))*(VLOOKUP($A117,CURVES!$D$9:$T$261,6))*(INDEX(DailyScalarsTable,AI$5/100,MONTH($A117)))*$C117</f>
        <v>-4947.0019504761785</v>
      </c>
      <c r="AJ117" s="1021">
        <f>(VLOOKUP(YEAR($A117),'NY East Load Projections'!$A$4:$EO$14,((MONTH($A117)-1)*12)+VLOOKUP(AJ$4,$DE$6:$DF$17,2)+1))*(VLOOKUP($A117,CURVES!$D$9:$T$261,6))*(INDEX(DailyScalarsTable,AJ$5/100,MONTH($A117)))*$C117</f>
        <v>-4949.9239676062589</v>
      </c>
      <c r="AK117" s="1021">
        <f>(VLOOKUP(YEAR($A117),'NY East Load Projections'!$A$4:$EO$14,((MONTH($A117)-1)*12)+VLOOKUP(AK$4,$DE$6:$DF$17,2)+1))*(VLOOKUP($A117,CURVES!$D$9:$T$261,6))*(INDEX(DailyScalarsTable,AK$5/100,MONTH($A117)))*$C117</f>
        <v>-5382.6077150671545</v>
      </c>
      <c r="AL117" s="1021">
        <f>(VLOOKUP(YEAR($A117),'NY East Load Projections'!$A$4:$EO$14,((MONTH($A117)-1)*12)+VLOOKUP(AL$4,$DE$6:$DF$17,2)+1))*(VLOOKUP($A117,CURVES!$D$9:$T$261,6))*(INDEX(DailyScalarsTable,AL$5/100,MONTH($A117)))*$C117</f>
        <v>-6200.3075310441318</v>
      </c>
      <c r="AM117" s="1021">
        <f>(VLOOKUP(YEAR($A117),'NY East Load Projections'!$A$4:$EO$14,((MONTH($A117)-1)*12)+VLOOKUP(AM$4,$DE$6:$DF$17,2)+1))*(VLOOKUP($A117,CURVES!$D$9:$T$261,6))*(INDEX(DailyScalarsTable,AM$5/100,MONTH($A117)))*$C117</f>
        <v>-8843.4398665122972</v>
      </c>
      <c r="AN117" s="1021">
        <f>(VLOOKUP(YEAR($A117),'NY East Load Projections'!$A$4:$EO$14,((MONTH($A117)-1)*12)+VLOOKUP(AN$4,$DE$6:$DF$17,2)+1))*(VLOOKUP($A117,SatSunCurve,2))*(INDEX(DailyScalarsTable,AN$5/100,MONTH($A117)))*$C117</f>
        <v>-7592.3450408518293</v>
      </c>
      <c r="AO117" s="1021">
        <f>(VLOOKUP(YEAR($A117),'NY East Load Projections'!$A$4:$EO$14,((MONTH($A117)-1)*12)+VLOOKUP(AO$4,$DE$6:$DF$17,2)+1))*(VLOOKUP($A117,SatSunCurve,2))*(INDEX(DailyScalarsTable,AO$5/100,MONTH($A117)))*$C117</f>
        <v>-8020.9072694365505</v>
      </c>
      <c r="AP117" s="1021">
        <f>(VLOOKUP(YEAR($A117),'NY East Load Projections'!$A$4:$EO$14,((MONTH($A117)-1)*12)+VLOOKUP(AP$4,$DE$6:$DF$17,2)+1))*(VLOOKUP($A117,SatSunCurve,2))*(INDEX(DailyScalarsTable,AP$5/100,MONTH($A117)))*$C117</f>
        <v>-7686.8818968988817</v>
      </c>
      <c r="AQ117" s="1021">
        <f>(VLOOKUP(YEAR($A117),'NY East Load Projections'!$A$4:$EO$14,((MONTH($A117)-1)*12)+VLOOKUP(AQ$4,$DE$6:$DF$17,2)+1))*(VLOOKUP($A117,SatSunCurve,2))*(INDEX(DailyScalarsTable,AQ$5/100,MONTH($A117)))*$C117</f>
        <v>-7845.3544830571172</v>
      </c>
      <c r="AR117" s="1021">
        <f>(VLOOKUP(YEAR($A117),'NY East Load Projections'!$A$4:$EO$14,((MONTH($A117)-1)*12)+VLOOKUP(AR$4,$DE$6:$DF$17,2)+1))*(VLOOKUP($A117,SatSunCurve,2))*(INDEX(DailyScalarsTable,AR$5/100,MONTH($A117)))*$C117</f>
        <v>-7860.7379746470706</v>
      </c>
      <c r="AS117" s="1021">
        <f>(VLOOKUP(YEAR($A117),'NY East Load Projections'!$A$4:$EO$14,((MONTH($A117)-1)*12)+VLOOKUP(AS$4,$DE$6:$DF$17,2)+1))*(VLOOKUP($A117,SatSunCurve,2))*(INDEX(DailyScalarsTable,AS$5/100,MONTH($A117)))*$C117</f>
        <v>-7149.7760134451319</v>
      </c>
      <c r="AT117" s="1021">
        <f>(VLOOKUP(YEAR($A117),'NY East Load Projections'!$A$4:$EO$14,((MONTH($A117)-1)*12)+VLOOKUP(AT$4,$DE$6:$DF$17,2)+1))*(VLOOKUP($A117,SatSunCurve,2))*(INDEX(DailyScalarsTable,AT$5/100,MONTH($A117)))*$C117</f>
        <v>-7157.4747794015566</v>
      </c>
      <c r="AU117" s="1021">
        <f>(VLOOKUP(YEAR($A117),'NY East Load Projections'!$A$4:$EO$14,((MONTH($A117)-1)*12)+VLOOKUP(AU$4,$DE$6:$DF$17,2)+1))*(VLOOKUP($A117,SatSunCurve,2))*(INDEX(DailyScalarsTable,AU$5/100,MONTH($A117)))*$C117</f>
        <v>-6713.2106968571979</v>
      </c>
      <c r="AV117" s="1021">
        <f>(VLOOKUP(YEAR($A117),'NY East Load Projections'!$A$4:$EO$14,((MONTH($A117)-1)*12)+VLOOKUP(AV$4,$DE$6:$DF$17,2)+1))*(VLOOKUP($A117,SatSunCurve,2))*(INDEX(DailyScalarsTable,AV$5/100,MONTH($A117)))*$C117</f>
        <v>-6274.26782019449</v>
      </c>
      <c r="AW117" s="1021">
        <f>(VLOOKUP(YEAR($A117),'NY East Load Projections'!$A$4:$EO$14,((MONTH($A117)-1)*12)+VLOOKUP(AW$4,$DE$6:$DF$17,2)+1))*(VLOOKUP($A117,SatSunCurve,2))*(INDEX(DailyScalarsTable,AW$5/100,MONTH($A117)))*$C117</f>
        <v>-6001.4609611813257</v>
      </c>
      <c r="AX117" s="1021">
        <f>(VLOOKUP(YEAR($A117),'NY East Load Projections'!$A$4:$EO$14,((MONTH($A117)-1)*12)+VLOOKUP(AX$4,$DE$6:$DF$17,2)+1))*(VLOOKUP($A117,SatSunCurve,2))*(INDEX(DailyScalarsTable,AX$5/100,MONTH($A117)))*$C117</f>
        <v>-5923.4088825986046</v>
      </c>
      <c r="AY117" s="1021">
        <f>(VLOOKUP(YEAR($A117),'NY East Load Projections'!$A$4:$EO$14,((MONTH($A117)-1)*12)+VLOOKUP(AY$4,$DE$6:$DF$17,2)+1))*(VLOOKUP($A117,SatSunCurve,2))*(INDEX(DailyScalarsTable,AY$5/100,MONTH($A117)))*$C117</f>
        <v>-5891.6551208992332</v>
      </c>
      <c r="AZ117" s="1021">
        <f>(VLOOKUP(YEAR($A117),'NY East Load Projections'!$A$4:$EO$14,((MONTH($A117)-1)*12)+VLOOKUP(AZ$4,$DE$6:$DF$17,2)+1))*(VLOOKUP($A117,SatSunCurve,2))*(INDEX(DailyScalarsTable,AZ$5/100,MONTH($A117)))*$C117</f>
        <v>-6462.22358723865</v>
      </c>
      <c r="BA117" s="1021">
        <f>(VLOOKUP(YEAR($A117),'NY East Load Projections'!$A$4:$EO$14,((MONTH($A117)-1)*12)+VLOOKUP(BA$4,$DE$6:$DF$17,2)+1))*(VLOOKUP($A117,SatSunCurve,2))*(INDEX(DailyScalarsTable,BA$5/100,MONTH($A117)))*$C117</f>
        <v>-7726.7005758311634</v>
      </c>
      <c r="BB117" s="1021">
        <f>(VLOOKUP(YEAR($A117),'NY East Load Projections'!$A$4:$EO$14,((MONTH($A117)-1)*12)+VLOOKUP(BB$4,$DE$6:$DF$17,2)+1))*(VLOOKUP($A117,SatSunCurve,2))*(INDEX(DailyScalarsTable,BB$5/100,MONTH($A117)))*$C117</f>
        <v>-6583.7319565114149</v>
      </c>
      <c r="BC117" s="1021">
        <f>(VLOOKUP(YEAR($A117),'NY East Load Projections'!$A$4:$EO$14,((MONTH($A117)-1)*12)+VLOOKUP(BC$4,$DE$6:$DF$17,2)+1))*(VLOOKUP($A117,SatSunCurve,2))*(INDEX(DailyScalarsTable,BC$5/100,MONTH($A117)))*$C117</f>
        <v>-5816.3301773225649</v>
      </c>
      <c r="BD117" s="1021">
        <f>(VLOOKUP(YEAR($A117),'NY East Load Projections'!$A$4:$EO$14,((MONTH($A117)-1)*12)+VLOOKUP(BD$4,$DE$6:$DF$17,2)+1))*(VLOOKUP($A117,CURVES!$D$9:$T$261,6))*(INDEX(DailyScalarsTable,BD$5/100,MONTH($A117)))*$C117</f>
        <v>-6165.336168720054</v>
      </c>
      <c r="BE117" s="1021"/>
      <c r="BF117" s="1021">
        <f>(VLOOKUP(YEAR($A117),'NY East Load Projections'!$A$4:$EO$14,((MONTH($A117)-1)*12)+VLOOKUP(BF$4,$DE$6:$DF$17,2)+1))*(VLOOKUP($A117,CURVES!$D$9:$T$261,6))*(INDEX(DailyScalarsTable,BF$5/100,MONTH($A117)))*$D117</f>
        <v>-5434.2327642723512</v>
      </c>
      <c r="BG117" s="1021">
        <f>(VLOOKUP(YEAR($A117),'NY East Load Projections'!$A$4:$EO$14,((MONTH($A117)-1)*12)+VLOOKUP(BG$4,$DE$6:$DF$17,2)+1))*(VLOOKUP($A117,CURVES!$D$9:$T$261,6))*(INDEX(DailyScalarsTable,BG$5/100,MONTH($A117)))*$D117</f>
        <v>-5154.2164844027657</v>
      </c>
      <c r="BH117" s="1021">
        <f>(VLOOKUP(YEAR($A117),'NY East Load Projections'!$A$4:$EO$14,((MONTH($A117)-1)*12)+VLOOKUP(BH$4,$DE$6:$DF$17,2)+1))*(VLOOKUP($A117,CURVES!$D$9:$T$261,6))*(INDEX(DailyScalarsTable,BH$5/100,MONTH($A117)))*$D117</f>
        <v>-4947.0019504761785</v>
      </c>
      <c r="BI117" s="1021">
        <f>(VLOOKUP(YEAR($A117),'NY East Load Projections'!$A$4:$EO$14,((MONTH($A117)-1)*12)+VLOOKUP(BI$4,$DE$6:$DF$17,2)+1))*(VLOOKUP($A117,CURVES!$D$9:$T$261,6))*(INDEX(DailyScalarsTable,BI$5/100,MONTH($A117)))*$D117</f>
        <v>-4949.9239676062589</v>
      </c>
      <c r="BJ117" s="1021">
        <f>(VLOOKUP(YEAR($A117),'NY East Load Projections'!$A$4:$EO$14,((MONTH($A117)-1)*12)+VLOOKUP(BJ$4,$DE$6:$DF$17,2)+1))*(VLOOKUP($A117,CURVES!$D$9:$T$261,6))*(INDEX(DailyScalarsTable,BJ$5/100,MONTH($A117)))*$D117</f>
        <v>-5382.6077150671545</v>
      </c>
      <c r="BK117" s="1021">
        <f>(VLOOKUP(YEAR($A117),'NY East Load Projections'!$A$4:$EO$14,((MONTH($A117)-1)*12)+VLOOKUP(BK$4,$DE$6:$DF$17,2)+1))*(VLOOKUP($A117,CURVES!$D$9:$T$261,6))*(INDEX(DailyScalarsTable,BK$5/100,MONTH($A117)))*$D117</f>
        <v>-6200.3075310441318</v>
      </c>
      <c r="BL117" s="1021">
        <f>(VLOOKUP(YEAR($A117),'NY East Load Projections'!$A$4:$EO$14,((MONTH($A117)-1)*12)+VLOOKUP(BL$4,$DE$6:$DF$17,2)+1))*(VLOOKUP($A117,CURVES!$D$9:$T$261,6))*(INDEX(DailyScalarsTable,BL$5/100,MONTH($A117)))*$D117</f>
        <v>-8843.4398665122972</v>
      </c>
      <c r="BM117" s="1021">
        <f>(VLOOKUP(YEAR($A117),'NY East Load Projections'!$A$4:$EO$14,((MONTH($A117)-1)*12)+VLOOKUP(BM$4,$DE$6:$DF$17,2)+1))*(VLOOKUP($A117,SatSunCurve,6))*(INDEX(DailyScalarsTable,BM$5/100,MONTH($A117)))*$D117</f>
        <v>-5877.5613503841714</v>
      </c>
      <c r="BN117" s="1021">
        <f>(VLOOKUP(YEAR($A117),'NY East Load Projections'!$A$4:$EO$14,((MONTH($A117)-1)*12)+VLOOKUP(BN$4,$DE$6:$DF$17,2)+1))*(VLOOKUP($A117,SatSunCurve,6))*(INDEX(DailyScalarsTable,BN$5/100,MONTH($A117)))*$D117</f>
        <v>-6209.329832639748</v>
      </c>
      <c r="BO117" s="1021">
        <f>(VLOOKUP(YEAR($A117),'NY East Load Projections'!$A$4:$EO$14,((MONTH($A117)-1)*12)+VLOOKUP(BO$4,$DE$6:$DF$17,2)+1))*(VLOOKUP($A117,SatSunCurve,6))*(INDEX(DailyScalarsTable,BO$5/100,MONTH($A117)))*$D117</f>
        <v>-5950.7464029995681</v>
      </c>
      <c r="BP117" s="1021">
        <f>(VLOOKUP(YEAR($A117),'NY East Load Projections'!$A$4:$EO$14,((MONTH($A117)-1)*12)+VLOOKUP(BP$4,$DE$6:$DF$17,2)+1))*(VLOOKUP($A117,SatSunCurve,6))*(INDEX(DailyScalarsTable,BP$5/100,MONTH($A117)))*$D117</f>
        <v>-6073.4268584434858</v>
      </c>
      <c r="BQ117" s="1021">
        <f>(VLOOKUP(YEAR($A117),'NY East Load Projections'!$A$4:$EO$14,((MONTH($A117)-1)*12)+VLOOKUP(BQ$4,$DE$6:$DF$17,2)+1))*(VLOOKUP($A117,SatSunCurve,6))*(INDEX(DailyScalarsTable,BQ$5/100,MONTH($A117)))*$D117</f>
        <v>-6085.3358819555315</v>
      </c>
      <c r="BR117" s="1021">
        <f>(VLOOKUP(YEAR($A117),'NY East Load Projections'!$A$4:$EO$14,((MONTH($A117)-1)*12)+VLOOKUP(BR$4,$DE$6:$DF$17,2)+1))*(VLOOKUP($A117,SatSunCurve,6))*(INDEX(DailyScalarsTable,BR$5/100,MONTH($A117)))*$D117</f>
        <v>-5534.94960179182</v>
      </c>
      <c r="BS117" s="1021">
        <f>(VLOOKUP(YEAR($A117),'NY East Load Projections'!$A$4:$EO$14,((MONTH($A117)-1)*12)+VLOOKUP(BS$4,$DE$6:$DF$17,2)+1))*(VLOOKUP($A117,SatSunCurve,6))*(INDEX(DailyScalarsTable,BS$5/100,MONTH($A117)))*$D117</f>
        <v>-5540.9095481572258</v>
      </c>
      <c r="BT117" s="1021">
        <f>(VLOOKUP(YEAR($A117),'NY East Load Projections'!$A$4:$EO$14,((MONTH($A117)-1)*12)+VLOOKUP(BT$4,$DE$6:$DF$17,2)+1))*(VLOOKUP($A117,SatSunCurve,6))*(INDEX(DailyScalarsTable,BT$5/100,MONTH($A117)))*$D117</f>
        <v>-5196.9855843651849</v>
      </c>
      <c r="BU117" s="1021">
        <f>(VLOOKUP(YEAR($A117),'NY East Load Projections'!$A$4:$EO$14,((MONTH($A117)-1)*12)+VLOOKUP(BU$4,$DE$6:$DF$17,2)+1))*(VLOOKUP($A117,SatSunCurve,6))*(INDEX(DailyScalarsTable,BU$5/100,MONTH($A117)))*$D117</f>
        <v>-4857.1809952668846</v>
      </c>
      <c r="BV117" s="1021">
        <f>(VLOOKUP(YEAR($A117),'NY East Load Projections'!$A$4:$EO$14,((MONTH($A117)-1)*12)+VLOOKUP(BV$4,$DE$6:$DF$17,2)+1))*(VLOOKUP($A117,SatSunCurve,6))*(INDEX(DailyScalarsTable,BV$5/100,MONTH($A117)))*$D117</f>
        <v>-4645.9894540463638</v>
      </c>
      <c r="BW117" s="1021">
        <f>(VLOOKUP(YEAR($A117),'NY East Load Projections'!$A$4:$EO$14,((MONTH($A117)-1)*12)+VLOOKUP(BW$4,$DE$6:$DF$17,2)+1))*(VLOOKUP($A117,SatSunCurve,6))*(INDEX(DailyScalarsTable,BW$5/100,MONTH($A117)))*$D117</f>
        <v>-4585.5659777782876</v>
      </c>
      <c r="BX117" s="1021">
        <f>(VLOOKUP(YEAR($A117),'NY East Load Projections'!$A$4:$EO$14,((MONTH($A117)-1)*12)+VLOOKUP(BX$4,$DE$6:$DF$17,2)+1))*(VLOOKUP($A117,SatSunCurve,6))*(INDEX(DailyScalarsTable,BX$5/100,MONTH($A117)))*$D117</f>
        <v>-4560.9840229949741</v>
      </c>
      <c r="BY117" s="1021">
        <f>(VLOOKUP(YEAR($A117),'NY East Load Projections'!$A$4:$EO$14,((MONTH($A117)-1)*12)+VLOOKUP(BY$4,$DE$6:$DF$17,2)+1))*(VLOOKUP($A117,SatSunCurve,6))*(INDEX(DailyScalarsTable,BY$5/100,MONTH($A117)))*$D117</f>
        <v>-5002.6856510769712</v>
      </c>
      <c r="BZ117" s="1021">
        <f>(VLOOKUP(YEAR($A117),'NY East Load Projections'!$A$4:$EO$14,((MONTH($A117)-1)*12)+VLOOKUP(BZ$4,$DE$6:$DF$17,2)+1))*(VLOOKUP($A117,SatSunCurve,6))*(INDEX(DailyScalarsTable,BZ$5/100,MONTH($A117)))*$D117</f>
        <v>-5981.5717576240577</v>
      </c>
      <c r="CA117" s="1021">
        <f>(VLOOKUP(YEAR($A117),'NY East Load Projections'!$A$4:$EO$14,((MONTH($A117)-1)*12)+VLOOKUP(CA$4,$DE$6:$DF$17,2)+1))*(VLOOKUP($A117,SatSunCurve,6))*(INDEX(DailyScalarsTable,CA$5/100,MONTH($A117)))*$D117</f>
        <v>-5096.7505139280529</v>
      </c>
      <c r="CB117" s="1021">
        <f>(VLOOKUP(YEAR($A117),'NY East Load Projections'!$A$4:$EO$14,((MONTH($A117)-1)*12)+VLOOKUP(CB$4,$DE$6:$DF$17,2)+1))*(VLOOKUP($A117,SatSunCurve,6))*(INDEX(DailyScalarsTable,CB$5/100,MONTH($A117)))*$D117</f>
        <v>-4502.671739411453</v>
      </c>
      <c r="CC117" s="1021">
        <f>(VLOOKUP(YEAR($A117),'NY East Load Projections'!$A$4:$EO$14,((MONTH($A117)-1)*12)+VLOOKUP(CC$4,$DE$6:$DF$17,2)+1))*(VLOOKUP($A117,CURVES!$D$9:$T$261,6))*(INDEX(DailyScalarsTable,CC$5/100,MONTH($A117)))*$D117</f>
        <v>-6165.336168720054</v>
      </c>
      <c r="CE117" s="1021">
        <f>(VLOOKUP(YEAR($A117),'NY East Load Projections'!$A$4:$EO$14,((MONTH($A117)-1)*12)+VLOOKUP(CE$4,$DE$6:$DF$17,2)+1))*(VLOOKUP($A117,CURVES!$D$9:$T$261,6))*(INDEX(DailyScalarsTable,CE$5/100,MONTH($A117)))*$E117</f>
        <v>0</v>
      </c>
      <c r="CF117" s="1021">
        <f>(VLOOKUP(YEAR($A117),'NY East Load Projections'!$A$4:$EO$14,((MONTH($A117)-1)*12)+VLOOKUP(CF$4,$DE$6:$DF$17,2)+1))*(VLOOKUP($A117,CURVES!$D$9:$T$261,6))*(INDEX(DailyScalarsTable,CF$5/100,MONTH($A117)))*$E117</f>
        <v>0</v>
      </c>
      <c r="CG117" s="1021">
        <f>(VLOOKUP(YEAR($A117),'NY East Load Projections'!$A$4:$EO$14,((MONTH($A117)-1)*12)+VLOOKUP(CG$4,$DE$6:$DF$17,2)+1))*(VLOOKUP($A117,CURVES!$D$9:$T$261,6))*(INDEX(DailyScalarsTable,CG$5/100,MONTH($A117)))*$E117</f>
        <v>0</v>
      </c>
      <c r="CH117" s="1021">
        <f>(VLOOKUP(YEAR($A117),'NY East Load Projections'!$A$4:$EO$14,((MONTH($A117)-1)*12)+VLOOKUP(CH$4,$DE$6:$DF$17,2)+1))*(VLOOKUP($A117,CURVES!$D$9:$T$261,6))*(INDEX(DailyScalarsTable,CH$5/100,MONTH($A117)))*$E117</f>
        <v>0</v>
      </c>
      <c r="CI117" s="1021">
        <f>(VLOOKUP(YEAR($A117),'NY East Load Projections'!$A$4:$EO$14,((MONTH($A117)-1)*12)+VLOOKUP(CI$4,$DE$6:$DF$17,2)+1))*(VLOOKUP($A117,CURVES!$D$9:$T$261,6))*(INDEX(DailyScalarsTable,CI$5/100,MONTH($A117)))*$E117</f>
        <v>0</v>
      </c>
      <c r="CJ117" s="1021">
        <f>(VLOOKUP(YEAR($A117),'NY East Load Projections'!$A$4:$EO$14,((MONTH($A117)-1)*12)+VLOOKUP(CJ$4,$DE$6:$DF$17,2)+1))*(VLOOKUP($A117,CURVES!$D$9:$T$261,6))*(INDEX(DailyScalarsTable,CJ$5/100,MONTH($A117)))*$E117</f>
        <v>0</v>
      </c>
      <c r="CK117" s="1021">
        <f>(VLOOKUP(YEAR($A117),'NY East Load Projections'!$A$4:$EO$14,((MONTH($A117)-1)*12)+VLOOKUP(CK$4,$DE$6:$DF$17,2)+1))*(VLOOKUP($A117,CURVES!$D$9:$T$261,6))*(INDEX(DailyScalarsTable,CK$5/100,MONTH($A117)))*$E117</f>
        <v>0</v>
      </c>
      <c r="CL117" s="1021">
        <f>(VLOOKUP(YEAR($A117),'NY East Load Projections'!$A$4:$EO$14,((MONTH($A117)-1)*12)+VLOOKUP(CL$4,$DE$6:$DF$17,2)+1))*(VLOOKUP($A117,SatSunCurve,6))*(INDEX(DailyScalarsTable,CL$5/100,MONTH($A117)))*$E117</f>
        <v>0</v>
      </c>
      <c r="CM117" s="1021">
        <f>(VLOOKUP(YEAR($A117),'NY East Load Projections'!$A$4:$EO$14,((MONTH($A117)-1)*12)+VLOOKUP(CM$4,$DE$6:$DF$17,2)+1))*(VLOOKUP($A117,SatSunCurve,6))*(INDEX(DailyScalarsTable,CM$5/100,MONTH($A117)))*$E117</f>
        <v>0</v>
      </c>
      <c r="CN117" s="1021">
        <f>(VLOOKUP(YEAR($A117),'NY East Load Projections'!$A$4:$EO$14,((MONTH($A117)-1)*12)+VLOOKUP(CN$4,$DE$6:$DF$17,2)+1))*(VLOOKUP($A117,SatSunCurve,6))*(INDEX(DailyScalarsTable,CN$5/100,MONTH($A117)))*$E117</f>
        <v>0</v>
      </c>
      <c r="CO117" s="1021">
        <f>(VLOOKUP(YEAR($A117),'NY East Load Projections'!$A$4:$EO$14,((MONTH($A117)-1)*12)+VLOOKUP(CO$4,$DE$6:$DF$17,2)+1))*(VLOOKUP($A117,SatSunCurve,6))*(INDEX(DailyScalarsTable,CO$5/100,MONTH($A117)))*$E117</f>
        <v>0</v>
      </c>
      <c r="CP117" s="1021">
        <f>(VLOOKUP(YEAR($A117),'NY East Load Projections'!$A$4:$EO$14,((MONTH($A117)-1)*12)+VLOOKUP(CP$4,$DE$6:$DF$17,2)+1))*(VLOOKUP($A117,SatSunCurve,6))*(INDEX(DailyScalarsTable,CP$5/100,MONTH($A117)))*$E117</f>
        <v>0</v>
      </c>
      <c r="CQ117" s="1021">
        <f>(VLOOKUP(YEAR($A117),'NY East Load Projections'!$A$4:$EO$14,((MONTH($A117)-1)*12)+VLOOKUP(CQ$4,$DE$6:$DF$17,2)+1))*(VLOOKUP($A117,SatSunCurve,6))*(INDEX(DailyScalarsTable,CQ$5/100,MONTH($A117)))*$E117</f>
        <v>0</v>
      </c>
      <c r="CR117" s="1021">
        <f>(VLOOKUP(YEAR($A117),'NY East Load Projections'!$A$4:$EO$14,((MONTH($A117)-1)*12)+VLOOKUP(CR$4,$DE$6:$DF$17,2)+1))*(VLOOKUP($A117,SatSunCurve,6))*(INDEX(DailyScalarsTable,CR$5/100,MONTH($A117)))*$E117</f>
        <v>0</v>
      </c>
      <c r="CS117" s="1021">
        <f>(VLOOKUP(YEAR($A117),'NY East Load Projections'!$A$4:$EO$14,((MONTH($A117)-1)*12)+VLOOKUP(CS$4,$DE$6:$DF$17,2)+1))*(VLOOKUP($A117,SatSunCurve,6))*(INDEX(DailyScalarsTable,CS$5/100,MONTH($A117)))*$E117</f>
        <v>0</v>
      </c>
      <c r="CT117" s="1021">
        <f>(VLOOKUP(YEAR($A117),'NY East Load Projections'!$A$4:$EO$14,((MONTH($A117)-1)*12)+VLOOKUP(CT$4,$DE$6:$DF$17,2)+1))*(VLOOKUP($A117,SatSunCurve,6))*(INDEX(DailyScalarsTable,CT$5/100,MONTH($A117)))*$E117</f>
        <v>0</v>
      </c>
      <c r="CU117" s="1021">
        <f>(VLOOKUP(YEAR($A117),'NY East Load Projections'!$A$4:$EO$14,((MONTH($A117)-1)*12)+VLOOKUP(CU$4,$DE$6:$DF$17,2)+1))*(VLOOKUP($A117,SatSunCurve,6))*(INDEX(DailyScalarsTable,CU$5/100,MONTH($A117)))*$E117</f>
        <v>0</v>
      </c>
      <c r="CV117" s="1021">
        <f>(VLOOKUP(YEAR($A117),'NY East Load Projections'!$A$4:$EO$14,((MONTH($A117)-1)*12)+VLOOKUP(CV$4,$DE$6:$DF$17,2)+1))*(VLOOKUP($A117,SatSunCurve,6))*(INDEX(DailyScalarsTable,CV$5/100,MONTH($A117)))*$E117</f>
        <v>0</v>
      </c>
      <c r="CW117" s="1021">
        <f>(VLOOKUP(YEAR($A117),'NY East Load Projections'!$A$4:$EO$14,((MONTH($A117)-1)*12)+VLOOKUP(CW$4,$DE$6:$DF$17,2)+1))*(VLOOKUP($A117,SatSunCurve,6))*(INDEX(DailyScalarsTable,CW$5/100,MONTH($A117)))*$E117</f>
        <v>0</v>
      </c>
      <c r="CX117" s="1021">
        <f>(VLOOKUP(YEAR($A117),'NY East Load Projections'!$A$4:$EO$14,((MONTH($A117)-1)*12)+VLOOKUP(CX$4,$DE$6:$DF$17,2)+1))*(VLOOKUP($A117,SatSunCurve,6))*(INDEX(DailyScalarsTable,CX$5/100,MONTH($A117)))*$E117</f>
        <v>0</v>
      </c>
      <c r="CY117" s="1021">
        <f>(VLOOKUP(YEAR($A117),'NY East Load Projections'!$A$4:$EO$14,((MONTH($A117)-1)*12)+VLOOKUP(CY$4,$DE$6:$DF$17,2)+1))*(VLOOKUP($A117,SatSunCurve,6))*(INDEX(DailyScalarsTable,CY$5/100,MONTH($A117)))*$E117</f>
        <v>0</v>
      </c>
      <c r="CZ117" s="1021">
        <f>(VLOOKUP(YEAR($A117),'NY East Load Projections'!$A$4:$EO$14,((MONTH($A117)-1)*12)+VLOOKUP(CZ$4,$DE$6:$DF$17,2)+1))*(VLOOKUP($A117,SatSunCurve,6))*(INDEX(DailyScalarsTable,CZ$5/100,MONTH($A117)))*$E117</f>
        <v>0</v>
      </c>
      <c r="DA117" s="1021">
        <f>(VLOOKUP(YEAR($A117),'NY East Load Projections'!$A$4:$EO$14,((MONTH($A117)-1)*12)+VLOOKUP(DA$4,$DE$6:$DF$17,2)+1))*(VLOOKUP($A117,SatSunCurve,6))*(INDEX(DailyScalarsTable,DA$5/100,MONTH($A117)))*$E117</f>
        <v>0</v>
      </c>
      <c r="DB117" s="1021">
        <f>(VLOOKUP(YEAR($A117),'NY East Load Projections'!$A$4:$EO$14,((MONTH($A117)-1)*12)+VLOOKUP(DB$4,$DE$6:$DF$17,2)+1))*(VLOOKUP($A117,CURVES!$D$9:$T$261,6))*(INDEX(DailyScalarsTable,DB$5/100,MONTH($A117)))*$E117</f>
        <v>0</v>
      </c>
      <c r="DH117" s="1021">
        <f t="shared" si="2"/>
        <v>-1475407.1717291404</v>
      </c>
      <c r="DI117">
        <f ca="1">CALC!J137</f>
        <v>0.47508154432487182</v>
      </c>
      <c r="DJ117" s="1029">
        <f t="shared" ca="1" si="3"/>
        <v>-700938.71765307139</v>
      </c>
    </row>
    <row r="118" spans="1:114" x14ac:dyDescent="0.25">
      <c r="A118" s="244">
        <v>40299</v>
      </c>
      <c r="B118" s="13">
        <v>20</v>
      </c>
      <c r="C118" s="210">
        <v>5</v>
      </c>
      <c r="D118" s="210">
        <v>5</v>
      </c>
      <c r="E118" s="210">
        <v>1</v>
      </c>
      <c r="F118" s="13">
        <v>31</v>
      </c>
      <c r="H118" s="1021">
        <f>(VLOOKUP(YEAR($A118),'NY East Load Projections'!$A$4:$EO$14,((MONTH($A118)-1)*12)+VLOOKUP(H$4,$DE$6:$DF$17,2)+1))*(VLOOKUP($A118,CURVES!$D$9:$K$261,6))*(INDEX(DailyScalarsTable,H$5/100,MONTH($A118)))*$B118</f>
        <v>-30762.811992934323</v>
      </c>
      <c r="I118" s="1021">
        <f>(VLOOKUP(YEAR($A118),'NY East Load Projections'!$A$4:$EO$14,((MONTH($A118)-1)*12)+VLOOKUP(I$4,$DE$6:$DF$17,2)+1))*(VLOOKUP($A118,CURVES!$D$9:$K$261,6))*(INDEX(DailyScalarsTable,I$5/100,MONTH($A118)))*$B118</f>
        <v>-27709.952204714529</v>
      </c>
      <c r="J118" s="1021">
        <f>(VLOOKUP(YEAR($A118),'NY East Load Projections'!$A$4:$EO$14,((MONTH($A118)-1)*12)+VLOOKUP(J$4,$DE$6:$DF$17,2)+1))*(VLOOKUP($A118,CURVES!$D$9:$K$261,6))*(INDEX(DailyScalarsTable,J$5/100,MONTH($A118)))*$B118</f>
        <v>-26223.904053835064</v>
      </c>
      <c r="K118" s="1021">
        <f>(VLOOKUP(YEAR($A118),'NY East Load Projections'!$A$4:$EO$14,((MONTH($A118)-1)*12)+VLOOKUP(K$4,$DE$6:$DF$17,2)+1))*(VLOOKUP($A118,CURVES!$D$9:$K$261,6))*(INDEX(DailyScalarsTable,K$5/100,MONTH($A118)))*$B118</f>
        <v>-25424.345537872727</v>
      </c>
      <c r="L118" s="1021">
        <f>(VLOOKUP(YEAR($A118),'NY East Load Projections'!$A$4:$EO$14,((MONTH($A118)-1)*12)+VLOOKUP(L$4,$DE$6:$DF$17,2)+1))*(VLOOKUP($A118,CURVES!$D$9:$K$261,6))*(INDEX(DailyScalarsTable,L$5/100,MONTH($A118)))*$B118</f>
        <v>-28805.812161226644</v>
      </c>
      <c r="M118" s="1021">
        <f>(VLOOKUP(YEAR($A118),'NY East Load Projections'!$A$4:$EO$14,((MONTH($A118)-1)*12)+VLOOKUP(M$4,$DE$6:$DF$17,2)+1))*(VLOOKUP($A118,CURVES!$D$9:$K$261,6))*(INDEX(DailyScalarsTable,M$5/100,MONTH($A118)))*$B118</f>
        <v>-34925.356763552962</v>
      </c>
      <c r="N118" s="1021">
        <f>(VLOOKUP(YEAR($A118),'NY East Load Projections'!$A$4:$EO$14,((MONTH($A118)-1)*12)+VLOOKUP(N$4,$DE$6:$DF$17,2)+1))*(VLOOKUP($A118,CURVES!$D$9:$K$261,6))*(INDEX(DailyScalarsTable,N$5/100,MONTH($A118)))*$B118</f>
        <v>-41788.71341699078</v>
      </c>
      <c r="O118" s="1021">
        <f>(VLOOKUP(YEAR($A118),'NY East Load Projections'!$A$4:$EO$14,((MONTH($A118)-1)*12)+VLOOKUP(O$4,$DE$6:$DF$17,2)+1))*(VLOOKUP($A118,CURVES!$D$9:$K$261,2))*(INDEX(DailyScalarsTable,O$5/100,MONTH($A118)))*$B118</f>
        <v>-52877.597374516517</v>
      </c>
      <c r="P118" s="1021">
        <f>(VLOOKUP(YEAR($A118),'NY East Load Projections'!$A$4:$EO$14,((MONTH($A118)-1)*12)+VLOOKUP(P$4,$DE$6:$DF$17,2)+1))*(VLOOKUP($A118,CURVES!$D$9:$K$261,2))*(INDEX(DailyScalarsTable,P$5/100,MONTH($A118)))*$B118</f>
        <v>-61422.918496053426</v>
      </c>
      <c r="Q118" s="1021">
        <f>(VLOOKUP(YEAR($A118),'NY East Load Projections'!$A$4:$EO$14,((MONTH($A118)-1)*12)+VLOOKUP(Q$4,$DE$6:$DF$17,2)+1))*(VLOOKUP($A118,CURVES!$D$9:$K$261,2))*(INDEX(DailyScalarsTable,Q$5/100,MONTH($A118)))*$B118</f>
        <v>-62512.353402669993</v>
      </c>
      <c r="R118" s="1021">
        <f>(VLOOKUP(YEAR($A118),'NY East Load Projections'!$A$4:$EO$14,((MONTH($A118)-1)*12)+VLOOKUP(R$4,$DE$6:$DF$17,2)+1))*(VLOOKUP($A118,CURVES!$D$9:$K$261,2))*(INDEX(DailyScalarsTable,R$5/100,MONTH($A118)))*$B118</f>
        <v>-66310.914050518855</v>
      </c>
      <c r="S118" s="1021">
        <f>(VLOOKUP(YEAR($A118),'NY East Load Projections'!$A$4:$EO$14,((MONTH($A118)-1)*12)+VLOOKUP(S$4,$DE$6:$DF$17,2)+1))*(VLOOKUP($A118,CURVES!$D$9:$K$261,2))*(INDEX(DailyScalarsTable,S$5/100,MONTH($A118)))*$B118</f>
        <v>-65809.581173137762</v>
      </c>
      <c r="T118" s="1021">
        <f>(VLOOKUP(YEAR($A118),'NY East Load Projections'!$A$4:$EO$14,((MONTH($A118)-1)*12)+VLOOKUP(T$4,$DE$6:$DF$17,2)+1))*(VLOOKUP($A118,CURVES!$D$9:$K$261,2))*(INDEX(DailyScalarsTable,T$5/100,MONTH($A118)))*$B118</f>
        <v>-62808.737042507448</v>
      </c>
      <c r="U118" s="1021">
        <f>(VLOOKUP(YEAR($A118),'NY East Load Projections'!$A$4:$EO$14,((MONTH($A118)-1)*12)+VLOOKUP(U$4,$DE$6:$DF$17,2)+1))*(VLOOKUP($A118,CURVES!$D$9:$K$261,2))*(INDEX(DailyScalarsTable,U$5/100,MONTH($A118)))*$B118</f>
        <v>-63111.453281362818</v>
      </c>
      <c r="V118" s="1021">
        <f>(VLOOKUP(YEAR($A118),'NY East Load Projections'!$A$4:$EO$14,((MONTH($A118)-1)*12)+VLOOKUP(V$4,$DE$6:$DF$17,2)+1))*(VLOOKUP($A118,CURVES!$D$9:$K$261,2))*(INDEX(DailyScalarsTable,V$5/100,MONTH($A118)))*$B118</f>
        <v>-61217.035528525994</v>
      </c>
      <c r="W118" s="1021">
        <f>(VLOOKUP(YEAR($A118),'NY East Load Projections'!$A$4:$EO$14,((MONTH($A118)-1)*12)+VLOOKUP(W$4,$DE$6:$DF$17,2)+1))*(VLOOKUP($A118,CURVES!$D$9:$K$261,2))*(INDEX(DailyScalarsTable,W$5/100,MONTH($A118)))*$B118</f>
        <v>-58834.365777535349</v>
      </c>
      <c r="X118" s="1021">
        <f>(VLOOKUP(YEAR($A118),'NY East Load Projections'!$A$4:$EO$14,((MONTH($A118)-1)*12)+VLOOKUP(X$4,$DE$6:$DF$17,2)+1))*(VLOOKUP($A118,CURVES!$D$9:$K$261,2))*(INDEX(DailyScalarsTable,X$5/100,MONTH($A118)))*$B118</f>
        <v>-57445.28235659514</v>
      </c>
      <c r="Y118" s="1021">
        <f>(VLOOKUP(YEAR($A118),'NY East Load Projections'!$A$4:$EO$14,((MONTH($A118)-1)*12)+VLOOKUP(Y$4,$DE$6:$DF$17,2)+1))*(VLOOKUP($A118,CURVES!$D$9:$K$261,2))*(INDEX(DailyScalarsTable,Y$5/100,MONTH($A118)))*$B118</f>
        <v>-55206.543663149962</v>
      </c>
      <c r="Z118" s="1021">
        <f>(VLOOKUP(YEAR($A118),'NY East Load Projections'!$A$4:$EO$14,((MONTH($A118)-1)*12)+VLOOKUP(Z$4,$DE$6:$DF$17,2)+1))*(VLOOKUP($A118,CURVES!$D$9:$K$261,2))*(INDEX(DailyScalarsTable,Z$5/100,MONTH($A118)))*$B118</f>
        <v>-47831.875025918824</v>
      </c>
      <c r="AA118" s="1021">
        <f>(VLOOKUP(YEAR($A118),'NY East Load Projections'!$A$4:$EO$14,((MONTH($A118)-1)*12)+VLOOKUP(AA$4,$DE$6:$DF$17,2)+1))*(VLOOKUP($A118,CURVES!$D$9:$K$261,2))*(INDEX(DailyScalarsTable,AA$5/100,MONTH($A118)))*$B118</f>
        <v>-47709.590979638226</v>
      </c>
      <c r="AB118" s="1021">
        <f>(VLOOKUP(YEAR($A118),'NY East Load Projections'!$A$4:$EO$14,((MONTH($A118)-1)*12)+VLOOKUP(AB$4,$DE$6:$DF$17,2)+1))*(VLOOKUP($A118,CURVES!$D$9:$K$261,2))*(INDEX(DailyScalarsTable,AB$5/100,MONTH($A118)))*$B118</f>
        <v>-59217.505501897875</v>
      </c>
      <c r="AC118" s="1021">
        <f>(VLOOKUP(YEAR($A118),'NY East Load Projections'!$A$4:$EO$14,((MONTH($A118)-1)*12)+VLOOKUP(AC$4,$DE$6:$DF$17,2)+1))*(VLOOKUP($A118,CURVES!$D$9:$K$261,2))*(INDEX(DailyScalarsTable,AC$5/100,MONTH($A118)))*$B118</f>
        <v>-56482.471021819234</v>
      </c>
      <c r="AD118" s="1021">
        <f>(VLOOKUP(YEAR($A118),'NY East Load Projections'!$A$4:$EO$14,((MONTH($A118)-1)*12)+VLOOKUP(AD$4,$DE$6:$DF$17,2)+1))*(VLOOKUP($A118,CURVES!$D$9:$K$261,2))*(INDEX(DailyScalarsTable,AD$5/100,MONTH($A118)))*$B118</f>
        <v>-45310.70151687265</v>
      </c>
      <c r="AE118" s="1021">
        <f>(VLOOKUP(YEAR($A118),'NY East Load Projections'!$A$4:$EO$14,((MONTH($A118)-1)*12)+VLOOKUP(AE$4,$DE$6:$DF$17,2)+1))*(VLOOKUP($A118,CURVES!$D$9:$K$261,6))*(INDEX(DailyScalarsTable,AE$5/100,MONTH($A118)))*$B118</f>
        <v>-37398.706954730071</v>
      </c>
      <c r="AF118" s="1021"/>
      <c r="AG118" s="1021">
        <f>(VLOOKUP(YEAR($A118),'NY East Load Projections'!$A$4:$EO$14,((MONTH($A118)-1)*12)+VLOOKUP(AG$4,$DE$6:$DF$17,2)+1))*(VLOOKUP($A118,CURVES!$D$9:$T$261,6))*(INDEX(DailyScalarsTable,AG$5/100,MONTH($A118)))*$C118</f>
        <v>-7743.5341418541384</v>
      </c>
      <c r="AH118" s="1021">
        <f>(VLOOKUP(YEAR($A118),'NY East Load Projections'!$A$4:$EO$14,((MONTH($A118)-1)*12)+VLOOKUP(AH$4,$DE$6:$DF$17,2)+1))*(VLOOKUP($A118,CURVES!$D$9:$T$261,6))*(INDEX(DailyScalarsTable,AH$5/100,MONTH($A118)))*$C118</f>
        <v>-6975.0763036759108</v>
      </c>
      <c r="AI118" s="1021">
        <f>(VLOOKUP(YEAR($A118),'NY East Load Projections'!$A$4:$EO$14,((MONTH($A118)-1)*12)+VLOOKUP(AI$4,$DE$6:$DF$17,2)+1))*(VLOOKUP($A118,CURVES!$D$9:$T$261,6))*(INDEX(DailyScalarsTable,AI$5/100,MONTH($A118)))*$C118</f>
        <v>-6601.0121708060888</v>
      </c>
      <c r="AJ118" s="1021">
        <f>(VLOOKUP(YEAR($A118),'NY East Load Projections'!$A$4:$EO$14,((MONTH($A118)-1)*12)+VLOOKUP(AJ$4,$DE$6:$DF$17,2)+1))*(VLOOKUP($A118,CURVES!$D$9:$T$261,6))*(INDEX(DailyScalarsTable,AJ$5/100,MONTH($A118)))*$C118</f>
        <v>-6399.7494036641692</v>
      </c>
      <c r="AK118" s="1021">
        <f>(VLOOKUP(YEAR($A118),'NY East Load Projections'!$A$4:$EO$14,((MONTH($A118)-1)*12)+VLOOKUP(AK$4,$DE$6:$DF$17,2)+1))*(VLOOKUP($A118,CURVES!$D$9:$T$261,6))*(INDEX(DailyScalarsTable,AK$5/100,MONTH($A118)))*$C118</f>
        <v>-7039.916771163993</v>
      </c>
      <c r="AL118" s="1021">
        <f>(VLOOKUP(YEAR($A118),'NY East Load Projections'!$A$4:$EO$14,((MONTH($A118)-1)*12)+VLOOKUP(AL$4,$DE$6:$DF$17,2)+1))*(VLOOKUP($A118,CURVES!$D$9:$T$261,6))*(INDEX(DailyScalarsTable,AL$5/100,MONTH($A118)))*$C118</f>
        <v>-8535.4859443807545</v>
      </c>
      <c r="AM118" s="1021">
        <f>(VLOOKUP(YEAR($A118),'NY East Load Projections'!$A$4:$EO$14,((MONTH($A118)-1)*12)+VLOOKUP(AM$4,$DE$6:$DF$17,2)+1))*(VLOOKUP($A118,CURVES!$D$9:$T$261,6))*(INDEX(DailyScalarsTable,AM$5/100,MONTH($A118)))*$C118</f>
        <v>-10212.837006054808</v>
      </c>
      <c r="AN118" s="1021">
        <f>(VLOOKUP(YEAR($A118),'NY East Load Projections'!$A$4:$EO$14,((MONTH($A118)-1)*12)+VLOOKUP(AN$4,$DE$6:$DF$17,2)+1))*(VLOOKUP($A118,SatSunCurve,2))*(INDEX(DailyScalarsTable,AN$5/100,MONTH($A118)))*$C118</f>
        <v>-8505.1151184061091</v>
      </c>
      <c r="AO118" s="1021">
        <f>(VLOOKUP(YEAR($A118),'NY East Load Projections'!$A$4:$EO$14,((MONTH($A118)-1)*12)+VLOOKUP(AO$4,$DE$6:$DF$17,2)+1))*(VLOOKUP($A118,SatSunCurve,2))*(INDEX(DailyScalarsTable,AO$5/100,MONTH($A118)))*$C118</f>
        <v>-9852.9962982224824</v>
      </c>
      <c r="AP118" s="1021">
        <f>(VLOOKUP(YEAR($A118),'NY East Load Projections'!$A$4:$EO$14,((MONTH($A118)-1)*12)+VLOOKUP(AP$4,$DE$6:$DF$17,2)+1))*(VLOOKUP($A118,SatSunCurve,2))*(INDEX(DailyScalarsTable,AP$5/100,MONTH($A118)))*$C118</f>
        <v>-10027.755140115303</v>
      </c>
      <c r="AQ118" s="1021">
        <f>(VLOOKUP(YEAR($A118),'NY East Load Projections'!$A$4:$EO$14,((MONTH($A118)-1)*12)+VLOOKUP(AQ$4,$DE$6:$DF$17,2)+1))*(VLOOKUP($A118,SatSunCurve,2))*(INDEX(DailyScalarsTable,AQ$5/100,MONTH($A118)))*$C118</f>
        <v>-10637.091279104421</v>
      </c>
      <c r="AR118" s="1021">
        <f>(VLOOKUP(YEAR($A118),'NY East Load Projections'!$A$4:$EO$14,((MONTH($A118)-1)*12)+VLOOKUP(AR$4,$DE$6:$DF$17,2)+1))*(VLOOKUP($A118,SatSunCurve,2))*(INDEX(DailyScalarsTable,AR$5/100,MONTH($A118)))*$C118</f>
        <v>-10556.671281065246</v>
      </c>
      <c r="AS118" s="1021">
        <f>(VLOOKUP(YEAR($A118),'NY East Load Projections'!$A$4:$EO$14,((MONTH($A118)-1)*12)+VLOOKUP(AS$4,$DE$6:$DF$17,2)+1))*(VLOOKUP($A118,SatSunCurve,2))*(INDEX(DailyScalarsTable,AS$5/100,MONTH($A118)))*$C118</f>
        <v>-10007.805885959508</v>
      </c>
      <c r="AT118" s="1021">
        <f>(VLOOKUP(YEAR($A118),'NY East Load Projections'!$A$4:$EO$14,((MONTH($A118)-1)*12)+VLOOKUP(AT$4,$DE$6:$DF$17,2)+1))*(VLOOKUP($A118,SatSunCurve,2))*(INDEX(DailyScalarsTable,AT$5/100,MONTH($A118)))*$C118</f>
        <v>-10056.040025024302</v>
      </c>
      <c r="AU118" s="1021">
        <f>(VLOOKUP(YEAR($A118),'NY East Load Projections'!$A$4:$EO$14,((MONTH($A118)-1)*12)+VLOOKUP(AU$4,$DE$6:$DF$17,2)+1))*(VLOOKUP($A118,SatSunCurve,2))*(INDEX(DailyScalarsTable,AU$5/100,MONTH($A118)))*$C118</f>
        <v>-9754.1876708768905</v>
      </c>
      <c r="AV118" s="1021">
        <f>(VLOOKUP(YEAR($A118),'NY East Load Projections'!$A$4:$EO$14,((MONTH($A118)-1)*12)+VLOOKUP(AV$4,$DE$6:$DF$17,2)+1))*(VLOOKUP($A118,SatSunCurve,2))*(INDEX(DailyScalarsTable,AV$5/100,MONTH($A118)))*$C118</f>
        <v>-9374.5383182378791</v>
      </c>
      <c r="AW118" s="1021">
        <f>(VLOOKUP(YEAR($A118),'NY East Load Projections'!$A$4:$EO$14,((MONTH($A118)-1)*12)+VLOOKUP(AW$4,$DE$6:$DF$17,2)+1))*(VLOOKUP($A118,SatSunCurve,2))*(INDEX(DailyScalarsTable,AW$5/100,MONTH($A118)))*$C118</f>
        <v>-9257.4042634194102</v>
      </c>
      <c r="AX118" s="1021">
        <f>(VLOOKUP(YEAR($A118),'NY East Load Projections'!$A$4:$EO$14,((MONTH($A118)-1)*12)+VLOOKUP(AX$4,$DE$6:$DF$17,2)+1))*(VLOOKUP($A118,SatSunCurve,2))*(INDEX(DailyScalarsTable,AX$5/100,MONTH($A118)))*$C118</f>
        <v>-8896.6277422643707</v>
      </c>
      <c r="AY118" s="1021">
        <f>(VLOOKUP(YEAR($A118),'NY East Load Projections'!$A$4:$EO$14,((MONTH($A118)-1)*12)+VLOOKUP(AY$4,$DE$6:$DF$17,2)+1))*(VLOOKUP($A118,SatSunCurve,2))*(INDEX(DailyScalarsTable,AY$5/100,MONTH($A118)))*$C118</f>
        <v>-7708.187437283068</v>
      </c>
      <c r="AZ118" s="1021">
        <f>(VLOOKUP(YEAR($A118),'NY East Load Projections'!$A$4:$EO$14,((MONTH($A118)-1)*12)+VLOOKUP(AZ$4,$DE$6:$DF$17,2)+1))*(VLOOKUP($A118,SatSunCurve,2))*(INDEX(DailyScalarsTable,AZ$5/100,MONTH($A118)))*$C118</f>
        <v>-7688.4811567157794</v>
      </c>
      <c r="BA118" s="1021">
        <f>(VLOOKUP(YEAR($A118),'NY East Load Projections'!$A$4:$EO$14,((MONTH($A118)-1)*12)+VLOOKUP(BA$4,$DE$6:$DF$17,2)+1))*(VLOOKUP($A118,SatSunCurve,2))*(INDEX(DailyScalarsTable,BA$5/100,MONTH($A118)))*$C118</f>
        <v>-9754.3575693064577</v>
      </c>
      <c r="BB118" s="1021">
        <f>(VLOOKUP(YEAR($A118),'NY East Load Projections'!$A$4:$EO$14,((MONTH($A118)-1)*12)+VLOOKUP(BB$4,$DE$6:$DF$17,2)+1))*(VLOOKUP($A118,SatSunCurve,2))*(INDEX(DailyScalarsTable,BB$5/100,MONTH($A118)))*$C118</f>
        <v>-9303.8403775241368</v>
      </c>
      <c r="BC118" s="1021">
        <f>(VLOOKUP(YEAR($A118),'NY East Load Projections'!$A$4:$EO$14,((MONTH($A118)-1)*12)+VLOOKUP(BC$4,$DE$6:$DF$17,2)+1))*(VLOOKUP($A118,SatSunCurve,2))*(INDEX(DailyScalarsTable,BC$5/100,MONTH($A118)))*$C118</f>
        <v>-7463.6170599507495</v>
      </c>
      <c r="BD118" s="1021">
        <f>(VLOOKUP(YEAR($A118),'NY East Load Projections'!$A$4:$EO$14,((MONTH($A118)-1)*12)+VLOOKUP(BD$4,$DE$6:$DF$17,2)+1))*(VLOOKUP($A118,CURVES!$D$9:$T$261,6))*(INDEX(DailyScalarsTable,BD$5/100,MONTH($A118)))*$C118</f>
        <v>-9360.1771292970207</v>
      </c>
      <c r="BE118" s="1021"/>
      <c r="BF118" s="1021">
        <f>(VLOOKUP(YEAR($A118),'NY East Load Projections'!$A$4:$EO$14,((MONTH($A118)-1)*12)+VLOOKUP(BF$4,$DE$6:$DF$17,2)+1))*(VLOOKUP($A118,CURVES!$D$9:$T$261,6))*(INDEX(DailyScalarsTable,BF$5/100,MONTH($A118)))*$D118</f>
        <v>-7743.5341418541384</v>
      </c>
      <c r="BG118" s="1021">
        <f>(VLOOKUP(YEAR($A118),'NY East Load Projections'!$A$4:$EO$14,((MONTH($A118)-1)*12)+VLOOKUP(BG$4,$DE$6:$DF$17,2)+1))*(VLOOKUP($A118,CURVES!$D$9:$T$261,6))*(INDEX(DailyScalarsTable,BG$5/100,MONTH($A118)))*$D118</f>
        <v>-6975.0763036759108</v>
      </c>
      <c r="BH118" s="1021">
        <f>(VLOOKUP(YEAR($A118),'NY East Load Projections'!$A$4:$EO$14,((MONTH($A118)-1)*12)+VLOOKUP(BH$4,$DE$6:$DF$17,2)+1))*(VLOOKUP($A118,CURVES!$D$9:$T$261,6))*(INDEX(DailyScalarsTable,BH$5/100,MONTH($A118)))*$D118</f>
        <v>-6601.0121708060888</v>
      </c>
      <c r="BI118" s="1021">
        <f>(VLOOKUP(YEAR($A118),'NY East Load Projections'!$A$4:$EO$14,((MONTH($A118)-1)*12)+VLOOKUP(BI$4,$DE$6:$DF$17,2)+1))*(VLOOKUP($A118,CURVES!$D$9:$T$261,6))*(INDEX(DailyScalarsTable,BI$5/100,MONTH($A118)))*$D118</f>
        <v>-6399.7494036641692</v>
      </c>
      <c r="BJ118" s="1021">
        <f>(VLOOKUP(YEAR($A118),'NY East Load Projections'!$A$4:$EO$14,((MONTH($A118)-1)*12)+VLOOKUP(BJ$4,$DE$6:$DF$17,2)+1))*(VLOOKUP($A118,CURVES!$D$9:$T$261,6))*(INDEX(DailyScalarsTable,BJ$5/100,MONTH($A118)))*$D118</f>
        <v>-7039.916771163993</v>
      </c>
      <c r="BK118" s="1021">
        <f>(VLOOKUP(YEAR($A118),'NY East Load Projections'!$A$4:$EO$14,((MONTH($A118)-1)*12)+VLOOKUP(BK$4,$DE$6:$DF$17,2)+1))*(VLOOKUP($A118,CURVES!$D$9:$T$261,6))*(INDEX(DailyScalarsTable,BK$5/100,MONTH($A118)))*$D118</f>
        <v>-8535.4859443807545</v>
      </c>
      <c r="BL118" s="1021">
        <f>(VLOOKUP(YEAR($A118),'NY East Load Projections'!$A$4:$EO$14,((MONTH($A118)-1)*12)+VLOOKUP(BL$4,$DE$6:$DF$17,2)+1))*(VLOOKUP($A118,CURVES!$D$9:$T$261,6))*(INDEX(DailyScalarsTable,BL$5/100,MONTH($A118)))*$D118</f>
        <v>-10212.837006054808</v>
      </c>
      <c r="BM118" s="1021">
        <f>(VLOOKUP(YEAR($A118),'NY East Load Projections'!$A$4:$EO$14,((MONTH($A118)-1)*12)+VLOOKUP(BM$4,$DE$6:$DF$17,2)+1))*(VLOOKUP($A118,SatSunCurve,6))*(INDEX(DailyScalarsTable,BM$5/100,MONTH($A118)))*$D118</f>
        <v>-7176.4732127116449</v>
      </c>
      <c r="BN118" s="1021">
        <f>(VLOOKUP(YEAR($A118),'NY East Load Projections'!$A$4:$EO$14,((MONTH($A118)-1)*12)+VLOOKUP(BN$4,$DE$6:$DF$17,2)+1))*(VLOOKUP($A118,SatSunCurve,6))*(INDEX(DailyScalarsTable,BN$5/100,MONTH($A118)))*$D118</f>
        <v>-8313.7927017726161</v>
      </c>
      <c r="BO118" s="1021">
        <f>(VLOOKUP(YEAR($A118),'NY East Load Projections'!$A$4:$EO$14,((MONTH($A118)-1)*12)+VLOOKUP(BO$4,$DE$6:$DF$17,2)+1))*(VLOOKUP($A118,SatSunCurve,6))*(INDEX(DailyScalarsTable,BO$5/100,MONTH($A118)))*$D118</f>
        <v>-8461.2512758269768</v>
      </c>
      <c r="BP118" s="1021">
        <f>(VLOOKUP(YEAR($A118),'NY East Load Projections'!$A$4:$EO$14,((MONTH($A118)-1)*12)+VLOOKUP(BP$4,$DE$6:$DF$17,2)+1))*(VLOOKUP($A118,SatSunCurve,6))*(INDEX(DailyScalarsTable,BP$5/100,MONTH($A118)))*$D118</f>
        <v>-8975.3988703173873</v>
      </c>
      <c r="BQ118" s="1021">
        <f>(VLOOKUP(YEAR($A118),'NY East Load Projections'!$A$4:$EO$14,((MONTH($A118)-1)*12)+VLOOKUP(BQ$4,$DE$6:$DF$17,2)+1))*(VLOOKUP($A118,SatSunCurve,6))*(INDEX(DailyScalarsTable,BQ$5/100,MONTH($A118)))*$D118</f>
        <v>-8907.5418273897158</v>
      </c>
      <c r="BR118" s="1021">
        <f>(VLOOKUP(YEAR($A118),'NY East Load Projections'!$A$4:$EO$14,((MONTH($A118)-1)*12)+VLOOKUP(BR$4,$DE$6:$DF$17,2)+1))*(VLOOKUP($A118,SatSunCurve,6))*(INDEX(DailyScalarsTable,BR$5/100,MONTH($A118)))*$D118</f>
        <v>-8444.418430407537</v>
      </c>
      <c r="BS118" s="1021">
        <f>(VLOOKUP(YEAR($A118),'NY East Load Projections'!$A$4:$EO$14,((MONTH($A118)-1)*12)+VLOOKUP(BS$4,$DE$6:$DF$17,2)+1))*(VLOOKUP($A118,SatSunCurve,6))*(INDEX(DailyScalarsTable,BS$5/100,MONTH($A118)))*$D118</f>
        <v>-8485.1175863998633</v>
      </c>
      <c r="BT118" s="1021">
        <f>(VLOOKUP(YEAR($A118),'NY East Load Projections'!$A$4:$EO$14,((MONTH($A118)-1)*12)+VLOOKUP(BT$4,$DE$6:$DF$17,2)+1))*(VLOOKUP($A118,SatSunCurve,6))*(INDEX(DailyScalarsTable,BT$5/100,MONTH($A118)))*$D118</f>
        <v>-8230.4196424478941</v>
      </c>
      <c r="BU118" s="1021">
        <f>(VLOOKUP(YEAR($A118),'NY East Load Projections'!$A$4:$EO$14,((MONTH($A118)-1)*12)+VLOOKUP(BU$4,$DE$6:$DF$17,2)+1))*(VLOOKUP($A118,SatSunCurve,6))*(INDEX(DailyScalarsTable,BU$5/100,MONTH($A118)))*$D118</f>
        <v>-7910.0778985083052</v>
      </c>
      <c r="BV118" s="1021">
        <f>(VLOOKUP(YEAR($A118),'NY East Load Projections'!$A$4:$EO$14,((MONTH($A118)-1)*12)+VLOOKUP(BV$4,$DE$6:$DF$17,2)+1))*(VLOOKUP($A118,SatSunCurve,6))*(INDEX(DailyScalarsTable,BV$5/100,MONTH($A118)))*$D118</f>
        <v>-7811.2421514316029</v>
      </c>
      <c r="BW118" s="1021">
        <f>(VLOOKUP(YEAR($A118),'NY East Load Projections'!$A$4:$EO$14,((MONTH($A118)-1)*12)+VLOOKUP(BW$4,$DE$6:$DF$17,2)+1))*(VLOOKUP($A118,SatSunCurve,6))*(INDEX(DailyScalarsTable,BW$5/100,MONTH($A118)))*$D118</f>
        <v>-7506.824985549707</v>
      </c>
      <c r="BX118" s="1021">
        <f>(VLOOKUP(YEAR($A118),'NY East Load Projections'!$A$4:$EO$14,((MONTH($A118)-1)*12)+VLOOKUP(BX$4,$DE$6:$DF$17,2)+1))*(VLOOKUP($A118,SatSunCurve,6))*(INDEX(DailyScalarsTable,BX$5/100,MONTH($A118)))*$D118</f>
        <v>-6504.0390273505309</v>
      </c>
      <c r="BY118" s="1021">
        <f>(VLOOKUP(YEAR($A118),'NY East Load Projections'!$A$4:$EO$14,((MONTH($A118)-1)*12)+VLOOKUP(BY$4,$DE$6:$DF$17,2)+1))*(VLOOKUP($A118,SatSunCurve,6))*(INDEX(DailyScalarsTable,BY$5/100,MONTH($A118)))*$D118</f>
        <v>-6487.4111989620269</v>
      </c>
      <c r="BZ118" s="1021">
        <f>(VLOOKUP(YEAR($A118),'NY East Load Projections'!$A$4:$EO$14,((MONTH($A118)-1)*12)+VLOOKUP(BZ$4,$DE$6:$DF$17,2)+1))*(VLOOKUP($A118,SatSunCurve,6))*(INDEX(DailyScalarsTable,BZ$5/100,MONTH($A118)))*$D118</f>
        <v>-8230.5629998877048</v>
      </c>
      <c r="CA118" s="1021">
        <f>(VLOOKUP(YEAR($A118),'NY East Load Projections'!$A$4:$EO$14,((MONTH($A118)-1)*12)+VLOOKUP(CA$4,$DE$6:$DF$17,2)+1))*(VLOOKUP($A118,SatSunCurve,6))*(INDEX(DailyScalarsTable,CA$5/100,MONTH($A118)))*$D118</f>
        <v>-7850.4241641775307</v>
      </c>
      <c r="CB118" s="1021">
        <f>(VLOOKUP(YEAR($A118),'NY East Load Projections'!$A$4:$EO$14,((MONTH($A118)-1)*12)+VLOOKUP(CB$4,$DE$6:$DF$17,2)+1))*(VLOOKUP($A118,SatSunCurve,6))*(INDEX(DailyScalarsTable,CB$5/100,MONTH($A118)))*$D118</f>
        <v>-6297.6746528402073</v>
      </c>
      <c r="CC118" s="1021">
        <f>(VLOOKUP(YEAR($A118),'NY East Load Projections'!$A$4:$EO$14,((MONTH($A118)-1)*12)+VLOOKUP(CC$4,$DE$6:$DF$17,2)+1))*(VLOOKUP($A118,CURVES!$D$9:$T$261,6))*(INDEX(DailyScalarsTable,CC$5/100,MONTH($A118)))*$D118</f>
        <v>-9360.1771292970207</v>
      </c>
      <c r="CE118" s="1021">
        <f>(VLOOKUP(YEAR($A118),'NY East Load Projections'!$A$4:$EO$14,((MONTH($A118)-1)*12)+VLOOKUP(CE$4,$DE$6:$DF$17,2)+1))*(VLOOKUP($A118,CURVES!$D$9:$T$261,6))*(INDEX(DailyScalarsTable,CE$5/100,MONTH($A118)))*$E118</f>
        <v>-1548.7068283708277</v>
      </c>
      <c r="CF118" s="1021">
        <f>(VLOOKUP(YEAR($A118),'NY East Load Projections'!$A$4:$EO$14,((MONTH($A118)-1)*12)+VLOOKUP(CF$4,$DE$6:$DF$17,2)+1))*(VLOOKUP($A118,CURVES!$D$9:$T$261,6))*(INDEX(DailyScalarsTable,CF$5/100,MONTH($A118)))*$E118</f>
        <v>-1395.0152607351822</v>
      </c>
      <c r="CG118" s="1021">
        <f>(VLOOKUP(YEAR($A118),'NY East Load Projections'!$A$4:$EO$14,((MONTH($A118)-1)*12)+VLOOKUP(CG$4,$DE$6:$DF$17,2)+1))*(VLOOKUP($A118,CURVES!$D$9:$T$261,6))*(INDEX(DailyScalarsTable,CG$5/100,MONTH($A118)))*$E118</f>
        <v>-1320.2024341612178</v>
      </c>
      <c r="CH118" s="1021">
        <f>(VLOOKUP(YEAR($A118),'NY East Load Projections'!$A$4:$EO$14,((MONTH($A118)-1)*12)+VLOOKUP(CH$4,$DE$6:$DF$17,2)+1))*(VLOOKUP($A118,CURVES!$D$9:$T$261,6))*(INDEX(DailyScalarsTable,CH$5/100,MONTH($A118)))*$E118</f>
        <v>-1279.9498807328339</v>
      </c>
      <c r="CI118" s="1021">
        <f>(VLOOKUP(YEAR($A118),'NY East Load Projections'!$A$4:$EO$14,((MONTH($A118)-1)*12)+VLOOKUP(CI$4,$DE$6:$DF$17,2)+1))*(VLOOKUP($A118,CURVES!$D$9:$T$261,6))*(INDEX(DailyScalarsTable,CI$5/100,MONTH($A118)))*$E118</f>
        <v>-1407.9833542327985</v>
      </c>
      <c r="CJ118" s="1021">
        <f>(VLOOKUP(YEAR($A118),'NY East Load Projections'!$A$4:$EO$14,((MONTH($A118)-1)*12)+VLOOKUP(CJ$4,$DE$6:$DF$17,2)+1))*(VLOOKUP($A118,CURVES!$D$9:$T$261,6))*(INDEX(DailyScalarsTable,CJ$5/100,MONTH($A118)))*$E118</f>
        <v>-1707.0971888761508</v>
      </c>
      <c r="CK118" s="1021">
        <f>(VLOOKUP(YEAR($A118),'NY East Load Projections'!$A$4:$EO$14,((MONTH($A118)-1)*12)+VLOOKUP(CK$4,$DE$6:$DF$17,2)+1))*(VLOOKUP($A118,CURVES!$D$9:$T$261,6))*(INDEX(DailyScalarsTable,CK$5/100,MONTH($A118)))*$E118</f>
        <v>-2042.5674012109616</v>
      </c>
      <c r="CL118" s="1021">
        <f>(VLOOKUP(YEAR($A118),'NY East Load Projections'!$A$4:$EO$14,((MONTH($A118)-1)*12)+VLOOKUP(CL$4,$DE$6:$DF$17,2)+1))*(VLOOKUP($A118,SatSunCurve,6))*(INDEX(DailyScalarsTable,CL$5/100,MONTH($A118)))*$E118</f>
        <v>-1435.294642542329</v>
      </c>
      <c r="CM118" s="1021">
        <f>(VLOOKUP(YEAR($A118),'NY East Load Projections'!$A$4:$EO$14,((MONTH($A118)-1)*12)+VLOOKUP(CM$4,$DE$6:$DF$17,2)+1))*(VLOOKUP($A118,SatSunCurve,6))*(INDEX(DailyScalarsTable,CM$5/100,MONTH($A118)))*$E118</f>
        <v>-1662.7585403545233</v>
      </c>
      <c r="CN118" s="1021">
        <f>(VLOOKUP(YEAR($A118),'NY East Load Projections'!$A$4:$EO$14,((MONTH($A118)-1)*12)+VLOOKUP(CN$4,$DE$6:$DF$17,2)+1))*(VLOOKUP($A118,SatSunCurve,6))*(INDEX(DailyScalarsTable,CN$5/100,MONTH($A118)))*$E118</f>
        <v>-1692.2502551653952</v>
      </c>
      <c r="CO118" s="1021">
        <f>(VLOOKUP(YEAR($A118),'NY East Load Projections'!$A$4:$EO$14,((MONTH($A118)-1)*12)+VLOOKUP(CO$4,$DE$6:$DF$17,2)+1))*(VLOOKUP($A118,SatSunCurve,6))*(INDEX(DailyScalarsTable,CO$5/100,MONTH($A118)))*$E118</f>
        <v>-1795.0797740634775</v>
      </c>
      <c r="CP118" s="1021">
        <f>(VLOOKUP(YEAR($A118),'NY East Load Projections'!$A$4:$EO$14,((MONTH($A118)-1)*12)+VLOOKUP(CP$4,$DE$6:$DF$17,2)+1))*(VLOOKUP($A118,SatSunCurve,6))*(INDEX(DailyScalarsTable,CP$5/100,MONTH($A118)))*$E118</f>
        <v>-1781.5083654779432</v>
      </c>
      <c r="CQ118" s="1021">
        <f>(VLOOKUP(YEAR($A118),'NY East Load Projections'!$A$4:$EO$14,((MONTH($A118)-1)*12)+VLOOKUP(CQ$4,$DE$6:$DF$17,2)+1))*(VLOOKUP($A118,SatSunCurve,6))*(INDEX(DailyScalarsTable,CQ$5/100,MONTH($A118)))*$E118</f>
        <v>-1688.8836860815074</v>
      </c>
      <c r="CR118" s="1021">
        <f>(VLOOKUP(YEAR($A118),'NY East Load Projections'!$A$4:$EO$14,((MONTH($A118)-1)*12)+VLOOKUP(CR$4,$DE$6:$DF$17,2)+1))*(VLOOKUP($A118,SatSunCurve,6))*(INDEX(DailyScalarsTable,CR$5/100,MONTH($A118)))*$E118</f>
        <v>-1697.0235172799728</v>
      </c>
      <c r="CS118" s="1021">
        <f>(VLOOKUP(YEAR($A118),'NY East Load Projections'!$A$4:$EO$14,((MONTH($A118)-1)*12)+VLOOKUP(CS$4,$DE$6:$DF$17,2)+1))*(VLOOKUP($A118,SatSunCurve,6))*(INDEX(DailyScalarsTable,CS$5/100,MONTH($A118)))*$E118</f>
        <v>-1646.083928489579</v>
      </c>
      <c r="CT118" s="1021">
        <f>(VLOOKUP(YEAR($A118),'NY East Load Projections'!$A$4:$EO$14,((MONTH($A118)-1)*12)+VLOOKUP(CT$4,$DE$6:$DF$17,2)+1))*(VLOOKUP($A118,SatSunCurve,6))*(INDEX(DailyScalarsTable,CT$5/100,MONTH($A118)))*$E118</f>
        <v>-1582.015579701661</v>
      </c>
      <c r="CU118" s="1021">
        <f>(VLOOKUP(YEAR($A118),'NY East Load Projections'!$A$4:$EO$14,((MONTH($A118)-1)*12)+VLOOKUP(CU$4,$DE$6:$DF$17,2)+1))*(VLOOKUP($A118,SatSunCurve,6))*(INDEX(DailyScalarsTable,CU$5/100,MONTH($A118)))*$E118</f>
        <v>-1562.2484302863206</v>
      </c>
      <c r="CV118" s="1021">
        <f>(VLOOKUP(YEAR($A118),'NY East Load Projections'!$A$4:$EO$14,((MONTH($A118)-1)*12)+VLOOKUP(CV$4,$DE$6:$DF$17,2)+1))*(VLOOKUP($A118,SatSunCurve,6))*(INDEX(DailyScalarsTable,CV$5/100,MONTH($A118)))*$E118</f>
        <v>-1501.3649971099414</v>
      </c>
      <c r="CW118" s="1021">
        <f>(VLOOKUP(YEAR($A118),'NY East Load Projections'!$A$4:$EO$14,((MONTH($A118)-1)*12)+VLOOKUP(CW$4,$DE$6:$DF$17,2)+1))*(VLOOKUP($A118,SatSunCurve,6))*(INDEX(DailyScalarsTable,CW$5/100,MONTH($A118)))*$E118</f>
        <v>-1300.8078054701061</v>
      </c>
      <c r="CX118" s="1021">
        <f>(VLOOKUP(YEAR($A118),'NY East Load Projections'!$A$4:$EO$14,((MONTH($A118)-1)*12)+VLOOKUP(CX$4,$DE$6:$DF$17,2)+1))*(VLOOKUP($A118,SatSunCurve,6))*(INDEX(DailyScalarsTable,CX$5/100,MONTH($A118)))*$E118</f>
        <v>-1297.4822397924054</v>
      </c>
      <c r="CY118" s="1021">
        <f>(VLOOKUP(YEAR($A118),'NY East Load Projections'!$A$4:$EO$14,((MONTH($A118)-1)*12)+VLOOKUP(CY$4,$DE$6:$DF$17,2)+1))*(VLOOKUP($A118,SatSunCurve,6))*(INDEX(DailyScalarsTable,CY$5/100,MONTH($A118)))*$E118</f>
        <v>-1646.1125999775411</v>
      </c>
      <c r="CZ118" s="1021">
        <f>(VLOOKUP(YEAR($A118),'NY East Load Projections'!$A$4:$EO$14,((MONTH($A118)-1)*12)+VLOOKUP(CZ$4,$DE$6:$DF$17,2)+1))*(VLOOKUP($A118,SatSunCurve,6))*(INDEX(DailyScalarsTable,CZ$5/100,MONTH($A118)))*$E118</f>
        <v>-1570.0848328355062</v>
      </c>
      <c r="DA118" s="1021">
        <f>(VLOOKUP(YEAR($A118),'NY East Load Projections'!$A$4:$EO$14,((MONTH($A118)-1)*12)+VLOOKUP(DA$4,$DE$6:$DF$17,2)+1))*(VLOOKUP($A118,SatSunCurve,6))*(INDEX(DailyScalarsTable,DA$5/100,MONTH($A118)))*$E118</f>
        <v>-1259.5349305680415</v>
      </c>
      <c r="DB118" s="1021">
        <f>(VLOOKUP(YEAR($A118),'NY East Load Projections'!$A$4:$EO$14,((MONTH($A118)-1)*12)+VLOOKUP(DB$4,$DE$6:$DF$17,2)+1))*(VLOOKUP($A118,CURVES!$D$9:$T$261,6))*(INDEX(DailyScalarsTable,DB$5/100,MONTH($A118)))*$E118</f>
        <v>-1872.0354258594041</v>
      </c>
      <c r="DH118" s="1021">
        <f t="shared" si="2"/>
        <v>-1615013.5861692042</v>
      </c>
      <c r="DI118">
        <f ca="1">CALC!J138</f>
        <v>0.47215406433957591</v>
      </c>
      <c r="DJ118" s="1029">
        <f t="shared" ca="1" si="3"/>
        <v>-762535.22867342364</v>
      </c>
    </row>
    <row r="119" spans="1:114" x14ac:dyDescent="0.25">
      <c r="A119" s="244">
        <v>40330</v>
      </c>
      <c r="B119" s="13">
        <v>22</v>
      </c>
      <c r="C119" s="210">
        <v>4</v>
      </c>
      <c r="D119" s="210">
        <v>4</v>
      </c>
      <c r="E119" s="210">
        <v>0</v>
      </c>
      <c r="F119" s="13">
        <v>30</v>
      </c>
      <c r="H119" s="1021">
        <f>(VLOOKUP(YEAR($A119),'NY East Load Projections'!$A$4:$EO$14,((MONTH($A119)-1)*12)+VLOOKUP(H$4,$DE$6:$DF$17,2)+1))*(VLOOKUP($A119,CURVES!$D$9:$K$261,6))*(INDEX(DailyScalarsTable,H$5/100,MONTH($A119)))*$B119</f>
        <v>-36150.922144492644</v>
      </c>
      <c r="I119" s="1021">
        <f>(VLOOKUP(YEAR($A119),'NY East Load Projections'!$A$4:$EO$14,((MONTH($A119)-1)*12)+VLOOKUP(I$4,$DE$6:$DF$17,2)+1))*(VLOOKUP($A119,CURVES!$D$9:$K$261,6))*(INDEX(DailyScalarsTable,I$5/100,MONTH($A119)))*$B119</f>
        <v>-29951.506266117911</v>
      </c>
      <c r="J119" s="1021">
        <f>(VLOOKUP(YEAR($A119),'NY East Load Projections'!$A$4:$EO$14,((MONTH($A119)-1)*12)+VLOOKUP(J$4,$DE$6:$DF$17,2)+1))*(VLOOKUP($A119,CURVES!$D$9:$K$261,6))*(INDEX(DailyScalarsTable,J$5/100,MONTH($A119)))*$B119</f>
        <v>-25177.030753817369</v>
      </c>
      <c r="K119" s="1021">
        <f>(VLOOKUP(YEAR($A119),'NY East Load Projections'!$A$4:$EO$14,((MONTH($A119)-1)*12)+VLOOKUP(K$4,$DE$6:$DF$17,2)+1))*(VLOOKUP($A119,CURVES!$D$9:$K$261,6))*(INDEX(DailyScalarsTable,K$5/100,MONTH($A119)))*$B119</f>
        <v>-23372.723147424731</v>
      </c>
      <c r="L119" s="1021">
        <f>(VLOOKUP(YEAR($A119),'NY East Load Projections'!$A$4:$EO$14,((MONTH($A119)-1)*12)+VLOOKUP(L$4,$DE$6:$DF$17,2)+1))*(VLOOKUP($A119,CURVES!$D$9:$K$261,6))*(INDEX(DailyScalarsTable,L$5/100,MONTH($A119)))*$B119</f>
        <v>-27004.915756027302</v>
      </c>
      <c r="M119" s="1021">
        <f>(VLOOKUP(YEAR($A119),'NY East Load Projections'!$A$4:$EO$14,((MONTH($A119)-1)*12)+VLOOKUP(M$4,$DE$6:$DF$17,2)+1))*(VLOOKUP($A119,CURVES!$D$9:$K$261,6))*(INDEX(DailyScalarsTable,M$5/100,MONTH($A119)))*$B119</f>
        <v>-32947.968384087319</v>
      </c>
      <c r="N119" s="1021">
        <f>(VLOOKUP(YEAR($A119),'NY East Load Projections'!$A$4:$EO$14,((MONTH($A119)-1)*12)+VLOOKUP(N$4,$DE$6:$DF$17,2)+1))*(VLOOKUP($A119,CURVES!$D$9:$K$261,6))*(INDEX(DailyScalarsTable,N$5/100,MONTH($A119)))*$B119</f>
        <v>-37777.314632427973</v>
      </c>
      <c r="O119" s="1021">
        <f>(VLOOKUP(YEAR($A119),'NY East Load Projections'!$A$4:$EO$14,((MONTH($A119)-1)*12)+VLOOKUP(O$4,$DE$6:$DF$17,2)+1))*(VLOOKUP($A119,CURVES!$D$9:$K$261,2))*(INDEX(DailyScalarsTable,O$5/100,MONTH($A119)))*$B119</f>
        <v>-59660.927733602359</v>
      </c>
      <c r="P119" s="1021">
        <f>(VLOOKUP(YEAR($A119),'NY East Load Projections'!$A$4:$EO$14,((MONTH($A119)-1)*12)+VLOOKUP(P$4,$DE$6:$DF$17,2)+1))*(VLOOKUP($A119,CURVES!$D$9:$K$261,2))*(INDEX(DailyScalarsTable,P$5/100,MONTH($A119)))*$B119</f>
        <v>-74933.309599626111</v>
      </c>
      <c r="Q119" s="1021">
        <f>(VLOOKUP(YEAR($A119),'NY East Load Projections'!$A$4:$EO$14,((MONTH($A119)-1)*12)+VLOOKUP(Q$4,$DE$6:$DF$17,2)+1))*(VLOOKUP($A119,CURVES!$D$9:$K$261,2))*(INDEX(DailyScalarsTable,Q$5/100,MONTH($A119)))*$B119</f>
        <v>-83812.348563578271</v>
      </c>
      <c r="R119" s="1021">
        <f>(VLOOKUP(YEAR($A119),'NY East Load Projections'!$A$4:$EO$14,((MONTH($A119)-1)*12)+VLOOKUP(R$4,$DE$6:$DF$17,2)+1))*(VLOOKUP($A119,CURVES!$D$9:$K$261,2))*(INDEX(DailyScalarsTable,R$5/100,MONTH($A119)))*$B119</f>
        <v>-96408.499993208679</v>
      </c>
      <c r="S119" s="1021">
        <f>(VLOOKUP(YEAR($A119),'NY East Load Projections'!$A$4:$EO$14,((MONTH($A119)-1)*12)+VLOOKUP(S$4,$DE$6:$DF$17,2)+1))*(VLOOKUP($A119,CURVES!$D$9:$K$261,2))*(INDEX(DailyScalarsTable,S$5/100,MONTH($A119)))*$B119</f>
        <v>-103974.0716548011</v>
      </c>
      <c r="T119" s="1021">
        <f>(VLOOKUP(YEAR($A119),'NY East Load Projections'!$A$4:$EO$14,((MONTH($A119)-1)*12)+VLOOKUP(T$4,$DE$6:$DF$17,2)+1))*(VLOOKUP($A119,CURVES!$D$9:$K$261,2))*(INDEX(DailyScalarsTable,T$5/100,MONTH($A119)))*$B119</f>
        <v>-108702.90645804162</v>
      </c>
      <c r="U119" s="1021">
        <f>(VLOOKUP(YEAR($A119),'NY East Load Projections'!$A$4:$EO$14,((MONTH($A119)-1)*12)+VLOOKUP(U$4,$DE$6:$DF$17,2)+1))*(VLOOKUP($A119,CURVES!$D$9:$K$261,2))*(INDEX(DailyScalarsTable,U$5/100,MONTH($A119)))*$B119</f>
        <v>-120212.78143068377</v>
      </c>
      <c r="V119" s="1021">
        <f>(VLOOKUP(YEAR($A119),'NY East Load Projections'!$A$4:$EO$14,((MONTH($A119)-1)*12)+VLOOKUP(V$4,$DE$6:$DF$17,2)+1))*(VLOOKUP($A119,CURVES!$D$9:$K$261,2))*(INDEX(DailyScalarsTable,V$5/100,MONTH($A119)))*$B119</f>
        <v>-121137.80008520151</v>
      </c>
      <c r="W119" s="1021">
        <f>(VLOOKUP(YEAR($A119),'NY East Load Projections'!$A$4:$EO$14,((MONTH($A119)-1)*12)+VLOOKUP(W$4,$DE$6:$DF$17,2)+1))*(VLOOKUP($A119,CURVES!$D$9:$K$261,2))*(INDEX(DailyScalarsTable,W$5/100,MONTH($A119)))*$B119</f>
        <v>-121336.01836831242</v>
      </c>
      <c r="X119" s="1021">
        <f>(VLOOKUP(YEAR($A119),'NY East Load Projections'!$A$4:$EO$14,((MONTH($A119)-1)*12)+VLOOKUP(X$4,$DE$6:$DF$17,2)+1))*(VLOOKUP($A119,CURVES!$D$9:$K$261,2))*(INDEX(DailyScalarsTable,X$5/100,MONTH($A119)))*$B119</f>
        <v>-118439.83300458186</v>
      </c>
      <c r="Y119" s="1021">
        <f>(VLOOKUP(YEAR($A119),'NY East Load Projections'!$A$4:$EO$14,((MONTH($A119)-1)*12)+VLOOKUP(Y$4,$DE$6:$DF$17,2)+1))*(VLOOKUP($A119,CURVES!$D$9:$K$261,2))*(INDEX(DailyScalarsTable,Y$5/100,MONTH($A119)))*$B119</f>
        <v>-114923.82895975608</v>
      </c>
      <c r="Z119" s="1021">
        <f>(VLOOKUP(YEAR($A119),'NY East Load Projections'!$A$4:$EO$14,((MONTH($A119)-1)*12)+VLOOKUP(Z$4,$DE$6:$DF$17,2)+1))*(VLOOKUP($A119,CURVES!$D$9:$K$261,2))*(INDEX(DailyScalarsTable,Z$5/100,MONTH($A119)))*$B119</f>
        <v>-98130.784370209221</v>
      </c>
      <c r="AA119" s="1021">
        <f>(VLOOKUP(YEAR($A119),'NY East Load Projections'!$A$4:$EO$14,((MONTH($A119)-1)*12)+VLOOKUP(AA$4,$DE$6:$DF$17,2)+1))*(VLOOKUP($A119,CURVES!$D$9:$K$261,2))*(INDEX(DailyScalarsTable,AA$5/100,MONTH($A119)))*$B119</f>
        <v>-78469.086661057241</v>
      </c>
      <c r="AB119" s="1021">
        <f>(VLOOKUP(YEAR($A119),'NY East Load Projections'!$A$4:$EO$14,((MONTH($A119)-1)*12)+VLOOKUP(AB$4,$DE$6:$DF$17,2)+1))*(VLOOKUP($A119,CURVES!$D$9:$K$261,2))*(INDEX(DailyScalarsTable,AB$5/100,MONTH($A119)))*$B119</f>
        <v>-79801.321597848597</v>
      </c>
      <c r="AC119" s="1021">
        <f>(VLOOKUP(YEAR($A119),'NY East Load Projections'!$A$4:$EO$14,((MONTH($A119)-1)*12)+VLOOKUP(AC$4,$DE$6:$DF$17,2)+1))*(VLOOKUP($A119,CURVES!$D$9:$K$261,2))*(INDEX(DailyScalarsTable,AC$5/100,MONTH($A119)))*$B119</f>
        <v>-81309.920562261657</v>
      </c>
      <c r="AD119" s="1021">
        <f>(VLOOKUP(YEAR($A119),'NY East Load Projections'!$A$4:$EO$14,((MONTH($A119)-1)*12)+VLOOKUP(AD$4,$DE$6:$DF$17,2)+1))*(VLOOKUP($A119,CURVES!$D$9:$K$261,2))*(INDEX(DailyScalarsTable,AD$5/100,MONTH($A119)))*$B119</f>
        <v>-65202.359965851596</v>
      </c>
      <c r="AE119" s="1021">
        <f>(VLOOKUP(YEAR($A119),'NY East Load Projections'!$A$4:$EO$14,((MONTH($A119)-1)*12)+VLOOKUP(AE$4,$DE$6:$DF$17,2)+1))*(VLOOKUP($A119,CURVES!$D$9:$K$261,6))*(INDEX(DailyScalarsTable,AE$5/100,MONTH($A119)))*$B119</f>
        <v>-44902.394045686793</v>
      </c>
      <c r="AF119" s="1021"/>
      <c r="AG119" s="1021">
        <f>(VLOOKUP(YEAR($A119),'NY East Load Projections'!$A$4:$EO$14,((MONTH($A119)-1)*12)+VLOOKUP(AG$4,$DE$6:$DF$17,2)+1))*(VLOOKUP($A119,CURVES!$D$9:$T$261,6))*(INDEX(DailyScalarsTable,AG$5/100,MONTH($A119)))*$C119</f>
        <v>-6643.9309053639863</v>
      </c>
      <c r="AH119" s="1021">
        <f>(VLOOKUP(YEAR($A119),'NY East Load Projections'!$A$4:$EO$14,((MONTH($A119)-1)*12)+VLOOKUP(AH$4,$DE$6:$DF$17,2)+1))*(VLOOKUP($A119,CURVES!$D$9:$T$261,6))*(INDEX(DailyScalarsTable,AH$5/100,MONTH($A119)))*$C119</f>
        <v>-5504.5826313445668</v>
      </c>
      <c r="AI119" s="1021">
        <f>(VLOOKUP(YEAR($A119),'NY East Load Projections'!$A$4:$EO$14,((MONTH($A119)-1)*12)+VLOOKUP(AI$4,$DE$6:$DF$17,2)+1))*(VLOOKUP($A119,CURVES!$D$9:$T$261,6))*(INDEX(DailyScalarsTable,AI$5/100,MONTH($A119)))*$C119</f>
        <v>-4627.1144083684167</v>
      </c>
      <c r="AJ119" s="1021">
        <f>(VLOOKUP(YEAR($A119),'NY East Load Projections'!$A$4:$EO$14,((MONTH($A119)-1)*12)+VLOOKUP(AJ$4,$DE$6:$DF$17,2)+1))*(VLOOKUP($A119,CURVES!$D$9:$T$261,6))*(INDEX(DailyScalarsTable,AJ$5/100,MONTH($A119)))*$C119</f>
        <v>-4295.5130450344068</v>
      </c>
      <c r="AK119" s="1021">
        <f>(VLOOKUP(YEAR($A119),'NY East Load Projections'!$A$4:$EO$14,((MONTH($A119)-1)*12)+VLOOKUP(AK$4,$DE$6:$DF$17,2)+1))*(VLOOKUP($A119,CURVES!$D$9:$T$261,6))*(INDEX(DailyScalarsTable,AK$5/100,MONTH($A119)))*$C119</f>
        <v>-4699.8204761080633</v>
      </c>
      <c r="AL119" s="1021">
        <f>(VLOOKUP(YEAR($A119),'NY East Load Projections'!$A$4:$EO$14,((MONTH($A119)-1)*12)+VLOOKUP(AL$4,$DE$6:$DF$17,2)+1))*(VLOOKUP($A119,CURVES!$D$9:$T$261,6))*(INDEX(DailyScalarsTable,AL$5/100,MONTH($A119)))*$C119</f>
        <v>-5734.1240334413333</v>
      </c>
      <c r="AM119" s="1021">
        <f>(VLOOKUP(YEAR($A119),'NY East Load Projections'!$A$4:$EO$14,((MONTH($A119)-1)*12)+VLOOKUP(AM$4,$DE$6:$DF$17,2)+1))*(VLOOKUP($A119,CURVES!$D$9:$T$261,6))*(INDEX(DailyScalarsTable,AM$5/100,MONTH($A119)))*$C119</f>
        <v>-6574.6028777088331</v>
      </c>
      <c r="AN119" s="1021">
        <f>(VLOOKUP(YEAR($A119),'NY East Load Projections'!$A$4:$EO$14,((MONTH($A119)-1)*12)+VLOOKUP(AN$4,$DE$6:$DF$17,2)+1))*(VLOOKUP($A119,SatSunCurve,2))*(INDEX(DailyScalarsTable,AN$5/100,MONTH($A119)))*$C119</f>
        <v>-5089.4951869845263</v>
      </c>
      <c r="AO119" s="1021">
        <f>(VLOOKUP(YEAR($A119),'NY East Load Projections'!$A$4:$EO$14,((MONTH($A119)-1)*12)+VLOOKUP(AO$4,$DE$6:$DF$17,2)+1))*(VLOOKUP($A119,SatSunCurve,2))*(INDEX(DailyScalarsTable,AO$5/100,MONTH($A119)))*$C119</f>
        <v>-6334.488782006063</v>
      </c>
      <c r="AP119" s="1021">
        <f>(VLOOKUP(YEAR($A119),'NY East Load Projections'!$A$4:$EO$14,((MONTH($A119)-1)*12)+VLOOKUP(AP$4,$DE$6:$DF$17,2)+1))*(VLOOKUP($A119,SatSunCurve,2))*(INDEX(DailyScalarsTable,AP$5/100,MONTH($A119)))*$C119</f>
        <v>-7085.0785132306182</v>
      </c>
      <c r="AQ119" s="1021">
        <f>(VLOOKUP(YEAR($A119),'NY East Load Projections'!$A$4:$EO$14,((MONTH($A119)-1)*12)+VLOOKUP(AQ$4,$DE$6:$DF$17,2)+1))*(VLOOKUP($A119,SatSunCurve,2))*(INDEX(DailyScalarsTable,AQ$5/100,MONTH($A119)))*$C119</f>
        <v>-8149.8944189175263</v>
      </c>
      <c r="AR119" s="1021">
        <f>(VLOOKUP(YEAR($A119),'NY East Load Projections'!$A$4:$EO$14,((MONTH($A119)-1)*12)+VLOOKUP(AR$4,$DE$6:$DF$17,2)+1))*(VLOOKUP($A119,SatSunCurve,2))*(INDEX(DailyScalarsTable,AR$5/100,MONTH($A119)))*$C119</f>
        <v>-8789.4501662331277</v>
      </c>
      <c r="AS119" s="1021">
        <f>(VLOOKUP(YEAR($A119),'NY East Load Projections'!$A$4:$EO$14,((MONTH($A119)-1)*12)+VLOOKUP(AS$4,$DE$6:$DF$17,2)+1))*(VLOOKUP($A119,SatSunCurve,2))*(INDEX(DailyScalarsTable,AS$5/100,MONTH($A119)))*$C119</f>
        <v>-9169.440269827257</v>
      </c>
      <c r="AT119" s="1021">
        <f>(VLOOKUP(YEAR($A119),'NY East Load Projections'!$A$4:$EO$14,((MONTH($A119)-1)*12)+VLOOKUP(AT$4,$DE$6:$DF$17,2)+1))*(VLOOKUP($A119,SatSunCurve,2))*(INDEX(DailyScalarsTable,AT$5/100,MONTH($A119)))*$C119</f>
        <v>-10140.335294750614</v>
      </c>
      <c r="AU119" s="1021">
        <f>(VLOOKUP(YEAR($A119),'NY East Load Projections'!$A$4:$EO$14,((MONTH($A119)-1)*12)+VLOOKUP(AU$4,$DE$6:$DF$17,2)+1))*(VLOOKUP($A119,SatSunCurve,2))*(INDEX(DailyScalarsTable,AU$5/100,MONTH($A119)))*$C119</f>
        <v>-10218.363597557314</v>
      </c>
      <c r="AV119" s="1021">
        <f>(VLOOKUP(YEAR($A119),'NY East Load Projections'!$A$4:$EO$14,((MONTH($A119)-1)*12)+VLOOKUP(AV$4,$DE$6:$DF$17,2)+1))*(VLOOKUP($A119,SatSunCurve,2))*(INDEX(DailyScalarsTable,AV$5/100,MONTH($A119)))*$C119</f>
        <v>-10235.083948158748</v>
      </c>
      <c r="AW119" s="1021">
        <f>(VLOOKUP(YEAR($A119),'NY East Load Projections'!$A$4:$EO$14,((MONTH($A119)-1)*12)+VLOOKUP(AW$4,$DE$6:$DF$17,2)+1))*(VLOOKUP($A119,SatSunCurve,2))*(INDEX(DailyScalarsTable,AW$5/100,MONTH($A119)))*$C119</f>
        <v>-10118.007136988927</v>
      </c>
      <c r="AX119" s="1021">
        <f>(VLOOKUP(YEAR($A119),'NY East Load Projections'!$A$4:$EO$14,((MONTH($A119)-1)*12)+VLOOKUP(AX$4,$DE$6:$DF$17,2)+1))*(VLOOKUP($A119,SatSunCurve,2))*(INDEX(DailyScalarsTable,AX$5/100,MONTH($A119)))*$C119</f>
        <v>-9817.6440486869287</v>
      </c>
      <c r="AY119" s="1021">
        <f>(VLOOKUP(YEAR($A119),'NY East Load Projections'!$A$4:$EO$14,((MONTH($A119)-1)*12)+VLOOKUP(AY$4,$DE$6:$DF$17,2)+1))*(VLOOKUP($A119,SatSunCurve,2))*(INDEX(DailyScalarsTable,AY$5/100,MONTH($A119)))*$C119</f>
        <v>-8383.0578904791964</v>
      </c>
      <c r="AZ119" s="1021">
        <f>(VLOOKUP(YEAR($A119),'NY East Load Projections'!$A$4:$EO$14,((MONTH($A119)-1)*12)+VLOOKUP(AZ$4,$DE$6:$DF$17,2)+1))*(VLOOKUP($A119,SatSunCurve,2))*(INDEX(DailyScalarsTable,AZ$5/100,MONTH($A119)))*$C119</f>
        <v>-6703.410151201967</v>
      </c>
      <c r="BA119" s="1021">
        <f>(VLOOKUP(YEAR($A119),'NY East Load Projections'!$A$4:$EO$14,((MONTH($A119)-1)*12)+VLOOKUP(BA$4,$DE$6:$DF$17,2)+1))*(VLOOKUP($A119,SatSunCurve,2))*(INDEX(DailyScalarsTable,BA$5/100,MONTH($A119)))*$C119</f>
        <v>-7075.0957650345144</v>
      </c>
      <c r="BB119" s="1021">
        <f>(VLOOKUP(YEAR($A119),'NY East Load Projections'!$A$4:$EO$14,((MONTH($A119)-1)*12)+VLOOKUP(BB$4,$DE$6:$DF$17,2)+1))*(VLOOKUP($A119,SatSunCurve,2))*(INDEX(DailyScalarsTable,BB$5/100,MONTH($A119)))*$C119</f>
        <v>-7208.846459014776</v>
      </c>
      <c r="BC119" s="1021">
        <f>(VLOOKUP(YEAR($A119),'NY East Load Projections'!$A$4:$EO$14,((MONTH($A119)-1)*12)+VLOOKUP(BC$4,$DE$6:$DF$17,2)+1))*(VLOOKUP($A119,SatSunCurve,2))*(INDEX(DailyScalarsTable,BC$5/100,MONTH($A119)))*$C119</f>
        <v>-5780.7681831310592</v>
      </c>
      <c r="BD119" s="1021">
        <f>(VLOOKUP(YEAR($A119),'NY East Load Projections'!$A$4:$EO$14,((MONTH($A119)-1)*12)+VLOOKUP(BD$4,$DE$6:$DF$17,2)+1))*(VLOOKUP($A119,CURVES!$D$9:$T$261,6))*(INDEX(DailyScalarsTable,BD$5/100,MONTH($A119)))*$C119</f>
        <v>-8121.6724871328752</v>
      </c>
      <c r="BE119" s="1021"/>
      <c r="BF119" s="1021">
        <f>(VLOOKUP(YEAR($A119),'NY East Load Projections'!$A$4:$EO$14,((MONTH($A119)-1)*12)+VLOOKUP(BF$4,$DE$6:$DF$17,2)+1))*(VLOOKUP($A119,CURVES!$D$9:$T$261,6))*(INDEX(DailyScalarsTable,BF$5/100,MONTH($A119)))*$D119</f>
        <v>-6643.9309053639863</v>
      </c>
      <c r="BG119" s="1021">
        <f>(VLOOKUP(YEAR($A119),'NY East Load Projections'!$A$4:$EO$14,((MONTH($A119)-1)*12)+VLOOKUP(BG$4,$DE$6:$DF$17,2)+1))*(VLOOKUP($A119,CURVES!$D$9:$T$261,6))*(INDEX(DailyScalarsTable,BG$5/100,MONTH($A119)))*$D119</f>
        <v>-5504.5826313445668</v>
      </c>
      <c r="BH119" s="1021">
        <f>(VLOOKUP(YEAR($A119),'NY East Load Projections'!$A$4:$EO$14,((MONTH($A119)-1)*12)+VLOOKUP(BH$4,$DE$6:$DF$17,2)+1))*(VLOOKUP($A119,CURVES!$D$9:$T$261,6))*(INDEX(DailyScalarsTable,BH$5/100,MONTH($A119)))*$D119</f>
        <v>-4627.1144083684167</v>
      </c>
      <c r="BI119" s="1021">
        <f>(VLOOKUP(YEAR($A119),'NY East Load Projections'!$A$4:$EO$14,((MONTH($A119)-1)*12)+VLOOKUP(BI$4,$DE$6:$DF$17,2)+1))*(VLOOKUP($A119,CURVES!$D$9:$T$261,6))*(INDEX(DailyScalarsTable,BI$5/100,MONTH($A119)))*$D119</f>
        <v>-4295.5130450344068</v>
      </c>
      <c r="BJ119" s="1021">
        <f>(VLOOKUP(YEAR($A119),'NY East Load Projections'!$A$4:$EO$14,((MONTH($A119)-1)*12)+VLOOKUP(BJ$4,$DE$6:$DF$17,2)+1))*(VLOOKUP($A119,CURVES!$D$9:$T$261,6))*(INDEX(DailyScalarsTable,BJ$5/100,MONTH($A119)))*$D119</f>
        <v>-4699.8204761080633</v>
      </c>
      <c r="BK119" s="1021">
        <f>(VLOOKUP(YEAR($A119),'NY East Load Projections'!$A$4:$EO$14,((MONTH($A119)-1)*12)+VLOOKUP(BK$4,$DE$6:$DF$17,2)+1))*(VLOOKUP($A119,CURVES!$D$9:$T$261,6))*(INDEX(DailyScalarsTable,BK$5/100,MONTH($A119)))*$D119</f>
        <v>-5734.1240334413333</v>
      </c>
      <c r="BL119" s="1021">
        <f>(VLOOKUP(YEAR($A119),'NY East Load Projections'!$A$4:$EO$14,((MONTH($A119)-1)*12)+VLOOKUP(BL$4,$DE$6:$DF$17,2)+1))*(VLOOKUP($A119,CURVES!$D$9:$T$261,6))*(INDEX(DailyScalarsTable,BL$5/100,MONTH($A119)))*$D119</f>
        <v>-6574.6028777088331</v>
      </c>
      <c r="BM119" s="1021">
        <f>(VLOOKUP(YEAR($A119),'NY East Load Projections'!$A$4:$EO$14,((MONTH($A119)-1)*12)+VLOOKUP(BM$4,$DE$6:$DF$17,2)+1))*(VLOOKUP($A119,SatSunCurve,6))*(INDEX(DailyScalarsTable,BM$5/100,MONTH($A119)))*$D119</f>
        <v>-3828.1191225571138</v>
      </c>
      <c r="BN119" s="1021">
        <f>(VLOOKUP(YEAR($A119),'NY East Load Projections'!$A$4:$EO$14,((MONTH($A119)-1)*12)+VLOOKUP(BN$4,$DE$6:$DF$17,2)+1))*(VLOOKUP($A119,SatSunCurve,6))*(INDEX(DailyScalarsTable,BN$5/100,MONTH($A119)))*$D119</f>
        <v>-4764.5545868741292</v>
      </c>
      <c r="BO119" s="1021">
        <f>(VLOOKUP(YEAR($A119),'NY East Load Projections'!$A$4:$EO$14,((MONTH($A119)-1)*12)+VLOOKUP(BO$4,$DE$6:$DF$17,2)+1))*(VLOOKUP($A119,SatSunCurve,6))*(INDEX(DailyScalarsTable,BO$5/100,MONTH($A119)))*$D119</f>
        <v>-5329.1188113661365</v>
      </c>
      <c r="BP119" s="1021">
        <f>(VLOOKUP(YEAR($A119),'NY East Load Projections'!$A$4:$EO$14,((MONTH($A119)-1)*12)+VLOOKUP(BP$4,$DE$6:$DF$17,2)+1))*(VLOOKUP($A119,SatSunCurve,6))*(INDEX(DailyScalarsTable,BP$5/100,MONTH($A119)))*$D119</f>
        <v>-6130.0316683008059</v>
      </c>
      <c r="BQ119" s="1021">
        <f>(VLOOKUP(YEAR($A119),'NY East Load Projections'!$A$4:$EO$14,((MONTH($A119)-1)*12)+VLOOKUP(BQ$4,$DE$6:$DF$17,2)+1))*(VLOOKUP($A119,SatSunCurve,6))*(INDEX(DailyScalarsTable,BQ$5/100,MONTH($A119)))*$D119</f>
        <v>-6611.0804749685549</v>
      </c>
      <c r="BR119" s="1021">
        <f>(VLOOKUP(YEAR($A119),'NY East Load Projections'!$A$4:$EO$14,((MONTH($A119)-1)*12)+VLOOKUP(BR$4,$DE$6:$DF$17,2)+1))*(VLOOKUP($A119,SatSunCurve,6))*(INDEX(DailyScalarsTable,BR$5/100,MONTH($A119)))*$D119</f>
        <v>-6896.8941614950982</v>
      </c>
      <c r="BS119" s="1021">
        <f>(VLOOKUP(YEAR($A119),'NY East Load Projections'!$A$4:$EO$14,((MONTH($A119)-1)*12)+VLOOKUP(BS$4,$DE$6:$DF$17,2)+1))*(VLOOKUP($A119,SatSunCurve,6))*(INDEX(DailyScalarsTable,BS$5/100,MONTH($A119)))*$D119</f>
        <v>-7627.1634071384524</v>
      </c>
      <c r="BT119" s="1021">
        <f>(VLOOKUP(YEAR($A119),'NY East Load Projections'!$A$4:$EO$14,((MONTH($A119)-1)*12)+VLOOKUP(BT$4,$DE$6:$DF$17,2)+1))*(VLOOKUP($A119,SatSunCurve,6))*(INDEX(DailyScalarsTable,BT$5/100,MONTH($A119)))*$D119</f>
        <v>-7685.85324318327</v>
      </c>
      <c r="BU119" s="1021">
        <f>(VLOOKUP(YEAR($A119),'NY East Load Projections'!$A$4:$EO$14,((MONTH($A119)-1)*12)+VLOOKUP(BU$4,$DE$6:$DF$17,2)+1))*(VLOOKUP($A119,SatSunCurve,6))*(INDEX(DailyScalarsTable,BU$5/100,MONTH($A119)))*$D119</f>
        <v>-7698.4296366214421</v>
      </c>
      <c r="BV119" s="1021">
        <f>(VLOOKUP(YEAR($A119),'NY East Load Projections'!$A$4:$EO$14,((MONTH($A119)-1)*12)+VLOOKUP(BV$4,$DE$6:$DF$17,2)+1))*(VLOOKUP($A119,SatSunCurve,6))*(INDEX(DailyScalarsTable,BV$5/100,MONTH($A119)))*$D119</f>
        <v>-7610.3690405935004</v>
      </c>
      <c r="BW119" s="1021">
        <f>(VLOOKUP(YEAR($A119),'NY East Load Projections'!$A$4:$EO$14,((MONTH($A119)-1)*12)+VLOOKUP(BW$4,$DE$6:$DF$17,2)+1))*(VLOOKUP($A119,SatSunCurve,6))*(INDEX(DailyScalarsTable,BW$5/100,MONTH($A119)))*$D119</f>
        <v>-7384.447679084079</v>
      </c>
      <c r="BX119" s="1021">
        <f>(VLOOKUP(YEAR($A119),'NY East Load Projections'!$A$4:$EO$14,((MONTH($A119)-1)*12)+VLOOKUP(BX$4,$DE$6:$DF$17,2)+1))*(VLOOKUP($A119,SatSunCurve,6))*(INDEX(DailyScalarsTable,BX$5/100,MONTH($A119)))*$D119</f>
        <v>-6305.4081076871016</v>
      </c>
      <c r="BY119" s="1021">
        <f>(VLOOKUP(YEAR($A119),'NY East Load Projections'!$A$4:$EO$14,((MONTH($A119)-1)*12)+VLOOKUP(BY$4,$DE$6:$DF$17,2)+1))*(VLOOKUP($A119,SatSunCurve,6))*(INDEX(DailyScalarsTable,BY$5/100,MONTH($A119)))*$D119</f>
        <v>-5042.0428045170966</v>
      </c>
      <c r="BZ119" s="1021">
        <f>(VLOOKUP(YEAR($A119),'NY East Load Projections'!$A$4:$EO$14,((MONTH($A119)-1)*12)+VLOOKUP(BZ$4,$DE$6:$DF$17,2)+1))*(VLOOKUP($A119,SatSunCurve,6))*(INDEX(DailyScalarsTable,BZ$5/100,MONTH($A119)))*$D119</f>
        <v>-5321.6101788080587</v>
      </c>
      <c r="CA119" s="1021">
        <f>(VLOOKUP(YEAR($A119),'NY East Load Projections'!$A$4:$EO$14,((MONTH($A119)-1)*12)+VLOOKUP(CA$4,$DE$6:$DF$17,2)+1))*(VLOOKUP($A119,SatSunCurve,6))*(INDEX(DailyScalarsTable,CA$5/100,MONTH($A119)))*$D119</f>
        <v>-5422.212217020121</v>
      </c>
      <c r="CB119" s="1021">
        <f>(VLOOKUP(YEAR($A119),'NY East Load Projections'!$A$4:$EO$14,((MONTH($A119)-1)*12)+VLOOKUP(CB$4,$DE$6:$DF$17,2)+1))*(VLOOKUP($A119,SatSunCurve,6))*(INDEX(DailyScalarsTable,CB$5/100,MONTH($A119)))*$D119</f>
        <v>-4348.0676200472517</v>
      </c>
      <c r="CC119" s="1021">
        <f>(VLOOKUP(YEAR($A119),'NY East Load Projections'!$A$4:$EO$14,((MONTH($A119)-1)*12)+VLOOKUP(CC$4,$DE$6:$DF$17,2)+1))*(VLOOKUP($A119,CURVES!$D$9:$T$261,6))*(INDEX(DailyScalarsTable,CC$5/100,MONTH($A119)))*$D119</f>
        <v>-8121.6724871328752</v>
      </c>
      <c r="CE119" s="1021">
        <f>(VLOOKUP(YEAR($A119),'NY East Load Projections'!$A$4:$EO$14,((MONTH($A119)-1)*12)+VLOOKUP(CE$4,$DE$6:$DF$17,2)+1))*(VLOOKUP($A119,CURVES!$D$9:$T$261,6))*(INDEX(DailyScalarsTable,CE$5/100,MONTH($A119)))*$E119</f>
        <v>0</v>
      </c>
      <c r="CF119" s="1021">
        <f>(VLOOKUP(YEAR($A119),'NY East Load Projections'!$A$4:$EO$14,((MONTH($A119)-1)*12)+VLOOKUP(CF$4,$DE$6:$DF$17,2)+1))*(VLOOKUP($A119,CURVES!$D$9:$T$261,6))*(INDEX(DailyScalarsTable,CF$5/100,MONTH($A119)))*$E119</f>
        <v>0</v>
      </c>
      <c r="CG119" s="1021">
        <f>(VLOOKUP(YEAR($A119),'NY East Load Projections'!$A$4:$EO$14,((MONTH($A119)-1)*12)+VLOOKUP(CG$4,$DE$6:$DF$17,2)+1))*(VLOOKUP($A119,CURVES!$D$9:$T$261,6))*(INDEX(DailyScalarsTable,CG$5/100,MONTH($A119)))*$E119</f>
        <v>0</v>
      </c>
      <c r="CH119" s="1021">
        <f>(VLOOKUP(YEAR($A119),'NY East Load Projections'!$A$4:$EO$14,((MONTH($A119)-1)*12)+VLOOKUP(CH$4,$DE$6:$DF$17,2)+1))*(VLOOKUP($A119,CURVES!$D$9:$T$261,6))*(INDEX(DailyScalarsTable,CH$5/100,MONTH($A119)))*$E119</f>
        <v>0</v>
      </c>
      <c r="CI119" s="1021">
        <f>(VLOOKUP(YEAR($A119),'NY East Load Projections'!$A$4:$EO$14,((MONTH($A119)-1)*12)+VLOOKUP(CI$4,$DE$6:$DF$17,2)+1))*(VLOOKUP($A119,CURVES!$D$9:$T$261,6))*(INDEX(DailyScalarsTable,CI$5/100,MONTH($A119)))*$E119</f>
        <v>0</v>
      </c>
      <c r="CJ119" s="1021">
        <f>(VLOOKUP(YEAR($A119),'NY East Load Projections'!$A$4:$EO$14,((MONTH($A119)-1)*12)+VLOOKUP(CJ$4,$DE$6:$DF$17,2)+1))*(VLOOKUP($A119,CURVES!$D$9:$T$261,6))*(INDEX(DailyScalarsTable,CJ$5/100,MONTH($A119)))*$E119</f>
        <v>0</v>
      </c>
      <c r="CK119" s="1021">
        <f>(VLOOKUP(YEAR($A119),'NY East Load Projections'!$A$4:$EO$14,((MONTH($A119)-1)*12)+VLOOKUP(CK$4,$DE$6:$DF$17,2)+1))*(VLOOKUP($A119,CURVES!$D$9:$T$261,6))*(INDEX(DailyScalarsTable,CK$5/100,MONTH($A119)))*$E119</f>
        <v>0</v>
      </c>
      <c r="CL119" s="1021">
        <f>(VLOOKUP(YEAR($A119),'NY East Load Projections'!$A$4:$EO$14,((MONTH($A119)-1)*12)+VLOOKUP(CL$4,$DE$6:$DF$17,2)+1))*(VLOOKUP($A119,SatSunCurve,6))*(INDEX(DailyScalarsTable,CL$5/100,MONTH($A119)))*$E119</f>
        <v>0</v>
      </c>
      <c r="CM119" s="1021">
        <f>(VLOOKUP(YEAR($A119),'NY East Load Projections'!$A$4:$EO$14,((MONTH($A119)-1)*12)+VLOOKUP(CM$4,$DE$6:$DF$17,2)+1))*(VLOOKUP($A119,SatSunCurve,6))*(INDEX(DailyScalarsTable,CM$5/100,MONTH($A119)))*$E119</f>
        <v>0</v>
      </c>
      <c r="CN119" s="1021">
        <f>(VLOOKUP(YEAR($A119),'NY East Load Projections'!$A$4:$EO$14,((MONTH($A119)-1)*12)+VLOOKUP(CN$4,$DE$6:$DF$17,2)+1))*(VLOOKUP($A119,SatSunCurve,6))*(INDEX(DailyScalarsTable,CN$5/100,MONTH($A119)))*$E119</f>
        <v>0</v>
      </c>
      <c r="CO119" s="1021">
        <f>(VLOOKUP(YEAR($A119),'NY East Load Projections'!$A$4:$EO$14,((MONTH($A119)-1)*12)+VLOOKUP(CO$4,$DE$6:$DF$17,2)+1))*(VLOOKUP($A119,SatSunCurve,6))*(INDEX(DailyScalarsTable,CO$5/100,MONTH($A119)))*$E119</f>
        <v>0</v>
      </c>
      <c r="CP119" s="1021">
        <f>(VLOOKUP(YEAR($A119),'NY East Load Projections'!$A$4:$EO$14,((MONTH($A119)-1)*12)+VLOOKUP(CP$4,$DE$6:$DF$17,2)+1))*(VLOOKUP($A119,SatSunCurve,6))*(INDEX(DailyScalarsTable,CP$5/100,MONTH($A119)))*$E119</f>
        <v>0</v>
      </c>
      <c r="CQ119" s="1021">
        <f>(VLOOKUP(YEAR($A119),'NY East Load Projections'!$A$4:$EO$14,((MONTH($A119)-1)*12)+VLOOKUP(CQ$4,$DE$6:$DF$17,2)+1))*(VLOOKUP($A119,SatSunCurve,6))*(INDEX(DailyScalarsTable,CQ$5/100,MONTH($A119)))*$E119</f>
        <v>0</v>
      </c>
      <c r="CR119" s="1021">
        <f>(VLOOKUP(YEAR($A119),'NY East Load Projections'!$A$4:$EO$14,((MONTH($A119)-1)*12)+VLOOKUP(CR$4,$DE$6:$DF$17,2)+1))*(VLOOKUP($A119,SatSunCurve,6))*(INDEX(DailyScalarsTable,CR$5/100,MONTH($A119)))*$E119</f>
        <v>0</v>
      </c>
      <c r="CS119" s="1021">
        <f>(VLOOKUP(YEAR($A119),'NY East Load Projections'!$A$4:$EO$14,((MONTH($A119)-1)*12)+VLOOKUP(CS$4,$DE$6:$DF$17,2)+1))*(VLOOKUP($A119,SatSunCurve,6))*(INDEX(DailyScalarsTable,CS$5/100,MONTH($A119)))*$E119</f>
        <v>0</v>
      </c>
      <c r="CT119" s="1021">
        <f>(VLOOKUP(YEAR($A119),'NY East Load Projections'!$A$4:$EO$14,((MONTH($A119)-1)*12)+VLOOKUP(CT$4,$DE$6:$DF$17,2)+1))*(VLOOKUP($A119,SatSunCurve,6))*(INDEX(DailyScalarsTable,CT$5/100,MONTH($A119)))*$E119</f>
        <v>0</v>
      </c>
      <c r="CU119" s="1021">
        <f>(VLOOKUP(YEAR($A119),'NY East Load Projections'!$A$4:$EO$14,((MONTH($A119)-1)*12)+VLOOKUP(CU$4,$DE$6:$DF$17,2)+1))*(VLOOKUP($A119,SatSunCurve,6))*(INDEX(DailyScalarsTable,CU$5/100,MONTH($A119)))*$E119</f>
        <v>0</v>
      </c>
      <c r="CV119" s="1021">
        <f>(VLOOKUP(YEAR($A119),'NY East Load Projections'!$A$4:$EO$14,((MONTH($A119)-1)*12)+VLOOKUP(CV$4,$DE$6:$DF$17,2)+1))*(VLOOKUP($A119,SatSunCurve,6))*(INDEX(DailyScalarsTable,CV$5/100,MONTH($A119)))*$E119</f>
        <v>0</v>
      </c>
      <c r="CW119" s="1021">
        <f>(VLOOKUP(YEAR($A119),'NY East Load Projections'!$A$4:$EO$14,((MONTH($A119)-1)*12)+VLOOKUP(CW$4,$DE$6:$DF$17,2)+1))*(VLOOKUP($A119,SatSunCurve,6))*(INDEX(DailyScalarsTable,CW$5/100,MONTH($A119)))*$E119</f>
        <v>0</v>
      </c>
      <c r="CX119" s="1021">
        <f>(VLOOKUP(YEAR($A119),'NY East Load Projections'!$A$4:$EO$14,((MONTH($A119)-1)*12)+VLOOKUP(CX$4,$DE$6:$DF$17,2)+1))*(VLOOKUP($A119,SatSunCurve,6))*(INDEX(DailyScalarsTable,CX$5/100,MONTH($A119)))*$E119</f>
        <v>0</v>
      </c>
      <c r="CY119" s="1021">
        <f>(VLOOKUP(YEAR($A119),'NY East Load Projections'!$A$4:$EO$14,((MONTH($A119)-1)*12)+VLOOKUP(CY$4,$DE$6:$DF$17,2)+1))*(VLOOKUP($A119,SatSunCurve,6))*(INDEX(DailyScalarsTable,CY$5/100,MONTH($A119)))*$E119</f>
        <v>0</v>
      </c>
      <c r="CZ119" s="1021">
        <f>(VLOOKUP(YEAR($A119),'NY East Load Projections'!$A$4:$EO$14,((MONTH($A119)-1)*12)+VLOOKUP(CZ$4,$DE$6:$DF$17,2)+1))*(VLOOKUP($A119,SatSunCurve,6))*(INDEX(DailyScalarsTable,CZ$5/100,MONTH($A119)))*$E119</f>
        <v>0</v>
      </c>
      <c r="DA119" s="1021">
        <f>(VLOOKUP(YEAR($A119),'NY East Load Projections'!$A$4:$EO$14,((MONTH($A119)-1)*12)+VLOOKUP(DA$4,$DE$6:$DF$17,2)+1))*(VLOOKUP($A119,SatSunCurve,6))*(INDEX(DailyScalarsTable,DA$5/100,MONTH($A119)))*$E119</f>
        <v>0</v>
      </c>
      <c r="DB119" s="1021">
        <f>(VLOOKUP(YEAR($A119),'NY East Load Projections'!$A$4:$EO$14,((MONTH($A119)-1)*12)+VLOOKUP(DB$4,$DE$6:$DF$17,2)+1))*(VLOOKUP($A119,CURVES!$D$9:$T$261,6))*(INDEX(DailyScalarsTable,DB$5/100,MONTH($A119)))*$E119</f>
        <v>0</v>
      </c>
      <c r="DH119" s="1021">
        <f t="shared" si="2"/>
        <v>-2104447.1584401741</v>
      </c>
      <c r="DI119">
        <f ca="1">CALC!J139</f>
        <v>0.46933830490401512</v>
      </c>
      <c r="DJ119" s="1029">
        <f t="shared" ca="1" si="3"/>
        <v>-987697.66210238263</v>
      </c>
    </row>
    <row r="120" spans="1:114" x14ac:dyDescent="0.25">
      <c r="A120" s="244">
        <v>40360</v>
      </c>
      <c r="B120" s="13">
        <v>21</v>
      </c>
      <c r="C120" s="210">
        <v>5</v>
      </c>
      <c r="D120" s="210">
        <v>4</v>
      </c>
      <c r="E120" s="210">
        <v>1</v>
      </c>
      <c r="F120" s="13">
        <v>31</v>
      </c>
      <c r="H120" s="1021">
        <f>(VLOOKUP(YEAR($A120),'NY East Load Projections'!$A$4:$EO$14,((MONTH($A120)-1)*12)+VLOOKUP(H$4,$DE$6:$DF$17,2)+1))*(VLOOKUP($A120,CURVES!$D$9:$K$261,6))*(INDEX(DailyScalarsTable,H$5/100,MONTH($A120)))*$B120</f>
        <v>-45526.360797444984</v>
      </c>
      <c r="I120" s="1021">
        <f>(VLOOKUP(YEAR($A120),'NY East Load Projections'!$A$4:$EO$14,((MONTH($A120)-1)*12)+VLOOKUP(I$4,$DE$6:$DF$17,2)+1))*(VLOOKUP($A120,CURVES!$D$9:$K$261,6))*(INDEX(DailyScalarsTable,I$5/100,MONTH($A120)))*$B120</f>
        <v>-41585.299344127452</v>
      </c>
      <c r="J120" s="1021">
        <f>(VLOOKUP(YEAR($A120),'NY East Load Projections'!$A$4:$EO$14,((MONTH($A120)-1)*12)+VLOOKUP(J$4,$DE$6:$DF$17,2)+1))*(VLOOKUP($A120,CURVES!$D$9:$K$261,6))*(INDEX(DailyScalarsTable,J$5/100,MONTH($A120)))*$B120</f>
        <v>-39623.644882003202</v>
      </c>
      <c r="K120" s="1021">
        <f>(VLOOKUP(YEAR($A120),'NY East Load Projections'!$A$4:$EO$14,((MONTH($A120)-1)*12)+VLOOKUP(K$4,$DE$6:$DF$17,2)+1))*(VLOOKUP($A120,CURVES!$D$9:$K$261,6))*(INDEX(DailyScalarsTable,K$5/100,MONTH($A120)))*$B120</f>
        <v>-35682.58342868567</v>
      </c>
      <c r="L120" s="1021">
        <f>(VLOOKUP(YEAR($A120),'NY East Load Projections'!$A$4:$EO$14,((MONTH($A120)-1)*12)+VLOOKUP(L$4,$DE$6:$DF$17,2)+1))*(VLOOKUP($A120,CURVES!$D$9:$K$261,6))*(INDEX(DailyScalarsTable,L$5/100,MONTH($A120)))*$B120</f>
        <v>-35936.211442993481</v>
      </c>
      <c r="M120" s="1021">
        <f>(VLOOKUP(YEAR($A120),'NY East Load Projections'!$A$4:$EO$14,((MONTH($A120)-1)*12)+VLOOKUP(M$4,$DE$6:$DF$17,2)+1))*(VLOOKUP($A120,CURVES!$D$9:$K$261,6))*(INDEX(DailyScalarsTable,M$5/100,MONTH($A120)))*$B120</f>
        <v>-39618.354701434357</v>
      </c>
      <c r="N120" s="1021">
        <f>(VLOOKUP(YEAR($A120),'NY East Load Projections'!$A$4:$EO$14,((MONTH($A120)-1)*12)+VLOOKUP(N$4,$DE$6:$DF$17,2)+1))*(VLOOKUP($A120,CURVES!$D$9:$K$261,6))*(INDEX(DailyScalarsTable,N$5/100,MONTH($A120)))*$B120</f>
        <v>-43997.374177585298</v>
      </c>
      <c r="O120" s="1021">
        <f>(VLOOKUP(YEAR($A120),'NY East Load Projections'!$A$4:$EO$14,((MONTH($A120)-1)*12)+VLOOKUP(O$4,$DE$6:$DF$17,2)+1))*(VLOOKUP($A120,CURVES!$D$9:$K$261,2))*(INDEX(DailyScalarsTable,O$5/100,MONTH($A120)))*$B120</f>
        <v>-82716.143035334055</v>
      </c>
      <c r="P120" s="1021">
        <f>(VLOOKUP(YEAR($A120),'NY East Load Projections'!$A$4:$EO$14,((MONTH($A120)-1)*12)+VLOOKUP(P$4,$DE$6:$DF$17,2)+1))*(VLOOKUP($A120,CURVES!$D$9:$K$261,2))*(INDEX(DailyScalarsTable,P$5/100,MONTH($A120)))*$B120</f>
        <v>-97756.771781417876</v>
      </c>
      <c r="Q120" s="1021">
        <f>(VLOOKUP(YEAR($A120),'NY East Load Projections'!$A$4:$EO$14,((MONTH($A120)-1)*12)+VLOOKUP(Q$4,$DE$6:$DF$17,2)+1))*(VLOOKUP($A120,CURVES!$D$9:$K$261,2))*(INDEX(DailyScalarsTable,Q$5/100,MONTH($A120)))*$B120</f>
        <v>-117041.65411682756</v>
      </c>
      <c r="R120" s="1021">
        <f>(VLOOKUP(YEAR($A120),'NY East Load Projections'!$A$4:$EO$14,((MONTH($A120)-1)*12)+VLOOKUP(R$4,$DE$6:$DF$17,2)+1))*(VLOOKUP($A120,CURVES!$D$9:$K$261,2))*(INDEX(DailyScalarsTable,R$5/100,MONTH($A120)))*$B120</f>
        <v>-133181.06775223097</v>
      </c>
      <c r="S120" s="1021">
        <f>(VLOOKUP(YEAR($A120),'NY East Load Projections'!$A$4:$EO$14,((MONTH($A120)-1)*12)+VLOOKUP(S$4,$DE$6:$DF$17,2)+1))*(VLOOKUP($A120,CURVES!$D$9:$K$261,2))*(INDEX(DailyScalarsTable,S$5/100,MONTH($A120)))*$B120</f>
        <v>-159223.90030774154</v>
      </c>
      <c r="T120" s="1021">
        <f>(VLOOKUP(YEAR($A120),'NY East Load Projections'!$A$4:$EO$14,((MONTH($A120)-1)*12)+VLOOKUP(T$4,$DE$6:$DF$17,2)+1))*(VLOOKUP($A120,CURVES!$D$9:$K$261,2))*(INDEX(DailyScalarsTable,T$5/100,MONTH($A120)))*$B120</f>
        <v>-175983.14689578023</v>
      </c>
      <c r="U120" s="1021">
        <f>(VLOOKUP(YEAR($A120),'NY East Load Projections'!$A$4:$EO$14,((MONTH($A120)-1)*12)+VLOOKUP(U$4,$DE$6:$DF$17,2)+1))*(VLOOKUP($A120,CURVES!$D$9:$K$261,2))*(INDEX(DailyScalarsTable,U$5/100,MONTH($A120)))*$B120</f>
        <v>-181906.18643594816</v>
      </c>
      <c r="V120" s="1021">
        <f>(VLOOKUP(YEAR($A120),'NY East Load Projections'!$A$4:$EO$14,((MONTH($A120)-1)*12)+VLOOKUP(V$4,$DE$6:$DF$17,2)+1))*(VLOOKUP($A120,CURVES!$D$9:$K$261,2))*(INDEX(DailyScalarsTable,V$5/100,MONTH($A120)))*$B120</f>
        <v>-189482.16724313967</v>
      </c>
      <c r="W120" s="1021">
        <f>(VLOOKUP(YEAR($A120),'NY East Load Projections'!$A$4:$EO$14,((MONTH($A120)-1)*12)+VLOOKUP(W$4,$DE$6:$DF$17,2)+1))*(VLOOKUP($A120,CURVES!$D$9:$K$261,2))*(INDEX(DailyScalarsTable,W$5/100,MONTH($A120)))*$B120</f>
        <v>-201094.07964398057</v>
      </c>
      <c r="X120" s="1021">
        <f>(VLOOKUP(YEAR($A120),'NY East Load Projections'!$A$4:$EO$14,((MONTH($A120)-1)*12)+VLOOKUP(X$4,$DE$6:$DF$17,2)+1))*(VLOOKUP($A120,CURVES!$D$9:$K$261,2))*(INDEX(DailyScalarsTable,X$5/100,MONTH($A120)))*$B120</f>
        <v>-197965.87525679375</v>
      </c>
      <c r="Y120" s="1021">
        <f>(VLOOKUP(YEAR($A120),'NY East Load Projections'!$A$4:$EO$14,((MONTH($A120)-1)*12)+VLOOKUP(Y$4,$DE$6:$DF$17,2)+1))*(VLOOKUP($A120,CURVES!$D$9:$K$261,2))*(INDEX(DailyScalarsTable,Y$5/100,MONTH($A120)))*$B120</f>
        <v>-193060.26730771328</v>
      </c>
      <c r="Z120" s="1021">
        <f>(VLOOKUP(YEAR($A120),'NY East Load Projections'!$A$4:$EO$14,((MONTH($A120)-1)*12)+VLOOKUP(Z$4,$DE$6:$DF$17,2)+1))*(VLOOKUP($A120,CURVES!$D$9:$K$261,2))*(INDEX(DailyScalarsTable,Z$5/100,MONTH($A120)))*$B120</f>
        <v>-161246.93445635962</v>
      </c>
      <c r="AA120" s="1021">
        <f>(VLOOKUP(YEAR($A120),'NY East Load Projections'!$A$4:$EO$14,((MONTH($A120)-1)*12)+VLOOKUP(AA$4,$DE$6:$DF$17,2)+1))*(VLOOKUP($A120,CURVES!$D$9:$K$261,2))*(INDEX(DailyScalarsTable,AA$5/100,MONTH($A120)))*$B120</f>
        <v>-119316.6161056829</v>
      </c>
      <c r="AB120" s="1021">
        <f>(VLOOKUP(YEAR($A120),'NY East Load Projections'!$A$4:$EO$14,((MONTH($A120)-1)*12)+VLOOKUP(AB$4,$DE$6:$DF$17,2)+1))*(VLOOKUP($A120,CURVES!$D$9:$K$261,2))*(INDEX(DailyScalarsTable,AB$5/100,MONTH($A120)))*$B120</f>
        <v>-123046.51846719664</v>
      </c>
      <c r="AC120" s="1021">
        <f>(VLOOKUP(YEAR($A120),'NY East Load Projections'!$A$4:$EO$14,((MONTH($A120)-1)*12)+VLOOKUP(AC$4,$DE$6:$DF$17,2)+1))*(VLOOKUP($A120,CURVES!$D$9:$K$261,2))*(INDEX(DailyScalarsTable,AC$5/100,MONTH($A120)))*$B120</f>
        <v>-130384.43918167036</v>
      </c>
      <c r="AD120" s="1021">
        <f>(VLOOKUP(YEAR($A120),'NY East Load Projections'!$A$4:$EO$14,((MONTH($A120)-1)*12)+VLOOKUP(AD$4,$DE$6:$DF$17,2)+1))*(VLOOKUP($A120,CURVES!$D$9:$K$261,2))*(INDEX(DailyScalarsTable,AD$5/100,MONTH($A120)))*$B120</f>
        <v>-90546.470978429672</v>
      </c>
      <c r="AE120" s="1021">
        <f>(VLOOKUP(YEAR($A120),'NY East Load Projections'!$A$4:$EO$14,((MONTH($A120)-1)*12)+VLOOKUP(AE$4,$DE$6:$DF$17,2)+1))*(VLOOKUP($A120,CURVES!$D$9:$K$261,6))*(INDEX(DailyScalarsTable,AE$5/100,MONTH($A120)))*$B120</f>
        <v>-52803.481260563007</v>
      </c>
      <c r="AF120" s="1021"/>
      <c r="AG120" s="1021">
        <f>(VLOOKUP(YEAR($A120),'NY East Load Projections'!$A$4:$EO$14,((MONTH($A120)-1)*12)+VLOOKUP(AG$4,$DE$6:$DF$17,2)+1))*(VLOOKUP($A120,CURVES!$D$9:$T$261,6))*(INDEX(DailyScalarsTable,AG$5/100,MONTH($A120)))*$C120</f>
        <v>-10406.962569455587</v>
      </c>
      <c r="AH120" s="1021">
        <f>(VLOOKUP(YEAR($A120),'NY East Load Projections'!$A$4:$EO$14,((MONTH($A120)-1)*12)+VLOOKUP(AH$4,$DE$6:$DF$17,2)+1))*(VLOOKUP($A120,CURVES!$D$9:$T$261,6))*(INDEX(DailyScalarsTable,AH$5/100,MONTH($A120)))*$C120</f>
        <v>-9506.0673889450991</v>
      </c>
      <c r="AI120" s="1021">
        <f>(VLOOKUP(YEAR($A120),'NY East Load Projections'!$A$4:$EO$14,((MONTH($A120)-1)*12)+VLOOKUP(AI$4,$DE$6:$DF$17,2)+1))*(VLOOKUP($A120,CURVES!$D$9:$T$261,6))*(INDEX(DailyScalarsTable,AI$5/100,MONTH($A120)))*$C120</f>
        <v>-9057.6488418892059</v>
      </c>
      <c r="AJ120" s="1021">
        <f>(VLOOKUP(YEAR($A120),'NY East Load Projections'!$A$4:$EO$14,((MONTH($A120)-1)*12)+VLOOKUP(AJ$4,$DE$6:$DF$17,2)+1))*(VLOOKUP($A120,CURVES!$D$9:$T$261,6))*(INDEX(DailyScalarsTable,AJ$5/100,MONTH($A120)))*$C120</f>
        <v>-8156.753661378717</v>
      </c>
      <c r="AK120" s="1021">
        <f>(VLOOKUP(YEAR($A120),'NY East Load Projections'!$A$4:$EO$14,((MONTH($A120)-1)*12)+VLOOKUP(AK$4,$DE$6:$DF$17,2)+1))*(VLOOKUP($A120,CURVES!$D$9:$T$261,6))*(INDEX(DailyScalarsTable,AK$5/100,MONTH($A120)))*$C120</f>
        <v>-7836.4741802379822</v>
      </c>
      <c r="AL120" s="1021">
        <f>(VLOOKUP(YEAR($A120),'NY East Load Projections'!$A$4:$EO$14,((MONTH($A120)-1)*12)+VLOOKUP(AL$4,$DE$6:$DF$17,2)+1))*(VLOOKUP($A120,CURVES!$D$9:$T$261,6))*(INDEX(DailyScalarsTable,AL$5/100,MONTH($A120)))*$C120</f>
        <v>-8639.4252820390939</v>
      </c>
      <c r="AM120" s="1021">
        <f>(VLOOKUP(YEAR($A120),'NY East Load Projections'!$A$4:$EO$14,((MONTH($A120)-1)*12)+VLOOKUP(AM$4,$DE$6:$DF$17,2)+1))*(VLOOKUP($A120,CURVES!$D$9:$T$261,6))*(INDEX(DailyScalarsTable,AM$5/100,MONTH($A120)))*$C120</f>
        <v>-9594.341554002056</v>
      </c>
      <c r="AN120" s="1021">
        <f>(VLOOKUP(YEAR($A120),'NY East Load Projections'!$A$4:$EO$14,((MONTH($A120)-1)*12)+VLOOKUP(AN$4,$DE$6:$DF$17,2)+1))*(VLOOKUP($A120,SatSunCurve,2))*(INDEX(DailyScalarsTable,AN$5/100,MONTH($A120)))*$C120</f>
        <v>-9311.7519441583026</v>
      </c>
      <c r="AO120" s="1021">
        <f>(VLOOKUP(YEAR($A120),'NY East Load Projections'!$A$4:$EO$14,((MONTH($A120)-1)*12)+VLOOKUP(AO$4,$DE$6:$DF$17,2)+1))*(VLOOKUP($A120,SatSunCurve,2))*(INDEX(DailyScalarsTable,AO$5/100,MONTH($A120)))*$C120</f>
        <v>-11006.865735181162</v>
      </c>
      <c r="AP120" s="1021">
        <f>(VLOOKUP(YEAR($A120),'NY East Load Projections'!$A$4:$EO$14,((MONTH($A120)-1)*12)+VLOOKUP(AP$4,$DE$6:$DF$17,2)+1))*(VLOOKUP($A120,SatSunCurve,2))*(INDEX(DailyScalarsTable,AP$5/100,MONTH($A120)))*$C120</f>
        <v>-13178.235623082572</v>
      </c>
      <c r="AQ120" s="1021">
        <f>(VLOOKUP(YEAR($A120),'NY East Load Projections'!$A$4:$EO$14,((MONTH($A120)-1)*12)+VLOOKUP(AQ$4,$DE$6:$DF$17,2)+1))*(VLOOKUP($A120,SatSunCurve,2))*(INDEX(DailyScalarsTable,AQ$5/100,MONTH($A120)))*$C120</f>
        <v>-14995.44332841317</v>
      </c>
      <c r="AR120" s="1021">
        <f>(VLOOKUP(YEAR($A120),'NY East Load Projections'!$A$4:$EO$14,((MONTH($A120)-1)*12)+VLOOKUP(AR$4,$DE$6:$DF$17,2)+1))*(VLOOKUP($A120,SatSunCurve,2))*(INDEX(DailyScalarsTable,AR$5/100,MONTH($A120)))*$C120</f>
        <v>-17927.720612929614</v>
      </c>
      <c r="AS120" s="1021">
        <f>(VLOOKUP(YEAR($A120),'NY East Load Projections'!$A$4:$EO$14,((MONTH($A120)-1)*12)+VLOOKUP(AS$4,$DE$6:$DF$17,2)+1))*(VLOOKUP($A120,SatSunCurve,2))*(INDEX(DailyScalarsTable,AS$5/100,MONTH($A120)))*$C120</f>
        <v>-19917.904285838114</v>
      </c>
      <c r="AT120" s="1021">
        <f>(VLOOKUP(YEAR($A120),'NY East Load Projections'!$A$4:$EO$14,((MONTH($A120)-1)*12)+VLOOKUP(AT$4,$DE$6:$DF$17,2)+1))*(VLOOKUP($A120,SatSunCurve,2))*(INDEX(DailyScalarsTable,AT$5/100,MONTH($A120)))*$C120</f>
        <v>-20588.278334281316</v>
      </c>
      <c r="AU120" s="1021">
        <f>(VLOOKUP(YEAR($A120),'NY East Load Projections'!$A$4:$EO$14,((MONTH($A120)-1)*12)+VLOOKUP(AU$4,$DE$6:$DF$17,2)+1))*(VLOOKUP($A120,SatSunCurve,2))*(INDEX(DailyScalarsTable,AU$5/100,MONTH($A120)))*$C120</f>
        <v>-21445.73351252262</v>
      </c>
      <c r="AV120" s="1021">
        <f>(VLOOKUP(YEAR($A120),'NY East Load Projections'!$A$4:$EO$14,((MONTH($A120)-1)*12)+VLOOKUP(AV$4,$DE$6:$DF$17,2)+1))*(VLOOKUP($A120,SatSunCurve,2))*(INDEX(DailyScalarsTable,AV$5/100,MONTH($A120)))*$C120</f>
        <v>-22759.978449354308</v>
      </c>
      <c r="AW120" s="1021">
        <f>(VLOOKUP(YEAR($A120),'NY East Load Projections'!$A$4:$EO$14,((MONTH($A120)-1)*12)+VLOOKUP(AW$4,$DE$6:$DF$17,2)+1))*(VLOOKUP($A120,SatSunCurve,2))*(INDEX(DailyScalarsTable,AW$5/100,MONTH($A120)))*$C120</f>
        <v>-22550.031019094964</v>
      </c>
      <c r="AX120" s="1021">
        <f>(VLOOKUP(YEAR($A120),'NY East Load Projections'!$A$4:$EO$14,((MONTH($A120)-1)*12)+VLOOKUP(AX$4,$DE$6:$DF$17,2)+1))*(VLOOKUP($A120,SatSunCurve,2))*(INDEX(DailyScalarsTable,AX$5/100,MONTH($A120)))*$C120</f>
        <v>-21991.239705815395</v>
      </c>
      <c r="AY120" s="1021">
        <f>(VLOOKUP(YEAR($A120),'NY East Load Projections'!$A$4:$EO$14,((MONTH($A120)-1)*12)+VLOOKUP(AY$4,$DE$6:$DF$17,2)+1))*(VLOOKUP($A120,SatSunCurve,2))*(INDEX(DailyScalarsTable,AY$5/100,MONTH($A120)))*$C120</f>
        <v>-18367.425037311317</v>
      </c>
      <c r="AZ120" s="1021">
        <f>(VLOOKUP(YEAR($A120),'NY East Load Projections'!$A$4:$EO$14,((MONTH($A120)-1)*12)+VLOOKUP(AZ$4,$DE$6:$DF$17,2)+1))*(VLOOKUP($A120,SatSunCurve,2))*(INDEX(DailyScalarsTable,AZ$5/100,MONTH($A120)))*$C120</f>
        <v>-13591.197931393279</v>
      </c>
      <c r="BA120" s="1021">
        <f>(VLOOKUP(YEAR($A120),'NY East Load Projections'!$A$4:$EO$14,((MONTH($A120)-1)*12)+VLOOKUP(BA$4,$DE$6:$DF$17,2)+1))*(VLOOKUP($A120,SatSunCurve,2))*(INDEX(DailyScalarsTable,BA$5/100,MONTH($A120)))*$C120</f>
        <v>-14595.358824342031</v>
      </c>
      <c r="BB120" s="1021">
        <f>(VLOOKUP(YEAR($A120),'NY East Load Projections'!$A$4:$EO$14,((MONTH($A120)-1)*12)+VLOOKUP(BB$4,$DE$6:$DF$17,2)+1))*(VLOOKUP($A120,SatSunCurve,2))*(INDEX(DailyScalarsTable,BB$5/100,MONTH($A120)))*$C120</f>
        <v>-15465.757980583647</v>
      </c>
      <c r="BC120" s="1021">
        <f>(VLOOKUP(YEAR($A120),'NY East Load Projections'!$A$4:$EO$14,((MONTH($A120)-1)*12)+VLOOKUP(BC$4,$DE$6:$DF$17,2)+1))*(VLOOKUP($A120,SatSunCurve,2))*(INDEX(DailyScalarsTable,BC$5/100,MONTH($A120)))*$C120</f>
        <v>-10740.313912744892</v>
      </c>
      <c r="BD120" s="1021">
        <f>(VLOOKUP(YEAR($A120),'NY East Load Projections'!$A$4:$EO$14,((MONTH($A120)-1)*12)+VLOOKUP(BD$4,$DE$6:$DF$17,2)+1))*(VLOOKUP($A120,CURVES!$D$9:$T$261,6))*(INDEX(DailyScalarsTable,BD$5/100,MONTH($A120)))*$C120</f>
        <v>-12132.63958908263</v>
      </c>
      <c r="BE120" s="1021"/>
      <c r="BF120" s="1021">
        <f>(VLOOKUP(YEAR($A120),'NY East Load Projections'!$A$4:$EO$14,((MONTH($A120)-1)*12)+VLOOKUP(BF$4,$DE$6:$DF$17,2)+1))*(VLOOKUP($A120,CURVES!$D$9:$T$261,6))*(INDEX(DailyScalarsTable,BF$5/100,MONTH($A120)))*$D120</f>
        <v>-8325.5700555644689</v>
      </c>
      <c r="BG120" s="1021">
        <f>(VLOOKUP(YEAR($A120),'NY East Load Projections'!$A$4:$EO$14,((MONTH($A120)-1)*12)+VLOOKUP(BG$4,$DE$6:$DF$17,2)+1))*(VLOOKUP($A120,CURVES!$D$9:$T$261,6))*(INDEX(DailyScalarsTable,BG$5/100,MONTH($A120)))*$D120</f>
        <v>-7604.8539111560785</v>
      </c>
      <c r="BH120" s="1021">
        <f>(VLOOKUP(YEAR($A120),'NY East Load Projections'!$A$4:$EO$14,((MONTH($A120)-1)*12)+VLOOKUP(BH$4,$DE$6:$DF$17,2)+1))*(VLOOKUP($A120,CURVES!$D$9:$T$261,6))*(INDEX(DailyScalarsTable,BH$5/100,MONTH($A120)))*$D120</f>
        <v>-7246.1190735113641</v>
      </c>
      <c r="BI120" s="1021">
        <f>(VLOOKUP(YEAR($A120),'NY East Load Projections'!$A$4:$EO$14,((MONTH($A120)-1)*12)+VLOOKUP(BI$4,$DE$6:$DF$17,2)+1))*(VLOOKUP($A120,CURVES!$D$9:$T$261,6))*(INDEX(DailyScalarsTable,BI$5/100,MONTH($A120)))*$D120</f>
        <v>-6525.4029291029738</v>
      </c>
      <c r="BJ120" s="1021">
        <f>(VLOOKUP(YEAR($A120),'NY East Load Projections'!$A$4:$EO$14,((MONTH($A120)-1)*12)+VLOOKUP(BJ$4,$DE$6:$DF$17,2)+1))*(VLOOKUP($A120,CURVES!$D$9:$T$261,6))*(INDEX(DailyScalarsTable,BJ$5/100,MONTH($A120)))*$D120</f>
        <v>-6269.1793441903856</v>
      </c>
      <c r="BK120" s="1021">
        <f>(VLOOKUP(YEAR($A120),'NY East Load Projections'!$A$4:$EO$14,((MONTH($A120)-1)*12)+VLOOKUP(BK$4,$DE$6:$DF$17,2)+1))*(VLOOKUP($A120,CURVES!$D$9:$T$261,6))*(INDEX(DailyScalarsTable,BK$5/100,MONTH($A120)))*$D120</f>
        <v>-6911.5402256312755</v>
      </c>
      <c r="BL120" s="1021">
        <f>(VLOOKUP(YEAR($A120),'NY East Load Projections'!$A$4:$EO$14,((MONTH($A120)-1)*12)+VLOOKUP(BL$4,$DE$6:$DF$17,2)+1))*(VLOOKUP($A120,CURVES!$D$9:$T$261,6))*(INDEX(DailyScalarsTable,BL$5/100,MONTH($A120)))*$D120</f>
        <v>-7675.4732432016444</v>
      </c>
      <c r="BM120" s="1021">
        <f>(VLOOKUP(YEAR($A120),'NY East Load Projections'!$A$4:$EO$14,((MONTH($A120)-1)*12)+VLOOKUP(BM$4,$DE$6:$DF$17,2)+1))*(VLOOKUP($A120,SatSunCurve,6))*(INDEX(DailyScalarsTable,BM$5/100,MONTH($A120)))*$D120</f>
        <v>-5216.5235561198979</v>
      </c>
      <c r="BN120" s="1021">
        <f>(VLOOKUP(YEAR($A120),'NY East Load Projections'!$A$4:$EO$14,((MONTH($A120)-1)*12)+VLOOKUP(BN$4,$DE$6:$DF$17,2)+1))*(VLOOKUP($A120,SatSunCurve,6))*(INDEX(DailyScalarsTable,BN$5/100,MONTH($A120)))*$D120</f>
        <v>-6166.1408863712486</v>
      </c>
      <c r="BO120" s="1021">
        <f>(VLOOKUP(YEAR($A120),'NY East Load Projections'!$A$4:$EO$14,((MONTH($A120)-1)*12)+VLOOKUP(BO$4,$DE$6:$DF$17,2)+1))*(VLOOKUP($A120,SatSunCurve,6))*(INDEX(DailyScalarsTable,BO$5/100,MONTH($A120)))*$D120</f>
        <v>-7382.5609797343559</v>
      </c>
      <c r="BP120" s="1021">
        <f>(VLOOKUP(YEAR($A120),'NY East Load Projections'!$A$4:$EO$14,((MONTH($A120)-1)*12)+VLOOKUP(BP$4,$DE$6:$DF$17,2)+1))*(VLOOKUP($A120,SatSunCurve,6))*(INDEX(DailyScalarsTable,BP$5/100,MONTH($A120)))*$D120</f>
        <v>-8400.5763712597491</v>
      </c>
      <c r="BQ120" s="1021">
        <f>(VLOOKUP(YEAR($A120),'NY East Load Projections'!$A$4:$EO$14,((MONTH($A120)-1)*12)+VLOOKUP(BQ$4,$DE$6:$DF$17,2)+1))*(VLOOKUP($A120,SatSunCurve,6))*(INDEX(DailyScalarsTable,BQ$5/100,MONTH($A120)))*$D120</f>
        <v>-10043.263334946683</v>
      </c>
      <c r="BR120" s="1021">
        <f>(VLOOKUP(YEAR($A120),'NY East Load Projections'!$A$4:$EO$14,((MONTH($A120)-1)*12)+VLOOKUP(BR$4,$DE$6:$DF$17,2)+1))*(VLOOKUP($A120,SatSunCurve,6))*(INDEX(DailyScalarsTable,BR$5/100,MONTH($A120)))*$D120</f>
        <v>-11158.181351770083</v>
      </c>
      <c r="BS120" s="1021">
        <f>(VLOOKUP(YEAR($A120),'NY East Load Projections'!$A$4:$EO$14,((MONTH($A120)-1)*12)+VLOOKUP(BS$4,$DE$6:$DF$17,2)+1))*(VLOOKUP($A120,SatSunCurve,6))*(INDEX(DailyScalarsTable,BS$5/100,MONTH($A120)))*$D120</f>
        <v>-11533.730661511874</v>
      </c>
      <c r="BT120" s="1021">
        <f>(VLOOKUP(YEAR($A120),'NY East Load Projections'!$A$4:$EO$14,((MONTH($A120)-1)*12)+VLOOKUP(BT$4,$DE$6:$DF$17,2)+1))*(VLOOKUP($A120,SatSunCurve,6))*(INDEX(DailyScalarsTable,BT$5/100,MONTH($A120)))*$D120</f>
        <v>-12014.084429786257</v>
      </c>
      <c r="BU120" s="1021">
        <f>(VLOOKUP(YEAR($A120),'NY East Load Projections'!$A$4:$EO$14,((MONTH($A120)-1)*12)+VLOOKUP(BU$4,$DE$6:$DF$17,2)+1))*(VLOOKUP($A120,SatSunCurve,6))*(INDEX(DailyScalarsTable,BU$5/100,MONTH($A120)))*$D120</f>
        <v>-12750.335750977727</v>
      </c>
      <c r="BV120" s="1021">
        <f>(VLOOKUP(YEAR($A120),'NY East Load Projections'!$A$4:$EO$14,((MONTH($A120)-1)*12)+VLOOKUP(BV$4,$DE$6:$DF$17,2)+1))*(VLOOKUP($A120,SatSunCurve,6))*(INDEX(DailyScalarsTable,BV$5/100,MONTH($A120)))*$D120</f>
        <v>-12632.721394188318</v>
      </c>
      <c r="BW120" s="1021">
        <f>(VLOOKUP(YEAR($A120),'NY East Load Projections'!$A$4:$EO$14,((MONTH($A120)-1)*12)+VLOOKUP(BW$4,$DE$6:$DF$17,2)+1))*(VLOOKUP($A120,SatSunCurve,6))*(INDEX(DailyScalarsTable,BW$5/100,MONTH($A120)))*$D120</f>
        <v>-12319.681692727334</v>
      </c>
      <c r="BX120" s="1021">
        <f>(VLOOKUP(YEAR($A120),'NY East Load Projections'!$A$4:$EO$14,((MONTH($A120)-1)*12)+VLOOKUP(BX$4,$DE$6:$DF$17,2)+1))*(VLOOKUP($A120,SatSunCurve,6))*(INDEX(DailyScalarsTable,BX$5/100,MONTH($A120)))*$D120</f>
        <v>-10289.589536640258</v>
      </c>
      <c r="BY120" s="1021">
        <f>(VLOOKUP(YEAR($A120),'NY East Load Projections'!$A$4:$EO$14,((MONTH($A120)-1)*12)+VLOOKUP(BY$4,$DE$6:$DF$17,2)+1))*(VLOOKUP($A120,SatSunCurve,6))*(INDEX(DailyScalarsTable,BY$5/100,MONTH($A120)))*$D120</f>
        <v>-7613.9060179195594</v>
      </c>
      <c r="BZ120" s="1021">
        <f>(VLOOKUP(YEAR($A120),'NY East Load Projections'!$A$4:$EO$14,((MONTH($A120)-1)*12)+VLOOKUP(BZ$4,$DE$6:$DF$17,2)+1))*(VLOOKUP($A120,SatSunCurve,6))*(INDEX(DailyScalarsTable,BZ$5/100,MONTH($A120)))*$D120</f>
        <v>-8176.4455898083652</v>
      </c>
      <c r="CA120" s="1021">
        <f>(VLOOKUP(YEAR($A120),'NY East Load Projections'!$A$4:$EO$14,((MONTH($A120)-1)*12)+VLOOKUP(CA$4,$DE$6:$DF$17,2)+1))*(VLOOKUP($A120,SatSunCurve,6))*(INDEX(DailyScalarsTable,CA$5/100,MONTH($A120)))*$D120</f>
        <v>-8664.0506859266861</v>
      </c>
      <c r="CB120" s="1021">
        <f>(VLOOKUP(YEAR($A120),'NY East Load Projections'!$A$4:$EO$14,((MONTH($A120)-1)*12)+VLOOKUP(CB$4,$DE$6:$DF$17,2)+1))*(VLOOKUP($A120,SatSunCurve,6))*(INDEX(DailyScalarsTable,CB$5/100,MONTH($A120)))*$D120</f>
        <v>-6016.8162620681078</v>
      </c>
      <c r="CC120" s="1021">
        <f>(VLOOKUP(YEAR($A120),'NY East Load Projections'!$A$4:$EO$14,((MONTH($A120)-1)*12)+VLOOKUP(CC$4,$DE$6:$DF$17,2)+1))*(VLOOKUP($A120,CURVES!$D$9:$T$261,6))*(INDEX(DailyScalarsTable,CC$5/100,MONTH($A120)))*$D120</f>
        <v>-9706.1116712661042</v>
      </c>
      <c r="CE120" s="1021">
        <f>(VLOOKUP(YEAR($A120),'NY East Load Projections'!$A$4:$EO$14,((MONTH($A120)-1)*12)+VLOOKUP(CE$4,$DE$6:$DF$17,2)+1))*(VLOOKUP($A120,CURVES!$D$9:$T$261,6))*(INDEX(DailyScalarsTable,CE$5/100,MONTH($A120)))*$E120</f>
        <v>-2081.3925138911172</v>
      </c>
      <c r="CF120" s="1021">
        <f>(VLOOKUP(YEAR($A120),'NY East Load Projections'!$A$4:$EO$14,((MONTH($A120)-1)*12)+VLOOKUP(CF$4,$DE$6:$DF$17,2)+1))*(VLOOKUP($A120,CURVES!$D$9:$T$261,6))*(INDEX(DailyScalarsTable,CF$5/100,MONTH($A120)))*$E120</f>
        <v>-1901.2134777890196</v>
      </c>
      <c r="CG120" s="1021">
        <f>(VLOOKUP(YEAR($A120),'NY East Load Projections'!$A$4:$EO$14,((MONTH($A120)-1)*12)+VLOOKUP(CG$4,$DE$6:$DF$17,2)+1))*(VLOOKUP($A120,CURVES!$D$9:$T$261,6))*(INDEX(DailyScalarsTable,CG$5/100,MONTH($A120)))*$E120</f>
        <v>-1811.529768377841</v>
      </c>
      <c r="CH120" s="1021">
        <f>(VLOOKUP(YEAR($A120),'NY East Load Projections'!$A$4:$EO$14,((MONTH($A120)-1)*12)+VLOOKUP(CH$4,$DE$6:$DF$17,2)+1))*(VLOOKUP($A120,CURVES!$D$9:$T$261,6))*(INDEX(DailyScalarsTable,CH$5/100,MONTH($A120)))*$E120</f>
        <v>-1631.3507322757434</v>
      </c>
      <c r="CI120" s="1021">
        <f>(VLOOKUP(YEAR($A120),'NY East Load Projections'!$A$4:$EO$14,((MONTH($A120)-1)*12)+VLOOKUP(CI$4,$DE$6:$DF$17,2)+1))*(VLOOKUP($A120,CURVES!$D$9:$T$261,6))*(INDEX(DailyScalarsTable,CI$5/100,MONTH($A120)))*$E120</f>
        <v>-1567.2948360475964</v>
      </c>
      <c r="CJ120" s="1021">
        <f>(VLOOKUP(YEAR($A120),'NY East Load Projections'!$A$4:$EO$14,((MONTH($A120)-1)*12)+VLOOKUP(CJ$4,$DE$6:$DF$17,2)+1))*(VLOOKUP($A120,CURVES!$D$9:$T$261,6))*(INDEX(DailyScalarsTable,CJ$5/100,MONTH($A120)))*$E120</f>
        <v>-1727.8850564078189</v>
      </c>
      <c r="CK120" s="1021">
        <f>(VLOOKUP(YEAR($A120),'NY East Load Projections'!$A$4:$EO$14,((MONTH($A120)-1)*12)+VLOOKUP(CK$4,$DE$6:$DF$17,2)+1))*(VLOOKUP($A120,CURVES!$D$9:$T$261,6))*(INDEX(DailyScalarsTable,CK$5/100,MONTH($A120)))*$E120</f>
        <v>-1918.8683108004111</v>
      </c>
      <c r="CL120" s="1021">
        <f>(VLOOKUP(YEAR($A120),'NY East Load Projections'!$A$4:$EO$14,((MONTH($A120)-1)*12)+VLOOKUP(CL$4,$DE$6:$DF$17,2)+1))*(VLOOKUP($A120,SatSunCurve,6))*(INDEX(DailyScalarsTable,CL$5/100,MONTH($A120)))*$E120</f>
        <v>-1304.1308890299745</v>
      </c>
      <c r="CM120" s="1021">
        <f>(VLOOKUP(YEAR($A120),'NY East Load Projections'!$A$4:$EO$14,((MONTH($A120)-1)*12)+VLOOKUP(CM$4,$DE$6:$DF$17,2)+1))*(VLOOKUP($A120,SatSunCurve,6))*(INDEX(DailyScalarsTable,CM$5/100,MONTH($A120)))*$E120</f>
        <v>-1541.5352215928121</v>
      </c>
      <c r="CN120" s="1021">
        <f>(VLOOKUP(YEAR($A120),'NY East Load Projections'!$A$4:$EO$14,((MONTH($A120)-1)*12)+VLOOKUP(CN$4,$DE$6:$DF$17,2)+1))*(VLOOKUP($A120,SatSunCurve,6))*(INDEX(DailyScalarsTable,CN$5/100,MONTH($A120)))*$E120</f>
        <v>-1845.640244933589</v>
      </c>
      <c r="CO120" s="1021">
        <f>(VLOOKUP(YEAR($A120),'NY East Load Projections'!$A$4:$EO$14,((MONTH($A120)-1)*12)+VLOOKUP(CO$4,$DE$6:$DF$17,2)+1))*(VLOOKUP($A120,SatSunCurve,6))*(INDEX(DailyScalarsTable,CO$5/100,MONTH($A120)))*$E120</f>
        <v>-2100.1440928149373</v>
      </c>
      <c r="CP120" s="1021">
        <f>(VLOOKUP(YEAR($A120),'NY East Load Projections'!$A$4:$EO$14,((MONTH($A120)-1)*12)+VLOOKUP(CP$4,$DE$6:$DF$17,2)+1))*(VLOOKUP($A120,SatSunCurve,6))*(INDEX(DailyScalarsTable,CP$5/100,MONTH($A120)))*$E120</f>
        <v>-2510.8158337366708</v>
      </c>
      <c r="CQ120" s="1021">
        <f>(VLOOKUP(YEAR($A120),'NY East Load Projections'!$A$4:$EO$14,((MONTH($A120)-1)*12)+VLOOKUP(CQ$4,$DE$6:$DF$17,2)+1))*(VLOOKUP($A120,SatSunCurve,6))*(INDEX(DailyScalarsTable,CQ$5/100,MONTH($A120)))*$E120</f>
        <v>-2789.5453379425207</v>
      </c>
      <c r="CR120" s="1021">
        <f>(VLOOKUP(YEAR($A120),'NY East Load Projections'!$A$4:$EO$14,((MONTH($A120)-1)*12)+VLOOKUP(CR$4,$DE$6:$DF$17,2)+1))*(VLOOKUP($A120,SatSunCurve,6))*(INDEX(DailyScalarsTable,CR$5/100,MONTH($A120)))*$E120</f>
        <v>-2883.4326653779685</v>
      </c>
      <c r="CS120" s="1021">
        <f>(VLOOKUP(YEAR($A120),'NY East Load Projections'!$A$4:$EO$14,((MONTH($A120)-1)*12)+VLOOKUP(CS$4,$DE$6:$DF$17,2)+1))*(VLOOKUP($A120,SatSunCurve,6))*(INDEX(DailyScalarsTable,CS$5/100,MONTH($A120)))*$E120</f>
        <v>-3003.5211074465642</v>
      </c>
      <c r="CT120" s="1021">
        <f>(VLOOKUP(YEAR($A120),'NY East Load Projections'!$A$4:$EO$14,((MONTH($A120)-1)*12)+VLOOKUP(CT$4,$DE$6:$DF$17,2)+1))*(VLOOKUP($A120,SatSunCurve,6))*(INDEX(DailyScalarsTable,CT$5/100,MONTH($A120)))*$E120</f>
        <v>-3187.5839377444318</v>
      </c>
      <c r="CU120" s="1021">
        <f>(VLOOKUP(YEAR($A120),'NY East Load Projections'!$A$4:$EO$14,((MONTH($A120)-1)*12)+VLOOKUP(CU$4,$DE$6:$DF$17,2)+1))*(VLOOKUP($A120,SatSunCurve,6))*(INDEX(DailyScalarsTable,CU$5/100,MONTH($A120)))*$E120</f>
        <v>-3158.1803485470796</v>
      </c>
      <c r="CV120" s="1021">
        <f>(VLOOKUP(YEAR($A120),'NY East Load Projections'!$A$4:$EO$14,((MONTH($A120)-1)*12)+VLOOKUP(CV$4,$DE$6:$DF$17,2)+1))*(VLOOKUP($A120,SatSunCurve,6))*(INDEX(DailyScalarsTable,CV$5/100,MONTH($A120)))*$E120</f>
        <v>-3079.9204231818335</v>
      </c>
      <c r="CW120" s="1021">
        <f>(VLOOKUP(YEAR($A120),'NY East Load Projections'!$A$4:$EO$14,((MONTH($A120)-1)*12)+VLOOKUP(CW$4,$DE$6:$DF$17,2)+1))*(VLOOKUP($A120,SatSunCurve,6))*(INDEX(DailyScalarsTable,CW$5/100,MONTH($A120)))*$E120</f>
        <v>-2572.3973841600646</v>
      </c>
      <c r="CX120" s="1021">
        <f>(VLOOKUP(YEAR($A120),'NY East Load Projections'!$A$4:$EO$14,((MONTH($A120)-1)*12)+VLOOKUP(CX$4,$DE$6:$DF$17,2)+1))*(VLOOKUP($A120,SatSunCurve,6))*(INDEX(DailyScalarsTable,CX$5/100,MONTH($A120)))*$E120</f>
        <v>-1903.4765044798899</v>
      </c>
      <c r="CY120" s="1021">
        <f>(VLOOKUP(YEAR($A120),'NY East Load Projections'!$A$4:$EO$14,((MONTH($A120)-1)*12)+VLOOKUP(CY$4,$DE$6:$DF$17,2)+1))*(VLOOKUP($A120,SatSunCurve,6))*(INDEX(DailyScalarsTable,CY$5/100,MONTH($A120)))*$E120</f>
        <v>-2044.1113974520913</v>
      </c>
      <c r="CZ120" s="1021">
        <f>(VLOOKUP(YEAR($A120),'NY East Load Projections'!$A$4:$EO$14,((MONTH($A120)-1)*12)+VLOOKUP(CZ$4,$DE$6:$DF$17,2)+1))*(VLOOKUP($A120,SatSunCurve,6))*(INDEX(DailyScalarsTable,CZ$5/100,MONTH($A120)))*$E120</f>
        <v>-2166.0126714816715</v>
      </c>
      <c r="DA120" s="1021">
        <f>(VLOOKUP(YEAR($A120),'NY East Load Projections'!$A$4:$EO$14,((MONTH($A120)-1)*12)+VLOOKUP(DA$4,$DE$6:$DF$17,2)+1))*(VLOOKUP($A120,SatSunCurve,6))*(INDEX(DailyScalarsTable,DA$5/100,MONTH($A120)))*$E120</f>
        <v>-1504.2040655170269</v>
      </c>
      <c r="DB120" s="1021">
        <f>(VLOOKUP(YEAR($A120),'NY East Load Projections'!$A$4:$EO$14,((MONTH($A120)-1)*12)+VLOOKUP(DB$4,$DE$6:$DF$17,2)+1))*(VLOOKUP($A120,CURVES!$D$9:$T$261,6))*(INDEX(DailyScalarsTable,DB$5/100,MONTH($A120)))*$E120</f>
        <v>-2426.527917816526</v>
      </c>
      <c r="DH120" s="1021">
        <f t="shared" si="2"/>
        <v>-3295792.6719993865</v>
      </c>
      <c r="DI120">
        <f ca="1">CALC!J140</f>
        <v>0.46644625865360617</v>
      </c>
      <c r="DJ120" s="1029">
        <f t="shared" ca="1" si="3"/>
        <v>-1537310.1611520858</v>
      </c>
    </row>
    <row r="121" spans="1:114" x14ac:dyDescent="0.25">
      <c r="A121" s="244">
        <v>40391</v>
      </c>
      <c r="B121" s="13">
        <v>22</v>
      </c>
      <c r="C121" s="210">
        <v>4</v>
      </c>
      <c r="D121" s="210">
        <v>5</v>
      </c>
      <c r="E121" s="210">
        <v>0</v>
      </c>
      <c r="F121" s="13">
        <v>31</v>
      </c>
      <c r="H121" s="1021">
        <f>(VLOOKUP(YEAR($A121),'NY East Load Projections'!$A$4:$EO$14,((MONTH($A121)-1)*12)+VLOOKUP(H$4,$DE$6:$DF$17,2)+1))*(VLOOKUP($A121,CURVES!$D$9:$K$261,6))*(INDEX(DailyScalarsTable,H$5/100,MONTH($A121)))*$B121</f>
        <v>-48548.682699510689</v>
      </c>
      <c r="I121" s="1021">
        <f>(VLOOKUP(YEAR($A121),'NY East Load Projections'!$A$4:$EO$14,((MONTH($A121)-1)*12)+VLOOKUP(I$4,$DE$6:$DF$17,2)+1))*(VLOOKUP($A121,CURVES!$D$9:$K$261,6))*(INDEX(DailyScalarsTable,I$5/100,MONTH($A121)))*$B121</f>
        <v>-43825.746223148162</v>
      </c>
      <c r="J121" s="1021">
        <f>(VLOOKUP(YEAR($A121),'NY East Load Projections'!$A$4:$EO$14,((MONTH($A121)-1)*12)+VLOOKUP(J$4,$DE$6:$DF$17,2)+1))*(VLOOKUP($A121,CURVES!$D$9:$K$261,6))*(INDEX(DailyScalarsTable,J$5/100,MONTH($A121)))*$B121</f>
        <v>-39357.803969687833</v>
      </c>
      <c r="K121" s="1021">
        <f>(VLOOKUP(YEAR($A121),'NY East Load Projections'!$A$4:$EO$14,((MONTH($A121)-1)*12)+VLOOKUP(K$4,$DE$6:$DF$17,2)+1))*(VLOOKUP($A121,CURVES!$D$9:$K$261,6))*(INDEX(DailyScalarsTable,K$5/100,MONTH($A121)))*$B121</f>
        <v>-37029.595847537275</v>
      </c>
      <c r="L121" s="1021">
        <f>(VLOOKUP(YEAR($A121),'NY East Load Projections'!$A$4:$EO$14,((MONTH($A121)-1)*12)+VLOOKUP(L$4,$DE$6:$DF$17,2)+1))*(VLOOKUP($A121,CURVES!$D$9:$K$261,6))*(INDEX(DailyScalarsTable,L$5/100,MONTH($A121)))*$B121</f>
        <v>-40610.913449130334</v>
      </c>
      <c r="M121" s="1021">
        <f>(VLOOKUP(YEAR($A121),'NY East Load Projections'!$A$4:$EO$14,((MONTH($A121)-1)*12)+VLOOKUP(M$4,$DE$6:$DF$17,2)+1))*(VLOOKUP($A121,CURVES!$D$9:$K$261,6))*(INDEX(DailyScalarsTable,M$5/100,MONTH($A121)))*$B121</f>
        <v>-45120.63415230751</v>
      </c>
      <c r="N121" s="1021">
        <f>(VLOOKUP(YEAR($A121),'NY East Load Projections'!$A$4:$EO$14,((MONTH($A121)-1)*12)+VLOOKUP(N$4,$DE$6:$DF$17,2)+1))*(VLOOKUP($A121,CURVES!$D$9:$K$261,6))*(INDEX(DailyScalarsTable,N$5/100,MONTH($A121)))*$B121</f>
        <v>-52500.177121142835</v>
      </c>
      <c r="O121" s="1021">
        <f>(VLOOKUP(YEAR($A121),'NY East Load Projections'!$A$4:$EO$14,((MONTH($A121)-1)*12)+VLOOKUP(O$4,$DE$6:$DF$17,2)+1))*(VLOOKUP($A121,CURVES!$D$9:$K$261,2))*(INDEX(DailyScalarsTable,O$5/100,MONTH($A121)))*$B121</f>
        <v>-93874.409327854766</v>
      </c>
      <c r="P121" s="1021">
        <f>(VLOOKUP(YEAR($A121),'NY East Load Projections'!$A$4:$EO$14,((MONTH($A121)-1)*12)+VLOOKUP(P$4,$DE$6:$DF$17,2)+1))*(VLOOKUP($A121,CURVES!$D$9:$K$261,2))*(INDEX(DailyScalarsTable,P$5/100,MONTH($A121)))*$B121</f>
        <v>-109892.550581014</v>
      </c>
      <c r="Q121" s="1021">
        <f>(VLOOKUP(YEAR($A121),'NY East Load Projections'!$A$4:$EO$14,((MONTH($A121)-1)*12)+VLOOKUP(Q$4,$DE$6:$DF$17,2)+1))*(VLOOKUP($A121,CURVES!$D$9:$K$261,2))*(INDEX(DailyScalarsTable,Q$5/100,MONTH($A121)))*$B121</f>
        <v>-140930.43539276571</v>
      </c>
      <c r="R121" s="1021">
        <f>(VLOOKUP(YEAR($A121),'NY East Load Projections'!$A$4:$EO$14,((MONTH($A121)-1)*12)+VLOOKUP(R$4,$DE$6:$DF$17,2)+1))*(VLOOKUP($A121,CURVES!$D$9:$K$261,2))*(INDEX(DailyScalarsTable,R$5/100,MONTH($A121)))*$B121</f>
        <v>-159061.47701547213</v>
      </c>
      <c r="S121" s="1021">
        <f>(VLOOKUP(YEAR($A121),'NY East Load Projections'!$A$4:$EO$14,((MONTH($A121)-1)*12)+VLOOKUP(S$4,$DE$6:$DF$17,2)+1))*(VLOOKUP($A121,CURVES!$D$9:$K$261,2))*(INDEX(DailyScalarsTable,S$5/100,MONTH($A121)))*$B121</f>
        <v>-165801.71734752911</v>
      </c>
      <c r="T121" s="1021">
        <f>(VLOOKUP(YEAR($A121),'NY East Load Projections'!$A$4:$EO$14,((MONTH($A121)-1)*12)+VLOOKUP(T$4,$DE$6:$DF$17,2)+1))*(VLOOKUP($A121,CURVES!$D$9:$K$261,2))*(INDEX(DailyScalarsTable,T$5/100,MONTH($A121)))*$B121</f>
        <v>-166281.5611131833</v>
      </c>
      <c r="U121" s="1021">
        <f>(VLOOKUP(YEAR($A121),'NY East Load Projections'!$A$4:$EO$14,((MONTH($A121)-1)*12)+VLOOKUP(U$4,$DE$6:$DF$17,2)+1))*(VLOOKUP($A121,CURVES!$D$9:$K$261,2))*(INDEX(DailyScalarsTable,U$5/100,MONTH($A121)))*$B121</f>
        <v>-182539.00605948409</v>
      </c>
      <c r="V121" s="1021">
        <f>(VLOOKUP(YEAR($A121),'NY East Load Projections'!$A$4:$EO$14,((MONTH($A121)-1)*12)+VLOOKUP(V$4,$DE$6:$DF$17,2)+1))*(VLOOKUP($A121,CURVES!$D$9:$K$261,2))*(INDEX(DailyScalarsTable,V$5/100,MONTH($A121)))*$B121</f>
        <v>-193246.13859099685</v>
      </c>
      <c r="W121" s="1021">
        <f>(VLOOKUP(YEAR($A121),'NY East Load Projections'!$A$4:$EO$14,((MONTH($A121)-1)*12)+VLOOKUP(W$4,$DE$6:$DF$17,2)+1))*(VLOOKUP($A121,CURVES!$D$9:$K$261,2))*(INDEX(DailyScalarsTable,W$5/100,MONTH($A121)))*$B121</f>
        <v>-190553.82286740563</v>
      </c>
      <c r="X121" s="1021">
        <f>(VLOOKUP(YEAR($A121),'NY East Load Projections'!$A$4:$EO$14,((MONTH($A121)-1)*12)+VLOOKUP(X$4,$DE$6:$DF$17,2)+1))*(VLOOKUP($A121,CURVES!$D$9:$K$261,2))*(INDEX(DailyScalarsTable,X$5/100,MONTH($A121)))*$B121</f>
        <v>-178832.05834867709</v>
      </c>
      <c r="Y121" s="1021">
        <f>(VLOOKUP(YEAR($A121),'NY East Load Projections'!$A$4:$EO$14,((MONTH($A121)-1)*12)+VLOOKUP(Y$4,$DE$6:$DF$17,2)+1))*(VLOOKUP($A121,CURVES!$D$9:$K$261,2))*(INDEX(DailyScalarsTable,Y$5/100,MONTH($A121)))*$B121</f>
        <v>-165609.54124818009</v>
      </c>
      <c r="Z121" s="1021">
        <f>(VLOOKUP(YEAR($A121),'NY East Load Projections'!$A$4:$EO$14,((MONTH($A121)-1)*12)+VLOOKUP(Z$4,$DE$6:$DF$17,2)+1))*(VLOOKUP($A121,CURVES!$D$9:$K$261,2))*(INDEX(DailyScalarsTable,Z$5/100,MONTH($A121)))*$B121</f>
        <v>-134988.97533123964</v>
      </c>
      <c r="AA121" s="1021">
        <f>(VLOOKUP(YEAR($A121),'NY East Load Projections'!$A$4:$EO$14,((MONTH($A121)-1)*12)+VLOOKUP(AA$4,$DE$6:$DF$17,2)+1))*(VLOOKUP($A121,CURVES!$D$9:$K$261,2))*(INDEX(DailyScalarsTable,AA$5/100,MONTH($A121)))*$B121</f>
        <v>-122899.81683935663</v>
      </c>
      <c r="AB121" s="1021">
        <f>(VLOOKUP(YEAR($A121),'NY East Load Projections'!$A$4:$EO$14,((MONTH($A121)-1)*12)+VLOOKUP(AB$4,$DE$6:$DF$17,2)+1))*(VLOOKUP($A121,CURVES!$D$9:$K$261,2))*(INDEX(DailyScalarsTable,AB$5/100,MONTH($A121)))*$B121</f>
        <v>-143905.41559240982</v>
      </c>
      <c r="AC121" s="1021">
        <f>(VLOOKUP(YEAR($A121),'NY East Load Projections'!$A$4:$EO$14,((MONTH($A121)-1)*12)+VLOOKUP(AC$4,$DE$6:$DF$17,2)+1))*(VLOOKUP($A121,CURVES!$D$9:$K$261,2))*(INDEX(DailyScalarsTable,AC$5/100,MONTH($A121)))*$B121</f>
        <v>-122366.78839045987</v>
      </c>
      <c r="AD121" s="1021">
        <f>(VLOOKUP(YEAR($A121),'NY East Load Projections'!$A$4:$EO$14,((MONTH($A121)-1)*12)+VLOOKUP(AD$4,$DE$6:$DF$17,2)+1))*(VLOOKUP($A121,CURVES!$D$9:$K$261,2))*(INDEX(DailyScalarsTable,AD$5/100,MONTH($A121)))*$B121</f>
        <v>-99088.787514125564</v>
      </c>
      <c r="AE121" s="1021">
        <f>(VLOOKUP(YEAR($A121),'NY East Load Projections'!$A$4:$EO$14,((MONTH($A121)-1)*12)+VLOOKUP(AE$4,$DE$6:$DF$17,2)+1))*(VLOOKUP($A121,CURVES!$D$9:$K$261,6))*(INDEX(DailyScalarsTable,AE$5/100,MONTH($A121)))*$B121</f>
        <v>-57606.387136757083</v>
      </c>
      <c r="AF121" s="1021"/>
      <c r="AG121" s="1021">
        <f>(VLOOKUP(YEAR($A121),'NY East Load Projections'!$A$4:$EO$14,((MONTH($A121)-1)*12)+VLOOKUP(AG$4,$DE$6:$DF$17,2)+1))*(VLOOKUP($A121,CURVES!$D$9:$T$261,6))*(INDEX(DailyScalarsTable,AG$5/100,MONTH($A121)))*$C121</f>
        <v>-8670.5435395645563</v>
      </c>
      <c r="AH121" s="1021">
        <f>(VLOOKUP(YEAR($A121),'NY East Load Projections'!$A$4:$EO$14,((MONTH($A121)-1)*12)+VLOOKUP(AH$4,$DE$6:$DF$17,2)+1))*(VLOOKUP($A121,CURVES!$D$9:$T$261,6))*(INDEX(DailyScalarsTable,AH$5/100,MONTH($A121)))*$C121</f>
        <v>-7827.0515213287736</v>
      </c>
      <c r="AI121" s="1021">
        <f>(VLOOKUP(YEAR($A121),'NY East Load Projections'!$A$4:$EO$14,((MONTH($A121)-1)*12)+VLOOKUP(AI$4,$DE$6:$DF$17,2)+1))*(VLOOKUP($A121,CURVES!$D$9:$T$261,6))*(INDEX(DailyScalarsTable,AI$5/100,MONTH($A121)))*$C121</f>
        <v>-7029.1001519648753</v>
      </c>
      <c r="AJ121" s="1021">
        <f>(VLOOKUP(YEAR($A121),'NY East Load Projections'!$A$4:$EO$14,((MONTH($A121)-1)*12)+VLOOKUP(AJ$4,$DE$6:$DF$17,2)+1))*(VLOOKUP($A121,CURVES!$D$9:$T$261,6))*(INDEX(DailyScalarsTable,AJ$5/100,MONTH($A121)))*$C121</f>
        <v>-6613.2942274824436</v>
      </c>
      <c r="AK121" s="1021">
        <f>(VLOOKUP(YEAR($A121),'NY East Load Projections'!$A$4:$EO$14,((MONTH($A121)-1)*12)+VLOOKUP(AK$4,$DE$6:$DF$17,2)+1))*(VLOOKUP($A121,CURVES!$D$9:$T$261,6))*(INDEX(DailyScalarsTable,AK$5/100,MONTH($A121)))*$C121</f>
        <v>-6970.0327716650245</v>
      </c>
      <c r="AL121" s="1021">
        <f>(VLOOKUP(YEAR($A121),'NY East Load Projections'!$A$4:$EO$14,((MONTH($A121)-1)*12)+VLOOKUP(AL$4,$DE$6:$DF$17,2)+1))*(VLOOKUP($A121,CURVES!$D$9:$T$261,6))*(INDEX(DailyScalarsTable,AL$5/100,MONTH($A121)))*$C121</f>
        <v>-7744.0341033901605</v>
      </c>
      <c r="AM121" s="1021">
        <f>(VLOOKUP(YEAR($A121),'NY East Load Projections'!$A$4:$EO$14,((MONTH($A121)-1)*12)+VLOOKUP(AM$4,$DE$6:$DF$17,2)+1))*(VLOOKUP($A121,CURVES!$D$9:$T$261,6))*(INDEX(DailyScalarsTable,AM$5/100,MONTH($A121)))*$C121</f>
        <v>-9010.5817371221947</v>
      </c>
      <c r="AN121" s="1021">
        <f>(VLOOKUP(YEAR($A121),'NY East Load Projections'!$A$4:$EO$14,((MONTH($A121)-1)*12)+VLOOKUP(AN$4,$DE$6:$DF$17,2)+1))*(VLOOKUP($A121,SatSunCurve,2))*(INDEX(DailyScalarsTable,AN$5/100,MONTH($A121)))*$C121</f>
        <v>-9419.8883597479562</v>
      </c>
      <c r="AO121" s="1021">
        <f>(VLOOKUP(YEAR($A121),'NY East Load Projections'!$A$4:$EO$14,((MONTH($A121)-1)*12)+VLOOKUP(AO$4,$DE$6:$DF$17,2)+1))*(VLOOKUP($A121,SatSunCurve,2))*(INDEX(DailyScalarsTable,AO$5/100,MONTH($A121)))*$C121</f>
        <v>-11118.913062940384</v>
      </c>
      <c r="AP121" s="1021">
        <f>(VLOOKUP(YEAR($A121),'NY East Load Projections'!$A$4:$EO$14,((MONTH($A121)-1)*12)+VLOOKUP(AP$4,$DE$6:$DF$17,2)+1))*(VLOOKUP($A121,SatSunCurve,2))*(INDEX(DailyScalarsTable,AP$5/100,MONTH($A121)))*$C121</f>
        <v>-14259.321953759678</v>
      </c>
      <c r="AQ121" s="1021">
        <f>(VLOOKUP(YEAR($A121),'NY East Load Projections'!$A$4:$EO$14,((MONTH($A121)-1)*12)+VLOOKUP(AQ$4,$DE$6:$DF$17,2)+1))*(VLOOKUP($A121,SatSunCurve,2))*(INDEX(DailyScalarsTable,AQ$5/100,MONTH($A121)))*$C121</f>
        <v>-16093.818236515497</v>
      </c>
      <c r="AR121" s="1021">
        <f>(VLOOKUP(YEAR($A121),'NY East Load Projections'!$A$4:$EO$14,((MONTH($A121)-1)*12)+VLOOKUP(AR$4,$DE$6:$DF$17,2)+1))*(VLOOKUP($A121,SatSunCurve,2))*(INDEX(DailyScalarsTable,AR$5/100,MONTH($A121)))*$C121</f>
        <v>-16775.79482072642</v>
      </c>
      <c r="AS121" s="1021">
        <f>(VLOOKUP(YEAR($A121),'NY East Load Projections'!$A$4:$EO$14,((MONTH($A121)-1)*12)+VLOOKUP(AS$4,$DE$6:$DF$17,2)+1))*(VLOOKUP($A121,SatSunCurve,2))*(INDEX(DailyScalarsTable,AS$5/100,MONTH($A121)))*$C121</f>
        <v>-16834.541824868571</v>
      </c>
      <c r="AT121" s="1021">
        <f>(VLOOKUP(YEAR($A121),'NY East Load Projections'!$A$4:$EO$14,((MONTH($A121)-1)*12)+VLOOKUP(AT$4,$DE$6:$DF$17,2)+1))*(VLOOKUP($A121,SatSunCurve,2))*(INDEX(DailyScalarsTable,AT$5/100,MONTH($A121)))*$C121</f>
        <v>-18480.464770754963</v>
      </c>
      <c r="AU121" s="1021">
        <f>(VLOOKUP(YEAR($A121),'NY East Load Projections'!$A$4:$EO$14,((MONTH($A121)-1)*12)+VLOOKUP(AU$4,$DE$6:$DF$17,2)+1))*(VLOOKUP($A121,SatSunCurve,2))*(INDEX(DailyScalarsTable,AU$5/100,MONTH($A121)))*$C121</f>
        <v>-19564.467526198612</v>
      </c>
      <c r="AV121" s="1021">
        <f>(VLOOKUP(YEAR($A121),'NY East Load Projections'!$A$4:$EO$14,((MONTH($A121)-1)*12)+VLOOKUP(AV$4,$DE$6:$DF$17,2)+1))*(VLOOKUP($A121,SatSunCurve,2))*(INDEX(DailyScalarsTable,AV$5/100,MONTH($A121)))*$C121</f>
        <v>-19291.894299491312</v>
      </c>
      <c r="AW121" s="1021">
        <f>(VLOOKUP(YEAR($A121),'NY East Load Projections'!$A$4:$EO$14,((MONTH($A121)-1)*12)+VLOOKUP(AW$4,$DE$6:$DF$17,2)+1))*(VLOOKUP($A121,SatSunCurve,2))*(INDEX(DailyScalarsTable,AW$5/100,MONTH($A121)))*$C121</f>
        <v>-18264.628368640566</v>
      </c>
      <c r="AX121" s="1021">
        <f>(VLOOKUP(YEAR($A121),'NY East Load Projections'!$A$4:$EO$14,((MONTH($A121)-1)*12)+VLOOKUP(AX$4,$DE$6:$DF$17,2)+1))*(VLOOKUP($A121,SatSunCurve,2))*(INDEX(DailyScalarsTable,AX$5/100,MONTH($A121)))*$C121</f>
        <v>-16914.174970247645</v>
      </c>
      <c r="AY121" s="1021">
        <f>(VLOOKUP(YEAR($A121),'NY East Load Projections'!$A$4:$EO$14,((MONTH($A121)-1)*12)+VLOOKUP(AY$4,$DE$6:$DF$17,2)+1))*(VLOOKUP($A121,SatSunCurve,2))*(INDEX(DailyScalarsTable,AY$5/100,MONTH($A121)))*$C121</f>
        <v>-13786.809205548236</v>
      </c>
      <c r="AZ121" s="1021">
        <f>(VLOOKUP(YEAR($A121),'NY East Load Projections'!$A$4:$EO$14,((MONTH($A121)-1)*12)+VLOOKUP(AZ$4,$DE$6:$DF$17,2)+1))*(VLOOKUP($A121,SatSunCurve,2))*(INDEX(DailyScalarsTable,AZ$5/100,MONTH($A121)))*$C121</f>
        <v>-12552.10895558899</v>
      </c>
      <c r="BA121" s="1021">
        <f>(VLOOKUP(YEAR($A121),'NY East Load Projections'!$A$4:$EO$14,((MONTH($A121)-1)*12)+VLOOKUP(BA$4,$DE$6:$DF$17,2)+1))*(VLOOKUP($A121,SatSunCurve,2))*(INDEX(DailyScalarsTable,BA$5/100,MONTH($A121)))*$C121</f>
        <v>-15227.272102654984</v>
      </c>
      <c r="BB121" s="1021">
        <f>(VLOOKUP(YEAR($A121),'NY East Load Projections'!$A$4:$EO$14,((MONTH($A121)-1)*12)+VLOOKUP(BB$4,$DE$6:$DF$17,2)+1))*(VLOOKUP($A121,SatSunCurve,2))*(INDEX(DailyScalarsTable,BB$5/100,MONTH($A121)))*$C121</f>
        <v>-12948.174156468747</v>
      </c>
      <c r="BC121" s="1021">
        <f>(VLOOKUP(YEAR($A121),'NY East Load Projections'!$A$4:$EO$14,((MONTH($A121)-1)*12)+VLOOKUP(BC$4,$DE$6:$DF$17,2)+1))*(VLOOKUP($A121,SatSunCurve,2))*(INDEX(DailyScalarsTable,BC$5/100,MONTH($A121)))*$C121</f>
        <v>-10485.025345212478</v>
      </c>
      <c r="BD121" s="1021">
        <f>(VLOOKUP(YEAR($A121),'NY East Load Projections'!$A$4:$EO$14,((MONTH($A121)-1)*12)+VLOOKUP(BD$4,$DE$6:$DF$17,2)+1))*(VLOOKUP($A121,CURVES!$D$9:$T$261,6))*(INDEX(DailyScalarsTable,BD$5/100,MONTH($A121)))*$C121</f>
        <v>-10425.793834266598</v>
      </c>
      <c r="BE121" s="1021"/>
      <c r="BF121" s="1021">
        <f>(VLOOKUP(YEAR($A121),'NY East Load Projections'!$A$4:$EO$14,((MONTH($A121)-1)*12)+VLOOKUP(BF$4,$DE$6:$DF$17,2)+1))*(VLOOKUP($A121,CURVES!$D$9:$T$261,6))*(INDEX(DailyScalarsTable,BF$5/100,MONTH($A121)))*$D121</f>
        <v>-10838.179424455695</v>
      </c>
      <c r="BG121" s="1021">
        <f>(VLOOKUP(YEAR($A121),'NY East Load Projections'!$A$4:$EO$14,((MONTH($A121)-1)*12)+VLOOKUP(BG$4,$DE$6:$DF$17,2)+1))*(VLOOKUP($A121,CURVES!$D$9:$T$261,6))*(INDEX(DailyScalarsTable,BG$5/100,MONTH($A121)))*$D121</f>
        <v>-9783.8144016609676</v>
      </c>
      <c r="BH121" s="1021">
        <f>(VLOOKUP(YEAR($A121),'NY East Load Projections'!$A$4:$EO$14,((MONTH($A121)-1)*12)+VLOOKUP(BH$4,$DE$6:$DF$17,2)+1))*(VLOOKUP($A121,CURVES!$D$9:$T$261,6))*(INDEX(DailyScalarsTable,BH$5/100,MONTH($A121)))*$D121</f>
        <v>-8786.3751899560939</v>
      </c>
      <c r="BI121" s="1021">
        <f>(VLOOKUP(YEAR($A121),'NY East Load Projections'!$A$4:$EO$14,((MONTH($A121)-1)*12)+VLOOKUP(BI$4,$DE$6:$DF$17,2)+1))*(VLOOKUP($A121,CURVES!$D$9:$T$261,6))*(INDEX(DailyScalarsTable,BI$5/100,MONTH($A121)))*$D121</f>
        <v>-8266.617784353055</v>
      </c>
      <c r="BJ121" s="1021">
        <f>(VLOOKUP(YEAR($A121),'NY East Load Projections'!$A$4:$EO$14,((MONTH($A121)-1)*12)+VLOOKUP(BJ$4,$DE$6:$DF$17,2)+1))*(VLOOKUP($A121,CURVES!$D$9:$T$261,6))*(INDEX(DailyScalarsTable,BJ$5/100,MONTH($A121)))*$D121</f>
        <v>-8712.5409645812797</v>
      </c>
      <c r="BK121" s="1021">
        <f>(VLOOKUP(YEAR($A121),'NY East Load Projections'!$A$4:$EO$14,((MONTH($A121)-1)*12)+VLOOKUP(BK$4,$DE$6:$DF$17,2)+1))*(VLOOKUP($A121,CURVES!$D$9:$T$261,6))*(INDEX(DailyScalarsTable,BK$5/100,MONTH($A121)))*$D121</f>
        <v>-9680.0426292377015</v>
      </c>
      <c r="BL121" s="1021">
        <f>(VLOOKUP(YEAR($A121),'NY East Load Projections'!$A$4:$EO$14,((MONTH($A121)-1)*12)+VLOOKUP(BL$4,$DE$6:$DF$17,2)+1))*(VLOOKUP($A121,CURVES!$D$9:$T$261,6))*(INDEX(DailyScalarsTable,BL$5/100,MONTH($A121)))*$D121</f>
        <v>-11263.227171402743</v>
      </c>
      <c r="BM121" s="1021">
        <f>(VLOOKUP(YEAR($A121),'NY East Load Projections'!$A$4:$EO$14,((MONTH($A121)-1)*12)+VLOOKUP(BM$4,$DE$6:$DF$17,2)+1))*(VLOOKUP($A121,SatSunCurve,6))*(INDEX(DailyScalarsTable,BM$5/100,MONTH($A121)))*$D121</f>
        <v>-8219.6330692141073</v>
      </c>
      <c r="BN121" s="1021">
        <f>(VLOOKUP(YEAR($A121),'NY East Load Projections'!$A$4:$EO$14,((MONTH($A121)-1)*12)+VLOOKUP(BN$4,$DE$6:$DF$17,2)+1))*(VLOOKUP($A121,SatSunCurve,6))*(INDEX(DailyScalarsTable,BN$5/100,MONTH($A121)))*$D121</f>
        <v>-9702.1728937249172</v>
      </c>
      <c r="BO121" s="1021">
        <f>(VLOOKUP(YEAR($A121),'NY East Load Projections'!$A$4:$EO$14,((MONTH($A121)-1)*12)+VLOOKUP(BO$4,$DE$6:$DF$17,2)+1))*(VLOOKUP($A121,SatSunCurve,6))*(INDEX(DailyScalarsTable,BO$5/100,MONTH($A121)))*$D121</f>
        <v>-12442.439846370937</v>
      </c>
      <c r="BP121" s="1021">
        <f>(VLOOKUP(YEAR($A121),'NY East Load Projections'!$A$4:$EO$14,((MONTH($A121)-1)*12)+VLOOKUP(BP$4,$DE$6:$DF$17,2)+1))*(VLOOKUP($A121,SatSunCurve,6))*(INDEX(DailyScalarsTable,BP$5/100,MONTH($A121)))*$D121</f>
        <v>-14043.189848411677</v>
      </c>
      <c r="BQ121" s="1021">
        <f>(VLOOKUP(YEAR($A121),'NY East Load Projections'!$A$4:$EO$14,((MONTH($A121)-1)*12)+VLOOKUP(BQ$4,$DE$6:$DF$17,2)+1))*(VLOOKUP($A121,SatSunCurve,6))*(INDEX(DailyScalarsTable,BQ$5/100,MONTH($A121)))*$D121</f>
        <v>-14638.270922616655</v>
      </c>
      <c r="BR121" s="1021">
        <f>(VLOOKUP(YEAR($A121),'NY East Load Projections'!$A$4:$EO$14,((MONTH($A121)-1)*12)+VLOOKUP(BR$4,$DE$6:$DF$17,2)+1))*(VLOOKUP($A121,SatSunCurve,6))*(INDEX(DailyScalarsTable,BR$5/100,MONTH($A121)))*$D121</f>
        <v>-14689.532551154363</v>
      </c>
      <c r="BS121" s="1021">
        <f>(VLOOKUP(YEAR($A121),'NY East Load Projections'!$A$4:$EO$14,((MONTH($A121)-1)*12)+VLOOKUP(BS$4,$DE$6:$DF$17,2)+1))*(VLOOKUP($A121,SatSunCurve,6))*(INDEX(DailyScalarsTable,BS$5/100,MONTH($A121)))*$D121</f>
        <v>-16125.736692723201</v>
      </c>
      <c r="BT121" s="1021">
        <f>(VLOOKUP(YEAR($A121),'NY East Load Projections'!$A$4:$EO$14,((MONTH($A121)-1)*12)+VLOOKUP(BT$4,$DE$6:$DF$17,2)+1))*(VLOOKUP($A121,SatSunCurve,6))*(INDEX(DailyScalarsTable,BT$5/100,MONTH($A121)))*$D121</f>
        <v>-17071.618910801019</v>
      </c>
      <c r="BU121" s="1021">
        <f>(VLOOKUP(YEAR($A121),'NY East Load Projections'!$A$4:$EO$14,((MONTH($A121)-1)*12)+VLOOKUP(BU$4,$DE$6:$DF$17,2)+1))*(VLOOKUP($A121,SatSunCurve,6))*(INDEX(DailyScalarsTable,BU$5/100,MONTH($A121)))*$D121</f>
        <v>-16833.776186719555</v>
      </c>
      <c r="BV121" s="1021">
        <f>(VLOOKUP(YEAR($A121),'NY East Load Projections'!$A$4:$EO$14,((MONTH($A121)-1)*12)+VLOOKUP(BV$4,$DE$6:$DF$17,2)+1))*(VLOOKUP($A121,SatSunCurve,6))*(INDEX(DailyScalarsTable,BV$5/100,MONTH($A121)))*$D121</f>
        <v>-15937.401548971331</v>
      </c>
      <c r="BW121" s="1021">
        <f>(VLOOKUP(YEAR($A121),'NY East Load Projections'!$A$4:$EO$14,((MONTH($A121)-1)*12)+VLOOKUP(BW$4,$DE$6:$DF$17,2)+1))*(VLOOKUP($A121,SatSunCurve,6))*(INDEX(DailyScalarsTable,BW$5/100,MONTH($A121)))*$D121</f>
        <v>-14759.019068421419</v>
      </c>
      <c r="BX121" s="1021">
        <f>(VLOOKUP(YEAR($A121),'NY East Load Projections'!$A$4:$EO$14,((MONTH($A121)-1)*12)+VLOOKUP(BX$4,$DE$6:$DF$17,2)+1))*(VLOOKUP($A121,SatSunCurve,6))*(INDEX(DailyScalarsTable,BX$5/100,MONTH($A121)))*$D121</f>
        <v>-12030.133323990038</v>
      </c>
      <c r="BY121" s="1021">
        <f>(VLOOKUP(YEAR($A121),'NY East Load Projections'!$A$4:$EO$14,((MONTH($A121)-1)*12)+VLOOKUP(BY$4,$DE$6:$DF$17,2)+1))*(VLOOKUP($A121,SatSunCurve,6))*(INDEX(DailyScalarsTable,BY$5/100,MONTH($A121)))*$D121</f>
        <v>-10952.755056058686</v>
      </c>
      <c r="BZ121" s="1021">
        <f>(VLOOKUP(YEAR($A121),'NY East Load Projections'!$A$4:$EO$14,((MONTH($A121)-1)*12)+VLOOKUP(BZ$4,$DE$6:$DF$17,2)+1))*(VLOOKUP($A121,SatSunCurve,6))*(INDEX(DailyScalarsTable,BZ$5/100,MONTH($A121)))*$D121</f>
        <v>-13287.056549813851</v>
      </c>
      <c r="CA121" s="1021">
        <f>(VLOOKUP(YEAR($A121),'NY East Load Projections'!$A$4:$EO$14,((MONTH($A121)-1)*12)+VLOOKUP(CA$4,$DE$6:$DF$17,2)+1))*(VLOOKUP($A121,SatSunCurve,6))*(INDEX(DailyScalarsTable,CA$5/100,MONTH($A121)))*$D121</f>
        <v>-11298.354759408387</v>
      </c>
      <c r="CB121" s="1021">
        <f>(VLOOKUP(YEAR($A121),'NY East Load Projections'!$A$4:$EO$14,((MONTH($A121)-1)*12)+VLOOKUP(CB$4,$DE$6:$DF$17,2)+1))*(VLOOKUP($A121,SatSunCurve,6))*(INDEX(DailyScalarsTable,CB$5/100,MONTH($A121)))*$D121</f>
        <v>-9149.0533398808238</v>
      </c>
      <c r="CC121" s="1021">
        <f>(VLOOKUP(YEAR($A121),'NY East Load Projections'!$A$4:$EO$14,((MONTH($A121)-1)*12)+VLOOKUP(CC$4,$DE$6:$DF$17,2)+1))*(VLOOKUP($A121,CURVES!$D$9:$T$261,6))*(INDEX(DailyScalarsTable,CC$5/100,MONTH($A121)))*$D121</f>
        <v>-13032.242292833249</v>
      </c>
      <c r="CE121" s="1021">
        <f>(VLOOKUP(YEAR($A121),'NY East Load Projections'!$A$4:$EO$14,((MONTH($A121)-1)*12)+VLOOKUP(CE$4,$DE$6:$DF$17,2)+1))*(VLOOKUP($A121,CURVES!$D$9:$T$261,6))*(INDEX(DailyScalarsTable,CE$5/100,MONTH($A121)))*$E121</f>
        <v>0</v>
      </c>
      <c r="CF121" s="1021">
        <f>(VLOOKUP(YEAR($A121),'NY East Load Projections'!$A$4:$EO$14,((MONTH($A121)-1)*12)+VLOOKUP(CF$4,$DE$6:$DF$17,2)+1))*(VLOOKUP($A121,CURVES!$D$9:$T$261,6))*(INDEX(DailyScalarsTable,CF$5/100,MONTH($A121)))*$E121</f>
        <v>0</v>
      </c>
      <c r="CG121" s="1021">
        <f>(VLOOKUP(YEAR($A121),'NY East Load Projections'!$A$4:$EO$14,((MONTH($A121)-1)*12)+VLOOKUP(CG$4,$DE$6:$DF$17,2)+1))*(VLOOKUP($A121,CURVES!$D$9:$T$261,6))*(INDEX(DailyScalarsTable,CG$5/100,MONTH($A121)))*$E121</f>
        <v>0</v>
      </c>
      <c r="CH121" s="1021">
        <f>(VLOOKUP(YEAR($A121),'NY East Load Projections'!$A$4:$EO$14,((MONTH($A121)-1)*12)+VLOOKUP(CH$4,$DE$6:$DF$17,2)+1))*(VLOOKUP($A121,CURVES!$D$9:$T$261,6))*(INDEX(DailyScalarsTable,CH$5/100,MONTH($A121)))*$E121</f>
        <v>0</v>
      </c>
      <c r="CI121" s="1021">
        <f>(VLOOKUP(YEAR($A121),'NY East Load Projections'!$A$4:$EO$14,((MONTH($A121)-1)*12)+VLOOKUP(CI$4,$DE$6:$DF$17,2)+1))*(VLOOKUP($A121,CURVES!$D$9:$T$261,6))*(INDEX(DailyScalarsTable,CI$5/100,MONTH($A121)))*$E121</f>
        <v>0</v>
      </c>
      <c r="CJ121" s="1021">
        <f>(VLOOKUP(YEAR($A121),'NY East Load Projections'!$A$4:$EO$14,((MONTH($A121)-1)*12)+VLOOKUP(CJ$4,$DE$6:$DF$17,2)+1))*(VLOOKUP($A121,CURVES!$D$9:$T$261,6))*(INDEX(DailyScalarsTable,CJ$5/100,MONTH($A121)))*$E121</f>
        <v>0</v>
      </c>
      <c r="CK121" s="1021">
        <f>(VLOOKUP(YEAR($A121),'NY East Load Projections'!$A$4:$EO$14,((MONTH($A121)-1)*12)+VLOOKUP(CK$4,$DE$6:$DF$17,2)+1))*(VLOOKUP($A121,CURVES!$D$9:$T$261,6))*(INDEX(DailyScalarsTable,CK$5/100,MONTH($A121)))*$E121</f>
        <v>0</v>
      </c>
      <c r="CL121" s="1021">
        <f>(VLOOKUP(YEAR($A121),'NY East Load Projections'!$A$4:$EO$14,((MONTH($A121)-1)*12)+VLOOKUP(CL$4,$DE$6:$DF$17,2)+1))*(VLOOKUP($A121,SatSunCurve,6))*(INDEX(DailyScalarsTable,CL$5/100,MONTH($A121)))*$E121</f>
        <v>0</v>
      </c>
      <c r="CM121" s="1021">
        <f>(VLOOKUP(YEAR($A121),'NY East Load Projections'!$A$4:$EO$14,((MONTH($A121)-1)*12)+VLOOKUP(CM$4,$DE$6:$DF$17,2)+1))*(VLOOKUP($A121,SatSunCurve,6))*(INDEX(DailyScalarsTable,CM$5/100,MONTH($A121)))*$E121</f>
        <v>0</v>
      </c>
      <c r="CN121" s="1021">
        <f>(VLOOKUP(YEAR($A121),'NY East Load Projections'!$A$4:$EO$14,((MONTH($A121)-1)*12)+VLOOKUP(CN$4,$DE$6:$DF$17,2)+1))*(VLOOKUP($A121,SatSunCurve,6))*(INDEX(DailyScalarsTable,CN$5/100,MONTH($A121)))*$E121</f>
        <v>0</v>
      </c>
      <c r="CO121" s="1021">
        <f>(VLOOKUP(YEAR($A121),'NY East Load Projections'!$A$4:$EO$14,((MONTH($A121)-1)*12)+VLOOKUP(CO$4,$DE$6:$DF$17,2)+1))*(VLOOKUP($A121,SatSunCurve,6))*(INDEX(DailyScalarsTable,CO$5/100,MONTH($A121)))*$E121</f>
        <v>0</v>
      </c>
      <c r="CP121" s="1021">
        <f>(VLOOKUP(YEAR($A121),'NY East Load Projections'!$A$4:$EO$14,((MONTH($A121)-1)*12)+VLOOKUP(CP$4,$DE$6:$DF$17,2)+1))*(VLOOKUP($A121,SatSunCurve,6))*(INDEX(DailyScalarsTable,CP$5/100,MONTH($A121)))*$E121</f>
        <v>0</v>
      </c>
      <c r="CQ121" s="1021">
        <f>(VLOOKUP(YEAR($A121),'NY East Load Projections'!$A$4:$EO$14,((MONTH($A121)-1)*12)+VLOOKUP(CQ$4,$DE$6:$DF$17,2)+1))*(VLOOKUP($A121,SatSunCurve,6))*(INDEX(DailyScalarsTable,CQ$5/100,MONTH($A121)))*$E121</f>
        <v>0</v>
      </c>
      <c r="CR121" s="1021">
        <f>(VLOOKUP(YEAR($A121),'NY East Load Projections'!$A$4:$EO$14,((MONTH($A121)-1)*12)+VLOOKUP(CR$4,$DE$6:$DF$17,2)+1))*(VLOOKUP($A121,SatSunCurve,6))*(INDEX(DailyScalarsTable,CR$5/100,MONTH($A121)))*$E121</f>
        <v>0</v>
      </c>
      <c r="CS121" s="1021">
        <f>(VLOOKUP(YEAR($A121),'NY East Load Projections'!$A$4:$EO$14,((MONTH($A121)-1)*12)+VLOOKUP(CS$4,$DE$6:$DF$17,2)+1))*(VLOOKUP($A121,SatSunCurve,6))*(INDEX(DailyScalarsTable,CS$5/100,MONTH($A121)))*$E121</f>
        <v>0</v>
      </c>
      <c r="CT121" s="1021">
        <f>(VLOOKUP(YEAR($A121),'NY East Load Projections'!$A$4:$EO$14,((MONTH($A121)-1)*12)+VLOOKUP(CT$4,$DE$6:$DF$17,2)+1))*(VLOOKUP($A121,SatSunCurve,6))*(INDEX(DailyScalarsTable,CT$5/100,MONTH($A121)))*$E121</f>
        <v>0</v>
      </c>
      <c r="CU121" s="1021">
        <f>(VLOOKUP(YEAR($A121),'NY East Load Projections'!$A$4:$EO$14,((MONTH($A121)-1)*12)+VLOOKUP(CU$4,$DE$6:$DF$17,2)+1))*(VLOOKUP($A121,SatSunCurve,6))*(INDEX(DailyScalarsTable,CU$5/100,MONTH($A121)))*$E121</f>
        <v>0</v>
      </c>
      <c r="CV121" s="1021">
        <f>(VLOOKUP(YEAR($A121),'NY East Load Projections'!$A$4:$EO$14,((MONTH($A121)-1)*12)+VLOOKUP(CV$4,$DE$6:$DF$17,2)+1))*(VLOOKUP($A121,SatSunCurve,6))*(INDEX(DailyScalarsTable,CV$5/100,MONTH($A121)))*$E121</f>
        <v>0</v>
      </c>
      <c r="CW121" s="1021">
        <f>(VLOOKUP(YEAR($A121),'NY East Load Projections'!$A$4:$EO$14,((MONTH($A121)-1)*12)+VLOOKUP(CW$4,$DE$6:$DF$17,2)+1))*(VLOOKUP($A121,SatSunCurve,6))*(INDEX(DailyScalarsTable,CW$5/100,MONTH($A121)))*$E121</f>
        <v>0</v>
      </c>
      <c r="CX121" s="1021">
        <f>(VLOOKUP(YEAR($A121),'NY East Load Projections'!$A$4:$EO$14,((MONTH($A121)-1)*12)+VLOOKUP(CX$4,$DE$6:$DF$17,2)+1))*(VLOOKUP($A121,SatSunCurve,6))*(INDEX(DailyScalarsTable,CX$5/100,MONTH($A121)))*$E121</f>
        <v>0</v>
      </c>
      <c r="CY121" s="1021">
        <f>(VLOOKUP(YEAR($A121),'NY East Load Projections'!$A$4:$EO$14,((MONTH($A121)-1)*12)+VLOOKUP(CY$4,$DE$6:$DF$17,2)+1))*(VLOOKUP($A121,SatSunCurve,6))*(INDEX(DailyScalarsTable,CY$5/100,MONTH($A121)))*$E121</f>
        <v>0</v>
      </c>
      <c r="CZ121" s="1021">
        <f>(VLOOKUP(YEAR($A121),'NY East Load Projections'!$A$4:$EO$14,((MONTH($A121)-1)*12)+VLOOKUP(CZ$4,$DE$6:$DF$17,2)+1))*(VLOOKUP($A121,SatSunCurve,6))*(INDEX(DailyScalarsTable,CZ$5/100,MONTH($A121)))*$E121</f>
        <v>0</v>
      </c>
      <c r="DA121" s="1021">
        <f>(VLOOKUP(YEAR($A121),'NY East Load Projections'!$A$4:$EO$14,((MONTH($A121)-1)*12)+VLOOKUP(DA$4,$DE$6:$DF$17,2)+1))*(VLOOKUP($A121,SatSunCurve,6))*(INDEX(DailyScalarsTable,DA$5/100,MONTH($A121)))*$E121</f>
        <v>0</v>
      </c>
      <c r="DB121" s="1021">
        <f>(VLOOKUP(YEAR($A121),'NY East Load Projections'!$A$4:$EO$14,((MONTH($A121)-1)*12)+VLOOKUP(DB$4,$DE$6:$DF$17,2)+1))*(VLOOKUP($A121,CURVES!$D$9:$T$261,6))*(INDEX(DailyScalarsTable,DB$5/100,MONTH($A121)))*$E121</f>
        <v>0</v>
      </c>
      <c r="DH121" s="1021">
        <f t="shared" si="2"/>
        <v>-3332323.3564322866</v>
      </c>
      <c r="DI121">
        <f ca="1">CALC!J141</f>
        <v>0.46357209957138773</v>
      </c>
      <c r="DJ121" s="1029">
        <f t="shared" ca="1" si="3"/>
        <v>-1544772.134792089</v>
      </c>
    </row>
    <row r="122" spans="1:114" x14ac:dyDescent="0.25">
      <c r="A122" s="244">
        <v>40422</v>
      </c>
      <c r="B122" s="13">
        <v>21</v>
      </c>
      <c r="C122" s="210">
        <v>4</v>
      </c>
      <c r="D122" s="210">
        <v>4</v>
      </c>
      <c r="E122" s="210">
        <v>1</v>
      </c>
      <c r="F122" s="13">
        <v>30</v>
      </c>
      <c r="H122" s="1021">
        <f>(VLOOKUP(YEAR($A122),'NY East Load Projections'!$A$4:$EO$14,((MONTH($A122)-1)*12)+VLOOKUP(H$4,$DE$6:$DF$17,2)+1))*(VLOOKUP($A122,CURVES!$D$9:$K$261,6))*(INDEX(DailyScalarsTable,H$5/100,MONTH($A122)))*$B122</f>
        <v>-36952.499863364457</v>
      </c>
      <c r="I122" s="1021">
        <f>(VLOOKUP(YEAR($A122),'NY East Load Projections'!$A$4:$EO$14,((MONTH($A122)-1)*12)+VLOOKUP(I$4,$DE$6:$DF$17,2)+1))*(VLOOKUP($A122,CURVES!$D$9:$K$261,6))*(INDEX(DailyScalarsTable,I$5/100,MONTH($A122)))*$B122</f>
        <v>-32419.084208295866</v>
      </c>
      <c r="J122" s="1021">
        <f>(VLOOKUP(YEAR($A122),'NY East Load Projections'!$A$4:$EO$14,((MONTH($A122)-1)*12)+VLOOKUP(J$4,$DE$6:$DF$17,2)+1))*(VLOOKUP($A122,CURVES!$D$9:$K$261,6))*(INDEX(DailyScalarsTable,J$5/100,MONTH($A122)))*$B122</f>
        <v>-30401.104154797431</v>
      </c>
      <c r="K122" s="1021">
        <f>(VLOOKUP(YEAR($A122),'NY East Load Projections'!$A$4:$EO$14,((MONTH($A122)-1)*12)+VLOOKUP(K$4,$DE$6:$DF$17,2)+1))*(VLOOKUP($A122,CURVES!$D$9:$K$261,6))*(INDEX(DailyScalarsTable,K$5/100,MONTH($A122)))*$B122</f>
        <v>-30851.629934183136</v>
      </c>
      <c r="L122" s="1021">
        <f>(VLOOKUP(YEAR($A122),'NY East Load Projections'!$A$4:$EO$14,((MONTH($A122)-1)*12)+VLOOKUP(L$4,$DE$6:$DF$17,2)+1))*(VLOOKUP($A122,CURVES!$D$9:$K$261,6))*(INDEX(DailyScalarsTable,L$5/100,MONTH($A122)))*$B122</f>
        <v>-34474.458476762418</v>
      </c>
      <c r="M122" s="1021">
        <f>(VLOOKUP(YEAR($A122),'NY East Load Projections'!$A$4:$EO$14,((MONTH($A122)-1)*12)+VLOOKUP(M$4,$DE$6:$DF$17,2)+1))*(VLOOKUP($A122,CURVES!$D$9:$K$261,6))*(INDEX(DailyScalarsTable,M$5/100,MONTH($A122)))*$B122</f>
        <v>-39894.787535661664</v>
      </c>
      <c r="N122" s="1021">
        <f>(VLOOKUP(YEAR($A122),'NY East Load Projections'!$A$4:$EO$14,((MONTH($A122)-1)*12)+VLOOKUP(N$4,$DE$6:$DF$17,2)+1))*(VLOOKUP($A122,CURVES!$D$9:$K$261,6))*(INDEX(DailyScalarsTable,N$5/100,MONTH($A122)))*$B122</f>
        <v>-54251.859845792649</v>
      </c>
      <c r="O122" s="1021">
        <f>(VLOOKUP(YEAR($A122),'NY East Load Projections'!$A$4:$EO$14,((MONTH($A122)-1)*12)+VLOOKUP(O$4,$DE$6:$DF$17,2)+1))*(VLOOKUP($A122,CURVES!$D$9:$K$261,2))*(INDEX(DailyScalarsTable,O$5/100,MONTH($A122)))*$B122</f>
        <v>-48580.065286965968</v>
      </c>
      <c r="P122" s="1021">
        <f>(VLOOKUP(YEAR($A122),'NY East Load Projections'!$A$4:$EO$14,((MONTH($A122)-1)*12)+VLOOKUP(P$4,$DE$6:$DF$17,2)+1))*(VLOOKUP($A122,CURVES!$D$9:$K$261,2))*(INDEX(DailyScalarsTable,P$5/100,MONTH($A122)))*$B122</f>
        <v>-50273.447992998888</v>
      </c>
      <c r="Q122" s="1021">
        <f>(VLOOKUP(YEAR($A122),'NY East Load Projections'!$A$4:$EO$14,((MONTH($A122)-1)*12)+VLOOKUP(Q$4,$DE$6:$DF$17,2)+1))*(VLOOKUP($A122,CURVES!$D$9:$K$261,2))*(INDEX(DailyScalarsTable,Q$5/100,MONTH($A122)))*$B122</f>
        <v>-62757.003230126793</v>
      </c>
      <c r="R122" s="1021">
        <f>(VLOOKUP(YEAR($A122),'NY East Load Projections'!$A$4:$EO$14,((MONTH($A122)-1)*12)+VLOOKUP(R$4,$DE$6:$DF$17,2)+1))*(VLOOKUP($A122,CURVES!$D$9:$K$261,2))*(INDEX(DailyScalarsTable,R$5/100,MONTH($A122)))*$B122</f>
        <v>-67021.571789394104</v>
      </c>
      <c r="S122" s="1021">
        <f>(VLOOKUP(YEAR($A122),'NY East Load Projections'!$A$4:$EO$14,((MONTH($A122)-1)*12)+VLOOKUP(S$4,$DE$6:$DF$17,2)+1))*(VLOOKUP($A122,CURVES!$D$9:$K$261,2))*(INDEX(DailyScalarsTable,S$5/100,MONTH($A122)))*$B122</f>
        <v>-71412.138965185222</v>
      </c>
      <c r="T122" s="1021">
        <f>(VLOOKUP(YEAR($A122),'NY East Load Projections'!$A$4:$EO$14,((MONTH($A122)-1)*12)+VLOOKUP(T$4,$DE$6:$DF$17,2)+1))*(VLOOKUP($A122,CURVES!$D$9:$K$261,2))*(INDEX(DailyScalarsTable,T$5/100,MONTH($A122)))*$B122</f>
        <v>-67979.688483580743</v>
      </c>
      <c r="U122" s="1021">
        <f>(VLOOKUP(YEAR($A122),'NY East Load Projections'!$A$4:$EO$14,((MONTH($A122)-1)*12)+VLOOKUP(U$4,$DE$6:$DF$17,2)+1))*(VLOOKUP($A122,CURVES!$D$9:$K$261,2))*(INDEX(DailyScalarsTable,U$5/100,MONTH($A122)))*$B122</f>
        <v>-73590.183801229505</v>
      </c>
      <c r="V122" s="1021">
        <f>(VLOOKUP(YEAR($A122),'NY East Load Projections'!$A$4:$EO$14,((MONTH($A122)-1)*12)+VLOOKUP(V$4,$DE$6:$DF$17,2)+1))*(VLOOKUP($A122,CURVES!$D$9:$K$261,2))*(INDEX(DailyScalarsTable,V$5/100,MONTH($A122)))*$B122</f>
        <v>-72429.05520505528</v>
      </c>
      <c r="W122" s="1021">
        <f>(VLOOKUP(YEAR($A122),'NY East Load Projections'!$A$4:$EO$14,((MONTH($A122)-1)*12)+VLOOKUP(W$4,$DE$6:$DF$17,2)+1))*(VLOOKUP($A122,CURVES!$D$9:$K$261,2))*(INDEX(DailyScalarsTable,W$5/100,MONTH($A122)))*$B122</f>
        <v>-70165.342311673507</v>
      </c>
      <c r="X122" s="1021">
        <f>(VLOOKUP(YEAR($A122),'NY East Load Projections'!$A$4:$EO$14,((MONTH($A122)-1)*12)+VLOOKUP(X$4,$DE$6:$DF$17,2)+1))*(VLOOKUP($A122,CURVES!$D$9:$K$261,2))*(INDEX(DailyScalarsTable,X$5/100,MONTH($A122)))*$B122</f>
        <v>-72857.138474099891</v>
      </c>
      <c r="Y122" s="1021">
        <f>(VLOOKUP(YEAR($A122),'NY East Load Projections'!$A$4:$EO$14,((MONTH($A122)-1)*12)+VLOOKUP(Y$4,$DE$6:$DF$17,2)+1))*(VLOOKUP($A122,CURVES!$D$9:$K$261,2))*(INDEX(DailyScalarsTable,Y$5/100,MONTH($A122)))*$B122</f>
        <v>-71069.810351429885</v>
      </c>
      <c r="Z122" s="1021">
        <f>(VLOOKUP(YEAR($A122),'NY East Load Projections'!$A$4:$EO$14,((MONTH($A122)-1)*12)+VLOOKUP(Z$4,$DE$6:$DF$17,2)+1))*(VLOOKUP($A122,CURVES!$D$9:$K$261,2))*(INDEX(DailyScalarsTable,Z$5/100,MONTH($A122)))*$B122</f>
        <v>-58210.454858325356</v>
      </c>
      <c r="AA122" s="1021">
        <f>(VLOOKUP(YEAR($A122),'NY East Load Projections'!$A$4:$EO$14,((MONTH($A122)-1)*12)+VLOOKUP(AA$4,$DE$6:$DF$17,2)+1))*(VLOOKUP($A122,CURVES!$D$9:$K$261,2))*(INDEX(DailyScalarsTable,AA$5/100,MONTH($A122)))*$B122</f>
        <v>-76074.329094905828</v>
      </c>
      <c r="AB122" s="1021">
        <f>(VLOOKUP(YEAR($A122),'NY East Load Projections'!$A$4:$EO$14,((MONTH($A122)-1)*12)+VLOOKUP(AB$4,$DE$6:$DF$17,2)+1))*(VLOOKUP($A122,CURVES!$D$9:$K$261,2))*(INDEX(DailyScalarsTable,AB$5/100,MONTH($A122)))*$B122</f>
        <v>-72897.393082674593</v>
      </c>
      <c r="AC122" s="1021">
        <f>(VLOOKUP(YEAR($A122),'NY East Load Projections'!$A$4:$EO$14,((MONTH($A122)-1)*12)+VLOOKUP(AC$4,$DE$6:$DF$17,2)+1))*(VLOOKUP($A122,CURVES!$D$9:$K$261,2))*(INDEX(DailyScalarsTable,AC$5/100,MONTH($A122)))*$B122</f>
        <v>-55482.121838493797</v>
      </c>
      <c r="AD122" s="1021">
        <f>(VLOOKUP(YEAR($A122),'NY East Load Projections'!$A$4:$EO$14,((MONTH($A122)-1)*12)+VLOOKUP(AD$4,$DE$6:$DF$17,2)+1))*(VLOOKUP($A122,CURVES!$D$9:$K$261,2))*(INDEX(DailyScalarsTable,AD$5/100,MONTH($A122)))*$B122</f>
        <v>-43967.301837207968</v>
      </c>
      <c r="AE122" s="1021">
        <f>(VLOOKUP(YEAR($A122),'NY East Load Projections'!$A$4:$EO$14,((MONTH($A122)-1)*12)+VLOOKUP(AE$4,$DE$6:$DF$17,2)+1))*(VLOOKUP($A122,CURVES!$D$9:$K$261,6))*(INDEX(DailyScalarsTable,AE$5/100,MONTH($A122)))*$B122</f>
        <v>-42143.83845316786</v>
      </c>
      <c r="AF122" s="1021"/>
      <c r="AG122" s="1021">
        <f>(VLOOKUP(YEAR($A122),'NY East Load Projections'!$A$4:$EO$14,((MONTH($A122)-1)*12)+VLOOKUP(AG$4,$DE$6:$DF$17,2)+1))*(VLOOKUP($A122,CURVES!$D$9:$T$261,6))*(INDEX(DailyScalarsTable,AG$5/100,MONTH($A122)))*$C122</f>
        <v>-7041.8426571799091</v>
      </c>
      <c r="AH122" s="1021">
        <f>(VLOOKUP(YEAR($A122),'NY East Load Projections'!$A$4:$EO$14,((MONTH($A122)-1)*12)+VLOOKUP(AH$4,$DE$6:$DF$17,2)+1))*(VLOOKUP($A122,CURVES!$D$9:$T$261,6))*(INDEX(DailyScalarsTable,AH$5/100,MONTH($A122)))*$C122</f>
        <v>-6177.9335884936254</v>
      </c>
      <c r="AI122" s="1021">
        <f>(VLOOKUP(YEAR($A122),'NY East Load Projections'!$A$4:$EO$14,((MONTH($A122)-1)*12)+VLOOKUP(AI$4,$DE$6:$DF$17,2)+1))*(VLOOKUP($A122,CURVES!$D$9:$T$261,6))*(INDEX(DailyScalarsTable,AI$5/100,MONTH($A122)))*$C122</f>
        <v>-5793.3777918734386</v>
      </c>
      <c r="AJ122" s="1021">
        <f>(VLOOKUP(YEAR($A122),'NY East Load Projections'!$A$4:$EO$14,((MONTH($A122)-1)*12)+VLOOKUP(AJ$4,$DE$6:$DF$17,2)+1))*(VLOOKUP($A122,CURVES!$D$9:$T$261,6))*(INDEX(DailyScalarsTable,AJ$5/100,MONTH($A122)))*$C122</f>
        <v>-5879.2321092584125</v>
      </c>
      <c r="AK122" s="1021">
        <f>(VLOOKUP(YEAR($A122),'NY East Load Projections'!$A$4:$EO$14,((MONTH($A122)-1)*12)+VLOOKUP(AK$4,$DE$6:$DF$17,2)+1))*(VLOOKUP($A122,CURVES!$D$9:$T$261,6))*(INDEX(DailyScalarsTable,AK$5/100,MONTH($A122)))*$C122</f>
        <v>-6394.7102645637087</v>
      </c>
      <c r="AL122" s="1021">
        <f>(VLOOKUP(YEAR($A122),'NY East Load Projections'!$A$4:$EO$14,((MONTH($A122)-1)*12)+VLOOKUP(AL$4,$DE$6:$DF$17,2)+1))*(VLOOKUP($A122,CURVES!$D$9:$T$261,6))*(INDEX(DailyScalarsTable,AL$5/100,MONTH($A122)))*$C122</f>
        <v>-7400.1338564562266</v>
      </c>
      <c r="AM122" s="1021">
        <f>(VLOOKUP(YEAR($A122),'NY East Load Projections'!$A$4:$EO$14,((MONTH($A122)-1)*12)+VLOOKUP(AM$4,$DE$6:$DF$17,2)+1))*(VLOOKUP($A122,CURVES!$D$9:$T$261,6))*(INDEX(DailyScalarsTable,AM$5/100,MONTH($A122)))*$C122</f>
        <v>-10063.245090895551</v>
      </c>
      <c r="AN122" s="1021">
        <f>(VLOOKUP(YEAR($A122),'NY East Load Projections'!$A$4:$EO$14,((MONTH($A122)-1)*12)+VLOOKUP(AN$4,$DE$6:$DF$17,2)+1))*(VLOOKUP($A122,SatSunCurve,2))*(INDEX(DailyScalarsTable,AN$5/100,MONTH($A122)))*$C122</f>
        <v>-6536.9932043288618</v>
      </c>
      <c r="AO122" s="1021">
        <f>(VLOOKUP(YEAR($A122),'NY East Load Projections'!$A$4:$EO$14,((MONTH($A122)-1)*12)+VLOOKUP(AO$4,$DE$6:$DF$17,2)+1))*(VLOOKUP($A122,SatSunCurve,2))*(INDEX(DailyScalarsTable,AO$5/100,MONTH($A122)))*$C122</f>
        <v>-6838.5619667900164</v>
      </c>
      <c r="AP122" s="1021">
        <f>(VLOOKUP(YEAR($A122),'NY East Load Projections'!$A$4:$EO$14,((MONTH($A122)-1)*12)+VLOOKUP(AP$4,$DE$6:$DF$17,2)+1))*(VLOOKUP($A122,SatSunCurve,2))*(INDEX(DailyScalarsTable,AP$5/100,MONTH($A122)))*$C122</f>
        <v>-8536.6664227810579</v>
      </c>
      <c r="AQ122" s="1021">
        <f>(VLOOKUP(YEAR($A122),'NY East Load Projections'!$A$4:$EO$14,((MONTH($A122)-1)*12)+VLOOKUP(AQ$4,$DE$6:$DF$17,2)+1))*(VLOOKUP($A122,SatSunCurve,2))*(INDEX(DailyScalarsTable,AQ$5/100,MONTH($A122)))*$C122</f>
        <v>-9116.7642183059488</v>
      </c>
      <c r="AR122" s="1021">
        <f>(VLOOKUP(YEAR($A122),'NY East Load Projections'!$A$4:$EO$14,((MONTH($A122)-1)*12)+VLOOKUP(AR$4,$DE$6:$DF$17,2)+1))*(VLOOKUP($A122,SatSunCurve,2))*(INDEX(DailyScalarsTable,AR$5/100,MONTH($A122)))*$C122</f>
        <v>-9714.0012668804393</v>
      </c>
      <c r="AS122" s="1021">
        <f>(VLOOKUP(YEAR($A122),'NY East Load Projections'!$A$4:$EO$14,((MONTH($A122)-1)*12)+VLOOKUP(AS$4,$DE$6:$DF$17,2)+1))*(VLOOKUP($A122,SatSunCurve,2))*(INDEX(DailyScalarsTable,AS$5/100,MONTH($A122)))*$C122</f>
        <v>-9369.3888033168387</v>
      </c>
      <c r="AT122" s="1021">
        <f>(VLOOKUP(YEAR($A122),'NY East Load Projections'!$A$4:$EO$14,((MONTH($A122)-1)*12)+VLOOKUP(AT$4,$DE$6:$DF$17,2)+1))*(VLOOKUP($A122,SatSunCurve,2))*(INDEX(DailyScalarsTable,AT$5/100,MONTH($A122)))*$C122</f>
        <v>-10142.662602930326</v>
      </c>
      <c r="AU122" s="1021">
        <f>(VLOOKUP(YEAR($A122),'NY East Load Projections'!$A$4:$EO$14,((MONTH($A122)-1)*12)+VLOOKUP(AU$4,$DE$6:$DF$17,2)+1))*(VLOOKUP($A122,SatSunCurve,2))*(INDEX(DailyScalarsTable,AU$5/100,MONTH($A122)))*$C122</f>
        <v>-9982.628547010323</v>
      </c>
      <c r="AV122" s="1021">
        <f>(VLOOKUP(YEAR($A122),'NY East Load Projections'!$A$4:$EO$14,((MONTH($A122)-1)*12)+VLOOKUP(AV$4,$DE$6:$DF$17,2)+1))*(VLOOKUP($A122,SatSunCurve,2))*(INDEX(DailyScalarsTable,AV$5/100,MONTH($A122)))*$C122</f>
        <v>-9670.6293791662702</v>
      </c>
      <c r="AW122" s="1021">
        <f>(VLOOKUP(YEAR($A122),'NY East Load Projections'!$A$4:$EO$14,((MONTH($A122)-1)*12)+VLOOKUP(AW$4,$DE$6:$DF$17,2)+1))*(VLOOKUP($A122,SatSunCurve,2))*(INDEX(DailyScalarsTable,AW$5/100,MONTH($A122)))*$C122</f>
        <v>-10161.781725365267</v>
      </c>
      <c r="AX122" s="1021">
        <f>(VLOOKUP(YEAR($A122),'NY East Load Projections'!$A$4:$EO$14,((MONTH($A122)-1)*12)+VLOOKUP(AX$4,$DE$6:$DF$17,2)+1))*(VLOOKUP($A122,SatSunCurve,2))*(INDEX(DailyScalarsTable,AX$5/100,MONTH($A122)))*$C122</f>
        <v>-9912.4933421736059</v>
      </c>
      <c r="AY122" s="1021">
        <f>(VLOOKUP(YEAR($A122),'NY East Load Projections'!$A$4:$EO$14,((MONTH($A122)-1)*12)+VLOOKUP(AY$4,$DE$6:$DF$17,2)+1))*(VLOOKUP($A122,SatSunCurve,2))*(INDEX(DailyScalarsTable,AY$5/100,MONTH($A122)))*$C122</f>
        <v>-8118.9290273157185</v>
      </c>
      <c r="AZ122" s="1021">
        <f>(VLOOKUP(YEAR($A122),'NY East Load Projections'!$A$4:$EO$14,((MONTH($A122)-1)*12)+VLOOKUP(AZ$4,$DE$6:$DF$17,2)+1))*(VLOOKUP($A122,SatSunCurve,2))*(INDEX(DailyScalarsTable,AZ$5/100,MONTH($A122)))*$C122</f>
        <v>-10610.500815110252</v>
      </c>
      <c r="BA122" s="1021">
        <f>(VLOOKUP(YEAR($A122),'NY East Load Projections'!$A$4:$EO$14,((MONTH($A122)-1)*12)+VLOOKUP(BA$4,$DE$6:$DF$17,2)+1))*(VLOOKUP($A122,SatSunCurve,2))*(INDEX(DailyScalarsTable,BA$5/100,MONTH($A122)))*$C122</f>
        <v>-10372.917850268122</v>
      </c>
      <c r="BB122" s="1021">
        <f>(VLOOKUP(YEAR($A122),'NY East Load Projections'!$A$4:$EO$14,((MONTH($A122)-1)*12)+VLOOKUP(BB$4,$DE$6:$DF$17,2)+1))*(VLOOKUP($A122,SatSunCurve,2))*(INDEX(DailyScalarsTable,BB$5/100,MONTH($A122)))*$C122</f>
        <v>-7894.8158178518461</v>
      </c>
      <c r="BC122" s="1021">
        <f>(VLOOKUP(YEAR($A122),'NY East Load Projections'!$A$4:$EO$14,((MONTH($A122)-1)*12)+VLOOKUP(BC$4,$DE$6:$DF$17,2)+1))*(VLOOKUP($A122,SatSunCurve,2))*(INDEX(DailyScalarsTable,BC$5/100,MONTH($A122)))*$C122</f>
        <v>-6256.3171434410888</v>
      </c>
      <c r="BD122" s="1021">
        <f>(VLOOKUP(YEAR($A122),'NY East Load Projections'!$A$4:$EO$14,((MONTH($A122)-1)*12)+VLOOKUP(BD$4,$DE$6:$DF$17,2)+1))*(VLOOKUP($A122,CURVES!$D$9:$T$261,6))*(INDEX(DailyScalarsTable,BD$5/100,MONTH($A122)))*$C122</f>
        <v>-8266.5921058965632</v>
      </c>
      <c r="BE122" s="1021"/>
      <c r="BF122" s="1021">
        <f>(VLOOKUP(YEAR($A122),'NY East Load Projections'!$A$4:$EO$14,((MONTH($A122)-1)*12)+VLOOKUP(BF$4,$DE$6:$DF$17,2)+1))*(VLOOKUP($A122,CURVES!$D$9:$T$261,6))*(INDEX(DailyScalarsTable,BF$5/100,MONTH($A122)))*$D122</f>
        <v>-7041.8426571799091</v>
      </c>
      <c r="BG122" s="1021">
        <f>(VLOOKUP(YEAR($A122),'NY East Load Projections'!$A$4:$EO$14,((MONTH($A122)-1)*12)+VLOOKUP(BG$4,$DE$6:$DF$17,2)+1))*(VLOOKUP($A122,CURVES!$D$9:$T$261,6))*(INDEX(DailyScalarsTable,BG$5/100,MONTH($A122)))*$D122</f>
        <v>-6177.9335884936254</v>
      </c>
      <c r="BH122" s="1021">
        <f>(VLOOKUP(YEAR($A122),'NY East Load Projections'!$A$4:$EO$14,((MONTH($A122)-1)*12)+VLOOKUP(BH$4,$DE$6:$DF$17,2)+1))*(VLOOKUP($A122,CURVES!$D$9:$T$261,6))*(INDEX(DailyScalarsTable,BH$5/100,MONTH($A122)))*$D122</f>
        <v>-5793.3777918734386</v>
      </c>
      <c r="BI122" s="1021">
        <f>(VLOOKUP(YEAR($A122),'NY East Load Projections'!$A$4:$EO$14,((MONTH($A122)-1)*12)+VLOOKUP(BI$4,$DE$6:$DF$17,2)+1))*(VLOOKUP($A122,CURVES!$D$9:$T$261,6))*(INDEX(DailyScalarsTable,BI$5/100,MONTH($A122)))*$D122</f>
        <v>-5879.2321092584125</v>
      </c>
      <c r="BJ122" s="1021">
        <f>(VLOOKUP(YEAR($A122),'NY East Load Projections'!$A$4:$EO$14,((MONTH($A122)-1)*12)+VLOOKUP(BJ$4,$DE$6:$DF$17,2)+1))*(VLOOKUP($A122,CURVES!$D$9:$T$261,6))*(INDEX(DailyScalarsTable,BJ$5/100,MONTH($A122)))*$D122</f>
        <v>-6394.7102645637087</v>
      </c>
      <c r="BK122" s="1021">
        <f>(VLOOKUP(YEAR($A122),'NY East Load Projections'!$A$4:$EO$14,((MONTH($A122)-1)*12)+VLOOKUP(BK$4,$DE$6:$DF$17,2)+1))*(VLOOKUP($A122,CURVES!$D$9:$T$261,6))*(INDEX(DailyScalarsTable,BK$5/100,MONTH($A122)))*$D122</f>
        <v>-7400.1338564562266</v>
      </c>
      <c r="BL122" s="1021">
        <f>(VLOOKUP(YEAR($A122),'NY East Load Projections'!$A$4:$EO$14,((MONTH($A122)-1)*12)+VLOOKUP(BL$4,$DE$6:$DF$17,2)+1))*(VLOOKUP($A122,CURVES!$D$9:$T$261,6))*(INDEX(DailyScalarsTable,BL$5/100,MONTH($A122)))*$D122</f>
        <v>-10063.245090895551</v>
      </c>
      <c r="BM122" s="1021">
        <f>(VLOOKUP(YEAR($A122),'NY East Load Projections'!$A$4:$EO$14,((MONTH($A122)-1)*12)+VLOOKUP(BM$4,$DE$6:$DF$17,2)+1))*(VLOOKUP($A122,SatSunCurve,6))*(INDEX(DailyScalarsTable,BM$5/100,MONTH($A122)))*$D122</f>
        <v>-5799.9725408471058</v>
      </c>
      <c r="BN122" s="1021">
        <f>(VLOOKUP(YEAR($A122),'NY East Load Projections'!$A$4:$EO$14,((MONTH($A122)-1)*12)+VLOOKUP(BN$4,$DE$6:$DF$17,2)+1))*(VLOOKUP($A122,SatSunCurve,6))*(INDEX(DailyScalarsTable,BN$5/100,MONTH($A122)))*$D122</f>
        <v>-6067.540593433373</v>
      </c>
      <c r="BO122" s="1021">
        <f>(VLOOKUP(YEAR($A122),'NY East Load Projections'!$A$4:$EO$14,((MONTH($A122)-1)*12)+VLOOKUP(BO$4,$DE$6:$DF$17,2)+1))*(VLOOKUP($A122,SatSunCurve,6))*(INDEX(DailyScalarsTable,BO$5/100,MONTH($A122)))*$D122</f>
        <v>-7574.1903494276221</v>
      </c>
      <c r="BP122" s="1021">
        <f>(VLOOKUP(YEAR($A122),'NY East Load Projections'!$A$4:$EO$14,((MONTH($A122)-1)*12)+VLOOKUP(BP$4,$DE$6:$DF$17,2)+1))*(VLOOKUP($A122,SatSunCurve,6))*(INDEX(DailyScalarsTable,BP$5/100,MONTH($A122)))*$D122</f>
        <v>-8088.8843654505035</v>
      </c>
      <c r="BQ122" s="1021">
        <f>(VLOOKUP(YEAR($A122),'NY East Load Projections'!$A$4:$EO$14,((MONTH($A122)-1)*12)+VLOOKUP(BQ$4,$DE$6:$DF$17,2)+1))*(VLOOKUP($A122,SatSunCurve,6))*(INDEX(DailyScalarsTable,BQ$5/100,MONTH($A122)))*$D122</f>
        <v>-8618.785250128607</v>
      </c>
      <c r="BR122" s="1021">
        <f>(VLOOKUP(YEAR($A122),'NY East Load Projections'!$A$4:$EO$14,((MONTH($A122)-1)*12)+VLOOKUP(BR$4,$DE$6:$DF$17,2)+1))*(VLOOKUP($A122,SatSunCurve,6))*(INDEX(DailyScalarsTable,BR$5/100,MONTH($A122)))*$D122</f>
        <v>-8313.0265070142705</v>
      </c>
      <c r="BS122" s="1021">
        <f>(VLOOKUP(YEAR($A122),'NY East Load Projections'!$A$4:$EO$14,((MONTH($A122)-1)*12)+VLOOKUP(BS$4,$DE$6:$DF$17,2)+1))*(VLOOKUP($A122,SatSunCurve,6))*(INDEX(DailyScalarsTable,BS$5/100,MONTH($A122)))*$D122</f>
        <v>-8999.1166809102378</v>
      </c>
      <c r="BT122" s="1021">
        <f>(VLOOKUP(YEAR($A122),'NY East Load Projections'!$A$4:$EO$14,((MONTH($A122)-1)*12)+VLOOKUP(BT$4,$DE$6:$DF$17,2)+1))*(VLOOKUP($A122,SatSunCurve,6))*(INDEX(DailyScalarsTable,BT$5/100,MONTH($A122)))*$D122</f>
        <v>-8857.1258449213383</v>
      </c>
      <c r="BU122" s="1021">
        <f>(VLOOKUP(YEAR($A122),'NY East Load Projections'!$A$4:$EO$14,((MONTH($A122)-1)*12)+VLOOKUP(BU$4,$DE$6:$DF$17,2)+1))*(VLOOKUP($A122,SatSunCurve,6))*(INDEX(DailyScalarsTable,BU$5/100,MONTH($A122)))*$D122</f>
        <v>-8580.3033747580939</v>
      </c>
      <c r="BV122" s="1021">
        <f>(VLOOKUP(YEAR($A122),'NY East Load Projections'!$A$4:$EO$14,((MONTH($A122)-1)*12)+VLOOKUP(BV$4,$DE$6:$DF$17,2)+1))*(VLOOKUP($A122,SatSunCurve,6))*(INDEX(DailyScalarsTable,BV$5/100,MONTH($A122)))*$D122</f>
        <v>-9016.0801963464037</v>
      </c>
      <c r="BW122" s="1021">
        <f>(VLOOKUP(YEAR($A122),'NY East Load Projections'!$A$4:$EO$14,((MONTH($A122)-1)*12)+VLOOKUP(BW$4,$DE$6:$DF$17,2)+1))*(VLOOKUP($A122,SatSunCurve,6))*(INDEX(DailyScalarsTable,BW$5/100,MONTH($A122)))*$D122</f>
        <v>-8794.8981127691495</v>
      </c>
      <c r="BX122" s="1021">
        <f>(VLOOKUP(YEAR($A122),'NY East Load Projections'!$A$4:$EO$14,((MONTH($A122)-1)*12)+VLOOKUP(BX$4,$DE$6:$DF$17,2)+1))*(VLOOKUP($A122,SatSunCurve,6))*(INDEX(DailyScalarsTable,BX$5/100,MONTH($A122)))*$D122</f>
        <v>-7203.5512272422884</v>
      </c>
      <c r="BY122" s="1021">
        <f>(VLOOKUP(YEAR($A122),'NY East Load Projections'!$A$4:$EO$14,((MONTH($A122)-1)*12)+VLOOKUP(BY$4,$DE$6:$DF$17,2)+1))*(VLOOKUP($A122,SatSunCurve,6))*(INDEX(DailyScalarsTable,BY$5/100,MONTH($A122)))*$D122</f>
        <v>-9414.2079467854564</v>
      </c>
      <c r="BZ122" s="1021">
        <f>(VLOOKUP(YEAR($A122),'NY East Load Projections'!$A$4:$EO$14,((MONTH($A122)-1)*12)+VLOOKUP(BZ$4,$DE$6:$DF$17,2)+1))*(VLOOKUP($A122,SatSunCurve,6))*(INDEX(DailyScalarsTable,BZ$5/100,MONTH($A122)))*$D122</f>
        <v>-9203.4115409784445</v>
      </c>
      <c r="CA122" s="1021">
        <f>(VLOOKUP(YEAR($A122),'NY East Load Projections'!$A$4:$EO$14,((MONTH($A122)-1)*12)+VLOOKUP(CA$4,$DE$6:$DF$17,2)+1))*(VLOOKUP($A122,SatSunCurve,6))*(INDEX(DailyScalarsTable,CA$5/100,MONTH($A122)))*$D122</f>
        <v>-7004.7059140682122</v>
      </c>
      <c r="CB122" s="1021">
        <f>(VLOOKUP(YEAR($A122),'NY East Load Projections'!$A$4:$EO$14,((MONTH($A122)-1)*12)+VLOOKUP(CB$4,$DE$6:$DF$17,2)+1))*(VLOOKUP($A122,SatSunCurve,6))*(INDEX(DailyScalarsTable,CB$5/100,MONTH($A122)))*$D122</f>
        <v>-5550.9416186573453</v>
      </c>
      <c r="CC122" s="1021">
        <f>(VLOOKUP(YEAR($A122),'NY East Load Projections'!$A$4:$EO$14,((MONTH($A122)-1)*12)+VLOOKUP(CC$4,$DE$6:$DF$17,2)+1))*(VLOOKUP($A122,CURVES!$D$9:$T$261,6))*(INDEX(DailyScalarsTable,CC$5/100,MONTH($A122)))*$D122</f>
        <v>-8266.5921058965632</v>
      </c>
      <c r="CE122" s="1021">
        <f>(VLOOKUP(YEAR($A122),'NY East Load Projections'!$A$4:$EO$14,((MONTH($A122)-1)*12)+VLOOKUP(CE$4,$DE$6:$DF$17,2)+1))*(VLOOKUP($A122,CURVES!$D$9:$T$261,6))*(INDEX(DailyScalarsTable,CE$5/100,MONTH($A122)))*$E122</f>
        <v>-1760.4606642949773</v>
      </c>
      <c r="CF122" s="1021">
        <f>(VLOOKUP(YEAR($A122),'NY East Load Projections'!$A$4:$EO$14,((MONTH($A122)-1)*12)+VLOOKUP(CF$4,$DE$6:$DF$17,2)+1))*(VLOOKUP($A122,CURVES!$D$9:$T$261,6))*(INDEX(DailyScalarsTable,CF$5/100,MONTH($A122)))*$E122</f>
        <v>-1544.4833971234063</v>
      </c>
      <c r="CG122" s="1021">
        <f>(VLOOKUP(YEAR($A122),'NY East Load Projections'!$A$4:$EO$14,((MONTH($A122)-1)*12)+VLOOKUP(CG$4,$DE$6:$DF$17,2)+1))*(VLOOKUP($A122,CURVES!$D$9:$T$261,6))*(INDEX(DailyScalarsTable,CG$5/100,MONTH($A122)))*$E122</f>
        <v>-1448.3444479683596</v>
      </c>
      <c r="CH122" s="1021">
        <f>(VLOOKUP(YEAR($A122),'NY East Load Projections'!$A$4:$EO$14,((MONTH($A122)-1)*12)+VLOOKUP(CH$4,$DE$6:$DF$17,2)+1))*(VLOOKUP($A122,CURVES!$D$9:$T$261,6))*(INDEX(DailyScalarsTable,CH$5/100,MONTH($A122)))*$E122</f>
        <v>-1469.8080273146031</v>
      </c>
      <c r="CI122" s="1021">
        <f>(VLOOKUP(YEAR($A122),'NY East Load Projections'!$A$4:$EO$14,((MONTH($A122)-1)*12)+VLOOKUP(CI$4,$DE$6:$DF$17,2)+1))*(VLOOKUP($A122,CURVES!$D$9:$T$261,6))*(INDEX(DailyScalarsTable,CI$5/100,MONTH($A122)))*$E122</f>
        <v>-1598.6775661409272</v>
      </c>
      <c r="CJ122" s="1021">
        <f>(VLOOKUP(YEAR($A122),'NY East Load Projections'!$A$4:$EO$14,((MONTH($A122)-1)*12)+VLOOKUP(CJ$4,$DE$6:$DF$17,2)+1))*(VLOOKUP($A122,CURVES!$D$9:$T$261,6))*(INDEX(DailyScalarsTable,CJ$5/100,MONTH($A122)))*$E122</f>
        <v>-1850.0334641140566</v>
      </c>
      <c r="CK122" s="1021">
        <f>(VLOOKUP(YEAR($A122),'NY East Load Projections'!$A$4:$EO$14,((MONTH($A122)-1)*12)+VLOOKUP(CK$4,$DE$6:$DF$17,2)+1))*(VLOOKUP($A122,CURVES!$D$9:$T$261,6))*(INDEX(DailyScalarsTable,CK$5/100,MONTH($A122)))*$E122</f>
        <v>-2515.8112727238877</v>
      </c>
      <c r="CL122" s="1021">
        <f>(VLOOKUP(YEAR($A122),'NY East Load Projections'!$A$4:$EO$14,((MONTH($A122)-1)*12)+VLOOKUP(CL$4,$DE$6:$DF$17,2)+1))*(VLOOKUP($A122,SatSunCurve,6))*(INDEX(DailyScalarsTable,CL$5/100,MONTH($A122)))*$E122</f>
        <v>-1449.9931352117765</v>
      </c>
      <c r="CM122" s="1021">
        <f>(VLOOKUP(YEAR($A122),'NY East Load Projections'!$A$4:$EO$14,((MONTH($A122)-1)*12)+VLOOKUP(CM$4,$DE$6:$DF$17,2)+1))*(VLOOKUP($A122,SatSunCurve,6))*(INDEX(DailyScalarsTable,CM$5/100,MONTH($A122)))*$E122</f>
        <v>-1516.8851483583433</v>
      </c>
      <c r="CN122" s="1021">
        <f>(VLOOKUP(YEAR($A122),'NY East Load Projections'!$A$4:$EO$14,((MONTH($A122)-1)*12)+VLOOKUP(CN$4,$DE$6:$DF$17,2)+1))*(VLOOKUP($A122,SatSunCurve,6))*(INDEX(DailyScalarsTable,CN$5/100,MONTH($A122)))*$E122</f>
        <v>-1893.5475873569055</v>
      </c>
      <c r="CO122" s="1021">
        <f>(VLOOKUP(YEAR($A122),'NY East Load Projections'!$A$4:$EO$14,((MONTH($A122)-1)*12)+VLOOKUP(CO$4,$DE$6:$DF$17,2)+1))*(VLOOKUP($A122,SatSunCurve,6))*(INDEX(DailyScalarsTable,CO$5/100,MONTH($A122)))*$E122</f>
        <v>-2022.2210913626259</v>
      </c>
      <c r="CP122" s="1021">
        <f>(VLOOKUP(YEAR($A122),'NY East Load Projections'!$A$4:$EO$14,((MONTH($A122)-1)*12)+VLOOKUP(CP$4,$DE$6:$DF$17,2)+1))*(VLOOKUP($A122,SatSunCurve,6))*(INDEX(DailyScalarsTable,CP$5/100,MONTH($A122)))*$E122</f>
        <v>-2154.6963125321518</v>
      </c>
      <c r="CQ122" s="1021">
        <f>(VLOOKUP(YEAR($A122),'NY East Load Projections'!$A$4:$EO$14,((MONTH($A122)-1)*12)+VLOOKUP(CQ$4,$DE$6:$DF$17,2)+1))*(VLOOKUP($A122,SatSunCurve,6))*(INDEX(DailyScalarsTable,CQ$5/100,MONTH($A122)))*$E122</f>
        <v>-2078.2566267535676</v>
      </c>
      <c r="CR122" s="1021">
        <f>(VLOOKUP(YEAR($A122),'NY East Load Projections'!$A$4:$EO$14,((MONTH($A122)-1)*12)+VLOOKUP(CR$4,$DE$6:$DF$17,2)+1))*(VLOOKUP($A122,SatSunCurve,6))*(INDEX(DailyScalarsTable,CR$5/100,MONTH($A122)))*$E122</f>
        <v>-2249.7791702275595</v>
      </c>
      <c r="CS122" s="1021">
        <f>(VLOOKUP(YEAR($A122),'NY East Load Projections'!$A$4:$EO$14,((MONTH($A122)-1)*12)+VLOOKUP(CS$4,$DE$6:$DF$17,2)+1))*(VLOOKUP($A122,SatSunCurve,6))*(INDEX(DailyScalarsTable,CS$5/100,MONTH($A122)))*$E122</f>
        <v>-2214.2814612303346</v>
      </c>
      <c r="CT122" s="1021">
        <f>(VLOOKUP(YEAR($A122),'NY East Load Projections'!$A$4:$EO$14,((MONTH($A122)-1)*12)+VLOOKUP(CT$4,$DE$6:$DF$17,2)+1))*(VLOOKUP($A122,SatSunCurve,6))*(INDEX(DailyScalarsTable,CT$5/100,MONTH($A122)))*$E122</f>
        <v>-2145.0758436895235</v>
      </c>
      <c r="CU122" s="1021">
        <f>(VLOOKUP(YEAR($A122),'NY East Load Projections'!$A$4:$EO$14,((MONTH($A122)-1)*12)+VLOOKUP(CU$4,$DE$6:$DF$17,2)+1))*(VLOOKUP($A122,SatSunCurve,6))*(INDEX(DailyScalarsTable,CU$5/100,MONTH($A122)))*$E122</f>
        <v>-2254.0200490866009</v>
      </c>
      <c r="CV122" s="1021">
        <f>(VLOOKUP(YEAR($A122),'NY East Load Projections'!$A$4:$EO$14,((MONTH($A122)-1)*12)+VLOOKUP(CV$4,$DE$6:$DF$17,2)+1))*(VLOOKUP($A122,SatSunCurve,6))*(INDEX(DailyScalarsTable,CV$5/100,MONTH($A122)))*$E122</f>
        <v>-2198.7245281922874</v>
      </c>
      <c r="CW122" s="1021">
        <f>(VLOOKUP(YEAR($A122),'NY East Load Projections'!$A$4:$EO$14,((MONTH($A122)-1)*12)+VLOOKUP(CW$4,$DE$6:$DF$17,2)+1))*(VLOOKUP($A122,SatSunCurve,6))*(INDEX(DailyScalarsTable,CW$5/100,MONTH($A122)))*$E122</f>
        <v>-1800.8878068105721</v>
      </c>
      <c r="CX122" s="1021">
        <f>(VLOOKUP(YEAR($A122),'NY East Load Projections'!$A$4:$EO$14,((MONTH($A122)-1)*12)+VLOOKUP(CX$4,$DE$6:$DF$17,2)+1))*(VLOOKUP($A122,SatSunCurve,6))*(INDEX(DailyScalarsTable,CX$5/100,MONTH($A122)))*$E122</f>
        <v>-2353.5519866963641</v>
      </c>
      <c r="CY122" s="1021">
        <f>(VLOOKUP(YEAR($A122),'NY East Load Projections'!$A$4:$EO$14,((MONTH($A122)-1)*12)+VLOOKUP(CY$4,$DE$6:$DF$17,2)+1))*(VLOOKUP($A122,SatSunCurve,6))*(INDEX(DailyScalarsTable,CY$5/100,MONTH($A122)))*$E122</f>
        <v>-2300.8528852446111</v>
      </c>
      <c r="CZ122" s="1021">
        <f>(VLOOKUP(YEAR($A122),'NY East Load Projections'!$A$4:$EO$14,((MONTH($A122)-1)*12)+VLOOKUP(CZ$4,$DE$6:$DF$17,2)+1))*(VLOOKUP($A122,SatSunCurve,6))*(INDEX(DailyScalarsTable,CZ$5/100,MONTH($A122)))*$E122</f>
        <v>-1751.1764785170531</v>
      </c>
      <c r="DA122" s="1021">
        <f>(VLOOKUP(YEAR($A122),'NY East Load Projections'!$A$4:$EO$14,((MONTH($A122)-1)*12)+VLOOKUP(DA$4,$DE$6:$DF$17,2)+1))*(VLOOKUP($A122,SatSunCurve,6))*(INDEX(DailyScalarsTable,DA$5/100,MONTH($A122)))*$E122</f>
        <v>-1387.7354046643363</v>
      </c>
      <c r="DB122" s="1021">
        <f>(VLOOKUP(YEAR($A122),'NY East Load Projections'!$A$4:$EO$14,((MONTH($A122)-1)*12)+VLOOKUP(DB$4,$DE$6:$DF$17,2)+1))*(VLOOKUP($A122,CURVES!$D$9:$T$261,6))*(INDEX(DailyScalarsTable,DB$5/100,MONTH($A122)))*$E122</f>
        <v>-2066.6480264741408</v>
      </c>
      <c r="DH122" s="1021">
        <f t="shared" si="2"/>
        <v>-1766539.1905834705</v>
      </c>
      <c r="DI122">
        <f ca="1">CALC!J142</f>
        <v>0.46080758483535578</v>
      </c>
      <c r="DJ122" s="1029">
        <f t="shared" ca="1" si="3"/>
        <v>-814034.65792977333</v>
      </c>
    </row>
    <row r="123" spans="1:114" x14ac:dyDescent="0.25">
      <c r="A123" s="244">
        <v>40452</v>
      </c>
      <c r="B123" s="13">
        <v>21</v>
      </c>
      <c r="C123" s="210">
        <v>5</v>
      </c>
      <c r="D123" s="210">
        <v>5</v>
      </c>
      <c r="E123" s="210">
        <v>0</v>
      </c>
      <c r="F123" s="13">
        <v>31</v>
      </c>
      <c r="H123" s="1021">
        <f>(VLOOKUP(YEAR($A123),'NY East Load Projections'!$A$4:$EO$14,((MONTH($A123)-1)*12)+VLOOKUP(H$4,$DE$6:$DF$17,2)+1))*(VLOOKUP($A123,CURVES!$D$9:$K$261,6))*(INDEX(DailyScalarsTable,H$5/100,MONTH($A123)))*$B123</f>
        <v>0</v>
      </c>
      <c r="I123" s="1021">
        <f>(VLOOKUP(YEAR($A123),'NY East Load Projections'!$A$4:$EO$14,((MONTH($A123)-1)*12)+VLOOKUP(I$4,$DE$6:$DF$17,2)+1))*(VLOOKUP($A123,CURVES!$D$9:$K$261,6))*(INDEX(DailyScalarsTable,I$5/100,MONTH($A123)))*$B123</f>
        <v>0</v>
      </c>
      <c r="J123" s="1021">
        <f>(VLOOKUP(YEAR($A123),'NY East Load Projections'!$A$4:$EO$14,((MONTH($A123)-1)*12)+VLOOKUP(J$4,$DE$6:$DF$17,2)+1))*(VLOOKUP($A123,CURVES!$D$9:$K$261,6))*(INDEX(DailyScalarsTable,J$5/100,MONTH($A123)))*$B123</f>
        <v>0</v>
      </c>
      <c r="K123" s="1021">
        <f>(VLOOKUP(YEAR($A123),'NY East Load Projections'!$A$4:$EO$14,((MONTH($A123)-1)*12)+VLOOKUP(K$4,$DE$6:$DF$17,2)+1))*(VLOOKUP($A123,CURVES!$D$9:$K$261,6))*(INDEX(DailyScalarsTable,K$5/100,MONTH($A123)))*$B123</f>
        <v>0</v>
      </c>
      <c r="L123" s="1021">
        <f>(VLOOKUP(YEAR($A123),'NY East Load Projections'!$A$4:$EO$14,((MONTH($A123)-1)*12)+VLOOKUP(L$4,$DE$6:$DF$17,2)+1))*(VLOOKUP($A123,CURVES!$D$9:$K$261,6))*(INDEX(DailyScalarsTable,L$5/100,MONTH($A123)))*$B123</f>
        <v>0</v>
      </c>
      <c r="M123" s="1021">
        <f>(VLOOKUP(YEAR($A123),'NY East Load Projections'!$A$4:$EO$14,((MONTH($A123)-1)*12)+VLOOKUP(M$4,$DE$6:$DF$17,2)+1))*(VLOOKUP($A123,CURVES!$D$9:$K$261,6))*(INDEX(DailyScalarsTable,M$5/100,MONTH($A123)))*$B123</f>
        <v>0</v>
      </c>
      <c r="N123" s="1021">
        <f>(VLOOKUP(YEAR($A123),'NY East Load Projections'!$A$4:$EO$14,((MONTH($A123)-1)*12)+VLOOKUP(N$4,$DE$6:$DF$17,2)+1))*(VLOOKUP($A123,CURVES!$D$9:$K$261,6))*(INDEX(DailyScalarsTable,N$5/100,MONTH($A123)))*$B123</f>
        <v>0</v>
      </c>
      <c r="O123" s="1021">
        <f>(VLOOKUP(YEAR($A123),'NY East Load Projections'!$A$4:$EO$14,((MONTH($A123)-1)*12)+VLOOKUP(O$4,$DE$6:$DF$17,2)+1))*(VLOOKUP($A123,CURVES!$D$9:$K$261,2))*(INDEX(DailyScalarsTable,O$5/100,MONTH($A123)))*$B123</f>
        <v>0</v>
      </c>
      <c r="P123" s="1021">
        <f>(VLOOKUP(YEAR($A123),'NY East Load Projections'!$A$4:$EO$14,((MONTH($A123)-1)*12)+VLOOKUP(P$4,$DE$6:$DF$17,2)+1))*(VLOOKUP($A123,CURVES!$D$9:$K$261,2))*(INDEX(DailyScalarsTable,P$5/100,MONTH($A123)))*$B123</f>
        <v>0</v>
      </c>
      <c r="Q123" s="1021">
        <f>(VLOOKUP(YEAR($A123),'NY East Load Projections'!$A$4:$EO$14,((MONTH($A123)-1)*12)+VLOOKUP(Q$4,$DE$6:$DF$17,2)+1))*(VLOOKUP($A123,CURVES!$D$9:$K$261,2))*(INDEX(DailyScalarsTable,Q$5/100,MONTH($A123)))*$B123</f>
        <v>0</v>
      </c>
      <c r="R123" s="1021">
        <f>(VLOOKUP(YEAR($A123),'NY East Load Projections'!$A$4:$EO$14,((MONTH($A123)-1)*12)+VLOOKUP(R$4,$DE$6:$DF$17,2)+1))*(VLOOKUP($A123,CURVES!$D$9:$K$261,2))*(INDEX(DailyScalarsTable,R$5/100,MONTH($A123)))*$B123</f>
        <v>0</v>
      </c>
      <c r="S123" s="1021">
        <f>(VLOOKUP(YEAR($A123),'NY East Load Projections'!$A$4:$EO$14,((MONTH($A123)-1)*12)+VLOOKUP(S$4,$DE$6:$DF$17,2)+1))*(VLOOKUP($A123,CURVES!$D$9:$K$261,2))*(INDEX(DailyScalarsTable,S$5/100,MONTH($A123)))*$B123</f>
        <v>0</v>
      </c>
      <c r="T123" s="1021">
        <f>(VLOOKUP(YEAR($A123),'NY East Load Projections'!$A$4:$EO$14,((MONTH($A123)-1)*12)+VLOOKUP(T$4,$DE$6:$DF$17,2)+1))*(VLOOKUP($A123,CURVES!$D$9:$K$261,2))*(INDEX(DailyScalarsTable,T$5/100,MONTH($A123)))*$B123</f>
        <v>0</v>
      </c>
      <c r="U123" s="1021">
        <f>(VLOOKUP(YEAR($A123),'NY East Load Projections'!$A$4:$EO$14,((MONTH($A123)-1)*12)+VLOOKUP(U$4,$DE$6:$DF$17,2)+1))*(VLOOKUP($A123,CURVES!$D$9:$K$261,2))*(INDEX(DailyScalarsTable,U$5/100,MONTH($A123)))*$B123</f>
        <v>0</v>
      </c>
      <c r="V123" s="1021">
        <f>(VLOOKUP(YEAR($A123),'NY East Load Projections'!$A$4:$EO$14,((MONTH($A123)-1)*12)+VLOOKUP(V$4,$DE$6:$DF$17,2)+1))*(VLOOKUP($A123,CURVES!$D$9:$K$261,2))*(INDEX(DailyScalarsTable,V$5/100,MONTH($A123)))*$B123</f>
        <v>0</v>
      </c>
      <c r="W123" s="1021">
        <f>(VLOOKUP(YEAR($A123),'NY East Load Projections'!$A$4:$EO$14,((MONTH($A123)-1)*12)+VLOOKUP(W$4,$DE$6:$DF$17,2)+1))*(VLOOKUP($A123,CURVES!$D$9:$K$261,2))*(INDEX(DailyScalarsTable,W$5/100,MONTH($A123)))*$B123</f>
        <v>0</v>
      </c>
      <c r="X123" s="1021">
        <f>(VLOOKUP(YEAR($A123),'NY East Load Projections'!$A$4:$EO$14,((MONTH($A123)-1)*12)+VLOOKUP(X$4,$DE$6:$DF$17,2)+1))*(VLOOKUP($A123,CURVES!$D$9:$K$261,2))*(INDEX(DailyScalarsTable,X$5/100,MONTH($A123)))*$B123</f>
        <v>0</v>
      </c>
      <c r="Y123" s="1021">
        <f>(VLOOKUP(YEAR($A123),'NY East Load Projections'!$A$4:$EO$14,((MONTH($A123)-1)*12)+VLOOKUP(Y$4,$DE$6:$DF$17,2)+1))*(VLOOKUP($A123,CURVES!$D$9:$K$261,2))*(INDEX(DailyScalarsTable,Y$5/100,MONTH($A123)))*$B123</f>
        <v>0</v>
      </c>
      <c r="Z123" s="1021">
        <f>(VLOOKUP(YEAR($A123),'NY East Load Projections'!$A$4:$EO$14,((MONTH($A123)-1)*12)+VLOOKUP(Z$4,$DE$6:$DF$17,2)+1))*(VLOOKUP($A123,CURVES!$D$9:$K$261,2))*(INDEX(DailyScalarsTable,Z$5/100,MONTH($A123)))*$B123</f>
        <v>0</v>
      </c>
      <c r="AA123" s="1021">
        <f>(VLOOKUP(YEAR($A123),'NY East Load Projections'!$A$4:$EO$14,((MONTH($A123)-1)*12)+VLOOKUP(AA$4,$DE$6:$DF$17,2)+1))*(VLOOKUP($A123,CURVES!$D$9:$K$261,2))*(INDEX(DailyScalarsTable,AA$5/100,MONTH($A123)))*$B123</f>
        <v>0</v>
      </c>
      <c r="AB123" s="1021">
        <f>(VLOOKUP(YEAR($A123),'NY East Load Projections'!$A$4:$EO$14,((MONTH($A123)-1)*12)+VLOOKUP(AB$4,$DE$6:$DF$17,2)+1))*(VLOOKUP($A123,CURVES!$D$9:$K$261,2))*(INDEX(DailyScalarsTable,AB$5/100,MONTH($A123)))*$B123</f>
        <v>0</v>
      </c>
      <c r="AC123" s="1021">
        <f>(VLOOKUP(YEAR($A123),'NY East Load Projections'!$A$4:$EO$14,((MONTH($A123)-1)*12)+VLOOKUP(AC$4,$DE$6:$DF$17,2)+1))*(VLOOKUP($A123,CURVES!$D$9:$K$261,2))*(INDEX(DailyScalarsTable,AC$5/100,MONTH($A123)))*$B123</f>
        <v>0</v>
      </c>
      <c r="AD123" s="1021">
        <f>(VLOOKUP(YEAR($A123),'NY East Load Projections'!$A$4:$EO$14,((MONTH($A123)-1)*12)+VLOOKUP(AD$4,$DE$6:$DF$17,2)+1))*(VLOOKUP($A123,CURVES!$D$9:$K$261,2))*(INDEX(DailyScalarsTable,AD$5/100,MONTH($A123)))*$B123</f>
        <v>0</v>
      </c>
      <c r="AE123" s="1021">
        <f>(VLOOKUP(YEAR($A123),'NY East Load Projections'!$A$4:$EO$14,((MONTH($A123)-1)*12)+VLOOKUP(AE$4,$DE$6:$DF$17,2)+1))*(VLOOKUP($A123,CURVES!$D$9:$K$261,6))*(INDEX(DailyScalarsTable,AE$5/100,MONTH($A123)))*$B123</f>
        <v>0</v>
      </c>
      <c r="AF123" s="1021"/>
      <c r="AG123" s="1021">
        <f>(VLOOKUP(YEAR($A123),'NY East Load Projections'!$A$4:$EO$14,((MONTH($A123)-1)*12)+VLOOKUP(AG$4,$DE$6:$DF$17,2)+1))*(VLOOKUP($A123,CURVES!$D$9:$T$261,6))*(INDEX(DailyScalarsTable,AG$5/100,MONTH($A123)))*$C123</f>
        <v>0</v>
      </c>
      <c r="AH123" s="1021">
        <f>(VLOOKUP(YEAR($A123),'NY East Load Projections'!$A$4:$EO$14,((MONTH($A123)-1)*12)+VLOOKUP(AH$4,$DE$6:$DF$17,2)+1))*(VLOOKUP($A123,CURVES!$D$9:$T$261,6))*(INDEX(DailyScalarsTable,AH$5/100,MONTH($A123)))*$C123</f>
        <v>0</v>
      </c>
      <c r="AI123" s="1021">
        <f>(VLOOKUP(YEAR($A123),'NY East Load Projections'!$A$4:$EO$14,((MONTH($A123)-1)*12)+VLOOKUP(AI$4,$DE$6:$DF$17,2)+1))*(VLOOKUP($A123,CURVES!$D$9:$T$261,6))*(INDEX(DailyScalarsTable,AI$5/100,MONTH($A123)))*$C123</f>
        <v>0</v>
      </c>
      <c r="AJ123" s="1021">
        <f>(VLOOKUP(YEAR($A123),'NY East Load Projections'!$A$4:$EO$14,((MONTH($A123)-1)*12)+VLOOKUP(AJ$4,$DE$6:$DF$17,2)+1))*(VLOOKUP($A123,CURVES!$D$9:$T$261,6))*(INDEX(DailyScalarsTable,AJ$5/100,MONTH($A123)))*$C123</f>
        <v>0</v>
      </c>
      <c r="AK123" s="1021">
        <f>(VLOOKUP(YEAR($A123),'NY East Load Projections'!$A$4:$EO$14,((MONTH($A123)-1)*12)+VLOOKUP(AK$4,$DE$6:$DF$17,2)+1))*(VLOOKUP($A123,CURVES!$D$9:$T$261,6))*(INDEX(DailyScalarsTable,AK$5/100,MONTH($A123)))*$C123</f>
        <v>0</v>
      </c>
      <c r="AL123" s="1021">
        <f>(VLOOKUP(YEAR($A123),'NY East Load Projections'!$A$4:$EO$14,((MONTH($A123)-1)*12)+VLOOKUP(AL$4,$DE$6:$DF$17,2)+1))*(VLOOKUP($A123,CURVES!$D$9:$T$261,6))*(INDEX(DailyScalarsTable,AL$5/100,MONTH($A123)))*$C123</f>
        <v>0</v>
      </c>
      <c r="AM123" s="1021">
        <f>(VLOOKUP(YEAR($A123),'NY East Load Projections'!$A$4:$EO$14,((MONTH($A123)-1)*12)+VLOOKUP(AM$4,$DE$6:$DF$17,2)+1))*(VLOOKUP($A123,CURVES!$D$9:$T$261,6))*(INDEX(DailyScalarsTable,AM$5/100,MONTH($A123)))*$C123</f>
        <v>0</v>
      </c>
      <c r="AN123" s="1021">
        <f>(VLOOKUP(YEAR($A123),'NY East Load Projections'!$A$4:$EO$14,((MONTH($A123)-1)*12)+VLOOKUP(AN$4,$DE$6:$DF$17,2)+1))*(VLOOKUP($A123,SatSunCurve,2))*(INDEX(DailyScalarsTable,AN$5/100,MONTH($A123)))*$C123</f>
        <v>0</v>
      </c>
      <c r="AO123" s="1021">
        <f>(VLOOKUP(YEAR($A123),'NY East Load Projections'!$A$4:$EO$14,((MONTH($A123)-1)*12)+VLOOKUP(AO$4,$DE$6:$DF$17,2)+1))*(VLOOKUP($A123,SatSunCurve,2))*(INDEX(DailyScalarsTable,AO$5/100,MONTH($A123)))*$C123</f>
        <v>0</v>
      </c>
      <c r="AP123" s="1021">
        <f>(VLOOKUP(YEAR($A123),'NY East Load Projections'!$A$4:$EO$14,((MONTH($A123)-1)*12)+VLOOKUP(AP$4,$DE$6:$DF$17,2)+1))*(VLOOKUP($A123,SatSunCurve,2))*(INDEX(DailyScalarsTable,AP$5/100,MONTH($A123)))*$C123</f>
        <v>0</v>
      </c>
      <c r="AQ123" s="1021">
        <f>(VLOOKUP(YEAR($A123),'NY East Load Projections'!$A$4:$EO$14,((MONTH($A123)-1)*12)+VLOOKUP(AQ$4,$DE$6:$DF$17,2)+1))*(VLOOKUP($A123,SatSunCurve,2))*(INDEX(DailyScalarsTable,AQ$5/100,MONTH($A123)))*$C123</f>
        <v>0</v>
      </c>
      <c r="AR123" s="1021">
        <f>(VLOOKUP(YEAR($A123),'NY East Load Projections'!$A$4:$EO$14,((MONTH($A123)-1)*12)+VLOOKUP(AR$4,$DE$6:$DF$17,2)+1))*(VLOOKUP($A123,SatSunCurve,2))*(INDEX(DailyScalarsTable,AR$5/100,MONTH($A123)))*$C123</f>
        <v>0</v>
      </c>
      <c r="AS123" s="1021">
        <f>(VLOOKUP(YEAR($A123),'NY East Load Projections'!$A$4:$EO$14,((MONTH($A123)-1)*12)+VLOOKUP(AS$4,$DE$6:$DF$17,2)+1))*(VLOOKUP($A123,SatSunCurve,2))*(INDEX(DailyScalarsTable,AS$5/100,MONTH($A123)))*$C123</f>
        <v>0</v>
      </c>
      <c r="AT123" s="1021">
        <f>(VLOOKUP(YEAR($A123),'NY East Load Projections'!$A$4:$EO$14,((MONTH($A123)-1)*12)+VLOOKUP(AT$4,$DE$6:$DF$17,2)+1))*(VLOOKUP($A123,SatSunCurve,2))*(INDEX(DailyScalarsTable,AT$5/100,MONTH($A123)))*$C123</f>
        <v>0</v>
      </c>
      <c r="AU123" s="1021">
        <f>(VLOOKUP(YEAR($A123),'NY East Load Projections'!$A$4:$EO$14,((MONTH($A123)-1)*12)+VLOOKUP(AU$4,$DE$6:$DF$17,2)+1))*(VLOOKUP($A123,SatSunCurve,2))*(INDEX(DailyScalarsTable,AU$5/100,MONTH($A123)))*$C123</f>
        <v>0</v>
      </c>
      <c r="AV123" s="1021">
        <f>(VLOOKUP(YEAR($A123),'NY East Load Projections'!$A$4:$EO$14,((MONTH($A123)-1)*12)+VLOOKUP(AV$4,$DE$6:$DF$17,2)+1))*(VLOOKUP($A123,SatSunCurve,2))*(INDEX(DailyScalarsTable,AV$5/100,MONTH($A123)))*$C123</f>
        <v>0</v>
      </c>
      <c r="AW123" s="1021">
        <f>(VLOOKUP(YEAR($A123),'NY East Load Projections'!$A$4:$EO$14,((MONTH($A123)-1)*12)+VLOOKUP(AW$4,$DE$6:$DF$17,2)+1))*(VLOOKUP($A123,SatSunCurve,2))*(INDEX(DailyScalarsTable,AW$5/100,MONTH($A123)))*$C123</f>
        <v>0</v>
      </c>
      <c r="AX123" s="1021">
        <f>(VLOOKUP(YEAR($A123),'NY East Load Projections'!$A$4:$EO$14,((MONTH($A123)-1)*12)+VLOOKUP(AX$4,$DE$6:$DF$17,2)+1))*(VLOOKUP($A123,SatSunCurve,2))*(INDEX(DailyScalarsTable,AX$5/100,MONTH($A123)))*$C123</f>
        <v>0</v>
      </c>
      <c r="AY123" s="1021">
        <f>(VLOOKUP(YEAR($A123),'NY East Load Projections'!$A$4:$EO$14,((MONTH($A123)-1)*12)+VLOOKUP(AY$4,$DE$6:$DF$17,2)+1))*(VLOOKUP($A123,SatSunCurve,2))*(INDEX(DailyScalarsTable,AY$5/100,MONTH($A123)))*$C123</f>
        <v>0</v>
      </c>
      <c r="AZ123" s="1021">
        <f>(VLOOKUP(YEAR($A123),'NY East Load Projections'!$A$4:$EO$14,((MONTH($A123)-1)*12)+VLOOKUP(AZ$4,$DE$6:$DF$17,2)+1))*(VLOOKUP($A123,SatSunCurve,2))*(INDEX(DailyScalarsTable,AZ$5/100,MONTH($A123)))*$C123</f>
        <v>0</v>
      </c>
      <c r="BA123" s="1021">
        <f>(VLOOKUP(YEAR($A123),'NY East Load Projections'!$A$4:$EO$14,((MONTH($A123)-1)*12)+VLOOKUP(BA$4,$DE$6:$DF$17,2)+1))*(VLOOKUP($A123,SatSunCurve,2))*(INDEX(DailyScalarsTable,BA$5/100,MONTH($A123)))*$C123</f>
        <v>0</v>
      </c>
      <c r="BB123" s="1021">
        <f>(VLOOKUP(YEAR($A123),'NY East Load Projections'!$A$4:$EO$14,((MONTH($A123)-1)*12)+VLOOKUP(BB$4,$DE$6:$DF$17,2)+1))*(VLOOKUP($A123,SatSunCurve,2))*(INDEX(DailyScalarsTable,BB$5/100,MONTH($A123)))*$C123</f>
        <v>0</v>
      </c>
      <c r="BC123" s="1021">
        <f>(VLOOKUP(YEAR($A123),'NY East Load Projections'!$A$4:$EO$14,((MONTH($A123)-1)*12)+VLOOKUP(BC$4,$DE$6:$DF$17,2)+1))*(VLOOKUP($A123,SatSunCurve,2))*(INDEX(DailyScalarsTable,BC$5/100,MONTH($A123)))*$C123</f>
        <v>0</v>
      </c>
      <c r="BD123" s="1021">
        <f>(VLOOKUP(YEAR($A123),'NY East Load Projections'!$A$4:$EO$14,((MONTH($A123)-1)*12)+VLOOKUP(BD$4,$DE$6:$DF$17,2)+1))*(VLOOKUP($A123,CURVES!$D$9:$T$261,6))*(INDEX(DailyScalarsTable,BD$5/100,MONTH($A123)))*$C123</f>
        <v>0</v>
      </c>
      <c r="BE123" s="1021"/>
      <c r="BF123" s="1021">
        <f>(VLOOKUP(YEAR($A123),'NY East Load Projections'!$A$4:$EO$14,((MONTH($A123)-1)*12)+VLOOKUP(BF$4,$DE$6:$DF$17,2)+1))*(VLOOKUP($A123,CURVES!$D$9:$T$261,6))*(INDEX(DailyScalarsTable,BF$5/100,MONTH($A123)))*$D123</f>
        <v>0</v>
      </c>
      <c r="BG123" s="1021">
        <f>(VLOOKUP(YEAR($A123),'NY East Load Projections'!$A$4:$EO$14,((MONTH($A123)-1)*12)+VLOOKUP(BG$4,$DE$6:$DF$17,2)+1))*(VLOOKUP($A123,CURVES!$D$9:$T$261,6))*(INDEX(DailyScalarsTable,BG$5/100,MONTH($A123)))*$D123</f>
        <v>0</v>
      </c>
      <c r="BH123" s="1021">
        <f>(VLOOKUP(YEAR($A123),'NY East Load Projections'!$A$4:$EO$14,((MONTH($A123)-1)*12)+VLOOKUP(BH$4,$DE$6:$DF$17,2)+1))*(VLOOKUP($A123,CURVES!$D$9:$T$261,6))*(INDEX(DailyScalarsTable,BH$5/100,MONTH($A123)))*$D123</f>
        <v>0</v>
      </c>
      <c r="BI123" s="1021">
        <f>(VLOOKUP(YEAR($A123),'NY East Load Projections'!$A$4:$EO$14,((MONTH($A123)-1)*12)+VLOOKUP(BI$4,$DE$6:$DF$17,2)+1))*(VLOOKUP($A123,CURVES!$D$9:$T$261,6))*(INDEX(DailyScalarsTable,BI$5/100,MONTH($A123)))*$D123</f>
        <v>0</v>
      </c>
      <c r="BJ123" s="1021">
        <f>(VLOOKUP(YEAR($A123),'NY East Load Projections'!$A$4:$EO$14,((MONTH($A123)-1)*12)+VLOOKUP(BJ$4,$DE$6:$DF$17,2)+1))*(VLOOKUP($A123,CURVES!$D$9:$T$261,6))*(INDEX(DailyScalarsTable,BJ$5/100,MONTH($A123)))*$D123</f>
        <v>0</v>
      </c>
      <c r="BK123" s="1021">
        <f>(VLOOKUP(YEAR($A123),'NY East Load Projections'!$A$4:$EO$14,((MONTH($A123)-1)*12)+VLOOKUP(BK$4,$DE$6:$DF$17,2)+1))*(VLOOKUP($A123,CURVES!$D$9:$T$261,6))*(INDEX(DailyScalarsTable,BK$5/100,MONTH($A123)))*$D123</f>
        <v>0</v>
      </c>
      <c r="BL123" s="1021">
        <f>(VLOOKUP(YEAR($A123),'NY East Load Projections'!$A$4:$EO$14,((MONTH($A123)-1)*12)+VLOOKUP(BL$4,$DE$6:$DF$17,2)+1))*(VLOOKUP($A123,CURVES!$D$9:$T$261,6))*(INDEX(DailyScalarsTable,BL$5/100,MONTH($A123)))*$D123</f>
        <v>0</v>
      </c>
      <c r="BM123" s="1021">
        <f>(VLOOKUP(YEAR($A123),'NY East Load Projections'!$A$4:$EO$14,((MONTH($A123)-1)*12)+VLOOKUP(BM$4,$DE$6:$DF$17,2)+1))*(VLOOKUP($A123,SatSunCurve,6))*(INDEX(DailyScalarsTable,BM$5/100,MONTH($A123)))*$D123</f>
        <v>0</v>
      </c>
      <c r="BN123" s="1021">
        <f>(VLOOKUP(YEAR($A123),'NY East Load Projections'!$A$4:$EO$14,((MONTH($A123)-1)*12)+VLOOKUP(BN$4,$DE$6:$DF$17,2)+1))*(VLOOKUP($A123,SatSunCurve,6))*(INDEX(DailyScalarsTable,BN$5/100,MONTH($A123)))*$D123</f>
        <v>0</v>
      </c>
      <c r="BO123" s="1021">
        <f>(VLOOKUP(YEAR($A123),'NY East Load Projections'!$A$4:$EO$14,((MONTH($A123)-1)*12)+VLOOKUP(BO$4,$DE$6:$DF$17,2)+1))*(VLOOKUP($A123,SatSunCurve,6))*(INDEX(DailyScalarsTable,BO$5/100,MONTH($A123)))*$D123</f>
        <v>0</v>
      </c>
      <c r="BP123" s="1021">
        <f>(VLOOKUP(YEAR($A123),'NY East Load Projections'!$A$4:$EO$14,((MONTH($A123)-1)*12)+VLOOKUP(BP$4,$DE$6:$DF$17,2)+1))*(VLOOKUP($A123,SatSunCurve,6))*(INDEX(DailyScalarsTable,BP$5/100,MONTH($A123)))*$D123</f>
        <v>0</v>
      </c>
      <c r="BQ123" s="1021">
        <f>(VLOOKUP(YEAR($A123),'NY East Load Projections'!$A$4:$EO$14,((MONTH($A123)-1)*12)+VLOOKUP(BQ$4,$DE$6:$DF$17,2)+1))*(VLOOKUP($A123,SatSunCurve,6))*(INDEX(DailyScalarsTable,BQ$5/100,MONTH($A123)))*$D123</f>
        <v>0</v>
      </c>
      <c r="BR123" s="1021">
        <f>(VLOOKUP(YEAR($A123),'NY East Load Projections'!$A$4:$EO$14,((MONTH($A123)-1)*12)+VLOOKUP(BR$4,$DE$6:$DF$17,2)+1))*(VLOOKUP($A123,SatSunCurve,6))*(INDEX(DailyScalarsTable,BR$5/100,MONTH($A123)))*$D123</f>
        <v>0</v>
      </c>
      <c r="BS123" s="1021">
        <f>(VLOOKUP(YEAR($A123),'NY East Load Projections'!$A$4:$EO$14,((MONTH($A123)-1)*12)+VLOOKUP(BS$4,$DE$6:$DF$17,2)+1))*(VLOOKUP($A123,SatSunCurve,6))*(INDEX(DailyScalarsTable,BS$5/100,MONTH($A123)))*$D123</f>
        <v>0</v>
      </c>
      <c r="BT123" s="1021">
        <f>(VLOOKUP(YEAR($A123),'NY East Load Projections'!$A$4:$EO$14,((MONTH($A123)-1)*12)+VLOOKUP(BT$4,$DE$6:$DF$17,2)+1))*(VLOOKUP($A123,SatSunCurve,6))*(INDEX(DailyScalarsTable,BT$5/100,MONTH($A123)))*$D123</f>
        <v>0</v>
      </c>
      <c r="BU123" s="1021">
        <f>(VLOOKUP(YEAR($A123),'NY East Load Projections'!$A$4:$EO$14,((MONTH($A123)-1)*12)+VLOOKUP(BU$4,$DE$6:$DF$17,2)+1))*(VLOOKUP($A123,SatSunCurve,6))*(INDEX(DailyScalarsTable,BU$5/100,MONTH($A123)))*$D123</f>
        <v>0</v>
      </c>
      <c r="BV123" s="1021">
        <f>(VLOOKUP(YEAR($A123),'NY East Load Projections'!$A$4:$EO$14,((MONTH($A123)-1)*12)+VLOOKUP(BV$4,$DE$6:$DF$17,2)+1))*(VLOOKUP($A123,SatSunCurve,6))*(INDEX(DailyScalarsTable,BV$5/100,MONTH($A123)))*$D123</f>
        <v>0</v>
      </c>
      <c r="BW123" s="1021">
        <f>(VLOOKUP(YEAR($A123),'NY East Load Projections'!$A$4:$EO$14,((MONTH($A123)-1)*12)+VLOOKUP(BW$4,$DE$6:$DF$17,2)+1))*(VLOOKUP($A123,SatSunCurve,6))*(INDEX(DailyScalarsTable,BW$5/100,MONTH($A123)))*$D123</f>
        <v>0</v>
      </c>
      <c r="BX123" s="1021">
        <f>(VLOOKUP(YEAR($A123),'NY East Load Projections'!$A$4:$EO$14,((MONTH($A123)-1)*12)+VLOOKUP(BX$4,$DE$6:$DF$17,2)+1))*(VLOOKUP($A123,SatSunCurve,6))*(INDEX(DailyScalarsTable,BX$5/100,MONTH($A123)))*$D123</f>
        <v>0</v>
      </c>
      <c r="BY123" s="1021">
        <f>(VLOOKUP(YEAR($A123),'NY East Load Projections'!$A$4:$EO$14,((MONTH($A123)-1)*12)+VLOOKUP(BY$4,$DE$6:$DF$17,2)+1))*(VLOOKUP($A123,SatSunCurve,6))*(INDEX(DailyScalarsTable,BY$5/100,MONTH($A123)))*$D123</f>
        <v>0</v>
      </c>
      <c r="BZ123" s="1021">
        <f>(VLOOKUP(YEAR($A123),'NY East Load Projections'!$A$4:$EO$14,((MONTH($A123)-1)*12)+VLOOKUP(BZ$4,$DE$6:$DF$17,2)+1))*(VLOOKUP($A123,SatSunCurve,6))*(INDEX(DailyScalarsTable,BZ$5/100,MONTH($A123)))*$D123</f>
        <v>0</v>
      </c>
      <c r="CA123" s="1021">
        <f>(VLOOKUP(YEAR($A123),'NY East Load Projections'!$A$4:$EO$14,((MONTH($A123)-1)*12)+VLOOKUP(CA$4,$DE$6:$DF$17,2)+1))*(VLOOKUP($A123,SatSunCurve,6))*(INDEX(DailyScalarsTable,CA$5/100,MONTH($A123)))*$D123</f>
        <v>0</v>
      </c>
      <c r="CB123" s="1021">
        <f>(VLOOKUP(YEAR($A123),'NY East Load Projections'!$A$4:$EO$14,((MONTH($A123)-1)*12)+VLOOKUP(CB$4,$DE$6:$DF$17,2)+1))*(VLOOKUP($A123,SatSunCurve,6))*(INDEX(DailyScalarsTable,CB$5/100,MONTH($A123)))*$D123</f>
        <v>0</v>
      </c>
      <c r="CC123" s="1021">
        <f>(VLOOKUP(YEAR($A123),'NY East Load Projections'!$A$4:$EO$14,((MONTH($A123)-1)*12)+VLOOKUP(CC$4,$DE$6:$DF$17,2)+1))*(VLOOKUP($A123,CURVES!$D$9:$T$261,6))*(INDEX(DailyScalarsTable,CC$5/100,MONTH($A123)))*$D123</f>
        <v>0</v>
      </c>
      <c r="CE123" s="1021">
        <f>(VLOOKUP(YEAR($A123),'NY East Load Projections'!$A$4:$EO$14,((MONTH($A123)-1)*12)+VLOOKUP(CE$4,$DE$6:$DF$17,2)+1))*(VLOOKUP($A123,CURVES!$D$9:$T$261,6))*(INDEX(DailyScalarsTable,CE$5/100,MONTH($A123)))*$E123</f>
        <v>0</v>
      </c>
      <c r="CF123" s="1021">
        <f>(VLOOKUP(YEAR($A123),'NY East Load Projections'!$A$4:$EO$14,((MONTH($A123)-1)*12)+VLOOKUP(CF$4,$DE$6:$DF$17,2)+1))*(VLOOKUP($A123,CURVES!$D$9:$T$261,6))*(INDEX(DailyScalarsTable,CF$5/100,MONTH($A123)))*$E123</f>
        <v>0</v>
      </c>
      <c r="CG123" s="1021">
        <f>(VLOOKUP(YEAR($A123),'NY East Load Projections'!$A$4:$EO$14,((MONTH($A123)-1)*12)+VLOOKUP(CG$4,$DE$6:$DF$17,2)+1))*(VLOOKUP($A123,CURVES!$D$9:$T$261,6))*(INDEX(DailyScalarsTable,CG$5/100,MONTH($A123)))*$E123</f>
        <v>0</v>
      </c>
      <c r="CH123" s="1021">
        <f>(VLOOKUP(YEAR($A123),'NY East Load Projections'!$A$4:$EO$14,((MONTH($A123)-1)*12)+VLOOKUP(CH$4,$DE$6:$DF$17,2)+1))*(VLOOKUP($A123,CURVES!$D$9:$T$261,6))*(INDEX(DailyScalarsTable,CH$5/100,MONTH($A123)))*$E123</f>
        <v>0</v>
      </c>
      <c r="CI123" s="1021">
        <f>(VLOOKUP(YEAR($A123),'NY East Load Projections'!$A$4:$EO$14,((MONTH($A123)-1)*12)+VLOOKUP(CI$4,$DE$6:$DF$17,2)+1))*(VLOOKUP($A123,CURVES!$D$9:$T$261,6))*(INDEX(DailyScalarsTable,CI$5/100,MONTH($A123)))*$E123</f>
        <v>0</v>
      </c>
      <c r="CJ123" s="1021">
        <f>(VLOOKUP(YEAR($A123),'NY East Load Projections'!$A$4:$EO$14,((MONTH($A123)-1)*12)+VLOOKUP(CJ$4,$DE$6:$DF$17,2)+1))*(VLOOKUP($A123,CURVES!$D$9:$T$261,6))*(INDEX(DailyScalarsTable,CJ$5/100,MONTH($A123)))*$E123</f>
        <v>0</v>
      </c>
      <c r="CK123" s="1021">
        <f>(VLOOKUP(YEAR($A123),'NY East Load Projections'!$A$4:$EO$14,((MONTH($A123)-1)*12)+VLOOKUP(CK$4,$DE$6:$DF$17,2)+1))*(VLOOKUP($A123,CURVES!$D$9:$T$261,6))*(INDEX(DailyScalarsTable,CK$5/100,MONTH($A123)))*$E123</f>
        <v>0</v>
      </c>
      <c r="CL123" s="1021">
        <f>(VLOOKUP(YEAR($A123),'NY East Load Projections'!$A$4:$EO$14,((MONTH($A123)-1)*12)+VLOOKUP(CL$4,$DE$6:$DF$17,2)+1))*(VLOOKUP($A123,SatSunCurve,6))*(INDEX(DailyScalarsTable,CL$5/100,MONTH($A123)))*$E123</f>
        <v>0</v>
      </c>
      <c r="CM123" s="1021">
        <f>(VLOOKUP(YEAR($A123),'NY East Load Projections'!$A$4:$EO$14,((MONTH($A123)-1)*12)+VLOOKUP(CM$4,$DE$6:$DF$17,2)+1))*(VLOOKUP($A123,SatSunCurve,6))*(INDEX(DailyScalarsTable,CM$5/100,MONTH($A123)))*$E123</f>
        <v>0</v>
      </c>
      <c r="CN123" s="1021">
        <f>(VLOOKUP(YEAR($A123),'NY East Load Projections'!$A$4:$EO$14,((MONTH($A123)-1)*12)+VLOOKUP(CN$4,$DE$6:$DF$17,2)+1))*(VLOOKUP($A123,SatSunCurve,6))*(INDEX(DailyScalarsTable,CN$5/100,MONTH($A123)))*$E123</f>
        <v>0</v>
      </c>
      <c r="CO123" s="1021">
        <f>(VLOOKUP(YEAR($A123),'NY East Load Projections'!$A$4:$EO$14,((MONTH($A123)-1)*12)+VLOOKUP(CO$4,$DE$6:$DF$17,2)+1))*(VLOOKUP($A123,SatSunCurve,6))*(INDEX(DailyScalarsTable,CO$5/100,MONTH($A123)))*$E123</f>
        <v>0</v>
      </c>
      <c r="CP123" s="1021">
        <f>(VLOOKUP(YEAR($A123),'NY East Load Projections'!$A$4:$EO$14,((MONTH($A123)-1)*12)+VLOOKUP(CP$4,$DE$6:$DF$17,2)+1))*(VLOOKUP($A123,SatSunCurve,6))*(INDEX(DailyScalarsTable,CP$5/100,MONTH($A123)))*$E123</f>
        <v>0</v>
      </c>
      <c r="CQ123" s="1021">
        <f>(VLOOKUP(YEAR($A123),'NY East Load Projections'!$A$4:$EO$14,((MONTH($A123)-1)*12)+VLOOKUP(CQ$4,$DE$6:$DF$17,2)+1))*(VLOOKUP($A123,SatSunCurve,6))*(INDEX(DailyScalarsTable,CQ$5/100,MONTH($A123)))*$E123</f>
        <v>0</v>
      </c>
      <c r="CR123" s="1021">
        <f>(VLOOKUP(YEAR($A123),'NY East Load Projections'!$A$4:$EO$14,((MONTH($A123)-1)*12)+VLOOKUP(CR$4,$DE$6:$DF$17,2)+1))*(VLOOKUP($A123,SatSunCurve,6))*(INDEX(DailyScalarsTable,CR$5/100,MONTH($A123)))*$E123</f>
        <v>0</v>
      </c>
      <c r="CS123" s="1021">
        <f>(VLOOKUP(YEAR($A123),'NY East Load Projections'!$A$4:$EO$14,((MONTH($A123)-1)*12)+VLOOKUP(CS$4,$DE$6:$DF$17,2)+1))*(VLOOKUP($A123,SatSunCurve,6))*(INDEX(DailyScalarsTable,CS$5/100,MONTH($A123)))*$E123</f>
        <v>0</v>
      </c>
      <c r="CT123" s="1021">
        <f>(VLOOKUP(YEAR($A123),'NY East Load Projections'!$A$4:$EO$14,((MONTH($A123)-1)*12)+VLOOKUP(CT$4,$DE$6:$DF$17,2)+1))*(VLOOKUP($A123,SatSunCurve,6))*(INDEX(DailyScalarsTable,CT$5/100,MONTH($A123)))*$E123</f>
        <v>0</v>
      </c>
      <c r="CU123" s="1021">
        <f>(VLOOKUP(YEAR($A123),'NY East Load Projections'!$A$4:$EO$14,((MONTH($A123)-1)*12)+VLOOKUP(CU$4,$DE$6:$DF$17,2)+1))*(VLOOKUP($A123,SatSunCurve,6))*(INDEX(DailyScalarsTable,CU$5/100,MONTH($A123)))*$E123</f>
        <v>0</v>
      </c>
      <c r="CV123" s="1021">
        <f>(VLOOKUP(YEAR($A123),'NY East Load Projections'!$A$4:$EO$14,((MONTH($A123)-1)*12)+VLOOKUP(CV$4,$DE$6:$DF$17,2)+1))*(VLOOKUP($A123,SatSunCurve,6))*(INDEX(DailyScalarsTable,CV$5/100,MONTH($A123)))*$E123</f>
        <v>0</v>
      </c>
      <c r="CW123" s="1021">
        <f>(VLOOKUP(YEAR($A123),'NY East Load Projections'!$A$4:$EO$14,((MONTH($A123)-1)*12)+VLOOKUP(CW$4,$DE$6:$DF$17,2)+1))*(VLOOKUP($A123,SatSunCurve,6))*(INDEX(DailyScalarsTable,CW$5/100,MONTH($A123)))*$E123</f>
        <v>0</v>
      </c>
      <c r="CX123" s="1021">
        <f>(VLOOKUP(YEAR($A123),'NY East Load Projections'!$A$4:$EO$14,((MONTH($A123)-1)*12)+VLOOKUP(CX$4,$DE$6:$DF$17,2)+1))*(VLOOKUP($A123,SatSunCurve,6))*(INDEX(DailyScalarsTable,CX$5/100,MONTH($A123)))*$E123</f>
        <v>0</v>
      </c>
      <c r="CY123" s="1021">
        <f>(VLOOKUP(YEAR($A123),'NY East Load Projections'!$A$4:$EO$14,((MONTH($A123)-1)*12)+VLOOKUP(CY$4,$DE$6:$DF$17,2)+1))*(VLOOKUP($A123,SatSunCurve,6))*(INDEX(DailyScalarsTable,CY$5/100,MONTH($A123)))*$E123</f>
        <v>0</v>
      </c>
      <c r="CZ123" s="1021">
        <f>(VLOOKUP(YEAR($A123),'NY East Load Projections'!$A$4:$EO$14,((MONTH($A123)-1)*12)+VLOOKUP(CZ$4,$DE$6:$DF$17,2)+1))*(VLOOKUP($A123,SatSunCurve,6))*(INDEX(DailyScalarsTable,CZ$5/100,MONTH($A123)))*$E123</f>
        <v>0</v>
      </c>
      <c r="DA123" s="1021">
        <f>(VLOOKUP(YEAR($A123),'NY East Load Projections'!$A$4:$EO$14,((MONTH($A123)-1)*12)+VLOOKUP(DA$4,$DE$6:$DF$17,2)+1))*(VLOOKUP($A123,SatSunCurve,6))*(INDEX(DailyScalarsTable,DA$5/100,MONTH($A123)))*$E123</f>
        <v>0</v>
      </c>
      <c r="DB123" s="1021">
        <f>(VLOOKUP(YEAR($A123),'NY East Load Projections'!$A$4:$EO$14,((MONTH($A123)-1)*12)+VLOOKUP(DB$4,$DE$6:$DF$17,2)+1))*(VLOOKUP($A123,CURVES!$D$9:$T$261,6))*(INDEX(DailyScalarsTable,DB$5/100,MONTH($A123)))*$E123</f>
        <v>0</v>
      </c>
      <c r="DH123" s="1021">
        <f t="shared" si="2"/>
        <v>0</v>
      </c>
      <c r="DI123">
        <f ca="1">CALC!J143</f>
        <v>0.45796816908869958</v>
      </c>
      <c r="DJ123" s="1029">
        <f t="shared" ca="1" si="3"/>
        <v>0</v>
      </c>
    </row>
    <row r="124" spans="1:114" x14ac:dyDescent="0.25">
      <c r="A124" s="244">
        <v>40483</v>
      </c>
      <c r="B124" s="13">
        <v>21</v>
      </c>
      <c r="C124" s="210">
        <v>4</v>
      </c>
      <c r="D124" s="210">
        <v>4</v>
      </c>
      <c r="E124" s="210">
        <v>1</v>
      </c>
      <c r="F124" s="13">
        <v>30</v>
      </c>
      <c r="H124" s="1021">
        <f>(VLOOKUP(YEAR($A124),'NY East Load Projections'!$A$4:$EO$14,((MONTH($A124)-1)*12)+VLOOKUP(H$4,$DE$6:$DF$17,2)+1))*(VLOOKUP($A124,CURVES!$D$9:$K$261,6))*(INDEX(DailyScalarsTable,H$5/100,MONTH($A124)))*$B124</f>
        <v>0</v>
      </c>
      <c r="I124" s="1021">
        <f>(VLOOKUP(YEAR($A124),'NY East Load Projections'!$A$4:$EO$14,((MONTH($A124)-1)*12)+VLOOKUP(I$4,$DE$6:$DF$17,2)+1))*(VLOOKUP($A124,CURVES!$D$9:$K$261,6))*(INDEX(DailyScalarsTable,I$5/100,MONTH($A124)))*$B124</f>
        <v>0</v>
      </c>
      <c r="J124" s="1021">
        <f>(VLOOKUP(YEAR($A124),'NY East Load Projections'!$A$4:$EO$14,((MONTH($A124)-1)*12)+VLOOKUP(J$4,$DE$6:$DF$17,2)+1))*(VLOOKUP($A124,CURVES!$D$9:$K$261,6))*(INDEX(DailyScalarsTable,J$5/100,MONTH($A124)))*$B124</f>
        <v>0</v>
      </c>
      <c r="K124" s="1021">
        <f>(VLOOKUP(YEAR($A124),'NY East Load Projections'!$A$4:$EO$14,((MONTH($A124)-1)*12)+VLOOKUP(K$4,$DE$6:$DF$17,2)+1))*(VLOOKUP($A124,CURVES!$D$9:$K$261,6))*(INDEX(DailyScalarsTable,K$5/100,MONTH($A124)))*$B124</f>
        <v>0</v>
      </c>
      <c r="L124" s="1021">
        <f>(VLOOKUP(YEAR($A124),'NY East Load Projections'!$A$4:$EO$14,((MONTH($A124)-1)*12)+VLOOKUP(L$4,$DE$6:$DF$17,2)+1))*(VLOOKUP($A124,CURVES!$D$9:$K$261,6))*(INDEX(DailyScalarsTable,L$5/100,MONTH($A124)))*$B124</f>
        <v>0</v>
      </c>
      <c r="M124" s="1021">
        <f>(VLOOKUP(YEAR($A124),'NY East Load Projections'!$A$4:$EO$14,((MONTH($A124)-1)*12)+VLOOKUP(M$4,$DE$6:$DF$17,2)+1))*(VLOOKUP($A124,CURVES!$D$9:$K$261,6))*(INDEX(DailyScalarsTable,M$5/100,MONTH($A124)))*$B124</f>
        <v>0</v>
      </c>
      <c r="N124" s="1021">
        <f>(VLOOKUP(YEAR($A124),'NY East Load Projections'!$A$4:$EO$14,((MONTH($A124)-1)*12)+VLOOKUP(N$4,$DE$6:$DF$17,2)+1))*(VLOOKUP($A124,CURVES!$D$9:$K$261,6))*(INDEX(DailyScalarsTable,N$5/100,MONTH($A124)))*$B124</f>
        <v>0</v>
      </c>
      <c r="O124" s="1021">
        <f>(VLOOKUP(YEAR($A124),'NY East Load Projections'!$A$4:$EO$14,((MONTH($A124)-1)*12)+VLOOKUP(O$4,$DE$6:$DF$17,2)+1))*(VLOOKUP($A124,CURVES!$D$9:$K$261,2))*(INDEX(DailyScalarsTable,O$5/100,MONTH($A124)))*$B124</f>
        <v>0</v>
      </c>
      <c r="P124" s="1021">
        <f>(VLOOKUP(YEAR($A124),'NY East Load Projections'!$A$4:$EO$14,((MONTH($A124)-1)*12)+VLOOKUP(P$4,$DE$6:$DF$17,2)+1))*(VLOOKUP($A124,CURVES!$D$9:$K$261,2))*(INDEX(DailyScalarsTable,P$5/100,MONTH($A124)))*$B124</f>
        <v>0</v>
      </c>
      <c r="Q124" s="1021">
        <f>(VLOOKUP(YEAR($A124),'NY East Load Projections'!$A$4:$EO$14,((MONTH($A124)-1)*12)+VLOOKUP(Q$4,$DE$6:$DF$17,2)+1))*(VLOOKUP($A124,CURVES!$D$9:$K$261,2))*(INDEX(DailyScalarsTable,Q$5/100,MONTH($A124)))*$B124</f>
        <v>0</v>
      </c>
      <c r="R124" s="1021">
        <f>(VLOOKUP(YEAR($A124),'NY East Load Projections'!$A$4:$EO$14,((MONTH($A124)-1)*12)+VLOOKUP(R$4,$DE$6:$DF$17,2)+1))*(VLOOKUP($A124,CURVES!$D$9:$K$261,2))*(INDEX(DailyScalarsTable,R$5/100,MONTH($A124)))*$B124</f>
        <v>0</v>
      </c>
      <c r="S124" s="1021">
        <f>(VLOOKUP(YEAR($A124),'NY East Load Projections'!$A$4:$EO$14,((MONTH($A124)-1)*12)+VLOOKUP(S$4,$DE$6:$DF$17,2)+1))*(VLOOKUP($A124,CURVES!$D$9:$K$261,2))*(INDEX(DailyScalarsTable,S$5/100,MONTH($A124)))*$B124</f>
        <v>0</v>
      </c>
      <c r="T124" s="1021">
        <f>(VLOOKUP(YEAR($A124),'NY East Load Projections'!$A$4:$EO$14,((MONTH($A124)-1)*12)+VLOOKUP(T$4,$DE$6:$DF$17,2)+1))*(VLOOKUP($A124,CURVES!$D$9:$K$261,2))*(INDEX(DailyScalarsTable,T$5/100,MONTH($A124)))*$B124</f>
        <v>0</v>
      </c>
      <c r="U124" s="1021">
        <f>(VLOOKUP(YEAR($A124),'NY East Load Projections'!$A$4:$EO$14,((MONTH($A124)-1)*12)+VLOOKUP(U$4,$DE$6:$DF$17,2)+1))*(VLOOKUP($A124,CURVES!$D$9:$K$261,2))*(INDEX(DailyScalarsTable,U$5/100,MONTH($A124)))*$B124</f>
        <v>0</v>
      </c>
      <c r="V124" s="1021">
        <f>(VLOOKUP(YEAR($A124),'NY East Load Projections'!$A$4:$EO$14,((MONTH($A124)-1)*12)+VLOOKUP(V$4,$DE$6:$DF$17,2)+1))*(VLOOKUP($A124,CURVES!$D$9:$K$261,2))*(INDEX(DailyScalarsTable,V$5/100,MONTH($A124)))*$B124</f>
        <v>0</v>
      </c>
      <c r="W124" s="1021">
        <f>(VLOOKUP(YEAR($A124),'NY East Load Projections'!$A$4:$EO$14,((MONTH($A124)-1)*12)+VLOOKUP(W$4,$DE$6:$DF$17,2)+1))*(VLOOKUP($A124,CURVES!$D$9:$K$261,2))*(INDEX(DailyScalarsTable,W$5/100,MONTH($A124)))*$B124</f>
        <v>0</v>
      </c>
      <c r="X124" s="1021">
        <f>(VLOOKUP(YEAR($A124),'NY East Load Projections'!$A$4:$EO$14,((MONTH($A124)-1)*12)+VLOOKUP(X$4,$DE$6:$DF$17,2)+1))*(VLOOKUP($A124,CURVES!$D$9:$K$261,2))*(INDEX(DailyScalarsTable,X$5/100,MONTH($A124)))*$B124</f>
        <v>0</v>
      </c>
      <c r="Y124" s="1021">
        <f>(VLOOKUP(YEAR($A124),'NY East Load Projections'!$A$4:$EO$14,((MONTH($A124)-1)*12)+VLOOKUP(Y$4,$DE$6:$DF$17,2)+1))*(VLOOKUP($A124,CURVES!$D$9:$K$261,2))*(INDEX(DailyScalarsTable,Y$5/100,MONTH($A124)))*$B124</f>
        <v>0</v>
      </c>
      <c r="Z124" s="1021">
        <f>(VLOOKUP(YEAR($A124),'NY East Load Projections'!$A$4:$EO$14,((MONTH($A124)-1)*12)+VLOOKUP(Z$4,$DE$6:$DF$17,2)+1))*(VLOOKUP($A124,CURVES!$D$9:$K$261,2))*(INDEX(DailyScalarsTable,Z$5/100,MONTH($A124)))*$B124</f>
        <v>0</v>
      </c>
      <c r="AA124" s="1021">
        <f>(VLOOKUP(YEAR($A124),'NY East Load Projections'!$A$4:$EO$14,((MONTH($A124)-1)*12)+VLOOKUP(AA$4,$DE$6:$DF$17,2)+1))*(VLOOKUP($A124,CURVES!$D$9:$K$261,2))*(INDEX(DailyScalarsTable,AA$5/100,MONTH($A124)))*$B124</f>
        <v>0</v>
      </c>
      <c r="AB124" s="1021">
        <f>(VLOOKUP(YEAR($A124),'NY East Load Projections'!$A$4:$EO$14,((MONTH($A124)-1)*12)+VLOOKUP(AB$4,$DE$6:$DF$17,2)+1))*(VLOOKUP($A124,CURVES!$D$9:$K$261,2))*(INDEX(DailyScalarsTable,AB$5/100,MONTH($A124)))*$B124</f>
        <v>0</v>
      </c>
      <c r="AC124" s="1021">
        <f>(VLOOKUP(YEAR($A124),'NY East Load Projections'!$A$4:$EO$14,((MONTH($A124)-1)*12)+VLOOKUP(AC$4,$DE$6:$DF$17,2)+1))*(VLOOKUP($A124,CURVES!$D$9:$K$261,2))*(INDEX(DailyScalarsTable,AC$5/100,MONTH($A124)))*$B124</f>
        <v>0</v>
      </c>
      <c r="AD124" s="1021">
        <f>(VLOOKUP(YEAR($A124),'NY East Load Projections'!$A$4:$EO$14,((MONTH($A124)-1)*12)+VLOOKUP(AD$4,$DE$6:$DF$17,2)+1))*(VLOOKUP($A124,CURVES!$D$9:$K$261,2))*(INDEX(DailyScalarsTable,AD$5/100,MONTH($A124)))*$B124</f>
        <v>0</v>
      </c>
      <c r="AE124" s="1021">
        <f>(VLOOKUP(YEAR($A124),'NY East Load Projections'!$A$4:$EO$14,((MONTH($A124)-1)*12)+VLOOKUP(AE$4,$DE$6:$DF$17,2)+1))*(VLOOKUP($A124,CURVES!$D$9:$K$261,6))*(INDEX(DailyScalarsTable,AE$5/100,MONTH($A124)))*$B124</f>
        <v>0</v>
      </c>
      <c r="AF124" s="1021"/>
      <c r="AG124" s="1021">
        <f>(VLOOKUP(YEAR($A124),'NY East Load Projections'!$A$4:$EO$14,((MONTH($A124)-1)*12)+VLOOKUP(AG$4,$DE$6:$DF$17,2)+1))*(VLOOKUP($A124,CURVES!$D$9:$T$261,6))*(INDEX(DailyScalarsTable,AG$5/100,MONTH($A124)))*$C124</f>
        <v>0</v>
      </c>
      <c r="AH124" s="1021">
        <f>(VLOOKUP(YEAR($A124),'NY East Load Projections'!$A$4:$EO$14,((MONTH($A124)-1)*12)+VLOOKUP(AH$4,$DE$6:$DF$17,2)+1))*(VLOOKUP($A124,CURVES!$D$9:$T$261,6))*(INDEX(DailyScalarsTable,AH$5/100,MONTH($A124)))*$C124</f>
        <v>0</v>
      </c>
      <c r="AI124" s="1021">
        <f>(VLOOKUP(YEAR($A124),'NY East Load Projections'!$A$4:$EO$14,((MONTH($A124)-1)*12)+VLOOKUP(AI$4,$DE$6:$DF$17,2)+1))*(VLOOKUP($A124,CURVES!$D$9:$T$261,6))*(INDEX(DailyScalarsTable,AI$5/100,MONTH($A124)))*$C124</f>
        <v>0</v>
      </c>
      <c r="AJ124" s="1021">
        <f>(VLOOKUP(YEAR($A124),'NY East Load Projections'!$A$4:$EO$14,((MONTH($A124)-1)*12)+VLOOKUP(AJ$4,$DE$6:$DF$17,2)+1))*(VLOOKUP($A124,CURVES!$D$9:$T$261,6))*(INDEX(DailyScalarsTable,AJ$5/100,MONTH($A124)))*$C124</f>
        <v>0</v>
      </c>
      <c r="AK124" s="1021">
        <f>(VLOOKUP(YEAR($A124),'NY East Load Projections'!$A$4:$EO$14,((MONTH($A124)-1)*12)+VLOOKUP(AK$4,$DE$6:$DF$17,2)+1))*(VLOOKUP($A124,CURVES!$D$9:$T$261,6))*(INDEX(DailyScalarsTable,AK$5/100,MONTH($A124)))*$C124</f>
        <v>0</v>
      </c>
      <c r="AL124" s="1021">
        <f>(VLOOKUP(YEAR($A124),'NY East Load Projections'!$A$4:$EO$14,((MONTH($A124)-1)*12)+VLOOKUP(AL$4,$DE$6:$DF$17,2)+1))*(VLOOKUP($A124,CURVES!$D$9:$T$261,6))*(INDEX(DailyScalarsTable,AL$5/100,MONTH($A124)))*$C124</f>
        <v>0</v>
      </c>
      <c r="AM124" s="1021">
        <f>(VLOOKUP(YEAR($A124),'NY East Load Projections'!$A$4:$EO$14,((MONTH($A124)-1)*12)+VLOOKUP(AM$4,$DE$6:$DF$17,2)+1))*(VLOOKUP($A124,CURVES!$D$9:$T$261,6))*(INDEX(DailyScalarsTable,AM$5/100,MONTH($A124)))*$C124</f>
        <v>0</v>
      </c>
      <c r="AN124" s="1021">
        <f>(VLOOKUP(YEAR($A124),'NY East Load Projections'!$A$4:$EO$14,((MONTH($A124)-1)*12)+VLOOKUP(AN$4,$DE$6:$DF$17,2)+1))*(VLOOKUP($A124,SatSunCurve,2))*(INDEX(DailyScalarsTable,AN$5/100,MONTH($A124)))*$C124</f>
        <v>0</v>
      </c>
      <c r="AO124" s="1021">
        <f>(VLOOKUP(YEAR($A124),'NY East Load Projections'!$A$4:$EO$14,((MONTH($A124)-1)*12)+VLOOKUP(AO$4,$DE$6:$DF$17,2)+1))*(VLOOKUP($A124,SatSunCurve,2))*(INDEX(DailyScalarsTable,AO$5/100,MONTH($A124)))*$C124</f>
        <v>0</v>
      </c>
      <c r="AP124" s="1021">
        <f>(VLOOKUP(YEAR($A124),'NY East Load Projections'!$A$4:$EO$14,((MONTH($A124)-1)*12)+VLOOKUP(AP$4,$DE$6:$DF$17,2)+1))*(VLOOKUP($A124,SatSunCurve,2))*(INDEX(DailyScalarsTable,AP$5/100,MONTH($A124)))*$C124</f>
        <v>0</v>
      </c>
      <c r="AQ124" s="1021">
        <f>(VLOOKUP(YEAR($A124),'NY East Load Projections'!$A$4:$EO$14,((MONTH($A124)-1)*12)+VLOOKUP(AQ$4,$DE$6:$DF$17,2)+1))*(VLOOKUP($A124,SatSunCurve,2))*(INDEX(DailyScalarsTable,AQ$5/100,MONTH($A124)))*$C124</f>
        <v>0</v>
      </c>
      <c r="AR124" s="1021">
        <f>(VLOOKUP(YEAR($A124),'NY East Load Projections'!$A$4:$EO$14,((MONTH($A124)-1)*12)+VLOOKUP(AR$4,$DE$6:$DF$17,2)+1))*(VLOOKUP($A124,SatSunCurve,2))*(INDEX(DailyScalarsTable,AR$5/100,MONTH($A124)))*$C124</f>
        <v>0</v>
      </c>
      <c r="AS124" s="1021">
        <f>(VLOOKUP(YEAR($A124),'NY East Load Projections'!$A$4:$EO$14,((MONTH($A124)-1)*12)+VLOOKUP(AS$4,$DE$6:$DF$17,2)+1))*(VLOOKUP($A124,SatSunCurve,2))*(INDEX(DailyScalarsTable,AS$5/100,MONTH($A124)))*$C124</f>
        <v>0</v>
      </c>
      <c r="AT124" s="1021">
        <f>(VLOOKUP(YEAR($A124),'NY East Load Projections'!$A$4:$EO$14,((MONTH($A124)-1)*12)+VLOOKUP(AT$4,$DE$6:$DF$17,2)+1))*(VLOOKUP($A124,SatSunCurve,2))*(INDEX(DailyScalarsTable,AT$5/100,MONTH($A124)))*$C124</f>
        <v>0</v>
      </c>
      <c r="AU124" s="1021">
        <f>(VLOOKUP(YEAR($A124),'NY East Load Projections'!$A$4:$EO$14,((MONTH($A124)-1)*12)+VLOOKUP(AU$4,$DE$6:$DF$17,2)+1))*(VLOOKUP($A124,SatSunCurve,2))*(INDEX(DailyScalarsTable,AU$5/100,MONTH($A124)))*$C124</f>
        <v>0</v>
      </c>
      <c r="AV124" s="1021">
        <f>(VLOOKUP(YEAR($A124),'NY East Load Projections'!$A$4:$EO$14,((MONTH($A124)-1)*12)+VLOOKUP(AV$4,$DE$6:$DF$17,2)+1))*(VLOOKUP($A124,SatSunCurve,2))*(INDEX(DailyScalarsTable,AV$5/100,MONTH($A124)))*$C124</f>
        <v>0</v>
      </c>
      <c r="AW124" s="1021">
        <f>(VLOOKUP(YEAR($A124),'NY East Load Projections'!$A$4:$EO$14,((MONTH($A124)-1)*12)+VLOOKUP(AW$4,$DE$6:$DF$17,2)+1))*(VLOOKUP($A124,SatSunCurve,2))*(INDEX(DailyScalarsTable,AW$5/100,MONTH($A124)))*$C124</f>
        <v>0</v>
      </c>
      <c r="AX124" s="1021">
        <f>(VLOOKUP(YEAR($A124),'NY East Load Projections'!$A$4:$EO$14,((MONTH($A124)-1)*12)+VLOOKUP(AX$4,$DE$6:$DF$17,2)+1))*(VLOOKUP($A124,SatSunCurve,2))*(INDEX(DailyScalarsTable,AX$5/100,MONTH($A124)))*$C124</f>
        <v>0</v>
      </c>
      <c r="AY124" s="1021">
        <f>(VLOOKUP(YEAR($A124),'NY East Load Projections'!$A$4:$EO$14,((MONTH($A124)-1)*12)+VLOOKUP(AY$4,$DE$6:$DF$17,2)+1))*(VLOOKUP($A124,SatSunCurve,2))*(INDEX(DailyScalarsTable,AY$5/100,MONTH($A124)))*$C124</f>
        <v>0</v>
      </c>
      <c r="AZ124" s="1021">
        <f>(VLOOKUP(YEAR($A124),'NY East Load Projections'!$A$4:$EO$14,((MONTH($A124)-1)*12)+VLOOKUP(AZ$4,$DE$6:$DF$17,2)+1))*(VLOOKUP($A124,SatSunCurve,2))*(INDEX(DailyScalarsTable,AZ$5/100,MONTH($A124)))*$C124</f>
        <v>0</v>
      </c>
      <c r="BA124" s="1021">
        <f>(VLOOKUP(YEAR($A124),'NY East Load Projections'!$A$4:$EO$14,((MONTH($A124)-1)*12)+VLOOKUP(BA$4,$DE$6:$DF$17,2)+1))*(VLOOKUP($A124,SatSunCurve,2))*(INDEX(DailyScalarsTable,BA$5/100,MONTH($A124)))*$C124</f>
        <v>0</v>
      </c>
      <c r="BB124" s="1021">
        <f>(VLOOKUP(YEAR($A124),'NY East Load Projections'!$A$4:$EO$14,((MONTH($A124)-1)*12)+VLOOKUP(BB$4,$DE$6:$DF$17,2)+1))*(VLOOKUP($A124,SatSunCurve,2))*(INDEX(DailyScalarsTable,BB$5/100,MONTH($A124)))*$C124</f>
        <v>0</v>
      </c>
      <c r="BC124" s="1021">
        <f>(VLOOKUP(YEAR($A124),'NY East Load Projections'!$A$4:$EO$14,((MONTH($A124)-1)*12)+VLOOKUP(BC$4,$DE$6:$DF$17,2)+1))*(VLOOKUP($A124,SatSunCurve,2))*(INDEX(DailyScalarsTable,BC$5/100,MONTH($A124)))*$C124</f>
        <v>0</v>
      </c>
      <c r="BD124" s="1021">
        <f>(VLOOKUP(YEAR($A124),'NY East Load Projections'!$A$4:$EO$14,((MONTH($A124)-1)*12)+VLOOKUP(BD$4,$DE$6:$DF$17,2)+1))*(VLOOKUP($A124,CURVES!$D$9:$T$261,6))*(INDEX(DailyScalarsTable,BD$5/100,MONTH($A124)))*$C124</f>
        <v>0</v>
      </c>
      <c r="BE124" s="1021"/>
      <c r="BF124" s="1021">
        <f>(VLOOKUP(YEAR($A124),'NY East Load Projections'!$A$4:$EO$14,((MONTH($A124)-1)*12)+VLOOKUP(BF$4,$DE$6:$DF$17,2)+1))*(VLOOKUP($A124,CURVES!$D$9:$T$261,6))*(INDEX(DailyScalarsTable,BF$5/100,MONTH($A124)))*$D124</f>
        <v>0</v>
      </c>
      <c r="BG124" s="1021">
        <f>(VLOOKUP(YEAR($A124),'NY East Load Projections'!$A$4:$EO$14,((MONTH($A124)-1)*12)+VLOOKUP(BG$4,$DE$6:$DF$17,2)+1))*(VLOOKUP($A124,CURVES!$D$9:$T$261,6))*(INDEX(DailyScalarsTable,BG$5/100,MONTH($A124)))*$D124</f>
        <v>0</v>
      </c>
      <c r="BH124" s="1021">
        <f>(VLOOKUP(YEAR($A124),'NY East Load Projections'!$A$4:$EO$14,((MONTH($A124)-1)*12)+VLOOKUP(BH$4,$DE$6:$DF$17,2)+1))*(VLOOKUP($A124,CURVES!$D$9:$T$261,6))*(INDEX(DailyScalarsTable,BH$5/100,MONTH($A124)))*$D124</f>
        <v>0</v>
      </c>
      <c r="BI124" s="1021">
        <f>(VLOOKUP(YEAR($A124),'NY East Load Projections'!$A$4:$EO$14,((MONTH($A124)-1)*12)+VLOOKUP(BI$4,$DE$6:$DF$17,2)+1))*(VLOOKUP($A124,CURVES!$D$9:$T$261,6))*(INDEX(DailyScalarsTable,BI$5/100,MONTH($A124)))*$D124</f>
        <v>0</v>
      </c>
      <c r="BJ124" s="1021">
        <f>(VLOOKUP(YEAR($A124),'NY East Load Projections'!$A$4:$EO$14,((MONTH($A124)-1)*12)+VLOOKUP(BJ$4,$DE$6:$DF$17,2)+1))*(VLOOKUP($A124,CURVES!$D$9:$T$261,6))*(INDEX(DailyScalarsTable,BJ$5/100,MONTH($A124)))*$D124</f>
        <v>0</v>
      </c>
      <c r="BK124" s="1021">
        <f>(VLOOKUP(YEAR($A124),'NY East Load Projections'!$A$4:$EO$14,((MONTH($A124)-1)*12)+VLOOKUP(BK$4,$DE$6:$DF$17,2)+1))*(VLOOKUP($A124,CURVES!$D$9:$T$261,6))*(INDEX(DailyScalarsTable,BK$5/100,MONTH($A124)))*$D124</f>
        <v>0</v>
      </c>
      <c r="BL124" s="1021">
        <f>(VLOOKUP(YEAR($A124),'NY East Load Projections'!$A$4:$EO$14,((MONTH($A124)-1)*12)+VLOOKUP(BL$4,$DE$6:$DF$17,2)+1))*(VLOOKUP($A124,CURVES!$D$9:$T$261,6))*(INDEX(DailyScalarsTable,BL$5/100,MONTH($A124)))*$D124</f>
        <v>0</v>
      </c>
      <c r="BM124" s="1021">
        <f>(VLOOKUP(YEAR($A124),'NY East Load Projections'!$A$4:$EO$14,((MONTH($A124)-1)*12)+VLOOKUP(BM$4,$DE$6:$DF$17,2)+1))*(VLOOKUP($A124,SatSunCurve,6))*(INDEX(DailyScalarsTable,BM$5/100,MONTH($A124)))*$D124</f>
        <v>0</v>
      </c>
      <c r="BN124" s="1021">
        <f>(VLOOKUP(YEAR($A124),'NY East Load Projections'!$A$4:$EO$14,((MONTH($A124)-1)*12)+VLOOKUP(BN$4,$DE$6:$DF$17,2)+1))*(VLOOKUP($A124,SatSunCurve,6))*(INDEX(DailyScalarsTable,BN$5/100,MONTH($A124)))*$D124</f>
        <v>0</v>
      </c>
      <c r="BO124" s="1021">
        <f>(VLOOKUP(YEAR($A124),'NY East Load Projections'!$A$4:$EO$14,((MONTH($A124)-1)*12)+VLOOKUP(BO$4,$DE$6:$DF$17,2)+1))*(VLOOKUP($A124,SatSunCurve,6))*(INDEX(DailyScalarsTable,BO$5/100,MONTH($A124)))*$D124</f>
        <v>0</v>
      </c>
      <c r="BP124" s="1021">
        <f>(VLOOKUP(YEAR($A124),'NY East Load Projections'!$A$4:$EO$14,((MONTH($A124)-1)*12)+VLOOKUP(BP$4,$DE$6:$DF$17,2)+1))*(VLOOKUP($A124,SatSunCurve,6))*(INDEX(DailyScalarsTable,BP$5/100,MONTH($A124)))*$D124</f>
        <v>0</v>
      </c>
      <c r="BQ124" s="1021">
        <f>(VLOOKUP(YEAR($A124),'NY East Load Projections'!$A$4:$EO$14,((MONTH($A124)-1)*12)+VLOOKUP(BQ$4,$DE$6:$DF$17,2)+1))*(VLOOKUP($A124,SatSunCurve,6))*(INDEX(DailyScalarsTable,BQ$5/100,MONTH($A124)))*$D124</f>
        <v>0</v>
      </c>
      <c r="BR124" s="1021">
        <f>(VLOOKUP(YEAR($A124),'NY East Load Projections'!$A$4:$EO$14,((MONTH($A124)-1)*12)+VLOOKUP(BR$4,$DE$6:$DF$17,2)+1))*(VLOOKUP($A124,SatSunCurve,6))*(INDEX(DailyScalarsTable,BR$5/100,MONTH($A124)))*$D124</f>
        <v>0</v>
      </c>
      <c r="BS124" s="1021">
        <f>(VLOOKUP(YEAR($A124),'NY East Load Projections'!$A$4:$EO$14,((MONTH($A124)-1)*12)+VLOOKUP(BS$4,$DE$6:$DF$17,2)+1))*(VLOOKUP($A124,SatSunCurve,6))*(INDEX(DailyScalarsTable,BS$5/100,MONTH($A124)))*$D124</f>
        <v>0</v>
      </c>
      <c r="BT124" s="1021">
        <f>(VLOOKUP(YEAR($A124),'NY East Load Projections'!$A$4:$EO$14,((MONTH($A124)-1)*12)+VLOOKUP(BT$4,$DE$6:$DF$17,2)+1))*(VLOOKUP($A124,SatSunCurve,6))*(INDEX(DailyScalarsTable,BT$5/100,MONTH($A124)))*$D124</f>
        <v>0</v>
      </c>
      <c r="BU124" s="1021">
        <f>(VLOOKUP(YEAR($A124),'NY East Load Projections'!$A$4:$EO$14,((MONTH($A124)-1)*12)+VLOOKUP(BU$4,$DE$6:$DF$17,2)+1))*(VLOOKUP($A124,SatSunCurve,6))*(INDEX(DailyScalarsTable,BU$5/100,MONTH($A124)))*$D124</f>
        <v>0</v>
      </c>
      <c r="BV124" s="1021">
        <f>(VLOOKUP(YEAR($A124),'NY East Load Projections'!$A$4:$EO$14,((MONTH($A124)-1)*12)+VLOOKUP(BV$4,$DE$6:$DF$17,2)+1))*(VLOOKUP($A124,SatSunCurve,6))*(INDEX(DailyScalarsTable,BV$5/100,MONTH($A124)))*$D124</f>
        <v>0</v>
      </c>
      <c r="BW124" s="1021">
        <f>(VLOOKUP(YEAR($A124),'NY East Load Projections'!$A$4:$EO$14,((MONTH($A124)-1)*12)+VLOOKUP(BW$4,$DE$6:$DF$17,2)+1))*(VLOOKUP($A124,SatSunCurve,6))*(INDEX(DailyScalarsTable,BW$5/100,MONTH($A124)))*$D124</f>
        <v>0</v>
      </c>
      <c r="BX124" s="1021">
        <f>(VLOOKUP(YEAR($A124),'NY East Load Projections'!$A$4:$EO$14,((MONTH($A124)-1)*12)+VLOOKUP(BX$4,$DE$6:$DF$17,2)+1))*(VLOOKUP($A124,SatSunCurve,6))*(INDEX(DailyScalarsTable,BX$5/100,MONTH($A124)))*$D124</f>
        <v>0</v>
      </c>
      <c r="BY124" s="1021">
        <f>(VLOOKUP(YEAR($A124),'NY East Load Projections'!$A$4:$EO$14,((MONTH($A124)-1)*12)+VLOOKUP(BY$4,$DE$6:$DF$17,2)+1))*(VLOOKUP($A124,SatSunCurve,6))*(INDEX(DailyScalarsTable,BY$5/100,MONTH($A124)))*$D124</f>
        <v>0</v>
      </c>
      <c r="BZ124" s="1021">
        <f>(VLOOKUP(YEAR($A124),'NY East Load Projections'!$A$4:$EO$14,((MONTH($A124)-1)*12)+VLOOKUP(BZ$4,$DE$6:$DF$17,2)+1))*(VLOOKUP($A124,SatSunCurve,6))*(INDEX(DailyScalarsTable,BZ$5/100,MONTH($A124)))*$D124</f>
        <v>0</v>
      </c>
      <c r="CA124" s="1021">
        <f>(VLOOKUP(YEAR($A124),'NY East Load Projections'!$A$4:$EO$14,((MONTH($A124)-1)*12)+VLOOKUP(CA$4,$DE$6:$DF$17,2)+1))*(VLOOKUP($A124,SatSunCurve,6))*(INDEX(DailyScalarsTable,CA$5/100,MONTH($A124)))*$D124</f>
        <v>0</v>
      </c>
      <c r="CB124" s="1021">
        <f>(VLOOKUP(YEAR($A124),'NY East Load Projections'!$A$4:$EO$14,((MONTH($A124)-1)*12)+VLOOKUP(CB$4,$DE$6:$DF$17,2)+1))*(VLOOKUP($A124,SatSunCurve,6))*(INDEX(DailyScalarsTable,CB$5/100,MONTH($A124)))*$D124</f>
        <v>0</v>
      </c>
      <c r="CC124" s="1021">
        <f>(VLOOKUP(YEAR($A124),'NY East Load Projections'!$A$4:$EO$14,((MONTH($A124)-1)*12)+VLOOKUP(CC$4,$DE$6:$DF$17,2)+1))*(VLOOKUP($A124,CURVES!$D$9:$T$261,6))*(INDEX(DailyScalarsTable,CC$5/100,MONTH($A124)))*$D124</f>
        <v>0</v>
      </c>
      <c r="CE124" s="1021">
        <f>(VLOOKUP(YEAR($A124),'NY East Load Projections'!$A$4:$EO$14,((MONTH($A124)-1)*12)+VLOOKUP(CE$4,$DE$6:$DF$17,2)+1))*(VLOOKUP($A124,CURVES!$D$9:$T$261,6))*(INDEX(DailyScalarsTable,CE$5/100,MONTH($A124)))*$E124</f>
        <v>0</v>
      </c>
      <c r="CF124" s="1021">
        <f>(VLOOKUP(YEAR($A124),'NY East Load Projections'!$A$4:$EO$14,((MONTH($A124)-1)*12)+VLOOKUP(CF$4,$DE$6:$DF$17,2)+1))*(VLOOKUP($A124,CURVES!$D$9:$T$261,6))*(INDEX(DailyScalarsTable,CF$5/100,MONTH($A124)))*$E124</f>
        <v>0</v>
      </c>
      <c r="CG124" s="1021">
        <f>(VLOOKUP(YEAR($A124),'NY East Load Projections'!$A$4:$EO$14,((MONTH($A124)-1)*12)+VLOOKUP(CG$4,$DE$6:$DF$17,2)+1))*(VLOOKUP($A124,CURVES!$D$9:$T$261,6))*(INDEX(DailyScalarsTable,CG$5/100,MONTH($A124)))*$E124</f>
        <v>0</v>
      </c>
      <c r="CH124" s="1021">
        <f>(VLOOKUP(YEAR($A124),'NY East Load Projections'!$A$4:$EO$14,((MONTH($A124)-1)*12)+VLOOKUP(CH$4,$DE$6:$DF$17,2)+1))*(VLOOKUP($A124,CURVES!$D$9:$T$261,6))*(INDEX(DailyScalarsTable,CH$5/100,MONTH($A124)))*$E124</f>
        <v>0</v>
      </c>
      <c r="CI124" s="1021">
        <f>(VLOOKUP(YEAR($A124),'NY East Load Projections'!$A$4:$EO$14,((MONTH($A124)-1)*12)+VLOOKUP(CI$4,$DE$6:$DF$17,2)+1))*(VLOOKUP($A124,CURVES!$D$9:$T$261,6))*(INDEX(DailyScalarsTable,CI$5/100,MONTH($A124)))*$E124</f>
        <v>0</v>
      </c>
      <c r="CJ124" s="1021">
        <f>(VLOOKUP(YEAR($A124),'NY East Load Projections'!$A$4:$EO$14,((MONTH($A124)-1)*12)+VLOOKUP(CJ$4,$DE$6:$DF$17,2)+1))*(VLOOKUP($A124,CURVES!$D$9:$T$261,6))*(INDEX(DailyScalarsTable,CJ$5/100,MONTH($A124)))*$E124</f>
        <v>0</v>
      </c>
      <c r="CK124" s="1021">
        <f>(VLOOKUP(YEAR($A124),'NY East Load Projections'!$A$4:$EO$14,((MONTH($A124)-1)*12)+VLOOKUP(CK$4,$DE$6:$DF$17,2)+1))*(VLOOKUP($A124,CURVES!$D$9:$T$261,6))*(INDEX(DailyScalarsTable,CK$5/100,MONTH($A124)))*$E124</f>
        <v>0</v>
      </c>
      <c r="CL124" s="1021">
        <f>(VLOOKUP(YEAR($A124),'NY East Load Projections'!$A$4:$EO$14,((MONTH($A124)-1)*12)+VLOOKUP(CL$4,$DE$6:$DF$17,2)+1))*(VLOOKUP($A124,SatSunCurve,6))*(INDEX(DailyScalarsTable,CL$5/100,MONTH($A124)))*$E124</f>
        <v>0</v>
      </c>
      <c r="CM124" s="1021">
        <f>(VLOOKUP(YEAR($A124),'NY East Load Projections'!$A$4:$EO$14,((MONTH($A124)-1)*12)+VLOOKUP(CM$4,$DE$6:$DF$17,2)+1))*(VLOOKUP($A124,SatSunCurve,6))*(INDEX(DailyScalarsTable,CM$5/100,MONTH($A124)))*$E124</f>
        <v>0</v>
      </c>
      <c r="CN124" s="1021">
        <f>(VLOOKUP(YEAR($A124),'NY East Load Projections'!$A$4:$EO$14,((MONTH($A124)-1)*12)+VLOOKUP(CN$4,$DE$6:$DF$17,2)+1))*(VLOOKUP($A124,SatSunCurve,6))*(INDEX(DailyScalarsTable,CN$5/100,MONTH($A124)))*$E124</f>
        <v>0</v>
      </c>
      <c r="CO124" s="1021">
        <f>(VLOOKUP(YEAR($A124),'NY East Load Projections'!$A$4:$EO$14,((MONTH($A124)-1)*12)+VLOOKUP(CO$4,$DE$6:$DF$17,2)+1))*(VLOOKUP($A124,SatSunCurve,6))*(INDEX(DailyScalarsTable,CO$5/100,MONTH($A124)))*$E124</f>
        <v>0</v>
      </c>
      <c r="CP124" s="1021">
        <f>(VLOOKUP(YEAR($A124),'NY East Load Projections'!$A$4:$EO$14,((MONTH($A124)-1)*12)+VLOOKUP(CP$4,$DE$6:$DF$17,2)+1))*(VLOOKUP($A124,SatSunCurve,6))*(INDEX(DailyScalarsTable,CP$5/100,MONTH($A124)))*$E124</f>
        <v>0</v>
      </c>
      <c r="CQ124" s="1021">
        <f>(VLOOKUP(YEAR($A124),'NY East Load Projections'!$A$4:$EO$14,((MONTH($A124)-1)*12)+VLOOKUP(CQ$4,$DE$6:$DF$17,2)+1))*(VLOOKUP($A124,SatSunCurve,6))*(INDEX(DailyScalarsTable,CQ$5/100,MONTH($A124)))*$E124</f>
        <v>0</v>
      </c>
      <c r="CR124" s="1021">
        <f>(VLOOKUP(YEAR($A124),'NY East Load Projections'!$A$4:$EO$14,((MONTH($A124)-1)*12)+VLOOKUP(CR$4,$DE$6:$DF$17,2)+1))*(VLOOKUP($A124,SatSunCurve,6))*(INDEX(DailyScalarsTable,CR$5/100,MONTH($A124)))*$E124</f>
        <v>0</v>
      </c>
      <c r="CS124" s="1021">
        <f>(VLOOKUP(YEAR($A124),'NY East Load Projections'!$A$4:$EO$14,((MONTH($A124)-1)*12)+VLOOKUP(CS$4,$DE$6:$DF$17,2)+1))*(VLOOKUP($A124,SatSunCurve,6))*(INDEX(DailyScalarsTable,CS$5/100,MONTH($A124)))*$E124</f>
        <v>0</v>
      </c>
      <c r="CT124" s="1021">
        <f>(VLOOKUP(YEAR($A124),'NY East Load Projections'!$A$4:$EO$14,((MONTH($A124)-1)*12)+VLOOKUP(CT$4,$DE$6:$DF$17,2)+1))*(VLOOKUP($A124,SatSunCurve,6))*(INDEX(DailyScalarsTable,CT$5/100,MONTH($A124)))*$E124</f>
        <v>0</v>
      </c>
      <c r="CU124" s="1021">
        <f>(VLOOKUP(YEAR($A124),'NY East Load Projections'!$A$4:$EO$14,((MONTH($A124)-1)*12)+VLOOKUP(CU$4,$DE$6:$DF$17,2)+1))*(VLOOKUP($A124,SatSunCurve,6))*(INDEX(DailyScalarsTable,CU$5/100,MONTH($A124)))*$E124</f>
        <v>0</v>
      </c>
      <c r="CV124" s="1021">
        <f>(VLOOKUP(YEAR($A124),'NY East Load Projections'!$A$4:$EO$14,((MONTH($A124)-1)*12)+VLOOKUP(CV$4,$DE$6:$DF$17,2)+1))*(VLOOKUP($A124,SatSunCurve,6))*(INDEX(DailyScalarsTable,CV$5/100,MONTH($A124)))*$E124</f>
        <v>0</v>
      </c>
      <c r="CW124" s="1021">
        <f>(VLOOKUP(YEAR($A124),'NY East Load Projections'!$A$4:$EO$14,((MONTH($A124)-1)*12)+VLOOKUP(CW$4,$DE$6:$DF$17,2)+1))*(VLOOKUP($A124,SatSunCurve,6))*(INDEX(DailyScalarsTable,CW$5/100,MONTH($A124)))*$E124</f>
        <v>0</v>
      </c>
      <c r="CX124" s="1021">
        <f>(VLOOKUP(YEAR($A124),'NY East Load Projections'!$A$4:$EO$14,((MONTH($A124)-1)*12)+VLOOKUP(CX$4,$DE$6:$DF$17,2)+1))*(VLOOKUP($A124,SatSunCurve,6))*(INDEX(DailyScalarsTable,CX$5/100,MONTH($A124)))*$E124</f>
        <v>0</v>
      </c>
      <c r="CY124" s="1021">
        <f>(VLOOKUP(YEAR($A124),'NY East Load Projections'!$A$4:$EO$14,((MONTH($A124)-1)*12)+VLOOKUP(CY$4,$DE$6:$DF$17,2)+1))*(VLOOKUP($A124,SatSunCurve,6))*(INDEX(DailyScalarsTable,CY$5/100,MONTH($A124)))*$E124</f>
        <v>0</v>
      </c>
      <c r="CZ124" s="1021">
        <f>(VLOOKUP(YEAR($A124),'NY East Load Projections'!$A$4:$EO$14,((MONTH($A124)-1)*12)+VLOOKUP(CZ$4,$DE$6:$DF$17,2)+1))*(VLOOKUP($A124,SatSunCurve,6))*(INDEX(DailyScalarsTable,CZ$5/100,MONTH($A124)))*$E124</f>
        <v>0</v>
      </c>
      <c r="DA124" s="1021">
        <f>(VLOOKUP(YEAR($A124),'NY East Load Projections'!$A$4:$EO$14,((MONTH($A124)-1)*12)+VLOOKUP(DA$4,$DE$6:$DF$17,2)+1))*(VLOOKUP($A124,SatSunCurve,6))*(INDEX(DailyScalarsTable,DA$5/100,MONTH($A124)))*$E124</f>
        <v>0</v>
      </c>
      <c r="DB124" s="1021">
        <f>(VLOOKUP(YEAR($A124),'NY East Load Projections'!$A$4:$EO$14,((MONTH($A124)-1)*12)+VLOOKUP(DB$4,$DE$6:$DF$17,2)+1))*(VLOOKUP($A124,CURVES!$D$9:$T$261,6))*(INDEX(DailyScalarsTable,DB$5/100,MONTH($A124)))*$E124</f>
        <v>0</v>
      </c>
      <c r="DH124" s="1021">
        <f t="shared" si="2"/>
        <v>0</v>
      </c>
      <c r="DI124">
        <f ca="1">CALC!J144</f>
        <v>0.45523711593682986</v>
      </c>
      <c r="DJ124" s="1029">
        <f t="shared" ca="1" si="3"/>
        <v>0</v>
      </c>
    </row>
    <row r="125" spans="1:114" x14ac:dyDescent="0.25">
      <c r="A125" s="244">
        <v>40513</v>
      </c>
      <c r="B125" s="13">
        <v>23</v>
      </c>
      <c r="C125" s="210">
        <v>3</v>
      </c>
      <c r="D125" s="210">
        <v>4</v>
      </c>
      <c r="E125" s="210">
        <v>1</v>
      </c>
      <c r="F125" s="13">
        <v>31</v>
      </c>
      <c r="H125" s="1021">
        <f>(VLOOKUP(YEAR($A125),'NY East Load Projections'!$A$4:$EO$14,((MONTH($A125)-1)*12)+VLOOKUP(H$4,$DE$6:$DF$17,2)+1))*(VLOOKUP($A125,CURVES!$D$9:$K$261,6))*(INDEX(DailyScalarsTable,H$5/100,MONTH($A125)))*$B125</f>
        <v>0</v>
      </c>
      <c r="I125" s="1021">
        <f>(VLOOKUP(YEAR($A125),'NY East Load Projections'!$A$4:$EO$14,((MONTH($A125)-1)*12)+VLOOKUP(I$4,$DE$6:$DF$17,2)+1))*(VLOOKUP($A125,CURVES!$D$9:$K$261,6))*(INDEX(DailyScalarsTable,I$5/100,MONTH($A125)))*$B125</f>
        <v>0</v>
      </c>
      <c r="J125" s="1021">
        <f>(VLOOKUP(YEAR($A125),'NY East Load Projections'!$A$4:$EO$14,((MONTH($A125)-1)*12)+VLOOKUP(J$4,$DE$6:$DF$17,2)+1))*(VLOOKUP($A125,CURVES!$D$9:$K$261,6))*(INDEX(DailyScalarsTable,J$5/100,MONTH($A125)))*$B125</f>
        <v>0</v>
      </c>
      <c r="K125" s="1021">
        <f>(VLOOKUP(YEAR($A125),'NY East Load Projections'!$A$4:$EO$14,((MONTH($A125)-1)*12)+VLOOKUP(K$4,$DE$6:$DF$17,2)+1))*(VLOOKUP($A125,CURVES!$D$9:$K$261,6))*(INDEX(DailyScalarsTable,K$5/100,MONTH($A125)))*$B125</f>
        <v>0</v>
      </c>
      <c r="L125" s="1021">
        <f>(VLOOKUP(YEAR($A125),'NY East Load Projections'!$A$4:$EO$14,((MONTH($A125)-1)*12)+VLOOKUP(L$4,$DE$6:$DF$17,2)+1))*(VLOOKUP($A125,CURVES!$D$9:$K$261,6))*(INDEX(DailyScalarsTable,L$5/100,MONTH($A125)))*$B125</f>
        <v>0</v>
      </c>
      <c r="M125" s="1021">
        <f>(VLOOKUP(YEAR($A125),'NY East Load Projections'!$A$4:$EO$14,((MONTH($A125)-1)*12)+VLOOKUP(M$4,$DE$6:$DF$17,2)+1))*(VLOOKUP($A125,CURVES!$D$9:$K$261,6))*(INDEX(DailyScalarsTable,M$5/100,MONTH($A125)))*$B125</f>
        <v>0</v>
      </c>
      <c r="N125" s="1021">
        <f>(VLOOKUP(YEAR($A125),'NY East Load Projections'!$A$4:$EO$14,((MONTH($A125)-1)*12)+VLOOKUP(N$4,$DE$6:$DF$17,2)+1))*(VLOOKUP($A125,CURVES!$D$9:$K$261,6))*(INDEX(DailyScalarsTable,N$5/100,MONTH($A125)))*$B125</f>
        <v>0</v>
      </c>
      <c r="O125" s="1021">
        <f>(VLOOKUP(YEAR($A125),'NY East Load Projections'!$A$4:$EO$14,((MONTH($A125)-1)*12)+VLOOKUP(O$4,$DE$6:$DF$17,2)+1))*(VLOOKUP($A125,CURVES!$D$9:$K$261,2))*(INDEX(DailyScalarsTable,O$5/100,MONTH($A125)))*$B125</f>
        <v>0</v>
      </c>
      <c r="P125" s="1021">
        <f>(VLOOKUP(YEAR($A125),'NY East Load Projections'!$A$4:$EO$14,((MONTH($A125)-1)*12)+VLOOKUP(P$4,$DE$6:$DF$17,2)+1))*(VLOOKUP($A125,CURVES!$D$9:$K$261,2))*(INDEX(DailyScalarsTable,P$5/100,MONTH($A125)))*$B125</f>
        <v>0</v>
      </c>
      <c r="Q125" s="1021">
        <f>(VLOOKUP(YEAR($A125),'NY East Load Projections'!$A$4:$EO$14,((MONTH($A125)-1)*12)+VLOOKUP(Q$4,$DE$6:$DF$17,2)+1))*(VLOOKUP($A125,CURVES!$D$9:$K$261,2))*(INDEX(DailyScalarsTable,Q$5/100,MONTH($A125)))*$B125</f>
        <v>0</v>
      </c>
      <c r="R125" s="1021">
        <f>(VLOOKUP(YEAR($A125),'NY East Load Projections'!$A$4:$EO$14,((MONTH($A125)-1)*12)+VLOOKUP(R$4,$DE$6:$DF$17,2)+1))*(VLOOKUP($A125,CURVES!$D$9:$K$261,2))*(INDEX(DailyScalarsTable,R$5/100,MONTH($A125)))*$B125</f>
        <v>0</v>
      </c>
      <c r="S125" s="1021">
        <f>(VLOOKUP(YEAR($A125),'NY East Load Projections'!$A$4:$EO$14,((MONTH($A125)-1)*12)+VLOOKUP(S$4,$DE$6:$DF$17,2)+1))*(VLOOKUP($A125,CURVES!$D$9:$K$261,2))*(INDEX(DailyScalarsTable,S$5/100,MONTH($A125)))*$B125</f>
        <v>0</v>
      </c>
      <c r="T125" s="1021">
        <f>(VLOOKUP(YEAR($A125),'NY East Load Projections'!$A$4:$EO$14,((MONTH($A125)-1)*12)+VLOOKUP(T$4,$DE$6:$DF$17,2)+1))*(VLOOKUP($A125,CURVES!$D$9:$K$261,2))*(INDEX(DailyScalarsTable,T$5/100,MONTH($A125)))*$B125</f>
        <v>0</v>
      </c>
      <c r="U125" s="1021">
        <f>(VLOOKUP(YEAR($A125),'NY East Load Projections'!$A$4:$EO$14,((MONTH($A125)-1)*12)+VLOOKUP(U$4,$DE$6:$DF$17,2)+1))*(VLOOKUP($A125,CURVES!$D$9:$K$261,2))*(INDEX(DailyScalarsTable,U$5/100,MONTH($A125)))*$B125</f>
        <v>0</v>
      </c>
      <c r="V125" s="1021">
        <f>(VLOOKUP(YEAR($A125),'NY East Load Projections'!$A$4:$EO$14,((MONTH($A125)-1)*12)+VLOOKUP(V$4,$DE$6:$DF$17,2)+1))*(VLOOKUP($A125,CURVES!$D$9:$K$261,2))*(INDEX(DailyScalarsTable,V$5/100,MONTH($A125)))*$B125</f>
        <v>0</v>
      </c>
      <c r="W125" s="1021">
        <f>(VLOOKUP(YEAR($A125),'NY East Load Projections'!$A$4:$EO$14,((MONTH($A125)-1)*12)+VLOOKUP(W$4,$DE$6:$DF$17,2)+1))*(VLOOKUP($A125,CURVES!$D$9:$K$261,2))*(INDEX(DailyScalarsTable,W$5/100,MONTH($A125)))*$B125</f>
        <v>0</v>
      </c>
      <c r="X125" s="1021">
        <f>(VLOOKUP(YEAR($A125),'NY East Load Projections'!$A$4:$EO$14,((MONTH($A125)-1)*12)+VLOOKUP(X$4,$DE$6:$DF$17,2)+1))*(VLOOKUP($A125,CURVES!$D$9:$K$261,2))*(INDEX(DailyScalarsTable,X$5/100,MONTH($A125)))*$B125</f>
        <v>0</v>
      </c>
      <c r="Y125" s="1021">
        <f>(VLOOKUP(YEAR($A125),'NY East Load Projections'!$A$4:$EO$14,((MONTH($A125)-1)*12)+VLOOKUP(Y$4,$DE$6:$DF$17,2)+1))*(VLOOKUP($A125,CURVES!$D$9:$K$261,2))*(INDEX(DailyScalarsTable,Y$5/100,MONTH($A125)))*$B125</f>
        <v>0</v>
      </c>
      <c r="Z125" s="1021">
        <f>(VLOOKUP(YEAR($A125),'NY East Load Projections'!$A$4:$EO$14,((MONTH($A125)-1)*12)+VLOOKUP(Z$4,$DE$6:$DF$17,2)+1))*(VLOOKUP($A125,CURVES!$D$9:$K$261,2))*(INDEX(DailyScalarsTable,Z$5/100,MONTH($A125)))*$B125</f>
        <v>0</v>
      </c>
      <c r="AA125" s="1021">
        <f>(VLOOKUP(YEAR($A125),'NY East Load Projections'!$A$4:$EO$14,((MONTH($A125)-1)*12)+VLOOKUP(AA$4,$DE$6:$DF$17,2)+1))*(VLOOKUP($A125,CURVES!$D$9:$K$261,2))*(INDEX(DailyScalarsTable,AA$5/100,MONTH($A125)))*$B125</f>
        <v>0</v>
      </c>
      <c r="AB125" s="1021">
        <f>(VLOOKUP(YEAR($A125),'NY East Load Projections'!$A$4:$EO$14,((MONTH($A125)-1)*12)+VLOOKUP(AB$4,$DE$6:$DF$17,2)+1))*(VLOOKUP($A125,CURVES!$D$9:$K$261,2))*(INDEX(DailyScalarsTable,AB$5/100,MONTH($A125)))*$B125</f>
        <v>0</v>
      </c>
      <c r="AC125" s="1021">
        <f>(VLOOKUP(YEAR($A125),'NY East Load Projections'!$A$4:$EO$14,((MONTH($A125)-1)*12)+VLOOKUP(AC$4,$DE$6:$DF$17,2)+1))*(VLOOKUP($A125,CURVES!$D$9:$K$261,2))*(INDEX(DailyScalarsTable,AC$5/100,MONTH($A125)))*$B125</f>
        <v>0</v>
      </c>
      <c r="AD125" s="1021">
        <f>(VLOOKUP(YEAR($A125),'NY East Load Projections'!$A$4:$EO$14,((MONTH($A125)-1)*12)+VLOOKUP(AD$4,$DE$6:$DF$17,2)+1))*(VLOOKUP($A125,CURVES!$D$9:$K$261,2))*(INDEX(DailyScalarsTable,AD$5/100,MONTH($A125)))*$B125</f>
        <v>0</v>
      </c>
      <c r="AE125" s="1021">
        <f>(VLOOKUP(YEAR($A125),'NY East Load Projections'!$A$4:$EO$14,((MONTH($A125)-1)*12)+VLOOKUP(AE$4,$DE$6:$DF$17,2)+1))*(VLOOKUP($A125,CURVES!$D$9:$K$261,6))*(INDEX(DailyScalarsTable,AE$5/100,MONTH($A125)))*$B125</f>
        <v>0</v>
      </c>
      <c r="AF125" s="1021"/>
      <c r="AG125" s="1021">
        <f>(VLOOKUP(YEAR($A125),'NY East Load Projections'!$A$4:$EO$14,((MONTH($A125)-1)*12)+VLOOKUP(AG$4,$DE$6:$DF$17,2)+1))*(VLOOKUP($A125,CURVES!$D$9:$T$261,6))*(INDEX(DailyScalarsTable,AG$5/100,MONTH($A125)))*$C125</f>
        <v>0</v>
      </c>
      <c r="AH125" s="1021">
        <f>(VLOOKUP(YEAR($A125),'NY East Load Projections'!$A$4:$EO$14,((MONTH($A125)-1)*12)+VLOOKUP(AH$4,$DE$6:$DF$17,2)+1))*(VLOOKUP($A125,CURVES!$D$9:$T$261,6))*(INDEX(DailyScalarsTable,AH$5/100,MONTH($A125)))*$C125</f>
        <v>0</v>
      </c>
      <c r="AI125" s="1021">
        <f>(VLOOKUP(YEAR($A125),'NY East Load Projections'!$A$4:$EO$14,((MONTH($A125)-1)*12)+VLOOKUP(AI$4,$DE$6:$DF$17,2)+1))*(VLOOKUP($A125,CURVES!$D$9:$T$261,6))*(INDEX(DailyScalarsTable,AI$5/100,MONTH($A125)))*$C125</f>
        <v>0</v>
      </c>
      <c r="AJ125" s="1021">
        <f>(VLOOKUP(YEAR($A125),'NY East Load Projections'!$A$4:$EO$14,((MONTH($A125)-1)*12)+VLOOKUP(AJ$4,$DE$6:$DF$17,2)+1))*(VLOOKUP($A125,CURVES!$D$9:$T$261,6))*(INDEX(DailyScalarsTable,AJ$5/100,MONTH($A125)))*$C125</f>
        <v>0</v>
      </c>
      <c r="AK125" s="1021">
        <f>(VLOOKUP(YEAR($A125),'NY East Load Projections'!$A$4:$EO$14,((MONTH($A125)-1)*12)+VLOOKUP(AK$4,$DE$6:$DF$17,2)+1))*(VLOOKUP($A125,CURVES!$D$9:$T$261,6))*(INDEX(DailyScalarsTable,AK$5/100,MONTH($A125)))*$C125</f>
        <v>0</v>
      </c>
      <c r="AL125" s="1021">
        <f>(VLOOKUP(YEAR($A125),'NY East Load Projections'!$A$4:$EO$14,((MONTH($A125)-1)*12)+VLOOKUP(AL$4,$DE$6:$DF$17,2)+1))*(VLOOKUP($A125,CURVES!$D$9:$T$261,6))*(INDEX(DailyScalarsTable,AL$5/100,MONTH($A125)))*$C125</f>
        <v>0</v>
      </c>
      <c r="AM125" s="1021">
        <f>(VLOOKUP(YEAR($A125),'NY East Load Projections'!$A$4:$EO$14,((MONTH($A125)-1)*12)+VLOOKUP(AM$4,$DE$6:$DF$17,2)+1))*(VLOOKUP($A125,CURVES!$D$9:$T$261,6))*(INDEX(DailyScalarsTable,AM$5/100,MONTH($A125)))*$C125</f>
        <v>0</v>
      </c>
      <c r="AN125" s="1021">
        <f>(VLOOKUP(YEAR($A125),'NY East Load Projections'!$A$4:$EO$14,((MONTH($A125)-1)*12)+VLOOKUP(AN$4,$DE$6:$DF$17,2)+1))*(VLOOKUP($A125,SatSunCurve,2))*(INDEX(DailyScalarsTable,AN$5/100,MONTH($A125)))*$C125</f>
        <v>0</v>
      </c>
      <c r="AO125" s="1021">
        <f>(VLOOKUP(YEAR($A125),'NY East Load Projections'!$A$4:$EO$14,((MONTH($A125)-1)*12)+VLOOKUP(AO$4,$DE$6:$DF$17,2)+1))*(VLOOKUP($A125,SatSunCurve,2))*(INDEX(DailyScalarsTable,AO$5/100,MONTH($A125)))*$C125</f>
        <v>0</v>
      </c>
      <c r="AP125" s="1021">
        <f>(VLOOKUP(YEAR($A125),'NY East Load Projections'!$A$4:$EO$14,((MONTH($A125)-1)*12)+VLOOKUP(AP$4,$DE$6:$DF$17,2)+1))*(VLOOKUP($A125,SatSunCurve,2))*(INDEX(DailyScalarsTable,AP$5/100,MONTH($A125)))*$C125</f>
        <v>0</v>
      </c>
      <c r="AQ125" s="1021">
        <f>(VLOOKUP(YEAR($A125),'NY East Load Projections'!$A$4:$EO$14,((MONTH($A125)-1)*12)+VLOOKUP(AQ$4,$DE$6:$DF$17,2)+1))*(VLOOKUP($A125,SatSunCurve,2))*(INDEX(DailyScalarsTable,AQ$5/100,MONTH($A125)))*$C125</f>
        <v>0</v>
      </c>
      <c r="AR125" s="1021">
        <f>(VLOOKUP(YEAR($A125),'NY East Load Projections'!$A$4:$EO$14,((MONTH($A125)-1)*12)+VLOOKUP(AR$4,$DE$6:$DF$17,2)+1))*(VLOOKUP($A125,SatSunCurve,2))*(INDEX(DailyScalarsTable,AR$5/100,MONTH($A125)))*$C125</f>
        <v>0</v>
      </c>
      <c r="AS125" s="1021">
        <f>(VLOOKUP(YEAR($A125),'NY East Load Projections'!$A$4:$EO$14,((MONTH($A125)-1)*12)+VLOOKUP(AS$4,$DE$6:$DF$17,2)+1))*(VLOOKUP($A125,SatSunCurve,2))*(INDEX(DailyScalarsTable,AS$5/100,MONTH($A125)))*$C125</f>
        <v>0</v>
      </c>
      <c r="AT125" s="1021">
        <f>(VLOOKUP(YEAR($A125),'NY East Load Projections'!$A$4:$EO$14,((MONTH($A125)-1)*12)+VLOOKUP(AT$4,$DE$6:$DF$17,2)+1))*(VLOOKUP($A125,SatSunCurve,2))*(INDEX(DailyScalarsTable,AT$5/100,MONTH($A125)))*$C125</f>
        <v>0</v>
      </c>
      <c r="AU125" s="1021">
        <f>(VLOOKUP(YEAR($A125),'NY East Load Projections'!$A$4:$EO$14,((MONTH($A125)-1)*12)+VLOOKUP(AU$4,$DE$6:$DF$17,2)+1))*(VLOOKUP($A125,SatSunCurve,2))*(INDEX(DailyScalarsTable,AU$5/100,MONTH($A125)))*$C125</f>
        <v>0</v>
      </c>
      <c r="AV125" s="1021">
        <f>(VLOOKUP(YEAR($A125),'NY East Load Projections'!$A$4:$EO$14,((MONTH($A125)-1)*12)+VLOOKUP(AV$4,$DE$6:$DF$17,2)+1))*(VLOOKUP($A125,SatSunCurve,2))*(INDEX(DailyScalarsTable,AV$5/100,MONTH($A125)))*$C125</f>
        <v>0</v>
      </c>
      <c r="AW125" s="1021">
        <f>(VLOOKUP(YEAR($A125),'NY East Load Projections'!$A$4:$EO$14,((MONTH($A125)-1)*12)+VLOOKUP(AW$4,$DE$6:$DF$17,2)+1))*(VLOOKUP($A125,SatSunCurve,2))*(INDEX(DailyScalarsTable,AW$5/100,MONTH($A125)))*$C125</f>
        <v>0</v>
      </c>
      <c r="AX125" s="1021">
        <f>(VLOOKUP(YEAR($A125),'NY East Load Projections'!$A$4:$EO$14,((MONTH($A125)-1)*12)+VLOOKUP(AX$4,$DE$6:$DF$17,2)+1))*(VLOOKUP($A125,SatSunCurve,2))*(INDEX(DailyScalarsTable,AX$5/100,MONTH($A125)))*$C125</f>
        <v>0</v>
      </c>
      <c r="AY125" s="1021">
        <f>(VLOOKUP(YEAR($A125),'NY East Load Projections'!$A$4:$EO$14,((MONTH($A125)-1)*12)+VLOOKUP(AY$4,$DE$6:$DF$17,2)+1))*(VLOOKUP($A125,SatSunCurve,2))*(INDEX(DailyScalarsTable,AY$5/100,MONTH($A125)))*$C125</f>
        <v>0</v>
      </c>
      <c r="AZ125" s="1021">
        <f>(VLOOKUP(YEAR($A125),'NY East Load Projections'!$A$4:$EO$14,((MONTH($A125)-1)*12)+VLOOKUP(AZ$4,$DE$6:$DF$17,2)+1))*(VLOOKUP($A125,SatSunCurve,2))*(INDEX(DailyScalarsTable,AZ$5/100,MONTH($A125)))*$C125</f>
        <v>0</v>
      </c>
      <c r="BA125" s="1021">
        <f>(VLOOKUP(YEAR($A125),'NY East Load Projections'!$A$4:$EO$14,((MONTH($A125)-1)*12)+VLOOKUP(BA$4,$DE$6:$DF$17,2)+1))*(VLOOKUP($A125,SatSunCurve,2))*(INDEX(DailyScalarsTable,BA$5/100,MONTH($A125)))*$C125</f>
        <v>0</v>
      </c>
      <c r="BB125" s="1021">
        <f>(VLOOKUP(YEAR($A125),'NY East Load Projections'!$A$4:$EO$14,((MONTH($A125)-1)*12)+VLOOKUP(BB$4,$DE$6:$DF$17,2)+1))*(VLOOKUP($A125,SatSunCurve,2))*(INDEX(DailyScalarsTable,BB$5/100,MONTH($A125)))*$C125</f>
        <v>0</v>
      </c>
      <c r="BC125" s="1021">
        <f>(VLOOKUP(YEAR($A125),'NY East Load Projections'!$A$4:$EO$14,((MONTH($A125)-1)*12)+VLOOKUP(BC$4,$DE$6:$DF$17,2)+1))*(VLOOKUP($A125,SatSunCurve,2))*(INDEX(DailyScalarsTable,BC$5/100,MONTH($A125)))*$C125</f>
        <v>0</v>
      </c>
      <c r="BD125" s="1021">
        <f>(VLOOKUP(YEAR($A125),'NY East Load Projections'!$A$4:$EO$14,((MONTH($A125)-1)*12)+VLOOKUP(BD$4,$DE$6:$DF$17,2)+1))*(VLOOKUP($A125,CURVES!$D$9:$T$261,6))*(INDEX(DailyScalarsTable,BD$5/100,MONTH($A125)))*$C125</f>
        <v>0</v>
      </c>
      <c r="BE125" s="1021"/>
      <c r="BF125" s="1021">
        <f>(VLOOKUP(YEAR($A125),'NY East Load Projections'!$A$4:$EO$14,((MONTH($A125)-1)*12)+VLOOKUP(BF$4,$DE$6:$DF$17,2)+1))*(VLOOKUP($A125,CURVES!$D$9:$T$261,6))*(INDEX(DailyScalarsTable,BF$5/100,MONTH($A125)))*$D125</f>
        <v>0</v>
      </c>
      <c r="BG125" s="1021">
        <f>(VLOOKUP(YEAR($A125),'NY East Load Projections'!$A$4:$EO$14,((MONTH($A125)-1)*12)+VLOOKUP(BG$4,$DE$6:$DF$17,2)+1))*(VLOOKUP($A125,CURVES!$D$9:$T$261,6))*(INDEX(DailyScalarsTable,BG$5/100,MONTH($A125)))*$D125</f>
        <v>0</v>
      </c>
      <c r="BH125" s="1021">
        <f>(VLOOKUP(YEAR($A125),'NY East Load Projections'!$A$4:$EO$14,((MONTH($A125)-1)*12)+VLOOKUP(BH$4,$DE$6:$DF$17,2)+1))*(VLOOKUP($A125,CURVES!$D$9:$T$261,6))*(INDEX(DailyScalarsTable,BH$5/100,MONTH($A125)))*$D125</f>
        <v>0</v>
      </c>
      <c r="BI125" s="1021">
        <f>(VLOOKUP(YEAR($A125),'NY East Load Projections'!$A$4:$EO$14,((MONTH($A125)-1)*12)+VLOOKUP(BI$4,$DE$6:$DF$17,2)+1))*(VLOOKUP($A125,CURVES!$D$9:$T$261,6))*(INDEX(DailyScalarsTable,BI$5/100,MONTH($A125)))*$D125</f>
        <v>0</v>
      </c>
      <c r="BJ125" s="1021">
        <f>(VLOOKUP(YEAR($A125),'NY East Load Projections'!$A$4:$EO$14,((MONTH($A125)-1)*12)+VLOOKUP(BJ$4,$DE$6:$DF$17,2)+1))*(VLOOKUP($A125,CURVES!$D$9:$T$261,6))*(INDEX(DailyScalarsTable,BJ$5/100,MONTH($A125)))*$D125</f>
        <v>0</v>
      </c>
      <c r="BK125" s="1021">
        <f>(VLOOKUP(YEAR($A125),'NY East Load Projections'!$A$4:$EO$14,((MONTH($A125)-1)*12)+VLOOKUP(BK$4,$DE$6:$DF$17,2)+1))*(VLOOKUP($A125,CURVES!$D$9:$T$261,6))*(INDEX(DailyScalarsTable,BK$5/100,MONTH($A125)))*$D125</f>
        <v>0</v>
      </c>
      <c r="BL125" s="1021">
        <f>(VLOOKUP(YEAR($A125),'NY East Load Projections'!$A$4:$EO$14,((MONTH($A125)-1)*12)+VLOOKUP(BL$4,$DE$6:$DF$17,2)+1))*(VLOOKUP($A125,CURVES!$D$9:$T$261,6))*(INDEX(DailyScalarsTable,BL$5/100,MONTH($A125)))*$D125</f>
        <v>0</v>
      </c>
      <c r="BM125" s="1021">
        <f>(VLOOKUP(YEAR($A125),'NY East Load Projections'!$A$4:$EO$14,((MONTH($A125)-1)*12)+VLOOKUP(BM$4,$DE$6:$DF$17,2)+1))*(VLOOKUP($A125,SatSunCurve,6))*(INDEX(DailyScalarsTable,BM$5/100,MONTH($A125)))*$D125</f>
        <v>0</v>
      </c>
      <c r="BN125" s="1021">
        <f>(VLOOKUP(YEAR($A125),'NY East Load Projections'!$A$4:$EO$14,((MONTH($A125)-1)*12)+VLOOKUP(BN$4,$DE$6:$DF$17,2)+1))*(VLOOKUP($A125,SatSunCurve,6))*(INDEX(DailyScalarsTable,BN$5/100,MONTH($A125)))*$D125</f>
        <v>0</v>
      </c>
      <c r="BO125" s="1021">
        <f>(VLOOKUP(YEAR($A125),'NY East Load Projections'!$A$4:$EO$14,((MONTH($A125)-1)*12)+VLOOKUP(BO$4,$DE$6:$DF$17,2)+1))*(VLOOKUP($A125,SatSunCurve,6))*(INDEX(DailyScalarsTable,BO$5/100,MONTH($A125)))*$D125</f>
        <v>0</v>
      </c>
      <c r="BP125" s="1021">
        <f>(VLOOKUP(YEAR($A125),'NY East Load Projections'!$A$4:$EO$14,((MONTH($A125)-1)*12)+VLOOKUP(BP$4,$DE$6:$DF$17,2)+1))*(VLOOKUP($A125,SatSunCurve,6))*(INDEX(DailyScalarsTable,BP$5/100,MONTH($A125)))*$D125</f>
        <v>0</v>
      </c>
      <c r="BQ125" s="1021">
        <f>(VLOOKUP(YEAR($A125),'NY East Load Projections'!$A$4:$EO$14,((MONTH($A125)-1)*12)+VLOOKUP(BQ$4,$DE$6:$DF$17,2)+1))*(VLOOKUP($A125,SatSunCurve,6))*(INDEX(DailyScalarsTable,BQ$5/100,MONTH($A125)))*$D125</f>
        <v>0</v>
      </c>
      <c r="BR125" s="1021">
        <f>(VLOOKUP(YEAR($A125),'NY East Load Projections'!$A$4:$EO$14,((MONTH($A125)-1)*12)+VLOOKUP(BR$4,$DE$6:$DF$17,2)+1))*(VLOOKUP($A125,SatSunCurve,6))*(INDEX(DailyScalarsTable,BR$5/100,MONTH($A125)))*$D125</f>
        <v>0</v>
      </c>
      <c r="BS125" s="1021">
        <f>(VLOOKUP(YEAR($A125),'NY East Load Projections'!$A$4:$EO$14,((MONTH($A125)-1)*12)+VLOOKUP(BS$4,$DE$6:$DF$17,2)+1))*(VLOOKUP($A125,SatSunCurve,6))*(INDEX(DailyScalarsTable,BS$5/100,MONTH($A125)))*$D125</f>
        <v>0</v>
      </c>
      <c r="BT125" s="1021">
        <f>(VLOOKUP(YEAR($A125),'NY East Load Projections'!$A$4:$EO$14,((MONTH($A125)-1)*12)+VLOOKUP(BT$4,$DE$6:$DF$17,2)+1))*(VLOOKUP($A125,SatSunCurve,6))*(INDEX(DailyScalarsTable,BT$5/100,MONTH($A125)))*$D125</f>
        <v>0</v>
      </c>
      <c r="BU125" s="1021">
        <f>(VLOOKUP(YEAR($A125),'NY East Load Projections'!$A$4:$EO$14,((MONTH($A125)-1)*12)+VLOOKUP(BU$4,$DE$6:$DF$17,2)+1))*(VLOOKUP($A125,SatSunCurve,6))*(INDEX(DailyScalarsTable,BU$5/100,MONTH($A125)))*$D125</f>
        <v>0</v>
      </c>
      <c r="BV125" s="1021">
        <f>(VLOOKUP(YEAR($A125),'NY East Load Projections'!$A$4:$EO$14,((MONTH($A125)-1)*12)+VLOOKUP(BV$4,$DE$6:$DF$17,2)+1))*(VLOOKUP($A125,SatSunCurve,6))*(INDEX(DailyScalarsTable,BV$5/100,MONTH($A125)))*$D125</f>
        <v>0</v>
      </c>
      <c r="BW125" s="1021">
        <f>(VLOOKUP(YEAR($A125),'NY East Load Projections'!$A$4:$EO$14,((MONTH($A125)-1)*12)+VLOOKUP(BW$4,$DE$6:$DF$17,2)+1))*(VLOOKUP($A125,SatSunCurve,6))*(INDEX(DailyScalarsTable,BW$5/100,MONTH($A125)))*$D125</f>
        <v>0</v>
      </c>
      <c r="BX125" s="1021">
        <f>(VLOOKUP(YEAR($A125),'NY East Load Projections'!$A$4:$EO$14,((MONTH($A125)-1)*12)+VLOOKUP(BX$4,$DE$6:$DF$17,2)+1))*(VLOOKUP($A125,SatSunCurve,6))*(INDEX(DailyScalarsTable,BX$5/100,MONTH($A125)))*$D125</f>
        <v>0</v>
      </c>
      <c r="BY125" s="1021">
        <f>(VLOOKUP(YEAR($A125),'NY East Load Projections'!$A$4:$EO$14,((MONTH($A125)-1)*12)+VLOOKUP(BY$4,$DE$6:$DF$17,2)+1))*(VLOOKUP($A125,SatSunCurve,6))*(INDEX(DailyScalarsTable,BY$5/100,MONTH($A125)))*$D125</f>
        <v>0</v>
      </c>
      <c r="BZ125" s="1021">
        <f>(VLOOKUP(YEAR($A125),'NY East Load Projections'!$A$4:$EO$14,((MONTH($A125)-1)*12)+VLOOKUP(BZ$4,$DE$6:$DF$17,2)+1))*(VLOOKUP($A125,SatSunCurve,6))*(INDEX(DailyScalarsTable,BZ$5/100,MONTH($A125)))*$D125</f>
        <v>0</v>
      </c>
      <c r="CA125" s="1021">
        <f>(VLOOKUP(YEAR($A125),'NY East Load Projections'!$A$4:$EO$14,((MONTH($A125)-1)*12)+VLOOKUP(CA$4,$DE$6:$DF$17,2)+1))*(VLOOKUP($A125,SatSunCurve,6))*(INDEX(DailyScalarsTable,CA$5/100,MONTH($A125)))*$D125</f>
        <v>0</v>
      </c>
      <c r="CB125" s="1021">
        <f>(VLOOKUP(YEAR($A125),'NY East Load Projections'!$A$4:$EO$14,((MONTH($A125)-1)*12)+VLOOKUP(CB$4,$DE$6:$DF$17,2)+1))*(VLOOKUP($A125,SatSunCurve,6))*(INDEX(DailyScalarsTable,CB$5/100,MONTH($A125)))*$D125</f>
        <v>0</v>
      </c>
      <c r="CC125" s="1021">
        <f>(VLOOKUP(YEAR($A125),'NY East Load Projections'!$A$4:$EO$14,((MONTH($A125)-1)*12)+VLOOKUP(CC$4,$DE$6:$DF$17,2)+1))*(VLOOKUP($A125,CURVES!$D$9:$T$261,6))*(INDEX(DailyScalarsTable,CC$5/100,MONTH($A125)))*$D125</f>
        <v>0</v>
      </c>
      <c r="CE125" s="1021">
        <f>(VLOOKUP(YEAR($A125),'NY East Load Projections'!$A$4:$EO$14,((MONTH($A125)-1)*12)+VLOOKUP(CE$4,$DE$6:$DF$17,2)+1))*(VLOOKUP($A125,CURVES!$D$9:$T$261,6))*(INDEX(DailyScalarsTable,CE$5/100,MONTH($A125)))*$E125</f>
        <v>0</v>
      </c>
      <c r="CF125" s="1021">
        <f>(VLOOKUP(YEAR($A125),'NY East Load Projections'!$A$4:$EO$14,((MONTH($A125)-1)*12)+VLOOKUP(CF$4,$DE$6:$DF$17,2)+1))*(VLOOKUP($A125,CURVES!$D$9:$T$261,6))*(INDEX(DailyScalarsTable,CF$5/100,MONTH($A125)))*$E125</f>
        <v>0</v>
      </c>
      <c r="CG125" s="1021">
        <f>(VLOOKUP(YEAR($A125),'NY East Load Projections'!$A$4:$EO$14,((MONTH($A125)-1)*12)+VLOOKUP(CG$4,$DE$6:$DF$17,2)+1))*(VLOOKUP($A125,CURVES!$D$9:$T$261,6))*(INDEX(DailyScalarsTable,CG$5/100,MONTH($A125)))*$E125</f>
        <v>0</v>
      </c>
      <c r="CH125" s="1021">
        <f>(VLOOKUP(YEAR($A125),'NY East Load Projections'!$A$4:$EO$14,((MONTH($A125)-1)*12)+VLOOKUP(CH$4,$DE$6:$DF$17,2)+1))*(VLOOKUP($A125,CURVES!$D$9:$T$261,6))*(INDEX(DailyScalarsTable,CH$5/100,MONTH($A125)))*$E125</f>
        <v>0</v>
      </c>
      <c r="CI125" s="1021">
        <f>(VLOOKUP(YEAR($A125),'NY East Load Projections'!$A$4:$EO$14,((MONTH($A125)-1)*12)+VLOOKUP(CI$4,$DE$6:$DF$17,2)+1))*(VLOOKUP($A125,CURVES!$D$9:$T$261,6))*(INDEX(DailyScalarsTable,CI$5/100,MONTH($A125)))*$E125</f>
        <v>0</v>
      </c>
      <c r="CJ125" s="1021">
        <f>(VLOOKUP(YEAR($A125),'NY East Load Projections'!$A$4:$EO$14,((MONTH($A125)-1)*12)+VLOOKUP(CJ$4,$DE$6:$DF$17,2)+1))*(VLOOKUP($A125,CURVES!$D$9:$T$261,6))*(INDEX(DailyScalarsTable,CJ$5/100,MONTH($A125)))*$E125</f>
        <v>0</v>
      </c>
      <c r="CK125" s="1021">
        <f>(VLOOKUP(YEAR($A125),'NY East Load Projections'!$A$4:$EO$14,((MONTH($A125)-1)*12)+VLOOKUP(CK$4,$DE$6:$DF$17,2)+1))*(VLOOKUP($A125,CURVES!$D$9:$T$261,6))*(INDEX(DailyScalarsTable,CK$5/100,MONTH($A125)))*$E125</f>
        <v>0</v>
      </c>
      <c r="CL125" s="1021">
        <f>(VLOOKUP(YEAR($A125),'NY East Load Projections'!$A$4:$EO$14,((MONTH($A125)-1)*12)+VLOOKUP(CL$4,$DE$6:$DF$17,2)+1))*(VLOOKUP($A125,SatSunCurve,6))*(INDEX(DailyScalarsTable,CL$5/100,MONTH($A125)))*$E125</f>
        <v>0</v>
      </c>
      <c r="CM125" s="1021">
        <f>(VLOOKUP(YEAR($A125),'NY East Load Projections'!$A$4:$EO$14,((MONTH($A125)-1)*12)+VLOOKUP(CM$4,$DE$6:$DF$17,2)+1))*(VLOOKUP($A125,SatSunCurve,6))*(INDEX(DailyScalarsTable,CM$5/100,MONTH($A125)))*$E125</f>
        <v>0</v>
      </c>
      <c r="CN125" s="1021">
        <f>(VLOOKUP(YEAR($A125),'NY East Load Projections'!$A$4:$EO$14,((MONTH($A125)-1)*12)+VLOOKUP(CN$4,$DE$6:$DF$17,2)+1))*(VLOOKUP($A125,SatSunCurve,6))*(INDEX(DailyScalarsTable,CN$5/100,MONTH($A125)))*$E125</f>
        <v>0</v>
      </c>
      <c r="CO125" s="1021">
        <f>(VLOOKUP(YEAR($A125),'NY East Load Projections'!$A$4:$EO$14,((MONTH($A125)-1)*12)+VLOOKUP(CO$4,$DE$6:$DF$17,2)+1))*(VLOOKUP($A125,SatSunCurve,6))*(INDEX(DailyScalarsTable,CO$5/100,MONTH($A125)))*$E125</f>
        <v>0</v>
      </c>
      <c r="CP125" s="1021">
        <f>(VLOOKUP(YEAR($A125),'NY East Load Projections'!$A$4:$EO$14,((MONTH($A125)-1)*12)+VLOOKUP(CP$4,$DE$6:$DF$17,2)+1))*(VLOOKUP($A125,SatSunCurve,6))*(INDEX(DailyScalarsTable,CP$5/100,MONTH($A125)))*$E125</f>
        <v>0</v>
      </c>
      <c r="CQ125" s="1021">
        <f>(VLOOKUP(YEAR($A125),'NY East Load Projections'!$A$4:$EO$14,((MONTH($A125)-1)*12)+VLOOKUP(CQ$4,$DE$6:$DF$17,2)+1))*(VLOOKUP($A125,SatSunCurve,6))*(INDEX(DailyScalarsTable,CQ$5/100,MONTH($A125)))*$E125</f>
        <v>0</v>
      </c>
      <c r="CR125" s="1021">
        <f>(VLOOKUP(YEAR($A125),'NY East Load Projections'!$A$4:$EO$14,((MONTH($A125)-1)*12)+VLOOKUP(CR$4,$DE$6:$DF$17,2)+1))*(VLOOKUP($A125,SatSunCurve,6))*(INDEX(DailyScalarsTable,CR$5/100,MONTH($A125)))*$E125</f>
        <v>0</v>
      </c>
      <c r="CS125" s="1021">
        <f>(VLOOKUP(YEAR($A125),'NY East Load Projections'!$A$4:$EO$14,((MONTH($A125)-1)*12)+VLOOKUP(CS$4,$DE$6:$DF$17,2)+1))*(VLOOKUP($A125,SatSunCurve,6))*(INDEX(DailyScalarsTable,CS$5/100,MONTH($A125)))*$E125</f>
        <v>0</v>
      </c>
      <c r="CT125" s="1021">
        <f>(VLOOKUP(YEAR($A125),'NY East Load Projections'!$A$4:$EO$14,((MONTH($A125)-1)*12)+VLOOKUP(CT$4,$DE$6:$DF$17,2)+1))*(VLOOKUP($A125,SatSunCurve,6))*(INDEX(DailyScalarsTable,CT$5/100,MONTH($A125)))*$E125</f>
        <v>0</v>
      </c>
      <c r="CU125" s="1021">
        <f>(VLOOKUP(YEAR($A125),'NY East Load Projections'!$A$4:$EO$14,((MONTH($A125)-1)*12)+VLOOKUP(CU$4,$DE$6:$DF$17,2)+1))*(VLOOKUP($A125,SatSunCurve,6))*(INDEX(DailyScalarsTable,CU$5/100,MONTH($A125)))*$E125</f>
        <v>0</v>
      </c>
      <c r="CV125" s="1021">
        <f>(VLOOKUP(YEAR($A125),'NY East Load Projections'!$A$4:$EO$14,((MONTH($A125)-1)*12)+VLOOKUP(CV$4,$DE$6:$DF$17,2)+1))*(VLOOKUP($A125,SatSunCurve,6))*(INDEX(DailyScalarsTable,CV$5/100,MONTH($A125)))*$E125</f>
        <v>0</v>
      </c>
      <c r="CW125" s="1021">
        <f>(VLOOKUP(YEAR($A125),'NY East Load Projections'!$A$4:$EO$14,((MONTH($A125)-1)*12)+VLOOKUP(CW$4,$DE$6:$DF$17,2)+1))*(VLOOKUP($A125,SatSunCurve,6))*(INDEX(DailyScalarsTable,CW$5/100,MONTH($A125)))*$E125</f>
        <v>0</v>
      </c>
      <c r="CX125" s="1021">
        <f>(VLOOKUP(YEAR($A125),'NY East Load Projections'!$A$4:$EO$14,((MONTH($A125)-1)*12)+VLOOKUP(CX$4,$DE$6:$DF$17,2)+1))*(VLOOKUP($A125,SatSunCurve,6))*(INDEX(DailyScalarsTable,CX$5/100,MONTH($A125)))*$E125</f>
        <v>0</v>
      </c>
      <c r="CY125" s="1021">
        <f>(VLOOKUP(YEAR($A125),'NY East Load Projections'!$A$4:$EO$14,((MONTH($A125)-1)*12)+VLOOKUP(CY$4,$DE$6:$DF$17,2)+1))*(VLOOKUP($A125,SatSunCurve,6))*(INDEX(DailyScalarsTable,CY$5/100,MONTH($A125)))*$E125</f>
        <v>0</v>
      </c>
      <c r="CZ125" s="1021">
        <f>(VLOOKUP(YEAR($A125),'NY East Load Projections'!$A$4:$EO$14,((MONTH($A125)-1)*12)+VLOOKUP(CZ$4,$DE$6:$DF$17,2)+1))*(VLOOKUP($A125,SatSunCurve,6))*(INDEX(DailyScalarsTable,CZ$5/100,MONTH($A125)))*$E125</f>
        <v>0</v>
      </c>
      <c r="DA125" s="1021">
        <f>(VLOOKUP(YEAR($A125),'NY East Load Projections'!$A$4:$EO$14,((MONTH($A125)-1)*12)+VLOOKUP(DA$4,$DE$6:$DF$17,2)+1))*(VLOOKUP($A125,SatSunCurve,6))*(INDEX(DailyScalarsTable,DA$5/100,MONTH($A125)))*$E125</f>
        <v>0</v>
      </c>
      <c r="DB125" s="1021">
        <f>(VLOOKUP(YEAR($A125),'NY East Load Projections'!$A$4:$EO$14,((MONTH($A125)-1)*12)+VLOOKUP(DB$4,$DE$6:$DF$17,2)+1))*(VLOOKUP($A125,CURVES!$D$9:$T$261,6))*(INDEX(DailyScalarsTable,DB$5/100,MONTH($A125)))*$E125</f>
        <v>0</v>
      </c>
      <c r="DH125" s="1021">
        <f t="shared" si="2"/>
        <v>0</v>
      </c>
      <c r="DI125">
        <f ca="1">CALC!J145</f>
        <v>0.45243206669760117</v>
      </c>
      <c r="DJ125" s="1029">
        <f t="shared" ca="1" si="3"/>
        <v>0</v>
      </c>
    </row>
    <row r="126" spans="1:114" x14ac:dyDescent="0.25">
      <c r="H126" s="1023"/>
      <c r="I126" s="1022"/>
      <c r="J126" s="1022"/>
      <c r="K126" s="1022"/>
      <c r="L126" s="1022"/>
      <c r="M126" s="1022"/>
      <c r="N126" s="1022"/>
      <c r="O126" s="1022"/>
      <c r="P126" s="1022"/>
      <c r="Q126" s="1022"/>
      <c r="R126" s="1022"/>
      <c r="S126" s="1022"/>
      <c r="T126" s="1022"/>
      <c r="U126" s="1022"/>
      <c r="V126" s="1022"/>
      <c r="W126" s="1022"/>
      <c r="X126" s="1022"/>
      <c r="Y126" s="1022"/>
      <c r="Z126" s="1022"/>
      <c r="AA126" s="1022"/>
      <c r="AB126" s="1022"/>
      <c r="AC126" s="1022"/>
      <c r="AD126" s="1022"/>
      <c r="AE126" s="1023"/>
      <c r="AF126" s="1021"/>
      <c r="AG126" s="1021"/>
      <c r="AH126" s="1021"/>
      <c r="AI126" s="1021"/>
      <c r="AJ126" s="1021"/>
      <c r="AK126" s="1021"/>
      <c r="AL126" s="1021"/>
      <c r="AM126" s="1021"/>
      <c r="AN126" s="1021"/>
      <c r="AO126" s="1021"/>
      <c r="AP126" s="1021"/>
      <c r="AQ126" s="1021"/>
      <c r="AR126" s="1021"/>
      <c r="AS126" s="1021"/>
      <c r="AT126" s="1021"/>
      <c r="AU126" s="1021"/>
      <c r="AV126" s="1021"/>
      <c r="AW126" s="1021"/>
      <c r="AX126" s="1021"/>
      <c r="AY126" s="1021"/>
      <c r="AZ126" s="1021"/>
      <c r="BA126" s="1021"/>
      <c r="BB126" s="1021"/>
      <c r="BC126" s="1021"/>
      <c r="BD126" s="1021"/>
      <c r="BE126" s="1021"/>
      <c r="BF126" s="1021"/>
      <c r="BG126" s="1021"/>
      <c r="BH126" s="1021"/>
      <c r="BI126" s="1021"/>
      <c r="BJ126" s="1021"/>
      <c r="BK126" s="1021"/>
      <c r="BL126" s="1021"/>
      <c r="BM126" s="1021"/>
      <c r="BN126" s="1021"/>
      <c r="BO126" s="1021"/>
      <c r="BP126" s="1021"/>
      <c r="BQ126" s="1021"/>
      <c r="BR126" s="1021"/>
      <c r="BS126" s="1021"/>
      <c r="BT126" s="1021"/>
      <c r="BU126" s="1021"/>
      <c r="BV126" s="1021"/>
      <c r="BW126" s="1021"/>
      <c r="BX126" s="1021"/>
      <c r="BY126" s="1021"/>
      <c r="BZ126" s="1021"/>
      <c r="CA126" s="1021"/>
      <c r="CB126" s="1021"/>
      <c r="CC126" s="1021"/>
      <c r="DB126" s="1021"/>
    </row>
    <row r="127" spans="1:114" x14ac:dyDescent="0.25">
      <c r="H127" s="1023"/>
      <c r="I127" s="1022"/>
      <c r="J127" s="1022"/>
      <c r="K127" s="1022"/>
      <c r="L127" s="1022"/>
      <c r="M127" s="1022"/>
      <c r="N127" s="1022"/>
      <c r="O127" s="1022"/>
      <c r="P127" s="1022"/>
      <c r="Q127" s="1022"/>
      <c r="R127" s="1022"/>
      <c r="S127" s="1022"/>
      <c r="T127" s="1022"/>
      <c r="U127" s="1022"/>
      <c r="V127" s="1022"/>
      <c r="W127" s="1022"/>
      <c r="X127" s="1022"/>
      <c r="Y127" s="1022"/>
      <c r="Z127" s="1022"/>
      <c r="AA127" s="1022"/>
      <c r="AB127" s="1022"/>
      <c r="AC127" s="1022"/>
      <c r="AD127" s="1022"/>
      <c r="AE127" s="1023"/>
      <c r="AF127" s="1021"/>
      <c r="AG127" s="1021"/>
      <c r="AH127" s="1021"/>
      <c r="AI127" s="1021"/>
      <c r="AJ127" s="1021"/>
      <c r="AK127" s="1021"/>
      <c r="AL127" s="1021"/>
      <c r="AM127" s="1021"/>
      <c r="AN127" s="1021"/>
      <c r="AO127" s="1021"/>
      <c r="AP127" s="1021"/>
      <c r="AQ127" s="1021"/>
      <c r="AR127" s="1021"/>
      <c r="AS127" s="1021"/>
      <c r="AT127" s="1021"/>
      <c r="AU127" s="1021"/>
      <c r="AV127" s="1021"/>
      <c r="AW127" s="1021"/>
      <c r="AX127" s="1021"/>
      <c r="AY127" s="1021"/>
      <c r="AZ127" s="1021"/>
      <c r="BA127" s="1021"/>
      <c r="BB127" s="1021"/>
      <c r="BC127" s="1021"/>
      <c r="BD127" s="1021"/>
      <c r="BE127" s="1021"/>
      <c r="BF127" s="1021"/>
      <c r="BG127" s="1021"/>
      <c r="BH127" s="1021"/>
      <c r="BI127" s="1021"/>
      <c r="BJ127" s="1021"/>
      <c r="BK127" s="1021"/>
      <c r="BL127" s="1021"/>
      <c r="BM127" s="1021"/>
      <c r="BN127" s="1021"/>
      <c r="BO127" s="1021"/>
      <c r="BP127" s="1021"/>
      <c r="BQ127" s="1021"/>
      <c r="BR127" s="1021"/>
      <c r="BS127" s="1021"/>
      <c r="BT127" s="1021"/>
      <c r="BU127" s="1021"/>
      <c r="BV127" s="1021"/>
      <c r="BW127" s="1021"/>
      <c r="BX127" s="1021"/>
      <c r="BY127" s="1021"/>
      <c r="BZ127" s="1021"/>
      <c r="CA127" s="1021"/>
      <c r="CB127" s="1021"/>
      <c r="CC127" s="1021"/>
    </row>
    <row r="128" spans="1:114" x14ac:dyDescent="0.25">
      <c r="H128" s="1023"/>
      <c r="I128" s="1022"/>
      <c r="J128" s="1022"/>
      <c r="K128" s="1022"/>
      <c r="L128" s="1022"/>
      <c r="M128" s="1022"/>
      <c r="N128" s="1022"/>
      <c r="O128" s="1022"/>
      <c r="P128" s="1022"/>
      <c r="Q128" s="1022"/>
      <c r="R128" s="1022"/>
      <c r="S128" s="1022"/>
      <c r="T128" s="1022"/>
      <c r="U128" s="1022"/>
      <c r="V128" s="1022"/>
      <c r="W128" s="1022"/>
      <c r="X128" s="1022"/>
      <c r="Y128" s="1022"/>
      <c r="Z128" s="1022"/>
      <c r="AA128" s="1022"/>
      <c r="AB128" s="1022"/>
      <c r="AC128" s="1022"/>
      <c r="AD128" s="1022"/>
      <c r="AE128" s="1023"/>
      <c r="AF128" s="1021"/>
      <c r="AG128" s="1021"/>
      <c r="AH128" s="1021"/>
      <c r="AI128" s="1021"/>
      <c r="AJ128" s="1021"/>
      <c r="AK128" s="1021"/>
      <c r="AL128" s="1021"/>
      <c r="AM128" s="1021"/>
      <c r="AN128" s="1021"/>
      <c r="AO128" s="1021"/>
      <c r="AP128" s="1021"/>
      <c r="AQ128" s="1021"/>
      <c r="AR128" s="1021"/>
      <c r="AS128" s="1021"/>
      <c r="AT128" s="1021"/>
      <c r="AU128" s="1021"/>
      <c r="AV128" s="1021"/>
      <c r="AW128" s="1021"/>
      <c r="AX128" s="1021"/>
      <c r="AY128" s="1021"/>
      <c r="AZ128" s="1021"/>
      <c r="BA128" s="1021"/>
      <c r="BB128" s="1021"/>
      <c r="BC128" s="1021"/>
      <c r="BD128" s="1021"/>
      <c r="BE128" s="1021"/>
      <c r="BF128" s="1021"/>
      <c r="BG128" s="1021"/>
      <c r="BH128" s="1021"/>
      <c r="BI128" s="1021"/>
      <c r="BJ128" s="1021"/>
      <c r="BK128" s="1021"/>
      <c r="BL128" s="1021"/>
      <c r="BM128" s="1021"/>
      <c r="BN128" s="1021"/>
      <c r="BO128" s="1021"/>
      <c r="BP128" s="1021"/>
      <c r="BQ128" s="1021"/>
      <c r="BR128" s="1021"/>
      <c r="BS128" s="1021"/>
      <c r="BT128" s="1021"/>
      <c r="BU128" s="1021"/>
      <c r="BV128" s="1021"/>
      <c r="BW128" s="1021"/>
      <c r="BX128" s="1021"/>
      <c r="BY128" s="1021"/>
      <c r="BZ128" s="1021"/>
      <c r="CA128" s="1021"/>
      <c r="CB128" s="1021"/>
      <c r="CC128" s="1021"/>
    </row>
    <row r="129" spans="1:114" ht="13.8" thickBot="1" x14ac:dyDescent="0.3">
      <c r="H129" s="1024"/>
      <c r="I129" s="1025"/>
      <c r="J129" s="1025"/>
      <c r="K129" s="1025"/>
      <c r="L129" s="1025"/>
      <c r="M129" s="1025"/>
      <c r="N129" s="1025"/>
      <c r="O129" s="1025"/>
      <c r="P129" s="1025"/>
      <c r="Q129" s="1025"/>
      <c r="R129" s="1025"/>
      <c r="S129" s="1025"/>
      <c r="T129" s="1025"/>
      <c r="U129" s="1025"/>
      <c r="V129" s="1025"/>
      <c r="W129" s="1025"/>
      <c r="X129" s="1025"/>
      <c r="Y129" s="1025"/>
      <c r="Z129" s="1025"/>
      <c r="AA129" s="1025"/>
      <c r="AB129" s="1025"/>
      <c r="AC129" s="1025"/>
      <c r="AD129" s="1025"/>
      <c r="AE129" s="1024"/>
      <c r="AF129" s="1021"/>
      <c r="AG129" s="1021"/>
      <c r="AH129" s="1021"/>
      <c r="AI129" s="1021"/>
      <c r="AJ129" s="1021"/>
      <c r="AK129" s="1021"/>
      <c r="AL129" s="1021"/>
      <c r="AM129" s="1021"/>
      <c r="AN129" s="1021"/>
      <c r="AO129" s="1021"/>
      <c r="AP129" s="1021"/>
      <c r="AQ129" s="1021"/>
      <c r="AR129" s="1021"/>
      <c r="AS129" s="1021"/>
      <c r="AT129" s="1021"/>
      <c r="AU129" s="1021"/>
      <c r="AV129" s="1021"/>
      <c r="AW129" s="1021"/>
      <c r="AX129" s="1021"/>
      <c r="AY129" s="1021"/>
      <c r="AZ129" s="1021"/>
      <c r="BA129" s="1021"/>
      <c r="BB129" s="1021"/>
      <c r="BC129" s="1021"/>
      <c r="BD129" s="1021"/>
      <c r="BE129" s="1021"/>
      <c r="BF129" s="1021"/>
      <c r="BG129" s="1021"/>
      <c r="BH129" s="1021"/>
      <c r="BI129" s="1021"/>
      <c r="BJ129" s="1021"/>
      <c r="BK129" s="1021"/>
      <c r="BL129" s="1021"/>
      <c r="BM129" s="1021"/>
      <c r="BN129" s="1021"/>
      <c r="BO129" s="1021"/>
      <c r="BP129" s="1021"/>
      <c r="BQ129" s="1021"/>
      <c r="BR129" s="1021"/>
      <c r="BS129" s="1021"/>
      <c r="BT129" s="1021"/>
      <c r="BU129" s="1021"/>
      <c r="BV129" s="1021"/>
      <c r="BW129" s="1021"/>
      <c r="BX129" s="1021"/>
      <c r="BY129" s="1021"/>
      <c r="BZ129" s="1021"/>
      <c r="CA129" s="1021"/>
      <c r="CB129" s="1021"/>
      <c r="CC129" s="1021"/>
    </row>
    <row r="130" spans="1:114" x14ac:dyDescent="0.25">
      <c r="H130" s="1021"/>
      <c r="I130" s="1021"/>
      <c r="J130" s="1021"/>
      <c r="K130" s="1021"/>
      <c r="L130" s="1021"/>
      <c r="M130" s="1021"/>
      <c r="N130" s="1021"/>
      <c r="O130" s="1021"/>
      <c r="P130" s="1021"/>
      <c r="Q130" s="1021"/>
      <c r="R130" s="1021"/>
      <c r="S130" s="1021"/>
      <c r="T130" s="1021"/>
      <c r="U130" s="1021"/>
      <c r="V130" s="1021"/>
      <c r="W130" s="1021"/>
      <c r="X130" s="1021"/>
      <c r="Y130" s="1021"/>
      <c r="Z130" s="1021"/>
      <c r="AA130" s="1021"/>
      <c r="AB130" s="1021"/>
      <c r="AC130" s="1021"/>
      <c r="AD130" s="1021"/>
      <c r="AE130" s="1021"/>
      <c r="AF130" s="1021"/>
      <c r="AG130" s="1021"/>
      <c r="AH130" s="1021"/>
      <c r="AI130" s="1021"/>
      <c r="AJ130" s="1021"/>
      <c r="AK130" s="1021"/>
      <c r="AL130" s="1021"/>
      <c r="AM130" s="1021"/>
      <c r="AN130" s="1021"/>
      <c r="AO130" s="1021"/>
      <c r="AP130" s="1021"/>
      <c r="AQ130" s="1021"/>
      <c r="AR130" s="1021"/>
      <c r="AS130" s="1021"/>
      <c r="AT130" s="1021"/>
      <c r="AU130" s="1021"/>
      <c r="AV130" s="1021"/>
      <c r="AW130" s="1021"/>
      <c r="AX130" s="1021"/>
      <c r="AY130" s="1021"/>
      <c r="AZ130" s="1021"/>
      <c r="BA130" s="1021"/>
      <c r="BB130" s="1021"/>
      <c r="BC130" s="1021"/>
      <c r="BD130" s="1021"/>
      <c r="BE130" s="1021"/>
      <c r="BF130" s="1021"/>
      <c r="BG130" s="1021"/>
      <c r="BH130" s="1021"/>
      <c r="BI130" s="1021"/>
      <c r="BJ130" s="1021"/>
      <c r="BK130" s="1021"/>
      <c r="BL130" s="1021"/>
      <c r="BM130" s="1021"/>
      <c r="BN130" s="1021"/>
      <c r="BO130" s="1021"/>
      <c r="BP130" s="1021"/>
      <c r="BQ130" s="1021"/>
      <c r="BR130" s="1021"/>
      <c r="BS130" s="1021"/>
      <c r="BT130" s="1021"/>
      <c r="BU130" s="1021"/>
      <c r="BV130" s="1021"/>
      <c r="BW130" s="1021"/>
      <c r="BX130" s="1021"/>
      <c r="BY130" s="1021"/>
      <c r="BZ130" s="1021"/>
      <c r="CA130" s="1021"/>
      <c r="CB130" s="1021"/>
      <c r="CC130" s="1021"/>
      <c r="CD130" s="1021"/>
      <c r="CE130" s="1021"/>
      <c r="CF130" s="1021"/>
      <c r="CG130" s="1021"/>
      <c r="CH130" s="1021"/>
      <c r="CI130" s="1021"/>
      <c r="CJ130" s="1021"/>
      <c r="CK130" s="1021"/>
      <c r="CL130" s="1021"/>
      <c r="CM130" s="1021"/>
      <c r="CN130" s="1021"/>
      <c r="CO130" s="1021"/>
      <c r="CP130" s="1021"/>
      <c r="CQ130" s="1021"/>
      <c r="CR130" s="1021"/>
      <c r="CS130" s="1021"/>
      <c r="CT130" s="1021"/>
      <c r="CU130" s="1021"/>
      <c r="CV130" s="1021"/>
      <c r="CW130" s="1021"/>
      <c r="CX130" s="1021"/>
      <c r="CY130" s="1021"/>
      <c r="CZ130" s="1021"/>
      <c r="DA130" s="1021"/>
      <c r="DB130" s="1021"/>
    </row>
    <row r="131" spans="1:114" x14ac:dyDescent="0.25">
      <c r="A131" s="1027">
        <f>SUM(H6:DB125)</f>
        <v>-236658850.71316475</v>
      </c>
      <c r="H131" s="1021"/>
      <c r="I131" s="1026"/>
      <c r="J131" s="1026"/>
      <c r="K131" s="1026"/>
      <c r="L131" s="1026"/>
      <c r="M131" s="1026"/>
      <c r="N131" s="1026"/>
      <c r="O131" s="1026"/>
      <c r="P131" s="1026"/>
      <c r="Q131" s="1026"/>
      <c r="R131" s="1026"/>
      <c r="S131" s="1026"/>
      <c r="T131" s="1026"/>
      <c r="U131" s="1026"/>
      <c r="V131" s="1026"/>
      <c r="W131" s="1026"/>
      <c r="X131" s="1026"/>
      <c r="Y131" s="1026"/>
      <c r="Z131" s="1026"/>
      <c r="AA131" s="1026"/>
      <c r="AB131" s="1026"/>
      <c r="AC131" s="1026"/>
      <c r="AD131" s="1026"/>
      <c r="AE131" s="1021"/>
      <c r="AF131" s="1021"/>
      <c r="AG131" s="1021"/>
      <c r="AH131" s="1021"/>
      <c r="AI131" s="1021"/>
      <c r="AJ131" s="1021"/>
      <c r="AK131" s="1021"/>
      <c r="AL131" s="1021"/>
      <c r="AM131" s="1021"/>
      <c r="AN131" s="1021"/>
      <c r="AO131" s="1021"/>
      <c r="AP131" s="1021"/>
      <c r="AQ131" s="1021"/>
      <c r="AR131" s="1021"/>
      <c r="AS131" s="1021"/>
      <c r="AT131" s="1021"/>
      <c r="AU131" s="1021"/>
      <c r="AV131" s="1021"/>
      <c r="AW131" s="1021"/>
      <c r="AX131" s="1021"/>
      <c r="AY131" s="1021"/>
      <c r="AZ131" s="1021"/>
      <c r="BA131" s="1021"/>
      <c r="BB131" s="1021"/>
      <c r="BC131" s="1021"/>
      <c r="BD131" s="1021"/>
      <c r="BE131" s="1021"/>
      <c r="BF131" s="1021"/>
      <c r="BG131" s="1021"/>
      <c r="BH131" s="1021"/>
      <c r="BI131" s="1021"/>
      <c r="BJ131" s="1021"/>
      <c r="BK131" s="1021"/>
      <c r="BL131" s="1021"/>
      <c r="BM131" s="1021"/>
      <c r="BN131" s="1021"/>
      <c r="BO131" s="1021"/>
      <c r="BP131" s="1021"/>
      <c r="BQ131" s="1021"/>
      <c r="BR131" s="1021"/>
      <c r="BS131" s="1021"/>
      <c r="BT131" s="1021"/>
      <c r="BU131" s="1021"/>
      <c r="BV131" s="1021"/>
      <c r="BW131" s="1021"/>
      <c r="BX131" s="1021"/>
      <c r="BY131" s="1021"/>
      <c r="BZ131" s="1021"/>
      <c r="CA131" s="1021"/>
      <c r="CB131" s="1021"/>
      <c r="CC131" s="1021"/>
      <c r="DJ131" s="1029">
        <f ca="1">SUM(DJ6:DJ130)</f>
        <v>-156317891.12609756</v>
      </c>
    </row>
    <row r="132" spans="1:114" x14ac:dyDescent="0.25">
      <c r="H132" s="1021"/>
      <c r="I132" s="1026"/>
      <c r="J132" s="1026"/>
      <c r="K132" s="1026"/>
      <c r="L132" s="1026"/>
      <c r="M132" s="1026"/>
      <c r="N132" s="1026"/>
      <c r="O132" s="1026"/>
      <c r="P132" s="1026"/>
      <c r="Q132" s="1026"/>
      <c r="R132" s="1026"/>
      <c r="S132" s="1026"/>
      <c r="T132" s="1026"/>
      <c r="U132" s="1026"/>
      <c r="V132" s="1026"/>
      <c r="W132" s="1026"/>
      <c r="X132" s="1026"/>
      <c r="Y132" s="1026"/>
      <c r="Z132" s="1026"/>
      <c r="AA132" s="1026"/>
      <c r="AB132" s="1026"/>
      <c r="AC132" s="1026"/>
      <c r="AD132" s="1026"/>
      <c r="AE132" s="1021"/>
      <c r="AF132" s="1021"/>
      <c r="AG132" s="1021"/>
      <c r="AH132" s="1021"/>
      <c r="AI132" s="1021"/>
      <c r="AJ132" s="1021"/>
      <c r="AK132" s="1021"/>
      <c r="AL132" s="1021"/>
      <c r="AM132" s="1021"/>
      <c r="AN132" s="1021"/>
      <c r="AO132" s="1021"/>
      <c r="AP132" s="1021"/>
      <c r="AQ132" s="1021"/>
      <c r="AR132" s="1021"/>
      <c r="AS132" s="1021"/>
      <c r="AT132" s="1021"/>
      <c r="AU132" s="1021"/>
      <c r="AV132" s="1021"/>
      <c r="AW132" s="1021"/>
      <c r="AX132" s="1021"/>
      <c r="AY132" s="1021"/>
      <c r="AZ132" s="1021"/>
      <c r="BA132" s="1021"/>
      <c r="BB132" s="1021"/>
      <c r="BC132" s="1021"/>
      <c r="BD132" s="1021"/>
      <c r="BE132" s="1021"/>
      <c r="BF132" s="1021"/>
      <c r="BG132" s="1021"/>
      <c r="BH132" s="1021"/>
      <c r="BI132" s="1021"/>
      <c r="BJ132" s="1021"/>
      <c r="BK132" s="1021"/>
      <c r="BL132" s="1021"/>
      <c r="BM132" s="1021"/>
      <c r="BN132" s="1021"/>
      <c r="BO132" s="1021"/>
      <c r="BP132" s="1021"/>
      <c r="BQ132" s="1021"/>
      <c r="BR132" s="1021"/>
      <c r="BS132" s="1021"/>
      <c r="BT132" s="1021"/>
      <c r="BU132" s="1021"/>
      <c r="BV132" s="1021"/>
      <c r="BW132" s="1021"/>
      <c r="BX132" s="1021"/>
      <c r="BY132" s="1021"/>
      <c r="BZ132" s="1021"/>
      <c r="CA132" s="1021"/>
      <c r="CB132" s="1021"/>
      <c r="CC132" s="1021"/>
    </row>
    <row r="133" spans="1:114" x14ac:dyDescent="0.25">
      <c r="H133" s="1021"/>
      <c r="I133" s="1026"/>
      <c r="J133" s="1026"/>
      <c r="K133" s="1026"/>
      <c r="L133" s="1026"/>
      <c r="M133" s="1026"/>
      <c r="N133" s="1026"/>
      <c r="O133" s="1026"/>
      <c r="P133" s="1026"/>
      <c r="Q133" s="1026"/>
      <c r="R133" s="1026"/>
      <c r="S133" s="1026"/>
      <c r="T133" s="1026"/>
      <c r="U133" s="1026"/>
      <c r="V133" s="1026"/>
      <c r="W133" s="1026"/>
      <c r="X133" s="1026"/>
      <c r="Y133" s="1026"/>
      <c r="Z133" s="1026"/>
      <c r="AA133" s="1026"/>
      <c r="AB133" s="1026"/>
      <c r="AC133" s="1026"/>
      <c r="AD133" s="1026"/>
      <c r="AE133" s="1021"/>
      <c r="AF133" s="1021"/>
      <c r="AG133" s="1021"/>
      <c r="AH133" s="1021"/>
      <c r="AI133" s="1021"/>
      <c r="AJ133" s="1021"/>
      <c r="AK133" s="1021"/>
      <c r="AL133" s="1021"/>
      <c r="AM133" s="1021"/>
      <c r="AN133" s="1021"/>
      <c r="AO133" s="1021"/>
      <c r="AP133" s="1021"/>
      <c r="AQ133" s="1021"/>
      <c r="AR133" s="1021"/>
      <c r="AS133" s="1021"/>
      <c r="AT133" s="1021"/>
      <c r="AU133" s="1021"/>
      <c r="AV133" s="1021"/>
      <c r="AW133" s="1021"/>
      <c r="AX133" s="1021"/>
      <c r="AY133" s="1021"/>
      <c r="AZ133" s="1021"/>
      <c r="BA133" s="1021"/>
      <c r="BB133" s="1021"/>
      <c r="BC133" s="1021"/>
      <c r="BD133" s="1021"/>
      <c r="BE133" s="1021"/>
      <c r="BF133" s="1021"/>
      <c r="BG133" s="1021"/>
      <c r="BH133" s="1021"/>
      <c r="BI133" s="1021"/>
      <c r="BJ133" s="1021"/>
      <c r="BK133" s="1021"/>
      <c r="BL133" s="1021"/>
      <c r="BM133" s="1021"/>
      <c r="BN133" s="1021"/>
      <c r="BO133" s="1021"/>
      <c r="BP133" s="1021"/>
      <c r="BQ133" s="1021"/>
      <c r="BR133" s="1021"/>
      <c r="BS133" s="1021"/>
      <c r="BT133" s="1021"/>
      <c r="BU133" s="1021"/>
      <c r="BV133" s="1021"/>
      <c r="BW133" s="1021"/>
      <c r="BX133" s="1021"/>
      <c r="BY133" s="1021"/>
      <c r="BZ133" s="1021"/>
      <c r="CA133" s="1021"/>
      <c r="CB133" s="1021"/>
      <c r="CC133" s="1021"/>
    </row>
    <row r="134" spans="1:114" x14ac:dyDescent="0.25">
      <c r="H134" s="1021"/>
      <c r="I134" s="1026"/>
      <c r="J134" s="1026"/>
      <c r="K134" s="1026"/>
      <c r="L134" s="1026"/>
      <c r="M134" s="1026"/>
      <c r="N134" s="1026"/>
      <c r="O134" s="1026"/>
      <c r="P134" s="1026"/>
      <c r="Q134" s="1026"/>
      <c r="R134" s="1026"/>
      <c r="S134" s="1026"/>
      <c r="T134" s="1026"/>
      <c r="U134" s="1026"/>
      <c r="V134" s="1026"/>
      <c r="W134" s="1026"/>
      <c r="X134" s="1026"/>
      <c r="Y134" s="1026"/>
      <c r="Z134" s="1026"/>
      <c r="AA134" s="1026"/>
      <c r="AB134" s="1026"/>
      <c r="AC134" s="1026"/>
      <c r="AD134" s="1026"/>
      <c r="AE134" s="1021"/>
      <c r="AF134" s="1021"/>
      <c r="AG134" s="1021"/>
      <c r="AH134" s="1021"/>
      <c r="AI134" s="1021"/>
      <c r="AJ134" s="1021"/>
      <c r="AK134" s="1021"/>
      <c r="AL134" s="1021"/>
      <c r="AM134" s="1021"/>
      <c r="AN134" s="1021"/>
      <c r="AO134" s="1021"/>
      <c r="AP134" s="1021"/>
      <c r="AQ134" s="1021"/>
      <c r="AR134" s="1021"/>
      <c r="AS134" s="1021"/>
      <c r="AT134" s="1021"/>
      <c r="AU134" s="1021"/>
      <c r="AV134" s="1021"/>
      <c r="AW134" s="1021"/>
      <c r="AX134" s="1021"/>
      <c r="AY134" s="1021"/>
      <c r="AZ134" s="1021"/>
      <c r="BA134" s="1021"/>
      <c r="BB134" s="1021"/>
      <c r="BC134" s="1021"/>
      <c r="BD134" s="1021"/>
      <c r="BE134" s="1021"/>
      <c r="BF134" s="1021"/>
      <c r="BG134" s="1021"/>
      <c r="BH134" s="1021"/>
      <c r="BI134" s="1021"/>
      <c r="BJ134" s="1021"/>
      <c r="BK134" s="1021"/>
      <c r="BL134" s="1021"/>
      <c r="BM134" s="1021"/>
      <c r="BN134" s="1021"/>
      <c r="BO134" s="1021"/>
      <c r="BP134" s="1021"/>
      <c r="BQ134" s="1021"/>
      <c r="BR134" s="1021"/>
      <c r="BS134" s="1021"/>
      <c r="BT134" s="1021"/>
      <c r="BU134" s="1021"/>
      <c r="BV134" s="1021"/>
      <c r="BW134" s="1021"/>
      <c r="BX134" s="1021"/>
      <c r="BY134" s="1021"/>
      <c r="BZ134" s="1021"/>
      <c r="CA134" s="1021"/>
      <c r="CB134" s="1021"/>
      <c r="CC134" s="1021"/>
    </row>
    <row r="135" spans="1:114" x14ac:dyDescent="0.25">
      <c r="H135" s="1021"/>
      <c r="I135" s="1026"/>
      <c r="J135" s="1026"/>
      <c r="K135" s="1026"/>
      <c r="L135" s="1026"/>
      <c r="M135" s="1026"/>
      <c r="N135" s="1026"/>
      <c r="O135" s="1026"/>
      <c r="P135" s="1026"/>
      <c r="Q135" s="1026"/>
      <c r="R135" s="1026"/>
      <c r="S135" s="1026"/>
      <c r="T135" s="1026"/>
      <c r="U135" s="1026"/>
      <c r="V135" s="1026"/>
      <c r="W135" s="1026"/>
      <c r="X135" s="1026"/>
      <c r="Y135" s="1026"/>
      <c r="Z135" s="1026"/>
      <c r="AA135" s="1026"/>
      <c r="AB135" s="1026"/>
      <c r="AC135" s="1026"/>
      <c r="AD135" s="1026"/>
      <c r="AE135" s="1021"/>
      <c r="AF135" s="1021"/>
      <c r="AG135" s="1021"/>
      <c r="AH135" s="1021"/>
      <c r="AI135" s="1021"/>
      <c r="AJ135" s="1021"/>
      <c r="AK135" s="1021"/>
      <c r="AL135" s="1021"/>
      <c r="AM135" s="1021"/>
      <c r="AN135" s="1021"/>
      <c r="AO135" s="1021"/>
      <c r="AP135" s="1021"/>
      <c r="AQ135" s="1021"/>
      <c r="AR135" s="1021"/>
      <c r="AS135" s="1021"/>
      <c r="AT135" s="1021"/>
      <c r="AU135" s="1021"/>
      <c r="AV135" s="1021"/>
      <c r="AW135" s="1021"/>
      <c r="AX135" s="1021"/>
      <c r="AY135" s="1021"/>
      <c r="AZ135" s="1021"/>
      <c r="BA135" s="1021"/>
      <c r="BB135" s="1021"/>
      <c r="BC135" s="1021"/>
      <c r="BD135" s="1021"/>
      <c r="BE135" s="1021"/>
      <c r="BF135" s="1021"/>
      <c r="BG135" s="1021"/>
      <c r="BH135" s="1021"/>
      <c r="BI135" s="1021"/>
      <c r="BJ135" s="1021"/>
      <c r="BK135" s="1021"/>
      <c r="BL135" s="1021"/>
      <c r="BM135" s="1021"/>
      <c r="BN135" s="1021"/>
      <c r="BO135" s="1021"/>
      <c r="BP135" s="1021"/>
      <c r="BQ135" s="1021"/>
      <c r="BR135" s="1021"/>
      <c r="BS135" s="1021"/>
      <c r="BT135" s="1021"/>
      <c r="BU135" s="1021"/>
      <c r="BV135" s="1021"/>
      <c r="BW135" s="1021"/>
      <c r="BX135" s="1021"/>
      <c r="BY135" s="1021"/>
      <c r="BZ135" s="1021"/>
      <c r="CA135" s="1021"/>
      <c r="CB135" s="1021"/>
      <c r="CC135" s="1021"/>
    </row>
    <row r="136" spans="1:114" x14ac:dyDescent="0.25">
      <c r="H136" s="1021"/>
      <c r="I136" s="1026"/>
      <c r="J136" s="1026"/>
      <c r="K136" s="1026"/>
      <c r="L136" s="1026"/>
      <c r="M136" s="1026"/>
      <c r="N136" s="1026"/>
      <c r="O136" s="1026"/>
      <c r="P136" s="1026"/>
      <c r="Q136" s="1021"/>
      <c r="R136" s="1026"/>
      <c r="S136" s="1026"/>
      <c r="T136" s="1026"/>
      <c r="U136" s="1026"/>
      <c r="V136" s="1026"/>
      <c r="W136" s="1026"/>
      <c r="X136" s="1026"/>
      <c r="Y136" s="1026"/>
      <c r="Z136" s="1026"/>
      <c r="AA136" s="1026"/>
      <c r="AB136" s="1026"/>
      <c r="AC136" s="1026"/>
      <c r="AD136" s="1026"/>
      <c r="AE136" s="1021"/>
      <c r="AF136" s="1021"/>
      <c r="AG136" s="1021"/>
      <c r="AH136" s="1021"/>
      <c r="AI136" s="1021"/>
      <c r="AJ136" s="1021"/>
      <c r="AK136" s="1021"/>
      <c r="AL136" s="1021"/>
      <c r="AM136" s="1021"/>
      <c r="AN136" s="1021"/>
      <c r="AO136" s="1021"/>
      <c r="AP136" s="1021"/>
      <c r="AQ136" s="1021"/>
      <c r="AR136" s="1021"/>
      <c r="AS136" s="1021"/>
      <c r="AT136" s="1021"/>
      <c r="AU136" s="1021"/>
      <c r="AV136" s="1021"/>
      <c r="AW136" s="1021"/>
      <c r="AX136" s="1021"/>
      <c r="AY136" s="1021"/>
      <c r="AZ136" s="1021"/>
      <c r="BA136" s="1021"/>
      <c r="BB136" s="1021"/>
      <c r="BC136" s="1021"/>
      <c r="BD136" s="1021"/>
      <c r="BE136" s="1021"/>
      <c r="BF136" s="1021"/>
      <c r="BG136" s="1021"/>
      <c r="BH136" s="1021"/>
      <c r="BI136" s="1021"/>
      <c r="BJ136" s="1021"/>
      <c r="BK136" s="1021"/>
      <c r="BL136" s="1021"/>
      <c r="BM136" s="1021"/>
      <c r="BN136" s="1021"/>
      <c r="BO136" s="1021"/>
      <c r="BP136" s="1021"/>
      <c r="BQ136" s="1021"/>
      <c r="BR136" s="1021"/>
      <c r="BS136" s="1021"/>
      <c r="BT136" s="1021"/>
      <c r="BU136" s="1021"/>
      <c r="BV136" s="1021"/>
      <c r="BW136" s="1021"/>
      <c r="BX136" s="1021"/>
      <c r="BY136" s="1021"/>
      <c r="BZ136" s="1021"/>
      <c r="CA136" s="1021"/>
      <c r="CB136" s="1021"/>
      <c r="CC136" s="1021"/>
    </row>
    <row r="137" spans="1:114" x14ac:dyDescent="0.25">
      <c r="H137" s="1021"/>
      <c r="I137" s="1026"/>
      <c r="J137" s="1026"/>
      <c r="K137" s="1026"/>
      <c r="L137" s="1026"/>
      <c r="M137" s="1026"/>
      <c r="N137" s="1026"/>
      <c r="O137" s="1026"/>
      <c r="P137" s="1026"/>
      <c r="Q137" s="1021"/>
      <c r="R137" s="1026"/>
      <c r="S137" s="1026"/>
      <c r="T137" s="1026"/>
      <c r="U137" s="1026"/>
      <c r="V137" s="1026"/>
      <c r="W137" s="1026"/>
      <c r="X137" s="1026"/>
      <c r="Y137" s="1026"/>
      <c r="Z137" s="1026"/>
      <c r="AA137" s="1026"/>
      <c r="AB137" s="1026"/>
      <c r="AC137" s="1026"/>
      <c r="AD137" s="1026"/>
      <c r="AE137" s="1021"/>
      <c r="AF137" s="1021"/>
      <c r="AG137" s="1021"/>
      <c r="AH137" s="1021"/>
      <c r="AI137" s="1021"/>
      <c r="AJ137" s="1021"/>
      <c r="AK137" s="1021"/>
      <c r="AL137" s="1021"/>
      <c r="AM137" s="1021"/>
      <c r="AN137" s="1021"/>
      <c r="AO137" s="1021"/>
      <c r="AP137" s="1021"/>
      <c r="AQ137" s="1021"/>
      <c r="AR137" s="1021"/>
      <c r="AS137" s="1021"/>
      <c r="AT137" s="1021"/>
      <c r="AU137" s="1021"/>
      <c r="AV137" s="1021"/>
      <c r="AW137" s="1021"/>
      <c r="AX137" s="1021"/>
      <c r="AY137" s="1021"/>
      <c r="AZ137" s="1021"/>
      <c r="BA137" s="1021"/>
      <c r="BB137" s="1021"/>
      <c r="BC137" s="1021"/>
      <c r="BD137" s="1021"/>
      <c r="BE137" s="1021"/>
      <c r="BF137" s="1021"/>
      <c r="BG137" s="1021"/>
      <c r="BH137" s="1021"/>
      <c r="BI137" s="1021"/>
      <c r="BJ137" s="1021"/>
      <c r="BK137" s="1021"/>
      <c r="BL137" s="1021"/>
      <c r="BM137" s="1021"/>
      <c r="BN137" s="1021"/>
      <c r="BO137" s="1021"/>
      <c r="BP137" s="1021"/>
      <c r="BQ137" s="1021"/>
      <c r="BR137" s="1021"/>
      <c r="BS137" s="1021"/>
      <c r="BT137" s="1021"/>
      <c r="BU137" s="1021"/>
      <c r="BV137" s="1021"/>
      <c r="BW137" s="1021"/>
      <c r="BX137" s="1021"/>
      <c r="BY137" s="1021"/>
      <c r="BZ137" s="1021"/>
      <c r="CA137" s="1021"/>
      <c r="CB137" s="1021"/>
      <c r="CC137" s="1021"/>
    </row>
    <row r="138" spans="1:114" x14ac:dyDescent="0.25">
      <c r="H138" s="1021"/>
      <c r="I138" s="1026"/>
      <c r="J138" s="1026"/>
      <c r="K138" s="1026"/>
      <c r="L138" s="1026"/>
      <c r="M138" s="1026"/>
      <c r="N138" s="1026"/>
      <c r="O138" s="1026"/>
      <c r="P138" s="1026"/>
      <c r="Q138" s="1021"/>
      <c r="R138" s="1026"/>
      <c r="S138" s="1026"/>
      <c r="T138" s="1026"/>
      <c r="U138" s="1026"/>
      <c r="V138" s="1026"/>
      <c r="W138" s="1026"/>
      <c r="X138" s="1026"/>
      <c r="Y138" s="1026"/>
      <c r="Z138" s="1026"/>
      <c r="AA138" s="1026"/>
      <c r="AB138" s="1026"/>
      <c r="AC138" s="1026"/>
      <c r="AD138" s="1026"/>
      <c r="AE138" s="1021"/>
      <c r="AF138" s="1021"/>
      <c r="AG138" s="1021"/>
      <c r="AH138" s="1021"/>
      <c r="AI138" s="1021"/>
      <c r="AJ138" s="1021"/>
      <c r="AK138" s="1021"/>
      <c r="AL138" s="1021"/>
      <c r="AM138" s="1021"/>
      <c r="AN138" s="1021"/>
      <c r="AO138" s="1021"/>
      <c r="AP138" s="1021"/>
      <c r="AQ138" s="1021"/>
      <c r="AR138" s="1021"/>
      <c r="AS138" s="1021"/>
      <c r="AT138" s="1021"/>
      <c r="AU138" s="1021"/>
      <c r="AV138" s="1021"/>
      <c r="AW138" s="1021"/>
      <c r="AX138" s="1021"/>
      <c r="AY138" s="1021"/>
      <c r="AZ138" s="1021"/>
      <c r="BA138" s="1021"/>
      <c r="BB138" s="1021"/>
      <c r="BC138" s="1021"/>
      <c r="BD138" s="1021"/>
      <c r="BE138" s="1021"/>
      <c r="BF138" s="1021"/>
      <c r="BG138" s="1021"/>
      <c r="BH138" s="1021"/>
      <c r="BI138" s="1021"/>
      <c r="BJ138" s="1021"/>
      <c r="BK138" s="1021"/>
      <c r="BL138" s="1021"/>
      <c r="BM138" s="1021"/>
      <c r="BN138" s="1021"/>
      <c r="BO138" s="1021"/>
      <c r="BP138" s="1021"/>
      <c r="BQ138" s="1021"/>
      <c r="BR138" s="1021"/>
      <c r="BS138" s="1021"/>
      <c r="BT138" s="1021"/>
      <c r="BU138" s="1021"/>
      <c r="BV138" s="1021"/>
      <c r="BW138" s="1021"/>
      <c r="BX138" s="1021"/>
      <c r="BY138" s="1021"/>
      <c r="BZ138" s="1021"/>
      <c r="CA138" s="1021"/>
      <c r="CB138" s="1021"/>
      <c r="CC138" s="1021"/>
    </row>
    <row r="139" spans="1:114" x14ac:dyDescent="0.25">
      <c r="H139" s="1021"/>
      <c r="I139" s="1026"/>
      <c r="J139" s="1026"/>
      <c r="K139" s="1026"/>
      <c r="L139" s="1026"/>
      <c r="M139" s="1026"/>
      <c r="N139" s="1026"/>
      <c r="O139" s="1026"/>
      <c r="P139" s="1026"/>
      <c r="Q139" s="1022"/>
      <c r="R139" s="1026"/>
      <c r="S139" s="1026"/>
      <c r="T139" s="1026"/>
      <c r="U139" s="1026"/>
      <c r="V139" s="1026"/>
      <c r="W139" s="1026"/>
      <c r="X139" s="1026"/>
      <c r="Y139" s="1026"/>
      <c r="Z139" s="1026"/>
      <c r="AA139" s="1026"/>
      <c r="AB139" s="1026"/>
      <c r="AC139" s="1026"/>
      <c r="AD139" s="1026"/>
      <c r="AE139" s="1021"/>
      <c r="AF139" s="1021"/>
      <c r="AG139" s="1021"/>
      <c r="AH139" s="1021"/>
      <c r="AI139" s="1021"/>
      <c r="AJ139" s="1021"/>
      <c r="AK139" s="1021"/>
      <c r="AL139" s="1021"/>
      <c r="AM139" s="1021"/>
      <c r="AN139" s="1021"/>
      <c r="AO139" s="1021"/>
      <c r="AP139" s="1021"/>
      <c r="AQ139" s="1021"/>
      <c r="AR139" s="1021"/>
      <c r="AS139" s="1021"/>
      <c r="AT139" s="1021"/>
      <c r="AU139" s="1021"/>
      <c r="AV139" s="1021"/>
      <c r="AW139" s="1021"/>
      <c r="AX139" s="1021"/>
      <c r="AY139" s="1021"/>
      <c r="AZ139" s="1021"/>
      <c r="BA139" s="1021"/>
      <c r="BB139" s="1021"/>
      <c r="BC139" s="1021"/>
      <c r="BD139" s="1021"/>
      <c r="BE139" s="1021"/>
      <c r="BF139" s="1021"/>
      <c r="BG139" s="1021"/>
      <c r="BH139" s="1021"/>
      <c r="BI139" s="1021"/>
      <c r="BJ139" s="1021"/>
      <c r="BK139" s="1021"/>
      <c r="BL139" s="1021"/>
      <c r="BM139" s="1021"/>
      <c r="BN139" s="1021"/>
      <c r="BO139" s="1021"/>
      <c r="BP139" s="1021"/>
      <c r="BQ139" s="1021"/>
      <c r="BR139" s="1021"/>
      <c r="BS139" s="1021"/>
      <c r="BT139" s="1021"/>
      <c r="BU139" s="1021"/>
      <c r="BV139" s="1021"/>
      <c r="BW139" s="1021"/>
      <c r="BX139" s="1021"/>
      <c r="BY139" s="1021"/>
      <c r="BZ139" s="1021"/>
      <c r="CA139" s="1021"/>
      <c r="CB139" s="1021"/>
      <c r="CC139" s="1021"/>
    </row>
    <row r="140" spans="1:114" x14ac:dyDescent="0.25">
      <c r="H140" s="1021"/>
      <c r="I140" s="1026"/>
      <c r="J140" s="1026"/>
      <c r="K140" s="1026"/>
      <c r="L140" s="1026"/>
      <c r="M140" s="1026"/>
      <c r="N140" s="1026"/>
      <c r="O140" s="1026"/>
      <c r="P140" s="1026"/>
      <c r="Q140" s="1022"/>
      <c r="R140" s="1026"/>
      <c r="S140" s="1026"/>
      <c r="T140" s="1026"/>
      <c r="U140" s="1026"/>
      <c r="V140" s="1026"/>
      <c r="W140" s="1026"/>
      <c r="X140" s="1026"/>
      <c r="Y140" s="1026"/>
      <c r="Z140" s="1026"/>
      <c r="AA140" s="1026"/>
      <c r="AB140" s="1026"/>
      <c r="AC140" s="1026"/>
      <c r="AD140" s="1026"/>
      <c r="AE140" s="1021"/>
      <c r="AF140" s="1021"/>
      <c r="AG140" s="1021"/>
      <c r="AH140" s="1021"/>
      <c r="AI140" s="1021"/>
      <c r="AJ140" s="1021"/>
      <c r="AK140" s="1021"/>
      <c r="AL140" s="1021"/>
      <c r="AM140" s="1021"/>
      <c r="AN140" s="1021"/>
      <c r="AO140" s="1021"/>
      <c r="AP140" s="1021"/>
      <c r="AQ140" s="1021"/>
      <c r="AR140" s="1021"/>
      <c r="AS140" s="1021"/>
      <c r="AT140" s="1021"/>
      <c r="AU140" s="1021"/>
      <c r="AV140" s="1021"/>
      <c r="AW140" s="1021"/>
      <c r="AX140" s="1021"/>
      <c r="AY140" s="1021"/>
      <c r="AZ140" s="1021"/>
      <c r="BA140" s="1021"/>
      <c r="BB140" s="1021"/>
      <c r="BC140" s="1021"/>
      <c r="BD140" s="1021"/>
      <c r="BE140" s="1021"/>
      <c r="BF140" s="1021"/>
      <c r="BG140" s="1021"/>
      <c r="BH140" s="1021"/>
      <c r="BI140" s="1021"/>
      <c r="BJ140" s="1021"/>
      <c r="BK140" s="1021"/>
      <c r="BL140" s="1021"/>
      <c r="BM140" s="1021"/>
      <c r="BN140" s="1021"/>
      <c r="BO140" s="1021"/>
      <c r="BP140" s="1021"/>
      <c r="BQ140" s="1021"/>
      <c r="BR140" s="1021"/>
      <c r="BS140" s="1021"/>
      <c r="BT140" s="1021"/>
      <c r="BU140" s="1021"/>
      <c r="BV140" s="1021"/>
      <c r="BW140" s="1021"/>
      <c r="BX140" s="1021"/>
      <c r="BY140" s="1021"/>
      <c r="BZ140" s="1021"/>
      <c r="CA140" s="1021"/>
      <c r="CB140" s="1021"/>
      <c r="CC140" s="1021"/>
    </row>
    <row r="141" spans="1:114" x14ac:dyDescent="0.25">
      <c r="H141" s="1021"/>
      <c r="I141" s="1026"/>
      <c r="J141" s="1026"/>
      <c r="K141" s="1026"/>
      <c r="L141" s="1026"/>
      <c r="M141" s="1026"/>
      <c r="N141" s="1026"/>
      <c r="O141" s="1026"/>
      <c r="P141" s="1026"/>
      <c r="Q141" s="1022"/>
      <c r="R141" s="1026"/>
      <c r="S141" s="1026"/>
      <c r="T141" s="1026"/>
      <c r="U141" s="1026"/>
      <c r="V141" s="1026"/>
      <c r="W141" s="1026"/>
      <c r="X141" s="1026"/>
      <c r="Y141" s="1026"/>
      <c r="Z141" s="1026"/>
      <c r="AA141" s="1026"/>
      <c r="AB141" s="1026"/>
      <c r="AC141" s="1026"/>
      <c r="AD141" s="1026"/>
      <c r="AE141" s="1021"/>
      <c r="AF141" s="1021"/>
      <c r="AG141" s="1021"/>
      <c r="AH141" s="1021"/>
      <c r="AI141" s="1021"/>
      <c r="AJ141" s="1021"/>
      <c r="AK141" s="1021"/>
      <c r="AL141" s="1021"/>
      <c r="AM141" s="1021"/>
      <c r="AN141" s="1021"/>
      <c r="AO141" s="1021"/>
      <c r="AP141" s="1021"/>
      <c r="AQ141" s="1021"/>
      <c r="AR141" s="1021"/>
      <c r="AS141" s="1021"/>
      <c r="AT141" s="1021"/>
      <c r="AU141" s="1021"/>
      <c r="AV141" s="1021"/>
      <c r="AW141" s="1021"/>
      <c r="AX141" s="1021"/>
      <c r="AY141" s="1021"/>
      <c r="AZ141" s="1021"/>
      <c r="BA141" s="1021"/>
      <c r="BB141" s="1021"/>
      <c r="BC141" s="1021"/>
      <c r="BD141" s="1021"/>
      <c r="BE141" s="1021"/>
      <c r="BF141" s="1021"/>
      <c r="BG141" s="1021"/>
      <c r="BH141" s="1021"/>
      <c r="BI141" s="1021"/>
      <c r="BJ141" s="1021"/>
      <c r="BK141" s="1021"/>
      <c r="BL141" s="1021"/>
      <c r="BM141" s="1021"/>
      <c r="BN141" s="1021"/>
      <c r="BO141" s="1021"/>
      <c r="BP141" s="1021"/>
      <c r="BQ141" s="1021"/>
      <c r="BR141" s="1021"/>
      <c r="BS141" s="1021"/>
      <c r="BT141" s="1021"/>
      <c r="BU141" s="1021"/>
      <c r="BV141" s="1021"/>
      <c r="BW141" s="1021"/>
      <c r="BX141" s="1021"/>
      <c r="BY141" s="1021"/>
      <c r="BZ141" s="1021"/>
      <c r="CA141" s="1021"/>
      <c r="CB141" s="1021"/>
      <c r="CC141" s="1021"/>
    </row>
    <row r="142" spans="1:114" x14ac:dyDescent="0.25">
      <c r="H142" s="1021"/>
      <c r="I142" s="1026"/>
      <c r="J142" s="1026"/>
      <c r="K142" s="1026"/>
      <c r="L142" s="1026"/>
      <c r="M142" s="1026"/>
      <c r="N142" s="1026"/>
      <c r="O142" s="1026"/>
      <c r="P142" s="1026"/>
      <c r="Q142" s="1022"/>
      <c r="R142" s="1026"/>
      <c r="S142" s="1026"/>
      <c r="T142" s="1026"/>
      <c r="U142" s="1026"/>
      <c r="V142" s="1026"/>
      <c r="W142" s="1026"/>
      <c r="X142" s="1026"/>
      <c r="Y142" s="1026"/>
      <c r="Z142" s="1026"/>
      <c r="AA142" s="1026"/>
      <c r="AB142" s="1026"/>
      <c r="AC142" s="1026"/>
      <c r="AD142" s="1026"/>
      <c r="AE142" s="1021"/>
      <c r="AF142" s="1021"/>
      <c r="AG142" s="1021"/>
      <c r="AH142" s="1021"/>
      <c r="AI142" s="1021"/>
      <c r="AJ142" s="1021"/>
      <c r="AK142" s="1021"/>
      <c r="AL142" s="1021"/>
      <c r="AM142" s="1021"/>
      <c r="AN142" s="1021"/>
      <c r="AO142" s="1021"/>
      <c r="AP142" s="1021"/>
      <c r="AQ142" s="1021"/>
      <c r="AR142" s="1021"/>
      <c r="AS142" s="1021"/>
      <c r="AT142" s="1021"/>
      <c r="AU142" s="1021"/>
      <c r="AV142" s="1021"/>
      <c r="AW142" s="1021"/>
      <c r="AX142" s="1021"/>
      <c r="AY142" s="1021"/>
      <c r="AZ142" s="1021"/>
      <c r="BA142" s="1021"/>
      <c r="BB142" s="1021"/>
      <c r="BC142" s="1021"/>
      <c r="BD142" s="1021"/>
      <c r="BE142" s="1021"/>
      <c r="BF142" s="1021"/>
      <c r="BG142" s="1021"/>
      <c r="BH142" s="1021"/>
      <c r="BI142" s="1021"/>
      <c r="BJ142" s="1021"/>
      <c r="BK142" s="1021"/>
      <c r="BL142" s="1021"/>
      <c r="BM142" s="1021"/>
      <c r="BN142" s="1021"/>
      <c r="BO142" s="1021"/>
      <c r="BP142" s="1021"/>
      <c r="BQ142" s="1021"/>
      <c r="BR142" s="1021"/>
      <c r="BS142" s="1021"/>
      <c r="BT142" s="1021"/>
      <c r="BU142" s="1021"/>
      <c r="BV142" s="1021"/>
      <c r="BW142" s="1021"/>
      <c r="BX142" s="1021"/>
      <c r="BY142" s="1021"/>
      <c r="BZ142" s="1021"/>
      <c r="CA142" s="1021"/>
      <c r="CB142" s="1021"/>
      <c r="CC142" s="1021"/>
    </row>
    <row r="143" spans="1:114" x14ac:dyDescent="0.25">
      <c r="H143" s="1021"/>
      <c r="I143" s="1026"/>
      <c r="J143" s="1026"/>
      <c r="K143" s="1026"/>
      <c r="L143" s="1026"/>
      <c r="M143" s="1026"/>
      <c r="N143" s="1026"/>
      <c r="O143" s="1026"/>
      <c r="P143" s="1026"/>
      <c r="Q143" s="1022"/>
      <c r="R143" s="1026"/>
      <c r="S143" s="1026"/>
      <c r="T143" s="1026"/>
      <c r="U143" s="1026"/>
      <c r="V143" s="1026"/>
      <c r="W143" s="1026"/>
      <c r="X143" s="1026"/>
      <c r="Y143" s="1026"/>
      <c r="Z143" s="1026"/>
      <c r="AA143" s="1026"/>
      <c r="AB143" s="1026"/>
      <c r="AC143" s="1026"/>
      <c r="AD143" s="1026"/>
      <c r="AE143" s="1021"/>
      <c r="AF143" s="1021"/>
      <c r="AG143" s="1021"/>
      <c r="AH143" s="1021"/>
      <c r="AI143" s="1021"/>
      <c r="AJ143" s="1021"/>
      <c r="AK143" s="1021"/>
      <c r="AL143" s="1021"/>
      <c r="AM143" s="1021"/>
      <c r="AN143" s="1021"/>
      <c r="AO143" s="1021"/>
      <c r="AP143" s="1021"/>
      <c r="AQ143" s="1021"/>
      <c r="AR143" s="1021"/>
      <c r="AS143" s="1021"/>
      <c r="AT143" s="1021"/>
      <c r="AU143" s="1021"/>
      <c r="AV143" s="1021"/>
      <c r="AW143" s="1021"/>
      <c r="AX143" s="1021"/>
      <c r="AY143" s="1021"/>
      <c r="AZ143" s="1021"/>
      <c r="BA143" s="1021"/>
      <c r="BB143" s="1021"/>
      <c r="BC143" s="1021"/>
      <c r="BD143" s="1021"/>
      <c r="BE143" s="1021"/>
      <c r="BF143" s="1021"/>
      <c r="BG143" s="1021"/>
      <c r="BH143" s="1021"/>
      <c r="BI143" s="1021"/>
      <c r="BJ143" s="1021"/>
      <c r="BK143" s="1021"/>
      <c r="BL143" s="1021"/>
      <c r="BM143" s="1021"/>
      <c r="BN143" s="1021"/>
      <c r="BO143" s="1021"/>
      <c r="BP143" s="1021"/>
      <c r="BQ143" s="1021"/>
      <c r="BR143" s="1021"/>
      <c r="BS143" s="1021"/>
      <c r="BT143" s="1021"/>
      <c r="BU143" s="1021"/>
      <c r="BV143" s="1021"/>
      <c r="BW143" s="1021"/>
      <c r="BX143" s="1021"/>
      <c r="BY143" s="1021"/>
      <c r="BZ143" s="1021"/>
      <c r="CA143" s="1021"/>
      <c r="CB143" s="1021"/>
      <c r="CC143" s="1021"/>
    </row>
    <row r="144" spans="1:114" x14ac:dyDescent="0.25">
      <c r="H144" s="1021"/>
      <c r="I144" s="1026"/>
      <c r="J144" s="1026"/>
      <c r="K144" s="1026"/>
      <c r="L144" s="1026"/>
      <c r="M144" s="1026"/>
      <c r="N144" s="1026"/>
      <c r="O144" s="1026"/>
      <c r="P144" s="1026"/>
      <c r="Q144" s="1022"/>
      <c r="R144" s="1026"/>
      <c r="S144" s="1026"/>
      <c r="T144" s="1026"/>
      <c r="U144" s="1026"/>
      <c r="V144" s="1026"/>
      <c r="W144" s="1026"/>
      <c r="X144" s="1026"/>
      <c r="Y144" s="1026"/>
      <c r="Z144" s="1026"/>
      <c r="AA144" s="1026"/>
      <c r="AB144" s="1026"/>
      <c r="AC144" s="1026"/>
      <c r="AD144" s="1026"/>
      <c r="AE144" s="1021"/>
      <c r="AF144" s="1021"/>
      <c r="AG144" s="1021"/>
      <c r="AH144" s="1021"/>
      <c r="AI144" s="1021"/>
      <c r="AJ144" s="1021"/>
      <c r="AK144" s="1021"/>
      <c r="AL144" s="1021"/>
      <c r="AM144" s="1021"/>
      <c r="AN144" s="1021"/>
      <c r="AO144" s="1021"/>
      <c r="AP144" s="1021"/>
      <c r="AQ144" s="1021"/>
      <c r="AR144" s="1021"/>
      <c r="AS144" s="1021"/>
      <c r="AT144" s="1021"/>
      <c r="AU144" s="1021"/>
      <c r="AV144" s="1021"/>
      <c r="AW144" s="1021"/>
      <c r="AX144" s="1021"/>
      <c r="AY144" s="1021"/>
      <c r="AZ144" s="1021"/>
      <c r="BA144" s="1021"/>
      <c r="BB144" s="1021"/>
      <c r="BC144" s="1021"/>
      <c r="BD144" s="1021"/>
      <c r="BE144" s="1021"/>
      <c r="BF144" s="1021"/>
      <c r="BG144" s="1021"/>
      <c r="BH144" s="1021"/>
      <c r="BI144" s="1021"/>
      <c r="BJ144" s="1021"/>
      <c r="BK144" s="1021"/>
      <c r="BL144" s="1021"/>
      <c r="BM144" s="1021"/>
      <c r="BN144" s="1021"/>
      <c r="BO144" s="1021"/>
      <c r="BP144" s="1021"/>
      <c r="BQ144" s="1021"/>
      <c r="BR144" s="1021"/>
      <c r="BS144" s="1021"/>
      <c r="BT144" s="1021"/>
      <c r="BU144" s="1021"/>
      <c r="BV144" s="1021"/>
      <c r="BW144" s="1021"/>
      <c r="BX144" s="1021"/>
      <c r="BY144" s="1021"/>
      <c r="BZ144" s="1021"/>
      <c r="CA144" s="1021"/>
      <c r="CB144" s="1021"/>
      <c r="CC144" s="1021"/>
    </row>
    <row r="145" spans="8:107" x14ac:dyDescent="0.25">
      <c r="H145" s="1021"/>
      <c r="I145" s="1026"/>
      <c r="J145" s="1026"/>
      <c r="K145" s="1026"/>
      <c r="L145" s="1026"/>
      <c r="M145" s="1026"/>
      <c r="N145" s="1026"/>
      <c r="O145" s="1026"/>
      <c r="P145" s="1026"/>
      <c r="Q145" s="1022"/>
      <c r="R145" s="1026"/>
      <c r="S145" s="1026"/>
      <c r="T145" s="1026"/>
      <c r="U145" s="1026"/>
      <c r="V145" s="1026"/>
      <c r="W145" s="1026"/>
      <c r="X145" s="1026"/>
      <c r="Y145" s="1026"/>
      <c r="Z145" s="1026"/>
      <c r="AA145" s="1026"/>
      <c r="AB145" s="1026"/>
      <c r="AC145" s="1026"/>
      <c r="AD145" s="1026"/>
      <c r="AE145" s="1021"/>
      <c r="AF145" s="1021"/>
      <c r="AG145" s="1021"/>
      <c r="AH145" s="1021"/>
      <c r="AI145" s="1021"/>
      <c r="AJ145" s="1021"/>
      <c r="AK145" s="1021"/>
      <c r="AL145" s="1021"/>
      <c r="AM145" s="1021"/>
      <c r="AN145" s="1021"/>
      <c r="AO145" s="1021"/>
      <c r="AP145" s="1021"/>
      <c r="AQ145" s="1021"/>
      <c r="AR145" s="1021"/>
      <c r="AS145" s="1021"/>
      <c r="AT145" s="1021"/>
      <c r="AU145" s="1021"/>
      <c r="AV145" s="1021"/>
      <c r="AW145" s="1021"/>
      <c r="AX145" s="1021"/>
      <c r="AY145" s="1021"/>
      <c r="AZ145" s="1021"/>
      <c r="BA145" s="1021"/>
      <c r="BB145" s="1021"/>
      <c r="BC145" s="1021"/>
      <c r="BD145" s="1021"/>
      <c r="BE145" s="1021"/>
      <c r="BF145" s="1021"/>
      <c r="BG145" s="1021"/>
      <c r="BH145" s="1021"/>
      <c r="BI145" s="1021"/>
      <c r="BJ145" s="1021"/>
      <c r="BK145" s="1021"/>
      <c r="BL145" s="1021"/>
      <c r="BM145" s="1021"/>
      <c r="BN145" s="1021"/>
      <c r="BO145" s="1021"/>
      <c r="BP145" s="1021"/>
      <c r="BQ145" s="1021"/>
      <c r="BR145" s="1021"/>
      <c r="BS145" s="1021"/>
      <c r="BT145" s="1021"/>
      <c r="BU145" s="1021"/>
      <c r="BV145" s="1021"/>
      <c r="BW145" s="1021"/>
      <c r="BX145" s="1021"/>
      <c r="BY145" s="1021"/>
      <c r="BZ145" s="1021"/>
      <c r="CA145" s="1021"/>
      <c r="CB145" s="1021"/>
      <c r="CC145" s="1021"/>
    </row>
    <row r="146" spans="8:107" x14ac:dyDescent="0.25">
      <c r="H146" s="1021"/>
      <c r="I146" s="1026"/>
      <c r="J146" s="1026"/>
      <c r="K146" s="1026"/>
      <c r="L146" s="1026"/>
      <c r="M146" s="1026"/>
      <c r="N146" s="1026"/>
      <c r="O146" s="1026"/>
      <c r="P146" s="1026"/>
      <c r="Q146" s="1022"/>
      <c r="R146" s="1026"/>
      <c r="S146" s="1026"/>
      <c r="T146" s="1026"/>
      <c r="U146" s="1026"/>
      <c r="V146" s="1026"/>
      <c r="W146" s="1026"/>
      <c r="X146" s="1026"/>
      <c r="Y146" s="1026"/>
      <c r="Z146" s="1026"/>
      <c r="AA146" s="1026"/>
      <c r="AB146" s="1026"/>
      <c r="AC146" s="1026"/>
      <c r="AD146" s="1026"/>
      <c r="AE146" s="1021"/>
      <c r="AF146" s="1021"/>
      <c r="AG146" s="1021"/>
      <c r="AH146" s="1021"/>
      <c r="AI146" s="1021"/>
      <c r="AJ146" s="1021"/>
      <c r="AK146" s="1021"/>
      <c r="AL146" s="1021"/>
      <c r="AM146" s="1021"/>
      <c r="AN146" s="1021"/>
      <c r="AO146" s="1021"/>
      <c r="AP146" s="1021"/>
      <c r="AQ146" s="1021"/>
      <c r="AR146" s="1021"/>
      <c r="AS146" s="1021"/>
      <c r="AT146" s="1021"/>
      <c r="AU146" s="1021"/>
      <c r="AV146" s="1021"/>
      <c r="AW146" s="1021"/>
      <c r="AX146" s="1021"/>
      <c r="AY146" s="1021"/>
      <c r="AZ146" s="1021"/>
      <c r="BA146" s="1021"/>
      <c r="BB146" s="1021"/>
      <c r="BC146" s="1021"/>
      <c r="BD146" s="1021"/>
      <c r="BE146" s="1021"/>
      <c r="BF146" s="1021"/>
      <c r="BG146" s="1021"/>
      <c r="BH146" s="1021"/>
      <c r="BI146" s="1021"/>
      <c r="BJ146" s="1021"/>
      <c r="BK146" s="1021"/>
      <c r="BL146" s="1021"/>
      <c r="BM146" s="1021"/>
      <c r="BN146" s="1021"/>
      <c r="BO146" s="1021"/>
      <c r="BP146" s="1021"/>
      <c r="BQ146" s="1021"/>
      <c r="BR146" s="1021"/>
      <c r="BS146" s="1021"/>
      <c r="BT146" s="1021"/>
      <c r="BU146" s="1021"/>
      <c r="BV146" s="1021"/>
      <c r="BW146" s="1021"/>
      <c r="BX146" s="1021"/>
      <c r="BY146" s="1021"/>
      <c r="BZ146" s="1021"/>
      <c r="CA146" s="1021"/>
      <c r="CB146" s="1021"/>
      <c r="CC146" s="1021"/>
    </row>
    <row r="147" spans="8:107" x14ac:dyDescent="0.25">
      <c r="H147" s="1021"/>
      <c r="I147" s="1026"/>
      <c r="J147" s="1026"/>
      <c r="K147" s="1026"/>
      <c r="L147" s="1026"/>
      <c r="M147" s="1026"/>
      <c r="N147" s="1026"/>
      <c r="O147" s="1026"/>
      <c r="P147" s="1026"/>
      <c r="Q147" s="1022"/>
      <c r="R147" s="1026"/>
      <c r="S147" s="1026"/>
      <c r="T147" s="1026"/>
      <c r="U147" s="1026"/>
      <c r="V147" s="1026"/>
      <c r="W147" s="1026"/>
      <c r="X147" s="1026"/>
      <c r="Y147" s="1026"/>
      <c r="Z147" s="1026"/>
      <c r="AA147" s="1026"/>
      <c r="AB147" s="1026"/>
      <c r="AC147" s="1026"/>
      <c r="AD147" s="1026"/>
      <c r="AE147" s="1021"/>
      <c r="AF147" s="1021"/>
      <c r="AG147" s="1021"/>
      <c r="AH147" s="1021"/>
      <c r="AI147" s="1021"/>
      <c r="AJ147" s="1021"/>
      <c r="AK147" s="1021"/>
      <c r="AL147" s="1021"/>
      <c r="AM147" s="1021"/>
      <c r="AN147" s="1021"/>
      <c r="AO147" s="1021"/>
      <c r="AP147" s="1021"/>
      <c r="AQ147" s="1021"/>
      <c r="AR147" s="1021"/>
      <c r="AS147" s="1021"/>
      <c r="AT147" s="1021"/>
      <c r="AU147" s="1021"/>
      <c r="AV147" s="1021"/>
      <c r="AW147" s="1021"/>
      <c r="AX147" s="1021"/>
      <c r="AY147" s="1021"/>
      <c r="AZ147" s="1021"/>
      <c r="BA147" s="1021"/>
      <c r="BB147" s="1021"/>
      <c r="BC147" s="1021"/>
      <c r="BD147" s="1021"/>
      <c r="BE147" s="1021"/>
      <c r="BF147" s="1021"/>
      <c r="BG147" s="1021"/>
      <c r="BH147" s="1021"/>
      <c r="BI147" s="1021"/>
      <c r="BJ147" s="1021"/>
      <c r="BK147" s="1021"/>
      <c r="BL147" s="1021"/>
      <c r="BM147" s="1021"/>
      <c r="BN147" s="1021"/>
      <c r="BO147" s="1021"/>
      <c r="BP147" s="1021"/>
      <c r="BQ147" s="1021"/>
      <c r="BR147" s="1021"/>
      <c r="BS147" s="1021"/>
      <c r="BT147" s="1021"/>
      <c r="BU147" s="1021"/>
      <c r="BV147" s="1021"/>
      <c r="BW147" s="1021"/>
      <c r="BX147" s="1021"/>
      <c r="BY147" s="1021"/>
      <c r="BZ147" s="1021"/>
      <c r="CA147" s="1021"/>
      <c r="CB147" s="1021"/>
      <c r="CC147" s="1021"/>
    </row>
    <row r="148" spans="8:107" x14ac:dyDescent="0.25">
      <c r="H148" s="1021"/>
      <c r="I148" s="1026"/>
      <c r="J148" s="1026"/>
      <c r="K148" s="1026"/>
      <c r="L148" s="1026"/>
      <c r="M148" s="1026"/>
      <c r="N148" s="1026"/>
      <c r="O148" s="1026"/>
      <c r="P148" s="1026"/>
      <c r="Q148" s="1022"/>
      <c r="R148" s="1026"/>
      <c r="S148" s="1026"/>
      <c r="T148" s="1026"/>
      <c r="U148" s="1026"/>
      <c r="V148" s="1026"/>
      <c r="W148" s="1026"/>
      <c r="X148" s="1026"/>
      <c r="Y148" s="1026"/>
      <c r="Z148" s="1026"/>
      <c r="AA148" s="1026"/>
      <c r="AB148" s="1026"/>
      <c r="AC148" s="1026"/>
      <c r="AD148" s="1026"/>
      <c r="AE148" s="1021"/>
      <c r="AF148" s="1021"/>
      <c r="AG148" s="1021"/>
      <c r="AH148" s="1021"/>
      <c r="AI148" s="1021"/>
      <c r="AJ148" s="1021"/>
      <c r="AK148" s="1021"/>
      <c r="AL148" s="1021"/>
      <c r="AM148" s="1021"/>
      <c r="AN148" s="1021"/>
      <c r="AO148" s="1021"/>
      <c r="AP148" s="1021"/>
      <c r="AQ148" s="1021"/>
      <c r="AR148" s="1021"/>
      <c r="AS148" s="1021"/>
      <c r="AT148" s="1021"/>
      <c r="AU148" s="1021"/>
      <c r="AV148" s="1021"/>
      <c r="AW148" s="1021"/>
      <c r="AX148" s="1021"/>
      <c r="AY148" s="1021"/>
      <c r="AZ148" s="1021"/>
      <c r="BA148" s="1021"/>
      <c r="BB148" s="1021"/>
      <c r="BC148" s="1021"/>
      <c r="BD148" s="1021"/>
      <c r="BE148" s="1021"/>
      <c r="BF148" s="1021"/>
      <c r="BG148" s="1021"/>
      <c r="BH148" s="1021"/>
      <c r="BI148" s="1021"/>
      <c r="BJ148" s="1021"/>
      <c r="BK148" s="1021"/>
      <c r="BL148" s="1021"/>
      <c r="BM148" s="1021"/>
      <c r="BN148" s="1021"/>
      <c r="BO148" s="1021"/>
      <c r="BP148" s="1021"/>
      <c r="BQ148" s="1021"/>
      <c r="BR148" s="1021"/>
      <c r="BS148" s="1021"/>
      <c r="BT148" s="1021"/>
      <c r="BU148" s="1021"/>
      <c r="BV148" s="1021"/>
      <c r="BW148" s="1021"/>
      <c r="BX148" s="1021"/>
      <c r="BY148" s="1021"/>
      <c r="BZ148" s="1021"/>
      <c r="CA148" s="1021"/>
      <c r="CB148" s="1021"/>
      <c r="CC148" s="1021"/>
    </row>
    <row r="149" spans="8:107" x14ac:dyDescent="0.25">
      <c r="H149" s="1021"/>
      <c r="I149" s="1026"/>
      <c r="J149" s="1026"/>
      <c r="K149" s="1026"/>
      <c r="L149" s="1026"/>
      <c r="M149" s="1026"/>
      <c r="N149" s="1026"/>
      <c r="O149" s="1026"/>
      <c r="P149" s="1026"/>
      <c r="Q149" s="1026"/>
      <c r="R149" s="1026"/>
      <c r="S149" s="1026"/>
      <c r="T149" s="1026"/>
      <c r="U149" s="1026"/>
      <c r="V149" s="1026"/>
      <c r="W149" s="1026"/>
      <c r="X149" s="1026"/>
      <c r="Y149" s="1026"/>
      <c r="Z149" s="1026"/>
      <c r="AA149" s="1026"/>
      <c r="AB149" s="1026"/>
      <c r="AC149" s="1026"/>
      <c r="AD149" s="1026"/>
      <c r="AE149" s="1021"/>
      <c r="AF149" s="1021"/>
      <c r="AG149" s="1021"/>
      <c r="AH149" s="1021"/>
      <c r="AI149" s="1021"/>
      <c r="AJ149" s="1021"/>
      <c r="AK149" s="1021"/>
      <c r="AL149" s="1021"/>
      <c r="AM149" s="1021"/>
      <c r="AN149" s="1021"/>
      <c r="AO149" s="1021"/>
      <c r="AP149" s="1021"/>
      <c r="AQ149" s="1021"/>
      <c r="AR149" s="1021"/>
      <c r="AS149" s="1021"/>
      <c r="AT149" s="1021"/>
      <c r="AU149" s="1021"/>
      <c r="AV149" s="1021"/>
      <c r="AW149" s="1021"/>
      <c r="AX149" s="1021"/>
      <c r="AY149" s="1021"/>
      <c r="AZ149" s="1021"/>
      <c r="BA149" s="1021"/>
      <c r="BB149" s="1021"/>
      <c r="BC149" s="1021"/>
      <c r="BD149" s="1021"/>
      <c r="BE149" s="1021"/>
      <c r="BF149" s="1021"/>
      <c r="BG149" s="1021"/>
      <c r="BH149" s="1021"/>
      <c r="BI149" s="1021"/>
      <c r="BJ149" s="1021"/>
      <c r="BK149" s="1021"/>
      <c r="BL149" s="1021"/>
      <c r="BM149" s="1021"/>
      <c r="BN149" s="1021"/>
      <c r="BO149" s="1021"/>
      <c r="BP149" s="1021"/>
      <c r="BQ149" s="1021"/>
      <c r="BR149" s="1021"/>
      <c r="BS149" s="1021"/>
      <c r="BT149" s="1021"/>
      <c r="BU149" s="1021"/>
      <c r="BV149" s="1021"/>
      <c r="BW149" s="1021"/>
      <c r="BX149" s="1021"/>
      <c r="BY149" s="1021"/>
      <c r="BZ149" s="1021"/>
      <c r="CA149" s="1021"/>
      <c r="CB149" s="1021"/>
      <c r="CC149" s="1021"/>
    </row>
    <row r="150" spans="8:107" x14ac:dyDescent="0.25">
      <c r="H150" s="1021"/>
      <c r="I150" s="1026"/>
      <c r="J150" s="1026"/>
      <c r="K150" s="1026"/>
      <c r="L150" s="1026"/>
      <c r="M150" s="1026"/>
      <c r="N150" s="1026"/>
      <c r="O150" s="1026"/>
      <c r="P150" s="1026"/>
      <c r="Q150" s="1021"/>
      <c r="R150" s="1021"/>
      <c r="S150" s="1021"/>
      <c r="T150" s="1021"/>
      <c r="U150" s="1021"/>
      <c r="V150" s="1021"/>
      <c r="W150" s="1021"/>
      <c r="X150" s="1021"/>
      <c r="Y150" s="1021"/>
      <c r="Z150" s="1021"/>
      <c r="AA150" s="1021"/>
      <c r="AB150" s="1021"/>
      <c r="AC150" s="1021"/>
      <c r="AD150" s="1021"/>
      <c r="AE150" s="1021"/>
      <c r="AF150" s="1021"/>
      <c r="AG150" s="1021"/>
      <c r="AH150" s="1021"/>
      <c r="AI150" s="1021"/>
      <c r="AJ150" s="1021"/>
      <c r="AK150" s="1021"/>
      <c r="AL150" s="1021"/>
      <c r="AM150" s="1021"/>
      <c r="AN150" s="1021"/>
      <c r="AO150" s="1021"/>
      <c r="AP150" s="1021"/>
      <c r="AQ150" s="1021"/>
      <c r="AR150" s="1021"/>
      <c r="AS150" s="1021"/>
      <c r="AT150" s="1021"/>
      <c r="AU150" s="1021"/>
      <c r="AV150" s="1021"/>
      <c r="AW150" s="1021"/>
      <c r="AX150" s="1021"/>
      <c r="AY150" s="1021"/>
      <c r="AZ150" s="1021"/>
      <c r="BA150" s="1021"/>
      <c r="BB150" s="1021"/>
      <c r="BC150" s="1021"/>
      <c r="BD150" s="1021"/>
      <c r="BE150" s="1021"/>
      <c r="BF150" s="1021"/>
      <c r="BG150" s="1021"/>
      <c r="BH150" s="1021"/>
      <c r="BI150" s="1021"/>
      <c r="BJ150" s="1021"/>
      <c r="BK150" s="1021"/>
      <c r="BL150" s="1021"/>
      <c r="BM150" s="1021"/>
      <c r="BN150" s="1021"/>
      <c r="BO150" s="1021"/>
      <c r="BP150" s="1021"/>
      <c r="BQ150" s="1021"/>
      <c r="BR150" s="1021"/>
      <c r="BS150" s="1021"/>
      <c r="BT150" s="1021"/>
      <c r="BU150" s="1021"/>
      <c r="BV150" s="1021"/>
      <c r="BW150" s="1021"/>
      <c r="BX150" s="1021"/>
      <c r="BY150" s="1021"/>
      <c r="BZ150" s="1021"/>
      <c r="CA150" s="1021"/>
      <c r="CB150" s="1021"/>
      <c r="CC150" s="1021"/>
      <c r="CD150" s="1021"/>
      <c r="CE150" s="1021"/>
      <c r="CF150" s="1021"/>
      <c r="CG150" s="1021"/>
      <c r="CH150" s="1021"/>
      <c r="CI150" s="1021"/>
      <c r="CJ150" s="1021"/>
      <c r="CK150" s="1021"/>
      <c r="CL150" s="1021"/>
      <c r="CM150" s="1021"/>
      <c r="CN150" s="1021"/>
      <c r="CO150" s="1021"/>
      <c r="CP150" s="1021"/>
      <c r="CQ150" s="1021"/>
      <c r="CR150" s="1021"/>
      <c r="CS150" s="1021"/>
      <c r="CT150" s="1021"/>
      <c r="CU150" s="1021"/>
      <c r="CV150" s="1021"/>
      <c r="CW150" s="1021"/>
      <c r="CX150" s="1021"/>
      <c r="CY150" s="1021"/>
      <c r="CZ150" s="1021"/>
      <c r="DA150" s="1021"/>
      <c r="DB150" s="1021"/>
      <c r="DC150" s="1021"/>
    </row>
    <row r="151" spans="8:107" x14ac:dyDescent="0.25">
      <c r="H151" s="1021"/>
      <c r="I151" s="1026"/>
      <c r="J151" s="1026"/>
      <c r="K151" s="1026"/>
      <c r="L151" s="1026"/>
      <c r="M151" s="1026"/>
      <c r="N151" s="1026"/>
      <c r="O151" s="1026"/>
      <c r="P151" s="1026"/>
      <c r="Q151" s="1026"/>
      <c r="R151" s="1026"/>
      <c r="S151" s="1026"/>
      <c r="T151" s="1026"/>
      <c r="U151" s="1026"/>
      <c r="V151" s="1026"/>
      <c r="W151" s="1026"/>
      <c r="X151" s="1026"/>
      <c r="Y151" s="1026"/>
      <c r="Z151" s="1026"/>
      <c r="AA151" s="1026"/>
      <c r="AB151" s="1026"/>
      <c r="AC151" s="1026"/>
      <c r="AD151" s="1026"/>
      <c r="AE151" s="1021"/>
      <c r="AF151" s="1021"/>
      <c r="AG151" s="1021"/>
      <c r="AH151" s="1021"/>
      <c r="AI151" s="1021"/>
      <c r="AJ151" s="1021"/>
      <c r="AK151" s="1021"/>
      <c r="AL151" s="1021"/>
      <c r="AM151" s="1021"/>
      <c r="AN151" s="1021"/>
      <c r="AO151" s="1021"/>
      <c r="AP151" s="1021"/>
      <c r="AQ151" s="1021"/>
      <c r="AR151" s="1021"/>
      <c r="AS151" s="1021"/>
      <c r="AT151" s="1021"/>
      <c r="AU151" s="1021"/>
      <c r="AV151" s="1021"/>
      <c r="AW151" s="1021"/>
      <c r="AX151" s="1021"/>
      <c r="AY151" s="1021"/>
      <c r="AZ151" s="1021"/>
      <c r="BA151" s="1021"/>
      <c r="BB151" s="1021"/>
      <c r="BC151" s="1021"/>
      <c r="BD151" s="1021"/>
      <c r="BE151" s="1021"/>
      <c r="BF151" s="1021"/>
      <c r="BG151" s="1021"/>
      <c r="BH151" s="1021"/>
      <c r="BI151" s="1021"/>
      <c r="BJ151" s="1021"/>
      <c r="BK151" s="1021"/>
      <c r="BL151" s="1021"/>
      <c r="BM151" s="1021"/>
      <c r="BN151" s="1021"/>
      <c r="BO151" s="1021"/>
      <c r="BP151" s="1021"/>
      <c r="BQ151" s="1021"/>
      <c r="BR151" s="1021"/>
      <c r="BS151" s="1021"/>
      <c r="BT151" s="1021"/>
      <c r="BU151" s="1021"/>
      <c r="BV151" s="1021"/>
      <c r="BW151" s="1021"/>
      <c r="BX151" s="1021"/>
      <c r="BY151" s="1021"/>
      <c r="BZ151" s="1021"/>
      <c r="CA151" s="1021"/>
      <c r="CB151" s="1021"/>
      <c r="CC151" s="1021"/>
    </row>
    <row r="152" spans="8:107" x14ac:dyDescent="0.25">
      <c r="H152" s="1021"/>
      <c r="I152" s="1026"/>
      <c r="J152" s="1026"/>
      <c r="K152" s="1026"/>
      <c r="L152" s="1026"/>
      <c r="M152" s="1026"/>
      <c r="N152" s="1026"/>
      <c r="O152" s="1026"/>
      <c r="P152" s="1026"/>
      <c r="Q152" s="1026"/>
      <c r="R152" s="1026"/>
      <c r="S152" s="1026"/>
      <c r="T152" s="1026"/>
      <c r="U152" s="1026"/>
      <c r="V152" s="1026"/>
      <c r="W152" s="1026"/>
      <c r="X152" s="1026"/>
      <c r="Y152" s="1026"/>
      <c r="Z152" s="1026"/>
      <c r="AA152" s="1026"/>
      <c r="AB152" s="1026"/>
      <c r="AC152" s="1026"/>
      <c r="AD152" s="1026"/>
      <c r="AE152" s="1021"/>
      <c r="AF152" s="1021"/>
      <c r="AG152" s="1021"/>
      <c r="AH152" s="1021"/>
      <c r="AI152" s="1021"/>
      <c r="AJ152" s="1021"/>
      <c r="AK152" s="1021"/>
      <c r="AL152" s="1021"/>
      <c r="AM152" s="1021"/>
      <c r="AN152" s="1021"/>
      <c r="AO152" s="1021"/>
      <c r="AP152" s="1021"/>
      <c r="AQ152" s="1021"/>
      <c r="AR152" s="1021"/>
      <c r="AS152" s="1021"/>
      <c r="AT152" s="1021"/>
      <c r="AU152" s="1021"/>
      <c r="AV152" s="1021"/>
      <c r="AW152" s="1021"/>
      <c r="AX152" s="1021"/>
      <c r="AY152" s="1021"/>
      <c r="AZ152" s="1021"/>
      <c r="BA152" s="1021"/>
      <c r="BB152" s="1021"/>
      <c r="BC152" s="1021"/>
      <c r="BD152" s="1021"/>
      <c r="BE152" s="1021"/>
      <c r="BF152" s="1021"/>
      <c r="BG152" s="1021"/>
      <c r="BH152" s="1021"/>
      <c r="BI152" s="1021"/>
      <c r="BJ152" s="1021"/>
      <c r="BK152" s="1021"/>
      <c r="BL152" s="1021"/>
      <c r="BM152" s="1021"/>
      <c r="BN152" s="1021"/>
      <c r="BO152" s="1021"/>
      <c r="BP152" s="1021"/>
      <c r="BQ152" s="1021"/>
      <c r="BR152" s="1021"/>
      <c r="BS152" s="1021"/>
      <c r="BT152" s="1021"/>
      <c r="BU152" s="1021"/>
      <c r="BV152" s="1021"/>
      <c r="BW152" s="1021"/>
      <c r="BX152" s="1021"/>
      <c r="BY152" s="1021"/>
      <c r="BZ152" s="1021"/>
      <c r="CA152" s="1021"/>
      <c r="CB152" s="1021"/>
      <c r="CC152" s="1021"/>
    </row>
    <row r="153" spans="8:107" x14ac:dyDescent="0.25">
      <c r="H153" s="1021"/>
      <c r="I153" s="1026"/>
      <c r="J153" s="1026"/>
      <c r="K153" s="1026"/>
      <c r="L153" s="1026"/>
      <c r="M153" s="1026"/>
      <c r="N153" s="1026"/>
      <c r="O153" s="1026"/>
      <c r="P153" s="1026"/>
      <c r="Q153" s="1026"/>
      <c r="R153" s="1026"/>
      <c r="S153" s="1026"/>
      <c r="T153" s="1026"/>
      <c r="U153" s="1026"/>
      <c r="V153" s="1026"/>
      <c r="W153" s="1026"/>
      <c r="X153" s="1026"/>
      <c r="Y153" s="1026"/>
      <c r="Z153" s="1026"/>
      <c r="AA153" s="1026"/>
      <c r="AB153" s="1026"/>
      <c r="AC153" s="1026"/>
      <c r="AD153" s="1026"/>
      <c r="AE153" s="1021"/>
      <c r="AF153" s="1021"/>
      <c r="AG153" s="1021"/>
      <c r="AH153" s="1021"/>
      <c r="AI153" s="1021"/>
      <c r="AJ153" s="1021"/>
      <c r="AK153" s="1021"/>
      <c r="AL153" s="1021"/>
      <c r="AM153" s="1021"/>
      <c r="AN153" s="1021"/>
      <c r="AO153" s="1021"/>
      <c r="AP153" s="1021"/>
      <c r="AQ153" s="1021"/>
      <c r="AR153" s="1021"/>
      <c r="AS153" s="1021"/>
      <c r="AT153" s="1021"/>
      <c r="AU153" s="1021"/>
      <c r="AV153" s="1021"/>
      <c r="AW153" s="1021"/>
      <c r="AX153" s="1021"/>
      <c r="AY153" s="1021"/>
      <c r="AZ153" s="1021"/>
      <c r="BA153" s="1021"/>
      <c r="BB153" s="1021"/>
      <c r="BC153" s="1021"/>
      <c r="BD153" s="1021"/>
      <c r="BE153" s="1021"/>
      <c r="BF153" s="1021"/>
      <c r="BG153" s="1021"/>
      <c r="BH153" s="1021"/>
      <c r="BI153" s="1021"/>
      <c r="BJ153" s="1021"/>
      <c r="BK153" s="1021"/>
      <c r="BL153" s="1021"/>
      <c r="BM153" s="1021"/>
      <c r="BN153" s="1021"/>
      <c r="BO153" s="1021"/>
      <c r="BP153" s="1021"/>
      <c r="BQ153" s="1021"/>
      <c r="BR153" s="1021"/>
      <c r="BS153" s="1021"/>
      <c r="BT153" s="1021"/>
      <c r="BU153" s="1021"/>
      <c r="BV153" s="1021"/>
      <c r="BW153" s="1021"/>
      <c r="BX153" s="1021"/>
      <c r="BY153" s="1021"/>
      <c r="BZ153" s="1021"/>
      <c r="CA153" s="1021"/>
      <c r="CB153" s="1021"/>
      <c r="CC153" s="1021"/>
    </row>
    <row r="154" spans="8:107" x14ac:dyDescent="0.25">
      <c r="H154" s="1021"/>
      <c r="I154" s="1021"/>
      <c r="J154" s="1021"/>
      <c r="K154" s="1021"/>
      <c r="L154" s="1021"/>
      <c r="M154" s="1021"/>
      <c r="N154" s="1021"/>
      <c r="O154" s="1021"/>
      <c r="P154" s="1021"/>
      <c r="Q154" s="1021"/>
      <c r="R154" s="1021"/>
      <c r="S154" s="1021"/>
      <c r="T154" s="1021"/>
      <c r="U154" s="1021"/>
      <c r="V154" s="1021"/>
      <c r="W154" s="1021"/>
      <c r="X154" s="1021"/>
      <c r="Y154" s="1021"/>
      <c r="Z154" s="1021"/>
      <c r="AA154" s="1021"/>
      <c r="AB154" s="1021"/>
      <c r="AC154" s="1021"/>
      <c r="AD154" s="1021"/>
      <c r="AE154" s="1021"/>
      <c r="AF154" s="1021"/>
      <c r="AG154" s="1021"/>
      <c r="AH154" s="1021"/>
      <c r="AI154" s="1021"/>
      <c r="AJ154" s="1021"/>
      <c r="AK154" s="1021"/>
      <c r="AL154" s="1021"/>
      <c r="AM154" s="1021"/>
      <c r="AN154" s="1021"/>
      <c r="AO154" s="1021"/>
      <c r="AP154" s="1021"/>
      <c r="AQ154" s="1021"/>
      <c r="AR154" s="1021"/>
      <c r="AS154" s="1021"/>
      <c r="AT154" s="1021"/>
      <c r="AU154" s="1021"/>
      <c r="AV154" s="1021"/>
      <c r="AW154" s="1021"/>
      <c r="AX154" s="1021"/>
      <c r="AY154" s="1021"/>
      <c r="AZ154" s="1021"/>
      <c r="BA154" s="1021"/>
      <c r="BB154" s="1021"/>
      <c r="BC154" s="1021"/>
      <c r="BD154" s="1021"/>
      <c r="BE154" s="1021"/>
      <c r="BF154" s="1021"/>
      <c r="BG154" s="1021"/>
      <c r="BH154" s="1021"/>
      <c r="BI154" s="1021"/>
      <c r="BJ154" s="1021"/>
      <c r="BK154" s="1021"/>
      <c r="BL154" s="1021"/>
      <c r="BM154" s="1021"/>
      <c r="BN154" s="1021"/>
      <c r="BO154" s="1021"/>
      <c r="BP154" s="1021"/>
      <c r="BQ154" s="1021"/>
      <c r="BR154" s="1021"/>
      <c r="BS154" s="1021"/>
      <c r="BT154" s="1021"/>
      <c r="BU154" s="1021"/>
      <c r="BV154" s="1021"/>
      <c r="BW154" s="1021"/>
      <c r="BX154" s="1021"/>
      <c r="BY154" s="1021"/>
      <c r="BZ154" s="1021"/>
      <c r="CA154" s="1021"/>
      <c r="CB154" s="1021"/>
      <c r="CC154" s="1021"/>
    </row>
    <row r="155" spans="8:107" x14ac:dyDescent="0.25">
      <c r="H155" s="1021"/>
      <c r="I155" s="1021"/>
      <c r="J155" s="1021"/>
      <c r="K155" s="1021"/>
      <c r="L155" s="1021"/>
      <c r="M155" s="1021"/>
      <c r="N155" s="1021"/>
      <c r="O155" s="1021"/>
      <c r="P155" s="1021"/>
      <c r="Q155" s="1021"/>
      <c r="R155" s="1021"/>
      <c r="S155" s="1021"/>
      <c r="T155" s="1021"/>
      <c r="U155" s="1021"/>
      <c r="V155" s="1021"/>
      <c r="W155" s="1021"/>
      <c r="X155" s="1021"/>
      <c r="Y155" s="1021"/>
      <c r="Z155" s="1021"/>
      <c r="AA155" s="1021"/>
      <c r="AB155" s="1021"/>
      <c r="AC155" s="1021"/>
      <c r="AD155" s="1021"/>
      <c r="AE155" s="1021"/>
      <c r="AF155" s="1021"/>
      <c r="AG155" s="1021"/>
      <c r="AH155" s="1021"/>
      <c r="AI155" s="1021"/>
      <c r="AJ155" s="1021"/>
      <c r="AK155" s="1021"/>
      <c r="AL155" s="1021"/>
      <c r="AM155" s="1021"/>
      <c r="AN155" s="1021"/>
      <c r="AO155" s="1021"/>
      <c r="AP155" s="1021"/>
      <c r="AQ155" s="1021"/>
      <c r="AR155" s="1021"/>
      <c r="AS155" s="1021"/>
      <c r="AT155" s="1021"/>
      <c r="AU155" s="1021"/>
      <c r="AV155" s="1021"/>
      <c r="AW155" s="1021"/>
      <c r="AX155" s="1021"/>
      <c r="AY155" s="1021"/>
      <c r="AZ155" s="1021"/>
      <c r="BA155" s="1021"/>
      <c r="BB155" s="1021"/>
      <c r="BC155" s="1021"/>
      <c r="BD155" s="1021"/>
      <c r="BE155" s="1021"/>
      <c r="BF155" s="1021"/>
      <c r="BG155" s="1021"/>
      <c r="BH155" s="1021"/>
      <c r="BI155" s="1021"/>
      <c r="BJ155" s="1021"/>
      <c r="BK155" s="1021"/>
      <c r="BL155" s="1021"/>
      <c r="BM155" s="1021"/>
      <c r="BN155" s="1021"/>
      <c r="BO155" s="1021"/>
      <c r="BP155" s="1021"/>
      <c r="BQ155" s="1021"/>
      <c r="BR155" s="1021"/>
      <c r="BS155" s="1021"/>
      <c r="BT155" s="1021"/>
      <c r="BU155" s="1021"/>
      <c r="BV155" s="1021"/>
      <c r="BW155" s="1021"/>
      <c r="BX155" s="1021"/>
      <c r="BY155" s="1021"/>
      <c r="BZ155" s="1021"/>
      <c r="CA155" s="1021"/>
      <c r="CB155" s="1021"/>
      <c r="CC155" s="1021"/>
    </row>
    <row r="156" spans="8:107" x14ac:dyDescent="0.25">
      <c r="H156" s="1021"/>
      <c r="I156" s="1021"/>
      <c r="J156" s="1021"/>
      <c r="K156" s="1021"/>
      <c r="L156" s="1021"/>
      <c r="M156" s="1021"/>
      <c r="N156" s="1021"/>
      <c r="O156" s="1021"/>
      <c r="P156" s="1021"/>
      <c r="Q156" s="1021"/>
      <c r="R156" s="1021"/>
      <c r="S156" s="1021"/>
      <c r="T156" s="1021"/>
      <c r="U156" s="1021"/>
      <c r="V156" s="1021"/>
      <c r="W156" s="1021"/>
      <c r="X156" s="1021"/>
      <c r="Y156" s="1021"/>
      <c r="Z156" s="1021"/>
      <c r="AA156" s="1021"/>
      <c r="AB156" s="1021"/>
      <c r="AC156" s="1021"/>
      <c r="AD156" s="1021"/>
      <c r="AE156" s="1021"/>
      <c r="AF156" s="1021"/>
      <c r="AG156" s="1021"/>
      <c r="AH156" s="1021"/>
      <c r="AI156" s="1021"/>
      <c r="AJ156" s="1021"/>
      <c r="AK156" s="1021"/>
      <c r="AL156" s="1021"/>
      <c r="AM156" s="1021"/>
      <c r="AN156" s="1021"/>
      <c r="AO156" s="1021"/>
      <c r="AP156" s="1021"/>
      <c r="AQ156" s="1021"/>
      <c r="AR156" s="1021"/>
      <c r="AS156" s="1021"/>
      <c r="AT156" s="1021"/>
      <c r="AU156" s="1021"/>
      <c r="AV156" s="1021"/>
      <c r="AW156" s="1021"/>
      <c r="AX156" s="1021"/>
      <c r="AY156" s="1021"/>
      <c r="AZ156" s="1021"/>
      <c r="BA156" s="1021"/>
      <c r="BB156" s="1021"/>
      <c r="BC156" s="1021"/>
      <c r="BD156" s="1021"/>
      <c r="BE156" s="1021"/>
      <c r="BF156" s="1021"/>
      <c r="BG156" s="1021"/>
      <c r="BH156" s="1021"/>
      <c r="BI156" s="1021"/>
      <c r="BJ156" s="1021"/>
      <c r="BK156" s="1021"/>
      <c r="BL156" s="1021"/>
      <c r="BM156" s="1021"/>
      <c r="BN156" s="1021"/>
      <c r="BO156" s="1021"/>
      <c r="BP156" s="1021"/>
      <c r="BQ156" s="1021"/>
      <c r="BR156" s="1021"/>
      <c r="BS156" s="1021"/>
      <c r="BT156" s="1021"/>
      <c r="BU156" s="1021"/>
      <c r="BV156" s="1021"/>
      <c r="BW156" s="1021"/>
      <c r="BX156" s="1021"/>
      <c r="BY156" s="1021"/>
      <c r="BZ156" s="1021"/>
      <c r="CA156" s="1021"/>
      <c r="CB156" s="1021"/>
      <c r="CC156" s="1021"/>
    </row>
    <row r="157" spans="8:107" x14ac:dyDescent="0.25">
      <c r="H157" s="1021"/>
      <c r="I157" s="1021"/>
      <c r="J157" s="1021"/>
      <c r="K157" s="1021"/>
      <c r="L157" s="1021"/>
      <c r="M157" s="1021"/>
      <c r="N157" s="1021"/>
      <c r="O157" s="1021"/>
      <c r="P157" s="1021"/>
      <c r="Q157" s="1021"/>
      <c r="R157" s="1021"/>
      <c r="S157" s="1021"/>
      <c r="T157" s="1021"/>
      <c r="U157" s="1021"/>
      <c r="V157" s="1021"/>
      <c r="W157" s="1021"/>
      <c r="X157" s="1021"/>
      <c r="Y157" s="1021"/>
      <c r="Z157" s="1021"/>
      <c r="AA157" s="1021"/>
      <c r="AB157" s="1021"/>
      <c r="AC157" s="1021"/>
      <c r="AD157" s="1021"/>
      <c r="AE157" s="1021"/>
      <c r="AF157" s="1021"/>
      <c r="AG157" s="1021"/>
      <c r="AH157" s="1021"/>
      <c r="AI157" s="1021"/>
      <c r="AJ157" s="1021"/>
      <c r="AK157" s="1021"/>
      <c r="AL157" s="1021"/>
      <c r="AM157" s="1021"/>
      <c r="AN157" s="1021"/>
      <c r="AO157" s="1021"/>
      <c r="AP157" s="1021"/>
      <c r="AQ157" s="1021"/>
      <c r="AR157" s="1021"/>
      <c r="AS157" s="1021"/>
      <c r="AT157" s="1021"/>
      <c r="AU157" s="1021"/>
      <c r="AV157" s="1021"/>
      <c r="AW157" s="1021"/>
      <c r="AX157" s="1021"/>
      <c r="AY157" s="1021"/>
      <c r="AZ157" s="1021"/>
      <c r="BA157" s="1021"/>
      <c r="BB157" s="1021"/>
      <c r="BC157" s="1021"/>
      <c r="BD157" s="1021"/>
      <c r="BE157" s="1021"/>
      <c r="BF157" s="1021"/>
      <c r="BG157" s="1021"/>
      <c r="BH157" s="1021"/>
      <c r="BI157" s="1021"/>
      <c r="BJ157" s="1021"/>
      <c r="BK157" s="1021"/>
      <c r="BL157" s="1021"/>
      <c r="BM157" s="1021"/>
      <c r="BN157" s="1021"/>
      <c r="BO157" s="1021"/>
      <c r="BP157" s="1021"/>
      <c r="BQ157" s="1021"/>
      <c r="BR157" s="1021"/>
      <c r="BS157" s="1021"/>
      <c r="BT157" s="1021"/>
      <c r="BU157" s="1021"/>
      <c r="BV157" s="1021"/>
      <c r="BW157" s="1021"/>
      <c r="BX157" s="1021"/>
      <c r="BY157" s="1021"/>
      <c r="BZ157" s="1021"/>
      <c r="CA157" s="1021"/>
      <c r="CB157" s="1021"/>
      <c r="CC157" s="1021"/>
    </row>
    <row r="158" spans="8:107" x14ac:dyDescent="0.25">
      <c r="H158" s="1021"/>
      <c r="I158" s="1021"/>
      <c r="J158" s="1021"/>
      <c r="K158" s="1021"/>
      <c r="L158" s="1021"/>
      <c r="M158" s="1021"/>
      <c r="N158" s="1021"/>
      <c r="O158" s="1021"/>
      <c r="P158" s="1021"/>
      <c r="Q158" s="1021"/>
      <c r="R158" s="1021"/>
      <c r="S158" s="1021"/>
      <c r="T158" s="1021"/>
      <c r="U158" s="1021"/>
      <c r="V158" s="1021"/>
      <c r="W158" s="1021"/>
      <c r="X158" s="1021"/>
      <c r="Y158" s="1021"/>
      <c r="Z158" s="1021"/>
      <c r="AA158" s="1021"/>
      <c r="AB158" s="1021"/>
      <c r="AC158" s="1021"/>
      <c r="AD158" s="1021"/>
      <c r="AE158" s="1021"/>
      <c r="AF158" s="1021"/>
      <c r="AG158" s="1021"/>
      <c r="AH158" s="1021"/>
      <c r="AI158" s="1021"/>
      <c r="AJ158" s="1021"/>
      <c r="AK158" s="1021"/>
      <c r="AL158" s="1021"/>
      <c r="AM158" s="1021"/>
      <c r="AN158" s="1021"/>
      <c r="AO158" s="1021"/>
      <c r="AP158" s="1021"/>
      <c r="AQ158" s="1021"/>
      <c r="AR158" s="1021"/>
      <c r="AS158" s="1021"/>
      <c r="AT158" s="1021"/>
      <c r="AU158" s="1021"/>
      <c r="AV158" s="1021"/>
      <c r="AW158" s="1021"/>
      <c r="AX158" s="1021"/>
      <c r="AY158" s="1021"/>
      <c r="AZ158" s="1021"/>
      <c r="BA158" s="1021"/>
      <c r="BB158" s="1021"/>
      <c r="BC158" s="1021"/>
      <c r="BD158" s="1021"/>
      <c r="BE158" s="1021"/>
      <c r="BF158" s="1021"/>
      <c r="BG158" s="1021"/>
      <c r="BH158" s="1021"/>
      <c r="BI158" s="1021"/>
      <c r="BJ158" s="1021"/>
      <c r="BK158" s="1021"/>
      <c r="BL158" s="1021"/>
      <c r="BM158" s="1021"/>
      <c r="BN158" s="1021"/>
      <c r="BO158" s="1021"/>
      <c r="BP158" s="1021"/>
      <c r="BQ158" s="1021"/>
      <c r="BR158" s="1021"/>
      <c r="BS158" s="1021"/>
      <c r="BT158" s="1021"/>
      <c r="BU158" s="1021"/>
      <c r="BV158" s="1021"/>
      <c r="BW158" s="1021"/>
      <c r="BX158" s="1021"/>
      <c r="BY158" s="1021"/>
      <c r="BZ158" s="1021"/>
      <c r="CA158" s="1021"/>
      <c r="CB158" s="1021"/>
      <c r="CC158" s="1021"/>
    </row>
    <row r="159" spans="8:107" x14ac:dyDescent="0.25">
      <c r="H159" s="1021"/>
      <c r="I159" s="1021"/>
      <c r="J159" s="1021"/>
      <c r="K159" s="1021"/>
      <c r="L159" s="1021"/>
      <c r="M159" s="1021"/>
      <c r="N159" s="1021"/>
      <c r="O159" s="1021"/>
      <c r="P159" s="1021"/>
      <c r="Q159" s="1021"/>
      <c r="R159" s="1021"/>
      <c r="S159" s="1021"/>
      <c r="T159" s="1021"/>
      <c r="U159" s="1021"/>
      <c r="V159" s="1021"/>
      <c r="W159" s="1021"/>
      <c r="X159" s="1021"/>
      <c r="Y159" s="1021"/>
      <c r="Z159" s="1021"/>
      <c r="AA159" s="1021"/>
      <c r="AB159" s="1021"/>
      <c r="AC159" s="1021"/>
      <c r="AD159" s="1021"/>
      <c r="AE159" s="1021"/>
      <c r="AF159" s="1021"/>
      <c r="AG159" s="1021"/>
      <c r="AH159" s="1021"/>
      <c r="AI159" s="1021"/>
      <c r="AJ159" s="1021"/>
      <c r="AK159" s="1021"/>
      <c r="AL159" s="1021"/>
      <c r="AM159" s="1021"/>
      <c r="AN159" s="1021"/>
      <c r="AO159" s="1021"/>
      <c r="AP159" s="1021"/>
      <c r="AQ159" s="1021"/>
      <c r="AR159" s="1021"/>
      <c r="AS159" s="1021"/>
      <c r="AT159" s="1021"/>
      <c r="AU159" s="1021"/>
      <c r="AV159" s="1021"/>
      <c r="AW159" s="1021"/>
      <c r="AX159" s="1021"/>
      <c r="AY159" s="1021"/>
      <c r="AZ159" s="1021"/>
      <c r="BA159" s="1021"/>
      <c r="BB159" s="1021"/>
      <c r="BC159" s="1021"/>
      <c r="BD159" s="1021"/>
      <c r="BE159" s="1021"/>
      <c r="BF159" s="1021"/>
      <c r="BG159" s="1021"/>
      <c r="BH159" s="1021"/>
      <c r="BI159" s="1021"/>
      <c r="BJ159" s="1021"/>
      <c r="BK159" s="1021"/>
      <c r="BL159" s="1021"/>
      <c r="BM159" s="1021"/>
      <c r="BN159" s="1021"/>
      <c r="BO159" s="1021"/>
      <c r="BP159" s="1021"/>
      <c r="BQ159" s="1021"/>
      <c r="BR159" s="1021"/>
      <c r="BS159" s="1021"/>
      <c r="BT159" s="1021"/>
      <c r="BU159" s="1021"/>
      <c r="BV159" s="1021"/>
      <c r="BW159" s="1021"/>
      <c r="BX159" s="1021"/>
      <c r="BY159" s="1021"/>
      <c r="BZ159" s="1021"/>
      <c r="CA159" s="1021"/>
      <c r="CB159" s="1021"/>
      <c r="CC159" s="1021"/>
    </row>
    <row r="160" spans="8:107" x14ac:dyDescent="0.25">
      <c r="H160" s="1021"/>
      <c r="I160" s="1021"/>
      <c r="J160" s="1021"/>
      <c r="K160" s="1021"/>
      <c r="L160" s="1021"/>
      <c r="M160" s="1021"/>
      <c r="N160" s="1021"/>
      <c r="O160" s="1021"/>
      <c r="P160" s="1021"/>
      <c r="Q160" s="1021"/>
      <c r="R160" s="1021"/>
      <c r="S160" s="1021"/>
      <c r="T160" s="1021"/>
      <c r="U160" s="1021"/>
      <c r="V160" s="1021"/>
      <c r="W160" s="1021"/>
      <c r="X160" s="1021"/>
      <c r="Y160" s="1021"/>
      <c r="Z160" s="1021"/>
      <c r="AA160" s="1021"/>
      <c r="AB160" s="1021"/>
      <c r="AC160" s="1021"/>
      <c r="AD160" s="1021"/>
      <c r="AE160" s="1021"/>
      <c r="AF160" s="1021"/>
      <c r="AG160" s="1021"/>
      <c r="AH160" s="1021"/>
      <c r="AI160" s="1021"/>
      <c r="AJ160" s="1021"/>
      <c r="AK160" s="1021"/>
      <c r="AL160" s="1021"/>
      <c r="AM160" s="1021"/>
      <c r="AN160" s="1021"/>
      <c r="AO160" s="1021"/>
      <c r="AP160" s="1021"/>
      <c r="AQ160" s="1021"/>
      <c r="AR160" s="1021"/>
      <c r="AS160" s="1021"/>
      <c r="AT160" s="1021"/>
      <c r="AU160" s="1021"/>
      <c r="AV160" s="1021"/>
      <c r="AW160" s="1021"/>
      <c r="AX160" s="1021"/>
      <c r="AY160" s="1021"/>
      <c r="AZ160" s="1021"/>
      <c r="BA160" s="1021"/>
      <c r="BB160" s="1021"/>
      <c r="BC160" s="1021"/>
      <c r="BD160" s="1021"/>
      <c r="BE160" s="1021"/>
      <c r="BF160" s="1021"/>
      <c r="BG160" s="1021"/>
      <c r="BH160" s="1021"/>
      <c r="BI160" s="1021"/>
      <c r="BJ160" s="1021"/>
      <c r="BK160" s="1021"/>
      <c r="BL160" s="1021"/>
      <c r="BM160" s="1021"/>
      <c r="BN160" s="1021"/>
      <c r="BO160" s="1021"/>
      <c r="BP160" s="1021"/>
      <c r="BQ160" s="1021"/>
      <c r="BR160" s="1021"/>
      <c r="BS160" s="1021"/>
      <c r="BT160" s="1021"/>
      <c r="BU160" s="1021"/>
      <c r="BV160" s="1021"/>
      <c r="BW160" s="1021"/>
      <c r="BX160" s="1021"/>
      <c r="BY160" s="1021"/>
      <c r="BZ160" s="1021"/>
      <c r="CA160" s="1021"/>
      <c r="CB160" s="1021"/>
      <c r="CC160" s="1021"/>
    </row>
    <row r="161" spans="8:81" x14ac:dyDescent="0.25">
      <c r="H161" s="1021"/>
      <c r="I161" s="1021"/>
      <c r="J161" s="1021"/>
      <c r="K161" s="1021"/>
      <c r="L161" s="1021"/>
      <c r="M161" s="1021"/>
      <c r="N161" s="1021"/>
      <c r="O161" s="1021"/>
      <c r="P161" s="1021"/>
      <c r="Q161" s="1021"/>
      <c r="R161" s="1021"/>
      <c r="S161" s="1021"/>
      <c r="T161" s="1021"/>
      <c r="U161" s="1021"/>
      <c r="V161" s="1021"/>
      <c r="W161" s="1021"/>
      <c r="X161" s="1021"/>
      <c r="Y161" s="1021"/>
      <c r="Z161" s="1021"/>
      <c r="AA161" s="1021"/>
      <c r="AB161" s="1021"/>
      <c r="AC161" s="1021"/>
      <c r="AD161" s="1021"/>
      <c r="AE161" s="1021"/>
      <c r="AF161" s="1021"/>
      <c r="AG161" s="1021"/>
      <c r="AH161" s="1021"/>
      <c r="AI161" s="1021"/>
      <c r="AJ161" s="1021"/>
      <c r="AK161" s="1021"/>
      <c r="AL161" s="1021"/>
      <c r="AM161" s="1021"/>
      <c r="AN161" s="1021"/>
      <c r="AO161" s="1021"/>
      <c r="AP161" s="1021"/>
      <c r="AQ161" s="1021"/>
      <c r="AR161" s="1021"/>
      <c r="AS161" s="1021"/>
      <c r="AT161" s="1021"/>
      <c r="AU161" s="1021"/>
      <c r="AV161" s="1021"/>
      <c r="AW161" s="1021"/>
      <c r="AX161" s="1021"/>
      <c r="AY161" s="1021"/>
      <c r="AZ161" s="1021"/>
      <c r="BA161" s="1021"/>
      <c r="BB161" s="1021"/>
      <c r="BC161" s="1021"/>
      <c r="BD161" s="1021"/>
      <c r="BE161" s="1021"/>
      <c r="BF161" s="1021"/>
      <c r="BG161" s="1021"/>
      <c r="BH161" s="1021"/>
      <c r="BI161" s="1021"/>
      <c r="BJ161" s="1021"/>
      <c r="BK161" s="1021"/>
      <c r="BL161" s="1021"/>
      <c r="BM161" s="1021"/>
      <c r="BN161" s="1021"/>
      <c r="BO161" s="1021"/>
      <c r="BP161" s="1021"/>
      <c r="BQ161" s="1021"/>
      <c r="BR161" s="1021"/>
      <c r="BS161" s="1021"/>
      <c r="BT161" s="1021"/>
      <c r="BU161" s="1021"/>
      <c r="BV161" s="1021"/>
      <c r="BW161" s="1021"/>
      <c r="BX161" s="1021"/>
      <c r="BY161" s="1021"/>
      <c r="BZ161" s="1021"/>
      <c r="CA161" s="1021"/>
      <c r="CB161" s="1021"/>
      <c r="CC161" s="1021"/>
    </row>
    <row r="162" spans="8:81" x14ac:dyDescent="0.25">
      <c r="H162" s="1021"/>
      <c r="I162" s="1021"/>
      <c r="J162" s="1021"/>
      <c r="K162" s="1021"/>
      <c r="L162" s="1021"/>
      <c r="M162" s="1021"/>
      <c r="N162" s="1021"/>
      <c r="O162" s="1021"/>
      <c r="P162" s="1021"/>
      <c r="Q162" s="1021"/>
      <c r="R162" s="1021"/>
      <c r="S162" s="1021"/>
      <c r="T162" s="1021"/>
      <c r="U162" s="1021"/>
      <c r="V162" s="1021"/>
      <c r="W162" s="1021"/>
      <c r="X162" s="1021"/>
      <c r="Y162" s="1021"/>
      <c r="Z162" s="1021"/>
      <c r="AA162" s="1021"/>
      <c r="AB162" s="1021"/>
      <c r="AC162" s="1021"/>
      <c r="AD162" s="1021"/>
      <c r="AE162" s="1021"/>
      <c r="AF162" s="1021"/>
      <c r="AG162" s="1021"/>
      <c r="AH162" s="1021"/>
      <c r="AI162" s="1021"/>
      <c r="AJ162" s="1021"/>
      <c r="AK162" s="1021"/>
      <c r="AL162" s="1021"/>
      <c r="AM162" s="1021"/>
      <c r="AN162" s="1021"/>
      <c r="AO162" s="1021"/>
      <c r="AP162" s="1021"/>
      <c r="AQ162" s="1021"/>
      <c r="AR162" s="1021"/>
      <c r="AS162" s="1021"/>
      <c r="AT162" s="1021"/>
      <c r="AU162" s="1021"/>
      <c r="AV162" s="1021"/>
      <c r="AW162" s="1021"/>
      <c r="AX162" s="1021"/>
      <c r="AY162" s="1021"/>
      <c r="AZ162" s="1021"/>
      <c r="BA162" s="1021"/>
      <c r="BB162" s="1021"/>
      <c r="BC162" s="1021"/>
      <c r="BD162" s="1021"/>
      <c r="BE162" s="1021"/>
      <c r="BF162" s="1021"/>
      <c r="BG162" s="1021"/>
      <c r="BH162" s="1021"/>
      <c r="BI162" s="1021"/>
      <c r="BJ162" s="1021"/>
      <c r="BK162" s="1021"/>
      <c r="BL162" s="1021"/>
      <c r="BM162" s="1021"/>
      <c r="BN162" s="1021"/>
      <c r="BO162" s="1021"/>
      <c r="BP162" s="1021"/>
      <c r="BQ162" s="1021"/>
      <c r="BR162" s="1021"/>
      <c r="BS162" s="1021"/>
      <c r="BT162" s="1021"/>
      <c r="BU162" s="1021"/>
      <c r="BV162" s="1021"/>
      <c r="BW162" s="1021"/>
      <c r="BX162" s="1021"/>
      <c r="BY162" s="1021"/>
      <c r="BZ162" s="1021"/>
      <c r="CA162" s="1021"/>
      <c r="CB162" s="1021"/>
      <c r="CC162" s="1021"/>
    </row>
    <row r="163" spans="8:81" x14ac:dyDescent="0.25">
      <c r="H163" s="1021"/>
      <c r="I163" s="1021"/>
      <c r="J163" s="1021"/>
      <c r="K163" s="1021"/>
      <c r="L163" s="1021"/>
      <c r="M163" s="1021"/>
      <c r="N163" s="1021"/>
      <c r="O163" s="1021"/>
      <c r="P163" s="1021"/>
      <c r="Q163" s="1021"/>
      <c r="R163" s="1021"/>
      <c r="S163" s="1021"/>
      <c r="T163" s="1021"/>
      <c r="U163" s="1021"/>
      <c r="V163" s="1021"/>
      <c r="W163" s="1021"/>
      <c r="X163" s="1021"/>
      <c r="Y163" s="1021"/>
      <c r="Z163" s="1021"/>
      <c r="AA163" s="1021"/>
      <c r="AB163" s="1021"/>
      <c r="AC163" s="1021"/>
      <c r="AD163" s="1021"/>
      <c r="AE163" s="1021"/>
      <c r="AF163" s="1021"/>
      <c r="AG163" s="1021"/>
      <c r="AH163" s="1021"/>
      <c r="AI163" s="1021"/>
      <c r="AJ163" s="1021"/>
      <c r="AK163" s="1021"/>
      <c r="AL163" s="1021"/>
      <c r="AM163" s="1021"/>
      <c r="AN163" s="1021"/>
      <c r="AO163" s="1021"/>
      <c r="AP163" s="1021"/>
      <c r="AQ163" s="1021"/>
      <c r="AR163" s="1021"/>
      <c r="AS163" s="1021"/>
      <c r="AT163" s="1021"/>
      <c r="AU163" s="1021"/>
      <c r="AV163" s="1021"/>
      <c r="AW163" s="1021"/>
      <c r="AX163" s="1021"/>
      <c r="AY163" s="1021"/>
      <c r="AZ163" s="1021"/>
      <c r="BA163" s="1021"/>
      <c r="BB163" s="1021"/>
      <c r="BC163" s="1021"/>
      <c r="BD163" s="1021"/>
      <c r="BE163" s="1021"/>
      <c r="BF163" s="1021"/>
      <c r="BG163" s="1021"/>
      <c r="BH163" s="1021"/>
      <c r="BI163" s="1021"/>
      <c r="BJ163" s="1021"/>
      <c r="BK163" s="1021"/>
      <c r="BL163" s="1021"/>
      <c r="BM163" s="1021"/>
      <c r="BN163" s="1021"/>
      <c r="BO163" s="1021"/>
      <c r="BP163" s="1021"/>
      <c r="BQ163" s="1021"/>
      <c r="BR163" s="1021"/>
      <c r="BS163" s="1021"/>
      <c r="BT163" s="1021"/>
      <c r="BU163" s="1021"/>
      <c r="BV163" s="1021"/>
      <c r="BW163" s="1021"/>
      <c r="BX163" s="1021"/>
      <c r="BY163" s="1021"/>
      <c r="BZ163" s="1021"/>
      <c r="CA163" s="1021"/>
      <c r="CB163" s="1021"/>
      <c r="CC163" s="1021"/>
    </row>
    <row r="164" spans="8:81" x14ac:dyDescent="0.25">
      <c r="H164" s="1021"/>
      <c r="I164" s="1021"/>
      <c r="J164" s="1021"/>
      <c r="K164" s="1021"/>
      <c r="L164" s="1021"/>
      <c r="M164" s="1021"/>
      <c r="N164" s="1021"/>
      <c r="O164" s="1021"/>
      <c r="P164" s="1021"/>
      <c r="Q164" s="1021"/>
      <c r="R164" s="1021"/>
      <c r="S164" s="1021"/>
      <c r="T164" s="1021"/>
      <c r="U164" s="1021"/>
      <c r="V164" s="1021"/>
      <c r="W164" s="1021"/>
      <c r="X164" s="1021"/>
      <c r="Y164" s="1021"/>
      <c r="Z164" s="1021"/>
      <c r="AA164" s="1021"/>
      <c r="AB164" s="1021"/>
      <c r="AC164" s="1021"/>
      <c r="AD164" s="1021"/>
      <c r="AE164" s="1021"/>
      <c r="AF164" s="1021"/>
      <c r="AG164" s="1021"/>
      <c r="AH164" s="1021"/>
      <c r="AI164" s="1021"/>
      <c r="AJ164" s="1021"/>
      <c r="AK164" s="1021"/>
      <c r="AL164" s="1021"/>
      <c r="AM164" s="1021"/>
      <c r="AN164" s="1021"/>
      <c r="AO164" s="1021"/>
      <c r="AP164" s="1021"/>
      <c r="AQ164" s="1021"/>
      <c r="AR164" s="1021"/>
      <c r="AS164" s="1021"/>
      <c r="AT164" s="1021"/>
      <c r="AU164" s="1021"/>
      <c r="AV164" s="1021"/>
      <c r="AW164" s="1021"/>
      <c r="AX164" s="1021"/>
      <c r="AY164" s="1021"/>
      <c r="AZ164" s="1021"/>
      <c r="BA164" s="1021"/>
      <c r="BB164" s="1021"/>
      <c r="BC164" s="1021"/>
      <c r="BD164" s="1021"/>
      <c r="BE164" s="1021"/>
      <c r="BF164" s="1021"/>
      <c r="BG164" s="1021"/>
      <c r="BH164" s="1021"/>
      <c r="BI164" s="1021"/>
      <c r="BJ164" s="1021"/>
      <c r="BK164" s="1021"/>
      <c r="BL164" s="1021"/>
      <c r="BM164" s="1021"/>
      <c r="BN164" s="1021"/>
      <c r="BO164" s="1021"/>
      <c r="BP164" s="1021"/>
      <c r="BQ164" s="1021"/>
      <c r="BR164" s="1021"/>
      <c r="BS164" s="1021"/>
      <c r="BT164" s="1021"/>
      <c r="BU164" s="1021"/>
      <c r="BV164" s="1021"/>
      <c r="BW164" s="1021"/>
      <c r="BX164" s="1021"/>
      <c r="BY164" s="1021"/>
      <c r="BZ164" s="1021"/>
      <c r="CA164" s="1021"/>
      <c r="CB164" s="1021"/>
      <c r="CC164" s="1021"/>
    </row>
    <row r="165" spans="8:81" x14ac:dyDescent="0.25">
      <c r="H165" s="1021"/>
      <c r="I165" s="1021"/>
      <c r="J165" s="1021"/>
      <c r="K165" s="1021"/>
      <c r="L165" s="1021"/>
      <c r="M165" s="1021"/>
      <c r="N165" s="1021"/>
      <c r="O165" s="1021"/>
      <c r="P165" s="1021"/>
      <c r="Q165" s="1021"/>
      <c r="R165" s="1021"/>
      <c r="S165" s="1021"/>
      <c r="T165" s="1021"/>
      <c r="U165" s="1021"/>
      <c r="V165" s="1021"/>
      <c r="W165" s="1021"/>
      <c r="X165" s="1021"/>
      <c r="Y165" s="1021"/>
      <c r="Z165" s="1021"/>
      <c r="AA165" s="1021"/>
      <c r="AB165" s="1021"/>
      <c r="AC165" s="1021"/>
      <c r="AD165" s="1021"/>
      <c r="AE165" s="1021"/>
      <c r="AF165" s="1021"/>
      <c r="AG165" s="1021"/>
      <c r="AH165" s="1021"/>
      <c r="AI165" s="1021"/>
      <c r="AJ165" s="1021"/>
      <c r="AK165" s="1021"/>
      <c r="AL165" s="1021"/>
      <c r="AM165" s="1021"/>
      <c r="AN165" s="1021"/>
      <c r="AO165" s="1021"/>
      <c r="AP165" s="1021"/>
      <c r="AQ165" s="1021"/>
      <c r="AR165" s="1021"/>
      <c r="AS165" s="1021"/>
      <c r="AT165" s="1021"/>
      <c r="AU165" s="1021"/>
      <c r="AV165" s="1021"/>
      <c r="AW165" s="1021"/>
      <c r="AX165" s="1021"/>
      <c r="AY165" s="1021"/>
      <c r="AZ165" s="1021"/>
      <c r="BA165" s="1021"/>
      <c r="BB165" s="1021"/>
      <c r="BC165" s="1021"/>
      <c r="BD165" s="1021"/>
      <c r="BE165" s="1021"/>
      <c r="BF165" s="1021"/>
      <c r="BG165" s="1021"/>
      <c r="BH165" s="1021"/>
      <c r="BI165" s="1021"/>
      <c r="BJ165" s="1021"/>
      <c r="BK165" s="1021"/>
      <c r="BL165" s="1021"/>
      <c r="BM165" s="1021"/>
      <c r="BN165" s="1021"/>
      <c r="BO165" s="1021"/>
      <c r="BP165" s="1021"/>
      <c r="BQ165" s="1021"/>
      <c r="BR165" s="1021"/>
      <c r="BS165" s="1021"/>
      <c r="BT165" s="1021"/>
      <c r="BU165" s="1021"/>
      <c r="BV165" s="1021"/>
      <c r="BW165" s="1021"/>
      <c r="BX165" s="1021"/>
      <c r="BY165" s="1021"/>
      <c r="BZ165" s="1021"/>
      <c r="CA165" s="1021"/>
      <c r="CB165" s="1021"/>
      <c r="CC165" s="1021"/>
    </row>
    <row r="166" spans="8:81" x14ac:dyDescent="0.25">
      <c r="H166" s="1021"/>
      <c r="I166" s="1021"/>
      <c r="J166" s="1021"/>
      <c r="K166" s="1021"/>
      <c r="L166" s="1021"/>
      <c r="M166" s="1021"/>
      <c r="N166" s="1021"/>
      <c r="O166" s="1021"/>
      <c r="P166" s="1021"/>
      <c r="Q166" s="1021"/>
      <c r="R166" s="1021"/>
      <c r="S166" s="1021"/>
      <c r="T166" s="1021"/>
      <c r="U166" s="1021"/>
      <c r="V166" s="1021"/>
      <c r="W166" s="1021"/>
      <c r="X166" s="1021"/>
      <c r="Y166" s="1021"/>
      <c r="Z166" s="1021"/>
      <c r="AA166" s="1021"/>
      <c r="AB166" s="1021"/>
      <c r="AC166" s="1021"/>
      <c r="AD166" s="1021"/>
      <c r="AE166" s="1021"/>
      <c r="AF166" s="1021"/>
      <c r="AG166" s="1021"/>
      <c r="AH166" s="1021"/>
      <c r="AI166" s="1021"/>
      <c r="AJ166" s="1021"/>
      <c r="AK166" s="1021"/>
      <c r="AL166" s="1021"/>
      <c r="AM166" s="1021"/>
      <c r="AN166" s="1021"/>
      <c r="AO166" s="1021"/>
      <c r="AP166" s="1021"/>
      <c r="AQ166" s="1021"/>
      <c r="AR166" s="1021"/>
      <c r="AS166" s="1021"/>
      <c r="AT166" s="1021"/>
      <c r="AU166" s="1021"/>
      <c r="AV166" s="1021"/>
      <c r="AW166" s="1021"/>
      <c r="AX166" s="1021"/>
      <c r="AY166" s="1021"/>
      <c r="AZ166" s="1021"/>
      <c r="BA166" s="1021"/>
      <c r="BB166" s="1021"/>
      <c r="BC166" s="1021"/>
      <c r="BD166" s="1021"/>
      <c r="BE166" s="1021"/>
      <c r="BF166" s="1021"/>
      <c r="BG166" s="1021"/>
      <c r="BH166" s="1021"/>
      <c r="BI166" s="1021"/>
      <c r="BJ166" s="1021"/>
      <c r="BK166" s="1021"/>
      <c r="BL166" s="1021"/>
      <c r="BM166" s="1021"/>
      <c r="BN166" s="1021"/>
      <c r="BO166" s="1021"/>
      <c r="BP166" s="1021"/>
      <c r="BQ166" s="1021"/>
      <c r="BR166" s="1021"/>
      <c r="BS166" s="1021"/>
      <c r="BT166" s="1021"/>
      <c r="BU166" s="1021"/>
      <c r="BV166" s="1021"/>
      <c r="BW166" s="1021"/>
      <c r="BX166" s="1021"/>
      <c r="BY166" s="1021"/>
      <c r="BZ166" s="1021"/>
      <c r="CA166" s="1021"/>
      <c r="CB166" s="1021"/>
      <c r="CC166" s="1021"/>
    </row>
    <row r="167" spans="8:81" x14ac:dyDescent="0.25">
      <c r="H167" s="1021"/>
      <c r="I167" s="1021"/>
      <c r="J167" s="1021"/>
      <c r="K167" s="1021"/>
      <c r="L167" s="1021"/>
      <c r="M167" s="1021"/>
      <c r="N167" s="1021"/>
      <c r="O167" s="1021"/>
      <c r="P167" s="1021"/>
      <c r="Q167" s="1021"/>
      <c r="R167" s="1021"/>
      <c r="S167" s="1021"/>
      <c r="T167" s="1021"/>
      <c r="U167" s="1021"/>
      <c r="V167" s="1021"/>
      <c r="W167" s="1021"/>
      <c r="X167" s="1021"/>
      <c r="Y167" s="1021"/>
      <c r="Z167" s="1021"/>
      <c r="AA167" s="1021"/>
      <c r="AB167" s="1021"/>
      <c r="AC167" s="1021"/>
      <c r="AD167" s="1021"/>
      <c r="AE167" s="1021"/>
      <c r="AF167" s="1021"/>
      <c r="AG167" s="1021"/>
      <c r="AH167" s="1021"/>
      <c r="AI167" s="1021"/>
      <c r="AJ167" s="1021"/>
      <c r="AK167" s="1021"/>
      <c r="AL167" s="1021"/>
      <c r="AM167" s="1021"/>
      <c r="AN167" s="1021"/>
      <c r="AO167" s="1021"/>
      <c r="AP167" s="1021"/>
      <c r="AQ167" s="1021"/>
      <c r="AR167" s="1021"/>
      <c r="AS167" s="1021"/>
      <c r="AT167" s="1021"/>
      <c r="AU167" s="1021"/>
      <c r="AV167" s="1021"/>
      <c r="AW167" s="1021"/>
      <c r="AX167" s="1021"/>
      <c r="AY167" s="1021"/>
      <c r="AZ167" s="1021"/>
      <c r="BA167" s="1021"/>
      <c r="BB167" s="1021"/>
      <c r="BC167" s="1021"/>
      <c r="BD167" s="1021"/>
      <c r="BE167" s="1021"/>
      <c r="BF167" s="1021"/>
      <c r="BG167" s="1021"/>
      <c r="BH167" s="1021"/>
      <c r="BI167" s="1021"/>
      <c r="BJ167" s="1021"/>
      <c r="BK167" s="1021"/>
      <c r="BL167" s="1021"/>
      <c r="BM167" s="1021"/>
      <c r="BN167" s="1021"/>
      <c r="BO167" s="1021"/>
      <c r="BP167" s="1021"/>
      <c r="BQ167" s="1021"/>
      <c r="BR167" s="1021"/>
      <c r="BS167" s="1021"/>
      <c r="BT167" s="1021"/>
      <c r="BU167" s="1021"/>
      <c r="BV167" s="1021"/>
      <c r="BW167" s="1021"/>
      <c r="BX167" s="1021"/>
      <c r="BY167" s="1021"/>
      <c r="BZ167" s="1021"/>
      <c r="CA167" s="1021"/>
      <c r="CB167" s="1021"/>
      <c r="CC167" s="1021"/>
    </row>
    <row r="168" spans="8:81" x14ac:dyDescent="0.25">
      <c r="H168" s="1021"/>
      <c r="I168" s="1021"/>
      <c r="J168" s="1021"/>
      <c r="K168" s="1021"/>
      <c r="L168" s="1021"/>
      <c r="M168" s="1021"/>
      <c r="N168" s="1021"/>
      <c r="O168" s="1021"/>
      <c r="P168" s="1021"/>
      <c r="Q168" s="1021"/>
      <c r="R168" s="1021"/>
      <c r="S168" s="1021"/>
      <c r="T168" s="1021"/>
      <c r="U168" s="1021"/>
      <c r="V168" s="1021"/>
      <c r="W168" s="1021"/>
      <c r="X168" s="1021"/>
      <c r="Y168" s="1021"/>
      <c r="Z168" s="1021"/>
      <c r="AA168" s="1021"/>
      <c r="AB168" s="1021"/>
      <c r="AC168" s="1021"/>
      <c r="AD168" s="1021"/>
      <c r="AE168" s="1021"/>
      <c r="AF168" s="1021"/>
      <c r="AG168" s="1021"/>
      <c r="AH168" s="1021"/>
      <c r="AI168" s="1021"/>
      <c r="AJ168" s="1021"/>
      <c r="AK168" s="1021"/>
      <c r="AL168" s="1021"/>
      <c r="AM168" s="1021"/>
      <c r="AN168" s="1021"/>
      <c r="AO168" s="1021"/>
      <c r="AP168" s="1021"/>
      <c r="AQ168" s="1021"/>
      <c r="AR168" s="1021"/>
      <c r="AS168" s="1021"/>
      <c r="AT168" s="1021"/>
      <c r="AU168" s="1021"/>
      <c r="AV168" s="1021"/>
      <c r="AW168" s="1021"/>
      <c r="AX168" s="1021"/>
      <c r="AY168" s="1021"/>
      <c r="AZ168" s="1021"/>
      <c r="BA168" s="1021"/>
      <c r="BB168" s="1021"/>
      <c r="BC168" s="1021"/>
      <c r="BD168" s="1021"/>
      <c r="BE168" s="1021"/>
      <c r="BF168" s="1021"/>
      <c r="BG168" s="1021"/>
      <c r="BH168" s="1021"/>
      <c r="BI168" s="1021"/>
      <c r="BJ168" s="1021"/>
      <c r="BK168" s="1021"/>
      <c r="BL168" s="1021"/>
      <c r="BM168" s="1021"/>
      <c r="BN168" s="1021"/>
      <c r="BO168" s="1021"/>
      <c r="BP168" s="1021"/>
      <c r="BQ168" s="1021"/>
      <c r="BR168" s="1021"/>
      <c r="BS168" s="1021"/>
      <c r="BT168" s="1021"/>
      <c r="BU168" s="1021"/>
      <c r="BV168" s="1021"/>
      <c r="BW168" s="1021"/>
      <c r="BX168" s="1021"/>
      <c r="BY168" s="1021"/>
      <c r="BZ168" s="1021"/>
      <c r="CA168" s="1021"/>
      <c r="CB168" s="1021"/>
      <c r="CC168" s="1021"/>
    </row>
    <row r="169" spans="8:81" x14ac:dyDescent="0.25">
      <c r="H169" s="1021"/>
      <c r="I169" s="1021"/>
      <c r="J169" s="1021"/>
      <c r="K169" s="1021"/>
      <c r="L169" s="1021"/>
      <c r="M169" s="1021"/>
      <c r="N169" s="1021"/>
      <c r="O169" s="1021"/>
      <c r="P169" s="1021"/>
      <c r="Q169" s="1021"/>
      <c r="R169" s="1021"/>
      <c r="S169" s="1021"/>
      <c r="T169" s="1021"/>
      <c r="U169" s="1021"/>
      <c r="V169" s="1021"/>
      <c r="W169" s="1021"/>
      <c r="X169" s="1021"/>
      <c r="Y169" s="1021"/>
      <c r="Z169" s="1021"/>
      <c r="AA169" s="1021"/>
      <c r="AB169" s="1021"/>
      <c r="AC169" s="1021"/>
      <c r="AD169" s="1021"/>
      <c r="AE169" s="1021"/>
      <c r="AF169" s="1021"/>
      <c r="AG169" s="1021"/>
      <c r="AH169" s="1021"/>
      <c r="AI169" s="1021"/>
      <c r="AJ169" s="1021"/>
      <c r="AK169" s="1021"/>
      <c r="AL169" s="1021"/>
      <c r="AM169" s="1021"/>
      <c r="AN169" s="1021"/>
      <c r="AO169" s="1021"/>
      <c r="AP169" s="1021"/>
      <c r="AQ169" s="1021"/>
      <c r="AR169" s="1021"/>
      <c r="AS169" s="1021"/>
      <c r="AT169" s="1021"/>
      <c r="AU169" s="1021"/>
      <c r="AV169" s="1021"/>
      <c r="AW169" s="1021"/>
      <c r="AX169" s="1021"/>
      <c r="AY169" s="1021"/>
      <c r="AZ169" s="1021"/>
      <c r="BA169" s="1021"/>
      <c r="BB169" s="1021"/>
      <c r="BC169" s="1021"/>
      <c r="BD169" s="1021"/>
      <c r="BE169" s="1021"/>
      <c r="BF169" s="1021"/>
      <c r="BG169" s="1021"/>
      <c r="BH169" s="1021"/>
      <c r="BI169" s="1021"/>
      <c r="BJ169" s="1021"/>
      <c r="BK169" s="1021"/>
      <c r="BL169" s="1021"/>
      <c r="BM169" s="1021"/>
      <c r="BN169" s="1021"/>
      <c r="BO169" s="1021"/>
      <c r="BP169" s="1021"/>
      <c r="BQ169" s="1021"/>
      <c r="BR169" s="1021"/>
      <c r="BS169" s="1021"/>
      <c r="BT169" s="1021"/>
      <c r="BU169" s="1021"/>
      <c r="BV169" s="1021"/>
      <c r="BW169" s="1021"/>
      <c r="BX169" s="1021"/>
      <c r="BY169" s="1021"/>
      <c r="BZ169" s="1021"/>
      <c r="CA169" s="1021"/>
      <c r="CB169" s="1021"/>
      <c r="CC169" s="1021"/>
    </row>
    <row r="170" spans="8:81" x14ac:dyDescent="0.25">
      <c r="H170" s="1021"/>
      <c r="I170" s="1021"/>
      <c r="J170" s="1021"/>
      <c r="K170" s="1021"/>
      <c r="L170" s="1021"/>
      <c r="M170" s="1021"/>
      <c r="N170" s="1021"/>
      <c r="O170" s="1021"/>
      <c r="P170" s="1021"/>
      <c r="Q170" s="1021"/>
      <c r="R170" s="1021"/>
      <c r="S170" s="1021"/>
      <c r="T170" s="1021"/>
      <c r="U170" s="1021"/>
      <c r="V170" s="1021"/>
      <c r="W170" s="1021"/>
      <c r="X170" s="1021"/>
      <c r="Y170" s="1021"/>
      <c r="Z170" s="1021"/>
      <c r="AA170" s="1021"/>
      <c r="AB170" s="1021"/>
      <c r="AC170" s="1021"/>
      <c r="AD170" s="1021"/>
      <c r="AE170" s="1021"/>
      <c r="AF170" s="1021"/>
      <c r="AG170" s="1021"/>
      <c r="AH170" s="1021"/>
      <c r="AI170" s="1021"/>
      <c r="AJ170" s="1021"/>
      <c r="AK170" s="1021"/>
      <c r="AL170" s="1021"/>
      <c r="AM170" s="1021"/>
      <c r="AN170" s="1021"/>
      <c r="AO170" s="1021"/>
      <c r="AP170" s="1021"/>
      <c r="AQ170" s="1021"/>
      <c r="AR170" s="1021"/>
      <c r="AS170" s="1021"/>
      <c r="AT170" s="1021"/>
      <c r="AU170" s="1021"/>
      <c r="AV170" s="1021"/>
      <c r="AW170" s="1021"/>
      <c r="AX170" s="1021"/>
      <c r="AY170" s="1021"/>
      <c r="AZ170" s="1021"/>
      <c r="BA170" s="1021"/>
      <c r="BB170" s="1021"/>
      <c r="BC170" s="1021"/>
      <c r="BD170" s="1021"/>
      <c r="BE170" s="1021"/>
      <c r="BF170" s="1021"/>
      <c r="BG170" s="1021"/>
      <c r="BH170" s="1021"/>
      <c r="BI170" s="1021"/>
      <c r="BJ170" s="1021"/>
      <c r="BK170" s="1021"/>
      <c r="BL170" s="1021"/>
      <c r="BM170" s="1021"/>
      <c r="BN170" s="1021"/>
      <c r="BO170" s="1021"/>
      <c r="BP170" s="1021"/>
      <c r="BQ170" s="1021"/>
      <c r="BR170" s="1021"/>
      <c r="BS170" s="1021"/>
      <c r="BT170" s="1021"/>
      <c r="BU170" s="1021"/>
      <c r="BV170" s="1021"/>
      <c r="BW170" s="1021"/>
      <c r="BX170" s="1021"/>
      <c r="BY170" s="1021"/>
      <c r="BZ170" s="1021"/>
      <c r="CA170" s="1021"/>
      <c r="CB170" s="1021"/>
      <c r="CC170" s="1021"/>
    </row>
    <row r="171" spans="8:81" x14ac:dyDescent="0.25">
      <c r="H171" s="1021"/>
      <c r="I171" s="1021"/>
      <c r="J171" s="1021"/>
      <c r="K171" s="1021"/>
      <c r="L171" s="1021"/>
      <c r="M171" s="1021"/>
      <c r="N171" s="1021"/>
      <c r="O171" s="1021"/>
      <c r="P171" s="1021"/>
      <c r="Q171" s="1021"/>
      <c r="R171" s="1021"/>
      <c r="S171" s="1021"/>
      <c r="T171" s="1021"/>
      <c r="U171" s="1021"/>
      <c r="V171" s="1021"/>
      <c r="W171" s="1021"/>
      <c r="X171" s="1021"/>
      <c r="Y171" s="1021"/>
      <c r="Z171" s="1021"/>
      <c r="AA171" s="1021"/>
      <c r="AB171" s="1021"/>
      <c r="AC171" s="1021"/>
      <c r="AD171" s="1021"/>
      <c r="AE171" s="1021"/>
      <c r="AF171" s="1021"/>
      <c r="AG171" s="1021"/>
      <c r="AH171" s="1021"/>
      <c r="AI171" s="1021"/>
      <c r="AJ171" s="1021"/>
      <c r="AK171" s="1021"/>
      <c r="AL171" s="1021"/>
      <c r="AM171" s="1021"/>
      <c r="AN171" s="1021"/>
      <c r="AO171" s="1021"/>
      <c r="AP171" s="1021"/>
      <c r="AQ171" s="1021"/>
      <c r="AR171" s="1021"/>
      <c r="AS171" s="1021"/>
      <c r="AT171" s="1021"/>
      <c r="AU171" s="1021"/>
      <c r="AV171" s="1021"/>
      <c r="AW171" s="1021"/>
      <c r="AX171" s="1021"/>
      <c r="AY171" s="1021"/>
      <c r="AZ171" s="1021"/>
      <c r="BA171" s="1021"/>
      <c r="BB171" s="1021"/>
      <c r="BC171" s="1021"/>
      <c r="BD171" s="1021"/>
      <c r="BE171" s="1021"/>
      <c r="BF171" s="1021"/>
      <c r="BG171" s="1021"/>
      <c r="BH171" s="1021"/>
      <c r="BI171" s="1021"/>
      <c r="BJ171" s="1021"/>
      <c r="BK171" s="1021"/>
      <c r="BL171" s="1021"/>
      <c r="BM171" s="1021"/>
      <c r="BN171" s="1021"/>
      <c r="BO171" s="1021"/>
      <c r="BP171" s="1021"/>
      <c r="BQ171" s="1021"/>
      <c r="BR171" s="1021"/>
      <c r="BS171" s="1021"/>
      <c r="BT171" s="1021"/>
      <c r="BU171" s="1021"/>
      <c r="BV171" s="1021"/>
      <c r="BW171" s="1021"/>
      <c r="BX171" s="1021"/>
      <c r="BY171" s="1021"/>
      <c r="BZ171" s="1021"/>
      <c r="CA171" s="1021"/>
      <c r="CB171" s="1021"/>
      <c r="CC171" s="1021"/>
    </row>
    <row r="172" spans="8:81" x14ac:dyDescent="0.25">
      <c r="H172" s="1021"/>
      <c r="I172" s="1021"/>
      <c r="J172" s="1021"/>
      <c r="K172" s="1021"/>
      <c r="L172" s="1021"/>
      <c r="M172" s="1021"/>
      <c r="N172" s="1021"/>
      <c r="O172" s="1021"/>
      <c r="P172" s="1021"/>
      <c r="Q172" s="1021"/>
      <c r="R172" s="1021"/>
      <c r="S172" s="1021"/>
      <c r="T172" s="1021"/>
      <c r="U172" s="1021"/>
      <c r="V172" s="1021"/>
      <c r="W172" s="1021"/>
      <c r="X172" s="1021"/>
      <c r="Y172" s="1021"/>
      <c r="Z172" s="1021"/>
      <c r="AA172" s="1021"/>
      <c r="AB172" s="1021"/>
      <c r="AC172" s="1021"/>
      <c r="AD172" s="1021"/>
      <c r="AE172" s="1021"/>
      <c r="AF172" s="1021"/>
      <c r="AG172" s="1021"/>
      <c r="AH172" s="1021"/>
      <c r="AI172" s="1021"/>
      <c r="AJ172" s="1021"/>
      <c r="AK172" s="1021"/>
      <c r="AL172" s="1021"/>
      <c r="AM172" s="1021"/>
      <c r="AN172" s="1021"/>
      <c r="AO172" s="1021"/>
      <c r="AP172" s="1021"/>
      <c r="AQ172" s="1021"/>
      <c r="AR172" s="1021"/>
      <c r="AS172" s="1021"/>
      <c r="AT172" s="1021"/>
      <c r="AU172" s="1021"/>
      <c r="AV172" s="1021"/>
      <c r="AW172" s="1021"/>
      <c r="AX172" s="1021"/>
      <c r="AY172" s="1021"/>
      <c r="AZ172" s="1021"/>
      <c r="BA172" s="1021"/>
      <c r="BB172" s="1021"/>
      <c r="BC172" s="1021"/>
      <c r="BD172" s="1021"/>
      <c r="BE172" s="1021"/>
      <c r="BF172" s="1021"/>
      <c r="BG172" s="1021"/>
      <c r="BH172" s="1021"/>
      <c r="BI172" s="1021"/>
      <c r="BJ172" s="1021"/>
      <c r="BK172" s="1021"/>
      <c r="BL172" s="1021"/>
      <c r="BM172" s="1021"/>
      <c r="BN172" s="1021"/>
      <c r="BO172" s="1021"/>
      <c r="BP172" s="1021"/>
      <c r="BQ172" s="1021"/>
      <c r="BR172" s="1021"/>
      <c r="BS172" s="1021"/>
      <c r="BT172" s="1021"/>
      <c r="BU172" s="1021"/>
      <c r="BV172" s="1021"/>
      <c r="BW172" s="1021"/>
      <c r="BX172" s="1021"/>
      <c r="BY172" s="1021"/>
      <c r="BZ172" s="1021"/>
      <c r="CA172" s="1021"/>
      <c r="CB172" s="1021"/>
      <c r="CC172" s="1021"/>
    </row>
    <row r="173" spans="8:81" x14ac:dyDescent="0.25">
      <c r="H173" s="1021"/>
      <c r="I173" s="1021"/>
      <c r="J173" s="1021"/>
      <c r="K173" s="1021"/>
      <c r="L173" s="1021"/>
      <c r="M173" s="1021"/>
      <c r="N173" s="1021"/>
      <c r="O173" s="1021"/>
      <c r="P173" s="1021"/>
      <c r="Q173" s="1021"/>
      <c r="R173" s="1021"/>
      <c r="S173" s="1021"/>
      <c r="T173" s="1021"/>
      <c r="U173" s="1021"/>
      <c r="V173" s="1021"/>
      <c r="W173" s="1021"/>
      <c r="X173" s="1021"/>
      <c r="Y173" s="1021"/>
      <c r="Z173" s="1021"/>
      <c r="AA173" s="1021"/>
      <c r="AB173" s="1021"/>
      <c r="AC173" s="1021"/>
      <c r="AD173" s="1021"/>
      <c r="AE173" s="1021"/>
      <c r="AF173" s="1021"/>
      <c r="AG173" s="1021"/>
      <c r="AH173" s="1021"/>
      <c r="AI173" s="1021"/>
      <c r="AJ173" s="1021"/>
      <c r="AK173" s="1021"/>
      <c r="AL173" s="1021"/>
      <c r="AM173" s="1021"/>
      <c r="AN173" s="1021"/>
      <c r="AO173" s="1021"/>
      <c r="AP173" s="1021"/>
      <c r="AQ173" s="1021"/>
      <c r="AR173" s="1021"/>
      <c r="AS173" s="1021"/>
      <c r="AT173" s="1021"/>
      <c r="AU173" s="1021"/>
      <c r="AV173" s="1021"/>
      <c r="AW173" s="1021"/>
      <c r="AX173" s="1021"/>
      <c r="AY173" s="1021"/>
      <c r="AZ173" s="1021"/>
      <c r="BA173" s="1021"/>
      <c r="BB173" s="1021"/>
      <c r="BC173" s="1021"/>
      <c r="BD173" s="1021"/>
      <c r="BE173" s="1021"/>
      <c r="BF173" s="1021"/>
      <c r="BG173" s="1021"/>
      <c r="BH173" s="1021"/>
      <c r="BI173" s="1021"/>
      <c r="BJ173" s="1021"/>
      <c r="BK173" s="1021"/>
      <c r="BL173" s="1021"/>
      <c r="BM173" s="1021"/>
      <c r="BN173" s="1021"/>
      <c r="BO173" s="1021"/>
      <c r="BP173" s="1021"/>
      <c r="BQ173" s="1021"/>
      <c r="BR173" s="1021"/>
      <c r="BS173" s="1021"/>
      <c r="BT173" s="1021"/>
      <c r="BU173" s="1021"/>
      <c r="BV173" s="1021"/>
      <c r="BW173" s="1021"/>
      <c r="BX173" s="1021"/>
      <c r="BY173" s="1021"/>
      <c r="BZ173" s="1021"/>
      <c r="CA173" s="1021"/>
      <c r="CB173" s="1021"/>
      <c r="CC173" s="1021"/>
    </row>
    <row r="174" spans="8:81" x14ac:dyDescent="0.25">
      <c r="H174" s="1021"/>
      <c r="I174" s="1021"/>
      <c r="J174" s="1021"/>
      <c r="K174" s="1021"/>
      <c r="L174" s="1021"/>
      <c r="M174" s="1021"/>
      <c r="N174" s="1021"/>
      <c r="O174" s="1021"/>
      <c r="P174" s="1021"/>
      <c r="Q174" s="1021"/>
      <c r="R174" s="1021"/>
      <c r="S174" s="1021"/>
      <c r="T174" s="1021"/>
      <c r="U174" s="1021"/>
      <c r="V174" s="1021"/>
      <c r="W174" s="1021"/>
      <c r="X174" s="1021"/>
      <c r="Y174" s="1021"/>
      <c r="Z174" s="1021"/>
      <c r="AA174" s="1021"/>
      <c r="AB174" s="1021"/>
      <c r="AC174" s="1021"/>
      <c r="AD174" s="1021"/>
      <c r="AE174" s="1021"/>
      <c r="AF174" s="1021"/>
      <c r="AG174" s="1021"/>
      <c r="AH174" s="1021"/>
      <c r="AI174" s="1021"/>
      <c r="AJ174" s="1021"/>
      <c r="AK174" s="1021"/>
      <c r="AL174" s="1021"/>
      <c r="AM174" s="1021"/>
      <c r="AN174" s="1021"/>
      <c r="AO174" s="1021"/>
      <c r="AP174" s="1021"/>
      <c r="AQ174" s="1021"/>
      <c r="AR174" s="1021"/>
      <c r="AS174" s="1021"/>
      <c r="AT174" s="1021"/>
      <c r="AU174" s="1021"/>
      <c r="AV174" s="1021"/>
      <c r="AW174" s="1021"/>
      <c r="AX174" s="1021"/>
      <c r="AY174" s="1021"/>
      <c r="AZ174" s="1021"/>
      <c r="BA174" s="1021"/>
      <c r="BB174" s="1021"/>
      <c r="BC174" s="1021"/>
      <c r="BD174" s="1021"/>
      <c r="BE174" s="1021"/>
      <c r="BF174" s="1021"/>
      <c r="BG174" s="1021"/>
      <c r="BH174" s="1021"/>
      <c r="BI174" s="1021"/>
      <c r="BJ174" s="1021"/>
      <c r="BK174" s="1021"/>
      <c r="BL174" s="1021"/>
      <c r="BM174" s="1021"/>
      <c r="BN174" s="1021"/>
      <c r="BO174" s="1021"/>
      <c r="BP174" s="1021"/>
      <c r="BQ174" s="1021"/>
      <c r="BR174" s="1021"/>
      <c r="BS174" s="1021"/>
      <c r="BT174" s="1021"/>
      <c r="BU174" s="1021"/>
      <c r="BV174" s="1021"/>
      <c r="BW174" s="1021"/>
      <c r="BX174" s="1021"/>
      <c r="BY174" s="1021"/>
      <c r="BZ174" s="1021"/>
      <c r="CA174" s="1021"/>
      <c r="CB174" s="1021"/>
      <c r="CC174" s="1021"/>
    </row>
    <row r="175" spans="8:81" x14ac:dyDescent="0.25">
      <c r="H175" s="1021"/>
      <c r="I175" s="1021"/>
      <c r="J175" s="1021"/>
      <c r="K175" s="1021"/>
      <c r="L175" s="1021"/>
      <c r="M175" s="1021"/>
      <c r="N175" s="1021"/>
      <c r="O175" s="1021"/>
      <c r="P175" s="1021"/>
      <c r="Q175" s="1021"/>
      <c r="R175" s="1021"/>
      <c r="S175" s="1021"/>
      <c r="T175" s="1021"/>
      <c r="U175" s="1021"/>
      <c r="V175" s="1021"/>
      <c r="W175" s="1021"/>
      <c r="X175" s="1021"/>
      <c r="Y175" s="1021"/>
      <c r="Z175" s="1021"/>
      <c r="AA175" s="1021"/>
      <c r="AB175" s="1021"/>
      <c r="AC175" s="1021"/>
      <c r="AD175" s="1021"/>
      <c r="AE175" s="1021"/>
      <c r="AF175" s="1021"/>
      <c r="AG175" s="1021"/>
      <c r="AH175" s="1021"/>
      <c r="AI175" s="1021"/>
      <c r="AJ175" s="1021"/>
      <c r="AK175" s="1021"/>
      <c r="AL175" s="1021"/>
      <c r="AM175" s="1021"/>
      <c r="AN175" s="1021"/>
      <c r="AO175" s="1021"/>
      <c r="AP175" s="1021"/>
      <c r="AQ175" s="1021"/>
      <c r="AR175" s="1021"/>
      <c r="AS175" s="1021"/>
      <c r="AT175" s="1021"/>
      <c r="AU175" s="1021"/>
      <c r="AV175" s="1021"/>
      <c r="AW175" s="1021"/>
      <c r="AX175" s="1021"/>
      <c r="AY175" s="1021"/>
      <c r="AZ175" s="1021"/>
      <c r="BA175" s="1021"/>
      <c r="BB175" s="1021"/>
      <c r="BC175" s="1021"/>
      <c r="BD175" s="1021"/>
      <c r="BE175" s="1021"/>
      <c r="BF175" s="1021"/>
      <c r="BG175" s="1021"/>
      <c r="BH175" s="1021"/>
      <c r="BI175" s="1021"/>
      <c r="BJ175" s="1021"/>
      <c r="BK175" s="1021"/>
      <c r="BL175" s="1021"/>
      <c r="BM175" s="1021"/>
      <c r="BN175" s="1021"/>
      <c r="BO175" s="1021"/>
      <c r="BP175" s="1021"/>
      <c r="BQ175" s="1021"/>
      <c r="BR175" s="1021"/>
      <c r="BS175" s="1021"/>
      <c r="BT175" s="1021"/>
      <c r="BU175" s="1021"/>
      <c r="BV175" s="1021"/>
      <c r="BW175" s="1021"/>
      <c r="BX175" s="1021"/>
      <c r="BY175" s="1021"/>
      <c r="BZ175" s="1021"/>
      <c r="CA175" s="1021"/>
      <c r="CB175" s="1021"/>
      <c r="CC175" s="1021"/>
    </row>
    <row r="176" spans="8:81" x14ac:dyDescent="0.25">
      <c r="H176" s="1021"/>
      <c r="I176" s="1021"/>
      <c r="J176" s="1021"/>
      <c r="K176" s="1021"/>
      <c r="L176" s="1021"/>
      <c r="M176" s="1021"/>
      <c r="N176" s="1021"/>
      <c r="O176" s="1021"/>
      <c r="P176" s="1021"/>
      <c r="Q176" s="1021"/>
      <c r="R176" s="1021"/>
      <c r="S176" s="1021"/>
      <c r="T176" s="1021"/>
      <c r="U176" s="1021"/>
      <c r="V176" s="1021"/>
      <c r="W176" s="1021"/>
      <c r="X176" s="1021"/>
      <c r="Y176" s="1021"/>
      <c r="Z176" s="1021"/>
      <c r="AA176" s="1021"/>
      <c r="AB176" s="1021"/>
      <c r="AC176" s="1021"/>
      <c r="AD176" s="1021"/>
      <c r="AE176" s="1021"/>
      <c r="AF176" s="1021"/>
      <c r="AG176" s="1021"/>
      <c r="AH176" s="1021"/>
      <c r="AI176" s="1021"/>
      <c r="AJ176" s="1021"/>
      <c r="AK176" s="1021"/>
      <c r="AL176" s="1021"/>
      <c r="AM176" s="1021"/>
      <c r="AN176" s="1021"/>
      <c r="AO176" s="1021"/>
      <c r="AP176" s="1021"/>
      <c r="AQ176" s="1021"/>
      <c r="AR176" s="1021"/>
      <c r="AS176" s="1021"/>
      <c r="AT176" s="1021"/>
      <c r="AU176" s="1021"/>
      <c r="AV176" s="1021"/>
      <c r="AW176" s="1021"/>
      <c r="AX176" s="1021"/>
      <c r="AY176" s="1021"/>
      <c r="AZ176" s="1021"/>
      <c r="BA176" s="1021"/>
      <c r="BB176" s="1021"/>
      <c r="BC176" s="1021"/>
      <c r="BD176" s="1021"/>
      <c r="BE176" s="1021"/>
      <c r="BF176" s="1021"/>
      <c r="BG176" s="1021"/>
      <c r="BH176" s="1021"/>
      <c r="BI176" s="1021"/>
      <c r="BJ176" s="1021"/>
      <c r="BK176" s="1021"/>
      <c r="BL176" s="1021"/>
      <c r="BM176" s="1021"/>
      <c r="BN176" s="1021"/>
      <c r="BO176" s="1021"/>
      <c r="BP176" s="1021"/>
      <c r="BQ176" s="1021"/>
      <c r="BR176" s="1021"/>
      <c r="BS176" s="1021"/>
      <c r="BT176" s="1021"/>
      <c r="BU176" s="1021"/>
      <c r="BV176" s="1021"/>
      <c r="BW176" s="1021"/>
      <c r="BX176" s="1021"/>
      <c r="BY176" s="1021"/>
      <c r="BZ176" s="1021"/>
      <c r="CA176" s="1021"/>
      <c r="CB176" s="1021"/>
      <c r="CC176" s="1021"/>
    </row>
    <row r="177" spans="8:81" x14ac:dyDescent="0.25">
      <c r="H177" s="1021"/>
      <c r="I177" s="1021"/>
      <c r="J177" s="1021"/>
      <c r="K177" s="1021"/>
      <c r="L177" s="1021"/>
      <c r="M177" s="1021"/>
      <c r="N177" s="1021"/>
      <c r="O177" s="1021"/>
      <c r="P177" s="1021"/>
      <c r="Q177" s="1021"/>
      <c r="R177" s="1021"/>
      <c r="S177" s="1021"/>
      <c r="T177" s="1021"/>
      <c r="U177" s="1021"/>
      <c r="V177" s="1021"/>
      <c r="W177" s="1021"/>
      <c r="X177" s="1021"/>
      <c r="Y177" s="1021"/>
      <c r="Z177" s="1021"/>
      <c r="AA177" s="1021"/>
      <c r="AB177" s="1021"/>
      <c r="AC177" s="1021"/>
      <c r="AD177" s="1021"/>
      <c r="AE177" s="1021"/>
      <c r="AF177" s="1021"/>
      <c r="AG177" s="1021"/>
      <c r="AH177" s="1021"/>
      <c r="AI177" s="1021"/>
      <c r="AJ177" s="1021"/>
      <c r="AK177" s="1021"/>
      <c r="AL177" s="1021"/>
      <c r="AM177" s="1021"/>
      <c r="AN177" s="1021"/>
      <c r="AO177" s="1021"/>
      <c r="AP177" s="1021"/>
      <c r="AQ177" s="1021"/>
      <c r="AR177" s="1021"/>
      <c r="AS177" s="1021"/>
      <c r="AT177" s="1021"/>
      <c r="AU177" s="1021"/>
      <c r="AV177" s="1021"/>
      <c r="AW177" s="1021"/>
      <c r="AX177" s="1021"/>
      <c r="AY177" s="1021"/>
      <c r="AZ177" s="1021"/>
      <c r="BA177" s="1021"/>
      <c r="BB177" s="1021"/>
      <c r="BC177" s="1021"/>
      <c r="BD177" s="1021"/>
      <c r="BE177" s="1021"/>
      <c r="BF177" s="1021"/>
      <c r="BG177" s="1021"/>
      <c r="BH177" s="1021"/>
      <c r="BI177" s="1021"/>
      <c r="BJ177" s="1021"/>
      <c r="BK177" s="1021"/>
      <c r="BL177" s="1021"/>
      <c r="BM177" s="1021"/>
      <c r="BN177" s="1021"/>
      <c r="BO177" s="1021"/>
      <c r="BP177" s="1021"/>
      <c r="BQ177" s="1021"/>
      <c r="BR177" s="1021"/>
      <c r="BS177" s="1021"/>
      <c r="BT177" s="1021"/>
      <c r="BU177" s="1021"/>
      <c r="BV177" s="1021"/>
      <c r="BW177" s="1021"/>
      <c r="BX177" s="1021"/>
      <c r="BY177" s="1021"/>
      <c r="BZ177" s="1021"/>
      <c r="CA177" s="1021"/>
      <c r="CB177" s="1021"/>
      <c r="CC177" s="1021"/>
    </row>
    <row r="178" spans="8:81" x14ac:dyDescent="0.25">
      <c r="H178" s="1021"/>
      <c r="I178" s="1021"/>
      <c r="J178" s="1021"/>
      <c r="K178" s="1021"/>
      <c r="L178" s="1021"/>
      <c r="M178" s="1021"/>
      <c r="N178" s="1021"/>
      <c r="O178" s="1021"/>
      <c r="P178" s="1021"/>
      <c r="Q178" s="1021"/>
      <c r="R178" s="1021"/>
      <c r="S178" s="1021"/>
      <c r="T178" s="1021"/>
      <c r="U178" s="1021"/>
      <c r="V178" s="1021"/>
      <c r="W178" s="1021"/>
      <c r="X178" s="1021"/>
      <c r="Y178" s="1021"/>
      <c r="Z178" s="1021"/>
      <c r="AA178" s="1021"/>
      <c r="AB178" s="1021"/>
      <c r="AC178" s="1021"/>
      <c r="AD178" s="1021"/>
      <c r="AE178" s="1021"/>
      <c r="AF178" s="1021"/>
      <c r="AG178" s="1021"/>
      <c r="AH178" s="1021"/>
      <c r="AI178" s="1021"/>
      <c r="AJ178" s="1021"/>
      <c r="AK178" s="1021"/>
      <c r="AL178" s="1021"/>
      <c r="AM178" s="1021"/>
      <c r="AN178" s="1021"/>
      <c r="AO178" s="1021"/>
      <c r="AP178" s="1021"/>
      <c r="AQ178" s="1021"/>
      <c r="AR178" s="1021"/>
      <c r="AS178" s="1021"/>
      <c r="AT178" s="1021"/>
      <c r="AU178" s="1021"/>
      <c r="AV178" s="1021"/>
      <c r="AW178" s="1021"/>
      <c r="AX178" s="1021"/>
      <c r="AY178" s="1021"/>
      <c r="AZ178" s="1021"/>
      <c r="BA178" s="1021"/>
      <c r="BB178" s="1021"/>
      <c r="BC178" s="1021"/>
      <c r="BD178" s="1021"/>
      <c r="BE178" s="1021"/>
      <c r="BF178" s="1021"/>
      <c r="BG178" s="1021"/>
      <c r="BH178" s="1021"/>
      <c r="BI178" s="1021"/>
      <c r="BJ178" s="1021"/>
      <c r="BK178" s="1021"/>
      <c r="BL178" s="1021"/>
      <c r="BM178" s="1021"/>
      <c r="BN178" s="1021"/>
      <c r="BO178" s="1021"/>
      <c r="BP178" s="1021"/>
      <c r="BQ178" s="1021"/>
      <c r="BR178" s="1021"/>
      <c r="BS178" s="1021"/>
      <c r="BT178" s="1021"/>
      <c r="BU178" s="1021"/>
      <c r="BV178" s="1021"/>
      <c r="BW178" s="1021"/>
      <c r="BX178" s="1021"/>
      <c r="BY178" s="1021"/>
      <c r="BZ178" s="1021"/>
      <c r="CA178" s="1021"/>
      <c r="CB178" s="1021"/>
      <c r="CC178" s="1021"/>
    </row>
    <row r="179" spans="8:81" x14ac:dyDescent="0.25">
      <c r="H179" s="1021"/>
      <c r="I179" s="1021"/>
      <c r="J179" s="1021"/>
      <c r="K179" s="1021"/>
      <c r="L179" s="1021"/>
      <c r="M179" s="1021"/>
      <c r="N179" s="1021"/>
      <c r="O179" s="1021"/>
      <c r="P179" s="1021"/>
      <c r="Q179" s="1021"/>
      <c r="R179" s="1021"/>
      <c r="S179" s="1021"/>
      <c r="T179" s="1021"/>
      <c r="U179" s="1021"/>
      <c r="V179" s="1021"/>
      <c r="W179" s="1021"/>
      <c r="X179" s="1021"/>
      <c r="Y179" s="1021"/>
      <c r="Z179" s="1021"/>
      <c r="AA179" s="1021"/>
      <c r="AB179" s="1021"/>
      <c r="AC179" s="1021"/>
      <c r="AD179" s="1021"/>
      <c r="AE179" s="1021"/>
      <c r="AF179" s="1021"/>
      <c r="AG179" s="1021"/>
      <c r="AH179" s="1021"/>
      <c r="AI179" s="1021"/>
      <c r="AJ179" s="1021"/>
      <c r="AK179" s="1021"/>
      <c r="AL179" s="1021"/>
      <c r="AM179" s="1021"/>
      <c r="AN179" s="1021"/>
      <c r="AO179" s="1021"/>
      <c r="AP179" s="1021"/>
      <c r="AQ179" s="1021"/>
      <c r="AR179" s="1021"/>
      <c r="AS179" s="1021"/>
      <c r="AT179" s="1021"/>
      <c r="AU179" s="1021"/>
      <c r="AV179" s="1021"/>
      <c r="AW179" s="1021"/>
      <c r="AX179" s="1021"/>
      <c r="AY179" s="1021"/>
      <c r="AZ179" s="1021"/>
      <c r="BA179" s="1021"/>
      <c r="BB179" s="1021"/>
      <c r="BC179" s="1021"/>
      <c r="BD179" s="1021"/>
      <c r="BE179" s="1021"/>
      <c r="BF179" s="1021"/>
      <c r="BG179" s="1021"/>
      <c r="BH179" s="1021"/>
      <c r="BI179" s="1021"/>
      <c r="BJ179" s="1021"/>
      <c r="BK179" s="1021"/>
      <c r="BL179" s="1021"/>
      <c r="BM179" s="1021"/>
      <c r="BN179" s="1021"/>
      <c r="BO179" s="1021"/>
      <c r="BP179" s="1021"/>
      <c r="BQ179" s="1021"/>
      <c r="BR179" s="1021"/>
      <c r="BS179" s="1021"/>
      <c r="BT179" s="1021"/>
      <c r="BU179" s="1021"/>
      <c r="BV179" s="1021"/>
      <c r="BW179" s="1021"/>
      <c r="BX179" s="1021"/>
      <c r="BY179" s="1021"/>
      <c r="BZ179" s="1021"/>
      <c r="CA179" s="1021"/>
      <c r="CB179" s="1021"/>
      <c r="CC179" s="1021"/>
    </row>
    <row r="180" spans="8:81" x14ac:dyDescent="0.25">
      <c r="H180" s="1021"/>
      <c r="I180" s="1021"/>
      <c r="J180" s="1021"/>
      <c r="K180" s="1021"/>
      <c r="L180" s="1021"/>
      <c r="M180" s="1021"/>
      <c r="N180" s="1021"/>
      <c r="O180" s="1021"/>
      <c r="P180" s="1021"/>
      <c r="Q180" s="1021"/>
      <c r="R180" s="1021"/>
      <c r="S180" s="1021"/>
      <c r="T180" s="1021"/>
      <c r="U180" s="1021"/>
      <c r="V180" s="1021"/>
      <c r="W180" s="1021"/>
      <c r="X180" s="1021"/>
      <c r="Y180" s="1021"/>
      <c r="Z180" s="1021"/>
      <c r="AA180" s="1021"/>
      <c r="AB180" s="1021"/>
      <c r="AC180" s="1021"/>
      <c r="AD180" s="1021"/>
      <c r="AE180" s="1021"/>
      <c r="AF180" s="1021"/>
      <c r="AG180" s="1021"/>
      <c r="AH180" s="1021"/>
      <c r="AI180" s="1021"/>
      <c r="AJ180" s="1021"/>
      <c r="AK180" s="1021"/>
      <c r="AL180" s="1021"/>
      <c r="AM180" s="1021"/>
      <c r="AN180" s="1021"/>
      <c r="AO180" s="1021"/>
      <c r="AP180" s="1021"/>
      <c r="AQ180" s="1021"/>
      <c r="AR180" s="1021"/>
      <c r="AS180" s="1021"/>
      <c r="AT180" s="1021"/>
      <c r="AU180" s="1021"/>
      <c r="AV180" s="1021"/>
      <c r="AW180" s="1021"/>
      <c r="AX180" s="1021"/>
      <c r="AY180" s="1021"/>
      <c r="AZ180" s="1021"/>
      <c r="BA180" s="1021"/>
      <c r="BB180" s="1021"/>
      <c r="BC180" s="1021"/>
      <c r="BD180" s="1021"/>
      <c r="BE180" s="1021"/>
      <c r="BF180" s="1021"/>
      <c r="BG180" s="1021"/>
      <c r="BH180" s="1021"/>
      <c r="BI180" s="1021"/>
      <c r="BJ180" s="1021"/>
      <c r="BK180" s="1021"/>
      <c r="BL180" s="1021"/>
      <c r="BM180" s="1021"/>
      <c r="BN180" s="1021"/>
      <c r="BO180" s="1021"/>
      <c r="BP180" s="1021"/>
      <c r="BQ180" s="1021"/>
      <c r="BR180" s="1021"/>
      <c r="BS180" s="1021"/>
      <c r="BT180" s="1021"/>
      <c r="BU180" s="1021"/>
      <c r="BV180" s="1021"/>
      <c r="BW180" s="1021"/>
      <c r="BX180" s="1021"/>
      <c r="BY180" s="1021"/>
      <c r="BZ180" s="1021"/>
      <c r="CA180" s="1021"/>
      <c r="CB180" s="1021"/>
      <c r="CC180" s="1021"/>
    </row>
    <row r="181" spans="8:81" x14ac:dyDescent="0.25">
      <c r="H181" s="1021"/>
      <c r="I181" s="1021"/>
      <c r="J181" s="1021"/>
      <c r="K181" s="1021"/>
      <c r="L181" s="1021"/>
      <c r="M181" s="1021"/>
      <c r="N181" s="1021"/>
      <c r="O181" s="1021"/>
      <c r="P181" s="1021"/>
      <c r="Q181" s="1021"/>
      <c r="R181" s="1021"/>
      <c r="S181" s="1021"/>
      <c r="T181" s="1021"/>
      <c r="U181" s="1021"/>
      <c r="V181" s="1021"/>
      <c r="W181" s="1021"/>
      <c r="X181" s="1021"/>
      <c r="Y181" s="1021"/>
      <c r="Z181" s="1021"/>
      <c r="AA181" s="1021"/>
      <c r="AB181" s="1021"/>
      <c r="AC181" s="1021"/>
      <c r="AD181" s="1021"/>
      <c r="AE181" s="1021"/>
      <c r="AF181" s="1021"/>
      <c r="AG181" s="1021"/>
      <c r="AH181" s="1021"/>
      <c r="AI181" s="1021"/>
      <c r="AJ181" s="1021"/>
      <c r="AK181" s="1021"/>
      <c r="AL181" s="1021"/>
      <c r="AM181" s="1021"/>
      <c r="AN181" s="1021"/>
      <c r="AO181" s="1021"/>
      <c r="AP181" s="1021"/>
      <c r="AQ181" s="1021"/>
      <c r="AR181" s="1021"/>
      <c r="AS181" s="1021"/>
      <c r="AT181" s="1021"/>
      <c r="AU181" s="1021"/>
      <c r="AV181" s="1021"/>
      <c r="AW181" s="1021"/>
      <c r="AX181" s="1021"/>
      <c r="AY181" s="1021"/>
      <c r="AZ181" s="1021"/>
      <c r="BA181" s="1021"/>
      <c r="BB181" s="1021"/>
      <c r="BC181" s="1021"/>
      <c r="BD181" s="1021"/>
      <c r="BE181" s="1021"/>
      <c r="BF181" s="1021"/>
      <c r="BG181" s="1021"/>
      <c r="BH181" s="1021"/>
      <c r="BI181" s="1021"/>
      <c r="BJ181" s="1021"/>
      <c r="BK181" s="1021"/>
      <c r="BL181" s="1021"/>
      <c r="BM181" s="1021"/>
      <c r="BN181" s="1021"/>
      <c r="BO181" s="1021"/>
      <c r="BP181" s="1021"/>
      <c r="BQ181" s="1021"/>
      <c r="BR181" s="1021"/>
      <c r="BS181" s="1021"/>
      <c r="BT181" s="1021"/>
      <c r="BU181" s="1021"/>
      <c r="BV181" s="1021"/>
      <c r="BW181" s="1021"/>
      <c r="BX181" s="1021"/>
      <c r="BY181" s="1021"/>
      <c r="BZ181" s="1021"/>
      <c r="CA181" s="1021"/>
      <c r="CB181" s="1021"/>
      <c r="CC181" s="1021"/>
    </row>
    <row r="182" spans="8:81" x14ac:dyDescent="0.25">
      <c r="H182" s="1021"/>
      <c r="I182" s="1021"/>
      <c r="J182" s="1021"/>
      <c r="K182" s="1021"/>
      <c r="L182" s="1021"/>
      <c r="M182" s="1021"/>
      <c r="N182" s="1021"/>
      <c r="O182" s="1021"/>
      <c r="P182" s="1021"/>
      <c r="Q182" s="1021"/>
      <c r="R182" s="1021"/>
      <c r="S182" s="1021"/>
      <c r="T182" s="1021"/>
      <c r="U182" s="1021"/>
      <c r="V182" s="1021"/>
      <c r="W182" s="1021"/>
      <c r="X182" s="1021"/>
      <c r="Y182" s="1021"/>
      <c r="Z182" s="1021"/>
      <c r="AA182" s="1021"/>
      <c r="AB182" s="1021"/>
      <c r="AC182" s="1021"/>
      <c r="AD182" s="1021"/>
      <c r="AE182" s="1021"/>
      <c r="AF182" s="1021"/>
      <c r="AG182" s="1021"/>
      <c r="AH182" s="1021"/>
      <c r="AI182" s="1021"/>
      <c r="AJ182" s="1021"/>
      <c r="AK182" s="1021"/>
      <c r="AL182" s="1021"/>
      <c r="AM182" s="1021"/>
      <c r="AN182" s="1021"/>
      <c r="AO182" s="1021"/>
      <c r="AP182" s="1021"/>
      <c r="AQ182" s="1021"/>
      <c r="AR182" s="1021"/>
      <c r="AS182" s="1021"/>
      <c r="AT182" s="1021"/>
      <c r="AU182" s="1021"/>
      <c r="AV182" s="1021"/>
      <c r="AW182" s="1021"/>
      <c r="AX182" s="1021"/>
      <c r="AY182" s="1021"/>
      <c r="AZ182" s="1021"/>
      <c r="BA182" s="1021"/>
      <c r="BB182" s="1021"/>
      <c r="BC182" s="1021"/>
      <c r="BD182" s="1021"/>
      <c r="BE182" s="1021"/>
      <c r="BF182" s="1021"/>
      <c r="BG182" s="1021"/>
      <c r="BH182" s="1021"/>
      <c r="BI182" s="1021"/>
      <c r="BJ182" s="1021"/>
      <c r="BK182" s="1021"/>
      <c r="BL182" s="1021"/>
      <c r="BM182" s="1021"/>
      <c r="BN182" s="1021"/>
      <c r="BO182" s="1021"/>
      <c r="BP182" s="1021"/>
      <c r="BQ182" s="1021"/>
      <c r="BR182" s="1021"/>
      <c r="BS182" s="1021"/>
      <c r="BT182" s="1021"/>
      <c r="BU182" s="1021"/>
      <c r="BV182" s="1021"/>
      <c r="BW182" s="1021"/>
      <c r="BX182" s="1021"/>
      <c r="BY182" s="1021"/>
      <c r="BZ182" s="1021"/>
      <c r="CA182" s="1021"/>
      <c r="CB182" s="1021"/>
      <c r="CC182" s="1021"/>
    </row>
    <row r="183" spans="8:81" x14ac:dyDescent="0.25">
      <c r="H183" s="1021"/>
      <c r="I183" s="1021"/>
      <c r="J183" s="1021"/>
      <c r="K183" s="1021"/>
      <c r="L183" s="1021"/>
      <c r="M183" s="1021"/>
      <c r="N183" s="1021"/>
      <c r="O183" s="1021"/>
      <c r="P183" s="1021"/>
      <c r="Q183" s="1021"/>
      <c r="R183" s="1021"/>
      <c r="S183" s="1021"/>
      <c r="T183" s="1021"/>
      <c r="U183" s="1021"/>
      <c r="V183" s="1021"/>
      <c r="W183" s="1021"/>
      <c r="X183" s="1021"/>
      <c r="Y183" s="1021"/>
      <c r="Z183" s="1021"/>
      <c r="AA183" s="1021"/>
      <c r="AB183" s="1021"/>
      <c r="AC183" s="1021"/>
      <c r="AD183" s="1021"/>
      <c r="AE183" s="1021"/>
      <c r="AF183" s="1021"/>
      <c r="AG183" s="1021"/>
      <c r="AH183" s="1021"/>
      <c r="AI183" s="1021"/>
      <c r="AJ183" s="1021"/>
      <c r="AK183" s="1021"/>
      <c r="AL183" s="1021"/>
      <c r="AM183" s="1021"/>
      <c r="AN183" s="1021"/>
      <c r="AO183" s="1021"/>
      <c r="AP183" s="1021"/>
      <c r="AQ183" s="1021"/>
      <c r="AR183" s="1021"/>
      <c r="AS183" s="1021"/>
      <c r="AT183" s="1021"/>
      <c r="AU183" s="1021"/>
      <c r="AV183" s="1021"/>
      <c r="AW183" s="1021"/>
      <c r="AX183" s="1021"/>
      <c r="AY183" s="1021"/>
      <c r="AZ183" s="1021"/>
      <c r="BA183" s="1021"/>
      <c r="BB183" s="1021"/>
      <c r="BC183" s="1021"/>
      <c r="BD183" s="1021"/>
      <c r="BE183" s="1021"/>
      <c r="BF183" s="1021"/>
      <c r="BG183" s="1021"/>
      <c r="BH183" s="1021"/>
      <c r="BI183" s="1021"/>
      <c r="BJ183" s="1021"/>
      <c r="BK183" s="1021"/>
      <c r="BL183" s="1021"/>
      <c r="BM183" s="1021"/>
      <c r="BN183" s="1021"/>
      <c r="BO183" s="1021"/>
      <c r="BP183" s="1021"/>
      <c r="BQ183" s="1021"/>
      <c r="BR183" s="1021"/>
      <c r="BS183" s="1021"/>
      <c r="BT183" s="1021"/>
      <c r="BU183" s="1021"/>
      <c r="BV183" s="1021"/>
      <c r="BW183" s="1021"/>
      <c r="BX183" s="1021"/>
      <c r="BY183" s="1021"/>
      <c r="BZ183" s="1021"/>
      <c r="CA183" s="1021"/>
      <c r="CB183" s="1021"/>
      <c r="CC183" s="1021"/>
    </row>
    <row r="184" spans="8:81" x14ac:dyDescent="0.25">
      <c r="H184" s="1021"/>
      <c r="I184" s="1021"/>
      <c r="J184" s="1021"/>
      <c r="K184" s="1021"/>
      <c r="L184" s="1021"/>
      <c r="M184" s="1021"/>
      <c r="N184" s="1021"/>
      <c r="O184" s="1021"/>
      <c r="P184" s="1021"/>
      <c r="Q184" s="1021"/>
      <c r="R184" s="1021"/>
      <c r="S184" s="1021"/>
      <c r="T184" s="1021"/>
      <c r="U184" s="1021"/>
      <c r="V184" s="1021"/>
      <c r="W184" s="1021"/>
      <c r="X184" s="1021"/>
      <c r="Y184" s="1021"/>
      <c r="Z184" s="1021"/>
      <c r="AA184" s="1021"/>
      <c r="AB184" s="1021"/>
      <c r="AC184" s="1021"/>
      <c r="AD184" s="1021"/>
      <c r="AE184" s="1021"/>
      <c r="AF184" s="1021"/>
      <c r="AG184" s="1021"/>
      <c r="AH184" s="1021"/>
      <c r="AI184" s="1021"/>
      <c r="AJ184" s="1021"/>
      <c r="AK184" s="1021"/>
      <c r="AL184" s="1021"/>
      <c r="AM184" s="1021"/>
      <c r="AN184" s="1021"/>
      <c r="AO184" s="1021"/>
      <c r="AP184" s="1021"/>
      <c r="AQ184" s="1021"/>
      <c r="AR184" s="1021"/>
      <c r="AS184" s="1021"/>
      <c r="AT184" s="1021"/>
      <c r="AU184" s="1021"/>
      <c r="AV184" s="1021"/>
      <c r="AW184" s="1021"/>
      <c r="AX184" s="1021"/>
      <c r="AY184" s="1021"/>
      <c r="AZ184" s="1021"/>
      <c r="BA184" s="1021"/>
      <c r="BB184" s="1021"/>
      <c r="BC184" s="1021"/>
      <c r="BD184" s="1021"/>
      <c r="BE184" s="1021"/>
      <c r="BF184" s="1021"/>
      <c r="BG184" s="1021"/>
      <c r="BH184" s="1021"/>
      <c r="BI184" s="1021"/>
      <c r="BJ184" s="1021"/>
      <c r="BK184" s="1021"/>
      <c r="BL184" s="1021"/>
      <c r="BM184" s="1021"/>
      <c r="BN184" s="1021"/>
      <c r="BO184" s="1021"/>
      <c r="BP184" s="1021"/>
      <c r="BQ184" s="1021"/>
      <c r="BR184" s="1021"/>
      <c r="BS184" s="1021"/>
      <c r="BT184" s="1021"/>
      <c r="BU184" s="1021"/>
      <c r="BV184" s="1021"/>
      <c r="BW184" s="1021"/>
      <c r="BX184" s="1021"/>
      <c r="BY184" s="1021"/>
      <c r="BZ184" s="1021"/>
      <c r="CA184" s="1021"/>
      <c r="CB184" s="1021"/>
      <c r="CC184" s="1021"/>
    </row>
    <row r="185" spans="8:81" x14ac:dyDescent="0.25">
      <c r="H185" s="1021"/>
      <c r="I185" s="1021"/>
      <c r="J185" s="1021"/>
      <c r="K185" s="1021"/>
      <c r="L185" s="1021"/>
      <c r="M185" s="1021"/>
      <c r="N185" s="1021"/>
      <c r="O185" s="1021"/>
      <c r="P185" s="1021"/>
      <c r="Q185" s="1021"/>
      <c r="R185" s="1021"/>
      <c r="S185" s="1021"/>
      <c r="T185" s="1021"/>
      <c r="U185" s="1021"/>
      <c r="V185" s="1021"/>
      <c r="W185" s="1021"/>
      <c r="X185" s="1021"/>
      <c r="Y185" s="1021"/>
      <c r="Z185" s="1021"/>
      <c r="AA185" s="1021"/>
      <c r="AB185" s="1021"/>
      <c r="AC185" s="1021"/>
      <c r="AD185" s="1021"/>
      <c r="AE185" s="1021"/>
      <c r="AF185" s="1021"/>
      <c r="AG185" s="1021"/>
      <c r="AH185" s="1021"/>
      <c r="AI185" s="1021"/>
      <c r="AJ185" s="1021"/>
      <c r="AK185" s="1021"/>
      <c r="AL185" s="1021"/>
      <c r="AM185" s="1021"/>
      <c r="AN185" s="1021"/>
      <c r="AO185" s="1021"/>
      <c r="AP185" s="1021"/>
      <c r="AQ185" s="1021"/>
      <c r="AR185" s="1021"/>
      <c r="AS185" s="1021"/>
      <c r="AT185" s="1021"/>
      <c r="AU185" s="1021"/>
      <c r="AV185" s="1021"/>
      <c r="AW185" s="1021"/>
      <c r="AX185" s="1021"/>
      <c r="AY185" s="1021"/>
      <c r="AZ185" s="1021"/>
      <c r="BA185" s="1021"/>
      <c r="BB185" s="1021"/>
      <c r="BC185" s="1021"/>
      <c r="BD185" s="1021"/>
      <c r="BE185" s="1021"/>
      <c r="BF185" s="1021"/>
      <c r="BG185" s="1021"/>
      <c r="BH185" s="1021"/>
      <c r="BI185" s="1021"/>
      <c r="BJ185" s="1021"/>
      <c r="BK185" s="1021"/>
      <c r="BL185" s="1021"/>
      <c r="BM185" s="1021"/>
      <c r="BN185" s="1021"/>
      <c r="BO185" s="1021"/>
      <c r="BP185" s="1021"/>
      <c r="BQ185" s="1021"/>
      <c r="BR185" s="1021"/>
      <c r="BS185" s="1021"/>
      <c r="BT185" s="1021"/>
      <c r="BU185" s="1021"/>
      <c r="BV185" s="1021"/>
      <c r="BW185" s="1021"/>
      <c r="BX185" s="1021"/>
      <c r="BY185" s="1021"/>
      <c r="BZ185" s="1021"/>
      <c r="CA185" s="1021"/>
      <c r="CB185" s="1021"/>
      <c r="CC185" s="1021"/>
    </row>
    <row r="186" spans="8:81" x14ac:dyDescent="0.25">
      <c r="H186" s="1021"/>
      <c r="I186" s="1021"/>
      <c r="J186" s="1021"/>
      <c r="K186" s="1021"/>
      <c r="L186" s="1021"/>
      <c r="M186" s="1021"/>
      <c r="N186" s="1021"/>
      <c r="O186" s="1021"/>
      <c r="P186" s="1021"/>
      <c r="Q186" s="1021"/>
      <c r="R186" s="1021"/>
      <c r="S186" s="1021"/>
      <c r="T186" s="1021"/>
      <c r="U186" s="1021"/>
      <c r="V186" s="1021"/>
      <c r="W186" s="1021"/>
      <c r="X186" s="1021"/>
      <c r="Y186" s="1021"/>
      <c r="Z186" s="1021"/>
      <c r="AA186" s="1021"/>
      <c r="AB186" s="1021"/>
      <c r="AC186" s="1021"/>
      <c r="AD186" s="1021"/>
      <c r="AE186" s="1021"/>
      <c r="AF186" s="1021"/>
      <c r="AG186" s="1021"/>
      <c r="AH186" s="1021"/>
      <c r="AI186" s="1021"/>
      <c r="AJ186" s="1021"/>
      <c r="AK186" s="1021"/>
      <c r="AL186" s="1021"/>
      <c r="AM186" s="1021"/>
      <c r="AN186" s="1021"/>
      <c r="AO186" s="1021"/>
      <c r="AP186" s="1021"/>
      <c r="AQ186" s="1021"/>
      <c r="AR186" s="1021"/>
      <c r="AS186" s="1021"/>
      <c r="AT186" s="1021"/>
      <c r="AU186" s="1021"/>
      <c r="AV186" s="1021"/>
      <c r="AW186" s="1021"/>
      <c r="AX186" s="1021"/>
      <c r="AY186" s="1021"/>
      <c r="AZ186" s="1021"/>
      <c r="BA186" s="1021"/>
      <c r="BB186" s="1021"/>
      <c r="BC186" s="1021"/>
      <c r="BD186" s="1021"/>
      <c r="BE186" s="1021"/>
      <c r="BF186" s="1021"/>
      <c r="BG186" s="1021"/>
      <c r="BH186" s="1021"/>
      <c r="BI186" s="1021"/>
      <c r="BJ186" s="1021"/>
      <c r="BK186" s="1021"/>
      <c r="BL186" s="1021"/>
      <c r="BM186" s="1021"/>
      <c r="BN186" s="1021"/>
      <c r="BO186" s="1021"/>
      <c r="BP186" s="1021"/>
      <c r="BQ186" s="1021"/>
      <c r="BR186" s="1021"/>
      <c r="BS186" s="1021"/>
      <c r="BT186" s="1021"/>
      <c r="BU186" s="1021"/>
      <c r="BV186" s="1021"/>
      <c r="BW186" s="1021"/>
      <c r="BX186" s="1021"/>
      <c r="BY186" s="1021"/>
      <c r="BZ186" s="1021"/>
      <c r="CA186" s="1021"/>
      <c r="CB186" s="1021"/>
      <c r="CC186" s="1021"/>
    </row>
    <row r="187" spans="8:81" x14ac:dyDescent="0.25">
      <c r="H187" s="1021"/>
      <c r="I187" s="1021"/>
      <c r="J187" s="1021"/>
      <c r="K187" s="1021"/>
      <c r="L187" s="1021"/>
      <c r="M187" s="1021"/>
      <c r="N187" s="1021"/>
      <c r="O187" s="1021"/>
      <c r="P187" s="1021"/>
      <c r="Q187" s="1021"/>
      <c r="R187" s="1021"/>
      <c r="S187" s="1021"/>
      <c r="T187" s="1021"/>
      <c r="U187" s="1021"/>
      <c r="V187" s="1021"/>
      <c r="W187" s="1021"/>
      <c r="X187" s="1021"/>
      <c r="Y187" s="1021"/>
      <c r="Z187" s="1021"/>
      <c r="AA187" s="1021"/>
      <c r="AB187" s="1021"/>
      <c r="AC187" s="1021"/>
      <c r="AD187" s="1021"/>
      <c r="AE187" s="1021"/>
      <c r="AF187" s="1021"/>
      <c r="AG187" s="1021"/>
      <c r="AH187" s="1021"/>
      <c r="AI187" s="1021"/>
      <c r="AJ187" s="1021"/>
      <c r="AK187" s="1021"/>
      <c r="AL187" s="1021"/>
      <c r="AM187" s="1021"/>
      <c r="AN187" s="1021"/>
      <c r="AO187" s="1021"/>
      <c r="AP187" s="1021"/>
      <c r="AQ187" s="1021"/>
      <c r="AR187" s="1021"/>
      <c r="AS187" s="1021"/>
      <c r="AT187" s="1021"/>
      <c r="AU187" s="1021"/>
      <c r="AV187" s="1021"/>
      <c r="AW187" s="1021"/>
      <c r="AX187" s="1021"/>
      <c r="AY187" s="1021"/>
      <c r="AZ187" s="1021"/>
      <c r="BA187" s="1021"/>
      <c r="BB187" s="1021"/>
      <c r="BC187" s="1021"/>
      <c r="BD187" s="1021"/>
      <c r="BE187" s="1021"/>
      <c r="BF187" s="1021"/>
      <c r="BG187" s="1021"/>
      <c r="BH187" s="1021"/>
      <c r="BI187" s="1021"/>
      <c r="BJ187" s="1021"/>
      <c r="BK187" s="1021"/>
      <c r="BL187" s="1021"/>
      <c r="BM187" s="1021"/>
      <c r="BN187" s="1021"/>
      <c r="BO187" s="1021"/>
      <c r="BP187" s="1021"/>
      <c r="BQ187" s="1021"/>
      <c r="BR187" s="1021"/>
      <c r="BS187" s="1021"/>
      <c r="BT187" s="1021"/>
      <c r="BU187" s="1021"/>
      <c r="BV187" s="1021"/>
      <c r="BW187" s="1021"/>
      <c r="BX187" s="1021"/>
      <c r="BY187" s="1021"/>
      <c r="BZ187" s="1021"/>
      <c r="CA187" s="1021"/>
      <c r="CB187" s="1021"/>
      <c r="CC187" s="1021"/>
    </row>
    <row r="188" spans="8:81" x14ac:dyDescent="0.25">
      <c r="H188" s="1021"/>
      <c r="I188" s="1021"/>
      <c r="J188" s="1021"/>
      <c r="K188" s="1021"/>
      <c r="L188" s="1021"/>
      <c r="M188" s="1021"/>
      <c r="N188" s="1021"/>
      <c r="O188" s="1021"/>
      <c r="P188" s="1021"/>
      <c r="Q188" s="1021"/>
      <c r="R188" s="1021"/>
      <c r="S188" s="1021"/>
      <c r="T188" s="1021"/>
      <c r="U188" s="1021"/>
      <c r="V188" s="1021"/>
      <c r="W188" s="1021"/>
      <c r="X188" s="1021"/>
      <c r="Y188" s="1021"/>
      <c r="Z188" s="1021"/>
      <c r="AA188" s="1021"/>
      <c r="AB188" s="1021"/>
      <c r="AC188" s="1021"/>
      <c r="AD188" s="1021"/>
      <c r="AE188" s="1021"/>
      <c r="AF188" s="1021"/>
      <c r="AG188" s="1021"/>
      <c r="AH188" s="1021"/>
      <c r="AI188" s="1021"/>
      <c r="AJ188" s="1021"/>
      <c r="AK188" s="1021"/>
      <c r="AL188" s="1021"/>
      <c r="AM188" s="1021"/>
      <c r="AN188" s="1021"/>
      <c r="AO188" s="1021"/>
      <c r="AP188" s="1021"/>
      <c r="AQ188" s="1021"/>
      <c r="AR188" s="1021"/>
      <c r="AS188" s="1021"/>
      <c r="AT188" s="1021"/>
      <c r="AU188" s="1021"/>
      <c r="AV188" s="1021"/>
      <c r="AW188" s="1021"/>
      <c r="AX188" s="1021"/>
      <c r="AY188" s="1021"/>
      <c r="AZ188" s="1021"/>
      <c r="BA188" s="1021"/>
      <c r="BB188" s="1021"/>
      <c r="BC188" s="1021"/>
      <c r="BD188" s="1021"/>
      <c r="BE188" s="1021"/>
      <c r="BF188" s="1021"/>
      <c r="BG188" s="1021"/>
      <c r="BH188" s="1021"/>
      <c r="BI188" s="1021"/>
      <c r="BJ188" s="1021"/>
      <c r="BK188" s="1021"/>
      <c r="BL188" s="1021"/>
      <c r="BM188" s="1021"/>
      <c r="BN188" s="1021"/>
      <c r="BO188" s="1021"/>
      <c r="BP188" s="1021"/>
      <c r="BQ188" s="1021"/>
      <c r="BR188" s="1021"/>
      <c r="BS188" s="1021"/>
      <c r="BT188" s="1021"/>
      <c r="BU188" s="1021"/>
      <c r="BV188" s="1021"/>
      <c r="BW188" s="1021"/>
      <c r="BX188" s="1021"/>
      <c r="BY188" s="1021"/>
      <c r="BZ188" s="1021"/>
      <c r="CA188" s="1021"/>
      <c r="CB188" s="1021"/>
      <c r="CC188" s="1021"/>
    </row>
    <row r="189" spans="8:81" x14ac:dyDescent="0.25">
      <c r="H189" s="1021"/>
      <c r="I189" s="1021"/>
      <c r="J189" s="1021"/>
      <c r="K189" s="1021"/>
      <c r="L189" s="1021"/>
      <c r="M189" s="1021"/>
      <c r="N189" s="1021"/>
      <c r="O189" s="1021"/>
      <c r="P189" s="1021"/>
      <c r="Q189" s="1021"/>
      <c r="R189" s="1021"/>
      <c r="S189" s="1021"/>
      <c r="T189" s="1021"/>
      <c r="U189" s="1021"/>
      <c r="V189" s="1021"/>
      <c r="W189" s="1021"/>
      <c r="X189" s="1021"/>
      <c r="Y189" s="1021"/>
      <c r="Z189" s="1021"/>
      <c r="AA189" s="1021"/>
      <c r="AB189" s="1021"/>
      <c r="AC189" s="1021"/>
      <c r="AD189" s="1021"/>
      <c r="AE189" s="1021"/>
      <c r="AF189" s="1021"/>
      <c r="AG189" s="1021"/>
      <c r="AH189" s="1021"/>
      <c r="AI189" s="1021"/>
      <c r="AJ189" s="1021"/>
      <c r="AK189" s="1021"/>
      <c r="AL189" s="1021"/>
      <c r="AM189" s="1021"/>
      <c r="AN189" s="1021"/>
      <c r="AO189" s="1021"/>
      <c r="AP189" s="1021"/>
      <c r="AQ189" s="1021"/>
      <c r="AR189" s="1021"/>
      <c r="AS189" s="1021"/>
      <c r="AT189" s="1021"/>
      <c r="AU189" s="1021"/>
      <c r="AV189" s="1021"/>
      <c r="AW189" s="1021"/>
      <c r="AX189" s="1021"/>
      <c r="AY189" s="1021"/>
      <c r="AZ189" s="1021"/>
      <c r="BA189" s="1021"/>
      <c r="BB189" s="1021"/>
      <c r="BC189" s="1021"/>
      <c r="BD189" s="1021"/>
      <c r="BE189" s="1021"/>
      <c r="BF189" s="1021"/>
      <c r="BG189" s="1021"/>
      <c r="BH189" s="1021"/>
      <c r="BI189" s="1021"/>
      <c r="BJ189" s="1021"/>
      <c r="BK189" s="1021"/>
      <c r="BL189" s="1021"/>
      <c r="BM189" s="1021"/>
      <c r="BN189" s="1021"/>
      <c r="BO189" s="1021"/>
      <c r="BP189" s="1021"/>
      <c r="BQ189" s="1021"/>
      <c r="BR189" s="1021"/>
      <c r="BS189" s="1021"/>
      <c r="BT189" s="1021"/>
      <c r="BU189" s="1021"/>
      <c r="BV189" s="1021"/>
      <c r="BW189" s="1021"/>
      <c r="BX189" s="1021"/>
      <c r="BY189" s="1021"/>
      <c r="BZ189" s="1021"/>
      <c r="CA189" s="1021"/>
      <c r="CB189" s="1021"/>
      <c r="CC189" s="1021"/>
    </row>
    <row r="190" spans="8:81" x14ac:dyDescent="0.25">
      <c r="H190" s="1021"/>
      <c r="I190" s="1021"/>
      <c r="J190" s="1021"/>
      <c r="K190" s="1021"/>
      <c r="L190" s="1021"/>
      <c r="M190" s="1021"/>
      <c r="N190" s="1021"/>
      <c r="O190" s="1021"/>
      <c r="P190" s="1021"/>
      <c r="Q190" s="1021"/>
      <c r="R190" s="1021"/>
      <c r="S190" s="1021"/>
      <c r="T190" s="1021"/>
      <c r="U190" s="1021"/>
      <c r="V190" s="1021"/>
      <c r="W190" s="1021"/>
      <c r="X190" s="1021"/>
      <c r="Y190" s="1021"/>
      <c r="Z190" s="1021"/>
      <c r="AA190" s="1021"/>
      <c r="AB190" s="1021"/>
      <c r="AC190" s="1021"/>
      <c r="AD190" s="1021"/>
      <c r="AE190" s="1021"/>
      <c r="AF190" s="1021"/>
      <c r="AG190" s="1021"/>
      <c r="AH190" s="1021"/>
      <c r="AI190" s="1021"/>
      <c r="AJ190" s="1021"/>
      <c r="AK190" s="1021"/>
      <c r="AL190" s="1021"/>
      <c r="AM190" s="1021"/>
      <c r="AN190" s="1021"/>
      <c r="AO190" s="1021"/>
      <c r="AP190" s="1021"/>
      <c r="AQ190" s="1021"/>
      <c r="AR190" s="1021"/>
      <c r="AS190" s="1021"/>
      <c r="AT190" s="1021"/>
      <c r="AU190" s="1021"/>
      <c r="AV190" s="1021"/>
      <c r="AW190" s="1021"/>
      <c r="AX190" s="1021"/>
      <c r="AY190" s="1021"/>
      <c r="AZ190" s="1021"/>
      <c r="BA190" s="1021"/>
      <c r="BB190" s="1021"/>
      <c r="BC190" s="1021"/>
      <c r="BD190" s="1021"/>
      <c r="BE190" s="1021"/>
      <c r="BF190" s="1021"/>
      <c r="BG190" s="1021"/>
      <c r="BH190" s="1021"/>
      <c r="BI190" s="1021"/>
      <c r="BJ190" s="1021"/>
      <c r="BK190" s="1021"/>
      <c r="BL190" s="1021"/>
      <c r="BM190" s="1021"/>
      <c r="BN190" s="1021"/>
      <c r="BO190" s="1021"/>
      <c r="BP190" s="1021"/>
      <c r="BQ190" s="1021"/>
      <c r="BR190" s="1021"/>
      <c r="BS190" s="1021"/>
      <c r="BT190" s="1021"/>
      <c r="BU190" s="1021"/>
      <c r="BV190" s="1021"/>
      <c r="BW190" s="1021"/>
      <c r="BX190" s="1021"/>
      <c r="BY190" s="1021"/>
      <c r="BZ190" s="1021"/>
      <c r="CA190" s="1021"/>
      <c r="CB190" s="1021"/>
      <c r="CC190" s="1021"/>
    </row>
    <row r="191" spans="8:81" x14ac:dyDescent="0.25">
      <c r="H191" s="1021"/>
      <c r="I191" s="1021"/>
      <c r="J191" s="1021"/>
      <c r="K191" s="1021"/>
      <c r="L191" s="1021"/>
      <c r="M191" s="1021"/>
      <c r="N191" s="1021"/>
      <c r="O191" s="1021"/>
      <c r="P191" s="1021"/>
      <c r="Q191" s="1021"/>
      <c r="R191" s="1021"/>
      <c r="S191" s="1021"/>
      <c r="T191" s="1021"/>
      <c r="U191" s="1021"/>
      <c r="V191" s="1021"/>
      <c r="W191" s="1021"/>
      <c r="X191" s="1021"/>
      <c r="Y191" s="1021"/>
      <c r="Z191" s="1021"/>
      <c r="AA191" s="1021"/>
      <c r="AB191" s="1021"/>
      <c r="AC191" s="1021"/>
      <c r="AD191" s="1021"/>
      <c r="AE191" s="1021"/>
      <c r="AF191" s="1021"/>
      <c r="AG191" s="1021"/>
      <c r="AH191" s="1021"/>
      <c r="AI191" s="1021"/>
      <c r="AJ191" s="1021"/>
      <c r="AK191" s="1021"/>
      <c r="AL191" s="1021"/>
      <c r="AM191" s="1021"/>
      <c r="AN191" s="1021"/>
      <c r="AO191" s="1021"/>
      <c r="AP191" s="1021"/>
      <c r="AQ191" s="1021"/>
      <c r="AR191" s="1021"/>
      <c r="AS191" s="1021"/>
      <c r="AT191" s="1021"/>
      <c r="AU191" s="1021"/>
      <c r="AV191" s="1021"/>
      <c r="AW191" s="1021"/>
      <c r="AX191" s="1021"/>
      <c r="AY191" s="1021"/>
      <c r="AZ191" s="1021"/>
      <c r="BA191" s="1021"/>
      <c r="BB191" s="1021"/>
      <c r="BC191" s="1021"/>
      <c r="BD191" s="1021"/>
      <c r="BE191" s="1021"/>
      <c r="BF191" s="1021"/>
      <c r="BG191" s="1021"/>
      <c r="BH191" s="1021"/>
      <c r="BI191" s="1021"/>
      <c r="BJ191" s="1021"/>
      <c r="BK191" s="1021"/>
      <c r="BL191" s="1021"/>
      <c r="BM191" s="1021"/>
      <c r="BN191" s="1021"/>
      <c r="BO191" s="1021"/>
      <c r="BP191" s="1021"/>
      <c r="BQ191" s="1021"/>
      <c r="BR191" s="1021"/>
      <c r="BS191" s="1021"/>
      <c r="BT191" s="1021"/>
      <c r="BU191" s="1021"/>
      <c r="BV191" s="1021"/>
      <c r="BW191" s="1021"/>
      <c r="BX191" s="1021"/>
      <c r="BY191" s="1021"/>
      <c r="BZ191" s="1021"/>
      <c r="CA191" s="1021"/>
      <c r="CB191" s="1021"/>
      <c r="CC191" s="1021"/>
    </row>
    <row r="192" spans="8:81" x14ac:dyDescent="0.25">
      <c r="H192" s="1021"/>
      <c r="I192" s="1021"/>
      <c r="J192" s="1021"/>
      <c r="K192" s="1021"/>
      <c r="L192" s="1021"/>
      <c r="M192" s="1021"/>
      <c r="N192" s="1021"/>
      <c r="O192" s="1021"/>
      <c r="P192" s="1021"/>
      <c r="Q192" s="1021"/>
      <c r="R192" s="1021"/>
      <c r="S192" s="1021"/>
      <c r="T192" s="1021"/>
      <c r="U192" s="1021"/>
      <c r="V192" s="1021"/>
      <c r="W192" s="1021"/>
      <c r="X192" s="1021"/>
      <c r="Y192" s="1021"/>
      <c r="Z192" s="1021"/>
      <c r="AA192" s="1021"/>
      <c r="AB192" s="1021"/>
      <c r="AC192" s="1021"/>
      <c r="AD192" s="1021"/>
      <c r="AE192" s="1021"/>
      <c r="AF192" s="1021"/>
      <c r="AG192" s="1021"/>
      <c r="AH192" s="1021"/>
      <c r="AI192" s="1021"/>
      <c r="AJ192" s="1021"/>
      <c r="AK192" s="1021"/>
      <c r="AL192" s="1021"/>
      <c r="AM192" s="1021"/>
      <c r="AN192" s="1021"/>
      <c r="AO192" s="1021"/>
      <c r="AP192" s="1021"/>
      <c r="AQ192" s="1021"/>
      <c r="AR192" s="1021"/>
      <c r="AS192" s="1021"/>
      <c r="AT192" s="1021"/>
      <c r="AU192" s="1021"/>
      <c r="AV192" s="1021"/>
      <c r="AW192" s="1021"/>
      <c r="AX192" s="1021"/>
      <c r="AY192" s="1021"/>
      <c r="AZ192" s="1021"/>
      <c r="BA192" s="1021"/>
      <c r="BB192" s="1021"/>
      <c r="BC192" s="1021"/>
      <c r="BD192" s="1021"/>
      <c r="BE192" s="1021"/>
      <c r="BF192" s="1021"/>
      <c r="BG192" s="1021"/>
      <c r="BH192" s="1021"/>
      <c r="BI192" s="1021"/>
      <c r="BJ192" s="1021"/>
      <c r="BK192" s="1021"/>
      <c r="BL192" s="1021"/>
      <c r="BM192" s="1021"/>
      <c r="BN192" s="1021"/>
      <c r="BO192" s="1021"/>
      <c r="BP192" s="1021"/>
      <c r="BQ192" s="1021"/>
      <c r="BR192" s="1021"/>
      <c r="BS192" s="1021"/>
      <c r="BT192" s="1021"/>
      <c r="BU192" s="1021"/>
      <c r="BV192" s="1021"/>
      <c r="BW192" s="1021"/>
      <c r="BX192" s="1021"/>
      <c r="BY192" s="1021"/>
      <c r="BZ192" s="1021"/>
      <c r="CA192" s="1021"/>
      <c r="CB192" s="1021"/>
      <c r="CC192" s="1021"/>
    </row>
    <row r="193" spans="8:81" x14ac:dyDescent="0.25">
      <c r="H193" s="1021"/>
      <c r="I193" s="1021"/>
      <c r="J193" s="1021"/>
      <c r="K193" s="1021"/>
      <c r="L193" s="1021"/>
      <c r="M193" s="1021"/>
      <c r="N193" s="1021"/>
      <c r="O193" s="1021"/>
      <c r="P193" s="1021"/>
      <c r="Q193" s="1021"/>
      <c r="R193" s="1021"/>
      <c r="S193" s="1021"/>
      <c r="T193" s="1021"/>
      <c r="U193" s="1021"/>
      <c r="V193" s="1021"/>
      <c r="W193" s="1021"/>
      <c r="X193" s="1021"/>
      <c r="Y193" s="1021"/>
      <c r="Z193" s="1021"/>
      <c r="AA193" s="1021"/>
      <c r="AB193" s="1021"/>
      <c r="AC193" s="1021"/>
      <c r="AD193" s="1021"/>
      <c r="AE193" s="1021"/>
      <c r="AF193" s="1021"/>
      <c r="AG193" s="1021"/>
      <c r="AH193" s="1021"/>
      <c r="AI193" s="1021"/>
      <c r="AJ193" s="1021"/>
      <c r="AK193" s="1021"/>
      <c r="AL193" s="1021"/>
      <c r="AM193" s="1021"/>
      <c r="AN193" s="1021"/>
      <c r="AO193" s="1021"/>
      <c r="AP193" s="1021"/>
      <c r="AQ193" s="1021"/>
      <c r="AR193" s="1021"/>
      <c r="AS193" s="1021"/>
      <c r="AT193" s="1021"/>
      <c r="AU193" s="1021"/>
      <c r="AV193" s="1021"/>
      <c r="AW193" s="1021"/>
      <c r="AX193" s="1021"/>
      <c r="AY193" s="1021"/>
      <c r="AZ193" s="1021"/>
      <c r="BA193" s="1021"/>
      <c r="BB193" s="1021"/>
      <c r="BC193" s="1021"/>
      <c r="BD193" s="1021"/>
      <c r="BE193" s="1021"/>
      <c r="BF193" s="1021"/>
      <c r="BG193" s="1021"/>
      <c r="BH193" s="1021"/>
      <c r="BI193" s="1021"/>
      <c r="BJ193" s="1021"/>
      <c r="BK193" s="1021"/>
      <c r="BL193" s="1021"/>
      <c r="BM193" s="1021"/>
      <c r="BN193" s="1021"/>
      <c r="BO193" s="1021"/>
      <c r="BP193" s="1021"/>
      <c r="BQ193" s="1021"/>
      <c r="BR193" s="1021"/>
      <c r="BS193" s="1021"/>
      <c r="BT193" s="1021"/>
      <c r="BU193" s="1021"/>
      <c r="BV193" s="1021"/>
      <c r="BW193" s="1021"/>
      <c r="BX193" s="1021"/>
      <c r="BY193" s="1021"/>
      <c r="BZ193" s="1021"/>
      <c r="CA193" s="1021"/>
      <c r="CB193" s="1021"/>
      <c r="CC193" s="1021"/>
    </row>
    <row r="194" spans="8:81" x14ac:dyDescent="0.25">
      <c r="H194" s="1021"/>
      <c r="I194" s="1021"/>
      <c r="J194" s="1021"/>
      <c r="K194" s="1021"/>
      <c r="L194" s="1021"/>
      <c r="M194" s="1021"/>
      <c r="N194" s="1021"/>
      <c r="O194" s="1021"/>
      <c r="P194" s="1021"/>
      <c r="Q194" s="1021"/>
      <c r="R194" s="1021"/>
      <c r="S194" s="1021"/>
      <c r="T194" s="1021"/>
      <c r="U194" s="1021"/>
      <c r="V194" s="1021"/>
      <c r="W194" s="1021"/>
      <c r="X194" s="1021"/>
      <c r="Y194" s="1021"/>
      <c r="Z194" s="1021"/>
      <c r="AA194" s="1021"/>
      <c r="AB194" s="1021"/>
      <c r="AC194" s="1021"/>
      <c r="AD194" s="1021"/>
      <c r="AE194" s="1021"/>
      <c r="AF194" s="1021"/>
      <c r="AG194" s="1021"/>
      <c r="AH194" s="1021"/>
      <c r="AI194" s="1021"/>
      <c r="AJ194" s="1021"/>
      <c r="AK194" s="1021"/>
      <c r="AL194" s="1021"/>
      <c r="AM194" s="1021"/>
      <c r="AN194" s="1021"/>
      <c r="AO194" s="1021"/>
      <c r="AP194" s="1021"/>
      <c r="AQ194" s="1021"/>
      <c r="AR194" s="1021"/>
      <c r="AS194" s="1021"/>
      <c r="AT194" s="1021"/>
      <c r="AU194" s="1021"/>
      <c r="AV194" s="1021"/>
      <c r="AW194" s="1021"/>
      <c r="AX194" s="1021"/>
      <c r="AY194" s="1021"/>
      <c r="AZ194" s="1021"/>
      <c r="BA194" s="1021"/>
      <c r="BB194" s="1021"/>
      <c r="BC194" s="1021"/>
      <c r="BD194" s="1021"/>
      <c r="BE194" s="1021"/>
      <c r="BF194" s="1021"/>
      <c r="BG194" s="1021"/>
      <c r="BH194" s="1021"/>
      <c r="BI194" s="1021"/>
      <c r="BJ194" s="1021"/>
      <c r="BK194" s="1021"/>
      <c r="BL194" s="1021"/>
      <c r="BM194" s="1021"/>
      <c r="BN194" s="1021"/>
      <c r="BO194" s="1021"/>
      <c r="BP194" s="1021"/>
      <c r="BQ194" s="1021"/>
      <c r="BR194" s="1021"/>
      <c r="BS194" s="1021"/>
      <c r="BT194" s="1021"/>
      <c r="BU194" s="1021"/>
      <c r="BV194" s="1021"/>
      <c r="BW194" s="1021"/>
      <c r="BX194" s="1021"/>
      <c r="BY194" s="1021"/>
      <c r="BZ194" s="1021"/>
      <c r="CA194" s="1021"/>
      <c r="CB194" s="1021"/>
      <c r="CC194" s="1021"/>
    </row>
    <row r="195" spans="8:81" x14ac:dyDescent="0.25">
      <c r="H195" s="1021"/>
      <c r="I195" s="1021"/>
      <c r="J195" s="1021"/>
      <c r="K195" s="1021"/>
      <c r="L195" s="1021"/>
      <c r="M195" s="1021"/>
      <c r="N195" s="1021"/>
      <c r="O195" s="1021"/>
      <c r="P195" s="1021"/>
      <c r="Q195" s="1021"/>
      <c r="R195" s="1021"/>
      <c r="S195" s="1021"/>
      <c r="T195" s="1021"/>
      <c r="U195" s="1021"/>
      <c r="V195" s="1021"/>
      <c r="W195" s="1021"/>
      <c r="X195" s="1021"/>
      <c r="Y195" s="1021"/>
      <c r="Z195" s="1021"/>
      <c r="AA195" s="1021"/>
      <c r="AB195" s="1021"/>
      <c r="AC195" s="1021"/>
      <c r="AD195" s="1021"/>
      <c r="AE195" s="1021"/>
      <c r="AF195" s="1021"/>
      <c r="AG195" s="1021"/>
      <c r="AH195" s="1021"/>
      <c r="AI195" s="1021"/>
      <c r="AJ195" s="1021"/>
      <c r="AK195" s="1021"/>
      <c r="AL195" s="1021"/>
      <c r="AM195" s="1021"/>
      <c r="AN195" s="1021"/>
      <c r="AO195" s="1021"/>
      <c r="AP195" s="1021"/>
      <c r="AQ195" s="1021"/>
      <c r="AR195" s="1021"/>
      <c r="AS195" s="1021"/>
      <c r="AT195" s="1021"/>
      <c r="AU195" s="1021"/>
      <c r="AV195" s="1021"/>
      <c r="AW195" s="1021"/>
      <c r="AX195" s="1021"/>
      <c r="AY195" s="1021"/>
      <c r="AZ195" s="1021"/>
      <c r="BA195" s="1021"/>
      <c r="BB195" s="1021"/>
      <c r="BC195" s="1021"/>
      <c r="BD195" s="1021"/>
      <c r="BE195" s="1021"/>
      <c r="BF195" s="1021"/>
      <c r="BG195" s="1021"/>
      <c r="BH195" s="1021"/>
      <c r="BI195" s="1021"/>
      <c r="BJ195" s="1021"/>
      <c r="BK195" s="1021"/>
      <c r="BL195" s="1021"/>
      <c r="BM195" s="1021"/>
      <c r="BN195" s="1021"/>
      <c r="BO195" s="1021"/>
      <c r="BP195" s="1021"/>
      <c r="BQ195" s="1021"/>
      <c r="BR195" s="1021"/>
      <c r="BS195" s="1021"/>
      <c r="BT195" s="1021"/>
      <c r="BU195" s="1021"/>
      <c r="BV195" s="1021"/>
      <c r="BW195" s="1021"/>
      <c r="BX195" s="1021"/>
      <c r="BY195" s="1021"/>
      <c r="BZ195" s="1021"/>
      <c r="CA195" s="1021"/>
      <c r="CB195" s="1021"/>
      <c r="CC195" s="1021"/>
    </row>
    <row r="196" spans="8:81" x14ac:dyDescent="0.25">
      <c r="H196" s="1021"/>
      <c r="I196" s="1021"/>
      <c r="J196" s="1021"/>
      <c r="K196" s="1021"/>
      <c r="L196" s="1021"/>
      <c r="M196" s="1021"/>
      <c r="N196" s="1021"/>
      <c r="O196" s="1021"/>
      <c r="P196" s="1021"/>
      <c r="Q196" s="1021"/>
      <c r="R196" s="1021"/>
      <c r="S196" s="1021"/>
      <c r="T196" s="1021"/>
      <c r="U196" s="1021"/>
      <c r="V196" s="1021"/>
      <c r="W196" s="1021"/>
      <c r="X196" s="1021"/>
      <c r="Y196" s="1021"/>
      <c r="Z196" s="1021"/>
      <c r="AA196" s="1021"/>
      <c r="AB196" s="1021"/>
      <c r="AC196" s="1021"/>
      <c r="AD196" s="1021"/>
      <c r="AE196" s="1021"/>
      <c r="AF196" s="1021"/>
      <c r="AG196" s="1021"/>
      <c r="AH196" s="1021"/>
      <c r="AI196" s="1021"/>
      <c r="AJ196" s="1021"/>
      <c r="AK196" s="1021"/>
      <c r="AL196" s="1021"/>
      <c r="AM196" s="1021"/>
      <c r="AN196" s="1021"/>
      <c r="AO196" s="1021"/>
      <c r="AP196" s="1021"/>
      <c r="AQ196" s="1021"/>
      <c r="AR196" s="1021"/>
      <c r="AS196" s="1021"/>
      <c r="AT196" s="1021"/>
      <c r="AU196" s="1021"/>
      <c r="AV196" s="1021"/>
      <c r="AW196" s="1021"/>
      <c r="AX196" s="1021"/>
      <c r="AY196" s="1021"/>
      <c r="AZ196" s="1021"/>
      <c r="BA196" s="1021"/>
      <c r="BB196" s="1021"/>
      <c r="BC196" s="1021"/>
      <c r="BD196" s="1021"/>
      <c r="BE196" s="1021"/>
      <c r="BF196" s="1021"/>
      <c r="BG196" s="1021"/>
      <c r="BH196" s="1021"/>
      <c r="BI196" s="1021"/>
      <c r="BJ196" s="1021"/>
      <c r="BK196" s="1021"/>
      <c r="BL196" s="1021"/>
      <c r="BM196" s="1021"/>
      <c r="BN196" s="1021"/>
      <c r="BO196" s="1021"/>
      <c r="BP196" s="1021"/>
      <c r="BQ196" s="1021"/>
      <c r="BR196" s="1021"/>
      <c r="BS196" s="1021"/>
      <c r="BT196" s="1021"/>
      <c r="BU196" s="1021"/>
      <c r="BV196" s="1021"/>
      <c r="BW196" s="1021"/>
      <c r="BX196" s="1021"/>
      <c r="BY196" s="1021"/>
      <c r="BZ196" s="1021"/>
      <c r="CA196" s="1021"/>
      <c r="CB196" s="1021"/>
      <c r="CC196" s="1021"/>
    </row>
    <row r="197" spans="8:81" x14ac:dyDescent="0.25">
      <c r="H197" s="1021"/>
      <c r="I197" s="1021"/>
      <c r="J197" s="1021"/>
      <c r="K197" s="1021"/>
      <c r="L197" s="1021"/>
      <c r="M197" s="1021"/>
      <c r="N197" s="1021"/>
      <c r="O197" s="1021"/>
      <c r="P197" s="1021"/>
      <c r="Q197" s="1021"/>
      <c r="R197" s="1021"/>
      <c r="S197" s="1021"/>
      <c r="T197" s="1021"/>
      <c r="U197" s="1021"/>
      <c r="V197" s="1021"/>
      <c r="W197" s="1021"/>
      <c r="X197" s="1021"/>
      <c r="Y197" s="1021"/>
      <c r="Z197" s="1021"/>
      <c r="AA197" s="1021"/>
      <c r="AB197" s="1021"/>
      <c r="AC197" s="1021"/>
      <c r="AD197" s="1021"/>
      <c r="AE197" s="1021"/>
      <c r="AF197" s="1021"/>
      <c r="AG197" s="1021"/>
      <c r="AH197" s="1021"/>
      <c r="AI197" s="1021"/>
      <c r="AJ197" s="1021"/>
      <c r="AK197" s="1021"/>
      <c r="AL197" s="1021"/>
      <c r="AM197" s="1021"/>
      <c r="AN197" s="1021"/>
      <c r="AO197" s="1021"/>
      <c r="AP197" s="1021"/>
      <c r="AQ197" s="1021"/>
      <c r="AR197" s="1021"/>
      <c r="AS197" s="1021"/>
      <c r="AT197" s="1021"/>
      <c r="AU197" s="1021"/>
      <c r="AV197" s="1021"/>
      <c r="AW197" s="1021"/>
      <c r="AX197" s="1021"/>
      <c r="AY197" s="1021"/>
      <c r="AZ197" s="1021"/>
      <c r="BA197" s="1021"/>
      <c r="BB197" s="1021"/>
      <c r="BC197" s="1021"/>
      <c r="BD197" s="1021"/>
      <c r="BE197" s="1021"/>
      <c r="BF197" s="1021"/>
      <c r="BG197" s="1021"/>
      <c r="BH197" s="1021"/>
      <c r="BI197" s="1021"/>
      <c r="BJ197" s="1021"/>
      <c r="BK197" s="1021"/>
      <c r="BL197" s="1021"/>
      <c r="BM197" s="1021"/>
      <c r="BN197" s="1021"/>
      <c r="BO197" s="1021"/>
      <c r="BP197" s="1021"/>
      <c r="BQ197" s="1021"/>
      <c r="BR197" s="1021"/>
      <c r="BS197" s="1021"/>
      <c r="BT197" s="1021"/>
      <c r="BU197" s="1021"/>
      <c r="BV197" s="1021"/>
      <c r="BW197" s="1021"/>
      <c r="BX197" s="1021"/>
      <c r="BY197" s="1021"/>
      <c r="BZ197" s="1021"/>
      <c r="CA197" s="1021"/>
      <c r="CB197" s="1021"/>
      <c r="CC197" s="1021"/>
    </row>
    <row r="198" spans="8:81" x14ac:dyDescent="0.25">
      <c r="H198" s="1021"/>
      <c r="I198" s="1021"/>
      <c r="J198" s="1021"/>
      <c r="K198" s="1021"/>
      <c r="L198" s="1021"/>
      <c r="M198" s="1021"/>
      <c r="N198" s="1021"/>
      <c r="O198" s="1021"/>
      <c r="P198" s="1021"/>
      <c r="Q198" s="1021"/>
      <c r="R198" s="1021"/>
      <c r="S198" s="1021"/>
      <c r="T198" s="1021"/>
      <c r="U198" s="1021"/>
      <c r="V198" s="1021"/>
      <c r="W198" s="1021"/>
      <c r="X198" s="1021"/>
      <c r="Y198" s="1021"/>
      <c r="Z198" s="1021"/>
      <c r="AA198" s="1021"/>
      <c r="AB198" s="1021"/>
      <c r="AC198" s="1021"/>
      <c r="AD198" s="1021"/>
      <c r="AE198" s="1021"/>
      <c r="AF198" s="1021"/>
      <c r="AG198" s="1021"/>
      <c r="AH198" s="1021"/>
      <c r="AI198" s="1021"/>
      <c r="AJ198" s="1021"/>
      <c r="AK198" s="1021"/>
      <c r="AL198" s="1021"/>
      <c r="AM198" s="1021"/>
      <c r="AN198" s="1021"/>
      <c r="AO198" s="1021"/>
      <c r="AP198" s="1021"/>
      <c r="AQ198" s="1021"/>
      <c r="AR198" s="1021"/>
      <c r="AS198" s="1021"/>
      <c r="AT198" s="1021"/>
      <c r="AU198" s="1021"/>
      <c r="AV198" s="1021"/>
      <c r="AW198" s="1021"/>
      <c r="AX198" s="1021"/>
      <c r="AY198" s="1021"/>
      <c r="AZ198" s="1021"/>
      <c r="BA198" s="1021"/>
      <c r="BB198" s="1021"/>
      <c r="BC198" s="1021"/>
      <c r="BD198" s="1021"/>
      <c r="BE198" s="1021"/>
      <c r="BF198" s="1021"/>
      <c r="BG198" s="1021"/>
      <c r="BH198" s="1021"/>
      <c r="BI198" s="1021"/>
      <c r="BJ198" s="1021"/>
      <c r="BK198" s="1021"/>
      <c r="BL198" s="1021"/>
      <c r="BM198" s="1021"/>
      <c r="BN198" s="1021"/>
      <c r="BO198" s="1021"/>
      <c r="BP198" s="1021"/>
      <c r="BQ198" s="1021"/>
      <c r="BR198" s="1021"/>
      <c r="BS198" s="1021"/>
      <c r="BT198" s="1021"/>
      <c r="BU198" s="1021"/>
      <c r="BV198" s="1021"/>
      <c r="BW198" s="1021"/>
      <c r="BX198" s="1021"/>
      <c r="BY198" s="1021"/>
      <c r="BZ198" s="1021"/>
      <c r="CA198" s="1021"/>
      <c r="CB198" s="1021"/>
      <c r="CC198" s="1021"/>
    </row>
    <row r="199" spans="8:81" x14ac:dyDescent="0.25">
      <c r="H199" s="1021"/>
      <c r="I199" s="1021"/>
      <c r="J199" s="1021"/>
      <c r="K199" s="1021"/>
      <c r="L199" s="1021"/>
      <c r="M199" s="1021"/>
      <c r="N199" s="1021"/>
      <c r="O199" s="1021"/>
      <c r="P199" s="1021"/>
      <c r="Q199" s="1021"/>
      <c r="R199" s="1021"/>
      <c r="S199" s="1021"/>
      <c r="T199" s="1021"/>
      <c r="U199" s="1021"/>
      <c r="V199" s="1021"/>
      <c r="W199" s="1021"/>
      <c r="X199" s="1021"/>
      <c r="Y199" s="1021"/>
      <c r="Z199" s="1021"/>
      <c r="AA199" s="1021"/>
      <c r="AB199" s="1021"/>
      <c r="AC199" s="1021"/>
      <c r="AD199" s="1021"/>
      <c r="AE199" s="1021"/>
      <c r="AF199" s="1021"/>
      <c r="AG199" s="1021"/>
      <c r="AH199" s="1021"/>
      <c r="AI199" s="1021"/>
      <c r="AJ199" s="1021"/>
      <c r="AK199" s="1021"/>
      <c r="AL199" s="1021"/>
      <c r="AM199" s="1021"/>
      <c r="AN199" s="1021"/>
      <c r="AO199" s="1021"/>
      <c r="AP199" s="1021"/>
      <c r="AQ199" s="1021"/>
      <c r="AR199" s="1021"/>
      <c r="AS199" s="1021"/>
      <c r="AT199" s="1021"/>
      <c r="AU199" s="1021"/>
      <c r="AV199" s="1021"/>
      <c r="AW199" s="1021"/>
      <c r="AX199" s="1021"/>
      <c r="AY199" s="1021"/>
      <c r="AZ199" s="1021"/>
      <c r="BA199" s="1021"/>
      <c r="BB199" s="1021"/>
      <c r="BC199" s="1021"/>
      <c r="BD199" s="1021"/>
      <c r="BE199" s="1021"/>
      <c r="BF199" s="1021"/>
      <c r="BG199" s="1021"/>
      <c r="BH199" s="1021"/>
      <c r="BI199" s="1021"/>
      <c r="BJ199" s="1021"/>
      <c r="BK199" s="1021"/>
      <c r="BL199" s="1021"/>
      <c r="BM199" s="1021"/>
      <c r="BN199" s="1021"/>
      <c r="BO199" s="1021"/>
      <c r="BP199" s="1021"/>
      <c r="BQ199" s="1021"/>
      <c r="BR199" s="1021"/>
      <c r="BS199" s="1021"/>
      <c r="BT199" s="1021"/>
      <c r="BU199" s="1021"/>
      <c r="BV199" s="1021"/>
      <c r="BW199" s="1021"/>
      <c r="BX199" s="1021"/>
      <c r="BY199" s="1021"/>
      <c r="BZ199" s="1021"/>
      <c r="CA199" s="1021"/>
      <c r="CB199" s="1021"/>
      <c r="CC199" s="1021"/>
    </row>
    <row r="200" spans="8:81" x14ac:dyDescent="0.25">
      <c r="H200" s="1021"/>
      <c r="I200" s="1021"/>
      <c r="J200" s="1021"/>
      <c r="K200" s="1021"/>
      <c r="L200" s="1021"/>
      <c r="M200" s="1021"/>
      <c r="N200" s="1021"/>
      <c r="O200" s="1021"/>
      <c r="P200" s="1021"/>
      <c r="Q200" s="1021"/>
      <c r="R200" s="1021"/>
      <c r="S200" s="1021"/>
      <c r="T200" s="1021"/>
      <c r="U200" s="1021"/>
      <c r="V200" s="1021"/>
      <c r="W200" s="1021"/>
      <c r="X200" s="1021"/>
      <c r="Y200" s="1021"/>
      <c r="Z200" s="1021"/>
      <c r="AA200" s="1021"/>
      <c r="AB200" s="1021"/>
      <c r="AC200" s="1021"/>
      <c r="AD200" s="1021"/>
      <c r="AE200" s="1021"/>
      <c r="AF200" s="1021"/>
      <c r="AG200" s="1021"/>
      <c r="AH200" s="1021"/>
      <c r="AI200" s="1021"/>
      <c r="AJ200" s="1021"/>
      <c r="AK200" s="1021"/>
      <c r="AL200" s="1021"/>
      <c r="AM200" s="1021"/>
      <c r="AN200" s="1021"/>
      <c r="AO200" s="1021"/>
      <c r="AP200" s="1021"/>
      <c r="AQ200" s="1021"/>
      <c r="AR200" s="1021"/>
      <c r="AS200" s="1021"/>
      <c r="AT200" s="1021"/>
      <c r="AU200" s="1021"/>
      <c r="AV200" s="1021"/>
      <c r="AW200" s="1021"/>
      <c r="AX200" s="1021"/>
      <c r="AY200" s="1021"/>
      <c r="AZ200" s="1021"/>
      <c r="BA200" s="1021"/>
      <c r="BB200" s="1021"/>
      <c r="BC200" s="1021"/>
      <c r="BD200" s="1021"/>
      <c r="BE200" s="1021"/>
      <c r="BF200" s="1021"/>
      <c r="BG200" s="1021"/>
      <c r="BH200" s="1021"/>
      <c r="BI200" s="1021"/>
      <c r="BJ200" s="1021"/>
      <c r="BK200" s="1021"/>
      <c r="BL200" s="1021"/>
      <c r="BM200" s="1021"/>
      <c r="BN200" s="1021"/>
      <c r="BO200" s="1021"/>
      <c r="BP200" s="1021"/>
      <c r="BQ200" s="1021"/>
      <c r="BR200" s="1021"/>
      <c r="BS200" s="1021"/>
      <c r="BT200" s="1021"/>
      <c r="BU200" s="1021"/>
      <c r="BV200" s="1021"/>
      <c r="BW200" s="1021"/>
      <c r="BX200" s="1021"/>
      <c r="BY200" s="1021"/>
      <c r="BZ200" s="1021"/>
      <c r="CA200" s="1021"/>
      <c r="CB200" s="1021"/>
      <c r="CC200" s="1021"/>
    </row>
    <row r="201" spans="8:81" x14ac:dyDescent="0.25">
      <c r="H201" s="1021"/>
      <c r="I201" s="1021"/>
      <c r="J201" s="1021"/>
      <c r="K201" s="1021"/>
      <c r="L201" s="1021"/>
      <c r="M201" s="1021"/>
      <c r="N201" s="1021"/>
      <c r="O201" s="1021"/>
      <c r="P201" s="1021"/>
      <c r="Q201" s="1021"/>
      <c r="R201" s="1021"/>
      <c r="S201" s="1021"/>
      <c r="T201" s="1021"/>
      <c r="U201" s="1021"/>
      <c r="V201" s="1021"/>
      <c r="W201" s="1021"/>
      <c r="X201" s="1021"/>
      <c r="Y201" s="1021"/>
      <c r="Z201" s="1021"/>
      <c r="AA201" s="1021"/>
      <c r="AB201" s="1021"/>
      <c r="AC201" s="1021"/>
      <c r="AD201" s="1021"/>
      <c r="AE201" s="1021"/>
      <c r="AF201" s="1021"/>
      <c r="AG201" s="1021"/>
      <c r="AH201" s="1021"/>
      <c r="AI201" s="1021"/>
      <c r="AJ201" s="1021"/>
      <c r="AK201" s="1021"/>
      <c r="AL201" s="1021"/>
      <c r="AM201" s="1021"/>
      <c r="AN201" s="1021"/>
      <c r="AO201" s="1021"/>
      <c r="AP201" s="1021"/>
      <c r="AQ201" s="1021"/>
      <c r="AR201" s="1021"/>
      <c r="AS201" s="1021"/>
      <c r="AT201" s="1021"/>
      <c r="AU201" s="1021"/>
      <c r="AV201" s="1021"/>
      <c r="AW201" s="1021"/>
      <c r="AX201" s="1021"/>
      <c r="AY201" s="1021"/>
      <c r="AZ201" s="1021"/>
      <c r="BA201" s="1021"/>
      <c r="BB201" s="1021"/>
      <c r="BC201" s="1021"/>
      <c r="BD201" s="1021"/>
      <c r="BE201" s="1021"/>
      <c r="BF201" s="1021"/>
      <c r="BG201" s="1021"/>
      <c r="BH201" s="1021"/>
      <c r="BI201" s="1021"/>
      <c r="BJ201" s="1021"/>
      <c r="BK201" s="1021"/>
      <c r="BL201" s="1021"/>
      <c r="BM201" s="1021"/>
      <c r="BN201" s="1021"/>
      <c r="BO201" s="1021"/>
      <c r="BP201" s="1021"/>
      <c r="BQ201" s="1021"/>
      <c r="BR201" s="1021"/>
      <c r="BS201" s="1021"/>
      <c r="BT201" s="1021"/>
      <c r="BU201" s="1021"/>
      <c r="BV201" s="1021"/>
      <c r="BW201" s="1021"/>
      <c r="BX201" s="1021"/>
      <c r="BY201" s="1021"/>
      <c r="BZ201" s="1021"/>
      <c r="CA201" s="1021"/>
      <c r="CB201" s="1021"/>
      <c r="CC201" s="1021"/>
    </row>
    <row r="202" spans="8:81" x14ac:dyDescent="0.25">
      <c r="H202" s="1021"/>
      <c r="I202" s="1021"/>
      <c r="J202" s="1021"/>
      <c r="K202" s="1021"/>
      <c r="L202" s="1021"/>
      <c r="M202" s="1021"/>
      <c r="N202" s="1021"/>
      <c r="O202" s="1021"/>
      <c r="P202" s="1021"/>
      <c r="Q202" s="1021"/>
      <c r="R202" s="1021"/>
      <c r="S202" s="1021"/>
      <c r="T202" s="1021"/>
      <c r="U202" s="1021"/>
      <c r="V202" s="1021"/>
      <c r="W202" s="1021"/>
      <c r="X202" s="1021"/>
      <c r="Y202" s="1021"/>
      <c r="Z202" s="1021"/>
      <c r="AA202" s="1021"/>
      <c r="AB202" s="1021"/>
      <c r="AC202" s="1021"/>
      <c r="AD202" s="1021"/>
      <c r="AE202" s="1021"/>
      <c r="AF202" s="1021"/>
      <c r="AG202" s="1021"/>
      <c r="AH202" s="1021"/>
      <c r="AI202" s="1021"/>
      <c r="AJ202" s="1021"/>
      <c r="AK202" s="1021"/>
      <c r="AL202" s="1021"/>
      <c r="AM202" s="1021"/>
      <c r="AN202" s="1021"/>
      <c r="AO202" s="1021"/>
      <c r="AP202" s="1021"/>
      <c r="AQ202" s="1021"/>
      <c r="AR202" s="1021"/>
      <c r="AS202" s="1021"/>
      <c r="AT202" s="1021"/>
      <c r="AU202" s="1021"/>
      <c r="AV202" s="1021"/>
      <c r="AW202" s="1021"/>
      <c r="AX202" s="1021"/>
      <c r="AY202" s="1021"/>
      <c r="AZ202" s="1021"/>
      <c r="BA202" s="1021"/>
      <c r="BB202" s="1021"/>
      <c r="BC202" s="1021"/>
      <c r="BD202" s="1021"/>
      <c r="BE202" s="1021"/>
      <c r="BF202" s="1021"/>
      <c r="BG202" s="1021"/>
      <c r="BH202" s="1021"/>
      <c r="BI202" s="1021"/>
      <c r="BJ202" s="1021"/>
      <c r="BK202" s="1021"/>
      <c r="BL202" s="1021"/>
      <c r="BM202" s="1021"/>
      <c r="BN202" s="1021"/>
      <c r="BO202" s="1021"/>
      <c r="BP202" s="1021"/>
      <c r="BQ202" s="1021"/>
      <c r="BR202" s="1021"/>
      <c r="BS202" s="1021"/>
      <c r="BT202" s="1021"/>
      <c r="BU202" s="1021"/>
      <c r="BV202" s="1021"/>
      <c r="BW202" s="1021"/>
      <c r="BX202" s="1021"/>
      <c r="BY202" s="1021"/>
      <c r="BZ202" s="1021"/>
      <c r="CA202" s="1021"/>
      <c r="CB202" s="1021"/>
      <c r="CC202" s="1021"/>
    </row>
    <row r="203" spans="8:81" x14ac:dyDescent="0.25">
      <c r="H203" s="1021"/>
      <c r="I203" s="1021"/>
      <c r="J203" s="1021"/>
      <c r="K203" s="1021"/>
      <c r="L203" s="1021"/>
      <c r="M203" s="1021"/>
      <c r="N203" s="1021"/>
      <c r="O203" s="1021"/>
      <c r="P203" s="1021"/>
      <c r="Q203" s="1021"/>
      <c r="R203" s="1021"/>
      <c r="S203" s="1021"/>
      <c r="T203" s="1021"/>
      <c r="U203" s="1021"/>
      <c r="V203" s="1021"/>
      <c r="W203" s="1021"/>
      <c r="X203" s="1021"/>
      <c r="Y203" s="1021"/>
      <c r="Z203" s="1021"/>
      <c r="AA203" s="1021"/>
      <c r="AB203" s="1021"/>
      <c r="AC203" s="1021"/>
      <c r="AD203" s="1021"/>
      <c r="AE203" s="1021"/>
      <c r="AF203" s="1021"/>
      <c r="AG203" s="1021"/>
      <c r="AH203" s="1021"/>
      <c r="AI203" s="1021"/>
      <c r="AJ203" s="1021"/>
      <c r="AK203" s="1021"/>
      <c r="AL203" s="1021"/>
      <c r="AM203" s="1021"/>
      <c r="AN203" s="1021"/>
      <c r="AO203" s="1021"/>
      <c r="AP203" s="1021"/>
      <c r="AQ203" s="1021"/>
      <c r="AR203" s="1021"/>
      <c r="AS203" s="1021"/>
      <c r="AT203" s="1021"/>
      <c r="AU203" s="1021"/>
      <c r="AV203" s="1021"/>
      <c r="AW203" s="1021"/>
      <c r="AX203" s="1021"/>
      <c r="AY203" s="1021"/>
      <c r="AZ203" s="1021"/>
      <c r="BA203" s="1021"/>
      <c r="BB203" s="1021"/>
      <c r="BC203" s="1021"/>
      <c r="BD203" s="1021"/>
      <c r="BE203" s="1021"/>
      <c r="BF203" s="1021"/>
      <c r="BG203" s="1021"/>
      <c r="BH203" s="1021"/>
      <c r="BI203" s="1021"/>
      <c r="BJ203" s="1021"/>
      <c r="BK203" s="1021"/>
      <c r="BL203" s="1021"/>
      <c r="BM203" s="1021"/>
      <c r="BN203" s="1021"/>
      <c r="BO203" s="1021"/>
      <c r="BP203" s="1021"/>
      <c r="BQ203" s="1021"/>
      <c r="BR203" s="1021"/>
      <c r="BS203" s="1021"/>
      <c r="BT203" s="1021"/>
      <c r="BU203" s="1021"/>
      <c r="BV203" s="1021"/>
      <c r="BW203" s="1021"/>
      <c r="BX203" s="1021"/>
      <c r="BY203" s="1021"/>
      <c r="BZ203" s="1021"/>
      <c r="CA203" s="1021"/>
      <c r="CB203" s="1021"/>
      <c r="CC203" s="1021"/>
    </row>
    <row r="204" spans="8:81" x14ac:dyDescent="0.25">
      <c r="H204" s="1021"/>
      <c r="I204" s="1021"/>
      <c r="J204" s="1021"/>
      <c r="K204" s="1021"/>
      <c r="L204" s="1021"/>
      <c r="M204" s="1021"/>
      <c r="N204" s="1021"/>
      <c r="O204" s="1021"/>
      <c r="P204" s="1021"/>
      <c r="Q204" s="1021"/>
      <c r="R204" s="1021"/>
      <c r="S204" s="1021"/>
      <c r="T204" s="1021"/>
      <c r="U204" s="1021"/>
      <c r="V204" s="1021"/>
      <c r="W204" s="1021"/>
      <c r="X204" s="1021"/>
      <c r="Y204" s="1021"/>
      <c r="Z204" s="1021"/>
      <c r="AA204" s="1021"/>
      <c r="AB204" s="1021"/>
      <c r="AC204" s="1021"/>
      <c r="AD204" s="1021"/>
      <c r="AE204" s="1021"/>
      <c r="AF204" s="1021"/>
      <c r="AG204" s="1021"/>
      <c r="AH204" s="1021"/>
      <c r="AI204" s="1021"/>
      <c r="AJ204" s="1021"/>
      <c r="AK204" s="1021"/>
      <c r="AL204" s="1021"/>
      <c r="AM204" s="1021"/>
      <c r="AN204" s="1021"/>
      <c r="AO204" s="1021"/>
      <c r="AP204" s="1021"/>
      <c r="AQ204" s="1021"/>
      <c r="AR204" s="1021"/>
      <c r="AS204" s="1021"/>
      <c r="AT204" s="1021"/>
      <c r="AU204" s="1021"/>
      <c r="AV204" s="1021"/>
      <c r="AW204" s="1021"/>
      <c r="AX204" s="1021"/>
      <c r="AY204" s="1021"/>
      <c r="AZ204" s="1021"/>
      <c r="BA204" s="1021"/>
      <c r="BB204" s="1021"/>
      <c r="BC204" s="1021"/>
      <c r="BD204" s="1021"/>
      <c r="BE204" s="1021"/>
      <c r="BF204" s="1021"/>
      <c r="BG204" s="1021"/>
      <c r="BH204" s="1021"/>
      <c r="BI204" s="1021"/>
      <c r="BJ204" s="1021"/>
      <c r="BK204" s="1021"/>
      <c r="BL204" s="1021"/>
      <c r="BM204" s="1021"/>
      <c r="BN204" s="1021"/>
      <c r="BO204" s="1021"/>
      <c r="BP204" s="1021"/>
      <c r="BQ204" s="1021"/>
      <c r="BR204" s="1021"/>
      <c r="BS204" s="1021"/>
      <c r="BT204" s="1021"/>
      <c r="BU204" s="1021"/>
      <c r="BV204" s="1021"/>
      <c r="BW204" s="1021"/>
      <c r="BX204" s="1021"/>
      <c r="BY204" s="1021"/>
      <c r="BZ204" s="1021"/>
      <c r="CA204" s="1021"/>
      <c r="CB204" s="1021"/>
      <c r="CC204" s="1021"/>
    </row>
    <row r="205" spans="8:81" x14ac:dyDescent="0.25">
      <c r="H205" s="1021"/>
      <c r="I205" s="1021"/>
      <c r="J205" s="1021"/>
      <c r="K205" s="1021"/>
      <c r="L205" s="1021"/>
      <c r="M205" s="1021"/>
      <c r="N205" s="1021"/>
      <c r="O205" s="1021"/>
      <c r="P205" s="1021"/>
      <c r="Q205" s="1021"/>
      <c r="R205" s="1021"/>
      <c r="S205" s="1021"/>
      <c r="T205" s="1021"/>
      <c r="U205" s="1021"/>
      <c r="V205" s="1021"/>
      <c r="W205" s="1021"/>
      <c r="X205" s="1021"/>
      <c r="Y205" s="1021"/>
      <c r="Z205" s="1021"/>
      <c r="AA205" s="1021"/>
      <c r="AB205" s="1021"/>
      <c r="AC205" s="1021"/>
      <c r="AD205" s="1021"/>
      <c r="AE205" s="1021"/>
      <c r="AF205" s="1021"/>
      <c r="AG205" s="1021"/>
      <c r="AH205" s="1021"/>
      <c r="AI205" s="1021"/>
      <c r="AJ205" s="1021"/>
      <c r="AK205" s="1021"/>
      <c r="AL205" s="1021"/>
      <c r="AM205" s="1021"/>
      <c r="AN205" s="1021"/>
      <c r="AO205" s="1021"/>
      <c r="AP205" s="1021"/>
      <c r="AQ205" s="1021"/>
      <c r="AR205" s="1021"/>
      <c r="AS205" s="1021"/>
      <c r="AT205" s="1021"/>
      <c r="AU205" s="1021"/>
      <c r="AV205" s="1021"/>
      <c r="AW205" s="1021"/>
      <c r="AX205" s="1021"/>
      <c r="AY205" s="1021"/>
      <c r="AZ205" s="1021"/>
      <c r="BA205" s="1021"/>
      <c r="BB205" s="1021"/>
      <c r="BC205" s="1021"/>
      <c r="BD205" s="1021"/>
      <c r="BE205" s="1021"/>
      <c r="BF205" s="1021"/>
      <c r="BG205" s="1021"/>
      <c r="BH205" s="1021"/>
      <c r="BI205" s="1021"/>
      <c r="BJ205" s="1021"/>
      <c r="BK205" s="1021"/>
      <c r="BL205" s="1021"/>
      <c r="BM205" s="1021"/>
      <c r="BN205" s="1021"/>
      <c r="BO205" s="1021"/>
      <c r="BP205" s="1021"/>
      <c r="BQ205" s="1021"/>
      <c r="BR205" s="1021"/>
      <c r="BS205" s="1021"/>
      <c r="BT205" s="1021"/>
      <c r="BU205" s="1021"/>
      <c r="BV205" s="1021"/>
      <c r="BW205" s="1021"/>
      <c r="BX205" s="1021"/>
      <c r="BY205" s="1021"/>
      <c r="BZ205" s="1021"/>
      <c r="CA205" s="1021"/>
      <c r="CB205" s="1021"/>
      <c r="CC205" s="1021"/>
    </row>
    <row r="206" spans="8:81" x14ac:dyDescent="0.25">
      <c r="H206" s="1021"/>
      <c r="I206" s="1021"/>
      <c r="J206" s="1021"/>
      <c r="K206" s="1021"/>
      <c r="L206" s="1021"/>
      <c r="M206" s="1021"/>
      <c r="N206" s="1021"/>
      <c r="O206" s="1021"/>
      <c r="P206" s="1021"/>
      <c r="Q206" s="1021"/>
      <c r="R206" s="1021"/>
      <c r="S206" s="1021"/>
      <c r="T206" s="1021"/>
      <c r="U206" s="1021"/>
      <c r="V206" s="1021"/>
      <c r="W206" s="1021"/>
      <c r="X206" s="1021"/>
      <c r="Y206" s="1021"/>
      <c r="Z206" s="1021"/>
      <c r="AA206" s="1021"/>
      <c r="AB206" s="1021"/>
      <c r="AC206" s="1021"/>
      <c r="AD206" s="1021"/>
      <c r="AE206" s="1021"/>
      <c r="AF206" s="1021"/>
      <c r="AG206" s="1021"/>
      <c r="AH206" s="1021"/>
      <c r="AI206" s="1021"/>
      <c r="AJ206" s="1021"/>
      <c r="AK206" s="1021"/>
      <c r="AL206" s="1021"/>
      <c r="AM206" s="1021"/>
      <c r="AN206" s="1021"/>
      <c r="AO206" s="1021"/>
      <c r="AP206" s="1021"/>
      <c r="AQ206" s="1021"/>
      <c r="AR206" s="1021"/>
      <c r="AS206" s="1021"/>
      <c r="AT206" s="1021"/>
      <c r="AU206" s="1021"/>
      <c r="AV206" s="1021"/>
      <c r="AW206" s="1021"/>
      <c r="AX206" s="1021"/>
      <c r="AY206" s="1021"/>
      <c r="AZ206" s="1021"/>
      <c r="BA206" s="1021"/>
      <c r="BB206" s="1021"/>
      <c r="BC206" s="1021"/>
      <c r="BD206" s="1021"/>
      <c r="BE206" s="1021"/>
      <c r="BF206" s="1021"/>
      <c r="BG206" s="1021"/>
      <c r="BH206" s="1021"/>
      <c r="BI206" s="1021"/>
      <c r="BJ206" s="1021"/>
      <c r="BK206" s="1021"/>
      <c r="BL206" s="1021"/>
      <c r="BM206" s="1021"/>
      <c r="BN206" s="1021"/>
      <c r="BO206" s="1021"/>
      <c r="BP206" s="1021"/>
      <c r="BQ206" s="1021"/>
      <c r="BR206" s="1021"/>
      <c r="BS206" s="1021"/>
      <c r="BT206" s="1021"/>
      <c r="BU206" s="1021"/>
      <c r="BV206" s="1021"/>
      <c r="BW206" s="1021"/>
      <c r="BX206" s="1021"/>
      <c r="BY206" s="1021"/>
      <c r="BZ206" s="1021"/>
      <c r="CA206" s="1021"/>
      <c r="CB206" s="1021"/>
      <c r="CC206" s="1021"/>
    </row>
    <row r="207" spans="8:81" x14ac:dyDescent="0.25">
      <c r="H207" s="1021"/>
      <c r="I207" s="1021"/>
      <c r="J207" s="1021"/>
      <c r="K207" s="1021"/>
      <c r="L207" s="1021"/>
      <c r="M207" s="1021"/>
      <c r="N207" s="1021"/>
      <c r="O207" s="1021"/>
      <c r="P207" s="1021"/>
      <c r="Q207" s="1021"/>
      <c r="R207" s="1021"/>
      <c r="S207" s="1021"/>
      <c r="T207" s="1021"/>
      <c r="U207" s="1021"/>
      <c r="V207" s="1021"/>
      <c r="W207" s="1021"/>
      <c r="X207" s="1021"/>
      <c r="Y207" s="1021"/>
      <c r="Z207" s="1021"/>
      <c r="AA207" s="1021"/>
      <c r="AB207" s="1021"/>
      <c r="AC207" s="1021"/>
      <c r="AD207" s="1021"/>
      <c r="AE207" s="1021"/>
      <c r="AF207" s="1021"/>
      <c r="AG207" s="1021"/>
      <c r="AH207" s="1021"/>
      <c r="AI207" s="1021"/>
      <c r="AJ207" s="1021"/>
      <c r="AK207" s="1021"/>
      <c r="AL207" s="1021"/>
      <c r="AM207" s="1021"/>
      <c r="AN207" s="1021"/>
      <c r="AO207" s="1021"/>
      <c r="AP207" s="1021"/>
      <c r="AQ207" s="1021"/>
      <c r="AR207" s="1021"/>
      <c r="AS207" s="1021"/>
      <c r="AT207" s="1021"/>
      <c r="AU207" s="1021"/>
      <c r="AV207" s="1021"/>
      <c r="AW207" s="1021"/>
      <c r="AX207" s="1021"/>
      <c r="AY207" s="1021"/>
      <c r="AZ207" s="1021"/>
      <c r="BA207" s="1021"/>
      <c r="BB207" s="1021"/>
      <c r="BC207" s="1021"/>
      <c r="BD207" s="1021"/>
      <c r="BE207" s="1021"/>
      <c r="BF207" s="1021"/>
      <c r="BG207" s="1021"/>
      <c r="BH207" s="1021"/>
      <c r="BI207" s="1021"/>
      <c r="BJ207" s="1021"/>
      <c r="BK207" s="1021"/>
      <c r="BL207" s="1021"/>
      <c r="BM207" s="1021"/>
      <c r="BN207" s="1021"/>
      <c r="BO207" s="1021"/>
      <c r="BP207" s="1021"/>
      <c r="BQ207" s="1021"/>
      <c r="BR207" s="1021"/>
      <c r="BS207" s="1021"/>
      <c r="BT207" s="1021"/>
      <c r="BU207" s="1021"/>
      <c r="BV207" s="1021"/>
      <c r="BW207" s="1021"/>
      <c r="BX207" s="1021"/>
      <c r="BY207" s="1021"/>
      <c r="BZ207" s="1021"/>
      <c r="CA207" s="1021"/>
      <c r="CB207" s="1021"/>
      <c r="CC207" s="1021"/>
    </row>
    <row r="208" spans="8:81" x14ac:dyDescent="0.25">
      <c r="H208" s="1021"/>
      <c r="I208" s="1021"/>
      <c r="J208" s="1021"/>
      <c r="K208" s="1021"/>
      <c r="L208" s="1021"/>
      <c r="M208" s="1021"/>
      <c r="N208" s="1021"/>
      <c r="O208" s="1021"/>
      <c r="P208" s="1021"/>
      <c r="Q208" s="1021"/>
      <c r="R208" s="1021"/>
      <c r="S208" s="1021"/>
      <c r="T208" s="1021"/>
      <c r="U208" s="1021"/>
      <c r="V208" s="1021"/>
      <c r="W208" s="1021"/>
      <c r="X208" s="1021"/>
      <c r="Y208" s="1021"/>
      <c r="Z208" s="1021"/>
      <c r="AA208" s="1021"/>
      <c r="AB208" s="1021"/>
      <c r="AC208" s="1021"/>
      <c r="AD208" s="1021"/>
      <c r="AE208" s="1021"/>
      <c r="AF208" s="1021"/>
      <c r="AG208" s="1021"/>
      <c r="AH208" s="1021"/>
      <c r="AI208" s="1021"/>
      <c r="AJ208" s="1021"/>
      <c r="AK208" s="1021"/>
      <c r="AL208" s="1021"/>
      <c r="AM208" s="1021"/>
      <c r="AN208" s="1021"/>
      <c r="AO208" s="1021"/>
      <c r="AP208" s="1021"/>
      <c r="AQ208" s="1021"/>
      <c r="AR208" s="1021"/>
      <c r="AS208" s="1021"/>
      <c r="AT208" s="1021"/>
      <c r="AU208" s="1021"/>
      <c r="AV208" s="1021"/>
      <c r="AW208" s="1021"/>
      <c r="AX208" s="1021"/>
      <c r="AY208" s="1021"/>
      <c r="AZ208" s="1021"/>
      <c r="BA208" s="1021"/>
      <c r="BB208" s="1021"/>
      <c r="BC208" s="1021"/>
      <c r="BD208" s="1021"/>
      <c r="BE208" s="1021"/>
      <c r="BF208" s="1021"/>
      <c r="BG208" s="1021"/>
      <c r="BH208" s="1021"/>
      <c r="BI208" s="1021"/>
      <c r="BJ208" s="1021"/>
      <c r="BK208" s="1021"/>
      <c r="BL208" s="1021"/>
      <c r="BM208" s="1021"/>
      <c r="BN208" s="1021"/>
      <c r="BO208" s="1021"/>
      <c r="BP208" s="1021"/>
      <c r="BQ208" s="1021"/>
      <c r="BR208" s="1021"/>
      <c r="BS208" s="1021"/>
      <c r="BT208" s="1021"/>
      <c r="BU208" s="1021"/>
      <c r="BV208" s="1021"/>
      <c r="BW208" s="1021"/>
      <c r="BX208" s="1021"/>
      <c r="BY208" s="1021"/>
      <c r="BZ208" s="1021"/>
      <c r="CA208" s="1021"/>
      <c r="CB208" s="1021"/>
      <c r="CC208" s="1021"/>
    </row>
    <row r="209" spans="8:81" x14ac:dyDescent="0.25">
      <c r="H209" s="1021"/>
      <c r="I209" s="1021"/>
      <c r="J209" s="1021"/>
      <c r="K209" s="1021"/>
      <c r="L209" s="1021"/>
      <c r="M209" s="1021"/>
      <c r="N209" s="1021"/>
      <c r="O209" s="1021"/>
      <c r="P209" s="1021"/>
      <c r="Q209" s="1021"/>
      <c r="R209" s="1021"/>
      <c r="S209" s="1021"/>
      <c r="T209" s="1021"/>
      <c r="U209" s="1021"/>
      <c r="V209" s="1021"/>
      <c r="W209" s="1021"/>
      <c r="X209" s="1021"/>
      <c r="Y209" s="1021"/>
      <c r="Z209" s="1021"/>
      <c r="AA209" s="1021"/>
      <c r="AB209" s="1021"/>
      <c r="AC209" s="1021"/>
      <c r="AD209" s="1021"/>
      <c r="AE209" s="1021"/>
      <c r="AF209" s="1021"/>
      <c r="AG209" s="1021"/>
      <c r="AH209" s="1021"/>
      <c r="AI209" s="1021"/>
      <c r="AJ209" s="1021"/>
      <c r="AK209" s="1021"/>
      <c r="AL209" s="1021"/>
      <c r="AM209" s="1021"/>
      <c r="AN209" s="1021"/>
      <c r="AO209" s="1021"/>
      <c r="AP209" s="1021"/>
      <c r="AQ209" s="1021"/>
      <c r="AR209" s="1021"/>
      <c r="AS209" s="1021"/>
      <c r="AT209" s="1021"/>
      <c r="AU209" s="1021"/>
      <c r="AV209" s="1021"/>
      <c r="AW209" s="1021"/>
      <c r="AX209" s="1021"/>
      <c r="AY209" s="1021"/>
      <c r="AZ209" s="1021"/>
      <c r="BA209" s="1021"/>
      <c r="BB209" s="1021"/>
      <c r="BC209" s="1021"/>
      <c r="BD209" s="1021"/>
      <c r="BE209" s="1021"/>
      <c r="BF209" s="1021"/>
      <c r="BG209" s="1021"/>
      <c r="BH209" s="1021"/>
      <c r="BI209" s="1021"/>
      <c r="BJ209" s="1021"/>
      <c r="BK209" s="1021"/>
      <c r="BL209" s="1021"/>
      <c r="BM209" s="1021"/>
      <c r="BN209" s="1021"/>
      <c r="BO209" s="1021"/>
      <c r="BP209" s="1021"/>
      <c r="BQ209" s="1021"/>
      <c r="BR209" s="1021"/>
      <c r="BS209" s="1021"/>
      <c r="BT209" s="1021"/>
      <c r="BU209" s="1021"/>
      <c r="BV209" s="1021"/>
      <c r="BW209" s="1021"/>
      <c r="BX209" s="1021"/>
      <c r="BY209" s="1021"/>
      <c r="BZ209" s="1021"/>
      <c r="CA209" s="1021"/>
      <c r="CB209" s="1021"/>
      <c r="CC209" s="1021"/>
    </row>
    <row r="210" spans="8:81" x14ac:dyDescent="0.25">
      <c r="H210" s="1021"/>
      <c r="I210" s="1021"/>
      <c r="J210" s="1021"/>
      <c r="K210" s="1021"/>
      <c r="L210" s="1021"/>
      <c r="M210" s="1021"/>
      <c r="N210" s="1021"/>
      <c r="O210" s="1021"/>
      <c r="P210" s="1021"/>
      <c r="Q210" s="1021"/>
      <c r="R210" s="1021"/>
      <c r="S210" s="1021"/>
      <c r="T210" s="1021"/>
      <c r="U210" s="1021"/>
      <c r="V210" s="1021"/>
      <c r="W210" s="1021"/>
      <c r="X210" s="1021"/>
      <c r="Y210" s="1021"/>
      <c r="Z210" s="1021"/>
      <c r="AA210" s="1021"/>
      <c r="AB210" s="1021"/>
      <c r="AC210" s="1021"/>
      <c r="AD210" s="1021"/>
      <c r="AE210" s="1021"/>
      <c r="AF210" s="1021"/>
      <c r="AG210" s="1021"/>
      <c r="AH210" s="1021"/>
      <c r="AI210" s="1021"/>
      <c r="AJ210" s="1021"/>
      <c r="AK210" s="1021"/>
      <c r="AL210" s="1021"/>
      <c r="AM210" s="1021"/>
      <c r="AN210" s="1021"/>
      <c r="AO210" s="1021"/>
      <c r="AP210" s="1021"/>
      <c r="AQ210" s="1021"/>
      <c r="AR210" s="1021"/>
      <c r="AS210" s="1021"/>
      <c r="AT210" s="1021"/>
      <c r="AU210" s="1021"/>
      <c r="AV210" s="1021"/>
      <c r="AW210" s="1021"/>
      <c r="AX210" s="1021"/>
      <c r="AY210" s="1021"/>
      <c r="AZ210" s="1021"/>
      <c r="BA210" s="1021"/>
      <c r="BB210" s="1021"/>
      <c r="BC210" s="1021"/>
      <c r="BD210" s="1021"/>
      <c r="BE210" s="1021"/>
      <c r="BF210" s="1021"/>
      <c r="BG210" s="1021"/>
      <c r="BH210" s="1021"/>
      <c r="BI210" s="1021"/>
      <c r="BJ210" s="1021"/>
      <c r="BK210" s="1021"/>
      <c r="BL210" s="1021"/>
      <c r="BM210" s="1021"/>
      <c r="BN210" s="1021"/>
      <c r="BO210" s="1021"/>
      <c r="BP210" s="1021"/>
      <c r="BQ210" s="1021"/>
      <c r="BR210" s="1021"/>
      <c r="BS210" s="1021"/>
      <c r="BT210" s="1021"/>
      <c r="BU210" s="1021"/>
      <c r="BV210" s="1021"/>
      <c r="BW210" s="1021"/>
      <c r="BX210" s="1021"/>
      <c r="BY210" s="1021"/>
      <c r="BZ210" s="1021"/>
      <c r="CA210" s="1021"/>
      <c r="CB210" s="1021"/>
      <c r="CC210" s="1021"/>
    </row>
    <row r="211" spans="8:81" x14ac:dyDescent="0.25">
      <c r="H211" s="1021"/>
      <c r="I211" s="1021"/>
      <c r="J211" s="1021"/>
      <c r="K211" s="1021"/>
      <c r="L211" s="1021"/>
      <c r="M211" s="1021"/>
      <c r="N211" s="1021"/>
      <c r="O211" s="1021"/>
      <c r="P211" s="1021"/>
      <c r="Q211" s="1021"/>
      <c r="R211" s="1021"/>
      <c r="S211" s="1021"/>
      <c r="T211" s="1021"/>
      <c r="U211" s="1021"/>
      <c r="V211" s="1021"/>
      <c r="W211" s="1021"/>
      <c r="X211" s="1021"/>
      <c r="Y211" s="1021"/>
      <c r="Z211" s="1021"/>
      <c r="AA211" s="1021"/>
      <c r="AB211" s="1021"/>
      <c r="AC211" s="1021"/>
      <c r="AD211" s="1021"/>
      <c r="AE211" s="1021"/>
      <c r="AF211" s="1021"/>
      <c r="AG211" s="1021"/>
      <c r="AH211" s="1021"/>
      <c r="AI211" s="1021"/>
      <c r="AJ211" s="1021"/>
      <c r="AK211" s="1021"/>
      <c r="AL211" s="1021"/>
      <c r="AM211" s="1021"/>
      <c r="AN211" s="1021"/>
      <c r="AO211" s="1021"/>
      <c r="AP211" s="1021"/>
      <c r="AQ211" s="1021"/>
      <c r="AR211" s="1021"/>
      <c r="AS211" s="1021"/>
      <c r="AT211" s="1021"/>
      <c r="AU211" s="1021"/>
      <c r="AV211" s="1021"/>
      <c r="AW211" s="1021"/>
      <c r="AX211" s="1021"/>
      <c r="AY211" s="1021"/>
      <c r="AZ211" s="1021"/>
      <c r="BA211" s="1021"/>
      <c r="BB211" s="1021"/>
      <c r="BC211" s="1021"/>
      <c r="BD211" s="1021"/>
      <c r="BE211" s="1021"/>
      <c r="BF211" s="1021"/>
      <c r="BG211" s="1021"/>
      <c r="BH211" s="1021"/>
      <c r="BI211" s="1021"/>
      <c r="BJ211" s="1021"/>
      <c r="BK211" s="1021"/>
      <c r="BL211" s="1021"/>
      <c r="BM211" s="1021"/>
      <c r="BN211" s="1021"/>
      <c r="BO211" s="1021"/>
      <c r="BP211" s="1021"/>
      <c r="BQ211" s="1021"/>
      <c r="BR211" s="1021"/>
      <c r="BS211" s="1021"/>
      <c r="BT211" s="1021"/>
      <c r="BU211" s="1021"/>
      <c r="BV211" s="1021"/>
      <c r="BW211" s="1021"/>
      <c r="BX211" s="1021"/>
      <c r="BY211" s="1021"/>
      <c r="BZ211" s="1021"/>
      <c r="CA211" s="1021"/>
      <c r="CB211" s="1021"/>
      <c r="CC211" s="1021"/>
    </row>
    <row r="212" spans="8:81" x14ac:dyDescent="0.25">
      <c r="H212" s="1021"/>
      <c r="I212" s="1021"/>
      <c r="J212" s="1021"/>
      <c r="K212" s="1021"/>
      <c r="L212" s="1021"/>
      <c r="M212" s="1021"/>
      <c r="N212" s="1021"/>
      <c r="O212" s="1021"/>
      <c r="P212" s="1021"/>
      <c r="Q212" s="1021"/>
      <c r="R212" s="1021"/>
      <c r="S212" s="1021"/>
      <c r="T212" s="1021"/>
      <c r="U212" s="1021"/>
      <c r="V212" s="1021"/>
      <c r="W212" s="1021"/>
      <c r="X212" s="1021"/>
      <c r="Y212" s="1021"/>
      <c r="Z212" s="1021"/>
      <c r="AA212" s="1021"/>
      <c r="AB212" s="1021"/>
      <c r="AC212" s="1021"/>
      <c r="AD212" s="1021"/>
      <c r="AE212" s="1021"/>
      <c r="AF212" s="1021"/>
      <c r="AG212" s="1021"/>
      <c r="AH212" s="1021"/>
      <c r="AI212" s="1021"/>
      <c r="AJ212" s="1021"/>
      <c r="AK212" s="1021"/>
      <c r="AL212" s="1021"/>
      <c r="AM212" s="1021"/>
      <c r="AN212" s="1021"/>
      <c r="AO212" s="1021"/>
      <c r="AP212" s="1021"/>
      <c r="AQ212" s="1021"/>
      <c r="AR212" s="1021"/>
      <c r="AS212" s="1021"/>
      <c r="AT212" s="1021"/>
      <c r="AU212" s="1021"/>
      <c r="AV212" s="1021"/>
      <c r="AW212" s="1021"/>
      <c r="AX212" s="1021"/>
      <c r="AY212" s="1021"/>
      <c r="AZ212" s="1021"/>
      <c r="BA212" s="1021"/>
      <c r="BB212" s="1021"/>
      <c r="BC212" s="1021"/>
      <c r="BD212" s="1021"/>
      <c r="BE212" s="1021"/>
      <c r="BF212" s="1021"/>
      <c r="BG212" s="1021"/>
      <c r="BH212" s="1021"/>
      <c r="BI212" s="1021"/>
      <c r="BJ212" s="1021"/>
      <c r="BK212" s="1021"/>
      <c r="BL212" s="1021"/>
      <c r="BM212" s="1021"/>
      <c r="BN212" s="1021"/>
      <c r="BO212" s="1021"/>
      <c r="BP212" s="1021"/>
      <c r="BQ212" s="1021"/>
      <c r="BR212" s="1021"/>
      <c r="BS212" s="1021"/>
      <c r="BT212" s="1021"/>
      <c r="BU212" s="1021"/>
      <c r="BV212" s="1021"/>
      <c r="BW212" s="1021"/>
      <c r="BX212" s="1021"/>
      <c r="BY212" s="1021"/>
      <c r="BZ212" s="1021"/>
      <c r="CA212" s="1021"/>
      <c r="CB212" s="1021"/>
      <c r="CC212" s="1021"/>
    </row>
    <row r="213" spans="8:81" x14ac:dyDescent="0.25">
      <c r="H213" s="1021"/>
      <c r="I213" s="1021"/>
      <c r="J213" s="1021"/>
      <c r="K213" s="1021"/>
      <c r="L213" s="1021"/>
      <c r="M213" s="1021"/>
      <c r="N213" s="1021"/>
      <c r="O213" s="1021"/>
      <c r="P213" s="1021"/>
      <c r="Q213" s="1021"/>
      <c r="R213" s="1021"/>
      <c r="S213" s="1021"/>
      <c r="T213" s="1021"/>
      <c r="U213" s="1021"/>
      <c r="V213" s="1021"/>
      <c r="W213" s="1021"/>
      <c r="X213" s="1021"/>
      <c r="Y213" s="1021"/>
      <c r="Z213" s="1021"/>
      <c r="AA213" s="1021"/>
      <c r="AB213" s="1021"/>
      <c r="AC213" s="1021"/>
      <c r="AD213" s="1021"/>
      <c r="AE213" s="1021"/>
      <c r="AF213" s="1021"/>
      <c r="AG213" s="1021"/>
      <c r="AH213" s="1021"/>
      <c r="AI213" s="1021"/>
      <c r="AJ213" s="1021"/>
      <c r="AK213" s="1021"/>
      <c r="AL213" s="1021"/>
      <c r="AM213" s="1021"/>
      <c r="AN213" s="1021"/>
      <c r="AO213" s="1021"/>
      <c r="AP213" s="1021"/>
      <c r="AQ213" s="1021"/>
      <c r="AR213" s="1021"/>
      <c r="AS213" s="1021"/>
      <c r="AT213" s="1021"/>
      <c r="AU213" s="1021"/>
      <c r="AV213" s="1021"/>
      <c r="AW213" s="1021"/>
      <c r="AX213" s="1021"/>
      <c r="AY213" s="1021"/>
      <c r="AZ213" s="1021"/>
      <c r="BA213" s="1021"/>
      <c r="BB213" s="1021"/>
      <c r="BC213" s="1021"/>
      <c r="BD213" s="1021"/>
      <c r="BE213" s="1021"/>
      <c r="BF213" s="1021"/>
      <c r="BG213" s="1021"/>
      <c r="BH213" s="1021"/>
      <c r="BI213" s="1021"/>
      <c r="BJ213" s="1021"/>
      <c r="BK213" s="1021"/>
      <c r="BL213" s="1021"/>
      <c r="BM213" s="1021"/>
      <c r="BN213" s="1021"/>
      <c r="BO213" s="1021"/>
      <c r="BP213" s="1021"/>
      <c r="BQ213" s="1021"/>
      <c r="BR213" s="1021"/>
      <c r="BS213" s="1021"/>
      <c r="BT213" s="1021"/>
      <c r="BU213" s="1021"/>
      <c r="BV213" s="1021"/>
      <c r="BW213" s="1021"/>
      <c r="BX213" s="1021"/>
      <c r="BY213" s="1021"/>
      <c r="BZ213" s="1021"/>
      <c r="CA213" s="1021"/>
      <c r="CB213" s="1021"/>
      <c r="CC213" s="1021"/>
    </row>
    <row r="214" spans="8:81" x14ac:dyDescent="0.25">
      <c r="H214" s="1021"/>
      <c r="I214" s="1021"/>
      <c r="J214" s="1021"/>
      <c r="K214" s="1021"/>
      <c r="L214" s="1021"/>
      <c r="M214" s="1021"/>
      <c r="N214" s="1021"/>
      <c r="O214" s="1021"/>
      <c r="P214" s="1021"/>
      <c r="Q214" s="1021"/>
      <c r="R214" s="1021"/>
      <c r="S214" s="1021"/>
      <c r="T214" s="1021"/>
      <c r="U214" s="1021"/>
      <c r="V214" s="1021"/>
      <c r="W214" s="1021"/>
      <c r="X214" s="1021"/>
      <c r="Y214" s="1021"/>
      <c r="Z214" s="1021"/>
      <c r="AA214" s="1021"/>
      <c r="AB214" s="1021"/>
      <c r="AC214" s="1021"/>
      <c r="AD214" s="1021"/>
      <c r="AE214" s="1021"/>
      <c r="AF214" s="1021"/>
      <c r="AG214" s="1021"/>
      <c r="AH214" s="1021"/>
      <c r="AI214" s="1021"/>
      <c r="AJ214" s="1021"/>
      <c r="AK214" s="1021"/>
      <c r="AL214" s="1021"/>
      <c r="AM214" s="1021"/>
      <c r="AN214" s="1021"/>
      <c r="AO214" s="1021"/>
      <c r="AP214" s="1021"/>
      <c r="AQ214" s="1021"/>
      <c r="AR214" s="1021"/>
      <c r="AS214" s="1021"/>
      <c r="AT214" s="1021"/>
      <c r="AU214" s="1021"/>
      <c r="AV214" s="1021"/>
      <c r="AW214" s="1021"/>
      <c r="AX214" s="1021"/>
      <c r="AY214" s="1021"/>
      <c r="AZ214" s="1021"/>
      <c r="BA214" s="1021"/>
      <c r="BB214" s="1021"/>
      <c r="BC214" s="1021"/>
      <c r="BD214" s="1021"/>
      <c r="BE214" s="1021"/>
      <c r="BF214" s="1021"/>
      <c r="BG214" s="1021"/>
      <c r="BH214" s="1021"/>
      <c r="BI214" s="1021"/>
      <c r="BJ214" s="1021"/>
      <c r="BK214" s="1021"/>
      <c r="BL214" s="1021"/>
      <c r="BM214" s="1021"/>
      <c r="BN214" s="1021"/>
      <c r="BO214" s="1021"/>
      <c r="BP214" s="1021"/>
      <c r="BQ214" s="1021"/>
      <c r="BR214" s="1021"/>
      <c r="BS214" s="1021"/>
      <c r="BT214" s="1021"/>
      <c r="BU214" s="1021"/>
      <c r="BV214" s="1021"/>
      <c r="BW214" s="1021"/>
      <c r="BX214" s="1021"/>
      <c r="BY214" s="1021"/>
      <c r="BZ214" s="1021"/>
      <c r="CA214" s="1021"/>
      <c r="CB214" s="1021"/>
      <c r="CC214" s="1021"/>
    </row>
    <row r="215" spans="8:81" x14ac:dyDescent="0.25">
      <c r="H215" s="1021"/>
      <c r="I215" s="1021"/>
      <c r="J215" s="1021"/>
      <c r="K215" s="1021"/>
      <c r="L215" s="1021"/>
      <c r="M215" s="1021"/>
      <c r="N215" s="1021"/>
      <c r="O215" s="1021"/>
      <c r="P215" s="1021"/>
      <c r="Q215" s="1021"/>
      <c r="R215" s="1021"/>
      <c r="S215" s="1021"/>
      <c r="T215" s="1021"/>
      <c r="U215" s="1021"/>
      <c r="V215" s="1021"/>
      <c r="W215" s="1021"/>
      <c r="X215" s="1021"/>
      <c r="Y215" s="1021"/>
      <c r="Z215" s="1021"/>
      <c r="AA215" s="1021"/>
      <c r="AB215" s="1021"/>
      <c r="AC215" s="1021"/>
      <c r="AD215" s="1021"/>
      <c r="AE215" s="1021"/>
      <c r="AF215" s="1021"/>
      <c r="AG215" s="1021"/>
      <c r="AH215" s="1021"/>
      <c r="AI215" s="1021"/>
      <c r="AJ215" s="1021"/>
      <c r="AK215" s="1021"/>
      <c r="AL215" s="1021"/>
      <c r="AM215" s="1021"/>
      <c r="AN215" s="1021"/>
      <c r="AO215" s="1021"/>
      <c r="AP215" s="1021"/>
      <c r="AQ215" s="1021"/>
      <c r="AR215" s="1021"/>
      <c r="AS215" s="1021"/>
      <c r="AT215" s="1021"/>
      <c r="AU215" s="1021"/>
      <c r="AV215" s="1021"/>
      <c r="AW215" s="1021"/>
      <c r="AX215" s="1021"/>
      <c r="AY215" s="1021"/>
      <c r="AZ215" s="1021"/>
      <c r="BA215" s="1021"/>
      <c r="BB215" s="1021"/>
      <c r="BC215" s="1021"/>
      <c r="BD215" s="1021"/>
      <c r="BE215" s="1021"/>
      <c r="BF215" s="1021"/>
      <c r="BG215" s="1021"/>
      <c r="BH215" s="1021"/>
      <c r="BI215" s="1021"/>
      <c r="BJ215" s="1021"/>
      <c r="BK215" s="1021"/>
      <c r="BL215" s="1021"/>
      <c r="BM215" s="1021"/>
      <c r="BN215" s="1021"/>
      <c r="BO215" s="1021"/>
      <c r="BP215" s="1021"/>
      <c r="BQ215" s="1021"/>
      <c r="BR215" s="1021"/>
      <c r="BS215" s="1021"/>
      <c r="BT215" s="1021"/>
      <c r="BU215" s="1021"/>
      <c r="BV215" s="1021"/>
      <c r="BW215" s="1021"/>
      <c r="BX215" s="1021"/>
      <c r="BY215" s="1021"/>
      <c r="BZ215" s="1021"/>
      <c r="CA215" s="1021"/>
      <c r="CB215" s="1021"/>
      <c r="CC215" s="1021"/>
    </row>
    <row r="216" spans="8:81" x14ac:dyDescent="0.25">
      <c r="H216" s="1021"/>
      <c r="I216" s="1021"/>
      <c r="J216" s="1021"/>
      <c r="K216" s="1021"/>
      <c r="L216" s="1021"/>
      <c r="M216" s="1021"/>
      <c r="N216" s="1021"/>
      <c r="O216" s="1021"/>
      <c r="P216" s="1021"/>
      <c r="Q216" s="1021"/>
      <c r="R216" s="1021"/>
      <c r="S216" s="1021"/>
      <c r="T216" s="1021"/>
      <c r="U216" s="1021"/>
      <c r="V216" s="1021"/>
      <c r="W216" s="1021"/>
      <c r="X216" s="1021"/>
      <c r="Y216" s="1021"/>
      <c r="Z216" s="1021"/>
      <c r="AA216" s="1021"/>
      <c r="AB216" s="1021"/>
      <c r="AC216" s="1021"/>
      <c r="AD216" s="1021"/>
      <c r="AE216" s="1021"/>
      <c r="AF216" s="1021"/>
      <c r="AG216" s="1021"/>
      <c r="AH216" s="1021"/>
      <c r="AI216" s="1021"/>
      <c r="AJ216" s="1021"/>
      <c r="AK216" s="1021"/>
      <c r="AL216" s="1021"/>
      <c r="AM216" s="1021"/>
      <c r="AN216" s="1021"/>
      <c r="AO216" s="1021"/>
      <c r="AP216" s="1021"/>
      <c r="AQ216" s="1021"/>
      <c r="AR216" s="1021"/>
      <c r="AS216" s="1021"/>
      <c r="AT216" s="1021"/>
      <c r="AU216" s="1021"/>
      <c r="AV216" s="1021"/>
      <c r="AW216" s="1021"/>
      <c r="AX216" s="1021"/>
      <c r="AY216" s="1021"/>
      <c r="AZ216" s="1021"/>
      <c r="BA216" s="1021"/>
      <c r="BB216" s="1021"/>
      <c r="BC216" s="1021"/>
      <c r="BD216" s="1021"/>
      <c r="BE216" s="1021"/>
      <c r="BF216" s="1021"/>
      <c r="BG216" s="1021"/>
      <c r="BH216" s="1021"/>
      <c r="BI216" s="1021"/>
      <c r="BJ216" s="1021"/>
      <c r="BK216" s="1021"/>
      <c r="BL216" s="1021"/>
      <c r="BM216" s="1021"/>
      <c r="BN216" s="1021"/>
      <c r="BO216" s="1021"/>
      <c r="BP216" s="1021"/>
      <c r="BQ216" s="1021"/>
      <c r="BR216" s="1021"/>
      <c r="BS216" s="1021"/>
      <c r="BT216" s="1021"/>
      <c r="BU216" s="1021"/>
      <c r="BV216" s="1021"/>
      <c r="BW216" s="1021"/>
      <c r="BX216" s="1021"/>
      <c r="BY216" s="1021"/>
      <c r="BZ216" s="1021"/>
      <c r="CA216" s="1021"/>
      <c r="CB216" s="1021"/>
      <c r="CC216" s="1021"/>
    </row>
    <row r="217" spans="8:81" x14ac:dyDescent="0.25">
      <c r="H217" s="1021"/>
      <c r="I217" s="1021"/>
      <c r="J217" s="1021"/>
      <c r="K217" s="1021"/>
      <c r="L217" s="1021"/>
      <c r="M217" s="1021"/>
      <c r="N217" s="1021"/>
      <c r="O217" s="1021"/>
      <c r="P217" s="1021"/>
      <c r="Q217" s="1021"/>
      <c r="R217" s="1021"/>
      <c r="S217" s="1021"/>
      <c r="T217" s="1021"/>
      <c r="U217" s="1021"/>
      <c r="V217" s="1021"/>
      <c r="W217" s="1021"/>
      <c r="X217" s="1021"/>
      <c r="Y217" s="1021"/>
      <c r="Z217" s="1021"/>
      <c r="AA217" s="1021"/>
      <c r="AB217" s="1021"/>
      <c r="AC217" s="1021"/>
      <c r="AD217" s="1021"/>
      <c r="AE217" s="1021"/>
      <c r="AF217" s="1021"/>
      <c r="AG217" s="1021"/>
      <c r="AH217" s="1021"/>
      <c r="AI217" s="1021"/>
      <c r="AJ217" s="1021"/>
      <c r="AK217" s="1021"/>
      <c r="AL217" s="1021"/>
      <c r="AM217" s="1021"/>
      <c r="AN217" s="1021"/>
      <c r="AO217" s="1021"/>
      <c r="AP217" s="1021"/>
      <c r="AQ217" s="1021"/>
      <c r="AR217" s="1021"/>
      <c r="AS217" s="1021"/>
      <c r="AT217" s="1021"/>
      <c r="AU217" s="1021"/>
      <c r="AV217" s="1021"/>
      <c r="AW217" s="1021"/>
      <c r="AX217" s="1021"/>
      <c r="AY217" s="1021"/>
      <c r="AZ217" s="1021"/>
      <c r="BA217" s="1021"/>
      <c r="BB217" s="1021"/>
      <c r="BC217" s="1021"/>
      <c r="BD217" s="1021"/>
      <c r="BE217" s="1021"/>
      <c r="BF217" s="1021"/>
      <c r="BG217" s="1021"/>
      <c r="BH217" s="1021"/>
      <c r="BI217" s="1021"/>
      <c r="BJ217" s="1021"/>
      <c r="BK217" s="1021"/>
      <c r="BL217" s="1021"/>
      <c r="BM217" s="1021"/>
      <c r="BN217" s="1021"/>
      <c r="BO217" s="1021"/>
      <c r="BP217" s="1021"/>
      <c r="BQ217" s="1021"/>
      <c r="BR217" s="1021"/>
      <c r="BS217" s="1021"/>
      <c r="BT217" s="1021"/>
      <c r="BU217" s="1021"/>
      <c r="BV217" s="1021"/>
      <c r="BW217" s="1021"/>
      <c r="BX217" s="1021"/>
      <c r="BY217" s="1021"/>
      <c r="BZ217" s="1021"/>
      <c r="CA217" s="1021"/>
      <c r="CB217" s="1021"/>
      <c r="CC217" s="1021"/>
    </row>
    <row r="218" spans="8:81" x14ac:dyDescent="0.25">
      <c r="H218" s="1021"/>
      <c r="I218" s="1021"/>
      <c r="J218" s="1021"/>
      <c r="K218" s="1021"/>
      <c r="L218" s="1021"/>
      <c r="M218" s="1021"/>
      <c r="N218" s="1021"/>
      <c r="O218" s="1021"/>
      <c r="P218" s="1021"/>
      <c r="Q218" s="1021"/>
      <c r="R218" s="1021"/>
      <c r="S218" s="1021"/>
      <c r="T218" s="1021"/>
      <c r="U218" s="1021"/>
      <c r="V218" s="1021"/>
      <c r="W218" s="1021"/>
      <c r="X218" s="1021"/>
      <c r="Y218" s="1021"/>
      <c r="Z218" s="1021"/>
      <c r="AA218" s="1021"/>
      <c r="AB218" s="1021"/>
      <c r="AC218" s="1021"/>
      <c r="AD218" s="1021"/>
      <c r="AE218" s="1021"/>
      <c r="AF218" s="1021"/>
      <c r="AG218" s="1021"/>
      <c r="AH218" s="1021"/>
      <c r="AI218" s="1021"/>
      <c r="AJ218" s="1021"/>
      <c r="AK218" s="1021"/>
      <c r="AL218" s="1021"/>
      <c r="AM218" s="1021"/>
      <c r="AN218" s="1021"/>
      <c r="AO218" s="1021"/>
      <c r="AP218" s="1021"/>
      <c r="AQ218" s="1021"/>
      <c r="AR218" s="1021"/>
      <c r="AS218" s="1021"/>
      <c r="AT218" s="1021"/>
      <c r="AU218" s="1021"/>
      <c r="AV218" s="1021"/>
      <c r="AW218" s="1021"/>
      <c r="AX218" s="1021"/>
      <c r="AY218" s="1021"/>
      <c r="AZ218" s="1021"/>
      <c r="BA218" s="1021"/>
      <c r="BB218" s="1021"/>
      <c r="BC218" s="1021"/>
      <c r="BD218" s="1021"/>
      <c r="BE218" s="1021"/>
      <c r="BF218" s="1021"/>
      <c r="BG218" s="1021"/>
      <c r="BH218" s="1021"/>
      <c r="BI218" s="1021"/>
      <c r="BJ218" s="1021"/>
      <c r="BK218" s="1021"/>
      <c r="BL218" s="1021"/>
      <c r="BM218" s="1021"/>
      <c r="BN218" s="1021"/>
      <c r="BO218" s="1021"/>
      <c r="BP218" s="1021"/>
      <c r="BQ218" s="1021"/>
      <c r="BR218" s="1021"/>
      <c r="BS218" s="1021"/>
      <c r="BT218" s="1021"/>
      <c r="BU218" s="1021"/>
      <c r="BV218" s="1021"/>
      <c r="BW218" s="1021"/>
      <c r="BX218" s="1021"/>
      <c r="BY218" s="1021"/>
      <c r="BZ218" s="1021"/>
      <c r="CA218" s="1021"/>
      <c r="CB218" s="1021"/>
      <c r="CC218" s="1021"/>
    </row>
    <row r="219" spans="8:81" x14ac:dyDescent="0.25">
      <c r="H219" s="1021"/>
      <c r="I219" s="1021"/>
      <c r="J219" s="1021"/>
      <c r="K219" s="1021"/>
      <c r="L219" s="1021"/>
      <c r="M219" s="1021"/>
      <c r="N219" s="1021"/>
      <c r="O219" s="1021"/>
      <c r="P219" s="1021"/>
      <c r="Q219" s="1021"/>
      <c r="R219" s="1021"/>
      <c r="S219" s="1021"/>
      <c r="T219" s="1021"/>
      <c r="U219" s="1021"/>
      <c r="V219" s="1021"/>
      <c r="W219" s="1021"/>
      <c r="X219" s="1021"/>
      <c r="Y219" s="1021"/>
      <c r="Z219" s="1021"/>
      <c r="AA219" s="1021"/>
      <c r="AB219" s="1021"/>
      <c r="AC219" s="1021"/>
      <c r="AD219" s="1021"/>
      <c r="AE219" s="1021"/>
      <c r="AF219" s="1021"/>
      <c r="AG219" s="1021"/>
      <c r="AH219" s="1021"/>
      <c r="AI219" s="1021"/>
      <c r="AJ219" s="1021"/>
      <c r="AK219" s="1021"/>
      <c r="AL219" s="1021"/>
      <c r="AM219" s="1021"/>
      <c r="AN219" s="1021"/>
      <c r="AO219" s="1021"/>
      <c r="AP219" s="1021"/>
      <c r="AQ219" s="1021"/>
      <c r="AR219" s="1021"/>
      <c r="AS219" s="1021"/>
      <c r="AT219" s="1021"/>
      <c r="AU219" s="1021"/>
      <c r="AV219" s="1021"/>
      <c r="AW219" s="1021"/>
      <c r="AX219" s="1021"/>
      <c r="AY219" s="1021"/>
      <c r="AZ219" s="1021"/>
      <c r="BA219" s="1021"/>
      <c r="BB219" s="1021"/>
      <c r="BC219" s="1021"/>
      <c r="BD219" s="1021"/>
      <c r="BE219" s="1021"/>
      <c r="BF219" s="1021"/>
      <c r="BG219" s="1021"/>
      <c r="BH219" s="1021"/>
      <c r="BI219" s="1021"/>
      <c r="BJ219" s="1021"/>
      <c r="BK219" s="1021"/>
      <c r="BL219" s="1021"/>
      <c r="BM219" s="1021"/>
      <c r="BN219" s="1021"/>
      <c r="BO219" s="1021"/>
      <c r="BP219" s="1021"/>
      <c r="BQ219" s="1021"/>
      <c r="BR219" s="1021"/>
      <c r="BS219" s="1021"/>
      <c r="BT219" s="1021"/>
      <c r="BU219" s="1021"/>
      <c r="BV219" s="1021"/>
      <c r="BW219" s="1021"/>
      <c r="BX219" s="1021"/>
      <c r="BY219" s="1021"/>
      <c r="BZ219" s="1021"/>
      <c r="CA219" s="1021"/>
      <c r="CB219" s="1021"/>
      <c r="CC219" s="1021"/>
    </row>
    <row r="220" spans="8:81" x14ac:dyDescent="0.25">
      <c r="H220" s="1021"/>
      <c r="I220" s="1021"/>
      <c r="J220" s="1021"/>
      <c r="K220" s="1021"/>
      <c r="L220" s="1021"/>
      <c r="M220" s="1021"/>
      <c r="N220" s="1021"/>
      <c r="O220" s="1021"/>
      <c r="P220" s="1021"/>
      <c r="Q220" s="1021"/>
      <c r="R220" s="1021"/>
      <c r="S220" s="1021"/>
      <c r="T220" s="1021"/>
      <c r="U220" s="1021"/>
      <c r="V220" s="1021"/>
      <c r="W220" s="1021"/>
      <c r="X220" s="1021"/>
      <c r="Y220" s="1021"/>
      <c r="Z220" s="1021"/>
      <c r="AA220" s="1021"/>
      <c r="AB220" s="1021"/>
      <c r="AC220" s="1021"/>
      <c r="AD220" s="1021"/>
      <c r="AE220" s="1021"/>
      <c r="AF220" s="1021"/>
      <c r="AG220" s="1021"/>
      <c r="AH220" s="1021"/>
      <c r="AI220" s="1021"/>
      <c r="AJ220" s="1021"/>
      <c r="AK220" s="1021"/>
      <c r="AL220" s="1021"/>
      <c r="AM220" s="1021"/>
      <c r="AN220" s="1021"/>
      <c r="AO220" s="1021"/>
      <c r="AP220" s="1021"/>
      <c r="AQ220" s="1021"/>
      <c r="AR220" s="1021"/>
      <c r="AS220" s="1021"/>
      <c r="AT220" s="1021"/>
      <c r="AU220" s="1021"/>
      <c r="AV220" s="1021"/>
      <c r="AW220" s="1021"/>
      <c r="AX220" s="1021"/>
      <c r="AY220" s="1021"/>
      <c r="AZ220" s="1021"/>
      <c r="BA220" s="1021"/>
      <c r="BB220" s="1021"/>
      <c r="BC220" s="1021"/>
      <c r="BD220" s="1021"/>
      <c r="BE220" s="1021"/>
      <c r="BF220" s="1021"/>
      <c r="BG220" s="1021"/>
      <c r="BH220" s="1021"/>
      <c r="BI220" s="1021"/>
      <c r="BJ220" s="1021"/>
      <c r="BK220" s="1021"/>
      <c r="BL220" s="1021"/>
      <c r="BM220" s="1021"/>
      <c r="BN220" s="1021"/>
      <c r="BO220" s="1021"/>
      <c r="BP220" s="1021"/>
      <c r="BQ220" s="1021"/>
      <c r="BR220" s="1021"/>
      <c r="BS220" s="1021"/>
      <c r="BT220" s="1021"/>
      <c r="BU220" s="1021"/>
      <c r="BV220" s="1021"/>
      <c r="BW220" s="1021"/>
      <c r="BX220" s="1021"/>
      <c r="BY220" s="1021"/>
      <c r="BZ220" s="1021"/>
      <c r="CA220" s="1021"/>
      <c r="CB220" s="1021"/>
      <c r="CC220" s="1021"/>
    </row>
    <row r="221" spans="8:81" x14ac:dyDescent="0.25">
      <c r="H221" s="1021"/>
      <c r="I221" s="1021"/>
      <c r="J221" s="1021"/>
      <c r="K221" s="1021"/>
      <c r="L221" s="1021"/>
      <c r="M221" s="1021"/>
      <c r="N221" s="1021"/>
      <c r="O221" s="1021"/>
      <c r="P221" s="1021"/>
      <c r="Q221" s="1021"/>
      <c r="R221" s="1021"/>
      <c r="S221" s="1021"/>
      <c r="T221" s="1021"/>
      <c r="U221" s="1021"/>
      <c r="V221" s="1021"/>
      <c r="W221" s="1021"/>
      <c r="X221" s="1021"/>
      <c r="Y221" s="1021"/>
      <c r="Z221" s="1021"/>
      <c r="AA221" s="1021"/>
      <c r="AB221" s="1021"/>
      <c r="AC221" s="1021"/>
      <c r="AD221" s="1021"/>
      <c r="AE221" s="1021"/>
      <c r="AF221" s="1021"/>
      <c r="AG221" s="1021"/>
      <c r="AH221" s="1021"/>
      <c r="AI221" s="1021"/>
      <c r="AJ221" s="1021"/>
      <c r="AK221" s="1021"/>
      <c r="AL221" s="1021"/>
      <c r="AM221" s="1021"/>
      <c r="AN221" s="1021"/>
      <c r="AO221" s="1021"/>
      <c r="AP221" s="1021"/>
      <c r="AQ221" s="1021"/>
      <c r="AR221" s="1021"/>
      <c r="AS221" s="1021"/>
      <c r="AT221" s="1021"/>
      <c r="AU221" s="1021"/>
      <c r="AV221" s="1021"/>
      <c r="AW221" s="1021"/>
      <c r="AX221" s="1021"/>
      <c r="AY221" s="1021"/>
      <c r="AZ221" s="1021"/>
      <c r="BA221" s="1021"/>
      <c r="BB221" s="1021"/>
      <c r="BC221" s="1021"/>
      <c r="BD221" s="1021"/>
      <c r="BE221" s="1021"/>
      <c r="BF221" s="1021"/>
      <c r="BG221" s="1021"/>
      <c r="BH221" s="1021"/>
      <c r="BI221" s="1021"/>
      <c r="BJ221" s="1021"/>
      <c r="BK221" s="1021"/>
      <c r="BL221" s="1021"/>
      <c r="BM221" s="1021"/>
      <c r="BN221" s="1021"/>
      <c r="BO221" s="1021"/>
      <c r="BP221" s="1021"/>
      <c r="BQ221" s="1021"/>
      <c r="BR221" s="1021"/>
      <c r="BS221" s="1021"/>
      <c r="BT221" s="1021"/>
      <c r="BU221" s="1021"/>
      <c r="BV221" s="1021"/>
      <c r="BW221" s="1021"/>
      <c r="BX221" s="1021"/>
      <c r="BY221" s="1021"/>
      <c r="BZ221" s="1021"/>
      <c r="CA221" s="1021"/>
      <c r="CB221" s="1021"/>
      <c r="CC221" s="1021"/>
    </row>
    <row r="222" spans="8:81" x14ac:dyDescent="0.25">
      <c r="H222" s="1021"/>
      <c r="I222" s="1021"/>
      <c r="J222" s="1021"/>
      <c r="K222" s="1021"/>
      <c r="L222" s="1021"/>
      <c r="M222" s="1021"/>
      <c r="N222" s="1021"/>
      <c r="O222" s="1021"/>
      <c r="P222" s="1021"/>
      <c r="Q222" s="1021"/>
      <c r="R222" s="1021"/>
      <c r="S222" s="1021"/>
      <c r="T222" s="1021"/>
      <c r="U222" s="1021"/>
      <c r="V222" s="1021"/>
      <c r="W222" s="1021"/>
      <c r="X222" s="1021"/>
      <c r="Y222" s="1021"/>
      <c r="Z222" s="1021"/>
      <c r="AA222" s="1021"/>
      <c r="AB222" s="1021"/>
      <c r="AC222" s="1021"/>
      <c r="AD222" s="1021"/>
      <c r="AE222" s="1021"/>
      <c r="AF222" s="1021"/>
      <c r="AG222" s="1021"/>
      <c r="AH222" s="1021"/>
      <c r="AI222" s="1021"/>
      <c r="AJ222" s="1021"/>
      <c r="AK222" s="1021"/>
      <c r="AL222" s="1021"/>
      <c r="AM222" s="1021"/>
      <c r="AN222" s="1021"/>
      <c r="AO222" s="1021"/>
      <c r="AP222" s="1021"/>
      <c r="AQ222" s="1021"/>
      <c r="AR222" s="1021"/>
      <c r="AS222" s="1021"/>
      <c r="AT222" s="1021"/>
      <c r="AU222" s="1021"/>
      <c r="AV222" s="1021"/>
      <c r="AW222" s="1021"/>
      <c r="AX222" s="1021"/>
      <c r="AY222" s="1021"/>
      <c r="AZ222" s="1021"/>
      <c r="BA222" s="1021"/>
      <c r="BB222" s="1021"/>
      <c r="BC222" s="1021"/>
      <c r="BD222" s="1021"/>
      <c r="BE222" s="1021"/>
      <c r="BF222" s="1021"/>
      <c r="BG222" s="1021"/>
      <c r="BH222" s="1021"/>
      <c r="BI222" s="1021"/>
      <c r="BJ222" s="1021"/>
      <c r="BK222" s="1021"/>
      <c r="BL222" s="1021"/>
      <c r="BM222" s="1021"/>
      <c r="BN222" s="1021"/>
      <c r="BO222" s="1021"/>
      <c r="BP222" s="1021"/>
      <c r="BQ222" s="1021"/>
      <c r="BR222" s="1021"/>
      <c r="BS222" s="1021"/>
      <c r="BT222" s="1021"/>
      <c r="BU222" s="1021"/>
      <c r="BV222" s="1021"/>
      <c r="BW222" s="1021"/>
      <c r="BX222" s="1021"/>
      <c r="BY222" s="1021"/>
      <c r="BZ222" s="1021"/>
      <c r="CA222" s="1021"/>
      <c r="CB222" s="1021"/>
      <c r="CC222" s="1021"/>
    </row>
    <row r="223" spans="8:81" x14ac:dyDescent="0.25">
      <c r="H223" s="1021"/>
      <c r="I223" s="1021"/>
      <c r="J223" s="1021"/>
      <c r="K223" s="1021"/>
      <c r="L223" s="1021"/>
      <c r="M223" s="1021"/>
      <c r="N223" s="1021"/>
      <c r="O223" s="1021"/>
      <c r="P223" s="1021"/>
      <c r="Q223" s="1021"/>
      <c r="R223" s="1021"/>
      <c r="S223" s="1021"/>
      <c r="T223" s="1021"/>
      <c r="U223" s="1021"/>
      <c r="V223" s="1021"/>
      <c r="W223" s="1021"/>
      <c r="X223" s="1021"/>
      <c r="Y223" s="1021"/>
      <c r="Z223" s="1021"/>
      <c r="AA223" s="1021"/>
      <c r="AB223" s="1021"/>
      <c r="AC223" s="1021"/>
      <c r="AD223" s="1021"/>
      <c r="AE223" s="1021"/>
      <c r="AF223" s="1021"/>
      <c r="AG223" s="1021"/>
      <c r="AH223" s="1021"/>
      <c r="AI223" s="1021"/>
      <c r="AJ223" s="1021"/>
      <c r="AK223" s="1021"/>
      <c r="AL223" s="1021"/>
      <c r="AM223" s="1021"/>
      <c r="AN223" s="1021"/>
      <c r="AO223" s="1021"/>
      <c r="AP223" s="1021"/>
      <c r="AQ223" s="1021"/>
      <c r="AR223" s="1021"/>
      <c r="AS223" s="1021"/>
      <c r="AT223" s="1021"/>
      <c r="AU223" s="1021"/>
      <c r="AV223" s="1021"/>
      <c r="AW223" s="1021"/>
      <c r="AX223" s="1021"/>
      <c r="AY223" s="1021"/>
      <c r="AZ223" s="1021"/>
      <c r="BA223" s="1021"/>
      <c r="BB223" s="1021"/>
      <c r="BC223" s="1021"/>
      <c r="BD223" s="1021"/>
      <c r="BE223" s="1021"/>
      <c r="BF223" s="1021"/>
      <c r="BG223" s="1021"/>
      <c r="BH223" s="1021"/>
      <c r="BI223" s="1021"/>
      <c r="BJ223" s="1021"/>
      <c r="BK223" s="1021"/>
      <c r="BL223" s="1021"/>
      <c r="BM223" s="1021"/>
      <c r="BN223" s="1021"/>
      <c r="BO223" s="1021"/>
      <c r="BP223" s="1021"/>
      <c r="BQ223" s="1021"/>
      <c r="BR223" s="1021"/>
      <c r="BS223" s="1021"/>
      <c r="BT223" s="1021"/>
      <c r="BU223" s="1021"/>
      <c r="BV223" s="1021"/>
      <c r="BW223" s="1021"/>
      <c r="BX223" s="1021"/>
      <c r="BY223" s="1021"/>
      <c r="BZ223" s="1021"/>
      <c r="CA223" s="1021"/>
      <c r="CB223" s="1021"/>
      <c r="CC223" s="1021"/>
    </row>
    <row r="224" spans="8:81" x14ac:dyDescent="0.25">
      <c r="H224" s="1021"/>
      <c r="I224" s="1021"/>
      <c r="J224" s="1021"/>
      <c r="K224" s="1021"/>
      <c r="L224" s="1021"/>
      <c r="M224" s="1021"/>
      <c r="N224" s="1021"/>
      <c r="O224" s="1021"/>
      <c r="P224" s="1021"/>
      <c r="Q224" s="1021"/>
      <c r="R224" s="1021"/>
      <c r="S224" s="1021"/>
      <c r="T224" s="1021"/>
      <c r="U224" s="1021"/>
      <c r="V224" s="1021"/>
      <c r="W224" s="1021"/>
      <c r="X224" s="1021"/>
      <c r="Y224" s="1021"/>
      <c r="Z224" s="1021"/>
      <c r="AA224" s="1021"/>
      <c r="AB224" s="1021"/>
      <c r="AC224" s="1021"/>
      <c r="AD224" s="1021"/>
      <c r="AE224" s="1021"/>
      <c r="AF224" s="1021"/>
      <c r="AG224" s="1021"/>
      <c r="AH224" s="1021"/>
      <c r="AI224" s="1021"/>
      <c r="AJ224" s="1021"/>
      <c r="AK224" s="1021"/>
      <c r="AL224" s="1021"/>
      <c r="AM224" s="1021"/>
      <c r="AN224" s="1021"/>
      <c r="AO224" s="1021"/>
      <c r="AP224" s="1021"/>
      <c r="AQ224" s="1021"/>
      <c r="AR224" s="1021"/>
      <c r="AS224" s="1021"/>
      <c r="AT224" s="1021"/>
      <c r="AU224" s="1021"/>
      <c r="AV224" s="1021"/>
      <c r="AW224" s="1021"/>
      <c r="AX224" s="1021"/>
      <c r="AY224" s="1021"/>
      <c r="AZ224" s="1021"/>
      <c r="BA224" s="1021"/>
      <c r="BB224" s="1021"/>
      <c r="BC224" s="1021"/>
      <c r="BD224" s="1021"/>
      <c r="BE224" s="1021"/>
      <c r="BF224" s="1021"/>
      <c r="BG224" s="1021"/>
      <c r="BH224" s="1021"/>
      <c r="BI224" s="1021"/>
      <c r="BJ224" s="1021"/>
      <c r="BK224" s="1021"/>
      <c r="BL224" s="1021"/>
      <c r="BM224" s="1021"/>
      <c r="BN224" s="1021"/>
      <c r="BO224" s="1021"/>
      <c r="BP224" s="1021"/>
      <c r="BQ224" s="1021"/>
      <c r="BR224" s="1021"/>
      <c r="BS224" s="1021"/>
      <c r="BT224" s="1021"/>
      <c r="BU224" s="1021"/>
      <c r="BV224" s="1021"/>
      <c r="BW224" s="1021"/>
      <c r="BX224" s="1021"/>
      <c r="BY224" s="1021"/>
      <c r="BZ224" s="1021"/>
      <c r="CA224" s="1021"/>
      <c r="CB224" s="1021"/>
      <c r="CC224" s="1021"/>
    </row>
    <row r="225" spans="8:81" x14ac:dyDescent="0.25">
      <c r="H225" s="1021"/>
      <c r="I225" s="1021"/>
      <c r="J225" s="1021"/>
      <c r="K225" s="1021"/>
      <c r="L225" s="1021"/>
      <c r="M225" s="1021"/>
      <c r="N225" s="1021"/>
      <c r="O225" s="1021"/>
      <c r="P225" s="1021"/>
      <c r="Q225" s="1021"/>
      <c r="R225" s="1021"/>
      <c r="S225" s="1021"/>
      <c r="T225" s="1021"/>
      <c r="U225" s="1021"/>
      <c r="V225" s="1021"/>
      <c r="W225" s="1021"/>
      <c r="X225" s="1021"/>
      <c r="Y225" s="1021"/>
      <c r="Z225" s="1021"/>
      <c r="AA225" s="1021"/>
      <c r="AB225" s="1021"/>
      <c r="AC225" s="1021"/>
      <c r="AD225" s="1021"/>
      <c r="AE225" s="1021"/>
      <c r="AF225" s="1021"/>
      <c r="AG225" s="1021"/>
      <c r="AH225" s="1021"/>
      <c r="AI225" s="1021"/>
      <c r="AJ225" s="1021"/>
      <c r="AK225" s="1021"/>
      <c r="AL225" s="1021"/>
      <c r="AM225" s="1021"/>
      <c r="AN225" s="1021"/>
      <c r="AO225" s="1021"/>
      <c r="AP225" s="1021"/>
      <c r="AQ225" s="1021"/>
      <c r="AR225" s="1021"/>
      <c r="AS225" s="1021"/>
      <c r="AT225" s="1021"/>
      <c r="AU225" s="1021"/>
      <c r="AV225" s="1021"/>
      <c r="AW225" s="1021"/>
      <c r="AX225" s="1021"/>
      <c r="AY225" s="1021"/>
      <c r="AZ225" s="1021"/>
      <c r="BA225" s="1021"/>
      <c r="BB225" s="1021"/>
      <c r="BC225" s="1021"/>
      <c r="BD225" s="1021"/>
      <c r="BE225" s="1021"/>
      <c r="BF225" s="1021"/>
      <c r="BG225" s="1021"/>
      <c r="BH225" s="1021"/>
      <c r="BI225" s="1021"/>
      <c r="BJ225" s="1021"/>
      <c r="BK225" s="1021"/>
      <c r="BL225" s="1021"/>
      <c r="BM225" s="1021"/>
      <c r="BN225" s="1021"/>
      <c r="BO225" s="1021"/>
      <c r="BP225" s="1021"/>
      <c r="BQ225" s="1021"/>
      <c r="BR225" s="1021"/>
      <c r="BS225" s="1021"/>
      <c r="BT225" s="1021"/>
      <c r="BU225" s="1021"/>
      <c r="BV225" s="1021"/>
      <c r="BW225" s="1021"/>
      <c r="BX225" s="1021"/>
      <c r="BY225" s="1021"/>
      <c r="BZ225" s="1021"/>
      <c r="CA225" s="1021"/>
      <c r="CB225" s="1021"/>
      <c r="CC225" s="1021"/>
    </row>
    <row r="226" spans="8:81" x14ac:dyDescent="0.25">
      <c r="H226" s="1021"/>
      <c r="I226" s="1021"/>
      <c r="J226" s="1021"/>
      <c r="K226" s="1021"/>
      <c r="L226" s="1021"/>
      <c r="M226" s="1021"/>
      <c r="N226" s="1021"/>
      <c r="O226" s="1021"/>
      <c r="P226" s="1021"/>
      <c r="Q226" s="1021"/>
      <c r="R226" s="1021"/>
      <c r="S226" s="1021"/>
      <c r="T226" s="1021"/>
      <c r="U226" s="1021"/>
      <c r="V226" s="1021"/>
      <c r="W226" s="1021"/>
      <c r="X226" s="1021"/>
      <c r="Y226" s="1021"/>
      <c r="Z226" s="1021"/>
      <c r="AA226" s="1021"/>
      <c r="AB226" s="1021"/>
      <c r="AC226" s="1021"/>
      <c r="AD226" s="1021"/>
      <c r="AE226" s="1021"/>
      <c r="AF226" s="1021"/>
      <c r="AG226" s="1021"/>
      <c r="AH226" s="1021"/>
      <c r="AI226" s="1021"/>
      <c r="AJ226" s="1021"/>
      <c r="AK226" s="1021"/>
      <c r="AL226" s="1021"/>
      <c r="AM226" s="1021"/>
      <c r="AN226" s="1021"/>
      <c r="AO226" s="1021"/>
      <c r="AP226" s="1021"/>
      <c r="AQ226" s="1021"/>
      <c r="AR226" s="1021"/>
      <c r="AS226" s="1021"/>
      <c r="AT226" s="1021"/>
      <c r="AU226" s="1021"/>
      <c r="AV226" s="1021"/>
      <c r="AW226" s="1021"/>
      <c r="AX226" s="1021"/>
      <c r="AY226" s="1021"/>
      <c r="AZ226" s="1021"/>
      <c r="BA226" s="1021"/>
      <c r="BB226" s="1021"/>
      <c r="BC226" s="1021"/>
      <c r="BD226" s="1021"/>
      <c r="BE226" s="1021"/>
      <c r="BF226" s="1021"/>
      <c r="BG226" s="1021"/>
      <c r="BH226" s="1021"/>
      <c r="BI226" s="1021"/>
      <c r="BJ226" s="1021"/>
      <c r="BK226" s="1021"/>
      <c r="BL226" s="1021"/>
      <c r="BM226" s="1021"/>
      <c r="BN226" s="1021"/>
      <c r="BO226" s="1021"/>
      <c r="BP226" s="1021"/>
      <c r="BQ226" s="1021"/>
      <c r="BR226" s="1021"/>
      <c r="BS226" s="1021"/>
      <c r="BT226" s="1021"/>
      <c r="BU226" s="1021"/>
      <c r="BV226" s="1021"/>
      <c r="BW226" s="1021"/>
      <c r="BX226" s="1021"/>
      <c r="BY226" s="1021"/>
      <c r="BZ226" s="1021"/>
      <c r="CA226" s="1021"/>
      <c r="CB226" s="1021"/>
      <c r="CC226" s="1021"/>
    </row>
    <row r="227" spans="8:81" x14ac:dyDescent="0.25">
      <c r="H227" s="1021"/>
      <c r="I227" s="1021"/>
      <c r="J227" s="1021"/>
      <c r="K227" s="1021"/>
      <c r="L227" s="1021"/>
      <c r="M227" s="1021"/>
      <c r="N227" s="1021"/>
      <c r="O227" s="1021"/>
      <c r="P227" s="1021"/>
      <c r="Q227" s="1021"/>
      <c r="R227" s="1021"/>
      <c r="S227" s="1021"/>
      <c r="T227" s="1021"/>
      <c r="U227" s="1021"/>
      <c r="V227" s="1021"/>
      <c r="W227" s="1021"/>
      <c r="X227" s="1021"/>
      <c r="Y227" s="1021"/>
      <c r="Z227" s="1021"/>
      <c r="AA227" s="1021"/>
      <c r="AB227" s="1021"/>
      <c r="AC227" s="1021"/>
      <c r="AD227" s="1021"/>
      <c r="AE227" s="1021"/>
      <c r="AF227" s="1021"/>
      <c r="AG227" s="1021"/>
      <c r="AH227" s="1021"/>
      <c r="AI227" s="1021"/>
      <c r="AJ227" s="1021"/>
      <c r="AK227" s="1021"/>
      <c r="AL227" s="1021"/>
      <c r="AM227" s="1021"/>
      <c r="AN227" s="1021"/>
      <c r="AO227" s="1021"/>
      <c r="AP227" s="1021"/>
      <c r="AQ227" s="1021"/>
      <c r="AR227" s="1021"/>
      <c r="AS227" s="1021"/>
      <c r="AT227" s="1021"/>
      <c r="AU227" s="1021"/>
      <c r="AV227" s="1021"/>
      <c r="AW227" s="1021"/>
      <c r="AX227" s="1021"/>
      <c r="AY227" s="1021"/>
      <c r="AZ227" s="1021"/>
      <c r="BA227" s="1021"/>
      <c r="BB227" s="1021"/>
      <c r="BC227" s="1021"/>
      <c r="BD227" s="1021"/>
      <c r="BE227" s="1021"/>
      <c r="BF227" s="1021"/>
      <c r="BG227" s="1021"/>
      <c r="BH227" s="1021"/>
      <c r="BI227" s="1021"/>
      <c r="BJ227" s="1021"/>
      <c r="BK227" s="1021"/>
      <c r="BL227" s="1021"/>
      <c r="BM227" s="1021"/>
      <c r="BN227" s="1021"/>
      <c r="BO227" s="1021"/>
      <c r="BP227" s="1021"/>
      <c r="BQ227" s="1021"/>
      <c r="BR227" s="1021"/>
      <c r="BS227" s="1021"/>
      <c r="BT227" s="1021"/>
      <c r="BU227" s="1021"/>
      <c r="BV227" s="1021"/>
      <c r="BW227" s="1021"/>
      <c r="BX227" s="1021"/>
      <c r="BY227" s="1021"/>
      <c r="BZ227" s="1021"/>
      <c r="CA227" s="1021"/>
      <c r="CB227" s="1021"/>
      <c r="CC227" s="1021"/>
    </row>
    <row r="228" spans="8:81" x14ac:dyDescent="0.25">
      <c r="H228" s="1021"/>
      <c r="I228" s="1021"/>
      <c r="J228" s="1021"/>
      <c r="K228" s="1021"/>
      <c r="L228" s="1021"/>
      <c r="M228" s="1021"/>
      <c r="N228" s="1021"/>
      <c r="O228" s="1021"/>
      <c r="P228" s="1021"/>
      <c r="Q228" s="1021"/>
      <c r="R228" s="1021"/>
      <c r="S228" s="1021"/>
      <c r="T228" s="1021"/>
      <c r="U228" s="1021"/>
      <c r="V228" s="1021"/>
      <c r="W228" s="1021"/>
      <c r="X228" s="1021"/>
      <c r="Y228" s="1021"/>
      <c r="Z228" s="1021"/>
      <c r="AA228" s="1021"/>
      <c r="AB228" s="1021"/>
      <c r="AC228" s="1021"/>
      <c r="AD228" s="1021"/>
      <c r="AE228" s="1021"/>
      <c r="AF228" s="1021"/>
      <c r="AG228" s="1021"/>
      <c r="AH228" s="1021"/>
      <c r="AI228" s="1021"/>
      <c r="AJ228" s="1021"/>
      <c r="AK228" s="1021"/>
      <c r="AL228" s="1021"/>
      <c r="AM228" s="1021"/>
      <c r="AN228" s="1021"/>
      <c r="AO228" s="1021"/>
      <c r="AP228" s="1021"/>
      <c r="AQ228" s="1021"/>
      <c r="AR228" s="1021"/>
      <c r="AS228" s="1021"/>
      <c r="AT228" s="1021"/>
      <c r="AU228" s="1021"/>
      <c r="AV228" s="1021"/>
      <c r="AW228" s="1021"/>
      <c r="AX228" s="1021"/>
      <c r="AY228" s="1021"/>
      <c r="AZ228" s="1021"/>
      <c r="BA228" s="1021"/>
      <c r="BB228" s="1021"/>
      <c r="BC228" s="1021"/>
      <c r="BD228" s="1021"/>
      <c r="BE228" s="1021"/>
      <c r="BF228" s="1021"/>
      <c r="BG228" s="1021"/>
      <c r="BH228" s="1021"/>
      <c r="BI228" s="1021"/>
      <c r="BJ228" s="1021"/>
      <c r="BK228" s="1021"/>
      <c r="BL228" s="1021"/>
      <c r="BM228" s="1021"/>
      <c r="BN228" s="1021"/>
      <c r="BO228" s="1021"/>
      <c r="BP228" s="1021"/>
      <c r="BQ228" s="1021"/>
      <c r="BR228" s="1021"/>
      <c r="BS228" s="1021"/>
      <c r="BT228" s="1021"/>
      <c r="BU228" s="1021"/>
      <c r="BV228" s="1021"/>
      <c r="BW228" s="1021"/>
      <c r="BX228" s="1021"/>
      <c r="BY228" s="1021"/>
      <c r="BZ228" s="1021"/>
      <c r="CA228" s="1021"/>
      <c r="CB228" s="1021"/>
      <c r="CC228" s="1021"/>
    </row>
    <row r="229" spans="8:81" x14ac:dyDescent="0.25">
      <c r="H229" s="1021"/>
      <c r="I229" s="1021"/>
      <c r="J229" s="1021"/>
      <c r="K229" s="1021"/>
      <c r="L229" s="1021"/>
      <c r="M229" s="1021"/>
      <c r="N229" s="1021"/>
      <c r="O229" s="1021"/>
      <c r="P229" s="1021"/>
      <c r="Q229" s="1021"/>
      <c r="R229" s="1021"/>
      <c r="S229" s="1021"/>
      <c r="T229" s="1021"/>
      <c r="U229" s="1021"/>
      <c r="V229" s="1021"/>
      <c r="W229" s="1021"/>
      <c r="X229" s="1021"/>
      <c r="Y229" s="1021"/>
      <c r="Z229" s="1021"/>
      <c r="AA229" s="1021"/>
      <c r="AB229" s="1021"/>
      <c r="AC229" s="1021"/>
      <c r="AD229" s="1021"/>
      <c r="AE229" s="1021"/>
      <c r="AF229" s="1021"/>
      <c r="AG229" s="1021"/>
      <c r="AH229" s="1021"/>
      <c r="AI229" s="1021"/>
      <c r="AJ229" s="1021"/>
      <c r="AK229" s="1021"/>
      <c r="AL229" s="1021"/>
      <c r="AM229" s="1021"/>
      <c r="AN229" s="1021"/>
      <c r="AO229" s="1021"/>
      <c r="AP229" s="1021"/>
      <c r="AQ229" s="1021"/>
      <c r="AR229" s="1021"/>
      <c r="AS229" s="1021"/>
      <c r="AT229" s="1021"/>
      <c r="AU229" s="1021"/>
      <c r="AV229" s="1021"/>
      <c r="AW229" s="1021"/>
      <c r="AX229" s="1021"/>
      <c r="AY229" s="1021"/>
      <c r="AZ229" s="1021"/>
      <c r="BA229" s="1021"/>
      <c r="BB229" s="1021"/>
      <c r="BC229" s="1021"/>
      <c r="BD229" s="1021"/>
      <c r="BE229" s="1021"/>
      <c r="BF229" s="1021"/>
      <c r="BG229" s="1021"/>
      <c r="BH229" s="1021"/>
      <c r="BI229" s="1021"/>
      <c r="BJ229" s="1021"/>
      <c r="BK229" s="1021"/>
      <c r="BL229" s="1021"/>
      <c r="BM229" s="1021"/>
      <c r="BN229" s="1021"/>
      <c r="BO229" s="1021"/>
      <c r="BP229" s="1021"/>
      <c r="BQ229" s="1021"/>
      <c r="BR229" s="1021"/>
      <c r="BS229" s="1021"/>
      <c r="BT229" s="1021"/>
      <c r="BU229" s="1021"/>
      <c r="BV229" s="1021"/>
      <c r="BW229" s="1021"/>
      <c r="BX229" s="1021"/>
      <c r="BY229" s="1021"/>
      <c r="BZ229" s="1021"/>
      <c r="CA229" s="1021"/>
      <c r="CB229" s="1021"/>
      <c r="CC229" s="1021"/>
    </row>
    <row r="230" spans="8:81" x14ac:dyDescent="0.25">
      <c r="H230" s="1021"/>
      <c r="I230" s="1021"/>
      <c r="J230" s="1021"/>
      <c r="K230" s="1021"/>
      <c r="L230" s="1021"/>
      <c r="M230" s="1021"/>
      <c r="N230" s="1021"/>
      <c r="O230" s="1021"/>
      <c r="P230" s="1021"/>
      <c r="Q230" s="1021"/>
      <c r="R230" s="1021"/>
      <c r="S230" s="1021"/>
      <c r="T230" s="1021"/>
      <c r="U230" s="1021"/>
      <c r="V230" s="1021"/>
      <c r="W230" s="1021"/>
      <c r="X230" s="1021"/>
      <c r="Y230" s="1021"/>
      <c r="Z230" s="1021"/>
      <c r="AA230" s="1021"/>
      <c r="AB230" s="1021"/>
      <c r="AC230" s="1021"/>
      <c r="AD230" s="1021"/>
      <c r="AE230" s="1021"/>
      <c r="AF230" s="1021"/>
      <c r="AG230" s="1021"/>
      <c r="AH230" s="1021"/>
      <c r="AI230" s="1021"/>
      <c r="AJ230" s="1021"/>
      <c r="AK230" s="1021"/>
      <c r="AL230" s="1021"/>
      <c r="AM230" s="1021"/>
      <c r="AN230" s="1021"/>
      <c r="AO230" s="1021"/>
      <c r="AP230" s="1021"/>
      <c r="AQ230" s="1021"/>
      <c r="AR230" s="1021"/>
      <c r="AS230" s="1021"/>
      <c r="AT230" s="1021"/>
      <c r="AU230" s="1021"/>
      <c r="AV230" s="1021"/>
      <c r="AW230" s="1021"/>
      <c r="AX230" s="1021"/>
      <c r="AY230" s="1021"/>
      <c r="AZ230" s="1021"/>
      <c r="BA230" s="1021"/>
      <c r="BB230" s="1021"/>
      <c r="BC230" s="1021"/>
      <c r="BD230" s="1021"/>
      <c r="BE230" s="1021"/>
      <c r="BF230" s="1021"/>
      <c r="BG230" s="1021"/>
      <c r="BH230" s="1021"/>
      <c r="BI230" s="1021"/>
      <c r="BJ230" s="1021"/>
      <c r="BK230" s="1021"/>
      <c r="BL230" s="1021"/>
      <c r="BM230" s="1021"/>
      <c r="BN230" s="1021"/>
      <c r="BO230" s="1021"/>
      <c r="BP230" s="1021"/>
      <c r="BQ230" s="1021"/>
      <c r="BR230" s="1021"/>
      <c r="BS230" s="1021"/>
      <c r="BT230" s="1021"/>
      <c r="BU230" s="1021"/>
      <c r="BV230" s="1021"/>
      <c r="BW230" s="1021"/>
      <c r="BX230" s="1021"/>
      <c r="BY230" s="1021"/>
      <c r="BZ230" s="1021"/>
      <c r="CA230" s="1021"/>
      <c r="CB230" s="1021"/>
      <c r="CC230" s="1021"/>
    </row>
    <row r="231" spans="8:81" x14ac:dyDescent="0.25">
      <c r="H231" s="1021"/>
      <c r="I231" s="1021"/>
      <c r="J231" s="1021"/>
      <c r="K231" s="1021"/>
      <c r="L231" s="1021"/>
      <c r="M231" s="1021"/>
      <c r="N231" s="1021"/>
      <c r="O231" s="1021"/>
      <c r="P231" s="1021"/>
      <c r="Q231" s="1021"/>
      <c r="R231" s="1021"/>
      <c r="S231" s="1021"/>
      <c r="T231" s="1021"/>
      <c r="U231" s="1021"/>
      <c r="V231" s="1021"/>
      <c r="W231" s="1021"/>
      <c r="X231" s="1021"/>
      <c r="Y231" s="1021"/>
      <c r="Z231" s="1021"/>
      <c r="AA231" s="1021"/>
      <c r="AB231" s="1021"/>
      <c r="AC231" s="1021"/>
      <c r="AD231" s="1021"/>
      <c r="AE231" s="1021"/>
      <c r="AF231" s="1021"/>
      <c r="AG231" s="1021"/>
      <c r="AH231" s="1021"/>
      <c r="AI231" s="1021"/>
      <c r="AJ231" s="1021"/>
      <c r="AK231" s="1021"/>
      <c r="AL231" s="1021"/>
      <c r="AM231" s="1021"/>
      <c r="AN231" s="1021"/>
      <c r="AO231" s="1021"/>
      <c r="AP231" s="1021"/>
      <c r="AQ231" s="1021"/>
      <c r="AR231" s="1021"/>
      <c r="AS231" s="1021"/>
      <c r="AT231" s="1021"/>
      <c r="AU231" s="1021"/>
      <c r="AV231" s="1021"/>
      <c r="AW231" s="1021"/>
      <c r="AX231" s="1021"/>
      <c r="AY231" s="1021"/>
      <c r="AZ231" s="1021"/>
      <c r="BA231" s="1021"/>
      <c r="BB231" s="1021"/>
      <c r="BC231" s="1021"/>
      <c r="BD231" s="1021"/>
      <c r="BE231" s="1021"/>
      <c r="BF231" s="1021"/>
      <c r="BG231" s="1021"/>
      <c r="BH231" s="1021"/>
      <c r="BI231" s="1021"/>
      <c r="BJ231" s="1021"/>
      <c r="BK231" s="1021"/>
      <c r="BL231" s="1021"/>
      <c r="BM231" s="1021"/>
      <c r="BN231" s="1021"/>
      <c r="BO231" s="1021"/>
      <c r="BP231" s="1021"/>
      <c r="BQ231" s="1021"/>
      <c r="BR231" s="1021"/>
      <c r="BS231" s="1021"/>
      <c r="BT231" s="1021"/>
      <c r="BU231" s="1021"/>
      <c r="BV231" s="1021"/>
      <c r="BW231" s="1021"/>
      <c r="BX231" s="1021"/>
      <c r="BY231" s="1021"/>
      <c r="BZ231" s="1021"/>
      <c r="CA231" s="1021"/>
      <c r="CB231" s="1021"/>
      <c r="CC231" s="1021"/>
    </row>
    <row r="232" spans="8:81" x14ac:dyDescent="0.25">
      <c r="H232" s="1021"/>
      <c r="I232" s="1021"/>
      <c r="J232" s="1021"/>
      <c r="K232" s="1021"/>
      <c r="L232" s="1021"/>
      <c r="M232" s="1021"/>
      <c r="N232" s="1021"/>
      <c r="O232" s="1021"/>
      <c r="P232" s="1021"/>
      <c r="Q232" s="1021"/>
      <c r="R232" s="1021"/>
      <c r="S232" s="1021"/>
      <c r="T232" s="1021"/>
      <c r="U232" s="1021"/>
      <c r="V232" s="1021"/>
      <c r="W232" s="1021"/>
      <c r="X232" s="1021"/>
      <c r="Y232" s="1021"/>
      <c r="Z232" s="1021"/>
      <c r="AA232" s="1021"/>
      <c r="AB232" s="1021"/>
      <c r="AC232" s="1021"/>
      <c r="AD232" s="1021"/>
      <c r="AE232" s="1021"/>
      <c r="AF232" s="1021"/>
      <c r="AG232" s="1021"/>
      <c r="AH232" s="1021"/>
      <c r="AI232" s="1021"/>
      <c r="AJ232" s="1021"/>
      <c r="AK232" s="1021"/>
      <c r="AL232" s="1021"/>
      <c r="AM232" s="1021"/>
      <c r="AN232" s="1021"/>
      <c r="AO232" s="1021"/>
      <c r="AP232" s="1021"/>
      <c r="AQ232" s="1021"/>
      <c r="AR232" s="1021"/>
      <c r="AS232" s="1021"/>
      <c r="AT232" s="1021"/>
      <c r="AU232" s="1021"/>
      <c r="AV232" s="1021"/>
      <c r="AW232" s="1021"/>
      <c r="AX232" s="1021"/>
      <c r="AY232" s="1021"/>
      <c r="AZ232" s="1021"/>
      <c r="BA232" s="1021"/>
      <c r="BB232" s="1021"/>
      <c r="BC232" s="1021"/>
      <c r="BD232" s="1021"/>
      <c r="BE232" s="1021"/>
      <c r="BF232" s="1021"/>
      <c r="BG232" s="1021"/>
      <c r="BH232" s="1021"/>
      <c r="BI232" s="1021"/>
      <c r="BJ232" s="1021"/>
      <c r="BK232" s="1021"/>
      <c r="BL232" s="1021"/>
      <c r="BM232" s="1021"/>
      <c r="BN232" s="1021"/>
      <c r="BO232" s="1021"/>
      <c r="BP232" s="1021"/>
      <c r="BQ232" s="1021"/>
      <c r="BR232" s="1021"/>
      <c r="BS232" s="1021"/>
      <c r="BT232" s="1021"/>
      <c r="BU232" s="1021"/>
      <c r="BV232" s="1021"/>
      <c r="BW232" s="1021"/>
      <c r="BX232" s="1021"/>
      <c r="BY232" s="1021"/>
      <c r="BZ232" s="1021"/>
      <c r="CA232" s="1021"/>
      <c r="CB232" s="1021"/>
      <c r="CC232" s="1021"/>
    </row>
    <row r="233" spans="8:81" x14ac:dyDescent="0.25">
      <c r="H233" s="1021"/>
      <c r="I233" s="1021"/>
      <c r="J233" s="1021"/>
      <c r="K233" s="1021"/>
      <c r="L233" s="1021"/>
      <c r="M233" s="1021"/>
      <c r="N233" s="1021"/>
      <c r="O233" s="1021"/>
      <c r="P233" s="1021"/>
      <c r="Q233" s="1021"/>
      <c r="R233" s="1021"/>
      <c r="S233" s="1021"/>
      <c r="T233" s="1021"/>
      <c r="U233" s="1021"/>
      <c r="V233" s="1021"/>
      <c r="W233" s="1021"/>
      <c r="X233" s="1021"/>
      <c r="Y233" s="1021"/>
      <c r="Z233" s="1021"/>
      <c r="AA233" s="1021"/>
      <c r="AB233" s="1021"/>
      <c r="AC233" s="1021"/>
      <c r="AD233" s="1021"/>
      <c r="AE233" s="1021"/>
      <c r="AF233" s="1021"/>
      <c r="AG233" s="1021"/>
      <c r="AH233" s="1021"/>
      <c r="AI233" s="1021"/>
      <c r="AJ233" s="1021"/>
      <c r="AK233" s="1021"/>
      <c r="AL233" s="1021"/>
      <c r="AM233" s="1021"/>
      <c r="AN233" s="1021"/>
      <c r="AO233" s="1021"/>
      <c r="AP233" s="1021"/>
      <c r="AQ233" s="1021"/>
      <c r="AR233" s="1021"/>
      <c r="AS233" s="1021"/>
      <c r="AT233" s="1021"/>
      <c r="AU233" s="1021"/>
      <c r="AV233" s="1021"/>
      <c r="AW233" s="1021"/>
      <c r="AX233" s="1021"/>
      <c r="AY233" s="1021"/>
      <c r="AZ233" s="1021"/>
      <c r="BA233" s="1021"/>
      <c r="BB233" s="1021"/>
      <c r="BC233" s="1021"/>
      <c r="BD233" s="1021"/>
      <c r="BE233" s="1021"/>
      <c r="BF233" s="1021"/>
      <c r="BG233" s="1021"/>
      <c r="BH233" s="1021"/>
      <c r="BI233" s="1021"/>
      <c r="BJ233" s="1021"/>
      <c r="BK233" s="1021"/>
      <c r="BL233" s="1021"/>
      <c r="BM233" s="1021"/>
      <c r="BN233" s="1021"/>
      <c r="BO233" s="1021"/>
      <c r="BP233" s="1021"/>
      <c r="BQ233" s="1021"/>
      <c r="BR233" s="1021"/>
      <c r="BS233" s="1021"/>
      <c r="BT233" s="1021"/>
      <c r="BU233" s="1021"/>
      <c r="BV233" s="1021"/>
      <c r="BW233" s="1021"/>
      <c r="BX233" s="1021"/>
      <c r="BY233" s="1021"/>
      <c r="BZ233" s="1021"/>
      <c r="CA233" s="1021"/>
      <c r="CB233" s="1021"/>
      <c r="CC233" s="1021"/>
    </row>
    <row r="234" spans="8:81" x14ac:dyDescent="0.25">
      <c r="H234" s="1021"/>
      <c r="I234" s="1021"/>
      <c r="J234" s="1021"/>
      <c r="K234" s="1021"/>
      <c r="L234" s="1021"/>
      <c r="M234" s="1021"/>
      <c r="N234" s="1021"/>
      <c r="O234" s="1021"/>
      <c r="P234" s="1021"/>
      <c r="Q234" s="1021"/>
      <c r="R234" s="1021"/>
      <c r="S234" s="1021"/>
      <c r="T234" s="1021"/>
      <c r="U234" s="1021"/>
      <c r="V234" s="1021"/>
      <c r="W234" s="1021"/>
      <c r="X234" s="1021"/>
      <c r="Y234" s="1021"/>
      <c r="Z234" s="1021"/>
      <c r="AA234" s="1021"/>
      <c r="AB234" s="1021"/>
      <c r="AC234" s="1021"/>
      <c r="AD234" s="1021"/>
      <c r="AE234" s="1021"/>
      <c r="AF234" s="1021"/>
      <c r="AG234" s="1021"/>
      <c r="AH234" s="1021"/>
      <c r="AI234" s="1021"/>
      <c r="AJ234" s="1021"/>
      <c r="AK234" s="1021"/>
      <c r="AL234" s="1021"/>
      <c r="AM234" s="1021"/>
      <c r="AN234" s="1021"/>
      <c r="AO234" s="1021"/>
      <c r="AP234" s="1021"/>
      <c r="AQ234" s="1021"/>
      <c r="AR234" s="1021"/>
      <c r="AS234" s="1021"/>
      <c r="AT234" s="1021"/>
      <c r="AU234" s="1021"/>
      <c r="AV234" s="1021"/>
      <c r="AW234" s="1021"/>
      <c r="AX234" s="1021"/>
      <c r="AY234" s="1021"/>
      <c r="AZ234" s="1021"/>
      <c r="BA234" s="1021"/>
      <c r="BB234" s="1021"/>
      <c r="BC234" s="1021"/>
      <c r="BD234" s="1021"/>
      <c r="BE234" s="1021"/>
      <c r="BF234" s="1021"/>
      <c r="BG234" s="1021"/>
      <c r="BH234" s="1021"/>
      <c r="BI234" s="1021"/>
      <c r="BJ234" s="1021"/>
      <c r="BK234" s="1021"/>
      <c r="BL234" s="1021"/>
      <c r="BM234" s="1021"/>
      <c r="BN234" s="1021"/>
      <c r="BO234" s="1021"/>
      <c r="BP234" s="1021"/>
      <c r="BQ234" s="1021"/>
      <c r="BR234" s="1021"/>
      <c r="BS234" s="1021"/>
      <c r="BT234" s="1021"/>
      <c r="BU234" s="1021"/>
      <c r="BV234" s="1021"/>
      <c r="BW234" s="1021"/>
      <c r="BX234" s="1021"/>
      <c r="BY234" s="1021"/>
      <c r="BZ234" s="1021"/>
      <c r="CA234" s="1021"/>
      <c r="CB234" s="1021"/>
      <c r="CC234" s="1021"/>
    </row>
    <row r="235" spans="8:81" x14ac:dyDescent="0.25">
      <c r="H235" s="1021"/>
      <c r="I235" s="1021"/>
      <c r="J235" s="1021"/>
      <c r="K235" s="1021"/>
      <c r="L235" s="1021"/>
      <c r="M235" s="1021"/>
      <c r="N235" s="1021"/>
      <c r="O235" s="1021"/>
      <c r="P235" s="1021"/>
      <c r="Q235" s="1021"/>
      <c r="R235" s="1021"/>
      <c r="S235" s="1021"/>
      <c r="T235" s="1021"/>
      <c r="U235" s="1021"/>
      <c r="V235" s="1021"/>
      <c r="W235" s="1021"/>
      <c r="X235" s="1021"/>
      <c r="Y235" s="1021"/>
      <c r="Z235" s="1021"/>
      <c r="AA235" s="1021"/>
      <c r="AB235" s="1021"/>
      <c r="AC235" s="1021"/>
      <c r="AD235" s="1021"/>
      <c r="AE235" s="1021"/>
      <c r="AF235" s="1021"/>
      <c r="AG235" s="1021"/>
      <c r="AH235" s="1021"/>
      <c r="AI235" s="1021"/>
      <c r="AJ235" s="1021"/>
      <c r="AK235" s="1021"/>
      <c r="AL235" s="1021"/>
      <c r="AM235" s="1021"/>
      <c r="AN235" s="1021"/>
      <c r="AO235" s="1021"/>
      <c r="AP235" s="1021"/>
      <c r="AQ235" s="1021"/>
      <c r="AR235" s="1021"/>
      <c r="AS235" s="1021"/>
      <c r="AT235" s="1021"/>
      <c r="AU235" s="1021"/>
      <c r="AV235" s="1021"/>
      <c r="AW235" s="1021"/>
      <c r="AX235" s="1021"/>
      <c r="AY235" s="1021"/>
      <c r="AZ235" s="1021"/>
      <c r="BA235" s="1021"/>
      <c r="BB235" s="1021"/>
      <c r="BC235" s="1021"/>
      <c r="BD235" s="1021"/>
      <c r="BE235" s="1021"/>
      <c r="BF235" s="1021"/>
      <c r="BG235" s="1021"/>
      <c r="BH235" s="1021"/>
      <c r="BI235" s="1021"/>
      <c r="BJ235" s="1021"/>
      <c r="BK235" s="1021"/>
      <c r="BL235" s="1021"/>
      <c r="BM235" s="1021"/>
      <c r="BN235" s="1021"/>
      <c r="BO235" s="1021"/>
      <c r="BP235" s="1021"/>
      <c r="BQ235" s="1021"/>
      <c r="BR235" s="1021"/>
      <c r="BS235" s="1021"/>
      <c r="BT235" s="1021"/>
      <c r="BU235" s="1021"/>
      <c r="BV235" s="1021"/>
      <c r="BW235" s="1021"/>
      <c r="BX235" s="1021"/>
      <c r="BY235" s="1021"/>
      <c r="BZ235" s="1021"/>
      <c r="CA235" s="1021"/>
      <c r="CB235" s="1021"/>
      <c r="CC235" s="1021"/>
    </row>
    <row r="236" spans="8:81" x14ac:dyDescent="0.25">
      <c r="H236" s="1021"/>
      <c r="I236" s="1021"/>
      <c r="J236" s="1021"/>
      <c r="K236" s="1021"/>
      <c r="L236" s="1021"/>
      <c r="M236" s="1021"/>
      <c r="N236" s="1021"/>
      <c r="O236" s="1021"/>
      <c r="P236" s="1021"/>
      <c r="Q236" s="1021"/>
      <c r="R236" s="1021"/>
      <c r="S236" s="1021"/>
      <c r="T236" s="1021"/>
      <c r="U236" s="1021"/>
      <c r="V236" s="1021"/>
      <c r="W236" s="1021"/>
      <c r="X236" s="1021"/>
      <c r="Y236" s="1021"/>
      <c r="Z236" s="1021"/>
      <c r="AA236" s="1021"/>
      <c r="AB236" s="1021"/>
      <c r="AC236" s="1021"/>
      <c r="AD236" s="1021"/>
      <c r="AE236" s="1021"/>
      <c r="AF236" s="1021"/>
      <c r="AG236" s="1021"/>
      <c r="AH236" s="1021"/>
      <c r="AI236" s="1021"/>
      <c r="AJ236" s="1021"/>
      <c r="AK236" s="1021"/>
      <c r="AL236" s="1021"/>
      <c r="AM236" s="1021"/>
      <c r="AN236" s="1021"/>
      <c r="AO236" s="1021"/>
      <c r="AP236" s="1021"/>
      <c r="AQ236" s="1021"/>
      <c r="AR236" s="1021"/>
      <c r="AS236" s="1021"/>
      <c r="AT236" s="1021"/>
      <c r="AU236" s="1021"/>
      <c r="AV236" s="1021"/>
      <c r="AW236" s="1021"/>
      <c r="AX236" s="1021"/>
      <c r="AY236" s="1021"/>
      <c r="AZ236" s="1021"/>
      <c r="BA236" s="1021"/>
      <c r="BB236" s="1021"/>
      <c r="BC236" s="1021"/>
      <c r="BD236" s="1021"/>
      <c r="BE236" s="1021"/>
      <c r="BF236" s="1021"/>
      <c r="BG236" s="1021"/>
      <c r="BH236" s="1021"/>
      <c r="BI236" s="1021"/>
      <c r="BJ236" s="1021"/>
      <c r="BK236" s="1021"/>
      <c r="BL236" s="1021"/>
      <c r="BM236" s="1021"/>
      <c r="BN236" s="1021"/>
      <c r="BO236" s="1021"/>
      <c r="BP236" s="1021"/>
      <c r="BQ236" s="1021"/>
      <c r="BR236" s="1021"/>
      <c r="BS236" s="1021"/>
      <c r="BT236" s="1021"/>
      <c r="BU236" s="1021"/>
      <c r="BV236" s="1021"/>
      <c r="BW236" s="1021"/>
      <c r="BX236" s="1021"/>
      <c r="BY236" s="1021"/>
      <c r="BZ236" s="1021"/>
      <c r="CA236" s="1021"/>
      <c r="CB236" s="1021"/>
      <c r="CC236" s="1021"/>
    </row>
    <row r="237" spans="8:81" x14ac:dyDescent="0.25">
      <c r="H237" s="1021"/>
      <c r="I237" s="1021"/>
      <c r="J237" s="1021"/>
      <c r="K237" s="1021"/>
      <c r="L237" s="1021"/>
      <c r="M237" s="1021"/>
      <c r="N237" s="1021"/>
      <c r="O237" s="1021"/>
      <c r="P237" s="1021"/>
      <c r="Q237" s="1021"/>
      <c r="R237" s="1021"/>
      <c r="S237" s="1021"/>
      <c r="T237" s="1021"/>
      <c r="U237" s="1021"/>
      <c r="V237" s="1021"/>
      <c r="W237" s="1021"/>
      <c r="X237" s="1021"/>
      <c r="Y237" s="1021"/>
      <c r="Z237" s="1021"/>
      <c r="AA237" s="1021"/>
      <c r="AB237" s="1021"/>
      <c r="AC237" s="1021"/>
      <c r="AD237" s="1021"/>
      <c r="AE237" s="1021"/>
      <c r="AF237" s="1021"/>
      <c r="AG237" s="1021"/>
      <c r="AH237" s="1021"/>
      <c r="AI237" s="1021"/>
      <c r="AJ237" s="1021"/>
      <c r="AK237" s="1021"/>
      <c r="AL237" s="1021"/>
      <c r="AM237" s="1021"/>
      <c r="AN237" s="1021"/>
      <c r="AO237" s="1021"/>
      <c r="AP237" s="1021"/>
      <c r="AQ237" s="1021"/>
      <c r="AR237" s="1021"/>
      <c r="AS237" s="1021"/>
      <c r="AT237" s="1021"/>
      <c r="AU237" s="1021"/>
      <c r="AV237" s="1021"/>
      <c r="AW237" s="1021"/>
      <c r="AX237" s="1021"/>
      <c r="AY237" s="1021"/>
      <c r="AZ237" s="1021"/>
      <c r="BA237" s="1021"/>
      <c r="BB237" s="1021"/>
      <c r="BC237" s="1021"/>
      <c r="BD237" s="1021"/>
      <c r="BE237" s="1021"/>
      <c r="BF237" s="1021"/>
      <c r="BG237" s="1021"/>
      <c r="BH237" s="1021"/>
      <c r="BI237" s="1021"/>
      <c r="BJ237" s="1021"/>
      <c r="BK237" s="1021"/>
      <c r="BL237" s="1021"/>
      <c r="BM237" s="1021"/>
      <c r="BN237" s="1021"/>
      <c r="BO237" s="1021"/>
      <c r="BP237" s="1021"/>
      <c r="BQ237" s="1021"/>
      <c r="BR237" s="1021"/>
      <c r="BS237" s="1021"/>
      <c r="BT237" s="1021"/>
      <c r="BU237" s="1021"/>
      <c r="BV237" s="1021"/>
      <c r="BW237" s="1021"/>
      <c r="BX237" s="1021"/>
      <c r="BY237" s="1021"/>
      <c r="BZ237" s="1021"/>
      <c r="CA237" s="1021"/>
      <c r="CB237" s="1021"/>
      <c r="CC237" s="1021"/>
    </row>
    <row r="238" spans="8:81" x14ac:dyDescent="0.25">
      <c r="H238" s="1021"/>
      <c r="I238" s="1021"/>
      <c r="J238" s="1021"/>
      <c r="K238" s="1021"/>
      <c r="L238" s="1021"/>
      <c r="M238" s="1021"/>
      <c r="N238" s="1021"/>
      <c r="O238" s="1021"/>
      <c r="P238" s="1021"/>
      <c r="Q238" s="1021"/>
      <c r="R238" s="1021"/>
      <c r="S238" s="1021"/>
      <c r="T238" s="1021"/>
      <c r="U238" s="1021"/>
      <c r="V238" s="1021"/>
      <c r="W238" s="1021"/>
      <c r="X238" s="1021"/>
      <c r="Y238" s="1021"/>
      <c r="Z238" s="1021"/>
      <c r="AA238" s="1021"/>
      <c r="AB238" s="1021"/>
      <c r="AC238" s="1021"/>
      <c r="AD238" s="1021"/>
      <c r="AE238" s="1021"/>
      <c r="AF238" s="1021"/>
      <c r="AG238" s="1021"/>
      <c r="AH238" s="1021"/>
      <c r="AI238" s="1021"/>
      <c r="AJ238" s="1021"/>
      <c r="AK238" s="1021"/>
      <c r="AL238" s="1021"/>
      <c r="AM238" s="1021"/>
      <c r="AN238" s="1021"/>
      <c r="AO238" s="1021"/>
      <c r="AP238" s="1021"/>
      <c r="AQ238" s="1021"/>
      <c r="AR238" s="1021"/>
      <c r="AS238" s="1021"/>
      <c r="AT238" s="1021"/>
      <c r="AU238" s="1021"/>
      <c r="AV238" s="1021"/>
      <c r="AW238" s="1021"/>
      <c r="AX238" s="1021"/>
      <c r="AY238" s="1021"/>
      <c r="AZ238" s="1021"/>
      <c r="BA238" s="1021"/>
      <c r="BB238" s="1021"/>
      <c r="BC238" s="1021"/>
      <c r="BD238" s="1021"/>
      <c r="BE238" s="1021"/>
      <c r="BF238" s="1021"/>
      <c r="BG238" s="1021"/>
      <c r="BH238" s="1021"/>
      <c r="BI238" s="1021"/>
      <c r="BJ238" s="1021"/>
      <c r="BK238" s="1021"/>
      <c r="BL238" s="1021"/>
      <c r="BM238" s="1021"/>
      <c r="BN238" s="1021"/>
      <c r="BO238" s="1021"/>
      <c r="BP238" s="1021"/>
      <c r="BQ238" s="1021"/>
      <c r="BR238" s="1021"/>
      <c r="BS238" s="1021"/>
      <c r="BT238" s="1021"/>
      <c r="BU238" s="1021"/>
      <c r="BV238" s="1021"/>
      <c r="BW238" s="1021"/>
      <c r="BX238" s="1021"/>
      <c r="BY238" s="1021"/>
      <c r="BZ238" s="1021"/>
      <c r="CA238" s="1021"/>
      <c r="CB238" s="1021"/>
      <c r="CC238" s="1021"/>
    </row>
    <row r="239" spans="8:81" x14ac:dyDescent="0.25">
      <c r="H239" s="1021"/>
      <c r="I239" s="1021"/>
      <c r="J239" s="1021"/>
      <c r="K239" s="1021"/>
      <c r="L239" s="1021"/>
      <c r="M239" s="1021"/>
      <c r="N239" s="1021"/>
      <c r="O239" s="1021"/>
      <c r="P239" s="1021"/>
      <c r="Q239" s="1021"/>
      <c r="R239" s="1021"/>
      <c r="S239" s="1021"/>
      <c r="T239" s="1021"/>
      <c r="U239" s="1021"/>
      <c r="V239" s="1021"/>
      <c r="W239" s="1021"/>
      <c r="X239" s="1021"/>
      <c r="Y239" s="1021"/>
      <c r="Z239" s="1021"/>
      <c r="AA239" s="1021"/>
      <c r="AB239" s="1021"/>
      <c r="AC239" s="1021"/>
      <c r="AD239" s="1021"/>
      <c r="AE239" s="1021"/>
      <c r="AF239" s="1021"/>
      <c r="AG239" s="1021"/>
      <c r="AH239" s="1021"/>
      <c r="AI239" s="1021"/>
      <c r="AJ239" s="1021"/>
      <c r="AK239" s="1021"/>
      <c r="AL239" s="1021"/>
      <c r="AM239" s="1021"/>
      <c r="AN239" s="1021"/>
      <c r="AO239" s="1021"/>
      <c r="AP239" s="1021"/>
      <c r="AQ239" s="1021"/>
      <c r="AR239" s="1021"/>
      <c r="AS239" s="1021"/>
      <c r="AT239" s="1021"/>
      <c r="AU239" s="1021"/>
      <c r="AV239" s="1021"/>
      <c r="AW239" s="1021"/>
      <c r="AX239" s="1021"/>
      <c r="AY239" s="1021"/>
      <c r="AZ239" s="1021"/>
      <c r="BA239" s="1021"/>
      <c r="BB239" s="1021"/>
      <c r="BC239" s="1021"/>
      <c r="BD239" s="1021"/>
      <c r="BE239" s="1021"/>
      <c r="BF239" s="1021"/>
      <c r="BG239" s="1021"/>
      <c r="BH239" s="1021"/>
      <c r="BI239" s="1021"/>
      <c r="BJ239" s="1021"/>
      <c r="BK239" s="1021"/>
      <c r="BL239" s="1021"/>
      <c r="BM239" s="1021"/>
      <c r="BN239" s="1021"/>
      <c r="BO239" s="1021"/>
      <c r="BP239" s="1021"/>
      <c r="BQ239" s="1021"/>
      <c r="BR239" s="1021"/>
      <c r="BS239" s="1021"/>
      <c r="BT239" s="1021"/>
      <c r="BU239" s="1021"/>
      <c r="BV239" s="1021"/>
      <c r="BW239" s="1021"/>
      <c r="BX239" s="1021"/>
      <c r="BY239" s="1021"/>
      <c r="BZ239" s="1021"/>
      <c r="CA239" s="1021"/>
      <c r="CB239" s="1021"/>
      <c r="CC239" s="1021"/>
    </row>
    <row r="240" spans="8:81" x14ac:dyDescent="0.25">
      <c r="H240" s="1021"/>
      <c r="I240" s="1021"/>
      <c r="J240" s="1021"/>
      <c r="K240" s="1021"/>
      <c r="L240" s="1021"/>
      <c r="M240" s="1021"/>
      <c r="N240" s="1021"/>
      <c r="O240" s="1021"/>
      <c r="P240" s="1021"/>
      <c r="Q240" s="1021"/>
      <c r="R240" s="1021"/>
      <c r="S240" s="1021"/>
      <c r="T240" s="1021"/>
      <c r="U240" s="1021"/>
      <c r="V240" s="1021"/>
      <c r="W240" s="1021"/>
      <c r="X240" s="1021"/>
      <c r="Y240" s="1021"/>
      <c r="Z240" s="1021"/>
      <c r="AA240" s="1021"/>
      <c r="AB240" s="1021"/>
      <c r="AC240" s="1021"/>
      <c r="AD240" s="1021"/>
      <c r="AE240" s="1021"/>
      <c r="AF240" s="1021"/>
      <c r="AG240" s="1021"/>
      <c r="AH240" s="1021"/>
      <c r="AI240" s="1021"/>
      <c r="AJ240" s="1021"/>
      <c r="AK240" s="1021"/>
      <c r="AL240" s="1021"/>
      <c r="AM240" s="1021"/>
      <c r="AN240" s="1021"/>
      <c r="AO240" s="1021"/>
      <c r="AP240" s="1021"/>
      <c r="AQ240" s="1021"/>
      <c r="AR240" s="1021"/>
      <c r="AS240" s="1021"/>
      <c r="AT240" s="1021"/>
      <c r="AU240" s="1021"/>
      <c r="AV240" s="1021"/>
      <c r="AW240" s="1021"/>
      <c r="AX240" s="1021"/>
      <c r="AY240" s="1021"/>
      <c r="AZ240" s="1021"/>
      <c r="BA240" s="1021"/>
      <c r="BB240" s="1021"/>
      <c r="BC240" s="1021"/>
      <c r="BD240" s="1021"/>
      <c r="BE240" s="1021"/>
      <c r="BF240" s="1021"/>
      <c r="BG240" s="1021"/>
      <c r="BH240" s="1021"/>
      <c r="BI240" s="1021"/>
      <c r="BJ240" s="1021"/>
      <c r="BK240" s="1021"/>
      <c r="BL240" s="1021"/>
      <c r="BM240" s="1021"/>
      <c r="BN240" s="1021"/>
      <c r="BO240" s="1021"/>
      <c r="BP240" s="1021"/>
      <c r="BQ240" s="1021"/>
      <c r="BR240" s="1021"/>
      <c r="BS240" s="1021"/>
      <c r="BT240" s="1021"/>
      <c r="BU240" s="1021"/>
      <c r="BV240" s="1021"/>
      <c r="BW240" s="1021"/>
      <c r="BX240" s="1021"/>
      <c r="BY240" s="1021"/>
      <c r="BZ240" s="1021"/>
      <c r="CA240" s="1021"/>
      <c r="CB240" s="1021"/>
      <c r="CC240" s="1021"/>
    </row>
    <row r="241" spans="8:81" x14ac:dyDescent="0.25">
      <c r="H241" s="1021"/>
      <c r="I241" s="1021"/>
      <c r="J241" s="1021"/>
      <c r="K241" s="1021"/>
      <c r="L241" s="1021"/>
      <c r="M241" s="1021"/>
      <c r="N241" s="1021"/>
      <c r="O241" s="1021"/>
      <c r="P241" s="1021"/>
      <c r="Q241" s="1021"/>
      <c r="R241" s="1021"/>
      <c r="S241" s="1021"/>
      <c r="T241" s="1021"/>
      <c r="U241" s="1021"/>
      <c r="V241" s="1021"/>
      <c r="W241" s="1021"/>
      <c r="X241" s="1021"/>
      <c r="Y241" s="1021"/>
      <c r="Z241" s="1021"/>
      <c r="AA241" s="1021"/>
      <c r="AB241" s="1021"/>
      <c r="AC241" s="1021"/>
      <c r="AD241" s="1021"/>
      <c r="AE241" s="1021"/>
      <c r="AF241" s="1021"/>
      <c r="AG241" s="1021"/>
      <c r="AH241" s="1021"/>
      <c r="AI241" s="1021"/>
      <c r="AJ241" s="1021"/>
      <c r="AK241" s="1021"/>
      <c r="AL241" s="1021"/>
      <c r="AM241" s="1021"/>
      <c r="AN241" s="1021"/>
      <c r="AO241" s="1021"/>
      <c r="AP241" s="1021"/>
      <c r="AQ241" s="1021"/>
      <c r="AR241" s="1021"/>
      <c r="AS241" s="1021"/>
      <c r="AT241" s="1021"/>
      <c r="AU241" s="1021"/>
      <c r="AV241" s="1021"/>
      <c r="AW241" s="1021"/>
      <c r="AX241" s="1021"/>
      <c r="AY241" s="1021"/>
      <c r="AZ241" s="1021"/>
      <c r="BA241" s="1021"/>
      <c r="BB241" s="1021"/>
      <c r="BC241" s="1021"/>
      <c r="BD241" s="1021"/>
      <c r="BE241" s="1021"/>
      <c r="BF241" s="1021"/>
      <c r="BG241" s="1021"/>
      <c r="BH241" s="1021"/>
      <c r="BI241" s="1021"/>
      <c r="BJ241" s="1021"/>
      <c r="BK241" s="1021"/>
      <c r="BL241" s="1021"/>
      <c r="BM241" s="1021"/>
      <c r="BN241" s="1021"/>
      <c r="BO241" s="1021"/>
      <c r="BP241" s="1021"/>
      <c r="BQ241" s="1021"/>
      <c r="BR241" s="1021"/>
      <c r="BS241" s="1021"/>
      <c r="BT241" s="1021"/>
      <c r="BU241" s="1021"/>
      <c r="BV241" s="1021"/>
      <c r="BW241" s="1021"/>
      <c r="BX241" s="1021"/>
      <c r="BY241" s="1021"/>
      <c r="BZ241" s="1021"/>
      <c r="CA241" s="1021"/>
      <c r="CB241" s="1021"/>
      <c r="CC241" s="1021"/>
    </row>
    <row r="242" spans="8:81" x14ac:dyDescent="0.25">
      <c r="H242" s="1021"/>
      <c r="I242" s="1021"/>
      <c r="J242" s="1021"/>
      <c r="K242" s="1021"/>
      <c r="L242" s="1021"/>
      <c r="M242" s="1021"/>
      <c r="N242" s="1021"/>
      <c r="O242" s="1021"/>
      <c r="P242" s="1021"/>
      <c r="Q242" s="1021"/>
      <c r="R242" s="1021"/>
      <c r="S242" s="1021"/>
      <c r="T242" s="1021"/>
      <c r="U242" s="1021"/>
      <c r="V242" s="1021"/>
      <c r="W242" s="1021"/>
      <c r="X242" s="1021"/>
      <c r="Y242" s="1021"/>
      <c r="Z242" s="1021"/>
      <c r="AA242" s="1021"/>
      <c r="AB242" s="1021"/>
      <c r="AC242" s="1021"/>
      <c r="AD242" s="1021"/>
      <c r="AE242" s="1021"/>
      <c r="AF242" s="1021"/>
      <c r="AG242" s="1021"/>
      <c r="AH242" s="1021"/>
      <c r="AI242" s="1021"/>
      <c r="AJ242" s="1021"/>
      <c r="AK242" s="1021"/>
      <c r="AL242" s="1021"/>
      <c r="AM242" s="1021"/>
      <c r="AN242" s="1021"/>
      <c r="AO242" s="1021"/>
      <c r="AP242" s="1021"/>
      <c r="AQ242" s="1021"/>
      <c r="AR242" s="1021"/>
      <c r="AS242" s="1021"/>
      <c r="AT242" s="1021"/>
      <c r="AU242" s="1021"/>
      <c r="AV242" s="1021"/>
      <c r="AW242" s="1021"/>
      <c r="AX242" s="1021"/>
      <c r="AY242" s="1021"/>
      <c r="AZ242" s="1021"/>
      <c r="BA242" s="1021"/>
      <c r="BB242" s="1021"/>
      <c r="BC242" s="1021"/>
      <c r="BD242" s="1021"/>
      <c r="BE242" s="1021"/>
      <c r="BF242" s="1021"/>
      <c r="BG242" s="1021"/>
      <c r="BH242" s="1021"/>
      <c r="BI242" s="1021"/>
      <c r="BJ242" s="1021"/>
      <c r="BK242" s="1021"/>
      <c r="BL242" s="1021"/>
      <c r="BM242" s="1021"/>
      <c r="BN242" s="1021"/>
      <c r="BO242" s="1021"/>
      <c r="BP242" s="1021"/>
      <c r="BQ242" s="1021"/>
      <c r="BR242" s="1021"/>
      <c r="BS242" s="1021"/>
      <c r="BT242" s="1021"/>
      <c r="BU242" s="1021"/>
      <c r="BV242" s="1021"/>
      <c r="BW242" s="1021"/>
      <c r="BX242" s="1021"/>
      <c r="BY242" s="1021"/>
      <c r="BZ242" s="1021"/>
      <c r="CA242" s="1021"/>
      <c r="CB242" s="1021"/>
      <c r="CC242" s="1021"/>
    </row>
    <row r="243" spans="8:81" x14ac:dyDescent="0.25">
      <c r="H243" s="1021"/>
      <c r="I243" s="1021"/>
      <c r="J243" s="1021"/>
      <c r="K243" s="1021"/>
      <c r="L243" s="1021"/>
      <c r="M243" s="1021"/>
      <c r="N243" s="1021"/>
      <c r="O243" s="1021"/>
      <c r="P243" s="1021"/>
      <c r="Q243" s="1021"/>
      <c r="R243" s="1021"/>
      <c r="S243" s="1021"/>
      <c r="T243" s="1021"/>
      <c r="U243" s="1021"/>
      <c r="V243" s="1021"/>
      <c r="W243" s="1021"/>
      <c r="X243" s="1021"/>
      <c r="Y243" s="1021"/>
      <c r="Z243" s="1021"/>
      <c r="AA243" s="1021"/>
      <c r="AB243" s="1021"/>
      <c r="AC243" s="1021"/>
      <c r="AD243" s="1021"/>
      <c r="AE243" s="1021"/>
      <c r="AF243" s="1021"/>
      <c r="AG243" s="1021"/>
      <c r="AH243" s="1021"/>
      <c r="AI243" s="1021"/>
      <c r="AJ243" s="1021"/>
      <c r="AK243" s="1021"/>
      <c r="AL243" s="1021"/>
      <c r="AM243" s="1021"/>
      <c r="AN243" s="1021"/>
      <c r="AO243" s="1021"/>
      <c r="AP243" s="1021"/>
      <c r="AQ243" s="1021"/>
      <c r="AR243" s="1021"/>
      <c r="AS243" s="1021"/>
      <c r="AT243" s="1021"/>
      <c r="AU243" s="1021"/>
      <c r="AV243" s="1021"/>
      <c r="AW243" s="1021"/>
      <c r="AX243" s="1021"/>
      <c r="AY243" s="1021"/>
      <c r="AZ243" s="1021"/>
      <c r="BA243" s="1021"/>
      <c r="BB243" s="1021"/>
      <c r="BC243" s="1021"/>
      <c r="BD243" s="1021"/>
      <c r="BE243" s="1021"/>
      <c r="BF243" s="1021"/>
      <c r="BG243" s="1021"/>
      <c r="BH243" s="1021"/>
      <c r="BI243" s="1021"/>
      <c r="BJ243" s="1021"/>
      <c r="BK243" s="1021"/>
      <c r="BL243" s="1021"/>
      <c r="BM243" s="1021"/>
      <c r="BN243" s="1021"/>
      <c r="BO243" s="1021"/>
      <c r="BP243" s="1021"/>
      <c r="BQ243" s="1021"/>
      <c r="BR243" s="1021"/>
      <c r="BS243" s="1021"/>
      <c r="BT243" s="1021"/>
      <c r="BU243" s="1021"/>
      <c r="BV243" s="1021"/>
      <c r="BW243" s="1021"/>
      <c r="BX243" s="1021"/>
      <c r="BY243" s="1021"/>
      <c r="BZ243" s="1021"/>
      <c r="CA243" s="1021"/>
      <c r="CB243" s="1021"/>
      <c r="CC243" s="1021"/>
    </row>
    <row r="244" spans="8:81" x14ac:dyDescent="0.25">
      <c r="H244" s="1021"/>
      <c r="I244" s="1021"/>
      <c r="J244" s="1021"/>
      <c r="K244" s="1021"/>
      <c r="L244" s="1021"/>
      <c r="M244" s="1021"/>
      <c r="N244" s="1021"/>
      <c r="O244" s="1021"/>
      <c r="P244" s="1021"/>
      <c r="Q244" s="1021"/>
      <c r="R244" s="1021"/>
      <c r="S244" s="1021"/>
      <c r="T244" s="1021"/>
      <c r="U244" s="1021"/>
      <c r="V244" s="1021"/>
      <c r="W244" s="1021"/>
      <c r="X244" s="1021"/>
      <c r="Y244" s="1021"/>
      <c r="Z244" s="1021"/>
      <c r="AA244" s="1021"/>
      <c r="AB244" s="1021"/>
      <c r="AC244" s="1021"/>
      <c r="AD244" s="1021"/>
      <c r="AE244" s="1021"/>
      <c r="AF244" s="1021"/>
      <c r="AG244" s="1021"/>
      <c r="AH244" s="1021"/>
      <c r="AI244" s="1021"/>
      <c r="AJ244" s="1021"/>
      <c r="AK244" s="1021"/>
      <c r="AL244" s="1021"/>
      <c r="AM244" s="1021"/>
      <c r="AN244" s="1021"/>
      <c r="AO244" s="1021"/>
      <c r="AP244" s="1021"/>
      <c r="AQ244" s="1021"/>
      <c r="AR244" s="1021"/>
      <c r="AS244" s="1021"/>
      <c r="AT244" s="1021"/>
      <c r="AU244" s="1021"/>
      <c r="AV244" s="1021"/>
      <c r="AW244" s="1021"/>
      <c r="AX244" s="1021"/>
      <c r="AY244" s="1021"/>
      <c r="AZ244" s="1021"/>
      <c r="BA244" s="1021"/>
      <c r="BB244" s="1021"/>
      <c r="BC244" s="1021"/>
      <c r="BD244" s="1021"/>
      <c r="BE244" s="1021"/>
      <c r="BF244" s="1021"/>
      <c r="BG244" s="1021"/>
      <c r="BH244" s="1021"/>
      <c r="BI244" s="1021"/>
      <c r="BJ244" s="1021"/>
      <c r="BK244" s="1021"/>
      <c r="BL244" s="1021"/>
      <c r="BM244" s="1021"/>
      <c r="BN244" s="1021"/>
      <c r="BO244" s="1021"/>
      <c r="BP244" s="1021"/>
      <c r="BQ244" s="1021"/>
      <c r="BR244" s="1021"/>
      <c r="BS244" s="1021"/>
      <c r="BT244" s="1021"/>
      <c r="BU244" s="1021"/>
      <c r="BV244" s="1021"/>
      <c r="BW244" s="1021"/>
      <c r="BX244" s="1021"/>
      <c r="BY244" s="1021"/>
      <c r="BZ244" s="1021"/>
      <c r="CA244" s="1021"/>
      <c r="CB244" s="1021"/>
      <c r="CC244" s="1021"/>
    </row>
    <row r="245" spans="8:81" x14ac:dyDescent="0.25">
      <c r="H245" s="1021"/>
      <c r="I245" s="1021"/>
      <c r="J245" s="1021"/>
      <c r="K245" s="1021"/>
      <c r="L245" s="1021"/>
      <c r="M245" s="1021"/>
      <c r="N245" s="1021"/>
      <c r="O245" s="1021"/>
      <c r="P245" s="1021"/>
      <c r="Q245" s="1021"/>
      <c r="R245" s="1021"/>
      <c r="S245" s="1021"/>
      <c r="T245" s="1021"/>
      <c r="U245" s="1021"/>
      <c r="V245" s="1021"/>
      <c r="W245" s="1021"/>
      <c r="X245" s="1021"/>
      <c r="Y245" s="1021"/>
      <c r="Z245" s="1021"/>
      <c r="AA245" s="1021"/>
      <c r="AB245" s="1021"/>
      <c r="AC245" s="1021"/>
      <c r="AD245" s="1021"/>
      <c r="AE245" s="1021"/>
      <c r="AF245" s="1021"/>
      <c r="AG245" s="1021"/>
      <c r="AH245" s="1021"/>
      <c r="AI245" s="1021"/>
      <c r="AJ245" s="1021"/>
      <c r="AK245" s="1021"/>
      <c r="AL245" s="1021"/>
      <c r="AM245" s="1021"/>
      <c r="AN245" s="1021"/>
      <c r="AO245" s="1021"/>
      <c r="AP245" s="1021"/>
      <c r="AQ245" s="1021"/>
      <c r="AR245" s="1021"/>
      <c r="AS245" s="1021"/>
      <c r="AT245" s="1021"/>
      <c r="AU245" s="1021"/>
      <c r="AV245" s="1021"/>
      <c r="AW245" s="1021"/>
      <c r="AX245" s="1021"/>
      <c r="AY245" s="1021"/>
      <c r="AZ245" s="1021"/>
      <c r="BA245" s="1021"/>
      <c r="BB245" s="1021"/>
      <c r="BC245" s="1021"/>
      <c r="BD245" s="1021"/>
      <c r="BE245" s="1021"/>
      <c r="BF245" s="1021"/>
      <c r="BG245" s="1021"/>
      <c r="BH245" s="1021"/>
      <c r="BI245" s="1021"/>
      <c r="BJ245" s="1021"/>
      <c r="BK245" s="1021"/>
      <c r="BL245" s="1021"/>
      <c r="BM245" s="1021"/>
      <c r="BN245" s="1021"/>
      <c r="BO245" s="1021"/>
      <c r="BP245" s="1021"/>
      <c r="BQ245" s="1021"/>
      <c r="BR245" s="1021"/>
      <c r="BS245" s="1021"/>
      <c r="BT245" s="1021"/>
      <c r="BU245" s="1021"/>
      <c r="BV245" s="1021"/>
      <c r="BW245" s="1021"/>
      <c r="BX245" s="1021"/>
      <c r="BY245" s="1021"/>
      <c r="BZ245" s="1021"/>
      <c r="CA245" s="1021"/>
      <c r="CB245" s="1021"/>
      <c r="CC245" s="1021"/>
    </row>
    <row r="246" spans="8:81" x14ac:dyDescent="0.25">
      <c r="H246" s="1021"/>
      <c r="I246" s="1021"/>
      <c r="J246" s="1021"/>
      <c r="K246" s="1021"/>
      <c r="L246" s="1021"/>
      <c r="M246" s="1021"/>
      <c r="N246" s="1021"/>
      <c r="O246" s="1021"/>
      <c r="P246" s="1021"/>
      <c r="Q246" s="1021"/>
      <c r="R246" s="1021"/>
      <c r="S246" s="1021"/>
      <c r="T246" s="1021"/>
      <c r="U246" s="1021"/>
      <c r="V246" s="1021"/>
      <c r="W246" s="1021"/>
      <c r="X246" s="1021"/>
      <c r="Y246" s="1021"/>
      <c r="Z246" s="1021"/>
      <c r="AA246" s="1021"/>
      <c r="AB246" s="1021"/>
      <c r="AC246" s="1021"/>
      <c r="AD246" s="1021"/>
      <c r="AE246" s="1021"/>
      <c r="AF246" s="1021"/>
      <c r="AG246" s="1021"/>
      <c r="AH246" s="1021"/>
      <c r="AI246" s="1021"/>
      <c r="AJ246" s="1021"/>
      <c r="AK246" s="1021"/>
      <c r="AL246" s="1021"/>
      <c r="AM246" s="1021"/>
      <c r="AN246" s="1021"/>
      <c r="AO246" s="1021"/>
      <c r="AP246" s="1021"/>
      <c r="AQ246" s="1021"/>
      <c r="AR246" s="1021"/>
      <c r="AS246" s="1021"/>
      <c r="AT246" s="1021"/>
      <c r="AU246" s="1021"/>
      <c r="AV246" s="1021"/>
      <c r="AW246" s="1021"/>
      <c r="AX246" s="1021"/>
      <c r="AY246" s="1021"/>
      <c r="AZ246" s="1021"/>
      <c r="BA246" s="1021"/>
      <c r="BB246" s="1021"/>
      <c r="BC246" s="1021"/>
      <c r="BD246" s="1021"/>
      <c r="BE246" s="1021"/>
      <c r="BF246" s="1021"/>
      <c r="BG246" s="1021"/>
      <c r="BH246" s="1021"/>
      <c r="BI246" s="1021"/>
      <c r="BJ246" s="1021"/>
      <c r="BK246" s="1021"/>
      <c r="BL246" s="1021"/>
      <c r="BM246" s="1021"/>
      <c r="BN246" s="1021"/>
      <c r="BO246" s="1021"/>
      <c r="BP246" s="1021"/>
      <c r="BQ246" s="1021"/>
      <c r="BR246" s="1021"/>
      <c r="BS246" s="1021"/>
      <c r="BT246" s="1021"/>
      <c r="BU246" s="1021"/>
      <c r="BV246" s="1021"/>
      <c r="BW246" s="1021"/>
      <c r="BX246" s="1021"/>
      <c r="BY246" s="1021"/>
      <c r="BZ246" s="1021"/>
      <c r="CA246" s="1021"/>
      <c r="CB246" s="1021"/>
      <c r="CC246" s="1021"/>
    </row>
    <row r="247" spans="8:81" x14ac:dyDescent="0.25">
      <c r="H247" s="1021"/>
      <c r="I247" s="1021"/>
      <c r="J247" s="1021"/>
      <c r="K247" s="1021"/>
      <c r="L247" s="1021"/>
      <c r="M247" s="1021"/>
      <c r="N247" s="1021"/>
      <c r="O247" s="1021"/>
      <c r="P247" s="1021"/>
      <c r="Q247" s="1021"/>
      <c r="R247" s="1021"/>
      <c r="S247" s="1021"/>
      <c r="T247" s="1021"/>
      <c r="U247" s="1021"/>
      <c r="V247" s="1021"/>
      <c r="W247" s="1021"/>
      <c r="X247" s="1021"/>
      <c r="Y247" s="1021"/>
      <c r="Z247" s="1021"/>
      <c r="AA247" s="1021"/>
      <c r="AB247" s="1021"/>
      <c r="AC247" s="1021"/>
      <c r="AD247" s="1021"/>
      <c r="AE247" s="1021"/>
      <c r="AF247" s="1021"/>
      <c r="AG247" s="1021"/>
      <c r="AH247" s="1021"/>
      <c r="AI247" s="1021"/>
      <c r="AJ247" s="1021"/>
      <c r="AK247" s="1021"/>
      <c r="AL247" s="1021"/>
      <c r="AM247" s="1021"/>
      <c r="AN247" s="1021"/>
      <c r="AO247" s="1021"/>
      <c r="AP247" s="1021"/>
      <c r="AQ247" s="1021"/>
      <c r="AR247" s="1021"/>
      <c r="AS247" s="1021"/>
      <c r="AT247" s="1021"/>
      <c r="AU247" s="1021"/>
      <c r="AV247" s="1021"/>
      <c r="AW247" s="1021"/>
      <c r="AX247" s="1021"/>
      <c r="AY247" s="1021"/>
      <c r="AZ247" s="1021"/>
      <c r="BA247" s="1021"/>
      <c r="BB247" s="1021"/>
      <c r="BC247" s="1021"/>
      <c r="BD247" s="1021"/>
      <c r="BE247" s="1021"/>
      <c r="BF247" s="1021"/>
      <c r="BG247" s="1021"/>
      <c r="BH247" s="1021"/>
      <c r="BI247" s="1021"/>
      <c r="BJ247" s="1021"/>
      <c r="BK247" s="1021"/>
      <c r="BL247" s="1021"/>
      <c r="BM247" s="1021"/>
      <c r="BN247" s="1021"/>
      <c r="BO247" s="1021"/>
      <c r="BP247" s="1021"/>
      <c r="BQ247" s="1021"/>
      <c r="BR247" s="1021"/>
      <c r="BS247" s="1021"/>
      <c r="BT247" s="1021"/>
      <c r="BU247" s="1021"/>
      <c r="BV247" s="1021"/>
      <c r="BW247" s="1021"/>
      <c r="BX247" s="1021"/>
      <c r="BY247" s="1021"/>
      <c r="BZ247" s="1021"/>
      <c r="CA247" s="1021"/>
      <c r="CB247" s="1021"/>
      <c r="CC247" s="1021"/>
    </row>
    <row r="248" spans="8:81" x14ac:dyDescent="0.25">
      <c r="H248" s="1021"/>
      <c r="I248" s="1021"/>
      <c r="J248" s="1021"/>
      <c r="K248" s="1021"/>
      <c r="L248" s="1021"/>
      <c r="M248" s="1021"/>
      <c r="N248" s="1021"/>
      <c r="O248" s="1021"/>
      <c r="P248" s="1021"/>
      <c r="Q248" s="1021"/>
      <c r="R248" s="1021"/>
      <c r="S248" s="1021"/>
      <c r="T248" s="1021"/>
      <c r="U248" s="1021"/>
      <c r="V248" s="1021"/>
      <c r="W248" s="1021"/>
      <c r="X248" s="1021"/>
      <c r="Y248" s="1021"/>
      <c r="Z248" s="1021"/>
      <c r="AA248" s="1021"/>
      <c r="AB248" s="1021"/>
      <c r="AC248" s="1021"/>
      <c r="AD248" s="1021"/>
      <c r="AE248" s="1021"/>
      <c r="AF248" s="1021"/>
      <c r="AG248" s="1021"/>
      <c r="AH248" s="1021"/>
      <c r="AI248" s="1021"/>
      <c r="AJ248" s="1021"/>
      <c r="AK248" s="1021"/>
      <c r="AL248" s="1021"/>
      <c r="AM248" s="1021"/>
      <c r="AN248" s="1021"/>
      <c r="AO248" s="1021"/>
      <c r="AP248" s="1021"/>
      <c r="AQ248" s="1021"/>
      <c r="AR248" s="1021"/>
      <c r="AS248" s="1021"/>
      <c r="AT248" s="1021"/>
      <c r="AU248" s="1021"/>
      <c r="AV248" s="1021"/>
      <c r="AW248" s="1021"/>
      <c r="AX248" s="1021"/>
      <c r="AY248" s="1021"/>
      <c r="AZ248" s="1021"/>
      <c r="BA248" s="1021"/>
      <c r="BB248" s="1021"/>
      <c r="BC248" s="1021"/>
      <c r="BD248" s="1021"/>
      <c r="BE248" s="1021"/>
      <c r="BF248" s="1021"/>
      <c r="BG248" s="1021"/>
      <c r="BH248" s="1021"/>
      <c r="BI248" s="1021"/>
      <c r="BJ248" s="1021"/>
      <c r="BK248" s="1021"/>
      <c r="BL248" s="1021"/>
      <c r="BM248" s="1021"/>
      <c r="BN248" s="1021"/>
      <c r="BO248" s="1021"/>
      <c r="BP248" s="1021"/>
      <c r="BQ248" s="1021"/>
      <c r="BR248" s="1021"/>
      <c r="BS248" s="1021"/>
      <c r="BT248" s="1021"/>
      <c r="BU248" s="1021"/>
      <c r="BV248" s="1021"/>
      <c r="BW248" s="1021"/>
      <c r="BX248" s="1021"/>
      <c r="BY248" s="1021"/>
      <c r="BZ248" s="1021"/>
      <c r="CA248" s="1021"/>
      <c r="CB248" s="1021"/>
      <c r="CC248" s="1021"/>
    </row>
    <row r="249" spans="8:81" x14ac:dyDescent="0.25">
      <c r="H249" s="1021"/>
      <c r="I249" s="1021"/>
      <c r="J249" s="1021"/>
      <c r="K249" s="1021"/>
      <c r="L249" s="1021"/>
      <c r="M249" s="1021"/>
      <c r="N249" s="1021"/>
      <c r="O249" s="1021"/>
      <c r="P249" s="1021"/>
      <c r="Q249" s="1021"/>
      <c r="R249" s="1021"/>
      <c r="S249" s="1021"/>
      <c r="T249" s="1021"/>
      <c r="U249" s="1021"/>
      <c r="V249" s="1021"/>
      <c r="W249" s="1021"/>
      <c r="X249" s="1021"/>
      <c r="Y249" s="1021"/>
      <c r="Z249" s="1021"/>
      <c r="AA249" s="1021"/>
      <c r="AB249" s="1021"/>
      <c r="AC249" s="1021"/>
      <c r="AD249" s="1021"/>
      <c r="AE249" s="1021"/>
      <c r="AF249" s="1021"/>
      <c r="AG249" s="1021"/>
      <c r="AH249" s="1021"/>
      <c r="AI249" s="1021"/>
      <c r="AJ249" s="1021"/>
      <c r="AK249" s="1021"/>
      <c r="AL249" s="1021"/>
      <c r="AM249" s="1021"/>
      <c r="AN249" s="1021"/>
      <c r="AO249" s="1021"/>
      <c r="AP249" s="1021"/>
      <c r="AQ249" s="1021"/>
      <c r="AR249" s="1021"/>
      <c r="AS249" s="1021"/>
      <c r="AT249" s="1021"/>
      <c r="AU249" s="1021"/>
      <c r="AV249" s="1021"/>
      <c r="AW249" s="1021"/>
      <c r="AX249" s="1021"/>
      <c r="AY249" s="1021"/>
      <c r="AZ249" s="1021"/>
      <c r="BA249" s="1021"/>
      <c r="BB249" s="1021"/>
      <c r="BC249" s="1021"/>
      <c r="BD249" s="1021"/>
      <c r="BE249" s="1021"/>
      <c r="BF249" s="1021"/>
      <c r="BG249" s="1021"/>
      <c r="BH249" s="1021"/>
      <c r="BI249" s="1021"/>
      <c r="BJ249" s="1021"/>
      <c r="BK249" s="1021"/>
      <c r="BL249" s="1021"/>
      <c r="BM249" s="1021"/>
      <c r="BN249" s="1021"/>
      <c r="BO249" s="1021"/>
      <c r="BP249" s="1021"/>
      <c r="BQ249" s="1021"/>
      <c r="BR249" s="1021"/>
      <c r="BS249" s="1021"/>
      <c r="BT249" s="1021"/>
      <c r="BU249" s="1021"/>
      <c r="BV249" s="1021"/>
      <c r="BW249" s="1021"/>
      <c r="BX249" s="1021"/>
      <c r="BY249" s="1021"/>
      <c r="BZ249" s="1021"/>
      <c r="CA249" s="1021"/>
      <c r="CB249" s="1021"/>
      <c r="CC249" s="1021"/>
    </row>
    <row r="250" spans="8:81" x14ac:dyDescent="0.25">
      <c r="H250" s="1021"/>
      <c r="I250" s="1021"/>
      <c r="J250" s="1021"/>
      <c r="K250" s="1021"/>
      <c r="L250" s="1021"/>
      <c r="M250" s="1021"/>
      <c r="N250" s="1021"/>
      <c r="O250" s="1021"/>
      <c r="P250" s="1021"/>
      <c r="Q250" s="1021"/>
      <c r="R250" s="1021"/>
      <c r="S250" s="1021"/>
      <c r="T250" s="1021"/>
      <c r="U250" s="1021"/>
      <c r="V250" s="1021"/>
      <c r="W250" s="1021"/>
      <c r="X250" s="1021"/>
      <c r="Y250" s="1021"/>
      <c r="Z250" s="1021"/>
      <c r="AA250" s="1021"/>
      <c r="AB250" s="1021"/>
      <c r="AC250" s="1021"/>
      <c r="AD250" s="1021"/>
      <c r="AE250" s="1021"/>
      <c r="AF250" s="1021"/>
      <c r="AG250" s="1021"/>
      <c r="AH250" s="1021"/>
      <c r="AI250" s="1021"/>
      <c r="AJ250" s="1021"/>
      <c r="AK250" s="1021"/>
      <c r="AL250" s="1021"/>
      <c r="AM250" s="1021"/>
      <c r="AN250" s="1021"/>
      <c r="AO250" s="1021"/>
      <c r="AP250" s="1021"/>
      <c r="AQ250" s="1021"/>
      <c r="AR250" s="1021"/>
      <c r="AS250" s="1021"/>
      <c r="AT250" s="1021"/>
      <c r="AU250" s="1021"/>
      <c r="AV250" s="1021"/>
      <c r="AW250" s="1021"/>
      <c r="AX250" s="1021"/>
      <c r="AY250" s="1021"/>
      <c r="AZ250" s="1021"/>
      <c r="BA250" s="1021"/>
      <c r="BB250" s="1021"/>
      <c r="BC250" s="1021"/>
      <c r="BD250" s="1021"/>
      <c r="BE250" s="1021"/>
      <c r="BF250" s="1021"/>
      <c r="BG250" s="1021"/>
      <c r="BH250" s="1021"/>
      <c r="BI250" s="1021"/>
      <c r="BJ250" s="1021"/>
      <c r="BK250" s="1021"/>
      <c r="BL250" s="1021"/>
      <c r="BM250" s="1021"/>
      <c r="BN250" s="1021"/>
      <c r="BO250" s="1021"/>
      <c r="BP250" s="1021"/>
      <c r="BQ250" s="1021"/>
      <c r="BR250" s="1021"/>
      <c r="BS250" s="1021"/>
      <c r="BT250" s="1021"/>
      <c r="BU250" s="1021"/>
      <c r="BV250" s="1021"/>
      <c r="BW250" s="1021"/>
      <c r="BX250" s="1021"/>
      <c r="BY250" s="1021"/>
      <c r="BZ250" s="1021"/>
      <c r="CA250" s="1021"/>
      <c r="CB250" s="1021"/>
      <c r="CC250" s="1021"/>
    </row>
    <row r="251" spans="8:81" x14ac:dyDescent="0.25">
      <c r="H251" s="1021"/>
      <c r="I251" s="1021"/>
      <c r="J251" s="1021"/>
      <c r="K251" s="1021"/>
      <c r="L251" s="1021"/>
      <c r="M251" s="1021"/>
      <c r="N251" s="1021"/>
      <c r="O251" s="1021"/>
      <c r="P251" s="1021"/>
      <c r="Q251" s="1021"/>
      <c r="R251" s="1021"/>
      <c r="S251" s="1021"/>
      <c r="T251" s="1021"/>
      <c r="U251" s="1021"/>
      <c r="V251" s="1021"/>
      <c r="W251" s="1021"/>
      <c r="X251" s="1021"/>
      <c r="Y251" s="1021"/>
      <c r="Z251" s="1021"/>
      <c r="AA251" s="1021"/>
      <c r="AB251" s="1021"/>
      <c r="AC251" s="1021"/>
      <c r="AD251" s="1021"/>
      <c r="AE251" s="1021"/>
      <c r="AF251" s="1021"/>
      <c r="AG251" s="1021"/>
      <c r="AH251" s="1021"/>
      <c r="AI251" s="1021"/>
      <c r="AJ251" s="1021"/>
      <c r="AK251" s="1021"/>
      <c r="AL251" s="1021"/>
      <c r="AM251" s="1021"/>
      <c r="AN251" s="1021"/>
      <c r="AO251" s="1021"/>
      <c r="AP251" s="1021"/>
      <c r="AQ251" s="1021"/>
      <c r="AR251" s="1021"/>
      <c r="AS251" s="1021"/>
      <c r="AT251" s="1021"/>
      <c r="AU251" s="1021"/>
      <c r="AV251" s="1021"/>
      <c r="AW251" s="1021"/>
      <c r="AX251" s="1021"/>
      <c r="AY251" s="1021"/>
      <c r="AZ251" s="1021"/>
      <c r="BA251" s="1021"/>
      <c r="BB251" s="1021"/>
      <c r="BC251" s="1021"/>
      <c r="BD251" s="1021"/>
      <c r="BE251" s="1021"/>
      <c r="BF251" s="1021"/>
      <c r="BG251" s="1021"/>
      <c r="BH251" s="1021"/>
      <c r="BI251" s="1021"/>
      <c r="BJ251" s="1021"/>
      <c r="BK251" s="1021"/>
      <c r="BL251" s="1021"/>
      <c r="BM251" s="1021"/>
      <c r="BN251" s="1021"/>
      <c r="BO251" s="1021"/>
      <c r="BP251" s="1021"/>
      <c r="BQ251" s="1021"/>
      <c r="BR251" s="1021"/>
      <c r="BS251" s="1021"/>
      <c r="BT251" s="1021"/>
      <c r="BU251" s="1021"/>
      <c r="BV251" s="1021"/>
      <c r="BW251" s="1021"/>
      <c r="BX251" s="1021"/>
      <c r="BY251" s="1021"/>
      <c r="BZ251" s="1021"/>
      <c r="CA251" s="1021"/>
      <c r="CB251" s="1021"/>
      <c r="CC251" s="1021"/>
    </row>
    <row r="252" spans="8:81" x14ac:dyDescent="0.25">
      <c r="H252" s="1021"/>
      <c r="I252" s="1021"/>
      <c r="J252" s="1021"/>
      <c r="K252" s="1021"/>
      <c r="L252" s="1021"/>
      <c r="M252" s="1021"/>
      <c r="N252" s="1021"/>
      <c r="O252" s="1021"/>
      <c r="P252" s="1021"/>
      <c r="Q252" s="1021"/>
      <c r="R252" s="1021"/>
      <c r="S252" s="1021"/>
      <c r="T252" s="1021"/>
      <c r="U252" s="1021"/>
      <c r="V252" s="1021"/>
      <c r="W252" s="1021"/>
      <c r="X252" s="1021"/>
      <c r="Y252" s="1021"/>
      <c r="Z252" s="1021"/>
      <c r="AA252" s="1021"/>
      <c r="AB252" s="1021"/>
      <c r="AC252" s="1021"/>
      <c r="AD252" s="1021"/>
      <c r="AE252" s="1021"/>
      <c r="AF252" s="1021"/>
      <c r="AG252" s="1021"/>
      <c r="AH252" s="1021"/>
      <c r="AI252" s="1021"/>
      <c r="AJ252" s="1021"/>
      <c r="AK252" s="1021"/>
      <c r="AL252" s="1021"/>
      <c r="AM252" s="1021"/>
      <c r="AN252" s="1021"/>
      <c r="AO252" s="1021"/>
      <c r="AP252" s="1021"/>
      <c r="AQ252" s="1021"/>
      <c r="AR252" s="1021"/>
      <c r="AS252" s="1021"/>
      <c r="AT252" s="1021"/>
      <c r="AU252" s="1021"/>
      <c r="AV252" s="1021"/>
      <c r="AW252" s="1021"/>
      <c r="AX252" s="1021"/>
      <c r="AY252" s="1021"/>
      <c r="AZ252" s="1021"/>
      <c r="BA252" s="1021"/>
      <c r="BB252" s="1021"/>
      <c r="BC252" s="1021"/>
      <c r="BD252" s="1021"/>
      <c r="BE252" s="1021"/>
      <c r="BF252" s="1021"/>
      <c r="BG252" s="1021"/>
      <c r="BH252" s="1021"/>
      <c r="BI252" s="1021"/>
      <c r="BJ252" s="1021"/>
      <c r="BK252" s="1021"/>
      <c r="BL252" s="1021"/>
      <c r="BM252" s="1021"/>
      <c r="BN252" s="1021"/>
      <c r="BO252" s="1021"/>
      <c r="BP252" s="1021"/>
      <c r="BQ252" s="1021"/>
      <c r="BR252" s="1021"/>
      <c r="BS252" s="1021"/>
      <c r="BT252" s="1021"/>
      <c r="BU252" s="1021"/>
      <c r="BV252" s="1021"/>
      <c r="BW252" s="1021"/>
      <c r="BX252" s="1021"/>
      <c r="BY252" s="1021"/>
      <c r="BZ252" s="1021"/>
      <c r="CA252" s="1021"/>
      <c r="CB252" s="1021"/>
      <c r="CC252" s="1021"/>
    </row>
    <row r="253" spans="8:81" x14ac:dyDescent="0.25">
      <c r="H253" s="1021"/>
      <c r="I253" s="1021"/>
      <c r="J253" s="1021"/>
      <c r="K253" s="1021"/>
      <c r="L253" s="1021"/>
      <c r="M253" s="1021"/>
      <c r="N253" s="1021"/>
      <c r="O253" s="1021"/>
      <c r="P253" s="1021"/>
      <c r="Q253" s="1021"/>
      <c r="R253" s="1021"/>
      <c r="S253" s="1021"/>
      <c r="T253" s="1021"/>
      <c r="U253" s="1021"/>
      <c r="V253" s="1021"/>
      <c r="W253" s="1021"/>
      <c r="X253" s="1021"/>
      <c r="Y253" s="1021"/>
      <c r="Z253" s="1021"/>
      <c r="AA253" s="1021"/>
      <c r="AB253" s="1021"/>
      <c r="AC253" s="1021"/>
      <c r="AD253" s="1021"/>
      <c r="AE253" s="1021"/>
      <c r="AF253" s="1021"/>
      <c r="AG253" s="1021"/>
      <c r="AH253" s="1021"/>
      <c r="AI253" s="1021"/>
      <c r="AJ253" s="1021"/>
      <c r="AK253" s="1021"/>
      <c r="AL253" s="1021"/>
      <c r="AM253" s="1021"/>
      <c r="AN253" s="1021"/>
      <c r="AO253" s="1021"/>
      <c r="AP253" s="1021"/>
      <c r="AQ253" s="1021"/>
      <c r="AR253" s="1021"/>
      <c r="AS253" s="1021"/>
      <c r="AT253" s="1021"/>
      <c r="AU253" s="1021"/>
      <c r="AV253" s="1021"/>
      <c r="AW253" s="1021"/>
      <c r="AX253" s="1021"/>
      <c r="AY253" s="1021"/>
      <c r="AZ253" s="1021"/>
      <c r="BA253" s="1021"/>
      <c r="BB253" s="1021"/>
      <c r="BC253" s="1021"/>
      <c r="BD253" s="1021"/>
      <c r="BE253" s="1021"/>
      <c r="BF253" s="1021"/>
      <c r="BG253" s="1021"/>
      <c r="BH253" s="1021"/>
      <c r="BI253" s="1021"/>
      <c r="BJ253" s="1021"/>
      <c r="BK253" s="1021"/>
      <c r="BL253" s="1021"/>
      <c r="BM253" s="1021"/>
      <c r="BN253" s="1021"/>
      <c r="BO253" s="1021"/>
      <c r="BP253" s="1021"/>
      <c r="BQ253" s="1021"/>
      <c r="BR253" s="1021"/>
      <c r="BS253" s="1021"/>
      <c r="BT253" s="1021"/>
      <c r="BU253" s="1021"/>
      <c r="BV253" s="1021"/>
      <c r="BW253" s="1021"/>
      <c r="BX253" s="1021"/>
      <c r="BY253" s="1021"/>
      <c r="BZ253" s="1021"/>
      <c r="CA253" s="1021"/>
      <c r="CB253" s="1021"/>
      <c r="CC253" s="1021"/>
    </row>
    <row r="254" spans="8:81" x14ac:dyDescent="0.25">
      <c r="H254" s="1021"/>
      <c r="I254" s="1021"/>
      <c r="J254" s="1021"/>
      <c r="K254" s="1021"/>
      <c r="L254" s="1021"/>
      <c r="M254" s="1021"/>
      <c r="N254" s="1021"/>
      <c r="O254" s="1021"/>
      <c r="P254" s="1021"/>
      <c r="Q254" s="1021"/>
      <c r="R254" s="1021"/>
      <c r="S254" s="1021"/>
      <c r="T254" s="1021"/>
      <c r="U254" s="1021"/>
      <c r="V254" s="1021"/>
      <c r="W254" s="1021"/>
      <c r="X254" s="1021"/>
      <c r="Y254" s="1021"/>
      <c r="Z254" s="1021"/>
      <c r="AA254" s="1021"/>
      <c r="AB254" s="1021"/>
      <c r="AC254" s="1021"/>
      <c r="AD254" s="1021"/>
      <c r="AE254" s="1021"/>
      <c r="AF254" s="1021"/>
      <c r="AG254" s="1021"/>
      <c r="AH254" s="1021"/>
      <c r="AI254" s="1021"/>
      <c r="AJ254" s="1021"/>
      <c r="AK254" s="1021"/>
      <c r="AL254" s="1021"/>
      <c r="AM254" s="1021"/>
      <c r="AN254" s="1021"/>
      <c r="AO254" s="1021"/>
      <c r="AP254" s="1021"/>
      <c r="AQ254" s="1021"/>
      <c r="AR254" s="1021"/>
      <c r="AS254" s="1021"/>
      <c r="AT254" s="1021"/>
      <c r="AU254" s="1021"/>
      <c r="AV254" s="1021"/>
      <c r="AW254" s="1021"/>
      <c r="AX254" s="1021"/>
      <c r="AY254" s="1021"/>
      <c r="AZ254" s="1021"/>
      <c r="BA254" s="1021"/>
      <c r="BB254" s="1021"/>
      <c r="BC254" s="1021"/>
      <c r="BD254" s="1021"/>
      <c r="BE254" s="1021"/>
      <c r="BF254" s="1021"/>
      <c r="BG254" s="1021"/>
      <c r="BH254" s="1021"/>
      <c r="BI254" s="1021"/>
      <c r="BJ254" s="1021"/>
      <c r="BK254" s="1021"/>
      <c r="BL254" s="1021"/>
      <c r="BM254" s="1021"/>
      <c r="BN254" s="1021"/>
      <c r="BO254" s="1021"/>
      <c r="BP254" s="1021"/>
      <c r="BQ254" s="1021"/>
      <c r="BR254" s="1021"/>
      <c r="BS254" s="1021"/>
      <c r="BT254" s="1021"/>
      <c r="BU254" s="1021"/>
      <c r="BV254" s="1021"/>
      <c r="BW254" s="1021"/>
      <c r="BX254" s="1021"/>
      <c r="BY254" s="1021"/>
      <c r="BZ254" s="1021"/>
      <c r="CA254" s="1021"/>
      <c r="CB254" s="1021"/>
      <c r="CC254" s="1021"/>
    </row>
    <row r="255" spans="8:81" x14ac:dyDescent="0.25">
      <c r="H255" s="1021"/>
      <c r="I255" s="1021"/>
      <c r="J255" s="1021"/>
      <c r="K255" s="1021"/>
      <c r="L255" s="1021"/>
      <c r="M255" s="1021"/>
      <c r="N255" s="1021"/>
      <c r="O255" s="1021"/>
      <c r="P255" s="1021"/>
      <c r="Q255" s="1021"/>
      <c r="R255" s="1021"/>
      <c r="S255" s="1021"/>
      <c r="T255" s="1021"/>
      <c r="U255" s="1021"/>
      <c r="V255" s="1021"/>
      <c r="W255" s="1021"/>
      <c r="X255" s="1021"/>
      <c r="Y255" s="1021"/>
      <c r="Z255" s="1021"/>
      <c r="AA255" s="1021"/>
      <c r="AB255" s="1021"/>
      <c r="AC255" s="1021"/>
      <c r="AD255" s="1021"/>
      <c r="AE255" s="1021"/>
      <c r="AF255" s="1021"/>
      <c r="AG255" s="1021"/>
      <c r="AH255" s="1021"/>
      <c r="AI255" s="1021"/>
      <c r="AJ255" s="1021"/>
      <c r="AK255" s="1021"/>
      <c r="AL255" s="1021"/>
      <c r="AM255" s="1021"/>
      <c r="AN255" s="1021"/>
      <c r="AO255" s="1021"/>
      <c r="AP255" s="1021"/>
      <c r="AQ255" s="1021"/>
      <c r="AR255" s="1021"/>
      <c r="AS255" s="1021"/>
      <c r="AT255" s="1021"/>
      <c r="AU255" s="1021"/>
      <c r="AV255" s="1021"/>
      <c r="AW255" s="1021"/>
      <c r="AX255" s="1021"/>
      <c r="AY255" s="1021"/>
      <c r="AZ255" s="1021"/>
      <c r="BA255" s="1021"/>
      <c r="BB255" s="1021"/>
      <c r="BC255" s="1021"/>
      <c r="BD255" s="1021"/>
      <c r="BE255" s="1021"/>
      <c r="BF255" s="1021"/>
      <c r="BG255" s="1021"/>
      <c r="BH255" s="1021"/>
      <c r="BI255" s="1021"/>
      <c r="BJ255" s="1021"/>
      <c r="BK255" s="1021"/>
      <c r="BL255" s="1021"/>
      <c r="BM255" s="1021"/>
      <c r="BN255" s="1021"/>
      <c r="BO255" s="1021"/>
      <c r="BP255" s="1021"/>
      <c r="BQ255" s="1021"/>
      <c r="BR255" s="1021"/>
      <c r="BS255" s="1021"/>
      <c r="BT255" s="1021"/>
      <c r="BU255" s="1021"/>
      <c r="BV255" s="1021"/>
      <c r="BW255" s="1021"/>
      <c r="BX255" s="1021"/>
      <c r="BY255" s="1021"/>
      <c r="BZ255" s="1021"/>
      <c r="CA255" s="1021"/>
      <c r="CB255" s="1021"/>
      <c r="CC255" s="1021"/>
    </row>
    <row r="256" spans="8:81" x14ac:dyDescent="0.25">
      <c r="H256" s="1021"/>
      <c r="I256" s="1021"/>
      <c r="J256" s="1021"/>
      <c r="K256" s="1021"/>
      <c r="L256" s="1021"/>
      <c r="M256" s="1021"/>
      <c r="N256" s="1021"/>
      <c r="O256" s="1021"/>
      <c r="P256" s="1021"/>
      <c r="Q256" s="1021"/>
      <c r="R256" s="1021"/>
      <c r="S256" s="1021"/>
      <c r="T256" s="1021"/>
      <c r="U256" s="1021"/>
      <c r="V256" s="1021"/>
      <c r="W256" s="1021"/>
      <c r="X256" s="1021"/>
      <c r="Y256" s="1021"/>
      <c r="Z256" s="1021"/>
      <c r="AA256" s="1021"/>
      <c r="AB256" s="1021"/>
      <c r="AC256" s="1021"/>
      <c r="AD256" s="1021"/>
      <c r="AE256" s="1021"/>
      <c r="AF256" s="1021"/>
      <c r="AG256" s="1021"/>
      <c r="AH256" s="1021"/>
      <c r="AI256" s="1021"/>
      <c r="AJ256" s="1021"/>
      <c r="AK256" s="1021"/>
      <c r="AL256" s="1021"/>
      <c r="AM256" s="1021"/>
      <c r="AN256" s="1021"/>
      <c r="AO256" s="1021"/>
      <c r="AP256" s="1021"/>
      <c r="AQ256" s="1021"/>
      <c r="AR256" s="1021"/>
      <c r="AS256" s="1021"/>
      <c r="AT256" s="1021"/>
      <c r="AU256" s="1021"/>
      <c r="AV256" s="1021"/>
      <c r="AW256" s="1021"/>
      <c r="AX256" s="1021"/>
      <c r="AY256" s="1021"/>
      <c r="AZ256" s="1021"/>
      <c r="BA256" s="1021"/>
      <c r="BB256" s="1021"/>
      <c r="BC256" s="1021"/>
      <c r="BD256" s="1021"/>
      <c r="BE256" s="1021"/>
      <c r="BF256" s="1021"/>
      <c r="BG256" s="1021"/>
      <c r="BH256" s="1021"/>
      <c r="BI256" s="1021"/>
      <c r="BJ256" s="1021"/>
      <c r="BK256" s="1021"/>
      <c r="BL256" s="1021"/>
      <c r="BM256" s="1021"/>
      <c r="BN256" s="1021"/>
      <c r="BO256" s="1021"/>
      <c r="BP256" s="1021"/>
      <c r="BQ256" s="1021"/>
      <c r="BR256" s="1021"/>
      <c r="BS256" s="1021"/>
      <c r="BT256" s="1021"/>
      <c r="BU256" s="1021"/>
      <c r="BV256" s="1021"/>
      <c r="BW256" s="1021"/>
      <c r="BX256" s="1021"/>
      <c r="BY256" s="1021"/>
      <c r="BZ256" s="1021"/>
      <c r="CA256" s="1021"/>
      <c r="CB256" s="1021"/>
      <c r="CC256" s="1021"/>
    </row>
    <row r="257" spans="8:81" x14ac:dyDescent="0.25">
      <c r="H257" s="1021"/>
      <c r="I257" s="1021"/>
      <c r="J257" s="1021"/>
      <c r="K257" s="1021"/>
      <c r="L257" s="1021"/>
      <c r="M257" s="1021"/>
      <c r="N257" s="1021"/>
      <c r="O257" s="1021"/>
      <c r="P257" s="1021"/>
      <c r="Q257" s="1021"/>
      <c r="R257" s="1021"/>
      <c r="S257" s="1021"/>
      <c r="T257" s="1021"/>
      <c r="U257" s="1021"/>
      <c r="V257" s="1021"/>
      <c r="W257" s="1021"/>
      <c r="X257" s="1021"/>
      <c r="Y257" s="1021"/>
      <c r="Z257" s="1021"/>
      <c r="AA257" s="1021"/>
      <c r="AB257" s="1021"/>
      <c r="AC257" s="1021"/>
      <c r="AD257" s="1021"/>
      <c r="AE257" s="1021"/>
      <c r="AF257" s="1021"/>
      <c r="AG257" s="1021"/>
      <c r="AH257" s="1021"/>
      <c r="AI257" s="1021"/>
      <c r="AJ257" s="1021"/>
      <c r="AK257" s="1021"/>
      <c r="AL257" s="1021"/>
      <c r="AM257" s="1021"/>
      <c r="AN257" s="1021"/>
      <c r="AO257" s="1021"/>
      <c r="AP257" s="1021"/>
      <c r="AQ257" s="1021"/>
      <c r="AR257" s="1021"/>
      <c r="AS257" s="1021"/>
      <c r="AT257" s="1021"/>
      <c r="AU257" s="1021"/>
      <c r="AV257" s="1021"/>
      <c r="AW257" s="1021"/>
      <c r="AX257" s="1021"/>
      <c r="AY257" s="1021"/>
      <c r="AZ257" s="1021"/>
      <c r="BA257" s="1021"/>
      <c r="BB257" s="1021"/>
      <c r="BC257" s="1021"/>
      <c r="BD257" s="1021"/>
      <c r="BE257" s="1021"/>
      <c r="BF257" s="1021"/>
      <c r="BG257" s="1021"/>
      <c r="BH257" s="1021"/>
      <c r="BI257" s="1021"/>
      <c r="BJ257" s="1021"/>
      <c r="BK257" s="1021"/>
      <c r="BL257" s="1021"/>
      <c r="BM257" s="1021"/>
      <c r="BN257" s="1021"/>
      <c r="BO257" s="1021"/>
      <c r="BP257" s="1021"/>
      <c r="BQ257" s="1021"/>
      <c r="BR257" s="1021"/>
      <c r="BS257" s="1021"/>
      <c r="BT257" s="1021"/>
      <c r="BU257" s="1021"/>
      <c r="BV257" s="1021"/>
      <c r="BW257" s="1021"/>
      <c r="BX257" s="1021"/>
      <c r="BY257" s="1021"/>
      <c r="BZ257" s="1021"/>
      <c r="CA257" s="1021"/>
      <c r="CB257" s="1021"/>
      <c r="CC257" s="1021"/>
    </row>
    <row r="258" spans="8:81" x14ac:dyDescent="0.25">
      <c r="H258" s="1021"/>
      <c r="I258" s="1021"/>
      <c r="J258" s="1021"/>
      <c r="K258" s="1021"/>
      <c r="L258" s="1021"/>
      <c r="M258" s="1021"/>
      <c r="N258" s="1021"/>
      <c r="O258" s="1021"/>
      <c r="P258" s="1021"/>
      <c r="Q258" s="1021"/>
      <c r="R258" s="1021"/>
      <c r="S258" s="1021"/>
      <c r="T258" s="1021"/>
      <c r="U258" s="1021"/>
      <c r="V258" s="1021"/>
      <c r="W258" s="1021"/>
      <c r="X258" s="1021"/>
      <c r="Y258" s="1021"/>
      <c r="Z258" s="1021"/>
      <c r="AA258" s="1021"/>
      <c r="AB258" s="1021"/>
      <c r="AC258" s="1021"/>
      <c r="AD258" s="1021"/>
      <c r="AE258" s="1021"/>
      <c r="AF258" s="1021"/>
      <c r="AG258" s="1021"/>
      <c r="AH258" s="1021"/>
      <c r="AI258" s="1021"/>
      <c r="AJ258" s="1021"/>
      <c r="AK258" s="1021"/>
      <c r="AL258" s="1021"/>
      <c r="AM258" s="1021"/>
      <c r="AN258" s="1021"/>
      <c r="AO258" s="1021"/>
      <c r="AP258" s="1021"/>
      <c r="AQ258" s="1021"/>
      <c r="AR258" s="1021"/>
      <c r="AS258" s="1021"/>
      <c r="AT258" s="1021"/>
      <c r="AU258" s="1021"/>
      <c r="AV258" s="1021"/>
      <c r="AW258" s="1021"/>
      <c r="AX258" s="1021"/>
      <c r="AY258" s="1021"/>
      <c r="AZ258" s="1021"/>
      <c r="BA258" s="1021"/>
      <c r="BB258" s="1021"/>
      <c r="BC258" s="1021"/>
      <c r="BD258" s="1021"/>
      <c r="BE258" s="1021"/>
      <c r="BF258" s="1021"/>
      <c r="BG258" s="1021"/>
      <c r="BH258" s="1021"/>
      <c r="BI258" s="1021"/>
      <c r="BJ258" s="1021"/>
      <c r="BK258" s="1021"/>
      <c r="BL258" s="1021"/>
      <c r="BM258" s="1021"/>
      <c r="BN258" s="1021"/>
      <c r="BO258" s="1021"/>
      <c r="BP258" s="1021"/>
      <c r="BQ258" s="1021"/>
      <c r="BR258" s="1021"/>
      <c r="BS258" s="1021"/>
      <c r="BT258" s="1021"/>
      <c r="BU258" s="1021"/>
      <c r="BV258" s="1021"/>
      <c r="BW258" s="1021"/>
      <c r="BX258" s="1021"/>
      <c r="BY258" s="1021"/>
      <c r="BZ258" s="1021"/>
      <c r="CA258" s="1021"/>
      <c r="CB258" s="1021"/>
      <c r="CC258" s="1021"/>
    </row>
    <row r="259" spans="8:81" x14ac:dyDescent="0.25">
      <c r="H259" s="1021"/>
      <c r="I259" s="1021"/>
      <c r="J259" s="1021"/>
      <c r="K259" s="1021"/>
      <c r="L259" s="1021"/>
      <c r="M259" s="1021"/>
      <c r="N259" s="1021"/>
      <c r="O259" s="1021"/>
      <c r="P259" s="1021"/>
      <c r="Q259" s="1021"/>
      <c r="R259" s="1021"/>
      <c r="S259" s="1021"/>
      <c r="T259" s="1021"/>
      <c r="U259" s="1021"/>
      <c r="V259" s="1021"/>
      <c r="W259" s="1021"/>
      <c r="X259" s="1021"/>
      <c r="Y259" s="1021"/>
      <c r="Z259" s="1021"/>
      <c r="AA259" s="1021"/>
      <c r="AB259" s="1021"/>
      <c r="AC259" s="1021"/>
      <c r="AD259" s="1021"/>
      <c r="AE259" s="1021"/>
      <c r="AF259" s="1021"/>
      <c r="AG259" s="1021"/>
      <c r="AH259" s="1021"/>
      <c r="AI259" s="1021"/>
      <c r="AJ259" s="1021"/>
      <c r="AK259" s="1021"/>
      <c r="AL259" s="1021"/>
      <c r="AM259" s="1021"/>
      <c r="AN259" s="1021"/>
      <c r="AO259" s="1021"/>
      <c r="AP259" s="1021"/>
      <c r="AQ259" s="1021"/>
      <c r="AR259" s="1021"/>
      <c r="AS259" s="1021"/>
      <c r="AT259" s="1021"/>
      <c r="AU259" s="1021"/>
      <c r="AV259" s="1021"/>
      <c r="AW259" s="1021"/>
      <c r="AX259" s="1021"/>
      <c r="AY259" s="1021"/>
      <c r="AZ259" s="1021"/>
      <c r="BA259" s="1021"/>
      <c r="BB259" s="1021"/>
      <c r="BC259" s="1021"/>
      <c r="BD259" s="1021"/>
      <c r="BE259" s="1021"/>
      <c r="BF259" s="1021"/>
      <c r="BG259" s="1021"/>
      <c r="BH259" s="1021"/>
      <c r="BI259" s="1021"/>
      <c r="BJ259" s="1021"/>
      <c r="BK259" s="1021"/>
      <c r="BL259" s="1021"/>
      <c r="BM259" s="1021"/>
      <c r="BN259" s="1021"/>
      <c r="BO259" s="1021"/>
      <c r="BP259" s="1021"/>
      <c r="BQ259" s="1021"/>
      <c r="BR259" s="1021"/>
      <c r="BS259" s="1021"/>
      <c r="BT259" s="1021"/>
      <c r="BU259" s="1021"/>
      <c r="BV259" s="1021"/>
      <c r="BW259" s="1021"/>
      <c r="BX259" s="1021"/>
      <c r="BY259" s="1021"/>
      <c r="BZ259" s="1021"/>
      <c r="CA259" s="1021"/>
      <c r="CB259" s="1021"/>
      <c r="CC259" s="1021"/>
    </row>
    <row r="260" spans="8:81" x14ac:dyDescent="0.25">
      <c r="H260" s="1021"/>
      <c r="I260" s="1021"/>
      <c r="J260" s="1021"/>
      <c r="K260" s="1021"/>
      <c r="L260" s="1021"/>
      <c r="M260" s="1021"/>
      <c r="N260" s="1021"/>
      <c r="O260" s="1021"/>
      <c r="P260" s="1021"/>
      <c r="Q260" s="1021"/>
      <c r="R260" s="1021"/>
      <c r="S260" s="1021"/>
      <c r="T260" s="1021"/>
      <c r="U260" s="1021"/>
      <c r="V260" s="1021"/>
      <c r="W260" s="1021"/>
      <c r="X260" s="1021"/>
      <c r="Y260" s="1021"/>
      <c r="Z260" s="1021"/>
      <c r="AA260" s="1021"/>
      <c r="AB260" s="1021"/>
      <c r="AC260" s="1021"/>
      <c r="AD260" s="1021"/>
      <c r="AE260" s="1021"/>
      <c r="AF260" s="1021"/>
      <c r="AG260" s="1021"/>
      <c r="AH260" s="1021"/>
      <c r="AI260" s="1021"/>
      <c r="AJ260" s="1021"/>
      <c r="AK260" s="1021"/>
      <c r="AL260" s="1021"/>
      <c r="AM260" s="1021"/>
      <c r="AN260" s="1021"/>
      <c r="AO260" s="1021"/>
      <c r="AP260" s="1021"/>
      <c r="AQ260" s="1021"/>
      <c r="AR260" s="1021"/>
      <c r="AS260" s="1021"/>
      <c r="AT260" s="1021"/>
      <c r="AU260" s="1021"/>
      <c r="AV260" s="1021"/>
      <c r="AW260" s="1021"/>
      <c r="AX260" s="1021"/>
      <c r="AY260" s="1021"/>
      <c r="AZ260" s="1021"/>
      <c r="BA260" s="1021"/>
      <c r="BB260" s="1021"/>
      <c r="BC260" s="1021"/>
      <c r="BD260" s="1021"/>
      <c r="BE260" s="1021"/>
      <c r="BF260" s="1021"/>
      <c r="BG260" s="1021"/>
      <c r="BH260" s="1021"/>
      <c r="BI260" s="1021"/>
      <c r="BJ260" s="1021"/>
      <c r="BK260" s="1021"/>
      <c r="BL260" s="1021"/>
      <c r="BM260" s="1021"/>
      <c r="BN260" s="1021"/>
      <c r="BO260" s="1021"/>
      <c r="BP260" s="1021"/>
      <c r="BQ260" s="1021"/>
      <c r="BR260" s="1021"/>
      <c r="BS260" s="1021"/>
      <c r="BT260" s="1021"/>
      <c r="BU260" s="1021"/>
      <c r="BV260" s="1021"/>
      <c r="BW260" s="1021"/>
      <c r="BX260" s="1021"/>
      <c r="BY260" s="1021"/>
      <c r="BZ260" s="1021"/>
      <c r="CA260" s="1021"/>
      <c r="CB260" s="1021"/>
      <c r="CC260" s="1021"/>
    </row>
    <row r="261" spans="8:81" x14ac:dyDescent="0.25">
      <c r="H261" s="1021"/>
      <c r="I261" s="1021"/>
      <c r="J261" s="1021"/>
      <c r="K261" s="1021"/>
      <c r="L261" s="1021"/>
      <c r="M261" s="1021"/>
      <c r="N261" s="1021"/>
      <c r="O261" s="1021"/>
      <c r="P261" s="1021"/>
      <c r="Q261" s="1021"/>
      <c r="R261" s="1021"/>
      <c r="S261" s="1021"/>
      <c r="T261" s="1021"/>
      <c r="U261" s="1021"/>
      <c r="V261" s="1021"/>
      <c r="W261" s="1021"/>
      <c r="X261" s="1021"/>
      <c r="Y261" s="1021"/>
      <c r="Z261" s="1021"/>
      <c r="AA261" s="1021"/>
      <c r="AB261" s="1021"/>
      <c r="AC261" s="1021"/>
      <c r="AD261" s="1021"/>
      <c r="AE261" s="1021"/>
      <c r="AF261" s="1021"/>
      <c r="AG261" s="1021"/>
      <c r="AH261" s="1021"/>
      <c r="AI261" s="1021"/>
      <c r="AJ261" s="1021"/>
      <c r="AK261" s="1021"/>
      <c r="AL261" s="1021"/>
      <c r="AM261" s="1021"/>
      <c r="AN261" s="1021"/>
      <c r="AO261" s="1021"/>
      <c r="AP261" s="1021"/>
      <c r="AQ261" s="1021"/>
      <c r="AR261" s="1021"/>
      <c r="AS261" s="1021"/>
      <c r="AT261" s="1021"/>
      <c r="AU261" s="1021"/>
      <c r="AV261" s="1021"/>
      <c r="AW261" s="1021"/>
      <c r="AX261" s="1021"/>
      <c r="AY261" s="1021"/>
      <c r="AZ261" s="1021"/>
      <c r="BA261" s="1021"/>
      <c r="BB261" s="1021"/>
      <c r="BC261" s="1021"/>
      <c r="BD261" s="1021"/>
      <c r="BE261" s="1021"/>
      <c r="BF261" s="1021"/>
      <c r="BG261" s="1021"/>
      <c r="BH261" s="1021"/>
      <c r="BI261" s="1021"/>
      <c r="BJ261" s="1021"/>
      <c r="BK261" s="1021"/>
      <c r="BL261" s="1021"/>
      <c r="BM261" s="1021"/>
      <c r="BN261" s="1021"/>
      <c r="BO261" s="1021"/>
      <c r="BP261" s="1021"/>
      <c r="BQ261" s="1021"/>
      <c r="BR261" s="1021"/>
      <c r="BS261" s="1021"/>
      <c r="BT261" s="1021"/>
      <c r="BU261" s="1021"/>
      <c r="BV261" s="1021"/>
      <c r="BW261" s="1021"/>
      <c r="BX261" s="1021"/>
      <c r="BY261" s="1021"/>
      <c r="BZ261" s="1021"/>
      <c r="CA261" s="1021"/>
      <c r="CB261" s="1021"/>
      <c r="CC261" s="1021"/>
    </row>
    <row r="262" spans="8:81" x14ac:dyDescent="0.25">
      <c r="H262" s="1021"/>
      <c r="I262" s="1021"/>
      <c r="J262" s="1021"/>
      <c r="K262" s="1021"/>
      <c r="L262" s="1021"/>
      <c r="M262" s="1021"/>
      <c r="N262" s="1021"/>
      <c r="O262" s="1021"/>
      <c r="P262" s="1021"/>
      <c r="Q262" s="1021"/>
      <c r="R262" s="1021"/>
      <c r="S262" s="1021"/>
      <c r="T262" s="1021"/>
      <c r="U262" s="1021"/>
      <c r="V262" s="1021"/>
      <c r="W262" s="1021"/>
      <c r="X262" s="1021"/>
      <c r="Y262" s="1021"/>
      <c r="Z262" s="1021"/>
      <c r="AA262" s="1021"/>
      <c r="AB262" s="1021"/>
      <c r="AC262" s="1021"/>
      <c r="AD262" s="1021"/>
      <c r="AE262" s="1021"/>
      <c r="AF262" s="1021"/>
      <c r="AG262" s="1021"/>
      <c r="AH262" s="1021"/>
      <c r="AI262" s="1021"/>
      <c r="AJ262" s="1021"/>
      <c r="AK262" s="1021"/>
      <c r="AL262" s="1021"/>
      <c r="AM262" s="1021"/>
      <c r="AN262" s="1021"/>
      <c r="AO262" s="1021"/>
      <c r="AP262" s="1021"/>
      <c r="AQ262" s="1021"/>
      <c r="AR262" s="1021"/>
      <c r="AS262" s="1021"/>
      <c r="AT262" s="1021"/>
      <c r="AU262" s="1021"/>
      <c r="AV262" s="1021"/>
      <c r="AW262" s="1021"/>
      <c r="AX262" s="1021"/>
      <c r="AY262" s="1021"/>
      <c r="AZ262" s="1021"/>
      <c r="BA262" s="1021"/>
      <c r="BB262" s="1021"/>
      <c r="BC262" s="1021"/>
      <c r="BD262" s="1021"/>
      <c r="BE262" s="1021"/>
      <c r="BF262" s="1021"/>
      <c r="BG262" s="1021"/>
      <c r="BH262" s="1021"/>
      <c r="BI262" s="1021"/>
      <c r="BJ262" s="1021"/>
      <c r="BK262" s="1021"/>
      <c r="BL262" s="1021"/>
      <c r="BM262" s="1021"/>
      <c r="BN262" s="1021"/>
      <c r="BO262" s="1021"/>
      <c r="BP262" s="1021"/>
      <c r="BQ262" s="1021"/>
      <c r="BR262" s="1021"/>
      <c r="BS262" s="1021"/>
      <c r="BT262" s="1021"/>
      <c r="BU262" s="1021"/>
      <c r="BV262" s="1021"/>
      <c r="BW262" s="1021"/>
      <c r="BX262" s="1021"/>
      <c r="BY262" s="1021"/>
      <c r="BZ262" s="1021"/>
      <c r="CA262" s="1021"/>
      <c r="CB262" s="1021"/>
      <c r="CC262" s="1021"/>
    </row>
    <row r="263" spans="8:81" x14ac:dyDescent="0.25">
      <c r="H263" s="1021"/>
      <c r="I263" s="1021"/>
      <c r="J263" s="1021"/>
      <c r="K263" s="1021"/>
      <c r="L263" s="1021"/>
      <c r="M263" s="1021"/>
      <c r="N263" s="1021"/>
      <c r="O263" s="1021"/>
      <c r="P263" s="1021"/>
      <c r="Q263" s="1021"/>
      <c r="R263" s="1021"/>
      <c r="S263" s="1021"/>
      <c r="T263" s="1021"/>
      <c r="U263" s="1021"/>
      <c r="V263" s="1021"/>
      <c r="W263" s="1021"/>
      <c r="X263" s="1021"/>
      <c r="Y263" s="1021"/>
      <c r="Z263" s="1021"/>
      <c r="AA263" s="1021"/>
      <c r="AB263" s="1021"/>
      <c r="AC263" s="1021"/>
      <c r="AD263" s="1021"/>
      <c r="AE263" s="1021"/>
      <c r="AF263" s="1021"/>
      <c r="AG263" s="1021"/>
      <c r="AH263" s="1021"/>
      <c r="AI263" s="1021"/>
      <c r="AJ263" s="1021"/>
      <c r="AK263" s="1021"/>
      <c r="AL263" s="1021"/>
      <c r="AM263" s="1021"/>
      <c r="AN263" s="1021"/>
      <c r="AO263" s="1021"/>
      <c r="AP263" s="1021"/>
      <c r="AQ263" s="1021"/>
      <c r="AR263" s="1021"/>
      <c r="AS263" s="1021"/>
      <c r="AT263" s="1021"/>
      <c r="AU263" s="1021"/>
      <c r="AV263" s="1021"/>
      <c r="AW263" s="1021"/>
      <c r="AX263" s="1021"/>
      <c r="AY263" s="1021"/>
      <c r="AZ263" s="1021"/>
      <c r="BA263" s="1021"/>
      <c r="BB263" s="1021"/>
      <c r="BC263" s="1021"/>
      <c r="BD263" s="1021"/>
      <c r="BE263" s="1021"/>
      <c r="BF263" s="1021"/>
      <c r="BG263" s="1021"/>
      <c r="BH263" s="1021"/>
      <c r="BI263" s="1021"/>
      <c r="BJ263" s="1021"/>
      <c r="BK263" s="1021"/>
      <c r="BL263" s="1021"/>
      <c r="BM263" s="1021"/>
      <c r="BN263" s="1021"/>
      <c r="BO263" s="1021"/>
      <c r="BP263" s="1021"/>
      <c r="BQ263" s="1021"/>
      <c r="BR263" s="1021"/>
      <c r="BS263" s="1021"/>
      <c r="BT263" s="1021"/>
      <c r="BU263" s="1021"/>
      <c r="BV263" s="1021"/>
      <c r="BW263" s="1021"/>
      <c r="BX263" s="1021"/>
      <c r="BY263" s="1021"/>
      <c r="BZ263" s="1021"/>
      <c r="CA263" s="1021"/>
      <c r="CB263" s="1021"/>
      <c r="CC263" s="1021"/>
    </row>
    <row r="264" spans="8:81" x14ac:dyDescent="0.25">
      <c r="H264" s="1021"/>
      <c r="I264" s="1021"/>
      <c r="J264" s="1021"/>
      <c r="K264" s="1021"/>
      <c r="L264" s="1021"/>
      <c r="M264" s="1021"/>
      <c r="N264" s="1021"/>
      <c r="O264" s="1021"/>
      <c r="P264" s="1021"/>
      <c r="Q264" s="1021"/>
      <c r="R264" s="1021"/>
      <c r="S264" s="1021"/>
      <c r="T264" s="1021"/>
      <c r="U264" s="1021"/>
      <c r="V264" s="1021"/>
      <c r="W264" s="1021"/>
      <c r="X264" s="1021"/>
      <c r="Y264" s="1021"/>
      <c r="Z264" s="1021"/>
      <c r="AA264" s="1021"/>
      <c r="AB264" s="1021"/>
      <c r="AC264" s="1021"/>
      <c r="AD264" s="1021"/>
      <c r="AE264" s="1021"/>
      <c r="AF264" s="1021"/>
      <c r="AG264" s="1021"/>
      <c r="AH264" s="1021"/>
      <c r="AI264" s="1021"/>
      <c r="AJ264" s="1021"/>
      <c r="AK264" s="1021"/>
      <c r="AL264" s="1021"/>
      <c r="AM264" s="1021"/>
      <c r="AN264" s="1021"/>
      <c r="AO264" s="1021"/>
      <c r="AP264" s="1021"/>
      <c r="AQ264" s="1021"/>
      <c r="AR264" s="1021"/>
      <c r="AS264" s="1021"/>
      <c r="AT264" s="1021"/>
      <c r="AU264" s="1021"/>
      <c r="AV264" s="1021"/>
      <c r="AW264" s="1021"/>
      <c r="AX264" s="1021"/>
      <c r="AY264" s="1021"/>
      <c r="AZ264" s="1021"/>
      <c r="BA264" s="1021"/>
      <c r="BB264" s="1021"/>
      <c r="BC264" s="1021"/>
      <c r="BD264" s="1021"/>
      <c r="BE264" s="1021"/>
      <c r="BF264" s="1021"/>
      <c r="BG264" s="1021"/>
      <c r="BH264" s="1021"/>
      <c r="BI264" s="1021"/>
      <c r="BJ264" s="1021"/>
      <c r="BK264" s="1021"/>
      <c r="BL264" s="1021"/>
      <c r="BM264" s="1021"/>
      <c r="BN264" s="1021"/>
      <c r="BO264" s="1021"/>
      <c r="BP264" s="1021"/>
      <c r="BQ264" s="1021"/>
      <c r="BR264" s="1021"/>
      <c r="BS264" s="1021"/>
      <c r="BT264" s="1021"/>
      <c r="BU264" s="1021"/>
      <c r="BV264" s="1021"/>
      <c r="BW264" s="1021"/>
      <c r="BX264" s="1021"/>
      <c r="BY264" s="1021"/>
      <c r="BZ264" s="1021"/>
      <c r="CA264" s="1021"/>
      <c r="CB264" s="1021"/>
      <c r="CC264" s="1021"/>
    </row>
    <row r="265" spans="8:81" x14ac:dyDescent="0.25">
      <c r="H265" s="1021"/>
      <c r="I265" s="1021"/>
      <c r="J265" s="1021"/>
      <c r="K265" s="1021"/>
      <c r="L265" s="1021"/>
      <c r="M265" s="1021"/>
      <c r="N265" s="1021"/>
      <c r="O265" s="1021"/>
      <c r="P265" s="1021"/>
      <c r="Q265" s="1021"/>
      <c r="R265" s="1021"/>
      <c r="S265" s="1021"/>
      <c r="T265" s="1021"/>
      <c r="U265" s="1021"/>
      <c r="V265" s="1021"/>
      <c r="W265" s="1021"/>
      <c r="X265" s="1021"/>
      <c r="Y265" s="1021"/>
      <c r="Z265" s="1021"/>
      <c r="AA265" s="1021"/>
      <c r="AB265" s="1021"/>
      <c r="AC265" s="1021"/>
      <c r="AD265" s="1021"/>
      <c r="AE265" s="1021"/>
      <c r="AF265" s="1021"/>
      <c r="AG265" s="1021"/>
      <c r="AH265" s="1021"/>
      <c r="AI265" s="1021"/>
      <c r="AJ265" s="1021"/>
      <c r="AK265" s="1021"/>
      <c r="AL265" s="1021"/>
      <c r="AM265" s="1021"/>
      <c r="AN265" s="1021"/>
      <c r="AO265" s="1021"/>
      <c r="AP265" s="1021"/>
      <c r="AQ265" s="1021"/>
      <c r="AR265" s="1021"/>
      <c r="AS265" s="1021"/>
      <c r="AT265" s="1021"/>
      <c r="AU265" s="1021"/>
      <c r="AV265" s="1021"/>
      <c r="AW265" s="1021"/>
      <c r="AX265" s="1021"/>
      <c r="AY265" s="1021"/>
      <c r="AZ265" s="1021"/>
      <c r="BA265" s="1021"/>
      <c r="BB265" s="1021"/>
      <c r="BC265" s="1021"/>
      <c r="BD265" s="1021"/>
      <c r="BE265" s="1021"/>
      <c r="BF265" s="1021"/>
      <c r="BG265" s="1021"/>
      <c r="BH265" s="1021"/>
      <c r="BI265" s="1021"/>
      <c r="BJ265" s="1021"/>
      <c r="BK265" s="1021"/>
      <c r="BL265" s="1021"/>
      <c r="BM265" s="1021"/>
      <c r="BN265" s="1021"/>
      <c r="BO265" s="1021"/>
      <c r="BP265" s="1021"/>
      <c r="BQ265" s="1021"/>
      <c r="BR265" s="1021"/>
      <c r="BS265" s="1021"/>
      <c r="BT265" s="1021"/>
      <c r="BU265" s="1021"/>
      <c r="BV265" s="1021"/>
      <c r="BW265" s="1021"/>
      <c r="BX265" s="1021"/>
      <c r="BY265" s="1021"/>
      <c r="BZ265" s="1021"/>
      <c r="CA265" s="1021"/>
      <c r="CB265" s="1021"/>
      <c r="CC265" s="1021"/>
    </row>
    <row r="266" spans="8:81" x14ac:dyDescent="0.25">
      <c r="H266" s="1021"/>
      <c r="I266" s="1021"/>
      <c r="J266" s="1021"/>
      <c r="K266" s="1021"/>
      <c r="L266" s="1021"/>
      <c r="M266" s="1021"/>
      <c r="N266" s="1021"/>
      <c r="O266" s="1021"/>
      <c r="P266" s="1021"/>
      <c r="Q266" s="1021"/>
      <c r="R266" s="1021"/>
      <c r="S266" s="1021"/>
      <c r="T266" s="1021"/>
      <c r="U266" s="1021"/>
      <c r="V266" s="1021"/>
      <c r="W266" s="1021"/>
      <c r="X266" s="1021"/>
      <c r="Y266" s="1021"/>
      <c r="Z266" s="1021"/>
      <c r="AA266" s="1021"/>
      <c r="AB266" s="1021"/>
      <c r="AC266" s="1021"/>
      <c r="AD266" s="1021"/>
      <c r="AE266" s="1021"/>
      <c r="AF266" s="1021"/>
      <c r="AG266" s="1021"/>
      <c r="AH266" s="1021"/>
      <c r="AI266" s="1021"/>
      <c r="AJ266" s="1021"/>
      <c r="AK266" s="1021"/>
      <c r="AL266" s="1021"/>
      <c r="AM266" s="1021"/>
      <c r="AN266" s="1021"/>
      <c r="AO266" s="1021"/>
      <c r="AP266" s="1021"/>
      <c r="AQ266" s="1021"/>
      <c r="AR266" s="1021"/>
      <c r="AS266" s="1021"/>
      <c r="AT266" s="1021"/>
      <c r="AU266" s="1021"/>
      <c r="AV266" s="1021"/>
      <c r="AW266" s="1021"/>
      <c r="AX266" s="1021"/>
      <c r="AY266" s="1021"/>
      <c r="AZ266" s="1021"/>
      <c r="BA266" s="1021"/>
      <c r="BB266" s="1021"/>
      <c r="BC266" s="1021"/>
      <c r="BD266" s="1021"/>
      <c r="BE266" s="1021"/>
      <c r="BF266" s="1021"/>
      <c r="BG266" s="1021"/>
      <c r="BH266" s="1021"/>
      <c r="BI266" s="1021"/>
      <c r="BJ266" s="1021"/>
      <c r="BK266" s="1021"/>
      <c r="BL266" s="1021"/>
      <c r="BM266" s="1021"/>
      <c r="BN266" s="1021"/>
      <c r="BO266" s="1021"/>
      <c r="BP266" s="1021"/>
      <c r="BQ266" s="1021"/>
      <c r="BR266" s="1021"/>
      <c r="BS266" s="1021"/>
      <c r="BT266" s="1021"/>
      <c r="BU266" s="1021"/>
      <c r="BV266" s="1021"/>
      <c r="BW266" s="1021"/>
      <c r="BX266" s="1021"/>
      <c r="BY266" s="1021"/>
      <c r="BZ266" s="1021"/>
      <c r="CA266" s="1021"/>
      <c r="CB266" s="1021"/>
      <c r="CC266" s="1021"/>
    </row>
    <row r="267" spans="8:81" x14ac:dyDescent="0.25">
      <c r="H267" s="1021"/>
      <c r="I267" s="1021"/>
      <c r="J267" s="1021"/>
      <c r="K267" s="1021"/>
      <c r="L267" s="1021"/>
      <c r="M267" s="1021"/>
      <c r="N267" s="1021"/>
      <c r="O267" s="1021"/>
      <c r="P267" s="1021"/>
      <c r="Q267" s="1021"/>
      <c r="R267" s="1021"/>
      <c r="S267" s="1021"/>
      <c r="T267" s="1021"/>
      <c r="U267" s="1021"/>
      <c r="V267" s="1021"/>
      <c r="W267" s="1021"/>
      <c r="X267" s="1021"/>
      <c r="Y267" s="1021"/>
      <c r="Z267" s="1021"/>
      <c r="AA267" s="1021"/>
      <c r="AB267" s="1021"/>
      <c r="AC267" s="1021"/>
      <c r="AD267" s="1021"/>
      <c r="AE267" s="1021"/>
      <c r="AF267" s="1021"/>
      <c r="AG267" s="1021"/>
      <c r="AH267" s="1021"/>
      <c r="AI267" s="1021"/>
      <c r="AJ267" s="1021"/>
      <c r="AK267" s="1021"/>
      <c r="AL267" s="1021"/>
      <c r="AM267" s="1021"/>
      <c r="AN267" s="1021"/>
      <c r="AO267" s="1021"/>
      <c r="AP267" s="1021"/>
      <c r="AQ267" s="1021"/>
      <c r="AR267" s="1021"/>
      <c r="AS267" s="1021"/>
      <c r="AT267" s="1021"/>
      <c r="AU267" s="1021"/>
      <c r="AV267" s="1021"/>
      <c r="AW267" s="1021"/>
      <c r="AX267" s="1021"/>
      <c r="AY267" s="1021"/>
      <c r="AZ267" s="1021"/>
      <c r="BA267" s="1021"/>
      <c r="BB267" s="1021"/>
      <c r="BC267" s="1021"/>
      <c r="BD267" s="1021"/>
      <c r="BE267" s="1021"/>
      <c r="BF267" s="1021"/>
      <c r="BG267" s="1021"/>
      <c r="BH267" s="1021"/>
      <c r="BI267" s="1021"/>
      <c r="BJ267" s="1021"/>
      <c r="BK267" s="1021"/>
      <c r="BL267" s="1021"/>
      <c r="BM267" s="1021"/>
      <c r="BN267" s="1021"/>
      <c r="BO267" s="1021"/>
      <c r="BP267" s="1021"/>
      <c r="BQ267" s="1021"/>
      <c r="BR267" s="1021"/>
      <c r="BS267" s="1021"/>
      <c r="BT267" s="1021"/>
      <c r="BU267" s="1021"/>
      <c r="BV267" s="1021"/>
      <c r="BW267" s="1021"/>
      <c r="BX267" s="1021"/>
      <c r="BY267" s="1021"/>
      <c r="BZ267" s="1021"/>
      <c r="CA267" s="1021"/>
      <c r="CB267" s="1021"/>
      <c r="CC267" s="1021"/>
    </row>
    <row r="268" spans="8:81" x14ac:dyDescent="0.25">
      <c r="H268" s="1021"/>
      <c r="I268" s="1021"/>
      <c r="J268" s="1021"/>
      <c r="K268" s="1021"/>
      <c r="L268" s="1021"/>
      <c r="M268" s="1021"/>
      <c r="N268" s="1021"/>
      <c r="O268" s="1021"/>
      <c r="P268" s="1021"/>
      <c r="Q268" s="1021"/>
      <c r="R268" s="1021"/>
      <c r="S268" s="1021"/>
      <c r="T268" s="1021"/>
      <c r="U268" s="1021"/>
      <c r="V268" s="1021"/>
      <c r="W268" s="1021"/>
      <c r="X268" s="1021"/>
      <c r="Y268" s="1021"/>
      <c r="Z268" s="1021"/>
      <c r="AA268" s="1021"/>
      <c r="AB268" s="1021"/>
      <c r="AC268" s="1021"/>
      <c r="AD268" s="1021"/>
      <c r="AE268" s="1021"/>
      <c r="AF268" s="1021"/>
      <c r="AG268" s="1021"/>
      <c r="AH268" s="1021"/>
      <c r="AI268" s="1021"/>
      <c r="AJ268" s="1021"/>
      <c r="AK268" s="1021"/>
      <c r="AL268" s="1021"/>
      <c r="AM268" s="1021"/>
      <c r="AN268" s="1021"/>
      <c r="AO268" s="1021"/>
      <c r="AP268" s="1021"/>
      <c r="AQ268" s="1021"/>
      <c r="AR268" s="1021"/>
      <c r="AS268" s="1021"/>
      <c r="AT268" s="1021"/>
      <c r="AU268" s="1021"/>
      <c r="AV268" s="1021"/>
      <c r="AW268" s="1021"/>
      <c r="AX268" s="1021"/>
      <c r="AY268" s="1021"/>
      <c r="AZ268" s="1021"/>
      <c r="BA268" s="1021"/>
      <c r="BB268" s="1021"/>
      <c r="BC268" s="1021"/>
      <c r="BD268" s="1021"/>
      <c r="BE268" s="1021"/>
      <c r="BF268" s="1021"/>
      <c r="BG268" s="1021"/>
      <c r="BH268" s="1021"/>
      <c r="BI268" s="1021"/>
      <c r="BJ268" s="1021"/>
      <c r="BK268" s="1021"/>
      <c r="BL268" s="1021"/>
      <c r="BM268" s="1021"/>
      <c r="BN268" s="1021"/>
      <c r="BO268" s="1021"/>
      <c r="BP268" s="1021"/>
      <c r="BQ268" s="1021"/>
      <c r="BR268" s="1021"/>
      <c r="BS268" s="1021"/>
      <c r="BT268" s="1021"/>
      <c r="BU268" s="1021"/>
      <c r="BV268" s="1021"/>
      <c r="BW268" s="1021"/>
      <c r="BX268" s="1021"/>
      <c r="BY268" s="1021"/>
      <c r="BZ268" s="1021"/>
      <c r="CA268" s="1021"/>
      <c r="CB268" s="1021"/>
      <c r="CC268" s="1021"/>
    </row>
    <row r="269" spans="8:81" x14ac:dyDescent="0.25">
      <c r="H269" s="1021"/>
      <c r="I269" s="1021"/>
      <c r="J269" s="1021"/>
      <c r="K269" s="1021"/>
      <c r="L269" s="1021"/>
      <c r="M269" s="1021"/>
      <c r="N269" s="1021"/>
      <c r="O269" s="1021"/>
      <c r="P269" s="1021"/>
      <c r="Q269" s="1021"/>
      <c r="R269" s="1021"/>
      <c r="S269" s="1021"/>
      <c r="T269" s="1021"/>
      <c r="U269" s="1021"/>
      <c r="V269" s="1021"/>
      <c r="W269" s="1021"/>
      <c r="X269" s="1021"/>
      <c r="Y269" s="1021"/>
      <c r="Z269" s="1021"/>
      <c r="AA269" s="1021"/>
      <c r="AB269" s="1021"/>
      <c r="AC269" s="1021"/>
      <c r="AD269" s="1021"/>
      <c r="AE269" s="1021"/>
      <c r="AF269" s="1021"/>
      <c r="AG269" s="1021"/>
      <c r="AH269" s="1021"/>
      <c r="AI269" s="1021"/>
      <c r="AJ269" s="1021"/>
      <c r="AK269" s="1021"/>
      <c r="AL269" s="1021"/>
      <c r="AM269" s="1021"/>
      <c r="AN269" s="1021"/>
      <c r="AO269" s="1021"/>
      <c r="AP269" s="1021"/>
      <c r="AQ269" s="1021"/>
      <c r="AR269" s="1021"/>
      <c r="AS269" s="1021"/>
      <c r="AT269" s="1021"/>
      <c r="AU269" s="1021"/>
      <c r="AV269" s="1021"/>
      <c r="AW269" s="1021"/>
      <c r="AX269" s="1021"/>
      <c r="AY269" s="1021"/>
      <c r="AZ269" s="1021"/>
      <c r="BA269" s="1021"/>
      <c r="BB269" s="1021"/>
      <c r="BC269" s="1021"/>
      <c r="BD269" s="1021"/>
      <c r="BE269" s="1021"/>
      <c r="BF269" s="1021"/>
      <c r="BG269" s="1021"/>
      <c r="BH269" s="1021"/>
      <c r="BI269" s="1021"/>
      <c r="BJ269" s="1021"/>
      <c r="BK269" s="1021"/>
      <c r="BL269" s="1021"/>
      <c r="BM269" s="1021"/>
      <c r="BN269" s="1021"/>
      <c r="BO269" s="1021"/>
      <c r="BP269" s="1021"/>
      <c r="BQ269" s="1021"/>
      <c r="BR269" s="1021"/>
      <c r="BS269" s="1021"/>
      <c r="BT269" s="1021"/>
      <c r="BU269" s="1021"/>
      <c r="BV269" s="1021"/>
      <c r="BW269" s="1021"/>
      <c r="BX269" s="1021"/>
      <c r="BY269" s="1021"/>
      <c r="BZ269" s="1021"/>
      <c r="CA269" s="1021"/>
      <c r="CB269" s="1021"/>
      <c r="CC269" s="1021"/>
    </row>
    <row r="270" spans="8:81" x14ac:dyDescent="0.25">
      <c r="H270" s="1021"/>
      <c r="I270" s="1021"/>
      <c r="J270" s="1021"/>
      <c r="K270" s="1021"/>
      <c r="L270" s="1021"/>
      <c r="M270" s="1021"/>
      <c r="N270" s="1021"/>
      <c r="O270" s="1021"/>
      <c r="P270" s="1021"/>
      <c r="Q270" s="1021"/>
      <c r="R270" s="1021"/>
      <c r="S270" s="1021"/>
      <c r="T270" s="1021"/>
      <c r="U270" s="1021"/>
      <c r="V270" s="1021"/>
      <c r="W270" s="1021"/>
      <c r="X270" s="1021"/>
      <c r="Y270" s="1021"/>
      <c r="Z270" s="1021"/>
      <c r="AA270" s="1021"/>
      <c r="AB270" s="1021"/>
      <c r="AC270" s="1021"/>
      <c r="AD270" s="1021"/>
      <c r="AE270" s="1021"/>
      <c r="AF270" s="1021"/>
      <c r="AG270" s="1021"/>
      <c r="AH270" s="1021"/>
      <c r="AI270" s="1021"/>
      <c r="AJ270" s="1021"/>
      <c r="AK270" s="1021"/>
      <c r="AL270" s="1021"/>
      <c r="AM270" s="1021"/>
      <c r="AN270" s="1021"/>
      <c r="AO270" s="1021"/>
      <c r="AP270" s="1021"/>
      <c r="AQ270" s="1021"/>
      <c r="AR270" s="1021"/>
      <c r="AS270" s="1021"/>
      <c r="AT270" s="1021"/>
      <c r="AU270" s="1021"/>
      <c r="AV270" s="1021"/>
      <c r="AW270" s="1021"/>
      <c r="AX270" s="1021"/>
      <c r="AY270" s="1021"/>
      <c r="AZ270" s="1021"/>
      <c r="BA270" s="1021"/>
      <c r="BB270" s="1021"/>
      <c r="BC270" s="1021"/>
      <c r="BD270" s="1021"/>
      <c r="BE270" s="1021"/>
      <c r="BF270" s="1021"/>
      <c r="BG270" s="1021"/>
      <c r="BH270" s="1021"/>
      <c r="BI270" s="1021"/>
      <c r="BJ270" s="1021"/>
      <c r="BK270" s="1021"/>
      <c r="BL270" s="1021"/>
      <c r="BM270" s="1021"/>
      <c r="BN270" s="1021"/>
      <c r="BO270" s="1021"/>
      <c r="BP270" s="1021"/>
      <c r="BQ270" s="1021"/>
      <c r="BR270" s="1021"/>
      <c r="BS270" s="1021"/>
      <c r="BT270" s="1021"/>
      <c r="BU270" s="1021"/>
      <c r="BV270" s="1021"/>
      <c r="BW270" s="1021"/>
      <c r="BX270" s="1021"/>
      <c r="BY270" s="1021"/>
      <c r="BZ270" s="1021"/>
      <c r="CA270" s="1021"/>
      <c r="CB270" s="1021"/>
      <c r="CC270" s="1021"/>
    </row>
    <row r="271" spans="8:81" x14ac:dyDescent="0.25">
      <c r="H271" s="1021"/>
      <c r="I271" s="1021"/>
      <c r="J271" s="1021"/>
      <c r="K271" s="1021"/>
      <c r="L271" s="1021"/>
      <c r="M271" s="1021"/>
      <c r="N271" s="1021"/>
      <c r="O271" s="1021"/>
      <c r="P271" s="1021"/>
      <c r="Q271" s="1021"/>
      <c r="R271" s="1021"/>
      <c r="S271" s="1021"/>
      <c r="T271" s="1021"/>
      <c r="U271" s="1021"/>
      <c r="V271" s="1021"/>
      <c r="W271" s="1021"/>
      <c r="X271" s="1021"/>
      <c r="Y271" s="1021"/>
      <c r="Z271" s="1021"/>
      <c r="AA271" s="1021"/>
      <c r="AB271" s="1021"/>
      <c r="AC271" s="1021"/>
      <c r="AD271" s="1021"/>
      <c r="AE271" s="1021"/>
      <c r="AF271" s="1021"/>
      <c r="AG271" s="1021"/>
      <c r="AH271" s="1021"/>
      <c r="AI271" s="1021"/>
      <c r="AJ271" s="1021"/>
      <c r="AK271" s="1021"/>
      <c r="AL271" s="1021"/>
      <c r="AM271" s="1021"/>
      <c r="AN271" s="1021"/>
      <c r="AO271" s="1021"/>
      <c r="AP271" s="1021"/>
      <c r="AQ271" s="1021"/>
      <c r="AR271" s="1021"/>
      <c r="AS271" s="1021"/>
      <c r="AT271" s="1021"/>
      <c r="AU271" s="1021"/>
      <c r="AV271" s="1021"/>
      <c r="AW271" s="1021"/>
      <c r="AX271" s="1021"/>
      <c r="AY271" s="1021"/>
      <c r="AZ271" s="1021"/>
      <c r="BA271" s="1021"/>
      <c r="BB271" s="1021"/>
      <c r="BC271" s="1021"/>
      <c r="BD271" s="1021"/>
      <c r="BE271" s="1021"/>
      <c r="BF271" s="1021"/>
      <c r="BG271" s="1021"/>
      <c r="BH271" s="1021"/>
      <c r="BI271" s="1021"/>
      <c r="BJ271" s="1021"/>
      <c r="BK271" s="1021"/>
      <c r="BL271" s="1021"/>
      <c r="BM271" s="1021"/>
      <c r="BN271" s="1021"/>
      <c r="BO271" s="1021"/>
      <c r="BP271" s="1021"/>
      <c r="BQ271" s="1021"/>
      <c r="BR271" s="1021"/>
      <c r="BS271" s="1021"/>
      <c r="BT271" s="1021"/>
      <c r="BU271" s="1021"/>
      <c r="BV271" s="1021"/>
      <c r="BW271" s="1021"/>
      <c r="BX271" s="1021"/>
      <c r="BY271" s="1021"/>
      <c r="BZ271" s="1021"/>
      <c r="CA271" s="1021"/>
      <c r="CB271" s="1021"/>
      <c r="CC271" s="1021"/>
    </row>
    <row r="272" spans="8:81" x14ac:dyDescent="0.25">
      <c r="H272" s="1021"/>
      <c r="I272" s="1021"/>
      <c r="J272" s="1021"/>
      <c r="K272" s="1021"/>
      <c r="L272" s="1021"/>
      <c r="M272" s="1021"/>
      <c r="N272" s="1021"/>
      <c r="O272" s="1021"/>
      <c r="P272" s="1021"/>
      <c r="Q272" s="1021"/>
      <c r="R272" s="1021"/>
      <c r="S272" s="1021"/>
      <c r="T272" s="1021"/>
      <c r="U272" s="1021"/>
      <c r="V272" s="1021"/>
      <c r="W272" s="1021"/>
      <c r="X272" s="1021"/>
      <c r="Y272" s="1021"/>
      <c r="Z272" s="1021"/>
      <c r="AA272" s="1021"/>
      <c r="AB272" s="1021"/>
      <c r="AC272" s="1021"/>
      <c r="AD272" s="1021"/>
      <c r="AE272" s="1021"/>
      <c r="AF272" s="1021"/>
      <c r="AG272" s="1021"/>
      <c r="AH272" s="1021"/>
      <c r="AI272" s="1021"/>
      <c r="AJ272" s="1021"/>
      <c r="AK272" s="1021"/>
      <c r="AL272" s="1021"/>
      <c r="AM272" s="1021"/>
      <c r="AN272" s="1021"/>
      <c r="AO272" s="1021"/>
      <c r="AP272" s="1021"/>
      <c r="AQ272" s="1021"/>
      <c r="AR272" s="1021"/>
      <c r="AS272" s="1021"/>
      <c r="AT272" s="1021"/>
      <c r="AU272" s="1021"/>
      <c r="AV272" s="1021"/>
      <c r="AW272" s="1021"/>
      <c r="AX272" s="1021"/>
      <c r="AY272" s="1021"/>
      <c r="AZ272" s="1021"/>
      <c r="BA272" s="1021"/>
      <c r="BB272" s="1021"/>
      <c r="BC272" s="1021"/>
      <c r="BD272" s="1021"/>
      <c r="BE272" s="1021"/>
      <c r="BF272" s="1021"/>
      <c r="BG272" s="1021"/>
      <c r="BH272" s="1021"/>
      <c r="BI272" s="1021"/>
      <c r="BJ272" s="1021"/>
      <c r="BK272" s="1021"/>
      <c r="BL272" s="1021"/>
      <c r="BM272" s="1021"/>
      <c r="BN272" s="1021"/>
      <c r="BO272" s="1021"/>
      <c r="BP272" s="1021"/>
      <c r="BQ272" s="1021"/>
      <c r="BR272" s="1021"/>
      <c r="BS272" s="1021"/>
      <c r="BT272" s="1021"/>
      <c r="BU272" s="1021"/>
      <c r="BV272" s="1021"/>
      <c r="BW272" s="1021"/>
      <c r="BX272" s="1021"/>
      <c r="BY272" s="1021"/>
      <c r="BZ272" s="1021"/>
      <c r="CA272" s="1021"/>
      <c r="CB272" s="1021"/>
      <c r="CC272" s="1021"/>
    </row>
    <row r="273" spans="8:81" x14ac:dyDescent="0.25">
      <c r="H273" s="1021"/>
      <c r="I273" s="1021"/>
      <c r="J273" s="1021"/>
      <c r="K273" s="1021"/>
      <c r="L273" s="1021"/>
      <c r="M273" s="1021"/>
      <c r="N273" s="1021"/>
      <c r="O273" s="1021"/>
      <c r="P273" s="1021"/>
      <c r="Q273" s="1021"/>
      <c r="R273" s="1021"/>
      <c r="S273" s="1021"/>
      <c r="T273" s="1021"/>
      <c r="U273" s="1021"/>
      <c r="V273" s="1021"/>
      <c r="W273" s="1021"/>
      <c r="X273" s="1021"/>
      <c r="Y273" s="1021"/>
      <c r="Z273" s="1021"/>
      <c r="AA273" s="1021"/>
      <c r="AB273" s="1021"/>
      <c r="AC273" s="1021"/>
      <c r="AD273" s="1021"/>
      <c r="AE273" s="1021"/>
      <c r="AF273" s="1021"/>
      <c r="AG273" s="1021"/>
      <c r="AH273" s="1021"/>
      <c r="AI273" s="1021"/>
      <c r="AJ273" s="1021"/>
      <c r="AK273" s="1021"/>
      <c r="AL273" s="1021"/>
      <c r="AM273" s="1021"/>
      <c r="AN273" s="1021"/>
      <c r="AO273" s="1021"/>
      <c r="AP273" s="1021"/>
      <c r="AQ273" s="1021"/>
      <c r="AR273" s="1021"/>
      <c r="AS273" s="1021"/>
      <c r="AT273" s="1021"/>
      <c r="AU273" s="1021"/>
      <c r="AV273" s="1021"/>
      <c r="AW273" s="1021"/>
      <c r="AX273" s="1021"/>
      <c r="AY273" s="1021"/>
      <c r="AZ273" s="1021"/>
      <c r="BA273" s="1021"/>
      <c r="BB273" s="1021"/>
      <c r="BC273" s="1021"/>
      <c r="BD273" s="1021"/>
      <c r="BE273" s="1021"/>
      <c r="BF273" s="1021"/>
      <c r="BG273" s="1021"/>
      <c r="BH273" s="1021"/>
      <c r="BI273" s="1021"/>
      <c r="BJ273" s="1021"/>
      <c r="BK273" s="1021"/>
      <c r="BL273" s="1021"/>
      <c r="BM273" s="1021"/>
      <c r="BN273" s="1021"/>
      <c r="BO273" s="1021"/>
      <c r="BP273" s="1021"/>
      <c r="BQ273" s="1021"/>
      <c r="BR273" s="1021"/>
      <c r="BS273" s="1021"/>
      <c r="BT273" s="1021"/>
      <c r="BU273" s="1021"/>
      <c r="BV273" s="1021"/>
      <c r="BW273" s="1021"/>
      <c r="BX273" s="1021"/>
      <c r="BY273" s="1021"/>
      <c r="BZ273" s="1021"/>
      <c r="CA273" s="1021"/>
      <c r="CB273" s="1021"/>
      <c r="CC273" s="1021"/>
    </row>
    <row r="274" spans="8:81" x14ac:dyDescent="0.25">
      <c r="H274" s="1021"/>
      <c r="I274" s="1021"/>
      <c r="J274" s="1021"/>
      <c r="K274" s="1021"/>
      <c r="L274" s="1021"/>
      <c r="M274" s="1021"/>
      <c r="N274" s="1021"/>
      <c r="O274" s="1021"/>
      <c r="P274" s="1021"/>
      <c r="Q274" s="1021"/>
      <c r="R274" s="1021"/>
      <c r="S274" s="1021"/>
      <c r="T274" s="1021"/>
      <c r="U274" s="1021"/>
      <c r="V274" s="1021"/>
      <c r="W274" s="1021"/>
      <c r="X274" s="1021"/>
      <c r="Y274" s="1021"/>
      <c r="Z274" s="1021"/>
      <c r="AA274" s="1021"/>
      <c r="AB274" s="1021"/>
      <c r="AC274" s="1021"/>
      <c r="AD274" s="1021"/>
      <c r="AE274" s="1021"/>
      <c r="AF274" s="1021"/>
      <c r="AG274" s="1021"/>
      <c r="AH274" s="1021"/>
      <c r="AI274" s="1021"/>
      <c r="AJ274" s="1021"/>
      <c r="AK274" s="1021"/>
      <c r="AL274" s="1021"/>
      <c r="AM274" s="1021"/>
      <c r="AN274" s="1021"/>
      <c r="AO274" s="1021"/>
      <c r="AP274" s="1021"/>
      <c r="AQ274" s="1021"/>
      <c r="AR274" s="1021"/>
      <c r="AS274" s="1021"/>
      <c r="AT274" s="1021"/>
      <c r="AU274" s="1021"/>
      <c r="AV274" s="1021"/>
      <c r="AW274" s="1021"/>
      <c r="AX274" s="1021"/>
      <c r="AY274" s="1021"/>
      <c r="AZ274" s="1021"/>
      <c r="BA274" s="1021"/>
      <c r="BB274" s="1021"/>
      <c r="BC274" s="1021"/>
      <c r="BD274" s="1021"/>
      <c r="BE274" s="1021"/>
      <c r="BF274" s="1021"/>
      <c r="BG274" s="1021"/>
      <c r="BH274" s="1021"/>
      <c r="BI274" s="1021"/>
      <c r="BJ274" s="1021"/>
      <c r="BK274" s="1021"/>
      <c r="BL274" s="1021"/>
      <c r="BM274" s="1021"/>
      <c r="BN274" s="1021"/>
      <c r="BO274" s="1021"/>
      <c r="BP274" s="1021"/>
      <c r="BQ274" s="1021"/>
      <c r="BR274" s="1021"/>
      <c r="BS274" s="1021"/>
      <c r="BT274" s="1021"/>
      <c r="BU274" s="1021"/>
      <c r="BV274" s="1021"/>
      <c r="BW274" s="1021"/>
      <c r="BX274" s="1021"/>
      <c r="BY274" s="1021"/>
      <c r="BZ274" s="1021"/>
      <c r="CA274" s="1021"/>
      <c r="CB274" s="1021"/>
      <c r="CC274" s="1021"/>
    </row>
    <row r="275" spans="8:81" x14ac:dyDescent="0.25">
      <c r="H275" s="1021"/>
      <c r="I275" s="1021"/>
      <c r="J275" s="1021"/>
      <c r="K275" s="1021"/>
      <c r="L275" s="1021"/>
      <c r="M275" s="1021"/>
      <c r="N275" s="1021"/>
      <c r="O275" s="1021"/>
      <c r="P275" s="1021"/>
      <c r="Q275" s="1021"/>
      <c r="R275" s="1021"/>
      <c r="S275" s="1021"/>
      <c r="T275" s="1021"/>
      <c r="U275" s="1021"/>
      <c r="V275" s="1021"/>
      <c r="W275" s="1021"/>
      <c r="X275" s="1021"/>
      <c r="Y275" s="1021"/>
      <c r="Z275" s="1021"/>
      <c r="AA275" s="1021"/>
      <c r="AB275" s="1021"/>
      <c r="AC275" s="1021"/>
      <c r="AD275" s="1021"/>
      <c r="AE275" s="1021"/>
      <c r="AF275" s="1021"/>
      <c r="AG275" s="1021"/>
      <c r="AH275" s="1021"/>
      <c r="AI275" s="1021"/>
      <c r="AJ275" s="1021"/>
      <c r="AK275" s="1021"/>
      <c r="AL275" s="1021"/>
      <c r="AM275" s="1021"/>
      <c r="AN275" s="1021"/>
      <c r="AO275" s="1021"/>
      <c r="AP275" s="1021"/>
      <c r="AQ275" s="1021"/>
      <c r="AR275" s="1021"/>
      <c r="AS275" s="1021"/>
      <c r="AT275" s="1021"/>
      <c r="AU275" s="1021"/>
      <c r="AV275" s="1021"/>
      <c r="AW275" s="1021"/>
      <c r="AX275" s="1021"/>
      <c r="AY275" s="1021"/>
      <c r="AZ275" s="1021"/>
      <c r="BA275" s="1021"/>
      <c r="BB275" s="1021"/>
      <c r="BC275" s="1021"/>
      <c r="BD275" s="1021"/>
      <c r="BE275" s="1021"/>
      <c r="BF275" s="1021"/>
      <c r="BG275" s="1021"/>
      <c r="BH275" s="1021"/>
      <c r="BI275" s="1021"/>
      <c r="BJ275" s="1021"/>
      <c r="BK275" s="1021"/>
      <c r="BL275" s="1021"/>
      <c r="BM275" s="1021"/>
      <c r="BN275" s="1021"/>
      <c r="BO275" s="1021"/>
      <c r="BP275" s="1021"/>
      <c r="BQ275" s="1021"/>
      <c r="BR275" s="1021"/>
      <c r="BS275" s="1021"/>
      <c r="BT275" s="1021"/>
      <c r="BU275" s="1021"/>
      <c r="BV275" s="1021"/>
      <c r="BW275" s="1021"/>
      <c r="BX275" s="1021"/>
      <c r="BY275" s="1021"/>
      <c r="BZ275" s="1021"/>
      <c r="CA275" s="1021"/>
      <c r="CB275" s="1021"/>
      <c r="CC275" s="1021"/>
    </row>
    <row r="276" spans="8:81" x14ac:dyDescent="0.25">
      <c r="H276" s="1021"/>
      <c r="I276" s="1021"/>
      <c r="J276" s="1021"/>
      <c r="K276" s="1021"/>
      <c r="L276" s="1021"/>
      <c r="M276" s="1021"/>
      <c r="N276" s="1021"/>
      <c r="O276" s="1021"/>
      <c r="P276" s="1021"/>
      <c r="Q276" s="1021"/>
      <c r="R276" s="1021"/>
      <c r="S276" s="1021"/>
      <c r="T276" s="1021"/>
      <c r="U276" s="1021"/>
      <c r="V276" s="1021"/>
      <c r="W276" s="1021"/>
      <c r="X276" s="1021"/>
      <c r="Y276" s="1021"/>
      <c r="Z276" s="1021"/>
      <c r="AA276" s="1021"/>
      <c r="AB276" s="1021"/>
      <c r="AC276" s="1021"/>
      <c r="AD276" s="1021"/>
      <c r="AE276" s="1021"/>
      <c r="AF276" s="1021"/>
      <c r="AG276" s="1021"/>
      <c r="AH276" s="1021"/>
      <c r="AI276" s="1021"/>
      <c r="AJ276" s="1021"/>
      <c r="AK276" s="1021"/>
      <c r="AL276" s="1021"/>
      <c r="AM276" s="1021"/>
      <c r="AN276" s="1021"/>
      <c r="AO276" s="1021"/>
      <c r="AP276" s="1021"/>
      <c r="AQ276" s="1021"/>
      <c r="AR276" s="1021"/>
      <c r="AS276" s="1021"/>
      <c r="AT276" s="1021"/>
      <c r="AU276" s="1021"/>
      <c r="AV276" s="1021"/>
      <c r="AW276" s="1021"/>
      <c r="AX276" s="1021"/>
      <c r="AY276" s="1021"/>
      <c r="AZ276" s="1021"/>
      <c r="BA276" s="1021"/>
      <c r="BB276" s="1021"/>
      <c r="BC276" s="1021"/>
      <c r="BD276" s="1021"/>
      <c r="BE276" s="1021"/>
      <c r="BF276" s="1021"/>
      <c r="BG276" s="1021"/>
      <c r="BH276" s="1021"/>
      <c r="BI276" s="1021"/>
      <c r="BJ276" s="1021"/>
      <c r="BK276" s="1021"/>
      <c r="BL276" s="1021"/>
      <c r="BM276" s="1021"/>
      <c r="BN276" s="1021"/>
      <c r="BO276" s="1021"/>
      <c r="BP276" s="1021"/>
      <c r="BQ276" s="1021"/>
      <c r="BR276" s="1021"/>
      <c r="BS276" s="1021"/>
      <c r="BT276" s="1021"/>
      <c r="BU276" s="1021"/>
      <c r="BV276" s="1021"/>
      <c r="BW276" s="1021"/>
      <c r="BX276" s="1021"/>
      <c r="BY276" s="1021"/>
      <c r="BZ276" s="1021"/>
      <c r="CA276" s="1021"/>
      <c r="CB276" s="1021"/>
      <c r="CC276" s="1021"/>
    </row>
    <row r="277" spans="8:81" x14ac:dyDescent="0.25">
      <c r="H277" s="1021"/>
      <c r="I277" s="1021"/>
      <c r="J277" s="1021"/>
      <c r="K277" s="1021"/>
      <c r="L277" s="1021"/>
      <c r="M277" s="1021"/>
      <c r="N277" s="1021"/>
      <c r="O277" s="1021"/>
      <c r="P277" s="1021"/>
      <c r="Q277" s="1021"/>
      <c r="R277" s="1021"/>
      <c r="S277" s="1021"/>
      <c r="T277" s="1021"/>
      <c r="U277" s="1021"/>
      <c r="V277" s="1021"/>
      <c r="W277" s="1021"/>
      <c r="X277" s="1021"/>
      <c r="Y277" s="1021"/>
      <c r="Z277" s="1021"/>
      <c r="AA277" s="1021"/>
      <c r="AB277" s="1021"/>
      <c r="AC277" s="1021"/>
      <c r="AD277" s="1021"/>
      <c r="AE277" s="1021"/>
      <c r="AF277" s="1021"/>
      <c r="AG277" s="1021"/>
      <c r="AH277" s="1021"/>
      <c r="AI277" s="1021"/>
      <c r="AJ277" s="1021"/>
      <c r="AK277" s="1021"/>
      <c r="AL277" s="1021"/>
      <c r="AM277" s="1021"/>
      <c r="AN277" s="1021"/>
      <c r="AO277" s="1021"/>
      <c r="AP277" s="1021"/>
      <c r="AQ277" s="1021"/>
      <c r="AR277" s="1021"/>
      <c r="AS277" s="1021"/>
      <c r="AT277" s="1021"/>
      <c r="AU277" s="1021"/>
      <c r="AV277" s="1021"/>
      <c r="AW277" s="1021"/>
      <c r="AX277" s="1021"/>
      <c r="AY277" s="1021"/>
      <c r="AZ277" s="1021"/>
      <c r="BA277" s="1021"/>
      <c r="BB277" s="1021"/>
      <c r="BC277" s="1021"/>
      <c r="BD277" s="1021"/>
      <c r="BE277" s="1021"/>
      <c r="BF277" s="1021"/>
      <c r="BG277" s="1021"/>
      <c r="BH277" s="1021"/>
      <c r="BI277" s="1021"/>
      <c r="BJ277" s="1021"/>
      <c r="BK277" s="1021"/>
      <c r="BL277" s="1021"/>
      <c r="BM277" s="1021"/>
      <c r="BN277" s="1021"/>
      <c r="BO277" s="1021"/>
      <c r="BP277" s="1021"/>
      <c r="BQ277" s="1021"/>
      <c r="BR277" s="1021"/>
      <c r="BS277" s="1021"/>
      <c r="BT277" s="1021"/>
      <c r="BU277" s="1021"/>
      <c r="BV277" s="1021"/>
      <c r="BW277" s="1021"/>
      <c r="BX277" s="1021"/>
      <c r="BY277" s="1021"/>
      <c r="BZ277" s="1021"/>
      <c r="CA277" s="1021"/>
      <c r="CB277" s="1021"/>
      <c r="CC277" s="1021"/>
    </row>
    <row r="278" spans="8:81" x14ac:dyDescent="0.25">
      <c r="H278" s="1021"/>
      <c r="I278" s="1021"/>
      <c r="J278" s="1021"/>
      <c r="K278" s="1021"/>
      <c r="L278" s="1021"/>
      <c r="M278" s="1021"/>
      <c r="N278" s="1021"/>
      <c r="O278" s="1021"/>
      <c r="P278" s="1021"/>
      <c r="Q278" s="1021"/>
      <c r="R278" s="1021"/>
      <c r="S278" s="1021"/>
      <c r="T278" s="1021"/>
      <c r="U278" s="1021"/>
      <c r="V278" s="1021"/>
      <c r="W278" s="1021"/>
      <c r="X278" s="1021"/>
      <c r="Y278" s="1021"/>
      <c r="Z278" s="1021"/>
      <c r="AA278" s="1021"/>
      <c r="AB278" s="1021"/>
      <c r="AC278" s="1021"/>
      <c r="AD278" s="1021"/>
      <c r="AE278" s="1021"/>
      <c r="AF278" s="1021"/>
      <c r="AG278" s="1021"/>
      <c r="AH278" s="1021"/>
      <c r="AI278" s="1021"/>
      <c r="AJ278" s="1021"/>
      <c r="AK278" s="1021"/>
      <c r="AL278" s="1021"/>
      <c r="AM278" s="1021"/>
      <c r="AN278" s="1021"/>
      <c r="AO278" s="1021"/>
      <c r="AP278" s="1021"/>
      <c r="AQ278" s="1021"/>
      <c r="AR278" s="1021"/>
      <c r="AS278" s="1021"/>
      <c r="AT278" s="1021"/>
      <c r="AU278" s="1021"/>
      <c r="AV278" s="1021"/>
      <c r="AW278" s="1021"/>
      <c r="AX278" s="1021"/>
      <c r="AY278" s="1021"/>
      <c r="AZ278" s="1021"/>
      <c r="BA278" s="1021"/>
      <c r="BB278" s="1021"/>
      <c r="BC278" s="1021"/>
      <c r="BD278" s="1021"/>
      <c r="BE278" s="1021"/>
      <c r="BF278" s="1021"/>
      <c r="BG278" s="1021"/>
      <c r="BH278" s="1021"/>
      <c r="BI278" s="1021"/>
      <c r="BJ278" s="1021"/>
      <c r="BK278" s="1021"/>
      <c r="BL278" s="1021"/>
      <c r="BM278" s="1021"/>
      <c r="BN278" s="1021"/>
      <c r="BO278" s="1021"/>
      <c r="BP278" s="1021"/>
      <c r="BQ278" s="1021"/>
      <c r="BR278" s="1021"/>
      <c r="BS278" s="1021"/>
      <c r="BT278" s="1021"/>
      <c r="BU278" s="1021"/>
      <c r="BV278" s="1021"/>
      <c r="BW278" s="1021"/>
      <c r="BX278" s="1021"/>
      <c r="BY278" s="1021"/>
      <c r="BZ278" s="1021"/>
      <c r="CA278" s="1021"/>
      <c r="CB278" s="1021"/>
      <c r="CC278" s="1021"/>
    </row>
    <row r="279" spans="8:81" x14ac:dyDescent="0.25">
      <c r="H279" s="1021"/>
      <c r="I279" s="1021"/>
      <c r="J279" s="1021"/>
      <c r="K279" s="1021"/>
      <c r="L279" s="1021"/>
      <c r="M279" s="1021"/>
      <c r="N279" s="1021"/>
      <c r="O279" s="1021"/>
      <c r="P279" s="1021"/>
      <c r="Q279" s="1021"/>
      <c r="R279" s="1021"/>
      <c r="S279" s="1021"/>
      <c r="T279" s="1021"/>
      <c r="U279" s="1021"/>
      <c r="V279" s="1021"/>
      <c r="W279" s="1021"/>
      <c r="X279" s="1021"/>
      <c r="Y279" s="1021"/>
      <c r="Z279" s="1021"/>
      <c r="AA279" s="1021"/>
      <c r="AB279" s="1021"/>
      <c r="AC279" s="1021"/>
      <c r="AD279" s="1021"/>
      <c r="AE279" s="1021"/>
      <c r="AF279" s="1021"/>
      <c r="AG279" s="1021"/>
      <c r="AH279" s="1021"/>
      <c r="AI279" s="1021"/>
      <c r="AJ279" s="1021"/>
      <c r="AK279" s="1021"/>
      <c r="AL279" s="1021"/>
      <c r="AM279" s="1021"/>
      <c r="AN279" s="1021"/>
      <c r="AO279" s="1021"/>
      <c r="AP279" s="1021"/>
      <c r="AQ279" s="1021"/>
      <c r="AR279" s="1021"/>
      <c r="AS279" s="1021"/>
      <c r="AT279" s="1021"/>
      <c r="AU279" s="1021"/>
      <c r="AV279" s="1021"/>
      <c r="AW279" s="1021"/>
      <c r="AX279" s="1021"/>
      <c r="AY279" s="1021"/>
      <c r="AZ279" s="1021"/>
      <c r="BA279" s="1021"/>
      <c r="BB279" s="1021"/>
      <c r="BC279" s="1021"/>
      <c r="BD279" s="1021"/>
      <c r="BE279" s="1021"/>
      <c r="BF279" s="1021"/>
      <c r="BG279" s="1021"/>
      <c r="BH279" s="1021"/>
      <c r="BI279" s="1021"/>
      <c r="BJ279" s="1021"/>
      <c r="BK279" s="1021"/>
      <c r="BL279" s="1021"/>
      <c r="BM279" s="1021"/>
      <c r="BN279" s="1021"/>
      <c r="BO279" s="1021"/>
      <c r="BP279" s="1021"/>
      <c r="BQ279" s="1021"/>
      <c r="BR279" s="1021"/>
      <c r="BS279" s="1021"/>
      <c r="BT279" s="1021"/>
      <c r="BU279" s="1021"/>
      <c r="BV279" s="1021"/>
      <c r="BW279" s="1021"/>
      <c r="BX279" s="1021"/>
      <c r="BY279" s="1021"/>
      <c r="BZ279" s="1021"/>
      <c r="CA279" s="1021"/>
      <c r="CB279" s="1021"/>
      <c r="CC279" s="1021"/>
    </row>
    <row r="280" spans="8:81" x14ac:dyDescent="0.25">
      <c r="H280" s="1021"/>
      <c r="I280" s="1021"/>
      <c r="J280" s="1021"/>
      <c r="K280" s="1021"/>
      <c r="L280" s="1021"/>
      <c r="M280" s="1021"/>
      <c r="N280" s="1021"/>
      <c r="O280" s="1021"/>
      <c r="P280" s="1021"/>
      <c r="Q280" s="1021"/>
      <c r="R280" s="1021"/>
      <c r="S280" s="1021"/>
      <c r="T280" s="1021"/>
      <c r="U280" s="1021"/>
      <c r="V280" s="1021"/>
      <c r="W280" s="1021"/>
      <c r="X280" s="1021"/>
      <c r="Y280" s="1021"/>
      <c r="Z280" s="1021"/>
      <c r="AA280" s="1021"/>
      <c r="AB280" s="1021"/>
      <c r="AC280" s="1021"/>
      <c r="AD280" s="1021"/>
      <c r="AE280" s="1021"/>
      <c r="AF280" s="1021"/>
      <c r="AG280" s="1021"/>
      <c r="AH280" s="1021"/>
      <c r="AI280" s="1021"/>
      <c r="AJ280" s="1021"/>
      <c r="AK280" s="1021"/>
      <c r="AL280" s="1021"/>
      <c r="AM280" s="1021"/>
      <c r="AN280" s="1021"/>
      <c r="AO280" s="1021"/>
      <c r="AP280" s="1021"/>
      <c r="AQ280" s="1021"/>
      <c r="AR280" s="1021"/>
      <c r="AS280" s="1021"/>
      <c r="AT280" s="1021"/>
      <c r="AU280" s="1021"/>
      <c r="AV280" s="1021"/>
      <c r="AW280" s="1021"/>
      <c r="AX280" s="1021"/>
      <c r="AY280" s="1021"/>
      <c r="AZ280" s="1021"/>
      <c r="BA280" s="1021"/>
      <c r="BB280" s="1021"/>
      <c r="BC280" s="1021"/>
      <c r="BD280" s="1021"/>
      <c r="BE280" s="1021"/>
      <c r="BF280" s="1021"/>
      <c r="BG280" s="1021"/>
      <c r="BH280" s="1021"/>
      <c r="BI280" s="1021"/>
      <c r="BJ280" s="1021"/>
      <c r="BK280" s="1021"/>
      <c r="BL280" s="1021"/>
      <c r="BM280" s="1021"/>
      <c r="BN280" s="1021"/>
      <c r="BO280" s="1021"/>
      <c r="BP280" s="1021"/>
      <c r="BQ280" s="1021"/>
      <c r="BR280" s="1021"/>
      <c r="BS280" s="1021"/>
      <c r="BT280" s="1021"/>
      <c r="BU280" s="1021"/>
      <c r="BV280" s="1021"/>
      <c r="BW280" s="1021"/>
      <c r="BX280" s="1021"/>
      <c r="BY280" s="1021"/>
      <c r="BZ280" s="1021"/>
      <c r="CA280" s="1021"/>
      <c r="CB280" s="1021"/>
      <c r="CC280" s="1021"/>
    </row>
    <row r="281" spans="8:81" x14ac:dyDescent="0.25">
      <c r="H281" s="1021"/>
      <c r="I281" s="1021"/>
      <c r="J281" s="1021"/>
      <c r="K281" s="1021"/>
      <c r="L281" s="1021"/>
      <c r="M281" s="1021"/>
      <c r="N281" s="1021"/>
      <c r="O281" s="1021"/>
      <c r="P281" s="1021"/>
      <c r="Q281" s="1021"/>
      <c r="R281" s="1021"/>
      <c r="S281" s="1021"/>
      <c r="T281" s="1021"/>
      <c r="U281" s="1021"/>
      <c r="V281" s="1021"/>
      <c r="W281" s="1021"/>
      <c r="X281" s="1021"/>
      <c r="Y281" s="1021"/>
      <c r="Z281" s="1021"/>
      <c r="AA281" s="1021"/>
      <c r="AB281" s="1021"/>
      <c r="AC281" s="1021"/>
      <c r="AD281" s="1021"/>
      <c r="AE281" s="1021"/>
      <c r="AF281" s="1021"/>
      <c r="AG281" s="1021"/>
      <c r="AH281" s="1021"/>
      <c r="AI281" s="1021"/>
      <c r="AJ281" s="1021"/>
      <c r="AK281" s="1021"/>
      <c r="AL281" s="1021"/>
      <c r="AM281" s="1021"/>
      <c r="AN281" s="1021"/>
      <c r="AO281" s="1021"/>
      <c r="AP281" s="1021"/>
      <c r="AQ281" s="1021"/>
      <c r="AR281" s="1021"/>
      <c r="AS281" s="1021"/>
      <c r="AT281" s="1021"/>
      <c r="AU281" s="1021"/>
      <c r="AV281" s="1021"/>
      <c r="AW281" s="1021"/>
      <c r="AX281" s="1021"/>
      <c r="AY281" s="1021"/>
      <c r="AZ281" s="1021"/>
      <c r="BA281" s="1021"/>
      <c r="BB281" s="1021"/>
      <c r="BC281" s="1021"/>
      <c r="BD281" s="1021"/>
      <c r="BE281" s="1021"/>
      <c r="BF281" s="1021"/>
      <c r="BG281" s="1021"/>
      <c r="BH281" s="1021"/>
      <c r="BI281" s="1021"/>
      <c r="BJ281" s="1021"/>
      <c r="BK281" s="1021"/>
      <c r="BL281" s="1021"/>
      <c r="BM281" s="1021"/>
      <c r="BN281" s="1021"/>
      <c r="BO281" s="1021"/>
      <c r="BP281" s="1021"/>
      <c r="BQ281" s="1021"/>
      <c r="BR281" s="1021"/>
      <c r="BS281" s="1021"/>
      <c r="BT281" s="1021"/>
      <c r="BU281" s="1021"/>
      <c r="BV281" s="1021"/>
      <c r="BW281" s="1021"/>
      <c r="BX281" s="1021"/>
      <c r="BY281" s="1021"/>
      <c r="BZ281" s="1021"/>
      <c r="CA281" s="1021"/>
      <c r="CB281" s="1021"/>
      <c r="CC281" s="1021"/>
    </row>
    <row r="282" spans="8:81" x14ac:dyDescent="0.25">
      <c r="H282" s="1021"/>
      <c r="I282" s="1021"/>
      <c r="J282" s="1021"/>
      <c r="K282" s="1021"/>
      <c r="L282" s="1021"/>
      <c r="M282" s="1021"/>
      <c r="N282" s="1021"/>
      <c r="O282" s="1021"/>
      <c r="P282" s="1021"/>
      <c r="Q282" s="1021"/>
      <c r="R282" s="1021"/>
      <c r="S282" s="1021"/>
      <c r="T282" s="1021"/>
      <c r="U282" s="1021"/>
      <c r="V282" s="1021"/>
      <c r="W282" s="1021"/>
      <c r="X282" s="1021"/>
      <c r="Y282" s="1021"/>
      <c r="Z282" s="1021"/>
      <c r="AA282" s="1021"/>
      <c r="AB282" s="1021"/>
      <c r="AC282" s="1021"/>
      <c r="AD282" s="1021"/>
      <c r="AE282" s="1021"/>
      <c r="AF282" s="1021"/>
      <c r="AG282" s="1021"/>
      <c r="AH282" s="1021"/>
      <c r="AI282" s="1021"/>
      <c r="AJ282" s="1021"/>
      <c r="AK282" s="1021"/>
      <c r="AL282" s="1021"/>
      <c r="AM282" s="1021"/>
      <c r="AN282" s="1021"/>
      <c r="AO282" s="1021"/>
      <c r="AP282" s="1021"/>
      <c r="AQ282" s="1021"/>
      <c r="AR282" s="1021"/>
      <c r="AS282" s="1021"/>
      <c r="AT282" s="1021"/>
      <c r="AU282" s="1021"/>
      <c r="AV282" s="1021"/>
      <c r="AW282" s="1021"/>
      <c r="AX282" s="1021"/>
      <c r="AY282" s="1021"/>
      <c r="AZ282" s="1021"/>
      <c r="BA282" s="1021"/>
      <c r="BB282" s="1021"/>
      <c r="BC282" s="1021"/>
      <c r="BD282" s="1021"/>
      <c r="BE282" s="1021"/>
      <c r="BF282" s="1021"/>
      <c r="BG282" s="1021"/>
      <c r="BH282" s="1021"/>
      <c r="BI282" s="1021"/>
      <c r="BJ282" s="1021"/>
      <c r="BK282" s="1021"/>
      <c r="BL282" s="1021"/>
      <c r="BM282" s="1021"/>
      <c r="BN282" s="1021"/>
      <c r="BO282" s="1021"/>
      <c r="BP282" s="1021"/>
      <c r="BQ282" s="1021"/>
      <c r="BR282" s="1021"/>
      <c r="BS282" s="1021"/>
      <c r="BT282" s="1021"/>
      <c r="BU282" s="1021"/>
      <c r="BV282" s="1021"/>
      <c r="BW282" s="1021"/>
      <c r="BX282" s="1021"/>
      <c r="BY282" s="1021"/>
      <c r="BZ282" s="1021"/>
      <c r="CA282" s="1021"/>
      <c r="CB282" s="1021"/>
      <c r="CC282" s="1021"/>
    </row>
    <row r="283" spans="8:81" x14ac:dyDescent="0.25">
      <c r="H283" s="1021"/>
      <c r="I283" s="1021"/>
      <c r="J283" s="1021"/>
      <c r="K283" s="1021"/>
      <c r="L283" s="1021"/>
      <c r="M283" s="1021"/>
      <c r="N283" s="1021"/>
      <c r="O283" s="1021"/>
      <c r="P283" s="1021"/>
      <c r="Q283" s="1021"/>
      <c r="R283" s="1021"/>
      <c r="S283" s="1021"/>
      <c r="T283" s="1021"/>
      <c r="U283" s="1021"/>
      <c r="V283" s="1021"/>
      <c r="W283" s="1021"/>
      <c r="X283" s="1021"/>
      <c r="Y283" s="1021"/>
      <c r="Z283" s="1021"/>
      <c r="AA283" s="1021"/>
      <c r="AB283" s="1021"/>
      <c r="AC283" s="1021"/>
      <c r="AD283" s="1021"/>
      <c r="AE283" s="1021"/>
      <c r="AF283" s="1021"/>
      <c r="AG283" s="1021"/>
      <c r="AH283" s="1021"/>
      <c r="AI283" s="1021"/>
      <c r="AJ283" s="1021"/>
      <c r="AK283" s="1021"/>
      <c r="AL283" s="1021"/>
      <c r="AM283" s="1021"/>
      <c r="AN283" s="1021"/>
      <c r="AO283" s="1021"/>
      <c r="AP283" s="1021"/>
      <c r="AQ283" s="1021"/>
      <c r="AR283" s="1021"/>
      <c r="AS283" s="1021"/>
      <c r="AT283" s="1021"/>
      <c r="AU283" s="1021"/>
      <c r="AV283" s="1021"/>
      <c r="AW283" s="1021"/>
      <c r="AX283" s="1021"/>
      <c r="AY283" s="1021"/>
      <c r="AZ283" s="1021"/>
      <c r="BA283" s="1021"/>
      <c r="BB283" s="1021"/>
      <c r="BC283" s="1021"/>
      <c r="BD283" s="1021"/>
      <c r="BE283" s="1021"/>
      <c r="BF283" s="1021"/>
      <c r="BG283" s="1021"/>
      <c r="BH283" s="1021"/>
      <c r="BI283" s="1021"/>
      <c r="BJ283" s="1021"/>
      <c r="BK283" s="1021"/>
      <c r="BL283" s="1021"/>
      <c r="BM283" s="1021"/>
      <c r="BN283" s="1021"/>
      <c r="BO283" s="1021"/>
      <c r="BP283" s="1021"/>
      <c r="BQ283" s="1021"/>
      <c r="BR283" s="1021"/>
      <c r="BS283" s="1021"/>
      <c r="BT283" s="1021"/>
      <c r="BU283" s="1021"/>
      <c r="BV283" s="1021"/>
      <c r="BW283" s="1021"/>
      <c r="BX283" s="1021"/>
      <c r="BY283" s="1021"/>
      <c r="BZ283" s="1021"/>
      <c r="CA283" s="1021"/>
      <c r="CB283" s="1021"/>
      <c r="CC283" s="1021"/>
    </row>
    <row r="284" spans="8:81" x14ac:dyDescent="0.25">
      <c r="H284" s="1021"/>
      <c r="I284" s="1021"/>
      <c r="J284" s="1021"/>
      <c r="K284" s="1021"/>
      <c r="L284" s="1021"/>
      <c r="M284" s="1021"/>
      <c r="N284" s="1021"/>
      <c r="O284" s="1021"/>
      <c r="P284" s="1021"/>
      <c r="Q284" s="1021"/>
      <c r="R284" s="1021"/>
      <c r="S284" s="1021"/>
      <c r="T284" s="1021"/>
      <c r="U284" s="1021"/>
      <c r="V284" s="1021"/>
      <c r="W284" s="1021"/>
      <c r="X284" s="1021"/>
      <c r="Y284" s="1021"/>
      <c r="Z284" s="1021"/>
      <c r="AA284" s="1021"/>
      <c r="AB284" s="1021"/>
      <c r="AC284" s="1021"/>
      <c r="AD284" s="1021"/>
      <c r="AE284" s="1021"/>
      <c r="AF284" s="1021"/>
      <c r="AG284" s="1021"/>
      <c r="AH284" s="1021"/>
      <c r="AI284" s="1021"/>
      <c r="AJ284" s="1021"/>
      <c r="AK284" s="1021"/>
      <c r="AL284" s="1021"/>
      <c r="AM284" s="1021"/>
      <c r="AN284" s="1021"/>
      <c r="AO284" s="1021"/>
      <c r="AP284" s="1021"/>
      <c r="AQ284" s="1021"/>
      <c r="AR284" s="1021"/>
      <c r="AS284" s="1021"/>
      <c r="AT284" s="1021"/>
      <c r="AU284" s="1021"/>
      <c r="AV284" s="1021"/>
      <c r="AW284" s="1021"/>
      <c r="AX284" s="1021"/>
      <c r="AY284" s="1021"/>
      <c r="AZ284" s="1021"/>
      <c r="BA284" s="1021"/>
      <c r="BB284" s="1021"/>
      <c r="BC284" s="1021"/>
      <c r="BD284" s="1021"/>
      <c r="BE284" s="1021"/>
      <c r="BF284" s="1021"/>
      <c r="BG284" s="1021"/>
      <c r="BH284" s="1021"/>
      <c r="BI284" s="1021"/>
      <c r="BJ284" s="1021"/>
      <c r="BK284" s="1021"/>
      <c r="BL284" s="1021"/>
      <c r="BM284" s="1021"/>
      <c r="BN284" s="1021"/>
      <c r="BO284" s="1021"/>
      <c r="BP284" s="1021"/>
      <c r="BQ284" s="1021"/>
      <c r="BR284" s="1021"/>
      <c r="BS284" s="1021"/>
      <c r="BT284" s="1021"/>
      <c r="BU284" s="1021"/>
      <c r="BV284" s="1021"/>
      <c r="BW284" s="1021"/>
      <c r="BX284" s="1021"/>
      <c r="BY284" s="1021"/>
      <c r="BZ284" s="1021"/>
      <c r="CA284" s="1021"/>
      <c r="CB284" s="1021"/>
      <c r="CC284" s="1021"/>
    </row>
    <row r="285" spans="8:81" x14ac:dyDescent="0.25">
      <c r="H285" s="1021"/>
      <c r="I285" s="1021"/>
      <c r="J285" s="1021"/>
      <c r="K285" s="1021"/>
      <c r="L285" s="1021"/>
      <c r="M285" s="1021"/>
      <c r="N285" s="1021"/>
      <c r="O285" s="1021"/>
      <c r="P285" s="1021"/>
      <c r="Q285" s="1021"/>
      <c r="R285" s="1021"/>
      <c r="S285" s="1021"/>
      <c r="T285" s="1021"/>
      <c r="U285" s="1021"/>
      <c r="V285" s="1021"/>
      <c r="W285" s="1021"/>
      <c r="X285" s="1021"/>
      <c r="Y285" s="1021"/>
      <c r="Z285" s="1021"/>
      <c r="AA285" s="1021"/>
      <c r="AB285" s="1021"/>
      <c r="AC285" s="1021"/>
      <c r="AD285" s="1021"/>
      <c r="AE285" s="1021"/>
      <c r="AF285" s="1021"/>
      <c r="AG285" s="1021"/>
      <c r="AH285" s="1021"/>
      <c r="AI285" s="1021"/>
      <c r="AJ285" s="1021"/>
      <c r="AK285" s="1021"/>
      <c r="AL285" s="1021"/>
      <c r="AM285" s="1021"/>
      <c r="AN285" s="1021"/>
      <c r="AO285" s="1021"/>
      <c r="AP285" s="1021"/>
      <c r="AQ285" s="1021"/>
      <c r="AR285" s="1021"/>
      <c r="AS285" s="1021"/>
      <c r="AT285" s="1021"/>
      <c r="AU285" s="1021"/>
      <c r="AV285" s="1021"/>
      <c r="AW285" s="1021"/>
      <c r="AX285" s="1021"/>
      <c r="AY285" s="1021"/>
      <c r="AZ285" s="1021"/>
      <c r="BA285" s="1021"/>
      <c r="BB285" s="1021"/>
      <c r="BC285" s="1021"/>
      <c r="BD285" s="1021"/>
      <c r="BE285" s="1021"/>
      <c r="BF285" s="1021"/>
      <c r="BG285" s="1021"/>
      <c r="BH285" s="1021"/>
      <c r="BI285" s="1021"/>
      <c r="BJ285" s="1021"/>
      <c r="BK285" s="1021"/>
      <c r="BL285" s="1021"/>
      <c r="BM285" s="1021"/>
      <c r="BN285" s="1021"/>
      <c r="BO285" s="1021"/>
      <c r="BP285" s="1021"/>
      <c r="BQ285" s="1021"/>
      <c r="BR285" s="1021"/>
      <c r="BS285" s="1021"/>
      <c r="BT285" s="1021"/>
      <c r="BU285" s="1021"/>
      <c r="BV285" s="1021"/>
      <c r="BW285" s="1021"/>
      <c r="BX285" s="1021"/>
      <c r="BY285" s="1021"/>
      <c r="BZ285" s="1021"/>
      <c r="CA285" s="1021"/>
      <c r="CB285" s="1021"/>
      <c r="CC285" s="1021"/>
    </row>
    <row r="286" spans="8:81" x14ac:dyDescent="0.25">
      <c r="H286" s="1021"/>
      <c r="I286" s="1021"/>
      <c r="J286" s="1021"/>
      <c r="K286" s="1021"/>
      <c r="L286" s="1021"/>
      <c r="M286" s="1021"/>
      <c r="N286" s="1021"/>
      <c r="O286" s="1021"/>
      <c r="P286" s="1021"/>
      <c r="Q286" s="1021"/>
      <c r="R286" s="1021"/>
      <c r="S286" s="1021"/>
      <c r="T286" s="1021"/>
      <c r="U286" s="1021"/>
      <c r="V286" s="1021"/>
      <c r="W286" s="1021"/>
      <c r="X286" s="1021"/>
      <c r="Y286" s="1021"/>
      <c r="Z286" s="1021"/>
      <c r="AA286" s="1021"/>
      <c r="AB286" s="1021"/>
      <c r="AC286" s="1021"/>
      <c r="AD286" s="1021"/>
      <c r="AE286" s="1021"/>
      <c r="AF286" s="1021"/>
      <c r="AG286" s="1021"/>
      <c r="AH286" s="1021"/>
      <c r="AI286" s="1021"/>
      <c r="AJ286" s="1021"/>
      <c r="AK286" s="1021"/>
      <c r="AL286" s="1021"/>
      <c r="AM286" s="1021"/>
      <c r="AN286" s="1021"/>
      <c r="AO286" s="1021"/>
      <c r="AP286" s="1021"/>
      <c r="AQ286" s="1021"/>
      <c r="AR286" s="1021"/>
      <c r="AS286" s="1021"/>
      <c r="AT286" s="1021"/>
      <c r="AU286" s="1021"/>
      <c r="AV286" s="1021"/>
      <c r="AW286" s="1021"/>
      <c r="AX286" s="1021"/>
      <c r="AY286" s="1021"/>
      <c r="AZ286" s="1021"/>
      <c r="BA286" s="1021"/>
      <c r="BB286" s="1021"/>
      <c r="BC286" s="1021"/>
      <c r="BD286" s="1021"/>
      <c r="BE286" s="1021"/>
      <c r="BF286" s="1021"/>
      <c r="BG286" s="1021"/>
      <c r="BH286" s="1021"/>
      <c r="BI286" s="1021"/>
      <c r="BJ286" s="1021"/>
      <c r="BK286" s="1021"/>
      <c r="BL286" s="1021"/>
      <c r="BM286" s="1021"/>
      <c r="BN286" s="1021"/>
      <c r="BO286" s="1021"/>
      <c r="BP286" s="1021"/>
      <c r="BQ286" s="1021"/>
      <c r="BR286" s="1021"/>
      <c r="BS286" s="1021"/>
      <c r="BT286" s="1021"/>
      <c r="BU286" s="1021"/>
      <c r="BV286" s="1021"/>
      <c r="BW286" s="1021"/>
      <c r="BX286" s="1021"/>
      <c r="BY286" s="1021"/>
      <c r="BZ286" s="1021"/>
      <c r="CA286" s="1021"/>
      <c r="CB286" s="1021"/>
      <c r="CC286" s="1021"/>
    </row>
    <row r="287" spans="8:81" x14ac:dyDescent="0.25">
      <c r="H287" s="1021"/>
      <c r="I287" s="1021"/>
      <c r="J287" s="1021"/>
      <c r="K287" s="1021"/>
      <c r="L287" s="1021"/>
      <c r="M287" s="1021"/>
      <c r="N287" s="1021"/>
      <c r="O287" s="1021"/>
      <c r="P287" s="1021"/>
      <c r="Q287" s="1021"/>
      <c r="R287" s="1021"/>
      <c r="S287" s="1021"/>
      <c r="T287" s="1021"/>
      <c r="U287" s="1021"/>
      <c r="V287" s="1021"/>
      <c r="W287" s="1021"/>
      <c r="X287" s="1021"/>
      <c r="Y287" s="1021"/>
      <c r="Z287" s="1021"/>
      <c r="AA287" s="1021"/>
      <c r="AB287" s="1021"/>
      <c r="AC287" s="1021"/>
      <c r="AD287" s="1021"/>
      <c r="AE287" s="1021"/>
      <c r="AF287" s="1021"/>
      <c r="AG287" s="1021"/>
      <c r="AH287" s="1021"/>
      <c r="AI287" s="1021"/>
      <c r="AJ287" s="1021"/>
      <c r="AK287" s="1021"/>
      <c r="AL287" s="1021"/>
      <c r="AM287" s="1021"/>
      <c r="AN287" s="1021"/>
      <c r="AO287" s="1021"/>
      <c r="AP287" s="1021"/>
      <c r="AQ287" s="1021"/>
      <c r="AR287" s="1021"/>
      <c r="AS287" s="1021"/>
      <c r="AT287" s="1021"/>
      <c r="AU287" s="1021"/>
      <c r="AV287" s="1021"/>
      <c r="AW287" s="1021"/>
      <c r="AX287" s="1021"/>
      <c r="AY287" s="1021"/>
      <c r="AZ287" s="1021"/>
      <c r="BA287" s="1021"/>
      <c r="BB287" s="1021"/>
      <c r="BC287" s="1021"/>
      <c r="BD287" s="1021"/>
      <c r="BE287" s="1021"/>
      <c r="BF287" s="1021"/>
      <c r="BG287" s="1021"/>
      <c r="BH287" s="1021"/>
      <c r="BI287" s="1021"/>
      <c r="BJ287" s="1021"/>
      <c r="BK287" s="1021"/>
      <c r="BL287" s="1021"/>
      <c r="BM287" s="1021"/>
      <c r="BN287" s="1021"/>
      <c r="BO287" s="1021"/>
      <c r="BP287" s="1021"/>
      <c r="BQ287" s="1021"/>
      <c r="BR287" s="1021"/>
      <c r="BS287" s="1021"/>
      <c r="BT287" s="1021"/>
      <c r="BU287" s="1021"/>
      <c r="BV287" s="1021"/>
      <c r="BW287" s="1021"/>
      <c r="BX287" s="1021"/>
      <c r="BY287" s="1021"/>
      <c r="BZ287" s="1021"/>
      <c r="CA287" s="1021"/>
      <c r="CB287" s="1021"/>
      <c r="CC287" s="1021"/>
    </row>
    <row r="288" spans="8:81" x14ac:dyDescent="0.25">
      <c r="H288" s="1021"/>
      <c r="I288" s="1021"/>
      <c r="J288" s="1021"/>
      <c r="K288" s="1021"/>
      <c r="L288" s="1021"/>
      <c r="M288" s="1021"/>
      <c r="N288" s="1021"/>
      <c r="O288" s="1021"/>
      <c r="P288" s="1021"/>
      <c r="Q288" s="1021"/>
      <c r="R288" s="1021"/>
      <c r="S288" s="1021"/>
      <c r="T288" s="1021"/>
      <c r="U288" s="1021"/>
      <c r="V288" s="1021"/>
      <c r="W288" s="1021"/>
      <c r="X288" s="1021"/>
      <c r="Y288" s="1021"/>
      <c r="Z288" s="1021"/>
      <c r="AA288" s="1021"/>
      <c r="AB288" s="1021"/>
      <c r="AC288" s="1021"/>
      <c r="AD288" s="1021"/>
      <c r="AE288" s="1021"/>
      <c r="AF288" s="1021"/>
      <c r="AG288" s="1021"/>
      <c r="AH288" s="1021"/>
      <c r="AI288" s="1021"/>
      <c r="AJ288" s="1021"/>
      <c r="AK288" s="1021"/>
      <c r="AL288" s="1021"/>
      <c r="AM288" s="1021"/>
      <c r="AN288" s="1021"/>
      <c r="AO288" s="1021"/>
      <c r="AP288" s="1021"/>
      <c r="AQ288" s="1021"/>
      <c r="AR288" s="1021"/>
      <c r="AS288" s="1021"/>
      <c r="AT288" s="1021"/>
      <c r="AU288" s="1021"/>
      <c r="AV288" s="1021"/>
      <c r="AW288" s="1021"/>
      <c r="AX288" s="1021"/>
      <c r="AY288" s="1021"/>
      <c r="AZ288" s="1021"/>
      <c r="BA288" s="1021"/>
      <c r="BB288" s="1021"/>
      <c r="BC288" s="1021"/>
      <c r="BD288" s="1021"/>
      <c r="BE288" s="1021"/>
      <c r="BF288" s="1021"/>
      <c r="BG288" s="1021"/>
      <c r="BH288" s="1021"/>
      <c r="BI288" s="1021"/>
      <c r="BJ288" s="1021"/>
      <c r="BK288" s="1021"/>
      <c r="BL288" s="1021"/>
      <c r="BM288" s="1021"/>
      <c r="BN288" s="1021"/>
      <c r="BO288" s="1021"/>
      <c r="BP288" s="1021"/>
      <c r="BQ288" s="1021"/>
      <c r="BR288" s="1021"/>
      <c r="BS288" s="1021"/>
      <c r="BT288" s="1021"/>
      <c r="BU288" s="1021"/>
      <c r="BV288" s="1021"/>
      <c r="BW288" s="1021"/>
      <c r="BX288" s="1021"/>
      <c r="BY288" s="1021"/>
      <c r="BZ288" s="1021"/>
      <c r="CA288" s="1021"/>
      <c r="CB288" s="1021"/>
      <c r="CC288" s="1021"/>
    </row>
    <row r="289" spans="8:81" x14ac:dyDescent="0.25">
      <c r="H289" s="1021"/>
      <c r="I289" s="1021"/>
      <c r="J289" s="1021"/>
      <c r="K289" s="1021"/>
      <c r="L289" s="1021"/>
      <c r="M289" s="1021"/>
      <c r="N289" s="1021"/>
      <c r="O289" s="1021"/>
      <c r="P289" s="1021"/>
      <c r="Q289" s="1021"/>
      <c r="R289" s="1021"/>
      <c r="S289" s="1021"/>
      <c r="T289" s="1021"/>
      <c r="U289" s="1021"/>
      <c r="V289" s="1021"/>
      <c r="W289" s="1021"/>
      <c r="X289" s="1021"/>
      <c r="Y289" s="1021"/>
      <c r="Z289" s="1021"/>
      <c r="AA289" s="1021"/>
      <c r="AB289" s="1021"/>
      <c r="AC289" s="1021"/>
      <c r="AD289" s="1021"/>
      <c r="AE289" s="1021"/>
      <c r="AF289" s="1021"/>
      <c r="AG289" s="1021"/>
      <c r="AH289" s="1021"/>
      <c r="AI289" s="1021"/>
      <c r="AJ289" s="1021"/>
      <c r="AK289" s="1021"/>
      <c r="AL289" s="1021"/>
      <c r="AM289" s="1021"/>
      <c r="AN289" s="1021"/>
      <c r="AO289" s="1021"/>
      <c r="AP289" s="1021"/>
      <c r="AQ289" s="1021"/>
      <c r="AR289" s="1021"/>
      <c r="AS289" s="1021"/>
      <c r="AT289" s="1021"/>
      <c r="AU289" s="1021"/>
      <c r="AV289" s="1021"/>
      <c r="AW289" s="1021"/>
      <c r="AX289" s="1021"/>
      <c r="AY289" s="1021"/>
      <c r="AZ289" s="1021"/>
      <c r="BA289" s="1021"/>
      <c r="BB289" s="1021"/>
      <c r="BC289" s="1021"/>
      <c r="BD289" s="1021"/>
      <c r="BE289" s="1021"/>
      <c r="BF289" s="1021"/>
      <c r="BG289" s="1021"/>
      <c r="BH289" s="1021"/>
      <c r="BI289" s="1021"/>
      <c r="BJ289" s="1021"/>
      <c r="BK289" s="1021"/>
      <c r="BL289" s="1021"/>
      <c r="BM289" s="1021"/>
      <c r="BN289" s="1021"/>
      <c r="BO289" s="1021"/>
      <c r="BP289" s="1021"/>
      <c r="BQ289" s="1021"/>
      <c r="BR289" s="1021"/>
      <c r="BS289" s="1021"/>
      <c r="BT289" s="1021"/>
      <c r="BU289" s="1021"/>
      <c r="BV289" s="1021"/>
      <c r="BW289" s="1021"/>
      <c r="BX289" s="1021"/>
      <c r="BY289" s="1021"/>
      <c r="BZ289" s="1021"/>
      <c r="CA289" s="1021"/>
      <c r="CB289" s="1021"/>
      <c r="CC289" s="1021"/>
    </row>
    <row r="290" spans="8:81" x14ac:dyDescent="0.25">
      <c r="H290" s="1021"/>
      <c r="I290" s="1021"/>
      <c r="J290" s="1021"/>
      <c r="K290" s="1021"/>
      <c r="L290" s="1021"/>
      <c r="M290" s="1021"/>
      <c r="N290" s="1021"/>
      <c r="O290" s="1021"/>
      <c r="P290" s="1021"/>
      <c r="Q290" s="1021"/>
      <c r="R290" s="1021"/>
      <c r="S290" s="1021"/>
      <c r="T290" s="1021"/>
      <c r="U290" s="1021"/>
      <c r="V290" s="1021"/>
      <c r="W290" s="1021"/>
      <c r="X290" s="1021"/>
      <c r="Y290" s="1021"/>
      <c r="Z290" s="1021"/>
      <c r="AA290" s="1021"/>
      <c r="AB290" s="1021"/>
      <c r="AC290" s="1021"/>
      <c r="AD290" s="1021"/>
      <c r="AE290" s="1021"/>
      <c r="AF290" s="1021"/>
      <c r="AG290" s="1021"/>
      <c r="AH290" s="1021"/>
      <c r="AI290" s="1021"/>
      <c r="AJ290" s="1021"/>
      <c r="AK290" s="1021"/>
      <c r="AL290" s="1021"/>
      <c r="AM290" s="1021"/>
      <c r="AN290" s="1021"/>
      <c r="AO290" s="1021"/>
      <c r="AP290" s="1021"/>
      <c r="AQ290" s="1021"/>
      <c r="AR290" s="1021"/>
      <c r="AS290" s="1021"/>
      <c r="AT290" s="1021"/>
      <c r="AU290" s="1021"/>
      <c r="AV290" s="1021"/>
      <c r="AW290" s="1021"/>
      <c r="AX290" s="1021"/>
      <c r="AY290" s="1021"/>
      <c r="AZ290" s="1021"/>
      <c r="BA290" s="1021"/>
      <c r="BB290" s="1021"/>
      <c r="BC290" s="1021"/>
      <c r="BD290" s="1021"/>
      <c r="BE290" s="1021"/>
      <c r="BF290" s="1021"/>
      <c r="BG290" s="1021"/>
      <c r="BH290" s="1021"/>
      <c r="BI290" s="1021"/>
      <c r="BJ290" s="1021"/>
      <c r="BK290" s="1021"/>
      <c r="BL290" s="1021"/>
      <c r="BM290" s="1021"/>
      <c r="BN290" s="1021"/>
      <c r="BO290" s="1021"/>
      <c r="BP290" s="1021"/>
      <c r="BQ290" s="1021"/>
      <c r="BR290" s="1021"/>
      <c r="BS290" s="1021"/>
      <c r="BT290" s="1021"/>
      <c r="BU290" s="1021"/>
      <c r="BV290" s="1021"/>
      <c r="BW290" s="1021"/>
      <c r="BX290" s="1021"/>
      <c r="BY290" s="1021"/>
      <c r="BZ290" s="1021"/>
      <c r="CA290" s="1021"/>
      <c r="CB290" s="1021"/>
      <c r="CC290" s="1021"/>
    </row>
    <row r="291" spans="8:81" x14ac:dyDescent="0.25">
      <c r="H291" s="1021"/>
      <c r="I291" s="1021"/>
      <c r="J291" s="1021"/>
      <c r="K291" s="1021"/>
      <c r="L291" s="1021"/>
      <c r="M291" s="1021"/>
      <c r="N291" s="1021"/>
      <c r="O291" s="1021"/>
      <c r="P291" s="1021"/>
      <c r="Q291" s="1021"/>
      <c r="R291" s="1021"/>
      <c r="S291" s="1021"/>
      <c r="T291" s="1021"/>
      <c r="U291" s="1021"/>
      <c r="V291" s="1021"/>
      <c r="W291" s="1021"/>
      <c r="X291" s="1021"/>
      <c r="Y291" s="1021"/>
      <c r="Z291" s="1021"/>
      <c r="AA291" s="1021"/>
      <c r="AB291" s="1021"/>
      <c r="AC291" s="1021"/>
      <c r="AD291" s="1021"/>
      <c r="AE291" s="1021"/>
      <c r="AF291" s="1021"/>
      <c r="AG291" s="1021"/>
      <c r="AH291" s="1021"/>
      <c r="AI291" s="1021"/>
      <c r="AJ291" s="1021"/>
      <c r="AK291" s="1021"/>
      <c r="AL291" s="1021"/>
      <c r="AM291" s="1021"/>
      <c r="AN291" s="1021"/>
      <c r="AO291" s="1021"/>
      <c r="AP291" s="1021"/>
      <c r="AQ291" s="1021"/>
      <c r="AR291" s="1021"/>
      <c r="AS291" s="1021"/>
      <c r="AT291" s="1021"/>
      <c r="AU291" s="1021"/>
      <c r="AV291" s="1021"/>
      <c r="AW291" s="1021"/>
      <c r="AX291" s="1021"/>
      <c r="AY291" s="1021"/>
      <c r="AZ291" s="1021"/>
      <c r="BA291" s="1021"/>
      <c r="BB291" s="1021"/>
      <c r="BC291" s="1021"/>
      <c r="BD291" s="1021"/>
      <c r="BE291" s="1021"/>
      <c r="BF291" s="1021"/>
      <c r="BG291" s="1021"/>
      <c r="BH291" s="1021"/>
      <c r="BI291" s="1021"/>
      <c r="BJ291" s="1021"/>
      <c r="BK291" s="1021"/>
      <c r="BL291" s="1021"/>
      <c r="BM291" s="1021"/>
      <c r="BN291" s="1021"/>
      <c r="BO291" s="1021"/>
      <c r="BP291" s="1021"/>
      <c r="BQ291" s="1021"/>
      <c r="BR291" s="1021"/>
      <c r="BS291" s="1021"/>
      <c r="BT291" s="1021"/>
      <c r="BU291" s="1021"/>
      <c r="BV291" s="1021"/>
      <c r="BW291" s="1021"/>
      <c r="BX291" s="1021"/>
      <c r="BY291" s="1021"/>
      <c r="BZ291" s="1021"/>
      <c r="CA291" s="1021"/>
      <c r="CB291" s="1021"/>
      <c r="CC291" s="1021"/>
    </row>
    <row r="292" spans="8:81" x14ac:dyDescent="0.25">
      <c r="H292" s="1021"/>
      <c r="I292" s="1021"/>
      <c r="J292" s="1021"/>
      <c r="K292" s="1021"/>
      <c r="L292" s="1021"/>
      <c r="M292" s="1021"/>
      <c r="N292" s="1021"/>
      <c r="O292" s="1021"/>
      <c r="P292" s="1021"/>
      <c r="Q292" s="1021"/>
      <c r="R292" s="1021"/>
      <c r="S292" s="1021"/>
      <c r="T292" s="1021"/>
      <c r="U292" s="1021"/>
      <c r="V292" s="1021"/>
      <c r="W292" s="1021"/>
      <c r="X292" s="1021"/>
      <c r="Y292" s="1021"/>
      <c r="Z292" s="1021"/>
      <c r="AA292" s="1021"/>
      <c r="AB292" s="1021"/>
      <c r="AC292" s="1021"/>
      <c r="AD292" s="1021"/>
      <c r="AE292" s="1021"/>
      <c r="AF292" s="1021"/>
      <c r="AG292" s="1021"/>
      <c r="AH292" s="1021"/>
      <c r="AI292" s="1021"/>
      <c r="AJ292" s="1021"/>
      <c r="AK292" s="1021"/>
      <c r="AL292" s="1021"/>
      <c r="AM292" s="1021"/>
      <c r="AN292" s="1021"/>
      <c r="AO292" s="1021"/>
      <c r="AP292" s="1021"/>
      <c r="AQ292" s="1021"/>
      <c r="AR292" s="1021"/>
      <c r="AS292" s="1021"/>
      <c r="AT292" s="1021"/>
      <c r="AU292" s="1021"/>
      <c r="AV292" s="1021"/>
      <c r="AW292" s="1021"/>
      <c r="AX292" s="1021"/>
      <c r="AY292" s="1021"/>
      <c r="AZ292" s="1021"/>
      <c r="BA292" s="1021"/>
      <c r="BB292" s="1021"/>
      <c r="BC292" s="1021"/>
      <c r="BD292" s="1021"/>
      <c r="BE292" s="1021"/>
      <c r="BF292" s="1021"/>
      <c r="BG292" s="1021"/>
      <c r="BH292" s="1021"/>
      <c r="BI292" s="1021"/>
      <c r="BJ292" s="1021"/>
      <c r="BK292" s="1021"/>
      <c r="BL292" s="1021"/>
      <c r="BM292" s="1021"/>
      <c r="BN292" s="1021"/>
      <c r="BO292" s="1021"/>
      <c r="BP292" s="1021"/>
      <c r="BQ292" s="1021"/>
      <c r="BR292" s="1021"/>
      <c r="BS292" s="1021"/>
      <c r="BT292" s="1021"/>
      <c r="BU292" s="1021"/>
      <c r="BV292" s="1021"/>
      <c r="BW292" s="1021"/>
      <c r="BX292" s="1021"/>
      <c r="BY292" s="1021"/>
      <c r="BZ292" s="1021"/>
      <c r="CA292" s="1021"/>
      <c r="CB292" s="1021"/>
      <c r="CC292" s="1021"/>
    </row>
    <row r="293" spans="8:81" x14ac:dyDescent="0.25">
      <c r="H293" s="1021"/>
      <c r="I293" s="1021"/>
      <c r="J293" s="1021"/>
      <c r="K293" s="1021"/>
      <c r="L293" s="1021"/>
      <c r="M293" s="1021"/>
      <c r="N293" s="1021"/>
      <c r="O293" s="1021"/>
      <c r="P293" s="1021"/>
      <c r="Q293" s="1021"/>
      <c r="R293" s="1021"/>
      <c r="S293" s="1021"/>
      <c r="T293" s="1021"/>
      <c r="U293" s="1021"/>
      <c r="V293" s="1021"/>
      <c r="W293" s="1021"/>
      <c r="X293" s="1021"/>
      <c r="Y293" s="1021"/>
      <c r="Z293" s="1021"/>
      <c r="AA293" s="1021"/>
      <c r="AB293" s="1021"/>
      <c r="AC293" s="1021"/>
      <c r="AD293" s="1021"/>
      <c r="AE293" s="1021"/>
      <c r="AF293" s="1021"/>
      <c r="AG293" s="1021"/>
      <c r="AH293" s="1021"/>
      <c r="AI293" s="1021"/>
      <c r="AJ293" s="1021"/>
      <c r="AK293" s="1021"/>
      <c r="AL293" s="1021"/>
      <c r="AM293" s="1021"/>
      <c r="AN293" s="1021"/>
      <c r="AO293" s="1021"/>
      <c r="AP293" s="1021"/>
      <c r="AQ293" s="1021"/>
      <c r="AR293" s="1021"/>
      <c r="AS293" s="1021"/>
      <c r="AT293" s="1021"/>
      <c r="AU293" s="1021"/>
      <c r="AV293" s="1021"/>
      <c r="AW293" s="1021"/>
      <c r="AX293" s="1021"/>
      <c r="AY293" s="1021"/>
      <c r="AZ293" s="1021"/>
      <c r="BA293" s="1021"/>
      <c r="BB293" s="1021"/>
      <c r="BC293" s="1021"/>
      <c r="BD293" s="1021"/>
      <c r="BE293" s="1021"/>
      <c r="BF293" s="1021"/>
      <c r="BG293" s="1021"/>
      <c r="BH293" s="1021"/>
      <c r="BI293" s="1021"/>
      <c r="BJ293" s="1021"/>
      <c r="BK293" s="1021"/>
      <c r="BL293" s="1021"/>
      <c r="BM293" s="1021"/>
      <c r="BN293" s="1021"/>
      <c r="BO293" s="1021"/>
      <c r="BP293" s="1021"/>
      <c r="BQ293" s="1021"/>
      <c r="BR293" s="1021"/>
      <c r="BS293" s="1021"/>
      <c r="BT293" s="1021"/>
      <c r="BU293" s="1021"/>
      <c r="BV293" s="1021"/>
      <c r="BW293" s="1021"/>
      <c r="BX293" s="1021"/>
      <c r="BY293" s="1021"/>
      <c r="BZ293" s="1021"/>
      <c r="CA293" s="1021"/>
      <c r="CB293" s="1021"/>
      <c r="CC293" s="1021"/>
    </row>
    <row r="294" spans="8:81" x14ac:dyDescent="0.25">
      <c r="H294" s="1021"/>
      <c r="I294" s="1021"/>
      <c r="J294" s="1021"/>
      <c r="K294" s="1021"/>
      <c r="L294" s="1021"/>
      <c r="M294" s="1021"/>
      <c r="N294" s="1021"/>
      <c r="O294" s="1021"/>
      <c r="P294" s="1021"/>
      <c r="Q294" s="1021"/>
      <c r="R294" s="1021"/>
      <c r="S294" s="1021"/>
      <c r="T294" s="1021"/>
      <c r="U294" s="1021"/>
      <c r="V294" s="1021"/>
      <c r="W294" s="1021"/>
      <c r="X294" s="1021"/>
      <c r="Y294" s="1021"/>
      <c r="Z294" s="1021"/>
      <c r="AA294" s="1021"/>
      <c r="AB294" s="1021"/>
      <c r="AC294" s="1021"/>
      <c r="AD294" s="1021"/>
      <c r="AE294" s="1021"/>
      <c r="AF294" s="1021"/>
      <c r="AG294" s="1021"/>
      <c r="AH294" s="1021"/>
      <c r="AI294" s="1021"/>
      <c r="AJ294" s="1021"/>
      <c r="AK294" s="1021"/>
      <c r="AL294" s="1021"/>
      <c r="AM294" s="1021"/>
      <c r="AN294" s="1021"/>
      <c r="AO294" s="1021"/>
      <c r="AP294" s="1021"/>
      <c r="AQ294" s="1021"/>
      <c r="AR294" s="1021"/>
      <c r="AS294" s="1021"/>
      <c r="AT294" s="1021"/>
      <c r="AU294" s="1021"/>
      <c r="AV294" s="1021"/>
      <c r="AW294" s="1021"/>
      <c r="AX294" s="1021"/>
      <c r="AY294" s="1021"/>
      <c r="AZ294" s="1021"/>
      <c r="BA294" s="1021"/>
      <c r="BB294" s="1021"/>
      <c r="BC294" s="1021"/>
      <c r="BD294" s="1021"/>
      <c r="BE294" s="1021"/>
      <c r="BF294" s="1021"/>
      <c r="BG294" s="1021"/>
      <c r="BH294" s="1021"/>
      <c r="BI294" s="1021"/>
      <c r="BJ294" s="1021"/>
      <c r="BK294" s="1021"/>
      <c r="BL294" s="1021"/>
      <c r="BM294" s="1021"/>
      <c r="BN294" s="1021"/>
      <c r="BO294" s="1021"/>
      <c r="BP294" s="1021"/>
      <c r="BQ294" s="1021"/>
      <c r="BR294" s="1021"/>
      <c r="BS294" s="1021"/>
      <c r="BT294" s="1021"/>
      <c r="BU294" s="1021"/>
      <c r="BV294" s="1021"/>
      <c r="BW294" s="1021"/>
      <c r="BX294" s="1021"/>
      <c r="BY294" s="1021"/>
      <c r="BZ294" s="1021"/>
      <c r="CA294" s="1021"/>
      <c r="CB294" s="1021"/>
      <c r="CC294" s="1021"/>
    </row>
    <row r="295" spans="8:81" x14ac:dyDescent="0.25">
      <c r="H295" s="1021"/>
      <c r="I295" s="1021"/>
      <c r="J295" s="1021"/>
      <c r="K295" s="1021"/>
      <c r="L295" s="1021"/>
      <c r="M295" s="1021"/>
      <c r="N295" s="1021"/>
      <c r="O295" s="1021"/>
      <c r="P295" s="1021"/>
      <c r="Q295" s="1021"/>
      <c r="R295" s="1021"/>
      <c r="S295" s="1021"/>
      <c r="T295" s="1021"/>
      <c r="U295" s="1021"/>
      <c r="V295" s="1021"/>
      <c r="W295" s="1021"/>
      <c r="X295" s="1021"/>
      <c r="Y295" s="1021"/>
      <c r="Z295" s="1021"/>
      <c r="AA295" s="1021"/>
      <c r="AB295" s="1021"/>
      <c r="AC295" s="1021"/>
      <c r="AD295" s="1021"/>
      <c r="AE295" s="1021"/>
      <c r="AF295" s="1021"/>
      <c r="AG295" s="1021"/>
      <c r="AH295" s="1021"/>
      <c r="AI295" s="1021"/>
      <c r="AJ295" s="1021"/>
      <c r="AK295" s="1021"/>
      <c r="AL295" s="1021"/>
      <c r="AM295" s="1021"/>
      <c r="AN295" s="1021"/>
      <c r="AO295" s="1021"/>
      <c r="AP295" s="1021"/>
      <c r="AQ295" s="1021"/>
      <c r="AR295" s="1021"/>
      <c r="AS295" s="1021"/>
      <c r="AT295" s="1021"/>
      <c r="AU295" s="1021"/>
      <c r="AV295" s="1021"/>
      <c r="AW295" s="1021"/>
      <c r="AX295" s="1021"/>
      <c r="AY295" s="1021"/>
      <c r="AZ295" s="1021"/>
      <c r="BA295" s="1021"/>
      <c r="BB295" s="1021"/>
      <c r="BC295" s="1021"/>
      <c r="BD295" s="1021"/>
      <c r="BE295" s="1021"/>
      <c r="BF295" s="1021"/>
      <c r="BG295" s="1021"/>
      <c r="BH295" s="1021"/>
      <c r="BI295" s="1021"/>
      <c r="BJ295" s="1021"/>
      <c r="BK295" s="1021"/>
      <c r="BL295" s="1021"/>
      <c r="BM295" s="1021"/>
      <c r="BN295" s="1021"/>
      <c r="BO295" s="1021"/>
      <c r="BP295" s="1021"/>
      <c r="BQ295" s="1021"/>
      <c r="BR295" s="1021"/>
      <c r="BS295" s="1021"/>
      <c r="BT295" s="1021"/>
      <c r="BU295" s="1021"/>
      <c r="BV295" s="1021"/>
      <c r="BW295" s="1021"/>
      <c r="BX295" s="1021"/>
      <c r="BY295" s="1021"/>
      <c r="BZ295" s="1021"/>
      <c r="CA295" s="1021"/>
      <c r="CB295" s="1021"/>
      <c r="CC295" s="1021"/>
    </row>
    <row r="296" spans="8:81" x14ac:dyDescent="0.25">
      <c r="H296" s="1021"/>
      <c r="I296" s="1021"/>
      <c r="J296" s="1021"/>
      <c r="K296" s="1021"/>
      <c r="L296" s="1021"/>
      <c r="M296" s="1021"/>
      <c r="N296" s="1021"/>
      <c r="O296" s="1021"/>
      <c r="P296" s="1021"/>
      <c r="Q296" s="1021"/>
      <c r="R296" s="1021"/>
      <c r="S296" s="1021"/>
      <c r="T296" s="1021"/>
      <c r="U296" s="1021"/>
      <c r="V296" s="1021"/>
      <c r="W296" s="1021"/>
      <c r="X296" s="1021"/>
      <c r="Y296" s="1021"/>
      <c r="Z296" s="1021"/>
      <c r="AA296" s="1021"/>
      <c r="AB296" s="1021"/>
      <c r="AC296" s="1021"/>
      <c r="AD296" s="1021"/>
      <c r="AE296" s="1021"/>
      <c r="AF296" s="1021"/>
      <c r="AG296" s="1021"/>
      <c r="AH296" s="1021"/>
      <c r="AI296" s="1021"/>
      <c r="AJ296" s="1021"/>
      <c r="AK296" s="1021"/>
      <c r="AL296" s="1021"/>
      <c r="AM296" s="1021"/>
      <c r="AN296" s="1021"/>
      <c r="AO296" s="1021"/>
      <c r="AP296" s="1021"/>
      <c r="AQ296" s="1021"/>
      <c r="AR296" s="1021"/>
      <c r="AS296" s="1021"/>
      <c r="AT296" s="1021"/>
      <c r="AU296" s="1021"/>
      <c r="AV296" s="1021"/>
      <c r="AW296" s="1021"/>
      <c r="AX296" s="1021"/>
      <c r="AY296" s="1021"/>
      <c r="AZ296" s="1021"/>
      <c r="BA296" s="1021"/>
      <c r="BB296" s="1021"/>
      <c r="BC296" s="1021"/>
      <c r="BD296" s="1021"/>
      <c r="BE296" s="1021"/>
      <c r="BF296" s="1021"/>
      <c r="BG296" s="1021"/>
      <c r="BH296" s="1021"/>
      <c r="BI296" s="1021"/>
      <c r="BJ296" s="1021"/>
      <c r="BK296" s="1021"/>
      <c r="BL296" s="1021"/>
      <c r="BM296" s="1021"/>
      <c r="BN296" s="1021"/>
      <c r="BO296" s="1021"/>
      <c r="BP296" s="1021"/>
      <c r="BQ296" s="1021"/>
      <c r="BR296" s="1021"/>
      <c r="BS296" s="1021"/>
      <c r="BT296" s="1021"/>
      <c r="BU296" s="1021"/>
      <c r="BV296" s="1021"/>
      <c r="BW296" s="1021"/>
      <c r="BX296" s="1021"/>
      <c r="BY296" s="1021"/>
      <c r="BZ296" s="1021"/>
      <c r="CA296" s="1021"/>
      <c r="CB296" s="1021"/>
      <c r="CC296" s="1021"/>
    </row>
    <row r="297" spans="8:81" x14ac:dyDescent="0.25">
      <c r="H297" s="1021"/>
      <c r="I297" s="1021"/>
      <c r="J297" s="1021"/>
      <c r="K297" s="1021"/>
      <c r="L297" s="1021"/>
      <c r="M297" s="1021"/>
      <c r="N297" s="1021"/>
      <c r="O297" s="1021"/>
      <c r="P297" s="1021"/>
      <c r="Q297" s="1021"/>
      <c r="R297" s="1021"/>
      <c r="S297" s="1021"/>
      <c r="T297" s="1021"/>
      <c r="U297" s="1021"/>
      <c r="V297" s="1021"/>
      <c r="W297" s="1021"/>
      <c r="X297" s="1021"/>
      <c r="Y297" s="1021"/>
      <c r="Z297" s="1021"/>
      <c r="AA297" s="1021"/>
      <c r="AB297" s="1021"/>
      <c r="AC297" s="1021"/>
      <c r="AD297" s="1021"/>
      <c r="AE297" s="1021"/>
      <c r="AF297" s="1021"/>
      <c r="AG297" s="1021"/>
      <c r="AH297" s="1021"/>
      <c r="AI297" s="1021"/>
      <c r="AJ297" s="1021"/>
      <c r="AK297" s="1021"/>
      <c r="AL297" s="1021"/>
      <c r="AM297" s="1021"/>
      <c r="AN297" s="1021"/>
      <c r="AO297" s="1021"/>
      <c r="AP297" s="1021"/>
      <c r="AQ297" s="1021"/>
      <c r="AR297" s="1021"/>
      <c r="AS297" s="1021"/>
      <c r="AT297" s="1021"/>
      <c r="AU297" s="1021"/>
      <c r="AV297" s="1021"/>
      <c r="AW297" s="1021"/>
      <c r="AX297" s="1021"/>
      <c r="AY297" s="1021"/>
      <c r="AZ297" s="1021"/>
      <c r="BA297" s="1021"/>
      <c r="BB297" s="1021"/>
      <c r="BC297" s="1021"/>
      <c r="BD297" s="1021"/>
      <c r="BE297" s="1021"/>
      <c r="BF297" s="1021"/>
      <c r="BG297" s="1021"/>
      <c r="BH297" s="1021"/>
      <c r="BI297" s="1021"/>
      <c r="BJ297" s="1021"/>
      <c r="BK297" s="1021"/>
      <c r="BL297" s="1021"/>
      <c r="BM297" s="1021"/>
      <c r="BN297" s="1021"/>
      <c r="BO297" s="1021"/>
      <c r="BP297" s="1021"/>
      <c r="BQ297" s="1021"/>
      <c r="BR297" s="1021"/>
      <c r="BS297" s="1021"/>
      <c r="BT297" s="1021"/>
      <c r="BU297" s="1021"/>
      <c r="BV297" s="1021"/>
      <c r="BW297" s="1021"/>
      <c r="BX297" s="1021"/>
      <c r="BY297" s="1021"/>
      <c r="BZ297" s="1021"/>
      <c r="CA297" s="1021"/>
      <c r="CB297" s="1021"/>
      <c r="CC297" s="1021"/>
    </row>
    <row r="298" spans="8:81" x14ac:dyDescent="0.25">
      <c r="H298" s="1021"/>
      <c r="I298" s="1021"/>
      <c r="J298" s="1021"/>
      <c r="K298" s="1021"/>
      <c r="L298" s="1021"/>
      <c r="M298" s="1021"/>
      <c r="N298" s="1021"/>
      <c r="O298" s="1021"/>
      <c r="P298" s="1021"/>
      <c r="Q298" s="1021"/>
      <c r="R298" s="1021"/>
      <c r="S298" s="1021"/>
      <c r="T298" s="1021"/>
      <c r="U298" s="1021"/>
      <c r="V298" s="1021"/>
      <c r="W298" s="1021"/>
      <c r="X298" s="1021"/>
      <c r="Y298" s="1021"/>
      <c r="Z298" s="1021"/>
      <c r="AA298" s="1021"/>
      <c r="AB298" s="1021"/>
      <c r="AC298" s="1021"/>
      <c r="AD298" s="1021"/>
      <c r="AE298" s="1021"/>
      <c r="AF298" s="1021"/>
      <c r="AG298" s="1021"/>
      <c r="AH298" s="1021"/>
      <c r="AI298" s="1021"/>
      <c r="AJ298" s="1021"/>
      <c r="AK298" s="1021"/>
      <c r="AL298" s="1021"/>
      <c r="AM298" s="1021"/>
      <c r="AN298" s="1021"/>
      <c r="AO298" s="1021"/>
      <c r="AP298" s="1021"/>
      <c r="AQ298" s="1021"/>
      <c r="AR298" s="1021"/>
      <c r="AS298" s="1021"/>
      <c r="AT298" s="1021"/>
      <c r="AU298" s="1021"/>
      <c r="AV298" s="1021"/>
      <c r="AW298" s="1021"/>
      <c r="AX298" s="1021"/>
      <c r="AY298" s="1021"/>
      <c r="AZ298" s="1021"/>
      <c r="BA298" s="1021"/>
      <c r="BB298" s="1021"/>
      <c r="BC298" s="1021"/>
      <c r="BD298" s="1021"/>
      <c r="BE298" s="1021"/>
      <c r="BF298" s="1021"/>
      <c r="BG298" s="1021"/>
      <c r="BH298" s="1021"/>
      <c r="BI298" s="1021"/>
      <c r="BJ298" s="1021"/>
      <c r="BK298" s="1021"/>
      <c r="BL298" s="1021"/>
      <c r="BM298" s="1021"/>
      <c r="BN298" s="1021"/>
      <c r="BO298" s="1021"/>
      <c r="BP298" s="1021"/>
      <c r="BQ298" s="1021"/>
      <c r="BR298" s="1021"/>
      <c r="BS298" s="1021"/>
      <c r="BT298" s="1021"/>
      <c r="BU298" s="1021"/>
      <c r="BV298" s="1021"/>
      <c r="BW298" s="1021"/>
      <c r="BX298" s="1021"/>
      <c r="BY298" s="1021"/>
      <c r="BZ298" s="1021"/>
      <c r="CA298" s="1021"/>
      <c r="CB298" s="1021"/>
      <c r="CC298" s="1021"/>
    </row>
    <row r="299" spans="8:81" x14ac:dyDescent="0.25">
      <c r="H299" s="1021"/>
      <c r="I299" s="1021"/>
      <c r="J299" s="1021"/>
      <c r="K299" s="1021"/>
      <c r="L299" s="1021"/>
      <c r="M299" s="1021"/>
      <c r="N299" s="1021"/>
      <c r="O299" s="1021"/>
      <c r="P299" s="1021"/>
      <c r="Q299" s="1021"/>
      <c r="R299" s="1021"/>
      <c r="S299" s="1021"/>
      <c r="T299" s="1021"/>
      <c r="U299" s="1021"/>
      <c r="V299" s="1021"/>
      <c r="W299" s="1021"/>
      <c r="X299" s="1021"/>
      <c r="Y299" s="1021"/>
      <c r="Z299" s="1021"/>
      <c r="AA299" s="1021"/>
      <c r="AB299" s="1021"/>
      <c r="AC299" s="1021"/>
      <c r="AD299" s="1021"/>
      <c r="AE299" s="1021"/>
      <c r="AF299" s="1021"/>
      <c r="AG299" s="1021"/>
      <c r="AH299" s="1021"/>
      <c r="AI299" s="1021"/>
      <c r="AJ299" s="1021"/>
      <c r="AK299" s="1021"/>
      <c r="AL299" s="1021"/>
      <c r="AM299" s="1021"/>
      <c r="AN299" s="1021"/>
      <c r="AO299" s="1021"/>
      <c r="AP299" s="1021"/>
      <c r="AQ299" s="1021"/>
      <c r="AR299" s="1021"/>
      <c r="AS299" s="1021"/>
      <c r="AT299" s="1021"/>
      <c r="AU299" s="1021"/>
      <c r="AV299" s="1021"/>
      <c r="AW299" s="1021"/>
      <c r="AX299" s="1021"/>
      <c r="AY299" s="1021"/>
      <c r="AZ299" s="1021"/>
      <c r="BA299" s="1021"/>
      <c r="BB299" s="1021"/>
      <c r="BC299" s="1021"/>
      <c r="BD299" s="1021"/>
      <c r="BE299" s="1021"/>
      <c r="BF299" s="1021"/>
      <c r="BG299" s="1021"/>
      <c r="BH299" s="1021"/>
      <c r="BI299" s="1021"/>
      <c r="BJ299" s="1021"/>
      <c r="BK299" s="1021"/>
      <c r="BL299" s="1021"/>
      <c r="BM299" s="1021"/>
      <c r="BN299" s="1021"/>
      <c r="BO299" s="1021"/>
      <c r="BP299" s="1021"/>
      <c r="BQ299" s="1021"/>
      <c r="BR299" s="1021"/>
      <c r="BS299" s="1021"/>
      <c r="BT299" s="1021"/>
      <c r="BU299" s="1021"/>
      <c r="BV299" s="1021"/>
      <c r="BW299" s="1021"/>
      <c r="BX299" s="1021"/>
      <c r="BY299" s="1021"/>
      <c r="BZ299" s="1021"/>
      <c r="CA299" s="1021"/>
      <c r="CB299" s="1021"/>
      <c r="CC299" s="1021"/>
    </row>
    <row r="300" spans="8:81" x14ac:dyDescent="0.25">
      <c r="H300" s="1021"/>
      <c r="I300" s="1021"/>
      <c r="J300" s="1021"/>
      <c r="K300" s="1021"/>
      <c r="L300" s="1021"/>
      <c r="M300" s="1021"/>
      <c r="N300" s="1021"/>
      <c r="O300" s="1021"/>
      <c r="P300" s="1021"/>
      <c r="Q300" s="1021"/>
      <c r="R300" s="1021"/>
      <c r="S300" s="1021"/>
      <c r="T300" s="1021"/>
      <c r="U300" s="1021"/>
      <c r="V300" s="1021"/>
      <c r="W300" s="1021"/>
      <c r="X300" s="1021"/>
      <c r="Y300" s="1021"/>
      <c r="Z300" s="1021"/>
      <c r="AA300" s="1021"/>
      <c r="AB300" s="1021"/>
      <c r="AC300" s="1021"/>
      <c r="AD300" s="1021"/>
      <c r="AE300" s="1021"/>
      <c r="AF300" s="1021"/>
      <c r="AG300" s="1021"/>
      <c r="AH300" s="1021"/>
      <c r="AI300" s="1021"/>
      <c r="AJ300" s="1021"/>
      <c r="AK300" s="1021"/>
      <c r="AL300" s="1021"/>
      <c r="AM300" s="1021"/>
      <c r="AN300" s="1021"/>
      <c r="AO300" s="1021"/>
      <c r="AP300" s="1021"/>
      <c r="AQ300" s="1021"/>
      <c r="AR300" s="1021"/>
      <c r="AS300" s="1021"/>
      <c r="AT300" s="1021"/>
      <c r="AU300" s="1021"/>
      <c r="AV300" s="1021"/>
      <c r="AW300" s="1021"/>
      <c r="AX300" s="1021"/>
      <c r="AY300" s="1021"/>
      <c r="AZ300" s="1021"/>
      <c r="BA300" s="1021"/>
      <c r="BB300" s="1021"/>
      <c r="BC300" s="1021"/>
      <c r="BD300" s="1021"/>
      <c r="BE300" s="1021"/>
      <c r="BF300" s="1021"/>
      <c r="BG300" s="1021"/>
      <c r="BH300" s="1021"/>
      <c r="BI300" s="1021"/>
      <c r="BJ300" s="1021"/>
      <c r="BK300" s="1021"/>
      <c r="BL300" s="1021"/>
      <c r="BM300" s="1021"/>
      <c r="BN300" s="1021"/>
      <c r="BO300" s="1021"/>
      <c r="BP300" s="1021"/>
      <c r="BQ300" s="1021"/>
      <c r="BR300" s="1021"/>
      <c r="BS300" s="1021"/>
      <c r="BT300" s="1021"/>
      <c r="BU300" s="1021"/>
      <c r="BV300" s="1021"/>
      <c r="BW300" s="1021"/>
      <c r="BX300" s="1021"/>
      <c r="BY300" s="1021"/>
      <c r="BZ300" s="1021"/>
      <c r="CA300" s="1021"/>
      <c r="CB300" s="1021"/>
      <c r="CC300" s="1021"/>
    </row>
    <row r="301" spans="8:81" x14ac:dyDescent="0.25">
      <c r="H301" s="1021"/>
      <c r="I301" s="1021"/>
      <c r="J301" s="1021"/>
      <c r="K301" s="1021"/>
      <c r="L301" s="1021"/>
      <c r="M301" s="1021"/>
      <c r="N301" s="1021"/>
      <c r="O301" s="1021"/>
      <c r="P301" s="1021"/>
      <c r="Q301" s="1021"/>
      <c r="R301" s="1021"/>
      <c r="S301" s="1021"/>
      <c r="T301" s="1021"/>
      <c r="U301" s="1021"/>
      <c r="V301" s="1021"/>
      <c r="W301" s="1021"/>
      <c r="X301" s="1021"/>
      <c r="Y301" s="1021"/>
      <c r="Z301" s="1021"/>
      <c r="AA301" s="1021"/>
      <c r="AB301" s="1021"/>
      <c r="AC301" s="1021"/>
      <c r="AD301" s="1021"/>
      <c r="AE301" s="1021"/>
      <c r="AF301" s="1021"/>
      <c r="AG301" s="1021"/>
      <c r="AH301" s="1021"/>
      <c r="AI301" s="1021"/>
      <c r="AJ301" s="1021"/>
      <c r="AK301" s="1021"/>
      <c r="AL301" s="1021"/>
      <c r="AM301" s="1021"/>
      <c r="AN301" s="1021"/>
      <c r="AO301" s="1021"/>
      <c r="AP301" s="1021"/>
      <c r="AQ301" s="1021"/>
      <c r="AR301" s="1021"/>
      <c r="AS301" s="1021"/>
      <c r="AT301" s="1021"/>
      <c r="AU301" s="1021"/>
      <c r="AV301" s="1021"/>
      <c r="AW301" s="1021"/>
      <c r="AX301" s="1021"/>
      <c r="AY301" s="1021"/>
      <c r="AZ301" s="1021"/>
      <c r="BA301" s="1021"/>
      <c r="BB301" s="1021"/>
      <c r="BC301" s="1021"/>
      <c r="BD301" s="1021"/>
      <c r="BE301" s="1021"/>
      <c r="BF301" s="1021"/>
      <c r="BG301" s="1021"/>
      <c r="BH301" s="1021"/>
      <c r="BI301" s="1021"/>
      <c r="BJ301" s="1021"/>
      <c r="BK301" s="1021"/>
      <c r="BL301" s="1021"/>
      <c r="BM301" s="1021"/>
      <c r="BN301" s="1021"/>
      <c r="BO301" s="1021"/>
      <c r="BP301" s="1021"/>
      <c r="BQ301" s="1021"/>
      <c r="BR301" s="1021"/>
      <c r="BS301" s="1021"/>
      <c r="BT301" s="1021"/>
      <c r="BU301" s="1021"/>
      <c r="BV301" s="1021"/>
      <c r="BW301" s="1021"/>
      <c r="BX301" s="1021"/>
      <c r="BY301" s="1021"/>
      <c r="BZ301" s="1021"/>
      <c r="CA301" s="1021"/>
      <c r="CB301" s="1021"/>
      <c r="CC301" s="1021"/>
    </row>
    <row r="302" spans="8:81" x14ac:dyDescent="0.25">
      <c r="H302" s="1021"/>
      <c r="I302" s="1021"/>
      <c r="J302" s="1021"/>
      <c r="K302" s="1021"/>
      <c r="L302" s="1021"/>
      <c r="M302" s="1021"/>
      <c r="N302" s="1021"/>
      <c r="O302" s="1021"/>
      <c r="P302" s="1021"/>
      <c r="Q302" s="1021"/>
      <c r="R302" s="1021"/>
      <c r="S302" s="1021"/>
      <c r="T302" s="1021"/>
      <c r="U302" s="1021"/>
      <c r="V302" s="1021"/>
      <c r="W302" s="1021"/>
      <c r="X302" s="1021"/>
      <c r="Y302" s="1021"/>
      <c r="Z302" s="1021"/>
      <c r="AA302" s="1021"/>
      <c r="AB302" s="1021"/>
      <c r="AC302" s="1021"/>
      <c r="AD302" s="1021"/>
      <c r="AE302" s="1021"/>
      <c r="AF302" s="1021"/>
      <c r="AG302" s="1021"/>
      <c r="AH302" s="1021"/>
      <c r="AI302" s="1021"/>
      <c r="AJ302" s="1021"/>
      <c r="AK302" s="1021"/>
      <c r="AL302" s="1021"/>
      <c r="AM302" s="1021"/>
      <c r="AN302" s="1021"/>
      <c r="AO302" s="1021"/>
      <c r="AP302" s="1021"/>
      <c r="AQ302" s="1021"/>
      <c r="AR302" s="1021"/>
      <c r="AS302" s="1021"/>
      <c r="AT302" s="1021"/>
      <c r="AU302" s="1021"/>
      <c r="AV302" s="1021"/>
      <c r="AW302" s="1021"/>
      <c r="AX302" s="1021"/>
      <c r="AY302" s="1021"/>
      <c r="AZ302" s="1021"/>
      <c r="BA302" s="1021"/>
      <c r="BB302" s="1021"/>
      <c r="BC302" s="1021"/>
      <c r="BD302" s="1021"/>
      <c r="BE302" s="1021"/>
      <c r="BF302" s="1021"/>
      <c r="BG302" s="1021"/>
      <c r="BH302" s="1021"/>
      <c r="BI302" s="1021"/>
      <c r="BJ302" s="1021"/>
      <c r="BK302" s="1021"/>
      <c r="BL302" s="1021"/>
      <c r="BM302" s="1021"/>
      <c r="BN302" s="1021"/>
      <c r="BO302" s="1021"/>
      <c r="BP302" s="1021"/>
      <c r="BQ302" s="1021"/>
      <c r="BR302" s="1021"/>
      <c r="BS302" s="1021"/>
      <c r="BT302" s="1021"/>
      <c r="BU302" s="1021"/>
      <c r="BV302" s="1021"/>
      <c r="BW302" s="1021"/>
      <c r="BX302" s="1021"/>
      <c r="BY302" s="1021"/>
      <c r="BZ302" s="1021"/>
      <c r="CA302" s="1021"/>
      <c r="CB302" s="1021"/>
      <c r="CC302" s="1021"/>
    </row>
    <row r="303" spans="8:81" x14ac:dyDescent="0.25">
      <c r="H303" s="1021"/>
      <c r="I303" s="1021"/>
      <c r="J303" s="1021"/>
      <c r="K303" s="1021"/>
      <c r="L303" s="1021"/>
      <c r="M303" s="1021"/>
      <c r="N303" s="1021"/>
      <c r="O303" s="1021"/>
      <c r="P303" s="1021"/>
      <c r="Q303" s="1021"/>
      <c r="R303" s="1021"/>
      <c r="S303" s="1021"/>
      <c r="T303" s="1021"/>
      <c r="U303" s="1021"/>
      <c r="V303" s="1021"/>
      <c r="W303" s="1021"/>
      <c r="X303" s="1021"/>
      <c r="Y303" s="1021"/>
      <c r="Z303" s="1021"/>
      <c r="AA303" s="1021"/>
      <c r="AB303" s="1021"/>
      <c r="AC303" s="1021"/>
      <c r="AD303" s="1021"/>
      <c r="AE303" s="1021"/>
      <c r="AF303" s="1021"/>
      <c r="AG303" s="1021"/>
      <c r="AH303" s="1021"/>
      <c r="AI303" s="1021"/>
      <c r="AJ303" s="1021"/>
      <c r="AK303" s="1021"/>
      <c r="AL303" s="1021"/>
      <c r="AM303" s="1021"/>
      <c r="AN303" s="1021"/>
      <c r="AO303" s="1021"/>
      <c r="AP303" s="1021"/>
      <c r="AQ303" s="1021"/>
      <c r="AR303" s="1021"/>
      <c r="AS303" s="1021"/>
      <c r="AT303" s="1021"/>
      <c r="AU303" s="1021"/>
      <c r="AV303" s="1021"/>
      <c r="AW303" s="1021"/>
      <c r="AX303" s="1021"/>
      <c r="AY303" s="1021"/>
      <c r="AZ303" s="1021"/>
      <c r="BA303" s="1021"/>
      <c r="BB303" s="1021"/>
      <c r="BC303" s="1021"/>
      <c r="BD303" s="1021"/>
      <c r="BE303" s="1021"/>
      <c r="BF303" s="1021"/>
      <c r="BG303" s="1021"/>
      <c r="BH303" s="1021"/>
      <c r="BI303" s="1021"/>
      <c r="BJ303" s="1021"/>
      <c r="BK303" s="1021"/>
      <c r="BL303" s="1021"/>
      <c r="BM303" s="1021"/>
      <c r="BN303" s="1021"/>
      <c r="BO303" s="1021"/>
      <c r="BP303" s="1021"/>
      <c r="BQ303" s="1021"/>
      <c r="BR303" s="1021"/>
      <c r="BS303" s="1021"/>
      <c r="BT303" s="1021"/>
      <c r="BU303" s="1021"/>
      <c r="BV303" s="1021"/>
      <c r="BW303" s="1021"/>
      <c r="BX303" s="1021"/>
      <c r="BY303" s="1021"/>
      <c r="BZ303" s="1021"/>
      <c r="CA303" s="1021"/>
      <c r="CB303" s="1021"/>
      <c r="CC303" s="1021"/>
    </row>
    <row r="304" spans="8:81" x14ac:dyDescent="0.25">
      <c r="H304" s="1021"/>
      <c r="I304" s="1021"/>
      <c r="J304" s="1021"/>
      <c r="K304" s="1021"/>
      <c r="L304" s="1021"/>
      <c r="M304" s="1021"/>
      <c r="N304" s="1021"/>
      <c r="O304" s="1021"/>
      <c r="P304" s="1021"/>
      <c r="Q304" s="1021"/>
      <c r="R304" s="1021"/>
      <c r="S304" s="1021"/>
      <c r="T304" s="1021"/>
      <c r="U304" s="1021"/>
      <c r="V304" s="1021"/>
      <c r="W304" s="1021"/>
      <c r="X304" s="1021"/>
      <c r="Y304" s="1021"/>
      <c r="Z304" s="1021"/>
      <c r="AA304" s="1021"/>
      <c r="AB304" s="1021"/>
      <c r="AC304" s="1021"/>
      <c r="AD304" s="1021"/>
      <c r="AE304" s="1021"/>
      <c r="AF304" s="1021"/>
      <c r="AG304" s="1021"/>
      <c r="AH304" s="1021"/>
      <c r="AI304" s="1021"/>
      <c r="AJ304" s="1021"/>
      <c r="AK304" s="1021"/>
      <c r="AL304" s="1021"/>
      <c r="AM304" s="1021"/>
      <c r="AN304" s="1021"/>
      <c r="AO304" s="1021"/>
      <c r="AP304" s="1021"/>
      <c r="AQ304" s="1021"/>
      <c r="AR304" s="1021"/>
      <c r="AS304" s="1021"/>
      <c r="AT304" s="1021"/>
      <c r="AU304" s="1021"/>
      <c r="AV304" s="1021"/>
      <c r="AW304" s="1021"/>
      <c r="AX304" s="1021"/>
      <c r="AY304" s="1021"/>
      <c r="AZ304" s="1021"/>
      <c r="BA304" s="1021"/>
      <c r="BB304" s="1021"/>
      <c r="BC304" s="1021"/>
      <c r="BD304" s="1021"/>
      <c r="BE304" s="1021"/>
      <c r="BF304" s="1021"/>
      <c r="BG304" s="1021"/>
      <c r="BH304" s="1021"/>
      <c r="BI304" s="1021"/>
      <c r="BJ304" s="1021"/>
      <c r="BK304" s="1021"/>
      <c r="BL304" s="1021"/>
      <c r="BM304" s="1021"/>
      <c r="BN304" s="1021"/>
      <c r="BO304" s="1021"/>
      <c r="BP304" s="1021"/>
      <c r="BQ304" s="1021"/>
      <c r="BR304" s="1021"/>
      <c r="BS304" s="1021"/>
      <c r="BT304" s="1021"/>
      <c r="BU304" s="1021"/>
      <c r="BV304" s="1021"/>
      <c r="BW304" s="1021"/>
      <c r="BX304" s="1021"/>
      <c r="BY304" s="1021"/>
      <c r="BZ304" s="1021"/>
      <c r="CA304" s="1021"/>
      <c r="CB304" s="1021"/>
      <c r="CC304" s="1021"/>
    </row>
    <row r="305" spans="8:81" x14ac:dyDescent="0.25">
      <c r="H305" s="1021"/>
      <c r="I305" s="1021"/>
      <c r="J305" s="1021"/>
      <c r="K305" s="1021"/>
      <c r="L305" s="1021"/>
      <c r="M305" s="1021"/>
      <c r="N305" s="1021"/>
      <c r="O305" s="1021"/>
      <c r="P305" s="1021"/>
      <c r="Q305" s="1021"/>
      <c r="R305" s="1021"/>
      <c r="S305" s="1021"/>
      <c r="T305" s="1021"/>
      <c r="U305" s="1021"/>
      <c r="V305" s="1021"/>
      <c r="W305" s="1021"/>
      <c r="X305" s="1021"/>
      <c r="Y305" s="1021"/>
      <c r="Z305" s="1021"/>
      <c r="AA305" s="1021"/>
      <c r="AB305" s="1021"/>
      <c r="AC305" s="1021"/>
      <c r="AD305" s="1021"/>
      <c r="AE305" s="1021"/>
      <c r="AF305" s="1021"/>
      <c r="AG305" s="1021"/>
      <c r="AH305" s="1021"/>
      <c r="AI305" s="1021"/>
      <c r="AJ305" s="1021"/>
      <c r="AK305" s="1021"/>
      <c r="AL305" s="1021"/>
      <c r="AM305" s="1021"/>
      <c r="AN305" s="1021"/>
      <c r="AO305" s="1021"/>
      <c r="AP305" s="1021"/>
      <c r="AQ305" s="1021"/>
      <c r="AR305" s="1021"/>
      <c r="AS305" s="1021"/>
      <c r="AT305" s="1021"/>
      <c r="AU305" s="1021"/>
      <c r="AV305" s="1021"/>
      <c r="AW305" s="1021"/>
      <c r="AX305" s="1021"/>
      <c r="AY305" s="1021"/>
      <c r="AZ305" s="1021"/>
      <c r="BA305" s="1021"/>
      <c r="BB305" s="1021"/>
      <c r="BC305" s="1021"/>
      <c r="BD305" s="1021"/>
      <c r="BE305" s="1021"/>
      <c r="BF305" s="1021"/>
      <c r="BG305" s="1021"/>
      <c r="BH305" s="1021"/>
      <c r="BI305" s="1021"/>
      <c r="BJ305" s="1021"/>
      <c r="BK305" s="1021"/>
      <c r="BL305" s="1021"/>
      <c r="BM305" s="1021"/>
      <c r="BN305" s="1021"/>
      <c r="BO305" s="1021"/>
      <c r="BP305" s="1021"/>
      <c r="BQ305" s="1021"/>
      <c r="BR305" s="1021"/>
      <c r="BS305" s="1021"/>
      <c r="BT305" s="1021"/>
      <c r="BU305" s="1021"/>
      <c r="BV305" s="1021"/>
      <c r="BW305" s="1021"/>
      <c r="BX305" s="1021"/>
      <c r="BY305" s="1021"/>
      <c r="BZ305" s="1021"/>
      <c r="CA305" s="1021"/>
      <c r="CB305" s="1021"/>
      <c r="CC305" s="1021"/>
    </row>
    <row r="306" spans="8:81" x14ac:dyDescent="0.25">
      <c r="H306" s="1021"/>
      <c r="I306" s="1021"/>
      <c r="J306" s="1021"/>
      <c r="K306" s="1021"/>
      <c r="L306" s="1021"/>
      <c r="M306" s="1021"/>
      <c r="N306" s="1021"/>
      <c r="O306" s="1021"/>
      <c r="P306" s="1021"/>
      <c r="Q306" s="1021"/>
      <c r="R306" s="1021"/>
      <c r="S306" s="1021"/>
      <c r="T306" s="1021"/>
      <c r="U306" s="1021"/>
      <c r="V306" s="1021"/>
      <c r="W306" s="1021"/>
      <c r="X306" s="1021"/>
      <c r="Y306" s="1021"/>
      <c r="Z306" s="1021"/>
      <c r="AA306" s="1021"/>
      <c r="AB306" s="1021"/>
      <c r="AC306" s="1021"/>
      <c r="AD306" s="1021"/>
      <c r="AE306" s="1021"/>
      <c r="AF306" s="1021"/>
      <c r="AG306" s="1021"/>
      <c r="AH306" s="1021"/>
      <c r="AI306" s="1021"/>
      <c r="AJ306" s="1021"/>
      <c r="AK306" s="1021"/>
      <c r="AL306" s="1021"/>
      <c r="AM306" s="1021"/>
      <c r="AN306" s="1021"/>
      <c r="AO306" s="1021"/>
      <c r="AP306" s="1021"/>
      <c r="AQ306" s="1021"/>
      <c r="AR306" s="1021"/>
      <c r="AS306" s="1021"/>
      <c r="AT306" s="1021"/>
      <c r="AU306" s="1021"/>
      <c r="AV306" s="1021"/>
      <c r="AW306" s="1021"/>
      <c r="AX306" s="1021"/>
      <c r="AY306" s="1021"/>
      <c r="AZ306" s="1021"/>
      <c r="BA306" s="1021"/>
      <c r="BB306" s="1021"/>
      <c r="BC306" s="1021"/>
      <c r="BD306" s="1021"/>
      <c r="BE306" s="1021"/>
      <c r="BF306" s="1021"/>
      <c r="BG306" s="1021"/>
      <c r="BH306" s="1021"/>
      <c r="BI306" s="1021"/>
      <c r="BJ306" s="1021"/>
      <c r="BK306" s="1021"/>
      <c r="BL306" s="1021"/>
      <c r="BM306" s="1021"/>
      <c r="BN306" s="1021"/>
      <c r="BO306" s="1021"/>
      <c r="BP306" s="1021"/>
      <c r="BQ306" s="1021"/>
      <c r="BR306" s="1021"/>
      <c r="BS306" s="1021"/>
      <c r="BT306" s="1021"/>
      <c r="BU306" s="1021"/>
      <c r="BV306" s="1021"/>
      <c r="BW306" s="1021"/>
      <c r="BX306" s="1021"/>
      <c r="BY306" s="1021"/>
      <c r="BZ306" s="1021"/>
      <c r="CA306" s="1021"/>
      <c r="CB306" s="1021"/>
      <c r="CC306" s="1021"/>
    </row>
    <row r="307" spans="8:81" x14ac:dyDescent="0.25">
      <c r="H307" s="1021"/>
      <c r="I307" s="1021"/>
      <c r="J307" s="1021"/>
      <c r="K307" s="1021"/>
      <c r="L307" s="1021"/>
      <c r="M307" s="1021"/>
      <c r="N307" s="1021"/>
      <c r="O307" s="1021"/>
      <c r="P307" s="1021"/>
      <c r="Q307" s="1021"/>
      <c r="R307" s="1021"/>
      <c r="S307" s="1021"/>
      <c r="T307" s="1021"/>
      <c r="U307" s="1021"/>
      <c r="V307" s="1021"/>
      <c r="W307" s="1021"/>
      <c r="X307" s="1021"/>
      <c r="Y307" s="1021"/>
      <c r="Z307" s="1021"/>
      <c r="AA307" s="1021"/>
      <c r="AB307" s="1021"/>
      <c r="AC307" s="1021"/>
      <c r="AD307" s="1021"/>
      <c r="AE307" s="1021"/>
      <c r="AF307" s="1021"/>
      <c r="AG307" s="1021"/>
      <c r="AH307" s="1021"/>
      <c r="AI307" s="1021"/>
      <c r="AJ307" s="1021"/>
      <c r="AK307" s="1021"/>
      <c r="AL307" s="1021"/>
      <c r="AM307" s="1021"/>
      <c r="AN307" s="1021"/>
      <c r="AO307" s="1021"/>
      <c r="AP307" s="1021"/>
      <c r="AQ307" s="1021"/>
      <c r="AR307" s="1021"/>
      <c r="AS307" s="1021"/>
      <c r="AT307" s="1021"/>
      <c r="AU307" s="1021"/>
      <c r="AV307" s="1021"/>
      <c r="AW307" s="1021"/>
      <c r="AX307" s="1021"/>
      <c r="AY307" s="1021"/>
      <c r="AZ307" s="1021"/>
      <c r="BA307" s="1021"/>
      <c r="BB307" s="1021"/>
      <c r="BC307" s="1021"/>
      <c r="BD307" s="1021"/>
      <c r="BE307" s="1021"/>
      <c r="BF307" s="1021"/>
      <c r="BG307" s="1021"/>
      <c r="BH307" s="1021"/>
      <c r="BI307" s="1021"/>
      <c r="BJ307" s="1021"/>
      <c r="BK307" s="1021"/>
      <c r="BL307" s="1021"/>
      <c r="BM307" s="1021"/>
      <c r="BN307" s="1021"/>
      <c r="BO307" s="1021"/>
      <c r="BP307" s="1021"/>
      <c r="BQ307" s="1021"/>
      <c r="BR307" s="1021"/>
      <c r="BS307" s="1021"/>
      <c r="BT307" s="1021"/>
      <c r="BU307" s="1021"/>
      <c r="BV307" s="1021"/>
      <c r="BW307" s="1021"/>
      <c r="BX307" s="1021"/>
      <c r="BY307" s="1021"/>
      <c r="BZ307" s="1021"/>
      <c r="CA307" s="1021"/>
      <c r="CB307" s="1021"/>
      <c r="CC307" s="1021"/>
    </row>
    <row r="308" spans="8:81" x14ac:dyDescent="0.25">
      <c r="H308" s="1021"/>
      <c r="I308" s="1021"/>
      <c r="J308" s="1021"/>
      <c r="K308" s="1021"/>
      <c r="L308" s="1021"/>
      <c r="M308" s="1021"/>
      <c r="N308" s="1021"/>
      <c r="O308" s="1021"/>
      <c r="P308" s="1021"/>
      <c r="Q308" s="1021"/>
      <c r="R308" s="1021"/>
      <c r="S308" s="1021"/>
      <c r="T308" s="1021"/>
      <c r="U308" s="1021"/>
      <c r="V308" s="1021"/>
      <c r="W308" s="1021"/>
      <c r="X308" s="1021"/>
      <c r="Y308" s="1021"/>
      <c r="Z308" s="1021"/>
      <c r="AA308" s="1021"/>
      <c r="AB308" s="1021"/>
      <c r="AC308" s="1021"/>
      <c r="AD308" s="1021"/>
      <c r="AE308" s="1021"/>
      <c r="AF308" s="1021"/>
      <c r="AG308" s="1021"/>
      <c r="AH308" s="1021"/>
      <c r="AI308" s="1021"/>
      <c r="AJ308" s="1021"/>
      <c r="AK308" s="1021"/>
      <c r="AL308" s="1021"/>
      <c r="AM308" s="1021"/>
      <c r="AN308" s="1021"/>
      <c r="AO308" s="1021"/>
      <c r="AP308" s="1021"/>
      <c r="AQ308" s="1021"/>
      <c r="AR308" s="1021"/>
      <c r="AS308" s="1021"/>
      <c r="AT308" s="1021"/>
      <c r="AU308" s="1021"/>
      <c r="AV308" s="1021"/>
      <c r="AW308" s="1021"/>
      <c r="AX308" s="1021"/>
      <c r="AY308" s="1021"/>
      <c r="AZ308" s="1021"/>
      <c r="BA308" s="1021"/>
      <c r="BB308" s="1021"/>
      <c r="BC308" s="1021"/>
      <c r="BD308" s="1021"/>
      <c r="BE308" s="1021"/>
      <c r="BF308" s="1021"/>
      <c r="BG308" s="1021"/>
      <c r="BH308" s="1021"/>
      <c r="BI308" s="1021"/>
      <c r="BJ308" s="1021"/>
      <c r="BK308" s="1021"/>
      <c r="BL308" s="1021"/>
      <c r="BM308" s="1021"/>
      <c r="BN308" s="1021"/>
      <c r="BO308" s="1021"/>
      <c r="BP308" s="1021"/>
      <c r="BQ308" s="1021"/>
      <c r="BR308" s="1021"/>
      <c r="BS308" s="1021"/>
      <c r="BT308" s="1021"/>
      <c r="BU308" s="1021"/>
      <c r="BV308" s="1021"/>
      <c r="BW308" s="1021"/>
      <c r="BX308" s="1021"/>
      <c r="BY308" s="1021"/>
      <c r="BZ308" s="1021"/>
      <c r="CA308" s="1021"/>
      <c r="CB308" s="1021"/>
      <c r="CC308" s="1021"/>
    </row>
    <row r="309" spans="8:81" x14ac:dyDescent="0.25">
      <c r="H309" s="1021"/>
      <c r="I309" s="1021"/>
      <c r="J309" s="1021"/>
      <c r="K309" s="1021"/>
      <c r="L309" s="1021"/>
      <c r="M309" s="1021"/>
      <c r="N309" s="1021"/>
      <c r="O309" s="1021"/>
      <c r="P309" s="1021"/>
      <c r="Q309" s="1021"/>
      <c r="R309" s="1021"/>
      <c r="S309" s="1021"/>
      <c r="T309" s="1021"/>
      <c r="U309" s="1021"/>
      <c r="V309" s="1021"/>
      <c r="W309" s="1021"/>
      <c r="X309" s="1021"/>
      <c r="Y309" s="1021"/>
      <c r="Z309" s="1021"/>
      <c r="AA309" s="1021"/>
      <c r="AB309" s="1021"/>
      <c r="AC309" s="1021"/>
      <c r="AD309" s="1021"/>
      <c r="AE309" s="1021"/>
      <c r="AF309" s="1021"/>
      <c r="AG309" s="1021"/>
      <c r="AH309" s="1021"/>
      <c r="AI309" s="1021"/>
      <c r="AJ309" s="1021"/>
      <c r="AK309" s="1021"/>
      <c r="AL309" s="1021"/>
      <c r="AM309" s="1021"/>
      <c r="AN309" s="1021"/>
      <c r="AO309" s="1021"/>
      <c r="AP309" s="1021"/>
      <c r="AQ309" s="1021"/>
      <c r="AR309" s="1021"/>
      <c r="AS309" s="1021"/>
      <c r="AT309" s="1021"/>
      <c r="AU309" s="1021"/>
      <c r="AV309" s="1021"/>
      <c r="AW309" s="1021"/>
      <c r="AX309" s="1021"/>
      <c r="AY309" s="1021"/>
      <c r="AZ309" s="1021"/>
      <c r="BA309" s="1021"/>
      <c r="BB309" s="1021"/>
      <c r="BC309" s="1021"/>
      <c r="BD309" s="1021"/>
      <c r="BE309" s="1021"/>
      <c r="BF309" s="1021"/>
      <c r="BG309" s="1021"/>
      <c r="BH309" s="1021"/>
      <c r="BI309" s="1021"/>
      <c r="BJ309" s="1021"/>
      <c r="BK309" s="1021"/>
      <c r="BL309" s="1021"/>
      <c r="BM309" s="1021"/>
      <c r="BN309" s="1021"/>
      <c r="BO309" s="1021"/>
      <c r="BP309" s="1021"/>
      <c r="BQ309" s="1021"/>
      <c r="BR309" s="1021"/>
      <c r="BS309" s="1021"/>
      <c r="BT309" s="1021"/>
      <c r="BU309" s="1021"/>
      <c r="BV309" s="1021"/>
      <c r="BW309" s="1021"/>
      <c r="BX309" s="1021"/>
      <c r="BY309" s="1021"/>
      <c r="BZ309" s="1021"/>
      <c r="CA309" s="1021"/>
      <c r="CB309" s="1021"/>
      <c r="CC309" s="1021"/>
    </row>
    <row r="310" spans="8:81" x14ac:dyDescent="0.25">
      <c r="H310" s="1021"/>
      <c r="I310" s="1021"/>
      <c r="J310" s="1021"/>
      <c r="K310" s="1021"/>
      <c r="L310" s="1021"/>
      <c r="M310" s="1021"/>
      <c r="N310" s="1021"/>
      <c r="O310" s="1021"/>
      <c r="P310" s="1021"/>
      <c r="Q310" s="1021"/>
      <c r="R310" s="1021"/>
      <c r="S310" s="1021"/>
      <c r="T310" s="1021"/>
      <c r="U310" s="1021"/>
      <c r="V310" s="1021"/>
      <c r="W310" s="1021"/>
      <c r="X310" s="1021"/>
      <c r="Y310" s="1021"/>
      <c r="Z310" s="1021"/>
      <c r="AA310" s="1021"/>
      <c r="AB310" s="1021"/>
      <c r="AC310" s="1021"/>
      <c r="AD310" s="1021"/>
      <c r="AE310" s="1021"/>
      <c r="AF310" s="1021"/>
      <c r="AG310" s="1021"/>
      <c r="AH310" s="1021"/>
      <c r="AI310" s="1021"/>
      <c r="AJ310" s="1021"/>
      <c r="AK310" s="1021"/>
      <c r="AL310" s="1021"/>
      <c r="AM310" s="1021"/>
      <c r="AN310" s="1021"/>
      <c r="AO310" s="1021"/>
      <c r="AP310" s="1021"/>
      <c r="AQ310" s="1021"/>
      <c r="AR310" s="1021"/>
      <c r="AS310" s="1021"/>
      <c r="AT310" s="1021"/>
      <c r="AU310" s="1021"/>
      <c r="AV310" s="1021"/>
      <c r="AW310" s="1021"/>
      <c r="AX310" s="1021"/>
      <c r="AY310" s="1021"/>
      <c r="AZ310" s="1021"/>
      <c r="BA310" s="1021"/>
      <c r="BB310" s="1021"/>
      <c r="BC310" s="1021"/>
      <c r="BD310" s="1021"/>
      <c r="BE310" s="1021"/>
      <c r="BF310" s="1021"/>
      <c r="BG310" s="1021"/>
      <c r="BH310" s="1021"/>
      <c r="BI310" s="1021"/>
      <c r="BJ310" s="1021"/>
      <c r="BK310" s="1021"/>
      <c r="BL310" s="1021"/>
      <c r="BM310" s="1021"/>
      <c r="BN310" s="1021"/>
      <c r="BO310" s="1021"/>
      <c r="BP310" s="1021"/>
      <c r="BQ310" s="1021"/>
      <c r="BR310" s="1021"/>
      <c r="BS310" s="1021"/>
      <c r="BT310" s="1021"/>
      <c r="BU310" s="1021"/>
      <c r="BV310" s="1021"/>
      <c r="BW310" s="1021"/>
      <c r="BX310" s="1021"/>
      <c r="BY310" s="1021"/>
      <c r="BZ310" s="1021"/>
      <c r="CA310" s="1021"/>
      <c r="CB310" s="1021"/>
      <c r="CC310" s="1021"/>
    </row>
    <row r="311" spans="8:81" x14ac:dyDescent="0.25">
      <c r="H311" s="1021"/>
      <c r="I311" s="1021"/>
      <c r="J311" s="1021"/>
      <c r="K311" s="1021"/>
      <c r="L311" s="1021"/>
      <c r="M311" s="1021"/>
      <c r="N311" s="1021"/>
      <c r="O311" s="1021"/>
      <c r="P311" s="1021"/>
      <c r="Q311" s="1021"/>
      <c r="R311" s="1021"/>
      <c r="S311" s="1021"/>
      <c r="T311" s="1021"/>
      <c r="U311" s="1021"/>
      <c r="V311" s="1021"/>
      <c r="W311" s="1021"/>
      <c r="X311" s="1021"/>
      <c r="Y311" s="1021"/>
      <c r="Z311" s="1021"/>
      <c r="AA311" s="1021"/>
      <c r="AB311" s="1021"/>
      <c r="AC311" s="1021"/>
      <c r="AD311" s="1021"/>
      <c r="AE311" s="1021"/>
      <c r="AF311" s="1021"/>
      <c r="AG311" s="1021"/>
      <c r="AH311" s="1021"/>
      <c r="AI311" s="1021"/>
      <c r="AJ311" s="1021"/>
      <c r="AK311" s="1021"/>
      <c r="AL311" s="1021"/>
      <c r="AM311" s="1021"/>
      <c r="AN311" s="1021"/>
      <c r="AO311" s="1021"/>
      <c r="AP311" s="1021"/>
      <c r="AQ311" s="1021"/>
      <c r="AR311" s="1021"/>
      <c r="AS311" s="1021"/>
      <c r="AT311" s="1021"/>
      <c r="AU311" s="1021"/>
      <c r="AV311" s="1021"/>
      <c r="AW311" s="1021"/>
      <c r="AX311" s="1021"/>
      <c r="AY311" s="1021"/>
      <c r="AZ311" s="1021"/>
      <c r="BA311" s="1021"/>
      <c r="BB311" s="1021"/>
      <c r="BC311" s="1021"/>
      <c r="BD311" s="1021"/>
      <c r="BE311" s="1021"/>
      <c r="BF311" s="1021"/>
      <c r="BG311" s="1021"/>
      <c r="BH311" s="1021"/>
      <c r="BI311" s="1021"/>
      <c r="BJ311" s="1021"/>
      <c r="BK311" s="1021"/>
      <c r="BL311" s="1021"/>
      <c r="BM311" s="1021"/>
      <c r="BN311" s="1021"/>
      <c r="BO311" s="1021"/>
      <c r="BP311" s="1021"/>
      <c r="BQ311" s="1021"/>
      <c r="BR311" s="1021"/>
      <c r="BS311" s="1021"/>
      <c r="BT311" s="1021"/>
      <c r="BU311" s="1021"/>
      <c r="BV311" s="1021"/>
      <c r="BW311" s="1021"/>
      <c r="BX311" s="1021"/>
      <c r="BY311" s="1021"/>
      <c r="BZ311" s="1021"/>
      <c r="CA311" s="1021"/>
      <c r="CB311" s="1021"/>
      <c r="CC311" s="1021"/>
    </row>
    <row r="312" spans="8:81" x14ac:dyDescent="0.25">
      <c r="H312" s="1021"/>
      <c r="I312" s="1021"/>
      <c r="J312" s="1021"/>
      <c r="K312" s="1021"/>
      <c r="L312" s="1021"/>
      <c r="M312" s="1021"/>
      <c r="N312" s="1021"/>
      <c r="O312" s="1021"/>
      <c r="P312" s="1021"/>
      <c r="Q312" s="1021"/>
      <c r="R312" s="1021"/>
      <c r="S312" s="1021"/>
      <c r="T312" s="1021"/>
      <c r="U312" s="1021"/>
      <c r="V312" s="1021"/>
      <c r="W312" s="1021"/>
      <c r="X312" s="1021"/>
      <c r="Y312" s="1021"/>
      <c r="Z312" s="1021"/>
      <c r="AA312" s="1021"/>
      <c r="AB312" s="1021"/>
      <c r="AC312" s="1021"/>
      <c r="AD312" s="1021"/>
      <c r="AE312" s="1021"/>
      <c r="AF312" s="1021"/>
      <c r="AG312" s="1021"/>
      <c r="AH312" s="1021"/>
      <c r="AI312" s="1021"/>
      <c r="AJ312" s="1021"/>
      <c r="AK312" s="1021"/>
      <c r="AL312" s="1021"/>
      <c r="AM312" s="1021"/>
      <c r="AN312" s="1021"/>
      <c r="AO312" s="1021"/>
      <c r="AP312" s="1021"/>
      <c r="AQ312" s="1021"/>
      <c r="AR312" s="1021"/>
      <c r="AS312" s="1021"/>
      <c r="AT312" s="1021"/>
      <c r="AU312" s="1021"/>
      <c r="AV312" s="1021"/>
      <c r="AW312" s="1021"/>
      <c r="AX312" s="1021"/>
      <c r="AY312" s="1021"/>
      <c r="AZ312" s="1021"/>
      <c r="BA312" s="1021"/>
      <c r="BB312" s="1021"/>
      <c r="BC312" s="1021"/>
      <c r="BD312" s="1021"/>
      <c r="BE312" s="1021"/>
      <c r="BF312" s="1021"/>
      <c r="BG312" s="1021"/>
      <c r="BH312" s="1021"/>
      <c r="BI312" s="1021"/>
      <c r="BJ312" s="1021"/>
      <c r="BK312" s="1021"/>
      <c r="BL312" s="1021"/>
      <c r="BM312" s="1021"/>
      <c r="BN312" s="1021"/>
      <c r="BO312" s="1021"/>
      <c r="BP312" s="1021"/>
      <c r="BQ312" s="1021"/>
      <c r="BR312" s="1021"/>
      <c r="BS312" s="1021"/>
      <c r="BT312" s="1021"/>
      <c r="BU312" s="1021"/>
      <c r="BV312" s="1021"/>
      <c r="BW312" s="1021"/>
      <c r="BX312" s="1021"/>
      <c r="BY312" s="1021"/>
      <c r="BZ312" s="1021"/>
      <c r="CA312" s="1021"/>
      <c r="CB312" s="1021"/>
      <c r="CC312" s="1021"/>
    </row>
    <row r="313" spans="8:81" x14ac:dyDescent="0.25">
      <c r="H313" s="1021"/>
      <c r="I313" s="1021"/>
      <c r="J313" s="1021"/>
      <c r="K313" s="1021"/>
      <c r="L313" s="1021"/>
      <c r="M313" s="1021"/>
      <c r="N313" s="1021"/>
      <c r="O313" s="1021"/>
      <c r="P313" s="1021"/>
      <c r="Q313" s="1021"/>
      <c r="R313" s="1021"/>
      <c r="S313" s="1021"/>
      <c r="T313" s="1021"/>
      <c r="U313" s="1021"/>
      <c r="V313" s="1021"/>
      <c r="W313" s="1021"/>
      <c r="X313" s="1021"/>
      <c r="Y313" s="1021"/>
      <c r="Z313" s="1021"/>
      <c r="AA313" s="1021"/>
      <c r="AB313" s="1021"/>
      <c r="AC313" s="1021"/>
      <c r="AD313" s="1021"/>
      <c r="AE313" s="1021"/>
      <c r="AF313" s="1021"/>
      <c r="AG313" s="1021"/>
      <c r="AH313" s="1021"/>
      <c r="AI313" s="1021"/>
      <c r="AJ313" s="1021"/>
      <c r="AK313" s="1021"/>
      <c r="AL313" s="1021"/>
      <c r="AM313" s="1021"/>
      <c r="AN313" s="1021"/>
      <c r="AO313" s="1021"/>
      <c r="AP313" s="1021"/>
      <c r="AQ313" s="1021"/>
      <c r="AR313" s="1021"/>
      <c r="AS313" s="1021"/>
      <c r="AT313" s="1021"/>
      <c r="AU313" s="1021"/>
      <c r="AV313" s="1021"/>
      <c r="AW313" s="1021"/>
      <c r="AX313" s="1021"/>
      <c r="AY313" s="1021"/>
      <c r="AZ313" s="1021"/>
      <c r="BA313" s="1021"/>
      <c r="BB313" s="1021"/>
      <c r="BC313" s="1021"/>
      <c r="BD313" s="1021"/>
      <c r="BE313" s="1021"/>
      <c r="BF313" s="1021"/>
      <c r="BG313" s="1021"/>
      <c r="BH313" s="1021"/>
      <c r="BI313" s="1021"/>
      <c r="BJ313" s="1021"/>
      <c r="BK313" s="1021"/>
      <c r="BL313" s="1021"/>
      <c r="BM313" s="1021"/>
      <c r="BN313" s="1021"/>
      <c r="BO313" s="1021"/>
      <c r="BP313" s="1021"/>
      <c r="BQ313" s="1021"/>
      <c r="BR313" s="1021"/>
      <c r="BS313" s="1021"/>
      <c r="BT313" s="1021"/>
      <c r="BU313" s="1021"/>
      <c r="BV313" s="1021"/>
      <c r="BW313" s="1021"/>
      <c r="BX313" s="1021"/>
      <c r="BY313" s="1021"/>
      <c r="BZ313" s="1021"/>
      <c r="CA313" s="1021"/>
      <c r="CB313" s="1021"/>
      <c r="CC313" s="1021"/>
    </row>
    <row r="314" spans="8:81" x14ac:dyDescent="0.25">
      <c r="H314" s="1021"/>
      <c r="I314" s="1021"/>
      <c r="J314" s="1021"/>
      <c r="K314" s="1021"/>
      <c r="L314" s="1021"/>
      <c r="M314" s="1021"/>
      <c r="N314" s="1021"/>
      <c r="O314" s="1021"/>
      <c r="P314" s="1021"/>
      <c r="Q314" s="1021"/>
      <c r="R314" s="1021"/>
      <c r="S314" s="1021"/>
      <c r="T314" s="1021"/>
      <c r="U314" s="1021"/>
      <c r="V314" s="1021"/>
      <c r="W314" s="1021"/>
      <c r="X314" s="1021"/>
      <c r="Y314" s="1021"/>
      <c r="Z314" s="1021"/>
      <c r="AA314" s="1021"/>
      <c r="AB314" s="1021"/>
      <c r="AC314" s="1021"/>
      <c r="AD314" s="1021"/>
      <c r="AE314" s="1021"/>
      <c r="AF314" s="1021"/>
      <c r="AG314" s="1021"/>
      <c r="AH314" s="1021"/>
      <c r="AI314" s="1021"/>
      <c r="AJ314" s="1021"/>
      <c r="AK314" s="1021"/>
      <c r="AL314" s="1021"/>
      <c r="AM314" s="1021"/>
      <c r="AN314" s="1021"/>
      <c r="AO314" s="1021"/>
      <c r="AP314" s="1021"/>
      <c r="AQ314" s="1021"/>
      <c r="AR314" s="1021"/>
      <c r="AS314" s="1021"/>
      <c r="AT314" s="1021"/>
      <c r="AU314" s="1021"/>
      <c r="AV314" s="1021"/>
      <c r="AW314" s="1021"/>
      <c r="AX314" s="1021"/>
      <c r="AY314" s="1021"/>
      <c r="AZ314" s="1021"/>
      <c r="BA314" s="1021"/>
      <c r="BB314" s="1021"/>
      <c r="BC314" s="1021"/>
      <c r="BD314" s="1021"/>
      <c r="BE314" s="1021"/>
      <c r="BF314" s="1021"/>
      <c r="BG314" s="1021"/>
      <c r="BH314" s="1021"/>
      <c r="BI314" s="1021"/>
      <c r="BJ314" s="1021"/>
      <c r="BK314" s="1021"/>
      <c r="BL314" s="1021"/>
      <c r="BM314" s="1021"/>
      <c r="BN314" s="1021"/>
      <c r="BO314" s="1021"/>
      <c r="BP314" s="1021"/>
      <c r="BQ314" s="1021"/>
      <c r="BR314" s="1021"/>
      <c r="BS314" s="1021"/>
      <c r="BT314" s="1021"/>
      <c r="BU314" s="1021"/>
      <c r="BV314" s="1021"/>
      <c r="BW314" s="1021"/>
      <c r="BX314" s="1021"/>
      <c r="BY314" s="1021"/>
      <c r="BZ314" s="1021"/>
      <c r="CA314" s="1021"/>
      <c r="CB314" s="1021"/>
      <c r="CC314" s="1021"/>
    </row>
    <row r="315" spans="8:81" x14ac:dyDescent="0.25">
      <c r="H315" s="1021"/>
      <c r="I315" s="1021"/>
      <c r="J315" s="1021"/>
      <c r="K315" s="1021"/>
      <c r="L315" s="1021"/>
      <c r="M315" s="1021"/>
      <c r="N315" s="1021"/>
      <c r="O315" s="1021"/>
      <c r="P315" s="1021"/>
      <c r="Q315" s="1021"/>
      <c r="R315" s="1021"/>
      <c r="S315" s="1021"/>
      <c r="T315" s="1021"/>
      <c r="U315" s="1021"/>
      <c r="V315" s="1021"/>
      <c r="W315" s="1021"/>
      <c r="X315" s="1021"/>
      <c r="Y315" s="1021"/>
      <c r="Z315" s="1021"/>
      <c r="AA315" s="1021"/>
      <c r="AB315" s="1021"/>
      <c r="AC315" s="1021"/>
      <c r="AD315" s="1021"/>
      <c r="AE315" s="1021"/>
      <c r="AF315" s="1021"/>
      <c r="AG315" s="1021"/>
      <c r="AH315" s="1021"/>
      <c r="AI315" s="1021"/>
      <c r="AJ315" s="1021"/>
      <c r="AK315" s="1021"/>
      <c r="AL315" s="1021"/>
      <c r="AM315" s="1021"/>
      <c r="AN315" s="1021"/>
      <c r="AO315" s="1021"/>
      <c r="AP315" s="1021"/>
      <c r="AQ315" s="1021"/>
      <c r="AR315" s="1021"/>
      <c r="AS315" s="1021"/>
      <c r="AT315" s="1021"/>
      <c r="AU315" s="1021"/>
      <c r="AV315" s="1021"/>
      <c r="AW315" s="1021"/>
      <c r="AX315" s="1021"/>
      <c r="AY315" s="1021"/>
      <c r="AZ315" s="1021"/>
      <c r="BA315" s="1021"/>
      <c r="BB315" s="1021"/>
      <c r="BC315" s="1021"/>
      <c r="BD315" s="1021"/>
      <c r="BE315" s="1021"/>
      <c r="BF315" s="1021"/>
      <c r="BG315" s="1021"/>
      <c r="BH315" s="1021"/>
      <c r="BI315" s="1021"/>
      <c r="BJ315" s="1021"/>
      <c r="BK315" s="1021"/>
      <c r="BL315" s="1021"/>
      <c r="BM315" s="1021"/>
      <c r="BN315" s="1021"/>
      <c r="BO315" s="1021"/>
      <c r="BP315" s="1021"/>
      <c r="BQ315" s="1021"/>
      <c r="BR315" s="1021"/>
      <c r="BS315" s="1021"/>
      <c r="BT315" s="1021"/>
      <c r="BU315" s="1021"/>
      <c r="BV315" s="1021"/>
      <c r="BW315" s="1021"/>
      <c r="BX315" s="1021"/>
      <c r="BY315" s="1021"/>
      <c r="BZ315" s="1021"/>
      <c r="CA315" s="1021"/>
      <c r="CB315" s="1021"/>
      <c r="CC315" s="1021"/>
    </row>
    <row r="316" spans="8:81" x14ac:dyDescent="0.25">
      <c r="H316" s="1021"/>
      <c r="I316" s="1021"/>
      <c r="J316" s="1021"/>
      <c r="K316" s="1021"/>
      <c r="L316" s="1021"/>
      <c r="M316" s="1021"/>
      <c r="N316" s="1021"/>
      <c r="O316" s="1021"/>
      <c r="P316" s="1021"/>
      <c r="Q316" s="1021"/>
      <c r="R316" s="1021"/>
      <c r="S316" s="1021"/>
      <c r="T316" s="1021"/>
      <c r="U316" s="1021"/>
      <c r="V316" s="1021"/>
      <c r="W316" s="1021"/>
      <c r="X316" s="1021"/>
      <c r="Y316" s="1021"/>
      <c r="Z316" s="1021"/>
      <c r="AA316" s="1021"/>
      <c r="AB316" s="1021"/>
      <c r="AC316" s="1021"/>
      <c r="AD316" s="1021"/>
      <c r="AE316" s="1021"/>
      <c r="AF316" s="1021"/>
      <c r="AG316" s="1021"/>
      <c r="AH316" s="1021"/>
      <c r="AI316" s="1021"/>
      <c r="AJ316" s="1021"/>
      <c r="AK316" s="1021"/>
      <c r="AL316" s="1021"/>
      <c r="AM316" s="1021"/>
      <c r="AN316" s="1021"/>
      <c r="AO316" s="1021"/>
      <c r="AP316" s="1021"/>
      <c r="AQ316" s="1021"/>
      <c r="AR316" s="1021"/>
      <c r="AS316" s="1021"/>
      <c r="AT316" s="1021"/>
      <c r="AU316" s="1021"/>
      <c r="AV316" s="1021"/>
      <c r="AW316" s="1021"/>
      <c r="AX316" s="1021"/>
      <c r="AY316" s="1021"/>
      <c r="AZ316" s="1021"/>
      <c r="BA316" s="1021"/>
      <c r="BB316" s="1021"/>
      <c r="BC316" s="1021"/>
      <c r="BD316" s="1021"/>
      <c r="BE316" s="1021"/>
      <c r="BF316" s="1021"/>
      <c r="BG316" s="1021"/>
      <c r="BH316" s="1021"/>
      <c r="BI316" s="1021"/>
      <c r="BJ316" s="1021"/>
      <c r="BK316" s="1021"/>
      <c r="BL316" s="1021"/>
      <c r="BM316" s="1021"/>
      <c r="BN316" s="1021"/>
      <c r="BO316" s="1021"/>
      <c r="BP316" s="1021"/>
      <c r="BQ316" s="1021"/>
      <c r="BR316" s="1021"/>
      <c r="BS316" s="1021"/>
      <c r="BT316" s="1021"/>
      <c r="BU316" s="1021"/>
      <c r="BV316" s="1021"/>
      <c r="BW316" s="1021"/>
      <c r="BX316" s="1021"/>
      <c r="BY316" s="1021"/>
      <c r="BZ316" s="1021"/>
      <c r="CA316" s="1021"/>
      <c r="CB316" s="1021"/>
      <c r="CC316" s="1021"/>
    </row>
    <row r="317" spans="8:81" x14ac:dyDescent="0.25">
      <c r="H317" s="1021"/>
      <c r="I317" s="1021"/>
      <c r="J317" s="1021"/>
      <c r="K317" s="1021"/>
      <c r="L317" s="1021"/>
      <c r="M317" s="1021"/>
      <c r="N317" s="1021"/>
      <c r="O317" s="1021"/>
      <c r="P317" s="1021"/>
      <c r="Q317" s="1021"/>
      <c r="R317" s="1021"/>
      <c r="S317" s="1021"/>
      <c r="T317" s="1021"/>
      <c r="U317" s="1021"/>
      <c r="V317" s="1021"/>
      <c r="W317" s="1021"/>
      <c r="X317" s="1021"/>
      <c r="Y317" s="1021"/>
      <c r="Z317" s="1021"/>
      <c r="AA317" s="1021"/>
      <c r="AB317" s="1021"/>
      <c r="AC317" s="1021"/>
      <c r="AD317" s="1021"/>
      <c r="AE317" s="1021"/>
      <c r="AF317" s="1021"/>
      <c r="AG317" s="1021"/>
      <c r="AH317" s="1021"/>
      <c r="AI317" s="1021"/>
      <c r="AJ317" s="1021"/>
      <c r="AK317" s="1021"/>
      <c r="AL317" s="1021"/>
      <c r="AM317" s="1021"/>
      <c r="AN317" s="1021"/>
      <c r="AO317" s="1021"/>
      <c r="AP317" s="1021"/>
      <c r="AQ317" s="1021"/>
      <c r="AR317" s="1021"/>
      <c r="AS317" s="1021"/>
      <c r="AT317" s="1021"/>
      <c r="AU317" s="1021"/>
      <c r="AV317" s="1021"/>
      <c r="AW317" s="1021"/>
      <c r="AX317" s="1021"/>
      <c r="AY317" s="1021"/>
      <c r="AZ317" s="1021"/>
      <c r="BA317" s="1021"/>
      <c r="BB317" s="1021"/>
      <c r="BC317" s="1021"/>
      <c r="BD317" s="1021"/>
      <c r="BE317" s="1021"/>
      <c r="BF317" s="1021"/>
      <c r="BG317" s="1021"/>
      <c r="BH317" s="1021"/>
      <c r="BI317" s="1021"/>
      <c r="BJ317" s="1021"/>
      <c r="BK317" s="1021"/>
      <c r="BL317" s="1021"/>
      <c r="BM317" s="1021"/>
      <c r="BN317" s="1021"/>
      <c r="BO317" s="1021"/>
      <c r="BP317" s="1021"/>
      <c r="BQ317" s="1021"/>
      <c r="BR317" s="1021"/>
      <c r="BS317" s="1021"/>
      <c r="BT317" s="1021"/>
      <c r="BU317" s="1021"/>
      <c r="BV317" s="1021"/>
      <c r="BW317" s="1021"/>
      <c r="BX317" s="1021"/>
      <c r="BY317" s="1021"/>
      <c r="BZ317" s="1021"/>
      <c r="CA317" s="1021"/>
      <c r="CB317" s="1021"/>
      <c r="CC317" s="1021"/>
    </row>
    <row r="318" spans="8:81" x14ac:dyDescent="0.25">
      <c r="H318" s="1021"/>
      <c r="I318" s="1021"/>
      <c r="J318" s="1021"/>
      <c r="K318" s="1021"/>
      <c r="L318" s="1021"/>
      <c r="M318" s="1021"/>
      <c r="N318" s="1021"/>
      <c r="O318" s="1021"/>
      <c r="P318" s="1021"/>
      <c r="Q318" s="1021"/>
      <c r="R318" s="1021"/>
      <c r="S318" s="1021"/>
      <c r="T318" s="1021"/>
      <c r="U318" s="1021"/>
      <c r="V318" s="1021"/>
      <c r="W318" s="1021"/>
      <c r="X318" s="1021"/>
      <c r="Y318" s="1021"/>
      <c r="Z318" s="1021"/>
      <c r="AA318" s="1021"/>
      <c r="AB318" s="1021"/>
      <c r="AC318" s="1021"/>
      <c r="AD318" s="1021"/>
      <c r="AE318" s="1021"/>
      <c r="AF318" s="1021"/>
      <c r="AG318" s="1021"/>
      <c r="AH318" s="1021"/>
      <c r="AI318" s="1021"/>
      <c r="AJ318" s="1021"/>
      <c r="AK318" s="1021"/>
      <c r="AL318" s="1021"/>
      <c r="AM318" s="1021"/>
      <c r="AN318" s="1021"/>
      <c r="AO318" s="1021"/>
      <c r="AP318" s="1021"/>
      <c r="AQ318" s="1021"/>
      <c r="AR318" s="1021"/>
      <c r="AS318" s="1021"/>
      <c r="AT318" s="1021"/>
      <c r="AU318" s="1021"/>
      <c r="AV318" s="1021"/>
      <c r="AW318" s="1021"/>
      <c r="AX318" s="1021"/>
      <c r="AY318" s="1021"/>
      <c r="AZ318" s="1021"/>
      <c r="BA318" s="1021"/>
      <c r="BB318" s="1021"/>
      <c r="BC318" s="1021"/>
      <c r="BD318" s="1021"/>
      <c r="BE318" s="1021"/>
      <c r="BF318" s="1021"/>
      <c r="BG318" s="1021"/>
      <c r="BH318" s="1021"/>
      <c r="BI318" s="1021"/>
      <c r="BJ318" s="1021"/>
      <c r="BK318" s="1021"/>
      <c r="BL318" s="1021"/>
      <c r="BM318" s="1021"/>
      <c r="BN318" s="1021"/>
      <c r="BO318" s="1021"/>
      <c r="BP318" s="1021"/>
      <c r="BQ318" s="1021"/>
      <c r="BR318" s="1021"/>
      <c r="BS318" s="1021"/>
      <c r="BT318" s="1021"/>
      <c r="BU318" s="1021"/>
      <c r="BV318" s="1021"/>
      <c r="BW318" s="1021"/>
      <c r="BX318" s="1021"/>
      <c r="BY318" s="1021"/>
      <c r="BZ318" s="1021"/>
      <c r="CA318" s="1021"/>
      <c r="CB318" s="1021"/>
      <c r="CC318" s="1021"/>
    </row>
    <row r="319" spans="8:81" x14ac:dyDescent="0.25">
      <c r="H319" s="1021"/>
      <c r="I319" s="1021"/>
      <c r="J319" s="1021"/>
      <c r="K319" s="1021"/>
      <c r="L319" s="1021"/>
      <c r="M319" s="1021"/>
      <c r="N319" s="1021"/>
      <c r="O319" s="1021"/>
      <c r="P319" s="1021"/>
      <c r="Q319" s="1021"/>
      <c r="R319" s="1021"/>
      <c r="S319" s="1021"/>
      <c r="T319" s="1021"/>
      <c r="U319" s="1021"/>
      <c r="V319" s="1021"/>
      <c r="W319" s="1021"/>
      <c r="X319" s="1021"/>
      <c r="Y319" s="1021"/>
      <c r="Z319" s="1021"/>
      <c r="AA319" s="1021"/>
      <c r="AB319" s="1021"/>
      <c r="AC319" s="1021"/>
      <c r="AD319" s="1021"/>
      <c r="AE319" s="1021"/>
      <c r="AF319" s="1021"/>
      <c r="AG319" s="1021"/>
      <c r="AH319" s="1021"/>
      <c r="AI319" s="1021"/>
      <c r="AJ319" s="1021"/>
      <c r="AK319" s="1021"/>
      <c r="AL319" s="1021"/>
      <c r="AM319" s="1021"/>
      <c r="AN319" s="1021"/>
      <c r="AO319" s="1021"/>
      <c r="AP319" s="1021"/>
      <c r="AQ319" s="1021"/>
      <c r="AR319" s="1021"/>
      <c r="AS319" s="1021"/>
      <c r="AT319" s="1021"/>
      <c r="AU319" s="1021"/>
      <c r="AV319" s="1021"/>
      <c r="AW319" s="1021"/>
      <c r="AX319" s="1021"/>
      <c r="AY319" s="1021"/>
      <c r="AZ319" s="1021"/>
      <c r="BA319" s="1021"/>
      <c r="BB319" s="1021"/>
      <c r="BC319" s="1021"/>
      <c r="BD319" s="1021"/>
      <c r="BE319" s="1021"/>
      <c r="BF319" s="1021"/>
      <c r="BG319" s="1021"/>
      <c r="BH319" s="1021"/>
      <c r="BI319" s="1021"/>
      <c r="BJ319" s="1021"/>
      <c r="BK319" s="1021"/>
      <c r="BL319" s="1021"/>
      <c r="BM319" s="1021"/>
      <c r="BN319" s="1021"/>
      <c r="BO319" s="1021"/>
      <c r="BP319" s="1021"/>
      <c r="BQ319" s="1021"/>
      <c r="BR319" s="1021"/>
      <c r="BS319" s="1021"/>
      <c r="BT319" s="1021"/>
      <c r="BU319" s="1021"/>
      <c r="BV319" s="1021"/>
      <c r="BW319" s="1021"/>
      <c r="BX319" s="1021"/>
      <c r="BY319" s="1021"/>
      <c r="BZ319" s="1021"/>
      <c r="CA319" s="1021"/>
      <c r="CB319" s="1021"/>
      <c r="CC319" s="1021"/>
    </row>
    <row r="320" spans="8:81" x14ac:dyDescent="0.25">
      <c r="H320" s="1021"/>
      <c r="I320" s="1021"/>
      <c r="J320" s="1021"/>
      <c r="K320" s="1021"/>
      <c r="L320" s="1021"/>
      <c r="M320" s="1021"/>
      <c r="N320" s="1021"/>
      <c r="O320" s="1021"/>
      <c r="P320" s="1021"/>
      <c r="Q320" s="1021"/>
      <c r="R320" s="1021"/>
      <c r="S320" s="1021"/>
      <c r="T320" s="1021"/>
      <c r="U320" s="1021"/>
      <c r="V320" s="1021"/>
      <c r="W320" s="1021"/>
      <c r="X320" s="1021"/>
      <c r="Y320" s="1021"/>
      <c r="Z320" s="1021"/>
      <c r="AA320" s="1021"/>
      <c r="AB320" s="1021"/>
      <c r="AC320" s="1021"/>
      <c r="AD320" s="1021"/>
      <c r="AE320" s="1021"/>
      <c r="AF320" s="1021"/>
      <c r="AG320" s="1021"/>
      <c r="AH320" s="1021"/>
      <c r="AI320" s="1021"/>
      <c r="AJ320" s="1021"/>
      <c r="AK320" s="1021"/>
      <c r="AL320" s="1021"/>
      <c r="AM320" s="1021"/>
      <c r="AN320" s="1021"/>
      <c r="AO320" s="1021"/>
      <c r="AP320" s="1021"/>
      <c r="AQ320" s="1021"/>
      <c r="AR320" s="1021"/>
      <c r="AS320" s="1021"/>
      <c r="AT320" s="1021"/>
      <c r="AU320" s="1021"/>
      <c r="AV320" s="1021"/>
      <c r="AW320" s="1021"/>
      <c r="AX320" s="1021"/>
      <c r="AY320" s="1021"/>
      <c r="AZ320" s="1021"/>
      <c r="BA320" s="1021"/>
      <c r="BB320" s="1021"/>
      <c r="BC320" s="1021"/>
      <c r="BD320" s="1021"/>
      <c r="BE320" s="1021"/>
      <c r="BF320" s="1021"/>
      <c r="BG320" s="1021"/>
      <c r="BH320" s="1021"/>
      <c r="BI320" s="1021"/>
      <c r="BJ320" s="1021"/>
      <c r="BK320" s="1021"/>
      <c r="BL320" s="1021"/>
      <c r="BM320" s="1021"/>
      <c r="BN320" s="1021"/>
      <c r="BO320" s="1021"/>
      <c r="BP320" s="1021"/>
      <c r="BQ320" s="1021"/>
      <c r="BR320" s="1021"/>
      <c r="BS320" s="1021"/>
      <c r="BT320" s="1021"/>
      <c r="BU320" s="1021"/>
      <c r="BV320" s="1021"/>
      <c r="BW320" s="1021"/>
      <c r="BX320" s="1021"/>
      <c r="BY320" s="1021"/>
      <c r="BZ320" s="1021"/>
      <c r="CA320" s="1021"/>
      <c r="CB320" s="1021"/>
      <c r="CC320" s="1021"/>
    </row>
    <row r="321" spans="8:81" x14ac:dyDescent="0.25">
      <c r="H321" s="1021"/>
      <c r="I321" s="1021"/>
      <c r="J321" s="1021"/>
      <c r="K321" s="1021"/>
      <c r="L321" s="1021"/>
      <c r="M321" s="1021"/>
      <c r="N321" s="1021"/>
      <c r="O321" s="1021"/>
      <c r="P321" s="1021"/>
      <c r="Q321" s="1021"/>
      <c r="R321" s="1021"/>
      <c r="S321" s="1021"/>
      <c r="T321" s="1021"/>
      <c r="U321" s="1021"/>
      <c r="V321" s="1021"/>
      <c r="W321" s="1021"/>
      <c r="X321" s="1021"/>
      <c r="Y321" s="1021"/>
      <c r="Z321" s="1021"/>
      <c r="AA321" s="1021"/>
      <c r="AB321" s="1021"/>
      <c r="AC321" s="1021"/>
      <c r="AD321" s="1021"/>
      <c r="AE321" s="1021"/>
      <c r="AF321" s="1021"/>
      <c r="AG321" s="1021"/>
      <c r="AH321" s="1021"/>
      <c r="AI321" s="1021"/>
      <c r="AJ321" s="1021"/>
      <c r="AK321" s="1021"/>
      <c r="AL321" s="1021"/>
      <c r="AM321" s="1021"/>
      <c r="AN321" s="1021"/>
      <c r="AO321" s="1021"/>
      <c r="AP321" s="1021"/>
      <c r="AQ321" s="1021"/>
      <c r="AR321" s="1021"/>
      <c r="AS321" s="1021"/>
      <c r="AT321" s="1021"/>
      <c r="AU321" s="1021"/>
      <c r="AV321" s="1021"/>
      <c r="AW321" s="1021"/>
      <c r="AX321" s="1021"/>
      <c r="AY321" s="1021"/>
      <c r="AZ321" s="1021"/>
      <c r="BA321" s="1021"/>
      <c r="BB321" s="1021"/>
      <c r="BC321" s="1021"/>
      <c r="BD321" s="1021"/>
      <c r="BE321" s="1021"/>
      <c r="BF321" s="1021"/>
      <c r="BG321" s="1021"/>
      <c r="BH321" s="1021"/>
      <c r="BI321" s="1021"/>
      <c r="BJ321" s="1021"/>
      <c r="BK321" s="1021"/>
      <c r="BL321" s="1021"/>
      <c r="BM321" s="1021"/>
      <c r="BN321" s="1021"/>
      <c r="BO321" s="1021"/>
      <c r="BP321" s="1021"/>
      <c r="BQ321" s="1021"/>
      <c r="BR321" s="1021"/>
      <c r="BS321" s="1021"/>
      <c r="BT321" s="1021"/>
      <c r="BU321" s="1021"/>
      <c r="BV321" s="1021"/>
      <c r="BW321" s="1021"/>
      <c r="BX321" s="1021"/>
      <c r="BY321" s="1021"/>
      <c r="BZ321" s="1021"/>
      <c r="CA321" s="1021"/>
      <c r="CB321" s="1021"/>
      <c r="CC321" s="1021"/>
    </row>
    <row r="322" spans="8:81" x14ac:dyDescent="0.25">
      <c r="H322" s="1021"/>
      <c r="I322" s="1021"/>
      <c r="J322" s="1021"/>
      <c r="K322" s="1021"/>
      <c r="L322" s="1021"/>
      <c r="M322" s="1021"/>
      <c r="N322" s="1021"/>
      <c r="O322" s="1021"/>
      <c r="P322" s="1021"/>
      <c r="Q322" s="1021"/>
      <c r="R322" s="1021"/>
      <c r="S322" s="1021"/>
      <c r="T322" s="1021"/>
      <c r="U322" s="1021"/>
      <c r="V322" s="1021"/>
      <c r="W322" s="1021"/>
      <c r="X322" s="1021"/>
      <c r="Y322" s="1021"/>
      <c r="Z322" s="1021"/>
      <c r="AA322" s="1021"/>
      <c r="AB322" s="1021"/>
      <c r="AC322" s="1021"/>
      <c r="AD322" s="1021"/>
      <c r="AE322" s="1021"/>
      <c r="AF322" s="1021"/>
      <c r="AG322" s="1021"/>
      <c r="AH322" s="1021"/>
      <c r="AI322" s="1021"/>
      <c r="AJ322" s="1021"/>
      <c r="AK322" s="1021"/>
      <c r="AL322" s="1021"/>
      <c r="AM322" s="1021"/>
      <c r="AN322" s="1021"/>
      <c r="AO322" s="1021"/>
      <c r="AP322" s="1021"/>
      <c r="AQ322" s="1021"/>
      <c r="AR322" s="1021"/>
      <c r="AS322" s="1021"/>
      <c r="AT322" s="1021"/>
      <c r="AU322" s="1021"/>
      <c r="AV322" s="1021"/>
      <c r="AW322" s="1021"/>
      <c r="AX322" s="1021"/>
      <c r="AY322" s="1021"/>
      <c r="AZ322" s="1021"/>
      <c r="BA322" s="1021"/>
      <c r="BB322" s="1021"/>
      <c r="BC322" s="1021"/>
      <c r="BD322" s="1021"/>
      <c r="BE322" s="1021"/>
      <c r="BF322" s="1021"/>
      <c r="BG322" s="1021"/>
      <c r="BH322" s="1021"/>
      <c r="BI322" s="1021"/>
      <c r="BJ322" s="1021"/>
      <c r="BK322" s="1021"/>
      <c r="BL322" s="1021"/>
      <c r="BM322" s="1021"/>
      <c r="BN322" s="1021"/>
      <c r="BO322" s="1021"/>
      <c r="BP322" s="1021"/>
      <c r="BQ322" s="1021"/>
      <c r="BR322" s="1021"/>
      <c r="BS322" s="1021"/>
      <c r="BT322" s="1021"/>
      <c r="BU322" s="1021"/>
      <c r="BV322" s="1021"/>
      <c r="BW322" s="1021"/>
      <c r="BX322" s="1021"/>
      <c r="BY322" s="1021"/>
      <c r="BZ322" s="1021"/>
      <c r="CA322" s="1021"/>
      <c r="CB322" s="1021"/>
      <c r="CC322" s="1021"/>
    </row>
    <row r="323" spans="8:81" x14ac:dyDescent="0.25">
      <c r="H323" s="1021"/>
      <c r="I323" s="1021"/>
      <c r="J323" s="1021"/>
      <c r="K323" s="1021"/>
      <c r="L323" s="1021"/>
      <c r="M323" s="1021"/>
      <c r="N323" s="1021"/>
      <c r="O323" s="1021"/>
      <c r="P323" s="1021"/>
      <c r="Q323" s="1021"/>
      <c r="R323" s="1021"/>
      <c r="S323" s="1021"/>
      <c r="T323" s="1021"/>
      <c r="U323" s="1021"/>
      <c r="V323" s="1021"/>
      <c r="W323" s="1021"/>
      <c r="X323" s="1021"/>
      <c r="Y323" s="1021"/>
      <c r="Z323" s="1021"/>
      <c r="AA323" s="1021"/>
      <c r="AB323" s="1021"/>
      <c r="AC323" s="1021"/>
      <c r="AD323" s="1021"/>
      <c r="AE323" s="1021"/>
      <c r="AF323" s="1021"/>
      <c r="AG323" s="1021"/>
      <c r="AH323" s="1021"/>
      <c r="AI323" s="1021"/>
      <c r="AJ323" s="1021"/>
      <c r="AK323" s="1021"/>
      <c r="AL323" s="1021"/>
      <c r="AM323" s="1021"/>
      <c r="AN323" s="1021"/>
      <c r="AO323" s="1021"/>
      <c r="AP323" s="1021"/>
      <c r="AQ323" s="1021"/>
      <c r="AR323" s="1021"/>
      <c r="AS323" s="1021"/>
      <c r="AT323" s="1021"/>
      <c r="AU323" s="1021"/>
      <c r="AV323" s="1021"/>
      <c r="AW323" s="1021"/>
      <c r="AX323" s="1021"/>
      <c r="AY323" s="1021"/>
      <c r="AZ323" s="1021"/>
      <c r="BA323" s="1021"/>
      <c r="BB323" s="1021"/>
      <c r="BC323" s="1021"/>
      <c r="BD323" s="1021"/>
      <c r="BE323" s="1021"/>
      <c r="BF323" s="1021"/>
      <c r="BG323" s="1021"/>
      <c r="BH323" s="1021"/>
      <c r="BI323" s="1021"/>
      <c r="BJ323" s="1021"/>
      <c r="BK323" s="1021"/>
      <c r="BL323" s="1021"/>
      <c r="BM323" s="1021"/>
      <c r="BN323" s="1021"/>
      <c r="BO323" s="1021"/>
      <c r="BP323" s="1021"/>
      <c r="BQ323" s="1021"/>
      <c r="BR323" s="1021"/>
      <c r="BS323" s="1021"/>
      <c r="BT323" s="1021"/>
      <c r="BU323" s="1021"/>
      <c r="BV323" s="1021"/>
      <c r="BW323" s="1021"/>
      <c r="BX323" s="1021"/>
      <c r="BY323" s="1021"/>
      <c r="BZ323" s="1021"/>
      <c r="CA323" s="1021"/>
      <c r="CB323" s="1021"/>
      <c r="CC323" s="1021"/>
    </row>
    <row r="324" spans="8:81" x14ac:dyDescent="0.25">
      <c r="H324" s="1021"/>
      <c r="I324" s="1021"/>
      <c r="J324" s="1021"/>
      <c r="K324" s="1021"/>
      <c r="L324" s="1021"/>
      <c r="M324" s="1021"/>
      <c r="N324" s="1021"/>
      <c r="O324" s="1021"/>
      <c r="P324" s="1021"/>
      <c r="Q324" s="1021"/>
      <c r="R324" s="1021"/>
      <c r="S324" s="1021"/>
      <c r="T324" s="1021"/>
      <c r="U324" s="1021"/>
      <c r="V324" s="1021"/>
      <c r="W324" s="1021"/>
      <c r="X324" s="1021"/>
      <c r="Y324" s="1021"/>
      <c r="Z324" s="1021"/>
      <c r="AA324" s="1021"/>
      <c r="AB324" s="1021"/>
      <c r="AC324" s="1021"/>
      <c r="AD324" s="1021"/>
      <c r="AE324" s="1021"/>
      <c r="AF324" s="1021"/>
      <c r="AG324" s="1021"/>
      <c r="AH324" s="1021"/>
      <c r="AI324" s="1021"/>
      <c r="AJ324" s="1021"/>
      <c r="AK324" s="1021"/>
      <c r="AL324" s="1021"/>
      <c r="AM324" s="1021"/>
      <c r="AN324" s="1021"/>
      <c r="AO324" s="1021"/>
      <c r="AP324" s="1021"/>
      <c r="AQ324" s="1021"/>
      <c r="AR324" s="1021"/>
      <c r="AS324" s="1021"/>
      <c r="AT324" s="1021"/>
      <c r="AU324" s="1021"/>
      <c r="AV324" s="1021"/>
      <c r="AW324" s="1021"/>
      <c r="AX324" s="1021"/>
      <c r="AY324" s="1021"/>
      <c r="AZ324" s="1021"/>
      <c r="BA324" s="1021"/>
      <c r="BB324" s="1021"/>
      <c r="BC324" s="1021"/>
      <c r="BD324" s="1021"/>
      <c r="BE324" s="1021"/>
      <c r="BF324" s="1021"/>
      <c r="BG324" s="1021"/>
      <c r="BH324" s="1021"/>
      <c r="BI324" s="1021"/>
      <c r="BJ324" s="1021"/>
      <c r="BK324" s="1021"/>
      <c r="BL324" s="1021"/>
      <c r="BM324" s="1021"/>
      <c r="BN324" s="1021"/>
      <c r="BO324" s="1021"/>
      <c r="BP324" s="1021"/>
      <c r="BQ324" s="1021"/>
      <c r="BR324" s="1021"/>
      <c r="BS324" s="1021"/>
      <c r="BT324" s="1021"/>
      <c r="BU324" s="1021"/>
      <c r="BV324" s="1021"/>
      <c r="BW324" s="1021"/>
      <c r="BX324" s="1021"/>
      <c r="BY324" s="1021"/>
      <c r="BZ324" s="1021"/>
      <c r="CA324" s="1021"/>
      <c r="CB324" s="1021"/>
      <c r="CC324" s="1021"/>
    </row>
    <row r="325" spans="8:81" x14ac:dyDescent="0.25">
      <c r="H325" s="1021"/>
      <c r="I325" s="1021"/>
      <c r="J325" s="1021"/>
      <c r="K325" s="1021"/>
      <c r="L325" s="1021"/>
      <c r="M325" s="1021"/>
      <c r="N325" s="1021"/>
      <c r="O325" s="1021"/>
      <c r="P325" s="1021"/>
      <c r="Q325" s="1021"/>
      <c r="R325" s="1021"/>
      <c r="S325" s="1021"/>
      <c r="T325" s="1021"/>
      <c r="U325" s="1021"/>
      <c r="V325" s="1021"/>
      <c r="W325" s="1021"/>
      <c r="X325" s="1021"/>
      <c r="Y325" s="1021"/>
      <c r="Z325" s="1021"/>
      <c r="AA325" s="1021"/>
      <c r="AB325" s="1021"/>
      <c r="AC325" s="1021"/>
      <c r="AD325" s="1021"/>
      <c r="AE325" s="1021"/>
      <c r="AF325" s="1021"/>
      <c r="AG325" s="1021"/>
      <c r="AH325" s="1021"/>
      <c r="AI325" s="1021"/>
      <c r="AJ325" s="1021"/>
      <c r="AK325" s="1021"/>
      <c r="AL325" s="1021"/>
      <c r="AM325" s="1021"/>
      <c r="AN325" s="1021"/>
      <c r="AO325" s="1021"/>
      <c r="AP325" s="1021"/>
      <c r="AQ325" s="1021"/>
      <c r="AR325" s="1021"/>
      <c r="AS325" s="1021"/>
      <c r="AT325" s="1021"/>
      <c r="AU325" s="1021"/>
      <c r="AV325" s="1021"/>
      <c r="AW325" s="1021"/>
      <c r="AX325" s="1021"/>
      <c r="AY325" s="1021"/>
      <c r="AZ325" s="1021"/>
      <c r="BA325" s="1021"/>
      <c r="BB325" s="1021"/>
      <c r="BC325" s="1021"/>
      <c r="BD325" s="1021"/>
      <c r="BE325" s="1021"/>
      <c r="BF325" s="1021"/>
      <c r="BG325" s="1021"/>
      <c r="BH325" s="1021"/>
      <c r="BI325" s="1021"/>
      <c r="BJ325" s="1021"/>
      <c r="BK325" s="1021"/>
      <c r="BL325" s="1021"/>
      <c r="BM325" s="1021"/>
      <c r="BN325" s="1021"/>
      <c r="BO325" s="1021"/>
      <c r="BP325" s="1021"/>
      <c r="BQ325" s="1021"/>
      <c r="BR325" s="1021"/>
      <c r="BS325" s="1021"/>
      <c r="BT325" s="1021"/>
      <c r="BU325" s="1021"/>
      <c r="BV325" s="1021"/>
      <c r="BW325" s="1021"/>
      <c r="BX325" s="1021"/>
      <c r="BY325" s="1021"/>
      <c r="BZ325" s="1021"/>
      <c r="CA325" s="1021"/>
      <c r="CB325" s="1021"/>
      <c r="CC325" s="1021"/>
    </row>
    <row r="326" spans="8:81" x14ac:dyDescent="0.25">
      <c r="H326" s="1021"/>
      <c r="I326" s="1021"/>
      <c r="J326" s="1021"/>
      <c r="K326" s="1021"/>
      <c r="L326" s="1021"/>
      <c r="M326" s="1021"/>
      <c r="N326" s="1021"/>
      <c r="O326" s="1021"/>
      <c r="P326" s="1021"/>
      <c r="Q326" s="1021"/>
      <c r="R326" s="1021"/>
      <c r="S326" s="1021"/>
      <c r="T326" s="1021"/>
      <c r="U326" s="1021"/>
      <c r="V326" s="1021"/>
      <c r="W326" s="1021"/>
      <c r="X326" s="1021"/>
      <c r="Y326" s="1021"/>
      <c r="Z326" s="1021"/>
      <c r="AA326" s="1021"/>
      <c r="AB326" s="1021"/>
      <c r="AC326" s="1021"/>
      <c r="AD326" s="1021"/>
      <c r="AE326" s="1021"/>
      <c r="AF326" s="1021"/>
      <c r="AG326" s="1021"/>
      <c r="AH326" s="1021"/>
      <c r="AI326" s="1021"/>
      <c r="AJ326" s="1021"/>
      <c r="AK326" s="1021"/>
      <c r="AL326" s="1021"/>
      <c r="AM326" s="1021"/>
      <c r="AN326" s="1021"/>
      <c r="AO326" s="1021"/>
      <c r="AP326" s="1021"/>
      <c r="AQ326" s="1021"/>
      <c r="AR326" s="1021"/>
      <c r="AS326" s="1021"/>
      <c r="AT326" s="1021"/>
      <c r="AU326" s="1021"/>
      <c r="AV326" s="1021"/>
      <c r="AW326" s="1021"/>
      <c r="AX326" s="1021"/>
      <c r="AY326" s="1021"/>
      <c r="AZ326" s="1021"/>
      <c r="BA326" s="1021"/>
      <c r="BB326" s="1021"/>
      <c r="BC326" s="1021"/>
      <c r="BD326" s="1021"/>
      <c r="BE326" s="1021"/>
      <c r="BF326" s="1021"/>
      <c r="BG326" s="1021"/>
      <c r="BH326" s="1021"/>
      <c r="BI326" s="1021"/>
      <c r="BJ326" s="1021"/>
      <c r="BK326" s="1021"/>
      <c r="BL326" s="1021"/>
      <c r="BM326" s="1021"/>
      <c r="BN326" s="1021"/>
      <c r="BO326" s="1021"/>
      <c r="BP326" s="1021"/>
      <c r="BQ326" s="1021"/>
      <c r="BR326" s="1021"/>
      <c r="BS326" s="1021"/>
      <c r="BT326" s="1021"/>
      <c r="BU326" s="1021"/>
      <c r="BV326" s="1021"/>
      <c r="BW326" s="1021"/>
      <c r="BX326" s="1021"/>
      <c r="BY326" s="1021"/>
      <c r="BZ326" s="1021"/>
      <c r="CA326" s="1021"/>
      <c r="CB326" s="1021"/>
      <c r="CC326" s="1021"/>
    </row>
    <row r="327" spans="8:81" x14ac:dyDescent="0.25">
      <c r="H327" s="1021"/>
      <c r="I327" s="1021"/>
      <c r="J327" s="1021"/>
      <c r="K327" s="1021"/>
      <c r="L327" s="1021"/>
      <c r="M327" s="1021"/>
      <c r="N327" s="1021"/>
      <c r="O327" s="1021"/>
      <c r="P327" s="1021"/>
      <c r="Q327" s="1021"/>
      <c r="R327" s="1021"/>
      <c r="S327" s="1021"/>
      <c r="T327" s="1021"/>
      <c r="U327" s="1021"/>
      <c r="V327" s="1021"/>
      <c r="W327" s="1021"/>
      <c r="X327" s="1021"/>
      <c r="Y327" s="1021"/>
      <c r="Z327" s="1021"/>
      <c r="AA327" s="1021"/>
      <c r="AB327" s="1021"/>
      <c r="AC327" s="1021"/>
      <c r="AD327" s="1021"/>
      <c r="AE327" s="1021"/>
      <c r="AF327" s="1021"/>
      <c r="AG327" s="1021"/>
      <c r="AH327" s="1021"/>
      <c r="AI327" s="1021"/>
      <c r="AJ327" s="1021"/>
      <c r="AK327" s="1021"/>
      <c r="AL327" s="1021"/>
      <c r="AM327" s="1021"/>
      <c r="AN327" s="1021"/>
      <c r="AO327" s="1021"/>
      <c r="AP327" s="1021"/>
      <c r="AQ327" s="1021"/>
      <c r="AR327" s="1021"/>
      <c r="AS327" s="1021"/>
      <c r="AT327" s="1021"/>
      <c r="AU327" s="1021"/>
      <c r="AV327" s="1021"/>
      <c r="AW327" s="1021"/>
      <c r="AX327" s="1021"/>
      <c r="AY327" s="1021"/>
      <c r="AZ327" s="1021"/>
      <c r="BA327" s="1021"/>
      <c r="BB327" s="1021"/>
      <c r="BC327" s="1021"/>
      <c r="BD327" s="1021"/>
      <c r="BE327" s="1021"/>
      <c r="BF327" s="1021"/>
      <c r="BG327" s="1021"/>
      <c r="BH327" s="1021"/>
      <c r="BI327" s="1021"/>
      <c r="BJ327" s="1021"/>
      <c r="BK327" s="1021"/>
      <c r="BL327" s="1021"/>
      <c r="BM327" s="1021"/>
      <c r="BN327" s="1021"/>
      <c r="BO327" s="1021"/>
      <c r="BP327" s="1021"/>
      <c r="BQ327" s="1021"/>
      <c r="BR327" s="1021"/>
      <c r="BS327" s="1021"/>
      <c r="BT327" s="1021"/>
      <c r="BU327" s="1021"/>
      <c r="BV327" s="1021"/>
      <c r="BW327" s="1021"/>
      <c r="BX327" s="1021"/>
      <c r="BY327" s="1021"/>
      <c r="BZ327" s="1021"/>
      <c r="CA327" s="1021"/>
      <c r="CB327" s="1021"/>
      <c r="CC327" s="1021"/>
    </row>
    <row r="328" spans="8:81" x14ac:dyDescent="0.25">
      <c r="H328" s="1021"/>
      <c r="I328" s="1021"/>
      <c r="J328" s="1021"/>
      <c r="K328" s="1021"/>
      <c r="L328" s="1021"/>
      <c r="M328" s="1021"/>
      <c r="N328" s="1021"/>
      <c r="O328" s="1021"/>
      <c r="P328" s="1021"/>
      <c r="Q328" s="1021"/>
      <c r="R328" s="1021"/>
      <c r="S328" s="1021"/>
      <c r="T328" s="1021"/>
      <c r="U328" s="1021"/>
      <c r="V328" s="1021"/>
      <c r="W328" s="1021"/>
      <c r="X328" s="1021"/>
      <c r="Y328" s="1021"/>
      <c r="Z328" s="1021"/>
      <c r="AA328" s="1021"/>
      <c r="AB328" s="1021"/>
      <c r="AC328" s="1021"/>
      <c r="AD328" s="1021"/>
      <c r="AE328" s="1021"/>
      <c r="AF328" s="1021"/>
      <c r="AG328" s="1021"/>
      <c r="AH328" s="1021"/>
      <c r="AI328" s="1021"/>
      <c r="AJ328" s="1021"/>
      <c r="AK328" s="1021"/>
      <c r="AL328" s="1021"/>
      <c r="AM328" s="1021"/>
      <c r="AN328" s="1021"/>
      <c r="AO328" s="1021"/>
      <c r="AP328" s="1021"/>
      <c r="AQ328" s="1021"/>
      <c r="AR328" s="1021"/>
      <c r="AS328" s="1021"/>
      <c r="AT328" s="1021"/>
      <c r="AU328" s="1021"/>
      <c r="AV328" s="1021"/>
      <c r="AW328" s="1021"/>
      <c r="AX328" s="1021"/>
      <c r="AY328" s="1021"/>
      <c r="AZ328" s="1021"/>
      <c r="BA328" s="1021"/>
      <c r="BB328" s="1021"/>
      <c r="BC328" s="1021"/>
      <c r="BD328" s="1021"/>
      <c r="BE328" s="1021"/>
      <c r="BF328" s="1021"/>
      <c r="BG328" s="1021"/>
      <c r="BH328" s="1021"/>
      <c r="BI328" s="1021"/>
      <c r="BJ328" s="1021"/>
      <c r="BK328" s="1021"/>
      <c r="BL328" s="1021"/>
      <c r="BM328" s="1021"/>
      <c r="BN328" s="1021"/>
      <c r="BO328" s="1021"/>
      <c r="BP328" s="1021"/>
      <c r="BQ328" s="1021"/>
      <c r="BR328" s="1021"/>
      <c r="BS328" s="1021"/>
      <c r="BT328" s="1021"/>
      <c r="BU328" s="1021"/>
      <c r="BV328" s="1021"/>
      <c r="BW328" s="1021"/>
      <c r="BX328" s="1021"/>
      <c r="BY328" s="1021"/>
      <c r="BZ328" s="1021"/>
      <c r="CA328" s="1021"/>
      <c r="CB328" s="1021"/>
      <c r="CC328" s="1021"/>
    </row>
    <row r="329" spans="8:81" x14ac:dyDescent="0.25">
      <c r="H329" s="1021"/>
      <c r="I329" s="1021"/>
      <c r="J329" s="1021"/>
      <c r="K329" s="1021"/>
      <c r="L329" s="1021"/>
      <c r="M329" s="1021"/>
      <c r="N329" s="1021"/>
      <c r="O329" s="1021"/>
      <c r="P329" s="1021"/>
      <c r="Q329" s="1021"/>
      <c r="R329" s="1021"/>
      <c r="S329" s="1021"/>
      <c r="T329" s="1021"/>
      <c r="U329" s="1021"/>
      <c r="V329" s="1021"/>
      <c r="W329" s="1021"/>
      <c r="X329" s="1021"/>
      <c r="Y329" s="1021"/>
      <c r="Z329" s="1021"/>
      <c r="AA329" s="1021"/>
      <c r="AB329" s="1021"/>
      <c r="AC329" s="1021"/>
      <c r="AD329" s="1021"/>
      <c r="AE329" s="1021"/>
      <c r="AF329" s="1021"/>
      <c r="AG329" s="1021"/>
      <c r="AH329" s="1021"/>
      <c r="AI329" s="1021"/>
      <c r="AJ329" s="1021"/>
      <c r="AK329" s="1021"/>
      <c r="AL329" s="1021"/>
      <c r="AM329" s="1021"/>
      <c r="AN329" s="1021"/>
      <c r="AO329" s="1021"/>
      <c r="AP329" s="1021"/>
      <c r="AQ329" s="1021"/>
      <c r="AR329" s="1021"/>
      <c r="AS329" s="1021"/>
      <c r="AT329" s="1021"/>
      <c r="AU329" s="1021"/>
      <c r="AV329" s="1021"/>
      <c r="AW329" s="1021"/>
      <c r="AX329" s="1021"/>
      <c r="AY329" s="1021"/>
      <c r="AZ329" s="1021"/>
      <c r="BA329" s="1021"/>
      <c r="BB329" s="1021"/>
      <c r="BC329" s="1021"/>
      <c r="BD329" s="1021"/>
      <c r="BE329" s="1021"/>
      <c r="BF329" s="1021"/>
      <c r="BG329" s="1021"/>
      <c r="BH329" s="1021"/>
      <c r="BI329" s="1021"/>
      <c r="BJ329" s="1021"/>
      <c r="BK329" s="1021"/>
      <c r="BL329" s="1021"/>
      <c r="BM329" s="1021"/>
      <c r="BN329" s="1021"/>
      <c r="BO329" s="1021"/>
      <c r="BP329" s="1021"/>
      <c r="BQ329" s="1021"/>
      <c r="BR329" s="1021"/>
      <c r="BS329" s="1021"/>
      <c r="BT329" s="1021"/>
      <c r="BU329" s="1021"/>
      <c r="BV329" s="1021"/>
      <c r="BW329" s="1021"/>
      <c r="BX329" s="1021"/>
      <c r="BY329" s="1021"/>
      <c r="BZ329" s="1021"/>
      <c r="CA329" s="1021"/>
      <c r="CB329" s="1021"/>
      <c r="CC329" s="1021"/>
    </row>
    <row r="330" spans="8:81" x14ac:dyDescent="0.25">
      <c r="H330" s="1021"/>
      <c r="I330" s="1021"/>
      <c r="J330" s="1021"/>
      <c r="K330" s="1021"/>
      <c r="L330" s="1021"/>
      <c r="M330" s="1021"/>
      <c r="N330" s="1021"/>
      <c r="O330" s="1021"/>
      <c r="P330" s="1021"/>
      <c r="Q330" s="1021"/>
      <c r="R330" s="1021"/>
      <c r="S330" s="1021"/>
      <c r="T330" s="1021"/>
      <c r="U330" s="1021"/>
      <c r="V330" s="1021"/>
      <c r="W330" s="1021"/>
      <c r="X330" s="1021"/>
      <c r="Y330" s="1021"/>
      <c r="Z330" s="1021"/>
      <c r="AA330" s="1021"/>
      <c r="AB330" s="1021"/>
      <c r="AC330" s="1021"/>
      <c r="AD330" s="1021"/>
      <c r="AE330" s="1021"/>
      <c r="AF330" s="1021"/>
      <c r="AG330" s="1021"/>
      <c r="AH330" s="1021"/>
      <c r="AI330" s="1021"/>
      <c r="AJ330" s="1021"/>
      <c r="AK330" s="1021"/>
      <c r="AL330" s="1021"/>
      <c r="AM330" s="1021"/>
      <c r="AN330" s="1021"/>
      <c r="AO330" s="1021"/>
      <c r="AP330" s="1021"/>
      <c r="AQ330" s="1021"/>
      <c r="AR330" s="1021"/>
      <c r="AS330" s="1021"/>
      <c r="AT330" s="1021"/>
      <c r="AU330" s="1021"/>
      <c r="AV330" s="1021"/>
      <c r="AW330" s="1021"/>
      <c r="AX330" s="1021"/>
      <c r="AY330" s="1021"/>
      <c r="AZ330" s="1021"/>
      <c r="BA330" s="1021"/>
      <c r="BB330" s="1021"/>
      <c r="BC330" s="1021"/>
      <c r="BD330" s="1021"/>
      <c r="BE330" s="1021"/>
      <c r="BF330" s="1021"/>
      <c r="BG330" s="1021"/>
      <c r="BH330" s="1021"/>
      <c r="BI330" s="1021"/>
      <c r="BJ330" s="1021"/>
      <c r="BK330" s="1021"/>
      <c r="BL330" s="1021"/>
      <c r="BM330" s="1021"/>
      <c r="BN330" s="1021"/>
      <c r="BO330" s="1021"/>
      <c r="BP330" s="1021"/>
      <c r="BQ330" s="1021"/>
      <c r="BR330" s="1021"/>
      <c r="BS330" s="1021"/>
      <c r="BT330" s="1021"/>
      <c r="BU330" s="1021"/>
      <c r="BV330" s="1021"/>
      <c r="BW330" s="1021"/>
      <c r="BX330" s="1021"/>
      <c r="BY330" s="1021"/>
      <c r="BZ330" s="1021"/>
      <c r="CA330" s="1021"/>
      <c r="CB330" s="1021"/>
      <c r="CC330" s="1021"/>
    </row>
    <row r="331" spans="8:81" x14ac:dyDescent="0.25">
      <c r="H331" s="1021"/>
      <c r="I331" s="1021"/>
      <c r="J331" s="1021"/>
      <c r="K331" s="1021"/>
      <c r="L331" s="1021"/>
      <c r="M331" s="1021"/>
      <c r="N331" s="1021"/>
      <c r="O331" s="1021"/>
      <c r="P331" s="1021"/>
      <c r="Q331" s="1021"/>
      <c r="R331" s="1021"/>
      <c r="S331" s="1021"/>
      <c r="T331" s="1021"/>
      <c r="U331" s="1021"/>
      <c r="V331" s="1021"/>
      <c r="W331" s="1021"/>
      <c r="X331" s="1021"/>
      <c r="Y331" s="1021"/>
      <c r="Z331" s="1021"/>
      <c r="AA331" s="1021"/>
      <c r="AB331" s="1021"/>
      <c r="AC331" s="1021"/>
      <c r="AD331" s="1021"/>
      <c r="AE331" s="1021"/>
      <c r="AF331" s="1021"/>
      <c r="AG331" s="1021"/>
      <c r="AH331" s="1021"/>
      <c r="AI331" s="1021"/>
      <c r="AJ331" s="1021"/>
      <c r="AK331" s="1021"/>
      <c r="AL331" s="1021"/>
      <c r="AM331" s="1021"/>
      <c r="AN331" s="1021"/>
      <c r="AO331" s="1021"/>
      <c r="AP331" s="1021"/>
      <c r="AQ331" s="1021"/>
      <c r="AR331" s="1021"/>
      <c r="AS331" s="1021"/>
      <c r="AT331" s="1021"/>
      <c r="AU331" s="1021"/>
      <c r="AV331" s="1021"/>
      <c r="AW331" s="1021"/>
      <c r="AX331" s="1021"/>
      <c r="AY331" s="1021"/>
      <c r="AZ331" s="1021"/>
      <c r="BA331" s="1021"/>
      <c r="BB331" s="1021"/>
      <c r="BC331" s="1021"/>
      <c r="BD331" s="1021"/>
      <c r="BE331" s="1021"/>
      <c r="BF331" s="1021"/>
      <c r="BG331" s="1021"/>
      <c r="BH331" s="1021"/>
      <c r="BI331" s="1021"/>
      <c r="BJ331" s="1021"/>
      <c r="BK331" s="1021"/>
      <c r="BL331" s="1021"/>
      <c r="BM331" s="1021"/>
      <c r="BN331" s="1021"/>
      <c r="BO331" s="1021"/>
      <c r="BP331" s="1021"/>
      <c r="BQ331" s="1021"/>
      <c r="BR331" s="1021"/>
      <c r="BS331" s="1021"/>
      <c r="BT331" s="1021"/>
      <c r="BU331" s="1021"/>
      <c r="BV331" s="1021"/>
      <c r="BW331" s="1021"/>
      <c r="BX331" s="1021"/>
      <c r="BY331" s="1021"/>
      <c r="BZ331" s="1021"/>
      <c r="CA331" s="1021"/>
      <c r="CB331" s="1021"/>
      <c r="CC331" s="1021"/>
    </row>
    <row r="332" spans="8:81" x14ac:dyDescent="0.25">
      <c r="H332" s="1021"/>
      <c r="I332" s="1021"/>
      <c r="J332" s="1021"/>
      <c r="K332" s="1021"/>
      <c r="L332" s="1021"/>
      <c r="M332" s="1021"/>
      <c r="N332" s="1021"/>
      <c r="O332" s="1021"/>
      <c r="P332" s="1021"/>
      <c r="Q332" s="1021"/>
      <c r="R332" s="1021"/>
      <c r="S332" s="1021"/>
      <c r="T332" s="1021"/>
      <c r="U332" s="1021"/>
      <c r="V332" s="1021"/>
      <c r="W332" s="1021"/>
      <c r="X332" s="1021"/>
      <c r="Y332" s="1021"/>
      <c r="Z332" s="1021"/>
      <c r="AA332" s="1021"/>
      <c r="AB332" s="1021"/>
      <c r="AC332" s="1021"/>
      <c r="AD332" s="1021"/>
      <c r="AE332" s="1021"/>
      <c r="AF332" s="1021"/>
      <c r="AG332" s="1021"/>
      <c r="AH332" s="1021"/>
      <c r="AI332" s="1021"/>
      <c r="AJ332" s="1021"/>
      <c r="AK332" s="1021"/>
      <c r="AL332" s="1021"/>
      <c r="AM332" s="1021"/>
      <c r="AN332" s="1021"/>
      <c r="AO332" s="1021"/>
      <c r="AP332" s="1021"/>
      <c r="AQ332" s="1021"/>
      <c r="AR332" s="1021"/>
      <c r="AS332" s="1021"/>
      <c r="AT332" s="1021"/>
      <c r="AU332" s="1021"/>
      <c r="AV332" s="1021"/>
      <c r="AW332" s="1021"/>
      <c r="AX332" s="1021"/>
      <c r="AY332" s="1021"/>
      <c r="AZ332" s="1021"/>
      <c r="BA332" s="1021"/>
      <c r="BB332" s="1021"/>
      <c r="BC332" s="1021"/>
      <c r="BD332" s="1021"/>
      <c r="BE332" s="1021"/>
      <c r="BF332" s="1021"/>
      <c r="BG332" s="1021"/>
      <c r="BH332" s="1021"/>
      <c r="BI332" s="1021"/>
      <c r="BJ332" s="1021"/>
      <c r="BK332" s="1021"/>
      <c r="BL332" s="1021"/>
      <c r="BM332" s="1021"/>
      <c r="BN332" s="1021"/>
      <c r="BO332" s="1021"/>
      <c r="BP332" s="1021"/>
      <c r="BQ332" s="1021"/>
      <c r="BR332" s="1021"/>
      <c r="BS332" s="1021"/>
      <c r="BT332" s="1021"/>
      <c r="BU332" s="1021"/>
      <c r="BV332" s="1021"/>
      <c r="BW332" s="1021"/>
      <c r="BX332" s="1021"/>
      <c r="BY332" s="1021"/>
      <c r="BZ332" s="1021"/>
      <c r="CA332" s="1021"/>
      <c r="CB332" s="1021"/>
      <c r="CC332" s="1021"/>
    </row>
    <row r="333" spans="8:81" x14ac:dyDescent="0.25">
      <c r="H333" s="1021"/>
      <c r="I333" s="1021"/>
      <c r="J333" s="1021"/>
      <c r="K333" s="1021"/>
      <c r="L333" s="1021"/>
      <c r="M333" s="1021"/>
      <c r="N333" s="1021"/>
      <c r="O333" s="1021"/>
      <c r="P333" s="1021"/>
      <c r="Q333" s="1021"/>
      <c r="R333" s="1021"/>
      <c r="S333" s="1021"/>
      <c r="T333" s="1021"/>
      <c r="U333" s="1021"/>
      <c r="V333" s="1021"/>
      <c r="W333" s="1021"/>
      <c r="X333" s="1021"/>
      <c r="Y333" s="1021"/>
      <c r="Z333" s="1021"/>
      <c r="AA333" s="1021"/>
      <c r="AB333" s="1021"/>
      <c r="AC333" s="1021"/>
      <c r="AD333" s="1021"/>
      <c r="AE333" s="1021"/>
      <c r="AF333" s="1021"/>
      <c r="AG333" s="1021"/>
      <c r="AH333" s="1021"/>
      <c r="AI333" s="1021"/>
      <c r="AJ333" s="1021"/>
      <c r="AK333" s="1021"/>
      <c r="AL333" s="1021"/>
      <c r="AM333" s="1021"/>
      <c r="AN333" s="1021"/>
      <c r="AO333" s="1021"/>
      <c r="AP333" s="1021"/>
      <c r="AQ333" s="1021"/>
      <c r="AR333" s="1021"/>
      <c r="AS333" s="1021"/>
      <c r="AT333" s="1021"/>
      <c r="AU333" s="1021"/>
      <c r="AV333" s="1021"/>
      <c r="AW333" s="1021"/>
      <c r="AX333" s="1021"/>
      <c r="AY333" s="1021"/>
      <c r="AZ333" s="1021"/>
      <c r="BA333" s="1021"/>
      <c r="BB333" s="1021"/>
      <c r="BC333" s="1021"/>
      <c r="BD333" s="1021"/>
      <c r="BE333" s="1021"/>
      <c r="BF333" s="1021"/>
      <c r="BG333" s="1021"/>
      <c r="BH333" s="1021"/>
      <c r="BI333" s="1021"/>
      <c r="BJ333" s="1021"/>
      <c r="BK333" s="1021"/>
      <c r="BL333" s="1021"/>
      <c r="BM333" s="1021"/>
      <c r="BN333" s="1021"/>
      <c r="BO333" s="1021"/>
      <c r="BP333" s="1021"/>
      <c r="BQ333" s="1021"/>
      <c r="BR333" s="1021"/>
      <c r="BS333" s="1021"/>
      <c r="BT333" s="1021"/>
      <c r="BU333" s="1021"/>
      <c r="BV333" s="1021"/>
      <c r="BW333" s="1021"/>
      <c r="BX333" s="1021"/>
      <c r="BY333" s="1021"/>
      <c r="BZ333" s="1021"/>
      <c r="CA333" s="1021"/>
      <c r="CB333" s="1021"/>
      <c r="CC333" s="1021"/>
    </row>
    <row r="334" spans="8:81" x14ac:dyDescent="0.25">
      <c r="H334" s="1021"/>
      <c r="I334" s="1021"/>
      <c r="J334" s="1021"/>
      <c r="K334" s="1021"/>
      <c r="L334" s="1021"/>
      <c r="M334" s="1021"/>
      <c r="N334" s="1021"/>
      <c r="O334" s="1021"/>
      <c r="P334" s="1021"/>
      <c r="Q334" s="1021"/>
      <c r="R334" s="1021"/>
      <c r="S334" s="1021"/>
      <c r="T334" s="1021"/>
      <c r="U334" s="1021"/>
      <c r="V334" s="1021"/>
      <c r="W334" s="1021"/>
      <c r="X334" s="1021"/>
      <c r="Y334" s="1021"/>
      <c r="Z334" s="1021"/>
      <c r="AA334" s="1021"/>
      <c r="AB334" s="1021"/>
      <c r="AC334" s="1021"/>
      <c r="AD334" s="1021"/>
      <c r="AE334" s="1021"/>
      <c r="AF334" s="1021"/>
      <c r="AG334" s="1021"/>
      <c r="AH334" s="1021"/>
      <c r="AI334" s="1021"/>
      <c r="AJ334" s="1021"/>
      <c r="AK334" s="1021"/>
      <c r="AL334" s="1021"/>
      <c r="AM334" s="1021"/>
      <c r="AN334" s="1021"/>
      <c r="AO334" s="1021"/>
      <c r="AP334" s="1021"/>
      <c r="AQ334" s="1021"/>
      <c r="AR334" s="1021"/>
      <c r="AS334" s="1021"/>
      <c r="AT334" s="1021"/>
      <c r="AU334" s="1021"/>
      <c r="AV334" s="1021"/>
      <c r="AW334" s="1021"/>
      <c r="AX334" s="1021"/>
      <c r="AY334" s="1021"/>
      <c r="AZ334" s="1021"/>
      <c r="BA334" s="1021"/>
      <c r="BB334" s="1021"/>
      <c r="BC334" s="1021"/>
      <c r="BD334" s="1021"/>
      <c r="BE334" s="1021"/>
      <c r="BF334" s="1021"/>
      <c r="BG334" s="1021"/>
      <c r="BH334" s="1021"/>
      <c r="BI334" s="1021"/>
      <c r="BJ334" s="1021"/>
      <c r="BK334" s="1021"/>
      <c r="BL334" s="1021"/>
      <c r="BM334" s="1021"/>
      <c r="BN334" s="1021"/>
      <c r="BO334" s="1021"/>
      <c r="BP334" s="1021"/>
      <c r="BQ334" s="1021"/>
      <c r="BR334" s="1021"/>
      <c r="BS334" s="1021"/>
      <c r="BT334" s="1021"/>
      <c r="BU334" s="1021"/>
      <c r="BV334" s="1021"/>
      <c r="BW334" s="1021"/>
      <c r="BX334" s="1021"/>
      <c r="BY334" s="1021"/>
      <c r="BZ334" s="1021"/>
      <c r="CA334" s="1021"/>
      <c r="CB334" s="1021"/>
      <c r="CC334" s="1021"/>
    </row>
    <row r="335" spans="8:81" x14ac:dyDescent="0.25">
      <c r="H335" s="1021"/>
      <c r="I335" s="1021"/>
      <c r="J335" s="1021"/>
      <c r="K335" s="1021"/>
      <c r="L335" s="1021"/>
      <c r="M335" s="1021"/>
      <c r="N335" s="1021"/>
      <c r="O335" s="1021"/>
      <c r="P335" s="1021"/>
      <c r="Q335" s="1021"/>
      <c r="R335" s="1021"/>
      <c r="S335" s="1021"/>
      <c r="T335" s="1021"/>
      <c r="U335" s="1021"/>
      <c r="V335" s="1021"/>
      <c r="W335" s="1021"/>
      <c r="X335" s="1021"/>
      <c r="Y335" s="1021"/>
      <c r="Z335" s="1021"/>
      <c r="AA335" s="1021"/>
      <c r="AB335" s="1021"/>
      <c r="AC335" s="1021"/>
      <c r="AD335" s="1021"/>
      <c r="AE335" s="1021"/>
      <c r="AF335" s="1021"/>
      <c r="AG335" s="1021"/>
      <c r="AH335" s="1021"/>
      <c r="AI335" s="1021"/>
      <c r="AJ335" s="1021"/>
      <c r="AK335" s="1021"/>
      <c r="AL335" s="1021"/>
      <c r="AM335" s="1021"/>
      <c r="AN335" s="1021"/>
      <c r="AO335" s="1021"/>
      <c r="AP335" s="1021"/>
      <c r="AQ335" s="1021"/>
      <c r="AR335" s="1021"/>
      <c r="AS335" s="1021"/>
      <c r="AT335" s="1021"/>
      <c r="AU335" s="1021"/>
      <c r="AV335" s="1021"/>
      <c r="AW335" s="1021"/>
      <c r="AX335" s="1021"/>
      <c r="AY335" s="1021"/>
      <c r="AZ335" s="1021"/>
      <c r="BA335" s="1021"/>
      <c r="BB335" s="1021"/>
      <c r="BC335" s="1021"/>
      <c r="BD335" s="1021"/>
      <c r="BE335" s="1021"/>
      <c r="BF335" s="1021"/>
      <c r="BG335" s="1021"/>
      <c r="BH335" s="1021"/>
      <c r="BI335" s="1021"/>
      <c r="BJ335" s="1021"/>
      <c r="BK335" s="1021"/>
      <c r="BL335" s="1021"/>
      <c r="BM335" s="1021"/>
      <c r="BN335" s="1021"/>
      <c r="BO335" s="1021"/>
      <c r="BP335" s="1021"/>
      <c r="BQ335" s="1021"/>
      <c r="BR335" s="1021"/>
      <c r="BS335" s="1021"/>
      <c r="BT335" s="1021"/>
      <c r="BU335" s="1021"/>
      <c r="BV335" s="1021"/>
      <c r="BW335" s="1021"/>
      <c r="BX335" s="1021"/>
      <c r="BY335" s="1021"/>
      <c r="BZ335" s="1021"/>
      <c r="CA335" s="1021"/>
      <c r="CB335" s="1021"/>
      <c r="CC335" s="1021"/>
    </row>
    <row r="336" spans="8:81" x14ac:dyDescent="0.25">
      <c r="H336" s="1021"/>
      <c r="I336" s="1021"/>
      <c r="J336" s="1021"/>
      <c r="K336" s="1021"/>
      <c r="L336" s="1021"/>
      <c r="M336" s="1021"/>
      <c r="N336" s="1021"/>
      <c r="O336" s="1021"/>
      <c r="P336" s="1021"/>
      <c r="Q336" s="1021"/>
      <c r="R336" s="1021"/>
      <c r="S336" s="1021"/>
      <c r="T336" s="1021"/>
      <c r="U336" s="1021"/>
      <c r="V336" s="1021"/>
      <c r="W336" s="1021"/>
      <c r="X336" s="1021"/>
      <c r="Y336" s="1021"/>
      <c r="Z336" s="1021"/>
      <c r="AA336" s="1021"/>
      <c r="AB336" s="1021"/>
      <c r="AC336" s="1021"/>
      <c r="AD336" s="1021"/>
      <c r="AE336" s="1021"/>
      <c r="AF336" s="1021"/>
      <c r="AG336" s="1021"/>
      <c r="AH336" s="1021"/>
      <c r="AI336" s="1021"/>
      <c r="AJ336" s="1021"/>
      <c r="AK336" s="1021"/>
      <c r="AL336" s="1021"/>
      <c r="AM336" s="1021"/>
      <c r="AN336" s="1021"/>
      <c r="AO336" s="1021"/>
      <c r="AP336" s="1021"/>
      <c r="AQ336" s="1021"/>
      <c r="AR336" s="1021"/>
      <c r="AS336" s="1021"/>
      <c r="AT336" s="1021"/>
      <c r="AU336" s="1021"/>
      <c r="AV336" s="1021"/>
      <c r="AW336" s="1021"/>
      <c r="AX336" s="1021"/>
      <c r="AY336" s="1021"/>
      <c r="AZ336" s="1021"/>
      <c r="BA336" s="1021"/>
      <c r="BB336" s="1021"/>
      <c r="BC336" s="1021"/>
      <c r="BD336" s="1021"/>
      <c r="BE336" s="1021"/>
      <c r="BF336" s="1021"/>
      <c r="BG336" s="1021"/>
      <c r="BH336" s="1021"/>
      <c r="BI336" s="1021"/>
      <c r="BJ336" s="1021"/>
      <c r="BK336" s="1021"/>
      <c r="BL336" s="1021"/>
      <c r="BM336" s="1021"/>
      <c r="BN336" s="1021"/>
      <c r="BO336" s="1021"/>
      <c r="BP336" s="1021"/>
      <c r="BQ336" s="1021"/>
      <c r="BR336" s="1021"/>
      <c r="BS336" s="1021"/>
      <c r="BT336" s="1021"/>
      <c r="BU336" s="1021"/>
      <c r="BV336" s="1021"/>
      <c r="BW336" s="1021"/>
      <c r="BX336" s="1021"/>
      <c r="BY336" s="1021"/>
      <c r="BZ336" s="1021"/>
      <c r="CA336" s="1021"/>
      <c r="CB336" s="1021"/>
      <c r="CC336" s="1021"/>
    </row>
    <row r="337" spans="8:81" x14ac:dyDescent="0.25">
      <c r="H337" s="1021"/>
      <c r="I337" s="1021"/>
      <c r="J337" s="1021"/>
      <c r="K337" s="1021"/>
      <c r="L337" s="1021"/>
      <c r="M337" s="1021"/>
      <c r="N337" s="1021"/>
      <c r="O337" s="1021"/>
      <c r="P337" s="1021"/>
      <c r="Q337" s="1021"/>
      <c r="R337" s="1021"/>
      <c r="S337" s="1021"/>
      <c r="T337" s="1021"/>
      <c r="U337" s="1021"/>
      <c r="V337" s="1021"/>
      <c r="W337" s="1021"/>
      <c r="X337" s="1021"/>
      <c r="Y337" s="1021"/>
      <c r="Z337" s="1021"/>
      <c r="AA337" s="1021"/>
      <c r="AB337" s="1021"/>
      <c r="AC337" s="1021"/>
      <c r="AD337" s="1021"/>
      <c r="AE337" s="1021"/>
      <c r="AF337" s="1021"/>
      <c r="AG337" s="1021"/>
      <c r="AH337" s="1021"/>
      <c r="AI337" s="1021"/>
      <c r="AJ337" s="1021"/>
      <c r="AK337" s="1021"/>
      <c r="AL337" s="1021"/>
      <c r="AM337" s="1021"/>
      <c r="AN337" s="1021"/>
      <c r="AO337" s="1021"/>
      <c r="AP337" s="1021"/>
      <c r="AQ337" s="1021"/>
      <c r="AR337" s="1021"/>
      <c r="AS337" s="1021"/>
      <c r="AT337" s="1021"/>
      <c r="AU337" s="1021"/>
      <c r="AV337" s="1021"/>
      <c r="AW337" s="1021"/>
      <c r="AX337" s="1021"/>
      <c r="AY337" s="1021"/>
      <c r="AZ337" s="1021"/>
      <c r="BA337" s="1021"/>
      <c r="BB337" s="1021"/>
      <c r="BC337" s="1021"/>
      <c r="BD337" s="1021"/>
      <c r="BE337" s="1021"/>
      <c r="BF337" s="1021"/>
      <c r="BG337" s="1021"/>
      <c r="BH337" s="1021"/>
      <c r="BI337" s="1021"/>
      <c r="BJ337" s="1021"/>
      <c r="BK337" s="1021"/>
      <c r="BL337" s="1021"/>
      <c r="BM337" s="1021"/>
      <c r="BN337" s="1021"/>
      <c r="BO337" s="1021"/>
      <c r="BP337" s="1021"/>
      <c r="BQ337" s="1021"/>
      <c r="BR337" s="1021"/>
      <c r="BS337" s="1021"/>
      <c r="BT337" s="1021"/>
      <c r="BU337" s="1021"/>
      <c r="BV337" s="1021"/>
      <c r="BW337" s="1021"/>
      <c r="BX337" s="1021"/>
      <c r="BY337" s="1021"/>
      <c r="BZ337" s="1021"/>
      <c r="CA337" s="1021"/>
      <c r="CB337" s="1021"/>
      <c r="CC337" s="1021"/>
    </row>
    <row r="338" spans="8:81" x14ac:dyDescent="0.25">
      <c r="H338" s="1021"/>
      <c r="I338" s="1021"/>
      <c r="J338" s="1021"/>
      <c r="K338" s="1021"/>
      <c r="L338" s="1021"/>
      <c r="M338" s="1021"/>
      <c r="N338" s="1021"/>
      <c r="O338" s="1021"/>
      <c r="P338" s="1021"/>
      <c r="Q338" s="1021"/>
      <c r="R338" s="1021"/>
      <c r="S338" s="1021"/>
      <c r="T338" s="1021"/>
      <c r="U338" s="1021"/>
      <c r="V338" s="1021"/>
      <c r="W338" s="1021"/>
      <c r="X338" s="1021"/>
      <c r="Y338" s="1021"/>
      <c r="Z338" s="1021"/>
      <c r="AA338" s="1021"/>
      <c r="AB338" s="1021"/>
      <c r="AC338" s="1021"/>
      <c r="AD338" s="1021"/>
      <c r="AE338" s="1021"/>
      <c r="AF338" s="1021"/>
      <c r="AG338" s="1021"/>
      <c r="AH338" s="1021"/>
      <c r="AI338" s="1021"/>
      <c r="AJ338" s="1021"/>
      <c r="AK338" s="1021"/>
      <c r="AL338" s="1021"/>
      <c r="AM338" s="1021"/>
      <c r="AN338" s="1021"/>
      <c r="AO338" s="1021"/>
      <c r="AP338" s="1021"/>
      <c r="AQ338" s="1021"/>
      <c r="AR338" s="1021"/>
      <c r="AS338" s="1021"/>
      <c r="AT338" s="1021"/>
      <c r="AU338" s="1021"/>
      <c r="AV338" s="1021"/>
      <c r="AW338" s="1021"/>
      <c r="AX338" s="1021"/>
      <c r="AY338" s="1021"/>
      <c r="AZ338" s="1021"/>
      <c r="BA338" s="1021"/>
      <c r="BB338" s="1021"/>
      <c r="BC338" s="1021"/>
      <c r="BD338" s="1021"/>
      <c r="BE338" s="1021"/>
      <c r="BF338" s="1021"/>
      <c r="BG338" s="1021"/>
      <c r="BH338" s="1021"/>
      <c r="BI338" s="1021"/>
      <c r="BJ338" s="1021"/>
      <c r="BK338" s="1021"/>
      <c r="BL338" s="1021"/>
      <c r="BM338" s="1021"/>
      <c r="BN338" s="1021"/>
      <c r="BO338" s="1021"/>
      <c r="BP338" s="1021"/>
      <c r="BQ338" s="1021"/>
      <c r="BR338" s="1021"/>
      <c r="BS338" s="1021"/>
      <c r="BT338" s="1021"/>
      <c r="BU338" s="1021"/>
      <c r="BV338" s="1021"/>
      <c r="BW338" s="1021"/>
      <c r="BX338" s="1021"/>
      <c r="BY338" s="1021"/>
      <c r="BZ338" s="1021"/>
      <c r="CA338" s="1021"/>
      <c r="CB338" s="1021"/>
      <c r="CC338" s="1021"/>
    </row>
    <row r="339" spans="8:81" x14ac:dyDescent="0.25">
      <c r="H339" s="1021"/>
      <c r="I339" s="1021"/>
      <c r="J339" s="1021"/>
      <c r="K339" s="1021"/>
      <c r="L339" s="1021"/>
      <c r="M339" s="1021"/>
      <c r="N339" s="1021"/>
      <c r="O339" s="1021"/>
      <c r="P339" s="1021"/>
      <c r="Q339" s="1021"/>
      <c r="R339" s="1021"/>
      <c r="S339" s="1021"/>
      <c r="T339" s="1021"/>
      <c r="U339" s="1021"/>
      <c r="V339" s="1021"/>
      <c r="W339" s="1021"/>
      <c r="X339" s="1021"/>
      <c r="Y339" s="1021"/>
      <c r="Z339" s="1021"/>
      <c r="AA339" s="1021"/>
      <c r="AB339" s="1021"/>
      <c r="AC339" s="1021"/>
      <c r="AD339" s="1021"/>
      <c r="AE339" s="1021"/>
      <c r="AF339" s="1021"/>
      <c r="AG339" s="1021"/>
      <c r="AH339" s="1021"/>
      <c r="AI339" s="1021"/>
      <c r="AJ339" s="1021"/>
      <c r="AK339" s="1021"/>
      <c r="AL339" s="1021"/>
      <c r="AM339" s="1021"/>
      <c r="AN339" s="1021"/>
      <c r="AO339" s="1021"/>
      <c r="AP339" s="1021"/>
      <c r="AQ339" s="1021"/>
      <c r="AR339" s="1021"/>
      <c r="AS339" s="1021"/>
      <c r="AT339" s="1021"/>
      <c r="AU339" s="1021"/>
      <c r="AV339" s="1021"/>
      <c r="AW339" s="1021"/>
      <c r="AX339" s="1021"/>
      <c r="AY339" s="1021"/>
      <c r="AZ339" s="1021"/>
      <c r="BA339" s="1021"/>
      <c r="BB339" s="1021"/>
      <c r="BC339" s="1021"/>
      <c r="BD339" s="1021"/>
      <c r="BE339" s="1021"/>
      <c r="BF339" s="1021"/>
      <c r="BG339" s="1021"/>
      <c r="BH339" s="1021"/>
      <c r="BI339" s="1021"/>
      <c r="BJ339" s="1021"/>
      <c r="BK339" s="1021"/>
      <c r="BL339" s="1021"/>
      <c r="BM339" s="1021"/>
      <c r="BN339" s="1021"/>
      <c r="BO339" s="1021"/>
      <c r="BP339" s="1021"/>
      <c r="BQ339" s="1021"/>
      <c r="BR339" s="1021"/>
      <c r="BS339" s="1021"/>
      <c r="BT339" s="1021"/>
      <c r="BU339" s="1021"/>
      <c r="BV339" s="1021"/>
      <c r="BW339" s="1021"/>
      <c r="BX339" s="1021"/>
      <c r="BY339" s="1021"/>
      <c r="BZ339" s="1021"/>
      <c r="CA339" s="1021"/>
      <c r="CB339" s="1021"/>
      <c r="CC339" s="1021"/>
    </row>
    <row r="340" spans="8:81" x14ac:dyDescent="0.25">
      <c r="H340" s="1021"/>
      <c r="I340" s="1021"/>
      <c r="J340" s="1021"/>
      <c r="K340" s="1021"/>
      <c r="L340" s="1021"/>
      <c r="M340" s="1021"/>
      <c r="N340" s="1021"/>
      <c r="O340" s="1021"/>
      <c r="P340" s="1021"/>
      <c r="Q340" s="1021"/>
      <c r="R340" s="1021"/>
      <c r="S340" s="1021"/>
      <c r="T340" s="1021"/>
      <c r="U340" s="1021"/>
      <c r="V340" s="1021"/>
      <c r="W340" s="1021"/>
      <c r="X340" s="1021"/>
      <c r="Y340" s="1021"/>
      <c r="Z340" s="1021"/>
      <c r="AA340" s="1021"/>
      <c r="AB340" s="1021"/>
      <c r="AC340" s="1021"/>
      <c r="AD340" s="1021"/>
      <c r="AE340" s="1021"/>
      <c r="AF340" s="1021"/>
      <c r="AG340" s="1021"/>
      <c r="AH340" s="1021"/>
      <c r="AI340" s="1021"/>
      <c r="AJ340" s="1021"/>
      <c r="AK340" s="1021"/>
      <c r="AL340" s="1021"/>
      <c r="AM340" s="1021"/>
      <c r="AN340" s="1021"/>
      <c r="AO340" s="1021"/>
      <c r="AP340" s="1021"/>
      <c r="AQ340" s="1021"/>
      <c r="AR340" s="1021"/>
      <c r="AS340" s="1021"/>
      <c r="AT340" s="1021"/>
      <c r="AU340" s="1021"/>
      <c r="AV340" s="1021"/>
      <c r="AW340" s="1021"/>
      <c r="AX340" s="1021"/>
      <c r="AY340" s="1021"/>
      <c r="AZ340" s="1021"/>
      <c r="BA340" s="1021"/>
      <c r="BB340" s="1021"/>
      <c r="BC340" s="1021"/>
      <c r="BD340" s="1021"/>
      <c r="BE340" s="1021"/>
      <c r="BF340" s="1021"/>
      <c r="BG340" s="1021"/>
      <c r="BH340" s="1021"/>
      <c r="BI340" s="1021"/>
      <c r="BJ340" s="1021"/>
      <c r="BK340" s="1021"/>
      <c r="BL340" s="1021"/>
      <c r="BM340" s="1021"/>
      <c r="BN340" s="1021"/>
      <c r="BO340" s="1021"/>
      <c r="BP340" s="1021"/>
      <c r="BQ340" s="1021"/>
      <c r="BR340" s="1021"/>
      <c r="BS340" s="1021"/>
      <c r="BT340" s="1021"/>
      <c r="BU340" s="1021"/>
      <c r="BV340" s="1021"/>
      <c r="BW340" s="1021"/>
      <c r="BX340" s="1021"/>
      <c r="BY340" s="1021"/>
      <c r="BZ340" s="1021"/>
      <c r="CA340" s="1021"/>
      <c r="CB340" s="1021"/>
      <c r="CC340" s="1021"/>
    </row>
    <row r="341" spans="8:81" x14ac:dyDescent="0.25">
      <c r="H341" s="1021"/>
      <c r="I341" s="1021"/>
      <c r="J341" s="1021"/>
      <c r="K341" s="1021"/>
      <c r="L341" s="1021"/>
      <c r="M341" s="1021"/>
      <c r="N341" s="1021"/>
      <c r="O341" s="1021"/>
      <c r="P341" s="1021"/>
      <c r="Q341" s="1021"/>
      <c r="R341" s="1021"/>
      <c r="S341" s="1021"/>
      <c r="T341" s="1021"/>
      <c r="U341" s="1021"/>
      <c r="V341" s="1021"/>
      <c r="W341" s="1021"/>
      <c r="X341" s="1021"/>
      <c r="Y341" s="1021"/>
      <c r="Z341" s="1021"/>
      <c r="AA341" s="1021"/>
      <c r="AB341" s="1021"/>
      <c r="AC341" s="1021"/>
      <c r="AD341" s="1021"/>
      <c r="AE341" s="1021"/>
      <c r="AF341" s="1021"/>
      <c r="AG341" s="1021"/>
      <c r="AH341" s="1021"/>
      <c r="AI341" s="1021"/>
      <c r="AJ341" s="1021"/>
      <c r="AK341" s="1021"/>
      <c r="AL341" s="1021"/>
      <c r="AM341" s="1021"/>
      <c r="AN341" s="1021"/>
      <c r="AO341" s="1021"/>
      <c r="AP341" s="1021"/>
      <c r="AQ341" s="1021"/>
      <c r="AR341" s="1021"/>
      <c r="AS341" s="1021"/>
      <c r="AT341" s="1021"/>
      <c r="AU341" s="1021"/>
      <c r="AV341" s="1021"/>
      <c r="AW341" s="1021"/>
      <c r="AX341" s="1021"/>
      <c r="AY341" s="1021"/>
      <c r="AZ341" s="1021"/>
      <c r="BA341" s="1021"/>
      <c r="BB341" s="1021"/>
      <c r="BC341" s="1021"/>
      <c r="BD341" s="1021"/>
      <c r="BE341" s="1021"/>
      <c r="BF341" s="1021"/>
      <c r="BG341" s="1021"/>
      <c r="BH341" s="1021"/>
      <c r="BI341" s="1021"/>
      <c r="BJ341" s="1021"/>
      <c r="BK341" s="1021"/>
      <c r="BL341" s="1021"/>
      <c r="BM341" s="1021"/>
      <c r="BN341" s="1021"/>
      <c r="BO341" s="1021"/>
      <c r="BP341" s="1021"/>
      <c r="BQ341" s="1021"/>
      <c r="BR341" s="1021"/>
      <c r="BS341" s="1021"/>
      <c r="BT341" s="1021"/>
      <c r="BU341" s="1021"/>
      <c r="BV341" s="1021"/>
      <c r="BW341" s="1021"/>
      <c r="BX341" s="1021"/>
      <c r="BY341" s="1021"/>
      <c r="BZ341" s="1021"/>
      <c r="CA341" s="1021"/>
      <c r="CB341" s="1021"/>
      <c r="CC341" s="1021"/>
    </row>
    <row r="342" spans="8:81" x14ac:dyDescent="0.25">
      <c r="H342" s="1021"/>
      <c r="I342" s="1021"/>
      <c r="J342" s="1021"/>
      <c r="K342" s="1021"/>
      <c r="L342" s="1021"/>
      <c r="M342" s="1021"/>
      <c r="N342" s="1021"/>
      <c r="O342" s="1021"/>
      <c r="P342" s="1021"/>
      <c r="Q342" s="1021"/>
      <c r="R342" s="1021"/>
      <c r="S342" s="1021"/>
      <c r="T342" s="1021"/>
      <c r="U342" s="1021"/>
      <c r="V342" s="1021"/>
      <c r="W342" s="1021"/>
      <c r="X342" s="1021"/>
      <c r="Y342" s="1021"/>
      <c r="Z342" s="1021"/>
      <c r="AA342" s="1021"/>
      <c r="AB342" s="1021"/>
      <c r="AC342" s="1021"/>
      <c r="AD342" s="1021"/>
      <c r="AE342" s="1021"/>
      <c r="AF342" s="1021"/>
      <c r="AG342" s="1021"/>
      <c r="AH342" s="1021"/>
      <c r="AI342" s="1021"/>
      <c r="AJ342" s="1021"/>
      <c r="AK342" s="1021"/>
      <c r="AL342" s="1021"/>
      <c r="AM342" s="1021"/>
      <c r="AN342" s="1021"/>
      <c r="AO342" s="1021"/>
      <c r="AP342" s="1021"/>
      <c r="AQ342" s="1021"/>
      <c r="AR342" s="1021"/>
      <c r="AS342" s="1021"/>
      <c r="AT342" s="1021"/>
      <c r="AU342" s="1021"/>
      <c r="AV342" s="1021"/>
      <c r="AW342" s="1021"/>
      <c r="AX342" s="1021"/>
      <c r="AY342" s="1021"/>
      <c r="AZ342" s="1021"/>
      <c r="BA342" s="1021"/>
      <c r="BB342" s="1021"/>
      <c r="BC342" s="1021"/>
      <c r="BD342" s="1021"/>
      <c r="BE342" s="1021"/>
      <c r="BF342" s="1021"/>
      <c r="BG342" s="1021"/>
      <c r="BH342" s="1021"/>
      <c r="BI342" s="1021"/>
      <c r="BJ342" s="1021"/>
      <c r="BK342" s="1021"/>
      <c r="BL342" s="1021"/>
      <c r="BM342" s="1021"/>
      <c r="BN342" s="1021"/>
      <c r="BO342" s="1021"/>
      <c r="BP342" s="1021"/>
      <c r="BQ342" s="1021"/>
      <c r="BR342" s="1021"/>
      <c r="BS342" s="1021"/>
      <c r="BT342" s="1021"/>
      <c r="BU342" s="1021"/>
      <c r="BV342" s="1021"/>
      <c r="BW342" s="1021"/>
      <c r="BX342" s="1021"/>
      <c r="BY342" s="1021"/>
      <c r="BZ342" s="1021"/>
      <c r="CA342" s="1021"/>
      <c r="CB342" s="1021"/>
      <c r="CC342" s="1021"/>
    </row>
    <row r="343" spans="8:81" x14ac:dyDescent="0.25">
      <c r="H343" s="1021"/>
      <c r="I343" s="1021"/>
      <c r="J343" s="1021"/>
      <c r="K343" s="1021"/>
      <c r="L343" s="1021"/>
      <c r="M343" s="1021"/>
      <c r="N343" s="1021"/>
      <c r="O343" s="1021"/>
      <c r="P343" s="1021"/>
      <c r="Q343" s="1021"/>
      <c r="R343" s="1021"/>
      <c r="S343" s="1021"/>
      <c r="T343" s="1021"/>
      <c r="U343" s="1021"/>
      <c r="V343" s="1021"/>
      <c r="W343" s="1021"/>
      <c r="X343" s="1021"/>
      <c r="Y343" s="1021"/>
      <c r="Z343" s="1021"/>
      <c r="AA343" s="1021"/>
      <c r="AB343" s="1021"/>
      <c r="AC343" s="1021"/>
      <c r="AD343" s="1021"/>
      <c r="AE343" s="1021"/>
      <c r="AF343" s="1021"/>
      <c r="AG343" s="1021"/>
      <c r="AH343" s="1021"/>
      <c r="AI343" s="1021"/>
      <c r="AJ343" s="1021"/>
      <c r="AK343" s="1021"/>
      <c r="AL343" s="1021"/>
      <c r="AM343" s="1021"/>
      <c r="AN343" s="1021"/>
      <c r="AO343" s="1021"/>
      <c r="AP343" s="1021"/>
      <c r="AQ343" s="1021"/>
      <c r="AR343" s="1021"/>
      <c r="AS343" s="1021"/>
      <c r="AT343" s="1021"/>
      <c r="AU343" s="1021"/>
      <c r="AV343" s="1021"/>
      <c r="AW343" s="1021"/>
      <c r="AX343" s="1021"/>
      <c r="AY343" s="1021"/>
      <c r="AZ343" s="1021"/>
      <c r="BA343" s="1021"/>
      <c r="BB343" s="1021"/>
      <c r="BC343" s="1021"/>
      <c r="BD343" s="1021"/>
      <c r="BE343" s="1021"/>
      <c r="BF343" s="1021"/>
      <c r="BG343" s="1021"/>
      <c r="BH343" s="1021"/>
      <c r="BI343" s="1021"/>
      <c r="BJ343" s="1021"/>
      <c r="BK343" s="1021"/>
      <c r="BL343" s="1021"/>
      <c r="BM343" s="1021"/>
      <c r="BN343" s="1021"/>
      <c r="BO343" s="1021"/>
      <c r="BP343" s="1021"/>
      <c r="BQ343" s="1021"/>
      <c r="BR343" s="1021"/>
      <c r="BS343" s="1021"/>
      <c r="BT343" s="1021"/>
      <c r="BU343" s="1021"/>
      <c r="BV343" s="1021"/>
      <c r="BW343" s="1021"/>
      <c r="BX343" s="1021"/>
      <c r="BY343" s="1021"/>
      <c r="BZ343" s="1021"/>
      <c r="CA343" s="1021"/>
      <c r="CB343" s="1021"/>
      <c r="CC343" s="1021"/>
    </row>
    <row r="344" spans="8:81" x14ac:dyDescent="0.25">
      <c r="H344" s="1021"/>
      <c r="I344" s="1021"/>
      <c r="J344" s="1021"/>
      <c r="K344" s="1021"/>
      <c r="L344" s="1021"/>
      <c r="M344" s="1021"/>
      <c r="N344" s="1021"/>
      <c r="O344" s="1021"/>
      <c r="P344" s="1021"/>
      <c r="Q344" s="1021"/>
      <c r="R344" s="1021"/>
      <c r="S344" s="1021"/>
      <c r="T344" s="1021"/>
      <c r="U344" s="1021"/>
      <c r="V344" s="1021"/>
      <c r="W344" s="1021"/>
      <c r="X344" s="1021"/>
      <c r="Y344" s="1021"/>
      <c r="Z344" s="1021"/>
      <c r="AA344" s="1021"/>
      <c r="AB344" s="1021"/>
      <c r="AC344" s="1021"/>
      <c r="AD344" s="1021"/>
      <c r="AE344" s="1021"/>
      <c r="AF344" s="1021"/>
      <c r="AG344" s="1021"/>
      <c r="AH344" s="1021"/>
      <c r="AI344" s="1021"/>
      <c r="AJ344" s="1021"/>
      <c r="AK344" s="1021"/>
      <c r="AL344" s="1021"/>
      <c r="AM344" s="1021"/>
      <c r="AN344" s="1021"/>
      <c r="AO344" s="1021"/>
      <c r="AP344" s="1021"/>
      <c r="AQ344" s="1021"/>
      <c r="AR344" s="1021"/>
      <c r="AS344" s="1021"/>
      <c r="AT344" s="1021"/>
      <c r="AU344" s="1021"/>
      <c r="AV344" s="1021"/>
      <c r="AW344" s="1021"/>
      <c r="AX344" s="1021"/>
      <c r="AY344" s="1021"/>
      <c r="AZ344" s="1021"/>
      <c r="BA344" s="1021"/>
      <c r="BB344" s="1021"/>
      <c r="BC344" s="1021"/>
      <c r="BD344" s="1021"/>
      <c r="BE344" s="1021"/>
      <c r="BF344" s="1021"/>
      <c r="BG344" s="1021"/>
      <c r="BH344" s="1021"/>
      <c r="BI344" s="1021"/>
      <c r="BJ344" s="1021"/>
      <c r="BK344" s="1021"/>
      <c r="BL344" s="1021"/>
      <c r="BM344" s="1021"/>
      <c r="BN344" s="1021"/>
      <c r="BO344" s="1021"/>
      <c r="BP344" s="1021"/>
      <c r="BQ344" s="1021"/>
      <c r="BR344" s="1021"/>
      <c r="BS344" s="1021"/>
      <c r="BT344" s="1021"/>
      <c r="BU344" s="1021"/>
      <c r="BV344" s="1021"/>
      <c r="BW344" s="1021"/>
      <c r="BX344" s="1021"/>
      <c r="BY344" s="1021"/>
      <c r="BZ344" s="1021"/>
      <c r="CA344" s="1021"/>
      <c r="CB344" s="1021"/>
      <c r="CC344" s="1021"/>
    </row>
    <row r="345" spans="8:81" x14ac:dyDescent="0.25">
      <c r="H345" s="1021"/>
      <c r="I345" s="1021"/>
      <c r="J345" s="1021"/>
      <c r="K345" s="1021"/>
      <c r="L345" s="1021"/>
      <c r="M345" s="1021"/>
      <c r="N345" s="1021"/>
      <c r="O345" s="1021"/>
      <c r="P345" s="1021"/>
      <c r="Q345" s="1021"/>
      <c r="R345" s="1021"/>
      <c r="S345" s="1021"/>
      <c r="T345" s="1021"/>
      <c r="U345" s="1021"/>
      <c r="V345" s="1021"/>
      <c r="W345" s="1021"/>
      <c r="X345" s="1021"/>
      <c r="Y345" s="1021"/>
      <c r="Z345" s="1021"/>
      <c r="AA345" s="1021"/>
      <c r="AB345" s="1021"/>
      <c r="AC345" s="1021"/>
      <c r="AD345" s="1021"/>
      <c r="AE345" s="1021"/>
      <c r="AF345" s="1021"/>
      <c r="AG345" s="1021"/>
      <c r="AH345" s="1021"/>
      <c r="AI345" s="1021"/>
      <c r="AJ345" s="1021"/>
      <c r="AK345" s="1021"/>
      <c r="AL345" s="1021"/>
      <c r="AM345" s="1021"/>
      <c r="AN345" s="1021"/>
      <c r="AO345" s="1021"/>
      <c r="AP345" s="1021"/>
      <c r="AQ345" s="1021"/>
      <c r="AR345" s="1021"/>
      <c r="AS345" s="1021"/>
      <c r="AT345" s="1021"/>
      <c r="AU345" s="1021"/>
      <c r="AV345" s="1021"/>
      <c r="AW345" s="1021"/>
      <c r="AX345" s="1021"/>
      <c r="AY345" s="1021"/>
      <c r="AZ345" s="1021"/>
      <c r="BA345" s="1021"/>
      <c r="BB345" s="1021"/>
      <c r="BC345" s="1021"/>
      <c r="BD345" s="1021"/>
      <c r="BE345" s="1021"/>
      <c r="BF345" s="1021"/>
      <c r="BG345" s="1021"/>
      <c r="BH345" s="1021"/>
      <c r="BI345" s="1021"/>
      <c r="BJ345" s="1021"/>
      <c r="BK345" s="1021"/>
      <c r="BL345" s="1021"/>
      <c r="BM345" s="1021"/>
      <c r="BN345" s="1021"/>
      <c r="BO345" s="1021"/>
      <c r="BP345" s="1021"/>
      <c r="BQ345" s="1021"/>
      <c r="BR345" s="1021"/>
      <c r="BS345" s="1021"/>
      <c r="BT345" s="1021"/>
      <c r="BU345" s="1021"/>
      <c r="BV345" s="1021"/>
      <c r="BW345" s="1021"/>
      <c r="BX345" s="1021"/>
      <c r="BY345" s="1021"/>
      <c r="BZ345" s="1021"/>
      <c r="CA345" s="1021"/>
      <c r="CB345" s="1021"/>
      <c r="CC345" s="1021"/>
    </row>
    <row r="346" spans="8:81" x14ac:dyDescent="0.25">
      <c r="H346" s="1021"/>
      <c r="I346" s="1021"/>
      <c r="J346" s="1021"/>
      <c r="K346" s="1021"/>
      <c r="L346" s="1021"/>
      <c r="M346" s="1021"/>
      <c r="N346" s="1021"/>
      <c r="O346" s="1021"/>
      <c r="P346" s="1021"/>
      <c r="Q346" s="1021"/>
      <c r="R346" s="1021"/>
      <c r="S346" s="1021"/>
      <c r="T346" s="1021"/>
      <c r="U346" s="1021"/>
      <c r="V346" s="1021"/>
      <c r="W346" s="1021"/>
      <c r="X346" s="1021"/>
      <c r="Y346" s="1021"/>
      <c r="Z346" s="1021"/>
      <c r="AA346" s="1021"/>
      <c r="AB346" s="1021"/>
      <c r="AC346" s="1021"/>
      <c r="AD346" s="1021"/>
      <c r="AE346" s="1021"/>
      <c r="AF346" s="1021"/>
      <c r="AG346" s="1021"/>
      <c r="AH346" s="1021"/>
      <c r="AI346" s="1021"/>
      <c r="AJ346" s="1021"/>
      <c r="AK346" s="1021"/>
      <c r="AL346" s="1021"/>
      <c r="AM346" s="1021"/>
      <c r="AN346" s="1021"/>
      <c r="AO346" s="1021"/>
      <c r="AP346" s="1021"/>
      <c r="AQ346" s="1021"/>
      <c r="AR346" s="1021"/>
      <c r="AS346" s="1021"/>
      <c r="AT346" s="1021"/>
      <c r="AU346" s="1021"/>
      <c r="AV346" s="1021"/>
      <c r="AW346" s="1021"/>
      <c r="AX346" s="1021"/>
      <c r="AY346" s="1021"/>
      <c r="AZ346" s="1021"/>
      <c r="BA346" s="1021"/>
      <c r="BB346" s="1021"/>
      <c r="BC346" s="1021"/>
      <c r="BD346" s="1021"/>
      <c r="BE346" s="1021"/>
      <c r="BF346" s="1021"/>
      <c r="BG346" s="1021"/>
      <c r="BH346" s="1021"/>
      <c r="BI346" s="1021"/>
      <c r="BJ346" s="1021"/>
      <c r="BK346" s="1021"/>
      <c r="BL346" s="1021"/>
      <c r="BM346" s="1021"/>
      <c r="BN346" s="1021"/>
      <c r="BO346" s="1021"/>
      <c r="BP346" s="1021"/>
      <c r="BQ346" s="1021"/>
      <c r="BR346" s="1021"/>
      <c r="BS346" s="1021"/>
      <c r="BT346" s="1021"/>
      <c r="BU346" s="1021"/>
      <c r="BV346" s="1021"/>
      <c r="BW346" s="1021"/>
      <c r="BX346" s="1021"/>
      <c r="BY346" s="1021"/>
      <c r="BZ346" s="1021"/>
      <c r="CA346" s="1021"/>
      <c r="CB346" s="1021"/>
      <c r="CC346" s="1021"/>
    </row>
    <row r="347" spans="8:81" x14ac:dyDescent="0.25">
      <c r="H347" s="1021"/>
      <c r="I347" s="1021"/>
      <c r="J347" s="1021"/>
      <c r="K347" s="1021"/>
      <c r="L347" s="1021"/>
      <c r="M347" s="1021"/>
      <c r="N347" s="1021"/>
      <c r="O347" s="1021"/>
      <c r="P347" s="1021"/>
      <c r="Q347" s="1021"/>
      <c r="R347" s="1021"/>
      <c r="S347" s="1021"/>
      <c r="T347" s="1021"/>
      <c r="U347" s="1021"/>
      <c r="V347" s="1021"/>
      <c r="W347" s="1021"/>
      <c r="X347" s="1021"/>
      <c r="Y347" s="1021"/>
      <c r="Z347" s="1021"/>
      <c r="AA347" s="1021"/>
      <c r="AB347" s="1021"/>
      <c r="AC347" s="1021"/>
      <c r="AD347" s="1021"/>
      <c r="AE347" s="1021"/>
      <c r="AF347" s="1021"/>
      <c r="AG347" s="1021"/>
      <c r="AH347" s="1021"/>
      <c r="AI347" s="1021"/>
      <c r="AJ347" s="1021"/>
      <c r="AK347" s="1021"/>
      <c r="AL347" s="1021"/>
      <c r="AM347" s="1021"/>
      <c r="AN347" s="1021"/>
      <c r="AO347" s="1021"/>
      <c r="AP347" s="1021"/>
      <c r="AQ347" s="1021"/>
      <c r="AR347" s="1021"/>
      <c r="AS347" s="1021"/>
      <c r="AT347" s="1021"/>
      <c r="AU347" s="1021"/>
      <c r="AV347" s="1021"/>
      <c r="AW347" s="1021"/>
      <c r="AX347" s="1021"/>
      <c r="AY347" s="1021"/>
      <c r="AZ347" s="1021"/>
      <c r="BA347" s="1021"/>
      <c r="BB347" s="1021"/>
      <c r="BC347" s="1021"/>
      <c r="BD347" s="1021"/>
      <c r="BE347" s="1021"/>
      <c r="BF347" s="1021"/>
      <c r="BG347" s="1021"/>
      <c r="BH347" s="1021"/>
      <c r="BI347" s="1021"/>
      <c r="BJ347" s="1021"/>
      <c r="BK347" s="1021"/>
      <c r="BL347" s="1021"/>
      <c r="BM347" s="1021"/>
      <c r="BN347" s="1021"/>
      <c r="BO347" s="1021"/>
      <c r="BP347" s="1021"/>
      <c r="BQ347" s="1021"/>
      <c r="BR347" s="1021"/>
      <c r="BS347" s="1021"/>
      <c r="BT347" s="1021"/>
      <c r="BU347" s="1021"/>
      <c r="BV347" s="1021"/>
      <c r="BW347" s="1021"/>
      <c r="BX347" s="1021"/>
      <c r="BY347" s="1021"/>
      <c r="BZ347" s="1021"/>
      <c r="CA347" s="1021"/>
      <c r="CB347" s="1021"/>
      <c r="CC347" s="1021"/>
    </row>
    <row r="348" spans="8:81" x14ac:dyDescent="0.25">
      <c r="H348" s="1021"/>
      <c r="I348" s="1021"/>
      <c r="J348" s="1021"/>
      <c r="K348" s="1021"/>
      <c r="L348" s="1021"/>
      <c r="M348" s="1021"/>
      <c r="N348" s="1021"/>
      <c r="O348" s="1021"/>
      <c r="P348" s="1021"/>
      <c r="Q348" s="1021"/>
      <c r="R348" s="1021"/>
      <c r="S348" s="1021"/>
      <c r="T348" s="1021"/>
      <c r="U348" s="1021"/>
      <c r="V348" s="1021"/>
      <c r="W348" s="1021"/>
      <c r="X348" s="1021"/>
      <c r="Y348" s="1021"/>
      <c r="Z348" s="1021"/>
      <c r="AA348" s="1021"/>
      <c r="AB348" s="1021"/>
      <c r="AC348" s="1021"/>
      <c r="AD348" s="1021"/>
      <c r="AE348" s="1021"/>
      <c r="AF348" s="1021"/>
      <c r="AG348" s="1021"/>
      <c r="AH348" s="1021"/>
      <c r="AI348" s="1021"/>
      <c r="AJ348" s="1021"/>
      <c r="AK348" s="1021"/>
      <c r="AL348" s="1021"/>
      <c r="AM348" s="1021"/>
      <c r="AN348" s="1021"/>
      <c r="AO348" s="1021"/>
      <c r="AP348" s="1021"/>
      <c r="AQ348" s="1021"/>
      <c r="AR348" s="1021"/>
      <c r="AS348" s="1021"/>
      <c r="AT348" s="1021"/>
      <c r="AU348" s="1021"/>
      <c r="AV348" s="1021"/>
      <c r="AW348" s="1021"/>
      <c r="AX348" s="1021"/>
      <c r="AY348" s="1021"/>
      <c r="AZ348" s="1021"/>
      <c r="BA348" s="1021"/>
      <c r="BB348" s="1021"/>
      <c r="BC348" s="1021"/>
      <c r="BD348" s="1021"/>
      <c r="BE348" s="1021"/>
      <c r="BF348" s="1021"/>
      <c r="BG348" s="1021"/>
      <c r="BH348" s="1021"/>
      <c r="BI348" s="1021"/>
      <c r="BJ348" s="1021"/>
      <c r="BK348" s="1021"/>
      <c r="BL348" s="1021"/>
      <c r="BM348" s="1021"/>
      <c r="BN348" s="1021"/>
      <c r="BO348" s="1021"/>
      <c r="BP348" s="1021"/>
      <c r="BQ348" s="1021"/>
      <c r="BR348" s="1021"/>
      <c r="BS348" s="1021"/>
      <c r="BT348" s="1021"/>
      <c r="BU348" s="1021"/>
      <c r="BV348" s="1021"/>
      <c r="BW348" s="1021"/>
      <c r="BX348" s="1021"/>
      <c r="BY348" s="1021"/>
      <c r="BZ348" s="1021"/>
      <c r="CA348" s="1021"/>
      <c r="CB348" s="1021"/>
      <c r="CC348" s="1021"/>
    </row>
    <row r="349" spans="8:81" x14ac:dyDescent="0.25">
      <c r="H349" s="1021"/>
      <c r="I349" s="1021"/>
      <c r="J349" s="1021"/>
      <c r="K349" s="1021"/>
      <c r="L349" s="1021"/>
      <c r="M349" s="1021"/>
      <c r="N349" s="1021"/>
      <c r="O349" s="1021"/>
      <c r="P349" s="1021"/>
      <c r="Q349" s="1021"/>
      <c r="R349" s="1021"/>
      <c r="S349" s="1021"/>
      <c r="T349" s="1021"/>
      <c r="U349" s="1021"/>
      <c r="V349" s="1021"/>
      <c r="W349" s="1021"/>
      <c r="X349" s="1021"/>
      <c r="Y349" s="1021"/>
      <c r="Z349" s="1021"/>
      <c r="AA349" s="1021"/>
      <c r="AB349" s="1021"/>
      <c r="AC349" s="1021"/>
      <c r="AD349" s="1021"/>
      <c r="AE349" s="1021"/>
      <c r="AF349" s="1021"/>
      <c r="AG349" s="1021"/>
      <c r="AH349" s="1021"/>
      <c r="AI349" s="1021"/>
      <c r="AJ349" s="1021"/>
      <c r="AK349" s="1021"/>
      <c r="AL349" s="1021"/>
      <c r="AM349" s="1021"/>
      <c r="AN349" s="1021"/>
      <c r="AO349" s="1021"/>
      <c r="AP349" s="1021"/>
      <c r="AQ349" s="1021"/>
      <c r="AR349" s="1021"/>
      <c r="AS349" s="1021"/>
      <c r="AT349" s="1021"/>
      <c r="AU349" s="1021"/>
      <c r="AV349" s="1021"/>
      <c r="AW349" s="1021"/>
      <c r="AX349" s="1021"/>
      <c r="AY349" s="1021"/>
      <c r="AZ349" s="1021"/>
      <c r="BA349" s="1021"/>
      <c r="BB349" s="1021"/>
      <c r="BC349" s="1021"/>
      <c r="BD349" s="1021"/>
      <c r="BE349" s="1021"/>
      <c r="BF349" s="1021"/>
      <c r="BG349" s="1021"/>
      <c r="BH349" s="1021"/>
      <c r="BI349" s="1021"/>
      <c r="BJ349" s="1021"/>
      <c r="BK349" s="1021"/>
      <c r="BL349" s="1021"/>
      <c r="BM349" s="1021"/>
      <c r="BN349" s="1021"/>
      <c r="BO349" s="1021"/>
      <c r="BP349" s="1021"/>
      <c r="BQ349" s="1021"/>
      <c r="BR349" s="1021"/>
      <c r="BS349" s="1021"/>
      <c r="BT349" s="1021"/>
      <c r="BU349" s="1021"/>
      <c r="BV349" s="1021"/>
      <c r="BW349" s="1021"/>
      <c r="BX349" s="1021"/>
      <c r="BY349" s="1021"/>
      <c r="BZ349" s="1021"/>
      <c r="CA349" s="1021"/>
      <c r="CB349" s="1021"/>
      <c r="CC349" s="1021"/>
    </row>
    <row r="350" spans="8:81" x14ac:dyDescent="0.25">
      <c r="H350" s="1021"/>
      <c r="I350" s="1021"/>
      <c r="J350" s="1021"/>
      <c r="K350" s="1021"/>
      <c r="L350" s="1021"/>
      <c r="M350" s="1021"/>
      <c r="N350" s="1021"/>
      <c r="O350" s="1021"/>
      <c r="P350" s="1021"/>
      <c r="Q350" s="1021"/>
      <c r="R350" s="1021"/>
      <c r="S350" s="1021"/>
      <c r="T350" s="1021"/>
      <c r="U350" s="1021"/>
      <c r="V350" s="1021"/>
      <c r="W350" s="1021"/>
      <c r="X350" s="1021"/>
      <c r="Y350" s="1021"/>
      <c r="Z350" s="1021"/>
      <c r="AA350" s="1021"/>
      <c r="AB350" s="1021"/>
      <c r="AC350" s="1021"/>
      <c r="AD350" s="1021"/>
      <c r="AE350" s="1021"/>
      <c r="AF350" s="1021"/>
      <c r="AG350" s="1021"/>
      <c r="AH350" s="1021"/>
      <c r="AI350" s="1021"/>
      <c r="AJ350" s="1021"/>
      <c r="AK350" s="1021"/>
      <c r="AL350" s="1021"/>
      <c r="AM350" s="1021"/>
      <c r="AN350" s="1021"/>
      <c r="AO350" s="1021"/>
      <c r="AP350" s="1021"/>
      <c r="AQ350" s="1021"/>
      <c r="AR350" s="1021"/>
      <c r="AS350" s="1021"/>
      <c r="AT350" s="1021"/>
      <c r="AU350" s="1021"/>
      <c r="AV350" s="1021"/>
      <c r="AW350" s="1021"/>
      <c r="AX350" s="1021"/>
      <c r="AY350" s="1021"/>
      <c r="AZ350" s="1021"/>
      <c r="BA350" s="1021"/>
      <c r="BB350" s="1021"/>
      <c r="BC350" s="1021"/>
      <c r="BD350" s="1021"/>
      <c r="BE350" s="1021"/>
      <c r="BF350" s="1021"/>
      <c r="BG350" s="1021"/>
      <c r="BH350" s="1021"/>
      <c r="BI350" s="1021"/>
      <c r="BJ350" s="1021"/>
      <c r="BK350" s="1021"/>
      <c r="BL350" s="1021"/>
      <c r="BM350" s="1021"/>
      <c r="BN350" s="1021"/>
      <c r="BO350" s="1021"/>
      <c r="BP350" s="1021"/>
      <c r="BQ350" s="1021"/>
      <c r="BR350" s="1021"/>
      <c r="BS350" s="1021"/>
      <c r="BT350" s="1021"/>
      <c r="BU350" s="1021"/>
      <c r="BV350" s="1021"/>
      <c r="BW350" s="1021"/>
      <c r="BX350" s="1021"/>
      <c r="BY350" s="1021"/>
      <c r="BZ350" s="1021"/>
      <c r="CA350" s="1021"/>
      <c r="CB350" s="1021"/>
      <c r="CC350" s="1021"/>
    </row>
    <row r="351" spans="8:81" x14ac:dyDescent="0.25">
      <c r="H351" s="1021"/>
      <c r="I351" s="1021"/>
      <c r="J351" s="1021"/>
      <c r="K351" s="1021"/>
      <c r="L351" s="1021"/>
      <c r="M351" s="1021"/>
      <c r="N351" s="1021"/>
      <c r="O351" s="1021"/>
      <c r="P351" s="1021"/>
      <c r="Q351" s="1021"/>
      <c r="R351" s="1021"/>
      <c r="S351" s="1021"/>
      <c r="T351" s="1021"/>
      <c r="U351" s="1021"/>
      <c r="V351" s="1021"/>
      <c r="W351" s="1021"/>
      <c r="X351" s="1021"/>
      <c r="Y351" s="1021"/>
      <c r="Z351" s="1021"/>
      <c r="AA351" s="1021"/>
      <c r="AB351" s="1021"/>
      <c r="AC351" s="1021"/>
      <c r="AD351" s="1021"/>
      <c r="AE351" s="1021"/>
      <c r="AF351" s="1021"/>
      <c r="AG351" s="1021"/>
      <c r="AH351" s="1021"/>
      <c r="AI351" s="1021"/>
      <c r="AJ351" s="1021"/>
      <c r="AK351" s="1021"/>
      <c r="AL351" s="1021"/>
      <c r="AM351" s="1021"/>
      <c r="AN351" s="1021"/>
      <c r="AO351" s="1021"/>
      <c r="AP351" s="1021"/>
      <c r="AQ351" s="1021"/>
      <c r="AR351" s="1021"/>
      <c r="AS351" s="1021"/>
      <c r="AT351" s="1021"/>
      <c r="AU351" s="1021"/>
      <c r="AV351" s="1021"/>
      <c r="AW351" s="1021"/>
      <c r="AX351" s="1021"/>
      <c r="AY351" s="1021"/>
      <c r="AZ351" s="1021"/>
      <c r="BA351" s="1021"/>
      <c r="BB351" s="1021"/>
      <c r="BC351" s="1021"/>
      <c r="BD351" s="1021"/>
      <c r="BE351" s="1021"/>
      <c r="BF351" s="1021"/>
      <c r="BG351" s="1021"/>
      <c r="BH351" s="1021"/>
      <c r="BI351" s="1021"/>
      <c r="BJ351" s="1021"/>
      <c r="BK351" s="1021"/>
      <c r="BL351" s="1021"/>
      <c r="BM351" s="1021"/>
      <c r="BN351" s="1021"/>
      <c r="BO351" s="1021"/>
      <c r="BP351" s="1021"/>
      <c r="BQ351" s="1021"/>
      <c r="BR351" s="1021"/>
      <c r="BS351" s="1021"/>
      <c r="BT351" s="1021"/>
      <c r="BU351" s="1021"/>
      <c r="BV351" s="1021"/>
      <c r="BW351" s="1021"/>
      <c r="BX351" s="1021"/>
      <c r="BY351" s="1021"/>
      <c r="BZ351" s="1021"/>
      <c r="CA351" s="1021"/>
      <c r="CB351" s="1021"/>
      <c r="CC351" s="1021"/>
    </row>
    <row r="352" spans="8:81" x14ac:dyDescent="0.25">
      <c r="H352" s="1021"/>
      <c r="I352" s="1021"/>
      <c r="J352" s="1021"/>
      <c r="K352" s="1021"/>
      <c r="L352" s="1021"/>
      <c r="M352" s="1021"/>
      <c r="N352" s="1021"/>
      <c r="O352" s="1021"/>
      <c r="P352" s="1021"/>
      <c r="Q352" s="1021"/>
      <c r="R352" s="1021"/>
      <c r="S352" s="1021"/>
      <c r="T352" s="1021"/>
      <c r="U352" s="1021"/>
      <c r="V352" s="1021"/>
      <c r="W352" s="1021"/>
      <c r="X352" s="1021"/>
      <c r="Y352" s="1021"/>
      <c r="Z352" s="1021"/>
      <c r="AA352" s="1021"/>
      <c r="AB352" s="1021"/>
      <c r="AC352" s="1021"/>
      <c r="AD352" s="1021"/>
      <c r="AE352" s="1021"/>
      <c r="AF352" s="1021"/>
      <c r="AG352" s="1021"/>
      <c r="AH352" s="1021"/>
      <c r="AI352" s="1021"/>
      <c r="AJ352" s="1021"/>
      <c r="AK352" s="1021"/>
      <c r="AL352" s="1021"/>
      <c r="AM352" s="1021"/>
      <c r="AN352" s="1021"/>
      <c r="AO352" s="1021"/>
      <c r="AP352" s="1021"/>
      <c r="AQ352" s="1021"/>
      <c r="AR352" s="1021"/>
      <c r="AS352" s="1021"/>
      <c r="AT352" s="1021"/>
      <c r="AU352" s="1021"/>
      <c r="AV352" s="1021"/>
      <c r="AW352" s="1021"/>
      <c r="AX352" s="1021"/>
      <c r="AY352" s="1021"/>
      <c r="AZ352" s="1021"/>
      <c r="BA352" s="1021"/>
      <c r="BB352" s="1021"/>
      <c r="BC352" s="1021"/>
      <c r="BD352" s="1021"/>
      <c r="BE352" s="1021"/>
      <c r="BF352" s="1021"/>
      <c r="BG352" s="1021"/>
      <c r="BH352" s="1021"/>
      <c r="BI352" s="1021"/>
      <c r="BJ352" s="1021"/>
      <c r="BK352" s="1021"/>
      <c r="BL352" s="1021"/>
      <c r="BM352" s="1021"/>
      <c r="BN352" s="1021"/>
      <c r="BO352" s="1021"/>
      <c r="BP352" s="1021"/>
      <c r="BQ352" s="1021"/>
      <c r="BR352" s="1021"/>
      <c r="BS352" s="1021"/>
      <c r="BT352" s="1021"/>
      <c r="BU352" s="1021"/>
      <c r="BV352" s="1021"/>
      <c r="BW352" s="1021"/>
      <c r="BX352" s="1021"/>
      <c r="BY352" s="1021"/>
      <c r="BZ352" s="1021"/>
      <c r="CA352" s="1021"/>
      <c r="CB352" s="1021"/>
      <c r="CC352" s="1021"/>
    </row>
    <row r="353" spans="8:81" x14ac:dyDescent="0.25">
      <c r="H353" s="1021"/>
      <c r="I353" s="1021"/>
      <c r="J353" s="1021"/>
      <c r="K353" s="1021"/>
      <c r="L353" s="1021"/>
      <c r="M353" s="1021"/>
      <c r="N353" s="1021"/>
      <c r="O353" s="1021"/>
      <c r="P353" s="1021"/>
      <c r="Q353" s="1021"/>
      <c r="R353" s="1021"/>
      <c r="S353" s="1021"/>
      <c r="T353" s="1021"/>
      <c r="U353" s="1021"/>
      <c r="V353" s="1021"/>
      <c r="W353" s="1021"/>
      <c r="X353" s="1021"/>
      <c r="Y353" s="1021"/>
      <c r="Z353" s="1021"/>
      <c r="AA353" s="1021"/>
      <c r="AB353" s="1021"/>
      <c r="AC353" s="1021"/>
      <c r="AD353" s="1021"/>
      <c r="AE353" s="1021"/>
      <c r="AF353" s="1021"/>
      <c r="AG353" s="1021"/>
      <c r="AH353" s="1021"/>
      <c r="AI353" s="1021"/>
      <c r="AJ353" s="1021"/>
      <c r="AK353" s="1021"/>
      <c r="AL353" s="1021"/>
      <c r="AM353" s="1021"/>
      <c r="AN353" s="1021"/>
      <c r="AO353" s="1021"/>
      <c r="AP353" s="1021"/>
      <c r="AQ353" s="1021"/>
      <c r="AR353" s="1021"/>
      <c r="AS353" s="1021"/>
      <c r="AT353" s="1021"/>
      <c r="AU353" s="1021"/>
      <c r="AV353" s="1021"/>
      <c r="AW353" s="1021"/>
      <c r="AX353" s="1021"/>
      <c r="AY353" s="1021"/>
      <c r="AZ353" s="1021"/>
      <c r="BA353" s="1021"/>
      <c r="BB353" s="1021"/>
      <c r="BC353" s="1021"/>
      <c r="BD353" s="1021"/>
      <c r="BE353" s="1021"/>
      <c r="BF353" s="1021"/>
      <c r="BG353" s="1021"/>
      <c r="BH353" s="1021"/>
      <c r="BI353" s="1021"/>
      <c r="BJ353" s="1021"/>
      <c r="BK353" s="1021"/>
      <c r="BL353" s="1021"/>
      <c r="BM353" s="1021"/>
      <c r="BN353" s="1021"/>
      <c r="BO353" s="1021"/>
      <c r="BP353" s="1021"/>
      <c r="BQ353" s="1021"/>
      <c r="BR353" s="1021"/>
      <c r="BS353" s="1021"/>
      <c r="BT353" s="1021"/>
      <c r="BU353" s="1021"/>
      <c r="BV353" s="1021"/>
      <c r="BW353" s="1021"/>
      <c r="BX353" s="1021"/>
      <c r="BY353" s="1021"/>
      <c r="BZ353" s="1021"/>
      <c r="CA353" s="1021"/>
      <c r="CB353" s="1021"/>
      <c r="CC353" s="1021"/>
    </row>
    <row r="354" spans="8:81" x14ac:dyDescent="0.25">
      <c r="H354" s="1021"/>
      <c r="I354" s="1021"/>
      <c r="J354" s="1021"/>
      <c r="K354" s="1021"/>
      <c r="L354" s="1021"/>
      <c r="M354" s="1021"/>
      <c r="N354" s="1021"/>
      <c r="O354" s="1021"/>
      <c r="P354" s="1021"/>
      <c r="Q354" s="1021"/>
      <c r="R354" s="1021"/>
      <c r="S354" s="1021"/>
      <c r="T354" s="1021"/>
      <c r="U354" s="1021"/>
      <c r="V354" s="1021"/>
      <c r="W354" s="1021"/>
      <c r="X354" s="1021"/>
      <c r="Y354" s="1021"/>
      <c r="Z354" s="1021"/>
      <c r="AA354" s="1021"/>
      <c r="AB354" s="1021"/>
      <c r="AC354" s="1021"/>
      <c r="AD354" s="1021"/>
      <c r="AE354" s="1021"/>
      <c r="AF354" s="1021"/>
      <c r="AG354" s="1021"/>
      <c r="AH354" s="1021"/>
      <c r="AI354" s="1021"/>
      <c r="AJ354" s="1021"/>
      <c r="AK354" s="1021"/>
      <c r="AL354" s="1021"/>
      <c r="AM354" s="1021"/>
      <c r="AN354" s="1021"/>
      <c r="AO354" s="1021"/>
      <c r="AP354" s="1021"/>
      <c r="AQ354" s="1021"/>
      <c r="AR354" s="1021"/>
      <c r="AS354" s="1021"/>
      <c r="AT354" s="1021"/>
      <c r="AU354" s="1021"/>
      <c r="AV354" s="1021"/>
      <c r="AW354" s="1021"/>
      <c r="AX354" s="1021"/>
      <c r="AY354" s="1021"/>
      <c r="AZ354" s="1021"/>
      <c r="BA354" s="1021"/>
      <c r="BB354" s="1021"/>
      <c r="BC354" s="1021"/>
      <c r="BD354" s="1021"/>
      <c r="BE354" s="1021"/>
      <c r="BF354" s="1021"/>
      <c r="BG354" s="1021"/>
      <c r="BH354" s="1021"/>
      <c r="BI354" s="1021"/>
      <c r="BJ354" s="1021"/>
      <c r="BK354" s="1021"/>
      <c r="BL354" s="1021"/>
      <c r="BM354" s="1021"/>
      <c r="BN354" s="1021"/>
      <c r="BO354" s="1021"/>
      <c r="BP354" s="1021"/>
      <c r="BQ354" s="1021"/>
      <c r="BR354" s="1021"/>
      <c r="BS354" s="1021"/>
      <c r="BT354" s="1021"/>
      <c r="BU354" s="1021"/>
      <c r="BV354" s="1021"/>
      <c r="BW354" s="1021"/>
      <c r="BX354" s="1021"/>
      <c r="BY354" s="1021"/>
      <c r="BZ354" s="1021"/>
      <c r="CA354" s="1021"/>
      <c r="CB354" s="1021"/>
      <c r="CC354" s="1021"/>
    </row>
    <row r="355" spans="8:81" x14ac:dyDescent="0.25">
      <c r="H355" s="1021"/>
      <c r="I355" s="1021"/>
      <c r="J355" s="1021"/>
      <c r="K355" s="1021"/>
      <c r="L355" s="1021"/>
      <c r="M355" s="1021"/>
      <c r="N355" s="1021"/>
      <c r="O355" s="1021"/>
      <c r="P355" s="1021"/>
      <c r="Q355" s="1021"/>
      <c r="R355" s="1021"/>
      <c r="S355" s="1021"/>
      <c r="T355" s="1021"/>
      <c r="U355" s="1021"/>
      <c r="V355" s="1021"/>
      <c r="W355" s="1021"/>
      <c r="X355" s="1021"/>
      <c r="Y355" s="1021"/>
      <c r="Z355" s="1021"/>
      <c r="AA355" s="1021"/>
      <c r="AB355" s="1021"/>
      <c r="AC355" s="1021"/>
      <c r="AD355" s="1021"/>
      <c r="AE355" s="1021"/>
      <c r="AF355" s="1021"/>
      <c r="AG355" s="1021"/>
      <c r="AH355" s="1021"/>
      <c r="AI355" s="1021"/>
      <c r="AJ355" s="1021"/>
      <c r="AK355" s="1021"/>
      <c r="AL355" s="1021"/>
      <c r="AM355" s="1021"/>
      <c r="AN355" s="1021"/>
      <c r="AO355" s="1021"/>
      <c r="AP355" s="1021"/>
      <c r="AQ355" s="1021"/>
      <c r="AR355" s="1021"/>
      <c r="AS355" s="1021"/>
      <c r="AT355" s="1021"/>
      <c r="AU355" s="1021"/>
      <c r="AV355" s="1021"/>
      <c r="AW355" s="1021"/>
      <c r="AX355" s="1021"/>
      <c r="AY355" s="1021"/>
      <c r="AZ355" s="1021"/>
      <c r="BA355" s="1021"/>
      <c r="BB355" s="1021"/>
      <c r="BC355" s="1021"/>
      <c r="BD355" s="1021"/>
      <c r="BE355" s="1021"/>
      <c r="BF355" s="1021"/>
      <c r="BG355" s="1021"/>
      <c r="BH355" s="1021"/>
      <c r="BI355" s="1021"/>
      <c r="BJ355" s="1021"/>
      <c r="BK355" s="1021"/>
      <c r="BL355" s="1021"/>
      <c r="BM355" s="1021"/>
      <c r="BN355" s="1021"/>
      <c r="BO355" s="1021"/>
      <c r="BP355" s="1021"/>
      <c r="BQ355" s="1021"/>
      <c r="BR355" s="1021"/>
      <c r="BS355" s="1021"/>
      <c r="BT355" s="1021"/>
      <c r="BU355" s="1021"/>
      <c r="BV355" s="1021"/>
      <c r="BW355" s="1021"/>
      <c r="BX355" s="1021"/>
      <c r="BY355" s="1021"/>
      <c r="BZ355" s="1021"/>
      <c r="CA355" s="1021"/>
      <c r="CB355" s="1021"/>
      <c r="CC355" s="1021"/>
    </row>
    <row r="356" spans="8:81" x14ac:dyDescent="0.25">
      <c r="H356" s="1021"/>
      <c r="I356" s="1021"/>
      <c r="J356" s="1021"/>
      <c r="K356" s="1021"/>
      <c r="L356" s="1021"/>
      <c r="M356" s="1021"/>
      <c r="N356" s="1021"/>
      <c r="O356" s="1021"/>
      <c r="P356" s="1021"/>
      <c r="Q356" s="1021"/>
      <c r="R356" s="1021"/>
      <c r="S356" s="1021"/>
      <c r="T356" s="1021"/>
      <c r="U356" s="1021"/>
      <c r="V356" s="1021"/>
      <c r="W356" s="1021"/>
      <c r="X356" s="1021"/>
      <c r="Y356" s="1021"/>
      <c r="Z356" s="1021"/>
      <c r="AA356" s="1021"/>
      <c r="AB356" s="1021"/>
      <c r="AC356" s="1021"/>
      <c r="AD356" s="1021"/>
      <c r="AE356" s="1021"/>
      <c r="AF356" s="1021"/>
      <c r="AG356" s="1021"/>
      <c r="AH356" s="1021"/>
      <c r="AI356" s="1021"/>
      <c r="AJ356" s="1021"/>
      <c r="AK356" s="1021"/>
      <c r="AL356" s="1021"/>
      <c r="AM356" s="1021"/>
      <c r="AN356" s="1021"/>
      <c r="AO356" s="1021"/>
      <c r="AP356" s="1021"/>
      <c r="AQ356" s="1021"/>
      <c r="AR356" s="1021"/>
      <c r="AS356" s="1021"/>
      <c r="AT356" s="1021"/>
      <c r="AU356" s="1021"/>
      <c r="AV356" s="1021"/>
      <c r="AW356" s="1021"/>
      <c r="AX356" s="1021"/>
      <c r="AY356" s="1021"/>
      <c r="AZ356" s="1021"/>
      <c r="BA356" s="1021"/>
      <c r="BB356" s="1021"/>
      <c r="BC356" s="1021"/>
      <c r="BD356" s="1021"/>
      <c r="BE356" s="1021"/>
      <c r="BF356" s="1021"/>
      <c r="BG356" s="1021"/>
      <c r="BH356" s="1021"/>
      <c r="BI356" s="1021"/>
      <c r="BJ356" s="1021"/>
      <c r="BK356" s="1021"/>
      <c r="BL356" s="1021"/>
      <c r="BM356" s="1021"/>
      <c r="BN356" s="1021"/>
      <c r="BO356" s="1021"/>
      <c r="BP356" s="1021"/>
      <c r="BQ356" s="1021"/>
      <c r="BR356" s="1021"/>
      <c r="BS356" s="1021"/>
      <c r="BT356" s="1021"/>
      <c r="BU356" s="1021"/>
      <c r="BV356" s="1021"/>
      <c r="BW356" s="1021"/>
      <c r="BX356" s="1021"/>
      <c r="BY356" s="1021"/>
      <c r="BZ356" s="1021"/>
      <c r="CA356" s="1021"/>
      <c r="CB356" s="1021"/>
      <c r="CC356" s="1021"/>
    </row>
    <row r="357" spans="8:81" x14ac:dyDescent="0.25">
      <c r="H357" s="1021"/>
      <c r="I357" s="1021"/>
      <c r="J357" s="1021"/>
      <c r="K357" s="1021"/>
      <c r="L357" s="1021"/>
      <c r="M357" s="1021"/>
      <c r="N357" s="1021"/>
      <c r="O357" s="1021"/>
      <c r="P357" s="1021"/>
      <c r="Q357" s="1021"/>
      <c r="R357" s="1021"/>
      <c r="S357" s="1021"/>
      <c r="T357" s="1021"/>
      <c r="U357" s="1021"/>
      <c r="V357" s="1021"/>
      <c r="W357" s="1021"/>
      <c r="X357" s="1021"/>
      <c r="Y357" s="1021"/>
      <c r="Z357" s="1021"/>
      <c r="AA357" s="1021"/>
      <c r="AB357" s="1021"/>
      <c r="AC357" s="1021"/>
      <c r="AD357" s="1021"/>
      <c r="AE357" s="1021"/>
      <c r="AF357" s="1021"/>
      <c r="AG357" s="1021"/>
      <c r="AH357" s="1021"/>
      <c r="AI357" s="1021"/>
      <c r="AJ357" s="1021"/>
      <c r="AK357" s="1021"/>
      <c r="AL357" s="1021"/>
      <c r="AM357" s="1021"/>
      <c r="AN357" s="1021"/>
      <c r="AO357" s="1021"/>
      <c r="AP357" s="1021"/>
      <c r="AQ357" s="1021"/>
      <c r="AR357" s="1021"/>
      <c r="AS357" s="1021"/>
      <c r="AT357" s="1021"/>
      <c r="AU357" s="1021"/>
      <c r="AV357" s="1021"/>
      <c r="AW357" s="1021"/>
      <c r="AX357" s="1021"/>
      <c r="AY357" s="1021"/>
      <c r="AZ357" s="1021"/>
      <c r="BA357" s="1021"/>
      <c r="BB357" s="1021"/>
      <c r="BC357" s="1021"/>
      <c r="BD357" s="1021"/>
      <c r="BE357" s="1021"/>
      <c r="BF357" s="1021"/>
      <c r="BG357" s="1021"/>
      <c r="BH357" s="1021"/>
      <c r="BI357" s="1021"/>
      <c r="BJ357" s="1021"/>
      <c r="BK357" s="1021"/>
      <c r="BL357" s="1021"/>
      <c r="BM357" s="1021"/>
      <c r="BN357" s="1021"/>
      <c r="BO357" s="1021"/>
      <c r="BP357" s="1021"/>
      <c r="BQ357" s="1021"/>
      <c r="BR357" s="1021"/>
      <c r="BS357" s="1021"/>
      <c r="BT357" s="1021"/>
      <c r="BU357" s="1021"/>
      <c r="BV357" s="1021"/>
      <c r="BW357" s="1021"/>
      <c r="BX357" s="1021"/>
      <c r="BY357" s="1021"/>
      <c r="BZ357" s="1021"/>
      <c r="CA357" s="1021"/>
      <c r="CB357" s="1021"/>
      <c r="CC357" s="1021"/>
    </row>
    <row r="358" spans="8:81" x14ac:dyDescent="0.25">
      <c r="H358" s="1021"/>
      <c r="I358" s="1021"/>
      <c r="J358" s="1021"/>
      <c r="K358" s="1021"/>
      <c r="L358" s="1021"/>
      <c r="M358" s="1021"/>
      <c r="N358" s="1021"/>
      <c r="O358" s="1021"/>
      <c r="P358" s="1021"/>
      <c r="Q358" s="1021"/>
      <c r="R358" s="1021"/>
      <c r="S358" s="1021"/>
      <c r="T358" s="1021"/>
      <c r="U358" s="1021"/>
      <c r="V358" s="1021"/>
      <c r="W358" s="1021"/>
      <c r="X358" s="1021"/>
      <c r="Y358" s="1021"/>
      <c r="Z358" s="1021"/>
      <c r="AA358" s="1021"/>
      <c r="AB358" s="1021"/>
      <c r="AC358" s="1021"/>
      <c r="AD358" s="1021"/>
      <c r="AE358" s="1021"/>
      <c r="AF358" s="1021"/>
      <c r="AG358" s="1021"/>
      <c r="AH358" s="1021"/>
      <c r="AI358" s="1021"/>
      <c r="AJ358" s="1021"/>
      <c r="AK358" s="1021"/>
      <c r="AL358" s="1021"/>
      <c r="AM358" s="1021"/>
      <c r="AN358" s="1021"/>
      <c r="AO358" s="1021"/>
      <c r="AP358" s="1021"/>
      <c r="AQ358" s="1021"/>
      <c r="AR358" s="1021"/>
      <c r="AS358" s="1021"/>
      <c r="AT358" s="1021"/>
      <c r="AU358" s="1021"/>
      <c r="AV358" s="1021"/>
      <c r="AW358" s="1021"/>
      <c r="AX358" s="1021"/>
      <c r="AY358" s="1021"/>
      <c r="AZ358" s="1021"/>
      <c r="BA358" s="1021"/>
      <c r="BB358" s="1021"/>
      <c r="BC358" s="1021"/>
      <c r="BD358" s="1021"/>
      <c r="BE358" s="1021"/>
      <c r="BF358" s="1021"/>
      <c r="BG358" s="1021"/>
      <c r="BH358" s="1021"/>
      <c r="BI358" s="1021"/>
      <c r="BJ358" s="1021"/>
      <c r="BK358" s="1021"/>
      <c r="BL358" s="1021"/>
      <c r="BM358" s="1021"/>
      <c r="BN358" s="1021"/>
      <c r="BO358" s="1021"/>
      <c r="BP358" s="1021"/>
      <c r="BQ358" s="1021"/>
      <c r="BR358" s="1021"/>
      <c r="BS358" s="1021"/>
      <c r="BT358" s="1021"/>
      <c r="BU358" s="1021"/>
      <c r="BV358" s="1021"/>
      <c r="BW358" s="1021"/>
      <c r="BX358" s="1021"/>
      <c r="BY358" s="1021"/>
      <c r="BZ358" s="1021"/>
      <c r="CA358" s="1021"/>
      <c r="CB358" s="1021"/>
      <c r="CC358" s="1021"/>
    </row>
    <row r="359" spans="8:81" x14ac:dyDescent="0.25">
      <c r="H359" s="1021"/>
      <c r="I359" s="1021"/>
      <c r="J359" s="1021"/>
      <c r="K359" s="1021"/>
      <c r="L359" s="1021"/>
      <c r="M359" s="1021"/>
      <c r="N359" s="1021"/>
      <c r="O359" s="1021"/>
      <c r="P359" s="1021"/>
      <c r="Q359" s="1021"/>
      <c r="R359" s="1021"/>
      <c r="S359" s="1021"/>
      <c r="T359" s="1021"/>
      <c r="U359" s="1021"/>
      <c r="V359" s="1021"/>
      <c r="W359" s="1021"/>
      <c r="X359" s="1021"/>
      <c r="Y359" s="1021"/>
      <c r="Z359" s="1021"/>
      <c r="AA359" s="1021"/>
      <c r="AB359" s="1021"/>
      <c r="AC359" s="1021"/>
      <c r="AD359" s="1021"/>
      <c r="AE359" s="1021"/>
      <c r="AF359" s="1021"/>
      <c r="AG359" s="1021"/>
      <c r="AH359" s="1021"/>
      <c r="AI359" s="1021"/>
      <c r="AJ359" s="1021"/>
      <c r="AK359" s="1021"/>
      <c r="AL359" s="1021"/>
      <c r="AM359" s="1021"/>
      <c r="AN359" s="1021"/>
      <c r="AO359" s="1021"/>
      <c r="AP359" s="1021"/>
      <c r="AQ359" s="1021"/>
      <c r="AR359" s="1021"/>
      <c r="AS359" s="1021"/>
      <c r="AT359" s="1021"/>
      <c r="AU359" s="1021"/>
      <c r="AV359" s="1021"/>
      <c r="AW359" s="1021"/>
      <c r="AX359" s="1021"/>
      <c r="AY359" s="1021"/>
      <c r="AZ359" s="1021"/>
      <c r="BA359" s="1021"/>
      <c r="BB359" s="1021"/>
      <c r="BC359" s="1021"/>
      <c r="BD359" s="1021"/>
      <c r="BE359" s="1021"/>
      <c r="BF359" s="1021"/>
      <c r="BG359" s="1021"/>
      <c r="BH359" s="1021"/>
      <c r="BI359" s="1021"/>
      <c r="BJ359" s="1021"/>
      <c r="BK359" s="1021"/>
      <c r="BL359" s="1021"/>
      <c r="BM359" s="1021"/>
      <c r="BN359" s="1021"/>
      <c r="BO359" s="1021"/>
      <c r="BP359" s="1021"/>
      <c r="BQ359" s="1021"/>
      <c r="BR359" s="1021"/>
      <c r="BS359" s="1021"/>
      <c r="BT359" s="1021"/>
      <c r="BU359" s="1021"/>
      <c r="BV359" s="1021"/>
      <c r="BW359" s="1021"/>
      <c r="BX359" s="1021"/>
      <c r="BY359" s="1021"/>
      <c r="BZ359" s="1021"/>
      <c r="CA359" s="1021"/>
      <c r="CB359" s="1021"/>
      <c r="CC359" s="1021"/>
    </row>
    <row r="360" spans="8:81" x14ac:dyDescent="0.25">
      <c r="H360" s="1021"/>
      <c r="I360" s="1021"/>
      <c r="J360" s="1021"/>
      <c r="K360" s="1021"/>
      <c r="L360" s="1021"/>
      <c r="M360" s="1021"/>
      <c r="N360" s="1021"/>
      <c r="O360" s="1021"/>
      <c r="P360" s="1021"/>
      <c r="Q360" s="1021"/>
      <c r="R360" s="1021"/>
      <c r="S360" s="1021"/>
      <c r="T360" s="1021"/>
      <c r="U360" s="1021"/>
      <c r="V360" s="1021"/>
      <c r="W360" s="1021"/>
      <c r="X360" s="1021"/>
      <c r="Y360" s="1021"/>
      <c r="Z360" s="1021"/>
      <c r="AA360" s="1021"/>
      <c r="AB360" s="1021"/>
      <c r="AC360" s="1021"/>
      <c r="AD360" s="1021"/>
      <c r="AE360" s="1021"/>
      <c r="AF360" s="1021"/>
      <c r="AG360" s="1021"/>
      <c r="AH360" s="1021"/>
      <c r="AI360" s="1021"/>
      <c r="AJ360" s="1021"/>
      <c r="AK360" s="1021"/>
      <c r="AL360" s="1021"/>
      <c r="AM360" s="1021"/>
      <c r="AN360" s="1021"/>
      <c r="AO360" s="1021"/>
      <c r="AP360" s="1021"/>
      <c r="AQ360" s="1021"/>
      <c r="AR360" s="1021"/>
      <c r="AS360" s="1021"/>
      <c r="AT360" s="1021"/>
      <c r="AU360" s="1021"/>
      <c r="AV360" s="1021"/>
      <c r="AW360" s="1021"/>
      <c r="AX360" s="1021"/>
      <c r="AY360" s="1021"/>
      <c r="AZ360" s="1021"/>
      <c r="BA360" s="1021"/>
      <c r="BB360" s="1021"/>
      <c r="BC360" s="1021"/>
      <c r="BD360" s="1021"/>
      <c r="BE360" s="1021"/>
      <c r="BF360" s="1021"/>
      <c r="BG360" s="1021"/>
      <c r="BH360" s="1021"/>
      <c r="BI360" s="1021"/>
      <c r="BJ360" s="1021"/>
      <c r="BK360" s="1021"/>
      <c r="BL360" s="1021"/>
      <c r="BM360" s="1021"/>
      <c r="BN360" s="1021"/>
      <c r="BO360" s="1021"/>
      <c r="BP360" s="1021"/>
      <c r="BQ360" s="1021"/>
      <c r="BR360" s="1021"/>
      <c r="BS360" s="1021"/>
      <c r="BT360" s="1021"/>
      <c r="BU360" s="1021"/>
      <c r="BV360" s="1021"/>
      <c r="BW360" s="1021"/>
      <c r="BX360" s="1021"/>
      <c r="BY360" s="1021"/>
      <c r="BZ360" s="1021"/>
      <c r="CA360" s="1021"/>
      <c r="CB360" s="1021"/>
      <c r="CC360" s="1021"/>
    </row>
    <row r="361" spans="8:81" x14ac:dyDescent="0.25">
      <c r="H361" s="1021"/>
      <c r="I361" s="1021"/>
      <c r="J361" s="1021"/>
      <c r="K361" s="1021"/>
      <c r="L361" s="1021"/>
      <c r="M361" s="1021"/>
      <c r="N361" s="1021"/>
      <c r="O361" s="1021"/>
      <c r="P361" s="1021"/>
      <c r="Q361" s="1021"/>
      <c r="R361" s="1021"/>
      <c r="S361" s="1021"/>
      <c r="T361" s="1021"/>
      <c r="U361" s="1021"/>
      <c r="V361" s="1021"/>
      <c r="W361" s="1021"/>
      <c r="X361" s="1021"/>
      <c r="Y361" s="1021"/>
      <c r="Z361" s="1021"/>
      <c r="AA361" s="1021"/>
      <c r="AB361" s="1021"/>
      <c r="AC361" s="1021"/>
      <c r="AD361" s="1021"/>
      <c r="AE361" s="1021"/>
      <c r="AF361" s="1021"/>
      <c r="AG361" s="1021"/>
      <c r="AH361" s="1021"/>
      <c r="AI361" s="1021"/>
      <c r="AJ361" s="1021"/>
      <c r="AK361" s="1021"/>
      <c r="AL361" s="1021"/>
      <c r="AM361" s="1021"/>
      <c r="AN361" s="1021"/>
      <c r="AO361" s="1021"/>
      <c r="AP361" s="1021"/>
      <c r="AQ361" s="1021"/>
      <c r="AR361" s="1021"/>
      <c r="AS361" s="1021"/>
      <c r="AT361" s="1021"/>
      <c r="AU361" s="1021"/>
      <c r="AV361" s="1021"/>
      <c r="AW361" s="1021"/>
      <c r="AX361" s="1021"/>
      <c r="AY361" s="1021"/>
      <c r="AZ361" s="1021"/>
      <c r="BA361" s="1021"/>
      <c r="BB361" s="1021"/>
      <c r="BC361" s="1021"/>
      <c r="BD361" s="1021"/>
      <c r="BE361" s="1021"/>
      <c r="BF361" s="1021"/>
      <c r="BG361" s="1021"/>
      <c r="BH361" s="1021"/>
      <c r="BI361" s="1021"/>
      <c r="BJ361" s="1021"/>
      <c r="BK361" s="1021"/>
      <c r="BL361" s="1021"/>
      <c r="BM361" s="1021"/>
      <c r="BN361" s="1021"/>
      <c r="BO361" s="1021"/>
      <c r="BP361" s="1021"/>
      <c r="BQ361" s="1021"/>
      <c r="BR361" s="1021"/>
      <c r="BS361" s="1021"/>
      <c r="BT361" s="1021"/>
      <c r="BU361" s="1021"/>
      <c r="BV361" s="1021"/>
      <c r="BW361" s="1021"/>
      <c r="BX361" s="1021"/>
      <c r="BY361" s="1021"/>
      <c r="BZ361" s="1021"/>
      <c r="CA361" s="1021"/>
      <c r="CB361" s="1021"/>
      <c r="CC361" s="1021"/>
    </row>
    <row r="362" spans="8:81" x14ac:dyDescent="0.25">
      <c r="H362" s="1021"/>
      <c r="I362" s="1021"/>
      <c r="J362" s="1021"/>
      <c r="K362" s="1021"/>
      <c r="L362" s="1021"/>
      <c r="M362" s="1021"/>
      <c r="N362" s="1021"/>
      <c r="O362" s="1021"/>
      <c r="P362" s="1021"/>
      <c r="Q362" s="1021"/>
      <c r="R362" s="1021"/>
      <c r="S362" s="1021"/>
      <c r="T362" s="1021"/>
      <c r="U362" s="1021"/>
      <c r="V362" s="1021"/>
      <c r="W362" s="1021"/>
      <c r="X362" s="1021"/>
      <c r="Y362" s="1021"/>
      <c r="Z362" s="1021"/>
      <c r="AA362" s="1021"/>
      <c r="AB362" s="1021"/>
      <c r="AC362" s="1021"/>
      <c r="AD362" s="1021"/>
      <c r="AE362" s="1021"/>
      <c r="AF362" s="1021"/>
      <c r="AG362" s="1021"/>
      <c r="AH362" s="1021"/>
      <c r="AI362" s="1021"/>
      <c r="AJ362" s="1021"/>
      <c r="AK362" s="1021"/>
      <c r="AL362" s="1021"/>
      <c r="AM362" s="1021"/>
      <c r="AN362" s="1021"/>
      <c r="AO362" s="1021"/>
      <c r="AP362" s="1021"/>
      <c r="AQ362" s="1021"/>
      <c r="AR362" s="1021"/>
      <c r="AS362" s="1021"/>
      <c r="AT362" s="1021"/>
      <c r="AU362" s="1021"/>
      <c r="AV362" s="1021"/>
      <c r="AW362" s="1021"/>
      <c r="AX362" s="1021"/>
      <c r="AY362" s="1021"/>
      <c r="AZ362" s="1021"/>
      <c r="BA362" s="1021"/>
      <c r="BB362" s="1021"/>
      <c r="BC362" s="1021"/>
      <c r="BD362" s="1021"/>
      <c r="BE362" s="1021"/>
      <c r="BF362" s="1021"/>
      <c r="BG362" s="1021"/>
      <c r="BH362" s="1021"/>
      <c r="BI362" s="1021"/>
      <c r="BJ362" s="1021"/>
      <c r="BK362" s="1021"/>
      <c r="BL362" s="1021"/>
      <c r="BM362" s="1021"/>
      <c r="BN362" s="1021"/>
      <c r="BO362" s="1021"/>
      <c r="BP362" s="1021"/>
      <c r="BQ362" s="1021"/>
      <c r="BR362" s="1021"/>
      <c r="BS362" s="1021"/>
      <c r="BT362" s="1021"/>
      <c r="BU362" s="1021"/>
      <c r="BV362" s="1021"/>
      <c r="BW362" s="1021"/>
      <c r="BX362" s="1021"/>
      <c r="BY362" s="1021"/>
      <c r="BZ362" s="1021"/>
      <c r="CA362" s="1021"/>
      <c r="CB362" s="1021"/>
      <c r="CC362" s="1021"/>
    </row>
    <row r="363" spans="8:81" x14ac:dyDescent="0.25">
      <c r="H363" s="1021"/>
      <c r="I363" s="1021"/>
      <c r="J363" s="1021"/>
      <c r="K363" s="1021"/>
      <c r="L363" s="1021"/>
      <c r="M363" s="1021"/>
      <c r="N363" s="1021"/>
      <c r="O363" s="1021"/>
      <c r="P363" s="1021"/>
      <c r="Q363" s="1021"/>
      <c r="R363" s="1021"/>
      <c r="S363" s="1021"/>
      <c r="T363" s="1021"/>
      <c r="U363" s="1021"/>
      <c r="V363" s="1021"/>
      <c r="W363" s="1021"/>
      <c r="X363" s="1021"/>
      <c r="Y363" s="1021"/>
      <c r="Z363" s="1021"/>
      <c r="AA363" s="1021"/>
      <c r="AB363" s="1021"/>
      <c r="AC363" s="1021"/>
      <c r="AD363" s="1021"/>
      <c r="AE363" s="1021"/>
      <c r="AF363" s="1021"/>
      <c r="AG363" s="1021"/>
      <c r="AH363" s="1021"/>
      <c r="AI363" s="1021"/>
      <c r="AJ363" s="1021"/>
      <c r="AK363" s="1021"/>
      <c r="AL363" s="1021"/>
      <c r="AM363" s="1021"/>
      <c r="AN363" s="1021"/>
      <c r="AO363" s="1021"/>
      <c r="AP363" s="1021"/>
      <c r="AQ363" s="1021"/>
      <c r="AR363" s="1021"/>
      <c r="AS363" s="1021"/>
      <c r="AT363" s="1021"/>
      <c r="AU363" s="1021"/>
      <c r="AV363" s="1021"/>
      <c r="AW363" s="1021"/>
      <c r="AX363" s="1021"/>
      <c r="AY363" s="1021"/>
      <c r="AZ363" s="1021"/>
      <c r="BA363" s="1021"/>
      <c r="BB363" s="1021"/>
      <c r="BC363" s="1021"/>
      <c r="BD363" s="1021"/>
      <c r="BE363" s="1021"/>
      <c r="BF363" s="1021"/>
      <c r="BG363" s="1021"/>
      <c r="BH363" s="1021"/>
      <c r="BI363" s="1021"/>
      <c r="BJ363" s="1021"/>
      <c r="BK363" s="1021"/>
      <c r="BL363" s="1021"/>
      <c r="BM363" s="1021"/>
      <c r="BN363" s="1021"/>
      <c r="BO363" s="1021"/>
      <c r="BP363" s="1021"/>
      <c r="BQ363" s="1021"/>
      <c r="BR363" s="1021"/>
      <c r="BS363" s="1021"/>
      <c r="BT363" s="1021"/>
      <c r="BU363" s="1021"/>
      <c r="BV363" s="1021"/>
      <c r="BW363" s="1021"/>
      <c r="BX363" s="1021"/>
      <c r="BY363" s="1021"/>
      <c r="BZ363" s="1021"/>
      <c r="CA363" s="1021"/>
      <c r="CB363" s="1021"/>
      <c r="CC363" s="1021"/>
    </row>
    <row r="364" spans="8:81" x14ac:dyDescent="0.25">
      <c r="H364" s="1021"/>
      <c r="I364" s="1021"/>
      <c r="J364" s="1021"/>
      <c r="K364" s="1021"/>
      <c r="L364" s="1021"/>
      <c r="M364" s="1021"/>
      <c r="N364" s="1021"/>
      <c r="O364" s="1021"/>
      <c r="P364" s="1021"/>
      <c r="Q364" s="1021"/>
      <c r="R364" s="1021"/>
      <c r="S364" s="1021"/>
      <c r="T364" s="1021"/>
      <c r="U364" s="1021"/>
      <c r="V364" s="1021"/>
      <c r="W364" s="1021"/>
      <c r="X364" s="1021"/>
      <c r="Y364" s="1021"/>
      <c r="Z364" s="1021"/>
      <c r="AA364" s="1021"/>
      <c r="AB364" s="1021"/>
      <c r="AC364" s="1021"/>
      <c r="AD364" s="1021"/>
      <c r="AE364" s="1021"/>
      <c r="AF364" s="1021"/>
      <c r="AG364" s="1021"/>
      <c r="AH364" s="1021"/>
      <c r="AI364" s="1021"/>
      <c r="AJ364" s="1021"/>
      <c r="AK364" s="1021"/>
      <c r="AL364" s="1021"/>
      <c r="AM364" s="1021"/>
      <c r="AN364" s="1021"/>
      <c r="AO364" s="1021"/>
      <c r="AP364" s="1021"/>
      <c r="AQ364" s="1021"/>
      <c r="AR364" s="1021"/>
      <c r="AS364" s="1021"/>
      <c r="AT364" s="1021"/>
      <c r="AU364" s="1021"/>
      <c r="AV364" s="1021"/>
      <c r="AW364" s="1021"/>
      <c r="AX364" s="1021"/>
      <c r="AY364" s="1021"/>
      <c r="AZ364" s="1021"/>
      <c r="BA364" s="1021"/>
      <c r="BB364" s="1021"/>
      <c r="BC364" s="1021"/>
      <c r="BD364" s="1021"/>
      <c r="BE364" s="1021"/>
      <c r="BF364" s="1021"/>
      <c r="BG364" s="1021"/>
      <c r="BH364" s="1021"/>
      <c r="BI364" s="1021"/>
      <c r="BJ364" s="1021"/>
      <c r="BK364" s="1021"/>
      <c r="BL364" s="1021"/>
      <c r="BM364" s="1021"/>
      <c r="BN364" s="1021"/>
      <c r="BO364" s="1021"/>
      <c r="BP364" s="1021"/>
      <c r="BQ364" s="1021"/>
      <c r="BR364" s="1021"/>
      <c r="BS364" s="1021"/>
      <c r="BT364" s="1021"/>
      <c r="BU364" s="1021"/>
      <c r="BV364" s="1021"/>
      <c r="BW364" s="1021"/>
      <c r="BX364" s="1021"/>
      <c r="BY364" s="1021"/>
      <c r="BZ364" s="1021"/>
      <c r="CA364" s="1021"/>
      <c r="CB364" s="1021"/>
      <c r="CC364" s="1021"/>
    </row>
    <row r="365" spans="8:81" x14ac:dyDescent="0.25">
      <c r="H365" s="1021"/>
      <c r="I365" s="1021"/>
      <c r="J365" s="1021"/>
      <c r="K365" s="1021"/>
      <c r="L365" s="1021"/>
      <c r="M365" s="1021"/>
      <c r="N365" s="1021"/>
      <c r="O365" s="1021"/>
      <c r="P365" s="1021"/>
      <c r="Q365" s="1021"/>
      <c r="R365" s="1021"/>
      <c r="S365" s="1021"/>
      <c r="T365" s="1021"/>
      <c r="U365" s="1021"/>
      <c r="V365" s="1021"/>
      <c r="W365" s="1021"/>
      <c r="X365" s="1021"/>
      <c r="Y365" s="1021"/>
      <c r="Z365" s="1021"/>
      <c r="AA365" s="1021"/>
      <c r="AB365" s="1021"/>
      <c r="AC365" s="1021"/>
      <c r="AD365" s="1021"/>
      <c r="AE365" s="1021"/>
      <c r="AF365" s="1021"/>
      <c r="AG365" s="1021"/>
      <c r="AH365" s="1021"/>
      <c r="AI365" s="1021"/>
      <c r="AJ365" s="1021"/>
      <c r="AK365" s="1021"/>
      <c r="AL365" s="1021"/>
      <c r="AM365" s="1021"/>
      <c r="AN365" s="1021"/>
      <c r="AO365" s="1021"/>
      <c r="AP365" s="1021"/>
      <c r="AQ365" s="1021"/>
      <c r="AR365" s="1021"/>
      <c r="AS365" s="1021"/>
      <c r="AT365" s="1021"/>
      <c r="AU365" s="1021"/>
      <c r="AV365" s="1021"/>
      <c r="AW365" s="1021"/>
      <c r="AX365" s="1021"/>
      <c r="AY365" s="1021"/>
      <c r="AZ365" s="1021"/>
      <c r="BA365" s="1021"/>
      <c r="BB365" s="1021"/>
      <c r="BC365" s="1021"/>
      <c r="BD365" s="1021"/>
      <c r="BE365" s="1021"/>
      <c r="BF365" s="1021"/>
      <c r="BG365" s="1021"/>
      <c r="BH365" s="1021"/>
      <c r="BI365" s="1021"/>
      <c r="BJ365" s="1021"/>
      <c r="BK365" s="1021"/>
      <c r="BL365" s="1021"/>
      <c r="BM365" s="1021"/>
      <c r="BN365" s="1021"/>
      <c r="BO365" s="1021"/>
      <c r="BP365" s="1021"/>
      <c r="BQ365" s="1021"/>
      <c r="BR365" s="1021"/>
      <c r="BS365" s="1021"/>
      <c r="BT365" s="1021"/>
      <c r="BU365" s="1021"/>
      <c r="BV365" s="1021"/>
      <c r="BW365" s="1021"/>
      <c r="BX365" s="1021"/>
      <c r="BY365" s="1021"/>
      <c r="BZ365" s="1021"/>
      <c r="CA365" s="1021"/>
      <c r="CB365" s="1021"/>
      <c r="CC365" s="1021"/>
    </row>
    <row r="366" spans="8:81" x14ac:dyDescent="0.25">
      <c r="H366" s="1021"/>
      <c r="I366" s="1021"/>
      <c r="J366" s="1021"/>
      <c r="K366" s="1021"/>
      <c r="L366" s="1021"/>
      <c r="M366" s="1021"/>
      <c r="N366" s="1021"/>
      <c r="O366" s="1021"/>
      <c r="P366" s="1021"/>
      <c r="Q366" s="1021"/>
      <c r="R366" s="1021"/>
      <c r="S366" s="1021"/>
      <c r="T366" s="1021"/>
      <c r="U366" s="1021"/>
      <c r="V366" s="1021"/>
      <c r="W366" s="1021"/>
      <c r="X366" s="1021"/>
      <c r="Y366" s="1021"/>
      <c r="Z366" s="1021"/>
      <c r="AA366" s="1021"/>
      <c r="AB366" s="1021"/>
      <c r="AC366" s="1021"/>
      <c r="AD366" s="1021"/>
      <c r="AE366" s="1021"/>
      <c r="AF366" s="1021"/>
      <c r="AG366" s="1021"/>
      <c r="AH366" s="1021"/>
      <c r="AI366" s="1021"/>
      <c r="AJ366" s="1021"/>
      <c r="AK366" s="1021"/>
      <c r="AL366" s="1021"/>
      <c r="AM366" s="1021"/>
      <c r="AN366" s="1021"/>
      <c r="AO366" s="1021"/>
      <c r="AP366" s="1021"/>
      <c r="AQ366" s="1021"/>
      <c r="AR366" s="1021"/>
      <c r="AS366" s="1021"/>
      <c r="AT366" s="1021"/>
      <c r="AU366" s="1021"/>
      <c r="AV366" s="1021"/>
      <c r="AW366" s="1021"/>
      <c r="AX366" s="1021"/>
      <c r="AY366" s="1021"/>
      <c r="AZ366" s="1021"/>
      <c r="BA366" s="1021"/>
      <c r="BB366" s="1021"/>
      <c r="BC366" s="1021"/>
      <c r="BD366" s="1021"/>
      <c r="BE366" s="1021"/>
      <c r="BF366" s="1021"/>
      <c r="BG366" s="1021"/>
      <c r="BH366" s="1021"/>
      <c r="BI366" s="1021"/>
      <c r="BJ366" s="1021"/>
      <c r="BK366" s="1021"/>
      <c r="BL366" s="1021"/>
      <c r="BM366" s="1021"/>
      <c r="BN366" s="1021"/>
      <c r="BO366" s="1021"/>
      <c r="BP366" s="1021"/>
      <c r="BQ366" s="1021"/>
      <c r="BR366" s="1021"/>
      <c r="BS366" s="1021"/>
      <c r="BT366" s="1021"/>
      <c r="BU366" s="1021"/>
      <c r="BV366" s="1021"/>
      <c r="BW366" s="1021"/>
      <c r="BX366" s="1021"/>
      <c r="BY366" s="1021"/>
      <c r="BZ366" s="1021"/>
      <c r="CA366" s="1021"/>
      <c r="CB366" s="1021"/>
      <c r="CC366" s="1021"/>
    </row>
    <row r="367" spans="8:81" x14ac:dyDescent="0.25">
      <c r="H367" s="1021"/>
      <c r="I367" s="1021"/>
      <c r="J367" s="1021"/>
      <c r="K367" s="1021"/>
      <c r="L367" s="1021"/>
      <c r="M367" s="1021"/>
      <c r="N367" s="1021"/>
      <c r="O367" s="1021"/>
      <c r="P367" s="1021"/>
      <c r="Q367" s="1021"/>
      <c r="R367" s="1021"/>
      <c r="S367" s="1021"/>
      <c r="T367" s="1021"/>
      <c r="U367" s="1021"/>
      <c r="V367" s="1021"/>
      <c r="W367" s="1021"/>
      <c r="X367" s="1021"/>
      <c r="Y367" s="1021"/>
      <c r="Z367" s="1021"/>
      <c r="AA367" s="1021"/>
      <c r="AB367" s="1021"/>
      <c r="AC367" s="1021"/>
      <c r="AD367" s="1021"/>
      <c r="AE367" s="1021"/>
      <c r="AF367" s="1021"/>
      <c r="AG367" s="1021"/>
      <c r="AH367" s="1021"/>
      <c r="AI367" s="1021"/>
      <c r="AJ367" s="1021"/>
      <c r="AK367" s="1021"/>
      <c r="AL367" s="1021"/>
      <c r="AM367" s="1021"/>
      <c r="AN367" s="1021"/>
      <c r="AO367" s="1021"/>
      <c r="AP367" s="1021"/>
      <c r="AQ367" s="1021"/>
      <c r="AR367" s="1021"/>
      <c r="AS367" s="1021"/>
      <c r="AT367" s="1021"/>
      <c r="AU367" s="1021"/>
      <c r="AV367" s="1021"/>
      <c r="AW367" s="1021"/>
      <c r="AX367" s="1021"/>
      <c r="AY367" s="1021"/>
      <c r="AZ367" s="1021"/>
      <c r="BA367" s="1021"/>
      <c r="BB367" s="1021"/>
      <c r="BC367" s="1021"/>
      <c r="BD367" s="1021"/>
      <c r="BE367" s="1021"/>
      <c r="BF367" s="1021"/>
      <c r="BG367" s="1021"/>
      <c r="BH367" s="1021"/>
      <c r="BI367" s="1021"/>
      <c r="BJ367" s="1021"/>
      <c r="BK367" s="1021"/>
      <c r="BL367" s="1021"/>
      <c r="BM367" s="1021"/>
      <c r="BN367" s="1021"/>
      <c r="BO367" s="1021"/>
      <c r="BP367" s="1021"/>
      <c r="BQ367" s="1021"/>
      <c r="BR367" s="1021"/>
      <c r="BS367" s="1021"/>
      <c r="BT367" s="1021"/>
      <c r="BU367" s="1021"/>
      <c r="BV367" s="1021"/>
      <c r="BW367" s="1021"/>
      <c r="BX367" s="1021"/>
      <c r="BY367" s="1021"/>
      <c r="BZ367" s="1021"/>
      <c r="CA367" s="1021"/>
      <c r="CB367" s="1021"/>
      <c r="CC367" s="1021"/>
    </row>
    <row r="368" spans="8:81" x14ac:dyDescent="0.25">
      <c r="H368" s="1021"/>
      <c r="I368" s="1021"/>
      <c r="J368" s="1021"/>
      <c r="K368" s="1021"/>
      <c r="L368" s="1021"/>
      <c r="M368" s="1021"/>
      <c r="N368" s="1021"/>
      <c r="O368" s="1021"/>
      <c r="P368" s="1021"/>
      <c r="Q368" s="1021"/>
      <c r="R368" s="1021"/>
      <c r="S368" s="1021"/>
      <c r="T368" s="1021"/>
      <c r="U368" s="1021"/>
      <c r="V368" s="1021"/>
      <c r="W368" s="1021"/>
      <c r="X368" s="1021"/>
      <c r="Y368" s="1021"/>
      <c r="Z368" s="1021"/>
      <c r="AA368" s="1021"/>
      <c r="AB368" s="1021"/>
      <c r="AC368" s="1021"/>
      <c r="AD368" s="1021"/>
      <c r="AE368" s="1021"/>
      <c r="AF368" s="1021"/>
      <c r="AG368" s="1021"/>
      <c r="AH368" s="1021"/>
      <c r="AI368" s="1021"/>
      <c r="AJ368" s="1021"/>
      <c r="AK368" s="1021"/>
      <c r="AL368" s="1021"/>
      <c r="AM368" s="1021"/>
      <c r="AN368" s="1021"/>
      <c r="AO368" s="1021"/>
      <c r="AP368" s="1021"/>
      <c r="AQ368" s="1021"/>
      <c r="AR368" s="1021"/>
      <c r="AS368" s="1021"/>
      <c r="AT368" s="1021"/>
      <c r="AU368" s="1021"/>
      <c r="AV368" s="1021"/>
      <c r="AW368" s="1021"/>
      <c r="AX368" s="1021"/>
      <c r="AY368" s="1021"/>
      <c r="AZ368" s="1021"/>
      <c r="BA368" s="1021"/>
      <c r="BB368" s="1021"/>
      <c r="BC368" s="1021"/>
      <c r="BD368" s="1021"/>
      <c r="BE368" s="1021"/>
      <c r="BF368" s="1021"/>
      <c r="BG368" s="1021"/>
      <c r="BH368" s="1021"/>
      <c r="BI368" s="1021"/>
      <c r="BJ368" s="1021"/>
      <c r="BK368" s="1021"/>
      <c r="BL368" s="1021"/>
      <c r="BM368" s="1021"/>
      <c r="BN368" s="1021"/>
      <c r="BO368" s="1021"/>
      <c r="BP368" s="1021"/>
      <c r="BQ368" s="1021"/>
      <c r="BR368" s="1021"/>
      <c r="BS368" s="1021"/>
      <c r="BT368" s="1021"/>
      <c r="BU368" s="1021"/>
      <c r="BV368" s="1021"/>
      <c r="BW368" s="1021"/>
      <c r="BX368" s="1021"/>
      <c r="BY368" s="1021"/>
      <c r="BZ368" s="1021"/>
      <c r="CA368" s="1021"/>
      <c r="CB368" s="1021"/>
      <c r="CC368" s="1021"/>
    </row>
    <row r="369" spans="8:81" x14ac:dyDescent="0.25">
      <c r="H369" s="1021"/>
      <c r="I369" s="1021"/>
      <c r="J369" s="1021"/>
      <c r="K369" s="1021"/>
      <c r="L369" s="1021"/>
      <c r="M369" s="1021"/>
      <c r="N369" s="1021"/>
      <c r="O369" s="1021"/>
      <c r="P369" s="1021"/>
      <c r="Q369" s="1021"/>
      <c r="R369" s="1021"/>
      <c r="S369" s="1021"/>
      <c r="T369" s="1021"/>
      <c r="U369" s="1021"/>
      <c r="V369" s="1021"/>
      <c r="W369" s="1021"/>
      <c r="X369" s="1021"/>
      <c r="Y369" s="1021"/>
      <c r="Z369" s="1021"/>
      <c r="AA369" s="1021"/>
      <c r="AB369" s="1021"/>
      <c r="AC369" s="1021"/>
      <c r="AD369" s="1021"/>
      <c r="AE369" s="1021"/>
      <c r="AF369" s="1021"/>
      <c r="AG369" s="1021"/>
      <c r="AH369" s="1021"/>
      <c r="AI369" s="1021"/>
      <c r="AJ369" s="1021"/>
      <c r="AK369" s="1021"/>
      <c r="AL369" s="1021"/>
      <c r="AM369" s="1021"/>
      <c r="AN369" s="1021"/>
      <c r="AO369" s="1021"/>
      <c r="AP369" s="1021"/>
      <c r="AQ369" s="1021"/>
      <c r="AR369" s="1021"/>
      <c r="AS369" s="1021"/>
      <c r="AT369" s="1021"/>
      <c r="AU369" s="1021"/>
      <c r="AV369" s="1021"/>
      <c r="AW369" s="1021"/>
      <c r="AX369" s="1021"/>
      <c r="AY369" s="1021"/>
      <c r="AZ369" s="1021"/>
      <c r="BA369" s="1021"/>
      <c r="BB369" s="1021"/>
      <c r="BC369" s="1021"/>
      <c r="BD369" s="1021"/>
      <c r="BE369" s="1021"/>
      <c r="BF369" s="1021"/>
      <c r="BG369" s="1021"/>
      <c r="BH369" s="1021"/>
      <c r="BI369" s="1021"/>
      <c r="BJ369" s="1021"/>
      <c r="BK369" s="1021"/>
      <c r="BL369" s="1021"/>
      <c r="BM369" s="1021"/>
      <c r="BN369" s="1021"/>
      <c r="BO369" s="1021"/>
      <c r="BP369" s="1021"/>
      <c r="BQ369" s="1021"/>
      <c r="BR369" s="1021"/>
      <c r="BS369" s="1021"/>
      <c r="BT369" s="1021"/>
      <c r="BU369" s="1021"/>
      <c r="BV369" s="1021"/>
      <c r="BW369" s="1021"/>
      <c r="BX369" s="1021"/>
      <c r="BY369" s="1021"/>
      <c r="BZ369" s="1021"/>
      <c r="CA369" s="1021"/>
      <c r="CB369" s="1021"/>
      <c r="CC369" s="1021"/>
    </row>
    <row r="370" spans="8:81" x14ac:dyDescent="0.25">
      <c r="H370" s="1021"/>
      <c r="I370" s="1021"/>
      <c r="J370" s="1021"/>
      <c r="K370" s="1021"/>
      <c r="L370" s="1021"/>
      <c r="M370" s="1021"/>
      <c r="N370" s="1021"/>
      <c r="O370" s="1021"/>
      <c r="P370" s="1021"/>
      <c r="Q370" s="1021"/>
      <c r="R370" s="1021"/>
      <c r="S370" s="1021"/>
      <c r="T370" s="1021"/>
      <c r="U370" s="1021"/>
      <c r="V370" s="1021"/>
      <c r="W370" s="1021"/>
      <c r="X370" s="1021"/>
      <c r="Y370" s="1021"/>
      <c r="Z370" s="1021"/>
      <c r="AA370" s="1021"/>
      <c r="AB370" s="1021"/>
      <c r="AC370" s="1021"/>
      <c r="AD370" s="1021"/>
      <c r="AE370" s="1021"/>
      <c r="AF370" s="1021"/>
      <c r="AG370" s="1021"/>
      <c r="AH370" s="1021"/>
      <c r="AI370" s="1021"/>
      <c r="AJ370" s="1021"/>
      <c r="AK370" s="1021"/>
      <c r="AL370" s="1021"/>
      <c r="AM370" s="1021"/>
      <c r="AN370" s="1021"/>
      <c r="AO370" s="1021"/>
      <c r="AP370" s="1021"/>
      <c r="AQ370" s="1021"/>
      <c r="AR370" s="1021"/>
      <c r="AS370" s="1021"/>
      <c r="AT370" s="1021"/>
      <c r="AU370" s="1021"/>
      <c r="AV370" s="1021"/>
      <c r="AW370" s="1021"/>
      <c r="AX370" s="1021"/>
      <c r="AY370" s="1021"/>
      <c r="AZ370" s="1021"/>
      <c r="BA370" s="1021"/>
      <c r="BB370" s="1021"/>
      <c r="BC370" s="1021"/>
      <c r="BD370" s="1021"/>
      <c r="BE370" s="1021"/>
      <c r="BF370" s="1021"/>
      <c r="BG370" s="1021"/>
      <c r="BH370" s="1021"/>
      <c r="BI370" s="1021"/>
      <c r="BJ370" s="1021"/>
      <c r="BK370" s="1021"/>
      <c r="BL370" s="1021"/>
      <c r="BM370" s="1021"/>
      <c r="BN370" s="1021"/>
      <c r="BO370" s="1021"/>
      <c r="BP370" s="1021"/>
      <c r="BQ370" s="1021"/>
      <c r="BR370" s="1021"/>
      <c r="BS370" s="1021"/>
      <c r="BT370" s="1021"/>
      <c r="BU370" s="1021"/>
      <c r="BV370" s="1021"/>
      <c r="BW370" s="1021"/>
      <c r="BX370" s="1021"/>
      <c r="BY370" s="1021"/>
      <c r="BZ370" s="1021"/>
      <c r="CA370" s="1021"/>
      <c r="CB370" s="1021"/>
      <c r="CC370" s="1021"/>
    </row>
    <row r="371" spans="8:81" x14ac:dyDescent="0.25">
      <c r="H371" s="1021"/>
      <c r="I371" s="1021"/>
      <c r="J371" s="1021"/>
      <c r="K371" s="1021"/>
      <c r="L371" s="1021"/>
      <c r="M371" s="1021"/>
      <c r="N371" s="1021"/>
      <c r="O371" s="1021"/>
      <c r="P371" s="1021"/>
      <c r="Q371" s="1021"/>
      <c r="R371" s="1021"/>
      <c r="S371" s="1021"/>
      <c r="T371" s="1021"/>
      <c r="U371" s="1021"/>
      <c r="V371" s="1021"/>
      <c r="W371" s="1021"/>
      <c r="X371" s="1021"/>
      <c r="Y371" s="1021"/>
      <c r="Z371" s="1021"/>
      <c r="AA371" s="1021"/>
      <c r="AB371" s="1021"/>
      <c r="AC371" s="1021"/>
      <c r="AD371" s="1021"/>
      <c r="AE371" s="1021"/>
      <c r="AF371" s="1021"/>
      <c r="AG371" s="1021"/>
      <c r="AH371" s="1021"/>
      <c r="AI371" s="1021"/>
      <c r="AJ371" s="1021"/>
      <c r="AK371" s="1021"/>
      <c r="AL371" s="1021"/>
      <c r="AM371" s="1021"/>
      <c r="AN371" s="1021"/>
      <c r="AO371" s="1021"/>
      <c r="AP371" s="1021"/>
      <c r="AQ371" s="1021"/>
      <c r="AR371" s="1021"/>
      <c r="AS371" s="1021"/>
      <c r="AT371" s="1021"/>
      <c r="AU371" s="1021"/>
      <c r="AV371" s="1021"/>
      <c r="AW371" s="1021"/>
      <c r="AX371" s="1021"/>
      <c r="AY371" s="1021"/>
      <c r="AZ371" s="1021"/>
      <c r="BA371" s="1021"/>
      <c r="BB371" s="1021"/>
      <c r="BC371" s="1021"/>
      <c r="BD371" s="1021"/>
      <c r="BE371" s="1021"/>
      <c r="BF371" s="1021"/>
      <c r="BG371" s="1021"/>
      <c r="BH371" s="1021"/>
      <c r="BI371" s="1021"/>
      <c r="BJ371" s="1021"/>
      <c r="BK371" s="1021"/>
      <c r="BL371" s="1021"/>
      <c r="BM371" s="1021"/>
      <c r="BN371" s="1021"/>
      <c r="BO371" s="1021"/>
      <c r="BP371" s="1021"/>
      <c r="BQ371" s="1021"/>
      <c r="BR371" s="1021"/>
      <c r="BS371" s="1021"/>
      <c r="BT371" s="1021"/>
      <c r="BU371" s="1021"/>
      <c r="BV371" s="1021"/>
      <c r="BW371" s="1021"/>
      <c r="BX371" s="1021"/>
      <c r="BY371" s="1021"/>
      <c r="BZ371" s="1021"/>
      <c r="CA371" s="1021"/>
      <c r="CB371" s="1021"/>
      <c r="CC371" s="1021"/>
    </row>
    <row r="372" spans="8:81" x14ac:dyDescent="0.25">
      <c r="H372" s="1021"/>
      <c r="I372" s="1021"/>
      <c r="J372" s="1021"/>
      <c r="K372" s="1021"/>
      <c r="L372" s="1021"/>
      <c r="M372" s="1021"/>
      <c r="N372" s="1021"/>
      <c r="O372" s="1021"/>
      <c r="P372" s="1021"/>
      <c r="Q372" s="1021"/>
      <c r="R372" s="1021"/>
      <c r="S372" s="1021"/>
      <c r="T372" s="1021"/>
      <c r="U372" s="1021"/>
      <c r="V372" s="1021"/>
      <c r="W372" s="1021"/>
      <c r="X372" s="1021"/>
      <c r="Y372" s="1021"/>
      <c r="Z372" s="1021"/>
      <c r="AA372" s="1021"/>
      <c r="AB372" s="1021"/>
      <c r="AC372" s="1021"/>
      <c r="AD372" s="1021"/>
      <c r="AE372" s="1021"/>
      <c r="AF372" s="1021"/>
      <c r="AG372" s="1021"/>
      <c r="AH372" s="1021"/>
      <c r="AI372" s="1021"/>
      <c r="AJ372" s="1021"/>
      <c r="AK372" s="1021"/>
      <c r="AL372" s="1021"/>
      <c r="AM372" s="1021"/>
      <c r="AN372" s="1021"/>
      <c r="AO372" s="1021"/>
      <c r="AP372" s="1021"/>
      <c r="AQ372" s="1021"/>
      <c r="AR372" s="1021"/>
      <c r="AS372" s="1021"/>
      <c r="AT372" s="1021"/>
      <c r="AU372" s="1021"/>
      <c r="AV372" s="1021"/>
      <c r="AW372" s="1021"/>
      <c r="AX372" s="1021"/>
      <c r="AY372" s="1021"/>
      <c r="AZ372" s="1021"/>
      <c r="BA372" s="1021"/>
      <c r="BB372" s="1021"/>
      <c r="BC372" s="1021"/>
      <c r="BD372" s="1021"/>
      <c r="BE372" s="1021"/>
      <c r="BF372" s="1021"/>
      <c r="BG372" s="1021"/>
      <c r="BH372" s="1021"/>
      <c r="BI372" s="1021"/>
      <c r="BJ372" s="1021"/>
      <c r="BK372" s="1021"/>
      <c r="BL372" s="1021"/>
      <c r="BM372" s="1021"/>
      <c r="BN372" s="1021"/>
      <c r="BO372" s="1021"/>
      <c r="BP372" s="1021"/>
      <c r="BQ372" s="1021"/>
      <c r="BR372" s="1021"/>
      <c r="BS372" s="1021"/>
      <c r="BT372" s="1021"/>
      <c r="BU372" s="1021"/>
      <c r="BV372" s="1021"/>
      <c r="BW372" s="1021"/>
      <c r="BX372" s="1021"/>
      <c r="BY372" s="1021"/>
      <c r="BZ372" s="1021"/>
      <c r="CA372" s="1021"/>
      <c r="CB372" s="1021"/>
      <c r="CC372" s="1021"/>
    </row>
    <row r="373" spans="8:81" x14ac:dyDescent="0.25">
      <c r="H373" s="1021"/>
      <c r="I373" s="1021"/>
      <c r="J373" s="1021"/>
      <c r="K373" s="1021"/>
      <c r="L373" s="1021"/>
      <c r="M373" s="1021"/>
      <c r="N373" s="1021"/>
      <c r="O373" s="1021"/>
      <c r="P373" s="1021"/>
      <c r="Q373" s="1021"/>
      <c r="R373" s="1021"/>
      <c r="S373" s="1021"/>
      <c r="T373" s="1021"/>
      <c r="U373" s="1021"/>
      <c r="V373" s="1021"/>
      <c r="W373" s="1021"/>
      <c r="X373" s="1021"/>
      <c r="Y373" s="1021"/>
      <c r="Z373" s="1021"/>
      <c r="AA373" s="1021"/>
      <c r="AB373" s="1021"/>
      <c r="AC373" s="1021"/>
      <c r="AD373" s="1021"/>
      <c r="AE373" s="1021"/>
      <c r="AF373" s="1021"/>
      <c r="AG373" s="1021"/>
      <c r="AH373" s="1021"/>
      <c r="AI373" s="1021"/>
      <c r="AJ373" s="1021"/>
      <c r="AK373" s="1021"/>
      <c r="AL373" s="1021"/>
      <c r="AM373" s="1021"/>
      <c r="AN373" s="1021"/>
      <c r="AO373" s="1021"/>
      <c r="AP373" s="1021"/>
      <c r="AQ373" s="1021"/>
      <c r="AR373" s="1021"/>
      <c r="AS373" s="1021"/>
      <c r="AT373" s="1021"/>
      <c r="AU373" s="1021"/>
      <c r="AV373" s="1021"/>
      <c r="AW373" s="1021"/>
      <c r="AX373" s="1021"/>
      <c r="AY373" s="1021"/>
      <c r="AZ373" s="1021"/>
      <c r="BA373" s="1021"/>
      <c r="BB373" s="1021"/>
      <c r="BC373" s="1021"/>
      <c r="BD373" s="1021"/>
      <c r="BE373" s="1021"/>
      <c r="BF373" s="1021"/>
      <c r="BG373" s="1021"/>
      <c r="BH373" s="1021"/>
      <c r="BI373" s="1021"/>
      <c r="BJ373" s="1021"/>
      <c r="BK373" s="1021"/>
      <c r="BL373" s="1021"/>
      <c r="BM373" s="1021"/>
      <c r="BN373" s="1021"/>
      <c r="BO373" s="1021"/>
      <c r="BP373" s="1021"/>
      <c r="BQ373" s="1021"/>
      <c r="BR373" s="1021"/>
      <c r="BS373" s="1021"/>
      <c r="BT373" s="1021"/>
      <c r="BU373" s="1021"/>
      <c r="BV373" s="1021"/>
      <c r="BW373" s="1021"/>
      <c r="BX373" s="1021"/>
      <c r="BY373" s="1021"/>
      <c r="BZ373" s="1021"/>
      <c r="CA373" s="1021"/>
      <c r="CB373" s="1021"/>
      <c r="CC373" s="1021"/>
    </row>
    <row r="374" spans="8:81" x14ac:dyDescent="0.25">
      <c r="H374" s="1021"/>
      <c r="I374" s="1021"/>
      <c r="J374" s="1021"/>
      <c r="K374" s="1021"/>
      <c r="L374" s="1021"/>
      <c r="M374" s="1021"/>
      <c r="N374" s="1021"/>
      <c r="O374" s="1021"/>
      <c r="P374" s="1021"/>
      <c r="Q374" s="1021"/>
      <c r="R374" s="1021"/>
      <c r="S374" s="1021"/>
      <c r="T374" s="1021"/>
      <c r="U374" s="1021"/>
      <c r="V374" s="1021"/>
      <c r="W374" s="1021"/>
      <c r="X374" s="1021"/>
      <c r="Y374" s="1021"/>
      <c r="Z374" s="1021"/>
      <c r="AA374" s="1021"/>
      <c r="AB374" s="1021"/>
      <c r="AC374" s="1021"/>
      <c r="AD374" s="1021"/>
      <c r="AE374" s="1021"/>
      <c r="AF374" s="1021"/>
      <c r="AG374" s="1021"/>
      <c r="AH374" s="1021"/>
      <c r="AI374" s="1021"/>
      <c r="AJ374" s="1021"/>
      <c r="AK374" s="1021"/>
      <c r="AL374" s="1021"/>
      <c r="AM374" s="1021"/>
      <c r="AN374" s="1021"/>
      <c r="AO374" s="1021"/>
      <c r="AP374" s="1021"/>
      <c r="AQ374" s="1021"/>
      <c r="AR374" s="1021"/>
      <c r="AS374" s="1021"/>
      <c r="AT374" s="1021"/>
      <c r="AU374" s="1021"/>
      <c r="AV374" s="1021"/>
      <c r="AW374" s="1021"/>
      <c r="AX374" s="1021"/>
      <c r="AY374" s="1021"/>
      <c r="AZ374" s="1021"/>
      <c r="BA374" s="1021"/>
      <c r="BB374" s="1021"/>
      <c r="BC374" s="1021"/>
      <c r="BD374" s="1021"/>
      <c r="BE374" s="1021"/>
      <c r="BF374" s="1021"/>
      <c r="BG374" s="1021"/>
      <c r="BH374" s="1021"/>
      <c r="BI374" s="1021"/>
      <c r="BJ374" s="1021"/>
      <c r="BK374" s="1021"/>
      <c r="BL374" s="1021"/>
      <c r="BM374" s="1021"/>
      <c r="BN374" s="1021"/>
      <c r="BO374" s="1021"/>
      <c r="BP374" s="1021"/>
      <c r="BQ374" s="1021"/>
      <c r="BR374" s="1021"/>
      <c r="BS374" s="1021"/>
      <c r="BT374" s="1021"/>
      <c r="BU374" s="1021"/>
      <c r="BV374" s="1021"/>
      <c r="BW374" s="1021"/>
      <c r="BX374" s="1021"/>
      <c r="BY374" s="1021"/>
      <c r="BZ374" s="1021"/>
      <c r="CA374" s="1021"/>
      <c r="CB374" s="1021"/>
      <c r="CC374" s="1021"/>
    </row>
    <row r="375" spans="8:81" x14ac:dyDescent="0.25">
      <c r="H375" s="1021"/>
      <c r="I375" s="1021"/>
      <c r="J375" s="1021"/>
      <c r="K375" s="1021"/>
      <c r="L375" s="1021"/>
      <c r="M375" s="1021"/>
      <c r="N375" s="1021"/>
      <c r="O375" s="1021"/>
      <c r="P375" s="1021"/>
      <c r="Q375" s="1021"/>
      <c r="R375" s="1021"/>
      <c r="S375" s="1021"/>
      <c r="T375" s="1021"/>
      <c r="U375" s="1021"/>
      <c r="V375" s="1021"/>
      <c r="W375" s="1021"/>
      <c r="X375" s="1021"/>
      <c r="Y375" s="1021"/>
      <c r="Z375" s="1021"/>
      <c r="AA375" s="1021"/>
      <c r="AB375" s="1021"/>
      <c r="AC375" s="1021"/>
      <c r="AD375" s="1021"/>
      <c r="AE375" s="1021"/>
      <c r="AF375" s="1021"/>
      <c r="AG375" s="1021"/>
      <c r="AH375" s="1021"/>
      <c r="AI375" s="1021"/>
      <c r="AJ375" s="1021"/>
      <c r="AK375" s="1021"/>
      <c r="AL375" s="1021"/>
      <c r="AM375" s="1021"/>
      <c r="AN375" s="1021"/>
      <c r="AO375" s="1021"/>
      <c r="AP375" s="1021"/>
      <c r="AQ375" s="1021"/>
      <c r="AR375" s="1021"/>
      <c r="AS375" s="1021"/>
      <c r="AT375" s="1021"/>
      <c r="AU375" s="1021"/>
      <c r="AV375" s="1021"/>
      <c r="AW375" s="1021"/>
      <c r="AX375" s="1021"/>
      <c r="AY375" s="1021"/>
      <c r="AZ375" s="1021"/>
      <c r="BA375" s="1021"/>
      <c r="BB375" s="1021"/>
      <c r="BC375" s="1021"/>
      <c r="BD375" s="1021"/>
      <c r="BE375" s="1021"/>
      <c r="BF375" s="1021"/>
      <c r="BG375" s="1021"/>
      <c r="BH375" s="1021"/>
      <c r="BI375" s="1021"/>
      <c r="BJ375" s="1021"/>
      <c r="BK375" s="1021"/>
      <c r="BL375" s="1021"/>
      <c r="BM375" s="1021"/>
      <c r="BN375" s="1021"/>
      <c r="BO375" s="1021"/>
      <c r="BP375" s="1021"/>
      <c r="BQ375" s="1021"/>
      <c r="BR375" s="1021"/>
      <c r="BS375" s="1021"/>
      <c r="BT375" s="1021"/>
      <c r="BU375" s="1021"/>
      <c r="BV375" s="1021"/>
      <c r="BW375" s="1021"/>
      <c r="BX375" s="1021"/>
      <c r="BY375" s="1021"/>
      <c r="BZ375" s="1021"/>
      <c r="CA375" s="1021"/>
      <c r="CB375" s="1021"/>
      <c r="CC375" s="1021"/>
    </row>
    <row r="376" spans="8:81" x14ac:dyDescent="0.25">
      <c r="H376" s="1021"/>
      <c r="I376" s="1021"/>
      <c r="J376" s="1021"/>
      <c r="K376" s="1021"/>
      <c r="L376" s="1021"/>
      <c r="M376" s="1021"/>
      <c r="N376" s="1021"/>
      <c r="O376" s="1021"/>
      <c r="P376" s="1021"/>
      <c r="Q376" s="1021"/>
      <c r="R376" s="1021"/>
      <c r="S376" s="1021"/>
      <c r="T376" s="1021"/>
      <c r="U376" s="1021"/>
      <c r="V376" s="1021"/>
      <c r="W376" s="1021"/>
      <c r="X376" s="1021"/>
      <c r="Y376" s="1021"/>
      <c r="Z376" s="1021"/>
      <c r="AA376" s="1021"/>
      <c r="AB376" s="1021"/>
      <c r="AC376" s="1021"/>
      <c r="AD376" s="1021"/>
      <c r="AE376" s="1021"/>
      <c r="AF376" s="1021"/>
      <c r="AG376" s="1021"/>
      <c r="AH376" s="1021"/>
      <c r="AI376" s="1021"/>
      <c r="AJ376" s="1021"/>
      <c r="AK376" s="1021"/>
      <c r="AL376" s="1021"/>
      <c r="AM376" s="1021"/>
      <c r="AN376" s="1021"/>
      <c r="AO376" s="1021"/>
      <c r="AP376" s="1021"/>
      <c r="AQ376" s="1021"/>
      <c r="AR376" s="1021"/>
      <c r="AS376" s="1021"/>
      <c r="AT376" s="1021"/>
      <c r="AU376" s="1021"/>
      <c r="AV376" s="1021"/>
      <c r="AW376" s="1021"/>
      <c r="AX376" s="1021"/>
      <c r="AY376" s="1021"/>
      <c r="AZ376" s="1021"/>
      <c r="BA376" s="1021"/>
      <c r="BB376" s="1021"/>
      <c r="BC376" s="1021"/>
      <c r="BD376" s="1021"/>
      <c r="BE376" s="1021"/>
      <c r="BF376" s="1021"/>
      <c r="BG376" s="1021"/>
      <c r="BH376" s="1021"/>
      <c r="BI376" s="1021"/>
      <c r="BJ376" s="1021"/>
      <c r="BK376" s="1021"/>
      <c r="BL376" s="1021"/>
      <c r="BM376" s="1021"/>
      <c r="BN376" s="1021"/>
      <c r="BO376" s="1021"/>
      <c r="BP376" s="1021"/>
      <c r="BQ376" s="1021"/>
      <c r="BR376" s="1021"/>
      <c r="BS376" s="1021"/>
      <c r="BT376" s="1021"/>
      <c r="BU376" s="1021"/>
      <c r="BV376" s="1021"/>
      <c r="BW376" s="1021"/>
      <c r="BX376" s="1021"/>
      <c r="BY376" s="1021"/>
      <c r="BZ376" s="1021"/>
      <c r="CA376" s="1021"/>
      <c r="CB376" s="1021"/>
      <c r="CC376" s="1021"/>
    </row>
    <row r="377" spans="8:81" x14ac:dyDescent="0.25">
      <c r="H377" s="1021"/>
      <c r="I377" s="1021"/>
      <c r="J377" s="1021"/>
      <c r="K377" s="1021"/>
      <c r="L377" s="1021"/>
      <c r="M377" s="1021"/>
      <c r="N377" s="1021"/>
      <c r="O377" s="1021"/>
      <c r="P377" s="1021"/>
      <c r="Q377" s="1021"/>
      <c r="R377" s="1021"/>
      <c r="S377" s="1021"/>
      <c r="T377" s="1021"/>
      <c r="U377" s="1021"/>
      <c r="V377" s="1021"/>
      <c r="W377" s="1021"/>
      <c r="X377" s="1021"/>
      <c r="Y377" s="1021"/>
      <c r="Z377" s="1021"/>
      <c r="AA377" s="1021"/>
      <c r="AB377" s="1021"/>
      <c r="AC377" s="1021"/>
      <c r="AD377" s="1021"/>
      <c r="AE377" s="1021"/>
      <c r="AF377" s="1021"/>
      <c r="AG377" s="1021"/>
      <c r="AH377" s="1021"/>
      <c r="AI377" s="1021"/>
      <c r="AJ377" s="1021"/>
      <c r="AK377" s="1021"/>
      <c r="AL377" s="1021"/>
      <c r="AM377" s="1021"/>
      <c r="AN377" s="1021"/>
      <c r="AO377" s="1021"/>
      <c r="AP377" s="1021"/>
      <c r="AQ377" s="1021"/>
      <c r="AR377" s="1021"/>
      <c r="AS377" s="1021"/>
      <c r="AT377" s="1021"/>
      <c r="AU377" s="1021"/>
      <c r="AV377" s="1021"/>
      <c r="AW377" s="1021"/>
      <c r="AX377" s="1021"/>
      <c r="AY377" s="1021"/>
      <c r="AZ377" s="1021"/>
      <c r="BA377" s="1021"/>
      <c r="BB377" s="1021"/>
      <c r="BC377" s="1021"/>
      <c r="BD377" s="1021"/>
      <c r="BE377" s="1021"/>
      <c r="BF377" s="1021"/>
      <c r="BG377" s="1021"/>
      <c r="BH377" s="1021"/>
      <c r="BI377" s="1021"/>
      <c r="BJ377" s="1021"/>
      <c r="BK377" s="1021"/>
      <c r="BL377" s="1021"/>
      <c r="BM377" s="1021"/>
      <c r="BN377" s="1021"/>
      <c r="BO377" s="1021"/>
      <c r="BP377" s="1021"/>
      <c r="BQ377" s="1021"/>
      <c r="BR377" s="1021"/>
      <c r="BS377" s="1021"/>
      <c r="BT377" s="1021"/>
      <c r="BU377" s="1021"/>
      <c r="BV377" s="1021"/>
      <c r="BW377" s="1021"/>
      <c r="BX377" s="1021"/>
      <c r="BY377" s="1021"/>
      <c r="BZ377" s="1021"/>
      <c r="CA377" s="1021"/>
      <c r="CB377" s="1021"/>
      <c r="CC377" s="1021"/>
    </row>
    <row r="378" spans="8:81" x14ac:dyDescent="0.25">
      <c r="H378" s="1021"/>
      <c r="I378" s="1021"/>
      <c r="J378" s="1021"/>
      <c r="K378" s="1021"/>
      <c r="L378" s="1021"/>
      <c r="M378" s="1021"/>
      <c r="N378" s="1021"/>
      <c r="O378" s="1021"/>
      <c r="P378" s="1021"/>
      <c r="Q378" s="1021"/>
      <c r="R378" s="1021"/>
      <c r="S378" s="1021"/>
      <c r="T378" s="1021"/>
      <c r="U378" s="1021"/>
      <c r="V378" s="1021"/>
      <c r="W378" s="1021"/>
      <c r="X378" s="1021"/>
      <c r="Y378" s="1021"/>
      <c r="Z378" s="1021"/>
      <c r="AA378" s="1021"/>
      <c r="AB378" s="1021"/>
      <c r="AC378" s="1021"/>
      <c r="AD378" s="1021"/>
      <c r="AE378" s="1021"/>
      <c r="AF378" s="1021"/>
      <c r="AG378" s="1021"/>
      <c r="AH378" s="1021"/>
      <c r="AI378" s="1021"/>
      <c r="AJ378" s="1021"/>
      <c r="AK378" s="1021"/>
      <c r="AL378" s="1021"/>
      <c r="AM378" s="1021"/>
      <c r="AN378" s="1021"/>
      <c r="AO378" s="1021"/>
      <c r="AP378" s="1021"/>
      <c r="AQ378" s="1021"/>
      <c r="AR378" s="1021"/>
      <c r="AS378" s="1021"/>
      <c r="AT378" s="1021"/>
      <c r="AU378" s="1021"/>
      <c r="AV378" s="1021"/>
      <c r="AW378" s="1021"/>
      <c r="AX378" s="1021"/>
      <c r="AY378" s="1021"/>
      <c r="AZ378" s="1021"/>
      <c r="BA378" s="1021"/>
      <c r="BB378" s="1021"/>
      <c r="BC378" s="1021"/>
      <c r="BD378" s="1021"/>
      <c r="BE378" s="1021"/>
      <c r="BF378" s="1021"/>
      <c r="BG378" s="1021"/>
      <c r="BH378" s="1021"/>
      <c r="BI378" s="1021"/>
      <c r="BJ378" s="1021"/>
      <c r="BK378" s="1021"/>
      <c r="BL378" s="1021"/>
      <c r="BM378" s="1021"/>
      <c r="BN378" s="1021"/>
      <c r="BO378" s="1021"/>
      <c r="BP378" s="1021"/>
      <c r="BQ378" s="1021"/>
      <c r="BR378" s="1021"/>
      <c r="BS378" s="1021"/>
      <c r="BT378" s="1021"/>
      <c r="BU378" s="1021"/>
      <c r="BV378" s="1021"/>
      <c r="BW378" s="1021"/>
      <c r="BX378" s="1021"/>
      <c r="BY378" s="1021"/>
      <c r="BZ378" s="1021"/>
      <c r="CA378" s="1021"/>
      <c r="CB378" s="1021"/>
      <c r="CC378" s="1021"/>
    </row>
    <row r="379" spans="8:81" x14ac:dyDescent="0.25">
      <c r="H379" s="1021"/>
      <c r="I379" s="1021"/>
      <c r="J379" s="1021"/>
      <c r="K379" s="1021"/>
      <c r="L379" s="1021"/>
      <c r="M379" s="1021"/>
      <c r="N379" s="1021"/>
      <c r="O379" s="1021"/>
      <c r="P379" s="1021"/>
      <c r="Q379" s="1021"/>
      <c r="R379" s="1021"/>
      <c r="S379" s="1021"/>
      <c r="T379" s="1021"/>
      <c r="U379" s="1021"/>
      <c r="V379" s="1021"/>
      <c r="W379" s="1021"/>
      <c r="X379" s="1021"/>
      <c r="Y379" s="1021"/>
      <c r="Z379" s="1021"/>
      <c r="AA379" s="1021"/>
      <c r="AB379" s="1021"/>
      <c r="AC379" s="1021"/>
      <c r="AD379" s="1021"/>
      <c r="AE379" s="1021"/>
      <c r="AF379" s="1021"/>
      <c r="AG379" s="1021"/>
      <c r="AH379" s="1021"/>
      <c r="AI379" s="1021"/>
      <c r="AJ379" s="1021"/>
      <c r="AK379" s="1021"/>
      <c r="AL379" s="1021"/>
      <c r="AM379" s="1021"/>
      <c r="AN379" s="1021"/>
      <c r="AO379" s="1021"/>
      <c r="AP379" s="1021"/>
      <c r="AQ379" s="1021"/>
      <c r="AR379" s="1021"/>
      <c r="AS379" s="1021"/>
      <c r="AT379" s="1021"/>
      <c r="AU379" s="1021"/>
      <c r="AV379" s="1021"/>
      <c r="AW379" s="1021"/>
      <c r="AX379" s="1021"/>
      <c r="AY379" s="1021"/>
      <c r="AZ379" s="1021"/>
      <c r="BA379" s="1021"/>
      <c r="BB379" s="1021"/>
      <c r="BC379" s="1021"/>
      <c r="BD379" s="1021"/>
      <c r="BE379" s="1021"/>
      <c r="BF379" s="1021"/>
      <c r="BG379" s="1021"/>
      <c r="BH379" s="1021"/>
      <c r="BI379" s="1021"/>
      <c r="BJ379" s="1021"/>
      <c r="BK379" s="1021"/>
      <c r="BL379" s="1021"/>
      <c r="BM379" s="1021"/>
      <c r="BN379" s="1021"/>
      <c r="BO379" s="1021"/>
      <c r="BP379" s="1021"/>
      <c r="BQ379" s="1021"/>
      <c r="BR379" s="1021"/>
      <c r="BS379" s="1021"/>
      <c r="BT379" s="1021"/>
      <c r="BU379" s="1021"/>
      <c r="BV379" s="1021"/>
      <c r="BW379" s="1021"/>
      <c r="BX379" s="1021"/>
      <c r="BY379" s="1021"/>
      <c r="BZ379" s="1021"/>
      <c r="CA379" s="1021"/>
      <c r="CB379" s="1021"/>
      <c r="CC379" s="1021"/>
    </row>
    <row r="380" spans="8:81" x14ac:dyDescent="0.25">
      <c r="H380" s="1021"/>
      <c r="I380" s="1021"/>
      <c r="J380" s="1021"/>
      <c r="K380" s="1021"/>
      <c r="L380" s="1021"/>
      <c r="M380" s="1021"/>
      <c r="N380" s="1021"/>
      <c r="O380" s="1021"/>
      <c r="P380" s="1021"/>
      <c r="Q380" s="1021"/>
      <c r="R380" s="1021"/>
      <c r="S380" s="1021"/>
      <c r="T380" s="1021"/>
      <c r="U380" s="1021"/>
      <c r="V380" s="1021"/>
      <c r="W380" s="1021"/>
      <c r="X380" s="1021"/>
      <c r="Y380" s="1021"/>
      <c r="Z380" s="1021"/>
      <c r="AA380" s="1021"/>
      <c r="AB380" s="1021"/>
      <c r="AC380" s="1021"/>
      <c r="AD380" s="1021"/>
      <c r="AE380" s="1021"/>
      <c r="AF380" s="1021"/>
      <c r="AG380" s="1021"/>
      <c r="AH380" s="1021"/>
      <c r="AI380" s="1021"/>
      <c r="AJ380" s="1021"/>
      <c r="AK380" s="1021"/>
      <c r="AL380" s="1021"/>
      <c r="AM380" s="1021"/>
      <c r="AN380" s="1021"/>
      <c r="AO380" s="1021"/>
      <c r="AP380" s="1021"/>
      <c r="AQ380" s="1021"/>
      <c r="AR380" s="1021"/>
      <c r="AS380" s="1021"/>
      <c r="AT380" s="1021"/>
      <c r="AU380" s="1021"/>
      <c r="AV380" s="1021"/>
      <c r="AW380" s="1021"/>
      <c r="AX380" s="1021"/>
      <c r="AY380" s="1021"/>
      <c r="AZ380" s="1021"/>
      <c r="BA380" s="1021"/>
      <c r="BB380" s="1021"/>
      <c r="BC380" s="1021"/>
      <c r="BD380" s="1021"/>
      <c r="BE380" s="1021"/>
      <c r="BF380" s="1021"/>
      <c r="BG380" s="1021"/>
      <c r="BH380" s="1021"/>
      <c r="BI380" s="1021"/>
      <c r="BJ380" s="1021"/>
      <c r="BK380" s="1021"/>
      <c r="BL380" s="1021"/>
      <c r="BM380" s="1021"/>
      <c r="BN380" s="1021"/>
      <c r="BO380" s="1021"/>
      <c r="BP380" s="1021"/>
      <c r="BQ380" s="1021"/>
      <c r="BR380" s="1021"/>
      <c r="BS380" s="1021"/>
      <c r="BT380" s="1021"/>
      <c r="BU380" s="1021"/>
      <c r="BV380" s="1021"/>
      <c r="BW380" s="1021"/>
      <c r="BX380" s="1021"/>
      <c r="BY380" s="1021"/>
      <c r="BZ380" s="1021"/>
      <c r="CA380" s="1021"/>
      <c r="CB380" s="1021"/>
      <c r="CC380" s="1021"/>
    </row>
    <row r="381" spans="8:81" x14ac:dyDescent="0.25">
      <c r="H381" s="1021"/>
      <c r="I381" s="1021"/>
      <c r="J381" s="1021"/>
      <c r="K381" s="1021"/>
      <c r="L381" s="1021"/>
      <c r="M381" s="1021"/>
      <c r="N381" s="1021"/>
      <c r="O381" s="1021"/>
      <c r="P381" s="1021"/>
      <c r="Q381" s="1021"/>
      <c r="R381" s="1021"/>
      <c r="S381" s="1021"/>
      <c r="T381" s="1021"/>
      <c r="U381" s="1021"/>
      <c r="V381" s="1021"/>
      <c r="W381" s="1021"/>
      <c r="X381" s="1021"/>
      <c r="Y381" s="1021"/>
      <c r="Z381" s="1021"/>
      <c r="AA381" s="1021"/>
      <c r="AB381" s="1021"/>
      <c r="AC381" s="1021"/>
      <c r="AD381" s="1021"/>
      <c r="AE381" s="1021"/>
      <c r="AF381" s="1021"/>
      <c r="AG381" s="1021"/>
      <c r="AH381" s="1021"/>
      <c r="AI381" s="1021"/>
      <c r="AJ381" s="1021"/>
      <c r="AK381" s="1021"/>
      <c r="AL381" s="1021"/>
      <c r="AM381" s="1021"/>
      <c r="AN381" s="1021"/>
      <c r="AO381" s="1021"/>
      <c r="AP381" s="1021"/>
      <c r="AQ381" s="1021"/>
      <c r="AR381" s="1021"/>
      <c r="AS381" s="1021"/>
      <c r="AT381" s="1021"/>
      <c r="AU381" s="1021"/>
      <c r="AV381" s="1021"/>
      <c r="AW381" s="1021"/>
      <c r="AX381" s="1021"/>
      <c r="AY381" s="1021"/>
      <c r="AZ381" s="1021"/>
      <c r="BA381" s="1021"/>
      <c r="BB381" s="1021"/>
      <c r="BC381" s="1021"/>
      <c r="BD381" s="1021"/>
      <c r="BE381" s="1021"/>
      <c r="BF381" s="1021"/>
      <c r="BG381" s="1021"/>
      <c r="BH381" s="1021"/>
      <c r="BI381" s="1021"/>
      <c r="BJ381" s="1021"/>
      <c r="BK381" s="1021"/>
      <c r="BL381" s="1021"/>
      <c r="BM381" s="1021"/>
      <c r="BN381" s="1021"/>
      <c r="BO381" s="1021"/>
      <c r="BP381" s="1021"/>
      <c r="BQ381" s="1021"/>
      <c r="BR381" s="1021"/>
      <c r="BS381" s="1021"/>
      <c r="BT381" s="1021"/>
      <c r="BU381" s="1021"/>
      <c r="BV381" s="1021"/>
      <c r="BW381" s="1021"/>
      <c r="BX381" s="1021"/>
      <c r="BY381" s="1021"/>
      <c r="BZ381" s="1021"/>
      <c r="CA381" s="1021"/>
      <c r="CB381" s="1021"/>
      <c r="CC381" s="1021"/>
    </row>
    <row r="382" spans="8:81" x14ac:dyDescent="0.25">
      <c r="H382" s="1021"/>
      <c r="I382" s="1021"/>
      <c r="J382" s="1021"/>
      <c r="K382" s="1021"/>
      <c r="L382" s="1021"/>
      <c r="M382" s="1021"/>
      <c r="N382" s="1021"/>
      <c r="O382" s="1021"/>
      <c r="P382" s="1021"/>
      <c r="Q382" s="1021"/>
      <c r="R382" s="1021"/>
      <c r="S382" s="1021"/>
      <c r="T382" s="1021"/>
      <c r="U382" s="1021"/>
      <c r="V382" s="1021"/>
      <c r="W382" s="1021"/>
      <c r="X382" s="1021"/>
      <c r="Y382" s="1021"/>
      <c r="Z382" s="1021"/>
      <c r="AA382" s="1021"/>
      <c r="AB382" s="1021"/>
      <c r="AC382" s="1021"/>
      <c r="AD382" s="1021"/>
      <c r="AE382" s="1021"/>
      <c r="AF382" s="1021"/>
      <c r="AG382" s="1021"/>
      <c r="AH382" s="1021"/>
      <c r="AI382" s="1021"/>
      <c r="AJ382" s="1021"/>
      <c r="AK382" s="1021"/>
      <c r="AL382" s="1021"/>
      <c r="AM382" s="1021"/>
      <c r="AN382" s="1021"/>
      <c r="AO382" s="1021"/>
      <c r="AP382" s="1021"/>
      <c r="AQ382" s="1021"/>
      <c r="AR382" s="1021"/>
      <c r="AS382" s="1021"/>
      <c r="AT382" s="1021"/>
      <c r="AU382" s="1021"/>
      <c r="AV382" s="1021"/>
      <c r="AW382" s="1021"/>
      <c r="AX382" s="1021"/>
      <c r="AY382" s="1021"/>
      <c r="AZ382" s="1021"/>
      <c r="BA382" s="1021"/>
      <c r="BB382" s="1021"/>
      <c r="BC382" s="1021"/>
      <c r="BD382" s="1021"/>
      <c r="BE382" s="1021"/>
      <c r="BF382" s="1021"/>
      <c r="BG382" s="1021"/>
      <c r="BH382" s="1021"/>
      <c r="BI382" s="1021"/>
      <c r="BJ382" s="1021"/>
      <c r="BK382" s="1021"/>
      <c r="BL382" s="1021"/>
      <c r="BM382" s="1021"/>
      <c r="BN382" s="1021"/>
      <c r="BO382" s="1021"/>
      <c r="BP382" s="1021"/>
      <c r="BQ382" s="1021"/>
      <c r="BR382" s="1021"/>
      <c r="BS382" s="1021"/>
      <c r="BT382" s="1021"/>
      <c r="BU382" s="1021"/>
      <c r="BV382" s="1021"/>
      <c r="BW382" s="1021"/>
      <c r="BX382" s="1021"/>
      <c r="BY382" s="1021"/>
      <c r="BZ382" s="1021"/>
      <c r="CA382" s="1021"/>
      <c r="CB382" s="1021"/>
      <c r="CC382" s="1021"/>
    </row>
    <row r="383" spans="8:81" x14ac:dyDescent="0.25">
      <c r="H383" s="1021"/>
      <c r="I383" s="1021"/>
      <c r="J383" s="1021"/>
      <c r="K383" s="1021"/>
      <c r="L383" s="1021"/>
      <c r="M383" s="1021"/>
      <c r="N383" s="1021"/>
      <c r="O383" s="1021"/>
      <c r="P383" s="1021"/>
      <c r="Q383" s="1021"/>
      <c r="R383" s="1021"/>
      <c r="S383" s="1021"/>
      <c r="T383" s="1021"/>
      <c r="U383" s="1021"/>
      <c r="V383" s="1021"/>
      <c r="W383" s="1021"/>
      <c r="X383" s="1021"/>
      <c r="Y383" s="1021"/>
      <c r="Z383" s="1021"/>
      <c r="AA383" s="1021"/>
      <c r="AB383" s="1021"/>
      <c r="AC383" s="1021"/>
      <c r="AD383" s="1021"/>
      <c r="AE383" s="1021"/>
      <c r="AF383" s="1021"/>
      <c r="AG383" s="1021"/>
      <c r="AH383" s="1021"/>
      <c r="AI383" s="1021"/>
      <c r="AJ383" s="1021"/>
      <c r="AK383" s="1021"/>
      <c r="AL383" s="1021"/>
      <c r="AM383" s="1021"/>
      <c r="AN383" s="1021"/>
      <c r="AO383" s="1021"/>
      <c r="AP383" s="1021"/>
      <c r="AQ383" s="1021"/>
      <c r="AR383" s="1021"/>
      <c r="AS383" s="1021"/>
      <c r="AT383" s="1021"/>
      <c r="AU383" s="1021"/>
      <c r="AV383" s="1021"/>
      <c r="AW383" s="1021"/>
      <c r="AX383" s="1021"/>
      <c r="AY383" s="1021"/>
      <c r="AZ383" s="1021"/>
      <c r="BA383" s="1021"/>
      <c r="BB383" s="1021"/>
      <c r="BC383" s="1021"/>
      <c r="BD383" s="1021"/>
      <c r="BE383" s="1021"/>
      <c r="BF383" s="1021"/>
      <c r="BG383" s="1021"/>
      <c r="BH383" s="1021"/>
      <c r="BI383" s="1021"/>
      <c r="BJ383" s="1021"/>
      <c r="BK383" s="1021"/>
      <c r="BL383" s="1021"/>
      <c r="BM383" s="1021"/>
      <c r="BN383" s="1021"/>
      <c r="BO383" s="1021"/>
      <c r="BP383" s="1021"/>
      <c r="BQ383" s="1021"/>
      <c r="BR383" s="1021"/>
      <c r="BS383" s="1021"/>
      <c r="BT383" s="1021"/>
      <c r="BU383" s="1021"/>
      <c r="BV383" s="1021"/>
      <c r="BW383" s="1021"/>
      <c r="BX383" s="1021"/>
      <c r="BY383" s="1021"/>
      <c r="BZ383" s="1021"/>
      <c r="CA383" s="1021"/>
      <c r="CB383" s="1021"/>
      <c r="CC383" s="1021"/>
    </row>
    <row r="384" spans="8:81" x14ac:dyDescent="0.25">
      <c r="H384" s="1021"/>
      <c r="I384" s="1021"/>
      <c r="J384" s="1021"/>
      <c r="K384" s="1021"/>
      <c r="L384" s="1021"/>
      <c r="M384" s="1021"/>
      <c r="N384" s="1021"/>
      <c r="O384" s="1021"/>
      <c r="P384" s="1021"/>
      <c r="Q384" s="1021"/>
      <c r="R384" s="1021"/>
      <c r="S384" s="1021"/>
      <c r="T384" s="1021"/>
      <c r="U384" s="1021"/>
      <c r="V384" s="1021"/>
      <c r="W384" s="1021"/>
      <c r="X384" s="1021"/>
      <c r="Y384" s="1021"/>
      <c r="Z384" s="1021"/>
      <c r="AA384" s="1021"/>
      <c r="AB384" s="1021"/>
      <c r="AC384" s="1021"/>
      <c r="AD384" s="1021"/>
      <c r="AE384" s="1021"/>
      <c r="AF384" s="1021"/>
      <c r="AG384" s="1021"/>
      <c r="AH384" s="1021"/>
      <c r="AI384" s="1021"/>
      <c r="AJ384" s="1021"/>
      <c r="AK384" s="1021"/>
      <c r="AL384" s="1021"/>
      <c r="AM384" s="1021"/>
      <c r="AN384" s="1021"/>
      <c r="AO384" s="1021"/>
      <c r="AP384" s="1021"/>
      <c r="AQ384" s="1021"/>
      <c r="AR384" s="1021"/>
      <c r="AS384" s="1021"/>
      <c r="AT384" s="1021"/>
      <c r="AU384" s="1021"/>
      <c r="AV384" s="1021"/>
      <c r="AW384" s="1021"/>
      <c r="AX384" s="1021"/>
      <c r="AY384" s="1021"/>
      <c r="AZ384" s="1021"/>
      <c r="BA384" s="1021"/>
      <c r="BB384" s="1021"/>
      <c r="BC384" s="1021"/>
      <c r="BD384" s="1021"/>
      <c r="BE384" s="1021"/>
      <c r="BF384" s="1021"/>
      <c r="BG384" s="1021"/>
      <c r="BH384" s="1021"/>
      <c r="BI384" s="1021"/>
      <c r="BJ384" s="1021"/>
      <c r="BK384" s="1021"/>
      <c r="BL384" s="1021"/>
      <c r="BM384" s="1021"/>
      <c r="BN384" s="1021"/>
      <c r="BO384" s="1021"/>
      <c r="BP384" s="1021"/>
      <c r="BQ384" s="1021"/>
      <c r="BR384" s="1021"/>
      <c r="BS384" s="1021"/>
      <c r="BT384" s="1021"/>
      <c r="BU384" s="1021"/>
      <c r="BV384" s="1021"/>
      <c r="BW384" s="1021"/>
      <c r="BX384" s="1021"/>
      <c r="BY384" s="1021"/>
      <c r="BZ384" s="1021"/>
      <c r="CA384" s="1021"/>
      <c r="CB384" s="1021"/>
      <c r="CC384" s="1021"/>
    </row>
    <row r="385" spans="8:81" x14ac:dyDescent="0.25">
      <c r="H385" s="1021"/>
      <c r="I385" s="1021"/>
      <c r="J385" s="1021"/>
      <c r="K385" s="1021"/>
      <c r="L385" s="1021"/>
      <c r="M385" s="1021"/>
      <c r="N385" s="1021"/>
      <c r="O385" s="1021"/>
      <c r="P385" s="1021"/>
      <c r="Q385" s="1021"/>
      <c r="R385" s="1021"/>
      <c r="S385" s="1021"/>
      <c r="T385" s="1021"/>
      <c r="U385" s="1021"/>
      <c r="V385" s="1021"/>
      <c r="W385" s="1021"/>
      <c r="X385" s="1021"/>
      <c r="Y385" s="1021"/>
      <c r="Z385" s="1021"/>
      <c r="AA385" s="1021"/>
      <c r="AB385" s="1021"/>
      <c r="AC385" s="1021"/>
      <c r="AD385" s="1021"/>
      <c r="AE385" s="1021"/>
      <c r="AF385" s="1021"/>
      <c r="AG385" s="1021"/>
      <c r="AH385" s="1021"/>
      <c r="AI385" s="1021"/>
      <c r="AJ385" s="1021"/>
      <c r="AK385" s="1021"/>
      <c r="AL385" s="1021"/>
      <c r="AM385" s="1021"/>
      <c r="AN385" s="1021"/>
      <c r="AO385" s="1021"/>
      <c r="AP385" s="1021"/>
      <c r="AQ385" s="1021"/>
      <c r="AR385" s="1021"/>
      <c r="AS385" s="1021"/>
      <c r="AT385" s="1021"/>
      <c r="AU385" s="1021"/>
      <c r="AV385" s="1021"/>
      <c r="AW385" s="1021"/>
      <c r="AX385" s="1021"/>
      <c r="AY385" s="1021"/>
      <c r="AZ385" s="1021"/>
      <c r="BA385" s="1021"/>
      <c r="BB385" s="1021"/>
      <c r="BC385" s="1021"/>
      <c r="BD385" s="1021"/>
      <c r="BE385" s="1021"/>
      <c r="BF385" s="1021"/>
      <c r="BG385" s="1021"/>
      <c r="BH385" s="1021"/>
      <c r="BI385" s="1021"/>
      <c r="BJ385" s="1021"/>
      <c r="BK385" s="1021"/>
      <c r="BL385" s="1021"/>
      <c r="BM385" s="1021"/>
      <c r="BN385" s="1021"/>
      <c r="BO385" s="1021"/>
      <c r="BP385" s="1021"/>
      <c r="BQ385" s="1021"/>
      <c r="BR385" s="1021"/>
      <c r="BS385" s="1021"/>
      <c r="BT385" s="1021"/>
      <c r="BU385" s="1021"/>
      <c r="BV385" s="1021"/>
      <c r="BW385" s="1021"/>
      <c r="BX385" s="1021"/>
      <c r="BY385" s="1021"/>
      <c r="BZ385" s="1021"/>
      <c r="CA385" s="1021"/>
      <c r="CB385" s="1021"/>
      <c r="CC385" s="1021"/>
    </row>
    <row r="386" spans="8:81" x14ac:dyDescent="0.25">
      <c r="H386" s="1021"/>
      <c r="I386" s="1021"/>
      <c r="J386" s="1021"/>
      <c r="K386" s="1021"/>
      <c r="L386" s="1021"/>
      <c r="M386" s="1021"/>
      <c r="N386" s="1021"/>
      <c r="O386" s="1021"/>
      <c r="P386" s="1021"/>
      <c r="Q386" s="1021"/>
      <c r="R386" s="1021"/>
      <c r="S386" s="1021"/>
      <c r="T386" s="1021"/>
      <c r="U386" s="1021"/>
      <c r="V386" s="1021"/>
      <c r="W386" s="1021"/>
      <c r="X386" s="1021"/>
      <c r="Y386" s="1021"/>
      <c r="Z386" s="1021"/>
      <c r="AA386" s="1021"/>
      <c r="AB386" s="1021"/>
      <c r="AC386" s="1021"/>
      <c r="AD386" s="1021"/>
      <c r="AE386" s="1021"/>
      <c r="AF386" s="1021"/>
      <c r="AG386" s="1021"/>
      <c r="AH386" s="1021"/>
      <c r="AI386" s="1021"/>
      <c r="AJ386" s="1021"/>
      <c r="AK386" s="1021"/>
      <c r="AL386" s="1021"/>
      <c r="AM386" s="1021"/>
      <c r="AN386" s="1021"/>
      <c r="AO386" s="1021"/>
      <c r="AP386" s="1021"/>
      <c r="AQ386" s="1021"/>
      <c r="AR386" s="1021"/>
      <c r="AS386" s="1021"/>
      <c r="AT386" s="1021"/>
      <c r="AU386" s="1021"/>
      <c r="AV386" s="1021"/>
      <c r="AW386" s="1021"/>
      <c r="AX386" s="1021"/>
      <c r="AY386" s="1021"/>
      <c r="AZ386" s="1021"/>
      <c r="BA386" s="1021"/>
      <c r="BB386" s="1021"/>
      <c r="BC386" s="1021"/>
      <c r="BD386" s="1021"/>
      <c r="BE386" s="1021"/>
      <c r="BF386" s="1021"/>
      <c r="BG386" s="1021"/>
      <c r="BH386" s="1021"/>
      <c r="BI386" s="1021"/>
      <c r="BJ386" s="1021"/>
      <c r="BK386" s="1021"/>
      <c r="BL386" s="1021"/>
      <c r="BM386" s="1021"/>
      <c r="BN386" s="1021"/>
      <c r="BO386" s="1021"/>
      <c r="BP386" s="1021"/>
      <c r="BQ386" s="1021"/>
      <c r="BR386" s="1021"/>
      <c r="BS386" s="1021"/>
      <c r="BT386" s="1021"/>
      <c r="BU386" s="1021"/>
      <c r="BV386" s="1021"/>
      <c r="BW386" s="1021"/>
      <c r="BX386" s="1021"/>
      <c r="BY386" s="1021"/>
      <c r="BZ386" s="1021"/>
      <c r="CA386" s="1021"/>
      <c r="CB386" s="1021"/>
      <c r="CC386" s="1021"/>
    </row>
    <row r="387" spans="8:81" x14ac:dyDescent="0.25">
      <c r="H387" s="1021"/>
      <c r="I387" s="1021"/>
      <c r="J387" s="1021"/>
      <c r="K387" s="1021"/>
      <c r="L387" s="1021"/>
      <c r="M387" s="1021"/>
      <c r="N387" s="1021"/>
      <c r="O387" s="1021"/>
      <c r="P387" s="1021"/>
      <c r="Q387" s="1021"/>
      <c r="R387" s="1021"/>
      <c r="S387" s="1021"/>
      <c r="T387" s="1021"/>
      <c r="U387" s="1021"/>
      <c r="V387" s="1021"/>
      <c r="W387" s="1021"/>
      <c r="X387" s="1021"/>
      <c r="Y387" s="1021"/>
      <c r="Z387" s="1021"/>
      <c r="AA387" s="1021"/>
      <c r="AB387" s="1021"/>
      <c r="AC387" s="1021"/>
      <c r="AD387" s="1021"/>
      <c r="AE387" s="1021"/>
      <c r="AF387" s="1021"/>
      <c r="AG387" s="1021"/>
      <c r="AH387" s="1021"/>
      <c r="AI387" s="1021"/>
      <c r="AJ387" s="1021"/>
      <c r="AK387" s="1021"/>
      <c r="AL387" s="1021"/>
      <c r="AM387" s="1021"/>
      <c r="AN387" s="1021"/>
      <c r="AO387" s="1021"/>
      <c r="AP387" s="1021"/>
      <c r="AQ387" s="1021"/>
      <c r="AR387" s="1021"/>
      <c r="AS387" s="1021"/>
      <c r="AT387" s="1021"/>
      <c r="AU387" s="1021"/>
      <c r="AV387" s="1021"/>
      <c r="AW387" s="1021"/>
      <c r="AX387" s="1021"/>
      <c r="AY387" s="1021"/>
      <c r="AZ387" s="1021"/>
      <c r="BA387" s="1021"/>
      <c r="BB387" s="1021"/>
      <c r="BC387" s="1021"/>
      <c r="BD387" s="1021"/>
      <c r="BE387" s="1021"/>
      <c r="BF387" s="1021"/>
      <c r="BG387" s="1021"/>
      <c r="BH387" s="1021"/>
      <c r="BI387" s="1021"/>
      <c r="BJ387" s="1021"/>
      <c r="BK387" s="1021"/>
      <c r="BL387" s="1021"/>
      <c r="BM387" s="1021"/>
      <c r="BN387" s="1021"/>
      <c r="BO387" s="1021"/>
      <c r="BP387" s="1021"/>
      <c r="BQ387" s="1021"/>
      <c r="BR387" s="1021"/>
      <c r="BS387" s="1021"/>
      <c r="BT387" s="1021"/>
      <c r="BU387" s="1021"/>
      <c r="BV387" s="1021"/>
      <c r="BW387" s="1021"/>
      <c r="BX387" s="1021"/>
      <c r="BY387" s="1021"/>
      <c r="BZ387" s="1021"/>
      <c r="CA387" s="1021"/>
      <c r="CB387" s="1021"/>
      <c r="CC387" s="1021"/>
    </row>
    <row r="388" spans="8:81" x14ac:dyDescent="0.25">
      <c r="H388" s="1021"/>
      <c r="I388" s="1021"/>
      <c r="J388" s="1021"/>
      <c r="K388" s="1021"/>
      <c r="L388" s="1021"/>
      <c r="M388" s="1021"/>
      <c r="N388" s="1021"/>
      <c r="O388" s="1021"/>
      <c r="P388" s="1021"/>
      <c r="Q388" s="1021"/>
      <c r="R388" s="1021"/>
      <c r="S388" s="1021"/>
      <c r="T388" s="1021"/>
      <c r="U388" s="1021"/>
      <c r="V388" s="1021"/>
      <c r="W388" s="1021"/>
      <c r="X388" s="1021"/>
      <c r="Y388" s="1021"/>
      <c r="Z388" s="1021"/>
      <c r="AA388" s="1021"/>
      <c r="AB388" s="1021"/>
      <c r="AC388" s="1021"/>
      <c r="AD388" s="1021"/>
      <c r="AE388" s="1021"/>
      <c r="AF388" s="1021"/>
      <c r="AG388" s="1021"/>
      <c r="AH388" s="1021"/>
      <c r="AI388" s="1021"/>
      <c r="AJ388" s="1021"/>
      <c r="AK388" s="1021"/>
      <c r="AL388" s="1021"/>
      <c r="AM388" s="1021"/>
      <c r="AN388" s="1021"/>
      <c r="AO388" s="1021"/>
      <c r="AP388" s="1021"/>
      <c r="AQ388" s="1021"/>
      <c r="AR388" s="1021"/>
      <c r="AS388" s="1021"/>
      <c r="AT388" s="1021"/>
      <c r="AU388" s="1021"/>
      <c r="AV388" s="1021"/>
      <c r="AW388" s="1021"/>
      <c r="AX388" s="1021"/>
      <c r="AY388" s="1021"/>
      <c r="AZ388" s="1021"/>
      <c r="BA388" s="1021"/>
      <c r="BB388" s="1021"/>
      <c r="BC388" s="1021"/>
      <c r="BD388" s="1021"/>
      <c r="BE388" s="1021"/>
      <c r="BF388" s="1021"/>
      <c r="BG388" s="1021"/>
      <c r="BH388" s="1021"/>
      <c r="BI388" s="1021"/>
      <c r="BJ388" s="1021"/>
      <c r="BK388" s="1021"/>
      <c r="BL388" s="1021"/>
      <c r="BM388" s="1021"/>
      <c r="BN388" s="1021"/>
      <c r="BO388" s="1021"/>
      <c r="BP388" s="1021"/>
      <c r="BQ388" s="1021"/>
      <c r="BR388" s="1021"/>
      <c r="BS388" s="1021"/>
      <c r="BT388" s="1021"/>
      <c r="BU388" s="1021"/>
      <c r="BV388" s="1021"/>
      <c r="BW388" s="1021"/>
      <c r="BX388" s="1021"/>
      <c r="BY388" s="1021"/>
      <c r="BZ388" s="1021"/>
      <c r="CA388" s="1021"/>
      <c r="CB388" s="1021"/>
      <c r="CC388" s="1021"/>
    </row>
    <row r="389" spans="8:81" x14ac:dyDescent="0.25">
      <c r="H389" s="1021"/>
      <c r="I389" s="1021"/>
      <c r="J389" s="1021"/>
      <c r="K389" s="1021"/>
      <c r="L389" s="1021"/>
      <c r="M389" s="1021"/>
      <c r="N389" s="1021"/>
      <c r="O389" s="1021"/>
      <c r="P389" s="1021"/>
      <c r="Q389" s="1021"/>
      <c r="R389" s="1021"/>
      <c r="S389" s="1021"/>
      <c r="T389" s="1021"/>
      <c r="U389" s="1021"/>
      <c r="V389" s="1021"/>
      <c r="W389" s="1021"/>
      <c r="X389" s="1021"/>
      <c r="Y389" s="1021"/>
      <c r="Z389" s="1021"/>
      <c r="AA389" s="1021"/>
      <c r="AB389" s="1021"/>
      <c r="AC389" s="1021"/>
      <c r="AD389" s="1021"/>
      <c r="AE389" s="1021"/>
      <c r="AF389" s="1021"/>
      <c r="AG389" s="1021"/>
      <c r="AH389" s="1021"/>
      <c r="AI389" s="1021"/>
      <c r="AJ389" s="1021"/>
      <c r="AK389" s="1021"/>
      <c r="AL389" s="1021"/>
      <c r="AM389" s="1021"/>
      <c r="AN389" s="1021"/>
      <c r="AO389" s="1021"/>
      <c r="AP389" s="1021"/>
      <c r="AQ389" s="1021"/>
      <c r="AR389" s="1021"/>
      <c r="AS389" s="1021"/>
      <c r="AT389" s="1021"/>
      <c r="AU389" s="1021"/>
      <c r="AV389" s="1021"/>
      <c r="AW389" s="1021"/>
      <c r="AX389" s="1021"/>
      <c r="AY389" s="1021"/>
      <c r="AZ389" s="1021"/>
      <c r="BA389" s="1021"/>
      <c r="BB389" s="1021"/>
      <c r="BC389" s="1021"/>
      <c r="BD389" s="1021"/>
      <c r="BE389" s="1021"/>
      <c r="BF389" s="1021"/>
      <c r="BG389" s="1021"/>
      <c r="BH389" s="1021"/>
      <c r="BI389" s="1021"/>
      <c r="BJ389" s="1021"/>
      <c r="BK389" s="1021"/>
      <c r="BL389" s="1021"/>
      <c r="BM389" s="1021"/>
      <c r="BN389" s="1021"/>
      <c r="BO389" s="1021"/>
      <c r="BP389" s="1021"/>
      <c r="BQ389" s="1021"/>
      <c r="BR389" s="1021"/>
      <c r="BS389" s="1021"/>
      <c r="BT389" s="1021"/>
      <c r="BU389" s="1021"/>
      <c r="BV389" s="1021"/>
      <c r="BW389" s="1021"/>
      <c r="BX389" s="1021"/>
      <c r="BY389" s="1021"/>
      <c r="BZ389" s="1021"/>
      <c r="CA389" s="1021"/>
      <c r="CB389" s="1021"/>
      <c r="CC389" s="1021"/>
    </row>
    <row r="390" spans="8:81" x14ac:dyDescent="0.25">
      <c r="H390" s="1021"/>
      <c r="I390" s="1021"/>
      <c r="J390" s="1021"/>
      <c r="K390" s="1021"/>
      <c r="L390" s="1021"/>
      <c r="M390" s="1021"/>
      <c r="N390" s="1021"/>
      <c r="O390" s="1021"/>
      <c r="P390" s="1021"/>
      <c r="Q390" s="1021"/>
      <c r="R390" s="1021"/>
      <c r="S390" s="1021"/>
      <c r="T390" s="1021"/>
      <c r="U390" s="1021"/>
      <c r="V390" s="1021"/>
      <c r="W390" s="1021"/>
      <c r="X390" s="1021"/>
      <c r="Y390" s="1021"/>
      <c r="Z390" s="1021"/>
      <c r="AA390" s="1021"/>
      <c r="AB390" s="1021"/>
      <c r="AC390" s="1021"/>
      <c r="AD390" s="1021"/>
      <c r="AE390" s="1021"/>
      <c r="AF390" s="1021"/>
      <c r="AG390" s="1021"/>
      <c r="AH390" s="1021"/>
      <c r="AI390" s="1021"/>
      <c r="AJ390" s="1021"/>
      <c r="AK390" s="1021"/>
      <c r="AL390" s="1021"/>
      <c r="AM390" s="1021"/>
      <c r="AN390" s="1021"/>
      <c r="AO390" s="1021"/>
      <c r="AP390" s="1021"/>
      <c r="AQ390" s="1021"/>
      <c r="AR390" s="1021"/>
      <c r="AS390" s="1021"/>
      <c r="AT390" s="1021"/>
      <c r="AU390" s="1021"/>
      <c r="AV390" s="1021"/>
      <c r="AW390" s="1021"/>
      <c r="AX390" s="1021"/>
      <c r="AY390" s="1021"/>
      <c r="AZ390" s="1021"/>
      <c r="BA390" s="1021"/>
      <c r="BB390" s="1021"/>
      <c r="BC390" s="1021"/>
      <c r="BD390" s="1021"/>
      <c r="BE390" s="1021"/>
      <c r="BF390" s="1021"/>
      <c r="BG390" s="1021"/>
      <c r="BH390" s="1021"/>
      <c r="BI390" s="1021"/>
      <c r="BJ390" s="1021"/>
      <c r="BK390" s="1021"/>
      <c r="BL390" s="1021"/>
      <c r="BM390" s="1021"/>
      <c r="BN390" s="1021"/>
      <c r="BO390" s="1021"/>
      <c r="BP390" s="1021"/>
      <c r="BQ390" s="1021"/>
      <c r="BR390" s="1021"/>
      <c r="BS390" s="1021"/>
      <c r="BT390" s="1021"/>
      <c r="BU390" s="1021"/>
      <c r="BV390" s="1021"/>
      <c r="BW390" s="1021"/>
      <c r="BX390" s="1021"/>
      <c r="BY390" s="1021"/>
      <c r="BZ390" s="1021"/>
      <c r="CA390" s="1021"/>
      <c r="CB390" s="1021"/>
      <c r="CC390" s="1021"/>
    </row>
    <row r="391" spans="8:81" x14ac:dyDescent="0.25">
      <c r="H391" s="1021"/>
      <c r="I391" s="1021"/>
      <c r="J391" s="1021"/>
      <c r="K391" s="1021"/>
      <c r="L391" s="1021"/>
      <c r="M391" s="1021"/>
      <c r="N391" s="1021"/>
      <c r="O391" s="1021"/>
      <c r="P391" s="1021"/>
      <c r="Q391" s="1021"/>
      <c r="R391" s="1021"/>
      <c r="S391" s="1021"/>
      <c r="T391" s="1021"/>
      <c r="U391" s="1021"/>
      <c r="V391" s="1021"/>
      <c r="W391" s="1021"/>
      <c r="X391" s="1021"/>
      <c r="Y391" s="1021"/>
      <c r="Z391" s="1021"/>
      <c r="AA391" s="1021"/>
      <c r="AB391" s="1021"/>
      <c r="AC391" s="1021"/>
      <c r="AD391" s="1021"/>
      <c r="AE391" s="1021"/>
      <c r="AF391" s="1021"/>
      <c r="AG391" s="1021"/>
      <c r="AH391" s="1021"/>
      <c r="AI391" s="1021"/>
      <c r="AJ391" s="1021"/>
      <c r="AK391" s="1021"/>
      <c r="AL391" s="1021"/>
      <c r="AM391" s="1021"/>
      <c r="AN391" s="1021"/>
      <c r="AO391" s="1021"/>
      <c r="AP391" s="1021"/>
      <c r="AQ391" s="1021"/>
      <c r="AR391" s="1021"/>
      <c r="AS391" s="1021"/>
      <c r="AT391" s="1021"/>
      <c r="AU391" s="1021"/>
      <c r="AV391" s="1021"/>
      <c r="AW391" s="1021"/>
      <c r="AX391" s="1021"/>
      <c r="AY391" s="1021"/>
      <c r="AZ391" s="1021"/>
      <c r="BA391" s="1021"/>
      <c r="BB391" s="1021"/>
      <c r="BC391" s="1021"/>
      <c r="BD391" s="1021"/>
      <c r="BE391" s="1021"/>
      <c r="BF391" s="1021"/>
      <c r="BG391" s="1021"/>
      <c r="BH391" s="1021"/>
      <c r="BI391" s="1021"/>
      <c r="BJ391" s="1021"/>
      <c r="BK391" s="1021"/>
      <c r="BL391" s="1021"/>
      <c r="BM391" s="1021"/>
      <c r="BN391" s="1021"/>
      <c r="BO391" s="1021"/>
      <c r="BP391" s="1021"/>
      <c r="BQ391" s="1021"/>
      <c r="BR391" s="1021"/>
      <c r="BS391" s="1021"/>
      <c r="BT391" s="1021"/>
      <c r="BU391" s="1021"/>
      <c r="BV391" s="1021"/>
      <c r="BW391" s="1021"/>
      <c r="BX391" s="1021"/>
      <c r="BY391" s="1021"/>
      <c r="BZ391" s="1021"/>
      <c r="CA391" s="1021"/>
      <c r="CB391" s="1021"/>
      <c r="CC391" s="1021"/>
    </row>
    <row r="392" spans="8:81" x14ac:dyDescent="0.25">
      <c r="H392" s="1021"/>
      <c r="I392" s="1021"/>
      <c r="J392" s="1021"/>
      <c r="K392" s="1021"/>
      <c r="L392" s="1021"/>
      <c r="M392" s="1021"/>
      <c r="N392" s="1021"/>
      <c r="O392" s="1021"/>
      <c r="P392" s="1021"/>
      <c r="Q392" s="1021"/>
      <c r="R392" s="1021"/>
      <c r="S392" s="1021"/>
      <c r="T392" s="1021"/>
      <c r="U392" s="1021"/>
      <c r="V392" s="1021"/>
      <c r="W392" s="1021"/>
      <c r="X392" s="1021"/>
      <c r="Y392" s="1021"/>
      <c r="Z392" s="1021"/>
      <c r="AA392" s="1021"/>
      <c r="AB392" s="1021"/>
      <c r="AC392" s="1021"/>
      <c r="AD392" s="1021"/>
      <c r="AE392" s="1021"/>
      <c r="AF392" s="1021"/>
      <c r="AG392" s="1021"/>
      <c r="AH392" s="1021"/>
      <c r="AI392" s="1021"/>
      <c r="AJ392" s="1021"/>
      <c r="AK392" s="1021"/>
      <c r="AL392" s="1021"/>
      <c r="AM392" s="1021"/>
      <c r="AN392" s="1021"/>
      <c r="AO392" s="1021"/>
      <c r="AP392" s="1021"/>
      <c r="AQ392" s="1021"/>
      <c r="AR392" s="1021"/>
      <c r="AS392" s="1021"/>
      <c r="AT392" s="1021"/>
      <c r="AU392" s="1021"/>
      <c r="AV392" s="1021"/>
      <c r="AW392" s="1021"/>
      <c r="AX392" s="1021"/>
      <c r="AY392" s="1021"/>
      <c r="AZ392" s="1021"/>
      <c r="BA392" s="1021"/>
      <c r="BB392" s="1021"/>
      <c r="BC392" s="1021"/>
      <c r="BD392" s="1021"/>
      <c r="BE392" s="1021"/>
      <c r="BF392" s="1021"/>
      <c r="BG392" s="1021"/>
      <c r="BH392" s="1021"/>
      <c r="BI392" s="1021"/>
      <c r="BJ392" s="1021"/>
      <c r="BK392" s="1021"/>
      <c r="BL392" s="1021"/>
      <c r="BM392" s="1021"/>
      <c r="BN392" s="1021"/>
      <c r="BO392" s="1021"/>
      <c r="BP392" s="1021"/>
      <c r="BQ392" s="1021"/>
      <c r="BR392" s="1021"/>
      <c r="BS392" s="1021"/>
      <c r="BT392" s="1021"/>
      <c r="BU392" s="1021"/>
      <c r="BV392" s="1021"/>
      <c r="BW392" s="1021"/>
      <c r="BX392" s="1021"/>
      <c r="BY392" s="1021"/>
      <c r="BZ392" s="1021"/>
      <c r="CA392" s="1021"/>
      <c r="CB392" s="1021"/>
      <c r="CC392" s="1021"/>
    </row>
    <row r="393" spans="8:81" x14ac:dyDescent="0.25">
      <c r="H393" s="1021"/>
      <c r="I393" s="1021"/>
      <c r="J393" s="1021"/>
      <c r="K393" s="1021"/>
      <c r="L393" s="1021"/>
      <c r="M393" s="1021"/>
      <c r="N393" s="1021"/>
      <c r="O393" s="1021"/>
      <c r="P393" s="1021"/>
      <c r="Q393" s="1021"/>
      <c r="R393" s="1021"/>
      <c r="S393" s="1021"/>
      <c r="T393" s="1021"/>
      <c r="U393" s="1021"/>
      <c r="V393" s="1021"/>
      <c r="W393" s="1021"/>
      <c r="X393" s="1021"/>
      <c r="Y393" s="1021"/>
      <c r="Z393" s="1021"/>
      <c r="AA393" s="1021"/>
      <c r="AB393" s="1021"/>
      <c r="AC393" s="1021"/>
      <c r="AD393" s="1021"/>
      <c r="AE393" s="1021"/>
      <c r="AF393" s="1021"/>
      <c r="AG393" s="1021"/>
      <c r="AH393" s="1021"/>
      <c r="AI393" s="1021"/>
      <c r="AJ393" s="1021"/>
      <c r="AK393" s="1021"/>
      <c r="AL393" s="1021"/>
      <c r="AM393" s="1021"/>
      <c r="AN393" s="1021"/>
      <c r="AO393" s="1021"/>
      <c r="AP393" s="1021"/>
      <c r="AQ393" s="1021"/>
      <c r="AR393" s="1021"/>
      <c r="AS393" s="1021"/>
      <c r="AT393" s="1021"/>
      <c r="AU393" s="1021"/>
      <c r="AV393" s="1021"/>
      <c r="AW393" s="1021"/>
      <c r="AX393" s="1021"/>
      <c r="AY393" s="1021"/>
      <c r="AZ393" s="1021"/>
      <c r="BA393" s="1021"/>
      <c r="BB393" s="1021"/>
      <c r="BC393" s="1021"/>
      <c r="BD393" s="1021"/>
      <c r="BE393" s="1021"/>
      <c r="BF393" s="1021"/>
      <c r="BG393" s="1021"/>
      <c r="BH393" s="1021"/>
      <c r="BI393" s="1021"/>
      <c r="BJ393" s="1021"/>
      <c r="BK393" s="1021"/>
      <c r="BL393" s="1021"/>
      <c r="BM393" s="1021"/>
      <c r="BN393" s="1021"/>
      <c r="BO393" s="1021"/>
      <c r="BP393" s="1021"/>
      <c r="BQ393" s="1021"/>
      <c r="BR393" s="1021"/>
      <c r="BS393" s="1021"/>
      <c r="BT393" s="1021"/>
      <c r="BU393" s="1021"/>
      <c r="BV393" s="1021"/>
      <c r="BW393" s="1021"/>
      <c r="BX393" s="1021"/>
      <c r="BY393" s="1021"/>
      <c r="BZ393" s="1021"/>
      <c r="CA393" s="1021"/>
      <c r="CB393" s="1021"/>
      <c r="CC393" s="1021"/>
    </row>
    <row r="394" spans="8:81" x14ac:dyDescent="0.25">
      <c r="H394" s="1021"/>
      <c r="I394" s="1021"/>
      <c r="J394" s="1021"/>
      <c r="K394" s="1021"/>
      <c r="L394" s="1021"/>
      <c r="M394" s="1021"/>
      <c r="N394" s="1021"/>
      <c r="O394" s="1021"/>
      <c r="P394" s="1021"/>
      <c r="Q394" s="1021"/>
      <c r="R394" s="1021"/>
      <c r="S394" s="1021"/>
      <c r="T394" s="1021"/>
      <c r="U394" s="1021"/>
      <c r="V394" s="1021"/>
      <c r="W394" s="1021"/>
      <c r="X394" s="1021"/>
      <c r="Y394" s="1021"/>
      <c r="Z394" s="1021"/>
      <c r="AA394" s="1021"/>
      <c r="AB394" s="1021"/>
      <c r="AC394" s="1021"/>
      <c r="AD394" s="1021"/>
      <c r="AE394" s="1021"/>
      <c r="AF394" s="1021"/>
      <c r="AG394" s="1021"/>
      <c r="AH394" s="1021"/>
      <c r="AI394" s="1021"/>
      <c r="AJ394" s="1021"/>
      <c r="AK394" s="1021"/>
      <c r="AL394" s="1021"/>
      <c r="AM394" s="1021"/>
      <c r="AN394" s="1021"/>
      <c r="AO394" s="1021"/>
      <c r="AP394" s="1021"/>
      <c r="AQ394" s="1021"/>
      <c r="AR394" s="1021"/>
      <c r="AS394" s="1021"/>
      <c r="AT394" s="1021"/>
      <c r="AU394" s="1021"/>
      <c r="AV394" s="1021"/>
      <c r="AW394" s="1021"/>
      <c r="AX394" s="1021"/>
      <c r="AY394" s="1021"/>
      <c r="AZ394" s="1021"/>
      <c r="BA394" s="1021"/>
      <c r="BB394" s="1021"/>
      <c r="BC394" s="1021"/>
      <c r="BD394" s="1021"/>
      <c r="BE394" s="1021"/>
      <c r="BF394" s="1021"/>
      <c r="BG394" s="1021"/>
      <c r="BH394" s="1021"/>
      <c r="BI394" s="1021"/>
      <c r="BJ394" s="1021"/>
      <c r="BK394" s="1021"/>
      <c r="BL394" s="1021"/>
      <c r="BM394" s="1021"/>
      <c r="BN394" s="1021"/>
      <c r="BO394" s="1021"/>
      <c r="BP394" s="1021"/>
      <c r="BQ394" s="1021"/>
      <c r="BR394" s="1021"/>
      <c r="BS394" s="1021"/>
      <c r="BT394" s="1021"/>
      <c r="BU394" s="1021"/>
      <c r="BV394" s="1021"/>
      <c r="BW394" s="1021"/>
      <c r="BX394" s="1021"/>
      <c r="BY394" s="1021"/>
      <c r="BZ394" s="1021"/>
      <c r="CA394" s="1021"/>
      <c r="CB394" s="1021"/>
      <c r="CC394" s="1021"/>
    </row>
    <row r="395" spans="8:81" x14ac:dyDescent="0.25">
      <c r="H395" s="1021"/>
      <c r="I395" s="1021"/>
      <c r="J395" s="1021"/>
      <c r="K395" s="1021"/>
      <c r="L395" s="1021"/>
      <c r="M395" s="1021"/>
      <c r="N395" s="1021"/>
      <c r="O395" s="1021"/>
      <c r="P395" s="1021"/>
      <c r="Q395" s="1021"/>
      <c r="R395" s="1021"/>
      <c r="S395" s="1021"/>
      <c r="T395" s="1021"/>
      <c r="U395" s="1021"/>
      <c r="V395" s="1021"/>
      <c r="W395" s="1021"/>
      <c r="X395" s="1021"/>
      <c r="Y395" s="1021"/>
      <c r="Z395" s="1021"/>
      <c r="AA395" s="1021"/>
      <c r="AB395" s="1021"/>
      <c r="AC395" s="1021"/>
      <c r="AD395" s="1021"/>
      <c r="AE395" s="1021"/>
      <c r="AF395" s="1021"/>
      <c r="AG395" s="1021"/>
      <c r="AH395" s="1021"/>
      <c r="AI395" s="1021"/>
      <c r="AJ395" s="1021"/>
      <c r="AK395" s="1021"/>
      <c r="AL395" s="1021"/>
      <c r="AM395" s="1021"/>
      <c r="AN395" s="1021"/>
      <c r="AO395" s="1021"/>
      <c r="AP395" s="1021"/>
      <c r="AQ395" s="1021"/>
      <c r="AR395" s="1021"/>
      <c r="AS395" s="1021"/>
      <c r="AT395" s="1021"/>
      <c r="AU395" s="1021"/>
      <c r="AV395" s="1021"/>
      <c r="AW395" s="1021"/>
      <c r="AX395" s="1021"/>
      <c r="AY395" s="1021"/>
      <c r="AZ395" s="1021"/>
      <c r="BA395" s="1021"/>
      <c r="BB395" s="1021"/>
      <c r="BC395" s="1021"/>
      <c r="BD395" s="1021"/>
      <c r="BE395" s="1021"/>
      <c r="BF395" s="1021"/>
      <c r="BG395" s="1021"/>
      <c r="BH395" s="1021"/>
      <c r="BI395" s="1021"/>
      <c r="BJ395" s="1021"/>
      <c r="BK395" s="1021"/>
      <c r="BL395" s="1021"/>
      <c r="BM395" s="1021"/>
      <c r="BN395" s="1021"/>
      <c r="BO395" s="1021"/>
      <c r="BP395" s="1021"/>
      <c r="BQ395" s="1021"/>
      <c r="BR395" s="1021"/>
      <c r="BS395" s="1021"/>
      <c r="BT395" s="1021"/>
      <c r="BU395" s="1021"/>
      <c r="BV395" s="1021"/>
      <c r="BW395" s="1021"/>
      <c r="BX395" s="1021"/>
      <c r="BY395" s="1021"/>
      <c r="BZ395" s="1021"/>
      <c r="CA395" s="1021"/>
      <c r="CB395" s="1021"/>
      <c r="CC395" s="1021"/>
    </row>
    <row r="396" spans="8:81" x14ac:dyDescent="0.25">
      <c r="H396" s="1021"/>
      <c r="I396" s="1021"/>
      <c r="J396" s="1021"/>
      <c r="K396" s="1021"/>
      <c r="L396" s="1021"/>
      <c r="M396" s="1021"/>
      <c r="N396" s="1021"/>
      <c r="O396" s="1021"/>
      <c r="P396" s="1021"/>
      <c r="Q396" s="1021"/>
      <c r="R396" s="1021"/>
      <c r="S396" s="1021"/>
      <c r="T396" s="1021"/>
      <c r="U396" s="1021"/>
      <c r="V396" s="1021"/>
      <c r="W396" s="1021"/>
      <c r="X396" s="1021"/>
      <c r="Y396" s="1021"/>
      <c r="Z396" s="1021"/>
      <c r="AA396" s="1021"/>
      <c r="AB396" s="1021"/>
      <c r="AC396" s="1021"/>
      <c r="AD396" s="1021"/>
      <c r="AE396" s="1021"/>
      <c r="AF396" s="1021"/>
      <c r="AG396" s="1021"/>
      <c r="AH396" s="1021"/>
      <c r="AI396" s="1021"/>
      <c r="AJ396" s="1021"/>
      <c r="AK396" s="1021"/>
      <c r="AL396" s="1021"/>
      <c r="AM396" s="1021"/>
      <c r="AN396" s="1021"/>
      <c r="AO396" s="1021"/>
      <c r="AP396" s="1021"/>
      <c r="AQ396" s="1021"/>
      <c r="AR396" s="1021"/>
      <c r="AS396" s="1021"/>
      <c r="AT396" s="1021"/>
      <c r="AU396" s="1021"/>
      <c r="AV396" s="1021"/>
      <c r="AW396" s="1021"/>
      <c r="AX396" s="1021"/>
      <c r="AY396" s="1021"/>
      <c r="AZ396" s="1021"/>
      <c r="BA396" s="1021"/>
      <c r="BB396" s="1021"/>
      <c r="BC396" s="1021"/>
      <c r="BD396" s="1021"/>
      <c r="BE396" s="1021"/>
      <c r="BF396" s="1021"/>
      <c r="BG396" s="1021"/>
      <c r="BH396" s="1021"/>
      <c r="BI396" s="1021"/>
      <c r="BJ396" s="1021"/>
      <c r="BK396" s="1021"/>
      <c r="BL396" s="1021"/>
      <c r="BM396" s="1021"/>
      <c r="BN396" s="1021"/>
      <c r="BO396" s="1021"/>
      <c r="BP396" s="1021"/>
      <c r="BQ396" s="1021"/>
      <c r="BR396" s="1021"/>
      <c r="BS396" s="1021"/>
      <c r="BT396" s="1021"/>
      <c r="BU396" s="1021"/>
      <c r="BV396" s="1021"/>
      <c r="BW396" s="1021"/>
      <c r="BX396" s="1021"/>
      <c r="BY396" s="1021"/>
      <c r="BZ396" s="1021"/>
      <c r="CA396" s="1021"/>
      <c r="CB396" s="1021"/>
      <c r="CC396" s="1021"/>
    </row>
    <row r="397" spans="8:81" x14ac:dyDescent="0.25">
      <c r="H397" s="1021"/>
      <c r="I397" s="1021"/>
      <c r="J397" s="1021"/>
      <c r="K397" s="1021"/>
      <c r="L397" s="1021"/>
      <c r="M397" s="1021"/>
      <c r="N397" s="1021"/>
      <c r="O397" s="1021"/>
      <c r="P397" s="1021"/>
      <c r="Q397" s="1021"/>
      <c r="R397" s="1021"/>
      <c r="S397" s="1021"/>
      <c r="T397" s="1021"/>
      <c r="U397" s="1021"/>
      <c r="V397" s="1021"/>
      <c r="W397" s="1021"/>
      <c r="X397" s="1021"/>
      <c r="Y397" s="1021"/>
      <c r="Z397" s="1021"/>
      <c r="AA397" s="1021"/>
      <c r="AB397" s="1021"/>
      <c r="AC397" s="1021"/>
      <c r="AD397" s="1021"/>
      <c r="AE397" s="1021"/>
      <c r="AF397" s="1021"/>
      <c r="AG397" s="1021"/>
      <c r="AH397" s="1021"/>
      <c r="AI397" s="1021"/>
      <c r="AJ397" s="1021"/>
      <c r="AK397" s="1021"/>
      <c r="AL397" s="1021"/>
      <c r="AM397" s="1021"/>
      <c r="AN397" s="1021"/>
      <c r="AO397" s="1021"/>
      <c r="AP397" s="1021"/>
      <c r="AQ397" s="1021"/>
      <c r="AR397" s="1021"/>
      <c r="AS397" s="1021"/>
      <c r="AT397" s="1021"/>
      <c r="AU397" s="1021"/>
      <c r="AV397" s="1021"/>
      <c r="AW397" s="1021"/>
      <c r="AX397" s="1021"/>
      <c r="AY397" s="1021"/>
      <c r="AZ397" s="1021"/>
      <c r="BA397" s="1021"/>
      <c r="BB397" s="1021"/>
      <c r="BC397" s="1021"/>
      <c r="BD397" s="1021"/>
      <c r="BE397" s="1021"/>
      <c r="BF397" s="1021"/>
      <c r="BG397" s="1021"/>
      <c r="BH397" s="1021"/>
      <c r="BI397" s="1021"/>
      <c r="BJ397" s="1021"/>
      <c r="BK397" s="1021"/>
      <c r="BL397" s="1021"/>
      <c r="BM397" s="1021"/>
      <c r="BN397" s="1021"/>
      <c r="BO397" s="1021"/>
      <c r="BP397" s="1021"/>
      <c r="BQ397" s="1021"/>
      <c r="BR397" s="1021"/>
      <c r="BS397" s="1021"/>
      <c r="BT397" s="1021"/>
      <c r="BU397" s="1021"/>
      <c r="BV397" s="1021"/>
      <c r="BW397" s="1021"/>
      <c r="BX397" s="1021"/>
      <c r="BY397" s="1021"/>
      <c r="BZ397" s="1021"/>
      <c r="CA397" s="1021"/>
      <c r="CB397" s="1021"/>
      <c r="CC397" s="1021"/>
    </row>
    <row r="398" spans="8:81" x14ac:dyDescent="0.25">
      <c r="H398" s="1021"/>
      <c r="I398" s="1021"/>
      <c r="J398" s="1021"/>
      <c r="K398" s="1021"/>
      <c r="L398" s="1021"/>
      <c r="M398" s="1021"/>
      <c r="N398" s="1021"/>
      <c r="O398" s="1021"/>
      <c r="P398" s="1021"/>
      <c r="Q398" s="1021"/>
      <c r="R398" s="1021"/>
      <c r="S398" s="1021"/>
      <c r="T398" s="1021"/>
      <c r="U398" s="1021"/>
      <c r="V398" s="1021"/>
      <c r="W398" s="1021"/>
      <c r="X398" s="1021"/>
      <c r="Y398" s="1021"/>
      <c r="Z398" s="1021"/>
      <c r="AA398" s="1021"/>
      <c r="AB398" s="1021"/>
      <c r="AC398" s="1021"/>
      <c r="AD398" s="1021"/>
      <c r="AE398" s="1021"/>
      <c r="AF398" s="1021"/>
      <c r="AG398" s="1021"/>
      <c r="AH398" s="1021"/>
      <c r="AI398" s="1021"/>
      <c r="AJ398" s="1021"/>
      <c r="AK398" s="1021"/>
      <c r="AL398" s="1021"/>
      <c r="AM398" s="1021"/>
      <c r="AN398" s="1021"/>
      <c r="AO398" s="1021"/>
      <c r="AP398" s="1021"/>
      <c r="AQ398" s="1021"/>
      <c r="AR398" s="1021"/>
      <c r="AS398" s="1021"/>
      <c r="AT398" s="1021"/>
      <c r="AU398" s="1021"/>
      <c r="AV398" s="1021"/>
      <c r="AW398" s="1021"/>
      <c r="AX398" s="1021"/>
      <c r="AY398" s="1021"/>
      <c r="AZ398" s="1021"/>
      <c r="BA398" s="1021"/>
      <c r="BB398" s="1021"/>
      <c r="BC398" s="1021"/>
      <c r="BD398" s="1021"/>
      <c r="BE398" s="1021"/>
      <c r="BF398" s="1021"/>
      <c r="BG398" s="1021"/>
      <c r="BH398" s="1021"/>
      <c r="BI398" s="1021"/>
      <c r="BJ398" s="1021"/>
      <c r="BK398" s="1021"/>
      <c r="BL398" s="1021"/>
      <c r="BM398" s="1021"/>
      <c r="BN398" s="1021"/>
      <c r="BO398" s="1021"/>
      <c r="BP398" s="1021"/>
      <c r="BQ398" s="1021"/>
      <c r="BR398" s="1021"/>
      <c r="BS398" s="1021"/>
      <c r="BT398" s="1021"/>
      <c r="BU398" s="1021"/>
      <c r="BV398" s="1021"/>
      <c r="BW398" s="1021"/>
      <c r="BX398" s="1021"/>
      <c r="BY398" s="1021"/>
      <c r="BZ398" s="1021"/>
      <c r="CA398" s="1021"/>
      <c r="CB398" s="1021"/>
      <c r="CC398" s="1021"/>
    </row>
    <row r="399" spans="8:81" x14ac:dyDescent="0.25">
      <c r="H399" s="1021"/>
      <c r="I399" s="1021"/>
      <c r="J399" s="1021"/>
      <c r="K399" s="1021"/>
      <c r="L399" s="1021"/>
      <c r="M399" s="1021"/>
      <c r="N399" s="1021"/>
      <c r="O399" s="1021"/>
      <c r="P399" s="1021"/>
      <c r="Q399" s="1021"/>
      <c r="R399" s="1021"/>
      <c r="S399" s="1021"/>
      <c r="T399" s="1021"/>
      <c r="U399" s="1021"/>
      <c r="V399" s="1021"/>
      <c r="W399" s="1021"/>
      <c r="X399" s="1021"/>
      <c r="Y399" s="1021"/>
      <c r="Z399" s="1021"/>
      <c r="AA399" s="1021"/>
      <c r="AB399" s="1021"/>
      <c r="AC399" s="1021"/>
      <c r="AD399" s="1021"/>
      <c r="AE399" s="1021"/>
      <c r="AF399" s="1021"/>
      <c r="AG399" s="1021"/>
      <c r="AH399" s="1021"/>
      <c r="AI399" s="1021"/>
      <c r="AJ399" s="1021"/>
      <c r="AK399" s="1021"/>
      <c r="AL399" s="1021"/>
      <c r="AM399" s="1021"/>
      <c r="AN399" s="1021"/>
      <c r="AO399" s="1021"/>
      <c r="AP399" s="1021"/>
      <c r="AQ399" s="1021"/>
      <c r="AR399" s="1021"/>
      <c r="AS399" s="1021"/>
      <c r="AT399" s="1021"/>
      <c r="AU399" s="1021"/>
      <c r="AV399" s="1021"/>
      <c r="AW399" s="1021"/>
      <c r="AX399" s="1021"/>
      <c r="AY399" s="1021"/>
      <c r="AZ399" s="1021"/>
      <c r="BA399" s="1021"/>
      <c r="BB399" s="1021"/>
      <c r="BC399" s="1021"/>
      <c r="BD399" s="1021"/>
      <c r="BE399" s="1021"/>
      <c r="BF399" s="1021"/>
      <c r="BG399" s="1021"/>
      <c r="BH399" s="1021"/>
      <c r="BI399" s="1021"/>
      <c r="BJ399" s="1021"/>
      <c r="BK399" s="1021"/>
      <c r="BL399" s="1021"/>
      <c r="BM399" s="1021"/>
      <c r="BN399" s="1021"/>
      <c r="BO399" s="1021"/>
      <c r="BP399" s="1021"/>
      <c r="BQ399" s="1021"/>
      <c r="BR399" s="1021"/>
      <c r="BS399" s="1021"/>
      <c r="BT399" s="1021"/>
      <c r="BU399" s="1021"/>
      <c r="BV399" s="1021"/>
      <c r="BW399" s="1021"/>
      <c r="BX399" s="1021"/>
      <c r="BY399" s="1021"/>
      <c r="BZ399" s="1021"/>
      <c r="CA399" s="1021"/>
      <c r="CB399" s="1021"/>
      <c r="CC399" s="1021"/>
    </row>
    <row r="400" spans="8:81" x14ac:dyDescent="0.25">
      <c r="H400" s="1021"/>
      <c r="I400" s="1021"/>
      <c r="J400" s="1021"/>
      <c r="K400" s="1021"/>
      <c r="L400" s="1021"/>
      <c r="M400" s="1021"/>
      <c r="N400" s="1021"/>
      <c r="O400" s="1021"/>
      <c r="P400" s="1021"/>
      <c r="Q400" s="1021"/>
      <c r="R400" s="1021"/>
      <c r="S400" s="1021"/>
      <c r="T400" s="1021"/>
      <c r="U400" s="1021"/>
      <c r="V400" s="1021"/>
      <c r="W400" s="1021"/>
      <c r="X400" s="1021"/>
      <c r="Y400" s="1021"/>
      <c r="Z400" s="1021"/>
      <c r="AA400" s="1021"/>
      <c r="AB400" s="1021"/>
      <c r="AC400" s="1021"/>
      <c r="AD400" s="1021"/>
      <c r="AE400" s="1021"/>
      <c r="AF400" s="1021"/>
      <c r="AG400" s="1021"/>
      <c r="AH400" s="1021"/>
      <c r="AI400" s="1021"/>
      <c r="AJ400" s="1021"/>
      <c r="AK400" s="1021"/>
      <c r="AL400" s="1021"/>
      <c r="AM400" s="1021"/>
      <c r="AN400" s="1021"/>
      <c r="AO400" s="1021"/>
      <c r="AP400" s="1021"/>
      <c r="AQ400" s="1021"/>
      <c r="AR400" s="1021"/>
      <c r="AS400" s="1021"/>
      <c r="AT400" s="1021"/>
      <c r="AU400" s="1021"/>
      <c r="AV400" s="1021"/>
      <c r="AW400" s="1021"/>
      <c r="AX400" s="1021"/>
      <c r="AY400" s="1021"/>
      <c r="AZ400" s="1021"/>
      <c r="BA400" s="1021"/>
      <c r="BB400" s="1021"/>
      <c r="BC400" s="1021"/>
      <c r="BD400" s="1021"/>
      <c r="BE400" s="1021"/>
      <c r="BF400" s="1021"/>
      <c r="BG400" s="1021"/>
      <c r="BH400" s="1021"/>
      <c r="BI400" s="1021"/>
      <c r="BJ400" s="1021"/>
      <c r="BK400" s="1021"/>
      <c r="BL400" s="1021"/>
      <c r="BM400" s="1021"/>
      <c r="BN400" s="1021"/>
      <c r="BO400" s="1021"/>
      <c r="BP400" s="1021"/>
      <c r="BQ400" s="1021"/>
      <c r="BR400" s="1021"/>
      <c r="BS400" s="1021"/>
      <c r="BT400" s="1021"/>
      <c r="BU400" s="1021"/>
      <c r="BV400" s="1021"/>
      <c r="BW400" s="1021"/>
      <c r="BX400" s="1021"/>
      <c r="BY400" s="1021"/>
      <c r="BZ400" s="1021"/>
      <c r="CA400" s="1021"/>
      <c r="CB400" s="1021"/>
      <c r="CC400" s="1021"/>
    </row>
    <row r="401" spans="8:81" x14ac:dyDescent="0.25">
      <c r="H401" s="1021"/>
      <c r="I401" s="1021"/>
      <c r="J401" s="1021"/>
      <c r="K401" s="1021"/>
      <c r="L401" s="1021"/>
      <c r="M401" s="1021"/>
      <c r="N401" s="1021"/>
      <c r="O401" s="1021"/>
      <c r="P401" s="1021"/>
      <c r="Q401" s="1021"/>
      <c r="R401" s="1021"/>
      <c r="S401" s="1021"/>
      <c r="T401" s="1021"/>
      <c r="U401" s="1021"/>
      <c r="V401" s="1021"/>
      <c r="W401" s="1021"/>
      <c r="X401" s="1021"/>
      <c r="Y401" s="1021"/>
      <c r="Z401" s="1021"/>
      <c r="AA401" s="1021"/>
      <c r="AB401" s="1021"/>
      <c r="AC401" s="1021"/>
      <c r="AD401" s="1021"/>
      <c r="AE401" s="1021"/>
      <c r="AF401" s="1021"/>
      <c r="AG401" s="1021"/>
      <c r="AH401" s="1021"/>
      <c r="AI401" s="1021"/>
      <c r="AJ401" s="1021"/>
      <c r="AK401" s="1021"/>
      <c r="AL401" s="1021"/>
      <c r="AM401" s="1021"/>
      <c r="AN401" s="1021"/>
      <c r="AO401" s="1021"/>
      <c r="AP401" s="1021"/>
      <c r="AQ401" s="1021"/>
      <c r="AR401" s="1021"/>
      <c r="AS401" s="1021"/>
      <c r="AT401" s="1021"/>
      <c r="AU401" s="1021"/>
      <c r="AV401" s="1021"/>
      <c r="AW401" s="1021"/>
      <c r="AX401" s="1021"/>
      <c r="AY401" s="1021"/>
      <c r="AZ401" s="1021"/>
      <c r="BA401" s="1021"/>
      <c r="BB401" s="1021"/>
      <c r="BC401" s="1021"/>
      <c r="BD401" s="1021"/>
      <c r="BE401" s="1021"/>
      <c r="BF401" s="1021"/>
      <c r="BG401" s="1021"/>
      <c r="BH401" s="1021"/>
      <c r="BI401" s="1021"/>
      <c r="BJ401" s="1021"/>
      <c r="BK401" s="1021"/>
      <c r="BL401" s="1021"/>
      <c r="BM401" s="1021"/>
      <c r="BN401" s="1021"/>
      <c r="BO401" s="1021"/>
      <c r="BP401" s="1021"/>
      <c r="BQ401" s="1021"/>
      <c r="BR401" s="1021"/>
      <c r="BS401" s="1021"/>
      <c r="BT401" s="1021"/>
      <c r="BU401" s="1021"/>
      <c r="BV401" s="1021"/>
      <c r="BW401" s="1021"/>
      <c r="BX401" s="1021"/>
      <c r="BY401" s="1021"/>
      <c r="BZ401" s="1021"/>
      <c r="CA401" s="1021"/>
      <c r="CB401" s="1021"/>
      <c r="CC401" s="1021"/>
    </row>
    <row r="402" spans="8:81" x14ac:dyDescent="0.25">
      <c r="H402" s="1021"/>
      <c r="I402" s="1021"/>
      <c r="J402" s="1021"/>
      <c r="K402" s="1021"/>
      <c r="L402" s="1021"/>
      <c r="M402" s="1021"/>
      <c r="N402" s="1021"/>
      <c r="O402" s="1021"/>
      <c r="P402" s="1021"/>
      <c r="Q402" s="1021"/>
      <c r="R402" s="1021"/>
      <c r="S402" s="1021"/>
      <c r="T402" s="1021"/>
      <c r="U402" s="1021"/>
      <c r="V402" s="1021"/>
      <c r="W402" s="1021"/>
      <c r="X402" s="1021"/>
      <c r="Y402" s="1021"/>
      <c r="Z402" s="1021"/>
      <c r="AA402" s="1021"/>
      <c r="AB402" s="1021"/>
      <c r="AC402" s="1021"/>
      <c r="AD402" s="1021"/>
      <c r="AE402" s="1021"/>
      <c r="AF402" s="1021"/>
      <c r="AG402" s="1021"/>
      <c r="AH402" s="1021"/>
      <c r="AI402" s="1021"/>
      <c r="AJ402" s="1021"/>
      <c r="AK402" s="1021"/>
      <c r="AL402" s="1021"/>
      <c r="AM402" s="1021"/>
      <c r="AN402" s="1021"/>
      <c r="AO402" s="1021"/>
      <c r="AP402" s="1021"/>
      <c r="AQ402" s="1021"/>
      <c r="AR402" s="1021"/>
      <c r="AS402" s="1021"/>
      <c r="AT402" s="1021"/>
      <c r="AU402" s="1021"/>
      <c r="AV402" s="1021"/>
      <c r="AW402" s="1021"/>
      <c r="AX402" s="1021"/>
      <c r="AY402" s="1021"/>
      <c r="AZ402" s="1021"/>
      <c r="BA402" s="1021"/>
      <c r="BB402" s="1021"/>
      <c r="BC402" s="1021"/>
      <c r="BD402" s="1021"/>
      <c r="BE402" s="1021"/>
      <c r="BF402" s="1021"/>
      <c r="BG402" s="1021"/>
      <c r="BH402" s="1021"/>
      <c r="BI402" s="1021"/>
      <c r="BJ402" s="1021"/>
      <c r="BK402" s="1021"/>
      <c r="BL402" s="1021"/>
      <c r="BM402" s="1021"/>
      <c r="BN402" s="1021"/>
      <c r="BO402" s="1021"/>
      <c r="BP402" s="1021"/>
      <c r="BQ402" s="1021"/>
      <c r="BR402" s="1021"/>
      <c r="BS402" s="1021"/>
      <c r="BT402" s="1021"/>
      <c r="BU402" s="1021"/>
      <c r="BV402" s="1021"/>
      <c r="BW402" s="1021"/>
      <c r="BX402" s="1021"/>
      <c r="BY402" s="1021"/>
      <c r="BZ402" s="1021"/>
      <c r="CA402" s="1021"/>
      <c r="CB402" s="1021"/>
      <c r="CC402" s="1021"/>
    </row>
    <row r="403" spans="8:81" x14ac:dyDescent="0.25">
      <c r="H403" s="1021"/>
      <c r="I403" s="1021"/>
      <c r="J403" s="1021"/>
      <c r="K403" s="1021"/>
      <c r="L403" s="1021"/>
      <c r="M403" s="1021"/>
      <c r="N403" s="1021"/>
      <c r="O403" s="1021"/>
      <c r="P403" s="1021"/>
      <c r="Q403" s="1021"/>
      <c r="R403" s="1021"/>
      <c r="S403" s="1021"/>
      <c r="T403" s="1021"/>
      <c r="U403" s="1021"/>
      <c r="V403" s="1021"/>
      <c r="W403" s="1021"/>
      <c r="X403" s="1021"/>
      <c r="Y403" s="1021"/>
      <c r="Z403" s="1021"/>
      <c r="AA403" s="1021"/>
      <c r="AB403" s="1021"/>
      <c r="AC403" s="1021"/>
      <c r="AD403" s="1021"/>
      <c r="AE403" s="1021"/>
      <c r="AF403" s="1021"/>
      <c r="AG403" s="1021"/>
      <c r="AH403" s="1021"/>
      <c r="AI403" s="1021"/>
      <c r="AJ403" s="1021"/>
      <c r="AK403" s="1021"/>
      <c r="AL403" s="1021"/>
      <c r="AM403" s="1021"/>
      <c r="AN403" s="1021"/>
      <c r="AO403" s="1021"/>
      <c r="AP403" s="1021"/>
      <c r="AQ403" s="1021"/>
      <c r="AR403" s="1021"/>
      <c r="AS403" s="1021"/>
      <c r="AT403" s="1021"/>
      <c r="AU403" s="1021"/>
      <c r="AV403" s="1021"/>
      <c r="AW403" s="1021"/>
      <c r="AX403" s="1021"/>
      <c r="AY403" s="1021"/>
      <c r="AZ403" s="1021"/>
      <c r="BA403" s="1021"/>
      <c r="BB403" s="1021"/>
      <c r="BC403" s="1021"/>
      <c r="BD403" s="1021"/>
      <c r="BE403" s="1021"/>
      <c r="BF403" s="1021"/>
      <c r="BG403" s="1021"/>
      <c r="BH403" s="1021"/>
      <c r="BI403" s="1021"/>
      <c r="BJ403" s="1021"/>
      <c r="BK403" s="1021"/>
      <c r="BL403" s="1021"/>
      <c r="BM403" s="1021"/>
      <c r="BN403" s="1021"/>
      <c r="BO403" s="1021"/>
      <c r="BP403" s="1021"/>
      <c r="BQ403" s="1021"/>
      <c r="BR403" s="1021"/>
      <c r="BS403" s="1021"/>
      <c r="BT403" s="1021"/>
      <c r="BU403" s="1021"/>
      <c r="BV403" s="1021"/>
      <c r="BW403" s="1021"/>
      <c r="BX403" s="1021"/>
      <c r="BY403" s="1021"/>
      <c r="BZ403" s="1021"/>
      <c r="CA403" s="1021"/>
      <c r="CB403" s="1021"/>
      <c r="CC403" s="1021"/>
    </row>
    <row r="404" spans="8:81" x14ac:dyDescent="0.25">
      <c r="H404" s="1021"/>
      <c r="I404" s="1021"/>
      <c r="J404" s="1021"/>
      <c r="K404" s="1021"/>
      <c r="L404" s="1021"/>
      <c r="M404" s="1021"/>
      <c r="N404" s="1021"/>
      <c r="O404" s="1021"/>
      <c r="P404" s="1021"/>
      <c r="Q404" s="1021"/>
      <c r="R404" s="1021"/>
      <c r="S404" s="1021"/>
      <c r="T404" s="1021"/>
      <c r="U404" s="1021"/>
      <c r="V404" s="1021"/>
      <c r="W404" s="1021"/>
      <c r="X404" s="1021"/>
      <c r="Y404" s="1021"/>
      <c r="Z404" s="1021"/>
      <c r="AA404" s="1021"/>
      <c r="AB404" s="1021"/>
      <c r="AC404" s="1021"/>
      <c r="AD404" s="1021"/>
      <c r="AE404" s="1021"/>
      <c r="AF404" s="1021"/>
      <c r="AG404" s="1021"/>
      <c r="AH404" s="1021"/>
      <c r="AI404" s="1021"/>
      <c r="AJ404" s="1021"/>
      <c r="AK404" s="1021"/>
      <c r="AL404" s="1021"/>
      <c r="AM404" s="1021"/>
      <c r="AN404" s="1021"/>
      <c r="AO404" s="1021"/>
      <c r="AP404" s="1021"/>
      <c r="AQ404" s="1021"/>
      <c r="AR404" s="1021"/>
      <c r="AS404" s="1021"/>
      <c r="AT404" s="1021"/>
      <c r="AU404" s="1021"/>
      <c r="AV404" s="1021"/>
      <c r="AW404" s="1021"/>
      <c r="AX404" s="1021"/>
      <c r="AY404" s="1021"/>
      <c r="AZ404" s="1021"/>
      <c r="BA404" s="1021"/>
      <c r="BB404" s="1021"/>
      <c r="BC404" s="1021"/>
      <c r="BD404" s="1021"/>
      <c r="BE404" s="1021"/>
      <c r="BF404" s="1021"/>
      <c r="BG404" s="1021"/>
      <c r="BH404" s="1021"/>
      <c r="BI404" s="1021"/>
      <c r="BJ404" s="1021"/>
      <c r="BK404" s="1021"/>
      <c r="BL404" s="1021"/>
      <c r="BM404" s="1021"/>
      <c r="BN404" s="1021"/>
      <c r="BO404" s="1021"/>
      <c r="BP404" s="1021"/>
      <c r="BQ404" s="1021"/>
      <c r="BR404" s="1021"/>
      <c r="BS404" s="1021"/>
      <c r="BT404" s="1021"/>
      <c r="BU404" s="1021"/>
      <c r="BV404" s="1021"/>
      <c r="BW404" s="1021"/>
      <c r="BX404" s="1021"/>
      <c r="BY404" s="1021"/>
      <c r="BZ404" s="1021"/>
      <c r="CA404" s="1021"/>
      <c r="CB404" s="1021"/>
      <c r="CC404" s="1021"/>
    </row>
    <row r="405" spans="8:81" x14ac:dyDescent="0.25">
      <c r="H405" s="1021"/>
      <c r="I405" s="1021"/>
      <c r="J405" s="1021"/>
      <c r="K405" s="1021"/>
      <c r="L405" s="1021"/>
      <c r="M405" s="1021"/>
      <c r="N405" s="1021"/>
      <c r="O405" s="1021"/>
      <c r="P405" s="1021"/>
      <c r="Q405" s="1021"/>
      <c r="R405" s="1021"/>
      <c r="S405" s="1021"/>
      <c r="T405" s="1021"/>
      <c r="U405" s="1021"/>
      <c r="V405" s="1021"/>
      <c r="W405" s="1021"/>
      <c r="X405" s="1021"/>
      <c r="Y405" s="1021"/>
      <c r="Z405" s="1021"/>
      <c r="AA405" s="1021"/>
      <c r="AB405" s="1021"/>
      <c r="AC405" s="1021"/>
      <c r="AD405" s="1021"/>
      <c r="AE405" s="1021"/>
      <c r="AF405" s="1021"/>
      <c r="AG405" s="1021"/>
      <c r="AH405" s="1021"/>
      <c r="AI405" s="1021"/>
      <c r="AJ405" s="1021"/>
      <c r="AK405" s="1021"/>
      <c r="AL405" s="1021"/>
      <c r="AM405" s="1021"/>
      <c r="AN405" s="1021"/>
      <c r="AO405" s="1021"/>
      <c r="AP405" s="1021"/>
      <c r="AQ405" s="1021"/>
      <c r="AR405" s="1021"/>
      <c r="AS405" s="1021"/>
      <c r="AT405" s="1021"/>
      <c r="AU405" s="1021"/>
      <c r="AV405" s="1021"/>
      <c r="AW405" s="1021"/>
      <c r="AX405" s="1021"/>
      <c r="AY405" s="1021"/>
      <c r="AZ405" s="1021"/>
      <c r="BA405" s="1021"/>
      <c r="BB405" s="1021"/>
      <c r="BC405" s="1021"/>
      <c r="BD405" s="1021"/>
      <c r="BE405" s="1021"/>
      <c r="BF405" s="1021"/>
      <c r="BG405" s="1021"/>
      <c r="BH405" s="1021"/>
      <c r="BI405" s="1021"/>
      <c r="BJ405" s="1021"/>
      <c r="BK405" s="1021"/>
      <c r="BL405" s="1021"/>
      <c r="BM405" s="1021"/>
      <c r="BN405" s="1021"/>
      <c r="BO405" s="1021"/>
      <c r="BP405" s="1021"/>
      <c r="BQ405" s="1021"/>
      <c r="BR405" s="1021"/>
      <c r="BS405" s="1021"/>
      <c r="BT405" s="1021"/>
      <c r="BU405" s="1021"/>
      <c r="BV405" s="1021"/>
      <c r="BW405" s="1021"/>
      <c r="BX405" s="1021"/>
      <c r="BY405" s="1021"/>
      <c r="BZ405" s="1021"/>
      <c r="CA405" s="1021"/>
      <c r="CB405" s="1021"/>
      <c r="CC405" s="1021"/>
    </row>
    <row r="406" spans="8:81" x14ac:dyDescent="0.25">
      <c r="H406" s="1021"/>
      <c r="I406" s="1021"/>
      <c r="J406" s="1021"/>
      <c r="K406" s="1021"/>
      <c r="L406" s="1021"/>
      <c r="M406" s="1021"/>
      <c r="N406" s="1021"/>
      <c r="O406" s="1021"/>
      <c r="P406" s="1021"/>
      <c r="Q406" s="1021"/>
      <c r="R406" s="1021"/>
      <c r="S406" s="1021"/>
      <c r="T406" s="1021"/>
      <c r="U406" s="1021"/>
      <c r="V406" s="1021"/>
      <c r="W406" s="1021"/>
      <c r="X406" s="1021"/>
      <c r="Y406" s="1021"/>
      <c r="Z406" s="1021"/>
      <c r="AA406" s="1021"/>
      <c r="AB406" s="1021"/>
      <c r="AC406" s="1021"/>
      <c r="AD406" s="1021"/>
      <c r="AE406" s="1021"/>
      <c r="AF406" s="1021"/>
      <c r="AG406" s="1021"/>
      <c r="AH406" s="1021"/>
      <c r="AI406" s="1021"/>
      <c r="AJ406" s="1021"/>
      <c r="AK406" s="1021"/>
      <c r="AL406" s="1021"/>
      <c r="AM406" s="1021"/>
      <c r="AN406" s="1021"/>
      <c r="AO406" s="1021"/>
      <c r="AP406" s="1021"/>
      <c r="AQ406" s="1021"/>
      <c r="AR406" s="1021"/>
      <c r="AS406" s="1021"/>
      <c r="AT406" s="1021"/>
      <c r="AU406" s="1021"/>
      <c r="AV406" s="1021"/>
      <c r="AW406" s="1021"/>
      <c r="AX406" s="1021"/>
      <c r="AY406" s="1021"/>
      <c r="AZ406" s="1021"/>
      <c r="BA406" s="1021"/>
      <c r="BB406" s="1021"/>
      <c r="BC406" s="1021"/>
      <c r="BD406" s="1021"/>
      <c r="BE406" s="1021"/>
      <c r="BF406" s="1021"/>
      <c r="BG406" s="1021"/>
      <c r="BH406" s="1021"/>
      <c r="BI406" s="1021"/>
      <c r="BJ406" s="1021"/>
      <c r="BK406" s="1021"/>
      <c r="BL406" s="1021"/>
      <c r="BM406" s="1021"/>
      <c r="BN406" s="1021"/>
      <c r="BO406" s="1021"/>
      <c r="BP406" s="1021"/>
      <c r="BQ406" s="1021"/>
      <c r="BR406" s="1021"/>
      <c r="BS406" s="1021"/>
      <c r="BT406" s="1021"/>
      <c r="BU406" s="1021"/>
      <c r="BV406" s="1021"/>
      <c r="BW406" s="1021"/>
      <c r="BX406" s="1021"/>
      <c r="BY406" s="1021"/>
      <c r="BZ406" s="1021"/>
      <c r="CA406" s="1021"/>
      <c r="CB406" s="1021"/>
      <c r="CC406" s="1021"/>
    </row>
    <row r="407" spans="8:81" x14ac:dyDescent="0.25">
      <c r="H407" s="1021"/>
      <c r="I407" s="1021"/>
      <c r="J407" s="1021"/>
      <c r="K407" s="1021"/>
      <c r="L407" s="1021"/>
      <c r="M407" s="1021"/>
      <c r="N407" s="1021"/>
      <c r="O407" s="1021"/>
      <c r="P407" s="1021"/>
      <c r="Q407" s="1021"/>
      <c r="R407" s="1021"/>
      <c r="S407" s="1021"/>
      <c r="T407" s="1021"/>
      <c r="U407" s="1021"/>
      <c r="V407" s="1021"/>
      <c r="W407" s="1021"/>
      <c r="X407" s="1021"/>
      <c r="Y407" s="1021"/>
      <c r="Z407" s="1021"/>
      <c r="AA407" s="1021"/>
      <c r="AB407" s="1021"/>
      <c r="AC407" s="1021"/>
      <c r="AD407" s="1021"/>
      <c r="AE407" s="1021"/>
      <c r="AF407" s="1021"/>
      <c r="AG407" s="1021"/>
      <c r="AH407" s="1021"/>
      <c r="AI407" s="1021"/>
      <c r="AJ407" s="1021"/>
      <c r="AK407" s="1021"/>
      <c r="AL407" s="1021"/>
      <c r="AM407" s="1021"/>
      <c r="AN407" s="1021"/>
      <c r="AO407" s="1021"/>
      <c r="AP407" s="1021"/>
      <c r="AQ407" s="1021"/>
      <c r="AR407" s="1021"/>
      <c r="AS407" s="1021"/>
      <c r="AT407" s="1021"/>
      <c r="AU407" s="1021"/>
      <c r="AV407" s="1021"/>
      <c r="AW407" s="1021"/>
      <c r="AX407" s="1021"/>
      <c r="AY407" s="1021"/>
      <c r="AZ407" s="1021"/>
      <c r="BA407" s="1021"/>
      <c r="BB407" s="1021"/>
      <c r="BC407" s="1021"/>
      <c r="BD407" s="1021"/>
      <c r="BE407" s="1021"/>
      <c r="BF407" s="1021"/>
      <c r="BG407" s="1021"/>
      <c r="BH407" s="1021"/>
      <c r="BI407" s="1021"/>
      <c r="BJ407" s="1021"/>
      <c r="BK407" s="1021"/>
      <c r="BL407" s="1021"/>
      <c r="BM407" s="1021"/>
      <c r="BN407" s="1021"/>
      <c r="BO407" s="1021"/>
      <c r="BP407" s="1021"/>
      <c r="BQ407" s="1021"/>
      <c r="BR407" s="1021"/>
      <c r="BS407" s="1021"/>
      <c r="BT407" s="1021"/>
      <c r="BU407" s="1021"/>
      <c r="BV407" s="1021"/>
      <c r="BW407" s="1021"/>
      <c r="BX407" s="1021"/>
      <c r="BY407" s="1021"/>
      <c r="BZ407" s="1021"/>
      <c r="CA407" s="1021"/>
      <c r="CB407" s="1021"/>
      <c r="CC407" s="1021"/>
    </row>
    <row r="408" spans="8:81" x14ac:dyDescent="0.25">
      <c r="H408" s="1021"/>
      <c r="I408" s="1021"/>
      <c r="J408" s="1021"/>
      <c r="K408" s="1021"/>
      <c r="L408" s="1021"/>
      <c r="M408" s="1021"/>
      <c r="N408" s="1021"/>
      <c r="O408" s="1021"/>
      <c r="P408" s="1021"/>
      <c r="Q408" s="1021"/>
      <c r="R408" s="1021"/>
      <c r="S408" s="1021"/>
      <c r="T408" s="1021"/>
      <c r="U408" s="1021"/>
      <c r="V408" s="1021"/>
      <c r="W408" s="1021"/>
      <c r="X408" s="1021"/>
      <c r="Y408" s="1021"/>
      <c r="Z408" s="1021"/>
      <c r="AA408" s="1021"/>
      <c r="AB408" s="1021"/>
      <c r="AC408" s="1021"/>
      <c r="AD408" s="1021"/>
      <c r="AE408" s="1021"/>
      <c r="AF408" s="1021"/>
      <c r="AG408" s="1021"/>
      <c r="AH408" s="1021"/>
      <c r="AI408" s="1021"/>
      <c r="AJ408" s="1021"/>
      <c r="AK408" s="1021"/>
      <c r="AL408" s="1021"/>
      <c r="AM408" s="1021"/>
      <c r="AN408" s="1021"/>
      <c r="AO408" s="1021"/>
      <c r="AP408" s="1021"/>
      <c r="AQ408" s="1021"/>
      <c r="AR408" s="1021"/>
      <c r="AS408" s="1021"/>
      <c r="AT408" s="1021"/>
      <c r="AU408" s="1021"/>
      <c r="AV408" s="1021"/>
      <c r="AW408" s="1021"/>
      <c r="AX408" s="1021"/>
      <c r="AY408" s="1021"/>
      <c r="AZ408" s="1021"/>
      <c r="BA408" s="1021"/>
      <c r="BB408" s="1021"/>
      <c r="BC408" s="1021"/>
      <c r="BD408" s="1021"/>
      <c r="BE408" s="1021"/>
      <c r="BF408" s="1021"/>
      <c r="BG408" s="1021"/>
      <c r="BH408" s="1021"/>
      <c r="BI408" s="1021"/>
      <c r="BJ408" s="1021"/>
      <c r="BK408" s="1021"/>
      <c r="BL408" s="1021"/>
      <c r="BM408" s="1021"/>
      <c r="BN408" s="1021"/>
      <c r="BO408" s="1021"/>
      <c r="BP408" s="1021"/>
      <c r="BQ408" s="1021"/>
      <c r="BR408" s="1021"/>
      <c r="BS408" s="1021"/>
      <c r="BT408" s="1021"/>
      <c r="BU408" s="1021"/>
      <c r="BV408" s="1021"/>
      <c r="BW408" s="1021"/>
      <c r="BX408" s="1021"/>
      <c r="BY408" s="1021"/>
      <c r="BZ408" s="1021"/>
      <c r="CA408" s="1021"/>
      <c r="CB408" s="1021"/>
      <c r="CC408" s="1021"/>
    </row>
    <row r="409" spans="8:81" x14ac:dyDescent="0.25">
      <c r="H409" s="1021"/>
      <c r="I409" s="1021"/>
      <c r="J409" s="1021"/>
      <c r="K409" s="1021"/>
      <c r="L409" s="1021"/>
      <c r="M409" s="1021"/>
      <c r="N409" s="1021"/>
      <c r="O409" s="1021"/>
      <c r="P409" s="1021"/>
      <c r="Q409" s="1021"/>
      <c r="R409" s="1021"/>
      <c r="S409" s="1021"/>
      <c r="T409" s="1021"/>
      <c r="U409" s="1021"/>
      <c r="V409" s="1021"/>
      <c r="W409" s="1021"/>
      <c r="X409" s="1021"/>
      <c r="Y409" s="1021"/>
      <c r="Z409" s="1021"/>
      <c r="AA409" s="1021"/>
      <c r="AB409" s="1021"/>
      <c r="AC409" s="1021"/>
      <c r="AD409" s="1021"/>
      <c r="AE409" s="1021"/>
      <c r="AF409" s="1021"/>
      <c r="AG409" s="1021"/>
      <c r="AH409" s="1021"/>
      <c r="AI409" s="1021"/>
      <c r="AJ409" s="1021"/>
      <c r="AK409" s="1021"/>
      <c r="AL409" s="1021"/>
      <c r="AM409" s="1021"/>
      <c r="AN409" s="1021"/>
      <c r="AO409" s="1021"/>
      <c r="AP409" s="1021"/>
      <c r="AQ409" s="1021"/>
      <c r="AR409" s="1021"/>
      <c r="AS409" s="1021"/>
      <c r="AT409" s="1021"/>
      <c r="AU409" s="1021"/>
      <c r="AV409" s="1021"/>
      <c r="AW409" s="1021"/>
      <c r="AX409" s="1021"/>
      <c r="AY409" s="1021"/>
      <c r="AZ409" s="1021"/>
      <c r="BA409" s="1021"/>
      <c r="BB409" s="1021"/>
      <c r="BC409" s="1021"/>
      <c r="BD409" s="1021"/>
      <c r="BE409" s="1021"/>
      <c r="BF409" s="1021"/>
      <c r="BG409" s="1021"/>
      <c r="BH409" s="1021"/>
      <c r="BI409" s="1021"/>
      <c r="BJ409" s="1021"/>
      <c r="BK409" s="1021"/>
      <c r="BL409" s="1021"/>
      <c r="BM409" s="1021"/>
      <c r="BN409" s="1021"/>
      <c r="BO409" s="1021"/>
      <c r="BP409" s="1021"/>
      <c r="BQ409" s="1021"/>
      <c r="BR409" s="1021"/>
      <c r="BS409" s="1021"/>
      <c r="BT409" s="1021"/>
      <c r="BU409" s="1021"/>
      <c r="BV409" s="1021"/>
      <c r="BW409" s="1021"/>
      <c r="BX409" s="1021"/>
      <c r="BY409" s="1021"/>
      <c r="BZ409" s="1021"/>
      <c r="CA409" s="1021"/>
      <c r="CB409" s="1021"/>
      <c r="CC409" s="1021"/>
    </row>
    <row r="410" spans="8:81" x14ac:dyDescent="0.25">
      <c r="H410" s="1021"/>
      <c r="I410" s="1021"/>
      <c r="J410" s="1021"/>
      <c r="K410" s="1021"/>
      <c r="L410" s="1021"/>
      <c r="M410" s="1021"/>
      <c r="N410" s="1021"/>
      <c r="O410" s="1021"/>
      <c r="P410" s="1021"/>
      <c r="Q410" s="1021"/>
      <c r="R410" s="1021"/>
      <c r="S410" s="1021"/>
      <c r="T410" s="1021"/>
      <c r="U410" s="1021"/>
      <c r="V410" s="1021"/>
      <c r="W410" s="1021"/>
      <c r="X410" s="1021"/>
      <c r="Y410" s="1021"/>
      <c r="Z410" s="1021"/>
      <c r="AA410" s="1021"/>
      <c r="AB410" s="1021"/>
      <c r="AC410" s="1021"/>
      <c r="AD410" s="1021"/>
      <c r="AE410" s="1021"/>
      <c r="AF410" s="1021"/>
      <c r="AG410" s="1021"/>
      <c r="AH410" s="1021"/>
      <c r="AI410" s="1021"/>
      <c r="AJ410" s="1021"/>
      <c r="AK410" s="1021"/>
      <c r="AL410" s="1021"/>
      <c r="AM410" s="1021"/>
      <c r="AN410" s="1021"/>
      <c r="AO410" s="1021"/>
      <c r="AP410" s="1021"/>
      <c r="AQ410" s="1021"/>
      <c r="AR410" s="1021"/>
      <c r="AS410" s="1021"/>
      <c r="AT410" s="1021"/>
      <c r="AU410" s="1021"/>
      <c r="AV410" s="1021"/>
      <c r="AW410" s="1021"/>
      <c r="AX410" s="1021"/>
      <c r="AY410" s="1021"/>
      <c r="AZ410" s="1021"/>
      <c r="BA410" s="1021"/>
      <c r="BB410" s="1021"/>
      <c r="BC410" s="1021"/>
      <c r="BD410" s="1021"/>
      <c r="BE410" s="1021"/>
      <c r="BF410" s="1021"/>
      <c r="BG410" s="1021"/>
      <c r="BH410" s="1021"/>
      <c r="BI410" s="1021"/>
      <c r="BJ410" s="1021"/>
      <c r="BK410" s="1021"/>
      <c r="BL410" s="1021"/>
      <c r="BM410" s="1021"/>
      <c r="BN410" s="1021"/>
      <c r="BO410" s="1021"/>
      <c r="BP410" s="1021"/>
      <c r="BQ410" s="1021"/>
      <c r="BR410" s="1021"/>
      <c r="BS410" s="1021"/>
      <c r="BT410" s="1021"/>
      <c r="BU410" s="1021"/>
      <c r="BV410" s="1021"/>
      <c r="BW410" s="1021"/>
      <c r="BX410" s="1021"/>
      <c r="BY410" s="1021"/>
      <c r="BZ410" s="1021"/>
      <c r="CA410" s="1021"/>
      <c r="CB410" s="1021"/>
      <c r="CC410" s="1021"/>
    </row>
    <row r="411" spans="8:81" x14ac:dyDescent="0.25">
      <c r="H411" s="1021"/>
      <c r="I411" s="1021"/>
      <c r="J411" s="1021"/>
      <c r="K411" s="1021"/>
      <c r="L411" s="1021"/>
      <c r="M411" s="1021"/>
      <c r="N411" s="1021"/>
      <c r="O411" s="1021"/>
      <c r="P411" s="1021"/>
      <c r="Q411" s="1021"/>
      <c r="R411" s="1021"/>
      <c r="S411" s="1021"/>
      <c r="T411" s="1021"/>
      <c r="U411" s="1021"/>
      <c r="V411" s="1021"/>
      <c r="W411" s="1021"/>
      <c r="X411" s="1021"/>
      <c r="Y411" s="1021"/>
      <c r="Z411" s="1021"/>
      <c r="AA411" s="1021"/>
      <c r="AB411" s="1021"/>
      <c r="AC411" s="1021"/>
      <c r="AD411" s="1021"/>
      <c r="AE411" s="1021"/>
      <c r="AF411" s="1021"/>
      <c r="AG411" s="1021"/>
      <c r="AH411" s="1021"/>
      <c r="AI411" s="1021"/>
      <c r="AJ411" s="1021"/>
      <c r="AK411" s="1021"/>
      <c r="AL411" s="1021"/>
      <c r="AM411" s="1021"/>
      <c r="AN411" s="1021"/>
      <c r="AO411" s="1021"/>
      <c r="AP411" s="1021"/>
      <c r="AQ411" s="1021"/>
      <c r="AR411" s="1021"/>
      <c r="AS411" s="1021"/>
      <c r="AT411" s="1021"/>
      <c r="AU411" s="1021"/>
      <c r="AV411" s="1021"/>
      <c r="AW411" s="1021"/>
      <c r="AX411" s="1021"/>
      <c r="AY411" s="1021"/>
      <c r="AZ411" s="1021"/>
      <c r="BA411" s="1021"/>
      <c r="BB411" s="1021"/>
      <c r="BC411" s="1021"/>
      <c r="BD411" s="1021"/>
      <c r="BE411" s="1021"/>
      <c r="BF411" s="1021"/>
      <c r="BG411" s="1021"/>
      <c r="BH411" s="1021"/>
      <c r="BI411" s="1021"/>
      <c r="BJ411" s="1021"/>
      <c r="BK411" s="1021"/>
      <c r="BL411" s="1021"/>
      <c r="BM411" s="1021"/>
      <c r="BN411" s="1021"/>
      <c r="BO411" s="1021"/>
      <c r="BP411" s="1021"/>
      <c r="BQ411" s="1021"/>
      <c r="BR411" s="1021"/>
      <c r="BS411" s="1021"/>
      <c r="BT411" s="1021"/>
      <c r="BU411" s="1021"/>
      <c r="BV411" s="1021"/>
      <c r="BW411" s="1021"/>
      <c r="BX411" s="1021"/>
      <c r="BY411" s="1021"/>
      <c r="BZ411" s="1021"/>
      <c r="CA411" s="1021"/>
      <c r="CB411" s="1021"/>
      <c r="CC411" s="1021"/>
    </row>
    <row r="412" spans="8:81" x14ac:dyDescent="0.25">
      <c r="H412" s="1021"/>
      <c r="I412" s="1021"/>
      <c r="J412" s="1021"/>
      <c r="K412" s="1021"/>
      <c r="L412" s="1021"/>
      <c r="M412" s="1021"/>
      <c r="N412" s="1021"/>
      <c r="O412" s="1021"/>
      <c r="P412" s="1021"/>
      <c r="Q412" s="1021"/>
      <c r="R412" s="1021"/>
      <c r="S412" s="1021"/>
      <c r="T412" s="1021"/>
      <c r="U412" s="1021"/>
      <c r="V412" s="1021"/>
      <c r="W412" s="1021"/>
      <c r="X412" s="1021"/>
      <c r="Y412" s="1021"/>
      <c r="Z412" s="1021"/>
      <c r="AA412" s="1021"/>
      <c r="AB412" s="1021"/>
      <c r="AC412" s="1021"/>
      <c r="AD412" s="1021"/>
      <c r="AE412" s="1021"/>
      <c r="AF412" s="1021"/>
      <c r="AG412" s="1021"/>
      <c r="AH412" s="1021"/>
      <c r="AI412" s="1021"/>
      <c r="AJ412" s="1021"/>
      <c r="AK412" s="1021"/>
      <c r="AL412" s="1021"/>
      <c r="AM412" s="1021"/>
      <c r="AN412" s="1021"/>
      <c r="AO412" s="1021"/>
      <c r="AP412" s="1021"/>
      <c r="AQ412" s="1021"/>
      <c r="AR412" s="1021"/>
      <c r="AS412" s="1021"/>
      <c r="AT412" s="1021"/>
      <c r="AU412" s="1021"/>
      <c r="AV412" s="1021"/>
      <c r="AW412" s="1021"/>
      <c r="AX412" s="1021"/>
      <c r="AY412" s="1021"/>
      <c r="AZ412" s="1021"/>
      <c r="BA412" s="1021"/>
      <c r="BB412" s="1021"/>
      <c r="BC412" s="1021"/>
      <c r="BD412" s="1021"/>
      <c r="BE412" s="1021"/>
      <c r="BF412" s="1021"/>
      <c r="BG412" s="1021"/>
      <c r="BH412" s="1021"/>
      <c r="BI412" s="1021"/>
      <c r="BJ412" s="1021"/>
      <c r="BK412" s="1021"/>
      <c r="BL412" s="1021"/>
      <c r="BM412" s="1021"/>
      <c r="BN412" s="1021"/>
      <c r="BO412" s="1021"/>
      <c r="BP412" s="1021"/>
      <c r="BQ412" s="1021"/>
      <c r="BR412" s="1021"/>
      <c r="BS412" s="1021"/>
      <c r="BT412" s="1021"/>
      <c r="BU412" s="1021"/>
      <c r="BV412" s="1021"/>
      <c r="BW412" s="1021"/>
      <c r="BX412" s="1021"/>
      <c r="BY412" s="1021"/>
      <c r="BZ412" s="1021"/>
      <c r="CA412" s="1021"/>
      <c r="CB412" s="1021"/>
      <c r="CC412" s="1021"/>
    </row>
    <row r="413" spans="8:81" x14ac:dyDescent="0.25">
      <c r="H413" s="1021"/>
      <c r="I413" s="1021"/>
      <c r="J413" s="1021"/>
      <c r="K413" s="1021"/>
      <c r="L413" s="1021"/>
      <c r="M413" s="1021"/>
      <c r="N413" s="1021"/>
      <c r="O413" s="1021"/>
      <c r="P413" s="1021"/>
      <c r="Q413" s="1021"/>
      <c r="R413" s="1021"/>
      <c r="S413" s="1021"/>
      <c r="T413" s="1021"/>
      <c r="U413" s="1021"/>
      <c r="V413" s="1021"/>
      <c r="W413" s="1021"/>
      <c r="X413" s="1021"/>
      <c r="Y413" s="1021"/>
      <c r="Z413" s="1021"/>
      <c r="AA413" s="1021"/>
      <c r="AB413" s="1021"/>
      <c r="AC413" s="1021"/>
      <c r="AD413" s="1021"/>
      <c r="AE413" s="1021"/>
      <c r="AF413" s="1021"/>
      <c r="AG413" s="1021"/>
      <c r="AH413" s="1021"/>
      <c r="AI413" s="1021"/>
      <c r="AJ413" s="1021"/>
      <c r="AK413" s="1021"/>
      <c r="AL413" s="1021"/>
      <c r="AM413" s="1021"/>
      <c r="AN413" s="1021"/>
      <c r="AO413" s="1021"/>
      <c r="AP413" s="1021"/>
      <c r="AQ413" s="1021"/>
      <c r="AR413" s="1021"/>
      <c r="AS413" s="1021"/>
      <c r="AT413" s="1021"/>
      <c r="AU413" s="1021"/>
      <c r="AV413" s="1021"/>
      <c r="AW413" s="1021"/>
      <c r="AX413" s="1021"/>
      <c r="AY413" s="1021"/>
      <c r="AZ413" s="1021"/>
      <c r="BA413" s="1021"/>
      <c r="BB413" s="1021"/>
      <c r="BC413" s="1021"/>
      <c r="BD413" s="1021"/>
      <c r="BE413" s="1021"/>
      <c r="BF413" s="1021"/>
      <c r="BG413" s="1021"/>
      <c r="BH413" s="1021"/>
      <c r="BI413" s="1021"/>
      <c r="BJ413" s="1021"/>
      <c r="BK413" s="1021"/>
      <c r="BL413" s="1021"/>
      <c r="BM413" s="1021"/>
      <c r="BN413" s="1021"/>
      <c r="BO413" s="1021"/>
      <c r="BP413" s="1021"/>
      <c r="BQ413" s="1021"/>
      <c r="BR413" s="1021"/>
      <c r="BS413" s="1021"/>
      <c r="BT413" s="1021"/>
      <c r="BU413" s="1021"/>
      <c r="BV413" s="1021"/>
      <c r="BW413" s="1021"/>
      <c r="BX413" s="1021"/>
      <c r="BY413" s="1021"/>
      <c r="BZ413" s="1021"/>
      <c r="CA413" s="1021"/>
      <c r="CB413" s="1021"/>
      <c r="CC413" s="1021"/>
    </row>
    <row r="414" spans="8:81" x14ac:dyDescent="0.25">
      <c r="H414" s="1021"/>
      <c r="I414" s="1021"/>
      <c r="J414" s="1021"/>
      <c r="K414" s="1021"/>
      <c r="L414" s="1021"/>
      <c r="M414" s="1021"/>
      <c r="N414" s="1021"/>
      <c r="O414" s="1021"/>
      <c r="P414" s="1021"/>
      <c r="Q414" s="1021"/>
      <c r="R414" s="1021"/>
      <c r="S414" s="1021"/>
      <c r="T414" s="1021"/>
      <c r="U414" s="1021"/>
      <c r="V414" s="1021"/>
      <c r="W414" s="1021"/>
      <c r="X414" s="1021"/>
      <c r="Y414" s="1021"/>
      <c r="Z414" s="1021"/>
      <c r="AA414" s="1021"/>
      <c r="AB414" s="1021"/>
      <c r="AC414" s="1021"/>
      <c r="AD414" s="1021"/>
      <c r="AE414" s="1021"/>
      <c r="AF414" s="1021"/>
      <c r="AG414" s="1021"/>
      <c r="AH414" s="1021"/>
      <c r="AI414" s="1021"/>
      <c r="AJ414" s="1021"/>
      <c r="AK414" s="1021"/>
      <c r="AL414" s="1021"/>
      <c r="AM414" s="1021"/>
      <c r="AN414" s="1021"/>
      <c r="AO414" s="1021"/>
      <c r="AP414" s="1021"/>
      <c r="AQ414" s="1021"/>
      <c r="AR414" s="1021"/>
      <c r="AS414" s="1021"/>
      <c r="AT414" s="1021"/>
      <c r="AU414" s="1021"/>
      <c r="AV414" s="1021"/>
      <c r="AW414" s="1021"/>
      <c r="AX414" s="1021"/>
      <c r="AY414" s="1021"/>
      <c r="AZ414" s="1021"/>
      <c r="BA414" s="1021"/>
      <c r="BB414" s="1021"/>
      <c r="BC414" s="1021"/>
      <c r="BD414" s="1021"/>
      <c r="BE414" s="1021"/>
      <c r="BF414" s="1021"/>
      <c r="BG414" s="1021"/>
      <c r="BH414" s="1021"/>
      <c r="BI414" s="1021"/>
      <c r="BJ414" s="1021"/>
      <c r="BK414" s="1021"/>
      <c r="BL414" s="1021"/>
      <c r="BM414" s="1021"/>
      <c r="BN414" s="1021"/>
      <c r="BO414" s="1021"/>
      <c r="BP414" s="1021"/>
      <c r="BQ414" s="1021"/>
      <c r="BR414" s="1021"/>
      <c r="BS414" s="1021"/>
      <c r="BT414" s="1021"/>
      <c r="BU414" s="1021"/>
      <c r="BV414" s="1021"/>
      <c r="BW414" s="1021"/>
      <c r="BX414" s="1021"/>
      <c r="BY414" s="1021"/>
      <c r="BZ414" s="1021"/>
      <c r="CA414" s="1021"/>
      <c r="CB414" s="1021"/>
      <c r="CC414" s="1021"/>
    </row>
    <row r="415" spans="8:81" x14ac:dyDescent="0.25">
      <c r="H415" s="1021"/>
      <c r="I415" s="1021"/>
      <c r="J415" s="1021"/>
      <c r="K415" s="1021"/>
      <c r="L415" s="1021"/>
      <c r="M415" s="1021"/>
      <c r="N415" s="1021"/>
      <c r="O415" s="1021"/>
      <c r="P415" s="1021"/>
      <c r="Q415" s="1021"/>
      <c r="R415" s="1021"/>
      <c r="S415" s="1021"/>
      <c r="T415" s="1021"/>
      <c r="U415" s="1021"/>
      <c r="V415" s="1021"/>
      <c r="W415" s="1021"/>
      <c r="X415" s="1021"/>
      <c r="Y415" s="1021"/>
      <c r="Z415" s="1021"/>
      <c r="AA415" s="1021"/>
      <c r="AB415" s="1021"/>
      <c r="AC415" s="1021"/>
      <c r="AD415" s="1021"/>
      <c r="AE415" s="1021"/>
      <c r="AF415" s="1021"/>
      <c r="AG415" s="1021"/>
      <c r="AH415" s="1021"/>
      <c r="AI415" s="1021"/>
      <c r="AJ415" s="1021"/>
      <c r="AK415" s="1021"/>
      <c r="AL415" s="1021"/>
      <c r="AM415" s="1021"/>
      <c r="AN415" s="1021"/>
      <c r="AO415" s="1021"/>
      <c r="AP415" s="1021"/>
      <c r="AQ415" s="1021"/>
      <c r="AR415" s="1021"/>
      <c r="AS415" s="1021"/>
      <c r="AT415" s="1021"/>
      <c r="AU415" s="1021"/>
      <c r="AV415" s="1021"/>
      <c r="AW415" s="1021"/>
      <c r="AX415" s="1021"/>
      <c r="AY415" s="1021"/>
      <c r="AZ415" s="1021"/>
      <c r="BA415" s="1021"/>
      <c r="BB415" s="1021"/>
      <c r="BC415" s="1021"/>
      <c r="BD415" s="1021"/>
      <c r="BE415" s="1021"/>
      <c r="BF415" s="1021"/>
      <c r="BG415" s="1021"/>
      <c r="BH415" s="1021"/>
      <c r="BI415" s="1021"/>
      <c r="BJ415" s="1021"/>
      <c r="BK415" s="1021"/>
      <c r="BL415" s="1021"/>
      <c r="BM415" s="1021"/>
      <c r="BN415" s="1021"/>
      <c r="BO415" s="1021"/>
      <c r="BP415" s="1021"/>
      <c r="BQ415" s="1021"/>
      <c r="BR415" s="1021"/>
      <c r="BS415" s="1021"/>
      <c r="BT415" s="1021"/>
      <c r="BU415" s="1021"/>
      <c r="BV415" s="1021"/>
      <c r="BW415" s="1021"/>
      <c r="BX415" s="1021"/>
      <c r="BY415" s="1021"/>
      <c r="BZ415" s="1021"/>
      <c r="CA415" s="1021"/>
      <c r="CB415" s="1021"/>
      <c r="CC415" s="1021"/>
    </row>
    <row r="416" spans="8:81" x14ac:dyDescent="0.25">
      <c r="H416" s="1021"/>
      <c r="I416" s="1021"/>
      <c r="J416" s="1021"/>
      <c r="K416" s="1021"/>
      <c r="L416" s="1021"/>
      <c r="M416" s="1021"/>
      <c r="N416" s="1021"/>
      <c r="O416" s="1021"/>
      <c r="P416" s="1021"/>
      <c r="Q416" s="1021"/>
      <c r="R416" s="1021"/>
      <c r="S416" s="1021"/>
      <c r="T416" s="1021"/>
      <c r="U416" s="1021"/>
      <c r="V416" s="1021"/>
      <c r="W416" s="1021"/>
      <c r="X416" s="1021"/>
      <c r="Y416" s="1021"/>
      <c r="Z416" s="1021"/>
      <c r="AA416" s="1021"/>
      <c r="AB416" s="1021"/>
      <c r="AC416" s="1021"/>
      <c r="AD416" s="1021"/>
      <c r="AE416" s="1021"/>
      <c r="AF416" s="1021"/>
      <c r="AG416" s="1021"/>
      <c r="AH416" s="1021"/>
      <c r="AI416" s="1021"/>
      <c r="AJ416" s="1021"/>
      <c r="AK416" s="1021"/>
      <c r="AL416" s="1021"/>
      <c r="AM416" s="1021"/>
      <c r="AN416" s="1021"/>
      <c r="AO416" s="1021"/>
      <c r="AP416" s="1021"/>
      <c r="AQ416" s="1021"/>
      <c r="AR416" s="1021"/>
      <c r="AS416" s="1021"/>
      <c r="AT416" s="1021"/>
      <c r="AU416" s="1021"/>
      <c r="AV416" s="1021"/>
      <c r="AW416" s="1021"/>
      <c r="AX416" s="1021"/>
      <c r="AY416" s="1021"/>
      <c r="AZ416" s="1021"/>
      <c r="BA416" s="1021"/>
      <c r="BB416" s="1021"/>
      <c r="BC416" s="1021"/>
      <c r="BD416" s="1021"/>
      <c r="BE416" s="1021"/>
      <c r="BF416" s="1021"/>
      <c r="BG416" s="1021"/>
      <c r="BH416" s="1021"/>
      <c r="BI416" s="1021"/>
      <c r="BJ416" s="1021"/>
      <c r="BK416" s="1021"/>
      <c r="BL416" s="1021"/>
      <c r="BM416" s="1021"/>
      <c r="BN416" s="1021"/>
      <c r="BO416" s="1021"/>
      <c r="BP416" s="1021"/>
      <c r="BQ416" s="1021"/>
      <c r="BR416" s="1021"/>
      <c r="BS416" s="1021"/>
      <c r="BT416" s="1021"/>
      <c r="BU416" s="1021"/>
      <c r="BV416" s="1021"/>
      <c r="BW416" s="1021"/>
      <c r="BX416" s="1021"/>
      <c r="BY416" s="1021"/>
      <c r="BZ416" s="1021"/>
      <c r="CA416" s="1021"/>
      <c r="CB416" s="1021"/>
      <c r="CC416" s="1021"/>
    </row>
    <row r="417" spans="8:81" x14ac:dyDescent="0.25">
      <c r="H417" s="1021"/>
      <c r="I417" s="1021"/>
      <c r="J417" s="1021"/>
      <c r="K417" s="1021"/>
      <c r="L417" s="1021"/>
      <c r="M417" s="1021"/>
      <c r="N417" s="1021"/>
      <c r="O417" s="1021"/>
      <c r="P417" s="1021"/>
      <c r="Q417" s="1021"/>
      <c r="R417" s="1021"/>
      <c r="S417" s="1021"/>
      <c r="T417" s="1021"/>
      <c r="U417" s="1021"/>
      <c r="V417" s="1021"/>
      <c r="W417" s="1021"/>
      <c r="X417" s="1021"/>
      <c r="Y417" s="1021"/>
      <c r="Z417" s="1021"/>
      <c r="AA417" s="1021"/>
      <c r="AB417" s="1021"/>
      <c r="AC417" s="1021"/>
      <c r="AD417" s="1021"/>
      <c r="AE417" s="1021"/>
      <c r="AF417" s="1021"/>
      <c r="AG417" s="1021"/>
      <c r="AH417" s="1021"/>
      <c r="AI417" s="1021"/>
      <c r="AJ417" s="1021"/>
      <c r="AK417" s="1021"/>
      <c r="AL417" s="1021"/>
      <c r="AM417" s="1021"/>
      <c r="AN417" s="1021"/>
      <c r="AO417" s="1021"/>
      <c r="AP417" s="1021"/>
      <c r="AQ417" s="1021"/>
      <c r="AR417" s="1021"/>
      <c r="AS417" s="1021"/>
      <c r="AT417" s="1021"/>
      <c r="AU417" s="1021"/>
      <c r="AV417" s="1021"/>
      <c r="AW417" s="1021"/>
      <c r="AX417" s="1021"/>
      <c r="AY417" s="1021"/>
      <c r="AZ417" s="1021"/>
      <c r="BA417" s="1021"/>
      <c r="BB417" s="1021"/>
      <c r="BC417" s="1021"/>
      <c r="BD417" s="1021"/>
      <c r="BE417" s="1021"/>
      <c r="BF417" s="1021"/>
      <c r="BG417" s="1021"/>
      <c r="BH417" s="1021"/>
      <c r="BI417" s="1021"/>
      <c r="BJ417" s="1021"/>
      <c r="BK417" s="1021"/>
      <c r="BL417" s="1021"/>
      <c r="BM417" s="1021"/>
      <c r="BN417" s="1021"/>
      <c r="BO417" s="1021"/>
      <c r="BP417" s="1021"/>
      <c r="BQ417" s="1021"/>
      <c r="BR417" s="1021"/>
      <c r="BS417" s="1021"/>
      <c r="BT417" s="1021"/>
      <c r="BU417" s="1021"/>
      <c r="BV417" s="1021"/>
      <c r="BW417" s="1021"/>
      <c r="BX417" s="1021"/>
      <c r="BY417" s="1021"/>
      <c r="BZ417" s="1021"/>
      <c r="CA417" s="1021"/>
      <c r="CB417" s="1021"/>
      <c r="CC417" s="1021"/>
    </row>
    <row r="418" spans="8:81" x14ac:dyDescent="0.25">
      <c r="H418" s="1021"/>
      <c r="I418" s="1021"/>
      <c r="J418" s="1021"/>
      <c r="K418" s="1021"/>
      <c r="L418" s="1021"/>
      <c r="M418" s="1021"/>
      <c r="N418" s="1021"/>
      <c r="O418" s="1021"/>
      <c r="P418" s="1021"/>
      <c r="Q418" s="1021"/>
      <c r="R418" s="1021"/>
      <c r="S418" s="1021"/>
      <c r="T418" s="1021"/>
      <c r="U418" s="1021"/>
      <c r="V418" s="1021"/>
      <c r="W418" s="1021"/>
      <c r="X418" s="1021"/>
      <c r="Y418" s="1021"/>
      <c r="Z418" s="1021"/>
      <c r="AA418" s="1021"/>
      <c r="AB418" s="1021"/>
      <c r="AC418" s="1021"/>
      <c r="AD418" s="1021"/>
      <c r="AE418" s="1021"/>
      <c r="AF418" s="1021"/>
      <c r="AG418" s="1021"/>
      <c r="AH418" s="1021"/>
      <c r="AI418" s="1021"/>
      <c r="AJ418" s="1021"/>
      <c r="AK418" s="1021"/>
      <c r="AL418" s="1021"/>
      <c r="AM418" s="1021"/>
      <c r="AN418" s="1021"/>
      <c r="AO418" s="1021"/>
      <c r="AP418" s="1021"/>
      <c r="AQ418" s="1021"/>
      <c r="AR418" s="1021"/>
      <c r="AS418" s="1021"/>
      <c r="AT418" s="1021"/>
      <c r="AU418" s="1021"/>
      <c r="AV418" s="1021"/>
      <c r="AW418" s="1021"/>
      <c r="AX418" s="1021"/>
      <c r="AY418" s="1021"/>
      <c r="AZ418" s="1021"/>
      <c r="BA418" s="1021"/>
      <c r="BB418" s="1021"/>
      <c r="BC418" s="1021"/>
      <c r="BD418" s="1021"/>
      <c r="BE418" s="1021"/>
      <c r="BF418" s="1021"/>
      <c r="BG418" s="1021"/>
      <c r="BH418" s="1021"/>
      <c r="BI418" s="1021"/>
      <c r="BJ418" s="1021"/>
      <c r="BK418" s="1021"/>
      <c r="BL418" s="1021"/>
      <c r="BM418" s="1021"/>
      <c r="BN418" s="1021"/>
      <c r="BO418" s="1021"/>
      <c r="BP418" s="1021"/>
      <c r="BQ418" s="1021"/>
      <c r="BR418" s="1021"/>
      <c r="BS418" s="1021"/>
      <c r="BT418" s="1021"/>
      <c r="BU418" s="1021"/>
      <c r="BV418" s="1021"/>
      <c r="BW418" s="1021"/>
      <c r="BX418" s="1021"/>
      <c r="BY418" s="1021"/>
      <c r="BZ418" s="1021"/>
      <c r="CA418" s="1021"/>
      <c r="CB418" s="1021"/>
      <c r="CC418" s="1021"/>
    </row>
    <row r="419" spans="8:81" x14ac:dyDescent="0.25">
      <c r="H419" s="1021"/>
      <c r="I419" s="1021"/>
      <c r="J419" s="1021"/>
      <c r="K419" s="1021"/>
      <c r="L419" s="1021"/>
      <c r="M419" s="1021"/>
      <c r="N419" s="1021"/>
      <c r="O419" s="1021"/>
      <c r="P419" s="1021"/>
      <c r="Q419" s="1021"/>
      <c r="R419" s="1021"/>
      <c r="S419" s="1021"/>
      <c r="T419" s="1021"/>
      <c r="U419" s="1021"/>
      <c r="V419" s="1021"/>
      <c r="W419" s="1021"/>
      <c r="X419" s="1021"/>
      <c r="Y419" s="1021"/>
      <c r="Z419" s="1021"/>
      <c r="AA419" s="1021"/>
      <c r="AB419" s="1021"/>
      <c r="AC419" s="1021"/>
      <c r="AD419" s="1021"/>
      <c r="AE419" s="1021"/>
      <c r="AF419" s="1021"/>
      <c r="AG419" s="1021"/>
      <c r="AH419" s="1021"/>
      <c r="AI419" s="1021"/>
      <c r="AJ419" s="1021"/>
      <c r="AK419" s="1021"/>
      <c r="AL419" s="1021"/>
      <c r="AM419" s="1021"/>
      <c r="AN419" s="1021"/>
      <c r="AO419" s="1021"/>
      <c r="AP419" s="1021"/>
      <c r="AQ419" s="1021"/>
      <c r="AR419" s="1021"/>
      <c r="AS419" s="1021"/>
      <c r="AT419" s="1021"/>
      <c r="AU419" s="1021"/>
      <c r="AV419" s="1021"/>
      <c r="AW419" s="1021"/>
      <c r="AX419" s="1021"/>
      <c r="AY419" s="1021"/>
      <c r="AZ419" s="1021"/>
      <c r="BA419" s="1021"/>
      <c r="BB419" s="1021"/>
      <c r="BC419" s="1021"/>
      <c r="BD419" s="1021"/>
      <c r="BE419" s="1021"/>
      <c r="BF419" s="1021"/>
      <c r="BG419" s="1021"/>
      <c r="BH419" s="1021"/>
      <c r="BI419" s="1021"/>
      <c r="BJ419" s="1021"/>
      <c r="BK419" s="1021"/>
      <c r="BL419" s="1021"/>
      <c r="BM419" s="1021"/>
      <c r="BN419" s="1021"/>
      <c r="BO419" s="1021"/>
      <c r="BP419" s="1021"/>
      <c r="BQ419" s="1021"/>
      <c r="BR419" s="1021"/>
      <c r="BS419" s="1021"/>
      <c r="BT419" s="1021"/>
      <c r="BU419" s="1021"/>
      <c r="BV419" s="1021"/>
      <c r="BW419" s="1021"/>
      <c r="BX419" s="1021"/>
      <c r="BY419" s="1021"/>
      <c r="BZ419" s="1021"/>
      <c r="CA419" s="1021"/>
      <c r="CB419" s="1021"/>
      <c r="CC419" s="1021"/>
    </row>
    <row r="420" spans="8:81" x14ac:dyDescent="0.25">
      <c r="H420" s="1021"/>
      <c r="I420" s="1021"/>
      <c r="J420" s="1021"/>
      <c r="K420" s="1021"/>
      <c r="L420" s="1021"/>
      <c r="M420" s="1021"/>
      <c r="N420" s="1021"/>
      <c r="O420" s="1021"/>
      <c r="P420" s="1021"/>
      <c r="Q420" s="1021"/>
      <c r="R420" s="1021"/>
      <c r="S420" s="1021"/>
      <c r="T420" s="1021"/>
      <c r="U420" s="1021"/>
      <c r="V420" s="1021"/>
      <c r="W420" s="1021"/>
      <c r="X420" s="1021"/>
      <c r="Y420" s="1021"/>
      <c r="Z420" s="1021"/>
      <c r="AA420" s="1021"/>
      <c r="AB420" s="1021"/>
      <c r="AC420" s="1021"/>
      <c r="AD420" s="1021"/>
      <c r="AE420" s="1021"/>
      <c r="AF420" s="1021"/>
      <c r="AG420" s="1021"/>
      <c r="AH420" s="1021"/>
      <c r="AI420" s="1021"/>
      <c r="AJ420" s="1021"/>
      <c r="AK420" s="1021"/>
      <c r="AL420" s="1021"/>
      <c r="AM420" s="1021"/>
      <c r="AN420" s="1021"/>
      <c r="AO420" s="1021"/>
      <c r="AP420" s="1021"/>
      <c r="AQ420" s="1021"/>
      <c r="AR420" s="1021"/>
      <c r="AS420" s="1021"/>
      <c r="AT420" s="1021"/>
      <c r="AU420" s="1021"/>
      <c r="AV420" s="1021"/>
      <c r="AW420" s="1021"/>
      <c r="AX420" s="1021"/>
      <c r="AY420" s="1021"/>
      <c r="AZ420" s="1021"/>
      <c r="BA420" s="1021"/>
      <c r="BB420" s="1021"/>
      <c r="BC420" s="1021"/>
      <c r="BD420" s="1021"/>
      <c r="BE420" s="1021"/>
      <c r="BF420" s="1021"/>
      <c r="BG420" s="1021"/>
      <c r="BH420" s="1021"/>
      <c r="BI420" s="1021"/>
      <c r="BJ420" s="1021"/>
      <c r="BK420" s="1021"/>
      <c r="BL420" s="1021"/>
      <c r="BM420" s="1021"/>
      <c r="BN420" s="1021"/>
      <c r="BO420" s="1021"/>
      <c r="BP420" s="1021"/>
      <c r="BQ420" s="1021"/>
      <c r="BR420" s="1021"/>
      <c r="BS420" s="1021"/>
      <c r="BT420" s="1021"/>
      <c r="BU420" s="1021"/>
      <c r="BV420" s="1021"/>
      <c r="BW420" s="1021"/>
      <c r="BX420" s="1021"/>
      <c r="BY420" s="1021"/>
      <c r="BZ420" s="1021"/>
      <c r="CA420" s="1021"/>
      <c r="CB420" s="1021"/>
      <c r="CC420" s="1021"/>
    </row>
    <row r="421" spans="8:81" x14ac:dyDescent="0.25">
      <c r="H421" s="1021"/>
      <c r="I421" s="1021"/>
      <c r="J421" s="1021"/>
      <c r="K421" s="1021"/>
      <c r="L421" s="1021"/>
      <c r="M421" s="1021"/>
      <c r="N421" s="1021"/>
      <c r="O421" s="1021"/>
      <c r="P421" s="1021"/>
      <c r="Q421" s="1021"/>
      <c r="R421" s="1021"/>
      <c r="S421" s="1021"/>
      <c r="T421" s="1021"/>
      <c r="U421" s="1021"/>
      <c r="V421" s="1021"/>
      <c r="W421" s="1021"/>
      <c r="X421" s="1021"/>
      <c r="Y421" s="1021"/>
      <c r="Z421" s="1021"/>
      <c r="AA421" s="1021"/>
      <c r="AB421" s="1021"/>
      <c r="AC421" s="1021"/>
      <c r="AD421" s="1021"/>
      <c r="AE421" s="1021"/>
      <c r="AF421" s="1021"/>
      <c r="AG421" s="1021"/>
      <c r="AH421" s="1021"/>
      <c r="AI421" s="1021"/>
      <c r="AJ421" s="1021"/>
      <c r="AK421" s="1021"/>
      <c r="AL421" s="1021"/>
      <c r="AM421" s="1021"/>
      <c r="AN421" s="1021"/>
      <c r="AO421" s="1021"/>
      <c r="AP421" s="1021"/>
      <c r="AQ421" s="1021"/>
      <c r="AR421" s="1021"/>
      <c r="AS421" s="1021"/>
      <c r="AT421" s="1021"/>
      <c r="AU421" s="1021"/>
      <c r="AV421" s="1021"/>
      <c r="AW421" s="1021"/>
      <c r="AX421" s="1021"/>
      <c r="AY421" s="1021"/>
      <c r="AZ421" s="1021"/>
      <c r="BA421" s="1021"/>
      <c r="BB421" s="1021"/>
      <c r="BC421" s="1021"/>
      <c r="BD421" s="1021"/>
      <c r="BE421" s="1021"/>
      <c r="BF421" s="1021"/>
      <c r="BG421" s="1021"/>
      <c r="BH421" s="1021"/>
      <c r="BI421" s="1021"/>
      <c r="BJ421" s="1021"/>
      <c r="BK421" s="1021"/>
      <c r="BL421" s="1021"/>
      <c r="BM421" s="1021"/>
      <c r="BN421" s="1021"/>
      <c r="BO421" s="1021"/>
      <c r="BP421" s="1021"/>
      <c r="BQ421" s="1021"/>
      <c r="BR421" s="1021"/>
      <c r="BS421" s="1021"/>
      <c r="BT421" s="1021"/>
      <c r="BU421" s="1021"/>
      <c r="BV421" s="1021"/>
      <c r="BW421" s="1021"/>
      <c r="BX421" s="1021"/>
      <c r="BY421" s="1021"/>
      <c r="BZ421" s="1021"/>
      <c r="CA421" s="1021"/>
      <c r="CB421" s="1021"/>
      <c r="CC421" s="1021"/>
    </row>
    <row r="422" spans="8:81" x14ac:dyDescent="0.25">
      <c r="H422" s="1021"/>
      <c r="I422" s="1021"/>
      <c r="J422" s="1021"/>
      <c r="K422" s="1021"/>
      <c r="L422" s="1021"/>
      <c r="M422" s="1021"/>
      <c r="N422" s="1021"/>
      <c r="O422" s="1021"/>
      <c r="P422" s="1021"/>
      <c r="Q422" s="1021"/>
      <c r="R422" s="1021"/>
      <c r="S422" s="1021"/>
      <c r="T422" s="1021"/>
      <c r="U422" s="1021"/>
      <c r="V422" s="1021"/>
      <c r="W422" s="1021"/>
      <c r="X422" s="1021"/>
      <c r="Y422" s="1021"/>
      <c r="Z422" s="1021"/>
      <c r="AA422" s="1021"/>
      <c r="AB422" s="1021"/>
      <c r="AC422" s="1021"/>
      <c r="AD422" s="1021"/>
      <c r="AE422" s="1021"/>
      <c r="AF422" s="1021"/>
      <c r="AG422" s="1021"/>
      <c r="AH422" s="1021"/>
      <c r="AI422" s="1021"/>
      <c r="AJ422" s="1021"/>
      <c r="AK422" s="1021"/>
      <c r="AL422" s="1021"/>
      <c r="AM422" s="1021"/>
      <c r="AN422" s="1021"/>
      <c r="AO422" s="1021"/>
      <c r="AP422" s="1021"/>
      <c r="AQ422" s="1021"/>
      <c r="AR422" s="1021"/>
      <c r="AS422" s="1021"/>
      <c r="AT422" s="1021"/>
      <c r="AU422" s="1021"/>
      <c r="AV422" s="1021"/>
      <c r="AW422" s="1021"/>
      <c r="AX422" s="1021"/>
      <c r="AY422" s="1021"/>
      <c r="AZ422" s="1021"/>
      <c r="BA422" s="1021"/>
      <c r="BB422" s="1021"/>
      <c r="BC422" s="1021"/>
      <c r="BD422" s="1021"/>
      <c r="BE422" s="1021"/>
      <c r="BF422" s="1021"/>
      <c r="BG422" s="1021"/>
      <c r="BH422" s="1021"/>
      <c r="BI422" s="1021"/>
      <c r="BJ422" s="1021"/>
      <c r="BK422" s="1021"/>
      <c r="BL422" s="1021"/>
      <c r="BM422" s="1021"/>
      <c r="BN422" s="1021"/>
      <c r="BO422" s="1021"/>
      <c r="BP422" s="1021"/>
      <c r="BQ422" s="1021"/>
      <c r="BR422" s="1021"/>
      <c r="BS422" s="1021"/>
      <c r="BT422" s="1021"/>
      <c r="BU422" s="1021"/>
      <c r="BV422" s="1021"/>
      <c r="BW422" s="1021"/>
      <c r="BX422" s="1021"/>
      <c r="BY422" s="1021"/>
      <c r="BZ422" s="1021"/>
      <c r="CA422" s="1021"/>
      <c r="CB422" s="1021"/>
      <c r="CC422" s="1021"/>
    </row>
    <row r="423" spans="8:81" x14ac:dyDescent="0.25">
      <c r="H423" s="1021"/>
      <c r="I423" s="1021"/>
      <c r="J423" s="1021"/>
      <c r="K423" s="1021"/>
      <c r="L423" s="1021"/>
      <c r="M423" s="1021"/>
      <c r="N423" s="1021"/>
      <c r="O423" s="1021"/>
      <c r="P423" s="1021"/>
      <c r="Q423" s="1021"/>
      <c r="R423" s="1021"/>
      <c r="S423" s="1021"/>
      <c r="T423" s="1021"/>
      <c r="U423" s="1021"/>
      <c r="V423" s="1021"/>
      <c r="W423" s="1021"/>
      <c r="X423" s="1021"/>
      <c r="Y423" s="1021"/>
      <c r="Z423" s="1021"/>
      <c r="AA423" s="1021"/>
      <c r="AB423" s="1021"/>
      <c r="AC423" s="1021"/>
      <c r="AD423" s="1021"/>
      <c r="AE423" s="1021"/>
      <c r="AF423" s="1021"/>
      <c r="AG423" s="1021"/>
      <c r="AH423" s="1021"/>
      <c r="AI423" s="1021"/>
      <c r="AJ423" s="1021"/>
      <c r="AK423" s="1021"/>
      <c r="AL423" s="1021"/>
      <c r="AM423" s="1021"/>
      <c r="AN423" s="1021"/>
      <c r="AO423" s="1021"/>
      <c r="AP423" s="1021"/>
      <c r="AQ423" s="1021"/>
      <c r="AR423" s="1021"/>
      <c r="AS423" s="1021"/>
      <c r="AT423" s="1021"/>
      <c r="AU423" s="1021"/>
      <c r="AV423" s="1021"/>
      <c r="AW423" s="1021"/>
      <c r="AX423" s="1021"/>
      <c r="AY423" s="1021"/>
      <c r="AZ423" s="1021"/>
      <c r="BA423" s="1021"/>
      <c r="BB423" s="1021"/>
      <c r="BC423" s="1021"/>
      <c r="BD423" s="1021"/>
      <c r="BE423" s="1021"/>
      <c r="BF423" s="1021"/>
      <c r="BG423" s="1021"/>
      <c r="BH423" s="1021"/>
      <c r="BI423" s="1021"/>
      <c r="BJ423" s="1021"/>
      <c r="BK423" s="1021"/>
      <c r="BL423" s="1021"/>
      <c r="BM423" s="1021"/>
      <c r="BN423" s="1021"/>
      <c r="BO423" s="1021"/>
      <c r="BP423" s="1021"/>
      <c r="BQ423" s="1021"/>
      <c r="BR423" s="1021"/>
      <c r="BS423" s="1021"/>
      <c r="BT423" s="1021"/>
      <c r="BU423" s="1021"/>
      <c r="BV423" s="1021"/>
      <c r="BW423" s="1021"/>
      <c r="BX423" s="1021"/>
      <c r="BY423" s="1021"/>
      <c r="BZ423" s="1021"/>
      <c r="CA423" s="1021"/>
      <c r="CB423" s="1021"/>
      <c r="CC423" s="1021"/>
    </row>
    <row r="424" spans="8:81" x14ac:dyDescent="0.25">
      <c r="H424" s="1021"/>
      <c r="I424" s="1021"/>
      <c r="J424" s="1021"/>
      <c r="K424" s="1021"/>
      <c r="L424" s="1021"/>
      <c r="M424" s="1021"/>
      <c r="N424" s="1021"/>
      <c r="O424" s="1021"/>
      <c r="P424" s="1021"/>
      <c r="Q424" s="1021"/>
      <c r="R424" s="1021"/>
      <c r="S424" s="1021"/>
      <c r="T424" s="1021"/>
      <c r="U424" s="1021"/>
      <c r="V424" s="1021"/>
      <c r="W424" s="1021"/>
      <c r="X424" s="1021"/>
      <c r="Y424" s="1021"/>
      <c r="Z424" s="1021"/>
      <c r="AA424" s="1021"/>
      <c r="AB424" s="1021"/>
      <c r="AC424" s="1021"/>
      <c r="AD424" s="1021"/>
      <c r="AE424" s="1021"/>
      <c r="AF424" s="1021"/>
      <c r="AG424" s="1021"/>
      <c r="AH424" s="1021"/>
      <c r="AI424" s="1021"/>
      <c r="AJ424" s="1021"/>
      <c r="AK424" s="1021"/>
      <c r="AL424" s="1021"/>
      <c r="AM424" s="1021"/>
      <c r="AN424" s="1021"/>
      <c r="AO424" s="1021"/>
      <c r="AP424" s="1021"/>
      <c r="AQ424" s="1021"/>
      <c r="AR424" s="1021"/>
      <c r="AS424" s="1021"/>
      <c r="AT424" s="1021"/>
      <c r="AU424" s="1021"/>
      <c r="AV424" s="1021"/>
      <c r="AW424" s="1021"/>
      <c r="AX424" s="1021"/>
      <c r="AY424" s="1021"/>
      <c r="AZ424" s="1021"/>
      <c r="BA424" s="1021"/>
      <c r="BB424" s="1021"/>
      <c r="BC424" s="1021"/>
      <c r="BD424" s="1021"/>
      <c r="BE424" s="1021"/>
      <c r="BF424" s="1021"/>
      <c r="BG424" s="1021"/>
      <c r="BH424" s="1021"/>
      <c r="BI424" s="1021"/>
      <c r="BJ424" s="1021"/>
      <c r="BK424" s="1021"/>
      <c r="BL424" s="1021"/>
      <c r="BM424" s="1021"/>
      <c r="BN424" s="1021"/>
      <c r="BO424" s="1021"/>
      <c r="BP424" s="1021"/>
      <c r="BQ424" s="1021"/>
      <c r="BR424" s="1021"/>
      <c r="BS424" s="1021"/>
      <c r="BT424" s="1021"/>
      <c r="BU424" s="1021"/>
      <c r="BV424" s="1021"/>
      <c r="BW424" s="1021"/>
      <c r="BX424" s="1021"/>
      <c r="BY424" s="1021"/>
      <c r="BZ424" s="1021"/>
      <c r="CA424" s="1021"/>
      <c r="CB424" s="1021"/>
      <c r="CC424" s="1021"/>
    </row>
    <row r="425" spans="8:81" x14ac:dyDescent="0.25">
      <c r="H425" s="1021"/>
      <c r="I425" s="1021"/>
      <c r="J425" s="1021"/>
      <c r="K425" s="1021"/>
      <c r="L425" s="1021"/>
      <c r="M425" s="1021"/>
      <c r="N425" s="1021"/>
      <c r="O425" s="1021"/>
      <c r="P425" s="1021"/>
      <c r="Q425" s="1021"/>
      <c r="R425" s="1021"/>
      <c r="S425" s="1021"/>
      <c r="T425" s="1021"/>
      <c r="U425" s="1021"/>
      <c r="V425" s="1021"/>
      <c r="W425" s="1021"/>
      <c r="X425" s="1021"/>
      <c r="Y425" s="1021"/>
      <c r="Z425" s="1021"/>
      <c r="AA425" s="1021"/>
      <c r="AB425" s="1021"/>
      <c r="AC425" s="1021"/>
      <c r="AD425" s="1021"/>
      <c r="AE425" s="1021"/>
      <c r="AF425" s="1021"/>
      <c r="AG425" s="1021"/>
      <c r="AH425" s="1021"/>
      <c r="AI425" s="1021"/>
      <c r="AJ425" s="1021"/>
      <c r="AK425" s="1021"/>
      <c r="AL425" s="1021"/>
      <c r="AM425" s="1021"/>
      <c r="AN425" s="1021"/>
      <c r="AO425" s="1021"/>
      <c r="AP425" s="1021"/>
      <c r="AQ425" s="1021"/>
      <c r="AR425" s="1021"/>
      <c r="AS425" s="1021"/>
      <c r="AT425" s="1021"/>
      <c r="AU425" s="1021"/>
      <c r="AV425" s="1021"/>
      <c r="AW425" s="1021"/>
      <c r="AX425" s="1021"/>
      <c r="AY425" s="1021"/>
      <c r="AZ425" s="1021"/>
      <c r="BA425" s="1021"/>
      <c r="BB425" s="1021"/>
      <c r="BC425" s="1021"/>
      <c r="BD425" s="1021"/>
      <c r="BE425" s="1021"/>
      <c r="BF425" s="1021"/>
      <c r="BG425" s="1021"/>
      <c r="BH425" s="1021"/>
      <c r="BI425" s="1021"/>
      <c r="BJ425" s="1021"/>
      <c r="BK425" s="1021"/>
      <c r="BL425" s="1021"/>
      <c r="BM425" s="1021"/>
      <c r="BN425" s="1021"/>
      <c r="BO425" s="1021"/>
      <c r="BP425" s="1021"/>
      <c r="BQ425" s="1021"/>
      <c r="BR425" s="1021"/>
      <c r="BS425" s="1021"/>
      <c r="BT425" s="1021"/>
      <c r="BU425" s="1021"/>
      <c r="BV425" s="1021"/>
      <c r="BW425" s="1021"/>
      <c r="BX425" s="1021"/>
      <c r="BY425" s="1021"/>
      <c r="BZ425" s="1021"/>
      <c r="CA425" s="1021"/>
      <c r="CB425" s="1021"/>
      <c r="CC425" s="1021"/>
    </row>
    <row r="426" spans="8:81" x14ac:dyDescent="0.25">
      <c r="H426" s="1021"/>
      <c r="I426" s="1021"/>
      <c r="J426" s="1021"/>
      <c r="K426" s="1021"/>
      <c r="L426" s="1021"/>
      <c r="M426" s="1021"/>
      <c r="N426" s="1021"/>
      <c r="O426" s="1021"/>
      <c r="P426" s="1021"/>
      <c r="Q426" s="1021"/>
      <c r="R426" s="1021"/>
      <c r="S426" s="1021"/>
      <c r="T426" s="1021"/>
      <c r="U426" s="1021"/>
      <c r="V426" s="1021"/>
      <c r="W426" s="1021"/>
      <c r="X426" s="1021"/>
      <c r="Y426" s="1021"/>
      <c r="Z426" s="1021"/>
      <c r="AA426" s="1021"/>
      <c r="AB426" s="1021"/>
      <c r="AC426" s="1021"/>
      <c r="AD426" s="1021"/>
      <c r="AE426" s="1021"/>
      <c r="AF426" s="1021"/>
      <c r="AG426" s="1021"/>
      <c r="AH426" s="1021"/>
      <c r="AI426" s="1021"/>
      <c r="AJ426" s="1021"/>
      <c r="AK426" s="1021"/>
      <c r="AL426" s="1021"/>
      <c r="AM426" s="1021"/>
      <c r="AN426" s="1021"/>
      <c r="AO426" s="1021"/>
      <c r="AP426" s="1021"/>
      <c r="AQ426" s="1021"/>
      <c r="AR426" s="1021"/>
      <c r="AS426" s="1021"/>
      <c r="AT426" s="1021"/>
      <c r="AU426" s="1021"/>
      <c r="AV426" s="1021"/>
      <c r="AW426" s="1021"/>
      <c r="AX426" s="1021"/>
      <c r="AY426" s="1021"/>
      <c r="AZ426" s="1021"/>
      <c r="BA426" s="1021"/>
      <c r="BB426" s="1021"/>
      <c r="BC426" s="1021"/>
      <c r="BD426" s="1021"/>
      <c r="BE426" s="1021"/>
      <c r="BF426" s="1021"/>
      <c r="BG426" s="1021"/>
      <c r="BH426" s="1021"/>
      <c r="BI426" s="1021"/>
      <c r="BJ426" s="1021"/>
      <c r="BK426" s="1021"/>
      <c r="BL426" s="1021"/>
      <c r="BM426" s="1021"/>
      <c r="BN426" s="1021"/>
      <c r="BO426" s="1021"/>
      <c r="BP426" s="1021"/>
      <c r="BQ426" s="1021"/>
      <c r="BR426" s="1021"/>
      <c r="BS426" s="1021"/>
      <c r="BT426" s="1021"/>
      <c r="BU426" s="1021"/>
      <c r="BV426" s="1021"/>
      <c r="BW426" s="1021"/>
      <c r="BX426" s="1021"/>
      <c r="BY426" s="1021"/>
      <c r="BZ426" s="1021"/>
      <c r="CA426" s="1021"/>
      <c r="CB426" s="1021"/>
      <c r="CC426" s="1021"/>
    </row>
    <row r="427" spans="8:81" x14ac:dyDescent="0.25">
      <c r="H427" s="1021"/>
      <c r="I427" s="1021"/>
      <c r="J427" s="1021"/>
      <c r="K427" s="1021"/>
      <c r="L427" s="1021"/>
      <c r="M427" s="1021"/>
      <c r="N427" s="1021"/>
      <c r="O427" s="1021"/>
      <c r="P427" s="1021"/>
      <c r="Q427" s="1021"/>
      <c r="R427" s="1021"/>
      <c r="S427" s="1021"/>
      <c r="T427" s="1021"/>
      <c r="U427" s="1021"/>
      <c r="V427" s="1021"/>
      <c r="W427" s="1021"/>
      <c r="X427" s="1021"/>
      <c r="Y427" s="1021"/>
      <c r="Z427" s="1021"/>
      <c r="AA427" s="1021"/>
      <c r="AB427" s="1021"/>
      <c r="AC427" s="1021"/>
      <c r="AD427" s="1021"/>
      <c r="AE427" s="1021"/>
      <c r="AF427" s="1021"/>
      <c r="AG427" s="1021"/>
      <c r="AH427" s="1021"/>
      <c r="AI427" s="1021"/>
      <c r="AJ427" s="1021"/>
      <c r="AK427" s="1021"/>
      <c r="AL427" s="1021"/>
      <c r="AM427" s="1021"/>
      <c r="AN427" s="1021"/>
      <c r="AO427" s="1021"/>
      <c r="AP427" s="1021"/>
      <c r="AQ427" s="1021"/>
      <c r="AR427" s="1021"/>
      <c r="AS427" s="1021"/>
      <c r="AT427" s="1021"/>
      <c r="AU427" s="1021"/>
      <c r="AV427" s="1021"/>
      <c r="AW427" s="1021"/>
      <c r="AX427" s="1021"/>
      <c r="AY427" s="1021"/>
      <c r="AZ427" s="1021"/>
      <c r="BA427" s="1021"/>
      <c r="BB427" s="1021"/>
      <c r="BC427" s="1021"/>
      <c r="BD427" s="1021"/>
      <c r="BE427" s="1021"/>
      <c r="BF427" s="1021"/>
      <c r="BG427" s="1021"/>
      <c r="BH427" s="1021"/>
      <c r="BI427" s="1021"/>
      <c r="BJ427" s="1021"/>
      <c r="BK427" s="1021"/>
      <c r="BL427" s="1021"/>
      <c r="BM427" s="1021"/>
      <c r="BN427" s="1021"/>
      <c r="BO427" s="1021"/>
      <c r="BP427" s="1021"/>
      <c r="BQ427" s="1021"/>
      <c r="BR427" s="1021"/>
      <c r="BS427" s="1021"/>
      <c r="BT427" s="1021"/>
      <c r="BU427" s="1021"/>
      <c r="BV427" s="1021"/>
      <c r="BW427" s="1021"/>
      <c r="BX427" s="1021"/>
      <c r="BY427" s="1021"/>
      <c r="BZ427" s="1021"/>
      <c r="CA427" s="1021"/>
      <c r="CB427" s="1021"/>
      <c r="CC427" s="1021"/>
    </row>
    <row r="428" spans="8:81" x14ac:dyDescent="0.25">
      <c r="H428" s="1021"/>
      <c r="I428" s="1021"/>
      <c r="J428" s="1021"/>
      <c r="K428" s="1021"/>
      <c r="L428" s="1021"/>
      <c r="M428" s="1021"/>
      <c r="N428" s="1021"/>
      <c r="O428" s="1021"/>
      <c r="P428" s="1021"/>
      <c r="Q428" s="1021"/>
      <c r="R428" s="1021"/>
      <c r="S428" s="1021"/>
      <c r="T428" s="1021"/>
      <c r="U428" s="1021"/>
      <c r="V428" s="1021"/>
      <c r="W428" s="1021"/>
      <c r="X428" s="1021"/>
      <c r="Y428" s="1021"/>
      <c r="Z428" s="1021"/>
      <c r="AA428" s="1021"/>
      <c r="AB428" s="1021"/>
      <c r="AC428" s="1021"/>
      <c r="AD428" s="1021"/>
      <c r="AE428" s="1021"/>
      <c r="AF428" s="1021"/>
      <c r="AG428" s="1021"/>
      <c r="AH428" s="1021"/>
      <c r="AI428" s="1021"/>
      <c r="AJ428" s="1021"/>
      <c r="AK428" s="1021"/>
      <c r="AL428" s="1021"/>
      <c r="AM428" s="1021"/>
      <c r="AN428" s="1021"/>
      <c r="AO428" s="1021"/>
      <c r="AP428" s="1021"/>
      <c r="AQ428" s="1021"/>
      <c r="AR428" s="1021"/>
      <c r="AS428" s="1021"/>
      <c r="AT428" s="1021"/>
      <c r="AU428" s="1021"/>
      <c r="AV428" s="1021"/>
      <c r="AW428" s="1021"/>
      <c r="AX428" s="1021"/>
      <c r="AY428" s="1021"/>
      <c r="AZ428" s="1021"/>
      <c r="BA428" s="1021"/>
      <c r="BB428" s="1021"/>
      <c r="BC428" s="1021"/>
      <c r="BD428" s="1021"/>
      <c r="BE428" s="1021"/>
      <c r="BF428" s="1021"/>
      <c r="BG428" s="1021"/>
      <c r="BH428" s="1021"/>
      <c r="BI428" s="1021"/>
      <c r="BJ428" s="1021"/>
      <c r="BK428" s="1021"/>
      <c r="BL428" s="1021"/>
      <c r="BM428" s="1021"/>
      <c r="BN428" s="1021"/>
      <c r="BO428" s="1021"/>
      <c r="BP428" s="1021"/>
      <c r="BQ428" s="1021"/>
      <c r="BR428" s="1021"/>
      <c r="BS428" s="1021"/>
      <c r="BT428" s="1021"/>
      <c r="BU428" s="1021"/>
      <c r="BV428" s="1021"/>
      <c r="BW428" s="1021"/>
      <c r="BX428" s="1021"/>
      <c r="BY428" s="1021"/>
      <c r="BZ428" s="1021"/>
      <c r="CA428" s="1021"/>
      <c r="CB428" s="1021"/>
      <c r="CC428" s="1021"/>
    </row>
    <row r="429" spans="8:81" x14ac:dyDescent="0.25">
      <c r="H429" s="1021"/>
      <c r="I429" s="1021"/>
      <c r="J429" s="1021"/>
      <c r="K429" s="1021"/>
      <c r="L429" s="1021"/>
      <c r="M429" s="1021"/>
      <c r="N429" s="1021"/>
      <c r="O429" s="1021"/>
      <c r="P429" s="1021"/>
      <c r="Q429" s="1021"/>
      <c r="R429" s="1021"/>
      <c r="S429" s="1021"/>
      <c r="T429" s="1021"/>
      <c r="U429" s="1021"/>
      <c r="V429" s="1021"/>
      <c r="W429" s="1021"/>
      <c r="X429" s="1021"/>
      <c r="Y429" s="1021"/>
      <c r="Z429" s="1021"/>
      <c r="AA429" s="1021"/>
      <c r="AB429" s="1021"/>
      <c r="AC429" s="1021"/>
      <c r="AD429" s="1021"/>
      <c r="AE429" s="1021"/>
      <c r="AF429" s="1021"/>
      <c r="AG429" s="1021"/>
      <c r="AH429" s="1021"/>
      <c r="AI429" s="1021"/>
      <c r="AJ429" s="1021"/>
      <c r="AK429" s="1021"/>
      <c r="AL429" s="1021"/>
      <c r="AM429" s="1021"/>
      <c r="AN429" s="1021"/>
      <c r="AO429" s="1021"/>
      <c r="AP429" s="1021"/>
      <c r="AQ429" s="1021"/>
      <c r="AR429" s="1021"/>
      <c r="AS429" s="1021"/>
      <c r="AT429" s="1021"/>
      <c r="AU429" s="1021"/>
      <c r="AV429" s="1021"/>
      <c r="AW429" s="1021"/>
      <c r="AX429" s="1021"/>
      <c r="AY429" s="1021"/>
      <c r="AZ429" s="1021"/>
      <c r="BA429" s="1021"/>
      <c r="BB429" s="1021"/>
      <c r="BC429" s="1021"/>
      <c r="BD429" s="1021"/>
      <c r="BE429" s="1021"/>
      <c r="BF429" s="1021"/>
      <c r="BG429" s="1021"/>
      <c r="BH429" s="1021"/>
      <c r="BI429" s="1021"/>
      <c r="BJ429" s="1021"/>
      <c r="BK429" s="1021"/>
      <c r="BL429" s="1021"/>
      <c r="BM429" s="1021"/>
      <c r="BN429" s="1021"/>
      <c r="BO429" s="1021"/>
      <c r="BP429" s="1021"/>
      <c r="BQ429" s="1021"/>
      <c r="BR429" s="1021"/>
      <c r="BS429" s="1021"/>
      <c r="BT429" s="1021"/>
      <c r="BU429" s="1021"/>
      <c r="BV429" s="1021"/>
      <c r="BW429" s="1021"/>
      <c r="BX429" s="1021"/>
      <c r="BY429" s="1021"/>
      <c r="BZ429" s="1021"/>
      <c r="CA429" s="1021"/>
      <c r="CB429" s="1021"/>
      <c r="CC429" s="1021"/>
    </row>
    <row r="430" spans="8:81" x14ac:dyDescent="0.25">
      <c r="H430" s="1021"/>
      <c r="I430" s="1021"/>
      <c r="J430" s="1021"/>
      <c r="K430" s="1021"/>
      <c r="L430" s="1021"/>
      <c r="M430" s="1021"/>
      <c r="N430" s="1021"/>
      <c r="O430" s="1021"/>
      <c r="P430" s="1021"/>
      <c r="Q430" s="1021"/>
      <c r="R430" s="1021"/>
      <c r="S430" s="1021"/>
      <c r="T430" s="1021"/>
      <c r="U430" s="1021"/>
      <c r="V430" s="1021"/>
      <c r="W430" s="1021"/>
      <c r="X430" s="1021"/>
      <c r="Y430" s="1021"/>
      <c r="Z430" s="1021"/>
      <c r="AA430" s="1021"/>
      <c r="AB430" s="1021"/>
      <c r="AC430" s="1021"/>
      <c r="AD430" s="1021"/>
      <c r="AE430" s="1021"/>
      <c r="AF430" s="1021"/>
      <c r="AG430" s="1021"/>
      <c r="AH430" s="1021"/>
      <c r="AI430" s="1021"/>
      <c r="AJ430" s="1021"/>
      <c r="AK430" s="1021"/>
      <c r="AL430" s="1021"/>
      <c r="AM430" s="1021"/>
      <c r="AN430" s="1021"/>
      <c r="AO430" s="1021"/>
      <c r="AP430" s="1021"/>
      <c r="AQ430" s="1021"/>
      <c r="AR430" s="1021"/>
      <c r="AS430" s="1021"/>
      <c r="AT430" s="1021"/>
      <c r="AU430" s="1021"/>
      <c r="AV430" s="1021"/>
      <c r="AW430" s="1021"/>
      <c r="AX430" s="1021"/>
      <c r="AY430" s="1021"/>
      <c r="AZ430" s="1021"/>
      <c r="BA430" s="1021"/>
      <c r="BB430" s="1021"/>
      <c r="BC430" s="1021"/>
      <c r="BD430" s="1021"/>
      <c r="BE430" s="1021"/>
      <c r="BF430" s="1021"/>
      <c r="BG430" s="1021"/>
      <c r="BH430" s="1021"/>
      <c r="BI430" s="1021"/>
      <c r="BJ430" s="1021"/>
      <c r="BK430" s="1021"/>
      <c r="BL430" s="1021"/>
      <c r="BM430" s="1021"/>
      <c r="BN430" s="1021"/>
      <c r="BO430" s="1021"/>
      <c r="BP430" s="1021"/>
      <c r="BQ430" s="1021"/>
      <c r="BR430" s="1021"/>
      <c r="BS430" s="1021"/>
      <c r="BT430" s="1021"/>
      <c r="BU430" s="1021"/>
      <c r="BV430" s="1021"/>
      <c r="BW430" s="1021"/>
      <c r="BX430" s="1021"/>
      <c r="BY430" s="1021"/>
      <c r="BZ430" s="1021"/>
      <c r="CA430" s="1021"/>
      <c r="CB430" s="1021"/>
      <c r="CC430" s="1021"/>
    </row>
    <row r="431" spans="8:81" x14ac:dyDescent="0.25">
      <c r="H431" s="1021"/>
      <c r="I431" s="1021"/>
      <c r="J431" s="1021"/>
      <c r="K431" s="1021"/>
      <c r="L431" s="1021"/>
      <c r="M431" s="1021"/>
      <c r="N431" s="1021"/>
      <c r="O431" s="1021"/>
      <c r="P431" s="1021"/>
      <c r="Q431" s="1021"/>
      <c r="R431" s="1021"/>
      <c r="S431" s="1021"/>
      <c r="T431" s="1021"/>
      <c r="U431" s="1021"/>
      <c r="V431" s="1021"/>
      <c r="W431" s="1021"/>
      <c r="X431" s="1021"/>
      <c r="Y431" s="1021"/>
      <c r="Z431" s="1021"/>
      <c r="AA431" s="1021"/>
      <c r="AB431" s="1021"/>
      <c r="AC431" s="1021"/>
      <c r="AD431" s="1021"/>
      <c r="AE431" s="1021"/>
      <c r="AF431" s="1021"/>
      <c r="AG431" s="1021"/>
      <c r="AH431" s="1021"/>
      <c r="AI431" s="1021"/>
      <c r="AJ431" s="1021"/>
      <c r="AK431" s="1021"/>
      <c r="AL431" s="1021"/>
      <c r="AM431" s="1021"/>
      <c r="AN431" s="1021"/>
      <c r="AO431" s="1021"/>
      <c r="AP431" s="1021"/>
      <c r="AQ431" s="1021"/>
      <c r="AR431" s="1021"/>
      <c r="AS431" s="1021"/>
      <c r="AT431" s="1021"/>
      <c r="AU431" s="1021"/>
      <c r="AV431" s="1021"/>
      <c r="AW431" s="1021"/>
      <c r="AX431" s="1021"/>
      <c r="AY431" s="1021"/>
      <c r="AZ431" s="1021"/>
      <c r="BA431" s="1021"/>
      <c r="BB431" s="1021"/>
      <c r="BC431" s="1021"/>
      <c r="BD431" s="1021"/>
      <c r="BE431" s="1021"/>
      <c r="BF431" s="1021"/>
      <c r="BG431" s="1021"/>
      <c r="BH431" s="1021"/>
      <c r="BI431" s="1021"/>
      <c r="BJ431" s="1021"/>
      <c r="BK431" s="1021"/>
      <c r="BL431" s="1021"/>
      <c r="BM431" s="1021"/>
      <c r="BN431" s="1021"/>
      <c r="BO431" s="1021"/>
      <c r="BP431" s="1021"/>
      <c r="BQ431" s="1021"/>
      <c r="BR431" s="1021"/>
      <c r="BS431" s="1021"/>
      <c r="BT431" s="1021"/>
      <c r="BU431" s="1021"/>
      <c r="BV431" s="1021"/>
      <c r="BW431" s="1021"/>
      <c r="BX431" s="1021"/>
      <c r="BY431" s="1021"/>
      <c r="BZ431" s="1021"/>
      <c r="CA431" s="1021"/>
      <c r="CB431" s="1021"/>
      <c r="CC431" s="1021"/>
    </row>
    <row r="432" spans="8:81" x14ac:dyDescent="0.25">
      <c r="H432" s="1021"/>
      <c r="I432" s="1021"/>
      <c r="J432" s="1021"/>
      <c r="K432" s="1021"/>
      <c r="L432" s="1021"/>
      <c r="M432" s="1021"/>
      <c r="N432" s="1021"/>
      <c r="O432" s="1021"/>
      <c r="P432" s="1021"/>
      <c r="Q432" s="1021"/>
      <c r="R432" s="1021"/>
      <c r="S432" s="1021"/>
      <c r="T432" s="1021"/>
      <c r="U432" s="1021"/>
      <c r="V432" s="1021"/>
      <c r="W432" s="1021"/>
      <c r="X432" s="1021"/>
      <c r="Y432" s="1021"/>
      <c r="Z432" s="1021"/>
      <c r="AA432" s="1021"/>
      <c r="AB432" s="1021"/>
      <c r="AC432" s="1021"/>
      <c r="AD432" s="1021"/>
      <c r="AE432" s="1021"/>
      <c r="AF432" s="1021"/>
      <c r="AG432" s="1021"/>
      <c r="AH432" s="1021"/>
      <c r="AI432" s="1021"/>
      <c r="AJ432" s="1021"/>
      <c r="AK432" s="1021"/>
      <c r="AL432" s="1021"/>
      <c r="AM432" s="1021"/>
      <c r="AN432" s="1021"/>
      <c r="AO432" s="1021"/>
      <c r="AP432" s="1021"/>
      <c r="AQ432" s="1021"/>
      <c r="AR432" s="1021"/>
      <c r="AS432" s="1021"/>
      <c r="AT432" s="1021"/>
      <c r="AU432" s="1021"/>
      <c r="AV432" s="1021"/>
      <c r="AW432" s="1021"/>
      <c r="AX432" s="1021"/>
      <c r="AY432" s="1021"/>
      <c r="AZ432" s="1021"/>
      <c r="BA432" s="1021"/>
      <c r="BB432" s="1021"/>
      <c r="BC432" s="1021"/>
      <c r="BD432" s="1021"/>
      <c r="BE432" s="1021"/>
      <c r="BF432" s="1021"/>
      <c r="BG432" s="1021"/>
      <c r="BH432" s="1021"/>
      <c r="BI432" s="1021"/>
      <c r="BJ432" s="1021"/>
      <c r="BK432" s="1021"/>
      <c r="BL432" s="1021"/>
      <c r="BM432" s="1021"/>
      <c r="BN432" s="1021"/>
      <c r="BO432" s="1021"/>
      <c r="BP432" s="1021"/>
      <c r="BQ432" s="1021"/>
      <c r="BR432" s="1021"/>
      <c r="BS432" s="1021"/>
      <c r="BT432" s="1021"/>
      <c r="BU432" s="1021"/>
      <c r="BV432" s="1021"/>
      <c r="BW432" s="1021"/>
      <c r="BX432" s="1021"/>
      <c r="BY432" s="1021"/>
      <c r="BZ432" s="1021"/>
      <c r="CA432" s="1021"/>
      <c r="CB432" s="1021"/>
      <c r="CC432" s="1021"/>
    </row>
    <row r="433" spans="8:81" x14ac:dyDescent="0.25">
      <c r="H433" s="1021"/>
      <c r="I433" s="1021"/>
      <c r="J433" s="1021"/>
      <c r="K433" s="1021"/>
      <c r="L433" s="1021"/>
      <c r="M433" s="1021"/>
      <c r="N433" s="1021"/>
      <c r="O433" s="1021"/>
      <c r="P433" s="1021"/>
      <c r="Q433" s="1021"/>
      <c r="R433" s="1021"/>
      <c r="S433" s="1021"/>
      <c r="T433" s="1021"/>
      <c r="U433" s="1021"/>
      <c r="V433" s="1021"/>
      <c r="W433" s="1021"/>
      <c r="X433" s="1021"/>
      <c r="Y433" s="1021"/>
      <c r="Z433" s="1021"/>
      <c r="AA433" s="1021"/>
      <c r="AB433" s="1021"/>
      <c r="AC433" s="1021"/>
      <c r="AD433" s="1021"/>
      <c r="AE433" s="1021"/>
      <c r="AF433" s="1021"/>
      <c r="AG433" s="1021"/>
      <c r="AH433" s="1021"/>
      <c r="AI433" s="1021"/>
      <c r="AJ433" s="1021"/>
      <c r="AK433" s="1021"/>
      <c r="AL433" s="1021"/>
      <c r="AM433" s="1021"/>
      <c r="AN433" s="1021"/>
      <c r="AO433" s="1021"/>
      <c r="AP433" s="1021"/>
      <c r="AQ433" s="1021"/>
      <c r="AR433" s="1021"/>
      <c r="AS433" s="1021"/>
      <c r="AT433" s="1021"/>
      <c r="AU433" s="1021"/>
      <c r="AV433" s="1021"/>
      <c r="AW433" s="1021"/>
      <c r="AX433" s="1021"/>
      <c r="AY433" s="1021"/>
      <c r="AZ433" s="1021"/>
      <c r="BA433" s="1021"/>
      <c r="BB433" s="1021"/>
      <c r="BC433" s="1021"/>
      <c r="BD433" s="1021"/>
      <c r="BE433" s="1021"/>
      <c r="BF433" s="1021"/>
      <c r="BG433" s="1021"/>
      <c r="BH433" s="1021"/>
      <c r="BI433" s="1021"/>
      <c r="BJ433" s="1021"/>
      <c r="BK433" s="1021"/>
      <c r="BL433" s="1021"/>
      <c r="BM433" s="1021"/>
      <c r="BN433" s="1021"/>
      <c r="BO433" s="1021"/>
      <c r="BP433" s="1021"/>
      <c r="BQ433" s="1021"/>
      <c r="BR433" s="1021"/>
      <c r="BS433" s="1021"/>
      <c r="BT433" s="1021"/>
      <c r="BU433" s="1021"/>
      <c r="BV433" s="1021"/>
      <c r="BW433" s="1021"/>
      <c r="BX433" s="1021"/>
      <c r="BY433" s="1021"/>
      <c r="BZ433" s="1021"/>
      <c r="CA433" s="1021"/>
      <c r="CB433" s="1021"/>
      <c r="CC433" s="1021"/>
    </row>
    <row r="434" spans="8:81" x14ac:dyDescent="0.25">
      <c r="H434" s="1021"/>
      <c r="I434" s="1021"/>
      <c r="J434" s="1021"/>
      <c r="K434" s="1021"/>
      <c r="L434" s="1021"/>
      <c r="M434" s="1021"/>
      <c r="N434" s="1021"/>
      <c r="O434" s="1021"/>
      <c r="P434" s="1021"/>
      <c r="Q434" s="1021"/>
      <c r="R434" s="1021"/>
      <c r="S434" s="1021"/>
      <c r="T434" s="1021"/>
      <c r="U434" s="1021"/>
      <c r="V434" s="1021"/>
      <c r="W434" s="1021"/>
      <c r="X434" s="1021"/>
      <c r="Y434" s="1021"/>
      <c r="Z434" s="1021"/>
      <c r="AA434" s="1021"/>
      <c r="AB434" s="1021"/>
      <c r="AC434" s="1021"/>
      <c r="AD434" s="1021"/>
      <c r="AE434" s="1021"/>
      <c r="AF434" s="1021"/>
      <c r="AG434" s="1021"/>
      <c r="AH434" s="1021"/>
      <c r="AI434" s="1021"/>
      <c r="AJ434" s="1021"/>
      <c r="AK434" s="1021"/>
      <c r="AL434" s="1021"/>
      <c r="AM434" s="1021"/>
      <c r="AN434" s="1021"/>
      <c r="AO434" s="1021"/>
      <c r="AP434" s="1021"/>
      <c r="AQ434" s="1021"/>
      <c r="AR434" s="1021"/>
      <c r="AS434" s="1021"/>
      <c r="AT434" s="1021"/>
      <c r="AU434" s="1021"/>
      <c r="AV434" s="1021"/>
      <c r="AW434" s="1021"/>
      <c r="AX434" s="1021"/>
      <c r="AY434" s="1021"/>
      <c r="AZ434" s="1021"/>
      <c r="BA434" s="1021"/>
      <c r="BB434" s="1021"/>
      <c r="BC434" s="1021"/>
      <c r="BD434" s="1021"/>
      <c r="BE434" s="1021"/>
      <c r="BF434" s="1021"/>
      <c r="BG434" s="1021"/>
      <c r="BH434" s="1021"/>
      <c r="BI434" s="1021"/>
      <c r="BJ434" s="1021"/>
      <c r="BK434" s="1021"/>
      <c r="BL434" s="1021"/>
      <c r="BM434" s="1021"/>
      <c r="BN434" s="1021"/>
      <c r="BO434" s="1021"/>
      <c r="BP434" s="1021"/>
      <c r="BQ434" s="1021"/>
      <c r="BR434" s="1021"/>
      <c r="BS434" s="1021"/>
      <c r="BT434" s="1021"/>
      <c r="BU434" s="1021"/>
      <c r="BV434" s="1021"/>
      <c r="BW434" s="1021"/>
      <c r="BX434" s="1021"/>
      <c r="BY434" s="1021"/>
      <c r="BZ434" s="1021"/>
      <c r="CA434" s="1021"/>
      <c r="CB434" s="1021"/>
      <c r="CC434" s="1021"/>
    </row>
    <row r="435" spans="8:81" x14ac:dyDescent="0.25">
      <c r="H435" s="1021"/>
      <c r="I435" s="1021"/>
      <c r="J435" s="1021"/>
      <c r="K435" s="1021"/>
      <c r="L435" s="1021"/>
      <c r="M435" s="1021"/>
      <c r="N435" s="1021"/>
      <c r="O435" s="1021"/>
      <c r="P435" s="1021"/>
      <c r="Q435" s="1021"/>
      <c r="R435" s="1021"/>
      <c r="S435" s="1021"/>
      <c r="T435" s="1021"/>
      <c r="U435" s="1021"/>
      <c r="V435" s="1021"/>
      <c r="W435" s="1021"/>
      <c r="X435" s="1021"/>
      <c r="Y435" s="1021"/>
      <c r="Z435" s="1021"/>
      <c r="AA435" s="1021"/>
      <c r="AB435" s="1021"/>
      <c r="AC435" s="1021"/>
      <c r="AD435" s="1021"/>
      <c r="AE435" s="1021"/>
      <c r="AF435" s="1021"/>
      <c r="AG435" s="1021"/>
      <c r="AH435" s="1021"/>
      <c r="AI435" s="1021"/>
      <c r="AJ435" s="1021"/>
      <c r="AK435" s="1021"/>
      <c r="AL435" s="1021"/>
      <c r="AM435" s="1021"/>
      <c r="AN435" s="1021"/>
      <c r="AO435" s="1021"/>
      <c r="AP435" s="1021"/>
      <c r="AQ435" s="1021"/>
      <c r="AR435" s="1021"/>
      <c r="AS435" s="1021"/>
      <c r="AT435" s="1021"/>
      <c r="AU435" s="1021"/>
      <c r="AV435" s="1021"/>
      <c r="AW435" s="1021"/>
      <c r="AX435" s="1021"/>
      <c r="AY435" s="1021"/>
      <c r="AZ435" s="1021"/>
      <c r="BA435" s="1021"/>
      <c r="BB435" s="1021"/>
      <c r="BC435" s="1021"/>
      <c r="BD435" s="1021"/>
      <c r="BE435" s="1021"/>
      <c r="BF435" s="1021"/>
      <c r="BG435" s="1021"/>
      <c r="BH435" s="1021"/>
      <c r="BI435" s="1021"/>
      <c r="BJ435" s="1021"/>
      <c r="BK435" s="1021"/>
      <c r="BL435" s="1021"/>
      <c r="BM435" s="1021"/>
      <c r="BN435" s="1021"/>
      <c r="BO435" s="1021"/>
      <c r="BP435" s="1021"/>
      <c r="BQ435" s="1021"/>
      <c r="BR435" s="1021"/>
      <c r="BS435" s="1021"/>
      <c r="BT435" s="1021"/>
      <c r="BU435" s="1021"/>
      <c r="BV435" s="1021"/>
      <c r="BW435" s="1021"/>
      <c r="BX435" s="1021"/>
      <c r="BY435" s="1021"/>
      <c r="BZ435" s="1021"/>
      <c r="CA435" s="1021"/>
      <c r="CB435" s="1021"/>
      <c r="CC435" s="1021"/>
    </row>
    <row r="436" spans="8:81" x14ac:dyDescent="0.25">
      <c r="H436" s="1021"/>
      <c r="I436" s="1021"/>
      <c r="J436" s="1021"/>
      <c r="K436" s="1021"/>
      <c r="L436" s="1021"/>
      <c r="M436" s="1021"/>
      <c r="N436" s="1021"/>
      <c r="O436" s="1021"/>
      <c r="P436" s="1021"/>
      <c r="Q436" s="1021"/>
      <c r="R436" s="1021"/>
      <c r="S436" s="1021"/>
      <c r="T436" s="1021"/>
      <c r="U436" s="1021"/>
      <c r="V436" s="1021"/>
      <c r="W436" s="1021"/>
      <c r="X436" s="1021"/>
      <c r="Y436" s="1021"/>
      <c r="Z436" s="1021"/>
      <c r="AA436" s="1021"/>
      <c r="AB436" s="1021"/>
      <c r="AC436" s="1021"/>
      <c r="AD436" s="1021"/>
      <c r="AE436" s="1021"/>
      <c r="AF436" s="1021"/>
      <c r="AG436" s="1021"/>
      <c r="AH436" s="1021"/>
      <c r="AI436" s="1021"/>
      <c r="AJ436" s="1021"/>
      <c r="AK436" s="1021"/>
      <c r="AL436" s="1021"/>
      <c r="AM436" s="1021"/>
      <c r="AN436" s="1021"/>
      <c r="AO436" s="1021"/>
      <c r="AP436" s="1021"/>
      <c r="AQ436" s="1021"/>
      <c r="AR436" s="1021"/>
      <c r="AS436" s="1021"/>
      <c r="AT436" s="1021"/>
      <c r="AU436" s="1021"/>
      <c r="AV436" s="1021"/>
      <c r="AW436" s="1021"/>
      <c r="AX436" s="1021"/>
      <c r="AY436" s="1021"/>
      <c r="AZ436" s="1021"/>
      <c r="BA436" s="1021"/>
      <c r="BB436" s="1021"/>
      <c r="BC436" s="1021"/>
      <c r="BD436" s="1021"/>
      <c r="BE436" s="1021"/>
      <c r="BF436" s="1021"/>
      <c r="BG436" s="1021"/>
      <c r="BH436" s="1021"/>
      <c r="BI436" s="1021"/>
      <c r="BJ436" s="1021"/>
      <c r="BK436" s="1021"/>
      <c r="BL436" s="1021"/>
      <c r="BM436" s="1021"/>
      <c r="BN436" s="1021"/>
      <c r="BO436" s="1021"/>
      <c r="BP436" s="1021"/>
      <c r="BQ436" s="1021"/>
      <c r="BR436" s="1021"/>
      <c r="BS436" s="1021"/>
      <c r="BT436" s="1021"/>
      <c r="BU436" s="1021"/>
      <c r="BV436" s="1021"/>
      <c r="BW436" s="1021"/>
      <c r="BX436" s="1021"/>
      <c r="BY436" s="1021"/>
      <c r="BZ436" s="1021"/>
      <c r="CA436" s="1021"/>
      <c r="CB436" s="1021"/>
      <c r="CC436" s="1021"/>
    </row>
    <row r="437" spans="8:81" x14ac:dyDescent="0.25">
      <c r="H437" s="1021"/>
      <c r="I437" s="1021"/>
      <c r="J437" s="1021"/>
      <c r="K437" s="1021"/>
      <c r="L437" s="1021"/>
      <c r="M437" s="1021"/>
      <c r="N437" s="1021"/>
      <c r="O437" s="1021"/>
      <c r="P437" s="1021"/>
      <c r="Q437" s="1021"/>
      <c r="R437" s="1021"/>
      <c r="S437" s="1021"/>
      <c r="T437" s="1021"/>
      <c r="U437" s="1021"/>
      <c r="V437" s="1021"/>
      <c r="W437" s="1021"/>
      <c r="X437" s="1021"/>
      <c r="Y437" s="1021"/>
      <c r="Z437" s="1021"/>
      <c r="AA437" s="1021"/>
      <c r="AB437" s="1021"/>
      <c r="AC437" s="1021"/>
      <c r="AD437" s="1021"/>
      <c r="AE437" s="1021"/>
      <c r="AF437" s="1021"/>
      <c r="AG437" s="1021"/>
      <c r="AH437" s="1021"/>
      <c r="AI437" s="1021"/>
      <c r="AJ437" s="1021"/>
      <c r="AK437" s="1021"/>
      <c r="AL437" s="1021"/>
      <c r="AM437" s="1021"/>
      <c r="AN437" s="1021"/>
      <c r="AO437" s="1021"/>
      <c r="AP437" s="1021"/>
      <c r="AQ437" s="1021"/>
      <c r="AR437" s="1021"/>
      <c r="AS437" s="1021"/>
      <c r="AT437" s="1021"/>
      <c r="AU437" s="1021"/>
      <c r="AV437" s="1021"/>
      <c r="AW437" s="1021"/>
      <c r="AX437" s="1021"/>
      <c r="AY437" s="1021"/>
      <c r="AZ437" s="1021"/>
      <c r="BA437" s="1021"/>
      <c r="BB437" s="1021"/>
      <c r="BC437" s="1021"/>
      <c r="BD437" s="1021"/>
      <c r="BE437" s="1021"/>
      <c r="BF437" s="1021"/>
      <c r="BG437" s="1021"/>
      <c r="BH437" s="1021"/>
      <c r="BI437" s="1021"/>
      <c r="BJ437" s="1021"/>
      <c r="BK437" s="1021"/>
      <c r="BL437" s="1021"/>
      <c r="BM437" s="1021"/>
      <c r="BN437" s="1021"/>
      <c r="BO437" s="1021"/>
      <c r="BP437" s="1021"/>
      <c r="BQ437" s="1021"/>
      <c r="BR437" s="1021"/>
      <c r="BS437" s="1021"/>
      <c r="BT437" s="1021"/>
      <c r="BU437" s="1021"/>
      <c r="BV437" s="1021"/>
      <c r="BW437" s="1021"/>
      <c r="BX437" s="1021"/>
      <c r="BY437" s="1021"/>
      <c r="BZ437" s="1021"/>
      <c r="CA437" s="1021"/>
      <c r="CB437" s="1021"/>
      <c r="CC437" s="1021"/>
    </row>
    <row r="438" spans="8:81" x14ac:dyDescent="0.25">
      <c r="H438" s="1021"/>
      <c r="I438" s="1021"/>
      <c r="J438" s="1021"/>
      <c r="K438" s="1021"/>
      <c r="L438" s="1021"/>
      <c r="M438" s="1021"/>
      <c r="N438" s="1021"/>
      <c r="O438" s="1021"/>
      <c r="P438" s="1021"/>
      <c r="Q438" s="1021"/>
      <c r="R438" s="1021"/>
      <c r="S438" s="1021"/>
      <c r="T438" s="1021"/>
      <c r="U438" s="1021"/>
      <c r="V438" s="1021"/>
      <c r="W438" s="1021"/>
      <c r="X438" s="1021"/>
      <c r="Y438" s="1021"/>
      <c r="Z438" s="1021"/>
      <c r="AA438" s="1021"/>
      <c r="AB438" s="1021"/>
      <c r="AC438" s="1021"/>
      <c r="AD438" s="1021"/>
      <c r="AE438" s="1021"/>
      <c r="AF438" s="1021"/>
      <c r="AG438" s="1021"/>
      <c r="AH438" s="1021"/>
      <c r="AI438" s="1021"/>
      <c r="AJ438" s="1021"/>
      <c r="AK438" s="1021"/>
      <c r="AL438" s="1021"/>
      <c r="AM438" s="1021"/>
      <c r="AN438" s="1021"/>
      <c r="AO438" s="1021"/>
      <c r="AP438" s="1021"/>
      <c r="AQ438" s="1021"/>
      <c r="AR438" s="1021"/>
      <c r="AS438" s="1021"/>
      <c r="AT438" s="1021"/>
      <c r="AU438" s="1021"/>
      <c r="AV438" s="1021"/>
      <c r="AW438" s="1021"/>
      <c r="AX438" s="1021"/>
      <c r="AY438" s="1021"/>
      <c r="AZ438" s="1021"/>
      <c r="BA438" s="1021"/>
      <c r="BB438" s="1021"/>
      <c r="BC438" s="1021"/>
      <c r="BD438" s="1021"/>
      <c r="BE438" s="1021"/>
      <c r="BF438" s="1021"/>
      <c r="BG438" s="1021"/>
      <c r="BH438" s="1021"/>
      <c r="BI438" s="1021"/>
      <c r="BJ438" s="1021"/>
      <c r="BK438" s="1021"/>
      <c r="BL438" s="1021"/>
      <c r="BM438" s="1021"/>
      <c r="BN438" s="1021"/>
      <c r="BO438" s="1021"/>
      <c r="BP438" s="1021"/>
      <c r="BQ438" s="1021"/>
      <c r="BR438" s="1021"/>
      <c r="BS438" s="1021"/>
      <c r="BT438" s="1021"/>
      <c r="BU438" s="1021"/>
      <c r="BV438" s="1021"/>
      <c r="BW438" s="1021"/>
      <c r="BX438" s="1021"/>
      <c r="BY438" s="1021"/>
      <c r="BZ438" s="1021"/>
      <c r="CA438" s="1021"/>
      <c r="CB438" s="1021"/>
      <c r="CC438" s="1021"/>
    </row>
    <row r="439" spans="8:81" x14ac:dyDescent="0.25">
      <c r="H439" s="1021"/>
      <c r="I439" s="1021"/>
      <c r="J439" s="1021"/>
      <c r="K439" s="1021"/>
      <c r="L439" s="1021"/>
      <c r="M439" s="1021"/>
      <c r="N439" s="1021"/>
      <c r="O439" s="1021"/>
      <c r="P439" s="1021"/>
      <c r="Q439" s="1021"/>
      <c r="R439" s="1021"/>
      <c r="S439" s="1021"/>
      <c r="T439" s="1021"/>
      <c r="U439" s="1021"/>
      <c r="V439" s="1021"/>
      <c r="W439" s="1021"/>
      <c r="X439" s="1021"/>
      <c r="Y439" s="1021"/>
      <c r="Z439" s="1021"/>
      <c r="AA439" s="1021"/>
      <c r="AB439" s="1021"/>
      <c r="AC439" s="1021"/>
      <c r="AD439" s="1021"/>
      <c r="AE439" s="1021"/>
      <c r="AF439" s="1021"/>
      <c r="AG439" s="1021"/>
      <c r="AH439" s="1021"/>
      <c r="AI439" s="1021"/>
      <c r="AJ439" s="1021"/>
      <c r="AK439" s="1021"/>
      <c r="AL439" s="1021"/>
      <c r="AM439" s="1021"/>
      <c r="AN439" s="1021"/>
      <c r="AO439" s="1021"/>
      <c r="AP439" s="1021"/>
      <c r="AQ439" s="1021"/>
      <c r="AR439" s="1021"/>
      <c r="AS439" s="1021"/>
      <c r="AT439" s="1021"/>
      <c r="AU439" s="1021"/>
      <c r="AV439" s="1021"/>
      <c r="AW439" s="1021"/>
      <c r="AX439" s="1021"/>
      <c r="AY439" s="1021"/>
      <c r="AZ439" s="1021"/>
      <c r="BA439" s="1021"/>
      <c r="BB439" s="1021"/>
      <c r="BC439" s="1021"/>
      <c r="BD439" s="1021"/>
      <c r="BE439" s="1021"/>
      <c r="BF439" s="1021"/>
      <c r="BG439" s="1021"/>
      <c r="BH439" s="1021"/>
      <c r="BI439" s="1021"/>
      <c r="BJ439" s="1021"/>
      <c r="BK439" s="1021"/>
      <c r="BL439" s="1021"/>
      <c r="BM439" s="1021"/>
      <c r="BN439" s="1021"/>
      <c r="BO439" s="1021"/>
      <c r="BP439" s="1021"/>
      <c r="BQ439" s="1021"/>
      <c r="BR439" s="1021"/>
      <c r="BS439" s="1021"/>
      <c r="BT439" s="1021"/>
      <c r="BU439" s="1021"/>
      <c r="BV439" s="1021"/>
      <c r="BW439" s="1021"/>
      <c r="BX439" s="1021"/>
      <c r="BY439" s="1021"/>
      <c r="BZ439" s="1021"/>
      <c r="CA439" s="1021"/>
      <c r="CB439" s="1021"/>
      <c r="CC439" s="1021"/>
    </row>
    <row r="440" spans="8:81" x14ac:dyDescent="0.25">
      <c r="H440" s="1021"/>
      <c r="I440" s="1021"/>
      <c r="J440" s="1021"/>
      <c r="K440" s="1021"/>
      <c r="L440" s="1021"/>
      <c r="M440" s="1021"/>
      <c r="N440" s="1021"/>
      <c r="O440" s="1021"/>
      <c r="P440" s="1021"/>
      <c r="Q440" s="1021"/>
      <c r="R440" s="1021"/>
      <c r="S440" s="1021"/>
      <c r="T440" s="1021"/>
      <c r="U440" s="1021"/>
      <c r="V440" s="1021"/>
      <c r="W440" s="1021"/>
      <c r="X440" s="1021"/>
      <c r="Y440" s="1021"/>
      <c r="Z440" s="1021"/>
      <c r="AA440" s="1021"/>
      <c r="AB440" s="1021"/>
      <c r="AC440" s="1021"/>
      <c r="AD440" s="1021"/>
      <c r="AE440" s="1021"/>
      <c r="AF440" s="1021"/>
      <c r="AG440" s="1021"/>
      <c r="AH440" s="1021"/>
      <c r="AI440" s="1021"/>
      <c r="AJ440" s="1021"/>
      <c r="AK440" s="1021"/>
      <c r="AL440" s="1021"/>
      <c r="AM440" s="1021"/>
      <c r="AN440" s="1021"/>
      <c r="AO440" s="1021"/>
      <c r="AP440" s="1021"/>
      <c r="AQ440" s="1021"/>
      <c r="AR440" s="1021"/>
      <c r="AS440" s="1021"/>
      <c r="AT440" s="1021"/>
      <c r="AU440" s="1021"/>
      <c r="AV440" s="1021"/>
      <c r="AW440" s="1021"/>
      <c r="AX440" s="1021"/>
      <c r="AY440" s="1021"/>
      <c r="AZ440" s="1021"/>
      <c r="BA440" s="1021"/>
      <c r="BB440" s="1021"/>
      <c r="BC440" s="1021"/>
      <c r="BD440" s="1021"/>
      <c r="BE440" s="1021"/>
      <c r="BF440" s="1021"/>
      <c r="BG440" s="1021"/>
      <c r="BH440" s="1021"/>
      <c r="BI440" s="1021"/>
      <c r="BJ440" s="1021"/>
      <c r="BK440" s="1021"/>
      <c r="BL440" s="1021"/>
      <c r="BM440" s="1021"/>
      <c r="BN440" s="1021"/>
      <c r="BO440" s="1021"/>
      <c r="BP440" s="1021"/>
      <c r="BQ440" s="1021"/>
      <c r="BR440" s="1021"/>
      <c r="BS440" s="1021"/>
      <c r="BT440" s="1021"/>
      <c r="BU440" s="1021"/>
      <c r="BV440" s="1021"/>
      <c r="BW440" s="1021"/>
      <c r="BX440" s="1021"/>
      <c r="BY440" s="1021"/>
      <c r="BZ440" s="1021"/>
      <c r="CA440" s="1021"/>
      <c r="CB440" s="1021"/>
      <c r="CC440" s="1021"/>
    </row>
    <row r="441" spans="8:81" x14ac:dyDescent="0.25">
      <c r="H441" s="1021"/>
      <c r="I441" s="1021"/>
      <c r="J441" s="1021"/>
      <c r="K441" s="1021"/>
      <c r="L441" s="1021"/>
      <c r="M441" s="1021"/>
      <c r="N441" s="1021"/>
      <c r="O441" s="1021"/>
      <c r="P441" s="1021"/>
      <c r="Q441" s="1021"/>
      <c r="R441" s="1021"/>
      <c r="S441" s="1021"/>
      <c r="T441" s="1021"/>
      <c r="U441" s="1021"/>
      <c r="V441" s="1021"/>
      <c r="W441" s="1021"/>
      <c r="X441" s="1021"/>
      <c r="Y441" s="1021"/>
      <c r="Z441" s="1021"/>
      <c r="AA441" s="1021"/>
      <c r="AB441" s="1021"/>
      <c r="AC441" s="1021"/>
      <c r="AD441" s="1021"/>
      <c r="AE441" s="1021"/>
      <c r="AF441" s="1021"/>
      <c r="AG441" s="1021"/>
      <c r="AH441" s="1021"/>
      <c r="AI441" s="1021"/>
      <c r="AJ441" s="1021"/>
      <c r="AK441" s="1021"/>
      <c r="AL441" s="1021"/>
      <c r="AM441" s="1021"/>
      <c r="AN441" s="1021"/>
      <c r="AO441" s="1021"/>
      <c r="AP441" s="1021"/>
      <c r="AQ441" s="1021"/>
      <c r="AR441" s="1021"/>
      <c r="AS441" s="1021"/>
      <c r="AT441" s="1021"/>
      <c r="AU441" s="1021"/>
      <c r="AV441" s="1021"/>
      <c r="AW441" s="1021"/>
      <c r="AX441" s="1021"/>
      <c r="AY441" s="1021"/>
      <c r="AZ441" s="1021"/>
      <c r="BA441" s="1021"/>
      <c r="BB441" s="1021"/>
      <c r="BC441" s="1021"/>
      <c r="BD441" s="1021"/>
      <c r="BE441" s="1021"/>
      <c r="BF441" s="1021"/>
      <c r="BG441" s="1021"/>
      <c r="BH441" s="1021"/>
      <c r="BI441" s="1021"/>
      <c r="BJ441" s="1021"/>
      <c r="BK441" s="1021"/>
      <c r="BL441" s="1021"/>
      <c r="BM441" s="1021"/>
      <c r="BN441" s="1021"/>
      <c r="BO441" s="1021"/>
      <c r="BP441" s="1021"/>
      <c r="BQ441" s="1021"/>
      <c r="BR441" s="1021"/>
      <c r="BS441" s="1021"/>
      <c r="BT441" s="1021"/>
      <c r="BU441" s="1021"/>
      <c r="BV441" s="1021"/>
      <c r="BW441" s="1021"/>
      <c r="BX441" s="1021"/>
      <c r="BY441" s="1021"/>
      <c r="BZ441" s="1021"/>
      <c r="CA441" s="1021"/>
      <c r="CB441" s="1021"/>
      <c r="CC441" s="1021"/>
    </row>
    <row r="442" spans="8:81" x14ac:dyDescent="0.25">
      <c r="H442" s="1021"/>
      <c r="I442" s="1021"/>
      <c r="J442" s="1021"/>
      <c r="K442" s="1021"/>
      <c r="L442" s="1021"/>
      <c r="M442" s="1021"/>
      <c r="N442" s="1021"/>
      <c r="O442" s="1021"/>
      <c r="P442" s="1021"/>
      <c r="Q442" s="1021"/>
      <c r="R442" s="1021"/>
      <c r="S442" s="1021"/>
      <c r="T442" s="1021"/>
      <c r="U442" s="1021"/>
      <c r="V442" s="1021"/>
      <c r="W442" s="1021"/>
      <c r="X442" s="1021"/>
      <c r="Y442" s="1021"/>
      <c r="Z442" s="1021"/>
      <c r="AA442" s="1021"/>
      <c r="AB442" s="1021"/>
      <c r="AC442" s="1021"/>
      <c r="AD442" s="1021"/>
      <c r="AE442" s="1021"/>
      <c r="AF442" s="1021"/>
      <c r="AG442" s="1021"/>
      <c r="AH442" s="1021"/>
      <c r="AI442" s="1021"/>
      <c r="AJ442" s="1021"/>
      <c r="AK442" s="1021"/>
      <c r="AL442" s="1021"/>
      <c r="AM442" s="1021"/>
      <c r="AN442" s="1021"/>
      <c r="AO442" s="1021"/>
      <c r="AP442" s="1021"/>
      <c r="AQ442" s="1021"/>
      <c r="AR442" s="1021"/>
      <c r="AS442" s="1021"/>
      <c r="AT442" s="1021"/>
      <c r="AU442" s="1021"/>
      <c r="AV442" s="1021"/>
      <c r="AW442" s="1021"/>
      <c r="AX442" s="1021"/>
      <c r="AY442" s="1021"/>
      <c r="AZ442" s="1021"/>
      <c r="BA442" s="1021"/>
      <c r="BB442" s="1021"/>
      <c r="BC442" s="1021"/>
      <c r="BD442" s="1021"/>
      <c r="BE442" s="1021"/>
      <c r="BF442" s="1021"/>
      <c r="BG442" s="1021"/>
      <c r="BH442" s="1021"/>
      <c r="BI442" s="1021"/>
      <c r="BJ442" s="1021"/>
      <c r="BK442" s="1021"/>
      <c r="BL442" s="1021"/>
      <c r="BM442" s="1021"/>
      <c r="BN442" s="1021"/>
      <c r="BO442" s="1021"/>
      <c r="BP442" s="1021"/>
      <c r="BQ442" s="1021"/>
      <c r="BR442" s="1021"/>
      <c r="BS442" s="1021"/>
      <c r="BT442" s="1021"/>
      <c r="BU442" s="1021"/>
      <c r="BV442" s="1021"/>
      <c r="BW442" s="1021"/>
      <c r="BX442" s="1021"/>
      <c r="BY442" s="1021"/>
      <c r="BZ442" s="1021"/>
      <c r="CA442" s="1021"/>
      <c r="CB442" s="1021"/>
      <c r="CC442" s="1021"/>
    </row>
    <row r="443" spans="8:81" x14ac:dyDescent="0.25">
      <c r="H443" s="1021"/>
      <c r="I443" s="1021"/>
      <c r="J443" s="1021"/>
      <c r="K443" s="1021"/>
      <c r="L443" s="1021"/>
      <c r="M443" s="1021"/>
      <c r="N443" s="1021"/>
      <c r="O443" s="1021"/>
      <c r="P443" s="1021"/>
      <c r="Q443" s="1021"/>
      <c r="R443" s="1021"/>
      <c r="S443" s="1021"/>
      <c r="T443" s="1021"/>
      <c r="U443" s="1021"/>
      <c r="V443" s="1021"/>
      <c r="W443" s="1021"/>
      <c r="X443" s="1021"/>
      <c r="Y443" s="1021"/>
      <c r="Z443" s="1021"/>
      <c r="AA443" s="1021"/>
      <c r="AB443" s="1021"/>
      <c r="AC443" s="1021"/>
      <c r="AD443" s="1021"/>
      <c r="AE443" s="1021"/>
      <c r="AF443" s="1021"/>
      <c r="AG443" s="1021"/>
      <c r="AH443" s="1021"/>
      <c r="AI443" s="1021"/>
      <c r="AJ443" s="1021"/>
      <c r="AK443" s="1021"/>
      <c r="AL443" s="1021"/>
      <c r="AM443" s="1021"/>
      <c r="AN443" s="1021"/>
      <c r="AO443" s="1021"/>
      <c r="AP443" s="1021"/>
      <c r="AQ443" s="1021"/>
      <c r="AR443" s="1021"/>
      <c r="AS443" s="1021"/>
      <c r="AT443" s="1021"/>
      <c r="AU443" s="1021"/>
      <c r="AV443" s="1021"/>
      <c r="AW443" s="1021"/>
      <c r="AX443" s="1021"/>
      <c r="AY443" s="1021"/>
      <c r="AZ443" s="1021"/>
      <c r="BA443" s="1021"/>
      <c r="BB443" s="1021"/>
      <c r="BC443" s="1021"/>
      <c r="BD443" s="1021"/>
      <c r="BE443" s="1021"/>
      <c r="BF443" s="1021"/>
      <c r="BG443" s="1021"/>
      <c r="BH443" s="1021"/>
      <c r="BI443" s="1021"/>
      <c r="BJ443" s="1021"/>
      <c r="BK443" s="1021"/>
      <c r="BL443" s="1021"/>
      <c r="BM443" s="1021"/>
      <c r="BN443" s="1021"/>
      <c r="BO443" s="1021"/>
      <c r="BP443" s="1021"/>
      <c r="BQ443" s="1021"/>
      <c r="BR443" s="1021"/>
      <c r="BS443" s="1021"/>
      <c r="BT443" s="1021"/>
      <c r="BU443" s="1021"/>
      <c r="BV443" s="1021"/>
      <c r="BW443" s="1021"/>
      <c r="BX443" s="1021"/>
      <c r="BY443" s="1021"/>
      <c r="BZ443" s="1021"/>
      <c r="CA443" s="1021"/>
      <c r="CB443" s="1021"/>
      <c r="CC443" s="1021"/>
    </row>
    <row r="444" spans="8:81" x14ac:dyDescent="0.25">
      <c r="H444" s="1021"/>
      <c r="I444" s="1021"/>
      <c r="J444" s="1021"/>
      <c r="K444" s="1021"/>
      <c r="L444" s="1021"/>
      <c r="M444" s="1021"/>
      <c r="N444" s="1021"/>
      <c r="O444" s="1021"/>
      <c r="P444" s="1021"/>
      <c r="Q444" s="1021"/>
      <c r="R444" s="1021"/>
      <c r="S444" s="1021"/>
      <c r="T444" s="1021"/>
      <c r="U444" s="1021"/>
      <c r="V444" s="1021"/>
      <c r="W444" s="1021"/>
      <c r="X444" s="1021"/>
      <c r="Y444" s="1021"/>
      <c r="Z444" s="1021"/>
      <c r="AA444" s="1021"/>
      <c r="AB444" s="1021"/>
      <c r="AC444" s="1021"/>
      <c r="AD444" s="1021"/>
      <c r="AE444" s="1021"/>
      <c r="AF444" s="1021"/>
      <c r="AG444" s="1021"/>
      <c r="AH444" s="1021"/>
      <c r="AI444" s="1021"/>
      <c r="AJ444" s="1021"/>
      <c r="AK444" s="1021"/>
      <c r="AL444" s="1021"/>
      <c r="AM444" s="1021"/>
      <c r="AN444" s="1021"/>
      <c r="AO444" s="1021"/>
      <c r="AP444" s="1021"/>
      <c r="AQ444" s="1021"/>
      <c r="AR444" s="1021"/>
      <c r="AS444" s="1021"/>
      <c r="AT444" s="1021"/>
      <c r="AU444" s="1021"/>
      <c r="AV444" s="1021"/>
      <c r="AW444" s="1021"/>
      <c r="AX444" s="1021"/>
      <c r="AY444" s="1021"/>
      <c r="AZ444" s="1021"/>
      <c r="BA444" s="1021"/>
      <c r="BB444" s="1021"/>
      <c r="BC444" s="1021"/>
      <c r="BD444" s="1021"/>
      <c r="BE444" s="1021"/>
      <c r="BF444" s="1021"/>
      <c r="BG444" s="1021"/>
      <c r="BH444" s="1021"/>
      <c r="BI444" s="1021"/>
      <c r="BJ444" s="1021"/>
      <c r="BK444" s="1021"/>
      <c r="BL444" s="1021"/>
      <c r="BM444" s="1021"/>
      <c r="BN444" s="1021"/>
      <c r="BO444" s="1021"/>
      <c r="BP444" s="1021"/>
      <c r="BQ444" s="1021"/>
      <c r="BR444" s="1021"/>
      <c r="BS444" s="1021"/>
      <c r="BT444" s="1021"/>
      <c r="BU444" s="1021"/>
      <c r="BV444" s="1021"/>
      <c r="BW444" s="1021"/>
      <c r="BX444" s="1021"/>
      <c r="BY444" s="1021"/>
      <c r="BZ444" s="1021"/>
      <c r="CA444" s="1021"/>
      <c r="CB444" s="1021"/>
      <c r="CC444" s="1021"/>
    </row>
    <row r="445" spans="8:81" x14ac:dyDescent="0.25">
      <c r="H445" s="1021"/>
      <c r="I445" s="1021"/>
      <c r="J445" s="1021"/>
      <c r="K445" s="1021"/>
      <c r="L445" s="1021"/>
      <c r="M445" s="1021"/>
      <c r="N445" s="1021"/>
      <c r="O445" s="1021"/>
      <c r="P445" s="1021"/>
      <c r="Q445" s="1021"/>
      <c r="R445" s="1021"/>
      <c r="S445" s="1021"/>
      <c r="T445" s="1021"/>
      <c r="U445" s="1021"/>
      <c r="V445" s="1021"/>
      <c r="W445" s="1021"/>
      <c r="X445" s="1021"/>
      <c r="Y445" s="1021"/>
      <c r="Z445" s="1021"/>
      <c r="AA445" s="1021"/>
      <c r="AB445" s="1021"/>
      <c r="AC445" s="1021"/>
      <c r="AD445" s="1021"/>
      <c r="AE445" s="1021"/>
      <c r="AF445" s="1021"/>
      <c r="AG445" s="1021"/>
      <c r="AH445" s="1021"/>
      <c r="AI445" s="1021"/>
      <c r="AJ445" s="1021"/>
      <c r="AK445" s="1021"/>
      <c r="AL445" s="1021"/>
      <c r="AM445" s="1021"/>
      <c r="AN445" s="1021"/>
      <c r="AO445" s="1021"/>
      <c r="AP445" s="1021"/>
      <c r="AQ445" s="1021"/>
      <c r="AR445" s="1021"/>
      <c r="AS445" s="1021"/>
      <c r="AT445" s="1021"/>
      <c r="AU445" s="1021"/>
      <c r="AV445" s="1021"/>
      <c r="AW445" s="1021"/>
      <c r="AX445" s="1021"/>
      <c r="AY445" s="1021"/>
      <c r="AZ445" s="1021"/>
      <c r="BA445" s="1021"/>
      <c r="BB445" s="1021"/>
      <c r="BC445" s="1021"/>
      <c r="BD445" s="1021"/>
      <c r="BE445" s="1021"/>
      <c r="BF445" s="1021"/>
      <c r="BG445" s="1021"/>
      <c r="BH445" s="1021"/>
      <c r="BI445" s="1021"/>
      <c r="BJ445" s="1021"/>
      <c r="BK445" s="1021"/>
      <c r="BL445" s="1021"/>
      <c r="BM445" s="1021"/>
      <c r="BN445" s="1021"/>
      <c r="BO445" s="1021"/>
      <c r="BP445" s="1021"/>
      <c r="BQ445" s="1021"/>
      <c r="BR445" s="1021"/>
      <c r="BS445" s="1021"/>
      <c r="BT445" s="1021"/>
      <c r="BU445" s="1021"/>
      <c r="BV445" s="1021"/>
      <c r="BW445" s="1021"/>
      <c r="BX445" s="1021"/>
      <c r="BY445" s="1021"/>
      <c r="BZ445" s="1021"/>
      <c r="CA445" s="1021"/>
      <c r="CB445" s="1021"/>
      <c r="CC445" s="1021"/>
    </row>
    <row r="446" spans="8:81" x14ac:dyDescent="0.25">
      <c r="H446" s="1021"/>
      <c r="I446" s="1021"/>
      <c r="J446" s="1021"/>
      <c r="K446" s="1021"/>
      <c r="L446" s="1021"/>
      <c r="M446" s="1021"/>
      <c r="N446" s="1021"/>
      <c r="O446" s="1021"/>
      <c r="P446" s="1021"/>
      <c r="Q446" s="1021"/>
      <c r="R446" s="1021"/>
      <c r="S446" s="1021"/>
      <c r="T446" s="1021"/>
      <c r="U446" s="1021"/>
      <c r="V446" s="1021"/>
      <c r="W446" s="1021"/>
      <c r="X446" s="1021"/>
      <c r="Y446" s="1021"/>
      <c r="Z446" s="1021"/>
      <c r="AA446" s="1021"/>
      <c r="AB446" s="1021"/>
      <c r="AC446" s="1021"/>
      <c r="AD446" s="1021"/>
      <c r="AE446" s="1021"/>
      <c r="AF446" s="1021"/>
      <c r="AG446" s="1021"/>
      <c r="AH446" s="1021"/>
      <c r="AI446" s="1021"/>
      <c r="AJ446" s="1021"/>
      <c r="AK446" s="1021"/>
      <c r="AL446" s="1021"/>
      <c r="AM446" s="1021"/>
      <c r="AN446" s="1021"/>
      <c r="AO446" s="1021"/>
      <c r="AP446" s="1021"/>
      <c r="AQ446" s="1021"/>
      <c r="AR446" s="1021"/>
      <c r="AS446" s="1021"/>
      <c r="AT446" s="1021"/>
      <c r="AU446" s="1021"/>
      <c r="AV446" s="1021"/>
      <c r="AW446" s="1021"/>
      <c r="AX446" s="1021"/>
      <c r="AY446" s="1021"/>
      <c r="AZ446" s="1021"/>
      <c r="BA446" s="1021"/>
      <c r="BB446" s="1021"/>
      <c r="BC446" s="1021"/>
      <c r="BD446" s="1021"/>
      <c r="BE446" s="1021"/>
      <c r="BF446" s="1021"/>
      <c r="BG446" s="1021"/>
      <c r="BH446" s="1021"/>
      <c r="BI446" s="1021"/>
      <c r="BJ446" s="1021"/>
      <c r="BK446" s="1021"/>
      <c r="BL446" s="1021"/>
      <c r="BM446" s="1021"/>
      <c r="BN446" s="1021"/>
      <c r="BO446" s="1021"/>
      <c r="BP446" s="1021"/>
      <c r="BQ446" s="1021"/>
      <c r="BR446" s="1021"/>
      <c r="BS446" s="1021"/>
      <c r="BT446" s="1021"/>
      <c r="BU446" s="1021"/>
      <c r="BV446" s="1021"/>
      <c r="BW446" s="1021"/>
      <c r="BX446" s="1021"/>
      <c r="BY446" s="1021"/>
      <c r="BZ446" s="1021"/>
      <c r="CA446" s="1021"/>
      <c r="CB446" s="1021"/>
      <c r="CC446" s="1021"/>
    </row>
    <row r="447" spans="8:81" x14ac:dyDescent="0.25">
      <c r="H447" s="1021"/>
      <c r="I447" s="1021"/>
      <c r="J447" s="1021"/>
      <c r="K447" s="1021"/>
      <c r="L447" s="1021"/>
      <c r="M447" s="1021"/>
      <c r="N447" s="1021"/>
      <c r="O447" s="1021"/>
      <c r="P447" s="1021"/>
      <c r="Q447" s="1021"/>
      <c r="R447" s="1021"/>
      <c r="S447" s="1021"/>
      <c r="T447" s="1021"/>
      <c r="U447" s="1021"/>
      <c r="V447" s="1021"/>
      <c r="W447" s="1021"/>
      <c r="X447" s="1021"/>
      <c r="Y447" s="1021"/>
      <c r="Z447" s="1021"/>
      <c r="AA447" s="1021"/>
      <c r="AB447" s="1021"/>
      <c r="AC447" s="1021"/>
      <c r="AD447" s="1021"/>
      <c r="AE447" s="1021"/>
      <c r="AF447" s="1021"/>
      <c r="AG447" s="1021"/>
      <c r="AH447" s="1021"/>
      <c r="AI447" s="1021"/>
      <c r="AJ447" s="1021"/>
      <c r="AK447" s="1021"/>
      <c r="AL447" s="1021"/>
      <c r="AM447" s="1021"/>
      <c r="AN447" s="1021"/>
      <c r="AO447" s="1021"/>
      <c r="AP447" s="1021"/>
      <c r="AQ447" s="1021"/>
      <c r="AR447" s="1021"/>
      <c r="AS447" s="1021"/>
      <c r="AT447" s="1021"/>
      <c r="AU447" s="1021"/>
      <c r="AV447" s="1021"/>
      <c r="AW447" s="1021"/>
      <c r="AX447" s="1021"/>
      <c r="AY447" s="1021"/>
      <c r="AZ447" s="1021"/>
      <c r="BA447" s="1021"/>
      <c r="BB447" s="1021"/>
      <c r="BC447" s="1021"/>
      <c r="BD447" s="1021"/>
      <c r="BE447" s="1021"/>
      <c r="BF447" s="1021"/>
      <c r="BG447" s="1021"/>
      <c r="BH447" s="1021"/>
      <c r="BI447" s="1021"/>
      <c r="BJ447" s="1021"/>
      <c r="BK447" s="1021"/>
      <c r="BL447" s="1021"/>
      <c r="BM447" s="1021"/>
      <c r="BN447" s="1021"/>
      <c r="BO447" s="1021"/>
      <c r="BP447" s="1021"/>
      <c r="BQ447" s="1021"/>
      <c r="BR447" s="1021"/>
      <c r="BS447" s="1021"/>
      <c r="BT447" s="1021"/>
      <c r="BU447" s="1021"/>
      <c r="BV447" s="1021"/>
      <c r="BW447" s="1021"/>
      <c r="BX447" s="1021"/>
      <c r="BY447" s="1021"/>
      <c r="BZ447" s="1021"/>
      <c r="CA447" s="1021"/>
      <c r="CB447" s="1021"/>
      <c r="CC447" s="1021"/>
    </row>
    <row r="448" spans="8:81" x14ac:dyDescent="0.25">
      <c r="H448" s="1021"/>
      <c r="I448" s="1021"/>
      <c r="J448" s="1021"/>
      <c r="K448" s="1021"/>
      <c r="L448" s="1021"/>
      <c r="M448" s="1021"/>
      <c r="N448" s="1021"/>
      <c r="O448" s="1021"/>
      <c r="P448" s="1021"/>
      <c r="Q448" s="1021"/>
      <c r="R448" s="1021"/>
      <c r="S448" s="1021"/>
      <c r="T448" s="1021"/>
      <c r="U448" s="1021"/>
      <c r="V448" s="1021"/>
      <c r="W448" s="1021"/>
      <c r="X448" s="1021"/>
      <c r="Y448" s="1021"/>
      <c r="Z448" s="1021"/>
      <c r="AA448" s="1021"/>
      <c r="AB448" s="1021"/>
      <c r="AC448" s="1021"/>
      <c r="AD448" s="1021"/>
      <c r="AE448" s="1021"/>
      <c r="AF448" s="1021"/>
      <c r="AG448" s="1021"/>
      <c r="AH448" s="1021"/>
      <c r="AI448" s="1021"/>
      <c r="AJ448" s="1021"/>
      <c r="AK448" s="1021"/>
      <c r="AL448" s="1021"/>
      <c r="AM448" s="1021"/>
      <c r="AN448" s="1021"/>
      <c r="AO448" s="1021"/>
      <c r="AP448" s="1021"/>
      <c r="AQ448" s="1021"/>
      <c r="AR448" s="1021"/>
      <c r="AS448" s="1021"/>
      <c r="AT448" s="1021"/>
      <c r="AU448" s="1021"/>
      <c r="AV448" s="1021"/>
      <c r="AW448" s="1021"/>
      <c r="AX448" s="1021"/>
      <c r="AY448" s="1021"/>
      <c r="AZ448" s="1021"/>
      <c r="BA448" s="1021"/>
      <c r="BB448" s="1021"/>
      <c r="BC448" s="1021"/>
      <c r="BD448" s="1021"/>
      <c r="BE448" s="1021"/>
      <c r="BF448" s="1021"/>
      <c r="BG448" s="1021"/>
      <c r="BH448" s="1021"/>
      <c r="BI448" s="1021"/>
      <c r="BJ448" s="1021"/>
      <c r="BK448" s="1021"/>
      <c r="BL448" s="1021"/>
      <c r="BM448" s="1021"/>
      <c r="BN448" s="1021"/>
      <c r="BO448" s="1021"/>
      <c r="BP448" s="1021"/>
      <c r="BQ448" s="1021"/>
      <c r="BR448" s="1021"/>
      <c r="BS448" s="1021"/>
      <c r="BT448" s="1021"/>
      <c r="BU448" s="1021"/>
      <c r="BV448" s="1021"/>
      <c r="BW448" s="1021"/>
      <c r="BX448" s="1021"/>
      <c r="BY448" s="1021"/>
      <c r="BZ448" s="1021"/>
      <c r="CA448" s="1021"/>
      <c r="CB448" s="1021"/>
      <c r="CC448" s="1021"/>
    </row>
    <row r="449" spans="8:81" x14ac:dyDescent="0.25">
      <c r="H449" s="1021"/>
      <c r="I449" s="1021"/>
      <c r="J449" s="1021"/>
      <c r="K449" s="1021"/>
      <c r="L449" s="1021"/>
      <c r="M449" s="1021"/>
      <c r="N449" s="1021"/>
      <c r="O449" s="1021"/>
      <c r="P449" s="1021"/>
      <c r="Q449" s="1021"/>
      <c r="R449" s="1021"/>
      <c r="S449" s="1021"/>
      <c r="T449" s="1021"/>
      <c r="U449" s="1021"/>
      <c r="V449" s="1021"/>
      <c r="W449" s="1021"/>
      <c r="X449" s="1021"/>
      <c r="Y449" s="1021"/>
      <c r="Z449" s="1021"/>
      <c r="AA449" s="1021"/>
      <c r="AB449" s="1021"/>
      <c r="AC449" s="1021"/>
      <c r="AD449" s="1021"/>
      <c r="AE449" s="1021"/>
      <c r="AF449" s="1021"/>
      <c r="AG449" s="1021"/>
      <c r="AH449" s="1021"/>
      <c r="AI449" s="1021"/>
      <c r="AJ449" s="1021"/>
      <c r="AK449" s="1021"/>
      <c r="AL449" s="1021"/>
      <c r="AM449" s="1021"/>
      <c r="AN449" s="1021"/>
      <c r="AO449" s="1021"/>
      <c r="AP449" s="1021"/>
      <c r="AQ449" s="1021"/>
      <c r="AR449" s="1021"/>
      <c r="AS449" s="1021"/>
      <c r="AT449" s="1021"/>
      <c r="AU449" s="1021"/>
      <c r="AV449" s="1021"/>
      <c r="AW449" s="1021"/>
      <c r="AX449" s="1021"/>
      <c r="AY449" s="1021"/>
      <c r="AZ449" s="1021"/>
      <c r="BA449" s="1021"/>
      <c r="BB449" s="1021"/>
      <c r="BC449" s="1021"/>
      <c r="BD449" s="1021"/>
      <c r="BE449" s="1021"/>
      <c r="BF449" s="1021"/>
      <c r="BG449" s="1021"/>
      <c r="BH449" s="1021"/>
      <c r="BI449" s="1021"/>
      <c r="BJ449" s="1021"/>
      <c r="BK449" s="1021"/>
      <c r="BL449" s="1021"/>
      <c r="BM449" s="1021"/>
      <c r="BN449" s="1021"/>
      <c r="BO449" s="1021"/>
      <c r="BP449" s="1021"/>
      <c r="BQ449" s="1021"/>
      <c r="BR449" s="1021"/>
      <c r="BS449" s="1021"/>
      <c r="BT449" s="1021"/>
      <c r="BU449" s="1021"/>
      <c r="BV449" s="1021"/>
      <c r="BW449" s="1021"/>
      <c r="BX449" s="1021"/>
      <c r="BY449" s="1021"/>
      <c r="BZ449" s="1021"/>
      <c r="CA449" s="1021"/>
      <c r="CB449" s="1021"/>
      <c r="CC449" s="1021"/>
    </row>
    <row r="450" spans="8:81" x14ac:dyDescent="0.25">
      <c r="H450" s="1021"/>
      <c r="I450" s="1021"/>
      <c r="J450" s="1021"/>
      <c r="K450" s="1021"/>
      <c r="L450" s="1021"/>
      <c r="M450" s="1021"/>
      <c r="N450" s="1021"/>
      <c r="O450" s="1021"/>
      <c r="P450" s="1021"/>
      <c r="Q450" s="1021"/>
      <c r="R450" s="1021"/>
      <c r="S450" s="1021"/>
      <c r="T450" s="1021"/>
      <c r="U450" s="1021"/>
      <c r="V450" s="1021"/>
      <c r="W450" s="1021"/>
      <c r="X450" s="1021"/>
      <c r="Y450" s="1021"/>
      <c r="Z450" s="1021"/>
      <c r="AA450" s="1021"/>
      <c r="AB450" s="1021"/>
      <c r="AC450" s="1021"/>
      <c r="AD450" s="1021"/>
      <c r="AE450" s="1021"/>
      <c r="AF450" s="1021"/>
      <c r="AG450" s="1021"/>
      <c r="AH450" s="1021"/>
      <c r="AI450" s="1021"/>
      <c r="AJ450" s="1021"/>
      <c r="AK450" s="1021"/>
      <c r="AL450" s="1021"/>
      <c r="AM450" s="1021"/>
      <c r="AN450" s="1021"/>
      <c r="AO450" s="1021"/>
      <c r="AP450" s="1021"/>
      <c r="AQ450" s="1021"/>
      <c r="AR450" s="1021"/>
      <c r="AS450" s="1021"/>
      <c r="AT450" s="1021"/>
      <c r="AU450" s="1021"/>
      <c r="AV450" s="1021"/>
      <c r="AW450" s="1021"/>
      <c r="AX450" s="1021"/>
      <c r="AY450" s="1021"/>
      <c r="AZ450" s="1021"/>
      <c r="BA450" s="1021"/>
      <c r="BB450" s="1021"/>
      <c r="BC450" s="1021"/>
      <c r="BD450" s="1021"/>
      <c r="BE450" s="1021"/>
      <c r="BF450" s="1021"/>
      <c r="BG450" s="1021"/>
      <c r="BH450" s="1021"/>
      <c r="BI450" s="1021"/>
      <c r="BJ450" s="1021"/>
      <c r="BK450" s="1021"/>
      <c r="BL450" s="1021"/>
      <c r="BM450" s="1021"/>
      <c r="BN450" s="1021"/>
      <c r="BO450" s="1021"/>
      <c r="BP450" s="1021"/>
      <c r="BQ450" s="1021"/>
      <c r="BR450" s="1021"/>
      <c r="BS450" s="1021"/>
      <c r="BT450" s="1021"/>
      <c r="BU450" s="1021"/>
      <c r="BV450" s="1021"/>
      <c r="BW450" s="1021"/>
      <c r="BX450" s="1021"/>
      <c r="BY450" s="1021"/>
      <c r="BZ450" s="1021"/>
      <c r="CA450" s="1021"/>
      <c r="CB450" s="1021"/>
      <c r="CC450" s="1021"/>
    </row>
    <row r="451" spans="8:81" x14ac:dyDescent="0.25">
      <c r="H451" s="1021"/>
      <c r="I451" s="1021"/>
      <c r="J451" s="1021"/>
      <c r="K451" s="1021"/>
      <c r="L451" s="1021"/>
      <c r="M451" s="1021"/>
      <c r="N451" s="1021"/>
      <c r="O451" s="1021"/>
      <c r="P451" s="1021"/>
      <c r="Q451" s="1021"/>
      <c r="R451" s="1021"/>
      <c r="S451" s="1021"/>
      <c r="T451" s="1021"/>
      <c r="U451" s="1021"/>
      <c r="V451" s="1021"/>
      <c r="W451" s="1021"/>
      <c r="X451" s="1021"/>
      <c r="Y451" s="1021"/>
      <c r="Z451" s="1021"/>
      <c r="AA451" s="1021"/>
      <c r="AB451" s="1021"/>
      <c r="AC451" s="1021"/>
      <c r="AD451" s="1021"/>
      <c r="AE451" s="1021"/>
      <c r="AF451" s="1021"/>
      <c r="AG451" s="1021"/>
      <c r="AH451" s="1021"/>
      <c r="AI451" s="1021"/>
      <c r="AJ451" s="1021"/>
      <c r="AK451" s="1021"/>
      <c r="AL451" s="1021"/>
      <c r="AM451" s="1021"/>
      <c r="AN451" s="1021"/>
      <c r="AO451" s="1021"/>
      <c r="AP451" s="1021"/>
      <c r="AQ451" s="1021"/>
      <c r="AR451" s="1021"/>
      <c r="AS451" s="1021"/>
      <c r="AT451" s="1021"/>
      <c r="AU451" s="1021"/>
      <c r="AV451" s="1021"/>
      <c r="AW451" s="1021"/>
      <c r="AX451" s="1021"/>
      <c r="AY451" s="1021"/>
      <c r="AZ451" s="1021"/>
      <c r="BA451" s="1021"/>
      <c r="BB451" s="1021"/>
      <c r="BC451" s="1021"/>
      <c r="BD451" s="1021"/>
      <c r="BE451" s="1021"/>
      <c r="BF451" s="1021"/>
      <c r="BG451" s="1021"/>
      <c r="BH451" s="1021"/>
      <c r="BI451" s="1021"/>
      <c r="BJ451" s="1021"/>
      <c r="BK451" s="1021"/>
      <c r="BL451" s="1021"/>
      <c r="BM451" s="1021"/>
      <c r="BN451" s="1021"/>
      <c r="BO451" s="1021"/>
      <c r="BP451" s="1021"/>
      <c r="BQ451" s="1021"/>
      <c r="BR451" s="1021"/>
      <c r="BS451" s="1021"/>
      <c r="BT451" s="1021"/>
      <c r="BU451" s="1021"/>
      <c r="BV451" s="1021"/>
      <c r="BW451" s="1021"/>
      <c r="BX451" s="1021"/>
      <c r="BY451" s="1021"/>
      <c r="BZ451" s="1021"/>
      <c r="CA451" s="1021"/>
      <c r="CB451" s="1021"/>
      <c r="CC451" s="1021"/>
    </row>
    <row r="452" spans="8:81" x14ac:dyDescent="0.25">
      <c r="H452" s="1021"/>
      <c r="I452" s="1021"/>
      <c r="J452" s="1021"/>
      <c r="K452" s="1021"/>
      <c r="L452" s="1021"/>
      <c r="M452" s="1021"/>
      <c r="N452" s="1021"/>
      <c r="O452" s="1021"/>
      <c r="P452" s="1021"/>
      <c r="Q452" s="1021"/>
      <c r="R452" s="1021"/>
      <c r="S452" s="1021"/>
      <c r="T452" s="1021"/>
      <c r="U452" s="1021"/>
      <c r="V452" s="1021"/>
      <c r="W452" s="1021"/>
      <c r="X452" s="1021"/>
      <c r="Y452" s="1021"/>
      <c r="Z452" s="1021"/>
      <c r="AA452" s="1021"/>
      <c r="AB452" s="1021"/>
      <c r="AC452" s="1021"/>
      <c r="AD452" s="1021"/>
      <c r="AE452" s="1021"/>
      <c r="AF452" s="1021"/>
      <c r="AG452" s="1021"/>
      <c r="AH452" s="1021"/>
      <c r="AI452" s="1021"/>
      <c r="AJ452" s="1021"/>
      <c r="AK452" s="1021"/>
      <c r="AL452" s="1021"/>
      <c r="AM452" s="1021"/>
      <c r="AN452" s="1021"/>
      <c r="AO452" s="1021"/>
      <c r="AP452" s="1021"/>
      <c r="AQ452" s="1021"/>
      <c r="AR452" s="1021"/>
      <c r="AS452" s="1021"/>
      <c r="AT452" s="1021"/>
      <c r="AU452" s="1021"/>
      <c r="AV452" s="1021"/>
      <c r="AW452" s="1021"/>
      <c r="AX452" s="1021"/>
      <c r="AY452" s="1021"/>
      <c r="AZ452" s="1021"/>
      <c r="BA452" s="1021"/>
      <c r="BB452" s="1021"/>
      <c r="BC452" s="1021"/>
      <c r="BD452" s="1021"/>
      <c r="BE452" s="1021"/>
      <c r="BF452" s="1021"/>
      <c r="BG452" s="1021"/>
      <c r="BH452" s="1021"/>
      <c r="BI452" s="1021"/>
      <c r="BJ452" s="1021"/>
      <c r="BK452" s="1021"/>
      <c r="BL452" s="1021"/>
      <c r="BM452" s="1021"/>
      <c r="BN452" s="1021"/>
      <c r="BO452" s="1021"/>
      <c r="BP452" s="1021"/>
      <c r="BQ452" s="1021"/>
      <c r="BR452" s="1021"/>
      <c r="BS452" s="1021"/>
      <c r="BT452" s="1021"/>
      <c r="BU452" s="1021"/>
      <c r="BV452" s="1021"/>
      <c r="BW452" s="1021"/>
      <c r="BX452" s="1021"/>
      <c r="BY452" s="1021"/>
      <c r="BZ452" s="1021"/>
      <c r="CA452" s="1021"/>
      <c r="CB452" s="1021"/>
      <c r="CC452" s="1021"/>
    </row>
    <row r="453" spans="8:81" x14ac:dyDescent="0.25">
      <c r="H453" s="1021"/>
      <c r="I453" s="1021"/>
      <c r="J453" s="1021"/>
      <c r="K453" s="1021"/>
      <c r="L453" s="1021"/>
      <c r="M453" s="1021"/>
      <c r="N453" s="1021"/>
      <c r="O453" s="1021"/>
      <c r="P453" s="1021"/>
      <c r="Q453" s="1021"/>
      <c r="R453" s="1021"/>
      <c r="S453" s="1021"/>
      <c r="T453" s="1021"/>
      <c r="U453" s="1021"/>
      <c r="V453" s="1021"/>
      <c r="W453" s="1021"/>
      <c r="X453" s="1021"/>
      <c r="Y453" s="1021"/>
      <c r="Z453" s="1021"/>
      <c r="AA453" s="1021"/>
      <c r="AB453" s="1021"/>
      <c r="AC453" s="1021"/>
      <c r="AD453" s="1021"/>
      <c r="AE453" s="1021"/>
      <c r="AF453" s="1021"/>
      <c r="AG453" s="1021"/>
      <c r="AH453" s="1021"/>
      <c r="AI453" s="1021"/>
      <c r="AJ453" s="1021"/>
      <c r="AK453" s="1021"/>
      <c r="AL453" s="1021"/>
      <c r="AM453" s="1021"/>
      <c r="AN453" s="1021"/>
      <c r="AO453" s="1021"/>
      <c r="AP453" s="1021"/>
      <c r="AQ453" s="1021"/>
      <c r="AR453" s="1021"/>
      <c r="AS453" s="1021"/>
      <c r="AT453" s="1021"/>
      <c r="AU453" s="1021"/>
      <c r="AV453" s="1021"/>
      <c r="AW453" s="1021"/>
      <c r="AX453" s="1021"/>
      <c r="AY453" s="1021"/>
      <c r="AZ453" s="1021"/>
      <c r="BA453" s="1021"/>
      <c r="BB453" s="1021"/>
      <c r="BC453" s="1021"/>
      <c r="BD453" s="1021"/>
      <c r="BE453" s="1021"/>
      <c r="BF453" s="1021"/>
      <c r="BG453" s="1021"/>
      <c r="BH453" s="1021"/>
      <c r="BI453" s="1021"/>
      <c r="BJ453" s="1021"/>
      <c r="BK453" s="1021"/>
      <c r="BL453" s="1021"/>
      <c r="BM453" s="1021"/>
      <c r="BN453" s="1021"/>
      <c r="BO453" s="1021"/>
      <c r="BP453" s="1021"/>
      <c r="BQ453" s="1021"/>
      <c r="BR453" s="1021"/>
      <c r="BS453" s="1021"/>
      <c r="BT453" s="1021"/>
      <c r="BU453" s="1021"/>
      <c r="BV453" s="1021"/>
      <c r="BW453" s="1021"/>
      <c r="BX453" s="1021"/>
      <c r="BY453" s="1021"/>
      <c r="BZ453" s="1021"/>
      <c r="CA453" s="1021"/>
      <c r="CB453" s="1021"/>
      <c r="CC453" s="1021"/>
    </row>
    <row r="454" spans="8:81" x14ac:dyDescent="0.25">
      <c r="H454" s="1021"/>
      <c r="I454" s="1021"/>
      <c r="J454" s="1021"/>
      <c r="K454" s="1021"/>
      <c r="L454" s="1021"/>
      <c r="M454" s="1021"/>
      <c r="N454" s="1021"/>
      <c r="O454" s="1021"/>
      <c r="P454" s="1021"/>
      <c r="Q454" s="1021"/>
      <c r="R454" s="1021"/>
      <c r="S454" s="1021"/>
      <c r="T454" s="1021"/>
      <c r="U454" s="1021"/>
      <c r="V454" s="1021"/>
      <c r="W454" s="1021"/>
      <c r="X454" s="1021"/>
      <c r="Y454" s="1021"/>
      <c r="Z454" s="1021"/>
      <c r="AA454" s="1021"/>
      <c r="AB454" s="1021"/>
      <c r="AC454" s="1021"/>
      <c r="AD454" s="1021"/>
      <c r="AE454" s="1021"/>
      <c r="AF454" s="1021"/>
      <c r="AG454" s="1021"/>
      <c r="AH454" s="1021"/>
      <c r="AI454" s="1021"/>
      <c r="AJ454" s="1021"/>
      <c r="AK454" s="1021"/>
      <c r="AL454" s="1021"/>
      <c r="AM454" s="1021"/>
      <c r="AN454" s="1021"/>
      <c r="AO454" s="1021"/>
      <c r="AP454" s="1021"/>
      <c r="AQ454" s="1021"/>
      <c r="AR454" s="1021"/>
      <c r="AS454" s="1021"/>
      <c r="AT454" s="1021"/>
      <c r="AU454" s="1021"/>
      <c r="AV454" s="1021"/>
      <c r="AW454" s="1021"/>
      <c r="AX454" s="1021"/>
      <c r="AY454" s="1021"/>
      <c r="AZ454" s="1021"/>
      <c r="BA454" s="1021"/>
      <c r="BB454" s="1021"/>
      <c r="BC454" s="1021"/>
      <c r="BD454" s="1021"/>
      <c r="BE454" s="1021"/>
      <c r="BF454" s="1021"/>
      <c r="BG454" s="1021"/>
      <c r="BH454" s="1021"/>
      <c r="BI454" s="1021"/>
      <c r="BJ454" s="1021"/>
      <c r="BK454" s="1021"/>
      <c r="BL454" s="1021"/>
      <c r="BM454" s="1021"/>
      <c r="BN454" s="1021"/>
      <c r="BO454" s="1021"/>
      <c r="BP454" s="1021"/>
      <c r="BQ454" s="1021"/>
      <c r="BR454" s="1021"/>
      <c r="BS454" s="1021"/>
      <c r="BT454" s="1021"/>
      <c r="BU454" s="1021"/>
      <c r="BV454" s="1021"/>
      <c r="BW454" s="1021"/>
      <c r="BX454" s="1021"/>
      <c r="BY454" s="1021"/>
      <c r="BZ454" s="1021"/>
      <c r="CA454" s="1021"/>
      <c r="CB454" s="1021"/>
      <c r="CC454" s="1021"/>
    </row>
    <row r="455" spans="8:81" x14ac:dyDescent="0.25">
      <c r="H455" s="1021"/>
      <c r="I455" s="1021"/>
      <c r="J455" s="1021"/>
      <c r="K455" s="1021"/>
      <c r="L455" s="1021"/>
      <c r="M455" s="1021"/>
      <c r="N455" s="1021"/>
      <c r="O455" s="1021"/>
      <c r="P455" s="1021"/>
      <c r="Q455" s="1021"/>
      <c r="R455" s="1021"/>
      <c r="S455" s="1021"/>
      <c r="T455" s="1021"/>
      <c r="U455" s="1021"/>
      <c r="V455" s="1021"/>
      <c r="W455" s="1021"/>
      <c r="X455" s="1021"/>
      <c r="Y455" s="1021"/>
      <c r="Z455" s="1021"/>
      <c r="AA455" s="1021"/>
      <c r="AB455" s="1021"/>
      <c r="AC455" s="1021"/>
      <c r="AD455" s="1021"/>
      <c r="AE455" s="1021"/>
      <c r="AF455" s="1021"/>
      <c r="AG455" s="1021"/>
      <c r="AH455" s="1021"/>
      <c r="AI455" s="1021"/>
      <c r="AJ455" s="1021"/>
      <c r="AK455" s="1021"/>
      <c r="AL455" s="1021"/>
      <c r="AM455" s="1021"/>
      <c r="AN455" s="1021"/>
      <c r="AO455" s="1021"/>
      <c r="AP455" s="1021"/>
      <c r="AQ455" s="1021"/>
      <c r="AR455" s="1021"/>
      <c r="AS455" s="1021"/>
      <c r="AT455" s="1021"/>
      <c r="AU455" s="1021"/>
      <c r="AV455" s="1021"/>
      <c r="AW455" s="1021"/>
      <c r="AX455" s="1021"/>
      <c r="AY455" s="1021"/>
      <c r="AZ455" s="1021"/>
      <c r="BA455" s="1021"/>
      <c r="BB455" s="1021"/>
      <c r="BC455" s="1021"/>
      <c r="BD455" s="1021"/>
      <c r="BE455" s="1021"/>
      <c r="BF455" s="1021"/>
      <c r="BG455" s="1021"/>
      <c r="BH455" s="1021"/>
      <c r="BI455" s="1021"/>
      <c r="BJ455" s="1021"/>
      <c r="BK455" s="1021"/>
      <c r="BL455" s="1021"/>
      <c r="BM455" s="1021"/>
      <c r="BN455" s="1021"/>
      <c r="BO455" s="1021"/>
      <c r="BP455" s="1021"/>
      <c r="BQ455" s="1021"/>
      <c r="BR455" s="1021"/>
      <c r="BS455" s="1021"/>
      <c r="BT455" s="1021"/>
      <c r="BU455" s="1021"/>
      <c r="BV455" s="1021"/>
      <c r="BW455" s="1021"/>
      <c r="BX455" s="1021"/>
      <c r="BY455" s="1021"/>
      <c r="BZ455" s="1021"/>
      <c r="CA455" s="1021"/>
      <c r="CB455" s="1021"/>
      <c r="CC455" s="1021"/>
    </row>
    <row r="456" spans="8:81" x14ac:dyDescent="0.25">
      <c r="H456" s="1021"/>
      <c r="I456" s="1021"/>
      <c r="J456" s="1021"/>
      <c r="K456" s="1021"/>
      <c r="L456" s="1021"/>
      <c r="M456" s="1021"/>
      <c r="N456" s="1021"/>
      <c r="O456" s="1021"/>
      <c r="P456" s="1021"/>
      <c r="Q456" s="1021"/>
      <c r="R456" s="1021"/>
      <c r="S456" s="1021"/>
      <c r="T456" s="1021"/>
      <c r="U456" s="1021"/>
      <c r="V456" s="1021"/>
      <c r="W456" s="1021"/>
      <c r="X456" s="1021"/>
      <c r="Y456" s="1021"/>
      <c r="Z456" s="1021"/>
      <c r="AA456" s="1021"/>
      <c r="AB456" s="1021"/>
      <c r="AC456" s="1021"/>
      <c r="AD456" s="1021"/>
      <c r="AE456" s="1021"/>
      <c r="AF456" s="1021"/>
      <c r="AG456" s="1021"/>
      <c r="AH456" s="1021"/>
      <c r="AI456" s="1021"/>
      <c r="AJ456" s="1021"/>
      <c r="AK456" s="1021"/>
      <c r="AL456" s="1021"/>
      <c r="AM456" s="1021"/>
      <c r="AN456" s="1021"/>
      <c r="AO456" s="1021"/>
      <c r="AP456" s="1021"/>
      <c r="AQ456" s="1021"/>
      <c r="AR456" s="1021"/>
      <c r="AS456" s="1021"/>
      <c r="AT456" s="1021"/>
      <c r="AU456" s="1021"/>
      <c r="AV456" s="1021"/>
      <c r="AW456" s="1021"/>
      <c r="AX456" s="1021"/>
      <c r="AY456" s="1021"/>
      <c r="AZ456" s="1021"/>
      <c r="BA456" s="1021"/>
      <c r="BB456" s="1021"/>
      <c r="BC456" s="1021"/>
      <c r="BD456" s="1021"/>
      <c r="BE456" s="1021"/>
      <c r="BF456" s="1021"/>
      <c r="BG456" s="1021"/>
      <c r="BH456" s="1021"/>
      <c r="BI456" s="1021"/>
      <c r="BJ456" s="1021"/>
      <c r="BK456" s="1021"/>
      <c r="BL456" s="1021"/>
      <c r="BM456" s="1021"/>
      <c r="BN456" s="1021"/>
      <c r="BO456" s="1021"/>
      <c r="BP456" s="1021"/>
      <c r="BQ456" s="1021"/>
      <c r="BR456" s="1021"/>
      <c r="BS456" s="1021"/>
      <c r="BT456" s="1021"/>
      <c r="BU456" s="1021"/>
      <c r="BV456" s="1021"/>
      <c r="BW456" s="1021"/>
      <c r="BX456" s="1021"/>
      <c r="BY456" s="1021"/>
      <c r="BZ456" s="1021"/>
      <c r="CA456" s="1021"/>
      <c r="CB456" s="1021"/>
      <c r="CC456" s="1021"/>
    </row>
    <row r="457" spans="8:81" x14ac:dyDescent="0.25">
      <c r="H457" s="1021"/>
      <c r="I457" s="1021"/>
      <c r="J457" s="1021"/>
      <c r="K457" s="1021"/>
      <c r="L457" s="1021"/>
      <c r="M457" s="1021"/>
      <c r="N457" s="1021"/>
      <c r="O457" s="1021"/>
      <c r="P457" s="1021"/>
      <c r="Q457" s="1021"/>
      <c r="R457" s="1021"/>
      <c r="S457" s="1021"/>
      <c r="T457" s="1021"/>
      <c r="U457" s="1021"/>
      <c r="V457" s="1021"/>
      <c r="W457" s="1021"/>
      <c r="X457" s="1021"/>
      <c r="Y457" s="1021"/>
      <c r="Z457" s="1021"/>
      <c r="AA457" s="1021"/>
      <c r="AB457" s="1021"/>
      <c r="AC457" s="1021"/>
      <c r="AD457" s="1021"/>
      <c r="AE457" s="1021"/>
      <c r="AF457" s="1021"/>
      <c r="AG457" s="1021"/>
      <c r="AH457" s="1021"/>
      <c r="AI457" s="1021"/>
      <c r="AJ457" s="1021"/>
      <c r="AK457" s="1021"/>
      <c r="AL457" s="1021"/>
      <c r="AM457" s="1021"/>
      <c r="AN457" s="1021"/>
      <c r="AO457" s="1021"/>
      <c r="AP457" s="1021"/>
      <c r="AQ457" s="1021"/>
      <c r="AR457" s="1021"/>
      <c r="AS457" s="1021"/>
      <c r="AT457" s="1021"/>
      <c r="AU457" s="1021"/>
      <c r="AV457" s="1021"/>
      <c r="AW457" s="1021"/>
      <c r="AX457" s="1021"/>
      <c r="AY457" s="1021"/>
      <c r="AZ457" s="1021"/>
      <c r="BA457" s="1021"/>
      <c r="BB457" s="1021"/>
      <c r="BC457" s="1021"/>
      <c r="BD457" s="1021"/>
      <c r="BE457" s="1021"/>
      <c r="BF457" s="1021"/>
      <c r="BG457" s="1021"/>
      <c r="BH457" s="1021"/>
      <c r="BI457" s="1021"/>
      <c r="BJ457" s="1021"/>
      <c r="BK457" s="1021"/>
      <c r="BL457" s="1021"/>
      <c r="BM457" s="1021"/>
      <c r="BN457" s="1021"/>
      <c r="BO457" s="1021"/>
      <c r="BP457" s="1021"/>
      <c r="BQ457" s="1021"/>
      <c r="BR457" s="1021"/>
      <c r="BS457" s="1021"/>
      <c r="BT457" s="1021"/>
      <c r="BU457" s="1021"/>
      <c r="BV457" s="1021"/>
      <c r="BW457" s="1021"/>
      <c r="BX457" s="1021"/>
      <c r="BY457" s="1021"/>
      <c r="BZ457" s="1021"/>
      <c r="CA457" s="1021"/>
      <c r="CB457" s="1021"/>
      <c r="CC457" s="1021"/>
    </row>
    <row r="458" spans="8:81" x14ac:dyDescent="0.25">
      <c r="H458" s="1021"/>
      <c r="I458" s="1021"/>
      <c r="J458" s="1021"/>
      <c r="K458" s="1021"/>
      <c r="L458" s="1021"/>
      <c r="M458" s="1021"/>
      <c r="N458" s="1021"/>
      <c r="O458" s="1021"/>
      <c r="P458" s="1021"/>
      <c r="Q458" s="1021"/>
      <c r="R458" s="1021"/>
      <c r="S458" s="1021"/>
      <c r="T458" s="1021"/>
      <c r="U458" s="1021"/>
      <c r="V458" s="1021"/>
      <c r="W458" s="1021"/>
      <c r="X458" s="1021"/>
      <c r="Y458" s="1021"/>
      <c r="Z458" s="1021"/>
      <c r="AA458" s="1021"/>
      <c r="AB458" s="1021"/>
      <c r="AC458" s="1021"/>
      <c r="AD458" s="1021"/>
      <c r="AE458" s="1021"/>
      <c r="AF458" s="1021"/>
      <c r="AG458" s="1021"/>
      <c r="AH458" s="1021"/>
      <c r="AI458" s="1021"/>
      <c r="AJ458" s="1021"/>
      <c r="AK458" s="1021"/>
      <c r="AL458" s="1021"/>
      <c r="AM458" s="1021"/>
      <c r="AN458" s="1021"/>
      <c r="AO458" s="1021"/>
      <c r="AP458" s="1021"/>
      <c r="AQ458" s="1021"/>
      <c r="AR458" s="1021"/>
      <c r="AS458" s="1021"/>
      <c r="AT458" s="1021"/>
      <c r="AU458" s="1021"/>
      <c r="AV458" s="1021"/>
      <c r="AW458" s="1021"/>
      <c r="AX458" s="1021"/>
      <c r="AY458" s="1021"/>
      <c r="AZ458" s="1021"/>
      <c r="BA458" s="1021"/>
      <c r="BB458" s="1021"/>
      <c r="BC458" s="1021"/>
      <c r="BD458" s="1021"/>
      <c r="BE458" s="1021"/>
      <c r="BF458" s="1021"/>
      <c r="BG458" s="1021"/>
      <c r="BH458" s="1021"/>
      <c r="BI458" s="1021"/>
      <c r="BJ458" s="1021"/>
      <c r="BK458" s="1021"/>
      <c r="BL458" s="1021"/>
      <c r="BM458" s="1021"/>
      <c r="BN458" s="1021"/>
      <c r="BO458" s="1021"/>
      <c r="BP458" s="1021"/>
      <c r="BQ458" s="1021"/>
      <c r="BR458" s="1021"/>
      <c r="BS458" s="1021"/>
      <c r="BT458" s="1021"/>
      <c r="BU458" s="1021"/>
      <c r="BV458" s="1021"/>
      <c r="BW458" s="1021"/>
      <c r="BX458" s="1021"/>
      <c r="BY458" s="1021"/>
      <c r="BZ458" s="1021"/>
      <c r="CA458" s="1021"/>
      <c r="CB458" s="1021"/>
      <c r="CC458" s="1021"/>
    </row>
    <row r="459" spans="8:81" x14ac:dyDescent="0.25">
      <c r="H459" s="1021"/>
      <c r="I459" s="1021"/>
      <c r="J459" s="1021"/>
      <c r="K459" s="1021"/>
      <c r="L459" s="1021"/>
      <c r="M459" s="1021"/>
      <c r="N459" s="1021"/>
      <c r="O459" s="1021"/>
      <c r="P459" s="1021"/>
      <c r="Q459" s="1021"/>
      <c r="R459" s="1021"/>
      <c r="S459" s="1021"/>
      <c r="T459" s="1021"/>
      <c r="U459" s="1021"/>
      <c r="V459" s="1021"/>
      <c r="W459" s="1021"/>
      <c r="X459" s="1021"/>
      <c r="Y459" s="1021"/>
      <c r="Z459" s="1021"/>
      <c r="AA459" s="1021"/>
      <c r="AB459" s="1021"/>
      <c r="AC459" s="1021"/>
      <c r="AD459" s="1021"/>
      <c r="AE459" s="1021"/>
      <c r="AF459" s="1021"/>
      <c r="AG459" s="1021"/>
      <c r="AH459" s="1021"/>
      <c r="AI459" s="1021"/>
      <c r="AJ459" s="1021"/>
      <c r="AK459" s="1021"/>
      <c r="AL459" s="1021"/>
      <c r="AM459" s="1021"/>
      <c r="AN459" s="1021"/>
      <c r="AO459" s="1021"/>
      <c r="AP459" s="1021"/>
      <c r="AQ459" s="1021"/>
      <c r="AR459" s="1021"/>
      <c r="AS459" s="1021"/>
      <c r="AT459" s="1021"/>
      <c r="AU459" s="1021"/>
      <c r="AV459" s="1021"/>
      <c r="AW459" s="1021"/>
      <c r="AX459" s="1021"/>
      <c r="AY459" s="1021"/>
      <c r="AZ459" s="1021"/>
      <c r="BA459" s="1021"/>
      <c r="BB459" s="1021"/>
      <c r="BC459" s="1021"/>
      <c r="BD459" s="1021"/>
      <c r="BE459" s="1021"/>
      <c r="BF459" s="1021"/>
      <c r="BG459" s="1021"/>
      <c r="BH459" s="1021"/>
      <c r="BI459" s="1021"/>
      <c r="BJ459" s="1021"/>
      <c r="BK459" s="1021"/>
      <c r="BL459" s="1021"/>
      <c r="BM459" s="1021"/>
      <c r="BN459" s="1021"/>
      <c r="BO459" s="1021"/>
      <c r="BP459" s="1021"/>
      <c r="BQ459" s="1021"/>
      <c r="BR459" s="1021"/>
      <c r="BS459" s="1021"/>
      <c r="BT459" s="1021"/>
      <c r="BU459" s="1021"/>
      <c r="BV459" s="1021"/>
      <c r="BW459" s="1021"/>
      <c r="BX459" s="1021"/>
      <c r="BY459" s="1021"/>
      <c r="BZ459" s="1021"/>
      <c r="CA459" s="1021"/>
      <c r="CB459" s="1021"/>
      <c r="CC459" s="1021"/>
    </row>
    <row r="460" spans="8:81" x14ac:dyDescent="0.25">
      <c r="H460" s="1021"/>
      <c r="I460" s="1021"/>
      <c r="J460" s="1021"/>
      <c r="K460" s="1021"/>
      <c r="L460" s="1021"/>
      <c r="M460" s="1021"/>
      <c r="N460" s="1021"/>
      <c r="O460" s="1021"/>
      <c r="P460" s="1021"/>
      <c r="Q460" s="1021"/>
      <c r="R460" s="1021"/>
      <c r="S460" s="1021"/>
      <c r="T460" s="1021"/>
      <c r="U460" s="1021"/>
      <c r="V460" s="1021"/>
      <c r="W460" s="1021"/>
      <c r="X460" s="1021"/>
      <c r="Y460" s="1021"/>
      <c r="Z460" s="1021"/>
      <c r="AA460" s="1021"/>
      <c r="AB460" s="1021"/>
      <c r="AC460" s="1021"/>
      <c r="AD460" s="1021"/>
      <c r="AE460" s="1021"/>
      <c r="AF460" s="1021"/>
      <c r="AG460" s="1021"/>
      <c r="AH460" s="1021"/>
      <c r="AI460" s="1021"/>
      <c r="AJ460" s="1021"/>
      <c r="AK460" s="1021"/>
      <c r="AL460" s="1021"/>
      <c r="AM460" s="1021"/>
      <c r="AN460" s="1021"/>
      <c r="AO460" s="1021"/>
      <c r="AP460" s="1021"/>
      <c r="AQ460" s="1021"/>
      <c r="AR460" s="1021"/>
      <c r="AS460" s="1021"/>
      <c r="AT460" s="1021"/>
      <c r="AU460" s="1021"/>
      <c r="AV460" s="1021"/>
      <c r="AW460" s="1021"/>
      <c r="AX460" s="1021"/>
      <c r="AY460" s="1021"/>
      <c r="AZ460" s="1021"/>
      <c r="BA460" s="1021"/>
      <c r="BB460" s="1021"/>
      <c r="BC460" s="1021"/>
      <c r="BD460" s="1021"/>
      <c r="BE460" s="1021"/>
      <c r="BF460" s="1021"/>
      <c r="BG460" s="1021"/>
      <c r="BH460" s="1021"/>
      <c r="BI460" s="1021"/>
      <c r="BJ460" s="1021"/>
      <c r="BK460" s="1021"/>
      <c r="BL460" s="1021"/>
      <c r="BM460" s="1021"/>
      <c r="BN460" s="1021"/>
      <c r="BO460" s="1021"/>
      <c r="BP460" s="1021"/>
      <c r="BQ460" s="1021"/>
      <c r="BR460" s="1021"/>
      <c r="BS460" s="1021"/>
      <c r="BT460" s="1021"/>
      <c r="BU460" s="1021"/>
      <c r="BV460" s="1021"/>
      <c r="BW460" s="1021"/>
      <c r="BX460" s="1021"/>
      <c r="BY460" s="1021"/>
      <c r="BZ460" s="1021"/>
      <c r="CA460" s="1021"/>
      <c r="CB460" s="1021"/>
      <c r="CC460" s="1021"/>
    </row>
    <row r="461" spans="8:81" x14ac:dyDescent="0.25">
      <c r="H461" s="1021"/>
      <c r="I461" s="1021"/>
      <c r="J461" s="1021"/>
      <c r="K461" s="1021"/>
      <c r="L461" s="1021"/>
      <c r="M461" s="1021"/>
      <c r="N461" s="1021"/>
      <c r="O461" s="1021"/>
      <c r="P461" s="1021"/>
      <c r="Q461" s="1021"/>
      <c r="R461" s="1021"/>
      <c r="S461" s="1021"/>
      <c r="T461" s="1021"/>
      <c r="U461" s="1021"/>
      <c r="V461" s="1021"/>
      <c r="W461" s="1021"/>
      <c r="X461" s="1021"/>
      <c r="Y461" s="1021"/>
      <c r="Z461" s="1021"/>
      <c r="AA461" s="1021"/>
      <c r="AB461" s="1021"/>
      <c r="AC461" s="1021"/>
      <c r="AD461" s="1021"/>
      <c r="AE461" s="1021"/>
      <c r="AF461" s="1021"/>
      <c r="AG461" s="1021"/>
      <c r="AH461" s="1021"/>
      <c r="AI461" s="1021"/>
      <c r="AJ461" s="1021"/>
      <c r="AK461" s="1021"/>
      <c r="AL461" s="1021"/>
      <c r="AM461" s="1021"/>
      <c r="AN461" s="1021"/>
      <c r="AO461" s="1021"/>
      <c r="AP461" s="1021"/>
      <c r="AQ461" s="1021"/>
      <c r="AR461" s="1021"/>
      <c r="AS461" s="1021"/>
      <c r="AT461" s="1021"/>
      <c r="AU461" s="1021"/>
      <c r="AV461" s="1021"/>
      <c r="AW461" s="1021"/>
      <c r="AX461" s="1021"/>
      <c r="AY461" s="1021"/>
      <c r="AZ461" s="1021"/>
      <c r="BA461" s="1021"/>
      <c r="BB461" s="1021"/>
      <c r="BC461" s="1021"/>
      <c r="BD461" s="1021"/>
      <c r="BE461" s="1021"/>
      <c r="BF461" s="1021"/>
      <c r="BG461" s="1021"/>
      <c r="BH461" s="1021"/>
      <c r="BI461" s="1021"/>
      <c r="BJ461" s="1021"/>
      <c r="BK461" s="1021"/>
      <c r="BL461" s="1021"/>
      <c r="BM461" s="1021"/>
      <c r="BN461" s="1021"/>
      <c r="BO461" s="1021"/>
      <c r="BP461" s="1021"/>
      <c r="BQ461" s="1021"/>
      <c r="BR461" s="1021"/>
      <c r="BS461" s="1021"/>
      <c r="BT461" s="1021"/>
      <c r="BU461" s="1021"/>
      <c r="BV461" s="1021"/>
      <c r="BW461" s="1021"/>
      <c r="BX461" s="1021"/>
      <c r="BY461" s="1021"/>
      <c r="BZ461" s="1021"/>
      <c r="CA461" s="1021"/>
      <c r="CB461" s="1021"/>
      <c r="CC461" s="1021"/>
    </row>
    <row r="462" spans="8:81" x14ac:dyDescent="0.25">
      <c r="H462" s="1021"/>
      <c r="I462" s="1021"/>
      <c r="J462" s="1021"/>
      <c r="K462" s="1021"/>
      <c r="L462" s="1021"/>
      <c r="M462" s="1021"/>
      <c r="N462" s="1021"/>
      <c r="O462" s="1021"/>
      <c r="P462" s="1021"/>
      <c r="Q462" s="1021"/>
      <c r="R462" s="1021"/>
      <c r="S462" s="1021"/>
      <c r="T462" s="1021"/>
      <c r="U462" s="1021"/>
      <c r="V462" s="1021"/>
      <c r="W462" s="1021"/>
      <c r="X462" s="1021"/>
      <c r="Y462" s="1021"/>
      <c r="Z462" s="1021"/>
      <c r="AA462" s="1021"/>
      <c r="AB462" s="1021"/>
      <c r="AC462" s="1021"/>
      <c r="AD462" s="1021"/>
      <c r="AE462" s="1021"/>
      <c r="AF462" s="1021"/>
      <c r="AG462" s="1021"/>
      <c r="AH462" s="1021"/>
      <c r="AI462" s="1021"/>
      <c r="AJ462" s="1021"/>
      <c r="AK462" s="1021"/>
      <c r="AL462" s="1021"/>
      <c r="AM462" s="1021"/>
      <c r="AN462" s="1021"/>
      <c r="AO462" s="1021"/>
      <c r="AP462" s="1021"/>
      <c r="AQ462" s="1021"/>
      <c r="AR462" s="1021"/>
      <c r="AS462" s="1021"/>
      <c r="AT462" s="1021"/>
      <c r="AU462" s="1021"/>
      <c r="AV462" s="1021"/>
      <c r="AW462" s="1021"/>
      <c r="AX462" s="1021"/>
      <c r="AY462" s="1021"/>
      <c r="AZ462" s="1021"/>
      <c r="BA462" s="1021"/>
      <c r="BB462" s="1021"/>
      <c r="BC462" s="1021"/>
      <c r="BD462" s="1021"/>
      <c r="BE462" s="1021"/>
      <c r="BF462" s="1021"/>
      <c r="BG462" s="1021"/>
      <c r="BH462" s="1021"/>
      <c r="BI462" s="1021"/>
      <c r="BJ462" s="1021"/>
      <c r="BK462" s="1021"/>
      <c r="BL462" s="1021"/>
      <c r="BM462" s="1021"/>
      <c r="BN462" s="1021"/>
      <c r="BO462" s="1021"/>
      <c r="BP462" s="1021"/>
      <c r="BQ462" s="1021"/>
      <c r="BR462" s="1021"/>
      <c r="BS462" s="1021"/>
      <c r="BT462" s="1021"/>
      <c r="BU462" s="1021"/>
      <c r="BV462" s="1021"/>
      <c r="BW462" s="1021"/>
      <c r="BX462" s="1021"/>
      <c r="BY462" s="1021"/>
      <c r="BZ462" s="1021"/>
      <c r="CA462" s="1021"/>
      <c r="CB462" s="1021"/>
      <c r="CC462" s="1021"/>
    </row>
    <row r="463" spans="8:81" x14ac:dyDescent="0.25">
      <c r="H463" s="1021"/>
      <c r="I463" s="1021"/>
      <c r="J463" s="1021"/>
      <c r="K463" s="1021"/>
      <c r="L463" s="1021"/>
      <c r="M463" s="1021"/>
      <c r="N463" s="1021"/>
      <c r="O463" s="1021"/>
      <c r="P463" s="1021"/>
      <c r="Q463" s="1021"/>
      <c r="R463" s="1021"/>
      <c r="S463" s="1021"/>
      <c r="T463" s="1021"/>
      <c r="U463" s="1021"/>
      <c r="V463" s="1021"/>
      <c r="W463" s="1021"/>
      <c r="X463" s="1021"/>
      <c r="Y463" s="1021"/>
      <c r="Z463" s="1021"/>
      <c r="AA463" s="1021"/>
      <c r="AB463" s="1021"/>
      <c r="AC463" s="1021"/>
      <c r="AD463" s="1021"/>
      <c r="AE463" s="1021"/>
      <c r="AF463" s="1021"/>
      <c r="AG463" s="1021"/>
      <c r="AH463" s="1021"/>
      <c r="AI463" s="1021"/>
      <c r="AJ463" s="1021"/>
      <c r="AK463" s="1021"/>
      <c r="AL463" s="1021"/>
      <c r="AM463" s="1021"/>
      <c r="AN463" s="1021"/>
      <c r="AO463" s="1021"/>
      <c r="AP463" s="1021"/>
      <c r="AQ463" s="1021"/>
      <c r="AR463" s="1021"/>
      <c r="AS463" s="1021"/>
      <c r="AT463" s="1021"/>
      <c r="AU463" s="1021"/>
      <c r="AV463" s="1021"/>
      <c r="AW463" s="1021"/>
      <c r="AX463" s="1021"/>
      <c r="AY463" s="1021"/>
      <c r="AZ463" s="1021"/>
      <c r="BA463" s="1021"/>
      <c r="BB463" s="1021"/>
      <c r="BC463" s="1021"/>
      <c r="BD463" s="1021"/>
      <c r="BE463" s="1021"/>
      <c r="BF463" s="1021"/>
      <c r="BG463" s="1021"/>
      <c r="BH463" s="1021"/>
      <c r="BI463" s="1021"/>
      <c r="BJ463" s="1021"/>
      <c r="BK463" s="1021"/>
      <c r="BL463" s="1021"/>
      <c r="BM463" s="1021"/>
      <c r="BN463" s="1021"/>
      <c r="BO463" s="1021"/>
      <c r="BP463" s="1021"/>
      <c r="BQ463" s="1021"/>
      <c r="BR463" s="1021"/>
      <c r="BS463" s="1021"/>
      <c r="BT463" s="1021"/>
      <c r="BU463" s="1021"/>
      <c r="BV463" s="1021"/>
      <c r="BW463" s="1021"/>
      <c r="BX463" s="1021"/>
      <c r="BY463" s="1021"/>
      <c r="BZ463" s="1021"/>
      <c r="CA463" s="1021"/>
      <c r="CB463" s="1021"/>
      <c r="CC463" s="1021"/>
    </row>
    <row r="464" spans="8:81" x14ac:dyDescent="0.25">
      <c r="H464" s="1021"/>
      <c r="I464" s="1021"/>
      <c r="J464" s="1021"/>
      <c r="K464" s="1021"/>
      <c r="L464" s="1021"/>
      <c r="M464" s="1021"/>
      <c r="N464" s="1021"/>
      <c r="O464" s="1021"/>
      <c r="P464" s="1021"/>
      <c r="Q464" s="1021"/>
      <c r="R464" s="1021"/>
      <c r="S464" s="1021"/>
      <c r="T464" s="1021"/>
      <c r="U464" s="1021"/>
      <c r="V464" s="1021"/>
      <c r="W464" s="1021"/>
      <c r="X464" s="1021"/>
      <c r="Y464" s="1021"/>
      <c r="Z464" s="1021"/>
      <c r="AA464" s="1021"/>
      <c r="AB464" s="1021"/>
      <c r="AC464" s="1021"/>
      <c r="AD464" s="1021"/>
      <c r="AE464" s="1021"/>
      <c r="AF464" s="1021"/>
      <c r="AG464" s="1021"/>
      <c r="AH464" s="1021"/>
      <c r="AI464" s="1021"/>
      <c r="AJ464" s="1021"/>
      <c r="AK464" s="1021"/>
      <c r="AL464" s="1021"/>
      <c r="AM464" s="1021"/>
      <c r="AN464" s="1021"/>
      <c r="AO464" s="1021"/>
      <c r="AP464" s="1021"/>
      <c r="AQ464" s="1021"/>
      <c r="AR464" s="1021"/>
      <c r="AS464" s="1021"/>
      <c r="AT464" s="1021"/>
      <c r="AU464" s="1021"/>
      <c r="AV464" s="1021"/>
      <c r="AW464" s="1021"/>
      <c r="AX464" s="1021"/>
      <c r="AY464" s="1021"/>
      <c r="AZ464" s="1021"/>
      <c r="BA464" s="1021"/>
      <c r="BB464" s="1021"/>
      <c r="BC464" s="1021"/>
      <c r="BD464" s="1021"/>
      <c r="BE464" s="1021"/>
      <c r="BF464" s="1021"/>
      <c r="BG464" s="1021"/>
      <c r="BH464" s="1021"/>
      <c r="BI464" s="1021"/>
      <c r="BJ464" s="1021"/>
      <c r="BK464" s="1021"/>
      <c r="BL464" s="1021"/>
      <c r="BM464" s="1021"/>
      <c r="BN464" s="1021"/>
      <c r="BO464" s="1021"/>
      <c r="BP464" s="1021"/>
      <c r="BQ464" s="1021"/>
      <c r="BR464" s="1021"/>
      <c r="BS464" s="1021"/>
      <c r="BT464" s="1021"/>
      <c r="BU464" s="1021"/>
      <c r="BV464" s="1021"/>
      <c r="BW464" s="1021"/>
      <c r="BX464" s="1021"/>
      <c r="BY464" s="1021"/>
      <c r="BZ464" s="1021"/>
      <c r="CA464" s="1021"/>
      <c r="CB464" s="1021"/>
      <c r="CC464" s="1021"/>
    </row>
    <row r="465" spans="8:81" x14ac:dyDescent="0.25">
      <c r="H465" s="1021"/>
      <c r="I465" s="1021"/>
      <c r="J465" s="1021"/>
      <c r="K465" s="1021"/>
      <c r="L465" s="1021"/>
      <c r="M465" s="1021"/>
      <c r="N465" s="1021"/>
      <c r="O465" s="1021"/>
      <c r="P465" s="1021"/>
      <c r="Q465" s="1021"/>
      <c r="R465" s="1021"/>
      <c r="S465" s="1021"/>
      <c r="T465" s="1021"/>
      <c r="U465" s="1021"/>
      <c r="V465" s="1021"/>
      <c r="W465" s="1021"/>
      <c r="X465" s="1021"/>
      <c r="Y465" s="1021"/>
      <c r="Z465" s="1021"/>
      <c r="AA465" s="1021"/>
      <c r="AB465" s="1021"/>
      <c r="AC465" s="1021"/>
      <c r="AD465" s="1021"/>
      <c r="AE465" s="1021"/>
      <c r="AF465" s="1021"/>
      <c r="AG465" s="1021"/>
      <c r="AH465" s="1021"/>
      <c r="AI465" s="1021"/>
      <c r="AJ465" s="1021"/>
      <c r="AK465" s="1021"/>
      <c r="AL465" s="1021"/>
      <c r="AM465" s="1021"/>
      <c r="AN465" s="1021"/>
      <c r="AO465" s="1021"/>
      <c r="AP465" s="1021"/>
      <c r="AQ465" s="1021"/>
      <c r="AR465" s="1021"/>
      <c r="AS465" s="1021"/>
      <c r="AT465" s="1021"/>
      <c r="AU465" s="1021"/>
      <c r="AV465" s="1021"/>
      <c r="AW465" s="1021"/>
      <c r="AX465" s="1021"/>
      <c r="AY465" s="1021"/>
      <c r="AZ465" s="1021"/>
      <c r="BA465" s="1021"/>
      <c r="BB465" s="1021"/>
      <c r="BC465" s="1021"/>
      <c r="BD465" s="1021"/>
      <c r="BE465" s="1021"/>
      <c r="BF465" s="1021"/>
      <c r="BG465" s="1021"/>
      <c r="BH465" s="1021"/>
      <c r="BI465" s="1021"/>
      <c r="BJ465" s="1021"/>
      <c r="BK465" s="1021"/>
      <c r="BL465" s="1021"/>
      <c r="BM465" s="1021"/>
      <c r="BN465" s="1021"/>
      <c r="BO465" s="1021"/>
      <c r="BP465" s="1021"/>
      <c r="BQ465" s="1021"/>
      <c r="BR465" s="1021"/>
      <c r="BS465" s="1021"/>
      <c r="BT465" s="1021"/>
      <c r="BU465" s="1021"/>
      <c r="BV465" s="1021"/>
      <c r="BW465" s="1021"/>
      <c r="BX465" s="1021"/>
      <c r="BY465" s="1021"/>
      <c r="BZ465" s="1021"/>
      <c r="CA465" s="1021"/>
      <c r="CB465" s="1021"/>
      <c r="CC465" s="1021"/>
    </row>
    <row r="466" spans="8:81" x14ac:dyDescent="0.25">
      <c r="H466" s="1021"/>
      <c r="I466" s="1021"/>
      <c r="J466" s="1021"/>
      <c r="K466" s="1021"/>
      <c r="L466" s="1021"/>
      <c r="M466" s="1021"/>
      <c r="N466" s="1021"/>
      <c r="O466" s="1021"/>
      <c r="P466" s="1021"/>
      <c r="Q466" s="1021"/>
      <c r="R466" s="1021"/>
      <c r="S466" s="1021"/>
      <c r="T466" s="1021"/>
      <c r="U466" s="1021"/>
      <c r="V466" s="1021"/>
      <c r="W466" s="1021"/>
      <c r="X466" s="1021"/>
      <c r="Y466" s="1021"/>
      <c r="Z466" s="1021"/>
      <c r="AA466" s="1021"/>
      <c r="AB466" s="1021"/>
      <c r="AC466" s="1021"/>
      <c r="AD466" s="1021"/>
      <c r="AE466" s="1021"/>
      <c r="AF466" s="1021"/>
      <c r="AG466" s="1021"/>
      <c r="AH466" s="1021"/>
      <c r="AI466" s="1021"/>
      <c r="AJ466" s="1021"/>
      <c r="AK466" s="1021"/>
      <c r="AL466" s="1021"/>
      <c r="AM466" s="1021"/>
      <c r="AN466" s="1021"/>
      <c r="AO466" s="1021"/>
      <c r="AP466" s="1021"/>
      <c r="AQ466" s="1021"/>
      <c r="AR466" s="1021"/>
      <c r="AS466" s="1021"/>
      <c r="AT466" s="1021"/>
      <c r="AU466" s="1021"/>
      <c r="AV466" s="1021"/>
      <c r="AW466" s="1021"/>
      <c r="AX466" s="1021"/>
      <c r="AY466" s="1021"/>
      <c r="AZ466" s="1021"/>
      <c r="BA466" s="1021"/>
      <c r="BB466" s="1021"/>
      <c r="BC466" s="1021"/>
      <c r="BD466" s="1021"/>
      <c r="BE466" s="1021"/>
      <c r="BF466" s="1021"/>
      <c r="BG466" s="1021"/>
      <c r="BH466" s="1021"/>
      <c r="BI466" s="1021"/>
      <c r="BJ466" s="1021"/>
      <c r="BK466" s="1021"/>
      <c r="BL466" s="1021"/>
      <c r="BM466" s="1021"/>
      <c r="BN466" s="1021"/>
      <c r="BO466" s="1021"/>
      <c r="BP466" s="1021"/>
      <c r="BQ466" s="1021"/>
      <c r="BR466" s="1021"/>
      <c r="BS466" s="1021"/>
      <c r="BT466" s="1021"/>
      <c r="BU466" s="1021"/>
      <c r="BV466" s="1021"/>
      <c r="BW466" s="1021"/>
      <c r="BX466" s="1021"/>
      <c r="BY466" s="1021"/>
      <c r="BZ466" s="1021"/>
      <c r="CA466" s="1021"/>
      <c r="CB466" s="1021"/>
      <c r="CC466" s="1021"/>
    </row>
    <row r="467" spans="8:81" x14ac:dyDescent="0.25">
      <c r="H467" s="1021"/>
      <c r="I467" s="1021"/>
      <c r="J467" s="1021"/>
      <c r="K467" s="1021"/>
      <c r="L467" s="1021"/>
      <c r="M467" s="1021"/>
      <c r="N467" s="1021"/>
      <c r="O467" s="1021"/>
      <c r="P467" s="1021"/>
      <c r="Q467" s="1021"/>
      <c r="R467" s="1021"/>
      <c r="S467" s="1021"/>
      <c r="T467" s="1021"/>
      <c r="U467" s="1021"/>
      <c r="V467" s="1021"/>
      <c r="W467" s="1021"/>
      <c r="X467" s="1021"/>
      <c r="Y467" s="1021"/>
      <c r="Z467" s="1021"/>
      <c r="AA467" s="1021"/>
      <c r="AB467" s="1021"/>
      <c r="AC467" s="1021"/>
      <c r="AD467" s="1021"/>
      <c r="AE467" s="1021"/>
      <c r="AF467" s="1021"/>
      <c r="AG467" s="1021"/>
      <c r="AH467" s="1021"/>
      <c r="AI467" s="1021"/>
      <c r="AJ467" s="1021"/>
      <c r="AK467" s="1021"/>
      <c r="AL467" s="1021"/>
      <c r="AM467" s="1021"/>
      <c r="AN467" s="1021"/>
      <c r="AO467" s="1021"/>
      <c r="AP467" s="1021"/>
      <c r="AQ467" s="1021"/>
      <c r="AR467" s="1021"/>
      <c r="AS467" s="1021"/>
      <c r="AT467" s="1021"/>
      <c r="AU467" s="1021"/>
      <c r="AV467" s="1021"/>
      <c r="AW467" s="1021"/>
      <c r="AX467" s="1021"/>
      <c r="AY467" s="1021"/>
      <c r="AZ467" s="1021"/>
      <c r="BA467" s="1021"/>
      <c r="BB467" s="1021"/>
      <c r="BC467" s="1021"/>
      <c r="BD467" s="1021"/>
      <c r="BE467" s="1021"/>
      <c r="BF467" s="1021"/>
      <c r="BG467" s="1021"/>
      <c r="BH467" s="1021"/>
      <c r="BI467" s="1021"/>
      <c r="BJ467" s="1021"/>
      <c r="BK467" s="1021"/>
      <c r="BL467" s="1021"/>
      <c r="BM467" s="1021"/>
      <c r="BN467" s="1021"/>
      <c r="BO467" s="1021"/>
      <c r="BP467" s="1021"/>
      <c r="BQ467" s="1021"/>
      <c r="BR467" s="1021"/>
      <c r="BS467" s="1021"/>
      <c r="BT467" s="1021"/>
      <c r="BU467" s="1021"/>
      <c r="BV467" s="1021"/>
      <c r="BW467" s="1021"/>
      <c r="BX467" s="1021"/>
      <c r="BY467" s="1021"/>
      <c r="BZ467" s="1021"/>
      <c r="CA467" s="1021"/>
      <c r="CB467" s="1021"/>
      <c r="CC467" s="1021"/>
    </row>
    <row r="468" spans="8:81" x14ac:dyDescent="0.25">
      <c r="H468" s="1021"/>
      <c r="I468" s="1021"/>
      <c r="J468" s="1021"/>
      <c r="K468" s="1021"/>
      <c r="L468" s="1021"/>
      <c r="M468" s="1021"/>
      <c r="N468" s="1021"/>
      <c r="O468" s="1021"/>
      <c r="P468" s="1021"/>
      <c r="Q468" s="1021"/>
      <c r="R468" s="1021"/>
      <c r="S468" s="1021"/>
      <c r="T468" s="1021"/>
      <c r="U468" s="1021"/>
      <c r="V468" s="1021"/>
      <c r="W468" s="1021"/>
      <c r="X468" s="1021"/>
      <c r="Y468" s="1021"/>
      <c r="Z468" s="1021"/>
      <c r="AA468" s="1021"/>
      <c r="AB468" s="1021"/>
      <c r="AC468" s="1021"/>
      <c r="AD468" s="1021"/>
      <c r="AE468" s="1021"/>
      <c r="AF468" s="1021"/>
      <c r="AG468" s="1021"/>
      <c r="AH468" s="1021"/>
      <c r="AI468" s="1021"/>
      <c r="AJ468" s="1021"/>
      <c r="AK468" s="1021"/>
      <c r="AL468" s="1021"/>
      <c r="AM468" s="1021"/>
      <c r="AN468" s="1021"/>
      <c r="AO468" s="1021"/>
      <c r="AP468" s="1021"/>
      <c r="AQ468" s="1021"/>
      <c r="AR468" s="1021"/>
      <c r="AS468" s="1021"/>
      <c r="AT468" s="1021"/>
      <c r="AU468" s="1021"/>
      <c r="AV468" s="1021"/>
      <c r="AW468" s="1021"/>
      <c r="AX468" s="1021"/>
      <c r="AY468" s="1021"/>
      <c r="AZ468" s="1021"/>
      <c r="BA468" s="1021"/>
      <c r="BB468" s="1021"/>
      <c r="BC468" s="1021"/>
      <c r="BD468" s="1021"/>
      <c r="BE468" s="1021"/>
      <c r="BF468" s="1021"/>
      <c r="BG468" s="1021"/>
      <c r="BH468" s="1021"/>
      <c r="BI468" s="1021"/>
      <c r="BJ468" s="1021"/>
      <c r="BK468" s="1021"/>
      <c r="BL468" s="1021"/>
      <c r="BM468" s="1021"/>
      <c r="BN468" s="1021"/>
      <c r="BO468" s="1021"/>
      <c r="BP468" s="1021"/>
      <c r="BQ468" s="1021"/>
      <c r="BR468" s="1021"/>
      <c r="BS468" s="1021"/>
      <c r="BT468" s="1021"/>
      <c r="BU468" s="1021"/>
      <c r="BV468" s="1021"/>
      <c r="BW468" s="1021"/>
      <c r="BX468" s="1021"/>
      <c r="BY468" s="1021"/>
      <c r="BZ468" s="1021"/>
      <c r="CA468" s="1021"/>
      <c r="CB468" s="1021"/>
      <c r="CC468" s="1021"/>
    </row>
    <row r="469" spans="8:81" x14ac:dyDescent="0.25">
      <c r="H469" s="1021"/>
      <c r="I469" s="1021"/>
      <c r="J469" s="1021"/>
      <c r="K469" s="1021"/>
      <c r="L469" s="1021"/>
      <c r="M469" s="1021"/>
      <c r="N469" s="1021"/>
      <c r="O469" s="1021"/>
      <c r="P469" s="1021"/>
      <c r="Q469" s="1021"/>
      <c r="R469" s="1021"/>
      <c r="S469" s="1021"/>
      <c r="T469" s="1021"/>
      <c r="U469" s="1021"/>
      <c r="V469" s="1021"/>
      <c r="W469" s="1021"/>
      <c r="X469" s="1021"/>
      <c r="Y469" s="1021"/>
      <c r="Z469" s="1021"/>
      <c r="AA469" s="1021"/>
      <c r="AB469" s="1021"/>
      <c r="AC469" s="1021"/>
      <c r="AD469" s="1021"/>
      <c r="AE469" s="1021"/>
      <c r="AF469" s="1021"/>
      <c r="AG469" s="1021"/>
      <c r="AH469" s="1021"/>
      <c r="AI469" s="1021"/>
      <c r="AJ469" s="1021"/>
      <c r="AK469" s="1021"/>
      <c r="AL469" s="1021"/>
      <c r="AM469" s="1021"/>
      <c r="AN469" s="1021"/>
      <c r="AO469" s="1021"/>
      <c r="AP469" s="1021"/>
      <c r="AQ469" s="1021"/>
      <c r="AR469" s="1021"/>
      <c r="AS469" s="1021"/>
      <c r="AT469" s="1021"/>
      <c r="AU469" s="1021"/>
      <c r="AV469" s="1021"/>
      <c r="AW469" s="1021"/>
      <c r="AX469" s="1021"/>
      <c r="AY469" s="1021"/>
      <c r="AZ469" s="1021"/>
      <c r="BA469" s="1021"/>
      <c r="BB469" s="1021"/>
      <c r="BC469" s="1021"/>
      <c r="BD469" s="1021"/>
      <c r="BE469" s="1021"/>
      <c r="BF469" s="1021"/>
      <c r="BG469" s="1021"/>
      <c r="BH469" s="1021"/>
      <c r="BI469" s="1021"/>
      <c r="BJ469" s="1021"/>
      <c r="BK469" s="1021"/>
      <c r="BL469" s="1021"/>
      <c r="BM469" s="1021"/>
      <c r="BN469" s="1021"/>
      <c r="BO469" s="1021"/>
      <c r="BP469" s="1021"/>
      <c r="BQ469" s="1021"/>
      <c r="BR469" s="1021"/>
      <c r="BS469" s="1021"/>
      <c r="BT469" s="1021"/>
      <c r="BU469" s="1021"/>
      <c r="BV469" s="1021"/>
      <c r="BW469" s="1021"/>
      <c r="BX469" s="1021"/>
      <c r="BY469" s="1021"/>
      <c r="BZ469" s="1021"/>
      <c r="CA469" s="1021"/>
      <c r="CB469" s="1021"/>
      <c r="CC469" s="1021"/>
    </row>
    <row r="470" spans="8:81" x14ac:dyDescent="0.25">
      <c r="H470" s="1021"/>
      <c r="I470" s="1021"/>
      <c r="J470" s="1021"/>
      <c r="K470" s="1021"/>
      <c r="L470" s="1021"/>
      <c r="M470" s="1021"/>
      <c r="N470" s="1021"/>
      <c r="O470" s="1021"/>
      <c r="P470" s="1021"/>
      <c r="Q470" s="1021"/>
      <c r="R470" s="1021"/>
      <c r="S470" s="1021"/>
      <c r="T470" s="1021"/>
      <c r="U470" s="1021"/>
      <c r="V470" s="1021"/>
      <c r="W470" s="1021"/>
      <c r="X470" s="1021"/>
      <c r="Y470" s="1021"/>
      <c r="Z470" s="1021"/>
      <c r="AA470" s="1021"/>
      <c r="AB470" s="1021"/>
      <c r="AC470" s="1021"/>
      <c r="AD470" s="1021"/>
      <c r="AE470" s="1021"/>
      <c r="AF470" s="1021"/>
      <c r="AG470" s="1021"/>
      <c r="AH470" s="1021"/>
      <c r="AI470" s="1021"/>
      <c r="AJ470" s="1021"/>
      <c r="AK470" s="1021"/>
      <c r="AL470" s="1021"/>
      <c r="AM470" s="1021"/>
      <c r="AN470" s="1021"/>
      <c r="AO470" s="1021"/>
      <c r="AP470" s="1021"/>
      <c r="AQ470" s="1021"/>
      <c r="AR470" s="1021"/>
      <c r="AS470" s="1021"/>
      <c r="AT470" s="1021"/>
      <c r="AU470" s="1021"/>
      <c r="AV470" s="1021"/>
      <c r="AW470" s="1021"/>
      <c r="AX470" s="1021"/>
      <c r="AY470" s="1021"/>
      <c r="AZ470" s="1021"/>
      <c r="BA470" s="1021"/>
      <c r="BB470" s="1021"/>
      <c r="BC470" s="1021"/>
      <c r="BD470" s="1021"/>
      <c r="BE470" s="1021"/>
      <c r="BF470" s="1021"/>
      <c r="BG470" s="1021"/>
      <c r="BH470" s="1021"/>
      <c r="BI470" s="1021"/>
      <c r="BJ470" s="1021"/>
      <c r="BK470" s="1021"/>
      <c r="BL470" s="1021"/>
      <c r="BM470" s="1021"/>
      <c r="BN470" s="1021"/>
      <c r="BO470" s="1021"/>
      <c r="BP470" s="1021"/>
      <c r="BQ470" s="1021"/>
      <c r="BR470" s="1021"/>
      <c r="BS470" s="1021"/>
      <c r="BT470" s="1021"/>
      <c r="BU470" s="1021"/>
      <c r="BV470" s="1021"/>
      <c r="BW470" s="1021"/>
      <c r="BX470" s="1021"/>
      <c r="BY470" s="1021"/>
      <c r="BZ470" s="1021"/>
      <c r="CA470" s="1021"/>
      <c r="CB470" s="1021"/>
      <c r="CC470" s="1021"/>
    </row>
    <row r="471" spans="8:81" x14ac:dyDescent="0.25">
      <c r="H471" s="1021"/>
      <c r="I471" s="1021"/>
      <c r="J471" s="1021"/>
      <c r="K471" s="1021"/>
      <c r="L471" s="1021"/>
      <c r="M471" s="1021"/>
      <c r="N471" s="1021"/>
      <c r="O471" s="1021"/>
      <c r="P471" s="1021"/>
      <c r="Q471" s="1021"/>
      <c r="R471" s="1021"/>
      <c r="S471" s="1021"/>
      <c r="T471" s="1021"/>
      <c r="U471" s="1021"/>
      <c r="V471" s="1021"/>
      <c r="W471" s="1021"/>
      <c r="X471" s="1021"/>
      <c r="Y471" s="1021"/>
      <c r="Z471" s="1021"/>
      <c r="AA471" s="1021"/>
      <c r="AB471" s="1021"/>
      <c r="AC471" s="1021"/>
      <c r="AD471" s="1021"/>
      <c r="AE471" s="1021"/>
      <c r="AF471" s="1021"/>
      <c r="AG471" s="1021"/>
      <c r="AH471" s="1021"/>
      <c r="AI471" s="1021"/>
      <c r="AJ471" s="1021"/>
      <c r="AK471" s="1021"/>
      <c r="AL471" s="1021"/>
      <c r="AM471" s="1021"/>
      <c r="AN471" s="1021"/>
      <c r="AO471" s="1021"/>
      <c r="AP471" s="1021"/>
      <c r="AQ471" s="1021"/>
      <c r="AR471" s="1021"/>
      <c r="AS471" s="1021"/>
      <c r="AT471" s="1021"/>
      <c r="AU471" s="1021"/>
      <c r="AV471" s="1021"/>
      <c r="AW471" s="1021"/>
      <c r="AX471" s="1021"/>
      <c r="AY471" s="1021"/>
      <c r="AZ471" s="1021"/>
      <c r="BA471" s="1021"/>
      <c r="BB471" s="1021"/>
      <c r="BC471" s="1021"/>
      <c r="BD471" s="1021"/>
      <c r="BE471" s="1021"/>
      <c r="BF471" s="1021"/>
      <c r="BG471" s="1021"/>
      <c r="BH471" s="1021"/>
      <c r="BI471" s="1021"/>
      <c r="BJ471" s="1021"/>
      <c r="BK471" s="1021"/>
      <c r="BL471" s="1021"/>
      <c r="BM471" s="1021"/>
      <c r="BN471" s="1021"/>
      <c r="BO471" s="1021"/>
      <c r="BP471" s="1021"/>
      <c r="BQ471" s="1021"/>
      <c r="BR471" s="1021"/>
      <c r="BS471" s="1021"/>
      <c r="BT471" s="1021"/>
      <c r="BU471" s="1021"/>
      <c r="BV471" s="1021"/>
      <c r="BW471" s="1021"/>
      <c r="BX471" s="1021"/>
      <c r="BY471" s="1021"/>
      <c r="BZ471" s="1021"/>
      <c r="CA471" s="1021"/>
      <c r="CB471" s="1021"/>
      <c r="CC471" s="1021"/>
    </row>
    <row r="472" spans="8:81" x14ac:dyDescent="0.25">
      <c r="H472" s="1021"/>
      <c r="I472" s="1021"/>
      <c r="J472" s="1021"/>
      <c r="K472" s="1021"/>
      <c r="L472" s="1021"/>
      <c r="M472" s="1021"/>
      <c r="N472" s="1021"/>
      <c r="O472" s="1021"/>
      <c r="P472" s="1021"/>
      <c r="Q472" s="1021"/>
      <c r="R472" s="1021"/>
      <c r="S472" s="1021"/>
      <c r="T472" s="1021"/>
      <c r="U472" s="1021"/>
      <c r="V472" s="1021"/>
      <c r="W472" s="1021"/>
      <c r="X472" s="1021"/>
      <c r="Y472" s="1021"/>
      <c r="Z472" s="1021"/>
      <c r="AA472" s="1021"/>
      <c r="AB472" s="1021"/>
      <c r="AC472" s="1021"/>
      <c r="AD472" s="1021"/>
      <c r="AE472" s="1021"/>
      <c r="AF472" s="1021"/>
      <c r="AG472" s="1021"/>
      <c r="AH472" s="1021"/>
      <c r="AI472" s="1021"/>
      <c r="AJ472" s="1021"/>
      <c r="AK472" s="1021"/>
      <c r="AL472" s="1021"/>
      <c r="AM472" s="1021"/>
      <c r="AN472" s="1021"/>
      <c r="AO472" s="1021"/>
      <c r="AP472" s="1021"/>
      <c r="AQ472" s="1021"/>
      <c r="AR472" s="1021"/>
      <c r="AS472" s="1021"/>
      <c r="AT472" s="1021"/>
      <c r="AU472" s="1021"/>
      <c r="AV472" s="1021"/>
      <c r="AW472" s="1021"/>
      <c r="AX472" s="1021"/>
      <c r="AY472" s="1021"/>
      <c r="AZ472" s="1021"/>
      <c r="BA472" s="1021"/>
      <c r="BB472" s="1021"/>
      <c r="BC472" s="1021"/>
      <c r="BD472" s="1021"/>
      <c r="BE472" s="1021"/>
      <c r="BF472" s="1021"/>
      <c r="BG472" s="1021"/>
      <c r="BH472" s="1021"/>
      <c r="BI472" s="1021"/>
      <c r="BJ472" s="1021"/>
      <c r="BK472" s="1021"/>
      <c r="BL472" s="1021"/>
      <c r="BM472" s="1021"/>
      <c r="BN472" s="1021"/>
      <c r="BO472" s="1021"/>
      <c r="BP472" s="1021"/>
      <c r="BQ472" s="1021"/>
      <c r="BR472" s="1021"/>
      <c r="BS472" s="1021"/>
      <c r="BT472" s="1021"/>
      <c r="BU472" s="1021"/>
      <c r="BV472" s="1021"/>
      <c r="BW472" s="1021"/>
      <c r="BX472" s="1021"/>
      <c r="BY472" s="1021"/>
      <c r="BZ472" s="1021"/>
      <c r="CA472" s="1021"/>
      <c r="CB472" s="1021"/>
      <c r="CC472" s="1021"/>
    </row>
    <row r="473" spans="8:81" x14ac:dyDescent="0.25">
      <c r="H473" s="1021"/>
      <c r="I473" s="1021"/>
      <c r="J473" s="1021"/>
      <c r="K473" s="1021"/>
      <c r="L473" s="1021"/>
      <c r="M473" s="1021"/>
      <c r="N473" s="1021"/>
      <c r="O473" s="1021"/>
      <c r="P473" s="1021"/>
      <c r="Q473" s="1021"/>
      <c r="R473" s="1021"/>
      <c r="S473" s="1021"/>
      <c r="T473" s="1021"/>
      <c r="U473" s="1021"/>
      <c r="V473" s="1021"/>
      <c r="W473" s="1021"/>
      <c r="X473" s="1021"/>
      <c r="Y473" s="1021"/>
      <c r="Z473" s="1021"/>
      <c r="AA473" s="1021"/>
      <c r="AB473" s="1021"/>
      <c r="AC473" s="1021"/>
      <c r="AD473" s="1021"/>
      <c r="AE473" s="1021"/>
      <c r="AF473" s="1021"/>
      <c r="AG473" s="1021"/>
      <c r="AH473" s="1021"/>
      <c r="AI473" s="1021"/>
      <c r="AJ473" s="1021"/>
      <c r="AK473" s="1021"/>
      <c r="AL473" s="1021"/>
      <c r="AM473" s="1021"/>
      <c r="AN473" s="1021"/>
      <c r="AO473" s="1021"/>
      <c r="AP473" s="1021"/>
      <c r="AQ473" s="1021"/>
      <c r="AR473" s="1021"/>
      <c r="AS473" s="1021"/>
      <c r="AT473" s="1021"/>
      <c r="AU473" s="1021"/>
      <c r="AV473" s="1021"/>
      <c r="AW473" s="1021"/>
      <c r="AX473" s="1021"/>
      <c r="AY473" s="1021"/>
      <c r="AZ473" s="1021"/>
      <c r="BA473" s="1021"/>
      <c r="BB473" s="1021"/>
      <c r="BC473" s="1021"/>
      <c r="BD473" s="1021"/>
      <c r="BE473" s="1021"/>
      <c r="BF473" s="1021"/>
      <c r="BG473" s="1021"/>
      <c r="BH473" s="1021"/>
      <c r="BI473" s="1021"/>
      <c r="BJ473" s="1021"/>
      <c r="BK473" s="1021"/>
      <c r="BL473" s="1021"/>
      <c r="BM473" s="1021"/>
      <c r="BN473" s="1021"/>
      <c r="BO473" s="1021"/>
      <c r="BP473" s="1021"/>
      <c r="BQ473" s="1021"/>
      <c r="BR473" s="1021"/>
      <c r="BS473" s="1021"/>
      <c r="BT473" s="1021"/>
      <c r="BU473" s="1021"/>
      <c r="BV473" s="1021"/>
      <c r="BW473" s="1021"/>
      <c r="BX473" s="1021"/>
      <c r="BY473" s="1021"/>
      <c r="BZ473" s="1021"/>
      <c r="CA473" s="1021"/>
      <c r="CB473" s="1021"/>
      <c r="CC473" s="1021"/>
    </row>
    <row r="474" spans="8:81" x14ac:dyDescent="0.25">
      <c r="H474" s="1021"/>
      <c r="I474" s="1021"/>
      <c r="J474" s="1021"/>
      <c r="K474" s="1021"/>
      <c r="L474" s="1021"/>
      <c r="M474" s="1021"/>
      <c r="N474" s="1021"/>
      <c r="O474" s="1021"/>
      <c r="P474" s="1021"/>
      <c r="Q474" s="1021"/>
      <c r="R474" s="1021"/>
      <c r="S474" s="1021"/>
      <c r="T474" s="1021"/>
      <c r="U474" s="1021"/>
      <c r="V474" s="1021"/>
      <c r="W474" s="1021"/>
      <c r="X474" s="1021"/>
      <c r="Y474" s="1021"/>
      <c r="Z474" s="1021"/>
      <c r="AA474" s="1021"/>
      <c r="AB474" s="1021"/>
      <c r="AC474" s="1021"/>
      <c r="AD474" s="1021"/>
      <c r="AE474" s="1021"/>
      <c r="AF474" s="1021"/>
      <c r="AG474" s="1021"/>
      <c r="AH474" s="1021"/>
      <c r="AI474" s="1021"/>
      <c r="AJ474" s="1021"/>
      <c r="AK474" s="1021"/>
      <c r="AL474" s="1021"/>
      <c r="AM474" s="1021"/>
      <c r="AN474" s="1021"/>
      <c r="AO474" s="1021"/>
      <c r="AP474" s="1021"/>
      <c r="AQ474" s="1021"/>
      <c r="AR474" s="1021"/>
      <c r="AS474" s="1021"/>
      <c r="AT474" s="1021"/>
      <c r="AU474" s="1021"/>
      <c r="AV474" s="1021"/>
      <c r="AW474" s="1021"/>
      <c r="AX474" s="1021"/>
      <c r="AY474" s="1021"/>
      <c r="AZ474" s="1021"/>
      <c r="BA474" s="1021"/>
      <c r="BB474" s="1021"/>
      <c r="BC474" s="1021"/>
      <c r="BD474" s="1021"/>
      <c r="BE474" s="1021"/>
      <c r="BF474" s="1021"/>
      <c r="BG474" s="1021"/>
      <c r="BH474" s="1021"/>
      <c r="BI474" s="1021"/>
      <c r="BJ474" s="1021"/>
      <c r="BK474" s="1021"/>
      <c r="BL474" s="1021"/>
      <c r="BM474" s="1021"/>
      <c r="BN474" s="1021"/>
      <c r="BO474" s="1021"/>
      <c r="BP474" s="1021"/>
      <c r="BQ474" s="1021"/>
      <c r="BR474" s="1021"/>
      <c r="BS474" s="1021"/>
      <c r="BT474" s="1021"/>
      <c r="BU474" s="1021"/>
      <c r="BV474" s="1021"/>
      <c r="BW474" s="1021"/>
      <c r="BX474" s="1021"/>
      <c r="BY474" s="1021"/>
      <c r="BZ474" s="1021"/>
      <c r="CA474" s="1021"/>
      <c r="CB474" s="1021"/>
      <c r="CC474" s="1021"/>
    </row>
    <row r="475" spans="8:81" x14ac:dyDescent="0.25">
      <c r="H475" s="1021"/>
      <c r="I475" s="1021"/>
      <c r="J475" s="1021"/>
      <c r="K475" s="1021"/>
      <c r="L475" s="1021"/>
      <c r="M475" s="1021"/>
      <c r="N475" s="1021"/>
      <c r="O475" s="1021"/>
      <c r="P475" s="1021"/>
      <c r="Q475" s="1021"/>
      <c r="R475" s="1021"/>
      <c r="S475" s="1021"/>
      <c r="T475" s="1021"/>
      <c r="U475" s="1021"/>
      <c r="V475" s="1021"/>
      <c r="W475" s="1021"/>
      <c r="X475" s="1021"/>
      <c r="Y475" s="1021"/>
      <c r="Z475" s="1021"/>
      <c r="AA475" s="1021"/>
      <c r="AB475" s="1021"/>
      <c r="AC475" s="1021"/>
      <c r="AD475" s="1021"/>
      <c r="AE475" s="1021"/>
      <c r="AF475" s="1021"/>
      <c r="AG475" s="1021"/>
      <c r="AH475" s="1021"/>
      <c r="AI475" s="1021"/>
      <c r="AJ475" s="1021"/>
      <c r="AK475" s="1021"/>
      <c r="AL475" s="1021"/>
      <c r="AM475" s="1021"/>
      <c r="AN475" s="1021"/>
      <c r="AO475" s="1021"/>
      <c r="AP475" s="1021"/>
      <c r="AQ475" s="1021"/>
      <c r="AR475" s="1021"/>
      <c r="AS475" s="1021"/>
      <c r="AT475" s="1021"/>
      <c r="AU475" s="1021"/>
      <c r="AV475" s="1021"/>
      <c r="AW475" s="1021"/>
      <c r="AX475" s="1021"/>
      <c r="AY475" s="1021"/>
      <c r="AZ475" s="1021"/>
      <c r="BA475" s="1021"/>
      <c r="BB475" s="1021"/>
      <c r="BC475" s="1021"/>
      <c r="BD475" s="1021"/>
      <c r="BE475" s="1021"/>
      <c r="BF475" s="1021"/>
      <c r="BG475" s="1021"/>
      <c r="BH475" s="1021"/>
      <c r="BI475" s="1021"/>
      <c r="BJ475" s="1021"/>
      <c r="BK475" s="1021"/>
      <c r="BL475" s="1021"/>
      <c r="BM475" s="1021"/>
      <c r="BN475" s="1021"/>
      <c r="BO475" s="1021"/>
      <c r="BP475" s="1021"/>
      <c r="BQ475" s="1021"/>
      <c r="BR475" s="1021"/>
      <c r="BS475" s="1021"/>
      <c r="BT475" s="1021"/>
      <c r="BU475" s="1021"/>
      <c r="BV475" s="1021"/>
      <c r="BW475" s="1021"/>
      <c r="BX475" s="1021"/>
      <c r="BY475" s="1021"/>
      <c r="BZ475" s="1021"/>
      <c r="CA475" s="1021"/>
      <c r="CB475" s="1021"/>
      <c r="CC475" s="1021"/>
    </row>
    <row r="476" spans="8:81" x14ac:dyDescent="0.25">
      <c r="H476" s="1021"/>
      <c r="I476" s="1021"/>
      <c r="J476" s="1021"/>
      <c r="K476" s="1021"/>
      <c r="L476" s="1021"/>
      <c r="M476" s="1021"/>
      <c r="N476" s="1021"/>
      <c r="O476" s="1021"/>
      <c r="P476" s="1021"/>
      <c r="Q476" s="1021"/>
      <c r="R476" s="1021"/>
      <c r="S476" s="1021"/>
      <c r="T476" s="1021"/>
      <c r="U476" s="1021"/>
      <c r="V476" s="1021"/>
      <c r="W476" s="1021"/>
      <c r="X476" s="1021"/>
      <c r="Y476" s="1021"/>
      <c r="Z476" s="1021"/>
      <c r="AA476" s="1021"/>
      <c r="AB476" s="1021"/>
      <c r="AC476" s="1021"/>
      <c r="AD476" s="1021"/>
      <c r="AE476" s="1021"/>
      <c r="AF476" s="1021"/>
      <c r="AG476" s="1021"/>
      <c r="AH476" s="1021"/>
      <c r="AI476" s="1021"/>
      <c r="AJ476" s="1021"/>
      <c r="AK476" s="1021"/>
      <c r="AL476" s="1021"/>
      <c r="AM476" s="1021"/>
      <c r="AN476" s="1021"/>
      <c r="AO476" s="1021"/>
      <c r="AP476" s="1021"/>
      <c r="AQ476" s="1021"/>
      <c r="AR476" s="1021"/>
      <c r="AS476" s="1021"/>
      <c r="AT476" s="1021"/>
      <c r="AU476" s="1021"/>
      <c r="AV476" s="1021"/>
      <c r="AW476" s="1021"/>
      <c r="AX476" s="1021"/>
      <c r="AY476" s="1021"/>
      <c r="AZ476" s="1021"/>
      <c r="BA476" s="1021"/>
      <c r="BB476" s="1021"/>
      <c r="BC476" s="1021"/>
      <c r="BD476" s="1021"/>
      <c r="BE476" s="1021"/>
      <c r="BF476" s="1021"/>
      <c r="BG476" s="1021"/>
      <c r="BH476" s="1021"/>
      <c r="BI476" s="1021"/>
      <c r="BJ476" s="1021"/>
      <c r="BK476" s="1021"/>
      <c r="BL476" s="1021"/>
      <c r="BM476" s="1021"/>
      <c r="BN476" s="1021"/>
      <c r="BO476" s="1021"/>
      <c r="BP476" s="1021"/>
      <c r="BQ476" s="1021"/>
      <c r="BR476" s="1021"/>
      <c r="BS476" s="1021"/>
      <c r="BT476" s="1021"/>
      <c r="BU476" s="1021"/>
      <c r="BV476" s="1021"/>
      <c r="BW476" s="1021"/>
      <c r="BX476" s="1021"/>
      <c r="BY476" s="1021"/>
      <c r="BZ476" s="1021"/>
      <c r="CA476" s="1021"/>
      <c r="CB476" s="1021"/>
      <c r="CC476" s="1021"/>
    </row>
    <row r="477" spans="8:81" x14ac:dyDescent="0.25">
      <c r="H477" s="1021"/>
      <c r="I477" s="1021"/>
      <c r="J477" s="1021"/>
      <c r="K477" s="1021"/>
      <c r="L477" s="1021"/>
      <c r="M477" s="1021"/>
      <c r="N477" s="1021"/>
      <c r="O477" s="1021"/>
      <c r="P477" s="1021"/>
      <c r="Q477" s="1021"/>
      <c r="R477" s="1021"/>
      <c r="S477" s="1021"/>
      <c r="T477" s="1021"/>
      <c r="U477" s="1021"/>
      <c r="V477" s="1021"/>
      <c r="W477" s="1021"/>
      <c r="X477" s="1021"/>
      <c r="Y477" s="1021"/>
      <c r="Z477" s="1021"/>
      <c r="AA477" s="1021"/>
      <c r="AB477" s="1021"/>
      <c r="AC477" s="1021"/>
      <c r="AD477" s="1021"/>
      <c r="AE477" s="1021"/>
      <c r="AF477" s="1021"/>
      <c r="AG477" s="1021"/>
      <c r="AH477" s="1021"/>
      <c r="AI477" s="1021"/>
      <c r="AJ477" s="1021"/>
      <c r="AK477" s="1021"/>
      <c r="AL477" s="1021"/>
      <c r="AM477" s="1021"/>
      <c r="AN477" s="1021"/>
      <c r="AO477" s="1021"/>
      <c r="AP477" s="1021"/>
      <c r="AQ477" s="1021"/>
      <c r="AR477" s="1021"/>
      <c r="AS477" s="1021"/>
      <c r="AT477" s="1021"/>
      <c r="AU477" s="1021"/>
      <c r="AV477" s="1021"/>
      <c r="AW477" s="1021"/>
      <c r="AX477" s="1021"/>
      <c r="AY477" s="1021"/>
      <c r="AZ477" s="1021"/>
      <c r="BA477" s="1021"/>
      <c r="BB477" s="1021"/>
      <c r="BC477" s="1021"/>
      <c r="BD477" s="1021"/>
      <c r="BE477" s="1021"/>
      <c r="BF477" s="1021"/>
      <c r="BG477" s="1021"/>
      <c r="BH477" s="1021"/>
      <c r="BI477" s="1021"/>
      <c r="BJ477" s="1021"/>
      <c r="BK477" s="1021"/>
      <c r="BL477" s="1021"/>
      <c r="BM477" s="1021"/>
      <c r="BN477" s="1021"/>
      <c r="BO477" s="1021"/>
      <c r="BP477" s="1021"/>
      <c r="BQ477" s="1021"/>
      <c r="BR477" s="1021"/>
      <c r="BS477" s="1021"/>
      <c r="BT477" s="1021"/>
      <c r="BU477" s="1021"/>
      <c r="BV477" s="1021"/>
      <c r="BW477" s="1021"/>
      <c r="BX477" s="1021"/>
      <c r="BY477" s="1021"/>
      <c r="BZ477" s="1021"/>
      <c r="CA477" s="1021"/>
      <c r="CB477" s="1021"/>
      <c r="CC477" s="1021"/>
    </row>
    <row r="478" spans="8:81" x14ac:dyDescent="0.25">
      <c r="H478" s="1021"/>
      <c r="I478" s="1021"/>
      <c r="J478" s="1021"/>
      <c r="K478" s="1021"/>
      <c r="L478" s="1021"/>
      <c r="M478" s="1021"/>
      <c r="N478" s="1021"/>
      <c r="O478" s="1021"/>
      <c r="P478" s="1021"/>
      <c r="Q478" s="1021"/>
      <c r="R478" s="1021"/>
      <c r="S478" s="1021"/>
      <c r="T478" s="1021"/>
      <c r="U478" s="1021"/>
      <c r="V478" s="1021"/>
      <c r="W478" s="1021"/>
      <c r="X478" s="1021"/>
      <c r="Y478" s="1021"/>
      <c r="Z478" s="1021"/>
      <c r="AA478" s="1021"/>
      <c r="AB478" s="1021"/>
      <c r="AC478" s="1021"/>
      <c r="AD478" s="1021"/>
      <c r="AE478" s="1021"/>
      <c r="AF478" s="1021"/>
      <c r="AG478" s="1021"/>
      <c r="AH478" s="1021"/>
      <c r="AI478" s="1021"/>
      <c r="AJ478" s="1021"/>
      <c r="AK478" s="1021"/>
      <c r="AL478" s="1021"/>
      <c r="AM478" s="1021"/>
      <c r="AN478" s="1021"/>
      <c r="AO478" s="1021"/>
      <c r="AP478" s="1021"/>
      <c r="AQ478" s="1021"/>
      <c r="AR478" s="1021"/>
      <c r="AS478" s="1021"/>
      <c r="AT478" s="1021"/>
      <c r="AU478" s="1021"/>
      <c r="AV478" s="1021"/>
      <c r="AW478" s="1021"/>
      <c r="AX478" s="1021"/>
      <c r="AY478" s="1021"/>
      <c r="AZ478" s="1021"/>
      <c r="BA478" s="1021"/>
      <c r="BB478" s="1021"/>
      <c r="BC478" s="1021"/>
      <c r="BD478" s="1021"/>
      <c r="BE478" s="1021"/>
      <c r="BF478" s="1021"/>
      <c r="BG478" s="1021"/>
      <c r="BH478" s="1021"/>
      <c r="BI478" s="1021"/>
      <c r="BJ478" s="1021"/>
      <c r="BK478" s="1021"/>
      <c r="BL478" s="1021"/>
      <c r="BM478" s="1021"/>
      <c r="BN478" s="1021"/>
      <c r="BO478" s="1021"/>
      <c r="BP478" s="1021"/>
      <c r="BQ478" s="1021"/>
      <c r="BR478" s="1021"/>
      <c r="BS478" s="1021"/>
      <c r="BT478" s="1021"/>
      <c r="BU478" s="1021"/>
      <c r="BV478" s="1021"/>
      <c r="BW478" s="1021"/>
      <c r="BX478" s="1021"/>
      <c r="BY478" s="1021"/>
      <c r="BZ478" s="1021"/>
      <c r="CA478" s="1021"/>
      <c r="CB478" s="1021"/>
      <c r="CC478" s="1021"/>
    </row>
    <row r="479" spans="8:81" x14ac:dyDescent="0.25">
      <c r="H479" s="1021"/>
      <c r="I479" s="1021"/>
      <c r="J479" s="1021"/>
      <c r="K479" s="1021"/>
      <c r="L479" s="1021"/>
      <c r="M479" s="1021"/>
      <c r="N479" s="1021"/>
      <c r="O479" s="1021"/>
      <c r="P479" s="1021"/>
      <c r="Q479" s="1021"/>
      <c r="R479" s="1021"/>
      <c r="S479" s="1021"/>
      <c r="T479" s="1021"/>
      <c r="U479" s="1021"/>
      <c r="V479" s="1021"/>
      <c r="W479" s="1021"/>
      <c r="X479" s="1021"/>
      <c r="Y479" s="1021"/>
      <c r="Z479" s="1021"/>
      <c r="AA479" s="1021"/>
      <c r="AB479" s="1021"/>
      <c r="AC479" s="1021"/>
      <c r="AD479" s="1021"/>
      <c r="AE479" s="1021"/>
      <c r="AF479" s="1021"/>
      <c r="AG479" s="1021"/>
      <c r="AH479" s="1021"/>
      <c r="AI479" s="1021"/>
      <c r="AJ479" s="1021"/>
      <c r="AK479" s="1021"/>
      <c r="AL479" s="1021"/>
      <c r="AM479" s="1021"/>
      <c r="AN479" s="1021"/>
      <c r="AO479" s="1021"/>
      <c r="AP479" s="1021"/>
      <c r="AQ479" s="1021"/>
      <c r="AR479" s="1021"/>
      <c r="AS479" s="1021"/>
      <c r="AT479" s="1021"/>
      <c r="AU479" s="1021"/>
      <c r="AV479" s="1021"/>
      <c r="AW479" s="1021"/>
      <c r="AX479" s="1021"/>
      <c r="AY479" s="1021"/>
      <c r="AZ479" s="1021"/>
      <c r="BA479" s="1021"/>
      <c r="BB479" s="1021"/>
      <c r="BC479" s="1021"/>
      <c r="BD479" s="1021"/>
      <c r="BE479" s="1021"/>
      <c r="BF479" s="1021"/>
      <c r="BG479" s="1021"/>
      <c r="BH479" s="1021"/>
      <c r="BI479" s="1021"/>
      <c r="BJ479" s="1021"/>
      <c r="BK479" s="1021"/>
      <c r="BL479" s="1021"/>
      <c r="BM479" s="1021"/>
      <c r="BN479" s="1021"/>
      <c r="BO479" s="1021"/>
      <c r="BP479" s="1021"/>
      <c r="BQ479" s="1021"/>
      <c r="BR479" s="1021"/>
      <c r="BS479" s="1021"/>
      <c r="BT479" s="1021"/>
      <c r="BU479" s="1021"/>
      <c r="BV479" s="1021"/>
      <c r="BW479" s="1021"/>
      <c r="BX479" s="1021"/>
      <c r="BY479" s="1021"/>
      <c r="BZ479" s="1021"/>
      <c r="CA479" s="1021"/>
      <c r="CB479" s="1021"/>
      <c r="CC479" s="1021"/>
    </row>
    <row r="480" spans="8:81" x14ac:dyDescent="0.25">
      <c r="H480" s="1021"/>
      <c r="I480" s="1021"/>
      <c r="J480" s="1021"/>
      <c r="K480" s="1021"/>
      <c r="L480" s="1021"/>
      <c r="M480" s="1021"/>
      <c r="N480" s="1021"/>
      <c r="O480" s="1021"/>
      <c r="P480" s="1021"/>
      <c r="Q480" s="1021"/>
      <c r="R480" s="1021"/>
      <c r="S480" s="1021"/>
      <c r="T480" s="1021"/>
      <c r="U480" s="1021"/>
      <c r="V480" s="1021"/>
      <c r="W480" s="1021"/>
      <c r="X480" s="1021"/>
      <c r="Y480" s="1021"/>
      <c r="Z480" s="1021"/>
      <c r="AA480" s="1021"/>
      <c r="AB480" s="1021"/>
      <c r="AC480" s="1021"/>
      <c r="AD480" s="1021"/>
      <c r="AE480" s="1021"/>
      <c r="AF480" s="1021"/>
      <c r="AG480" s="1021"/>
      <c r="AH480" s="1021"/>
      <c r="AI480" s="1021"/>
      <c r="AJ480" s="1021"/>
      <c r="AK480" s="1021"/>
      <c r="AL480" s="1021"/>
      <c r="AM480" s="1021"/>
      <c r="AN480" s="1021"/>
      <c r="AO480" s="1021"/>
      <c r="AP480" s="1021"/>
      <c r="AQ480" s="1021"/>
      <c r="AR480" s="1021"/>
      <c r="AS480" s="1021"/>
      <c r="AT480" s="1021"/>
      <c r="AU480" s="1021"/>
      <c r="AV480" s="1021"/>
      <c r="AW480" s="1021"/>
      <c r="AX480" s="1021"/>
      <c r="AY480" s="1021"/>
      <c r="AZ480" s="1021"/>
      <c r="BA480" s="1021"/>
      <c r="BB480" s="1021"/>
      <c r="BC480" s="1021"/>
      <c r="BD480" s="1021"/>
      <c r="BE480" s="1021"/>
      <c r="BF480" s="1021"/>
      <c r="BG480" s="1021"/>
      <c r="BH480" s="1021"/>
      <c r="BI480" s="1021"/>
      <c r="BJ480" s="1021"/>
      <c r="BK480" s="1021"/>
      <c r="BL480" s="1021"/>
      <c r="BM480" s="1021"/>
      <c r="BN480" s="1021"/>
      <c r="BO480" s="1021"/>
      <c r="BP480" s="1021"/>
      <c r="BQ480" s="1021"/>
      <c r="BR480" s="1021"/>
      <c r="BS480" s="1021"/>
      <c r="BT480" s="1021"/>
      <c r="BU480" s="1021"/>
      <c r="BV480" s="1021"/>
      <c r="BW480" s="1021"/>
      <c r="BX480" s="1021"/>
      <c r="BY480" s="1021"/>
      <c r="BZ480" s="1021"/>
      <c r="CA480" s="1021"/>
      <c r="CB480" s="1021"/>
      <c r="CC480" s="1021"/>
    </row>
    <row r="481" spans="8:81" x14ac:dyDescent="0.25">
      <c r="H481" s="1021"/>
      <c r="I481" s="1021"/>
      <c r="J481" s="1021"/>
      <c r="K481" s="1021"/>
      <c r="L481" s="1021"/>
      <c r="M481" s="1021"/>
      <c r="N481" s="1021"/>
      <c r="O481" s="1021"/>
      <c r="P481" s="1021"/>
      <c r="Q481" s="1021"/>
      <c r="R481" s="1021"/>
      <c r="S481" s="1021"/>
      <c r="T481" s="1021"/>
      <c r="U481" s="1021"/>
      <c r="V481" s="1021"/>
      <c r="W481" s="1021"/>
      <c r="X481" s="1021"/>
      <c r="Y481" s="1021"/>
      <c r="Z481" s="1021"/>
      <c r="AA481" s="1021"/>
      <c r="AB481" s="1021"/>
      <c r="AC481" s="1021"/>
      <c r="AD481" s="1021"/>
      <c r="AE481" s="1021"/>
      <c r="AF481" s="1021"/>
      <c r="AG481" s="1021"/>
      <c r="AH481" s="1021"/>
      <c r="AI481" s="1021"/>
      <c r="AJ481" s="1021"/>
      <c r="AK481" s="1021"/>
      <c r="AL481" s="1021"/>
      <c r="AM481" s="1021"/>
      <c r="AN481" s="1021"/>
      <c r="AO481" s="1021"/>
      <c r="AP481" s="1021"/>
      <c r="AQ481" s="1021"/>
      <c r="AR481" s="1021"/>
      <c r="AS481" s="1021"/>
      <c r="AT481" s="1021"/>
      <c r="AU481" s="1021"/>
      <c r="AV481" s="1021"/>
      <c r="AW481" s="1021"/>
      <c r="AX481" s="1021"/>
      <c r="AY481" s="1021"/>
      <c r="AZ481" s="1021"/>
      <c r="BA481" s="1021"/>
      <c r="BB481" s="1021"/>
      <c r="BC481" s="1021"/>
      <c r="BD481" s="1021"/>
      <c r="BE481" s="1021"/>
      <c r="BF481" s="1021"/>
      <c r="BG481" s="1021"/>
      <c r="BH481" s="1021"/>
      <c r="BI481" s="1021"/>
      <c r="BJ481" s="1021"/>
      <c r="BK481" s="1021"/>
      <c r="BL481" s="1021"/>
      <c r="BM481" s="1021"/>
      <c r="BN481" s="1021"/>
      <c r="BO481" s="1021"/>
      <c r="BP481" s="1021"/>
      <c r="BQ481" s="1021"/>
      <c r="BR481" s="1021"/>
      <c r="BS481" s="1021"/>
      <c r="BT481" s="1021"/>
      <c r="BU481" s="1021"/>
      <c r="BV481" s="1021"/>
      <c r="BW481" s="1021"/>
      <c r="BX481" s="1021"/>
      <c r="BY481" s="1021"/>
      <c r="BZ481" s="1021"/>
      <c r="CA481" s="1021"/>
      <c r="CB481" s="1021"/>
      <c r="CC481" s="1021"/>
    </row>
    <row r="482" spans="8:81" x14ac:dyDescent="0.25">
      <c r="H482" s="1021"/>
      <c r="I482" s="1021"/>
      <c r="J482" s="1021"/>
      <c r="K482" s="1021"/>
      <c r="L482" s="1021"/>
      <c r="M482" s="1021"/>
      <c r="N482" s="1021"/>
      <c r="O482" s="1021"/>
      <c r="P482" s="1021"/>
      <c r="Q482" s="1021"/>
      <c r="R482" s="1021"/>
      <c r="S482" s="1021"/>
      <c r="T482" s="1021"/>
      <c r="U482" s="1021"/>
      <c r="V482" s="1021"/>
      <c r="W482" s="1021"/>
      <c r="X482" s="1021"/>
      <c r="Y482" s="1021"/>
      <c r="Z482" s="1021"/>
      <c r="AA482" s="1021"/>
      <c r="AB482" s="1021"/>
      <c r="AC482" s="1021"/>
      <c r="AD482" s="1021"/>
      <c r="AE482" s="1021"/>
      <c r="AF482" s="1021"/>
      <c r="AG482" s="1021"/>
      <c r="AH482" s="1021"/>
      <c r="AI482" s="1021"/>
      <c r="AJ482" s="1021"/>
      <c r="AK482" s="1021"/>
      <c r="AL482" s="1021"/>
      <c r="AM482" s="1021"/>
      <c r="AN482" s="1021"/>
      <c r="AO482" s="1021"/>
      <c r="AP482" s="1021"/>
      <c r="AQ482" s="1021"/>
      <c r="AR482" s="1021"/>
      <c r="AS482" s="1021"/>
      <c r="AT482" s="1021"/>
      <c r="AU482" s="1021"/>
      <c r="AV482" s="1021"/>
      <c r="AW482" s="1021"/>
      <c r="AX482" s="1021"/>
      <c r="AY482" s="1021"/>
      <c r="AZ482" s="1021"/>
      <c r="BA482" s="1021"/>
      <c r="BB482" s="1021"/>
      <c r="BC482" s="1021"/>
      <c r="BD482" s="1021"/>
      <c r="BE482" s="1021"/>
      <c r="BF482" s="1021"/>
      <c r="BG482" s="1021"/>
      <c r="BH482" s="1021"/>
      <c r="BI482" s="1021"/>
      <c r="BJ482" s="1021"/>
      <c r="BK482" s="1021"/>
      <c r="BL482" s="1021"/>
      <c r="BM482" s="1021"/>
      <c r="BN482" s="1021"/>
      <c r="BO482" s="1021"/>
      <c r="BP482" s="1021"/>
      <c r="BQ482" s="1021"/>
      <c r="BR482" s="1021"/>
      <c r="BS482" s="1021"/>
      <c r="BT482" s="1021"/>
      <c r="BU482" s="1021"/>
      <c r="BV482" s="1021"/>
      <c r="BW482" s="1021"/>
      <c r="BX482" s="1021"/>
      <c r="BY482" s="1021"/>
      <c r="BZ482" s="1021"/>
      <c r="CA482" s="1021"/>
      <c r="CB482" s="1021"/>
      <c r="CC482" s="1021"/>
    </row>
    <row r="483" spans="8:81" x14ac:dyDescent="0.25">
      <c r="H483" s="1021"/>
      <c r="I483" s="1021"/>
      <c r="J483" s="1021"/>
      <c r="K483" s="1021"/>
      <c r="L483" s="1021"/>
      <c r="M483" s="1021"/>
      <c r="N483" s="1021"/>
      <c r="O483" s="1021"/>
      <c r="P483" s="1021"/>
      <c r="Q483" s="1021"/>
      <c r="R483" s="1021"/>
      <c r="S483" s="1021"/>
      <c r="T483" s="1021"/>
      <c r="U483" s="1021"/>
      <c r="V483" s="1021"/>
      <c r="W483" s="1021"/>
      <c r="X483" s="1021"/>
      <c r="Y483" s="1021"/>
      <c r="Z483" s="1021"/>
      <c r="AA483" s="1021"/>
      <c r="AB483" s="1021"/>
      <c r="AC483" s="1021"/>
      <c r="AD483" s="1021"/>
      <c r="AE483" s="1021"/>
      <c r="AF483" s="1021"/>
      <c r="AG483" s="1021"/>
      <c r="AH483" s="1021"/>
      <c r="AI483" s="1021"/>
      <c r="AJ483" s="1021"/>
      <c r="AK483" s="1021"/>
      <c r="AL483" s="1021"/>
      <c r="AM483" s="1021"/>
      <c r="AN483" s="1021"/>
      <c r="AO483" s="1021"/>
      <c r="AP483" s="1021"/>
      <c r="AQ483" s="1021"/>
      <c r="AR483" s="1021"/>
      <c r="AS483" s="1021"/>
      <c r="AT483" s="1021"/>
      <c r="AU483" s="1021"/>
      <c r="AV483" s="1021"/>
      <c r="AW483" s="1021"/>
      <c r="AX483" s="1021"/>
      <c r="AY483" s="1021"/>
      <c r="AZ483" s="1021"/>
      <c r="BA483" s="1021"/>
      <c r="BB483" s="1021"/>
      <c r="BC483" s="1021"/>
      <c r="BD483" s="1021"/>
      <c r="BE483" s="1021"/>
      <c r="BF483" s="1021"/>
      <c r="BG483" s="1021"/>
      <c r="BH483" s="1021"/>
      <c r="BI483" s="1021"/>
      <c r="BJ483" s="1021"/>
      <c r="BK483" s="1021"/>
      <c r="BL483" s="1021"/>
      <c r="BM483" s="1021"/>
      <c r="BN483" s="1021"/>
      <c r="BO483" s="1021"/>
      <c r="BP483" s="1021"/>
      <c r="BQ483" s="1021"/>
      <c r="BR483" s="1021"/>
      <c r="BS483" s="1021"/>
      <c r="BT483" s="1021"/>
      <c r="BU483" s="1021"/>
      <c r="BV483" s="1021"/>
      <c r="BW483" s="1021"/>
      <c r="BX483" s="1021"/>
      <c r="BY483" s="1021"/>
      <c r="BZ483" s="1021"/>
      <c r="CA483" s="1021"/>
      <c r="CB483" s="1021"/>
      <c r="CC483" s="1021"/>
    </row>
    <row r="484" spans="8:81" x14ac:dyDescent="0.25">
      <c r="H484" s="1021"/>
      <c r="I484" s="1021"/>
      <c r="J484" s="1021"/>
      <c r="K484" s="1021"/>
      <c r="L484" s="1021"/>
      <c r="M484" s="1021"/>
      <c r="N484" s="1021"/>
      <c r="O484" s="1021"/>
      <c r="P484" s="1021"/>
      <c r="Q484" s="1021"/>
      <c r="R484" s="1021"/>
      <c r="S484" s="1021"/>
      <c r="T484" s="1021"/>
      <c r="U484" s="1021"/>
      <c r="V484" s="1021"/>
      <c r="W484" s="1021"/>
      <c r="X484" s="1021"/>
      <c r="Y484" s="1021"/>
      <c r="Z484" s="1021"/>
      <c r="AA484" s="1021"/>
      <c r="AB484" s="1021"/>
      <c r="AC484" s="1021"/>
      <c r="AD484" s="1021"/>
      <c r="AE484" s="1021"/>
      <c r="AF484" s="1021"/>
      <c r="AG484" s="1021"/>
      <c r="AH484" s="1021"/>
      <c r="AI484" s="1021"/>
      <c r="AJ484" s="1021"/>
      <c r="AK484" s="1021"/>
      <c r="AL484" s="1021"/>
      <c r="AM484" s="1021"/>
      <c r="AN484" s="1021"/>
      <c r="AO484" s="1021"/>
      <c r="AP484" s="1021"/>
      <c r="AQ484" s="1021"/>
      <c r="AR484" s="1021"/>
      <c r="AS484" s="1021"/>
      <c r="AT484" s="1021"/>
      <c r="AU484" s="1021"/>
      <c r="AV484" s="1021"/>
      <c r="AW484" s="1021"/>
      <c r="AX484" s="1021"/>
      <c r="AY484" s="1021"/>
      <c r="AZ484" s="1021"/>
      <c r="BA484" s="1021"/>
      <c r="BB484" s="1021"/>
      <c r="BC484" s="1021"/>
      <c r="BD484" s="1021"/>
      <c r="BE484" s="1021"/>
      <c r="BF484" s="1021"/>
      <c r="BG484" s="1021"/>
      <c r="BH484" s="1021"/>
      <c r="BI484" s="1021"/>
      <c r="BJ484" s="1021"/>
      <c r="BK484" s="1021"/>
      <c r="BL484" s="1021"/>
      <c r="BM484" s="1021"/>
      <c r="BN484" s="1021"/>
      <c r="BO484" s="1021"/>
      <c r="BP484" s="1021"/>
      <c r="BQ484" s="1021"/>
      <c r="BR484" s="1021"/>
      <c r="BS484" s="1021"/>
      <c r="BT484" s="1021"/>
      <c r="BU484" s="1021"/>
      <c r="BV484" s="1021"/>
      <c r="BW484" s="1021"/>
      <c r="BX484" s="1021"/>
      <c r="BY484" s="1021"/>
      <c r="BZ484" s="1021"/>
      <c r="CA484" s="1021"/>
      <c r="CB484" s="1021"/>
      <c r="CC484" s="1021"/>
    </row>
    <row r="485" spans="8:81" x14ac:dyDescent="0.25">
      <c r="H485" s="1021"/>
      <c r="I485" s="1021"/>
      <c r="J485" s="1021"/>
      <c r="K485" s="1021"/>
      <c r="L485" s="1021"/>
      <c r="M485" s="1021"/>
      <c r="N485" s="1021"/>
      <c r="O485" s="1021"/>
      <c r="P485" s="1021"/>
      <c r="Q485" s="1021"/>
      <c r="R485" s="1021"/>
      <c r="S485" s="1021"/>
      <c r="T485" s="1021"/>
      <c r="U485" s="1021"/>
      <c r="V485" s="1021"/>
      <c r="W485" s="1021"/>
      <c r="X485" s="1021"/>
      <c r="Y485" s="1021"/>
      <c r="Z485" s="1021"/>
      <c r="AA485" s="1021"/>
      <c r="AB485" s="1021"/>
      <c r="AC485" s="1021"/>
      <c r="AD485" s="1021"/>
      <c r="AE485" s="1021"/>
      <c r="AF485" s="1021"/>
      <c r="AG485" s="1021"/>
      <c r="AH485" s="1021"/>
      <c r="AI485" s="1021"/>
      <c r="AJ485" s="1021"/>
      <c r="AK485" s="1021"/>
      <c r="AL485" s="1021"/>
      <c r="AM485" s="1021"/>
      <c r="AN485" s="1021"/>
      <c r="AO485" s="1021"/>
      <c r="AP485" s="1021"/>
      <c r="AQ485" s="1021"/>
      <c r="AR485" s="1021"/>
      <c r="AS485" s="1021"/>
      <c r="AT485" s="1021"/>
      <c r="AU485" s="1021"/>
      <c r="AV485" s="1021"/>
      <c r="AW485" s="1021"/>
      <c r="AX485" s="1021"/>
      <c r="AY485" s="1021"/>
      <c r="AZ485" s="1021"/>
      <c r="BA485" s="1021"/>
      <c r="BB485" s="1021"/>
      <c r="BC485" s="1021"/>
      <c r="BD485" s="1021"/>
      <c r="BE485" s="1021"/>
      <c r="BF485" s="1021"/>
      <c r="BG485" s="1021"/>
      <c r="BH485" s="1021"/>
      <c r="BI485" s="1021"/>
      <c r="BJ485" s="1021"/>
      <c r="BK485" s="1021"/>
      <c r="BL485" s="1021"/>
      <c r="BM485" s="1021"/>
      <c r="BN485" s="1021"/>
      <c r="BO485" s="1021"/>
      <c r="BP485" s="1021"/>
      <c r="BQ485" s="1021"/>
      <c r="BR485" s="1021"/>
      <c r="BS485" s="1021"/>
      <c r="BT485" s="1021"/>
      <c r="BU485" s="1021"/>
      <c r="BV485" s="1021"/>
      <c r="BW485" s="1021"/>
      <c r="BX485" s="1021"/>
      <c r="BY485" s="1021"/>
      <c r="BZ485" s="1021"/>
      <c r="CA485" s="1021"/>
      <c r="CB485" s="1021"/>
      <c r="CC485" s="1021"/>
    </row>
    <row r="486" spans="8:81" x14ac:dyDescent="0.25">
      <c r="H486" s="1021"/>
      <c r="I486" s="1021"/>
      <c r="J486" s="1021"/>
      <c r="K486" s="1021"/>
      <c r="L486" s="1021"/>
      <c r="M486" s="1021"/>
      <c r="N486" s="1021"/>
      <c r="O486" s="1021"/>
      <c r="P486" s="1021"/>
      <c r="Q486" s="1021"/>
      <c r="R486" s="1021"/>
      <c r="S486" s="1021"/>
      <c r="T486" s="1021"/>
      <c r="U486" s="1021"/>
      <c r="V486" s="1021"/>
      <c r="W486" s="1021"/>
      <c r="X486" s="1021"/>
      <c r="Y486" s="1021"/>
      <c r="Z486" s="1021"/>
      <c r="AA486" s="1021"/>
      <c r="AB486" s="1021"/>
      <c r="AC486" s="1021"/>
      <c r="AD486" s="1021"/>
      <c r="AE486" s="1021"/>
      <c r="AF486" s="1021"/>
      <c r="AG486" s="1021"/>
      <c r="AH486" s="1021"/>
      <c r="AI486" s="1021"/>
      <c r="AJ486" s="1021"/>
      <c r="AK486" s="1021"/>
      <c r="AL486" s="1021"/>
      <c r="AM486" s="1021"/>
      <c r="AN486" s="1021"/>
      <c r="AO486" s="1021"/>
      <c r="AP486" s="1021"/>
      <c r="AQ486" s="1021"/>
      <c r="AR486" s="1021"/>
      <c r="AS486" s="1021"/>
      <c r="AT486" s="1021"/>
      <c r="AU486" s="1021"/>
      <c r="AV486" s="1021"/>
      <c r="AW486" s="1021"/>
      <c r="AX486" s="1021"/>
      <c r="AY486" s="1021"/>
      <c r="AZ486" s="1021"/>
      <c r="BA486" s="1021"/>
      <c r="BB486" s="1021"/>
      <c r="BC486" s="1021"/>
      <c r="BD486" s="1021"/>
      <c r="BE486" s="1021"/>
      <c r="BF486" s="1021"/>
      <c r="BG486" s="1021"/>
      <c r="BH486" s="1021"/>
      <c r="BI486" s="1021"/>
      <c r="BJ486" s="1021"/>
      <c r="BK486" s="1021"/>
      <c r="BL486" s="1021"/>
      <c r="BM486" s="1021"/>
      <c r="BN486" s="1021"/>
      <c r="BO486" s="1021"/>
      <c r="BP486" s="1021"/>
      <c r="BQ486" s="1021"/>
      <c r="BR486" s="1021"/>
      <c r="BS486" s="1021"/>
      <c r="BT486" s="1021"/>
      <c r="BU486" s="1021"/>
      <c r="BV486" s="1021"/>
      <c r="BW486" s="1021"/>
      <c r="BX486" s="1021"/>
      <c r="BY486" s="1021"/>
      <c r="BZ486" s="1021"/>
      <c r="CA486" s="1021"/>
      <c r="CB486" s="1021"/>
      <c r="CC486" s="1021"/>
    </row>
    <row r="487" spans="8:81" x14ac:dyDescent="0.25">
      <c r="H487" s="1021"/>
      <c r="I487" s="1021"/>
      <c r="J487" s="1021"/>
      <c r="K487" s="1021"/>
      <c r="L487" s="1021"/>
      <c r="M487" s="1021"/>
      <c r="N487" s="1021"/>
      <c r="O487" s="1021"/>
      <c r="P487" s="1021"/>
      <c r="Q487" s="1021"/>
      <c r="R487" s="1021"/>
      <c r="S487" s="1021"/>
      <c r="T487" s="1021"/>
      <c r="U487" s="1021"/>
      <c r="V487" s="1021"/>
      <c r="W487" s="1021"/>
      <c r="X487" s="1021"/>
      <c r="Y487" s="1021"/>
      <c r="Z487" s="1021"/>
      <c r="AA487" s="1021"/>
      <c r="AB487" s="1021"/>
      <c r="AC487" s="1021"/>
      <c r="AD487" s="1021"/>
      <c r="AE487" s="1021"/>
      <c r="AF487" s="1021"/>
      <c r="AG487" s="1021"/>
      <c r="AH487" s="1021"/>
      <c r="AI487" s="1021"/>
      <c r="AJ487" s="1021"/>
      <c r="AK487" s="1021"/>
      <c r="AL487" s="1021"/>
      <c r="AM487" s="1021"/>
      <c r="AN487" s="1021"/>
      <c r="AO487" s="1021"/>
      <c r="AP487" s="1021"/>
      <c r="AQ487" s="1021"/>
      <c r="AR487" s="1021"/>
      <c r="AS487" s="1021"/>
      <c r="AT487" s="1021"/>
      <c r="AU487" s="1021"/>
      <c r="AV487" s="1021"/>
      <c r="AW487" s="1021"/>
      <c r="AX487" s="1021"/>
      <c r="AY487" s="1021"/>
      <c r="AZ487" s="1021"/>
      <c r="BA487" s="1021"/>
      <c r="BB487" s="1021"/>
      <c r="BC487" s="1021"/>
      <c r="BD487" s="1021"/>
      <c r="BE487" s="1021"/>
      <c r="BF487" s="1021"/>
      <c r="BG487" s="1021"/>
      <c r="BH487" s="1021"/>
      <c r="BI487" s="1021"/>
      <c r="BJ487" s="1021"/>
      <c r="BK487" s="1021"/>
      <c r="BL487" s="1021"/>
      <c r="BM487" s="1021"/>
      <c r="BN487" s="1021"/>
      <c r="BO487" s="1021"/>
      <c r="BP487" s="1021"/>
      <c r="BQ487" s="1021"/>
      <c r="BR487" s="1021"/>
      <c r="BS487" s="1021"/>
      <c r="BT487" s="1021"/>
      <c r="BU487" s="1021"/>
      <c r="BV487" s="1021"/>
      <c r="BW487" s="1021"/>
      <c r="BX487" s="1021"/>
      <c r="BY487" s="1021"/>
      <c r="BZ487" s="1021"/>
      <c r="CA487" s="1021"/>
      <c r="CB487" s="1021"/>
      <c r="CC487" s="1021"/>
    </row>
    <row r="488" spans="8:81" x14ac:dyDescent="0.25">
      <c r="H488" s="1021"/>
      <c r="I488" s="1021"/>
      <c r="J488" s="1021"/>
      <c r="K488" s="1021"/>
      <c r="L488" s="1021"/>
      <c r="M488" s="1021"/>
      <c r="N488" s="1021"/>
      <c r="O488" s="1021"/>
      <c r="P488" s="1021"/>
      <c r="Q488" s="1021"/>
      <c r="R488" s="1021"/>
      <c r="S488" s="1021"/>
      <c r="T488" s="1021"/>
      <c r="U488" s="1021"/>
      <c r="V488" s="1021"/>
      <c r="W488" s="1021"/>
      <c r="X488" s="1021"/>
      <c r="Y488" s="1021"/>
      <c r="Z488" s="1021"/>
      <c r="AA488" s="1021"/>
      <c r="AB488" s="1021"/>
      <c r="AC488" s="1021"/>
      <c r="AD488" s="1021"/>
      <c r="AE488" s="1021"/>
      <c r="AF488" s="1021"/>
      <c r="AG488" s="1021"/>
      <c r="AH488" s="1021"/>
      <c r="AI488" s="1021"/>
      <c r="AJ488" s="1021"/>
      <c r="AK488" s="1021"/>
      <c r="AL488" s="1021"/>
      <c r="AM488" s="1021"/>
      <c r="AN488" s="1021"/>
      <c r="AO488" s="1021"/>
      <c r="AP488" s="1021"/>
      <c r="AQ488" s="1021"/>
      <c r="AR488" s="1021"/>
      <c r="AS488" s="1021"/>
      <c r="AT488" s="1021"/>
      <c r="AU488" s="1021"/>
      <c r="AV488" s="1021"/>
      <c r="AW488" s="1021"/>
      <c r="AX488" s="1021"/>
      <c r="AY488" s="1021"/>
      <c r="AZ488" s="1021"/>
      <c r="BA488" s="1021"/>
      <c r="BB488" s="1021"/>
      <c r="BC488" s="1021"/>
      <c r="BD488" s="1021"/>
      <c r="BE488" s="1021"/>
      <c r="BF488" s="1021"/>
      <c r="BG488" s="1021"/>
      <c r="BH488" s="1021"/>
      <c r="BI488" s="1021"/>
      <c r="BJ488" s="1021"/>
      <c r="BK488" s="1021"/>
      <c r="BL488" s="1021"/>
      <c r="BM488" s="1021"/>
      <c r="BN488" s="1021"/>
      <c r="BO488" s="1021"/>
      <c r="BP488" s="1021"/>
      <c r="BQ488" s="1021"/>
      <c r="BR488" s="1021"/>
      <c r="BS488" s="1021"/>
      <c r="BT488" s="1021"/>
      <c r="BU488" s="1021"/>
      <c r="BV488" s="1021"/>
      <c r="BW488" s="1021"/>
      <c r="BX488" s="1021"/>
      <c r="BY488" s="1021"/>
      <c r="BZ488" s="1021"/>
      <c r="CA488" s="1021"/>
      <c r="CB488" s="1021"/>
      <c r="CC488" s="1021"/>
    </row>
    <row r="489" spans="8:81" x14ac:dyDescent="0.25">
      <c r="H489" s="1021"/>
      <c r="I489" s="1021"/>
      <c r="J489" s="1021"/>
      <c r="K489" s="1021"/>
      <c r="L489" s="1021"/>
      <c r="M489" s="1021"/>
      <c r="N489" s="1021"/>
      <c r="O489" s="1021"/>
      <c r="P489" s="1021"/>
      <c r="Q489" s="1021"/>
      <c r="R489" s="1021"/>
      <c r="S489" s="1021"/>
      <c r="T489" s="1021"/>
      <c r="U489" s="1021"/>
      <c r="V489" s="1021"/>
      <c r="W489" s="1021"/>
      <c r="X489" s="1021"/>
      <c r="Y489" s="1021"/>
      <c r="Z489" s="1021"/>
      <c r="AA489" s="1021"/>
      <c r="AB489" s="1021"/>
      <c r="AC489" s="1021"/>
      <c r="AD489" s="1021"/>
      <c r="AE489" s="1021"/>
      <c r="AF489" s="1021"/>
      <c r="AG489" s="1021"/>
      <c r="AH489" s="1021"/>
      <c r="AI489" s="1021"/>
      <c r="AJ489" s="1021"/>
      <c r="AK489" s="1021"/>
      <c r="AL489" s="1021"/>
      <c r="AM489" s="1021"/>
      <c r="AN489" s="1021"/>
      <c r="AO489" s="1021"/>
      <c r="AP489" s="1021"/>
      <c r="AQ489" s="1021"/>
      <c r="AR489" s="1021"/>
      <c r="AS489" s="1021"/>
      <c r="AT489" s="1021"/>
      <c r="AU489" s="1021"/>
      <c r="AV489" s="1021"/>
      <c r="AW489" s="1021"/>
      <c r="AX489" s="1021"/>
      <c r="AY489" s="1021"/>
      <c r="AZ489" s="1021"/>
      <c r="BA489" s="1021"/>
      <c r="BB489" s="1021"/>
      <c r="BC489" s="1021"/>
      <c r="BD489" s="1021"/>
      <c r="BE489" s="1021"/>
      <c r="BF489" s="1021"/>
      <c r="BG489" s="1021"/>
      <c r="BH489" s="1021"/>
      <c r="BI489" s="1021"/>
      <c r="BJ489" s="1021"/>
      <c r="BK489" s="1021"/>
      <c r="BL489" s="1021"/>
      <c r="BM489" s="1021"/>
      <c r="BN489" s="1021"/>
      <c r="BO489" s="1021"/>
      <c r="BP489" s="1021"/>
      <c r="BQ489" s="1021"/>
      <c r="BR489" s="1021"/>
      <c r="BS489" s="1021"/>
      <c r="BT489" s="1021"/>
      <c r="BU489" s="1021"/>
      <c r="BV489" s="1021"/>
      <c r="BW489" s="1021"/>
      <c r="BX489" s="1021"/>
      <c r="BY489" s="1021"/>
      <c r="BZ489" s="1021"/>
      <c r="CA489" s="1021"/>
      <c r="CB489" s="1021"/>
      <c r="CC489" s="1021"/>
    </row>
    <row r="490" spans="8:81" x14ac:dyDescent="0.25">
      <c r="H490" s="1021"/>
      <c r="I490" s="1021"/>
      <c r="J490" s="1021"/>
      <c r="K490" s="1021"/>
      <c r="L490" s="1021"/>
      <c r="M490" s="1021"/>
      <c r="N490" s="1021"/>
      <c r="O490" s="1021"/>
      <c r="P490" s="1021"/>
      <c r="Q490" s="1021"/>
      <c r="R490" s="1021"/>
      <c r="S490" s="1021"/>
      <c r="T490" s="1021"/>
      <c r="U490" s="1021"/>
      <c r="V490" s="1021"/>
      <c r="W490" s="1021"/>
      <c r="X490" s="1021"/>
      <c r="Y490" s="1021"/>
      <c r="Z490" s="1021"/>
      <c r="AA490" s="1021"/>
      <c r="AB490" s="1021"/>
      <c r="AC490" s="1021"/>
      <c r="AD490" s="1021"/>
      <c r="AE490" s="1021"/>
      <c r="AF490" s="1021"/>
      <c r="AG490" s="1021"/>
      <c r="AH490" s="1021"/>
      <c r="AI490" s="1021"/>
      <c r="AJ490" s="1021"/>
      <c r="AK490" s="1021"/>
      <c r="AL490" s="1021"/>
      <c r="AM490" s="1021"/>
      <c r="AN490" s="1021"/>
      <c r="AO490" s="1021"/>
      <c r="AP490" s="1021"/>
      <c r="AQ490" s="1021"/>
      <c r="AR490" s="1021"/>
      <c r="AS490" s="1021"/>
      <c r="AT490" s="1021"/>
      <c r="AU490" s="1021"/>
      <c r="AV490" s="1021"/>
      <c r="AW490" s="1021"/>
      <c r="AX490" s="1021"/>
      <c r="AY490" s="1021"/>
      <c r="AZ490" s="1021"/>
      <c r="BA490" s="1021"/>
      <c r="BB490" s="1021"/>
      <c r="BC490" s="1021"/>
      <c r="BD490" s="1021"/>
      <c r="BE490" s="1021"/>
      <c r="BF490" s="1021"/>
      <c r="BG490" s="1021"/>
      <c r="BH490" s="1021"/>
      <c r="BI490" s="1021"/>
      <c r="BJ490" s="1021"/>
      <c r="BK490" s="1021"/>
      <c r="BL490" s="1021"/>
      <c r="BM490" s="1021"/>
      <c r="BN490" s="1021"/>
      <c r="BO490" s="1021"/>
      <c r="BP490" s="1021"/>
      <c r="BQ490" s="1021"/>
      <c r="BR490" s="1021"/>
      <c r="BS490" s="1021"/>
      <c r="BT490" s="1021"/>
      <c r="BU490" s="1021"/>
      <c r="BV490" s="1021"/>
      <c r="BW490" s="1021"/>
      <c r="BX490" s="1021"/>
      <c r="BY490" s="1021"/>
      <c r="BZ490" s="1021"/>
      <c r="CA490" s="1021"/>
      <c r="CB490" s="1021"/>
      <c r="CC490" s="1021"/>
    </row>
    <row r="491" spans="8:81" x14ac:dyDescent="0.25">
      <c r="H491" s="1021"/>
      <c r="I491" s="1021"/>
      <c r="J491" s="1021"/>
      <c r="K491" s="1021"/>
      <c r="L491" s="1021"/>
      <c r="M491" s="1021"/>
      <c r="N491" s="1021"/>
      <c r="O491" s="1021"/>
      <c r="P491" s="1021"/>
      <c r="Q491" s="1021"/>
      <c r="R491" s="1021"/>
      <c r="S491" s="1021"/>
      <c r="T491" s="1021"/>
      <c r="U491" s="1021"/>
      <c r="V491" s="1021"/>
      <c r="W491" s="1021"/>
      <c r="X491" s="1021"/>
      <c r="Y491" s="1021"/>
      <c r="Z491" s="1021"/>
      <c r="AA491" s="1021"/>
      <c r="AB491" s="1021"/>
      <c r="AC491" s="1021"/>
      <c r="AD491" s="1021"/>
      <c r="AE491" s="1021"/>
      <c r="AF491" s="1021"/>
      <c r="AG491" s="1021"/>
      <c r="AH491" s="1021"/>
      <c r="AI491" s="1021"/>
      <c r="AJ491" s="1021"/>
      <c r="AK491" s="1021"/>
      <c r="AL491" s="1021"/>
      <c r="AM491" s="1021"/>
      <c r="AN491" s="1021"/>
      <c r="AO491" s="1021"/>
      <c r="AP491" s="1021"/>
      <c r="AQ491" s="1021"/>
      <c r="AR491" s="1021"/>
      <c r="AS491" s="1021"/>
      <c r="AT491" s="1021"/>
      <c r="AU491" s="1021"/>
      <c r="AV491" s="1021"/>
      <c r="AW491" s="1021"/>
      <c r="AX491" s="1021"/>
      <c r="AY491" s="1021"/>
      <c r="AZ491" s="1021"/>
      <c r="BA491" s="1021"/>
      <c r="BB491" s="1021"/>
      <c r="BC491" s="1021"/>
      <c r="BD491" s="1021"/>
      <c r="BE491" s="1021"/>
      <c r="BF491" s="1021"/>
      <c r="BG491" s="1021"/>
      <c r="BH491" s="1021"/>
      <c r="BI491" s="1021"/>
      <c r="BJ491" s="1021"/>
      <c r="BK491" s="1021"/>
      <c r="BL491" s="1021"/>
      <c r="BM491" s="1021"/>
      <c r="BN491" s="1021"/>
      <c r="BO491" s="1021"/>
      <c r="BP491" s="1021"/>
      <c r="BQ491" s="1021"/>
      <c r="BR491" s="1021"/>
      <c r="BS491" s="1021"/>
      <c r="BT491" s="1021"/>
      <c r="BU491" s="1021"/>
      <c r="BV491" s="1021"/>
      <c r="BW491" s="1021"/>
      <c r="BX491" s="1021"/>
      <c r="BY491" s="1021"/>
      <c r="BZ491" s="1021"/>
      <c r="CA491" s="1021"/>
      <c r="CB491" s="1021"/>
      <c r="CC491" s="1021"/>
    </row>
    <row r="492" spans="8:81" x14ac:dyDescent="0.25">
      <c r="H492" s="1021"/>
      <c r="I492" s="1021"/>
      <c r="J492" s="1021"/>
      <c r="K492" s="1021"/>
      <c r="L492" s="1021"/>
      <c r="M492" s="1021"/>
      <c r="N492" s="1021"/>
      <c r="O492" s="1021"/>
      <c r="P492" s="1021"/>
      <c r="Q492" s="1021"/>
      <c r="R492" s="1021"/>
      <c r="S492" s="1021"/>
      <c r="T492" s="1021"/>
      <c r="U492" s="1021"/>
      <c r="V492" s="1021"/>
      <c r="W492" s="1021"/>
      <c r="X492" s="1021"/>
      <c r="Y492" s="1021"/>
      <c r="Z492" s="1021"/>
      <c r="AA492" s="1021"/>
      <c r="AB492" s="1021"/>
      <c r="AC492" s="1021"/>
      <c r="AD492" s="1021"/>
      <c r="AE492" s="1021"/>
      <c r="AF492" s="1021"/>
      <c r="AG492" s="1021"/>
      <c r="AH492" s="1021"/>
      <c r="AI492" s="1021"/>
      <c r="AJ492" s="1021"/>
      <c r="AK492" s="1021"/>
      <c r="AL492" s="1021"/>
      <c r="AM492" s="1021"/>
      <c r="AN492" s="1021"/>
      <c r="AO492" s="1021"/>
      <c r="AP492" s="1021"/>
      <c r="AQ492" s="1021"/>
      <c r="AR492" s="1021"/>
      <c r="AS492" s="1021"/>
      <c r="AT492" s="1021"/>
      <c r="AU492" s="1021"/>
      <c r="AV492" s="1021"/>
      <c r="AW492" s="1021"/>
      <c r="AX492" s="1021"/>
      <c r="AY492" s="1021"/>
      <c r="AZ492" s="1021"/>
      <c r="BA492" s="1021"/>
      <c r="BB492" s="1021"/>
      <c r="BC492" s="1021"/>
      <c r="BD492" s="1021"/>
      <c r="BE492" s="1021"/>
      <c r="BF492" s="1021"/>
      <c r="BG492" s="1021"/>
      <c r="BH492" s="1021"/>
      <c r="BI492" s="1021"/>
      <c r="BJ492" s="1021"/>
      <c r="BK492" s="1021"/>
      <c r="BL492" s="1021"/>
      <c r="BM492" s="1021"/>
      <c r="BN492" s="1021"/>
      <c r="BO492" s="1021"/>
      <c r="BP492" s="1021"/>
      <c r="BQ492" s="1021"/>
      <c r="BR492" s="1021"/>
      <c r="BS492" s="1021"/>
      <c r="BT492" s="1021"/>
      <c r="BU492" s="1021"/>
      <c r="BV492" s="1021"/>
      <c r="BW492" s="1021"/>
      <c r="BX492" s="1021"/>
      <c r="BY492" s="1021"/>
      <c r="BZ492" s="1021"/>
      <c r="CA492" s="1021"/>
      <c r="CB492" s="1021"/>
      <c r="CC492" s="1021"/>
    </row>
    <row r="493" spans="8:81" x14ac:dyDescent="0.25">
      <c r="H493" s="1021"/>
      <c r="I493" s="1021"/>
      <c r="J493" s="1021"/>
      <c r="K493" s="1021"/>
      <c r="L493" s="1021"/>
      <c r="M493" s="1021"/>
      <c r="N493" s="1021"/>
      <c r="O493" s="1021"/>
      <c r="P493" s="1021"/>
      <c r="Q493" s="1021"/>
      <c r="R493" s="1021"/>
      <c r="S493" s="1021"/>
      <c r="T493" s="1021"/>
      <c r="U493" s="1021"/>
      <c r="V493" s="1021"/>
      <c r="W493" s="1021"/>
      <c r="X493" s="1021"/>
      <c r="Y493" s="1021"/>
      <c r="Z493" s="1021"/>
      <c r="AA493" s="1021"/>
      <c r="AB493" s="1021"/>
      <c r="AC493" s="1021"/>
      <c r="AD493" s="1021"/>
      <c r="AE493" s="1021"/>
      <c r="AF493" s="1021"/>
      <c r="AG493" s="1021"/>
      <c r="AH493" s="1021"/>
      <c r="AI493" s="1021"/>
      <c r="AJ493" s="1021"/>
      <c r="AK493" s="1021"/>
      <c r="AL493" s="1021"/>
      <c r="AM493" s="1021"/>
      <c r="AN493" s="1021"/>
      <c r="AO493" s="1021"/>
      <c r="AP493" s="1021"/>
      <c r="AQ493" s="1021"/>
      <c r="AR493" s="1021"/>
      <c r="AS493" s="1021"/>
      <c r="AT493" s="1021"/>
      <c r="AU493" s="1021"/>
      <c r="AV493" s="1021"/>
      <c r="AW493" s="1021"/>
      <c r="AX493" s="1021"/>
      <c r="AY493" s="1021"/>
      <c r="AZ493" s="1021"/>
      <c r="BA493" s="1021"/>
      <c r="BB493" s="1021"/>
      <c r="BC493" s="1021"/>
      <c r="BD493" s="1021"/>
      <c r="BE493" s="1021"/>
      <c r="BF493" s="1021"/>
      <c r="BG493" s="1021"/>
      <c r="BH493" s="1021"/>
      <c r="BI493" s="1021"/>
      <c r="BJ493" s="1021"/>
      <c r="BK493" s="1021"/>
      <c r="BL493" s="1021"/>
      <c r="BM493" s="1021"/>
      <c r="BN493" s="1021"/>
      <c r="BO493" s="1021"/>
      <c r="BP493" s="1021"/>
      <c r="BQ493" s="1021"/>
      <c r="BR493" s="1021"/>
      <c r="BS493" s="1021"/>
      <c r="BT493" s="1021"/>
      <c r="BU493" s="1021"/>
      <c r="BV493" s="1021"/>
      <c r="BW493" s="1021"/>
      <c r="BX493" s="1021"/>
      <c r="BY493" s="1021"/>
      <c r="BZ493" s="1021"/>
      <c r="CA493" s="1021"/>
      <c r="CB493" s="1021"/>
      <c r="CC493" s="1021"/>
    </row>
    <row r="494" spans="8:81" x14ac:dyDescent="0.25">
      <c r="H494" s="1021"/>
      <c r="I494" s="1021"/>
      <c r="J494" s="1021"/>
      <c r="K494" s="1021"/>
      <c r="L494" s="1021"/>
      <c r="M494" s="1021"/>
      <c r="N494" s="1021"/>
      <c r="O494" s="1021"/>
      <c r="P494" s="1021"/>
      <c r="Q494" s="1021"/>
      <c r="R494" s="1021"/>
      <c r="S494" s="1021"/>
      <c r="T494" s="1021"/>
      <c r="U494" s="1021"/>
      <c r="V494" s="1021"/>
      <c r="W494" s="1021"/>
      <c r="X494" s="1021"/>
      <c r="Y494" s="1021"/>
      <c r="Z494" s="1021"/>
      <c r="AA494" s="1021"/>
      <c r="AB494" s="1021"/>
      <c r="AC494" s="1021"/>
      <c r="AD494" s="1021"/>
      <c r="AE494" s="1021"/>
      <c r="AF494" s="1021"/>
      <c r="AG494" s="1021"/>
      <c r="AH494" s="1021"/>
      <c r="AI494" s="1021"/>
      <c r="AJ494" s="1021"/>
      <c r="AK494" s="1021"/>
      <c r="AL494" s="1021"/>
      <c r="AM494" s="1021"/>
      <c r="AN494" s="1021"/>
      <c r="AO494" s="1021"/>
      <c r="AP494" s="1021"/>
      <c r="AQ494" s="1021"/>
      <c r="AR494" s="1021"/>
      <c r="AS494" s="1021"/>
      <c r="AT494" s="1021"/>
      <c r="AU494" s="1021"/>
      <c r="AV494" s="1021"/>
      <c r="AW494" s="1021"/>
      <c r="AX494" s="1021"/>
      <c r="AY494" s="1021"/>
      <c r="AZ494" s="1021"/>
      <c r="BA494" s="1021"/>
      <c r="BB494" s="1021"/>
      <c r="BC494" s="1021"/>
      <c r="BD494" s="1021"/>
      <c r="BE494" s="1021"/>
      <c r="BF494" s="1021"/>
      <c r="BG494" s="1021"/>
      <c r="BH494" s="1021"/>
      <c r="BI494" s="1021"/>
      <c r="BJ494" s="1021"/>
      <c r="BK494" s="1021"/>
      <c r="BL494" s="1021"/>
      <c r="BM494" s="1021"/>
      <c r="BN494" s="1021"/>
      <c r="BO494" s="1021"/>
      <c r="BP494" s="1021"/>
      <c r="BQ494" s="1021"/>
      <c r="BR494" s="1021"/>
      <c r="BS494" s="1021"/>
      <c r="BT494" s="1021"/>
      <c r="BU494" s="1021"/>
      <c r="BV494" s="1021"/>
      <c r="BW494" s="1021"/>
      <c r="BX494" s="1021"/>
      <c r="BY494" s="1021"/>
      <c r="BZ494" s="1021"/>
      <c r="CA494" s="1021"/>
      <c r="CB494" s="1021"/>
      <c r="CC494" s="1021"/>
    </row>
    <row r="495" spans="8:81" x14ac:dyDescent="0.25">
      <c r="H495" s="1021"/>
      <c r="I495" s="1021"/>
      <c r="J495" s="1021"/>
      <c r="K495" s="1021"/>
      <c r="L495" s="1021"/>
      <c r="M495" s="1021"/>
      <c r="N495" s="1021"/>
      <c r="O495" s="1021"/>
      <c r="P495" s="1021"/>
      <c r="Q495" s="1021"/>
      <c r="R495" s="1021"/>
      <c r="S495" s="1021"/>
      <c r="T495" s="1021"/>
      <c r="U495" s="1021"/>
      <c r="V495" s="1021"/>
      <c r="W495" s="1021"/>
      <c r="X495" s="1021"/>
      <c r="Y495" s="1021"/>
      <c r="Z495" s="1021"/>
      <c r="AA495" s="1021"/>
      <c r="AB495" s="1021"/>
      <c r="AC495" s="1021"/>
      <c r="AD495" s="1021"/>
      <c r="AE495" s="1021"/>
      <c r="AF495" s="1021"/>
      <c r="AG495" s="1021"/>
      <c r="AH495" s="1021"/>
      <c r="AI495" s="1021"/>
      <c r="AJ495" s="1021"/>
      <c r="AK495" s="1021"/>
      <c r="AL495" s="1021"/>
      <c r="AM495" s="1021"/>
      <c r="AN495" s="1021"/>
      <c r="AO495" s="1021"/>
      <c r="AP495" s="1021"/>
      <c r="AQ495" s="1021"/>
      <c r="AR495" s="1021"/>
      <c r="AS495" s="1021"/>
      <c r="AT495" s="1021"/>
      <c r="AU495" s="1021"/>
      <c r="AV495" s="1021"/>
      <c r="AW495" s="1021"/>
      <c r="AX495" s="1021"/>
      <c r="AY495" s="1021"/>
      <c r="AZ495" s="1021"/>
      <c r="BA495" s="1021"/>
      <c r="BB495" s="1021"/>
      <c r="BC495" s="1021"/>
      <c r="BD495" s="1021"/>
      <c r="BE495" s="1021"/>
      <c r="BF495" s="1021"/>
      <c r="BG495" s="1021"/>
      <c r="BH495" s="1021"/>
      <c r="BI495" s="1021"/>
      <c r="BJ495" s="1021"/>
      <c r="BK495" s="1021"/>
      <c r="BL495" s="1021"/>
      <c r="BM495" s="1021"/>
      <c r="BN495" s="1021"/>
      <c r="BO495" s="1021"/>
      <c r="BP495" s="1021"/>
      <c r="BQ495" s="1021"/>
      <c r="BR495" s="1021"/>
      <c r="BS495" s="1021"/>
      <c r="BT495" s="1021"/>
      <c r="BU495" s="1021"/>
      <c r="BV495" s="1021"/>
      <c r="BW495" s="1021"/>
      <c r="BX495" s="1021"/>
      <c r="BY495" s="1021"/>
      <c r="BZ495" s="1021"/>
      <c r="CA495" s="1021"/>
      <c r="CB495" s="1021"/>
      <c r="CC495" s="1021"/>
    </row>
    <row r="496" spans="8:81" x14ac:dyDescent="0.25">
      <c r="H496" s="1021"/>
      <c r="I496" s="1021"/>
      <c r="J496" s="1021"/>
      <c r="K496" s="1021"/>
      <c r="L496" s="1021"/>
      <c r="M496" s="1021"/>
      <c r="N496" s="1021"/>
      <c r="O496" s="1021"/>
      <c r="P496" s="1021"/>
      <c r="Q496" s="1021"/>
      <c r="R496" s="1021"/>
      <c r="S496" s="1021"/>
      <c r="T496" s="1021"/>
      <c r="U496" s="1021"/>
      <c r="V496" s="1021"/>
      <c r="W496" s="1021"/>
      <c r="X496" s="1021"/>
      <c r="Y496" s="1021"/>
      <c r="Z496" s="1021"/>
      <c r="AA496" s="1021"/>
      <c r="AB496" s="1021"/>
      <c r="AC496" s="1021"/>
      <c r="AD496" s="1021"/>
      <c r="AE496" s="1021"/>
      <c r="AF496" s="1021"/>
      <c r="AG496" s="1021"/>
      <c r="AH496" s="1021"/>
      <c r="AI496" s="1021"/>
      <c r="AJ496" s="1021"/>
      <c r="AK496" s="1021"/>
      <c r="AL496" s="1021"/>
      <c r="AM496" s="1021"/>
      <c r="AN496" s="1021"/>
      <c r="AO496" s="1021"/>
      <c r="AP496" s="1021"/>
      <c r="AQ496" s="1021"/>
      <c r="AR496" s="1021"/>
      <c r="AS496" s="1021"/>
      <c r="AT496" s="1021"/>
      <c r="AU496" s="1021"/>
      <c r="AV496" s="1021"/>
      <c r="AW496" s="1021"/>
      <c r="AX496" s="1021"/>
      <c r="AY496" s="1021"/>
      <c r="AZ496" s="1021"/>
      <c r="BA496" s="1021"/>
      <c r="BB496" s="1021"/>
      <c r="BC496" s="1021"/>
      <c r="BD496" s="1021"/>
      <c r="BE496" s="1021"/>
      <c r="BF496" s="1021"/>
      <c r="BG496" s="1021"/>
      <c r="BH496" s="1021"/>
      <c r="BI496" s="1021"/>
      <c r="BJ496" s="1021"/>
      <c r="BK496" s="1021"/>
      <c r="BL496" s="1021"/>
      <c r="BM496" s="1021"/>
      <c r="BN496" s="1021"/>
      <c r="BO496" s="1021"/>
      <c r="BP496" s="1021"/>
      <c r="BQ496" s="1021"/>
      <c r="BR496" s="1021"/>
      <c r="BS496" s="1021"/>
      <c r="BT496" s="1021"/>
      <c r="BU496" s="1021"/>
      <c r="BV496" s="1021"/>
      <c r="BW496" s="1021"/>
      <c r="BX496" s="1021"/>
      <c r="BY496" s="1021"/>
      <c r="BZ496" s="1021"/>
      <c r="CA496" s="1021"/>
      <c r="CB496" s="1021"/>
      <c r="CC496" s="1021"/>
    </row>
    <row r="497" spans="8:81" x14ac:dyDescent="0.25">
      <c r="H497" s="1021"/>
      <c r="I497" s="1021"/>
      <c r="J497" s="1021"/>
      <c r="K497" s="1021"/>
      <c r="L497" s="1021"/>
      <c r="M497" s="1021"/>
      <c r="N497" s="1021"/>
      <c r="O497" s="1021"/>
      <c r="P497" s="1021"/>
      <c r="Q497" s="1021"/>
      <c r="R497" s="1021"/>
      <c r="S497" s="1021"/>
      <c r="T497" s="1021"/>
      <c r="U497" s="1021"/>
      <c r="V497" s="1021"/>
      <c r="W497" s="1021"/>
      <c r="X497" s="1021"/>
      <c r="Y497" s="1021"/>
      <c r="Z497" s="1021"/>
      <c r="AA497" s="1021"/>
      <c r="AB497" s="1021"/>
      <c r="AC497" s="1021"/>
      <c r="AD497" s="1021"/>
      <c r="AE497" s="1021"/>
      <c r="AF497" s="1021"/>
      <c r="AG497" s="1021"/>
      <c r="AH497" s="1021"/>
      <c r="AI497" s="1021"/>
      <c r="AJ497" s="1021"/>
      <c r="AK497" s="1021"/>
      <c r="AL497" s="1021"/>
      <c r="AM497" s="1021"/>
      <c r="AN497" s="1021"/>
      <c r="AO497" s="1021"/>
      <c r="AP497" s="1021"/>
      <c r="AQ497" s="1021"/>
      <c r="AR497" s="1021"/>
      <c r="AS497" s="1021"/>
      <c r="AT497" s="1021"/>
      <c r="AU497" s="1021"/>
      <c r="AV497" s="1021"/>
      <c r="AW497" s="1021"/>
      <c r="AX497" s="1021"/>
      <c r="AY497" s="1021"/>
      <c r="AZ497" s="1021"/>
      <c r="BA497" s="1021"/>
      <c r="BB497" s="1021"/>
      <c r="BC497" s="1021"/>
      <c r="BD497" s="1021"/>
      <c r="BE497" s="1021"/>
      <c r="BF497" s="1021"/>
      <c r="BG497" s="1021"/>
      <c r="BH497" s="1021"/>
      <c r="BI497" s="1021"/>
      <c r="BJ497" s="1021"/>
      <c r="BK497" s="1021"/>
      <c r="BL497" s="1021"/>
      <c r="BM497" s="1021"/>
      <c r="BN497" s="1021"/>
      <c r="BO497" s="1021"/>
      <c r="BP497" s="1021"/>
      <c r="BQ497" s="1021"/>
      <c r="BR497" s="1021"/>
      <c r="BS497" s="1021"/>
      <c r="BT497" s="1021"/>
      <c r="BU497" s="1021"/>
      <c r="BV497" s="1021"/>
      <c r="BW497" s="1021"/>
      <c r="BX497" s="1021"/>
      <c r="BY497" s="1021"/>
      <c r="BZ497" s="1021"/>
      <c r="CA497" s="1021"/>
      <c r="CB497" s="1021"/>
      <c r="CC497" s="1021"/>
    </row>
    <row r="498" spans="8:81" x14ac:dyDescent="0.25">
      <c r="H498" s="1021"/>
      <c r="I498" s="1021"/>
      <c r="J498" s="1021"/>
      <c r="K498" s="1021"/>
      <c r="L498" s="1021"/>
      <c r="M498" s="1021"/>
      <c r="N498" s="1021"/>
      <c r="O498" s="1021"/>
      <c r="P498" s="1021"/>
      <c r="Q498" s="1021"/>
      <c r="R498" s="1021"/>
      <c r="S498" s="1021"/>
      <c r="T498" s="1021"/>
      <c r="U498" s="1021"/>
      <c r="V498" s="1021"/>
      <c r="W498" s="1021"/>
      <c r="X498" s="1021"/>
      <c r="Y498" s="1021"/>
      <c r="Z498" s="1021"/>
      <c r="AA498" s="1021"/>
      <c r="AB498" s="1021"/>
      <c r="AC498" s="1021"/>
      <c r="AD498" s="1021"/>
      <c r="AE498" s="1021"/>
      <c r="AF498" s="1021"/>
      <c r="AG498" s="1021"/>
      <c r="AH498" s="1021"/>
      <c r="AI498" s="1021"/>
      <c r="AJ498" s="1021"/>
      <c r="AK498" s="1021"/>
      <c r="AL498" s="1021"/>
      <c r="AM498" s="1021"/>
      <c r="AN498" s="1021"/>
      <c r="AO498" s="1021"/>
      <c r="AP498" s="1021"/>
      <c r="AQ498" s="1021"/>
      <c r="AR498" s="1021"/>
      <c r="AS498" s="1021"/>
      <c r="AT498" s="1021"/>
      <c r="AU498" s="1021"/>
      <c r="AV498" s="1021"/>
      <c r="AW498" s="1021"/>
      <c r="AX498" s="1021"/>
      <c r="AY498" s="1021"/>
      <c r="AZ498" s="1021"/>
      <c r="BA498" s="1021"/>
      <c r="BB498" s="1021"/>
      <c r="BC498" s="1021"/>
      <c r="BD498" s="1021"/>
      <c r="BE498" s="1021"/>
      <c r="BF498" s="1021"/>
      <c r="BG498" s="1021"/>
      <c r="BH498" s="1021"/>
      <c r="BI498" s="1021"/>
      <c r="BJ498" s="1021"/>
      <c r="BK498" s="1021"/>
      <c r="BL498" s="1021"/>
      <c r="BM498" s="1021"/>
      <c r="BN498" s="1021"/>
      <c r="BO498" s="1021"/>
      <c r="BP498" s="1021"/>
      <c r="BQ498" s="1021"/>
      <c r="BR498" s="1021"/>
      <c r="BS498" s="1021"/>
      <c r="BT498" s="1021"/>
      <c r="BU498" s="1021"/>
      <c r="BV498" s="1021"/>
      <c r="BW498" s="1021"/>
      <c r="BX498" s="1021"/>
      <c r="BY498" s="1021"/>
      <c r="BZ498" s="1021"/>
      <c r="CA498" s="1021"/>
      <c r="CB498" s="1021"/>
      <c r="CC498" s="1021"/>
    </row>
    <row r="499" spans="8:81" x14ac:dyDescent="0.25">
      <c r="H499" s="1021"/>
      <c r="I499" s="1021"/>
      <c r="J499" s="1021"/>
      <c r="K499" s="1021"/>
      <c r="L499" s="1021"/>
      <c r="M499" s="1021"/>
      <c r="N499" s="1021"/>
      <c r="O499" s="1021"/>
      <c r="P499" s="1021"/>
      <c r="Q499" s="1021"/>
      <c r="R499" s="1021"/>
      <c r="S499" s="1021"/>
      <c r="T499" s="1021"/>
      <c r="U499" s="1021"/>
      <c r="V499" s="1021"/>
      <c r="W499" s="1021"/>
      <c r="X499" s="1021"/>
      <c r="Y499" s="1021"/>
      <c r="Z499" s="1021"/>
      <c r="AA499" s="1021"/>
      <c r="AB499" s="1021"/>
      <c r="AC499" s="1021"/>
      <c r="AD499" s="1021"/>
      <c r="AE499" s="1021"/>
      <c r="AF499" s="1021"/>
      <c r="AG499" s="1021"/>
      <c r="AH499" s="1021"/>
      <c r="AI499" s="1021"/>
      <c r="AJ499" s="1021"/>
      <c r="AK499" s="1021"/>
      <c r="AL499" s="1021"/>
      <c r="AM499" s="1021"/>
      <c r="AN499" s="1021"/>
      <c r="AO499" s="1021"/>
      <c r="AP499" s="1021"/>
      <c r="AQ499" s="1021"/>
      <c r="AR499" s="1021"/>
      <c r="AS499" s="1021"/>
      <c r="AT499" s="1021"/>
      <c r="AU499" s="1021"/>
      <c r="AV499" s="1021"/>
      <c r="AW499" s="1021"/>
      <c r="AX499" s="1021"/>
      <c r="AY499" s="1021"/>
      <c r="AZ499" s="1021"/>
      <c r="BA499" s="1021"/>
      <c r="BB499" s="1021"/>
      <c r="BC499" s="1021"/>
      <c r="BD499" s="1021"/>
      <c r="BE499" s="1021"/>
      <c r="BF499" s="1021"/>
      <c r="BG499" s="1021"/>
      <c r="BH499" s="1021"/>
      <c r="BI499" s="1021"/>
      <c r="BJ499" s="1021"/>
      <c r="BK499" s="1021"/>
      <c r="BL499" s="1021"/>
      <c r="BM499" s="1021"/>
      <c r="BN499" s="1021"/>
      <c r="BO499" s="1021"/>
      <c r="BP499" s="1021"/>
      <c r="BQ499" s="1021"/>
      <c r="BR499" s="1021"/>
      <c r="BS499" s="1021"/>
      <c r="BT499" s="1021"/>
      <c r="BU499" s="1021"/>
      <c r="BV499" s="1021"/>
      <c r="BW499" s="1021"/>
      <c r="BX499" s="1021"/>
      <c r="BY499" s="1021"/>
      <c r="BZ499" s="1021"/>
      <c r="CA499" s="1021"/>
      <c r="CB499" s="1021"/>
      <c r="CC499" s="1021"/>
    </row>
    <row r="500" spans="8:81" x14ac:dyDescent="0.25">
      <c r="H500" s="1021"/>
      <c r="I500" s="1021"/>
      <c r="J500" s="1021"/>
      <c r="K500" s="1021"/>
      <c r="L500" s="1021"/>
      <c r="M500" s="1021"/>
      <c r="N500" s="1021"/>
      <c r="O500" s="1021"/>
      <c r="P500" s="1021"/>
      <c r="Q500" s="1021"/>
      <c r="R500" s="1021"/>
      <c r="S500" s="1021"/>
      <c r="T500" s="1021"/>
      <c r="U500" s="1021"/>
      <c r="V500" s="1021"/>
      <c r="W500" s="1021"/>
      <c r="X500" s="1021"/>
      <c r="Y500" s="1021"/>
      <c r="Z500" s="1021"/>
      <c r="AA500" s="1021"/>
      <c r="AB500" s="1021"/>
      <c r="AC500" s="1021"/>
      <c r="AD500" s="1021"/>
      <c r="AE500" s="1021"/>
      <c r="AF500" s="1021"/>
      <c r="AG500" s="1021"/>
      <c r="AH500" s="1021"/>
      <c r="AI500" s="1021"/>
      <c r="AJ500" s="1021"/>
      <c r="AK500" s="1021"/>
      <c r="AL500" s="1021"/>
      <c r="AM500" s="1021"/>
      <c r="AN500" s="1021"/>
      <c r="AO500" s="1021"/>
      <c r="AP500" s="1021"/>
      <c r="AQ500" s="1021"/>
      <c r="AR500" s="1021"/>
      <c r="AS500" s="1021"/>
      <c r="AT500" s="1021"/>
      <c r="AU500" s="1021"/>
      <c r="AV500" s="1021"/>
      <c r="AW500" s="1021"/>
      <c r="AX500" s="1021"/>
      <c r="AY500" s="1021"/>
      <c r="AZ500" s="1021"/>
      <c r="BA500" s="1021"/>
      <c r="BB500" s="1021"/>
      <c r="BC500" s="1021"/>
      <c r="BD500" s="1021"/>
      <c r="BE500" s="1021"/>
      <c r="BF500" s="1021"/>
      <c r="BG500" s="1021"/>
      <c r="BH500" s="1021"/>
      <c r="BI500" s="1021"/>
      <c r="BJ500" s="1021"/>
      <c r="BK500" s="1021"/>
      <c r="BL500" s="1021"/>
      <c r="BM500" s="1021"/>
      <c r="BN500" s="1021"/>
      <c r="BO500" s="1021"/>
      <c r="BP500" s="1021"/>
      <c r="BQ500" s="1021"/>
      <c r="BR500" s="1021"/>
      <c r="BS500" s="1021"/>
      <c r="BT500" s="1021"/>
      <c r="BU500" s="1021"/>
      <c r="BV500" s="1021"/>
      <c r="BW500" s="1021"/>
      <c r="BX500" s="1021"/>
      <c r="BY500" s="1021"/>
      <c r="BZ500" s="1021"/>
      <c r="CA500" s="1021"/>
      <c r="CB500" s="1021"/>
      <c r="CC500" s="1021"/>
    </row>
  </sheetData>
  <pageMargins left="0.75" right="0.75" top="1" bottom="1" header="0.5" footer="0.5"/>
  <pageSetup orientation="portrait" horizontalDpi="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J500"/>
  <sheetViews>
    <sheetView showGridLines="0" zoomScale="70" workbookViewId="0">
      <pane xSplit="1" ySplit="5" topLeftCell="DB6" activePane="bottomRight" state="frozenSplit"/>
      <selection activeCell="P109" sqref="P109"/>
      <selection pane="topRight" activeCell="P109" sqref="P109"/>
      <selection pane="bottomLeft" activeCell="P109" sqref="P109"/>
      <selection pane="bottomRight" activeCell="DJ6" sqref="DJ6"/>
    </sheetView>
  </sheetViews>
  <sheetFormatPr defaultRowHeight="13.2" x14ac:dyDescent="0.25"/>
  <cols>
    <col min="1" max="1" width="19" customWidth="1"/>
    <col min="2" max="6" width="5.44140625" customWidth="1"/>
    <col min="7" max="7" width="2.88671875" customWidth="1"/>
    <col min="8" max="106" width="11.88671875" customWidth="1"/>
    <col min="107" max="107" width="12.109375" bestFit="1" customWidth="1"/>
    <col min="112" max="114" width="17.44140625" customWidth="1"/>
  </cols>
  <sheetData>
    <row r="1" spans="1:114" x14ac:dyDescent="0.25">
      <c r="A1" s="1016" t="s">
        <v>363</v>
      </c>
      <c r="B1" s="192" t="s">
        <v>367</v>
      </c>
      <c r="C1" s="298"/>
      <c r="D1" s="298"/>
      <c r="E1" s="298"/>
      <c r="F1" s="242"/>
      <c r="H1" s="192" t="s">
        <v>601</v>
      </c>
      <c r="I1" s="298"/>
      <c r="J1" s="298"/>
      <c r="K1" s="298"/>
      <c r="L1" s="298"/>
      <c r="M1" s="298"/>
      <c r="N1" s="298"/>
      <c r="O1" s="298"/>
      <c r="P1" s="298"/>
      <c r="Q1" s="298"/>
      <c r="R1" s="298"/>
      <c r="S1" s="298"/>
      <c r="T1" s="298"/>
      <c r="U1" s="298"/>
      <c r="V1" s="298"/>
      <c r="W1" s="298"/>
      <c r="X1" s="298"/>
      <c r="Y1" s="298"/>
      <c r="Z1" s="298"/>
      <c r="AA1" s="298"/>
      <c r="AB1" s="298"/>
      <c r="AC1" s="298"/>
      <c r="AD1" s="298"/>
      <c r="AE1" s="242"/>
      <c r="AG1" s="192" t="s">
        <v>574</v>
      </c>
      <c r="AH1" s="298"/>
      <c r="AI1" s="298"/>
      <c r="AJ1" s="298"/>
      <c r="AK1" s="298"/>
      <c r="AL1" s="298"/>
      <c r="AM1" s="298"/>
      <c r="AN1" s="298"/>
      <c r="AO1" s="298"/>
      <c r="AP1" s="298"/>
      <c r="AQ1" s="298"/>
      <c r="AR1" s="298"/>
      <c r="AS1" s="298"/>
      <c r="AT1" s="298"/>
      <c r="AU1" s="298"/>
      <c r="AV1" s="298"/>
      <c r="AW1" s="298"/>
      <c r="AX1" s="298"/>
      <c r="AY1" s="298"/>
      <c r="AZ1" s="298"/>
      <c r="BA1" s="298"/>
      <c r="BB1" s="298"/>
      <c r="BC1" s="298"/>
      <c r="BD1" s="242"/>
      <c r="BF1" s="192" t="s">
        <v>575</v>
      </c>
      <c r="BG1" s="298"/>
      <c r="BH1" s="298"/>
      <c r="BI1" s="298"/>
      <c r="BJ1" s="298"/>
      <c r="BK1" s="298"/>
      <c r="BL1" s="298"/>
      <c r="BM1" s="298"/>
      <c r="BN1" s="298"/>
      <c r="BO1" s="298"/>
      <c r="BP1" s="298"/>
      <c r="BQ1" s="298"/>
      <c r="BR1" s="298"/>
      <c r="BS1" s="298"/>
      <c r="BT1" s="298"/>
      <c r="BU1" s="298"/>
      <c r="BV1" s="298"/>
      <c r="BW1" s="298"/>
      <c r="BX1" s="298"/>
      <c r="BY1" s="298"/>
      <c r="BZ1" s="298"/>
      <c r="CA1" s="298"/>
      <c r="CB1" s="298"/>
      <c r="CC1" s="242"/>
      <c r="CE1" s="192" t="s">
        <v>602</v>
      </c>
      <c r="CF1" s="298"/>
      <c r="CG1" s="298"/>
      <c r="CH1" s="298"/>
      <c r="CI1" s="298"/>
      <c r="CJ1" s="298"/>
      <c r="CK1" s="298"/>
      <c r="CL1" s="298"/>
      <c r="CM1" s="298"/>
      <c r="CN1" s="298"/>
      <c r="CO1" s="298"/>
      <c r="CP1" s="298"/>
      <c r="CQ1" s="298"/>
      <c r="CR1" s="298"/>
      <c r="CS1" s="298"/>
      <c r="CT1" s="298"/>
      <c r="CU1" s="298"/>
      <c r="CV1" s="298"/>
      <c r="CW1" s="298"/>
      <c r="CX1" s="298"/>
      <c r="CY1" s="298"/>
      <c r="CZ1" s="298"/>
      <c r="DA1" s="298"/>
      <c r="DB1" s="242"/>
    </row>
    <row r="2" spans="1:114" x14ac:dyDescent="0.25">
      <c r="A2" s="249"/>
      <c r="B2" s="257" t="s">
        <v>374</v>
      </c>
      <c r="C2" s="258"/>
      <c r="D2" s="258"/>
      <c r="E2" s="258"/>
      <c r="F2" s="259"/>
      <c r="H2" s="257" t="s">
        <v>600</v>
      </c>
      <c r="I2" s="258"/>
      <c r="J2" s="258"/>
      <c r="K2" s="258"/>
      <c r="L2" s="258"/>
      <c r="M2" s="258"/>
      <c r="N2" s="258"/>
      <c r="O2" s="258"/>
      <c r="P2" s="258"/>
      <c r="Q2" s="258"/>
      <c r="R2" s="258"/>
      <c r="S2" s="258"/>
      <c r="T2" s="258"/>
      <c r="U2" s="258"/>
      <c r="V2" s="258"/>
      <c r="W2" s="258"/>
      <c r="X2" s="258"/>
      <c r="Y2" s="258"/>
      <c r="Z2" s="258"/>
      <c r="AA2" s="258"/>
      <c r="AB2" s="258"/>
      <c r="AC2" s="258"/>
      <c r="AD2" s="258"/>
      <c r="AE2" s="259"/>
      <c r="AG2" s="257" t="s">
        <v>573</v>
      </c>
      <c r="AH2" s="258"/>
      <c r="AI2" s="258"/>
      <c r="AJ2" s="258"/>
      <c r="AK2" s="258"/>
      <c r="AL2" s="258"/>
      <c r="AM2" s="258"/>
      <c r="AN2" s="258"/>
      <c r="AO2" s="258"/>
      <c r="AP2" s="258"/>
      <c r="AQ2" s="258"/>
      <c r="AR2" s="258"/>
      <c r="AS2" s="258"/>
      <c r="AT2" s="258"/>
      <c r="AU2" s="258"/>
      <c r="AV2" s="258"/>
      <c r="AW2" s="258"/>
      <c r="AX2" s="258"/>
      <c r="AY2" s="258"/>
      <c r="AZ2" s="258"/>
      <c r="BA2" s="258"/>
      <c r="BB2" s="258"/>
      <c r="BC2" s="258"/>
      <c r="BD2" s="259"/>
      <c r="BF2" s="257" t="s">
        <v>573</v>
      </c>
      <c r="BG2" s="258"/>
      <c r="BH2" s="258"/>
      <c r="BI2" s="258"/>
      <c r="BJ2" s="258"/>
      <c r="BK2" s="258"/>
      <c r="BL2" s="258"/>
      <c r="BM2" s="258"/>
      <c r="BN2" s="258"/>
      <c r="BO2" s="258"/>
      <c r="BP2" s="258"/>
      <c r="BQ2" s="258"/>
      <c r="BR2" s="258"/>
      <c r="BS2" s="258"/>
      <c r="BT2" s="258"/>
      <c r="BU2" s="258"/>
      <c r="BV2" s="258"/>
      <c r="BW2" s="258"/>
      <c r="BX2" s="258"/>
      <c r="BY2" s="258"/>
      <c r="BZ2" s="258"/>
      <c r="CA2" s="258"/>
      <c r="CB2" s="258"/>
      <c r="CC2" s="259"/>
      <c r="CE2" s="257" t="s">
        <v>573</v>
      </c>
      <c r="CF2" s="258"/>
      <c r="CG2" s="258"/>
      <c r="CH2" s="258"/>
      <c r="CI2" s="258"/>
      <c r="CJ2" s="258"/>
      <c r="CK2" s="258"/>
      <c r="CL2" s="258"/>
      <c r="CM2" s="258"/>
      <c r="CN2" s="258"/>
      <c r="CO2" s="258"/>
      <c r="CP2" s="258"/>
      <c r="CQ2" s="258"/>
      <c r="CR2" s="258"/>
      <c r="CS2" s="258"/>
      <c r="CT2" s="258"/>
      <c r="CU2" s="258"/>
      <c r="CV2" s="258"/>
      <c r="CW2" s="258"/>
      <c r="CX2" s="258"/>
      <c r="CY2" s="258"/>
      <c r="CZ2" s="258"/>
      <c r="DA2" s="258"/>
      <c r="DB2" s="259"/>
    </row>
    <row r="3" spans="1:114" x14ac:dyDescent="0.25">
      <c r="A3" s="262" t="s">
        <v>394</v>
      </c>
      <c r="B3" s="269" t="s">
        <v>400</v>
      </c>
      <c r="C3" s="267"/>
      <c r="D3" s="267"/>
      <c r="E3" s="267"/>
      <c r="F3" s="268"/>
      <c r="H3" s="269">
        <v>1</v>
      </c>
      <c r="I3" s="267">
        <v>1</v>
      </c>
      <c r="J3" s="267">
        <v>1</v>
      </c>
      <c r="K3" s="267">
        <v>1</v>
      </c>
      <c r="L3" s="267">
        <v>2</v>
      </c>
      <c r="M3" s="267">
        <v>2</v>
      </c>
      <c r="N3" s="267">
        <v>2</v>
      </c>
      <c r="O3" s="267">
        <v>2</v>
      </c>
      <c r="P3" s="267">
        <v>3</v>
      </c>
      <c r="Q3" s="267">
        <v>3</v>
      </c>
      <c r="R3" s="267">
        <v>3</v>
      </c>
      <c r="S3" s="267">
        <v>3</v>
      </c>
      <c r="T3" s="267">
        <v>4</v>
      </c>
      <c r="U3" s="267">
        <v>4</v>
      </c>
      <c r="V3" s="267">
        <v>4</v>
      </c>
      <c r="W3" s="267">
        <v>4</v>
      </c>
      <c r="X3" s="267">
        <v>5</v>
      </c>
      <c r="Y3" s="267">
        <v>5</v>
      </c>
      <c r="Z3" s="267">
        <v>5</v>
      </c>
      <c r="AA3" s="267">
        <v>5</v>
      </c>
      <c r="AB3" s="267">
        <v>6</v>
      </c>
      <c r="AC3" s="267">
        <v>6</v>
      </c>
      <c r="AD3" s="267">
        <v>6</v>
      </c>
      <c r="AE3" s="268">
        <v>6</v>
      </c>
      <c r="AG3" s="269">
        <v>1</v>
      </c>
      <c r="AH3" s="267">
        <v>1</v>
      </c>
      <c r="AI3" s="267">
        <v>1</v>
      </c>
      <c r="AJ3" s="267">
        <v>1</v>
      </c>
      <c r="AK3" s="267">
        <v>2</v>
      </c>
      <c r="AL3" s="267">
        <v>2</v>
      </c>
      <c r="AM3" s="267">
        <v>2</v>
      </c>
      <c r="AN3" s="267">
        <v>2</v>
      </c>
      <c r="AO3" s="267">
        <v>3</v>
      </c>
      <c r="AP3" s="267">
        <v>3</v>
      </c>
      <c r="AQ3" s="267">
        <v>3</v>
      </c>
      <c r="AR3" s="267">
        <v>3</v>
      </c>
      <c r="AS3" s="267">
        <v>4</v>
      </c>
      <c r="AT3" s="267">
        <v>4</v>
      </c>
      <c r="AU3" s="267">
        <v>4</v>
      </c>
      <c r="AV3" s="267">
        <v>4</v>
      </c>
      <c r="AW3" s="267">
        <v>5</v>
      </c>
      <c r="AX3" s="267">
        <v>5</v>
      </c>
      <c r="AY3" s="267">
        <v>5</v>
      </c>
      <c r="AZ3" s="267">
        <v>5</v>
      </c>
      <c r="BA3" s="267">
        <v>6</v>
      </c>
      <c r="BB3" s="267">
        <v>6</v>
      </c>
      <c r="BC3" s="267">
        <v>6</v>
      </c>
      <c r="BD3" s="268">
        <v>6</v>
      </c>
      <c r="BF3" s="269">
        <v>1</v>
      </c>
      <c r="BG3" s="267">
        <v>1</v>
      </c>
      <c r="BH3" s="267">
        <v>1</v>
      </c>
      <c r="BI3" s="267">
        <v>1</v>
      </c>
      <c r="BJ3" s="267">
        <v>2</v>
      </c>
      <c r="BK3" s="267">
        <v>2</v>
      </c>
      <c r="BL3" s="267">
        <v>2</v>
      </c>
      <c r="BM3" s="267">
        <v>2</v>
      </c>
      <c r="BN3" s="267">
        <v>3</v>
      </c>
      <c r="BO3" s="267">
        <v>3</v>
      </c>
      <c r="BP3" s="267">
        <v>3</v>
      </c>
      <c r="BQ3" s="267">
        <v>3</v>
      </c>
      <c r="BR3" s="267">
        <v>4</v>
      </c>
      <c r="BS3" s="267">
        <v>4</v>
      </c>
      <c r="BT3" s="267">
        <v>4</v>
      </c>
      <c r="BU3" s="267">
        <v>4</v>
      </c>
      <c r="BV3" s="267">
        <v>5</v>
      </c>
      <c r="BW3" s="267">
        <v>5</v>
      </c>
      <c r="BX3" s="267">
        <v>5</v>
      </c>
      <c r="BY3" s="267">
        <v>5</v>
      </c>
      <c r="BZ3" s="267">
        <v>6</v>
      </c>
      <c r="CA3" s="267">
        <v>6</v>
      </c>
      <c r="CB3" s="267">
        <v>6</v>
      </c>
      <c r="CC3" s="268">
        <v>6</v>
      </c>
      <c r="CE3" s="269">
        <v>1</v>
      </c>
      <c r="CF3" s="267">
        <v>1</v>
      </c>
      <c r="CG3" s="267">
        <v>1</v>
      </c>
      <c r="CH3" s="267">
        <v>1</v>
      </c>
      <c r="CI3" s="267">
        <v>2</v>
      </c>
      <c r="CJ3" s="267">
        <v>2</v>
      </c>
      <c r="CK3" s="267">
        <v>2</v>
      </c>
      <c r="CL3" s="267">
        <v>2</v>
      </c>
      <c r="CM3" s="267">
        <v>3</v>
      </c>
      <c r="CN3" s="267">
        <v>3</v>
      </c>
      <c r="CO3" s="267">
        <v>3</v>
      </c>
      <c r="CP3" s="267">
        <v>3</v>
      </c>
      <c r="CQ3" s="267">
        <v>4</v>
      </c>
      <c r="CR3" s="267">
        <v>4</v>
      </c>
      <c r="CS3" s="267">
        <v>4</v>
      </c>
      <c r="CT3" s="267">
        <v>4</v>
      </c>
      <c r="CU3" s="267">
        <v>5</v>
      </c>
      <c r="CV3" s="267">
        <v>5</v>
      </c>
      <c r="CW3" s="267">
        <v>5</v>
      </c>
      <c r="CX3" s="267">
        <v>5</v>
      </c>
      <c r="CY3" s="267">
        <v>6</v>
      </c>
      <c r="CZ3" s="267">
        <v>6</v>
      </c>
      <c r="DA3" s="267">
        <v>6</v>
      </c>
      <c r="DB3" s="268">
        <v>6</v>
      </c>
      <c r="DH3" s="1015" t="s">
        <v>604</v>
      </c>
      <c r="DI3" s="1015" t="s">
        <v>398</v>
      </c>
      <c r="DJ3" s="1015" t="s">
        <v>605</v>
      </c>
    </row>
    <row r="4" spans="1:114" x14ac:dyDescent="0.25">
      <c r="A4" s="262" t="s">
        <v>15</v>
      </c>
      <c r="B4" s="262" t="s">
        <v>420</v>
      </c>
      <c r="C4" s="246" t="s">
        <v>21</v>
      </c>
      <c r="D4" s="246" t="s">
        <v>22</v>
      </c>
      <c r="E4" s="246" t="s">
        <v>23</v>
      </c>
      <c r="F4" s="263" t="s">
        <v>257</v>
      </c>
      <c r="H4" s="262" t="s">
        <v>558</v>
      </c>
      <c r="I4" s="246" t="s">
        <v>558</v>
      </c>
      <c r="J4" s="246" t="s">
        <v>558</v>
      </c>
      <c r="K4" s="246" t="s">
        <v>558</v>
      </c>
      <c r="L4" s="246" t="s">
        <v>559</v>
      </c>
      <c r="M4" s="246" t="s">
        <v>559</v>
      </c>
      <c r="N4" s="246" t="s">
        <v>559</v>
      </c>
      <c r="O4" s="246" t="s">
        <v>559</v>
      </c>
      <c r="P4" s="246" t="s">
        <v>560</v>
      </c>
      <c r="Q4" s="246" t="s">
        <v>560</v>
      </c>
      <c r="R4" s="246" t="s">
        <v>560</v>
      </c>
      <c r="S4" s="246" t="s">
        <v>560</v>
      </c>
      <c r="T4" s="246" t="s">
        <v>561</v>
      </c>
      <c r="U4" s="246" t="s">
        <v>561</v>
      </c>
      <c r="V4" s="246" t="s">
        <v>561</v>
      </c>
      <c r="W4" s="246" t="s">
        <v>561</v>
      </c>
      <c r="X4" s="246" t="s">
        <v>562</v>
      </c>
      <c r="Y4" s="246" t="s">
        <v>562</v>
      </c>
      <c r="Z4" s="246" t="s">
        <v>562</v>
      </c>
      <c r="AA4" s="246" t="s">
        <v>562</v>
      </c>
      <c r="AB4" s="246" t="s">
        <v>563</v>
      </c>
      <c r="AC4" s="246" t="s">
        <v>563</v>
      </c>
      <c r="AD4" s="246" t="s">
        <v>563</v>
      </c>
      <c r="AE4" s="263" t="s">
        <v>563</v>
      </c>
      <c r="AG4" s="262" t="s">
        <v>564</v>
      </c>
      <c r="AH4" s="246" t="s">
        <v>564</v>
      </c>
      <c r="AI4" s="246" t="s">
        <v>564</v>
      </c>
      <c r="AJ4" s="246" t="s">
        <v>564</v>
      </c>
      <c r="AK4" s="246" t="s">
        <v>565</v>
      </c>
      <c r="AL4" s="246" t="s">
        <v>565</v>
      </c>
      <c r="AM4" s="246" t="s">
        <v>565</v>
      </c>
      <c r="AN4" s="246" t="s">
        <v>565</v>
      </c>
      <c r="AO4" s="246" t="s">
        <v>566</v>
      </c>
      <c r="AP4" s="246" t="s">
        <v>566</v>
      </c>
      <c r="AQ4" s="246" t="s">
        <v>566</v>
      </c>
      <c r="AR4" s="246" t="s">
        <v>566</v>
      </c>
      <c r="AS4" s="246" t="s">
        <v>567</v>
      </c>
      <c r="AT4" s="246" t="s">
        <v>567</v>
      </c>
      <c r="AU4" s="246" t="s">
        <v>567</v>
      </c>
      <c r="AV4" s="246" t="s">
        <v>567</v>
      </c>
      <c r="AW4" s="246" t="s">
        <v>568</v>
      </c>
      <c r="AX4" s="246" t="s">
        <v>568</v>
      </c>
      <c r="AY4" s="246" t="s">
        <v>568</v>
      </c>
      <c r="AZ4" s="246" t="s">
        <v>568</v>
      </c>
      <c r="BA4" s="246" t="s">
        <v>569</v>
      </c>
      <c r="BB4" s="246" t="s">
        <v>569</v>
      </c>
      <c r="BC4" s="246" t="s">
        <v>569</v>
      </c>
      <c r="BD4" s="263" t="s">
        <v>569</v>
      </c>
      <c r="BF4" s="262" t="s">
        <v>564</v>
      </c>
      <c r="BG4" s="246" t="s">
        <v>564</v>
      </c>
      <c r="BH4" s="246" t="s">
        <v>564</v>
      </c>
      <c r="BI4" s="246" t="s">
        <v>564</v>
      </c>
      <c r="BJ4" s="246" t="s">
        <v>565</v>
      </c>
      <c r="BK4" s="246" t="s">
        <v>565</v>
      </c>
      <c r="BL4" s="246" t="s">
        <v>565</v>
      </c>
      <c r="BM4" s="246" t="s">
        <v>565</v>
      </c>
      <c r="BN4" s="246" t="s">
        <v>566</v>
      </c>
      <c r="BO4" s="246" t="s">
        <v>566</v>
      </c>
      <c r="BP4" s="246" t="s">
        <v>566</v>
      </c>
      <c r="BQ4" s="246" t="s">
        <v>566</v>
      </c>
      <c r="BR4" s="246" t="s">
        <v>567</v>
      </c>
      <c r="BS4" s="246" t="s">
        <v>567</v>
      </c>
      <c r="BT4" s="246" t="s">
        <v>567</v>
      </c>
      <c r="BU4" s="246" t="s">
        <v>567</v>
      </c>
      <c r="BV4" s="246" t="s">
        <v>568</v>
      </c>
      <c r="BW4" s="246" t="s">
        <v>568</v>
      </c>
      <c r="BX4" s="246" t="s">
        <v>568</v>
      </c>
      <c r="BY4" s="246" t="s">
        <v>568</v>
      </c>
      <c r="BZ4" s="246" t="s">
        <v>569</v>
      </c>
      <c r="CA4" s="246" t="s">
        <v>569</v>
      </c>
      <c r="CB4" s="246" t="s">
        <v>569</v>
      </c>
      <c r="CC4" s="263" t="s">
        <v>569</v>
      </c>
      <c r="CE4" s="262" t="s">
        <v>564</v>
      </c>
      <c r="CF4" s="246" t="s">
        <v>564</v>
      </c>
      <c r="CG4" s="246" t="s">
        <v>564</v>
      </c>
      <c r="CH4" s="246" t="s">
        <v>564</v>
      </c>
      <c r="CI4" s="246" t="s">
        <v>565</v>
      </c>
      <c r="CJ4" s="246" t="s">
        <v>565</v>
      </c>
      <c r="CK4" s="246" t="s">
        <v>565</v>
      </c>
      <c r="CL4" s="246" t="s">
        <v>565</v>
      </c>
      <c r="CM4" s="246" t="s">
        <v>566</v>
      </c>
      <c r="CN4" s="246" t="s">
        <v>566</v>
      </c>
      <c r="CO4" s="246" t="s">
        <v>566</v>
      </c>
      <c r="CP4" s="246" t="s">
        <v>566</v>
      </c>
      <c r="CQ4" s="246" t="s">
        <v>567</v>
      </c>
      <c r="CR4" s="246" t="s">
        <v>567</v>
      </c>
      <c r="CS4" s="246" t="s">
        <v>567</v>
      </c>
      <c r="CT4" s="246" t="s">
        <v>567</v>
      </c>
      <c r="CU4" s="246" t="s">
        <v>568</v>
      </c>
      <c r="CV4" s="246" t="s">
        <v>568</v>
      </c>
      <c r="CW4" s="246" t="s">
        <v>568</v>
      </c>
      <c r="CX4" s="246" t="s">
        <v>568</v>
      </c>
      <c r="CY4" s="246" t="s">
        <v>569</v>
      </c>
      <c r="CZ4" s="246" t="s">
        <v>569</v>
      </c>
      <c r="DA4" s="246" t="s">
        <v>569</v>
      </c>
      <c r="DB4" s="263" t="s">
        <v>569</v>
      </c>
      <c r="DH4" s="1015" t="s">
        <v>603</v>
      </c>
      <c r="DI4" s="1015" t="s">
        <v>418</v>
      </c>
      <c r="DJ4" s="1015" t="s">
        <v>603</v>
      </c>
    </row>
    <row r="5" spans="1:114" ht="13.8" thickBot="1" x14ac:dyDescent="0.3">
      <c r="A5" s="277"/>
      <c r="B5" s="292" t="s">
        <v>426</v>
      </c>
      <c r="C5" s="291" t="s">
        <v>426</v>
      </c>
      <c r="D5" s="291" t="s">
        <v>426</v>
      </c>
      <c r="E5" s="291"/>
      <c r="F5" s="952"/>
      <c r="H5" s="292" t="s">
        <v>576</v>
      </c>
      <c r="I5" s="291" t="s">
        <v>577</v>
      </c>
      <c r="J5" s="291" t="s">
        <v>578</v>
      </c>
      <c r="K5" s="291" t="s">
        <v>579</v>
      </c>
      <c r="L5" s="291" t="s">
        <v>580</v>
      </c>
      <c r="M5" s="291" t="s">
        <v>581</v>
      </c>
      <c r="N5" s="291" t="s">
        <v>582</v>
      </c>
      <c r="O5" s="291" t="s">
        <v>583</v>
      </c>
      <c r="P5" s="291" t="s">
        <v>584</v>
      </c>
      <c r="Q5" s="291" t="s">
        <v>585</v>
      </c>
      <c r="R5" s="291" t="s">
        <v>586</v>
      </c>
      <c r="S5" s="291" t="s">
        <v>587</v>
      </c>
      <c r="T5" s="291" t="s">
        <v>588</v>
      </c>
      <c r="U5" s="291" t="s">
        <v>589</v>
      </c>
      <c r="V5" s="291" t="s">
        <v>590</v>
      </c>
      <c r="W5" s="291" t="s">
        <v>591</v>
      </c>
      <c r="X5" s="291" t="s">
        <v>592</v>
      </c>
      <c r="Y5" s="291" t="s">
        <v>593</v>
      </c>
      <c r="Z5" s="291" t="s">
        <v>594</v>
      </c>
      <c r="AA5" s="291" t="s">
        <v>595</v>
      </c>
      <c r="AB5" s="291" t="s">
        <v>596</v>
      </c>
      <c r="AC5" s="291" t="s">
        <v>597</v>
      </c>
      <c r="AD5" s="291" t="s">
        <v>598</v>
      </c>
      <c r="AE5" s="952" t="s">
        <v>599</v>
      </c>
      <c r="AG5" s="292" t="s">
        <v>576</v>
      </c>
      <c r="AH5" s="291" t="s">
        <v>577</v>
      </c>
      <c r="AI5" s="291" t="s">
        <v>578</v>
      </c>
      <c r="AJ5" s="291" t="s">
        <v>579</v>
      </c>
      <c r="AK5" s="291" t="s">
        <v>580</v>
      </c>
      <c r="AL5" s="291" t="s">
        <v>581</v>
      </c>
      <c r="AM5" s="291" t="s">
        <v>582</v>
      </c>
      <c r="AN5" s="291" t="s">
        <v>583</v>
      </c>
      <c r="AO5" s="291" t="s">
        <v>584</v>
      </c>
      <c r="AP5" s="291" t="s">
        <v>585</v>
      </c>
      <c r="AQ5" s="291" t="s">
        <v>586</v>
      </c>
      <c r="AR5" s="291" t="s">
        <v>587</v>
      </c>
      <c r="AS5" s="291" t="s">
        <v>588</v>
      </c>
      <c r="AT5" s="291" t="s">
        <v>589</v>
      </c>
      <c r="AU5" s="291" t="s">
        <v>590</v>
      </c>
      <c r="AV5" s="291" t="s">
        <v>591</v>
      </c>
      <c r="AW5" s="291" t="s">
        <v>592</v>
      </c>
      <c r="AX5" s="291" t="s">
        <v>593</v>
      </c>
      <c r="AY5" s="291" t="s">
        <v>594</v>
      </c>
      <c r="AZ5" s="291" t="s">
        <v>595</v>
      </c>
      <c r="BA5" s="291" t="s">
        <v>596</v>
      </c>
      <c r="BB5" s="291" t="s">
        <v>597</v>
      </c>
      <c r="BC5" s="291" t="s">
        <v>598</v>
      </c>
      <c r="BD5" s="952" t="s">
        <v>599</v>
      </c>
      <c r="BF5" s="292" t="s">
        <v>576</v>
      </c>
      <c r="BG5" s="291" t="s">
        <v>577</v>
      </c>
      <c r="BH5" s="291" t="s">
        <v>578</v>
      </c>
      <c r="BI5" s="291" t="s">
        <v>579</v>
      </c>
      <c r="BJ5" s="291" t="s">
        <v>580</v>
      </c>
      <c r="BK5" s="291" t="s">
        <v>581</v>
      </c>
      <c r="BL5" s="291" t="s">
        <v>582</v>
      </c>
      <c r="BM5" s="291" t="s">
        <v>583</v>
      </c>
      <c r="BN5" s="291" t="s">
        <v>584</v>
      </c>
      <c r="BO5" s="291" t="s">
        <v>585</v>
      </c>
      <c r="BP5" s="291" t="s">
        <v>586</v>
      </c>
      <c r="BQ5" s="291" t="s">
        <v>587</v>
      </c>
      <c r="BR5" s="291" t="s">
        <v>588</v>
      </c>
      <c r="BS5" s="291" t="s">
        <v>589</v>
      </c>
      <c r="BT5" s="291" t="s">
        <v>590</v>
      </c>
      <c r="BU5" s="291" t="s">
        <v>591</v>
      </c>
      <c r="BV5" s="291" t="s">
        <v>592</v>
      </c>
      <c r="BW5" s="291" t="s">
        <v>593</v>
      </c>
      <c r="BX5" s="291" t="s">
        <v>594</v>
      </c>
      <c r="BY5" s="291" t="s">
        <v>595</v>
      </c>
      <c r="BZ5" s="291" t="s">
        <v>596</v>
      </c>
      <c r="CA5" s="291" t="s">
        <v>597</v>
      </c>
      <c r="CB5" s="291" t="s">
        <v>598</v>
      </c>
      <c r="CC5" s="952" t="s">
        <v>599</v>
      </c>
      <c r="CE5" s="292" t="s">
        <v>576</v>
      </c>
      <c r="CF5" s="291" t="s">
        <v>577</v>
      </c>
      <c r="CG5" s="291" t="s">
        <v>578</v>
      </c>
      <c r="CH5" s="291" t="s">
        <v>579</v>
      </c>
      <c r="CI5" s="291" t="s">
        <v>580</v>
      </c>
      <c r="CJ5" s="291" t="s">
        <v>581</v>
      </c>
      <c r="CK5" s="291" t="s">
        <v>582</v>
      </c>
      <c r="CL5" s="291" t="s">
        <v>583</v>
      </c>
      <c r="CM5" s="291" t="s">
        <v>584</v>
      </c>
      <c r="CN5" s="291" t="s">
        <v>585</v>
      </c>
      <c r="CO5" s="291" t="s">
        <v>586</v>
      </c>
      <c r="CP5" s="291" t="s">
        <v>587</v>
      </c>
      <c r="CQ5" s="291" t="s">
        <v>588</v>
      </c>
      <c r="CR5" s="291" t="s">
        <v>589</v>
      </c>
      <c r="CS5" s="291" t="s">
        <v>590</v>
      </c>
      <c r="CT5" s="291" t="s">
        <v>591</v>
      </c>
      <c r="CU5" s="291" t="s">
        <v>592</v>
      </c>
      <c r="CV5" s="291" t="s">
        <v>593</v>
      </c>
      <c r="CW5" s="291" t="s">
        <v>594</v>
      </c>
      <c r="CX5" s="291" t="s">
        <v>595</v>
      </c>
      <c r="CY5" s="291" t="s">
        <v>596</v>
      </c>
      <c r="CZ5" s="291" t="s">
        <v>597</v>
      </c>
      <c r="DA5" s="291" t="s">
        <v>598</v>
      </c>
      <c r="DB5" s="952" t="s">
        <v>599</v>
      </c>
    </row>
    <row r="6" spans="1:114" x14ac:dyDescent="0.25">
      <c r="A6" s="244">
        <v>36892</v>
      </c>
      <c r="B6" s="13">
        <v>22</v>
      </c>
      <c r="C6" s="210">
        <v>4</v>
      </c>
      <c r="D6" s="210">
        <v>4</v>
      </c>
      <c r="E6" s="210">
        <v>1</v>
      </c>
      <c r="F6" s="13">
        <v>31</v>
      </c>
      <c r="H6" s="1021">
        <f>(VLOOKUP(YEAR($A6),'NY East Load Projections'!$A$4:$EO$14,((MONTH($A6)-1)*12)+VLOOKUP(H$4,$DE$6:$DF$17,2)+1))*(VLOOKUP($A6,CURVES!$D$9:$K$261,8))*(INDEX(DailyScalarsTable,H$5/100,MONTH($A6)))*$B6</f>
        <v>-2305.0785944752502</v>
      </c>
      <c r="I6" s="1021">
        <f>(VLOOKUP(YEAR($A6),'NY East Load Projections'!$A$4:$EO$14,((MONTH($A6)-1)*12)+VLOOKUP(I$4,$DE$6:$DF$17,2)+1))*(VLOOKUP($A6,CURVES!$D$9:$K$261,8))*(INDEX(DailyScalarsTable,I$5/100,MONTH($A6)))*$B6</f>
        <v>-2260.1692414667154</v>
      </c>
      <c r="J6" s="1021">
        <f>(VLOOKUP(YEAR($A6),'NY East Load Projections'!$A$4:$EO$14,((MONTH($A6)-1)*12)+VLOOKUP(J$4,$DE$6:$DF$17,2)+1))*(VLOOKUP($A6,CURVES!$D$9:$K$261,8))*(INDEX(DailyScalarsTable,J$5/100,MONTH($A6)))*$B6</f>
        <v>-2071.1073785453</v>
      </c>
      <c r="K6" s="1021">
        <f>(VLOOKUP(YEAR($A6),'NY East Load Projections'!$A$4:$EO$14,((MONTH($A6)-1)*12)+VLOOKUP(K$4,$DE$6:$DF$17,2)+1))*(VLOOKUP($A6,CURVES!$D$9:$K$261,8))*(INDEX(DailyScalarsTable,K$5/100,MONTH($A6)))*$B6</f>
        <v>-2069.8551549185036</v>
      </c>
      <c r="L6" s="1021">
        <f>(VLOOKUP(YEAR($A6),'NY East Load Projections'!$A$4:$EO$14,((MONTH($A6)-1)*12)+VLOOKUP(L$4,$DE$6:$DF$17,2)+1))*(VLOOKUP($A6,CURVES!$D$9:$K$261,8))*(INDEX(DailyScalarsTable,L$5/100,MONTH($A6)))*$B6</f>
        <v>-4220.8004741577724</v>
      </c>
      <c r="M6" s="1021">
        <f>(VLOOKUP(YEAR($A6),'NY East Load Projections'!$A$4:$EO$14,((MONTH($A6)-1)*12)+VLOOKUP(M$4,$DE$6:$DF$17,2)+1))*(VLOOKUP($A6,CURVES!$D$9:$K$261,8))*(INDEX(DailyScalarsTable,M$5/100,MONTH($A6)))*$B6</f>
        <v>-4504.5140559410893</v>
      </c>
      <c r="N6" s="1021">
        <f>(VLOOKUP(YEAR($A6),'NY East Load Projections'!$A$4:$EO$14,((MONTH($A6)-1)*12)+VLOOKUP(N$4,$DE$6:$DF$17,2)+1))*(VLOOKUP($A6,CURVES!$D$9:$K$261,8))*(INDEX(DailyScalarsTable,N$5/100,MONTH($A6)))*$B6</f>
        <v>-8626.0895691588266</v>
      </c>
      <c r="O6" s="1021">
        <f>(VLOOKUP(YEAR($A6),'NY East Load Projections'!$A$4:$EO$14,((MONTH($A6)-1)*12)+VLOOKUP(O$4,$DE$6:$DF$17,2)+1))*(VLOOKUP($A6,CURVES!$D$9:$K$261,4))*(INDEX(DailyScalarsTable,O$5/100,MONTH($A6)))*$B6</f>
        <v>-10297.429174819827</v>
      </c>
      <c r="P6" s="1021">
        <f>(VLOOKUP(YEAR($A6),'NY East Load Projections'!$A$4:$EO$14,((MONTH($A6)-1)*12)+VLOOKUP(P$4,$DE$6:$DF$17,2)+1))*(VLOOKUP($A6,CURVES!$D$9:$K$261,4))*(INDEX(DailyScalarsTable,P$5/100,MONTH($A6)))*$B6</f>
        <v>-10861.198038217593</v>
      </c>
      <c r="Q6" s="1021">
        <f>(VLOOKUP(YEAR($A6),'NY East Load Projections'!$A$4:$EO$14,((MONTH($A6)-1)*12)+VLOOKUP(Q$4,$DE$6:$DF$17,2)+1))*(VLOOKUP($A6,CURVES!$D$9:$K$261,4))*(INDEX(DailyScalarsTable,Q$5/100,MONTH($A6)))*$B6</f>
        <v>-10828.140914020705</v>
      </c>
      <c r="R6" s="1021">
        <f>(VLOOKUP(YEAR($A6),'NY East Load Projections'!$A$4:$EO$14,((MONTH($A6)-1)*12)+VLOOKUP(R$4,$DE$6:$DF$17,2)+1))*(VLOOKUP($A6,CURVES!$D$9:$K$261,4))*(INDEX(DailyScalarsTable,R$5/100,MONTH($A6)))*$B6</f>
        <v>-10639.175652822641</v>
      </c>
      <c r="S6" s="1021">
        <f>(VLOOKUP(YEAR($A6),'NY East Load Projections'!$A$4:$EO$14,((MONTH($A6)-1)*12)+VLOOKUP(S$4,$DE$6:$DF$17,2)+1))*(VLOOKUP($A6,CURVES!$D$9:$K$261,4))*(INDEX(DailyScalarsTable,S$5/100,MONTH($A6)))*$B6</f>
        <v>-7969.7491711451794</v>
      </c>
      <c r="T6" s="1021">
        <f>(VLOOKUP(YEAR($A6),'NY East Load Projections'!$A$4:$EO$14,((MONTH($A6)-1)*12)+VLOOKUP(T$4,$DE$6:$DF$17,2)+1))*(VLOOKUP($A6,CURVES!$D$9:$K$261,4))*(INDEX(DailyScalarsTable,T$5/100,MONTH($A6)))*$B6</f>
        <v>-7660.8533999297288</v>
      </c>
      <c r="U6" s="1021">
        <f>(VLOOKUP(YEAR($A6),'NY East Load Projections'!$A$4:$EO$14,((MONTH($A6)-1)*12)+VLOOKUP(U$4,$DE$6:$DF$17,2)+1))*(VLOOKUP($A6,CURVES!$D$9:$K$261,4))*(INDEX(DailyScalarsTable,U$5/100,MONTH($A6)))*$B6</f>
        <v>-7413.4978151870291</v>
      </c>
      <c r="V6" s="1021">
        <f>(VLOOKUP(YEAR($A6),'NY East Load Projections'!$A$4:$EO$14,((MONTH($A6)-1)*12)+VLOOKUP(V$4,$DE$6:$DF$17,2)+1))*(VLOOKUP($A6,CURVES!$D$9:$K$261,4))*(INDEX(DailyScalarsTable,V$5/100,MONTH($A6)))*$B6</f>
        <v>-7036.1909268657346</v>
      </c>
      <c r="W6" s="1021">
        <f>(VLOOKUP(YEAR($A6),'NY East Load Projections'!$A$4:$EO$14,((MONTH($A6)-1)*12)+VLOOKUP(W$4,$DE$6:$DF$17,2)+1))*(VLOOKUP($A6,CURVES!$D$9:$K$261,4))*(INDEX(DailyScalarsTable,W$5/100,MONTH($A6)))*$B6</f>
        <v>-6894.5888167594057</v>
      </c>
      <c r="X6" s="1021">
        <f>(VLOOKUP(YEAR($A6),'NY East Load Projections'!$A$4:$EO$14,((MONTH($A6)-1)*12)+VLOOKUP(X$4,$DE$6:$DF$17,2)+1))*(VLOOKUP($A6,CURVES!$D$9:$K$261,4))*(INDEX(DailyScalarsTable,X$5/100,MONTH($A6)))*$B6</f>
        <v>-6641.1801692269655</v>
      </c>
      <c r="Y6" s="1021">
        <f>(VLOOKUP(YEAR($A6),'NY East Load Projections'!$A$4:$EO$14,((MONTH($A6)-1)*12)+VLOOKUP(Y$4,$DE$6:$DF$17,2)+1))*(VLOOKUP($A6,CURVES!$D$9:$K$261,4))*(INDEX(DailyScalarsTable,Y$5/100,MONTH($A6)))*$B6</f>
        <v>-9240.9136835991485</v>
      </c>
      <c r="Z6" s="1021">
        <f>(VLOOKUP(YEAR($A6),'NY East Load Projections'!$A$4:$EO$14,((MONTH($A6)-1)*12)+VLOOKUP(Z$4,$DE$6:$DF$17,2)+1))*(VLOOKUP($A6,CURVES!$D$9:$K$261,4))*(INDEX(DailyScalarsTable,Z$5/100,MONTH($A6)))*$B6</f>
        <v>-10139.737658655296</v>
      </c>
      <c r="AA6" s="1021">
        <f>(VLOOKUP(YEAR($A6),'NY East Load Projections'!$A$4:$EO$14,((MONTH($A6)-1)*12)+VLOOKUP(AA$4,$DE$6:$DF$17,2)+1))*(VLOOKUP($A6,CURVES!$D$9:$K$261,4))*(INDEX(DailyScalarsTable,AA$5/100,MONTH($A6)))*$B6</f>
        <v>-9705.4884083390752</v>
      </c>
      <c r="AB6" s="1021">
        <f>(VLOOKUP(YEAR($A6),'NY East Load Projections'!$A$4:$EO$14,((MONTH($A6)-1)*12)+VLOOKUP(AB$4,$DE$6:$DF$17,2)+1))*(VLOOKUP($A6,CURVES!$D$9:$K$261,4))*(INDEX(DailyScalarsTable,AB$5/100,MONTH($A6)))*$B6</f>
        <v>-6745.7752874693942</v>
      </c>
      <c r="AC6" s="1021">
        <f>(VLOOKUP(YEAR($A6),'NY East Load Projections'!$A$4:$EO$14,((MONTH($A6)-1)*12)+VLOOKUP(AC$4,$DE$6:$DF$17,2)+1))*(VLOOKUP($A6,CURVES!$D$9:$K$261,4))*(INDEX(DailyScalarsTable,AC$5/100,MONTH($A6)))*$B6</f>
        <v>-4797.7516231183472</v>
      </c>
      <c r="AD6" s="1021">
        <f>(VLOOKUP(YEAR($A6),'NY East Load Projections'!$A$4:$EO$14,((MONTH($A6)-1)*12)+VLOOKUP(AD$4,$DE$6:$DF$17,2)+1))*(VLOOKUP($A6,CURVES!$D$9:$K$261,4))*(INDEX(DailyScalarsTable,AD$5/100,MONTH($A6)))*$B6</f>
        <v>-3927.5568673732055</v>
      </c>
      <c r="AE6" s="1021">
        <f>(VLOOKUP(YEAR($A6),'NY East Load Projections'!$A$4:$EO$14,((MONTH($A6)-1)*12)+VLOOKUP(AE$4,$DE$6:$DF$17,2)+1))*(VLOOKUP($A6,CURVES!$D$9:$K$261,8))*(INDEX(DailyScalarsTable,AE$5/100,MONTH($A6)))*$B6</f>
        <v>-3386.3082926155084</v>
      </c>
      <c r="AF6" s="1021"/>
      <c r="AG6" s="1021">
        <f>(VLOOKUP(YEAR($A6),'NY East Load Projections'!$A$4:$EO$14,((MONTH($A6)-1)*12)+VLOOKUP(AG$4,$DE$6:$DF$17,2)+1))*(VLOOKUP($A6,CURVES!$D$9:$T$261,8))*(INDEX(DailyScalarsTable,AG$5/100,MONTH($A6)))*$C6</f>
        <v>-1026.2902956792893</v>
      </c>
      <c r="AH6" s="1021">
        <f>(VLOOKUP(YEAR($A6),'NY East Load Projections'!$A$4:$EO$14,((MONTH($A6)-1)*12)+VLOOKUP(AH$4,$DE$6:$DF$17,2)+1))*(VLOOKUP($A6,CURVES!$D$9:$T$261,8))*(INDEX(DailyScalarsTable,AH$5/100,MONTH($A6)))*$C6</f>
        <v>-1006.2953014572432</v>
      </c>
      <c r="AI6" s="1021">
        <f>(VLOOKUP(YEAR($A6),'NY East Load Projections'!$A$4:$EO$14,((MONTH($A6)-1)*12)+VLOOKUP(AI$4,$DE$6:$DF$17,2)+1))*(VLOOKUP($A6,CURVES!$D$9:$T$261,8))*(INDEX(DailyScalarsTable,AI$5/100,MONTH($A6)))*$C6</f>
        <v>-922.11927567471753</v>
      </c>
      <c r="AJ6" s="1021">
        <f>(VLOOKUP(YEAR($A6),'NY East Load Projections'!$A$4:$EO$14,((MONTH($A6)-1)*12)+VLOOKUP(AJ$4,$DE$6:$DF$17,2)+1))*(VLOOKUP($A6,CURVES!$D$9:$T$261,8))*(INDEX(DailyScalarsTable,AJ$5/100,MONTH($A6)))*$C6</f>
        <v>-921.56174806620925</v>
      </c>
      <c r="AK6" s="1021">
        <f>(VLOOKUP(YEAR($A6),'NY East Load Projections'!$A$4:$EO$14,((MONTH($A6)-1)*12)+VLOOKUP(AK$4,$DE$6:$DF$17,2)+1))*(VLOOKUP($A6,CURVES!$D$9:$T$261,8))*(INDEX(DailyScalarsTable,AK$5/100,MONTH($A6)))*$C6</f>
        <v>-1009.5020225178594</v>
      </c>
      <c r="AL6" s="1021">
        <f>(VLOOKUP(YEAR($A6),'NY East Load Projections'!$A$4:$EO$14,((MONTH($A6)-1)*12)+VLOOKUP(AL$4,$DE$6:$DF$17,2)+1))*(VLOOKUP($A6,CURVES!$D$9:$T$261,8))*(INDEX(DailyScalarsTable,AL$5/100,MONTH($A6)))*$C6</f>
        <v>-1077.3586853427455</v>
      </c>
      <c r="AM6" s="1021">
        <f>(VLOOKUP(YEAR($A6),'NY East Load Projections'!$A$4:$EO$14,((MONTH($A6)-1)*12)+VLOOKUP(AM$4,$DE$6:$DF$17,2)+1))*(VLOOKUP($A6,CURVES!$D$9:$T$261,8))*(INDEX(DailyScalarsTable,AM$5/100,MONTH($A6)))*$C6</f>
        <v>-2063.1287642715852</v>
      </c>
      <c r="AN6" s="1021">
        <f>(VLOOKUP(YEAR($A6),'NY East Load Projections'!$A$4:$EO$14,((MONTH($A6)-1)*12)+VLOOKUP(AN$4,$DE$6:$DF$17,2)+1))*(VLOOKUP($A6,SatSunCurve,4))*(INDEX(DailyScalarsTable,AN$5/100,MONTH($A6)))*$C6</f>
        <v>-1887.4717062786895</v>
      </c>
      <c r="AO6" s="1021">
        <f>(VLOOKUP(YEAR($A6),'NY East Load Projections'!$A$4:$EO$14,((MONTH($A6)-1)*12)+VLOOKUP(AO$4,$DE$6:$DF$17,2)+1))*(VLOOKUP($A6,SatSunCurve,4))*(INDEX(DailyScalarsTable,AO$5/100,MONTH($A6)))*$C6</f>
        <v>-2357.4453883589781</v>
      </c>
      <c r="AP6" s="1021">
        <f>(VLOOKUP(YEAR($A6),'NY East Load Projections'!$A$4:$EO$14,((MONTH($A6)-1)*12)+VLOOKUP(AP$4,$DE$6:$DF$17,2)+1))*(VLOOKUP($A6,SatSunCurve,4))*(INDEX(DailyScalarsTable,AP$5/100,MONTH($A6)))*$C6</f>
        <v>-2350.2702715149476</v>
      </c>
      <c r="AQ6" s="1021">
        <f>(VLOOKUP(YEAR($A6),'NY East Load Projections'!$A$4:$EO$14,((MONTH($A6)-1)*12)+VLOOKUP(AQ$4,$DE$6:$DF$17,2)+1))*(VLOOKUP($A6,SatSunCurve,4))*(INDEX(DailyScalarsTable,AQ$5/100,MONTH($A6)))*$C6</f>
        <v>-2309.2549726497659</v>
      </c>
      <c r="AR6" s="1021">
        <f>(VLOOKUP(YEAR($A6),'NY East Load Projections'!$A$4:$EO$14,((MONTH($A6)-1)*12)+VLOOKUP(AR$4,$DE$6:$DF$17,2)+1))*(VLOOKUP($A6,SatSunCurve,4))*(INDEX(DailyScalarsTable,AR$5/100,MONTH($A6)))*$C6</f>
        <v>-1729.8504606750812</v>
      </c>
      <c r="AS6" s="1021">
        <f>(VLOOKUP(YEAR($A6),'NY East Load Projections'!$A$4:$EO$14,((MONTH($A6)-1)*12)+VLOOKUP(AS$4,$DE$6:$DF$17,2)+1))*(VLOOKUP($A6,SatSunCurve,4))*(INDEX(DailyScalarsTable,AS$5/100,MONTH($A6)))*$C6</f>
        <v>-1437.1090858617658</v>
      </c>
      <c r="AT6" s="1021">
        <f>(VLOOKUP(YEAR($A6),'NY East Load Projections'!$A$4:$EO$14,((MONTH($A6)-1)*12)+VLOOKUP(AT$4,$DE$6:$DF$17,2)+1))*(VLOOKUP($A6,SatSunCurve,4))*(INDEX(DailyScalarsTable,AT$5/100,MONTH($A6)))*$C6</f>
        <v>-1390.7073418634216</v>
      </c>
      <c r="AU6" s="1021">
        <f>(VLOOKUP(YEAR($A6),'NY East Load Projections'!$A$4:$EO$14,((MONTH($A6)-1)*12)+VLOOKUP(AU$4,$DE$6:$DF$17,2)+1))*(VLOOKUP($A6,SatSunCurve,4))*(INDEX(DailyScalarsTable,AU$5/100,MONTH($A6)))*$C6</f>
        <v>-1319.9278700398602</v>
      </c>
      <c r="AV6" s="1021">
        <f>(VLOOKUP(YEAR($A6),'NY East Load Projections'!$A$4:$EO$14,((MONTH($A6)-1)*12)+VLOOKUP(AV$4,$DE$6:$DF$17,2)+1))*(VLOOKUP($A6,SatSunCurve,4))*(INDEX(DailyScalarsTable,AV$5/100,MONTH($A6)))*$C6</f>
        <v>-1293.3645528234165</v>
      </c>
      <c r="AW6" s="1021">
        <f>(VLOOKUP(YEAR($A6),'NY East Load Projections'!$A$4:$EO$14,((MONTH($A6)-1)*12)+VLOOKUP(AW$4,$DE$6:$DF$17,2)+1))*(VLOOKUP($A6,SatSunCurve,4))*(INDEX(DailyScalarsTable,AW$5/100,MONTH($A6)))*$C6</f>
        <v>-1311.4196806110888</v>
      </c>
      <c r="AX6" s="1021">
        <f>(VLOOKUP(YEAR($A6),'NY East Load Projections'!$A$4:$EO$14,((MONTH($A6)-1)*12)+VLOOKUP(AX$4,$DE$6:$DF$17,2)+1))*(VLOOKUP($A6,SatSunCurve,4))*(INDEX(DailyScalarsTable,AX$5/100,MONTH($A6)))*$C6</f>
        <v>-1824.7835117701461</v>
      </c>
      <c r="AY6" s="1021">
        <f>(VLOOKUP(YEAR($A6),'NY East Load Projections'!$A$4:$EO$14,((MONTH($A6)-1)*12)+VLOOKUP(AY$4,$DE$6:$DF$17,2)+1))*(VLOOKUP($A6,SatSunCurve,4))*(INDEX(DailyScalarsTable,AY$5/100,MONTH($A6)))*$C6</f>
        <v>-2002.2723646935456</v>
      </c>
      <c r="AZ6" s="1021">
        <f>(VLOOKUP(YEAR($A6),'NY East Load Projections'!$A$4:$EO$14,((MONTH($A6)-1)*12)+VLOOKUP(AZ$4,$DE$6:$DF$17,2)+1))*(VLOOKUP($A6,SatSunCurve,4))*(INDEX(DailyScalarsTable,AZ$5/100,MONTH($A6)))*$C6</f>
        <v>-1916.5220916029132</v>
      </c>
      <c r="BA6" s="1021">
        <f>(VLOOKUP(YEAR($A6),'NY East Load Projections'!$A$4:$EO$14,((MONTH($A6)-1)*12)+VLOOKUP(BA$4,$DE$6:$DF$17,2)+1))*(VLOOKUP($A6,SatSunCurve,4))*(INDEX(DailyScalarsTable,BA$5/100,MONTH($A6)))*$C6</f>
        <v>-1834.2694533903057</v>
      </c>
      <c r="BB6" s="1021">
        <f>(VLOOKUP(YEAR($A6),'NY East Load Projections'!$A$4:$EO$14,((MONTH($A6)-1)*12)+VLOOKUP(BB$4,$DE$6:$DF$17,2)+1))*(VLOOKUP($A6,SatSunCurve,4))*(INDEX(DailyScalarsTable,BB$5/100,MONTH($A6)))*$C6</f>
        <v>-1304.5749187030963</v>
      </c>
      <c r="BC6" s="1021">
        <f>(VLOOKUP(YEAR($A6),'NY East Load Projections'!$A$4:$EO$14,((MONTH($A6)-1)*12)+VLOOKUP(BC$4,$DE$6:$DF$17,2)+1))*(VLOOKUP($A6,SatSunCurve,4))*(INDEX(DailyScalarsTable,BC$5/100,MONTH($A6)))*$C6</f>
        <v>-1067.9569480557909</v>
      </c>
      <c r="BD6" s="1021">
        <f>(VLOOKUP(YEAR($A6),'NY East Load Projections'!$A$4:$EO$14,((MONTH($A6)-1)*12)+VLOOKUP(BD$4,$DE$6:$DF$17,2)+1))*(VLOOKUP($A6,CURVES!$D$9:$T$261,8))*(INDEX(DailyScalarsTable,BD$5/100,MONTH($A6)))*$C6</f>
        <v>-1201.4853838087713</v>
      </c>
      <c r="BE6" s="1021"/>
      <c r="BF6" s="1021">
        <f>(VLOOKUP(YEAR($A6),'NY East Load Projections'!$A$4:$EO$14,((MONTH($A6)-1)*12)+VLOOKUP(BF$4,$DE$6:$DF$17,2)+1))*(VLOOKUP($A6,CURVES!$D$9:$T$261,8))*(INDEX(DailyScalarsTable,BF$5/100,MONTH($A6)))*$D6</f>
        <v>-1026.2902956792893</v>
      </c>
      <c r="BG6" s="1021">
        <f>(VLOOKUP(YEAR($A6),'NY East Load Projections'!$A$4:$EO$14,((MONTH($A6)-1)*12)+VLOOKUP(BG$4,$DE$6:$DF$17,2)+1))*(VLOOKUP($A6,CURVES!$D$9:$T$261,8))*(INDEX(DailyScalarsTable,BG$5/100,MONTH($A6)))*$D6</f>
        <v>-1006.2953014572432</v>
      </c>
      <c r="BH6" s="1021">
        <f>(VLOOKUP(YEAR($A6),'NY East Load Projections'!$A$4:$EO$14,((MONTH($A6)-1)*12)+VLOOKUP(BH$4,$DE$6:$DF$17,2)+1))*(VLOOKUP($A6,CURVES!$D$9:$T$261,8))*(INDEX(DailyScalarsTable,BH$5/100,MONTH($A6)))*$D6</f>
        <v>-922.11927567471753</v>
      </c>
      <c r="BI6" s="1021">
        <f>(VLOOKUP(YEAR($A6),'NY East Load Projections'!$A$4:$EO$14,((MONTH($A6)-1)*12)+VLOOKUP(BI$4,$DE$6:$DF$17,2)+1))*(VLOOKUP($A6,CURVES!$D$9:$T$261,8))*(INDEX(DailyScalarsTable,BI$5/100,MONTH($A6)))*$D6</f>
        <v>-921.56174806620925</v>
      </c>
      <c r="BJ6" s="1021">
        <f>(VLOOKUP(YEAR($A6),'NY East Load Projections'!$A$4:$EO$14,((MONTH($A6)-1)*12)+VLOOKUP(BJ$4,$DE$6:$DF$17,2)+1))*(VLOOKUP($A6,CURVES!$D$9:$T$261,8))*(INDEX(DailyScalarsTable,BJ$5/100,MONTH($A6)))*$D6</f>
        <v>-1009.5020225178594</v>
      </c>
      <c r="BK6" s="1021">
        <f>(VLOOKUP(YEAR($A6),'NY East Load Projections'!$A$4:$EO$14,((MONTH($A6)-1)*12)+VLOOKUP(BK$4,$DE$6:$DF$17,2)+1))*(VLOOKUP($A6,CURVES!$D$9:$T$261,8))*(INDEX(DailyScalarsTable,BK$5/100,MONTH($A6)))*$D6</f>
        <v>-1077.3586853427455</v>
      </c>
      <c r="BL6" s="1021">
        <f>(VLOOKUP(YEAR($A6),'NY East Load Projections'!$A$4:$EO$14,((MONTH($A6)-1)*12)+VLOOKUP(BL$4,$DE$6:$DF$17,2)+1))*(VLOOKUP($A6,CURVES!$D$9:$T$261,8))*(INDEX(DailyScalarsTable,BL$5/100,MONTH($A6)))*$D6</f>
        <v>-2063.1287642715852</v>
      </c>
      <c r="BM6" s="1021">
        <f>(VLOOKUP(YEAR($A6),'NY East Load Projections'!$A$4:$EO$14,((MONTH($A6)-1)*12)+VLOOKUP(BM$4,$DE$6:$DF$17,2)+1))*(VLOOKUP($A6,SatSunCurve,8))*(INDEX(DailyScalarsTable,BM$5/100,MONTH($A6)))*$D6</f>
        <v>-1923.2674445588914</v>
      </c>
      <c r="BN6" s="1021">
        <f>(VLOOKUP(YEAR($A6),'NY East Load Projections'!$A$4:$EO$14,((MONTH($A6)-1)*12)+VLOOKUP(BN$4,$DE$6:$DF$17,2)+1))*(VLOOKUP($A6,SatSunCurve,8))*(INDEX(DailyScalarsTable,BN$5/100,MONTH($A6)))*$D6</f>
        <v>-2402.1541370257023</v>
      </c>
      <c r="BO6" s="1021">
        <f>(VLOOKUP(YEAR($A6),'NY East Load Projections'!$A$4:$EO$14,((MONTH($A6)-1)*12)+VLOOKUP(BO$4,$DE$6:$DF$17,2)+1))*(VLOOKUP($A6,SatSunCurve,8))*(INDEX(DailyScalarsTable,BO$5/100,MONTH($A6)))*$D6</f>
        <v>-2394.8429447089511</v>
      </c>
      <c r="BP6" s="1021">
        <f>(VLOOKUP(YEAR($A6),'NY East Load Projections'!$A$4:$EO$14,((MONTH($A6)-1)*12)+VLOOKUP(BP$4,$DE$6:$DF$17,2)+1))*(VLOOKUP($A6,SatSunCurve,8))*(INDEX(DailyScalarsTable,BP$5/100,MONTH($A6)))*$D6</f>
        <v>-2353.0497942347738</v>
      </c>
      <c r="BQ6" s="1021">
        <f>(VLOOKUP(YEAR($A6),'NY East Load Projections'!$A$4:$EO$14,((MONTH($A6)-1)*12)+VLOOKUP(BQ$4,$DE$6:$DF$17,2)+1))*(VLOOKUP($A6,SatSunCurve,8))*(INDEX(DailyScalarsTable,BQ$5/100,MONTH($A6)))*$D6</f>
        <v>-1762.656925613459</v>
      </c>
      <c r="BR6" s="1021">
        <f>(VLOOKUP(YEAR($A6),'NY East Load Projections'!$A$4:$EO$14,((MONTH($A6)-1)*12)+VLOOKUP(BR$4,$DE$6:$DF$17,2)+1))*(VLOOKUP($A6,SatSunCurve,8))*(INDEX(DailyScalarsTable,BR$5/100,MONTH($A6)))*$D6</f>
        <v>-1464.3637358501524</v>
      </c>
      <c r="BS6" s="1021">
        <f>(VLOOKUP(YEAR($A6),'NY East Load Projections'!$A$4:$EO$14,((MONTH($A6)-1)*12)+VLOOKUP(BS$4,$DE$6:$DF$17,2)+1))*(VLOOKUP($A6,SatSunCurve,8))*(INDEX(DailyScalarsTable,BS$5/100,MONTH($A6)))*$D6</f>
        <v>-1417.0819867749719</v>
      </c>
      <c r="BT6" s="1021">
        <f>(VLOOKUP(YEAR($A6),'NY East Load Projections'!$A$4:$EO$14,((MONTH($A6)-1)*12)+VLOOKUP(BT$4,$DE$6:$DF$17,2)+1))*(VLOOKUP($A6,SatSunCurve,8))*(INDEX(DailyScalarsTable,BT$5/100,MONTH($A6)))*$D6</f>
        <v>-1344.9601883668163</v>
      </c>
      <c r="BU6" s="1021">
        <f>(VLOOKUP(YEAR($A6),'NY East Load Projections'!$A$4:$EO$14,((MONTH($A6)-1)*12)+VLOOKUP(BU$4,$DE$6:$DF$17,2)+1))*(VLOOKUP($A6,SatSunCurve,8))*(INDEX(DailyScalarsTable,BU$5/100,MONTH($A6)))*$D6</f>
        <v>-1317.893100128126</v>
      </c>
      <c r="BV6" s="1021">
        <f>(VLOOKUP(YEAR($A6),'NY East Load Projections'!$A$4:$EO$14,((MONTH($A6)-1)*12)+VLOOKUP(BV$4,$DE$6:$DF$17,2)+1))*(VLOOKUP($A6,SatSunCurve,8))*(INDEX(DailyScalarsTable,BV$5/100,MONTH($A6)))*$D6</f>
        <v>-1336.2906418586156</v>
      </c>
      <c r="BW6" s="1021">
        <f>(VLOOKUP(YEAR($A6),'NY East Load Projections'!$A$4:$EO$14,((MONTH($A6)-1)*12)+VLOOKUP(BW$4,$DE$6:$DF$17,2)+1))*(VLOOKUP($A6,SatSunCurve,8))*(INDEX(DailyScalarsTable,BW$5/100,MONTH($A6)))*$D6</f>
        <v>-1859.390373842868</v>
      </c>
      <c r="BX6" s="1021">
        <f>(VLOOKUP(YEAR($A6),'NY East Load Projections'!$A$4:$EO$14,((MONTH($A6)-1)*12)+VLOOKUP(BX$4,$DE$6:$DF$17,2)+1))*(VLOOKUP($A6,SatSunCurve,8))*(INDEX(DailyScalarsTable,BX$5/100,MONTH($A6)))*$D6</f>
        <v>-2040.2452875690678</v>
      </c>
      <c r="BY6" s="1021">
        <f>(VLOOKUP(YEAR($A6),'NY East Load Projections'!$A$4:$EO$14,((MONTH($A6)-1)*12)+VLOOKUP(BY$4,$DE$6:$DF$17,2)+1))*(VLOOKUP($A6,SatSunCurve,8))*(INDEX(DailyScalarsTable,BY$5/100,MONTH($A6)))*$D6</f>
        <v>-1952.8687679377338</v>
      </c>
      <c r="BZ6" s="1021">
        <f>(VLOOKUP(YEAR($A6),'NY East Load Projections'!$A$4:$EO$14,((MONTH($A6)-1)*12)+VLOOKUP(BZ$4,$DE$6:$DF$17,2)+1))*(VLOOKUP($A6,SatSunCurve,8))*(INDEX(DailyScalarsTable,BZ$5/100,MONTH($A6)))*$D6</f>
        <v>-1869.0562155285209</v>
      </c>
      <c r="CA6" s="1021">
        <f>(VLOOKUP(YEAR($A6),'NY East Load Projections'!$A$4:$EO$14,((MONTH($A6)-1)*12)+VLOOKUP(CA$4,$DE$6:$DF$17,2)+1))*(VLOOKUP($A6,SatSunCurve,8))*(INDEX(DailyScalarsTable,CA$5/100,MONTH($A6)))*$D6</f>
        <v>-1329.3160696308</v>
      </c>
      <c r="CB6" s="1021">
        <f>(VLOOKUP(YEAR($A6),'NY East Load Projections'!$A$4:$EO$14,((MONTH($A6)-1)*12)+VLOOKUP(CB$4,$DE$6:$DF$17,2)+1))*(VLOOKUP($A6,SatSunCurve,8))*(INDEX(DailyScalarsTable,CB$5/100,MONTH($A6)))*$D6</f>
        <v>-1088.2106595577761</v>
      </c>
      <c r="CC6" s="1021">
        <f>(VLOOKUP(YEAR($A6),'NY East Load Projections'!$A$4:$EO$14,((MONTH($A6)-1)*12)+VLOOKUP(CC$4,$DE$6:$DF$17,2)+1))*(VLOOKUP($A6,CURVES!$D$9:$T$261,8))*(INDEX(DailyScalarsTable,CC$5/100,MONTH($A6)))*$D6</f>
        <v>-1201.4853838087713</v>
      </c>
      <c r="CE6" s="1021">
        <f>(VLOOKUP(YEAR($A6),'NY East Load Projections'!$A$4:$EO$14,((MONTH($A6)-1)*12)+VLOOKUP(CE$4,$DE$6:$DF$17,2)+1))*(VLOOKUP($A6,CURVES!$D$9:$T$261,8))*(INDEX(DailyScalarsTable,CE$5/100,MONTH($A6)))*$E6</f>
        <v>-256.57257391982233</v>
      </c>
      <c r="CF6" s="1021">
        <f>(VLOOKUP(YEAR($A6),'NY East Load Projections'!$A$4:$EO$14,((MONTH($A6)-1)*12)+VLOOKUP(CF$4,$DE$6:$DF$17,2)+1))*(VLOOKUP($A6,CURVES!$D$9:$T$261,8))*(INDEX(DailyScalarsTable,CF$5/100,MONTH($A6)))*$E6</f>
        <v>-251.57382536431081</v>
      </c>
      <c r="CG6" s="1021">
        <f>(VLOOKUP(YEAR($A6),'NY East Load Projections'!$A$4:$EO$14,((MONTH($A6)-1)*12)+VLOOKUP(CG$4,$DE$6:$DF$17,2)+1))*(VLOOKUP($A6,CURVES!$D$9:$T$261,8))*(INDEX(DailyScalarsTable,CG$5/100,MONTH($A6)))*$E6</f>
        <v>-230.52981891867938</v>
      </c>
      <c r="CH6" s="1021">
        <f>(VLOOKUP(YEAR($A6),'NY East Load Projections'!$A$4:$EO$14,((MONTH($A6)-1)*12)+VLOOKUP(CH$4,$DE$6:$DF$17,2)+1))*(VLOOKUP($A6,CURVES!$D$9:$T$261,8))*(INDEX(DailyScalarsTable,CH$5/100,MONTH($A6)))*$E6</f>
        <v>-230.39043701655231</v>
      </c>
      <c r="CI6" s="1021">
        <f>(VLOOKUP(YEAR($A6),'NY East Load Projections'!$A$4:$EO$14,((MONTH($A6)-1)*12)+VLOOKUP(CI$4,$DE$6:$DF$17,2)+1))*(VLOOKUP($A6,CURVES!$D$9:$T$261,8))*(INDEX(DailyScalarsTable,CI$5/100,MONTH($A6)))*$E6</f>
        <v>-252.37550562946484</v>
      </c>
      <c r="CJ6" s="1021">
        <f>(VLOOKUP(YEAR($A6),'NY East Load Projections'!$A$4:$EO$14,((MONTH($A6)-1)*12)+VLOOKUP(CJ$4,$DE$6:$DF$17,2)+1))*(VLOOKUP($A6,CURVES!$D$9:$T$261,8))*(INDEX(DailyScalarsTable,CJ$5/100,MONTH($A6)))*$E6</f>
        <v>-269.33967133568638</v>
      </c>
      <c r="CK6" s="1021">
        <f>(VLOOKUP(YEAR($A6),'NY East Load Projections'!$A$4:$EO$14,((MONTH($A6)-1)*12)+VLOOKUP(CK$4,$DE$6:$DF$17,2)+1))*(VLOOKUP($A6,CURVES!$D$9:$T$261,8))*(INDEX(DailyScalarsTable,CK$5/100,MONTH($A6)))*$E6</f>
        <v>-515.78219106789629</v>
      </c>
      <c r="CL6" s="1021">
        <f>(VLOOKUP(YEAR($A6),'NY East Load Projections'!$A$4:$EO$14,((MONTH($A6)-1)*12)+VLOOKUP(CL$4,$DE$6:$DF$17,2)+1))*(VLOOKUP($A6,SatSunCurve,8))*(INDEX(DailyScalarsTable,CL$5/100,MONTH($A6)))*$E6</f>
        <v>-480.81686113972285</v>
      </c>
      <c r="CM6" s="1021">
        <f>(VLOOKUP(YEAR($A6),'NY East Load Projections'!$A$4:$EO$14,((MONTH($A6)-1)*12)+VLOOKUP(CM$4,$DE$6:$DF$17,2)+1))*(VLOOKUP($A6,SatSunCurve,8))*(INDEX(DailyScalarsTable,CM$5/100,MONTH($A6)))*$E6</f>
        <v>-600.53853425642558</v>
      </c>
      <c r="CN6" s="1021">
        <f>(VLOOKUP(YEAR($A6),'NY East Load Projections'!$A$4:$EO$14,((MONTH($A6)-1)*12)+VLOOKUP(CN$4,$DE$6:$DF$17,2)+1))*(VLOOKUP($A6,SatSunCurve,8))*(INDEX(DailyScalarsTable,CN$5/100,MONTH($A6)))*$E6</f>
        <v>-598.71073617723778</v>
      </c>
      <c r="CO6" s="1021">
        <f>(VLOOKUP(YEAR($A6),'NY East Load Projections'!$A$4:$EO$14,((MONTH($A6)-1)*12)+VLOOKUP(CO$4,$DE$6:$DF$17,2)+1))*(VLOOKUP($A6,SatSunCurve,8))*(INDEX(DailyScalarsTable,CO$5/100,MONTH($A6)))*$E6</f>
        <v>-588.26244855869345</v>
      </c>
      <c r="CP6" s="1021">
        <f>(VLOOKUP(YEAR($A6),'NY East Load Projections'!$A$4:$EO$14,((MONTH($A6)-1)*12)+VLOOKUP(CP$4,$DE$6:$DF$17,2)+1))*(VLOOKUP($A6,SatSunCurve,8))*(INDEX(DailyScalarsTable,CP$5/100,MONTH($A6)))*$E6</f>
        <v>-440.66423140336474</v>
      </c>
      <c r="CQ6" s="1021">
        <f>(VLOOKUP(YEAR($A6),'NY East Load Projections'!$A$4:$EO$14,((MONTH($A6)-1)*12)+VLOOKUP(CQ$4,$DE$6:$DF$17,2)+1))*(VLOOKUP($A6,SatSunCurve,8))*(INDEX(DailyScalarsTable,CQ$5/100,MONTH($A6)))*$E6</f>
        <v>-366.09093396253809</v>
      </c>
      <c r="CR6" s="1021">
        <f>(VLOOKUP(YEAR($A6),'NY East Load Projections'!$A$4:$EO$14,((MONTH($A6)-1)*12)+VLOOKUP(CR$4,$DE$6:$DF$17,2)+1))*(VLOOKUP($A6,SatSunCurve,8))*(INDEX(DailyScalarsTable,CR$5/100,MONTH($A6)))*$E6</f>
        <v>-354.27049669374298</v>
      </c>
      <c r="CS6" s="1021">
        <f>(VLOOKUP(YEAR($A6),'NY East Load Projections'!$A$4:$EO$14,((MONTH($A6)-1)*12)+VLOOKUP(CS$4,$DE$6:$DF$17,2)+1))*(VLOOKUP($A6,SatSunCurve,8))*(INDEX(DailyScalarsTable,CS$5/100,MONTH($A6)))*$E6</f>
        <v>-336.24004709170407</v>
      </c>
      <c r="CT6" s="1021">
        <f>(VLOOKUP(YEAR($A6),'NY East Load Projections'!$A$4:$EO$14,((MONTH($A6)-1)*12)+VLOOKUP(CT$4,$DE$6:$DF$17,2)+1))*(VLOOKUP($A6,SatSunCurve,8))*(INDEX(DailyScalarsTable,CT$5/100,MONTH($A6)))*$E6</f>
        <v>-329.47327503203149</v>
      </c>
      <c r="CU6" s="1021">
        <f>(VLOOKUP(YEAR($A6),'NY East Load Projections'!$A$4:$EO$14,((MONTH($A6)-1)*12)+VLOOKUP(CU$4,$DE$6:$DF$17,2)+1))*(VLOOKUP($A6,SatSunCurve,8))*(INDEX(DailyScalarsTable,CU$5/100,MONTH($A6)))*$E6</f>
        <v>-334.07266046465389</v>
      </c>
      <c r="CV6" s="1021">
        <f>(VLOOKUP(YEAR($A6),'NY East Load Projections'!$A$4:$EO$14,((MONTH($A6)-1)*12)+VLOOKUP(CV$4,$DE$6:$DF$17,2)+1))*(VLOOKUP($A6,SatSunCurve,8))*(INDEX(DailyScalarsTable,CV$5/100,MONTH($A6)))*$E6</f>
        <v>-464.84759346071701</v>
      </c>
      <c r="CW6" s="1021">
        <f>(VLOOKUP(YEAR($A6),'NY East Load Projections'!$A$4:$EO$14,((MONTH($A6)-1)*12)+VLOOKUP(CW$4,$DE$6:$DF$17,2)+1))*(VLOOKUP($A6,SatSunCurve,8))*(INDEX(DailyScalarsTable,CW$5/100,MONTH($A6)))*$E6</f>
        <v>-510.06132189226696</v>
      </c>
      <c r="CX6" s="1021">
        <f>(VLOOKUP(YEAR($A6),'NY East Load Projections'!$A$4:$EO$14,((MONTH($A6)-1)*12)+VLOOKUP(CX$4,$DE$6:$DF$17,2)+1))*(VLOOKUP($A6,SatSunCurve,8))*(INDEX(DailyScalarsTable,CX$5/100,MONTH($A6)))*$E6</f>
        <v>-488.21719198443344</v>
      </c>
      <c r="CY6" s="1021">
        <f>(VLOOKUP(YEAR($A6),'NY East Load Projections'!$A$4:$EO$14,((MONTH($A6)-1)*12)+VLOOKUP(CY$4,$DE$6:$DF$17,2)+1))*(VLOOKUP($A6,SatSunCurve,8))*(INDEX(DailyScalarsTable,CY$5/100,MONTH($A6)))*$E6</f>
        <v>-467.26405388213021</v>
      </c>
      <c r="CZ6" s="1021">
        <f>(VLOOKUP(YEAR($A6),'NY East Load Projections'!$A$4:$EO$14,((MONTH($A6)-1)*12)+VLOOKUP(CZ$4,$DE$6:$DF$17,2)+1))*(VLOOKUP($A6,SatSunCurve,8))*(INDEX(DailyScalarsTable,CZ$5/100,MONTH($A6)))*$E6</f>
        <v>-332.32901740770001</v>
      </c>
      <c r="DA6" s="1021">
        <f>(VLOOKUP(YEAR($A6),'NY East Load Projections'!$A$4:$EO$14,((MONTH($A6)-1)*12)+VLOOKUP(DA$4,$DE$6:$DF$17,2)+1))*(VLOOKUP($A6,SatSunCurve,8))*(INDEX(DailyScalarsTable,DA$5/100,MONTH($A6)))*$E6</f>
        <v>-272.05266488944403</v>
      </c>
      <c r="DB6" s="1021">
        <f>(VLOOKUP(YEAR($A6),'NY East Load Projections'!$A$4:$EO$14,((MONTH($A6)-1)*12)+VLOOKUP(DB$4,$DE$6:$DF$17,2)+1))*(VLOOKUP($A6,CURVES!$D$9:$T$261,8))*(INDEX(DailyScalarsTable,DB$5/100,MONTH($A6)))*$E6</f>
        <v>-300.37134595219283</v>
      </c>
      <c r="DE6" s="1017" t="s">
        <v>558</v>
      </c>
      <c r="DF6" s="1018">
        <v>1</v>
      </c>
      <c r="DH6" s="1021">
        <f>SUM(H6:DB6)</f>
        <v>-243162.32965204652</v>
      </c>
      <c r="DI6">
        <f ca="1">CALC!J26</f>
        <v>0.93842508713442885</v>
      </c>
      <c r="DJ6" s="1029">
        <f ca="1">DH6*DI6</f>
        <v>-228189.63039153247</v>
      </c>
    </row>
    <row r="7" spans="1:114" x14ac:dyDescent="0.25">
      <c r="A7" s="244">
        <v>36923</v>
      </c>
      <c r="B7" s="13">
        <v>20</v>
      </c>
      <c r="C7" s="210">
        <v>4</v>
      </c>
      <c r="D7" s="210">
        <v>4</v>
      </c>
      <c r="E7" s="210">
        <v>0</v>
      </c>
      <c r="F7" s="13">
        <v>28</v>
      </c>
      <c r="H7" s="1021">
        <f>(VLOOKUP(YEAR($A7),'NY East Load Projections'!$A$4:$EO$14,((MONTH($A7)-1)*12)+VLOOKUP(H$4,$DE$6:$DF$17,2)+1))*(VLOOKUP($A7,CURVES!$D$9:$K$261,8))*(INDEX(DailyScalarsTable,H$5/100,MONTH($A7)))*$B7</f>
        <v>-2465.9090980527008</v>
      </c>
      <c r="I7" s="1021">
        <f>(VLOOKUP(YEAR($A7),'NY East Load Projections'!$A$4:$EO$14,((MONTH($A7)-1)*12)+VLOOKUP(I$4,$DE$6:$DF$17,2)+1))*(VLOOKUP($A7,CURVES!$D$9:$K$261,8))*(INDEX(DailyScalarsTable,I$5/100,MONTH($A7)))*$B7</f>
        <v>-2417.86631875796</v>
      </c>
      <c r="J7" s="1021">
        <f>(VLOOKUP(YEAR($A7),'NY East Load Projections'!$A$4:$EO$14,((MONTH($A7)-1)*12)+VLOOKUP(J$4,$DE$6:$DF$17,2)+1))*(VLOOKUP($A7,CURVES!$D$9:$K$261,8))*(INDEX(DailyScalarsTable,J$5/100,MONTH($A7)))*$B7</f>
        <v>-2215.6131856152947</v>
      </c>
      <c r="K7" s="1021">
        <f>(VLOOKUP(YEAR($A7),'NY East Load Projections'!$A$4:$EO$14,((MONTH($A7)-1)*12)+VLOOKUP(K$4,$DE$6:$DF$17,2)+1))*(VLOOKUP($A7,CURVES!$D$9:$K$261,8))*(INDEX(DailyScalarsTable,K$5/100,MONTH($A7)))*$B7</f>
        <v>-2214.2735915374551</v>
      </c>
      <c r="L7" s="1021">
        <f>(VLOOKUP(YEAR($A7),'NY East Load Projections'!$A$4:$EO$14,((MONTH($A7)-1)*12)+VLOOKUP(L$4,$DE$6:$DF$17,2)+1))*(VLOOKUP($A7,CURVES!$D$9:$K$261,8))*(INDEX(DailyScalarsTable,L$5/100,MONTH($A7)))*$B7</f>
        <v>-4174.5603459398426</v>
      </c>
      <c r="M7" s="1021">
        <f>(VLOOKUP(YEAR($A7),'NY East Load Projections'!$A$4:$EO$14,((MONTH($A7)-1)*12)+VLOOKUP(M$4,$DE$6:$DF$17,2)+1))*(VLOOKUP($A7,CURVES!$D$9:$K$261,8))*(INDEX(DailyScalarsTable,M$5/100,MONTH($A7)))*$B7</f>
        <v>-4455.165760805734</v>
      </c>
      <c r="N7" s="1021">
        <f>(VLOOKUP(YEAR($A7),'NY East Load Projections'!$A$4:$EO$14,((MONTH($A7)-1)*12)+VLOOKUP(N$4,$DE$6:$DF$17,2)+1))*(VLOOKUP($A7,CURVES!$D$9:$K$261,8))*(INDEX(DailyScalarsTable,N$5/100,MONTH($A7)))*$B7</f>
        <v>-8531.588184850476</v>
      </c>
      <c r="O7" s="1021">
        <f>(VLOOKUP(YEAR($A7),'NY East Load Projections'!$A$4:$EO$14,((MONTH($A7)-1)*12)+VLOOKUP(O$4,$DE$6:$DF$17,2)+1))*(VLOOKUP($A7,CURVES!$D$9:$K$261,4))*(INDEX(DailyScalarsTable,O$5/100,MONTH($A7)))*$B7</f>
        <v>-10276.985425386894</v>
      </c>
      <c r="P7" s="1021">
        <f>(VLOOKUP(YEAR($A7),'NY East Load Projections'!$A$4:$EO$14,((MONTH($A7)-1)*12)+VLOOKUP(P$4,$DE$6:$DF$17,2)+1))*(VLOOKUP($A7,CURVES!$D$9:$K$261,4))*(INDEX(DailyScalarsTable,P$5/100,MONTH($A7)))*$B7</f>
        <v>-10873.867001098659</v>
      </c>
      <c r="Q7" s="1021">
        <f>(VLOOKUP(YEAR($A7),'NY East Load Projections'!$A$4:$EO$14,((MONTH($A7)-1)*12)+VLOOKUP(Q$4,$DE$6:$DF$17,2)+1))*(VLOOKUP($A7,CURVES!$D$9:$K$261,4))*(INDEX(DailyScalarsTable,Q$5/100,MONTH($A7)))*$B7</f>
        <v>-10840.771317667521</v>
      </c>
      <c r="R7" s="1021">
        <f>(VLOOKUP(YEAR($A7),'NY East Load Projections'!$A$4:$EO$14,((MONTH($A7)-1)*12)+VLOOKUP(R$4,$DE$6:$DF$17,2)+1))*(VLOOKUP($A7,CURVES!$D$9:$K$261,4))*(INDEX(DailyScalarsTable,R$5/100,MONTH($A7)))*$B7</f>
        <v>-10651.585639359713</v>
      </c>
      <c r="S7" s="1021">
        <f>(VLOOKUP(YEAR($A7),'NY East Load Projections'!$A$4:$EO$14,((MONTH($A7)-1)*12)+VLOOKUP(S$4,$DE$6:$DF$17,2)+1))*(VLOOKUP($A7,CURVES!$D$9:$K$261,4))*(INDEX(DailyScalarsTable,S$5/100,MONTH($A7)))*$B7</f>
        <v>-7979.0454252108329</v>
      </c>
      <c r="T7" s="1021">
        <f>(VLOOKUP(YEAR($A7),'NY East Load Projections'!$A$4:$EO$14,((MONTH($A7)-1)*12)+VLOOKUP(T$4,$DE$6:$DF$17,2)+1))*(VLOOKUP($A7,CURVES!$D$9:$K$261,4))*(INDEX(DailyScalarsTable,T$5/100,MONTH($A7)))*$B7</f>
        <v>-7663.5598173514709</v>
      </c>
      <c r="U7" s="1021">
        <f>(VLOOKUP(YEAR($A7),'NY East Load Projections'!$A$4:$EO$14,((MONTH($A7)-1)*12)+VLOOKUP(U$4,$DE$6:$DF$17,2)+1))*(VLOOKUP($A7,CURVES!$D$9:$K$261,4))*(INDEX(DailyScalarsTable,U$5/100,MONTH($A7)))*$B7</f>
        <v>-7416.1168471141045</v>
      </c>
      <c r="V7" s="1021">
        <f>(VLOOKUP(YEAR($A7),'NY East Load Projections'!$A$4:$EO$14,((MONTH($A7)-1)*12)+VLOOKUP(V$4,$DE$6:$DF$17,2)+1))*(VLOOKUP($A7,CURVES!$D$9:$K$261,4))*(INDEX(DailyScalarsTable,V$5/100,MONTH($A7)))*$B7</f>
        <v>-7038.6766642520352</v>
      </c>
      <c r="W7" s="1021">
        <f>(VLOOKUP(YEAR($A7),'NY East Load Projections'!$A$4:$EO$14,((MONTH($A7)-1)*12)+VLOOKUP(W$4,$DE$6:$DF$17,2)+1))*(VLOOKUP($A7,CURVES!$D$9:$K$261,4))*(INDEX(DailyScalarsTable,W$5/100,MONTH($A7)))*$B7</f>
        <v>-6897.0245291161518</v>
      </c>
      <c r="X7" s="1021">
        <f>(VLOOKUP(YEAR($A7),'NY East Load Projections'!$A$4:$EO$14,((MONTH($A7)-1)*12)+VLOOKUP(X$4,$DE$6:$DF$17,2)+1))*(VLOOKUP($A7,CURVES!$D$9:$K$261,4))*(INDEX(DailyScalarsTable,X$5/100,MONTH($A7)))*$B7</f>
        <v>-6493.7235593346168</v>
      </c>
      <c r="Y7" s="1021">
        <f>(VLOOKUP(YEAR($A7),'NY East Load Projections'!$A$4:$EO$14,((MONTH($A7)-1)*12)+VLOOKUP(Y$4,$DE$6:$DF$17,2)+1))*(VLOOKUP($A7,CURVES!$D$9:$K$261,4))*(INDEX(DailyScalarsTable,Y$5/100,MONTH($A7)))*$B7</f>
        <v>-9035.7342170932789</v>
      </c>
      <c r="Z7" s="1021">
        <f>(VLOOKUP(YEAR($A7),'NY East Load Projections'!$A$4:$EO$14,((MONTH($A7)-1)*12)+VLOOKUP(Z$4,$DE$6:$DF$17,2)+1))*(VLOOKUP($A7,CURVES!$D$9:$K$261,4))*(INDEX(DailyScalarsTable,Z$5/100,MONTH($A7)))*$B7</f>
        <v>-9914.601266892998</v>
      </c>
      <c r="AA7" s="1021">
        <f>(VLOOKUP(YEAR($A7),'NY East Load Projections'!$A$4:$EO$14,((MONTH($A7)-1)*12)+VLOOKUP(AA$4,$DE$6:$DF$17,2)+1))*(VLOOKUP($A7,CURVES!$D$9:$K$261,4))*(INDEX(DailyScalarsTable,AA$5/100,MONTH($A7)))*$B7</f>
        <v>-9489.9938152734339</v>
      </c>
      <c r="AB7" s="1021">
        <f>(VLOOKUP(YEAR($A7),'NY East Load Projections'!$A$4:$EO$14,((MONTH($A7)-1)*12)+VLOOKUP(AB$4,$DE$6:$DF$17,2)+1))*(VLOOKUP($A7,CURVES!$D$9:$K$261,4))*(INDEX(DailyScalarsTable,AB$5/100,MONTH($A7)))*$B7</f>
        <v>-6777.1305107496792</v>
      </c>
      <c r="AC7" s="1021">
        <f>(VLOOKUP(YEAR($A7),'NY East Load Projections'!$A$4:$EO$14,((MONTH($A7)-1)*12)+VLOOKUP(AC$4,$DE$6:$DF$17,2)+1))*(VLOOKUP($A7,CURVES!$D$9:$K$261,4))*(INDEX(DailyScalarsTable,AC$5/100,MONTH($A7)))*$B7</f>
        <v>-4820.0521841325362</v>
      </c>
      <c r="AD7" s="1021">
        <f>(VLOOKUP(YEAR($A7),'NY East Load Projections'!$A$4:$EO$14,((MONTH($A7)-1)*12)+VLOOKUP(AD$4,$DE$6:$DF$17,2)+1))*(VLOOKUP($A7,CURVES!$D$9:$K$261,4))*(INDEX(DailyScalarsTable,AD$5/100,MONTH($A7)))*$B7</f>
        <v>-3945.8126522570055</v>
      </c>
      <c r="AE7" s="1021">
        <f>(VLOOKUP(YEAR($A7),'NY East Load Projections'!$A$4:$EO$14,((MONTH($A7)-1)*12)+VLOOKUP(AE$4,$DE$6:$DF$17,2)+1))*(VLOOKUP($A7,CURVES!$D$9:$K$261,8))*(INDEX(DailyScalarsTable,AE$5/100,MONTH($A7)))*$B7</f>
        <v>-3371.4712995558521</v>
      </c>
      <c r="AF7" s="1021"/>
      <c r="AG7" s="1021">
        <f>(VLOOKUP(YEAR($A7),'NY East Load Projections'!$A$4:$EO$14,((MONTH($A7)-1)*12)+VLOOKUP(AG$4,$DE$6:$DF$17,2)+1))*(VLOOKUP($A7,CURVES!$D$9:$T$261,8))*(INDEX(DailyScalarsTable,AG$5/100,MONTH($A7)))*$C7</f>
        <v>-1220.4283708957769</v>
      </c>
      <c r="AH7" s="1021">
        <f>(VLOOKUP(YEAR($A7),'NY East Load Projections'!$A$4:$EO$14,((MONTH($A7)-1)*12)+VLOOKUP(AH$4,$DE$6:$DF$17,2)+1))*(VLOOKUP($A7,CURVES!$D$9:$T$261,8))*(INDEX(DailyScalarsTable,AH$5/100,MONTH($A7)))*$C7</f>
        <v>-1196.6510260965351</v>
      </c>
      <c r="AI7" s="1021">
        <f>(VLOOKUP(YEAR($A7),'NY East Load Projections'!$A$4:$EO$14,((MONTH($A7)-1)*12)+VLOOKUP(AI$4,$DE$6:$DF$17,2)+1))*(VLOOKUP($A7,CURVES!$D$9:$T$261,8))*(INDEX(DailyScalarsTable,AI$5/100,MONTH($A7)))*$C7</f>
        <v>-1096.5518529417775</v>
      </c>
      <c r="AJ7" s="1021">
        <f>(VLOOKUP(YEAR($A7),'NY East Load Projections'!$A$4:$EO$14,((MONTH($A7)-1)*12)+VLOOKUP(AJ$4,$DE$6:$DF$17,2)+1))*(VLOOKUP($A7,CURVES!$D$9:$T$261,8))*(INDEX(DailyScalarsTable,AJ$5/100,MONTH($A7)))*$C7</f>
        <v>-1095.8888606930484</v>
      </c>
      <c r="AK7" s="1021">
        <f>(VLOOKUP(YEAR($A7),'NY East Load Projections'!$A$4:$EO$14,((MONTH($A7)-1)*12)+VLOOKUP(AK$4,$DE$6:$DF$17,2)+1))*(VLOOKUP($A7,CURVES!$D$9:$T$261,8))*(INDEX(DailyScalarsTable,AK$5/100,MONTH($A7)))*$C7</f>
        <v>-1156.6386505710373</v>
      </c>
      <c r="AL7" s="1021">
        <f>(VLOOKUP(YEAR($A7),'NY East Load Projections'!$A$4:$EO$14,((MONTH($A7)-1)*12)+VLOOKUP(AL$4,$DE$6:$DF$17,2)+1))*(VLOOKUP($A7,CURVES!$D$9:$T$261,8))*(INDEX(DailyScalarsTable,AL$5/100,MONTH($A7)))*$C7</f>
        <v>-1234.3855368291493</v>
      </c>
      <c r="AM7" s="1021">
        <f>(VLOOKUP(YEAR($A7),'NY East Load Projections'!$A$4:$EO$14,((MONTH($A7)-1)*12)+VLOOKUP(AM$4,$DE$6:$DF$17,2)+1))*(VLOOKUP($A7,CURVES!$D$9:$T$261,8))*(INDEX(DailyScalarsTable,AM$5/100,MONTH($A7)))*$C7</f>
        <v>-2363.8332728740629</v>
      </c>
      <c r="AN7" s="1021">
        <f>(VLOOKUP(YEAR($A7),'NY East Load Projections'!$A$4:$EO$14,((MONTH($A7)-1)*12)+VLOOKUP(AN$4,$DE$6:$DF$17,2)+1))*(VLOOKUP($A7,SatSunCurve,4))*(INDEX(DailyScalarsTable,AN$5/100,MONTH($A7)))*$C7</f>
        <v>-2107.2646273556838</v>
      </c>
      <c r="AO7" s="1021">
        <f>(VLOOKUP(YEAR($A7),'NY East Load Projections'!$A$4:$EO$14,((MONTH($A7)-1)*12)+VLOOKUP(AO$4,$DE$6:$DF$17,2)+1))*(VLOOKUP($A7,SatSunCurve,4))*(INDEX(DailyScalarsTable,AO$5/100,MONTH($A7)))*$C7</f>
        <v>-2629.9330254083175</v>
      </c>
      <c r="AP7" s="1021">
        <f>(VLOOKUP(YEAR($A7),'NY East Load Projections'!$A$4:$EO$14,((MONTH($A7)-1)*12)+VLOOKUP(AP$4,$DE$6:$DF$17,2)+1))*(VLOOKUP($A7,SatSunCurve,4))*(INDEX(DailyScalarsTable,AP$5/100,MONTH($A7)))*$C7</f>
        <v>-2621.9285656475699</v>
      </c>
      <c r="AQ7" s="1021">
        <f>(VLOOKUP(YEAR($A7),'NY East Load Projections'!$A$4:$EO$14,((MONTH($A7)-1)*12)+VLOOKUP(AQ$4,$DE$6:$DF$17,2)+1))*(VLOOKUP($A7,SatSunCurve,4))*(INDEX(DailyScalarsTable,AQ$5/100,MONTH($A7)))*$C7</f>
        <v>-2576.1724732412804</v>
      </c>
      <c r="AR7" s="1021">
        <f>(VLOOKUP(YEAR($A7),'NY East Load Projections'!$A$4:$EO$14,((MONTH($A7)-1)*12)+VLOOKUP(AR$4,$DE$6:$DF$17,2)+1))*(VLOOKUP($A7,SatSunCurve,4))*(INDEX(DailyScalarsTable,AR$5/100,MONTH($A7)))*$C7</f>
        <v>-1929.7969225552354</v>
      </c>
      <c r="AS7" s="1021">
        <f>(VLOOKUP(YEAR($A7),'NY East Load Projections'!$A$4:$EO$14,((MONTH($A7)-1)*12)+VLOOKUP(AS$4,$DE$6:$DF$17,2)+1))*(VLOOKUP($A7,SatSunCurve,4))*(INDEX(DailyScalarsTable,AS$5/100,MONTH($A7)))*$C7</f>
        <v>-1612.6627049045042</v>
      </c>
      <c r="AT7" s="1021">
        <f>(VLOOKUP(YEAR($A7),'NY East Load Projections'!$A$4:$EO$14,((MONTH($A7)-1)*12)+VLOOKUP(AT$4,$DE$6:$DF$17,2)+1))*(VLOOKUP($A7,SatSunCurve,4))*(INDEX(DailyScalarsTable,AT$5/100,MONTH($A7)))*$C7</f>
        <v>-1560.5926409651449</v>
      </c>
      <c r="AU7" s="1021">
        <f>(VLOOKUP(YEAR($A7),'NY East Load Projections'!$A$4:$EO$14,((MONTH($A7)-1)*12)+VLOOKUP(AU$4,$DE$6:$DF$17,2)+1))*(VLOOKUP($A7,SatSunCurve,4))*(INDEX(DailyScalarsTable,AU$5/100,MONTH($A7)))*$C7</f>
        <v>-1481.1669274924266</v>
      </c>
      <c r="AV7" s="1021">
        <f>(VLOOKUP(YEAR($A7),'NY East Load Projections'!$A$4:$EO$14,((MONTH($A7)-1)*12)+VLOOKUP(AV$4,$DE$6:$DF$17,2)+1))*(VLOOKUP($A7,SatSunCurve,4))*(INDEX(DailyScalarsTable,AV$5/100,MONTH($A7)))*$C7</f>
        <v>-1451.3587024836629</v>
      </c>
      <c r="AW7" s="1021">
        <f>(VLOOKUP(YEAR($A7),'NY East Load Projections'!$A$4:$EO$14,((MONTH($A7)-1)*12)+VLOOKUP(AW$4,$DE$6:$DF$17,2)+1))*(VLOOKUP($A7,SatSunCurve,4))*(INDEX(DailyScalarsTable,AW$5/100,MONTH($A7)))*$C7</f>
        <v>-1455.8103416029662</v>
      </c>
      <c r="AX7" s="1021">
        <f>(VLOOKUP(YEAR($A7),'NY East Load Projections'!$A$4:$EO$14,((MONTH($A7)-1)*12)+VLOOKUP(AX$4,$DE$6:$DF$17,2)+1))*(VLOOKUP($A7,SatSunCurve,4))*(INDEX(DailyScalarsTable,AX$5/100,MONTH($A7)))*$C7</f>
        <v>-2025.6968435792242</v>
      </c>
      <c r="AY7" s="1021">
        <f>(VLOOKUP(YEAR($A7),'NY East Load Projections'!$A$4:$EO$14,((MONTH($A7)-1)*12)+VLOOKUP(AY$4,$DE$6:$DF$17,2)+1))*(VLOOKUP($A7,SatSunCurve,4))*(INDEX(DailyScalarsTable,AY$5/100,MONTH($A7)))*$C7</f>
        <v>-2222.7276731644029</v>
      </c>
      <c r="AZ7" s="1021">
        <f>(VLOOKUP(YEAR($A7),'NY East Load Projections'!$A$4:$EO$14,((MONTH($A7)-1)*12)+VLOOKUP(AZ$4,$DE$6:$DF$17,2)+1))*(VLOOKUP($A7,SatSunCurve,4))*(INDEX(DailyScalarsTable,AZ$5/100,MONTH($A7)))*$C7</f>
        <v>-2127.5360756870409</v>
      </c>
      <c r="BA7" s="1021">
        <f>(VLOOKUP(YEAR($A7),'NY East Load Projections'!$A$4:$EO$14,((MONTH($A7)-1)*12)+VLOOKUP(BA$4,$DE$6:$DF$17,2)+1))*(VLOOKUP($A7,SatSunCurve,4))*(INDEX(DailyScalarsTable,BA$5/100,MONTH($A7)))*$C7</f>
        <v>-2104.1936281886228</v>
      </c>
      <c r="BB7" s="1021">
        <f>(VLOOKUP(YEAR($A7),'NY East Load Projections'!$A$4:$EO$14,((MONTH($A7)-1)*12)+VLOOKUP(BB$4,$DE$6:$DF$17,2)+1))*(VLOOKUP($A7,SatSunCurve,4))*(INDEX(DailyScalarsTable,BB$5/100,MONTH($A7)))*$C7</f>
        <v>-1496.551243524216</v>
      </c>
      <c r="BC7" s="1021">
        <f>(VLOOKUP(YEAR($A7),'NY East Load Projections'!$A$4:$EO$14,((MONTH($A7)-1)*12)+VLOOKUP(BC$4,$DE$6:$DF$17,2)+1))*(VLOOKUP($A7,SatSunCurve,4))*(INDEX(DailyScalarsTable,BC$5/100,MONTH($A7)))*$C7</f>
        <v>-1225.1134647231106</v>
      </c>
      <c r="BD7" s="1021">
        <f>(VLOOKUP(YEAR($A7),'NY East Load Projections'!$A$4:$EO$14,((MONTH($A7)-1)*12)+VLOOKUP(BD$4,$DE$6:$DF$17,2)+1))*(VLOOKUP($A7,CURVES!$D$9:$T$261,8))*(INDEX(DailyScalarsTable,BD$5/100,MONTH($A7)))*$C7</f>
        <v>-1414.4673911454486</v>
      </c>
      <c r="BE7" s="1021"/>
      <c r="BF7" s="1021">
        <f>(VLOOKUP(YEAR($A7),'NY East Load Projections'!$A$4:$EO$14,((MONTH($A7)-1)*12)+VLOOKUP(BF$4,$DE$6:$DF$17,2)+1))*(VLOOKUP($A7,CURVES!$D$9:$T$261,8))*(INDEX(DailyScalarsTable,BF$5/100,MONTH($A7)))*$D7</f>
        <v>-1220.4283708957769</v>
      </c>
      <c r="BG7" s="1021">
        <f>(VLOOKUP(YEAR($A7),'NY East Load Projections'!$A$4:$EO$14,((MONTH($A7)-1)*12)+VLOOKUP(BG$4,$DE$6:$DF$17,2)+1))*(VLOOKUP($A7,CURVES!$D$9:$T$261,8))*(INDEX(DailyScalarsTable,BG$5/100,MONTH($A7)))*$D7</f>
        <v>-1196.6510260965351</v>
      </c>
      <c r="BH7" s="1021">
        <f>(VLOOKUP(YEAR($A7),'NY East Load Projections'!$A$4:$EO$14,((MONTH($A7)-1)*12)+VLOOKUP(BH$4,$DE$6:$DF$17,2)+1))*(VLOOKUP($A7,CURVES!$D$9:$T$261,8))*(INDEX(DailyScalarsTable,BH$5/100,MONTH($A7)))*$D7</f>
        <v>-1096.5518529417775</v>
      </c>
      <c r="BI7" s="1021">
        <f>(VLOOKUP(YEAR($A7),'NY East Load Projections'!$A$4:$EO$14,((MONTH($A7)-1)*12)+VLOOKUP(BI$4,$DE$6:$DF$17,2)+1))*(VLOOKUP($A7,CURVES!$D$9:$T$261,8))*(INDEX(DailyScalarsTable,BI$5/100,MONTH($A7)))*$D7</f>
        <v>-1095.8888606930484</v>
      </c>
      <c r="BJ7" s="1021">
        <f>(VLOOKUP(YEAR($A7),'NY East Load Projections'!$A$4:$EO$14,((MONTH($A7)-1)*12)+VLOOKUP(BJ$4,$DE$6:$DF$17,2)+1))*(VLOOKUP($A7,CURVES!$D$9:$T$261,8))*(INDEX(DailyScalarsTable,BJ$5/100,MONTH($A7)))*$D7</f>
        <v>-1156.6386505710373</v>
      </c>
      <c r="BK7" s="1021">
        <f>(VLOOKUP(YEAR($A7),'NY East Load Projections'!$A$4:$EO$14,((MONTH($A7)-1)*12)+VLOOKUP(BK$4,$DE$6:$DF$17,2)+1))*(VLOOKUP($A7,CURVES!$D$9:$T$261,8))*(INDEX(DailyScalarsTable,BK$5/100,MONTH($A7)))*$D7</f>
        <v>-1234.3855368291493</v>
      </c>
      <c r="BL7" s="1021">
        <f>(VLOOKUP(YEAR($A7),'NY East Load Projections'!$A$4:$EO$14,((MONTH($A7)-1)*12)+VLOOKUP(BL$4,$DE$6:$DF$17,2)+1))*(VLOOKUP($A7,CURVES!$D$9:$T$261,8))*(INDEX(DailyScalarsTable,BL$5/100,MONTH($A7)))*$D7</f>
        <v>-2363.8332728740629</v>
      </c>
      <c r="BM7" s="1021">
        <f>(VLOOKUP(YEAR($A7),'NY East Load Projections'!$A$4:$EO$14,((MONTH($A7)-1)*12)+VLOOKUP(BM$4,$DE$6:$DF$17,2)+1))*(VLOOKUP($A7,SatSunCurve,8))*(INDEX(DailyScalarsTable,BM$5/100,MONTH($A7)))*$D7</f>
        <v>-2073.7269603484679</v>
      </c>
      <c r="BN7" s="1021">
        <f>(VLOOKUP(YEAR($A7),'NY East Load Projections'!$A$4:$EO$14,((MONTH($A7)-1)*12)+VLOOKUP(BN$4,$DE$6:$DF$17,2)+1))*(VLOOKUP($A7,SatSunCurve,8))*(INDEX(DailyScalarsTable,BN$5/100,MONTH($A7)))*$D7</f>
        <v>-2588.0769543138654</v>
      </c>
      <c r="BO7" s="1021">
        <f>(VLOOKUP(YEAR($A7),'NY East Load Projections'!$A$4:$EO$14,((MONTH($A7)-1)*12)+VLOOKUP(BO$4,$DE$6:$DF$17,2)+1))*(VLOOKUP($A7,SatSunCurve,8))*(INDEX(DailyScalarsTable,BO$5/100,MONTH($A7)))*$D7</f>
        <v>-2580.1998876211474</v>
      </c>
      <c r="BP7" s="1021">
        <f>(VLOOKUP(YEAR($A7),'NY East Load Projections'!$A$4:$EO$14,((MONTH($A7)-1)*12)+VLOOKUP(BP$4,$DE$6:$DF$17,2)+1))*(VLOOKUP($A7,SatSunCurve,8))*(INDEX(DailyScalarsTable,BP$5/100,MONTH($A7)))*$D7</f>
        <v>-2535.1720153779797</v>
      </c>
      <c r="BQ7" s="1021">
        <f>(VLOOKUP(YEAR($A7),'NY East Load Projections'!$A$4:$EO$14,((MONTH($A7)-1)*12)+VLOOKUP(BQ$4,$DE$6:$DF$17,2)+1))*(VLOOKUP($A7,SatSunCurve,8))*(INDEX(DailyScalarsTable,BQ$5/100,MONTH($A7)))*$D7</f>
        <v>-1899.0837004283007</v>
      </c>
      <c r="BR7" s="1021">
        <f>(VLOOKUP(YEAR($A7),'NY East Load Projections'!$A$4:$EO$14,((MONTH($A7)-1)*12)+VLOOKUP(BR$4,$DE$6:$DF$17,2)+1))*(VLOOKUP($A7,SatSunCurve,8))*(INDEX(DailyScalarsTable,BR$5/100,MONTH($A7)))*$D7</f>
        <v>-1586.9967566937605</v>
      </c>
      <c r="BS7" s="1021">
        <f>(VLOOKUP(YEAR($A7),'NY East Load Projections'!$A$4:$EO$14,((MONTH($A7)-1)*12)+VLOOKUP(BS$4,$DE$6:$DF$17,2)+1))*(VLOOKUP($A7,SatSunCurve,8))*(INDEX(DailyScalarsTable,BS$5/100,MONTH($A7)))*$D7</f>
        <v>-1535.7554014238169</v>
      </c>
      <c r="BT7" s="1021">
        <f>(VLOOKUP(YEAR($A7),'NY East Load Projections'!$A$4:$EO$14,((MONTH($A7)-1)*12)+VLOOKUP(BT$4,$DE$6:$DF$17,2)+1))*(VLOOKUP($A7,SatSunCurve,8))*(INDEX(DailyScalarsTable,BT$5/100,MONTH($A7)))*$D7</f>
        <v>-1457.5937689287218</v>
      </c>
      <c r="BU7" s="1021">
        <f>(VLOOKUP(YEAR($A7),'NY East Load Projections'!$A$4:$EO$14,((MONTH($A7)-1)*12)+VLOOKUP(BU$4,$DE$6:$DF$17,2)+1))*(VLOOKUP($A7,SatSunCurve,8))*(INDEX(DailyScalarsTable,BU$5/100,MONTH($A7)))*$D7</f>
        <v>-1428.259949607522</v>
      </c>
      <c r="BV7" s="1021">
        <f>(VLOOKUP(YEAR($A7),'NY East Load Projections'!$A$4:$EO$14,((MONTH($A7)-1)*12)+VLOOKUP(BV$4,$DE$6:$DF$17,2)+1))*(VLOOKUP($A7,SatSunCurve,8))*(INDEX(DailyScalarsTable,BV$5/100,MONTH($A7)))*$D7</f>
        <v>-1432.6407397273776</v>
      </c>
      <c r="BW7" s="1021">
        <f>(VLOOKUP(YEAR($A7),'NY East Load Projections'!$A$4:$EO$14,((MONTH($A7)-1)*12)+VLOOKUP(BW$4,$DE$6:$DF$17,2)+1))*(VLOOKUP($A7,SatSunCurve,8))*(INDEX(DailyScalarsTable,BW$5/100,MONTH($A7)))*$D7</f>
        <v>-1993.4573491580702</v>
      </c>
      <c r="BX7" s="1021">
        <f>(VLOOKUP(YEAR($A7),'NY East Load Projections'!$A$4:$EO$14,((MONTH($A7)-1)*12)+VLOOKUP(BX$4,$DE$6:$DF$17,2)+1))*(VLOOKUP($A7,SatSunCurve,8))*(INDEX(DailyScalarsTable,BX$5/100,MONTH($A7)))*$D7</f>
        <v>-2187.3523816217098</v>
      </c>
      <c r="BY7" s="1021">
        <f>(VLOOKUP(YEAR($A7),'NY East Load Projections'!$A$4:$EO$14,((MONTH($A7)-1)*12)+VLOOKUP(BY$4,$DE$6:$DF$17,2)+1))*(VLOOKUP($A7,SatSunCurve,8))*(INDEX(DailyScalarsTable,BY$5/100,MONTH($A7)))*$D7</f>
        <v>-2093.6757832842932</v>
      </c>
      <c r="BZ7" s="1021">
        <f>(VLOOKUP(YEAR($A7),'NY East Load Projections'!$A$4:$EO$14,((MONTH($A7)-1)*12)+VLOOKUP(BZ$4,$DE$6:$DF$17,2)+1))*(VLOOKUP($A7,SatSunCurve,8))*(INDEX(DailyScalarsTable,BZ$5/100,MONTH($A7)))*$D7</f>
        <v>-2070.704836935362</v>
      </c>
      <c r="CA7" s="1021">
        <f>(VLOOKUP(YEAR($A7),'NY East Load Projections'!$A$4:$EO$14,((MONTH($A7)-1)*12)+VLOOKUP(CA$4,$DE$6:$DF$17,2)+1))*(VLOOKUP($A7,SatSunCurve,8))*(INDEX(DailyScalarsTable,CA$5/100,MONTH($A7)))*$D7</f>
        <v>-1472.733239552151</v>
      </c>
      <c r="CB7" s="1021">
        <f>(VLOOKUP(YEAR($A7),'NY East Load Projections'!$A$4:$EO$14,((MONTH($A7)-1)*12)+VLOOKUP(CB$4,$DE$6:$DF$17,2)+1))*(VLOOKUP($A7,SatSunCurve,8))*(INDEX(DailyScalarsTable,CB$5/100,MONTH($A7)))*$D7</f>
        <v>-1205.6154639060519</v>
      </c>
      <c r="CC7" s="1021">
        <f>(VLOOKUP(YEAR($A7),'NY East Load Projections'!$A$4:$EO$14,((MONTH($A7)-1)*12)+VLOOKUP(CC$4,$DE$6:$DF$17,2)+1))*(VLOOKUP($A7,CURVES!$D$9:$T$261,8))*(INDEX(DailyScalarsTable,CC$5/100,MONTH($A7)))*$D7</f>
        <v>-1414.4673911454486</v>
      </c>
      <c r="CE7" s="1021">
        <f>(VLOOKUP(YEAR($A7),'NY East Load Projections'!$A$4:$EO$14,((MONTH($A7)-1)*12)+VLOOKUP(CE$4,$DE$6:$DF$17,2)+1))*(VLOOKUP($A7,CURVES!$D$9:$T$261,8))*(INDEX(DailyScalarsTable,CE$5/100,MONTH($A7)))*$E7</f>
        <v>0</v>
      </c>
      <c r="CF7" s="1021">
        <f>(VLOOKUP(YEAR($A7),'NY East Load Projections'!$A$4:$EO$14,((MONTH($A7)-1)*12)+VLOOKUP(CF$4,$DE$6:$DF$17,2)+1))*(VLOOKUP($A7,CURVES!$D$9:$T$261,8))*(INDEX(DailyScalarsTable,CF$5/100,MONTH($A7)))*$E7</f>
        <v>0</v>
      </c>
      <c r="CG7" s="1021">
        <f>(VLOOKUP(YEAR($A7),'NY East Load Projections'!$A$4:$EO$14,((MONTH($A7)-1)*12)+VLOOKUP(CG$4,$DE$6:$DF$17,2)+1))*(VLOOKUP($A7,CURVES!$D$9:$T$261,8))*(INDEX(DailyScalarsTable,CG$5/100,MONTH($A7)))*$E7</f>
        <v>0</v>
      </c>
      <c r="CH7" s="1021">
        <f>(VLOOKUP(YEAR($A7),'NY East Load Projections'!$A$4:$EO$14,((MONTH($A7)-1)*12)+VLOOKUP(CH$4,$DE$6:$DF$17,2)+1))*(VLOOKUP($A7,CURVES!$D$9:$T$261,8))*(INDEX(DailyScalarsTable,CH$5/100,MONTH($A7)))*$E7</f>
        <v>0</v>
      </c>
      <c r="CI7" s="1021">
        <f>(VLOOKUP(YEAR($A7),'NY East Load Projections'!$A$4:$EO$14,((MONTH($A7)-1)*12)+VLOOKUP(CI$4,$DE$6:$DF$17,2)+1))*(VLOOKUP($A7,CURVES!$D$9:$T$261,8))*(INDEX(DailyScalarsTable,CI$5/100,MONTH($A7)))*$E7</f>
        <v>0</v>
      </c>
      <c r="CJ7" s="1021">
        <f>(VLOOKUP(YEAR($A7),'NY East Load Projections'!$A$4:$EO$14,((MONTH($A7)-1)*12)+VLOOKUP(CJ$4,$DE$6:$DF$17,2)+1))*(VLOOKUP($A7,CURVES!$D$9:$T$261,8))*(INDEX(DailyScalarsTable,CJ$5/100,MONTH($A7)))*$E7</f>
        <v>0</v>
      </c>
      <c r="CK7" s="1021">
        <f>(VLOOKUP(YEAR($A7),'NY East Load Projections'!$A$4:$EO$14,((MONTH($A7)-1)*12)+VLOOKUP(CK$4,$DE$6:$DF$17,2)+1))*(VLOOKUP($A7,CURVES!$D$9:$T$261,8))*(INDEX(DailyScalarsTable,CK$5/100,MONTH($A7)))*$E7</f>
        <v>0</v>
      </c>
      <c r="CL7" s="1021">
        <f>(VLOOKUP(YEAR($A7),'NY East Load Projections'!$A$4:$EO$14,((MONTH($A7)-1)*12)+VLOOKUP(CL$4,$DE$6:$DF$17,2)+1))*(VLOOKUP($A7,SatSunCurve,8))*(INDEX(DailyScalarsTable,CL$5/100,MONTH($A7)))*$E7</f>
        <v>0</v>
      </c>
      <c r="CM7" s="1021">
        <f>(VLOOKUP(YEAR($A7),'NY East Load Projections'!$A$4:$EO$14,((MONTH($A7)-1)*12)+VLOOKUP(CM$4,$DE$6:$DF$17,2)+1))*(VLOOKUP($A7,SatSunCurve,8))*(INDEX(DailyScalarsTable,CM$5/100,MONTH($A7)))*$E7</f>
        <v>0</v>
      </c>
      <c r="CN7" s="1021">
        <f>(VLOOKUP(YEAR($A7),'NY East Load Projections'!$A$4:$EO$14,((MONTH($A7)-1)*12)+VLOOKUP(CN$4,$DE$6:$DF$17,2)+1))*(VLOOKUP($A7,SatSunCurve,8))*(INDEX(DailyScalarsTable,CN$5/100,MONTH($A7)))*$E7</f>
        <v>0</v>
      </c>
      <c r="CO7" s="1021">
        <f>(VLOOKUP(YEAR($A7),'NY East Load Projections'!$A$4:$EO$14,((MONTH($A7)-1)*12)+VLOOKUP(CO$4,$DE$6:$DF$17,2)+1))*(VLOOKUP($A7,SatSunCurve,8))*(INDEX(DailyScalarsTable,CO$5/100,MONTH($A7)))*$E7</f>
        <v>0</v>
      </c>
      <c r="CP7" s="1021">
        <f>(VLOOKUP(YEAR($A7),'NY East Load Projections'!$A$4:$EO$14,((MONTH($A7)-1)*12)+VLOOKUP(CP$4,$DE$6:$DF$17,2)+1))*(VLOOKUP($A7,SatSunCurve,8))*(INDEX(DailyScalarsTable,CP$5/100,MONTH($A7)))*$E7</f>
        <v>0</v>
      </c>
      <c r="CQ7" s="1021">
        <f>(VLOOKUP(YEAR($A7),'NY East Load Projections'!$A$4:$EO$14,((MONTH($A7)-1)*12)+VLOOKUP(CQ$4,$DE$6:$DF$17,2)+1))*(VLOOKUP($A7,SatSunCurve,8))*(INDEX(DailyScalarsTable,CQ$5/100,MONTH($A7)))*$E7</f>
        <v>0</v>
      </c>
      <c r="CR7" s="1021">
        <f>(VLOOKUP(YEAR($A7),'NY East Load Projections'!$A$4:$EO$14,((MONTH($A7)-1)*12)+VLOOKUP(CR$4,$DE$6:$DF$17,2)+1))*(VLOOKUP($A7,SatSunCurve,8))*(INDEX(DailyScalarsTable,CR$5/100,MONTH($A7)))*$E7</f>
        <v>0</v>
      </c>
      <c r="CS7" s="1021">
        <f>(VLOOKUP(YEAR($A7),'NY East Load Projections'!$A$4:$EO$14,((MONTH($A7)-1)*12)+VLOOKUP(CS$4,$DE$6:$DF$17,2)+1))*(VLOOKUP($A7,SatSunCurve,8))*(INDEX(DailyScalarsTable,CS$5/100,MONTH($A7)))*$E7</f>
        <v>0</v>
      </c>
      <c r="CT7" s="1021">
        <f>(VLOOKUP(YEAR($A7),'NY East Load Projections'!$A$4:$EO$14,((MONTH($A7)-1)*12)+VLOOKUP(CT$4,$DE$6:$DF$17,2)+1))*(VLOOKUP($A7,SatSunCurve,8))*(INDEX(DailyScalarsTable,CT$5/100,MONTH($A7)))*$E7</f>
        <v>0</v>
      </c>
      <c r="CU7" s="1021">
        <f>(VLOOKUP(YEAR($A7),'NY East Load Projections'!$A$4:$EO$14,((MONTH($A7)-1)*12)+VLOOKUP(CU$4,$DE$6:$DF$17,2)+1))*(VLOOKUP($A7,SatSunCurve,8))*(INDEX(DailyScalarsTable,CU$5/100,MONTH($A7)))*$E7</f>
        <v>0</v>
      </c>
      <c r="CV7" s="1021">
        <f>(VLOOKUP(YEAR($A7),'NY East Load Projections'!$A$4:$EO$14,((MONTH($A7)-1)*12)+VLOOKUP(CV$4,$DE$6:$DF$17,2)+1))*(VLOOKUP($A7,SatSunCurve,8))*(INDEX(DailyScalarsTable,CV$5/100,MONTH($A7)))*$E7</f>
        <v>0</v>
      </c>
      <c r="CW7" s="1021">
        <f>(VLOOKUP(YEAR($A7),'NY East Load Projections'!$A$4:$EO$14,((MONTH($A7)-1)*12)+VLOOKUP(CW$4,$DE$6:$DF$17,2)+1))*(VLOOKUP($A7,SatSunCurve,8))*(INDEX(DailyScalarsTable,CW$5/100,MONTH($A7)))*$E7</f>
        <v>0</v>
      </c>
      <c r="CX7" s="1021">
        <f>(VLOOKUP(YEAR($A7),'NY East Load Projections'!$A$4:$EO$14,((MONTH($A7)-1)*12)+VLOOKUP(CX$4,$DE$6:$DF$17,2)+1))*(VLOOKUP($A7,SatSunCurve,8))*(INDEX(DailyScalarsTable,CX$5/100,MONTH($A7)))*$E7</f>
        <v>0</v>
      </c>
      <c r="CY7" s="1021">
        <f>(VLOOKUP(YEAR($A7),'NY East Load Projections'!$A$4:$EO$14,((MONTH($A7)-1)*12)+VLOOKUP(CY$4,$DE$6:$DF$17,2)+1))*(VLOOKUP($A7,SatSunCurve,8))*(INDEX(DailyScalarsTable,CY$5/100,MONTH($A7)))*$E7</f>
        <v>0</v>
      </c>
      <c r="CZ7" s="1021">
        <f>(VLOOKUP(YEAR($A7),'NY East Load Projections'!$A$4:$EO$14,((MONTH($A7)-1)*12)+VLOOKUP(CZ$4,$DE$6:$DF$17,2)+1))*(VLOOKUP($A7,SatSunCurve,8))*(INDEX(DailyScalarsTable,CZ$5/100,MONTH($A7)))*$E7</f>
        <v>0</v>
      </c>
      <c r="DA7" s="1021">
        <f>(VLOOKUP(YEAR($A7),'NY East Load Projections'!$A$4:$EO$14,((MONTH($A7)-1)*12)+VLOOKUP(DA$4,$DE$6:$DF$17,2)+1))*(VLOOKUP($A7,SatSunCurve,8))*(INDEX(DailyScalarsTable,DA$5/100,MONTH($A7)))*$E7</f>
        <v>0</v>
      </c>
      <c r="DB7" s="1021">
        <f>(VLOOKUP(YEAR($A7),'NY East Load Projections'!$A$4:$EO$14,((MONTH($A7)-1)*12)+VLOOKUP(DB$4,$DE$6:$DF$17,2)+1))*(VLOOKUP($A7,CURVES!$D$9:$T$261,8))*(INDEX(DailyScalarsTable,DB$5/100,MONTH($A7)))*$E7</f>
        <v>0</v>
      </c>
      <c r="DE7" s="221" t="s">
        <v>559</v>
      </c>
      <c r="DF7" s="619">
        <v>2</v>
      </c>
      <c r="DH7" s="1021">
        <f t="shared" ref="DH7:DH70" si="0">SUM(H7:DB7)</f>
        <v>-242288.36963095193</v>
      </c>
      <c r="DI7">
        <f ca="1">CALC!J27</f>
        <v>0.93329821543014668</v>
      </c>
      <c r="DJ7" s="1029">
        <f t="shared" ref="DJ7:DJ70" ca="1" si="1">DH7*DI7</f>
        <v>-226127.30299604719</v>
      </c>
    </row>
    <row r="8" spans="1:114" x14ac:dyDescent="0.25">
      <c r="A8" s="244">
        <v>36951</v>
      </c>
      <c r="B8" s="13">
        <v>22</v>
      </c>
      <c r="C8" s="210">
        <v>5</v>
      </c>
      <c r="D8" s="210">
        <v>4</v>
      </c>
      <c r="E8" s="210">
        <v>0</v>
      </c>
      <c r="F8" s="13">
        <v>31</v>
      </c>
      <c r="H8" s="1021">
        <f>(VLOOKUP(YEAR($A8),'NY East Load Projections'!$A$4:$EO$14,((MONTH($A8)-1)*12)+VLOOKUP(H$4,$DE$6:$DF$17,2)+1))*(VLOOKUP($A8,CURVES!$D$9:$K$261,8))*(INDEX(DailyScalarsTable,H$5/100,MONTH($A8)))*$B8</f>
        <v>-1964.1264940061308</v>
      </c>
      <c r="I8" s="1021">
        <f>(VLOOKUP(YEAR($A8),'NY East Load Projections'!$A$4:$EO$14,((MONTH($A8)-1)*12)+VLOOKUP(I$4,$DE$6:$DF$17,2)+1))*(VLOOKUP($A8,CURVES!$D$9:$K$261,8))*(INDEX(DailyScalarsTable,I$5/100,MONTH($A8)))*$B8</f>
        <v>-1857.1687213903715</v>
      </c>
      <c r="J8" s="1021">
        <f>(VLOOKUP(YEAR($A8),'NY East Load Projections'!$A$4:$EO$14,((MONTH($A8)-1)*12)+VLOOKUP(J$4,$DE$6:$DF$17,2)+1))*(VLOOKUP($A8,CURVES!$D$9:$K$261,8))*(INDEX(DailyScalarsTable,J$5/100,MONTH($A8)))*$B8</f>
        <v>-1778.0190197632996</v>
      </c>
      <c r="K8" s="1021">
        <f>(VLOOKUP(YEAR($A8),'NY East Load Projections'!$A$4:$EO$14,((MONTH($A8)-1)*12)+VLOOKUP(K$4,$DE$6:$DF$17,2)+1))*(VLOOKUP($A8,CURVES!$D$9:$K$261,8))*(INDEX(DailyScalarsTable,K$5/100,MONTH($A8)))*$B8</f>
        <v>-1779.1351421684828</v>
      </c>
      <c r="L8" s="1021">
        <f>(VLOOKUP(YEAR($A8),'NY East Load Projections'!$A$4:$EO$14,((MONTH($A8)-1)*12)+VLOOKUP(L$4,$DE$6:$DF$17,2)+1))*(VLOOKUP($A8,CURVES!$D$9:$K$261,8))*(INDEX(DailyScalarsTable,L$5/100,MONTH($A8)))*$B8</f>
        <v>-3780.2074053324409</v>
      </c>
      <c r="M8" s="1021">
        <f>(VLOOKUP(YEAR($A8),'NY East Load Projections'!$A$4:$EO$14,((MONTH($A8)-1)*12)+VLOOKUP(M$4,$DE$6:$DF$17,2)+1))*(VLOOKUP($A8,CURVES!$D$9:$K$261,8))*(INDEX(DailyScalarsTable,M$5/100,MONTH($A8)))*$B8</f>
        <v>-4387.9638468453832</v>
      </c>
      <c r="N8" s="1021">
        <f>(VLOOKUP(YEAR($A8),'NY East Load Projections'!$A$4:$EO$14,((MONTH($A8)-1)*12)+VLOOKUP(N$4,$DE$6:$DF$17,2)+1))*(VLOOKUP($A8,CURVES!$D$9:$K$261,8))*(INDEX(DailyScalarsTable,N$5/100,MONTH($A8)))*$B8</f>
        <v>-7917.5838253469237</v>
      </c>
      <c r="O8" s="1021">
        <f>(VLOOKUP(YEAR($A8),'NY East Load Projections'!$A$4:$EO$14,((MONTH($A8)-1)*12)+VLOOKUP(O$4,$DE$6:$DF$17,2)+1))*(VLOOKUP($A8,CURVES!$D$9:$K$261,4))*(INDEX(DailyScalarsTable,O$5/100,MONTH($A8)))*$B8</f>
        <v>-8615.0269927462432</v>
      </c>
      <c r="P8" s="1021">
        <f>(VLOOKUP(YEAR($A8),'NY East Load Projections'!$A$4:$EO$14,((MONTH($A8)-1)*12)+VLOOKUP(P$4,$DE$6:$DF$17,2)+1))*(VLOOKUP($A8,CURVES!$D$9:$K$261,4))*(INDEX(DailyScalarsTable,P$5/100,MONTH($A8)))*$B8</f>
        <v>-9311.8852049150264</v>
      </c>
      <c r="Q8" s="1021">
        <f>(VLOOKUP(YEAR($A8),'NY East Load Projections'!$A$4:$EO$14,((MONTH($A8)-1)*12)+VLOOKUP(Q$4,$DE$6:$DF$17,2)+1))*(VLOOKUP($A8,CURVES!$D$9:$K$261,4))*(INDEX(DailyScalarsTable,Q$5/100,MONTH($A8)))*$B8</f>
        <v>-9283.7100605733758</v>
      </c>
      <c r="R8" s="1021">
        <f>(VLOOKUP(YEAR($A8),'NY East Load Projections'!$A$4:$EO$14,((MONTH($A8)-1)*12)+VLOOKUP(R$4,$DE$6:$DF$17,2)+1))*(VLOOKUP($A8,CURVES!$D$9:$K$261,4))*(INDEX(DailyScalarsTable,R$5/100,MONTH($A8)))*$B8</f>
        <v>-9120.137694812136</v>
      </c>
      <c r="S8" s="1021">
        <f>(VLOOKUP(YEAR($A8),'NY East Load Projections'!$A$4:$EO$14,((MONTH($A8)-1)*12)+VLOOKUP(S$4,$DE$6:$DF$17,2)+1))*(VLOOKUP($A8,CURVES!$D$9:$K$261,4))*(INDEX(DailyScalarsTable,S$5/100,MONTH($A8)))*$B8</f>
        <v>-6968.652367167876</v>
      </c>
      <c r="T8" s="1021">
        <f>(VLOOKUP(YEAR($A8),'NY East Load Projections'!$A$4:$EO$14,((MONTH($A8)-1)*12)+VLOOKUP(T$4,$DE$6:$DF$17,2)+1))*(VLOOKUP($A8,CURVES!$D$9:$K$261,4))*(INDEX(DailyScalarsTable,T$5/100,MONTH($A8)))*$B8</f>
        <v>-6734.1675793608501</v>
      </c>
      <c r="U8" s="1021">
        <f>(VLOOKUP(YEAR($A8),'NY East Load Projections'!$A$4:$EO$14,((MONTH($A8)-1)*12)+VLOOKUP(U$4,$DE$6:$DF$17,2)+1))*(VLOOKUP($A8,CURVES!$D$9:$K$261,4))*(INDEX(DailyScalarsTable,U$5/100,MONTH($A8)))*$B8</f>
        <v>-6519.2473374663559</v>
      </c>
      <c r="V8" s="1021">
        <f>(VLOOKUP(YEAR($A8),'NY East Load Projections'!$A$4:$EO$14,((MONTH($A8)-1)*12)+VLOOKUP(V$4,$DE$6:$DF$17,2)+1))*(VLOOKUP($A8,CURVES!$D$9:$K$261,4))*(INDEX(DailyScalarsTable,V$5/100,MONTH($A8)))*$B8</f>
        <v>-6191.4160989243901</v>
      </c>
      <c r="W8" s="1021">
        <f>(VLOOKUP(YEAR($A8),'NY East Load Projections'!$A$4:$EO$14,((MONTH($A8)-1)*12)+VLOOKUP(W$4,$DE$6:$DF$17,2)+1))*(VLOOKUP($A8,CURVES!$D$9:$K$261,4))*(INDEX(DailyScalarsTable,W$5/100,MONTH($A8)))*$B8</f>
        <v>-6068.3820474050772</v>
      </c>
      <c r="X8" s="1021">
        <f>(VLOOKUP(YEAR($A8),'NY East Load Projections'!$A$4:$EO$14,((MONTH($A8)-1)*12)+VLOOKUP(X$4,$DE$6:$DF$17,2)+1))*(VLOOKUP($A8,CURVES!$D$9:$K$261,4))*(INDEX(DailyScalarsTable,X$5/100,MONTH($A8)))*$B8</f>
        <v>-5728.5226962377228</v>
      </c>
      <c r="Y8" s="1021">
        <f>(VLOOKUP(YEAR($A8),'NY East Load Projections'!$A$4:$EO$14,((MONTH($A8)-1)*12)+VLOOKUP(Y$4,$DE$6:$DF$17,2)+1))*(VLOOKUP($A8,CURVES!$D$9:$K$261,4))*(INDEX(DailyScalarsTable,Y$5/100,MONTH($A8)))*$B8</f>
        <v>-7809.9668538749465</v>
      </c>
      <c r="Z8" s="1021">
        <f>(VLOOKUP(YEAR($A8),'NY East Load Projections'!$A$4:$EO$14,((MONTH($A8)-1)*12)+VLOOKUP(Z$4,$DE$6:$DF$17,2)+1))*(VLOOKUP($A8,CURVES!$D$9:$K$261,4))*(INDEX(DailyScalarsTable,Z$5/100,MONTH($A8)))*$B8</f>
        <v>-8575.9275157071079</v>
      </c>
      <c r="AA8" s="1021">
        <f>(VLOOKUP(YEAR($A8),'NY East Load Projections'!$A$4:$EO$14,((MONTH($A8)-1)*12)+VLOOKUP(AA$4,$DE$6:$DF$17,2)+1))*(VLOOKUP($A8,CURVES!$D$9:$K$261,4))*(INDEX(DailyScalarsTable,AA$5/100,MONTH($A8)))*$B8</f>
        <v>-8205.758146564629</v>
      </c>
      <c r="AB8" s="1021">
        <f>(VLOOKUP(YEAR($A8),'NY East Load Projections'!$A$4:$EO$14,((MONTH($A8)-1)*12)+VLOOKUP(AB$4,$DE$6:$DF$17,2)+1))*(VLOOKUP($A8,CURVES!$D$9:$K$261,4))*(INDEX(DailyScalarsTable,AB$5/100,MONTH($A8)))*$B8</f>
        <v>-5741.2583513542386</v>
      </c>
      <c r="AC8" s="1021">
        <f>(VLOOKUP(YEAR($A8),'NY East Load Projections'!$A$4:$EO$14,((MONTH($A8)-1)*12)+VLOOKUP(AC$4,$DE$6:$DF$17,2)+1))*(VLOOKUP($A8,CURVES!$D$9:$K$261,4))*(INDEX(DailyScalarsTable,AC$5/100,MONTH($A8)))*$B8</f>
        <v>-4168.9427291512093</v>
      </c>
      <c r="AD8" s="1021">
        <f>(VLOOKUP(YEAR($A8),'NY East Load Projections'!$A$4:$EO$14,((MONTH($A8)-1)*12)+VLOOKUP(AD$4,$DE$6:$DF$17,2)+1))*(VLOOKUP($A8,CURVES!$D$9:$K$261,4))*(INDEX(DailyScalarsTable,AD$5/100,MONTH($A8)))*$B8</f>
        <v>-3421.8922581427546</v>
      </c>
      <c r="AE8" s="1021">
        <f>(VLOOKUP(YEAR($A8),'NY East Load Projections'!$A$4:$EO$14,((MONTH($A8)-1)*12)+VLOOKUP(AE$4,$DE$6:$DF$17,2)+1))*(VLOOKUP($A8,CURVES!$D$9:$K$261,8))*(INDEX(DailyScalarsTable,AE$5/100,MONTH($A8)))*$B8</f>
        <v>-3045.4379877455399</v>
      </c>
      <c r="AF8" s="1021"/>
      <c r="AG8" s="1021">
        <f>(VLOOKUP(YEAR($A8),'NY East Load Projections'!$A$4:$EO$14,((MONTH($A8)-1)*12)+VLOOKUP(AG$4,$DE$6:$DF$17,2)+1))*(VLOOKUP($A8,CURVES!$D$9:$T$261,8))*(INDEX(DailyScalarsTable,AG$5/100,MONTH($A8)))*$C8</f>
        <v>-1134.0312123820784</v>
      </c>
      <c r="AH8" s="1021">
        <f>(VLOOKUP(YEAR($A8),'NY East Load Projections'!$A$4:$EO$14,((MONTH($A8)-1)*12)+VLOOKUP(AH$4,$DE$6:$DF$17,2)+1))*(VLOOKUP($A8,CURVES!$D$9:$T$261,8))*(INDEX(DailyScalarsTable,AH$5/100,MONTH($A8)))*$C8</f>
        <v>-1072.2768126917917</v>
      </c>
      <c r="AI8" s="1021">
        <f>(VLOOKUP(YEAR($A8),'NY East Load Projections'!$A$4:$EO$14,((MONTH($A8)-1)*12)+VLOOKUP(AI$4,$DE$6:$DF$17,2)+1))*(VLOOKUP($A8,CURVES!$D$9:$T$261,8))*(INDEX(DailyScalarsTable,AI$5/100,MONTH($A8)))*$C8</f>
        <v>-1026.578008480484</v>
      </c>
      <c r="AJ8" s="1021">
        <f>(VLOOKUP(YEAR($A8),'NY East Load Projections'!$A$4:$EO$14,((MONTH($A8)-1)*12)+VLOOKUP(AJ$4,$DE$6:$DF$17,2)+1))*(VLOOKUP($A8,CURVES!$D$9:$T$261,8))*(INDEX(DailyScalarsTable,AJ$5/100,MONTH($A8)))*$C8</f>
        <v>-1027.2224260616222</v>
      </c>
      <c r="AK8" s="1021">
        <f>(VLOOKUP(YEAR($A8),'NY East Load Projections'!$A$4:$EO$14,((MONTH($A8)-1)*12)+VLOOKUP(AK$4,$DE$6:$DF$17,2)+1))*(VLOOKUP($A8,CURVES!$D$9:$T$261,8))*(INDEX(DailyScalarsTable,AK$5/100,MONTH($A8)))*$C8</f>
        <v>-1109.516343429209</v>
      </c>
      <c r="AL8" s="1021">
        <f>(VLOOKUP(YEAR($A8),'NY East Load Projections'!$A$4:$EO$14,((MONTH($A8)-1)*12)+VLOOKUP(AL$4,$DE$6:$DF$17,2)+1))*(VLOOKUP($A8,CURVES!$D$9:$T$261,8))*(INDEX(DailyScalarsTable,AL$5/100,MONTH($A8)))*$C8</f>
        <v>-1287.8969539035929</v>
      </c>
      <c r="AM8" s="1021">
        <f>(VLOOKUP(YEAR($A8),'NY East Load Projections'!$A$4:$EO$14,((MONTH($A8)-1)*12)+VLOOKUP(AM$4,$DE$6:$DF$17,2)+1))*(VLOOKUP($A8,CURVES!$D$9:$T$261,8))*(INDEX(DailyScalarsTable,AM$5/100,MONTH($A8)))*$C8</f>
        <v>-2323.8641991710028</v>
      </c>
      <c r="AN8" s="1021">
        <f>(VLOOKUP(YEAR($A8),'NY East Load Projections'!$A$4:$EO$14,((MONTH($A8)-1)*12)+VLOOKUP(AN$4,$DE$6:$DF$17,2)+1))*(VLOOKUP($A8,SatSunCurve,4))*(INDEX(DailyScalarsTable,AN$5/100,MONTH($A8)))*$C8</f>
        <v>-1572.2845760531097</v>
      </c>
      <c r="AO8" s="1021">
        <f>(VLOOKUP(YEAR($A8),'NY East Load Projections'!$A$4:$EO$14,((MONTH($A8)-1)*12)+VLOOKUP(AO$4,$DE$6:$DF$17,2)+1))*(VLOOKUP($A8,SatSunCurve,4))*(INDEX(DailyScalarsTable,AO$5/100,MONTH($A8)))*$C8</f>
        <v>-1954.1921477459582</v>
      </c>
      <c r="AP8" s="1021">
        <f>(VLOOKUP(YEAR($A8),'NY East Load Projections'!$A$4:$EO$14,((MONTH($A8)-1)*12)+VLOOKUP(AP$4,$DE$6:$DF$17,2)+1))*(VLOOKUP($A8,SatSunCurve,4))*(INDEX(DailyScalarsTable,AP$5/100,MONTH($A8)))*$C8</f>
        <v>-1948.2793122005844</v>
      </c>
      <c r="AQ8" s="1021">
        <f>(VLOOKUP(YEAR($A8),'NY East Load Projections'!$A$4:$EO$14,((MONTH($A8)-1)*12)+VLOOKUP(AQ$4,$DE$6:$DF$17,2)+1))*(VLOOKUP($A8,SatSunCurve,4))*(INDEX(DailyScalarsTable,AQ$5/100,MONTH($A8)))*$C8</f>
        <v>-1913.9520169510549</v>
      </c>
      <c r="AR8" s="1021">
        <f>(VLOOKUP(YEAR($A8),'NY East Load Projections'!$A$4:$EO$14,((MONTH($A8)-1)*12)+VLOOKUP(AR$4,$DE$6:$DF$17,2)+1))*(VLOOKUP($A8,SatSunCurve,4))*(INDEX(DailyScalarsTable,AR$5/100,MONTH($A8)))*$C8</f>
        <v>-1462.4413248890578</v>
      </c>
      <c r="AS8" s="1021">
        <f>(VLOOKUP(YEAR($A8),'NY East Load Projections'!$A$4:$EO$14,((MONTH($A8)-1)*12)+VLOOKUP(AS$4,$DE$6:$DF$17,2)+1))*(VLOOKUP($A8,SatSunCurve,4))*(INDEX(DailyScalarsTable,AS$5/100,MONTH($A8)))*$C8</f>
        <v>-1234.6147120502706</v>
      </c>
      <c r="AT8" s="1021">
        <f>(VLOOKUP(YEAR($A8),'NY East Load Projections'!$A$4:$EO$14,((MONTH($A8)-1)*12)+VLOOKUP(AT$4,$DE$6:$DF$17,2)+1))*(VLOOKUP($A8,SatSunCurve,4))*(INDEX(DailyScalarsTable,AT$5/100,MONTH($A8)))*$C8</f>
        <v>-1195.2121148571771</v>
      </c>
      <c r="AU8" s="1021">
        <f>(VLOOKUP(YEAR($A8),'NY East Load Projections'!$A$4:$EO$14,((MONTH($A8)-1)*12)+VLOOKUP(AU$4,$DE$6:$DF$17,2)+1))*(VLOOKUP($A8,SatSunCurve,4))*(INDEX(DailyScalarsTable,AU$5/100,MONTH($A8)))*$C8</f>
        <v>-1135.1088778343781</v>
      </c>
      <c r="AV8" s="1021">
        <f>(VLOOKUP(YEAR($A8),'NY East Load Projections'!$A$4:$EO$14,((MONTH($A8)-1)*12)+VLOOKUP(AV$4,$DE$6:$DF$17,2)+1))*(VLOOKUP($A8,SatSunCurve,4))*(INDEX(DailyScalarsTable,AV$5/100,MONTH($A8)))*$C8</f>
        <v>-1112.5523185716652</v>
      </c>
      <c r="AW8" s="1021">
        <f>(VLOOKUP(YEAR($A8),'NY East Load Projections'!$A$4:$EO$14,((MONTH($A8)-1)*12)+VLOOKUP(AW$4,$DE$6:$DF$17,2)+1))*(VLOOKUP($A8,SatSunCurve,4))*(INDEX(DailyScalarsTable,AW$5/100,MONTH($A8)))*$C8</f>
        <v>-1146.6386017145637</v>
      </c>
      <c r="AX8" s="1021">
        <f>(VLOOKUP(YEAR($A8),'NY East Load Projections'!$A$4:$EO$14,((MONTH($A8)-1)*12)+VLOOKUP(AX$4,$DE$6:$DF$17,2)+1))*(VLOOKUP($A8,SatSunCurve,4))*(INDEX(DailyScalarsTable,AX$5/100,MONTH($A8)))*$C8</f>
        <v>-1563.2668224646648</v>
      </c>
      <c r="AY8" s="1021">
        <f>(VLOOKUP(YEAR($A8),'NY East Load Projections'!$A$4:$EO$14,((MONTH($A8)-1)*12)+VLOOKUP(AY$4,$DE$6:$DF$17,2)+1))*(VLOOKUP($A8,SatSunCurve,4))*(INDEX(DailyScalarsTable,AY$5/100,MONTH($A8)))*$C8</f>
        <v>-1716.5838483059715</v>
      </c>
      <c r="AZ8" s="1021">
        <f>(VLOOKUP(YEAR($A8),'NY East Load Projections'!$A$4:$EO$14,((MONTH($A8)-1)*12)+VLOOKUP(AZ$4,$DE$6:$DF$17,2)+1))*(VLOOKUP($A8,SatSunCurve,4))*(INDEX(DailyScalarsTable,AZ$5/100,MONTH($A8)))*$C8</f>
        <v>-1642.4896166273822</v>
      </c>
      <c r="BA8" s="1021">
        <f>(VLOOKUP(YEAR($A8),'NY East Load Projections'!$A$4:$EO$14,((MONTH($A8)-1)*12)+VLOOKUP(BA$4,$DE$6:$DF$17,2)+1))*(VLOOKUP($A8,SatSunCurve,4))*(INDEX(DailyScalarsTable,BA$5/100,MONTH($A8)))*$C8</f>
        <v>-1616.9340487215622</v>
      </c>
      <c r="BB8" s="1021">
        <f>(VLOOKUP(YEAR($A8),'NY East Load Projections'!$A$4:$EO$14,((MONTH($A8)-1)*12)+VLOOKUP(BB$4,$DE$6:$DF$17,2)+1))*(VLOOKUP($A8,SatSunCurve,4))*(INDEX(DailyScalarsTable,BB$5/100,MONTH($A8)))*$C8</f>
        <v>-1174.1163754361883</v>
      </c>
      <c r="BC8" s="1021">
        <f>(VLOOKUP(YEAR($A8),'NY East Load Projections'!$A$4:$EO$14,((MONTH($A8)-1)*12)+VLOOKUP(BC$4,$DE$6:$DF$17,2)+1))*(VLOOKUP($A8,SatSunCurve,4))*(INDEX(DailyScalarsTable,BC$5/100,MONTH($A8)))*$C8</f>
        <v>-963.72149877955303</v>
      </c>
      <c r="BD8" s="1021">
        <f>(VLOOKUP(YEAR($A8),'NY East Load Projections'!$A$4:$EO$14,((MONTH($A8)-1)*12)+VLOOKUP(BD$4,$DE$6:$DF$17,2)+1))*(VLOOKUP($A8,CURVES!$D$9:$T$261,8))*(INDEX(DailyScalarsTable,BD$5/100,MONTH($A8)))*$C8</f>
        <v>-1379.3628993991683</v>
      </c>
      <c r="BE8" s="1021"/>
      <c r="BF8" s="1021">
        <f>(VLOOKUP(YEAR($A8),'NY East Load Projections'!$A$4:$EO$14,((MONTH($A8)-1)*12)+VLOOKUP(BF$4,$DE$6:$DF$17,2)+1))*(VLOOKUP($A8,CURVES!$D$9:$T$261,8))*(INDEX(DailyScalarsTable,BF$5/100,MONTH($A8)))*$D8</f>
        <v>-907.22496990566265</v>
      </c>
      <c r="BG8" s="1021">
        <f>(VLOOKUP(YEAR($A8),'NY East Load Projections'!$A$4:$EO$14,((MONTH($A8)-1)*12)+VLOOKUP(BG$4,$DE$6:$DF$17,2)+1))*(VLOOKUP($A8,CURVES!$D$9:$T$261,8))*(INDEX(DailyScalarsTable,BG$5/100,MONTH($A8)))*$D8</f>
        <v>-857.82145015343337</v>
      </c>
      <c r="BH8" s="1021">
        <f>(VLOOKUP(YEAR($A8),'NY East Load Projections'!$A$4:$EO$14,((MONTH($A8)-1)*12)+VLOOKUP(BH$4,$DE$6:$DF$17,2)+1))*(VLOOKUP($A8,CURVES!$D$9:$T$261,8))*(INDEX(DailyScalarsTable,BH$5/100,MONTH($A8)))*$D8</f>
        <v>-821.26240678438717</v>
      </c>
      <c r="BI8" s="1021">
        <f>(VLOOKUP(YEAR($A8),'NY East Load Projections'!$A$4:$EO$14,((MONTH($A8)-1)*12)+VLOOKUP(BI$4,$DE$6:$DF$17,2)+1))*(VLOOKUP($A8,CURVES!$D$9:$T$261,8))*(INDEX(DailyScalarsTable,BI$5/100,MONTH($A8)))*$D8</f>
        <v>-821.77794084929769</v>
      </c>
      <c r="BJ8" s="1021">
        <f>(VLOOKUP(YEAR($A8),'NY East Load Projections'!$A$4:$EO$14,((MONTH($A8)-1)*12)+VLOOKUP(BJ$4,$DE$6:$DF$17,2)+1))*(VLOOKUP($A8,CURVES!$D$9:$T$261,8))*(INDEX(DailyScalarsTable,BJ$5/100,MONTH($A8)))*$D8</f>
        <v>-887.61307474336718</v>
      </c>
      <c r="BK8" s="1021">
        <f>(VLOOKUP(YEAR($A8),'NY East Load Projections'!$A$4:$EO$14,((MONTH($A8)-1)*12)+VLOOKUP(BK$4,$DE$6:$DF$17,2)+1))*(VLOOKUP($A8,CURVES!$D$9:$T$261,8))*(INDEX(DailyScalarsTable,BK$5/100,MONTH($A8)))*$D8</f>
        <v>-1030.3175631228744</v>
      </c>
      <c r="BL8" s="1021">
        <f>(VLOOKUP(YEAR($A8),'NY East Load Projections'!$A$4:$EO$14,((MONTH($A8)-1)*12)+VLOOKUP(BL$4,$DE$6:$DF$17,2)+1))*(VLOOKUP($A8,CURVES!$D$9:$T$261,8))*(INDEX(DailyScalarsTable,BL$5/100,MONTH($A8)))*$D8</f>
        <v>-1859.0913593368023</v>
      </c>
      <c r="BM8" s="1021">
        <f>(VLOOKUP(YEAR($A8),'NY East Load Projections'!$A$4:$EO$14,((MONTH($A8)-1)*12)+VLOOKUP(BM$4,$DE$6:$DF$17,2)+1))*(VLOOKUP($A8,SatSunCurve,8))*(INDEX(DailyScalarsTable,BM$5/100,MONTH($A8)))*$D8</f>
        <v>-1366.2117634361591</v>
      </c>
      <c r="BN8" s="1021">
        <f>(VLOOKUP(YEAR($A8),'NY East Load Projections'!$A$4:$EO$14,((MONTH($A8)-1)*12)+VLOOKUP(BN$4,$DE$6:$DF$17,2)+1))*(VLOOKUP($A8,SatSunCurve,8))*(INDEX(DailyScalarsTable,BN$5/100,MONTH($A8)))*$D8</f>
        <v>-1698.0642950573074</v>
      </c>
      <c r="BO8" s="1021">
        <f>(VLOOKUP(YEAR($A8),'NY East Load Projections'!$A$4:$EO$14,((MONTH($A8)-1)*12)+VLOOKUP(BO$4,$DE$6:$DF$17,2)+1))*(VLOOKUP($A8,SatSunCurve,8))*(INDEX(DailyScalarsTable,BO$5/100,MONTH($A8)))*$D8</f>
        <v>-1692.9264303218843</v>
      </c>
      <c r="BP8" s="1021">
        <f>(VLOOKUP(YEAR($A8),'NY East Load Projections'!$A$4:$EO$14,((MONTH($A8)-1)*12)+VLOOKUP(BP$4,$DE$6:$DF$17,2)+1))*(VLOOKUP($A8,SatSunCurve,8))*(INDEX(DailyScalarsTable,BP$5/100,MONTH($A8)))*$D8</f>
        <v>-1663.0982711634565</v>
      </c>
      <c r="BQ8" s="1021">
        <f>(VLOOKUP(YEAR($A8),'NY East Load Projections'!$A$4:$EO$14,((MONTH($A8)-1)*12)+VLOOKUP(BQ$4,$DE$6:$DF$17,2)+1))*(VLOOKUP($A8,SatSunCurve,8))*(INDEX(DailyScalarsTable,BQ$5/100,MONTH($A8)))*$D8</f>
        <v>-1270.7652112279598</v>
      </c>
      <c r="BR8" s="1021">
        <f>(VLOOKUP(YEAR($A8),'NY East Load Projections'!$A$4:$EO$14,((MONTH($A8)-1)*12)+VLOOKUP(BR$4,$DE$6:$DF$17,2)+1))*(VLOOKUP($A8,SatSunCurve,8))*(INDEX(DailyScalarsTable,BR$5/100,MONTH($A8)))*$D8</f>
        <v>-1072.7988867948104</v>
      </c>
      <c r="BS8" s="1021">
        <f>(VLOOKUP(YEAR($A8),'NY East Load Projections'!$A$4:$EO$14,((MONTH($A8)-1)*12)+VLOOKUP(BS$4,$DE$6:$DF$17,2)+1))*(VLOOKUP($A8,SatSunCurve,8))*(INDEX(DailyScalarsTable,BS$5/100,MONTH($A8)))*$D8</f>
        <v>-1038.5606244502951</v>
      </c>
      <c r="BT8" s="1021">
        <f>(VLOOKUP(YEAR($A8),'NY East Load Projections'!$A$4:$EO$14,((MONTH($A8)-1)*12)+VLOOKUP(BT$4,$DE$6:$DF$17,2)+1))*(VLOOKUP($A8,SatSunCurve,8))*(INDEX(DailyScalarsTable,BT$5/100,MONTH($A8)))*$D8</f>
        <v>-986.33486920739324</v>
      </c>
      <c r="BU8" s="1021">
        <f>(VLOOKUP(YEAR($A8),'NY East Load Projections'!$A$4:$EO$14,((MONTH($A8)-1)*12)+VLOOKUP(BU$4,$DE$6:$DF$17,2)+1))*(VLOOKUP($A8,SatSunCurve,8))*(INDEX(DailyScalarsTable,BU$5/100,MONTH($A8)))*$D8</f>
        <v>-966.73470453190987</v>
      </c>
      <c r="BV8" s="1021">
        <f>(VLOOKUP(YEAR($A8),'NY East Load Projections'!$A$4:$EO$14,((MONTH($A8)-1)*12)+VLOOKUP(BV$4,$DE$6:$DF$17,2)+1))*(VLOOKUP($A8,SatSunCurve,8))*(INDEX(DailyScalarsTable,BV$5/100,MONTH($A8)))*$D8</f>
        <v>-996.35344004004901</v>
      </c>
      <c r="BW8" s="1021">
        <f>(VLOOKUP(YEAR($A8),'NY East Load Projections'!$A$4:$EO$14,((MONTH($A8)-1)*12)+VLOOKUP(BW$4,$DE$6:$DF$17,2)+1))*(VLOOKUP($A8,SatSunCurve,8))*(INDEX(DailyScalarsTable,BW$5/100,MONTH($A8)))*$D8</f>
        <v>-1358.3759293766348</v>
      </c>
      <c r="BX8" s="1021">
        <f>(VLOOKUP(YEAR($A8),'NY East Load Projections'!$A$4:$EO$14,((MONTH($A8)-1)*12)+VLOOKUP(BX$4,$DE$6:$DF$17,2)+1))*(VLOOKUP($A8,SatSunCurve,8))*(INDEX(DailyScalarsTable,BX$5/100,MONTH($A8)))*$D8</f>
        <v>-1491.5983290806712</v>
      </c>
      <c r="BY8" s="1021">
        <f>(VLOOKUP(YEAR($A8),'NY East Load Projections'!$A$4:$EO$14,((MONTH($A8)-1)*12)+VLOOKUP(BY$4,$DE$6:$DF$17,2)+1))*(VLOOKUP($A8,SatSunCurve,8))*(INDEX(DailyScalarsTable,BY$5/100,MONTH($A8)))*$D8</f>
        <v>-1427.2153207729987</v>
      </c>
      <c r="BZ8" s="1021">
        <f>(VLOOKUP(YEAR($A8),'NY East Load Projections'!$A$4:$EO$14,((MONTH($A8)-1)*12)+VLOOKUP(BZ$4,$DE$6:$DF$17,2)+1))*(VLOOKUP($A8,SatSunCurve,8))*(INDEX(DailyScalarsTable,BZ$5/100,MONTH($A8)))*$D8</f>
        <v>-1405.0092150679693</v>
      </c>
      <c r="CA8" s="1021">
        <f>(VLOOKUP(YEAR($A8),'NY East Load Projections'!$A$4:$EO$14,((MONTH($A8)-1)*12)+VLOOKUP(CA$4,$DE$6:$DF$17,2)+1))*(VLOOKUP($A8,SatSunCurve,8))*(INDEX(DailyScalarsTable,CA$5/100,MONTH($A8)))*$D8</f>
        <v>-1020.2298160239424</v>
      </c>
      <c r="CB8" s="1021">
        <f>(VLOOKUP(YEAR($A8),'NY East Load Projections'!$A$4:$EO$14,((MONTH($A8)-1)*12)+VLOOKUP(CB$4,$DE$6:$DF$17,2)+1))*(VLOOKUP($A8,SatSunCurve,8))*(INDEX(DailyScalarsTable,CB$5/100,MONTH($A8)))*$D8</f>
        <v>-837.41052247304947</v>
      </c>
      <c r="CC8" s="1021">
        <f>(VLOOKUP(YEAR($A8),'NY East Load Projections'!$A$4:$EO$14,((MONTH($A8)-1)*12)+VLOOKUP(CC$4,$DE$6:$DF$17,2)+1))*(VLOOKUP($A8,CURVES!$D$9:$T$261,8))*(INDEX(DailyScalarsTable,CC$5/100,MONTH($A8)))*$D8</f>
        <v>-1103.4903195193347</v>
      </c>
      <c r="CE8" s="1021">
        <f>(VLOOKUP(YEAR($A8),'NY East Load Projections'!$A$4:$EO$14,((MONTH($A8)-1)*12)+VLOOKUP(CE$4,$DE$6:$DF$17,2)+1))*(VLOOKUP($A8,CURVES!$D$9:$T$261,8))*(INDEX(DailyScalarsTable,CE$5/100,MONTH($A8)))*$E8</f>
        <v>0</v>
      </c>
      <c r="CF8" s="1021">
        <f>(VLOOKUP(YEAR($A8),'NY East Load Projections'!$A$4:$EO$14,((MONTH($A8)-1)*12)+VLOOKUP(CF$4,$DE$6:$DF$17,2)+1))*(VLOOKUP($A8,CURVES!$D$9:$T$261,8))*(INDEX(DailyScalarsTable,CF$5/100,MONTH($A8)))*$E8</f>
        <v>0</v>
      </c>
      <c r="CG8" s="1021">
        <f>(VLOOKUP(YEAR($A8),'NY East Load Projections'!$A$4:$EO$14,((MONTH($A8)-1)*12)+VLOOKUP(CG$4,$DE$6:$DF$17,2)+1))*(VLOOKUP($A8,CURVES!$D$9:$T$261,8))*(INDEX(DailyScalarsTable,CG$5/100,MONTH($A8)))*$E8</f>
        <v>0</v>
      </c>
      <c r="CH8" s="1021">
        <f>(VLOOKUP(YEAR($A8),'NY East Load Projections'!$A$4:$EO$14,((MONTH($A8)-1)*12)+VLOOKUP(CH$4,$DE$6:$DF$17,2)+1))*(VLOOKUP($A8,CURVES!$D$9:$T$261,8))*(INDEX(DailyScalarsTable,CH$5/100,MONTH($A8)))*$E8</f>
        <v>0</v>
      </c>
      <c r="CI8" s="1021">
        <f>(VLOOKUP(YEAR($A8),'NY East Load Projections'!$A$4:$EO$14,((MONTH($A8)-1)*12)+VLOOKUP(CI$4,$DE$6:$DF$17,2)+1))*(VLOOKUP($A8,CURVES!$D$9:$T$261,8))*(INDEX(DailyScalarsTable,CI$5/100,MONTH($A8)))*$E8</f>
        <v>0</v>
      </c>
      <c r="CJ8" s="1021">
        <f>(VLOOKUP(YEAR($A8),'NY East Load Projections'!$A$4:$EO$14,((MONTH($A8)-1)*12)+VLOOKUP(CJ$4,$DE$6:$DF$17,2)+1))*(VLOOKUP($A8,CURVES!$D$9:$T$261,8))*(INDEX(DailyScalarsTable,CJ$5/100,MONTH($A8)))*$E8</f>
        <v>0</v>
      </c>
      <c r="CK8" s="1021">
        <f>(VLOOKUP(YEAR($A8),'NY East Load Projections'!$A$4:$EO$14,((MONTH($A8)-1)*12)+VLOOKUP(CK$4,$DE$6:$DF$17,2)+1))*(VLOOKUP($A8,CURVES!$D$9:$T$261,8))*(INDEX(DailyScalarsTable,CK$5/100,MONTH($A8)))*$E8</f>
        <v>0</v>
      </c>
      <c r="CL8" s="1021">
        <f>(VLOOKUP(YEAR($A8),'NY East Load Projections'!$A$4:$EO$14,((MONTH($A8)-1)*12)+VLOOKUP(CL$4,$DE$6:$DF$17,2)+1))*(VLOOKUP($A8,SatSunCurve,8))*(INDEX(DailyScalarsTable,CL$5/100,MONTH($A8)))*$E8</f>
        <v>0</v>
      </c>
      <c r="CM8" s="1021">
        <f>(VLOOKUP(YEAR($A8),'NY East Load Projections'!$A$4:$EO$14,((MONTH($A8)-1)*12)+VLOOKUP(CM$4,$DE$6:$DF$17,2)+1))*(VLOOKUP($A8,SatSunCurve,8))*(INDEX(DailyScalarsTable,CM$5/100,MONTH($A8)))*$E8</f>
        <v>0</v>
      </c>
      <c r="CN8" s="1021">
        <f>(VLOOKUP(YEAR($A8),'NY East Load Projections'!$A$4:$EO$14,((MONTH($A8)-1)*12)+VLOOKUP(CN$4,$DE$6:$DF$17,2)+1))*(VLOOKUP($A8,SatSunCurve,8))*(INDEX(DailyScalarsTable,CN$5/100,MONTH($A8)))*$E8</f>
        <v>0</v>
      </c>
      <c r="CO8" s="1021">
        <f>(VLOOKUP(YEAR($A8),'NY East Load Projections'!$A$4:$EO$14,((MONTH($A8)-1)*12)+VLOOKUP(CO$4,$DE$6:$DF$17,2)+1))*(VLOOKUP($A8,SatSunCurve,8))*(INDEX(DailyScalarsTable,CO$5/100,MONTH($A8)))*$E8</f>
        <v>0</v>
      </c>
      <c r="CP8" s="1021">
        <f>(VLOOKUP(YEAR($A8),'NY East Load Projections'!$A$4:$EO$14,((MONTH($A8)-1)*12)+VLOOKUP(CP$4,$DE$6:$DF$17,2)+1))*(VLOOKUP($A8,SatSunCurve,8))*(INDEX(DailyScalarsTable,CP$5/100,MONTH($A8)))*$E8</f>
        <v>0</v>
      </c>
      <c r="CQ8" s="1021">
        <f>(VLOOKUP(YEAR($A8),'NY East Load Projections'!$A$4:$EO$14,((MONTH($A8)-1)*12)+VLOOKUP(CQ$4,$DE$6:$DF$17,2)+1))*(VLOOKUP($A8,SatSunCurve,8))*(INDEX(DailyScalarsTable,CQ$5/100,MONTH($A8)))*$E8</f>
        <v>0</v>
      </c>
      <c r="CR8" s="1021">
        <f>(VLOOKUP(YEAR($A8),'NY East Load Projections'!$A$4:$EO$14,((MONTH($A8)-1)*12)+VLOOKUP(CR$4,$DE$6:$DF$17,2)+1))*(VLOOKUP($A8,SatSunCurve,8))*(INDEX(DailyScalarsTable,CR$5/100,MONTH($A8)))*$E8</f>
        <v>0</v>
      </c>
      <c r="CS8" s="1021">
        <f>(VLOOKUP(YEAR($A8),'NY East Load Projections'!$A$4:$EO$14,((MONTH($A8)-1)*12)+VLOOKUP(CS$4,$DE$6:$DF$17,2)+1))*(VLOOKUP($A8,SatSunCurve,8))*(INDEX(DailyScalarsTable,CS$5/100,MONTH($A8)))*$E8</f>
        <v>0</v>
      </c>
      <c r="CT8" s="1021">
        <f>(VLOOKUP(YEAR($A8),'NY East Load Projections'!$A$4:$EO$14,((MONTH($A8)-1)*12)+VLOOKUP(CT$4,$DE$6:$DF$17,2)+1))*(VLOOKUP($A8,SatSunCurve,8))*(INDEX(DailyScalarsTable,CT$5/100,MONTH($A8)))*$E8</f>
        <v>0</v>
      </c>
      <c r="CU8" s="1021">
        <f>(VLOOKUP(YEAR($A8),'NY East Load Projections'!$A$4:$EO$14,((MONTH($A8)-1)*12)+VLOOKUP(CU$4,$DE$6:$DF$17,2)+1))*(VLOOKUP($A8,SatSunCurve,8))*(INDEX(DailyScalarsTable,CU$5/100,MONTH($A8)))*$E8</f>
        <v>0</v>
      </c>
      <c r="CV8" s="1021">
        <f>(VLOOKUP(YEAR($A8),'NY East Load Projections'!$A$4:$EO$14,((MONTH($A8)-1)*12)+VLOOKUP(CV$4,$DE$6:$DF$17,2)+1))*(VLOOKUP($A8,SatSunCurve,8))*(INDEX(DailyScalarsTable,CV$5/100,MONTH($A8)))*$E8</f>
        <v>0</v>
      </c>
      <c r="CW8" s="1021">
        <f>(VLOOKUP(YEAR($A8),'NY East Load Projections'!$A$4:$EO$14,((MONTH($A8)-1)*12)+VLOOKUP(CW$4,$DE$6:$DF$17,2)+1))*(VLOOKUP($A8,SatSunCurve,8))*(INDEX(DailyScalarsTable,CW$5/100,MONTH($A8)))*$E8</f>
        <v>0</v>
      </c>
      <c r="CX8" s="1021">
        <f>(VLOOKUP(YEAR($A8),'NY East Load Projections'!$A$4:$EO$14,((MONTH($A8)-1)*12)+VLOOKUP(CX$4,$DE$6:$DF$17,2)+1))*(VLOOKUP($A8,SatSunCurve,8))*(INDEX(DailyScalarsTable,CX$5/100,MONTH($A8)))*$E8</f>
        <v>0</v>
      </c>
      <c r="CY8" s="1021">
        <f>(VLOOKUP(YEAR($A8),'NY East Load Projections'!$A$4:$EO$14,((MONTH($A8)-1)*12)+VLOOKUP(CY$4,$DE$6:$DF$17,2)+1))*(VLOOKUP($A8,SatSunCurve,8))*(INDEX(DailyScalarsTable,CY$5/100,MONTH($A8)))*$E8</f>
        <v>0</v>
      </c>
      <c r="CZ8" s="1021">
        <f>(VLOOKUP(YEAR($A8),'NY East Load Projections'!$A$4:$EO$14,((MONTH($A8)-1)*12)+VLOOKUP(CZ$4,$DE$6:$DF$17,2)+1))*(VLOOKUP($A8,SatSunCurve,8))*(INDEX(DailyScalarsTable,CZ$5/100,MONTH($A8)))*$E8</f>
        <v>0</v>
      </c>
      <c r="DA8" s="1021">
        <f>(VLOOKUP(YEAR($A8),'NY East Load Projections'!$A$4:$EO$14,((MONTH($A8)-1)*12)+VLOOKUP(DA$4,$DE$6:$DF$17,2)+1))*(VLOOKUP($A8,SatSunCurve,8))*(INDEX(DailyScalarsTable,DA$5/100,MONTH($A8)))*$E8</f>
        <v>0</v>
      </c>
      <c r="DB8" s="1021">
        <f>(VLOOKUP(YEAR($A8),'NY East Load Projections'!$A$4:$EO$14,((MONTH($A8)-1)*12)+VLOOKUP(DB$4,$DE$6:$DF$17,2)+1))*(VLOOKUP($A8,CURVES!$D$9:$T$261,8))*(INDEX(DailyScalarsTable,DB$5/100,MONTH($A8)))*$E8</f>
        <v>0</v>
      </c>
      <c r="DE8" s="221" t="s">
        <v>560</v>
      </c>
      <c r="DF8" s="619">
        <v>3</v>
      </c>
      <c r="DH8" s="1021">
        <f t="shared" si="0"/>
        <v>-201267.96015916622</v>
      </c>
      <c r="DI8">
        <f ca="1">CALC!J28</f>
        <v>0.92767633406505923</v>
      </c>
      <c r="DJ8" s="1029">
        <f t="shared" ca="1" si="1"/>
        <v>-186711.52344520771</v>
      </c>
    </row>
    <row r="9" spans="1:114" x14ac:dyDescent="0.25">
      <c r="A9" s="244">
        <v>36982</v>
      </c>
      <c r="B9" s="13">
        <v>21</v>
      </c>
      <c r="C9" s="210">
        <v>4</v>
      </c>
      <c r="D9" s="210">
        <v>5</v>
      </c>
      <c r="E9" s="210">
        <v>0</v>
      </c>
      <c r="F9" s="13">
        <v>30</v>
      </c>
      <c r="H9" s="1021">
        <f>(VLOOKUP(YEAR($A9),'NY East Load Projections'!$A$4:$EO$14,((MONTH($A9)-1)*12)+VLOOKUP(H$4,$DE$6:$DF$17,2)+1))*(VLOOKUP($A9,CURVES!$D$9:$K$261,8))*(INDEX(DailyScalarsTable,H$5/100,MONTH($A9)))*$B9</f>
        <v>-1569.942111265048</v>
      </c>
      <c r="I9" s="1021">
        <f>(VLOOKUP(YEAR($A9),'NY East Load Projections'!$A$4:$EO$14,((MONTH($A9)-1)*12)+VLOOKUP(I$4,$DE$6:$DF$17,2)+1))*(VLOOKUP($A9,CURVES!$D$9:$K$261,8))*(INDEX(DailyScalarsTable,I$5/100,MONTH($A9)))*$B9</f>
        <v>-1489.0458065470614</v>
      </c>
      <c r="J9" s="1021">
        <f>(VLOOKUP(YEAR($A9),'NY East Load Projections'!$A$4:$EO$14,((MONTH($A9)-1)*12)+VLOOKUP(J$4,$DE$6:$DF$17,2)+1))*(VLOOKUP($A9,CURVES!$D$9:$K$261,8))*(INDEX(DailyScalarsTable,J$5/100,MONTH($A9)))*$B9</f>
        <v>-1429.181822616099</v>
      </c>
      <c r="K9" s="1021">
        <f>(VLOOKUP(YEAR($A9),'NY East Load Projections'!$A$4:$EO$14,((MONTH($A9)-1)*12)+VLOOKUP(K$4,$DE$6:$DF$17,2)+1))*(VLOOKUP($A9,CURVES!$D$9:$K$261,8))*(INDEX(DailyScalarsTable,K$5/100,MONTH($A9)))*$B9</f>
        <v>-1430.0259892061854</v>
      </c>
      <c r="L9" s="1021">
        <f>(VLOOKUP(YEAR($A9),'NY East Load Projections'!$A$4:$EO$14,((MONTH($A9)-1)*12)+VLOOKUP(L$4,$DE$6:$DF$17,2)+1))*(VLOOKUP($A9,CURVES!$D$9:$K$261,8))*(INDEX(DailyScalarsTable,L$5/100,MONTH($A9)))*$B9</f>
        <v>-2888.0652961460246</v>
      </c>
      <c r="M9" s="1021">
        <f>(VLOOKUP(YEAR($A9),'NY East Load Projections'!$A$4:$EO$14,((MONTH($A9)-1)*12)+VLOOKUP(M$4,$DE$6:$DF$17,2)+1))*(VLOOKUP($A9,CURVES!$D$9:$K$261,8))*(INDEX(DailyScalarsTable,M$5/100,MONTH($A9)))*$B9</f>
        <v>-3326.8062533548373</v>
      </c>
      <c r="N9" s="1021">
        <f>(VLOOKUP(YEAR($A9),'NY East Load Projections'!$A$4:$EO$14,((MONTH($A9)-1)*12)+VLOOKUP(N$4,$DE$6:$DF$17,2)+1))*(VLOOKUP($A9,CURVES!$D$9:$K$261,8))*(INDEX(DailyScalarsTable,N$5/100,MONTH($A9)))*$B9</f>
        <v>-4744.9922284945396</v>
      </c>
      <c r="O9" s="1021">
        <f>(VLOOKUP(YEAR($A9),'NY East Load Projections'!$A$4:$EO$14,((MONTH($A9)-1)*12)+VLOOKUP(O$4,$DE$6:$DF$17,2)+1))*(VLOOKUP($A9,CURVES!$D$9:$K$261,4))*(INDEX(DailyScalarsTable,O$5/100,MONTH($A9)))*$B9</f>
        <v>-5920.3174296801008</v>
      </c>
      <c r="P9" s="1021">
        <f>(VLOOKUP(YEAR($A9),'NY East Load Projections'!$A$4:$EO$14,((MONTH($A9)-1)*12)+VLOOKUP(P$4,$DE$6:$DF$17,2)+1))*(VLOOKUP($A9,CURVES!$D$9:$K$261,4))*(INDEX(DailyScalarsTable,P$5/100,MONTH($A9)))*$B9</f>
        <v>-6557.0011158848083</v>
      </c>
      <c r="Q9" s="1021">
        <f>(VLOOKUP(YEAR($A9),'NY East Load Projections'!$A$4:$EO$14,((MONTH($A9)-1)*12)+VLOOKUP(Q$4,$DE$6:$DF$17,2)+1))*(VLOOKUP($A9,CURVES!$D$9:$K$261,4))*(INDEX(DailyScalarsTable,Q$5/100,MONTH($A9)))*$B9</f>
        <v>-6283.939145849442</v>
      </c>
      <c r="R9" s="1021">
        <f>(VLOOKUP(YEAR($A9),'NY East Load Projections'!$A$4:$EO$14,((MONTH($A9)-1)*12)+VLOOKUP(R$4,$DE$6:$DF$17,2)+1))*(VLOOKUP($A9,CURVES!$D$9:$K$261,4))*(INDEX(DailyScalarsTable,R$5/100,MONTH($A9)))*$B9</f>
        <v>-6413.4886954666263</v>
      </c>
      <c r="S9" s="1021">
        <f>(VLOOKUP(YEAR($A9),'NY East Load Projections'!$A$4:$EO$14,((MONTH($A9)-1)*12)+VLOOKUP(S$4,$DE$6:$DF$17,2)+1))*(VLOOKUP($A9,CURVES!$D$9:$K$261,4))*(INDEX(DailyScalarsTable,S$5/100,MONTH($A9)))*$B9</f>
        <v>-6426.0645261218297</v>
      </c>
      <c r="T9" s="1021">
        <f>(VLOOKUP(YEAR($A9),'NY East Load Projections'!$A$4:$EO$14,((MONTH($A9)-1)*12)+VLOOKUP(T$4,$DE$6:$DF$17,2)+1))*(VLOOKUP($A9,CURVES!$D$9:$K$261,4))*(INDEX(DailyScalarsTable,T$5/100,MONTH($A9)))*$B9</f>
        <v>-6020.7115557750849</v>
      </c>
      <c r="U9" s="1021">
        <f>(VLOOKUP(YEAR($A9),'NY East Load Projections'!$A$4:$EO$14,((MONTH($A9)-1)*12)+VLOOKUP(U$4,$DE$6:$DF$17,2)+1))*(VLOOKUP($A9,CURVES!$D$9:$K$261,4))*(INDEX(DailyScalarsTable,U$5/100,MONTH($A9)))*$B9</f>
        <v>-6027.1945629450838</v>
      </c>
      <c r="V9" s="1021">
        <f>(VLOOKUP(YEAR($A9),'NY East Load Projections'!$A$4:$EO$14,((MONTH($A9)-1)*12)+VLOOKUP(V$4,$DE$6:$DF$17,2)+1))*(VLOOKUP($A9,CURVES!$D$9:$K$261,4))*(INDEX(DailyScalarsTable,V$5/100,MONTH($A9)))*$B9</f>
        <v>-5653.0869138997559</v>
      </c>
      <c r="W9" s="1021">
        <f>(VLOOKUP(YEAR($A9),'NY East Load Projections'!$A$4:$EO$14,((MONTH($A9)-1)*12)+VLOOKUP(W$4,$DE$6:$DF$17,2)+1))*(VLOOKUP($A9,CURVES!$D$9:$K$261,4))*(INDEX(DailyScalarsTable,W$5/100,MONTH($A9)))*$B9</f>
        <v>-5283.4601668689902</v>
      </c>
      <c r="X9" s="1021">
        <f>(VLOOKUP(YEAR($A9),'NY East Load Projections'!$A$4:$EO$14,((MONTH($A9)-1)*12)+VLOOKUP(X$4,$DE$6:$DF$17,2)+1))*(VLOOKUP($A9,CURVES!$D$9:$K$261,4))*(INDEX(DailyScalarsTable,X$5/100,MONTH($A9)))*$B9</f>
        <v>-4283.5736487080812</v>
      </c>
      <c r="Y9" s="1021">
        <f>(VLOOKUP(YEAR($A9),'NY East Load Projections'!$A$4:$EO$14,((MONTH($A9)-1)*12)+VLOOKUP(Y$4,$DE$6:$DF$17,2)+1))*(VLOOKUP($A9,CURVES!$D$9:$K$261,4))*(INDEX(DailyScalarsTable,Y$5/100,MONTH($A9)))*$B9</f>
        <v>-4227.8635759097351</v>
      </c>
      <c r="Z9" s="1021">
        <f>(VLOOKUP(YEAR($A9),'NY East Load Projections'!$A$4:$EO$14,((MONTH($A9)-1)*12)+VLOOKUP(Z$4,$DE$6:$DF$17,2)+1))*(VLOOKUP($A9,CURVES!$D$9:$K$261,4))*(INDEX(DailyScalarsTable,Z$5/100,MONTH($A9)))*$B9</f>
        <v>-4205.1991650700102</v>
      </c>
      <c r="AA9" s="1021">
        <f>(VLOOKUP(YEAR($A9),'NY East Load Projections'!$A$4:$EO$14,((MONTH($A9)-1)*12)+VLOOKUP(AA$4,$DE$6:$DF$17,2)+1))*(VLOOKUP($A9,CURVES!$D$9:$K$261,4))*(INDEX(DailyScalarsTable,AA$5/100,MONTH($A9)))*$B9</f>
        <v>-4612.44534445934</v>
      </c>
      <c r="AB9" s="1021">
        <f>(VLOOKUP(YEAR($A9),'NY East Load Projections'!$A$4:$EO$14,((MONTH($A9)-1)*12)+VLOOKUP(AB$4,$DE$6:$DF$17,2)+1))*(VLOOKUP($A9,CURVES!$D$9:$K$261,4))*(INDEX(DailyScalarsTable,AB$5/100,MONTH($A9)))*$B9</f>
        <v>-4089.4151851285424</v>
      </c>
      <c r="AC9" s="1021">
        <f>(VLOOKUP(YEAR($A9),'NY East Load Projections'!$A$4:$EO$14,((MONTH($A9)-1)*12)+VLOOKUP(AC$4,$DE$6:$DF$17,2)+1))*(VLOOKUP($A9,CURVES!$D$9:$K$261,4))*(INDEX(DailyScalarsTable,AC$5/100,MONTH($A9)))*$B9</f>
        <v>-3484.4903298038889</v>
      </c>
      <c r="AD9" s="1021">
        <f>(VLOOKUP(YEAR($A9),'NY East Load Projections'!$A$4:$EO$14,((MONTH($A9)-1)*12)+VLOOKUP(AD$4,$DE$6:$DF$17,2)+1))*(VLOOKUP($A9,CURVES!$D$9:$K$261,4))*(INDEX(DailyScalarsTable,AD$5/100,MONTH($A9)))*$B9</f>
        <v>-3078.3370877945117</v>
      </c>
      <c r="AE9" s="1021">
        <f>(VLOOKUP(YEAR($A9),'NY East Load Projections'!$A$4:$EO$14,((MONTH($A9)-1)*12)+VLOOKUP(AE$4,$DE$6:$DF$17,2)+1))*(VLOOKUP($A9,CURVES!$D$9:$K$261,8))*(INDEX(DailyScalarsTable,AE$5/100,MONTH($A9)))*$B9</f>
        <v>-2245.2727548731177</v>
      </c>
      <c r="AF9" s="1021"/>
      <c r="AG9" s="1021">
        <f>(VLOOKUP(YEAR($A9),'NY East Load Projections'!$A$4:$EO$14,((MONTH($A9)-1)*12)+VLOOKUP(AG$4,$DE$6:$DF$17,2)+1))*(VLOOKUP($A9,CURVES!$D$9:$T$261,8))*(INDEX(DailyScalarsTable,AG$5/100,MONTH($A9)))*$C9</f>
        <v>-712.23919579665244</v>
      </c>
      <c r="AH9" s="1021">
        <f>(VLOOKUP(YEAR($A9),'NY East Load Projections'!$A$4:$EO$14,((MONTH($A9)-1)*12)+VLOOKUP(AH$4,$DE$6:$DF$17,2)+1))*(VLOOKUP($A9,CURVES!$D$9:$T$261,8))*(INDEX(DailyScalarsTable,AH$5/100,MONTH($A9)))*$C9</f>
        <v>-675.53878588865155</v>
      </c>
      <c r="AI9" s="1021">
        <f>(VLOOKUP(YEAR($A9),'NY East Load Projections'!$A$4:$EO$14,((MONTH($A9)-1)*12)+VLOOKUP(AI$4,$DE$6:$DF$17,2)+1))*(VLOOKUP($A9,CURVES!$D$9:$T$261,8))*(INDEX(DailyScalarsTable,AI$5/100,MONTH($A9)))*$C9</f>
        <v>-648.38015662058547</v>
      </c>
      <c r="AJ9" s="1021">
        <f>(VLOOKUP(YEAR($A9),'NY East Load Projections'!$A$4:$EO$14,((MONTH($A9)-1)*12)+VLOOKUP(AJ$4,$DE$6:$DF$17,2)+1))*(VLOOKUP($A9,CURVES!$D$9:$T$261,8))*(INDEX(DailyScalarsTable,AJ$5/100,MONTH($A9)))*$C9</f>
        <v>-648.76313159076255</v>
      </c>
      <c r="AK9" s="1021">
        <f>(VLOOKUP(YEAR($A9),'NY East Load Projections'!$A$4:$EO$14,((MONTH($A9)-1)*12)+VLOOKUP(AK$4,$DE$6:$DF$17,2)+1))*(VLOOKUP($A9,CURVES!$D$9:$T$261,8))*(INDEX(DailyScalarsTable,AK$5/100,MONTH($A9)))*$C9</f>
        <v>-706.0823505530135</v>
      </c>
      <c r="AL9" s="1021">
        <f>(VLOOKUP(YEAR($A9),'NY East Load Projections'!$A$4:$EO$14,((MONTH($A9)-1)*12)+VLOOKUP(AL$4,$DE$6:$DF$17,2)+1))*(VLOOKUP($A9,CURVES!$D$9:$T$261,8))*(INDEX(DailyScalarsTable,AL$5/100,MONTH($A9)))*$C9</f>
        <v>-813.34697741698096</v>
      </c>
      <c r="AM9" s="1021">
        <f>(VLOOKUP(YEAR($A9),'NY East Load Projections'!$A$4:$EO$14,((MONTH($A9)-1)*12)+VLOOKUP(AM$4,$DE$6:$DF$17,2)+1))*(VLOOKUP($A9,CURVES!$D$9:$T$261,8))*(INDEX(DailyScalarsTable,AM$5/100,MONTH($A9)))*$C9</f>
        <v>-1160.0690851838024</v>
      </c>
      <c r="AN9" s="1021">
        <f>(VLOOKUP(YEAR($A9),'NY East Load Projections'!$A$4:$EO$14,((MONTH($A9)-1)*12)+VLOOKUP(AN$4,$DE$6:$DF$17,2)+1))*(VLOOKUP($A9,SatSunCurve,4))*(INDEX(DailyScalarsTable,AN$5/100,MONTH($A9)))*$C9</f>
        <v>-963.69173339619374</v>
      </c>
      <c r="AO9" s="1021">
        <f>(VLOOKUP(YEAR($A9),'NY East Load Projections'!$A$4:$EO$14,((MONTH($A9)-1)*12)+VLOOKUP(AO$4,$DE$6:$DF$17,2)+1))*(VLOOKUP($A9,SatSunCurve,4))*(INDEX(DailyScalarsTable,AO$5/100,MONTH($A9)))*$C9</f>
        <v>-1213.2598258689718</v>
      </c>
      <c r="AP9" s="1021">
        <f>(VLOOKUP(YEAR($A9),'NY East Load Projections'!$A$4:$EO$14,((MONTH($A9)-1)*12)+VLOOKUP(AP$4,$DE$6:$DF$17,2)+1))*(VLOOKUP($A9,SatSunCurve,4))*(INDEX(DailyScalarsTable,AP$5/100,MONTH($A9)))*$C9</f>
        <v>-1162.734423728356</v>
      </c>
      <c r="AQ9" s="1021">
        <f>(VLOOKUP(YEAR($A9),'NY East Load Projections'!$A$4:$EO$14,((MONTH($A9)-1)*12)+VLOOKUP(AQ$4,$DE$6:$DF$17,2)+1))*(VLOOKUP($A9,SatSunCurve,4))*(INDEX(DailyScalarsTable,AQ$5/100,MONTH($A9)))*$C9</f>
        <v>-1186.7053307378385</v>
      </c>
      <c r="AR9" s="1021">
        <f>(VLOOKUP(YEAR($A9),'NY East Load Projections'!$A$4:$EO$14,((MONTH($A9)-1)*12)+VLOOKUP(AR$4,$DE$6:$DF$17,2)+1))*(VLOOKUP($A9,SatSunCurve,4))*(INDEX(DailyScalarsTable,AR$5/100,MONTH($A9)))*$C9</f>
        <v>-1189.0322710328351</v>
      </c>
      <c r="AS9" s="1021">
        <f>(VLOOKUP(YEAR($A9),'NY East Load Projections'!$A$4:$EO$14,((MONTH($A9)-1)*12)+VLOOKUP(AS$4,$DE$6:$DF$17,2)+1))*(VLOOKUP($A9,SatSunCurve,4))*(INDEX(DailyScalarsTable,AS$5/100,MONTH($A9)))*$C9</f>
        <v>-950.82717448315691</v>
      </c>
      <c r="AT9" s="1021">
        <f>(VLOOKUP(YEAR($A9),'NY East Load Projections'!$A$4:$EO$14,((MONTH($A9)-1)*12)+VLOOKUP(AT$4,$DE$6:$DF$17,2)+1))*(VLOOKUP($A9,SatSunCurve,4))*(INDEX(DailyScalarsTable,AT$5/100,MONTH($A9)))*$C9</f>
        <v>-951.85101017641341</v>
      </c>
      <c r="AU9" s="1021">
        <f>(VLOOKUP(YEAR($A9),'NY East Load Projections'!$A$4:$EO$14,((MONTH($A9)-1)*12)+VLOOKUP(AU$4,$DE$6:$DF$17,2)+1))*(VLOOKUP($A9,SatSunCurve,4))*(INDEX(DailyScalarsTable,AU$5/100,MONTH($A9)))*$C9</f>
        <v>-892.76966811259933</v>
      </c>
      <c r="AV9" s="1021">
        <f>(VLOOKUP(YEAR($A9),'NY East Load Projections'!$A$4:$EO$14,((MONTH($A9)-1)*12)+VLOOKUP(AV$4,$DE$6:$DF$17,2)+1))*(VLOOKUP($A9,SatSunCurve,4))*(INDEX(DailyScalarsTable,AV$5/100,MONTH($A9)))*$C9</f>
        <v>-834.39597718971322</v>
      </c>
      <c r="AW9" s="1021">
        <f>(VLOOKUP(YEAR($A9),'NY East Load Projections'!$A$4:$EO$14,((MONTH($A9)-1)*12)+VLOOKUP(AW$4,$DE$6:$DF$17,2)+1))*(VLOOKUP($A9,SatSunCurve,4))*(INDEX(DailyScalarsTable,AW$5/100,MONTH($A9)))*$C9</f>
        <v>-681.18840451825315</v>
      </c>
      <c r="AX9" s="1021">
        <f>(VLOOKUP(YEAR($A9),'NY East Load Projections'!$A$4:$EO$14,((MONTH($A9)-1)*12)+VLOOKUP(AX$4,$DE$6:$DF$17,2)+1))*(VLOOKUP($A9,SatSunCurve,4))*(INDEX(DailyScalarsTable,AX$5/100,MONTH($A9)))*$C9</f>
        <v>-672.32919986408638</v>
      </c>
      <c r="AY9" s="1021">
        <f>(VLOOKUP(YEAR($A9),'NY East Load Projections'!$A$4:$EO$14,((MONTH($A9)-1)*12)+VLOOKUP(AY$4,$DE$6:$DF$17,2)+1))*(VLOOKUP($A9,SatSunCurve,4))*(INDEX(DailyScalarsTable,AY$5/100,MONTH($A9)))*$C9</f>
        <v>-668.72502841160895</v>
      </c>
      <c r="AZ9" s="1021">
        <f>(VLOOKUP(YEAR($A9),'NY East Load Projections'!$A$4:$EO$14,((MONTH($A9)-1)*12)+VLOOKUP(AZ$4,$DE$6:$DF$17,2)+1))*(VLOOKUP($A9,SatSunCurve,4))*(INDEX(DailyScalarsTable,AZ$5/100,MONTH($A9)))*$C9</f>
        <v>-733.4866965734343</v>
      </c>
      <c r="BA9" s="1021">
        <f>(VLOOKUP(YEAR($A9),'NY East Load Projections'!$A$4:$EO$14,((MONTH($A9)-1)*12)+VLOOKUP(BA$4,$DE$6:$DF$17,2)+1))*(VLOOKUP($A9,SatSunCurve,4))*(INDEX(DailyScalarsTable,BA$5/100,MONTH($A9)))*$C9</f>
        <v>-988.854525543926</v>
      </c>
      <c r="BB9" s="1021">
        <f>(VLOOKUP(YEAR($A9),'NY East Load Projections'!$A$4:$EO$14,((MONTH($A9)-1)*12)+VLOOKUP(BB$4,$DE$6:$DF$17,2)+1))*(VLOOKUP($A9,SatSunCurve,4))*(INDEX(DailyScalarsTable,BB$5/100,MONTH($A9)))*$C9</f>
        <v>-842.57867588769068</v>
      </c>
      <c r="BC9" s="1021">
        <f>(VLOOKUP(YEAR($A9),'NY East Load Projections'!$A$4:$EO$14,((MONTH($A9)-1)*12)+VLOOKUP(BC$4,$DE$6:$DF$17,2)+1))*(VLOOKUP($A9,SatSunCurve,4))*(INDEX(DailyScalarsTable,BC$5/100,MONTH($A9)))*$C9</f>
        <v>-744.36745172882956</v>
      </c>
      <c r="BD9" s="1021">
        <f>(VLOOKUP(YEAR($A9),'NY East Load Projections'!$A$4:$EO$14,((MONTH($A9)-1)*12)+VLOOKUP(BD$4,$DE$6:$DF$17,2)+1))*(VLOOKUP($A9,CURVES!$D$9:$T$261,8))*(INDEX(DailyScalarsTable,BD$5/100,MONTH($A9)))*$C9</f>
        <v>-815.44657666499256</v>
      </c>
      <c r="BE9" s="1021"/>
      <c r="BF9" s="1021">
        <f>(VLOOKUP(YEAR($A9),'NY East Load Projections'!$A$4:$EO$14,((MONTH($A9)-1)*12)+VLOOKUP(BF$4,$DE$6:$DF$17,2)+1))*(VLOOKUP($A9,CURVES!$D$9:$T$261,8))*(INDEX(DailyScalarsTable,BF$5/100,MONTH($A9)))*$D9</f>
        <v>-890.29899474581555</v>
      </c>
      <c r="BG9" s="1021">
        <f>(VLOOKUP(YEAR($A9),'NY East Load Projections'!$A$4:$EO$14,((MONTH($A9)-1)*12)+VLOOKUP(BG$4,$DE$6:$DF$17,2)+1))*(VLOOKUP($A9,CURVES!$D$9:$T$261,8))*(INDEX(DailyScalarsTable,BG$5/100,MONTH($A9)))*$D9</f>
        <v>-844.42348236081443</v>
      </c>
      <c r="BH9" s="1021">
        <f>(VLOOKUP(YEAR($A9),'NY East Load Projections'!$A$4:$EO$14,((MONTH($A9)-1)*12)+VLOOKUP(BH$4,$DE$6:$DF$17,2)+1))*(VLOOKUP($A9,CURVES!$D$9:$T$261,8))*(INDEX(DailyScalarsTable,BH$5/100,MONTH($A9)))*$D9</f>
        <v>-810.47519577573189</v>
      </c>
      <c r="BI9" s="1021">
        <f>(VLOOKUP(YEAR($A9),'NY East Load Projections'!$A$4:$EO$14,((MONTH($A9)-1)*12)+VLOOKUP(BI$4,$DE$6:$DF$17,2)+1))*(VLOOKUP($A9,CURVES!$D$9:$T$261,8))*(INDEX(DailyScalarsTable,BI$5/100,MONTH($A9)))*$D9</f>
        <v>-810.95391448845317</v>
      </c>
      <c r="BJ9" s="1021">
        <f>(VLOOKUP(YEAR($A9),'NY East Load Projections'!$A$4:$EO$14,((MONTH($A9)-1)*12)+VLOOKUP(BJ$4,$DE$6:$DF$17,2)+1))*(VLOOKUP($A9,CURVES!$D$9:$T$261,8))*(INDEX(DailyScalarsTable,BJ$5/100,MONTH($A9)))*$D9</f>
        <v>-882.60293819126684</v>
      </c>
      <c r="BK9" s="1021">
        <f>(VLOOKUP(YEAR($A9),'NY East Load Projections'!$A$4:$EO$14,((MONTH($A9)-1)*12)+VLOOKUP(BK$4,$DE$6:$DF$17,2)+1))*(VLOOKUP($A9,CURVES!$D$9:$T$261,8))*(INDEX(DailyScalarsTable,BK$5/100,MONTH($A9)))*$D9</f>
        <v>-1016.6837217712261</v>
      </c>
      <c r="BL9" s="1021">
        <f>(VLOOKUP(YEAR($A9),'NY East Load Projections'!$A$4:$EO$14,((MONTH($A9)-1)*12)+VLOOKUP(BL$4,$DE$6:$DF$17,2)+1))*(VLOOKUP($A9,CURVES!$D$9:$T$261,8))*(INDEX(DailyScalarsTable,BL$5/100,MONTH($A9)))*$D9</f>
        <v>-1450.086356479753</v>
      </c>
      <c r="BM9" s="1021">
        <f>(VLOOKUP(YEAR($A9),'NY East Load Projections'!$A$4:$EO$14,((MONTH($A9)-1)*12)+VLOOKUP(BM$4,$DE$6:$DF$17,2)+1))*(VLOOKUP($A9,SatSunCurve,8))*(INDEX(DailyScalarsTable,BM$5/100,MONTH($A9)))*$D9</f>
        <v>-1261.5168276673037</v>
      </c>
      <c r="BN9" s="1021">
        <f>(VLOOKUP(YEAR($A9),'NY East Load Projections'!$A$4:$EO$14,((MONTH($A9)-1)*12)+VLOOKUP(BN$4,$DE$6:$DF$17,2)+1))*(VLOOKUP($A9,SatSunCurve,8))*(INDEX(DailyScalarsTable,BN$5/100,MONTH($A9)))*$D9</f>
        <v>-1588.21294572335</v>
      </c>
      <c r="BO9" s="1021">
        <f>(VLOOKUP(YEAR($A9),'NY East Load Projections'!$A$4:$EO$14,((MONTH($A9)-1)*12)+VLOOKUP(BO$4,$DE$6:$DF$17,2)+1))*(VLOOKUP($A9,SatSunCurve,8))*(INDEX(DailyScalarsTable,BO$5/100,MONTH($A9)))*$D9</f>
        <v>-1522.0728691654449</v>
      </c>
      <c r="BP9" s="1021">
        <f>(VLOOKUP(YEAR($A9),'NY East Load Projections'!$A$4:$EO$14,((MONTH($A9)-1)*12)+VLOOKUP(BP$4,$DE$6:$DF$17,2)+1))*(VLOOKUP($A9,SatSunCurve,8))*(INDEX(DailyScalarsTable,BP$5/100,MONTH($A9)))*$D9</f>
        <v>-1553.4518895710066</v>
      </c>
      <c r="BQ9" s="1021">
        <f>(VLOOKUP(YEAR($A9),'NY East Load Projections'!$A$4:$EO$14,((MONTH($A9)-1)*12)+VLOOKUP(BQ$4,$DE$6:$DF$17,2)+1))*(VLOOKUP($A9,SatSunCurve,8))*(INDEX(DailyScalarsTable,BQ$5/100,MONTH($A9)))*$D9</f>
        <v>-1556.4979615018829</v>
      </c>
      <c r="BR9" s="1021">
        <f>(VLOOKUP(YEAR($A9),'NY East Load Projections'!$A$4:$EO$14,((MONTH($A9)-1)*12)+VLOOKUP(BR$4,$DE$6:$DF$17,2)+1))*(VLOOKUP($A9,SatSunCurve,8))*(INDEX(DailyScalarsTable,BR$5/100,MONTH($A9)))*$D9</f>
        <v>-1244.676528029036</v>
      </c>
      <c r="BS9" s="1021">
        <f>(VLOOKUP(YEAR($A9),'NY East Load Projections'!$A$4:$EO$14,((MONTH($A9)-1)*12)+VLOOKUP(BS$4,$DE$6:$DF$17,2)+1))*(VLOOKUP($A9,SatSunCurve,8))*(INDEX(DailyScalarsTable,BS$5/100,MONTH($A9)))*$D9</f>
        <v>-1246.0167760679581</v>
      </c>
      <c r="BT9" s="1021">
        <f>(VLOOKUP(YEAR($A9),'NY East Load Projections'!$A$4:$EO$14,((MONTH($A9)-1)*12)+VLOOKUP(BT$4,$DE$6:$DF$17,2)+1))*(VLOOKUP($A9,SatSunCurve,8))*(INDEX(DailyScalarsTable,BT$5/100,MONTH($A9)))*$D9</f>
        <v>-1168.6765804101544</v>
      </c>
      <c r="BU9" s="1021">
        <f>(VLOOKUP(YEAR($A9),'NY East Load Projections'!$A$4:$EO$14,((MONTH($A9)-1)*12)+VLOOKUP(BU$4,$DE$6:$DF$17,2)+1))*(VLOOKUP($A9,SatSunCurve,8))*(INDEX(DailyScalarsTable,BU$5/100,MONTH($A9)))*$D9</f>
        <v>-1092.2627326616064</v>
      </c>
      <c r="BV9" s="1021">
        <f>(VLOOKUP(YEAR($A9),'NY East Load Projections'!$A$4:$EO$14,((MONTH($A9)-1)*12)+VLOOKUP(BV$4,$DE$6:$DF$17,2)+1))*(VLOOKUP($A9,SatSunCurve,8))*(INDEX(DailyScalarsTable,BV$5/100,MONTH($A9)))*$D9</f>
        <v>-891.70696949242165</v>
      </c>
      <c r="BW9" s="1021">
        <f>(VLOOKUP(YEAR($A9),'NY East Load Projections'!$A$4:$EO$14,((MONTH($A9)-1)*12)+VLOOKUP(BW$4,$DE$6:$DF$17,2)+1))*(VLOOKUP($A9,SatSunCurve,8))*(INDEX(DailyScalarsTable,BW$5/100,MONTH($A9)))*$D9</f>
        <v>-880.10986290358142</v>
      </c>
      <c r="BX9" s="1021">
        <f>(VLOOKUP(YEAR($A9),'NY East Load Projections'!$A$4:$EO$14,((MONTH($A9)-1)*12)+VLOOKUP(BX$4,$DE$6:$DF$17,2)+1))*(VLOOKUP($A9,SatSunCurve,8))*(INDEX(DailyScalarsTable,BX$5/100,MONTH($A9)))*$D9</f>
        <v>-875.39183660997094</v>
      </c>
      <c r="BY9" s="1021">
        <f>(VLOOKUP(YEAR($A9),'NY East Load Projections'!$A$4:$EO$14,((MONTH($A9)-1)*12)+VLOOKUP(BY$4,$DE$6:$DF$17,2)+1))*(VLOOKUP($A9,SatSunCurve,8))*(INDEX(DailyScalarsTable,BY$5/100,MONTH($A9)))*$D9</f>
        <v>-960.16784053607364</v>
      </c>
      <c r="BZ9" s="1021">
        <f>(VLOOKUP(YEAR($A9),'NY East Load Projections'!$A$4:$EO$14,((MONTH($A9)-1)*12)+VLOOKUP(BZ$4,$DE$6:$DF$17,2)+1))*(VLOOKUP($A9,SatSunCurve,8))*(INDEX(DailyScalarsTable,BZ$5/100,MONTH($A9)))*$D9</f>
        <v>-1294.4560805688416</v>
      </c>
      <c r="CA9" s="1021">
        <f>(VLOOKUP(YEAR($A9),'NY East Load Projections'!$A$4:$EO$14,((MONTH($A9)-1)*12)+VLOOKUP(CA$4,$DE$6:$DF$17,2)+1))*(VLOOKUP($A9,SatSunCurve,8))*(INDEX(DailyScalarsTable,CA$5/100,MONTH($A9)))*$D9</f>
        <v>-1102.9742618213008</v>
      </c>
      <c r="CB9" s="1021">
        <f>(VLOOKUP(YEAR($A9),'NY East Load Projections'!$A$4:$EO$14,((MONTH($A9)-1)*12)+VLOOKUP(CB$4,$DE$6:$DF$17,2)+1))*(VLOOKUP($A9,SatSunCurve,8))*(INDEX(DailyScalarsTable,CB$5/100,MONTH($A9)))*$D9</f>
        <v>-974.41124976184915</v>
      </c>
      <c r="CC9" s="1021">
        <f>(VLOOKUP(YEAR($A9),'NY East Load Projections'!$A$4:$EO$14,((MONTH($A9)-1)*12)+VLOOKUP(CC$4,$DE$6:$DF$17,2)+1))*(VLOOKUP($A9,CURVES!$D$9:$T$261,8))*(INDEX(DailyScalarsTable,CC$5/100,MONTH($A9)))*$D9</f>
        <v>-1019.3082208312408</v>
      </c>
      <c r="CE9" s="1021">
        <f>(VLOOKUP(YEAR($A9),'NY East Load Projections'!$A$4:$EO$14,((MONTH($A9)-1)*12)+VLOOKUP(CE$4,$DE$6:$DF$17,2)+1))*(VLOOKUP($A9,CURVES!$D$9:$T$261,8))*(INDEX(DailyScalarsTable,CE$5/100,MONTH($A9)))*$E9</f>
        <v>0</v>
      </c>
      <c r="CF9" s="1021">
        <f>(VLOOKUP(YEAR($A9),'NY East Load Projections'!$A$4:$EO$14,((MONTH($A9)-1)*12)+VLOOKUP(CF$4,$DE$6:$DF$17,2)+1))*(VLOOKUP($A9,CURVES!$D$9:$T$261,8))*(INDEX(DailyScalarsTable,CF$5/100,MONTH($A9)))*$E9</f>
        <v>0</v>
      </c>
      <c r="CG9" s="1021">
        <f>(VLOOKUP(YEAR($A9),'NY East Load Projections'!$A$4:$EO$14,((MONTH($A9)-1)*12)+VLOOKUP(CG$4,$DE$6:$DF$17,2)+1))*(VLOOKUP($A9,CURVES!$D$9:$T$261,8))*(INDEX(DailyScalarsTable,CG$5/100,MONTH($A9)))*$E9</f>
        <v>0</v>
      </c>
      <c r="CH9" s="1021">
        <f>(VLOOKUP(YEAR($A9),'NY East Load Projections'!$A$4:$EO$14,((MONTH($A9)-1)*12)+VLOOKUP(CH$4,$DE$6:$DF$17,2)+1))*(VLOOKUP($A9,CURVES!$D$9:$T$261,8))*(INDEX(DailyScalarsTable,CH$5/100,MONTH($A9)))*$E9</f>
        <v>0</v>
      </c>
      <c r="CI9" s="1021">
        <f>(VLOOKUP(YEAR($A9),'NY East Load Projections'!$A$4:$EO$14,((MONTH($A9)-1)*12)+VLOOKUP(CI$4,$DE$6:$DF$17,2)+1))*(VLOOKUP($A9,CURVES!$D$9:$T$261,8))*(INDEX(DailyScalarsTable,CI$5/100,MONTH($A9)))*$E9</f>
        <v>0</v>
      </c>
      <c r="CJ9" s="1021">
        <f>(VLOOKUP(YEAR($A9),'NY East Load Projections'!$A$4:$EO$14,((MONTH($A9)-1)*12)+VLOOKUP(CJ$4,$DE$6:$DF$17,2)+1))*(VLOOKUP($A9,CURVES!$D$9:$T$261,8))*(INDEX(DailyScalarsTable,CJ$5/100,MONTH($A9)))*$E9</f>
        <v>0</v>
      </c>
      <c r="CK9" s="1021">
        <f>(VLOOKUP(YEAR($A9),'NY East Load Projections'!$A$4:$EO$14,((MONTH($A9)-1)*12)+VLOOKUP(CK$4,$DE$6:$DF$17,2)+1))*(VLOOKUP($A9,CURVES!$D$9:$T$261,8))*(INDEX(DailyScalarsTable,CK$5/100,MONTH($A9)))*$E9</f>
        <v>0</v>
      </c>
      <c r="CL9" s="1021">
        <f>(VLOOKUP(YEAR($A9),'NY East Load Projections'!$A$4:$EO$14,((MONTH($A9)-1)*12)+VLOOKUP(CL$4,$DE$6:$DF$17,2)+1))*(VLOOKUP($A9,SatSunCurve,8))*(INDEX(DailyScalarsTable,CL$5/100,MONTH($A9)))*$E9</f>
        <v>0</v>
      </c>
      <c r="CM9" s="1021">
        <f>(VLOOKUP(YEAR($A9),'NY East Load Projections'!$A$4:$EO$14,((MONTH($A9)-1)*12)+VLOOKUP(CM$4,$DE$6:$DF$17,2)+1))*(VLOOKUP($A9,SatSunCurve,8))*(INDEX(DailyScalarsTable,CM$5/100,MONTH($A9)))*$E9</f>
        <v>0</v>
      </c>
      <c r="CN9" s="1021">
        <f>(VLOOKUP(YEAR($A9),'NY East Load Projections'!$A$4:$EO$14,((MONTH($A9)-1)*12)+VLOOKUP(CN$4,$DE$6:$DF$17,2)+1))*(VLOOKUP($A9,SatSunCurve,8))*(INDEX(DailyScalarsTable,CN$5/100,MONTH($A9)))*$E9</f>
        <v>0</v>
      </c>
      <c r="CO9" s="1021">
        <f>(VLOOKUP(YEAR($A9),'NY East Load Projections'!$A$4:$EO$14,((MONTH($A9)-1)*12)+VLOOKUP(CO$4,$DE$6:$DF$17,2)+1))*(VLOOKUP($A9,SatSunCurve,8))*(INDEX(DailyScalarsTable,CO$5/100,MONTH($A9)))*$E9</f>
        <v>0</v>
      </c>
      <c r="CP9" s="1021">
        <f>(VLOOKUP(YEAR($A9),'NY East Load Projections'!$A$4:$EO$14,((MONTH($A9)-1)*12)+VLOOKUP(CP$4,$DE$6:$DF$17,2)+1))*(VLOOKUP($A9,SatSunCurve,8))*(INDEX(DailyScalarsTable,CP$5/100,MONTH($A9)))*$E9</f>
        <v>0</v>
      </c>
      <c r="CQ9" s="1021">
        <f>(VLOOKUP(YEAR($A9),'NY East Load Projections'!$A$4:$EO$14,((MONTH($A9)-1)*12)+VLOOKUP(CQ$4,$DE$6:$DF$17,2)+1))*(VLOOKUP($A9,SatSunCurve,8))*(INDEX(DailyScalarsTable,CQ$5/100,MONTH($A9)))*$E9</f>
        <v>0</v>
      </c>
      <c r="CR9" s="1021">
        <f>(VLOOKUP(YEAR($A9),'NY East Load Projections'!$A$4:$EO$14,((MONTH($A9)-1)*12)+VLOOKUP(CR$4,$DE$6:$DF$17,2)+1))*(VLOOKUP($A9,SatSunCurve,8))*(INDEX(DailyScalarsTable,CR$5/100,MONTH($A9)))*$E9</f>
        <v>0</v>
      </c>
      <c r="CS9" s="1021">
        <f>(VLOOKUP(YEAR($A9),'NY East Load Projections'!$A$4:$EO$14,((MONTH($A9)-1)*12)+VLOOKUP(CS$4,$DE$6:$DF$17,2)+1))*(VLOOKUP($A9,SatSunCurve,8))*(INDEX(DailyScalarsTable,CS$5/100,MONTH($A9)))*$E9</f>
        <v>0</v>
      </c>
      <c r="CT9" s="1021">
        <f>(VLOOKUP(YEAR($A9),'NY East Load Projections'!$A$4:$EO$14,((MONTH($A9)-1)*12)+VLOOKUP(CT$4,$DE$6:$DF$17,2)+1))*(VLOOKUP($A9,SatSunCurve,8))*(INDEX(DailyScalarsTable,CT$5/100,MONTH($A9)))*$E9</f>
        <v>0</v>
      </c>
      <c r="CU9" s="1021">
        <f>(VLOOKUP(YEAR($A9),'NY East Load Projections'!$A$4:$EO$14,((MONTH($A9)-1)*12)+VLOOKUP(CU$4,$DE$6:$DF$17,2)+1))*(VLOOKUP($A9,SatSunCurve,8))*(INDEX(DailyScalarsTable,CU$5/100,MONTH($A9)))*$E9</f>
        <v>0</v>
      </c>
      <c r="CV9" s="1021">
        <f>(VLOOKUP(YEAR($A9),'NY East Load Projections'!$A$4:$EO$14,((MONTH($A9)-1)*12)+VLOOKUP(CV$4,$DE$6:$DF$17,2)+1))*(VLOOKUP($A9,SatSunCurve,8))*(INDEX(DailyScalarsTable,CV$5/100,MONTH($A9)))*$E9</f>
        <v>0</v>
      </c>
      <c r="CW9" s="1021">
        <f>(VLOOKUP(YEAR($A9),'NY East Load Projections'!$A$4:$EO$14,((MONTH($A9)-1)*12)+VLOOKUP(CW$4,$DE$6:$DF$17,2)+1))*(VLOOKUP($A9,SatSunCurve,8))*(INDEX(DailyScalarsTable,CW$5/100,MONTH($A9)))*$E9</f>
        <v>0</v>
      </c>
      <c r="CX9" s="1021">
        <f>(VLOOKUP(YEAR($A9),'NY East Load Projections'!$A$4:$EO$14,((MONTH($A9)-1)*12)+VLOOKUP(CX$4,$DE$6:$DF$17,2)+1))*(VLOOKUP($A9,SatSunCurve,8))*(INDEX(DailyScalarsTable,CX$5/100,MONTH($A9)))*$E9</f>
        <v>0</v>
      </c>
      <c r="CY9" s="1021">
        <f>(VLOOKUP(YEAR($A9),'NY East Load Projections'!$A$4:$EO$14,((MONTH($A9)-1)*12)+VLOOKUP(CY$4,$DE$6:$DF$17,2)+1))*(VLOOKUP($A9,SatSunCurve,8))*(INDEX(DailyScalarsTable,CY$5/100,MONTH($A9)))*$E9</f>
        <v>0</v>
      </c>
      <c r="CZ9" s="1021">
        <f>(VLOOKUP(YEAR($A9),'NY East Load Projections'!$A$4:$EO$14,((MONTH($A9)-1)*12)+VLOOKUP(CZ$4,$DE$6:$DF$17,2)+1))*(VLOOKUP($A9,SatSunCurve,8))*(INDEX(DailyScalarsTable,CZ$5/100,MONTH($A9)))*$E9</f>
        <v>0</v>
      </c>
      <c r="DA9" s="1021">
        <f>(VLOOKUP(YEAR($A9),'NY East Load Projections'!$A$4:$EO$14,((MONTH($A9)-1)*12)+VLOOKUP(DA$4,$DE$6:$DF$17,2)+1))*(VLOOKUP($A9,SatSunCurve,8))*(INDEX(DailyScalarsTable,DA$5/100,MONTH($A9)))*$E9</f>
        <v>0</v>
      </c>
      <c r="DB9" s="1021">
        <f>(VLOOKUP(YEAR($A9),'NY East Load Projections'!$A$4:$EO$14,((MONTH($A9)-1)*12)+VLOOKUP(DB$4,$DE$6:$DF$17,2)+1))*(VLOOKUP($A9,CURVES!$D$9:$T$261,8))*(INDEX(DailyScalarsTable,DB$5/100,MONTH($A9)))*$E9</f>
        <v>0</v>
      </c>
      <c r="DE9" s="221" t="s">
        <v>561</v>
      </c>
      <c r="DF9" s="619">
        <v>4</v>
      </c>
      <c r="DH9" s="1021">
        <f t="shared" si="0"/>
        <v>-149484.02040597418</v>
      </c>
      <c r="DI9">
        <f ca="1">CALC!J29</f>
        <v>0.92218873460327666</v>
      </c>
      <c r="DJ9" s="1029">
        <f t="shared" ca="1" si="1"/>
        <v>-137852.4796215957</v>
      </c>
    </row>
    <row r="10" spans="1:114" x14ac:dyDescent="0.25">
      <c r="A10" s="244">
        <v>37012</v>
      </c>
      <c r="B10" s="13">
        <v>22</v>
      </c>
      <c r="C10" s="210">
        <v>4</v>
      </c>
      <c r="D10" s="210">
        <v>4</v>
      </c>
      <c r="E10" s="210">
        <v>1</v>
      </c>
      <c r="F10" s="13">
        <v>31</v>
      </c>
      <c r="H10" s="1021">
        <f>(VLOOKUP(YEAR($A10),'NY East Load Projections'!$A$4:$EO$14,((MONTH($A10)-1)*12)+VLOOKUP(H$4,$DE$6:$DF$17,2)+1))*(VLOOKUP($A10,CURVES!$D$9:$K$261,8))*(INDEX(DailyScalarsTable,H$5/100,MONTH($A10)))*$B10</f>
        <v>-1432.4125690816934</v>
      </c>
      <c r="I10" s="1021">
        <f>(VLOOKUP(YEAR($A10),'NY East Load Projections'!$A$4:$EO$14,((MONTH($A10)-1)*12)+VLOOKUP(I$4,$DE$6:$DF$17,2)+1))*(VLOOKUP($A10,CURVES!$D$9:$K$261,8))*(INDEX(DailyScalarsTable,I$5/100,MONTH($A10)))*$B10</f>
        <v>-1290.2618861956653</v>
      </c>
      <c r="J10" s="1021">
        <f>(VLOOKUP(YEAR($A10),'NY East Load Projections'!$A$4:$EO$14,((MONTH($A10)-1)*12)+VLOOKUP(J$4,$DE$6:$DF$17,2)+1))*(VLOOKUP($A10,CURVES!$D$9:$K$261,8))*(INDEX(DailyScalarsTable,J$5/100,MONTH($A10)))*$B10</f>
        <v>-1221.0668447908267</v>
      </c>
      <c r="K10" s="1021">
        <f>(VLOOKUP(YEAR($A10),'NY East Load Projections'!$A$4:$EO$14,((MONTH($A10)-1)*12)+VLOOKUP(K$4,$DE$6:$DF$17,2)+1))*(VLOOKUP($A10,CURVES!$D$9:$K$261,8))*(INDEX(DailyScalarsTable,K$5/100,MONTH($A10)))*$B10</f>
        <v>-1183.8369040349617</v>
      </c>
      <c r="L10" s="1021">
        <f>(VLOOKUP(YEAR($A10),'NY East Load Projections'!$A$4:$EO$14,((MONTH($A10)-1)*12)+VLOOKUP(L$4,$DE$6:$DF$17,2)+1))*(VLOOKUP($A10,CURVES!$D$9:$K$261,8))*(INDEX(DailyScalarsTable,L$5/100,MONTH($A10)))*$B10</f>
        <v>-2775.798084547414</v>
      </c>
      <c r="M10" s="1021">
        <f>(VLOOKUP(YEAR($A10),'NY East Load Projections'!$A$4:$EO$14,((MONTH($A10)-1)*12)+VLOOKUP(M$4,$DE$6:$DF$17,2)+1))*(VLOOKUP($A10,CURVES!$D$9:$K$261,8))*(INDEX(DailyScalarsTable,M$5/100,MONTH($A10)))*$B10</f>
        <v>-3365.4922785651152</v>
      </c>
      <c r="N10" s="1021">
        <f>(VLOOKUP(YEAR($A10),'NY East Load Projections'!$A$4:$EO$14,((MONTH($A10)-1)*12)+VLOOKUP(N$4,$DE$6:$DF$17,2)+1))*(VLOOKUP($A10,CURVES!$D$9:$K$261,8))*(INDEX(DailyScalarsTable,N$5/100,MONTH($A10)))*$B10</f>
        <v>-4026.8620099772352</v>
      </c>
      <c r="O10" s="1021">
        <f>(VLOOKUP(YEAR($A10),'NY East Load Projections'!$A$4:$EO$14,((MONTH($A10)-1)*12)+VLOOKUP(O$4,$DE$6:$DF$17,2)+1))*(VLOOKUP($A10,CURVES!$D$9:$K$261,4))*(INDEX(DailyScalarsTable,O$5/100,MONTH($A10)))*$B10</f>
        <v>-5231.4437400087927</v>
      </c>
      <c r="P10" s="1021">
        <f>(VLOOKUP(YEAR($A10),'NY East Load Projections'!$A$4:$EO$14,((MONTH($A10)-1)*12)+VLOOKUP(P$4,$DE$6:$DF$17,2)+1))*(VLOOKUP($A10,CURVES!$D$9:$K$261,4))*(INDEX(DailyScalarsTable,P$5/100,MONTH($A10)))*$B10</f>
        <v>-6831.4897105233968</v>
      </c>
      <c r="Q10" s="1021">
        <f>(VLOOKUP(YEAR($A10),'NY East Load Projections'!$A$4:$EO$14,((MONTH($A10)-1)*12)+VLOOKUP(Q$4,$DE$6:$DF$17,2)+1))*(VLOOKUP($A10,CURVES!$D$9:$K$261,4))*(INDEX(DailyScalarsTable,Q$5/100,MONTH($A10)))*$B10</f>
        <v>-6952.6572410977424</v>
      </c>
      <c r="R10" s="1021">
        <f>(VLOOKUP(YEAR($A10),'NY East Load Projections'!$A$4:$EO$14,((MONTH($A10)-1)*12)+VLOOKUP(R$4,$DE$6:$DF$17,2)+1))*(VLOOKUP($A10,CURVES!$D$9:$K$261,4))*(INDEX(DailyScalarsTable,R$5/100,MONTH($A10)))*$B10</f>
        <v>-7375.1351795604996</v>
      </c>
      <c r="S10" s="1021">
        <f>(VLOOKUP(YEAR($A10),'NY East Load Projections'!$A$4:$EO$14,((MONTH($A10)-1)*12)+VLOOKUP(S$4,$DE$6:$DF$17,2)+1))*(VLOOKUP($A10,CURVES!$D$9:$K$261,4))*(INDEX(DailyScalarsTable,S$5/100,MONTH($A10)))*$B10</f>
        <v>-7319.3766699156668</v>
      </c>
      <c r="T10" s="1021">
        <f>(VLOOKUP(YEAR($A10),'NY East Load Projections'!$A$4:$EO$14,((MONTH($A10)-1)*12)+VLOOKUP(T$4,$DE$6:$DF$17,2)+1))*(VLOOKUP($A10,CURVES!$D$9:$K$261,4))*(INDEX(DailyScalarsTable,T$5/100,MONTH($A10)))*$B10</f>
        <v>-7120.2559150112711</v>
      </c>
      <c r="U10" s="1021">
        <f>(VLOOKUP(YEAR($A10),'NY East Load Projections'!$A$4:$EO$14,((MONTH($A10)-1)*12)+VLOOKUP(U$4,$DE$6:$DF$17,2)+1))*(VLOOKUP($A10,CURVES!$D$9:$K$261,4))*(INDEX(DailyScalarsTable,U$5/100,MONTH($A10)))*$B10</f>
        <v>-7154.573068830513</v>
      </c>
      <c r="V10" s="1021">
        <f>(VLOOKUP(YEAR($A10),'NY East Load Projections'!$A$4:$EO$14,((MONTH($A10)-1)*12)+VLOOKUP(V$4,$DE$6:$DF$17,2)+1))*(VLOOKUP($A10,CURVES!$D$9:$K$261,4))*(INDEX(DailyScalarsTable,V$5/100,MONTH($A10)))*$B10</f>
        <v>-6939.8141062197865</v>
      </c>
      <c r="W10" s="1021">
        <f>(VLOOKUP(YEAR($A10),'NY East Load Projections'!$A$4:$EO$14,((MONTH($A10)-1)*12)+VLOOKUP(W$4,$DE$6:$DF$17,2)+1))*(VLOOKUP($A10,CURVES!$D$9:$K$261,4))*(INDEX(DailyScalarsTable,W$5/100,MONTH($A10)))*$B10</f>
        <v>-6669.7048955135124</v>
      </c>
      <c r="X10" s="1021">
        <f>(VLOOKUP(YEAR($A10),'NY East Load Projections'!$A$4:$EO$14,((MONTH($A10)-1)*12)+VLOOKUP(X$4,$DE$6:$DF$17,2)+1))*(VLOOKUP($A10,CURVES!$D$9:$K$261,4))*(INDEX(DailyScalarsTable,X$5/100,MONTH($A10)))*$B10</f>
        <v>-5771.9283564327516</v>
      </c>
      <c r="Y10" s="1021">
        <f>(VLOOKUP(YEAR($A10),'NY East Load Projections'!$A$4:$EO$14,((MONTH($A10)-1)*12)+VLOOKUP(Y$4,$DE$6:$DF$17,2)+1))*(VLOOKUP($A10,CURVES!$D$9:$K$261,4))*(INDEX(DailyScalarsTable,Y$5/100,MONTH($A10)))*$B10</f>
        <v>-5546.986658572755</v>
      </c>
      <c r="Z10" s="1021">
        <f>(VLOOKUP(YEAR($A10),'NY East Load Projections'!$A$4:$EO$14,((MONTH($A10)-1)*12)+VLOOKUP(Z$4,$DE$6:$DF$17,2)+1))*(VLOOKUP($A10,CURVES!$D$9:$K$261,4))*(INDEX(DailyScalarsTable,Z$5/100,MONTH($A10)))*$B10</f>
        <v>-4806.0022420927689</v>
      </c>
      <c r="AA10" s="1021">
        <f>(VLOOKUP(YEAR($A10),'NY East Load Projections'!$A$4:$EO$14,((MONTH($A10)-1)*12)+VLOOKUP(AA$4,$DE$6:$DF$17,2)+1))*(VLOOKUP($A10,CURVES!$D$9:$K$261,4))*(INDEX(DailyScalarsTable,AA$5/100,MONTH($A10)))*$B10</f>
        <v>-4793.7155106970558</v>
      </c>
      <c r="AB10" s="1021">
        <f>(VLOOKUP(YEAR($A10),'NY East Load Projections'!$A$4:$EO$14,((MONTH($A10)-1)*12)+VLOOKUP(AB$4,$DE$6:$DF$17,2)+1))*(VLOOKUP($A10,CURVES!$D$9:$K$261,4))*(INDEX(DailyScalarsTable,AB$5/100,MONTH($A10)))*$B10</f>
        <v>-3704.3556792689119</v>
      </c>
      <c r="AC10" s="1021">
        <f>(VLOOKUP(YEAR($A10),'NY East Load Projections'!$A$4:$EO$14,((MONTH($A10)-1)*12)+VLOOKUP(AC$4,$DE$6:$DF$17,2)+1))*(VLOOKUP($A10,CURVES!$D$9:$K$261,4))*(INDEX(DailyScalarsTable,AC$5/100,MONTH($A10)))*$B10</f>
        <v>-3533.2653838671426</v>
      </c>
      <c r="AD10" s="1021">
        <f>(VLOOKUP(YEAR($A10),'NY East Load Projections'!$A$4:$EO$14,((MONTH($A10)-1)*12)+VLOOKUP(AD$4,$DE$6:$DF$17,2)+1))*(VLOOKUP($A10,CURVES!$D$9:$K$261,4))*(INDEX(DailyScalarsTable,AD$5/100,MONTH($A10)))*$B10</f>
        <v>-2834.4144704019377</v>
      </c>
      <c r="AE10" s="1021">
        <f>(VLOOKUP(YEAR($A10),'NY East Load Projections'!$A$4:$EO$14,((MONTH($A10)-1)*12)+VLOOKUP(AE$4,$DE$6:$DF$17,2)+1))*(VLOOKUP($A10,CURVES!$D$9:$K$261,8))*(INDEX(DailyScalarsTable,AE$5/100,MONTH($A10)))*$B10</f>
        <v>-2278.6470425098173</v>
      </c>
      <c r="AF10" s="1021"/>
      <c r="AG10" s="1021">
        <f>(VLOOKUP(YEAR($A10),'NY East Load Projections'!$A$4:$EO$14,((MONTH($A10)-1)*12)+VLOOKUP(AG$4,$DE$6:$DF$17,2)+1))*(VLOOKUP($A10,CURVES!$D$9:$T$261,8))*(INDEX(DailyScalarsTable,AG$5/100,MONTH($A10)))*$C10</f>
        <v>-702.76204573194013</v>
      </c>
      <c r="AH10" s="1021">
        <f>(VLOOKUP(YEAR($A10),'NY East Load Projections'!$A$4:$EO$14,((MONTH($A10)-1)*12)+VLOOKUP(AH$4,$DE$6:$DF$17,2)+1))*(VLOOKUP($A10,CURVES!$D$9:$T$261,8))*(INDEX(DailyScalarsTable,AH$5/100,MONTH($A10)))*$C10</f>
        <v>-633.02089233559627</v>
      </c>
      <c r="AI10" s="1021">
        <f>(VLOOKUP(YEAR($A10),'NY East Load Projections'!$A$4:$EO$14,((MONTH($A10)-1)*12)+VLOOKUP(AI$4,$DE$6:$DF$17,2)+1))*(VLOOKUP($A10,CURVES!$D$9:$T$261,8))*(INDEX(DailyScalarsTable,AI$5/100,MONTH($A10)))*$C10</f>
        <v>-599.07281766647668</v>
      </c>
      <c r="AJ10" s="1021">
        <f>(VLOOKUP(YEAR($A10),'NY East Load Projections'!$A$4:$EO$14,((MONTH($A10)-1)*12)+VLOOKUP(AJ$4,$DE$6:$DF$17,2)+1))*(VLOOKUP($A10,CURVES!$D$9:$T$261,8))*(INDEX(DailyScalarsTable,AJ$5/100,MONTH($A10)))*$C10</f>
        <v>-580.80727749124355</v>
      </c>
      <c r="AK10" s="1021">
        <f>(VLOOKUP(YEAR($A10),'NY East Load Projections'!$A$4:$EO$14,((MONTH($A10)-1)*12)+VLOOKUP(AK$4,$DE$6:$DF$17,2)+1))*(VLOOKUP($A10,CURVES!$D$9:$T$261,8))*(INDEX(DailyScalarsTable,AK$5/100,MONTH($A10)))*$C10</f>
        <v>-635.59536487988532</v>
      </c>
      <c r="AL10" s="1021">
        <f>(VLOOKUP(YEAR($A10),'NY East Load Projections'!$A$4:$EO$14,((MONTH($A10)-1)*12)+VLOOKUP(AL$4,$DE$6:$DF$17,2)+1))*(VLOOKUP($A10,CURVES!$D$9:$T$261,8))*(INDEX(DailyScalarsTable,AL$5/100,MONTH($A10)))*$C10</f>
        <v>-770.62207971939131</v>
      </c>
      <c r="AM10" s="1021">
        <f>(VLOOKUP(YEAR($A10),'NY East Load Projections'!$A$4:$EO$14,((MONTH($A10)-1)*12)+VLOOKUP(AM$4,$DE$6:$DF$17,2)+1))*(VLOOKUP($A10,CURVES!$D$9:$T$261,8))*(INDEX(DailyScalarsTable,AM$5/100,MONTH($A10)))*$C10</f>
        <v>-922.06088144546766</v>
      </c>
      <c r="AN10" s="1021">
        <f>(VLOOKUP(YEAR($A10),'NY East Load Projections'!$A$4:$EO$14,((MONTH($A10)-1)*12)+VLOOKUP(AN$4,$DE$6:$DF$17,2)+1))*(VLOOKUP($A10,SatSunCurve,4))*(INDEX(DailyScalarsTable,AN$5/100,MONTH($A10)))*$C10</f>
        <v>-757.8391682257809</v>
      </c>
      <c r="AO10" s="1021">
        <f>(VLOOKUP(YEAR($A10),'NY East Load Projections'!$A$4:$EO$14,((MONTH($A10)-1)*12)+VLOOKUP(AO$4,$DE$6:$DF$17,2)+1))*(VLOOKUP($A10,SatSunCurve,4))*(INDEX(DailyScalarsTable,AO$5/100,MONTH($A10)))*$C10</f>
        <v>-1336.949191422221</v>
      </c>
      <c r="AP10" s="1021">
        <f>(VLOOKUP(YEAR($A10),'NY East Load Projections'!$A$4:$EO$14,((MONTH($A10)-1)*12)+VLOOKUP(AP$4,$DE$6:$DF$17,2)+1))*(VLOOKUP($A10,SatSunCurve,4))*(INDEX(DailyScalarsTable,AP$5/100,MONTH($A10)))*$C10</f>
        <v>-1360.6621499264925</v>
      </c>
      <c r="AQ10" s="1021">
        <f>(VLOOKUP(YEAR($A10),'NY East Load Projections'!$A$4:$EO$14,((MONTH($A10)-1)*12)+VLOOKUP(AQ$4,$DE$6:$DF$17,2)+1))*(VLOOKUP($A10,SatSunCurve,4))*(INDEX(DailyScalarsTable,AQ$5/100,MONTH($A10)))*$C10</f>
        <v>-1443.3427309059864</v>
      </c>
      <c r="AR10" s="1021">
        <f>(VLOOKUP(YEAR($A10),'NY East Load Projections'!$A$4:$EO$14,((MONTH($A10)-1)*12)+VLOOKUP(AR$4,$DE$6:$DF$17,2)+1))*(VLOOKUP($A10,SatSunCurve,4))*(INDEX(DailyScalarsTable,AR$5/100,MONTH($A10)))*$C10</f>
        <v>-1432.4305730102153</v>
      </c>
      <c r="AS10" s="1021">
        <f>(VLOOKUP(YEAR($A10),'NY East Load Projections'!$A$4:$EO$14,((MONTH($A10)-1)*12)+VLOOKUP(AS$4,$DE$6:$DF$17,2)+1))*(VLOOKUP($A10,SatSunCurve,4))*(INDEX(DailyScalarsTable,AS$5/100,MONTH($A10)))*$C10</f>
        <v>-1124.230679408209</v>
      </c>
      <c r="AT10" s="1021">
        <f>(VLOOKUP(YEAR($A10),'NY East Load Projections'!$A$4:$EO$14,((MONTH($A10)-1)*12)+VLOOKUP(AT$4,$DE$6:$DF$17,2)+1))*(VLOOKUP($A10,SatSunCurve,4))*(INDEX(DailyScalarsTable,AT$5/100,MONTH($A10)))*$C10</f>
        <v>-1129.6490797598346</v>
      </c>
      <c r="AU10" s="1021">
        <f>(VLOOKUP(YEAR($A10),'NY East Load Projections'!$A$4:$EO$14,((MONTH($A10)-1)*12)+VLOOKUP(AU$4,$DE$6:$DF$17,2)+1))*(VLOOKUP($A10,SatSunCurve,4))*(INDEX(DailyScalarsTable,AU$5/100,MONTH($A10)))*$C10</f>
        <v>-1095.7403807851467</v>
      </c>
      <c r="AV10" s="1021">
        <f>(VLOOKUP(YEAR($A10),'NY East Load Projections'!$A$4:$EO$14,((MONTH($A10)-1)*12)+VLOOKUP(AV$4,$DE$6:$DF$17,2)+1))*(VLOOKUP($A10,SatSunCurve,4))*(INDEX(DailyScalarsTable,AV$5/100,MONTH($A10)))*$C10</f>
        <v>-1053.0923264046112</v>
      </c>
      <c r="AW10" s="1021">
        <f>(VLOOKUP(YEAR($A10),'NY East Load Projections'!$A$4:$EO$14,((MONTH($A10)-1)*12)+VLOOKUP(AW$4,$DE$6:$DF$17,2)+1))*(VLOOKUP($A10,SatSunCurve,4))*(INDEX(DailyScalarsTable,AW$5/100,MONTH($A10)))*$C10</f>
        <v>-715.48532108105451</v>
      </c>
      <c r="AX10" s="1021">
        <f>(VLOOKUP(YEAR($A10),'NY East Load Projections'!$A$4:$EO$14,((MONTH($A10)-1)*12)+VLOOKUP(AX$4,$DE$6:$DF$17,2)+1))*(VLOOKUP($A10,SatSunCurve,4))*(INDEX(DailyScalarsTable,AX$5/100,MONTH($A10)))*$C10</f>
        <v>-687.60166193297982</v>
      </c>
      <c r="AY10" s="1021">
        <f>(VLOOKUP(YEAR($A10),'NY East Load Projections'!$A$4:$EO$14,((MONTH($A10)-1)*12)+VLOOKUP(AY$4,$DE$6:$DF$17,2)+1))*(VLOOKUP($A10,SatSunCurve,4))*(INDEX(DailyScalarsTable,AY$5/100,MONTH($A10)))*$C10</f>
        <v>-595.74960826873451</v>
      </c>
      <c r="AZ10" s="1021">
        <f>(VLOOKUP(YEAR($A10),'NY East Load Projections'!$A$4:$EO$14,((MONTH($A10)-1)*12)+VLOOKUP(AZ$4,$DE$6:$DF$17,2)+1))*(VLOOKUP($A10,SatSunCurve,4))*(INDEX(DailyScalarsTable,AZ$5/100,MONTH($A10)))*$C10</f>
        <v>-594.22655125644485</v>
      </c>
      <c r="BA10" s="1021">
        <f>(VLOOKUP(YEAR($A10),'NY East Load Projections'!$A$4:$EO$14,((MONTH($A10)-1)*12)+VLOOKUP(BA$4,$DE$6:$DF$17,2)+1))*(VLOOKUP($A10,SatSunCurve,4))*(INDEX(DailyScalarsTable,BA$5/100,MONTH($A10)))*$C10</f>
        <v>-871.3778948982374</v>
      </c>
      <c r="BB10" s="1021">
        <f>(VLOOKUP(YEAR($A10),'NY East Load Projections'!$A$4:$EO$14,((MONTH($A10)-1)*12)+VLOOKUP(BB$4,$DE$6:$DF$17,2)+1))*(VLOOKUP($A10,SatSunCurve,4))*(INDEX(DailyScalarsTable,BB$5/100,MONTH($A10)))*$C10</f>
        <v>-831.13221809159381</v>
      </c>
      <c r="BC10" s="1021">
        <f>(VLOOKUP(YEAR($A10),'NY East Load Projections'!$A$4:$EO$14,((MONTH($A10)-1)*12)+VLOOKUP(BC$4,$DE$6:$DF$17,2)+1))*(VLOOKUP($A10,SatSunCurve,4))*(INDEX(DailyScalarsTable,BC$5/100,MONTH($A10)))*$C10</f>
        <v>-666.7410822103858</v>
      </c>
      <c r="BD10" s="1021">
        <f>(VLOOKUP(YEAR($A10),'NY East Load Projections'!$A$4:$EO$14,((MONTH($A10)-1)*12)+VLOOKUP(BD$4,$DE$6:$DF$17,2)+1))*(VLOOKUP($A10,CURVES!$D$9:$T$261,8))*(INDEX(DailyScalarsTable,BD$5/100,MONTH($A10)))*$C10</f>
        <v>-847.24356600181727</v>
      </c>
      <c r="BE10" s="1021"/>
      <c r="BF10" s="1021">
        <f>(VLOOKUP(YEAR($A10),'NY East Load Projections'!$A$4:$EO$14,((MONTH($A10)-1)*12)+VLOOKUP(BF$4,$DE$6:$DF$17,2)+1))*(VLOOKUP($A10,CURVES!$D$9:$T$261,8))*(INDEX(DailyScalarsTable,BF$5/100,MONTH($A10)))*$D10</f>
        <v>-702.76204573194013</v>
      </c>
      <c r="BG10" s="1021">
        <f>(VLOOKUP(YEAR($A10),'NY East Load Projections'!$A$4:$EO$14,((MONTH($A10)-1)*12)+VLOOKUP(BG$4,$DE$6:$DF$17,2)+1))*(VLOOKUP($A10,CURVES!$D$9:$T$261,8))*(INDEX(DailyScalarsTable,BG$5/100,MONTH($A10)))*$D10</f>
        <v>-633.02089233559627</v>
      </c>
      <c r="BH10" s="1021">
        <f>(VLOOKUP(YEAR($A10),'NY East Load Projections'!$A$4:$EO$14,((MONTH($A10)-1)*12)+VLOOKUP(BH$4,$DE$6:$DF$17,2)+1))*(VLOOKUP($A10,CURVES!$D$9:$T$261,8))*(INDEX(DailyScalarsTable,BH$5/100,MONTH($A10)))*$D10</f>
        <v>-599.07281766647668</v>
      </c>
      <c r="BI10" s="1021">
        <f>(VLOOKUP(YEAR($A10),'NY East Load Projections'!$A$4:$EO$14,((MONTH($A10)-1)*12)+VLOOKUP(BI$4,$DE$6:$DF$17,2)+1))*(VLOOKUP($A10,CURVES!$D$9:$T$261,8))*(INDEX(DailyScalarsTable,BI$5/100,MONTH($A10)))*$D10</f>
        <v>-580.80727749124355</v>
      </c>
      <c r="BJ10" s="1021">
        <f>(VLOOKUP(YEAR($A10),'NY East Load Projections'!$A$4:$EO$14,((MONTH($A10)-1)*12)+VLOOKUP(BJ$4,$DE$6:$DF$17,2)+1))*(VLOOKUP($A10,CURVES!$D$9:$T$261,8))*(INDEX(DailyScalarsTable,BJ$5/100,MONTH($A10)))*$D10</f>
        <v>-635.59536487988532</v>
      </c>
      <c r="BK10" s="1021">
        <f>(VLOOKUP(YEAR($A10),'NY East Load Projections'!$A$4:$EO$14,((MONTH($A10)-1)*12)+VLOOKUP(BK$4,$DE$6:$DF$17,2)+1))*(VLOOKUP($A10,CURVES!$D$9:$T$261,8))*(INDEX(DailyScalarsTable,BK$5/100,MONTH($A10)))*$D10</f>
        <v>-770.62207971939131</v>
      </c>
      <c r="BL10" s="1021">
        <f>(VLOOKUP(YEAR($A10),'NY East Load Projections'!$A$4:$EO$14,((MONTH($A10)-1)*12)+VLOOKUP(BL$4,$DE$6:$DF$17,2)+1))*(VLOOKUP($A10,CURVES!$D$9:$T$261,8))*(INDEX(DailyScalarsTable,BL$5/100,MONTH($A10)))*$D10</f>
        <v>-922.06088144546766</v>
      </c>
      <c r="BM10" s="1021">
        <f>(VLOOKUP(YEAR($A10),'NY East Load Projections'!$A$4:$EO$14,((MONTH($A10)-1)*12)+VLOOKUP(BM$4,$DE$6:$DF$17,2)+1))*(VLOOKUP($A10,SatSunCurve,8))*(INDEX(DailyScalarsTable,BM$5/100,MONTH($A10)))*$D10</f>
        <v>-792.87638784946068</v>
      </c>
      <c r="BN10" s="1021">
        <f>(VLOOKUP(YEAR($A10),'NY East Load Projections'!$A$4:$EO$14,((MONTH($A10)-1)*12)+VLOOKUP(BN$4,$DE$6:$DF$17,2)+1))*(VLOOKUP($A10,SatSunCurve,8))*(INDEX(DailyScalarsTable,BN$5/100,MONTH($A10)))*$D10</f>
        <v>-1398.7604363532903</v>
      </c>
      <c r="BO10" s="1021">
        <f>(VLOOKUP(YEAR($A10),'NY East Load Projections'!$A$4:$EO$14,((MONTH($A10)-1)*12)+VLOOKUP(BO$4,$DE$6:$DF$17,2)+1))*(VLOOKUP($A10,SatSunCurve,8))*(INDEX(DailyScalarsTable,BO$5/100,MONTH($A10)))*$D10</f>
        <v>-1423.5697173622252</v>
      </c>
      <c r="BP10" s="1021">
        <f>(VLOOKUP(YEAR($A10),'NY East Load Projections'!$A$4:$EO$14,((MONTH($A10)-1)*12)+VLOOKUP(BP$4,$DE$6:$DF$17,2)+1))*(VLOOKUP($A10,SatSunCurve,8))*(INDEX(DailyScalarsTable,BP$5/100,MONTH($A10)))*$D10</f>
        <v>-1510.0728741544397</v>
      </c>
      <c r="BQ10" s="1021">
        <f>(VLOOKUP(YEAR($A10),'NY East Load Projections'!$A$4:$EO$14,((MONTH($A10)-1)*12)+VLOOKUP(BQ$4,$DE$6:$DF$17,2)+1))*(VLOOKUP($A10,SatSunCurve,8))*(INDEX(DailyScalarsTable,BQ$5/100,MONTH($A10)))*$D10</f>
        <v>-1498.6562138671418</v>
      </c>
      <c r="BR10" s="1021">
        <f>(VLOOKUP(YEAR($A10),'NY East Load Projections'!$A$4:$EO$14,((MONTH($A10)-1)*12)+VLOOKUP(BR$4,$DE$6:$DF$17,2)+1))*(VLOOKUP($A10,SatSunCurve,8))*(INDEX(DailyScalarsTable,BR$5/100,MONTH($A10)))*$D10</f>
        <v>-1176.2072977642147</v>
      </c>
      <c r="BS10" s="1021">
        <f>(VLOOKUP(YEAR($A10),'NY East Load Projections'!$A$4:$EO$14,((MONTH($A10)-1)*12)+VLOOKUP(BS$4,$DE$6:$DF$17,2)+1))*(VLOOKUP($A10,SatSunCurve,8))*(INDEX(DailyScalarsTable,BS$5/100,MONTH($A10)))*$D10</f>
        <v>-1181.8762073150065</v>
      </c>
      <c r="BT10" s="1021">
        <f>(VLOOKUP(YEAR($A10),'NY East Load Projections'!$A$4:$EO$14,((MONTH($A10)-1)*12)+VLOOKUP(BT$4,$DE$6:$DF$17,2)+1))*(VLOOKUP($A10,SatSunCurve,8))*(INDEX(DailyScalarsTable,BT$5/100,MONTH($A10)))*$D10</f>
        <v>-1146.3998056100534</v>
      </c>
      <c r="BU10" s="1021">
        <f>(VLOOKUP(YEAR($A10),'NY East Load Projections'!$A$4:$EO$14,((MONTH($A10)-1)*12)+VLOOKUP(BU$4,$DE$6:$DF$17,2)+1))*(VLOOKUP($A10,SatSunCurve,8))*(INDEX(DailyScalarsTable,BU$5/100,MONTH($A10)))*$D10</f>
        <v>-1101.7800014038237</v>
      </c>
      <c r="BV10" s="1021">
        <f>(VLOOKUP(YEAR($A10),'NY East Load Projections'!$A$4:$EO$14,((MONTH($A10)-1)*12)+VLOOKUP(BV$4,$DE$6:$DF$17,2)+1))*(VLOOKUP($A10,SatSunCurve,8))*(INDEX(DailyScalarsTable,BV$5/100,MONTH($A10)))*$D10</f>
        <v>-748.56439297822953</v>
      </c>
      <c r="BW10" s="1021">
        <f>(VLOOKUP(YEAR($A10),'NY East Load Projections'!$A$4:$EO$14,((MONTH($A10)-1)*12)+VLOOKUP(BW$4,$DE$6:$DF$17,2)+1))*(VLOOKUP($A10,SatSunCurve,8))*(INDEX(DailyScalarsTable,BW$5/100,MONTH($A10)))*$D10</f>
        <v>-719.39158709501032</v>
      </c>
      <c r="BX10" s="1021">
        <f>(VLOOKUP(YEAR($A10),'NY East Load Projections'!$A$4:$EO$14,((MONTH($A10)-1)*12)+VLOOKUP(BX$4,$DE$6:$DF$17,2)+1))*(VLOOKUP($A10,SatSunCurve,8))*(INDEX(DailyScalarsTable,BX$5/100,MONTH($A10)))*$D10</f>
        <v>-623.29293242087715</v>
      </c>
      <c r="BY10" s="1021">
        <f>(VLOOKUP(YEAR($A10),'NY East Load Projections'!$A$4:$EO$14,((MONTH($A10)-1)*12)+VLOOKUP(BY$4,$DE$6:$DF$17,2)+1))*(VLOOKUP($A10,SatSunCurve,8))*(INDEX(DailyScalarsTable,BY$5/100,MONTH($A10)))*$D10</f>
        <v>-621.69945983061746</v>
      </c>
      <c r="BZ10" s="1021">
        <f>(VLOOKUP(YEAR($A10),'NY East Load Projections'!$A$4:$EO$14,((MONTH($A10)-1)*12)+VLOOKUP(BZ$4,$DE$6:$DF$17,2)+1))*(VLOOKUP($A10,SatSunCurve,8))*(INDEX(DailyScalarsTable,BZ$5/100,MONTH($A10)))*$D10</f>
        <v>-911.66435666854454</v>
      </c>
      <c r="CA10" s="1021">
        <f>(VLOOKUP(YEAR($A10),'NY East Load Projections'!$A$4:$EO$14,((MONTH($A10)-1)*12)+VLOOKUP(CA$4,$DE$6:$DF$17,2)+1))*(VLOOKUP($A10,SatSunCurve,8))*(INDEX(DailyScalarsTable,CA$5/100,MONTH($A10)))*$D10</f>
        <v>-869.55799928969043</v>
      </c>
      <c r="CB10" s="1021">
        <f>(VLOOKUP(YEAR($A10),'NY East Load Projections'!$A$4:$EO$14,((MONTH($A10)-1)*12)+VLOOKUP(CB$4,$DE$6:$DF$17,2)+1))*(VLOOKUP($A10,SatSunCurve,8))*(INDEX(DailyScalarsTable,CB$5/100,MONTH($A10)))*$D10</f>
        <v>-697.56655905163484</v>
      </c>
      <c r="CC10" s="1021">
        <f>(VLOOKUP(YEAR($A10),'NY East Load Projections'!$A$4:$EO$14,((MONTH($A10)-1)*12)+VLOOKUP(CC$4,$DE$6:$DF$17,2)+1))*(VLOOKUP($A10,CURVES!$D$9:$T$261,8))*(INDEX(DailyScalarsTable,CC$5/100,MONTH($A10)))*$D10</f>
        <v>-847.24356600181727</v>
      </c>
      <c r="CE10" s="1021">
        <f>(VLOOKUP(YEAR($A10),'NY East Load Projections'!$A$4:$EO$14,((MONTH($A10)-1)*12)+VLOOKUP(CE$4,$DE$6:$DF$17,2)+1))*(VLOOKUP($A10,CURVES!$D$9:$T$261,8))*(INDEX(DailyScalarsTable,CE$5/100,MONTH($A10)))*$E10</f>
        <v>-175.69051143298503</v>
      </c>
      <c r="CF10" s="1021">
        <f>(VLOOKUP(YEAR($A10),'NY East Load Projections'!$A$4:$EO$14,((MONTH($A10)-1)*12)+VLOOKUP(CF$4,$DE$6:$DF$17,2)+1))*(VLOOKUP($A10,CURVES!$D$9:$T$261,8))*(INDEX(DailyScalarsTable,CF$5/100,MONTH($A10)))*$E10</f>
        <v>-158.25522308389907</v>
      </c>
      <c r="CG10" s="1021">
        <f>(VLOOKUP(YEAR($A10),'NY East Load Projections'!$A$4:$EO$14,((MONTH($A10)-1)*12)+VLOOKUP(CG$4,$DE$6:$DF$17,2)+1))*(VLOOKUP($A10,CURVES!$D$9:$T$261,8))*(INDEX(DailyScalarsTable,CG$5/100,MONTH($A10)))*$E10</f>
        <v>-149.76820441661917</v>
      </c>
      <c r="CH10" s="1021">
        <f>(VLOOKUP(YEAR($A10),'NY East Load Projections'!$A$4:$EO$14,((MONTH($A10)-1)*12)+VLOOKUP(CH$4,$DE$6:$DF$17,2)+1))*(VLOOKUP($A10,CURVES!$D$9:$T$261,8))*(INDEX(DailyScalarsTable,CH$5/100,MONTH($A10)))*$E10</f>
        <v>-145.20181937281089</v>
      </c>
      <c r="CI10" s="1021">
        <f>(VLOOKUP(YEAR($A10),'NY East Load Projections'!$A$4:$EO$14,((MONTH($A10)-1)*12)+VLOOKUP(CI$4,$DE$6:$DF$17,2)+1))*(VLOOKUP($A10,CURVES!$D$9:$T$261,8))*(INDEX(DailyScalarsTable,CI$5/100,MONTH($A10)))*$E10</f>
        <v>-158.89884121997133</v>
      </c>
      <c r="CJ10" s="1021">
        <f>(VLOOKUP(YEAR($A10),'NY East Load Projections'!$A$4:$EO$14,((MONTH($A10)-1)*12)+VLOOKUP(CJ$4,$DE$6:$DF$17,2)+1))*(VLOOKUP($A10,CURVES!$D$9:$T$261,8))*(INDEX(DailyScalarsTable,CJ$5/100,MONTH($A10)))*$E10</f>
        <v>-192.65551992984783</v>
      </c>
      <c r="CK10" s="1021">
        <f>(VLOOKUP(YEAR($A10),'NY East Load Projections'!$A$4:$EO$14,((MONTH($A10)-1)*12)+VLOOKUP(CK$4,$DE$6:$DF$17,2)+1))*(VLOOKUP($A10,CURVES!$D$9:$T$261,8))*(INDEX(DailyScalarsTable,CK$5/100,MONTH($A10)))*$E10</f>
        <v>-230.51522036136691</v>
      </c>
      <c r="CL10" s="1021">
        <f>(VLOOKUP(YEAR($A10),'NY East Load Projections'!$A$4:$EO$14,((MONTH($A10)-1)*12)+VLOOKUP(CL$4,$DE$6:$DF$17,2)+1))*(VLOOKUP($A10,SatSunCurve,8))*(INDEX(DailyScalarsTable,CL$5/100,MONTH($A10)))*$E10</f>
        <v>-198.21909696236517</v>
      </c>
      <c r="CM10" s="1021">
        <f>(VLOOKUP(YEAR($A10),'NY East Load Projections'!$A$4:$EO$14,((MONTH($A10)-1)*12)+VLOOKUP(CM$4,$DE$6:$DF$17,2)+1))*(VLOOKUP($A10,SatSunCurve,8))*(INDEX(DailyScalarsTable,CM$5/100,MONTH($A10)))*$E10</f>
        <v>-349.69010908832257</v>
      </c>
      <c r="CN10" s="1021">
        <f>(VLOOKUP(YEAR($A10),'NY East Load Projections'!$A$4:$EO$14,((MONTH($A10)-1)*12)+VLOOKUP(CN$4,$DE$6:$DF$17,2)+1))*(VLOOKUP($A10,SatSunCurve,8))*(INDEX(DailyScalarsTable,CN$5/100,MONTH($A10)))*$E10</f>
        <v>-355.8924293405563</v>
      </c>
      <c r="CO10" s="1021">
        <f>(VLOOKUP(YEAR($A10),'NY East Load Projections'!$A$4:$EO$14,((MONTH($A10)-1)*12)+VLOOKUP(CO$4,$DE$6:$DF$17,2)+1))*(VLOOKUP($A10,SatSunCurve,8))*(INDEX(DailyScalarsTable,CO$5/100,MONTH($A10)))*$E10</f>
        <v>-377.51821853860991</v>
      </c>
      <c r="CP10" s="1021">
        <f>(VLOOKUP(YEAR($A10),'NY East Load Projections'!$A$4:$EO$14,((MONTH($A10)-1)*12)+VLOOKUP(CP$4,$DE$6:$DF$17,2)+1))*(VLOOKUP($A10,SatSunCurve,8))*(INDEX(DailyScalarsTable,CP$5/100,MONTH($A10)))*$E10</f>
        <v>-374.66405346678545</v>
      </c>
      <c r="CQ10" s="1021">
        <f>(VLOOKUP(YEAR($A10),'NY East Load Projections'!$A$4:$EO$14,((MONTH($A10)-1)*12)+VLOOKUP(CQ$4,$DE$6:$DF$17,2)+1))*(VLOOKUP($A10,SatSunCurve,8))*(INDEX(DailyScalarsTable,CQ$5/100,MONTH($A10)))*$E10</f>
        <v>-294.05182444105367</v>
      </c>
      <c r="CR10" s="1021">
        <f>(VLOOKUP(YEAR($A10),'NY East Load Projections'!$A$4:$EO$14,((MONTH($A10)-1)*12)+VLOOKUP(CR$4,$DE$6:$DF$17,2)+1))*(VLOOKUP($A10,SatSunCurve,8))*(INDEX(DailyScalarsTable,CR$5/100,MONTH($A10)))*$E10</f>
        <v>-295.46905182875162</v>
      </c>
      <c r="CS10" s="1021">
        <f>(VLOOKUP(YEAR($A10),'NY East Load Projections'!$A$4:$EO$14,((MONTH($A10)-1)*12)+VLOOKUP(CS$4,$DE$6:$DF$17,2)+1))*(VLOOKUP($A10,SatSunCurve,8))*(INDEX(DailyScalarsTable,CS$5/100,MONTH($A10)))*$E10</f>
        <v>-286.59995140251334</v>
      </c>
      <c r="CT10" s="1021">
        <f>(VLOOKUP(YEAR($A10),'NY East Load Projections'!$A$4:$EO$14,((MONTH($A10)-1)*12)+VLOOKUP(CT$4,$DE$6:$DF$17,2)+1))*(VLOOKUP($A10,SatSunCurve,8))*(INDEX(DailyScalarsTable,CT$5/100,MONTH($A10)))*$E10</f>
        <v>-275.44500035095592</v>
      </c>
      <c r="CU10" s="1021">
        <f>(VLOOKUP(YEAR($A10),'NY East Load Projections'!$A$4:$EO$14,((MONTH($A10)-1)*12)+VLOOKUP(CU$4,$DE$6:$DF$17,2)+1))*(VLOOKUP($A10,SatSunCurve,8))*(INDEX(DailyScalarsTable,CU$5/100,MONTH($A10)))*$E10</f>
        <v>-187.14109824455738</v>
      </c>
      <c r="CV10" s="1021">
        <f>(VLOOKUP(YEAR($A10),'NY East Load Projections'!$A$4:$EO$14,((MONTH($A10)-1)*12)+VLOOKUP(CV$4,$DE$6:$DF$17,2)+1))*(VLOOKUP($A10,SatSunCurve,8))*(INDEX(DailyScalarsTable,CV$5/100,MONTH($A10)))*$E10</f>
        <v>-179.84789677375258</v>
      </c>
      <c r="CW10" s="1021">
        <f>(VLOOKUP(YEAR($A10),'NY East Load Projections'!$A$4:$EO$14,((MONTH($A10)-1)*12)+VLOOKUP(CW$4,$DE$6:$DF$17,2)+1))*(VLOOKUP($A10,SatSunCurve,8))*(INDEX(DailyScalarsTable,CW$5/100,MONTH($A10)))*$E10</f>
        <v>-155.82323310521929</v>
      </c>
      <c r="CX10" s="1021">
        <f>(VLOOKUP(YEAR($A10),'NY East Load Projections'!$A$4:$EO$14,((MONTH($A10)-1)*12)+VLOOKUP(CX$4,$DE$6:$DF$17,2)+1))*(VLOOKUP($A10,SatSunCurve,8))*(INDEX(DailyScalarsTable,CX$5/100,MONTH($A10)))*$E10</f>
        <v>-155.42486495765436</v>
      </c>
      <c r="CY10" s="1021">
        <f>(VLOOKUP(YEAR($A10),'NY East Load Projections'!$A$4:$EO$14,((MONTH($A10)-1)*12)+VLOOKUP(CY$4,$DE$6:$DF$17,2)+1))*(VLOOKUP($A10,SatSunCurve,8))*(INDEX(DailyScalarsTable,CY$5/100,MONTH($A10)))*$E10</f>
        <v>-227.91608916713614</v>
      </c>
      <c r="CZ10" s="1021">
        <f>(VLOOKUP(YEAR($A10),'NY East Load Projections'!$A$4:$EO$14,((MONTH($A10)-1)*12)+VLOOKUP(CZ$4,$DE$6:$DF$17,2)+1))*(VLOOKUP($A10,SatSunCurve,8))*(INDEX(DailyScalarsTable,CZ$5/100,MONTH($A10)))*$E10</f>
        <v>-217.38949982242261</v>
      </c>
      <c r="DA10" s="1021">
        <f>(VLOOKUP(YEAR($A10),'NY East Load Projections'!$A$4:$EO$14,((MONTH($A10)-1)*12)+VLOOKUP(DA$4,$DE$6:$DF$17,2)+1))*(VLOOKUP($A10,SatSunCurve,8))*(INDEX(DailyScalarsTable,DA$5/100,MONTH($A10)))*$E10</f>
        <v>-174.39163976290871</v>
      </c>
      <c r="DB10" s="1021">
        <f>(VLOOKUP(YEAR($A10),'NY East Load Projections'!$A$4:$EO$14,((MONTH($A10)-1)*12)+VLOOKUP(DB$4,$DE$6:$DF$17,2)+1))*(VLOOKUP($A10,CURVES!$D$9:$T$261,8))*(INDEX(DailyScalarsTable,DB$5/100,MONTH($A10)))*$E10</f>
        <v>-211.81089150045432</v>
      </c>
      <c r="DE10" s="221" t="s">
        <v>562</v>
      </c>
      <c r="DF10" s="619">
        <v>5</v>
      </c>
      <c r="DH10" s="1021">
        <f t="shared" si="0"/>
        <v>-159188.33343343454</v>
      </c>
      <c r="DI10">
        <f ca="1">CALC!J30</f>
        <v>0.91660266916426358</v>
      </c>
      <c r="DJ10" s="1029">
        <f t="shared" ca="1" si="1"/>
        <v>-145912.45132489689</v>
      </c>
    </row>
    <row r="11" spans="1:114" x14ac:dyDescent="0.25">
      <c r="A11" s="244">
        <v>37043</v>
      </c>
      <c r="B11" s="13">
        <v>21</v>
      </c>
      <c r="C11" s="210">
        <v>5</v>
      </c>
      <c r="D11" s="210">
        <v>4</v>
      </c>
      <c r="E11" s="210">
        <v>0</v>
      </c>
      <c r="F11" s="13">
        <v>30</v>
      </c>
      <c r="H11" s="1021">
        <f>(VLOOKUP(YEAR($A11),'NY East Load Projections'!$A$4:$EO$14,((MONTH($A11)-1)*12)+VLOOKUP(H$4,$DE$6:$DF$17,2)+1))*(VLOOKUP($A11,CURVES!$D$9:$K$261,8))*(INDEX(DailyScalarsTable,H$5/100,MONTH($A11)))*$B11</f>
        <v>-945.15818548212064</v>
      </c>
      <c r="I11" s="1021">
        <f>(VLOOKUP(YEAR($A11),'NY East Load Projections'!$A$4:$EO$14,((MONTH($A11)-1)*12)+VLOOKUP(I$4,$DE$6:$DF$17,2)+1))*(VLOOKUP($A11,CURVES!$D$9:$K$261,8))*(INDEX(DailyScalarsTable,I$5/100,MONTH($A11)))*$B11</f>
        <v>-783.0757733313601</v>
      </c>
      <c r="J11" s="1021">
        <f>(VLOOKUP(YEAR($A11),'NY East Load Projections'!$A$4:$EO$14,((MONTH($A11)-1)*12)+VLOOKUP(J$4,$DE$6:$DF$17,2)+1))*(VLOOKUP($A11,CURVES!$D$9:$K$261,8))*(INDEX(DailyScalarsTable,J$5/100,MONTH($A11)))*$B11</f>
        <v>-658.24812457047597</v>
      </c>
      <c r="K11" s="1021">
        <f>(VLOOKUP(YEAR($A11),'NY East Load Projections'!$A$4:$EO$14,((MONTH($A11)-1)*12)+VLOOKUP(K$4,$DE$6:$DF$17,2)+1))*(VLOOKUP($A11,CURVES!$D$9:$K$261,8))*(INDEX(DailyScalarsTable,K$5/100,MONTH($A11)))*$B11</f>
        <v>-611.0748852131652</v>
      </c>
      <c r="L11" s="1021">
        <f>(VLOOKUP(YEAR($A11),'NY East Load Projections'!$A$4:$EO$14,((MONTH($A11)-1)*12)+VLOOKUP(L$4,$DE$6:$DF$17,2)+1))*(VLOOKUP($A11,CURVES!$D$9:$K$261,8))*(INDEX(DailyScalarsTable,L$5/100,MONTH($A11)))*$B11</f>
        <v>-968.16041967863271</v>
      </c>
      <c r="M11" s="1021">
        <f>(VLOOKUP(YEAR($A11),'NY East Load Projections'!$A$4:$EO$14,((MONTH($A11)-1)*12)+VLOOKUP(M$4,$DE$6:$DF$17,2)+1))*(VLOOKUP($A11,CURVES!$D$9:$K$261,8))*(INDEX(DailyScalarsTable,M$5/100,MONTH($A11)))*$B11</f>
        <v>-1181.2263806517037</v>
      </c>
      <c r="N11" s="1021">
        <f>(VLOOKUP(YEAR($A11),'NY East Load Projections'!$A$4:$EO$14,((MONTH($A11)-1)*12)+VLOOKUP(N$4,$DE$6:$DF$17,2)+1))*(VLOOKUP($A11,CURVES!$D$9:$K$261,8))*(INDEX(DailyScalarsTable,N$5/100,MONTH($A11)))*$B11</f>
        <v>-1354.3645578935032</v>
      </c>
      <c r="O11" s="1021">
        <f>(VLOOKUP(YEAR($A11),'NY East Load Projections'!$A$4:$EO$14,((MONTH($A11)-1)*12)+VLOOKUP(O$4,$DE$6:$DF$17,2)+1))*(VLOOKUP($A11,CURVES!$D$9:$K$261,4))*(INDEX(DailyScalarsTable,O$5/100,MONTH($A11)))*$B11</f>
        <v>-1990.8396185659046</v>
      </c>
      <c r="P11" s="1021">
        <f>(VLOOKUP(YEAR($A11),'NY East Load Projections'!$A$4:$EO$14,((MONTH($A11)-1)*12)+VLOOKUP(P$4,$DE$6:$DF$17,2)+1))*(VLOOKUP($A11,CURVES!$D$9:$K$261,4))*(INDEX(DailyScalarsTable,P$5/100,MONTH($A11)))*$B11</f>
        <v>-2622.6661292900953</v>
      </c>
      <c r="Q11" s="1021">
        <f>(VLOOKUP(YEAR($A11),'NY East Load Projections'!$A$4:$EO$14,((MONTH($A11)-1)*12)+VLOOKUP(Q$4,$DE$6:$DF$17,2)+1))*(VLOOKUP($A11,CURVES!$D$9:$K$261,4))*(INDEX(DailyScalarsTable,Q$5/100,MONTH($A11)))*$B11</f>
        <v>-2933.4325277826629</v>
      </c>
      <c r="R11" s="1021">
        <f>(VLOOKUP(YEAR($A11),'NY East Load Projections'!$A$4:$EO$14,((MONTH($A11)-1)*12)+VLOOKUP(R$4,$DE$6:$DF$17,2)+1))*(VLOOKUP($A11,CURVES!$D$9:$K$261,4))*(INDEX(DailyScalarsTable,R$5/100,MONTH($A11)))*$B11</f>
        <v>-3374.2978771234521</v>
      </c>
      <c r="S11" s="1021">
        <f>(VLOOKUP(YEAR($A11),'NY East Load Projections'!$A$4:$EO$14,((MONTH($A11)-1)*12)+VLOOKUP(S$4,$DE$6:$DF$17,2)+1))*(VLOOKUP($A11,CURVES!$D$9:$K$261,4))*(INDEX(DailyScalarsTable,S$5/100,MONTH($A11)))*$B11</f>
        <v>-3639.0929148922692</v>
      </c>
      <c r="T11" s="1021">
        <f>(VLOOKUP(YEAR($A11),'NY East Load Projections'!$A$4:$EO$14,((MONTH($A11)-1)*12)+VLOOKUP(T$4,$DE$6:$DF$17,2)+1))*(VLOOKUP($A11,CURVES!$D$9:$K$261,4))*(INDEX(DailyScalarsTable,T$5/100,MONTH($A11)))*$B11</f>
        <v>-3982.1098298319798</v>
      </c>
      <c r="U11" s="1021">
        <f>(VLOOKUP(YEAR($A11),'NY East Load Projections'!$A$4:$EO$14,((MONTH($A11)-1)*12)+VLOOKUP(U$4,$DE$6:$DF$17,2)+1))*(VLOOKUP($A11,CURVES!$D$9:$K$261,4))*(INDEX(DailyScalarsTable,U$5/100,MONTH($A11)))*$B11</f>
        <v>-4403.7506834404958</v>
      </c>
      <c r="V11" s="1021">
        <f>(VLOOKUP(YEAR($A11),'NY East Load Projections'!$A$4:$EO$14,((MONTH($A11)-1)*12)+VLOOKUP(V$4,$DE$6:$DF$17,2)+1))*(VLOOKUP($A11,CURVES!$D$9:$K$261,4))*(INDEX(DailyScalarsTable,V$5/100,MONTH($A11)))*$B11</f>
        <v>-4437.6368599647176</v>
      </c>
      <c r="W11" s="1021">
        <f>(VLOOKUP(YEAR($A11),'NY East Load Projections'!$A$4:$EO$14,((MONTH($A11)-1)*12)+VLOOKUP(W$4,$DE$6:$DF$17,2)+1))*(VLOOKUP($A11,CURVES!$D$9:$K$261,4))*(INDEX(DailyScalarsTable,W$5/100,MONTH($A11)))*$B11</f>
        <v>-4444.8981835056202</v>
      </c>
      <c r="X11" s="1021">
        <f>(VLOOKUP(YEAR($A11),'NY East Load Projections'!$A$4:$EO$14,((MONTH($A11)-1)*12)+VLOOKUP(X$4,$DE$6:$DF$17,2)+1))*(VLOOKUP($A11,CURVES!$D$9:$K$261,4))*(INDEX(DailyScalarsTable,X$5/100,MONTH($A11)))*$B11</f>
        <v>-4312.6803385994062</v>
      </c>
      <c r="Y11" s="1021">
        <f>(VLOOKUP(YEAR($A11),'NY East Load Projections'!$A$4:$EO$14,((MONTH($A11)-1)*12)+VLOOKUP(Y$4,$DE$6:$DF$17,2)+1))*(VLOOKUP($A11,CURVES!$D$9:$K$261,4))*(INDEX(DailyScalarsTable,Y$5/100,MONTH($A11)))*$B11</f>
        <v>-4184.6541405721809</v>
      </c>
      <c r="Z11" s="1021">
        <f>(VLOOKUP(YEAR($A11),'NY East Load Projections'!$A$4:$EO$14,((MONTH($A11)-1)*12)+VLOOKUP(Z$4,$DE$6:$DF$17,2)+1))*(VLOOKUP($A11,CURVES!$D$9:$K$261,4))*(INDEX(DailyScalarsTable,Z$5/100,MONTH($A11)))*$B11</f>
        <v>-3573.1788337490098</v>
      </c>
      <c r="AA11" s="1021">
        <f>(VLOOKUP(YEAR($A11),'NY East Load Projections'!$A$4:$EO$14,((MONTH($A11)-1)*12)+VLOOKUP(AA$4,$DE$6:$DF$17,2)+1))*(VLOOKUP($A11,CURVES!$D$9:$K$261,4))*(INDEX(DailyScalarsTable,AA$5/100,MONTH($A11)))*$B11</f>
        <v>-2857.2489393657202</v>
      </c>
      <c r="AB11" s="1021">
        <f>(VLOOKUP(YEAR($A11),'NY East Load Projections'!$A$4:$EO$14,((MONTH($A11)-1)*12)+VLOOKUP(AB$4,$DE$6:$DF$17,2)+1))*(VLOOKUP($A11,CURVES!$D$9:$K$261,4))*(INDEX(DailyScalarsTable,AB$5/100,MONTH($A11)))*$B11</f>
        <v>-2491.9529813002368</v>
      </c>
      <c r="AC11" s="1021">
        <f>(VLOOKUP(YEAR($A11),'NY East Load Projections'!$A$4:$EO$14,((MONTH($A11)-1)*12)+VLOOKUP(AC$4,$DE$6:$DF$17,2)+1))*(VLOOKUP($A11,CURVES!$D$9:$K$261,4))*(INDEX(DailyScalarsTable,AC$5/100,MONTH($A11)))*$B11</f>
        <v>-2539.061946561495</v>
      </c>
      <c r="AD11" s="1021">
        <f>(VLOOKUP(YEAR($A11),'NY East Load Projections'!$A$4:$EO$14,((MONTH($A11)-1)*12)+VLOOKUP(AD$4,$DE$6:$DF$17,2)+1))*(VLOOKUP($A11,CURVES!$D$9:$K$261,4))*(INDEX(DailyScalarsTable,AD$5/100,MONTH($A11)))*$B11</f>
        <v>-2036.0717347956238</v>
      </c>
      <c r="AE11" s="1021">
        <f>(VLOOKUP(YEAR($A11),'NY East Load Projections'!$A$4:$EO$14,((MONTH($A11)-1)*12)+VLOOKUP(AE$4,$DE$6:$DF$17,2)+1))*(VLOOKUP($A11,CURVES!$D$9:$K$261,8))*(INDEX(DailyScalarsTable,AE$5/100,MONTH($A11)))*$B11</f>
        <v>-1506.4595721363364</v>
      </c>
      <c r="AF11" s="1021"/>
      <c r="AG11" s="1021">
        <f>(VLOOKUP(YEAR($A11),'NY East Load Projections'!$A$4:$EO$14,((MONTH($A11)-1)*12)+VLOOKUP(AG$4,$DE$6:$DF$17,2)+1))*(VLOOKUP($A11,CURVES!$D$9:$T$261,8))*(INDEX(DailyScalarsTable,AG$5/100,MONTH($A11)))*$C11</f>
        <v>-266.13647028826472</v>
      </c>
      <c r="AH11" s="1021">
        <f>(VLOOKUP(YEAR($A11),'NY East Load Projections'!$A$4:$EO$14,((MONTH($A11)-1)*12)+VLOOKUP(AH$4,$DE$6:$DF$17,2)+1))*(VLOOKUP($A11,CURVES!$D$9:$T$261,8))*(INDEX(DailyScalarsTable,AH$5/100,MONTH($A11)))*$C11</f>
        <v>-220.49750558564443</v>
      </c>
      <c r="AI11" s="1021">
        <f>(VLOOKUP(YEAR($A11),'NY East Load Projections'!$A$4:$EO$14,((MONTH($A11)-1)*12)+VLOOKUP(AI$4,$DE$6:$DF$17,2)+1))*(VLOOKUP($A11,CURVES!$D$9:$T$261,8))*(INDEX(DailyScalarsTable,AI$5/100,MONTH($A11)))*$C11</f>
        <v>-185.34869097885033</v>
      </c>
      <c r="AJ11" s="1021">
        <f>(VLOOKUP(YEAR($A11),'NY East Load Projections'!$A$4:$EO$14,((MONTH($A11)-1)*12)+VLOOKUP(AJ$4,$DE$6:$DF$17,2)+1))*(VLOOKUP($A11,CURVES!$D$9:$T$261,8))*(INDEX(DailyScalarsTable,AJ$5/100,MONTH($A11)))*$C11</f>
        <v>-172.0657087146549</v>
      </c>
      <c r="AK11" s="1021">
        <f>(VLOOKUP(YEAR($A11),'NY East Load Projections'!$A$4:$EO$14,((MONTH($A11)-1)*12)+VLOOKUP(AK$4,$DE$6:$DF$17,2)+1))*(VLOOKUP($A11,CURVES!$D$9:$T$261,8))*(INDEX(DailyScalarsTable,AK$5/100,MONTH($A11)))*$C11</f>
        <v>-199.04394112489496</v>
      </c>
      <c r="AL11" s="1021">
        <f>(VLOOKUP(YEAR($A11),'NY East Load Projections'!$A$4:$EO$14,((MONTH($A11)-1)*12)+VLOOKUP(AL$4,$DE$6:$DF$17,2)+1))*(VLOOKUP($A11,CURVES!$D$9:$T$261,8))*(INDEX(DailyScalarsTable,AL$5/100,MONTH($A11)))*$C11</f>
        <v>-242.8481369271984</v>
      </c>
      <c r="AM11" s="1021">
        <f>(VLOOKUP(YEAR($A11),'NY East Load Projections'!$A$4:$EO$14,((MONTH($A11)-1)*12)+VLOOKUP(AM$4,$DE$6:$DF$17,2)+1))*(VLOOKUP($A11,CURVES!$D$9:$T$261,8))*(INDEX(DailyScalarsTable,AM$5/100,MONTH($A11)))*$C11</f>
        <v>-278.44358625245331</v>
      </c>
      <c r="AN11" s="1021">
        <f>(VLOOKUP(YEAR($A11),'NY East Load Projections'!$A$4:$EO$14,((MONTH($A11)-1)*12)+VLOOKUP(AN$4,$DE$6:$DF$17,2)+1))*(VLOOKUP($A11,SatSunCurve,4))*(INDEX(DailyScalarsTable,AN$5/100,MONTH($A11)))*$C11</f>
        <v>-215.27415966025666</v>
      </c>
      <c r="AO11" s="1021">
        <f>(VLOOKUP(YEAR($A11),'NY East Load Projections'!$A$4:$EO$14,((MONTH($A11)-1)*12)+VLOOKUP(AO$4,$DE$6:$DF$17,2)+1))*(VLOOKUP($A11,SatSunCurve,4))*(INDEX(DailyScalarsTable,AO$5/100,MONTH($A11)))*$C11</f>
        <v>-316.63788992826551</v>
      </c>
      <c r="AP11" s="1021">
        <f>(VLOOKUP(YEAR($A11),'NY East Load Projections'!$A$4:$EO$14,((MONTH($A11)-1)*12)+VLOOKUP(AP$4,$DE$6:$DF$17,2)+1))*(VLOOKUP($A11,SatSunCurve,4))*(INDEX(DailyScalarsTable,AP$5/100,MONTH($A11)))*$C11</f>
        <v>-354.15712105736407</v>
      </c>
      <c r="AQ11" s="1021">
        <f>(VLOOKUP(YEAR($A11),'NY East Load Projections'!$A$4:$EO$14,((MONTH($A11)-1)*12)+VLOOKUP(AQ$4,$DE$6:$DF$17,2)+1))*(VLOOKUP($A11,SatSunCurve,4))*(INDEX(DailyScalarsTable,AQ$5/100,MONTH($A11)))*$C11</f>
        <v>-407.3833675851829</v>
      </c>
      <c r="AR11" s="1021">
        <f>(VLOOKUP(YEAR($A11),'NY East Load Projections'!$A$4:$EO$14,((MONTH($A11)-1)*12)+VLOOKUP(AR$4,$DE$6:$DF$17,2)+1))*(VLOOKUP($A11,SatSunCurve,4))*(INDEX(DailyScalarsTable,AR$5/100,MONTH($A11)))*$C11</f>
        <v>-439.35241659459234</v>
      </c>
      <c r="AS11" s="1021">
        <f>(VLOOKUP(YEAR($A11),'NY East Load Projections'!$A$4:$EO$14,((MONTH($A11)-1)*12)+VLOOKUP(AS$4,$DE$6:$DF$17,2)+1))*(VLOOKUP($A11,SatSunCurve,4))*(INDEX(DailyScalarsTable,AS$5/100,MONTH($A11)))*$C11</f>
        <v>-453.62804662623125</v>
      </c>
      <c r="AT11" s="1021">
        <f>(VLOOKUP(YEAR($A11),'NY East Load Projections'!$A$4:$EO$14,((MONTH($A11)-1)*12)+VLOOKUP(AT$4,$DE$6:$DF$17,2)+1))*(VLOOKUP($A11,SatSunCurve,4))*(INDEX(DailyScalarsTable,AT$5/100,MONTH($A11)))*$C11</f>
        <v>-501.65990033537878</v>
      </c>
      <c r="AU11" s="1021">
        <f>(VLOOKUP(YEAR($A11),'NY East Load Projections'!$A$4:$EO$14,((MONTH($A11)-1)*12)+VLOOKUP(AU$4,$DE$6:$DF$17,2)+1))*(VLOOKUP($A11,SatSunCurve,4))*(INDEX(DailyScalarsTable,AU$5/100,MONTH($A11)))*$C11</f>
        <v>-505.52009523737695</v>
      </c>
      <c r="AV11" s="1021">
        <f>(VLOOKUP(YEAR($A11),'NY East Load Projections'!$A$4:$EO$14,((MONTH($A11)-1)*12)+VLOOKUP(AV$4,$DE$6:$DF$17,2)+1))*(VLOOKUP($A11,SatSunCurve,4))*(INDEX(DailyScalarsTable,AV$5/100,MONTH($A11)))*$C11</f>
        <v>-506.34727985923354</v>
      </c>
      <c r="AW11" s="1021">
        <f>(VLOOKUP(YEAR($A11),'NY East Load Projections'!$A$4:$EO$14,((MONTH($A11)-1)*12)+VLOOKUP(AW$4,$DE$6:$DF$17,2)+1))*(VLOOKUP($A11,SatSunCurve,4))*(INDEX(DailyScalarsTable,AW$5/100,MONTH($A11)))*$C11</f>
        <v>-438.76392773824591</v>
      </c>
      <c r="AX11" s="1021">
        <f>(VLOOKUP(YEAR($A11),'NY East Load Projections'!$A$4:$EO$14,((MONTH($A11)-1)*12)+VLOOKUP(AX$4,$DE$6:$DF$17,2)+1))*(VLOOKUP($A11,SatSunCurve,4))*(INDEX(DailyScalarsTable,AX$5/100,MONTH($A11)))*$C11</f>
        <v>-425.73878488287187</v>
      </c>
      <c r="AY11" s="1021">
        <f>(VLOOKUP(YEAR($A11),'NY East Load Projections'!$A$4:$EO$14,((MONTH($A11)-1)*12)+VLOOKUP(AY$4,$DE$6:$DF$17,2)+1))*(VLOOKUP($A11,SatSunCurve,4))*(INDEX(DailyScalarsTable,AY$5/100,MONTH($A11)))*$C11</f>
        <v>-363.52844554114017</v>
      </c>
      <c r="AZ11" s="1021">
        <f>(VLOOKUP(YEAR($A11),'NY East Load Projections'!$A$4:$EO$14,((MONTH($A11)-1)*12)+VLOOKUP(AZ$4,$DE$6:$DF$17,2)+1))*(VLOOKUP($A11,SatSunCurve,4))*(INDEX(DailyScalarsTable,AZ$5/100,MONTH($A11)))*$C11</f>
        <v>-290.69109433906726</v>
      </c>
      <c r="BA11" s="1021">
        <f>(VLOOKUP(YEAR($A11),'NY East Load Projections'!$A$4:$EO$14,((MONTH($A11)-1)*12)+VLOOKUP(BA$4,$DE$6:$DF$17,2)+1))*(VLOOKUP($A11,SatSunCurve,4))*(INDEX(DailyScalarsTable,BA$5/100,MONTH($A11)))*$C11</f>
        <v>-298.70473738878621</v>
      </c>
      <c r="BB11" s="1021">
        <f>(VLOOKUP(YEAR($A11),'NY East Load Projections'!$A$4:$EO$14,((MONTH($A11)-1)*12)+VLOOKUP(BB$4,$DE$6:$DF$17,2)+1))*(VLOOKUP($A11,SatSunCurve,4))*(INDEX(DailyScalarsTable,BB$5/100,MONTH($A11)))*$C11</f>
        <v>-304.35158193305182</v>
      </c>
      <c r="BC11" s="1021">
        <f>(VLOOKUP(YEAR($A11),'NY East Load Projections'!$A$4:$EO$14,((MONTH($A11)-1)*12)+VLOOKUP(BC$4,$DE$6:$DF$17,2)+1))*(VLOOKUP($A11,SatSunCurve,4))*(INDEX(DailyScalarsTable,BC$5/100,MONTH($A11)))*$C11</f>
        <v>-244.05928900372845</v>
      </c>
      <c r="BD11" s="1021">
        <f>(VLOOKUP(YEAR($A11),'NY East Load Projections'!$A$4:$EO$14,((MONTH($A11)-1)*12)+VLOOKUP(BD$4,$DE$6:$DF$17,2)+1))*(VLOOKUP($A11,CURVES!$D$9:$T$261,8))*(INDEX(DailyScalarsTable,BD$5/100,MONTH($A11)))*$C11</f>
        <v>-343.32526082055216</v>
      </c>
      <c r="BE11" s="1021"/>
      <c r="BF11" s="1021">
        <f>(VLOOKUP(YEAR($A11),'NY East Load Projections'!$A$4:$EO$14,((MONTH($A11)-1)*12)+VLOOKUP(BF$4,$DE$6:$DF$17,2)+1))*(VLOOKUP($A11,CURVES!$D$9:$T$261,8))*(INDEX(DailyScalarsTable,BF$5/100,MONTH($A11)))*$D11</f>
        <v>-212.90917623061179</v>
      </c>
      <c r="BG11" s="1021">
        <f>(VLOOKUP(YEAR($A11),'NY East Load Projections'!$A$4:$EO$14,((MONTH($A11)-1)*12)+VLOOKUP(BG$4,$DE$6:$DF$17,2)+1))*(VLOOKUP($A11,CURVES!$D$9:$T$261,8))*(INDEX(DailyScalarsTable,BG$5/100,MONTH($A11)))*$D11</f>
        <v>-176.39800446851555</v>
      </c>
      <c r="BH11" s="1021">
        <f>(VLOOKUP(YEAR($A11),'NY East Load Projections'!$A$4:$EO$14,((MONTH($A11)-1)*12)+VLOOKUP(BH$4,$DE$6:$DF$17,2)+1))*(VLOOKUP($A11,CURVES!$D$9:$T$261,8))*(INDEX(DailyScalarsTable,BH$5/100,MONTH($A11)))*$D11</f>
        <v>-148.27895278308026</v>
      </c>
      <c r="BI11" s="1021">
        <f>(VLOOKUP(YEAR($A11),'NY East Load Projections'!$A$4:$EO$14,((MONTH($A11)-1)*12)+VLOOKUP(BI$4,$DE$6:$DF$17,2)+1))*(VLOOKUP($A11,CURVES!$D$9:$T$261,8))*(INDEX(DailyScalarsTable,BI$5/100,MONTH($A11)))*$D11</f>
        <v>-137.65256697172393</v>
      </c>
      <c r="BJ11" s="1021">
        <f>(VLOOKUP(YEAR($A11),'NY East Load Projections'!$A$4:$EO$14,((MONTH($A11)-1)*12)+VLOOKUP(BJ$4,$DE$6:$DF$17,2)+1))*(VLOOKUP($A11,CURVES!$D$9:$T$261,8))*(INDEX(DailyScalarsTable,BJ$5/100,MONTH($A11)))*$D11</f>
        <v>-159.23515289991596</v>
      </c>
      <c r="BK11" s="1021">
        <f>(VLOOKUP(YEAR($A11),'NY East Load Projections'!$A$4:$EO$14,((MONTH($A11)-1)*12)+VLOOKUP(BK$4,$DE$6:$DF$17,2)+1))*(VLOOKUP($A11,CURVES!$D$9:$T$261,8))*(INDEX(DailyScalarsTable,BK$5/100,MONTH($A11)))*$D11</f>
        <v>-194.27850954175872</v>
      </c>
      <c r="BL11" s="1021">
        <f>(VLOOKUP(YEAR($A11),'NY East Load Projections'!$A$4:$EO$14,((MONTH($A11)-1)*12)+VLOOKUP(BL$4,$DE$6:$DF$17,2)+1))*(VLOOKUP($A11,CURVES!$D$9:$T$261,8))*(INDEX(DailyScalarsTable,BL$5/100,MONTH($A11)))*$D11</f>
        <v>-222.75486900196267</v>
      </c>
      <c r="BM11" s="1021">
        <f>(VLOOKUP(YEAR($A11),'NY East Load Projections'!$A$4:$EO$14,((MONTH($A11)-1)*12)+VLOOKUP(BM$4,$DE$6:$DF$17,2)+1))*(VLOOKUP($A11,SatSunCurve,8))*(INDEX(DailyScalarsTable,BM$5/100,MONTH($A11)))*$D11</f>
        <v>-136.94918673557683</v>
      </c>
      <c r="BN11" s="1021">
        <f>(VLOOKUP(YEAR($A11),'NY East Load Projections'!$A$4:$EO$14,((MONTH($A11)-1)*12)+VLOOKUP(BN$4,$DE$6:$DF$17,2)+1))*(VLOOKUP($A11,SatSunCurve,8))*(INDEX(DailyScalarsTable,BN$5/100,MONTH($A11)))*$D11</f>
        <v>-201.43291505018792</v>
      </c>
      <c r="BO11" s="1021">
        <f>(VLOOKUP(YEAR($A11),'NY East Load Projections'!$A$4:$EO$14,((MONTH($A11)-1)*12)+VLOOKUP(BO$4,$DE$6:$DF$17,2)+1))*(VLOOKUP($A11,SatSunCurve,8))*(INDEX(DailyScalarsTable,BO$5/100,MONTH($A11)))*$D11</f>
        <v>-225.30121488786131</v>
      </c>
      <c r="BP11" s="1021">
        <f>(VLOOKUP(YEAR($A11),'NY East Load Projections'!$A$4:$EO$14,((MONTH($A11)-1)*12)+VLOOKUP(BP$4,$DE$6:$DF$17,2)+1))*(VLOOKUP($A11,SatSunCurve,8))*(INDEX(DailyScalarsTable,BP$5/100,MONTH($A11)))*$D11</f>
        <v>-259.16171717237137</v>
      </c>
      <c r="BQ11" s="1021">
        <f>(VLOOKUP(YEAR($A11),'NY East Load Projections'!$A$4:$EO$14,((MONTH($A11)-1)*12)+VLOOKUP(BQ$4,$DE$6:$DF$17,2)+1))*(VLOOKUP($A11,SatSunCurve,8))*(INDEX(DailyScalarsTable,BQ$5/100,MONTH($A11)))*$D11</f>
        <v>-279.49920342459023</v>
      </c>
      <c r="BR11" s="1021">
        <f>(VLOOKUP(YEAR($A11),'NY East Load Projections'!$A$4:$EO$14,((MONTH($A11)-1)*12)+VLOOKUP(BR$4,$DE$6:$DF$17,2)+1))*(VLOOKUP($A11,SatSunCurve,8))*(INDEX(DailyScalarsTable,BR$5/100,MONTH($A11)))*$D11</f>
        <v>-288.58081324741488</v>
      </c>
      <c r="BS11" s="1021">
        <f>(VLOOKUP(YEAR($A11),'NY East Load Projections'!$A$4:$EO$14,((MONTH($A11)-1)*12)+VLOOKUP(BS$4,$DE$6:$DF$17,2)+1))*(VLOOKUP($A11,SatSunCurve,8))*(INDEX(DailyScalarsTable,BS$5/100,MONTH($A11)))*$D11</f>
        <v>-319.13684149182268</v>
      </c>
      <c r="BT11" s="1021">
        <f>(VLOOKUP(YEAR($A11),'NY East Load Projections'!$A$4:$EO$14,((MONTH($A11)-1)*12)+VLOOKUP(BT$4,$DE$6:$DF$17,2)+1))*(VLOOKUP($A11,SatSunCurve,8))*(INDEX(DailyScalarsTable,BT$5/100,MONTH($A11)))*$D11</f>
        <v>-321.59254984671202</v>
      </c>
      <c r="BU11" s="1021">
        <f>(VLOOKUP(YEAR($A11),'NY East Load Projections'!$A$4:$EO$14,((MONTH($A11)-1)*12)+VLOOKUP(BU$4,$DE$6:$DF$17,2)+1))*(VLOOKUP($A11,SatSunCurve,8))*(INDEX(DailyScalarsTable,BU$5/100,MONTH($A11)))*$D11</f>
        <v>-322.11877306561678</v>
      </c>
      <c r="BV11" s="1021">
        <f>(VLOOKUP(YEAR($A11),'NY East Load Projections'!$A$4:$EO$14,((MONTH($A11)-1)*12)+VLOOKUP(BV$4,$DE$6:$DF$17,2)+1))*(VLOOKUP($A11,SatSunCurve,8))*(INDEX(DailyScalarsTable,BV$5/100,MONTH($A11)))*$D11</f>
        <v>-279.12482932225117</v>
      </c>
      <c r="BW11" s="1021">
        <f>(VLOOKUP(YEAR($A11),'NY East Load Projections'!$A$4:$EO$14,((MONTH($A11)-1)*12)+VLOOKUP(BW$4,$DE$6:$DF$17,2)+1))*(VLOOKUP($A11,SatSunCurve,8))*(INDEX(DailyScalarsTable,BW$5/100,MONTH($A11)))*$D11</f>
        <v>-270.83873161329564</v>
      </c>
      <c r="BX11" s="1021">
        <f>(VLOOKUP(YEAR($A11),'NY East Load Projections'!$A$4:$EO$14,((MONTH($A11)-1)*12)+VLOOKUP(BX$4,$DE$6:$DF$17,2)+1))*(VLOOKUP($A11,SatSunCurve,8))*(INDEX(DailyScalarsTable,BX$5/100,MONTH($A11)))*$D11</f>
        <v>-231.26289309723754</v>
      </c>
      <c r="BY11" s="1021">
        <f>(VLOOKUP(YEAR($A11),'NY East Load Projections'!$A$4:$EO$14,((MONTH($A11)-1)*12)+VLOOKUP(BY$4,$DE$6:$DF$17,2)+1))*(VLOOKUP($A11,SatSunCurve,8))*(INDEX(DailyScalarsTable,BY$5/100,MONTH($A11)))*$D11</f>
        <v>-184.92655608939631</v>
      </c>
      <c r="BZ11" s="1021">
        <f>(VLOOKUP(YEAR($A11),'NY East Load Projections'!$A$4:$EO$14,((MONTH($A11)-1)*12)+VLOOKUP(BZ$4,$DE$6:$DF$17,2)+1))*(VLOOKUP($A11,SatSunCurve,8))*(INDEX(DailyScalarsTable,BZ$5/100,MONTH($A11)))*$D11</f>
        <v>-190.02452929797937</v>
      </c>
      <c r="CA11" s="1021">
        <f>(VLOOKUP(YEAR($A11),'NY East Load Projections'!$A$4:$EO$14,((MONTH($A11)-1)*12)+VLOOKUP(CA$4,$DE$6:$DF$17,2)+1))*(VLOOKUP($A11,SatSunCurve,8))*(INDEX(DailyScalarsTable,CA$5/100,MONTH($A11)))*$D11</f>
        <v>-193.6168358208796</v>
      </c>
      <c r="CB11" s="1021">
        <f>(VLOOKUP(YEAR($A11),'NY East Load Projections'!$A$4:$EO$14,((MONTH($A11)-1)*12)+VLOOKUP(CB$4,$DE$6:$DF$17,2)+1))*(VLOOKUP($A11,SatSunCurve,8))*(INDEX(DailyScalarsTable,CB$5/100,MONTH($A11)))*$D11</f>
        <v>-155.26118507243359</v>
      </c>
      <c r="CC11" s="1021">
        <f>(VLOOKUP(YEAR($A11),'NY East Load Projections'!$A$4:$EO$14,((MONTH($A11)-1)*12)+VLOOKUP(CC$4,$DE$6:$DF$17,2)+1))*(VLOOKUP($A11,CURVES!$D$9:$T$261,8))*(INDEX(DailyScalarsTable,CC$5/100,MONTH($A11)))*$D11</f>
        <v>-274.66020865644174</v>
      </c>
      <c r="CE11" s="1021">
        <f>(VLOOKUP(YEAR($A11),'NY East Load Projections'!$A$4:$EO$14,((MONTH($A11)-1)*12)+VLOOKUP(CE$4,$DE$6:$DF$17,2)+1))*(VLOOKUP($A11,CURVES!$D$9:$T$261,8))*(INDEX(DailyScalarsTable,CE$5/100,MONTH($A11)))*$E11</f>
        <v>0</v>
      </c>
      <c r="CF11" s="1021">
        <f>(VLOOKUP(YEAR($A11),'NY East Load Projections'!$A$4:$EO$14,((MONTH($A11)-1)*12)+VLOOKUP(CF$4,$DE$6:$DF$17,2)+1))*(VLOOKUP($A11,CURVES!$D$9:$T$261,8))*(INDEX(DailyScalarsTable,CF$5/100,MONTH($A11)))*$E11</f>
        <v>0</v>
      </c>
      <c r="CG11" s="1021">
        <f>(VLOOKUP(YEAR($A11),'NY East Load Projections'!$A$4:$EO$14,((MONTH($A11)-1)*12)+VLOOKUP(CG$4,$DE$6:$DF$17,2)+1))*(VLOOKUP($A11,CURVES!$D$9:$T$261,8))*(INDEX(DailyScalarsTable,CG$5/100,MONTH($A11)))*$E11</f>
        <v>0</v>
      </c>
      <c r="CH11" s="1021">
        <f>(VLOOKUP(YEAR($A11),'NY East Load Projections'!$A$4:$EO$14,((MONTH($A11)-1)*12)+VLOOKUP(CH$4,$DE$6:$DF$17,2)+1))*(VLOOKUP($A11,CURVES!$D$9:$T$261,8))*(INDEX(DailyScalarsTable,CH$5/100,MONTH($A11)))*$E11</f>
        <v>0</v>
      </c>
      <c r="CI11" s="1021">
        <f>(VLOOKUP(YEAR($A11),'NY East Load Projections'!$A$4:$EO$14,((MONTH($A11)-1)*12)+VLOOKUP(CI$4,$DE$6:$DF$17,2)+1))*(VLOOKUP($A11,CURVES!$D$9:$T$261,8))*(INDEX(DailyScalarsTable,CI$5/100,MONTH($A11)))*$E11</f>
        <v>0</v>
      </c>
      <c r="CJ11" s="1021">
        <f>(VLOOKUP(YEAR($A11),'NY East Load Projections'!$A$4:$EO$14,((MONTH($A11)-1)*12)+VLOOKUP(CJ$4,$DE$6:$DF$17,2)+1))*(VLOOKUP($A11,CURVES!$D$9:$T$261,8))*(INDEX(DailyScalarsTable,CJ$5/100,MONTH($A11)))*$E11</f>
        <v>0</v>
      </c>
      <c r="CK11" s="1021">
        <f>(VLOOKUP(YEAR($A11),'NY East Load Projections'!$A$4:$EO$14,((MONTH($A11)-1)*12)+VLOOKUP(CK$4,$DE$6:$DF$17,2)+1))*(VLOOKUP($A11,CURVES!$D$9:$T$261,8))*(INDEX(DailyScalarsTable,CK$5/100,MONTH($A11)))*$E11</f>
        <v>0</v>
      </c>
      <c r="CL11" s="1021">
        <f>(VLOOKUP(YEAR($A11),'NY East Load Projections'!$A$4:$EO$14,((MONTH($A11)-1)*12)+VLOOKUP(CL$4,$DE$6:$DF$17,2)+1))*(VLOOKUP($A11,SatSunCurve,8))*(INDEX(DailyScalarsTable,CL$5/100,MONTH($A11)))*$E11</f>
        <v>0</v>
      </c>
      <c r="CM11" s="1021">
        <f>(VLOOKUP(YEAR($A11),'NY East Load Projections'!$A$4:$EO$14,((MONTH($A11)-1)*12)+VLOOKUP(CM$4,$DE$6:$DF$17,2)+1))*(VLOOKUP($A11,SatSunCurve,8))*(INDEX(DailyScalarsTable,CM$5/100,MONTH($A11)))*$E11</f>
        <v>0</v>
      </c>
      <c r="CN11" s="1021">
        <f>(VLOOKUP(YEAR($A11),'NY East Load Projections'!$A$4:$EO$14,((MONTH($A11)-1)*12)+VLOOKUP(CN$4,$DE$6:$DF$17,2)+1))*(VLOOKUP($A11,SatSunCurve,8))*(INDEX(DailyScalarsTable,CN$5/100,MONTH($A11)))*$E11</f>
        <v>0</v>
      </c>
      <c r="CO11" s="1021">
        <f>(VLOOKUP(YEAR($A11),'NY East Load Projections'!$A$4:$EO$14,((MONTH($A11)-1)*12)+VLOOKUP(CO$4,$DE$6:$DF$17,2)+1))*(VLOOKUP($A11,SatSunCurve,8))*(INDEX(DailyScalarsTable,CO$5/100,MONTH($A11)))*$E11</f>
        <v>0</v>
      </c>
      <c r="CP11" s="1021">
        <f>(VLOOKUP(YEAR($A11),'NY East Load Projections'!$A$4:$EO$14,((MONTH($A11)-1)*12)+VLOOKUP(CP$4,$DE$6:$DF$17,2)+1))*(VLOOKUP($A11,SatSunCurve,8))*(INDEX(DailyScalarsTable,CP$5/100,MONTH($A11)))*$E11</f>
        <v>0</v>
      </c>
      <c r="CQ11" s="1021">
        <f>(VLOOKUP(YEAR($A11),'NY East Load Projections'!$A$4:$EO$14,((MONTH($A11)-1)*12)+VLOOKUP(CQ$4,$DE$6:$DF$17,2)+1))*(VLOOKUP($A11,SatSunCurve,8))*(INDEX(DailyScalarsTable,CQ$5/100,MONTH($A11)))*$E11</f>
        <v>0</v>
      </c>
      <c r="CR11" s="1021">
        <f>(VLOOKUP(YEAR($A11),'NY East Load Projections'!$A$4:$EO$14,((MONTH($A11)-1)*12)+VLOOKUP(CR$4,$DE$6:$DF$17,2)+1))*(VLOOKUP($A11,SatSunCurve,8))*(INDEX(DailyScalarsTable,CR$5/100,MONTH($A11)))*$E11</f>
        <v>0</v>
      </c>
      <c r="CS11" s="1021">
        <f>(VLOOKUP(YEAR($A11),'NY East Load Projections'!$A$4:$EO$14,((MONTH($A11)-1)*12)+VLOOKUP(CS$4,$DE$6:$DF$17,2)+1))*(VLOOKUP($A11,SatSunCurve,8))*(INDEX(DailyScalarsTable,CS$5/100,MONTH($A11)))*$E11</f>
        <v>0</v>
      </c>
      <c r="CT11" s="1021">
        <f>(VLOOKUP(YEAR($A11),'NY East Load Projections'!$A$4:$EO$14,((MONTH($A11)-1)*12)+VLOOKUP(CT$4,$DE$6:$DF$17,2)+1))*(VLOOKUP($A11,SatSunCurve,8))*(INDEX(DailyScalarsTable,CT$5/100,MONTH($A11)))*$E11</f>
        <v>0</v>
      </c>
      <c r="CU11" s="1021">
        <f>(VLOOKUP(YEAR($A11),'NY East Load Projections'!$A$4:$EO$14,((MONTH($A11)-1)*12)+VLOOKUP(CU$4,$DE$6:$DF$17,2)+1))*(VLOOKUP($A11,SatSunCurve,8))*(INDEX(DailyScalarsTable,CU$5/100,MONTH($A11)))*$E11</f>
        <v>0</v>
      </c>
      <c r="CV11" s="1021">
        <f>(VLOOKUP(YEAR($A11),'NY East Load Projections'!$A$4:$EO$14,((MONTH($A11)-1)*12)+VLOOKUP(CV$4,$DE$6:$DF$17,2)+1))*(VLOOKUP($A11,SatSunCurve,8))*(INDEX(DailyScalarsTable,CV$5/100,MONTH($A11)))*$E11</f>
        <v>0</v>
      </c>
      <c r="CW11" s="1021">
        <f>(VLOOKUP(YEAR($A11),'NY East Load Projections'!$A$4:$EO$14,((MONTH($A11)-1)*12)+VLOOKUP(CW$4,$DE$6:$DF$17,2)+1))*(VLOOKUP($A11,SatSunCurve,8))*(INDEX(DailyScalarsTable,CW$5/100,MONTH($A11)))*$E11</f>
        <v>0</v>
      </c>
      <c r="CX11" s="1021">
        <f>(VLOOKUP(YEAR($A11),'NY East Load Projections'!$A$4:$EO$14,((MONTH($A11)-1)*12)+VLOOKUP(CX$4,$DE$6:$DF$17,2)+1))*(VLOOKUP($A11,SatSunCurve,8))*(INDEX(DailyScalarsTable,CX$5/100,MONTH($A11)))*$E11</f>
        <v>0</v>
      </c>
      <c r="CY11" s="1021">
        <f>(VLOOKUP(YEAR($A11),'NY East Load Projections'!$A$4:$EO$14,((MONTH($A11)-1)*12)+VLOOKUP(CY$4,$DE$6:$DF$17,2)+1))*(VLOOKUP($A11,SatSunCurve,8))*(INDEX(DailyScalarsTable,CY$5/100,MONTH($A11)))*$E11</f>
        <v>0</v>
      </c>
      <c r="CZ11" s="1021">
        <f>(VLOOKUP(YEAR($A11),'NY East Load Projections'!$A$4:$EO$14,((MONTH($A11)-1)*12)+VLOOKUP(CZ$4,$DE$6:$DF$17,2)+1))*(VLOOKUP($A11,SatSunCurve,8))*(INDEX(DailyScalarsTable,CZ$5/100,MONTH($A11)))*$E11</f>
        <v>0</v>
      </c>
      <c r="DA11" s="1021">
        <f>(VLOOKUP(YEAR($A11),'NY East Load Projections'!$A$4:$EO$14,((MONTH($A11)-1)*12)+VLOOKUP(DA$4,$DE$6:$DF$17,2)+1))*(VLOOKUP($A11,SatSunCurve,8))*(INDEX(DailyScalarsTable,DA$5/100,MONTH($A11)))*$E11</f>
        <v>0</v>
      </c>
      <c r="DB11" s="1021">
        <f>(VLOOKUP(YEAR($A11),'NY East Load Projections'!$A$4:$EO$14,((MONTH($A11)-1)*12)+VLOOKUP(DB$4,$DE$6:$DF$17,2)+1))*(VLOOKUP($A11,CURVES!$D$9:$T$261,8))*(INDEX(DailyScalarsTable,DB$5/100,MONTH($A11)))*$E11</f>
        <v>0</v>
      </c>
      <c r="DE11" s="221" t="s">
        <v>563</v>
      </c>
      <c r="DF11" s="619">
        <v>6</v>
      </c>
      <c r="DH11" s="1021">
        <f t="shared" si="0"/>
        <v>-75189.845092491101</v>
      </c>
      <c r="DI11">
        <f ca="1">CALC!J31</f>
        <v>0.91115483222267024</v>
      </c>
      <c r="DJ11" s="1029">
        <f t="shared" ca="1" si="1"/>
        <v>-68509.590690097291</v>
      </c>
    </row>
    <row r="12" spans="1:114" x14ac:dyDescent="0.25">
      <c r="A12" s="244">
        <v>37073</v>
      </c>
      <c r="B12" s="13">
        <v>21</v>
      </c>
      <c r="C12" s="210">
        <v>4</v>
      </c>
      <c r="D12" s="210">
        <v>5</v>
      </c>
      <c r="E12" s="210">
        <v>1</v>
      </c>
      <c r="F12" s="13">
        <v>31</v>
      </c>
      <c r="H12" s="1021">
        <f>(VLOOKUP(YEAR($A12),'NY East Load Projections'!$A$4:$EO$14,((MONTH($A12)-1)*12)+VLOOKUP(H$4,$DE$6:$DF$17,2)+1))*(VLOOKUP($A12,CURVES!$D$9:$K$261,8))*(INDEX(DailyScalarsTable,H$5/100,MONTH($A12)))*$B12</f>
        <v>-53308.355079752007</v>
      </c>
      <c r="I12" s="1021">
        <f>(VLOOKUP(YEAR($A12),'NY East Load Projections'!$A$4:$EO$14,((MONTH($A12)-1)*12)+VLOOKUP(I$4,$DE$6:$DF$17,2)+1))*(VLOOKUP($A12,CURVES!$D$9:$K$261,8))*(INDEX(DailyScalarsTable,I$5/100,MONTH($A12)))*$B12</f>
        <v>-48693.632978872694</v>
      </c>
      <c r="J12" s="1021">
        <f>(VLOOKUP(YEAR($A12),'NY East Load Projections'!$A$4:$EO$14,((MONTH($A12)-1)*12)+VLOOKUP(J$4,$DE$6:$DF$17,2)+1))*(VLOOKUP($A12,CURVES!$D$9:$K$261,8))*(INDEX(DailyScalarsTable,J$5/100,MONTH($A12)))*$B12</f>
        <v>-46396.665446678286</v>
      </c>
      <c r="K12" s="1021">
        <f>(VLOOKUP(YEAR($A12),'NY East Load Projections'!$A$4:$EO$14,((MONTH($A12)-1)*12)+VLOOKUP(K$4,$DE$6:$DF$17,2)+1))*(VLOOKUP($A12,CURVES!$D$9:$K$261,8))*(INDEX(DailyScalarsTable,K$5/100,MONTH($A12)))*$B12</f>
        <v>-41781.94334579898</v>
      </c>
      <c r="L12" s="1021">
        <f>(VLOOKUP(YEAR($A12),'NY East Load Projections'!$A$4:$EO$14,((MONTH($A12)-1)*12)+VLOOKUP(L$4,$DE$6:$DF$17,2)+1))*(VLOOKUP($A12,CURVES!$D$9:$K$261,8))*(INDEX(DailyScalarsTable,L$5/100,MONTH($A12)))*$B12</f>
        <v>-41032.296086520859</v>
      </c>
      <c r="M12" s="1021">
        <f>(VLOOKUP(YEAR($A12),'NY East Load Projections'!$A$4:$EO$14,((MONTH($A12)-1)*12)+VLOOKUP(M$4,$DE$6:$DF$17,2)+1))*(VLOOKUP($A12,CURVES!$D$9:$K$261,8))*(INDEX(DailyScalarsTable,M$5/100,MONTH($A12)))*$B12</f>
        <v>-45236.601057650216</v>
      </c>
      <c r="N12" s="1021">
        <f>(VLOOKUP(YEAR($A12),'NY East Load Projections'!$A$4:$EO$14,((MONTH($A12)-1)*12)+VLOOKUP(N$4,$DE$6:$DF$17,2)+1))*(VLOOKUP($A12,CURVES!$D$9:$K$261,8))*(INDEX(DailyScalarsTable,N$5/100,MONTH($A12)))*$B12</f>
        <v>-50236.605690834753</v>
      </c>
      <c r="O12" s="1021">
        <f>(VLOOKUP(YEAR($A12),'NY East Load Projections'!$A$4:$EO$14,((MONTH($A12)-1)*12)+VLOOKUP(O$4,$DE$6:$DF$17,2)+1))*(VLOOKUP($A12,CURVES!$D$9:$K$261,4))*(INDEX(DailyScalarsTable,O$5/100,MONTH($A12)))*$B12</f>
        <v>-88169.730845064652</v>
      </c>
      <c r="P12" s="1021">
        <f>(VLOOKUP(YEAR($A12),'NY East Load Projections'!$A$4:$EO$14,((MONTH($A12)-1)*12)+VLOOKUP(P$4,$DE$6:$DF$17,2)+1))*(VLOOKUP($A12,CURVES!$D$9:$K$261,4))*(INDEX(DailyScalarsTable,P$5/100,MONTH($A12)))*$B12</f>
        <v>-103344.57900667167</v>
      </c>
      <c r="Q12" s="1021">
        <f>(VLOOKUP(YEAR($A12),'NY East Load Projections'!$A$4:$EO$14,((MONTH($A12)-1)*12)+VLOOKUP(Q$4,$DE$6:$DF$17,2)+1))*(VLOOKUP($A12,CURVES!$D$9:$K$261,4))*(INDEX(DailyScalarsTable,Q$5/100,MONTH($A12)))*$B12</f>
        <v>-123731.79116423341</v>
      </c>
      <c r="R12" s="1021">
        <f>(VLOOKUP(YEAR($A12),'NY East Load Projections'!$A$4:$EO$14,((MONTH($A12)-1)*12)+VLOOKUP(R$4,$DE$6:$DF$17,2)+1))*(VLOOKUP($A12,CURVES!$D$9:$K$261,4))*(INDEX(DailyScalarsTable,R$5/100,MONTH($A12)))*$B12</f>
        <v>-140793.73866076837</v>
      </c>
      <c r="S12" s="1021">
        <f>(VLOOKUP(YEAR($A12),'NY East Load Projections'!$A$4:$EO$14,((MONTH($A12)-1)*12)+VLOOKUP(S$4,$DE$6:$DF$17,2)+1))*(VLOOKUP($A12,CURVES!$D$9:$K$261,4))*(INDEX(DailyScalarsTable,S$5/100,MONTH($A12)))*$B12</f>
        <v>-168325.18755730483</v>
      </c>
      <c r="T12" s="1021">
        <f>(VLOOKUP(YEAR($A12),'NY East Load Projections'!$A$4:$EO$14,((MONTH($A12)-1)*12)+VLOOKUP(T$4,$DE$6:$DF$17,2)+1))*(VLOOKUP($A12,CURVES!$D$9:$K$261,4))*(INDEX(DailyScalarsTable,T$5/100,MONTH($A12)))*$B12</f>
        <v>-186202.05187262577</v>
      </c>
      <c r="U12" s="1021">
        <f>(VLOOKUP(YEAR($A12),'NY East Load Projections'!$A$4:$EO$14,((MONTH($A12)-1)*12)+VLOOKUP(U$4,$DE$6:$DF$17,2)+1))*(VLOOKUP($A12,CURVES!$D$9:$K$261,4))*(INDEX(DailyScalarsTable,U$5/100,MONTH($A12)))*$B12</f>
        <v>-192469.02763227111</v>
      </c>
      <c r="V12" s="1021">
        <f>(VLOOKUP(YEAR($A12),'NY East Load Projections'!$A$4:$EO$14,((MONTH($A12)-1)*12)+VLOOKUP(V$4,$DE$6:$DF$17,2)+1))*(VLOOKUP($A12,CURVES!$D$9:$K$261,4))*(INDEX(DailyScalarsTable,V$5/100,MONTH($A12)))*$B12</f>
        <v>-200484.92685972442</v>
      </c>
      <c r="W12" s="1021">
        <f>(VLOOKUP(YEAR($A12),'NY East Load Projections'!$A$4:$EO$14,((MONTH($A12)-1)*12)+VLOOKUP(W$4,$DE$6:$DF$17,2)+1))*(VLOOKUP($A12,CURVES!$D$9:$K$261,4))*(INDEX(DailyScalarsTable,W$5/100,MONTH($A12)))*$B12</f>
        <v>-212771.11422107575</v>
      </c>
      <c r="X12" s="1021">
        <f>(VLOOKUP(YEAR($A12),'NY East Load Projections'!$A$4:$EO$14,((MONTH($A12)-1)*12)+VLOOKUP(X$4,$DE$6:$DF$17,2)+1))*(VLOOKUP($A12,CURVES!$D$9:$K$261,4))*(INDEX(DailyScalarsTable,X$5/100,MONTH($A12)))*$B12</f>
        <v>-211117.88109206484</v>
      </c>
      <c r="Y12" s="1021">
        <f>(VLOOKUP(YEAR($A12),'NY East Load Projections'!$A$4:$EO$14,((MONTH($A12)-1)*12)+VLOOKUP(Y$4,$DE$6:$DF$17,2)+1))*(VLOOKUP($A12,CURVES!$D$9:$K$261,4))*(INDEX(DailyScalarsTable,Y$5/100,MONTH($A12)))*$B12</f>
        <v>-205886.36553750356</v>
      </c>
      <c r="Z12" s="1021">
        <f>(VLOOKUP(YEAR($A12),'NY East Load Projections'!$A$4:$EO$14,((MONTH($A12)-1)*12)+VLOOKUP(Z$4,$DE$6:$DF$17,2)+1))*(VLOOKUP($A12,CURVES!$D$9:$K$261,4))*(INDEX(DailyScalarsTable,Z$5/100,MONTH($A12)))*$B12</f>
        <v>-171959.4909519612</v>
      </c>
      <c r="AA12" s="1021">
        <f>(VLOOKUP(YEAR($A12),'NY East Load Projections'!$A$4:$EO$14,((MONTH($A12)-1)*12)+VLOOKUP(AA$4,$DE$6:$DF$17,2)+1))*(VLOOKUP($A12,CURVES!$D$9:$K$261,4))*(INDEX(DailyScalarsTable,AA$5/100,MONTH($A12)))*$B12</f>
        <v>-127243.50163194427</v>
      </c>
      <c r="AB12" s="1021">
        <f>(VLOOKUP(YEAR($A12),'NY East Load Projections'!$A$4:$EO$14,((MONTH($A12)-1)*12)+VLOOKUP(AB$4,$DE$6:$DF$17,2)+1))*(VLOOKUP($A12,CURVES!$D$9:$K$261,4))*(INDEX(DailyScalarsTable,AB$5/100,MONTH($A12)))*$B12</f>
        <v>-134985.39716166386</v>
      </c>
      <c r="AC12" s="1021">
        <f>(VLOOKUP(YEAR($A12),'NY East Load Projections'!$A$4:$EO$14,((MONTH($A12)-1)*12)+VLOOKUP(AC$4,$DE$6:$DF$17,2)+1))*(VLOOKUP($A12,CURVES!$D$9:$K$261,4))*(INDEX(DailyScalarsTable,AC$5/100,MONTH($A12)))*$B12</f>
        <v>-143035.29694203107</v>
      </c>
      <c r="AD12" s="1021">
        <f>(VLOOKUP(YEAR($A12),'NY East Load Projections'!$A$4:$EO$14,((MONTH($A12)-1)*12)+VLOOKUP(AD$4,$DE$6:$DF$17,2)+1))*(VLOOKUP($A12,CURVES!$D$9:$K$261,4))*(INDEX(DailyScalarsTable,AD$5/100,MONTH($A12)))*$B12</f>
        <v>-99331.95590469976</v>
      </c>
      <c r="AE12" s="1021">
        <f>(VLOOKUP(YEAR($A12),'NY East Load Projections'!$A$4:$EO$14,((MONTH($A12)-1)*12)+VLOOKUP(AE$4,$DE$6:$DF$17,2)+1))*(VLOOKUP($A12,CURVES!$D$9:$K$261,8))*(INDEX(DailyScalarsTable,AE$5/100,MONTH($A12)))*$B12</f>
        <v>-62050.359929646955</v>
      </c>
      <c r="AF12" s="1021"/>
      <c r="AG12" s="1021">
        <f>(VLOOKUP(YEAR($A12),'NY East Load Projections'!$A$4:$EO$14,((MONTH($A12)-1)*12)+VLOOKUP(AG$4,$DE$6:$DF$17,2)+1))*(VLOOKUP($A12,CURVES!$D$9:$T$261,8))*(INDEX(DailyScalarsTable,AG$5/100,MONTH($A12)))*$C12</f>
        <v>-9817.7359377458379</v>
      </c>
      <c r="AH12" s="1021">
        <f>(VLOOKUP(YEAR($A12),'NY East Load Projections'!$A$4:$EO$14,((MONTH($A12)-1)*12)+VLOOKUP(AH$4,$DE$6:$DF$17,2)+1))*(VLOOKUP($A12,CURVES!$D$9:$T$261,8))*(INDEX(DailyScalarsTable,AH$5/100,MONTH($A12)))*$C12</f>
        <v>-8967.8480928717563</v>
      </c>
      <c r="AI12" s="1021">
        <f>(VLOOKUP(YEAR($A12),'NY East Load Projections'!$A$4:$EO$14,((MONTH($A12)-1)*12)+VLOOKUP(AI$4,$DE$6:$DF$17,2)+1))*(VLOOKUP($A12,CURVES!$D$9:$T$261,8))*(INDEX(DailyScalarsTable,AI$5/100,MONTH($A12)))*$C12</f>
        <v>-8544.8183322474979</v>
      </c>
      <c r="AJ12" s="1021">
        <f>(VLOOKUP(YEAR($A12),'NY East Load Projections'!$A$4:$EO$14,((MONTH($A12)-1)*12)+VLOOKUP(AJ$4,$DE$6:$DF$17,2)+1))*(VLOOKUP($A12,CURVES!$D$9:$T$261,8))*(INDEX(DailyScalarsTable,AJ$5/100,MONTH($A12)))*$C12</f>
        <v>-7694.9304873734163</v>
      </c>
      <c r="AK12" s="1021">
        <f>(VLOOKUP(YEAR($A12),'NY East Load Projections'!$A$4:$EO$14,((MONTH($A12)-1)*12)+VLOOKUP(AK$4,$DE$6:$DF$17,2)+1))*(VLOOKUP($A12,CURVES!$D$9:$T$261,8))*(INDEX(DailyScalarsTable,AK$5/100,MONTH($A12)))*$C12</f>
        <v>-7415.4768886737947</v>
      </c>
      <c r="AL12" s="1021">
        <f>(VLOOKUP(YEAR($A12),'NY East Load Projections'!$A$4:$EO$14,((MONTH($A12)-1)*12)+VLOOKUP(AL$4,$DE$6:$DF$17,2)+1))*(VLOOKUP($A12,CURVES!$D$9:$T$261,8))*(INDEX(DailyScalarsTable,AL$5/100,MONTH($A12)))*$C12</f>
        <v>-8175.2912134828739</v>
      </c>
      <c r="AM12" s="1021">
        <f>(VLOOKUP(YEAR($A12),'NY East Load Projections'!$A$4:$EO$14,((MONTH($A12)-1)*12)+VLOOKUP(AM$4,$DE$6:$DF$17,2)+1))*(VLOOKUP($A12,CURVES!$D$9:$T$261,8))*(INDEX(DailyScalarsTable,AM$5/100,MONTH($A12)))*$C12</f>
        <v>-9078.9067148542872</v>
      </c>
      <c r="AN12" s="1021">
        <f>(VLOOKUP(YEAR($A12),'NY East Load Projections'!$A$4:$EO$14,((MONTH($A12)-1)*12)+VLOOKUP(AN$4,$DE$6:$DF$17,2)+1))*(VLOOKUP($A12,SatSunCurve,4))*(INDEX(DailyScalarsTable,AN$5/100,MONTH($A12)))*$C12</f>
        <v>-8786.5874905057717</v>
      </c>
      <c r="AO12" s="1021">
        <f>(VLOOKUP(YEAR($A12),'NY East Load Projections'!$A$4:$EO$14,((MONTH($A12)-1)*12)+VLOOKUP(AO$4,$DE$6:$DF$17,2)+1))*(VLOOKUP($A12,SatSunCurve,4))*(INDEX(DailyScalarsTable,AO$5/100,MONTH($A12)))*$C12</f>
        <v>-10366.53552879945</v>
      </c>
      <c r="AP12" s="1021">
        <f>(VLOOKUP(YEAR($A12),'NY East Load Projections'!$A$4:$EO$14,((MONTH($A12)-1)*12)+VLOOKUP(AP$4,$DE$6:$DF$17,2)+1))*(VLOOKUP($A12,SatSunCurve,4))*(INDEX(DailyScalarsTable,AP$5/100,MONTH($A12)))*$C12</f>
        <v>-12411.584830813561</v>
      </c>
      <c r="AQ12" s="1021">
        <f>(VLOOKUP(YEAR($A12),'NY East Load Projections'!$A$4:$EO$14,((MONTH($A12)-1)*12)+VLOOKUP(AQ$4,$DE$6:$DF$17,2)+1))*(VLOOKUP($A12,SatSunCurve,4))*(INDEX(DailyScalarsTable,AQ$5/100,MONTH($A12)))*$C12</f>
        <v>-14123.075521601722</v>
      </c>
      <c r="AR12" s="1021">
        <f>(VLOOKUP(YEAR($A12),'NY East Load Projections'!$A$4:$EO$14,((MONTH($A12)-1)*12)+VLOOKUP(AR$4,$DE$6:$DF$17,2)+1))*(VLOOKUP($A12,SatSunCurve,4))*(INDEX(DailyScalarsTable,AR$5/100,MONTH($A12)))*$C12</f>
        <v>-16884.766032013948</v>
      </c>
      <c r="AS12" s="1021">
        <f>(VLOOKUP(YEAR($A12),'NY East Load Projections'!$A$4:$EO$14,((MONTH($A12)-1)*12)+VLOOKUP(AS$4,$DE$6:$DF$17,2)+1))*(VLOOKUP($A12,SatSunCurve,4))*(INDEX(DailyScalarsTable,AS$5/100,MONTH($A12)))*$C12</f>
        <v>-18815.091058423142</v>
      </c>
      <c r="AT12" s="1021">
        <f>(VLOOKUP(YEAR($A12),'NY East Load Projections'!$A$4:$EO$14,((MONTH($A12)-1)*12)+VLOOKUP(AT$4,$DE$6:$DF$17,2)+1))*(VLOOKUP($A12,SatSunCurve,4))*(INDEX(DailyScalarsTable,AT$5/100,MONTH($A12)))*$C12</f>
        <v>-19448.34788020789</v>
      </c>
      <c r="AU12" s="1021">
        <f>(VLOOKUP(YEAR($A12),'NY East Load Projections'!$A$4:$EO$14,((MONTH($A12)-1)*12)+VLOOKUP(AU$4,$DE$6:$DF$17,2)+1))*(VLOOKUP($A12,SatSunCurve,4))*(INDEX(DailyScalarsTable,AU$5/100,MONTH($A12)))*$C12</f>
        <v>-20258.327535979075</v>
      </c>
      <c r="AV12" s="1021">
        <f>(VLOOKUP(YEAR($A12),'NY East Load Projections'!$A$4:$EO$14,((MONTH($A12)-1)*12)+VLOOKUP(AV$4,$DE$6:$DF$17,2)+1))*(VLOOKUP($A12,SatSunCurve,4))*(INDEX(DailyScalarsTable,AV$5/100,MONTH($A12)))*$C12</f>
        <v>-21499.805444733833</v>
      </c>
      <c r="AW12" s="1021">
        <f>(VLOOKUP(YEAR($A12),'NY East Load Projections'!$A$4:$EO$14,((MONTH($A12)-1)*12)+VLOOKUP(AW$4,$DE$6:$DF$17,2)+1))*(VLOOKUP($A12,SatSunCurve,4))*(INDEX(DailyScalarsTable,AW$5/100,MONTH($A12)))*$C12</f>
        <v>-21312.473153190873</v>
      </c>
      <c r="AX12" s="1021">
        <f>(VLOOKUP(YEAR($A12),'NY East Load Projections'!$A$4:$EO$14,((MONTH($A12)-1)*12)+VLOOKUP(AX$4,$DE$6:$DF$17,2)+1))*(VLOOKUP($A12,SatSunCurve,4))*(INDEX(DailyScalarsTable,AX$5/100,MONTH($A12)))*$C12</f>
        <v>-20784.348608598335</v>
      </c>
      <c r="AY12" s="1021">
        <f>(VLOOKUP(YEAR($A12),'NY East Load Projections'!$A$4:$EO$14,((MONTH($A12)-1)*12)+VLOOKUP(AY$4,$DE$6:$DF$17,2)+1))*(VLOOKUP($A12,SatSunCurve,4))*(INDEX(DailyScalarsTable,AY$5/100,MONTH($A12)))*$C12</f>
        <v>-17359.410843801765</v>
      </c>
      <c r="AZ12" s="1021">
        <f>(VLOOKUP(YEAR($A12),'NY East Load Projections'!$A$4:$EO$14,((MONTH($A12)-1)*12)+VLOOKUP(AZ$4,$DE$6:$DF$17,2)+1))*(VLOOKUP($A12,SatSunCurve,4))*(INDEX(DailyScalarsTable,AZ$5/100,MONTH($A12)))*$C12</f>
        <v>-12845.305657772351</v>
      </c>
      <c r="BA12" s="1021">
        <f>(VLOOKUP(YEAR($A12),'NY East Load Projections'!$A$4:$EO$14,((MONTH($A12)-1)*12)+VLOOKUP(BA$4,$DE$6:$DF$17,2)+1))*(VLOOKUP($A12,SatSunCurve,4))*(INDEX(DailyScalarsTable,BA$5/100,MONTH($A12)))*$C12</f>
        <v>-13756.084076885367</v>
      </c>
      <c r="BB12" s="1021">
        <f>(VLOOKUP(YEAR($A12),'NY East Load Projections'!$A$4:$EO$14,((MONTH($A12)-1)*12)+VLOOKUP(BB$4,$DE$6:$DF$17,2)+1))*(VLOOKUP($A12,SatSunCurve,4))*(INDEX(DailyScalarsTable,BB$5/100,MONTH($A12)))*$C12</f>
        <v>-14576.432799915101</v>
      </c>
      <c r="BC12" s="1021">
        <f>(VLOOKUP(YEAR($A12),'NY East Load Projections'!$A$4:$EO$14,((MONTH($A12)-1)*12)+VLOOKUP(BC$4,$DE$6:$DF$17,2)+1))*(VLOOKUP($A12,SatSunCurve,4))*(INDEX(DailyScalarsTable,BC$5/100,MONTH($A12)))*$C12</f>
        <v>-10122.715239412471</v>
      </c>
      <c r="BD12" s="1021">
        <f>(VLOOKUP(YEAR($A12),'NY East Load Projections'!$A$4:$EO$14,((MONTH($A12)-1)*12)+VLOOKUP(BD$4,$DE$6:$DF$17,2)+1))*(VLOOKUP($A12,CURVES!$D$9:$T$261,8))*(INDEX(DailyScalarsTable,BD$5/100,MONTH($A12)))*$C12</f>
        <v>-11467.397869593551</v>
      </c>
      <c r="BE12" s="1021"/>
      <c r="BF12" s="1021">
        <f>(VLOOKUP(YEAR($A12),'NY East Load Projections'!$A$4:$EO$14,((MONTH($A12)-1)*12)+VLOOKUP(BF$4,$DE$6:$DF$17,2)+1))*(VLOOKUP($A12,CURVES!$D$9:$T$261,8))*(INDEX(DailyScalarsTable,BF$5/100,MONTH($A12)))*$D12</f>
        <v>-12272.169922182296</v>
      </c>
      <c r="BG12" s="1021">
        <f>(VLOOKUP(YEAR($A12),'NY East Load Projections'!$A$4:$EO$14,((MONTH($A12)-1)*12)+VLOOKUP(BG$4,$DE$6:$DF$17,2)+1))*(VLOOKUP($A12,CURVES!$D$9:$T$261,8))*(INDEX(DailyScalarsTable,BG$5/100,MONTH($A12)))*$D12</f>
        <v>-11209.810116089695</v>
      </c>
      <c r="BH12" s="1021">
        <f>(VLOOKUP(YEAR($A12),'NY East Load Projections'!$A$4:$EO$14,((MONTH($A12)-1)*12)+VLOOKUP(BH$4,$DE$6:$DF$17,2)+1))*(VLOOKUP($A12,CURVES!$D$9:$T$261,8))*(INDEX(DailyScalarsTable,BH$5/100,MONTH($A12)))*$D12</f>
        <v>-10681.022915309371</v>
      </c>
      <c r="BI12" s="1021">
        <f>(VLOOKUP(YEAR($A12),'NY East Load Projections'!$A$4:$EO$14,((MONTH($A12)-1)*12)+VLOOKUP(BI$4,$DE$6:$DF$17,2)+1))*(VLOOKUP($A12,CURVES!$D$9:$T$261,8))*(INDEX(DailyScalarsTable,BI$5/100,MONTH($A12)))*$D12</f>
        <v>-9618.66310921677</v>
      </c>
      <c r="BJ12" s="1021">
        <f>(VLOOKUP(YEAR($A12),'NY East Load Projections'!$A$4:$EO$14,((MONTH($A12)-1)*12)+VLOOKUP(BJ$4,$DE$6:$DF$17,2)+1))*(VLOOKUP($A12,CURVES!$D$9:$T$261,8))*(INDEX(DailyScalarsTable,BJ$5/100,MONTH($A12)))*$D12</f>
        <v>-9269.3461108422434</v>
      </c>
      <c r="BK12" s="1021">
        <f>(VLOOKUP(YEAR($A12),'NY East Load Projections'!$A$4:$EO$14,((MONTH($A12)-1)*12)+VLOOKUP(BK$4,$DE$6:$DF$17,2)+1))*(VLOOKUP($A12,CURVES!$D$9:$T$261,8))*(INDEX(DailyScalarsTable,BK$5/100,MONTH($A12)))*$D12</f>
        <v>-10219.114016853593</v>
      </c>
      <c r="BL12" s="1021">
        <f>(VLOOKUP(YEAR($A12),'NY East Load Projections'!$A$4:$EO$14,((MONTH($A12)-1)*12)+VLOOKUP(BL$4,$DE$6:$DF$17,2)+1))*(VLOOKUP($A12,CURVES!$D$9:$T$261,8))*(INDEX(DailyScalarsTable,BL$5/100,MONTH($A12)))*$D12</f>
        <v>-11348.633393567859</v>
      </c>
      <c r="BM12" s="1021">
        <f>(VLOOKUP(YEAR($A12),'NY East Load Projections'!$A$4:$EO$14,((MONTH($A12)-1)*12)+VLOOKUP(BM$4,$DE$6:$DF$17,2)+1))*(VLOOKUP($A12,SatSunCurve,8))*(INDEX(DailyScalarsTable,BM$5/100,MONTH($A12)))*$D12</f>
        <v>-8362.3113782778819</v>
      </c>
      <c r="BN12" s="1021">
        <f>(VLOOKUP(YEAR($A12),'NY East Load Projections'!$A$4:$EO$14,((MONTH($A12)-1)*12)+VLOOKUP(BN$4,$DE$6:$DF$17,2)+1))*(VLOOKUP($A12,SatSunCurve,8))*(INDEX(DailyScalarsTable,BN$5/100,MONTH($A12)))*$D12</f>
        <v>-9865.9687961306172</v>
      </c>
      <c r="BO12" s="1021">
        <f>(VLOOKUP(YEAR($A12),'NY East Load Projections'!$A$4:$EO$14,((MONTH($A12)-1)*12)+VLOOKUP(BO$4,$DE$6:$DF$17,2)+1))*(VLOOKUP($A12,SatSunCurve,8))*(INDEX(DailyScalarsTable,BO$5/100,MONTH($A12)))*$D12</f>
        <v>-11812.269230269634</v>
      </c>
      <c r="BP12" s="1021">
        <f>(VLOOKUP(YEAR($A12),'NY East Load Projections'!$A$4:$EO$14,((MONTH($A12)-1)*12)+VLOOKUP(BP$4,$DE$6:$DF$17,2)+1))*(VLOOKUP($A12,SatSunCurve,8))*(INDEX(DailyScalarsTable,BP$5/100,MONTH($A12)))*$D12</f>
        <v>-13441.117528071163</v>
      </c>
      <c r="BQ12" s="1021">
        <f>(VLOOKUP(YEAR($A12),'NY East Load Projections'!$A$4:$EO$14,((MONTH($A12)-1)*12)+VLOOKUP(BQ$4,$DE$6:$DF$17,2)+1))*(VLOOKUP($A12,SatSunCurve,8))*(INDEX(DailyScalarsTable,BQ$5/100,MONTH($A12)))*$D12</f>
        <v>-16069.454866481123</v>
      </c>
      <c r="BR12" s="1021">
        <f>(VLOOKUP(YEAR($A12),'NY East Load Projections'!$A$4:$EO$14,((MONTH($A12)-1)*12)+VLOOKUP(BR$4,$DE$6:$DF$17,2)+1))*(VLOOKUP($A12,SatSunCurve,8))*(INDEX(DailyScalarsTable,BR$5/100,MONTH($A12)))*$D12</f>
        <v>-17906.570692114015</v>
      </c>
      <c r="BS12" s="1021">
        <f>(VLOOKUP(YEAR($A12),'NY East Load Projections'!$A$4:$EO$14,((MONTH($A12)-1)*12)+VLOOKUP(BS$4,$DE$6:$DF$17,2)+1))*(VLOOKUP($A12,SatSunCurve,8))*(INDEX(DailyScalarsTable,BS$5/100,MONTH($A12)))*$D12</f>
        <v>-18509.24957420614</v>
      </c>
      <c r="BT12" s="1021">
        <f>(VLOOKUP(YEAR($A12),'NY East Load Projections'!$A$4:$EO$14,((MONTH($A12)-1)*12)+VLOOKUP(BT$4,$DE$6:$DF$17,2)+1))*(VLOOKUP($A12,SatSunCurve,8))*(INDEX(DailyScalarsTable,BT$5/100,MONTH($A12)))*$D12</f>
        <v>-19280.117911765836</v>
      </c>
      <c r="BU12" s="1021">
        <f>(VLOOKUP(YEAR($A12),'NY East Load Projections'!$A$4:$EO$14,((MONTH($A12)-1)*12)+VLOOKUP(BU$4,$DE$6:$DF$17,2)+1))*(VLOOKUP($A12,SatSunCurve,8))*(INDEX(DailyScalarsTable,BU$5/100,MONTH($A12)))*$D12</f>
        <v>-20461.648836425524</v>
      </c>
      <c r="BV12" s="1021">
        <f>(VLOOKUP(YEAR($A12),'NY East Load Projections'!$A$4:$EO$14,((MONTH($A12)-1)*12)+VLOOKUP(BV$4,$DE$6:$DF$17,2)+1))*(VLOOKUP($A12,SatSunCurve,8))*(INDEX(DailyScalarsTable,BV$5/100,MONTH($A12)))*$D12</f>
        <v>-20283.362220059244</v>
      </c>
      <c r="BW12" s="1021">
        <f>(VLOOKUP(YEAR($A12),'NY East Load Projections'!$A$4:$EO$14,((MONTH($A12)-1)*12)+VLOOKUP(BW$4,$DE$6:$DF$17,2)+1))*(VLOOKUP($A12,SatSunCurve,8))*(INDEX(DailyScalarsTable,BW$5/100,MONTH($A12)))*$D12</f>
        <v>-19780.739114881493</v>
      </c>
      <c r="BX12" s="1021">
        <f>(VLOOKUP(YEAR($A12),'NY East Load Projections'!$A$4:$EO$14,((MONTH($A12)-1)*12)+VLOOKUP(BX$4,$DE$6:$DF$17,2)+1))*(VLOOKUP($A12,SatSunCurve,8))*(INDEX(DailyScalarsTable,BX$5/100,MONTH($A12)))*$D12</f>
        <v>-16521.180603525521</v>
      </c>
      <c r="BY12" s="1021">
        <f>(VLOOKUP(YEAR($A12),'NY East Load Projections'!$A$4:$EO$14,((MONTH($A12)-1)*12)+VLOOKUP(BY$4,$DE$6:$DF$17,2)+1))*(VLOOKUP($A12,SatSunCurve,8))*(INDEX(DailyScalarsTable,BY$5/100,MONTH($A12)))*$D12</f>
        <v>-12225.047070380213</v>
      </c>
      <c r="BZ12" s="1021">
        <f>(VLOOKUP(YEAR($A12),'NY East Load Projections'!$A$4:$EO$14,((MONTH($A12)-1)*12)+VLOOKUP(BZ$4,$DE$6:$DF$17,2)+1))*(VLOOKUP($A12,SatSunCurve,8))*(INDEX(DailyScalarsTable,BZ$5/100,MONTH($A12)))*$D12</f>
        <v>-13091.846922480734</v>
      </c>
      <c r="CA12" s="1021">
        <f>(VLOOKUP(YEAR($A12),'NY East Load Projections'!$A$4:$EO$14,((MONTH($A12)-1)*12)+VLOOKUP(CA$4,$DE$6:$DF$17,2)+1))*(VLOOKUP($A12,SatSunCurve,8))*(INDEX(DailyScalarsTable,CA$5/100,MONTH($A12)))*$D12</f>
        <v>-13872.583638317201</v>
      </c>
      <c r="CB12" s="1021">
        <f>(VLOOKUP(YEAR($A12),'NY East Load Projections'!$A$4:$EO$14,((MONTH($A12)-1)*12)+VLOOKUP(CB$4,$DE$6:$DF$17,2)+1))*(VLOOKUP($A12,SatSunCurve,8))*(INDEX(DailyScalarsTable,CB$5/100,MONTH($A12)))*$D12</f>
        <v>-9633.921806056389</v>
      </c>
      <c r="CC12" s="1021">
        <f>(VLOOKUP(YEAR($A12),'NY East Load Projections'!$A$4:$EO$14,((MONTH($A12)-1)*12)+VLOOKUP(CC$4,$DE$6:$DF$17,2)+1))*(VLOOKUP($A12,CURVES!$D$9:$T$261,8))*(INDEX(DailyScalarsTable,CC$5/100,MONTH($A12)))*$D12</f>
        <v>-14334.247336991939</v>
      </c>
      <c r="CE12" s="1021">
        <f>(VLOOKUP(YEAR($A12),'NY East Load Projections'!$A$4:$EO$14,((MONTH($A12)-1)*12)+VLOOKUP(CE$4,$DE$6:$DF$17,2)+1))*(VLOOKUP($A12,CURVES!$D$9:$T$261,8))*(INDEX(DailyScalarsTable,CE$5/100,MONTH($A12)))*$E12</f>
        <v>-2454.4339844364595</v>
      </c>
      <c r="CF12" s="1021">
        <f>(VLOOKUP(YEAR($A12),'NY East Load Projections'!$A$4:$EO$14,((MONTH($A12)-1)*12)+VLOOKUP(CF$4,$DE$6:$DF$17,2)+1))*(VLOOKUP($A12,CURVES!$D$9:$T$261,8))*(INDEX(DailyScalarsTable,CF$5/100,MONTH($A12)))*$E12</f>
        <v>-2241.9620232179391</v>
      </c>
      <c r="CG12" s="1021">
        <f>(VLOOKUP(YEAR($A12),'NY East Load Projections'!$A$4:$EO$14,((MONTH($A12)-1)*12)+VLOOKUP(CG$4,$DE$6:$DF$17,2)+1))*(VLOOKUP($A12,CURVES!$D$9:$T$261,8))*(INDEX(DailyScalarsTable,CG$5/100,MONTH($A12)))*$E12</f>
        <v>-2136.2045830618745</v>
      </c>
      <c r="CH12" s="1021">
        <f>(VLOOKUP(YEAR($A12),'NY East Load Projections'!$A$4:$EO$14,((MONTH($A12)-1)*12)+VLOOKUP(CH$4,$DE$6:$DF$17,2)+1))*(VLOOKUP($A12,CURVES!$D$9:$T$261,8))*(INDEX(DailyScalarsTable,CH$5/100,MONTH($A12)))*$E12</f>
        <v>-1923.7326218433541</v>
      </c>
      <c r="CI12" s="1021">
        <f>(VLOOKUP(YEAR($A12),'NY East Load Projections'!$A$4:$EO$14,((MONTH($A12)-1)*12)+VLOOKUP(CI$4,$DE$6:$DF$17,2)+1))*(VLOOKUP($A12,CURVES!$D$9:$T$261,8))*(INDEX(DailyScalarsTable,CI$5/100,MONTH($A12)))*$E12</f>
        <v>-1853.8692221684487</v>
      </c>
      <c r="CJ12" s="1021">
        <f>(VLOOKUP(YEAR($A12),'NY East Load Projections'!$A$4:$EO$14,((MONTH($A12)-1)*12)+VLOOKUP(CJ$4,$DE$6:$DF$17,2)+1))*(VLOOKUP($A12,CURVES!$D$9:$T$261,8))*(INDEX(DailyScalarsTable,CJ$5/100,MONTH($A12)))*$E12</f>
        <v>-2043.8228033707185</v>
      </c>
      <c r="CK12" s="1021">
        <f>(VLOOKUP(YEAR($A12),'NY East Load Projections'!$A$4:$EO$14,((MONTH($A12)-1)*12)+VLOOKUP(CK$4,$DE$6:$DF$17,2)+1))*(VLOOKUP($A12,CURVES!$D$9:$T$261,8))*(INDEX(DailyScalarsTable,CK$5/100,MONTH($A12)))*$E12</f>
        <v>-2269.7266787135718</v>
      </c>
      <c r="CL12" s="1021">
        <f>(VLOOKUP(YEAR($A12),'NY East Load Projections'!$A$4:$EO$14,((MONTH($A12)-1)*12)+VLOOKUP(CL$4,$DE$6:$DF$17,2)+1))*(VLOOKUP($A12,SatSunCurve,8))*(INDEX(DailyScalarsTable,CL$5/100,MONTH($A12)))*$E12</f>
        <v>-1672.4622756555764</v>
      </c>
      <c r="CM12" s="1021">
        <f>(VLOOKUP(YEAR($A12),'NY East Load Projections'!$A$4:$EO$14,((MONTH($A12)-1)*12)+VLOOKUP(CM$4,$DE$6:$DF$17,2)+1))*(VLOOKUP($A12,SatSunCurve,8))*(INDEX(DailyScalarsTable,CM$5/100,MONTH($A12)))*$E12</f>
        <v>-1973.1937592261233</v>
      </c>
      <c r="CN12" s="1021">
        <f>(VLOOKUP(YEAR($A12),'NY East Load Projections'!$A$4:$EO$14,((MONTH($A12)-1)*12)+VLOOKUP(CN$4,$DE$6:$DF$17,2)+1))*(VLOOKUP($A12,SatSunCurve,8))*(INDEX(DailyScalarsTable,CN$5/100,MONTH($A12)))*$E12</f>
        <v>-2362.453846053927</v>
      </c>
      <c r="CO12" s="1021">
        <f>(VLOOKUP(YEAR($A12),'NY East Load Projections'!$A$4:$EO$14,((MONTH($A12)-1)*12)+VLOOKUP(CO$4,$DE$6:$DF$17,2)+1))*(VLOOKUP($A12,SatSunCurve,8))*(INDEX(DailyScalarsTable,CO$5/100,MONTH($A12)))*$E12</f>
        <v>-2688.2235056142326</v>
      </c>
      <c r="CP12" s="1021">
        <f>(VLOOKUP(YEAR($A12),'NY East Load Projections'!$A$4:$EO$14,((MONTH($A12)-1)*12)+VLOOKUP(CP$4,$DE$6:$DF$17,2)+1))*(VLOOKUP($A12,SatSunCurve,8))*(INDEX(DailyScalarsTable,CP$5/100,MONTH($A12)))*$E12</f>
        <v>-3213.8909732962247</v>
      </c>
      <c r="CQ12" s="1021">
        <f>(VLOOKUP(YEAR($A12),'NY East Load Projections'!$A$4:$EO$14,((MONTH($A12)-1)*12)+VLOOKUP(CQ$4,$DE$6:$DF$17,2)+1))*(VLOOKUP($A12,SatSunCurve,8))*(INDEX(DailyScalarsTable,CQ$5/100,MONTH($A12)))*$E12</f>
        <v>-3581.3141384228029</v>
      </c>
      <c r="CR12" s="1021">
        <f>(VLOOKUP(YEAR($A12),'NY East Load Projections'!$A$4:$EO$14,((MONTH($A12)-1)*12)+VLOOKUP(CR$4,$DE$6:$DF$17,2)+1))*(VLOOKUP($A12,SatSunCurve,8))*(INDEX(DailyScalarsTable,CR$5/100,MONTH($A12)))*$E12</f>
        <v>-3701.8499148412279</v>
      </c>
      <c r="CS12" s="1021">
        <f>(VLOOKUP(YEAR($A12),'NY East Load Projections'!$A$4:$EO$14,((MONTH($A12)-1)*12)+VLOOKUP(CS$4,$DE$6:$DF$17,2)+1))*(VLOOKUP($A12,SatSunCurve,8))*(INDEX(DailyScalarsTable,CS$5/100,MONTH($A12)))*$E12</f>
        <v>-3856.0235823531671</v>
      </c>
      <c r="CT12" s="1021">
        <f>(VLOOKUP(YEAR($A12),'NY East Load Projections'!$A$4:$EO$14,((MONTH($A12)-1)*12)+VLOOKUP(CT$4,$DE$6:$DF$17,2)+1))*(VLOOKUP($A12,SatSunCurve,8))*(INDEX(DailyScalarsTable,CT$5/100,MONTH($A12)))*$E12</f>
        <v>-4092.3297672851049</v>
      </c>
      <c r="CU12" s="1021">
        <f>(VLOOKUP(YEAR($A12),'NY East Load Projections'!$A$4:$EO$14,((MONTH($A12)-1)*12)+VLOOKUP(CU$4,$DE$6:$DF$17,2)+1))*(VLOOKUP($A12,SatSunCurve,8))*(INDEX(DailyScalarsTable,CU$5/100,MONTH($A12)))*$E12</f>
        <v>-4056.6724440118487</v>
      </c>
      <c r="CV12" s="1021">
        <f>(VLOOKUP(YEAR($A12),'NY East Load Projections'!$A$4:$EO$14,((MONTH($A12)-1)*12)+VLOOKUP(CV$4,$DE$6:$DF$17,2)+1))*(VLOOKUP($A12,SatSunCurve,8))*(INDEX(DailyScalarsTable,CV$5/100,MONTH($A12)))*$E12</f>
        <v>-3956.1478229762988</v>
      </c>
      <c r="CW12" s="1021">
        <f>(VLOOKUP(YEAR($A12),'NY East Load Projections'!$A$4:$EO$14,((MONTH($A12)-1)*12)+VLOOKUP(CW$4,$DE$6:$DF$17,2)+1))*(VLOOKUP($A12,SatSunCurve,8))*(INDEX(DailyScalarsTable,CW$5/100,MONTH($A12)))*$E12</f>
        <v>-3304.2361207051044</v>
      </c>
      <c r="CX12" s="1021">
        <f>(VLOOKUP(YEAR($A12),'NY East Load Projections'!$A$4:$EO$14,((MONTH($A12)-1)*12)+VLOOKUP(CX$4,$DE$6:$DF$17,2)+1))*(VLOOKUP($A12,SatSunCurve,8))*(INDEX(DailyScalarsTable,CX$5/100,MONTH($A12)))*$E12</f>
        <v>-2445.0094140760425</v>
      </c>
      <c r="CY12" s="1021">
        <f>(VLOOKUP(YEAR($A12),'NY East Load Projections'!$A$4:$EO$14,((MONTH($A12)-1)*12)+VLOOKUP(CY$4,$DE$6:$DF$17,2)+1))*(VLOOKUP($A12,SatSunCurve,8))*(INDEX(DailyScalarsTable,CY$5/100,MONTH($A12)))*$E12</f>
        <v>-2618.3693844961467</v>
      </c>
      <c r="CZ12" s="1021">
        <f>(VLOOKUP(YEAR($A12),'NY East Load Projections'!$A$4:$EO$14,((MONTH($A12)-1)*12)+VLOOKUP(CZ$4,$DE$6:$DF$17,2)+1))*(VLOOKUP($A12,SatSunCurve,8))*(INDEX(DailyScalarsTable,CZ$5/100,MONTH($A12)))*$E12</f>
        <v>-2774.5167276634402</v>
      </c>
      <c r="DA12" s="1021">
        <f>(VLOOKUP(YEAR($A12),'NY East Load Projections'!$A$4:$EO$14,((MONTH($A12)-1)*12)+VLOOKUP(DA$4,$DE$6:$DF$17,2)+1))*(VLOOKUP($A12,SatSunCurve,8))*(INDEX(DailyScalarsTable,DA$5/100,MONTH($A12)))*$E12</f>
        <v>-1926.7843612112777</v>
      </c>
      <c r="DB12" s="1021">
        <f>(VLOOKUP(YEAR($A12),'NY East Load Projections'!$A$4:$EO$14,((MONTH($A12)-1)*12)+VLOOKUP(DB$4,$DE$6:$DF$17,2)+1))*(VLOOKUP($A12,CURVES!$D$9:$T$261,8))*(INDEX(DailyScalarsTable,DB$5/100,MONTH($A12)))*$E12</f>
        <v>-2866.8494673983878</v>
      </c>
      <c r="DE12" s="221" t="s">
        <v>564</v>
      </c>
      <c r="DF12" s="619">
        <v>7</v>
      </c>
      <c r="DH12" s="1021">
        <f t="shared" si="0"/>
        <v>-3619186.2704294585</v>
      </c>
      <c r="DI12">
        <f ca="1">CALC!J32</f>
        <v>0.90556180920885243</v>
      </c>
      <c r="DJ12" s="1029">
        <f t="shared" ca="1" si="1"/>
        <v>-3277396.8669139394</v>
      </c>
    </row>
    <row r="13" spans="1:114" x14ac:dyDescent="0.25">
      <c r="A13" s="244">
        <v>37104</v>
      </c>
      <c r="B13" s="13">
        <v>23</v>
      </c>
      <c r="C13" s="210">
        <v>4</v>
      </c>
      <c r="D13" s="210">
        <v>4</v>
      </c>
      <c r="E13" s="210">
        <v>0</v>
      </c>
      <c r="F13" s="13">
        <v>31</v>
      </c>
      <c r="H13" s="1021">
        <f>(VLOOKUP(YEAR($A13),'NY East Load Projections'!$A$4:$EO$14,((MONTH($A13)-1)*12)+VLOOKUP(H$4,$DE$6:$DF$17,2)+1))*(VLOOKUP($A13,CURVES!$D$9:$K$261,8))*(INDEX(DailyScalarsTable,H$5/100,MONTH($A13)))*$B13</f>
        <v>-59230.85233493385</v>
      </c>
      <c r="I13" s="1021">
        <f>(VLOOKUP(YEAR($A13),'NY East Load Projections'!$A$4:$EO$14,((MONTH($A13)-1)*12)+VLOOKUP(I$4,$DE$6:$DF$17,2)+1))*(VLOOKUP($A13,CURVES!$D$9:$K$261,8))*(INDEX(DailyScalarsTable,I$5/100,MONTH($A13)))*$B13</f>
        <v>-53468.727855673329</v>
      </c>
      <c r="J13" s="1021">
        <f>(VLOOKUP(YEAR($A13),'NY East Load Projections'!$A$4:$EO$14,((MONTH($A13)-1)*12)+VLOOKUP(J$4,$DE$6:$DF$17,2)+1))*(VLOOKUP($A13,CURVES!$D$9:$K$261,8))*(INDEX(DailyScalarsTable,J$5/100,MONTH($A13)))*$B13</f>
        <v>-48017.703993837684</v>
      </c>
      <c r="K13" s="1021">
        <f>(VLOOKUP(YEAR($A13),'NY East Load Projections'!$A$4:$EO$14,((MONTH($A13)-1)*12)+VLOOKUP(K$4,$DE$6:$DF$17,2)+1))*(VLOOKUP($A13,CURVES!$D$9:$K$261,8))*(INDEX(DailyScalarsTable,K$5/100,MONTH($A13)))*$B13</f>
        <v>-45177.220095610654</v>
      </c>
      <c r="L13" s="1021">
        <f>(VLOOKUP(YEAR($A13),'NY East Load Projections'!$A$4:$EO$14,((MONTH($A13)-1)*12)+VLOOKUP(L$4,$DE$6:$DF$17,2)+1))*(VLOOKUP($A13,CURVES!$D$9:$K$261,8))*(INDEX(DailyScalarsTable,L$5/100,MONTH($A13)))*$B13</f>
        <v>-48559.412659245761</v>
      </c>
      <c r="M13" s="1021">
        <f>(VLOOKUP(YEAR($A13),'NY East Load Projections'!$A$4:$EO$14,((MONTH($A13)-1)*12)+VLOOKUP(M$4,$DE$6:$DF$17,2)+1))*(VLOOKUP($A13,CURVES!$D$9:$K$261,8))*(INDEX(DailyScalarsTable,M$5/100,MONTH($A13)))*$B13</f>
        <v>-53951.79047113203</v>
      </c>
      <c r="N13" s="1021">
        <f>(VLOOKUP(YEAR($A13),'NY East Load Projections'!$A$4:$EO$14,((MONTH($A13)-1)*12)+VLOOKUP(N$4,$DE$6:$DF$17,2)+1))*(VLOOKUP($A13,CURVES!$D$9:$K$261,8))*(INDEX(DailyScalarsTable,N$5/100,MONTH($A13)))*$B13</f>
        <v>-62775.681436036786</v>
      </c>
      <c r="O13" s="1021">
        <f>(VLOOKUP(YEAR($A13),'NY East Load Projections'!$A$4:$EO$14,((MONTH($A13)-1)*12)+VLOOKUP(O$4,$DE$6:$DF$17,2)+1))*(VLOOKUP($A13,CURVES!$D$9:$K$261,4))*(INDEX(DailyScalarsTable,O$5/100,MONTH($A13)))*$B13</f>
        <v>-105614.10684760922</v>
      </c>
      <c r="P13" s="1021">
        <f>(VLOOKUP(YEAR($A13),'NY East Load Projections'!$A$4:$EO$14,((MONTH($A13)-1)*12)+VLOOKUP(P$4,$DE$6:$DF$17,2)+1))*(VLOOKUP($A13,CURVES!$D$9:$K$261,4))*(INDEX(DailyScalarsTable,P$5/100,MONTH($A13)))*$B13</f>
        <v>-122907.69012290113</v>
      </c>
      <c r="Q13" s="1021">
        <f>(VLOOKUP(YEAR($A13),'NY East Load Projections'!$A$4:$EO$14,((MONTH($A13)-1)*12)+VLOOKUP(Q$4,$DE$6:$DF$17,2)+1))*(VLOOKUP($A13,CURVES!$D$9:$K$261,4))*(INDEX(DailyScalarsTable,Q$5/100,MONTH($A13)))*$B13</f>
        <v>-157621.55114754601</v>
      </c>
      <c r="R13" s="1021">
        <f>(VLOOKUP(YEAR($A13),'NY East Load Projections'!$A$4:$EO$14,((MONTH($A13)-1)*12)+VLOOKUP(R$4,$DE$6:$DF$17,2)+1))*(VLOOKUP($A13,CURVES!$D$9:$K$261,4))*(INDEX(DailyScalarsTable,R$5/100,MONTH($A13)))*$B13</f>
        <v>-177899.94521144746</v>
      </c>
      <c r="S13" s="1021">
        <f>(VLOOKUP(YEAR($A13),'NY East Load Projections'!$A$4:$EO$14,((MONTH($A13)-1)*12)+VLOOKUP(S$4,$DE$6:$DF$17,2)+1))*(VLOOKUP($A13,CURVES!$D$9:$K$261,4))*(INDEX(DailyScalarsTable,S$5/100,MONTH($A13)))*$B13</f>
        <v>-185438.46684650236</v>
      </c>
      <c r="T13" s="1021">
        <f>(VLOOKUP(YEAR($A13),'NY East Load Projections'!$A$4:$EO$14,((MONTH($A13)-1)*12)+VLOOKUP(T$4,$DE$6:$DF$17,2)+1))*(VLOOKUP($A13,CURVES!$D$9:$K$261,4))*(INDEX(DailyScalarsTable,T$5/100,MONTH($A13)))*$B13</f>
        <v>-186146.25879758998</v>
      </c>
      <c r="U13" s="1021">
        <f>(VLOOKUP(YEAR($A13),'NY East Load Projections'!$A$4:$EO$14,((MONTH($A13)-1)*12)+VLOOKUP(U$4,$DE$6:$DF$17,2)+1))*(VLOOKUP($A13,CURVES!$D$9:$K$261,4))*(INDEX(DailyScalarsTable,U$5/100,MONTH($A13)))*$B13</f>
        <v>-204345.88679062875</v>
      </c>
      <c r="V13" s="1021">
        <f>(VLOOKUP(YEAR($A13),'NY East Load Projections'!$A$4:$EO$14,((MONTH($A13)-1)*12)+VLOOKUP(V$4,$DE$6:$DF$17,2)+1))*(VLOOKUP($A13,CURVES!$D$9:$K$261,4))*(INDEX(DailyScalarsTable,V$5/100,MONTH($A13)))*$B13</f>
        <v>-216332.13860260459</v>
      </c>
      <c r="W13" s="1021">
        <f>(VLOOKUP(YEAR($A13),'NY East Load Projections'!$A$4:$EO$14,((MONTH($A13)-1)*12)+VLOOKUP(W$4,$DE$6:$DF$17,2)+1))*(VLOOKUP($A13,CURVES!$D$9:$K$261,4))*(INDEX(DailyScalarsTable,W$5/100,MONTH($A13)))*$B13</f>
        <v>-213318.18746999945</v>
      </c>
      <c r="X13" s="1021">
        <f>(VLOOKUP(YEAR($A13),'NY East Load Projections'!$A$4:$EO$14,((MONTH($A13)-1)*12)+VLOOKUP(X$4,$DE$6:$DF$17,2)+1))*(VLOOKUP($A13,CURVES!$D$9:$K$261,4))*(INDEX(DailyScalarsTable,X$5/100,MONTH($A13)))*$B13</f>
        <v>-201583.8142425417</v>
      </c>
      <c r="Y13" s="1021">
        <f>(VLOOKUP(YEAR($A13),'NY East Load Projections'!$A$4:$EO$14,((MONTH($A13)-1)*12)+VLOOKUP(Y$4,$DE$6:$DF$17,2)+1))*(VLOOKUP($A13,CURVES!$D$9:$K$261,4))*(INDEX(DailyScalarsTable,Y$5/100,MONTH($A13)))*$B13</f>
        <v>-186679.07369647879</v>
      </c>
      <c r="Z13" s="1021">
        <f>(VLOOKUP(YEAR($A13),'NY East Load Projections'!$A$4:$EO$14,((MONTH($A13)-1)*12)+VLOOKUP(Z$4,$DE$6:$DF$17,2)+1))*(VLOOKUP($A13,CURVES!$D$9:$K$261,4))*(INDEX(DailyScalarsTable,Z$5/100,MONTH($A13)))*$B13</f>
        <v>-152162.83243191193</v>
      </c>
      <c r="AA13" s="1021">
        <f>(VLOOKUP(YEAR($A13),'NY East Load Projections'!$A$4:$EO$14,((MONTH($A13)-1)*12)+VLOOKUP(AA$4,$DE$6:$DF$17,2)+1))*(VLOOKUP($A13,CURVES!$D$9:$K$261,4))*(INDEX(DailyScalarsTable,AA$5/100,MONTH($A13)))*$B13</f>
        <v>-138535.64107551155</v>
      </c>
      <c r="AB13" s="1021">
        <f>(VLOOKUP(YEAR($A13),'NY East Load Projections'!$A$4:$EO$14,((MONTH($A13)-1)*12)+VLOOKUP(AB$4,$DE$6:$DF$17,2)+1))*(VLOOKUP($A13,CURVES!$D$9:$K$261,4))*(INDEX(DailyScalarsTable,AB$5/100,MONTH($A13)))*$B13</f>
        <v>-166006.01507419616</v>
      </c>
      <c r="AC13" s="1021">
        <f>(VLOOKUP(YEAR($A13),'NY East Load Projections'!$A$4:$EO$14,((MONTH($A13)-1)*12)+VLOOKUP(AC$4,$DE$6:$DF$17,2)+1))*(VLOOKUP($A13,CURVES!$D$9:$K$261,4))*(INDEX(DailyScalarsTable,AC$5/100,MONTH($A13)))*$B13</f>
        <v>-141159.54451403621</v>
      </c>
      <c r="AD13" s="1021">
        <f>(VLOOKUP(YEAR($A13),'NY East Load Projections'!$A$4:$EO$14,((MONTH($A13)-1)*12)+VLOOKUP(AD$4,$DE$6:$DF$17,2)+1))*(VLOOKUP($A13,CURVES!$D$9:$K$261,4))*(INDEX(DailyScalarsTable,AD$5/100,MONTH($A13)))*$B13</f>
        <v>-114306.57203578764</v>
      </c>
      <c r="AE13" s="1021">
        <f>(VLOOKUP(YEAR($A13),'NY East Load Projections'!$A$4:$EO$14,((MONTH($A13)-1)*12)+VLOOKUP(AE$4,$DE$6:$DF$17,2)+1))*(VLOOKUP($A13,CURVES!$D$9:$K$261,8))*(INDEX(DailyScalarsTable,AE$5/100,MONTH($A13)))*$B13</f>
        <v>-70627.409784748816</v>
      </c>
      <c r="AF13" s="1021"/>
      <c r="AG13" s="1021">
        <f>(VLOOKUP(YEAR($A13),'NY East Load Projections'!$A$4:$EO$14,((MONTH($A13)-1)*12)+VLOOKUP(AG$4,$DE$6:$DF$17,2)+1))*(VLOOKUP($A13,CURVES!$D$9:$T$261,8))*(INDEX(DailyScalarsTable,AG$5/100,MONTH($A13)))*$C13</f>
        <v>-10253.697393081424</v>
      </c>
      <c r="AH13" s="1021">
        <f>(VLOOKUP(YEAR($A13),'NY East Load Projections'!$A$4:$EO$14,((MONTH($A13)-1)*12)+VLOOKUP(AH$4,$DE$6:$DF$17,2)+1))*(VLOOKUP($A13,CURVES!$D$9:$T$261,8))*(INDEX(DailyScalarsTable,AH$5/100,MONTH($A13)))*$C13</f>
        <v>-9256.192234494376</v>
      </c>
      <c r="AI13" s="1021">
        <f>(VLOOKUP(YEAR($A13),'NY East Load Projections'!$A$4:$EO$14,((MONTH($A13)-1)*12)+VLOOKUP(AI$4,$DE$6:$DF$17,2)+1))*(VLOOKUP($A13,CURVES!$D$9:$T$261,8))*(INDEX(DailyScalarsTable,AI$5/100,MONTH($A13)))*$C13</f>
        <v>-8312.5429882254084</v>
      </c>
      <c r="AJ13" s="1021">
        <f>(VLOOKUP(YEAR($A13),'NY East Load Projections'!$A$4:$EO$14,((MONTH($A13)-1)*12)+VLOOKUP(AJ$4,$DE$6:$DF$17,2)+1))*(VLOOKUP($A13,CURVES!$D$9:$T$261,8))*(INDEX(DailyScalarsTable,AJ$5/100,MONTH($A13)))*$C13</f>
        <v>-7820.8150931472846</v>
      </c>
      <c r="AK13" s="1021">
        <f>(VLOOKUP(YEAR($A13),'NY East Load Projections'!$A$4:$EO$14,((MONTH($A13)-1)*12)+VLOOKUP(AK$4,$DE$6:$DF$17,2)+1))*(VLOOKUP($A13,CURVES!$D$9:$T$261,8))*(INDEX(DailyScalarsTable,AK$5/100,MONTH($A13)))*$C13</f>
        <v>-8261.9947518737063</v>
      </c>
      <c r="AL13" s="1021">
        <f>(VLOOKUP(YEAR($A13),'NY East Load Projections'!$A$4:$EO$14,((MONTH($A13)-1)*12)+VLOOKUP(AL$4,$DE$6:$DF$17,2)+1))*(VLOOKUP($A13,CURVES!$D$9:$T$261,8))*(INDEX(DailyScalarsTable,AL$5/100,MONTH($A13)))*$C13</f>
        <v>-9179.4646046199996</v>
      </c>
      <c r="AM13" s="1021">
        <f>(VLOOKUP(YEAR($A13),'NY East Load Projections'!$A$4:$EO$14,((MONTH($A13)-1)*12)+VLOOKUP(AM$4,$DE$6:$DF$17,2)+1))*(VLOOKUP($A13,CURVES!$D$9:$T$261,8))*(INDEX(DailyScalarsTable,AM$5/100,MONTH($A13)))*$C13</f>
        <v>-10680.77890911392</v>
      </c>
      <c r="AN13" s="1021">
        <f>(VLOOKUP(YEAR($A13),'NY East Load Projections'!$A$4:$EO$14,((MONTH($A13)-1)*12)+VLOOKUP(AN$4,$DE$6:$DF$17,2)+1))*(VLOOKUP($A13,SatSunCurve,4))*(INDEX(DailyScalarsTable,AN$5/100,MONTH($A13)))*$C13</f>
        <v>-11068.290515888166</v>
      </c>
      <c r="AO13" s="1021">
        <f>(VLOOKUP(YEAR($A13),'NY East Load Projections'!$A$4:$EO$14,((MONTH($A13)-1)*12)+VLOOKUP(AO$4,$DE$6:$DF$17,2)+1))*(VLOOKUP($A13,SatSunCurve,4))*(INDEX(DailyScalarsTable,AO$5/100,MONTH($A13)))*$C13</f>
        <v>-13094.148137837012</v>
      </c>
      <c r="AP13" s="1021">
        <f>(VLOOKUP(YEAR($A13),'NY East Load Projections'!$A$4:$EO$14,((MONTH($A13)-1)*12)+VLOOKUP(AP$4,$DE$6:$DF$17,2)+1))*(VLOOKUP($A13,SatSunCurve,4))*(INDEX(DailyScalarsTable,AP$5/100,MONTH($A13)))*$C13</f>
        <v>-16792.439418378224</v>
      </c>
      <c r="AQ13" s="1021">
        <f>(VLOOKUP(YEAR($A13),'NY East Load Projections'!$A$4:$EO$14,((MONTH($A13)-1)*12)+VLOOKUP(AQ$4,$DE$6:$DF$17,2)+1))*(VLOOKUP($A13,SatSunCurve,4))*(INDEX(DailyScalarsTable,AQ$5/100,MONTH($A13)))*$C13</f>
        <v>-18952.82739413992</v>
      </c>
      <c r="AR13" s="1021">
        <f>(VLOOKUP(YEAR($A13),'NY East Load Projections'!$A$4:$EO$14,((MONTH($A13)-1)*12)+VLOOKUP(AR$4,$DE$6:$DF$17,2)+1))*(VLOOKUP($A13,SatSunCurve,4))*(INDEX(DailyScalarsTable,AR$5/100,MONTH($A13)))*$C13</f>
        <v>-19755.954675524776</v>
      </c>
      <c r="AS13" s="1021">
        <f>(VLOOKUP(YEAR($A13),'NY East Load Projections'!$A$4:$EO$14,((MONTH($A13)-1)*12)+VLOOKUP(AS$4,$DE$6:$DF$17,2)+1))*(VLOOKUP($A13,SatSunCurve,4))*(INDEX(DailyScalarsTable,AS$5/100,MONTH($A13)))*$C13</f>
        <v>-19862.053778101388</v>
      </c>
      <c r="AT13" s="1021">
        <f>(VLOOKUP(YEAR($A13),'NY East Load Projections'!$A$4:$EO$14,((MONTH($A13)-1)*12)+VLOOKUP(AT$4,$DE$6:$DF$17,2)+1))*(VLOOKUP($A13,SatSunCurve,4))*(INDEX(DailyScalarsTable,AT$5/100,MONTH($A13)))*$C13</f>
        <v>-21803.978328582096</v>
      </c>
      <c r="AU13" s="1021">
        <f>(VLOOKUP(YEAR($A13),'NY East Load Projections'!$A$4:$EO$14,((MONTH($A13)-1)*12)+VLOOKUP(AU$4,$DE$6:$DF$17,2)+1))*(VLOOKUP($A13,SatSunCurve,4))*(INDEX(DailyScalarsTable,AU$5/100,MONTH($A13)))*$C13</f>
        <v>-23082.927363739454</v>
      </c>
      <c r="AV13" s="1021">
        <f>(VLOOKUP(YEAR($A13),'NY East Load Projections'!$A$4:$EO$14,((MONTH($A13)-1)*12)+VLOOKUP(AV$4,$DE$6:$DF$17,2)+1))*(VLOOKUP($A13,SatSunCurve,4))*(INDEX(DailyScalarsTable,AV$5/100,MONTH($A13)))*$C13</f>
        <v>-22761.334763022904</v>
      </c>
      <c r="AW13" s="1021">
        <f>(VLOOKUP(YEAR($A13),'NY East Load Projections'!$A$4:$EO$14,((MONTH($A13)-1)*12)+VLOOKUP(AW$4,$DE$6:$DF$17,2)+1))*(VLOOKUP($A13,SatSunCurve,4))*(INDEX(DailyScalarsTable,AW$5/100,MONTH($A13)))*$C13</f>
        <v>-21483.483973477978</v>
      </c>
      <c r="AX13" s="1021">
        <f>(VLOOKUP(YEAR($A13),'NY East Load Projections'!$A$4:$EO$14,((MONTH($A13)-1)*12)+VLOOKUP(AX$4,$DE$6:$DF$17,2)+1))*(VLOOKUP($A13,SatSunCurve,4))*(INDEX(DailyScalarsTable,AX$5/100,MONTH($A13)))*$C13</f>
        <v>-19895.034246730946</v>
      </c>
      <c r="AY13" s="1021">
        <f>(VLOOKUP(YEAR($A13),'NY East Load Projections'!$A$4:$EO$14,((MONTH($A13)-1)*12)+VLOOKUP(AY$4,$DE$6:$DF$17,2)+1))*(VLOOKUP($A13,SatSunCurve,4))*(INDEX(DailyScalarsTable,AY$5/100,MONTH($A13)))*$C13</f>
        <v>-16216.519090053594</v>
      </c>
      <c r="AZ13" s="1021">
        <f>(VLOOKUP(YEAR($A13),'NY East Load Projections'!$A$4:$EO$14,((MONTH($A13)-1)*12)+VLOOKUP(AZ$4,$DE$6:$DF$17,2)+1))*(VLOOKUP($A13,SatSunCurve,4))*(INDEX(DailyScalarsTable,AZ$5/100,MONTH($A13)))*$C13</f>
        <v>-14764.222197027733</v>
      </c>
      <c r="BA13" s="1021">
        <f>(VLOOKUP(YEAR($A13),'NY East Load Projections'!$A$4:$EO$14,((MONTH($A13)-1)*12)+VLOOKUP(BA$4,$DE$6:$DF$17,2)+1))*(VLOOKUP($A13,SatSunCurve,4))*(INDEX(DailyScalarsTable,BA$5/100,MONTH($A13)))*$C13</f>
        <v>-17879.595656120069</v>
      </c>
      <c r="BB13" s="1021">
        <f>(VLOOKUP(YEAR($A13),'NY East Load Projections'!$A$4:$EO$14,((MONTH($A13)-1)*12)+VLOOKUP(BB$4,$DE$6:$DF$17,2)+1))*(VLOOKUP($A13,SatSunCurve,4))*(INDEX(DailyScalarsTable,BB$5/100,MONTH($A13)))*$C13</f>
        <v>-15203.51884710326</v>
      </c>
      <c r="BC13" s="1021">
        <f>(VLOOKUP(YEAR($A13),'NY East Load Projections'!$A$4:$EO$14,((MONTH($A13)-1)*12)+VLOOKUP(BC$4,$DE$6:$DF$17,2)+1))*(VLOOKUP($A13,SatSunCurve,4))*(INDEX(DailyScalarsTable,BC$5/100,MONTH($A13)))*$C13</f>
        <v>-12311.332742512919</v>
      </c>
      <c r="BD13" s="1021">
        <f>(VLOOKUP(YEAR($A13),'NY East Load Projections'!$A$4:$EO$14,((MONTH($A13)-1)*12)+VLOOKUP(BD$4,$DE$6:$DF$17,2)+1))*(VLOOKUP($A13,CURVES!$D$9:$T$261,8))*(INDEX(DailyScalarsTable,BD$5/100,MONTH($A13)))*$C13</f>
        <v>-12349.80266162394</v>
      </c>
      <c r="BE13" s="1021"/>
      <c r="BF13" s="1021">
        <f>(VLOOKUP(YEAR($A13),'NY East Load Projections'!$A$4:$EO$14,((MONTH($A13)-1)*12)+VLOOKUP(BF$4,$DE$6:$DF$17,2)+1))*(VLOOKUP($A13,CURVES!$D$9:$T$261,8))*(INDEX(DailyScalarsTable,BF$5/100,MONTH($A13)))*$D13</f>
        <v>-10253.697393081424</v>
      </c>
      <c r="BG13" s="1021">
        <f>(VLOOKUP(YEAR($A13),'NY East Load Projections'!$A$4:$EO$14,((MONTH($A13)-1)*12)+VLOOKUP(BG$4,$DE$6:$DF$17,2)+1))*(VLOOKUP($A13,CURVES!$D$9:$T$261,8))*(INDEX(DailyScalarsTable,BG$5/100,MONTH($A13)))*$D13</f>
        <v>-9256.192234494376</v>
      </c>
      <c r="BH13" s="1021">
        <f>(VLOOKUP(YEAR($A13),'NY East Load Projections'!$A$4:$EO$14,((MONTH($A13)-1)*12)+VLOOKUP(BH$4,$DE$6:$DF$17,2)+1))*(VLOOKUP($A13,CURVES!$D$9:$T$261,8))*(INDEX(DailyScalarsTable,BH$5/100,MONTH($A13)))*$D13</f>
        <v>-8312.5429882254084</v>
      </c>
      <c r="BI13" s="1021">
        <f>(VLOOKUP(YEAR($A13),'NY East Load Projections'!$A$4:$EO$14,((MONTH($A13)-1)*12)+VLOOKUP(BI$4,$DE$6:$DF$17,2)+1))*(VLOOKUP($A13,CURVES!$D$9:$T$261,8))*(INDEX(DailyScalarsTable,BI$5/100,MONTH($A13)))*$D13</f>
        <v>-7820.8150931472846</v>
      </c>
      <c r="BJ13" s="1021">
        <f>(VLOOKUP(YEAR($A13),'NY East Load Projections'!$A$4:$EO$14,((MONTH($A13)-1)*12)+VLOOKUP(BJ$4,$DE$6:$DF$17,2)+1))*(VLOOKUP($A13,CURVES!$D$9:$T$261,8))*(INDEX(DailyScalarsTable,BJ$5/100,MONTH($A13)))*$D13</f>
        <v>-8261.9947518737063</v>
      </c>
      <c r="BK13" s="1021">
        <f>(VLOOKUP(YEAR($A13),'NY East Load Projections'!$A$4:$EO$14,((MONTH($A13)-1)*12)+VLOOKUP(BK$4,$DE$6:$DF$17,2)+1))*(VLOOKUP($A13,CURVES!$D$9:$T$261,8))*(INDEX(DailyScalarsTable,BK$5/100,MONTH($A13)))*$D13</f>
        <v>-9179.4646046199996</v>
      </c>
      <c r="BL13" s="1021">
        <f>(VLOOKUP(YEAR($A13),'NY East Load Projections'!$A$4:$EO$14,((MONTH($A13)-1)*12)+VLOOKUP(BL$4,$DE$6:$DF$17,2)+1))*(VLOOKUP($A13,CURVES!$D$9:$T$261,8))*(INDEX(DailyScalarsTable,BL$5/100,MONTH($A13)))*$D13</f>
        <v>-10680.77890911392</v>
      </c>
      <c r="BM13" s="1021">
        <f>(VLOOKUP(YEAR($A13),'NY East Load Projections'!$A$4:$EO$14,((MONTH($A13)-1)*12)+VLOOKUP(BM$4,$DE$6:$DF$17,2)+1))*(VLOOKUP($A13,SatSunCurve,8))*(INDEX(DailyScalarsTable,BM$5/100,MONTH($A13)))*$D13</f>
        <v>-8372.270708940574</v>
      </c>
      <c r="BN13" s="1021">
        <f>(VLOOKUP(YEAR($A13),'NY East Load Projections'!$A$4:$EO$14,((MONTH($A13)-1)*12)+VLOOKUP(BN$4,$DE$6:$DF$17,2)+1))*(VLOOKUP($A13,SatSunCurve,8))*(INDEX(DailyScalarsTable,BN$5/100,MONTH($A13)))*$D13</f>
        <v>-9904.668905787621</v>
      </c>
      <c r="BO13" s="1021">
        <f>(VLOOKUP(YEAR($A13),'NY East Load Projections'!$A$4:$EO$14,((MONTH($A13)-1)*12)+VLOOKUP(BO$4,$DE$6:$DF$17,2)+1))*(VLOOKUP($A13,SatSunCurve,8))*(INDEX(DailyScalarsTable,BO$5/100,MONTH($A13)))*$D13</f>
        <v>-12702.128524033007</v>
      </c>
      <c r="BP13" s="1021">
        <f>(VLOOKUP(YEAR($A13),'NY East Load Projections'!$A$4:$EO$14,((MONTH($A13)-1)*12)+VLOOKUP(BP$4,$DE$6:$DF$17,2)+1))*(VLOOKUP($A13,SatSunCurve,8))*(INDEX(DailyScalarsTable,BP$5/100,MONTH($A13)))*$D13</f>
        <v>-14336.288103008032</v>
      </c>
      <c r="BQ13" s="1021">
        <f>(VLOOKUP(YEAR($A13),'NY East Load Projections'!$A$4:$EO$14,((MONTH($A13)-1)*12)+VLOOKUP(BQ$4,$DE$6:$DF$17,2)+1))*(VLOOKUP($A13,SatSunCurve,8))*(INDEX(DailyScalarsTable,BQ$5/100,MONTH($A13)))*$D13</f>
        <v>-14943.789234626995</v>
      </c>
      <c r="BR13" s="1021">
        <f>(VLOOKUP(YEAR($A13),'NY East Load Projections'!$A$4:$EO$14,((MONTH($A13)-1)*12)+VLOOKUP(BR$4,$DE$6:$DF$17,2)+1))*(VLOOKUP($A13,SatSunCurve,8))*(INDEX(DailyScalarsTable,BR$5/100,MONTH($A13)))*$D13</f>
        <v>-15024.044664087573</v>
      </c>
      <c r="BS13" s="1021">
        <f>(VLOOKUP(YEAR($A13),'NY East Load Projections'!$A$4:$EO$14,((MONTH($A13)-1)*12)+VLOOKUP(BS$4,$DE$6:$DF$17,2)+1))*(VLOOKUP($A13,SatSunCurve,8))*(INDEX(DailyScalarsTable,BS$5/100,MONTH($A13)))*$D13</f>
        <v>-16492.954249504033</v>
      </c>
      <c r="BT13" s="1021">
        <f>(VLOOKUP(YEAR($A13),'NY East Load Projections'!$A$4:$EO$14,((MONTH($A13)-1)*12)+VLOOKUP(BT$4,$DE$6:$DF$17,2)+1))*(VLOOKUP($A13,SatSunCurve,8))*(INDEX(DailyScalarsTable,BT$5/100,MONTH($A13)))*$D13</f>
        <v>-17460.376231236911</v>
      </c>
      <c r="BU13" s="1021">
        <f>(VLOOKUP(YEAR($A13),'NY East Load Projections'!$A$4:$EO$14,((MONTH($A13)-1)*12)+VLOOKUP(BU$4,$DE$6:$DF$17,2)+1))*(VLOOKUP($A13,SatSunCurve,8))*(INDEX(DailyScalarsTable,BU$5/100,MONTH($A13)))*$D13</f>
        <v>-17217.11731900234</v>
      </c>
      <c r="BV13" s="1021">
        <f>(VLOOKUP(YEAR($A13),'NY East Load Projections'!$A$4:$EO$14,((MONTH($A13)-1)*12)+VLOOKUP(BV$4,$DE$6:$DF$17,2)+1))*(VLOOKUP($A13,SatSunCurve,8))*(INDEX(DailyScalarsTable,BV$5/100,MONTH($A13)))*$D13</f>
        <v>-16250.526071659651</v>
      </c>
      <c r="BW13" s="1021">
        <f>(VLOOKUP(YEAR($A13),'NY East Load Projections'!$A$4:$EO$14,((MONTH($A13)-1)*12)+VLOOKUP(BW$4,$DE$6:$DF$17,2)+1))*(VLOOKUP($A13,SatSunCurve,8))*(INDEX(DailyScalarsTable,BW$5/100,MONTH($A13)))*$D13</f>
        <v>-15048.991733472678</v>
      </c>
      <c r="BX13" s="1021">
        <f>(VLOOKUP(YEAR($A13),'NY East Load Projections'!$A$4:$EO$14,((MONTH($A13)-1)*12)+VLOOKUP(BX$4,$DE$6:$DF$17,2)+1))*(VLOOKUP($A13,SatSunCurve,8))*(INDEX(DailyScalarsTable,BX$5/100,MONTH($A13)))*$D13</f>
        <v>-12266.491160829153</v>
      </c>
      <c r="BY13" s="1021">
        <f>(VLOOKUP(YEAR($A13),'NY East Load Projections'!$A$4:$EO$14,((MONTH($A13)-1)*12)+VLOOKUP(BY$4,$DE$6:$DF$17,2)+1))*(VLOOKUP($A13,SatSunCurve,8))*(INDEX(DailyScalarsTable,BY$5/100,MONTH($A13)))*$D13</f>
        <v>-11167.94548020106</v>
      </c>
      <c r="BZ13" s="1021">
        <f>(VLOOKUP(YEAR($A13),'NY East Load Projections'!$A$4:$EO$14,((MONTH($A13)-1)*12)+VLOOKUP(BZ$4,$DE$6:$DF$17,2)+1))*(VLOOKUP($A13,SatSunCurve,8))*(INDEX(DailyScalarsTable,BZ$5/100,MONTH($A13)))*$D13</f>
        <v>-13524.474695035884</v>
      </c>
      <c r="CA13" s="1021">
        <f>(VLOOKUP(YEAR($A13),'NY East Load Projections'!$A$4:$EO$14,((MONTH($A13)-1)*12)+VLOOKUP(CA$4,$DE$6:$DF$17,2)+1))*(VLOOKUP($A13,SatSunCurve,8))*(INDEX(DailyScalarsTable,CA$5/100,MONTH($A13)))*$D13</f>
        <v>-11500.238029866572</v>
      </c>
      <c r="CB13" s="1021">
        <f>(VLOOKUP(YEAR($A13),'NY East Load Projections'!$A$4:$EO$14,((MONTH($A13)-1)*12)+VLOOKUP(CB$4,$DE$6:$DF$17,2)+1))*(VLOOKUP($A13,SatSunCurve,8))*(INDEX(DailyScalarsTable,CB$5/100,MONTH($A13)))*$D13</f>
        <v>-9312.5320807402804</v>
      </c>
      <c r="CC13" s="1021">
        <f>(VLOOKUP(YEAR($A13),'NY East Load Projections'!$A$4:$EO$14,((MONTH($A13)-1)*12)+VLOOKUP(CC$4,$DE$6:$DF$17,2)+1))*(VLOOKUP($A13,CURVES!$D$9:$T$261,8))*(INDEX(DailyScalarsTable,CC$5/100,MONTH($A13)))*$D13</f>
        <v>-12349.80266162394</v>
      </c>
      <c r="CE13" s="1021">
        <f>(VLOOKUP(YEAR($A13),'NY East Load Projections'!$A$4:$EO$14,((MONTH($A13)-1)*12)+VLOOKUP(CE$4,$DE$6:$DF$17,2)+1))*(VLOOKUP($A13,CURVES!$D$9:$T$261,8))*(INDEX(DailyScalarsTable,CE$5/100,MONTH($A13)))*$E13</f>
        <v>0</v>
      </c>
      <c r="CF13" s="1021">
        <f>(VLOOKUP(YEAR($A13),'NY East Load Projections'!$A$4:$EO$14,((MONTH($A13)-1)*12)+VLOOKUP(CF$4,$DE$6:$DF$17,2)+1))*(VLOOKUP($A13,CURVES!$D$9:$T$261,8))*(INDEX(DailyScalarsTable,CF$5/100,MONTH($A13)))*$E13</f>
        <v>0</v>
      </c>
      <c r="CG13" s="1021">
        <f>(VLOOKUP(YEAR($A13),'NY East Load Projections'!$A$4:$EO$14,((MONTH($A13)-1)*12)+VLOOKUP(CG$4,$DE$6:$DF$17,2)+1))*(VLOOKUP($A13,CURVES!$D$9:$T$261,8))*(INDEX(DailyScalarsTable,CG$5/100,MONTH($A13)))*$E13</f>
        <v>0</v>
      </c>
      <c r="CH13" s="1021">
        <f>(VLOOKUP(YEAR($A13),'NY East Load Projections'!$A$4:$EO$14,((MONTH($A13)-1)*12)+VLOOKUP(CH$4,$DE$6:$DF$17,2)+1))*(VLOOKUP($A13,CURVES!$D$9:$T$261,8))*(INDEX(DailyScalarsTable,CH$5/100,MONTH($A13)))*$E13</f>
        <v>0</v>
      </c>
      <c r="CI13" s="1021">
        <f>(VLOOKUP(YEAR($A13),'NY East Load Projections'!$A$4:$EO$14,((MONTH($A13)-1)*12)+VLOOKUP(CI$4,$DE$6:$DF$17,2)+1))*(VLOOKUP($A13,CURVES!$D$9:$T$261,8))*(INDEX(DailyScalarsTable,CI$5/100,MONTH($A13)))*$E13</f>
        <v>0</v>
      </c>
      <c r="CJ13" s="1021">
        <f>(VLOOKUP(YEAR($A13),'NY East Load Projections'!$A$4:$EO$14,((MONTH($A13)-1)*12)+VLOOKUP(CJ$4,$DE$6:$DF$17,2)+1))*(VLOOKUP($A13,CURVES!$D$9:$T$261,8))*(INDEX(DailyScalarsTable,CJ$5/100,MONTH($A13)))*$E13</f>
        <v>0</v>
      </c>
      <c r="CK13" s="1021">
        <f>(VLOOKUP(YEAR($A13),'NY East Load Projections'!$A$4:$EO$14,((MONTH($A13)-1)*12)+VLOOKUP(CK$4,$DE$6:$DF$17,2)+1))*(VLOOKUP($A13,CURVES!$D$9:$T$261,8))*(INDEX(DailyScalarsTable,CK$5/100,MONTH($A13)))*$E13</f>
        <v>0</v>
      </c>
      <c r="CL13" s="1021">
        <f>(VLOOKUP(YEAR($A13),'NY East Load Projections'!$A$4:$EO$14,((MONTH($A13)-1)*12)+VLOOKUP(CL$4,$DE$6:$DF$17,2)+1))*(VLOOKUP($A13,SatSunCurve,8))*(INDEX(DailyScalarsTable,CL$5/100,MONTH($A13)))*$E13</f>
        <v>0</v>
      </c>
      <c r="CM13" s="1021">
        <f>(VLOOKUP(YEAR($A13),'NY East Load Projections'!$A$4:$EO$14,((MONTH($A13)-1)*12)+VLOOKUP(CM$4,$DE$6:$DF$17,2)+1))*(VLOOKUP($A13,SatSunCurve,8))*(INDEX(DailyScalarsTable,CM$5/100,MONTH($A13)))*$E13</f>
        <v>0</v>
      </c>
      <c r="CN13" s="1021">
        <f>(VLOOKUP(YEAR($A13),'NY East Load Projections'!$A$4:$EO$14,((MONTH($A13)-1)*12)+VLOOKUP(CN$4,$DE$6:$DF$17,2)+1))*(VLOOKUP($A13,SatSunCurve,8))*(INDEX(DailyScalarsTable,CN$5/100,MONTH($A13)))*$E13</f>
        <v>0</v>
      </c>
      <c r="CO13" s="1021">
        <f>(VLOOKUP(YEAR($A13),'NY East Load Projections'!$A$4:$EO$14,((MONTH($A13)-1)*12)+VLOOKUP(CO$4,$DE$6:$DF$17,2)+1))*(VLOOKUP($A13,SatSunCurve,8))*(INDEX(DailyScalarsTable,CO$5/100,MONTH($A13)))*$E13</f>
        <v>0</v>
      </c>
      <c r="CP13" s="1021">
        <f>(VLOOKUP(YEAR($A13),'NY East Load Projections'!$A$4:$EO$14,((MONTH($A13)-1)*12)+VLOOKUP(CP$4,$DE$6:$DF$17,2)+1))*(VLOOKUP($A13,SatSunCurve,8))*(INDEX(DailyScalarsTable,CP$5/100,MONTH($A13)))*$E13</f>
        <v>0</v>
      </c>
      <c r="CQ13" s="1021">
        <f>(VLOOKUP(YEAR($A13),'NY East Load Projections'!$A$4:$EO$14,((MONTH($A13)-1)*12)+VLOOKUP(CQ$4,$DE$6:$DF$17,2)+1))*(VLOOKUP($A13,SatSunCurve,8))*(INDEX(DailyScalarsTable,CQ$5/100,MONTH($A13)))*$E13</f>
        <v>0</v>
      </c>
      <c r="CR13" s="1021">
        <f>(VLOOKUP(YEAR($A13),'NY East Load Projections'!$A$4:$EO$14,((MONTH($A13)-1)*12)+VLOOKUP(CR$4,$DE$6:$DF$17,2)+1))*(VLOOKUP($A13,SatSunCurve,8))*(INDEX(DailyScalarsTable,CR$5/100,MONTH($A13)))*$E13</f>
        <v>0</v>
      </c>
      <c r="CS13" s="1021">
        <f>(VLOOKUP(YEAR($A13),'NY East Load Projections'!$A$4:$EO$14,((MONTH($A13)-1)*12)+VLOOKUP(CS$4,$DE$6:$DF$17,2)+1))*(VLOOKUP($A13,SatSunCurve,8))*(INDEX(DailyScalarsTable,CS$5/100,MONTH($A13)))*$E13</f>
        <v>0</v>
      </c>
      <c r="CT13" s="1021">
        <f>(VLOOKUP(YEAR($A13),'NY East Load Projections'!$A$4:$EO$14,((MONTH($A13)-1)*12)+VLOOKUP(CT$4,$DE$6:$DF$17,2)+1))*(VLOOKUP($A13,SatSunCurve,8))*(INDEX(DailyScalarsTable,CT$5/100,MONTH($A13)))*$E13</f>
        <v>0</v>
      </c>
      <c r="CU13" s="1021">
        <f>(VLOOKUP(YEAR($A13),'NY East Load Projections'!$A$4:$EO$14,((MONTH($A13)-1)*12)+VLOOKUP(CU$4,$DE$6:$DF$17,2)+1))*(VLOOKUP($A13,SatSunCurve,8))*(INDEX(DailyScalarsTable,CU$5/100,MONTH($A13)))*$E13</f>
        <v>0</v>
      </c>
      <c r="CV13" s="1021">
        <f>(VLOOKUP(YEAR($A13),'NY East Load Projections'!$A$4:$EO$14,((MONTH($A13)-1)*12)+VLOOKUP(CV$4,$DE$6:$DF$17,2)+1))*(VLOOKUP($A13,SatSunCurve,8))*(INDEX(DailyScalarsTable,CV$5/100,MONTH($A13)))*$E13</f>
        <v>0</v>
      </c>
      <c r="CW13" s="1021">
        <f>(VLOOKUP(YEAR($A13),'NY East Load Projections'!$A$4:$EO$14,((MONTH($A13)-1)*12)+VLOOKUP(CW$4,$DE$6:$DF$17,2)+1))*(VLOOKUP($A13,SatSunCurve,8))*(INDEX(DailyScalarsTable,CW$5/100,MONTH($A13)))*$E13</f>
        <v>0</v>
      </c>
      <c r="CX13" s="1021">
        <f>(VLOOKUP(YEAR($A13),'NY East Load Projections'!$A$4:$EO$14,((MONTH($A13)-1)*12)+VLOOKUP(CX$4,$DE$6:$DF$17,2)+1))*(VLOOKUP($A13,SatSunCurve,8))*(INDEX(DailyScalarsTable,CX$5/100,MONTH($A13)))*$E13</f>
        <v>0</v>
      </c>
      <c r="CY13" s="1021">
        <f>(VLOOKUP(YEAR($A13),'NY East Load Projections'!$A$4:$EO$14,((MONTH($A13)-1)*12)+VLOOKUP(CY$4,$DE$6:$DF$17,2)+1))*(VLOOKUP($A13,SatSunCurve,8))*(INDEX(DailyScalarsTable,CY$5/100,MONTH($A13)))*$E13</f>
        <v>0</v>
      </c>
      <c r="CZ13" s="1021">
        <f>(VLOOKUP(YEAR($A13),'NY East Load Projections'!$A$4:$EO$14,((MONTH($A13)-1)*12)+VLOOKUP(CZ$4,$DE$6:$DF$17,2)+1))*(VLOOKUP($A13,SatSunCurve,8))*(INDEX(DailyScalarsTable,CZ$5/100,MONTH($A13)))*$E13</f>
        <v>0</v>
      </c>
      <c r="DA13" s="1021">
        <f>(VLOOKUP(YEAR($A13),'NY East Load Projections'!$A$4:$EO$14,((MONTH($A13)-1)*12)+VLOOKUP(DA$4,$DE$6:$DF$17,2)+1))*(VLOOKUP($A13,SatSunCurve,8))*(INDEX(DailyScalarsTable,DA$5/100,MONTH($A13)))*$E13</f>
        <v>0</v>
      </c>
      <c r="DB13" s="1021">
        <f>(VLOOKUP(YEAR($A13),'NY East Load Projections'!$A$4:$EO$14,((MONTH($A13)-1)*12)+VLOOKUP(DB$4,$DE$6:$DF$17,2)+1))*(VLOOKUP($A13,CURVES!$D$9:$T$261,8))*(INDEX(DailyScalarsTable,DB$5/100,MONTH($A13)))*$E13</f>
        <v>0</v>
      </c>
      <c r="DE13" s="221" t="s">
        <v>565</v>
      </c>
      <c r="DF13" s="619">
        <v>8</v>
      </c>
      <c r="DH13" s="1021">
        <f t="shared" si="0"/>
        <v>-3764549.5991311437</v>
      </c>
      <c r="DI13">
        <f ca="1">CALC!J33</f>
        <v>0.89999310122749387</v>
      </c>
      <c r="DJ13" s="1029">
        <f t="shared" ca="1" si="1"/>
        <v>-3388068.6684467569</v>
      </c>
    </row>
    <row r="14" spans="1:114" x14ac:dyDescent="0.25">
      <c r="A14" s="244">
        <v>37135</v>
      </c>
      <c r="B14" s="13">
        <v>19</v>
      </c>
      <c r="C14" s="210">
        <v>5</v>
      </c>
      <c r="D14" s="210">
        <v>5</v>
      </c>
      <c r="E14" s="210">
        <v>1</v>
      </c>
      <c r="F14" s="13">
        <v>30</v>
      </c>
      <c r="H14" s="1021">
        <f>(VLOOKUP(YEAR($A14),'NY East Load Projections'!$A$4:$EO$14,((MONTH($A14)-1)*12)+VLOOKUP(H$4,$DE$6:$DF$17,2)+1))*(VLOOKUP($A14,CURVES!$D$9:$K$261,8))*(INDEX(DailyScalarsTable,H$5/100,MONTH($A14)))*$B14</f>
        <v>-34820.488804266788</v>
      </c>
      <c r="I14" s="1021">
        <f>(VLOOKUP(YEAR($A14),'NY East Load Projections'!$A$4:$EO$14,((MONTH($A14)-1)*12)+VLOOKUP(I$4,$DE$6:$DF$17,2)+1))*(VLOOKUP($A14,CURVES!$D$9:$K$261,8))*(INDEX(DailyScalarsTable,I$5/100,MONTH($A14)))*$B14</f>
        <v>-30548.633053070225</v>
      </c>
      <c r="J14" s="1021">
        <f>(VLOOKUP(YEAR($A14),'NY East Load Projections'!$A$4:$EO$14,((MONTH($A14)-1)*12)+VLOOKUP(J$4,$DE$6:$DF$17,2)+1))*(VLOOKUP($A14,CURVES!$D$9:$K$261,8))*(INDEX(DailyScalarsTable,J$5/100,MONTH($A14)))*$B14</f>
        <v>-28647.082356367828</v>
      </c>
      <c r="K14" s="1021">
        <f>(VLOOKUP(YEAR($A14),'NY East Load Projections'!$A$4:$EO$14,((MONTH($A14)-1)*12)+VLOOKUP(K$4,$DE$6:$DF$17,2)+1))*(VLOOKUP($A14,CURVES!$D$9:$K$261,8))*(INDEX(DailyScalarsTable,K$5/100,MONTH($A14)))*$B14</f>
        <v>-29071.614604933951</v>
      </c>
      <c r="L14" s="1021">
        <f>(VLOOKUP(YEAR($A14),'NY East Load Projections'!$A$4:$EO$14,((MONTH($A14)-1)*12)+VLOOKUP(L$4,$DE$6:$DF$17,2)+1))*(VLOOKUP($A14,CURVES!$D$9:$K$261,8))*(INDEX(DailyScalarsTable,L$5/100,MONTH($A14)))*$B14</f>
        <v>-32415.977197752502</v>
      </c>
      <c r="M14" s="1021">
        <f>(VLOOKUP(YEAR($A14),'NY East Load Projections'!$A$4:$EO$14,((MONTH($A14)-1)*12)+VLOOKUP(M$4,$DE$6:$DF$17,2)+1))*(VLOOKUP($A14,CURVES!$D$9:$K$261,8))*(INDEX(DailyScalarsTable,M$5/100,MONTH($A14)))*$B14</f>
        <v>-37512.656621913076</v>
      </c>
      <c r="N14" s="1021">
        <f>(VLOOKUP(YEAR($A14),'NY East Load Projections'!$A$4:$EO$14,((MONTH($A14)-1)*12)+VLOOKUP(N$4,$DE$6:$DF$17,2)+1))*(VLOOKUP($A14,CURVES!$D$9:$K$261,8))*(INDEX(DailyScalarsTable,N$5/100,MONTH($A14)))*$B14</f>
        <v>-51012.463412073172</v>
      </c>
      <c r="O14" s="1021">
        <f>(VLOOKUP(YEAR($A14),'NY East Load Projections'!$A$4:$EO$14,((MONTH($A14)-1)*12)+VLOOKUP(O$4,$DE$6:$DF$17,2)+1))*(VLOOKUP($A14,CURVES!$D$9:$K$261,4))*(INDEX(DailyScalarsTable,O$5/100,MONTH($A14)))*$B14</f>
        <v>-47121.464026360503</v>
      </c>
      <c r="P14" s="1021">
        <f>(VLOOKUP(YEAR($A14),'NY East Load Projections'!$A$4:$EO$14,((MONTH($A14)-1)*12)+VLOOKUP(P$4,$DE$6:$DF$17,2)+1))*(VLOOKUP($A14,CURVES!$D$9:$K$261,4))*(INDEX(DailyScalarsTable,P$5/100,MONTH($A14)))*$B14</f>
        <v>-48746.798934785569</v>
      </c>
      <c r="Q14" s="1021">
        <f>(VLOOKUP(YEAR($A14),'NY East Load Projections'!$A$4:$EO$14,((MONTH($A14)-1)*12)+VLOOKUP(Q$4,$DE$6:$DF$17,2)+1))*(VLOOKUP($A14,CURVES!$D$9:$K$261,4))*(INDEX(DailyScalarsTable,Q$5/100,MONTH($A14)))*$B14</f>
        <v>-60851.267226284253</v>
      </c>
      <c r="R14" s="1021">
        <f>(VLOOKUP(YEAR($A14),'NY East Load Projections'!$A$4:$EO$14,((MONTH($A14)-1)*12)+VLOOKUP(R$4,$DE$6:$DF$17,2)+1))*(VLOOKUP($A14,CURVES!$D$9:$K$261,4))*(INDEX(DailyScalarsTable,R$5/100,MONTH($A14)))*$B14</f>
        <v>-64986.3340339391</v>
      </c>
      <c r="S14" s="1021">
        <f>(VLOOKUP(YEAR($A14),'NY East Load Projections'!$A$4:$EO$14,((MONTH($A14)-1)*12)+VLOOKUP(S$4,$DE$6:$DF$17,2)+1))*(VLOOKUP($A14,CURVES!$D$9:$K$261,4))*(INDEX(DailyScalarsTable,S$5/100,MONTH($A14)))*$B14</f>
        <v>-69243.573270001929</v>
      </c>
      <c r="T14" s="1021">
        <f>(VLOOKUP(YEAR($A14),'NY East Load Projections'!$A$4:$EO$14,((MONTH($A14)-1)*12)+VLOOKUP(T$4,$DE$6:$DF$17,2)+1))*(VLOOKUP($A14,CURVES!$D$9:$K$261,4))*(INDEX(DailyScalarsTable,T$5/100,MONTH($A14)))*$B14</f>
        <v>-66019.734438325147</v>
      </c>
      <c r="U14" s="1021">
        <f>(VLOOKUP(YEAR($A14),'NY East Load Projections'!$A$4:$EO$14,((MONTH($A14)-1)*12)+VLOOKUP(U$4,$DE$6:$DF$17,2)+1))*(VLOOKUP($A14,CURVES!$D$9:$K$261,4))*(INDEX(DailyScalarsTable,U$5/100,MONTH($A14)))*$B14</f>
        <v>-71468.470953616779</v>
      </c>
      <c r="V14" s="1021">
        <f>(VLOOKUP(YEAR($A14),'NY East Load Projections'!$A$4:$EO$14,((MONTH($A14)-1)*12)+VLOOKUP(V$4,$DE$6:$DF$17,2)+1))*(VLOOKUP($A14,CURVES!$D$9:$K$261,4))*(INDEX(DailyScalarsTable,V$5/100,MONTH($A14)))*$B14</f>
        <v>-70340.819396539082</v>
      </c>
      <c r="W14" s="1021">
        <f>(VLOOKUP(YEAR($A14),'NY East Load Projections'!$A$4:$EO$14,((MONTH($A14)-1)*12)+VLOOKUP(W$4,$DE$6:$DF$17,2)+1))*(VLOOKUP($A14,CURVES!$D$9:$K$261,4))*(INDEX(DailyScalarsTable,W$5/100,MONTH($A14)))*$B14</f>
        <v>-68142.37266341268</v>
      </c>
      <c r="X14" s="1021">
        <f>(VLOOKUP(YEAR($A14),'NY East Load Projections'!$A$4:$EO$14,((MONTH($A14)-1)*12)+VLOOKUP(X$4,$DE$6:$DF$17,2)+1))*(VLOOKUP($A14,CURVES!$D$9:$K$261,4))*(INDEX(DailyScalarsTable,X$5/100,MONTH($A14)))*$B14</f>
        <v>-70873.185233340118</v>
      </c>
      <c r="Y14" s="1021">
        <f>(VLOOKUP(YEAR($A14),'NY East Load Projections'!$A$4:$EO$14,((MONTH($A14)-1)*12)+VLOOKUP(Y$4,$DE$6:$DF$17,2)+1))*(VLOOKUP($A14,CURVES!$D$9:$K$261,4))*(INDEX(DailyScalarsTable,Y$5/100,MONTH($A14)))*$B14</f>
        <v>-69134.527364478316</v>
      </c>
      <c r="Z14" s="1021">
        <f>(VLOOKUP(YEAR($A14),'NY East Load Projections'!$A$4:$EO$14,((MONTH($A14)-1)*12)+VLOOKUP(Z$4,$DE$6:$DF$17,2)+1))*(VLOOKUP($A14,CURVES!$D$9:$K$261,4))*(INDEX(DailyScalarsTable,Z$5/100,MONTH($A14)))*$B14</f>
        <v>-56625.341539562105</v>
      </c>
      <c r="AA14" s="1021">
        <f>(VLOOKUP(YEAR($A14),'NY East Load Projections'!$A$4:$EO$14,((MONTH($A14)-1)*12)+VLOOKUP(AA$4,$DE$6:$DF$17,2)+1))*(VLOOKUP($A14,CURVES!$D$9:$K$261,4))*(INDEX(DailyScalarsTable,AA$5/100,MONTH($A14)))*$B14</f>
        <v>-74002.769397291355</v>
      </c>
      <c r="AB14" s="1021">
        <f>(VLOOKUP(YEAR($A14),'NY East Load Projections'!$A$4:$EO$14,((MONTH($A14)-1)*12)+VLOOKUP(AB$4,$DE$6:$DF$17,2)+1))*(VLOOKUP($A14,CURVES!$D$9:$K$261,4))*(INDEX(DailyScalarsTable,AB$5/100,MONTH($A14)))*$B14</f>
        <v>-71255.12279417603</v>
      </c>
      <c r="AC14" s="1021">
        <f>(VLOOKUP(YEAR($A14),'NY East Load Projections'!$A$4:$EO$14,((MONTH($A14)-1)*12)+VLOOKUP(AC$4,$DE$6:$DF$17,2)+1))*(VLOOKUP($A14,CURVES!$D$9:$K$261,4))*(INDEX(DailyScalarsTable,AC$5/100,MONTH($A14)))*$B14</f>
        <v>-54232.191815140592</v>
      </c>
      <c r="AD14" s="1021">
        <f>(VLOOKUP(YEAR($A14),'NY East Load Projections'!$A$4:$EO$14,((MONTH($A14)-1)*12)+VLOOKUP(AD$4,$DE$6:$DF$17,2)+1))*(VLOOKUP($A14,CURVES!$D$9:$K$261,4))*(INDEX(DailyScalarsTable,AD$5/100,MONTH($A14)))*$B14</f>
        <v>-42976.783652410821</v>
      </c>
      <c r="AE14" s="1021">
        <f>(VLOOKUP(YEAR($A14),'NY East Load Projections'!$A$4:$EO$14,((MONTH($A14)-1)*12)+VLOOKUP(AE$4,$DE$6:$DF$17,2)+1))*(VLOOKUP($A14,CURVES!$D$9:$K$261,8))*(INDEX(DailyScalarsTable,AE$5/100,MONTH($A14)))*$B14</f>
        <v>-39933.664773755343</v>
      </c>
      <c r="AF14" s="1021"/>
      <c r="AG14" s="1021">
        <f>(VLOOKUP(YEAR($A14),'NY East Load Projections'!$A$4:$EO$14,((MONTH($A14)-1)*12)+VLOOKUP(AG$4,$DE$6:$DF$17,2)+1))*(VLOOKUP($A14,CURVES!$D$9:$T$261,8))*(INDEX(DailyScalarsTable,AG$5/100,MONTH($A14)))*$C14</f>
        <v>-9295.2551318929018</v>
      </c>
      <c r="AH14" s="1021">
        <f>(VLOOKUP(YEAR($A14),'NY East Load Projections'!$A$4:$EO$14,((MONTH($A14)-1)*12)+VLOOKUP(AH$4,$DE$6:$DF$17,2)+1))*(VLOOKUP($A14,CURVES!$D$9:$T$261,8))*(INDEX(DailyScalarsTable,AH$5/100,MONTH($A14)))*$C14</f>
        <v>-8154.8923610764741</v>
      </c>
      <c r="AI14" s="1021">
        <f>(VLOOKUP(YEAR($A14),'NY East Load Projections'!$A$4:$EO$14,((MONTH($A14)-1)*12)+VLOOKUP(AI$4,$DE$6:$DF$17,2)+1))*(VLOOKUP($A14,CURVES!$D$9:$T$261,8))*(INDEX(DailyScalarsTable,AI$5/100,MONTH($A14)))*$C14</f>
        <v>-7647.2774630940075</v>
      </c>
      <c r="AJ14" s="1021">
        <f>(VLOOKUP(YEAR($A14),'NY East Load Projections'!$A$4:$EO$14,((MONTH($A14)-1)*12)+VLOOKUP(AJ$4,$DE$6:$DF$17,2)+1))*(VLOOKUP($A14,CURVES!$D$9:$T$261,8))*(INDEX(DailyScalarsTable,AJ$5/100,MONTH($A14)))*$C14</f>
        <v>-7760.6054403180033</v>
      </c>
      <c r="AK14" s="1021">
        <f>(VLOOKUP(YEAR($A14),'NY East Load Projections'!$A$4:$EO$14,((MONTH($A14)-1)*12)+VLOOKUP(AK$4,$DE$6:$DF$17,2)+1))*(VLOOKUP($A14,CURVES!$D$9:$T$261,8))*(INDEX(DailyScalarsTable,AK$5/100,MONTH($A14)))*$C14</f>
        <v>-8457.6593031654647</v>
      </c>
      <c r="AL14" s="1021">
        <f>(VLOOKUP(YEAR($A14),'NY East Load Projections'!$A$4:$EO$14,((MONTH($A14)-1)*12)+VLOOKUP(AL$4,$DE$6:$DF$17,2)+1))*(VLOOKUP($A14,CURVES!$D$9:$T$261,8))*(INDEX(DailyScalarsTable,AL$5/100,MONTH($A14)))*$C14</f>
        <v>-9787.4349839674724</v>
      </c>
      <c r="AM14" s="1021">
        <f>(VLOOKUP(YEAR($A14),'NY East Load Projections'!$A$4:$EO$14,((MONTH($A14)-1)*12)+VLOOKUP(AM$4,$DE$6:$DF$17,2)+1))*(VLOOKUP($A14,CURVES!$D$9:$T$261,8))*(INDEX(DailyScalarsTable,AM$5/100,MONTH($A14)))*$C14</f>
        <v>-13309.672360715445</v>
      </c>
      <c r="AN14" s="1021">
        <f>(VLOOKUP(YEAR($A14),'NY East Load Projections'!$A$4:$EO$14,((MONTH($A14)-1)*12)+VLOOKUP(AN$4,$DE$6:$DF$17,2)+1))*(VLOOKUP($A14,SatSunCurve,4))*(INDEX(DailyScalarsTable,AN$5/100,MONTH($A14)))*$C14</f>
        <v>-8458.7394777615391</v>
      </c>
      <c r="AO14" s="1021">
        <f>(VLOOKUP(YEAR($A14),'NY East Load Projections'!$A$4:$EO$14,((MONTH($A14)-1)*12)+VLOOKUP(AO$4,$DE$6:$DF$17,2)+1))*(VLOOKUP($A14,SatSunCurve,4))*(INDEX(DailyScalarsTable,AO$5/100,MONTH($A14)))*$C14</f>
        <v>-8927.5208972928867</v>
      </c>
      <c r="AP14" s="1021">
        <f>(VLOOKUP(YEAR($A14),'NY East Load Projections'!$A$4:$EO$14,((MONTH($A14)-1)*12)+VLOOKUP(AP$4,$DE$6:$DF$17,2)+1))*(VLOOKUP($A14,SatSunCurve,4))*(INDEX(DailyScalarsTable,AP$5/100,MONTH($A14)))*$C14</f>
        <v>-11144.341201074112</v>
      </c>
      <c r="AQ14" s="1021">
        <f>(VLOOKUP(YEAR($A14),'NY East Load Projections'!$A$4:$EO$14,((MONTH($A14)-1)*12)+VLOOKUP(AQ$4,$DE$6:$DF$17,2)+1))*(VLOOKUP($A14,SatSunCurve,4))*(INDEX(DailyScalarsTable,AQ$5/100,MONTH($A14)))*$C14</f>
        <v>-11901.640062614282</v>
      </c>
      <c r="AR14" s="1021">
        <f>(VLOOKUP(YEAR($A14),'NY East Load Projections'!$A$4:$EO$14,((MONTH($A14)-1)*12)+VLOOKUP(AR$4,$DE$6:$DF$17,2)+1))*(VLOOKUP($A14,SatSunCurve,4))*(INDEX(DailyScalarsTable,AR$5/100,MONTH($A14)))*$C14</f>
        <v>-12681.313663245417</v>
      </c>
      <c r="AS14" s="1021">
        <f>(VLOOKUP(YEAR($A14),'NY East Load Projections'!$A$4:$EO$14,((MONTH($A14)-1)*12)+VLOOKUP(AS$4,$DE$6:$DF$17,2)+1))*(VLOOKUP($A14,SatSunCurve,4))*(INDEX(DailyScalarsTable,AS$5/100,MONTH($A14)))*$C14</f>
        <v>-12204.87961468357</v>
      </c>
      <c r="AT14" s="1021">
        <f>(VLOOKUP(YEAR($A14),'NY East Load Projections'!$A$4:$EO$14,((MONTH($A14)-1)*12)+VLOOKUP(AT$4,$DE$6:$DF$17,2)+1))*(VLOOKUP($A14,SatSunCurve,4))*(INDEX(DailyScalarsTable,AT$5/100,MONTH($A14)))*$C14</f>
        <v>-13212.171961237762</v>
      </c>
      <c r="AU14" s="1021">
        <f>(VLOOKUP(YEAR($A14),'NY East Load Projections'!$A$4:$EO$14,((MONTH($A14)-1)*12)+VLOOKUP(AU$4,$DE$6:$DF$17,2)+1))*(VLOOKUP($A14,SatSunCurve,4))*(INDEX(DailyScalarsTable,AU$5/100,MONTH($A14)))*$C14</f>
        <v>-13003.706240820467</v>
      </c>
      <c r="AV14" s="1021">
        <f>(VLOOKUP(YEAR($A14),'NY East Load Projections'!$A$4:$EO$14,((MONTH($A14)-1)*12)+VLOOKUP(AV$4,$DE$6:$DF$17,2)+1))*(VLOOKUP($A14,SatSunCurve,4))*(INDEX(DailyScalarsTable,AV$5/100,MONTH($A14)))*$C14</f>
        <v>-12597.285676645555</v>
      </c>
      <c r="AW14" s="1021">
        <f>(VLOOKUP(YEAR($A14),'NY East Load Projections'!$A$4:$EO$14,((MONTH($A14)-1)*12)+VLOOKUP(AW$4,$DE$6:$DF$17,2)+1))*(VLOOKUP($A14,SatSunCurve,4))*(INDEX(DailyScalarsTable,AW$5/100,MONTH($A14)))*$C14</f>
        <v>-13141.666334209767</v>
      </c>
      <c r="AX14" s="1021">
        <f>(VLOOKUP(YEAR($A14),'NY East Load Projections'!$A$4:$EO$14,((MONTH($A14)-1)*12)+VLOOKUP(AX$4,$DE$6:$DF$17,2)+1))*(VLOOKUP($A14,SatSunCurve,4))*(INDEX(DailyScalarsTable,AX$5/100,MONTH($A14)))*$C14</f>
        <v>-12819.275552608751</v>
      </c>
      <c r="AY14" s="1021">
        <f>(VLOOKUP(YEAR($A14),'NY East Load Projections'!$A$4:$EO$14,((MONTH($A14)-1)*12)+VLOOKUP(AY$4,$DE$6:$DF$17,2)+1))*(VLOOKUP($A14,SatSunCurve,4))*(INDEX(DailyScalarsTable,AY$5/100,MONTH($A14)))*$C14</f>
        <v>-10499.75871866882</v>
      </c>
      <c r="AZ14" s="1021">
        <f>(VLOOKUP(YEAR($A14),'NY East Load Projections'!$A$4:$EO$14,((MONTH($A14)-1)*12)+VLOOKUP(AZ$4,$DE$6:$DF$17,2)+1))*(VLOOKUP($A14,SatSunCurve,4))*(INDEX(DailyScalarsTable,AZ$5/100,MONTH($A14)))*$C14</f>
        <v>-13721.969741091591</v>
      </c>
      <c r="BA14" s="1021">
        <f>(VLOOKUP(YEAR($A14),'NY East Load Projections'!$A$4:$EO$14,((MONTH($A14)-1)*12)+VLOOKUP(BA$4,$DE$6:$DF$17,2)+1))*(VLOOKUP($A14,SatSunCurve,4))*(INDEX(DailyScalarsTable,BA$5/100,MONTH($A14)))*$C14</f>
        <v>-13412.087294228459</v>
      </c>
      <c r="BB14" s="1021">
        <f>(VLOOKUP(YEAR($A14),'NY East Load Projections'!$A$4:$EO$14,((MONTH($A14)-1)*12)+VLOOKUP(BB$4,$DE$6:$DF$17,2)+1))*(VLOOKUP($A14,SatSunCurve,4))*(INDEX(DailyScalarsTable,BB$5/100,MONTH($A14)))*$C14</f>
        <v>-10207.924178069878</v>
      </c>
      <c r="BC14" s="1021">
        <f>(VLOOKUP(YEAR($A14),'NY East Load Projections'!$A$4:$EO$14,((MONTH($A14)-1)*12)+VLOOKUP(BC$4,$DE$6:$DF$17,2)+1))*(VLOOKUP($A14,SatSunCurve,4))*(INDEX(DailyScalarsTable,BC$5/100,MONTH($A14)))*$C14</f>
        <v>-8089.3604749835131</v>
      </c>
      <c r="BD14" s="1021">
        <f>(VLOOKUP(YEAR($A14),'NY East Load Projections'!$A$4:$EO$14,((MONTH($A14)-1)*12)+VLOOKUP(BD$4,$DE$6:$DF$17,2)+1))*(VLOOKUP($A14,CURVES!$D$9:$T$261,8))*(INDEX(DailyScalarsTable,BD$5/100,MONTH($A14)))*$C14</f>
        <v>-10925.055222251978</v>
      </c>
      <c r="BE14" s="1021"/>
      <c r="BF14" s="1021">
        <f>(VLOOKUP(YEAR($A14),'NY East Load Projections'!$A$4:$EO$14,((MONTH($A14)-1)*12)+VLOOKUP(BF$4,$DE$6:$DF$17,2)+1))*(VLOOKUP($A14,CURVES!$D$9:$T$261,8))*(INDEX(DailyScalarsTable,BF$5/100,MONTH($A14)))*$D14</f>
        <v>-9295.2551318929018</v>
      </c>
      <c r="BG14" s="1021">
        <f>(VLOOKUP(YEAR($A14),'NY East Load Projections'!$A$4:$EO$14,((MONTH($A14)-1)*12)+VLOOKUP(BG$4,$DE$6:$DF$17,2)+1))*(VLOOKUP($A14,CURVES!$D$9:$T$261,8))*(INDEX(DailyScalarsTable,BG$5/100,MONTH($A14)))*$D14</f>
        <v>-8154.8923610764741</v>
      </c>
      <c r="BH14" s="1021">
        <f>(VLOOKUP(YEAR($A14),'NY East Load Projections'!$A$4:$EO$14,((MONTH($A14)-1)*12)+VLOOKUP(BH$4,$DE$6:$DF$17,2)+1))*(VLOOKUP($A14,CURVES!$D$9:$T$261,8))*(INDEX(DailyScalarsTable,BH$5/100,MONTH($A14)))*$D14</f>
        <v>-7647.2774630940075</v>
      </c>
      <c r="BI14" s="1021">
        <f>(VLOOKUP(YEAR($A14),'NY East Load Projections'!$A$4:$EO$14,((MONTH($A14)-1)*12)+VLOOKUP(BI$4,$DE$6:$DF$17,2)+1))*(VLOOKUP($A14,CURVES!$D$9:$T$261,8))*(INDEX(DailyScalarsTable,BI$5/100,MONTH($A14)))*$D14</f>
        <v>-7760.6054403180033</v>
      </c>
      <c r="BJ14" s="1021">
        <f>(VLOOKUP(YEAR($A14),'NY East Load Projections'!$A$4:$EO$14,((MONTH($A14)-1)*12)+VLOOKUP(BJ$4,$DE$6:$DF$17,2)+1))*(VLOOKUP($A14,CURVES!$D$9:$T$261,8))*(INDEX(DailyScalarsTable,BJ$5/100,MONTH($A14)))*$D14</f>
        <v>-8457.6593031654647</v>
      </c>
      <c r="BK14" s="1021">
        <f>(VLOOKUP(YEAR($A14),'NY East Load Projections'!$A$4:$EO$14,((MONTH($A14)-1)*12)+VLOOKUP(BK$4,$DE$6:$DF$17,2)+1))*(VLOOKUP($A14,CURVES!$D$9:$T$261,8))*(INDEX(DailyScalarsTable,BK$5/100,MONTH($A14)))*$D14</f>
        <v>-9787.4349839674724</v>
      </c>
      <c r="BL14" s="1021">
        <f>(VLOOKUP(YEAR($A14),'NY East Load Projections'!$A$4:$EO$14,((MONTH($A14)-1)*12)+VLOOKUP(BL$4,$DE$6:$DF$17,2)+1))*(VLOOKUP($A14,CURVES!$D$9:$T$261,8))*(INDEX(DailyScalarsTable,BL$5/100,MONTH($A14)))*$D14</f>
        <v>-13309.672360715445</v>
      </c>
      <c r="BM14" s="1021">
        <f>(VLOOKUP(YEAR($A14),'NY East Load Projections'!$A$4:$EO$14,((MONTH($A14)-1)*12)+VLOOKUP(BM$4,$DE$6:$DF$17,2)+1))*(VLOOKUP($A14,SatSunCurve,8))*(INDEX(DailyScalarsTable,BM$5/100,MONTH($A14)))*$D14</f>
        <v>-9346.6737894534981</v>
      </c>
      <c r="BN14" s="1021">
        <f>(VLOOKUP(YEAR($A14),'NY East Load Projections'!$A$4:$EO$14,((MONTH($A14)-1)*12)+VLOOKUP(BN$4,$DE$6:$DF$17,2)+1))*(VLOOKUP($A14,SatSunCurve,8))*(INDEX(DailyScalarsTable,BN$5/100,MONTH($A14)))*$D14</f>
        <v>-9864.6643267475902</v>
      </c>
      <c r="BO14" s="1021">
        <f>(VLOOKUP(YEAR($A14),'NY East Load Projections'!$A$4:$EO$14,((MONTH($A14)-1)*12)+VLOOKUP(BO$4,$DE$6:$DF$17,2)+1))*(VLOOKUP($A14,SatSunCurve,8))*(INDEX(DailyScalarsTable,BO$5/100,MONTH($A14)))*$D14</f>
        <v>-12314.189611661968</v>
      </c>
      <c r="BP14" s="1021">
        <f>(VLOOKUP(YEAR($A14),'NY East Load Projections'!$A$4:$EO$14,((MONTH($A14)-1)*12)+VLOOKUP(BP$4,$DE$6:$DF$17,2)+1))*(VLOOKUP($A14,SatSunCurve,8))*(INDEX(DailyScalarsTable,BP$5/100,MONTH($A14)))*$D14</f>
        <v>-13150.983963651353</v>
      </c>
      <c r="BQ14" s="1021">
        <f>(VLOOKUP(YEAR($A14),'NY East Load Projections'!$A$4:$EO$14,((MONTH($A14)-1)*12)+VLOOKUP(BQ$4,$DE$6:$DF$17,2)+1))*(VLOOKUP($A14,SatSunCurve,8))*(INDEX(DailyScalarsTable,BQ$5/100,MONTH($A14)))*$D14</f>
        <v>-14012.501785131335</v>
      </c>
      <c r="BR14" s="1021">
        <f>(VLOOKUP(YEAR($A14),'NY East Load Projections'!$A$4:$EO$14,((MONTH($A14)-1)*12)+VLOOKUP(BR$4,$DE$6:$DF$17,2)+1))*(VLOOKUP($A14,SatSunCurve,8))*(INDEX(DailyScalarsTable,BR$5/100,MONTH($A14)))*$D14</f>
        <v>-13486.055303855539</v>
      </c>
      <c r="BS14" s="1021">
        <f>(VLOOKUP(YEAR($A14),'NY East Load Projections'!$A$4:$EO$14,((MONTH($A14)-1)*12)+VLOOKUP(BS$4,$DE$6:$DF$17,2)+1))*(VLOOKUP($A14,SatSunCurve,8))*(INDEX(DailyScalarsTable,BS$5/100,MONTH($A14)))*$D14</f>
        <v>-14599.085560740416</v>
      </c>
      <c r="BT14" s="1021">
        <f>(VLOOKUP(YEAR($A14),'NY East Load Projections'!$A$4:$EO$14,((MONTH($A14)-1)*12)+VLOOKUP(BT$4,$DE$6:$DF$17,2)+1))*(VLOOKUP($A14,SatSunCurve,8))*(INDEX(DailyScalarsTable,BT$5/100,MONTH($A14)))*$D14</f>
        <v>-14368.73669018512</v>
      </c>
      <c r="BU14" s="1021">
        <f>(VLOOKUP(YEAR($A14),'NY East Load Projections'!$A$4:$EO$14,((MONTH($A14)-1)*12)+VLOOKUP(BU$4,$DE$6:$DF$17,2)+1))*(VLOOKUP($A14,SatSunCurve,8))*(INDEX(DailyScalarsTable,BU$5/100,MONTH($A14)))*$D14</f>
        <v>-13919.653177842001</v>
      </c>
      <c r="BV14" s="1021">
        <f>(VLOOKUP(YEAR($A14),'NY East Load Projections'!$A$4:$EO$14,((MONTH($A14)-1)*12)+VLOOKUP(BV$4,$DE$6:$DF$17,2)+1))*(VLOOKUP($A14,SatSunCurve,8))*(INDEX(DailyScalarsTable,BV$5/100,MONTH($A14)))*$D14</f>
        <v>-14521.178787765073</v>
      </c>
      <c r="BW14" s="1021">
        <f>(VLOOKUP(YEAR($A14),'NY East Load Projections'!$A$4:$EO$14,((MONTH($A14)-1)*12)+VLOOKUP(BW$4,$DE$6:$DF$17,2)+1))*(VLOOKUP($A14,SatSunCurve,8))*(INDEX(DailyScalarsTable,BW$5/100,MONTH($A14)))*$D14</f>
        <v>-14164.945867213055</v>
      </c>
      <c r="BX14" s="1021">
        <f>(VLOOKUP(YEAR($A14),'NY East Load Projections'!$A$4:$EO$14,((MONTH($A14)-1)*12)+VLOOKUP(BX$4,$DE$6:$DF$17,2)+1))*(VLOOKUP($A14,SatSunCurve,8))*(INDEX(DailyScalarsTable,BX$5/100,MONTH($A14)))*$D14</f>
        <v>-11601.943749346705</v>
      </c>
      <c r="BY14" s="1021">
        <f>(VLOOKUP(YEAR($A14),'NY East Load Projections'!$A$4:$EO$14,((MONTH($A14)-1)*12)+VLOOKUP(BY$4,$DE$6:$DF$17,2)+1))*(VLOOKUP($A14,SatSunCurve,8))*(INDEX(DailyScalarsTable,BY$5/100,MONTH($A14)))*$D14</f>
        <v>-15162.3980447587</v>
      </c>
      <c r="BZ14" s="1021">
        <f>(VLOOKUP(YEAR($A14),'NY East Load Projections'!$A$4:$EO$14,((MONTH($A14)-1)*12)+VLOOKUP(BZ$4,$DE$6:$DF$17,2)+1))*(VLOOKUP($A14,SatSunCurve,8))*(INDEX(DailyScalarsTable,BZ$5/100,MONTH($A14)))*$D14</f>
        <v>-14819.986489050896</v>
      </c>
      <c r="CA14" s="1021">
        <f>(VLOOKUP(YEAR($A14),'NY East Load Projections'!$A$4:$EO$14,((MONTH($A14)-1)*12)+VLOOKUP(CA$4,$DE$6:$DF$17,2)+1))*(VLOOKUP($A14,SatSunCurve,8))*(INDEX(DailyScalarsTable,CA$5/100,MONTH($A14)))*$D14</f>
        <v>-11279.474632211164</v>
      </c>
      <c r="CB14" s="1021">
        <f>(VLOOKUP(YEAR($A14),'NY East Load Projections'!$A$4:$EO$14,((MONTH($A14)-1)*12)+VLOOKUP(CB$4,$DE$6:$DF$17,2)+1))*(VLOOKUP($A14,SatSunCurve,8))*(INDEX(DailyScalarsTable,CB$5/100,MONTH($A14)))*$D14</f>
        <v>-8938.5201806662153</v>
      </c>
      <c r="CC14" s="1021">
        <f>(VLOOKUP(YEAR($A14),'NY East Load Projections'!$A$4:$EO$14,((MONTH($A14)-1)*12)+VLOOKUP(CC$4,$DE$6:$DF$17,2)+1))*(VLOOKUP($A14,CURVES!$D$9:$T$261,8))*(INDEX(DailyScalarsTable,CC$5/100,MONTH($A14)))*$D14</f>
        <v>-10925.055222251978</v>
      </c>
      <c r="CE14" s="1021">
        <f>(VLOOKUP(YEAR($A14),'NY East Load Projections'!$A$4:$EO$14,((MONTH($A14)-1)*12)+VLOOKUP(CE$4,$DE$6:$DF$17,2)+1))*(VLOOKUP($A14,CURVES!$D$9:$T$261,8))*(INDEX(DailyScalarsTable,CE$5/100,MONTH($A14)))*$E14</f>
        <v>-1859.0510263785802</v>
      </c>
      <c r="CF14" s="1021">
        <f>(VLOOKUP(YEAR($A14),'NY East Load Projections'!$A$4:$EO$14,((MONTH($A14)-1)*12)+VLOOKUP(CF$4,$DE$6:$DF$17,2)+1))*(VLOOKUP($A14,CURVES!$D$9:$T$261,8))*(INDEX(DailyScalarsTable,CF$5/100,MONTH($A14)))*$E14</f>
        <v>-1630.9784722152949</v>
      </c>
      <c r="CG14" s="1021">
        <f>(VLOOKUP(YEAR($A14),'NY East Load Projections'!$A$4:$EO$14,((MONTH($A14)-1)*12)+VLOOKUP(CG$4,$DE$6:$DF$17,2)+1))*(VLOOKUP($A14,CURVES!$D$9:$T$261,8))*(INDEX(DailyScalarsTable,CG$5/100,MONTH($A14)))*$E14</f>
        <v>-1529.4554926188016</v>
      </c>
      <c r="CH14" s="1021">
        <f>(VLOOKUP(YEAR($A14),'NY East Load Projections'!$A$4:$EO$14,((MONTH($A14)-1)*12)+VLOOKUP(CH$4,$DE$6:$DF$17,2)+1))*(VLOOKUP($A14,CURVES!$D$9:$T$261,8))*(INDEX(DailyScalarsTable,CH$5/100,MONTH($A14)))*$E14</f>
        <v>-1552.1210880636006</v>
      </c>
      <c r="CI14" s="1021">
        <f>(VLOOKUP(YEAR($A14),'NY East Load Projections'!$A$4:$EO$14,((MONTH($A14)-1)*12)+VLOOKUP(CI$4,$DE$6:$DF$17,2)+1))*(VLOOKUP($A14,CURVES!$D$9:$T$261,8))*(INDEX(DailyScalarsTable,CI$5/100,MONTH($A14)))*$E14</f>
        <v>-1691.5318606330929</v>
      </c>
      <c r="CJ14" s="1021">
        <f>(VLOOKUP(YEAR($A14),'NY East Load Projections'!$A$4:$EO$14,((MONTH($A14)-1)*12)+VLOOKUP(CJ$4,$DE$6:$DF$17,2)+1))*(VLOOKUP($A14,CURVES!$D$9:$T$261,8))*(INDEX(DailyScalarsTable,CJ$5/100,MONTH($A14)))*$E14</f>
        <v>-1957.4869967934944</v>
      </c>
      <c r="CK14" s="1021">
        <f>(VLOOKUP(YEAR($A14),'NY East Load Projections'!$A$4:$EO$14,((MONTH($A14)-1)*12)+VLOOKUP(CK$4,$DE$6:$DF$17,2)+1))*(VLOOKUP($A14,CURVES!$D$9:$T$261,8))*(INDEX(DailyScalarsTable,CK$5/100,MONTH($A14)))*$E14</f>
        <v>-2661.9344721430889</v>
      </c>
      <c r="CL14" s="1021">
        <f>(VLOOKUP(YEAR($A14),'NY East Load Projections'!$A$4:$EO$14,((MONTH($A14)-1)*12)+VLOOKUP(CL$4,$DE$6:$DF$17,2)+1))*(VLOOKUP($A14,SatSunCurve,8))*(INDEX(DailyScalarsTable,CL$5/100,MONTH($A14)))*$E14</f>
        <v>-1869.3347578906996</v>
      </c>
      <c r="CM14" s="1021">
        <f>(VLOOKUP(YEAR($A14),'NY East Load Projections'!$A$4:$EO$14,((MONTH($A14)-1)*12)+VLOOKUP(CM$4,$DE$6:$DF$17,2)+1))*(VLOOKUP($A14,SatSunCurve,8))*(INDEX(DailyScalarsTable,CM$5/100,MONTH($A14)))*$E14</f>
        <v>-1972.9328653495181</v>
      </c>
      <c r="CN14" s="1021">
        <f>(VLOOKUP(YEAR($A14),'NY East Load Projections'!$A$4:$EO$14,((MONTH($A14)-1)*12)+VLOOKUP(CN$4,$DE$6:$DF$17,2)+1))*(VLOOKUP($A14,SatSunCurve,8))*(INDEX(DailyScalarsTable,CN$5/100,MONTH($A14)))*$E14</f>
        <v>-2462.8379223323936</v>
      </c>
      <c r="CO14" s="1021">
        <f>(VLOOKUP(YEAR($A14),'NY East Load Projections'!$A$4:$EO$14,((MONTH($A14)-1)*12)+VLOOKUP(CO$4,$DE$6:$DF$17,2)+1))*(VLOOKUP($A14,SatSunCurve,8))*(INDEX(DailyScalarsTable,CO$5/100,MONTH($A14)))*$E14</f>
        <v>-2630.1967927302708</v>
      </c>
      <c r="CP14" s="1021">
        <f>(VLOOKUP(YEAR($A14),'NY East Load Projections'!$A$4:$EO$14,((MONTH($A14)-1)*12)+VLOOKUP(CP$4,$DE$6:$DF$17,2)+1))*(VLOOKUP($A14,SatSunCurve,8))*(INDEX(DailyScalarsTable,CP$5/100,MONTH($A14)))*$E14</f>
        <v>-2802.500357026267</v>
      </c>
      <c r="CQ14" s="1021">
        <f>(VLOOKUP(YEAR($A14),'NY East Load Projections'!$A$4:$EO$14,((MONTH($A14)-1)*12)+VLOOKUP(CQ$4,$DE$6:$DF$17,2)+1))*(VLOOKUP($A14,SatSunCurve,8))*(INDEX(DailyScalarsTable,CQ$5/100,MONTH($A14)))*$E14</f>
        <v>-2697.2110607711079</v>
      </c>
      <c r="CR14" s="1021">
        <f>(VLOOKUP(YEAR($A14),'NY East Load Projections'!$A$4:$EO$14,((MONTH($A14)-1)*12)+VLOOKUP(CR$4,$DE$6:$DF$17,2)+1))*(VLOOKUP($A14,SatSunCurve,8))*(INDEX(DailyScalarsTable,CR$5/100,MONTH($A14)))*$E14</f>
        <v>-2919.8171121480832</v>
      </c>
      <c r="CS14" s="1021">
        <f>(VLOOKUP(YEAR($A14),'NY East Load Projections'!$A$4:$EO$14,((MONTH($A14)-1)*12)+VLOOKUP(CS$4,$DE$6:$DF$17,2)+1))*(VLOOKUP($A14,SatSunCurve,8))*(INDEX(DailyScalarsTable,CS$5/100,MONTH($A14)))*$E14</f>
        <v>-2873.7473380370238</v>
      </c>
      <c r="CT14" s="1021">
        <f>(VLOOKUP(YEAR($A14),'NY East Load Projections'!$A$4:$EO$14,((MONTH($A14)-1)*12)+VLOOKUP(CT$4,$DE$6:$DF$17,2)+1))*(VLOOKUP($A14,SatSunCurve,8))*(INDEX(DailyScalarsTable,CT$5/100,MONTH($A14)))*$E14</f>
        <v>-2783.9306355684002</v>
      </c>
      <c r="CU14" s="1021">
        <f>(VLOOKUP(YEAR($A14),'NY East Load Projections'!$A$4:$EO$14,((MONTH($A14)-1)*12)+VLOOKUP(CU$4,$DE$6:$DF$17,2)+1))*(VLOOKUP($A14,SatSunCurve,8))*(INDEX(DailyScalarsTable,CU$5/100,MONTH($A14)))*$E14</f>
        <v>-2904.2357575530145</v>
      </c>
      <c r="CV14" s="1021">
        <f>(VLOOKUP(YEAR($A14),'NY East Load Projections'!$A$4:$EO$14,((MONTH($A14)-1)*12)+VLOOKUP(CV$4,$DE$6:$DF$17,2)+1))*(VLOOKUP($A14,SatSunCurve,8))*(INDEX(DailyScalarsTable,CV$5/100,MONTH($A14)))*$E14</f>
        <v>-2832.989173442611</v>
      </c>
      <c r="CW14" s="1021">
        <f>(VLOOKUP(YEAR($A14),'NY East Load Projections'!$A$4:$EO$14,((MONTH($A14)-1)*12)+VLOOKUP(CW$4,$DE$6:$DF$17,2)+1))*(VLOOKUP($A14,SatSunCurve,8))*(INDEX(DailyScalarsTable,CW$5/100,MONTH($A14)))*$E14</f>
        <v>-2320.3887498693412</v>
      </c>
      <c r="CX14" s="1021">
        <f>(VLOOKUP(YEAR($A14),'NY East Load Projections'!$A$4:$EO$14,((MONTH($A14)-1)*12)+VLOOKUP(CX$4,$DE$6:$DF$17,2)+1))*(VLOOKUP($A14,SatSunCurve,8))*(INDEX(DailyScalarsTable,CX$5/100,MONTH($A14)))*$E14</f>
        <v>-3032.4796089517399</v>
      </c>
      <c r="CY14" s="1021">
        <f>(VLOOKUP(YEAR($A14),'NY East Load Projections'!$A$4:$EO$14,((MONTH($A14)-1)*12)+VLOOKUP(CY$4,$DE$6:$DF$17,2)+1))*(VLOOKUP($A14,SatSunCurve,8))*(INDEX(DailyScalarsTable,CY$5/100,MONTH($A14)))*$E14</f>
        <v>-2963.9972978101791</v>
      </c>
      <c r="CZ14" s="1021">
        <f>(VLOOKUP(YEAR($A14),'NY East Load Projections'!$A$4:$EO$14,((MONTH($A14)-1)*12)+VLOOKUP(CZ$4,$DE$6:$DF$17,2)+1))*(VLOOKUP($A14,SatSunCurve,8))*(INDEX(DailyScalarsTable,CZ$5/100,MONTH($A14)))*$E14</f>
        <v>-2255.8949264422326</v>
      </c>
      <c r="DA14" s="1021">
        <f>(VLOOKUP(YEAR($A14),'NY East Load Projections'!$A$4:$EO$14,((MONTH($A14)-1)*12)+VLOOKUP(DA$4,$DE$6:$DF$17,2)+1))*(VLOOKUP($A14,SatSunCurve,8))*(INDEX(DailyScalarsTable,DA$5/100,MONTH($A14)))*$E14</f>
        <v>-1787.7040361332431</v>
      </c>
      <c r="DB14" s="1021">
        <f>(VLOOKUP(YEAR($A14),'NY East Load Projections'!$A$4:$EO$14,((MONTH($A14)-1)*12)+VLOOKUP(DB$4,$DE$6:$DF$17,2)+1))*(VLOOKUP($A14,CURVES!$D$9:$T$261,8))*(INDEX(DailyScalarsTable,DB$5/100,MONTH($A14)))*$E14</f>
        <v>-2185.0110444503957</v>
      </c>
      <c r="DE14" s="221" t="s">
        <v>566</v>
      </c>
      <c r="DF14" s="619">
        <v>9</v>
      </c>
      <c r="DH14" s="1021">
        <f t="shared" si="0"/>
        <v>-1888411.4439916308</v>
      </c>
      <c r="DI14">
        <f ca="1">CALC!J34</f>
        <v>0.89458343599949186</v>
      </c>
      <c r="DJ14" s="1029">
        <f t="shared" ca="1" si="1"/>
        <v>-1689341.5981467951</v>
      </c>
    </row>
    <row r="15" spans="1:114" x14ac:dyDescent="0.25">
      <c r="A15" s="244">
        <v>37165</v>
      </c>
      <c r="B15" s="13">
        <v>23</v>
      </c>
      <c r="C15" s="210">
        <v>4</v>
      </c>
      <c r="D15" s="210">
        <v>4</v>
      </c>
      <c r="E15" s="210">
        <v>0</v>
      </c>
      <c r="F15" s="13">
        <v>31</v>
      </c>
      <c r="H15" s="1021">
        <f>(VLOOKUP(YEAR($A15),'NY East Load Projections'!$A$4:$EO$14,((MONTH($A15)-1)*12)+VLOOKUP(H$4,$DE$6:$DF$17,2)+1))*(VLOOKUP($A15,CURVES!$D$9:$K$261,8))*(INDEX(DailyScalarsTable,H$5/100,MONTH($A15)))*$B15</f>
        <v>-37798.872043074713</v>
      </c>
      <c r="I15" s="1021">
        <f>(VLOOKUP(YEAR($A15),'NY East Load Projections'!$A$4:$EO$14,((MONTH($A15)-1)*12)+VLOOKUP(I$4,$DE$6:$DF$17,2)+1))*(VLOOKUP($A15,CURVES!$D$9:$K$261,8))*(INDEX(DailyScalarsTable,I$5/100,MONTH($A15)))*$B15</f>
        <v>-35876.085819082604</v>
      </c>
      <c r="J15" s="1021">
        <f>(VLOOKUP(YEAR($A15),'NY East Load Projections'!$A$4:$EO$14,((MONTH($A15)-1)*12)+VLOOKUP(J$4,$DE$6:$DF$17,2)+1))*(VLOOKUP($A15,CURVES!$D$9:$K$261,8))*(INDEX(DailyScalarsTable,J$5/100,MONTH($A15)))*$B15</f>
        <v>-34462.857849067703</v>
      </c>
      <c r="K15" s="1021">
        <f>(VLOOKUP(YEAR($A15),'NY East Load Projections'!$A$4:$EO$14,((MONTH($A15)-1)*12)+VLOOKUP(K$4,$DE$6:$DF$17,2)+1))*(VLOOKUP($A15,CURVES!$D$9:$K$261,8))*(INDEX(DailyScalarsTable,K$5/100,MONTH($A15)))*$B15</f>
        <v>-34482.762468363682</v>
      </c>
      <c r="L15" s="1021">
        <f>(VLOOKUP(YEAR($A15),'NY East Load Projections'!$A$4:$EO$14,((MONTH($A15)-1)*12)+VLOOKUP(L$4,$DE$6:$DF$17,2)+1))*(VLOOKUP($A15,CURVES!$D$9:$K$261,8))*(INDEX(DailyScalarsTable,L$5/100,MONTH($A15)))*$B15</f>
        <v>-39605.749631959472</v>
      </c>
      <c r="M15" s="1021">
        <f>(VLOOKUP(YEAR($A15),'NY East Load Projections'!$A$4:$EO$14,((MONTH($A15)-1)*12)+VLOOKUP(M$4,$DE$6:$DF$17,2)+1))*(VLOOKUP($A15,CURVES!$D$9:$K$261,8))*(INDEX(DailyScalarsTable,M$5/100,MONTH($A15)))*$B15</f>
        <v>-45500.658292776745</v>
      </c>
      <c r="N15" s="1021">
        <f>(VLOOKUP(YEAR($A15),'NY East Load Projections'!$A$4:$EO$14,((MONTH($A15)-1)*12)+VLOOKUP(N$4,$DE$6:$DF$17,2)+1))*(VLOOKUP($A15,CURVES!$D$9:$K$261,8))*(INDEX(DailyScalarsTable,N$5/100,MONTH($A15)))*$B15</f>
        <v>-58820.843490098465</v>
      </c>
      <c r="O15" s="1021">
        <f>(VLOOKUP(YEAR($A15),'NY East Load Projections'!$A$4:$EO$14,((MONTH($A15)-1)*12)+VLOOKUP(O$4,$DE$6:$DF$17,2)+1))*(VLOOKUP($A15,CURVES!$D$9:$K$261,4))*(INDEX(DailyScalarsTable,O$5/100,MONTH($A15)))*$B15</f>
        <v>-72239.240196843311</v>
      </c>
      <c r="P15" s="1021">
        <f>(VLOOKUP(YEAR($A15),'NY East Load Projections'!$A$4:$EO$14,((MONTH($A15)-1)*12)+VLOOKUP(P$4,$DE$6:$DF$17,2)+1))*(VLOOKUP($A15,CURVES!$D$9:$K$261,4))*(INDEX(DailyScalarsTable,P$5/100,MONTH($A15)))*$B15</f>
        <v>-81456.712484533695</v>
      </c>
      <c r="Q15" s="1021">
        <f>(VLOOKUP(YEAR($A15),'NY East Load Projections'!$A$4:$EO$14,((MONTH($A15)-1)*12)+VLOOKUP(Q$4,$DE$6:$DF$17,2)+1))*(VLOOKUP($A15,CURVES!$D$9:$K$261,4))*(INDEX(DailyScalarsTable,Q$5/100,MONTH($A15)))*$B15</f>
        <v>-81204.992112208187</v>
      </c>
      <c r="R15" s="1021">
        <f>(VLOOKUP(YEAR($A15),'NY East Load Projections'!$A$4:$EO$14,((MONTH($A15)-1)*12)+VLOOKUP(R$4,$DE$6:$DF$17,2)+1))*(VLOOKUP($A15,CURVES!$D$9:$K$261,4))*(INDEX(DailyScalarsTable,R$5/100,MONTH($A15)))*$B15</f>
        <v>-80744.70343138442</v>
      </c>
      <c r="S15" s="1021">
        <f>(VLOOKUP(YEAR($A15),'NY East Load Projections'!$A$4:$EO$14,((MONTH($A15)-1)*12)+VLOOKUP(S$4,$DE$6:$DF$17,2)+1))*(VLOOKUP($A15,CURVES!$D$9:$K$261,4))*(INDEX(DailyScalarsTable,S$5/100,MONTH($A15)))*$B15</f>
        <v>-68137.108783195494</v>
      </c>
      <c r="T15" s="1021">
        <f>(VLOOKUP(YEAR($A15),'NY East Load Projections'!$A$4:$EO$14,((MONTH($A15)-1)*12)+VLOOKUP(T$4,$DE$6:$DF$17,2)+1))*(VLOOKUP($A15,CURVES!$D$9:$K$261,4))*(INDEX(DailyScalarsTable,T$5/100,MONTH($A15)))*$B15</f>
        <v>-64498.086182173363</v>
      </c>
      <c r="U15" s="1021">
        <f>(VLOOKUP(YEAR($A15),'NY East Load Projections'!$A$4:$EO$14,((MONTH($A15)-1)*12)+VLOOKUP(U$4,$DE$6:$DF$17,2)+1))*(VLOOKUP($A15,CURVES!$D$9:$K$261,4))*(INDEX(DailyScalarsTable,U$5/100,MONTH($A15)))*$B15</f>
        <v>-62707.881969677932</v>
      </c>
      <c r="V15" s="1021">
        <f>(VLOOKUP(YEAR($A15),'NY East Load Projections'!$A$4:$EO$14,((MONTH($A15)-1)*12)+VLOOKUP(V$4,$DE$6:$DF$17,2)+1))*(VLOOKUP($A15,CURVES!$D$9:$K$261,4))*(INDEX(DailyScalarsTable,V$5/100,MONTH($A15)))*$B15</f>
        <v>-61251.076112546019</v>
      </c>
      <c r="W15" s="1021">
        <f>(VLOOKUP(YEAR($A15),'NY East Load Projections'!$A$4:$EO$14,((MONTH($A15)-1)*12)+VLOOKUP(W$4,$DE$6:$DF$17,2)+1))*(VLOOKUP($A15,CURVES!$D$9:$K$261,4))*(INDEX(DailyScalarsTable,W$5/100,MONTH($A15)))*$B15</f>
        <v>-60830.704273174633</v>
      </c>
      <c r="X15" s="1021">
        <f>(VLOOKUP(YEAR($A15),'NY East Load Projections'!$A$4:$EO$14,((MONTH($A15)-1)*12)+VLOOKUP(X$4,$DE$6:$DF$17,2)+1))*(VLOOKUP($A15,CURVES!$D$9:$K$261,4))*(INDEX(DailyScalarsTable,X$5/100,MONTH($A15)))*$B15</f>
        <v>-61629.990678654358</v>
      </c>
      <c r="Y15" s="1021">
        <f>(VLOOKUP(YEAR($A15),'NY East Load Projections'!$A$4:$EO$14,((MONTH($A15)-1)*12)+VLOOKUP(Y$4,$DE$6:$DF$17,2)+1))*(VLOOKUP($A15,CURVES!$D$9:$K$261,4))*(INDEX(DailyScalarsTable,Y$5/100,MONTH($A15)))*$B15</f>
        <v>-83140.908063683775</v>
      </c>
      <c r="Z15" s="1021">
        <f>(VLOOKUP(YEAR($A15),'NY East Load Projections'!$A$4:$EO$14,((MONTH($A15)-1)*12)+VLOOKUP(Z$4,$DE$6:$DF$17,2)+1))*(VLOOKUP($A15,CURVES!$D$9:$K$261,4))*(INDEX(DailyScalarsTable,Z$5/100,MONTH($A15)))*$B15</f>
        <v>-83792.124242167774</v>
      </c>
      <c r="AA15" s="1021">
        <f>(VLOOKUP(YEAR($A15),'NY East Load Projections'!$A$4:$EO$14,((MONTH($A15)-1)*12)+VLOOKUP(AA$4,$DE$6:$DF$17,2)+1))*(VLOOKUP($A15,CURVES!$D$9:$K$261,4))*(INDEX(DailyScalarsTable,AA$5/100,MONTH($A15)))*$B15</f>
        <v>-80134.229111959881</v>
      </c>
      <c r="AB15" s="1021">
        <f>(VLOOKUP(YEAR($A15),'NY East Load Projections'!$A$4:$EO$14,((MONTH($A15)-1)*12)+VLOOKUP(AB$4,$DE$6:$DF$17,2)+1))*(VLOOKUP($A15,CURVES!$D$9:$K$261,4))*(INDEX(DailyScalarsTable,AB$5/100,MONTH($A15)))*$B15</f>
        <v>-69465.987017649881</v>
      </c>
      <c r="AC15" s="1021">
        <f>(VLOOKUP(YEAR($A15),'NY East Load Projections'!$A$4:$EO$14,((MONTH($A15)-1)*12)+VLOOKUP(AC$4,$DE$6:$DF$17,2)+1))*(VLOOKUP($A15,CURVES!$D$9:$K$261,4))*(INDEX(DailyScalarsTable,AC$5/100,MONTH($A15)))*$B15</f>
        <v>-57625.119925671395</v>
      </c>
      <c r="AD15" s="1021">
        <f>(VLOOKUP(YEAR($A15),'NY East Load Projections'!$A$4:$EO$14,((MONTH($A15)-1)*12)+VLOOKUP(AD$4,$DE$6:$DF$17,2)+1))*(VLOOKUP($A15,CURVES!$D$9:$K$261,4))*(INDEX(DailyScalarsTable,AD$5/100,MONTH($A15)))*$B15</f>
        <v>-49131.149953544125</v>
      </c>
      <c r="AE15" s="1021">
        <f>(VLOOKUP(YEAR($A15),'NY East Load Projections'!$A$4:$EO$14,((MONTH($A15)-1)*12)+VLOOKUP(AE$4,$DE$6:$DF$17,2)+1))*(VLOOKUP($A15,CURVES!$D$9:$K$261,8))*(INDEX(DailyScalarsTable,AE$5/100,MONTH($A15)))*$B15</f>
        <v>-42883.560223983724</v>
      </c>
      <c r="AF15" s="1021"/>
      <c r="AG15" s="1021">
        <f>(VLOOKUP(YEAR($A15),'NY East Load Projections'!$A$4:$EO$14,((MONTH($A15)-1)*12)+VLOOKUP(AG$4,$DE$6:$DF$17,2)+1))*(VLOOKUP($A15,CURVES!$D$9:$T$261,8))*(INDEX(DailyScalarsTable,AG$5/100,MONTH($A15)))*$C15</f>
        <v>-7214.274360362585</v>
      </c>
      <c r="AH15" s="1021">
        <f>(VLOOKUP(YEAR($A15),'NY East Load Projections'!$A$4:$EO$14,((MONTH($A15)-1)*12)+VLOOKUP(AH$4,$DE$6:$DF$17,2)+1))*(VLOOKUP($A15,CURVES!$D$9:$T$261,8))*(INDEX(DailyScalarsTable,AH$5/100,MONTH($A15)))*$C15</f>
        <v>-6847.2923154910604</v>
      </c>
      <c r="AI15" s="1021">
        <f>(VLOOKUP(YEAR($A15),'NY East Load Projections'!$A$4:$EO$14,((MONTH($A15)-1)*12)+VLOOKUP(AI$4,$DE$6:$DF$17,2)+1))*(VLOOKUP($A15,CURVES!$D$9:$T$261,8))*(INDEX(DailyScalarsTable,AI$5/100,MONTH($A15)))*$C15</f>
        <v>-6577.5643114964614</v>
      </c>
      <c r="AJ15" s="1021">
        <f>(VLOOKUP(YEAR($A15),'NY East Load Projections'!$A$4:$EO$14,((MONTH($A15)-1)*12)+VLOOKUP(AJ$4,$DE$6:$DF$17,2)+1))*(VLOOKUP($A15,CURVES!$D$9:$T$261,8))*(INDEX(DailyScalarsTable,AJ$5/100,MONTH($A15)))*$C15</f>
        <v>-6581.3632974682159</v>
      </c>
      <c r="AK15" s="1021">
        <f>(VLOOKUP(YEAR($A15),'NY East Load Projections'!$A$4:$EO$14,((MONTH($A15)-1)*12)+VLOOKUP(AK$4,$DE$6:$DF$17,2)+1))*(VLOOKUP($A15,CURVES!$D$9:$T$261,8))*(INDEX(DailyScalarsTable,AK$5/100,MONTH($A15)))*$C15</f>
        <v>-7159.0626227228777</v>
      </c>
      <c r="AL15" s="1021">
        <f>(VLOOKUP(YEAR($A15),'NY East Load Projections'!$A$4:$EO$14,((MONTH($A15)-1)*12)+VLOOKUP(AL$4,$DE$6:$DF$17,2)+1))*(VLOOKUP($A15,CURVES!$D$9:$T$261,8))*(INDEX(DailyScalarsTable,AL$5/100,MONTH($A15)))*$C15</f>
        <v>-8224.6154944697573</v>
      </c>
      <c r="AM15" s="1021">
        <f>(VLOOKUP(YEAR($A15),'NY East Load Projections'!$A$4:$EO$14,((MONTH($A15)-1)*12)+VLOOKUP(AM$4,$DE$6:$DF$17,2)+1))*(VLOOKUP($A15,CURVES!$D$9:$T$261,8))*(INDEX(DailyScalarsTable,AM$5/100,MONTH($A15)))*$C15</f>
        <v>-10632.347726785407</v>
      </c>
      <c r="AN15" s="1021">
        <f>(VLOOKUP(YEAR($A15),'NY East Load Projections'!$A$4:$EO$14,((MONTH($A15)-1)*12)+VLOOKUP(AN$4,$DE$6:$DF$17,2)+1))*(VLOOKUP($A15,SatSunCurve,4))*(INDEX(DailyScalarsTable,AN$5/100,MONTH($A15)))*$C15</f>
        <v>-9654.9942378313372</v>
      </c>
      <c r="AO15" s="1021">
        <f>(VLOOKUP(YEAR($A15),'NY East Load Projections'!$A$4:$EO$14,((MONTH($A15)-1)*12)+VLOOKUP(AO$4,$DE$6:$DF$17,2)+1))*(VLOOKUP($A15,SatSunCurve,4))*(INDEX(DailyScalarsTable,AO$5/100,MONTH($A15)))*$C15</f>
        <v>-11473.522431746625</v>
      </c>
      <c r="AP15" s="1021">
        <f>(VLOOKUP(YEAR($A15),'NY East Load Projections'!$A$4:$EO$14,((MONTH($A15)-1)*12)+VLOOKUP(AP$4,$DE$6:$DF$17,2)+1))*(VLOOKUP($A15,SatSunCurve,4))*(INDEX(DailyScalarsTable,AP$5/100,MONTH($A15)))*$C15</f>
        <v>-11438.066552785725</v>
      </c>
      <c r="AQ15" s="1021">
        <f>(VLOOKUP(YEAR($A15),'NY East Load Projections'!$A$4:$EO$14,((MONTH($A15)-1)*12)+VLOOKUP(AQ$4,$DE$6:$DF$17,2)+1))*(VLOOKUP($A15,SatSunCurve,4))*(INDEX(DailyScalarsTable,AQ$5/100,MONTH($A15)))*$C15</f>
        <v>-11373.232945542941</v>
      </c>
      <c r="AR15" s="1021">
        <f>(VLOOKUP(YEAR($A15),'NY East Load Projections'!$A$4:$EO$14,((MONTH($A15)-1)*12)+VLOOKUP(AR$4,$DE$6:$DF$17,2)+1))*(VLOOKUP($A15,SatSunCurve,4))*(INDEX(DailyScalarsTable,AR$5/100,MONTH($A15)))*$C15</f>
        <v>-9597.3999221585309</v>
      </c>
      <c r="AS15" s="1021">
        <f>(VLOOKUP(YEAR($A15),'NY East Load Projections'!$A$4:$EO$14,((MONTH($A15)-1)*12)+VLOOKUP(AS$4,$DE$6:$DF$17,2)+1))*(VLOOKUP($A15,SatSunCurve,4))*(INDEX(DailyScalarsTable,AS$5/100,MONTH($A15)))*$C15</f>
        <v>-8918.2988434510753</v>
      </c>
      <c r="AT15" s="1021">
        <f>(VLOOKUP(YEAR($A15),'NY East Load Projections'!$A$4:$EO$14,((MONTH($A15)-1)*12)+VLOOKUP(AT$4,$DE$6:$DF$17,2)+1))*(VLOOKUP($A15,SatSunCurve,4))*(INDEX(DailyScalarsTable,AT$5/100,MONTH($A15)))*$C15</f>
        <v>-8670.7631861488589</v>
      </c>
      <c r="AU15" s="1021">
        <f>(VLOOKUP(YEAR($A15),'NY East Load Projections'!$A$4:$EO$14,((MONTH($A15)-1)*12)+VLOOKUP(AU$4,$DE$6:$DF$17,2)+1))*(VLOOKUP($A15,SatSunCurve,4))*(INDEX(DailyScalarsTable,AU$5/100,MONTH($A15)))*$C15</f>
        <v>-8469.3272868867316</v>
      </c>
      <c r="AV15" s="1021">
        <f>(VLOOKUP(YEAR($A15),'NY East Load Projections'!$A$4:$EO$14,((MONTH($A15)-1)*12)+VLOOKUP(AV$4,$DE$6:$DF$17,2)+1))*(VLOOKUP($A15,SatSunCurve,4))*(INDEX(DailyScalarsTable,AV$5/100,MONTH($A15)))*$C15</f>
        <v>-8411.2015050100999</v>
      </c>
      <c r="AW15" s="1021">
        <f>(VLOOKUP(YEAR($A15),'NY East Load Projections'!$A$4:$EO$14,((MONTH($A15)-1)*12)+VLOOKUP(AW$4,$DE$6:$DF$17,2)+1))*(VLOOKUP($A15,SatSunCurve,4))*(INDEX(DailyScalarsTable,AW$5/100,MONTH($A15)))*$C15</f>
        <v>-8326.9643077020501</v>
      </c>
      <c r="AX15" s="1021">
        <f>(VLOOKUP(YEAR($A15),'NY East Load Projections'!$A$4:$EO$14,((MONTH($A15)-1)*12)+VLOOKUP(AX$4,$DE$6:$DF$17,2)+1))*(VLOOKUP($A15,SatSunCurve,4))*(INDEX(DailyScalarsTable,AX$5/100,MONTH($A15)))*$C15</f>
        <v>-11233.351917348506</v>
      </c>
      <c r="AY15" s="1021">
        <f>(VLOOKUP(YEAR($A15),'NY East Load Projections'!$A$4:$EO$14,((MONTH($A15)-1)*12)+VLOOKUP(AY$4,$DE$6:$DF$17,2)+1))*(VLOOKUP($A15,SatSunCurve,4))*(INDEX(DailyScalarsTable,AY$5/100,MONTH($A15)))*$C15</f>
        <v>-11321.339175096256</v>
      </c>
      <c r="AZ15" s="1021">
        <f>(VLOOKUP(YEAR($A15),'NY East Load Projections'!$A$4:$EO$14,((MONTH($A15)-1)*12)+VLOOKUP(AZ$4,$DE$6:$DF$17,2)+1))*(VLOOKUP($A15,SatSunCurve,4))*(INDEX(DailyScalarsTable,AZ$5/100,MONTH($A15)))*$C15</f>
        <v>-10827.112876257826</v>
      </c>
      <c r="BA15" s="1021">
        <f>(VLOOKUP(YEAR($A15),'NY East Load Projections'!$A$4:$EO$14,((MONTH($A15)-1)*12)+VLOOKUP(BA$4,$DE$6:$DF$17,2)+1))*(VLOOKUP($A15,SatSunCurve,4))*(INDEX(DailyScalarsTable,BA$5/100,MONTH($A15)))*$C15</f>
        <v>-9757.7353593056923</v>
      </c>
      <c r="BB15" s="1021">
        <f>(VLOOKUP(YEAR($A15),'NY East Load Projections'!$A$4:$EO$14,((MONTH($A15)-1)*12)+VLOOKUP(BB$4,$DE$6:$DF$17,2)+1))*(VLOOKUP($A15,SatSunCurve,4))*(INDEX(DailyScalarsTable,BB$5/100,MONTH($A15)))*$C15</f>
        <v>-8094.4746403745512</v>
      </c>
      <c r="BC15" s="1021">
        <f>(VLOOKUP(YEAR($A15),'NY East Load Projections'!$A$4:$EO$14,((MONTH($A15)-1)*12)+VLOOKUP(BC$4,$DE$6:$DF$17,2)+1))*(VLOOKUP($A15,SatSunCurve,4))*(INDEX(DailyScalarsTable,BC$5/100,MONTH($A15)))*$C15</f>
        <v>-6901.3452443026508</v>
      </c>
      <c r="BD15" s="1021">
        <f>(VLOOKUP(YEAR($A15),'NY East Load Projections'!$A$4:$EO$14,((MONTH($A15)-1)*12)+VLOOKUP(BD$4,$DE$6:$DF$17,2)+1))*(VLOOKUP($A15,CURVES!$D$9:$T$261,8))*(INDEX(DailyScalarsTable,BD$5/100,MONTH($A15)))*$C15</f>
        <v>-8146.7939523638825</v>
      </c>
      <c r="BE15" s="1021"/>
      <c r="BF15" s="1021">
        <f>(VLOOKUP(YEAR($A15),'NY East Load Projections'!$A$4:$EO$14,((MONTH($A15)-1)*12)+VLOOKUP(BF$4,$DE$6:$DF$17,2)+1))*(VLOOKUP($A15,CURVES!$D$9:$T$261,8))*(INDEX(DailyScalarsTable,BF$5/100,MONTH($A15)))*$D15</f>
        <v>-7214.274360362585</v>
      </c>
      <c r="BG15" s="1021">
        <f>(VLOOKUP(YEAR($A15),'NY East Load Projections'!$A$4:$EO$14,((MONTH($A15)-1)*12)+VLOOKUP(BG$4,$DE$6:$DF$17,2)+1))*(VLOOKUP($A15,CURVES!$D$9:$T$261,8))*(INDEX(DailyScalarsTable,BG$5/100,MONTH($A15)))*$D15</f>
        <v>-6847.2923154910604</v>
      </c>
      <c r="BH15" s="1021">
        <f>(VLOOKUP(YEAR($A15),'NY East Load Projections'!$A$4:$EO$14,((MONTH($A15)-1)*12)+VLOOKUP(BH$4,$DE$6:$DF$17,2)+1))*(VLOOKUP($A15,CURVES!$D$9:$T$261,8))*(INDEX(DailyScalarsTable,BH$5/100,MONTH($A15)))*$D15</f>
        <v>-6577.5643114964614</v>
      </c>
      <c r="BI15" s="1021">
        <f>(VLOOKUP(YEAR($A15),'NY East Load Projections'!$A$4:$EO$14,((MONTH($A15)-1)*12)+VLOOKUP(BI$4,$DE$6:$DF$17,2)+1))*(VLOOKUP($A15,CURVES!$D$9:$T$261,8))*(INDEX(DailyScalarsTable,BI$5/100,MONTH($A15)))*$D15</f>
        <v>-6581.3632974682159</v>
      </c>
      <c r="BJ15" s="1021">
        <f>(VLOOKUP(YEAR($A15),'NY East Load Projections'!$A$4:$EO$14,((MONTH($A15)-1)*12)+VLOOKUP(BJ$4,$DE$6:$DF$17,2)+1))*(VLOOKUP($A15,CURVES!$D$9:$T$261,8))*(INDEX(DailyScalarsTable,BJ$5/100,MONTH($A15)))*$D15</f>
        <v>-7159.0626227228777</v>
      </c>
      <c r="BK15" s="1021">
        <f>(VLOOKUP(YEAR($A15),'NY East Load Projections'!$A$4:$EO$14,((MONTH($A15)-1)*12)+VLOOKUP(BK$4,$DE$6:$DF$17,2)+1))*(VLOOKUP($A15,CURVES!$D$9:$T$261,8))*(INDEX(DailyScalarsTable,BK$5/100,MONTH($A15)))*$D15</f>
        <v>-8224.6154944697573</v>
      </c>
      <c r="BL15" s="1021">
        <f>(VLOOKUP(YEAR($A15),'NY East Load Projections'!$A$4:$EO$14,((MONTH($A15)-1)*12)+VLOOKUP(BL$4,$DE$6:$DF$17,2)+1))*(VLOOKUP($A15,CURVES!$D$9:$T$261,8))*(INDEX(DailyScalarsTable,BL$5/100,MONTH($A15)))*$D15</f>
        <v>-10632.347726785407</v>
      </c>
      <c r="BM15" s="1021">
        <f>(VLOOKUP(YEAR($A15),'NY East Load Projections'!$A$4:$EO$14,((MONTH($A15)-1)*12)+VLOOKUP(BM$4,$DE$6:$DF$17,2)+1))*(VLOOKUP($A15,SatSunCurve,8))*(INDEX(DailyScalarsTable,BM$5/100,MONTH($A15)))*$D15</f>
        <v>-9691.1290074160843</v>
      </c>
      <c r="BN15" s="1021">
        <f>(VLOOKUP(YEAR($A15),'NY East Load Projections'!$A$4:$EO$14,((MONTH($A15)-1)*12)+VLOOKUP(BN$4,$DE$6:$DF$17,2)+1))*(VLOOKUP($A15,SatSunCurve,8))*(INDEX(DailyScalarsTable,BN$5/100,MONTH($A15)))*$D15</f>
        <v>-11516.463222718005</v>
      </c>
      <c r="BO15" s="1021">
        <f>(VLOOKUP(YEAR($A15),'NY East Load Projections'!$A$4:$EO$14,((MONTH($A15)-1)*12)+VLOOKUP(BO$4,$DE$6:$DF$17,2)+1))*(VLOOKUP($A15,SatSunCurve,8))*(INDEX(DailyScalarsTable,BO$5/100,MONTH($A15)))*$D15</f>
        <v>-11480.874646628023</v>
      </c>
      <c r="BP15" s="1021">
        <f>(VLOOKUP(YEAR($A15),'NY East Load Projections'!$A$4:$EO$14,((MONTH($A15)-1)*12)+VLOOKUP(BP$4,$DE$6:$DF$17,2)+1))*(VLOOKUP($A15,SatSunCurve,8))*(INDEX(DailyScalarsTable,BP$5/100,MONTH($A15)))*$D15</f>
        <v>-11415.798393206343</v>
      </c>
      <c r="BQ15" s="1021">
        <f>(VLOOKUP(YEAR($A15),'NY East Load Projections'!$A$4:$EO$14,((MONTH($A15)-1)*12)+VLOOKUP(BQ$4,$DE$6:$DF$17,2)+1))*(VLOOKUP($A15,SatSunCurve,8))*(INDEX(DailyScalarsTable,BQ$5/100,MONTH($A15)))*$D15</f>
        <v>-9633.3191393281286</v>
      </c>
      <c r="BR15" s="1021">
        <f>(VLOOKUP(YEAR($A15),'NY East Load Projections'!$A$4:$EO$14,((MONTH($A15)-1)*12)+VLOOKUP(BR$4,$DE$6:$DF$17,2)+1))*(VLOOKUP($A15,SatSunCurve,8))*(INDEX(DailyScalarsTable,BR$5/100,MONTH($A15)))*$D15</f>
        <v>-8951.6764577569757</v>
      </c>
      <c r="BS15" s="1021">
        <f>(VLOOKUP(YEAR($A15),'NY East Load Projections'!$A$4:$EO$14,((MONTH($A15)-1)*12)+VLOOKUP(BS$4,$DE$6:$DF$17,2)+1))*(VLOOKUP($A15,SatSunCurve,8))*(INDEX(DailyScalarsTable,BS$5/100,MONTH($A15)))*$D15</f>
        <v>-8703.2143738075465</v>
      </c>
      <c r="BT15" s="1021">
        <f>(VLOOKUP(YEAR($A15),'NY East Load Projections'!$A$4:$EO$14,((MONTH($A15)-1)*12)+VLOOKUP(BT$4,$DE$6:$DF$17,2)+1))*(VLOOKUP($A15,SatSunCurve,8))*(INDEX(DailyScalarsTable,BT$5/100,MONTH($A15)))*$D15</f>
        <v>-8501.0245807960673</v>
      </c>
      <c r="BU15" s="1021">
        <f>(VLOOKUP(YEAR($A15),'NY East Load Projections'!$A$4:$EO$14,((MONTH($A15)-1)*12)+VLOOKUP(BU$4,$DE$6:$DF$17,2)+1))*(VLOOKUP($A15,SatSunCurve,8))*(INDEX(DailyScalarsTable,BU$5/100,MONTH($A15)))*$D15</f>
        <v>-8442.6812574395208</v>
      </c>
      <c r="BV15" s="1021">
        <f>(VLOOKUP(YEAR($A15),'NY East Load Projections'!$A$4:$EO$14,((MONTH($A15)-1)*12)+VLOOKUP(BV$4,$DE$6:$DF$17,2)+1))*(VLOOKUP($A15,SatSunCurve,8))*(INDEX(DailyScalarsTable,BV$5/100,MONTH($A15)))*$D15</f>
        <v>-8358.128794100212</v>
      </c>
      <c r="BW15" s="1021">
        <f>(VLOOKUP(YEAR($A15),'NY East Load Projections'!$A$4:$EO$14,((MONTH($A15)-1)*12)+VLOOKUP(BW$4,$DE$6:$DF$17,2)+1))*(VLOOKUP($A15,SatSunCurve,8))*(INDEX(DailyScalarsTable,BW$5/100,MONTH($A15)))*$D15</f>
        <v>-11275.393846447465</v>
      </c>
      <c r="BX15" s="1021">
        <f>(VLOOKUP(YEAR($A15),'NY East Load Projections'!$A$4:$EO$14,((MONTH($A15)-1)*12)+VLOOKUP(BX$4,$DE$6:$DF$17,2)+1))*(VLOOKUP($A15,SatSunCurve,8))*(INDEX(DailyScalarsTable,BX$5/100,MONTH($A15)))*$D15</f>
        <v>-11363.710405198075</v>
      </c>
      <c r="BY15" s="1021">
        <f>(VLOOKUP(YEAR($A15),'NY East Load Projections'!$A$4:$EO$14,((MONTH($A15)-1)*12)+VLOOKUP(BY$4,$DE$6:$DF$17,2)+1))*(VLOOKUP($A15,SatSunCurve,8))*(INDEX(DailyScalarsTable,BY$5/100,MONTH($A15)))*$D15</f>
        <v>-10867.634415620185</v>
      </c>
      <c r="BZ15" s="1021">
        <f>(VLOOKUP(YEAR($A15),'NY East Load Projections'!$A$4:$EO$14,((MONTH($A15)-1)*12)+VLOOKUP(BZ$4,$DE$6:$DF$17,2)+1))*(VLOOKUP($A15,SatSunCurve,8))*(INDEX(DailyScalarsTable,BZ$5/100,MONTH($A15)))*$D15</f>
        <v>-9794.2546476855732</v>
      </c>
      <c r="CA15" s="1021">
        <f>(VLOOKUP(YEAR($A15),'NY East Load Projections'!$A$4:$EO$14,((MONTH($A15)-1)*12)+VLOOKUP(CA$4,$DE$6:$DF$17,2)+1))*(VLOOKUP($A15,SatSunCurve,8))*(INDEX(DailyScalarsTable,CA$5/100,MONTH($A15)))*$D15</f>
        <v>-8124.769011229112</v>
      </c>
      <c r="CB15" s="1021">
        <f>(VLOOKUP(YEAR($A15),'NY East Load Projections'!$A$4:$EO$14,((MONTH($A15)-1)*12)+VLOOKUP(CB$4,$DE$6:$DF$17,2)+1))*(VLOOKUP($A15,SatSunCurve,8))*(INDEX(DailyScalarsTable,CB$5/100,MONTH($A15)))*$D15</f>
        <v>-6927.1742105438234</v>
      </c>
      <c r="CC15" s="1021">
        <f>(VLOOKUP(YEAR($A15),'NY East Load Projections'!$A$4:$EO$14,((MONTH($A15)-1)*12)+VLOOKUP(CC$4,$DE$6:$DF$17,2)+1))*(VLOOKUP($A15,CURVES!$D$9:$T$261,8))*(INDEX(DailyScalarsTable,CC$5/100,MONTH($A15)))*$D15</f>
        <v>-8146.7939523638825</v>
      </c>
      <c r="CE15" s="1021">
        <f>(VLOOKUP(YEAR($A15),'NY East Load Projections'!$A$4:$EO$14,((MONTH($A15)-1)*12)+VLOOKUP(CE$4,$DE$6:$DF$17,2)+1))*(VLOOKUP($A15,CURVES!$D$9:$T$261,8))*(INDEX(DailyScalarsTable,CE$5/100,MONTH($A15)))*$E15</f>
        <v>0</v>
      </c>
      <c r="CF15" s="1021">
        <f>(VLOOKUP(YEAR($A15),'NY East Load Projections'!$A$4:$EO$14,((MONTH($A15)-1)*12)+VLOOKUP(CF$4,$DE$6:$DF$17,2)+1))*(VLOOKUP($A15,CURVES!$D$9:$T$261,8))*(INDEX(DailyScalarsTable,CF$5/100,MONTH($A15)))*$E15</f>
        <v>0</v>
      </c>
      <c r="CG15" s="1021">
        <f>(VLOOKUP(YEAR($A15),'NY East Load Projections'!$A$4:$EO$14,((MONTH($A15)-1)*12)+VLOOKUP(CG$4,$DE$6:$DF$17,2)+1))*(VLOOKUP($A15,CURVES!$D$9:$T$261,8))*(INDEX(DailyScalarsTable,CG$5/100,MONTH($A15)))*$E15</f>
        <v>0</v>
      </c>
      <c r="CH15" s="1021">
        <f>(VLOOKUP(YEAR($A15),'NY East Load Projections'!$A$4:$EO$14,((MONTH($A15)-1)*12)+VLOOKUP(CH$4,$DE$6:$DF$17,2)+1))*(VLOOKUP($A15,CURVES!$D$9:$T$261,8))*(INDEX(DailyScalarsTable,CH$5/100,MONTH($A15)))*$E15</f>
        <v>0</v>
      </c>
      <c r="CI15" s="1021">
        <f>(VLOOKUP(YEAR($A15),'NY East Load Projections'!$A$4:$EO$14,((MONTH($A15)-1)*12)+VLOOKUP(CI$4,$DE$6:$DF$17,2)+1))*(VLOOKUP($A15,CURVES!$D$9:$T$261,8))*(INDEX(DailyScalarsTable,CI$5/100,MONTH($A15)))*$E15</f>
        <v>0</v>
      </c>
      <c r="CJ15" s="1021">
        <f>(VLOOKUP(YEAR($A15),'NY East Load Projections'!$A$4:$EO$14,((MONTH($A15)-1)*12)+VLOOKUP(CJ$4,$DE$6:$DF$17,2)+1))*(VLOOKUP($A15,CURVES!$D$9:$T$261,8))*(INDEX(DailyScalarsTable,CJ$5/100,MONTH($A15)))*$E15</f>
        <v>0</v>
      </c>
      <c r="CK15" s="1021">
        <f>(VLOOKUP(YEAR($A15),'NY East Load Projections'!$A$4:$EO$14,((MONTH($A15)-1)*12)+VLOOKUP(CK$4,$DE$6:$DF$17,2)+1))*(VLOOKUP($A15,CURVES!$D$9:$T$261,8))*(INDEX(DailyScalarsTable,CK$5/100,MONTH($A15)))*$E15</f>
        <v>0</v>
      </c>
      <c r="CL15" s="1021">
        <f>(VLOOKUP(YEAR($A15),'NY East Load Projections'!$A$4:$EO$14,((MONTH($A15)-1)*12)+VLOOKUP(CL$4,$DE$6:$DF$17,2)+1))*(VLOOKUP($A15,SatSunCurve,8))*(INDEX(DailyScalarsTable,CL$5/100,MONTH($A15)))*$E15</f>
        <v>0</v>
      </c>
      <c r="CM15" s="1021">
        <f>(VLOOKUP(YEAR($A15),'NY East Load Projections'!$A$4:$EO$14,((MONTH($A15)-1)*12)+VLOOKUP(CM$4,$DE$6:$DF$17,2)+1))*(VLOOKUP($A15,SatSunCurve,8))*(INDEX(DailyScalarsTable,CM$5/100,MONTH($A15)))*$E15</f>
        <v>0</v>
      </c>
      <c r="CN15" s="1021">
        <f>(VLOOKUP(YEAR($A15),'NY East Load Projections'!$A$4:$EO$14,((MONTH($A15)-1)*12)+VLOOKUP(CN$4,$DE$6:$DF$17,2)+1))*(VLOOKUP($A15,SatSunCurve,8))*(INDEX(DailyScalarsTable,CN$5/100,MONTH($A15)))*$E15</f>
        <v>0</v>
      </c>
      <c r="CO15" s="1021">
        <f>(VLOOKUP(YEAR($A15),'NY East Load Projections'!$A$4:$EO$14,((MONTH($A15)-1)*12)+VLOOKUP(CO$4,$DE$6:$DF$17,2)+1))*(VLOOKUP($A15,SatSunCurve,8))*(INDEX(DailyScalarsTable,CO$5/100,MONTH($A15)))*$E15</f>
        <v>0</v>
      </c>
      <c r="CP15" s="1021">
        <f>(VLOOKUP(YEAR($A15),'NY East Load Projections'!$A$4:$EO$14,((MONTH($A15)-1)*12)+VLOOKUP(CP$4,$DE$6:$DF$17,2)+1))*(VLOOKUP($A15,SatSunCurve,8))*(INDEX(DailyScalarsTable,CP$5/100,MONTH($A15)))*$E15</f>
        <v>0</v>
      </c>
      <c r="CQ15" s="1021">
        <f>(VLOOKUP(YEAR($A15),'NY East Load Projections'!$A$4:$EO$14,((MONTH($A15)-1)*12)+VLOOKUP(CQ$4,$DE$6:$DF$17,2)+1))*(VLOOKUP($A15,SatSunCurve,8))*(INDEX(DailyScalarsTable,CQ$5/100,MONTH($A15)))*$E15</f>
        <v>0</v>
      </c>
      <c r="CR15" s="1021">
        <f>(VLOOKUP(YEAR($A15),'NY East Load Projections'!$A$4:$EO$14,((MONTH($A15)-1)*12)+VLOOKUP(CR$4,$DE$6:$DF$17,2)+1))*(VLOOKUP($A15,SatSunCurve,8))*(INDEX(DailyScalarsTable,CR$5/100,MONTH($A15)))*$E15</f>
        <v>0</v>
      </c>
      <c r="CS15" s="1021">
        <f>(VLOOKUP(YEAR($A15),'NY East Load Projections'!$A$4:$EO$14,((MONTH($A15)-1)*12)+VLOOKUP(CS$4,$DE$6:$DF$17,2)+1))*(VLOOKUP($A15,SatSunCurve,8))*(INDEX(DailyScalarsTable,CS$5/100,MONTH($A15)))*$E15</f>
        <v>0</v>
      </c>
      <c r="CT15" s="1021">
        <f>(VLOOKUP(YEAR($A15),'NY East Load Projections'!$A$4:$EO$14,((MONTH($A15)-1)*12)+VLOOKUP(CT$4,$DE$6:$DF$17,2)+1))*(VLOOKUP($A15,SatSunCurve,8))*(INDEX(DailyScalarsTable,CT$5/100,MONTH($A15)))*$E15</f>
        <v>0</v>
      </c>
      <c r="CU15" s="1021">
        <f>(VLOOKUP(YEAR($A15),'NY East Load Projections'!$A$4:$EO$14,((MONTH($A15)-1)*12)+VLOOKUP(CU$4,$DE$6:$DF$17,2)+1))*(VLOOKUP($A15,SatSunCurve,8))*(INDEX(DailyScalarsTable,CU$5/100,MONTH($A15)))*$E15</f>
        <v>0</v>
      </c>
      <c r="CV15" s="1021">
        <f>(VLOOKUP(YEAR($A15),'NY East Load Projections'!$A$4:$EO$14,((MONTH($A15)-1)*12)+VLOOKUP(CV$4,$DE$6:$DF$17,2)+1))*(VLOOKUP($A15,SatSunCurve,8))*(INDEX(DailyScalarsTable,CV$5/100,MONTH($A15)))*$E15</f>
        <v>0</v>
      </c>
      <c r="CW15" s="1021">
        <f>(VLOOKUP(YEAR($A15),'NY East Load Projections'!$A$4:$EO$14,((MONTH($A15)-1)*12)+VLOOKUP(CW$4,$DE$6:$DF$17,2)+1))*(VLOOKUP($A15,SatSunCurve,8))*(INDEX(DailyScalarsTable,CW$5/100,MONTH($A15)))*$E15</f>
        <v>0</v>
      </c>
      <c r="CX15" s="1021">
        <f>(VLOOKUP(YEAR($A15),'NY East Load Projections'!$A$4:$EO$14,((MONTH($A15)-1)*12)+VLOOKUP(CX$4,$DE$6:$DF$17,2)+1))*(VLOOKUP($A15,SatSunCurve,8))*(INDEX(DailyScalarsTable,CX$5/100,MONTH($A15)))*$E15</f>
        <v>0</v>
      </c>
      <c r="CY15" s="1021">
        <f>(VLOOKUP(YEAR($A15),'NY East Load Projections'!$A$4:$EO$14,((MONTH($A15)-1)*12)+VLOOKUP(CY$4,$DE$6:$DF$17,2)+1))*(VLOOKUP($A15,SatSunCurve,8))*(INDEX(DailyScalarsTable,CY$5/100,MONTH($A15)))*$E15</f>
        <v>0</v>
      </c>
      <c r="CZ15" s="1021">
        <f>(VLOOKUP(YEAR($A15),'NY East Load Projections'!$A$4:$EO$14,((MONTH($A15)-1)*12)+VLOOKUP(CZ$4,$DE$6:$DF$17,2)+1))*(VLOOKUP($A15,SatSunCurve,8))*(INDEX(DailyScalarsTable,CZ$5/100,MONTH($A15)))*$E15</f>
        <v>0</v>
      </c>
      <c r="DA15" s="1021">
        <f>(VLOOKUP(YEAR($A15),'NY East Load Projections'!$A$4:$EO$14,((MONTH($A15)-1)*12)+VLOOKUP(DA$4,$DE$6:$DF$17,2)+1))*(VLOOKUP($A15,SatSunCurve,8))*(INDEX(DailyScalarsTable,DA$5/100,MONTH($A15)))*$E15</f>
        <v>0</v>
      </c>
      <c r="DB15" s="1021">
        <f>(VLOOKUP(YEAR($A15),'NY East Load Projections'!$A$4:$EO$14,((MONTH($A15)-1)*12)+VLOOKUP(DB$4,$DE$6:$DF$17,2)+1))*(VLOOKUP($A15,CURVES!$D$9:$T$261,8))*(INDEX(DailyScalarsTable,DB$5/100,MONTH($A15)))*$E15</f>
        <v>0</v>
      </c>
      <c r="DE15" s="221" t="s">
        <v>567</v>
      </c>
      <c r="DF15" s="619">
        <v>10</v>
      </c>
      <c r="DH15" s="1021">
        <f t="shared" si="0"/>
        <v>-1879704.4093616668</v>
      </c>
      <c r="DI15">
        <f ca="1">CALC!J35</f>
        <v>0.88904496730260629</v>
      </c>
      <c r="DJ15" s="1029">
        <f t="shared" ca="1" si="1"/>
        <v>-1671141.745159508</v>
      </c>
    </row>
    <row r="16" spans="1:114" x14ac:dyDescent="0.25">
      <c r="A16" s="244">
        <v>37196</v>
      </c>
      <c r="B16" s="13">
        <v>21</v>
      </c>
      <c r="C16" s="210">
        <v>4</v>
      </c>
      <c r="D16" s="210">
        <v>4</v>
      </c>
      <c r="E16" s="210">
        <v>1</v>
      </c>
      <c r="F16" s="13">
        <v>30</v>
      </c>
      <c r="H16" s="1021">
        <f>(VLOOKUP(YEAR($A16),'NY East Load Projections'!$A$4:$EO$14,((MONTH($A16)-1)*12)+VLOOKUP(H$4,$DE$6:$DF$17,2)+1))*(VLOOKUP($A16,CURVES!$D$9:$K$261,8))*(INDEX(DailyScalarsTable,H$5/100,MONTH($A16)))*$B16</f>
        <v>-32312.984018899919</v>
      </c>
      <c r="I16" s="1021">
        <f>(VLOOKUP(YEAR($A16),'NY East Load Projections'!$A$4:$EO$14,((MONTH($A16)-1)*12)+VLOOKUP(I$4,$DE$6:$DF$17,2)+1))*(VLOOKUP($A16,CURVES!$D$9:$K$261,8))*(INDEX(DailyScalarsTable,I$5/100,MONTH($A16)))*$B16</f>
        <v>-30633.890820284676</v>
      </c>
      <c r="J16" s="1021">
        <f>(VLOOKUP(YEAR($A16),'NY East Load Projections'!$A$4:$EO$14,((MONTH($A16)-1)*12)+VLOOKUP(J$4,$DE$6:$DF$17,2)+1))*(VLOOKUP($A16,CURVES!$D$9:$K$261,8))*(INDEX(DailyScalarsTable,J$5/100,MONTH($A16)))*$B16</f>
        <v>-29399.774701219645</v>
      </c>
      <c r="K16" s="1021">
        <f>(VLOOKUP(YEAR($A16),'NY East Load Projections'!$A$4:$EO$14,((MONTH($A16)-1)*12)+VLOOKUP(K$4,$DE$6:$DF$17,2)+1))*(VLOOKUP($A16,CURVES!$D$9:$K$261,8))*(INDEX(DailyScalarsTable,K$5/100,MONTH($A16)))*$B16</f>
        <v>-29417.15661838957</v>
      </c>
      <c r="L16" s="1021">
        <f>(VLOOKUP(YEAR($A16),'NY East Load Projections'!$A$4:$EO$14,((MONTH($A16)-1)*12)+VLOOKUP(L$4,$DE$6:$DF$17,2)+1))*(VLOOKUP($A16,CURVES!$D$9:$K$261,8))*(INDEX(DailyScalarsTable,L$5/100,MONTH($A16)))*$B16</f>
        <v>-33349.734771033727</v>
      </c>
      <c r="M16" s="1021">
        <f>(VLOOKUP(YEAR($A16),'NY East Load Projections'!$A$4:$EO$14,((MONTH($A16)-1)*12)+VLOOKUP(M$4,$DE$6:$DF$17,2)+1))*(VLOOKUP($A16,CURVES!$D$9:$K$261,8))*(INDEX(DailyScalarsTable,M$5/100,MONTH($A16)))*$B16</f>
        <v>-38423.014886781719</v>
      </c>
      <c r="N16" s="1021">
        <f>(VLOOKUP(YEAR($A16),'NY East Load Projections'!$A$4:$EO$14,((MONTH($A16)-1)*12)+VLOOKUP(N$4,$DE$6:$DF$17,2)+1))*(VLOOKUP($A16,CURVES!$D$9:$K$261,8))*(INDEX(DailyScalarsTable,N$5/100,MONTH($A16)))*$B16</f>
        <v>-55037.179500790357</v>
      </c>
      <c r="O16" s="1021">
        <f>(VLOOKUP(YEAR($A16),'NY East Load Projections'!$A$4:$EO$14,((MONTH($A16)-1)*12)+VLOOKUP(O$4,$DE$6:$DF$17,2)+1))*(VLOOKUP($A16,CURVES!$D$9:$K$261,4))*(INDEX(DailyScalarsTable,O$5/100,MONTH($A16)))*$B16</f>
        <v>-63735.628399587258</v>
      </c>
      <c r="P16" s="1021">
        <f>(VLOOKUP(YEAR($A16),'NY East Load Projections'!$A$4:$EO$14,((MONTH($A16)-1)*12)+VLOOKUP(P$4,$DE$6:$DF$17,2)+1))*(VLOOKUP($A16,CURVES!$D$9:$K$261,4))*(INDEX(DailyScalarsTable,P$5/100,MONTH($A16)))*$B16</f>
        <v>-70711.106819133915</v>
      </c>
      <c r="Q16" s="1021">
        <f>(VLOOKUP(YEAR($A16),'NY East Load Projections'!$A$4:$EO$14,((MONTH($A16)-1)*12)+VLOOKUP(Q$4,$DE$6:$DF$17,2)+1))*(VLOOKUP($A16,CURVES!$D$9:$K$261,4))*(INDEX(DailyScalarsTable,Q$5/100,MONTH($A16)))*$B16</f>
        <v>-70253.14936205218</v>
      </c>
      <c r="R16" s="1021">
        <f>(VLOOKUP(YEAR($A16),'NY East Load Projections'!$A$4:$EO$14,((MONTH($A16)-1)*12)+VLOOKUP(R$4,$DE$6:$DF$17,2)+1))*(VLOOKUP($A16,CURVES!$D$9:$K$261,4))*(INDEX(DailyScalarsTable,R$5/100,MONTH($A16)))*$B16</f>
        <v>-68897.842833661634</v>
      </c>
      <c r="S16" s="1021">
        <f>(VLOOKUP(YEAR($A16),'NY East Load Projections'!$A$4:$EO$14,((MONTH($A16)-1)*12)+VLOOKUP(S$4,$DE$6:$DF$17,2)+1))*(VLOOKUP($A16,CURVES!$D$9:$K$261,4))*(INDEX(DailyScalarsTable,S$5/100,MONTH($A16)))*$B16</f>
        <v>-58012.070306543093</v>
      </c>
      <c r="T16" s="1021">
        <f>(VLOOKUP(YEAR($A16),'NY East Load Projections'!$A$4:$EO$14,((MONTH($A16)-1)*12)+VLOOKUP(T$4,$DE$6:$DF$17,2)+1))*(VLOOKUP($A16,CURVES!$D$9:$K$261,4))*(INDEX(DailyScalarsTable,T$5/100,MONTH($A16)))*$B16</f>
        <v>-55035.97769672102</v>
      </c>
      <c r="U16" s="1021">
        <f>(VLOOKUP(YEAR($A16),'NY East Load Projections'!$A$4:$EO$14,((MONTH($A16)-1)*12)+VLOOKUP(U$4,$DE$6:$DF$17,2)+1))*(VLOOKUP($A16,CURVES!$D$9:$K$261,4))*(INDEX(DailyScalarsTable,U$5/100,MONTH($A16)))*$B16</f>
        <v>-53558.627293037374</v>
      </c>
      <c r="V16" s="1021">
        <f>(VLOOKUP(YEAR($A16),'NY East Load Projections'!$A$4:$EO$14,((MONTH($A16)-1)*12)+VLOOKUP(V$4,$DE$6:$DF$17,2)+1))*(VLOOKUP($A16,CURVES!$D$9:$K$261,4))*(INDEX(DailyScalarsTable,V$5/100,MONTH($A16)))*$B16</f>
        <v>-52305.684545609482</v>
      </c>
      <c r="W16" s="1021">
        <f>(VLOOKUP(YEAR($A16),'NY East Load Projections'!$A$4:$EO$14,((MONTH($A16)-1)*12)+VLOOKUP(W$4,$DE$6:$DF$17,2)+1))*(VLOOKUP($A16,CURVES!$D$9:$K$261,4))*(INDEX(DailyScalarsTable,W$5/100,MONTH($A16)))*$B16</f>
        <v>-51445.455196629133</v>
      </c>
      <c r="X16" s="1021">
        <f>(VLOOKUP(YEAR($A16),'NY East Load Projections'!$A$4:$EO$14,((MONTH($A16)-1)*12)+VLOOKUP(X$4,$DE$6:$DF$17,2)+1))*(VLOOKUP($A16,CURVES!$D$9:$K$261,4))*(INDEX(DailyScalarsTable,X$5/100,MONTH($A16)))*$B16</f>
        <v>-53464.252928376176</v>
      </c>
      <c r="Y16" s="1021">
        <f>(VLOOKUP(YEAR($A16),'NY East Load Projections'!$A$4:$EO$14,((MONTH($A16)-1)*12)+VLOOKUP(Y$4,$DE$6:$DF$17,2)+1))*(VLOOKUP($A16,CURVES!$D$9:$K$261,4))*(INDEX(DailyScalarsTable,Y$5/100,MONTH($A16)))*$B16</f>
        <v>-73394.250213316773</v>
      </c>
      <c r="Z16" s="1021">
        <f>(VLOOKUP(YEAR($A16),'NY East Load Projections'!$A$4:$EO$14,((MONTH($A16)-1)*12)+VLOOKUP(Z$4,$DE$6:$DF$17,2)+1))*(VLOOKUP($A16,CURVES!$D$9:$K$261,4))*(INDEX(DailyScalarsTable,Z$5/100,MONTH($A16)))*$B16</f>
        <v>-73985.215337045724</v>
      </c>
      <c r="AA16" s="1021">
        <f>(VLOOKUP(YEAR($A16),'NY East Load Projections'!$A$4:$EO$14,((MONTH($A16)-1)*12)+VLOOKUP(AA$4,$DE$6:$DF$17,2)+1))*(VLOOKUP($A16,CURVES!$D$9:$K$261,4))*(INDEX(DailyScalarsTable,AA$5/100,MONTH($A16)))*$B16</f>
        <v>-70958.026642026001</v>
      </c>
      <c r="AB16" s="1021">
        <f>(VLOOKUP(YEAR($A16),'NY East Load Projections'!$A$4:$EO$14,((MONTH($A16)-1)*12)+VLOOKUP(AB$4,$DE$6:$DF$17,2)+1))*(VLOOKUP($A16,CURVES!$D$9:$K$261,4))*(INDEX(DailyScalarsTable,AB$5/100,MONTH($A16)))*$B16</f>
        <v>-62621.026838637568</v>
      </c>
      <c r="AC16" s="1021">
        <f>(VLOOKUP(YEAR($A16),'NY East Load Projections'!$A$4:$EO$14,((MONTH($A16)-1)*12)+VLOOKUP(AC$4,$DE$6:$DF$17,2)+1))*(VLOOKUP($A16,CURVES!$D$9:$K$261,4))*(INDEX(DailyScalarsTable,AC$5/100,MONTH($A16)))*$B16</f>
        <v>-49813.879555172978</v>
      </c>
      <c r="AD16" s="1021">
        <f>(VLOOKUP(YEAR($A16),'NY East Load Projections'!$A$4:$EO$14,((MONTH($A16)-1)*12)+VLOOKUP(AD$4,$DE$6:$DF$17,2)+1))*(VLOOKUP($A16,CURVES!$D$9:$K$261,4))*(INDEX(DailyScalarsTable,AD$5/100,MONTH($A16)))*$B16</f>
        <v>-42009.973464620023</v>
      </c>
      <c r="AE16" s="1021">
        <f>(VLOOKUP(YEAR($A16),'NY East Load Projections'!$A$4:$EO$14,((MONTH($A16)-1)*12)+VLOOKUP(AE$4,$DE$6:$DF$17,2)+1))*(VLOOKUP($A16,CURVES!$D$9:$K$261,8))*(INDEX(DailyScalarsTable,AE$5/100,MONTH($A16)))*$B16</f>
        <v>-37364.805241063113</v>
      </c>
      <c r="AF16" s="1021"/>
      <c r="AG16" s="1021">
        <f>(VLOOKUP(YEAR($A16),'NY East Load Projections'!$A$4:$EO$14,((MONTH($A16)-1)*12)+VLOOKUP(AG$4,$DE$6:$DF$17,2)+1))*(VLOOKUP($A16,CURVES!$D$9:$T$261,8))*(INDEX(DailyScalarsTable,AG$5/100,MONTH($A16)))*$C16</f>
        <v>-6506.8777419155431</v>
      </c>
      <c r="AH16" s="1021">
        <f>(VLOOKUP(YEAR($A16),'NY East Load Projections'!$A$4:$EO$14,((MONTH($A16)-1)*12)+VLOOKUP(AH$4,$DE$6:$DF$17,2)+1))*(VLOOKUP($A16,CURVES!$D$9:$T$261,8))*(INDEX(DailyScalarsTable,AH$5/100,MONTH($A16)))*$C16</f>
        <v>-6168.7581131532825</v>
      </c>
      <c r="AI16" s="1021">
        <f>(VLOOKUP(YEAR($A16),'NY East Load Projections'!$A$4:$EO$14,((MONTH($A16)-1)*12)+VLOOKUP(AI$4,$DE$6:$DF$17,2)+1))*(VLOOKUP($A16,CURVES!$D$9:$T$261,8))*(INDEX(DailyScalarsTable,AI$5/100,MONTH($A16)))*$C16</f>
        <v>-5920.2436862162185</v>
      </c>
      <c r="AJ16" s="1021">
        <f>(VLOOKUP(YEAR($A16),'NY East Load Projections'!$A$4:$EO$14,((MONTH($A16)-1)*12)+VLOOKUP(AJ$4,$DE$6:$DF$17,2)+1))*(VLOOKUP($A16,CURVES!$D$9:$T$261,8))*(INDEX(DailyScalarsTable,AJ$5/100,MONTH($A16)))*$C16</f>
        <v>-5923.7438894125144</v>
      </c>
      <c r="AK16" s="1021">
        <f>(VLOOKUP(YEAR($A16),'NY East Load Projections'!$A$4:$EO$14,((MONTH($A16)-1)*12)+VLOOKUP(AK$4,$DE$6:$DF$17,2)+1))*(VLOOKUP($A16,CURVES!$D$9:$T$261,8))*(INDEX(DailyScalarsTable,AK$5/100,MONTH($A16)))*$C16</f>
        <v>-6448.6090415411336</v>
      </c>
      <c r="AL16" s="1021">
        <f>(VLOOKUP(YEAR($A16),'NY East Load Projections'!$A$4:$EO$14,((MONTH($A16)-1)*12)+VLOOKUP(AL$4,$DE$6:$DF$17,2)+1))*(VLOOKUP($A16,CURVES!$D$9:$T$261,8))*(INDEX(DailyScalarsTable,AL$5/100,MONTH($A16)))*$C16</f>
        <v>-7429.5943551964256</v>
      </c>
      <c r="AM16" s="1021">
        <f>(VLOOKUP(YEAR($A16),'NY East Load Projections'!$A$4:$EO$14,((MONTH($A16)-1)*12)+VLOOKUP(AM$4,$DE$6:$DF$17,2)+1))*(VLOOKUP($A16,CURVES!$D$9:$T$261,8))*(INDEX(DailyScalarsTable,AM$5/100,MONTH($A16)))*$C16</f>
        <v>-10642.161198174888</v>
      </c>
      <c r="AN16" s="1021">
        <f>(VLOOKUP(YEAR($A16),'NY East Load Projections'!$A$4:$EO$14,((MONTH($A16)-1)*12)+VLOOKUP(AN$4,$DE$6:$DF$17,2)+1))*(VLOOKUP($A16,SatSunCurve,4))*(INDEX(DailyScalarsTable,AN$5/100,MONTH($A16)))*$C16</f>
        <v>-9390.942116403503</v>
      </c>
      <c r="AO16" s="1021">
        <f>(VLOOKUP(YEAR($A16),'NY East Load Projections'!$A$4:$EO$14,((MONTH($A16)-1)*12)+VLOOKUP(AO$4,$DE$6:$DF$17,2)+1))*(VLOOKUP($A16,SatSunCurve,4))*(INDEX(DailyScalarsTable,AO$5/100,MONTH($A16)))*$C16</f>
        <v>-10542.57252058477</v>
      </c>
      <c r="AP16" s="1021">
        <f>(VLOOKUP(YEAR($A16),'NY East Load Projections'!$A$4:$EO$14,((MONTH($A16)-1)*12)+VLOOKUP(AP$4,$DE$6:$DF$17,2)+1))*(VLOOKUP($A16,SatSunCurve,4))*(INDEX(DailyScalarsTable,AP$5/100,MONTH($A16)))*$C16</f>
        <v>-10474.294000847041</v>
      </c>
      <c r="AQ16" s="1021">
        <f>(VLOOKUP(YEAR($A16),'NY East Load Projections'!$A$4:$EO$14,((MONTH($A16)-1)*12)+VLOOKUP(AQ$4,$DE$6:$DF$17,2)+1))*(VLOOKUP($A16,SatSunCurve,4))*(INDEX(DailyScalarsTable,AQ$5/100,MONTH($A16)))*$C16</f>
        <v>-10272.226489731334</v>
      </c>
      <c r="AR16" s="1021">
        <f>(VLOOKUP(YEAR($A16),'NY East Load Projections'!$A$4:$EO$14,((MONTH($A16)-1)*12)+VLOOKUP(AR$4,$DE$6:$DF$17,2)+1))*(VLOOKUP($A16,SatSunCurve,4))*(INDEX(DailyScalarsTable,AR$5/100,MONTH($A16)))*$C16</f>
        <v>-8649.227621911572</v>
      </c>
      <c r="AS16" s="1021">
        <f>(VLOOKUP(YEAR($A16),'NY East Load Projections'!$A$4:$EO$14,((MONTH($A16)-1)*12)+VLOOKUP(AS$4,$DE$6:$DF$17,2)+1))*(VLOOKUP($A16,SatSunCurve,4))*(INDEX(DailyScalarsTable,AS$5/100,MONTH($A16)))*$C16</f>
        <v>-8185.2054296519518</v>
      </c>
      <c r="AT16" s="1021">
        <f>(VLOOKUP(YEAR($A16),'NY East Load Projections'!$A$4:$EO$14,((MONTH($A16)-1)*12)+VLOOKUP(AT$4,$DE$6:$DF$17,2)+1))*(VLOOKUP($A16,SatSunCurve,4))*(INDEX(DailyScalarsTable,AT$5/100,MONTH($A16)))*$C16</f>
        <v>-7965.4870372148107</v>
      </c>
      <c r="AU16" s="1021">
        <f>(VLOOKUP(YEAR($A16),'NY East Load Projections'!$A$4:$EO$14,((MONTH($A16)-1)*12)+VLOOKUP(AU$4,$DE$6:$DF$17,2)+1))*(VLOOKUP($A16,SatSunCurve,4))*(INDEX(DailyScalarsTable,AU$5/100,MONTH($A16)))*$C16</f>
        <v>-7779.1435904643249</v>
      </c>
      <c r="AV16" s="1021">
        <f>(VLOOKUP(YEAR($A16),'NY East Load Projections'!$A$4:$EO$14,((MONTH($A16)-1)*12)+VLOOKUP(AV$4,$DE$6:$DF$17,2)+1))*(VLOOKUP($A16,SatSunCurve,4))*(INDEX(DailyScalarsTable,AV$5/100,MONTH($A16)))*$C16</f>
        <v>-7651.2062986654837</v>
      </c>
      <c r="AW16" s="1021">
        <f>(VLOOKUP(YEAR($A16),'NY East Load Projections'!$A$4:$EO$14,((MONTH($A16)-1)*12)+VLOOKUP(AW$4,$DE$6:$DF$17,2)+1))*(VLOOKUP($A16,SatSunCurve,4))*(INDEX(DailyScalarsTable,AW$5/100,MONTH($A16)))*$C16</f>
        <v>-7964.1584417478698</v>
      </c>
      <c r="AX16" s="1021">
        <f>(VLOOKUP(YEAR($A16),'NY East Load Projections'!$A$4:$EO$14,((MONTH($A16)-1)*12)+VLOOKUP(AX$4,$DE$6:$DF$17,2)+1))*(VLOOKUP($A16,SatSunCurve,4))*(INDEX(DailyScalarsTable,AX$5/100,MONTH($A16)))*$C16</f>
        <v>-10932.976809667643</v>
      </c>
      <c r="AY16" s="1021">
        <f>(VLOOKUP(YEAR($A16),'NY East Load Projections'!$A$4:$EO$14,((MONTH($A16)-1)*12)+VLOOKUP(AY$4,$DE$6:$DF$17,2)+1))*(VLOOKUP($A16,SatSunCurve,4))*(INDEX(DailyScalarsTable,AY$5/100,MONTH($A16)))*$C16</f>
        <v>-11021.008337672527</v>
      </c>
      <c r="AZ16" s="1021">
        <f>(VLOOKUP(YEAR($A16),'NY East Load Projections'!$A$4:$EO$14,((MONTH($A16)-1)*12)+VLOOKUP(AZ$4,$DE$6:$DF$17,2)+1))*(VLOOKUP($A16,SatSunCurve,4))*(INDEX(DailyScalarsTable,AZ$5/100,MONTH($A16)))*$C16</f>
        <v>-10570.071326872005</v>
      </c>
      <c r="BA16" s="1021">
        <f>(VLOOKUP(YEAR($A16),'NY East Load Projections'!$A$4:$EO$14,((MONTH($A16)-1)*12)+VLOOKUP(BA$4,$DE$6:$DF$17,2)+1))*(VLOOKUP($A16,SatSunCurve,4))*(INDEX(DailyScalarsTable,BA$5/100,MONTH($A16)))*$C16</f>
        <v>-9525.844750245049</v>
      </c>
      <c r="BB16" s="1021">
        <f>(VLOOKUP(YEAR($A16),'NY East Load Projections'!$A$4:$EO$14,((MONTH($A16)-1)*12)+VLOOKUP(BB$4,$DE$6:$DF$17,2)+1))*(VLOOKUP($A16,SatSunCurve,4))*(INDEX(DailyScalarsTable,BB$5/100,MONTH($A16)))*$C16</f>
        <v>-7577.6349735166332</v>
      </c>
      <c r="BC16" s="1021">
        <f>(VLOOKUP(YEAR($A16),'NY East Load Projections'!$A$4:$EO$14,((MONTH($A16)-1)*12)+VLOOKUP(BC$4,$DE$6:$DF$17,2)+1))*(VLOOKUP($A16,SatSunCurve,4))*(INDEX(DailyScalarsTable,BC$5/100,MONTH($A16)))*$C16</f>
        <v>-6390.5129856313797</v>
      </c>
      <c r="BD16" s="1021">
        <f>(VLOOKUP(YEAR($A16),'NY East Load Projections'!$A$4:$EO$14,((MONTH($A16)-1)*12)+VLOOKUP(BD$4,$DE$6:$DF$17,2)+1))*(VLOOKUP($A16,CURVES!$D$9:$T$261,8))*(INDEX(DailyScalarsTable,BD$5/100,MONTH($A16)))*$C16</f>
        <v>-7459.209574388783</v>
      </c>
      <c r="BE16" s="1021"/>
      <c r="BF16" s="1021">
        <f>(VLOOKUP(YEAR($A16),'NY East Load Projections'!$A$4:$EO$14,((MONTH($A16)-1)*12)+VLOOKUP(BF$4,$DE$6:$DF$17,2)+1))*(VLOOKUP($A16,CURVES!$D$9:$T$261,8))*(INDEX(DailyScalarsTable,BF$5/100,MONTH($A16)))*$D16</f>
        <v>-6506.8777419155431</v>
      </c>
      <c r="BG16" s="1021">
        <f>(VLOOKUP(YEAR($A16),'NY East Load Projections'!$A$4:$EO$14,((MONTH($A16)-1)*12)+VLOOKUP(BG$4,$DE$6:$DF$17,2)+1))*(VLOOKUP($A16,CURVES!$D$9:$T$261,8))*(INDEX(DailyScalarsTable,BG$5/100,MONTH($A16)))*$D16</f>
        <v>-6168.7581131532825</v>
      </c>
      <c r="BH16" s="1021">
        <f>(VLOOKUP(YEAR($A16),'NY East Load Projections'!$A$4:$EO$14,((MONTH($A16)-1)*12)+VLOOKUP(BH$4,$DE$6:$DF$17,2)+1))*(VLOOKUP($A16,CURVES!$D$9:$T$261,8))*(INDEX(DailyScalarsTable,BH$5/100,MONTH($A16)))*$D16</f>
        <v>-5920.2436862162185</v>
      </c>
      <c r="BI16" s="1021">
        <f>(VLOOKUP(YEAR($A16),'NY East Load Projections'!$A$4:$EO$14,((MONTH($A16)-1)*12)+VLOOKUP(BI$4,$DE$6:$DF$17,2)+1))*(VLOOKUP($A16,CURVES!$D$9:$T$261,8))*(INDEX(DailyScalarsTable,BI$5/100,MONTH($A16)))*$D16</f>
        <v>-5923.7438894125144</v>
      </c>
      <c r="BJ16" s="1021">
        <f>(VLOOKUP(YEAR($A16),'NY East Load Projections'!$A$4:$EO$14,((MONTH($A16)-1)*12)+VLOOKUP(BJ$4,$DE$6:$DF$17,2)+1))*(VLOOKUP($A16,CURVES!$D$9:$T$261,8))*(INDEX(DailyScalarsTable,BJ$5/100,MONTH($A16)))*$D16</f>
        <v>-6448.6090415411336</v>
      </c>
      <c r="BK16" s="1021">
        <f>(VLOOKUP(YEAR($A16),'NY East Load Projections'!$A$4:$EO$14,((MONTH($A16)-1)*12)+VLOOKUP(BK$4,$DE$6:$DF$17,2)+1))*(VLOOKUP($A16,CURVES!$D$9:$T$261,8))*(INDEX(DailyScalarsTable,BK$5/100,MONTH($A16)))*$D16</f>
        <v>-7429.5943551964256</v>
      </c>
      <c r="BL16" s="1021">
        <f>(VLOOKUP(YEAR($A16),'NY East Load Projections'!$A$4:$EO$14,((MONTH($A16)-1)*12)+VLOOKUP(BL$4,$DE$6:$DF$17,2)+1))*(VLOOKUP($A16,CURVES!$D$9:$T$261,8))*(INDEX(DailyScalarsTable,BL$5/100,MONTH($A16)))*$D16</f>
        <v>-10642.161198174888</v>
      </c>
      <c r="BM16" s="1021">
        <f>(VLOOKUP(YEAR($A16),'NY East Load Projections'!$A$4:$EO$14,((MONTH($A16)-1)*12)+VLOOKUP(BM$4,$DE$6:$DF$17,2)+1))*(VLOOKUP($A16,SatSunCurve,8))*(INDEX(DailyScalarsTable,BM$5/100,MONTH($A16)))*$D16</f>
        <v>-9424.3611590967939</v>
      </c>
      <c r="BN16" s="1021">
        <f>(VLOOKUP(YEAR($A16),'NY East Load Projections'!$A$4:$EO$14,((MONTH($A16)-1)*12)+VLOOKUP(BN$4,$DE$6:$DF$17,2)+1))*(VLOOKUP($A16,SatSunCurve,8))*(INDEX(DailyScalarsTable,BN$5/100,MONTH($A16)))*$D16</f>
        <v>-10580.089808711498</v>
      </c>
      <c r="BO16" s="1021">
        <f>(VLOOKUP(YEAR($A16),'NY East Load Projections'!$A$4:$EO$14,((MONTH($A16)-1)*12)+VLOOKUP(BO$4,$DE$6:$DF$17,2)+1))*(VLOOKUP($A16,SatSunCurve,8))*(INDEX(DailyScalarsTable,BO$5/100,MONTH($A16)))*$D16</f>
        <v>-10511.568309862849</v>
      </c>
      <c r="BP16" s="1021">
        <f>(VLOOKUP(YEAR($A16),'NY East Load Projections'!$A$4:$EO$14,((MONTH($A16)-1)*12)+VLOOKUP(BP$4,$DE$6:$DF$17,2)+1))*(VLOOKUP($A16,SatSunCurve,8))*(INDEX(DailyScalarsTable,BP$5/100,MONTH($A16)))*$D16</f>
        <v>-10308.781711918877</v>
      </c>
      <c r="BQ16" s="1021">
        <f>(VLOOKUP(YEAR($A16),'NY East Load Projections'!$A$4:$EO$14,((MONTH($A16)-1)*12)+VLOOKUP(BQ$4,$DE$6:$DF$17,2)+1))*(VLOOKUP($A16,SatSunCurve,8))*(INDEX(DailyScalarsTable,BQ$5/100,MONTH($A16)))*$D16</f>
        <v>-8680.0071649625042</v>
      </c>
      <c r="BR16" s="1021">
        <f>(VLOOKUP(YEAR($A16),'NY East Load Projections'!$A$4:$EO$14,((MONTH($A16)-1)*12)+VLOOKUP(BR$4,$DE$6:$DF$17,2)+1))*(VLOOKUP($A16,SatSunCurve,8))*(INDEX(DailyScalarsTable,BR$5/100,MONTH($A16)))*$D16</f>
        <v>-8214.3336817821728</v>
      </c>
      <c r="BS16" s="1021">
        <f>(VLOOKUP(YEAR($A16),'NY East Load Projections'!$A$4:$EO$14,((MONTH($A16)-1)*12)+VLOOKUP(BS$4,$DE$6:$DF$17,2)+1))*(VLOOKUP($A16,SatSunCurve,8))*(INDEX(DailyScalarsTable,BS$5/100,MONTH($A16)))*$D16</f>
        <v>-7993.8333892708597</v>
      </c>
      <c r="BT16" s="1021">
        <f>(VLOOKUP(YEAR($A16),'NY East Load Projections'!$A$4:$EO$14,((MONTH($A16)-1)*12)+VLOOKUP(BT$4,$DE$6:$DF$17,2)+1))*(VLOOKUP($A16,SatSunCurve,8))*(INDEX(DailyScalarsTable,BT$5/100,MONTH($A16)))*$D16</f>
        <v>-7806.8268120777211</v>
      </c>
      <c r="BU16" s="1021">
        <f>(VLOOKUP(YEAR($A16),'NY East Load Projections'!$A$4:$EO$14,((MONTH($A16)-1)*12)+VLOOKUP(BU$4,$DE$6:$DF$17,2)+1))*(VLOOKUP($A16,SatSunCurve,8))*(INDEX(DailyScalarsTable,BU$5/100,MONTH($A16)))*$D16</f>
        <v>-7678.4342366913879</v>
      </c>
      <c r="BV16" s="1021">
        <f>(VLOOKUP(YEAR($A16),'NY East Load Projections'!$A$4:$EO$14,((MONTH($A16)-1)*12)+VLOOKUP(BV$4,$DE$6:$DF$17,2)+1))*(VLOOKUP($A16,SatSunCurve,8))*(INDEX(DailyScalarsTable,BV$5/100,MONTH($A16)))*$D16</f>
        <v>-7992.5000658023946</v>
      </c>
      <c r="BW16" s="1021">
        <f>(VLOOKUP(YEAR($A16),'NY East Load Projections'!$A$4:$EO$14,((MONTH($A16)-1)*12)+VLOOKUP(BW$4,$DE$6:$DF$17,2)+1))*(VLOOKUP($A16,SatSunCurve,8))*(INDEX(DailyScalarsTable,BW$5/100,MONTH($A16)))*$D16</f>
        <v>-10971.88340862632</v>
      </c>
      <c r="BX16" s="1021">
        <f>(VLOOKUP(YEAR($A16),'NY East Load Projections'!$A$4:$EO$14,((MONTH($A16)-1)*12)+VLOOKUP(BX$4,$DE$6:$DF$17,2)+1))*(VLOOKUP($A16,SatSunCurve,8))*(INDEX(DailyScalarsTable,BX$5/100,MONTH($A16)))*$D16</f>
        <v>-11060.228209714593</v>
      </c>
      <c r="BY16" s="1021">
        <f>(VLOOKUP(YEAR($A16),'NY East Load Projections'!$A$4:$EO$14,((MONTH($A16)-1)*12)+VLOOKUP(BY$4,$DE$6:$DF$17,2)+1))*(VLOOKUP($A16,SatSunCurve,8))*(INDEX(DailyScalarsTable,BY$5/100,MONTH($A16)))*$D16</f>
        <v>-10607.686473527721</v>
      </c>
      <c r="BZ16" s="1021">
        <f>(VLOOKUP(YEAR($A16),'NY East Load Projections'!$A$4:$EO$14,((MONTH($A16)-1)*12)+VLOOKUP(BZ$4,$DE$6:$DF$17,2)+1))*(VLOOKUP($A16,SatSunCurve,8))*(INDEX(DailyScalarsTable,BZ$5/100,MONTH($A16)))*$D16</f>
        <v>-9559.7438637154701</v>
      </c>
      <c r="CA16" s="1021">
        <f>(VLOOKUP(YEAR($A16),'NY East Load Projections'!$A$4:$EO$14,((MONTH($A16)-1)*12)+VLOOKUP(CA$4,$DE$6:$DF$17,2)+1))*(VLOOKUP($A16,SatSunCurve,8))*(INDEX(DailyScalarsTable,CA$5/100,MONTH($A16)))*$D16</f>
        <v>-7604.6010972085041</v>
      </c>
      <c r="CB16" s="1021">
        <f>(VLOOKUP(YEAR($A16),'NY East Load Projections'!$A$4:$EO$14,((MONTH($A16)-1)*12)+VLOOKUP(CB$4,$DE$6:$DF$17,2)+1))*(VLOOKUP($A16,SatSunCurve,8))*(INDEX(DailyScalarsTable,CB$5/100,MONTH($A16)))*$D16</f>
        <v>-6413.2545618919567</v>
      </c>
      <c r="CC16" s="1021">
        <f>(VLOOKUP(YEAR($A16),'NY East Load Projections'!$A$4:$EO$14,((MONTH($A16)-1)*12)+VLOOKUP(CC$4,$DE$6:$DF$17,2)+1))*(VLOOKUP($A16,CURVES!$D$9:$T$261,8))*(INDEX(DailyScalarsTable,CC$5/100,MONTH($A16)))*$D16</f>
        <v>-7459.209574388783</v>
      </c>
      <c r="CE16" s="1021">
        <f>(VLOOKUP(YEAR($A16),'NY East Load Projections'!$A$4:$EO$14,((MONTH($A16)-1)*12)+VLOOKUP(CE$4,$DE$6:$DF$17,2)+1))*(VLOOKUP($A16,CURVES!$D$9:$T$261,8))*(INDEX(DailyScalarsTable,CE$5/100,MONTH($A16)))*$E16</f>
        <v>-1626.7194354788858</v>
      </c>
      <c r="CF16" s="1021">
        <f>(VLOOKUP(YEAR($A16),'NY East Load Projections'!$A$4:$EO$14,((MONTH($A16)-1)*12)+VLOOKUP(CF$4,$DE$6:$DF$17,2)+1))*(VLOOKUP($A16,CURVES!$D$9:$T$261,8))*(INDEX(DailyScalarsTable,CF$5/100,MONTH($A16)))*$E16</f>
        <v>-1542.1895282883206</v>
      </c>
      <c r="CG16" s="1021">
        <f>(VLOOKUP(YEAR($A16),'NY East Load Projections'!$A$4:$EO$14,((MONTH($A16)-1)*12)+VLOOKUP(CG$4,$DE$6:$DF$17,2)+1))*(VLOOKUP($A16,CURVES!$D$9:$T$261,8))*(INDEX(DailyScalarsTable,CG$5/100,MONTH($A16)))*$E16</f>
        <v>-1480.0609215540546</v>
      </c>
      <c r="CH16" s="1021">
        <f>(VLOOKUP(YEAR($A16),'NY East Load Projections'!$A$4:$EO$14,((MONTH($A16)-1)*12)+VLOOKUP(CH$4,$DE$6:$DF$17,2)+1))*(VLOOKUP($A16,CURVES!$D$9:$T$261,8))*(INDEX(DailyScalarsTable,CH$5/100,MONTH($A16)))*$E16</f>
        <v>-1480.9359723531286</v>
      </c>
      <c r="CI16" s="1021">
        <f>(VLOOKUP(YEAR($A16),'NY East Load Projections'!$A$4:$EO$14,((MONTH($A16)-1)*12)+VLOOKUP(CI$4,$DE$6:$DF$17,2)+1))*(VLOOKUP($A16,CURVES!$D$9:$T$261,8))*(INDEX(DailyScalarsTable,CI$5/100,MONTH($A16)))*$E16</f>
        <v>-1612.1522603852834</v>
      </c>
      <c r="CJ16" s="1021">
        <f>(VLOOKUP(YEAR($A16),'NY East Load Projections'!$A$4:$EO$14,((MONTH($A16)-1)*12)+VLOOKUP(CJ$4,$DE$6:$DF$17,2)+1))*(VLOOKUP($A16,CURVES!$D$9:$T$261,8))*(INDEX(DailyScalarsTable,CJ$5/100,MONTH($A16)))*$E16</f>
        <v>-1857.3985887991064</v>
      </c>
      <c r="CK16" s="1021">
        <f>(VLOOKUP(YEAR($A16),'NY East Load Projections'!$A$4:$EO$14,((MONTH($A16)-1)*12)+VLOOKUP(CK$4,$DE$6:$DF$17,2)+1))*(VLOOKUP($A16,CURVES!$D$9:$T$261,8))*(INDEX(DailyScalarsTable,CK$5/100,MONTH($A16)))*$E16</f>
        <v>-2660.5402995437221</v>
      </c>
      <c r="CL16" s="1021">
        <f>(VLOOKUP(YEAR($A16),'NY East Load Projections'!$A$4:$EO$14,((MONTH($A16)-1)*12)+VLOOKUP(CL$4,$DE$6:$DF$17,2)+1))*(VLOOKUP($A16,SatSunCurve,8))*(INDEX(DailyScalarsTable,CL$5/100,MONTH($A16)))*$E16</f>
        <v>-2356.0902897741985</v>
      </c>
      <c r="CM16" s="1021">
        <f>(VLOOKUP(YEAR($A16),'NY East Load Projections'!$A$4:$EO$14,((MONTH($A16)-1)*12)+VLOOKUP(CM$4,$DE$6:$DF$17,2)+1))*(VLOOKUP($A16,SatSunCurve,8))*(INDEX(DailyScalarsTable,CM$5/100,MONTH($A16)))*$E16</f>
        <v>-2645.0224521778746</v>
      </c>
      <c r="CN16" s="1021">
        <f>(VLOOKUP(YEAR($A16),'NY East Load Projections'!$A$4:$EO$14,((MONTH($A16)-1)*12)+VLOOKUP(CN$4,$DE$6:$DF$17,2)+1))*(VLOOKUP($A16,SatSunCurve,8))*(INDEX(DailyScalarsTable,CN$5/100,MONTH($A16)))*$E16</f>
        <v>-2627.8920774657122</v>
      </c>
      <c r="CO16" s="1021">
        <f>(VLOOKUP(YEAR($A16),'NY East Load Projections'!$A$4:$EO$14,((MONTH($A16)-1)*12)+VLOOKUP(CO$4,$DE$6:$DF$17,2)+1))*(VLOOKUP($A16,SatSunCurve,8))*(INDEX(DailyScalarsTable,CO$5/100,MONTH($A16)))*$E16</f>
        <v>-2577.1954279797192</v>
      </c>
      <c r="CP16" s="1021">
        <f>(VLOOKUP(YEAR($A16),'NY East Load Projections'!$A$4:$EO$14,((MONTH($A16)-1)*12)+VLOOKUP(CP$4,$DE$6:$DF$17,2)+1))*(VLOOKUP($A16,SatSunCurve,8))*(INDEX(DailyScalarsTable,CP$5/100,MONTH($A16)))*$E16</f>
        <v>-2170.0017912406261</v>
      </c>
      <c r="CQ16" s="1021">
        <f>(VLOOKUP(YEAR($A16),'NY East Load Projections'!$A$4:$EO$14,((MONTH($A16)-1)*12)+VLOOKUP(CQ$4,$DE$6:$DF$17,2)+1))*(VLOOKUP($A16,SatSunCurve,8))*(INDEX(DailyScalarsTable,CQ$5/100,MONTH($A16)))*$E16</f>
        <v>-2053.5834204455432</v>
      </c>
      <c r="CR16" s="1021">
        <f>(VLOOKUP(YEAR($A16),'NY East Load Projections'!$A$4:$EO$14,((MONTH($A16)-1)*12)+VLOOKUP(CR$4,$DE$6:$DF$17,2)+1))*(VLOOKUP($A16,SatSunCurve,8))*(INDEX(DailyScalarsTable,CR$5/100,MONTH($A16)))*$E16</f>
        <v>-1998.4583473177149</v>
      </c>
      <c r="CS16" s="1021">
        <f>(VLOOKUP(YEAR($A16),'NY East Load Projections'!$A$4:$EO$14,((MONTH($A16)-1)*12)+VLOOKUP(CS$4,$DE$6:$DF$17,2)+1))*(VLOOKUP($A16,SatSunCurve,8))*(INDEX(DailyScalarsTable,CS$5/100,MONTH($A16)))*$E16</f>
        <v>-1951.7067030194303</v>
      </c>
      <c r="CT16" s="1021">
        <f>(VLOOKUP(YEAR($A16),'NY East Load Projections'!$A$4:$EO$14,((MONTH($A16)-1)*12)+VLOOKUP(CT$4,$DE$6:$DF$17,2)+1))*(VLOOKUP($A16,SatSunCurve,8))*(INDEX(DailyScalarsTable,CT$5/100,MONTH($A16)))*$E16</f>
        <v>-1919.608559172847</v>
      </c>
      <c r="CU16" s="1021">
        <f>(VLOOKUP(YEAR($A16),'NY East Load Projections'!$A$4:$EO$14,((MONTH($A16)-1)*12)+VLOOKUP(CU$4,$DE$6:$DF$17,2)+1))*(VLOOKUP($A16,SatSunCurve,8))*(INDEX(DailyScalarsTable,CU$5/100,MONTH($A16)))*$E16</f>
        <v>-1998.1250164505987</v>
      </c>
      <c r="CV16" s="1021">
        <f>(VLOOKUP(YEAR($A16),'NY East Load Projections'!$A$4:$EO$14,((MONTH($A16)-1)*12)+VLOOKUP(CV$4,$DE$6:$DF$17,2)+1))*(VLOOKUP($A16,SatSunCurve,8))*(INDEX(DailyScalarsTable,CV$5/100,MONTH($A16)))*$E16</f>
        <v>-2742.9708521565799</v>
      </c>
      <c r="CW16" s="1021">
        <f>(VLOOKUP(YEAR($A16),'NY East Load Projections'!$A$4:$EO$14,((MONTH($A16)-1)*12)+VLOOKUP(CW$4,$DE$6:$DF$17,2)+1))*(VLOOKUP($A16,SatSunCurve,8))*(INDEX(DailyScalarsTable,CW$5/100,MONTH($A16)))*$E16</f>
        <v>-2765.0570524286481</v>
      </c>
      <c r="CX16" s="1021">
        <f>(VLOOKUP(YEAR($A16),'NY East Load Projections'!$A$4:$EO$14,((MONTH($A16)-1)*12)+VLOOKUP(CX$4,$DE$6:$DF$17,2)+1))*(VLOOKUP($A16,SatSunCurve,8))*(INDEX(DailyScalarsTable,CX$5/100,MONTH($A16)))*$E16</f>
        <v>-2651.9216183819303</v>
      </c>
      <c r="CY16" s="1021">
        <f>(VLOOKUP(YEAR($A16),'NY East Load Projections'!$A$4:$EO$14,((MONTH($A16)-1)*12)+VLOOKUP(CY$4,$DE$6:$DF$17,2)+1))*(VLOOKUP($A16,SatSunCurve,8))*(INDEX(DailyScalarsTable,CY$5/100,MONTH($A16)))*$E16</f>
        <v>-2389.9359659288675</v>
      </c>
      <c r="CZ16" s="1021">
        <f>(VLOOKUP(YEAR($A16),'NY East Load Projections'!$A$4:$EO$14,((MONTH($A16)-1)*12)+VLOOKUP(CZ$4,$DE$6:$DF$17,2)+1))*(VLOOKUP($A16,SatSunCurve,8))*(INDEX(DailyScalarsTable,CZ$5/100,MONTH($A16)))*$E16</f>
        <v>-1901.150274302126</v>
      </c>
      <c r="DA16" s="1021">
        <f>(VLOOKUP(YEAR($A16),'NY East Load Projections'!$A$4:$EO$14,((MONTH($A16)-1)*12)+VLOOKUP(DA$4,$DE$6:$DF$17,2)+1))*(VLOOKUP($A16,SatSunCurve,8))*(INDEX(DailyScalarsTable,DA$5/100,MONTH($A16)))*$E16</f>
        <v>-1603.3136404729892</v>
      </c>
      <c r="DB16" s="1021">
        <f>(VLOOKUP(YEAR($A16),'NY East Load Projections'!$A$4:$EO$14,((MONTH($A16)-1)*12)+VLOOKUP(DB$4,$DE$6:$DF$17,2)+1))*(VLOOKUP($A16,CURVES!$D$9:$T$261,8))*(INDEX(DailyScalarsTable,DB$5/100,MONTH($A16)))*$E16</f>
        <v>-1864.8023935971958</v>
      </c>
      <c r="DE16" s="221" t="s">
        <v>568</v>
      </c>
      <c r="DF16" s="619">
        <v>11</v>
      </c>
      <c r="DH16" s="1021">
        <f t="shared" si="0"/>
        <v>-1709916.5827650356</v>
      </c>
      <c r="DI16">
        <f ca="1">CALC!J36</f>
        <v>0.88371150556546374</v>
      </c>
      <c r="DJ16" s="1029">
        <f t="shared" ca="1" si="1"/>
        <v>-1511072.9577466424</v>
      </c>
    </row>
    <row r="17" spans="1:114" x14ac:dyDescent="0.25">
      <c r="A17" s="244">
        <v>37226</v>
      </c>
      <c r="B17" s="13">
        <v>20</v>
      </c>
      <c r="C17" s="210">
        <v>5</v>
      </c>
      <c r="D17" s="210">
        <v>5</v>
      </c>
      <c r="E17" s="210">
        <v>1</v>
      </c>
      <c r="F17" s="13">
        <v>31</v>
      </c>
      <c r="H17" s="1021">
        <f>(VLOOKUP(YEAR($A17),'NY East Load Projections'!$A$4:$EO$14,((MONTH($A17)-1)*12)+VLOOKUP(H$4,$DE$6:$DF$17,2)+1))*(VLOOKUP($A17,CURVES!$D$9:$K$261,8))*(INDEX(DailyScalarsTable,H$5/100,MONTH($A17)))*$B17</f>
        <v>-31970.305064018135</v>
      </c>
      <c r="I17" s="1021">
        <f>(VLOOKUP(YEAR($A17),'NY East Load Projections'!$A$4:$EO$14,((MONTH($A17)-1)*12)+VLOOKUP(I$4,$DE$6:$DF$17,2)+1))*(VLOOKUP($A17,CURVES!$D$9:$K$261,8))*(INDEX(DailyScalarsTable,I$5/100,MONTH($A17)))*$B17</f>
        <v>-30309.0186362698</v>
      </c>
      <c r="J17" s="1021">
        <f>(VLOOKUP(YEAR($A17),'NY East Load Projections'!$A$4:$EO$14,((MONTH($A17)-1)*12)+VLOOKUP(J$4,$DE$6:$DF$17,2)+1))*(VLOOKUP($A17,CURVES!$D$9:$K$261,8))*(INDEX(DailyScalarsTable,J$5/100,MONTH($A17)))*$B17</f>
        <v>-29087.990309456844</v>
      </c>
      <c r="K17" s="1021">
        <f>(VLOOKUP(YEAR($A17),'NY East Load Projections'!$A$4:$EO$14,((MONTH($A17)-1)*12)+VLOOKUP(K$4,$DE$6:$DF$17,2)+1))*(VLOOKUP($A17,CURVES!$D$9:$K$261,8))*(INDEX(DailyScalarsTable,K$5/100,MONTH($A17)))*$B17</f>
        <v>-29105.187891524627</v>
      </c>
      <c r="L17" s="1021">
        <f>(VLOOKUP(YEAR($A17),'NY East Load Projections'!$A$4:$EO$14,((MONTH($A17)-1)*12)+VLOOKUP(L$4,$DE$6:$DF$17,2)+1))*(VLOOKUP($A17,CURVES!$D$9:$K$261,8))*(INDEX(DailyScalarsTable,L$5/100,MONTH($A17)))*$B17</f>
        <v>-33236.554264821811</v>
      </c>
      <c r="M17" s="1021">
        <f>(VLOOKUP(YEAR($A17),'NY East Load Projections'!$A$4:$EO$14,((MONTH($A17)-1)*12)+VLOOKUP(M$4,$DE$6:$DF$17,2)+1))*(VLOOKUP($A17,CURVES!$D$9:$K$261,8))*(INDEX(DailyScalarsTable,M$5/100,MONTH($A17)))*$B17</f>
        <v>-38292.616959933701</v>
      </c>
      <c r="N17" s="1021">
        <f>(VLOOKUP(YEAR($A17),'NY East Load Projections'!$A$4:$EO$14,((MONTH($A17)-1)*12)+VLOOKUP(N$4,$DE$6:$DF$17,2)+1))*(VLOOKUP($A17,CURVES!$D$9:$K$261,8))*(INDEX(DailyScalarsTable,N$5/100,MONTH($A17)))*$B17</f>
        <v>-54850.397330582935</v>
      </c>
      <c r="O17" s="1021">
        <f>(VLOOKUP(YEAR($A17),'NY East Load Projections'!$A$4:$EO$14,((MONTH($A17)-1)*12)+VLOOKUP(O$4,$DE$6:$DF$17,2)+1))*(VLOOKUP($A17,CURVES!$D$9:$K$261,4))*(INDEX(DailyScalarsTable,O$5/100,MONTH($A17)))*$B17</f>
        <v>-59926.161388753913</v>
      </c>
      <c r="P17" s="1021">
        <f>(VLOOKUP(YEAR($A17),'NY East Load Projections'!$A$4:$EO$14,((MONTH($A17)-1)*12)+VLOOKUP(P$4,$DE$6:$DF$17,2)+1))*(VLOOKUP($A17,CURVES!$D$9:$K$261,4))*(INDEX(DailyScalarsTable,P$5/100,MONTH($A17)))*$B17</f>
        <v>-66760.183648890714</v>
      </c>
      <c r="Q17" s="1021">
        <f>(VLOOKUP(YEAR($A17),'NY East Load Projections'!$A$4:$EO$14,((MONTH($A17)-1)*12)+VLOOKUP(Q$4,$DE$6:$DF$17,2)+1))*(VLOOKUP($A17,CURVES!$D$9:$K$261,4))*(INDEX(DailyScalarsTable,Q$5/100,MONTH($A17)))*$B17</f>
        <v>-66421.736249399008</v>
      </c>
      <c r="R17" s="1021">
        <f>(VLOOKUP(YEAR($A17),'NY East Load Projections'!$A$4:$EO$14,((MONTH($A17)-1)*12)+VLOOKUP(R$4,$DE$6:$DF$17,2)+1))*(VLOOKUP($A17,CURVES!$D$9:$K$261,4))*(INDEX(DailyScalarsTable,R$5/100,MONTH($A17)))*$B17</f>
        <v>-64976.164305807288</v>
      </c>
      <c r="S17" s="1021">
        <f>(VLOOKUP(YEAR($A17),'NY East Load Projections'!$A$4:$EO$14,((MONTH($A17)-1)*12)+VLOOKUP(S$4,$DE$6:$DF$17,2)+1))*(VLOOKUP($A17,CURVES!$D$9:$K$261,4))*(INDEX(DailyScalarsTable,S$5/100,MONTH($A17)))*$B17</f>
        <v>-52797.79432070718</v>
      </c>
      <c r="T17" s="1021">
        <f>(VLOOKUP(YEAR($A17),'NY East Load Projections'!$A$4:$EO$14,((MONTH($A17)-1)*12)+VLOOKUP(T$4,$DE$6:$DF$17,2)+1))*(VLOOKUP($A17,CURVES!$D$9:$K$261,4))*(INDEX(DailyScalarsTable,T$5/100,MONTH($A17)))*$B17</f>
        <v>-50079.445920397811</v>
      </c>
      <c r="U17" s="1021">
        <f>(VLOOKUP(YEAR($A17),'NY East Load Projections'!$A$4:$EO$14,((MONTH($A17)-1)*12)+VLOOKUP(U$4,$DE$6:$DF$17,2)+1))*(VLOOKUP($A17,CURVES!$D$9:$K$261,4))*(INDEX(DailyScalarsTable,U$5/100,MONTH($A17)))*$B17</f>
        <v>-47921.490598419303</v>
      </c>
      <c r="V17" s="1021">
        <f>(VLOOKUP(YEAR($A17),'NY East Load Projections'!$A$4:$EO$14,((MONTH($A17)-1)*12)+VLOOKUP(V$4,$DE$6:$DF$17,2)+1))*(VLOOKUP($A17,CURVES!$D$9:$K$261,4))*(INDEX(DailyScalarsTable,V$5/100,MONTH($A17)))*$B17</f>
        <v>-45511.678421886274</v>
      </c>
      <c r="W17" s="1021">
        <f>(VLOOKUP(YEAR($A17),'NY East Load Projections'!$A$4:$EO$14,((MONTH($A17)-1)*12)+VLOOKUP(W$4,$DE$6:$DF$17,2)+1))*(VLOOKUP($A17,CURVES!$D$9:$K$261,4))*(INDEX(DailyScalarsTable,W$5/100,MONTH($A17)))*$B17</f>
        <v>-44721.76374169255</v>
      </c>
      <c r="X17" s="1021">
        <f>(VLOOKUP(YEAR($A17),'NY East Load Projections'!$A$4:$EO$14,((MONTH($A17)-1)*12)+VLOOKUP(X$4,$DE$6:$DF$17,2)+1))*(VLOOKUP($A17,CURVES!$D$9:$K$261,4))*(INDEX(DailyScalarsTable,X$5/100,MONTH($A17)))*$B17</f>
        <v>-48670.577774104968</v>
      </c>
      <c r="Y17" s="1021">
        <f>(VLOOKUP(YEAR($A17),'NY East Load Projections'!$A$4:$EO$14,((MONTH($A17)-1)*12)+VLOOKUP(Y$4,$DE$6:$DF$17,2)+1))*(VLOOKUP($A17,CURVES!$D$9:$K$261,4))*(INDEX(DailyScalarsTable,Y$5/100,MONTH($A17)))*$B17</f>
        <v>-68593.601727906673</v>
      </c>
      <c r="Z17" s="1021">
        <f>(VLOOKUP(YEAR($A17),'NY East Load Projections'!$A$4:$EO$14,((MONTH($A17)-1)*12)+VLOOKUP(Z$4,$DE$6:$DF$17,2)+1))*(VLOOKUP($A17,CURVES!$D$9:$K$261,4))*(INDEX(DailyScalarsTable,Z$5/100,MONTH($A17)))*$B17</f>
        <v>-68136.595578709472</v>
      </c>
      <c r="AA17" s="1021">
        <f>(VLOOKUP(YEAR($A17),'NY East Load Projections'!$A$4:$EO$14,((MONTH($A17)-1)*12)+VLOOKUP(AA$4,$DE$6:$DF$17,2)+1))*(VLOOKUP($A17,CURVES!$D$9:$K$261,4))*(INDEX(DailyScalarsTable,AA$5/100,MONTH($A17)))*$B17</f>
        <v>-65790.28796833333</v>
      </c>
      <c r="AB17" s="1021">
        <f>(VLOOKUP(YEAR($A17),'NY East Load Projections'!$A$4:$EO$14,((MONTH($A17)-1)*12)+VLOOKUP(AB$4,$DE$6:$DF$17,2)+1))*(VLOOKUP($A17,CURVES!$D$9:$K$261,4))*(INDEX(DailyScalarsTable,AB$5/100,MONTH($A17)))*$B17</f>
        <v>-61322.92782855306</v>
      </c>
      <c r="AC17" s="1021">
        <f>(VLOOKUP(YEAR($A17),'NY East Load Projections'!$A$4:$EO$14,((MONTH($A17)-1)*12)+VLOOKUP(AC$4,$DE$6:$DF$17,2)+1))*(VLOOKUP($A17,CURVES!$D$9:$K$261,4))*(INDEX(DailyScalarsTable,AC$5/100,MONTH($A17)))*$B17</f>
        <v>-45207.017668004934</v>
      </c>
      <c r="AD17" s="1021">
        <f>(VLOOKUP(YEAR($A17),'NY East Load Projections'!$A$4:$EO$14,((MONTH($A17)-1)*12)+VLOOKUP(AD$4,$DE$6:$DF$17,2)+1))*(VLOOKUP($A17,CURVES!$D$9:$K$261,4))*(INDEX(DailyScalarsTable,AD$5/100,MONTH($A17)))*$B17</f>
        <v>-37296.453214061621</v>
      </c>
      <c r="AE17" s="1021">
        <f>(VLOOKUP(YEAR($A17),'NY East Load Projections'!$A$4:$EO$14,((MONTH($A17)-1)*12)+VLOOKUP(AE$4,$DE$6:$DF$17,2)+1))*(VLOOKUP($A17,CURVES!$D$9:$K$261,8))*(INDEX(DailyScalarsTable,AE$5/100,MONTH($A17)))*$B17</f>
        <v>-37108.914632712105</v>
      </c>
      <c r="AF17" s="1021"/>
      <c r="AG17" s="1021">
        <f>(VLOOKUP(YEAR($A17),'NY East Load Projections'!$A$4:$EO$14,((MONTH($A17)-1)*12)+VLOOKUP(AG$4,$DE$6:$DF$17,2)+1))*(VLOOKUP($A17,CURVES!$D$9:$T$261,8))*(INDEX(DailyScalarsTable,AG$5/100,MONTH($A17)))*$C17</f>
        <v>-8158.1835389309063</v>
      </c>
      <c r="AH17" s="1021">
        <f>(VLOOKUP(YEAR($A17),'NY East Load Projections'!$A$4:$EO$14,((MONTH($A17)-1)*12)+VLOOKUP(AH$4,$DE$6:$DF$17,2)+1))*(VLOOKUP($A17,CURVES!$D$9:$T$261,8))*(INDEX(DailyScalarsTable,AH$5/100,MONTH($A17)))*$C17</f>
        <v>-7734.2564115179275</v>
      </c>
      <c r="AI17" s="1021">
        <f>(VLOOKUP(YEAR($A17),'NY East Load Projections'!$A$4:$EO$14,((MONTH($A17)-1)*12)+VLOOKUP(AI$4,$DE$6:$DF$17,2)+1))*(VLOOKUP($A17,CURVES!$D$9:$T$261,8))*(INDEX(DailyScalarsTable,AI$5/100,MONTH($A17)))*$C17</f>
        <v>-7422.6743613489689</v>
      </c>
      <c r="AJ17" s="1021">
        <f>(VLOOKUP(YEAR($A17),'NY East Load Projections'!$A$4:$EO$14,((MONTH($A17)-1)*12)+VLOOKUP(AJ$4,$DE$6:$DF$17,2)+1))*(VLOOKUP($A17,CURVES!$D$9:$T$261,8))*(INDEX(DailyScalarsTable,AJ$5/100,MONTH($A17)))*$C17</f>
        <v>-7427.0628409288129</v>
      </c>
      <c r="AK17" s="1021">
        <f>(VLOOKUP(YEAR($A17),'NY East Load Projections'!$A$4:$EO$14,((MONTH($A17)-1)*12)+VLOOKUP(AK$4,$DE$6:$DF$17,2)+1))*(VLOOKUP($A17,CURVES!$D$9:$T$261,8))*(INDEX(DailyScalarsTable,AK$5/100,MONTH($A17)))*$C17</f>
        <v>-8138.2586677069121</v>
      </c>
      <c r="AL17" s="1021">
        <f>(VLOOKUP(YEAR($A17),'NY East Load Projections'!$A$4:$EO$14,((MONTH($A17)-1)*12)+VLOOKUP(AL$4,$DE$6:$DF$17,2)+1))*(VLOOKUP($A17,CURVES!$D$9:$T$261,8))*(INDEX(DailyScalarsTable,AL$5/100,MONTH($A17)))*$C17</f>
        <v>-9376.2794843387746</v>
      </c>
      <c r="AM17" s="1021">
        <f>(VLOOKUP(YEAR($A17),'NY East Load Projections'!$A$4:$EO$14,((MONTH($A17)-1)*12)+VLOOKUP(AM$4,$DE$6:$DF$17,2)+1))*(VLOOKUP($A17,CURVES!$D$9:$T$261,8))*(INDEX(DailyScalarsTable,AM$5/100,MONTH($A17)))*$C17</f>
        <v>-13430.595661212952</v>
      </c>
      <c r="AN17" s="1021">
        <f>(VLOOKUP(YEAR($A17),'NY East Load Projections'!$A$4:$EO$14,((MONTH($A17)-1)*12)+VLOOKUP(AN$4,$DE$6:$DF$17,2)+1))*(VLOOKUP($A17,SatSunCurve,4))*(INDEX(DailyScalarsTable,AN$5/100,MONTH($A17)))*$C17</f>
        <v>-11888.690901369442</v>
      </c>
      <c r="AO17" s="1021">
        <f>(VLOOKUP(YEAR($A17),'NY East Load Projections'!$A$4:$EO$14,((MONTH($A17)-1)*12)+VLOOKUP(AO$4,$DE$6:$DF$17,2)+1))*(VLOOKUP($A17,SatSunCurve,4))*(INDEX(DailyScalarsTable,AO$5/100,MONTH($A17)))*$C17</f>
        <v>-13297.916799729541</v>
      </c>
      <c r="AP17" s="1021">
        <f>(VLOOKUP(YEAR($A17),'NY East Load Projections'!$A$4:$EO$14,((MONTH($A17)-1)*12)+VLOOKUP(AP$4,$DE$6:$DF$17,2)+1))*(VLOOKUP($A17,SatSunCurve,4))*(INDEX(DailyScalarsTable,AP$5/100,MONTH($A17)))*$C17</f>
        <v>-13230.501686206251</v>
      </c>
      <c r="AQ17" s="1021">
        <f>(VLOOKUP(YEAR($A17),'NY East Load Projections'!$A$4:$EO$14,((MONTH($A17)-1)*12)+VLOOKUP(AQ$4,$DE$6:$DF$17,2)+1))*(VLOOKUP($A17,SatSunCurve,4))*(INDEX(DailyScalarsTable,AQ$5/100,MONTH($A17)))*$C17</f>
        <v>-12942.559167428812</v>
      </c>
      <c r="AR17" s="1021">
        <f>(VLOOKUP(YEAR($A17),'NY East Load Projections'!$A$4:$EO$14,((MONTH($A17)-1)*12)+VLOOKUP(AR$4,$DE$6:$DF$17,2)+1))*(VLOOKUP($A17,SatSunCurve,4))*(INDEX(DailyScalarsTable,AR$5/100,MONTH($A17)))*$C17</f>
        <v>-10516.757709633159</v>
      </c>
      <c r="AS17" s="1021">
        <f>(VLOOKUP(YEAR($A17),'NY East Load Projections'!$A$4:$EO$14,((MONTH($A17)-1)*12)+VLOOKUP(AS$4,$DE$6:$DF$17,2)+1))*(VLOOKUP($A17,SatSunCurve,4))*(INDEX(DailyScalarsTable,AS$5/100,MONTH($A17)))*$C17</f>
        <v>-9955.1126349897841</v>
      </c>
      <c r="AT17" s="1021">
        <f>(VLOOKUP(YEAR($A17),'NY East Load Projections'!$A$4:$EO$14,((MONTH($A17)-1)*12)+VLOOKUP(AT$4,$DE$6:$DF$17,2)+1))*(VLOOKUP($A17,SatSunCurve,4))*(INDEX(DailyScalarsTable,AT$5/100,MONTH($A17)))*$C17</f>
        <v>-9526.1404709263315</v>
      </c>
      <c r="AU17" s="1021">
        <f>(VLOOKUP(YEAR($A17),'NY East Load Projections'!$A$4:$EO$14,((MONTH($A17)-1)*12)+VLOOKUP(AU$4,$DE$6:$DF$17,2)+1))*(VLOOKUP($A17,SatSunCurve,4))*(INDEX(DailyScalarsTable,AU$5/100,MONTH($A17)))*$C17</f>
        <v>-9047.1025901021567</v>
      </c>
      <c r="AV17" s="1021">
        <f>(VLOOKUP(YEAR($A17),'NY East Load Projections'!$A$4:$EO$14,((MONTH($A17)-1)*12)+VLOOKUP(AV$4,$DE$6:$DF$17,2)+1))*(VLOOKUP($A17,SatSunCurve,4))*(INDEX(DailyScalarsTable,AV$5/100,MONTH($A17)))*$C17</f>
        <v>-8890.0782966253482</v>
      </c>
      <c r="AW17" s="1021">
        <f>(VLOOKUP(YEAR($A17),'NY East Load Projections'!$A$4:$EO$14,((MONTH($A17)-1)*12)+VLOOKUP(AW$4,$DE$6:$DF$17,2)+1))*(VLOOKUP($A17,SatSunCurve,4))*(INDEX(DailyScalarsTable,AW$5/100,MONTH($A17)))*$C17</f>
        <v>-9784.1450433454665</v>
      </c>
      <c r="AX17" s="1021">
        <f>(VLOOKUP(YEAR($A17),'NY East Load Projections'!$A$4:$EO$14,((MONTH($A17)-1)*12)+VLOOKUP(AX$4,$DE$6:$DF$17,2)+1))*(VLOOKUP($A17,SatSunCurve,4))*(INDEX(DailyScalarsTable,AX$5/100,MONTH($A17)))*$C17</f>
        <v>-13789.229120439652</v>
      </c>
      <c r="AY17" s="1021">
        <f>(VLOOKUP(YEAR($A17),'NY East Load Projections'!$A$4:$EO$14,((MONTH($A17)-1)*12)+VLOOKUP(AY$4,$DE$6:$DF$17,2)+1))*(VLOOKUP($A17,SatSunCurve,4))*(INDEX(DailyScalarsTable,AY$5/100,MONTH($A17)))*$C17</f>
        <v>-13697.358124574359</v>
      </c>
      <c r="AZ17" s="1021">
        <f>(VLOOKUP(YEAR($A17),'NY East Load Projections'!$A$4:$EO$14,((MONTH($A17)-1)*12)+VLOOKUP(AZ$4,$DE$6:$DF$17,2)+1))*(VLOOKUP($A17,SatSunCurve,4))*(INDEX(DailyScalarsTable,AZ$5/100,MONTH($A17)))*$C17</f>
        <v>-13225.684784619896</v>
      </c>
      <c r="BA17" s="1021">
        <f>(VLOOKUP(YEAR($A17),'NY East Load Projections'!$A$4:$EO$14,((MONTH($A17)-1)*12)+VLOOKUP(BA$4,$DE$6:$DF$17,2)+1))*(VLOOKUP($A17,SatSunCurve,4))*(INDEX(DailyScalarsTable,BA$5/100,MONTH($A17)))*$C17</f>
        <v>-12607.372260173241</v>
      </c>
      <c r="BB17" s="1021">
        <f>(VLOOKUP(YEAR($A17),'NY East Load Projections'!$A$4:$EO$14,((MONTH($A17)-1)*12)+VLOOKUP(BB$4,$DE$6:$DF$17,2)+1))*(VLOOKUP($A17,SatSunCurve,4))*(INDEX(DailyScalarsTable,BB$5/100,MONTH($A17)))*$C17</f>
        <v>-9294.1045167675766</v>
      </c>
      <c r="BC17" s="1021">
        <f>(VLOOKUP(YEAR($A17),'NY East Load Projections'!$A$4:$EO$14,((MONTH($A17)-1)*12)+VLOOKUP(BC$4,$DE$6:$DF$17,2)+1))*(VLOOKUP($A17,SatSunCurve,4))*(INDEX(DailyScalarsTable,BC$5/100,MONTH($A17)))*$C17</f>
        <v>-7667.772663569257</v>
      </c>
      <c r="BD17" s="1021">
        <f>(VLOOKUP(YEAR($A17),'NY East Load Projections'!$A$4:$EO$14,((MONTH($A17)-1)*12)+VLOOKUP(BD$4,$DE$6:$DF$17,2)+1))*(VLOOKUP($A17,CURVES!$D$9:$T$261,8))*(INDEX(DailyScalarsTable,BD$5/100,MONTH($A17)))*$C17</f>
        <v>-9416.2475463303817</v>
      </c>
      <c r="BE17" s="1021"/>
      <c r="BF17" s="1021">
        <f>(VLOOKUP(YEAR($A17),'NY East Load Projections'!$A$4:$EO$14,((MONTH($A17)-1)*12)+VLOOKUP(BF$4,$DE$6:$DF$17,2)+1))*(VLOOKUP($A17,CURVES!$D$9:$T$261,8))*(INDEX(DailyScalarsTable,BF$5/100,MONTH($A17)))*$D17</f>
        <v>-8158.1835389309063</v>
      </c>
      <c r="BG17" s="1021">
        <f>(VLOOKUP(YEAR($A17),'NY East Load Projections'!$A$4:$EO$14,((MONTH($A17)-1)*12)+VLOOKUP(BG$4,$DE$6:$DF$17,2)+1))*(VLOOKUP($A17,CURVES!$D$9:$T$261,8))*(INDEX(DailyScalarsTable,BG$5/100,MONTH($A17)))*$D17</f>
        <v>-7734.2564115179275</v>
      </c>
      <c r="BH17" s="1021">
        <f>(VLOOKUP(YEAR($A17),'NY East Load Projections'!$A$4:$EO$14,((MONTH($A17)-1)*12)+VLOOKUP(BH$4,$DE$6:$DF$17,2)+1))*(VLOOKUP($A17,CURVES!$D$9:$T$261,8))*(INDEX(DailyScalarsTable,BH$5/100,MONTH($A17)))*$D17</f>
        <v>-7422.6743613489689</v>
      </c>
      <c r="BI17" s="1021">
        <f>(VLOOKUP(YEAR($A17),'NY East Load Projections'!$A$4:$EO$14,((MONTH($A17)-1)*12)+VLOOKUP(BI$4,$DE$6:$DF$17,2)+1))*(VLOOKUP($A17,CURVES!$D$9:$T$261,8))*(INDEX(DailyScalarsTable,BI$5/100,MONTH($A17)))*$D17</f>
        <v>-7427.0628409288129</v>
      </c>
      <c r="BJ17" s="1021">
        <f>(VLOOKUP(YEAR($A17),'NY East Load Projections'!$A$4:$EO$14,((MONTH($A17)-1)*12)+VLOOKUP(BJ$4,$DE$6:$DF$17,2)+1))*(VLOOKUP($A17,CURVES!$D$9:$T$261,8))*(INDEX(DailyScalarsTable,BJ$5/100,MONTH($A17)))*$D17</f>
        <v>-8138.2586677069121</v>
      </c>
      <c r="BK17" s="1021">
        <f>(VLOOKUP(YEAR($A17),'NY East Load Projections'!$A$4:$EO$14,((MONTH($A17)-1)*12)+VLOOKUP(BK$4,$DE$6:$DF$17,2)+1))*(VLOOKUP($A17,CURVES!$D$9:$T$261,8))*(INDEX(DailyScalarsTable,BK$5/100,MONTH($A17)))*$D17</f>
        <v>-9376.2794843387746</v>
      </c>
      <c r="BL17" s="1021">
        <f>(VLOOKUP(YEAR($A17),'NY East Load Projections'!$A$4:$EO$14,((MONTH($A17)-1)*12)+VLOOKUP(BL$4,$DE$6:$DF$17,2)+1))*(VLOOKUP($A17,CURVES!$D$9:$T$261,8))*(INDEX(DailyScalarsTable,BL$5/100,MONTH($A17)))*$D17</f>
        <v>-13430.595661212952</v>
      </c>
      <c r="BM17" s="1021">
        <f>(VLOOKUP(YEAR($A17),'NY East Load Projections'!$A$4:$EO$14,((MONTH($A17)-1)*12)+VLOOKUP(BM$4,$DE$6:$DF$17,2)+1))*(VLOOKUP($A17,SatSunCurve,8))*(INDEX(DailyScalarsTable,BM$5/100,MONTH($A17)))*$D17</f>
        <v>-11239.717745883856</v>
      </c>
      <c r="BN17" s="1021">
        <f>(VLOOKUP(YEAR($A17),'NY East Load Projections'!$A$4:$EO$14,((MONTH($A17)-1)*12)+VLOOKUP(BN$4,$DE$6:$DF$17,2)+1))*(VLOOKUP($A17,SatSunCurve,8))*(INDEX(DailyScalarsTable,BN$5/100,MONTH($A17)))*$D17</f>
        <v>-12572.017615496299</v>
      </c>
      <c r="BO17" s="1021">
        <f>(VLOOKUP(YEAR($A17),'NY East Load Projections'!$A$4:$EO$14,((MONTH($A17)-1)*12)+VLOOKUP(BO$4,$DE$6:$DF$17,2)+1))*(VLOOKUP($A17,SatSunCurve,8))*(INDEX(DailyScalarsTable,BO$5/100,MONTH($A17)))*$D17</f>
        <v>-12508.282520178009</v>
      </c>
      <c r="BP17" s="1021">
        <f>(VLOOKUP(YEAR($A17),'NY East Load Projections'!$A$4:$EO$14,((MONTH($A17)-1)*12)+VLOOKUP(BP$4,$DE$6:$DF$17,2)+1))*(VLOOKUP($A17,SatSunCurve,8))*(INDEX(DailyScalarsTable,BP$5/100,MONTH($A17)))*$D17</f>
        <v>-12236.058045259204</v>
      </c>
      <c r="BQ17" s="1021">
        <f>(VLOOKUP(YEAR($A17),'NY East Load Projections'!$A$4:$EO$14,((MONTH($A17)-1)*12)+VLOOKUP(BQ$4,$DE$6:$DF$17,2)+1))*(VLOOKUP($A17,SatSunCurve,8))*(INDEX(DailyScalarsTable,BQ$5/100,MONTH($A17)))*$D17</f>
        <v>-9942.6748696535451</v>
      </c>
      <c r="BR17" s="1021">
        <f>(VLOOKUP(YEAR($A17),'NY East Load Projections'!$A$4:$EO$14,((MONTH($A17)-1)*12)+VLOOKUP(BR$4,$DE$6:$DF$17,2)+1))*(VLOOKUP($A17,SatSunCurve,8))*(INDEX(DailyScalarsTable,BR$5/100,MONTH($A17)))*$D17</f>
        <v>-9411.6885596612246</v>
      </c>
      <c r="BS17" s="1021">
        <f>(VLOOKUP(YEAR($A17),'NY East Load Projections'!$A$4:$EO$14,((MONTH($A17)-1)*12)+VLOOKUP(BS$4,$DE$6:$DF$17,2)+1))*(VLOOKUP($A17,SatSunCurve,8))*(INDEX(DailyScalarsTable,BS$5/100,MONTH($A17)))*$D17</f>
        <v>-9006.1328862137125</v>
      </c>
      <c r="BT17" s="1021">
        <f>(VLOOKUP(YEAR($A17),'NY East Load Projections'!$A$4:$EO$14,((MONTH($A17)-1)*12)+VLOOKUP(BT$4,$DE$6:$DF$17,2)+1))*(VLOOKUP($A17,SatSunCurve,8))*(INDEX(DailyScalarsTable,BT$5/100,MONTH($A17)))*$D17</f>
        <v>-8553.2444551224598</v>
      </c>
      <c r="BU17" s="1021">
        <f>(VLOOKUP(YEAR($A17),'NY East Load Projections'!$A$4:$EO$14,((MONTH($A17)-1)*12)+VLOOKUP(BU$4,$DE$6:$DF$17,2)+1))*(VLOOKUP($A17,SatSunCurve,8))*(INDEX(DailyScalarsTable,BU$5/100,MONTH($A17)))*$D17</f>
        <v>-8404.7917152398149</v>
      </c>
      <c r="BV17" s="1021">
        <f>(VLOOKUP(YEAR($A17),'NY East Load Projections'!$A$4:$EO$14,((MONTH($A17)-1)*12)+VLOOKUP(BV$4,$DE$6:$DF$17,2)+1))*(VLOOKUP($A17,SatSunCurve,8))*(INDEX(DailyScalarsTable,BV$5/100,MONTH($A17)))*$D17</f>
        <v>-9250.0536505095097</v>
      </c>
      <c r="BW17" s="1021">
        <f>(VLOOKUP(YEAR($A17),'NY East Load Projections'!$A$4:$EO$14,((MONTH($A17)-1)*12)+VLOOKUP(BW$4,$DE$6:$DF$17,2)+1))*(VLOOKUP($A17,SatSunCurve,8))*(INDEX(DailyScalarsTable,BW$5/100,MONTH($A17)))*$D17</f>
        <v>-13036.510456269936</v>
      </c>
      <c r="BX17" s="1021">
        <f>(VLOOKUP(YEAR($A17),'NY East Load Projections'!$A$4:$EO$14,((MONTH($A17)-1)*12)+VLOOKUP(BX$4,$DE$6:$DF$17,2)+1))*(VLOOKUP($A17,SatSunCurve,8))*(INDEX(DailyScalarsTable,BX$5/100,MONTH($A17)))*$D17</f>
        <v>-12949.654462525477</v>
      </c>
      <c r="BY17" s="1021">
        <f>(VLOOKUP(YEAR($A17),'NY East Load Projections'!$A$4:$EO$14,((MONTH($A17)-1)*12)+VLOOKUP(BY$4,$DE$6:$DF$17,2)+1))*(VLOOKUP($A17,SatSunCurve,8))*(INDEX(DailyScalarsTable,BY$5/100,MONTH($A17)))*$D17</f>
        <v>-12503.728560899435</v>
      </c>
      <c r="BZ17" s="1021">
        <f>(VLOOKUP(YEAR($A17),'NY East Load Projections'!$A$4:$EO$14,((MONTH($A17)-1)*12)+VLOOKUP(BZ$4,$DE$6:$DF$17,2)+1))*(VLOOKUP($A17,SatSunCurve,8))*(INDEX(DailyScalarsTable,BZ$5/100,MONTH($A17)))*$D17</f>
        <v>-11919.168131901761</v>
      </c>
      <c r="CA17" s="1021">
        <f>(VLOOKUP(YEAR($A17),'NY East Load Projections'!$A$4:$EO$14,((MONTH($A17)-1)*12)+VLOOKUP(CA$4,$DE$6:$DF$17,2)+1))*(VLOOKUP($A17,SatSunCurve,8))*(INDEX(DailyScalarsTable,CA$5/100,MONTH($A17)))*$D17</f>
        <v>-8786.7631798871043</v>
      </c>
      <c r="CB17" s="1021">
        <f>(VLOOKUP(YEAR($A17),'NY East Load Projections'!$A$4:$EO$14,((MONTH($A17)-1)*12)+VLOOKUP(CB$4,$DE$6:$DF$17,2)+1))*(VLOOKUP($A17,SatSunCurve,8))*(INDEX(DailyScalarsTable,CB$5/100,MONTH($A17)))*$D17</f>
        <v>-7249.2086128839592</v>
      </c>
      <c r="CC17" s="1021">
        <f>(VLOOKUP(YEAR($A17),'NY East Load Projections'!$A$4:$EO$14,((MONTH($A17)-1)*12)+VLOOKUP(CC$4,$DE$6:$DF$17,2)+1))*(VLOOKUP($A17,CURVES!$D$9:$T$261,8))*(INDEX(DailyScalarsTable,CC$5/100,MONTH($A17)))*$D17</f>
        <v>-9416.2475463303817</v>
      </c>
      <c r="CE17" s="1021">
        <f>(VLOOKUP(YEAR($A17),'NY East Load Projections'!$A$4:$EO$14,((MONTH($A17)-1)*12)+VLOOKUP(CE$4,$DE$6:$DF$17,2)+1))*(VLOOKUP($A17,CURVES!$D$9:$T$261,8))*(INDEX(DailyScalarsTable,CE$5/100,MONTH($A17)))*$E17</f>
        <v>-1631.6367077861812</v>
      </c>
      <c r="CF17" s="1021">
        <f>(VLOOKUP(YEAR($A17),'NY East Load Projections'!$A$4:$EO$14,((MONTH($A17)-1)*12)+VLOOKUP(CF$4,$DE$6:$DF$17,2)+1))*(VLOOKUP($A17,CURVES!$D$9:$T$261,8))*(INDEX(DailyScalarsTable,CF$5/100,MONTH($A17)))*$E17</f>
        <v>-1546.8512823035855</v>
      </c>
      <c r="CG17" s="1021">
        <f>(VLOOKUP(YEAR($A17),'NY East Load Projections'!$A$4:$EO$14,((MONTH($A17)-1)*12)+VLOOKUP(CG$4,$DE$6:$DF$17,2)+1))*(VLOOKUP($A17,CURVES!$D$9:$T$261,8))*(INDEX(DailyScalarsTable,CG$5/100,MONTH($A17)))*$E17</f>
        <v>-1484.5348722697938</v>
      </c>
      <c r="CH17" s="1021">
        <f>(VLOOKUP(YEAR($A17),'NY East Load Projections'!$A$4:$EO$14,((MONTH($A17)-1)*12)+VLOOKUP(CH$4,$DE$6:$DF$17,2)+1))*(VLOOKUP($A17,CURVES!$D$9:$T$261,8))*(INDEX(DailyScalarsTable,CH$5/100,MONTH($A17)))*$E17</f>
        <v>-1485.4125681857627</v>
      </c>
      <c r="CI17" s="1021">
        <f>(VLOOKUP(YEAR($A17),'NY East Load Projections'!$A$4:$EO$14,((MONTH($A17)-1)*12)+VLOOKUP(CI$4,$DE$6:$DF$17,2)+1))*(VLOOKUP($A17,CURVES!$D$9:$T$261,8))*(INDEX(DailyScalarsTable,CI$5/100,MONTH($A17)))*$E17</f>
        <v>-1627.6517335413823</v>
      </c>
      <c r="CJ17" s="1021">
        <f>(VLOOKUP(YEAR($A17),'NY East Load Projections'!$A$4:$EO$14,((MONTH($A17)-1)*12)+VLOOKUP(CJ$4,$DE$6:$DF$17,2)+1))*(VLOOKUP($A17,CURVES!$D$9:$T$261,8))*(INDEX(DailyScalarsTable,CJ$5/100,MONTH($A17)))*$E17</f>
        <v>-1875.2558968677549</v>
      </c>
      <c r="CK17" s="1021">
        <f>(VLOOKUP(YEAR($A17),'NY East Load Projections'!$A$4:$EO$14,((MONTH($A17)-1)*12)+VLOOKUP(CK$4,$DE$6:$DF$17,2)+1))*(VLOOKUP($A17,CURVES!$D$9:$T$261,8))*(INDEX(DailyScalarsTable,CK$5/100,MONTH($A17)))*$E17</f>
        <v>-2686.1191322425902</v>
      </c>
      <c r="CL17" s="1021">
        <f>(VLOOKUP(YEAR($A17),'NY East Load Projections'!$A$4:$EO$14,((MONTH($A17)-1)*12)+VLOOKUP(CL$4,$DE$6:$DF$17,2)+1))*(VLOOKUP($A17,SatSunCurve,8))*(INDEX(DailyScalarsTable,CL$5/100,MONTH($A17)))*$E17</f>
        <v>-2247.9435491767713</v>
      </c>
      <c r="CM17" s="1021">
        <f>(VLOOKUP(YEAR($A17),'NY East Load Projections'!$A$4:$EO$14,((MONTH($A17)-1)*12)+VLOOKUP(CM$4,$DE$6:$DF$17,2)+1))*(VLOOKUP($A17,SatSunCurve,8))*(INDEX(DailyScalarsTable,CM$5/100,MONTH($A17)))*$E17</f>
        <v>-2514.4035230992599</v>
      </c>
      <c r="CN17" s="1021">
        <f>(VLOOKUP(YEAR($A17),'NY East Load Projections'!$A$4:$EO$14,((MONTH($A17)-1)*12)+VLOOKUP(CN$4,$DE$6:$DF$17,2)+1))*(VLOOKUP($A17,SatSunCurve,8))*(INDEX(DailyScalarsTable,CN$5/100,MONTH($A17)))*$E17</f>
        <v>-2501.6565040356018</v>
      </c>
      <c r="CO17" s="1021">
        <f>(VLOOKUP(YEAR($A17),'NY East Load Projections'!$A$4:$EO$14,((MONTH($A17)-1)*12)+VLOOKUP(CO$4,$DE$6:$DF$17,2)+1))*(VLOOKUP($A17,SatSunCurve,8))*(INDEX(DailyScalarsTable,CO$5/100,MONTH($A17)))*$E17</f>
        <v>-2447.2116090518407</v>
      </c>
      <c r="CP17" s="1021">
        <f>(VLOOKUP(YEAR($A17),'NY East Load Projections'!$A$4:$EO$14,((MONTH($A17)-1)*12)+VLOOKUP(CP$4,$DE$6:$DF$17,2)+1))*(VLOOKUP($A17,SatSunCurve,8))*(INDEX(DailyScalarsTable,CP$5/100,MONTH($A17)))*$E17</f>
        <v>-1988.5349739307089</v>
      </c>
      <c r="CQ17" s="1021">
        <f>(VLOOKUP(YEAR($A17),'NY East Load Projections'!$A$4:$EO$14,((MONTH($A17)-1)*12)+VLOOKUP(CQ$4,$DE$6:$DF$17,2)+1))*(VLOOKUP($A17,SatSunCurve,8))*(INDEX(DailyScalarsTable,CQ$5/100,MONTH($A17)))*$E17</f>
        <v>-1882.3377119322449</v>
      </c>
      <c r="CR17" s="1021">
        <f>(VLOOKUP(YEAR($A17),'NY East Load Projections'!$A$4:$EO$14,((MONTH($A17)-1)*12)+VLOOKUP(CR$4,$DE$6:$DF$17,2)+1))*(VLOOKUP($A17,SatSunCurve,8))*(INDEX(DailyScalarsTable,CR$5/100,MONTH($A17)))*$E17</f>
        <v>-1801.2265772427427</v>
      </c>
      <c r="CS17" s="1021">
        <f>(VLOOKUP(YEAR($A17),'NY East Load Projections'!$A$4:$EO$14,((MONTH($A17)-1)*12)+VLOOKUP(CS$4,$DE$6:$DF$17,2)+1))*(VLOOKUP($A17,SatSunCurve,8))*(INDEX(DailyScalarsTable,CS$5/100,MONTH($A17)))*$E17</f>
        <v>-1710.6488910244918</v>
      </c>
      <c r="CT17" s="1021">
        <f>(VLOOKUP(YEAR($A17),'NY East Load Projections'!$A$4:$EO$14,((MONTH($A17)-1)*12)+VLOOKUP(CT$4,$DE$6:$DF$17,2)+1))*(VLOOKUP($A17,SatSunCurve,8))*(INDEX(DailyScalarsTable,CT$5/100,MONTH($A17)))*$E17</f>
        <v>-1680.9583430479631</v>
      </c>
      <c r="CU17" s="1021">
        <f>(VLOOKUP(YEAR($A17),'NY East Load Projections'!$A$4:$EO$14,((MONTH($A17)-1)*12)+VLOOKUP(CU$4,$DE$6:$DF$17,2)+1))*(VLOOKUP($A17,SatSunCurve,8))*(INDEX(DailyScalarsTable,CU$5/100,MONTH($A17)))*$E17</f>
        <v>-1850.0107301019018</v>
      </c>
      <c r="CV17" s="1021">
        <f>(VLOOKUP(YEAR($A17),'NY East Load Projections'!$A$4:$EO$14,((MONTH($A17)-1)*12)+VLOOKUP(CV$4,$DE$6:$DF$17,2)+1))*(VLOOKUP($A17,SatSunCurve,8))*(INDEX(DailyScalarsTable,CV$5/100,MONTH($A17)))*$E17</f>
        <v>-2607.3020912539873</v>
      </c>
      <c r="CW17" s="1021">
        <f>(VLOOKUP(YEAR($A17),'NY East Load Projections'!$A$4:$EO$14,((MONTH($A17)-1)*12)+VLOOKUP(CW$4,$DE$6:$DF$17,2)+1))*(VLOOKUP($A17,SatSunCurve,8))*(INDEX(DailyScalarsTable,CW$5/100,MONTH($A17)))*$E17</f>
        <v>-2589.9308925050955</v>
      </c>
      <c r="CX17" s="1021">
        <f>(VLOOKUP(YEAR($A17),'NY East Load Projections'!$A$4:$EO$14,((MONTH($A17)-1)*12)+VLOOKUP(CX$4,$DE$6:$DF$17,2)+1))*(VLOOKUP($A17,SatSunCurve,8))*(INDEX(DailyScalarsTable,CX$5/100,MONTH($A17)))*$E17</f>
        <v>-2500.7457121798871</v>
      </c>
      <c r="CY17" s="1021">
        <f>(VLOOKUP(YEAR($A17),'NY East Load Projections'!$A$4:$EO$14,((MONTH($A17)-1)*12)+VLOOKUP(CY$4,$DE$6:$DF$17,2)+1))*(VLOOKUP($A17,SatSunCurve,8))*(INDEX(DailyScalarsTable,CY$5/100,MONTH($A17)))*$E17</f>
        <v>-2383.8336263803521</v>
      </c>
      <c r="CZ17" s="1021">
        <f>(VLOOKUP(YEAR($A17),'NY East Load Projections'!$A$4:$EO$14,((MONTH($A17)-1)*12)+VLOOKUP(CZ$4,$DE$6:$DF$17,2)+1))*(VLOOKUP($A17,SatSunCurve,8))*(INDEX(DailyScalarsTable,CZ$5/100,MONTH($A17)))*$E17</f>
        <v>-1757.352635977421</v>
      </c>
      <c r="DA17" s="1021">
        <f>(VLOOKUP(YEAR($A17),'NY East Load Projections'!$A$4:$EO$14,((MONTH($A17)-1)*12)+VLOOKUP(DA$4,$DE$6:$DF$17,2)+1))*(VLOOKUP($A17,SatSunCurve,8))*(INDEX(DailyScalarsTable,DA$5/100,MONTH($A17)))*$E17</f>
        <v>-1449.8417225767919</v>
      </c>
      <c r="DB17" s="1021">
        <f>(VLOOKUP(YEAR($A17),'NY East Load Projections'!$A$4:$EO$14,((MONTH($A17)-1)*12)+VLOOKUP(DB$4,$DE$6:$DF$17,2)+1))*(VLOOKUP($A17,CURVES!$D$9:$T$261,8))*(INDEX(DailyScalarsTable,DB$5/100,MONTH($A17)))*$E17</f>
        <v>-1883.2495092660763</v>
      </c>
      <c r="DE17" s="1019" t="s">
        <v>569</v>
      </c>
      <c r="DF17" s="1020">
        <v>12</v>
      </c>
      <c r="DH17" s="1021">
        <f t="shared" si="0"/>
        <v>-1717366.8555036457</v>
      </c>
      <c r="DI17">
        <f ca="1">CALC!J37</f>
        <v>0.87822441142858754</v>
      </c>
      <c r="DJ17" s="1029">
        <f t="shared" ca="1" si="1"/>
        <v>-1508233.4958816534</v>
      </c>
    </row>
    <row r="18" spans="1:114" x14ac:dyDescent="0.25">
      <c r="A18" s="244">
        <v>37257</v>
      </c>
      <c r="B18" s="13">
        <v>22</v>
      </c>
      <c r="C18" s="210">
        <v>4</v>
      </c>
      <c r="D18" s="210">
        <v>4</v>
      </c>
      <c r="E18" s="210">
        <v>1</v>
      </c>
      <c r="F18" s="13">
        <v>31</v>
      </c>
      <c r="H18" s="1021">
        <f>(VLOOKUP(YEAR($A18),'NY East Load Projections'!$A$4:$EO$14,((MONTH($A18)-1)*12)+VLOOKUP(H$4,$DE$6:$DF$17,2)+1))*(VLOOKUP($A18,CURVES!$D$9:$K$261,8))*(INDEX(DailyScalarsTable,H$5/100,MONTH($A18)))*$B18</f>
        <v>-32599.7832267749</v>
      </c>
      <c r="I18" s="1021">
        <f>(VLOOKUP(YEAR($A18),'NY East Load Projections'!$A$4:$EO$14,((MONTH($A18)-1)*12)+VLOOKUP(I$4,$DE$6:$DF$17,2)+1))*(VLOOKUP($A18,CURVES!$D$9:$K$261,8))*(INDEX(DailyScalarsTable,I$5/100,MONTH($A18)))*$B18</f>
        <v>-31964.648625966969</v>
      </c>
      <c r="J18" s="1021">
        <f>(VLOOKUP(YEAR($A18),'NY East Load Projections'!$A$4:$EO$14,((MONTH($A18)-1)*12)+VLOOKUP(J$4,$DE$6:$DF$17,2)+1))*(VLOOKUP($A18,CURVES!$D$9:$K$261,8))*(INDEX(DailyScalarsTable,J$5/100,MONTH($A18)))*$B18</f>
        <v>-29290.824070717277</v>
      </c>
      <c r="K18" s="1021">
        <f>(VLOOKUP(YEAR($A18),'NY East Load Projections'!$A$4:$EO$14,((MONTH($A18)-1)*12)+VLOOKUP(K$4,$DE$6:$DF$17,2)+1))*(VLOOKUP($A18,CURVES!$D$9:$K$261,8))*(INDEX(DailyScalarsTable,K$5/100,MONTH($A18)))*$B18</f>
        <v>-29273.11438442595</v>
      </c>
      <c r="L18" s="1021">
        <f>(VLOOKUP(YEAR($A18),'NY East Load Projections'!$A$4:$EO$14,((MONTH($A18)-1)*12)+VLOOKUP(L$4,$DE$6:$DF$17,2)+1))*(VLOOKUP($A18,CURVES!$D$9:$K$261,8))*(INDEX(DailyScalarsTable,L$5/100,MONTH($A18)))*$B18</f>
        <v>-32539.735049618219</v>
      </c>
      <c r="M18" s="1021">
        <f>(VLOOKUP(YEAR($A18),'NY East Load Projections'!$A$4:$EO$14,((MONTH($A18)-1)*12)+VLOOKUP(M$4,$DE$6:$DF$17,2)+1))*(VLOOKUP($A18,CURVES!$D$9:$K$261,8))*(INDEX(DailyScalarsTable,M$5/100,MONTH($A18)))*$B18</f>
        <v>-34726.98953789143</v>
      </c>
      <c r="N18" s="1021">
        <f>(VLOOKUP(YEAR($A18),'NY East Load Projections'!$A$4:$EO$14,((MONTH($A18)-1)*12)+VLOOKUP(N$4,$DE$6:$DF$17,2)+1))*(VLOOKUP($A18,CURVES!$D$9:$K$261,8))*(INDEX(DailyScalarsTable,N$5/100,MONTH($A18)))*$B18</f>
        <v>-66501.762121487904</v>
      </c>
      <c r="O18" s="1021">
        <f>(VLOOKUP(YEAR($A18),'NY East Load Projections'!$A$4:$EO$14,((MONTH($A18)-1)*12)+VLOOKUP(O$4,$DE$6:$DF$17,2)+1))*(VLOOKUP($A18,CURVES!$D$9:$K$261,4))*(INDEX(DailyScalarsTable,O$5/100,MONTH($A18)))*$B18</f>
        <v>-78553.289790334777</v>
      </c>
      <c r="P18" s="1021">
        <f>(VLOOKUP(YEAR($A18),'NY East Load Projections'!$A$4:$EO$14,((MONTH($A18)-1)*12)+VLOOKUP(P$4,$DE$6:$DF$17,2)+1))*(VLOOKUP($A18,CURVES!$D$9:$K$261,4))*(INDEX(DailyScalarsTable,P$5/100,MONTH($A18)))*$B18</f>
        <v>-85604.430158484596</v>
      </c>
      <c r="Q18" s="1021">
        <f>(VLOOKUP(YEAR($A18),'NY East Load Projections'!$A$4:$EO$14,((MONTH($A18)-1)*12)+VLOOKUP(Q$4,$DE$6:$DF$17,2)+1))*(VLOOKUP($A18,CURVES!$D$9:$K$261,4))*(INDEX(DailyScalarsTable,Q$5/100,MONTH($A18)))*$B18</f>
        <v>-85343.884657924209</v>
      </c>
      <c r="R18" s="1021">
        <f>(VLOOKUP(YEAR($A18),'NY East Load Projections'!$A$4:$EO$14,((MONTH($A18)-1)*12)+VLOOKUP(R$4,$DE$6:$DF$17,2)+1))*(VLOOKUP($A18,CURVES!$D$9:$K$261,4))*(INDEX(DailyScalarsTable,R$5/100,MONTH($A18)))*$B18</f>
        <v>-83854.521933141048</v>
      </c>
      <c r="S18" s="1021">
        <f>(VLOOKUP(YEAR($A18),'NY East Load Projections'!$A$4:$EO$14,((MONTH($A18)-1)*12)+VLOOKUP(S$4,$DE$6:$DF$17,2)+1))*(VLOOKUP($A18,CURVES!$D$9:$K$261,4))*(INDEX(DailyScalarsTable,S$5/100,MONTH($A18)))*$B18</f>
        <v>-62814.970678308324</v>
      </c>
      <c r="T18" s="1021">
        <f>(VLOOKUP(YEAR($A18),'NY East Load Projections'!$A$4:$EO$14,((MONTH($A18)-1)*12)+VLOOKUP(T$4,$DE$6:$DF$17,2)+1))*(VLOOKUP($A18,CURVES!$D$9:$K$261,4))*(INDEX(DailyScalarsTable,T$5/100,MONTH($A18)))*$B18</f>
        <v>-60896.030455615124</v>
      </c>
      <c r="U18" s="1021">
        <f>(VLOOKUP(YEAR($A18),'NY East Load Projections'!$A$4:$EO$14,((MONTH($A18)-1)*12)+VLOOKUP(U$4,$DE$6:$DF$17,2)+1))*(VLOOKUP($A18,CURVES!$D$9:$K$261,4))*(INDEX(DailyScalarsTable,U$5/100,MONTH($A18)))*$B18</f>
        <v>-58929.803922420251</v>
      </c>
      <c r="V18" s="1021">
        <f>(VLOOKUP(YEAR($A18),'NY East Load Projections'!$A$4:$EO$14,((MONTH($A18)-1)*12)+VLOOKUP(V$4,$DE$6:$DF$17,2)+1))*(VLOOKUP($A18,CURVES!$D$9:$K$261,4))*(INDEX(DailyScalarsTable,V$5/100,MONTH($A18)))*$B18</f>
        <v>-55930.596058380244</v>
      </c>
      <c r="W18" s="1021">
        <f>(VLOOKUP(YEAR($A18),'NY East Load Projections'!$A$4:$EO$14,((MONTH($A18)-1)*12)+VLOOKUP(W$4,$DE$6:$DF$17,2)+1))*(VLOOKUP($A18,CURVES!$D$9:$K$261,4))*(INDEX(DailyScalarsTable,W$5/100,MONTH($A18)))*$B18</f>
        <v>-54805.002608217961</v>
      </c>
      <c r="X18" s="1021">
        <f>(VLOOKUP(YEAR($A18),'NY East Load Projections'!$A$4:$EO$14,((MONTH($A18)-1)*12)+VLOOKUP(X$4,$DE$6:$DF$17,2)+1))*(VLOOKUP($A18,CURVES!$D$9:$K$261,4))*(INDEX(DailyScalarsTable,X$5/100,MONTH($A18)))*$B18</f>
        <v>-57443.480148201008</v>
      </c>
      <c r="Y18" s="1021">
        <f>(VLOOKUP(YEAR($A18),'NY East Load Projections'!$A$4:$EO$14,((MONTH($A18)-1)*12)+VLOOKUP(Y$4,$DE$6:$DF$17,2)+1))*(VLOOKUP($A18,CURVES!$D$9:$K$261,4))*(INDEX(DailyScalarsTable,Y$5/100,MONTH($A18)))*$B18</f>
        <v>-79930.107030488143</v>
      </c>
      <c r="Z18" s="1021">
        <f>(VLOOKUP(YEAR($A18),'NY East Load Projections'!$A$4:$EO$14,((MONTH($A18)-1)*12)+VLOOKUP(Z$4,$DE$6:$DF$17,2)+1))*(VLOOKUP($A18,CURVES!$D$9:$K$261,4))*(INDEX(DailyScalarsTable,Z$5/100,MONTH($A18)))*$B18</f>
        <v>-87704.565161756531</v>
      </c>
      <c r="AA18" s="1021">
        <f>(VLOOKUP(YEAR($A18),'NY East Load Projections'!$A$4:$EO$14,((MONTH($A18)-1)*12)+VLOOKUP(AA$4,$DE$6:$DF$17,2)+1))*(VLOOKUP($A18,CURVES!$D$9:$K$261,4))*(INDEX(DailyScalarsTable,AA$5/100,MONTH($A18)))*$B18</f>
        <v>-83948.487543881187</v>
      </c>
      <c r="AB18" s="1021">
        <f>(VLOOKUP(YEAR($A18),'NY East Load Projections'!$A$4:$EO$14,((MONTH($A18)-1)*12)+VLOOKUP(AB$4,$DE$6:$DF$17,2)+1))*(VLOOKUP($A18,CURVES!$D$9:$K$261,4))*(INDEX(DailyScalarsTable,AB$5/100,MONTH($A18)))*$B18</f>
        <v>-75173.095954401841</v>
      </c>
      <c r="AC18" s="1021">
        <f>(VLOOKUP(YEAR($A18),'NY East Load Projections'!$A$4:$EO$14,((MONTH($A18)-1)*12)+VLOOKUP(AC$4,$DE$6:$DF$17,2)+1))*(VLOOKUP($A18,CURVES!$D$9:$K$261,4))*(INDEX(DailyScalarsTable,AC$5/100,MONTH($A18)))*$B18</f>
        <v>-53464.846924268226</v>
      </c>
      <c r="AD18" s="1021">
        <f>(VLOOKUP(YEAR($A18),'NY East Load Projections'!$A$4:$EO$14,((MONTH($A18)-1)*12)+VLOOKUP(AD$4,$DE$6:$DF$17,2)+1))*(VLOOKUP($A18,CURVES!$D$9:$K$261,4))*(INDEX(DailyScalarsTable,AD$5/100,MONTH($A18)))*$B18</f>
        <v>-43767.63184001264</v>
      </c>
      <c r="AE18" s="1021">
        <f>(VLOOKUP(YEAR($A18),'NY East Load Projections'!$A$4:$EO$14,((MONTH($A18)-1)*12)+VLOOKUP(AE$4,$DE$6:$DF$17,2)+1))*(VLOOKUP($A18,CURVES!$D$9:$K$261,8))*(INDEX(DailyScalarsTable,AE$5/100,MONTH($A18)))*$B18</f>
        <v>-38136.487126747466</v>
      </c>
      <c r="AF18" s="1021"/>
      <c r="AG18" s="1021">
        <f>(VLOOKUP(YEAR($A18),'NY East Load Projections'!$A$4:$EO$14,((MONTH($A18)-1)*12)+VLOOKUP(AG$4,$DE$6:$DF$17,2)+1))*(VLOOKUP($A18,CURVES!$D$9:$T$261,8))*(INDEX(DailyScalarsTable,AG$5/100,MONTH($A18)))*$C18</f>
        <v>-6428.1608054736053</v>
      </c>
      <c r="AH18" s="1021">
        <f>(VLOOKUP(YEAR($A18),'NY East Load Projections'!$A$4:$EO$14,((MONTH($A18)-1)*12)+VLOOKUP(AH$4,$DE$6:$DF$17,2)+1))*(VLOOKUP($A18,CURVES!$D$9:$T$261,8))*(INDEX(DailyScalarsTable,AH$5/100,MONTH($A18)))*$C18</f>
        <v>-6302.9223240176789</v>
      </c>
      <c r="AI18" s="1021">
        <f>(VLOOKUP(YEAR($A18),'NY East Load Projections'!$A$4:$EO$14,((MONTH($A18)-1)*12)+VLOOKUP(AI$4,$DE$6:$DF$17,2)+1))*(VLOOKUP($A18,CURVES!$D$9:$T$261,8))*(INDEX(DailyScalarsTable,AI$5/100,MONTH($A18)))*$C18</f>
        <v>-5775.6864805396681</v>
      </c>
      <c r="AJ18" s="1021">
        <f>(VLOOKUP(YEAR($A18),'NY East Load Projections'!$A$4:$EO$14,((MONTH($A18)-1)*12)+VLOOKUP(AJ$4,$DE$6:$DF$17,2)+1))*(VLOOKUP($A18,CURVES!$D$9:$T$261,8))*(INDEX(DailyScalarsTable,AJ$5/100,MONTH($A18)))*$C18</f>
        <v>-5772.1944109604556</v>
      </c>
      <c r="AK18" s="1021">
        <f>(VLOOKUP(YEAR($A18),'NY East Load Projections'!$A$4:$EO$14,((MONTH($A18)-1)*12)+VLOOKUP(AK$4,$DE$6:$DF$17,2)+1))*(VLOOKUP($A18,CURVES!$D$9:$T$261,8))*(INDEX(DailyScalarsTable,AK$5/100,MONTH($A18)))*$C18</f>
        <v>-6079.0952755476628</v>
      </c>
      <c r="AL18" s="1021">
        <f>(VLOOKUP(YEAR($A18),'NY East Load Projections'!$A$4:$EO$14,((MONTH($A18)-1)*12)+VLOOKUP(AL$4,$DE$6:$DF$17,2)+1))*(VLOOKUP($A18,CURVES!$D$9:$T$261,8))*(INDEX(DailyScalarsTable,AL$5/100,MONTH($A18)))*$C18</f>
        <v>-6487.7196360658691</v>
      </c>
      <c r="AM18" s="1021">
        <f>(VLOOKUP(YEAR($A18),'NY East Load Projections'!$A$4:$EO$14,((MONTH($A18)-1)*12)+VLOOKUP(AM$4,$DE$6:$DF$17,2)+1))*(VLOOKUP($A18,CURVES!$D$9:$T$261,8))*(INDEX(DailyScalarsTable,AM$5/100,MONTH($A18)))*$C18</f>
        <v>-12423.904107144072</v>
      </c>
      <c r="AN18" s="1021">
        <f>(VLOOKUP(YEAR($A18),'NY East Load Projections'!$A$4:$EO$14,((MONTH($A18)-1)*12)+VLOOKUP(AN$4,$DE$6:$DF$17,2)+1))*(VLOOKUP($A18,SatSunCurve,4))*(INDEX(DailyScalarsTable,AN$5/100,MONTH($A18)))*$C18</f>
        <v>-11356.387528227395</v>
      </c>
      <c r="AO18" s="1021">
        <f>(VLOOKUP(YEAR($A18),'NY East Load Projections'!$A$4:$EO$14,((MONTH($A18)-1)*12)+VLOOKUP(AO$4,$DE$6:$DF$17,2)+1))*(VLOOKUP($A18,SatSunCurve,4))*(INDEX(DailyScalarsTable,AO$5/100,MONTH($A18)))*$C18</f>
        <v>-12638.700013599637</v>
      </c>
      <c r="AP18" s="1021">
        <f>(VLOOKUP(YEAR($A18),'NY East Load Projections'!$A$4:$EO$14,((MONTH($A18)-1)*12)+VLOOKUP(AP$4,$DE$6:$DF$17,2)+1))*(VLOOKUP($A18,SatSunCurve,4))*(INDEX(DailyScalarsTable,AP$5/100,MONTH($A18)))*$C18</f>
        <v>-12600.232887361202</v>
      </c>
      <c r="AQ18" s="1021">
        <f>(VLOOKUP(YEAR($A18),'NY East Load Projections'!$A$4:$EO$14,((MONTH($A18)-1)*12)+VLOOKUP(AQ$4,$DE$6:$DF$17,2)+1))*(VLOOKUP($A18,SatSunCurve,4))*(INDEX(DailyScalarsTable,AQ$5/100,MONTH($A18)))*$C18</f>
        <v>-12380.342296942896</v>
      </c>
      <c r="AR18" s="1021">
        <f>(VLOOKUP(YEAR($A18),'NY East Load Projections'!$A$4:$EO$14,((MONTH($A18)-1)*12)+VLOOKUP(AR$4,$DE$6:$DF$17,2)+1))*(VLOOKUP($A18,SatSunCurve,4))*(INDEX(DailyScalarsTable,AR$5/100,MONTH($A18)))*$C18</f>
        <v>-9274.0477250581844</v>
      </c>
      <c r="AS18" s="1021">
        <f>(VLOOKUP(YEAR($A18),'NY East Load Projections'!$A$4:$EO$14,((MONTH($A18)-1)*12)+VLOOKUP(AS$4,$DE$6:$DF$17,2)+1))*(VLOOKUP($A18,SatSunCurve,4))*(INDEX(DailyScalarsTable,AS$5/100,MONTH($A18)))*$C18</f>
        <v>-8824.6883345048736</v>
      </c>
      <c r="AT18" s="1021">
        <f>(VLOOKUP(YEAR($A18),'NY East Load Projections'!$A$4:$EO$14,((MONTH($A18)-1)*12)+VLOOKUP(AT$4,$DE$6:$DF$17,2)+1))*(VLOOKUP($A18,SatSunCurve,4))*(INDEX(DailyScalarsTable,AT$5/100,MONTH($A18)))*$C18</f>
        <v>-8539.7545511259141</v>
      </c>
      <c r="AU18" s="1021">
        <f>(VLOOKUP(YEAR($A18),'NY East Load Projections'!$A$4:$EO$14,((MONTH($A18)-1)*12)+VLOOKUP(AU$4,$DE$6:$DF$17,2)+1))*(VLOOKUP($A18,SatSunCurve,4))*(INDEX(DailyScalarsTable,AU$5/100,MONTH($A18)))*$C18</f>
        <v>-8105.127294594965</v>
      </c>
      <c r="AV18" s="1021">
        <f>(VLOOKUP(YEAR($A18),'NY East Load Projections'!$A$4:$EO$14,((MONTH($A18)-1)*12)+VLOOKUP(AV$4,$DE$6:$DF$17,2)+1))*(VLOOKUP($A18,SatSunCurve,4))*(INDEX(DailyScalarsTable,AV$5/100,MONTH($A18)))*$C18</f>
        <v>-7942.0130272983142</v>
      </c>
      <c r="AW18" s="1021">
        <f>(VLOOKUP(YEAR($A18),'NY East Load Projections'!$A$4:$EO$14,((MONTH($A18)-1)*12)+VLOOKUP(AW$4,$DE$6:$DF$17,2)+1))*(VLOOKUP($A18,SatSunCurve,4))*(INDEX(DailyScalarsTable,AW$5/100,MONTH($A18)))*$C18</f>
        <v>-8358.5324919836203</v>
      </c>
      <c r="AX18" s="1021">
        <f>(VLOOKUP(YEAR($A18),'NY East Load Projections'!$A$4:$EO$14,((MONTH($A18)-1)*12)+VLOOKUP(AX$4,$DE$6:$DF$17,2)+1))*(VLOOKUP($A18,SatSunCurve,4))*(INDEX(DailyScalarsTable,AX$5/100,MONTH($A18)))*$C18</f>
        <v>-11630.53483142746</v>
      </c>
      <c r="AY18" s="1021">
        <f>(VLOOKUP(YEAR($A18),'NY East Load Projections'!$A$4:$EO$14,((MONTH($A18)-1)*12)+VLOOKUP(AY$4,$DE$6:$DF$17,2)+1))*(VLOOKUP($A18,SatSunCurve,4))*(INDEX(DailyScalarsTable,AY$5/100,MONTH($A18)))*$C18</f>
        <v>-12761.786989724978</v>
      </c>
      <c r="AZ18" s="1021">
        <f>(VLOOKUP(YEAR($A18),'NY East Load Projections'!$A$4:$EO$14,((MONTH($A18)-1)*12)+VLOOKUP(AZ$4,$DE$6:$DF$17,2)+1))*(VLOOKUP($A18,SatSunCurve,4))*(INDEX(DailyScalarsTable,AZ$5/100,MONTH($A18)))*$C18</f>
        <v>-12215.244601791213</v>
      </c>
      <c r="BA18" s="1021">
        <f>(VLOOKUP(YEAR($A18),'NY East Load Projections'!$A$4:$EO$14,((MONTH($A18)-1)*12)+VLOOKUP(BA$4,$DE$6:$DF$17,2)+1))*(VLOOKUP($A18,SatSunCurve,4))*(INDEX(DailyScalarsTable,BA$5/100,MONTH($A18)))*$C18</f>
        <v>-11260.548690806221</v>
      </c>
      <c r="BB18" s="1021">
        <f>(VLOOKUP(YEAR($A18),'NY East Load Projections'!$A$4:$EO$14,((MONTH($A18)-1)*12)+VLOOKUP(BB$4,$DE$6:$DF$17,2)+1))*(VLOOKUP($A18,SatSunCurve,4))*(INDEX(DailyScalarsTable,BB$5/100,MONTH($A18)))*$C18</f>
        <v>-8008.7630340834767</v>
      </c>
      <c r="BC18" s="1021">
        <f>(VLOOKUP(YEAR($A18),'NY East Load Projections'!$A$4:$EO$14,((MONTH($A18)-1)*12)+VLOOKUP(BC$4,$DE$6:$DF$17,2)+1))*(VLOOKUP($A18,SatSunCurve,4))*(INDEX(DailyScalarsTable,BC$5/100,MONTH($A18)))*$C18</f>
        <v>-6556.1693736106363</v>
      </c>
      <c r="BD18" s="1021">
        <f>(VLOOKUP(YEAR($A18),'NY East Load Projections'!$A$4:$EO$14,((MONTH($A18)-1)*12)+VLOOKUP(BD$4,$DE$6:$DF$17,2)+1))*(VLOOKUP($A18,CURVES!$D$9:$T$261,8))*(INDEX(DailyScalarsTable,BD$5/100,MONTH($A18)))*$C18</f>
        <v>-7382.2188124642389</v>
      </c>
      <c r="BE18" s="1021"/>
      <c r="BF18" s="1021">
        <f>(VLOOKUP(YEAR($A18),'NY East Load Projections'!$A$4:$EO$14,((MONTH($A18)-1)*12)+VLOOKUP(BF$4,$DE$6:$DF$17,2)+1))*(VLOOKUP($A18,CURVES!$D$9:$T$261,8))*(INDEX(DailyScalarsTable,BF$5/100,MONTH($A18)))*$D18</f>
        <v>-6428.1608054736053</v>
      </c>
      <c r="BG18" s="1021">
        <f>(VLOOKUP(YEAR($A18),'NY East Load Projections'!$A$4:$EO$14,((MONTH($A18)-1)*12)+VLOOKUP(BG$4,$DE$6:$DF$17,2)+1))*(VLOOKUP($A18,CURVES!$D$9:$T$261,8))*(INDEX(DailyScalarsTable,BG$5/100,MONTH($A18)))*$D18</f>
        <v>-6302.9223240176789</v>
      </c>
      <c r="BH18" s="1021">
        <f>(VLOOKUP(YEAR($A18),'NY East Load Projections'!$A$4:$EO$14,((MONTH($A18)-1)*12)+VLOOKUP(BH$4,$DE$6:$DF$17,2)+1))*(VLOOKUP($A18,CURVES!$D$9:$T$261,8))*(INDEX(DailyScalarsTable,BH$5/100,MONTH($A18)))*$D18</f>
        <v>-5775.6864805396681</v>
      </c>
      <c r="BI18" s="1021">
        <f>(VLOOKUP(YEAR($A18),'NY East Load Projections'!$A$4:$EO$14,((MONTH($A18)-1)*12)+VLOOKUP(BI$4,$DE$6:$DF$17,2)+1))*(VLOOKUP($A18,CURVES!$D$9:$T$261,8))*(INDEX(DailyScalarsTable,BI$5/100,MONTH($A18)))*$D18</f>
        <v>-5772.1944109604556</v>
      </c>
      <c r="BJ18" s="1021">
        <f>(VLOOKUP(YEAR($A18),'NY East Load Projections'!$A$4:$EO$14,((MONTH($A18)-1)*12)+VLOOKUP(BJ$4,$DE$6:$DF$17,2)+1))*(VLOOKUP($A18,CURVES!$D$9:$T$261,8))*(INDEX(DailyScalarsTable,BJ$5/100,MONTH($A18)))*$D18</f>
        <v>-6079.0952755476628</v>
      </c>
      <c r="BK18" s="1021">
        <f>(VLOOKUP(YEAR($A18),'NY East Load Projections'!$A$4:$EO$14,((MONTH($A18)-1)*12)+VLOOKUP(BK$4,$DE$6:$DF$17,2)+1))*(VLOOKUP($A18,CURVES!$D$9:$T$261,8))*(INDEX(DailyScalarsTable,BK$5/100,MONTH($A18)))*$D18</f>
        <v>-6487.7196360658691</v>
      </c>
      <c r="BL18" s="1021">
        <f>(VLOOKUP(YEAR($A18),'NY East Load Projections'!$A$4:$EO$14,((MONTH($A18)-1)*12)+VLOOKUP(BL$4,$DE$6:$DF$17,2)+1))*(VLOOKUP($A18,CURVES!$D$9:$T$261,8))*(INDEX(DailyScalarsTable,BL$5/100,MONTH($A18)))*$D18</f>
        <v>-12423.904107144072</v>
      </c>
      <c r="BM18" s="1021">
        <f>(VLOOKUP(YEAR($A18),'NY East Load Projections'!$A$4:$EO$14,((MONTH($A18)-1)*12)+VLOOKUP(BM$4,$DE$6:$DF$17,2)+1))*(VLOOKUP($A18,SatSunCurve,8))*(INDEX(DailyScalarsTable,BM$5/100,MONTH($A18)))*$D18</f>
        <v>-11737.383618413905</v>
      </c>
      <c r="BN18" s="1021">
        <f>(VLOOKUP(YEAR($A18),'NY East Load Projections'!$A$4:$EO$14,((MONTH($A18)-1)*12)+VLOOKUP(BN$4,$DE$6:$DF$17,2)+1))*(VLOOKUP($A18,SatSunCurve,8))*(INDEX(DailyScalarsTable,BN$5/100,MONTH($A18)))*$D18</f>
        <v>-13062.716478188644</v>
      </c>
      <c r="BO18" s="1021">
        <f>(VLOOKUP(YEAR($A18),'NY East Load Projections'!$A$4:$EO$14,((MONTH($A18)-1)*12)+VLOOKUP(BO$4,$DE$6:$DF$17,2)+1))*(VLOOKUP($A18,SatSunCurve,8))*(INDEX(DailyScalarsTable,BO$5/100,MONTH($A18)))*$D18</f>
        <v>-13022.95881614724</v>
      </c>
      <c r="BP18" s="1021">
        <f>(VLOOKUP(YEAR($A18),'NY East Load Projections'!$A$4:$EO$14,((MONTH($A18)-1)*12)+VLOOKUP(BP$4,$DE$6:$DF$17,2)+1))*(VLOOKUP($A18,SatSunCurve,8))*(INDEX(DailyScalarsTable,BP$5/100,MONTH($A18)))*$D18</f>
        <v>-12795.691103821993</v>
      </c>
      <c r="BQ18" s="1021">
        <f>(VLOOKUP(YEAR($A18),'NY East Load Projections'!$A$4:$EO$14,((MONTH($A18)-1)*12)+VLOOKUP(BQ$4,$DE$6:$DF$17,2)+1))*(VLOOKUP($A18,SatSunCurve,8))*(INDEX(DailyScalarsTable,BQ$5/100,MONTH($A18)))*$D18</f>
        <v>-9585.183278918752</v>
      </c>
      <c r="BR18" s="1021">
        <f>(VLOOKUP(YEAR($A18),'NY East Load Projections'!$A$4:$EO$14,((MONTH($A18)-1)*12)+VLOOKUP(BR$4,$DE$6:$DF$17,2)+1))*(VLOOKUP($A18,SatSunCurve,8))*(INDEX(DailyScalarsTable,BR$5/100,MONTH($A18)))*$D18</f>
        <v>-9120.7483046497673</v>
      </c>
      <c r="BS18" s="1021">
        <f>(VLOOKUP(YEAR($A18),'NY East Load Projections'!$A$4:$EO$14,((MONTH($A18)-1)*12)+VLOOKUP(BS$4,$DE$6:$DF$17,2)+1))*(VLOOKUP($A18,SatSunCurve,8))*(INDEX(DailyScalarsTable,BS$5/100,MONTH($A18)))*$D18</f>
        <v>-8826.2552615890127</v>
      </c>
      <c r="BT18" s="1021">
        <f>(VLOOKUP(YEAR($A18),'NY East Load Projections'!$A$4:$EO$14,((MONTH($A18)-1)*12)+VLOOKUP(BT$4,$DE$6:$DF$17,2)+1))*(VLOOKUP($A18,SatSunCurve,8))*(INDEX(DailyScalarsTable,BT$5/100,MONTH($A18)))*$D18</f>
        <v>-8377.046670543441</v>
      </c>
      <c r="BU18" s="1021">
        <f>(VLOOKUP(YEAR($A18),'NY East Load Projections'!$A$4:$EO$14,((MONTH($A18)-1)*12)+VLOOKUP(BU$4,$DE$6:$DF$17,2)+1))*(VLOOKUP($A18,SatSunCurve,8))*(INDEX(DailyScalarsTable,BU$5/100,MONTH($A18)))*$D18</f>
        <v>-8208.4600734289488</v>
      </c>
      <c r="BV18" s="1021">
        <f>(VLOOKUP(YEAR($A18),'NY East Load Projections'!$A$4:$EO$14,((MONTH($A18)-1)*12)+VLOOKUP(BV$4,$DE$6:$DF$17,2)+1))*(VLOOKUP($A18,SatSunCurve,8))*(INDEX(DailyScalarsTable,BV$5/100,MONTH($A18)))*$D18</f>
        <v>-8638.9533732917916</v>
      </c>
      <c r="BW18" s="1021">
        <f>(VLOOKUP(YEAR($A18),'NY East Load Projections'!$A$4:$EO$14,((MONTH($A18)-1)*12)+VLOOKUP(BW$4,$DE$6:$DF$17,2)+1))*(VLOOKUP($A18,SatSunCurve,8))*(INDEX(DailyScalarsTable,BW$5/100,MONTH($A18)))*$D18</f>
        <v>-12020.728305059609</v>
      </c>
      <c r="BX18" s="1021">
        <f>(VLOOKUP(YEAR($A18),'NY East Load Projections'!$A$4:$EO$14,((MONTH($A18)-1)*12)+VLOOKUP(BX$4,$DE$6:$DF$17,2)+1))*(VLOOKUP($A18,SatSunCurve,8))*(INDEX(DailyScalarsTable,BX$5/100,MONTH($A18)))*$D18</f>
        <v>-13189.932906266909</v>
      </c>
      <c r="BY18" s="1021">
        <f>(VLOOKUP(YEAR($A18),'NY East Load Projections'!$A$4:$EO$14,((MONTH($A18)-1)*12)+VLOOKUP(BY$4,$DE$6:$DF$17,2)+1))*(VLOOKUP($A18,SatSunCurve,8))*(INDEX(DailyScalarsTable,BY$5/100,MONTH($A18)))*$D18</f>
        <v>-12625.054536718711</v>
      </c>
      <c r="BZ18" s="1021">
        <f>(VLOOKUP(YEAR($A18),'NY East Load Projections'!$A$4:$EO$14,((MONTH($A18)-1)*12)+VLOOKUP(BZ$4,$DE$6:$DF$17,2)+1))*(VLOOKUP($A18,SatSunCurve,8))*(INDEX(DailyScalarsTable,BZ$5/100,MONTH($A18)))*$D18</f>
        <v>-11638.329478392787</v>
      </c>
      <c r="CA18" s="1021">
        <f>(VLOOKUP(YEAR($A18),'NY East Load Projections'!$A$4:$EO$14,((MONTH($A18)-1)*12)+VLOOKUP(CA$4,$DE$6:$DF$17,2)+1))*(VLOOKUP($A18,SatSunCurve,8))*(INDEX(DailyScalarsTable,CA$5/100,MONTH($A18)))*$D18</f>
        <v>-8277.4494799829099</v>
      </c>
      <c r="CB18" s="1021">
        <f>(VLOOKUP(YEAR($A18),'NY East Load Projections'!$A$4:$EO$14,((MONTH($A18)-1)*12)+VLOOKUP(CB$4,$DE$6:$DF$17,2)+1))*(VLOOKUP($A18,SatSunCurve,8))*(INDEX(DailyScalarsTable,CB$5/100,MONTH($A18)))*$D18</f>
        <v>-6776.1226722927649</v>
      </c>
      <c r="CC18" s="1021">
        <f>(VLOOKUP(YEAR($A18),'NY East Load Projections'!$A$4:$EO$14,((MONTH($A18)-1)*12)+VLOOKUP(CC$4,$DE$6:$DF$17,2)+1))*(VLOOKUP($A18,CURVES!$D$9:$T$261,8))*(INDEX(DailyScalarsTable,CC$5/100,MONTH($A18)))*$D18</f>
        <v>-7382.2188124642389</v>
      </c>
      <c r="CE18" s="1021">
        <f>(VLOOKUP(YEAR($A18),'NY East Load Projections'!$A$4:$EO$14,((MONTH($A18)-1)*12)+VLOOKUP(CE$4,$DE$6:$DF$17,2)+1))*(VLOOKUP($A18,CURVES!$D$9:$T$261,8))*(INDEX(DailyScalarsTable,CE$5/100,MONTH($A18)))*$E18</f>
        <v>-1607.0402013684013</v>
      </c>
      <c r="CF18" s="1021">
        <f>(VLOOKUP(YEAR($A18),'NY East Load Projections'!$A$4:$EO$14,((MONTH($A18)-1)*12)+VLOOKUP(CF$4,$DE$6:$DF$17,2)+1))*(VLOOKUP($A18,CURVES!$D$9:$T$261,8))*(INDEX(DailyScalarsTable,CF$5/100,MONTH($A18)))*$E18</f>
        <v>-1575.7305810044197</v>
      </c>
      <c r="CG18" s="1021">
        <f>(VLOOKUP(YEAR($A18),'NY East Load Projections'!$A$4:$EO$14,((MONTH($A18)-1)*12)+VLOOKUP(CG$4,$DE$6:$DF$17,2)+1))*(VLOOKUP($A18,CURVES!$D$9:$T$261,8))*(INDEX(DailyScalarsTable,CG$5/100,MONTH($A18)))*$E18</f>
        <v>-1443.921620134917</v>
      </c>
      <c r="CH18" s="1021">
        <f>(VLOOKUP(YEAR($A18),'NY East Load Projections'!$A$4:$EO$14,((MONTH($A18)-1)*12)+VLOOKUP(CH$4,$DE$6:$DF$17,2)+1))*(VLOOKUP($A18,CURVES!$D$9:$T$261,8))*(INDEX(DailyScalarsTable,CH$5/100,MONTH($A18)))*$E18</f>
        <v>-1443.0486027401139</v>
      </c>
      <c r="CI18" s="1021">
        <f>(VLOOKUP(YEAR($A18),'NY East Load Projections'!$A$4:$EO$14,((MONTH($A18)-1)*12)+VLOOKUP(CI$4,$DE$6:$DF$17,2)+1))*(VLOOKUP($A18,CURVES!$D$9:$T$261,8))*(INDEX(DailyScalarsTable,CI$5/100,MONTH($A18)))*$E18</f>
        <v>-1519.7738188869157</v>
      </c>
      <c r="CJ18" s="1021">
        <f>(VLOOKUP(YEAR($A18),'NY East Load Projections'!$A$4:$EO$14,((MONTH($A18)-1)*12)+VLOOKUP(CJ$4,$DE$6:$DF$17,2)+1))*(VLOOKUP($A18,CURVES!$D$9:$T$261,8))*(INDEX(DailyScalarsTable,CJ$5/100,MONTH($A18)))*$E18</f>
        <v>-1621.9299090164673</v>
      </c>
      <c r="CK18" s="1021">
        <f>(VLOOKUP(YEAR($A18),'NY East Load Projections'!$A$4:$EO$14,((MONTH($A18)-1)*12)+VLOOKUP(CK$4,$DE$6:$DF$17,2)+1))*(VLOOKUP($A18,CURVES!$D$9:$T$261,8))*(INDEX(DailyScalarsTable,CK$5/100,MONTH($A18)))*$E18</f>
        <v>-3105.9760267860179</v>
      </c>
      <c r="CL18" s="1021">
        <f>(VLOOKUP(YEAR($A18),'NY East Load Projections'!$A$4:$EO$14,((MONTH($A18)-1)*12)+VLOOKUP(CL$4,$DE$6:$DF$17,2)+1))*(VLOOKUP($A18,SatSunCurve,8))*(INDEX(DailyScalarsTable,CL$5/100,MONTH($A18)))*$E18</f>
        <v>-2934.3459046034764</v>
      </c>
      <c r="CM18" s="1021">
        <f>(VLOOKUP(YEAR($A18),'NY East Load Projections'!$A$4:$EO$14,((MONTH($A18)-1)*12)+VLOOKUP(CM$4,$DE$6:$DF$17,2)+1))*(VLOOKUP($A18,SatSunCurve,8))*(INDEX(DailyScalarsTable,CM$5/100,MONTH($A18)))*$E18</f>
        <v>-3265.679119547161</v>
      </c>
      <c r="CN18" s="1021">
        <f>(VLOOKUP(YEAR($A18),'NY East Load Projections'!$A$4:$EO$14,((MONTH($A18)-1)*12)+VLOOKUP(CN$4,$DE$6:$DF$17,2)+1))*(VLOOKUP($A18,SatSunCurve,8))*(INDEX(DailyScalarsTable,CN$5/100,MONTH($A18)))*$E18</f>
        <v>-3255.7397040368101</v>
      </c>
      <c r="CO18" s="1021">
        <f>(VLOOKUP(YEAR($A18),'NY East Load Projections'!$A$4:$EO$14,((MONTH($A18)-1)*12)+VLOOKUP(CO$4,$DE$6:$DF$17,2)+1))*(VLOOKUP($A18,SatSunCurve,8))*(INDEX(DailyScalarsTable,CO$5/100,MONTH($A18)))*$E18</f>
        <v>-3198.9227759554983</v>
      </c>
      <c r="CP18" s="1021">
        <f>(VLOOKUP(YEAR($A18),'NY East Load Projections'!$A$4:$EO$14,((MONTH($A18)-1)*12)+VLOOKUP(CP$4,$DE$6:$DF$17,2)+1))*(VLOOKUP($A18,SatSunCurve,8))*(INDEX(DailyScalarsTable,CP$5/100,MONTH($A18)))*$E18</f>
        <v>-2396.295819729688</v>
      </c>
      <c r="CQ18" s="1021">
        <f>(VLOOKUP(YEAR($A18),'NY East Load Projections'!$A$4:$EO$14,((MONTH($A18)-1)*12)+VLOOKUP(CQ$4,$DE$6:$DF$17,2)+1))*(VLOOKUP($A18,SatSunCurve,8))*(INDEX(DailyScalarsTable,CQ$5/100,MONTH($A18)))*$E18</f>
        <v>-2280.1870761624418</v>
      </c>
      <c r="CR18" s="1021">
        <f>(VLOOKUP(YEAR($A18),'NY East Load Projections'!$A$4:$EO$14,((MONTH($A18)-1)*12)+VLOOKUP(CR$4,$DE$6:$DF$17,2)+1))*(VLOOKUP($A18,SatSunCurve,8))*(INDEX(DailyScalarsTable,CR$5/100,MONTH($A18)))*$E18</f>
        <v>-2206.5638153972532</v>
      </c>
      <c r="CS18" s="1021">
        <f>(VLOOKUP(YEAR($A18),'NY East Load Projections'!$A$4:$EO$14,((MONTH($A18)-1)*12)+VLOOKUP(CS$4,$DE$6:$DF$17,2)+1))*(VLOOKUP($A18,SatSunCurve,8))*(INDEX(DailyScalarsTable,CS$5/100,MONTH($A18)))*$E18</f>
        <v>-2094.2616676358602</v>
      </c>
      <c r="CT18" s="1021">
        <f>(VLOOKUP(YEAR($A18),'NY East Load Projections'!$A$4:$EO$14,((MONTH($A18)-1)*12)+VLOOKUP(CT$4,$DE$6:$DF$17,2)+1))*(VLOOKUP($A18,SatSunCurve,8))*(INDEX(DailyScalarsTable,CT$5/100,MONTH($A18)))*$E18</f>
        <v>-2052.1150183572372</v>
      </c>
      <c r="CU18" s="1021">
        <f>(VLOOKUP(YEAR($A18),'NY East Load Projections'!$A$4:$EO$14,((MONTH($A18)-1)*12)+VLOOKUP(CU$4,$DE$6:$DF$17,2)+1))*(VLOOKUP($A18,SatSunCurve,8))*(INDEX(DailyScalarsTable,CU$5/100,MONTH($A18)))*$E18</f>
        <v>-2159.7383433229479</v>
      </c>
      <c r="CV18" s="1021">
        <f>(VLOOKUP(YEAR($A18),'NY East Load Projections'!$A$4:$EO$14,((MONTH($A18)-1)*12)+VLOOKUP(CV$4,$DE$6:$DF$17,2)+1))*(VLOOKUP($A18,SatSunCurve,8))*(INDEX(DailyScalarsTable,CV$5/100,MONTH($A18)))*$E18</f>
        <v>-3005.1820762649022</v>
      </c>
      <c r="CW18" s="1021">
        <f>(VLOOKUP(YEAR($A18),'NY East Load Projections'!$A$4:$EO$14,((MONTH($A18)-1)*12)+VLOOKUP(CW$4,$DE$6:$DF$17,2)+1))*(VLOOKUP($A18,SatSunCurve,8))*(INDEX(DailyScalarsTable,CW$5/100,MONTH($A18)))*$E18</f>
        <v>-3297.4832265667274</v>
      </c>
      <c r="CX18" s="1021">
        <f>(VLOOKUP(YEAR($A18),'NY East Load Projections'!$A$4:$EO$14,((MONTH($A18)-1)*12)+VLOOKUP(CX$4,$DE$6:$DF$17,2)+1))*(VLOOKUP($A18,SatSunCurve,8))*(INDEX(DailyScalarsTable,CX$5/100,MONTH($A18)))*$E18</f>
        <v>-3156.2636341796779</v>
      </c>
      <c r="CY18" s="1021">
        <f>(VLOOKUP(YEAR($A18),'NY East Load Projections'!$A$4:$EO$14,((MONTH($A18)-1)*12)+VLOOKUP(CY$4,$DE$6:$DF$17,2)+1))*(VLOOKUP($A18,SatSunCurve,8))*(INDEX(DailyScalarsTable,CY$5/100,MONTH($A18)))*$E18</f>
        <v>-2909.5823695981967</v>
      </c>
      <c r="CZ18" s="1021">
        <f>(VLOOKUP(YEAR($A18),'NY East Load Projections'!$A$4:$EO$14,((MONTH($A18)-1)*12)+VLOOKUP(CZ$4,$DE$6:$DF$17,2)+1))*(VLOOKUP($A18,SatSunCurve,8))*(INDEX(DailyScalarsTable,CZ$5/100,MONTH($A18)))*$E18</f>
        <v>-2069.3623699957275</v>
      </c>
      <c r="DA18" s="1021">
        <f>(VLOOKUP(YEAR($A18),'NY East Load Projections'!$A$4:$EO$14,((MONTH($A18)-1)*12)+VLOOKUP(DA$4,$DE$6:$DF$17,2)+1))*(VLOOKUP($A18,SatSunCurve,8))*(INDEX(DailyScalarsTable,DA$5/100,MONTH($A18)))*$E18</f>
        <v>-1694.0306680731912</v>
      </c>
      <c r="DB18" s="1021">
        <f>(VLOOKUP(YEAR($A18),'NY East Load Projections'!$A$4:$EO$14,((MONTH($A18)-1)*12)+VLOOKUP(DB$4,$DE$6:$DF$17,2)+1))*(VLOOKUP($A18,CURVES!$D$9:$T$261,8))*(INDEX(DailyScalarsTable,DB$5/100,MONTH($A18)))*$E18</f>
        <v>-1845.5547031160597</v>
      </c>
      <c r="DH18" s="1021">
        <f t="shared" si="0"/>
        <v>-1902996.5097962203</v>
      </c>
      <c r="DI18">
        <f ca="1">CALC!J38</f>
        <v>0.87274717553579284</v>
      </c>
      <c r="DJ18" s="1029">
        <f t="shared" ca="1" si="1"/>
        <v>-1660834.8289791232</v>
      </c>
    </row>
    <row r="19" spans="1:114" x14ac:dyDescent="0.25">
      <c r="A19" s="244">
        <v>37288</v>
      </c>
      <c r="B19" s="13">
        <v>20</v>
      </c>
      <c r="C19" s="210">
        <v>4</v>
      </c>
      <c r="D19" s="210">
        <v>4</v>
      </c>
      <c r="E19" s="210">
        <v>0</v>
      </c>
      <c r="F19" s="13">
        <v>28</v>
      </c>
      <c r="H19" s="1021">
        <f>(VLOOKUP(YEAR($A19),'NY East Load Projections'!$A$4:$EO$14,((MONTH($A19)-1)*12)+VLOOKUP(H$4,$DE$6:$DF$17,2)+1))*(VLOOKUP($A19,CURVES!$D$9:$K$261,8))*(INDEX(DailyScalarsTable,H$5/100,MONTH($A19)))*$B19</f>
        <v>-29007.794305548337</v>
      </c>
      <c r="I19" s="1021">
        <f>(VLOOKUP(YEAR($A19),'NY East Load Projections'!$A$4:$EO$14,((MONTH($A19)-1)*12)+VLOOKUP(I$4,$DE$6:$DF$17,2)+1))*(VLOOKUP($A19,CURVES!$D$9:$K$261,8))*(INDEX(DailyScalarsTable,I$5/100,MONTH($A19)))*$B19</f>
        <v>-28442.641656268112</v>
      </c>
      <c r="J19" s="1021">
        <f>(VLOOKUP(YEAR($A19),'NY East Load Projections'!$A$4:$EO$14,((MONTH($A19)-1)*12)+VLOOKUP(J$4,$DE$6:$DF$17,2)+1))*(VLOOKUP($A19,CURVES!$D$9:$K$261,8))*(INDEX(DailyScalarsTable,J$5/100,MONTH($A19)))*$B19</f>
        <v>-26063.430967403649</v>
      </c>
      <c r="K19" s="1021">
        <f>(VLOOKUP(YEAR($A19),'NY East Load Projections'!$A$4:$EO$14,((MONTH($A19)-1)*12)+VLOOKUP(K$4,$DE$6:$DF$17,2)+1))*(VLOOKUP($A19,CURVES!$D$9:$K$261,8))*(INDEX(DailyScalarsTable,K$5/100,MONTH($A19)))*$B19</f>
        <v>-26047.672613012728</v>
      </c>
      <c r="L19" s="1021">
        <f>(VLOOKUP(YEAR($A19),'NY East Load Projections'!$A$4:$EO$14,((MONTH($A19)-1)*12)+VLOOKUP(L$4,$DE$6:$DF$17,2)+1))*(VLOOKUP($A19,CURVES!$D$9:$K$261,8))*(INDEX(DailyScalarsTable,L$5/100,MONTH($A19)))*$B19</f>
        <v>-28902.486413498395</v>
      </c>
      <c r="M19" s="1021">
        <f>(VLOOKUP(YEAR($A19),'NY East Load Projections'!$A$4:$EO$14,((MONTH($A19)-1)*12)+VLOOKUP(M$4,$DE$6:$DF$17,2)+1))*(VLOOKUP($A19,CURVES!$D$9:$K$261,8))*(INDEX(DailyScalarsTable,M$5/100,MONTH($A19)))*$B19</f>
        <v>-30845.252481930831</v>
      </c>
      <c r="N19" s="1021">
        <f>(VLOOKUP(YEAR($A19),'NY East Load Projections'!$A$4:$EO$14,((MONTH($A19)-1)*12)+VLOOKUP(N$4,$DE$6:$DF$17,2)+1))*(VLOOKUP($A19,CURVES!$D$9:$K$261,8))*(INDEX(DailyScalarsTable,N$5/100,MONTH($A19)))*$B19</f>
        <v>-59068.282924219995</v>
      </c>
      <c r="O19" s="1021">
        <f>(VLOOKUP(YEAR($A19),'NY East Load Projections'!$A$4:$EO$14,((MONTH($A19)-1)*12)+VLOOKUP(O$4,$DE$6:$DF$17,2)+1))*(VLOOKUP($A19,CURVES!$D$9:$K$261,4))*(INDEX(DailyScalarsTable,O$5/100,MONTH($A19)))*$B19</f>
        <v>-70405.498434448324</v>
      </c>
      <c r="P19" s="1021">
        <f>(VLOOKUP(YEAR($A19),'NY East Load Projections'!$A$4:$EO$14,((MONTH($A19)-1)*12)+VLOOKUP(P$4,$DE$6:$DF$17,2)+1))*(VLOOKUP($A19,CURVES!$D$9:$K$261,4))*(INDEX(DailyScalarsTable,P$5/100,MONTH($A19)))*$B19</f>
        <v>-76429.919296529712</v>
      </c>
      <c r="Q19" s="1021">
        <f>(VLOOKUP(YEAR($A19),'NY East Load Projections'!$A$4:$EO$14,((MONTH($A19)-1)*12)+VLOOKUP(Q$4,$DE$6:$DF$17,2)+1))*(VLOOKUP($A19,CURVES!$D$9:$K$261,4))*(INDEX(DailyScalarsTable,Q$5/100,MONTH($A19)))*$B19</f>
        <v>-76197.297321895487</v>
      </c>
      <c r="R19" s="1021">
        <f>(VLOOKUP(YEAR($A19),'NY East Load Projections'!$A$4:$EO$14,((MONTH($A19)-1)*12)+VLOOKUP(R$4,$DE$6:$DF$17,2)+1))*(VLOOKUP($A19,CURVES!$D$9:$K$261,4))*(INDEX(DailyScalarsTable,R$5/100,MONTH($A19)))*$B19</f>
        <v>-74867.554542839614</v>
      </c>
      <c r="S19" s="1021">
        <f>(VLOOKUP(YEAR($A19),'NY East Load Projections'!$A$4:$EO$14,((MONTH($A19)-1)*12)+VLOOKUP(S$4,$DE$6:$DF$17,2)+1))*(VLOOKUP($A19,CURVES!$D$9:$K$261,4))*(INDEX(DailyScalarsTable,S$5/100,MONTH($A19)))*$B19</f>
        <v>-56082.881816615249</v>
      </c>
      <c r="T19" s="1021">
        <f>(VLOOKUP(YEAR($A19),'NY East Load Projections'!$A$4:$EO$14,((MONTH($A19)-1)*12)+VLOOKUP(T$4,$DE$6:$DF$17,2)+1))*(VLOOKUP($A19,CURVES!$D$9:$K$261,4))*(INDEX(DailyScalarsTable,T$5/100,MONTH($A19)))*$B19</f>
        <v>-54129.324059594423</v>
      </c>
      <c r="U19" s="1021">
        <f>(VLOOKUP(YEAR($A19),'NY East Load Projections'!$A$4:$EO$14,((MONTH($A19)-1)*12)+VLOOKUP(U$4,$DE$6:$DF$17,2)+1))*(VLOOKUP($A19,CURVES!$D$9:$K$261,4))*(INDEX(DailyScalarsTable,U$5/100,MONTH($A19)))*$B19</f>
        <v>-52381.582665063761</v>
      </c>
      <c r="V19" s="1021">
        <f>(VLOOKUP(YEAR($A19),'NY East Load Projections'!$A$4:$EO$14,((MONTH($A19)-1)*12)+VLOOKUP(V$4,$DE$6:$DF$17,2)+1))*(VLOOKUP($A19,CURVES!$D$9:$K$261,4))*(INDEX(DailyScalarsTable,V$5/100,MONTH($A19)))*$B19</f>
        <v>-49715.643798768811</v>
      </c>
      <c r="W19" s="1021">
        <f>(VLOOKUP(YEAR($A19),'NY East Load Projections'!$A$4:$EO$14,((MONTH($A19)-1)*12)+VLOOKUP(W$4,$DE$6:$DF$17,2)+1))*(VLOOKUP($A19,CURVES!$D$9:$K$261,4))*(INDEX(DailyScalarsTable,W$5/100,MONTH($A19)))*$B19</f>
        <v>-48715.125174363573</v>
      </c>
      <c r="X19" s="1021">
        <f>(VLOOKUP(YEAR($A19),'NY East Load Projections'!$A$4:$EO$14,((MONTH($A19)-1)*12)+VLOOKUP(X$4,$DE$6:$DF$17,2)+1))*(VLOOKUP($A19,CURVES!$D$9:$K$261,4))*(INDEX(DailyScalarsTable,X$5/100,MONTH($A19)))*$B19</f>
        <v>-50974.369577533638</v>
      </c>
      <c r="Y19" s="1021">
        <f>(VLOOKUP(YEAR($A19),'NY East Load Projections'!$A$4:$EO$14,((MONTH($A19)-1)*12)+VLOOKUP(Y$4,$DE$6:$DF$17,2)+1))*(VLOOKUP($A19,CURVES!$D$9:$K$261,4))*(INDEX(DailyScalarsTable,Y$5/100,MONTH($A19)))*$B19</f>
        <v>-70928.620717829588</v>
      </c>
      <c r="Z19" s="1021">
        <f>(VLOOKUP(YEAR($A19),'NY East Load Projections'!$A$4:$EO$14,((MONTH($A19)-1)*12)+VLOOKUP(Z$4,$DE$6:$DF$17,2)+1))*(VLOOKUP($A19,CURVES!$D$9:$K$261,4))*(INDEX(DailyScalarsTable,Z$5/100,MONTH($A19)))*$B19</f>
        <v>-77827.542945833688</v>
      </c>
      <c r="AA19" s="1021">
        <f>(VLOOKUP(YEAR($A19),'NY East Load Projections'!$A$4:$EO$14,((MONTH($A19)-1)*12)+VLOOKUP(AA$4,$DE$6:$DF$17,2)+1))*(VLOOKUP($A19,CURVES!$D$9:$K$261,4))*(INDEX(DailyScalarsTable,AA$5/100,MONTH($A19)))*$B19</f>
        <v>-74494.463401183632</v>
      </c>
      <c r="AB19" s="1021">
        <f>(VLOOKUP(YEAR($A19),'NY East Load Projections'!$A$4:$EO$14,((MONTH($A19)-1)*12)+VLOOKUP(AB$4,$DE$6:$DF$17,2)+1))*(VLOOKUP($A19,CURVES!$D$9:$K$261,4))*(INDEX(DailyScalarsTable,AB$5/100,MONTH($A19)))*$B19</f>
        <v>-66840.443110668435</v>
      </c>
      <c r="AC19" s="1021">
        <f>(VLOOKUP(YEAR($A19),'NY East Load Projections'!$A$4:$EO$14,((MONTH($A19)-1)*12)+VLOOKUP(AC$4,$DE$6:$DF$17,2)+1))*(VLOOKUP($A19,CURVES!$D$9:$K$261,4))*(INDEX(DailyScalarsTable,AC$5/100,MONTH($A19)))*$B19</f>
        <v>-47538.471229518247</v>
      </c>
      <c r="AD19" s="1021">
        <f>(VLOOKUP(YEAR($A19),'NY East Load Projections'!$A$4:$EO$14,((MONTH($A19)-1)*12)+VLOOKUP(AD$4,$DE$6:$DF$17,2)+1))*(VLOOKUP($A19,CURVES!$D$9:$K$261,4))*(INDEX(DailyScalarsTable,AD$5/100,MONTH($A19)))*$B19</f>
        <v>-38916.155693062712</v>
      </c>
      <c r="AE19" s="1021">
        <f>(VLOOKUP(YEAR($A19),'NY East Load Projections'!$A$4:$EO$14,((MONTH($A19)-1)*12)+VLOOKUP(AE$4,$DE$6:$DF$17,2)+1))*(VLOOKUP($A19,CURVES!$D$9:$K$261,8))*(INDEX(DailyScalarsTable,AE$5/100,MONTH($A19)))*$B19</f>
        <v>-33604.432349661154</v>
      </c>
      <c r="AF19" s="1021"/>
      <c r="AG19" s="1021">
        <f>(VLOOKUP(YEAR($A19),'NY East Load Projections'!$A$4:$EO$14,((MONTH($A19)-1)*12)+VLOOKUP(AG$4,$DE$6:$DF$17,2)+1))*(VLOOKUP($A19,CURVES!$D$9:$T$261,8))*(INDEX(DailyScalarsTable,AG$5/100,MONTH($A19)))*$C19</f>
        <v>-6361.9133942527824</v>
      </c>
      <c r="AH19" s="1021">
        <f>(VLOOKUP(YEAR($A19),'NY East Load Projections'!$A$4:$EO$14,((MONTH($A19)-1)*12)+VLOOKUP(AH$4,$DE$6:$DF$17,2)+1))*(VLOOKUP($A19,CURVES!$D$9:$T$261,8))*(INDEX(DailyScalarsTable,AH$5/100,MONTH($A19)))*$C19</f>
        <v>-6237.9655969338519</v>
      </c>
      <c r="AI19" s="1021">
        <f>(VLOOKUP(YEAR($A19),'NY East Load Projections'!$A$4:$EO$14,((MONTH($A19)-1)*12)+VLOOKUP(AI$4,$DE$6:$DF$17,2)+1))*(VLOOKUP($A19,CURVES!$D$9:$T$261,8))*(INDEX(DailyScalarsTable,AI$5/100,MONTH($A19)))*$C19</f>
        <v>-5716.1633464834931</v>
      </c>
      <c r="AJ19" s="1021">
        <f>(VLOOKUP(YEAR($A19),'NY East Load Projections'!$A$4:$EO$14,((MONTH($A19)-1)*12)+VLOOKUP(AJ$4,$DE$6:$DF$17,2)+1))*(VLOOKUP($A19,CURVES!$D$9:$T$261,8))*(INDEX(DailyScalarsTable,AJ$5/100,MONTH($A19)))*$C19</f>
        <v>-5712.7072655138418</v>
      </c>
      <c r="AK19" s="1021">
        <f>(VLOOKUP(YEAR($A19),'NY East Load Projections'!$A$4:$EO$14,((MONTH($A19)-1)*12)+VLOOKUP(AK$4,$DE$6:$DF$17,2)+1))*(VLOOKUP($A19,CURVES!$D$9:$T$261,8))*(INDEX(DailyScalarsTable,AK$5/100,MONTH($A19)))*$C19</f>
        <v>-5969.7103391585269</v>
      </c>
      <c r="AL19" s="1021">
        <f>(VLOOKUP(YEAR($A19),'NY East Load Projections'!$A$4:$EO$14,((MONTH($A19)-1)*12)+VLOOKUP(AL$4,$DE$6:$DF$17,2)+1))*(VLOOKUP($A19,CURVES!$D$9:$T$261,8))*(INDEX(DailyScalarsTable,AL$5/100,MONTH($A19)))*$C19</f>
        <v>-6370.9820678036767</v>
      </c>
      <c r="AM19" s="1021">
        <f>(VLOOKUP(YEAR($A19),'NY East Load Projections'!$A$4:$EO$14,((MONTH($A19)-1)*12)+VLOOKUP(AM$4,$DE$6:$DF$17,2)+1))*(VLOOKUP($A19,CURVES!$D$9:$T$261,8))*(INDEX(DailyScalarsTable,AM$5/100,MONTH($A19)))*$C19</f>
        <v>-12200.353085344655</v>
      </c>
      <c r="AN19" s="1021">
        <f>(VLOOKUP(YEAR($A19),'NY East Load Projections'!$A$4:$EO$14,((MONTH($A19)-1)*12)+VLOOKUP(AN$4,$DE$6:$DF$17,2)+1))*(VLOOKUP($A19,SatSunCurve,4))*(INDEX(DailyScalarsTable,AN$5/100,MONTH($A19)))*$C19</f>
        <v>-10866.492897250666</v>
      </c>
      <c r="AO19" s="1021">
        <f>(VLOOKUP(YEAR($A19),'NY East Load Projections'!$A$4:$EO$14,((MONTH($A19)-1)*12)+VLOOKUP(AO$4,$DE$6:$DF$17,2)+1))*(VLOOKUP($A19,SatSunCurve,4))*(INDEX(DailyScalarsTable,AO$5/100,MONTH($A19)))*$C19</f>
        <v>-12075.470221537749</v>
      </c>
      <c r="AP19" s="1021">
        <f>(VLOOKUP(YEAR($A19),'NY East Load Projections'!$A$4:$EO$14,((MONTH($A19)-1)*12)+VLOOKUP(AP$4,$DE$6:$DF$17,2)+1))*(VLOOKUP($A19,SatSunCurve,4))*(INDEX(DailyScalarsTable,AP$5/100,MONTH($A19)))*$C19</f>
        <v>-12038.717340553112</v>
      </c>
      <c r="AQ19" s="1021">
        <f>(VLOOKUP(YEAR($A19),'NY East Load Projections'!$A$4:$EO$14,((MONTH($A19)-1)*12)+VLOOKUP(AQ$4,$DE$6:$DF$17,2)+1))*(VLOOKUP($A19,SatSunCurve,4))*(INDEX(DailyScalarsTable,AQ$5/100,MONTH($A19)))*$C19</f>
        <v>-11828.625932913446</v>
      </c>
      <c r="AR19" s="1021">
        <f>(VLOOKUP(YEAR($A19),'NY East Load Projections'!$A$4:$EO$14,((MONTH($A19)-1)*12)+VLOOKUP(AR$4,$DE$6:$DF$17,2)+1))*(VLOOKUP($A19,SatSunCurve,4))*(INDEX(DailyScalarsTable,AR$5/100,MONTH($A19)))*$C19</f>
        <v>-8860.7599687117254</v>
      </c>
      <c r="AS19" s="1021">
        <f>(VLOOKUP(YEAR($A19),'NY East Load Projections'!$A$4:$EO$14,((MONTH($A19)-1)*12)+VLOOKUP(AS$4,$DE$6:$DF$17,2)+1))*(VLOOKUP($A19,SatSunCurve,4))*(INDEX(DailyScalarsTable,AS$5/100,MONTH($A19)))*$C19</f>
        <v>-8376.7034217315995</v>
      </c>
      <c r="AT19" s="1021">
        <f>(VLOOKUP(YEAR($A19),'NY East Load Projections'!$A$4:$EO$14,((MONTH($A19)-1)*12)+VLOOKUP(AT$4,$DE$6:$DF$17,2)+1))*(VLOOKUP($A19,SatSunCurve,4))*(INDEX(DailyScalarsTable,AT$5/100,MONTH($A19)))*$C19</f>
        <v>-8106.2342892564111</v>
      </c>
      <c r="AU19" s="1021">
        <f>(VLOOKUP(YEAR($A19),'NY East Load Projections'!$A$4:$EO$14,((MONTH($A19)-1)*12)+VLOOKUP(AU$4,$DE$6:$DF$17,2)+1))*(VLOOKUP($A19,SatSunCurve,4))*(INDEX(DailyScalarsTable,AU$5/100,MONTH($A19)))*$C19</f>
        <v>-7693.6708661692555</v>
      </c>
      <c r="AV19" s="1021">
        <f>(VLOOKUP(YEAR($A19),'NY East Load Projections'!$A$4:$EO$14,((MONTH($A19)-1)*12)+VLOOKUP(AV$4,$DE$6:$DF$17,2)+1))*(VLOOKUP($A19,SatSunCurve,4))*(INDEX(DailyScalarsTable,AV$5/100,MONTH($A19)))*$C19</f>
        <v>-7538.8370874334578</v>
      </c>
      <c r="AW19" s="1021">
        <f>(VLOOKUP(YEAR($A19),'NY East Load Projections'!$A$4:$EO$14,((MONTH($A19)-1)*12)+VLOOKUP(AW$4,$DE$6:$DF$17,2)+1))*(VLOOKUP($A19,SatSunCurve,4))*(INDEX(DailyScalarsTable,AW$5/100,MONTH($A19)))*$C19</f>
        <v>-7979.1291642685728</v>
      </c>
      <c r="AX19" s="1021">
        <f>(VLOOKUP(YEAR($A19),'NY East Load Projections'!$A$4:$EO$14,((MONTH($A19)-1)*12)+VLOOKUP(AX$4,$DE$6:$DF$17,2)+1))*(VLOOKUP($A19,SatSunCurve,4))*(INDEX(DailyScalarsTable,AX$5/100,MONTH($A19)))*$C19</f>
        <v>-11102.611583850043</v>
      </c>
      <c r="AY19" s="1021">
        <f>(VLOOKUP(YEAR($A19),'NY East Load Projections'!$A$4:$EO$14,((MONTH($A19)-1)*12)+VLOOKUP(AY$4,$DE$6:$DF$17,2)+1))*(VLOOKUP($A19,SatSunCurve,4))*(INDEX(DailyScalarsTable,AY$5/100,MONTH($A19)))*$C19</f>
        <v>-12182.51491581297</v>
      </c>
      <c r="AZ19" s="1021">
        <f>(VLOOKUP(YEAR($A19),'NY East Load Projections'!$A$4:$EO$14,((MONTH($A19)-1)*12)+VLOOKUP(AZ$4,$DE$6:$DF$17,2)+1))*(VLOOKUP($A19,SatSunCurve,4))*(INDEX(DailyScalarsTable,AZ$5/100,MONTH($A19)))*$C19</f>
        <v>-11660.780710525893</v>
      </c>
      <c r="BA19" s="1021">
        <f>(VLOOKUP(YEAR($A19),'NY East Load Projections'!$A$4:$EO$14,((MONTH($A19)-1)*12)+VLOOKUP(BA$4,$DE$6:$DF$17,2)+1))*(VLOOKUP($A19,SatSunCurve,4))*(INDEX(DailyScalarsTable,BA$5/100,MONTH($A19)))*$C19</f>
        <v>-10857.297602246945</v>
      </c>
      <c r="BB19" s="1021">
        <f>(VLOOKUP(YEAR($A19),'NY East Load Projections'!$A$4:$EO$14,((MONTH($A19)-1)*12)+VLOOKUP(BB$4,$DE$6:$DF$17,2)+1))*(VLOOKUP($A19,SatSunCurve,4))*(INDEX(DailyScalarsTable,BB$5/100,MONTH($A19)))*$C19</f>
        <v>-7721.9615202154846</v>
      </c>
      <c r="BC19" s="1021">
        <f>(VLOOKUP(YEAR($A19),'NY East Load Projections'!$A$4:$EO$14,((MONTH($A19)-1)*12)+VLOOKUP(BC$4,$DE$6:$DF$17,2)+1))*(VLOOKUP($A19,SatSunCurve,4))*(INDEX(DailyScalarsTable,BC$5/100,MONTH($A19)))*$C19</f>
        <v>-6321.38663706015</v>
      </c>
      <c r="BD19" s="1021">
        <f>(VLOOKUP(YEAR($A19),'NY East Load Projections'!$A$4:$EO$14,((MONTH($A19)-1)*12)+VLOOKUP(BD$4,$DE$6:$DF$17,2)+1))*(VLOOKUP($A19,CURVES!$D$9:$T$261,8))*(INDEX(DailyScalarsTable,BD$5/100,MONTH($A19)))*$C19</f>
        <v>-7304.8990000220838</v>
      </c>
      <c r="BE19" s="1021"/>
      <c r="BF19" s="1021">
        <f>(VLOOKUP(YEAR($A19),'NY East Load Projections'!$A$4:$EO$14,((MONTH($A19)-1)*12)+VLOOKUP(BF$4,$DE$6:$DF$17,2)+1))*(VLOOKUP($A19,CURVES!$D$9:$T$261,8))*(INDEX(DailyScalarsTable,BF$5/100,MONTH($A19)))*$D19</f>
        <v>-6361.9133942527824</v>
      </c>
      <c r="BG19" s="1021">
        <f>(VLOOKUP(YEAR($A19),'NY East Load Projections'!$A$4:$EO$14,((MONTH($A19)-1)*12)+VLOOKUP(BG$4,$DE$6:$DF$17,2)+1))*(VLOOKUP($A19,CURVES!$D$9:$T$261,8))*(INDEX(DailyScalarsTable,BG$5/100,MONTH($A19)))*$D19</f>
        <v>-6237.9655969338519</v>
      </c>
      <c r="BH19" s="1021">
        <f>(VLOOKUP(YEAR($A19),'NY East Load Projections'!$A$4:$EO$14,((MONTH($A19)-1)*12)+VLOOKUP(BH$4,$DE$6:$DF$17,2)+1))*(VLOOKUP($A19,CURVES!$D$9:$T$261,8))*(INDEX(DailyScalarsTable,BH$5/100,MONTH($A19)))*$D19</f>
        <v>-5716.1633464834931</v>
      </c>
      <c r="BI19" s="1021">
        <f>(VLOOKUP(YEAR($A19),'NY East Load Projections'!$A$4:$EO$14,((MONTH($A19)-1)*12)+VLOOKUP(BI$4,$DE$6:$DF$17,2)+1))*(VLOOKUP($A19,CURVES!$D$9:$T$261,8))*(INDEX(DailyScalarsTable,BI$5/100,MONTH($A19)))*$D19</f>
        <v>-5712.7072655138418</v>
      </c>
      <c r="BJ19" s="1021">
        <f>(VLOOKUP(YEAR($A19),'NY East Load Projections'!$A$4:$EO$14,((MONTH($A19)-1)*12)+VLOOKUP(BJ$4,$DE$6:$DF$17,2)+1))*(VLOOKUP($A19,CURVES!$D$9:$T$261,8))*(INDEX(DailyScalarsTable,BJ$5/100,MONTH($A19)))*$D19</f>
        <v>-5969.7103391585269</v>
      </c>
      <c r="BK19" s="1021">
        <f>(VLOOKUP(YEAR($A19),'NY East Load Projections'!$A$4:$EO$14,((MONTH($A19)-1)*12)+VLOOKUP(BK$4,$DE$6:$DF$17,2)+1))*(VLOOKUP($A19,CURVES!$D$9:$T$261,8))*(INDEX(DailyScalarsTable,BK$5/100,MONTH($A19)))*$D19</f>
        <v>-6370.9820678036767</v>
      </c>
      <c r="BL19" s="1021">
        <f>(VLOOKUP(YEAR($A19),'NY East Load Projections'!$A$4:$EO$14,((MONTH($A19)-1)*12)+VLOOKUP(BL$4,$DE$6:$DF$17,2)+1))*(VLOOKUP($A19,CURVES!$D$9:$T$261,8))*(INDEX(DailyScalarsTable,BL$5/100,MONTH($A19)))*$D19</f>
        <v>-12200.353085344655</v>
      </c>
      <c r="BM19" s="1021">
        <f>(VLOOKUP(YEAR($A19),'NY East Load Projections'!$A$4:$EO$14,((MONTH($A19)-1)*12)+VLOOKUP(BM$4,$DE$6:$DF$17,2)+1))*(VLOOKUP($A19,SatSunCurve,8))*(INDEX(DailyScalarsTable,BM$5/100,MONTH($A19)))*$D19</f>
        <v>-10857.3315477777</v>
      </c>
      <c r="BN19" s="1021">
        <f>(VLOOKUP(YEAR($A19),'NY East Load Projections'!$A$4:$EO$14,((MONTH($A19)-1)*12)+VLOOKUP(BN$4,$DE$6:$DF$17,2)+1))*(VLOOKUP($A19,SatSunCurve,8))*(INDEX(DailyScalarsTable,BN$5/100,MONTH($A19)))*$D19</f>
        <v>-12065.289604498197</v>
      </c>
      <c r="BO19" s="1021">
        <f>(VLOOKUP(YEAR($A19),'NY East Load Projections'!$A$4:$EO$14,((MONTH($A19)-1)*12)+VLOOKUP(BO$4,$DE$6:$DF$17,2)+1))*(VLOOKUP($A19,SatSunCurve,8))*(INDEX(DailyScalarsTable,BO$5/100,MONTH($A19)))*$D19</f>
        <v>-12028.567709222565</v>
      </c>
      <c r="BP19" s="1021">
        <f>(VLOOKUP(YEAR($A19),'NY East Load Projections'!$A$4:$EO$14,((MONTH($A19)-1)*12)+VLOOKUP(BP$4,$DE$6:$DF$17,2)+1))*(VLOOKUP($A19,SatSunCurve,8))*(INDEX(DailyScalarsTable,BP$5/100,MONTH($A19)))*$D19</f>
        <v>-11818.653425961929</v>
      </c>
      <c r="BQ19" s="1021">
        <f>(VLOOKUP(YEAR($A19),'NY East Load Projections'!$A$4:$EO$14,((MONTH($A19)-1)*12)+VLOOKUP(BQ$4,$DE$6:$DF$17,2)+1))*(VLOOKUP($A19,SatSunCurve,8))*(INDEX(DailyScalarsTable,BQ$5/100,MONTH($A19)))*$D19</f>
        <v>-8853.2896174735633</v>
      </c>
      <c r="BR19" s="1021">
        <f>(VLOOKUP(YEAR($A19),'NY East Load Projections'!$A$4:$EO$14,((MONTH($A19)-1)*12)+VLOOKUP(BR$4,$DE$6:$DF$17,2)+1))*(VLOOKUP($A19,SatSunCurve,8))*(INDEX(DailyScalarsTable,BR$5/100,MONTH($A19)))*$D19</f>
        <v>-8369.641170073819</v>
      </c>
      <c r="BS19" s="1021">
        <f>(VLOOKUP(YEAR($A19),'NY East Load Projections'!$A$4:$EO$14,((MONTH($A19)-1)*12)+VLOOKUP(BS$4,$DE$6:$DF$17,2)+1))*(VLOOKUP($A19,SatSunCurve,8))*(INDEX(DailyScalarsTable,BS$5/100,MONTH($A19)))*$D19</f>
        <v>-8099.4000653779403</v>
      </c>
      <c r="BT19" s="1021">
        <f>(VLOOKUP(YEAR($A19),'NY East Load Projections'!$A$4:$EO$14,((MONTH($A19)-1)*12)+VLOOKUP(BT$4,$DE$6:$DF$17,2)+1))*(VLOOKUP($A19,SatSunCurve,8))*(INDEX(DailyScalarsTable,BT$5/100,MONTH($A19)))*$D19</f>
        <v>-7687.184467272994</v>
      </c>
      <c r="BU19" s="1021">
        <f>(VLOOKUP(YEAR($A19),'NY East Load Projections'!$A$4:$EO$14,((MONTH($A19)-1)*12)+VLOOKUP(BU$4,$DE$6:$DF$17,2)+1))*(VLOOKUP($A19,SatSunCurve,8))*(INDEX(DailyScalarsTable,BU$5/100,MONTH($A19)))*$D19</f>
        <v>-7532.4812261789757</v>
      </c>
      <c r="BV19" s="1021">
        <f>(VLOOKUP(YEAR($A19),'NY East Load Projections'!$A$4:$EO$14,((MONTH($A19)-1)*12)+VLOOKUP(BV$4,$DE$6:$DF$17,2)+1))*(VLOOKUP($A19,SatSunCurve,8))*(INDEX(DailyScalarsTable,BV$5/100,MONTH($A19)))*$D19</f>
        <v>-7972.4021004904971</v>
      </c>
      <c r="BW19" s="1021">
        <f>(VLOOKUP(YEAR($A19),'NY East Load Projections'!$A$4:$EO$14,((MONTH($A19)-1)*12)+VLOOKUP(BW$4,$DE$6:$DF$17,2)+1))*(VLOOKUP($A19,SatSunCurve,8))*(INDEX(DailyScalarsTable,BW$5/100,MONTH($A19)))*$D19</f>
        <v>-11093.251166855889</v>
      </c>
      <c r="BX19" s="1021">
        <f>(VLOOKUP(YEAR($A19),'NY East Load Projections'!$A$4:$EO$14,((MONTH($A19)-1)*12)+VLOOKUP(BX$4,$DE$6:$DF$17,2)+1))*(VLOOKUP($A19,SatSunCurve,8))*(INDEX(DailyScalarsTable,BX$5/100,MONTH($A19)))*$D19</f>
        <v>-12172.244051270131</v>
      </c>
      <c r="BY19" s="1021">
        <f>(VLOOKUP(YEAR($A19),'NY East Load Projections'!$A$4:$EO$14,((MONTH($A19)-1)*12)+VLOOKUP(BY$4,$DE$6:$DF$17,2)+1))*(VLOOKUP($A19,SatSunCurve,8))*(INDEX(DailyScalarsTable,BY$5/100,MONTH($A19)))*$D19</f>
        <v>-11650.949710935971</v>
      </c>
      <c r="BZ19" s="1021">
        <f>(VLOOKUP(YEAR($A19),'NY East Load Projections'!$A$4:$EO$14,((MONTH($A19)-1)*12)+VLOOKUP(BZ$4,$DE$6:$DF$17,2)+1))*(VLOOKUP($A19,SatSunCurve,8))*(INDEX(DailyScalarsTable,BZ$5/100,MONTH($A19)))*$D19</f>
        <v>-10848.144005165834</v>
      </c>
      <c r="CA19" s="1021">
        <f>(VLOOKUP(YEAR($A19),'NY East Load Projections'!$A$4:$EO$14,((MONTH($A19)-1)*12)+VLOOKUP(CA$4,$DE$6:$DF$17,2)+1))*(VLOOKUP($A19,SatSunCurve,8))*(INDEX(DailyScalarsTable,CA$5/100,MONTH($A19)))*$D19</f>
        <v>-7715.4512699652514</v>
      </c>
      <c r="CB19" s="1021">
        <f>(VLOOKUP(YEAR($A19),'NY East Load Projections'!$A$4:$EO$14,((MONTH($A19)-1)*12)+VLOOKUP(CB$4,$DE$6:$DF$17,2)+1))*(VLOOKUP($A19,SatSunCurve,8))*(INDEX(DailyScalarsTable,CB$5/100,MONTH($A19)))*$D19</f>
        <v>-6316.0571869161668</v>
      </c>
      <c r="CC19" s="1021">
        <f>(VLOOKUP(YEAR($A19),'NY East Load Projections'!$A$4:$EO$14,((MONTH($A19)-1)*12)+VLOOKUP(CC$4,$DE$6:$DF$17,2)+1))*(VLOOKUP($A19,CURVES!$D$9:$T$261,8))*(INDEX(DailyScalarsTable,CC$5/100,MONTH($A19)))*$D19</f>
        <v>-7304.8990000220838</v>
      </c>
      <c r="CE19" s="1021">
        <f>(VLOOKUP(YEAR($A19),'NY East Load Projections'!$A$4:$EO$14,((MONTH($A19)-1)*12)+VLOOKUP(CE$4,$DE$6:$DF$17,2)+1))*(VLOOKUP($A19,CURVES!$D$9:$T$261,8))*(INDEX(DailyScalarsTable,CE$5/100,MONTH($A19)))*$E19</f>
        <v>0</v>
      </c>
      <c r="CF19" s="1021">
        <f>(VLOOKUP(YEAR($A19),'NY East Load Projections'!$A$4:$EO$14,((MONTH($A19)-1)*12)+VLOOKUP(CF$4,$DE$6:$DF$17,2)+1))*(VLOOKUP($A19,CURVES!$D$9:$T$261,8))*(INDEX(DailyScalarsTable,CF$5/100,MONTH($A19)))*$E19</f>
        <v>0</v>
      </c>
      <c r="CG19" s="1021">
        <f>(VLOOKUP(YEAR($A19),'NY East Load Projections'!$A$4:$EO$14,((MONTH($A19)-1)*12)+VLOOKUP(CG$4,$DE$6:$DF$17,2)+1))*(VLOOKUP($A19,CURVES!$D$9:$T$261,8))*(INDEX(DailyScalarsTable,CG$5/100,MONTH($A19)))*$E19</f>
        <v>0</v>
      </c>
      <c r="CH19" s="1021">
        <f>(VLOOKUP(YEAR($A19),'NY East Load Projections'!$A$4:$EO$14,((MONTH($A19)-1)*12)+VLOOKUP(CH$4,$DE$6:$DF$17,2)+1))*(VLOOKUP($A19,CURVES!$D$9:$T$261,8))*(INDEX(DailyScalarsTable,CH$5/100,MONTH($A19)))*$E19</f>
        <v>0</v>
      </c>
      <c r="CI19" s="1021">
        <f>(VLOOKUP(YEAR($A19),'NY East Load Projections'!$A$4:$EO$14,((MONTH($A19)-1)*12)+VLOOKUP(CI$4,$DE$6:$DF$17,2)+1))*(VLOOKUP($A19,CURVES!$D$9:$T$261,8))*(INDEX(DailyScalarsTable,CI$5/100,MONTH($A19)))*$E19</f>
        <v>0</v>
      </c>
      <c r="CJ19" s="1021">
        <f>(VLOOKUP(YEAR($A19),'NY East Load Projections'!$A$4:$EO$14,((MONTH($A19)-1)*12)+VLOOKUP(CJ$4,$DE$6:$DF$17,2)+1))*(VLOOKUP($A19,CURVES!$D$9:$T$261,8))*(INDEX(DailyScalarsTable,CJ$5/100,MONTH($A19)))*$E19</f>
        <v>0</v>
      </c>
      <c r="CK19" s="1021">
        <f>(VLOOKUP(YEAR($A19),'NY East Load Projections'!$A$4:$EO$14,((MONTH($A19)-1)*12)+VLOOKUP(CK$4,$DE$6:$DF$17,2)+1))*(VLOOKUP($A19,CURVES!$D$9:$T$261,8))*(INDEX(DailyScalarsTable,CK$5/100,MONTH($A19)))*$E19</f>
        <v>0</v>
      </c>
      <c r="CL19" s="1021">
        <f>(VLOOKUP(YEAR($A19),'NY East Load Projections'!$A$4:$EO$14,((MONTH($A19)-1)*12)+VLOOKUP(CL$4,$DE$6:$DF$17,2)+1))*(VLOOKUP($A19,SatSunCurve,8))*(INDEX(DailyScalarsTable,CL$5/100,MONTH($A19)))*$E19</f>
        <v>0</v>
      </c>
      <c r="CM19" s="1021">
        <f>(VLOOKUP(YEAR($A19),'NY East Load Projections'!$A$4:$EO$14,((MONTH($A19)-1)*12)+VLOOKUP(CM$4,$DE$6:$DF$17,2)+1))*(VLOOKUP($A19,SatSunCurve,8))*(INDEX(DailyScalarsTable,CM$5/100,MONTH($A19)))*$E19</f>
        <v>0</v>
      </c>
      <c r="CN19" s="1021">
        <f>(VLOOKUP(YEAR($A19),'NY East Load Projections'!$A$4:$EO$14,((MONTH($A19)-1)*12)+VLOOKUP(CN$4,$DE$6:$DF$17,2)+1))*(VLOOKUP($A19,SatSunCurve,8))*(INDEX(DailyScalarsTable,CN$5/100,MONTH($A19)))*$E19</f>
        <v>0</v>
      </c>
      <c r="CO19" s="1021">
        <f>(VLOOKUP(YEAR($A19),'NY East Load Projections'!$A$4:$EO$14,((MONTH($A19)-1)*12)+VLOOKUP(CO$4,$DE$6:$DF$17,2)+1))*(VLOOKUP($A19,SatSunCurve,8))*(INDEX(DailyScalarsTable,CO$5/100,MONTH($A19)))*$E19</f>
        <v>0</v>
      </c>
      <c r="CP19" s="1021">
        <f>(VLOOKUP(YEAR($A19),'NY East Load Projections'!$A$4:$EO$14,((MONTH($A19)-1)*12)+VLOOKUP(CP$4,$DE$6:$DF$17,2)+1))*(VLOOKUP($A19,SatSunCurve,8))*(INDEX(DailyScalarsTable,CP$5/100,MONTH($A19)))*$E19</f>
        <v>0</v>
      </c>
      <c r="CQ19" s="1021">
        <f>(VLOOKUP(YEAR($A19),'NY East Load Projections'!$A$4:$EO$14,((MONTH($A19)-1)*12)+VLOOKUP(CQ$4,$DE$6:$DF$17,2)+1))*(VLOOKUP($A19,SatSunCurve,8))*(INDEX(DailyScalarsTable,CQ$5/100,MONTH($A19)))*$E19</f>
        <v>0</v>
      </c>
      <c r="CR19" s="1021">
        <f>(VLOOKUP(YEAR($A19),'NY East Load Projections'!$A$4:$EO$14,((MONTH($A19)-1)*12)+VLOOKUP(CR$4,$DE$6:$DF$17,2)+1))*(VLOOKUP($A19,SatSunCurve,8))*(INDEX(DailyScalarsTable,CR$5/100,MONTH($A19)))*$E19</f>
        <v>0</v>
      </c>
      <c r="CS19" s="1021">
        <f>(VLOOKUP(YEAR($A19),'NY East Load Projections'!$A$4:$EO$14,((MONTH($A19)-1)*12)+VLOOKUP(CS$4,$DE$6:$DF$17,2)+1))*(VLOOKUP($A19,SatSunCurve,8))*(INDEX(DailyScalarsTable,CS$5/100,MONTH($A19)))*$E19</f>
        <v>0</v>
      </c>
      <c r="CT19" s="1021">
        <f>(VLOOKUP(YEAR($A19),'NY East Load Projections'!$A$4:$EO$14,((MONTH($A19)-1)*12)+VLOOKUP(CT$4,$DE$6:$DF$17,2)+1))*(VLOOKUP($A19,SatSunCurve,8))*(INDEX(DailyScalarsTable,CT$5/100,MONTH($A19)))*$E19</f>
        <v>0</v>
      </c>
      <c r="CU19" s="1021">
        <f>(VLOOKUP(YEAR($A19),'NY East Load Projections'!$A$4:$EO$14,((MONTH($A19)-1)*12)+VLOOKUP(CU$4,$DE$6:$DF$17,2)+1))*(VLOOKUP($A19,SatSunCurve,8))*(INDEX(DailyScalarsTable,CU$5/100,MONTH($A19)))*$E19</f>
        <v>0</v>
      </c>
      <c r="CV19" s="1021">
        <f>(VLOOKUP(YEAR($A19),'NY East Load Projections'!$A$4:$EO$14,((MONTH($A19)-1)*12)+VLOOKUP(CV$4,$DE$6:$DF$17,2)+1))*(VLOOKUP($A19,SatSunCurve,8))*(INDEX(DailyScalarsTable,CV$5/100,MONTH($A19)))*$E19</f>
        <v>0</v>
      </c>
      <c r="CW19" s="1021">
        <f>(VLOOKUP(YEAR($A19),'NY East Load Projections'!$A$4:$EO$14,((MONTH($A19)-1)*12)+VLOOKUP(CW$4,$DE$6:$DF$17,2)+1))*(VLOOKUP($A19,SatSunCurve,8))*(INDEX(DailyScalarsTable,CW$5/100,MONTH($A19)))*$E19</f>
        <v>0</v>
      </c>
      <c r="CX19" s="1021">
        <f>(VLOOKUP(YEAR($A19),'NY East Load Projections'!$A$4:$EO$14,((MONTH($A19)-1)*12)+VLOOKUP(CX$4,$DE$6:$DF$17,2)+1))*(VLOOKUP($A19,SatSunCurve,8))*(INDEX(DailyScalarsTable,CX$5/100,MONTH($A19)))*$E19</f>
        <v>0</v>
      </c>
      <c r="CY19" s="1021">
        <f>(VLOOKUP(YEAR($A19),'NY East Load Projections'!$A$4:$EO$14,((MONTH($A19)-1)*12)+VLOOKUP(CY$4,$DE$6:$DF$17,2)+1))*(VLOOKUP($A19,SatSunCurve,8))*(INDEX(DailyScalarsTable,CY$5/100,MONTH($A19)))*$E19</f>
        <v>0</v>
      </c>
      <c r="CZ19" s="1021">
        <f>(VLOOKUP(YEAR($A19),'NY East Load Projections'!$A$4:$EO$14,((MONTH($A19)-1)*12)+VLOOKUP(CZ$4,$DE$6:$DF$17,2)+1))*(VLOOKUP($A19,SatSunCurve,8))*(INDEX(DailyScalarsTable,CZ$5/100,MONTH($A19)))*$E19</f>
        <v>0</v>
      </c>
      <c r="DA19" s="1021">
        <f>(VLOOKUP(YEAR($A19),'NY East Load Projections'!$A$4:$EO$14,((MONTH($A19)-1)*12)+VLOOKUP(DA$4,$DE$6:$DF$17,2)+1))*(VLOOKUP($A19,SatSunCurve,8))*(INDEX(DailyScalarsTable,DA$5/100,MONTH($A19)))*$E19</f>
        <v>0</v>
      </c>
      <c r="DB19" s="1021">
        <f>(VLOOKUP(YEAR($A19),'NY East Load Projections'!$A$4:$EO$14,((MONTH($A19)-1)*12)+VLOOKUP(DB$4,$DE$6:$DF$17,2)+1))*(VLOOKUP($A19,CURVES!$D$9:$T$261,8))*(INDEX(DailyScalarsTable,DB$5/100,MONTH($A19)))*$E19</f>
        <v>0</v>
      </c>
      <c r="DH19" s="1021">
        <f t="shared" si="0"/>
        <v>-1670467.8081732942</v>
      </c>
      <c r="DI19">
        <f ca="1">CALC!J39</f>
        <v>0.86779501339320064</v>
      </c>
      <c r="DJ19" s="1029">
        <f t="shared" ca="1" si="1"/>
        <v>-1449623.6339666543</v>
      </c>
    </row>
    <row r="20" spans="1:114" x14ac:dyDescent="0.25">
      <c r="A20" s="244">
        <v>37316</v>
      </c>
      <c r="B20" s="13">
        <v>21</v>
      </c>
      <c r="C20" s="210">
        <v>5</v>
      </c>
      <c r="D20" s="210">
        <v>5</v>
      </c>
      <c r="E20" s="210">
        <v>0</v>
      </c>
      <c r="F20" s="13">
        <v>31</v>
      </c>
      <c r="H20" s="1021">
        <f>(VLOOKUP(YEAR($A20),'NY East Load Projections'!$A$4:$EO$14,((MONTH($A20)-1)*12)+VLOOKUP(H$4,$DE$6:$DF$17,2)+1))*(VLOOKUP($A20,CURVES!$D$9:$K$261,8))*(INDEX(DailyScalarsTable,H$5/100,MONTH($A20)))*$B20</f>
        <v>-25853.035306259608</v>
      </c>
      <c r="I20" s="1021">
        <f>(VLOOKUP(YEAR($A20),'NY East Load Projections'!$A$4:$EO$14,((MONTH($A20)-1)*12)+VLOOKUP(I$4,$DE$6:$DF$17,2)+1))*(VLOOKUP($A20,CURVES!$D$9:$K$261,8))*(INDEX(DailyScalarsTable,I$5/100,MONTH($A20)))*$B20</f>
        <v>-24445.191626052383</v>
      </c>
      <c r="J20" s="1021">
        <f>(VLOOKUP(YEAR($A20),'NY East Load Projections'!$A$4:$EO$14,((MONTH($A20)-1)*12)+VLOOKUP(J$4,$DE$6:$DF$17,2)+1))*(VLOOKUP($A20,CURVES!$D$9:$K$261,8))*(INDEX(DailyScalarsTable,J$5/100,MONTH($A20)))*$B20</f>
        <v>-23403.37479964679</v>
      </c>
      <c r="K20" s="1021">
        <f>(VLOOKUP(YEAR($A20),'NY East Load Projections'!$A$4:$EO$14,((MONTH($A20)-1)*12)+VLOOKUP(K$4,$DE$6:$DF$17,2)+1))*(VLOOKUP($A20,CURVES!$D$9:$K$261,8))*(INDEX(DailyScalarsTable,K$5/100,MONTH($A20)))*$B20</f>
        <v>-23418.065886007756</v>
      </c>
      <c r="L20" s="1021">
        <f>(VLOOKUP(YEAR($A20),'NY East Load Projections'!$A$4:$EO$14,((MONTH($A20)-1)*12)+VLOOKUP(L$4,$DE$6:$DF$17,2)+1))*(VLOOKUP($A20,CURVES!$D$9:$K$261,8))*(INDEX(DailyScalarsTable,L$5/100,MONTH($A20)))*$B20</f>
        <v>-27130.817512672333</v>
      </c>
      <c r="M20" s="1021">
        <f>(VLOOKUP(YEAR($A20),'NY East Load Projections'!$A$4:$EO$14,((MONTH($A20)-1)*12)+VLOOKUP(M$4,$DE$6:$DF$17,2)+1))*(VLOOKUP($A20,CURVES!$D$9:$K$261,8))*(INDEX(DailyScalarsTable,M$5/100,MONTH($A20)))*$B20</f>
        <v>-31492.728735738856</v>
      </c>
      <c r="N20" s="1021">
        <f>(VLOOKUP(YEAR($A20),'NY East Load Projections'!$A$4:$EO$14,((MONTH($A20)-1)*12)+VLOOKUP(N$4,$DE$6:$DF$17,2)+1))*(VLOOKUP($A20,CURVES!$D$9:$K$261,8))*(INDEX(DailyScalarsTable,N$5/100,MONTH($A20)))*$B20</f>
        <v>-56825.062456561835</v>
      </c>
      <c r="O20" s="1021">
        <f>(VLOOKUP(YEAR($A20),'NY East Load Projections'!$A$4:$EO$14,((MONTH($A20)-1)*12)+VLOOKUP(O$4,$DE$6:$DF$17,2)+1))*(VLOOKUP($A20,CURVES!$D$9:$K$261,4))*(INDEX(DailyScalarsTable,O$5/100,MONTH($A20)))*$B20</f>
        <v>-61092.852336352946</v>
      </c>
      <c r="P20" s="1021">
        <f>(VLOOKUP(YEAR($A20),'NY East Load Projections'!$A$4:$EO$14,((MONTH($A20)-1)*12)+VLOOKUP(P$4,$DE$6:$DF$17,2)+1))*(VLOOKUP($A20,CURVES!$D$9:$K$261,4))*(INDEX(DailyScalarsTable,P$5/100,MONTH($A20)))*$B20</f>
        <v>-67419.918668459432</v>
      </c>
      <c r="Q20" s="1021">
        <f>(VLOOKUP(YEAR($A20),'NY East Load Projections'!$A$4:$EO$14,((MONTH($A20)-1)*12)+VLOOKUP(Q$4,$DE$6:$DF$17,2)+1))*(VLOOKUP($A20,CURVES!$D$9:$K$261,4))*(INDEX(DailyScalarsTable,Q$5/100,MONTH($A20)))*$B20</f>
        <v>-67215.924965983009</v>
      </c>
      <c r="R20" s="1021">
        <f>(VLOOKUP(YEAR($A20),'NY East Load Projections'!$A$4:$EO$14,((MONTH($A20)-1)*12)+VLOOKUP(R$4,$DE$6:$DF$17,2)+1))*(VLOOKUP($A20,CURVES!$D$9:$K$261,4))*(INDEX(DailyScalarsTable,R$5/100,MONTH($A20)))*$B20</f>
        <v>-66031.628193272642</v>
      </c>
      <c r="S20" s="1021">
        <f>(VLOOKUP(YEAR($A20),'NY East Load Projections'!$A$4:$EO$14,((MONTH($A20)-1)*12)+VLOOKUP(S$4,$DE$6:$DF$17,2)+1))*(VLOOKUP($A20,CURVES!$D$9:$K$261,4))*(INDEX(DailyScalarsTable,S$5/100,MONTH($A20)))*$B20</f>
        <v>-50454.442412503173</v>
      </c>
      <c r="T20" s="1021">
        <f>(VLOOKUP(YEAR($A20),'NY East Load Projections'!$A$4:$EO$14,((MONTH($A20)-1)*12)+VLOOKUP(T$4,$DE$6:$DF$17,2)+1))*(VLOOKUP($A20,CURVES!$D$9:$K$261,4))*(INDEX(DailyScalarsTable,T$5/100,MONTH($A20)))*$B20</f>
        <v>-49603.097911220422</v>
      </c>
      <c r="U20" s="1021">
        <f>(VLOOKUP(YEAR($A20),'NY East Load Projections'!$A$4:$EO$14,((MONTH($A20)-1)*12)+VLOOKUP(U$4,$DE$6:$DF$17,2)+1))*(VLOOKUP($A20,CURVES!$D$9:$K$261,4))*(INDEX(DailyScalarsTable,U$5/100,MONTH($A20)))*$B20</f>
        <v>-48020.020318309136</v>
      </c>
      <c r="V20" s="1021">
        <f>(VLOOKUP(YEAR($A20),'NY East Load Projections'!$A$4:$EO$14,((MONTH($A20)-1)*12)+VLOOKUP(V$4,$DE$6:$DF$17,2)+1))*(VLOOKUP($A20,CURVES!$D$9:$K$261,4))*(INDEX(DailyScalarsTable,V$5/100,MONTH($A20)))*$B20</f>
        <v>-45605.253410281395</v>
      </c>
      <c r="W20" s="1021">
        <f>(VLOOKUP(YEAR($A20),'NY East Load Projections'!$A$4:$EO$14,((MONTH($A20)-1)*12)+VLOOKUP(W$4,$DE$6:$DF$17,2)+1))*(VLOOKUP($A20,CURVES!$D$9:$K$261,4))*(INDEX(DailyScalarsTable,W$5/100,MONTH($A20)))*$B20</f>
        <v>-44698.998846223491</v>
      </c>
      <c r="X20" s="1021">
        <f>(VLOOKUP(YEAR($A20),'NY East Load Projections'!$A$4:$EO$14,((MONTH($A20)-1)*12)+VLOOKUP(X$4,$DE$6:$DF$17,2)+1))*(VLOOKUP($A20,CURVES!$D$9:$K$261,4))*(INDEX(DailyScalarsTable,X$5/100,MONTH($A20)))*$B20</f>
        <v>-46855.193008456947</v>
      </c>
      <c r="Y20" s="1021">
        <f>(VLOOKUP(YEAR($A20),'NY East Load Projections'!$A$4:$EO$14,((MONTH($A20)-1)*12)+VLOOKUP(Y$4,$DE$6:$DF$17,2)+1))*(VLOOKUP($A20,CURVES!$D$9:$K$261,4))*(INDEX(DailyScalarsTable,Y$5/100,MONTH($A20)))*$B20</f>
        <v>-63879.908264707723</v>
      </c>
      <c r="Z20" s="1021">
        <f>(VLOOKUP(YEAR($A20),'NY East Load Projections'!$A$4:$EO$14,((MONTH($A20)-1)*12)+VLOOKUP(Z$4,$DE$6:$DF$17,2)+1))*(VLOOKUP($A20,CURVES!$D$9:$K$261,4))*(INDEX(DailyScalarsTable,Z$5/100,MONTH($A20)))*$B20</f>
        <v>-70144.91523947315</v>
      </c>
      <c r="AA20" s="1021">
        <f>(VLOOKUP(YEAR($A20),'NY East Load Projections'!$A$4:$EO$14,((MONTH($A20)-1)*12)+VLOOKUP(AA$4,$DE$6:$DF$17,2)+1))*(VLOOKUP($A20,CURVES!$D$9:$K$261,4))*(INDEX(DailyScalarsTable,AA$5/100,MONTH($A20)))*$B20</f>
        <v>-67117.196199731756</v>
      </c>
      <c r="AB20" s="1021">
        <f>(VLOOKUP(YEAR($A20),'NY East Load Projections'!$A$4:$EO$14,((MONTH($A20)-1)*12)+VLOOKUP(AB$4,$DE$6:$DF$17,2)+1))*(VLOOKUP($A20,CURVES!$D$9:$K$261,4))*(INDEX(DailyScalarsTable,AB$5/100,MONTH($A20)))*$B20</f>
        <v>-60117.050858917726</v>
      </c>
      <c r="AC20" s="1021">
        <f>(VLOOKUP(YEAR($A20),'NY East Load Projections'!$A$4:$EO$14,((MONTH($A20)-1)*12)+VLOOKUP(AC$4,$DE$6:$DF$17,2)+1))*(VLOOKUP($A20,CURVES!$D$9:$K$261,4))*(INDEX(DailyScalarsTable,AC$5/100,MONTH($A20)))*$B20</f>
        <v>-43653.242327473665</v>
      </c>
      <c r="AD20" s="1021">
        <f>(VLOOKUP(YEAR($A20),'NY East Load Projections'!$A$4:$EO$14,((MONTH($A20)-1)*12)+VLOOKUP(AD$4,$DE$6:$DF$17,2)+1))*(VLOOKUP($A20,CURVES!$D$9:$K$261,4))*(INDEX(DailyScalarsTable,AD$5/100,MONTH($A20)))*$B20</f>
        <v>-35830.833299459737</v>
      </c>
      <c r="AE20" s="1021">
        <f>(VLOOKUP(YEAR($A20),'NY East Load Projections'!$A$4:$EO$14,((MONTH($A20)-1)*12)+VLOOKUP(AE$4,$DE$6:$DF$17,2)+1))*(VLOOKUP($A20,CURVES!$D$9:$K$261,8))*(INDEX(DailyScalarsTable,AE$5/100,MONTH($A20)))*$B20</f>
        <v>-32274.076935494813</v>
      </c>
      <c r="AF20" s="1021"/>
      <c r="AG20" s="1021">
        <f>(VLOOKUP(YEAR($A20),'NY East Load Projections'!$A$4:$EO$14,((MONTH($A20)-1)*12)+VLOOKUP(AG$4,$DE$6:$DF$17,2)+1))*(VLOOKUP($A20,CURVES!$D$9:$T$261,8))*(INDEX(DailyScalarsTable,AG$5/100,MONTH($A20)))*$C20</f>
        <v>-6793.6496324733944</v>
      </c>
      <c r="AH20" s="1021">
        <f>(VLOOKUP(YEAR($A20),'NY East Load Projections'!$A$4:$EO$14,((MONTH($A20)-1)*12)+VLOOKUP(AH$4,$DE$6:$DF$17,2)+1))*(VLOOKUP($A20,CURVES!$D$9:$T$261,8))*(INDEX(DailyScalarsTable,AH$5/100,MONTH($A20)))*$C20</f>
        <v>-6423.6970684004227</v>
      </c>
      <c r="AI20" s="1021">
        <f>(VLOOKUP(YEAR($A20),'NY East Load Projections'!$A$4:$EO$14,((MONTH($A20)-1)*12)+VLOOKUP(AI$4,$DE$6:$DF$17,2)+1))*(VLOOKUP($A20,CURVES!$D$9:$T$261,8))*(INDEX(DailyScalarsTable,AI$5/100,MONTH($A20)))*$C20</f>
        <v>-6149.9288854396673</v>
      </c>
      <c r="AJ20" s="1021">
        <f>(VLOOKUP(YEAR($A20),'NY East Load Projections'!$A$4:$EO$14,((MONTH($A20)-1)*12)+VLOOKUP(AJ$4,$DE$6:$DF$17,2)+1))*(VLOOKUP($A20,CURVES!$D$9:$T$261,8))*(INDEX(DailyScalarsTable,AJ$5/100,MONTH($A20)))*$C20</f>
        <v>-6153.7894028711607</v>
      </c>
      <c r="AK20" s="1021">
        <f>(VLOOKUP(YEAR($A20),'NY East Load Projections'!$A$4:$EO$14,((MONTH($A20)-1)*12)+VLOOKUP(AK$4,$DE$6:$DF$17,2)+1))*(VLOOKUP($A20,CURVES!$D$9:$T$261,8))*(INDEX(DailyScalarsTable,AK$5/100,MONTH($A20)))*$C20</f>
        <v>-6709.5839008771873</v>
      </c>
      <c r="AL20" s="1021">
        <f>(VLOOKUP(YEAR($A20),'NY East Load Projections'!$A$4:$EO$14,((MONTH($A20)-1)*12)+VLOOKUP(AL$4,$DE$6:$DF$17,2)+1))*(VLOOKUP($A20,CURVES!$D$9:$T$261,8))*(INDEX(DailyScalarsTable,AL$5/100,MONTH($A20)))*$C20</f>
        <v>-7788.3058857813558</v>
      </c>
      <c r="AM20" s="1021">
        <f>(VLOOKUP(YEAR($A20),'NY East Load Projections'!$A$4:$EO$14,((MONTH($A20)-1)*12)+VLOOKUP(AM$4,$DE$6:$DF$17,2)+1))*(VLOOKUP($A20,CURVES!$D$9:$T$261,8))*(INDEX(DailyScalarsTable,AM$5/100,MONTH($A20)))*$C20</f>
        <v>-14053.115946351496</v>
      </c>
      <c r="AN20" s="1021">
        <f>(VLOOKUP(YEAR($A20),'NY East Load Projections'!$A$4:$EO$14,((MONTH($A20)-1)*12)+VLOOKUP(AN$4,$DE$6:$DF$17,2)+1))*(VLOOKUP($A20,SatSunCurve,4))*(INDEX(DailyScalarsTable,AN$5/100,MONTH($A20)))*$C20</f>
        <v>-9492.0543085492336</v>
      </c>
      <c r="AO20" s="1021">
        <f>(VLOOKUP(YEAR($A20),'NY East Load Projections'!$A$4:$EO$14,((MONTH($A20)-1)*12)+VLOOKUP(AO$4,$DE$6:$DF$17,2)+1))*(VLOOKUP($A20,SatSunCurve,4))*(INDEX(DailyScalarsTable,AO$5/100,MONTH($A20)))*$C20</f>
        <v>-10473.57986430434</v>
      </c>
      <c r="AP20" s="1021">
        <f>(VLOOKUP(YEAR($A20),'NY East Load Projections'!$A$4:$EO$14,((MONTH($A20)-1)*12)+VLOOKUP(AP$4,$DE$6:$DF$17,2)+1))*(VLOOKUP($A20,SatSunCurve,4))*(INDEX(DailyScalarsTable,AP$5/100,MONTH($A20)))*$C20</f>
        <v>-10441.889758814767</v>
      </c>
      <c r="AQ20" s="1021">
        <f>(VLOOKUP(YEAR($A20),'NY East Load Projections'!$A$4:$EO$14,((MONTH($A20)-1)*12)+VLOOKUP(AQ$4,$DE$6:$DF$17,2)+1))*(VLOOKUP($A20,SatSunCurve,4))*(INDEX(DailyScalarsTable,AQ$5/100,MONTH($A20)))*$C20</f>
        <v>-10257.911090833626</v>
      </c>
      <c r="AR20" s="1021">
        <f>(VLOOKUP(YEAR($A20),'NY East Load Projections'!$A$4:$EO$14,((MONTH($A20)-1)*12)+VLOOKUP(AR$4,$DE$6:$DF$17,2)+1))*(VLOOKUP($A20,SatSunCurve,4))*(INDEX(DailyScalarsTable,AR$5/100,MONTH($A20)))*$C20</f>
        <v>-7838.0194244214035</v>
      </c>
      <c r="AS20" s="1021">
        <f>(VLOOKUP(YEAR($A20),'NY East Load Projections'!$A$4:$EO$14,((MONTH($A20)-1)*12)+VLOOKUP(AS$4,$DE$6:$DF$17,2)+1))*(VLOOKUP($A20,SatSunCurve,4))*(INDEX(DailyScalarsTable,AS$5/100,MONTH($A20)))*$C20</f>
        <v>-7492.3018209537659</v>
      </c>
      <c r="AT20" s="1021">
        <f>(VLOOKUP(YEAR($A20),'NY East Load Projections'!$A$4:$EO$14,((MONTH($A20)-1)*12)+VLOOKUP(AT$4,$DE$6:$DF$17,2)+1))*(VLOOKUP($A20,SatSunCurve,4))*(INDEX(DailyScalarsTable,AT$5/100,MONTH($A20)))*$C20</f>
        <v>-7253.185805391412</v>
      </c>
      <c r="AU20" s="1021">
        <f>(VLOOKUP(YEAR($A20),'NY East Load Projections'!$A$4:$EO$14,((MONTH($A20)-1)*12)+VLOOKUP(AU$4,$DE$6:$DF$17,2)+1))*(VLOOKUP($A20,SatSunCurve,4))*(INDEX(DailyScalarsTable,AU$5/100,MONTH($A20)))*$C20</f>
        <v>-6888.4472454212982</v>
      </c>
      <c r="AV20" s="1021">
        <f>(VLOOKUP(YEAR($A20),'NY East Load Projections'!$A$4:$EO$14,((MONTH($A20)-1)*12)+VLOOKUP(AV$4,$DE$6:$DF$17,2)+1))*(VLOOKUP($A20,SatSunCurve,4))*(INDEX(DailyScalarsTable,AV$5/100,MONTH($A20)))*$C20</f>
        <v>-6751.5619901356022</v>
      </c>
      <c r="AW20" s="1021">
        <f>(VLOOKUP(YEAR($A20),'NY East Load Projections'!$A$4:$EO$14,((MONTH($A20)-1)*12)+VLOOKUP(AW$4,$DE$6:$DF$17,2)+1))*(VLOOKUP($A20,SatSunCurve,4))*(INDEX(DailyScalarsTable,AW$5/100,MONTH($A20)))*$C20</f>
        <v>-7184.651601096758</v>
      </c>
      <c r="AX20" s="1021">
        <f>(VLOOKUP(YEAR($A20),'NY East Load Projections'!$A$4:$EO$14,((MONTH($A20)-1)*12)+VLOOKUP(AX$4,$DE$6:$DF$17,2)+1))*(VLOOKUP($A20,SatSunCurve,4))*(INDEX(DailyScalarsTable,AX$5/100,MONTH($A20)))*$C20</f>
        <v>-9795.1764942918744</v>
      </c>
      <c r="AY20" s="1021">
        <f>(VLOOKUP(YEAR($A20),'NY East Load Projections'!$A$4:$EO$14,((MONTH($A20)-1)*12)+VLOOKUP(AY$4,$DE$6:$DF$17,2)+1))*(VLOOKUP($A20,SatSunCurve,4))*(INDEX(DailyScalarsTable,AY$5/100,MONTH($A20)))*$C20</f>
        <v>-10755.836124570345</v>
      </c>
      <c r="AZ20" s="1021">
        <f>(VLOOKUP(YEAR($A20),'NY East Load Projections'!$A$4:$EO$14,((MONTH($A20)-1)*12)+VLOOKUP(AZ$4,$DE$6:$DF$17,2)+1))*(VLOOKUP($A20,SatSunCurve,4))*(INDEX(DailyScalarsTable,AZ$5/100,MONTH($A20)))*$C20</f>
        <v>-10291.57368000795</v>
      </c>
      <c r="BA20" s="1021">
        <f>(VLOOKUP(YEAR($A20),'NY East Load Projections'!$A$4:$EO$14,((MONTH($A20)-1)*12)+VLOOKUP(BA$4,$DE$6:$DF$17,2)+1))*(VLOOKUP($A20,SatSunCurve,4))*(INDEX(DailyScalarsTable,BA$5/100,MONTH($A20)))*$C20</f>
        <v>-9512.7853568572082</v>
      </c>
      <c r="BB20" s="1021">
        <f>(VLOOKUP(YEAR($A20),'NY East Load Projections'!$A$4:$EO$14,((MONTH($A20)-1)*12)+VLOOKUP(BB$4,$DE$6:$DF$17,2)+1))*(VLOOKUP($A20,SatSunCurve,4))*(INDEX(DailyScalarsTable,BB$5/100,MONTH($A20)))*$C20</f>
        <v>-6907.5897513114742</v>
      </c>
      <c r="BC20" s="1021">
        <f>(VLOOKUP(YEAR($A20),'NY East Load Projections'!$A$4:$EO$14,((MONTH($A20)-1)*12)+VLOOKUP(BC$4,$DE$6:$DF$17,2)+1))*(VLOOKUP($A20,SatSunCurve,4))*(INDEX(DailyScalarsTable,BC$5/100,MONTH($A20)))*$C20</f>
        <v>-5669.7895433193989</v>
      </c>
      <c r="BD20" s="1021">
        <f>(VLOOKUP(YEAR($A20),'NY East Load Projections'!$A$4:$EO$14,((MONTH($A20)-1)*12)+VLOOKUP(BD$4,$DE$6:$DF$17,2)+1))*(VLOOKUP($A20,CURVES!$D$9:$T$261,8))*(INDEX(DailyScalarsTable,BD$5/100,MONTH($A20)))*$C20</f>
        <v>-8128.8059394196207</v>
      </c>
      <c r="BE20" s="1021"/>
      <c r="BF20" s="1021">
        <f>(VLOOKUP(YEAR($A20),'NY East Load Projections'!$A$4:$EO$14,((MONTH($A20)-1)*12)+VLOOKUP(BF$4,$DE$6:$DF$17,2)+1))*(VLOOKUP($A20,CURVES!$D$9:$T$261,8))*(INDEX(DailyScalarsTable,BF$5/100,MONTH($A20)))*$D20</f>
        <v>-6793.6496324733944</v>
      </c>
      <c r="BG20" s="1021">
        <f>(VLOOKUP(YEAR($A20),'NY East Load Projections'!$A$4:$EO$14,((MONTH($A20)-1)*12)+VLOOKUP(BG$4,$DE$6:$DF$17,2)+1))*(VLOOKUP($A20,CURVES!$D$9:$T$261,8))*(INDEX(DailyScalarsTable,BG$5/100,MONTH($A20)))*$D20</f>
        <v>-6423.6970684004227</v>
      </c>
      <c r="BH20" s="1021">
        <f>(VLOOKUP(YEAR($A20),'NY East Load Projections'!$A$4:$EO$14,((MONTH($A20)-1)*12)+VLOOKUP(BH$4,$DE$6:$DF$17,2)+1))*(VLOOKUP($A20,CURVES!$D$9:$T$261,8))*(INDEX(DailyScalarsTable,BH$5/100,MONTH($A20)))*$D20</f>
        <v>-6149.9288854396673</v>
      </c>
      <c r="BI20" s="1021">
        <f>(VLOOKUP(YEAR($A20),'NY East Load Projections'!$A$4:$EO$14,((MONTH($A20)-1)*12)+VLOOKUP(BI$4,$DE$6:$DF$17,2)+1))*(VLOOKUP($A20,CURVES!$D$9:$T$261,8))*(INDEX(DailyScalarsTable,BI$5/100,MONTH($A20)))*$D20</f>
        <v>-6153.7894028711607</v>
      </c>
      <c r="BJ20" s="1021">
        <f>(VLOOKUP(YEAR($A20),'NY East Load Projections'!$A$4:$EO$14,((MONTH($A20)-1)*12)+VLOOKUP(BJ$4,$DE$6:$DF$17,2)+1))*(VLOOKUP($A20,CURVES!$D$9:$T$261,8))*(INDEX(DailyScalarsTable,BJ$5/100,MONTH($A20)))*$D20</f>
        <v>-6709.5839008771873</v>
      </c>
      <c r="BK20" s="1021">
        <f>(VLOOKUP(YEAR($A20),'NY East Load Projections'!$A$4:$EO$14,((MONTH($A20)-1)*12)+VLOOKUP(BK$4,$DE$6:$DF$17,2)+1))*(VLOOKUP($A20,CURVES!$D$9:$T$261,8))*(INDEX(DailyScalarsTable,BK$5/100,MONTH($A20)))*$D20</f>
        <v>-7788.3058857813558</v>
      </c>
      <c r="BL20" s="1021">
        <f>(VLOOKUP(YEAR($A20),'NY East Load Projections'!$A$4:$EO$14,((MONTH($A20)-1)*12)+VLOOKUP(BL$4,$DE$6:$DF$17,2)+1))*(VLOOKUP($A20,CURVES!$D$9:$T$261,8))*(INDEX(DailyScalarsTable,BL$5/100,MONTH($A20)))*$D20</f>
        <v>-14053.115946351496</v>
      </c>
      <c r="BM20" s="1021">
        <f>(VLOOKUP(YEAR($A20),'NY East Load Projections'!$A$4:$EO$14,((MONTH($A20)-1)*12)+VLOOKUP(BM$4,$DE$6:$DF$17,2)+1))*(VLOOKUP($A20,SatSunCurve,8))*(INDEX(DailyScalarsTable,BM$5/100,MONTH($A20)))*$D20</f>
        <v>-10519.727571143694</v>
      </c>
      <c r="BN20" s="1021">
        <f>(VLOOKUP(YEAR($A20),'NY East Load Projections'!$A$4:$EO$14,((MONTH($A20)-1)*12)+VLOOKUP(BN$4,$DE$6:$DF$17,2)+1))*(VLOOKUP($A20,SatSunCurve,8))*(INDEX(DailyScalarsTable,BN$5/100,MONTH($A20)))*$D20</f>
        <v>-11607.519645969833</v>
      </c>
      <c r="BO20" s="1021">
        <f>(VLOOKUP(YEAR($A20),'NY East Load Projections'!$A$4:$EO$14,((MONTH($A20)-1)*12)+VLOOKUP(BO$4,$DE$6:$DF$17,2)+1))*(VLOOKUP($A20,SatSunCurve,8))*(INDEX(DailyScalarsTable,BO$5/100,MONTH($A20)))*$D20</f>
        <v>-11572.398557782328</v>
      </c>
      <c r="BP20" s="1021">
        <f>(VLOOKUP(YEAR($A20),'NY East Load Projections'!$A$4:$EO$14,((MONTH($A20)-1)*12)+VLOOKUP(BP$4,$DE$6:$DF$17,2)+1))*(VLOOKUP($A20,SatSunCurve,8))*(INDEX(DailyScalarsTable,BP$5/100,MONTH($A20)))*$D20</f>
        <v>-11368.501129138212</v>
      </c>
      <c r="BQ20" s="1021">
        <f>(VLOOKUP(YEAR($A20),'NY East Load Projections'!$A$4:$EO$14,((MONTH($A20)-1)*12)+VLOOKUP(BQ$4,$DE$6:$DF$17,2)+1))*(VLOOKUP($A20,SatSunCurve,8))*(INDEX(DailyScalarsTable,BQ$5/100,MONTH($A20)))*$D20</f>
        <v>-8686.6158117091418</v>
      </c>
      <c r="BR20" s="1021">
        <f>(VLOOKUP(YEAR($A20),'NY East Load Projections'!$A$4:$EO$14,((MONTH($A20)-1)*12)+VLOOKUP(BR$4,$DE$6:$DF$17,2)+1))*(VLOOKUP($A20,SatSunCurve,8))*(INDEX(DailyScalarsTable,BR$5/100,MONTH($A20)))*$D20</f>
        <v>-8303.4685090485782</v>
      </c>
      <c r="BS20" s="1021">
        <f>(VLOOKUP(YEAR($A20),'NY East Load Projections'!$A$4:$EO$14,((MONTH($A20)-1)*12)+VLOOKUP(BS$4,$DE$6:$DF$17,2)+1))*(VLOOKUP($A20,SatSunCurve,8))*(INDEX(DailyScalarsTable,BS$5/100,MONTH($A20)))*$D20</f>
        <v>-8038.4641949300067</v>
      </c>
      <c r="BT20" s="1021">
        <f>(VLOOKUP(YEAR($A20),'NY East Load Projections'!$A$4:$EO$14,((MONTH($A20)-1)*12)+VLOOKUP(BT$4,$DE$6:$DF$17,2)+1))*(VLOOKUP($A20,SatSunCurve,8))*(INDEX(DailyScalarsTable,BT$5/100,MONTH($A20)))*$D20</f>
        <v>-7634.2365998433443</v>
      </c>
      <c r="BU20" s="1021">
        <f>(VLOOKUP(YEAR($A20),'NY East Load Projections'!$A$4:$EO$14,((MONTH($A20)-1)*12)+VLOOKUP(BU$4,$DE$6:$DF$17,2)+1))*(VLOOKUP($A20,SatSunCurve,8))*(INDEX(DailyScalarsTable,BU$5/100,MONTH($A20)))*$D20</f>
        <v>-7482.5312316160471</v>
      </c>
      <c r="BV20" s="1021">
        <f>(VLOOKUP(YEAR($A20),'NY East Load Projections'!$A$4:$EO$14,((MONTH($A20)-1)*12)+VLOOKUP(BV$4,$DE$6:$DF$17,2)+1))*(VLOOKUP($A20,SatSunCurve,8))*(INDEX(DailyScalarsTable,BV$5/100,MONTH($A20)))*$D20</f>
        <v>-7962.5100194639535</v>
      </c>
      <c r="BW20" s="1021">
        <f>(VLOOKUP(YEAR($A20),'NY East Load Projections'!$A$4:$EO$14,((MONTH($A20)-1)*12)+VLOOKUP(BW$4,$DE$6:$DF$17,2)+1))*(VLOOKUP($A20,SatSunCurve,8))*(INDEX(DailyScalarsTable,BW$5/100,MONTH($A20)))*$D20</f>
        <v>-10855.667791366641</v>
      </c>
      <c r="BX20" s="1021">
        <f>(VLOOKUP(YEAR($A20),'NY East Load Projections'!$A$4:$EO$14,((MONTH($A20)-1)*12)+VLOOKUP(BX$4,$DE$6:$DF$17,2)+1))*(VLOOKUP($A20,SatSunCurve,8))*(INDEX(DailyScalarsTable,BX$5/100,MONTH($A20)))*$D20</f>
        <v>-11920.334856116058</v>
      </c>
      <c r="BY20" s="1021">
        <f>(VLOOKUP(YEAR($A20),'NY East Load Projections'!$A$4:$EO$14,((MONTH($A20)-1)*12)+VLOOKUP(BY$4,$DE$6:$DF$17,2)+1))*(VLOOKUP($A20,SatSunCurve,8))*(INDEX(DailyScalarsTable,BY$5/100,MONTH($A20)))*$D20</f>
        <v>-11405.808255282052</v>
      </c>
      <c r="BZ20" s="1021">
        <f>(VLOOKUP(YEAR($A20),'NY East Load Projections'!$A$4:$EO$14,((MONTH($A20)-1)*12)+VLOOKUP(BZ$4,$DE$6:$DF$17,2)+1))*(VLOOKUP($A20,SatSunCurve,8))*(INDEX(DailyScalarsTable,BZ$5/100,MONTH($A20)))*$D20</f>
        <v>-10542.703101347699</v>
      </c>
      <c r="CA20" s="1021">
        <f>(VLOOKUP(YEAR($A20),'NY East Load Projections'!$A$4:$EO$14,((MONTH($A20)-1)*12)+VLOOKUP(CA$4,$DE$6:$DF$17,2)+1))*(VLOOKUP($A20,SatSunCurve,8))*(INDEX(DailyScalarsTable,CA$5/100,MONTH($A20)))*$D20</f>
        <v>-7655.4516014065248</v>
      </c>
      <c r="CB20" s="1021">
        <f>(VLOOKUP(YEAR($A20),'NY East Load Projections'!$A$4:$EO$14,((MONTH($A20)-1)*12)+VLOOKUP(CB$4,$DE$6:$DF$17,2)+1))*(VLOOKUP($A20,SatSunCurve,8))*(INDEX(DailyScalarsTable,CB$5/100,MONTH($A20)))*$D20</f>
        <v>-6283.6388670594752</v>
      </c>
      <c r="CC20" s="1021">
        <f>(VLOOKUP(YEAR($A20),'NY East Load Projections'!$A$4:$EO$14,((MONTH($A20)-1)*12)+VLOOKUP(CC$4,$DE$6:$DF$17,2)+1))*(VLOOKUP($A20,CURVES!$D$9:$T$261,8))*(INDEX(DailyScalarsTable,CC$5/100,MONTH($A20)))*$D20</f>
        <v>-8128.8059394196207</v>
      </c>
      <c r="CE20" s="1021">
        <f>(VLOOKUP(YEAR($A20),'NY East Load Projections'!$A$4:$EO$14,((MONTH($A20)-1)*12)+VLOOKUP(CE$4,$DE$6:$DF$17,2)+1))*(VLOOKUP($A20,CURVES!$D$9:$T$261,8))*(INDEX(DailyScalarsTable,CE$5/100,MONTH($A20)))*$E20</f>
        <v>0</v>
      </c>
      <c r="CF20" s="1021">
        <f>(VLOOKUP(YEAR($A20),'NY East Load Projections'!$A$4:$EO$14,((MONTH($A20)-1)*12)+VLOOKUP(CF$4,$DE$6:$DF$17,2)+1))*(VLOOKUP($A20,CURVES!$D$9:$T$261,8))*(INDEX(DailyScalarsTable,CF$5/100,MONTH($A20)))*$E20</f>
        <v>0</v>
      </c>
      <c r="CG20" s="1021">
        <f>(VLOOKUP(YEAR($A20),'NY East Load Projections'!$A$4:$EO$14,((MONTH($A20)-1)*12)+VLOOKUP(CG$4,$DE$6:$DF$17,2)+1))*(VLOOKUP($A20,CURVES!$D$9:$T$261,8))*(INDEX(DailyScalarsTable,CG$5/100,MONTH($A20)))*$E20</f>
        <v>0</v>
      </c>
      <c r="CH20" s="1021">
        <f>(VLOOKUP(YEAR($A20),'NY East Load Projections'!$A$4:$EO$14,((MONTH($A20)-1)*12)+VLOOKUP(CH$4,$DE$6:$DF$17,2)+1))*(VLOOKUP($A20,CURVES!$D$9:$T$261,8))*(INDEX(DailyScalarsTable,CH$5/100,MONTH($A20)))*$E20</f>
        <v>0</v>
      </c>
      <c r="CI20" s="1021">
        <f>(VLOOKUP(YEAR($A20),'NY East Load Projections'!$A$4:$EO$14,((MONTH($A20)-1)*12)+VLOOKUP(CI$4,$DE$6:$DF$17,2)+1))*(VLOOKUP($A20,CURVES!$D$9:$T$261,8))*(INDEX(DailyScalarsTable,CI$5/100,MONTH($A20)))*$E20</f>
        <v>0</v>
      </c>
      <c r="CJ20" s="1021">
        <f>(VLOOKUP(YEAR($A20),'NY East Load Projections'!$A$4:$EO$14,((MONTH($A20)-1)*12)+VLOOKUP(CJ$4,$DE$6:$DF$17,2)+1))*(VLOOKUP($A20,CURVES!$D$9:$T$261,8))*(INDEX(DailyScalarsTable,CJ$5/100,MONTH($A20)))*$E20</f>
        <v>0</v>
      </c>
      <c r="CK20" s="1021">
        <f>(VLOOKUP(YEAR($A20),'NY East Load Projections'!$A$4:$EO$14,((MONTH($A20)-1)*12)+VLOOKUP(CK$4,$DE$6:$DF$17,2)+1))*(VLOOKUP($A20,CURVES!$D$9:$T$261,8))*(INDEX(DailyScalarsTable,CK$5/100,MONTH($A20)))*$E20</f>
        <v>0</v>
      </c>
      <c r="CL20" s="1021">
        <f>(VLOOKUP(YEAR($A20),'NY East Load Projections'!$A$4:$EO$14,((MONTH($A20)-1)*12)+VLOOKUP(CL$4,$DE$6:$DF$17,2)+1))*(VLOOKUP($A20,SatSunCurve,8))*(INDEX(DailyScalarsTable,CL$5/100,MONTH($A20)))*$E20</f>
        <v>0</v>
      </c>
      <c r="CM20" s="1021">
        <f>(VLOOKUP(YEAR($A20),'NY East Load Projections'!$A$4:$EO$14,((MONTH($A20)-1)*12)+VLOOKUP(CM$4,$DE$6:$DF$17,2)+1))*(VLOOKUP($A20,SatSunCurve,8))*(INDEX(DailyScalarsTable,CM$5/100,MONTH($A20)))*$E20</f>
        <v>0</v>
      </c>
      <c r="CN20" s="1021">
        <f>(VLOOKUP(YEAR($A20),'NY East Load Projections'!$A$4:$EO$14,((MONTH($A20)-1)*12)+VLOOKUP(CN$4,$DE$6:$DF$17,2)+1))*(VLOOKUP($A20,SatSunCurve,8))*(INDEX(DailyScalarsTable,CN$5/100,MONTH($A20)))*$E20</f>
        <v>0</v>
      </c>
      <c r="CO20" s="1021">
        <f>(VLOOKUP(YEAR($A20),'NY East Load Projections'!$A$4:$EO$14,((MONTH($A20)-1)*12)+VLOOKUP(CO$4,$DE$6:$DF$17,2)+1))*(VLOOKUP($A20,SatSunCurve,8))*(INDEX(DailyScalarsTable,CO$5/100,MONTH($A20)))*$E20</f>
        <v>0</v>
      </c>
      <c r="CP20" s="1021">
        <f>(VLOOKUP(YEAR($A20),'NY East Load Projections'!$A$4:$EO$14,((MONTH($A20)-1)*12)+VLOOKUP(CP$4,$DE$6:$DF$17,2)+1))*(VLOOKUP($A20,SatSunCurve,8))*(INDEX(DailyScalarsTable,CP$5/100,MONTH($A20)))*$E20</f>
        <v>0</v>
      </c>
      <c r="CQ20" s="1021">
        <f>(VLOOKUP(YEAR($A20),'NY East Load Projections'!$A$4:$EO$14,((MONTH($A20)-1)*12)+VLOOKUP(CQ$4,$DE$6:$DF$17,2)+1))*(VLOOKUP($A20,SatSunCurve,8))*(INDEX(DailyScalarsTable,CQ$5/100,MONTH($A20)))*$E20</f>
        <v>0</v>
      </c>
      <c r="CR20" s="1021">
        <f>(VLOOKUP(YEAR($A20),'NY East Load Projections'!$A$4:$EO$14,((MONTH($A20)-1)*12)+VLOOKUP(CR$4,$DE$6:$DF$17,2)+1))*(VLOOKUP($A20,SatSunCurve,8))*(INDEX(DailyScalarsTable,CR$5/100,MONTH($A20)))*$E20</f>
        <v>0</v>
      </c>
      <c r="CS20" s="1021">
        <f>(VLOOKUP(YEAR($A20),'NY East Load Projections'!$A$4:$EO$14,((MONTH($A20)-1)*12)+VLOOKUP(CS$4,$DE$6:$DF$17,2)+1))*(VLOOKUP($A20,SatSunCurve,8))*(INDEX(DailyScalarsTable,CS$5/100,MONTH($A20)))*$E20</f>
        <v>0</v>
      </c>
      <c r="CT20" s="1021">
        <f>(VLOOKUP(YEAR($A20),'NY East Load Projections'!$A$4:$EO$14,((MONTH($A20)-1)*12)+VLOOKUP(CT$4,$DE$6:$DF$17,2)+1))*(VLOOKUP($A20,SatSunCurve,8))*(INDEX(DailyScalarsTable,CT$5/100,MONTH($A20)))*$E20</f>
        <v>0</v>
      </c>
      <c r="CU20" s="1021">
        <f>(VLOOKUP(YEAR($A20),'NY East Load Projections'!$A$4:$EO$14,((MONTH($A20)-1)*12)+VLOOKUP(CU$4,$DE$6:$DF$17,2)+1))*(VLOOKUP($A20,SatSunCurve,8))*(INDEX(DailyScalarsTable,CU$5/100,MONTH($A20)))*$E20</f>
        <v>0</v>
      </c>
      <c r="CV20" s="1021">
        <f>(VLOOKUP(YEAR($A20),'NY East Load Projections'!$A$4:$EO$14,((MONTH($A20)-1)*12)+VLOOKUP(CV$4,$DE$6:$DF$17,2)+1))*(VLOOKUP($A20,SatSunCurve,8))*(INDEX(DailyScalarsTable,CV$5/100,MONTH($A20)))*$E20</f>
        <v>0</v>
      </c>
      <c r="CW20" s="1021">
        <f>(VLOOKUP(YEAR($A20),'NY East Load Projections'!$A$4:$EO$14,((MONTH($A20)-1)*12)+VLOOKUP(CW$4,$DE$6:$DF$17,2)+1))*(VLOOKUP($A20,SatSunCurve,8))*(INDEX(DailyScalarsTable,CW$5/100,MONTH($A20)))*$E20</f>
        <v>0</v>
      </c>
      <c r="CX20" s="1021">
        <f>(VLOOKUP(YEAR($A20),'NY East Load Projections'!$A$4:$EO$14,((MONTH($A20)-1)*12)+VLOOKUP(CX$4,$DE$6:$DF$17,2)+1))*(VLOOKUP($A20,SatSunCurve,8))*(INDEX(DailyScalarsTable,CX$5/100,MONTH($A20)))*$E20</f>
        <v>0</v>
      </c>
      <c r="CY20" s="1021">
        <f>(VLOOKUP(YEAR($A20),'NY East Load Projections'!$A$4:$EO$14,((MONTH($A20)-1)*12)+VLOOKUP(CY$4,$DE$6:$DF$17,2)+1))*(VLOOKUP($A20,SatSunCurve,8))*(INDEX(DailyScalarsTable,CY$5/100,MONTH($A20)))*$E20</f>
        <v>0</v>
      </c>
      <c r="CZ20" s="1021">
        <f>(VLOOKUP(YEAR($A20),'NY East Load Projections'!$A$4:$EO$14,((MONTH($A20)-1)*12)+VLOOKUP(CZ$4,$DE$6:$DF$17,2)+1))*(VLOOKUP($A20,SatSunCurve,8))*(INDEX(DailyScalarsTable,CZ$5/100,MONTH($A20)))*$E20</f>
        <v>0</v>
      </c>
      <c r="DA20" s="1021">
        <f>(VLOOKUP(YEAR($A20),'NY East Load Projections'!$A$4:$EO$14,((MONTH($A20)-1)*12)+VLOOKUP(DA$4,$DE$6:$DF$17,2)+1))*(VLOOKUP($A20,SatSunCurve,8))*(INDEX(DailyScalarsTable,DA$5/100,MONTH($A20)))*$E20</f>
        <v>0</v>
      </c>
      <c r="DB20" s="1021">
        <f>(VLOOKUP(YEAR($A20),'NY East Load Projections'!$A$4:$EO$14,((MONTH($A20)-1)*12)+VLOOKUP(DB$4,$DE$6:$DF$17,2)+1))*(VLOOKUP($A20,CURVES!$D$9:$T$261,8))*(INDEX(DailyScalarsTable,DB$5/100,MONTH($A20)))*$E20</f>
        <v>0</v>
      </c>
      <c r="DH20" s="1021">
        <f t="shared" si="0"/>
        <v>-1545830.5144459943</v>
      </c>
      <c r="DI20">
        <f ca="1">CALC!J40</f>
        <v>0.86238789707049279</v>
      </c>
      <c r="DJ20" s="1029">
        <f t="shared" ca="1" si="1"/>
        <v>-1333105.526580479</v>
      </c>
    </row>
    <row r="21" spans="1:114" x14ac:dyDescent="0.25">
      <c r="A21" s="244">
        <v>37347</v>
      </c>
      <c r="B21" s="13">
        <v>22</v>
      </c>
      <c r="C21" s="210">
        <v>4</v>
      </c>
      <c r="D21" s="210">
        <v>4</v>
      </c>
      <c r="E21" s="210">
        <v>0</v>
      </c>
      <c r="F21" s="13">
        <v>30</v>
      </c>
      <c r="H21" s="1021">
        <f>(VLOOKUP(YEAR($A21),'NY East Load Projections'!$A$4:$EO$14,((MONTH($A21)-1)*12)+VLOOKUP(H$4,$DE$6:$DF$17,2)+1))*(VLOOKUP($A21,CURVES!$D$9:$K$261,8))*(INDEX(DailyScalarsTable,H$5/100,MONTH($A21)))*$B21</f>
        <v>-31687.997490488309</v>
      </c>
      <c r="I21" s="1021">
        <f>(VLOOKUP(YEAR($A21),'NY East Load Projections'!$A$4:$EO$14,((MONTH($A21)-1)*12)+VLOOKUP(I$4,$DE$6:$DF$17,2)+1))*(VLOOKUP($A21,CURVES!$D$9:$K$261,8))*(INDEX(DailyScalarsTable,I$5/100,MONTH($A21)))*$B21</f>
        <v>-30055.171743284332</v>
      </c>
      <c r="J21" s="1021">
        <f>(VLOOKUP(YEAR($A21),'NY East Load Projections'!$A$4:$EO$14,((MONTH($A21)-1)*12)+VLOOKUP(J$4,$DE$6:$DF$17,2)+1))*(VLOOKUP($A21,CURVES!$D$9:$K$261,8))*(INDEX(DailyScalarsTable,J$5/100,MONTH($A21)))*$B21</f>
        <v>-28846.866189236611</v>
      </c>
      <c r="K21" s="1021">
        <f>(VLOOKUP(YEAR($A21),'NY East Load Projections'!$A$4:$EO$14,((MONTH($A21)-1)*12)+VLOOKUP(K$4,$DE$6:$DF$17,2)+1))*(VLOOKUP($A21,CURVES!$D$9:$K$261,8))*(INDEX(DailyScalarsTable,K$5/100,MONTH($A21)))*$B21</f>
        <v>-28863.905001429917</v>
      </c>
      <c r="L21" s="1021">
        <f>(VLOOKUP(YEAR($A21),'NY East Load Projections'!$A$4:$EO$14,((MONTH($A21)-1)*12)+VLOOKUP(L$4,$DE$6:$DF$17,2)+1))*(VLOOKUP($A21,CURVES!$D$9:$K$261,8))*(INDEX(DailyScalarsTable,L$5/100,MONTH($A21)))*$B21</f>
        <v>-33176.451182071054</v>
      </c>
      <c r="M21" s="1021">
        <f>(VLOOKUP(YEAR($A21),'NY East Load Projections'!$A$4:$EO$14,((MONTH($A21)-1)*12)+VLOOKUP(M$4,$DE$6:$DF$17,2)+1))*(VLOOKUP($A21,CURVES!$D$9:$K$261,8))*(INDEX(DailyScalarsTable,M$5/100,MONTH($A21)))*$B21</f>
        <v>-38216.457710952978</v>
      </c>
      <c r="N21" s="1021">
        <f>(VLOOKUP(YEAR($A21),'NY East Load Projections'!$A$4:$EO$14,((MONTH($A21)-1)*12)+VLOOKUP(N$4,$DE$6:$DF$17,2)+1))*(VLOOKUP($A21,CURVES!$D$9:$K$261,8))*(INDEX(DailyScalarsTable,N$5/100,MONTH($A21)))*$B21</f>
        <v>-54507.771426784304</v>
      </c>
      <c r="O21" s="1021">
        <f>(VLOOKUP(YEAR($A21),'NY East Load Projections'!$A$4:$EO$14,((MONTH($A21)-1)*12)+VLOOKUP(O$4,$DE$6:$DF$17,2)+1))*(VLOOKUP($A21,CURVES!$D$9:$K$261,4))*(INDEX(DailyScalarsTable,O$5/100,MONTH($A21)))*$B21</f>
        <v>-67159.665408919929</v>
      </c>
      <c r="P21" s="1021">
        <f>(VLOOKUP(YEAR($A21),'NY East Load Projections'!$A$4:$EO$14,((MONTH($A21)-1)*12)+VLOOKUP(P$4,$DE$6:$DF$17,2)+1))*(VLOOKUP($A21,CURVES!$D$9:$K$261,4))*(INDEX(DailyScalarsTable,P$5/100,MONTH($A21)))*$B21</f>
        <v>-72134.372121473702</v>
      </c>
      <c r="Q21" s="1021">
        <f>(VLOOKUP(YEAR($A21),'NY East Load Projections'!$A$4:$EO$14,((MONTH($A21)-1)*12)+VLOOKUP(Q$4,$DE$6:$DF$17,2)+1))*(VLOOKUP($A21,CURVES!$D$9:$K$261,4))*(INDEX(DailyScalarsTable,Q$5/100,MONTH($A21)))*$B21</f>
        <v>-69130.383955140147</v>
      </c>
      <c r="R21" s="1021">
        <f>(VLOOKUP(YEAR($A21),'NY East Load Projections'!$A$4:$EO$14,((MONTH($A21)-1)*12)+VLOOKUP(R$4,$DE$6:$DF$17,2)+1))*(VLOOKUP($A21,CURVES!$D$9:$K$261,4))*(INDEX(DailyScalarsTable,R$5/100,MONTH($A21)))*$B21</f>
        <v>-70555.574412652262</v>
      </c>
      <c r="S21" s="1021">
        <f>(VLOOKUP(YEAR($A21),'NY East Load Projections'!$A$4:$EO$14,((MONTH($A21)-1)*12)+VLOOKUP(S$4,$DE$6:$DF$17,2)+1))*(VLOOKUP($A21,CURVES!$D$9:$K$261,4))*(INDEX(DailyScalarsTable,S$5/100,MONTH($A21)))*$B21</f>
        <v>-70693.922665487145</v>
      </c>
      <c r="T21" s="1021">
        <f>(VLOOKUP(YEAR($A21),'NY East Load Projections'!$A$4:$EO$14,((MONTH($A21)-1)*12)+VLOOKUP(T$4,$DE$6:$DF$17,2)+1))*(VLOOKUP($A21,CURVES!$D$9:$K$261,4))*(INDEX(DailyScalarsTable,T$5/100,MONTH($A21)))*$B21</f>
        <v>-65195.069204581516</v>
      </c>
      <c r="U21" s="1021">
        <f>(VLOOKUP(YEAR($A21),'NY East Load Projections'!$A$4:$EO$14,((MONTH($A21)-1)*12)+VLOOKUP(U$4,$DE$6:$DF$17,2)+1))*(VLOOKUP($A21,CURVES!$D$9:$K$261,4))*(INDEX(DailyScalarsTable,U$5/100,MONTH($A21)))*$B21</f>
        <v>-65265.270226036613</v>
      </c>
      <c r="V21" s="1021">
        <f>(VLOOKUP(YEAR($A21),'NY East Load Projections'!$A$4:$EO$14,((MONTH($A21)-1)*12)+VLOOKUP(V$4,$DE$6:$DF$17,2)+1))*(VLOOKUP($A21,CURVES!$D$9:$K$261,4))*(INDEX(DailyScalarsTable,V$5/100,MONTH($A21)))*$B21</f>
        <v>-61214.258340891822</v>
      </c>
      <c r="W21" s="1021">
        <f>(VLOOKUP(YEAR($A21),'NY East Load Projections'!$A$4:$EO$14,((MONTH($A21)-1)*12)+VLOOKUP(W$4,$DE$6:$DF$17,2)+1))*(VLOOKUP($A21,CURVES!$D$9:$K$261,4))*(INDEX(DailyScalarsTable,W$5/100,MONTH($A21)))*$B21</f>
        <v>-57211.767749988088</v>
      </c>
      <c r="X21" s="1021">
        <f>(VLOOKUP(YEAR($A21),'NY East Load Projections'!$A$4:$EO$14,((MONTH($A21)-1)*12)+VLOOKUP(X$4,$DE$6:$DF$17,2)+1))*(VLOOKUP($A21,CURVES!$D$9:$K$261,4))*(INDEX(DailyScalarsTable,X$5/100,MONTH($A21)))*$B21</f>
        <v>-53217.651856988203</v>
      </c>
      <c r="Y21" s="1021">
        <f>(VLOOKUP(YEAR($A21),'NY East Load Projections'!$A$4:$EO$14,((MONTH($A21)-1)*12)+VLOOKUP(Y$4,$DE$6:$DF$17,2)+1))*(VLOOKUP($A21,CURVES!$D$9:$K$261,4))*(INDEX(DailyScalarsTable,Y$5/100,MONTH($A21)))*$B21</f>
        <v>-52525.52899363928</v>
      </c>
      <c r="Z21" s="1021">
        <f>(VLOOKUP(YEAR($A21),'NY East Load Projections'!$A$4:$EO$14,((MONTH($A21)-1)*12)+VLOOKUP(Z$4,$DE$6:$DF$17,2)+1))*(VLOOKUP($A21,CURVES!$D$9:$K$261,4))*(INDEX(DailyScalarsTable,Z$5/100,MONTH($A21)))*$B21</f>
        <v>-52243.954116089088</v>
      </c>
      <c r="AA21" s="1021">
        <f>(VLOOKUP(YEAR($A21),'NY East Load Projections'!$A$4:$EO$14,((MONTH($A21)-1)*12)+VLOOKUP(AA$4,$DE$6:$DF$17,2)+1))*(VLOOKUP($A21,CURVES!$D$9:$K$261,4))*(INDEX(DailyScalarsTable,AA$5/100,MONTH($A21)))*$B21</f>
        <v>-57303.441164097792</v>
      </c>
      <c r="AB21" s="1021">
        <f>(VLOOKUP(YEAR($A21),'NY East Load Projections'!$A$4:$EO$14,((MONTH($A21)-1)*12)+VLOOKUP(AB$4,$DE$6:$DF$17,2)+1))*(VLOOKUP($A21,CURVES!$D$9:$K$261,4))*(INDEX(DailyScalarsTable,AB$5/100,MONTH($A21)))*$B21</f>
        <v>-66422.166079428353</v>
      </c>
      <c r="AC21" s="1021">
        <f>(VLOOKUP(YEAR($A21),'NY East Load Projections'!$A$4:$EO$14,((MONTH($A21)-1)*12)+VLOOKUP(AC$4,$DE$6:$DF$17,2)+1))*(VLOOKUP($A21,CURVES!$D$9:$K$261,4))*(INDEX(DailyScalarsTable,AC$5/100,MONTH($A21)))*$B21</f>
        <v>-56596.697794362233</v>
      </c>
      <c r="AD21" s="1021">
        <f>(VLOOKUP(YEAR($A21),'NY East Load Projections'!$A$4:$EO$14,((MONTH($A21)-1)*12)+VLOOKUP(AD$4,$DE$6:$DF$17,2)+1))*(VLOOKUP($A21,CURVES!$D$9:$K$261,4))*(INDEX(DailyScalarsTable,AD$5/100,MONTH($A21)))*$B21</f>
        <v>-49999.769658390367</v>
      </c>
      <c r="AE21" s="1021">
        <f>(VLOOKUP(YEAR($A21),'NY East Load Projections'!$A$4:$EO$14,((MONTH($A21)-1)*12)+VLOOKUP(AE$4,$DE$6:$DF$17,2)+1))*(VLOOKUP($A21,CURVES!$D$9:$K$261,8))*(INDEX(DailyScalarsTable,AE$5/100,MONTH($A21)))*$B21</f>
        <v>-36930.086515536663</v>
      </c>
      <c r="AF21" s="1021"/>
      <c r="AG21" s="1021">
        <f>(VLOOKUP(YEAR($A21),'NY East Load Projections'!$A$4:$EO$14,((MONTH($A21)-1)*12)+VLOOKUP(AG$4,$DE$6:$DF$17,2)+1))*(VLOOKUP($A21,CURVES!$D$9:$T$261,8))*(INDEX(DailyScalarsTable,AG$5/100,MONTH($A21)))*$C21</f>
        <v>-6286.1413780735757</v>
      </c>
      <c r="AH21" s="1021">
        <f>(VLOOKUP(YEAR($A21),'NY East Load Projections'!$A$4:$EO$14,((MONTH($A21)-1)*12)+VLOOKUP(AH$4,$DE$6:$DF$17,2)+1))*(VLOOKUP($A21,CURVES!$D$9:$T$261,8))*(INDEX(DailyScalarsTable,AH$5/100,MONTH($A21)))*$C21</f>
        <v>-5962.2277733794399</v>
      </c>
      <c r="AI21" s="1021">
        <f>(VLOOKUP(YEAR($A21),'NY East Load Projections'!$A$4:$EO$14,((MONTH($A21)-1)*12)+VLOOKUP(AI$4,$DE$6:$DF$17,2)+1))*(VLOOKUP($A21,CURVES!$D$9:$T$261,8))*(INDEX(DailyScalarsTable,AI$5/100,MONTH($A21)))*$C21</f>
        <v>-5722.5288292307778</v>
      </c>
      <c r="AJ21" s="1021">
        <f>(VLOOKUP(YEAR($A21),'NY East Load Projections'!$A$4:$EO$14,((MONTH($A21)-1)*12)+VLOOKUP(AJ$4,$DE$6:$DF$17,2)+1))*(VLOOKUP($A21,CURVES!$D$9:$T$261,8))*(INDEX(DailyScalarsTable,AJ$5/100,MONTH($A21)))*$C21</f>
        <v>-5725.9089223525889</v>
      </c>
      <c r="AK21" s="1021">
        <f>(VLOOKUP(YEAR($A21),'NY East Load Projections'!$A$4:$EO$14,((MONTH($A21)-1)*12)+VLOOKUP(AK$4,$DE$6:$DF$17,2)+1))*(VLOOKUP($A21,CURVES!$D$9:$T$261,8))*(INDEX(DailyScalarsTable,AK$5/100,MONTH($A21)))*$C21</f>
        <v>-6225.439156453941</v>
      </c>
      <c r="AL21" s="1021">
        <f>(VLOOKUP(YEAR($A21),'NY East Load Projections'!$A$4:$EO$14,((MONTH($A21)-1)*12)+VLOOKUP(AL$4,$DE$6:$DF$17,2)+1))*(VLOOKUP($A21,CURVES!$D$9:$T$261,8))*(INDEX(DailyScalarsTable,AL$5/100,MONTH($A21)))*$C21</f>
        <v>-7171.1778619439701</v>
      </c>
      <c r="AM21" s="1021">
        <f>(VLOOKUP(YEAR($A21),'NY East Load Projections'!$A$4:$EO$14,((MONTH($A21)-1)*12)+VLOOKUP(AM$4,$DE$6:$DF$17,2)+1))*(VLOOKUP($A21,CURVES!$D$9:$T$261,8))*(INDEX(DailyScalarsTable,AM$5/100,MONTH($A21)))*$C21</f>
        <v>-10228.183017800433</v>
      </c>
      <c r="AN21" s="1021">
        <f>(VLOOKUP(YEAR($A21),'NY East Load Projections'!$A$4:$EO$14,((MONTH($A21)-1)*12)+VLOOKUP(AN$4,$DE$6:$DF$17,2)+1))*(VLOOKUP($A21,SatSunCurve,4))*(INDEX(DailyScalarsTable,AN$5/100,MONTH($A21)))*$C21</f>
        <v>-8483.1188327395503</v>
      </c>
      <c r="AO21" s="1021">
        <f>(VLOOKUP(YEAR($A21),'NY East Load Projections'!$A$4:$EO$14,((MONTH($A21)-1)*12)+VLOOKUP(AO$4,$DE$6:$DF$17,2)+1))*(VLOOKUP($A21,SatSunCurve,4))*(INDEX(DailyScalarsTable,AO$5/100,MONTH($A21)))*$C21</f>
        <v>-9224.3363290466496</v>
      </c>
      <c r="AP21" s="1021">
        <f>(VLOOKUP(YEAR($A21),'NY East Load Projections'!$A$4:$EO$14,((MONTH($A21)-1)*12)+VLOOKUP(AP$4,$DE$6:$DF$17,2)+1))*(VLOOKUP($A21,SatSunCurve,4))*(INDEX(DailyScalarsTable,AP$5/100,MONTH($A21)))*$C21</f>
        <v>-8840.1949501201962</v>
      </c>
      <c r="AQ21" s="1021">
        <f>(VLOOKUP(YEAR($A21),'NY East Load Projections'!$A$4:$EO$14,((MONTH($A21)-1)*12)+VLOOKUP(AQ$4,$DE$6:$DF$17,2)+1))*(VLOOKUP($A21,SatSunCurve,4))*(INDEX(DailyScalarsTable,AQ$5/100,MONTH($A21)))*$C21</f>
        <v>-9022.4442125231617</v>
      </c>
      <c r="AR21" s="1021">
        <f>(VLOOKUP(YEAR($A21),'NY East Load Projections'!$A$4:$EO$14,((MONTH($A21)-1)*12)+VLOOKUP(AR$4,$DE$6:$DF$17,2)+1))*(VLOOKUP($A21,SatSunCurve,4))*(INDEX(DailyScalarsTable,AR$5/100,MONTH($A21)))*$C21</f>
        <v>-9040.135789744294</v>
      </c>
      <c r="AS21" s="1021">
        <f>(VLOOKUP(YEAR($A21),'NY East Load Projections'!$A$4:$EO$14,((MONTH($A21)-1)*12)+VLOOKUP(AS$4,$DE$6:$DF$17,2)+1))*(VLOOKUP($A21,SatSunCurve,4))*(INDEX(DailyScalarsTable,AS$5/100,MONTH($A21)))*$C21</f>
        <v>-8048.2518673718823</v>
      </c>
      <c r="AT21" s="1021">
        <f>(VLOOKUP(YEAR($A21),'NY East Load Projections'!$A$4:$EO$14,((MONTH($A21)-1)*12)+VLOOKUP(AT$4,$DE$6:$DF$17,2)+1))*(VLOOKUP($A21,SatSunCurve,4))*(INDEX(DailyScalarsTable,AT$5/100,MONTH($A21)))*$C21</f>
        <v>-8056.9180979459225</v>
      </c>
      <c r="AU21" s="1021">
        <f>(VLOOKUP(YEAR($A21),'NY East Load Projections'!$A$4:$EO$14,((MONTH($A21)-1)*12)+VLOOKUP(AU$4,$DE$6:$DF$17,2)+1))*(VLOOKUP($A21,SatSunCurve,4))*(INDEX(DailyScalarsTable,AU$5/100,MONTH($A21)))*$C21</f>
        <v>-7556.8256159968259</v>
      </c>
      <c r="AV21" s="1021">
        <f>(VLOOKUP(YEAR($A21),'NY East Load Projections'!$A$4:$EO$14,((MONTH($A21)-1)*12)+VLOOKUP(AV$4,$DE$6:$DF$17,2)+1))*(VLOOKUP($A21,SatSunCurve,4))*(INDEX(DailyScalarsTable,AV$5/100,MONTH($A21)))*$C21</f>
        <v>-7062.7230287092034</v>
      </c>
      <c r="AW21" s="1021">
        <f>(VLOOKUP(YEAR($A21),'NY East Load Projections'!$A$4:$EO$14,((MONTH($A21)-1)*12)+VLOOKUP(AW$4,$DE$6:$DF$17,2)+1))*(VLOOKUP($A21,SatSunCurve,4))*(INDEX(DailyScalarsTable,AW$5/100,MONTH($A21)))*$C21</f>
        <v>-6598.4917503697416</v>
      </c>
      <c r="AX21" s="1021">
        <f>(VLOOKUP(YEAR($A21),'NY East Load Projections'!$A$4:$EO$14,((MONTH($A21)-1)*12)+VLOOKUP(AX$4,$DE$6:$DF$17,2)+1))*(VLOOKUP($A21,SatSunCurve,4))*(INDEX(DailyScalarsTable,AX$5/100,MONTH($A21)))*$C21</f>
        <v>-6512.6749800935386</v>
      </c>
      <c r="AY21" s="1021">
        <f>(VLOOKUP(YEAR($A21),'NY East Load Projections'!$A$4:$EO$14,((MONTH($A21)-1)*12)+VLOOKUP(AY$4,$DE$6:$DF$17,2)+1))*(VLOOKUP($A21,SatSunCurve,4))*(INDEX(DailyScalarsTable,AY$5/100,MONTH($A21)))*$C21</f>
        <v>-6477.7623253296779</v>
      </c>
      <c r="AZ21" s="1021">
        <f>(VLOOKUP(YEAR($A21),'NY East Load Projections'!$A$4:$EO$14,((MONTH($A21)-1)*12)+VLOOKUP(AZ$4,$DE$6:$DF$17,2)+1))*(VLOOKUP($A21,SatSunCurve,4))*(INDEX(DailyScalarsTable,AZ$5/100,MONTH($A21)))*$C21</f>
        <v>-7105.0914611040916</v>
      </c>
      <c r="BA21" s="1021">
        <f>(VLOOKUP(YEAR($A21),'NY East Load Projections'!$A$4:$EO$14,((MONTH($A21)-1)*12)+VLOOKUP(BA$4,$DE$6:$DF$17,2)+1))*(VLOOKUP($A21,SatSunCurve,4))*(INDEX(DailyScalarsTable,BA$5/100,MONTH($A21)))*$C21</f>
        <v>-8641.9542822120384</v>
      </c>
      <c r="BB21" s="1021">
        <f>(VLOOKUP(YEAR($A21),'NY East Load Projections'!$A$4:$EO$14,((MONTH($A21)-1)*12)+VLOOKUP(BB$4,$DE$6:$DF$17,2)+1))*(VLOOKUP($A21,SatSunCurve,4))*(INDEX(DailyScalarsTable,BB$5/100,MONTH($A21)))*$C21</f>
        <v>-7363.5971804679011</v>
      </c>
      <c r="BC21" s="1021">
        <f>(VLOOKUP(YEAR($A21),'NY East Load Projections'!$A$4:$EO$14,((MONTH($A21)-1)*12)+VLOOKUP(BC$4,$DE$6:$DF$17,2)+1))*(VLOOKUP($A21,SatSunCurve,4))*(INDEX(DailyScalarsTable,BC$5/100,MONTH($A21)))*$C21</f>
        <v>-6505.2940759600842</v>
      </c>
      <c r="BD21" s="1021">
        <f>(VLOOKUP(YEAR($A21),'NY East Load Projections'!$A$4:$EO$14,((MONTH($A21)-1)*12)+VLOOKUP(BD$4,$DE$6:$DF$17,2)+1))*(VLOOKUP($A21,CURVES!$D$9:$T$261,8))*(INDEX(DailyScalarsTable,BD$5/100,MONTH($A21)))*$C21</f>
        <v>-7137.9301352545635</v>
      </c>
      <c r="BE21" s="1021"/>
      <c r="BF21" s="1021">
        <f>(VLOOKUP(YEAR($A21),'NY East Load Projections'!$A$4:$EO$14,((MONTH($A21)-1)*12)+VLOOKUP(BF$4,$DE$6:$DF$17,2)+1))*(VLOOKUP($A21,CURVES!$D$9:$T$261,8))*(INDEX(DailyScalarsTable,BF$5/100,MONTH($A21)))*$D21</f>
        <v>-6286.1413780735757</v>
      </c>
      <c r="BG21" s="1021">
        <f>(VLOOKUP(YEAR($A21),'NY East Load Projections'!$A$4:$EO$14,((MONTH($A21)-1)*12)+VLOOKUP(BG$4,$DE$6:$DF$17,2)+1))*(VLOOKUP($A21,CURVES!$D$9:$T$261,8))*(INDEX(DailyScalarsTable,BG$5/100,MONTH($A21)))*$D21</f>
        <v>-5962.2277733794399</v>
      </c>
      <c r="BH21" s="1021">
        <f>(VLOOKUP(YEAR($A21),'NY East Load Projections'!$A$4:$EO$14,((MONTH($A21)-1)*12)+VLOOKUP(BH$4,$DE$6:$DF$17,2)+1))*(VLOOKUP($A21,CURVES!$D$9:$T$261,8))*(INDEX(DailyScalarsTable,BH$5/100,MONTH($A21)))*$D21</f>
        <v>-5722.5288292307778</v>
      </c>
      <c r="BI21" s="1021">
        <f>(VLOOKUP(YEAR($A21),'NY East Load Projections'!$A$4:$EO$14,((MONTH($A21)-1)*12)+VLOOKUP(BI$4,$DE$6:$DF$17,2)+1))*(VLOOKUP($A21,CURVES!$D$9:$T$261,8))*(INDEX(DailyScalarsTable,BI$5/100,MONTH($A21)))*$D21</f>
        <v>-5725.9089223525889</v>
      </c>
      <c r="BJ21" s="1021">
        <f>(VLOOKUP(YEAR($A21),'NY East Load Projections'!$A$4:$EO$14,((MONTH($A21)-1)*12)+VLOOKUP(BJ$4,$DE$6:$DF$17,2)+1))*(VLOOKUP($A21,CURVES!$D$9:$T$261,8))*(INDEX(DailyScalarsTable,BJ$5/100,MONTH($A21)))*$D21</f>
        <v>-6225.439156453941</v>
      </c>
      <c r="BK21" s="1021">
        <f>(VLOOKUP(YEAR($A21),'NY East Load Projections'!$A$4:$EO$14,((MONTH($A21)-1)*12)+VLOOKUP(BK$4,$DE$6:$DF$17,2)+1))*(VLOOKUP($A21,CURVES!$D$9:$T$261,8))*(INDEX(DailyScalarsTable,BK$5/100,MONTH($A21)))*$D21</f>
        <v>-7171.1778619439701</v>
      </c>
      <c r="BL21" s="1021">
        <f>(VLOOKUP(YEAR($A21),'NY East Load Projections'!$A$4:$EO$14,((MONTH($A21)-1)*12)+VLOOKUP(BL$4,$DE$6:$DF$17,2)+1))*(VLOOKUP($A21,CURVES!$D$9:$T$261,8))*(INDEX(DailyScalarsTable,BL$5/100,MONTH($A21)))*$D21</f>
        <v>-10228.183017800433</v>
      </c>
      <c r="BM21" s="1021">
        <f>(VLOOKUP(YEAR($A21),'NY East Load Projections'!$A$4:$EO$14,((MONTH($A21)-1)*12)+VLOOKUP(BM$4,$DE$6:$DF$17,2)+1))*(VLOOKUP($A21,SatSunCurve,8))*(INDEX(DailyScalarsTable,BM$5/100,MONTH($A21)))*$D21</f>
        <v>-9065.4366124238004</v>
      </c>
      <c r="BN21" s="1021">
        <f>(VLOOKUP(YEAR($A21),'NY East Load Projections'!$A$4:$EO$14,((MONTH($A21)-1)*12)+VLOOKUP(BN$4,$DE$6:$DF$17,2)+1))*(VLOOKUP($A21,SatSunCurve,8))*(INDEX(DailyScalarsTable,BN$5/100,MONTH($A21)))*$D21</f>
        <v>-9857.5344671489456</v>
      </c>
      <c r="BO21" s="1021">
        <f>(VLOOKUP(YEAR($A21),'NY East Load Projections'!$A$4:$EO$14,((MONTH($A21)-1)*12)+VLOOKUP(BO$4,$DE$6:$DF$17,2)+1))*(VLOOKUP($A21,SatSunCurve,8))*(INDEX(DailyScalarsTable,BO$5/100,MONTH($A21)))*$D21</f>
        <v>-9447.0239710060778</v>
      </c>
      <c r="BP21" s="1021">
        <f>(VLOOKUP(YEAR($A21),'NY East Load Projections'!$A$4:$EO$14,((MONTH($A21)-1)*12)+VLOOKUP(BP$4,$DE$6:$DF$17,2)+1))*(VLOOKUP($A21,SatSunCurve,8))*(INDEX(DailyScalarsTable,BP$5/100,MONTH($A21)))*$D21</f>
        <v>-9641.7836070020658</v>
      </c>
      <c r="BQ21" s="1021">
        <f>(VLOOKUP(YEAR($A21),'NY East Load Projections'!$A$4:$EO$14,((MONTH($A21)-1)*12)+VLOOKUP(BQ$4,$DE$6:$DF$17,2)+1))*(VLOOKUP($A21,SatSunCurve,8))*(INDEX(DailyScalarsTable,BQ$5/100,MONTH($A21)))*$D21</f>
        <v>-9660.6896102108167</v>
      </c>
      <c r="BR21" s="1021">
        <f>(VLOOKUP(YEAR($A21),'NY East Load Projections'!$A$4:$EO$14,((MONTH($A21)-1)*12)+VLOOKUP(BR$4,$DE$6:$DF$17,2)+1))*(VLOOKUP($A21,SatSunCurve,8))*(INDEX(DailyScalarsTable,BR$5/100,MONTH($A21)))*$D21</f>
        <v>-8600.7185073133278</v>
      </c>
      <c r="BS21" s="1021">
        <f>(VLOOKUP(YEAR($A21),'NY East Load Projections'!$A$4:$EO$14,((MONTH($A21)-1)*12)+VLOOKUP(BS$4,$DE$6:$DF$17,2)+1))*(VLOOKUP($A21,SatSunCurve,8))*(INDEX(DailyScalarsTable,BS$5/100,MONTH($A21)))*$D21</f>
        <v>-8609.9796252449087</v>
      </c>
      <c r="BT21" s="1021">
        <f>(VLOOKUP(YEAR($A21),'NY East Load Projections'!$A$4:$EO$14,((MONTH($A21)-1)*12)+VLOOKUP(BT$4,$DE$6:$DF$17,2)+1))*(VLOOKUP($A21,SatSunCurve,8))*(INDEX(DailyScalarsTable,BT$5/100,MONTH($A21)))*$D21</f>
        <v>-8075.5586434283478</v>
      </c>
      <c r="BU21" s="1021">
        <f>(VLOOKUP(YEAR($A21),'NY East Load Projections'!$A$4:$EO$14,((MONTH($A21)-1)*12)+VLOOKUP(BU$4,$DE$6:$DF$17,2)+1))*(VLOOKUP($A21,SatSunCurve,8))*(INDEX(DailyScalarsTable,BU$5/100,MONTH($A21)))*$D21</f>
        <v>-7547.5387284174431</v>
      </c>
      <c r="BV21" s="1021">
        <f>(VLOOKUP(YEAR($A21),'NY East Load Projections'!$A$4:$EO$14,((MONTH($A21)-1)*12)+VLOOKUP(BV$4,$DE$6:$DF$17,2)+1))*(VLOOKUP($A21,SatSunCurve,8))*(INDEX(DailyScalarsTable,BV$5/100,MONTH($A21)))*$D21</f>
        <v>-7051.4406175376535</v>
      </c>
      <c r="BW21" s="1021">
        <f>(VLOOKUP(YEAR($A21),'NY East Load Projections'!$A$4:$EO$14,((MONTH($A21)-1)*12)+VLOOKUP(BW$4,$DE$6:$DF$17,2)+1))*(VLOOKUP($A21,SatSunCurve,8))*(INDEX(DailyScalarsTable,BW$5/100,MONTH($A21)))*$D21</f>
        <v>-6959.733014878665</v>
      </c>
      <c r="BX21" s="1021">
        <f>(VLOOKUP(YEAR($A21),'NY East Load Projections'!$A$4:$EO$14,((MONTH($A21)-1)*12)+VLOOKUP(BX$4,$DE$6:$DF$17,2)+1))*(VLOOKUP($A21,SatSunCurve,8))*(INDEX(DailyScalarsTable,BX$5/100,MONTH($A21)))*$D21</f>
        <v>-6922.4238052620649</v>
      </c>
      <c r="BY21" s="1021">
        <f>(VLOOKUP(YEAR($A21),'NY East Load Projections'!$A$4:$EO$14,((MONTH($A21)-1)*12)+VLOOKUP(BY$4,$DE$6:$DF$17,2)+1))*(VLOOKUP($A21,SatSunCurve,8))*(INDEX(DailyScalarsTable,BY$5/100,MONTH($A21)))*$D21</f>
        <v>-7592.8155123240031</v>
      </c>
      <c r="BZ21" s="1021">
        <f>(VLOOKUP(YEAR($A21),'NY East Load Projections'!$A$4:$EO$14,((MONTH($A21)-1)*12)+VLOOKUP(BZ$4,$DE$6:$DF$17,2)+1))*(VLOOKUP($A21,SatSunCurve,8))*(INDEX(DailyScalarsTable,BZ$5/100,MONTH($A21)))*$D21</f>
        <v>-9235.1752106197273</v>
      </c>
      <c r="CA21" s="1021">
        <f>(VLOOKUP(YEAR($A21),'NY East Load Projections'!$A$4:$EO$14,((MONTH($A21)-1)*12)+VLOOKUP(CA$4,$DE$6:$DF$17,2)+1))*(VLOOKUP($A21,SatSunCurve,8))*(INDEX(DailyScalarsTable,CA$5/100,MONTH($A21)))*$D21</f>
        <v>-7869.0661766194635</v>
      </c>
      <c r="CB21" s="1021">
        <f>(VLOOKUP(YEAR($A21),'NY East Load Projections'!$A$4:$EO$14,((MONTH($A21)-1)*12)+VLOOKUP(CB$4,$DE$6:$DF$17,2)+1))*(VLOOKUP($A21,SatSunCurve,8))*(INDEX(DailyScalarsTable,CB$5/100,MONTH($A21)))*$D21</f>
        <v>-6951.8454537253338</v>
      </c>
      <c r="CC21" s="1021">
        <f>(VLOOKUP(YEAR($A21),'NY East Load Projections'!$A$4:$EO$14,((MONTH($A21)-1)*12)+VLOOKUP(CC$4,$DE$6:$DF$17,2)+1))*(VLOOKUP($A21,CURVES!$D$9:$T$261,8))*(INDEX(DailyScalarsTable,CC$5/100,MONTH($A21)))*$D21</f>
        <v>-7137.9301352545635</v>
      </c>
      <c r="CE21" s="1021">
        <f>(VLOOKUP(YEAR($A21),'NY East Load Projections'!$A$4:$EO$14,((MONTH($A21)-1)*12)+VLOOKUP(CE$4,$DE$6:$DF$17,2)+1))*(VLOOKUP($A21,CURVES!$D$9:$T$261,8))*(INDEX(DailyScalarsTable,CE$5/100,MONTH($A21)))*$E21</f>
        <v>0</v>
      </c>
      <c r="CF21" s="1021">
        <f>(VLOOKUP(YEAR($A21),'NY East Load Projections'!$A$4:$EO$14,((MONTH($A21)-1)*12)+VLOOKUP(CF$4,$DE$6:$DF$17,2)+1))*(VLOOKUP($A21,CURVES!$D$9:$T$261,8))*(INDEX(DailyScalarsTable,CF$5/100,MONTH($A21)))*$E21</f>
        <v>0</v>
      </c>
      <c r="CG21" s="1021">
        <f>(VLOOKUP(YEAR($A21),'NY East Load Projections'!$A$4:$EO$14,((MONTH($A21)-1)*12)+VLOOKUP(CG$4,$DE$6:$DF$17,2)+1))*(VLOOKUP($A21,CURVES!$D$9:$T$261,8))*(INDEX(DailyScalarsTable,CG$5/100,MONTH($A21)))*$E21</f>
        <v>0</v>
      </c>
      <c r="CH21" s="1021">
        <f>(VLOOKUP(YEAR($A21),'NY East Load Projections'!$A$4:$EO$14,((MONTH($A21)-1)*12)+VLOOKUP(CH$4,$DE$6:$DF$17,2)+1))*(VLOOKUP($A21,CURVES!$D$9:$T$261,8))*(INDEX(DailyScalarsTable,CH$5/100,MONTH($A21)))*$E21</f>
        <v>0</v>
      </c>
      <c r="CI21" s="1021">
        <f>(VLOOKUP(YEAR($A21),'NY East Load Projections'!$A$4:$EO$14,((MONTH($A21)-1)*12)+VLOOKUP(CI$4,$DE$6:$DF$17,2)+1))*(VLOOKUP($A21,CURVES!$D$9:$T$261,8))*(INDEX(DailyScalarsTable,CI$5/100,MONTH($A21)))*$E21</f>
        <v>0</v>
      </c>
      <c r="CJ21" s="1021">
        <f>(VLOOKUP(YEAR($A21),'NY East Load Projections'!$A$4:$EO$14,((MONTH($A21)-1)*12)+VLOOKUP(CJ$4,$DE$6:$DF$17,2)+1))*(VLOOKUP($A21,CURVES!$D$9:$T$261,8))*(INDEX(DailyScalarsTable,CJ$5/100,MONTH($A21)))*$E21</f>
        <v>0</v>
      </c>
      <c r="CK21" s="1021">
        <f>(VLOOKUP(YEAR($A21),'NY East Load Projections'!$A$4:$EO$14,((MONTH($A21)-1)*12)+VLOOKUP(CK$4,$DE$6:$DF$17,2)+1))*(VLOOKUP($A21,CURVES!$D$9:$T$261,8))*(INDEX(DailyScalarsTable,CK$5/100,MONTH($A21)))*$E21</f>
        <v>0</v>
      </c>
      <c r="CL21" s="1021">
        <f>(VLOOKUP(YEAR($A21),'NY East Load Projections'!$A$4:$EO$14,((MONTH($A21)-1)*12)+VLOOKUP(CL$4,$DE$6:$DF$17,2)+1))*(VLOOKUP($A21,SatSunCurve,8))*(INDEX(DailyScalarsTable,CL$5/100,MONTH($A21)))*$E21</f>
        <v>0</v>
      </c>
      <c r="CM21" s="1021">
        <f>(VLOOKUP(YEAR($A21),'NY East Load Projections'!$A$4:$EO$14,((MONTH($A21)-1)*12)+VLOOKUP(CM$4,$DE$6:$DF$17,2)+1))*(VLOOKUP($A21,SatSunCurve,8))*(INDEX(DailyScalarsTable,CM$5/100,MONTH($A21)))*$E21</f>
        <v>0</v>
      </c>
      <c r="CN21" s="1021">
        <f>(VLOOKUP(YEAR($A21),'NY East Load Projections'!$A$4:$EO$14,((MONTH($A21)-1)*12)+VLOOKUP(CN$4,$DE$6:$DF$17,2)+1))*(VLOOKUP($A21,SatSunCurve,8))*(INDEX(DailyScalarsTable,CN$5/100,MONTH($A21)))*$E21</f>
        <v>0</v>
      </c>
      <c r="CO21" s="1021">
        <f>(VLOOKUP(YEAR($A21),'NY East Load Projections'!$A$4:$EO$14,((MONTH($A21)-1)*12)+VLOOKUP(CO$4,$DE$6:$DF$17,2)+1))*(VLOOKUP($A21,SatSunCurve,8))*(INDEX(DailyScalarsTable,CO$5/100,MONTH($A21)))*$E21</f>
        <v>0</v>
      </c>
      <c r="CP21" s="1021">
        <f>(VLOOKUP(YEAR($A21),'NY East Load Projections'!$A$4:$EO$14,((MONTH($A21)-1)*12)+VLOOKUP(CP$4,$DE$6:$DF$17,2)+1))*(VLOOKUP($A21,SatSunCurve,8))*(INDEX(DailyScalarsTable,CP$5/100,MONTH($A21)))*$E21</f>
        <v>0</v>
      </c>
      <c r="CQ21" s="1021">
        <f>(VLOOKUP(YEAR($A21),'NY East Load Projections'!$A$4:$EO$14,((MONTH($A21)-1)*12)+VLOOKUP(CQ$4,$DE$6:$DF$17,2)+1))*(VLOOKUP($A21,SatSunCurve,8))*(INDEX(DailyScalarsTable,CQ$5/100,MONTH($A21)))*$E21</f>
        <v>0</v>
      </c>
      <c r="CR21" s="1021">
        <f>(VLOOKUP(YEAR($A21),'NY East Load Projections'!$A$4:$EO$14,((MONTH($A21)-1)*12)+VLOOKUP(CR$4,$DE$6:$DF$17,2)+1))*(VLOOKUP($A21,SatSunCurve,8))*(INDEX(DailyScalarsTable,CR$5/100,MONTH($A21)))*$E21</f>
        <v>0</v>
      </c>
      <c r="CS21" s="1021">
        <f>(VLOOKUP(YEAR($A21),'NY East Load Projections'!$A$4:$EO$14,((MONTH($A21)-1)*12)+VLOOKUP(CS$4,$DE$6:$DF$17,2)+1))*(VLOOKUP($A21,SatSunCurve,8))*(INDEX(DailyScalarsTable,CS$5/100,MONTH($A21)))*$E21</f>
        <v>0</v>
      </c>
      <c r="CT21" s="1021">
        <f>(VLOOKUP(YEAR($A21),'NY East Load Projections'!$A$4:$EO$14,((MONTH($A21)-1)*12)+VLOOKUP(CT$4,$DE$6:$DF$17,2)+1))*(VLOOKUP($A21,SatSunCurve,8))*(INDEX(DailyScalarsTable,CT$5/100,MONTH($A21)))*$E21</f>
        <v>0</v>
      </c>
      <c r="CU21" s="1021">
        <f>(VLOOKUP(YEAR($A21),'NY East Load Projections'!$A$4:$EO$14,((MONTH($A21)-1)*12)+VLOOKUP(CU$4,$DE$6:$DF$17,2)+1))*(VLOOKUP($A21,SatSunCurve,8))*(INDEX(DailyScalarsTable,CU$5/100,MONTH($A21)))*$E21</f>
        <v>0</v>
      </c>
      <c r="CV21" s="1021">
        <f>(VLOOKUP(YEAR($A21),'NY East Load Projections'!$A$4:$EO$14,((MONTH($A21)-1)*12)+VLOOKUP(CV$4,$DE$6:$DF$17,2)+1))*(VLOOKUP($A21,SatSunCurve,8))*(INDEX(DailyScalarsTable,CV$5/100,MONTH($A21)))*$E21</f>
        <v>0</v>
      </c>
      <c r="CW21" s="1021">
        <f>(VLOOKUP(YEAR($A21),'NY East Load Projections'!$A$4:$EO$14,((MONTH($A21)-1)*12)+VLOOKUP(CW$4,$DE$6:$DF$17,2)+1))*(VLOOKUP($A21,SatSunCurve,8))*(INDEX(DailyScalarsTable,CW$5/100,MONTH($A21)))*$E21</f>
        <v>0</v>
      </c>
      <c r="CX21" s="1021">
        <f>(VLOOKUP(YEAR($A21),'NY East Load Projections'!$A$4:$EO$14,((MONTH($A21)-1)*12)+VLOOKUP(CX$4,$DE$6:$DF$17,2)+1))*(VLOOKUP($A21,SatSunCurve,8))*(INDEX(DailyScalarsTable,CX$5/100,MONTH($A21)))*$E21</f>
        <v>0</v>
      </c>
      <c r="CY21" s="1021">
        <f>(VLOOKUP(YEAR($A21),'NY East Load Projections'!$A$4:$EO$14,((MONTH($A21)-1)*12)+VLOOKUP(CY$4,$DE$6:$DF$17,2)+1))*(VLOOKUP($A21,SatSunCurve,8))*(INDEX(DailyScalarsTable,CY$5/100,MONTH($A21)))*$E21</f>
        <v>0</v>
      </c>
      <c r="CZ21" s="1021">
        <f>(VLOOKUP(YEAR($A21),'NY East Load Projections'!$A$4:$EO$14,((MONTH($A21)-1)*12)+VLOOKUP(CZ$4,$DE$6:$DF$17,2)+1))*(VLOOKUP($A21,SatSunCurve,8))*(INDEX(DailyScalarsTable,CZ$5/100,MONTH($A21)))*$E21</f>
        <v>0</v>
      </c>
      <c r="DA21" s="1021">
        <f>(VLOOKUP(YEAR($A21),'NY East Load Projections'!$A$4:$EO$14,((MONTH($A21)-1)*12)+VLOOKUP(DA$4,$DE$6:$DF$17,2)+1))*(VLOOKUP($A21,SatSunCurve,8))*(INDEX(DailyScalarsTable,DA$5/100,MONTH($A21)))*$E21</f>
        <v>0</v>
      </c>
      <c r="DB21" s="1021">
        <f>(VLOOKUP(YEAR($A21),'NY East Load Projections'!$A$4:$EO$14,((MONTH($A21)-1)*12)+VLOOKUP(DB$4,$DE$6:$DF$17,2)+1))*(VLOOKUP($A21,CURVES!$D$9:$T$261,8))*(INDEX(DailyScalarsTable,DB$5/100,MONTH($A21)))*$E21</f>
        <v>0</v>
      </c>
      <c r="DH21" s="1021">
        <f t="shared" si="0"/>
        <v>-1635701.8534998263</v>
      </c>
      <c r="DI21">
        <f ca="1">CALC!J41</f>
        <v>0.85715940312422123</v>
      </c>
      <c r="DJ21" s="1029">
        <f t="shared" ca="1" si="1"/>
        <v>-1402057.2244350933</v>
      </c>
    </row>
    <row r="22" spans="1:114" x14ac:dyDescent="0.25">
      <c r="A22" s="244">
        <v>37377</v>
      </c>
      <c r="B22" s="13">
        <v>22</v>
      </c>
      <c r="C22" s="210">
        <v>4</v>
      </c>
      <c r="D22" s="210">
        <v>4</v>
      </c>
      <c r="E22" s="210">
        <v>1</v>
      </c>
      <c r="F22" s="13">
        <v>31</v>
      </c>
      <c r="H22" s="1021">
        <f>(VLOOKUP(YEAR($A22),'NY East Load Projections'!$A$4:$EO$14,((MONTH($A22)-1)*12)+VLOOKUP(H$4,$DE$6:$DF$17,2)+1))*(VLOOKUP($A22,CURVES!$D$9:$K$261,8))*(INDEX(DailyScalarsTable,H$5/100,MONTH($A22)))*$B22</f>
        <v>-36977.049278150647</v>
      </c>
      <c r="I22" s="1021">
        <f>(VLOOKUP(YEAR($A22),'NY East Load Projections'!$A$4:$EO$14,((MONTH($A22)-1)*12)+VLOOKUP(I$4,$DE$6:$DF$17,2)+1))*(VLOOKUP($A22,CURVES!$D$9:$K$261,8))*(INDEX(DailyScalarsTable,I$5/100,MONTH($A22)))*$B22</f>
        <v>-33307.497000087918</v>
      </c>
      <c r="J22" s="1021">
        <f>(VLOOKUP(YEAR($A22),'NY East Load Projections'!$A$4:$EO$14,((MONTH($A22)-1)*12)+VLOOKUP(J$4,$DE$6:$DF$17,2)+1))*(VLOOKUP($A22,CURVES!$D$9:$K$261,8))*(INDEX(DailyScalarsTable,J$5/100,MONTH($A22)))*$B22</f>
        <v>-31521.259912353682</v>
      </c>
      <c r="K22" s="1021">
        <f>(VLOOKUP(YEAR($A22),'NY East Load Projections'!$A$4:$EO$14,((MONTH($A22)-1)*12)+VLOOKUP(K$4,$DE$6:$DF$17,2)+1))*(VLOOKUP($A22,CURVES!$D$9:$K$261,8))*(INDEX(DailyScalarsTable,K$5/100,MONTH($A22)))*$B22</f>
        <v>-30560.186696670575</v>
      </c>
      <c r="L22" s="1021">
        <f>(VLOOKUP(YEAR($A22),'NY East Load Projections'!$A$4:$EO$14,((MONTH($A22)-1)*12)+VLOOKUP(L$4,$DE$6:$DF$17,2)+1))*(VLOOKUP($A22,CURVES!$D$9:$K$261,8))*(INDEX(DailyScalarsTable,L$5/100,MONTH($A22)))*$B22</f>
        <v>-35611.857210467424</v>
      </c>
      <c r="M22" s="1021">
        <f>(VLOOKUP(YEAR($A22),'NY East Load Projections'!$A$4:$EO$14,((MONTH($A22)-1)*12)+VLOOKUP(M$4,$DE$6:$DF$17,2)+1))*(VLOOKUP($A22,CURVES!$D$9:$K$261,8))*(INDEX(DailyScalarsTable,M$5/100,MONTH($A22)))*$B22</f>
        <v>-43177.286969968125</v>
      </c>
      <c r="N22" s="1021">
        <f>(VLOOKUP(YEAR($A22),'NY East Load Projections'!$A$4:$EO$14,((MONTH($A22)-1)*12)+VLOOKUP(N$4,$DE$6:$DF$17,2)+1))*(VLOOKUP($A22,CURVES!$D$9:$K$261,8))*(INDEX(DailyScalarsTable,N$5/100,MONTH($A22)))*$B22</f>
        <v>-51662.271727861204</v>
      </c>
      <c r="O22" s="1021">
        <f>(VLOOKUP(YEAR($A22),'NY East Load Projections'!$A$4:$EO$14,((MONTH($A22)-1)*12)+VLOOKUP(O$4,$DE$6:$DF$17,2)+1))*(VLOOKUP($A22,CURVES!$D$9:$K$261,4))*(INDEX(DailyScalarsTable,O$5/100,MONTH($A22)))*$B22</f>
        <v>-66380.415910954718</v>
      </c>
      <c r="P22" s="1021">
        <f>(VLOOKUP(YEAR($A22),'NY East Load Projections'!$A$4:$EO$14,((MONTH($A22)-1)*12)+VLOOKUP(P$4,$DE$6:$DF$17,2)+1))*(VLOOKUP($A22,CURVES!$D$9:$K$261,4))*(INDEX(DailyScalarsTable,P$5/100,MONTH($A22)))*$B22</f>
        <v>-77717.781233245449</v>
      </c>
      <c r="Q22" s="1021">
        <f>(VLOOKUP(YEAR($A22),'NY East Load Projections'!$A$4:$EO$14,((MONTH($A22)-1)*12)+VLOOKUP(Q$4,$DE$6:$DF$17,2)+1))*(VLOOKUP($A22,CURVES!$D$9:$K$261,4))*(INDEX(DailyScalarsTable,Q$5/100,MONTH($A22)))*$B22</f>
        <v>-79096.231912786621</v>
      </c>
      <c r="R22" s="1021">
        <f>(VLOOKUP(YEAR($A22),'NY East Load Projections'!$A$4:$EO$14,((MONTH($A22)-1)*12)+VLOOKUP(R$4,$DE$6:$DF$17,2)+1))*(VLOOKUP($A22,CURVES!$D$9:$K$261,4))*(INDEX(DailyScalarsTable,R$5/100,MONTH($A22)))*$B22</f>
        <v>-83902.51127331068</v>
      </c>
      <c r="S22" s="1021">
        <f>(VLOOKUP(YEAR($A22),'NY East Load Projections'!$A$4:$EO$14,((MONTH($A22)-1)*12)+VLOOKUP(S$4,$DE$6:$DF$17,2)+1))*(VLOOKUP($A22,CURVES!$D$9:$K$261,4))*(INDEX(DailyScalarsTable,S$5/100,MONTH($A22)))*$B22</f>
        <v>-83268.179987150128</v>
      </c>
      <c r="T22" s="1021">
        <f>(VLOOKUP(YEAR($A22),'NY East Load Projections'!$A$4:$EO$14,((MONTH($A22)-1)*12)+VLOOKUP(T$4,$DE$6:$DF$17,2)+1))*(VLOOKUP($A22,CURVES!$D$9:$K$261,4))*(INDEX(DailyScalarsTable,T$5/100,MONTH($A22)))*$B22</f>
        <v>-79445.229990371314</v>
      </c>
      <c r="U22" s="1021">
        <f>(VLOOKUP(YEAR($A22),'NY East Load Projections'!$A$4:$EO$14,((MONTH($A22)-1)*12)+VLOOKUP(U$4,$DE$6:$DF$17,2)+1))*(VLOOKUP($A22,CURVES!$D$9:$K$261,4))*(INDEX(DailyScalarsTable,U$5/100,MONTH($A22)))*$B22</f>
        <v>-79828.128331431886</v>
      </c>
      <c r="V22" s="1021">
        <f>(VLOOKUP(YEAR($A22),'NY East Load Projections'!$A$4:$EO$14,((MONTH($A22)-1)*12)+VLOOKUP(V$4,$DE$6:$DF$17,2)+1))*(VLOOKUP($A22,CURVES!$D$9:$K$261,4))*(INDEX(DailyScalarsTable,V$5/100,MONTH($A22)))*$B22</f>
        <v>-77431.925809956127</v>
      </c>
      <c r="W22" s="1021">
        <f>(VLOOKUP(YEAR($A22),'NY East Load Projections'!$A$4:$EO$14,((MONTH($A22)-1)*12)+VLOOKUP(W$4,$DE$6:$DF$17,2)+1))*(VLOOKUP($A22,CURVES!$D$9:$K$261,4))*(INDEX(DailyScalarsTable,W$5/100,MONTH($A22)))*$B22</f>
        <v>-74418.145319027855</v>
      </c>
      <c r="X22" s="1021">
        <f>(VLOOKUP(YEAR($A22),'NY East Load Projections'!$A$4:$EO$14,((MONTH($A22)-1)*12)+VLOOKUP(X$4,$DE$6:$DF$17,2)+1))*(VLOOKUP($A22,CURVES!$D$9:$K$261,4))*(INDEX(DailyScalarsTable,X$5/100,MONTH($A22)))*$B22</f>
        <v>-72116.537196055579</v>
      </c>
      <c r="Y22" s="1021">
        <f>(VLOOKUP(YEAR($A22),'NY East Load Projections'!$A$4:$EO$14,((MONTH($A22)-1)*12)+VLOOKUP(Y$4,$DE$6:$DF$17,2)+1))*(VLOOKUP($A22,CURVES!$D$9:$K$261,4))*(INDEX(DailyScalarsTable,Y$5/100,MONTH($A22)))*$B22</f>
        <v>-69306.035173350276</v>
      </c>
      <c r="Z22" s="1021">
        <f>(VLOOKUP(YEAR($A22),'NY East Load Projections'!$A$4:$EO$14,((MONTH($A22)-1)*12)+VLOOKUP(Z$4,$DE$6:$DF$17,2)+1))*(VLOOKUP($A22,CURVES!$D$9:$K$261,4))*(INDEX(DailyScalarsTable,Z$5/100,MONTH($A22)))*$B22</f>
        <v>-60047.910863262252</v>
      </c>
      <c r="AA22" s="1021">
        <f>(VLOOKUP(YEAR($A22),'NY East Load Projections'!$A$4:$EO$14,((MONTH($A22)-1)*12)+VLOOKUP(AA$4,$DE$6:$DF$17,2)+1))*(VLOOKUP($A22,CURVES!$D$9:$K$261,4))*(INDEX(DailyScalarsTable,AA$5/100,MONTH($A22)))*$B22</f>
        <v>-59894.396046896014</v>
      </c>
      <c r="AB22" s="1021">
        <f>(VLOOKUP(YEAR($A22),'NY East Load Projections'!$A$4:$EO$14,((MONTH($A22)-1)*12)+VLOOKUP(AB$4,$DE$6:$DF$17,2)+1))*(VLOOKUP($A22,CURVES!$D$9:$K$261,4))*(INDEX(DailyScalarsTable,AB$5/100,MONTH($A22)))*$B22</f>
        <v>-73025.865544207467</v>
      </c>
      <c r="AC22" s="1021">
        <f>(VLOOKUP(YEAR($A22),'NY East Load Projections'!$A$4:$EO$14,((MONTH($A22)-1)*12)+VLOOKUP(AC$4,$DE$6:$DF$17,2)+1))*(VLOOKUP($A22,CURVES!$D$9:$K$261,4))*(INDEX(DailyScalarsTable,AC$5/100,MONTH($A22)))*$B22</f>
        <v>-69653.074702914892</v>
      </c>
      <c r="AD22" s="1021">
        <f>(VLOOKUP(YEAR($A22),'NY East Load Projections'!$A$4:$EO$14,((MONTH($A22)-1)*12)+VLOOKUP(AD$4,$DE$6:$DF$17,2)+1))*(VLOOKUP($A22,CURVES!$D$9:$K$261,4))*(INDEX(DailyScalarsTable,AD$5/100,MONTH($A22)))*$B22</f>
        <v>-55876.267813726357</v>
      </c>
      <c r="AE22" s="1021">
        <f>(VLOOKUP(YEAR($A22),'NY East Load Projections'!$A$4:$EO$14,((MONTH($A22)-1)*12)+VLOOKUP(AE$4,$DE$6:$DF$17,2)+1))*(VLOOKUP($A22,CURVES!$D$9:$K$261,8))*(INDEX(DailyScalarsTable,AE$5/100,MONTH($A22)))*$B22</f>
        <v>-45418.149391372091</v>
      </c>
      <c r="AF22" s="1021"/>
      <c r="AG22" s="1021">
        <f>(VLOOKUP(YEAR($A22),'NY East Load Projections'!$A$4:$EO$14,((MONTH($A22)-1)*12)+VLOOKUP(AG$4,$DE$6:$DF$17,2)+1))*(VLOOKUP($A22,CURVES!$D$9:$T$261,8))*(INDEX(DailyScalarsTable,AG$5/100,MONTH($A22)))*$C22</f>
        <v>-7366.1871227123838</v>
      </c>
      <c r="AH22" s="1021">
        <f>(VLOOKUP(YEAR($A22),'NY East Load Projections'!$A$4:$EO$14,((MONTH($A22)-1)*12)+VLOOKUP(AH$4,$DE$6:$DF$17,2)+1))*(VLOOKUP($A22,CURVES!$D$9:$T$261,8))*(INDEX(DailyScalarsTable,AH$5/100,MONTH($A22)))*$C22</f>
        <v>-6635.1766915269591</v>
      </c>
      <c r="AI22" s="1021">
        <f>(VLOOKUP(YEAR($A22),'NY East Load Projections'!$A$4:$EO$14,((MONTH($A22)-1)*12)+VLOOKUP(AI$4,$DE$6:$DF$17,2)+1))*(VLOOKUP($A22,CURVES!$D$9:$T$261,8))*(INDEX(DailyScalarsTable,AI$5/100,MONTH($A22)))*$C22</f>
        <v>-6279.3409260822036</v>
      </c>
      <c r="AJ22" s="1021">
        <f>(VLOOKUP(YEAR($A22),'NY East Load Projections'!$A$4:$EO$14,((MONTH($A22)-1)*12)+VLOOKUP(AJ$4,$DE$6:$DF$17,2)+1))*(VLOOKUP($A22,CURVES!$D$9:$T$261,8))*(INDEX(DailyScalarsTable,AJ$5/100,MONTH($A22)))*$C22</f>
        <v>-6087.8858131526858</v>
      </c>
      <c r="AK22" s="1021">
        <f>(VLOOKUP(YEAR($A22),'NY East Load Projections'!$A$4:$EO$14,((MONTH($A22)-1)*12)+VLOOKUP(AK$4,$DE$6:$DF$17,2)+1))*(VLOOKUP($A22,CURVES!$D$9:$T$261,8))*(INDEX(DailyScalarsTable,AK$5/100,MONTH($A22)))*$C22</f>
        <v>-6690.8608396262298</v>
      </c>
      <c r="AL22" s="1021">
        <f>(VLOOKUP(YEAR($A22),'NY East Load Projections'!$A$4:$EO$14,((MONTH($A22)-1)*12)+VLOOKUP(AL$4,$DE$6:$DF$17,2)+1))*(VLOOKUP($A22,CURVES!$D$9:$T$261,8))*(INDEX(DailyScalarsTable,AL$5/100,MONTH($A22)))*$C22</f>
        <v>-8112.2761118942426</v>
      </c>
      <c r="AM22" s="1021">
        <f>(VLOOKUP(YEAR($A22),'NY East Load Projections'!$A$4:$EO$14,((MONTH($A22)-1)*12)+VLOOKUP(AM$4,$DE$6:$DF$17,2)+1))*(VLOOKUP($A22,CURVES!$D$9:$T$261,8))*(INDEX(DailyScalarsTable,AM$5/100,MONTH($A22)))*$C22</f>
        <v>-9706.4600912887581</v>
      </c>
      <c r="AN22" s="1021">
        <f>(VLOOKUP(YEAR($A22),'NY East Load Projections'!$A$4:$EO$14,((MONTH($A22)-1)*12)+VLOOKUP(AN$4,$DE$6:$DF$17,2)+1))*(VLOOKUP($A22,SatSunCurve,4))*(INDEX(DailyScalarsTable,AN$5/100,MONTH($A22)))*$C22</f>
        <v>-7975.6831676134389</v>
      </c>
      <c r="AO22" s="1021">
        <f>(VLOOKUP(YEAR($A22),'NY East Load Projections'!$A$4:$EO$14,((MONTH($A22)-1)*12)+VLOOKUP(AO$4,$DE$6:$DF$17,2)+1))*(VLOOKUP($A22,SatSunCurve,4))*(INDEX(DailyScalarsTable,AO$5/100,MONTH($A22)))*$C22</f>
        <v>-9766.5441802210353</v>
      </c>
      <c r="AP22" s="1021">
        <f>(VLOOKUP(YEAR($A22),'NY East Load Projections'!$A$4:$EO$14,((MONTH($A22)-1)*12)+VLOOKUP(AP$4,$DE$6:$DF$17,2)+1))*(VLOOKUP($A22,SatSunCurve,4))*(INDEX(DailyScalarsTable,AP$5/100,MONTH($A22)))*$C22</f>
        <v>-9939.7696538303589</v>
      </c>
      <c r="AQ22" s="1021">
        <f>(VLOOKUP(YEAR($A22),'NY East Load Projections'!$A$4:$EO$14,((MONTH($A22)-1)*12)+VLOOKUP(AQ$4,$DE$6:$DF$17,2)+1))*(VLOOKUP($A22,SatSunCurve,4))*(INDEX(DailyScalarsTable,AQ$5/100,MONTH($A22)))*$C22</f>
        <v>-10543.759358273475</v>
      </c>
      <c r="AR22" s="1021">
        <f>(VLOOKUP(YEAR($A22),'NY East Load Projections'!$A$4:$EO$14,((MONTH($A22)-1)*12)+VLOOKUP(AR$4,$DE$6:$DF$17,2)+1))*(VLOOKUP($A22,SatSunCurve,4))*(INDEX(DailyScalarsTable,AR$5/100,MONTH($A22)))*$C22</f>
        <v>-10464.044981037325</v>
      </c>
      <c r="AS22" s="1021">
        <f>(VLOOKUP(YEAR($A22),'NY East Load Projections'!$A$4:$EO$14,((MONTH($A22)-1)*12)+VLOOKUP(AS$4,$DE$6:$DF$17,2)+1))*(VLOOKUP($A22,SatSunCurve,4))*(INDEX(DailyScalarsTable,AS$5/100,MONTH($A22)))*$C22</f>
        <v>-9647.8653000765007</v>
      </c>
      <c r="AT22" s="1021">
        <f>(VLOOKUP(YEAR($A22),'NY East Load Projections'!$A$4:$EO$14,((MONTH($A22)-1)*12)+VLOOKUP(AT$4,$DE$6:$DF$17,2)+1))*(VLOOKUP($A22,SatSunCurve,4))*(INDEX(DailyScalarsTable,AT$5/100,MONTH($A22)))*$C22</f>
        <v>-9694.3646508697821</v>
      </c>
      <c r="AU22" s="1021">
        <f>(VLOOKUP(YEAR($A22),'NY East Load Projections'!$A$4:$EO$14,((MONTH($A22)-1)*12)+VLOOKUP(AU$4,$DE$6:$DF$17,2)+1))*(VLOOKUP($A22,SatSunCurve,4))*(INDEX(DailyScalarsTable,AU$5/100,MONTH($A22)))*$C22</f>
        <v>-9403.3687136473254</v>
      </c>
      <c r="AV22" s="1021">
        <f>(VLOOKUP(YEAR($A22),'NY East Load Projections'!$A$4:$EO$14,((MONTH($A22)-1)*12)+VLOOKUP(AV$4,$DE$6:$DF$17,2)+1))*(VLOOKUP($A22,SatSunCurve,4))*(INDEX(DailyScalarsTable,AV$5/100,MONTH($A22)))*$C22</f>
        <v>-9037.3738235324818</v>
      </c>
      <c r="AW22" s="1021">
        <f>(VLOOKUP(YEAR($A22),'NY East Load Projections'!$A$4:$EO$14,((MONTH($A22)-1)*12)+VLOOKUP(AW$4,$DE$6:$DF$17,2)+1))*(VLOOKUP($A22,SatSunCurve,4))*(INDEX(DailyScalarsTable,AW$5/100,MONTH($A22)))*$C22</f>
        <v>-8551.8495045408308</v>
      </c>
      <c r="AX22" s="1021">
        <f>(VLOOKUP(YEAR($A22),'NY East Load Projections'!$A$4:$EO$14,((MONTH($A22)-1)*12)+VLOOKUP(AX$4,$DE$6:$DF$17,2)+1))*(VLOOKUP($A22,SatSunCurve,4))*(INDEX(DailyScalarsTable,AX$5/100,MONTH($A22)))*$C22</f>
        <v>-8218.5696319224044</v>
      </c>
      <c r="AY22" s="1021">
        <f>(VLOOKUP(YEAR($A22),'NY East Load Projections'!$A$4:$EO$14,((MONTH($A22)-1)*12)+VLOOKUP(AY$4,$DE$6:$DF$17,2)+1))*(VLOOKUP($A22,SatSunCurve,4))*(INDEX(DailyScalarsTable,AY$5/100,MONTH($A22)))*$C22</f>
        <v>-7120.7065221205366</v>
      </c>
      <c r="AZ22" s="1021">
        <f>(VLOOKUP(YEAR($A22),'NY East Load Projections'!$A$4:$EO$14,((MONTH($A22)-1)*12)+VLOOKUP(AZ$4,$DE$6:$DF$17,2)+1))*(VLOOKUP($A22,SatSunCurve,4))*(INDEX(DailyScalarsTable,AZ$5/100,MONTH($A22)))*$C22</f>
        <v>-7102.5021593304564</v>
      </c>
      <c r="BA22" s="1021">
        <f>(VLOOKUP(YEAR($A22),'NY East Load Projections'!$A$4:$EO$14,((MONTH($A22)-1)*12)+VLOOKUP(BA$4,$DE$6:$DF$17,2)+1))*(VLOOKUP($A22,SatSunCurve,4))*(INDEX(DailyScalarsTable,BA$5/100,MONTH($A22)))*$C22</f>
        <v>-9151.6352641493031</v>
      </c>
      <c r="BB22" s="1021">
        <f>(VLOOKUP(YEAR($A22),'NY East Load Projections'!$A$4:$EO$14,((MONTH($A22)-1)*12)+VLOOKUP(BB$4,$DE$6:$DF$17,2)+1))*(VLOOKUP($A22,SatSunCurve,4))*(INDEX(DailyScalarsTable,BB$5/100,MONTH($A22)))*$C22</f>
        <v>-8728.9555550935129</v>
      </c>
      <c r="BC22" s="1021">
        <f>(VLOOKUP(YEAR($A22),'NY East Load Projections'!$A$4:$EO$14,((MONTH($A22)-1)*12)+VLOOKUP(BC$4,$DE$6:$DF$17,2)+1))*(VLOOKUP($A22,SatSunCurve,4))*(INDEX(DailyScalarsTable,BC$5/100,MONTH($A22)))*$C22</f>
        <v>-7002.4397402532495</v>
      </c>
      <c r="BD22" s="1021">
        <f>(VLOOKUP(YEAR($A22),'NY East Load Projections'!$A$4:$EO$14,((MONTH($A22)-1)*12)+VLOOKUP(BD$4,$DE$6:$DF$17,2)+1))*(VLOOKUP($A22,CURVES!$D$9:$T$261,8))*(INDEX(DailyScalarsTable,BD$5/100,MONTH($A22)))*$C22</f>
        <v>-8900.4276473234349</v>
      </c>
      <c r="BE22" s="1021"/>
      <c r="BF22" s="1021">
        <f>(VLOOKUP(YEAR($A22),'NY East Load Projections'!$A$4:$EO$14,((MONTH($A22)-1)*12)+VLOOKUP(BF$4,$DE$6:$DF$17,2)+1))*(VLOOKUP($A22,CURVES!$D$9:$T$261,8))*(INDEX(DailyScalarsTable,BF$5/100,MONTH($A22)))*$D22</f>
        <v>-7366.1871227123838</v>
      </c>
      <c r="BG22" s="1021">
        <f>(VLOOKUP(YEAR($A22),'NY East Load Projections'!$A$4:$EO$14,((MONTH($A22)-1)*12)+VLOOKUP(BG$4,$DE$6:$DF$17,2)+1))*(VLOOKUP($A22,CURVES!$D$9:$T$261,8))*(INDEX(DailyScalarsTable,BG$5/100,MONTH($A22)))*$D22</f>
        <v>-6635.1766915269591</v>
      </c>
      <c r="BH22" s="1021">
        <f>(VLOOKUP(YEAR($A22),'NY East Load Projections'!$A$4:$EO$14,((MONTH($A22)-1)*12)+VLOOKUP(BH$4,$DE$6:$DF$17,2)+1))*(VLOOKUP($A22,CURVES!$D$9:$T$261,8))*(INDEX(DailyScalarsTable,BH$5/100,MONTH($A22)))*$D22</f>
        <v>-6279.3409260822036</v>
      </c>
      <c r="BI22" s="1021">
        <f>(VLOOKUP(YEAR($A22),'NY East Load Projections'!$A$4:$EO$14,((MONTH($A22)-1)*12)+VLOOKUP(BI$4,$DE$6:$DF$17,2)+1))*(VLOOKUP($A22,CURVES!$D$9:$T$261,8))*(INDEX(DailyScalarsTable,BI$5/100,MONTH($A22)))*$D22</f>
        <v>-6087.8858131526858</v>
      </c>
      <c r="BJ22" s="1021">
        <f>(VLOOKUP(YEAR($A22),'NY East Load Projections'!$A$4:$EO$14,((MONTH($A22)-1)*12)+VLOOKUP(BJ$4,$DE$6:$DF$17,2)+1))*(VLOOKUP($A22,CURVES!$D$9:$T$261,8))*(INDEX(DailyScalarsTable,BJ$5/100,MONTH($A22)))*$D22</f>
        <v>-6690.8608396262298</v>
      </c>
      <c r="BK22" s="1021">
        <f>(VLOOKUP(YEAR($A22),'NY East Load Projections'!$A$4:$EO$14,((MONTH($A22)-1)*12)+VLOOKUP(BK$4,$DE$6:$DF$17,2)+1))*(VLOOKUP($A22,CURVES!$D$9:$T$261,8))*(INDEX(DailyScalarsTable,BK$5/100,MONTH($A22)))*$D22</f>
        <v>-8112.2761118942426</v>
      </c>
      <c r="BL22" s="1021">
        <f>(VLOOKUP(YEAR($A22),'NY East Load Projections'!$A$4:$EO$14,((MONTH($A22)-1)*12)+VLOOKUP(BL$4,$DE$6:$DF$17,2)+1))*(VLOOKUP($A22,CURVES!$D$9:$T$261,8))*(INDEX(DailyScalarsTable,BL$5/100,MONTH($A22)))*$D22</f>
        <v>-9706.4600912887581</v>
      </c>
      <c r="BM22" s="1021">
        <f>(VLOOKUP(YEAR($A22),'NY East Load Projections'!$A$4:$EO$14,((MONTH($A22)-1)*12)+VLOOKUP(BM$4,$DE$6:$DF$17,2)+1))*(VLOOKUP($A22,SatSunCurve,8))*(INDEX(DailyScalarsTable,BM$5/100,MONTH($A22)))*$D22</f>
        <v>-8468.3171230543066</v>
      </c>
      <c r="BN22" s="1021">
        <f>(VLOOKUP(YEAR($A22),'NY East Load Projections'!$A$4:$EO$14,((MONTH($A22)-1)*12)+VLOOKUP(BN$4,$DE$6:$DF$17,2)+1))*(VLOOKUP($A22,SatSunCurve,8))*(INDEX(DailyScalarsTable,BN$5/100,MONTH($A22)))*$D22</f>
        <v>-10369.794232834394</v>
      </c>
      <c r="BO22" s="1021">
        <f>(VLOOKUP(YEAR($A22),'NY East Load Projections'!$A$4:$EO$14,((MONTH($A22)-1)*12)+VLOOKUP(BO$4,$DE$6:$DF$17,2)+1))*(VLOOKUP($A22,SatSunCurve,8))*(INDEX(DailyScalarsTable,BO$5/100,MONTH($A22)))*$D22</f>
        <v>-10553.719322821884</v>
      </c>
      <c r="BP22" s="1021">
        <f>(VLOOKUP(YEAR($A22),'NY East Load Projections'!$A$4:$EO$14,((MONTH($A22)-1)*12)+VLOOKUP(BP$4,$DE$6:$DF$17,2)+1))*(VLOOKUP($A22,SatSunCurve,8))*(INDEX(DailyScalarsTable,BP$5/100,MONTH($A22)))*$D22</f>
        <v>-11195.015654282684</v>
      </c>
      <c r="BQ22" s="1021">
        <f>(VLOOKUP(YEAR($A22),'NY East Load Projections'!$A$4:$EO$14,((MONTH($A22)-1)*12)+VLOOKUP(BQ$4,$DE$6:$DF$17,2)+1))*(VLOOKUP($A22,SatSunCurve,8))*(INDEX(DailyScalarsTable,BQ$5/100,MONTH($A22)))*$D22</f>
        <v>-11110.377559775165</v>
      </c>
      <c r="BR22" s="1021">
        <f>(VLOOKUP(YEAR($A22),'NY East Load Projections'!$A$4:$EO$14,((MONTH($A22)-1)*12)+VLOOKUP(BR$4,$DE$6:$DF$17,2)+1))*(VLOOKUP($A22,SatSunCurve,8))*(INDEX(DailyScalarsTable,BR$5/100,MONTH($A22)))*$D22</f>
        <v>-10243.784915293561</v>
      </c>
      <c r="BS22" s="1021">
        <f>(VLOOKUP(YEAR($A22),'NY East Load Projections'!$A$4:$EO$14,((MONTH($A22)-1)*12)+VLOOKUP(BS$4,$DE$6:$DF$17,2)+1))*(VLOOKUP($A22,SatSunCurve,8))*(INDEX(DailyScalarsTable,BS$5/100,MONTH($A22)))*$D22</f>
        <v>-10293.156391097995</v>
      </c>
      <c r="BT22" s="1021">
        <f>(VLOOKUP(YEAR($A22),'NY East Load Projections'!$A$4:$EO$14,((MONTH($A22)-1)*12)+VLOOKUP(BT$4,$DE$6:$DF$17,2)+1))*(VLOOKUP($A22,SatSunCurve,8))*(INDEX(DailyScalarsTable,BT$5/100,MONTH($A22)))*$D22</f>
        <v>-9984.1865102573611</v>
      </c>
      <c r="BU22" s="1021">
        <f>(VLOOKUP(YEAR($A22),'NY East Load Projections'!$A$4:$EO$14,((MONTH($A22)-1)*12)+VLOOKUP(BU$4,$DE$6:$DF$17,2)+1))*(VLOOKUP($A22,SatSunCurve,8))*(INDEX(DailyScalarsTable,BU$5/100,MONTH($A22)))*$D22</f>
        <v>-9595.5852168289366</v>
      </c>
      <c r="BV22" s="1021">
        <f>(VLOOKUP(YEAR($A22),'NY East Load Projections'!$A$4:$EO$14,((MONTH($A22)-1)*12)+VLOOKUP(BV$4,$DE$6:$DF$17,2)+1))*(VLOOKUP($A22,SatSunCurve,8))*(INDEX(DailyScalarsTable,BV$5/100,MONTH($A22)))*$D22</f>
        <v>-9080.0715212909781</v>
      </c>
      <c r="BW22" s="1021">
        <f>(VLOOKUP(YEAR($A22),'NY East Load Projections'!$A$4:$EO$14,((MONTH($A22)-1)*12)+VLOOKUP(BW$4,$DE$6:$DF$17,2)+1))*(VLOOKUP($A22,SatSunCurve,8))*(INDEX(DailyScalarsTable,BW$5/100,MONTH($A22)))*$D22</f>
        <v>-8726.2059535707776</v>
      </c>
      <c r="BX22" s="1021">
        <f>(VLOOKUP(YEAR($A22),'NY East Load Projections'!$A$4:$EO$14,((MONTH($A22)-1)*12)+VLOOKUP(BX$4,$DE$6:$DF$17,2)+1))*(VLOOKUP($A22,SatSunCurve,8))*(INDEX(DailyScalarsTable,BX$5/100,MONTH($A22)))*$D22</f>
        <v>-7560.5311422571831</v>
      </c>
      <c r="BY22" s="1021">
        <f>(VLOOKUP(YEAR($A22),'NY East Load Projections'!$A$4:$EO$14,((MONTH($A22)-1)*12)+VLOOKUP(BY$4,$DE$6:$DF$17,2)+1))*(VLOOKUP($A22,SatSunCurve,8))*(INDEX(DailyScalarsTable,BY$5/100,MONTH($A22)))*$D22</f>
        <v>-7541.2023507430567</v>
      </c>
      <c r="BZ22" s="1021">
        <f>(VLOOKUP(YEAR($A22),'NY East Load Projections'!$A$4:$EO$14,((MONTH($A22)-1)*12)+VLOOKUP(BZ$4,$DE$6:$DF$17,2)+1))*(VLOOKUP($A22,SatSunCurve,8))*(INDEX(DailyScalarsTable,BZ$5/100,MONTH($A22)))*$D22</f>
        <v>-9716.904242891731</v>
      </c>
      <c r="CA22" s="1021">
        <f>(VLOOKUP(YEAR($A22),'NY East Load Projections'!$A$4:$EO$14,((MONTH($A22)-1)*12)+VLOOKUP(CA$4,$DE$6:$DF$17,2)+1))*(VLOOKUP($A22,SatSunCurve,8))*(INDEX(DailyScalarsTable,CA$5/100,MONTH($A22)))*$D22</f>
        <v>-9268.1168797854007</v>
      </c>
      <c r="CB22" s="1021">
        <f>(VLOOKUP(YEAR($A22),'NY East Load Projections'!$A$4:$EO$14,((MONTH($A22)-1)*12)+VLOOKUP(CB$4,$DE$6:$DF$17,2)+1))*(VLOOKUP($A22,SatSunCurve,8))*(INDEX(DailyScalarsTable,CB$5/100,MONTH($A22)))*$D22</f>
        <v>-7434.9593770644396</v>
      </c>
      <c r="CC22" s="1021">
        <f>(VLOOKUP(YEAR($A22),'NY East Load Projections'!$A$4:$EO$14,((MONTH($A22)-1)*12)+VLOOKUP(CC$4,$DE$6:$DF$17,2)+1))*(VLOOKUP($A22,CURVES!$D$9:$T$261,8))*(INDEX(DailyScalarsTable,CC$5/100,MONTH($A22)))*$D22</f>
        <v>-8900.4276473234349</v>
      </c>
      <c r="CE22" s="1021">
        <f>(VLOOKUP(YEAR($A22),'NY East Load Projections'!$A$4:$EO$14,((MONTH($A22)-1)*12)+VLOOKUP(CE$4,$DE$6:$DF$17,2)+1))*(VLOOKUP($A22,CURVES!$D$9:$T$261,8))*(INDEX(DailyScalarsTable,CE$5/100,MONTH($A22)))*$E22</f>
        <v>-1841.546780678096</v>
      </c>
      <c r="CF22" s="1021">
        <f>(VLOOKUP(YEAR($A22),'NY East Load Projections'!$A$4:$EO$14,((MONTH($A22)-1)*12)+VLOOKUP(CF$4,$DE$6:$DF$17,2)+1))*(VLOOKUP($A22,CURVES!$D$9:$T$261,8))*(INDEX(DailyScalarsTable,CF$5/100,MONTH($A22)))*$E22</f>
        <v>-1658.7941728817398</v>
      </c>
      <c r="CG22" s="1021">
        <f>(VLOOKUP(YEAR($A22),'NY East Load Projections'!$A$4:$EO$14,((MONTH($A22)-1)*12)+VLOOKUP(CG$4,$DE$6:$DF$17,2)+1))*(VLOOKUP($A22,CURVES!$D$9:$T$261,8))*(INDEX(DailyScalarsTable,CG$5/100,MONTH($A22)))*$E22</f>
        <v>-1569.8352315205509</v>
      </c>
      <c r="CH22" s="1021">
        <f>(VLOOKUP(YEAR($A22),'NY East Load Projections'!$A$4:$EO$14,((MONTH($A22)-1)*12)+VLOOKUP(CH$4,$DE$6:$DF$17,2)+1))*(VLOOKUP($A22,CURVES!$D$9:$T$261,8))*(INDEX(DailyScalarsTable,CH$5/100,MONTH($A22)))*$E22</f>
        <v>-1521.9714532881715</v>
      </c>
      <c r="CI22" s="1021">
        <f>(VLOOKUP(YEAR($A22),'NY East Load Projections'!$A$4:$EO$14,((MONTH($A22)-1)*12)+VLOOKUP(CI$4,$DE$6:$DF$17,2)+1))*(VLOOKUP($A22,CURVES!$D$9:$T$261,8))*(INDEX(DailyScalarsTable,CI$5/100,MONTH($A22)))*$E22</f>
        <v>-1672.7152099065574</v>
      </c>
      <c r="CJ22" s="1021">
        <f>(VLOOKUP(YEAR($A22),'NY East Load Projections'!$A$4:$EO$14,((MONTH($A22)-1)*12)+VLOOKUP(CJ$4,$DE$6:$DF$17,2)+1))*(VLOOKUP($A22,CURVES!$D$9:$T$261,8))*(INDEX(DailyScalarsTable,CJ$5/100,MONTH($A22)))*$E22</f>
        <v>-2028.0690279735607</v>
      </c>
      <c r="CK22" s="1021">
        <f>(VLOOKUP(YEAR($A22),'NY East Load Projections'!$A$4:$EO$14,((MONTH($A22)-1)*12)+VLOOKUP(CK$4,$DE$6:$DF$17,2)+1))*(VLOOKUP($A22,CURVES!$D$9:$T$261,8))*(INDEX(DailyScalarsTable,CK$5/100,MONTH($A22)))*$E22</f>
        <v>-2426.6150228221895</v>
      </c>
      <c r="CL22" s="1021">
        <f>(VLOOKUP(YEAR($A22),'NY East Load Projections'!$A$4:$EO$14,((MONTH($A22)-1)*12)+VLOOKUP(CL$4,$DE$6:$DF$17,2)+1))*(VLOOKUP($A22,SatSunCurve,8))*(INDEX(DailyScalarsTable,CL$5/100,MONTH($A22)))*$E22</f>
        <v>-2117.0792807635767</v>
      </c>
      <c r="CM22" s="1021">
        <f>(VLOOKUP(YEAR($A22),'NY East Load Projections'!$A$4:$EO$14,((MONTH($A22)-1)*12)+VLOOKUP(CM$4,$DE$6:$DF$17,2)+1))*(VLOOKUP($A22,SatSunCurve,8))*(INDEX(DailyScalarsTable,CM$5/100,MONTH($A22)))*$E22</f>
        <v>-2592.4485582085986</v>
      </c>
      <c r="CN22" s="1021">
        <f>(VLOOKUP(YEAR($A22),'NY East Load Projections'!$A$4:$EO$14,((MONTH($A22)-1)*12)+VLOOKUP(CN$4,$DE$6:$DF$17,2)+1))*(VLOOKUP($A22,SatSunCurve,8))*(INDEX(DailyScalarsTable,CN$5/100,MONTH($A22)))*$E22</f>
        <v>-2638.429830705471</v>
      </c>
      <c r="CO22" s="1021">
        <f>(VLOOKUP(YEAR($A22),'NY East Load Projections'!$A$4:$EO$14,((MONTH($A22)-1)*12)+VLOOKUP(CO$4,$DE$6:$DF$17,2)+1))*(VLOOKUP($A22,SatSunCurve,8))*(INDEX(DailyScalarsTable,CO$5/100,MONTH($A22)))*$E22</f>
        <v>-2798.7539135706711</v>
      </c>
      <c r="CP22" s="1021">
        <f>(VLOOKUP(YEAR($A22),'NY East Load Projections'!$A$4:$EO$14,((MONTH($A22)-1)*12)+VLOOKUP(CP$4,$DE$6:$DF$17,2)+1))*(VLOOKUP($A22,SatSunCurve,8))*(INDEX(DailyScalarsTable,CP$5/100,MONTH($A22)))*$E22</f>
        <v>-2777.5943899437912</v>
      </c>
      <c r="CQ22" s="1021">
        <f>(VLOOKUP(YEAR($A22),'NY East Load Projections'!$A$4:$EO$14,((MONTH($A22)-1)*12)+VLOOKUP(CQ$4,$DE$6:$DF$17,2)+1))*(VLOOKUP($A22,SatSunCurve,8))*(INDEX(DailyScalarsTable,CQ$5/100,MONTH($A22)))*$E22</f>
        <v>-2560.9462288233904</v>
      </c>
      <c r="CR22" s="1021">
        <f>(VLOOKUP(YEAR($A22),'NY East Load Projections'!$A$4:$EO$14,((MONTH($A22)-1)*12)+VLOOKUP(CR$4,$DE$6:$DF$17,2)+1))*(VLOOKUP($A22,SatSunCurve,8))*(INDEX(DailyScalarsTable,CR$5/100,MONTH($A22)))*$E22</f>
        <v>-2573.2890977744987</v>
      </c>
      <c r="CS22" s="1021">
        <f>(VLOOKUP(YEAR($A22),'NY East Load Projections'!$A$4:$EO$14,((MONTH($A22)-1)*12)+VLOOKUP(CS$4,$DE$6:$DF$17,2)+1))*(VLOOKUP($A22,SatSunCurve,8))*(INDEX(DailyScalarsTable,CS$5/100,MONTH($A22)))*$E22</f>
        <v>-2496.0466275643403</v>
      </c>
      <c r="CT22" s="1021">
        <f>(VLOOKUP(YEAR($A22),'NY East Load Projections'!$A$4:$EO$14,((MONTH($A22)-1)*12)+VLOOKUP(CT$4,$DE$6:$DF$17,2)+1))*(VLOOKUP($A22,SatSunCurve,8))*(INDEX(DailyScalarsTable,CT$5/100,MONTH($A22)))*$E22</f>
        <v>-2398.8963042072342</v>
      </c>
      <c r="CU22" s="1021">
        <f>(VLOOKUP(YEAR($A22),'NY East Load Projections'!$A$4:$EO$14,((MONTH($A22)-1)*12)+VLOOKUP(CU$4,$DE$6:$DF$17,2)+1))*(VLOOKUP($A22,SatSunCurve,8))*(INDEX(DailyScalarsTable,CU$5/100,MONTH($A22)))*$E22</f>
        <v>-2270.0178803227445</v>
      </c>
      <c r="CV22" s="1021">
        <f>(VLOOKUP(YEAR($A22),'NY East Load Projections'!$A$4:$EO$14,((MONTH($A22)-1)*12)+VLOOKUP(CV$4,$DE$6:$DF$17,2)+1))*(VLOOKUP($A22,SatSunCurve,8))*(INDEX(DailyScalarsTable,CV$5/100,MONTH($A22)))*$E22</f>
        <v>-2181.5514883926944</v>
      </c>
      <c r="CW22" s="1021">
        <f>(VLOOKUP(YEAR($A22),'NY East Load Projections'!$A$4:$EO$14,((MONTH($A22)-1)*12)+VLOOKUP(CW$4,$DE$6:$DF$17,2)+1))*(VLOOKUP($A22,SatSunCurve,8))*(INDEX(DailyScalarsTable,CW$5/100,MONTH($A22)))*$E22</f>
        <v>-1890.1327855642958</v>
      </c>
      <c r="CX22" s="1021">
        <f>(VLOOKUP(YEAR($A22),'NY East Load Projections'!$A$4:$EO$14,((MONTH($A22)-1)*12)+VLOOKUP(CX$4,$DE$6:$DF$17,2)+1))*(VLOOKUP($A22,SatSunCurve,8))*(INDEX(DailyScalarsTable,CX$5/100,MONTH($A22)))*$E22</f>
        <v>-1885.3005876857642</v>
      </c>
      <c r="CY22" s="1021">
        <f>(VLOOKUP(YEAR($A22),'NY East Load Projections'!$A$4:$EO$14,((MONTH($A22)-1)*12)+VLOOKUP(CY$4,$DE$6:$DF$17,2)+1))*(VLOOKUP($A22,SatSunCurve,8))*(INDEX(DailyScalarsTable,CY$5/100,MONTH($A22)))*$E22</f>
        <v>-2429.2260607229327</v>
      </c>
      <c r="CZ22" s="1021">
        <f>(VLOOKUP(YEAR($A22),'NY East Load Projections'!$A$4:$EO$14,((MONTH($A22)-1)*12)+VLOOKUP(CZ$4,$DE$6:$DF$17,2)+1))*(VLOOKUP($A22,SatSunCurve,8))*(INDEX(DailyScalarsTable,CZ$5/100,MONTH($A22)))*$E22</f>
        <v>-2317.0292199463502</v>
      </c>
      <c r="DA22" s="1021">
        <f>(VLOOKUP(YEAR($A22),'NY East Load Projections'!$A$4:$EO$14,((MONTH($A22)-1)*12)+VLOOKUP(DA$4,$DE$6:$DF$17,2)+1))*(VLOOKUP($A22,SatSunCurve,8))*(INDEX(DailyScalarsTable,DA$5/100,MONTH($A22)))*$E22</f>
        <v>-1858.7398442661099</v>
      </c>
      <c r="DB22" s="1021">
        <f>(VLOOKUP(YEAR($A22),'NY East Load Projections'!$A$4:$EO$14,((MONTH($A22)-1)*12)+VLOOKUP(DB$4,$DE$6:$DF$17,2)+1))*(VLOOKUP($A22,CURVES!$D$9:$T$261,8))*(INDEX(DailyScalarsTable,DB$5/100,MONTH($A22)))*$E22</f>
        <v>-2225.1069118308587</v>
      </c>
      <c r="DH22" s="1021">
        <f t="shared" si="0"/>
        <v>-1935422.9222925184</v>
      </c>
      <c r="DI22">
        <f ca="1">CALC!J42</f>
        <v>0.85185231085675739</v>
      </c>
      <c r="DJ22" s="1029">
        <f t="shared" ca="1" si="1"/>
        <v>-1648694.4888400203</v>
      </c>
    </row>
    <row r="23" spans="1:114" x14ac:dyDescent="0.25">
      <c r="A23" s="244">
        <v>37408</v>
      </c>
      <c r="B23" s="13">
        <v>20</v>
      </c>
      <c r="C23" s="210">
        <v>5</v>
      </c>
      <c r="D23" s="210">
        <v>5</v>
      </c>
      <c r="E23" s="210">
        <v>0</v>
      </c>
      <c r="F23" s="13">
        <v>30</v>
      </c>
      <c r="H23" s="1021">
        <f>(VLOOKUP(YEAR($A23),'NY East Load Projections'!$A$4:$EO$14,((MONTH($A23)-1)*12)+VLOOKUP(H$4,$DE$6:$DF$17,2)+1))*(VLOOKUP($A23,CURVES!$D$9:$K$261,8))*(INDEX(DailyScalarsTable,H$5/100,MONTH($A23)))*$B23</f>
        <v>-42244.382421812908</v>
      </c>
      <c r="I23" s="1021">
        <f>(VLOOKUP(YEAR($A23),'NY East Load Projections'!$A$4:$EO$14,((MONTH($A23)-1)*12)+VLOOKUP(I$4,$DE$6:$DF$17,2)+1))*(VLOOKUP($A23,CURVES!$D$9:$K$261,8))*(INDEX(DailyScalarsTable,I$5/100,MONTH($A23)))*$B23</f>
        <v>-35000.016867010068</v>
      </c>
      <c r="J23" s="1021">
        <f>(VLOOKUP(YEAR($A23),'NY East Load Projections'!$A$4:$EO$14,((MONTH($A23)-1)*12)+VLOOKUP(J$4,$DE$6:$DF$17,2)+1))*(VLOOKUP($A23,CURVES!$D$9:$K$261,8))*(INDEX(DailyScalarsTable,J$5/100,MONTH($A23)))*$B23</f>
        <v>-29420.774141221624</v>
      </c>
      <c r="K23" s="1021">
        <f>(VLOOKUP(YEAR($A23),'NY East Load Projections'!$A$4:$EO$14,((MONTH($A23)-1)*12)+VLOOKUP(K$4,$DE$6:$DF$17,2)+1))*(VLOOKUP($A23,CURVES!$D$9:$K$261,8))*(INDEX(DailyScalarsTable,K$5/100,MONTH($A23)))*$B23</f>
        <v>-27312.339390196925</v>
      </c>
      <c r="L23" s="1021">
        <f>(VLOOKUP(YEAR($A23),'NY East Load Projections'!$A$4:$EO$14,((MONTH($A23)-1)*12)+VLOOKUP(L$4,$DE$6:$DF$17,2)+1))*(VLOOKUP($A23,CURVES!$D$9:$K$261,8))*(INDEX(DailyScalarsTable,L$5/100,MONTH($A23)))*$B23</f>
        <v>-30664.869753979761</v>
      </c>
      <c r="M23" s="1021">
        <f>(VLOOKUP(YEAR($A23),'NY East Load Projections'!$A$4:$EO$14,((MONTH($A23)-1)*12)+VLOOKUP(M$4,$DE$6:$DF$17,2)+1))*(VLOOKUP($A23,CURVES!$D$9:$K$261,8))*(INDEX(DailyScalarsTable,M$5/100,MONTH($A23)))*$B23</f>
        <v>-37413.379411516173</v>
      </c>
      <c r="N23" s="1021">
        <f>(VLOOKUP(YEAR($A23),'NY East Load Projections'!$A$4:$EO$14,((MONTH($A23)-1)*12)+VLOOKUP(N$4,$DE$6:$DF$17,2)+1))*(VLOOKUP($A23,CURVES!$D$9:$K$261,8))*(INDEX(DailyScalarsTable,N$5/100,MONTH($A23)))*$B23</f>
        <v>-42897.242980658542</v>
      </c>
      <c r="O23" s="1021">
        <f>(VLOOKUP(YEAR($A23),'NY East Load Projections'!$A$4:$EO$14,((MONTH($A23)-1)*12)+VLOOKUP(O$4,$DE$6:$DF$17,2)+1))*(VLOOKUP($A23,CURVES!$D$9:$K$261,4))*(INDEX(DailyScalarsTable,O$5/100,MONTH($A23)))*$B23</f>
        <v>-61694.475425463985</v>
      </c>
      <c r="P23" s="1021">
        <f>(VLOOKUP(YEAR($A23),'NY East Load Projections'!$A$4:$EO$14,((MONTH($A23)-1)*12)+VLOOKUP(P$4,$DE$6:$DF$17,2)+1))*(VLOOKUP($A23,CURVES!$D$9:$K$261,4))*(INDEX(DailyScalarsTable,P$5/100,MONTH($A23)))*$B23</f>
        <v>-76551.359851700792</v>
      </c>
      <c r="Q23" s="1021">
        <f>(VLOOKUP(YEAR($A23),'NY East Load Projections'!$A$4:$EO$14,((MONTH($A23)-1)*12)+VLOOKUP(Q$4,$DE$6:$DF$17,2)+1))*(VLOOKUP($A23,CURVES!$D$9:$K$261,4))*(INDEX(DailyScalarsTable,Q$5/100,MONTH($A23)))*$B23</f>
        <v>-85622.125716687573</v>
      </c>
      <c r="R23" s="1021">
        <f>(VLOOKUP(YEAR($A23),'NY East Load Projections'!$A$4:$EO$14,((MONTH($A23)-1)*12)+VLOOKUP(R$4,$DE$6:$DF$17,2)+1))*(VLOOKUP($A23,CURVES!$D$9:$K$261,4))*(INDEX(DailyScalarsTable,R$5/100,MONTH($A23)))*$B23</f>
        <v>-98490.268415685117</v>
      </c>
      <c r="S23" s="1021">
        <f>(VLOOKUP(YEAR($A23),'NY East Load Projections'!$A$4:$EO$14,((MONTH($A23)-1)*12)+VLOOKUP(S$4,$DE$6:$DF$17,2)+1))*(VLOOKUP($A23,CURVES!$D$9:$K$261,4))*(INDEX(DailyScalarsTable,S$5/100,MONTH($A23)))*$B23</f>
        <v>-106219.20501070347</v>
      </c>
      <c r="T23" s="1021">
        <f>(VLOOKUP(YEAR($A23),'NY East Load Projections'!$A$4:$EO$14,((MONTH($A23)-1)*12)+VLOOKUP(T$4,$DE$6:$DF$17,2)+1))*(VLOOKUP($A23,CURVES!$D$9:$K$261,4))*(INDEX(DailyScalarsTable,T$5/100,MONTH($A23)))*$B23</f>
        <v>-111022.52180721051</v>
      </c>
      <c r="U23" s="1021">
        <f>(VLOOKUP(YEAR($A23),'NY East Load Projections'!$A$4:$EO$14,((MONTH($A23)-1)*12)+VLOOKUP(U$4,$DE$6:$DF$17,2)+1))*(VLOOKUP($A23,CURVES!$D$9:$K$261,4))*(INDEX(DailyScalarsTable,U$5/100,MONTH($A23)))*$B23</f>
        <v>-122778.00642842134</v>
      </c>
      <c r="V23" s="1021">
        <f>(VLOOKUP(YEAR($A23),'NY East Load Projections'!$A$4:$EO$14,((MONTH($A23)-1)*12)+VLOOKUP(V$4,$DE$6:$DF$17,2)+1))*(VLOOKUP($A23,CURVES!$D$9:$K$261,4))*(INDEX(DailyScalarsTable,V$5/100,MONTH($A23)))*$B23</f>
        <v>-123722.76409028674</v>
      </c>
      <c r="W23" s="1021">
        <f>(VLOOKUP(YEAR($A23),'NY East Load Projections'!$A$4:$EO$14,((MONTH($A23)-1)*12)+VLOOKUP(W$4,$DE$6:$DF$17,2)+1))*(VLOOKUP($A23,CURVES!$D$9:$K$261,4))*(INDEX(DailyScalarsTable,W$5/100,MONTH($A23)))*$B23</f>
        <v>-123925.21216068644</v>
      </c>
      <c r="X23" s="1021">
        <f>(VLOOKUP(YEAR($A23),'NY East Load Projections'!$A$4:$EO$14,((MONTH($A23)-1)*12)+VLOOKUP(X$4,$DE$6:$DF$17,2)+1))*(VLOOKUP($A23,CURVES!$D$9:$K$261,4))*(INDEX(DailyScalarsTable,X$5/100,MONTH($A23)))*$B23</f>
        <v>-122326.99694473715</v>
      </c>
      <c r="Y23" s="1021">
        <f>(VLOOKUP(YEAR($A23),'NY East Load Projections'!$A$4:$EO$14,((MONTH($A23)-1)*12)+VLOOKUP(Y$4,$DE$6:$DF$17,2)+1))*(VLOOKUP($A23,CURVES!$D$9:$K$261,4))*(INDEX(DailyScalarsTable,Y$5/100,MONTH($A23)))*$B23</f>
        <v>-118695.5985786786</v>
      </c>
      <c r="Z23" s="1021">
        <f>(VLOOKUP(YEAR($A23),'NY East Load Projections'!$A$4:$EO$14,((MONTH($A23)-1)*12)+VLOOKUP(Z$4,$DE$6:$DF$17,2)+1))*(VLOOKUP($A23,CURVES!$D$9:$K$261,4))*(INDEX(DailyScalarsTable,Z$5/100,MONTH($A23)))*$B23</f>
        <v>-101351.41071479613</v>
      </c>
      <c r="AA23" s="1021">
        <f>(VLOOKUP(YEAR($A23),'NY East Load Projections'!$A$4:$EO$14,((MONTH($A23)-1)*12)+VLOOKUP(AA$4,$DE$6:$DF$17,2)+1))*(VLOOKUP($A23,CURVES!$D$9:$K$261,4))*(INDEX(DailyScalarsTable,AA$5/100,MONTH($A23)))*$B23</f>
        <v>-81044.421295934531</v>
      </c>
      <c r="AB23" s="1021">
        <f>(VLOOKUP(YEAR($A23),'NY East Load Projections'!$A$4:$EO$14,((MONTH($A23)-1)*12)+VLOOKUP(AB$4,$DE$6:$DF$17,2)+1))*(VLOOKUP($A23,CURVES!$D$9:$K$261,4))*(INDEX(DailyScalarsTable,AB$5/100,MONTH($A23)))*$B23</f>
        <v>-85023.398330786062</v>
      </c>
      <c r="AC23" s="1021">
        <f>(VLOOKUP(YEAR($A23),'NY East Load Projections'!$A$4:$EO$14,((MONTH($A23)-1)*12)+VLOOKUP(AC$4,$DE$6:$DF$17,2)+1))*(VLOOKUP($A23,CURVES!$D$9:$K$261,4))*(INDEX(DailyScalarsTable,AC$5/100,MONTH($A23)))*$B23</f>
        <v>-86630.717709769378</v>
      </c>
      <c r="AD23" s="1021">
        <f>(VLOOKUP(YEAR($A23),'NY East Load Projections'!$A$4:$EO$14,((MONTH($A23)-1)*12)+VLOOKUP(AD$4,$DE$6:$DF$17,2)+1))*(VLOOKUP($A23,CURVES!$D$9:$K$261,4))*(INDEX(DailyScalarsTable,AD$5/100,MONTH($A23)))*$B23</f>
        <v>-69469.102923144485</v>
      </c>
      <c r="AE23" s="1021">
        <f>(VLOOKUP(YEAR($A23),'NY East Load Projections'!$A$4:$EO$14,((MONTH($A23)-1)*12)+VLOOKUP(AE$4,$DE$6:$DF$17,2)+1))*(VLOOKUP($A23,CURVES!$D$9:$K$261,8))*(INDEX(DailyScalarsTable,AE$5/100,MONTH($A23)))*$B23</f>
        <v>-52533.930661054153</v>
      </c>
      <c r="AF23" s="1021"/>
      <c r="AG23" s="1021">
        <f>(VLOOKUP(YEAR($A23),'NY East Load Projections'!$A$4:$EO$14,((MONTH($A23)-1)*12)+VLOOKUP(AG$4,$DE$6:$DF$17,2)+1))*(VLOOKUP($A23,CURVES!$D$9:$T$261,8))*(INDEX(DailyScalarsTable,AG$5/100,MONTH($A23)))*$C23</f>
        <v>-10745.249257424013</v>
      </c>
      <c r="AH23" s="1021">
        <f>(VLOOKUP(YEAR($A23),'NY East Load Projections'!$A$4:$EO$14,((MONTH($A23)-1)*12)+VLOOKUP(AH$4,$DE$6:$DF$17,2)+1))*(VLOOKUP($A23,CURVES!$D$9:$T$261,8))*(INDEX(DailyScalarsTable,AH$5/100,MONTH($A23)))*$C23</f>
        <v>-8902.5778976917154</v>
      </c>
      <c r="AI23" s="1021">
        <f>(VLOOKUP(YEAR($A23),'NY East Load Projections'!$A$4:$EO$14,((MONTH($A23)-1)*12)+VLOOKUP(AI$4,$DE$6:$DF$17,2)+1))*(VLOOKUP($A23,CURVES!$D$9:$T$261,8))*(INDEX(DailyScalarsTable,AI$5/100,MONTH($A23)))*$C23</f>
        <v>-7483.445925121765</v>
      </c>
      <c r="AJ23" s="1021">
        <f>(VLOOKUP(YEAR($A23),'NY East Load Projections'!$A$4:$EO$14,((MONTH($A23)-1)*12)+VLOOKUP(AJ$4,$DE$6:$DF$17,2)+1))*(VLOOKUP($A23,CURVES!$D$9:$T$261,8))*(INDEX(DailyScalarsTable,AJ$5/100,MONTH($A23)))*$C23</f>
        <v>-6947.1460517668438</v>
      </c>
      <c r="AK23" s="1021">
        <f>(VLOOKUP(YEAR($A23),'NY East Load Projections'!$A$4:$EO$14,((MONTH($A23)-1)*12)+VLOOKUP(AK$4,$DE$6:$DF$17,2)+1))*(VLOOKUP($A23,CURVES!$D$9:$T$261,8))*(INDEX(DailyScalarsTable,AK$5/100,MONTH($A23)))*$C23</f>
        <v>-7617.3072528687171</v>
      </c>
      <c r="AL23" s="1021">
        <f>(VLOOKUP(YEAR($A23),'NY East Load Projections'!$A$4:$EO$14,((MONTH($A23)-1)*12)+VLOOKUP(AL$4,$DE$6:$DF$17,2)+1))*(VLOOKUP($A23,CURVES!$D$9:$T$261,8))*(INDEX(DailyScalarsTable,AL$5/100,MONTH($A23)))*$C23</f>
        <v>-9293.6708563285101</v>
      </c>
      <c r="AM23" s="1021">
        <f>(VLOOKUP(YEAR($A23),'NY East Load Projections'!$A$4:$EO$14,((MONTH($A23)-1)*12)+VLOOKUP(AM$4,$DE$6:$DF$17,2)+1))*(VLOOKUP($A23,CURVES!$D$9:$T$261,8))*(INDEX(DailyScalarsTable,AM$5/100,MONTH($A23)))*$C23</f>
        <v>-10655.890036586052</v>
      </c>
      <c r="AN23" s="1021">
        <f>(VLOOKUP(YEAR($A23),'NY East Load Projections'!$A$4:$EO$14,((MONTH($A23)-1)*12)+VLOOKUP(AN$4,$DE$6:$DF$17,2)+1))*(VLOOKUP($A23,SatSunCurve,4))*(INDEX(DailyScalarsTable,AN$5/100,MONTH($A23)))*$C23</f>
        <v>-8218.2020953669653</v>
      </c>
      <c r="AO23" s="1021">
        <f>(VLOOKUP(YEAR($A23),'NY East Load Projections'!$A$4:$EO$14,((MONTH($A23)-1)*12)+VLOOKUP(AO$4,$DE$6:$DF$17,2)+1))*(VLOOKUP($A23,SatSunCurve,4))*(INDEX(DailyScalarsTable,AO$5/100,MONTH($A23)))*$C23</f>
        <v>-10161.640691548306</v>
      </c>
      <c r="AP23" s="1021">
        <f>(VLOOKUP(YEAR($A23),'NY East Load Projections'!$A$4:$EO$14,((MONTH($A23)-1)*12)+VLOOKUP(AP$4,$DE$6:$DF$17,2)+1))*(VLOOKUP($A23,SatSunCurve,4))*(INDEX(DailyScalarsTable,AP$5/100,MONTH($A23)))*$C23</f>
        <v>-11365.71941328128</v>
      </c>
      <c r="AQ23" s="1021">
        <f>(VLOOKUP(YEAR($A23),'NY East Load Projections'!$A$4:$EO$14,((MONTH($A23)-1)*12)+VLOOKUP(AQ$4,$DE$6:$DF$17,2)+1))*(VLOOKUP($A23,SatSunCurve,4))*(INDEX(DailyScalarsTable,AQ$5/100,MONTH($A23)))*$C23</f>
        <v>-13073.872511124371</v>
      </c>
      <c r="AR23" s="1021">
        <f>(VLOOKUP(YEAR($A23),'NY East Load Projections'!$A$4:$EO$14,((MONTH($A23)-1)*12)+VLOOKUP(AR$4,$DE$6:$DF$17,2)+1))*(VLOOKUP($A23,SatSunCurve,4))*(INDEX(DailyScalarsTable,AR$5/100,MONTH($A23)))*$C23</f>
        <v>-14099.83307875484</v>
      </c>
      <c r="AS23" s="1021">
        <f>(VLOOKUP(YEAR($A23),'NY East Load Projections'!$A$4:$EO$14,((MONTH($A23)-1)*12)+VLOOKUP(AS$4,$DE$6:$DF$17,2)+1))*(VLOOKUP($A23,SatSunCurve,4))*(INDEX(DailyScalarsTable,AS$5/100,MONTH($A23)))*$C23</f>
        <v>-14783.384447059123</v>
      </c>
      <c r="AT23" s="1021">
        <f>(VLOOKUP(YEAR($A23),'NY East Load Projections'!$A$4:$EO$14,((MONTH($A23)-1)*12)+VLOOKUP(AT$4,$DE$6:$DF$17,2)+1))*(VLOOKUP($A23,SatSunCurve,4))*(INDEX(DailyScalarsTable,AT$5/100,MONTH($A23)))*$C23</f>
        <v>-16348.705119729741</v>
      </c>
      <c r="AU23" s="1021">
        <f>(VLOOKUP(YEAR($A23),'NY East Load Projections'!$A$4:$EO$14,((MONTH($A23)-1)*12)+VLOOKUP(AU$4,$DE$6:$DF$17,2)+1))*(VLOOKUP($A23,SatSunCurve,4))*(INDEX(DailyScalarsTable,AU$5/100,MONTH($A23)))*$C23</f>
        <v>-16474.505862653903</v>
      </c>
      <c r="AV23" s="1021">
        <f>(VLOOKUP(YEAR($A23),'NY East Load Projections'!$A$4:$EO$14,((MONTH($A23)-1)*12)+VLOOKUP(AV$4,$DE$6:$DF$17,2)+1))*(VLOOKUP($A23,SatSunCurve,4))*(INDEX(DailyScalarsTable,AV$5/100,MONTH($A23)))*$C23</f>
        <v>-16501.463164709075</v>
      </c>
      <c r="AW23" s="1021">
        <f>(VLOOKUP(YEAR($A23),'NY East Load Projections'!$A$4:$EO$14,((MONTH($A23)-1)*12)+VLOOKUP(AW$4,$DE$6:$DF$17,2)+1))*(VLOOKUP($A23,SatSunCurve,4))*(INDEX(DailyScalarsTable,AW$5/100,MONTH($A23)))*$C23</f>
        <v>-16376.548584541404</v>
      </c>
      <c r="AX23" s="1021">
        <f>(VLOOKUP(YEAR($A23),'NY East Load Projections'!$A$4:$EO$14,((MONTH($A23)-1)*12)+VLOOKUP(AX$4,$DE$6:$DF$17,2)+1))*(VLOOKUP($A23,SatSunCurve,4))*(INDEX(DailyScalarsTable,AX$5/100,MONTH($A23)))*$C23</f>
        <v>-15890.394479095257</v>
      </c>
      <c r="AY23" s="1021">
        <f>(VLOOKUP(YEAR($A23),'NY East Load Projections'!$A$4:$EO$14,((MONTH($A23)-1)*12)+VLOOKUP(AY$4,$DE$6:$DF$17,2)+1))*(VLOOKUP($A23,SatSunCurve,4))*(INDEX(DailyScalarsTable,AY$5/100,MONTH($A23)))*$C23</f>
        <v>-13568.438228173782</v>
      </c>
      <c r="AZ23" s="1021">
        <f>(VLOOKUP(YEAR($A23),'NY East Load Projections'!$A$4:$EO$14,((MONTH($A23)-1)*12)+VLOOKUP(AZ$4,$DE$6:$DF$17,2)+1))*(VLOOKUP($A23,SatSunCurve,4))*(INDEX(DailyScalarsTable,AZ$5/100,MONTH($A23)))*$C23</f>
        <v>-10849.836389415386</v>
      </c>
      <c r="BA23" s="1021">
        <f>(VLOOKUP(YEAR($A23),'NY East Load Projections'!$A$4:$EO$14,((MONTH($A23)-1)*12)+VLOOKUP(BA$4,$DE$6:$DF$17,2)+1))*(VLOOKUP($A23,SatSunCurve,4))*(INDEX(DailyScalarsTable,BA$5/100,MONTH($A23)))*$C23</f>
        <v>-11417.75203950156</v>
      </c>
      <c r="BB23" s="1021">
        <f>(VLOOKUP(YEAR($A23),'NY East Load Projections'!$A$4:$EO$14,((MONTH($A23)-1)*12)+VLOOKUP(BB$4,$DE$6:$DF$17,2)+1))*(VLOOKUP($A23,SatSunCurve,4))*(INDEX(DailyScalarsTable,BB$5/100,MONTH($A23)))*$C23</f>
        <v>-11633.598200415036</v>
      </c>
      <c r="BC23" s="1021">
        <f>(VLOOKUP(YEAR($A23),'NY East Load Projections'!$A$4:$EO$14,((MONTH($A23)-1)*12)+VLOOKUP(BC$4,$DE$6:$DF$17,2)+1))*(VLOOKUP($A23,SatSunCurve,4))*(INDEX(DailyScalarsTable,BC$5/100,MONTH($A23)))*$C23</f>
        <v>-9328.9730492444287</v>
      </c>
      <c r="BD23" s="1021">
        <f>(VLOOKUP(YEAR($A23),'NY East Load Projections'!$A$4:$EO$14,((MONTH($A23)-1)*12)+VLOOKUP(BD$4,$DE$6:$DF$17,2)+1))*(VLOOKUP($A23,CURVES!$D$9:$T$261,8))*(INDEX(DailyScalarsTable,BD$5/100,MONTH($A23)))*$C23</f>
        <v>-13155.636119632292</v>
      </c>
      <c r="BE23" s="1021"/>
      <c r="BF23" s="1021">
        <f>(VLOOKUP(YEAR($A23),'NY East Load Projections'!$A$4:$EO$14,((MONTH($A23)-1)*12)+VLOOKUP(BF$4,$DE$6:$DF$17,2)+1))*(VLOOKUP($A23,CURVES!$D$9:$T$261,8))*(INDEX(DailyScalarsTable,BF$5/100,MONTH($A23)))*$D23</f>
        <v>-10745.249257424013</v>
      </c>
      <c r="BG23" s="1021">
        <f>(VLOOKUP(YEAR($A23),'NY East Load Projections'!$A$4:$EO$14,((MONTH($A23)-1)*12)+VLOOKUP(BG$4,$DE$6:$DF$17,2)+1))*(VLOOKUP($A23,CURVES!$D$9:$T$261,8))*(INDEX(DailyScalarsTable,BG$5/100,MONTH($A23)))*$D23</f>
        <v>-8902.5778976917154</v>
      </c>
      <c r="BH23" s="1021">
        <f>(VLOOKUP(YEAR($A23),'NY East Load Projections'!$A$4:$EO$14,((MONTH($A23)-1)*12)+VLOOKUP(BH$4,$DE$6:$DF$17,2)+1))*(VLOOKUP($A23,CURVES!$D$9:$T$261,8))*(INDEX(DailyScalarsTable,BH$5/100,MONTH($A23)))*$D23</f>
        <v>-7483.445925121765</v>
      </c>
      <c r="BI23" s="1021">
        <f>(VLOOKUP(YEAR($A23),'NY East Load Projections'!$A$4:$EO$14,((MONTH($A23)-1)*12)+VLOOKUP(BI$4,$DE$6:$DF$17,2)+1))*(VLOOKUP($A23,CURVES!$D$9:$T$261,8))*(INDEX(DailyScalarsTable,BI$5/100,MONTH($A23)))*$D23</f>
        <v>-6947.1460517668438</v>
      </c>
      <c r="BJ23" s="1021">
        <f>(VLOOKUP(YEAR($A23),'NY East Load Projections'!$A$4:$EO$14,((MONTH($A23)-1)*12)+VLOOKUP(BJ$4,$DE$6:$DF$17,2)+1))*(VLOOKUP($A23,CURVES!$D$9:$T$261,8))*(INDEX(DailyScalarsTable,BJ$5/100,MONTH($A23)))*$D23</f>
        <v>-7617.3072528687171</v>
      </c>
      <c r="BK23" s="1021">
        <f>(VLOOKUP(YEAR($A23),'NY East Load Projections'!$A$4:$EO$14,((MONTH($A23)-1)*12)+VLOOKUP(BK$4,$DE$6:$DF$17,2)+1))*(VLOOKUP($A23,CURVES!$D$9:$T$261,8))*(INDEX(DailyScalarsTable,BK$5/100,MONTH($A23)))*$D23</f>
        <v>-9293.6708563285101</v>
      </c>
      <c r="BL23" s="1021">
        <f>(VLOOKUP(YEAR($A23),'NY East Load Projections'!$A$4:$EO$14,((MONTH($A23)-1)*12)+VLOOKUP(BL$4,$DE$6:$DF$17,2)+1))*(VLOOKUP($A23,CURVES!$D$9:$T$261,8))*(INDEX(DailyScalarsTable,BL$5/100,MONTH($A23)))*$D23</f>
        <v>-10655.890036586052</v>
      </c>
      <c r="BM23" s="1021">
        <f>(VLOOKUP(YEAR($A23),'NY East Load Projections'!$A$4:$EO$14,((MONTH($A23)-1)*12)+VLOOKUP(BM$4,$DE$6:$DF$17,2)+1))*(VLOOKUP($A23,SatSunCurve,8))*(INDEX(DailyScalarsTable,BM$5/100,MONTH($A23)))*$D23</f>
        <v>-6561.6085702959563</v>
      </c>
      <c r="BN23" s="1021">
        <f>(VLOOKUP(YEAR($A23),'NY East Load Projections'!$A$4:$EO$14,((MONTH($A23)-1)*12)+VLOOKUP(BN$4,$DE$6:$DF$17,2)+1))*(VLOOKUP($A23,SatSunCurve,8))*(INDEX(DailyScalarsTable,BN$5/100,MONTH($A23)))*$D23</f>
        <v>-8113.2962996274637</v>
      </c>
      <c r="BO23" s="1021">
        <f>(VLOOKUP(YEAR($A23),'NY East Load Projections'!$A$4:$EO$14,((MONTH($A23)-1)*12)+VLOOKUP(BO$4,$DE$6:$DF$17,2)+1))*(VLOOKUP($A23,SatSunCurve,8))*(INDEX(DailyScalarsTable,BO$5/100,MONTH($A23)))*$D23</f>
        <v>-9074.6614702756942</v>
      </c>
      <c r="BP23" s="1021">
        <f>(VLOOKUP(YEAR($A23),'NY East Load Projections'!$A$4:$EO$14,((MONTH($A23)-1)*12)+VLOOKUP(BP$4,$DE$6:$DF$17,2)+1))*(VLOOKUP($A23,SatSunCurve,8))*(INDEX(DailyScalarsTable,BP$5/100,MONTH($A23)))*$D23</f>
        <v>-10438.491645795892</v>
      </c>
      <c r="BQ23" s="1021">
        <f>(VLOOKUP(YEAR($A23),'NY East Load Projections'!$A$4:$EO$14,((MONTH($A23)-1)*12)+VLOOKUP(BQ$4,$DE$6:$DF$17,2)+1))*(VLOOKUP($A23,SatSunCurve,8))*(INDEX(DailyScalarsTable,BQ$5/100,MONTH($A23)))*$D23</f>
        <v>-11257.643033803855</v>
      </c>
      <c r="BR23" s="1021">
        <f>(VLOOKUP(YEAR($A23),'NY East Load Projections'!$A$4:$EO$14,((MONTH($A23)-1)*12)+VLOOKUP(BR$4,$DE$6:$DF$17,2)+1))*(VLOOKUP($A23,SatSunCurve,8))*(INDEX(DailyScalarsTable,BR$5/100,MONTH($A23)))*$D23</f>
        <v>-11803.406750058955</v>
      </c>
      <c r="BS23" s="1021">
        <f>(VLOOKUP(YEAR($A23),'NY East Load Projections'!$A$4:$EO$14,((MONTH($A23)-1)*12)+VLOOKUP(BS$4,$DE$6:$DF$17,2)+1))*(VLOOKUP($A23,SatSunCurve,8))*(INDEX(DailyScalarsTable,BS$5/100,MONTH($A23)))*$D23</f>
        <v>-13053.196110538087</v>
      </c>
      <c r="BT23" s="1021">
        <f>(VLOOKUP(YEAR($A23),'NY East Load Projections'!$A$4:$EO$14,((MONTH($A23)-1)*12)+VLOOKUP(BT$4,$DE$6:$DF$17,2)+1))*(VLOOKUP($A23,SatSunCurve,8))*(INDEX(DailyScalarsTable,BT$5/100,MONTH($A23)))*$D23</f>
        <v>-13153.638424239054</v>
      </c>
      <c r="BU23" s="1021">
        <f>(VLOOKUP(YEAR($A23),'NY East Load Projections'!$A$4:$EO$14,((MONTH($A23)-1)*12)+VLOOKUP(BU$4,$DE$6:$DF$17,2)+1))*(VLOOKUP($A23,SatSunCurve,8))*(INDEX(DailyScalarsTable,BU$5/100,MONTH($A23)))*$D23</f>
        <v>-13175.161777174972</v>
      </c>
      <c r="BV23" s="1021">
        <f>(VLOOKUP(YEAR($A23),'NY East Load Projections'!$A$4:$EO$14,((MONTH($A23)-1)*12)+VLOOKUP(BV$4,$DE$6:$DF$17,2)+1))*(VLOOKUP($A23,SatSunCurve,8))*(INDEX(DailyScalarsTable,BV$5/100,MONTH($A23)))*$D23</f>
        <v>-13075.426996955193</v>
      </c>
      <c r="BW23" s="1021">
        <f>(VLOOKUP(YEAR($A23),'NY East Load Projections'!$A$4:$EO$14,((MONTH($A23)-1)*12)+VLOOKUP(BW$4,$DE$6:$DF$17,2)+1))*(VLOOKUP($A23,SatSunCurve,8))*(INDEX(DailyScalarsTable,BW$5/100,MONTH($A23)))*$D23</f>
        <v>-12687.269963608649</v>
      </c>
      <c r="BX23" s="1021">
        <f>(VLOOKUP(YEAR($A23),'NY East Load Projections'!$A$4:$EO$14,((MONTH($A23)-1)*12)+VLOOKUP(BX$4,$DE$6:$DF$17,2)+1))*(VLOOKUP($A23,SatSunCurve,8))*(INDEX(DailyScalarsTable,BX$5/100,MONTH($A23)))*$D23</f>
        <v>-10833.364710476966</v>
      </c>
      <c r="BY23" s="1021">
        <f>(VLOOKUP(YEAR($A23),'NY East Load Projections'!$A$4:$EO$14,((MONTH($A23)-1)*12)+VLOOKUP(BY$4,$DE$6:$DF$17,2)+1))*(VLOOKUP($A23,SatSunCurve,8))*(INDEX(DailyScalarsTable,BY$5/100,MONTH($A23)))*$D23</f>
        <v>-8662.7681593802408</v>
      </c>
      <c r="BZ23" s="1021">
        <f>(VLOOKUP(YEAR($A23),'NY East Load Projections'!$A$4:$EO$14,((MONTH($A23)-1)*12)+VLOOKUP(BZ$4,$DE$6:$DF$17,2)+1))*(VLOOKUP($A23,SatSunCurve,8))*(INDEX(DailyScalarsTable,BZ$5/100,MONTH($A23)))*$D23</f>
        <v>-9116.2055601118955</v>
      </c>
      <c r="CA23" s="1021">
        <f>(VLOOKUP(YEAR($A23),'NY East Load Projections'!$A$4:$EO$14,((MONTH($A23)-1)*12)+VLOOKUP(CA$4,$DE$6:$DF$17,2)+1))*(VLOOKUP($A23,SatSunCurve,8))*(INDEX(DailyScalarsTable,CA$5/100,MONTH($A23)))*$D23</f>
        <v>-9288.5422832637614</v>
      </c>
      <c r="CB23" s="1021">
        <f>(VLOOKUP(YEAR($A23),'NY East Load Projections'!$A$4:$EO$14,((MONTH($A23)-1)*12)+VLOOKUP(CB$4,$DE$6:$DF$17,2)+1))*(VLOOKUP($A23,SatSunCurve,8))*(INDEX(DailyScalarsTable,CB$5/100,MONTH($A23)))*$D23</f>
        <v>-7448.4745935478122</v>
      </c>
      <c r="CC23" s="1021">
        <f>(VLOOKUP(YEAR($A23),'NY East Load Projections'!$A$4:$EO$14,((MONTH($A23)-1)*12)+VLOOKUP(CC$4,$DE$6:$DF$17,2)+1))*(VLOOKUP($A23,CURVES!$D$9:$T$261,8))*(INDEX(DailyScalarsTable,CC$5/100,MONTH($A23)))*$D23</f>
        <v>-13155.636119632292</v>
      </c>
      <c r="CE23" s="1021">
        <f>(VLOOKUP(YEAR($A23),'NY East Load Projections'!$A$4:$EO$14,((MONTH($A23)-1)*12)+VLOOKUP(CE$4,$DE$6:$DF$17,2)+1))*(VLOOKUP($A23,CURVES!$D$9:$T$261,8))*(INDEX(DailyScalarsTable,CE$5/100,MONTH($A23)))*$E23</f>
        <v>0</v>
      </c>
      <c r="CF23" s="1021">
        <f>(VLOOKUP(YEAR($A23),'NY East Load Projections'!$A$4:$EO$14,((MONTH($A23)-1)*12)+VLOOKUP(CF$4,$DE$6:$DF$17,2)+1))*(VLOOKUP($A23,CURVES!$D$9:$T$261,8))*(INDEX(DailyScalarsTable,CF$5/100,MONTH($A23)))*$E23</f>
        <v>0</v>
      </c>
      <c r="CG23" s="1021">
        <f>(VLOOKUP(YEAR($A23),'NY East Load Projections'!$A$4:$EO$14,((MONTH($A23)-1)*12)+VLOOKUP(CG$4,$DE$6:$DF$17,2)+1))*(VLOOKUP($A23,CURVES!$D$9:$T$261,8))*(INDEX(DailyScalarsTable,CG$5/100,MONTH($A23)))*$E23</f>
        <v>0</v>
      </c>
      <c r="CH23" s="1021">
        <f>(VLOOKUP(YEAR($A23),'NY East Load Projections'!$A$4:$EO$14,((MONTH($A23)-1)*12)+VLOOKUP(CH$4,$DE$6:$DF$17,2)+1))*(VLOOKUP($A23,CURVES!$D$9:$T$261,8))*(INDEX(DailyScalarsTable,CH$5/100,MONTH($A23)))*$E23</f>
        <v>0</v>
      </c>
      <c r="CI23" s="1021">
        <f>(VLOOKUP(YEAR($A23),'NY East Load Projections'!$A$4:$EO$14,((MONTH($A23)-1)*12)+VLOOKUP(CI$4,$DE$6:$DF$17,2)+1))*(VLOOKUP($A23,CURVES!$D$9:$T$261,8))*(INDEX(DailyScalarsTable,CI$5/100,MONTH($A23)))*$E23</f>
        <v>0</v>
      </c>
      <c r="CJ23" s="1021">
        <f>(VLOOKUP(YEAR($A23),'NY East Load Projections'!$A$4:$EO$14,((MONTH($A23)-1)*12)+VLOOKUP(CJ$4,$DE$6:$DF$17,2)+1))*(VLOOKUP($A23,CURVES!$D$9:$T$261,8))*(INDEX(DailyScalarsTable,CJ$5/100,MONTH($A23)))*$E23</f>
        <v>0</v>
      </c>
      <c r="CK23" s="1021">
        <f>(VLOOKUP(YEAR($A23),'NY East Load Projections'!$A$4:$EO$14,((MONTH($A23)-1)*12)+VLOOKUP(CK$4,$DE$6:$DF$17,2)+1))*(VLOOKUP($A23,CURVES!$D$9:$T$261,8))*(INDEX(DailyScalarsTable,CK$5/100,MONTH($A23)))*$E23</f>
        <v>0</v>
      </c>
      <c r="CL23" s="1021">
        <f>(VLOOKUP(YEAR($A23),'NY East Load Projections'!$A$4:$EO$14,((MONTH($A23)-1)*12)+VLOOKUP(CL$4,$DE$6:$DF$17,2)+1))*(VLOOKUP($A23,SatSunCurve,8))*(INDEX(DailyScalarsTable,CL$5/100,MONTH($A23)))*$E23</f>
        <v>0</v>
      </c>
      <c r="CM23" s="1021">
        <f>(VLOOKUP(YEAR($A23),'NY East Load Projections'!$A$4:$EO$14,((MONTH($A23)-1)*12)+VLOOKUP(CM$4,$DE$6:$DF$17,2)+1))*(VLOOKUP($A23,SatSunCurve,8))*(INDEX(DailyScalarsTable,CM$5/100,MONTH($A23)))*$E23</f>
        <v>0</v>
      </c>
      <c r="CN23" s="1021">
        <f>(VLOOKUP(YEAR($A23),'NY East Load Projections'!$A$4:$EO$14,((MONTH($A23)-1)*12)+VLOOKUP(CN$4,$DE$6:$DF$17,2)+1))*(VLOOKUP($A23,SatSunCurve,8))*(INDEX(DailyScalarsTable,CN$5/100,MONTH($A23)))*$E23</f>
        <v>0</v>
      </c>
      <c r="CO23" s="1021">
        <f>(VLOOKUP(YEAR($A23),'NY East Load Projections'!$A$4:$EO$14,((MONTH($A23)-1)*12)+VLOOKUP(CO$4,$DE$6:$DF$17,2)+1))*(VLOOKUP($A23,SatSunCurve,8))*(INDEX(DailyScalarsTable,CO$5/100,MONTH($A23)))*$E23</f>
        <v>0</v>
      </c>
      <c r="CP23" s="1021">
        <f>(VLOOKUP(YEAR($A23),'NY East Load Projections'!$A$4:$EO$14,((MONTH($A23)-1)*12)+VLOOKUP(CP$4,$DE$6:$DF$17,2)+1))*(VLOOKUP($A23,SatSunCurve,8))*(INDEX(DailyScalarsTable,CP$5/100,MONTH($A23)))*$E23</f>
        <v>0</v>
      </c>
      <c r="CQ23" s="1021">
        <f>(VLOOKUP(YEAR($A23),'NY East Load Projections'!$A$4:$EO$14,((MONTH($A23)-1)*12)+VLOOKUP(CQ$4,$DE$6:$DF$17,2)+1))*(VLOOKUP($A23,SatSunCurve,8))*(INDEX(DailyScalarsTable,CQ$5/100,MONTH($A23)))*$E23</f>
        <v>0</v>
      </c>
      <c r="CR23" s="1021">
        <f>(VLOOKUP(YEAR($A23),'NY East Load Projections'!$A$4:$EO$14,((MONTH($A23)-1)*12)+VLOOKUP(CR$4,$DE$6:$DF$17,2)+1))*(VLOOKUP($A23,SatSunCurve,8))*(INDEX(DailyScalarsTable,CR$5/100,MONTH($A23)))*$E23</f>
        <v>0</v>
      </c>
      <c r="CS23" s="1021">
        <f>(VLOOKUP(YEAR($A23),'NY East Load Projections'!$A$4:$EO$14,((MONTH($A23)-1)*12)+VLOOKUP(CS$4,$DE$6:$DF$17,2)+1))*(VLOOKUP($A23,SatSunCurve,8))*(INDEX(DailyScalarsTable,CS$5/100,MONTH($A23)))*$E23</f>
        <v>0</v>
      </c>
      <c r="CT23" s="1021">
        <f>(VLOOKUP(YEAR($A23),'NY East Load Projections'!$A$4:$EO$14,((MONTH($A23)-1)*12)+VLOOKUP(CT$4,$DE$6:$DF$17,2)+1))*(VLOOKUP($A23,SatSunCurve,8))*(INDEX(DailyScalarsTable,CT$5/100,MONTH($A23)))*$E23</f>
        <v>0</v>
      </c>
      <c r="CU23" s="1021">
        <f>(VLOOKUP(YEAR($A23),'NY East Load Projections'!$A$4:$EO$14,((MONTH($A23)-1)*12)+VLOOKUP(CU$4,$DE$6:$DF$17,2)+1))*(VLOOKUP($A23,SatSunCurve,8))*(INDEX(DailyScalarsTable,CU$5/100,MONTH($A23)))*$E23</f>
        <v>0</v>
      </c>
      <c r="CV23" s="1021">
        <f>(VLOOKUP(YEAR($A23),'NY East Load Projections'!$A$4:$EO$14,((MONTH($A23)-1)*12)+VLOOKUP(CV$4,$DE$6:$DF$17,2)+1))*(VLOOKUP($A23,SatSunCurve,8))*(INDEX(DailyScalarsTable,CV$5/100,MONTH($A23)))*$E23</f>
        <v>0</v>
      </c>
      <c r="CW23" s="1021">
        <f>(VLOOKUP(YEAR($A23),'NY East Load Projections'!$A$4:$EO$14,((MONTH($A23)-1)*12)+VLOOKUP(CW$4,$DE$6:$DF$17,2)+1))*(VLOOKUP($A23,SatSunCurve,8))*(INDEX(DailyScalarsTable,CW$5/100,MONTH($A23)))*$E23</f>
        <v>0</v>
      </c>
      <c r="CX23" s="1021">
        <f>(VLOOKUP(YEAR($A23),'NY East Load Projections'!$A$4:$EO$14,((MONTH($A23)-1)*12)+VLOOKUP(CX$4,$DE$6:$DF$17,2)+1))*(VLOOKUP($A23,SatSunCurve,8))*(INDEX(DailyScalarsTable,CX$5/100,MONTH($A23)))*$E23</f>
        <v>0</v>
      </c>
      <c r="CY23" s="1021">
        <f>(VLOOKUP(YEAR($A23),'NY East Load Projections'!$A$4:$EO$14,((MONTH($A23)-1)*12)+VLOOKUP(CY$4,$DE$6:$DF$17,2)+1))*(VLOOKUP($A23,SatSunCurve,8))*(INDEX(DailyScalarsTable,CY$5/100,MONTH($A23)))*$E23</f>
        <v>0</v>
      </c>
      <c r="CZ23" s="1021">
        <f>(VLOOKUP(YEAR($A23),'NY East Load Projections'!$A$4:$EO$14,((MONTH($A23)-1)*12)+VLOOKUP(CZ$4,$DE$6:$DF$17,2)+1))*(VLOOKUP($A23,SatSunCurve,8))*(INDEX(DailyScalarsTable,CZ$5/100,MONTH($A23)))*$E23</f>
        <v>0</v>
      </c>
      <c r="DA23" s="1021">
        <f>(VLOOKUP(YEAR($A23),'NY East Load Projections'!$A$4:$EO$14,((MONTH($A23)-1)*12)+VLOOKUP(DA$4,$DE$6:$DF$17,2)+1))*(VLOOKUP($A23,SatSunCurve,8))*(INDEX(DailyScalarsTable,DA$5/100,MONTH($A23)))*$E23</f>
        <v>0</v>
      </c>
      <c r="DB23" s="1021">
        <f>(VLOOKUP(YEAR($A23),'NY East Load Projections'!$A$4:$EO$14,((MONTH($A23)-1)*12)+VLOOKUP(DB$4,$DE$6:$DF$17,2)+1))*(VLOOKUP($A23,CURVES!$D$9:$T$261,8))*(INDEX(DailyScalarsTable,DB$5/100,MONTH($A23)))*$E23</f>
        <v>0</v>
      </c>
      <c r="DH23" s="1021">
        <f t="shared" si="0"/>
        <v>-2399492.3915307517</v>
      </c>
      <c r="DI23">
        <f ca="1">CALC!J43</f>
        <v>0.84671207670571935</v>
      </c>
      <c r="DJ23" s="1029">
        <f t="shared" ca="1" si="1"/>
        <v>-2031679.1858725757</v>
      </c>
    </row>
    <row r="24" spans="1:114" x14ac:dyDescent="0.25">
      <c r="A24" s="244">
        <v>37438</v>
      </c>
      <c r="B24" s="13">
        <v>22</v>
      </c>
      <c r="C24" s="210">
        <v>4</v>
      </c>
      <c r="D24" s="210">
        <v>4</v>
      </c>
      <c r="E24" s="210">
        <v>1</v>
      </c>
      <c r="F24" s="13">
        <v>31</v>
      </c>
      <c r="H24" s="1021">
        <f>(VLOOKUP(YEAR($A24),'NY East Load Projections'!$A$4:$EO$14,((MONTH($A24)-1)*12)+VLOOKUP(H$4,$DE$6:$DF$17,2)+1))*(VLOOKUP($A24,CURVES!$D$9:$K$261,8))*(INDEX(DailyScalarsTable,H$5/100,MONTH($A24)))*$B24</f>
        <v>-56744.517318147839</v>
      </c>
      <c r="I24" s="1021">
        <f>(VLOOKUP(YEAR($A24),'NY East Load Projections'!$A$4:$EO$14,((MONTH($A24)-1)*12)+VLOOKUP(I$4,$DE$6:$DF$17,2)+1))*(VLOOKUP($A24,CURVES!$D$9:$K$261,8))*(INDEX(DailyScalarsTable,I$5/100,MONTH($A24)))*$B24</f>
        <v>-51832.338396475447</v>
      </c>
      <c r="J24" s="1021">
        <f>(VLOOKUP(YEAR($A24),'NY East Load Projections'!$A$4:$EO$14,((MONTH($A24)-1)*12)+VLOOKUP(J$4,$DE$6:$DF$17,2)+1))*(VLOOKUP($A24,CURVES!$D$9:$K$261,8))*(INDEX(DailyScalarsTable,J$5/100,MONTH($A24)))*$B24</f>
        <v>-49387.312401679068</v>
      </c>
      <c r="K24" s="1021">
        <f>(VLOOKUP(YEAR($A24),'NY East Load Projections'!$A$4:$EO$14,((MONTH($A24)-1)*12)+VLOOKUP(K$4,$DE$6:$DF$17,2)+1))*(VLOOKUP($A24,CURVES!$D$9:$K$261,8))*(INDEX(DailyScalarsTable,K$5/100,MONTH($A24)))*$B24</f>
        <v>-44475.133480006676</v>
      </c>
      <c r="L24" s="1021">
        <f>(VLOOKUP(YEAR($A24),'NY East Load Projections'!$A$4:$EO$14,((MONTH($A24)-1)*12)+VLOOKUP(L$4,$DE$6:$DF$17,2)+1))*(VLOOKUP($A24,CURVES!$D$9:$K$261,8))*(INDEX(DailyScalarsTable,L$5/100,MONTH($A24)))*$B24</f>
        <v>-43726.951371009556</v>
      </c>
      <c r="M24" s="1021">
        <f>(VLOOKUP(YEAR($A24),'NY East Load Projections'!$A$4:$EO$14,((MONTH($A24)-1)*12)+VLOOKUP(M$4,$DE$6:$DF$17,2)+1))*(VLOOKUP($A24,CURVES!$D$9:$K$261,8))*(INDEX(DailyScalarsTable,M$5/100,MONTH($A24)))*$B24</f>
        <v>-48207.35964828018</v>
      </c>
      <c r="N24" s="1021">
        <f>(VLOOKUP(YEAR($A24),'NY East Load Projections'!$A$4:$EO$14,((MONTH($A24)-1)*12)+VLOOKUP(N$4,$DE$6:$DF$17,2)+1))*(VLOOKUP($A24,CURVES!$D$9:$K$261,8))*(INDEX(DailyScalarsTable,N$5/100,MONTH($A24)))*$B24</f>
        <v>-53535.722433269548</v>
      </c>
      <c r="O24" s="1021">
        <f>(VLOOKUP(YEAR($A24),'NY East Load Projections'!$A$4:$EO$14,((MONTH($A24)-1)*12)+VLOOKUP(O$4,$DE$6:$DF$17,2)+1))*(VLOOKUP($A24,CURVES!$D$9:$K$261,4))*(INDEX(DailyScalarsTable,O$5/100,MONTH($A24)))*$B24</f>
        <v>-90738.034637551522</v>
      </c>
      <c r="P24" s="1021">
        <f>(VLOOKUP(YEAR($A24),'NY East Load Projections'!$A$4:$EO$14,((MONTH($A24)-1)*12)+VLOOKUP(P$4,$DE$6:$DF$17,2)+1))*(VLOOKUP($A24,CURVES!$D$9:$K$261,4))*(INDEX(DailyScalarsTable,P$5/100,MONTH($A24)))*$B24</f>
        <v>-106392.90834588223</v>
      </c>
      <c r="Q24" s="1021">
        <f>(VLOOKUP(YEAR($A24),'NY East Load Projections'!$A$4:$EO$14,((MONTH($A24)-1)*12)+VLOOKUP(Q$4,$DE$6:$DF$17,2)+1))*(VLOOKUP($A24,CURVES!$D$9:$K$261,4))*(INDEX(DailyScalarsTable,Q$5/100,MONTH($A24)))*$B24</f>
        <v>-127381.47702898165</v>
      </c>
      <c r="R24" s="1021">
        <f>(VLOOKUP(YEAR($A24),'NY East Load Projections'!$A$4:$EO$14,((MONTH($A24)-1)*12)+VLOOKUP(R$4,$DE$6:$DF$17,2)+1))*(VLOOKUP($A24,CURVES!$D$9:$K$261,4))*(INDEX(DailyScalarsTable,R$5/100,MONTH($A24)))*$B24</f>
        <v>-144946.69654653282</v>
      </c>
      <c r="S24" s="1021">
        <f>(VLOOKUP(YEAR($A24),'NY East Load Projections'!$A$4:$EO$14,((MONTH($A24)-1)*12)+VLOOKUP(S$4,$DE$6:$DF$17,2)+1))*(VLOOKUP($A24,CURVES!$D$9:$K$261,4))*(INDEX(DailyScalarsTable,S$5/100,MONTH($A24)))*$B24</f>
        <v>-173290.23374251329</v>
      </c>
      <c r="T24" s="1021">
        <f>(VLOOKUP(YEAR($A24),'NY East Load Projections'!$A$4:$EO$14,((MONTH($A24)-1)*12)+VLOOKUP(T$4,$DE$6:$DF$17,2)+1))*(VLOOKUP($A24,CURVES!$D$9:$K$261,4))*(INDEX(DailyScalarsTable,T$5/100,MONTH($A24)))*$B24</f>
        <v>-191704.70127992088</v>
      </c>
      <c r="U24" s="1021">
        <f>(VLOOKUP(YEAR($A24),'NY East Load Projections'!$A$4:$EO$14,((MONTH($A24)-1)*12)+VLOOKUP(U$4,$DE$6:$DF$17,2)+1))*(VLOOKUP($A24,CURVES!$D$9:$K$261,4))*(INDEX(DailyScalarsTable,U$5/100,MONTH($A24)))*$B24</f>
        <v>-198156.87892162133</v>
      </c>
      <c r="V24" s="1021">
        <f>(VLOOKUP(YEAR($A24),'NY East Load Projections'!$A$4:$EO$14,((MONTH($A24)-1)*12)+VLOOKUP(V$4,$DE$6:$DF$17,2)+1))*(VLOOKUP($A24,CURVES!$D$9:$K$261,4))*(INDEX(DailyScalarsTable,V$5/100,MONTH($A24)))*$B24</f>
        <v>-206409.66427728481</v>
      </c>
      <c r="W24" s="1021">
        <f>(VLOOKUP(YEAR($A24),'NY East Load Projections'!$A$4:$EO$14,((MONTH($A24)-1)*12)+VLOOKUP(W$4,$DE$6:$DF$17,2)+1))*(VLOOKUP($A24,CURVES!$D$9:$K$261,4))*(INDEX(DailyScalarsTable,W$5/100,MONTH($A24)))*$B24</f>
        <v>-219058.93346787448</v>
      </c>
      <c r="X24" s="1021">
        <f>(VLOOKUP(YEAR($A24),'NY East Load Projections'!$A$4:$EO$14,((MONTH($A24)-1)*12)+VLOOKUP(X$4,$DE$6:$DF$17,2)+1))*(VLOOKUP($A24,CURVES!$D$9:$K$261,4))*(INDEX(DailyScalarsTable,X$5/100,MONTH($A24)))*$B24</f>
        <v>-217285.96285689715</v>
      </c>
      <c r="Y24" s="1021">
        <f>(VLOOKUP(YEAR($A24),'NY East Load Projections'!$A$4:$EO$14,((MONTH($A24)-1)*12)+VLOOKUP(Y$4,$DE$6:$DF$17,2)+1))*(VLOOKUP($A24,CURVES!$D$9:$K$261,4))*(INDEX(DailyScalarsTable,Y$5/100,MONTH($A24)))*$B24</f>
        <v>-211901.60181370363</v>
      </c>
      <c r="Z24" s="1021">
        <f>(VLOOKUP(YEAR($A24),'NY East Load Projections'!$A$4:$EO$14,((MONTH($A24)-1)*12)+VLOOKUP(Z$4,$DE$6:$DF$17,2)+1))*(VLOOKUP($A24,CURVES!$D$9:$K$261,4))*(INDEX(DailyScalarsTable,Z$5/100,MONTH($A24)))*$B24</f>
        <v>-176983.50973684143</v>
      </c>
      <c r="AA24" s="1021">
        <f>(VLOOKUP(YEAR($A24),'NY East Load Projections'!$A$4:$EO$14,((MONTH($A24)-1)*12)+VLOOKUP(AA$4,$DE$6:$DF$17,2)+1))*(VLOOKUP($A24,CURVES!$D$9:$K$261,4))*(INDEX(DailyScalarsTable,AA$5/100,MONTH($A24)))*$B24</f>
        <v>-130961.08499366412</v>
      </c>
      <c r="AB24" s="1021">
        <f>(VLOOKUP(YEAR($A24),'NY East Load Projections'!$A$4:$EO$14,((MONTH($A24)-1)*12)+VLOOKUP(AB$4,$DE$6:$DF$17,2)+1))*(VLOOKUP($A24,CURVES!$D$9:$K$261,4))*(INDEX(DailyScalarsTable,AB$5/100,MONTH($A24)))*$B24</f>
        <v>-138778.17956016277</v>
      </c>
      <c r="AC24" s="1021">
        <f>(VLOOKUP(YEAR($A24),'NY East Load Projections'!$A$4:$EO$14,((MONTH($A24)-1)*12)+VLOOKUP(AC$4,$DE$6:$DF$17,2)+1))*(VLOOKUP($A24,CURVES!$D$9:$K$261,4))*(INDEX(DailyScalarsTable,AC$5/100,MONTH($A24)))*$B24</f>
        <v>-147054.26320070034</v>
      </c>
      <c r="AD24" s="1021">
        <f>(VLOOKUP(YEAR($A24),'NY East Load Projections'!$A$4:$EO$14,((MONTH($A24)-1)*12)+VLOOKUP(AD$4,$DE$6:$DF$17,2)+1))*(VLOOKUP($A24,CURVES!$D$9:$K$261,4))*(INDEX(DailyScalarsTable,AD$5/100,MONTH($A24)))*$B24</f>
        <v>-102122.95776034944</v>
      </c>
      <c r="AE24" s="1021">
        <f>(VLOOKUP(YEAR($A24),'NY East Load Projections'!$A$4:$EO$14,((MONTH($A24)-1)*12)+VLOOKUP(AE$4,$DE$6:$DF$17,2)+1))*(VLOOKUP($A24,CURVES!$D$9:$K$261,8))*(INDEX(DailyScalarsTable,AE$5/100,MONTH($A24)))*$B24</f>
        <v>-66059.035573290108</v>
      </c>
      <c r="AF24" s="1021"/>
      <c r="AG24" s="1021">
        <f>(VLOOKUP(YEAR($A24),'NY East Load Projections'!$A$4:$EO$14,((MONTH($A24)-1)*12)+VLOOKUP(AG$4,$DE$6:$DF$17,2)+1))*(VLOOKUP($A24,CURVES!$D$9:$T$261,8))*(INDEX(DailyScalarsTable,AG$5/100,MONTH($A24)))*$C24</f>
        <v>-10013.42911564425</v>
      </c>
      <c r="AH24" s="1021">
        <f>(VLOOKUP(YEAR($A24),'NY East Load Projections'!$A$4:$EO$14,((MONTH($A24)-1)*12)+VLOOKUP(AH$4,$DE$6:$DF$17,2)+1))*(VLOOKUP($A24,CURVES!$D$9:$T$261,8))*(INDEX(DailyScalarsTable,AH$5/100,MONTH($A24)))*$C24</f>
        <v>-9146.6007812036059</v>
      </c>
      <c r="AI24" s="1021">
        <f>(VLOOKUP(YEAR($A24),'NY East Load Projections'!$A$4:$EO$14,((MONTH($A24)-1)*12)+VLOOKUP(AI$4,$DE$6:$DF$17,2)+1))*(VLOOKUP($A24,CURVES!$D$9:$T$261,8))*(INDEX(DailyScalarsTable,AI$5/100,MONTH($A24)))*$C24</f>
        <v>-8715.1389300518476</v>
      </c>
      <c r="AJ24" s="1021">
        <f>(VLOOKUP(YEAR($A24),'NY East Load Projections'!$A$4:$EO$14,((MONTH($A24)-1)*12)+VLOOKUP(AJ$4,$DE$6:$DF$17,2)+1))*(VLOOKUP($A24,CURVES!$D$9:$T$261,8))*(INDEX(DailyScalarsTable,AJ$5/100,MONTH($A24)))*$C24</f>
        <v>-7848.3105956112049</v>
      </c>
      <c r="AK24" s="1021">
        <f>(VLOOKUP(YEAR($A24),'NY East Load Projections'!$A$4:$EO$14,((MONTH($A24)-1)*12)+VLOOKUP(AK$4,$DE$6:$DF$17,2)+1))*(VLOOKUP($A24,CURVES!$D$9:$T$261,8))*(INDEX(DailyScalarsTable,AK$5/100,MONTH($A24)))*$C24</f>
        <v>-7562.1882076405836</v>
      </c>
      <c r="AL24" s="1021">
        <f>(VLOOKUP(YEAR($A24),'NY East Load Projections'!$A$4:$EO$14,((MONTH($A24)-1)*12)+VLOOKUP(AL$4,$DE$6:$DF$17,2)+1))*(VLOOKUP($A24,CURVES!$D$9:$T$261,8))*(INDEX(DailyScalarsTable,AL$5/100,MONTH($A24)))*$C24</f>
        <v>-8337.0350601530208</v>
      </c>
      <c r="AM24" s="1021">
        <f>(VLOOKUP(YEAR($A24),'NY East Load Projections'!$A$4:$EO$14,((MONTH($A24)-1)*12)+VLOOKUP(AM$4,$DE$6:$DF$17,2)+1))*(VLOOKUP($A24,CURVES!$D$9:$T$261,8))*(INDEX(DailyScalarsTable,AM$5/100,MONTH($A24)))*$C24</f>
        <v>-9258.5281200463323</v>
      </c>
      <c r="AN24" s="1021">
        <f>(VLOOKUP(YEAR($A24),'NY East Load Projections'!$A$4:$EO$14,((MONTH($A24)-1)*12)+VLOOKUP(AN$4,$DE$6:$DF$17,2)+1))*(VLOOKUP($A24,SatSunCurve,4))*(INDEX(DailyScalarsTable,AN$5/100,MONTH($A24)))*$C24</f>
        <v>-8771.5552435156005</v>
      </c>
      <c r="AO24" s="1021">
        <f>(VLOOKUP(YEAR($A24),'NY East Load Projections'!$A$4:$EO$14,((MONTH($A24)-1)*12)+VLOOKUP(AO$4,$DE$6:$DF$17,2)+1))*(VLOOKUP($A24,SatSunCurve,4))*(INDEX(DailyScalarsTable,AO$5/100,MONTH($A24)))*$C24</f>
        <v>-10395.999430496184</v>
      </c>
      <c r="AP24" s="1021">
        <f>(VLOOKUP(YEAR($A24),'NY East Load Projections'!$A$4:$EO$14,((MONTH($A24)-1)*12)+VLOOKUP(AP$4,$DE$6:$DF$17,2)+1))*(VLOOKUP($A24,SatSunCurve,4))*(INDEX(DailyScalarsTable,AP$5/100,MONTH($A24)))*$C24</f>
        <v>-12446.861198153432</v>
      </c>
      <c r="AQ24" s="1021">
        <f>(VLOOKUP(YEAR($A24),'NY East Load Projections'!$A$4:$EO$14,((MONTH($A24)-1)*12)+VLOOKUP(AQ$4,$DE$6:$DF$17,2)+1))*(VLOOKUP($A24,SatSunCurve,4))*(INDEX(DailyScalarsTable,AQ$5/100,MONTH($A24)))*$C24</f>
        <v>-14163.216309974849</v>
      </c>
      <c r="AR24" s="1021">
        <f>(VLOOKUP(YEAR($A24),'NY East Load Projections'!$A$4:$EO$14,((MONTH($A24)-1)*12)+VLOOKUP(AR$4,$DE$6:$DF$17,2)+1))*(VLOOKUP($A24,SatSunCurve,4))*(INDEX(DailyScalarsTable,AR$5/100,MONTH($A24)))*$C24</f>
        <v>-16932.756132964987</v>
      </c>
      <c r="AS24" s="1021">
        <f>(VLOOKUP(YEAR($A24),'NY East Load Projections'!$A$4:$EO$14,((MONTH($A24)-1)*12)+VLOOKUP(AS$4,$DE$6:$DF$17,2)+1))*(VLOOKUP($A24,SatSunCurve,4))*(INDEX(DailyScalarsTable,AS$5/100,MONTH($A24)))*$C24</f>
        <v>-18828.125218268324</v>
      </c>
      <c r="AT24" s="1021">
        <f>(VLOOKUP(YEAR($A24),'NY East Load Projections'!$A$4:$EO$14,((MONTH($A24)-1)*12)+VLOOKUP(AT$4,$DE$6:$DF$17,2)+1))*(VLOOKUP($A24,SatSunCurve,4))*(INDEX(DailyScalarsTable,AT$5/100,MONTH($A24)))*$C24</f>
        <v>-19461.820728901959</v>
      </c>
      <c r="AU24" s="1021">
        <f>(VLOOKUP(YEAR($A24),'NY East Load Projections'!$A$4:$EO$14,((MONTH($A24)-1)*12)+VLOOKUP(AU$4,$DE$6:$DF$17,2)+1))*(VLOOKUP($A24,SatSunCurve,4))*(INDEX(DailyScalarsTable,AU$5/100,MONTH($A24)))*$C24</f>
        <v>-20272.361498317077</v>
      </c>
      <c r="AV24" s="1021">
        <f>(VLOOKUP(YEAR($A24),'NY East Load Projections'!$A$4:$EO$14,((MONTH($A24)-1)*12)+VLOOKUP(AV$4,$DE$6:$DF$17,2)+1))*(VLOOKUP($A24,SatSunCurve,4))*(INDEX(DailyScalarsTable,AV$5/100,MONTH($A24)))*$C24</f>
        <v>-21514.699441256984</v>
      </c>
      <c r="AW24" s="1021">
        <f>(VLOOKUP(YEAR($A24),'NY East Load Projections'!$A$4:$EO$14,((MONTH($A24)-1)*12)+VLOOKUP(AW$4,$DE$6:$DF$17,2)+1))*(VLOOKUP($A24,SatSunCurve,4))*(INDEX(DailyScalarsTable,AW$5/100,MONTH($A24)))*$C24</f>
        <v>-21258.589282030029</v>
      </c>
      <c r="AX24" s="1021">
        <f>(VLOOKUP(YEAR($A24),'NY East Load Projections'!$A$4:$EO$14,((MONTH($A24)-1)*12)+VLOOKUP(AX$4,$DE$6:$DF$17,2)+1))*(VLOOKUP($A24,SatSunCurve,4))*(INDEX(DailyScalarsTable,AX$5/100,MONTH($A24)))*$C24</f>
        <v>-20731.799983455781</v>
      </c>
      <c r="AY24" s="1021">
        <f>(VLOOKUP(YEAR($A24),'NY East Load Projections'!$A$4:$EO$14,((MONTH($A24)-1)*12)+VLOOKUP(AY$4,$DE$6:$DF$17,2)+1))*(VLOOKUP($A24,SatSunCurve,4))*(INDEX(DailyScalarsTable,AY$5/100,MONTH($A24)))*$C24</f>
        <v>-17315.52141573717</v>
      </c>
      <c r="AZ24" s="1021">
        <f>(VLOOKUP(YEAR($A24),'NY East Load Projections'!$A$4:$EO$14,((MONTH($A24)-1)*12)+VLOOKUP(AZ$4,$DE$6:$DF$17,2)+1))*(VLOOKUP($A24,SatSunCurve,4))*(INDEX(DailyScalarsTable,AZ$5/100,MONTH($A24)))*$C24</f>
        <v>-12812.829145538884</v>
      </c>
      <c r="BA24" s="1021">
        <f>(VLOOKUP(YEAR($A24),'NY East Load Projections'!$A$4:$EO$14,((MONTH($A24)-1)*12)+VLOOKUP(BA$4,$DE$6:$DF$17,2)+1))*(VLOOKUP($A24,SatSunCurve,4))*(INDEX(DailyScalarsTable,BA$5/100,MONTH($A24)))*$C24</f>
        <v>-13732.360662449682</v>
      </c>
      <c r="BB24" s="1021">
        <f>(VLOOKUP(YEAR($A24),'NY East Load Projections'!$A$4:$EO$14,((MONTH($A24)-1)*12)+VLOOKUP(BB$4,$DE$6:$DF$17,2)+1))*(VLOOKUP($A24,SatSunCurve,4))*(INDEX(DailyScalarsTable,BB$5/100,MONTH($A24)))*$C24</f>
        <v>-14551.294631641807</v>
      </c>
      <c r="BC24" s="1021">
        <f>(VLOOKUP(YEAR($A24),'NY East Load Projections'!$A$4:$EO$14,((MONTH($A24)-1)*12)+VLOOKUP(BC$4,$DE$6:$DF$17,2)+1))*(VLOOKUP($A24,SatSunCurve,4))*(INDEX(DailyScalarsTable,BC$5/100,MONTH($A24)))*$C24</f>
        <v>-10105.257846196728</v>
      </c>
      <c r="BD24" s="1021">
        <f>(VLOOKUP(YEAR($A24),'NY East Load Projections'!$A$4:$EO$14,((MONTH($A24)-1)*12)+VLOOKUP(BD$4,$DE$6:$DF$17,2)+1))*(VLOOKUP($A24,CURVES!$D$9:$T$261,8))*(INDEX(DailyScalarsTable,BD$5/100,MONTH($A24)))*$C24</f>
        <v>-11694.113144951816</v>
      </c>
      <c r="BE24" s="1021"/>
      <c r="BF24" s="1021">
        <f>(VLOOKUP(YEAR($A24),'NY East Load Projections'!$A$4:$EO$14,((MONTH($A24)-1)*12)+VLOOKUP(BF$4,$DE$6:$DF$17,2)+1))*(VLOOKUP($A24,CURVES!$D$9:$T$261,8))*(INDEX(DailyScalarsTable,BF$5/100,MONTH($A24)))*$D24</f>
        <v>-10013.42911564425</v>
      </c>
      <c r="BG24" s="1021">
        <f>(VLOOKUP(YEAR($A24),'NY East Load Projections'!$A$4:$EO$14,((MONTH($A24)-1)*12)+VLOOKUP(BG$4,$DE$6:$DF$17,2)+1))*(VLOOKUP($A24,CURVES!$D$9:$T$261,8))*(INDEX(DailyScalarsTable,BG$5/100,MONTH($A24)))*$D24</f>
        <v>-9146.6007812036059</v>
      </c>
      <c r="BH24" s="1021">
        <f>(VLOOKUP(YEAR($A24),'NY East Load Projections'!$A$4:$EO$14,((MONTH($A24)-1)*12)+VLOOKUP(BH$4,$DE$6:$DF$17,2)+1))*(VLOOKUP($A24,CURVES!$D$9:$T$261,8))*(INDEX(DailyScalarsTable,BH$5/100,MONTH($A24)))*$D24</f>
        <v>-8715.1389300518476</v>
      </c>
      <c r="BI24" s="1021">
        <f>(VLOOKUP(YEAR($A24),'NY East Load Projections'!$A$4:$EO$14,((MONTH($A24)-1)*12)+VLOOKUP(BI$4,$DE$6:$DF$17,2)+1))*(VLOOKUP($A24,CURVES!$D$9:$T$261,8))*(INDEX(DailyScalarsTable,BI$5/100,MONTH($A24)))*$D24</f>
        <v>-7848.3105956112049</v>
      </c>
      <c r="BJ24" s="1021">
        <f>(VLOOKUP(YEAR($A24),'NY East Load Projections'!$A$4:$EO$14,((MONTH($A24)-1)*12)+VLOOKUP(BJ$4,$DE$6:$DF$17,2)+1))*(VLOOKUP($A24,CURVES!$D$9:$T$261,8))*(INDEX(DailyScalarsTable,BJ$5/100,MONTH($A24)))*$D24</f>
        <v>-7562.1882076405836</v>
      </c>
      <c r="BK24" s="1021">
        <f>(VLOOKUP(YEAR($A24),'NY East Load Projections'!$A$4:$EO$14,((MONTH($A24)-1)*12)+VLOOKUP(BK$4,$DE$6:$DF$17,2)+1))*(VLOOKUP($A24,CURVES!$D$9:$T$261,8))*(INDEX(DailyScalarsTable,BK$5/100,MONTH($A24)))*$D24</f>
        <v>-8337.0350601530208</v>
      </c>
      <c r="BL24" s="1021">
        <f>(VLOOKUP(YEAR($A24),'NY East Load Projections'!$A$4:$EO$14,((MONTH($A24)-1)*12)+VLOOKUP(BL$4,$DE$6:$DF$17,2)+1))*(VLOOKUP($A24,CURVES!$D$9:$T$261,8))*(INDEX(DailyScalarsTable,BL$5/100,MONTH($A24)))*$D24</f>
        <v>-9258.5281200463323</v>
      </c>
      <c r="BM24" s="1021">
        <f>(VLOOKUP(YEAR($A24),'NY East Load Projections'!$A$4:$EO$14,((MONTH($A24)-1)*12)+VLOOKUP(BM$4,$DE$6:$DF$17,2)+1))*(VLOOKUP($A24,SatSunCurve,8))*(INDEX(DailyScalarsTable,BM$5/100,MONTH($A24)))*$D24</f>
        <v>-6614.8844119104842</v>
      </c>
      <c r="BN24" s="1021">
        <f>(VLOOKUP(YEAR($A24),'NY East Load Projections'!$A$4:$EO$14,((MONTH($A24)-1)*12)+VLOOKUP(BN$4,$DE$6:$DF$17,2)+1))*(VLOOKUP($A24,SatSunCurve,8))*(INDEX(DailyScalarsTable,BN$5/100,MONTH($A24)))*$D24</f>
        <v>-7839.9249243578197</v>
      </c>
      <c r="BO24" s="1021">
        <f>(VLOOKUP(YEAR($A24),'NY East Load Projections'!$A$4:$EO$14,((MONTH($A24)-1)*12)+VLOOKUP(BO$4,$DE$6:$DF$17,2)+1))*(VLOOKUP($A24,SatSunCurve,8))*(INDEX(DailyScalarsTable,BO$5/100,MONTH($A24)))*$D24</f>
        <v>-9386.539311571305</v>
      </c>
      <c r="BP24" s="1021">
        <f>(VLOOKUP(YEAR($A24),'NY East Load Projections'!$A$4:$EO$14,((MONTH($A24)-1)*12)+VLOOKUP(BP$4,$DE$6:$DF$17,2)+1))*(VLOOKUP($A24,SatSunCurve,8))*(INDEX(DailyScalarsTable,BP$5/100,MONTH($A24)))*$D24</f>
        <v>-10680.89252024356</v>
      </c>
      <c r="BQ24" s="1021">
        <f>(VLOOKUP(YEAR($A24),'NY East Load Projections'!$A$4:$EO$14,((MONTH($A24)-1)*12)+VLOOKUP(BQ$4,$DE$6:$DF$17,2)+1))*(VLOOKUP($A24,SatSunCurve,8))*(INDEX(DailyScalarsTable,BQ$5/100,MONTH($A24)))*$D24</f>
        <v>-12769.482889301093</v>
      </c>
      <c r="BR24" s="1021">
        <f>(VLOOKUP(YEAR($A24),'NY East Load Projections'!$A$4:$EO$14,((MONTH($A24)-1)*12)+VLOOKUP(BR$4,$DE$6:$DF$17,2)+1))*(VLOOKUP($A24,SatSunCurve,8))*(INDEX(DailyScalarsTable,BR$5/100,MONTH($A24)))*$D24</f>
        <v>-14198.835731427758</v>
      </c>
      <c r="BS24" s="1021">
        <f>(VLOOKUP(YEAR($A24),'NY East Load Projections'!$A$4:$EO$14,((MONTH($A24)-1)*12)+VLOOKUP(BS$4,$DE$6:$DF$17,2)+1))*(VLOOKUP($A24,SatSunCurve,8))*(INDEX(DailyScalarsTable,BS$5/100,MONTH($A24)))*$D24</f>
        <v>-14676.723909614508</v>
      </c>
      <c r="BT24" s="1021">
        <f>(VLOOKUP(YEAR($A24),'NY East Load Projections'!$A$4:$EO$14,((MONTH($A24)-1)*12)+VLOOKUP(BT$4,$DE$6:$DF$17,2)+1))*(VLOOKUP($A24,SatSunCurve,8))*(INDEX(DailyScalarsTable,BT$5/100,MONTH($A24)))*$D24</f>
        <v>-15287.976230551049</v>
      </c>
      <c r="BU24" s="1021">
        <f>(VLOOKUP(YEAR($A24),'NY East Load Projections'!$A$4:$EO$14,((MONTH($A24)-1)*12)+VLOOKUP(BU$4,$DE$6:$DF$17,2)+1))*(VLOOKUP($A24,SatSunCurve,8))*(INDEX(DailyScalarsTable,BU$5/100,MONTH($A24)))*$D24</f>
        <v>-16224.859333368335</v>
      </c>
      <c r="BV24" s="1021">
        <f>(VLOOKUP(YEAR($A24),'NY East Load Projections'!$A$4:$EO$14,((MONTH($A24)-1)*12)+VLOOKUP(BV$4,$DE$6:$DF$17,2)+1))*(VLOOKUP($A24,SatSunCurve,8))*(INDEX(DailyScalarsTable,BV$5/100,MONTH($A24)))*$D24</f>
        <v>-16031.719228453108</v>
      </c>
      <c r="BW24" s="1021">
        <f>(VLOOKUP(YEAR($A24),'NY East Load Projections'!$A$4:$EO$14,((MONTH($A24)-1)*12)+VLOOKUP(BW$4,$DE$6:$DF$17,2)+1))*(VLOOKUP($A24,SatSunCurve,8))*(INDEX(DailyScalarsTable,BW$5/100,MONTH($A24)))*$D24</f>
        <v>-15634.452127835337</v>
      </c>
      <c r="BX24" s="1021">
        <f>(VLOOKUP(YEAR($A24),'NY East Load Projections'!$A$4:$EO$14,((MONTH($A24)-1)*12)+VLOOKUP(BX$4,$DE$6:$DF$17,2)+1))*(VLOOKUP($A24,SatSunCurve,8))*(INDEX(DailyScalarsTable,BX$5/100,MONTH($A24)))*$D24</f>
        <v>-13058.1372991678</v>
      </c>
      <c r="BY24" s="1021">
        <f>(VLOOKUP(YEAR($A24),'NY East Load Projections'!$A$4:$EO$14,((MONTH($A24)-1)*12)+VLOOKUP(BY$4,$DE$6:$DF$17,2)+1))*(VLOOKUP($A24,SatSunCurve,8))*(INDEX(DailyScalarsTable,BY$5/100,MONTH($A24)))*$D24</f>
        <v>-9662.5263632641636</v>
      </c>
      <c r="BZ24" s="1021">
        <f>(VLOOKUP(YEAR($A24),'NY East Load Projections'!$A$4:$EO$14,((MONTH($A24)-1)*12)+VLOOKUP(BZ$4,$DE$6:$DF$17,2)+1))*(VLOOKUP($A24,SatSunCurve,8))*(INDEX(DailyScalarsTable,BZ$5/100,MONTH($A24)))*$D24</f>
        <v>-10355.971770447823</v>
      </c>
      <c r="CA24" s="1021">
        <f>(VLOOKUP(YEAR($A24),'NY East Load Projections'!$A$4:$EO$14,((MONTH($A24)-1)*12)+VLOOKUP(CA$4,$DE$6:$DF$17,2)+1))*(VLOOKUP($A24,SatSunCurve,8))*(INDEX(DailyScalarsTable,CA$5/100,MONTH($A24)))*$D24</f>
        <v>-10973.553646956851</v>
      </c>
      <c r="CB24" s="1021">
        <f>(VLOOKUP(YEAR($A24),'NY East Load Projections'!$A$4:$EO$14,((MONTH($A24)-1)*12)+VLOOKUP(CB$4,$DE$6:$DF$17,2)+1))*(VLOOKUP($A24,SatSunCurve,8))*(INDEX(DailyScalarsTable,CB$5/100,MONTH($A24)))*$D24</f>
        <v>-7620.668256585207</v>
      </c>
      <c r="CC24" s="1021">
        <f>(VLOOKUP(YEAR($A24),'NY East Load Projections'!$A$4:$EO$14,((MONTH($A24)-1)*12)+VLOOKUP(CC$4,$DE$6:$DF$17,2)+1))*(VLOOKUP($A24,CURVES!$D$9:$T$261,8))*(INDEX(DailyScalarsTable,CC$5/100,MONTH($A24)))*$D24</f>
        <v>-11694.113144951816</v>
      </c>
      <c r="CE24" s="1021">
        <f>(VLOOKUP(YEAR($A24),'NY East Load Projections'!$A$4:$EO$14,((MONTH($A24)-1)*12)+VLOOKUP(CE$4,$DE$6:$DF$17,2)+1))*(VLOOKUP($A24,CURVES!$D$9:$T$261,8))*(INDEX(DailyScalarsTable,CE$5/100,MONTH($A24)))*$E24</f>
        <v>-2503.3572789110626</v>
      </c>
      <c r="CF24" s="1021">
        <f>(VLOOKUP(YEAR($A24),'NY East Load Projections'!$A$4:$EO$14,((MONTH($A24)-1)*12)+VLOOKUP(CF$4,$DE$6:$DF$17,2)+1))*(VLOOKUP($A24,CURVES!$D$9:$T$261,8))*(INDEX(DailyScalarsTable,CF$5/100,MONTH($A24)))*$E24</f>
        <v>-2286.6501953009015</v>
      </c>
      <c r="CG24" s="1021">
        <f>(VLOOKUP(YEAR($A24),'NY East Load Projections'!$A$4:$EO$14,((MONTH($A24)-1)*12)+VLOOKUP(CG$4,$DE$6:$DF$17,2)+1))*(VLOOKUP($A24,CURVES!$D$9:$T$261,8))*(INDEX(DailyScalarsTable,CG$5/100,MONTH($A24)))*$E24</f>
        <v>-2178.7847325129619</v>
      </c>
      <c r="CH24" s="1021">
        <f>(VLOOKUP(YEAR($A24),'NY East Load Projections'!$A$4:$EO$14,((MONTH($A24)-1)*12)+VLOOKUP(CH$4,$DE$6:$DF$17,2)+1))*(VLOOKUP($A24,CURVES!$D$9:$T$261,8))*(INDEX(DailyScalarsTable,CH$5/100,MONTH($A24)))*$E24</f>
        <v>-1962.0776489028012</v>
      </c>
      <c r="CI24" s="1021">
        <f>(VLOOKUP(YEAR($A24),'NY East Load Projections'!$A$4:$EO$14,((MONTH($A24)-1)*12)+VLOOKUP(CI$4,$DE$6:$DF$17,2)+1))*(VLOOKUP($A24,CURVES!$D$9:$T$261,8))*(INDEX(DailyScalarsTable,CI$5/100,MONTH($A24)))*$E24</f>
        <v>-1890.5470519101459</v>
      </c>
      <c r="CJ24" s="1021">
        <f>(VLOOKUP(YEAR($A24),'NY East Load Projections'!$A$4:$EO$14,((MONTH($A24)-1)*12)+VLOOKUP(CJ$4,$DE$6:$DF$17,2)+1))*(VLOOKUP($A24,CURVES!$D$9:$T$261,8))*(INDEX(DailyScalarsTable,CJ$5/100,MONTH($A24)))*$E24</f>
        <v>-2084.2587650382552</v>
      </c>
      <c r="CK24" s="1021">
        <f>(VLOOKUP(YEAR($A24),'NY East Load Projections'!$A$4:$EO$14,((MONTH($A24)-1)*12)+VLOOKUP(CK$4,$DE$6:$DF$17,2)+1))*(VLOOKUP($A24,CURVES!$D$9:$T$261,8))*(INDEX(DailyScalarsTable,CK$5/100,MONTH($A24)))*$E24</f>
        <v>-2314.6320300115831</v>
      </c>
      <c r="CL24" s="1021">
        <f>(VLOOKUP(YEAR($A24),'NY East Load Projections'!$A$4:$EO$14,((MONTH($A24)-1)*12)+VLOOKUP(CL$4,$DE$6:$DF$17,2)+1))*(VLOOKUP($A24,SatSunCurve,8))*(INDEX(DailyScalarsTable,CL$5/100,MONTH($A24)))*$E24</f>
        <v>-1653.7211029776211</v>
      </c>
      <c r="CM24" s="1021">
        <f>(VLOOKUP(YEAR($A24),'NY East Load Projections'!$A$4:$EO$14,((MONTH($A24)-1)*12)+VLOOKUP(CM$4,$DE$6:$DF$17,2)+1))*(VLOOKUP($A24,SatSunCurve,8))*(INDEX(DailyScalarsTable,CM$5/100,MONTH($A24)))*$E24</f>
        <v>-1959.9812310894549</v>
      </c>
      <c r="CN24" s="1021">
        <f>(VLOOKUP(YEAR($A24),'NY East Load Projections'!$A$4:$EO$14,((MONTH($A24)-1)*12)+VLOOKUP(CN$4,$DE$6:$DF$17,2)+1))*(VLOOKUP($A24,SatSunCurve,8))*(INDEX(DailyScalarsTable,CN$5/100,MONTH($A24)))*$E24</f>
        <v>-2346.6348278928263</v>
      </c>
      <c r="CO24" s="1021">
        <f>(VLOOKUP(YEAR($A24),'NY East Load Projections'!$A$4:$EO$14,((MONTH($A24)-1)*12)+VLOOKUP(CO$4,$DE$6:$DF$17,2)+1))*(VLOOKUP($A24,SatSunCurve,8))*(INDEX(DailyScalarsTable,CO$5/100,MONTH($A24)))*$E24</f>
        <v>-2670.2231300608901</v>
      </c>
      <c r="CP24" s="1021">
        <f>(VLOOKUP(YEAR($A24),'NY East Load Projections'!$A$4:$EO$14,((MONTH($A24)-1)*12)+VLOOKUP(CP$4,$DE$6:$DF$17,2)+1))*(VLOOKUP($A24,SatSunCurve,8))*(INDEX(DailyScalarsTable,CP$5/100,MONTH($A24)))*$E24</f>
        <v>-3192.3707223252732</v>
      </c>
      <c r="CQ24" s="1021">
        <f>(VLOOKUP(YEAR($A24),'NY East Load Projections'!$A$4:$EO$14,((MONTH($A24)-1)*12)+VLOOKUP(CQ$4,$DE$6:$DF$17,2)+1))*(VLOOKUP($A24,SatSunCurve,8))*(INDEX(DailyScalarsTable,CQ$5/100,MONTH($A24)))*$E24</f>
        <v>-3549.7089328569396</v>
      </c>
      <c r="CR24" s="1021">
        <f>(VLOOKUP(YEAR($A24),'NY East Load Projections'!$A$4:$EO$14,((MONTH($A24)-1)*12)+VLOOKUP(CR$4,$DE$6:$DF$17,2)+1))*(VLOOKUP($A24,SatSunCurve,8))*(INDEX(DailyScalarsTable,CR$5/100,MONTH($A24)))*$E24</f>
        <v>-3669.1809774036269</v>
      </c>
      <c r="CS24" s="1021">
        <f>(VLOOKUP(YEAR($A24),'NY East Load Projections'!$A$4:$EO$14,((MONTH($A24)-1)*12)+VLOOKUP(CS$4,$DE$6:$DF$17,2)+1))*(VLOOKUP($A24,SatSunCurve,8))*(INDEX(DailyScalarsTable,CS$5/100,MONTH($A24)))*$E24</f>
        <v>-3821.9940576377621</v>
      </c>
      <c r="CT24" s="1021">
        <f>(VLOOKUP(YEAR($A24),'NY East Load Projections'!$A$4:$EO$14,((MONTH($A24)-1)*12)+VLOOKUP(CT$4,$DE$6:$DF$17,2)+1))*(VLOOKUP($A24,SatSunCurve,8))*(INDEX(DailyScalarsTable,CT$5/100,MONTH($A24)))*$E24</f>
        <v>-4056.2148333420837</v>
      </c>
      <c r="CU24" s="1021">
        <f>(VLOOKUP(YEAR($A24),'NY East Load Projections'!$A$4:$EO$14,((MONTH($A24)-1)*12)+VLOOKUP(CU$4,$DE$6:$DF$17,2)+1))*(VLOOKUP($A24,SatSunCurve,8))*(INDEX(DailyScalarsTable,CU$5/100,MONTH($A24)))*$E24</f>
        <v>-4007.9298071132771</v>
      </c>
      <c r="CV24" s="1021">
        <f>(VLOOKUP(YEAR($A24),'NY East Load Projections'!$A$4:$EO$14,((MONTH($A24)-1)*12)+VLOOKUP(CV$4,$DE$6:$DF$17,2)+1))*(VLOOKUP($A24,SatSunCurve,8))*(INDEX(DailyScalarsTable,CV$5/100,MONTH($A24)))*$E24</f>
        <v>-3908.6130319588342</v>
      </c>
      <c r="CW24" s="1021">
        <f>(VLOOKUP(YEAR($A24),'NY East Load Projections'!$A$4:$EO$14,((MONTH($A24)-1)*12)+VLOOKUP(CW$4,$DE$6:$DF$17,2)+1))*(VLOOKUP($A24,SatSunCurve,8))*(INDEX(DailyScalarsTable,CW$5/100,MONTH($A24)))*$E24</f>
        <v>-3264.53432479195</v>
      </c>
      <c r="CX24" s="1021">
        <f>(VLOOKUP(YEAR($A24),'NY East Load Projections'!$A$4:$EO$14,((MONTH($A24)-1)*12)+VLOOKUP(CX$4,$DE$6:$DF$17,2)+1))*(VLOOKUP($A24,SatSunCurve,8))*(INDEX(DailyScalarsTable,CX$5/100,MONTH($A24)))*$E24</f>
        <v>-2415.6315908160409</v>
      </c>
      <c r="CY24" s="1021">
        <f>(VLOOKUP(YEAR($A24),'NY East Load Projections'!$A$4:$EO$14,((MONTH($A24)-1)*12)+VLOOKUP(CY$4,$DE$6:$DF$17,2)+1))*(VLOOKUP($A24,SatSunCurve,8))*(INDEX(DailyScalarsTable,CY$5/100,MONTH($A24)))*$E24</f>
        <v>-2588.9929426119556</v>
      </c>
      <c r="CZ24" s="1021">
        <f>(VLOOKUP(YEAR($A24),'NY East Load Projections'!$A$4:$EO$14,((MONTH($A24)-1)*12)+VLOOKUP(CZ$4,$DE$6:$DF$17,2)+1))*(VLOOKUP($A24,SatSunCurve,8))*(INDEX(DailyScalarsTable,CZ$5/100,MONTH($A24)))*$E24</f>
        <v>-2743.3884117392126</v>
      </c>
      <c r="DA24" s="1021">
        <f>(VLOOKUP(YEAR($A24),'NY East Load Projections'!$A$4:$EO$14,((MONTH($A24)-1)*12)+VLOOKUP(DA$4,$DE$6:$DF$17,2)+1))*(VLOOKUP($A24,SatSunCurve,8))*(INDEX(DailyScalarsTable,DA$5/100,MONTH($A24)))*$E24</f>
        <v>-1905.1670641463018</v>
      </c>
      <c r="DB24" s="1021">
        <f>(VLOOKUP(YEAR($A24),'NY East Load Projections'!$A$4:$EO$14,((MONTH($A24)-1)*12)+VLOOKUP(DB$4,$DE$6:$DF$17,2)+1))*(VLOOKUP($A24,CURVES!$D$9:$T$261,8))*(INDEX(DailyScalarsTable,DB$5/100,MONTH($A24)))*$E24</f>
        <v>-2923.528286237954</v>
      </c>
      <c r="DH24" s="1021">
        <f t="shared" si="0"/>
        <v>-3652496.4658047925</v>
      </c>
      <c r="DI24">
        <f ca="1">CALC!J44</f>
        <v>0.84145367162451279</v>
      </c>
      <c r="DJ24" s="1029">
        <f t="shared" ca="1" si="1"/>
        <v>-3073406.5617469992</v>
      </c>
    </row>
    <row r="25" spans="1:114" x14ac:dyDescent="0.25">
      <c r="A25" s="244">
        <v>37469</v>
      </c>
      <c r="B25" s="13">
        <v>22</v>
      </c>
      <c r="C25" s="210">
        <v>5</v>
      </c>
      <c r="D25" s="210">
        <v>4</v>
      </c>
      <c r="E25" s="210">
        <v>0</v>
      </c>
      <c r="F25" s="13">
        <v>31</v>
      </c>
      <c r="H25" s="1021">
        <f>(VLOOKUP(YEAR($A25),'NY East Load Projections'!$A$4:$EO$14,((MONTH($A25)-1)*12)+VLOOKUP(H$4,$DE$6:$DF$17,2)+1))*(VLOOKUP($A25,CURVES!$D$9:$K$261,8))*(INDEX(DailyScalarsTable,H$5/100,MONTH($A25)))*$B25</f>
        <v>-57526.041445398587</v>
      </c>
      <c r="I25" s="1021">
        <f>(VLOOKUP(YEAR($A25),'NY East Load Projections'!$A$4:$EO$14,((MONTH($A25)-1)*12)+VLOOKUP(I$4,$DE$6:$DF$17,2)+1))*(VLOOKUP($A25,CURVES!$D$9:$K$261,8))*(INDEX(DailyScalarsTable,I$5/100,MONTH($A25)))*$B25</f>
        <v>-51929.765205220509</v>
      </c>
      <c r="J25" s="1021">
        <f>(VLOOKUP(YEAR($A25),'NY East Load Projections'!$A$4:$EO$14,((MONTH($A25)-1)*12)+VLOOKUP(J$4,$DE$6:$DF$17,2)+1))*(VLOOKUP($A25,CURVES!$D$9:$K$261,8))*(INDEX(DailyScalarsTable,J$5/100,MONTH($A25)))*$B25</f>
        <v>-46635.635334817322</v>
      </c>
      <c r="K25" s="1021">
        <f>(VLOOKUP(YEAR($A25),'NY East Load Projections'!$A$4:$EO$14,((MONTH($A25)-1)*12)+VLOOKUP(K$4,$DE$6:$DF$17,2)+1))*(VLOOKUP($A25,CURVES!$D$9:$K$261,8))*(INDEX(DailyScalarsTable,K$5/100,MONTH($A25)))*$B25</f>
        <v>-43876.907610785856</v>
      </c>
      <c r="L25" s="1021">
        <f>(VLOOKUP(YEAR($A25),'NY East Load Projections'!$A$4:$EO$14,((MONTH($A25)-1)*12)+VLOOKUP(L$4,$DE$6:$DF$17,2)+1))*(VLOOKUP($A25,CURVES!$D$9:$K$261,8))*(INDEX(DailyScalarsTable,L$5/100,MONTH($A25)))*$B25</f>
        <v>-47163.937014220988</v>
      </c>
      <c r="M25" s="1021">
        <f>(VLOOKUP(YEAR($A25),'NY East Load Projections'!$A$4:$EO$14,((MONTH($A25)-1)*12)+VLOOKUP(M$4,$DE$6:$DF$17,2)+1))*(VLOOKUP($A25,CURVES!$D$9:$K$261,8))*(INDEX(DailyScalarsTable,M$5/100,MONTH($A25)))*$B25</f>
        <v>-52401.351421626568</v>
      </c>
      <c r="N25" s="1021">
        <f>(VLOOKUP(YEAR($A25),'NY East Load Projections'!$A$4:$EO$14,((MONTH($A25)-1)*12)+VLOOKUP(N$4,$DE$6:$DF$17,2)+1))*(VLOOKUP($A25,CURVES!$D$9:$K$261,8))*(INDEX(DailyScalarsTable,N$5/100,MONTH($A25)))*$B25</f>
        <v>-60971.665906472022</v>
      </c>
      <c r="O25" s="1021">
        <f>(VLOOKUP(YEAR($A25),'NY East Load Projections'!$A$4:$EO$14,((MONTH($A25)-1)*12)+VLOOKUP(O$4,$DE$6:$DF$17,2)+1))*(VLOOKUP($A25,CURVES!$D$9:$K$261,4))*(INDEX(DailyScalarsTable,O$5/100,MONTH($A25)))*$B25</f>
        <v>-98963.064256843878</v>
      </c>
      <c r="P25" s="1021">
        <f>(VLOOKUP(YEAR($A25),'NY East Load Projections'!$A$4:$EO$14,((MONTH($A25)-1)*12)+VLOOKUP(P$4,$DE$6:$DF$17,2)+1))*(VLOOKUP($A25,CURVES!$D$9:$K$261,4))*(INDEX(DailyScalarsTable,P$5/100,MONTH($A25)))*$B25</f>
        <v>-115165.9718788813</v>
      </c>
      <c r="Q25" s="1021">
        <f>(VLOOKUP(YEAR($A25),'NY East Load Projections'!$A$4:$EO$14,((MONTH($A25)-1)*12)+VLOOKUP(Q$4,$DE$6:$DF$17,2)+1))*(VLOOKUP($A25,CURVES!$D$9:$K$261,4))*(INDEX(DailyScalarsTable,Q$5/100,MONTH($A25)))*$B25</f>
        <v>-147693.27377979577</v>
      </c>
      <c r="R25" s="1021">
        <f>(VLOOKUP(YEAR($A25),'NY East Load Projections'!$A$4:$EO$14,((MONTH($A25)-1)*12)+VLOOKUP(R$4,$DE$6:$DF$17,2)+1))*(VLOOKUP($A25,CURVES!$D$9:$K$261,4))*(INDEX(DailyScalarsTable,R$5/100,MONTH($A25)))*$B25</f>
        <v>-166694.37092983487</v>
      </c>
      <c r="S25" s="1021">
        <f>(VLOOKUP(YEAR($A25),'NY East Load Projections'!$A$4:$EO$14,((MONTH($A25)-1)*12)+VLOOKUP(S$4,$DE$6:$DF$17,2)+1))*(VLOOKUP($A25,CURVES!$D$9:$K$261,4))*(INDEX(DailyScalarsTable,S$5/100,MONTH($A25)))*$B25</f>
        <v>-173758.05563306974</v>
      </c>
      <c r="T25" s="1021">
        <f>(VLOOKUP(YEAR($A25),'NY East Load Projections'!$A$4:$EO$14,((MONTH($A25)-1)*12)+VLOOKUP(T$4,$DE$6:$DF$17,2)+1))*(VLOOKUP($A25,CURVES!$D$9:$K$261,4))*(INDEX(DailyScalarsTable,T$5/100,MONTH($A25)))*$B25</f>
        <v>-174419.87527321931</v>
      </c>
      <c r="U25" s="1021">
        <f>(VLOOKUP(YEAR($A25),'NY East Load Projections'!$A$4:$EO$14,((MONTH($A25)-1)*12)+VLOOKUP(U$4,$DE$6:$DF$17,2)+1))*(VLOOKUP($A25,CURVES!$D$9:$K$261,4))*(INDEX(DailyScalarsTable,U$5/100,MONTH($A25)))*$B25</f>
        <v>-191473.00792852847</v>
      </c>
      <c r="V25" s="1021">
        <f>(VLOOKUP(YEAR($A25),'NY East Load Projections'!$A$4:$EO$14,((MONTH($A25)-1)*12)+VLOOKUP(V$4,$DE$6:$DF$17,2)+1))*(VLOOKUP($A25,CURVES!$D$9:$K$261,4))*(INDEX(DailyScalarsTable,V$5/100,MONTH($A25)))*$B25</f>
        <v>-202704.1793715792</v>
      </c>
      <c r="W25" s="1021">
        <f>(VLOOKUP(YEAR($A25),'NY East Load Projections'!$A$4:$EO$14,((MONTH($A25)-1)*12)+VLOOKUP(W$4,$DE$6:$DF$17,2)+1))*(VLOOKUP($A25,CURVES!$D$9:$K$261,4))*(INDEX(DailyScalarsTable,W$5/100,MONTH($A25)))*$B25</f>
        <v>-199880.09370891657</v>
      </c>
      <c r="X25" s="1021">
        <f>(VLOOKUP(YEAR($A25),'NY East Load Projections'!$A$4:$EO$14,((MONTH($A25)-1)*12)+VLOOKUP(X$4,$DE$6:$DF$17,2)+1))*(VLOOKUP($A25,CURVES!$D$9:$K$261,4))*(INDEX(DailyScalarsTable,X$5/100,MONTH($A25)))*$B25</f>
        <v>-188882.55358302756</v>
      </c>
      <c r="Y25" s="1021">
        <f>(VLOOKUP(YEAR($A25),'NY East Load Projections'!$A$4:$EO$14,((MONTH($A25)-1)*12)+VLOOKUP(Y$4,$DE$6:$DF$17,2)+1))*(VLOOKUP($A25,CURVES!$D$9:$K$261,4))*(INDEX(DailyScalarsTable,Y$5/100,MONTH($A25)))*$B25</f>
        <v>-174916.92114665743</v>
      </c>
      <c r="Z25" s="1021">
        <f>(VLOOKUP(YEAR($A25),'NY East Load Projections'!$A$4:$EO$14,((MONTH($A25)-1)*12)+VLOOKUP(Z$4,$DE$6:$DF$17,2)+1))*(VLOOKUP($A25,CURVES!$D$9:$K$261,4))*(INDEX(DailyScalarsTable,Z$5/100,MONTH($A25)))*$B25</f>
        <v>-142575.4565571686</v>
      </c>
      <c r="AA25" s="1021">
        <f>(VLOOKUP(YEAR($A25),'NY East Load Projections'!$A$4:$EO$14,((MONTH($A25)-1)*12)+VLOOKUP(AA$4,$DE$6:$DF$17,2)+1))*(VLOOKUP($A25,CURVES!$D$9:$K$261,4))*(INDEX(DailyScalarsTable,AA$5/100,MONTH($A25)))*$B25</f>
        <v>-129806.87832963016</v>
      </c>
      <c r="AB25" s="1021">
        <f>(VLOOKUP(YEAR($A25),'NY East Load Projections'!$A$4:$EO$14,((MONTH($A25)-1)*12)+VLOOKUP(AB$4,$DE$6:$DF$17,2)+1))*(VLOOKUP($A25,CURVES!$D$9:$K$261,4))*(INDEX(DailyScalarsTable,AB$5/100,MONTH($A25)))*$B25</f>
        <v>-155544.34518616134</v>
      </c>
      <c r="AC25" s="1021">
        <f>(VLOOKUP(YEAR($A25),'NY East Load Projections'!$A$4:$EO$14,((MONTH($A25)-1)*12)+VLOOKUP(AC$4,$DE$6:$DF$17,2)+1))*(VLOOKUP($A25,CURVES!$D$9:$K$261,4))*(INDEX(DailyScalarsTable,AC$5/100,MONTH($A25)))*$B25</f>
        <v>-132263.69483297996</v>
      </c>
      <c r="AD25" s="1021">
        <f>(VLOOKUP(YEAR($A25),'NY East Load Projections'!$A$4:$EO$14,((MONTH($A25)-1)*12)+VLOOKUP(AD$4,$DE$6:$DF$17,2)+1))*(VLOOKUP($A25,CURVES!$D$9:$K$261,4))*(INDEX(DailyScalarsTable,AD$5/100,MONTH($A25)))*$B25</f>
        <v>-107102.99195986807</v>
      </c>
      <c r="AE25" s="1021">
        <f>(VLOOKUP(YEAR($A25),'NY East Load Projections'!$A$4:$EO$14,((MONTH($A25)-1)*12)+VLOOKUP(AE$4,$DE$6:$DF$17,2)+1))*(VLOOKUP($A25,CURVES!$D$9:$K$261,8))*(INDEX(DailyScalarsTable,AE$5/100,MONTH($A25)))*$B25</f>
        <v>-68594.469784679721</v>
      </c>
      <c r="AF25" s="1021"/>
      <c r="AG25" s="1021">
        <f>(VLOOKUP(YEAR($A25),'NY East Load Projections'!$A$4:$EO$14,((MONTH($A25)-1)*12)+VLOOKUP(AG$4,$DE$6:$DF$17,2)+1))*(VLOOKUP($A25,CURVES!$D$9:$T$261,8))*(INDEX(DailyScalarsTable,AG$5/100,MONTH($A25)))*$C25</f>
        <v>-12982.087856846567</v>
      </c>
      <c r="AH25" s="1021">
        <f>(VLOOKUP(YEAR($A25),'NY East Load Projections'!$A$4:$EO$14,((MONTH($A25)-1)*12)+VLOOKUP(AH$4,$DE$6:$DF$17,2)+1))*(VLOOKUP($A25,CURVES!$D$9:$T$261,8))*(INDEX(DailyScalarsTable,AH$5/100,MONTH($A25)))*$C25</f>
        <v>-11719.158095025003</v>
      </c>
      <c r="AI25" s="1021">
        <f>(VLOOKUP(YEAR($A25),'NY East Load Projections'!$A$4:$EO$14,((MONTH($A25)-1)*12)+VLOOKUP(AI$4,$DE$6:$DF$17,2)+1))*(VLOOKUP($A25,CURVES!$D$9:$T$261,8))*(INDEX(DailyScalarsTable,AI$5/100,MONTH($A25)))*$C25</f>
        <v>-10524.414681846389</v>
      </c>
      <c r="AJ25" s="1021">
        <f>(VLOOKUP(YEAR($A25),'NY East Load Projections'!$A$4:$EO$14,((MONTH($A25)-1)*12)+VLOOKUP(AJ$4,$DE$6:$DF$17,2)+1))*(VLOOKUP($A25,CURVES!$D$9:$T$261,8))*(INDEX(DailyScalarsTable,AJ$5/100,MONTH($A25)))*$C25</f>
        <v>-9901.8436724977255</v>
      </c>
      <c r="AK25" s="1021">
        <f>(VLOOKUP(YEAR($A25),'NY East Load Projections'!$A$4:$EO$14,((MONTH($A25)-1)*12)+VLOOKUP(AK$4,$DE$6:$DF$17,2)+1))*(VLOOKUP($A25,CURVES!$D$9:$T$261,8))*(INDEX(DailyScalarsTable,AK$5/100,MONTH($A25)))*$C25</f>
        <v>-10461.306662395371</v>
      </c>
      <c r="AL25" s="1021">
        <f>(VLOOKUP(YEAR($A25),'NY East Load Projections'!$A$4:$EO$14,((MONTH($A25)-1)*12)+VLOOKUP(AL$4,$DE$6:$DF$17,2)+1))*(VLOOKUP($A25,CURVES!$D$9:$T$261,8))*(INDEX(DailyScalarsTable,AL$5/100,MONTH($A25)))*$C25</f>
        <v>-11623.003537221513</v>
      </c>
      <c r="AM25" s="1021">
        <f>(VLOOKUP(YEAR($A25),'NY East Load Projections'!$A$4:$EO$14,((MONTH($A25)-1)*12)+VLOOKUP(AM$4,$DE$6:$DF$17,2)+1))*(VLOOKUP($A25,CURVES!$D$9:$T$261,8))*(INDEX(DailyScalarsTable,AM$5/100,MONTH($A25)))*$C25</f>
        <v>-13523.962059664282</v>
      </c>
      <c r="AN25" s="1021">
        <f>(VLOOKUP(YEAR($A25),'NY East Load Projections'!$A$4:$EO$14,((MONTH($A25)-1)*12)+VLOOKUP(AN$4,$DE$6:$DF$17,2)+1))*(VLOOKUP($A25,SatSunCurve,4))*(INDEX(DailyScalarsTable,AN$5/100,MONTH($A25)))*$C25</f>
        <v>-13726.067116010954</v>
      </c>
      <c r="AO25" s="1021">
        <f>(VLOOKUP(YEAR($A25),'NY East Load Projections'!$A$4:$EO$14,((MONTH($A25)-1)*12)+VLOOKUP(AO$4,$DE$6:$DF$17,2)+1))*(VLOOKUP($A25,SatSunCurve,4))*(INDEX(DailyScalarsTable,AO$5/100,MONTH($A25)))*$C25</f>
        <v>-16207.121107308809</v>
      </c>
      <c r="AP25" s="1021">
        <f>(VLOOKUP(YEAR($A25),'NY East Load Projections'!$A$4:$EO$14,((MONTH($A25)-1)*12)+VLOOKUP(AP$4,$DE$6:$DF$17,2)+1))*(VLOOKUP($A25,SatSunCurve,4))*(INDEX(DailyScalarsTable,AP$5/100,MONTH($A25)))*$C25</f>
        <v>-20784.6357377288</v>
      </c>
      <c r="AQ25" s="1021">
        <f>(VLOOKUP(YEAR($A25),'NY East Load Projections'!$A$4:$EO$14,((MONTH($A25)-1)*12)+VLOOKUP(AQ$4,$DE$6:$DF$17,2)+1))*(VLOOKUP($A25,SatSunCurve,4))*(INDEX(DailyScalarsTable,AQ$5/100,MONTH($A25)))*$C25</f>
        <v>-23458.629432726611</v>
      </c>
      <c r="AR25" s="1021">
        <f>(VLOOKUP(YEAR($A25),'NY East Load Projections'!$A$4:$EO$14,((MONTH($A25)-1)*12)+VLOOKUP(AR$4,$DE$6:$DF$17,2)+1))*(VLOOKUP($A25,SatSunCurve,4))*(INDEX(DailyScalarsTable,AR$5/100,MONTH($A25)))*$C25</f>
        <v>-24452.690365669299</v>
      </c>
      <c r="AS25" s="1021">
        <f>(VLOOKUP(YEAR($A25),'NY East Load Projections'!$A$4:$EO$14,((MONTH($A25)-1)*12)+VLOOKUP(AS$4,$DE$6:$DF$17,2)+1))*(VLOOKUP($A25,SatSunCurve,4))*(INDEX(DailyScalarsTable,AS$5/100,MONTH($A25)))*$C25</f>
        <v>-24604.97324891841</v>
      </c>
      <c r="AT25" s="1021">
        <f>(VLOOKUP(YEAR($A25),'NY East Load Projections'!$A$4:$EO$14,((MONTH($A25)-1)*12)+VLOOKUP(AT$4,$DE$6:$DF$17,2)+1))*(VLOOKUP($A25,SatSunCurve,4))*(INDEX(DailyScalarsTable,AT$5/100,MONTH($A25)))*$C25</f>
        <v>-27010.615794739926</v>
      </c>
      <c r="AU25" s="1021">
        <f>(VLOOKUP(YEAR($A25),'NY East Load Projections'!$A$4:$EO$14,((MONTH($A25)-1)*12)+VLOOKUP(AU$4,$DE$6:$DF$17,2)+1))*(VLOOKUP($A25,SatSunCurve,4))*(INDEX(DailyScalarsTable,AU$5/100,MONTH($A25)))*$C25</f>
        <v>-28594.968910905183</v>
      </c>
      <c r="AV25" s="1021">
        <f>(VLOOKUP(YEAR($A25),'NY East Load Projections'!$A$4:$EO$14,((MONTH($A25)-1)*12)+VLOOKUP(AV$4,$DE$6:$DF$17,2)+1))*(VLOOKUP($A25,SatSunCurve,4))*(INDEX(DailyScalarsTable,AV$5/100,MONTH($A25)))*$C25</f>
        <v>-28196.582247265946</v>
      </c>
      <c r="AW25" s="1021">
        <f>(VLOOKUP(YEAR($A25),'NY East Load Projections'!$A$4:$EO$14,((MONTH($A25)-1)*12)+VLOOKUP(AW$4,$DE$6:$DF$17,2)+1))*(VLOOKUP($A25,SatSunCurve,4))*(INDEX(DailyScalarsTable,AW$5/100,MONTH($A25)))*$C25</f>
        <v>-26654.484715486717</v>
      </c>
      <c r="AX25" s="1021">
        <f>(VLOOKUP(YEAR($A25),'NY East Load Projections'!$A$4:$EO$14,((MONTH($A25)-1)*12)+VLOOKUP(AX$4,$DE$6:$DF$17,2)+1))*(VLOOKUP($A25,SatSunCurve,4))*(INDEX(DailyScalarsTable,AX$5/100,MONTH($A25)))*$C25</f>
        <v>-24683.700599876462</v>
      </c>
      <c r="AY25" s="1021">
        <f>(VLOOKUP(YEAR($A25),'NY East Load Projections'!$A$4:$EO$14,((MONTH($A25)-1)*12)+VLOOKUP(AY$4,$DE$6:$DF$17,2)+1))*(VLOOKUP($A25,SatSunCurve,4))*(INDEX(DailyScalarsTable,AY$5/100,MONTH($A25)))*$C25</f>
        <v>-20119.779490042176</v>
      </c>
      <c r="AZ25" s="1021">
        <f>(VLOOKUP(YEAR($A25),'NY East Load Projections'!$A$4:$EO$14,((MONTH($A25)-1)*12)+VLOOKUP(AZ$4,$DE$6:$DF$17,2)+1))*(VLOOKUP($A25,SatSunCurve,4))*(INDEX(DailyScalarsTable,AZ$5/100,MONTH($A25)))*$C25</f>
        <v>-18317.919727198514</v>
      </c>
      <c r="BA25" s="1021">
        <f>(VLOOKUP(YEAR($A25),'NY East Load Projections'!$A$4:$EO$14,((MONTH($A25)-1)*12)+VLOOKUP(BA$4,$DE$6:$DF$17,2)+1))*(VLOOKUP($A25,SatSunCurve,4))*(INDEX(DailyScalarsTable,BA$5/100,MONTH($A25)))*$C25</f>
        <v>-22173.367000235336</v>
      </c>
      <c r="BB25" s="1021">
        <f>(VLOOKUP(YEAR($A25),'NY East Load Projections'!$A$4:$EO$14,((MONTH($A25)-1)*12)+VLOOKUP(BB$4,$DE$6:$DF$17,2)+1))*(VLOOKUP($A25,SatSunCurve,4))*(INDEX(DailyScalarsTable,BB$5/100,MONTH($A25)))*$C25</f>
        <v>-18854.632373994642</v>
      </c>
      <c r="BC25" s="1021">
        <f>(VLOOKUP(YEAR($A25),'NY East Load Projections'!$A$4:$EO$14,((MONTH($A25)-1)*12)+VLOOKUP(BC$4,$DE$6:$DF$17,2)+1))*(VLOOKUP($A25,SatSunCurve,4))*(INDEX(DailyScalarsTable,BC$5/100,MONTH($A25)))*$C25</f>
        <v>-15267.889968658894</v>
      </c>
      <c r="BD25" s="1021">
        <f>(VLOOKUP(YEAR($A25),'NY East Load Projections'!$A$4:$EO$14,((MONTH($A25)-1)*12)+VLOOKUP(BD$4,$DE$6:$DF$17,2)+1))*(VLOOKUP($A25,CURVES!$D$9:$T$261,8))*(INDEX(DailyScalarsTable,BD$5/100,MONTH($A25)))*$C25</f>
        <v>-15637.575526822928</v>
      </c>
      <c r="BE25" s="1021"/>
      <c r="BF25" s="1021">
        <f>(VLOOKUP(YEAR($A25),'NY East Load Projections'!$A$4:$EO$14,((MONTH($A25)-1)*12)+VLOOKUP(BF$4,$DE$6:$DF$17,2)+1))*(VLOOKUP($A25,CURVES!$D$9:$T$261,8))*(INDEX(DailyScalarsTable,BF$5/100,MONTH($A25)))*$D25</f>
        <v>-10385.670285477254</v>
      </c>
      <c r="BG25" s="1021">
        <f>(VLOOKUP(YEAR($A25),'NY East Load Projections'!$A$4:$EO$14,((MONTH($A25)-1)*12)+VLOOKUP(BG$4,$DE$6:$DF$17,2)+1))*(VLOOKUP($A25,CURVES!$D$9:$T$261,8))*(INDEX(DailyScalarsTable,BG$5/100,MONTH($A25)))*$D25</f>
        <v>-9375.3264760200018</v>
      </c>
      <c r="BH25" s="1021">
        <f>(VLOOKUP(YEAR($A25),'NY East Load Projections'!$A$4:$EO$14,((MONTH($A25)-1)*12)+VLOOKUP(BH$4,$DE$6:$DF$17,2)+1))*(VLOOKUP($A25,CURVES!$D$9:$T$261,8))*(INDEX(DailyScalarsTable,BH$5/100,MONTH($A25)))*$D25</f>
        <v>-8419.5317454771102</v>
      </c>
      <c r="BI25" s="1021">
        <f>(VLOOKUP(YEAR($A25),'NY East Load Projections'!$A$4:$EO$14,((MONTH($A25)-1)*12)+VLOOKUP(BI$4,$DE$6:$DF$17,2)+1))*(VLOOKUP($A25,CURVES!$D$9:$T$261,8))*(INDEX(DailyScalarsTable,BI$5/100,MONTH($A25)))*$D25</f>
        <v>-7921.4749379981804</v>
      </c>
      <c r="BJ25" s="1021">
        <f>(VLOOKUP(YEAR($A25),'NY East Load Projections'!$A$4:$EO$14,((MONTH($A25)-1)*12)+VLOOKUP(BJ$4,$DE$6:$DF$17,2)+1))*(VLOOKUP($A25,CURVES!$D$9:$T$261,8))*(INDEX(DailyScalarsTable,BJ$5/100,MONTH($A25)))*$D25</f>
        <v>-8369.0453299162964</v>
      </c>
      <c r="BK25" s="1021">
        <f>(VLOOKUP(YEAR($A25),'NY East Load Projections'!$A$4:$EO$14,((MONTH($A25)-1)*12)+VLOOKUP(BK$4,$DE$6:$DF$17,2)+1))*(VLOOKUP($A25,CURVES!$D$9:$T$261,8))*(INDEX(DailyScalarsTable,BK$5/100,MONTH($A25)))*$D25</f>
        <v>-9298.4028297772111</v>
      </c>
      <c r="BL25" s="1021">
        <f>(VLOOKUP(YEAR($A25),'NY East Load Projections'!$A$4:$EO$14,((MONTH($A25)-1)*12)+VLOOKUP(BL$4,$DE$6:$DF$17,2)+1))*(VLOOKUP($A25,CURVES!$D$9:$T$261,8))*(INDEX(DailyScalarsTable,BL$5/100,MONTH($A25)))*$D25</f>
        <v>-10819.169647731425</v>
      </c>
      <c r="BM25" s="1021">
        <f>(VLOOKUP(YEAR($A25),'NY East Load Projections'!$A$4:$EO$14,((MONTH($A25)-1)*12)+VLOOKUP(BM$4,$DE$6:$DF$17,2)+1))*(VLOOKUP($A25,SatSunCurve,8))*(INDEX(DailyScalarsTable,BM$5/100,MONTH($A25)))*$D25</f>
        <v>-8230.3053942895331</v>
      </c>
      <c r="BN25" s="1021">
        <f>(VLOOKUP(YEAR($A25),'NY East Load Projections'!$A$4:$EO$14,((MONTH($A25)-1)*12)+VLOOKUP(BN$4,$DE$6:$DF$17,2)+1))*(VLOOKUP($A25,SatSunCurve,8))*(INDEX(DailyScalarsTable,BN$5/100,MONTH($A25)))*$D25</f>
        <v>-9717.973484174021</v>
      </c>
      <c r="BO25" s="1021">
        <f>(VLOOKUP(YEAR($A25),'NY East Load Projections'!$A$4:$EO$14,((MONTH($A25)-1)*12)+VLOOKUP(BO$4,$DE$6:$DF$17,2)+1))*(VLOOKUP($A25,SatSunCurve,8))*(INDEX(DailyScalarsTable,BO$5/100,MONTH($A25)))*$D25</f>
        <v>-12462.703131549793</v>
      </c>
      <c r="BP25" s="1021">
        <f>(VLOOKUP(YEAR($A25),'NY East Load Projections'!$A$4:$EO$14,((MONTH($A25)-1)*12)+VLOOKUP(BP$4,$DE$6:$DF$17,2)+1))*(VLOOKUP($A25,SatSunCurve,8))*(INDEX(DailyScalarsTable,BP$5/100,MONTH($A25)))*$D25</f>
        <v>-14066.06005427425</v>
      </c>
      <c r="BQ25" s="1021">
        <f>(VLOOKUP(YEAR($A25),'NY East Load Projections'!$A$4:$EO$14,((MONTH($A25)-1)*12)+VLOOKUP(BQ$4,$DE$6:$DF$17,2)+1))*(VLOOKUP($A25,SatSunCurve,8))*(INDEX(DailyScalarsTable,BQ$5/100,MONTH($A25)))*$D25</f>
        <v>-14662.11025492549</v>
      </c>
      <c r="BR25" s="1021">
        <f>(VLOOKUP(YEAR($A25),'NY East Load Projections'!$A$4:$EO$14,((MONTH($A25)-1)*12)+VLOOKUP(BR$4,$DE$6:$DF$17,2)+1))*(VLOOKUP($A25,SatSunCurve,8))*(INDEX(DailyScalarsTable,BR$5/100,MONTH($A25)))*$D25</f>
        <v>-14753.420797477122</v>
      </c>
      <c r="BS25" s="1021">
        <f>(VLOOKUP(YEAR($A25),'NY East Load Projections'!$A$4:$EO$14,((MONTH($A25)-1)*12)+VLOOKUP(BS$4,$DE$6:$DF$17,2)+1))*(VLOOKUP($A25,SatSunCurve,8))*(INDEX(DailyScalarsTable,BS$5/100,MONTH($A25)))*$D25</f>
        <v>-16195.871330048993</v>
      </c>
      <c r="BT25" s="1021">
        <f>(VLOOKUP(YEAR($A25),'NY East Load Projections'!$A$4:$EO$14,((MONTH($A25)-1)*12)+VLOOKUP(BT$4,$DE$6:$DF$17,2)+1))*(VLOOKUP($A25,SatSunCurve,8))*(INDEX(DailyScalarsTable,BT$5/100,MONTH($A25)))*$D25</f>
        <v>-17145.867413284224</v>
      </c>
      <c r="BU25" s="1021">
        <f>(VLOOKUP(YEAR($A25),'NY East Load Projections'!$A$4:$EO$14,((MONTH($A25)-1)*12)+VLOOKUP(BU$4,$DE$6:$DF$17,2)+1))*(VLOOKUP($A25,SatSunCurve,8))*(INDEX(DailyScalarsTable,BU$5/100,MONTH($A25)))*$D25</f>
        <v>-16906.990255023917</v>
      </c>
      <c r="BV25" s="1021">
        <f>(VLOOKUP(YEAR($A25),'NY East Load Projections'!$A$4:$EO$14,((MONTH($A25)-1)*12)+VLOOKUP(BV$4,$DE$6:$DF$17,2)+1))*(VLOOKUP($A25,SatSunCurve,8))*(INDEX(DailyScalarsTable,BV$5/100,MONTH($A25)))*$D25</f>
        <v>-15982.33109905064</v>
      </c>
      <c r="BW25" s="1021">
        <f>(VLOOKUP(YEAR($A25),'NY East Load Projections'!$A$4:$EO$14,((MONTH($A25)-1)*12)+VLOOKUP(BW$4,$DE$6:$DF$17,2)+1))*(VLOOKUP($A25,SatSunCurve,8))*(INDEX(DailyScalarsTable,BW$5/100,MONTH($A25)))*$D25</f>
        <v>-14800.626609294286</v>
      </c>
      <c r="BX25" s="1021">
        <f>(VLOOKUP(YEAR($A25),'NY East Load Projections'!$A$4:$EO$14,((MONTH($A25)-1)*12)+VLOOKUP(BX$4,$DE$6:$DF$17,2)+1))*(VLOOKUP($A25,SatSunCurve,8))*(INDEX(DailyScalarsTable,BX$5/100,MONTH($A25)))*$D25</f>
        <v>-12064.047790911143</v>
      </c>
      <c r="BY25" s="1021">
        <f>(VLOOKUP(YEAR($A25),'NY East Load Projections'!$A$4:$EO$14,((MONTH($A25)-1)*12)+VLOOKUP(BY$4,$DE$6:$DF$17,2)+1))*(VLOOKUP($A25,SatSunCurve,8))*(INDEX(DailyScalarsTable,BY$5/100,MONTH($A25)))*$D25</f>
        <v>-10983.632257419617</v>
      </c>
      <c r="BZ25" s="1021">
        <f>(VLOOKUP(YEAR($A25),'NY East Load Projections'!$A$4:$EO$14,((MONTH($A25)-1)*12)+VLOOKUP(BZ$4,$DE$6:$DF$17,2)+1))*(VLOOKUP($A25,SatSunCurve,8))*(INDEX(DailyScalarsTable,BZ$5/100,MONTH($A25)))*$D25</f>
        <v>-13295.402134434149</v>
      </c>
      <c r="CA25" s="1021">
        <f>(VLOOKUP(YEAR($A25),'NY East Load Projections'!$A$4:$EO$14,((MONTH($A25)-1)*12)+VLOOKUP(CA$4,$DE$6:$DF$17,2)+1))*(VLOOKUP($A25,SatSunCurve,8))*(INDEX(DailyScalarsTable,CA$5/100,MONTH($A25)))*$D25</f>
        <v>-11305.451242768813</v>
      </c>
      <c r="CB25" s="1021">
        <f>(VLOOKUP(YEAR($A25),'NY East Load Projections'!$A$4:$EO$14,((MONTH($A25)-1)*12)+VLOOKUP(CB$4,$DE$6:$DF$17,2)+1))*(VLOOKUP($A25,SatSunCurve,8))*(INDEX(DailyScalarsTable,CB$5/100,MONTH($A25)))*$D25</f>
        <v>-9154.7998495428656</v>
      </c>
      <c r="CC25" s="1021">
        <f>(VLOOKUP(YEAR($A25),'NY East Load Projections'!$A$4:$EO$14,((MONTH($A25)-1)*12)+VLOOKUP(CC$4,$DE$6:$DF$17,2)+1))*(VLOOKUP($A25,CURVES!$D$9:$T$261,8))*(INDEX(DailyScalarsTable,CC$5/100,MONTH($A25)))*$D25</f>
        <v>-12510.060421458342</v>
      </c>
      <c r="CE25" s="1021">
        <f>(VLOOKUP(YEAR($A25),'NY East Load Projections'!$A$4:$EO$14,((MONTH($A25)-1)*12)+VLOOKUP(CE$4,$DE$6:$DF$17,2)+1))*(VLOOKUP($A25,CURVES!$D$9:$T$261,8))*(INDEX(DailyScalarsTable,CE$5/100,MONTH($A25)))*$E25</f>
        <v>0</v>
      </c>
      <c r="CF25" s="1021">
        <f>(VLOOKUP(YEAR($A25),'NY East Load Projections'!$A$4:$EO$14,((MONTH($A25)-1)*12)+VLOOKUP(CF$4,$DE$6:$DF$17,2)+1))*(VLOOKUP($A25,CURVES!$D$9:$T$261,8))*(INDEX(DailyScalarsTable,CF$5/100,MONTH($A25)))*$E25</f>
        <v>0</v>
      </c>
      <c r="CG25" s="1021">
        <f>(VLOOKUP(YEAR($A25),'NY East Load Projections'!$A$4:$EO$14,((MONTH($A25)-1)*12)+VLOOKUP(CG$4,$DE$6:$DF$17,2)+1))*(VLOOKUP($A25,CURVES!$D$9:$T$261,8))*(INDEX(DailyScalarsTable,CG$5/100,MONTH($A25)))*$E25</f>
        <v>0</v>
      </c>
      <c r="CH25" s="1021">
        <f>(VLOOKUP(YEAR($A25),'NY East Load Projections'!$A$4:$EO$14,((MONTH($A25)-1)*12)+VLOOKUP(CH$4,$DE$6:$DF$17,2)+1))*(VLOOKUP($A25,CURVES!$D$9:$T$261,8))*(INDEX(DailyScalarsTable,CH$5/100,MONTH($A25)))*$E25</f>
        <v>0</v>
      </c>
      <c r="CI25" s="1021">
        <f>(VLOOKUP(YEAR($A25),'NY East Load Projections'!$A$4:$EO$14,((MONTH($A25)-1)*12)+VLOOKUP(CI$4,$DE$6:$DF$17,2)+1))*(VLOOKUP($A25,CURVES!$D$9:$T$261,8))*(INDEX(DailyScalarsTable,CI$5/100,MONTH($A25)))*$E25</f>
        <v>0</v>
      </c>
      <c r="CJ25" s="1021">
        <f>(VLOOKUP(YEAR($A25),'NY East Load Projections'!$A$4:$EO$14,((MONTH($A25)-1)*12)+VLOOKUP(CJ$4,$DE$6:$DF$17,2)+1))*(VLOOKUP($A25,CURVES!$D$9:$T$261,8))*(INDEX(DailyScalarsTable,CJ$5/100,MONTH($A25)))*$E25</f>
        <v>0</v>
      </c>
      <c r="CK25" s="1021">
        <f>(VLOOKUP(YEAR($A25),'NY East Load Projections'!$A$4:$EO$14,((MONTH($A25)-1)*12)+VLOOKUP(CK$4,$DE$6:$DF$17,2)+1))*(VLOOKUP($A25,CURVES!$D$9:$T$261,8))*(INDEX(DailyScalarsTable,CK$5/100,MONTH($A25)))*$E25</f>
        <v>0</v>
      </c>
      <c r="CL25" s="1021">
        <f>(VLOOKUP(YEAR($A25),'NY East Load Projections'!$A$4:$EO$14,((MONTH($A25)-1)*12)+VLOOKUP(CL$4,$DE$6:$DF$17,2)+1))*(VLOOKUP($A25,SatSunCurve,8))*(INDEX(DailyScalarsTable,CL$5/100,MONTH($A25)))*$E25</f>
        <v>0</v>
      </c>
      <c r="CM25" s="1021">
        <f>(VLOOKUP(YEAR($A25),'NY East Load Projections'!$A$4:$EO$14,((MONTH($A25)-1)*12)+VLOOKUP(CM$4,$DE$6:$DF$17,2)+1))*(VLOOKUP($A25,SatSunCurve,8))*(INDEX(DailyScalarsTable,CM$5/100,MONTH($A25)))*$E25</f>
        <v>0</v>
      </c>
      <c r="CN25" s="1021">
        <f>(VLOOKUP(YEAR($A25),'NY East Load Projections'!$A$4:$EO$14,((MONTH($A25)-1)*12)+VLOOKUP(CN$4,$DE$6:$DF$17,2)+1))*(VLOOKUP($A25,SatSunCurve,8))*(INDEX(DailyScalarsTable,CN$5/100,MONTH($A25)))*$E25</f>
        <v>0</v>
      </c>
      <c r="CO25" s="1021">
        <f>(VLOOKUP(YEAR($A25),'NY East Load Projections'!$A$4:$EO$14,((MONTH($A25)-1)*12)+VLOOKUP(CO$4,$DE$6:$DF$17,2)+1))*(VLOOKUP($A25,SatSunCurve,8))*(INDEX(DailyScalarsTable,CO$5/100,MONTH($A25)))*$E25</f>
        <v>0</v>
      </c>
      <c r="CP25" s="1021">
        <f>(VLOOKUP(YEAR($A25),'NY East Load Projections'!$A$4:$EO$14,((MONTH($A25)-1)*12)+VLOOKUP(CP$4,$DE$6:$DF$17,2)+1))*(VLOOKUP($A25,SatSunCurve,8))*(INDEX(DailyScalarsTable,CP$5/100,MONTH($A25)))*$E25</f>
        <v>0</v>
      </c>
      <c r="CQ25" s="1021">
        <f>(VLOOKUP(YEAR($A25),'NY East Load Projections'!$A$4:$EO$14,((MONTH($A25)-1)*12)+VLOOKUP(CQ$4,$DE$6:$DF$17,2)+1))*(VLOOKUP($A25,SatSunCurve,8))*(INDEX(DailyScalarsTable,CQ$5/100,MONTH($A25)))*$E25</f>
        <v>0</v>
      </c>
      <c r="CR25" s="1021">
        <f>(VLOOKUP(YEAR($A25),'NY East Load Projections'!$A$4:$EO$14,((MONTH($A25)-1)*12)+VLOOKUP(CR$4,$DE$6:$DF$17,2)+1))*(VLOOKUP($A25,SatSunCurve,8))*(INDEX(DailyScalarsTable,CR$5/100,MONTH($A25)))*$E25</f>
        <v>0</v>
      </c>
      <c r="CS25" s="1021">
        <f>(VLOOKUP(YEAR($A25),'NY East Load Projections'!$A$4:$EO$14,((MONTH($A25)-1)*12)+VLOOKUP(CS$4,$DE$6:$DF$17,2)+1))*(VLOOKUP($A25,SatSunCurve,8))*(INDEX(DailyScalarsTable,CS$5/100,MONTH($A25)))*$E25</f>
        <v>0</v>
      </c>
      <c r="CT25" s="1021">
        <f>(VLOOKUP(YEAR($A25),'NY East Load Projections'!$A$4:$EO$14,((MONTH($A25)-1)*12)+VLOOKUP(CT$4,$DE$6:$DF$17,2)+1))*(VLOOKUP($A25,SatSunCurve,8))*(INDEX(DailyScalarsTable,CT$5/100,MONTH($A25)))*$E25</f>
        <v>0</v>
      </c>
      <c r="CU25" s="1021">
        <f>(VLOOKUP(YEAR($A25),'NY East Load Projections'!$A$4:$EO$14,((MONTH($A25)-1)*12)+VLOOKUP(CU$4,$DE$6:$DF$17,2)+1))*(VLOOKUP($A25,SatSunCurve,8))*(INDEX(DailyScalarsTable,CU$5/100,MONTH($A25)))*$E25</f>
        <v>0</v>
      </c>
      <c r="CV25" s="1021">
        <f>(VLOOKUP(YEAR($A25),'NY East Load Projections'!$A$4:$EO$14,((MONTH($A25)-1)*12)+VLOOKUP(CV$4,$DE$6:$DF$17,2)+1))*(VLOOKUP($A25,SatSunCurve,8))*(INDEX(DailyScalarsTable,CV$5/100,MONTH($A25)))*$E25</f>
        <v>0</v>
      </c>
      <c r="CW25" s="1021">
        <f>(VLOOKUP(YEAR($A25),'NY East Load Projections'!$A$4:$EO$14,((MONTH($A25)-1)*12)+VLOOKUP(CW$4,$DE$6:$DF$17,2)+1))*(VLOOKUP($A25,SatSunCurve,8))*(INDEX(DailyScalarsTable,CW$5/100,MONTH($A25)))*$E25</f>
        <v>0</v>
      </c>
      <c r="CX25" s="1021">
        <f>(VLOOKUP(YEAR($A25),'NY East Load Projections'!$A$4:$EO$14,((MONTH($A25)-1)*12)+VLOOKUP(CX$4,$DE$6:$DF$17,2)+1))*(VLOOKUP($A25,SatSunCurve,8))*(INDEX(DailyScalarsTable,CX$5/100,MONTH($A25)))*$E25</f>
        <v>0</v>
      </c>
      <c r="CY25" s="1021">
        <f>(VLOOKUP(YEAR($A25),'NY East Load Projections'!$A$4:$EO$14,((MONTH($A25)-1)*12)+VLOOKUP(CY$4,$DE$6:$DF$17,2)+1))*(VLOOKUP($A25,SatSunCurve,8))*(INDEX(DailyScalarsTable,CY$5/100,MONTH($A25)))*$E25</f>
        <v>0</v>
      </c>
      <c r="CZ25" s="1021">
        <f>(VLOOKUP(YEAR($A25),'NY East Load Projections'!$A$4:$EO$14,((MONTH($A25)-1)*12)+VLOOKUP(CZ$4,$DE$6:$DF$17,2)+1))*(VLOOKUP($A25,SatSunCurve,8))*(INDEX(DailyScalarsTable,CZ$5/100,MONTH($A25)))*$E25</f>
        <v>0</v>
      </c>
      <c r="DA25" s="1021">
        <f>(VLOOKUP(YEAR($A25),'NY East Load Projections'!$A$4:$EO$14,((MONTH($A25)-1)*12)+VLOOKUP(DA$4,$DE$6:$DF$17,2)+1))*(VLOOKUP($A25,SatSunCurve,8))*(INDEX(DailyScalarsTable,DA$5/100,MONTH($A25)))*$E25</f>
        <v>0</v>
      </c>
      <c r="DB25" s="1021">
        <f>(VLOOKUP(YEAR($A25),'NY East Load Projections'!$A$4:$EO$14,((MONTH($A25)-1)*12)+VLOOKUP(DB$4,$DE$6:$DF$17,2)+1))*(VLOOKUP($A25,CURVES!$D$9:$T$261,8))*(INDEX(DailyScalarsTable,DB$5/100,MONTH($A25)))*$E25</f>
        <v>0</v>
      </c>
      <c r="DH25" s="1021">
        <f t="shared" si="0"/>
        <v>-3669252.1927807936</v>
      </c>
      <c r="DI25">
        <f ca="1">CALC!J45</f>
        <v>0.83623893173036756</v>
      </c>
      <c r="DJ25" s="1029">
        <f t="shared" ca="1" si="1"/>
        <v>-3068371.5339403194</v>
      </c>
    </row>
    <row r="26" spans="1:114" x14ac:dyDescent="0.25">
      <c r="A26" s="244">
        <v>37500</v>
      </c>
      <c r="B26" s="13">
        <v>20</v>
      </c>
      <c r="C26" s="210">
        <v>4</v>
      </c>
      <c r="D26" s="210">
        <v>5</v>
      </c>
      <c r="E26" s="210">
        <v>1</v>
      </c>
      <c r="F26" s="13">
        <v>30</v>
      </c>
      <c r="H26" s="1021">
        <f>(VLOOKUP(YEAR($A26),'NY East Load Projections'!$A$4:$EO$14,((MONTH($A26)-1)*12)+VLOOKUP(H$4,$DE$6:$DF$17,2)+1))*(VLOOKUP($A26,CURVES!$D$9:$K$261,8))*(INDEX(DailyScalarsTable,H$5/100,MONTH($A26)))*$B26</f>
        <v>-36775.38298771948</v>
      </c>
      <c r="I26" s="1021">
        <f>(VLOOKUP(YEAR($A26),'NY East Load Projections'!$A$4:$EO$14,((MONTH($A26)-1)*12)+VLOOKUP(I$4,$DE$6:$DF$17,2)+1))*(VLOOKUP($A26,CURVES!$D$9:$K$261,8))*(INDEX(DailyScalarsTable,I$5/100,MONTH($A26)))*$B26</f>
        <v>-32263.696428646959</v>
      </c>
      <c r="J26" s="1021">
        <f>(VLOOKUP(YEAR($A26),'NY East Load Projections'!$A$4:$EO$14,((MONTH($A26)-1)*12)+VLOOKUP(J$4,$DE$6:$DF$17,2)+1))*(VLOOKUP($A26,CURVES!$D$9:$K$261,8))*(INDEX(DailyScalarsTable,J$5/100,MONTH($A26)))*$B26</f>
        <v>-30255.38874707224</v>
      </c>
      <c r="K26" s="1021">
        <f>(VLOOKUP(YEAR($A26),'NY East Load Projections'!$A$4:$EO$14,((MONTH($A26)-1)*12)+VLOOKUP(K$4,$DE$6:$DF$17,2)+1))*(VLOOKUP($A26,CURVES!$D$9:$K$261,8))*(INDEX(DailyScalarsTable,K$5/100,MONTH($A26)))*$B26</f>
        <v>-30703.755113191255</v>
      </c>
      <c r="L26" s="1021">
        <f>(VLOOKUP(YEAR($A26),'NY East Load Projections'!$A$4:$EO$14,((MONTH($A26)-1)*12)+VLOOKUP(L$4,$DE$6:$DF$17,2)+1))*(VLOOKUP($A26,CURVES!$D$9:$K$261,8))*(INDEX(DailyScalarsTable,L$5/100,MONTH($A26)))*$B26</f>
        <v>-34454.71385427683</v>
      </c>
      <c r="M26" s="1021">
        <f>(VLOOKUP(YEAR($A26),'NY East Load Projections'!$A$4:$EO$14,((MONTH($A26)-1)*12)+VLOOKUP(M$4,$DE$6:$DF$17,2)+1))*(VLOOKUP($A26,CURVES!$D$9:$K$261,8))*(INDEX(DailyScalarsTable,M$5/100,MONTH($A26)))*$B26</f>
        <v>-39871.938517755683</v>
      </c>
      <c r="N26" s="1021">
        <f>(VLOOKUP(YEAR($A26),'NY East Load Projections'!$A$4:$EO$14,((MONTH($A26)-1)*12)+VLOOKUP(N$4,$DE$6:$DF$17,2)+1))*(VLOOKUP($A26,CURVES!$D$9:$K$261,8))*(INDEX(DailyScalarsTable,N$5/100,MONTH($A26)))*$B26</f>
        <v>-54220.788074425494</v>
      </c>
      <c r="O26" s="1021">
        <f>(VLOOKUP(YEAR($A26),'NY East Load Projections'!$A$4:$EO$14,((MONTH($A26)-1)*12)+VLOOKUP(O$4,$DE$6:$DF$17,2)+1))*(VLOOKUP($A26,CURVES!$D$9:$K$261,4))*(INDEX(DailyScalarsTable,O$5/100,MONTH($A26)))*$B26</f>
        <v>-49499.281913574872</v>
      </c>
      <c r="P26" s="1021">
        <f>(VLOOKUP(YEAR($A26),'NY East Load Projections'!$A$4:$EO$14,((MONTH($A26)-1)*12)+VLOOKUP(P$4,$DE$6:$DF$17,2)+1))*(VLOOKUP($A26,CURVES!$D$9:$K$261,4))*(INDEX(DailyScalarsTable,P$5/100,MONTH($A26)))*$B26</f>
        <v>-51275.7386808429</v>
      </c>
      <c r="Q26" s="1021">
        <f>(VLOOKUP(YEAR($A26),'NY East Load Projections'!$A$4:$EO$14,((MONTH($A26)-1)*12)+VLOOKUP(Q$4,$DE$6:$DF$17,2)+1))*(VLOOKUP($A26,CURVES!$D$9:$K$261,4))*(INDEX(DailyScalarsTable,Q$5/100,MONTH($A26)))*$B26</f>
        <v>-64008.175816166899</v>
      </c>
      <c r="R26" s="1021">
        <f>(VLOOKUP(YEAR($A26),'NY East Load Projections'!$A$4:$EO$14,((MONTH($A26)-1)*12)+VLOOKUP(R$4,$DE$6:$DF$17,2)+1))*(VLOOKUP($A26,CURVES!$D$9:$K$261,4))*(INDEX(DailyScalarsTable,R$5/100,MONTH($A26)))*$B26</f>
        <v>-68357.766141898697</v>
      </c>
      <c r="S26" s="1021">
        <f>(VLOOKUP(YEAR($A26),'NY East Load Projections'!$A$4:$EO$14,((MONTH($A26)-1)*12)+VLOOKUP(S$4,$DE$6:$DF$17,2)+1))*(VLOOKUP($A26,CURVES!$D$9:$K$261,4))*(INDEX(DailyScalarsTable,S$5/100,MONTH($A26)))*$B26</f>
        <v>-72835.867090890766</v>
      </c>
      <c r="T26" s="1021">
        <f>(VLOOKUP(YEAR($A26),'NY East Load Projections'!$A$4:$EO$14,((MONTH($A26)-1)*12)+VLOOKUP(T$4,$DE$6:$DF$17,2)+1))*(VLOOKUP($A26,CURVES!$D$9:$K$261,4))*(INDEX(DailyScalarsTable,T$5/100,MONTH($A26)))*$B26</f>
        <v>-69464.806971668571</v>
      </c>
      <c r="U26" s="1021">
        <f>(VLOOKUP(YEAR($A26),'NY East Load Projections'!$A$4:$EO$14,((MONTH($A26)-1)*12)+VLOOKUP(U$4,$DE$6:$DF$17,2)+1))*(VLOOKUP($A26,CURVES!$D$9:$K$261,4))*(INDEX(DailyScalarsTable,U$5/100,MONTH($A26)))*$B26</f>
        <v>-75197.871993731067</v>
      </c>
      <c r="V26" s="1021">
        <f>(VLOOKUP(YEAR($A26),'NY East Load Projections'!$A$4:$EO$14,((MONTH($A26)-1)*12)+VLOOKUP(V$4,$DE$6:$DF$17,2)+1))*(VLOOKUP($A26,CURVES!$D$9:$K$261,4))*(INDEX(DailyScalarsTable,V$5/100,MONTH($A26)))*$B26</f>
        <v>-74011.376797860779</v>
      </c>
      <c r="W26" s="1021">
        <f>(VLOOKUP(YEAR($A26),'NY East Load Projections'!$A$4:$EO$14,((MONTH($A26)-1)*12)+VLOOKUP(W$4,$DE$6:$DF$17,2)+1))*(VLOOKUP($A26,CURVES!$D$9:$K$261,4))*(INDEX(DailyScalarsTable,W$5/100,MONTH($A26)))*$B26</f>
        <v>-71698.209693306853</v>
      </c>
      <c r="X26" s="1021">
        <f>(VLOOKUP(YEAR($A26),'NY East Load Projections'!$A$4:$EO$14,((MONTH($A26)-1)*12)+VLOOKUP(X$4,$DE$6:$DF$17,2)+1))*(VLOOKUP($A26,CURVES!$D$9:$K$261,4))*(INDEX(DailyScalarsTable,X$5/100,MONTH($A26)))*$B26</f>
        <v>-74447.059212080901</v>
      </c>
      <c r="Y26" s="1021">
        <f>(VLOOKUP(YEAR($A26),'NY East Load Projections'!$A$4:$EO$14,((MONTH($A26)-1)*12)+VLOOKUP(Y$4,$DE$6:$DF$17,2)+1))*(VLOOKUP($A26,CURVES!$D$9:$K$261,4))*(INDEX(DailyScalarsTable,Y$5/100,MONTH($A26)))*$B26</f>
        <v>-72620.727223663154</v>
      </c>
      <c r="Z26" s="1021">
        <f>(VLOOKUP(YEAR($A26),'NY East Load Projections'!$A$4:$EO$14,((MONTH($A26)-1)*12)+VLOOKUP(Z$4,$DE$6:$DF$17,2)+1))*(VLOOKUP($A26,CURVES!$D$9:$K$261,4))*(INDEX(DailyScalarsTable,Z$5/100,MONTH($A26)))*$B26</f>
        <v>-59480.749180678686</v>
      </c>
      <c r="AA26" s="1021">
        <f>(VLOOKUP(YEAR($A26),'NY East Load Projections'!$A$4:$EO$14,((MONTH($A26)-1)*12)+VLOOKUP(AA$4,$DE$6:$DF$17,2)+1))*(VLOOKUP($A26,CURVES!$D$9:$K$261,4))*(INDEX(DailyScalarsTable,AA$5/100,MONTH($A26)))*$B26</f>
        <v>-77734.45679123282</v>
      </c>
      <c r="AB26" s="1021">
        <f>(VLOOKUP(YEAR($A26),'NY East Load Projections'!$A$4:$EO$14,((MONTH($A26)-1)*12)+VLOOKUP(AB$4,$DE$6:$DF$17,2)+1))*(VLOOKUP($A26,CURVES!$D$9:$K$261,4))*(INDEX(DailyScalarsTable,AB$5/100,MONTH($A26)))*$B26</f>
        <v>-74439.010367507886</v>
      </c>
      <c r="AC26" s="1021">
        <f>(VLOOKUP(YEAR($A26),'NY East Load Projections'!$A$4:$EO$14,((MONTH($A26)-1)*12)+VLOOKUP(AC$4,$DE$6:$DF$17,2)+1))*(VLOOKUP($A26,CURVES!$D$9:$K$261,4))*(INDEX(DailyScalarsTable,AC$5/100,MONTH($A26)))*$B26</f>
        <v>-56655.444976791005</v>
      </c>
      <c r="AD26" s="1021">
        <f>(VLOOKUP(YEAR($A26),'NY East Load Projections'!$A$4:$EO$14,((MONTH($A26)-1)*12)+VLOOKUP(AD$4,$DE$6:$DF$17,2)+1))*(VLOOKUP($A26,CURVES!$D$9:$K$261,4))*(INDEX(DailyScalarsTable,AD$5/100,MONTH($A26)))*$B26</f>
        <v>-44897.112213319095</v>
      </c>
      <c r="AE26" s="1021">
        <f>(VLOOKUP(YEAR($A26),'NY East Load Projections'!$A$4:$EO$14,((MONTH($A26)-1)*12)+VLOOKUP(AE$4,$DE$6:$DF$17,2)+1))*(VLOOKUP($A26,CURVES!$D$9:$K$261,8))*(INDEX(DailyScalarsTable,AE$5/100,MONTH($A26)))*$B26</f>
        <v>-42211.722224196565</v>
      </c>
      <c r="AF26" s="1021"/>
      <c r="AG26" s="1021">
        <f>(VLOOKUP(YEAR($A26),'NY East Load Projections'!$A$4:$EO$14,((MONTH($A26)-1)*12)+VLOOKUP(AG$4,$DE$6:$DF$17,2)+1))*(VLOOKUP($A26,CURVES!$D$9:$T$261,8))*(INDEX(DailyScalarsTable,AG$5/100,MONTH($A26)))*$C26</f>
        <v>-7551.1287815424394</v>
      </c>
      <c r="AH26" s="1021">
        <f>(VLOOKUP(YEAR($A26),'NY East Load Projections'!$A$4:$EO$14,((MONTH($A26)-1)*12)+VLOOKUP(AH$4,$DE$6:$DF$17,2)+1))*(VLOOKUP($A26,CURVES!$D$9:$T$261,8))*(INDEX(DailyScalarsTable,AH$5/100,MONTH($A26)))*$C26</f>
        <v>-6624.7393475863819</v>
      </c>
      <c r="AI26" s="1021">
        <f>(VLOOKUP(YEAR($A26),'NY East Load Projections'!$A$4:$EO$14,((MONTH($A26)-1)*12)+VLOOKUP(AI$4,$DE$6:$DF$17,2)+1))*(VLOOKUP($A26,CURVES!$D$9:$T$261,8))*(INDEX(DailyScalarsTable,AI$5/100,MONTH($A26)))*$C26</f>
        <v>-6212.3713800904152</v>
      </c>
      <c r="AJ26" s="1021">
        <f>(VLOOKUP(YEAR($A26),'NY East Load Projections'!$A$4:$EO$14,((MONTH($A26)-1)*12)+VLOOKUP(AJ$4,$DE$6:$DF$17,2)+1))*(VLOOKUP($A26,CURVES!$D$9:$T$261,8))*(INDEX(DailyScalarsTable,AJ$5/100,MONTH($A26)))*$C26</f>
        <v>-6304.4349263220747</v>
      </c>
      <c r="AK26" s="1021">
        <f>(VLOOKUP(YEAR($A26),'NY East Load Projections'!$A$4:$EO$14,((MONTH($A26)-1)*12)+VLOOKUP(AK$4,$DE$6:$DF$17,2)+1))*(VLOOKUP($A26,CURVES!$D$9:$T$261,8))*(INDEX(DailyScalarsTable,AK$5/100,MONTH($A26)))*$C26</f>
        <v>-6871.4454491646184</v>
      </c>
      <c r="AL26" s="1021">
        <f>(VLOOKUP(YEAR($A26),'NY East Load Projections'!$A$4:$EO$14,((MONTH($A26)-1)*12)+VLOOKUP(AL$4,$DE$6:$DF$17,2)+1))*(VLOOKUP($A26,CURVES!$D$9:$T$261,8))*(INDEX(DailyScalarsTable,AL$5/100,MONTH($A26)))*$C26</f>
        <v>-7951.8248688980239</v>
      </c>
      <c r="AM26" s="1021">
        <f>(VLOOKUP(YEAR($A26),'NY East Load Projections'!$A$4:$EO$14,((MONTH($A26)-1)*12)+VLOOKUP(AM$4,$DE$6:$DF$17,2)+1))*(VLOOKUP($A26,CURVES!$D$9:$T$261,8))*(INDEX(DailyScalarsTable,AM$5/100,MONTH($A26)))*$C26</f>
        <v>-10813.475016507295</v>
      </c>
      <c r="AN26" s="1021">
        <f>(VLOOKUP(YEAR($A26),'NY East Load Projections'!$A$4:$EO$14,((MONTH($A26)-1)*12)+VLOOKUP(AN$4,$DE$6:$DF$17,2)+1))*(VLOOKUP($A26,SatSunCurve,4))*(INDEX(DailyScalarsTable,AN$5/100,MONTH($A26)))*$C26</f>
        <v>-6865.0213786399827</v>
      </c>
      <c r="AO26" s="1021">
        <f>(VLOOKUP(YEAR($A26),'NY East Load Projections'!$A$4:$EO$14,((MONTH($A26)-1)*12)+VLOOKUP(AO$4,$DE$6:$DF$17,2)+1))*(VLOOKUP($A26,SatSunCurve,4))*(INDEX(DailyScalarsTable,AO$5/100,MONTH($A26)))*$C26</f>
        <v>-7320.3402983630167</v>
      </c>
      <c r="AP26" s="1021">
        <f>(VLOOKUP(YEAR($A26),'NY East Load Projections'!$A$4:$EO$14,((MONTH($A26)-1)*12)+VLOOKUP(AP$4,$DE$6:$DF$17,2)+1))*(VLOOKUP($A26,SatSunCurve,4))*(INDEX(DailyScalarsTable,AP$5/100,MONTH($A26)))*$C26</f>
        <v>-9138.0766207635461</v>
      </c>
      <c r="AQ26" s="1021">
        <f>(VLOOKUP(YEAR($A26),'NY East Load Projections'!$A$4:$EO$14,((MONTH($A26)-1)*12)+VLOOKUP(AQ$4,$DE$6:$DF$17,2)+1))*(VLOOKUP($A26,SatSunCurve,4))*(INDEX(DailyScalarsTable,AQ$5/100,MONTH($A26)))*$C26</f>
        <v>-9759.042445186089</v>
      </c>
      <c r="AR26" s="1021">
        <f>(VLOOKUP(YEAR($A26),'NY East Load Projections'!$A$4:$EO$14,((MONTH($A26)-1)*12)+VLOOKUP(AR$4,$DE$6:$DF$17,2)+1))*(VLOOKUP($A26,SatSunCurve,4))*(INDEX(DailyScalarsTable,AR$5/100,MONTH($A26)))*$C26</f>
        <v>-10398.35498714839</v>
      </c>
      <c r="AS26" s="1021">
        <f>(VLOOKUP(YEAR($A26),'NY East Load Projections'!$A$4:$EO$14,((MONTH($A26)-1)*12)+VLOOKUP(AS$4,$DE$6:$DF$17,2)+1))*(VLOOKUP($A26,SatSunCurve,4))*(INDEX(DailyScalarsTable,AS$5/100,MONTH($A26)))*$C26</f>
        <v>-9949.7674310426646</v>
      </c>
      <c r="AT26" s="1021">
        <f>(VLOOKUP(YEAR($A26),'NY East Load Projections'!$A$4:$EO$14,((MONTH($A26)-1)*12)+VLOOKUP(AT$4,$DE$6:$DF$17,2)+1))*(VLOOKUP($A26,SatSunCurve,4))*(INDEX(DailyScalarsTable,AT$5/100,MONTH($A26)))*$C26</f>
        <v>-10770.941002572667</v>
      </c>
      <c r="AU26" s="1021">
        <f>(VLOOKUP(YEAR($A26),'NY East Load Projections'!$A$4:$EO$14,((MONTH($A26)-1)*12)+VLOOKUP(AU$4,$DE$6:$DF$17,2)+1))*(VLOOKUP($A26,SatSunCurve,4))*(INDEX(DailyScalarsTable,AU$5/100,MONTH($A26)))*$C26</f>
        <v>-10600.993776464724</v>
      </c>
      <c r="AV26" s="1021">
        <f>(VLOOKUP(YEAR($A26),'NY East Load Projections'!$A$4:$EO$14,((MONTH($A26)-1)*12)+VLOOKUP(AV$4,$DE$6:$DF$17,2)+1))*(VLOOKUP($A26,SatSunCurve,4))*(INDEX(DailyScalarsTable,AV$5/100,MONTH($A26)))*$C26</f>
        <v>-10269.668091951748</v>
      </c>
      <c r="AW26" s="1021">
        <f>(VLOOKUP(YEAR($A26),'NY East Load Projections'!$A$4:$EO$14,((MONTH($A26)-1)*12)+VLOOKUP(AW$4,$DE$6:$DF$17,2)+1))*(VLOOKUP($A26,SatSunCurve,4))*(INDEX(DailyScalarsTable,AW$5/100,MONTH($A26)))*$C26</f>
        <v>-10632.899047676452</v>
      </c>
      <c r="AX26" s="1021">
        <f>(VLOOKUP(YEAR($A26),'NY East Load Projections'!$A$4:$EO$14,((MONTH($A26)-1)*12)+VLOOKUP(AX$4,$DE$6:$DF$17,2)+1))*(VLOOKUP($A26,SatSunCurve,4))*(INDEX(DailyScalarsTable,AX$5/100,MONTH($A26)))*$C26</f>
        <v>-10372.053235015568</v>
      </c>
      <c r="AY26" s="1021">
        <f>(VLOOKUP(YEAR($A26),'NY East Load Projections'!$A$4:$EO$14,((MONTH($A26)-1)*12)+VLOOKUP(AY$4,$DE$6:$DF$17,2)+1))*(VLOOKUP($A26,SatSunCurve,4))*(INDEX(DailyScalarsTable,AY$5/100,MONTH($A26)))*$C26</f>
        <v>-8495.3362565554362</v>
      </c>
      <c r="AZ26" s="1021">
        <f>(VLOOKUP(YEAR($A26),'NY East Load Projections'!$A$4:$EO$14,((MONTH($A26)-1)*12)+VLOOKUP(AZ$4,$DE$6:$DF$17,2)+1))*(VLOOKUP($A26,SatSunCurve,4))*(INDEX(DailyScalarsTable,AZ$5/100,MONTH($A26)))*$C26</f>
        <v>-11102.421510466036</v>
      </c>
      <c r="BA26" s="1021">
        <f>(VLOOKUP(YEAR($A26),'NY East Load Projections'!$A$4:$EO$14,((MONTH($A26)-1)*12)+VLOOKUP(BA$4,$DE$6:$DF$17,2)+1))*(VLOOKUP($A26,SatSunCurve,4))*(INDEX(DailyScalarsTable,BA$5/100,MONTH($A26)))*$C26</f>
        <v>-10877.208473718034</v>
      </c>
      <c r="BB26" s="1021">
        <f>(VLOOKUP(YEAR($A26),'NY East Load Projections'!$A$4:$EO$14,((MONTH($A26)-1)*12)+VLOOKUP(BB$4,$DE$6:$DF$17,2)+1))*(VLOOKUP($A26,SatSunCurve,4))*(INDEX(DailyScalarsTable,BB$5/100,MONTH($A26)))*$C26</f>
        <v>-8278.6308300090877</v>
      </c>
      <c r="BC26" s="1021">
        <f>(VLOOKUP(YEAR($A26),'NY East Load Projections'!$A$4:$EO$14,((MONTH($A26)-1)*12)+VLOOKUP(BC$4,$DE$6:$DF$17,2)+1))*(VLOOKUP($A26,SatSunCurve,4))*(INDEX(DailyScalarsTable,BC$5/100,MONTH($A26)))*$C26</f>
        <v>-6560.4747698976325</v>
      </c>
      <c r="BD26" s="1021">
        <f>(VLOOKUP(YEAR($A26),'NY East Load Projections'!$A$4:$EO$14,((MONTH($A26)-1)*12)+VLOOKUP(BD$4,$DE$6:$DF$17,2)+1))*(VLOOKUP($A26,CURVES!$D$9:$T$261,8))*(INDEX(DailyScalarsTable,BD$5/100,MONTH($A26)))*$C26</f>
        <v>-8869.6481763724641</v>
      </c>
      <c r="BE26" s="1021"/>
      <c r="BF26" s="1021">
        <f>(VLOOKUP(YEAR($A26),'NY East Load Projections'!$A$4:$EO$14,((MONTH($A26)-1)*12)+VLOOKUP(BF$4,$DE$6:$DF$17,2)+1))*(VLOOKUP($A26,CURVES!$D$9:$T$261,8))*(INDEX(DailyScalarsTable,BF$5/100,MONTH($A26)))*$D26</f>
        <v>-9438.9109769280494</v>
      </c>
      <c r="BG26" s="1021">
        <f>(VLOOKUP(YEAR($A26),'NY East Load Projections'!$A$4:$EO$14,((MONTH($A26)-1)*12)+VLOOKUP(BG$4,$DE$6:$DF$17,2)+1))*(VLOOKUP($A26,CURVES!$D$9:$T$261,8))*(INDEX(DailyScalarsTable,BG$5/100,MONTH($A26)))*$D26</f>
        <v>-8280.9241844829776</v>
      </c>
      <c r="BH26" s="1021">
        <f>(VLOOKUP(YEAR($A26),'NY East Load Projections'!$A$4:$EO$14,((MONTH($A26)-1)*12)+VLOOKUP(BH$4,$DE$6:$DF$17,2)+1))*(VLOOKUP($A26,CURVES!$D$9:$T$261,8))*(INDEX(DailyScalarsTable,BH$5/100,MONTH($A26)))*$D26</f>
        <v>-7765.464225113019</v>
      </c>
      <c r="BI26" s="1021">
        <f>(VLOOKUP(YEAR($A26),'NY East Load Projections'!$A$4:$EO$14,((MONTH($A26)-1)*12)+VLOOKUP(BI$4,$DE$6:$DF$17,2)+1))*(VLOOKUP($A26,CURVES!$D$9:$T$261,8))*(INDEX(DailyScalarsTable,BI$5/100,MONTH($A26)))*$D26</f>
        <v>-7880.5436579025936</v>
      </c>
      <c r="BJ26" s="1021">
        <f>(VLOOKUP(YEAR($A26),'NY East Load Projections'!$A$4:$EO$14,((MONTH($A26)-1)*12)+VLOOKUP(BJ$4,$DE$6:$DF$17,2)+1))*(VLOOKUP($A26,CURVES!$D$9:$T$261,8))*(INDEX(DailyScalarsTable,BJ$5/100,MONTH($A26)))*$D26</f>
        <v>-8589.3068114557736</v>
      </c>
      <c r="BK26" s="1021">
        <f>(VLOOKUP(YEAR($A26),'NY East Load Projections'!$A$4:$EO$14,((MONTH($A26)-1)*12)+VLOOKUP(BK$4,$DE$6:$DF$17,2)+1))*(VLOOKUP($A26,CURVES!$D$9:$T$261,8))*(INDEX(DailyScalarsTable,BK$5/100,MONTH($A26)))*$D26</f>
        <v>-9939.7810861225298</v>
      </c>
      <c r="BL26" s="1021">
        <f>(VLOOKUP(YEAR($A26),'NY East Load Projections'!$A$4:$EO$14,((MONTH($A26)-1)*12)+VLOOKUP(BL$4,$DE$6:$DF$17,2)+1))*(VLOOKUP($A26,CURVES!$D$9:$T$261,8))*(INDEX(DailyScalarsTable,BL$5/100,MONTH($A26)))*$D26</f>
        <v>-13516.843770634117</v>
      </c>
      <c r="BM26" s="1021">
        <f>(VLOOKUP(YEAR($A26),'NY East Load Projections'!$A$4:$EO$14,((MONTH($A26)-1)*12)+VLOOKUP(BM$4,$DE$6:$DF$17,2)+1))*(VLOOKUP($A26,SatSunCurve,8))*(INDEX(DailyScalarsTable,BM$5/100,MONTH($A26)))*$D26</f>
        <v>-9638.19245198096</v>
      </c>
      <c r="BN26" s="1021">
        <f>(VLOOKUP(YEAR($A26),'NY East Load Projections'!$A$4:$EO$14,((MONTH($A26)-1)*12)+VLOOKUP(BN$4,$DE$6:$DF$17,2)+1))*(VLOOKUP($A26,SatSunCurve,8))*(INDEX(DailyScalarsTable,BN$5/100,MONTH($A26)))*$D26</f>
        <v>-10277.440479521412</v>
      </c>
      <c r="BO26" s="1021">
        <f>(VLOOKUP(YEAR($A26),'NY East Load Projections'!$A$4:$EO$14,((MONTH($A26)-1)*12)+VLOOKUP(BO$4,$DE$6:$DF$17,2)+1))*(VLOOKUP($A26,SatSunCurve,8))*(INDEX(DailyScalarsTable,BO$5/100,MONTH($A26)))*$D26</f>
        <v>-12829.463486582055</v>
      </c>
      <c r="BP26" s="1021">
        <f>(VLOOKUP(YEAR($A26),'NY East Load Projections'!$A$4:$EO$14,((MONTH($A26)-1)*12)+VLOOKUP(BP$4,$DE$6:$DF$17,2)+1))*(VLOOKUP($A26,SatSunCurve,8))*(INDEX(DailyScalarsTable,BP$5/100,MONTH($A26)))*$D26</f>
        <v>-13701.27258837296</v>
      </c>
      <c r="BQ26" s="1021">
        <f>(VLOOKUP(YEAR($A26),'NY East Load Projections'!$A$4:$EO$14,((MONTH($A26)-1)*12)+VLOOKUP(BQ$4,$DE$6:$DF$17,2)+1))*(VLOOKUP($A26,SatSunCurve,8))*(INDEX(DailyScalarsTable,BQ$5/100,MONTH($A26)))*$D26</f>
        <v>-14598.839686353145</v>
      </c>
      <c r="BR26" s="1021">
        <f>(VLOOKUP(YEAR($A26),'NY East Load Projections'!$A$4:$EO$14,((MONTH($A26)-1)*12)+VLOOKUP(BR$4,$DE$6:$DF$17,2)+1))*(VLOOKUP($A26,SatSunCurve,8))*(INDEX(DailyScalarsTable,BR$5/100,MONTH($A26)))*$D26</f>
        <v>-13969.042201561144</v>
      </c>
      <c r="BS26" s="1021">
        <f>(VLOOKUP(YEAR($A26),'NY East Load Projections'!$A$4:$EO$14,((MONTH($A26)-1)*12)+VLOOKUP(BS$4,$DE$6:$DF$17,2)+1))*(VLOOKUP($A26,SatSunCurve,8))*(INDEX(DailyScalarsTable,BS$5/100,MONTH($A26)))*$D26</f>
        <v>-15121.934302307183</v>
      </c>
      <c r="BT26" s="1021">
        <f>(VLOOKUP(YEAR($A26),'NY East Load Projections'!$A$4:$EO$14,((MONTH($A26)-1)*12)+VLOOKUP(BT$4,$DE$6:$DF$17,2)+1))*(VLOOKUP($A26,SatSunCurve,8))*(INDEX(DailyScalarsTable,BT$5/100,MONTH($A26)))*$D26</f>
        <v>-14883.335763196272</v>
      </c>
      <c r="BU26" s="1021">
        <f>(VLOOKUP(YEAR($A26),'NY East Load Projections'!$A$4:$EO$14,((MONTH($A26)-1)*12)+VLOOKUP(BU$4,$DE$6:$DF$17,2)+1))*(VLOOKUP($A26,SatSunCurve,8))*(INDEX(DailyScalarsTable,BU$5/100,MONTH($A26)))*$D26</f>
        <v>-14418.168863416997</v>
      </c>
      <c r="BV26" s="1021">
        <f>(VLOOKUP(YEAR($A26),'NY East Load Projections'!$A$4:$EO$14,((MONTH($A26)-1)*12)+VLOOKUP(BV$4,$DE$6:$DF$17,2)+1))*(VLOOKUP($A26,SatSunCurve,8))*(INDEX(DailyScalarsTable,BV$5/100,MONTH($A26)))*$D26</f>
        <v>-14928.129381046912</v>
      </c>
      <c r="BW26" s="1021">
        <f>(VLOOKUP(YEAR($A26),'NY East Load Projections'!$A$4:$EO$14,((MONTH($A26)-1)*12)+VLOOKUP(BW$4,$DE$6:$DF$17,2)+1))*(VLOOKUP($A26,SatSunCurve,8))*(INDEX(DailyScalarsTable,BW$5/100,MONTH($A26)))*$D26</f>
        <v>-14561.913166405346</v>
      </c>
      <c r="BX26" s="1021">
        <f>(VLOOKUP(YEAR($A26),'NY East Load Projections'!$A$4:$EO$14,((MONTH($A26)-1)*12)+VLOOKUP(BX$4,$DE$6:$DF$17,2)+1))*(VLOOKUP($A26,SatSunCurve,8))*(INDEX(DailyScalarsTable,BX$5/100,MONTH($A26)))*$D26</f>
        <v>-11927.083874747354</v>
      </c>
      <c r="BY26" s="1021">
        <f>(VLOOKUP(YEAR($A26),'NY East Load Projections'!$A$4:$EO$14,((MONTH($A26)-1)*12)+VLOOKUP(BY$4,$DE$6:$DF$17,2)+1))*(VLOOKUP($A26,SatSunCurve,8))*(INDEX(DailyScalarsTable,BY$5/100,MONTH($A26)))*$D26</f>
        <v>-15587.318567401726</v>
      </c>
      <c r="BZ26" s="1021">
        <f>(VLOOKUP(YEAR($A26),'NY East Load Projections'!$A$4:$EO$14,((MONTH($A26)-1)*12)+VLOOKUP(BZ$4,$DE$6:$DF$17,2)+1))*(VLOOKUP($A26,SatSunCurve,8))*(INDEX(DailyScalarsTable,BZ$5/100,MONTH($A26)))*$D26</f>
        <v>-15271.129225642917</v>
      </c>
      <c r="CA26" s="1021">
        <f>(VLOOKUP(YEAR($A26),'NY East Load Projections'!$A$4:$EO$14,((MONTH($A26)-1)*12)+VLOOKUP(CA$4,$DE$6:$DF$17,2)+1))*(VLOOKUP($A26,SatSunCurve,8))*(INDEX(DailyScalarsTable,CA$5/100,MONTH($A26)))*$D26</f>
        <v>-11622.838848950198</v>
      </c>
      <c r="CB26" s="1021">
        <f>(VLOOKUP(YEAR($A26),'NY East Load Projections'!$A$4:$EO$14,((MONTH($A26)-1)*12)+VLOOKUP(CB$4,$DE$6:$DF$17,2)+1))*(VLOOKUP($A26,SatSunCurve,8))*(INDEX(DailyScalarsTable,CB$5/100,MONTH($A26)))*$D26</f>
        <v>-9210.6222138474222</v>
      </c>
      <c r="CC26" s="1021">
        <f>(VLOOKUP(YEAR($A26),'NY East Load Projections'!$A$4:$EO$14,((MONTH($A26)-1)*12)+VLOOKUP(CC$4,$DE$6:$DF$17,2)+1))*(VLOOKUP($A26,CURVES!$D$9:$T$261,8))*(INDEX(DailyScalarsTable,CC$5/100,MONTH($A26)))*$D26</f>
        <v>-11087.060220465581</v>
      </c>
      <c r="CE26" s="1021">
        <f>(VLOOKUP(YEAR($A26),'NY East Load Projections'!$A$4:$EO$14,((MONTH($A26)-1)*12)+VLOOKUP(CE$4,$DE$6:$DF$17,2)+1))*(VLOOKUP($A26,CURVES!$D$9:$T$261,8))*(INDEX(DailyScalarsTable,CE$5/100,MONTH($A26)))*$E26</f>
        <v>-1887.7821953856098</v>
      </c>
      <c r="CF26" s="1021">
        <f>(VLOOKUP(YEAR($A26),'NY East Load Projections'!$A$4:$EO$14,((MONTH($A26)-1)*12)+VLOOKUP(CF$4,$DE$6:$DF$17,2)+1))*(VLOOKUP($A26,CURVES!$D$9:$T$261,8))*(INDEX(DailyScalarsTable,CF$5/100,MONTH($A26)))*$E26</f>
        <v>-1656.1848368965955</v>
      </c>
      <c r="CG26" s="1021">
        <f>(VLOOKUP(YEAR($A26),'NY East Load Projections'!$A$4:$EO$14,((MONTH($A26)-1)*12)+VLOOKUP(CG$4,$DE$6:$DF$17,2)+1))*(VLOOKUP($A26,CURVES!$D$9:$T$261,8))*(INDEX(DailyScalarsTable,CG$5/100,MONTH($A26)))*$E26</f>
        <v>-1553.0928450226038</v>
      </c>
      <c r="CH26" s="1021">
        <f>(VLOOKUP(YEAR($A26),'NY East Load Projections'!$A$4:$EO$14,((MONTH($A26)-1)*12)+VLOOKUP(CH$4,$DE$6:$DF$17,2)+1))*(VLOOKUP($A26,CURVES!$D$9:$T$261,8))*(INDEX(DailyScalarsTable,CH$5/100,MONTH($A26)))*$E26</f>
        <v>-1576.1087315805187</v>
      </c>
      <c r="CI26" s="1021">
        <f>(VLOOKUP(YEAR($A26),'NY East Load Projections'!$A$4:$EO$14,((MONTH($A26)-1)*12)+VLOOKUP(CI$4,$DE$6:$DF$17,2)+1))*(VLOOKUP($A26,CURVES!$D$9:$T$261,8))*(INDEX(DailyScalarsTable,CI$5/100,MONTH($A26)))*$E26</f>
        <v>-1717.8613622911546</v>
      </c>
      <c r="CJ26" s="1021">
        <f>(VLOOKUP(YEAR($A26),'NY East Load Projections'!$A$4:$EO$14,((MONTH($A26)-1)*12)+VLOOKUP(CJ$4,$DE$6:$DF$17,2)+1))*(VLOOKUP($A26,CURVES!$D$9:$T$261,8))*(INDEX(DailyScalarsTable,CJ$5/100,MONTH($A26)))*$E26</f>
        <v>-1987.956217224506</v>
      </c>
      <c r="CK26" s="1021">
        <f>(VLOOKUP(YEAR($A26),'NY East Load Projections'!$A$4:$EO$14,((MONTH($A26)-1)*12)+VLOOKUP(CK$4,$DE$6:$DF$17,2)+1))*(VLOOKUP($A26,CURVES!$D$9:$T$261,8))*(INDEX(DailyScalarsTable,CK$5/100,MONTH($A26)))*$E26</f>
        <v>-2703.3687541268237</v>
      </c>
      <c r="CL26" s="1021">
        <f>(VLOOKUP(YEAR($A26),'NY East Load Projections'!$A$4:$EO$14,((MONTH($A26)-1)*12)+VLOOKUP(CL$4,$DE$6:$DF$17,2)+1))*(VLOOKUP($A26,SatSunCurve,8))*(INDEX(DailyScalarsTable,CL$5/100,MONTH($A26)))*$E26</f>
        <v>-1927.6384903961919</v>
      </c>
      <c r="CM26" s="1021">
        <f>(VLOOKUP(YEAR($A26),'NY East Load Projections'!$A$4:$EO$14,((MONTH($A26)-1)*12)+VLOOKUP(CM$4,$DE$6:$DF$17,2)+1))*(VLOOKUP($A26,SatSunCurve,8))*(INDEX(DailyScalarsTable,CM$5/100,MONTH($A26)))*$E26</f>
        <v>-2055.4880959042825</v>
      </c>
      <c r="CN26" s="1021">
        <f>(VLOOKUP(YEAR($A26),'NY East Load Projections'!$A$4:$EO$14,((MONTH($A26)-1)*12)+VLOOKUP(CN$4,$DE$6:$DF$17,2)+1))*(VLOOKUP($A26,SatSunCurve,8))*(INDEX(DailyScalarsTable,CN$5/100,MONTH($A26)))*$E26</f>
        <v>-2565.8926973164112</v>
      </c>
      <c r="CO26" s="1021">
        <f>(VLOOKUP(YEAR($A26),'NY East Load Projections'!$A$4:$EO$14,((MONTH($A26)-1)*12)+VLOOKUP(CO$4,$DE$6:$DF$17,2)+1))*(VLOOKUP($A26,SatSunCurve,8))*(INDEX(DailyScalarsTable,CO$5/100,MONTH($A26)))*$E26</f>
        <v>-2740.2545176745921</v>
      </c>
      <c r="CP26" s="1021">
        <f>(VLOOKUP(YEAR($A26),'NY East Load Projections'!$A$4:$EO$14,((MONTH($A26)-1)*12)+VLOOKUP(CP$4,$DE$6:$DF$17,2)+1))*(VLOOKUP($A26,SatSunCurve,8))*(INDEX(DailyScalarsTable,CP$5/100,MONTH($A26)))*$E26</f>
        <v>-2919.7679372706289</v>
      </c>
      <c r="CQ26" s="1021">
        <f>(VLOOKUP(YEAR($A26),'NY East Load Projections'!$A$4:$EO$14,((MONTH($A26)-1)*12)+VLOOKUP(CQ$4,$DE$6:$DF$17,2)+1))*(VLOOKUP($A26,SatSunCurve,8))*(INDEX(DailyScalarsTable,CQ$5/100,MONTH($A26)))*$E26</f>
        <v>-2793.8084403122289</v>
      </c>
      <c r="CR26" s="1021">
        <f>(VLOOKUP(YEAR($A26),'NY East Load Projections'!$A$4:$EO$14,((MONTH($A26)-1)*12)+VLOOKUP(CR$4,$DE$6:$DF$17,2)+1))*(VLOOKUP($A26,SatSunCurve,8))*(INDEX(DailyScalarsTable,CR$5/100,MONTH($A26)))*$E26</f>
        <v>-3024.3868604614368</v>
      </c>
      <c r="CS26" s="1021">
        <f>(VLOOKUP(YEAR($A26),'NY East Load Projections'!$A$4:$EO$14,((MONTH($A26)-1)*12)+VLOOKUP(CS$4,$DE$6:$DF$17,2)+1))*(VLOOKUP($A26,SatSunCurve,8))*(INDEX(DailyScalarsTable,CS$5/100,MONTH($A26)))*$E26</f>
        <v>-2976.6671526392543</v>
      </c>
      <c r="CT26" s="1021">
        <f>(VLOOKUP(YEAR($A26),'NY East Load Projections'!$A$4:$EO$14,((MONTH($A26)-1)*12)+VLOOKUP(CT$4,$DE$6:$DF$17,2)+1))*(VLOOKUP($A26,SatSunCurve,8))*(INDEX(DailyScalarsTable,CT$5/100,MONTH($A26)))*$E26</f>
        <v>-2883.6337726833995</v>
      </c>
      <c r="CU26" s="1021">
        <f>(VLOOKUP(YEAR($A26),'NY East Load Projections'!$A$4:$EO$14,((MONTH($A26)-1)*12)+VLOOKUP(CU$4,$DE$6:$DF$17,2)+1))*(VLOOKUP($A26,SatSunCurve,8))*(INDEX(DailyScalarsTable,CU$5/100,MONTH($A26)))*$E26</f>
        <v>-2985.6258762093826</v>
      </c>
      <c r="CV26" s="1021">
        <f>(VLOOKUP(YEAR($A26),'NY East Load Projections'!$A$4:$EO$14,((MONTH($A26)-1)*12)+VLOOKUP(CV$4,$DE$6:$DF$17,2)+1))*(VLOOKUP($A26,SatSunCurve,8))*(INDEX(DailyScalarsTable,CV$5/100,MONTH($A26)))*$E26</f>
        <v>-2912.382633281069</v>
      </c>
      <c r="CW26" s="1021">
        <f>(VLOOKUP(YEAR($A26),'NY East Load Projections'!$A$4:$EO$14,((MONTH($A26)-1)*12)+VLOOKUP(CW$4,$DE$6:$DF$17,2)+1))*(VLOOKUP($A26,SatSunCurve,8))*(INDEX(DailyScalarsTable,CW$5/100,MONTH($A26)))*$E26</f>
        <v>-2385.4167749494709</v>
      </c>
      <c r="CX26" s="1021">
        <f>(VLOOKUP(YEAR($A26),'NY East Load Projections'!$A$4:$EO$14,((MONTH($A26)-1)*12)+VLOOKUP(CX$4,$DE$6:$DF$17,2)+1))*(VLOOKUP($A26,SatSunCurve,8))*(INDEX(DailyScalarsTable,CX$5/100,MONTH($A26)))*$E26</f>
        <v>-3117.4637134803452</v>
      </c>
      <c r="CY26" s="1021">
        <f>(VLOOKUP(YEAR($A26),'NY East Load Projections'!$A$4:$EO$14,((MONTH($A26)-1)*12)+VLOOKUP(CY$4,$DE$6:$DF$17,2)+1))*(VLOOKUP($A26,SatSunCurve,8))*(INDEX(DailyScalarsTable,CY$5/100,MONTH($A26)))*$E26</f>
        <v>-3054.2258451285834</v>
      </c>
      <c r="CZ26" s="1021">
        <f>(VLOOKUP(YEAR($A26),'NY East Load Projections'!$A$4:$EO$14,((MONTH($A26)-1)*12)+VLOOKUP(CZ$4,$DE$6:$DF$17,2)+1))*(VLOOKUP($A26,SatSunCurve,8))*(INDEX(DailyScalarsTable,CZ$5/100,MONTH($A26)))*$E26</f>
        <v>-2324.5677697900396</v>
      </c>
      <c r="DA26" s="1021">
        <f>(VLOOKUP(YEAR($A26),'NY East Load Projections'!$A$4:$EO$14,((MONTH($A26)-1)*12)+VLOOKUP(DA$4,$DE$6:$DF$17,2)+1))*(VLOOKUP($A26,SatSunCurve,8))*(INDEX(DailyScalarsTable,DA$5/100,MONTH($A26)))*$E26</f>
        <v>-1842.1244427694844</v>
      </c>
      <c r="DB26" s="1021">
        <f>(VLOOKUP(YEAR($A26),'NY East Load Projections'!$A$4:$EO$14,((MONTH($A26)-1)*12)+VLOOKUP(DB$4,$DE$6:$DF$17,2)+1))*(VLOOKUP($A26,CURVES!$D$9:$T$261,8))*(INDEX(DailyScalarsTable,DB$5/100,MONTH($A26)))*$E26</f>
        <v>-2217.412044093116</v>
      </c>
      <c r="DH26" s="1021">
        <f t="shared" si="0"/>
        <v>-1916826.0111557809</v>
      </c>
      <c r="DI26">
        <f ca="1">CALC!J46</f>
        <v>0.8312009259670522</v>
      </c>
      <c r="DJ26" s="1029">
        <f t="shared" ca="1" si="1"/>
        <v>-1593267.5553904162</v>
      </c>
    </row>
    <row r="27" spans="1:114" x14ac:dyDescent="0.25">
      <c r="A27" s="244">
        <v>37530</v>
      </c>
      <c r="B27" s="13">
        <v>23</v>
      </c>
      <c r="C27" s="210">
        <v>4</v>
      </c>
      <c r="D27" s="210">
        <v>4</v>
      </c>
      <c r="E27" s="210">
        <v>0</v>
      </c>
      <c r="F27" s="13">
        <v>31</v>
      </c>
      <c r="H27" s="1021">
        <f>(VLOOKUP(YEAR($A27),'NY East Load Projections'!$A$4:$EO$14,((MONTH($A27)-1)*12)+VLOOKUP(H$4,$DE$6:$DF$17,2)+1))*(VLOOKUP($A27,CURVES!$D$9:$K$261,8))*(INDEX(DailyScalarsTable,H$5/100,MONTH($A27)))*$B27</f>
        <v>-37607.951700938516</v>
      </c>
      <c r="I27" s="1021">
        <f>(VLOOKUP(YEAR($A27),'NY East Load Projections'!$A$4:$EO$14,((MONTH($A27)-1)*12)+VLOOKUP(I$4,$DE$6:$DF$17,2)+1))*(VLOOKUP($A27,CURVES!$D$9:$K$261,8))*(INDEX(DailyScalarsTable,I$5/100,MONTH($A27)))*$B27</f>
        <v>-35694.87738060642</v>
      </c>
      <c r="J27" s="1021">
        <f>(VLOOKUP(YEAR($A27),'NY East Load Projections'!$A$4:$EO$14,((MONTH($A27)-1)*12)+VLOOKUP(J$4,$DE$6:$DF$17,2)+1))*(VLOOKUP($A27,CURVES!$D$9:$K$261,8))*(INDEX(DailyScalarsTable,J$5/100,MONTH($A27)))*$B27</f>
        <v>-34288.787559244316</v>
      </c>
      <c r="K27" s="1021">
        <f>(VLOOKUP(YEAR($A27),'NY East Load Projections'!$A$4:$EO$14,((MONTH($A27)-1)*12)+VLOOKUP(K$4,$DE$6:$DF$17,2)+1))*(VLOOKUP($A27,CURVES!$D$9:$K$261,8))*(INDEX(DailyScalarsTable,K$5/100,MONTH($A27)))*$B27</f>
        <v>-34308.591641235325</v>
      </c>
      <c r="L27" s="1021">
        <f>(VLOOKUP(YEAR($A27),'NY East Load Projections'!$A$4:$EO$14,((MONTH($A27)-1)*12)+VLOOKUP(L$4,$DE$6:$DF$17,2)+1))*(VLOOKUP($A27,CURVES!$D$9:$K$261,8))*(INDEX(DailyScalarsTable,L$5/100,MONTH($A27)))*$B27</f>
        <v>-39111.00949803531</v>
      </c>
      <c r="M27" s="1021">
        <f>(VLOOKUP(YEAR($A27),'NY East Load Projections'!$A$4:$EO$14,((MONTH($A27)-1)*12)+VLOOKUP(M$4,$DE$6:$DF$17,2)+1))*(VLOOKUP($A27,CURVES!$D$9:$K$261,8))*(INDEX(DailyScalarsTable,M$5/100,MONTH($A27)))*$B27</f>
        <v>-44932.281176156277</v>
      </c>
      <c r="N27" s="1021">
        <f>(VLOOKUP(YEAR($A27),'NY East Load Projections'!$A$4:$EO$14,((MONTH($A27)-1)*12)+VLOOKUP(N$4,$DE$6:$DF$17,2)+1))*(VLOOKUP($A27,CURVES!$D$9:$K$261,8))*(INDEX(DailyScalarsTable,N$5/100,MONTH($A27)))*$B27</f>
        <v>-58086.075627950981</v>
      </c>
      <c r="O27" s="1021">
        <f>(VLOOKUP(YEAR($A27),'NY East Load Projections'!$A$4:$EO$14,((MONTH($A27)-1)*12)+VLOOKUP(O$4,$DE$6:$DF$17,2)+1))*(VLOOKUP($A27,CURVES!$D$9:$K$261,4))*(INDEX(DailyScalarsTable,O$5/100,MONTH($A27)))*$B27</f>
        <v>-70439.535840019133</v>
      </c>
      <c r="P27" s="1021">
        <f>(VLOOKUP(YEAR($A27),'NY East Load Projections'!$A$4:$EO$14,((MONTH($A27)-1)*12)+VLOOKUP(P$4,$DE$6:$DF$17,2)+1))*(VLOOKUP($A27,CURVES!$D$9:$K$261,4))*(INDEX(DailyScalarsTable,P$5/100,MONTH($A27)))*$B27</f>
        <v>-79359.395787115616</v>
      </c>
      <c r="Q27" s="1021">
        <f>(VLOOKUP(YEAR($A27),'NY East Load Projections'!$A$4:$EO$14,((MONTH($A27)-1)*12)+VLOOKUP(Q$4,$DE$6:$DF$17,2)+1))*(VLOOKUP($A27,CURVES!$D$9:$K$261,4))*(INDEX(DailyScalarsTable,Q$5/100,MONTH($A27)))*$B27</f>
        <v>-79114.156615956425</v>
      </c>
      <c r="R27" s="1021">
        <f>(VLOOKUP(YEAR($A27),'NY East Load Projections'!$A$4:$EO$14,((MONTH($A27)-1)*12)+VLOOKUP(R$4,$DE$6:$DF$17,2)+1))*(VLOOKUP($A27,CURVES!$D$9:$K$261,4))*(INDEX(DailyScalarsTable,R$5/100,MONTH($A27)))*$B27</f>
        <v>-78665.719274408184</v>
      </c>
      <c r="S27" s="1021">
        <f>(VLOOKUP(YEAR($A27),'NY East Load Projections'!$A$4:$EO$14,((MONTH($A27)-1)*12)+VLOOKUP(S$4,$DE$6:$DF$17,2)+1))*(VLOOKUP($A27,CURVES!$D$9:$K$261,4))*(INDEX(DailyScalarsTable,S$5/100,MONTH($A27)))*$B27</f>
        <v>-66382.740216063336</v>
      </c>
      <c r="T27" s="1021">
        <f>(VLOOKUP(YEAR($A27),'NY East Load Projections'!$A$4:$EO$14,((MONTH($A27)-1)*12)+VLOOKUP(T$4,$DE$6:$DF$17,2)+1))*(VLOOKUP($A27,CURVES!$D$9:$K$261,4))*(INDEX(DailyScalarsTable,T$5/100,MONTH($A27)))*$B27</f>
        <v>-62827.5562394191</v>
      </c>
      <c r="U27" s="1021">
        <f>(VLOOKUP(YEAR($A27),'NY East Load Projections'!$A$4:$EO$14,((MONTH($A27)-1)*12)+VLOOKUP(U$4,$DE$6:$DF$17,2)+1))*(VLOOKUP($A27,CURVES!$D$9:$K$261,4))*(INDEX(DailyScalarsTable,U$5/100,MONTH($A27)))*$B27</f>
        <v>-61083.719135122381</v>
      </c>
      <c r="V27" s="1021">
        <f>(VLOOKUP(YEAR($A27),'NY East Load Projections'!$A$4:$EO$14,((MONTH($A27)-1)*12)+VLOOKUP(V$4,$DE$6:$DF$17,2)+1))*(VLOOKUP($A27,CURVES!$D$9:$K$261,4))*(INDEX(DailyScalarsTable,V$5/100,MONTH($A27)))*$B27</f>
        <v>-59664.645216241239</v>
      </c>
      <c r="W27" s="1021">
        <f>(VLOOKUP(YEAR($A27),'NY East Load Projections'!$A$4:$EO$14,((MONTH($A27)-1)*12)+VLOOKUP(W$4,$DE$6:$DF$17,2)+1))*(VLOOKUP($A27,CURVES!$D$9:$K$261,4))*(INDEX(DailyScalarsTable,W$5/100,MONTH($A27)))*$B27</f>
        <v>-59255.16119984768</v>
      </c>
      <c r="X27" s="1021">
        <f>(VLOOKUP(YEAR($A27),'NY East Load Projections'!$A$4:$EO$14,((MONTH($A27)-1)*12)+VLOOKUP(X$4,$DE$6:$DF$17,2)+1))*(VLOOKUP($A27,CURVES!$D$9:$K$261,4))*(INDEX(DailyScalarsTable,X$5/100,MONTH($A27)))*$B27</f>
        <v>-60166.923938291453</v>
      </c>
      <c r="Y27" s="1021">
        <f>(VLOOKUP(YEAR($A27),'NY East Load Projections'!$A$4:$EO$14,((MONTH($A27)-1)*12)+VLOOKUP(Y$4,$DE$6:$DF$17,2)+1))*(VLOOKUP($A27,CURVES!$D$9:$K$261,4))*(INDEX(DailyScalarsTable,Y$5/100,MONTH($A27)))*$B27</f>
        <v>-81167.182349756709</v>
      </c>
      <c r="Z27" s="1021">
        <f>(VLOOKUP(YEAR($A27),'NY East Load Projections'!$A$4:$EO$14,((MONTH($A27)-1)*12)+VLOOKUP(Z$4,$DE$6:$DF$17,2)+1))*(VLOOKUP($A27,CURVES!$D$9:$K$261,4))*(INDEX(DailyScalarsTable,Z$5/100,MONTH($A27)))*$B27</f>
        <v>-81802.938965111869</v>
      </c>
      <c r="AA27" s="1021">
        <f>(VLOOKUP(YEAR($A27),'NY East Load Projections'!$A$4:$EO$14,((MONTH($A27)-1)*12)+VLOOKUP(AA$4,$DE$6:$DF$17,2)+1))*(VLOOKUP($A27,CURVES!$D$9:$K$261,4))*(INDEX(DailyScalarsTable,AA$5/100,MONTH($A27)))*$B27</f>
        <v>-78231.880529925504</v>
      </c>
      <c r="AB27" s="1021">
        <f>(VLOOKUP(YEAR($A27),'NY East Load Projections'!$A$4:$EO$14,((MONTH($A27)-1)*12)+VLOOKUP(AB$4,$DE$6:$DF$17,2)+1))*(VLOOKUP($A27,CURVES!$D$9:$K$261,4))*(INDEX(DailyScalarsTable,AB$5/100,MONTH($A27)))*$B27</f>
        <v>-68178.043658949609</v>
      </c>
      <c r="AC27" s="1021">
        <f>(VLOOKUP(YEAR($A27),'NY East Load Projections'!$A$4:$EO$14,((MONTH($A27)-1)*12)+VLOOKUP(AC$4,$DE$6:$DF$17,2)+1))*(VLOOKUP($A27,CURVES!$D$9:$K$261,4))*(INDEX(DailyScalarsTable,AC$5/100,MONTH($A27)))*$B27</f>
        <v>-56556.713735981495</v>
      </c>
      <c r="AD27" s="1021">
        <f>(VLOOKUP(YEAR($A27),'NY East Load Projections'!$A$4:$EO$14,((MONTH($A27)-1)*12)+VLOOKUP(AD$4,$DE$6:$DF$17,2)+1))*(VLOOKUP($A27,CURVES!$D$9:$K$261,4))*(INDEX(DailyScalarsTable,AD$5/100,MONTH($A27)))*$B27</f>
        <v>-48220.227342282633</v>
      </c>
      <c r="AE27" s="1021">
        <f>(VLOOKUP(YEAR($A27),'NY East Load Projections'!$A$4:$EO$14,((MONTH($A27)-1)*12)+VLOOKUP(AE$4,$DE$6:$DF$17,2)+1))*(VLOOKUP($A27,CURVES!$D$9:$K$261,8))*(INDEX(DailyScalarsTable,AE$5/100,MONTH($A27)))*$B27</f>
        <v>-42624.630757352432</v>
      </c>
      <c r="AF27" s="1021"/>
      <c r="AG27" s="1021">
        <f>(VLOOKUP(YEAR($A27),'NY East Load Projections'!$A$4:$EO$14,((MONTH($A27)-1)*12)+VLOOKUP(AG$4,$DE$6:$DF$17,2)+1))*(VLOOKUP($A27,CURVES!$D$9:$T$261,8))*(INDEX(DailyScalarsTable,AG$5/100,MONTH($A27)))*$C27</f>
        <v>-7062.8906972986306</v>
      </c>
      <c r="AH27" s="1021">
        <f>(VLOOKUP(YEAR($A27),'NY East Load Projections'!$A$4:$EO$14,((MONTH($A27)-1)*12)+VLOOKUP(AH$4,$DE$6:$DF$17,2)+1))*(VLOOKUP($A27,CURVES!$D$9:$T$261,8))*(INDEX(DailyScalarsTable,AH$5/100,MONTH($A27)))*$C27</f>
        <v>-6703.6093695687478</v>
      </c>
      <c r="AI27" s="1021">
        <f>(VLOOKUP(YEAR($A27),'NY East Load Projections'!$A$4:$EO$14,((MONTH($A27)-1)*12)+VLOOKUP(AI$4,$DE$6:$DF$17,2)+1))*(VLOOKUP($A27,CURVES!$D$9:$T$261,8))*(INDEX(DailyScalarsTable,AI$5/100,MONTH($A27)))*$C27</f>
        <v>-6439.5413129556864</v>
      </c>
      <c r="AJ27" s="1021">
        <f>(VLOOKUP(YEAR($A27),'NY East Load Projections'!$A$4:$EO$14,((MONTH($A27)-1)*12)+VLOOKUP(AJ$4,$DE$6:$DF$17,2)+1))*(VLOOKUP($A27,CURVES!$D$9:$T$261,8))*(INDEX(DailyScalarsTable,AJ$5/100,MONTH($A27)))*$C27</f>
        <v>-6443.260581358687</v>
      </c>
      <c r="AK27" s="1021">
        <f>(VLOOKUP(YEAR($A27),'NY East Load Projections'!$A$4:$EO$14,((MONTH($A27)-1)*12)+VLOOKUP(AK$4,$DE$6:$DF$17,2)+1))*(VLOOKUP($A27,CURVES!$D$9:$T$261,8))*(INDEX(DailyScalarsTable,AK$5/100,MONTH($A27)))*$C27</f>
        <v>-7003.4093936284353</v>
      </c>
      <c r="AL27" s="1021">
        <f>(VLOOKUP(YEAR($A27),'NY East Load Projections'!$A$4:$EO$14,((MONTH($A27)-1)*12)+VLOOKUP(AL$4,$DE$6:$DF$17,2)+1))*(VLOOKUP($A27,CURVES!$D$9:$T$261,8))*(INDEX(DailyScalarsTable,AL$5/100,MONTH($A27)))*$C27</f>
        <v>-8045.7948824372443</v>
      </c>
      <c r="AM27" s="1021">
        <f>(VLOOKUP(YEAR($A27),'NY East Load Projections'!$A$4:$EO$14,((MONTH($A27)-1)*12)+VLOOKUP(AM$4,$DE$6:$DF$17,2)+1))*(VLOOKUP($A27,CURVES!$D$9:$T$261,8))*(INDEX(DailyScalarsTable,AM$5/100,MONTH($A27)))*$C27</f>
        <v>-10401.177901384486</v>
      </c>
      <c r="AN27" s="1021">
        <f>(VLOOKUP(YEAR($A27),'NY East Load Projections'!$A$4:$EO$14,((MONTH($A27)-1)*12)+VLOOKUP(AN$4,$DE$6:$DF$17,2)+1))*(VLOOKUP($A27,SatSunCurve,4))*(INDEX(DailyScalarsTable,AN$5/100,MONTH($A27)))*$C27</f>
        <v>-9435.0317576150592</v>
      </c>
      <c r="AO27" s="1021">
        <f>(VLOOKUP(YEAR($A27),'NY East Load Projections'!$A$4:$EO$14,((MONTH($A27)-1)*12)+VLOOKUP(AO$4,$DE$6:$DF$17,2)+1))*(VLOOKUP($A27,SatSunCurve,4))*(INDEX(DailyScalarsTable,AO$5/100,MONTH($A27)))*$C27</f>
        <v>-11111.066555087131</v>
      </c>
      <c r="AP27" s="1021">
        <f>(VLOOKUP(YEAR($A27),'NY East Load Projections'!$A$4:$EO$14,((MONTH($A27)-1)*12)+VLOOKUP(AP$4,$DE$6:$DF$17,2)+1))*(VLOOKUP($A27,SatSunCurve,4))*(INDEX(DailyScalarsTable,AP$5/100,MONTH($A27)))*$C27</f>
        <v>-11076.730749910719</v>
      </c>
      <c r="AQ27" s="1021">
        <f>(VLOOKUP(YEAR($A27),'NY East Load Projections'!$A$4:$EO$14,((MONTH($A27)-1)*12)+VLOOKUP(AQ$4,$DE$6:$DF$17,2)+1))*(VLOOKUP($A27,SatSunCurve,4))*(INDEX(DailyScalarsTable,AQ$5/100,MONTH($A27)))*$C27</f>
        <v>-11013.945277588136</v>
      </c>
      <c r="AR27" s="1021">
        <f>(VLOOKUP(YEAR($A27),'NY East Load Projections'!$A$4:$EO$14,((MONTH($A27)-1)*12)+VLOOKUP(AR$4,$DE$6:$DF$17,2)+1))*(VLOOKUP($A27,SatSunCurve,4))*(INDEX(DailyScalarsTable,AR$5/100,MONTH($A27)))*$C27</f>
        <v>-9294.2119497523818</v>
      </c>
      <c r="AS27" s="1021">
        <f>(VLOOKUP(YEAR($A27),'NY East Load Projections'!$A$4:$EO$14,((MONTH($A27)-1)*12)+VLOOKUP(AS$4,$DE$6:$DF$17,2)+1))*(VLOOKUP($A27,SatSunCurve,4))*(INDEX(DailyScalarsTable,AS$5/100,MONTH($A27)))*$C27</f>
        <v>-8686.4166201760745</v>
      </c>
      <c r="AT27" s="1021">
        <f>(VLOOKUP(YEAR($A27),'NY East Load Projections'!$A$4:$EO$14,((MONTH($A27)-1)*12)+VLOOKUP(AT$4,$DE$6:$DF$17,2)+1))*(VLOOKUP($A27,SatSunCurve,4))*(INDEX(DailyScalarsTable,AT$5/100,MONTH($A27)))*$C27</f>
        <v>-8445.3170690823008</v>
      </c>
      <c r="AU27" s="1021">
        <f>(VLOOKUP(YEAR($A27),'NY East Load Projections'!$A$4:$EO$14,((MONTH($A27)-1)*12)+VLOOKUP(AU$4,$DE$6:$DF$17,2)+1))*(VLOOKUP($A27,SatSunCurve,4))*(INDEX(DailyScalarsTable,AU$5/100,MONTH($A27)))*$C27</f>
        <v>-8249.1186489614556</v>
      </c>
      <c r="AV27" s="1021">
        <f>(VLOOKUP(YEAR($A27),'NY East Load Projections'!$A$4:$EO$14,((MONTH($A27)-1)*12)+VLOOKUP(AV$4,$DE$6:$DF$17,2)+1))*(VLOOKUP($A27,SatSunCurve,4))*(INDEX(DailyScalarsTable,AV$5/100,MONTH($A27)))*$C27</f>
        <v>-8192.5041794738499</v>
      </c>
      <c r="AW27" s="1021">
        <f>(VLOOKUP(YEAR($A27),'NY East Load Projections'!$A$4:$EO$14,((MONTH($A27)-1)*12)+VLOOKUP(AW$4,$DE$6:$DF$17,2)+1))*(VLOOKUP($A27,SatSunCurve,4))*(INDEX(DailyScalarsTable,AW$5/100,MONTH($A27)))*$C27</f>
        <v>-8167.0956080359911</v>
      </c>
      <c r="AX27" s="1021">
        <f>(VLOOKUP(YEAR($A27),'NY East Load Projections'!$A$4:$EO$14,((MONTH($A27)-1)*12)+VLOOKUP(AX$4,$DE$6:$DF$17,2)+1))*(VLOOKUP($A27,SatSunCurve,4))*(INDEX(DailyScalarsTable,AX$5/100,MONTH($A27)))*$C27</f>
        <v>-11017.683722126791</v>
      </c>
      <c r="AY27" s="1021">
        <f>(VLOOKUP(YEAR($A27),'NY East Load Projections'!$A$4:$EO$14,((MONTH($A27)-1)*12)+VLOOKUP(AY$4,$DE$6:$DF$17,2)+1))*(VLOOKUP($A27,SatSunCurve,4))*(INDEX(DailyScalarsTable,AY$5/100,MONTH($A27)))*$C27</f>
        <v>-11103.981719783647</v>
      </c>
      <c r="AZ27" s="1021">
        <f>(VLOOKUP(YEAR($A27),'NY East Load Projections'!$A$4:$EO$14,((MONTH($A27)-1)*12)+VLOOKUP(AZ$4,$DE$6:$DF$17,2)+1))*(VLOOKUP($A27,SatSunCurve,4))*(INDEX(DailyScalarsTable,AZ$5/100,MONTH($A27)))*$C27</f>
        <v>-10619.244030817483</v>
      </c>
      <c r="BA27" s="1021">
        <f>(VLOOKUP(YEAR($A27),'NY East Load Projections'!$A$4:$EO$14,((MONTH($A27)-1)*12)+VLOOKUP(BA$4,$DE$6:$DF$17,2)+1))*(VLOOKUP($A27,SatSunCurve,4))*(INDEX(DailyScalarsTable,BA$5/100,MONTH($A27)))*$C27</f>
        <v>-9546.1984970716749</v>
      </c>
      <c r="BB27" s="1021">
        <f>(VLOOKUP(YEAR($A27),'NY East Load Projections'!$A$4:$EO$14,((MONTH($A27)-1)*12)+VLOOKUP(BB$4,$DE$6:$DF$17,2)+1))*(VLOOKUP($A27,SatSunCurve,4))*(INDEX(DailyScalarsTable,BB$5/100,MONTH($A27)))*$C27</f>
        <v>-7918.9954227275275</v>
      </c>
      <c r="BC27" s="1021">
        <f>(VLOOKUP(YEAR($A27),'NY East Load Projections'!$A$4:$EO$14,((MONTH($A27)-1)*12)+VLOOKUP(BC$4,$DE$6:$DF$17,2)+1))*(VLOOKUP($A27,SatSunCurve,4))*(INDEX(DailyScalarsTable,BC$5/100,MONTH($A27)))*$C27</f>
        <v>-6751.731746455408</v>
      </c>
      <c r="BD27" s="1021">
        <f>(VLOOKUP(YEAR($A27),'NY East Load Projections'!$A$4:$EO$14,((MONTH($A27)-1)*12)+VLOOKUP(BD$4,$DE$6:$DF$17,2)+1))*(VLOOKUP($A27,CURVES!$D$9:$T$261,8))*(INDEX(DailyScalarsTable,BD$5/100,MONTH($A27)))*$C27</f>
        <v>-7978.6637574257929</v>
      </c>
      <c r="BE27" s="1021"/>
      <c r="BF27" s="1021">
        <f>(VLOOKUP(YEAR($A27),'NY East Load Projections'!$A$4:$EO$14,((MONTH($A27)-1)*12)+VLOOKUP(BF$4,$DE$6:$DF$17,2)+1))*(VLOOKUP($A27,CURVES!$D$9:$T$261,8))*(INDEX(DailyScalarsTable,BF$5/100,MONTH($A27)))*$D27</f>
        <v>-7062.8906972986306</v>
      </c>
      <c r="BG27" s="1021">
        <f>(VLOOKUP(YEAR($A27),'NY East Load Projections'!$A$4:$EO$14,((MONTH($A27)-1)*12)+VLOOKUP(BG$4,$DE$6:$DF$17,2)+1))*(VLOOKUP($A27,CURVES!$D$9:$T$261,8))*(INDEX(DailyScalarsTable,BG$5/100,MONTH($A27)))*$D27</f>
        <v>-6703.6093695687478</v>
      </c>
      <c r="BH27" s="1021">
        <f>(VLOOKUP(YEAR($A27),'NY East Load Projections'!$A$4:$EO$14,((MONTH($A27)-1)*12)+VLOOKUP(BH$4,$DE$6:$DF$17,2)+1))*(VLOOKUP($A27,CURVES!$D$9:$T$261,8))*(INDEX(DailyScalarsTable,BH$5/100,MONTH($A27)))*$D27</f>
        <v>-6439.5413129556864</v>
      </c>
      <c r="BI27" s="1021">
        <f>(VLOOKUP(YEAR($A27),'NY East Load Projections'!$A$4:$EO$14,((MONTH($A27)-1)*12)+VLOOKUP(BI$4,$DE$6:$DF$17,2)+1))*(VLOOKUP($A27,CURVES!$D$9:$T$261,8))*(INDEX(DailyScalarsTable,BI$5/100,MONTH($A27)))*$D27</f>
        <v>-6443.260581358687</v>
      </c>
      <c r="BJ27" s="1021">
        <f>(VLOOKUP(YEAR($A27),'NY East Load Projections'!$A$4:$EO$14,((MONTH($A27)-1)*12)+VLOOKUP(BJ$4,$DE$6:$DF$17,2)+1))*(VLOOKUP($A27,CURVES!$D$9:$T$261,8))*(INDEX(DailyScalarsTable,BJ$5/100,MONTH($A27)))*$D27</f>
        <v>-7003.4093936284353</v>
      </c>
      <c r="BK27" s="1021">
        <f>(VLOOKUP(YEAR($A27),'NY East Load Projections'!$A$4:$EO$14,((MONTH($A27)-1)*12)+VLOOKUP(BK$4,$DE$6:$DF$17,2)+1))*(VLOOKUP($A27,CURVES!$D$9:$T$261,8))*(INDEX(DailyScalarsTable,BK$5/100,MONTH($A27)))*$D27</f>
        <v>-8045.7948824372443</v>
      </c>
      <c r="BL27" s="1021">
        <f>(VLOOKUP(YEAR($A27),'NY East Load Projections'!$A$4:$EO$14,((MONTH($A27)-1)*12)+VLOOKUP(BL$4,$DE$6:$DF$17,2)+1))*(VLOOKUP($A27,CURVES!$D$9:$T$261,8))*(INDEX(DailyScalarsTable,BL$5/100,MONTH($A27)))*$D27</f>
        <v>-10401.177901384486</v>
      </c>
      <c r="BM27" s="1021">
        <f>(VLOOKUP(YEAR($A27),'NY East Load Projections'!$A$4:$EO$14,((MONTH($A27)-1)*12)+VLOOKUP(BM$4,$DE$6:$DF$17,2)+1))*(VLOOKUP($A27,SatSunCurve,8))*(INDEX(DailyScalarsTable,BM$5/100,MONTH($A27)))*$D27</f>
        <v>-9641.1016093792368</v>
      </c>
      <c r="BN27" s="1021">
        <f>(VLOOKUP(YEAR($A27),'NY East Load Projections'!$A$4:$EO$14,((MONTH($A27)-1)*12)+VLOOKUP(BN$4,$DE$6:$DF$17,2)+1))*(VLOOKUP($A27,SatSunCurve,8))*(INDEX(DailyScalarsTable,BN$5/100,MONTH($A27)))*$D27</f>
        <v>-11353.742562626878</v>
      </c>
      <c r="BO27" s="1021">
        <f>(VLOOKUP(YEAR($A27),'NY East Load Projections'!$A$4:$EO$14,((MONTH($A27)-1)*12)+VLOOKUP(BO$4,$DE$6:$DF$17,2)+1))*(VLOOKUP($A27,SatSunCurve,8))*(INDEX(DailyScalarsTable,BO$5/100,MONTH($A27)))*$D27</f>
        <v>-11318.656831592802</v>
      </c>
      <c r="BP27" s="1021">
        <f>(VLOOKUP(YEAR($A27),'NY East Load Projections'!$A$4:$EO$14,((MONTH($A27)-1)*12)+VLOOKUP(BP$4,$DE$6:$DF$17,2)+1))*(VLOOKUP($A27,SatSunCurve,8))*(INDEX(DailyScalarsTable,BP$5/100,MONTH($A27)))*$D27</f>
        <v>-11254.500066273349</v>
      </c>
      <c r="BQ27" s="1021">
        <f>(VLOOKUP(YEAR($A27),'NY East Load Projections'!$A$4:$EO$14,((MONTH($A27)-1)*12)+VLOOKUP(BQ$4,$DE$6:$DF$17,2)+1))*(VLOOKUP($A27,SatSunCurve,8))*(INDEX(DailyScalarsTable,BQ$5/100,MONTH($A27)))*$D27</f>
        <v>-9497.2061661952175</v>
      </c>
      <c r="BR27" s="1021">
        <f>(VLOOKUP(YEAR($A27),'NY East Load Projections'!$A$4:$EO$14,((MONTH($A27)-1)*12)+VLOOKUP(BR$4,$DE$6:$DF$17,2)+1))*(VLOOKUP($A27,SatSunCurve,8))*(INDEX(DailyScalarsTable,BR$5/100,MONTH($A27)))*$D27</f>
        <v>-8876.1360224278851</v>
      </c>
      <c r="BS27" s="1021">
        <f>(VLOOKUP(YEAR($A27),'NY East Load Projections'!$A$4:$EO$14,((MONTH($A27)-1)*12)+VLOOKUP(BS$4,$DE$6:$DF$17,2)+1))*(VLOOKUP($A27,SatSunCurve,8))*(INDEX(DailyScalarsTable,BS$5/100,MONTH($A27)))*$D27</f>
        <v>-8629.7706333347633</v>
      </c>
      <c r="BT27" s="1021">
        <f>(VLOOKUP(YEAR($A27),'NY East Load Projections'!$A$4:$EO$14,((MONTH($A27)-1)*12)+VLOOKUP(BT$4,$DE$6:$DF$17,2)+1))*(VLOOKUP($A27,SatSunCurve,8))*(INDEX(DailyScalarsTable,BT$5/100,MONTH($A27)))*$D27</f>
        <v>-8429.2870575950164</v>
      </c>
      <c r="BU27" s="1021">
        <f>(VLOOKUP(YEAR($A27),'NY East Load Projections'!$A$4:$EO$14,((MONTH($A27)-1)*12)+VLOOKUP(BU$4,$DE$6:$DF$17,2)+1))*(VLOOKUP($A27,SatSunCurve,8))*(INDEX(DailyScalarsTable,BU$5/100,MONTH($A27)))*$D27</f>
        <v>-8371.4360755407633</v>
      </c>
      <c r="BV27" s="1021">
        <f>(VLOOKUP(YEAR($A27),'NY East Load Projections'!$A$4:$EO$14,((MONTH($A27)-1)*12)+VLOOKUP(BV$4,$DE$6:$DF$17,2)+1))*(VLOOKUP($A27,SatSunCurve,8))*(INDEX(DailyScalarsTable,BV$5/100,MONTH($A27)))*$D27</f>
        <v>-8345.4725573168962</v>
      </c>
      <c r="BW27" s="1021">
        <f>(VLOOKUP(YEAR($A27),'NY East Load Projections'!$A$4:$EO$14,((MONTH($A27)-1)*12)+VLOOKUP(BW$4,$DE$6:$DF$17,2)+1))*(VLOOKUP($A27,SatSunCurve,8))*(INDEX(DailyScalarsTable,BW$5/100,MONTH($A27)))*$D27</f>
        <v>-11258.32016191098</v>
      </c>
      <c r="BX27" s="1021">
        <f>(VLOOKUP(YEAR($A27),'NY East Load Projections'!$A$4:$EO$14,((MONTH($A27)-1)*12)+VLOOKUP(BX$4,$DE$6:$DF$17,2)+1))*(VLOOKUP($A27,SatSunCurve,8))*(INDEX(DailyScalarsTable,BX$5/100,MONTH($A27)))*$D27</f>
        <v>-11346.502987943781</v>
      </c>
      <c r="BY27" s="1021">
        <f>(VLOOKUP(YEAR($A27),'NY East Load Projections'!$A$4:$EO$14,((MONTH($A27)-1)*12)+VLOOKUP(BY$4,$DE$6:$DF$17,2)+1))*(VLOOKUP($A27,SatSunCurve,8))*(INDEX(DailyScalarsTable,BY$5/100,MONTH($A27)))*$D27</f>
        <v>-10851.178177887203</v>
      </c>
      <c r="BZ27" s="1021">
        <f>(VLOOKUP(YEAR($A27),'NY East Load Projections'!$A$4:$EO$14,((MONTH($A27)-1)*12)+VLOOKUP(BZ$4,$DE$6:$DF$17,2)+1))*(VLOOKUP($A27,SatSunCurve,8))*(INDEX(DailyScalarsTable,BZ$5/100,MONTH($A27)))*$D27</f>
        <v>-9754.6963336174031</v>
      </c>
      <c r="CA27" s="1021">
        <f>(VLOOKUP(YEAR($A27),'NY East Load Projections'!$A$4:$EO$14,((MONTH($A27)-1)*12)+VLOOKUP(CA$4,$DE$6:$DF$17,2)+1))*(VLOOKUP($A27,SatSunCurve,8))*(INDEX(DailyScalarsTable,CA$5/100,MONTH($A27)))*$D27</f>
        <v>-8091.9536336594183</v>
      </c>
      <c r="CB27" s="1021">
        <f>(VLOOKUP(YEAR($A27),'NY East Load Projections'!$A$4:$EO$14,((MONTH($A27)-1)*12)+VLOOKUP(CB$4,$DE$6:$DF$17,2)+1))*(VLOOKUP($A27,SatSunCurve,8))*(INDEX(DailyScalarsTable,CB$5/100,MONTH($A27)))*$D27</f>
        <v>-6899.1958351714447</v>
      </c>
      <c r="CC27" s="1021">
        <f>(VLOOKUP(YEAR($A27),'NY East Load Projections'!$A$4:$EO$14,((MONTH($A27)-1)*12)+VLOOKUP(CC$4,$DE$6:$DF$17,2)+1))*(VLOOKUP($A27,CURVES!$D$9:$T$261,8))*(INDEX(DailyScalarsTable,CC$5/100,MONTH($A27)))*$D27</f>
        <v>-7978.6637574257929</v>
      </c>
      <c r="CE27" s="1021">
        <f>(VLOOKUP(YEAR($A27),'NY East Load Projections'!$A$4:$EO$14,((MONTH($A27)-1)*12)+VLOOKUP(CE$4,$DE$6:$DF$17,2)+1))*(VLOOKUP($A27,CURVES!$D$9:$T$261,8))*(INDEX(DailyScalarsTable,CE$5/100,MONTH($A27)))*$E27</f>
        <v>0</v>
      </c>
      <c r="CF27" s="1021">
        <f>(VLOOKUP(YEAR($A27),'NY East Load Projections'!$A$4:$EO$14,((MONTH($A27)-1)*12)+VLOOKUP(CF$4,$DE$6:$DF$17,2)+1))*(VLOOKUP($A27,CURVES!$D$9:$T$261,8))*(INDEX(DailyScalarsTable,CF$5/100,MONTH($A27)))*$E27</f>
        <v>0</v>
      </c>
      <c r="CG27" s="1021">
        <f>(VLOOKUP(YEAR($A27),'NY East Load Projections'!$A$4:$EO$14,((MONTH($A27)-1)*12)+VLOOKUP(CG$4,$DE$6:$DF$17,2)+1))*(VLOOKUP($A27,CURVES!$D$9:$T$261,8))*(INDEX(DailyScalarsTable,CG$5/100,MONTH($A27)))*$E27</f>
        <v>0</v>
      </c>
      <c r="CH27" s="1021">
        <f>(VLOOKUP(YEAR($A27),'NY East Load Projections'!$A$4:$EO$14,((MONTH($A27)-1)*12)+VLOOKUP(CH$4,$DE$6:$DF$17,2)+1))*(VLOOKUP($A27,CURVES!$D$9:$T$261,8))*(INDEX(DailyScalarsTable,CH$5/100,MONTH($A27)))*$E27</f>
        <v>0</v>
      </c>
      <c r="CI27" s="1021">
        <f>(VLOOKUP(YEAR($A27),'NY East Load Projections'!$A$4:$EO$14,((MONTH($A27)-1)*12)+VLOOKUP(CI$4,$DE$6:$DF$17,2)+1))*(VLOOKUP($A27,CURVES!$D$9:$T$261,8))*(INDEX(DailyScalarsTable,CI$5/100,MONTH($A27)))*$E27</f>
        <v>0</v>
      </c>
      <c r="CJ27" s="1021">
        <f>(VLOOKUP(YEAR($A27),'NY East Load Projections'!$A$4:$EO$14,((MONTH($A27)-1)*12)+VLOOKUP(CJ$4,$DE$6:$DF$17,2)+1))*(VLOOKUP($A27,CURVES!$D$9:$T$261,8))*(INDEX(DailyScalarsTable,CJ$5/100,MONTH($A27)))*$E27</f>
        <v>0</v>
      </c>
      <c r="CK27" s="1021">
        <f>(VLOOKUP(YEAR($A27),'NY East Load Projections'!$A$4:$EO$14,((MONTH($A27)-1)*12)+VLOOKUP(CK$4,$DE$6:$DF$17,2)+1))*(VLOOKUP($A27,CURVES!$D$9:$T$261,8))*(INDEX(DailyScalarsTable,CK$5/100,MONTH($A27)))*$E27</f>
        <v>0</v>
      </c>
      <c r="CL27" s="1021">
        <f>(VLOOKUP(YEAR($A27),'NY East Load Projections'!$A$4:$EO$14,((MONTH($A27)-1)*12)+VLOOKUP(CL$4,$DE$6:$DF$17,2)+1))*(VLOOKUP($A27,SatSunCurve,8))*(INDEX(DailyScalarsTable,CL$5/100,MONTH($A27)))*$E27</f>
        <v>0</v>
      </c>
      <c r="CM27" s="1021">
        <f>(VLOOKUP(YEAR($A27),'NY East Load Projections'!$A$4:$EO$14,((MONTH($A27)-1)*12)+VLOOKUP(CM$4,$DE$6:$DF$17,2)+1))*(VLOOKUP($A27,SatSunCurve,8))*(INDEX(DailyScalarsTable,CM$5/100,MONTH($A27)))*$E27</f>
        <v>0</v>
      </c>
      <c r="CN27" s="1021">
        <f>(VLOOKUP(YEAR($A27),'NY East Load Projections'!$A$4:$EO$14,((MONTH($A27)-1)*12)+VLOOKUP(CN$4,$DE$6:$DF$17,2)+1))*(VLOOKUP($A27,SatSunCurve,8))*(INDEX(DailyScalarsTable,CN$5/100,MONTH($A27)))*$E27</f>
        <v>0</v>
      </c>
      <c r="CO27" s="1021">
        <f>(VLOOKUP(YEAR($A27),'NY East Load Projections'!$A$4:$EO$14,((MONTH($A27)-1)*12)+VLOOKUP(CO$4,$DE$6:$DF$17,2)+1))*(VLOOKUP($A27,SatSunCurve,8))*(INDEX(DailyScalarsTable,CO$5/100,MONTH($A27)))*$E27</f>
        <v>0</v>
      </c>
      <c r="CP27" s="1021">
        <f>(VLOOKUP(YEAR($A27),'NY East Load Projections'!$A$4:$EO$14,((MONTH($A27)-1)*12)+VLOOKUP(CP$4,$DE$6:$DF$17,2)+1))*(VLOOKUP($A27,SatSunCurve,8))*(INDEX(DailyScalarsTable,CP$5/100,MONTH($A27)))*$E27</f>
        <v>0</v>
      </c>
      <c r="CQ27" s="1021">
        <f>(VLOOKUP(YEAR($A27),'NY East Load Projections'!$A$4:$EO$14,((MONTH($A27)-1)*12)+VLOOKUP(CQ$4,$DE$6:$DF$17,2)+1))*(VLOOKUP($A27,SatSunCurve,8))*(INDEX(DailyScalarsTable,CQ$5/100,MONTH($A27)))*$E27</f>
        <v>0</v>
      </c>
      <c r="CR27" s="1021">
        <f>(VLOOKUP(YEAR($A27),'NY East Load Projections'!$A$4:$EO$14,((MONTH($A27)-1)*12)+VLOOKUP(CR$4,$DE$6:$DF$17,2)+1))*(VLOOKUP($A27,SatSunCurve,8))*(INDEX(DailyScalarsTable,CR$5/100,MONTH($A27)))*$E27</f>
        <v>0</v>
      </c>
      <c r="CS27" s="1021">
        <f>(VLOOKUP(YEAR($A27),'NY East Load Projections'!$A$4:$EO$14,((MONTH($A27)-1)*12)+VLOOKUP(CS$4,$DE$6:$DF$17,2)+1))*(VLOOKUP($A27,SatSunCurve,8))*(INDEX(DailyScalarsTable,CS$5/100,MONTH($A27)))*$E27</f>
        <v>0</v>
      </c>
      <c r="CT27" s="1021">
        <f>(VLOOKUP(YEAR($A27),'NY East Load Projections'!$A$4:$EO$14,((MONTH($A27)-1)*12)+VLOOKUP(CT$4,$DE$6:$DF$17,2)+1))*(VLOOKUP($A27,SatSunCurve,8))*(INDEX(DailyScalarsTable,CT$5/100,MONTH($A27)))*$E27</f>
        <v>0</v>
      </c>
      <c r="CU27" s="1021">
        <f>(VLOOKUP(YEAR($A27),'NY East Load Projections'!$A$4:$EO$14,((MONTH($A27)-1)*12)+VLOOKUP(CU$4,$DE$6:$DF$17,2)+1))*(VLOOKUP($A27,SatSunCurve,8))*(INDEX(DailyScalarsTable,CU$5/100,MONTH($A27)))*$E27</f>
        <v>0</v>
      </c>
      <c r="CV27" s="1021">
        <f>(VLOOKUP(YEAR($A27),'NY East Load Projections'!$A$4:$EO$14,((MONTH($A27)-1)*12)+VLOOKUP(CV$4,$DE$6:$DF$17,2)+1))*(VLOOKUP($A27,SatSunCurve,8))*(INDEX(DailyScalarsTable,CV$5/100,MONTH($A27)))*$E27</f>
        <v>0</v>
      </c>
      <c r="CW27" s="1021">
        <f>(VLOOKUP(YEAR($A27),'NY East Load Projections'!$A$4:$EO$14,((MONTH($A27)-1)*12)+VLOOKUP(CW$4,$DE$6:$DF$17,2)+1))*(VLOOKUP($A27,SatSunCurve,8))*(INDEX(DailyScalarsTable,CW$5/100,MONTH($A27)))*$E27</f>
        <v>0</v>
      </c>
      <c r="CX27" s="1021">
        <f>(VLOOKUP(YEAR($A27),'NY East Load Projections'!$A$4:$EO$14,((MONTH($A27)-1)*12)+VLOOKUP(CX$4,$DE$6:$DF$17,2)+1))*(VLOOKUP($A27,SatSunCurve,8))*(INDEX(DailyScalarsTable,CX$5/100,MONTH($A27)))*$E27</f>
        <v>0</v>
      </c>
      <c r="CY27" s="1021">
        <f>(VLOOKUP(YEAR($A27),'NY East Load Projections'!$A$4:$EO$14,((MONTH($A27)-1)*12)+VLOOKUP(CY$4,$DE$6:$DF$17,2)+1))*(VLOOKUP($A27,SatSunCurve,8))*(INDEX(DailyScalarsTable,CY$5/100,MONTH($A27)))*$E27</f>
        <v>0</v>
      </c>
      <c r="CZ27" s="1021">
        <f>(VLOOKUP(YEAR($A27),'NY East Load Projections'!$A$4:$EO$14,((MONTH($A27)-1)*12)+VLOOKUP(CZ$4,$DE$6:$DF$17,2)+1))*(VLOOKUP($A27,SatSunCurve,8))*(INDEX(DailyScalarsTable,CZ$5/100,MONTH($A27)))*$E27</f>
        <v>0</v>
      </c>
      <c r="DA27" s="1021">
        <f>(VLOOKUP(YEAR($A27),'NY East Load Projections'!$A$4:$EO$14,((MONTH($A27)-1)*12)+VLOOKUP(DA$4,$DE$6:$DF$17,2)+1))*(VLOOKUP($A27,SatSunCurve,8))*(INDEX(DailyScalarsTable,DA$5/100,MONTH($A27)))*$E27</f>
        <v>0</v>
      </c>
      <c r="DB27" s="1021">
        <f>(VLOOKUP(YEAR($A27),'NY East Load Projections'!$A$4:$EO$14,((MONTH($A27)-1)*12)+VLOOKUP(DB$4,$DE$6:$DF$17,2)+1))*(VLOOKUP($A27,CURVES!$D$9:$T$261,8))*(INDEX(DailyScalarsTable,DB$5/100,MONTH($A27)))*$E27</f>
        <v>0</v>
      </c>
      <c r="DH27" s="1021">
        <f t="shared" si="0"/>
        <v>-1842475.8714452663</v>
      </c>
      <c r="DI27">
        <f ca="1">CALC!J47</f>
        <v>0.8260475313611404</v>
      </c>
      <c r="DJ27" s="1029">
        <f t="shared" ca="1" si="1"/>
        <v>-1521972.6451998281</v>
      </c>
    </row>
    <row r="28" spans="1:114" x14ac:dyDescent="0.25">
      <c r="A28" s="244">
        <v>37561</v>
      </c>
      <c r="B28" s="13">
        <v>20</v>
      </c>
      <c r="C28" s="210">
        <v>5</v>
      </c>
      <c r="D28" s="210">
        <v>4</v>
      </c>
      <c r="E28" s="210">
        <v>1</v>
      </c>
      <c r="F28" s="13">
        <v>30</v>
      </c>
      <c r="H28" s="1021">
        <f>(VLOOKUP(YEAR($A28),'NY East Load Projections'!$A$4:$EO$14,((MONTH($A28)-1)*12)+VLOOKUP(H$4,$DE$6:$DF$17,2)+1))*(VLOOKUP($A28,CURVES!$D$9:$K$261,8))*(INDEX(DailyScalarsTable,H$5/100,MONTH($A28)))*$B28</f>
        <v>-30775.332782008954</v>
      </c>
      <c r="I28" s="1021">
        <f>(VLOOKUP(YEAR($A28),'NY East Load Projections'!$A$4:$EO$14,((MONTH($A28)-1)*12)+VLOOKUP(I$4,$DE$6:$DF$17,2)+1))*(VLOOKUP($A28,CURVES!$D$9:$K$261,8))*(INDEX(DailyScalarsTable,I$5/100,MONTH($A28)))*$B28</f>
        <v>-29176.141202266048</v>
      </c>
      <c r="J28" s="1021">
        <f>(VLOOKUP(YEAR($A28),'NY East Load Projections'!$A$4:$EO$14,((MONTH($A28)-1)*12)+VLOOKUP(J$4,$DE$6:$DF$17,2)+1))*(VLOOKUP($A28,CURVES!$D$9:$K$261,8))*(INDEX(DailyScalarsTable,J$5/100,MONTH($A28)))*$B28</f>
        <v>-28000.751945933269</v>
      </c>
      <c r="K28" s="1021">
        <f>(VLOOKUP(YEAR($A28),'NY East Load Projections'!$A$4:$EO$14,((MONTH($A28)-1)*12)+VLOOKUP(K$4,$DE$6:$DF$17,2)+1))*(VLOOKUP($A28,CURVES!$D$9:$K$261,8))*(INDEX(DailyScalarsTable,K$5/100,MONTH($A28)))*$B28</f>
        <v>-28017.306724191476</v>
      </c>
      <c r="L28" s="1021">
        <f>(VLOOKUP(YEAR($A28),'NY East Load Projections'!$A$4:$EO$14,((MONTH($A28)-1)*12)+VLOOKUP(L$4,$DE$6:$DF$17,2)+1))*(VLOOKUP($A28,CURVES!$D$9:$K$261,8))*(INDEX(DailyScalarsTable,L$5/100,MONTH($A28)))*$B28</f>
        <v>-31764.46286253064</v>
      </c>
      <c r="M28" s="1021">
        <f>(VLOOKUP(YEAR($A28),'NY East Load Projections'!$A$4:$EO$14,((MONTH($A28)-1)*12)+VLOOKUP(M$4,$DE$6:$DF$17,2)+1))*(VLOOKUP($A28,CURVES!$D$9:$K$261,8))*(INDEX(DailyScalarsTable,M$5/100,MONTH($A28)))*$B28</f>
        <v>-36596.585784475457</v>
      </c>
      <c r="N28" s="1021">
        <f>(VLOOKUP(YEAR($A28),'NY East Load Projections'!$A$4:$EO$14,((MONTH($A28)-1)*12)+VLOOKUP(N$4,$DE$6:$DF$17,2)+1))*(VLOOKUP($A28,CURVES!$D$9:$K$261,8))*(INDEX(DailyScalarsTable,N$5/100,MONTH($A28)))*$B28</f>
        <v>-52420.999936399159</v>
      </c>
      <c r="O28" s="1021">
        <f>(VLOOKUP(YEAR($A28),'NY East Load Projections'!$A$4:$EO$14,((MONTH($A28)-1)*12)+VLOOKUP(O$4,$DE$6:$DF$17,2)+1))*(VLOOKUP($A28,CURVES!$D$9:$K$261,4))*(INDEX(DailyScalarsTable,O$5/100,MONTH($A28)))*$B28</f>
        <v>-59951.272709189761</v>
      </c>
      <c r="P28" s="1021">
        <f>(VLOOKUP(YEAR($A28),'NY East Load Projections'!$A$4:$EO$14,((MONTH($A28)-1)*12)+VLOOKUP(P$4,$DE$6:$DF$17,2)+1))*(VLOOKUP($A28,CURVES!$D$9:$K$261,4))*(INDEX(DailyScalarsTable,P$5/100,MONTH($A28)))*$B28</f>
        <v>-66509.635345171133</v>
      </c>
      <c r="Q28" s="1021">
        <f>(VLOOKUP(YEAR($A28),'NY East Load Projections'!$A$4:$EO$14,((MONTH($A28)-1)*12)+VLOOKUP(Q$4,$DE$6:$DF$17,2)+1))*(VLOOKUP($A28,CURVES!$D$9:$K$261,4))*(INDEX(DailyScalarsTable,Q$5/100,MONTH($A28)))*$B28</f>
        <v>-66078.888538279585</v>
      </c>
      <c r="R28" s="1021">
        <f>(VLOOKUP(YEAR($A28),'NY East Load Projections'!$A$4:$EO$14,((MONTH($A28)-1)*12)+VLOOKUP(R$4,$DE$6:$DF$17,2)+1))*(VLOOKUP($A28,CURVES!$D$9:$K$261,4))*(INDEX(DailyScalarsTable,R$5/100,MONTH($A28)))*$B28</f>
        <v>-64804.11082599248</v>
      </c>
      <c r="S28" s="1021">
        <f>(VLOOKUP(YEAR($A28),'NY East Load Projections'!$A$4:$EO$14,((MONTH($A28)-1)*12)+VLOOKUP(S$4,$DE$6:$DF$17,2)+1))*(VLOOKUP($A28,CURVES!$D$9:$K$261,4))*(INDEX(DailyScalarsTable,S$5/100,MONTH($A28)))*$B28</f>
        <v>-54565.142808124809</v>
      </c>
      <c r="T28" s="1021">
        <f>(VLOOKUP(YEAR($A28),'NY East Load Projections'!$A$4:$EO$14,((MONTH($A28)-1)*12)+VLOOKUP(T$4,$DE$6:$DF$17,2)+1))*(VLOOKUP($A28,CURVES!$D$9:$K$261,4))*(INDEX(DailyScalarsTable,T$5/100,MONTH($A28)))*$B28</f>
        <v>-51764.986109430029</v>
      </c>
      <c r="U28" s="1021">
        <f>(VLOOKUP(YEAR($A28),'NY East Load Projections'!$A$4:$EO$14,((MONTH($A28)-1)*12)+VLOOKUP(U$4,$DE$6:$DF$17,2)+1))*(VLOOKUP($A28,CURVES!$D$9:$K$261,4))*(INDEX(DailyScalarsTable,U$5/100,MONTH($A28)))*$B28</f>
        <v>-50375.440101055923</v>
      </c>
      <c r="V28" s="1021">
        <f>(VLOOKUP(YEAR($A28),'NY East Load Projections'!$A$4:$EO$14,((MONTH($A28)-1)*12)+VLOOKUP(V$4,$DE$6:$DF$17,2)+1))*(VLOOKUP($A28,CURVES!$D$9:$K$261,4))*(INDEX(DailyScalarsTable,V$5/100,MONTH($A28)))*$B28</f>
        <v>-49196.96437243485</v>
      </c>
      <c r="W28" s="1021">
        <f>(VLOOKUP(YEAR($A28),'NY East Load Projections'!$A$4:$EO$14,((MONTH($A28)-1)*12)+VLOOKUP(W$4,$DE$6:$DF$17,2)+1))*(VLOOKUP($A28,CURVES!$D$9:$K$261,4))*(INDEX(DailyScalarsTable,W$5/100,MONTH($A28)))*$B28</f>
        <v>-48387.861633381581</v>
      </c>
      <c r="X28" s="1021">
        <f>(VLOOKUP(YEAR($A28),'NY East Load Projections'!$A$4:$EO$14,((MONTH($A28)-1)*12)+VLOOKUP(X$4,$DE$6:$DF$17,2)+1))*(VLOOKUP($A28,CURVES!$D$9:$K$261,4))*(INDEX(DailyScalarsTable,X$5/100,MONTH($A28)))*$B28</f>
        <v>-50286.016773347619</v>
      </c>
      <c r="Y28" s="1021">
        <f>(VLOOKUP(YEAR($A28),'NY East Load Projections'!$A$4:$EO$14,((MONTH($A28)-1)*12)+VLOOKUP(Y$4,$DE$6:$DF$17,2)+1))*(VLOOKUP($A28,CURVES!$D$9:$K$261,4))*(INDEX(DailyScalarsTable,Y$5/100,MONTH($A28)))*$B28</f>
        <v>-69031.255374285334</v>
      </c>
      <c r="Z28" s="1021">
        <f>(VLOOKUP(YEAR($A28),'NY East Load Projections'!$A$4:$EO$14,((MONTH($A28)-1)*12)+VLOOKUP(Z$4,$DE$6:$DF$17,2)+1))*(VLOOKUP($A28,CURVES!$D$9:$K$261,4))*(INDEX(DailyScalarsTable,Z$5/100,MONTH($A28)))*$B28</f>
        <v>-69587.089983329788</v>
      </c>
      <c r="AA28" s="1021">
        <f>(VLOOKUP(YEAR($A28),'NY East Load Projections'!$A$4:$EO$14,((MONTH($A28)-1)*12)+VLOOKUP(AA$4,$DE$6:$DF$17,2)+1))*(VLOOKUP($A28,CURVES!$D$9:$K$261,4))*(INDEX(DailyScalarsTable,AA$5/100,MONTH($A28)))*$B28</f>
        <v>-66739.855557408242</v>
      </c>
      <c r="AB28" s="1021">
        <f>(VLOOKUP(YEAR($A28),'NY East Load Projections'!$A$4:$EO$14,((MONTH($A28)-1)*12)+VLOOKUP(AB$4,$DE$6:$DF$17,2)+1))*(VLOOKUP($A28,CURVES!$D$9:$K$261,4))*(INDEX(DailyScalarsTable,AB$5/100,MONTH($A28)))*$B28</f>
        <v>-58899.722448801469</v>
      </c>
      <c r="AC28" s="1021">
        <f>(VLOOKUP(YEAR($A28),'NY East Load Projections'!$A$4:$EO$14,((MONTH($A28)-1)*12)+VLOOKUP(AC$4,$DE$6:$DF$17,2)+1))*(VLOOKUP($A28,CURVES!$D$9:$K$261,4))*(INDEX(DailyScalarsTable,AC$5/100,MONTH($A28)))*$B28</f>
        <v>-46853.650091975229</v>
      </c>
      <c r="AD28" s="1021">
        <f>(VLOOKUP(YEAR($A28),'NY East Load Projections'!$A$4:$EO$14,((MONTH($A28)-1)*12)+VLOOKUP(AD$4,$DE$6:$DF$17,2)+1))*(VLOOKUP($A28,CURVES!$D$9:$K$261,4))*(INDEX(DailyScalarsTable,AD$5/100,MONTH($A28)))*$B28</f>
        <v>-39513.497335705273</v>
      </c>
      <c r="AE28" s="1021">
        <f>(VLOOKUP(YEAR($A28),'NY East Load Projections'!$A$4:$EO$14,((MONTH($A28)-1)*12)+VLOOKUP(AE$4,$DE$6:$DF$17,2)+1))*(VLOOKUP($A28,CURVES!$D$9:$K$261,8))*(INDEX(DailyScalarsTable,AE$5/100,MONTH($A28)))*$B28</f>
        <v>-35586.787315459886</v>
      </c>
      <c r="AF28" s="1021"/>
      <c r="AG28" s="1021">
        <f>(VLOOKUP(YEAR($A28),'NY East Load Projections'!$A$4:$EO$14,((MONTH($A28)-1)*12)+VLOOKUP(AG$4,$DE$6:$DF$17,2)+1))*(VLOOKUP($A28,CURVES!$D$9:$T$261,8))*(INDEX(DailyScalarsTable,AG$5/100,MONTH($A28)))*$C28</f>
        <v>-8036.3783096789393</v>
      </c>
      <c r="AH28" s="1021">
        <f>(VLOOKUP(YEAR($A28),'NY East Load Projections'!$A$4:$EO$14,((MONTH($A28)-1)*12)+VLOOKUP(AH$4,$DE$6:$DF$17,2)+1))*(VLOOKUP($A28,CURVES!$D$9:$T$261,8))*(INDEX(DailyScalarsTable,AH$5/100,MONTH($A28)))*$C28</f>
        <v>-7618.7805986972362</v>
      </c>
      <c r="AI28" s="1021">
        <f>(VLOOKUP(YEAR($A28),'NY East Load Projections'!$A$4:$EO$14,((MONTH($A28)-1)*12)+VLOOKUP(AI$4,$DE$6:$DF$17,2)+1))*(VLOOKUP($A28,CURVES!$D$9:$T$261,8))*(INDEX(DailyScalarsTable,AI$5/100,MONTH($A28)))*$C28</f>
        <v>-7311.8506040833554</v>
      </c>
      <c r="AJ28" s="1021">
        <f>(VLOOKUP(YEAR($A28),'NY East Load Projections'!$A$4:$EO$14,((MONTH($A28)-1)*12)+VLOOKUP(AJ$4,$DE$6:$DF$17,2)+1))*(VLOOKUP($A28,CURVES!$D$9:$T$261,8))*(INDEX(DailyScalarsTable,AJ$5/100,MONTH($A28)))*$C28</f>
        <v>-7316.1735617539725</v>
      </c>
      <c r="AK28" s="1021">
        <f>(VLOOKUP(YEAR($A28),'NY East Load Projections'!$A$4:$EO$14,((MONTH($A28)-1)*12)+VLOOKUP(AK$4,$DE$6:$DF$17,2)+1))*(VLOOKUP($A28,CURVES!$D$9:$T$261,8))*(INDEX(DailyScalarsTable,AK$5/100,MONTH($A28)))*$C28</f>
        <v>-7965.5669288209428</v>
      </c>
      <c r="AL28" s="1021">
        <f>(VLOOKUP(YEAR($A28),'NY East Load Projections'!$A$4:$EO$14,((MONTH($A28)-1)*12)+VLOOKUP(AL$4,$DE$6:$DF$17,2)+1))*(VLOOKUP($A28,CURVES!$D$9:$T$261,8))*(INDEX(DailyScalarsTable,AL$5/100,MONTH($A28)))*$C28</f>
        <v>-9177.3172647110769</v>
      </c>
      <c r="AM28" s="1021">
        <f>(VLOOKUP(YEAR($A28),'NY East Load Projections'!$A$4:$EO$14,((MONTH($A28)-1)*12)+VLOOKUP(AM$4,$DE$6:$DF$17,2)+1))*(VLOOKUP($A28,CURVES!$D$9:$T$261,8))*(INDEX(DailyScalarsTable,AM$5/100,MONTH($A28)))*$C28</f>
        <v>-13145.601903492698</v>
      </c>
      <c r="AN28" s="1021">
        <f>(VLOOKUP(YEAR($A28),'NY East Load Projections'!$A$4:$EO$14,((MONTH($A28)-1)*12)+VLOOKUP(AN$4,$DE$6:$DF$17,2)+1))*(VLOOKUP($A28,SatSunCurve,4))*(INDEX(DailyScalarsTable,AN$5/100,MONTH($A28)))*$C28</f>
        <v>-11588.220093342979</v>
      </c>
      <c r="AO28" s="1021">
        <f>(VLOOKUP(YEAR($A28),'NY East Load Projections'!$A$4:$EO$14,((MONTH($A28)-1)*12)+VLOOKUP(AO$4,$DE$6:$DF$17,2)+1))*(VLOOKUP($A28,SatSunCurve,4))*(INDEX(DailyScalarsTable,AO$5/100,MONTH($A28)))*$C28</f>
        <v>-12992.960710399067</v>
      </c>
      <c r="AP28" s="1021">
        <f>(VLOOKUP(YEAR($A28),'NY East Load Projections'!$A$4:$EO$14,((MONTH($A28)-1)*12)+VLOOKUP(AP$4,$DE$6:$DF$17,2)+1))*(VLOOKUP($A28,SatSunCurve,4))*(INDEX(DailyScalarsTable,AP$5/100,MONTH($A28)))*$C28</f>
        <v>-12908.812356419587</v>
      </c>
      <c r="AQ28" s="1021">
        <f>(VLOOKUP(YEAR($A28),'NY East Load Projections'!$A$4:$EO$14,((MONTH($A28)-1)*12)+VLOOKUP(AQ$4,$DE$6:$DF$17,2)+1))*(VLOOKUP($A28,SatSunCurve,4))*(INDEX(DailyScalarsTable,AQ$5/100,MONTH($A28)))*$C28</f>
        <v>-12659.778714237073</v>
      </c>
      <c r="AR28" s="1021">
        <f>(VLOOKUP(YEAR($A28),'NY East Load Projections'!$A$4:$EO$14,((MONTH($A28)-1)*12)+VLOOKUP(AR$4,$DE$6:$DF$17,2)+1))*(VLOOKUP($A28,SatSunCurve,4))*(INDEX(DailyScalarsTable,AR$5/100,MONTH($A28)))*$C28</f>
        <v>-10659.549597346477</v>
      </c>
      <c r="AS28" s="1021">
        <f>(VLOOKUP(YEAR($A28),'NY East Load Projections'!$A$4:$EO$14,((MONTH($A28)-1)*12)+VLOOKUP(AS$4,$DE$6:$DF$17,2)+1))*(VLOOKUP($A28,SatSunCurve,4))*(INDEX(DailyScalarsTable,AS$5/100,MONTH($A28)))*$C28</f>
        <v>-10107.275355252785</v>
      </c>
      <c r="AT28" s="1021">
        <f>(VLOOKUP(YEAR($A28),'NY East Load Projections'!$A$4:$EO$14,((MONTH($A28)-1)*12)+VLOOKUP(AT$4,$DE$6:$DF$17,2)+1))*(VLOOKUP($A28,SatSunCurve,4))*(INDEX(DailyScalarsTable,AT$5/100,MONTH($A28)))*$C28</f>
        <v>-9835.9621533958452</v>
      </c>
      <c r="AU28" s="1021">
        <f>(VLOOKUP(YEAR($A28),'NY East Load Projections'!$A$4:$EO$14,((MONTH($A28)-1)*12)+VLOOKUP(AU$4,$DE$6:$DF$17,2)+1))*(VLOOKUP($A28,SatSunCurve,4))*(INDEX(DailyScalarsTable,AU$5/100,MONTH($A28)))*$C28</f>
        <v>-9605.8610834665433</v>
      </c>
      <c r="AV28" s="1021">
        <f>(VLOOKUP(YEAR($A28),'NY East Load Projections'!$A$4:$EO$14,((MONTH($A28)-1)*12)+VLOOKUP(AV$4,$DE$6:$DF$17,2)+1))*(VLOOKUP($A28,SatSunCurve,4))*(INDEX(DailyScalarsTable,AV$5/100,MONTH($A28)))*$C28</f>
        <v>-9447.8812444106043</v>
      </c>
      <c r="AW28" s="1021">
        <f>(VLOOKUP(YEAR($A28),'NY East Load Projections'!$A$4:$EO$14,((MONTH($A28)-1)*12)+VLOOKUP(AW$4,$DE$6:$DF$17,2)+1))*(VLOOKUP($A28,SatSunCurve,4))*(INDEX(DailyScalarsTable,AW$5/100,MONTH($A28)))*$C28</f>
        <v>-9834.8742766214291</v>
      </c>
      <c r="AX28" s="1021">
        <f>(VLOOKUP(YEAR($A28),'NY East Load Projections'!$A$4:$EO$14,((MONTH($A28)-1)*12)+VLOOKUP(AX$4,$DE$6:$DF$17,2)+1))*(VLOOKUP($A28,SatSunCurve,4))*(INDEX(DailyScalarsTable,AX$5/100,MONTH($A28)))*$C28</f>
        <v>-13501.043855262735</v>
      </c>
      <c r="AY28" s="1021">
        <f>(VLOOKUP(YEAR($A28),'NY East Load Projections'!$A$4:$EO$14,((MONTH($A28)-1)*12)+VLOOKUP(AY$4,$DE$6:$DF$17,2)+1))*(VLOOKUP($A28,SatSunCurve,4))*(INDEX(DailyScalarsTable,AY$5/100,MONTH($A28)))*$C28</f>
        <v>-13609.753270907771</v>
      </c>
      <c r="AZ28" s="1021">
        <f>(VLOOKUP(YEAR($A28),'NY East Load Projections'!$A$4:$EO$14,((MONTH($A28)-1)*12)+VLOOKUP(AZ$4,$DE$6:$DF$17,2)+1))*(VLOOKUP($A28,SatSunCurve,4))*(INDEX(DailyScalarsTable,AZ$5/100,MONTH($A28)))*$C28</f>
        <v>-13052.894835664827</v>
      </c>
      <c r="BA28" s="1021">
        <f>(VLOOKUP(YEAR($A28),'NY East Load Projections'!$A$4:$EO$14,((MONTH($A28)-1)*12)+VLOOKUP(BA$4,$DE$6:$DF$17,2)+1))*(VLOOKUP($A28,SatSunCurve,4))*(INDEX(DailyScalarsTable,BA$5/100,MONTH($A28)))*$C28</f>
        <v>-11754.585923080032</v>
      </c>
      <c r="BB28" s="1021">
        <f>(VLOOKUP(YEAR($A28),'NY East Load Projections'!$A$4:$EO$14,((MONTH($A28)-1)*12)+VLOOKUP(BB$4,$DE$6:$DF$17,2)+1))*(VLOOKUP($A28,SatSunCurve,4))*(INDEX(DailyScalarsTable,BB$5/100,MONTH($A28)))*$C28</f>
        <v>-9350.557743201327</v>
      </c>
      <c r="BC28" s="1021">
        <f>(VLOOKUP(YEAR($A28),'NY East Load Projections'!$A$4:$EO$14,((MONTH($A28)-1)*12)+VLOOKUP(BC$4,$DE$6:$DF$17,2)+1))*(VLOOKUP($A28,SatSunCurve,4))*(INDEX(DailyScalarsTable,BC$5/100,MONTH($A28)))*$C28</f>
        <v>-7885.6874063825544</v>
      </c>
      <c r="BD28" s="1021">
        <f>(VLOOKUP(YEAR($A28),'NY East Load Projections'!$A$4:$EO$14,((MONTH($A28)-1)*12)+VLOOKUP(BD$4,$DE$6:$DF$17,2)+1))*(VLOOKUP($A28,CURVES!$D$9:$T$261,8))*(INDEX(DailyScalarsTable,BD$5/100,MONTH($A28)))*$C28</f>
        <v>-9213.8198524396576</v>
      </c>
      <c r="BE28" s="1021"/>
      <c r="BF28" s="1021">
        <f>(VLOOKUP(YEAR($A28),'NY East Load Projections'!$A$4:$EO$14,((MONTH($A28)-1)*12)+VLOOKUP(BF$4,$DE$6:$DF$17,2)+1))*(VLOOKUP($A28,CURVES!$D$9:$T$261,8))*(INDEX(DailyScalarsTable,BF$5/100,MONTH($A28)))*$D28</f>
        <v>-6429.1026477431515</v>
      </c>
      <c r="BG28" s="1021">
        <f>(VLOOKUP(YEAR($A28),'NY East Load Projections'!$A$4:$EO$14,((MONTH($A28)-1)*12)+VLOOKUP(BG$4,$DE$6:$DF$17,2)+1))*(VLOOKUP($A28,CURVES!$D$9:$T$261,8))*(INDEX(DailyScalarsTable,BG$5/100,MONTH($A28)))*$D28</f>
        <v>-6095.0244789577891</v>
      </c>
      <c r="BH28" s="1021">
        <f>(VLOOKUP(YEAR($A28),'NY East Load Projections'!$A$4:$EO$14,((MONTH($A28)-1)*12)+VLOOKUP(BH$4,$DE$6:$DF$17,2)+1))*(VLOOKUP($A28,CURVES!$D$9:$T$261,8))*(INDEX(DailyScalarsTable,BH$5/100,MONTH($A28)))*$D28</f>
        <v>-5849.4804832666841</v>
      </c>
      <c r="BI28" s="1021">
        <f>(VLOOKUP(YEAR($A28),'NY East Load Projections'!$A$4:$EO$14,((MONTH($A28)-1)*12)+VLOOKUP(BI$4,$DE$6:$DF$17,2)+1))*(VLOOKUP($A28,CURVES!$D$9:$T$261,8))*(INDEX(DailyScalarsTable,BI$5/100,MONTH($A28)))*$D28</f>
        <v>-5852.9388494031782</v>
      </c>
      <c r="BJ28" s="1021">
        <f>(VLOOKUP(YEAR($A28),'NY East Load Projections'!$A$4:$EO$14,((MONTH($A28)-1)*12)+VLOOKUP(BJ$4,$DE$6:$DF$17,2)+1))*(VLOOKUP($A28,CURVES!$D$9:$T$261,8))*(INDEX(DailyScalarsTable,BJ$5/100,MONTH($A28)))*$D28</f>
        <v>-6372.4535430567539</v>
      </c>
      <c r="BK28" s="1021">
        <f>(VLOOKUP(YEAR($A28),'NY East Load Projections'!$A$4:$EO$14,((MONTH($A28)-1)*12)+VLOOKUP(BK$4,$DE$6:$DF$17,2)+1))*(VLOOKUP($A28,CURVES!$D$9:$T$261,8))*(INDEX(DailyScalarsTable,BK$5/100,MONTH($A28)))*$D28</f>
        <v>-7341.8538117688622</v>
      </c>
      <c r="BL28" s="1021">
        <f>(VLOOKUP(YEAR($A28),'NY East Load Projections'!$A$4:$EO$14,((MONTH($A28)-1)*12)+VLOOKUP(BL$4,$DE$6:$DF$17,2)+1))*(VLOOKUP($A28,CURVES!$D$9:$T$261,8))*(INDEX(DailyScalarsTable,BL$5/100,MONTH($A28)))*$D28</f>
        <v>-10516.481522794158</v>
      </c>
      <c r="BM28" s="1021">
        <f>(VLOOKUP(YEAR($A28),'NY East Load Projections'!$A$4:$EO$14,((MONTH($A28)-1)*12)+VLOOKUP(BM$4,$DE$6:$DF$17,2)+1))*(VLOOKUP($A28,SatSunCurve,8))*(INDEX(DailyScalarsTable,BM$5/100,MONTH($A28)))*$D28</f>
        <v>-9464.4674434731787</v>
      </c>
      <c r="BN28" s="1021">
        <f>(VLOOKUP(YEAR($A28),'NY East Load Projections'!$A$4:$EO$14,((MONTH($A28)-1)*12)+VLOOKUP(BN$4,$DE$6:$DF$17,2)+1))*(VLOOKUP($A28,SatSunCurve,8))*(INDEX(DailyScalarsTable,BN$5/100,MONTH($A28)))*$D28</f>
        <v>-10611.763726212004</v>
      </c>
      <c r="BO28" s="1021">
        <f>(VLOOKUP(YEAR($A28),'NY East Load Projections'!$A$4:$EO$14,((MONTH($A28)-1)*12)+VLOOKUP(BO$4,$DE$6:$DF$17,2)+1))*(VLOOKUP($A28,SatSunCurve,8))*(INDEX(DailyScalarsTable,BO$5/100,MONTH($A28)))*$D28</f>
        <v>-10543.037092592216</v>
      </c>
      <c r="BP28" s="1021">
        <f>(VLOOKUP(YEAR($A28),'NY East Load Projections'!$A$4:$EO$14,((MONTH($A28)-1)*12)+VLOOKUP(BP$4,$DE$6:$DF$17,2)+1))*(VLOOKUP($A28,SatSunCurve,8))*(INDEX(DailyScalarsTable,BP$5/100,MONTH($A28)))*$D28</f>
        <v>-10339.643406609333</v>
      </c>
      <c r="BQ28" s="1021">
        <f>(VLOOKUP(YEAR($A28),'NY East Load Projections'!$A$4:$EO$14,((MONTH($A28)-1)*12)+VLOOKUP(BQ$4,$DE$6:$DF$17,2)+1))*(VLOOKUP($A28,SatSunCurve,8))*(INDEX(DailyScalarsTable,BQ$5/100,MONTH($A28)))*$D28</f>
        <v>-8705.9927507011489</v>
      </c>
      <c r="BR28" s="1021">
        <f>(VLOOKUP(YEAR($A28),'NY East Load Projections'!$A$4:$EO$14,((MONTH($A28)-1)*12)+VLOOKUP(BR$4,$DE$6:$DF$17,2)+1))*(VLOOKUP($A28,SatSunCurve,8))*(INDEX(DailyScalarsTable,BR$5/100,MONTH($A28)))*$D28</f>
        <v>-8254.9328345051053</v>
      </c>
      <c r="BS28" s="1021">
        <f>(VLOOKUP(YEAR($A28),'NY East Load Projections'!$A$4:$EO$14,((MONTH($A28)-1)*12)+VLOOKUP(BS$4,$DE$6:$DF$17,2)+1))*(VLOOKUP($A28,SatSunCurve,8))*(INDEX(DailyScalarsTable,BS$5/100,MONTH($A28)))*$D28</f>
        <v>-8033.3427244385384</v>
      </c>
      <c r="BT28" s="1021">
        <f>(VLOOKUP(YEAR($A28),'NY East Load Projections'!$A$4:$EO$14,((MONTH($A28)-1)*12)+VLOOKUP(BT$4,$DE$6:$DF$17,2)+1))*(VLOOKUP($A28,SatSunCurve,8))*(INDEX(DailyScalarsTable,BT$5/100,MONTH($A28)))*$D28</f>
        <v>-7845.4118715972736</v>
      </c>
      <c r="BU28" s="1021">
        <f>(VLOOKUP(YEAR($A28),'NY East Load Projections'!$A$4:$EO$14,((MONTH($A28)-1)*12)+VLOOKUP(BU$4,$DE$6:$DF$17,2)+1))*(VLOOKUP($A28,SatSunCurve,8))*(INDEX(DailyScalarsTable,BU$5/100,MONTH($A28)))*$D28</f>
        <v>-7716.3847189002872</v>
      </c>
      <c r="BV28" s="1021">
        <f>(VLOOKUP(YEAR($A28),'NY East Load Projections'!$A$4:$EO$14,((MONTH($A28)-1)*12)+VLOOKUP(BV$4,$DE$6:$DF$17,2)+1))*(VLOOKUP($A28,SatSunCurve,8))*(INDEX(DailyScalarsTable,BV$5/100,MONTH($A28)))*$D28</f>
        <v>-8032.454220921084</v>
      </c>
      <c r="BW28" s="1021">
        <f>(VLOOKUP(YEAR($A28),'NY East Load Projections'!$A$4:$EO$14,((MONTH($A28)-1)*12)+VLOOKUP(BW$4,$DE$6:$DF$17,2)+1))*(VLOOKUP($A28,SatSunCurve,8))*(INDEX(DailyScalarsTable,BW$5/100,MONTH($A28)))*$D28</f>
        <v>-11026.73136959514</v>
      </c>
      <c r="BX28" s="1021">
        <f>(VLOOKUP(YEAR($A28),'NY East Load Projections'!$A$4:$EO$14,((MONTH($A28)-1)*12)+VLOOKUP(BX$4,$DE$6:$DF$17,2)+1))*(VLOOKUP($A28,SatSunCurve,8))*(INDEX(DailyScalarsTable,BX$5/100,MONTH($A28)))*$D28</f>
        <v>-11115.517802445385</v>
      </c>
      <c r="BY28" s="1021">
        <f>(VLOOKUP(YEAR($A28),'NY East Load Projections'!$A$4:$EO$14,((MONTH($A28)-1)*12)+VLOOKUP(BY$4,$DE$6:$DF$17,2)+1))*(VLOOKUP($A28,SatSunCurve,8))*(INDEX(DailyScalarsTable,BY$5/100,MONTH($A28)))*$D28</f>
        <v>-10660.713830090051</v>
      </c>
      <c r="BZ28" s="1021">
        <f>(VLOOKUP(YEAR($A28),'NY East Load Projections'!$A$4:$EO$14,((MONTH($A28)-1)*12)+VLOOKUP(BZ$4,$DE$6:$DF$17,2)+1))*(VLOOKUP($A28,SatSunCurve,8))*(INDEX(DailyScalarsTable,BZ$5/100,MONTH($A28)))*$D28</f>
        <v>-9600.3437011356727</v>
      </c>
      <c r="CA28" s="1021">
        <f>(VLOOKUP(YEAR($A28),'NY East Load Projections'!$A$4:$EO$14,((MONTH($A28)-1)*12)+VLOOKUP(CA$4,$DE$6:$DF$17,2)+1))*(VLOOKUP($A28,SatSunCurve,8))*(INDEX(DailyScalarsTable,CA$5/100,MONTH($A28)))*$D28</f>
        <v>-7636.8975240368436</v>
      </c>
      <c r="CB28" s="1021">
        <f>(VLOOKUP(YEAR($A28),'NY East Load Projections'!$A$4:$EO$14,((MONTH($A28)-1)*12)+VLOOKUP(CB$4,$DE$6:$DF$17,2)+1))*(VLOOKUP($A28,SatSunCurve,8))*(INDEX(DailyScalarsTable,CB$5/100,MONTH($A28)))*$D28</f>
        <v>-6440.491389181384</v>
      </c>
      <c r="CC28" s="1021">
        <f>(VLOOKUP(YEAR($A28),'NY East Load Projections'!$A$4:$EO$14,((MONTH($A28)-1)*12)+VLOOKUP(CC$4,$DE$6:$DF$17,2)+1))*(VLOOKUP($A28,CURVES!$D$9:$T$261,8))*(INDEX(DailyScalarsTable,CC$5/100,MONTH($A28)))*$D28</f>
        <v>-7371.0558819517264</v>
      </c>
      <c r="CE28" s="1021">
        <f>(VLOOKUP(YEAR($A28),'NY East Load Projections'!$A$4:$EO$14,((MONTH($A28)-1)*12)+VLOOKUP(CE$4,$DE$6:$DF$17,2)+1))*(VLOOKUP($A28,CURVES!$D$9:$T$261,8))*(INDEX(DailyScalarsTable,CE$5/100,MONTH($A28)))*$E28</f>
        <v>-1607.2756619357879</v>
      </c>
      <c r="CF28" s="1021">
        <f>(VLOOKUP(YEAR($A28),'NY East Load Projections'!$A$4:$EO$14,((MONTH($A28)-1)*12)+VLOOKUP(CF$4,$DE$6:$DF$17,2)+1))*(VLOOKUP($A28,CURVES!$D$9:$T$261,8))*(INDEX(DailyScalarsTable,CF$5/100,MONTH($A28)))*$E28</f>
        <v>-1523.7561197394473</v>
      </c>
      <c r="CG28" s="1021">
        <f>(VLOOKUP(YEAR($A28),'NY East Load Projections'!$A$4:$EO$14,((MONTH($A28)-1)*12)+VLOOKUP(CG$4,$DE$6:$DF$17,2)+1))*(VLOOKUP($A28,CURVES!$D$9:$T$261,8))*(INDEX(DailyScalarsTable,CG$5/100,MONTH($A28)))*$E28</f>
        <v>-1462.370120816671</v>
      </c>
      <c r="CH28" s="1021">
        <f>(VLOOKUP(YEAR($A28),'NY East Load Projections'!$A$4:$EO$14,((MONTH($A28)-1)*12)+VLOOKUP(CH$4,$DE$6:$DF$17,2)+1))*(VLOOKUP($A28,CURVES!$D$9:$T$261,8))*(INDEX(DailyScalarsTable,CH$5/100,MONTH($A28)))*$E28</f>
        <v>-1463.2347123507946</v>
      </c>
      <c r="CI28" s="1021">
        <f>(VLOOKUP(YEAR($A28),'NY East Load Projections'!$A$4:$EO$14,((MONTH($A28)-1)*12)+VLOOKUP(CI$4,$DE$6:$DF$17,2)+1))*(VLOOKUP($A28,CURVES!$D$9:$T$261,8))*(INDEX(DailyScalarsTable,CI$5/100,MONTH($A28)))*$E28</f>
        <v>-1593.1133857641885</v>
      </c>
      <c r="CJ28" s="1021">
        <f>(VLOOKUP(YEAR($A28),'NY East Load Projections'!$A$4:$EO$14,((MONTH($A28)-1)*12)+VLOOKUP(CJ$4,$DE$6:$DF$17,2)+1))*(VLOOKUP($A28,CURVES!$D$9:$T$261,8))*(INDEX(DailyScalarsTable,CJ$5/100,MONTH($A28)))*$E28</f>
        <v>-1835.4634529422156</v>
      </c>
      <c r="CK28" s="1021">
        <f>(VLOOKUP(YEAR($A28),'NY East Load Projections'!$A$4:$EO$14,((MONTH($A28)-1)*12)+VLOOKUP(CK$4,$DE$6:$DF$17,2)+1))*(VLOOKUP($A28,CURVES!$D$9:$T$261,8))*(INDEX(DailyScalarsTable,CK$5/100,MONTH($A28)))*$E28</f>
        <v>-2629.1203806985395</v>
      </c>
      <c r="CL28" s="1021">
        <f>(VLOOKUP(YEAR($A28),'NY East Load Projections'!$A$4:$EO$14,((MONTH($A28)-1)*12)+VLOOKUP(CL$4,$DE$6:$DF$17,2)+1))*(VLOOKUP($A28,SatSunCurve,8))*(INDEX(DailyScalarsTable,CL$5/100,MONTH($A28)))*$E28</f>
        <v>-2366.1168608682947</v>
      </c>
      <c r="CM28" s="1021">
        <f>(VLOOKUP(YEAR($A28),'NY East Load Projections'!$A$4:$EO$14,((MONTH($A28)-1)*12)+VLOOKUP(CM$4,$DE$6:$DF$17,2)+1))*(VLOOKUP($A28,SatSunCurve,8))*(INDEX(DailyScalarsTable,CM$5/100,MONTH($A28)))*$E28</f>
        <v>-2652.9409315530011</v>
      </c>
      <c r="CN28" s="1021">
        <f>(VLOOKUP(YEAR($A28),'NY East Load Projections'!$A$4:$EO$14,((MONTH($A28)-1)*12)+VLOOKUP(CN$4,$DE$6:$DF$17,2)+1))*(VLOOKUP($A28,SatSunCurve,8))*(INDEX(DailyScalarsTable,CN$5/100,MONTH($A28)))*$E28</f>
        <v>-2635.759273148054</v>
      </c>
      <c r="CO28" s="1021">
        <f>(VLOOKUP(YEAR($A28),'NY East Load Projections'!$A$4:$EO$14,((MONTH($A28)-1)*12)+VLOOKUP(CO$4,$DE$6:$DF$17,2)+1))*(VLOOKUP($A28,SatSunCurve,8))*(INDEX(DailyScalarsTable,CO$5/100,MONTH($A28)))*$E28</f>
        <v>-2584.9108516523333</v>
      </c>
      <c r="CP28" s="1021">
        <f>(VLOOKUP(YEAR($A28),'NY East Load Projections'!$A$4:$EO$14,((MONTH($A28)-1)*12)+VLOOKUP(CP$4,$DE$6:$DF$17,2)+1))*(VLOOKUP($A28,SatSunCurve,8))*(INDEX(DailyScalarsTable,CP$5/100,MONTH($A28)))*$E28</f>
        <v>-2176.4981876752872</v>
      </c>
      <c r="CQ28" s="1021">
        <f>(VLOOKUP(YEAR($A28),'NY East Load Projections'!$A$4:$EO$14,((MONTH($A28)-1)*12)+VLOOKUP(CQ$4,$DE$6:$DF$17,2)+1))*(VLOOKUP($A28,SatSunCurve,8))*(INDEX(DailyScalarsTable,CQ$5/100,MONTH($A28)))*$E28</f>
        <v>-2063.7332086262763</v>
      </c>
      <c r="CR28" s="1021">
        <f>(VLOOKUP(YEAR($A28),'NY East Load Projections'!$A$4:$EO$14,((MONTH($A28)-1)*12)+VLOOKUP(CR$4,$DE$6:$DF$17,2)+1))*(VLOOKUP($A28,SatSunCurve,8))*(INDEX(DailyScalarsTable,CR$5/100,MONTH($A28)))*$E28</f>
        <v>-2008.3356811096346</v>
      </c>
      <c r="CS28" s="1021">
        <f>(VLOOKUP(YEAR($A28),'NY East Load Projections'!$A$4:$EO$14,((MONTH($A28)-1)*12)+VLOOKUP(CS$4,$DE$6:$DF$17,2)+1))*(VLOOKUP($A28,SatSunCurve,8))*(INDEX(DailyScalarsTable,CS$5/100,MONTH($A28)))*$E28</f>
        <v>-1961.3529678993184</v>
      </c>
      <c r="CT28" s="1021">
        <f>(VLOOKUP(YEAR($A28),'NY East Load Projections'!$A$4:$EO$14,((MONTH($A28)-1)*12)+VLOOKUP(CT$4,$DE$6:$DF$17,2)+1))*(VLOOKUP($A28,SatSunCurve,8))*(INDEX(DailyScalarsTable,CT$5/100,MONTH($A28)))*$E28</f>
        <v>-1929.0961797250718</v>
      </c>
      <c r="CU28" s="1021">
        <f>(VLOOKUP(YEAR($A28),'NY East Load Projections'!$A$4:$EO$14,((MONTH($A28)-1)*12)+VLOOKUP(CU$4,$DE$6:$DF$17,2)+1))*(VLOOKUP($A28,SatSunCurve,8))*(INDEX(DailyScalarsTable,CU$5/100,MONTH($A28)))*$E28</f>
        <v>-2008.113555230271</v>
      </c>
      <c r="CV28" s="1021">
        <f>(VLOOKUP(YEAR($A28),'NY East Load Projections'!$A$4:$EO$14,((MONTH($A28)-1)*12)+VLOOKUP(CV$4,$DE$6:$DF$17,2)+1))*(VLOOKUP($A28,SatSunCurve,8))*(INDEX(DailyScalarsTable,CV$5/100,MONTH($A28)))*$E28</f>
        <v>-2756.6828423987849</v>
      </c>
      <c r="CW28" s="1021">
        <f>(VLOOKUP(YEAR($A28),'NY East Load Projections'!$A$4:$EO$14,((MONTH($A28)-1)*12)+VLOOKUP(CW$4,$DE$6:$DF$17,2)+1))*(VLOOKUP($A28,SatSunCurve,8))*(INDEX(DailyScalarsTable,CW$5/100,MONTH($A28)))*$E28</f>
        <v>-2778.8794506113463</v>
      </c>
      <c r="CX28" s="1021">
        <f>(VLOOKUP(YEAR($A28),'NY East Load Projections'!$A$4:$EO$14,((MONTH($A28)-1)*12)+VLOOKUP(CX$4,$DE$6:$DF$17,2)+1))*(VLOOKUP($A28,SatSunCurve,8))*(INDEX(DailyScalarsTable,CX$5/100,MONTH($A28)))*$E28</f>
        <v>-2665.1784575225129</v>
      </c>
      <c r="CY28" s="1021">
        <f>(VLOOKUP(YEAR($A28),'NY East Load Projections'!$A$4:$EO$14,((MONTH($A28)-1)*12)+VLOOKUP(CY$4,$DE$6:$DF$17,2)+1))*(VLOOKUP($A28,SatSunCurve,8))*(INDEX(DailyScalarsTable,CY$5/100,MONTH($A28)))*$E28</f>
        <v>-2400.0859252839182</v>
      </c>
      <c r="CZ28" s="1021">
        <f>(VLOOKUP(YEAR($A28),'NY East Load Projections'!$A$4:$EO$14,((MONTH($A28)-1)*12)+VLOOKUP(CZ$4,$DE$6:$DF$17,2)+1))*(VLOOKUP($A28,SatSunCurve,8))*(INDEX(DailyScalarsTable,CZ$5/100,MONTH($A28)))*$E28</f>
        <v>-1909.2243810092109</v>
      </c>
      <c r="DA28" s="1021">
        <f>(VLOOKUP(YEAR($A28),'NY East Load Projections'!$A$4:$EO$14,((MONTH($A28)-1)*12)+VLOOKUP(DA$4,$DE$6:$DF$17,2)+1))*(VLOOKUP($A28,SatSunCurve,8))*(INDEX(DailyScalarsTable,DA$5/100,MONTH($A28)))*$E28</f>
        <v>-1610.122847295346</v>
      </c>
      <c r="DB28" s="1021">
        <f>(VLOOKUP(YEAR($A28),'NY East Load Projections'!$A$4:$EO$14,((MONTH($A28)-1)*12)+VLOOKUP(DB$4,$DE$6:$DF$17,2)+1))*(VLOOKUP($A28,CURVES!$D$9:$T$261,8))*(INDEX(DailyScalarsTable,DB$5/100,MONTH($A28)))*$E28</f>
        <v>-1842.7639704879316</v>
      </c>
      <c r="DH28" s="1021">
        <f t="shared" si="0"/>
        <v>-1685785.5932359686</v>
      </c>
      <c r="DI28">
        <f ca="1">CALC!J48</f>
        <v>0.82109316755121442</v>
      </c>
      <c r="DJ28" s="1029">
        <f t="shared" ca="1" si="1"/>
        <v>-1384187.0325623245</v>
      </c>
    </row>
    <row r="29" spans="1:114" x14ac:dyDescent="0.25">
      <c r="A29" s="244">
        <v>37591</v>
      </c>
      <c r="B29" s="13">
        <v>21</v>
      </c>
      <c r="C29" s="210">
        <v>4</v>
      </c>
      <c r="D29" s="210">
        <v>5</v>
      </c>
      <c r="E29" s="210">
        <v>1</v>
      </c>
      <c r="F29" s="13">
        <v>31</v>
      </c>
      <c r="H29" s="1021">
        <f>(VLOOKUP(YEAR($A29),'NY East Load Projections'!$A$4:$EO$14,((MONTH($A29)-1)*12)+VLOOKUP(H$4,$DE$6:$DF$17,2)+1))*(VLOOKUP($A29,CURVES!$D$9:$K$261,8))*(INDEX(DailyScalarsTable,H$5/100,MONTH($A29)))*$B29</f>
        <v>-33714.631782474011</v>
      </c>
      <c r="I29" s="1021">
        <f>(VLOOKUP(YEAR($A29),'NY East Load Projections'!$A$4:$EO$14,((MONTH($A29)-1)*12)+VLOOKUP(I$4,$DE$6:$DF$17,2)+1))*(VLOOKUP($A29,CURVES!$D$9:$K$261,8))*(INDEX(DailyScalarsTable,I$5/100,MONTH($A29)))*$B29</f>
        <v>-31962.70417075427</v>
      </c>
      <c r="J29" s="1021">
        <f>(VLOOKUP(YEAR($A29),'NY East Load Projections'!$A$4:$EO$14,((MONTH($A29)-1)*12)+VLOOKUP(J$4,$DE$6:$DF$17,2)+1))*(VLOOKUP($A29,CURVES!$D$9:$K$261,8))*(INDEX(DailyScalarsTable,J$5/100,MONTH($A29)))*$B29</f>
        <v>-30675.05551203687</v>
      </c>
      <c r="K29" s="1021">
        <f>(VLOOKUP(YEAR($A29),'NY East Load Projections'!$A$4:$EO$14,((MONTH($A29)-1)*12)+VLOOKUP(K$4,$DE$6:$DF$17,2)+1))*(VLOOKUP($A29,CURVES!$D$9:$K$261,8))*(INDEX(DailyScalarsTable,K$5/100,MONTH($A29)))*$B29</f>
        <v>-30693.191408638522</v>
      </c>
      <c r="L29" s="1021">
        <f>(VLOOKUP(YEAR($A29),'NY East Load Projections'!$A$4:$EO$14,((MONTH($A29)-1)*12)+VLOOKUP(L$4,$DE$6:$DF$17,2)+1))*(VLOOKUP($A29,CURVES!$D$9:$K$261,8))*(INDEX(DailyScalarsTable,L$5/100,MONTH($A29)))*$B29</f>
        <v>-35185.655202836198</v>
      </c>
      <c r="M29" s="1021">
        <f>(VLOOKUP(YEAR($A29),'NY East Load Projections'!$A$4:$EO$14,((MONTH($A29)-1)*12)+VLOOKUP(M$4,$DE$6:$DF$17,2)+1))*(VLOOKUP($A29,CURVES!$D$9:$K$261,8))*(INDEX(DailyScalarsTable,M$5/100,MONTH($A29)))*$B29</f>
        <v>-40538.222056086182</v>
      </c>
      <c r="N29" s="1021">
        <f>(VLOOKUP(YEAR($A29),'NY East Load Projections'!$A$4:$EO$14,((MONTH($A29)-1)*12)+VLOOKUP(N$4,$DE$6:$DF$17,2)+1))*(VLOOKUP($A29,CURVES!$D$9:$K$261,8))*(INDEX(DailyScalarsTable,N$5/100,MONTH($A29)))*$B29</f>
        <v>-58067.005166511808</v>
      </c>
      <c r="O29" s="1021">
        <f>(VLOOKUP(YEAR($A29),'NY East Load Projections'!$A$4:$EO$14,((MONTH($A29)-1)*12)+VLOOKUP(O$4,$DE$6:$DF$17,2)+1))*(VLOOKUP($A29,CURVES!$D$9:$K$261,4))*(INDEX(DailyScalarsTable,O$5/100,MONTH($A29)))*$B29</f>
        <v>-62648.660514247327</v>
      </c>
      <c r="P29" s="1021">
        <f>(VLOOKUP(YEAR($A29),'NY East Load Projections'!$A$4:$EO$14,((MONTH($A29)-1)*12)+VLOOKUP(P$4,$DE$6:$DF$17,2)+1))*(VLOOKUP($A29,CURVES!$D$9:$K$261,4))*(INDEX(DailyScalarsTable,P$5/100,MONTH($A29)))*$B29</f>
        <v>-69761.346296062155</v>
      </c>
      <c r="Q29" s="1021">
        <f>(VLOOKUP(YEAR($A29),'NY East Load Projections'!$A$4:$EO$14,((MONTH($A29)-1)*12)+VLOOKUP(Q$4,$DE$6:$DF$17,2)+1))*(VLOOKUP($A29,CURVES!$D$9:$K$261,4))*(INDEX(DailyScalarsTable,Q$5/100,MONTH($A29)))*$B29</f>
        <v>-69407.684203652141</v>
      </c>
      <c r="R29" s="1021">
        <f>(VLOOKUP(YEAR($A29),'NY East Load Projections'!$A$4:$EO$14,((MONTH($A29)-1)*12)+VLOOKUP(R$4,$DE$6:$DF$17,2)+1))*(VLOOKUP($A29,CURVES!$D$9:$K$261,4))*(INDEX(DailyScalarsTable,R$5/100,MONTH($A29)))*$B29</f>
        <v>-67897.12746996872</v>
      </c>
      <c r="S29" s="1021">
        <f>(VLOOKUP(YEAR($A29),'NY East Load Projections'!$A$4:$EO$14,((MONTH($A29)-1)*12)+VLOOKUP(S$4,$DE$6:$DF$17,2)+1))*(VLOOKUP($A29,CURVES!$D$9:$K$261,4))*(INDEX(DailyScalarsTable,S$5/100,MONTH($A29)))*$B29</f>
        <v>-55171.286415961164</v>
      </c>
      <c r="T29" s="1021">
        <f>(VLOOKUP(YEAR($A29),'NY East Load Projections'!$A$4:$EO$14,((MONTH($A29)-1)*12)+VLOOKUP(T$4,$DE$6:$DF$17,2)+1))*(VLOOKUP($A29,CURVES!$D$9:$K$261,4))*(INDEX(DailyScalarsTable,T$5/100,MONTH($A29)))*$B29</f>
        <v>-52319.135943832378</v>
      </c>
      <c r="U29" s="1021">
        <f>(VLOOKUP(YEAR($A29),'NY East Load Projections'!$A$4:$EO$14,((MONTH($A29)-1)*12)+VLOOKUP(U$4,$DE$6:$DF$17,2)+1))*(VLOOKUP($A29,CURVES!$D$9:$K$261,4))*(INDEX(DailyScalarsTable,U$5/100,MONTH($A29)))*$B29</f>
        <v>-50064.670947738567</v>
      </c>
      <c r="V29" s="1021">
        <f>(VLOOKUP(YEAR($A29),'NY East Load Projections'!$A$4:$EO$14,((MONTH($A29)-1)*12)+VLOOKUP(V$4,$DE$6:$DF$17,2)+1))*(VLOOKUP($A29,CURVES!$D$9:$K$261,4))*(INDEX(DailyScalarsTable,V$5/100,MONTH($A29)))*$B29</f>
        <v>-47547.085368546264</v>
      </c>
      <c r="W29" s="1021">
        <f>(VLOOKUP(YEAR($A29),'NY East Load Projections'!$A$4:$EO$14,((MONTH($A29)-1)*12)+VLOOKUP(W$4,$DE$6:$DF$17,2)+1))*(VLOOKUP($A29,CURVES!$D$9:$K$261,4))*(INDEX(DailyScalarsTable,W$5/100,MONTH($A29)))*$B29</f>
        <v>-46721.843539737376</v>
      </c>
      <c r="X29" s="1021">
        <f>(VLOOKUP(YEAR($A29),'NY East Load Projections'!$A$4:$EO$14,((MONTH($A29)-1)*12)+VLOOKUP(X$4,$DE$6:$DF$17,2)+1))*(VLOOKUP($A29,CURVES!$D$9:$K$261,4))*(INDEX(DailyScalarsTable,X$5/100,MONTH($A29)))*$B29</f>
        <v>-50796.156004371267</v>
      </c>
      <c r="Y29" s="1021">
        <f>(VLOOKUP(YEAR($A29),'NY East Load Projections'!$A$4:$EO$14,((MONTH($A29)-1)*12)+VLOOKUP(Y$4,$DE$6:$DF$17,2)+1))*(VLOOKUP($A29,CURVES!$D$9:$K$261,4))*(INDEX(DailyScalarsTable,Y$5/100,MONTH($A29)))*$B29</f>
        <v>-71589.273306845032</v>
      </c>
      <c r="Z29" s="1021">
        <f>(VLOOKUP(YEAR($A29),'NY East Load Projections'!$A$4:$EO$14,((MONTH($A29)-1)*12)+VLOOKUP(Z$4,$DE$6:$DF$17,2)+1))*(VLOOKUP($A29,CURVES!$D$9:$K$261,4))*(INDEX(DailyScalarsTable,Z$5/100,MONTH($A29)))*$B29</f>
        <v>-71112.308439953136</v>
      </c>
      <c r="AA29" s="1021">
        <f>(VLOOKUP(YEAR($A29),'NY East Load Projections'!$A$4:$EO$14,((MONTH($A29)-1)*12)+VLOOKUP(AA$4,$DE$6:$DF$17,2)+1))*(VLOOKUP($A29,CURVES!$D$9:$K$261,4))*(INDEX(DailyScalarsTable,AA$5/100,MONTH($A29)))*$B29</f>
        <v>-68663.531111603399</v>
      </c>
      <c r="AB29" s="1021">
        <f>(VLOOKUP(YEAR($A29),'NY East Load Projections'!$A$4:$EO$14,((MONTH($A29)-1)*12)+VLOOKUP(AB$4,$DE$6:$DF$17,2)+1))*(VLOOKUP($A29,CURVES!$D$9:$K$261,4))*(INDEX(DailyScalarsTable,AB$5/100,MONTH($A29)))*$B29</f>
        <v>-63886.097836961097</v>
      </c>
      <c r="AC29" s="1021">
        <f>(VLOOKUP(YEAR($A29),'NY East Load Projections'!$A$4:$EO$14,((MONTH($A29)-1)*12)+VLOOKUP(AC$4,$DE$6:$DF$17,2)+1))*(VLOOKUP($A29,CURVES!$D$9:$K$261,4))*(INDEX(DailyScalarsTable,AC$5/100,MONTH($A29)))*$B29</f>
        <v>-47096.57636911852</v>
      </c>
      <c r="AD29" s="1021">
        <f>(VLOOKUP(YEAR($A29),'NY East Load Projections'!$A$4:$EO$14,((MONTH($A29)-1)*12)+VLOOKUP(AD$4,$DE$6:$DF$17,2)+1))*(VLOOKUP($A29,CURVES!$D$9:$K$261,4))*(INDEX(DailyScalarsTable,AD$5/100,MONTH($A29)))*$B29</f>
        <v>-38855.366881157679</v>
      </c>
      <c r="AE29" s="1021">
        <f>(VLOOKUP(YEAR($A29),'NY East Load Projections'!$A$4:$EO$14,((MONTH($A29)-1)*12)+VLOOKUP(AE$4,$DE$6:$DF$17,2)+1))*(VLOOKUP($A29,CURVES!$D$9:$K$261,8))*(INDEX(DailyScalarsTable,AE$5/100,MONTH($A29)))*$B29</f>
        <v>-39148.583444851683</v>
      </c>
      <c r="AF29" s="1021"/>
      <c r="AG29" s="1021">
        <f>(VLOOKUP(YEAR($A29),'NY East Load Projections'!$A$4:$EO$14,((MONTH($A29)-1)*12)+VLOOKUP(AG$4,$DE$6:$DF$17,2)+1))*(VLOOKUP($A29,CURVES!$D$9:$T$261,8))*(INDEX(DailyScalarsTable,AG$5/100,MONTH($A29)))*$C29</f>
        <v>-6655.5431765251687</v>
      </c>
      <c r="AH29" s="1021">
        <f>(VLOOKUP(YEAR($A29),'NY East Load Projections'!$A$4:$EO$14,((MONTH($A29)-1)*12)+VLOOKUP(AH$4,$DE$6:$DF$17,2)+1))*(VLOOKUP($A29,CURVES!$D$9:$T$261,8))*(INDEX(DailyScalarsTable,AH$5/100,MONTH($A29)))*$C29</f>
        <v>-6309.6983831672705</v>
      </c>
      <c r="AI29" s="1021">
        <f>(VLOOKUP(YEAR($A29),'NY East Load Projections'!$A$4:$EO$14,((MONTH($A29)-1)*12)+VLOOKUP(AI$4,$DE$6:$DF$17,2)+1))*(VLOOKUP($A29,CURVES!$D$9:$T$261,8))*(INDEX(DailyScalarsTable,AI$5/100,MONTH($A29)))*$C29</f>
        <v>-6055.5060402230611</v>
      </c>
      <c r="AJ29" s="1021">
        <f>(VLOOKUP(YEAR($A29),'NY East Load Projections'!$A$4:$EO$14,((MONTH($A29)-1)*12)+VLOOKUP(AJ$4,$DE$6:$DF$17,2)+1))*(VLOOKUP($A29,CURVES!$D$9:$T$261,8))*(INDEX(DailyScalarsTable,AJ$5/100,MONTH($A29)))*$C29</f>
        <v>-6059.0862140673453</v>
      </c>
      <c r="AK29" s="1021">
        <f>(VLOOKUP(YEAR($A29),'NY East Load Projections'!$A$4:$EO$14,((MONTH($A29)-1)*12)+VLOOKUP(AK$4,$DE$6:$DF$17,2)+1))*(VLOOKUP($A29,CURVES!$D$9:$T$261,8))*(INDEX(DailyScalarsTable,AK$5/100,MONTH($A29)))*$C29</f>
        <v>-6639.8470789375597</v>
      </c>
      <c r="AL29" s="1021">
        <f>(VLOOKUP(YEAR($A29),'NY East Load Projections'!$A$4:$EO$14,((MONTH($A29)-1)*12)+VLOOKUP(AL$4,$DE$6:$DF$17,2)+1))*(VLOOKUP($A29,CURVES!$D$9:$T$261,8))*(INDEX(DailyScalarsTable,AL$5/100,MONTH($A29)))*$C29</f>
        <v>-7649.9242021427335</v>
      </c>
      <c r="AM29" s="1021">
        <f>(VLOOKUP(YEAR($A29),'NY East Load Projections'!$A$4:$EO$14,((MONTH($A29)-1)*12)+VLOOKUP(AM$4,$DE$6:$DF$17,2)+1))*(VLOOKUP($A29,CURVES!$D$9:$T$261,8))*(INDEX(DailyScalarsTable,AM$5/100,MONTH($A29)))*$C29</f>
        <v>-10957.761974727622</v>
      </c>
      <c r="AN29" s="1021">
        <f>(VLOOKUP(YEAR($A29),'NY East Load Projections'!$A$4:$EO$14,((MONTH($A29)-1)*12)+VLOOKUP(AN$4,$DE$6:$DF$17,2)+1))*(VLOOKUP($A29,SatSunCurve,4))*(INDEX(DailyScalarsTable,AN$5/100,MONTH($A29)))*$C29</f>
        <v>-9690.413490284931</v>
      </c>
      <c r="AO29" s="1021">
        <f>(VLOOKUP(YEAR($A29),'NY East Load Projections'!$A$4:$EO$14,((MONTH($A29)-1)*12)+VLOOKUP(AO$4,$DE$6:$DF$17,2)+1))*(VLOOKUP($A29,SatSunCurve,4))*(INDEX(DailyScalarsTable,AO$5/100,MONTH($A29)))*$C29</f>
        <v>-10867.931654689008</v>
      </c>
      <c r="AP29" s="1021">
        <f>(VLOOKUP(YEAR($A29),'NY East Load Projections'!$A$4:$EO$14,((MONTH($A29)-1)*12)+VLOOKUP(AP$4,$DE$6:$DF$17,2)+1))*(VLOOKUP($A29,SatSunCurve,4))*(INDEX(DailyScalarsTable,AP$5/100,MONTH($A29)))*$C29</f>
        <v>-10812.835592854786</v>
      </c>
      <c r="AQ29" s="1021">
        <f>(VLOOKUP(YEAR($A29),'NY East Load Projections'!$A$4:$EO$14,((MONTH($A29)-1)*12)+VLOOKUP(AQ$4,$DE$6:$DF$17,2)+1))*(VLOOKUP($A29,SatSunCurve,4))*(INDEX(DailyScalarsTable,AQ$5/100,MONTH($A29)))*$C29</f>
        <v>-10577.510040613713</v>
      </c>
      <c r="AR29" s="1021">
        <f>(VLOOKUP(YEAR($A29),'NY East Load Projections'!$A$4:$EO$14,((MONTH($A29)-1)*12)+VLOOKUP(AR$4,$DE$6:$DF$17,2)+1))*(VLOOKUP($A29,SatSunCurve,4))*(INDEX(DailyScalarsTable,AR$5/100,MONTH($A29)))*$C29</f>
        <v>-8594.9856461383079</v>
      </c>
      <c r="AS29" s="1021">
        <f>(VLOOKUP(YEAR($A29),'NY East Load Projections'!$A$4:$EO$14,((MONTH($A29)-1)*12)+VLOOKUP(AS$4,$DE$6:$DF$17,2)+1))*(VLOOKUP($A29,SatSunCurve,4))*(INDEX(DailyScalarsTable,AS$5/100,MONTH($A29)))*$C29</f>
        <v>-8107.4926196286042</v>
      </c>
      <c r="AT29" s="1021">
        <f>(VLOOKUP(YEAR($A29),'NY East Load Projections'!$A$4:$EO$14,((MONTH($A29)-1)*12)+VLOOKUP(AT$4,$DE$6:$DF$17,2)+1))*(VLOOKUP($A29,SatSunCurve,4))*(INDEX(DailyScalarsTable,AT$5/100,MONTH($A29)))*$C29</f>
        <v>-7758.135582527224</v>
      </c>
      <c r="AU29" s="1021">
        <f>(VLOOKUP(YEAR($A29),'NY East Load Projections'!$A$4:$EO$14,((MONTH($A29)-1)*12)+VLOOKUP(AU$4,$DE$6:$DF$17,2)+1))*(VLOOKUP($A29,SatSunCurve,4))*(INDEX(DailyScalarsTable,AU$5/100,MONTH($A29)))*$C29</f>
        <v>-7368.0047798224978</v>
      </c>
      <c r="AV29" s="1021">
        <f>(VLOOKUP(YEAR($A29),'NY East Load Projections'!$A$4:$EO$14,((MONTH($A29)-1)*12)+VLOOKUP(AV$4,$DE$6:$DF$17,2)+1))*(VLOOKUP($A29,SatSunCurve,4))*(INDEX(DailyScalarsTable,AV$5/100,MONTH($A29)))*$C29</f>
        <v>-7240.1234240665544</v>
      </c>
      <c r="AW29" s="1021">
        <f>(VLOOKUP(YEAR($A29),'NY East Load Projections'!$A$4:$EO$14,((MONTH($A29)-1)*12)+VLOOKUP(AW$4,$DE$6:$DF$17,2)+1))*(VLOOKUP($A29,SatSunCurve,4))*(INDEX(DailyScalarsTable,AW$5/100,MONTH($A29)))*$C29</f>
        <v>-7962.0778482002479</v>
      </c>
      <c r="AX29" s="1021">
        <f>(VLOOKUP(YEAR($A29),'NY East Load Projections'!$A$4:$EO$14,((MONTH($A29)-1)*12)+VLOOKUP(AX$4,$DE$6:$DF$17,2)+1))*(VLOOKUP($A29,SatSunCurve,4))*(INDEX(DailyScalarsTable,AX$5/100,MONTH($A29)))*$C29</f>
        <v>-11221.309091107856</v>
      </c>
      <c r="AY29" s="1021">
        <f>(VLOOKUP(YEAR($A29),'NY East Load Projections'!$A$4:$EO$14,((MONTH($A29)-1)*12)+VLOOKUP(AY$4,$DE$6:$DF$17,2)+1))*(VLOOKUP($A29,SatSunCurve,4))*(INDEX(DailyScalarsTable,AY$5/100,MONTH($A29)))*$C29</f>
        <v>-11146.546910270334</v>
      </c>
      <c r="AZ29" s="1021">
        <f>(VLOOKUP(YEAR($A29),'NY East Load Projections'!$A$4:$EO$14,((MONTH($A29)-1)*12)+VLOOKUP(AZ$4,$DE$6:$DF$17,2)+1))*(VLOOKUP($A29,SatSunCurve,4))*(INDEX(DailyScalarsTable,AZ$5/100,MONTH($A29)))*$C29</f>
        <v>-10762.711650776475</v>
      </c>
      <c r="BA29" s="1021">
        <f>(VLOOKUP(YEAR($A29),'NY East Load Projections'!$A$4:$EO$14,((MONTH($A29)-1)*12)+VLOOKUP(BA$4,$DE$6:$DF$17,2)+1))*(VLOOKUP($A29,SatSunCurve,4))*(INDEX(DailyScalarsTable,BA$5/100,MONTH($A29)))*$C29</f>
        <v>-10271.14792794373</v>
      </c>
      <c r="BB29" s="1021">
        <f>(VLOOKUP(YEAR($A29),'NY East Load Projections'!$A$4:$EO$14,((MONTH($A29)-1)*12)+VLOOKUP(BB$4,$DE$6:$DF$17,2)+1))*(VLOOKUP($A29,SatSunCurve,4))*(INDEX(DailyScalarsTable,BB$5/100,MONTH($A29)))*$C29</f>
        <v>-7571.8492624392447</v>
      </c>
      <c r="BC29" s="1021">
        <f>(VLOOKUP(YEAR($A29),'NY East Load Projections'!$A$4:$EO$14,((MONTH($A29)-1)*12)+VLOOKUP(BC$4,$DE$6:$DF$17,2)+1))*(VLOOKUP($A29,SatSunCurve,4))*(INDEX(DailyScalarsTable,BC$5/100,MONTH($A29)))*$C29</f>
        <v>-6246.8867960817024</v>
      </c>
      <c r="BD29" s="1021">
        <f>(VLOOKUP(YEAR($A29),'NY East Load Projections'!$A$4:$EO$14,((MONTH($A29)-1)*12)+VLOOKUP(BD$4,$DE$6:$DF$17,2)+1))*(VLOOKUP($A29,CURVES!$D$9:$T$261,8))*(INDEX(DailyScalarsTable,BD$5/100,MONTH($A29)))*$C29</f>
        <v>-7678.7510862785139</v>
      </c>
      <c r="BE29" s="1021"/>
      <c r="BF29" s="1021">
        <f>(VLOOKUP(YEAR($A29),'NY East Load Projections'!$A$4:$EO$14,((MONTH($A29)-1)*12)+VLOOKUP(BF$4,$DE$6:$DF$17,2)+1))*(VLOOKUP($A29,CURVES!$D$9:$T$261,8))*(INDEX(DailyScalarsTable,BF$5/100,MONTH($A29)))*$D29</f>
        <v>-8319.4289706564614</v>
      </c>
      <c r="BG29" s="1021">
        <f>(VLOOKUP(YEAR($A29),'NY East Load Projections'!$A$4:$EO$14,((MONTH($A29)-1)*12)+VLOOKUP(BG$4,$DE$6:$DF$17,2)+1))*(VLOOKUP($A29,CURVES!$D$9:$T$261,8))*(INDEX(DailyScalarsTable,BG$5/100,MONTH($A29)))*$D29</f>
        <v>-7887.122978959088</v>
      </c>
      <c r="BH29" s="1021">
        <f>(VLOOKUP(YEAR($A29),'NY East Load Projections'!$A$4:$EO$14,((MONTH($A29)-1)*12)+VLOOKUP(BH$4,$DE$6:$DF$17,2)+1))*(VLOOKUP($A29,CURVES!$D$9:$T$261,8))*(INDEX(DailyScalarsTable,BH$5/100,MONTH($A29)))*$D29</f>
        <v>-7569.3825502788259</v>
      </c>
      <c r="BI29" s="1021">
        <f>(VLOOKUP(YEAR($A29),'NY East Load Projections'!$A$4:$EO$14,((MONTH($A29)-1)*12)+VLOOKUP(BI$4,$DE$6:$DF$17,2)+1))*(VLOOKUP($A29,CURVES!$D$9:$T$261,8))*(INDEX(DailyScalarsTable,BI$5/100,MONTH($A29)))*$D29</f>
        <v>-7573.8577675841816</v>
      </c>
      <c r="BJ29" s="1021">
        <f>(VLOOKUP(YEAR($A29),'NY East Load Projections'!$A$4:$EO$14,((MONTH($A29)-1)*12)+VLOOKUP(BJ$4,$DE$6:$DF$17,2)+1))*(VLOOKUP($A29,CURVES!$D$9:$T$261,8))*(INDEX(DailyScalarsTable,BJ$5/100,MONTH($A29)))*$D29</f>
        <v>-8299.8088486719498</v>
      </c>
      <c r="BK29" s="1021">
        <f>(VLOOKUP(YEAR($A29),'NY East Load Projections'!$A$4:$EO$14,((MONTH($A29)-1)*12)+VLOOKUP(BK$4,$DE$6:$DF$17,2)+1))*(VLOOKUP($A29,CURVES!$D$9:$T$261,8))*(INDEX(DailyScalarsTable,BK$5/100,MONTH($A29)))*$D29</f>
        <v>-9562.4052526784162</v>
      </c>
      <c r="BL29" s="1021">
        <f>(VLOOKUP(YEAR($A29),'NY East Load Projections'!$A$4:$EO$14,((MONTH($A29)-1)*12)+VLOOKUP(BL$4,$DE$6:$DF$17,2)+1))*(VLOOKUP($A29,CURVES!$D$9:$T$261,8))*(INDEX(DailyScalarsTable,BL$5/100,MONTH($A29)))*$D29</f>
        <v>-13697.202468409527</v>
      </c>
      <c r="BM29" s="1021">
        <f>(VLOOKUP(YEAR($A29),'NY East Load Projections'!$A$4:$EO$14,((MONTH($A29)-1)*12)+VLOOKUP(BM$4,$DE$6:$DF$17,2)+1))*(VLOOKUP($A29,SatSunCurve,8))*(INDEX(DailyScalarsTable,BM$5/100,MONTH($A29)))*$D29</f>
        <v>-11649.601239334592</v>
      </c>
      <c r="BN29" s="1021">
        <f>(VLOOKUP(YEAR($A29),'NY East Load Projections'!$A$4:$EO$14,((MONTH($A29)-1)*12)+VLOOKUP(BN$4,$DE$6:$DF$17,2)+1))*(VLOOKUP($A29,SatSunCurve,8))*(INDEX(DailyScalarsTable,BN$5/100,MONTH($A29)))*$D29</f>
        <v>-13065.187589817288</v>
      </c>
      <c r="BO29" s="1021">
        <f>(VLOOKUP(YEAR($A29),'NY East Load Projections'!$A$4:$EO$14,((MONTH($A29)-1)*12)+VLOOKUP(BO$4,$DE$6:$DF$17,2)+1))*(VLOOKUP($A29,SatSunCurve,8))*(INDEX(DailyScalarsTable,BO$5/100,MONTH($A29)))*$D29</f>
        <v>-12998.95232020058</v>
      </c>
      <c r="BP29" s="1021">
        <f>(VLOOKUP(YEAR($A29),'NY East Load Projections'!$A$4:$EO$14,((MONTH($A29)-1)*12)+VLOOKUP(BP$4,$DE$6:$DF$17,2)+1))*(VLOOKUP($A29,SatSunCurve,8))*(INDEX(DailyScalarsTable,BP$5/100,MONTH($A29)))*$D29</f>
        <v>-12716.04913471906</v>
      </c>
      <c r="BQ29" s="1021">
        <f>(VLOOKUP(YEAR($A29),'NY East Load Projections'!$A$4:$EO$14,((MONTH($A29)-1)*12)+VLOOKUP(BQ$4,$DE$6:$DF$17,2)+1))*(VLOOKUP($A29,SatSunCurve,8))*(INDEX(DailyScalarsTable,BQ$5/100,MONTH($A29)))*$D29</f>
        <v>-10332.702060206077</v>
      </c>
      <c r="BR29" s="1021">
        <f>(VLOOKUP(YEAR($A29),'NY East Load Projections'!$A$4:$EO$14,((MONTH($A29)-1)*12)+VLOOKUP(BR$4,$DE$6:$DF$17,2)+1))*(VLOOKUP($A29,SatSunCurve,8))*(INDEX(DailyScalarsTable,BR$5/100,MONTH($A29)))*$D29</f>
        <v>-9746.6487022675356</v>
      </c>
      <c r="BS29" s="1021">
        <f>(VLOOKUP(YEAR($A29),'NY East Load Projections'!$A$4:$EO$14,((MONTH($A29)-1)*12)+VLOOKUP(BS$4,$DE$6:$DF$17,2)+1))*(VLOOKUP($A29,SatSunCurve,8))*(INDEX(DailyScalarsTable,BS$5/100,MONTH($A29)))*$D29</f>
        <v>-9326.6593822589784</v>
      </c>
      <c r="BT29" s="1021">
        <f>(VLOOKUP(YEAR($A29),'NY East Load Projections'!$A$4:$EO$14,((MONTH($A29)-1)*12)+VLOOKUP(BT$4,$DE$6:$DF$17,2)+1))*(VLOOKUP($A29,SatSunCurve,8))*(INDEX(DailyScalarsTable,BT$5/100,MONTH($A29)))*$D29</f>
        <v>-8857.6527410823146</v>
      </c>
      <c r="BU29" s="1021">
        <f>(VLOOKUP(YEAR($A29),'NY East Load Projections'!$A$4:$EO$14,((MONTH($A29)-1)*12)+VLOOKUP(BU$4,$DE$6:$DF$17,2)+1))*(VLOOKUP($A29,SatSunCurve,8))*(INDEX(DailyScalarsTable,BU$5/100,MONTH($A29)))*$D29</f>
        <v>-8703.9165974187054</v>
      </c>
      <c r="BV29" s="1021">
        <f>(VLOOKUP(YEAR($A29),'NY East Load Projections'!$A$4:$EO$14,((MONTH($A29)-1)*12)+VLOOKUP(BV$4,$DE$6:$DF$17,2)+1))*(VLOOKUP($A29,SatSunCurve,8))*(INDEX(DailyScalarsTable,BV$5/100,MONTH($A29)))*$D29</f>
        <v>-9571.8342732292222</v>
      </c>
      <c r="BW29" s="1021">
        <f>(VLOOKUP(YEAR($A29),'NY East Load Projections'!$A$4:$EO$14,((MONTH($A29)-1)*12)+VLOOKUP(BW$4,$DE$6:$DF$17,2)+1))*(VLOOKUP($A29,SatSunCurve,8))*(INDEX(DailyScalarsTable,BW$5/100,MONTH($A29)))*$D29</f>
        <v>-13490.010145158718</v>
      </c>
      <c r="BX29" s="1021">
        <f>(VLOOKUP(YEAR($A29),'NY East Load Projections'!$A$4:$EO$14,((MONTH($A29)-1)*12)+VLOOKUP(BX$4,$DE$6:$DF$17,2)+1))*(VLOOKUP($A29,SatSunCurve,8))*(INDEX(DailyScalarsTable,BX$5/100,MONTH($A29)))*$D29</f>
        <v>-13400.132701289749</v>
      </c>
      <c r="BY29" s="1021">
        <f>(VLOOKUP(YEAR($A29),'NY East Load Projections'!$A$4:$EO$14,((MONTH($A29)-1)*12)+VLOOKUP(BY$4,$DE$6:$DF$17,2)+1))*(VLOOKUP($A29,SatSunCurve,8))*(INDEX(DailyScalarsTable,BY$5/100,MONTH($A29)))*$D29</f>
        <v>-12938.694423224231</v>
      </c>
      <c r="BZ29" s="1021">
        <f>(VLOOKUP(YEAR($A29),'NY East Load Projections'!$A$4:$EO$14,((MONTH($A29)-1)*12)+VLOOKUP(BZ$4,$DE$6:$DF$17,2)+1))*(VLOOKUP($A29,SatSunCurve,8))*(INDEX(DailyScalarsTable,BZ$5/100,MONTH($A29)))*$D29</f>
        <v>-12347.747364002726</v>
      </c>
      <c r="CA29" s="1021">
        <f>(VLOOKUP(YEAR($A29),'NY East Load Projections'!$A$4:$EO$14,((MONTH($A29)-1)*12)+VLOOKUP(CA$4,$DE$6:$DF$17,2)+1))*(VLOOKUP($A29,SatSunCurve,8))*(INDEX(DailyScalarsTable,CA$5/100,MONTH($A29)))*$D29</f>
        <v>-9102.7100794202852</v>
      </c>
      <c r="CB29" s="1021">
        <f>(VLOOKUP(YEAR($A29),'NY East Load Projections'!$A$4:$EO$14,((MONTH($A29)-1)*12)+VLOOKUP(CB$4,$DE$6:$DF$17,2)+1))*(VLOOKUP($A29,SatSunCurve,8))*(INDEX(DailyScalarsTable,CB$5/100,MONTH($A29)))*$D29</f>
        <v>-7509.8694430918977</v>
      </c>
      <c r="CC29" s="1021">
        <f>(VLOOKUP(YEAR($A29),'NY East Load Projections'!$A$4:$EO$14,((MONTH($A29)-1)*12)+VLOOKUP(CC$4,$DE$6:$DF$17,2)+1))*(VLOOKUP($A29,CURVES!$D$9:$T$261,8))*(INDEX(DailyScalarsTable,CC$5/100,MONTH($A29)))*$D29</f>
        <v>-9598.438857848143</v>
      </c>
      <c r="CE29" s="1021">
        <f>(VLOOKUP(YEAR($A29),'NY East Load Projections'!$A$4:$EO$14,((MONTH($A29)-1)*12)+VLOOKUP(CE$4,$DE$6:$DF$17,2)+1))*(VLOOKUP($A29,CURVES!$D$9:$T$261,8))*(INDEX(DailyScalarsTable,CE$5/100,MONTH($A29)))*$E29</f>
        <v>-1663.8857941312922</v>
      </c>
      <c r="CF29" s="1021">
        <f>(VLOOKUP(YEAR($A29),'NY East Load Projections'!$A$4:$EO$14,((MONTH($A29)-1)*12)+VLOOKUP(CF$4,$DE$6:$DF$17,2)+1))*(VLOOKUP($A29,CURVES!$D$9:$T$261,8))*(INDEX(DailyScalarsTable,CF$5/100,MONTH($A29)))*$E29</f>
        <v>-1577.4245957918176</v>
      </c>
      <c r="CG29" s="1021">
        <f>(VLOOKUP(YEAR($A29),'NY East Load Projections'!$A$4:$EO$14,((MONTH($A29)-1)*12)+VLOOKUP(CG$4,$DE$6:$DF$17,2)+1))*(VLOOKUP($A29,CURVES!$D$9:$T$261,8))*(INDEX(DailyScalarsTable,CG$5/100,MONTH($A29)))*$E29</f>
        <v>-1513.8765100557653</v>
      </c>
      <c r="CH29" s="1021">
        <f>(VLOOKUP(YEAR($A29),'NY East Load Projections'!$A$4:$EO$14,((MONTH($A29)-1)*12)+VLOOKUP(CH$4,$DE$6:$DF$17,2)+1))*(VLOOKUP($A29,CURVES!$D$9:$T$261,8))*(INDEX(DailyScalarsTable,CH$5/100,MONTH($A29)))*$E29</f>
        <v>-1514.7715535168363</v>
      </c>
      <c r="CI29" s="1021">
        <f>(VLOOKUP(YEAR($A29),'NY East Load Projections'!$A$4:$EO$14,((MONTH($A29)-1)*12)+VLOOKUP(CI$4,$DE$6:$DF$17,2)+1))*(VLOOKUP($A29,CURVES!$D$9:$T$261,8))*(INDEX(DailyScalarsTable,CI$5/100,MONTH($A29)))*$E29</f>
        <v>-1659.9617697343899</v>
      </c>
      <c r="CJ29" s="1021">
        <f>(VLOOKUP(YEAR($A29),'NY East Load Projections'!$A$4:$EO$14,((MONTH($A29)-1)*12)+VLOOKUP(CJ$4,$DE$6:$DF$17,2)+1))*(VLOOKUP($A29,CURVES!$D$9:$T$261,8))*(INDEX(DailyScalarsTable,CJ$5/100,MONTH($A29)))*$E29</f>
        <v>-1912.4810505356834</v>
      </c>
      <c r="CK29" s="1021">
        <f>(VLOOKUP(YEAR($A29),'NY East Load Projections'!$A$4:$EO$14,((MONTH($A29)-1)*12)+VLOOKUP(CK$4,$DE$6:$DF$17,2)+1))*(VLOOKUP($A29,CURVES!$D$9:$T$261,8))*(INDEX(DailyScalarsTable,CK$5/100,MONTH($A29)))*$E29</f>
        <v>-2739.4404936819055</v>
      </c>
      <c r="CL29" s="1021">
        <f>(VLOOKUP(YEAR($A29),'NY East Load Projections'!$A$4:$EO$14,((MONTH($A29)-1)*12)+VLOOKUP(CL$4,$DE$6:$DF$17,2)+1))*(VLOOKUP($A29,SatSunCurve,8))*(INDEX(DailyScalarsTable,CL$5/100,MONTH($A29)))*$E29</f>
        <v>-2329.9202478669185</v>
      </c>
      <c r="CM29" s="1021">
        <f>(VLOOKUP(YEAR($A29),'NY East Load Projections'!$A$4:$EO$14,((MONTH($A29)-1)*12)+VLOOKUP(CM$4,$DE$6:$DF$17,2)+1))*(VLOOKUP($A29,SatSunCurve,8))*(INDEX(DailyScalarsTable,CM$5/100,MONTH($A29)))*$E29</f>
        <v>-2613.0375179634575</v>
      </c>
      <c r="CN29" s="1021">
        <f>(VLOOKUP(YEAR($A29),'NY East Load Projections'!$A$4:$EO$14,((MONTH($A29)-1)*12)+VLOOKUP(CN$4,$DE$6:$DF$17,2)+1))*(VLOOKUP($A29,SatSunCurve,8))*(INDEX(DailyScalarsTable,CN$5/100,MONTH($A29)))*$E29</f>
        <v>-2599.7904640401161</v>
      </c>
      <c r="CO29" s="1021">
        <f>(VLOOKUP(YEAR($A29),'NY East Load Projections'!$A$4:$EO$14,((MONTH($A29)-1)*12)+VLOOKUP(CO$4,$DE$6:$DF$17,2)+1))*(VLOOKUP($A29,SatSunCurve,8))*(INDEX(DailyScalarsTable,CO$5/100,MONTH($A29)))*$E29</f>
        <v>-2543.209826943812</v>
      </c>
      <c r="CP29" s="1021">
        <f>(VLOOKUP(YEAR($A29),'NY East Load Projections'!$A$4:$EO$14,((MONTH($A29)-1)*12)+VLOOKUP(CP$4,$DE$6:$DF$17,2)+1))*(VLOOKUP($A29,SatSunCurve,8))*(INDEX(DailyScalarsTable,CP$5/100,MONTH($A29)))*$E29</f>
        <v>-2066.5404120412154</v>
      </c>
      <c r="CQ29" s="1021">
        <f>(VLOOKUP(YEAR($A29),'NY East Load Projections'!$A$4:$EO$14,((MONTH($A29)-1)*12)+VLOOKUP(CQ$4,$DE$6:$DF$17,2)+1))*(VLOOKUP($A29,SatSunCurve,8))*(INDEX(DailyScalarsTable,CQ$5/100,MONTH($A29)))*$E29</f>
        <v>-1949.3297404535072</v>
      </c>
      <c r="CR29" s="1021">
        <f>(VLOOKUP(YEAR($A29),'NY East Load Projections'!$A$4:$EO$14,((MONTH($A29)-1)*12)+VLOOKUP(CR$4,$DE$6:$DF$17,2)+1))*(VLOOKUP($A29,SatSunCurve,8))*(INDEX(DailyScalarsTable,CR$5/100,MONTH($A29)))*$E29</f>
        <v>-1865.3318764517958</v>
      </c>
      <c r="CS29" s="1021">
        <f>(VLOOKUP(YEAR($A29),'NY East Load Projections'!$A$4:$EO$14,((MONTH($A29)-1)*12)+VLOOKUP(CS$4,$DE$6:$DF$17,2)+1))*(VLOOKUP($A29,SatSunCurve,8))*(INDEX(DailyScalarsTable,CS$5/100,MONTH($A29)))*$E29</f>
        <v>-1771.5305482164631</v>
      </c>
      <c r="CT29" s="1021">
        <f>(VLOOKUP(YEAR($A29),'NY East Load Projections'!$A$4:$EO$14,((MONTH($A29)-1)*12)+VLOOKUP(CT$4,$DE$6:$DF$17,2)+1))*(VLOOKUP($A29,SatSunCurve,8))*(INDEX(DailyScalarsTable,CT$5/100,MONTH($A29)))*$E29</f>
        <v>-1740.783319483741</v>
      </c>
      <c r="CU29" s="1021">
        <f>(VLOOKUP(YEAR($A29),'NY East Load Projections'!$A$4:$EO$14,((MONTH($A29)-1)*12)+VLOOKUP(CU$4,$DE$6:$DF$17,2)+1))*(VLOOKUP($A29,SatSunCurve,8))*(INDEX(DailyScalarsTable,CU$5/100,MONTH($A29)))*$E29</f>
        <v>-1914.3668546458443</v>
      </c>
      <c r="CV29" s="1021">
        <f>(VLOOKUP(YEAR($A29),'NY East Load Projections'!$A$4:$EO$14,((MONTH($A29)-1)*12)+VLOOKUP(CV$4,$DE$6:$DF$17,2)+1))*(VLOOKUP($A29,SatSunCurve,8))*(INDEX(DailyScalarsTable,CV$5/100,MONTH($A29)))*$E29</f>
        <v>-2698.0020290317434</v>
      </c>
      <c r="CW29" s="1021">
        <f>(VLOOKUP(YEAR($A29),'NY East Load Projections'!$A$4:$EO$14,((MONTH($A29)-1)*12)+VLOOKUP(CW$4,$DE$6:$DF$17,2)+1))*(VLOOKUP($A29,SatSunCurve,8))*(INDEX(DailyScalarsTable,CW$5/100,MONTH($A29)))*$E29</f>
        <v>-2680.0265402579498</v>
      </c>
      <c r="CX29" s="1021">
        <f>(VLOOKUP(YEAR($A29),'NY East Load Projections'!$A$4:$EO$14,((MONTH($A29)-1)*12)+VLOOKUP(CX$4,$DE$6:$DF$17,2)+1))*(VLOOKUP($A29,SatSunCurve,8))*(INDEX(DailyScalarsTable,CX$5/100,MONTH($A29)))*$E29</f>
        <v>-2587.7388846448462</v>
      </c>
      <c r="CY29" s="1021">
        <f>(VLOOKUP(YEAR($A29),'NY East Load Projections'!$A$4:$EO$14,((MONTH($A29)-1)*12)+VLOOKUP(CY$4,$DE$6:$DF$17,2)+1))*(VLOOKUP($A29,SatSunCurve,8))*(INDEX(DailyScalarsTable,CY$5/100,MONTH($A29)))*$E29</f>
        <v>-2469.5494728005451</v>
      </c>
      <c r="CZ29" s="1021">
        <f>(VLOOKUP(YEAR($A29),'NY East Load Projections'!$A$4:$EO$14,((MONTH($A29)-1)*12)+VLOOKUP(CZ$4,$DE$6:$DF$17,2)+1))*(VLOOKUP($A29,SatSunCurve,8))*(INDEX(DailyScalarsTable,CZ$5/100,MONTH($A29)))*$E29</f>
        <v>-1820.542015884057</v>
      </c>
      <c r="DA29" s="1021">
        <f>(VLOOKUP(YEAR($A29),'NY East Load Projections'!$A$4:$EO$14,((MONTH($A29)-1)*12)+VLOOKUP(DA$4,$DE$6:$DF$17,2)+1))*(VLOOKUP($A29,SatSunCurve,8))*(INDEX(DailyScalarsTable,DA$5/100,MONTH($A29)))*$E29</f>
        <v>-1501.9738886183795</v>
      </c>
      <c r="DB29" s="1021">
        <f>(VLOOKUP(YEAR($A29),'NY East Load Projections'!$A$4:$EO$14,((MONTH($A29)-1)*12)+VLOOKUP(DB$4,$DE$6:$DF$17,2)+1))*(VLOOKUP($A29,CURVES!$D$9:$T$261,8))*(INDEX(DailyScalarsTable,DB$5/100,MONTH($A29)))*$E29</f>
        <v>-1919.6877715696285</v>
      </c>
      <c r="DH29" s="1021">
        <f t="shared" si="0"/>
        <v>-1735648.4989376296</v>
      </c>
      <c r="DI29">
        <f ca="1">CALC!J49</f>
        <v>0.8160060600948037</v>
      </c>
      <c r="DJ29" s="1029">
        <f t="shared" ca="1" si="1"/>
        <v>-1416299.6933275552</v>
      </c>
    </row>
    <row r="30" spans="1:114" x14ac:dyDescent="0.25">
      <c r="A30" s="244">
        <v>37622</v>
      </c>
      <c r="B30" s="13">
        <v>22</v>
      </c>
      <c r="C30" s="210">
        <v>4</v>
      </c>
      <c r="D30" s="210">
        <v>4</v>
      </c>
      <c r="E30" s="210">
        <v>1</v>
      </c>
      <c r="F30" s="13">
        <v>31</v>
      </c>
      <c r="H30" s="1021">
        <f>(VLOOKUP(YEAR($A30),'NY East Load Projections'!$A$4:$EO$14,((MONTH($A30)-1)*12)+VLOOKUP(H$4,$DE$6:$DF$17,2)+1))*(VLOOKUP($A30,CURVES!$D$9:$K$261,8))*(INDEX(DailyScalarsTable,H$5/100,MONTH($A30)))*$B30</f>
        <v>-32489.164004892322</v>
      </c>
      <c r="I30" s="1021">
        <f>(VLOOKUP(YEAR($A30),'NY East Load Projections'!$A$4:$EO$14,((MONTH($A30)-1)*12)+VLOOKUP(I$4,$DE$6:$DF$17,2)+1))*(VLOOKUP($A30,CURVES!$D$9:$K$261,8))*(INDEX(DailyScalarsTable,I$5/100,MONTH($A30)))*$B30</f>
        <v>-31856.184574713698</v>
      </c>
      <c r="J30" s="1021">
        <f>(VLOOKUP(YEAR($A30),'NY East Load Projections'!$A$4:$EO$14,((MONTH($A30)-1)*12)+VLOOKUP(J$4,$DE$6:$DF$17,2)+1))*(VLOOKUP($A30,CURVES!$D$9:$K$261,8))*(INDEX(DailyScalarsTable,J$5/100,MONTH($A30)))*$B30</f>
        <v>-29191.432975247015</v>
      </c>
      <c r="K30" s="1021">
        <f>(VLOOKUP(YEAR($A30),'NY East Load Projections'!$A$4:$EO$14,((MONTH($A30)-1)*12)+VLOOKUP(K$4,$DE$6:$DF$17,2)+1))*(VLOOKUP($A30,CURVES!$D$9:$K$261,8))*(INDEX(DailyScalarsTable,K$5/100,MONTH($A30)))*$B30</f>
        <v>-29173.783382352744</v>
      </c>
      <c r="L30" s="1021">
        <f>(VLOOKUP(YEAR($A30),'NY East Load Projections'!$A$4:$EO$14,((MONTH($A30)-1)*12)+VLOOKUP(L$4,$DE$6:$DF$17,2)+1))*(VLOOKUP($A30,CURVES!$D$9:$K$261,8))*(INDEX(DailyScalarsTable,L$5/100,MONTH($A30)))*$B30</f>
        <v>-32261.557105913223</v>
      </c>
      <c r="M30" s="1021">
        <f>(VLOOKUP(YEAR($A30),'NY East Load Projections'!$A$4:$EO$14,((MONTH($A30)-1)*12)+VLOOKUP(M$4,$DE$6:$DF$17,2)+1))*(VLOOKUP($A30,CURVES!$D$9:$K$261,8))*(INDEX(DailyScalarsTable,M$5/100,MONTH($A30)))*$B30</f>
        <v>-34430.113041325465</v>
      </c>
      <c r="N30" s="1021">
        <f>(VLOOKUP(YEAR($A30),'NY East Load Projections'!$A$4:$EO$14,((MONTH($A30)-1)*12)+VLOOKUP(N$4,$DE$6:$DF$17,2)+1))*(VLOOKUP($A30,CURVES!$D$9:$K$261,8))*(INDEX(DailyScalarsTable,N$5/100,MONTH($A30)))*$B30</f>
        <v>-65933.247245398554</v>
      </c>
      <c r="O30" s="1021">
        <f>(VLOOKUP(YEAR($A30),'NY East Load Projections'!$A$4:$EO$14,((MONTH($A30)-1)*12)+VLOOKUP(O$4,$DE$6:$DF$17,2)+1))*(VLOOKUP($A30,CURVES!$D$9:$K$261,4))*(INDEX(DailyScalarsTable,O$5/100,MONTH($A30)))*$B30</f>
        <v>-77182.73934774287</v>
      </c>
      <c r="P30" s="1021">
        <f>(VLOOKUP(YEAR($A30),'NY East Load Projections'!$A$4:$EO$14,((MONTH($A30)-1)*12)+VLOOKUP(P$4,$DE$6:$DF$17,2)+1))*(VLOOKUP($A30,CURVES!$D$9:$K$261,4))*(INDEX(DailyScalarsTable,P$5/100,MONTH($A30)))*$B30</f>
        <v>-84160.486381772993</v>
      </c>
      <c r="Q30" s="1021">
        <f>(VLOOKUP(YEAR($A30),'NY East Load Projections'!$A$4:$EO$14,((MONTH($A30)-1)*12)+VLOOKUP(Q$4,$DE$6:$DF$17,2)+1))*(VLOOKUP($A30,CURVES!$D$9:$K$261,4))*(INDEX(DailyScalarsTable,Q$5/100,MONTH($A30)))*$B30</f>
        <v>-83904.335666078157</v>
      </c>
      <c r="R30" s="1021">
        <f>(VLOOKUP(YEAR($A30),'NY East Load Projections'!$A$4:$EO$14,((MONTH($A30)-1)*12)+VLOOKUP(R$4,$DE$6:$DF$17,2)+1))*(VLOOKUP($A30,CURVES!$D$9:$K$261,4))*(INDEX(DailyScalarsTable,R$5/100,MONTH($A30)))*$B30</f>
        <v>-82440.094959322974</v>
      </c>
      <c r="S30" s="1021">
        <f>(VLOOKUP(YEAR($A30),'NY East Load Projections'!$A$4:$EO$14,((MONTH($A30)-1)*12)+VLOOKUP(S$4,$DE$6:$DF$17,2)+1))*(VLOOKUP($A30,CURVES!$D$9:$K$261,4))*(INDEX(DailyScalarsTable,S$5/100,MONTH($A30)))*$B30</f>
        <v>-61755.431051359759</v>
      </c>
      <c r="T30" s="1021">
        <f>(VLOOKUP(YEAR($A30),'NY East Load Projections'!$A$4:$EO$14,((MONTH($A30)-1)*12)+VLOOKUP(T$4,$DE$6:$DF$17,2)+1))*(VLOOKUP($A30,CURVES!$D$9:$K$261,4))*(INDEX(DailyScalarsTable,T$5/100,MONTH($A30)))*$B30</f>
        <v>-59884.053779275317</v>
      </c>
      <c r="U30" s="1021">
        <f>(VLOOKUP(YEAR($A30),'NY East Load Projections'!$A$4:$EO$14,((MONTH($A30)-1)*12)+VLOOKUP(U$4,$DE$6:$DF$17,2)+1))*(VLOOKUP($A30,CURVES!$D$9:$K$261,4))*(INDEX(DailyScalarsTable,U$5/100,MONTH($A30)))*$B30</f>
        <v>-57950.502206617399</v>
      </c>
      <c r="V30" s="1021">
        <f>(VLOOKUP(YEAR($A30),'NY East Load Projections'!$A$4:$EO$14,((MONTH($A30)-1)*12)+VLOOKUP(V$4,$DE$6:$DF$17,2)+1))*(VLOOKUP($A30,CURVES!$D$9:$K$261,4))*(INDEX(DailyScalarsTable,V$5/100,MONTH($A30)))*$B30</f>
        <v>-55001.13549615004</v>
      </c>
      <c r="W30" s="1021">
        <f>(VLOOKUP(YEAR($A30),'NY East Load Projections'!$A$4:$EO$14,((MONTH($A30)-1)*12)+VLOOKUP(W$4,$DE$6:$DF$17,2)+1))*(VLOOKUP($A30,CURVES!$D$9:$K$261,4))*(INDEX(DailyScalarsTable,W$5/100,MONTH($A30)))*$B30</f>
        <v>-53894.247277019771</v>
      </c>
      <c r="X30" s="1021">
        <f>(VLOOKUP(YEAR($A30),'NY East Load Projections'!$A$4:$EO$14,((MONTH($A30)-1)*12)+VLOOKUP(X$4,$DE$6:$DF$17,2)+1))*(VLOOKUP($A30,CURVES!$D$9:$K$261,4))*(INDEX(DailyScalarsTable,X$5/100,MONTH($A30)))*$B30</f>
        <v>-56568.966580017703</v>
      </c>
      <c r="Y30" s="1021">
        <f>(VLOOKUP(YEAR($A30),'NY East Load Projections'!$A$4:$EO$14,((MONTH($A30)-1)*12)+VLOOKUP(Y$4,$DE$6:$DF$17,2)+1))*(VLOOKUP($A30,CURVES!$D$9:$K$261,4))*(INDEX(DailyScalarsTable,Y$5/100,MONTH($A30)))*$B30</f>
        <v>-78713.259393051005</v>
      </c>
      <c r="Z30" s="1021">
        <f>(VLOOKUP(YEAR($A30),'NY East Load Projections'!$A$4:$EO$14,((MONTH($A30)-1)*12)+VLOOKUP(Z$4,$DE$6:$DF$17,2)+1))*(VLOOKUP($A30,CURVES!$D$9:$K$261,4))*(INDEX(DailyScalarsTable,Z$5/100,MONTH($A30)))*$B30</f>
        <v>-86369.359982201015</v>
      </c>
      <c r="AA30" s="1021">
        <f>(VLOOKUP(YEAR($A30),'NY East Load Projections'!$A$4:$EO$14,((MONTH($A30)-1)*12)+VLOOKUP(AA$4,$DE$6:$DF$17,2)+1))*(VLOOKUP($A30,CURVES!$D$9:$K$261,4))*(INDEX(DailyScalarsTable,AA$5/100,MONTH($A30)))*$B30</f>
        <v>-82670.464499382724</v>
      </c>
      <c r="AB30" s="1021">
        <f>(VLOOKUP(YEAR($A30),'NY East Load Projections'!$A$4:$EO$14,((MONTH($A30)-1)*12)+VLOOKUP(AB$4,$DE$6:$DF$17,2)+1))*(VLOOKUP($A30,CURVES!$D$9:$K$261,4))*(INDEX(DailyScalarsTable,AB$5/100,MONTH($A30)))*$B30</f>
        <v>-74209.151942244134</v>
      </c>
      <c r="AC30" s="1021">
        <f>(VLOOKUP(YEAR($A30),'NY East Load Projections'!$A$4:$EO$14,((MONTH($A30)-1)*12)+VLOOKUP(AC$4,$DE$6:$DF$17,2)+1))*(VLOOKUP($A30,CURVES!$D$9:$K$261,4))*(INDEX(DailyScalarsTable,AC$5/100,MONTH($A30)))*$B30</f>
        <v>-52779.267616947458</v>
      </c>
      <c r="AD30" s="1021">
        <f>(VLOOKUP(YEAR($A30),'NY East Load Projections'!$A$4:$EO$14,((MONTH($A30)-1)*12)+VLOOKUP(AD$4,$DE$6:$DF$17,2)+1))*(VLOOKUP($A30,CURVES!$D$9:$K$261,4))*(INDEX(DailyScalarsTable,AD$5/100,MONTH($A30)))*$B30</f>
        <v>-43206.399844670923</v>
      </c>
      <c r="AE30" s="1021">
        <f>(VLOOKUP(YEAR($A30),'NY East Load Projections'!$A$4:$EO$14,((MONTH($A30)-1)*12)+VLOOKUP(AE$4,$DE$6:$DF$17,2)+1))*(VLOOKUP($A30,CURVES!$D$9:$K$261,8))*(INDEX(DailyScalarsTable,AE$5/100,MONTH($A30)))*$B30</f>
        <v>-37988.419043777263</v>
      </c>
      <c r="AF30" s="1021"/>
      <c r="AG30" s="1021">
        <f>(VLOOKUP(YEAR($A30),'NY East Load Projections'!$A$4:$EO$14,((MONTH($A30)-1)*12)+VLOOKUP(AG$4,$DE$6:$DF$17,2)+1))*(VLOOKUP($A30,CURVES!$D$9:$T$261,8))*(INDEX(DailyScalarsTable,AG$5/100,MONTH($A30)))*$C30</f>
        <v>-6336.2493104272653</v>
      </c>
      <c r="AH30" s="1021">
        <f>(VLOOKUP(YEAR($A30),'NY East Load Projections'!$A$4:$EO$14,((MONTH($A30)-1)*12)+VLOOKUP(AH$4,$DE$6:$DF$17,2)+1))*(VLOOKUP($A30,CURVES!$D$9:$T$261,8))*(INDEX(DailyScalarsTable,AH$5/100,MONTH($A30)))*$C30</f>
        <v>-6212.8015209618297</v>
      </c>
      <c r="AI30" s="1021">
        <f>(VLOOKUP(YEAR($A30),'NY East Load Projections'!$A$4:$EO$14,((MONTH($A30)-1)*12)+VLOOKUP(AI$4,$DE$6:$DF$17,2)+1))*(VLOOKUP($A30,CURVES!$D$9:$T$261,8))*(INDEX(DailyScalarsTable,AI$5/100,MONTH($A30)))*$C30</f>
        <v>-5693.1042310580888</v>
      </c>
      <c r="AJ30" s="1021">
        <f>(VLOOKUP(YEAR($A30),'NY East Load Projections'!$A$4:$EO$14,((MONTH($A30)-1)*12)+VLOOKUP(AJ$4,$DE$6:$DF$17,2)+1))*(VLOOKUP($A30,CURVES!$D$9:$T$261,8))*(INDEX(DailyScalarsTable,AJ$5/100,MONTH($A30)))*$C30</f>
        <v>-5689.6620919870793</v>
      </c>
      <c r="AK30" s="1021">
        <f>(VLOOKUP(YEAR($A30),'NY East Load Projections'!$A$4:$EO$14,((MONTH($A30)-1)*12)+VLOOKUP(AK$4,$DE$6:$DF$17,2)+1))*(VLOOKUP($A30,CURVES!$D$9:$T$261,8))*(INDEX(DailyScalarsTable,AK$5/100,MONTH($A30)))*$C30</f>
        <v>-5991.0300618077863</v>
      </c>
      <c r="AL30" s="1021">
        <f>(VLOOKUP(YEAR($A30),'NY East Load Projections'!$A$4:$EO$14,((MONTH($A30)-1)*12)+VLOOKUP(AL$4,$DE$6:$DF$17,2)+1))*(VLOOKUP($A30,CURVES!$D$9:$T$261,8))*(INDEX(DailyScalarsTable,AL$5/100,MONTH($A30)))*$C30</f>
        <v>-6393.7348586381022</v>
      </c>
      <c r="AM30" s="1021">
        <f>(VLOOKUP(YEAR($A30),'NY East Load Projections'!$A$4:$EO$14,((MONTH($A30)-1)*12)+VLOOKUP(AM$4,$DE$6:$DF$17,2)+1))*(VLOOKUP($A30,CURVES!$D$9:$T$261,8))*(INDEX(DailyScalarsTable,AM$5/100,MONTH($A30)))*$C30</f>
        <v>-12243.924402749521</v>
      </c>
      <c r="AN30" s="1021">
        <f>(VLOOKUP(YEAR($A30),'NY East Load Projections'!$A$4:$EO$14,((MONTH($A30)-1)*12)+VLOOKUP(AN$4,$DE$6:$DF$17,2)+1))*(VLOOKUP($A30,SatSunCurve,4))*(INDEX(DailyScalarsTable,AN$5/100,MONTH($A30)))*$C30</f>
        <v>-11194.168314314524</v>
      </c>
      <c r="AO30" s="1021">
        <f>(VLOOKUP(YEAR($A30),'NY East Load Projections'!$A$4:$EO$14,((MONTH($A30)-1)*12)+VLOOKUP(AO$4,$DE$6:$DF$17,2)+1))*(VLOOKUP($A30,SatSunCurve,4))*(INDEX(DailyScalarsTable,AO$5/100,MONTH($A30)))*$C30</f>
        <v>-12429.158403768888</v>
      </c>
      <c r="AP30" s="1021">
        <f>(VLOOKUP(YEAR($A30),'NY East Load Projections'!$A$4:$EO$14,((MONTH($A30)-1)*12)+VLOOKUP(AP$4,$DE$6:$DF$17,2)+1))*(VLOOKUP($A30,SatSunCurve,4))*(INDEX(DailyScalarsTable,AP$5/100,MONTH($A30)))*$C30</f>
        <v>-12391.329038023929</v>
      </c>
      <c r="AQ30" s="1021">
        <f>(VLOOKUP(YEAR($A30),'NY East Load Projections'!$A$4:$EO$14,((MONTH($A30)-1)*12)+VLOOKUP(AQ$4,$DE$6:$DF$17,2)+1))*(VLOOKUP($A30,SatSunCurve,4))*(INDEX(DailyScalarsTable,AQ$5/100,MONTH($A30)))*$C30</f>
        <v>-12175.08409377598</v>
      </c>
      <c r="AR30" s="1021">
        <f>(VLOOKUP(YEAR($A30),'NY East Load Projections'!$A$4:$EO$14,((MONTH($A30)-1)*12)+VLOOKUP(AR$4,$DE$6:$DF$17,2)+1))*(VLOOKUP($A30,SatSunCurve,4))*(INDEX(DailyScalarsTable,AR$5/100,MONTH($A30)))*$C30</f>
        <v>-9120.2899107367084</v>
      </c>
      <c r="AS30" s="1021">
        <f>(VLOOKUP(YEAR($A30),'NY East Load Projections'!$A$4:$EO$14,((MONTH($A30)-1)*12)+VLOOKUP(AS$4,$DE$6:$DF$17,2)+1))*(VLOOKUP($A30,SatSunCurve,4))*(INDEX(DailyScalarsTable,AS$5/100,MONTH($A30)))*$C30</f>
        <v>-8704.4453934940793</v>
      </c>
      <c r="AT30" s="1021">
        <f>(VLOOKUP(YEAR($A30),'NY East Load Projections'!$A$4:$EO$14,((MONTH($A30)-1)*12)+VLOOKUP(AT$4,$DE$6:$DF$17,2)+1))*(VLOOKUP($A30,SatSunCurve,4))*(INDEX(DailyScalarsTable,AT$5/100,MONTH($A30)))*$C30</f>
        <v>-8423.3940448038175</v>
      </c>
      <c r="AU30" s="1021">
        <f>(VLOOKUP(YEAR($A30),'NY East Load Projections'!$A$4:$EO$14,((MONTH($A30)-1)*12)+VLOOKUP(AU$4,$DE$6:$DF$17,2)+1))*(VLOOKUP($A30,SatSunCurve,4))*(INDEX(DailyScalarsTable,AU$5/100,MONTH($A30)))*$C30</f>
        <v>-7994.6889078523654</v>
      </c>
      <c r="AV30" s="1021">
        <f>(VLOOKUP(YEAR($A30),'NY East Load Projections'!$A$4:$EO$14,((MONTH($A30)-1)*12)+VLOOKUP(AV$4,$DE$6:$DF$17,2)+1))*(VLOOKUP($A30,SatSunCurve,4))*(INDEX(DailyScalarsTable,AV$5/100,MONTH($A30)))*$C30</f>
        <v>-7833.7971937470702</v>
      </c>
      <c r="AW30" s="1021">
        <f>(VLOOKUP(YEAR($A30),'NY East Load Projections'!$A$4:$EO$14,((MONTH($A30)-1)*12)+VLOOKUP(AW$4,$DE$6:$DF$17,2)+1))*(VLOOKUP($A30,SatSunCurve,4))*(INDEX(DailyScalarsTable,AW$5/100,MONTH($A30)))*$C30</f>
        <v>-8250.0176092485854</v>
      </c>
      <c r="AX30" s="1021">
        <f>(VLOOKUP(YEAR($A30),'NY East Load Projections'!$A$4:$EO$14,((MONTH($A30)-1)*12)+VLOOKUP(AX$4,$DE$6:$DF$17,2)+1))*(VLOOKUP($A30,SatSunCurve,4))*(INDEX(DailyScalarsTable,AX$5/100,MONTH($A30)))*$C30</f>
        <v>-11479.541086462237</v>
      </c>
      <c r="AY30" s="1021">
        <f>(VLOOKUP(YEAR($A30),'NY East Load Projections'!$A$4:$EO$14,((MONTH($A30)-1)*12)+VLOOKUP(AY$4,$DE$6:$DF$17,2)+1))*(VLOOKUP($A30,SatSunCurve,4))*(INDEX(DailyScalarsTable,AY$5/100,MONTH($A30)))*$C30</f>
        <v>-12596.106731855829</v>
      </c>
      <c r="AZ30" s="1021">
        <f>(VLOOKUP(YEAR($A30),'NY East Load Projections'!$A$4:$EO$14,((MONTH($A30)-1)*12)+VLOOKUP(AZ$4,$DE$6:$DF$17,2)+1))*(VLOOKUP($A30,SatSunCurve,4))*(INDEX(DailyScalarsTable,AZ$5/100,MONTH($A30)))*$C30</f>
        <v>-12056.659845817074</v>
      </c>
      <c r="BA30" s="1021">
        <f>(VLOOKUP(YEAR($A30),'NY East Load Projections'!$A$4:$EO$14,((MONTH($A30)-1)*12)+VLOOKUP(BA$4,$DE$6:$DF$17,2)+1))*(VLOOKUP($A30,SatSunCurve,4))*(INDEX(DailyScalarsTable,BA$5/100,MONTH($A30)))*$C30</f>
        <v>-11102.697285094666</v>
      </c>
      <c r="BB30" s="1021">
        <f>(VLOOKUP(YEAR($A30),'NY East Load Projections'!$A$4:$EO$14,((MONTH($A30)-1)*12)+VLOOKUP(BB$4,$DE$6:$DF$17,2)+1))*(VLOOKUP($A30,SatSunCurve,4))*(INDEX(DailyScalarsTable,BB$5/100,MONTH($A30)))*$C30</f>
        <v>-7896.4954583504241</v>
      </c>
      <c r="BC30" s="1021">
        <f>(VLOOKUP(YEAR($A30),'NY East Load Projections'!$A$4:$EO$14,((MONTH($A30)-1)*12)+VLOOKUP(BC$4,$DE$6:$DF$17,2)+1))*(VLOOKUP($A30,SatSunCurve,4))*(INDEX(DailyScalarsTable,BC$5/100,MONTH($A30)))*$C30</f>
        <v>-6464.2643892156548</v>
      </c>
      <c r="BD30" s="1021">
        <f>(VLOOKUP(YEAR($A30),'NY East Load Projections'!$A$4:$EO$14,((MONTH($A30)-1)*12)+VLOOKUP(BD$4,$DE$6:$DF$17,2)+1))*(VLOOKUP($A30,CURVES!$D$9:$T$261,8))*(INDEX(DailyScalarsTable,BD$5/100,MONTH($A30)))*$C30</f>
        <v>-7277.2413765021292</v>
      </c>
      <c r="BE30" s="1021"/>
      <c r="BF30" s="1021">
        <f>(VLOOKUP(YEAR($A30),'NY East Load Projections'!$A$4:$EO$14,((MONTH($A30)-1)*12)+VLOOKUP(BF$4,$DE$6:$DF$17,2)+1))*(VLOOKUP($A30,CURVES!$D$9:$T$261,8))*(INDEX(DailyScalarsTable,BF$5/100,MONTH($A30)))*$D30</f>
        <v>-6336.2493104272653</v>
      </c>
      <c r="BG30" s="1021">
        <f>(VLOOKUP(YEAR($A30),'NY East Load Projections'!$A$4:$EO$14,((MONTH($A30)-1)*12)+VLOOKUP(BG$4,$DE$6:$DF$17,2)+1))*(VLOOKUP($A30,CURVES!$D$9:$T$261,8))*(INDEX(DailyScalarsTable,BG$5/100,MONTH($A30)))*$D30</f>
        <v>-6212.8015209618297</v>
      </c>
      <c r="BH30" s="1021">
        <f>(VLOOKUP(YEAR($A30),'NY East Load Projections'!$A$4:$EO$14,((MONTH($A30)-1)*12)+VLOOKUP(BH$4,$DE$6:$DF$17,2)+1))*(VLOOKUP($A30,CURVES!$D$9:$T$261,8))*(INDEX(DailyScalarsTable,BH$5/100,MONTH($A30)))*$D30</f>
        <v>-5693.1042310580888</v>
      </c>
      <c r="BI30" s="1021">
        <f>(VLOOKUP(YEAR($A30),'NY East Load Projections'!$A$4:$EO$14,((MONTH($A30)-1)*12)+VLOOKUP(BI$4,$DE$6:$DF$17,2)+1))*(VLOOKUP($A30,CURVES!$D$9:$T$261,8))*(INDEX(DailyScalarsTable,BI$5/100,MONTH($A30)))*$D30</f>
        <v>-5689.6620919870793</v>
      </c>
      <c r="BJ30" s="1021">
        <f>(VLOOKUP(YEAR($A30),'NY East Load Projections'!$A$4:$EO$14,((MONTH($A30)-1)*12)+VLOOKUP(BJ$4,$DE$6:$DF$17,2)+1))*(VLOOKUP($A30,CURVES!$D$9:$T$261,8))*(INDEX(DailyScalarsTable,BJ$5/100,MONTH($A30)))*$D30</f>
        <v>-5991.0300618077863</v>
      </c>
      <c r="BK30" s="1021">
        <f>(VLOOKUP(YEAR($A30),'NY East Load Projections'!$A$4:$EO$14,((MONTH($A30)-1)*12)+VLOOKUP(BK$4,$DE$6:$DF$17,2)+1))*(VLOOKUP($A30,CURVES!$D$9:$T$261,8))*(INDEX(DailyScalarsTable,BK$5/100,MONTH($A30)))*$D30</f>
        <v>-6393.7348586381022</v>
      </c>
      <c r="BL30" s="1021">
        <f>(VLOOKUP(YEAR($A30),'NY East Load Projections'!$A$4:$EO$14,((MONTH($A30)-1)*12)+VLOOKUP(BL$4,$DE$6:$DF$17,2)+1))*(VLOOKUP($A30,CURVES!$D$9:$T$261,8))*(INDEX(DailyScalarsTable,BL$5/100,MONTH($A30)))*$D30</f>
        <v>-12243.924402749521</v>
      </c>
      <c r="BM30" s="1021">
        <f>(VLOOKUP(YEAR($A30),'NY East Load Projections'!$A$4:$EO$14,((MONTH($A30)-1)*12)+VLOOKUP(BM$4,$DE$6:$DF$17,2)+1))*(VLOOKUP($A30,SatSunCurve,8))*(INDEX(DailyScalarsTable,BM$5/100,MONTH($A30)))*$D30</f>
        <v>-11654.87177390939</v>
      </c>
      <c r="BN30" s="1021">
        <f>(VLOOKUP(YEAR($A30),'NY East Load Projections'!$A$4:$EO$14,((MONTH($A30)-1)*12)+VLOOKUP(BN$4,$DE$6:$DF$17,2)+1))*(VLOOKUP($A30,SatSunCurve,8))*(INDEX(DailyScalarsTable,BN$5/100,MONTH($A30)))*$D30</f>
        <v>-12940.688703804366</v>
      </c>
      <c r="BO30" s="1021">
        <f>(VLOOKUP(YEAR($A30),'NY East Load Projections'!$A$4:$EO$14,((MONTH($A30)-1)*12)+VLOOKUP(BO$4,$DE$6:$DF$17,2)+1))*(VLOOKUP($A30,SatSunCurve,8))*(INDEX(DailyScalarsTable,BO$5/100,MONTH($A30)))*$D30</f>
        <v>-12901.302445293135</v>
      </c>
      <c r="BP30" s="1021">
        <f>(VLOOKUP(YEAR($A30),'NY East Load Projections'!$A$4:$EO$14,((MONTH($A30)-1)*12)+VLOOKUP(BP$4,$DE$6:$DF$17,2)+1))*(VLOOKUP($A30,SatSunCurve,8))*(INDEX(DailyScalarsTable,BP$5/100,MONTH($A30)))*$D30</f>
        <v>-12676.15779620445</v>
      </c>
      <c r="BQ30" s="1021">
        <f>(VLOOKUP(YEAR($A30),'NY East Load Projections'!$A$4:$EO$14,((MONTH($A30)-1)*12)+VLOOKUP(BQ$4,$DE$6:$DF$17,2)+1))*(VLOOKUP($A30,SatSunCurve,8))*(INDEX(DailyScalarsTable,BQ$5/100,MONTH($A30)))*$D30</f>
        <v>-9495.641522076301</v>
      </c>
      <c r="BR30" s="1021">
        <f>(VLOOKUP(YEAR($A30),'NY East Load Projections'!$A$4:$EO$14,((MONTH($A30)-1)*12)+VLOOKUP(BR$4,$DE$6:$DF$17,2)+1))*(VLOOKUP($A30,SatSunCurve,8))*(INDEX(DailyScalarsTable,BR$5/100,MONTH($A30)))*$D30</f>
        <v>-9062.6826465028025</v>
      </c>
      <c r="BS30" s="1021">
        <f>(VLOOKUP(YEAR($A30),'NY East Load Projections'!$A$4:$EO$14,((MONTH($A30)-1)*12)+VLOOKUP(BS$4,$DE$6:$DF$17,2)+1))*(VLOOKUP($A30,SatSunCurve,8))*(INDEX(DailyScalarsTable,BS$5/100,MONTH($A30)))*$D30</f>
        <v>-8770.0644421936358</v>
      </c>
      <c r="BT30" s="1021">
        <f>(VLOOKUP(YEAR($A30),'NY East Load Projections'!$A$4:$EO$14,((MONTH($A30)-1)*12)+VLOOKUP(BT$4,$DE$6:$DF$17,2)+1))*(VLOOKUP($A30,SatSunCurve,8))*(INDEX(DailyScalarsTable,BT$5/100,MONTH($A30)))*$D30</f>
        <v>-8323.7156595336346</v>
      </c>
      <c r="BU30" s="1021">
        <f>(VLOOKUP(YEAR($A30),'NY East Load Projections'!$A$4:$EO$14,((MONTH($A30)-1)*12)+VLOOKUP(BU$4,$DE$6:$DF$17,2)+1))*(VLOOKUP($A30,SatSunCurve,8))*(INDEX(DailyScalarsTable,BU$5/100,MONTH($A30)))*$D30</f>
        <v>-8156.2023396754876</v>
      </c>
      <c r="BV30" s="1021">
        <f>(VLOOKUP(YEAR($A30),'NY East Load Projections'!$A$4:$EO$14,((MONTH($A30)-1)*12)+VLOOKUP(BV$4,$DE$6:$DF$17,2)+1))*(VLOOKUP($A30,SatSunCurve,8))*(INDEX(DailyScalarsTable,BV$5/100,MONTH($A30)))*$D30</f>
        <v>-8589.5525838513076</v>
      </c>
      <c r="BW30" s="1021">
        <f>(VLOOKUP(YEAR($A30),'NY East Load Projections'!$A$4:$EO$14,((MONTH($A30)-1)*12)+VLOOKUP(BW$4,$DE$6:$DF$17,2)+1))*(VLOOKUP($A30,SatSunCurve,8))*(INDEX(DailyScalarsTable,BW$5/100,MONTH($A30)))*$D30</f>
        <v>-11951.989252739288</v>
      </c>
      <c r="BX30" s="1021">
        <f>(VLOOKUP(YEAR($A30),'NY East Load Projections'!$A$4:$EO$14,((MONTH($A30)-1)*12)+VLOOKUP(BX$4,$DE$6:$DF$17,2)+1))*(VLOOKUP($A30,SatSunCurve,8))*(INDEX(DailyScalarsTable,BX$5/100,MONTH($A30)))*$D30</f>
        <v>-13114.507901630228</v>
      </c>
      <c r="BY30" s="1021">
        <f>(VLOOKUP(YEAR($A30),'NY East Load Projections'!$A$4:$EO$14,((MONTH($A30)-1)*12)+VLOOKUP(BY$4,$DE$6:$DF$17,2)+1))*(VLOOKUP($A30,SatSunCurve,8))*(INDEX(DailyScalarsTable,BY$5/100,MONTH($A30)))*$D30</f>
        <v>-12552.859719372982</v>
      </c>
      <c r="BZ30" s="1021">
        <f>(VLOOKUP(YEAR($A30),'NY East Load Projections'!$A$4:$EO$14,((MONTH($A30)-1)*12)+VLOOKUP(BZ$4,$DE$6:$DF$17,2)+1))*(VLOOKUP($A30,SatSunCurve,8))*(INDEX(DailyScalarsTable,BZ$5/100,MONTH($A30)))*$D30</f>
        <v>-11559.636193502607</v>
      </c>
      <c r="CA30" s="1021">
        <f>(VLOOKUP(YEAR($A30),'NY East Load Projections'!$A$4:$EO$14,((MONTH($A30)-1)*12)+VLOOKUP(CA$4,$DE$6:$DF$17,2)+1))*(VLOOKUP($A30,SatSunCurve,8))*(INDEX(DailyScalarsTable,CA$5/100,MONTH($A30)))*$D30</f>
        <v>-8221.4809931565414</v>
      </c>
      <c r="CB30" s="1021">
        <f>(VLOOKUP(YEAR($A30),'NY East Load Projections'!$A$4:$EO$14,((MONTH($A30)-1)*12)+VLOOKUP(CB$4,$DE$6:$DF$17,2)+1))*(VLOOKUP($A30,SatSunCurve,8))*(INDEX(DailyScalarsTable,CB$5/100,MONTH($A30)))*$D30</f>
        <v>-6730.30549957124</v>
      </c>
      <c r="CC30" s="1021">
        <f>(VLOOKUP(YEAR($A30),'NY East Load Projections'!$A$4:$EO$14,((MONTH($A30)-1)*12)+VLOOKUP(CC$4,$DE$6:$DF$17,2)+1))*(VLOOKUP($A30,CURVES!$D$9:$T$261,8))*(INDEX(DailyScalarsTable,CC$5/100,MONTH($A30)))*$D30</f>
        <v>-7277.2413765021292</v>
      </c>
      <c r="CE30" s="1021">
        <f>(VLOOKUP(YEAR($A30),'NY East Load Projections'!$A$4:$EO$14,((MONTH($A30)-1)*12)+VLOOKUP(CE$4,$DE$6:$DF$17,2)+1))*(VLOOKUP($A30,CURVES!$D$9:$T$261,8))*(INDEX(DailyScalarsTable,CE$5/100,MONTH($A30)))*$E30</f>
        <v>-1584.0623276068163</v>
      </c>
      <c r="CF30" s="1021">
        <f>(VLOOKUP(YEAR($A30),'NY East Load Projections'!$A$4:$EO$14,((MONTH($A30)-1)*12)+VLOOKUP(CF$4,$DE$6:$DF$17,2)+1))*(VLOOKUP($A30,CURVES!$D$9:$T$261,8))*(INDEX(DailyScalarsTable,CF$5/100,MONTH($A30)))*$E30</f>
        <v>-1553.2003802404574</v>
      </c>
      <c r="CG30" s="1021">
        <f>(VLOOKUP(YEAR($A30),'NY East Load Projections'!$A$4:$EO$14,((MONTH($A30)-1)*12)+VLOOKUP(CG$4,$DE$6:$DF$17,2)+1))*(VLOOKUP($A30,CURVES!$D$9:$T$261,8))*(INDEX(DailyScalarsTable,CG$5/100,MONTH($A30)))*$E30</f>
        <v>-1423.2760577645222</v>
      </c>
      <c r="CH30" s="1021">
        <f>(VLOOKUP(YEAR($A30),'NY East Load Projections'!$A$4:$EO$14,((MONTH($A30)-1)*12)+VLOOKUP(CH$4,$DE$6:$DF$17,2)+1))*(VLOOKUP($A30,CURVES!$D$9:$T$261,8))*(INDEX(DailyScalarsTable,CH$5/100,MONTH($A30)))*$E30</f>
        <v>-1422.4155229967698</v>
      </c>
      <c r="CI30" s="1021">
        <f>(VLOOKUP(YEAR($A30),'NY East Load Projections'!$A$4:$EO$14,((MONTH($A30)-1)*12)+VLOOKUP(CI$4,$DE$6:$DF$17,2)+1))*(VLOOKUP($A30,CURVES!$D$9:$T$261,8))*(INDEX(DailyScalarsTable,CI$5/100,MONTH($A30)))*$E30</f>
        <v>-1497.7575154519466</v>
      </c>
      <c r="CJ30" s="1021">
        <f>(VLOOKUP(YEAR($A30),'NY East Load Projections'!$A$4:$EO$14,((MONTH($A30)-1)*12)+VLOOKUP(CJ$4,$DE$6:$DF$17,2)+1))*(VLOOKUP($A30,CURVES!$D$9:$T$261,8))*(INDEX(DailyScalarsTable,CJ$5/100,MONTH($A30)))*$E30</f>
        <v>-1598.4337146595255</v>
      </c>
      <c r="CK30" s="1021">
        <f>(VLOOKUP(YEAR($A30),'NY East Load Projections'!$A$4:$EO$14,((MONTH($A30)-1)*12)+VLOOKUP(CK$4,$DE$6:$DF$17,2)+1))*(VLOOKUP($A30,CURVES!$D$9:$T$261,8))*(INDEX(DailyScalarsTable,CK$5/100,MONTH($A30)))*$E30</f>
        <v>-3060.9811006873801</v>
      </c>
      <c r="CL30" s="1021">
        <f>(VLOOKUP(YEAR($A30),'NY East Load Projections'!$A$4:$EO$14,((MONTH($A30)-1)*12)+VLOOKUP(CL$4,$DE$6:$DF$17,2)+1))*(VLOOKUP($A30,SatSunCurve,8))*(INDEX(DailyScalarsTable,CL$5/100,MONTH($A30)))*$E30</f>
        <v>-2913.7179434773475</v>
      </c>
      <c r="CM30" s="1021">
        <f>(VLOOKUP(YEAR($A30),'NY East Load Projections'!$A$4:$EO$14,((MONTH($A30)-1)*12)+VLOOKUP(CM$4,$DE$6:$DF$17,2)+1))*(VLOOKUP($A30,SatSunCurve,8))*(INDEX(DailyScalarsTable,CM$5/100,MONTH($A30)))*$E30</f>
        <v>-3235.1721759510915</v>
      </c>
      <c r="CN30" s="1021">
        <f>(VLOOKUP(YEAR($A30),'NY East Load Projections'!$A$4:$EO$14,((MONTH($A30)-1)*12)+VLOOKUP(CN$4,$DE$6:$DF$17,2)+1))*(VLOOKUP($A30,SatSunCurve,8))*(INDEX(DailyScalarsTable,CN$5/100,MONTH($A30)))*$E30</f>
        <v>-3225.3256113232837</v>
      </c>
      <c r="CO30" s="1021">
        <f>(VLOOKUP(YEAR($A30),'NY East Load Projections'!$A$4:$EO$14,((MONTH($A30)-1)*12)+VLOOKUP(CO$4,$DE$6:$DF$17,2)+1))*(VLOOKUP($A30,SatSunCurve,8))*(INDEX(DailyScalarsTable,CO$5/100,MONTH($A30)))*$E30</f>
        <v>-3169.0394490511126</v>
      </c>
      <c r="CP30" s="1021">
        <f>(VLOOKUP(YEAR($A30),'NY East Load Projections'!$A$4:$EO$14,((MONTH($A30)-1)*12)+VLOOKUP(CP$4,$DE$6:$DF$17,2)+1))*(VLOOKUP($A30,SatSunCurve,8))*(INDEX(DailyScalarsTable,CP$5/100,MONTH($A30)))*$E30</f>
        <v>-2373.9103805190753</v>
      </c>
      <c r="CQ30" s="1021">
        <f>(VLOOKUP(YEAR($A30),'NY East Load Projections'!$A$4:$EO$14,((MONTH($A30)-1)*12)+VLOOKUP(CQ$4,$DE$6:$DF$17,2)+1))*(VLOOKUP($A30,SatSunCurve,8))*(INDEX(DailyScalarsTable,CQ$5/100,MONTH($A30)))*$E30</f>
        <v>-2265.6706616257006</v>
      </c>
      <c r="CR30" s="1021">
        <f>(VLOOKUP(YEAR($A30),'NY East Load Projections'!$A$4:$EO$14,((MONTH($A30)-1)*12)+VLOOKUP(CR$4,$DE$6:$DF$17,2)+1))*(VLOOKUP($A30,SatSunCurve,8))*(INDEX(DailyScalarsTable,CR$5/100,MONTH($A30)))*$E30</f>
        <v>-2192.516110548409</v>
      </c>
      <c r="CS30" s="1021">
        <f>(VLOOKUP(YEAR($A30),'NY East Load Projections'!$A$4:$EO$14,((MONTH($A30)-1)*12)+VLOOKUP(CS$4,$DE$6:$DF$17,2)+1))*(VLOOKUP($A30,SatSunCurve,8))*(INDEX(DailyScalarsTable,CS$5/100,MONTH($A30)))*$E30</f>
        <v>-2080.9289148834087</v>
      </c>
      <c r="CT30" s="1021">
        <f>(VLOOKUP(YEAR($A30),'NY East Load Projections'!$A$4:$EO$14,((MONTH($A30)-1)*12)+VLOOKUP(CT$4,$DE$6:$DF$17,2)+1))*(VLOOKUP($A30,SatSunCurve,8))*(INDEX(DailyScalarsTable,CT$5/100,MONTH($A30)))*$E30</f>
        <v>-2039.0505849188719</v>
      </c>
      <c r="CU30" s="1021">
        <f>(VLOOKUP(YEAR($A30),'NY East Load Projections'!$A$4:$EO$14,((MONTH($A30)-1)*12)+VLOOKUP(CU$4,$DE$6:$DF$17,2)+1))*(VLOOKUP($A30,SatSunCurve,8))*(INDEX(DailyScalarsTable,CU$5/100,MONTH($A30)))*$E30</f>
        <v>-2147.3881459628269</v>
      </c>
      <c r="CV30" s="1021">
        <f>(VLOOKUP(YEAR($A30),'NY East Load Projections'!$A$4:$EO$14,((MONTH($A30)-1)*12)+VLOOKUP(CV$4,$DE$6:$DF$17,2)+1))*(VLOOKUP($A30,SatSunCurve,8))*(INDEX(DailyScalarsTable,CV$5/100,MONTH($A30)))*$E30</f>
        <v>-2987.9973131848219</v>
      </c>
      <c r="CW30" s="1021">
        <f>(VLOOKUP(YEAR($A30),'NY East Load Projections'!$A$4:$EO$14,((MONTH($A30)-1)*12)+VLOOKUP(CW$4,$DE$6:$DF$17,2)+1))*(VLOOKUP($A30,SatSunCurve,8))*(INDEX(DailyScalarsTable,CW$5/100,MONTH($A30)))*$E30</f>
        <v>-3278.626975407557</v>
      </c>
      <c r="CX30" s="1021">
        <f>(VLOOKUP(YEAR($A30),'NY East Load Projections'!$A$4:$EO$14,((MONTH($A30)-1)*12)+VLOOKUP(CX$4,$DE$6:$DF$17,2)+1))*(VLOOKUP($A30,SatSunCurve,8))*(INDEX(DailyScalarsTable,CX$5/100,MONTH($A30)))*$E30</f>
        <v>-3138.2149298432455</v>
      </c>
      <c r="CY30" s="1021">
        <f>(VLOOKUP(YEAR($A30),'NY East Load Projections'!$A$4:$EO$14,((MONTH($A30)-1)*12)+VLOOKUP(CY$4,$DE$6:$DF$17,2)+1))*(VLOOKUP($A30,SatSunCurve,8))*(INDEX(DailyScalarsTable,CY$5/100,MONTH($A30)))*$E30</f>
        <v>-2889.9090483756518</v>
      </c>
      <c r="CZ30" s="1021">
        <f>(VLOOKUP(YEAR($A30),'NY East Load Projections'!$A$4:$EO$14,((MONTH($A30)-1)*12)+VLOOKUP(CZ$4,$DE$6:$DF$17,2)+1))*(VLOOKUP($A30,SatSunCurve,8))*(INDEX(DailyScalarsTable,CZ$5/100,MONTH($A30)))*$E30</f>
        <v>-2055.3702482891354</v>
      </c>
      <c r="DA30" s="1021">
        <f>(VLOOKUP(YEAR($A30),'NY East Load Projections'!$A$4:$EO$14,((MONTH($A30)-1)*12)+VLOOKUP(DA$4,$DE$6:$DF$17,2)+1))*(VLOOKUP($A30,SatSunCurve,8))*(INDEX(DailyScalarsTable,DA$5/100,MONTH($A30)))*$E30</f>
        <v>-1682.57637489281</v>
      </c>
      <c r="DB30" s="1021">
        <f>(VLOOKUP(YEAR($A30),'NY East Load Projections'!$A$4:$EO$14,((MONTH($A30)-1)*12)+VLOOKUP(DB$4,$DE$6:$DF$17,2)+1))*(VLOOKUP($A30,CURVES!$D$9:$T$261,8))*(INDEX(DailyScalarsTable,DB$5/100,MONTH($A30)))*$E30</f>
        <v>-1819.3103441255323</v>
      </c>
      <c r="DH30" s="1021">
        <f t="shared" si="0"/>
        <v>-1878137.9421171052</v>
      </c>
      <c r="DI30">
        <f ca="1">CALC!J50</f>
        <v>0.81093241220215584</v>
      </c>
      <c r="DJ30" s="1029">
        <f t="shared" ca="1" si="1"/>
        <v>-1523042.931849417</v>
      </c>
    </row>
    <row r="31" spans="1:114" x14ac:dyDescent="0.25">
      <c r="A31" s="244">
        <v>37653</v>
      </c>
      <c r="B31" s="13">
        <v>20</v>
      </c>
      <c r="C31" s="210">
        <v>4</v>
      </c>
      <c r="D31" s="210">
        <v>4</v>
      </c>
      <c r="E31" s="210">
        <v>0</v>
      </c>
      <c r="F31" s="13">
        <v>28</v>
      </c>
      <c r="H31" s="1021">
        <f>(VLOOKUP(YEAR($A31),'NY East Load Projections'!$A$4:$EO$14,((MONTH($A31)-1)*12)+VLOOKUP(H$4,$DE$6:$DF$17,2)+1))*(VLOOKUP($A31,CURVES!$D$9:$K$261,8))*(INDEX(DailyScalarsTable,H$5/100,MONTH($A31)))*$B31</f>
        <v>-28750.75614027727</v>
      </c>
      <c r="I31" s="1021">
        <f>(VLOOKUP(YEAR($A31),'NY East Load Projections'!$A$4:$EO$14,((MONTH($A31)-1)*12)+VLOOKUP(I$4,$DE$6:$DF$17,2)+1))*(VLOOKUP($A31,CURVES!$D$9:$K$261,8))*(INDEX(DailyScalarsTable,I$5/100,MONTH($A31)))*$B31</f>
        <v>-28190.61131056922</v>
      </c>
      <c r="J31" s="1021">
        <f>(VLOOKUP(YEAR($A31),'NY East Load Projections'!$A$4:$EO$14,((MONTH($A31)-1)*12)+VLOOKUP(J$4,$DE$6:$DF$17,2)+1))*(VLOOKUP($A31,CURVES!$D$9:$K$261,8))*(INDEX(DailyScalarsTable,J$5/100,MONTH($A31)))*$B31</f>
        <v>-25832.482815814983</v>
      </c>
      <c r="K31" s="1021">
        <f>(VLOOKUP(YEAR($A31),'NY East Load Projections'!$A$4:$EO$14,((MONTH($A31)-1)*12)+VLOOKUP(K$4,$DE$6:$DF$17,2)+1))*(VLOOKUP($A31,CURVES!$D$9:$K$261,8))*(INDEX(DailyScalarsTable,K$5/100,MONTH($A31)))*$B31</f>
        <v>-25816.86409625661</v>
      </c>
      <c r="L31" s="1021">
        <f>(VLOOKUP(YEAR($A31),'NY East Load Projections'!$A$4:$EO$14,((MONTH($A31)-1)*12)+VLOOKUP(L$4,$DE$6:$DF$17,2)+1))*(VLOOKUP($A31,CURVES!$D$9:$K$261,8))*(INDEX(DailyScalarsTable,L$5/100,MONTH($A31)))*$B31</f>
        <v>-28362.095302455898</v>
      </c>
      <c r="M31" s="1021">
        <f>(VLOOKUP(YEAR($A31),'NY East Load Projections'!$A$4:$EO$14,((MONTH($A31)-1)*12)+VLOOKUP(M$4,$DE$6:$DF$17,2)+1))*(VLOOKUP($A31,CURVES!$D$9:$K$261,8))*(INDEX(DailyScalarsTable,M$5/100,MONTH($A31)))*$B31</f>
        <v>-30268.537384806448</v>
      </c>
      <c r="N31" s="1021">
        <f>(VLOOKUP(YEAR($A31),'NY East Load Projections'!$A$4:$EO$14,((MONTH($A31)-1)*12)+VLOOKUP(N$4,$DE$6:$DF$17,2)+1))*(VLOOKUP($A31,CURVES!$D$9:$K$261,8))*(INDEX(DailyScalarsTable,N$5/100,MONTH($A31)))*$B31</f>
        <v>-57963.880535438519</v>
      </c>
      <c r="O31" s="1021">
        <f>(VLOOKUP(YEAR($A31),'NY East Load Projections'!$A$4:$EO$14,((MONTH($A31)-1)*12)+VLOOKUP(O$4,$DE$6:$DF$17,2)+1))*(VLOOKUP($A31,CURVES!$D$9:$K$261,4))*(INDEX(DailyScalarsTable,O$5/100,MONTH($A31)))*$B31</f>
        <v>-68467.565825231257</v>
      </c>
      <c r="P31" s="1021">
        <f>(VLOOKUP(YEAR($A31),'NY East Load Projections'!$A$4:$EO$14,((MONTH($A31)-1)*12)+VLOOKUP(P$4,$DE$6:$DF$17,2)+1))*(VLOOKUP($A31,CURVES!$D$9:$K$261,4))*(INDEX(DailyScalarsTable,P$5/100,MONTH($A31)))*$B31</f>
        <v>-74392.766106478637</v>
      </c>
      <c r="Q31" s="1021">
        <f>(VLOOKUP(YEAR($A31),'NY East Load Projections'!$A$4:$EO$14,((MONTH($A31)-1)*12)+VLOOKUP(Q$4,$DE$6:$DF$17,2)+1))*(VLOOKUP($A31,CURVES!$D$9:$K$261,4))*(INDEX(DailyScalarsTable,Q$5/100,MONTH($A31)))*$B31</f>
        <v>-74166.344407888988</v>
      </c>
      <c r="R31" s="1021">
        <f>(VLOOKUP(YEAR($A31),'NY East Load Projections'!$A$4:$EO$14,((MONTH($A31)-1)*12)+VLOOKUP(R$4,$DE$6:$DF$17,2)+1))*(VLOOKUP($A31,CURVES!$D$9:$K$261,4))*(INDEX(DailyScalarsTable,R$5/100,MONTH($A31)))*$B31</f>
        <v>-72872.044420991399</v>
      </c>
      <c r="S31" s="1021">
        <f>(VLOOKUP(YEAR($A31),'NY East Load Projections'!$A$4:$EO$14,((MONTH($A31)-1)*12)+VLOOKUP(S$4,$DE$6:$DF$17,2)+1))*(VLOOKUP($A31,CURVES!$D$9:$K$261,4))*(INDEX(DailyScalarsTable,S$5/100,MONTH($A31)))*$B31</f>
        <v>-54588.055933616277</v>
      </c>
      <c r="T31" s="1021">
        <f>(VLOOKUP(YEAR($A31),'NY East Load Projections'!$A$4:$EO$14,((MONTH($A31)-1)*12)+VLOOKUP(T$4,$DE$6:$DF$17,2)+1))*(VLOOKUP($A31,CURVES!$D$9:$K$261,4))*(INDEX(DailyScalarsTable,T$5/100,MONTH($A31)))*$B31</f>
        <v>-52704.401829923045</v>
      </c>
      <c r="U31" s="1021">
        <f>(VLOOKUP(YEAR($A31),'NY East Load Projections'!$A$4:$EO$14,((MONTH($A31)-1)*12)+VLOOKUP(U$4,$DE$6:$DF$17,2)+1))*(VLOOKUP($A31,CURVES!$D$9:$K$261,4))*(INDEX(DailyScalarsTable,U$5/100,MONTH($A31)))*$B31</f>
        <v>-51002.66868707574</v>
      </c>
      <c r="V31" s="1021">
        <f>(VLOOKUP(YEAR($A31),'NY East Load Projections'!$A$4:$EO$14,((MONTH($A31)-1)*12)+VLOOKUP(V$4,$DE$6:$DF$17,2)+1))*(VLOOKUP($A31,CURVES!$D$9:$K$261,4))*(INDEX(DailyScalarsTable,V$5/100,MONTH($A31)))*$B31</f>
        <v>-48406.909074254305</v>
      </c>
      <c r="W31" s="1021">
        <f>(VLOOKUP(YEAR($A31),'NY East Load Projections'!$A$4:$EO$14,((MONTH($A31)-1)*12)+VLOOKUP(W$4,$DE$6:$DF$17,2)+1))*(VLOOKUP($A31,CURVES!$D$9:$K$261,4))*(INDEX(DailyScalarsTable,W$5/100,MONTH($A31)))*$B31</f>
        <v>-47432.728506972155</v>
      </c>
      <c r="X31" s="1021">
        <f>(VLOOKUP(YEAR($A31),'NY East Load Projections'!$A$4:$EO$14,((MONTH($A31)-1)*12)+VLOOKUP(X$4,$DE$6:$DF$17,2)+1))*(VLOOKUP($A31,CURVES!$D$9:$K$261,4))*(INDEX(DailyScalarsTable,X$5/100,MONTH($A31)))*$B31</f>
        <v>-49792.223259635248</v>
      </c>
      <c r="Y31" s="1021">
        <f>(VLOOKUP(YEAR($A31),'NY East Load Projections'!$A$4:$EO$14,((MONTH($A31)-1)*12)+VLOOKUP(Y$4,$DE$6:$DF$17,2)+1))*(VLOOKUP($A31,CURVES!$D$9:$K$261,4))*(INDEX(DailyScalarsTable,Y$5/100,MONTH($A31)))*$B31</f>
        <v>-69283.715474074532</v>
      </c>
      <c r="Z31" s="1021">
        <f>(VLOOKUP(YEAR($A31),'NY East Load Projections'!$A$4:$EO$14,((MONTH($A31)-1)*12)+VLOOKUP(Z$4,$DE$6:$DF$17,2)+1))*(VLOOKUP($A31,CURVES!$D$9:$K$261,4))*(INDEX(DailyScalarsTable,Z$5/100,MONTH($A31)))*$B31</f>
        <v>-76022.64483552835</v>
      </c>
      <c r="AA31" s="1021">
        <f>(VLOOKUP(YEAR($A31),'NY East Load Projections'!$A$4:$EO$14,((MONTH($A31)-1)*12)+VLOOKUP(AA$4,$DE$6:$DF$17,2)+1))*(VLOOKUP($A31,CURVES!$D$9:$K$261,4))*(INDEX(DailyScalarsTable,AA$5/100,MONTH($A31)))*$B31</f>
        <v>-72766.862719833793</v>
      </c>
      <c r="AB31" s="1021">
        <f>(VLOOKUP(YEAR($A31),'NY East Load Projections'!$A$4:$EO$14,((MONTH($A31)-1)*12)+VLOOKUP(AB$4,$DE$6:$DF$17,2)+1))*(VLOOKUP($A31,CURVES!$D$9:$K$261,4))*(INDEX(DailyScalarsTable,AB$5/100,MONTH($A31)))*$B31</f>
        <v>-65581.311878653782</v>
      </c>
      <c r="AC31" s="1021">
        <f>(VLOOKUP(YEAR($A31),'NY East Load Projections'!$A$4:$EO$14,((MONTH($A31)-1)*12)+VLOOKUP(AC$4,$DE$6:$DF$17,2)+1))*(VLOOKUP($A31,CURVES!$D$9:$K$261,4))*(INDEX(DailyScalarsTable,AC$5/100,MONTH($A31)))*$B31</f>
        <v>-46642.947934614138</v>
      </c>
      <c r="AD31" s="1021">
        <f>(VLOOKUP(YEAR($A31),'NY East Load Projections'!$A$4:$EO$14,((MONTH($A31)-1)*12)+VLOOKUP(AD$4,$DE$6:$DF$17,2)+1))*(VLOOKUP($A31,CURVES!$D$9:$K$261,4))*(INDEX(DailyScalarsTable,AD$5/100,MONTH($A31)))*$B31</f>
        <v>-38183.058412693863</v>
      </c>
      <c r="AE31" s="1021">
        <f>(VLOOKUP(YEAR($A31),'NY East Load Projections'!$A$4:$EO$14,((MONTH($A31)-1)*12)+VLOOKUP(AE$4,$DE$6:$DF$17,2)+1))*(VLOOKUP($A31,CURVES!$D$9:$K$261,8))*(INDEX(DailyScalarsTable,AE$5/100,MONTH($A31)))*$B31</f>
        <v>-33270.715374243635</v>
      </c>
      <c r="AF31" s="1021"/>
      <c r="AG31" s="1021">
        <f>(VLOOKUP(YEAR($A31),'NY East Load Projections'!$A$4:$EO$14,((MONTH($A31)-1)*12)+VLOOKUP(AG$4,$DE$6:$DF$17,2)+1))*(VLOOKUP($A31,CURVES!$D$9:$T$261,8))*(INDEX(DailyScalarsTable,AG$5/100,MONTH($A31)))*$C31</f>
        <v>-6166.2255089390428</v>
      </c>
      <c r="AH31" s="1021">
        <f>(VLOOKUP(YEAR($A31),'NY East Load Projections'!$A$4:$EO$14,((MONTH($A31)-1)*12)+VLOOKUP(AH$4,$DE$6:$DF$17,2)+1))*(VLOOKUP($A31,CURVES!$D$9:$T$261,8))*(INDEX(DailyScalarsTable,AH$5/100,MONTH($A31)))*$C31</f>
        <v>-6046.0902568157999</v>
      </c>
      <c r="AI31" s="1021">
        <f>(VLOOKUP(YEAR($A31),'NY East Load Projections'!$A$4:$EO$14,((MONTH($A31)-1)*12)+VLOOKUP(AI$4,$DE$6:$DF$17,2)+1))*(VLOOKUP($A31,CURVES!$D$9:$T$261,8))*(INDEX(DailyScalarsTable,AI$5/100,MONTH($A31)))*$C31</f>
        <v>-5540.3382687023704</v>
      </c>
      <c r="AJ31" s="1021">
        <f>(VLOOKUP(YEAR($A31),'NY East Load Projections'!$A$4:$EO$14,((MONTH($A31)-1)*12)+VLOOKUP(AJ$4,$DE$6:$DF$17,2)+1))*(VLOOKUP($A31,CURVES!$D$9:$T$261,8))*(INDEX(DailyScalarsTable,AJ$5/100,MONTH($A31)))*$C31</f>
        <v>-5536.9884943003362</v>
      </c>
      <c r="AK31" s="1021">
        <f>(VLOOKUP(YEAR($A31),'NY East Load Projections'!$A$4:$EO$14,((MONTH($A31)-1)*12)+VLOOKUP(AK$4,$DE$6:$DF$17,2)+1))*(VLOOKUP($A31,CURVES!$D$9:$T$261,8))*(INDEX(DailyScalarsTable,AK$5/100,MONTH($A31)))*$C31</f>
        <v>-5787.2402812600749</v>
      </c>
      <c r="AL31" s="1021">
        <f>(VLOOKUP(YEAR($A31),'NY East Load Projections'!$A$4:$EO$14,((MONTH($A31)-1)*12)+VLOOKUP(AL$4,$DE$6:$DF$17,2)+1))*(VLOOKUP($A31,CURVES!$D$9:$T$261,8))*(INDEX(DailyScalarsTable,AL$5/100,MONTH($A31)))*$C31</f>
        <v>-6176.2467455290616</v>
      </c>
      <c r="AM31" s="1021">
        <f>(VLOOKUP(YEAR($A31),'NY East Load Projections'!$A$4:$EO$14,((MONTH($A31)-1)*12)+VLOOKUP(AM$4,$DE$6:$DF$17,2)+1))*(VLOOKUP($A31,CURVES!$D$9:$T$261,8))*(INDEX(DailyScalarsTable,AM$5/100,MONTH($A31)))*$C31</f>
        <v>-11827.437314329507</v>
      </c>
      <c r="AN31" s="1021">
        <f>(VLOOKUP(YEAR($A31),'NY East Load Projections'!$A$4:$EO$14,((MONTH($A31)-1)*12)+VLOOKUP(AN$4,$DE$6:$DF$17,2)+1))*(VLOOKUP($A31,SatSunCurve,4))*(INDEX(DailyScalarsTable,AN$5/100,MONTH($A31)))*$C31</f>
        <v>-10537.24478915906</v>
      </c>
      <c r="AO31" s="1021">
        <f>(VLOOKUP(YEAR($A31),'NY East Load Projections'!$A$4:$EO$14,((MONTH($A31)-1)*12)+VLOOKUP(AO$4,$DE$6:$DF$17,2)+1))*(VLOOKUP($A31,SatSunCurve,4))*(INDEX(DailyScalarsTable,AO$5/100,MONTH($A31)))*$C31</f>
        <v>-11653.337865068566</v>
      </c>
      <c r="AP31" s="1021">
        <f>(VLOOKUP(YEAR($A31),'NY East Load Projections'!$A$4:$EO$14,((MONTH($A31)-1)*12)+VLOOKUP(AP$4,$DE$6:$DF$17,2)+1))*(VLOOKUP($A31,SatSunCurve,4))*(INDEX(DailyScalarsTable,AP$5/100,MONTH($A31)))*$C31</f>
        <v>-11617.869785418572</v>
      </c>
      <c r="AQ31" s="1021">
        <f>(VLOOKUP(YEAR($A31),'NY East Load Projections'!$A$4:$EO$14,((MONTH($A31)-1)*12)+VLOOKUP(AQ$4,$DE$6:$DF$17,2)+1))*(VLOOKUP($A31,SatSunCurve,4))*(INDEX(DailyScalarsTable,AQ$5/100,MONTH($A31)))*$C31</f>
        <v>-11415.122719601941</v>
      </c>
      <c r="AR31" s="1021">
        <f>(VLOOKUP(YEAR($A31),'NY East Load Projections'!$A$4:$EO$14,((MONTH($A31)-1)*12)+VLOOKUP(AR$4,$DE$6:$DF$17,2)+1))*(VLOOKUP($A31,SatSunCurve,4))*(INDEX(DailyScalarsTable,AR$5/100,MONTH($A31)))*$C31</f>
        <v>-8551.0069390509252</v>
      </c>
      <c r="AS31" s="1021">
        <f>(VLOOKUP(YEAR($A31),'NY East Load Projections'!$A$4:$EO$14,((MONTH($A31)-1)*12)+VLOOKUP(AS$4,$DE$6:$DF$17,2)+1))*(VLOOKUP($A31,SatSunCurve,4))*(INDEX(DailyScalarsTable,AS$5/100,MONTH($A31)))*$C31</f>
        <v>-8128.4287377940973</v>
      </c>
      <c r="AT31" s="1021">
        <f>(VLOOKUP(YEAR($A31),'NY East Load Projections'!$A$4:$EO$14,((MONTH($A31)-1)*12)+VLOOKUP(AT$4,$DE$6:$DF$17,2)+1))*(VLOOKUP($A31,SatSunCurve,4))*(INDEX(DailyScalarsTable,AT$5/100,MONTH($A31)))*$C31</f>
        <v>-7865.9759615152989</v>
      </c>
      <c r="AU31" s="1021">
        <f>(VLOOKUP(YEAR($A31),'NY East Load Projections'!$A$4:$EO$14,((MONTH($A31)-1)*12)+VLOOKUP(AU$4,$DE$6:$DF$17,2)+1))*(VLOOKUP($A31,SatSunCurve,4))*(INDEX(DailyScalarsTable,AU$5/100,MONTH($A31)))*$C31</f>
        <v>-7465.6403861045219</v>
      </c>
      <c r="AV31" s="1021">
        <f>(VLOOKUP(YEAR($A31),'NY East Load Projections'!$A$4:$EO$14,((MONTH($A31)-1)*12)+VLOOKUP(AV$4,$DE$6:$DF$17,2)+1))*(VLOOKUP($A31,SatSunCurve,4))*(INDEX(DailyScalarsTable,AV$5/100,MONTH($A31)))*$C31</f>
        <v>-7315.3956808434705</v>
      </c>
      <c r="AW31" s="1021">
        <f>(VLOOKUP(YEAR($A31),'NY East Load Projections'!$A$4:$EO$14,((MONTH($A31)-1)*12)+VLOOKUP(AW$4,$DE$6:$DF$17,2)+1))*(VLOOKUP($A31,SatSunCurve,4))*(INDEX(DailyScalarsTable,AW$5/100,MONTH($A31)))*$C31</f>
        <v>-7757.7693850210708</v>
      </c>
      <c r="AX31" s="1021">
        <f>(VLOOKUP(YEAR($A31),'NY East Load Projections'!$A$4:$EO$14,((MONTH($A31)-1)*12)+VLOOKUP(AX$4,$DE$6:$DF$17,2)+1))*(VLOOKUP($A31,SatSunCurve,4))*(INDEX(DailyScalarsTable,AX$5/100,MONTH($A31)))*$C31</f>
        <v>-10794.599067863017</v>
      </c>
      <c r="AY31" s="1021">
        <f>(VLOOKUP(YEAR($A31),'NY East Load Projections'!$A$4:$EO$14,((MONTH($A31)-1)*12)+VLOOKUP(AY$4,$DE$6:$DF$17,2)+1))*(VLOOKUP($A31,SatSunCurve,4))*(INDEX(DailyScalarsTable,AY$5/100,MONTH($A31)))*$C31</f>
        <v>-11844.543345617069</v>
      </c>
      <c r="AZ31" s="1021">
        <f>(VLOOKUP(YEAR($A31),'NY East Load Projections'!$A$4:$EO$14,((MONTH($A31)-1)*12)+VLOOKUP(AZ$4,$DE$6:$DF$17,2)+1))*(VLOOKUP($A31,SatSunCurve,4))*(INDEX(DailyScalarsTable,AZ$5/100,MONTH($A31)))*$C31</f>
        <v>-11337.283272297349</v>
      </c>
      <c r="BA31" s="1021">
        <f>(VLOOKUP(YEAR($A31),'NY East Load Projections'!$A$4:$EO$14,((MONTH($A31)-1)*12)+VLOOKUP(BA$4,$DE$6:$DF$17,2)+1))*(VLOOKUP($A31,SatSunCurve,4))*(INDEX(DailyScalarsTable,BA$5/100,MONTH($A31)))*$C31</f>
        <v>-10527.58966077775</v>
      </c>
      <c r="BB31" s="1021">
        <f>(VLOOKUP(YEAR($A31),'NY East Load Projections'!$A$4:$EO$14,((MONTH($A31)-1)*12)+VLOOKUP(BB$4,$DE$6:$DF$17,2)+1))*(VLOOKUP($A31,SatSunCurve,4))*(INDEX(DailyScalarsTable,BB$5/100,MONTH($A31)))*$C31</f>
        <v>-7487.4655958882677</v>
      </c>
      <c r="BC31" s="1021">
        <f>(VLOOKUP(YEAR($A31),'NY East Load Projections'!$A$4:$EO$14,((MONTH($A31)-1)*12)+VLOOKUP(BC$4,$DE$6:$DF$17,2)+1))*(VLOOKUP($A31,SatSunCurve,4))*(INDEX(DailyScalarsTable,BC$5/100,MONTH($A31)))*$C31</f>
        <v>-6129.422535891491</v>
      </c>
      <c r="BD31" s="1021">
        <f>(VLOOKUP(YEAR($A31),'NY East Load Projections'!$A$4:$EO$14,((MONTH($A31)-1)*12)+VLOOKUP(BD$4,$DE$6:$DF$17,2)+1))*(VLOOKUP($A31,CURVES!$D$9:$T$261,8))*(INDEX(DailyScalarsTable,BD$5/100,MONTH($A31)))*$C31</f>
        <v>-7081.120892973021</v>
      </c>
      <c r="BE31" s="1021"/>
      <c r="BF31" s="1021">
        <f>(VLOOKUP(YEAR($A31),'NY East Load Projections'!$A$4:$EO$14,((MONTH($A31)-1)*12)+VLOOKUP(BF$4,$DE$6:$DF$17,2)+1))*(VLOOKUP($A31,CURVES!$D$9:$T$261,8))*(INDEX(DailyScalarsTable,BF$5/100,MONTH($A31)))*$D31</f>
        <v>-6166.2255089390428</v>
      </c>
      <c r="BG31" s="1021">
        <f>(VLOOKUP(YEAR($A31),'NY East Load Projections'!$A$4:$EO$14,((MONTH($A31)-1)*12)+VLOOKUP(BG$4,$DE$6:$DF$17,2)+1))*(VLOOKUP($A31,CURVES!$D$9:$T$261,8))*(INDEX(DailyScalarsTable,BG$5/100,MONTH($A31)))*$D31</f>
        <v>-6046.0902568157999</v>
      </c>
      <c r="BH31" s="1021">
        <f>(VLOOKUP(YEAR($A31),'NY East Load Projections'!$A$4:$EO$14,((MONTH($A31)-1)*12)+VLOOKUP(BH$4,$DE$6:$DF$17,2)+1))*(VLOOKUP($A31,CURVES!$D$9:$T$261,8))*(INDEX(DailyScalarsTable,BH$5/100,MONTH($A31)))*$D31</f>
        <v>-5540.3382687023704</v>
      </c>
      <c r="BI31" s="1021">
        <f>(VLOOKUP(YEAR($A31),'NY East Load Projections'!$A$4:$EO$14,((MONTH($A31)-1)*12)+VLOOKUP(BI$4,$DE$6:$DF$17,2)+1))*(VLOOKUP($A31,CURVES!$D$9:$T$261,8))*(INDEX(DailyScalarsTable,BI$5/100,MONTH($A31)))*$D31</f>
        <v>-5536.9884943003362</v>
      </c>
      <c r="BJ31" s="1021">
        <f>(VLOOKUP(YEAR($A31),'NY East Load Projections'!$A$4:$EO$14,((MONTH($A31)-1)*12)+VLOOKUP(BJ$4,$DE$6:$DF$17,2)+1))*(VLOOKUP($A31,CURVES!$D$9:$T$261,8))*(INDEX(DailyScalarsTable,BJ$5/100,MONTH($A31)))*$D31</f>
        <v>-5787.2402812600749</v>
      </c>
      <c r="BK31" s="1021">
        <f>(VLOOKUP(YEAR($A31),'NY East Load Projections'!$A$4:$EO$14,((MONTH($A31)-1)*12)+VLOOKUP(BK$4,$DE$6:$DF$17,2)+1))*(VLOOKUP($A31,CURVES!$D$9:$T$261,8))*(INDEX(DailyScalarsTable,BK$5/100,MONTH($A31)))*$D31</f>
        <v>-6176.2467455290616</v>
      </c>
      <c r="BL31" s="1021">
        <f>(VLOOKUP(YEAR($A31),'NY East Load Projections'!$A$4:$EO$14,((MONTH($A31)-1)*12)+VLOOKUP(BL$4,$DE$6:$DF$17,2)+1))*(VLOOKUP($A31,CURVES!$D$9:$T$261,8))*(INDEX(DailyScalarsTable,BL$5/100,MONTH($A31)))*$D31</f>
        <v>-11827.437314329507</v>
      </c>
      <c r="BM31" s="1021">
        <f>(VLOOKUP(YEAR($A31),'NY East Load Projections'!$A$4:$EO$14,((MONTH($A31)-1)*12)+VLOOKUP(BM$4,$DE$6:$DF$17,2)+1))*(VLOOKUP($A31,SatSunCurve,8))*(INDEX(DailyScalarsTable,BM$5/100,MONTH($A31)))*$D31</f>
        <v>-10612.320711343802</v>
      </c>
      <c r="BN31" s="1021">
        <f>(VLOOKUP(YEAR($A31),'NY East Load Projections'!$A$4:$EO$14,((MONTH($A31)-1)*12)+VLOOKUP(BN$4,$DE$6:$DF$17,2)+1))*(VLOOKUP($A31,SatSunCurve,8))*(INDEX(DailyScalarsTable,BN$5/100,MONTH($A31)))*$D31</f>
        <v>-11736.365744201687</v>
      </c>
      <c r="BO31" s="1021">
        <f>(VLOOKUP(YEAR($A31),'NY East Load Projections'!$A$4:$EO$14,((MONTH($A31)-1)*12)+VLOOKUP(BO$4,$DE$6:$DF$17,2)+1))*(VLOOKUP($A31,SatSunCurve,8))*(INDEX(DailyScalarsTable,BO$5/100,MONTH($A31)))*$D31</f>
        <v>-11700.644961037526</v>
      </c>
      <c r="BP31" s="1021">
        <f>(VLOOKUP(YEAR($A31),'NY East Load Projections'!$A$4:$EO$14,((MONTH($A31)-1)*12)+VLOOKUP(BP$4,$DE$6:$DF$17,2)+1))*(VLOOKUP($A31,SatSunCurve,8))*(INDEX(DailyScalarsTable,BP$5/100,MONTH($A31)))*$D31</f>
        <v>-11496.453359837975</v>
      </c>
      <c r="BQ31" s="1021">
        <f>(VLOOKUP(YEAR($A31),'NY East Load Projections'!$A$4:$EO$14,((MONTH($A31)-1)*12)+VLOOKUP(BQ$4,$DE$6:$DF$17,2)+1))*(VLOOKUP($A31,SatSunCurve,8))*(INDEX(DailyScalarsTable,BQ$5/100,MONTH($A31)))*$D31</f>
        <v>-8611.9312835454057</v>
      </c>
      <c r="BR31" s="1021">
        <f>(VLOOKUP(YEAR($A31),'NY East Load Projections'!$A$4:$EO$14,((MONTH($A31)-1)*12)+VLOOKUP(BR$4,$DE$6:$DF$17,2)+1))*(VLOOKUP($A31,SatSunCurve,8))*(INDEX(DailyScalarsTable,BR$5/100,MONTH($A31)))*$D31</f>
        <v>-8186.3422906832429</v>
      </c>
      <c r="BS31" s="1021">
        <f>(VLOOKUP(YEAR($A31),'NY East Load Projections'!$A$4:$EO$14,((MONTH($A31)-1)*12)+VLOOKUP(BS$4,$DE$6:$DF$17,2)+1))*(VLOOKUP($A31,SatSunCurve,8))*(INDEX(DailyScalarsTable,BS$5/100,MONTH($A31)))*$D31</f>
        <v>-7922.0195868661431</v>
      </c>
      <c r="BT31" s="1021">
        <f>(VLOOKUP(YEAR($A31),'NY East Load Projections'!$A$4:$EO$14,((MONTH($A31)-1)*12)+VLOOKUP(BT$4,$DE$6:$DF$17,2)+1))*(VLOOKUP($A31,SatSunCurve,8))*(INDEX(DailyScalarsTable,BT$5/100,MONTH($A31)))*$D31</f>
        <v>-7518.8316944494791</v>
      </c>
      <c r="BU31" s="1021">
        <f>(VLOOKUP(YEAR($A31),'NY East Load Projections'!$A$4:$EO$14,((MONTH($A31)-1)*12)+VLOOKUP(BU$4,$DE$6:$DF$17,2)+1))*(VLOOKUP($A31,SatSunCurve,8))*(INDEX(DailyScalarsTable,BU$5/100,MONTH($A31)))*$D31</f>
        <v>-7367.5165234237465</v>
      </c>
      <c r="BV31" s="1021">
        <f>(VLOOKUP(YEAR($A31),'NY East Load Projections'!$A$4:$EO$14,((MONTH($A31)-1)*12)+VLOOKUP(BV$4,$DE$6:$DF$17,2)+1))*(VLOOKUP($A31,SatSunCurve,8))*(INDEX(DailyScalarsTable,BV$5/100,MONTH($A31)))*$D31</f>
        <v>-7813.042058507428</v>
      </c>
      <c r="BW31" s="1021">
        <f>(VLOOKUP(YEAR($A31),'NY East Load Projections'!$A$4:$EO$14,((MONTH($A31)-1)*12)+VLOOKUP(BW$4,$DE$6:$DF$17,2)+1))*(VLOOKUP($A31,SatSunCurve,8))*(INDEX(DailyScalarsTable,BW$5/100,MONTH($A31)))*$D31</f>
        <v>-10871.508591732876</v>
      </c>
      <c r="BX31" s="1021">
        <f>(VLOOKUP(YEAR($A31),'NY East Load Projections'!$A$4:$EO$14,((MONTH($A31)-1)*12)+VLOOKUP(BX$4,$DE$6:$DF$17,2)+1))*(VLOOKUP($A31,SatSunCurve,8))*(INDEX(DailyScalarsTable,BX$5/100,MONTH($A31)))*$D31</f>
        <v>-11928.933528470579</v>
      </c>
      <c r="BY31" s="1021">
        <f>(VLOOKUP(YEAR($A31),'NY East Load Projections'!$A$4:$EO$14,((MONTH($A31)-1)*12)+VLOOKUP(BY$4,$DE$6:$DF$17,2)+1))*(VLOOKUP($A31,SatSunCurve,8))*(INDEX(DailyScalarsTable,BY$5/100,MONTH($A31)))*$D31</f>
        <v>-11418.059320853519</v>
      </c>
      <c r="BZ31" s="1021">
        <f>(VLOOKUP(YEAR($A31),'NY East Load Projections'!$A$4:$EO$14,((MONTH($A31)-1)*12)+VLOOKUP(BZ$4,$DE$6:$DF$17,2)+1))*(VLOOKUP($A31,SatSunCurve,8))*(INDEX(DailyScalarsTable,BZ$5/100,MONTH($A31)))*$D31</f>
        <v>-10602.596791956727</v>
      </c>
      <c r="CA31" s="1021">
        <f>(VLOOKUP(YEAR($A31),'NY East Load Projections'!$A$4:$EO$14,((MONTH($A31)-1)*12)+VLOOKUP(CA$4,$DE$6:$DF$17,2)+1))*(VLOOKUP($A31,SatSunCurve,8))*(INDEX(DailyScalarsTable,CA$5/100,MONTH($A31)))*$D31</f>
        <v>-7540.812404820349</v>
      </c>
      <c r="CB31" s="1021">
        <f>(VLOOKUP(YEAR($A31),'NY East Load Projections'!$A$4:$EO$14,((MONTH($A31)-1)*12)+VLOOKUP(CB$4,$DE$6:$DF$17,2)+1))*(VLOOKUP($A31,SatSunCurve,8))*(INDEX(DailyScalarsTable,CB$5/100,MONTH($A31)))*$D31</f>
        <v>-6173.0935389430124</v>
      </c>
      <c r="CC31" s="1021">
        <f>(VLOOKUP(YEAR($A31),'NY East Load Projections'!$A$4:$EO$14,((MONTH($A31)-1)*12)+VLOOKUP(CC$4,$DE$6:$DF$17,2)+1))*(VLOOKUP($A31,CURVES!$D$9:$T$261,8))*(INDEX(DailyScalarsTable,CC$5/100,MONTH($A31)))*$D31</f>
        <v>-7081.120892973021</v>
      </c>
      <c r="CE31" s="1021">
        <f>(VLOOKUP(YEAR($A31),'NY East Load Projections'!$A$4:$EO$14,((MONTH($A31)-1)*12)+VLOOKUP(CE$4,$DE$6:$DF$17,2)+1))*(VLOOKUP($A31,CURVES!$D$9:$T$261,8))*(INDEX(DailyScalarsTable,CE$5/100,MONTH($A31)))*$E31</f>
        <v>0</v>
      </c>
      <c r="CF31" s="1021">
        <f>(VLOOKUP(YEAR($A31),'NY East Load Projections'!$A$4:$EO$14,((MONTH($A31)-1)*12)+VLOOKUP(CF$4,$DE$6:$DF$17,2)+1))*(VLOOKUP($A31,CURVES!$D$9:$T$261,8))*(INDEX(DailyScalarsTable,CF$5/100,MONTH($A31)))*$E31</f>
        <v>0</v>
      </c>
      <c r="CG31" s="1021">
        <f>(VLOOKUP(YEAR($A31),'NY East Load Projections'!$A$4:$EO$14,((MONTH($A31)-1)*12)+VLOOKUP(CG$4,$DE$6:$DF$17,2)+1))*(VLOOKUP($A31,CURVES!$D$9:$T$261,8))*(INDEX(DailyScalarsTable,CG$5/100,MONTH($A31)))*$E31</f>
        <v>0</v>
      </c>
      <c r="CH31" s="1021">
        <f>(VLOOKUP(YEAR($A31),'NY East Load Projections'!$A$4:$EO$14,((MONTH($A31)-1)*12)+VLOOKUP(CH$4,$DE$6:$DF$17,2)+1))*(VLOOKUP($A31,CURVES!$D$9:$T$261,8))*(INDEX(DailyScalarsTable,CH$5/100,MONTH($A31)))*$E31</f>
        <v>0</v>
      </c>
      <c r="CI31" s="1021">
        <f>(VLOOKUP(YEAR($A31),'NY East Load Projections'!$A$4:$EO$14,((MONTH($A31)-1)*12)+VLOOKUP(CI$4,$DE$6:$DF$17,2)+1))*(VLOOKUP($A31,CURVES!$D$9:$T$261,8))*(INDEX(DailyScalarsTable,CI$5/100,MONTH($A31)))*$E31</f>
        <v>0</v>
      </c>
      <c r="CJ31" s="1021">
        <f>(VLOOKUP(YEAR($A31),'NY East Load Projections'!$A$4:$EO$14,((MONTH($A31)-1)*12)+VLOOKUP(CJ$4,$DE$6:$DF$17,2)+1))*(VLOOKUP($A31,CURVES!$D$9:$T$261,8))*(INDEX(DailyScalarsTable,CJ$5/100,MONTH($A31)))*$E31</f>
        <v>0</v>
      </c>
      <c r="CK31" s="1021">
        <f>(VLOOKUP(YEAR($A31),'NY East Load Projections'!$A$4:$EO$14,((MONTH($A31)-1)*12)+VLOOKUP(CK$4,$DE$6:$DF$17,2)+1))*(VLOOKUP($A31,CURVES!$D$9:$T$261,8))*(INDEX(DailyScalarsTable,CK$5/100,MONTH($A31)))*$E31</f>
        <v>0</v>
      </c>
      <c r="CL31" s="1021">
        <f>(VLOOKUP(YEAR($A31),'NY East Load Projections'!$A$4:$EO$14,((MONTH($A31)-1)*12)+VLOOKUP(CL$4,$DE$6:$DF$17,2)+1))*(VLOOKUP($A31,SatSunCurve,8))*(INDEX(DailyScalarsTable,CL$5/100,MONTH($A31)))*$E31</f>
        <v>0</v>
      </c>
      <c r="CM31" s="1021">
        <f>(VLOOKUP(YEAR($A31),'NY East Load Projections'!$A$4:$EO$14,((MONTH($A31)-1)*12)+VLOOKUP(CM$4,$DE$6:$DF$17,2)+1))*(VLOOKUP($A31,SatSunCurve,8))*(INDEX(DailyScalarsTable,CM$5/100,MONTH($A31)))*$E31</f>
        <v>0</v>
      </c>
      <c r="CN31" s="1021">
        <f>(VLOOKUP(YEAR($A31),'NY East Load Projections'!$A$4:$EO$14,((MONTH($A31)-1)*12)+VLOOKUP(CN$4,$DE$6:$DF$17,2)+1))*(VLOOKUP($A31,SatSunCurve,8))*(INDEX(DailyScalarsTable,CN$5/100,MONTH($A31)))*$E31</f>
        <v>0</v>
      </c>
      <c r="CO31" s="1021">
        <f>(VLOOKUP(YEAR($A31),'NY East Load Projections'!$A$4:$EO$14,((MONTH($A31)-1)*12)+VLOOKUP(CO$4,$DE$6:$DF$17,2)+1))*(VLOOKUP($A31,SatSunCurve,8))*(INDEX(DailyScalarsTable,CO$5/100,MONTH($A31)))*$E31</f>
        <v>0</v>
      </c>
      <c r="CP31" s="1021">
        <f>(VLOOKUP(YEAR($A31),'NY East Load Projections'!$A$4:$EO$14,((MONTH($A31)-1)*12)+VLOOKUP(CP$4,$DE$6:$DF$17,2)+1))*(VLOOKUP($A31,SatSunCurve,8))*(INDEX(DailyScalarsTable,CP$5/100,MONTH($A31)))*$E31</f>
        <v>0</v>
      </c>
      <c r="CQ31" s="1021">
        <f>(VLOOKUP(YEAR($A31),'NY East Load Projections'!$A$4:$EO$14,((MONTH($A31)-1)*12)+VLOOKUP(CQ$4,$DE$6:$DF$17,2)+1))*(VLOOKUP($A31,SatSunCurve,8))*(INDEX(DailyScalarsTable,CQ$5/100,MONTH($A31)))*$E31</f>
        <v>0</v>
      </c>
      <c r="CR31" s="1021">
        <f>(VLOOKUP(YEAR($A31),'NY East Load Projections'!$A$4:$EO$14,((MONTH($A31)-1)*12)+VLOOKUP(CR$4,$DE$6:$DF$17,2)+1))*(VLOOKUP($A31,SatSunCurve,8))*(INDEX(DailyScalarsTable,CR$5/100,MONTH($A31)))*$E31</f>
        <v>0</v>
      </c>
      <c r="CS31" s="1021">
        <f>(VLOOKUP(YEAR($A31),'NY East Load Projections'!$A$4:$EO$14,((MONTH($A31)-1)*12)+VLOOKUP(CS$4,$DE$6:$DF$17,2)+1))*(VLOOKUP($A31,SatSunCurve,8))*(INDEX(DailyScalarsTable,CS$5/100,MONTH($A31)))*$E31</f>
        <v>0</v>
      </c>
      <c r="CT31" s="1021">
        <f>(VLOOKUP(YEAR($A31),'NY East Load Projections'!$A$4:$EO$14,((MONTH($A31)-1)*12)+VLOOKUP(CT$4,$DE$6:$DF$17,2)+1))*(VLOOKUP($A31,SatSunCurve,8))*(INDEX(DailyScalarsTable,CT$5/100,MONTH($A31)))*$E31</f>
        <v>0</v>
      </c>
      <c r="CU31" s="1021">
        <f>(VLOOKUP(YEAR($A31),'NY East Load Projections'!$A$4:$EO$14,((MONTH($A31)-1)*12)+VLOOKUP(CU$4,$DE$6:$DF$17,2)+1))*(VLOOKUP($A31,SatSunCurve,8))*(INDEX(DailyScalarsTable,CU$5/100,MONTH($A31)))*$E31</f>
        <v>0</v>
      </c>
      <c r="CV31" s="1021">
        <f>(VLOOKUP(YEAR($A31),'NY East Load Projections'!$A$4:$EO$14,((MONTH($A31)-1)*12)+VLOOKUP(CV$4,$DE$6:$DF$17,2)+1))*(VLOOKUP($A31,SatSunCurve,8))*(INDEX(DailyScalarsTable,CV$5/100,MONTH($A31)))*$E31</f>
        <v>0</v>
      </c>
      <c r="CW31" s="1021">
        <f>(VLOOKUP(YEAR($A31),'NY East Load Projections'!$A$4:$EO$14,((MONTH($A31)-1)*12)+VLOOKUP(CW$4,$DE$6:$DF$17,2)+1))*(VLOOKUP($A31,SatSunCurve,8))*(INDEX(DailyScalarsTable,CW$5/100,MONTH($A31)))*$E31</f>
        <v>0</v>
      </c>
      <c r="CX31" s="1021">
        <f>(VLOOKUP(YEAR($A31),'NY East Load Projections'!$A$4:$EO$14,((MONTH($A31)-1)*12)+VLOOKUP(CX$4,$DE$6:$DF$17,2)+1))*(VLOOKUP($A31,SatSunCurve,8))*(INDEX(DailyScalarsTable,CX$5/100,MONTH($A31)))*$E31</f>
        <v>0</v>
      </c>
      <c r="CY31" s="1021">
        <f>(VLOOKUP(YEAR($A31),'NY East Load Projections'!$A$4:$EO$14,((MONTH($A31)-1)*12)+VLOOKUP(CY$4,$DE$6:$DF$17,2)+1))*(VLOOKUP($A31,SatSunCurve,8))*(INDEX(DailyScalarsTable,CY$5/100,MONTH($A31)))*$E31</f>
        <v>0</v>
      </c>
      <c r="CZ31" s="1021">
        <f>(VLOOKUP(YEAR($A31),'NY East Load Projections'!$A$4:$EO$14,((MONTH($A31)-1)*12)+VLOOKUP(CZ$4,$DE$6:$DF$17,2)+1))*(VLOOKUP($A31,SatSunCurve,8))*(INDEX(DailyScalarsTable,CZ$5/100,MONTH($A31)))*$E31</f>
        <v>0</v>
      </c>
      <c r="DA31" s="1021">
        <f>(VLOOKUP(YEAR($A31),'NY East Load Projections'!$A$4:$EO$14,((MONTH($A31)-1)*12)+VLOOKUP(DA$4,$DE$6:$DF$17,2)+1))*(VLOOKUP($A31,SatSunCurve,8))*(INDEX(DailyScalarsTable,DA$5/100,MONTH($A31)))*$E31</f>
        <v>0</v>
      </c>
      <c r="DB31" s="1021">
        <f>(VLOOKUP(YEAR($A31),'NY East Load Projections'!$A$4:$EO$14,((MONTH($A31)-1)*12)+VLOOKUP(DB$4,$DE$6:$DF$17,2)+1))*(VLOOKUP($A31,CURVES!$D$9:$T$261,8))*(INDEX(DailyScalarsTable,DB$5/100,MONTH($A31)))*$E31</f>
        <v>0</v>
      </c>
      <c r="DH31" s="1021">
        <f t="shared" si="0"/>
        <v>-1631014.7359116124</v>
      </c>
      <c r="DI31">
        <f ca="1">CALC!J51</f>
        <v>0.80634639570016642</v>
      </c>
      <c r="DJ31" s="1029">
        <f t="shared" ca="1" si="1"/>
        <v>-1315162.8536361875</v>
      </c>
    </row>
    <row r="32" spans="1:114" x14ac:dyDescent="0.25">
      <c r="A32" s="244">
        <v>37681</v>
      </c>
      <c r="B32" s="13">
        <v>21</v>
      </c>
      <c r="C32" s="210">
        <v>5</v>
      </c>
      <c r="D32" s="210">
        <v>5</v>
      </c>
      <c r="E32" s="210">
        <v>0</v>
      </c>
      <c r="F32" s="13">
        <v>31</v>
      </c>
      <c r="H32" s="1021">
        <f>(VLOOKUP(YEAR($A32),'NY East Load Projections'!$A$4:$EO$14,((MONTH($A32)-1)*12)+VLOOKUP(H$4,$DE$6:$DF$17,2)+1))*(VLOOKUP($A32,CURVES!$D$9:$K$261,8))*(INDEX(DailyScalarsTable,H$5/100,MONTH($A32)))*$B32</f>
        <v>-25728.461580868523</v>
      </c>
      <c r="I32" s="1021">
        <f>(VLOOKUP(YEAR($A32),'NY East Load Projections'!$A$4:$EO$14,((MONTH($A32)-1)*12)+VLOOKUP(I$4,$DE$6:$DF$17,2)+1))*(VLOOKUP($A32,CURVES!$D$9:$K$261,8))*(INDEX(DailyScalarsTable,I$5/100,MONTH($A32)))*$B32</f>
        <v>-24327.401643070421</v>
      </c>
      <c r="J32" s="1021">
        <f>(VLOOKUP(YEAR($A32),'NY East Load Projections'!$A$4:$EO$14,((MONTH($A32)-1)*12)+VLOOKUP(J$4,$DE$6:$DF$17,2)+1))*(VLOOKUP($A32,CURVES!$D$9:$K$261,8))*(INDEX(DailyScalarsTable,J$5/100,MONTH($A32)))*$B32</f>
        <v>-23290.604846293965</v>
      </c>
      <c r="K32" s="1021">
        <f>(VLOOKUP(YEAR($A32),'NY East Load Projections'!$A$4:$EO$14,((MONTH($A32)-1)*12)+VLOOKUP(K$4,$DE$6:$DF$17,2)+1))*(VLOOKUP($A32,CURVES!$D$9:$K$261,8))*(INDEX(DailyScalarsTable,K$5/100,MONTH($A32)))*$B32</f>
        <v>-23305.225143158215</v>
      </c>
      <c r="L32" s="1021">
        <f>(VLOOKUP(YEAR($A32),'NY East Load Projections'!$A$4:$EO$14,((MONTH($A32)-1)*12)+VLOOKUP(L$4,$DE$6:$DF$17,2)+1))*(VLOOKUP($A32,CURVES!$D$9:$K$261,8))*(INDEX(DailyScalarsTable,L$5/100,MONTH($A32)))*$B32</f>
        <v>-26850.756404282223</v>
      </c>
      <c r="M32" s="1021">
        <f>(VLOOKUP(YEAR($A32),'NY East Load Projections'!$A$4:$EO$14,((MONTH($A32)-1)*12)+VLOOKUP(M$4,$DE$6:$DF$17,2)+1))*(VLOOKUP($A32,CURVES!$D$9:$K$261,8))*(INDEX(DailyScalarsTable,M$5/100,MONTH($A32)))*$B32</f>
        <v>-31167.641277101069</v>
      </c>
      <c r="N32" s="1021">
        <f>(VLOOKUP(YEAR($A32),'NY East Load Projections'!$A$4:$EO$14,((MONTH($A32)-1)*12)+VLOOKUP(N$4,$DE$6:$DF$17,2)+1))*(VLOOKUP($A32,CURVES!$D$9:$K$261,8))*(INDEX(DailyScalarsTable,N$5/100,MONTH($A32)))*$B32</f>
        <v>-56238.478953558704</v>
      </c>
      <c r="O32" s="1021">
        <f>(VLOOKUP(YEAR($A32),'NY East Load Projections'!$A$4:$EO$14,((MONTH($A32)-1)*12)+VLOOKUP(O$4,$DE$6:$DF$17,2)+1))*(VLOOKUP($A32,CURVES!$D$9:$K$261,4))*(INDEX(DailyScalarsTable,O$5/100,MONTH($A32)))*$B32</f>
        <v>-59848.50376518727</v>
      </c>
      <c r="P32" s="1021">
        <f>(VLOOKUP(YEAR($A32),'NY East Load Projections'!$A$4:$EO$14,((MONTH($A32)-1)*12)+VLOOKUP(P$4,$DE$6:$DF$17,2)+1))*(VLOOKUP($A32,CURVES!$D$9:$K$261,4))*(INDEX(DailyScalarsTable,P$5/100,MONTH($A32)))*$B32</f>
        <v>-66075.583326103981</v>
      </c>
      <c r="Q32" s="1021">
        <f>(VLOOKUP(YEAR($A32),'NY East Load Projections'!$A$4:$EO$14,((MONTH($A32)-1)*12)+VLOOKUP(Q$4,$DE$6:$DF$17,2)+1))*(VLOOKUP($A32,CURVES!$D$9:$K$261,4))*(INDEX(DailyScalarsTable,Q$5/100,MONTH($A32)))*$B32</f>
        <v>-65875.657204088522</v>
      </c>
      <c r="R32" s="1021">
        <f>(VLOOKUP(YEAR($A32),'NY East Load Projections'!$A$4:$EO$14,((MONTH($A32)-1)*12)+VLOOKUP(R$4,$DE$6:$DF$17,2)+1))*(VLOOKUP($A32,CURVES!$D$9:$K$261,4))*(INDEX(DailyScalarsTable,R$5/100,MONTH($A32)))*$B32</f>
        <v>-64714.974995721102</v>
      </c>
      <c r="S32" s="1021">
        <f>(VLOOKUP(YEAR($A32),'NY East Load Projections'!$A$4:$EO$14,((MONTH($A32)-1)*12)+VLOOKUP(S$4,$DE$6:$DF$17,2)+1))*(VLOOKUP($A32,CURVES!$D$9:$K$261,4))*(INDEX(DailyScalarsTable,S$5/100,MONTH($A32)))*$B32</f>
        <v>-49448.394178486291</v>
      </c>
      <c r="T32" s="1021">
        <f>(VLOOKUP(YEAR($A32),'NY East Load Projections'!$A$4:$EO$14,((MONTH($A32)-1)*12)+VLOOKUP(T$4,$DE$6:$DF$17,2)+1))*(VLOOKUP($A32,CURVES!$D$9:$K$261,4))*(INDEX(DailyScalarsTable,T$5/100,MONTH($A32)))*$B32</f>
        <v>-48631.542924149369</v>
      </c>
      <c r="U32" s="1021">
        <f>(VLOOKUP(YEAR($A32),'NY East Load Projections'!$A$4:$EO$14,((MONTH($A32)-1)*12)+VLOOKUP(U$4,$DE$6:$DF$17,2)+1))*(VLOOKUP($A32,CURVES!$D$9:$K$261,4))*(INDEX(DailyScalarsTable,U$5/100,MONTH($A32)))*$B32</f>
        <v>-47079.472405293542</v>
      </c>
      <c r="V32" s="1021">
        <f>(VLOOKUP(YEAR($A32),'NY East Load Projections'!$A$4:$EO$14,((MONTH($A32)-1)*12)+VLOOKUP(V$4,$DE$6:$DF$17,2)+1))*(VLOOKUP($A32,CURVES!$D$9:$K$261,4))*(INDEX(DailyScalarsTable,V$5/100,MONTH($A32)))*$B32</f>
        <v>-44712.002519647511</v>
      </c>
      <c r="W32" s="1021">
        <f>(VLOOKUP(YEAR($A32),'NY East Load Projections'!$A$4:$EO$14,((MONTH($A32)-1)*12)+VLOOKUP(W$4,$DE$6:$DF$17,2)+1))*(VLOOKUP($A32,CURVES!$D$9:$K$261,4))*(INDEX(DailyScalarsTable,W$5/100,MONTH($A32)))*$B32</f>
        <v>-43823.498382041631</v>
      </c>
      <c r="X32" s="1021">
        <f>(VLOOKUP(YEAR($A32),'NY East Load Projections'!$A$4:$EO$14,((MONTH($A32)-1)*12)+VLOOKUP(X$4,$DE$6:$DF$17,2)+1))*(VLOOKUP($A32,CURVES!$D$9:$K$261,4))*(INDEX(DailyScalarsTable,X$5/100,MONTH($A32)))*$B32</f>
        <v>-46019.685176715197</v>
      </c>
      <c r="Y32" s="1021">
        <f>(VLOOKUP(YEAR($A32),'NY East Load Projections'!$A$4:$EO$14,((MONTH($A32)-1)*12)+VLOOKUP(Y$4,$DE$6:$DF$17,2)+1))*(VLOOKUP($A32,CURVES!$D$9:$K$261,4))*(INDEX(DailyScalarsTable,Y$5/100,MONTH($A32)))*$B32</f>
        <v>-62740.820786475066</v>
      </c>
      <c r="Z32" s="1021">
        <f>(VLOOKUP(YEAR($A32),'NY East Load Projections'!$A$4:$EO$14,((MONTH($A32)-1)*12)+VLOOKUP(Z$4,$DE$6:$DF$17,2)+1))*(VLOOKUP($A32,CURVES!$D$9:$K$261,4))*(INDEX(DailyScalarsTable,Z$5/100,MONTH($A32)))*$B32</f>
        <v>-68894.112024792921</v>
      </c>
      <c r="AA32" s="1021">
        <f>(VLOOKUP(YEAR($A32),'NY East Load Projections'!$A$4:$EO$14,((MONTH($A32)-1)*12)+VLOOKUP(AA$4,$DE$6:$DF$17,2)+1))*(VLOOKUP($A32,CURVES!$D$9:$K$261,4))*(INDEX(DailyScalarsTable,AA$5/100,MONTH($A32)))*$B32</f>
        <v>-65920.382368246705</v>
      </c>
      <c r="AB32" s="1021">
        <f>(VLOOKUP(YEAR($A32),'NY East Load Projections'!$A$4:$EO$14,((MONTH($A32)-1)*12)+VLOOKUP(AB$4,$DE$6:$DF$17,2)+1))*(VLOOKUP($A32,CURVES!$D$9:$K$261,4))*(INDEX(DailyScalarsTable,AB$5/100,MONTH($A32)))*$B32</f>
        <v>-59193.77397824738</v>
      </c>
      <c r="AC32" s="1021">
        <f>(VLOOKUP(YEAR($A32),'NY East Load Projections'!$A$4:$EO$14,((MONTH($A32)-1)*12)+VLOOKUP(AC$4,$DE$6:$DF$17,2)+1))*(VLOOKUP($A32,CURVES!$D$9:$K$261,4))*(INDEX(DailyScalarsTable,AC$5/100,MONTH($A32)))*$B32</f>
        <v>-42982.816402858007</v>
      </c>
      <c r="AD32" s="1021">
        <f>(VLOOKUP(YEAR($A32),'NY East Load Projections'!$A$4:$EO$14,((MONTH($A32)-1)*12)+VLOOKUP(AD$4,$DE$6:$DF$17,2)+1))*(VLOOKUP($A32,CURVES!$D$9:$K$261,4))*(INDEX(DailyScalarsTable,AD$5/100,MONTH($A32)))*$B32</f>
        <v>-35280.543830367511</v>
      </c>
      <c r="AE32" s="1021">
        <f>(VLOOKUP(YEAR($A32),'NY East Load Projections'!$A$4:$EO$14,((MONTH($A32)-1)*12)+VLOOKUP(AE$4,$DE$6:$DF$17,2)+1))*(VLOOKUP($A32,CURVES!$D$9:$K$261,8))*(INDEX(DailyScalarsTable,AE$5/100,MONTH($A32)))*$B32</f>
        <v>-32104.280526646962</v>
      </c>
      <c r="AF32" s="1021"/>
      <c r="AG32" s="1021">
        <f>(VLOOKUP(YEAR($A32),'NY East Load Projections'!$A$4:$EO$14,((MONTH($A32)-1)*12)+VLOOKUP(AG$4,$DE$6:$DF$17,2)+1))*(VLOOKUP($A32,CURVES!$D$9:$T$261,8))*(INDEX(DailyScalarsTable,AG$5/100,MONTH($A32)))*$C32</f>
        <v>-6695.7874005169515</v>
      </c>
      <c r="AH32" s="1021">
        <f>(VLOOKUP(YEAR($A32),'NY East Load Projections'!$A$4:$EO$14,((MONTH($A32)-1)*12)+VLOOKUP(AH$4,$DE$6:$DF$17,2)+1))*(VLOOKUP($A32,CURVES!$D$9:$T$261,8))*(INDEX(DailyScalarsTable,AH$5/100,MONTH($A32)))*$C32</f>
        <v>-6331.1639872828946</v>
      </c>
      <c r="AI32" s="1021">
        <f>(VLOOKUP(YEAR($A32),'NY East Load Projections'!$A$4:$EO$14,((MONTH($A32)-1)*12)+VLOOKUP(AI$4,$DE$6:$DF$17,2)+1))*(VLOOKUP($A32,CURVES!$D$9:$T$261,8))*(INDEX(DailyScalarsTable,AI$5/100,MONTH($A32)))*$C32</f>
        <v>-6061.3394232710971</v>
      </c>
      <c r="AJ32" s="1021">
        <f>(VLOOKUP(YEAR($A32),'NY East Load Projections'!$A$4:$EO$14,((MONTH($A32)-1)*12)+VLOOKUP(AJ$4,$DE$6:$DF$17,2)+1))*(VLOOKUP($A32,CURVES!$D$9:$T$261,8))*(INDEX(DailyScalarsTable,AJ$5/100,MONTH($A32)))*$C32</f>
        <v>-6065.1443301143518</v>
      </c>
      <c r="AK32" s="1021">
        <f>(VLOOKUP(YEAR($A32),'NY East Load Projections'!$A$4:$EO$14,((MONTH($A32)-1)*12)+VLOOKUP(AK$4,$DE$6:$DF$17,2)+1))*(VLOOKUP($A32,CURVES!$D$9:$T$261,8))*(INDEX(DailyScalarsTable,AK$5/100,MONTH($A32)))*$C32</f>
        <v>-6616.9140018333756</v>
      </c>
      <c r="AL32" s="1021">
        <f>(VLOOKUP(YEAR($A32),'NY East Load Projections'!$A$4:$EO$14,((MONTH($A32)-1)*12)+VLOOKUP(AL$4,$DE$6:$DF$17,2)+1))*(VLOOKUP($A32,CURVES!$D$9:$T$261,8))*(INDEX(DailyScalarsTable,AL$5/100,MONTH($A32)))*$C32</f>
        <v>-7680.7371407115861</v>
      </c>
      <c r="AM32" s="1021">
        <f>(VLOOKUP(YEAR($A32),'NY East Load Projections'!$A$4:$EO$14,((MONTH($A32)-1)*12)+VLOOKUP(AM$4,$DE$6:$DF$17,2)+1))*(VLOOKUP($A32,CURVES!$D$9:$T$261,8))*(INDEX(DailyScalarsTable,AM$5/100,MONTH($A32)))*$C32</f>
        <v>-13859.020328018276</v>
      </c>
      <c r="AN32" s="1021">
        <f>(VLOOKUP(YEAR($A32),'NY East Load Projections'!$A$4:$EO$14,((MONTH($A32)-1)*12)+VLOOKUP(AN$4,$DE$6:$DF$17,2)+1))*(VLOOKUP($A32,SatSunCurve,4))*(INDEX(DailyScalarsTable,AN$5/100,MONTH($A32)))*$C32</f>
        <v>-9365.723617790456</v>
      </c>
      <c r="AO32" s="1021">
        <f>(VLOOKUP(YEAR($A32),'NY East Load Projections'!$A$4:$EO$14,((MONTH($A32)-1)*12)+VLOOKUP(AO$4,$DE$6:$DF$17,2)+1))*(VLOOKUP($A32,SatSunCurve,4))*(INDEX(DailyScalarsTable,AO$5/100,MONTH($A32)))*$C32</f>
        <v>-10312.521087308061</v>
      </c>
      <c r="AP32" s="1021">
        <f>(VLOOKUP(YEAR($A32),'NY East Load Projections'!$A$4:$EO$14,((MONTH($A32)-1)*12)+VLOOKUP(AP$4,$DE$6:$DF$17,2)+1))*(VLOOKUP($A32,SatSunCurve,4))*(INDEX(DailyScalarsTable,AP$5/100,MONTH($A32)))*$C32</f>
        <v>-10281.318300357054</v>
      </c>
      <c r="AQ32" s="1021">
        <f>(VLOOKUP(YEAR($A32),'NY East Load Projections'!$A$4:$EO$14,((MONTH($A32)-1)*12)+VLOOKUP(AQ$4,$DE$6:$DF$17,2)+1))*(VLOOKUP($A32,SatSunCurve,4))*(INDEX(DailyScalarsTable,AQ$5/100,MONTH($A32)))*$C32</f>
        <v>-10100.168787224815</v>
      </c>
      <c r="AR32" s="1021">
        <f>(VLOOKUP(YEAR($A32),'NY East Load Projections'!$A$4:$EO$14,((MONTH($A32)-1)*12)+VLOOKUP(AR$4,$DE$6:$DF$17,2)+1))*(VLOOKUP($A32,SatSunCurve,4))*(INDEX(DailyScalarsTable,AR$5/100,MONTH($A32)))*$C32</f>
        <v>-7717.4893058825837</v>
      </c>
      <c r="AS32" s="1021">
        <f>(VLOOKUP(YEAR($A32),'NY East Load Projections'!$A$4:$EO$14,((MONTH($A32)-1)*12)+VLOOKUP(AS$4,$DE$6:$DF$17,2)+1))*(VLOOKUP($A32,SatSunCurve,4))*(INDEX(DailyScalarsTable,AS$5/100,MONTH($A32)))*$C32</f>
        <v>-7395.513359169825</v>
      </c>
      <c r="AT32" s="1021">
        <f>(VLOOKUP(YEAR($A32),'NY East Load Projections'!$A$4:$EO$14,((MONTH($A32)-1)*12)+VLOOKUP(AT$4,$DE$6:$DF$17,2)+1))*(VLOOKUP($A32,SatSunCurve,4))*(INDEX(DailyScalarsTable,AT$5/100,MONTH($A32)))*$C32</f>
        <v>-7159.4863370686599</v>
      </c>
      <c r="AU32" s="1021">
        <f>(VLOOKUP(YEAR($A32),'NY East Load Projections'!$A$4:$EO$14,((MONTH($A32)-1)*12)+VLOOKUP(AU$4,$DE$6:$DF$17,2)+1))*(VLOOKUP($A32,SatSunCurve,4))*(INDEX(DailyScalarsTable,AU$5/100,MONTH($A32)))*$C32</f>
        <v>-6799.459611327391</v>
      </c>
      <c r="AV32" s="1021">
        <f>(VLOOKUP(YEAR($A32),'NY East Load Projections'!$A$4:$EO$14,((MONTH($A32)-1)*12)+VLOOKUP(AV$4,$DE$6:$DF$17,2)+1))*(VLOOKUP($A32,SatSunCurve,4))*(INDEX(DailyScalarsTable,AV$5/100,MONTH($A32)))*$C32</f>
        <v>-6664.3426928781728</v>
      </c>
      <c r="AW32" s="1021">
        <f>(VLOOKUP(YEAR($A32),'NY East Load Projections'!$A$4:$EO$14,((MONTH($A32)-1)*12)+VLOOKUP(AW$4,$DE$6:$DF$17,2)+1))*(VLOOKUP($A32,SatSunCurve,4))*(INDEX(DailyScalarsTable,AW$5/100,MONTH($A32)))*$C32</f>
        <v>-7095.1123664919905</v>
      </c>
      <c r="AX32" s="1021">
        <f>(VLOOKUP(YEAR($A32),'NY East Load Projections'!$A$4:$EO$14,((MONTH($A32)-1)*12)+VLOOKUP(AX$4,$DE$6:$DF$17,2)+1))*(VLOOKUP($A32,SatSunCurve,4))*(INDEX(DailyScalarsTable,AX$5/100,MONTH($A32)))*$C32</f>
        <v>-9673.1034064355863</v>
      </c>
      <c r="AY32" s="1021">
        <f>(VLOOKUP(YEAR($A32),'NY East Load Projections'!$A$4:$EO$14,((MONTH($A32)-1)*12)+VLOOKUP(AY$4,$DE$6:$DF$17,2)+1))*(VLOOKUP($A32,SatSunCurve,4))*(INDEX(DailyScalarsTable,AY$5/100,MONTH($A32)))*$C32</f>
        <v>-10621.790747341292</v>
      </c>
      <c r="AZ32" s="1021">
        <f>(VLOOKUP(YEAR($A32),'NY East Load Projections'!$A$4:$EO$14,((MONTH($A32)-1)*12)+VLOOKUP(AZ$4,$DE$6:$DF$17,2)+1))*(VLOOKUP($A32,SatSunCurve,4))*(INDEX(DailyScalarsTable,AZ$5/100,MONTH($A32)))*$C32</f>
        <v>-10163.314206709925</v>
      </c>
      <c r="BA32" s="1021">
        <f>(VLOOKUP(YEAR($A32),'NY East Load Projections'!$A$4:$EO$14,((MONTH($A32)-1)*12)+VLOOKUP(BA$4,$DE$6:$DF$17,2)+1))*(VLOOKUP($A32,SatSunCurve,4))*(INDEX(DailyScalarsTable,BA$5/100,MONTH($A32)))*$C32</f>
        <v>-9381.5125468271144</v>
      </c>
      <c r="BB32" s="1021">
        <f>(VLOOKUP(YEAR($A32),'NY East Load Projections'!$A$4:$EO$14,((MONTH($A32)-1)*12)+VLOOKUP(BB$4,$DE$6:$DF$17,2)+1))*(VLOOKUP($A32,SatSunCurve,4))*(INDEX(DailyScalarsTable,BB$5/100,MONTH($A32)))*$C32</f>
        <v>-6812.2676470934821</v>
      </c>
      <c r="BC32" s="1021">
        <f>(VLOOKUP(YEAR($A32),'NY East Load Projections'!$A$4:$EO$14,((MONTH($A32)-1)*12)+VLOOKUP(BC$4,$DE$6:$DF$17,2)+1))*(VLOOKUP($A32,SatSunCurve,4))*(INDEX(DailyScalarsTable,BC$5/100,MONTH($A32)))*$C32</f>
        <v>-5591.5486099113677</v>
      </c>
      <c r="BD32" s="1021">
        <f>(VLOOKUP(YEAR($A32),'NY East Load Projections'!$A$4:$EO$14,((MONTH($A32)-1)*12)+VLOOKUP(BD$4,$DE$6:$DF$17,2)+1))*(VLOOKUP($A32,CURVES!$D$9:$T$261,8))*(INDEX(DailyScalarsTable,BD$5/100,MONTH($A32)))*$C32</f>
        <v>-8012.5490453406674</v>
      </c>
      <c r="BE32" s="1021"/>
      <c r="BF32" s="1021">
        <f>(VLOOKUP(YEAR($A32),'NY East Load Projections'!$A$4:$EO$14,((MONTH($A32)-1)*12)+VLOOKUP(BF$4,$DE$6:$DF$17,2)+1))*(VLOOKUP($A32,CURVES!$D$9:$T$261,8))*(INDEX(DailyScalarsTable,BF$5/100,MONTH($A32)))*$D32</f>
        <v>-6695.7874005169515</v>
      </c>
      <c r="BG32" s="1021">
        <f>(VLOOKUP(YEAR($A32),'NY East Load Projections'!$A$4:$EO$14,((MONTH($A32)-1)*12)+VLOOKUP(BG$4,$DE$6:$DF$17,2)+1))*(VLOOKUP($A32,CURVES!$D$9:$T$261,8))*(INDEX(DailyScalarsTable,BG$5/100,MONTH($A32)))*$D32</f>
        <v>-6331.1639872828946</v>
      </c>
      <c r="BH32" s="1021">
        <f>(VLOOKUP(YEAR($A32),'NY East Load Projections'!$A$4:$EO$14,((MONTH($A32)-1)*12)+VLOOKUP(BH$4,$DE$6:$DF$17,2)+1))*(VLOOKUP($A32,CURVES!$D$9:$T$261,8))*(INDEX(DailyScalarsTable,BH$5/100,MONTH($A32)))*$D32</f>
        <v>-6061.3394232710971</v>
      </c>
      <c r="BI32" s="1021">
        <f>(VLOOKUP(YEAR($A32),'NY East Load Projections'!$A$4:$EO$14,((MONTH($A32)-1)*12)+VLOOKUP(BI$4,$DE$6:$DF$17,2)+1))*(VLOOKUP($A32,CURVES!$D$9:$T$261,8))*(INDEX(DailyScalarsTable,BI$5/100,MONTH($A32)))*$D32</f>
        <v>-6065.1443301143518</v>
      </c>
      <c r="BJ32" s="1021">
        <f>(VLOOKUP(YEAR($A32),'NY East Load Projections'!$A$4:$EO$14,((MONTH($A32)-1)*12)+VLOOKUP(BJ$4,$DE$6:$DF$17,2)+1))*(VLOOKUP($A32,CURVES!$D$9:$T$261,8))*(INDEX(DailyScalarsTable,BJ$5/100,MONTH($A32)))*$D32</f>
        <v>-6616.9140018333756</v>
      </c>
      <c r="BK32" s="1021">
        <f>(VLOOKUP(YEAR($A32),'NY East Load Projections'!$A$4:$EO$14,((MONTH($A32)-1)*12)+VLOOKUP(BK$4,$DE$6:$DF$17,2)+1))*(VLOOKUP($A32,CURVES!$D$9:$T$261,8))*(INDEX(DailyScalarsTable,BK$5/100,MONTH($A32)))*$D32</f>
        <v>-7680.7371407115861</v>
      </c>
      <c r="BL32" s="1021">
        <f>(VLOOKUP(YEAR($A32),'NY East Load Projections'!$A$4:$EO$14,((MONTH($A32)-1)*12)+VLOOKUP(BL$4,$DE$6:$DF$17,2)+1))*(VLOOKUP($A32,CURVES!$D$9:$T$261,8))*(INDEX(DailyScalarsTable,BL$5/100,MONTH($A32)))*$D32</f>
        <v>-13859.020328018276</v>
      </c>
      <c r="BM32" s="1021">
        <f>(VLOOKUP(YEAR($A32),'NY East Load Projections'!$A$4:$EO$14,((MONTH($A32)-1)*12)+VLOOKUP(BM$4,$DE$6:$DF$17,2)+1))*(VLOOKUP($A32,SatSunCurve,8))*(INDEX(DailyScalarsTable,BM$5/100,MONTH($A32)))*$D32</f>
        <v>-10493.840464347566</v>
      </c>
      <c r="BN32" s="1021">
        <f>(VLOOKUP(YEAR($A32),'NY East Load Projections'!$A$4:$EO$14,((MONTH($A32)-1)*12)+VLOOKUP(BN$4,$DE$6:$DF$17,2)+1))*(VLOOKUP($A32,SatSunCurve,8))*(INDEX(DailyScalarsTable,BN$5/100,MONTH($A32)))*$D32</f>
        <v>-11554.681249601243</v>
      </c>
      <c r="BO32" s="1021">
        <f>(VLOOKUP(YEAR($A32),'NY East Load Projections'!$A$4:$EO$14,((MONTH($A32)-1)*12)+VLOOKUP(BO$4,$DE$6:$DF$17,2)+1))*(VLOOKUP($A32,SatSunCurve,8))*(INDEX(DailyScalarsTable,BO$5/100,MONTH($A32)))*$D32</f>
        <v>-11519.720035532857</v>
      </c>
      <c r="BP32" s="1021">
        <f>(VLOOKUP(YEAR($A32),'NY East Load Projections'!$A$4:$EO$14,((MONTH($A32)-1)*12)+VLOOKUP(BP$4,$DE$6:$DF$17,2)+1))*(VLOOKUP($A32,SatSunCurve,8))*(INDEX(DailyScalarsTable,BP$5/100,MONTH($A32)))*$D32</f>
        <v>-11316.75076496918</v>
      </c>
      <c r="BQ32" s="1021">
        <f>(VLOOKUP(YEAR($A32),'NY East Load Projections'!$A$4:$EO$14,((MONTH($A32)-1)*12)+VLOOKUP(BQ$4,$DE$6:$DF$17,2)+1))*(VLOOKUP($A32,SatSunCurve,8))*(INDEX(DailyScalarsTable,BQ$5/100,MONTH($A32)))*$D32</f>
        <v>-8647.0736129138895</v>
      </c>
      <c r="BR32" s="1021">
        <f>(VLOOKUP(YEAR($A32),'NY East Load Projections'!$A$4:$EO$14,((MONTH($A32)-1)*12)+VLOOKUP(BR$4,$DE$6:$DF$17,2)+1))*(VLOOKUP($A32,SatSunCurve,8))*(INDEX(DailyScalarsTable,BR$5/100,MONTH($A32)))*$D32</f>
        <v>-8286.3151327316518</v>
      </c>
      <c r="BS32" s="1021">
        <f>(VLOOKUP(YEAR($A32),'NY East Load Projections'!$A$4:$EO$14,((MONTH($A32)-1)*12)+VLOOKUP(BS$4,$DE$6:$DF$17,2)+1))*(VLOOKUP($A32,SatSunCurve,8))*(INDEX(DailyScalarsTable,BS$5/100,MONTH($A32)))*$D32</f>
        <v>-8021.8582667934079</v>
      </c>
      <c r="BT32" s="1021">
        <f>(VLOOKUP(YEAR($A32),'NY East Load Projections'!$A$4:$EO$14,((MONTH($A32)-1)*12)+VLOOKUP(BT$4,$DE$6:$DF$17,2)+1))*(VLOOKUP($A32,SatSunCurve,8))*(INDEX(DailyScalarsTable,BT$5/100,MONTH($A32)))*$D32</f>
        <v>-7618.4657285325356</v>
      </c>
      <c r="BU32" s="1021">
        <f>(VLOOKUP(YEAR($A32),'NY East Load Projections'!$A$4:$EO$14,((MONTH($A32)-1)*12)+VLOOKUP(BU$4,$DE$6:$DF$17,2)+1))*(VLOOKUP($A32,SatSunCurve,8))*(INDEX(DailyScalarsTable,BU$5/100,MONTH($A32)))*$D32</f>
        <v>-7467.0737545533948</v>
      </c>
      <c r="BV32" s="1021">
        <f>(VLOOKUP(YEAR($A32),'NY East Load Projections'!$A$4:$EO$14,((MONTH($A32)-1)*12)+VLOOKUP(BV$4,$DE$6:$DF$17,2)+1))*(VLOOKUP($A32,SatSunCurve,8))*(INDEX(DailyScalarsTable,BV$5/100,MONTH($A32)))*$D32</f>
        <v>-7949.7303453581671</v>
      </c>
      <c r="BW32" s="1021">
        <f>(VLOOKUP(YEAR($A32),'NY East Load Projections'!$A$4:$EO$14,((MONTH($A32)-1)*12)+VLOOKUP(BW$4,$DE$6:$DF$17,2)+1))*(VLOOKUP($A32,SatSunCurve,8))*(INDEX(DailyScalarsTable,BW$5/100,MONTH($A32)))*$D32</f>
        <v>-10838.244655165214</v>
      </c>
      <c r="BX32" s="1021">
        <f>(VLOOKUP(YEAR($A32),'NY East Load Projections'!$A$4:$EO$14,((MONTH($A32)-1)*12)+VLOOKUP(BX$4,$DE$6:$DF$17,2)+1))*(VLOOKUP($A32,SatSunCurve,8))*(INDEX(DailyScalarsTable,BX$5/100,MONTH($A32)))*$D32</f>
        <v>-11901.202949930619</v>
      </c>
      <c r="BY32" s="1021">
        <f>(VLOOKUP(YEAR($A32),'NY East Load Projections'!$A$4:$EO$14,((MONTH($A32)-1)*12)+VLOOKUP(BY$4,$DE$6:$DF$17,2)+1))*(VLOOKUP($A32,SatSunCurve,8))*(INDEX(DailyScalarsTable,BY$5/100,MONTH($A32)))*$D32</f>
        <v>-11387.502154308957</v>
      </c>
      <c r="BZ32" s="1021">
        <f>(VLOOKUP(YEAR($A32),'NY East Load Projections'!$A$4:$EO$14,((MONTH($A32)-1)*12)+VLOOKUP(BZ$4,$DE$6:$DF$17,2)+1))*(VLOOKUP($A32,SatSunCurve,8))*(INDEX(DailyScalarsTable,BZ$5/100,MONTH($A32)))*$D32</f>
        <v>-10511.531195910355</v>
      </c>
      <c r="CA32" s="1021">
        <f>(VLOOKUP(YEAR($A32),'NY East Load Projections'!$A$4:$EO$14,((MONTH($A32)-1)*12)+VLOOKUP(CA$4,$DE$6:$DF$17,2)+1))*(VLOOKUP($A32,SatSunCurve,8))*(INDEX(DailyScalarsTable,CA$5/100,MONTH($A32)))*$D32</f>
        <v>-7632.8165133171424</v>
      </c>
      <c r="CB32" s="1021">
        <f>(VLOOKUP(YEAR($A32),'NY East Load Projections'!$A$4:$EO$14,((MONTH($A32)-1)*12)+VLOOKUP(CB$4,$DE$6:$DF$17,2)+1))*(VLOOKUP($A32,SatSunCurve,8))*(INDEX(DailyScalarsTable,CB$5/100,MONTH($A32)))*$D32</f>
        <v>-6265.0598560901381</v>
      </c>
      <c r="CC32" s="1021">
        <f>(VLOOKUP(YEAR($A32),'NY East Load Projections'!$A$4:$EO$14,((MONTH($A32)-1)*12)+VLOOKUP(CC$4,$DE$6:$DF$17,2)+1))*(VLOOKUP($A32,CURVES!$D$9:$T$261,8))*(INDEX(DailyScalarsTable,CC$5/100,MONTH($A32)))*$D32</f>
        <v>-8012.5490453406674</v>
      </c>
      <c r="CE32" s="1021">
        <f>(VLOOKUP(YEAR($A32),'NY East Load Projections'!$A$4:$EO$14,((MONTH($A32)-1)*12)+VLOOKUP(CE$4,$DE$6:$DF$17,2)+1))*(VLOOKUP($A32,CURVES!$D$9:$T$261,8))*(INDEX(DailyScalarsTable,CE$5/100,MONTH($A32)))*$E32</f>
        <v>0</v>
      </c>
      <c r="CF32" s="1021">
        <f>(VLOOKUP(YEAR($A32),'NY East Load Projections'!$A$4:$EO$14,((MONTH($A32)-1)*12)+VLOOKUP(CF$4,$DE$6:$DF$17,2)+1))*(VLOOKUP($A32,CURVES!$D$9:$T$261,8))*(INDEX(DailyScalarsTable,CF$5/100,MONTH($A32)))*$E32</f>
        <v>0</v>
      </c>
      <c r="CG32" s="1021">
        <f>(VLOOKUP(YEAR($A32),'NY East Load Projections'!$A$4:$EO$14,((MONTH($A32)-1)*12)+VLOOKUP(CG$4,$DE$6:$DF$17,2)+1))*(VLOOKUP($A32,CURVES!$D$9:$T$261,8))*(INDEX(DailyScalarsTable,CG$5/100,MONTH($A32)))*$E32</f>
        <v>0</v>
      </c>
      <c r="CH32" s="1021">
        <f>(VLOOKUP(YEAR($A32),'NY East Load Projections'!$A$4:$EO$14,((MONTH($A32)-1)*12)+VLOOKUP(CH$4,$DE$6:$DF$17,2)+1))*(VLOOKUP($A32,CURVES!$D$9:$T$261,8))*(INDEX(DailyScalarsTable,CH$5/100,MONTH($A32)))*$E32</f>
        <v>0</v>
      </c>
      <c r="CI32" s="1021">
        <f>(VLOOKUP(YEAR($A32),'NY East Load Projections'!$A$4:$EO$14,((MONTH($A32)-1)*12)+VLOOKUP(CI$4,$DE$6:$DF$17,2)+1))*(VLOOKUP($A32,CURVES!$D$9:$T$261,8))*(INDEX(DailyScalarsTable,CI$5/100,MONTH($A32)))*$E32</f>
        <v>0</v>
      </c>
      <c r="CJ32" s="1021">
        <f>(VLOOKUP(YEAR($A32),'NY East Load Projections'!$A$4:$EO$14,((MONTH($A32)-1)*12)+VLOOKUP(CJ$4,$DE$6:$DF$17,2)+1))*(VLOOKUP($A32,CURVES!$D$9:$T$261,8))*(INDEX(DailyScalarsTable,CJ$5/100,MONTH($A32)))*$E32</f>
        <v>0</v>
      </c>
      <c r="CK32" s="1021">
        <f>(VLOOKUP(YEAR($A32),'NY East Load Projections'!$A$4:$EO$14,((MONTH($A32)-1)*12)+VLOOKUP(CK$4,$DE$6:$DF$17,2)+1))*(VLOOKUP($A32,CURVES!$D$9:$T$261,8))*(INDEX(DailyScalarsTable,CK$5/100,MONTH($A32)))*$E32</f>
        <v>0</v>
      </c>
      <c r="CL32" s="1021">
        <f>(VLOOKUP(YEAR($A32),'NY East Load Projections'!$A$4:$EO$14,((MONTH($A32)-1)*12)+VLOOKUP(CL$4,$DE$6:$DF$17,2)+1))*(VLOOKUP($A32,SatSunCurve,8))*(INDEX(DailyScalarsTable,CL$5/100,MONTH($A32)))*$E32</f>
        <v>0</v>
      </c>
      <c r="CM32" s="1021">
        <f>(VLOOKUP(YEAR($A32),'NY East Load Projections'!$A$4:$EO$14,((MONTH($A32)-1)*12)+VLOOKUP(CM$4,$DE$6:$DF$17,2)+1))*(VLOOKUP($A32,SatSunCurve,8))*(INDEX(DailyScalarsTable,CM$5/100,MONTH($A32)))*$E32</f>
        <v>0</v>
      </c>
      <c r="CN32" s="1021">
        <f>(VLOOKUP(YEAR($A32),'NY East Load Projections'!$A$4:$EO$14,((MONTH($A32)-1)*12)+VLOOKUP(CN$4,$DE$6:$DF$17,2)+1))*(VLOOKUP($A32,SatSunCurve,8))*(INDEX(DailyScalarsTable,CN$5/100,MONTH($A32)))*$E32</f>
        <v>0</v>
      </c>
      <c r="CO32" s="1021">
        <f>(VLOOKUP(YEAR($A32),'NY East Load Projections'!$A$4:$EO$14,((MONTH($A32)-1)*12)+VLOOKUP(CO$4,$DE$6:$DF$17,2)+1))*(VLOOKUP($A32,SatSunCurve,8))*(INDEX(DailyScalarsTable,CO$5/100,MONTH($A32)))*$E32</f>
        <v>0</v>
      </c>
      <c r="CP32" s="1021">
        <f>(VLOOKUP(YEAR($A32),'NY East Load Projections'!$A$4:$EO$14,((MONTH($A32)-1)*12)+VLOOKUP(CP$4,$DE$6:$DF$17,2)+1))*(VLOOKUP($A32,SatSunCurve,8))*(INDEX(DailyScalarsTable,CP$5/100,MONTH($A32)))*$E32</f>
        <v>0</v>
      </c>
      <c r="CQ32" s="1021">
        <f>(VLOOKUP(YEAR($A32),'NY East Load Projections'!$A$4:$EO$14,((MONTH($A32)-1)*12)+VLOOKUP(CQ$4,$DE$6:$DF$17,2)+1))*(VLOOKUP($A32,SatSunCurve,8))*(INDEX(DailyScalarsTable,CQ$5/100,MONTH($A32)))*$E32</f>
        <v>0</v>
      </c>
      <c r="CR32" s="1021">
        <f>(VLOOKUP(YEAR($A32),'NY East Load Projections'!$A$4:$EO$14,((MONTH($A32)-1)*12)+VLOOKUP(CR$4,$DE$6:$DF$17,2)+1))*(VLOOKUP($A32,SatSunCurve,8))*(INDEX(DailyScalarsTable,CR$5/100,MONTH($A32)))*$E32</f>
        <v>0</v>
      </c>
      <c r="CS32" s="1021">
        <f>(VLOOKUP(YEAR($A32),'NY East Load Projections'!$A$4:$EO$14,((MONTH($A32)-1)*12)+VLOOKUP(CS$4,$DE$6:$DF$17,2)+1))*(VLOOKUP($A32,SatSunCurve,8))*(INDEX(DailyScalarsTable,CS$5/100,MONTH($A32)))*$E32</f>
        <v>0</v>
      </c>
      <c r="CT32" s="1021">
        <f>(VLOOKUP(YEAR($A32),'NY East Load Projections'!$A$4:$EO$14,((MONTH($A32)-1)*12)+VLOOKUP(CT$4,$DE$6:$DF$17,2)+1))*(VLOOKUP($A32,SatSunCurve,8))*(INDEX(DailyScalarsTable,CT$5/100,MONTH($A32)))*$E32</f>
        <v>0</v>
      </c>
      <c r="CU32" s="1021">
        <f>(VLOOKUP(YEAR($A32),'NY East Load Projections'!$A$4:$EO$14,((MONTH($A32)-1)*12)+VLOOKUP(CU$4,$DE$6:$DF$17,2)+1))*(VLOOKUP($A32,SatSunCurve,8))*(INDEX(DailyScalarsTable,CU$5/100,MONTH($A32)))*$E32</f>
        <v>0</v>
      </c>
      <c r="CV32" s="1021">
        <f>(VLOOKUP(YEAR($A32),'NY East Load Projections'!$A$4:$EO$14,((MONTH($A32)-1)*12)+VLOOKUP(CV$4,$DE$6:$DF$17,2)+1))*(VLOOKUP($A32,SatSunCurve,8))*(INDEX(DailyScalarsTable,CV$5/100,MONTH($A32)))*$E32</f>
        <v>0</v>
      </c>
      <c r="CW32" s="1021">
        <f>(VLOOKUP(YEAR($A32),'NY East Load Projections'!$A$4:$EO$14,((MONTH($A32)-1)*12)+VLOOKUP(CW$4,$DE$6:$DF$17,2)+1))*(VLOOKUP($A32,SatSunCurve,8))*(INDEX(DailyScalarsTable,CW$5/100,MONTH($A32)))*$E32</f>
        <v>0</v>
      </c>
      <c r="CX32" s="1021">
        <f>(VLOOKUP(YEAR($A32),'NY East Load Projections'!$A$4:$EO$14,((MONTH($A32)-1)*12)+VLOOKUP(CX$4,$DE$6:$DF$17,2)+1))*(VLOOKUP($A32,SatSunCurve,8))*(INDEX(DailyScalarsTable,CX$5/100,MONTH($A32)))*$E32</f>
        <v>0</v>
      </c>
      <c r="CY32" s="1021">
        <f>(VLOOKUP(YEAR($A32),'NY East Load Projections'!$A$4:$EO$14,((MONTH($A32)-1)*12)+VLOOKUP(CY$4,$DE$6:$DF$17,2)+1))*(VLOOKUP($A32,SatSunCurve,8))*(INDEX(DailyScalarsTable,CY$5/100,MONTH($A32)))*$E32</f>
        <v>0</v>
      </c>
      <c r="CZ32" s="1021">
        <f>(VLOOKUP(YEAR($A32),'NY East Load Projections'!$A$4:$EO$14,((MONTH($A32)-1)*12)+VLOOKUP(CZ$4,$DE$6:$DF$17,2)+1))*(VLOOKUP($A32,SatSunCurve,8))*(INDEX(DailyScalarsTable,CZ$5/100,MONTH($A32)))*$E32</f>
        <v>0</v>
      </c>
      <c r="DA32" s="1021">
        <f>(VLOOKUP(YEAR($A32),'NY East Load Projections'!$A$4:$EO$14,((MONTH($A32)-1)*12)+VLOOKUP(DA$4,$DE$6:$DF$17,2)+1))*(VLOOKUP($A32,SatSunCurve,8))*(INDEX(DailyScalarsTable,DA$5/100,MONTH($A32)))*$E32</f>
        <v>0</v>
      </c>
      <c r="DB32" s="1021">
        <f>(VLOOKUP(YEAR($A32),'NY East Load Projections'!$A$4:$EO$14,((MONTH($A32)-1)*12)+VLOOKUP(DB$4,$DE$6:$DF$17,2)+1))*(VLOOKUP($A32,CURVES!$D$9:$T$261,8))*(INDEX(DailyScalarsTable,DB$5/100,MONTH($A32)))*$E32</f>
        <v>0</v>
      </c>
      <c r="DH32" s="1021">
        <f t="shared" si="0"/>
        <v>-1523446.4652674547</v>
      </c>
      <c r="DI32">
        <f ca="1">CALC!J52</f>
        <v>0.8013310793992765</v>
      </c>
      <c r="DJ32" s="1029">
        <f t="shared" ca="1" si="1"/>
        <v>-1220785.000419782</v>
      </c>
    </row>
    <row r="33" spans="1:114" x14ac:dyDescent="0.25">
      <c r="A33" s="244">
        <v>37712</v>
      </c>
      <c r="B33" s="13">
        <v>22</v>
      </c>
      <c r="C33" s="210">
        <v>4</v>
      </c>
      <c r="D33" s="210">
        <v>4</v>
      </c>
      <c r="E33" s="210">
        <v>0</v>
      </c>
      <c r="F33" s="13">
        <v>30</v>
      </c>
      <c r="H33" s="1021">
        <f>(VLOOKUP(YEAR($A33),'NY East Load Projections'!$A$4:$EO$14,((MONTH($A33)-1)*12)+VLOOKUP(H$4,$DE$6:$DF$17,2)+1))*(VLOOKUP($A33,CURVES!$D$9:$K$261,8))*(INDEX(DailyScalarsTable,H$5/100,MONTH($A33)))*$B33</f>
        <v>-34203.022471901677</v>
      </c>
      <c r="I33" s="1021">
        <f>(VLOOKUP(YEAR($A33),'NY East Load Projections'!$A$4:$EO$14,((MONTH($A33)-1)*12)+VLOOKUP(I$4,$DE$6:$DF$17,2)+1))*(VLOOKUP($A33,CURVES!$D$9:$K$261,8))*(INDEX(DailyScalarsTable,I$5/100,MONTH($A33)))*$B33</f>
        <v>-32440.601992630916</v>
      </c>
      <c r="J33" s="1021">
        <f>(VLOOKUP(YEAR($A33),'NY East Load Projections'!$A$4:$EO$14,((MONTH($A33)-1)*12)+VLOOKUP(J$4,$DE$6:$DF$17,2)+1))*(VLOOKUP($A33,CURVES!$D$9:$K$261,8))*(INDEX(DailyScalarsTable,J$5/100,MONTH($A33)))*$B33</f>
        <v>-31136.39518592364</v>
      </c>
      <c r="K33" s="1021">
        <f>(VLOOKUP(YEAR($A33),'NY East Load Projections'!$A$4:$EO$14,((MONTH($A33)-1)*12)+VLOOKUP(K$4,$DE$6:$DF$17,2)+1))*(VLOOKUP($A33,CURVES!$D$9:$K$261,8))*(INDEX(DailyScalarsTable,K$5/100,MONTH($A33)))*$B33</f>
        <v>-31154.786341013736</v>
      </c>
      <c r="L33" s="1021">
        <f>(VLOOKUP(YEAR($A33),'NY East Load Projections'!$A$4:$EO$14,((MONTH($A33)-1)*12)+VLOOKUP(L$4,$DE$6:$DF$17,2)+1))*(VLOOKUP($A33,CURVES!$D$9:$K$261,8))*(INDEX(DailyScalarsTable,L$5/100,MONTH($A33)))*$B33</f>
        <v>-36626.893743836175</v>
      </c>
      <c r="M33" s="1021">
        <f>(VLOOKUP(YEAR($A33),'NY East Load Projections'!$A$4:$EO$14,((MONTH($A33)-1)*12)+VLOOKUP(M$4,$DE$6:$DF$17,2)+1))*(VLOOKUP($A33,CURVES!$D$9:$K$261,8))*(INDEX(DailyScalarsTable,M$5/100,MONTH($A33)))*$B33</f>
        <v>-42191.07487305106</v>
      </c>
      <c r="N33" s="1021">
        <f>(VLOOKUP(YEAR($A33),'NY East Load Projections'!$A$4:$EO$14,((MONTH($A33)-1)*12)+VLOOKUP(N$4,$DE$6:$DF$17,2)+1))*(VLOOKUP($A33,CURVES!$D$9:$K$261,8))*(INDEX(DailyScalarsTable,N$5/100,MONTH($A33)))*$B33</f>
        <v>-60176.730214624142</v>
      </c>
      <c r="O33" s="1021">
        <f>(VLOOKUP(YEAR($A33),'NY East Load Projections'!$A$4:$EO$14,((MONTH($A33)-1)*12)+VLOOKUP(O$4,$DE$6:$DF$17,2)+1))*(VLOOKUP($A33,CURVES!$D$9:$K$261,4))*(INDEX(DailyScalarsTable,O$5/100,MONTH($A33)))*$B33</f>
        <v>-73362.943422179174</v>
      </c>
      <c r="P33" s="1021">
        <f>(VLOOKUP(YEAR($A33),'NY East Load Projections'!$A$4:$EO$14,((MONTH($A33)-1)*12)+VLOOKUP(P$4,$DE$6:$DF$17,2)+1))*(VLOOKUP($A33,CURVES!$D$9:$K$261,4))*(INDEX(DailyScalarsTable,P$5/100,MONTH($A33)))*$B33</f>
        <v>-82522.493177718381</v>
      </c>
      <c r="Q33" s="1021">
        <f>(VLOOKUP(YEAR($A33),'NY East Load Projections'!$A$4:$EO$14,((MONTH($A33)-1)*12)+VLOOKUP(Q$4,$DE$6:$DF$17,2)+1))*(VLOOKUP($A33,CURVES!$D$9:$K$261,4))*(INDEX(DailyScalarsTable,Q$5/100,MONTH($A33)))*$B33</f>
        <v>-79085.898588044118</v>
      </c>
      <c r="R33" s="1021">
        <f>(VLOOKUP(YEAR($A33),'NY East Load Projections'!$A$4:$EO$14,((MONTH($A33)-1)*12)+VLOOKUP(R$4,$DE$6:$DF$17,2)+1))*(VLOOKUP($A33,CURVES!$D$9:$K$261,4))*(INDEX(DailyScalarsTable,R$5/100,MONTH($A33)))*$B33</f>
        <v>-80716.331713724314</v>
      </c>
      <c r="S33" s="1021">
        <f>(VLOOKUP(YEAR($A33),'NY East Load Projections'!$A$4:$EO$14,((MONTH($A33)-1)*12)+VLOOKUP(S$4,$DE$6:$DF$17,2)+1))*(VLOOKUP($A33,CURVES!$D$9:$K$261,4))*(INDEX(DailyScalarsTable,S$5/100,MONTH($A33)))*$B33</f>
        <v>-80874.603594589789</v>
      </c>
      <c r="T33" s="1021">
        <f>(VLOOKUP(YEAR($A33),'NY East Load Projections'!$A$4:$EO$14,((MONTH($A33)-1)*12)+VLOOKUP(T$4,$DE$6:$DF$17,2)+1))*(VLOOKUP($A33,CURVES!$D$9:$K$261,4))*(INDEX(DailyScalarsTable,T$5/100,MONTH($A33)))*$B33</f>
        <v>-75262.941585527558</v>
      </c>
      <c r="U33" s="1021">
        <f>(VLOOKUP(YEAR($A33),'NY East Load Projections'!$A$4:$EO$14,((MONTH($A33)-1)*12)+VLOOKUP(U$4,$DE$6:$DF$17,2)+1))*(VLOOKUP($A33,CURVES!$D$9:$K$261,4))*(INDEX(DailyScalarsTable,U$5/100,MONTH($A33)))*$B33</f>
        <v>-75343.983533047227</v>
      </c>
      <c r="V33" s="1021">
        <f>(VLOOKUP(YEAR($A33),'NY East Load Projections'!$A$4:$EO$14,((MONTH($A33)-1)*12)+VLOOKUP(V$4,$DE$6:$DF$17,2)+1))*(VLOOKUP($A33,CURVES!$D$9:$K$261,4))*(INDEX(DailyScalarsTable,V$5/100,MONTH($A33)))*$B33</f>
        <v>-70667.386443822819</v>
      </c>
      <c r="W33" s="1021">
        <f>(VLOOKUP(YEAR($A33),'NY East Load Projections'!$A$4:$EO$14,((MONTH($A33)-1)*12)+VLOOKUP(W$4,$DE$6:$DF$17,2)+1))*(VLOOKUP($A33,CURVES!$D$9:$K$261,4))*(INDEX(DailyScalarsTable,W$5/100,MONTH($A33)))*$B33</f>
        <v>-66046.803641854684</v>
      </c>
      <c r="X33" s="1021">
        <f>(VLOOKUP(YEAR($A33),'NY East Load Projections'!$A$4:$EO$14,((MONTH($A33)-1)*12)+VLOOKUP(X$4,$DE$6:$DF$17,2)+1))*(VLOOKUP($A33,CURVES!$D$9:$K$261,4))*(INDEX(DailyScalarsTable,X$5/100,MONTH($A33)))*$B33</f>
        <v>-60243.824451846827</v>
      </c>
      <c r="Y33" s="1021">
        <f>(VLOOKUP(YEAR($A33),'NY East Load Projections'!$A$4:$EO$14,((MONTH($A33)-1)*12)+VLOOKUP(Y$4,$DE$6:$DF$17,2)+1))*(VLOOKUP($A33,CURVES!$D$9:$K$261,4))*(INDEX(DailyScalarsTable,Y$5/100,MONTH($A33)))*$B33</f>
        <v>-59460.322609436502</v>
      </c>
      <c r="Z33" s="1021">
        <f>(VLOOKUP(YEAR($A33),'NY East Load Projections'!$A$4:$EO$14,((MONTH($A33)-1)*12)+VLOOKUP(Z$4,$DE$6:$DF$17,2)+1))*(VLOOKUP($A33,CURVES!$D$9:$K$261,4))*(INDEX(DailyScalarsTable,Z$5/100,MONTH($A33)))*$B33</f>
        <v>-59141.572215511391</v>
      </c>
      <c r="AA33" s="1021">
        <f>(VLOOKUP(YEAR($A33),'NY East Load Projections'!$A$4:$EO$14,((MONTH($A33)-1)*12)+VLOOKUP(AA$4,$DE$6:$DF$17,2)+1))*(VLOOKUP($A33,CURVES!$D$9:$K$261,4))*(INDEX(DailyScalarsTable,AA$5/100,MONTH($A33)))*$B33</f>
        <v>-64869.048699361636</v>
      </c>
      <c r="AB33" s="1021">
        <f>(VLOOKUP(YEAR($A33),'NY East Load Projections'!$A$4:$EO$14,((MONTH($A33)-1)*12)+VLOOKUP(AB$4,$DE$6:$DF$17,2)+1))*(VLOOKUP($A33,CURVES!$D$9:$K$261,4))*(INDEX(DailyScalarsTable,AB$5/100,MONTH($A33)))*$B33</f>
        <v>-71893.046267694634</v>
      </c>
      <c r="AC33" s="1021">
        <f>(VLOOKUP(YEAR($A33),'NY East Load Projections'!$A$4:$EO$14,((MONTH($A33)-1)*12)+VLOOKUP(AC$4,$DE$6:$DF$17,2)+1))*(VLOOKUP($A33,CURVES!$D$9:$K$261,4))*(INDEX(DailyScalarsTable,AC$5/100,MONTH($A33)))*$B33</f>
        <v>-61258.300553811634</v>
      </c>
      <c r="AD33" s="1021">
        <f>(VLOOKUP(YEAR($A33),'NY East Load Projections'!$A$4:$EO$14,((MONTH($A33)-1)*12)+VLOOKUP(AD$4,$DE$6:$DF$17,2)+1))*(VLOOKUP($A33,CURVES!$D$9:$K$261,4))*(INDEX(DailyScalarsTable,AD$5/100,MONTH($A33)))*$B33</f>
        <v>-54118.014596606619</v>
      </c>
      <c r="AE33" s="1021">
        <f>(VLOOKUP(YEAR($A33),'NY East Load Projections'!$A$4:$EO$14,((MONTH($A33)-1)*12)+VLOOKUP(AE$4,$DE$6:$DF$17,2)+1))*(VLOOKUP($A33,CURVES!$D$9:$K$261,8))*(INDEX(DailyScalarsTable,AE$5/100,MONTH($A33)))*$B33</f>
        <v>-40397.651022571321</v>
      </c>
      <c r="AF33" s="1021"/>
      <c r="AG33" s="1021">
        <f>(VLOOKUP(YEAR($A33),'NY East Load Projections'!$A$4:$EO$14,((MONTH($A33)-1)*12)+VLOOKUP(AG$4,$DE$6:$DF$17,2)+1))*(VLOOKUP($A33,CURVES!$D$9:$T$261,8))*(INDEX(DailyScalarsTable,AG$5/100,MONTH($A33)))*$C33</f>
        <v>-6591.1799449888795</v>
      </c>
      <c r="AH33" s="1021">
        <f>(VLOOKUP(YEAR($A33),'NY East Load Projections'!$A$4:$EO$14,((MONTH($A33)-1)*12)+VLOOKUP(AH$4,$DE$6:$DF$17,2)+1))*(VLOOKUP($A33,CURVES!$D$9:$T$261,8))*(INDEX(DailyScalarsTable,AH$5/100,MONTH($A33)))*$C33</f>
        <v>-6251.548249364605</v>
      </c>
      <c r="AI33" s="1021">
        <f>(VLOOKUP(YEAR($A33),'NY East Load Projections'!$A$4:$EO$14,((MONTH($A33)-1)*12)+VLOOKUP(AI$4,$DE$6:$DF$17,2)+1))*(VLOOKUP($A33,CURVES!$D$9:$T$261,8))*(INDEX(DailyScalarsTable,AI$5/100,MONTH($A33)))*$C33</f>
        <v>-6000.2177783353573</v>
      </c>
      <c r="AJ33" s="1021">
        <f>(VLOOKUP(YEAR($A33),'NY East Load Projections'!$A$4:$EO$14,((MONTH($A33)-1)*12)+VLOOKUP(AJ$4,$DE$6:$DF$17,2)+1))*(VLOOKUP($A33,CURVES!$D$9:$T$261,8))*(INDEX(DailyScalarsTable,AJ$5/100,MONTH($A33)))*$C33</f>
        <v>-6003.7618923882783</v>
      </c>
      <c r="AK33" s="1021">
        <f>(VLOOKUP(YEAR($A33),'NY East Load Projections'!$A$4:$EO$14,((MONTH($A33)-1)*12)+VLOOKUP(AK$4,$DE$6:$DF$17,2)+1))*(VLOOKUP($A33,CURVES!$D$9:$T$261,8))*(INDEX(DailyScalarsTable,AK$5/100,MONTH($A33)))*$C33</f>
        <v>-6535.6167561939264</v>
      </c>
      <c r="AL33" s="1021">
        <f>(VLOOKUP(YEAR($A33),'NY East Load Projections'!$A$4:$EO$14,((MONTH($A33)-1)*12)+VLOOKUP(AL$4,$DE$6:$DF$17,2)+1))*(VLOOKUP($A33,CURVES!$D$9:$T$261,8))*(INDEX(DailyScalarsTable,AL$5/100,MONTH($A33)))*$C33</f>
        <v>-7528.4761473541357</v>
      </c>
      <c r="AM33" s="1021">
        <f>(VLOOKUP(YEAR($A33),'NY East Load Projections'!$A$4:$EO$14,((MONTH($A33)-1)*12)+VLOOKUP(AM$4,$DE$6:$DF$17,2)+1))*(VLOOKUP($A33,CURVES!$D$9:$T$261,8))*(INDEX(DailyScalarsTable,AM$5/100,MONTH($A33)))*$C33</f>
        <v>-10737.794175894174</v>
      </c>
      <c r="AN33" s="1021">
        <f>(VLOOKUP(YEAR($A33),'NY East Load Projections'!$A$4:$EO$14,((MONTH($A33)-1)*12)+VLOOKUP(AN$4,$DE$6:$DF$17,2)+1))*(VLOOKUP($A33,SatSunCurve,4))*(INDEX(DailyScalarsTable,AN$5/100,MONTH($A33)))*$C33</f>
        <v>-8909.8653268210546</v>
      </c>
      <c r="AO33" s="1021">
        <f>(VLOOKUP(YEAR($A33),'NY East Load Projections'!$A$4:$EO$14,((MONTH($A33)-1)*12)+VLOOKUP(AO$4,$DE$6:$DF$17,2)+1))*(VLOOKUP($A33,SatSunCurve,4))*(INDEX(DailyScalarsTable,AO$5/100,MONTH($A33)))*$C33</f>
        <v>-9723.5783693145822</v>
      </c>
      <c r="AP33" s="1021">
        <f>(VLOOKUP(YEAR($A33),'NY East Load Projections'!$A$4:$EO$14,((MONTH($A33)-1)*12)+VLOOKUP(AP$4,$DE$6:$DF$17,2)+1))*(VLOOKUP($A33,SatSunCurve,4))*(INDEX(DailyScalarsTable,AP$5/100,MONTH($A33)))*$C33</f>
        <v>-9318.6463861727698</v>
      </c>
      <c r="AQ33" s="1021">
        <f>(VLOOKUP(YEAR($A33),'NY East Load Projections'!$A$4:$EO$14,((MONTH($A33)-1)*12)+VLOOKUP(AQ$4,$DE$6:$DF$17,2)+1))*(VLOOKUP($A33,SatSunCurve,4))*(INDEX(DailyScalarsTable,AQ$5/100,MONTH($A33)))*$C33</f>
        <v>-9510.759392736154</v>
      </c>
      <c r="AR33" s="1021">
        <f>(VLOOKUP(YEAR($A33),'NY East Load Projections'!$A$4:$EO$14,((MONTH($A33)-1)*12)+VLOOKUP(AR$4,$DE$6:$DF$17,2)+1))*(VLOOKUP($A33,SatSunCurve,4))*(INDEX(DailyScalarsTable,AR$5/100,MONTH($A33)))*$C33</f>
        <v>-9529.4084783126182</v>
      </c>
      <c r="AS33" s="1021">
        <f>(VLOOKUP(YEAR($A33),'NY East Load Projections'!$A$4:$EO$14,((MONTH($A33)-1)*12)+VLOOKUP(AS$4,$DE$6:$DF$17,2)+1))*(VLOOKUP($A33,SatSunCurve,4))*(INDEX(DailyScalarsTable,AS$5/100,MONTH($A33)))*$C33</f>
        <v>-8578.897910423304</v>
      </c>
      <c r="AT33" s="1021">
        <f>(VLOOKUP(YEAR($A33),'NY East Load Projections'!$A$4:$EO$14,((MONTH($A33)-1)*12)+VLOOKUP(AT$4,$DE$6:$DF$17,2)+1))*(VLOOKUP($A33,SatSunCurve,4))*(INDEX(DailyScalarsTable,AT$5/100,MONTH($A33)))*$C33</f>
        <v>-8588.1355322805775</v>
      </c>
      <c r="AU33" s="1021">
        <f>(VLOOKUP(YEAR($A33),'NY East Load Projections'!$A$4:$EO$14,((MONTH($A33)-1)*12)+VLOOKUP(AU$4,$DE$6:$DF$17,2)+1))*(VLOOKUP($A33,SatSunCurve,4))*(INDEX(DailyScalarsTable,AU$5/100,MONTH($A33)))*$C33</f>
        <v>-8055.0704121636973</v>
      </c>
      <c r="AV33" s="1021">
        <f>(VLOOKUP(YEAR($A33),'NY East Load Projections'!$A$4:$EO$14,((MONTH($A33)-1)*12)+VLOOKUP(AV$4,$DE$6:$DF$17,2)+1))*(VLOOKUP($A33,SatSunCurve,4))*(INDEX(DailyScalarsTable,AV$5/100,MONTH($A33)))*$C33</f>
        <v>-7528.39011891876</v>
      </c>
      <c r="AW33" s="1021">
        <f>(VLOOKUP(YEAR($A33),'NY East Load Projections'!$A$4:$EO$14,((MONTH($A33)-1)*12)+VLOOKUP(AW$4,$DE$6:$DF$17,2)+1))*(VLOOKUP($A33,SatSunCurve,4))*(INDEX(DailyScalarsTable,AW$5/100,MONTH($A33)))*$C33</f>
        <v>-6978.6661447734896</v>
      </c>
      <c r="AX33" s="1021">
        <f>(VLOOKUP(YEAR($A33),'NY East Load Projections'!$A$4:$EO$14,((MONTH($A33)-1)*12)+VLOOKUP(AX$4,$DE$6:$DF$17,2)+1))*(VLOOKUP($A33,SatSunCurve,4))*(INDEX(DailyScalarsTable,AX$5/100,MONTH($A33)))*$C33</f>
        <v>-6887.905011466506</v>
      </c>
      <c r="AY33" s="1021">
        <f>(VLOOKUP(YEAR($A33),'NY East Load Projections'!$A$4:$EO$14,((MONTH($A33)-1)*12)+VLOOKUP(AY$4,$DE$6:$DF$17,2)+1))*(VLOOKUP($A33,SatSunCurve,4))*(INDEX(DailyScalarsTable,AY$5/100,MONTH($A33)))*$C33</f>
        <v>-6850.9808519703502</v>
      </c>
      <c r="AZ33" s="1021">
        <f>(VLOOKUP(YEAR($A33),'NY East Load Projections'!$A$4:$EO$14,((MONTH($A33)-1)*12)+VLOOKUP(AZ$4,$DE$6:$DF$17,2)+1))*(VLOOKUP($A33,SatSunCurve,4))*(INDEX(DailyScalarsTable,AZ$5/100,MONTH($A33)))*$C33</f>
        <v>-7514.453773826106</v>
      </c>
      <c r="BA33" s="1021">
        <f>(VLOOKUP(YEAR($A33),'NY East Load Projections'!$A$4:$EO$14,((MONTH($A33)-1)*12)+VLOOKUP(BA$4,$DE$6:$DF$17,2)+1))*(VLOOKUP($A33,SatSunCurve,4))*(INDEX(DailyScalarsTable,BA$5/100,MONTH($A33)))*$C33</f>
        <v>-9084.3405344437906</v>
      </c>
      <c r="BB33" s="1021">
        <f>(VLOOKUP(YEAR($A33),'NY East Load Projections'!$A$4:$EO$14,((MONTH($A33)-1)*12)+VLOOKUP(BB$4,$DE$6:$DF$17,2)+1))*(VLOOKUP($A33,SatSunCurve,4))*(INDEX(DailyScalarsTable,BB$5/100,MONTH($A33)))*$C33</f>
        <v>-7740.5436503556903</v>
      </c>
      <c r="BC33" s="1021">
        <f>(VLOOKUP(YEAR($A33),'NY East Load Projections'!$A$4:$EO$14,((MONTH($A33)-1)*12)+VLOOKUP(BC$4,$DE$6:$DF$17,2)+1))*(VLOOKUP($A33,SatSunCurve,4))*(INDEX(DailyScalarsTable,BC$5/100,MONTH($A33)))*$C33</f>
        <v>-6838.3035518205343</v>
      </c>
      <c r="BD33" s="1021">
        <f>(VLOOKUP(YEAR($A33),'NY East Load Projections'!$A$4:$EO$14,((MONTH($A33)-1)*12)+VLOOKUP(BD$4,$DE$6:$DF$17,2)+1))*(VLOOKUP($A33,CURVES!$D$9:$T$261,8))*(INDEX(DailyScalarsTable,BD$5/100,MONTH($A33)))*$C33</f>
        <v>-7499.8871687650208</v>
      </c>
      <c r="BE33" s="1021"/>
      <c r="BF33" s="1021">
        <f>(VLOOKUP(YEAR($A33),'NY East Load Projections'!$A$4:$EO$14,((MONTH($A33)-1)*12)+VLOOKUP(BF$4,$DE$6:$DF$17,2)+1))*(VLOOKUP($A33,CURVES!$D$9:$T$261,8))*(INDEX(DailyScalarsTable,BF$5/100,MONTH($A33)))*$D33</f>
        <v>-6591.1799449888795</v>
      </c>
      <c r="BG33" s="1021">
        <f>(VLOOKUP(YEAR($A33),'NY East Load Projections'!$A$4:$EO$14,((MONTH($A33)-1)*12)+VLOOKUP(BG$4,$DE$6:$DF$17,2)+1))*(VLOOKUP($A33,CURVES!$D$9:$T$261,8))*(INDEX(DailyScalarsTable,BG$5/100,MONTH($A33)))*$D33</f>
        <v>-6251.548249364605</v>
      </c>
      <c r="BH33" s="1021">
        <f>(VLOOKUP(YEAR($A33),'NY East Load Projections'!$A$4:$EO$14,((MONTH($A33)-1)*12)+VLOOKUP(BH$4,$DE$6:$DF$17,2)+1))*(VLOOKUP($A33,CURVES!$D$9:$T$261,8))*(INDEX(DailyScalarsTable,BH$5/100,MONTH($A33)))*$D33</f>
        <v>-6000.2177783353573</v>
      </c>
      <c r="BI33" s="1021">
        <f>(VLOOKUP(YEAR($A33),'NY East Load Projections'!$A$4:$EO$14,((MONTH($A33)-1)*12)+VLOOKUP(BI$4,$DE$6:$DF$17,2)+1))*(VLOOKUP($A33,CURVES!$D$9:$T$261,8))*(INDEX(DailyScalarsTable,BI$5/100,MONTH($A33)))*$D33</f>
        <v>-6003.7618923882783</v>
      </c>
      <c r="BJ33" s="1021">
        <f>(VLOOKUP(YEAR($A33),'NY East Load Projections'!$A$4:$EO$14,((MONTH($A33)-1)*12)+VLOOKUP(BJ$4,$DE$6:$DF$17,2)+1))*(VLOOKUP($A33,CURVES!$D$9:$T$261,8))*(INDEX(DailyScalarsTable,BJ$5/100,MONTH($A33)))*$D33</f>
        <v>-6535.6167561939264</v>
      </c>
      <c r="BK33" s="1021">
        <f>(VLOOKUP(YEAR($A33),'NY East Load Projections'!$A$4:$EO$14,((MONTH($A33)-1)*12)+VLOOKUP(BK$4,$DE$6:$DF$17,2)+1))*(VLOOKUP($A33,CURVES!$D$9:$T$261,8))*(INDEX(DailyScalarsTable,BK$5/100,MONTH($A33)))*$D33</f>
        <v>-7528.4761473541357</v>
      </c>
      <c r="BL33" s="1021">
        <f>(VLOOKUP(YEAR($A33),'NY East Load Projections'!$A$4:$EO$14,((MONTH($A33)-1)*12)+VLOOKUP(BL$4,$DE$6:$DF$17,2)+1))*(VLOOKUP($A33,CURVES!$D$9:$T$261,8))*(INDEX(DailyScalarsTable,BL$5/100,MONTH($A33)))*$D33</f>
        <v>-10737.794175894174</v>
      </c>
      <c r="BM33" s="1021">
        <f>(VLOOKUP(YEAR($A33),'NY East Load Projections'!$A$4:$EO$14,((MONTH($A33)-1)*12)+VLOOKUP(BM$4,$DE$6:$DF$17,2)+1))*(VLOOKUP($A33,SatSunCurve,8))*(INDEX(DailyScalarsTable,BM$5/100,MONTH($A33)))*$D33</f>
        <v>-9627.8085110805423</v>
      </c>
      <c r="BN33" s="1021">
        <f>(VLOOKUP(YEAR($A33),'NY East Load Projections'!$A$4:$EO$14,((MONTH($A33)-1)*12)+VLOOKUP(BN$4,$DE$6:$DF$17,2)+1))*(VLOOKUP($A33,SatSunCurve,8))*(INDEX(DailyScalarsTable,BN$5/100,MONTH($A33)))*$D33</f>
        <v>-10507.089293531113</v>
      </c>
      <c r="BO33" s="1021">
        <f>(VLOOKUP(YEAR($A33),'NY East Load Projections'!$A$4:$EO$14,((MONTH($A33)-1)*12)+VLOOKUP(BO$4,$DE$6:$DF$17,2)+1))*(VLOOKUP($A33,SatSunCurve,8))*(INDEX(DailyScalarsTable,BO$5/100,MONTH($A33)))*$D33</f>
        <v>-10069.528516718288</v>
      </c>
      <c r="BP33" s="1021">
        <f>(VLOOKUP(YEAR($A33),'NY East Load Projections'!$A$4:$EO$14,((MONTH($A33)-1)*12)+VLOOKUP(BP$4,$DE$6:$DF$17,2)+1))*(VLOOKUP($A33,SatSunCurve,8))*(INDEX(DailyScalarsTable,BP$5/100,MONTH($A33)))*$D33</f>
        <v>-10277.12169257835</v>
      </c>
      <c r="BQ33" s="1021">
        <f>(VLOOKUP(YEAR($A33),'NY East Load Projections'!$A$4:$EO$14,((MONTH($A33)-1)*12)+VLOOKUP(BQ$4,$DE$6:$DF$17,2)+1))*(VLOOKUP($A33,SatSunCurve,8))*(INDEX(DailyScalarsTable,BQ$5/100,MONTH($A33)))*$D33</f>
        <v>-10297.273492661843</v>
      </c>
      <c r="BR33" s="1021">
        <f>(VLOOKUP(YEAR($A33),'NY East Load Projections'!$A$4:$EO$14,((MONTH($A33)-1)*12)+VLOOKUP(BR$4,$DE$6:$DF$17,2)+1))*(VLOOKUP($A33,SatSunCurve,8))*(INDEX(DailyScalarsTable,BR$5/100,MONTH($A33)))*$D33</f>
        <v>-9270.1722515410856</v>
      </c>
      <c r="BS33" s="1021">
        <f>(VLOOKUP(YEAR($A33),'NY East Load Projections'!$A$4:$EO$14,((MONTH($A33)-1)*12)+VLOOKUP(BS$4,$DE$6:$DF$17,2)+1))*(VLOOKUP($A33,SatSunCurve,8))*(INDEX(DailyScalarsTable,BS$5/100,MONTH($A33)))*$D33</f>
        <v>-9280.1542266975302</v>
      </c>
      <c r="BT33" s="1021">
        <f>(VLOOKUP(YEAR($A33),'NY East Load Projections'!$A$4:$EO$14,((MONTH($A33)-1)*12)+VLOOKUP(BT$4,$DE$6:$DF$17,2)+1))*(VLOOKUP($A33,SatSunCurve,8))*(INDEX(DailyScalarsTable,BT$5/100,MONTH($A33)))*$D33</f>
        <v>-8704.1355426696082</v>
      </c>
      <c r="BU33" s="1021">
        <f>(VLOOKUP(YEAR($A33),'NY East Load Projections'!$A$4:$EO$14,((MONTH($A33)-1)*12)+VLOOKUP(BU$4,$DE$6:$DF$17,2)+1))*(VLOOKUP($A33,SatSunCurve,8))*(INDEX(DailyScalarsTable,BU$5/100,MONTH($A33)))*$D33</f>
        <v>-8135.0161649998226</v>
      </c>
      <c r="BV33" s="1021">
        <f>(VLOOKUP(YEAR($A33),'NY East Load Projections'!$A$4:$EO$14,((MONTH($A33)-1)*12)+VLOOKUP(BV$4,$DE$6:$DF$17,2)+1))*(VLOOKUP($A33,SatSunCurve,8))*(INDEX(DailyScalarsTable,BV$5/100,MONTH($A33)))*$D33</f>
        <v>-7540.9962822201551</v>
      </c>
      <c r="BW33" s="1021">
        <f>(VLOOKUP(YEAR($A33),'NY East Load Projections'!$A$4:$EO$14,((MONTH($A33)-1)*12)+VLOOKUP(BW$4,$DE$6:$DF$17,2)+1))*(VLOOKUP($A33,SatSunCurve,8))*(INDEX(DailyScalarsTable,BW$5/100,MONTH($A33)))*$D33</f>
        <v>-7442.9217569972161</v>
      </c>
      <c r="BX33" s="1021">
        <f>(VLOOKUP(YEAR($A33),'NY East Load Projections'!$A$4:$EO$14,((MONTH($A33)-1)*12)+VLOOKUP(BX$4,$DE$6:$DF$17,2)+1))*(VLOOKUP($A33,SatSunCurve,8))*(INDEX(DailyScalarsTable,BX$5/100,MONTH($A33)))*$D33</f>
        <v>-7403.0223057685389</v>
      </c>
      <c r="BY33" s="1021">
        <f>(VLOOKUP(YEAR($A33),'NY East Load Projections'!$A$4:$EO$14,((MONTH($A33)-1)*12)+VLOOKUP(BY$4,$DE$6:$DF$17,2)+1))*(VLOOKUP($A33,SatSunCurve,8))*(INDEX(DailyScalarsTable,BY$5/100,MONTH($A33)))*$D33</f>
        <v>-8119.9568507481781</v>
      </c>
      <c r="BZ33" s="1021">
        <f>(VLOOKUP(YEAR($A33),'NY East Load Projections'!$A$4:$EO$14,((MONTH($A33)-1)*12)+VLOOKUP(BZ$4,$DE$6:$DF$17,2)+1))*(VLOOKUP($A33,SatSunCurve,8))*(INDEX(DailyScalarsTable,BZ$5/100,MONTH($A33)))*$D33</f>
        <v>-9816.3426614078253</v>
      </c>
      <c r="CA33" s="1021">
        <f>(VLOOKUP(YEAR($A33),'NY East Load Projections'!$A$4:$EO$14,((MONTH($A33)-1)*12)+VLOOKUP(CA$4,$DE$6:$DF$17,2)+1))*(VLOOKUP($A33,SatSunCurve,8))*(INDEX(DailyScalarsTable,CA$5/100,MONTH($A33)))*$D33</f>
        <v>-8364.2647002695521</v>
      </c>
      <c r="CB33" s="1021">
        <f>(VLOOKUP(YEAR($A33),'NY East Load Projections'!$A$4:$EO$14,((MONTH($A33)-1)*12)+VLOOKUP(CB$4,$DE$6:$DF$17,2)+1))*(VLOOKUP($A33,SatSunCurve,8))*(INDEX(DailyScalarsTable,CB$5/100,MONTH($A33)))*$D33</f>
        <v>-7389.3234883562827</v>
      </c>
      <c r="CC33" s="1021">
        <f>(VLOOKUP(YEAR($A33),'NY East Load Projections'!$A$4:$EO$14,((MONTH($A33)-1)*12)+VLOOKUP(CC$4,$DE$6:$DF$17,2)+1))*(VLOOKUP($A33,CURVES!$D$9:$T$261,8))*(INDEX(DailyScalarsTable,CC$5/100,MONTH($A33)))*$D33</f>
        <v>-7499.8871687650208</v>
      </c>
      <c r="CE33" s="1021">
        <f>(VLOOKUP(YEAR($A33),'NY East Load Projections'!$A$4:$EO$14,((MONTH($A33)-1)*12)+VLOOKUP(CE$4,$DE$6:$DF$17,2)+1))*(VLOOKUP($A33,CURVES!$D$9:$T$261,8))*(INDEX(DailyScalarsTable,CE$5/100,MONTH($A33)))*$E33</f>
        <v>0</v>
      </c>
      <c r="CF33" s="1021">
        <f>(VLOOKUP(YEAR($A33),'NY East Load Projections'!$A$4:$EO$14,((MONTH($A33)-1)*12)+VLOOKUP(CF$4,$DE$6:$DF$17,2)+1))*(VLOOKUP($A33,CURVES!$D$9:$T$261,8))*(INDEX(DailyScalarsTable,CF$5/100,MONTH($A33)))*$E33</f>
        <v>0</v>
      </c>
      <c r="CG33" s="1021">
        <f>(VLOOKUP(YEAR($A33),'NY East Load Projections'!$A$4:$EO$14,((MONTH($A33)-1)*12)+VLOOKUP(CG$4,$DE$6:$DF$17,2)+1))*(VLOOKUP($A33,CURVES!$D$9:$T$261,8))*(INDEX(DailyScalarsTable,CG$5/100,MONTH($A33)))*$E33</f>
        <v>0</v>
      </c>
      <c r="CH33" s="1021">
        <f>(VLOOKUP(YEAR($A33),'NY East Load Projections'!$A$4:$EO$14,((MONTH($A33)-1)*12)+VLOOKUP(CH$4,$DE$6:$DF$17,2)+1))*(VLOOKUP($A33,CURVES!$D$9:$T$261,8))*(INDEX(DailyScalarsTable,CH$5/100,MONTH($A33)))*$E33</f>
        <v>0</v>
      </c>
      <c r="CI33" s="1021">
        <f>(VLOOKUP(YEAR($A33),'NY East Load Projections'!$A$4:$EO$14,((MONTH($A33)-1)*12)+VLOOKUP(CI$4,$DE$6:$DF$17,2)+1))*(VLOOKUP($A33,CURVES!$D$9:$T$261,8))*(INDEX(DailyScalarsTable,CI$5/100,MONTH($A33)))*$E33</f>
        <v>0</v>
      </c>
      <c r="CJ33" s="1021">
        <f>(VLOOKUP(YEAR($A33),'NY East Load Projections'!$A$4:$EO$14,((MONTH($A33)-1)*12)+VLOOKUP(CJ$4,$DE$6:$DF$17,2)+1))*(VLOOKUP($A33,CURVES!$D$9:$T$261,8))*(INDEX(DailyScalarsTable,CJ$5/100,MONTH($A33)))*$E33</f>
        <v>0</v>
      </c>
      <c r="CK33" s="1021">
        <f>(VLOOKUP(YEAR($A33),'NY East Load Projections'!$A$4:$EO$14,((MONTH($A33)-1)*12)+VLOOKUP(CK$4,$DE$6:$DF$17,2)+1))*(VLOOKUP($A33,CURVES!$D$9:$T$261,8))*(INDEX(DailyScalarsTable,CK$5/100,MONTH($A33)))*$E33</f>
        <v>0</v>
      </c>
      <c r="CL33" s="1021">
        <f>(VLOOKUP(YEAR($A33),'NY East Load Projections'!$A$4:$EO$14,((MONTH($A33)-1)*12)+VLOOKUP(CL$4,$DE$6:$DF$17,2)+1))*(VLOOKUP($A33,SatSunCurve,8))*(INDEX(DailyScalarsTable,CL$5/100,MONTH($A33)))*$E33</f>
        <v>0</v>
      </c>
      <c r="CM33" s="1021">
        <f>(VLOOKUP(YEAR($A33),'NY East Load Projections'!$A$4:$EO$14,((MONTH($A33)-1)*12)+VLOOKUP(CM$4,$DE$6:$DF$17,2)+1))*(VLOOKUP($A33,SatSunCurve,8))*(INDEX(DailyScalarsTable,CM$5/100,MONTH($A33)))*$E33</f>
        <v>0</v>
      </c>
      <c r="CN33" s="1021">
        <f>(VLOOKUP(YEAR($A33),'NY East Load Projections'!$A$4:$EO$14,((MONTH($A33)-1)*12)+VLOOKUP(CN$4,$DE$6:$DF$17,2)+1))*(VLOOKUP($A33,SatSunCurve,8))*(INDEX(DailyScalarsTable,CN$5/100,MONTH($A33)))*$E33</f>
        <v>0</v>
      </c>
      <c r="CO33" s="1021">
        <f>(VLOOKUP(YEAR($A33),'NY East Load Projections'!$A$4:$EO$14,((MONTH($A33)-1)*12)+VLOOKUP(CO$4,$DE$6:$DF$17,2)+1))*(VLOOKUP($A33,SatSunCurve,8))*(INDEX(DailyScalarsTable,CO$5/100,MONTH($A33)))*$E33</f>
        <v>0</v>
      </c>
      <c r="CP33" s="1021">
        <f>(VLOOKUP(YEAR($A33),'NY East Load Projections'!$A$4:$EO$14,((MONTH($A33)-1)*12)+VLOOKUP(CP$4,$DE$6:$DF$17,2)+1))*(VLOOKUP($A33,SatSunCurve,8))*(INDEX(DailyScalarsTable,CP$5/100,MONTH($A33)))*$E33</f>
        <v>0</v>
      </c>
      <c r="CQ33" s="1021">
        <f>(VLOOKUP(YEAR($A33),'NY East Load Projections'!$A$4:$EO$14,((MONTH($A33)-1)*12)+VLOOKUP(CQ$4,$DE$6:$DF$17,2)+1))*(VLOOKUP($A33,SatSunCurve,8))*(INDEX(DailyScalarsTable,CQ$5/100,MONTH($A33)))*$E33</f>
        <v>0</v>
      </c>
      <c r="CR33" s="1021">
        <f>(VLOOKUP(YEAR($A33),'NY East Load Projections'!$A$4:$EO$14,((MONTH($A33)-1)*12)+VLOOKUP(CR$4,$DE$6:$DF$17,2)+1))*(VLOOKUP($A33,SatSunCurve,8))*(INDEX(DailyScalarsTable,CR$5/100,MONTH($A33)))*$E33</f>
        <v>0</v>
      </c>
      <c r="CS33" s="1021">
        <f>(VLOOKUP(YEAR($A33),'NY East Load Projections'!$A$4:$EO$14,((MONTH($A33)-1)*12)+VLOOKUP(CS$4,$DE$6:$DF$17,2)+1))*(VLOOKUP($A33,SatSunCurve,8))*(INDEX(DailyScalarsTable,CS$5/100,MONTH($A33)))*$E33</f>
        <v>0</v>
      </c>
      <c r="CT33" s="1021">
        <f>(VLOOKUP(YEAR($A33),'NY East Load Projections'!$A$4:$EO$14,((MONTH($A33)-1)*12)+VLOOKUP(CT$4,$DE$6:$DF$17,2)+1))*(VLOOKUP($A33,SatSunCurve,8))*(INDEX(DailyScalarsTable,CT$5/100,MONTH($A33)))*$E33</f>
        <v>0</v>
      </c>
      <c r="CU33" s="1021">
        <f>(VLOOKUP(YEAR($A33),'NY East Load Projections'!$A$4:$EO$14,((MONTH($A33)-1)*12)+VLOOKUP(CU$4,$DE$6:$DF$17,2)+1))*(VLOOKUP($A33,SatSunCurve,8))*(INDEX(DailyScalarsTable,CU$5/100,MONTH($A33)))*$E33</f>
        <v>0</v>
      </c>
      <c r="CV33" s="1021">
        <f>(VLOOKUP(YEAR($A33),'NY East Load Projections'!$A$4:$EO$14,((MONTH($A33)-1)*12)+VLOOKUP(CV$4,$DE$6:$DF$17,2)+1))*(VLOOKUP($A33,SatSunCurve,8))*(INDEX(DailyScalarsTable,CV$5/100,MONTH($A33)))*$E33</f>
        <v>0</v>
      </c>
      <c r="CW33" s="1021">
        <f>(VLOOKUP(YEAR($A33),'NY East Load Projections'!$A$4:$EO$14,((MONTH($A33)-1)*12)+VLOOKUP(CW$4,$DE$6:$DF$17,2)+1))*(VLOOKUP($A33,SatSunCurve,8))*(INDEX(DailyScalarsTable,CW$5/100,MONTH($A33)))*$E33</f>
        <v>0</v>
      </c>
      <c r="CX33" s="1021">
        <f>(VLOOKUP(YEAR($A33),'NY East Load Projections'!$A$4:$EO$14,((MONTH($A33)-1)*12)+VLOOKUP(CX$4,$DE$6:$DF$17,2)+1))*(VLOOKUP($A33,SatSunCurve,8))*(INDEX(DailyScalarsTable,CX$5/100,MONTH($A33)))*$E33</f>
        <v>0</v>
      </c>
      <c r="CY33" s="1021">
        <f>(VLOOKUP(YEAR($A33),'NY East Load Projections'!$A$4:$EO$14,((MONTH($A33)-1)*12)+VLOOKUP(CY$4,$DE$6:$DF$17,2)+1))*(VLOOKUP($A33,SatSunCurve,8))*(INDEX(DailyScalarsTable,CY$5/100,MONTH($A33)))*$E33</f>
        <v>0</v>
      </c>
      <c r="CZ33" s="1021">
        <f>(VLOOKUP(YEAR($A33),'NY East Load Projections'!$A$4:$EO$14,((MONTH($A33)-1)*12)+VLOOKUP(CZ$4,$DE$6:$DF$17,2)+1))*(VLOOKUP($A33,SatSunCurve,8))*(INDEX(DailyScalarsTable,CZ$5/100,MONTH($A33)))*$E33</f>
        <v>0</v>
      </c>
      <c r="DA33" s="1021">
        <f>(VLOOKUP(YEAR($A33),'NY East Load Projections'!$A$4:$EO$14,((MONTH($A33)-1)*12)+VLOOKUP(DA$4,$DE$6:$DF$17,2)+1))*(VLOOKUP($A33,SatSunCurve,8))*(INDEX(DailyScalarsTable,DA$5/100,MONTH($A33)))*$E33</f>
        <v>0</v>
      </c>
      <c r="DB33" s="1021">
        <f>(VLOOKUP(YEAR($A33),'NY East Load Projections'!$A$4:$EO$14,((MONTH($A33)-1)*12)+VLOOKUP(DB$4,$DE$6:$DF$17,2)+1))*(VLOOKUP($A33,CURVES!$D$9:$T$261,8))*(INDEX(DailyScalarsTable,DB$5/100,MONTH($A33)))*$E33</f>
        <v>0</v>
      </c>
      <c r="DH33" s="1021">
        <f t="shared" si="0"/>
        <v>-1811374.7083509453</v>
      </c>
      <c r="DI33">
        <f ca="1">CALC!J53</f>
        <v>0.79649788221559004</v>
      </c>
      <c r="DJ33" s="1029">
        <f t="shared" ca="1" si="1"/>
        <v>-1442756.11910041</v>
      </c>
    </row>
    <row r="34" spans="1:114" x14ac:dyDescent="0.25">
      <c r="A34" s="244">
        <v>37742</v>
      </c>
      <c r="B34" s="13">
        <v>21</v>
      </c>
      <c r="C34" s="210">
        <v>5</v>
      </c>
      <c r="D34" s="210">
        <v>4</v>
      </c>
      <c r="E34" s="210">
        <v>1</v>
      </c>
      <c r="F34" s="13">
        <v>31</v>
      </c>
      <c r="H34" s="1021">
        <f>(VLOOKUP(YEAR($A34),'NY East Load Projections'!$A$4:$EO$14,((MONTH($A34)-1)*12)+VLOOKUP(H$4,$DE$6:$DF$17,2)+1))*(VLOOKUP($A34,CURVES!$D$9:$K$261,8))*(INDEX(DailyScalarsTable,H$5/100,MONTH($A34)))*$B34</f>
        <v>-38180.557892777644</v>
      </c>
      <c r="I34" s="1021">
        <f>(VLOOKUP(YEAR($A34),'NY East Load Projections'!$A$4:$EO$14,((MONTH($A34)-1)*12)+VLOOKUP(I$4,$DE$6:$DF$17,2)+1))*(VLOOKUP($A34,CURVES!$D$9:$K$261,8))*(INDEX(DailyScalarsTable,I$5/100,MONTH($A34)))*$B34</f>
        <v>-34391.571050175924</v>
      </c>
      <c r="J34" s="1021">
        <f>(VLOOKUP(YEAR($A34),'NY East Load Projections'!$A$4:$EO$14,((MONTH($A34)-1)*12)+VLOOKUP(J$4,$DE$6:$DF$17,2)+1))*(VLOOKUP($A34,CURVES!$D$9:$K$261,8))*(INDEX(DailyScalarsTable,J$5/100,MONTH($A34)))*$B34</f>
        <v>-32547.196502454455</v>
      </c>
      <c r="K34" s="1021">
        <f>(VLOOKUP(YEAR($A34),'NY East Load Projections'!$A$4:$EO$14,((MONTH($A34)-1)*12)+VLOOKUP(K$4,$DE$6:$DF$17,2)+1))*(VLOOKUP($A34,CURVES!$D$9:$K$261,8))*(INDEX(DailyScalarsTable,K$5/100,MONTH($A34)))*$B34</f>
        <v>-31554.842805582564</v>
      </c>
      <c r="L34" s="1021">
        <f>(VLOOKUP(YEAR($A34),'NY East Load Projections'!$A$4:$EO$14,((MONTH($A34)-1)*12)+VLOOKUP(L$4,$DE$6:$DF$17,2)+1))*(VLOOKUP($A34,CURVES!$D$9:$K$261,8))*(INDEX(DailyScalarsTable,L$5/100,MONTH($A34)))*$B34</f>
        <v>-37908.713456352838</v>
      </c>
      <c r="M34" s="1021">
        <f>(VLOOKUP(YEAR($A34),'NY East Load Projections'!$A$4:$EO$14,((MONTH($A34)-1)*12)+VLOOKUP(M$4,$DE$6:$DF$17,2)+1))*(VLOOKUP($A34,CURVES!$D$9:$K$261,8))*(INDEX(DailyScalarsTable,M$5/100,MONTH($A34)))*$B34</f>
        <v>-45962.090376070984</v>
      </c>
      <c r="N34" s="1021">
        <f>(VLOOKUP(YEAR($A34),'NY East Load Projections'!$A$4:$EO$14,((MONTH($A34)-1)*12)+VLOOKUP(N$4,$DE$6:$DF$17,2)+1))*(VLOOKUP($A34,CURVES!$D$9:$K$261,8))*(INDEX(DailyScalarsTable,N$5/100,MONTH($A34)))*$B34</f>
        <v>-54994.330788793566</v>
      </c>
      <c r="O34" s="1021">
        <f>(VLOOKUP(YEAR($A34),'NY East Load Projections'!$A$4:$EO$14,((MONTH($A34)-1)*12)+VLOOKUP(O$4,$DE$6:$DF$17,2)+1))*(VLOOKUP($A34,CURVES!$D$9:$K$261,4))*(INDEX(DailyScalarsTable,O$5/100,MONTH($A34)))*$B34</f>
        <v>-70024.384617340213</v>
      </c>
      <c r="P34" s="1021">
        <f>(VLOOKUP(YEAR($A34),'NY East Load Projections'!$A$4:$EO$14,((MONTH($A34)-1)*12)+VLOOKUP(P$4,$DE$6:$DF$17,2)+1))*(VLOOKUP($A34,CURVES!$D$9:$K$261,4))*(INDEX(DailyScalarsTable,P$5/100,MONTH($A34)))*$B34</f>
        <v>-86007.4156485313</v>
      </c>
      <c r="Q34" s="1021">
        <f>(VLOOKUP(YEAR($A34),'NY East Load Projections'!$A$4:$EO$14,((MONTH($A34)-1)*12)+VLOOKUP(Q$4,$DE$6:$DF$17,2)+1))*(VLOOKUP($A34,CURVES!$D$9:$K$261,4))*(INDEX(DailyScalarsTable,Q$5/100,MONTH($A34)))*$B34</f>
        <v>-87532.896415802388</v>
      </c>
      <c r="R34" s="1021">
        <f>(VLOOKUP(YEAR($A34),'NY East Load Projections'!$A$4:$EO$14,((MONTH($A34)-1)*12)+VLOOKUP(R$4,$DE$6:$DF$17,2)+1))*(VLOOKUP($A34,CURVES!$D$9:$K$261,4))*(INDEX(DailyScalarsTable,R$5/100,MONTH($A34)))*$B34</f>
        <v>-92851.829356552902</v>
      </c>
      <c r="S34" s="1021">
        <f>(VLOOKUP(YEAR($A34),'NY East Load Projections'!$A$4:$EO$14,((MONTH($A34)-1)*12)+VLOOKUP(S$4,$DE$6:$DF$17,2)+1))*(VLOOKUP($A34,CURVES!$D$9:$K$261,4))*(INDEX(DailyScalarsTable,S$5/100,MONTH($A34)))*$B34</f>
        <v>-92149.838207012188</v>
      </c>
      <c r="T34" s="1021">
        <f>(VLOOKUP(YEAR($A34),'NY East Load Projections'!$A$4:$EO$14,((MONTH($A34)-1)*12)+VLOOKUP(T$4,$DE$6:$DF$17,2)+1))*(VLOOKUP($A34,CURVES!$D$9:$K$261,4))*(INDEX(DailyScalarsTable,T$5/100,MONTH($A34)))*$B34</f>
        <v>-88817.078563175281</v>
      </c>
      <c r="U34" s="1021">
        <f>(VLOOKUP(YEAR($A34),'NY East Load Projections'!$A$4:$EO$14,((MONTH($A34)-1)*12)+VLOOKUP(U$4,$DE$6:$DF$17,2)+1))*(VLOOKUP($A34,CURVES!$D$9:$K$261,4))*(INDEX(DailyScalarsTable,U$5/100,MONTH($A34)))*$B34</f>
        <v>-89245.145950528909</v>
      </c>
      <c r="V34" s="1021">
        <f>(VLOOKUP(YEAR($A34),'NY East Load Projections'!$A$4:$EO$14,((MONTH($A34)-1)*12)+VLOOKUP(V$4,$DE$6:$DF$17,2)+1))*(VLOOKUP($A34,CURVES!$D$9:$K$261,4))*(INDEX(DailyScalarsTable,V$5/100,MONTH($A34)))*$B34</f>
        <v>-86566.272623219207</v>
      </c>
      <c r="W34" s="1021">
        <f>(VLOOKUP(YEAR($A34),'NY East Load Projections'!$A$4:$EO$14,((MONTH($A34)-1)*12)+VLOOKUP(W$4,$DE$6:$DF$17,2)+1))*(VLOOKUP($A34,CURVES!$D$9:$K$261,4))*(INDEX(DailyScalarsTable,W$5/100,MONTH($A34)))*$B34</f>
        <v>-83196.968025984315</v>
      </c>
      <c r="X34" s="1021">
        <f>(VLOOKUP(YEAR($A34),'NY East Load Projections'!$A$4:$EO$14,((MONTH($A34)-1)*12)+VLOOKUP(X$4,$DE$6:$DF$17,2)+1))*(VLOOKUP($A34,CURVES!$D$9:$K$261,4))*(INDEX(DailyScalarsTable,X$5/100,MONTH($A34)))*$B34</f>
        <v>-78880.07566103719</v>
      </c>
      <c r="Y34" s="1021">
        <f>(VLOOKUP(YEAR($A34),'NY East Load Projections'!$A$4:$EO$14,((MONTH($A34)-1)*12)+VLOOKUP(Y$4,$DE$6:$DF$17,2)+1))*(VLOOKUP($A34,CURVES!$D$9:$K$261,4))*(INDEX(DailyScalarsTable,Y$5/100,MONTH($A34)))*$B34</f>
        <v>-75805.987236716406</v>
      </c>
      <c r="Z34" s="1021">
        <f>(VLOOKUP(YEAR($A34),'NY East Load Projections'!$A$4:$EO$14,((MONTH($A34)-1)*12)+VLOOKUP(Z$4,$DE$6:$DF$17,2)+1))*(VLOOKUP($A34,CURVES!$D$9:$K$261,4))*(INDEX(DailyScalarsTable,Z$5/100,MONTH($A34)))*$B34</f>
        <v>-65679.578309542165</v>
      </c>
      <c r="AA34" s="1021">
        <f>(VLOOKUP(YEAR($A34),'NY East Load Projections'!$A$4:$EO$14,((MONTH($A34)-1)*12)+VLOOKUP(AA$4,$DE$6:$DF$17,2)+1))*(VLOOKUP($A34,CURVES!$D$9:$K$261,4))*(INDEX(DailyScalarsTable,AA$5/100,MONTH($A34)))*$B34</f>
        <v>-65511.665916617108</v>
      </c>
      <c r="AB34" s="1021">
        <f>(VLOOKUP(YEAR($A34),'NY East Load Projections'!$A$4:$EO$14,((MONTH($A34)-1)*12)+VLOOKUP(AB$4,$DE$6:$DF$17,2)+1))*(VLOOKUP($A34,CURVES!$D$9:$K$261,4))*(INDEX(DailyScalarsTable,AB$5/100,MONTH($A34)))*$B34</f>
        <v>-75785.654988574432</v>
      </c>
      <c r="AC34" s="1021">
        <f>(VLOOKUP(YEAR($A34),'NY East Load Projections'!$A$4:$EO$14,((MONTH($A34)-1)*12)+VLOOKUP(AC$4,$DE$6:$DF$17,2)+1))*(VLOOKUP($A34,CURVES!$D$9:$K$261,4))*(INDEX(DailyScalarsTable,AC$5/100,MONTH($A34)))*$B34</f>
        <v>-72285.399823613945</v>
      </c>
      <c r="AD34" s="1021">
        <f>(VLOOKUP(YEAR($A34),'NY East Load Projections'!$A$4:$EO$14,((MONTH($A34)-1)*12)+VLOOKUP(AD$4,$DE$6:$DF$17,2)+1))*(VLOOKUP($A34,CURVES!$D$9:$K$261,4))*(INDEX(DailyScalarsTable,AD$5/100,MONTH($A34)))*$B34</f>
        <v>-57987.940615599444</v>
      </c>
      <c r="AE34" s="1021">
        <f>(VLOOKUP(YEAR($A34),'NY East Load Projections'!$A$4:$EO$14,((MONTH($A34)-1)*12)+VLOOKUP(AE$4,$DE$6:$DF$17,2)+1))*(VLOOKUP($A34,CURVES!$D$9:$K$261,8))*(INDEX(DailyScalarsTable,AE$5/100,MONTH($A34)))*$B34</f>
        <v>-47563.611186495342</v>
      </c>
      <c r="AF34" s="1021"/>
      <c r="AG34" s="1021">
        <f>(VLOOKUP(YEAR($A34),'NY East Load Projections'!$A$4:$EO$14,((MONTH($A34)-1)*12)+VLOOKUP(AG$4,$DE$6:$DF$17,2)+1))*(VLOOKUP($A34,CURVES!$D$9:$T$261,8))*(INDEX(DailyScalarsTable,AG$5/100,MONTH($A34)))*$C34</f>
        <v>-9677.1095260262809</v>
      </c>
      <c r="AH34" s="1021">
        <f>(VLOOKUP(YEAR($A34),'NY East Load Projections'!$A$4:$EO$14,((MONTH($A34)-1)*12)+VLOOKUP(AH$4,$DE$6:$DF$17,2)+1))*(VLOOKUP($A34,CURVES!$D$9:$T$261,8))*(INDEX(DailyScalarsTable,AH$5/100,MONTH($A34)))*$C34</f>
        <v>-8716.7662861108329</v>
      </c>
      <c r="AI34" s="1021">
        <f>(VLOOKUP(YEAR($A34),'NY East Load Projections'!$A$4:$EO$14,((MONTH($A34)-1)*12)+VLOOKUP(AI$4,$DE$6:$DF$17,2)+1))*(VLOOKUP($A34,CURVES!$D$9:$T$261,8))*(INDEX(DailyScalarsTable,AI$5/100,MONTH($A34)))*$C34</f>
        <v>-8249.2976190620466</v>
      </c>
      <c r="AJ34" s="1021">
        <f>(VLOOKUP(YEAR($A34),'NY East Load Projections'!$A$4:$EO$14,((MONTH($A34)-1)*12)+VLOOKUP(AJ$4,$DE$6:$DF$17,2)+1))*(VLOOKUP($A34,CURVES!$D$9:$T$261,8))*(INDEX(DailyScalarsTable,AJ$5/100,MONTH($A34)))*$C34</f>
        <v>-7997.7791514651417</v>
      </c>
      <c r="AK34" s="1021">
        <f>(VLOOKUP(YEAR($A34),'NY East Load Projections'!$A$4:$EO$14,((MONTH($A34)-1)*12)+VLOOKUP(AK$4,$DE$6:$DF$17,2)+1))*(VLOOKUP($A34,CURVES!$D$9:$T$261,8))*(INDEX(DailyScalarsTable,AK$5/100,MONTH($A34)))*$C34</f>
        <v>-8788.8526150611433</v>
      </c>
      <c r="AL34" s="1021">
        <f>(VLOOKUP(YEAR($A34),'NY East Load Projections'!$A$4:$EO$14,((MONTH($A34)-1)*12)+VLOOKUP(AL$4,$DE$6:$DF$17,2)+1))*(VLOOKUP($A34,CURVES!$D$9:$T$261,8))*(INDEX(DailyScalarsTable,AL$5/100,MONTH($A34)))*$C34</f>
        <v>-10655.968018026011</v>
      </c>
      <c r="AM34" s="1021">
        <f>(VLOOKUP(YEAR($A34),'NY East Load Projections'!$A$4:$EO$14,((MONTH($A34)-1)*12)+VLOOKUP(AM$4,$DE$6:$DF$17,2)+1))*(VLOOKUP($A34,CURVES!$D$9:$T$261,8))*(INDEX(DailyScalarsTable,AM$5/100,MONTH($A34)))*$C34</f>
        <v>-12750.02562466617</v>
      </c>
      <c r="AN34" s="1021">
        <f>(VLOOKUP(YEAR($A34),'NY East Load Projections'!$A$4:$EO$14,((MONTH($A34)-1)*12)+VLOOKUP(AN$4,$DE$6:$DF$17,2)+1))*(VLOOKUP($A34,SatSunCurve,4))*(INDEX(DailyScalarsTable,AN$5/100,MONTH($A34)))*$C34</f>
        <v>-10499.015344947513</v>
      </c>
      <c r="AO34" s="1021">
        <f>(VLOOKUP(YEAR($A34),'NY East Load Projections'!$A$4:$EO$14,((MONTH($A34)-1)*12)+VLOOKUP(AO$4,$DE$6:$DF$17,2)+1))*(VLOOKUP($A34,SatSunCurve,4))*(INDEX(DailyScalarsTable,AO$5/100,MONTH($A34)))*$C34</f>
        <v>-12874.965654552389</v>
      </c>
      <c r="AP34" s="1021">
        <f>(VLOOKUP(YEAR($A34),'NY East Load Projections'!$A$4:$EO$14,((MONTH($A34)-1)*12)+VLOOKUP(AP$4,$DE$6:$DF$17,2)+1))*(VLOOKUP($A34,SatSunCurve,4))*(INDEX(DailyScalarsTable,AP$5/100,MONTH($A34)))*$C34</f>
        <v>-13103.324015714599</v>
      </c>
      <c r="AQ34" s="1021">
        <f>(VLOOKUP(YEAR($A34),'NY East Load Projections'!$A$4:$EO$14,((MONTH($A34)-1)*12)+VLOOKUP(AQ$4,$DE$6:$DF$17,2)+1))*(VLOOKUP($A34,SatSunCurve,4))*(INDEX(DailyScalarsTable,AQ$5/100,MONTH($A34)))*$C34</f>
        <v>-13899.546974103179</v>
      </c>
      <c r="AR34" s="1021">
        <f>(VLOOKUP(YEAR($A34),'NY East Load Projections'!$A$4:$EO$14,((MONTH($A34)-1)*12)+VLOOKUP(AR$4,$DE$6:$DF$17,2)+1))*(VLOOKUP($A34,SatSunCurve,4))*(INDEX(DailyScalarsTable,AR$5/100,MONTH($A34)))*$C34</f>
        <v>-13794.461710559506</v>
      </c>
      <c r="AS34" s="1021">
        <f>(VLOOKUP(YEAR($A34),'NY East Load Projections'!$A$4:$EO$14,((MONTH($A34)-1)*12)+VLOOKUP(AS$4,$DE$6:$DF$17,2)+1))*(VLOOKUP($A34,SatSunCurve,4))*(INDEX(DailyScalarsTable,AS$5/100,MONTH($A34)))*$C34</f>
        <v>-12904.959164144406</v>
      </c>
      <c r="AT34" s="1021">
        <f>(VLOOKUP(YEAR($A34),'NY East Load Projections'!$A$4:$EO$14,((MONTH($A34)-1)*12)+VLOOKUP(AT$4,$DE$6:$DF$17,2)+1))*(VLOOKUP($A34,SatSunCurve,4))*(INDEX(DailyScalarsTable,AT$5/100,MONTH($A34)))*$C34</f>
        <v>-12967.156573051199</v>
      </c>
      <c r="AU34" s="1021">
        <f>(VLOOKUP(YEAR($A34),'NY East Load Projections'!$A$4:$EO$14,((MONTH($A34)-1)*12)+VLOOKUP(AU$4,$DE$6:$DF$17,2)+1))*(VLOOKUP($A34,SatSunCurve,4))*(INDEX(DailyScalarsTable,AU$5/100,MONTH($A34)))*$C34</f>
        <v>-12577.921175376447</v>
      </c>
      <c r="AV34" s="1021">
        <f>(VLOOKUP(YEAR($A34),'NY East Load Projections'!$A$4:$EO$14,((MONTH($A34)-1)*12)+VLOOKUP(AV$4,$DE$6:$DF$17,2)+1))*(VLOOKUP($A34,SatSunCurve,4))*(INDEX(DailyScalarsTable,AV$5/100,MONTH($A34)))*$C34</f>
        <v>-12088.367376239126</v>
      </c>
      <c r="AW34" s="1021">
        <f>(VLOOKUP(YEAR($A34),'NY East Load Projections'!$A$4:$EO$14,((MONTH($A34)-1)*12)+VLOOKUP(AW$4,$DE$6:$DF$17,2)+1))*(VLOOKUP($A34,SatSunCurve,4))*(INDEX(DailyScalarsTable,AW$5/100,MONTH($A34)))*$C34</f>
        <v>-11359.381480415777</v>
      </c>
      <c r="AX34" s="1021">
        <f>(VLOOKUP(YEAR($A34),'NY East Load Projections'!$A$4:$EO$14,((MONTH($A34)-1)*12)+VLOOKUP(AX$4,$DE$6:$DF$17,2)+1))*(VLOOKUP($A34,SatSunCurve,4))*(INDEX(DailyScalarsTable,AX$5/100,MONTH($A34)))*$C34</f>
        <v>-10916.68739291963</v>
      </c>
      <c r="AY34" s="1021">
        <f>(VLOOKUP(YEAR($A34),'NY East Load Projections'!$A$4:$EO$14,((MONTH($A34)-1)*12)+VLOOKUP(AY$4,$DE$6:$DF$17,2)+1))*(VLOOKUP($A34,SatSunCurve,4))*(INDEX(DailyScalarsTable,AY$5/100,MONTH($A34)))*$C34</f>
        <v>-9458.4009870499776</v>
      </c>
      <c r="AZ34" s="1021">
        <f>(VLOOKUP(YEAR($A34),'NY East Load Projections'!$A$4:$EO$14,((MONTH($A34)-1)*12)+VLOOKUP(AZ$4,$DE$6:$DF$17,2)+1))*(VLOOKUP($A34,SatSunCurve,4))*(INDEX(DailyScalarsTable,AZ$5/100,MONTH($A34)))*$C34</f>
        <v>-9434.2202175648981</v>
      </c>
      <c r="BA34" s="1021">
        <f>(VLOOKUP(YEAR($A34),'NY East Load Projections'!$A$4:$EO$14,((MONTH($A34)-1)*12)+VLOOKUP(BA$4,$DE$6:$DF$17,2)+1))*(VLOOKUP($A34,SatSunCurve,4))*(INDEX(DailyScalarsTable,BA$5/100,MONTH($A34)))*$C34</f>
        <v>-12063.494392358736</v>
      </c>
      <c r="BB34" s="1021">
        <f>(VLOOKUP(YEAR($A34),'NY East Load Projections'!$A$4:$EO$14,((MONTH($A34)-1)*12)+VLOOKUP(BB$4,$DE$6:$DF$17,2)+1))*(VLOOKUP($A34,SatSunCurve,4))*(INDEX(DailyScalarsTable,BB$5/100,MONTH($A34)))*$C34</f>
        <v>-11506.326831285449</v>
      </c>
      <c r="BC34" s="1021">
        <f>(VLOOKUP(YEAR($A34),'NY East Load Projections'!$A$4:$EO$14,((MONTH($A34)-1)*12)+VLOOKUP(BC$4,$DE$6:$DF$17,2)+1))*(VLOOKUP($A34,SatSunCurve,4))*(INDEX(DailyScalarsTable,BC$5/100,MONTH($A34)))*$C34</f>
        <v>-9230.4697577157385</v>
      </c>
      <c r="BD34" s="1021">
        <f>(VLOOKUP(YEAR($A34),'NY East Load Projections'!$A$4:$EO$14,((MONTH($A34)-1)*12)+VLOOKUP(BD$4,$DE$6:$DF$17,2)+1))*(VLOOKUP($A34,CURVES!$D$9:$T$261,8))*(INDEX(DailyScalarsTable,BD$5/100,MONTH($A34)))*$C34</f>
        <v>-11707.247639414141</v>
      </c>
      <c r="BE34" s="1021"/>
      <c r="BF34" s="1021">
        <f>(VLOOKUP(YEAR($A34),'NY East Load Projections'!$A$4:$EO$14,((MONTH($A34)-1)*12)+VLOOKUP(BF$4,$DE$6:$DF$17,2)+1))*(VLOOKUP($A34,CURVES!$D$9:$T$261,8))*(INDEX(DailyScalarsTable,BF$5/100,MONTH($A34)))*$D34</f>
        <v>-7741.6876208210242</v>
      </c>
      <c r="BG34" s="1021">
        <f>(VLOOKUP(YEAR($A34),'NY East Load Projections'!$A$4:$EO$14,((MONTH($A34)-1)*12)+VLOOKUP(BG$4,$DE$6:$DF$17,2)+1))*(VLOOKUP($A34,CURVES!$D$9:$T$261,8))*(INDEX(DailyScalarsTable,BG$5/100,MONTH($A34)))*$D34</f>
        <v>-6973.4130288886663</v>
      </c>
      <c r="BH34" s="1021">
        <f>(VLOOKUP(YEAR($A34),'NY East Load Projections'!$A$4:$EO$14,((MONTH($A34)-1)*12)+VLOOKUP(BH$4,$DE$6:$DF$17,2)+1))*(VLOOKUP($A34,CURVES!$D$9:$T$261,8))*(INDEX(DailyScalarsTable,BH$5/100,MONTH($A34)))*$D34</f>
        <v>-6599.4380952496376</v>
      </c>
      <c r="BI34" s="1021">
        <f>(VLOOKUP(YEAR($A34),'NY East Load Projections'!$A$4:$EO$14,((MONTH($A34)-1)*12)+VLOOKUP(BI$4,$DE$6:$DF$17,2)+1))*(VLOOKUP($A34,CURVES!$D$9:$T$261,8))*(INDEX(DailyScalarsTable,BI$5/100,MONTH($A34)))*$D34</f>
        <v>-6398.2233211721132</v>
      </c>
      <c r="BJ34" s="1021">
        <f>(VLOOKUP(YEAR($A34),'NY East Load Projections'!$A$4:$EO$14,((MONTH($A34)-1)*12)+VLOOKUP(BJ$4,$DE$6:$DF$17,2)+1))*(VLOOKUP($A34,CURVES!$D$9:$T$261,8))*(INDEX(DailyScalarsTable,BJ$5/100,MONTH($A34)))*$D34</f>
        <v>-7031.082092048915</v>
      </c>
      <c r="BK34" s="1021">
        <f>(VLOOKUP(YEAR($A34),'NY East Load Projections'!$A$4:$EO$14,((MONTH($A34)-1)*12)+VLOOKUP(BK$4,$DE$6:$DF$17,2)+1))*(VLOOKUP($A34,CURVES!$D$9:$T$261,8))*(INDEX(DailyScalarsTable,BK$5/100,MONTH($A34)))*$D34</f>
        <v>-8524.7744144208082</v>
      </c>
      <c r="BL34" s="1021">
        <f>(VLOOKUP(YEAR($A34),'NY East Load Projections'!$A$4:$EO$14,((MONTH($A34)-1)*12)+VLOOKUP(BL$4,$DE$6:$DF$17,2)+1))*(VLOOKUP($A34,CURVES!$D$9:$T$261,8))*(INDEX(DailyScalarsTable,BL$5/100,MONTH($A34)))*$D34</f>
        <v>-10200.020499732937</v>
      </c>
      <c r="BM34" s="1021">
        <f>(VLOOKUP(YEAR($A34),'NY East Load Projections'!$A$4:$EO$14,((MONTH($A34)-1)*12)+VLOOKUP(BM$4,$DE$6:$DF$17,2)+1))*(VLOOKUP($A34,SatSunCurve,8))*(INDEX(DailyScalarsTable,BM$5/100,MONTH($A34)))*$D34</f>
        <v>-8955.5622868962018</v>
      </c>
      <c r="BN34" s="1021">
        <f>(VLOOKUP(YEAR($A34),'NY East Load Projections'!$A$4:$EO$14,((MONTH($A34)-1)*12)+VLOOKUP(BN$4,$DE$6:$DF$17,2)+1))*(VLOOKUP($A34,SatSunCurve,8))*(INDEX(DailyScalarsTable,BN$5/100,MONTH($A34)))*$D34</f>
        <v>-10982.225768103175</v>
      </c>
      <c r="BO34" s="1021">
        <f>(VLOOKUP(YEAR($A34),'NY East Load Projections'!$A$4:$EO$14,((MONTH($A34)-1)*12)+VLOOKUP(BO$4,$DE$6:$DF$17,2)+1))*(VLOOKUP($A34,SatSunCurve,8))*(INDEX(DailyScalarsTable,BO$5/100,MONTH($A34)))*$D34</f>
        <v>-11177.013322929055</v>
      </c>
      <c r="BP34" s="1021">
        <f>(VLOOKUP(YEAR($A34),'NY East Load Projections'!$A$4:$EO$14,((MONTH($A34)-1)*12)+VLOOKUP(BP$4,$DE$6:$DF$17,2)+1))*(VLOOKUP($A34,SatSunCurve,8))*(INDEX(DailyScalarsTable,BP$5/100,MONTH($A34)))*$D34</f>
        <v>-11856.184089313085</v>
      </c>
      <c r="BQ34" s="1021">
        <f>(VLOOKUP(YEAR($A34),'NY East Load Projections'!$A$4:$EO$14,((MONTH($A34)-1)*12)+VLOOKUP(BQ$4,$DE$6:$DF$17,2)+1))*(VLOOKUP($A34,SatSunCurve,8))*(INDEX(DailyScalarsTable,BQ$5/100,MONTH($A34)))*$D34</f>
        <v>-11766.547338419758</v>
      </c>
      <c r="BR34" s="1021">
        <f>(VLOOKUP(YEAR($A34),'NY East Load Projections'!$A$4:$EO$14,((MONTH($A34)-1)*12)+VLOOKUP(BR$4,$DE$6:$DF$17,2)+1))*(VLOOKUP($A34,SatSunCurve,8))*(INDEX(DailyScalarsTable,BR$5/100,MONTH($A34)))*$D34</f>
        <v>-11007.809952384152</v>
      </c>
      <c r="BS34" s="1021">
        <f>(VLOOKUP(YEAR($A34),'NY East Load Projections'!$A$4:$EO$14,((MONTH($A34)-1)*12)+VLOOKUP(BS$4,$DE$6:$DF$17,2)+1))*(VLOOKUP($A34,SatSunCurve,8))*(INDEX(DailyScalarsTable,BS$5/100,MONTH($A34)))*$D34</f>
        <v>-11060.863762788989</v>
      </c>
      <c r="BT34" s="1021">
        <f>(VLOOKUP(YEAR($A34),'NY East Load Projections'!$A$4:$EO$14,((MONTH($A34)-1)*12)+VLOOKUP(BT$4,$DE$6:$DF$17,2)+1))*(VLOOKUP($A34,SatSunCurve,8))*(INDEX(DailyScalarsTable,BT$5/100,MONTH($A34)))*$D34</f>
        <v>-10728.849594449044</v>
      </c>
      <c r="BU34" s="1021">
        <f>(VLOOKUP(YEAR($A34),'NY East Load Projections'!$A$4:$EO$14,((MONTH($A34)-1)*12)+VLOOKUP(BU$4,$DE$6:$DF$17,2)+1))*(VLOOKUP($A34,SatSunCurve,8))*(INDEX(DailyScalarsTable,BU$5/100,MONTH($A34)))*$D34</f>
        <v>-10311.264764165813</v>
      </c>
      <c r="BV34" s="1021">
        <f>(VLOOKUP(YEAR($A34),'NY East Load Projections'!$A$4:$EO$14,((MONTH($A34)-1)*12)+VLOOKUP(BV$4,$DE$6:$DF$17,2)+1))*(VLOOKUP($A34,SatSunCurve,8))*(INDEX(DailyScalarsTable,BV$5/100,MONTH($A34)))*$D34</f>
        <v>-9689.4465858109688</v>
      </c>
      <c r="BW34" s="1021">
        <f>(VLOOKUP(YEAR($A34),'NY East Load Projections'!$A$4:$EO$14,((MONTH($A34)-1)*12)+VLOOKUP(BW$4,$DE$6:$DF$17,2)+1))*(VLOOKUP($A34,SatSunCurve,8))*(INDEX(DailyScalarsTable,BW$5/100,MONTH($A34)))*$D34</f>
        <v>-9311.8326530415197</v>
      </c>
      <c r="BX34" s="1021">
        <f>(VLOOKUP(YEAR($A34),'NY East Load Projections'!$A$4:$EO$14,((MONTH($A34)-1)*12)+VLOOKUP(BX$4,$DE$6:$DF$17,2)+1))*(VLOOKUP($A34,SatSunCurve,8))*(INDEX(DailyScalarsTable,BX$5/100,MONTH($A34)))*$D34</f>
        <v>-8067.9279333304021</v>
      </c>
      <c r="BY34" s="1021">
        <f>(VLOOKUP(YEAR($A34),'NY East Load Projections'!$A$4:$EO$14,((MONTH($A34)-1)*12)+VLOOKUP(BY$4,$DE$6:$DF$17,2)+1))*(VLOOKUP($A34,SatSunCurve,8))*(INDEX(DailyScalarsTable,BY$5/100,MONTH($A34)))*$D34</f>
        <v>-8047.3019622127467</v>
      </c>
      <c r="BZ34" s="1021">
        <f>(VLOOKUP(YEAR($A34),'NY East Load Projections'!$A$4:$EO$14,((MONTH($A34)-1)*12)+VLOOKUP(BZ$4,$DE$6:$DF$17,2)+1))*(VLOOKUP($A34,SatSunCurve,8))*(INDEX(DailyScalarsTable,BZ$5/100,MONTH($A34)))*$D34</f>
        <v>-10290.048340617202</v>
      </c>
      <c r="CA34" s="1021">
        <f>(VLOOKUP(YEAR($A34),'NY East Load Projections'!$A$4:$EO$14,((MONTH($A34)-1)*12)+VLOOKUP(CA$4,$DE$6:$DF$17,2)+1))*(VLOOKUP($A34,SatSunCurve,8))*(INDEX(DailyScalarsTable,CA$5/100,MONTH($A34)))*$D34</f>
        <v>-9814.789601250648</v>
      </c>
      <c r="CB34" s="1021">
        <f>(VLOOKUP(YEAR($A34),'NY East Load Projections'!$A$4:$EO$14,((MONTH($A34)-1)*12)+VLOOKUP(CB$4,$DE$6:$DF$17,2)+1))*(VLOOKUP($A34,SatSunCurve,8))*(INDEX(DailyScalarsTable,CB$5/100,MONTH($A34)))*$D34</f>
        <v>-7873.5047179748872</v>
      </c>
      <c r="CC34" s="1021">
        <f>(VLOOKUP(YEAR($A34),'NY East Load Projections'!$A$4:$EO$14,((MONTH($A34)-1)*12)+VLOOKUP(CC$4,$DE$6:$DF$17,2)+1))*(VLOOKUP($A34,CURVES!$D$9:$T$261,8))*(INDEX(DailyScalarsTable,CC$5/100,MONTH($A34)))*$D34</f>
        <v>-9365.7981115313123</v>
      </c>
      <c r="CE34" s="1021">
        <f>(VLOOKUP(YEAR($A34),'NY East Load Projections'!$A$4:$EO$14,((MONTH($A34)-1)*12)+VLOOKUP(CE$4,$DE$6:$DF$17,2)+1))*(VLOOKUP($A34,CURVES!$D$9:$T$261,8))*(INDEX(DailyScalarsTable,CE$5/100,MONTH($A34)))*$E34</f>
        <v>-1935.4219052052561</v>
      </c>
      <c r="CF34" s="1021">
        <f>(VLOOKUP(YEAR($A34),'NY East Load Projections'!$A$4:$EO$14,((MONTH($A34)-1)*12)+VLOOKUP(CF$4,$DE$6:$DF$17,2)+1))*(VLOOKUP($A34,CURVES!$D$9:$T$261,8))*(INDEX(DailyScalarsTable,CF$5/100,MONTH($A34)))*$E34</f>
        <v>-1743.3532572221666</v>
      </c>
      <c r="CG34" s="1021">
        <f>(VLOOKUP(YEAR($A34),'NY East Load Projections'!$A$4:$EO$14,((MONTH($A34)-1)*12)+VLOOKUP(CG$4,$DE$6:$DF$17,2)+1))*(VLOOKUP($A34,CURVES!$D$9:$T$261,8))*(INDEX(DailyScalarsTable,CG$5/100,MONTH($A34)))*$E34</f>
        <v>-1649.8595238124094</v>
      </c>
      <c r="CH34" s="1021">
        <f>(VLOOKUP(YEAR($A34),'NY East Load Projections'!$A$4:$EO$14,((MONTH($A34)-1)*12)+VLOOKUP(CH$4,$DE$6:$DF$17,2)+1))*(VLOOKUP($A34,CURVES!$D$9:$T$261,8))*(INDEX(DailyScalarsTable,CH$5/100,MONTH($A34)))*$E34</f>
        <v>-1599.5558302930283</v>
      </c>
      <c r="CI34" s="1021">
        <f>(VLOOKUP(YEAR($A34),'NY East Load Projections'!$A$4:$EO$14,((MONTH($A34)-1)*12)+VLOOKUP(CI$4,$DE$6:$DF$17,2)+1))*(VLOOKUP($A34,CURVES!$D$9:$T$261,8))*(INDEX(DailyScalarsTable,CI$5/100,MONTH($A34)))*$E34</f>
        <v>-1757.7705230122288</v>
      </c>
      <c r="CJ34" s="1021">
        <f>(VLOOKUP(YEAR($A34),'NY East Load Projections'!$A$4:$EO$14,((MONTH($A34)-1)*12)+VLOOKUP(CJ$4,$DE$6:$DF$17,2)+1))*(VLOOKUP($A34,CURVES!$D$9:$T$261,8))*(INDEX(DailyScalarsTable,CJ$5/100,MONTH($A34)))*$E34</f>
        <v>-2131.193603605202</v>
      </c>
      <c r="CK34" s="1021">
        <f>(VLOOKUP(YEAR($A34),'NY East Load Projections'!$A$4:$EO$14,((MONTH($A34)-1)*12)+VLOOKUP(CK$4,$DE$6:$DF$17,2)+1))*(VLOOKUP($A34,CURVES!$D$9:$T$261,8))*(INDEX(DailyScalarsTable,CK$5/100,MONTH($A34)))*$E34</f>
        <v>-2550.0051249332341</v>
      </c>
      <c r="CL34" s="1021">
        <f>(VLOOKUP(YEAR($A34),'NY East Load Projections'!$A$4:$EO$14,((MONTH($A34)-1)*12)+VLOOKUP(CL$4,$DE$6:$DF$17,2)+1))*(VLOOKUP($A34,SatSunCurve,8))*(INDEX(DailyScalarsTable,CL$5/100,MONTH($A34)))*$E34</f>
        <v>-2238.8905717240505</v>
      </c>
      <c r="CM34" s="1021">
        <f>(VLOOKUP(YEAR($A34),'NY East Load Projections'!$A$4:$EO$14,((MONTH($A34)-1)*12)+VLOOKUP(CM$4,$DE$6:$DF$17,2)+1))*(VLOOKUP($A34,SatSunCurve,8))*(INDEX(DailyScalarsTable,CM$5/100,MONTH($A34)))*$E34</f>
        <v>-2745.5564420257938</v>
      </c>
      <c r="CN34" s="1021">
        <f>(VLOOKUP(YEAR($A34),'NY East Load Projections'!$A$4:$EO$14,((MONTH($A34)-1)*12)+VLOOKUP(CN$4,$DE$6:$DF$17,2)+1))*(VLOOKUP($A34,SatSunCurve,8))*(INDEX(DailyScalarsTable,CN$5/100,MONTH($A34)))*$E34</f>
        <v>-2794.2533307322637</v>
      </c>
      <c r="CO34" s="1021">
        <f>(VLOOKUP(YEAR($A34),'NY East Load Projections'!$A$4:$EO$14,((MONTH($A34)-1)*12)+VLOOKUP(CO$4,$DE$6:$DF$17,2)+1))*(VLOOKUP($A34,SatSunCurve,8))*(INDEX(DailyScalarsTable,CO$5/100,MONTH($A34)))*$E34</f>
        <v>-2964.0460223282712</v>
      </c>
      <c r="CP34" s="1021">
        <f>(VLOOKUP(YEAR($A34),'NY East Load Projections'!$A$4:$EO$14,((MONTH($A34)-1)*12)+VLOOKUP(CP$4,$DE$6:$DF$17,2)+1))*(VLOOKUP($A34,SatSunCurve,8))*(INDEX(DailyScalarsTable,CP$5/100,MONTH($A34)))*$E34</f>
        <v>-2941.6368346049394</v>
      </c>
      <c r="CQ34" s="1021">
        <f>(VLOOKUP(YEAR($A34),'NY East Load Projections'!$A$4:$EO$14,((MONTH($A34)-1)*12)+VLOOKUP(CQ$4,$DE$6:$DF$17,2)+1))*(VLOOKUP($A34,SatSunCurve,8))*(INDEX(DailyScalarsTable,CQ$5/100,MONTH($A34)))*$E34</f>
        <v>-2751.952488096038</v>
      </c>
      <c r="CR34" s="1021">
        <f>(VLOOKUP(YEAR($A34),'NY East Load Projections'!$A$4:$EO$14,((MONTH($A34)-1)*12)+VLOOKUP(CR$4,$DE$6:$DF$17,2)+1))*(VLOOKUP($A34,SatSunCurve,8))*(INDEX(DailyScalarsTable,CR$5/100,MONTH($A34)))*$E34</f>
        <v>-2765.2159406972473</v>
      </c>
      <c r="CS34" s="1021">
        <f>(VLOOKUP(YEAR($A34),'NY East Load Projections'!$A$4:$EO$14,((MONTH($A34)-1)*12)+VLOOKUP(CS$4,$DE$6:$DF$17,2)+1))*(VLOOKUP($A34,SatSunCurve,8))*(INDEX(DailyScalarsTable,CS$5/100,MONTH($A34)))*$E34</f>
        <v>-2682.212398612261</v>
      </c>
      <c r="CT34" s="1021">
        <f>(VLOOKUP(YEAR($A34),'NY East Load Projections'!$A$4:$EO$14,((MONTH($A34)-1)*12)+VLOOKUP(CT$4,$DE$6:$DF$17,2)+1))*(VLOOKUP($A34,SatSunCurve,8))*(INDEX(DailyScalarsTable,CT$5/100,MONTH($A34)))*$E34</f>
        <v>-2577.8161910414533</v>
      </c>
      <c r="CU34" s="1021">
        <f>(VLOOKUP(YEAR($A34),'NY East Load Projections'!$A$4:$EO$14,((MONTH($A34)-1)*12)+VLOOKUP(CU$4,$DE$6:$DF$17,2)+1))*(VLOOKUP($A34,SatSunCurve,8))*(INDEX(DailyScalarsTable,CU$5/100,MONTH($A34)))*$E34</f>
        <v>-2422.3616464527422</v>
      </c>
      <c r="CV34" s="1021">
        <f>(VLOOKUP(YEAR($A34),'NY East Load Projections'!$A$4:$EO$14,((MONTH($A34)-1)*12)+VLOOKUP(CV$4,$DE$6:$DF$17,2)+1))*(VLOOKUP($A34,SatSunCurve,8))*(INDEX(DailyScalarsTable,CV$5/100,MONTH($A34)))*$E34</f>
        <v>-2327.9581632603799</v>
      </c>
      <c r="CW34" s="1021">
        <f>(VLOOKUP(YEAR($A34),'NY East Load Projections'!$A$4:$EO$14,((MONTH($A34)-1)*12)+VLOOKUP(CW$4,$DE$6:$DF$17,2)+1))*(VLOOKUP($A34,SatSunCurve,8))*(INDEX(DailyScalarsTable,CW$5/100,MONTH($A34)))*$E34</f>
        <v>-2016.9819833326005</v>
      </c>
      <c r="CX34" s="1021">
        <f>(VLOOKUP(YEAR($A34),'NY East Load Projections'!$A$4:$EO$14,((MONTH($A34)-1)*12)+VLOOKUP(CX$4,$DE$6:$DF$17,2)+1))*(VLOOKUP($A34,SatSunCurve,8))*(INDEX(DailyScalarsTable,CX$5/100,MONTH($A34)))*$E34</f>
        <v>-2011.8254905531867</v>
      </c>
      <c r="CY34" s="1021">
        <f>(VLOOKUP(YEAR($A34),'NY East Load Projections'!$A$4:$EO$14,((MONTH($A34)-1)*12)+VLOOKUP(CY$4,$DE$6:$DF$17,2)+1))*(VLOOKUP($A34,SatSunCurve,8))*(INDEX(DailyScalarsTable,CY$5/100,MONTH($A34)))*$E34</f>
        <v>-2572.5120851543006</v>
      </c>
      <c r="CZ34" s="1021">
        <f>(VLOOKUP(YEAR($A34),'NY East Load Projections'!$A$4:$EO$14,((MONTH($A34)-1)*12)+VLOOKUP(CZ$4,$DE$6:$DF$17,2)+1))*(VLOOKUP($A34,SatSunCurve,8))*(INDEX(DailyScalarsTable,CZ$5/100,MONTH($A34)))*$E34</f>
        <v>-2453.697400312662</v>
      </c>
      <c r="DA34" s="1021">
        <f>(VLOOKUP(YEAR($A34),'NY East Load Projections'!$A$4:$EO$14,((MONTH($A34)-1)*12)+VLOOKUP(DA$4,$DE$6:$DF$17,2)+1))*(VLOOKUP($A34,SatSunCurve,8))*(INDEX(DailyScalarsTable,DA$5/100,MONTH($A34)))*$E34</f>
        <v>-1968.3761794937218</v>
      </c>
      <c r="DB34" s="1021">
        <f>(VLOOKUP(YEAR($A34),'NY East Load Projections'!$A$4:$EO$14,((MONTH($A34)-1)*12)+VLOOKUP(DB$4,$DE$6:$DF$17,2)+1))*(VLOOKUP($A34,CURVES!$D$9:$T$261,8))*(INDEX(DailyScalarsTable,DB$5/100,MONTH($A34)))*$E34</f>
        <v>-2341.4495278828281</v>
      </c>
      <c r="DH34" s="1021">
        <f t="shared" si="0"/>
        <v>-2138372.3038683222</v>
      </c>
      <c r="DI34">
        <f ca="1">CALC!J54</f>
        <v>0.79157518043313924</v>
      </c>
      <c r="DJ34" s="1029">
        <f t="shared" ca="1" si="1"/>
        <v>-1692682.4422677949</v>
      </c>
    </row>
    <row r="35" spans="1:114" x14ac:dyDescent="0.25">
      <c r="A35" s="244">
        <v>37773</v>
      </c>
      <c r="B35" s="13">
        <v>21</v>
      </c>
      <c r="C35" s="210">
        <v>4</v>
      </c>
      <c r="D35" s="210">
        <v>5</v>
      </c>
      <c r="E35" s="210">
        <v>0</v>
      </c>
      <c r="F35" s="13">
        <v>30</v>
      </c>
      <c r="H35" s="1021">
        <f>(VLOOKUP(YEAR($A35),'NY East Load Projections'!$A$4:$EO$14,((MONTH($A35)-1)*12)+VLOOKUP(H$4,$DE$6:$DF$17,2)+1))*(VLOOKUP($A35,CURVES!$D$9:$K$261,8))*(INDEX(DailyScalarsTable,H$5/100,MONTH($A35)))*$B35</f>
        <v>-48426.58635641502</v>
      </c>
      <c r="I35" s="1021">
        <f>(VLOOKUP(YEAR($A35),'NY East Load Projections'!$A$4:$EO$14,((MONTH($A35)-1)*12)+VLOOKUP(I$4,$DE$6:$DF$17,2)+1))*(VLOOKUP($A35,CURVES!$D$9:$K$261,8))*(INDEX(DailyScalarsTable,I$5/100,MONTH($A35)))*$B35</f>
        <v>-40122.05273501802</v>
      </c>
      <c r="J35" s="1021">
        <f>(VLOOKUP(YEAR($A35),'NY East Load Projections'!$A$4:$EO$14,((MONTH($A35)-1)*12)+VLOOKUP(J$4,$DE$6:$DF$17,2)+1))*(VLOOKUP($A35,CURVES!$D$9:$K$261,8))*(INDEX(DailyScalarsTable,J$5/100,MONTH($A35)))*$B35</f>
        <v>-33726.322363912266</v>
      </c>
      <c r="K35" s="1021">
        <f>(VLOOKUP(YEAR($A35),'NY East Load Projections'!$A$4:$EO$14,((MONTH($A35)-1)*12)+VLOOKUP(K$4,$DE$6:$DF$17,2)+1))*(VLOOKUP($A35,CURVES!$D$9:$K$261,8))*(INDEX(DailyScalarsTable,K$5/100,MONTH($A35)))*$B35</f>
        <v>-31309.331235296733</v>
      </c>
      <c r="L35" s="1021">
        <f>(VLOOKUP(YEAR($A35),'NY East Load Projections'!$A$4:$EO$14,((MONTH($A35)-1)*12)+VLOOKUP(L$4,$DE$6:$DF$17,2)+1))*(VLOOKUP($A35,CURVES!$D$9:$K$261,8))*(INDEX(DailyScalarsTable,L$5/100,MONTH($A35)))*$B35</f>
        <v>-37292.658204957806</v>
      </c>
      <c r="M35" s="1021">
        <f>(VLOOKUP(YEAR($A35),'NY East Load Projections'!$A$4:$EO$14,((MONTH($A35)-1)*12)+VLOOKUP(M$4,$DE$6:$DF$17,2)+1))*(VLOOKUP($A35,CURVES!$D$9:$K$261,8))*(INDEX(DailyScalarsTable,M$5/100,MONTH($A35)))*$B35</f>
        <v>-45499.765101888297</v>
      </c>
      <c r="N35" s="1021">
        <f>(VLOOKUP(YEAR($A35),'NY East Load Projections'!$A$4:$EO$14,((MONTH($A35)-1)*12)+VLOOKUP(N$4,$DE$6:$DF$17,2)+1))*(VLOOKUP($A35,CURVES!$D$9:$K$261,8))*(INDEX(DailyScalarsTable,N$5/100,MONTH($A35)))*$B35</f>
        <v>-52168.890109344247</v>
      </c>
      <c r="O35" s="1021">
        <f>(VLOOKUP(YEAR($A35),'NY East Load Projections'!$A$4:$EO$14,((MONTH($A35)-1)*12)+VLOOKUP(O$4,$DE$6:$DF$17,2)+1))*(VLOOKUP($A35,CURVES!$D$9:$K$261,4))*(INDEX(DailyScalarsTable,O$5/100,MONTH($A35)))*$B35</f>
        <v>-73719.375926950539</v>
      </c>
      <c r="P35" s="1021">
        <f>(VLOOKUP(YEAR($A35),'NY East Load Projections'!$A$4:$EO$14,((MONTH($A35)-1)*12)+VLOOKUP(P$4,$DE$6:$DF$17,2)+1))*(VLOOKUP($A35,CURVES!$D$9:$K$261,4))*(INDEX(DailyScalarsTable,P$5/100,MONTH($A35)))*$B35</f>
        <v>-97367.286485577992</v>
      </c>
      <c r="Q35" s="1021">
        <f>(VLOOKUP(YEAR($A35),'NY East Load Projections'!$A$4:$EO$14,((MONTH($A35)-1)*12)+VLOOKUP(Q$4,$DE$6:$DF$17,2)+1))*(VLOOKUP($A35,CURVES!$D$9:$K$261,4))*(INDEX(DailyScalarsTable,Q$5/100,MONTH($A35)))*$B35</f>
        <v>-108904.58458623542</v>
      </c>
      <c r="R35" s="1021">
        <f>(VLOOKUP(YEAR($A35),'NY East Load Projections'!$A$4:$EO$14,((MONTH($A35)-1)*12)+VLOOKUP(R$4,$DE$6:$DF$17,2)+1))*(VLOOKUP($A35,CURVES!$D$9:$K$261,4))*(INDEX(DailyScalarsTable,R$5/100,MONTH($A35)))*$B35</f>
        <v>-125271.8462408663</v>
      </c>
      <c r="S35" s="1021">
        <f>(VLOOKUP(YEAR($A35),'NY East Load Projections'!$A$4:$EO$14,((MONTH($A35)-1)*12)+VLOOKUP(S$4,$DE$6:$DF$17,2)+1))*(VLOOKUP($A35,CURVES!$D$9:$K$261,4))*(INDEX(DailyScalarsTable,S$5/100,MONTH($A35)))*$B35</f>
        <v>-135102.44343905966</v>
      </c>
      <c r="T35" s="1021">
        <f>(VLOOKUP(YEAR($A35),'NY East Load Projections'!$A$4:$EO$14,((MONTH($A35)-1)*12)+VLOOKUP(T$4,$DE$6:$DF$17,2)+1))*(VLOOKUP($A35,CURVES!$D$9:$K$261,4))*(INDEX(DailyScalarsTable,T$5/100,MONTH($A35)))*$B35</f>
        <v>-142480.11009944396</v>
      </c>
      <c r="U35" s="1021">
        <f>(VLOOKUP(YEAR($A35),'NY East Load Projections'!$A$4:$EO$14,((MONTH($A35)-1)*12)+VLOOKUP(U$4,$DE$6:$DF$17,2)+1))*(VLOOKUP($A35,CURVES!$D$9:$K$261,4))*(INDEX(DailyScalarsTable,U$5/100,MONTH($A35)))*$B35</f>
        <v>-157566.44317707777</v>
      </c>
      <c r="V35" s="1021">
        <f>(VLOOKUP(YEAR($A35),'NY East Load Projections'!$A$4:$EO$14,((MONTH($A35)-1)*12)+VLOOKUP(V$4,$DE$6:$DF$17,2)+1))*(VLOOKUP($A35,CURVES!$D$9:$K$261,4))*(INDEX(DailyScalarsTable,V$5/100,MONTH($A35)))*$B35</f>
        <v>-158778.89244852943</v>
      </c>
      <c r="W35" s="1021">
        <f>(VLOOKUP(YEAR($A35),'NY East Load Projections'!$A$4:$EO$14,((MONTH($A35)-1)*12)+VLOOKUP(W$4,$DE$6:$DF$17,2)+1))*(VLOOKUP($A35,CURVES!$D$9:$K$261,4))*(INDEX(DailyScalarsTable,W$5/100,MONTH($A35)))*$B35</f>
        <v>-159038.70300669759</v>
      </c>
      <c r="X35" s="1021">
        <f>(VLOOKUP(YEAR($A35),'NY East Load Projections'!$A$4:$EO$14,((MONTH($A35)-1)*12)+VLOOKUP(X$4,$DE$6:$DF$17,2)+1))*(VLOOKUP($A35,CURVES!$D$9:$K$261,4))*(INDEX(DailyScalarsTable,X$5/100,MONTH($A35)))*$B35</f>
        <v>-152058.54613168875</v>
      </c>
      <c r="Y35" s="1021">
        <f>(VLOOKUP(YEAR($A35),'NY East Load Projections'!$A$4:$EO$14,((MONTH($A35)-1)*12)+VLOOKUP(Y$4,$DE$6:$DF$17,2)+1))*(VLOOKUP($A35,CURVES!$D$9:$K$261,4))*(INDEX(DailyScalarsTable,Y$5/100,MONTH($A35)))*$B35</f>
        <v>-147544.53720676343</v>
      </c>
      <c r="Z35" s="1021">
        <f>(VLOOKUP(YEAR($A35),'NY East Load Projections'!$A$4:$EO$14,((MONTH($A35)-1)*12)+VLOOKUP(Z$4,$DE$6:$DF$17,2)+1))*(VLOOKUP($A35,CURVES!$D$9:$K$261,4))*(INDEX(DailyScalarsTable,Z$5/100,MONTH($A35)))*$B35</f>
        <v>-125984.84837038747</v>
      </c>
      <c r="AA35" s="1021">
        <f>(VLOOKUP(YEAR($A35),'NY East Load Projections'!$A$4:$EO$14,((MONTH($A35)-1)*12)+VLOOKUP(AA$4,$DE$6:$DF$17,2)+1))*(VLOOKUP($A35,CURVES!$D$9:$K$261,4))*(INDEX(DailyScalarsTable,AA$5/100,MONTH($A35)))*$B35</f>
        <v>-100742.24972522774</v>
      </c>
      <c r="AB35" s="1021">
        <f>(VLOOKUP(YEAR($A35),'NY East Load Projections'!$A$4:$EO$14,((MONTH($A35)-1)*12)+VLOOKUP(AB$4,$DE$6:$DF$17,2)+1))*(VLOOKUP($A35,CURVES!$D$9:$K$261,4))*(INDEX(DailyScalarsTable,AB$5/100,MONTH($A35)))*$B35</f>
        <v>-97570.005525155924</v>
      </c>
      <c r="AC35" s="1021">
        <f>(VLOOKUP(YEAR($A35),'NY East Load Projections'!$A$4:$EO$14,((MONTH($A35)-1)*12)+VLOOKUP(AC$4,$DE$6:$DF$17,2)+1))*(VLOOKUP($A35,CURVES!$D$9:$K$261,4))*(INDEX(DailyScalarsTable,AC$5/100,MONTH($A35)))*$B35</f>
        <v>-99414.511434905085</v>
      </c>
      <c r="AD35" s="1021">
        <f>(VLOOKUP(YEAR($A35),'NY East Load Projections'!$A$4:$EO$14,((MONTH($A35)-1)*12)+VLOOKUP(AD$4,$DE$6:$DF$17,2)+1))*(VLOOKUP($A35,CURVES!$D$9:$K$261,4))*(INDEX(DailyScalarsTable,AD$5/100,MONTH($A35)))*$B35</f>
        <v>-79720.416839473182</v>
      </c>
      <c r="AE35" s="1021">
        <f>(VLOOKUP(YEAR($A35),'NY East Load Projections'!$A$4:$EO$14,((MONTH($A35)-1)*12)+VLOOKUP(AE$4,$DE$6:$DF$17,2)+1))*(VLOOKUP($A35,CURVES!$D$9:$K$261,8))*(INDEX(DailyScalarsTable,AE$5/100,MONTH($A35)))*$B35</f>
        <v>-61357.069495430609</v>
      </c>
      <c r="AF35" s="1021"/>
      <c r="AG35" s="1021">
        <f>(VLOOKUP(YEAR($A35),'NY East Load Projections'!$A$4:$EO$14,((MONTH($A35)-1)*12)+VLOOKUP(AG$4,$DE$6:$DF$17,2)+1))*(VLOOKUP($A35,CURVES!$D$9:$T$261,8))*(INDEX(DailyScalarsTable,AG$5/100,MONTH($A35)))*$C35</f>
        <v>-9378.0312684775781</v>
      </c>
      <c r="AH35" s="1021">
        <f>(VLOOKUP(YEAR($A35),'NY East Load Projections'!$A$4:$EO$14,((MONTH($A35)-1)*12)+VLOOKUP(AH$4,$DE$6:$DF$17,2)+1))*(VLOOKUP($A35,CURVES!$D$9:$T$261,8))*(INDEX(DailyScalarsTable,AH$5/100,MONTH($A35)))*$C35</f>
        <v>-7769.8201218484555</v>
      </c>
      <c r="AI35" s="1021">
        <f>(VLOOKUP(YEAR($A35),'NY East Load Projections'!$A$4:$EO$14,((MONTH($A35)-1)*12)+VLOOKUP(AI$4,$DE$6:$DF$17,2)+1))*(VLOOKUP($A35,CURVES!$D$9:$T$261,8))*(INDEX(DailyScalarsTable,AI$5/100,MONTH($A35)))*$C35</f>
        <v>-6531.2575074296092</v>
      </c>
      <c r="AJ35" s="1021">
        <f>(VLOOKUP(YEAR($A35),'NY East Load Projections'!$A$4:$EO$14,((MONTH($A35)-1)*12)+VLOOKUP(AJ$4,$DE$6:$DF$17,2)+1))*(VLOOKUP($A35,CURVES!$D$9:$T$261,8))*(INDEX(DailyScalarsTable,AJ$5/100,MONTH($A35)))*$C35</f>
        <v>-6063.1960543062096</v>
      </c>
      <c r="AK35" s="1021">
        <f>(VLOOKUP(YEAR($A35),'NY East Load Projections'!$A$4:$EO$14,((MONTH($A35)-1)*12)+VLOOKUP(AK$4,$DE$6:$DF$17,2)+1))*(VLOOKUP($A35,CURVES!$D$9:$T$261,8))*(INDEX(DailyScalarsTable,AK$5/100,MONTH($A35)))*$C35</f>
        <v>-6640.5361458223661</v>
      </c>
      <c r="AL35" s="1021">
        <f>(VLOOKUP(YEAR($A35),'NY East Load Projections'!$A$4:$EO$14,((MONTH($A35)-1)*12)+VLOOKUP(AL$4,$DE$6:$DF$17,2)+1))*(VLOOKUP($A35,CURVES!$D$9:$T$261,8))*(INDEX(DailyScalarsTable,AL$5/100,MONTH($A35)))*$C35</f>
        <v>-8101.9388085708642</v>
      </c>
      <c r="AM35" s="1021">
        <f>(VLOOKUP(YEAR($A35),'NY East Load Projections'!$A$4:$EO$14,((MONTH($A35)-1)*12)+VLOOKUP(AM$4,$DE$6:$DF$17,2)+1))*(VLOOKUP($A35,CURVES!$D$9:$T$261,8))*(INDEX(DailyScalarsTable,AM$5/100,MONTH($A35)))*$C35</f>
        <v>-9289.4799441376363</v>
      </c>
      <c r="AN35" s="1021">
        <f>(VLOOKUP(YEAR($A35),'NY East Load Projections'!$A$4:$EO$14,((MONTH($A35)-1)*12)+VLOOKUP(AN$4,$DE$6:$DF$17,2)+1))*(VLOOKUP($A35,SatSunCurve,4))*(INDEX(DailyScalarsTable,AN$5/100,MONTH($A35)))*$C35</f>
        <v>-7178.566673445036</v>
      </c>
      <c r="AO35" s="1021">
        <f>(VLOOKUP(YEAR($A35),'NY East Load Projections'!$A$4:$EO$14,((MONTH($A35)-1)*12)+VLOOKUP(AO$4,$DE$6:$DF$17,2)+1))*(VLOOKUP($A35,SatSunCurve,4))*(INDEX(DailyScalarsTable,AO$5/100,MONTH($A35)))*$C35</f>
        <v>-9119.1999167264366</v>
      </c>
      <c r="AP35" s="1021">
        <f>(VLOOKUP(YEAR($A35),'NY East Load Projections'!$A$4:$EO$14,((MONTH($A35)-1)*12)+VLOOKUP(AP$4,$DE$6:$DF$17,2)+1))*(VLOOKUP($A35,SatSunCurve,4))*(INDEX(DailyScalarsTable,AP$5/100,MONTH($A35)))*$C35</f>
        <v>-10199.757172415666</v>
      </c>
      <c r="AQ35" s="1021">
        <f>(VLOOKUP(YEAR($A35),'NY East Load Projections'!$A$4:$EO$14,((MONTH($A35)-1)*12)+VLOOKUP(AQ$4,$DE$6:$DF$17,2)+1))*(VLOOKUP($A35,SatSunCurve,4))*(INDEX(DailyScalarsTable,AQ$5/100,MONTH($A35)))*$C35</f>
        <v>-11732.677894613853</v>
      </c>
      <c r="AR35" s="1021">
        <f>(VLOOKUP(YEAR($A35),'NY East Load Projections'!$A$4:$EO$14,((MONTH($A35)-1)*12)+VLOOKUP(AR$4,$DE$6:$DF$17,2)+1))*(VLOOKUP($A35,SatSunCurve,4))*(INDEX(DailyScalarsTable,AR$5/100,MONTH($A35)))*$C35</f>
        <v>-12653.389402420065</v>
      </c>
      <c r="AS35" s="1021">
        <f>(VLOOKUP(YEAR($A35),'NY East Load Projections'!$A$4:$EO$14,((MONTH($A35)-1)*12)+VLOOKUP(AS$4,$DE$6:$DF$17,2)+1))*(VLOOKUP($A35,SatSunCurve,4))*(INDEX(DailyScalarsTable,AS$5/100,MONTH($A35)))*$C35</f>
        <v>-13300.453778981062</v>
      </c>
      <c r="AT35" s="1021">
        <f>(VLOOKUP(YEAR($A35),'NY East Load Projections'!$A$4:$EO$14,((MONTH($A35)-1)*12)+VLOOKUP(AT$4,$DE$6:$DF$17,2)+1))*(VLOOKUP($A35,SatSunCurve,4))*(INDEX(DailyScalarsTable,AT$5/100,MONTH($A35)))*$C35</f>
        <v>-14708.756142401013</v>
      </c>
      <c r="AU35" s="1021">
        <f>(VLOOKUP(YEAR($A35),'NY East Load Projections'!$A$4:$EO$14,((MONTH($A35)-1)*12)+VLOOKUP(AU$4,$DE$6:$DF$17,2)+1))*(VLOOKUP($A35,SatSunCurve,4))*(INDEX(DailyScalarsTable,AU$5/100,MONTH($A35)))*$C35</f>
        <v>-14821.93773303178</v>
      </c>
      <c r="AV35" s="1021">
        <f>(VLOOKUP(YEAR($A35),'NY East Load Projections'!$A$4:$EO$14,((MONTH($A35)-1)*12)+VLOOKUP(AV$4,$DE$6:$DF$17,2)+1))*(VLOOKUP($A35,SatSunCurve,4))*(INDEX(DailyScalarsTable,AV$5/100,MONTH($A35)))*$C35</f>
        <v>-14846.190931024083</v>
      </c>
      <c r="AW35" s="1021">
        <f>(VLOOKUP(YEAR($A35),'NY East Load Projections'!$A$4:$EO$14,((MONTH($A35)-1)*12)+VLOOKUP(AW$4,$DE$6:$DF$17,2)+1))*(VLOOKUP($A35,SatSunCurve,4))*(INDEX(DailyScalarsTable,AW$5/100,MONTH($A35)))*$C35</f>
        <v>-14412.964665151687</v>
      </c>
      <c r="AX35" s="1021">
        <f>(VLOOKUP(YEAR($A35),'NY East Load Projections'!$A$4:$EO$14,((MONTH($A35)-1)*12)+VLOOKUP(AX$4,$DE$6:$DF$17,2)+1))*(VLOOKUP($A35,SatSunCurve,4))*(INDEX(DailyScalarsTable,AX$5/100,MONTH($A35)))*$C35</f>
        <v>-13985.101498047728</v>
      </c>
      <c r="AY35" s="1021">
        <f>(VLOOKUP(YEAR($A35),'NY East Load Projections'!$A$4:$EO$14,((MONTH($A35)-1)*12)+VLOOKUP(AY$4,$DE$6:$DF$17,2)+1))*(VLOOKUP($A35,SatSunCurve,4))*(INDEX(DailyScalarsTable,AY$5/100,MONTH($A35)))*$C35</f>
        <v>-11941.552869605366</v>
      </c>
      <c r="AZ35" s="1021">
        <f>(VLOOKUP(YEAR($A35),'NY East Load Projections'!$A$4:$EO$14,((MONTH($A35)-1)*12)+VLOOKUP(AZ$4,$DE$6:$DF$17,2)+1))*(VLOOKUP($A35,SatSunCurve,4))*(INDEX(DailyScalarsTable,AZ$5/100,MONTH($A35)))*$C35</f>
        <v>-9548.9173250420899</v>
      </c>
      <c r="BA35" s="1021">
        <f>(VLOOKUP(YEAR($A35),'NY East Load Projections'!$A$4:$EO$14,((MONTH($A35)-1)*12)+VLOOKUP(BA$4,$DE$6:$DF$17,2)+1))*(VLOOKUP($A35,SatSunCurve,4))*(INDEX(DailyScalarsTable,BA$5/100,MONTH($A35)))*$C35</f>
        <v>-10011.346075214156</v>
      </c>
      <c r="BB35" s="1021">
        <f>(VLOOKUP(YEAR($A35),'NY East Load Projections'!$A$4:$EO$14,((MONTH($A35)-1)*12)+VLOOKUP(BB$4,$DE$6:$DF$17,2)+1))*(VLOOKUP($A35,SatSunCurve,4))*(INDEX(DailyScalarsTable,BB$5/100,MONTH($A35)))*$C35</f>
        <v>-10200.604924805139</v>
      </c>
      <c r="BC35" s="1021">
        <f>(VLOOKUP(YEAR($A35),'NY East Load Projections'!$A$4:$EO$14,((MONTH($A35)-1)*12)+VLOOKUP(BC$4,$DE$6:$DF$17,2)+1))*(VLOOKUP($A35,SatSunCurve,4))*(INDEX(DailyScalarsTable,BC$5/100,MONTH($A35)))*$C35</f>
        <v>-8179.8568929518478</v>
      </c>
      <c r="BD35" s="1021">
        <f>(VLOOKUP(YEAR($A35),'NY East Load Projections'!$A$4:$EO$14,((MONTH($A35)-1)*12)+VLOOKUP(BD$4,$DE$6:$DF$17,2)+1))*(VLOOKUP($A35,CURVES!$D$9:$T$261,8))*(INDEX(DailyScalarsTable,BD$5/100,MONTH($A35)))*$C35</f>
        <v>-11512.362856225811</v>
      </c>
      <c r="BE35" s="1021"/>
      <c r="BF35" s="1021">
        <f>(VLOOKUP(YEAR($A35),'NY East Load Projections'!$A$4:$EO$14,((MONTH($A35)-1)*12)+VLOOKUP(BF$4,$DE$6:$DF$17,2)+1))*(VLOOKUP($A35,CURVES!$D$9:$T$261,8))*(INDEX(DailyScalarsTable,BF$5/100,MONTH($A35)))*$D35</f>
        <v>-11722.539085596973</v>
      </c>
      <c r="BG35" s="1021">
        <f>(VLOOKUP(YEAR($A35),'NY East Load Projections'!$A$4:$EO$14,((MONTH($A35)-1)*12)+VLOOKUP(BG$4,$DE$6:$DF$17,2)+1))*(VLOOKUP($A35,CURVES!$D$9:$T$261,8))*(INDEX(DailyScalarsTable,BG$5/100,MONTH($A35)))*$D35</f>
        <v>-9712.275152310569</v>
      </c>
      <c r="BH35" s="1021">
        <f>(VLOOKUP(YEAR($A35),'NY East Load Projections'!$A$4:$EO$14,((MONTH($A35)-1)*12)+VLOOKUP(BH$4,$DE$6:$DF$17,2)+1))*(VLOOKUP($A35,CURVES!$D$9:$T$261,8))*(INDEX(DailyScalarsTable,BH$5/100,MONTH($A35)))*$D35</f>
        <v>-8164.0718842870119</v>
      </c>
      <c r="BI35" s="1021">
        <f>(VLOOKUP(YEAR($A35),'NY East Load Projections'!$A$4:$EO$14,((MONTH($A35)-1)*12)+VLOOKUP(BI$4,$DE$6:$DF$17,2)+1))*(VLOOKUP($A35,CURVES!$D$9:$T$261,8))*(INDEX(DailyScalarsTable,BI$5/100,MONTH($A35)))*$D35</f>
        <v>-7578.9950678827618</v>
      </c>
      <c r="BJ35" s="1021">
        <f>(VLOOKUP(YEAR($A35),'NY East Load Projections'!$A$4:$EO$14,((MONTH($A35)-1)*12)+VLOOKUP(BJ$4,$DE$6:$DF$17,2)+1))*(VLOOKUP($A35,CURVES!$D$9:$T$261,8))*(INDEX(DailyScalarsTable,BJ$5/100,MONTH($A35)))*$D35</f>
        <v>-8300.6701822779578</v>
      </c>
      <c r="BK35" s="1021">
        <f>(VLOOKUP(YEAR($A35),'NY East Load Projections'!$A$4:$EO$14,((MONTH($A35)-1)*12)+VLOOKUP(BK$4,$DE$6:$DF$17,2)+1))*(VLOOKUP($A35,CURVES!$D$9:$T$261,8))*(INDEX(DailyScalarsTable,BK$5/100,MONTH($A35)))*$D35</f>
        <v>-10127.423510713581</v>
      </c>
      <c r="BL35" s="1021">
        <f>(VLOOKUP(YEAR($A35),'NY East Load Projections'!$A$4:$EO$14,((MONTH($A35)-1)*12)+VLOOKUP(BL$4,$DE$6:$DF$17,2)+1))*(VLOOKUP($A35,CURVES!$D$9:$T$261,8))*(INDEX(DailyScalarsTable,BL$5/100,MONTH($A35)))*$D35</f>
        <v>-11611.849930172046</v>
      </c>
      <c r="BM35" s="1021">
        <f>(VLOOKUP(YEAR($A35),'NY East Load Projections'!$A$4:$EO$14,((MONTH($A35)-1)*12)+VLOOKUP(BM$4,$DE$6:$DF$17,2)+1))*(VLOOKUP($A35,SatSunCurve,8))*(INDEX(DailyScalarsTable,BM$5/100,MONTH($A35)))*$D35</f>
        <v>-7121.6679731916174</v>
      </c>
      <c r="BN35" s="1021">
        <f>(VLOOKUP(YEAR($A35),'NY East Load Projections'!$A$4:$EO$14,((MONTH($A35)-1)*12)+VLOOKUP(BN$4,$DE$6:$DF$17,2)+1))*(VLOOKUP($A35,SatSunCurve,8))*(INDEX(DailyScalarsTable,BN$5/100,MONTH($A35)))*$D35</f>
        <v>-9046.9193841053166</v>
      </c>
      <c r="BO35" s="1021">
        <f>(VLOOKUP(YEAR($A35),'NY East Load Projections'!$A$4:$EO$14,((MONTH($A35)-1)*12)+VLOOKUP(BO$4,$DE$6:$DF$17,2)+1))*(VLOOKUP($A35,SatSunCurve,8))*(INDEX(DailyScalarsTable,BO$5/100,MONTH($A35)))*$D35</f>
        <v>-10118.911935140404</v>
      </c>
      <c r="BP35" s="1021">
        <f>(VLOOKUP(YEAR($A35),'NY East Load Projections'!$A$4:$EO$14,((MONTH($A35)-1)*12)+VLOOKUP(BP$4,$DE$6:$DF$17,2)+1))*(VLOOKUP($A35,SatSunCurve,8))*(INDEX(DailyScalarsTable,BP$5/100,MONTH($A35)))*$D35</f>
        <v>-11639.682432836635</v>
      </c>
      <c r="BQ35" s="1021">
        <f>(VLOOKUP(YEAR($A35),'NY East Load Projections'!$A$4:$EO$14,((MONTH($A35)-1)*12)+VLOOKUP(BQ$4,$DE$6:$DF$17,2)+1))*(VLOOKUP($A35,SatSunCurve,8))*(INDEX(DailyScalarsTable,BQ$5/100,MONTH($A35)))*$D35</f>
        <v>-12553.096204132809</v>
      </c>
      <c r="BR35" s="1021">
        <f>(VLOOKUP(YEAR($A35),'NY East Load Projections'!$A$4:$EO$14,((MONTH($A35)-1)*12)+VLOOKUP(BR$4,$DE$6:$DF$17,2)+1))*(VLOOKUP($A35,SatSunCurve,8))*(INDEX(DailyScalarsTable,BR$5/100,MONTH($A35)))*$D35</f>
        <v>-13195.031823982137</v>
      </c>
      <c r="BS35" s="1021">
        <f>(VLOOKUP(YEAR($A35),'NY East Load Projections'!$A$4:$EO$14,((MONTH($A35)-1)*12)+VLOOKUP(BS$4,$DE$6:$DF$17,2)+1))*(VLOOKUP($A35,SatSunCurve,8))*(INDEX(DailyScalarsTable,BS$5/100,MONTH($A35)))*$D35</f>
        <v>-14592.171711982193</v>
      </c>
      <c r="BT35" s="1021">
        <f>(VLOOKUP(YEAR($A35),'NY East Load Projections'!$A$4:$EO$14,((MONTH($A35)-1)*12)+VLOOKUP(BT$4,$DE$6:$DF$17,2)+1))*(VLOOKUP($A35,SatSunCurve,8))*(INDEX(DailyScalarsTable,BT$5/100,MONTH($A35)))*$D35</f>
        <v>-14704.456203555106</v>
      </c>
      <c r="BU35" s="1021">
        <f>(VLOOKUP(YEAR($A35),'NY East Load Projections'!$A$4:$EO$14,((MONTH($A35)-1)*12)+VLOOKUP(BU$4,$DE$6:$DF$17,2)+1))*(VLOOKUP($A35,SatSunCurve,8))*(INDEX(DailyScalarsTable,BU$5/100,MONTH($A35)))*$D35</f>
        <v>-14728.51716603501</v>
      </c>
      <c r="BV35" s="1021">
        <f>(VLOOKUP(YEAR($A35),'NY East Load Projections'!$A$4:$EO$14,((MONTH($A35)-1)*12)+VLOOKUP(BV$4,$DE$6:$DF$17,2)+1))*(VLOOKUP($A35,SatSunCurve,8))*(INDEX(DailyScalarsTable,BV$5/100,MONTH($A35)))*$D35</f>
        <v>-14298.724734877133</v>
      </c>
      <c r="BW35" s="1021">
        <f>(VLOOKUP(YEAR($A35),'NY East Load Projections'!$A$4:$EO$14,((MONTH($A35)-1)*12)+VLOOKUP(BW$4,$DE$6:$DF$17,2)+1))*(VLOOKUP($A35,SatSunCurve,8))*(INDEX(DailyScalarsTable,BW$5/100,MONTH($A35)))*$D35</f>
        <v>-13874.252893535264</v>
      </c>
      <c r="BX35" s="1021">
        <f>(VLOOKUP(YEAR($A35),'NY East Load Projections'!$A$4:$EO$14,((MONTH($A35)-1)*12)+VLOOKUP(BX$4,$DE$6:$DF$17,2)+1))*(VLOOKUP($A35,SatSunCurve,8))*(INDEX(DailyScalarsTable,BX$5/100,MONTH($A35)))*$D35</f>
        <v>-11846.901824599194</v>
      </c>
      <c r="BY35" s="1021">
        <f>(VLOOKUP(YEAR($A35),'NY East Load Projections'!$A$4:$EO$14,((MONTH($A35)-1)*12)+VLOOKUP(BY$4,$DE$6:$DF$17,2)+1))*(VLOOKUP($A35,SatSunCurve,8))*(INDEX(DailyScalarsTable,BY$5/100,MONTH($A35)))*$D35</f>
        <v>-9473.2307695863728</v>
      </c>
      <c r="BZ35" s="1021">
        <f>(VLOOKUP(YEAR($A35),'NY East Load Projections'!$A$4:$EO$14,((MONTH($A35)-1)*12)+VLOOKUP(BZ$4,$DE$6:$DF$17,2)+1))*(VLOOKUP($A35,SatSunCurve,8))*(INDEX(DailyScalarsTable,BZ$5/100,MONTH($A35)))*$D35</f>
        <v>-9931.9942205362531</v>
      </c>
      <c r="CA35" s="1021">
        <f>(VLOOKUP(YEAR($A35),'NY East Load Projections'!$A$4:$EO$14,((MONTH($A35)-1)*12)+VLOOKUP(CA$4,$DE$6:$DF$17,2)+1))*(VLOOKUP($A35,SatSunCurve,8))*(INDEX(DailyScalarsTable,CA$5/100,MONTH($A35)))*$D35</f>
        <v>-10119.752968081373</v>
      </c>
      <c r="CB35" s="1021">
        <f>(VLOOKUP(YEAR($A35),'NY East Load Projections'!$A$4:$EO$14,((MONTH($A35)-1)*12)+VLOOKUP(CB$4,$DE$6:$DF$17,2)+1))*(VLOOKUP($A35,SatSunCurve,8))*(INDEX(DailyScalarsTable,CB$5/100,MONTH($A35)))*$D35</f>
        <v>-8115.021773820109</v>
      </c>
      <c r="CC35" s="1021">
        <f>(VLOOKUP(YEAR($A35),'NY East Load Projections'!$A$4:$EO$14,((MONTH($A35)-1)*12)+VLOOKUP(CC$4,$DE$6:$DF$17,2)+1))*(VLOOKUP($A35,CURVES!$D$9:$T$261,8))*(INDEX(DailyScalarsTable,CC$5/100,MONTH($A35)))*$D35</f>
        <v>-14390.453570282263</v>
      </c>
      <c r="CE35" s="1021">
        <f>(VLOOKUP(YEAR($A35),'NY East Load Projections'!$A$4:$EO$14,((MONTH($A35)-1)*12)+VLOOKUP(CE$4,$DE$6:$DF$17,2)+1))*(VLOOKUP($A35,CURVES!$D$9:$T$261,8))*(INDEX(DailyScalarsTable,CE$5/100,MONTH($A35)))*$E35</f>
        <v>0</v>
      </c>
      <c r="CF35" s="1021">
        <f>(VLOOKUP(YEAR($A35),'NY East Load Projections'!$A$4:$EO$14,((MONTH($A35)-1)*12)+VLOOKUP(CF$4,$DE$6:$DF$17,2)+1))*(VLOOKUP($A35,CURVES!$D$9:$T$261,8))*(INDEX(DailyScalarsTable,CF$5/100,MONTH($A35)))*$E35</f>
        <v>0</v>
      </c>
      <c r="CG35" s="1021">
        <f>(VLOOKUP(YEAR($A35),'NY East Load Projections'!$A$4:$EO$14,((MONTH($A35)-1)*12)+VLOOKUP(CG$4,$DE$6:$DF$17,2)+1))*(VLOOKUP($A35,CURVES!$D$9:$T$261,8))*(INDEX(DailyScalarsTable,CG$5/100,MONTH($A35)))*$E35</f>
        <v>0</v>
      </c>
      <c r="CH35" s="1021">
        <f>(VLOOKUP(YEAR($A35),'NY East Load Projections'!$A$4:$EO$14,((MONTH($A35)-1)*12)+VLOOKUP(CH$4,$DE$6:$DF$17,2)+1))*(VLOOKUP($A35,CURVES!$D$9:$T$261,8))*(INDEX(DailyScalarsTable,CH$5/100,MONTH($A35)))*$E35</f>
        <v>0</v>
      </c>
      <c r="CI35" s="1021">
        <f>(VLOOKUP(YEAR($A35),'NY East Load Projections'!$A$4:$EO$14,((MONTH($A35)-1)*12)+VLOOKUP(CI$4,$DE$6:$DF$17,2)+1))*(VLOOKUP($A35,CURVES!$D$9:$T$261,8))*(INDEX(DailyScalarsTable,CI$5/100,MONTH($A35)))*$E35</f>
        <v>0</v>
      </c>
      <c r="CJ35" s="1021">
        <f>(VLOOKUP(YEAR($A35),'NY East Load Projections'!$A$4:$EO$14,((MONTH($A35)-1)*12)+VLOOKUP(CJ$4,$DE$6:$DF$17,2)+1))*(VLOOKUP($A35,CURVES!$D$9:$T$261,8))*(INDEX(DailyScalarsTable,CJ$5/100,MONTH($A35)))*$E35</f>
        <v>0</v>
      </c>
      <c r="CK35" s="1021">
        <f>(VLOOKUP(YEAR($A35),'NY East Load Projections'!$A$4:$EO$14,((MONTH($A35)-1)*12)+VLOOKUP(CK$4,$DE$6:$DF$17,2)+1))*(VLOOKUP($A35,CURVES!$D$9:$T$261,8))*(INDEX(DailyScalarsTable,CK$5/100,MONTH($A35)))*$E35</f>
        <v>0</v>
      </c>
      <c r="CL35" s="1021">
        <f>(VLOOKUP(YEAR($A35),'NY East Load Projections'!$A$4:$EO$14,((MONTH($A35)-1)*12)+VLOOKUP(CL$4,$DE$6:$DF$17,2)+1))*(VLOOKUP($A35,SatSunCurve,8))*(INDEX(DailyScalarsTable,CL$5/100,MONTH($A35)))*$E35</f>
        <v>0</v>
      </c>
      <c r="CM35" s="1021">
        <f>(VLOOKUP(YEAR($A35),'NY East Load Projections'!$A$4:$EO$14,((MONTH($A35)-1)*12)+VLOOKUP(CM$4,$DE$6:$DF$17,2)+1))*(VLOOKUP($A35,SatSunCurve,8))*(INDEX(DailyScalarsTable,CM$5/100,MONTH($A35)))*$E35</f>
        <v>0</v>
      </c>
      <c r="CN35" s="1021">
        <f>(VLOOKUP(YEAR($A35),'NY East Load Projections'!$A$4:$EO$14,((MONTH($A35)-1)*12)+VLOOKUP(CN$4,$DE$6:$DF$17,2)+1))*(VLOOKUP($A35,SatSunCurve,8))*(INDEX(DailyScalarsTable,CN$5/100,MONTH($A35)))*$E35</f>
        <v>0</v>
      </c>
      <c r="CO35" s="1021">
        <f>(VLOOKUP(YEAR($A35),'NY East Load Projections'!$A$4:$EO$14,((MONTH($A35)-1)*12)+VLOOKUP(CO$4,$DE$6:$DF$17,2)+1))*(VLOOKUP($A35,SatSunCurve,8))*(INDEX(DailyScalarsTable,CO$5/100,MONTH($A35)))*$E35</f>
        <v>0</v>
      </c>
      <c r="CP35" s="1021">
        <f>(VLOOKUP(YEAR($A35),'NY East Load Projections'!$A$4:$EO$14,((MONTH($A35)-1)*12)+VLOOKUP(CP$4,$DE$6:$DF$17,2)+1))*(VLOOKUP($A35,SatSunCurve,8))*(INDEX(DailyScalarsTable,CP$5/100,MONTH($A35)))*$E35</f>
        <v>0</v>
      </c>
      <c r="CQ35" s="1021">
        <f>(VLOOKUP(YEAR($A35),'NY East Load Projections'!$A$4:$EO$14,((MONTH($A35)-1)*12)+VLOOKUP(CQ$4,$DE$6:$DF$17,2)+1))*(VLOOKUP($A35,SatSunCurve,8))*(INDEX(DailyScalarsTable,CQ$5/100,MONTH($A35)))*$E35</f>
        <v>0</v>
      </c>
      <c r="CR35" s="1021">
        <f>(VLOOKUP(YEAR($A35),'NY East Load Projections'!$A$4:$EO$14,((MONTH($A35)-1)*12)+VLOOKUP(CR$4,$DE$6:$DF$17,2)+1))*(VLOOKUP($A35,SatSunCurve,8))*(INDEX(DailyScalarsTable,CR$5/100,MONTH($A35)))*$E35</f>
        <v>0</v>
      </c>
      <c r="CS35" s="1021">
        <f>(VLOOKUP(YEAR($A35),'NY East Load Projections'!$A$4:$EO$14,((MONTH($A35)-1)*12)+VLOOKUP(CS$4,$DE$6:$DF$17,2)+1))*(VLOOKUP($A35,SatSunCurve,8))*(INDEX(DailyScalarsTable,CS$5/100,MONTH($A35)))*$E35</f>
        <v>0</v>
      </c>
      <c r="CT35" s="1021">
        <f>(VLOOKUP(YEAR($A35),'NY East Load Projections'!$A$4:$EO$14,((MONTH($A35)-1)*12)+VLOOKUP(CT$4,$DE$6:$DF$17,2)+1))*(VLOOKUP($A35,SatSunCurve,8))*(INDEX(DailyScalarsTable,CT$5/100,MONTH($A35)))*$E35</f>
        <v>0</v>
      </c>
      <c r="CU35" s="1021">
        <f>(VLOOKUP(YEAR($A35),'NY East Load Projections'!$A$4:$EO$14,((MONTH($A35)-1)*12)+VLOOKUP(CU$4,$DE$6:$DF$17,2)+1))*(VLOOKUP($A35,SatSunCurve,8))*(INDEX(DailyScalarsTable,CU$5/100,MONTH($A35)))*$E35</f>
        <v>0</v>
      </c>
      <c r="CV35" s="1021">
        <f>(VLOOKUP(YEAR($A35),'NY East Load Projections'!$A$4:$EO$14,((MONTH($A35)-1)*12)+VLOOKUP(CV$4,$DE$6:$DF$17,2)+1))*(VLOOKUP($A35,SatSunCurve,8))*(INDEX(DailyScalarsTable,CV$5/100,MONTH($A35)))*$E35</f>
        <v>0</v>
      </c>
      <c r="CW35" s="1021">
        <f>(VLOOKUP(YEAR($A35),'NY East Load Projections'!$A$4:$EO$14,((MONTH($A35)-1)*12)+VLOOKUP(CW$4,$DE$6:$DF$17,2)+1))*(VLOOKUP($A35,SatSunCurve,8))*(INDEX(DailyScalarsTable,CW$5/100,MONTH($A35)))*$E35</f>
        <v>0</v>
      </c>
      <c r="CX35" s="1021">
        <f>(VLOOKUP(YEAR($A35),'NY East Load Projections'!$A$4:$EO$14,((MONTH($A35)-1)*12)+VLOOKUP(CX$4,$DE$6:$DF$17,2)+1))*(VLOOKUP($A35,SatSunCurve,8))*(INDEX(DailyScalarsTable,CX$5/100,MONTH($A35)))*$E35</f>
        <v>0</v>
      </c>
      <c r="CY35" s="1021">
        <f>(VLOOKUP(YEAR($A35),'NY East Load Projections'!$A$4:$EO$14,((MONTH($A35)-1)*12)+VLOOKUP(CY$4,$DE$6:$DF$17,2)+1))*(VLOOKUP($A35,SatSunCurve,8))*(INDEX(DailyScalarsTable,CY$5/100,MONTH($A35)))*$E35</f>
        <v>0</v>
      </c>
      <c r="CZ35" s="1021">
        <f>(VLOOKUP(YEAR($A35),'NY East Load Projections'!$A$4:$EO$14,((MONTH($A35)-1)*12)+VLOOKUP(CZ$4,$DE$6:$DF$17,2)+1))*(VLOOKUP($A35,SatSunCurve,8))*(INDEX(DailyScalarsTable,CZ$5/100,MONTH($A35)))*$E35</f>
        <v>0</v>
      </c>
      <c r="DA35" s="1021">
        <f>(VLOOKUP(YEAR($A35),'NY East Load Projections'!$A$4:$EO$14,((MONTH($A35)-1)*12)+VLOOKUP(DA$4,$DE$6:$DF$17,2)+1))*(VLOOKUP($A35,SatSunCurve,8))*(INDEX(DailyScalarsTable,DA$5/100,MONTH($A35)))*$E35</f>
        <v>0</v>
      </c>
      <c r="DB35" s="1021">
        <f>(VLOOKUP(YEAR($A35),'NY East Load Projections'!$A$4:$EO$14,((MONTH($A35)-1)*12)+VLOOKUP(DB$4,$DE$6:$DF$17,2)+1))*(VLOOKUP($A35,CURVES!$D$9:$T$261,8))*(INDEX(DailyScalarsTable,DB$5/100,MONTH($A35)))*$E35</f>
        <v>0</v>
      </c>
      <c r="DH35" s="1021">
        <f t="shared" si="0"/>
        <v>-2830263.9852525187</v>
      </c>
      <c r="DI35">
        <f ca="1">CALC!J55</f>
        <v>0.78682273410589021</v>
      </c>
      <c r="DJ35" s="1029">
        <f t="shared" ca="1" si="1"/>
        <v>-2226916.0471178195</v>
      </c>
    </row>
    <row r="36" spans="1:114" x14ac:dyDescent="0.25">
      <c r="A36" s="244">
        <v>37803</v>
      </c>
      <c r="B36" s="13">
        <v>22</v>
      </c>
      <c r="C36" s="210">
        <v>4</v>
      </c>
      <c r="D36" s="210">
        <v>4</v>
      </c>
      <c r="E36" s="210">
        <v>1</v>
      </c>
      <c r="F36" s="13">
        <v>31</v>
      </c>
      <c r="H36" s="1021">
        <f>(VLOOKUP(YEAR($A36),'NY East Load Projections'!$A$4:$EO$14,((MONTH($A36)-1)*12)+VLOOKUP(H$4,$DE$6:$DF$17,2)+1))*(VLOOKUP($A36,CURVES!$D$9:$K$261,8))*(INDEX(DailyScalarsTable,H$5/100,MONTH($A36)))*$B36</f>
        <v>-61148.779980060244</v>
      </c>
      <c r="I36" s="1021">
        <f>(VLOOKUP(YEAR($A36),'NY East Load Projections'!$A$4:$EO$14,((MONTH($A36)-1)*12)+VLOOKUP(I$4,$DE$6:$DF$17,2)+1))*(VLOOKUP($A36,CURVES!$D$9:$K$261,8))*(INDEX(DailyScalarsTable,I$5/100,MONTH($A36)))*$B36</f>
        <v>-55855.339092724149</v>
      </c>
      <c r="J36" s="1021">
        <f>(VLOOKUP(YEAR($A36),'NY East Load Projections'!$A$4:$EO$14,((MONTH($A36)-1)*12)+VLOOKUP(J$4,$DE$6:$DF$17,2)+1))*(VLOOKUP($A36,CURVES!$D$9:$K$261,8))*(INDEX(DailyScalarsTable,J$5/100,MONTH($A36)))*$B36</f>
        <v>-53220.540813216794</v>
      </c>
      <c r="K36" s="1021">
        <f>(VLOOKUP(YEAR($A36),'NY East Load Projections'!$A$4:$EO$14,((MONTH($A36)-1)*12)+VLOOKUP(K$4,$DE$6:$DF$17,2)+1))*(VLOOKUP($A36,CURVES!$D$9:$K$261,8))*(INDEX(DailyScalarsTable,K$5/100,MONTH($A36)))*$B36</f>
        <v>-47927.099925880699</v>
      </c>
      <c r="L36" s="1021">
        <f>(VLOOKUP(YEAR($A36),'NY East Load Projections'!$A$4:$EO$14,((MONTH($A36)-1)*12)+VLOOKUP(L$4,$DE$6:$DF$17,2)+1))*(VLOOKUP($A36,CURVES!$D$9:$K$261,8))*(INDEX(DailyScalarsTable,L$5/100,MONTH($A36)))*$B36</f>
        <v>-49925.039748412615</v>
      </c>
      <c r="M36" s="1021">
        <f>(VLOOKUP(YEAR($A36),'NY East Load Projections'!$A$4:$EO$14,((MONTH($A36)-1)*12)+VLOOKUP(M$4,$DE$6:$DF$17,2)+1))*(VLOOKUP($A36,CURVES!$D$9:$K$261,8))*(INDEX(DailyScalarsTable,M$5/100,MONTH($A36)))*$B36</f>
        <v>-55040.52469118758</v>
      </c>
      <c r="N36" s="1021">
        <f>(VLOOKUP(YEAR($A36),'NY East Load Projections'!$A$4:$EO$14,((MONTH($A36)-1)*12)+VLOOKUP(N$4,$DE$6:$DF$17,2)+1))*(VLOOKUP($A36,CURVES!$D$9:$K$261,8))*(INDEX(DailyScalarsTable,N$5/100,MONTH($A36)))*$B36</f>
        <v>-61124.157679398231</v>
      </c>
      <c r="O36" s="1021">
        <f>(VLOOKUP(YEAR($A36),'NY East Load Projections'!$A$4:$EO$14,((MONTH($A36)-1)*12)+VLOOKUP(O$4,$DE$6:$DF$17,2)+1))*(VLOOKUP($A36,CURVES!$D$9:$K$261,4))*(INDEX(DailyScalarsTable,O$5/100,MONTH($A36)))*$B36</f>
        <v>-100891.23209115618</v>
      </c>
      <c r="P36" s="1021">
        <f>(VLOOKUP(YEAR($A36),'NY East Load Projections'!$A$4:$EO$14,((MONTH($A36)-1)*12)+VLOOKUP(P$4,$DE$6:$DF$17,2)+1))*(VLOOKUP($A36,CURVES!$D$9:$K$261,4))*(INDEX(DailyScalarsTable,P$5/100,MONTH($A36)))*$B36</f>
        <v>-124944.25950619235</v>
      </c>
      <c r="Q36" s="1021">
        <f>(VLOOKUP(YEAR($A36),'NY East Load Projections'!$A$4:$EO$14,((MONTH($A36)-1)*12)+VLOOKUP(Q$4,$DE$6:$DF$17,2)+1))*(VLOOKUP($A36,CURVES!$D$9:$K$261,4))*(INDEX(DailyScalarsTable,Q$5/100,MONTH($A36)))*$B36</f>
        <v>-149592.5298935317</v>
      </c>
      <c r="R36" s="1021">
        <f>(VLOOKUP(YEAR($A36),'NY East Load Projections'!$A$4:$EO$14,((MONTH($A36)-1)*12)+VLOOKUP(R$4,$DE$6:$DF$17,2)+1))*(VLOOKUP($A36,CURVES!$D$9:$K$261,4))*(INDEX(DailyScalarsTable,R$5/100,MONTH($A36)))*$B36</f>
        <v>-170220.53395701014</v>
      </c>
      <c r="S36" s="1021">
        <f>(VLOOKUP(YEAR($A36),'NY East Load Projections'!$A$4:$EO$14,((MONTH($A36)-1)*12)+VLOOKUP(S$4,$DE$6:$DF$17,2)+1))*(VLOOKUP($A36,CURVES!$D$9:$K$261,4))*(INDEX(DailyScalarsTable,S$5/100,MONTH($A36)))*$B36</f>
        <v>-203506.23242880177</v>
      </c>
      <c r="T36" s="1021">
        <f>(VLOOKUP(YEAR($A36),'NY East Load Projections'!$A$4:$EO$14,((MONTH($A36)-1)*12)+VLOOKUP(T$4,$DE$6:$DF$17,2)+1))*(VLOOKUP($A36,CURVES!$D$9:$K$261,4))*(INDEX(DailyScalarsTable,T$5/100,MONTH($A36)))*$B36</f>
        <v>-226584.07512057925</v>
      </c>
      <c r="U36" s="1021">
        <f>(VLOOKUP(YEAR($A36),'NY East Load Projections'!$A$4:$EO$14,((MONTH($A36)-1)*12)+VLOOKUP(U$4,$DE$6:$DF$17,2)+1))*(VLOOKUP($A36,CURVES!$D$9:$K$261,4))*(INDEX(DailyScalarsTable,U$5/100,MONTH($A36)))*$B36</f>
        <v>-234210.18284614661</v>
      </c>
      <c r="V36" s="1021">
        <f>(VLOOKUP(YEAR($A36),'NY East Load Projections'!$A$4:$EO$14,((MONTH($A36)-1)*12)+VLOOKUP(V$4,$DE$6:$DF$17,2)+1))*(VLOOKUP($A36,CURVES!$D$9:$K$261,4))*(INDEX(DailyScalarsTable,V$5/100,MONTH($A36)))*$B36</f>
        <v>-243964.50668117465</v>
      </c>
      <c r="W36" s="1021">
        <f>(VLOOKUP(YEAR($A36),'NY East Load Projections'!$A$4:$EO$14,((MONTH($A36)-1)*12)+VLOOKUP(W$4,$DE$6:$DF$17,2)+1))*(VLOOKUP($A36,CURVES!$D$9:$K$261,4))*(INDEX(DailyScalarsTable,W$5/100,MONTH($A36)))*$B36</f>
        <v>-258915.22485013594</v>
      </c>
      <c r="X36" s="1021">
        <f>(VLOOKUP(YEAR($A36),'NY East Load Projections'!$A$4:$EO$14,((MONTH($A36)-1)*12)+VLOOKUP(X$4,$DE$6:$DF$17,2)+1))*(VLOOKUP($A36,CURVES!$D$9:$K$261,4))*(INDEX(DailyScalarsTable,X$5/100,MONTH($A36)))*$B36</f>
        <v>-249477.5371477172</v>
      </c>
      <c r="Y36" s="1021">
        <f>(VLOOKUP(YEAR($A36),'NY East Load Projections'!$A$4:$EO$14,((MONTH($A36)-1)*12)+VLOOKUP(Y$4,$DE$6:$DF$17,2)+1))*(VLOOKUP($A36,CURVES!$D$9:$K$261,4))*(INDEX(DailyScalarsTable,Y$5/100,MONTH($A36)))*$B36</f>
        <v>-243295.46668854673</v>
      </c>
      <c r="Z36" s="1021">
        <f>(VLOOKUP(YEAR($A36),'NY East Load Projections'!$A$4:$EO$14,((MONTH($A36)-1)*12)+VLOOKUP(Z$4,$DE$6:$DF$17,2)+1))*(VLOOKUP($A36,CURVES!$D$9:$K$261,4))*(INDEX(DailyScalarsTable,Z$5/100,MONTH($A36)))*$B36</f>
        <v>-203204.15338557932</v>
      </c>
      <c r="AA36" s="1021">
        <f>(VLOOKUP(YEAR($A36),'NY East Load Projections'!$A$4:$EO$14,((MONTH($A36)-1)*12)+VLOOKUP(AA$4,$DE$6:$DF$17,2)+1))*(VLOOKUP($A36,CURVES!$D$9:$K$261,4))*(INDEX(DailyScalarsTable,AA$5/100,MONTH($A36)))*$B36</f>
        <v>-150363.36685922788</v>
      </c>
      <c r="AB36" s="1021">
        <f>(VLOOKUP(YEAR($A36),'NY East Load Projections'!$A$4:$EO$14,((MONTH($A36)-1)*12)+VLOOKUP(AB$4,$DE$6:$DF$17,2)+1))*(VLOOKUP($A36,CURVES!$D$9:$K$261,4))*(INDEX(DailyScalarsTable,AB$5/100,MONTH($A36)))*$B36</f>
        <v>-148088.98382501787</v>
      </c>
      <c r="AC36" s="1021">
        <f>(VLOOKUP(YEAR($A36),'NY East Load Projections'!$A$4:$EO$14,((MONTH($A36)-1)*12)+VLOOKUP(AC$4,$DE$6:$DF$17,2)+1))*(VLOOKUP($A36,CURVES!$D$9:$K$261,4))*(INDEX(DailyScalarsTable,AC$5/100,MONTH($A36)))*$B36</f>
        <v>-156920.32042463619</v>
      </c>
      <c r="AD36" s="1021">
        <f>(VLOOKUP(YEAR($A36),'NY East Load Projections'!$A$4:$EO$14,((MONTH($A36)-1)*12)+VLOOKUP(AD$4,$DE$6:$DF$17,2)+1))*(VLOOKUP($A36,CURVES!$D$9:$K$261,4))*(INDEX(DailyScalarsTable,AD$5/100,MONTH($A36)))*$B36</f>
        <v>-108974.51665576262</v>
      </c>
      <c r="AE36" s="1021">
        <f>(VLOOKUP(YEAR($A36),'NY East Load Projections'!$A$4:$EO$14,((MONTH($A36)-1)*12)+VLOOKUP(AE$4,$DE$6:$DF$17,2)+1))*(VLOOKUP($A36,CURVES!$D$9:$K$261,8))*(INDEX(DailyScalarsTable,AE$5/100,MONTH($A36)))*$B36</f>
        <v>-72383.396520642593</v>
      </c>
      <c r="AF36" s="1021"/>
      <c r="AG36" s="1021">
        <f>(VLOOKUP(YEAR($A36),'NY East Load Projections'!$A$4:$EO$14,((MONTH($A36)-1)*12)+VLOOKUP(AG$4,$DE$6:$DF$17,2)+1))*(VLOOKUP($A36,CURVES!$D$9:$T$261,8))*(INDEX(DailyScalarsTable,AG$5/100,MONTH($A36)))*$C36</f>
        <v>-10697.078846125964</v>
      </c>
      <c r="AH36" s="1021">
        <f>(VLOOKUP(YEAR($A36),'NY East Load Projections'!$A$4:$EO$14,((MONTH($A36)-1)*12)+VLOOKUP(AH$4,$DE$6:$DF$17,2)+1))*(VLOOKUP($A36,CURVES!$D$9:$T$261,8))*(INDEX(DailyScalarsTable,AH$5/100,MONTH($A36)))*$C36</f>
        <v>-9771.0692911094029</v>
      </c>
      <c r="AI36" s="1021">
        <f>(VLOOKUP(YEAR($A36),'NY East Load Projections'!$A$4:$EO$14,((MONTH($A36)-1)*12)+VLOOKUP(AI$4,$DE$6:$DF$17,2)+1))*(VLOOKUP($A36,CURVES!$D$9:$T$261,8))*(INDEX(DailyScalarsTable,AI$5/100,MONTH($A36)))*$C36</f>
        <v>-9310.1501207070196</v>
      </c>
      <c r="AJ36" s="1021">
        <f>(VLOOKUP(YEAR($A36),'NY East Load Projections'!$A$4:$EO$14,((MONTH($A36)-1)*12)+VLOOKUP(AJ$4,$DE$6:$DF$17,2)+1))*(VLOOKUP($A36,CURVES!$D$9:$T$261,8))*(INDEX(DailyScalarsTable,AJ$5/100,MONTH($A36)))*$C36</f>
        <v>-8384.1405656904572</v>
      </c>
      <c r="AK36" s="1021">
        <f>(VLOOKUP(YEAR($A36),'NY East Load Projections'!$A$4:$EO$14,((MONTH($A36)-1)*12)+VLOOKUP(AK$4,$DE$6:$DF$17,2)+1))*(VLOOKUP($A36,CURVES!$D$9:$T$261,8))*(INDEX(DailyScalarsTable,AK$5/100,MONTH($A36)))*$C36</f>
        <v>-8070.1008530444651</v>
      </c>
      <c r="AL36" s="1021">
        <f>(VLOOKUP(YEAR($A36),'NY East Load Projections'!$A$4:$EO$14,((MONTH($A36)-1)*12)+VLOOKUP(AL$4,$DE$6:$DF$17,2)+1))*(VLOOKUP($A36,CURVES!$D$9:$T$261,8))*(INDEX(DailyScalarsTable,AL$5/100,MONTH($A36)))*$C36</f>
        <v>-8896.9901175990708</v>
      </c>
      <c r="AM36" s="1021">
        <f>(VLOOKUP(YEAR($A36),'NY East Load Projections'!$A$4:$EO$14,((MONTH($A36)-1)*12)+VLOOKUP(AM$4,$DE$6:$DF$17,2)+1))*(VLOOKUP($A36,CURVES!$D$9:$T$261,8))*(INDEX(DailyScalarsTable,AM$5/100,MONTH($A36)))*$C36</f>
        <v>-9880.375048591126</v>
      </c>
      <c r="AN36" s="1021">
        <f>(VLOOKUP(YEAR($A36),'NY East Load Projections'!$A$4:$EO$14,((MONTH($A36)-1)*12)+VLOOKUP(AN$4,$DE$6:$DF$17,2)+1))*(VLOOKUP($A36,SatSunCurve,4))*(INDEX(DailyScalarsTable,AN$5/100,MONTH($A36)))*$C36</f>
        <v>-9251.241742237502</v>
      </c>
      <c r="AO36" s="1021">
        <f>(VLOOKUP(YEAR($A36),'NY East Load Projections'!$A$4:$EO$14,((MONTH($A36)-1)*12)+VLOOKUP(AO$4,$DE$6:$DF$17,2)+1))*(VLOOKUP($A36,SatSunCurve,4))*(INDEX(DailyScalarsTable,AO$5/100,MONTH($A36)))*$C36</f>
        <v>-11163.350249681584</v>
      </c>
      <c r="AP36" s="1021">
        <f>(VLOOKUP(YEAR($A36),'NY East Load Projections'!$A$4:$EO$14,((MONTH($A36)-1)*12)+VLOOKUP(AP$4,$DE$6:$DF$17,2)+1))*(VLOOKUP($A36,SatSunCurve,4))*(INDEX(DailyScalarsTable,AP$5/100,MONTH($A36)))*$C36</f>
        <v>-13365.590484408707</v>
      </c>
      <c r="AQ36" s="1021">
        <f>(VLOOKUP(YEAR($A36),'NY East Load Projections'!$A$4:$EO$14,((MONTH($A36)-1)*12)+VLOOKUP(AQ$4,$DE$6:$DF$17,2)+1))*(VLOOKUP($A36,SatSunCurve,4))*(INDEX(DailyScalarsTable,AQ$5/100,MONTH($A36)))*$C36</f>
        <v>-15208.633415893302</v>
      </c>
      <c r="AR36" s="1021">
        <f>(VLOOKUP(YEAR($A36),'NY East Load Projections'!$A$4:$EO$14,((MONTH($A36)-1)*12)+VLOOKUP(AR$4,$DE$6:$DF$17,2)+1))*(VLOOKUP($A36,SatSunCurve,4))*(INDEX(DailyScalarsTable,AR$5/100,MONTH($A36)))*$C36</f>
        <v>-18182.598861080365</v>
      </c>
      <c r="AS36" s="1021">
        <f>(VLOOKUP(YEAR($A36),'NY East Load Projections'!$A$4:$EO$14,((MONTH($A36)-1)*12)+VLOOKUP(AS$4,$DE$6:$DF$17,2)+1))*(VLOOKUP($A36,SatSunCurve,4))*(INDEX(DailyScalarsTable,AS$5/100,MONTH($A36)))*$C36</f>
        <v>-20345.813579730962</v>
      </c>
      <c r="AT36" s="1021">
        <f>(VLOOKUP(YEAR($A36),'NY East Load Projections'!$A$4:$EO$14,((MONTH($A36)-1)*12)+VLOOKUP(AT$4,$DE$6:$DF$17,2)+1))*(VLOOKUP($A36,SatSunCurve,4))*(INDEX(DailyScalarsTable,AT$5/100,MONTH($A36)))*$C36</f>
        <v>-21030.58970991915</v>
      </c>
      <c r="AU36" s="1021">
        <f>(VLOOKUP(YEAR($A36),'NY East Load Projections'!$A$4:$EO$14,((MONTH($A36)-1)*12)+VLOOKUP(AU$4,$DE$6:$DF$17,2)+1))*(VLOOKUP($A36,SatSunCurve,4))*(INDEX(DailyScalarsTable,AU$5/100,MONTH($A36)))*$C36</f>
        <v>-21906.466155508693</v>
      </c>
      <c r="AV36" s="1021">
        <f>(VLOOKUP(YEAR($A36),'NY East Load Projections'!$A$4:$EO$14,((MONTH($A36)-1)*12)+VLOOKUP(AV$4,$DE$6:$DF$17,2)+1))*(VLOOKUP($A36,SatSunCurve,4))*(INDEX(DailyScalarsTable,AV$5/100,MONTH($A36)))*$C36</f>
        <v>-23248.945871203217</v>
      </c>
      <c r="AW36" s="1021">
        <f>(VLOOKUP(YEAR($A36),'NY East Load Projections'!$A$4:$EO$14,((MONTH($A36)-1)*12)+VLOOKUP(AW$4,$DE$6:$DF$17,2)+1))*(VLOOKUP($A36,SatSunCurve,4))*(INDEX(DailyScalarsTable,AW$5/100,MONTH($A36)))*$C36</f>
        <v>-22547.270430258883</v>
      </c>
      <c r="AX36" s="1021">
        <f>(VLOOKUP(YEAR($A36),'NY East Load Projections'!$A$4:$EO$14,((MONTH($A36)-1)*12)+VLOOKUP(AX$4,$DE$6:$DF$17,2)+1))*(VLOOKUP($A36,SatSunCurve,4))*(INDEX(DailyScalarsTable,AX$5/100,MONTH($A36)))*$C36</f>
        <v>-21988.547524559766</v>
      </c>
      <c r="AY36" s="1021">
        <f>(VLOOKUP(YEAR($A36),'NY East Load Projections'!$A$4:$EO$14,((MONTH($A36)-1)*12)+VLOOKUP(AY$4,$DE$6:$DF$17,2)+1))*(VLOOKUP($A36,SatSunCurve,4))*(INDEX(DailyScalarsTable,AY$5/100,MONTH($A36)))*$C36</f>
        <v>-18365.176485703443</v>
      </c>
      <c r="AZ36" s="1021">
        <f>(VLOOKUP(YEAR($A36),'NY East Load Projections'!$A$4:$EO$14,((MONTH($A36)-1)*12)+VLOOKUP(AZ$4,$DE$6:$DF$17,2)+1))*(VLOOKUP($A36,SatSunCurve,4))*(INDEX(DailyScalarsTable,AZ$5/100,MONTH($A36)))*$C36</f>
        <v>-13589.534088481196</v>
      </c>
      <c r="BA36" s="1021">
        <f>(VLOOKUP(YEAR($A36),'NY East Load Projections'!$A$4:$EO$14,((MONTH($A36)-1)*12)+VLOOKUP(BA$4,$DE$6:$DF$17,2)+1))*(VLOOKUP($A36,SatSunCurve,4))*(INDEX(DailyScalarsTable,BA$5/100,MONTH($A36)))*$C36</f>
        <v>-14499.660782933786</v>
      </c>
      <c r="BB36" s="1021">
        <f>(VLOOKUP(YEAR($A36),'NY East Load Projections'!$A$4:$EO$14,((MONTH($A36)-1)*12)+VLOOKUP(BB$4,$DE$6:$DF$17,2)+1))*(VLOOKUP($A36,SatSunCurve,4))*(INDEX(DailyScalarsTable,BB$5/100,MONTH($A36)))*$C36</f>
        <v>-15364.352954133225</v>
      </c>
      <c r="BC36" s="1021">
        <f>(VLOOKUP(YEAR($A36),'NY East Load Projections'!$A$4:$EO$14,((MONTH($A36)-1)*12)+VLOOKUP(BC$4,$DE$6:$DF$17,2)+1))*(VLOOKUP($A36,SatSunCurve,4))*(INDEX(DailyScalarsTable,BC$5/100,MONTH($A36)))*$C36</f>
        <v>-10669.892416574121</v>
      </c>
      <c r="BD36" s="1021">
        <f>(VLOOKUP(YEAR($A36),'NY East Load Projections'!$A$4:$EO$14,((MONTH($A36)-1)*12)+VLOOKUP(BD$4,$DE$6:$DF$17,2)+1))*(VLOOKUP($A36,CURVES!$D$9:$T$261,8))*(INDEX(DailyScalarsTable,BD$5/100,MONTH($A36)))*$C36</f>
        <v>-12493.611187581186</v>
      </c>
      <c r="BE36" s="1021"/>
      <c r="BF36" s="1021">
        <f>(VLOOKUP(YEAR($A36),'NY East Load Projections'!$A$4:$EO$14,((MONTH($A36)-1)*12)+VLOOKUP(BF$4,$DE$6:$DF$17,2)+1))*(VLOOKUP($A36,CURVES!$D$9:$T$261,8))*(INDEX(DailyScalarsTable,BF$5/100,MONTH($A36)))*$D36</f>
        <v>-10697.078846125964</v>
      </c>
      <c r="BG36" s="1021">
        <f>(VLOOKUP(YEAR($A36),'NY East Load Projections'!$A$4:$EO$14,((MONTH($A36)-1)*12)+VLOOKUP(BG$4,$DE$6:$DF$17,2)+1))*(VLOOKUP($A36,CURVES!$D$9:$T$261,8))*(INDEX(DailyScalarsTable,BG$5/100,MONTH($A36)))*$D36</f>
        <v>-9771.0692911094029</v>
      </c>
      <c r="BH36" s="1021">
        <f>(VLOOKUP(YEAR($A36),'NY East Load Projections'!$A$4:$EO$14,((MONTH($A36)-1)*12)+VLOOKUP(BH$4,$DE$6:$DF$17,2)+1))*(VLOOKUP($A36,CURVES!$D$9:$T$261,8))*(INDEX(DailyScalarsTable,BH$5/100,MONTH($A36)))*$D36</f>
        <v>-9310.1501207070196</v>
      </c>
      <c r="BI36" s="1021">
        <f>(VLOOKUP(YEAR($A36),'NY East Load Projections'!$A$4:$EO$14,((MONTH($A36)-1)*12)+VLOOKUP(BI$4,$DE$6:$DF$17,2)+1))*(VLOOKUP($A36,CURVES!$D$9:$T$261,8))*(INDEX(DailyScalarsTable,BI$5/100,MONTH($A36)))*$D36</f>
        <v>-8384.1405656904572</v>
      </c>
      <c r="BJ36" s="1021">
        <f>(VLOOKUP(YEAR($A36),'NY East Load Projections'!$A$4:$EO$14,((MONTH($A36)-1)*12)+VLOOKUP(BJ$4,$DE$6:$DF$17,2)+1))*(VLOOKUP($A36,CURVES!$D$9:$T$261,8))*(INDEX(DailyScalarsTable,BJ$5/100,MONTH($A36)))*$D36</f>
        <v>-8070.1008530444651</v>
      </c>
      <c r="BK36" s="1021">
        <f>(VLOOKUP(YEAR($A36),'NY East Load Projections'!$A$4:$EO$14,((MONTH($A36)-1)*12)+VLOOKUP(BK$4,$DE$6:$DF$17,2)+1))*(VLOOKUP($A36,CURVES!$D$9:$T$261,8))*(INDEX(DailyScalarsTable,BK$5/100,MONTH($A36)))*$D36</f>
        <v>-8896.9901175990708</v>
      </c>
      <c r="BL36" s="1021">
        <f>(VLOOKUP(YEAR($A36),'NY East Load Projections'!$A$4:$EO$14,((MONTH($A36)-1)*12)+VLOOKUP(BL$4,$DE$6:$DF$17,2)+1))*(VLOOKUP($A36,CURVES!$D$9:$T$261,8))*(INDEX(DailyScalarsTable,BL$5/100,MONTH($A36)))*$D36</f>
        <v>-9880.375048591126</v>
      </c>
      <c r="BM36" s="1021">
        <f>(VLOOKUP(YEAR($A36),'NY East Load Projections'!$A$4:$EO$14,((MONTH($A36)-1)*12)+VLOOKUP(BM$4,$DE$6:$DF$17,2)+1))*(VLOOKUP($A36,SatSunCurve,8))*(INDEX(DailyScalarsTable,BM$5/100,MONTH($A36)))*$D36</f>
        <v>-7015.3904109568712</v>
      </c>
      <c r="BN36" s="1021">
        <f>(VLOOKUP(YEAR($A36),'NY East Load Projections'!$A$4:$EO$14,((MONTH($A36)-1)*12)+VLOOKUP(BN$4,$DE$6:$DF$17,2)+1))*(VLOOKUP($A36,SatSunCurve,8))*(INDEX(DailyScalarsTable,BN$5/100,MONTH($A36)))*$D36</f>
        <v>-8465.3782138469851</v>
      </c>
      <c r="BO36" s="1021">
        <f>(VLOOKUP(YEAR($A36),'NY East Load Projections'!$A$4:$EO$14,((MONTH($A36)-1)*12)+VLOOKUP(BO$4,$DE$6:$DF$17,2)+1))*(VLOOKUP($A36,SatSunCurve,8))*(INDEX(DailyScalarsTable,BO$5/100,MONTH($A36)))*$D36</f>
        <v>-10135.378356075615</v>
      </c>
      <c r="BP36" s="1021">
        <f>(VLOOKUP(YEAR($A36),'NY East Load Projections'!$A$4:$EO$14,((MONTH($A36)-1)*12)+VLOOKUP(BP$4,$DE$6:$DF$17,2)+1))*(VLOOKUP($A36,SatSunCurve,8))*(INDEX(DailyScalarsTable,BP$5/100,MONTH($A36)))*$D36</f>
        <v>-11532.992435219947</v>
      </c>
      <c r="BQ36" s="1021">
        <f>(VLOOKUP(YEAR($A36),'NY East Load Projections'!$A$4:$EO$14,((MONTH($A36)-1)*12)+VLOOKUP(BQ$4,$DE$6:$DF$17,2)+1))*(VLOOKUP($A36,SatSunCurve,8))*(INDEX(DailyScalarsTable,BQ$5/100,MONTH($A36)))*$D36</f>
        <v>-13788.20630250306</v>
      </c>
      <c r="BR36" s="1021">
        <f>(VLOOKUP(YEAR($A36),'NY East Load Projections'!$A$4:$EO$14,((MONTH($A36)-1)*12)+VLOOKUP(BR$4,$DE$6:$DF$17,2)+1))*(VLOOKUP($A36,SatSunCurve,8))*(INDEX(DailyScalarsTable,BR$5/100,MONTH($A36)))*$D36</f>
        <v>-15428.612662740685</v>
      </c>
      <c r="BS36" s="1021">
        <f>(VLOOKUP(YEAR($A36),'NY East Load Projections'!$A$4:$EO$14,((MONTH($A36)-1)*12)+VLOOKUP(BS$4,$DE$6:$DF$17,2)+1))*(VLOOKUP($A36,SatSunCurve,8))*(INDEX(DailyScalarsTable,BS$5/100,MONTH($A36)))*$D36</f>
        <v>-15947.891266762166</v>
      </c>
      <c r="BT36" s="1021">
        <f>(VLOOKUP(YEAR($A36),'NY East Load Projections'!$A$4:$EO$14,((MONTH($A36)-1)*12)+VLOOKUP(BT$4,$DE$6:$DF$17,2)+1))*(VLOOKUP($A36,SatSunCurve,8))*(INDEX(DailyScalarsTable,BT$5/100,MONTH($A36)))*$D36</f>
        <v>-16612.08483004546</v>
      </c>
      <c r="BU36" s="1021">
        <f>(VLOOKUP(YEAR($A36),'NY East Load Projections'!$A$4:$EO$14,((MONTH($A36)-1)*12)+VLOOKUP(BU$4,$DE$6:$DF$17,2)+1))*(VLOOKUP($A36,SatSunCurve,8))*(INDEX(DailyScalarsTable,BU$5/100,MONTH($A36)))*$D36</f>
        <v>-17630.112418859677</v>
      </c>
      <c r="BV36" s="1021">
        <f>(VLOOKUP(YEAR($A36),'NY East Load Projections'!$A$4:$EO$14,((MONTH($A36)-1)*12)+VLOOKUP(BV$4,$DE$6:$DF$17,2)+1))*(VLOOKUP($A36,SatSunCurve,8))*(INDEX(DailyScalarsTable,BV$5/100,MONTH($A36)))*$D36</f>
        <v>-17098.01875001406</v>
      </c>
      <c r="BW36" s="1021">
        <f>(VLOOKUP(YEAR($A36),'NY East Load Projections'!$A$4:$EO$14,((MONTH($A36)-1)*12)+VLOOKUP(BW$4,$DE$6:$DF$17,2)+1))*(VLOOKUP($A36,SatSunCurve,8))*(INDEX(DailyScalarsTable,BW$5/100,MONTH($A36)))*$D36</f>
        <v>-16674.328674212891</v>
      </c>
      <c r="BX36" s="1021">
        <f>(VLOOKUP(YEAR($A36),'NY East Load Projections'!$A$4:$EO$14,((MONTH($A36)-1)*12)+VLOOKUP(BX$4,$DE$6:$DF$17,2)+1))*(VLOOKUP($A36,SatSunCurve,8))*(INDEX(DailyScalarsTable,BX$5/100,MONTH($A36)))*$D36</f>
        <v>-13926.658345236754</v>
      </c>
      <c r="BY36" s="1021">
        <f>(VLOOKUP(YEAR($A36),'NY East Load Projections'!$A$4:$EO$14,((MONTH($A36)-1)*12)+VLOOKUP(BY$4,$DE$6:$DF$17,2)+1))*(VLOOKUP($A36,SatSunCurve,8))*(INDEX(DailyScalarsTable,BY$5/100,MONTH($A36)))*$D36</f>
        <v>-10305.198998144933</v>
      </c>
      <c r="BZ36" s="1021">
        <f>(VLOOKUP(YEAR($A36),'NY East Load Projections'!$A$4:$EO$14,((MONTH($A36)-1)*12)+VLOOKUP(BZ$4,$DE$6:$DF$17,2)+1))*(VLOOKUP($A36,SatSunCurve,8))*(INDEX(DailyScalarsTable,BZ$5/100,MONTH($A36)))*$D36</f>
        <v>-10995.365168581026</v>
      </c>
      <c r="CA36" s="1021">
        <f>(VLOOKUP(YEAR($A36),'NY East Load Projections'!$A$4:$EO$14,((MONTH($A36)-1)*12)+VLOOKUP(CA$4,$DE$6:$DF$17,2)+1))*(VLOOKUP($A36,SatSunCurve,8))*(INDEX(DailyScalarsTable,CA$5/100,MONTH($A36)))*$D36</f>
        <v>-11651.077486481699</v>
      </c>
      <c r="CB36" s="1021">
        <f>(VLOOKUP(YEAR($A36),'NY East Load Projections'!$A$4:$EO$14,((MONTH($A36)-1)*12)+VLOOKUP(CB$4,$DE$6:$DF$17,2)+1))*(VLOOKUP($A36,SatSunCurve,8))*(INDEX(DailyScalarsTable,CB$5/100,MONTH($A36)))*$D36</f>
        <v>-8091.1798686898755</v>
      </c>
      <c r="CC36" s="1021">
        <f>(VLOOKUP(YEAR($A36),'NY East Load Projections'!$A$4:$EO$14,((MONTH($A36)-1)*12)+VLOOKUP(CC$4,$DE$6:$DF$17,2)+1))*(VLOOKUP($A36,CURVES!$D$9:$T$261,8))*(INDEX(DailyScalarsTable,CC$5/100,MONTH($A36)))*$D36</f>
        <v>-12493.611187581186</v>
      </c>
      <c r="CE36" s="1021">
        <f>(VLOOKUP(YEAR($A36),'NY East Load Projections'!$A$4:$EO$14,((MONTH($A36)-1)*12)+VLOOKUP(CE$4,$DE$6:$DF$17,2)+1))*(VLOOKUP($A36,CURVES!$D$9:$T$261,8))*(INDEX(DailyScalarsTable,CE$5/100,MONTH($A36)))*$E36</f>
        <v>-2674.2697115314909</v>
      </c>
      <c r="CF36" s="1021">
        <f>(VLOOKUP(YEAR($A36),'NY East Load Projections'!$A$4:$EO$14,((MONTH($A36)-1)*12)+VLOOKUP(CF$4,$DE$6:$DF$17,2)+1))*(VLOOKUP($A36,CURVES!$D$9:$T$261,8))*(INDEX(DailyScalarsTable,CF$5/100,MONTH($A36)))*$E36</f>
        <v>-2442.7673227773507</v>
      </c>
      <c r="CG36" s="1021">
        <f>(VLOOKUP(YEAR($A36),'NY East Load Projections'!$A$4:$EO$14,((MONTH($A36)-1)*12)+VLOOKUP(CG$4,$DE$6:$DF$17,2)+1))*(VLOOKUP($A36,CURVES!$D$9:$T$261,8))*(INDEX(DailyScalarsTable,CG$5/100,MONTH($A36)))*$E36</f>
        <v>-2327.5375301767549</v>
      </c>
      <c r="CH36" s="1021">
        <f>(VLOOKUP(YEAR($A36),'NY East Load Projections'!$A$4:$EO$14,((MONTH($A36)-1)*12)+VLOOKUP(CH$4,$DE$6:$DF$17,2)+1))*(VLOOKUP($A36,CURVES!$D$9:$T$261,8))*(INDEX(DailyScalarsTable,CH$5/100,MONTH($A36)))*$E36</f>
        <v>-2096.0351414226143</v>
      </c>
      <c r="CI36" s="1021">
        <f>(VLOOKUP(YEAR($A36),'NY East Load Projections'!$A$4:$EO$14,((MONTH($A36)-1)*12)+VLOOKUP(CI$4,$DE$6:$DF$17,2)+1))*(VLOOKUP($A36,CURVES!$D$9:$T$261,8))*(INDEX(DailyScalarsTable,CI$5/100,MONTH($A36)))*$E36</f>
        <v>-2017.5252132611163</v>
      </c>
      <c r="CJ36" s="1021">
        <f>(VLOOKUP(YEAR($A36),'NY East Load Projections'!$A$4:$EO$14,((MONTH($A36)-1)*12)+VLOOKUP(CJ$4,$DE$6:$DF$17,2)+1))*(VLOOKUP($A36,CURVES!$D$9:$T$261,8))*(INDEX(DailyScalarsTable,CJ$5/100,MONTH($A36)))*$E36</f>
        <v>-2224.2475293997677</v>
      </c>
      <c r="CK36" s="1021">
        <f>(VLOOKUP(YEAR($A36),'NY East Load Projections'!$A$4:$EO$14,((MONTH($A36)-1)*12)+VLOOKUP(CK$4,$DE$6:$DF$17,2)+1))*(VLOOKUP($A36,CURVES!$D$9:$T$261,8))*(INDEX(DailyScalarsTable,CK$5/100,MONTH($A36)))*$E36</f>
        <v>-2470.0937621477815</v>
      </c>
      <c r="CL36" s="1021">
        <f>(VLOOKUP(YEAR($A36),'NY East Load Projections'!$A$4:$EO$14,((MONTH($A36)-1)*12)+VLOOKUP(CL$4,$DE$6:$DF$17,2)+1))*(VLOOKUP($A36,SatSunCurve,8))*(INDEX(DailyScalarsTable,CL$5/100,MONTH($A36)))*$E36</f>
        <v>-1753.8476027392178</v>
      </c>
      <c r="CM36" s="1021">
        <f>(VLOOKUP(YEAR($A36),'NY East Load Projections'!$A$4:$EO$14,((MONTH($A36)-1)*12)+VLOOKUP(CM$4,$DE$6:$DF$17,2)+1))*(VLOOKUP($A36,SatSunCurve,8))*(INDEX(DailyScalarsTable,CM$5/100,MONTH($A36)))*$E36</f>
        <v>-2116.3445534617463</v>
      </c>
      <c r="CN36" s="1021">
        <f>(VLOOKUP(YEAR($A36),'NY East Load Projections'!$A$4:$EO$14,((MONTH($A36)-1)*12)+VLOOKUP(CN$4,$DE$6:$DF$17,2)+1))*(VLOOKUP($A36,SatSunCurve,8))*(INDEX(DailyScalarsTable,CN$5/100,MONTH($A36)))*$E36</f>
        <v>-2533.8445890189037</v>
      </c>
      <c r="CO36" s="1021">
        <f>(VLOOKUP(YEAR($A36),'NY East Load Projections'!$A$4:$EO$14,((MONTH($A36)-1)*12)+VLOOKUP(CO$4,$DE$6:$DF$17,2)+1))*(VLOOKUP($A36,SatSunCurve,8))*(INDEX(DailyScalarsTable,CO$5/100,MONTH($A36)))*$E36</f>
        <v>-2883.2481088049867</v>
      </c>
      <c r="CP36" s="1021">
        <f>(VLOOKUP(YEAR($A36),'NY East Load Projections'!$A$4:$EO$14,((MONTH($A36)-1)*12)+VLOOKUP(CP$4,$DE$6:$DF$17,2)+1))*(VLOOKUP($A36,SatSunCurve,8))*(INDEX(DailyScalarsTable,CP$5/100,MONTH($A36)))*$E36</f>
        <v>-3447.0515756257651</v>
      </c>
      <c r="CQ36" s="1021">
        <f>(VLOOKUP(YEAR($A36),'NY East Load Projections'!$A$4:$EO$14,((MONTH($A36)-1)*12)+VLOOKUP(CQ$4,$DE$6:$DF$17,2)+1))*(VLOOKUP($A36,SatSunCurve,8))*(INDEX(DailyScalarsTable,CQ$5/100,MONTH($A36)))*$E36</f>
        <v>-3857.1531656851712</v>
      </c>
      <c r="CR36" s="1021">
        <f>(VLOOKUP(YEAR($A36),'NY East Load Projections'!$A$4:$EO$14,((MONTH($A36)-1)*12)+VLOOKUP(CR$4,$DE$6:$DF$17,2)+1))*(VLOOKUP($A36,SatSunCurve,8))*(INDEX(DailyScalarsTable,CR$5/100,MONTH($A36)))*$E36</f>
        <v>-3986.9728166905415</v>
      </c>
      <c r="CS36" s="1021">
        <f>(VLOOKUP(YEAR($A36),'NY East Load Projections'!$A$4:$EO$14,((MONTH($A36)-1)*12)+VLOOKUP(CS$4,$DE$6:$DF$17,2)+1))*(VLOOKUP($A36,SatSunCurve,8))*(INDEX(DailyScalarsTable,CS$5/100,MONTH($A36)))*$E36</f>
        <v>-4153.021207511365</v>
      </c>
      <c r="CT36" s="1021">
        <f>(VLOOKUP(YEAR($A36),'NY East Load Projections'!$A$4:$EO$14,((MONTH($A36)-1)*12)+VLOOKUP(CT$4,$DE$6:$DF$17,2)+1))*(VLOOKUP($A36,SatSunCurve,8))*(INDEX(DailyScalarsTable,CT$5/100,MONTH($A36)))*$E36</f>
        <v>-4407.5281047149192</v>
      </c>
      <c r="CU36" s="1021">
        <f>(VLOOKUP(YEAR($A36),'NY East Load Projections'!$A$4:$EO$14,((MONTH($A36)-1)*12)+VLOOKUP(CU$4,$DE$6:$DF$17,2)+1))*(VLOOKUP($A36,SatSunCurve,8))*(INDEX(DailyScalarsTable,CU$5/100,MONTH($A36)))*$E36</f>
        <v>-4274.504687503515</v>
      </c>
      <c r="CV36" s="1021">
        <f>(VLOOKUP(YEAR($A36),'NY East Load Projections'!$A$4:$EO$14,((MONTH($A36)-1)*12)+VLOOKUP(CV$4,$DE$6:$DF$17,2)+1))*(VLOOKUP($A36,SatSunCurve,8))*(INDEX(DailyScalarsTable,CV$5/100,MONTH($A36)))*$E36</f>
        <v>-4168.5821685532228</v>
      </c>
      <c r="CW36" s="1021">
        <f>(VLOOKUP(YEAR($A36),'NY East Load Projections'!$A$4:$EO$14,((MONTH($A36)-1)*12)+VLOOKUP(CW$4,$DE$6:$DF$17,2)+1))*(VLOOKUP($A36,SatSunCurve,8))*(INDEX(DailyScalarsTable,CW$5/100,MONTH($A36)))*$E36</f>
        <v>-3481.6645863091885</v>
      </c>
      <c r="CX36" s="1021">
        <f>(VLOOKUP(YEAR($A36),'NY East Load Projections'!$A$4:$EO$14,((MONTH($A36)-1)*12)+VLOOKUP(CX$4,$DE$6:$DF$17,2)+1))*(VLOOKUP($A36,SatSunCurve,8))*(INDEX(DailyScalarsTable,CX$5/100,MONTH($A36)))*$E36</f>
        <v>-2576.2997495362333</v>
      </c>
      <c r="CY36" s="1021">
        <f>(VLOOKUP(YEAR($A36),'NY East Load Projections'!$A$4:$EO$14,((MONTH($A36)-1)*12)+VLOOKUP(CY$4,$DE$6:$DF$17,2)+1))*(VLOOKUP($A36,SatSunCurve,8))*(INDEX(DailyScalarsTable,CY$5/100,MONTH($A36)))*$E36</f>
        <v>-2748.8412921452564</v>
      </c>
      <c r="CZ36" s="1021">
        <f>(VLOOKUP(YEAR($A36),'NY East Load Projections'!$A$4:$EO$14,((MONTH($A36)-1)*12)+VLOOKUP(CZ$4,$DE$6:$DF$17,2)+1))*(VLOOKUP($A36,SatSunCurve,8))*(INDEX(DailyScalarsTable,CZ$5/100,MONTH($A36)))*$E36</f>
        <v>-2912.7693716204249</v>
      </c>
      <c r="DA36" s="1021">
        <f>(VLOOKUP(YEAR($A36),'NY East Load Projections'!$A$4:$EO$14,((MONTH($A36)-1)*12)+VLOOKUP(DA$4,$DE$6:$DF$17,2)+1))*(VLOOKUP($A36,SatSunCurve,8))*(INDEX(DailyScalarsTable,DA$5/100,MONTH($A36)))*$E36</f>
        <v>-2022.7949671724689</v>
      </c>
      <c r="DB36" s="1021">
        <f>(VLOOKUP(YEAR($A36),'NY East Load Projections'!$A$4:$EO$14,((MONTH($A36)-1)*12)+VLOOKUP(DB$4,$DE$6:$DF$17,2)+1))*(VLOOKUP($A36,CURVES!$D$9:$T$261,8))*(INDEX(DailyScalarsTable,DB$5/100,MONTH($A36)))*$E36</f>
        <v>-3123.4027968952964</v>
      </c>
      <c r="DH36" s="1021">
        <f t="shared" si="0"/>
        <v>-4131510.9193690219</v>
      </c>
      <c r="DI36">
        <f ca="1">CALC!J56</f>
        <v>0.78195449781268733</v>
      </c>
      <c r="DJ36" s="1029">
        <f t="shared" ca="1" si="1"/>
        <v>-3230653.5461628377</v>
      </c>
    </row>
    <row r="37" spans="1:114" x14ac:dyDescent="0.25">
      <c r="A37" s="244">
        <v>37834</v>
      </c>
      <c r="B37" s="13">
        <v>21</v>
      </c>
      <c r="C37" s="210">
        <v>5</v>
      </c>
      <c r="D37" s="210">
        <v>5</v>
      </c>
      <c r="E37" s="210">
        <v>0</v>
      </c>
      <c r="F37" s="13">
        <v>31</v>
      </c>
      <c r="H37" s="1021">
        <f>(VLOOKUP(YEAR($A37),'NY East Load Projections'!$A$4:$EO$14,((MONTH($A37)-1)*12)+VLOOKUP(H$4,$DE$6:$DF$17,2)+1))*(VLOOKUP($A37,CURVES!$D$9:$K$261,8))*(INDEX(DailyScalarsTable,H$5/100,MONTH($A37)))*$B37</f>
        <v>-59076.584140093735</v>
      </c>
      <c r="I37" s="1021">
        <f>(VLOOKUP(YEAR($A37),'NY East Load Projections'!$A$4:$EO$14,((MONTH($A37)-1)*12)+VLOOKUP(I$4,$DE$6:$DF$17,2)+1))*(VLOOKUP($A37,CURVES!$D$9:$K$261,8))*(INDEX(DailyScalarsTable,I$5/100,MONTH($A37)))*$B37</f>
        <v>-53329.467254119794</v>
      </c>
      <c r="J37" s="1021">
        <f>(VLOOKUP(YEAR($A37),'NY East Load Projections'!$A$4:$EO$14,((MONTH($A37)-1)*12)+VLOOKUP(J$4,$DE$6:$DF$17,2)+1))*(VLOOKUP($A37,CURVES!$D$9:$K$261,8))*(INDEX(DailyScalarsTable,J$5/100,MONTH($A37)))*$B37</f>
        <v>-47892.640716449605</v>
      </c>
      <c r="K37" s="1021">
        <f>(VLOOKUP(YEAR($A37),'NY East Load Projections'!$A$4:$EO$14,((MONTH($A37)-1)*12)+VLOOKUP(K$4,$DE$6:$DF$17,2)+1))*(VLOOKUP($A37,CURVES!$D$9:$K$261,8))*(INDEX(DailyScalarsTable,K$5/100,MONTH($A37)))*$B37</f>
        <v>-45059.554927589197</v>
      </c>
      <c r="L37" s="1021">
        <f>(VLOOKUP(YEAR($A37),'NY East Load Projections'!$A$4:$EO$14,((MONTH($A37)-1)*12)+VLOOKUP(L$4,$DE$6:$DF$17,2)+1))*(VLOOKUP($A37,CURVES!$D$9:$K$261,8))*(INDEX(DailyScalarsTable,L$5/100,MONTH($A37)))*$B37</f>
        <v>-51181.004961013416</v>
      </c>
      <c r="M37" s="1021">
        <f>(VLOOKUP(YEAR($A37),'NY East Load Projections'!$A$4:$EO$14,((MONTH($A37)-1)*12)+VLOOKUP(M$4,$DE$6:$DF$17,2)+1))*(VLOOKUP($A37,CURVES!$D$9:$K$261,8))*(INDEX(DailyScalarsTable,M$5/100,MONTH($A37)))*$B37</f>
        <v>-56864.502771798027</v>
      </c>
      <c r="N37" s="1021">
        <f>(VLOOKUP(YEAR($A37),'NY East Load Projections'!$A$4:$EO$14,((MONTH($A37)-1)*12)+VLOOKUP(N$4,$DE$6:$DF$17,2)+1))*(VLOOKUP($A37,CURVES!$D$9:$K$261,8))*(INDEX(DailyScalarsTable,N$5/100,MONTH($A37)))*$B37</f>
        <v>-66164.771916718251</v>
      </c>
      <c r="O37" s="1021">
        <f>(VLOOKUP(YEAR($A37),'NY East Load Projections'!$A$4:$EO$14,((MONTH($A37)-1)*12)+VLOOKUP(O$4,$DE$6:$DF$17,2)+1))*(VLOOKUP($A37,CURVES!$D$9:$K$261,4))*(INDEX(DailyScalarsTable,O$5/100,MONTH($A37)))*$B37</f>
        <v>-104408.87979527598</v>
      </c>
      <c r="P37" s="1021">
        <f>(VLOOKUP(YEAR($A37),'NY East Load Projections'!$A$4:$EO$14,((MONTH($A37)-1)*12)+VLOOKUP(P$4,$DE$6:$DF$17,2)+1))*(VLOOKUP($A37,CURVES!$D$9:$K$261,4))*(INDEX(DailyScalarsTable,P$5/100,MONTH($A37)))*$B37</f>
        <v>-128438.74544163812</v>
      </c>
      <c r="Q37" s="1021">
        <f>(VLOOKUP(YEAR($A37),'NY East Load Projections'!$A$4:$EO$14,((MONTH($A37)-1)*12)+VLOOKUP(Q$4,$DE$6:$DF$17,2)+1))*(VLOOKUP($A37,CURVES!$D$9:$K$261,4))*(INDEX(DailyScalarsTable,Q$5/100,MONTH($A37)))*$B37</f>
        <v>-164714.78931637373</v>
      </c>
      <c r="R37" s="1021">
        <f>(VLOOKUP(YEAR($A37),'NY East Load Projections'!$A$4:$EO$14,((MONTH($A37)-1)*12)+VLOOKUP(R$4,$DE$6:$DF$17,2)+1))*(VLOOKUP($A37,CURVES!$D$9:$K$261,4))*(INDEX(DailyScalarsTable,R$5/100,MONTH($A37)))*$B37</f>
        <v>-185905.745639239</v>
      </c>
      <c r="S37" s="1021">
        <f>(VLOOKUP(YEAR($A37),'NY East Load Projections'!$A$4:$EO$14,((MONTH($A37)-1)*12)+VLOOKUP(S$4,$DE$6:$DF$17,2)+1))*(VLOOKUP($A37,CURVES!$D$9:$K$261,4))*(INDEX(DailyScalarsTable,S$5/100,MONTH($A37)))*$B37</f>
        <v>-193783.51358299347</v>
      </c>
      <c r="T37" s="1021">
        <f>(VLOOKUP(YEAR($A37),'NY East Load Projections'!$A$4:$EO$14,((MONTH($A37)-1)*12)+VLOOKUP(T$4,$DE$6:$DF$17,2)+1))*(VLOOKUP($A37,CURVES!$D$9:$K$261,4))*(INDEX(DailyScalarsTable,T$5/100,MONTH($A37)))*$B37</f>
        <v>-195650.8235324214</v>
      </c>
      <c r="U37" s="1021">
        <f>(VLOOKUP(YEAR($A37),'NY East Load Projections'!$A$4:$EO$14,((MONTH($A37)-1)*12)+VLOOKUP(U$4,$DE$6:$DF$17,2)+1))*(VLOOKUP($A37,CURVES!$D$9:$K$261,4))*(INDEX(DailyScalarsTable,U$5/100,MONTH($A37)))*$B37</f>
        <v>-214779.71834783439</v>
      </c>
      <c r="V37" s="1021">
        <f>(VLOOKUP(YEAR($A37),'NY East Load Projections'!$A$4:$EO$14,((MONTH($A37)-1)*12)+VLOOKUP(V$4,$DE$6:$DF$17,2)+1))*(VLOOKUP($A37,CURVES!$D$9:$K$261,4))*(INDEX(DailyScalarsTable,V$5/100,MONTH($A37)))*$B37</f>
        <v>-227377.98410524649</v>
      </c>
      <c r="W37" s="1021">
        <f>(VLOOKUP(YEAR($A37),'NY East Load Projections'!$A$4:$EO$14,((MONTH($A37)-1)*12)+VLOOKUP(W$4,$DE$6:$DF$17,2)+1))*(VLOOKUP($A37,CURVES!$D$9:$K$261,4))*(INDEX(DailyScalarsTable,W$5/100,MONTH($A37)))*$B37</f>
        <v>-224210.14165173864</v>
      </c>
      <c r="X37" s="1021">
        <f>(VLOOKUP(YEAR($A37),'NY East Load Projections'!$A$4:$EO$14,((MONTH($A37)-1)*12)+VLOOKUP(X$4,$DE$6:$DF$17,2)+1))*(VLOOKUP($A37,CURVES!$D$9:$K$261,4))*(INDEX(DailyScalarsTable,X$5/100,MONTH($A37)))*$B37</f>
        <v>-205870.5219091688</v>
      </c>
      <c r="Y37" s="1021">
        <f>(VLOOKUP(YEAR($A37),'NY East Load Projections'!$A$4:$EO$14,((MONTH($A37)-1)*12)+VLOOKUP(Y$4,$DE$6:$DF$17,2)+1))*(VLOOKUP($A37,CURVES!$D$9:$K$261,4))*(INDEX(DailyScalarsTable,Y$5/100,MONTH($A37)))*$B37</f>
        <v>-190648.82999571573</v>
      </c>
      <c r="Z37" s="1021">
        <f>(VLOOKUP(YEAR($A37),'NY East Load Projections'!$A$4:$EO$14,((MONTH($A37)-1)*12)+VLOOKUP(Z$4,$DE$6:$DF$17,2)+1))*(VLOOKUP($A37,CURVES!$D$9:$K$261,4))*(INDEX(DailyScalarsTable,Z$5/100,MONTH($A37)))*$B37</f>
        <v>-155398.59609087693</v>
      </c>
      <c r="AA37" s="1021">
        <f>(VLOOKUP(YEAR($A37),'NY East Load Projections'!$A$4:$EO$14,((MONTH($A37)-1)*12)+VLOOKUP(AA$4,$DE$6:$DF$17,2)+1))*(VLOOKUP($A37,CURVES!$D$9:$K$261,4))*(INDEX(DailyScalarsTable,AA$5/100,MONTH($A37)))*$B37</f>
        <v>-141481.6206271484</v>
      </c>
      <c r="AB37" s="1021">
        <f>(VLOOKUP(YEAR($A37),'NY East Load Projections'!$A$4:$EO$14,((MONTH($A37)-1)*12)+VLOOKUP(AB$4,$DE$6:$DF$17,2)+1))*(VLOOKUP($A37,CURVES!$D$9:$K$261,4))*(INDEX(DailyScalarsTable,AB$5/100,MONTH($A37)))*$B37</f>
        <v>-157887.26911803626</v>
      </c>
      <c r="AC37" s="1021">
        <f>(VLOOKUP(YEAR($A37),'NY East Load Projections'!$A$4:$EO$14,((MONTH($A37)-1)*12)+VLOOKUP(AC$4,$DE$6:$DF$17,2)+1))*(VLOOKUP($A37,CURVES!$D$9:$K$261,4))*(INDEX(DailyScalarsTable,AC$5/100,MONTH($A37)))*$B37</f>
        <v>-134255.94839624202</v>
      </c>
      <c r="AD37" s="1021">
        <f>(VLOOKUP(YEAR($A37),'NY East Load Projections'!$A$4:$EO$14,((MONTH($A37)-1)*12)+VLOOKUP(AD$4,$DE$6:$DF$17,2)+1))*(VLOOKUP($A37,CURVES!$D$9:$K$261,4))*(INDEX(DailyScalarsTable,AD$5/100,MONTH($A37)))*$B37</f>
        <v>-108716.25641340931</v>
      </c>
      <c r="AE37" s="1021">
        <f>(VLOOKUP(YEAR($A37),'NY East Load Projections'!$A$4:$EO$14,((MONTH($A37)-1)*12)+VLOOKUP(AE$4,$DE$6:$DF$17,2)+1))*(VLOOKUP($A37,CURVES!$D$9:$K$261,8))*(INDEX(DailyScalarsTable,AE$5/100,MONTH($A37)))*$B37</f>
        <v>-71617.052988213196</v>
      </c>
      <c r="AF37" s="1021"/>
      <c r="AG37" s="1021">
        <f>(VLOOKUP(YEAR($A37),'NY East Load Projections'!$A$4:$EO$14,((MONTH($A37)-1)*12)+VLOOKUP(AG$4,$DE$6:$DF$17,2)+1))*(VLOOKUP($A37,CURVES!$D$9:$T$261,8))*(INDEX(DailyScalarsTable,AG$5/100,MONTH($A37)))*$C37</f>
        <v>-13835.362473618505</v>
      </c>
      <c r="AH37" s="1021">
        <f>(VLOOKUP(YEAR($A37),'NY East Load Projections'!$A$4:$EO$14,((MONTH($A37)-1)*12)+VLOOKUP(AH$4,$DE$6:$DF$17,2)+1))*(VLOOKUP($A37,CURVES!$D$9:$T$261,8))*(INDEX(DailyScalarsTable,AH$5/100,MONTH($A37)))*$C37</f>
        <v>-12489.424037043607</v>
      </c>
      <c r="AI37" s="1021">
        <f>(VLOOKUP(YEAR($A37),'NY East Load Projections'!$A$4:$EO$14,((MONTH($A37)-1)*12)+VLOOKUP(AI$4,$DE$6:$DF$17,2)+1))*(VLOOKUP($A37,CURVES!$D$9:$T$261,8))*(INDEX(DailyScalarsTable,AI$5/100,MONTH($A37)))*$C37</f>
        <v>-11216.153638124162</v>
      </c>
      <c r="AJ37" s="1021">
        <f>(VLOOKUP(YEAR($A37),'NY East Load Projections'!$A$4:$EO$14,((MONTH($A37)-1)*12)+VLOOKUP(AJ$4,$DE$6:$DF$17,2)+1))*(VLOOKUP($A37,CURVES!$D$9:$T$261,8))*(INDEX(DailyScalarsTable,AJ$5/100,MONTH($A37)))*$C37</f>
        <v>-10552.662859530899</v>
      </c>
      <c r="AK37" s="1021">
        <f>(VLOOKUP(YEAR($A37),'NY East Load Projections'!$A$4:$EO$14,((MONTH($A37)-1)*12)+VLOOKUP(AK$4,$DE$6:$DF$17,2)+1))*(VLOOKUP($A37,CURVES!$D$9:$T$261,8))*(INDEX(DailyScalarsTable,AK$5/100,MONTH($A37)))*$C37</f>
        <v>-11141.524946270696</v>
      </c>
      <c r="AL37" s="1021">
        <f>(VLOOKUP(YEAR($A37),'NY East Load Projections'!$A$4:$EO$14,((MONTH($A37)-1)*12)+VLOOKUP(AL$4,$DE$6:$DF$17,2)+1))*(VLOOKUP($A37,CURVES!$D$9:$T$261,8))*(INDEX(DailyScalarsTable,AL$5/100,MONTH($A37)))*$C37</f>
        <v>-12378.758030872439</v>
      </c>
      <c r="AM37" s="1021">
        <f>(VLOOKUP(YEAR($A37),'NY East Load Projections'!$A$4:$EO$14,((MONTH($A37)-1)*12)+VLOOKUP(AM$4,$DE$6:$DF$17,2)+1))*(VLOOKUP($A37,CURVES!$D$9:$T$261,8))*(INDEX(DailyScalarsTable,AM$5/100,MONTH($A37)))*$C37</f>
        <v>-14403.32126022073</v>
      </c>
      <c r="AN37" s="1021">
        <f>(VLOOKUP(YEAR($A37),'NY East Load Projections'!$A$4:$EO$14,((MONTH($A37)-1)*12)+VLOOKUP(AN$4,$DE$6:$DF$17,2)+1))*(VLOOKUP($A37,SatSunCurve,4))*(INDEX(DailyScalarsTable,AN$5/100,MONTH($A37)))*$C37</f>
        <v>-14456.220294297294</v>
      </c>
      <c r="AO37" s="1021">
        <f>(VLOOKUP(YEAR($A37),'NY East Load Projections'!$A$4:$EO$14,((MONTH($A37)-1)*12)+VLOOKUP(AO$4,$DE$6:$DF$17,2)+1))*(VLOOKUP($A37,SatSunCurve,4))*(INDEX(DailyScalarsTable,AO$5/100,MONTH($A37)))*$C37</f>
        <v>-17353.726707520455</v>
      </c>
      <c r="AP37" s="1021">
        <f>(VLOOKUP(YEAR($A37),'NY East Load Projections'!$A$4:$EO$14,((MONTH($A37)-1)*12)+VLOOKUP(AP$4,$DE$6:$DF$17,2)+1))*(VLOOKUP($A37,SatSunCurve,4))*(INDEX(DailyScalarsTable,AP$5/100,MONTH($A37)))*$C37</f>
        <v>-22255.086879387251</v>
      </c>
      <c r="AQ37" s="1021">
        <f>(VLOOKUP(YEAR($A37),'NY East Load Projections'!$A$4:$EO$14,((MONTH($A37)-1)*12)+VLOOKUP(AQ$4,$DE$6:$DF$17,2)+1))*(VLOOKUP($A37,SatSunCurve,4))*(INDEX(DailyScalarsTable,AQ$5/100,MONTH($A37)))*$C37</f>
        <v>-25118.257672853986</v>
      </c>
      <c r="AR37" s="1021">
        <f>(VLOOKUP(YEAR($A37),'NY East Load Projections'!$A$4:$EO$14,((MONTH($A37)-1)*12)+VLOOKUP(AR$4,$DE$6:$DF$17,2)+1))*(VLOOKUP($A37,SatSunCurve,4))*(INDEX(DailyScalarsTable,AR$5/100,MONTH($A37)))*$C37</f>
        <v>-26182.645459351792</v>
      </c>
      <c r="AS37" s="1021">
        <f>(VLOOKUP(YEAR($A37),'NY East Load Projections'!$A$4:$EO$14,((MONTH($A37)-1)*12)+VLOOKUP(AS$4,$DE$6:$DF$17,2)+1))*(VLOOKUP($A37,SatSunCurve,4))*(INDEX(DailyScalarsTable,AS$5/100,MONTH($A37)))*$C37</f>
        <v>-26473.940232089924</v>
      </c>
      <c r="AT37" s="1021">
        <f>(VLOOKUP(YEAR($A37),'NY East Load Projections'!$A$4:$EO$14,((MONTH($A37)-1)*12)+VLOOKUP(AT$4,$DE$6:$DF$17,2)+1))*(VLOOKUP($A37,SatSunCurve,4))*(INDEX(DailyScalarsTable,AT$5/100,MONTH($A37)))*$C37</f>
        <v>-29062.312766924973</v>
      </c>
      <c r="AU37" s="1021">
        <f>(VLOOKUP(YEAR($A37),'NY East Load Projections'!$A$4:$EO$14,((MONTH($A37)-1)*12)+VLOOKUP(AU$4,$DE$6:$DF$17,2)+1))*(VLOOKUP($A37,SatSunCurve,4))*(INDEX(DailyScalarsTable,AU$5/100,MONTH($A37)))*$C37</f>
        <v>-30767.011621077487</v>
      </c>
      <c r="AV37" s="1021">
        <f>(VLOOKUP(YEAR($A37),'NY East Load Projections'!$A$4:$EO$14,((MONTH($A37)-1)*12)+VLOOKUP(AV$4,$DE$6:$DF$17,2)+1))*(VLOOKUP($A37,SatSunCurve,4))*(INDEX(DailyScalarsTable,AV$5/100,MONTH($A37)))*$C37</f>
        <v>-30338.363940149389</v>
      </c>
      <c r="AW37" s="1021">
        <f>(VLOOKUP(YEAR($A37),'NY East Load Projections'!$A$4:$EO$14,((MONTH($A37)-1)*12)+VLOOKUP(AW$4,$DE$6:$DF$17,2)+1))*(VLOOKUP($A37,SatSunCurve,4))*(INDEX(DailyScalarsTable,AW$5/100,MONTH($A37)))*$C37</f>
        <v>-28195.947186593687</v>
      </c>
      <c r="AX37" s="1021">
        <f>(VLOOKUP(YEAR($A37),'NY East Load Projections'!$A$4:$EO$14,((MONTH($A37)-1)*12)+VLOOKUP(AX$4,$DE$6:$DF$17,2)+1))*(VLOOKUP($A37,SatSunCurve,4))*(INDEX(DailyScalarsTable,AX$5/100,MONTH($A37)))*$C37</f>
        <v>-26111.190139775277</v>
      </c>
      <c r="AY37" s="1021">
        <f>(VLOOKUP(YEAR($A37),'NY East Load Projections'!$A$4:$EO$14,((MONTH($A37)-1)*12)+VLOOKUP(AY$4,$DE$6:$DF$17,2)+1))*(VLOOKUP($A37,SatSunCurve,4))*(INDEX(DailyScalarsTable,AY$5/100,MONTH($A37)))*$C37</f>
        <v>-21283.331715564214</v>
      </c>
      <c r="AZ37" s="1021">
        <f>(VLOOKUP(YEAR($A37),'NY East Load Projections'!$A$4:$EO$14,((MONTH($A37)-1)*12)+VLOOKUP(AZ$4,$DE$6:$DF$17,2)+1))*(VLOOKUP($A37,SatSunCurve,4))*(INDEX(DailyScalarsTable,AZ$5/100,MONTH($A37)))*$C37</f>
        <v>-19377.268129901669</v>
      </c>
      <c r="BA37" s="1021">
        <f>(VLOOKUP(YEAR($A37),'NY East Load Projections'!$A$4:$EO$14,((MONTH($A37)-1)*12)+VLOOKUP(BA$4,$DE$6:$DF$17,2)+1))*(VLOOKUP($A37,SatSunCurve,4))*(INDEX(DailyScalarsTable,BA$5/100,MONTH($A37)))*$C37</f>
        <v>-23389.307543692841</v>
      </c>
      <c r="BB37" s="1021">
        <f>(VLOOKUP(YEAR($A37),'NY East Load Projections'!$A$4:$EO$14,((MONTH($A37)-1)*12)+VLOOKUP(BB$4,$DE$6:$DF$17,2)+1))*(VLOOKUP($A37,SatSunCurve,4))*(INDEX(DailyScalarsTable,BB$5/100,MONTH($A37)))*$C37</f>
        <v>-19888.580530595445</v>
      </c>
      <c r="BC37" s="1021">
        <f>(VLOOKUP(YEAR($A37),'NY East Load Projections'!$A$4:$EO$14,((MONTH($A37)-1)*12)+VLOOKUP(BC$4,$DE$6:$DF$17,2)+1))*(VLOOKUP($A37,SatSunCurve,4))*(INDEX(DailyScalarsTable,BC$5/100,MONTH($A37)))*$C37</f>
        <v>-16105.14875870839</v>
      </c>
      <c r="BD37" s="1021">
        <f>(VLOOKUP(YEAR($A37),'NY East Load Projections'!$A$4:$EO$14,((MONTH($A37)-1)*12)+VLOOKUP(BD$4,$DE$6:$DF$17,2)+1))*(VLOOKUP($A37,CURVES!$D$9:$T$261,8))*(INDEX(DailyScalarsTable,BD$5/100,MONTH($A37)))*$C37</f>
        <v>-16680.35171361424</v>
      </c>
      <c r="BE37" s="1021"/>
      <c r="BF37" s="1021">
        <f>(VLOOKUP(YEAR($A37),'NY East Load Projections'!$A$4:$EO$14,((MONTH($A37)-1)*12)+VLOOKUP(BF$4,$DE$6:$DF$17,2)+1))*(VLOOKUP($A37,CURVES!$D$9:$T$261,8))*(INDEX(DailyScalarsTable,BF$5/100,MONTH($A37)))*$D37</f>
        <v>-13835.362473618505</v>
      </c>
      <c r="BG37" s="1021">
        <f>(VLOOKUP(YEAR($A37),'NY East Load Projections'!$A$4:$EO$14,((MONTH($A37)-1)*12)+VLOOKUP(BG$4,$DE$6:$DF$17,2)+1))*(VLOOKUP($A37,CURVES!$D$9:$T$261,8))*(INDEX(DailyScalarsTable,BG$5/100,MONTH($A37)))*$D37</f>
        <v>-12489.424037043607</v>
      </c>
      <c r="BH37" s="1021">
        <f>(VLOOKUP(YEAR($A37),'NY East Load Projections'!$A$4:$EO$14,((MONTH($A37)-1)*12)+VLOOKUP(BH$4,$DE$6:$DF$17,2)+1))*(VLOOKUP($A37,CURVES!$D$9:$T$261,8))*(INDEX(DailyScalarsTable,BH$5/100,MONTH($A37)))*$D37</f>
        <v>-11216.153638124162</v>
      </c>
      <c r="BI37" s="1021">
        <f>(VLOOKUP(YEAR($A37),'NY East Load Projections'!$A$4:$EO$14,((MONTH($A37)-1)*12)+VLOOKUP(BI$4,$DE$6:$DF$17,2)+1))*(VLOOKUP($A37,CURVES!$D$9:$T$261,8))*(INDEX(DailyScalarsTable,BI$5/100,MONTH($A37)))*$D37</f>
        <v>-10552.662859530899</v>
      </c>
      <c r="BJ37" s="1021">
        <f>(VLOOKUP(YEAR($A37),'NY East Load Projections'!$A$4:$EO$14,((MONTH($A37)-1)*12)+VLOOKUP(BJ$4,$DE$6:$DF$17,2)+1))*(VLOOKUP($A37,CURVES!$D$9:$T$261,8))*(INDEX(DailyScalarsTable,BJ$5/100,MONTH($A37)))*$D37</f>
        <v>-11141.524946270696</v>
      </c>
      <c r="BK37" s="1021">
        <f>(VLOOKUP(YEAR($A37),'NY East Load Projections'!$A$4:$EO$14,((MONTH($A37)-1)*12)+VLOOKUP(BK$4,$DE$6:$DF$17,2)+1))*(VLOOKUP($A37,CURVES!$D$9:$T$261,8))*(INDEX(DailyScalarsTable,BK$5/100,MONTH($A37)))*$D37</f>
        <v>-12378.758030872439</v>
      </c>
      <c r="BL37" s="1021">
        <f>(VLOOKUP(YEAR($A37),'NY East Load Projections'!$A$4:$EO$14,((MONTH($A37)-1)*12)+VLOOKUP(BL$4,$DE$6:$DF$17,2)+1))*(VLOOKUP($A37,CURVES!$D$9:$T$261,8))*(INDEX(DailyScalarsTable,BL$5/100,MONTH($A37)))*$D37</f>
        <v>-14403.32126022073</v>
      </c>
      <c r="BM37" s="1021">
        <f>(VLOOKUP(YEAR($A37),'NY East Load Projections'!$A$4:$EO$14,((MONTH($A37)-1)*12)+VLOOKUP(BM$4,$DE$6:$DF$17,2)+1))*(VLOOKUP($A37,SatSunCurve,8))*(INDEX(DailyScalarsTable,BM$5/100,MONTH($A37)))*$D37</f>
        <v>-10891.884594893905</v>
      </c>
      <c r="BN37" s="1021">
        <f>(VLOOKUP(YEAR($A37),'NY East Load Projections'!$A$4:$EO$14,((MONTH($A37)-1)*12)+VLOOKUP(BN$4,$DE$6:$DF$17,2)+1))*(VLOOKUP($A37,SatSunCurve,8))*(INDEX(DailyScalarsTable,BN$5/100,MONTH($A37)))*$D37</f>
        <v>-13074.979817802285</v>
      </c>
      <c r="BO37" s="1021">
        <f>(VLOOKUP(YEAR($A37),'NY East Load Projections'!$A$4:$EO$14,((MONTH($A37)-1)*12)+VLOOKUP(BO$4,$DE$6:$DF$17,2)+1))*(VLOOKUP($A37,SatSunCurve,8))*(INDEX(DailyScalarsTable,BO$5/100,MONTH($A37)))*$D37</f>
        <v>-16767.857227192751</v>
      </c>
      <c r="BP37" s="1021">
        <f>(VLOOKUP(YEAR($A37),'NY East Load Projections'!$A$4:$EO$14,((MONTH($A37)-1)*12)+VLOOKUP(BP$4,$DE$6:$DF$17,2)+1))*(VLOOKUP($A37,SatSunCurve,8))*(INDEX(DailyScalarsTable,BP$5/100,MONTH($A37)))*$D37</f>
        <v>-18925.082644559454</v>
      </c>
      <c r="BQ37" s="1021">
        <f>(VLOOKUP(YEAR($A37),'NY East Load Projections'!$A$4:$EO$14,((MONTH($A37)-1)*12)+VLOOKUP(BQ$4,$DE$6:$DF$17,2)+1))*(VLOOKUP($A37,SatSunCurve,8))*(INDEX(DailyScalarsTable,BQ$5/100,MONTH($A37)))*$D37</f>
        <v>-19727.034240394081</v>
      </c>
      <c r="BR37" s="1021">
        <f>(VLOOKUP(YEAR($A37),'NY East Load Projections'!$A$4:$EO$14,((MONTH($A37)-1)*12)+VLOOKUP(BR$4,$DE$6:$DF$17,2)+1))*(VLOOKUP($A37,SatSunCurve,8))*(INDEX(DailyScalarsTable,BR$5/100,MONTH($A37)))*$D37</f>
        <v>-19946.507171988189</v>
      </c>
      <c r="BS37" s="1021">
        <f>(VLOOKUP(YEAR($A37),'NY East Load Projections'!$A$4:$EO$14,((MONTH($A37)-1)*12)+VLOOKUP(BS$4,$DE$6:$DF$17,2)+1))*(VLOOKUP($A37,SatSunCurve,8))*(INDEX(DailyScalarsTable,BS$5/100,MONTH($A37)))*$D37</f>
        <v>-21896.688779910808</v>
      </c>
      <c r="BT37" s="1021">
        <f>(VLOOKUP(YEAR($A37),'NY East Load Projections'!$A$4:$EO$14,((MONTH($A37)-1)*12)+VLOOKUP(BT$4,$DE$6:$DF$17,2)+1))*(VLOOKUP($A37,SatSunCurve,8))*(INDEX(DailyScalarsTable,BT$5/100,MONTH($A37)))*$D37</f>
        <v>-23181.075902580869</v>
      </c>
      <c r="BU37" s="1021">
        <f>(VLOOKUP(YEAR($A37),'NY East Load Projections'!$A$4:$EO$14,((MONTH($A37)-1)*12)+VLOOKUP(BU$4,$DE$6:$DF$17,2)+1))*(VLOOKUP($A37,SatSunCurve,8))*(INDEX(DailyScalarsTable,BU$5/100,MONTH($A37)))*$D37</f>
        <v>-22858.115891077759</v>
      </c>
      <c r="BV37" s="1021">
        <f>(VLOOKUP(YEAR($A37),'NY East Load Projections'!$A$4:$EO$14,((MONTH($A37)-1)*12)+VLOOKUP(BV$4,$DE$6:$DF$17,2)+1))*(VLOOKUP($A37,SatSunCurve,8))*(INDEX(DailyScalarsTable,BV$5/100,MONTH($A37)))*$D37</f>
        <v>-21243.93489778581</v>
      </c>
      <c r="BW37" s="1021">
        <f>(VLOOKUP(YEAR($A37),'NY East Load Projections'!$A$4:$EO$14,((MONTH($A37)-1)*12)+VLOOKUP(BW$4,$DE$6:$DF$17,2)+1))*(VLOOKUP($A37,SatSunCurve,8))*(INDEX(DailyScalarsTable,BW$5/100,MONTH($A37)))*$D37</f>
        <v>-19673.196993957979</v>
      </c>
      <c r="BX37" s="1021">
        <f>(VLOOKUP(YEAR($A37),'NY East Load Projections'!$A$4:$EO$14,((MONTH($A37)-1)*12)+VLOOKUP(BX$4,$DE$6:$DF$17,2)+1))*(VLOOKUP($A37,SatSunCurve,8))*(INDEX(DailyScalarsTable,BX$5/100,MONTH($A37)))*$D37</f>
        <v>-16035.698690356674</v>
      </c>
      <c r="BY37" s="1021">
        <f>(VLOOKUP(YEAR($A37),'NY East Load Projections'!$A$4:$EO$14,((MONTH($A37)-1)*12)+VLOOKUP(BY$4,$DE$6:$DF$17,2)+1))*(VLOOKUP($A37,SatSunCurve,8))*(INDEX(DailyScalarsTable,BY$5/100,MONTH($A37)))*$D37</f>
        <v>-14599.595463999794</v>
      </c>
      <c r="BZ37" s="1021">
        <f>(VLOOKUP(YEAR($A37),'NY East Load Projections'!$A$4:$EO$14,((MONTH($A37)-1)*12)+VLOOKUP(BZ$4,$DE$6:$DF$17,2)+1))*(VLOOKUP($A37,SatSunCurve,8))*(INDEX(DailyScalarsTable,BZ$5/100,MONTH($A37)))*$D37</f>
        <v>-17622.423658062213</v>
      </c>
      <c r="CA37" s="1021">
        <f>(VLOOKUP(YEAR($A37),'NY East Load Projections'!$A$4:$EO$14,((MONTH($A37)-1)*12)+VLOOKUP(CA$4,$DE$6:$DF$17,2)+1))*(VLOOKUP($A37,SatSunCurve,8))*(INDEX(DailyScalarsTable,CA$5/100,MONTH($A37)))*$D37</f>
        <v>-14984.838324645167</v>
      </c>
      <c r="CB37" s="1021">
        <f>(VLOOKUP(YEAR($A37),'NY East Load Projections'!$A$4:$EO$14,((MONTH($A37)-1)*12)+VLOOKUP(CB$4,$DE$6:$DF$17,2)+1))*(VLOOKUP($A37,SatSunCurve,8))*(INDEX(DailyScalarsTable,CB$5/100,MONTH($A37)))*$D37</f>
        <v>-12134.252113787214</v>
      </c>
      <c r="CC37" s="1021">
        <f>(VLOOKUP(YEAR($A37),'NY East Load Projections'!$A$4:$EO$14,((MONTH($A37)-1)*12)+VLOOKUP(CC$4,$DE$6:$DF$17,2)+1))*(VLOOKUP($A37,CURVES!$D$9:$T$261,8))*(INDEX(DailyScalarsTable,CC$5/100,MONTH($A37)))*$D37</f>
        <v>-16680.35171361424</v>
      </c>
      <c r="CE37" s="1021">
        <f>(VLOOKUP(YEAR($A37),'NY East Load Projections'!$A$4:$EO$14,((MONTH($A37)-1)*12)+VLOOKUP(CE$4,$DE$6:$DF$17,2)+1))*(VLOOKUP($A37,CURVES!$D$9:$T$261,8))*(INDEX(DailyScalarsTable,CE$5/100,MONTH($A37)))*$E37</f>
        <v>0</v>
      </c>
      <c r="CF37" s="1021">
        <f>(VLOOKUP(YEAR($A37),'NY East Load Projections'!$A$4:$EO$14,((MONTH($A37)-1)*12)+VLOOKUP(CF$4,$DE$6:$DF$17,2)+1))*(VLOOKUP($A37,CURVES!$D$9:$T$261,8))*(INDEX(DailyScalarsTable,CF$5/100,MONTH($A37)))*$E37</f>
        <v>0</v>
      </c>
      <c r="CG37" s="1021">
        <f>(VLOOKUP(YEAR($A37),'NY East Load Projections'!$A$4:$EO$14,((MONTH($A37)-1)*12)+VLOOKUP(CG$4,$DE$6:$DF$17,2)+1))*(VLOOKUP($A37,CURVES!$D$9:$T$261,8))*(INDEX(DailyScalarsTable,CG$5/100,MONTH($A37)))*$E37</f>
        <v>0</v>
      </c>
      <c r="CH37" s="1021">
        <f>(VLOOKUP(YEAR($A37),'NY East Load Projections'!$A$4:$EO$14,((MONTH($A37)-1)*12)+VLOOKUP(CH$4,$DE$6:$DF$17,2)+1))*(VLOOKUP($A37,CURVES!$D$9:$T$261,8))*(INDEX(DailyScalarsTable,CH$5/100,MONTH($A37)))*$E37</f>
        <v>0</v>
      </c>
      <c r="CI37" s="1021">
        <f>(VLOOKUP(YEAR($A37),'NY East Load Projections'!$A$4:$EO$14,((MONTH($A37)-1)*12)+VLOOKUP(CI$4,$DE$6:$DF$17,2)+1))*(VLOOKUP($A37,CURVES!$D$9:$T$261,8))*(INDEX(DailyScalarsTable,CI$5/100,MONTH($A37)))*$E37</f>
        <v>0</v>
      </c>
      <c r="CJ37" s="1021">
        <f>(VLOOKUP(YEAR($A37),'NY East Load Projections'!$A$4:$EO$14,((MONTH($A37)-1)*12)+VLOOKUP(CJ$4,$DE$6:$DF$17,2)+1))*(VLOOKUP($A37,CURVES!$D$9:$T$261,8))*(INDEX(DailyScalarsTable,CJ$5/100,MONTH($A37)))*$E37</f>
        <v>0</v>
      </c>
      <c r="CK37" s="1021">
        <f>(VLOOKUP(YEAR($A37),'NY East Load Projections'!$A$4:$EO$14,((MONTH($A37)-1)*12)+VLOOKUP(CK$4,$DE$6:$DF$17,2)+1))*(VLOOKUP($A37,CURVES!$D$9:$T$261,8))*(INDEX(DailyScalarsTable,CK$5/100,MONTH($A37)))*$E37</f>
        <v>0</v>
      </c>
      <c r="CL37" s="1021">
        <f>(VLOOKUP(YEAR($A37),'NY East Load Projections'!$A$4:$EO$14,((MONTH($A37)-1)*12)+VLOOKUP(CL$4,$DE$6:$DF$17,2)+1))*(VLOOKUP($A37,SatSunCurve,8))*(INDEX(DailyScalarsTable,CL$5/100,MONTH($A37)))*$E37</f>
        <v>0</v>
      </c>
      <c r="CM37" s="1021">
        <f>(VLOOKUP(YEAR($A37),'NY East Load Projections'!$A$4:$EO$14,((MONTH($A37)-1)*12)+VLOOKUP(CM$4,$DE$6:$DF$17,2)+1))*(VLOOKUP($A37,SatSunCurve,8))*(INDEX(DailyScalarsTable,CM$5/100,MONTH($A37)))*$E37</f>
        <v>0</v>
      </c>
      <c r="CN37" s="1021">
        <f>(VLOOKUP(YEAR($A37),'NY East Load Projections'!$A$4:$EO$14,((MONTH($A37)-1)*12)+VLOOKUP(CN$4,$DE$6:$DF$17,2)+1))*(VLOOKUP($A37,SatSunCurve,8))*(INDEX(DailyScalarsTable,CN$5/100,MONTH($A37)))*$E37</f>
        <v>0</v>
      </c>
      <c r="CO37" s="1021">
        <f>(VLOOKUP(YEAR($A37),'NY East Load Projections'!$A$4:$EO$14,((MONTH($A37)-1)*12)+VLOOKUP(CO$4,$DE$6:$DF$17,2)+1))*(VLOOKUP($A37,SatSunCurve,8))*(INDEX(DailyScalarsTable,CO$5/100,MONTH($A37)))*$E37</f>
        <v>0</v>
      </c>
      <c r="CP37" s="1021">
        <f>(VLOOKUP(YEAR($A37),'NY East Load Projections'!$A$4:$EO$14,((MONTH($A37)-1)*12)+VLOOKUP(CP$4,$DE$6:$DF$17,2)+1))*(VLOOKUP($A37,SatSunCurve,8))*(INDEX(DailyScalarsTable,CP$5/100,MONTH($A37)))*$E37</f>
        <v>0</v>
      </c>
      <c r="CQ37" s="1021">
        <f>(VLOOKUP(YEAR($A37),'NY East Load Projections'!$A$4:$EO$14,((MONTH($A37)-1)*12)+VLOOKUP(CQ$4,$DE$6:$DF$17,2)+1))*(VLOOKUP($A37,SatSunCurve,8))*(INDEX(DailyScalarsTable,CQ$5/100,MONTH($A37)))*$E37</f>
        <v>0</v>
      </c>
      <c r="CR37" s="1021">
        <f>(VLOOKUP(YEAR($A37),'NY East Load Projections'!$A$4:$EO$14,((MONTH($A37)-1)*12)+VLOOKUP(CR$4,$DE$6:$DF$17,2)+1))*(VLOOKUP($A37,SatSunCurve,8))*(INDEX(DailyScalarsTable,CR$5/100,MONTH($A37)))*$E37</f>
        <v>0</v>
      </c>
      <c r="CS37" s="1021">
        <f>(VLOOKUP(YEAR($A37),'NY East Load Projections'!$A$4:$EO$14,((MONTH($A37)-1)*12)+VLOOKUP(CS$4,$DE$6:$DF$17,2)+1))*(VLOOKUP($A37,SatSunCurve,8))*(INDEX(DailyScalarsTable,CS$5/100,MONTH($A37)))*$E37</f>
        <v>0</v>
      </c>
      <c r="CT37" s="1021">
        <f>(VLOOKUP(YEAR($A37),'NY East Load Projections'!$A$4:$EO$14,((MONTH($A37)-1)*12)+VLOOKUP(CT$4,$DE$6:$DF$17,2)+1))*(VLOOKUP($A37,SatSunCurve,8))*(INDEX(DailyScalarsTable,CT$5/100,MONTH($A37)))*$E37</f>
        <v>0</v>
      </c>
      <c r="CU37" s="1021">
        <f>(VLOOKUP(YEAR($A37),'NY East Load Projections'!$A$4:$EO$14,((MONTH($A37)-1)*12)+VLOOKUP(CU$4,$DE$6:$DF$17,2)+1))*(VLOOKUP($A37,SatSunCurve,8))*(INDEX(DailyScalarsTable,CU$5/100,MONTH($A37)))*$E37</f>
        <v>0</v>
      </c>
      <c r="CV37" s="1021">
        <f>(VLOOKUP(YEAR($A37),'NY East Load Projections'!$A$4:$EO$14,((MONTH($A37)-1)*12)+VLOOKUP(CV$4,$DE$6:$DF$17,2)+1))*(VLOOKUP($A37,SatSunCurve,8))*(INDEX(DailyScalarsTable,CV$5/100,MONTH($A37)))*$E37</f>
        <v>0</v>
      </c>
      <c r="CW37" s="1021">
        <f>(VLOOKUP(YEAR($A37),'NY East Load Projections'!$A$4:$EO$14,((MONTH($A37)-1)*12)+VLOOKUP(CW$4,$DE$6:$DF$17,2)+1))*(VLOOKUP($A37,SatSunCurve,8))*(INDEX(DailyScalarsTable,CW$5/100,MONTH($A37)))*$E37</f>
        <v>0</v>
      </c>
      <c r="CX37" s="1021">
        <f>(VLOOKUP(YEAR($A37),'NY East Load Projections'!$A$4:$EO$14,((MONTH($A37)-1)*12)+VLOOKUP(CX$4,$DE$6:$DF$17,2)+1))*(VLOOKUP($A37,SatSunCurve,8))*(INDEX(DailyScalarsTable,CX$5/100,MONTH($A37)))*$E37</f>
        <v>0</v>
      </c>
      <c r="CY37" s="1021">
        <f>(VLOOKUP(YEAR($A37),'NY East Load Projections'!$A$4:$EO$14,((MONTH($A37)-1)*12)+VLOOKUP(CY$4,$DE$6:$DF$17,2)+1))*(VLOOKUP($A37,SatSunCurve,8))*(INDEX(DailyScalarsTable,CY$5/100,MONTH($A37)))*$E37</f>
        <v>0</v>
      </c>
      <c r="CZ37" s="1021">
        <f>(VLOOKUP(YEAR($A37),'NY East Load Projections'!$A$4:$EO$14,((MONTH($A37)-1)*12)+VLOOKUP(CZ$4,$DE$6:$DF$17,2)+1))*(VLOOKUP($A37,SatSunCurve,8))*(INDEX(DailyScalarsTable,CZ$5/100,MONTH($A37)))*$E37</f>
        <v>0</v>
      </c>
      <c r="DA37" s="1021">
        <f>(VLOOKUP(YEAR($A37),'NY East Load Projections'!$A$4:$EO$14,((MONTH($A37)-1)*12)+VLOOKUP(DA$4,$DE$6:$DF$17,2)+1))*(VLOOKUP($A37,SatSunCurve,8))*(INDEX(DailyScalarsTable,DA$5/100,MONTH($A37)))*$E37</f>
        <v>0</v>
      </c>
      <c r="DB37" s="1021">
        <f>(VLOOKUP(YEAR($A37),'NY East Load Projections'!$A$4:$EO$14,((MONTH($A37)-1)*12)+VLOOKUP(DB$4,$DE$6:$DF$17,2)+1))*(VLOOKUP($A37,CURVES!$D$9:$T$261,8))*(INDEX(DailyScalarsTable,DB$5/100,MONTH($A37)))*$E37</f>
        <v>0</v>
      </c>
      <c r="DH37" s="1021">
        <f t="shared" si="0"/>
        <v>-4050031.5875494219</v>
      </c>
      <c r="DI37">
        <f ca="1">CALC!J57</f>
        <v>0.77711898090809006</v>
      </c>
      <c r="DJ37" s="1029">
        <f t="shared" ca="1" si="1"/>
        <v>-3147356.419961981</v>
      </c>
    </row>
    <row r="38" spans="1:114" x14ac:dyDescent="0.25">
      <c r="A38" s="244">
        <v>37865</v>
      </c>
      <c r="B38" s="13">
        <v>21</v>
      </c>
      <c r="C38" s="210">
        <v>4</v>
      </c>
      <c r="D38" s="210">
        <v>4</v>
      </c>
      <c r="E38" s="210">
        <v>1</v>
      </c>
      <c r="F38" s="13">
        <v>30</v>
      </c>
      <c r="H38" s="1021">
        <f>(VLOOKUP(YEAR($A38),'NY East Load Projections'!$A$4:$EO$14,((MONTH($A38)-1)*12)+VLOOKUP(H$4,$DE$6:$DF$17,2)+1))*(VLOOKUP($A38,CURVES!$D$9:$K$261,8))*(INDEX(DailyScalarsTable,H$5/100,MONTH($A38)))*$B38</f>
        <v>-42225.14345666374</v>
      </c>
      <c r="I38" s="1021">
        <f>(VLOOKUP(YEAR($A38),'NY East Load Projections'!$A$4:$EO$14,((MONTH($A38)-1)*12)+VLOOKUP(I$4,$DE$6:$DF$17,2)+1))*(VLOOKUP($A38,CURVES!$D$9:$K$261,8))*(INDEX(DailyScalarsTable,I$5/100,MONTH($A38)))*$B38</f>
        <v>-37044.8680465625</v>
      </c>
      <c r="J38" s="1021">
        <f>(VLOOKUP(YEAR($A38),'NY East Load Projections'!$A$4:$EO$14,((MONTH($A38)-1)*12)+VLOOKUP(J$4,$DE$6:$DF$17,2)+1))*(VLOOKUP($A38,CURVES!$D$9:$K$261,8))*(INDEX(DailyScalarsTable,J$5/100,MONTH($A38)))*$B38</f>
        <v>-34738.94835055471</v>
      </c>
      <c r="K38" s="1021">
        <f>(VLOOKUP(YEAR($A38),'NY East Load Projections'!$A$4:$EO$14,((MONTH($A38)-1)*12)+VLOOKUP(K$4,$DE$6:$DF$17,2)+1))*(VLOOKUP($A38,CURVES!$D$9:$K$261,8))*(INDEX(DailyScalarsTable,K$5/100,MONTH($A38)))*$B38</f>
        <v>-35253.758329198317</v>
      </c>
      <c r="L38" s="1021">
        <f>(VLOOKUP(YEAR($A38),'NY East Load Projections'!$A$4:$EO$14,((MONTH($A38)-1)*12)+VLOOKUP(L$4,$DE$6:$DF$17,2)+1))*(VLOOKUP($A38,CURVES!$D$9:$K$261,8))*(INDEX(DailyScalarsTable,L$5/100,MONTH($A38)))*$B38</f>
        <v>-41676.667598863467</v>
      </c>
      <c r="M38" s="1021">
        <f>(VLOOKUP(YEAR($A38),'NY East Load Projections'!$A$4:$EO$14,((MONTH($A38)-1)*12)+VLOOKUP(M$4,$DE$6:$DF$17,2)+1))*(VLOOKUP($A38,CURVES!$D$9:$K$261,8))*(INDEX(DailyScalarsTable,M$5/100,MONTH($A38)))*$B38</f>
        <v>-48229.381185836079</v>
      </c>
      <c r="N38" s="1021">
        <f>(VLOOKUP(YEAR($A38),'NY East Load Projections'!$A$4:$EO$14,((MONTH($A38)-1)*12)+VLOOKUP(N$4,$DE$6:$DF$17,2)+1))*(VLOOKUP($A38,CURVES!$D$9:$K$261,8))*(INDEX(DailyScalarsTable,N$5/100,MONTH($A38)))*$B38</f>
        <v>-65585.851941294008</v>
      </c>
      <c r="O38" s="1021">
        <f>(VLOOKUP(YEAR($A38),'NY East Load Projections'!$A$4:$EO$14,((MONTH($A38)-1)*12)+VLOOKUP(O$4,$DE$6:$DF$17,2)+1))*(VLOOKUP($A38,CURVES!$D$9:$K$261,4))*(INDEX(DailyScalarsTable,O$5/100,MONTH($A38)))*$B38</f>
        <v>-59286.158075207284</v>
      </c>
      <c r="P38" s="1021">
        <f>(VLOOKUP(YEAR($A38),'NY East Load Projections'!$A$4:$EO$14,((MONTH($A38)-1)*12)+VLOOKUP(P$4,$DE$6:$DF$17,2)+1))*(VLOOKUP($A38,CURVES!$D$9:$K$261,4))*(INDEX(DailyScalarsTable,P$5/100,MONTH($A38)))*$B38</f>
        <v>-64679.693440471106</v>
      </c>
      <c r="Q38" s="1021">
        <f>(VLOOKUP(YEAR($A38),'NY East Load Projections'!$A$4:$EO$14,((MONTH($A38)-1)*12)+VLOOKUP(Q$4,$DE$6:$DF$17,2)+1))*(VLOOKUP($A38,CURVES!$D$9:$K$261,4))*(INDEX(DailyScalarsTable,Q$5/100,MONTH($A38)))*$B38</f>
        <v>-80740.508005986165</v>
      </c>
      <c r="R38" s="1021">
        <f>(VLOOKUP(YEAR($A38),'NY East Load Projections'!$A$4:$EO$14,((MONTH($A38)-1)*12)+VLOOKUP(R$4,$DE$6:$DF$17,2)+1))*(VLOOKUP($A38,CURVES!$D$9:$K$261,4))*(INDEX(DailyScalarsTable,R$5/100,MONTH($A38)))*$B38</f>
        <v>-86227.121677435425</v>
      </c>
      <c r="S38" s="1021">
        <f>(VLOOKUP(YEAR($A38),'NY East Load Projections'!$A$4:$EO$14,((MONTH($A38)-1)*12)+VLOOKUP(S$4,$DE$6:$DF$17,2)+1))*(VLOOKUP($A38,CURVES!$D$9:$K$261,4))*(INDEX(DailyScalarsTable,S$5/100,MONTH($A38)))*$B38</f>
        <v>-91875.839843722977</v>
      </c>
      <c r="T38" s="1021">
        <f>(VLOOKUP(YEAR($A38),'NY East Load Projections'!$A$4:$EO$14,((MONTH($A38)-1)*12)+VLOOKUP(T$4,$DE$6:$DF$17,2)+1))*(VLOOKUP($A38,CURVES!$D$9:$K$261,4))*(INDEX(DailyScalarsTable,T$5/100,MONTH($A38)))*$B38</f>
        <v>-88366.895889506661</v>
      </c>
      <c r="U38" s="1021">
        <f>(VLOOKUP(YEAR($A38),'NY East Load Projections'!$A$4:$EO$14,((MONTH($A38)-1)*12)+VLOOKUP(U$4,$DE$6:$DF$17,2)+1))*(VLOOKUP($A38,CURVES!$D$9:$K$261,4))*(INDEX(DailyScalarsTable,U$5/100,MONTH($A38)))*$B38</f>
        <v>-95659.98690952477</v>
      </c>
      <c r="V38" s="1021">
        <f>(VLOOKUP(YEAR($A38),'NY East Load Projections'!$A$4:$EO$14,((MONTH($A38)-1)*12)+VLOOKUP(V$4,$DE$6:$DF$17,2)+1))*(VLOOKUP($A38,CURVES!$D$9:$K$261,4))*(INDEX(DailyScalarsTable,V$5/100,MONTH($A38)))*$B38</f>
        <v>-94150.634159295005</v>
      </c>
      <c r="W38" s="1021">
        <f>(VLOOKUP(YEAR($A38),'NY East Load Projections'!$A$4:$EO$14,((MONTH($A38)-1)*12)+VLOOKUP(W$4,$DE$6:$DF$17,2)+1))*(VLOOKUP($A38,CURVES!$D$9:$K$261,4))*(INDEX(DailyScalarsTable,W$5/100,MONTH($A38)))*$B38</f>
        <v>-91208.030478174609</v>
      </c>
      <c r="X38" s="1021">
        <f>(VLOOKUP(YEAR($A38),'NY East Load Projections'!$A$4:$EO$14,((MONTH($A38)-1)*12)+VLOOKUP(X$4,$DE$6:$DF$17,2)+1))*(VLOOKUP($A38,CURVES!$D$9:$K$261,4))*(INDEX(DailyScalarsTable,X$5/100,MONTH($A38)))*$B38</f>
        <v>-92174.743674251484</v>
      </c>
      <c r="Y38" s="1021">
        <f>(VLOOKUP(YEAR($A38),'NY East Load Projections'!$A$4:$EO$14,((MONTH($A38)-1)*12)+VLOOKUP(Y$4,$DE$6:$DF$17,2)+1))*(VLOOKUP($A38,CURVES!$D$9:$K$261,4))*(INDEX(DailyScalarsTable,Y$5/100,MONTH($A38)))*$B38</f>
        <v>-89913.516908840524</v>
      </c>
      <c r="Z38" s="1021">
        <f>(VLOOKUP(YEAR($A38),'NY East Load Projections'!$A$4:$EO$14,((MONTH($A38)-1)*12)+VLOOKUP(Z$4,$DE$6:$DF$17,2)+1))*(VLOOKUP($A38,CURVES!$D$9:$K$261,4))*(INDEX(DailyScalarsTable,Z$5/100,MONTH($A38)))*$B38</f>
        <v>-73644.585391383851</v>
      </c>
      <c r="AA38" s="1021">
        <f>(VLOOKUP(YEAR($A38),'NY East Load Projections'!$A$4:$EO$14,((MONTH($A38)-1)*12)+VLOOKUP(AA$4,$DE$6:$DF$17,2)+1))*(VLOOKUP($A38,CURVES!$D$9:$K$261,4))*(INDEX(DailyScalarsTable,AA$5/100,MONTH($A38)))*$B38</f>
        <v>-96244.95185199118</v>
      </c>
      <c r="AB38" s="1021">
        <f>(VLOOKUP(YEAR($A38),'NY East Load Projections'!$A$4:$EO$14,((MONTH($A38)-1)*12)+VLOOKUP(AB$4,$DE$6:$DF$17,2)+1))*(VLOOKUP($A38,CURVES!$D$9:$K$261,4))*(INDEX(DailyScalarsTable,AB$5/100,MONTH($A38)))*$B38</f>
        <v>-86163.088721831562</v>
      </c>
      <c r="AC38" s="1021">
        <f>(VLOOKUP(YEAR($A38),'NY East Load Projections'!$A$4:$EO$14,((MONTH($A38)-1)*12)+VLOOKUP(AC$4,$DE$6:$DF$17,2)+1))*(VLOOKUP($A38,CURVES!$D$9:$K$261,4))*(INDEX(DailyScalarsTable,AC$5/100,MONTH($A38)))*$B38</f>
        <v>-65578.627496650297</v>
      </c>
      <c r="AD38" s="1021">
        <f>(VLOOKUP(YEAR($A38),'NY East Load Projections'!$A$4:$EO$14,((MONTH($A38)-1)*12)+VLOOKUP(AD$4,$DE$6:$DF$17,2)+1))*(VLOOKUP($A38,CURVES!$D$9:$K$261,4))*(INDEX(DailyScalarsTable,AD$5/100,MONTH($A38)))*$B38</f>
        <v>-51968.367713265601</v>
      </c>
      <c r="AE38" s="1021">
        <f>(VLOOKUP(YEAR($A38),'NY East Load Projections'!$A$4:$EO$14,((MONTH($A38)-1)*12)+VLOOKUP(AE$4,$DE$6:$DF$17,2)+1))*(VLOOKUP($A38,CURVES!$D$9:$K$261,8))*(INDEX(DailyScalarsTable,AE$5/100,MONTH($A38)))*$B38</f>
        <v>-49345.058646139441</v>
      </c>
      <c r="AF38" s="1021"/>
      <c r="AG38" s="1021">
        <f>(VLOOKUP(YEAR($A38),'NY East Load Projections'!$A$4:$EO$14,((MONTH($A38)-1)*12)+VLOOKUP(AG$4,$DE$6:$DF$17,2)+1))*(VLOOKUP($A38,CURVES!$D$9:$T$261,8))*(INDEX(DailyScalarsTable,AG$5/100,MONTH($A38)))*$C38</f>
        <v>-8459.7901884386629</v>
      </c>
      <c r="AH38" s="1021">
        <f>(VLOOKUP(YEAR($A38),'NY East Load Projections'!$A$4:$EO$14,((MONTH($A38)-1)*12)+VLOOKUP(AH$4,$DE$6:$DF$17,2)+1))*(VLOOKUP($A38,CURVES!$D$9:$T$261,8))*(INDEX(DailyScalarsTable,AH$5/100,MONTH($A38)))*$C38</f>
        <v>-7421.9241328085182</v>
      </c>
      <c r="AI38" s="1021">
        <f>(VLOOKUP(YEAR($A38),'NY East Load Projections'!$A$4:$EO$14,((MONTH($A38)-1)*12)+VLOOKUP(AI$4,$DE$6:$DF$17,2)+1))*(VLOOKUP($A38,CURVES!$D$9:$T$261,8))*(INDEX(DailyScalarsTable,AI$5/100,MONTH($A38)))*$C38</f>
        <v>-6959.934066637752</v>
      </c>
      <c r="AJ38" s="1021">
        <f>(VLOOKUP(YEAR($A38),'NY East Load Projections'!$A$4:$EO$14,((MONTH($A38)-1)*12)+VLOOKUP(AJ$4,$DE$6:$DF$17,2)+1))*(VLOOKUP($A38,CURVES!$D$9:$T$261,8))*(INDEX(DailyScalarsTable,AJ$5/100,MONTH($A38)))*$C38</f>
        <v>-7063.0760348991344</v>
      </c>
      <c r="AK38" s="1021">
        <f>(VLOOKUP(YEAR($A38),'NY East Load Projections'!$A$4:$EO$14,((MONTH($A38)-1)*12)+VLOOKUP(AK$4,$DE$6:$DF$17,2)+1))*(VLOOKUP($A38,CURVES!$D$9:$T$261,8))*(INDEX(DailyScalarsTable,AK$5/100,MONTH($A38)))*$C38</f>
        <v>-7691.0045132440409</v>
      </c>
      <c r="AL38" s="1021">
        <f>(VLOOKUP(YEAR($A38),'NY East Load Projections'!$A$4:$EO$14,((MONTH($A38)-1)*12)+VLOOKUP(AL$4,$DE$6:$DF$17,2)+1))*(VLOOKUP($A38,CURVES!$D$9:$T$261,8))*(INDEX(DailyScalarsTable,AL$5/100,MONTH($A38)))*$C38</f>
        <v>-8900.2410639316076</v>
      </c>
      <c r="AM38" s="1021">
        <f>(VLOOKUP(YEAR($A38),'NY East Load Projections'!$A$4:$EO$14,((MONTH($A38)-1)*12)+VLOOKUP(AM$4,$DE$6:$DF$17,2)+1))*(VLOOKUP($A38,CURVES!$D$9:$T$261,8))*(INDEX(DailyScalarsTable,AM$5/100,MONTH($A38)))*$C38</f>
        <v>-12103.200959838818</v>
      </c>
      <c r="AN38" s="1021">
        <f>(VLOOKUP(YEAR($A38),'NY East Load Projections'!$A$4:$EO$14,((MONTH($A38)-1)*12)+VLOOKUP(AN$4,$DE$6:$DF$17,2)+1))*(VLOOKUP($A38,SatSunCurve,4))*(INDEX(DailyScalarsTable,AN$5/100,MONTH($A38)))*$C38</f>
        <v>-7689.4388659970382</v>
      </c>
      <c r="AO38" s="1021">
        <f>(VLOOKUP(YEAR($A38),'NY East Load Projections'!$A$4:$EO$14,((MONTH($A38)-1)*12)+VLOOKUP(AO$4,$DE$6:$DF$17,2)+1))*(VLOOKUP($A38,SatSunCurve,4))*(INDEX(DailyScalarsTable,AO$5/100,MONTH($A38)))*$C38</f>
        <v>-8497.2950185409209</v>
      </c>
      <c r="AP38" s="1021">
        <f>(VLOOKUP(YEAR($A38),'NY East Load Projections'!$A$4:$EO$14,((MONTH($A38)-1)*12)+VLOOKUP(AP$4,$DE$6:$DF$17,2)+1))*(VLOOKUP($A38,SatSunCurve,4))*(INDEX(DailyScalarsTable,AP$5/100,MONTH($A38)))*$C38</f>
        <v>-10607.284604791294</v>
      </c>
      <c r="AQ38" s="1021">
        <f>(VLOOKUP(YEAR($A38),'NY East Load Projections'!$A$4:$EO$14,((MONTH($A38)-1)*12)+VLOOKUP(AQ$4,$DE$6:$DF$17,2)+1))*(VLOOKUP($A38,SatSunCurve,4))*(INDEX(DailyScalarsTable,AQ$5/100,MONTH($A38)))*$C38</f>
        <v>-11328.088500715336</v>
      </c>
      <c r="AR38" s="1021">
        <f>(VLOOKUP(YEAR($A38),'NY East Load Projections'!$A$4:$EO$14,((MONTH($A38)-1)*12)+VLOOKUP(AR$4,$DE$6:$DF$17,2)+1))*(VLOOKUP($A38,SatSunCurve,4))*(INDEX(DailyScalarsTable,AR$5/100,MONTH($A38)))*$C38</f>
        <v>-12070.188875382588</v>
      </c>
      <c r="AS38" s="1021">
        <f>(VLOOKUP(YEAR($A38),'NY East Load Projections'!$A$4:$EO$14,((MONTH($A38)-1)*12)+VLOOKUP(AS$4,$DE$6:$DF$17,2)+1))*(VLOOKUP($A38,SatSunCurve,4))*(INDEX(DailyScalarsTable,AS$5/100,MONTH($A38)))*$C38</f>
        <v>-11463.361637784656</v>
      </c>
      <c r="AT38" s="1021">
        <f>(VLOOKUP(YEAR($A38),'NY East Load Projections'!$A$4:$EO$14,((MONTH($A38)-1)*12)+VLOOKUP(AT$4,$DE$6:$DF$17,2)+1))*(VLOOKUP($A38,SatSunCurve,4))*(INDEX(DailyScalarsTable,AT$5/100,MONTH($A38)))*$C38</f>
        <v>-12409.455069925631</v>
      </c>
      <c r="AU38" s="1021">
        <f>(VLOOKUP(YEAR($A38),'NY East Load Projections'!$A$4:$EO$14,((MONTH($A38)-1)*12)+VLOOKUP(AU$4,$DE$6:$DF$17,2)+1))*(VLOOKUP($A38,SatSunCurve,4))*(INDEX(DailyScalarsTable,AU$5/100,MONTH($A38)))*$C38</f>
        <v>-12213.654863969505</v>
      </c>
      <c r="AV38" s="1021">
        <f>(VLOOKUP(YEAR($A38),'NY East Load Projections'!$A$4:$EO$14,((MONTH($A38)-1)*12)+VLOOKUP(AV$4,$DE$6:$DF$17,2)+1))*(VLOOKUP($A38,SatSunCurve,4))*(INDEX(DailyScalarsTable,AV$5/100,MONTH($A38)))*$C38</f>
        <v>-11831.926731349144</v>
      </c>
      <c r="AW38" s="1021">
        <f>(VLOOKUP(YEAR($A38),'NY East Load Projections'!$A$4:$EO$14,((MONTH($A38)-1)*12)+VLOOKUP(AW$4,$DE$6:$DF$17,2)+1))*(VLOOKUP($A38,SatSunCurve,4))*(INDEX(DailyScalarsTable,AW$5/100,MONTH($A38)))*$C38</f>
        <v>-11866.384633713797</v>
      </c>
      <c r="AX38" s="1021">
        <f>(VLOOKUP(YEAR($A38),'NY East Load Projections'!$A$4:$EO$14,((MONTH($A38)-1)*12)+VLOOKUP(AX$4,$DE$6:$DF$17,2)+1))*(VLOOKUP($A38,SatSunCurve,4))*(INDEX(DailyScalarsTable,AX$5/100,MONTH($A38)))*$C38</f>
        <v>-11575.279006805387</v>
      </c>
      <c r="AY38" s="1021">
        <f>(VLOOKUP(YEAR($A38),'NY East Load Projections'!$A$4:$EO$14,((MONTH($A38)-1)*12)+VLOOKUP(AY$4,$DE$6:$DF$17,2)+1))*(VLOOKUP($A38,SatSunCurve,4))*(INDEX(DailyScalarsTable,AY$5/100,MONTH($A38)))*$C38</f>
        <v>-9480.8506279433113</v>
      </c>
      <c r="AZ38" s="1021">
        <f>(VLOOKUP(YEAR($A38),'NY East Load Projections'!$A$4:$EO$14,((MONTH($A38)-1)*12)+VLOOKUP(AZ$4,$DE$6:$DF$17,2)+1))*(VLOOKUP($A38,SatSunCurve,4))*(INDEX(DailyScalarsTable,AZ$5/100,MONTH($A38)))*$C38</f>
        <v>-12390.374762148931</v>
      </c>
      <c r="BA38" s="1021">
        <f>(VLOOKUP(YEAR($A38),'NY East Load Projections'!$A$4:$EO$14,((MONTH($A38)-1)*12)+VLOOKUP(BA$4,$DE$6:$DF$17,2)+1))*(VLOOKUP($A38,SatSunCurve,4))*(INDEX(DailyScalarsTable,BA$5/100,MONTH($A38)))*$C38</f>
        <v>-12169.758092776841</v>
      </c>
      <c r="BB38" s="1021">
        <f>(VLOOKUP(YEAR($A38),'NY East Load Projections'!$A$4:$EO$14,((MONTH($A38)-1)*12)+VLOOKUP(BB$4,$DE$6:$DF$17,2)+1))*(VLOOKUP($A38,SatSunCurve,4))*(INDEX(DailyScalarsTable,BB$5/100,MONTH($A38)))*$C38</f>
        <v>-9262.3888550126376</v>
      </c>
      <c r="BC38" s="1021">
        <f>(VLOOKUP(YEAR($A38),'NY East Load Projections'!$A$4:$EO$14,((MONTH($A38)-1)*12)+VLOOKUP(BC$4,$DE$6:$DF$17,2)+1))*(VLOOKUP($A38,SatSunCurve,4))*(INDEX(DailyScalarsTable,BC$5/100,MONTH($A38)))*$C38</f>
        <v>-7340.0625828153688</v>
      </c>
      <c r="BD38" s="1021">
        <f>(VLOOKUP(YEAR($A38),'NY East Load Projections'!$A$4:$EO$14,((MONTH($A38)-1)*12)+VLOOKUP(BD$4,$DE$6:$DF$17,2)+1))*(VLOOKUP($A38,CURVES!$D$9:$T$261,8))*(INDEX(DailyScalarsTable,BD$5/100,MONTH($A38)))*$C38</f>
        <v>-9916.3785051429386</v>
      </c>
      <c r="BE38" s="1021"/>
      <c r="BF38" s="1021">
        <f>(VLOOKUP(YEAR($A38),'NY East Load Projections'!$A$4:$EO$14,((MONTH($A38)-1)*12)+VLOOKUP(BF$4,$DE$6:$DF$17,2)+1))*(VLOOKUP($A38,CURVES!$D$9:$T$261,8))*(INDEX(DailyScalarsTable,BF$5/100,MONTH($A38)))*$D38</f>
        <v>-8459.7901884386629</v>
      </c>
      <c r="BG38" s="1021">
        <f>(VLOOKUP(YEAR($A38),'NY East Load Projections'!$A$4:$EO$14,((MONTH($A38)-1)*12)+VLOOKUP(BG$4,$DE$6:$DF$17,2)+1))*(VLOOKUP($A38,CURVES!$D$9:$T$261,8))*(INDEX(DailyScalarsTable,BG$5/100,MONTH($A38)))*$D38</f>
        <v>-7421.9241328085182</v>
      </c>
      <c r="BH38" s="1021">
        <f>(VLOOKUP(YEAR($A38),'NY East Load Projections'!$A$4:$EO$14,((MONTH($A38)-1)*12)+VLOOKUP(BH$4,$DE$6:$DF$17,2)+1))*(VLOOKUP($A38,CURVES!$D$9:$T$261,8))*(INDEX(DailyScalarsTable,BH$5/100,MONTH($A38)))*$D38</f>
        <v>-6959.934066637752</v>
      </c>
      <c r="BI38" s="1021">
        <f>(VLOOKUP(YEAR($A38),'NY East Load Projections'!$A$4:$EO$14,((MONTH($A38)-1)*12)+VLOOKUP(BI$4,$DE$6:$DF$17,2)+1))*(VLOOKUP($A38,CURVES!$D$9:$T$261,8))*(INDEX(DailyScalarsTable,BI$5/100,MONTH($A38)))*$D38</f>
        <v>-7063.0760348991344</v>
      </c>
      <c r="BJ38" s="1021">
        <f>(VLOOKUP(YEAR($A38),'NY East Load Projections'!$A$4:$EO$14,((MONTH($A38)-1)*12)+VLOOKUP(BJ$4,$DE$6:$DF$17,2)+1))*(VLOOKUP($A38,CURVES!$D$9:$T$261,8))*(INDEX(DailyScalarsTable,BJ$5/100,MONTH($A38)))*$D38</f>
        <v>-7691.0045132440409</v>
      </c>
      <c r="BK38" s="1021">
        <f>(VLOOKUP(YEAR($A38),'NY East Load Projections'!$A$4:$EO$14,((MONTH($A38)-1)*12)+VLOOKUP(BK$4,$DE$6:$DF$17,2)+1))*(VLOOKUP($A38,CURVES!$D$9:$T$261,8))*(INDEX(DailyScalarsTable,BK$5/100,MONTH($A38)))*$D38</f>
        <v>-8900.2410639316076</v>
      </c>
      <c r="BL38" s="1021">
        <f>(VLOOKUP(YEAR($A38),'NY East Load Projections'!$A$4:$EO$14,((MONTH($A38)-1)*12)+VLOOKUP(BL$4,$DE$6:$DF$17,2)+1))*(VLOOKUP($A38,CURVES!$D$9:$T$261,8))*(INDEX(DailyScalarsTable,BL$5/100,MONTH($A38)))*$D38</f>
        <v>-12103.200959838818</v>
      </c>
      <c r="BM38" s="1021">
        <f>(VLOOKUP(YEAR($A38),'NY East Load Projections'!$A$4:$EO$14,((MONTH($A38)-1)*12)+VLOOKUP(BM$4,$DE$6:$DF$17,2)+1))*(VLOOKUP($A38,SatSunCurve,8))*(INDEX(DailyScalarsTable,BM$5/100,MONTH($A38)))*$D38</f>
        <v>-8706.871290467263</v>
      </c>
      <c r="BN38" s="1021">
        <f>(VLOOKUP(YEAR($A38),'NY East Load Projections'!$A$4:$EO$14,((MONTH($A38)-1)*12)+VLOOKUP(BN$4,$DE$6:$DF$17,2)+1))*(VLOOKUP($A38,SatSunCurve,8))*(INDEX(DailyScalarsTable,BN$5/100,MONTH($A38)))*$D38</f>
        <v>-9621.6193837924911</v>
      </c>
      <c r="BO38" s="1021">
        <f>(VLOOKUP(YEAR($A38),'NY East Load Projections'!$A$4:$EO$14,((MONTH($A38)-1)*12)+VLOOKUP(BO$4,$DE$6:$DF$17,2)+1))*(VLOOKUP($A38,SatSunCurve,8))*(INDEX(DailyScalarsTable,BO$5/100,MONTH($A38)))*$D38</f>
        <v>-12010.793427811135</v>
      </c>
      <c r="BP38" s="1021">
        <f>(VLOOKUP(YEAR($A38),'NY East Load Projections'!$A$4:$EO$14,((MONTH($A38)-1)*12)+VLOOKUP(BP$4,$DE$6:$DF$17,2)+1))*(VLOOKUP($A38,SatSunCurve,8))*(INDEX(DailyScalarsTable,BP$5/100,MONTH($A38)))*$D38</f>
        <v>-12826.970896264711</v>
      </c>
      <c r="BQ38" s="1021">
        <f>(VLOOKUP(YEAR($A38),'NY East Load Projections'!$A$4:$EO$14,((MONTH($A38)-1)*12)+VLOOKUP(BQ$4,$DE$6:$DF$17,2)+1))*(VLOOKUP($A38,SatSunCurve,8))*(INDEX(DailyScalarsTable,BQ$5/100,MONTH($A38)))*$D38</f>
        <v>-13667.262699013507</v>
      </c>
      <c r="BR38" s="1021">
        <f>(VLOOKUP(YEAR($A38),'NY East Load Projections'!$A$4:$EO$14,((MONTH($A38)-1)*12)+VLOOKUP(BR$4,$DE$6:$DF$17,2)+1))*(VLOOKUP($A38,SatSunCurve,8))*(INDEX(DailyScalarsTable,BR$5/100,MONTH($A38)))*$D38</f>
        <v>-12980.142774479205</v>
      </c>
      <c r="BS38" s="1021">
        <f>(VLOOKUP(YEAR($A38),'NY East Load Projections'!$A$4:$EO$14,((MONTH($A38)-1)*12)+VLOOKUP(BS$4,$DE$6:$DF$17,2)+1))*(VLOOKUP($A38,SatSunCurve,8))*(INDEX(DailyScalarsTable,BS$5/100,MONTH($A38)))*$D38</f>
        <v>-14051.419090730897</v>
      </c>
      <c r="BT38" s="1021">
        <f>(VLOOKUP(YEAR($A38),'NY East Load Projections'!$A$4:$EO$14,((MONTH($A38)-1)*12)+VLOOKUP(BT$4,$DE$6:$DF$17,2)+1))*(VLOOKUP($A38,SatSunCurve,8))*(INDEX(DailyScalarsTable,BT$5/100,MONTH($A38)))*$D38</f>
        <v>-13829.711470497945</v>
      </c>
      <c r="BU38" s="1021">
        <f>(VLOOKUP(YEAR($A38),'NY East Load Projections'!$A$4:$EO$14,((MONTH($A38)-1)*12)+VLOOKUP(BU$4,$DE$6:$DF$17,2)+1))*(VLOOKUP($A38,SatSunCurve,8))*(INDEX(DailyScalarsTable,BU$5/100,MONTH($A38)))*$D38</f>
        <v>-13397.474765505955</v>
      </c>
      <c r="BV38" s="1021">
        <f>(VLOOKUP(YEAR($A38),'NY East Load Projections'!$A$4:$EO$14,((MONTH($A38)-1)*12)+VLOOKUP(BV$4,$DE$6:$DF$17,2)+1))*(VLOOKUP($A38,SatSunCurve,8))*(INDEX(DailyScalarsTable,BV$5/100,MONTH($A38)))*$D38</f>
        <v>-13436.491984584871</v>
      </c>
      <c r="BW38" s="1021">
        <f>(VLOOKUP(YEAR($A38),'NY East Load Projections'!$A$4:$EO$14,((MONTH($A38)-1)*12)+VLOOKUP(BW$4,$DE$6:$DF$17,2)+1))*(VLOOKUP($A38,SatSunCurve,8))*(INDEX(DailyScalarsTable,BW$5/100,MONTH($A38)))*$D38</f>
        <v>-13106.868553071488</v>
      </c>
      <c r="BX38" s="1021">
        <f>(VLOOKUP(YEAR($A38),'NY East Load Projections'!$A$4:$EO$14,((MONTH($A38)-1)*12)+VLOOKUP(BX$4,$DE$6:$DF$17,2)+1))*(VLOOKUP($A38,SatSunCurve,8))*(INDEX(DailyScalarsTable,BX$5/100,MONTH($A38)))*$D38</f>
        <v>-10735.314706341012</v>
      </c>
      <c r="BY38" s="1021">
        <f>(VLOOKUP(YEAR($A38),'NY East Load Projections'!$A$4:$EO$14,((MONTH($A38)-1)*12)+VLOOKUP(BY$4,$DE$6:$DF$17,2)+1))*(VLOOKUP($A38,SatSunCurve,8))*(INDEX(DailyScalarsTable,BY$5/100,MONTH($A38)))*$D38</f>
        <v>-14029.814161308952</v>
      </c>
      <c r="BZ38" s="1021">
        <f>(VLOOKUP(YEAR($A38),'NY East Load Projections'!$A$4:$EO$14,((MONTH($A38)-1)*12)+VLOOKUP(BZ$4,$DE$6:$DF$17,2)+1))*(VLOOKUP($A38,SatSunCurve,8))*(INDEX(DailyScalarsTable,BZ$5/100,MONTH($A38)))*$D38</f>
        <v>-13780.006473358071</v>
      </c>
      <c r="CA38" s="1021">
        <f>(VLOOKUP(YEAR($A38),'NY East Load Projections'!$A$4:$EO$14,((MONTH($A38)-1)*12)+VLOOKUP(CA$4,$DE$6:$DF$17,2)+1))*(VLOOKUP($A38,SatSunCurve,8))*(INDEX(DailyScalarsTable,CA$5/100,MONTH($A38)))*$D38</f>
        <v>-10487.947041165093</v>
      </c>
      <c r="CB38" s="1021">
        <f>(VLOOKUP(YEAR($A38),'NY East Load Projections'!$A$4:$EO$14,((MONTH($A38)-1)*12)+VLOOKUP(CB$4,$DE$6:$DF$17,2)+1))*(VLOOKUP($A38,SatSunCurve,8))*(INDEX(DailyScalarsTable,CB$5/100,MONTH($A38)))*$D38</f>
        <v>-8311.2670880518781</v>
      </c>
      <c r="CC38" s="1021">
        <f>(VLOOKUP(YEAR($A38),'NY East Load Projections'!$A$4:$EO$14,((MONTH($A38)-1)*12)+VLOOKUP(CC$4,$DE$6:$DF$17,2)+1))*(VLOOKUP($A38,CURVES!$D$9:$T$261,8))*(INDEX(DailyScalarsTable,CC$5/100,MONTH($A38)))*$D38</f>
        <v>-9916.3785051429386</v>
      </c>
      <c r="CE38" s="1021">
        <f>(VLOOKUP(YEAR($A38),'NY East Load Projections'!$A$4:$EO$14,((MONTH($A38)-1)*12)+VLOOKUP(CE$4,$DE$6:$DF$17,2)+1))*(VLOOKUP($A38,CURVES!$D$9:$T$261,8))*(INDEX(DailyScalarsTable,CE$5/100,MONTH($A38)))*$E38</f>
        <v>-2114.9475471096657</v>
      </c>
      <c r="CF38" s="1021">
        <f>(VLOOKUP(YEAR($A38),'NY East Load Projections'!$A$4:$EO$14,((MONTH($A38)-1)*12)+VLOOKUP(CF$4,$DE$6:$DF$17,2)+1))*(VLOOKUP($A38,CURVES!$D$9:$T$261,8))*(INDEX(DailyScalarsTable,CF$5/100,MONTH($A38)))*$E38</f>
        <v>-1855.4810332021295</v>
      </c>
      <c r="CG38" s="1021">
        <f>(VLOOKUP(YEAR($A38),'NY East Load Projections'!$A$4:$EO$14,((MONTH($A38)-1)*12)+VLOOKUP(CG$4,$DE$6:$DF$17,2)+1))*(VLOOKUP($A38,CURVES!$D$9:$T$261,8))*(INDEX(DailyScalarsTable,CG$5/100,MONTH($A38)))*$E38</f>
        <v>-1739.983516659438</v>
      </c>
      <c r="CH38" s="1021">
        <f>(VLOOKUP(YEAR($A38),'NY East Load Projections'!$A$4:$EO$14,((MONTH($A38)-1)*12)+VLOOKUP(CH$4,$DE$6:$DF$17,2)+1))*(VLOOKUP($A38,CURVES!$D$9:$T$261,8))*(INDEX(DailyScalarsTable,CH$5/100,MONTH($A38)))*$E38</f>
        <v>-1765.7690087247836</v>
      </c>
      <c r="CI38" s="1021">
        <f>(VLOOKUP(YEAR($A38),'NY East Load Projections'!$A$4:$EO$14,((MONTH($A38)-1)*12)+VLOOKUP(CI$4,$DE$6:$DF$17,2)+1))*(VLOOKUP($A38,CURVES!$D$9:$T$261,8))*(INDEX(DailyScalarsTable,CI$5/100,MONTH($A38)))*$E38</f>
        <v>-1922.7511283110102</v>
      </c>
      <c r="CJ38" s="1021">
        <f>(VLOOKUP(YEAR($A38),'NY East Load Projections'!$A$4:$EO$14,((MONTH($A38)-1)*12)+VLOOKUP(CJ$4,$DE$6:$DF$17,2)+1))*(VLOOKUP($A38,CURVES!$D$9:$T$261,8))*(INDEX(DailyScalarsTable,CJ$5/100,MONTH($A38)))*$E38</f>
        <v>-2225.0602659829019</v>
      </c>
      <c r="CK38" s="1021">
        <f>(VLOOKUP(YEAR($A38),'NY East Load Projections'!$A$4:$EO$14,((MONTH($A38)-1)*12)+VLOOKUP(CK$4,$DE$6:$DF$17,2)+1))*(VLOOKUP($A38,CURVES!$D$9:$T$261,8))*(INDEX(DailyScalarsTable,CK$5/100,MONTH($A38)))*$E38</f>
        <v>-3025.8002399597044</v>
      </c>
      <c r="CL38" s="1021">
        <f>(VLOOKUP(YEAR($A38),'NY East Load Projections'!$A$4:$EO$14,((MONTH($A38)-1)*12)+VLOOKUP(CL$4,$DE$6:$DF$17,2)+1))*(VLOOKUP($A38,SatSunCurve,8))*(INDEX(DailyScalarsTable,CL$5/100,MONTH($A38)))*$E38</f>
        <v>-2176.7178226168157</v>
      </c>
      <c r="CM38" s="1021">
        <f>(VLOOKUP(YEAR($A38),'NY East Load Projections'!$A$4:$EO$14,((MONTH($A38)-1)*12)+VLOOKUP(CM$4,$DE$6:$DF$17,2)+1))*(VLOOKUP($A38,SatSunCurve,8))*(INDEX(DailyScalarsTable,CM$5/100,MONTH($A38)))*$E38</f>
        <v>-2405.4048459481228</v>
      </c>
      <c r="CN38" s="1021">
        <f>(VLOOKUP(YEAR($A38),'NY East Load Projections'!$A$4:$EO$14,((MONTH($A38)-1)*12)+VLOOKUP(CN$4,$DE$6:$DF$17,2)+1))*(VLOOKUP($A38,SatSunCurve,8))*(INDEX(DailyScalarsTable,CN$5/100,MONTH($A38)))*$E38</f>
        <v>-3002.6983569527838</v>
      </c>
      <c r="CO38" s="1021">
        <f>(VLOOKUP(YEAR($A38),'NY East Load Projections'!$A$4:$EO$14,((MONTH($A38)-1)*12)+VLOOKUP(CO$4,$DE$6:$DF$17,2)+1))*(VLOOKUP($A38,SatSunCurve,8))*(INDEX(DailyScalarsTable,CO$5/100,MONTH($A38)))*$E38</f>
        <v>-3206.7427240661777</v>
      </c>
      <c r="CP38" s="1021">
        <f>(VLOOKUP(YEAR($A38),'NY East Load Projections'!$A$4:$EO$14,((MONTH($A38)-1)*12)+VLOOKUP(CP$4,$DE$6:$DF$17,2)+1))*(VLOOKUP($A38,SatSunCurve,8))*(INDEX(DailyScalarsTable,CP$5/100,MONTH($A38)))*$E38</f>
        <v>-3416.8156747533767</v>
      </c>
      <c r="CQ38" s="1021">
        <f>(VLOOKUP(YEAR($A38),'NY East Load Projections'!$A$4:$EO$14,((MONTH($A38)-1)*12)+VLOOKUP(CQ$4,$DE$6:$DF$17,2)+1))*(VLOOKUP($A38,SatSunCurve,8))*(INDEX(DailyScalarsTable,CQ$5/100,MONTH($A38)))*$E38</f>
        <v>-3245.0356936198013</v>
      </c>
      <c r="CR38" s="1021">
        <f>(VLOOKUP(YEAR($A38),'NY East Load Projections'!$A$4:$EO$14,((MONTH($A38)-1)*12)+VLOOKUP(CR$4,$DE$6:$DF$17,2)+1))*(VLOOKUP($A38,SatSunCurve,8))*(INDEX(DailyScalarsTable,CR$5/100,MONTH($A38)))*$E38</f>
        <v>-3512.8547726827242</v>
      </c>
      <c r="CS38" s="1021">
        <f>(VLOOKUP(YEAR($A38),'NY East Load Projections'!$A$4:$EO$14,((MONTH($A38)-1)*12)+VLOOKUP(CS$4,$DE$6:$DF$17,2)+1))*(VLOOKUP($A38,SatSunCurve,8))*(INDEX(DailyScalarsTable,CS$5/100,MONTH($A38)))*$E38</f>
        <v>-3457.4278676244862</v>
      </c>
      <c r="CT38" s="1021">
        <f>(VLOOKUP(YEAR($A38),'NY East Load Projections'!$A$4:$EO$14,((MONTH($A38)-1)*12)+VLOOKUP(CT$4,$DE$6:$DF$17,2)+1))*(VLOOKUP($A38,SatSunCurve,8))*(INDEX(DailyScalarsTable,CT$5/100,MONTH($A38)))*$E38</f>
        <v>-3349.3686913764886</v>
      </c>
      <c r="CU38" s="1021">
        <f>(VLOOKUP(YEAR($A38),'NY East Load Projections'!$A$4:$EO$14,((MONTH($A38)-1)*12)+VLOOKUP(CU$4,$DE$6:$DF$17,2)+1))*(VLOOKUP($A38,SatSunCurve,8))*(INDEX(DailyScalarsTable,CU$5/100,MONTH($A38)))*$E38</f>
        <v>-3359.1229961462177</v>
      </c>
      <c r="CV38" s="1021">
        <f>(VLOOKUP(YEAR($A38),'NY East Load Projections'!$A$4:$EO$14,((MONTH($A38)-1)*12)+VLOOKUP(CV$4,$DE$6:$DF$17,2)+1))*(VLOOKUP($A38,SatSunCurve,8))*(INDEX(DailyScalarsTable,CV$5/100,MONTH($A38)))*$E38</f>
        <v>-3276.7171382678721</v>
      </c>
      <c r="CW38" s="1021">
        <f>(VLOOKUP(YEAR($A38),'NY East Load Projections'!$A$4:$EO$14,((MONTH($A38)-1)*12)+VLOOKUP(CW$4,$DE$6:$DF$17,2)+1))*(VLOOKUP($A38,SatSunCurve,8))*(INDEX(DailyScalarsTable,CW$5/100,MONTH($A38)))*$E38</f>
        <v>-2683.8286765852531</v>
      </c>
      <c r="CX38" s="1021">
        <f>(VLOOKUP(YEAR($A38),'NY East Load Projections'!$A$4:$EO$14,((MONTH($A38)-1)*12)+VLOOKUP(CX$4,$DE$6:$DF$17,2)+1))*(VLOOKUP($A38,SatSunCurve,8))*(INDEX(DailyScalarsTable,CX$5/100,MONTH($A38)))*$E38</f>
        <v>-3507.453540327238</v>
      </c>
      <c r="CY38" s="1021">
        <f>(VLOOKUP(YEAR($A38),'NY East Load Projections'!$A$4:$EO$14,((MONTH($A38)-1)*12)+VLOOKUP(CY$4,$DE$6:$DF$17,2)+1))*(VLOOKUP($A38,SatSunCurve,8))*(INDEX(DailyScalarsTable,CY$5/100,MONTH($A38)))*$E38</f>
        <v>-3445.0016183395178</v>
      </c>
      <c r="CZ38" s="1021">
        <f>(VLOOKUP(YEAR($A38),'NY East Load Projections'!$A$4:$EO$14,((MONTH($A38)-1)*12)+VLOOKUP(CZ$4,$DE$6:$DF$17,2)+1))*(VLOOKUP($A38,SatSunCurve,8))*(INDEX(DailyScalarsTable,CZ$5/100,MONTH($A38)))*$E38</f>
        <v>-2621.9867602912732</v>
      </c>
      <c r="DA38" s="1021">
        <f>(VLOOKUP(YEAR($A38),'NY East Load Projections'!$A$4:$EO$14,((MONTH($A38)-1)*12)+VLOOKUP(DA$4,$DE$6:$DF$17,2)+1))*(VLOOKUP($A38,SatSunCurve,8))*(INDEX(DailyScalarsTable,DA$5/100,MONTH($A38)))*$E38</f>
        <v>-2077.8167720129695</v>
      </c>
      <c r="DB38" s="1021">
        <f>(VLOOKUP(YEAR($A38),'NY East Load Projections'!$A$4:$EO$14,((MONTH($A38)-1)*12)+VLOOKUP(DB$4,$DE$6:$DF$17,2)+1))*(VLOOKUP($A38,CURVES!$D$9:$T$261,8))*(INDEX(DailyScalarsTable,DB$5/100,MONTH($A38)))*$E38</f>
        <v>-2479.0946262857346</v>
      </c>
      <c r="DH38" s="1021">
        <f t="shared" si="0"/>
        <v>-2232063.176576498</v>
      </c>
      <c r="DI38">
        <f ca="1">CALC!J58</f>
        <v>0.77245698322183542</v>
      </c>
      <c r="DJ38" s="1029">
        <f t="shared" ca="1" si="1"/>
        <v>-1724172.7877388285</v>
      </c>
    </row>
    <row r="39" spans="1:114" x14ac:dyDescent="0.25">
      <c r="A39" s="244">
        <v>37895</v>
      </c>
      <c r="B39" s="13">
        <v>23</v>
      </c>
      <c r="C39" s="210">
        <v>4</v>
      </c>
      <c r="D39" s="210">
        <v>4</v>
      </c>
      <c r="E39" s="210">
        <v>0</v>
      </c>
      <c r="F39" s="13">
        <v>31</v>
      </c>
      <c r="H39" s="1021">
        <f>(VLOOKUP(YEAR($A39),'NY East Load Projections'!$A$4:$EO$14,((MONTH($A39)-1)*12)+VLOOKUP(H$4,$DE$6:$DF$17,2)+1))*(VLOOKUP($A39,CURVES!$D$9:$K$261,8))*(INDEX(DailyScalarsTable,H$5/100,MONTH($A39)))*$B39</f>
        <v>-40390.798785885447</v>
      </c>
      <c r="I39" s="1021">
        <f>(VLOOKUP(YEAR($A39),'NY East Load Projections'!$A$4:$EO$14,((MONTH($A39)-1)*12)+VLOOKUP(I$4,$DE$6:$DF$17,2)+1))*(VLOOKUP($A39,CURVES!$D$9:$K$261,8))*(INDEX(DailyScalarsTable,I$5/100,MONTH($A39)))*$B39</f>
        <v>-38336.164155702965</v>
      </c>
      <c r="J39" s="1021">
        <f>(VLOOKUP(YEAR($A39),'NY East Load Projections'!$A$4:$EO$14,((MONTH($A39)-1)*12)+VLOOKUP(J$4,$DE$6:$DF$17,2)+1))*(VLOOKUP($A39,CURVES!$D$9:$K$261,8))*(INDEX(DailyScalarsTable,J$5/100,MONTH($A39)))*$B39</f>
        <v>-36826.028972028471</v>
      </c>
      <c r="K39" s="1021">
        <f>(VLOOKUP(YEAR($A39),'NY East Load Projections'!$A$4:$EO$14,((MONTH($A39)-1)*12)+VLOOKUP(K$4,$DE$6:$DF$17,2)+1))*(VLOOKUP($A39,CURVES!$D$9:$K$261,8))*(INDEX(DailyScalarsTable,K$5/100,MONTH($A39)))*$B39</f>
        <v>-36847.298481657686</v>
      </c>
      <c r="L39" s="1021">
        <f>(VLOOKUP(YEAR($A39),'NY East Load Projections'!$A$4:$EO$14,((MONTH($A39)-1)*12)+VLOOKUP(L$4,$DE$6:$DF$17,2)+1))*(VLOOKUP($A39,CURVES!$D$9:$K$261,8))*(INDEX(DailyScalarsTable,L$5/100,MONTH($A39)))*$B39</f>
        <v>-43622.182937141515</v>
      </c>
      <c r="M39" s="1021">
        <f>(VLOOKUP(YEAR($A39),'NY East Load Projections'!$A$4:$EO$14,((MONTH($A39)-1)*12)+VLOOKUP(M$4,$DE$6:$DF$17,2)+1))*(VLOOKUP($A39,CURVES!$D$9:$K$261,8))*(INDEX(DailyScalarsTable,M$5/100,MONTH($A39)))*$B39</f>
        <v>-50114.896403986437</v>
      </c>
      <c r="N39" s="1021">
        <f>(VLOOKUP(YEAR($A39),'NY East Load Projections'!$A$4:$EO$14,((MONTH($A39)-1)*12)+VLOOKUP(N$4,$DE$6:$DF$17,2)+1))*(VLOOKUP($A39,CURVES!$D$9:$K$261,8))*(INDEX(DailyScalarsTable,N$5/100,MONTH($A39)))*$B39</f>
        <v>-64785.886369678068</v>
      </c>
      <c r="O39" s="1021">
        <f>(VLOOKUP(YEAR($A39),'NY East Load Projections'!$A$4:$EO$14,((MONTH($A39)-1)*12)+VLOOKUP(O$4,$DE$6:$DF$17,2)+1))*(VLOOKUP($A39,CURVES!$D$9:$K$261,4))*(INDEX(DailyScalarsTable,O$5/100,MONTH($A39)))*$B39</f>
        <v>-77744.114370308438</v>
      </c>
      <c r="P39" s="1021">
        <f>(VLOOKUP(YEAR($A39),'NY East Load Projections'!$A$4:$EO$14,((MONTH($A39)-1)*12)+VLOOKUP(P$4,$DE$6:$DF$17,2)+1))*(VLOOKUP($A39,CURVES!$D$9:$K$261,4))*(INDEX(DailyScalarsTable,P$5/100,MONTH($A39)))*$B39</f>
        <v>-92140.633640645072</v>
      </c>
      <c r="Q39" s="1021">
        <f>(VLOOKUP(YEAR($A39),'NY East Load Projections'!$A$4:$EO$14,((MONTH($A39)-1)*12)+VLOOKUP(Q$4,$DE$6:$DF$17,2)+1))*(VLOOKUP($A39,CURVES!$D$9:$K$261,4))*(INDEX(DailyScalarsTable,Q$5/100,MONTH($A39)))*$B39</f>
        <v>-91855.897442744434</v>
      </c>
      <c r="R39" s="1021">
        <f>(VLOOKUP(YEAR($A39),'NY East Load Projections'!$A$4:$EO$14,((MONTH($A39)-1)*12)+VLOOKUP(R$4,$DE$6:$DF$17,2)+1))*(VLOOKUP($A39,CURVES!$D$9:$K$261,4))*(INDEX(DailyScalarsTable,R$5/100,MONTH($A39)))*$B39</f>
        <v>-91335.236966583281</v>
      </c>
      <c r="S39" s="1021">
        <f>(VLOOKUP(YEAR($A39),'NY East Load Projections'!$A$4:$EO$14,((MONTH($A39)-1)*12)+VLOOKUP(S$4,$DE$6:$DF$17,2)+1))*(VLOOKUP($A39,CURVES!$D$9:$K$261,4))*(INDEX(DailyScalarsTable,S$5/100,MONTH($A39)))*$B39</f>
        <v>-77074.021111731534</v>
      </c>
      <c r="T39" s="1021">
        <f>(VLOOKUP(YEAR($A39),'NY East Load Projections'!$A$4:$EO$14,((MONTH($A39)-1)*12)+VLOOKUP(T$4,$DE$6:$DF$17,2)+1))*(VLOOKUP($A39,CURVES!$D$9:$K$261,4))*(INDEX(DailyScalarsTable,T$5/100,MONTH($A39)))*$B39</f>
        <v>-73712.950147358133</v>
      </c>
      <c r="U39" s="1021">
        <f>(VLOOKUP(YEAR($A39),'NY East Load Projections'!$A$4:$EO$14,((MONTH($A39)-1)*12)+VLOOKUP(U$4,$DE$6:$DF$17,2)+1))*(VLOOKUP($A39,CURVES!$D$9:$K$261,4))*(INDEX(DailyScalarsTable,U$5/100,MONTH($A39)))*$B39</f>
        <v>-71666.978837503382</v>
      </c>
      <c r="V39" s="1021">
        <f>(VLOOKUP(YEAR($A39),'NY East Load Projections'!$A$4:$EO$14,((MONTH($A39)-1)*12)+VLOOKUP(V$4,$DE$6:$DF$17,2)+1))*(VLOOKUP($A39,CURVES!$D$9:$K$261,4))*(INDEX(DailyScalarsTable,V$5/100,MONTH($A39)))*$B39</f>
        <v>-70002.038621791624</v>
      </c>
      <c r="W39" s="1021">
        <f>(VLOOKUP(YEAR($A39),'NY East Load Projections'!$A$4:$EO$14,((MONTH($A39)-1)*12)+VLOOKUP(W$4,$DE$6:$DF$17,2)+1))*(VLOOKUP($A39,CURVES!$D$9:$K$261,4))*(INDEX(DailyScalarsTable,W$5/100,MONTH($A39)))*$B39</f>
        <v>-69521.608111785245</v>
      </c>
      <c r="X39" s="1021">
        <f>(VLOOKUP(YEAR($A39),'NY East Load Projections'!$A$4:$EO$14,((MONTH($A39)-1)*12)+VLOOKUP(X$4,$DE$6:$DF$17,2)+1))*(VLOOKUP($A39,CURVES!$D$9:$K$261,4))*(INDEX(DailyScalarsTable,X$5/100,MONTH($A39)))*$B39</f>
        <v>-68927.484414048275</v>
      </c>
      <c r="Y39" s="1021">
        <f>(VLOOKUP(YEAR($A39),'NY East Load Projections'!$A$4:$EO$14,((MONTH($A39)-1)*12)+VLOOKUP(Y$4,$DE$6:$DF$17,2)+1))*(VLOOKUP($A39,CURVES!$D$9:$K$261,4))*(INDEX(DailyScalarsTable,Y$5/100,MONTH($A39)))*$B39</f>
        <v>-92985.469925021738</v>
      </c>
      <c r="Z39" s="1021">
        <f>(VLOOKUP(YEAR($A39),'NY East Load Projections'!$A$4:$EO$14,((MONTH($A39)-1)*12)+VLOOKUP(Z$4,$DE$6:$DF$17,2)+1))*(VLOOKUP($A39,CURVES!$D$9:$K$261,4))*(INDEX(DailyScalarsTable,Z$5/100,MONTH($A39)))*$B39</f>
        <v>-93713.795412310472</v>
      </c>
      <c r="AA39" s="1021">
        <f>(VLOOKUP(YEAR($A39),'NY East Load Projections'!$A$4:$EO$14,((MONTH($A39)-1)*12)+VLOOKUP(AA$4,$DE$6:$DF$17,2)+1))*(VLOOKUP($A39,CURVES!$D$9:$K$261,4))*(INDEX(DailyScalarsTable,AA$5/100,MONTH($A39)))*$B39</f>
        <v>-89622.775653922727</v>
      </c>
      <c r="AB39" s="1021">
        <f>(VLOOKUP(YEAR($A39),'NY East Load Projections'!$A$4:$EO$14,((MONTH($A39)-1)*12)+VLOOKUP(AB$4,$DE$6:$DF$17,2)+1))*(VLOOKUP($A39,CURVES!$D$9:$K$261,4))*(INDEX(DailyScalarsTable,AB$5/100,MONTH($A39)))*$B39</f>
        <v>-73689.363221612206</v>
      </c>
      <c r="AC39" s="1021">
        <f>(VLOOKUP(YEAR($A39),'NY East Load Projections'!$A$4:$EO$14,((MONTH($A39)-1)*12)+VLOOKUP(AC$4,$DE$6:$DF$17,2)+1))*(VLOOKUP($A39,CURVES!$D$9:$K$261,4))*(INDEX(DailyScalarsTable,AC$5/100,MONTH($A39)))*$B39</f>
        <v>-61128.597968569135</v>
      </c>
      <c r="AD39" s="1021">
        <f>(VLOOKUP(YEAR($A39),'NY East Load Projections'!$A$4:$EO$14,((MONTH($A39)-1)*12)+VLOOKUP(AD$4,$DE$6:$DF$17,2)+1))*(VLOOKUP($A39,CURVES!$D$9:$K$261,4))*(INDEX(DailyScalarsTable,AD$5/100,MONTH($A39)))*$B39</f>
        <v>-52118.213673438899</v>
      </c>
      <c r="AE39" s="1021">
        <f>(VLOOKUP(YEAR($A39),'NY East Load Projections'!$A$4:$EO$14,((MONTH($A39)-1)*12)+VLOOKUP(AE$4,$DE$6:$DF$17,2)+1))*(VLOOKUP($A39,CURVES!$D$9:$K$261,8))*(INDEX(DailyScalarsTable,AE$5/100,MONTH($A39)))*$B39</f>
        <v>-46556.275795091904</v>
      </c>
      <c r="AF39" s="1021"/>
      <c r="AG39" s="1021">
        <f>(VLOOKUP(YEAR($A39),'NY East Load Projections'!$A$4:$EO$14,((MONTH($A39)-1)*12)+VLOOKUP(AG$4,$DE$6:$DF$17,2)+1))*(VLOOKUP($A39,CURVES!$D$9:$T$261,8))*(INDEX(DailyScalarsTable,AG$5/100,MONTH($A39)))*$C39</f>
        <v>-7503.6397926120426</v>
      </c>
      <c r="AH39" s="1021">
        <f>(VLOOKUP(YEAR($A39),'NY East Load Projections'!$A$4:$EO$14,((MONTH($A39)-1)*12)+VLOOKUP(AH$4,$DE$6:$DF$17,2)+1))*(VLOOKUP($A39,CURVES!$D$9:$T$261,8))*(INDEX(DailyScalarsTable,AH$5/100,MONTH($A39)))*$C39</f>
        <v>-7121.9380527666908</v>
      </c>
      <c r="AI39" s="1021">
        <f>(VLOOKUP(YEAR($A39),'NY East Load Projections'!$A$4:$EO$14,((MONTH($A39)-1)*12)+VLOOKUP(AI$4,$DE$6:$DF$17,2)+1))*(VLOOKUP($A39,CURVES!$D$9:$T$261,8))*(INDEX(DailyScalarsTable,AI$5/100,MONTH($A39)))*$C39</f>
        <v>-6841.391225344124</v>
      </c>
      <c r="AJ39" s="1021">
        <f>(VLOOKUP(YEAR($A39),'NY East Load Projections'!$A$4:$EO$14,((MONTH($A39)-1)*12)+VLOOKUP(AJ$4,$DE$6:$DF$17,2)+1))*(VLOOKUP($A39,CURVES!$D$9:$T$261,8))*(INDEX(DailyScalarsTable,AJ$5/100,MONTH($A39)))*$C39</f>
        <v>-6845.3425891106381</v>
      </c>
      <c r="AK39" s="1021">
        <f>(VLOOKUP(YEAR($A39),'NY East Load Projections'!$A$4:$EO$14,((MONTH($A39)-1)*12)+VLOOKUP(AK$4,$DE$6:$DF$17,2)+1))*(VLOOKUP($A39,CURVES!$D$9:$T$261,8))*(INDEX(DailyScalarsTable,AK$5/100,MONTH($A39)))*$C39</f>
        <v>-7434.0479085532261</v>
      </c>
      <c r="AL39" s="1021">
        <f>(VLOOKUP(YEAR($A39),'NY East Load Projections'!$A$4:$EO$14,((MONTH($A39)-1)*12)+VLOOKUP(AL$4,$DE$6:$DF$17,2)+1))*(VLOOKUP($A39,CURVES!$D$9:$T$261,8))*(INDEX(DailyScalarsTable,AL$5/100,MONTH($A39)))*$C39</f>
        <v>-8540.529513075071</v>
      </c>
      <c r="AM39" s="1021">
        <f>(VLOOKUP(YEAR($A39),'NY East Load Projections'!$A$4:$EO$14,((MONTH($A39)-1)*12)+VLOOKUP(AM$4,$DE$6:$DF$17,2)+1))*(VLOOKUP($A39,CURVES!$D$9:$T$261,8))*(INDEX(DailyScalarsTable,AM$5/100,MONTH($A39)))*$C39</f>
        <v>-11040.744654257138</v>
      </c>
      <c r="AN39" s="1021">
        <f>(VLOOKUP(YEAR($A39),'NY East Load Projections'!$A$4:$EO$14,((MONTH($A39)-1)*12)+VLOOKUP(AN$4,$DE$6:$DF$17,2)+1))*(VLOOKUP($A39,SatSunCurve,4))*(INDEX(DailyScalarsTable,AN$5/100,MONTH($A39)))*$C39</f>
        <v>-10022.083474822124</v>
      </c>
      <c r="AO39" s="1021">
        <f>(VLOOKUP(YEAR($A39),'NY East Load Projections'!$A$4:$EO$14,((MONTH($A39)-1)*12)+VLOOKUP(AO$4,$DE$6:$DF$17,2)+1))*(VLOOKUP($A39,SatSunCurve,4))*(INDEX(DailyScalarsTable,AO$5/100,MONTH($A39)))*$C39</f>
        <v>-11928.323602559787</v>
      </c>
      <c r="AP39" s="1021">
        <f>(VLOOKUP(YEAR($A39),'NY East Load Projections'!$A$4:$EO$14,((MONTH($A39)-1)*12)+VLOOKUP(AP$4,$DE$6:$DF$17,2)+1))*(VLOOKUP($A39,SatSunCurve,4))*(INDEX(DailyScalarsTable,AP$5/100,MONTH($A39)))*$C39</f>
        <v>-11891.462281167451</v>
      </c>
      <c r="AQ39" s="1021">
        <f>(VLOOKUP(YEAR($A39),'NY East Load Projections'!$A$4:$EO$14,((MONTH($A39)-1)*12)+VLOOKUP(AQ$4,$DE$6:$DF$17,2)+1))*(VLOOKUP($A39,SatSunCurve,4))*(INDEX(DailyScalarsTable,AQ$5/100,MONTH($A39)))*$C39</f>
        <v>-11824.058722050038</v>
      </c>
      <c r="AR39" s="1021">
        <f>(VLOOKUP(YEAR($A39),'NY East Load Projections'!$A$4:$EO$14,((MONTH($A39)-1)*12)+VLOOKUP(AR$4,$DE$6:$DF$17,2)+1))*(VLOOKUP($A39,SatSunCurve,4))*(INDEX(DailyScalarsTable,AR$5/100,MONTH($A39)))*$C39</f>
        <v>-9977.8331105996313</v>
      </c>
      <c r="AS39" s="1021">
        <f>(VLOOKUP(YEAR($A39),'NY East Load Projections'!$A$4:$EO$14,((MONTH($A39)-1)*12)+VLOOKUP(AS$4,$DE$6:$DF$17,2)+1))*(VLOOKUP($A39,SatSunCurve,4))*(INDEX(DailyScalarsTable,AS$5/100,MONTH($A39)))*$C39</f>
        <v>-9383.9310758995016</v>
      </c>
      <c r="AT39" s="1021">
        <f>(VLOOKUP(YEAR($A39),'NY East Load Projections'!$A$4:$EO$14,((MONTH($A39)-1)*12)+VLOOKUP(AT$4,$DE$6:$DF$17,2)+1))*(VLOOKUP($A39,SatSunCurve,4))*(INDEX(DailyScalarsTable,AT$5/100,MONTH($A39)))*$C39</f>
        <v>-9123.4713640501723</v>
      </c>
      <c r="AU39" s="1021">
        <f>(VLOOKUP(YEAR($A39),'NY East Load Projections'!$A$4:$EO$14,((MONTH($A39)-1)*12)+VLOOKUP(AU$4,$DE$6:$DF$17,2)+1))*(VLOOKUP($A39,SatSunCurve,4))*(INDEX(DailyScalarsTable,AU$5/100,MONTH($A39)))*$C39</f>
        <v>-8911.5183191849301</v>
      </c>
      <c r="AV39" s="1021">
        <f>(VLOOKUP(YEAR($A39),'NY East Load Projections'!$A$4:$EO$14,((MONTH($A39)-1)*12)+VLOOKUP(AV$4,$DE$6:$DF$17,2)+1))*(VLOOKUP($A39,SatSunCurve,4))*(INDEX(DailyScalarsTable,AV$5/100,MONTH($A39)))*$C39</f>
        <v>-8850.3577390745613</v>
      </c>
      <c r="AW39" s="1021">
        <f>(VLOOKUP(YEAR($A39),'NY East Load Projections'!$A$4:$EO$14,((MONTH($A39)-1)*12)+VLOOKUP(AW$4,$DE$6:$DF$17,2)+1))*(VLOOKUP($A39,SatSunCurve,4))*(INDEX(DailyScalarsTable,AW$5/100,MONTH($A39)))*$C39</f>
        <v>-8721.017837434616</v>
      </c>
      <c r="AX39" s="1021">
        <f>(VLOOKUP(YEAR($A39),'NY East Load Projections'!$A$4:$EO$14,((MONTH($A39)-1)*12)+VLOOKUP(AX$4,$DE$6:$DF$17,2)+1))*(VLOOKUP($A39,SatSunCurve,4))*(INDEX(DailyScalarsTable,AX$5/100,MONTH($A39)))*$C39</f>
        <v>-11764.943240451083</v>
      </c>
      <c r="AY39" s="1021">
        <f>(VLOOKUP(YEAR($A39),'NY East Load Projections'!$A$4:$EO$14,((MONTH($A39)-1)*12)+VLOOKUP(AY$4,$DE$6:$DF$17,2)+1))*(VLOOKUP($A39,SatSunCurve,4))*(INDEX(DailyScalarsTable,AY$5/100,MONTH($A39)))*$C39</f>
        <v>-11857.094283247716</v>
      </c>
      <c r="AZ39" s="1021">
        <f>(VLOOKUP(YEAR($A39),'NY East Load Projections'!$A$4:$EO$14,((MONTH($A39)-1)*12)+VLOOKUP(AZ$4,$DE$6:$DF$17,2)+1))*(VLOOKUP($A39,SatSunCurve,4))*(INDEX(DailyScalarsTable,AZ$5/100,MONTH($A39)))*$C39</f>
        <v>-11339.479915198541</v>
      </c>
      <c r="BA39" s="1021">
        <f>(VLOOKUP(YEAR($A39),'NY East Load Projections'!$A$4:$EO$14,((MONTH($A39)-1)*12)+VLOOKUP(BA$4,$DE$6:$DF$17,2)+1))*(VLOOKUP($A39,SatSunCurve,4))*(INDEX(DailyScalarsTable,BA$5/100,MONTH($A39)))*$C39</f>
        <v>-10159.15451436619</v>
      </c>
      <c r="BB39" s="1021">
        <f>(VLOOKUP(YEAR($A39),'NY East Load Projections'!$A$4:$EO$14,((MONTH($A39)-1)*12)+VLOOKUP(BB$4,$DE$6:$DF$17,2)+1))*(VLOOKUP($A39,SatSunCurve,4))*(INDEX(DailyScalarsTable,BB$5/100,MONTH($A39)))*$C39</f>
        <v>-8427.4696490677343</v>
      </c>
      <c r="BC39" s="1021">
        <f>(VLOOKUP(YEAR($A39),'NY East Load Projections'!$A$4:$EO$14,((MONTH($A39)-1)*12)+VLOOKUP(BC$4,$DE$6:$DF$17,2)+1))*(VLOOKUP($A39,SatSunCurve,4))*(INDEX(DailyScalarsTable,BC$5/100,MONTH($A39)))*$C39</f>
        <v>-7185.2566309859112</v>
      </c>
      <c r="BD39" s="1021">
        <f>(VLOOKUP(YEAR($A39),'NY East Load Projections'!$A$4:$EO$14,((MONTH($A39)-1)*12)+VLOOKUP(BD$4,$DE$6:$DF$17,2)+1))*(VLOOKUP($A39,CURVES!$D$9:$T$261,8))*(INDEX(DailyScalarsTable,BD$5/100,MONTH($A39)))*$C39</f>
        <v>-8485.1292109606438</v>
      </c>
      <c r="BE39" s="1021"/>
      <c r="BF39" s="1021">
        <f>(VLOOKUP(YEAR($A39),'NY East Load Projections'!$A$4:$EO$14,((MONTH($A39)-1)*12)+VLOOKUP(BF$4,$DE$6:$DF$17,2)+1))*(VLOOKUP($A39,CURVES!$D$9:$T$261,8))*(INDEX(DailyScalarsTable,BF$5/100,MONTH($A39)))*$D39</f>
        <v>-7503.6397926120426</v>
      </c>
      <c r="BG39" s="1021">
        <f>(VLOOKUP(YEAR($A39),'NY East Load Projections'!$A$4:$EO$14,((MONTH($A39)-1)*12)+VLOOKUP(BG$4,$DE$6:$DF$17,2)+1))*(VLOOKUP($A39,CURVES!$D$9:$T$261,8))*(INDEX(DailyScalarsTable,BG$5/100,MONTH($A39)))*$D39</f>
        <v>-7121.9380527666908</v>
      </c>
      <c r="BH39" s="1021">
        <f>(VLOOKUP(YEAR($A39),'NY East Load Projections'!$A$4:$EO$14,((MONTH($A39)-1)*12)+VLOOKUP(BH$4,$DE$6:$DF$17,2)+1))*(VLOOKUP($A39,CURVES!$D$9:$T$261,8))*(INDEX(DailyScalarsTable,BH$5/100,MONTH($A39)))*$D39</f>
        <v>-6841.391225344124</v>
      </c>
      <c r="BI39" s="1021">
        <f>(VLOOKUP(YEAR($A39),'NY East Load Projections'!$A$4:$EO$14,((MONTH($A39)-1)*12)+VLOOKUP(BI$4,$DE$6:$DF$17,2)+1))*(VLOOKUP($A39,CURVES!$D$9:$T$261,8))*(INDEX(DailyScalarsTable,BI$5/100,MONTH($A39)))*$D39</f>
        <v>-6845.3425891106381</v>
      </c>
      <c r="BJ39" s="1021">
        <f>(VLOOKUP(YEAR($A39),'NY East Load Projections'!$A$4:$EO$14,((MONTH($A39)-1)*12)+VLOOKUP(BJ$4,$DE$6:$DF$17,2)+1))*(VLOOKUP($A39,CURVES!$D$9:$T$261,8))*(INDEX(DailyScalarsTable,BJ$5/100,MONTH($A39)))*$D39</f>
        <v>-7434.0479085532261</v>
      </c>
      <c r="BK39" s="1021">
        <f>(VLOOKUP(YEAR($A39),'NY East Load Projections'!$A$4:$EO$14,((MONTH($A39)-1)*12)+VLOOKUP(BK$4,$DE$6:$DF$17,2)+1))*(VLOOKUP($A39,CURVES!$D$9:$T$261,8))*(INDEX(DailyScalarsTable,BK$5/100,MONTH($A39)))*$D39</f>
        <v>-8540.529513075071</v>
      </c>
      <c r="BL39" s="1021">
        <f>(VLOOKUP(YEAR($A39),'NY East Load Projections'!$A$4:$EO$14,((MONTH($A39)-1)*12)+VLOOKUP(BL$4,$DE$6:$DF$17,2)+1))*(VLOOKUP($A39,CURVES!$D$9:$T$261,8))*(INDEX(DailyScalarsTable,BL$5/100,MONTH($A39)))*$D39</f>
        <v>-11040.744654257138</v>
      </c>
      <c r="BM39" s="1021">
        <f>(VLOOKUP(YEAR($A39),'NY East Load Projections'!$A$4:$EO$14,((MONTH($A39)-1)*12)+VLOOKUP(BM$4,$DE$6:$DF$17,2)+1))*(VLOOKUP($A39,SatSunCurve,8))*(INDEX(DailyScalarsTable,BM$5/100,MONTH($A39)))*$D39</f>
        <v>-10335.977920276597</v>
      </c>
      <c r="BN39" s="1021">
        <f>(VLOOKUP(YEAR($A39),'NY East Load Projections'!$A$4:$EO$14,((MONTH($A39)-1)*12)+VLOOKUP(BN$4,$DE$6:$DF$17,2)+1))*(VLOOKUP($A39,SatSunCurve,8))*(INDEX(DailyScalarsTable,BN$5/100,MONTH($A39)))*$D39</f>
        <v>-12301.922019678685</v>
      </c>
      <c r="BO39" s="1021">
        <f>(VLOOKUP(YEAR($A39),'NY East Load Projections'!$A$4:$EO$14,((MONTH($A39)-1)*12)+VLOOKUP(BO$4,$DE$6:$DF$17,2)+1))*(VLOOKUP($A39,SatSunCurve,8))*(INDEX(DailyScalarsTable,BO$5/100,MONTH($A39)))*$D39</f>
        <v>-12263.906191434931</v>
      </c>
      <c r="BP39" s="1021">
        <f>(VLOOKUP(YEAR($A39),'NY East Load Projections'!$A$4:$EO$14,((MONTH($A39)-1)*12)+VLOOKUP(BP$4,$DE$6:$DF$17,2)+1))*(VLOOKUP($A39,SatSunCurve,8))*(INDEX(DailyScalarsTable,BP$5/100,MONTH($A39)))*$D39</f>
        <v>-12194.391534074924</v>
      </c>
      <c r="BQ39" s="1021">
        <f>(VLOOKUP(YEAR($A39),'NY East Load Projections'!$A$4:$EO$14,((MONTH($A39)-1)*12)+VLOOKUP(BQ$4,$DE$6:$DF$17,2)+1))*(VLOOKUP($A39,SatSunCurve,8))*(INDEX(DailyScalarsTable,BQ$5/100,MONTH($A39)))*$D39</f>
        <v>-10290.341622323491</v>
      </c>
      <c r="BR39" s="1021">
        <f>(VLOOKUP(YEAR($A39),'NY East Load Projections'!$A$4:$EO$14,((MONTH($A39)-1)*12)+VLOOKUP(BR$4,$DE$6:$DF$17,2)+1))*(VLOOKUP($A39,SatSunCurve,8))*(INDEX(DailyScalarsTable,BR$5/100,MONTH($A39)))*$D39</f>
        <v>-9677.8384105023761</v>
      </c>
      <c r="BS39" s="1021">
        <f>(VLOOKUP(YEAR($A39),'NY East Load Projections'!$A$4:$EO$14,((MONTH($A39)-1)*12)+VLOOKUP(BS$4,$DE$6:$DF$17,2)+1))*(VLOOKUP($A39,SatSunCurve,8))*(INDEX(DailyScalarsTable,BS$5/100,MONTH($A39)))*$D39</f>
        <v>-9409.221027943202</v>
      </c>
      <c r="BT39" s="1021">
        <f>(VLOOKUP(YEAR($A39),'NY East Load Projections'!$A$4:$EO$14,((MONTH($A39)-1)*12)+VLOOKUP(BT$4,$DE$6:$DF$17,2)+1))*(VLOOKUP($A39,SatSunCurve,8))*(INDEX(DailyScalarsTable,BT$5/100,MONTH($A39)))*$D39</f>
        <v>-9190.6295546865458</v>
      </c>
      <c r="BU39" s="1021">
        <f>(VLOOKUP(YEAR($A39),'NY East Load Projections'!$A$4:$EO$14,((MONTH($A39)-1)*12)+VLOOKUP(BU$4,$DE$6:$DF$17,2)+1))*(VLOOKUP($A39,SatSunCurve,8))*(INDEX(DailyScalarsTable,BU$5/100,MONTH($A39)))*$D39</f>
        <v>-9127.5534081746773</v>
      </c>
      <c r="BV39" s="1021">
        <f>(VLOOKUP(YEAR($A39),'NY East Load Projections'!$A$4:$EO$14,((MONTH($A39)-1)*12)+VLOOKUP(BV$4,$DE$6:$DF$17,2)+1))*(VLOOKUP($A39,SatSunCurve,8))*(INDEX(DailyScalarsTable,BV$5/100,MONTH($A39)))*$D39</f>
        <v>-8994.1625447958468</v>
      </c>
      <c r="BW39" s="1021">
        <f>(VLOOKUP(YEAR($A39),'NY East Load Projections'!$A$4:$EO$14,((MONTH($A39)-1)*12)+VLOOKUP(BW$4,$DE$6:$DF$17,2)+1))*(VLOOKUP($A39,SatSunCurve,8))*(INDEX(DailyScalarsTable,BW$5/100,MONTH($A39)))*$D39</f>
        <v>-12133.424539129379</v>
      </c>
      <c r="BX39" s="1021">
        <f>(VLOOKUP(YEAR($A39),'NY East Load Projections'!$A$4:$EO$14,((MONTH($A39)-1)*12)+VLOOKUP(BX$4,$DE$6:$DF$17,2)+1))*(VLOOKUP($A39,SatSunCurve,8))*(INDEX(DailyScalarsTable,BX$5/100,MONTH($A39)))*$D39</f>
        <v>-12228.461778249299</v>
      </c>
      <c r="BY39" s="1021">
        <f>(VLOOKUP(YEAR($A39),'NY East Load Projections'!$A$4:$EO$14,((MONTH($A39)-1)*12)+VLOOKUP(BY$4,$DE$6:$DF$17,2)+1))*(VLOOKUP($A39,SatSunCurve,8))*(INDEX(DailyScalarsTable,BY$5/100,MONTH($A39)))*$D39</f>
        <v>-11694.63558404379</v>
      </c>
      <c r="BZ39" s="1021">
        <f>(VLOOKUP(YEAR($A39),'NY East Load Projections'!$A$4:$EO$14,((MONTH($A39)-1)*12)+VLOOKUP(BZ$4,$DE$6:$DF$17,2)+1))*(VLOOKUP($A39,SatSunCurve,8))*(INDEX(DailyScalarsTable,BZ$5/100,MONTH($A39)))*$D39</f>
        <v>-10477.342062951728</v>
      </c>
      <c r="CA39" s="1021">
        <f>(VLOOKUP(YEAR($A39),'NY East Load Projections'!$A$4:$EO$14,((MONTH($A39)-1)*12)+VLOOKUP(CA$4,$DE$6:$DF$17,2)+1))*(VLOOKUP($A39,SatSunCurve,8))*(INDEX(DailyScalarsTable,CA$5/100,MONTH($A39)))*$D39</f>
        <v>-8691.4203454198687</v>
      </c>
      <c r="CB39" s="1021">
        <f>(VLOOKUP(YEAR($A39),'NY East Load Projections'!$A$4:$EO$14,((MONTH($A39)-1)*12)+VLOOKUP(CB$4,$DE$6:$DF$17,2)+1))*(VLOOKUP($A39,SatSunCurve,8))*(INDEX(DailyScalarsTable,CB$5/100,MONTH($A39)))*$D39</f>
        <v>-7410.3008696711631</v>
      </c>
      <c r="CC39" s="1021">
        <f>(VLOOKUP(YEAR($A39),'NY East Load Projections'!$A$4:$EO$14,((MONTH($A39)-1)*12)+VLOOKUP(CC$4,$DE$6:$DF$17,2)+1))*(VLOOKUP($A39,CURVES!$D$9:$T$261,8))*(INDEX(DailyScalarsTable,CC$5/100,MONTH($A39)))*$D39</f>
        <v>-8485.1292109606438</v>
      </c>
      <c r="CE39" s="1021">
        <f>(VLOOKUP(YEAR($A39),'NY East Load Projections'!$A$4:$EO$14,((MONTH($A39)-1)*12)+VLOOKUP(CE$4,$DE$6:$DF$17,2)+1))*(VLOOKUP($A39,CURVES!$D$9:$T$261,8))*(INDEX(DailyScalarsTable,CE$5/100,MONTH($A39)))*$E39</f>
        <v>0</v>
      </c>
      <c r="CF39" s="1021">
        <f>(VLOOKUP(YEAR($A39),'NY East Load Projections'!$A$4:$EO$14,((MONTH($A39)-1)*12)+VLOOKUP(CF$4,$DE$6:$DF$17,2)+1))*(VLOOKUP($A39,CURVES!$D$9:$T$261,8))*(INDEX(DailyScalarsTable,CF$5/100,MONTH($A39)))*$E39</f>
        <v>0</v>
      </c>
      <c r="CG39" s="1021">
        <f>(VLOOKUP(YEAR($A39),'NY East Load Projections'!$A$4:$EO$14,((MONTH($A39)-1)*12)+VLOOKUP(CG$4,$DE$6:$DF$17,2)+1))*(VLOOKUP($A39,CURVES!$D$9:$T$261,8))*(INDEX(DailyScalarsTable,CG$5/100,MONTH($A39)))*$E39</f>
        <v>0</v>
      </c>
      <c r="CH39" s="1021">
        <f>(VLOOKUP(YEAR($A39),'NY East Load Projections'!$A$4:$EO$14,((MONTH($A39)-1)*12)+VLOOKUP(CH$4,$DE$6:$DF$17,2)+1))*(VLOOKUP($A39,CURVES!$D$9:$T$261,8))*(INDEX(DailyScalarsTable,CH$5/100,MONTH($A39)))*$E39</f>
        <v>0</v>
      </c>
      <c r="CI39" s="1021">
        <f>(VLOOKUP(YEAR($A39),'NY East Load Projections'!$A$4:$EO$14,((MONTH($A39)-1)*12)+VLOOKUP(CI$4,$DE$6:$DF$17,2)+1))*(VLOOKUP($A39,CURVES!$D$9:$T$261,8))*(INDEX(DailyScalarsTable,CI$5/100,MONTH($A39)))*$E39</f>
        <v>0</v>
      </c>
      <c r="CJ39" s="1021">
        <f>(VLOOKUP(YEAR($A39),'NY East Load Projections'!$A$4:$EO$14,((MONTH($A39)-1)*12)+VLOOKUP(CJ$4,$DE$6:$DF$17,2)+1))*(VLOOKUP($A39,CURVES!$D$9:$T$261,8))*(INDEX(DailyScalarsTable,CJ$5/100,MONTH($A39)))*$E39</f>
        <v>0</v>
      </c>
      <c r="CK39" s="1021">
        <f>(VLOOKUP(YEAR($A39),'NY East Load Projections'!$A$4:$EO$14,((MONTH($A39)-1)*12)+VLOOKUP(CK$4,$DE$6:$DF$17,2)+1))*(VLOOKUP($A39,CURVES!$D$9:$T$261,8))*(INDEX(DailyScalarsTable,CK$5/100,MONTH($A39)))*$E39</f>
        <v>0</v>
      </c>
      <c r="CL39" s="1021">
        <f>(VLOOKUP(YEAR($A39),'NY East Load Projections'!$A$4:$EO$14,((MONTH($A39)-1)*12)+VLOOKUP(CL$4,$DE$6:$DF$17,2)+1))*(VLOOKUP($A39,SatSunCurve,8))*(INDEX(DailyScalarsTable,CL$5/100,MONTH($A39)))*$E39</f>
        <v>0</v>
      </c>
      <c r="CM39" s="1021">
        <f>(VLOOKUP(YEAR($A39),'NY East Load Projections'!$A$4:$EO$14,((MONTH($A39)-1)*12)+VLOOKUP(CM$4,$DE$6:$DF$17,2)+1))*(VLOOKUP($A39,SatSunCurve,8))*(INDEX(DailyScalarsTable,CM$5/100,MONTH($A39)))*$E39</f>
        <v>0</v>
      </c>
      <c r="CN39" s="1021">
        <f>(VLOOKUP(YEAR($A39),'NY East Load Projections'!$A$4:$EO$14,((MONTH($A39)-1)*12)+VLOOKUP(CN$4,$DE$6:$DF$17,2)+1))*(VLOOKUP($A39,SatSunCurve,8))*(INDEX(DailyScalarsTable,CN$5/100,MONTH($A39)))*$E39</f>
        <v>0</v>
      </c>
      <c r="CO39" s="1021">
        <f>(VLOOKUP(YEAR($A39),'NY East Load Projections'!$A$4:$EO$14,((MONTH($A39)-1)*12)+VLOOKUP(CO$4,$DE$6:$DF$17,2)+1))*(VLOOKUP($A39,SatSunCurve,8))*(INDEX(DailyScalarsTable,CO$5/100,MONTH($A39)))*$E39</f>
        <v>0</v>
      </c>
      <c r="CP39" s="1021">
        <f>(VLOOKUP(YEAR($A39),'NY East Load Projections'!$A$4:$EO$14,((MONTH($A39)-1)*12)+VLOOKUP(CP$4,$DE$6:$DF$17,2)+1))*(VLOOKUP($A39,SatSunCurve,8))*(INDEX(DailyScalarsTable,CP$5/100,MONTH($A39)))*$E39</f>
        <v>0</v>
      </c>
      <c r="CQ39" s="1021">
        <f>(VLOOKUP(YEAR($A39),'NY East Load Projections'!$A$4:$EO$14,((MONTH($A39)-1)*12)+VLOOKUP(CQ$4,$DE$6:$DF$17,2)+1))*(VLOOKUP($A39,SatSunCurve,8))*(INDEX(DailyScalarsTable,CQ$5/100,MONTH($A39)))*$E39</f>
        <v>0</v>
      </c>
      <c r="CR39" s="1021">
        <f>(VLOOKUP(YEAR($A39),'NY East Load Projections'!$A$4:$EO$14,((MONTH($A39)-1)*12)+VLOOKUP(CR$4,$DE$6:$DF$17,2)+1))*(VLOOKUP($A39,SatSunCurve,8))*(INDEX(DailyScalarsTable,CR$5/100,MONTH($A39)))*$E39</f>
        <v>0</v>
      </c>
      <c r="CS39" s="1021">
        <f>(VLOOKUP(YEAR($A39),'NY East Load Projections'!$A$4:$EO$14,((MONTH($A39)-1)*12)+VLOOKUP(CS$4,$DE$6:$DF$17,2)+1))*(VLOOKUP($A39,SatSunCurve,8))*(INDEX(DailyScalarsTable,CS$5/100,MONTH($A39)))*$E39</f>
        <v>0</v>
      </c>
      <c r="CT39" s="1021">
        <f>(VLOOKUP(YEAR($A39),'NY East Load Projections'!$A$4:$EO$14,((MONTH($A39)-1)*12)+VLOOKUP(CT$4,$DE$6:$DF$17,2)+1))*(VLOOKUP($A39,SatSunCurve,8))*(INDEX(DailyScalarsTable,CT$5/100,MONTH($A39)))*$E39</f>
        <v>0</v>
      </c>
      <c r="CU39" s="1021">
        <f>(VLOOKUP(YEAR($A39),'NY East Load Projections'!$A$4:$EO$14,((MONTH($A39)-1)*12)+VLOOKUP(CU$4,$DE$6:$DF$17,2)+1))*(VLOOKUP($A39,SatSunCurve,8))*(INDEX(DailyScalarsTable,CU$5/100,MONTH($A39)))*$E39</f>
        <v>0</v>
      </c>
      <c r="CV39" s="1021">
        <f>(VLOOKUP(YEAR($A39),'NY East Load Projections'!$A$4:$EO$14,((MONTH($A39)-1)*12)+VLOOKUP(CV$4,$DE$6:$DF$17,2)+1))*(VLOOKUP($A39,SatSunCurve,8))*(INDEX(DailyScalarsTable,CV$5/100,MONTH($A39)))*$E39</f>
        <v>0</v>
      </c>
      <c r="CW39" s="1021">
        <f>(VLOOKUP(YEAR($A39),'NY East Load Projections'!$A$4:$EO$14,((MONTH($A39)-1)*12)+VLOOKUP(CW$4,$DE$6:$DF$17,2)+1))*(VLOOKUP($A39,SatSunCurve,8))*(INDEX(DailyScalarsTable,CW$5/100,MONTH($A39)))*$E39</f>
        <v>0</v>
      </c>
      <c r="CX39" s="1021">
        <f>(VLOOKUP(YEAR($A39),'NY East Load Projections'!$A$4:$EO$14,((MONTH($A39)-1)*12)+VLOOKUP(CX$4,$DE$6:$DF$17,2)+1))*(VLOOKUP($A39,SatSunCurve,8))*(INDEX(DailyScalarsTable,CX$5/100,MONTH($A39)))*$E39</f>
        <v>0</v>
      </c>
      <c r="CY39" s="1021">
        <f>(VLOOKUP(YEAR($A39),'NY East Load Projections'!$A$4:$EO$14,((MONTH($A39)-1)*12)+VLOOKUP(CY$4,$DE$6:$DF$17,2)+1))*(VLOOKUP($A39,SatSunCurve,8))*(INDEX(DailyScalarsTable,CY$5/100,MONTH($A39)))*$E39</f>
        <v>0</v>
      </c>
      <c r="CZ39" s="1021">
        <f>(VLOOKUP(YEAR($A39),'NY East Load Projections'!$A$4:$EO$14,((MONTH($A39)-1)*12)+VLOOKUP(CZ$4,$DE$6:$DF$17,2)+1))*(VLOOKUP($A39,SatSunCurve,8))*(INDEX(DailyScalarsTable,CZ$5/100,MONTH($A39)))*$E39</f>
        <v>0</v>
      </c>
      <c r="DA39" s="1021">
        <f>(VLOOKUP(YEAR($A39),'NY East Load Projections'!$A$4:$EO$14,((MONTH($A39)-1)*12)+VLOOKUP(DA$4,$DE$6:$DF$17,2)+1))*(VLOOKUP($A39,SatSunCurve,8))*(INDEX(DailyScalarsTable,DA$5/100,MONTH($A39)))*$E39</f>
        <v>0</v>
      </c>
      <c r="DB39" s="1021">
        <f>(VLOOKUP(YEAR($A39),'NY East Load Projections'!$A$4:$EO$14,((MONTH($A39)-1)*12)+VLOOKUP(DB$4,$DE$6:$DF$17,2)+1))*(VLOOKUP($A39,CURVES!$D$9:$T$261,8))*(INDEX(DailyScalarsTable,DB$5/100,MONTH($A39)))*$E39</f>
        <v>0</v>
      </c>
      <c r="DH39" s="1021">
        <f t="shared" si="0"/>
        <v>-2060133.2224874224</v>
      </c>
      <c r="DI39">
        <f ca="1">CALC!J59</f>
        <v>0.7676804069152684</v>
      </c>
      <c r="DJ39" s="1029">
        <f t="shared" ca="1" si="1"/>
        <v>-1581523.9105388075</v>
      </c>
    </row>
    <row r="40" spans="1:114" x14ac:dyDescent="0.25">
      <c r="A40" s="244">
        <v>37926</v>
      </c>
      <c r="B40" s="13">
        <v>19</v>
      </c>
      <c r="C40" s="210">
        <v>5</v>
      </c>
      <c r="D40" s="210">
        <v>5</v>
      </c>
      <c r="E40" s="210">
        <v>1</v>
      </c>
      <c r="F40" s="13">
        <v>30</v>
      </c>
      <c r="H40" s="1021">
        <f>(VLOOKUP(YEAR($A40),'NY East Load Projections'!$A$4:$EO$14,((MONTH($A40)-1)*12)+VLOOKUP(H$4,$DE$6:$DF$17,2)+1))*(VLOOKUP($A40,CURVES!$D$9:$K$261,8))*(INDEX(DailyScalarsTable,H$5/100,MONTH($A40)))*$B40</f>
        <v>-32013.380098439931</v>
      </c>
      <c r="I40" s="1021">
        <f>(VLOOKUP(YEAR($A40),'NY East Load Projections'!$A$4:$EO$14,((MONTH($A40)-1)*12)+VLOOKUP(I$4,$DE$6:$DF$17,2)+1))*(VLOOKUP($A40,CURVES!$D$9:$K$261,8))*(INDEX(DailyScalarsTable,I$5/100,MONTH($A40)))*$B40</f>
        <v>-30349.855344534983</v>
      </c>
      <c r="J40" s="1021">
        <f>(VLOOKUP(YEAR($A40),'NY East Load Projections'!$A$4:$EO$14,((MONTH($A40)-1)*12)+VLOOKUP(J$4,$DE$6:$DF$17,2)+1))*(VLOOKUP($A40,CURVES!$D$9:$K$261,8))*(INDEX(DailyScalarsTable,J$5/100,MONTH($A40)))*$B40</f>
        <v>-29127.181871167992</v>
      </c>
      <c r="K40" s="1021">
        <f>(VLOOKUP(YEAR($A40),'NY East Load Projections'!$A$4:$EO$14,((MONTH($A40)-1)*12)+VLOOKUP(K$4,$DE$6:$DF$17,2)+1))*(VLOOKUP($A40,CURVES!$D$9:$K$261,8))*(INDEX(DailyScalarsTable,K$5/100,MONTH($A40)))*$B40</f>
        <v>-29144.402624314003</v>
      </c>
      <c r="L40" s="1021">
        <f>(VLOOKUP(YEAR($A40),'NY East Load Projections'!$A$4:$EO$14,((MONTH($A40)-1)*12)+VLOOKUP(L$4,$DE$6:$DF$17,2)+1))*(VLOOKUP($A40,CURVES!$D$9:$K$261,8))*(INDEX(DailyScalarsTable,L$5/100,MONTH($A40)))*$B40</f>
        <v>-34334.4411155587</v>
      </c>
      <c r="M40" s="1021">
        <f>(VLOOKUP(YEAR($A40),'NY East Load Projections'!$A$4:$EO$14,((MONTH($A40)-1)*12)+VLOOKUP(M$4,$DE$6:$DF$17,2)+1))*(VLOOKUP($A40,CURVES!$D$9:$K$261,8))*(INDEX(DailyScalarsTable,M$5/100,MONTH($A40)))*$B40</f>
        <v>-39557.518258234428</v>
      </c>
      <c r="N40" s="1021">
        <f>(VLOOKUP(YEAR($A40),'NY East Load Projections'!$A$4:$EO$14,((MONTH($A40)-1)*12)+VLOOKUP(N$4,$DE$6:$DF$17,2)+1))*(VLOOKUP($A40,CURVES!$D$9:$K$261,8))*(INDEX(DailyScalarsTable,N$5/100,MONTH($A40)))*$B40</f>
        <v>-56662.243694292141</v>
      </c>
      <c r="O40" s="1021">
        <f>(VLOOKUP(YEAR($A40),'NY East Load Projections'!$A$4:$EO$14,((MONTH($A40)-1)*12)+VLOOKUP(O$4,$DE$6:$DF$17,2)+1))*(VLOOKUP($A40,CURVES!$D$9:$K$261,4))*(INDEX(DailyScalarsTable,O$5/100,MONTH($A40)))*$B40</f>
        <v>-64130.789459411018</v>
      </c>
      <c r="P40" s="1021">
        <f>(VLOOKUP(YEAR($A40),'NY East Load Projections'!$A$4:$EO$14,((MONTH($A40)-1)*12)+VLOOKUP(P$4,$DE$6:$DF$17,2)+1))*(VLOOKUP($A40,CURVES!$D$9:$K$261,4))*(INDEX(DailyScalarsTable,P$5/100,MONTH($A40)))*$B40</f>
        <v>-74162.0606004437</v>
      </c>
      <c r="Q40" s="1021">
        <f>(VLOOKUP(YEAR($A40),'NY East Load Projections'!$A$4:$EO$14,((MONTH($A40)-1)*12)+VLOOKUP(Q$4,$DE$6:$DF$17,2)+1))*(VLOOKUP($A40,CURVES!$D$9:$K$261,4))*(INDEX(DailyScalarsTable,Q$5/100,MONTH($A40)))*$B40</f>
        <v>-73681.753188888222</v>
      </c>
      <c r="R40" s="1021">
        <f>(VLOOKUP(YEAR($A40),'NY East Load Projections'!$A$4:$EO$14,((MONTH($A40)-1)*12)+VLOOKUP(R$4,$DE$6:$DF$17,2)+1))*(VLOOKUP($A40,CURVES!$D$9:$K$261,4))*(INDEX(DailyScalarsTable,R$5/100,MONTH($A40)))*$B40</f>
        <v>-72260.302876311893</v>
      </c>
      <c r="S40" s="1021">
        <f>(VLOOKUP(YEAR($A40),'NY East Load Projections'!$A$4:$EO$14,((MONTH($A40)-1)*12)+VLOOKUP(S$4,$DE$6:$DF$17,2)+1))*(VLOOKUP($A40,CURVES!$D$9:$K$261,4))*(INDEX(DailyScalarsTable,S$5/100,MONTH($A40)))*$B40</f>
        <v>-60843.265890824368</v>
      </c>
      <c r="T40" s="1021">
        <f>(VLOOKUP(YEAR($A40),'NY East Load Projections'!$A$4:$EO$14,((MONTH($A40)-1)*12)+VLOOKUP(T$4,$DE$6:$DF$17,2)+1))*(VLOOKUP($A40,CURVES!$D$9:$K$261,4))*(INDEX(DailyScalarsTable,T$5/100,MONTH($A40)))*$B40</f>
        <v>-58056.610505683035</v>
      </c>
      <c r="U40" s="1021">
        <f>(VLOOKUP(YEAR($A40),'NY East Load Projections'!$A$4:$EO$14,((MONTH($A40)-1)*12)+VLOOKUP(U$4,$DE$6:$DF$17,2)+1))*(VLOOKUP($A40,CURVES!$D$9:$K$261,4))*(INDEX(DailyScalarsTable,U$5/100,MONTH($A40)))*$B40</f>
        <v>-56498.176176784298</v>
      </c>
      <c r="V40" s="1021">
        <f>(VLOOKUP(YEAR($A40),'NY East Load Projections'!$A$4:$EO$14,((MONTH($A40)-1)*12)+VLOOKUP(V$4,$DE$6:$DF$17,2)+1))*(VLOOKUP($A40,CURVES!$D$9:$K$261,4))*(INDEX(DailyScalarsTable,V$5/100,MONTH($A40)))*$B40</f>
        <v>-55176.466049743605</v>
      </c>
      <c r="W40" s="1021">
        <f>(VLOOKUP(YEAR($A40),'NY East Load Projections'!$A$4:$EO$14,((MONTH($A40)-1)*12)+VLOOKUP(W$4,$DE$6:$DF$17,2)+1))*(VLOOKUP($A40,CURVES!$D$9:$K$261,4))*(INDEX(DailyScalarsTable,W$5/100,MONTH($A40)))*$B40</f>
        <v>-54269.023275954482</v>
      </c>
      <c r="X40" s="1021">
        <f>(VLOOKUP(YEAR($A40),'NY East Load Projections'!$A$4:$EO$14,((MONTH($A40)-1)*12)+VLOOKUP(X$4,$DE$6:$DF$17,2)+1))*(VLOOKUP($A40,CURVES!$D$9:$K$261,4))*(INDEX(DailyScalarsTable,X$5/100,MONTH($A40)))*$B40</f>
        <v>-55075.070463049888</v>
      </c>
      <c r="Y40" s="1021">
        <f>(VLOOKUP(YEAR($A40),'NY East Load Projections'!$A$4:$EO$14,((MONTH($A40)-1)*12)+VLOOKUP(Y$4,$DE$6:$DF$17,2)+1))*(VLOOKUP($A40,CURVES!$D$9:$K$261,4))*(INDEX(DailyScalarsTable,Y$5/100,MONTH($A40)))*$B40</f>
        <v>-75605.536048475085</v>
      </c>
      <c r="Z40" s="1021">
        <f>(VLOOKUP(YEAR($A40),'NY East Load Projections'!$A$4:$EO$14,((MONTH($A40)-1)*12)+VLOOKUP(Z$4,$DE$6:$DF$17,2)+1))*(VLOOKUP($A40,CURVES!$D$9:$K$261,4))*(INDEX(DailyScalarsTable,Z$5/100,MONTH($A40)))*$B40</f>
        <v>-76214.306283685888</v>
      </c>
      <c r="AA40" s="1021">
        <f>(VLOOKUP(YEAR($A40),'NY East Load Projections'!$A$4:$EO$14,((MONTH($A40)-1)*12)+VLOOKUP(AA$4,$DE$6:$DF$17,2)+1))*(VLOOKUP($A40,CURVES!$D$9:$K$261,4))*(INDEX(DailyScalarsTable,AA$5/100,MONTH($A40)))*$B40</f>
        <v>-73095.911813524479</v>
      </c>
      <c r="AB40" s="1021">
        <f>(VLOOKUP(YEAR($A40),'NY East Load Projections'!$A$4:$EO$14,((MONTH($A40)-1)*12)+VLOOKUP(AB$4,$DE$6:$DF$17,2)+1))*(VLOOKUP($A40,CURVES!$D$9:$K$261,4))*(INDEX(DailyScalarsTable,AB$5/100,MONTH($A40)))*$B40</f>
        <v>-61550.735881839675</v>
      </c>
      <c r="AC40" s="1021">
        <f>(VLOOKUP(YEAR($A40),'NY East Load Projections'!$A$4:$EO$14,((MONTH($A40)-1)*12)+VLOOKUP(AC$4,$DE$6:$DF$17,2)+1))*(VLOOKUP($A40,CURVES!$D$9:$K$261,4))*(INDEX(DailyScalarsTable,AC$5/100,MONTH($A40)))*$B40</f>
        <v>-48962.482708099487</v>
      </c>
      <c r="AD40" s="1021">
        <f>(VLOOKUP(YEAR($A40),'NY East Load Projections'!$A$4:$EO$14,((MONTH($A40)-1)*12)+VLOOKUP(AD$4,$DE$6:$DF$17,2)+1))*(VLOOKUP($A40,CURVES!$D$9:$K$261,4))*(INDEX(DailyScalarsTable,AD$5/100,MONTH($A40)))*$B40</f>
        <v>-41291.957536673603</v>
      </c>
      <c r="AE40" s="1021">
        <f>(VLOOKUP(YEAR($A40),'NY East Load Projections'!$A$4:$EO$14,((MONTH($A40)-1)*12)+VLOOKUP(AE$4,$DE$6:$DF$17,2)+1))*(VLOOKUP($A40,CURVES!$D$9:$K$261,8))*(INDEX(DailyScalarsTable,AE$5/100,MONTH($A40)))*$B40</f>
        <v>-37577.602819072366</v>
      </c>
      <c r="AF40" s="1021"/>
      <c r="AG40" s="1021">
        <f>(VLOOKUP(YEAR($A40),'NY East Load Projections'!$A$4:$EO$14,((MONTH($A40)-1)*12)+VLOOKUP(AG$4,$DE$6:$DF$17,2)+1))*(VLOOKUP($A40,CURVES!$D$9:$T$261,8))*(INDEX(DailyScalarsTable,AG$5/100,MONTH($A40)))*$C40</f>
        <v>-8733.0154318975165</v>
      </c>
      <c r="AH40" s="1021">
        <f>(VLOOKUP(YEAR($A40),'NY East Load Projections'!$A$4:$EO$14,((MONTH($A40)-1)*12)+VLOOKUP(AH$4,$DE$6:$DF$17,2)+1))*(VLOOKUP($A40,CURVES!$D$9:$T$261,8))*(INDEX(DailyScalarsTable,AH$5/100,MONTH($A40)))*$C40</f>
        <v>-8279.2180727144623</v>
      </c>
      <c r="AI40" s="1021">
        <f>(VLOOKUP(YEAR($A40),'NY East Load Projections'!$A$4:$EO$14,((MONTH($A40)-1)*12)+VLOOKUP(AI$4,$DE$6:$DF$17,2)+1))*(VLOOKUP($A40,CURVES!$D$9:$T$261,8))*(INDEX(DailyScalarsTable,AI$5/100,MONTH($A40)))*$C40</f>
        <v>-7945.681711410145</v>
      </c>
      <c r="AJ40" s="1021">
        <f>(VLOOKUP(YEAR($A40),'NY East Load Projections'!$A$4:$EO$14,((MONTH($A40)-1)*12)+VLOOKUP(AJ$4,$DE$6:$DF$17,2)+1))*(VLOOKUP($A40,CURVES!$D$9:$T$261,8))*(INDEX(DailyScalarsTable,AJ$5/100,MONTH($A40)))*$C40</f>
        <v>-7950.3794066397822</v>
      </c>
      <c r="AK40" s="1021">
        <f>(VLOOKUP(YEAR($A40),'NY East Load Projections'!$A$4:$EO$14,((MONTH($A40)-1)*12)+VLOOKUP(AK$4,$DE$6:$DF$17,2)+1))*(VLOOKUP($A40,CURVES!$D$9:$T$261,8))*(INDEX(DailyScalarsTable,AK$5/100,MONTH($A40)))*$C40</f>
        <v>-8644.9347818331335</v>
      </c>
      <c r="AL40" s="1021">
        <f>(VLOOKUP(YEAR($A40),'NY East Load Projections'!$A$4:$EO$14,((MONTH($A40)-1)*12)+VLOOKUP(AL$4,$DE$6:$DF$17,2)+1))*(VLOOKUP($A40,CURVES!$D$9:$T$261,8))*(INDEX(DailyScalarsTable,AL$5/100,MONTH($A40)))*$C40</f>
        <v>-9960.0329687220346</v>
      </c>
      <c r="AM40" s="1021">
        <f>(VLOOKUP(YEAR($A40),'NY East Load Projections'!$A$4:$EO$14,((MONTH($A40)-1)*12)+VLOOKUP(AM$4,$DE$6:$DF$17,2)+1))*(VLOOKUP($A40,CURVES!$D$9:$T$261,8))*(INDEX(DailyScalarsTable,AM$5/100,MONTH($A40)))*$C40</f>
        <v>-14266.764957112373</v>
      </c>
      <c r="AN40" s="1021">
        <f>(VLOOKUP(YEAR($A40),'NY East Load Projections'!$A$4:$EO$14,((MONTH($A40)-1)*12)+VLOOKUP(AN$4,$DE$6:$DF$17,2)+1))*(VLOOKUP($A40,SatSunCurve,4))*(INDEX(DailyScalarsTable,AN$5/100,MONTH($A40)))*$C40</f>
        <v>-12583.452180807359</v>
      </c>
      <c r="AO40" s="1021">
        <f>(VLOOKUP(YEAR($A40),'NY East Load Projections'!$A$4:$EO$14,((MONTH($A40)-1)*12)+VLOOKUP(AO$4,$DE$6:$DF$17,2)+1))*(VLOOKUP($A40,SatSunCurve,4))*(INDEX(DailyScalarsTable,AO$5/100,MONTH($A40)))*$C40</f>
        <v>-14267.121202135584</v>
      </c>
      <c r="AP40" s="1021">
        <f>(VLOOKUP(YEAR($A40),'NY East Load Projections'!$A$4:$EO$14,((MONTH($A40)-1)*12)+VLOOKUP(AP$4,$DE$6:$DF$17,2)+1))*(VLOOKUP($A40,SatSunCurve,4))*(INDEX(DailyScalarsTable,AP$5/100,MONTH($A40)))*$C40</f>
        <v>-14174.720802261783</v>
      </c>
      <c r="AQ40" s="1021">
        <f>(VLOOKUP(YEAR($A40),'NY East Load Projections'!$A$4:$EO$14,((MONTH($A40)-1)*12)+VLOOKUP(AQ$4,$DE$6:$DF$17,2)+1))*(VLOOKUP($A40,SatSunCurve,4))*(INDEX(DailyScalarsTable,AQ$5/100,MONTH($A40)))*$C40</f>
        <v>-13901.26556479743</v>
      </c>
      <c r="AR40" s="1021">
        <f>(VLOOKUP(YEAR($A40),'NY East Load Projections'!$A$4:$EO$14,((MONTH($A40)-1)*12)+VLOOKUP(AR$4,$DE$6:$DF$17,2)+1))*(VLOOKUP($A40,SatSunCurve,4))*(INDEX(DailyScalarsTable,AR$5/100,MONTH($A40)))*$C40</f>
        <v>-11704.883086716171</v>
      </c>
      <c r="AS40" s="1021">
        <f>(VLOOKUP(YEAR($A40),'NY East Load Projections'!$A$4:$EO$14,((MONTH($A40)-1)*12)+VLOOKUP(AS$4,$DE$6:$DF$17,2)+1))*(VLOOKUP($A40,SatSunCurve,4))*(INDEX(DailyScalarsTable,AS$5/100,MONTH($A40)))*$C40</f>
        <v>-11125.739996156721</v>
      </c>
      <c r="AT40" s="1021">
        <f>(VLOOKUP(YEAR($A40),'NY East Load Projections'!$A$4:$EO$14,((MONTH($A40)-1)*12)+VLOOKUP(AT$4,$DE$6:$DF$17,2)+1))*(VLOOKUP($A40,SatSunCurve,4))*(INDEX(DailyScalarsTable,AT$5/100,MONTH($A40)))*$C40</f>
        <v>-10827.087784231346</v>
      </c>
      <c r="AU40" s="1021">
        <f>(VLOOKUP(YEAR($A40),'NY East Load Projections'!$A$4:$EO$14,((MONTH($A40)-1)*12)+VLOOKUP(AU$4,$DE$6:$DF$17,2)+1))*(VLOOKUP($A40,SatSunCurve,4))*(INDEX(DailyScalarsTable,AU$5/100,MONTH($A40)))*$C40</f>
        <v>-10573.800465256661</v>
      </c>
      <c r="AV40" s="1021">
        <f>(VLOOKUP(YEAR($A40),'NY East Load Projections'!$A$4:$EO$14,((MONTH($A40)-1)*12)+VLOOKUP(AV$4,$DE$6:$DF$17,2)+1))*(VLOOKUP($A40,SatSunCurve,4))*(INDEX(DailyScalarsTable,AV$5/100,MONTH($A40)))*$C40</f>
        <v>-10399.901708945683</v>
      </c>
      <c r="AW40" s="1021">
        <f>(VLOOKUP(YEAR($A40),'NY East Load Projections'!$A$4:$EO$14,((MONTH($A40)-1)*12)+VLOOKUP(AW$4,$DE$6:$DF$17,2)+1))*(VLOOKUP($A40,SatSunCurve,4))*(INDEX(DailyScalarsTable,AW$5/100,MONTH($A40)))*$C40</f>
        <v>-10716.891664406128</v>
      </c>
      <c r="AX40" s="1021">
        <f>(VLOOKUP(YEAR($A40),'NY East Load Projections'!$A$4:$EO$14,((MONTH($A40)-1)*12)+VLOOKUP(AX$4,$DE$6:$DF$17,2)+1))*(VLOOKUP($A40,SatSunCurve,4))*(INDEX(DailyScalarsTable,AX$5/100,MONTH($A40)))*$C40</f>
        <v>-14711.852971744529</v>
      </c>
      <c r="AY40" s="1021">
        <f>(VLOOKUP(YEAR($A40),'NY East Load Projections'!$A$4:$EO$14,((MONTH($A40)-1)*12)+VLOOKUP(AY$4,$DE$6:$DF$17,2)+1))*(VLOOKUP($A40,SatSunCurve,4))*(INDEX(DailyScalarsTable,AY$5/100,MONTH($A40)))*$C40</f>
        <v>-14830.31173365653</v>
      </c>
      <c r="AZ40" s="1021">
        <f>(VLOOKUP(YEAR($A40),'NY East Load Projections'!$A$4:$EO$14,((MONTH($A40)-1)*12)+VLOOKUP(AZ$4,$DE$6:$DF$17,2)+1))*(VLOOKUP($A40,SatSunCurve,4))*(INDEX(DailyScalarsTable,AZ$5/100,MONTH($A40)))*$C40</f>
        <v>-14223.51276957669</v>
      </c>
      <c r="BA40" s="1021">
        <f>(VLOOKUP(YEAR($A40),'NY East Load Projections'!$A$4:$EO$14,((MONTH($A40)-1)*12)+VLOOKUP(BA$4,$DE$6:$DF$17,2)+1))*(VLOOKUP($A40,SatSunCurve,4))*(INDEX(DailyScalarsTable,BA$5/100,MONTH($A40)))*$C40</f>
        <v>-12783.010463856317</v>
      </c>
      <c r="BB40" s="1021">
        <f>(VLOOKUP(YEAR($A40),'NY East Load Projections'!$A$4:$EO$14,((MONTH($A40)-1)*12)+VLOOKUP(BB$4,$DE$6:$DF$17,2)+1))*(VLOOKUP($A40,SatSunCurve,4))*(INDEX(DailyScalarsTable,BB$5/100,MONTH($A40)))*$C40</f>
        <v>-10168.650623374362</v>
      </c>
      <c r="BC40" s="1021">
        <f>(VLOOKUP(YEAR($A40),'NY East Load Projections'!$A$4:$EO$14,((MONTH($A40)-1)*12)+VLOOKUP(BC$4,$DE$6:$DF$17,2)+1))*(VLOOKUP($A40,SatSunCurve,4))*(INDEX(DailyScalarsTable,BC$5/100,MONTH($A40)))*$C40</f>
        <v>-8575.6168094839195</v>
      </c>
      <c r="BD40" s="1021">
        <f>(VLOOKUP(YEAR($A40),'NY East Load Projections'!$A$4:$EO$14,((MONTH($A40)-1)*12)+VLOOKUP(BD$4,$DE$6:$DF$17,2)+1))*(VLOOKUP($A40,CURVES!$D$9:$T$261,8))*(INDEX(DailyScalarsTable,BD$5/100,MONTH($A40)))*$C40</f>
        <v>-10014.458899705389</v>
      </c>
      <c r="BE40" s="1021"/>
      <c r="BF40" s="1021">
        <f>(VLOOKUP(YEAR($A40),'NY East Load Projections'!$A$4:$EO$14,((MONTH($A40)-1)*12)+VLOOKUP(BF$4,$DE$6:$DF$17,2)+1))*(VLOOKUP($A40,CURVES!$D$9:$T$261,8))*(INDEX(DailyScalarsTable,BF$5/100,MONTH($A40)))*$D40</f>
        <v>-8733.0154318975165</v>
      </c>
      <c r="BG40" s="1021">
        <f>(VLOOKUP(YEAR($A40),'NY East Load Projections'!$A$4:$EO$14,((MONTH($A40)-1)*12)+VLOOKUP(BG$4,$DE$6:$DF$17,2)+1))*(VLOOKUP($A40,CURVES!$D$9:$T$261,8))*(INDEX(DailyScalarsTable,BG$5/100,MONTH($A40)))*$D40</f>
        <v>-8279.2180727144623</v>
      </c>
      <c r="BH40" s="1021">
        <f>(VLOOKUP(YEAR($A40),'NY East Load Projections'!$A$4:$EO$14,((MONTH($A40)-1)*12)+VLOOKUP(BH$4,$DE$6:$DF$17,2)+1))*(VLOOKUP($A40,CURVES!$D$9:$T$261,8))*(INDEX(DailyScalarsTable,BH$5/100,MONTH($A40)))*$D40</f>
        <v>-7945.681711410145</v>
      </c>
      <c r="BI40" s="1021">
        <f>(VLOOKUP(YEAR($A40),'NY East Load Projections'!$A$4:$EO$14,((MONTH($A40)-1)*12)+VLOOKUP(BI$4,$DE$6:$DF$17,2)+1))*(VLOOKUP($A40,CURVES!$D$9:$T$261,8))*(INDEX(DailyScalarsTable,BI$5/100,MONTH($A40)))*$D40</f>
        <v>-7950.3794066397822</v>
      </c>
      <c r="BJ40" s="1021">
        <f>(VLOOKUP(YEAR($A40),'NY East Load Projections'!$A$4:$EO$14,((MONTH($A40)-1)*12)+VLOOKUP(BJ$4,$DE$6:$DF$17,2)+1))*(VLOOKUP($A40,CURVES!$D$9:$T$261,8))*(INDEX(DailyScalarsTable,BJ$5/100,MONTH($A40)))*$D40</f>
        <v>-8644.9347818331335</v>
      </c>
      <c r="BK40" s="1021">
        <f>(VLOOKUP(YEAR($A40),'NY East Load Projections'!$A$4:$EO$14,((MONTH($A40)-1)*12)+VLOOKUP(BK$4,$DE$6:$DF$17,2)+1))*(VLOOKUP($A40,CURVES!$D$9:$T$261,8))*(INDEX(DailyScalarsTable,BK$5/100,MONTH($A40)))*$D40</f>
        <v>-9960.0329687220346</v>
      </c>
      <c r="BL40" s="1021">
        <f>(VLOOKUP(YEAR($A40),'NY East Load Projections'!$A$4:$EO$14,((MONTH($A40)-1)*12)+VLOOKUP(BL$4,$DE$6:$DF$17,2)+1))*(VLOOKUP($A40,CURVES!$D$9:$T$261,8))*(INDEX(DailyScalarsTable,BL$5/100,MONTH($A40)))*$D40</f>
        <v>-14266.764957112373</v>
      </c>
      <c r="BM40" s="1021">
        <f>(VLOOKUP(YEAR($A40),'NY East Load Projections'!$A$4:$EO$14,((MONTH($A40)-1)*12)+VLOOKUP(BM$4,$DE$6:$DF$17,2)+1))*(VLOOKUP($A40,SatSunCurve,8))*(INDEX(DailyScalarsTable,BM$5/100,MONTH($A40)))*$D40</f>
        <v>-12961.073902737608</v>
      </c>
      <c r="BN40" s="1021">
        <f>(VLOOKUP(YEAR($A40),'NY East Load Projections'!$A$4:$EO$14,((MONTH($A40)-1)*12)+VLOOKUP(BN$4,$DE$6:$DF$17,2)+1))*(VLOOKUP($A40,SatSunCurve,8))*(INDEX(DailyScalarsTable,BN$5/100,MONTH($A40)))*$D40</f>
        <v>-14695.268804075477</v>
      </c>
      <c r="BO40" s="1021">
        <f>(VLOOKUP(YEAR($A40),'NY East Load Projections'!$A$4:$EO$14,((MONTH($A40)-1)*12)+VLOOKUP(BO$4,$DE$6:$DF$17,2)+1))*(VLOOKUP($A40,SatSunCurve,8))*(INDEX(DailyScalarsTable,BO$5/100,MONTH($A40)))*$D40</f>
        <v>-14600.0955245812</v>
      </c>
      <c r="BP40" s="1021">
        <f>(VLOOKUP(YEAR($A40),'NY East Load Projections'!$A$4:$EO$14,((MONTH($A40)-1)*12)+VLOOKUP(BP$4,$DE$6:$DF$17,2)+1))*(VLOOKUP($A40,SatSunCurve,8))*(INDEX(DailyScalarsTable,BP$5/100,MONTH($A40)))*$D40</f>
        <v>-14318.434062294089</v>
      </c>
      <c r="BQ40" s="1021">
        <f>(VLOOKUP(YEAR($A40),'NY East Load Projections'!$A$4:$EO$14,((MONTH($A40)-1)*12)+VLOOKUP(BQ$4,$DE$6:$DF$17,2)+1))*(VLOOKUP($A40,SatSunCurve,8))*(INDEX(DailyScalarsTable,BQ$5/100,MONTH($A40)))*$D40</f>
        <v>-12056.139486207203</v>
      </c>
      <c r="BR40" s="1021">
        <f>(VLOOKUP(YEAR($A40),'NY East Load Projections'!$A$4:$EO$14,((MONTH($A40)-1)*12)+VLOOKUP(BR$4,$DE$6:$DF$17,2)+1))*(VLOOKUP($A40,SatSunCurve,8))*(INDEX(DailyScalarsTable,BR$5/100,MONTH($A40)))*$D40</f>
        <v>-11459.616664874464</v>
      </c>
      <c r="BS40" s="1021">
        <f>(VLOOKUP(YEAR($A40),'NY East Load Projections'!$A$4:$EO$14,((MONTH($A40)-1)*12)+VLOOKUP(BS$4,$DE$6:$DF$17,2)+1))*(VLOOKUP($A40,SatSunCurve,8))*(INDEX(DailyScalarsTable,BS$5/100,MONTH($A40)))*$D40</f>
        <v>-11152.002082297133</v>
      </c>
      <c r="BT40" s="1021">
        <f>(VLOOKUP(YEAR($A40),'NY East Load Projections'!$A$4:$EO$14,((MONTH($A40)-1)*12)+VLOOKUP(BT$4,$DE$6:$DF$17,2)+1))*(VLOOKUP($A40,SatSunCurve,8))*(INDEX(DailyScalarsTable,BT$5/100,MONTH($A40)))*$D40</f>
        <v>-10891.113765427752</v>
      </c>
      <c r="BU40" s="1021">
        <f>(VLOOKUP(YEAR($A40),'NY East Load Projections'!$A$4:$EO$14,((MONTH($A40)-1)*12)+VLOOKUP(BU$4,$DE$6:$DF$17,2)+1))*(VLOOKUP($A40,SatSunCurve,8))*(INDEX(DailyScalarsTable,BU$5/100,MONTH($A40)))*$D40</f>
        <v>-10711.99641354728</v>
      </c>
      <c r="BV40" s="1021">
        <f>(VLOOKUP(YEAR($A40),'NY East Load Projections'!$A$4:$EO$14,((MONTH($A40)-1)*12)+VLOOKUP(BV$4,$DE$6:$DF$17,2)+1))*(VLOOKUP($A40,SatSunCurve,8))*(INDEX(DailyScalarsTable,BV$5/100,MONTH($A40)))*$D40</f>
        <v>-11038.49904415407</v>
      </c>
      <c r="BW40" s="1021">
        <f>(VLOOKUP(YEAR($A40),'NY East Load Projections'!$A$4:$EO$14,((MONTH($A40)-1)*12)+VLOOKUP(BW$4,$DE$6:$DF$17,2)+1))*(VLOOKUP($A40,SatSunCurve,8))*(INDEX(DailyScalarsTable,BW$5/100,MONTH($A40)))*$D40</f>
        <v>-15153.346702729435</v>
      </c>
      <c r="BX40" s="1021">
        <f>(VLOOKUP(YEAR($A40),'NY East Load Projections'!$A$4:$EO$14,((MONTH($A40)-1)*12)+VLOOKUP(BX$4,$DE$6:$DF$17,2)+1))*(VLOOKUP($A40,SatSunCurve,8))*(INDEX(DailyScalarsTable,BX$5/100,MONTH($A40)))*$D40</f>
        <v>-15275.36033980671</v>
      </c>
      <c r="BY40" s="1021">
        <f>(VLOOKUP(YEAR($A40),'NY East Load Projections'!$A$4:$EO$14,((MONTH($A40)-1)*12)+VLOOKUP(BY$4,$DE$6:$DF$17,2)+1))*(VLOOKUP($A40,SatSunCurve,8))*(INDEX(DailyScalarsTable,BY$5/100,MONTH($A40)))*$D40</f>
        <v>-14650.351709063945</v>
      </c>
      <c r="BZ40" s="1021">
        <f>(VLOOKUP(YEAR($A40),'NY East Load Projections'!$A$4:$EO$14,((MONTH($A40)-1)*12)+VLOOKUP(BZ$4,$DE$6:$DF$17,2)+1))*(VLOOKUP($A40,SatSunCurve,8))*(INDEX(DailyScalarsTable,BZ$5/100,MONTH($A40)))*$D40</f>
        <v>-13166.62080809685</v>
      </c>
      <c r="CA40" s="1021">
        <f>(VLOOKUP(YEAR($A40),'NY East Load Projections'!$A$4:$EO$14,((MONTH($A40)-1)*12)+VLOOKUP(CA$4,$DE$6:$DF$17,2)+1))*(VLOOKUP($A40,SatSunCurve,8))*(INDEX(DailyScalarsTable,CA$5/100,MONTH($A40)))*$D40</f>
        <v>-10473.805623999902</v>
      </c>
      <c r="CB40" s="1021">
        <f>(VLOOKUP(YEAR($A40),'NY East Load Projections'!$A$4:$EO$14,((MONTH($A40)-1)*12)+VLOOKUP(CB$4,$DE$6:$DF$17,2)+1))*(VLOOKUP($A40,SatSunCurve,8))*(INDEX(DailyScalarsTable,CB$5/100,MONTH($A40)))*$D40</f>
        <v>-8832.9658373723469</v>
      </c>
      <c r="CC40" s="1021">
        <f>(VLOOKUP(YEAR($A40),'NY East Load Projections'!$A$4:$EO$14,((MONTH($A40)-1)*12)+VLOOKUP(CC$4,$DE$6:$DF$17,2)+1))*(VLOOKUP($A40,CURVES!$D$9:$T$261,8))*(INDEX(DailyScalarsTable,CC$5/100,MONTH($A40)))*$D40</f>
        <v>-10014.458899705389</v>
      </c>
      <c r="CE40" s="1021">
        <f>(VLOOKUP(YEAR($A40),'NY East Load Projections'!$A$4:$EO$14,((MONTH($A40)-1)*12)+VLOOKUP(CE$4,$DE$6:$DF$17,2)+1))*(VLOOKUP($A40,CURVES!$D$9:$T$261,8))*(INDEX(DailyScalarsTable,CE$5/100,MONTH($A40)))*$E40</f>
        <v>-1746.6030863795033</v>
      </c>
      <c r="CF40" s="1021">
        <f>(VLOOKUP(YEAR($A40),'NY East Load Projections'!$A$4:$EO$14,((MONTH($A40)-1)*12)+VLOOKUP(CF$4,$DE$6:$DF$17,2)+1))*(VLOOKUP($A40,CURVES!$D$9:$T$261,8))*(INDEX(DailyScalarsTable,CF$5/100,MONTH($A40)))*$E40</f>
        <v>-1655.8436145428923</v>
      </c>
      <c r="CG40" s="1021">
        <f>(VLOOKUP(YEAR($A40),'NY East Load Projections'!$A$4:$EO$14,((MONTH($A40)-1)*12)+VLOOKUP(CG$4,$DE$6:$DF$17,2)+1))*(VLOOKUP($A40,CURVES!$D$9:$T$261,8))*(INDEX(DailyScalarsTable,CG$5/100,MONTH($A40)))*$E40</f>
        <v>-1589.1363422820291</v>
      </c>
      <c r="CH40" s="1021">
        <f>(VLOOKUP(YEAR($A40),'NY East Load Projections'!$A$4:$EO$14,((MONTH($A40)-1)*12)+VLOOKUP(CH$4,$DE$6:$DF$17,2)+1))*(VLOOKUP($A40,CURVES!$D$9:$T$261,8))*(INDEX(DailyScalarsTable,CH$5/100,MONTH($A40)))*$E40</f>
        <v>-1590.0758813279565</v>
      </c>
      <c r="CI40" s="1021">
        <f>(VLOOKUP(YEAR($A40),'NY East Load Projections'!$A$4:$EO$14,((MONTH($A40)-1)*12)+VLOOKUP(CI$4,$DE$6:$DF$17,2)+1))*(VLOOKUP($A40,CURVES!$D$9:$T$261,8))*(INDEX(DailyScalarsTable,CI$5/100,MONTH($A40)))*$E40</f>
        <v>-1728.9869563666266</v>
      </c>
      <c r="CJ40" s="1021">
        <f>(VLOOKUP(YEAR($A40),'NY East Load Projections'!$A$4:$EO$14,((MONTH($A40)-1)*12)+VLOOKUP(CJ$4,$DE$6:$DF$17,2)+1))*(VLOOKUP($A40,CURVES!$D$9:$T$261,8))*(INDEX(DailyScalarsTable,CJ$5/100,MONTH($A40)))*$E40</f>
        <v>-1992.0065937444069</v>
      </c>
      <c r="CK40" s="1021">
        <f>(VLOOKUP(YEAR($A40),'NY East Load Projections'!$A$4:$EO$14,((MONTH($A40)-1)*12)+VLOOKUP(CK$4,$DE$6:$DF$17,2)+1))*(VLOOKUP($A40,CURVES!$D$9:$T$261,8))*(INDEX(DailyScalarsTable,CK$5/100,MONTH($A40)))*$E40</f>
        <v>-2853.3529914224746</v>
      </c>
      <c r="CL40" s="1021">
        <f>(VLOOKUP(YEAR($A40),'NY East Load Projections'!$A$4:$EO$14,((MONTH($A40)-1)*12)+VLOOKUP(CL$4,$DE$6:$DF$17,2)+1))*(VLOOKUP($A40,SatSunCurve,8))*(INDEX(DailyScalarsTable,CL$5/100,MONTH($A40)))*$E40</f>
        <v>-2592.2147805475215</v>
      </c>
      <c r="CM40" s="1021">
        <f>(VLOOKUP(YEAR($A40),'NY East Load Projections'!$A$4:$EO$14,((MONTH($A40)-1)*12)+VLOOKUP(CM$4,$DE$6:$DF$17,2)+1))*(VLOOKUP($A40,SatSunCurve,8))*(INDEX(DailyScalarsTable,CM$5/100,MONTH($A40)))*$E40</f>
        <v>-2939.0537608150953</v>
      </c>
      <c r="CN40" s="1021">
        <f>(VLOOKUP(YEAR($A40),'NY East Load Projections'!$A$4:$EO$14,((MONTH($A40)-1)*12)+VLOOKUP(CN$4,$DE$6:$DF$17,2)+1))*(VLOOKUP($A40,SatSunCurve,8))*(INDEX(DailyScalarsTable,CN$5/100,MONTH($A40)))*$E40</f>
        <v>-2920.0191049162399</v>
      </c>
      <c r="CO40" s="1021">
        <f>(VLOOKUP(YEAR($A40),'NY East Load Projections'!$A$4:$EO$14,((MONTH($A40)-1)*12)+VLOOKUP(CO$4,$DE$6:$DF$17,2)+1))*(VLOOKUP($A40,SatSunCurve,8))*(INDEX(DailyScalarsTable,CO$5/100,MONTH($A40)))*$E40</f>
        <v>-2863.6868124588177</v>
      </c>
      <c r="CP40" s="1021">
        <f>(VLOOKUP(YEAR($A40),'NY East Load Projections'!$A$4:$EO$14,((MONTH($A40)-1)*12)+VLOOKUP(CP$4,$DE$6:$DF$17,2)+1))*(VLOOKUP($A40,SatSunCurve,8))*(INDEX(DailyScalarsTable,CP$5/100,MONTH($A40)))*$E40</f>
        <v>-2411.2278972414406</v>
      </c>
      <c r="CQ40" s="1021">
        <f>(VLOOKUP(YEAR($A40),'NY East Load Projections'!$A$4:$EO$14,((MONTH($A40)-1)*12)+VLOOKUP(CQ$4,$DE$6:$DF$17,2)+1))*(VLOOKUP($A40,SatSunCurve,8))*(INDEX(DailyScalarsTable,CQ$5/100,MONTH($A40)))*$E40</f>
        <v>-2291.9233329748927</v>
      </c>
      <c r="CR40" s="1021">
        <f>(VLOOKUP(YEAR($A40),'NY East Load Projections'!$A$4:$EO$14,((MONTH($A40)-1)*12)+VLOOKUP(CR$4,$DE$6:$DF$17,2)+1))*(VLOOKUP($A40,SatSunCurve,8))*(INDEX(DailyScalarsTable,CR$5/100,MONTH($A40)))*$E40</f>
        <v>-2230.4004164594267</v>
      </c>
      <c r="CS40" s="1021">
        <f>(VLOOKUP(YEAR($A40),'NY East Load Projections'!$A$4:$EO$14,((MONTH($A40)-1)*12)+VLOOKUP(CS$4,$DE$6:$DF$17,2)+1))*(VLOOKUP($A40,SatSunCurve,8))*(INDEX(DailyScalarsTable,CS$5/100,MONTH($A40)))*$E40</f>
        <v>-2178.2227530855503</v>
      </c>
      <c r="CT40" s="1021">
        <f>(VLOOKUP(YEAR($A40),'NY East Load Projections'!$A$4:$EO$14,((MONTH($A40)-1)*12)+VLOOKUP(CT$4,$DE$6:$DF$17,2)+1))*(VLOOKUP($A40,SatSunCurve,8))*(INDEX(DailyScalarsTable,CT$5/100,MONTH($A40)))*$E40</f>
        <v>-2142.3992827094562</v>
      </c>
      <c r="CU40" s="1021">
        <f>(VLOOKUP(YEAR($A40),'NY East Load Projections'!$A$4:$EO$14,((MONTH($A40)-1)*12)+VLOOKUP(CU$4,$DE$6:$DF$17,2)+1))*(VLOOKUP($A40,SatSunCurve,8))*(INDEX(DailyScalarsTable,CU$5/100,MONTH($A40)))*$E40</f>
        <v>-2207.6998088308142</v>
      </c>
      <c r="CV40" s="1021">
        <f>(VLOOKUP(YEAR($A40),'NY East Load Projections'!$A$4:$EO$14,((MONTH($A40)-1)*12)+VLOOKUP(CV$4,$DE$6:$DF$17,2)+1))*(VLOOKUP($A40,SatSunCurve,8))*(INDEX(DailyScalarsTable,CV$5/100,MONTH($A40)))*$E40</f>
        <v>-3030.6693405458873</v>
      </c>
      <c r="CW40" s="1021">
        <f>(VLOOKUP(YEAR($A40),'NY East Load Projections'!$A$4:$EO$14,((MONTH($A40)-1)*12)+VLOOKUP(CW$4,$DE$6:$DF$17,2)+1))*(VLOOKUP($A40,SatSunCurve,8))*(INDEX(DailyScalarsTable,CW$5/100,MONTH($A40)))*$E40</f>
        <v>-3055.0720679613419</v>
      </c>
      <c r="CX40" s="1021">
        <f>(VLOOKUP(YEAR($A40),'NY East Load Projections'!$A$4:$EO$14,((MONTH($A40)-1)*12)+VLOOKUP(CX$4,$DE$6:$DF$17,2)+1))*(VLOOKUP($A40,SatSunCurve,8))*(INDEX(DailyScalarsTable,CX$5/100,MONTH($A40)))*$E40</f>
        <v>-2930.0703418127891</v>
      </c>
      <c r="CY40" s="1021">
        <f>(VLOOKUP(YEAR($A40),'NY East Load Projections'!$A$4:$EO$14,((MONTH($A40)-1)*12)+VLOOKUP(CY$4,$DE$6:$DF$17,2)+1))*(VLOOKUP($A40,SatSunCurve,8))*(INDEX(DailyScalarsTable,CY$5/100,MONTH($A40)))*$E40</f>
        <v>-2633.32416161937</v>
      </c>
      <c r="CZ40" s="1021">
        <f>(VLOOKUP(YEAR($A40),'NY East Load Projections'!$A$4:$EO$14,((MONTH($A40)-1)*12)+VLOOKUP(CZ$4,$DE$6:$DF$17,2)+1))*(VLOOKUP($A40,SatSunCurve,8))*(INDEX(DailyScalarsTable,CZ$5/100,MONTH($A40)))*$E40</f>
        <v>-2094.7611247999803</v>
      </c>
      <c r="DA40" s="1021">
        <f>(VLOOKUP(YEAR($A40),'NY East Load Projections'!$A$4:$EO$14,((MONTH($A40)-1)*12)+VLOOKUP(DA$4,$DE$6:$DF$17,2)+1))*(VLOOKUP($A40,SatSunCurve,8))*(INDEX(DailyScalarsTable,DA$5/100,MONTH($A40)))*$E40</f>
        <v>-1766.5931674744695</v>
      </c>
      <c r="DB40" s="1021">
        <f>(VLOOKUP(YEAR($A40),'NY East Load Projections'!$A$4:$EO$14,((MONTH($A40)-1)*12)+VLOOKUP(DB$4,$DE$6:$DF$17,2)+1))*(VLOOKUP($A40,CURVES!$D$9:$T$261,8))*(INDEX(DailyScalarsTable,DB$5/100,MONTH($A40)))*$E40</f>
        <v>-2002.8917799410776</v>
      </c>
      <c r="DH40" s="1021">
        <f t="shared" si="0"/>
        <v>-1893680.7930440085</v>
      </c>
      <c r="DI40">
        <f ca="1">CALC!J60</f>
        <v>0.76308263577695024</v>
      </c>
      <c r="DJ40" s="1029">
        <f t="shared" ca="1" si="1"/>
        <v>-1445034.9308762075</v>
      </c>
    </row>
    <row r="41" spans="1:114" x14ac:dyDescent="0.25">
      <c r="A41" s="244">
        <v>37956</v>
      </c>
      <c r="B41" s="13">
        <v>22</v>
      </c>
      <c r="C41" s="210">
        <v>4</v>
      </c>
      <c r="D41" s="210">
        <v>4</v>
      </c>
      <c r="E41" s="210">
        <v>1</v>
      </c>
      <c r="F41" s="13">
        <v>31</v>
      </c>
      <c r="H41" s="1021">
        <f>(VLOOKUP(YEAR($A41),'NY East Load Projections'!$A$4:$EO$14,((MONTH($A41)-1)*12)+VLOOKUP(H$4,$DE$6:$DF$17,2)+1))*(VLOOKUP($A41,CURVES!$D$9:$K$261,8))*(INDEX(DailyScalarsTable,H$5/100,MONTH($A41)))*$B41</f>
        <v>-38403.969297881544</v>
      </c>
      <c r="I41" s="1021">
        <f>(VLOOKUP(YEAR($A41),'NY East Load Projections'!$A$4:$EO$14,((MONTH($A41)-1)*12)+VLOOKUP(I$4,$DE$6:$DF$17,2)+1))*(VLOOKUP($A41,CURVES!$D$9:$K$261,8))*(INDEX(DailyScalarsTable,I$5/100,MONTH($A41)))*$B41</f>
        <v>-36408.367665726968</v>
      </c>
      <c r="J41" s="1021">
        <f>(VLOOKUP(YEAR($A41),'NY East Load Projections'!$A$4:$EO$14,((MONTH($A41)-1)*12)+VLOOKUP(J$4,$DE$6:$DF$17,2)+1))*(VLOOKUP($A41,CURVES!$D$9:$K$261,8))*(INDEX(DailyScalarsTable,J$5/100,MONTH($A41)))*$B41</f>
        <v>-34941.621124495345</v>
      </c>
      <c r="K41" s="1021">
        <f>(VLOOKUP(YEAR($A41),'NY East Load Projections'!$A$4:$EO$14,((MONTH($A41)-1)*12)+VLOOKUP(K$4,$DE$6:$DF$17,2)+1))*(VLOOKUP($A41,CURVES!$D$9:$K$261,8))*(INDEX(DailyScalarsTable,K$5/100,MONTH($A41)))*$B41</f>
        <v>-34962.279526484519</v>
      </c>
      <c r="L41" s="1021">
        <f>(VLOOKUP(YEAR($A41),'NY East Load Projections'!$A$4:$EO$14,((MONTH($A41)-1)*12)+VLOOKUP(L$4,$DE$6:$DF$17,2)+1))*(VLOOKUP($A41,CURVES!$D$9:$K$261,8))*(INDEX(DailyScalarsTable,L$5/100,MONTH($A41)))*$B41</f>
        <v>-41750.777521037649</v>
      </c>
      <c r="M41" s="1021">
        <f>(VLOOKUP(YEAR($A41),'NY East Load Projections'!$A$4:$EO$14,((MONTH($A41)-1)*12)+VLOOKUP(M$4,$DE$6:$DF$17,2)+1))*(VLOOKUP($A41,CURVES!$D$9:$K$261,8))*(INDEX(DailyScalarsTable,M$5/100,MONTH($A41)))*$B41</f>
        <v>-48102.054101458052</v>
      </c>
      <c r="N41" s="1021">
        <f>(VLOOKUP(YEAR($A41),'NY East Load Projections'!$A$4:$EO$14,((MONTH($A41)-1)*12)+VLOOKUP(N$4,$DE$6:$DF$17,2)+1))*(VLOOKUP($A41,CURVES!$D$9:$K$261,8))*(INDEX(DailyScalarsTable,N$5/100,MONTH($A41)))*$B41</f>
        <v>-68901.44861717851</v>
      </c>
      <c r="O41" s="1021">
        <f>(VLOOKUP(YEAR($A41),'NY East Load Projections'!$A$4:$EO$14,((MONTH($A41)-1)*12)+VLOOKUP(O$4,$DE$6:$DF$17,2)+1))*(VLOOKUP($A41,CURVES!$D$9:$K$261,4))*(INDEX(DailyScalarsTable,O$5/100,MONTH($A41)))*$B41</f>
        <v>-73578.268775501332</v>
      </c>
      <c r="P41" s="1021">
        <f>(VLOOKUP(YEAR($A41),'NY East Load Projections'!$A$4:$EO$14,((MONTH($A41)-1)*12)+VLOOKUP(P$4,$DE$6:$DF$17,2)+1))*(VLOOKUP($A41,CURVES!$D$9:$K$261,4))*(INDEX(DailyScalarsTable,P$5/100,MONTH($A41)))*$B41</f>
        <v>-85439.749600411131</v>
      </c>
      <c r="Q41" s="1021">
        <f>(VLOOKUP(YEAR($A41),'NY East Load Projections'!$A$4:$EO$14,((MONTH($A41)-1)*12)+VLOOKUP(Q$4,$DE$6:$DF$17,2)+1))*(VLOOKUP($A41,CURVES!$D$9:$K$261,4))*(INDEX(DailyScalarsTable,Q$5/100,MONTH($A41)))*$B41</f>
        <v>-85006.604281075837</v>
      </c>
      <c r="R41" s="1021">
        <f>(VLOOKUP(YEAR($A41),'NY East Load Projections'!$A$4:$EO$14,((MONTH($A41)-1)*12)+VLOOKUP(R$4,$DE$6:$DF$17,2)+1))*(VLOOKUP($A41,CURVES!$D$9:$K$261,4))*(INDEX(DailyScalarsTable,R$5/100,MONTH($A41)))*$B41</f>
        <v>-83156.559866287775</v>
      </c>
      <c r="S41" s="1021">
        <f>(VLOOKUP(YEAR($A41),'NY East Load Projections'!$A$4:$EO$14,((MONTH($A41)-1)*12)+VLOOKUP(S$4,$DE$6:$DF$17,2)+1))*(VLOOKUP($A41,CURVES!$D$9:$K$261,4))*(INDEX(DailyScalarsTable,S$5/100,MONTH($A41)))*$B41</f>
        <v>-67570.669816307287</v>
      </c>
      <c r="T41" s="1021">
        <f>(VLOOKUP(YEAR($A41),'NY East Load Projections'!$A$4:$EO$14,((MONTH($A41)-1)*12)+VLOOKUP(T$4,$DE$6:$DF$17,2)+1))*(VLOOKUP($A41,CURVES!$D$9:$K$261,4))*(INDEX(DailyScalarsTable,T$5/100,MONTH($A41)))*$B41</f>
        <v>-64459.703653862925</v>
      </c>
      <c r="U41" s="1021">
        <f>(VLOOKUP(YEAR($A41),'NY East Load Projections'!$A$4:$EO$14,((MONTH($A41)-1)*12)+VLOOKUP(U$4,$DE$6:$DF$17,2)+1))*(VLOOKUP($A41,CURVES!$D$9:$K$261,4))*(INDEX(DailyScalarsTable,U$5/100,MONTH($A41)))*$B41</f>
        <v>-61682.093838168985</v>
      </c>
      <c r="V41" s="1021">
        <f>(VLOOKUP(YEAR($A41),'NY East Load Projections'!$A$4:$EO$14,((MONTH($A41)-1)*12)+VLOOKUP(V$4,$DE$6:$DF$17,2)+1))*(VLOOKUP($A41,CURVES!$D$9:$K$261,4))*(INDEX(DailyScalarsTable,V$5/100,MONTH($A41)))*$B41</f>
        <v>-58580.30674955585</v>
      </c>
      <c r="W41" s="1021">
        <f>(VLOOKUP(YEAR($A41),'NY East Load Projections'!$A$4:$EO$14,((MONTH($A41)-1)*12)+VLOOKUP(W$4,$DE$6:$DF$17,2)+1))*(VLOOKUP($A41,CURVES!$D$9:$K$261,4))*(INDEX(DailyScalarsTable,W$5/100,MONTH($A41)))*$B41</f>
        <v>-57563.568939036573</v>
      </c>
      <c r="X41" s="1021">
        <f>(VLOOKUP(YEAR($A41),'NY East Load Projections'!$A$4:$EO$14,((MONTH($A41)-1)*12)+VLOOKUP(X$4,$DE$6:$DF$17,2)+1))*(VLOOKUP($A41,CURVES!$D$9:$K$261,4))*(INDEX(DailyScalarsTable,X$5/100,MONTH($A41)))*$B41</f>
        <v>-61108.092978620094</v>
      </c>
      <c r="Y41" s="1021">
        <f>(VLOOKUP(YEAR($A41),'NY East Load Projections'!$A$4:$EO$14,((MONTH($A41)-1)*12)+VLOOKUP(Y$4,$DE$6:$DF$17,2)+1))*(VLOOKUP($A41,CURVES!$D$9:$K$261,4))*(INDEX(DailyScalarsTable,Y$5/100,MONTH($A41)))*$B41</f>
        <v>-86122.3429806395</v>
      </c>
      <c r="Z41" s="1021">
        <f>(VLOOKUP(YEAR($A41),'NY East Load Projections'!$A$4:$EO$14,((MONTH($A41)-1)*12)+VLOOKUP(Z$4,$DE$6:$DF$17,2)+1))*(VLOOKUP($A41,CURVES!$D$9:$K$261,4))*(INDEX(DailyScalarsTable,Z$5/100,MONTH($A41)))*$B41</f>
        <v>-85548.551266340131</v>
      </c>
      <c r="AA41" s="1021">
        <f>(VLOOKUP(YEAR($A41),'NY East Load Projections'!$A$4:$EO$14,((MONTH($A41)-1)*12)+VLOOKUP(AA$4,$DE$6:$DF$17,2)+1))*(VLOOKUP($A41,CURVES!$D$9:$K$261,4))*(INDEX(DailyScalarsTable,AA$5/100,MONTH($A41)))*$B41</f>
        <v>-82602.656843702047</v>
      </c>
      <c r="AB41" s="1021">
        <f>(VLOOKUP(YEAR($A41),'NY East Load Projections'!$A$4:$EO$14,((MONTH($A41)-1)*12)+VLOOKUP(AB$4,$DE$6:$DF$17,2)+1))*(VLOOKUP($A41,CURVES!$D$9:$K$261,4))*(INDEX(DailyScalarsTable,AB$5/100,MONTH($A41)))*$B41</f>
        <v>-73171.379973073315</v>
      </c>
      <c r="AC41" s="1021">
        <f>(VLOOKUP(YEAR($A41),'NY East Load Projections'!$A$4:$EO$14,((MONTH($A41)-1)*12)+VLOOKUP(AC$4,$DE$6:$DF$17,2)+1))*(VLOOKUP($A41,CURVES!$D$9:$K$261,4))*(INDEX(DailyScalarsTable,AC$5/100,MONTH($A41)))*$B41</f>
        <v>-53941.649304207378</v>
      </c>
      <c r="AD41" s="1021">
        <f>(VLOOKUP(YEAR($A41),'NY East Load Projections'!$A$4:$EO$14,((MONTH($A41)-1)*12)+VLOOKUP(AD$4,$DE$6:$DF$17,2)+1))*(VLOOKUP($A41,CURVES!$D$9:$K$261,4))*(INDEX(DailyScalarsTable,AD$5/100,MONTH($A41)))*$B41</f>
        <v>-44502.652538115894</v>
      </c>
      <c r="AE41" s="1021">
        <f>(VLOOKUP(YEAR($A41),'NY East Load Projections'!$A$4:$EO$14,((MONTH($A41)-1)*12)+VLOOKUP(AE$4,$DE$6:$DF$17,2)+1))*(VLOOKUP($A41,CURVES!$D$9:$K$261,8))*(INDEX(DailyScalarsTable,AE$5/100,MONTH($A41)))*$B41</f>
        <v>-45301.448164376197</v>
      </c>
      <c r="AF41" s="1021"/>
      <c r="AG41" s="1021">
        <f>(VLOOKUP(YEAR($A41),'NY East Load Projections'!$A$4:$EO$14,((MONTH($A41)-1)*12)+VLOOKUP(AG$4,$DE$6:$DF$17,2)+1))*(VLOOKUP($A41,CURVES!$D$9:$T$261,8))*(INDEX(DailyScalarsTable,AG$5/100,MONTH($A41)))*$C41</f>
        <v>-7327.7715448115996</v>
      </c>
      <c r="AH41" s="1021">
        <f>(VLOOKUP(YEAR($A41),'NY East Load Projections'!$A$4:$EO$14,((MONTH($A41)-1)*12)+VLOOKUP(AH$4,$DE$6:$DF$17,2)+1))*(VLOOKUP($A41,CURVES!$D$9:$T$261,8))*(INDEX(DailyScalarsTable,AH$5/100,MONTH($A41)))*$C41</f>
        <v>-6946.9954656137506</v>
      </c>
      <c r="AI41" s="1021">
        <f>(VLOOKUP(YEAR($A41),'NY East Load Projections'!$A$4:$EO$14,((MONTH($A41)-1)*12)+VLOOKUP(AI$4,$DE$6:$DF$17,2)+1))*(VLOOKUP($A41,CURVES!$D$9:$T$261,8))*(INDEX(DailyScalarsTable,AI$5/100,MONTH($A41)))*$C41</f>
        <v>-6667.1289891846909</v>
      </c>
      <c r="AJ41" s="1021">
        <f>(VLOOKUP(YEAR($A41),'NY East Load Projections'!$A$4:$EO$14,((MONTH($A41)-1)*12)+VLOOKUP(AJ$4,$DE$6:$DF$17,2)+1))*(VLOOKUP($A41,CURVES!$D$9:$T$261,8))*(INDEX(DailyScalarsTable,AJ$5/100,MONTH($A41)))*$C41</f>
        <v>-6671.0707705428458</v>
      </c>
      <c r="AK41" s="1021">
        <f>(VLOOKUP(YEAR($A41),'NY East Load Projections'!$A$4:$EO$14,((MONTH($A41)-1)*12)+VLOOKUP(AK$4,$DE$6:$DF$17,2)+1))*(VLOOKUP($A41,CURVES!$D$9:$T$261,8))*(INDEX(DailyScalarsTable,AK$5/100,MONTH($A41)))*$C41</f>
        <v>-7305.4377804306987</v>
      </c>
      <c r="AL41" s="1021">
        <f>(VLOOKUP(YEAR($A41),'NY East Load Projections'!$A$4:$EO$14,((MONTH($A41)-1)*12)+VLOOKUP(AL$4,$DE$6:$DF$17,2)+1))*(VLOOKUP($A41,CURVES!$D$9:$T$261,8))*(INDEX(DailyScalarsTable,AL$5/100,MONTH($A41)))*$C41</f>
        <v>-8416.7669254074153</v>
      </c>
      <c r="AM41" s="1021">
        <f>(VLOOKUP(YEAR($A41),'NY East Load Projections'!$A$4:$EO$14,((MONTH($A41)-1)*12)+VLOOKUP(AM$4,$DE$6:$DF$17,2)+1))*(VLOOKUP($A41,CURVES!$D$9:$T$261,8))*(INDEX(DailyScalarsTable,AM$5/100,MONTH($A41)))*$C41</f>
        <v>-12056.188548840955</v>
      </c>
      <c r="AN41" s="1021">
        <f>(VLOOKUP(YEAR($A41),'NY East Load Projections'!$A$4:$EO$14,((MONTH($A41)-1)*12)+VLOOKUP(AN$4,$DE$6:$DF$17,2)+1))*(VLOOKUP($A41,SatSunCurve,4))*(INDEX(DailyScalarsTable,AN$5/100,MONTH($A41)))*$C41</f>
        <v>-10667.610054917517</v>
      </c>
      <c r="AO41" s="1021">
        <f>(VLOOKUP(YEAR($A41),'NY East Load Projections'!$A$4:$EO$14,((MONTH($A41)-1)*12)+VLOOKUP(AO$4,$DE$6:$DF$17,2)+1))*(VLOOKUP($A41,SatSunCurve,4))*(INDEX(DailyScalarsTable,AO$5/100,MONTH($A41)))*$C41</f>
        <v>-12153.702062061891</v>
      </c>
      <c r="AP41" s="1021">
        <f>(VLOOKUP(YEAR($A41),'NY East Load Projections'!$A$4:$EO$14,((MONTH($A41)-1)*12)+VLOOKUP(AP$4,$DE$6:$DF$17,2)+1))*(VLOOKUP($A41,SatSunCurve,4))*(INDEX(DailyScalarsTable,AP$5/100,MONTH($A41)))*$C41</f>
        <v>-12092.08765910076</v>
      </c>
      <c r="AQ41" s="1021">
        <f>(VLOOKUP(YEAR($A41),'NY East Load Projections'!$A$4:$EO$14,((MONTH($A41)-1)*12)+VLOOKUP(AQ$4,$DE$6:$DF$17,2)+1))*(VLOOKUP($A41,SatSunCurve,4))*(INDEX(DailyScalarsTable,AQ$5/100,MONTH($A41)))*$C41</f>
        <v>-11828.921056622707</v>
      </c>
      <c r="AR41" s="1021">
        <f>(VLOOKUP(YEAR($A41),'NY East Load Projections'!$A$4:$EO$14,((MONTH($A41)-1)*12)+VLOOKUP(AR$4,$DE$6:$DF$17,2)+1))*(VLOOKUP($A41,SatSunCurve,4))*(INDEX(DailyScalarsTable,AR$5/100,MONTH($A41)))*$C41</f>
        <v>-9611.8468619365576</v>
      </c>
      <c r="AS41" s="1021">
        <f>(VLOOKUP(YEAR($A41),'NY East Load Projections'!$A$4:$EO$14,((MONTH($A41)-1)*12)+VLOOKUP(AS$4,$DE$6:$DF$17,2)+1))*(VLOOKUP($A41,SatSunCurve,4))*(INDEX(DailyScalarsTable,AS$5/100,MONTH($A41)))*$C41</f>
        <v>-9048.4844709121917</v>
      </c>
      <c r="AT41" s="1021">
        <f>(VLOOKUP(YEAR($A41),'NY East Load Projections'!$A$4:$EO$14,((MONTH($A41)-1)*12)+VLOOKUP(AT$4,$DE$6:$DF$17,2)+1))*(VLOOKUP($A41,SatSunCurve,4))*(INDEX(DailyScalarsTable,AT$5/100,MONTH($A41)))*$C41</f>
        <v>-8658.579493710924</v>
      </c>
      <c r="AU41" s="1021">
        <f>(VLOOKUP(YEAR($A41),'NY East Load Projections'!$A$4:$EO$14,((MONTH($A41)-1)*12)+VLOOKUP(AU$4,$DE$6:$DF$17,2)+1))*(VLOOKUP($A41,SatSunCurve,4))*(INDEX(DailyScalarsTable,AU$5/100,MONTH($A41)))*$C41</f>
        <v>-8223.1683653243617</v>
      </c>
      <c r="AV41" s="1021">
        <f>(VLOOKUP(YEAR($A41),'NY East Load Projections'!$A$4:$EO$14,((MONTH($A41)-1)*12)+VLOOKUP(AV$4,$DE$6:$DF$17,2)+1))*(VLOOKUP($A41,SatSunCurve,4))*(INDEX(DailyScalarsTable,AV$5/100,MONTH($A41)))*$C41</f>
        <v>-8080.4445275159396</v>
      </c>
      <c r="AW41" s="1021">
        <f>(VLOOKUP(YEAR($A41),'NY East Load Projections'!$A$4:$EO$14,((MONTH($A41)-1)*12)+VLOOKUP(AW$4,$DE$6:$DF$17,2)+1))*(VLOOKUP($A41,SatSunCurve,4))*(INDEX(DailyScalarsTable,AW$5/100,MONTH($A41)))*$C41</f>
        <v>-8778.8402707639489</v>
      </c>
      <c r="AX41" s="1021">
        <f>(VLOOKUP(YEAR($A41),'NY East Load Projections'!$A$4:$EO$14,((MONTH($A41)-1)*12)+VLOOKUP(AX$4,$DE$6:$DF$17,2)+1))*(VLOOKUP($A41,SatSunCurve,4))*(INDEX(DailyScalarsTable,AX$5/100,MONTH($A41)))*$C41</f>
        <v>-12372.408561915096</v>
      </c>
      <c r="AY41" s="1021">
        <f>(VLOOKUP(YEAR($A41),'NY East Load Projections'!$A$4:$EO$14,((MONTH($A41)-1)*12)+VLOOKUP(AY$4,$DE$6:$DF$17,2)+1))*(VLOOKUP($A41,SatSunCurve,4))*(INDEX(DailyScalarsTable,AY$5/100,MONTH($A41)))*$C41</f>
        <v>-12289.977159411923</v>
      </c>
      <c r="AZ41" s="1021">
        <f>(VLOOKUP(YEAR($A41),'NY East Load Projections'!$A$4:$EO$14,((MONTH($A41)-1)*12)+VLOOKUP(AZ$4,$DE$6:$DF$17,2)+1))*(VLOOKUP($A41,SatSunCurve,4))*(INDEX(DailyScalarsTable,AZ$5/100,MONTH($A41)))*$C41</f>
        <v>-11866.767477513939</v>
      </c>
      <c r="BA41" s="1021">
        <f>(VLOOKUP(YEAR($A41),'NY East Load Projections'!$A$4:$EO$14,((MONTH($A41)-1)*12)+VLOOKUP(BA$4,$DE$6:$DF$17,2)+1))*(VLOOKUP($A41,SatSunCurve,4))*(INDEX(DailyScalarsTable,BA$5/100,MONTH($A41)))*$C41</f>
        <v>-11307.047764537911</v>
      </c>
      <c r="BB41" s="1021">
        <f>(VLOOKUP(YEAR($A41),'NY East Load Projections'!$A$4:$EO$14,((MONTH($A41)-1)*12)+VLOOKUP(BB$4,$DE$6:$DF$17,2)+1))*(VLOOKUP($A41,SatSunCurve,4))*(INDEX(DailyScalarsTable,BB$5/100,MONTH($A41)))*$C41</f>
        <v>-8335.5104879130831</v>
      </c>
      <c r="BC41" s="1021">
        <f>(VLOOKUP(YEAR($A41),'NY East Load Projections'!$A$4:$EO$14,((MONTH($A41)-1)*12)+VLOOKUP(BC$4,$DE$6:$DF$17,2)+1))*(VLOOKUP($A41,SatSunCurve,4))*(INDEX(DailyScalarsTable,BC$5/100,MONTH($A41)))*$C41</f>
        <v>-6876.9185176264718</v>
      </c>
      <c r="BD41" s="1021">
        <f>(VLOOKUP(YEAR($A41),'NY East Load Projections'!$A$4:$EO$14,((MONTH($A41)-1)*12)+VLOOKUP(BD$4,$DE$6:$DF$17,2)+1))*(VLOOKUP($A41,CURVES!$D$9:$T$261,8))*(INDEX(DailyScalarsTable,BD$5/100,MONTH($A41)))*$C41</f>
        <v>-8448.5888970360793</v>
      </c>
      <c r="BE41" s="1021"/>
      <c r="BF41" s="1021">
        <f>(VLOOKUP(YEAR($A41),'NY East Load Projections'!$A$4:$EO$14,((MONTH($A41)-1)*12)+VLOOKUP(BF$4,$DE$6:$DF$17,2)+1))*(VLOOKUP($A41,CURVES!$D$9:$T$261,8))*(INDEX(DailyScalarsTable,BF$5/100,MONTH($A41)))*$D41</f>
        <v>-7327.7715448115996</v>
      </c>
      <c r="BG41" s="1021">
        <f>(VLOOKUP(YEAR($A41),'NY East Load Projections'!$A$4:$EO$14,((MONTH($A41)-1)*12)+VLOOKUP(BG$4,$DE$6:$DF$17,2)+1))*(VLOOKUP($A41,CURVES!$D$9:$T$261,8))*(INDEX(DailyScalarsTable,BG$5/100,MONTH($A41)))*$D41</f>
        <v>-6946.9954656137506</v>
      </c>
      <c r="BH41" s="1021">
        <f>(VLOOKUP(YEAR($A41),'NY East Load Projections'!$A$4:$EO$14,((MONTH($A41)-1)*12)+VLOOKUP(BH$4,$DE$6:$DF$17,2)+1))*(VLOOKUP($A41,CURVES!$D$9:$T$261,8))*(INDEX(DailyScalarsTable,BH$5/100,MONTH($A41)))*$D41</f>
        <v>-6667.1289891846909</v>
      </c>
      <c r="BI41" s="1021">
        <f>(VLOOKUP(YEAR($A41),'NY East Load Projections'!$A$4:$EO$14,((MONTH($A41)-1)*12)+VLOOKUP(BI$4,$DE$6:$DF$17,2)+1))*(VLOOKUP($A41,CURVES!$D$9:$T$261,8))*(INDEX(DailyScalarsTable,BI$5/100,MONTH($A41)))*$D41</f>
        <v>-6671.0707705428458</v>
      </c>
      <c r="BJ41" s="1021">
        <f>(VLOOKUP(YEAR($A41),'NY East Load Projections'!$A$4:$EO$14,((MONTH($A41)-1)*12)+VLOOKUP(BJ$4,$DE$6:$DF$17,2)+1))*(VLOOKUP($A41,CURVES!$D$9:$T$261,8))*(INDEX(DailyScalarsTable,BJ$5/100,MONTH($A41)))*$D41</f>
        <v>-7305.4377804306987</v>
      </c>
      <c r="BK41" s="1021">
        <f>(VLOOKUP(YEAR($A41),'NY East Load Projections'!$A$4:$EO$14,((MONTH($A41)-1)*12)+VLOOKUP(BK$4,$DE$6:$DF$17,2)+1))*(VLOOKUP($A41,CURVES!$D$9:$T$261,8))*(INDEX(DailyScalarsTable,BK$5/100,MONTH($A41)))*$D41</f>
        <v>-8416.7669254074153</v>
      </c>
      <c r="BL41" s="1021">
        <f>(VLOOKUP(YEAR($A41),'NY East Load Projections'!$A$4:$EO$14,((MONTH($A41)-1)*12)+VLOOKUP(BL$4,$DE$6:$DF$17,2)+1))*(VLOOKUP($A41,CURVES!$D$9:$T$261,8))*(INDEX(DailyScalarsTable,BL$5/100,MONTH($A41)))*$D41</f>
        <v>-12056.188548840955</v>
      </c>
      <c r="BM41" s="1021">
        <f>(VLOOKUP(YEAR($A41),'NY East Load Projections'!$A$4:$EO$14,((MONTH($A41)-1)*12)+VLOOKUP(BM$4,$DE$6:$DF$17,2)+1))*(VLOOKUP($A41,SatSunCurve,8))*(INDEX(DailyScalarsTable,BM$5/100,MONTH($A41)))*$D41</f>
        <v>-10352.922545790263</v>
      </c>
      <c r="BN41" s="1021">
        <f>(VLOOKUP(YEAR($A41),'NY East Load Projections'!$A$4:$EO$14,((MONTH($A41)-1)*12)+VLOOKUP(BN$4,$DE$6:$DF$17,2)+1))*(VLOOKUP($A41,SatSunCurve,8))*(INDEX(DailyScalarsTable,BN$5/100,MONTH($A41)))*$D41</f>
        <v>-11795.175812143152</v>
      </c>
      <c r="BO41" s="1021">
        <f>(VLOOKUP(YEAR($A41),'NY East Load Projections'!$A$4:$EO$14,((MONTH($A41)-1)*12)+VLOOKUP(BO$4,$DE$6:$DF$17,2)+1))*(VLOOKUP($A41,SatSunCurve,8))*(INDEX(DailyScalarsTable,BO$5/100,MONTH($A41)))*$D41</f>
        <v>-11735.378993710736</v>
      </c>
      <c r="BP41" s="1021">
        <f>(VLOOKUP(YEAR($A41),'NY East Load Projections'!$A$4:$EO$14,((MONTH($A41)-1)*12)+VLOOKUP(BP$4,$DE$6:$DF$17,2)+1))*(VLOOKUP($A41,SatSunCurve,8))*(INDEX(DailyScalarsTable,BP$5/100,MONTH($A41)))*$D41</f>
        <v>-11479.975633626524</v>
      </c>
      <c r="BQ41" s="1021">
        <f>(VLOOKUP(YEAR($A41),'NY East Load Projections'!$A$4:$EO$14,((MONTH($A41)-1)*12)+VLOOKUP(BQ$4,$DE$6:$DF$17,2)+1))*(VLOOKUP($A41,SatSunCurve,8))*(INDEX(DailyScalarsTable,BQ$5/100,MONTH($A41)))*$D41</f>
        <v>-9328.303675456742</v>
      </c>
      <c r="BR41" s="1021">
        <f>(VLOOKUP(YEAR($A41),'NY East Load Projections'!$A$4:$EO$14,((MONTH($A41)-1)*12)+VLOOKUP(BR$4,$DE$6:$DF$17,2)+1))*(VLOOKUP($A41,SatSunCurve,8))*(INDEX(DailyScalarsTable,BR$5/100,MONTH($A41)))*$D41</f>
        <v>-8781.560105954235</v>
      </c>
      <c r="BS41" s="1021">
        <f>(VLOOKUP(YEAR($A41),'NY East Load Projections'!$A$4:$EO$14,((MONTH($A41)-1)*12)+VLOOKUP(BS$4,$DE$6:$DF$17,2)+1))*(VLOOKUP($A41,SatSunCurve,8))*(INDEX(DailyScalarsTable,BS$5/100,MONTH($A41)))*$D41</f>
        <v>-8403.1570701850324</v>
      </c>
      <c r="BT41" s="1021">
        <f>(VLOOKUP(YEAR($A41),'NY East Load Projections'!$A$4:$EO$14,((MONTH($A41)-1)*12)+VLOOKUP(BT$4,$DE$6:$DF$17,2)+1))*(VLOOKUP($A41,SatSunCurve,8))*(INDEX(DailyScalarsTable,BT$5/100,MONTH($A41)))*$D41</f>
        <v>-7980.5902848830856</v>
      </c>
      <c r="BU41" s="1021">
        <f>(VLOOKUP(YEAR($A41),'NY East Load Projections'!$A$4:$EO$14,((MONTH($A41)-1)*12)+VLOOKUP(BU$4,$DE$6:$DF$17,2)+1))*(VLOOKUP($A41,SatSunCurve,8))*(INDEX(DailyScalarsTable,BU$5/100,MONTH($A41)))*$D41</f>
        <v>-7842.0767068031128</v>
      </c>
      <c r="BV41" s="1021">
        <f>(VLOOKUP(YEAR($A41),'NY East Load Projections'!$A$4:$EO$14,((MONTH($A41)-1)*12)+VLOOKUP(BV$4,$DE$6:$DF$17,2)+1))*(VLOOKUP($A41,SatSunCurve,8))*(INDEX(DailyScalarsTable,BV$5/100,MONTH($A41)))*$D41</f>
        <v>-8519.8702330881497</v>
      </c>
      <c r="BW41" s="1021">
        <f>(VLOOKUP(YEAR($A41),'NY East Load Projections'!$A$4:$EO$14,((MONTH($A41)-1)*12)+VLOOKUP(BW$4,$DE$6:$DF$17,2)+1))*(VLOOKUP($A41,SatSunCurve,8))*(INDEX(DailyScalarsTable,BW$5/100,MONTH($A41)))*$D41</f>
        <v>-12007.430613507711</v>
      </c>
      <c r="BX41" s="1021">
        <f>(VLOOKUP(YEAR($A41),'NY East Load Projections'!$A$4:$EO$14,((MONTH($A41)-1)*12)+VLOOKUP(BX$4,$DE$6:$DF$17,2)+1))*(VLOOKUP($A41,SatSunCurve,8))*(INDEX(DailyScalarsTable,BX$5/100,MONTH($A41)))*$D41</f>
        <v>-11927.430883384204</v>
      </c>
      <c r="BY41" s="1021">
        <f>(VLOOKUP(YEAR($A41),'NY East Load Projections'!$A$4:$EO$14,((MONTH($A41)-1)*12)+VLOOKUP(BY$4,$DE$6:$DF$17,2)+1))*(VLOOKUP($A41,SatSunCurve,8))*(INDEX(DailyScalarsTable,BY$5/100,MONTH($A41)))*$D41</f>
        <v>-11516.705609891609</v>
      </c>
      <c r="BZ41" s="1021">
        <f>(VLOOKUP(YEAR($A41),'NY East Load Projections'!$A$4:$EO$14,((MONTH($A41)-1)*12)+VLOOKUP(BZ$4,$DE$6:$DF$17,2)+1))*(VLOOKUP($A41,SatSunCurve,8))*(INDEX(DailyScalarsTable,BZ$5/100,MONTH($A41)))*$D41</f>
        <v>-10973.497261821034</v>
      </c>
      <c r="CA41" s="1021">
        <f>(VLOOKUP(YEAR($A41),'NY East Load Projections'!$A$4:$EO$14,((MONTH($A41)-1)*12)+VLOOKUP(CA$4,$DE$6:$DF$17,2)+1))*(VLOOKUP($A41,SatSunCurve,8))*(INDEX(DailyScalarsTable,CA$5/100,MONTH($A41)))*$D41</f>
        <v>-8089.6183884417214</v>
      </c>
      <c r="CB41" s="1021">
        <f>(VLOOKUP(YEAR($A41),'NY East Load Projections'!$A$4:$EO$14,((MONTH($A41)-1)*12)+VLOOKUP(CB$4,$DE$6:$DF$17,2)+1))*(VLOOKUP($A41,SatSunCurve,8))*(INDEX(DailyScalarsTable,CB$5/100,MONTH($A41)))*$D41</f>
        <v>-6674.0539258723538</v>
      </c>
      <c r="CC41" s="1021">
        <f>(VLOOKUP(YEAR($A41),'NY East Load Projections'!$A$4:$EO$14,((MONTH($A41)-1)*12)+VLOOKUP(CC$4,$DE$6:$DF$17,2)+1))*(VLOOKUP($A41,CURVES!$D$9:$T$261,8))*(INDEX(DailyScalarsTable,CC$5/100,MONTH($A41)))*$D41</f>
        <v>-8448.5888970360793</v>
      </c>
      <c r="CE41" s="1021">
        <f>(VLOOKUP(YEAR($A41),'NY East Load Projections'!$A$4:$EO$14,((MONTH($A41)-1)*12)+VLOOKUP(CE$4,$DE$6:$DF$17,2)+1))*(VLOOKUP($A41,CURVES!$D$9:$T$261,8))*(INDEX(DailyScalarsTable,CE$5/100,MONTH($A41)))*$E41</f>
        <v>-1831.9428862028999</v>
      </c>
      <c r="CF41" s="1021">
        <f>(VLOOKUP(YEAR($A41),'NY East Load Projections'!$A$4:$EO$14,((MONTH($A41)-1)*12)+VLOOKUP(CF$4,$DE$6:$DF$17,2)+1))*(VLOOKUP($A41,CURVES!$D$9:$T$261,8))*(INDEX(DailyScalarsTable,CF$5/100,MONTH($A41)))*$E41</f>
        <v>-1736.7488664034377</v>
      </c>
      <c r="CG41" s="1021">
        <f>(VLOOKUP(YEAR($A41),'NY East Load Projections'!$A$4:$EO$14,((MONTH($A41)-1)*12)+VLOOKUP(CG$4,$DE$6:$DF$17,2)+1))*(VLOOKUP($A41,CURVES!$D$9:$T$261,8))*(INDEX(DailyScalarsTable,CG$5/100,MONTH($A41)))*$E41</f>
        <v>-1666.7822472961727</v>
      </c>
      <c r="CH41" s="1021">
        <f>(VLOOKUP(YEAR($A41),'NY East Load Projections'!$A$4:$EO$14,((MONTH($A41)-1)*12)+VLOOKUP(CH$4,$DE$6:$DF$17,2)+1))*(VLOOKUP($A41,CURVES!$D$9:$T$261,8))*(INDEX(DailyScalarsTable,CH$5/100,MONTH($A41)))*$E41</f>
        <v>-1667.7676926357115</v>
      </c>
      <c r="CI41" s="1021">
        <f>(VLOOKUP(YEAR($A41),'NY East Load Projections'!$A$4:$EO$14,((MONTH($A41)-1)*12)+VLOOKUP(CI$4,$DE$6:$DF$17,2)+1))*(VLOOKUP($A41,CURVES!$D$9:$T$261,8))*(INDEX(DailyScalarsTable,CI$5/100,MONTH($A41)))*$E41</f>
        <v>-1826.3594451076747</v>
      </c>
      <c r="CJ41" s="1021">
        <f>(VLOOKUP(YEAR($A41),'NY East Load Projections'!$A$4:$EO$14,((MONTH($A41)-1)*12)+VLOOKUP(CJ$4,$DE$6:$DF$17,2)+1))*(VLOOKUP($A41,CURVES!$D$9:$T$261,8))*(INDEX(DailyScalarsTable,CJ$5/100,MONTH($A41)))*$E41</f>
        <v>-2104.1917313518538</v>
      </c>
      <c r="CK41" s="1021">
        <f>(VLOOKUP(YEAR($A41),'NY East Load Projections'!$A$4:$EO$14,((MONTH($A41)-1)*12)+VLOOKUP(CK$4,$DE$6:$DF$17,2)+1))*(VLOOKUP($A41,CURVES!$D$9:$T$261,8))*(INDEX(DailyScalarsTable,CK$5/100,MONTH($A41)))*$E41</f>
        <v>-3014.0471372102388</v>
      </c>
      <c r="CL41" s="1021">
        <f>(VLOOKUP(YEAR($A41),'NY East Load Projections'!$A$4:$EO$14,((MONTH($A41)-1)*12)+VLOOKUP(CL$4,$DE$6:$DF$17,2)+1))*(VLOOKUP($A41,SatSunCurve,8))*(INDEX(DailyScalarsTable,CL$5/100,MONTH($A41)))*$E41</f>
        <v>-2588.2306364475658</v>
      </c>
      <c r="CM41" s="1021">
        <f>(VLOOKUP(YEAR($A41),'NY East Load Projections'!$A$4:$EO$14,((MONTH($A41)-1)*12)+VLOOKUP(CM$4,$DE$6:$DF$17,2)+1))*(VLOOKUP($A41,SatSunCurve,8))*(INDEX(DailyScalarsTable,CM$5/100,MONTH($A41)))*$E41</f>
        <v>-2948.793953035788</v>
      </c>
      <c r="CN41" s="1021">
        <f>(VLOOKUP(YEAR($A41),'NY East Load Projections'!$A$4:$EO$14,((MONTH($A41)-1)*12)+VLOOKUP(CN$4,$DE$6:$DF$17,2)+1))*(VLOOKUP($A41,SatSunCurve,8))*(INDEX(DailyScalarsTable,CN$5/100,MONTH($A41)))*$E41</f>
        <v>-2933.844748427684</v>
      </c>
      <c r="CO41" s="1021">
        <f>(VLOOKUP(YEAR($A41),'NY East Load Projections'!$A$4:$EO$14,((MONTH($A41)-1)*12)+VLOOKUP(CO$4,$DE$6:$DF$17,2)+1))*(VLOOKUP($A41,SatSunCurve,8))*(INDEX(DailyScalarsTable,CO$5/100,MONTH($A41)))*$E41</f>
        <v>-2869.9939084066309</v>
      </c>
      <c r="CP41" s="1021">
        <f>(VLOOKUP(YEAR($A41),'NY East Load Projections'!$A$4:$EO$14,((MONTH($A41)-1)*12)+VLOOKUP(CP$4,$DE$6:$DF$17,2)+1))*(VLOOKUP($A41,SatSunCurve,8))*(INDEX(DailyScalarsTable,CP$5/100,MONTH($A41)))*$E41</f>
        <v>-2332.0759188641855</v>
      </c>
      <c r="CQ41" s="1021">
        <f>(VLOOKUP(YEAR($A41),'NY East Load Projections'!$A$4:$EO$14,((MONTH($A41)-1)*12)+VLOOKUP(CQ$4,$DE$6:$DF$17,2)+1))*(VLOOKUP($A41,SatSunCurve,8))*(INDEX(DailyScalarsTable,CQ$5/100,MONTH($A41)))*$E41</f>
        <v>-2195.3900264885588</v>
      </c>
      <c r="CR41" s="1021">
        <f>(VLOOKUP(YEAR($A41),'NY East Load Projections'!$A$4:$EO$14,((MONTH($A41)-1)*12)+VLOOKUP(CR$4,$DE$6:$DF$17,2)+1))*(VLOOKUP($A41,SatSunCurve,8))*(INDEX(DailyScalarsTable,CR$5/100,MONTH($A41)))*$E41</f>
        <v>-2100.7892675462581</v>
      </c>
      <c r="CS41" s="1021">
        <f>(VLOOKUP(YEAR($A41),'NY East Load Projections'!$A$4:$EO$14,((MONTH($A41)-1)*12)+VLOOKUP(CS$4,$DE$6:$DF$17,2)+1))*(VLOOKUP($A41,SatSunCurve,8))*(INDEX(DailyScalarsTable,CS$5/100,MONTH($A41)))*$E41</f>
        <v>-1995.1475712207714</v>
      </c>
      <c r="CT41" s="1021">
        <f>(VLOOKUP(YEAR($A41),'NY East Load Projections'!$A$4:$EO$14,((MONTH($A41)-1)*12)+VLOOKUP(CT$4,$DE$6:$DF$17,2)+1))*(VLOOKUP($A41,SatSunCurve,8))*(INDEX(DailyScalarsTable,CT$5/100,MONTH($A41)))*$E41</f>
        <v>-1960.5191767007782</v>
      </c>
      <c r="CU41" s="1021">
        <f>(VLOOKUP(YEAR($A41),'NY East Load Projections'!$A$4:$EO$14,((MONTH($A41)-1)*12)+VLOOKUP(CU$4,$DE$6:$DF$17,2)+1))*(VLOOKUP($A41,SatSunCurve,8))*(INDEX(DailyScalarsTable,CU$5/100,MONTH($A41)))*$E41</f>
        <v>-2129.9675582720374</v>
      </c>
      <c r="CV41" s="1021">
        <f>(VLOOKUP(YEAR($A41),'NY East Load Projections'!$A$4:$EO$14,((MONTH($A41)-1)*12)+VLOOKUP(CV$4,$DE$6:$DF$17,2)+1))*(VLOOKUP($A41,SatSunCurve,8))*(INDEX(DailyScalarsTable,CV$5/100,MONTH($A41)))*$E41</f>
        <v>-3001.8576533769278</v>
      </c>
      <c r="CW41" s="1021">
        <f>(VLOOKUP(YEAR($A41),'NY East Load Projections'!$A$4:$EO$14,((MONTH($A41)-1)*12)+VLOOKUP(CW$4,$DE$6:$DF$17,2)+1))*(VLOOKUP($A41,SatSunCurve,8))*(INDEX(DailyScalarsTable,CW$5/100,MONTH($A41)))*$E41</f>
        <v>-2981.8577208460511</v>
      </c>
      <c r="CX41" s="1021">
        <f>(VLOOKUP(YEAR($A41),'NY East Load Projections'!$A$4:$EO$14,((MONTH($A41)-1)*12)+VLOOKUP(CX$4,$DE$6:$DF$17,2)+1))*(VLOOKUP($A41,SatSunCurve,8))*(INDEX(DailyScalarsTable,CX$5/100,MONTH($A41)))*$E41</f>
        <v>-2879.1764024729023</v>
      </c>
      <c r="CY41" s="1021">
        <f>(VLOOKUP(YEAR($A41),'NY East Load Projections'!$A$4:$EO$14,((MONTH($A41)-1)*12)+VLOOKUP(CY$4,$DE$6:$DF$17,2)+1))*(VLOOKUP($A41,SatSunCurve,8))*(INDEX(DailyScalarsTable,CY$5/100,MONTH($A41)))*$E41</f>
        <v>-2743.3743154552585</v>
      </c>
      <c r="CZ41" s="1021">
        <f>(VLOOKUP(YEAR($A41),'NY East Load Projections'!$A$4:$EO$14,((MONTH($A41)-1)*12)+VLOOKUP(CZ$4,$DE$6:$DF$17,2)+1))*(VLOOKUP($A41,SatSunCurve,8))*(INDEX(DailyScalarsTable,CZ$5/100,MONTH($A41)))*$E41</f>
        <v>-2022.4045971104304</v>
      </c>
      <c r="DA41" s="1021">
        <f>(VLOOKUP(YEAR($A41),'NY East Load Projections'!$A$4:$EO$14,((MONTH($A41)-1)*12)+VLOOKUP(DA$4,$DE$6:$DF$17,2)+1))*(VLOOKUP($A41,SatSunCurve,8))*(INDEX(DailyScalarsTable,DA$5/100,MONTH($A41)))*$E41</f>
        <v>-1668.5134814680885</v>
      </c>
      <c r="DB41" s="1021">
        <f>(VLOOKUP(YEAR($A41),'NY East Load Projections'!$A$4:$EO$14,((MONTH($A41)-1)*12)+VLOOKUP(DB$4,$DE$6:$DF$17,2)+1))*(VLOOKUP($A41,CURVES!$D$9:$T$261,8))*(INDEX(DailyScalarsTable,DB$5/100,MONTH($A41)))*$E41</f>
        <v>-2112.1472242590198</v>
      </c>
      <c r="DH41" s="1021">
        <f t="shared" si="0"/>
        <v>-1975398.7019702329</v>
      </c>
      <c r="DI41">
        <f ca="1">CALC!J61</f>
        <v>0.7583632705034653</v>
      </c>
      <c r="DJ41" s="1029">
        <f t="shared" ca="1" si="1"/>
        <v>-1498069.8201744459</v>
      </c>
    </row>
    <row r="42" spans="1:114" x14ac:dyDescent="0.25">
      <c r="A42" s="244">
        <v>37987</v>
      </c>
      <c r="B42" s="13">
        <v>21</v>
      </c>
      <c r="C42" s="210">
        <v>5</v>
      </c>
      <c r="D42" s="210">
        <v>4</v>
      </c>
      <c r="E42" s="210">
        <v>1</v>
      </c>
      <c r="F42" s="13">
        <v>31</v>
      </c>
      <c r="H42" s="1021">
        <f>(VLOOKUP(YEAR($A42),'NY East Load Projections'!$A$4:$EO$14,((MONTH($A42)-1)*12)+VLOOKUP(H$4,$DE$6:$DF$17,2)+1))*(VLOOKUP($A42,CURVES!$D$9:$K$261,8))*(INDEX(DailyScalarsTable,H$5/100,MONTH($A42)))*$B42</f>
        <v>-34454.12429618802</v>
      </c>
      <c r="I42" s="1021">
        <f>(VLOOKUP(YEAR($A42),'NY East Load Projections'!$A$4:$EO$14,((MONTH($A42)-1)*12)+VLOOKUP(I$4,$DE$6:$DF$17,2)+1))*(VLOOKUP($A42,CURVES!$D$9:$K$261,8))*(INDEX(DailyScalarsTable,I$5/100,MONTH($A42)))*$B42</f>
        <v>-33782.861965122174</v>
      </c>
      <c r="J42" s="1021">
        <f>(VLOOKUP(YEAR($A42),'NY East Load Projections'!$A$4:$EO$14,((MONTH($A42)-1)*12)+VLOOKUP(J$4,$DE$6:$DF$17,2)+1))*(VLOOKUP($A42,CURVES!$D$9:$K$261,8))*(INDEX(DailyScalarsTable,J$5/100,MONTH($A42)))*$B42</f>
        <v>-30956.944905124394</v>
      </c>
      <c r="K42" s="1021">
        <f>(VLOOKUP(YEAR($A42),'NY East Load Projections'!$A$4:$EO$14,((MONTH($A42)-1)*12)+VLOOKUP(K$4,$DE$6:$DF$17,2)+1))*(VLOOKUP($A42,CURVES!$D$9:$K$261,8))*(INDEX(DailyScalarsTable,K$5/100,MONTH($A42)))*$B42</f>
        <v>-30938.227856348843</v>
      </c>
      <c r="L42" s="1021">
        <f>(VLOOKUP(YEAR($A42),'NY East Load Projections'!$A$4:$EO$14,((MONTH($A42)-1)*12)+VLOOKUP(L$4,$DE$6:$DF$17,2)+1))*(VLOOKUP($A42,CURVES!$D$9:$K$261,8))*(INDEX(DailyScalarsTable,L$5/100,MONTH($A42)))*$B42</f>
        <v>-35583.93509098178</v>
      </c>
      <c r="M42" s="1021">
        <f>(VLOOKUP(YEAR($A42),'NY East Load Projections'!$A$4:$EO$14,((MONTH($A42)-1)*12)+VLOOKUP(M$4,$DE$6:$DF$17,2)+1))*(VLOOKUP($A42,CURVES!$D$9:$K$261,8))*(INDEX(DailyScalarsTable,M$5/100,MONTH($A42)))*$B42</f>
        <v>-37975.814484575239</v>
      </c>
      <c r="N42" s="1021">
        <f>(VLOOKUP(YEAR($A42),'NY East Load Projections'!$A$4:$EO$14,((MONTH($A42)-1)*12)+VLOOKUP(N$4,$DE$6:$DF$17,2)+1))*(VLOOKUP($A42,CURVES!$D$9:$K$261,8))*(INDEX(DailyScalarsTable,N$5/100,MONTH($A42)))*$B42</f>
        <v>-72723.222335969855</v>
      </c>
      <c r="O42" s="1021">
        <f>(VLOOKUP(YEAR($A42),'NY East Load Projections'!$A$4:$EO$14,((MONTH($A42)-1)*12)+VLOOKUP(O$4,$DE$6:$DF$17,2)+1))*(VLOOKUP($A42,CURVES!$D$9:$K$261,4))*(INDEX(DailyScalarsTable,O$5/100,MONTH($A42)))*$B42</f>
        <v>-85157.59751690751</v>
      </c>
      <c r="P42" s="1021">
        <f>(VLOOKUP(YEAR($A42),'NY East Load Projections'!$A$4:$EO$14,((MONTH($A42)-1)*12)+VLOOKUP(P$4,$DE$6:$DF$17,2)+1))*(VLOOKUP($A42,CURVES!$D$9:$K$261,4))*(INDEX(DailyScalarsTable,P$5/100,MONTH($A42)))*$B42</f>
        <v>-97468.316234453654</v>
      </c>
      <c r="Q42" s="1021">
        <f>(VLOOKUP(YEAR($A42),'NY East Load Projections'!$A$4:$EO$14,((MONTH($A42)-1)*12)+VLOOKUP(Q$4,$DE$6:$DF$17,2)+1))*(VLOOKUP($A42,CURVES!$D$9:$K$261,4))*(INDEX(DailyScalarsTable,Q$5/100,MONTH($A42)))*$B42</f>
        <v>-97171.661830060475</v>
      </c>
      <c r="R42" s="1021">
        <f>(VLOOKUP(YEAR($A42),'NY East Load Projections'!$A$4:$EO$14,((MONTH($A42)-1)*12)+VLOOKUP(R$4,$DE$6:$DF$17,2)+1))*(VLOOKUP($A42,CURVES!$D$9:$K$261,4))*(INDEX(DailyScalarsTable,R$5/100,MONTH($A42)))*$B42</f>
        <v>-95475.888880246785</v>
      </c>
      <c r="S42" s="1021">
        <f>(VLOOKUP(YEAR($A42),'NY East Load Projections'!$A$4:$EO$14,((MONTH($A42)-1)*12)+VLOOKUP(S$4,$DE$6:$DF$17,2)+1))*(VLOOKUP($A42,CURVES!$D$9:$K$261,4))*(INDEX(DailyScalarsTable,S$5/100,MONTH($A42)))*$B42</f>
        <v>-71520.47405720003</v>
      </c>
      <c r="T42" s="1021">
        <f>(VLOOKUP(YEAR($A42),'NY East Load Projections'!$A$4:$EO$14,((MONTH($A42)-1)*12)+VLOOKUP(T$4,$DE$6:$DF$17,2)+1))*(VLOOKUP($A42,CURVES!$D$9:$K$261,4))*(INDEX(DailyScalarsTable,T$5/100,MONTH($A42)))*$B42</f>
        <v>-70578.983939448153</v>
      </c>
      <c r="U42" s="1021">
        <f>(VLOOKUP(YEAR($A42),'NY East Load Projections'!$A$4:$EO$14,((MONTH($A42)-1)*12)+VLOOKUP(U$4,$DE$6:$DF$17,2)+1))*(VLOOKUP($A42,CURVES!$D$9:$K$261,4))*(INDEX(DailyScalarsTable,U$5/100,MONTH($A42)))*$B42</f>
        <v>-68300.111739250729</v>
      </c>
      <c r="V42" s="1021">
        <f>(VLOOKUP(YEAR($A42),'NY East Load Projections'!$A$4:$EO$14,((MONTH($A42)-1)*12)+VLOOKUP(V$4,$DE$6:$DF$17,2)+1))*(VLOOKUP($A42,CURVES!$D$9:$K$261,4))*(INDEX(DailyScalarsTable,V$5/100,MONTH($A42)))*$B42</f>
        <v>-64824.00595561623</v>
      </c>
      <c r="W42" s="1021">
        <f>(VLOOKUP(YEAR($A42),'NY East Load Projections'!$A$4:$EO$14,((MONTH($A42)-1)*12)+VLOOKUP(W$4,$DE$6:$DF$17,2)+1))*(VLOOKUP($A42,CURVES!$D$9:$K$261,4))*(INDEX(DailyScalarsTable,W$5/100,MONTH($A42)))*$B42</f>
        <v>-63519.434188836531</v>
      </c>
      <c r="X42" s="1021">
        <f>(VLOOKUP(YEAR($A42),'NY East Load Projections'!$A$4:$EO$14,((MONTH($A42)-1)*12)+VLOOKUP(X$4,$DE$6:$DF$17,2)+1))*(VLOOKUP($A42,CURVES!$D$9:$K$261,4))*(INDEX(DailyScalarsTable,X$5/100,MONTH($A42)))*$B42</f>
        <v>-65196.308667585567</v>
      </c>
      <c r="Y42" s="1021">
        <f>(VLOOKUP(YEAR($A42),'NY East Load Projections'!$A$4:$EO$14,((MONTH($A42)-1)*12)+VLOOKUP(Y$4,$DE$6:$DF$17,2)+1))*(VLOOKUP($A42,CURVES!$D$9:$K$261,4))*(INDEX(DailyScalarsTable,Y$5/100,MONTH($A42)))*$B42</f>
        <v>-90717.83109847075</v>
      </c>
      <c r="Z42" s="1021">
        <f>(VLOOKUP(YEAR($A42),'NY East Load Projections'!$A$4:$EO$14,((MONTH($A42)-1)*12)+VLOOKUP(Z$4,$DE$6:$DF$17,2)+1))*(VLOOKUP($A42,CURVES!$D$9:$K$261,4))*(INDEX(DailyScalarsTable,Z$5/100,MONTH($A42)))*$B42</f>
        <v>-99541.564805789807</v>
      </c>
      <c r="AA42" s="1021">
        <f>(VLOOKUP(YEAR($A42),'NY East Load Projections'!$A$4:$EO$14,((MONTH($A42)-1)*12)+VLOOKUP(AA$4,$DE$6:$DF$17,2)+1))*(VLOOKUP($A42,CURVES!$D$9:$K$261,4))*(INDEX(DailyScalarsTable,AA$5/100,MONTH($A42)))*$B42</f>
        <v>-95278.550184763561</v>
      </c>
      <c r="AB42" s="1021">
        <f>(VLOOKUP(YEAR($A42),'NY East Load Projections'!$A$4:$EO$14,((MONTH($A42)-1)*12)+VLOOKUP(AB$4,$DE$6:$DF$17,2)+1))*(VLOOKUP($A42,CURVES!$D$9:$K$261,4))*(INDEX(DailyScalarsTable,AB$5/100,MONTH($A42)))*$B42</f>
        <v>-80510.976260224503</v>
      </c>
      <c r="AC42" s="1021">
        <f>(VLOOKUP(YEAR($A42),'NY East Load Projections'!$A$4:$EO$14,((MONTH($A42)-1)*12)+VLOOKUP(AC$4,$DE$6:$DF$17,2)+1))*(VLOOKUP($A42,CURVES!$D$9:$K$261,4))*(INDEX(DailyScalarsTable,AC$5/100,MONTH($A42)))*$B42</f>
        <v>-57261.271028232033</v>
      </c>
      <c r="AD42" s="1021">
        <f>(VLOOKUP(YEAR($A42),'NY East Load Projections'!$A$4:$EO$14,((MONTH($A42)-1)*12)+VLOOKUP(AD$4,$DE$6:$DF$17,2)+1))*(VLOOKUP($A42,CURVES!$D$9:$K$261,4))*(INDEX(DailyScalarsTable,AD$5/100,MONTH($A42)))*$B42</f>
        <v>-46875.477500287328</v>
      </c>
      <c r="AE42" s="1021">
        <f>(VLOOKUP(YEAR($A42),'NY East Load Projections'!$A$4:$EO$14,((MONTH($A42)-1)*12)+VLOOKUP(AE$4,$DE$6:$DF$17,2)+1))*(VLOOKUP($A42,CURVES!$D$9:$K$261,8))*(INDEX(DailyScalarsTable,AE$5/100,MONTH($A42)))*$B42</f>
        <v>-41201.618896257329</v>
      </c>
      <c r="AF42" s="1021"/>
      <c r="AG42" s="1021">
        <f>(VLOOKUP(YEAR($A42),'NY East Load Projections'!$A$4:$EO$14,((MONTH($A42)-1)*12)+VLOOKUP(AG$4,$DE$6:$DF$17,2)+1))*(VLOOKUP($A42,CURVES!$D$9:$T$261,8))*(INDEX(DailyScalarsTable,AG$5/100,MONTH($A42)))*$C42</f>
        <v>-8614.7550986295064</v>
      </c>
      <c r="AH42" s="1021">
        <f>(VLOOKUP(YEAR($A42),'NY East Load Projections'!$A$4:$EO$14,((MONTH($A42)-1)*12)+VLOOKUP(AH$4,$DE$6:$DF$17,2)+1))*(VLOOKUP($A42,CURVES!$D$9:$T$261,8))*(INDEX(DailyScalarsTable,AH$5/100,MONTH($A42)))*$C42</f>
        <v>-8446.915668454023</v>
      </c>
      <c r="AI42" s="1021">
        <f>(VLOOKUP(YEAR($A42),'NY East Load Projections'!$A$4:$EO$14,((MONTH($A42)-1)*12)+VLOOKUP(AI$4,$DE$6:$DF$17,2)+1))*(VLOOKUP($A42,CURVES!$D$9:$T$261,8))*(INDEX(DailyScalarsTable,AI$5/100,MONTH($A42)))*$C42</f>
        <v>-7740.3360093212159</v>
      </c>
      <c r="AJ42" s="1021">
        <f>(VLOOKUP(YEAR($A42),'NY East Load Projections'!$A$4:$EO$14,((MONTH($A42)-1)*12)+VLOOKUP(AJ$4,$DE$6:$DF$17,2)+1))*(VLOOKUP($A42,CURVES!$D$9:$T$261,8))*(INDEX(DailyScalarsTable,AJ$5/100,MONTH($A42)))*$C42</f>
        <v>-7735.6560821814528</v>
      </c>
      <c r="AK42" s="1021">
        <f>(VLOOKUP(YEAR($A42),'NY East Load Projections'!$A$4:$EO$14,((MONTH($A42)-1)*12)+VLOOKUP(AK$4,$DE$6:$DF$17,2)+1))*(VLOOKUP($A42,CURVES!$D$9:$T$261,8))*(INDEX(DailyScalarsTable,AK$5/100,MONTH($A42)))*$C42</f>
        <v>-8131.8410281257466</v>
      </c>
      <c r="AL42" s="1021">
        <f>(VLOOKUP(YEAR($A42),'NY East Load Projections'!$A$4:$EO$14,((MONTH($A42)-1)*12)+VLOOKUP(AL$4,$DE$6:$DF$17,2)+1))*(VLOOKUP($A42,CURVES!$D$9:$T$261,8))*(INDEX(DailyScalarsTable,AL$5/100,MONTH($A42)))*$C42</f>
        <v>-8678.4467629164792</v>
      </c>
      <c r="AM42" s="1021">
        <f>(VLOOKUP(YEAR($A42),'NY East Load Projections'!$A$4:$EO$14,((MONTH($A42)-1)*12)+VLOOKUP(AM$4,$DE$6:$DF$17,2)+1))*(VLOOKUP($A42,CURVES!$D$9:$T$261,8))*(INDEX(DailyScalarsTable,AM$5/100,MONTH($A42)))*$C42</f>
        <v>-16619.119880280618</v>
      </c>
      <c r="AN42" s="1021">
        <f>(VLOOKUP(YEAR($A42),'NY East Load Projections'!$A$4:$EO$14,((MONTH($A42)-1)*12)+VLOOKUP(AN$4,$DE$6:$DF$17,2)+1))*(VLOOKUP($A42,SatSunCurve,4))*(INDEX(DailyScalarsTable,AN$5/100,MONTH($A42)))*$C42</f>
        <v>-15301.001824505965</v>
      </c>
      <c r="AO42" s="1021">
        <f>(VLOOKUP(YEAR($A42),'NY East Load Projections'!$A$4:$EO$14,((MONTH($A42)-1)*12)+VLOOKUP(AO$4,$DE$6:$DF$17,2)+1))*(VLOOKUP($A42,SatSunCurve,4))*(INDEX(DailyScalarsTable,AO$5/100,MONTH($A42)))*$C42</f>
        <v>-17250.818416424787</v>
      </c>
      <c r="AP42" s="1021">
        <f>(VLOOKUP(YEAR($A42),'NY East Load Projections'!$A$4:$EO$14,((MONTH($A42)-1)*12)+VLOOKUP(AP$4,$DE$6:$DF$17,2)+1))*(VLOOKUP($A42,SatSunCurve,4))*(INDEX(DailyScalarsTable,AP$5/100,MONTH($A42)))*$C42</f>
        <v>-17198.313854323711</v>
      </c>
      <c r="AQ42" s="1021">
        <f>(VLOOKUP(YEAR($A42),'NY East Load Projections'!$A$4:$EO$14,((MONTH($A42)-1)*12)+VLOOKUP(AQ$4,$DE$6:$DF$17,2)+1))*(VLOOKUP($A42,SatSunCurve,4))*(INDEX(DailyScalarsTable,AQ$5/100,MONTH($A42)))*$C42</f>
        <v>-16898.180720163953</v>
      </c>
      <c r="AR42" s="1021">
        <f>(VLOOKUP(YEAR($A42),'NY East Load Projections'!$A$4:$EO$14,((MONTH($A42)-1)*12)+VLOOKUP(AR$4,$DE$6:$DF$17,2)+1))*(VLOOKUP($A42,SatSunCurve,4))*(INDEX(DailyScalarsTable,AR$5/100,MONTH($A42)))*$C42</f>
        <v>-12658.336151509833</v>
      </c>
      <c r="AS42" s="1021">
        <f>(VLOOKUP(YEAR($A42),'NY East Load Projections'!$A$4:$EO$14,((MONTH($A42)-1)*12)+VLOOKUP(AS$4,$DE$6:$DF$17,2)+1))*(VLOOKUP($A42,SatSunCurve,4))*(INDEX(DailyScalarsTable,AS$5/100,MONTH($A42)))*$C42</f>
        <v>-12344.557126183363</v>
      </c>
      <c r="AT42" s="1021">
        <f>(VLOOKUP(YEAR($A42),'NY East Load Projections'!$A$4:$EO$14,((MONTH($A42)-1)*12)+VLOOKUP(AT$4,$DE$6:$DF$17,2)+1))*(VLOOKUP($A42,SatSunCurve,4))*(INDEX(DailyScalarsTable,AT$5/100,MONTH($A42)))*$C42</f>
        <v>-11945.972923232193</v>
      </c>
      <c r="AU42" s="1021">
        <f>(VLOOKUP(YEAR($A42),'NY East Load Projections'!$A$4:$EO$14,((MONTH($A42)-1)*12)+VLOOKUP(AU$4,$DE$6:$DF$17,2)+1))*(VLOOKUP($A42,SatSunCurve,4))*(INDEX(DailyScalarsTable,AU$5/100,MONTH($A42)))*$C42</f>
        <v>-11337.987599165372</v>
      </c>
      <c r="AV42" s="1021">
        <f>(VLOOKUP(YEAR($A42),'NY East Load Projections'!$A$4:$EO$14,((MONTH($A42)-1)*12)+VLOOKUP(AV$4,$DE$6:$DF$17,2)+1))*(VLOOKUP($A42,SatSunCurve,4))*(INDEX(DailyScalarsTable,AV$5/100,MONTH($A42)))*$C42</f>
        <v>-11109.812584432455</v>
      </c>
      <c r="AW42" s="1021">
        <f>(VLOOKUP(YEAR($A42),'NY East Load Projections'!$A$4:$EO$14,((MONTH($A42)-1)*12)+VLOOKUP(AW$4,$DE$6:$DF$17,2)+1))*(VLOOKUP($A42,SatSunCurve,4))*(INDEX(DailyScalarsTable,AW$5/100,MONTH($A42)))*$C42</f>
        <v>-11499.436745551056</v>
      </c>
      <c r="AX42" s="1021">
        <f>(VLOOKUP(YEAR($A42),'NY East Load Projections'!$A$4:$EO$14,((MONTH($A42)-1)*12)+VLOOKUP(AX$4,$DE$6:$DF$17,2)+1))*(VLOOKUP($A42,SatSunCurve,4))*(INDEX(DailyScalarsTable,AX$5/100,MONTH($A42)))*$C42</f>
        <v>-16000.966645663959</v>
      </c>
      <c r="AY42" s="1021">
        <f>(VLOOKUP(YEAR($A42),'NY East Load Projections'!$A$4:$EO$14,((MONTH($A42)-1)*12)+VLOOKUP(AY$4,$DE$6:$DF$17,2)+1))*(VLOOKUP($A42,SatSunCurve,4))*(INDEX(DailyScalarsTable,AY$5/100,MONTH($A42)))*$C42</f>
        <v>-17557.311931165535</v>
      </c>
      <c r="AZ42" s="1021">
        <f>(VLOOKUP(YEAR($A42),'NY East Load Projections'!$A$4:$EO$14,((MONTH($A42)-1)*12)+VLOOKUP(AZ$4,$DE$6:$DF$17,2)+1))*(VLOOKUP($A42,SatSunCurve,4))*(INDEX(DailyScalarsTable,AZ$5/100,MONTH($A42)))*$C42</f>
        <v>-16805.394100513513</v>
      </c>
      <c r="BA42" s="1021">
        <f>(VLOOKUP(YEAR($A42),'NY East Load Projections'!$A$4:$EO$14,((MONTH($A42)-1)*12)+VLOOKUP(BA$4,$DE$6:$DF$17,2)+1))*(VLOOKUP($A42,SatSunCurve,4))*(INDEX(DailyScalarsTable,BA$5/100,MONTH($A42)))*$C42</f>
        <v>-15214.422051271342</v>
      </c>
      <c r="BB42" s="1021">
        <f>(VLOOKUP(YEAR($A42),'NY East Load Projections'!$A$4:$EO$14,((MONTH($A42)-1)*12)+VLOOKUP(BB$4,$DE$6:$DF$17,2)+1))*(VLOOKUP($A42,SatSunCurve,4))*(INDEX(DailyScalarsTable,BB$5/100,MONTH($A42)))*$C42</f>
        <v>-10820.84934357159</v>
      </c>
      <c r="BC42" s="1021">
        <f>(VLOOKUP(YEAR($A42),'NY East Load Projections'!$A$4:$EO$14,((MONTH($A42)-1)*12)+VLOOKUP(BC$4,$DE$6:$DF$17,2)+1))*(VLOOKUP($A42,SatSunCurve,4))*(INDEX(DailyScalarsTable,BC$5/100,MONTH($A42)))*$C42</f>
        <v>-8858.2120311039489</v>
      </c>
      <c r="BD42" s="1021">
        <f>(VLOOKUP(YEAR($A42),'NY East Load Projections'!$A$4:$EO$14,((MONTH($A42)-1)*12)+VLOOKUP(BD$4,$DE$6:$DF$17,2)+1))*(VLOOKUP($A42,CURVES!$D$9:$T$261,8))*(INDEX(DailyScalarsTable,BD$5/100,MONTH($A42)))*$C42</f>
        <v>-9902.6878029133877</v>
      </c>
      <c r="BE42" s="1021"/>
      <c r="BF42" s="1021">
        <f>(VLOOKUP(YEAR($A42),'NY East Load Projections'!$A$4:$EO$14,((MONTH($A42)-1)*12)+VLOOKUP(BF$4,$DE$6:$DF$17,2)+1))*(VLOOKUP($A42,CURVES!$D$9:$T$261,8))*(INDEX(DailyScalarsTable,BF$5/100,MONTH($A42)))*$D42</f>
        <v>-6891.8040789036049</v>
      </c>
      <c r="BG42" s="1021">
        <f>(VLOOKUP(YEAR($A42),'NY East Load Projections'!$A$4:$EO$14,((MONTH($A42)-1)*12)+VLOOKUP(BG$4,$DE$6:$DF$17,2)+1))*(VLOOKUP($A42,CURVES!$D$9:$T$261,8))*(INDEX(DailyScalarsTable,BG$5/100,MONTH($A42)))*$D42</f>
        <v>-6757.5325347632188</v>
      </c>
      <c r="BH42" s="1021">
        <f>(VLOOKUP(YEAR($A42),'NY East Load Projections'!$A$4:$EO$14,((MONTH($A42)-1)*12)+VLOOKUP(BH$4,$DE$6:$DF$17,2)+1))*(VLOOKUP($A42,CURVES!$D$9:$T$261,8))*(INDEX(DailyScalarsTable,BH$5/100,MONTH($A42)))*$D42</f>
        <v>-6192.2688074569724</v>
      </c>
      <c r="BI42" s="1021">
        <f>(VLOOKUP(YEAR($A42),'NY East Load Projections'!$A$4:$EO$14,((MONTH($A42)-1)*12)+VLOOKUP(BI$4,$DE$6:$DF$17,2)+1))*(VLOOKUP($A42,CURVES!$D$9:$T$261,8))*(INDEX(DailyScalarsTable,BI$5/100,MONTH($A42)))*$D42</f>
        <v>-6188.5248657451621</v>
      </c>
      <c r="BJ42" s="1021">
        <f>(VLOOKUP(YEAR($A42),'NY East Load Projections'!$A$4:$EO$14,((MONTH($A42)-1)*12)+VLOOKUP(BJ$4,$DE$6:$DF$17,2)+1))*(VLOOKUP($A42,CURVES!$D$9:$T$261,8))*(INDEX(DailyScalarsTable,BJ$5/100,MONTH($A42)))*$D42</f>
        <v>-6505.4728225005974</v>
      </c>
      <c r="BK42" s="1021">
        <f>(VLOOKUP(YEAR($A42),'NY East Load Projections'!$A$4:$EO$14,((MONTH($A42)-1)*12)+VLOOKUP(BK$4,$DE$6:$DF$17,2)+1))*(VLOOKUP($A42,CURVES!$D$9:$T$261,8))*(INDEX(DailyScalarsTable,BK$5/100,MONTH($A42)))*$D42</f>
        <v>-6942.7574103331826</v>
      </c>
      <c r="BL42" s="1021">
        <f>(VLOOKUP(YEAR($A42),'NY East Load Projections'!$A$4:$EO$14,((MONTH($A42)-1)*12)+VLOOKUP(BL$4,$DE$6:$DF$17,2)+1))*(VLOOKUP($A42,CURVES!$D$9:$T$261,8))*(INDEX(DailyScalarsTable,BL$5/100,MONTH($A42)))*$D42</f>
        <v>-13295.295904224493</v>
      </c>
      <c r="BM42" s="1021">
        <f>(VLOOKUP(YEAR($A42),'NY East Load Projections'!$A$4:$EO$14,((MONTH($A42)-1)*12)+VLOOKUP(BM$4,$DE$6:$DF$17,2)+1))*(VLOOKUP($A42,SatSunCurve,8))*(INDEX(DailyScalarsTable,BM$5/100,MONTH($A42)))*$D42</f>
        <v>-12708.791694533731</v>
      </c>
      <c r="BN42" s="1021">
        <f>(VLOOKUP(YEAR($A42),'NY East Load Projections'!$A$4:$EO$14,((MONTH($A42)-1)*12)+VLOOKUP(BN$4,$DE$6:$DF$17,2)+1))*(VLOOKUP($A42,SatSunCurve,8))*(INDEX(DailyScalarsTable,BN$5/100,MONTH($A42)))*$D42</f>
        <v>-14328.281267403061</v>
      </c>
      <c r="BO42" s="1021">
        <f>(VLOOKUP(YEAR($A42),'NY East Load Projections'!$A$4:$EO$14,((MONTH($A42)-1)*12)+VLOOKUP(BO$4,$DE$6:$DF$17,2)+1))*(VLOOKUP($A42,SatSunCurve,8))*(INDEX(DailyScalarsTable,BO$5/100,MONTH($A42)))*$D42</f>
        <v>-14284.671734484333</v>
      </c>
      <c r="BP42" s="1021">
        <f>(VLOOKUP(YEAR($A42),'NY East Load Projections'!$A$4:$EO$14,((MONTH($A42)-1)*12)+VLOOKUP(BP$4,$DE$6:$DF$17,2)+1))*(VLOOKUP($A42,SatSunCurve,8))*(INDEX(DailyScalarsTable,BP$5/100,MONTH($A42)))*$D42</f>
        <v>-14035.385476864592</v>
      </c>
      <c r="BQ42" s="1021">
        <f>(VLOOKUP(YEAR($A42),'NY East Load Projections'!$A$4:$EO$14,((MONTH($A42)-1)*12)+VLOOKUP(BQ$4,$DE$6:$DF$17,2)+1))*(VLOOKUP($A42,SatSunCurve,8))*(INDEX(DailyScalarsTable,BQ$5/100,MONTH($A42)))*$D42</f>
        <v>-10513.831655864042</v>
      </c>
      <c r="BR42" s="1021">
        <f>(VLOOKUP(YEAR($A42),'NY East Load Projections'!$A$4:$EO$14,((MONTH($A42)-1)*12)+VLOOKUP(BR$4,$DE$6:$DF$17,2)+1))*(VLOOKUP($A42,SatSunCurve,8))*(INDEX(DailyScalarsTable,BR$5/100,MONTH($A42)))*$D42</f>
        <v>-10253.211317619183</v>
      </c>
      <c r="BS42" s="1021">
        <f>(VLOOKUP(YEAR($A42),'NY East Load Projections'!$A$4:$EO$14,((MONTH($A42)-1)*12)+VLOOKUP(BS$4,$DE$6:$DF$17,2)+1))*(VLOOKUP($A42,SatSunCurve,8))*(INDEX(DailyScalarsTable,BS$5/100,MONTH($A42)))*$D42</f>
        <v>-9922.1530205130894</v>
      </c>
      <c r="BT42" s="1021">
        <f>(VLOOKUP(YEAR($A42),'NY East Load Projections'!$A$4:$EO$14,((MONTH($A42)-1)*12)+VLOOKUP(BT$4,$DE$6:$DF$17,2)+1))*(VLOOKUP($A42,SatSunCurve,8))*(INDEX(DailyScalarsTable,BT$5/100,MONTH($A42)))*$D42</f>
        <v>-9417.1691687679231</v>
      </c>
      <c r="BU42" s="1021">
        <f>(VLOOKUP(YEAR($A42),'NY East Load Projections'!$A$4:$EO$14,((MONTH($A42)-1)*12)+VLOOKUP(BU$4,$DE$6:$DF$17,2)+1))*(VLOOKUP($A42,SatSunCurve,8))*(INDEX(DailyScalarsTable,BU$5/100,MONTH($A42)))*$D42</f>
        <v>-9227.6502885405207</v>
      </c>
      <c r="BV42" s="1021">
        <f>(VLOOKUP(YEAR($A42),'NY East Load Projections'!$A$4:$EO$14,((MONTH($A42)-1)*12)+VLOOKUP(BV$4,$DE$6:$DF$17,2)+1))*(VLOOKUP($A42,SatSunCurve,8))*(INDEX(DailyScalarsTable,BV$5/100,MONTH($A42)))*$D42</f>
        <v>-9551.266503975723</v>
      </c>
      <c r="BW42" s="1021">
        <f>(VLOOKUP(YEAR($A42),'NY East Load Projections'!$A$4:$EO$14,((MONTH($A42)-1)*12)+VLOOKUP(BW$4,$DE$6:$DF$17,2)+1))*(VLOOKUP($A42,SatSunCurve,8))*(INDEX(DailyScalarsTable,BW$5/100,MONTH($A42)))*$D42</f>
        <v>-13290.172391538239</v>
      </c>
      <c r="BX42" s="1021">
        <f>(VLOOKUP(YEAR($A42),'NY East Load Projections'!$A$4:$EO$14,((MONTH($A42)-1)*12)+VLOOKUP(BX$4,$DE$6:$DF$17,2)+1))*(VLOOKUP($A42,SatSunCurve,8))*(INDEX(DailyScalarsTable,BX$5/100,MONTH($A42)))*$D42</f>
        <v>-14582.850365507944</v>
      </c>
      <c r="BY42" s="1021">
        <f>(VLOOKUP(YEAR($A42),'NY East Load Projections'!$A$4:$EO$14,((MONTH($A42)-1)*12)+VLOOKUP(BY$4,$DE$6:$DF$17,2)+1))*(VLOOKUP($A42,SatSunCurve,8))*(INDEX(DailyScalarsTable,BY$5/100,MONTH($A42)))*$D42</f>
        <v>-13958.318247234651</v>
      </c>
      <c r="BZ42" s="1021">
        <f>(VLOOKUP(YEAR($A42),'NY East Load Projections'!$A$4:$EO$14,((MONTH($A42)-1)*12)+VLOOKUP(BZ$4,$DE$6:$DF$17,2)+1))*(VLOOKUP($A42,SatSunCurve,8))*(INDEX(DailyScalarsTable,BZ$5/100,MONTH($A42)))*$D42</f>
        <v>-12636.8797821231</v>
      </c>
      <c r="CA42" s="1021">
        <f>(VLOOKUP(YEAR($A42),'NY East Load Projections'!$A$4:$EO$14,((MONTH($A42)-1)*12)+VLOOKUP(CA$4,$DE$6:$DF$17,2)+1))*(VLOOKUP($A42,SatSunCurve,8))*(INDEX(DailyScalarsTable,CA$5/100,MONTH($A42)))*$D42</f>
        <v>-8987.6415833852516</v>
      </c>
      <c r="CB42" s="1021">
        <f>(VLOOKUP(YEAR($A42),'NY East Load Projections'!$A$4:$EO$14,((MONTH($A42)-1)*12)+VLOOKUP(CB$4,$DE$6:$DF$17,2)+1))*(VLOOKUP($A42,SatSunCurve,8))*(INDEX(DailyScalarsTable,CB$5/100,MONTH($A42)))*$D42</f>
        <v>-7357.5033047189063</v>
      </c>
      <c r="CC42" s="1021">
        <f>(VLOOKUP(YEAR($A42),'NY East Load Projections'!$A$4:$EO$14,((MONTH($A42)-1)*12)+VLOOKUP(CC$4,$DE$6:$DF$17,2)+1))*(VLOOKUP($A42,CURVES!$D$9:$T$261,8))*(INDEX(DailyScalarsTable,CC$5/100,MONTH($A42)))*$D42</f>
        <v>-7922.1502423307102</v>
      </c>
      <c r="CE42" s="1021">
        <f>(VLOOKUP(YEAR($A42),'NY East Load Projections'!$A$4:$EO$14,((MONTH($A42)-1)*12)+VLOOKUP(CE$4,$DE$6:$DF$17,2)+1))*(VLOOKUP($A42,CURVES!$D$9:$T$261,8))*(INDEX(DailyScalarsTable,CE$5/100,MONTH($A42)))*$E42</f>
        <v>-1722.9510197259012</v>
      </c>
      <c r="CF42" s="1021">
        <f>(VLOOKUP(YEAR($A42),'NY East Load Projections'!$A$4:$EO$14,((MONTH($A42)-1)*12)+VLOOKUP(CF$4,$DE$6:$DF$17,2)+1))*(VLOOKUP($A42,CURVES!$D$9:$T$261,8))*(INDEX(DailyScalarsTable,CF$5/100,MONTH($A42)))*$E42</f>
        <v>-1689.3831336908047</v>
      </c>
      <c r="CG42" s="1021">
        <f>(VLOOKUP(YEAR($A42),'NY East Load Projections'!$A$4:$EO$14,((MONTH($A42)-1)*12)+VLOOKUP(CG$4,$DE$6:$DF$17,2)+1))*(VLOOKUP($A42,CURVES!$D$9:$T$261,8))*(INDEX(DailyScalarsTable,CG$5/100,MONTH($A42)))*$E42</f>
        <v>-1548.0672018642431</v>
      </c>
      <c r="CH42" s="1021">
        <f>(VLOOKUP(YEAR($A42),'NY East Load Projections'!$A$4:$EO$14,((MONTH($A42)-1)*12)+VLOOKUP(CH$4,$DE$6:$DF$17,2)+1))*(VLOOKUP($A42,CURVES!$D$9:$T$261,8))*(INDEX(DailyScalarsTable,CH$5/100,MONTH($A42)))*$E42</f>
        <v>-1547.1312164362905</v>
      </c>
      <c r="CI42" s="1021">
        <f>(VLOOKUP(YEAR($A42),'NY East Load Projections'!$A$4:$EO$14,((MONTH($A42)-1)*12)+VLOOKUP(CI$4,$DE$6:$DF$17,2)+1))*(VLOOKUP($A42,CURVES!$D$9:$T$261,8))*(INDEX(DailyScalarsTable,CI$5/100,MONTH($A42)))*$E42</f>
        <v>-1626.3682056251494</v>
      </c>
      <c r="CJ42" s="1021">
        <f>(VLOOKUP(YEAR($A42),'NY East Load Projections'!$A$4:$EO$14,((MONTH($A42)-1)*12)+VLOOKUP(CJ$4,$DE$6:$DF$17,2)+1))*(VLOOKUP($A42,CURVES!$D$9:$T$261,8))*(INDEX(DailyScalarsTable,CJ$5/100,MONTH($A42)))*$E42</f>
        <v>-1735.6893525832957</v>
      </c>
      <c r="CK42" s="1021">
        <f>(VLOOKUP(YEAR($A42),'NY East Load Projections'!$A$4:$EO$14,((MONTH($A42)-1)*12)+VLOOKUP(CK$4,$DE$6:$DF$17,2)+1))*(VLOOKUP($A42,CURVES!$D$9:$T$261,8))*(INDEX(DailyScalarsTable,CK$5/100,MONTH($A42)))*$E42</f>
        <v>-3323.8239760561232</v>
      </c>
      <c r="CL42" s="1021">
        <f>(VLOOKUP(YEAR($A42),'NY East Load Projections'!$A$4:$EO$14,((MONTH($A42)-1)*12)+VLOOKUP(CL$4,$DE$6:$DF$17,2)+1))*(VLOOKUP($A42,SatSunCurve,8))*(INDEX(DailyScalarsTable,CL$5/100,MONTH($A42)))*$E42</f>
        <v>-3177.1979236334328</v>
      </c>
      <c r="CM42" s="1021">
        <f>(VLOOKUP(YEAR($A42),'NY East Load Projections'!$A$4:$EO$14,((MONTH($A42)-1)*12)+VLOOKUP(CM$4,$DE$6:$DF$17,2)+1))*(VLOOKUP($A42,SatSunCurve,8))*(INDEX(DailyScalarsTable,CM$5/100,MONTH($A42)))*$E42</f>
        <v>-3582.0703168507653</v>
      </c>
      <c r="CN42" s="1021">
        <f>(VLOOKUP(YEAR($A42),'NY East Load Projections'!$A$4:$EO$14,((MONTH($A42)-1)*12)+VLOOKUP(CN$4,$DE$6:$DF$17,2)+1))*(VLOOKUP($A42,SatSunCurve,8))*(INDEX(DailyScalarsTable,CN$5/100,MONTH($A42)))*$E42</f>
        <v>-3571.1679336210832</v>
      </c>
      <c r="CO42" s="1021">
        <f>(VLOOKUP(YEAR($A42),'NY East Load Projections'!$A$4:$EO$14,((MONTH($A42)-1)*12)+VLOOKUP(CO$4,$DE$6:$DF$17,2)+1))*(VLOOKUP($A42,SatSunCurve,8))*(INDEX(DailyScalarsTable,CO$5/100,MONTH($A42)))*$E42</f>
        <v>-3508.8463692161481</v>
      </c>
      <c r="CP42" s="1021">
        <f>(VLOOKUP(YEAR($A42),'NY East Load Projections'!$A$4:$EO$14,((MONTH($A42)-1)*12)+VLOOKUP(CP$4,$DE$6:$DF$17,2)+1))*(VLOOKUP($A42,SatSunCurve,8))*(INDEX(DailyScalarsTable,CP$5/100,MONTH($A42)))*$E42</f>
        <v>-2628.4579139660104</v>
      </c>
      <c r="CQ42" s="1021">
        <f>(VLOOKUP(YEAR($A42),'NY East Load Projections'!$A$4:$EO$14,((MONTH($A42)-1)*12)+VLOOKUP(CQ$4,$DE$6:$DF$17,2)+1))*(VLOOKUP($A42,SatSunCurve,8))*(INDEX(DailyScalarsTable,CQ$5/100,MONTH($A42)))*$E42</f>
        <v>-2563.3028294047958</v>
      </c>
      <c r="CR42" s="1021">
        <f>(VLOOKUP(YEAR($A42),'NY East Load Projections'!$A$4:$EO$14,((MONTH($A42)-1)*12)+VLOOKUP(CR$4,$DE$6:$DF$17,2)+1))*(VLOOKUP($A42,SatSunCurve,8))*(INDEX(DailyScalarsTable,CR$5/100,MONTH($A42)))*$E42</f>
        <v>-2480.5382551282723</v>
      </c>
      <c r="CS42" s="1021">
        <f>(VLOOKUP(YEAR($A42),'NY East Load Projections'!$A$4:$EO$14,((MONTH($A42)-1)*12)+VLOOKUP(CS$4,$DE$6:$DF$17,2)+1))*(VLOOKUP($A42,SatSunCurve,8))*(INDEX(DailyScalarsTable,CS$5/100,MONTH($A42)))*$E42</f>
        <v>-2354.2922921919808</v>
      </c>
      <c r="CT42" s="1021">
        <f>(VLOOKUP(YEAR($A42),'NY East Load Projections'!$A$4:$EO$14,((MONTH($A42)-1)*12)+VLOOKUP(CT$4,$DE$6:$DF$17,2)+1))*(VLOOKUP($A42,SatSunCurve,8))*(INDEX(DailyScalarsTable,CT$5/100,MONTH($A42)))*$E42</f>
        <v>-2306.9125721351302</v>
      </c>
      <c r="CU42" s="1021">
        <f>(VLOOKUP(YEAR($A42),'NY East Load Projections'!$A$4:$EO$14,((MONTH($A42)-1)*12)+VLOOKUP(CU$4,$DE$6:$DF$17,2)+1))*(VLOOKUP($A42,SatSunCurve,8))*(INDEX(DailyScalarsTable,CU$5/100,MONTH($A42)))*$E42</f>
        <v>-2387.8166259939308</v>
      </c>
      <c r="CV42" s="1021">
        <f>(VLOOKUP(YEAR($A42),'NY East Load Projections'!$A$4:$EO$14,((MONTH($A42)-1)*12)+VLOOKUP(CV$4,$DE$6:$DF$17,2)+1))*(VLOOKUP($A42,SatSunCurve,8))*(INDEX(DailyScalarsTable,CV$5/100,MONTH($A42)))*$E42</f>
        <v>-3322.5430978845598</v>
      </c>
      <c r="CW42" s="1021">
        <f>(VLOOKUP(YEAR($A42),'NY East Load Projections'!$A$4:$EO$14,((MONTH($A42)-1)*12)+VLOOKUP(CW$4,$DE$6:$DF$17,2)+1))*(VLOOKUP($A42,SatSunCurve,8))*(INDEX(DailyScalarsTable,CW$5/100,MONTH($A42)))*$E42</f>
        <v>-3645.712591376986</v>
      </c>
      <c r="CX42" s="1021">
        <f>(VLOOKUP(YEAR($A42),'NY East Load Projections'!$A$4:$EO$14,((MONTH($A42)-1)*12)+VLOOKUP(CX$4,$DE$6:$DF$17,2)+1))*(VLOOKUP($A42,SatSunCurve,8))*(INDEX(DailyScalarsTable,CX$5/100,MONTH($A42)))*$E42</f>
        <v>-3489.5795618086627</v>
      </c>
      <c r="CY42" s="1021">
        <f>(VLOOKUP(YEAR($A42),'NY East Load Projections'!$A$4:$EO$14,((MONTH($A42)-1)*12)+VLOOKUP(CY$4,$DE$6:$DF$17,2)+1))*(VLOOKUP($A42,SatSunCurve,8))*(INDEX(DailyScalarsTable,CY$5/100,MONTH($A42)))*$E42</f>
        <v>-3159.219945530775</v>
      </c>
      <c r="CZ42" s="1021">
        <f>(VLOOKUP(YEAR($A42),'NY East Load Projections'!$A$4:$EO$14,((MONTH($A42)-1)*12)+VLOOKUP(CZ$4,$DE$6:$DF$17,2)+1))*(VLOOKUP($A42,SatSunCurve,8))*(INDEX(DailyScalarsTable,CZ$5/100,MONTH($A42)))*$E42</f>
        <v>-2246.9103958463129</v>
      </c>
      <c r="DA42" s="1021">
        <f>(VLOOKUP(YEAR($A42),'NY East Load Projections'!$A$4:$EO$14,((MONTH($A42)-1)*12)+VLOOKUP(DA$4,$DE$6:$DF$17,2)+1))*(VLOOKUP($A42,SatSunCurve,8))*(INDEX(DailyScalarsTable,DA$5/100,MONTH($A42)))*$E42</f>
        <v>-1839.3758261797266</v>
      </c>
      <c r="DB42" s="1021">
        <f>(VLOOKUP(YEAR($A42),'NY East Load Projections'!$A$4:$EO$14,((MONTH($A42)-1)*12)+VLOOKUP(DB$4,$DE$6:$DF$17,2)+1))*(VLOOKUP($A42,CURVES!$D$9:$T$261,8))*(INDEX(DailyScalarsTable,DB$5/100,MONTH($A42)))*$E42</f>
        <v>-1980.5375605826775</v>
      </c>
      <c r="DH42" s="1021">
        <f t="shared" si="0"/>
        <v>-2172876.0166862104</v>
      </c>
      <c r="DI42">
        <f ca="1">CALC!J62</f>
        <v>0.75365243967713424</v>
      </c>
      <c r="DJ42" s="1029">
        <f t="shared" ca="1" si="1"/>
        <v>-1637593.3110914959</v>
      </c>
    </row>
    <row r="43" spans="1:114" x14ac:dyDescent="0.25">
      <c r="A43" s="244">
        <v>38018</v>
      </c>
      <c r="B43" s="13">
        <v>20</v>
      </c>
      <c r="C43" s="210">
        <v>4</v>
      </c>
      <c r="D43" s="210">
        <v>5</v>
      </c>
      <c r="E43" s="210">
        <v>0</v>
      </c>
      <c r="F43" s="13">
        <v>29</v>
      </c>
      <c r="H43" s="1021">
        <f>(VLOOKUP(YEAR($A43),'NY East Load Projections'!$A$4:$EO$14,((MONTH($A43)-1)*12)+VLOOKUP(H$4,$DE$6:$DF$17,2)+1))*(VLOOKUP($A43,CURVES!$D$9:$K$261,8))*(INDEX(DailyScalarsTable,H$5/100,MONTH($A43)))*$B43</f>
        <v>-31987.575602407189</v>
      </c>
      <c r="I43" s="1021">
        <f>(VLOOKUP(YEAR($A43),'NY East Load Projections'!$A$4:$EO$14,((MONTH($A43)-1)*12)+VLOOKUP(I$4,$DE$6:$DF$17,2)+1))*(VLOOKUP($A43,CURVES!$D$9:$K$261,8))*(INDEX(DailyScalarsTable,I$5/100,MONTH($A43)))*$B43</f>
        <v>-31364.368511742792</v>
      </c>
      <c r="J43" s="1021">
        <f>(VLOOKUP(YEAR($A43),'NY East Load Projections'!$A$4:$EO$14,((MONTH($A43)-1)*12)+VLOOKUP(J$4,$DE$6:$DF$17,2)+1))*(VLOOKUP($A43,CURVES!$D$9:$K$261,8))*(INDEX(DailyScalarsTable,J$5/100,MONTH($A43)))*$B43</f>
        <v>-28740.75704433968</v>
      </c>
      <c r="K43" s="1021">
        <f>(VLOOKUP(YEAR($A43),'NY East Load Projections'!$A$4:$EO$14,((MONTH($A43)-1)*12)+VLOOKUP(K$4,$DE$6:$DF$17,2)+1))*(VLOOKUP($A43,CURVES!$D$9:$K$261,8))*(INDEX(DailyScalarsTable,K$5/100,MONTH($A43)))*$B43</f>
        <v>-28723.379937099486</v>
      </c>
      <c r="L43" s="1021">
        <f>(VLOOKUP(YEAR($A43),'NY East Load Projections'!$A$4:$EO$14,((MONTH($A43)-1)*12)+VLOOKUP(L$4,$DE$6:$DF$17,2)+1))*(VLOOKUP($A43,CURVES!$D$9:$K$261,8))*(INDEX(DailyScalarsTable,L$5/100,MONTH($A43)))*$B43</f>
        <v>-32935.651506267233</v>
      </c>
      <c r="M43" s="1021">
        <f>(VLOOKUP(YEAR($A43),'NY East Load Projections'!$A$4:$EO$14,((MONTH($A43)-1)*12)+VLOOKUP(M$4,$DE$6:$DF$17,2)+1))*(VLOOKUP($A43,CURVES!$D$9:$K$261,8))*(INDEX(DailyScalarsTable,M$5/100,MONTH($A43)))*$B43</f>
        <v>-35149.518689618213</v>
      </c>
      <c r="N43" s="1021">
        <f>(VLOOKUP(YEAR($A43),'NY East Load Projections'!$A$4:$EO$14,((MONTH($A43)-1)*12)+VLOOKUP(N$4,$DE$6:$DF$17,2)+1))*(VLOOKUP($A43,CURVES!$D$9:$K$261,8))*(INDEX(DailyScalarsTable,N$5/100,MONTH($A43)))*$B43</f>
        <v>-67310.900302235445</v>
      </c>
      <c r="O43" s="1021">
        <f>(VLOOKUP(YEAR($A43),'NY East Load Projections'!$A$4:$EO$14,((MONTH($A43)-1)*12)+VLOOKUP(O$4,$DE$6:$DF$17,2)+1))*(VLOOKUP($A43,CURVES!$D$9:$K$261,4))*(INDEX(DailyScalarsTable,O$5/100,MONTH($A43)))*$B43</f>
        <v>-79531.312285428576</v>
      </c>
      <c r="P43" s="1021">
        <f>(VLOOKUP(YEAR($A43),'NY East Load Projections'!$A$4:$EO$14,((MONTH($A43)-1)*12)+VLOOKUP(P$4,$DE$6:$DF$17,2)+1))*(VLOOKUP($A43,CURVES!$D$9:$K$261,4))*(INDEX(DailyScalarsTable,P$5/100,MONTH($A43)))*$B43</f>
        <v>-91040.972576219137</v>
      </c>
      <c r="Q43" s="1021">
        <f>(VLOOKUP(YEAR($A43),'NY East Load Projections'!$A$4:$EO$14,((MONTH($A43)-1)*12)+VLOOKUP(Q$4,$DE$6:$DF$17,2)+1))*(VLOOKUP($A43,CURVES!$D$9:$K$261,4))*(INDEX(DailyScalarsTable,Q$5/100,MONTH($A43)))*$B43</f>
        <v>-90763.880424242205</v>
      </c>
      <c r="R43" s="1021">
        <f>(VLOOKUP(YEAR($A43),'NY East Load Projections'!$A$4:$EO$14,((MONTH($A43)-1)*12)+VLOOKUP(R$4,$DE$6:$DF$17,2)+1))*(VLOOKUP($A43,CURVES!$D$9:$K$261,4))*(INDEX(DailyScalarsTable,R$5/100,MONTH($A43)))*$B43</f>
        <v>-89179.931664440897</v>
      </c>
      <c r="S43" s="1021">
        <f>(VLOOKUP(YEAR($A43),'NY East Load Projections'!$A$4:$EO$14,((MONTH($A43)-1)*12)+VLOOKUP(S$4,$DE$6:$DF$17,2)+1))*(VLOOKUP($A43,CURVES!$D$9:$K$261,4))*(INDEX(DailyScalarsTable,S$5/100,MONTH($A43)))*$B43</f>
        <v>-66804.206421471885</v>
      </c>
      <c r="T43" s="1021">
        <f>(VLOOKUP(YEAR($A43),'NY East Load Projections'!$A$4:$EO$14,((MONTH($A43)-1)*12)+VLOOKUP(T$4,$DE$6:$DF$17,2)+1))*(VLOOKUP($A43,CURVES!$D$9:$K$261,4))*(INDEX(DailyScalarsTable,T$5/100,MONTH($A43)))*$B43</f>
        <v>-65746.647003558712</v>
      </c>
      <c r="U43" s="1021">
        <f>(VLOOKUP(YEAR($A43),'NY East Load Projections'!$A$4:$EO$14,((MONTH($A43)-1)*12)+VLOOKUP(U$4,$DE$6:$DF$17,2)+1))*(VLOOKUP($A43,CURVES!$D$9:$K$261,4))*(INDEX(DailyScalarsTable,U$5/100,MONTH($A43)))*$B43</f>
        <v>-63623.802528478911</v>
      </c>
      <c r="V43" s="1021">
        <f>(VLOOKUP(YEAR($A43),'NY East Load Projections'!$A$4:$EO$14,((MONTH($A43)-1)*12)+VLOOKUP(V$4,$DE$6:$DF$17,2)+1))*(VLOOKUP($A43,CURVES!$D$9:$K$261,4))*(INDEX(DailyScalarsTable,V$5/100,MONTH($A43)))*$B43</f>
        <v>-60385.695557433253</v>
      </c>
      <c r="W43" s="1021">
        <f>(VLOOKUP(YEAR($A43),'NY East Load Projections'!$A$4:$EO$14,((MONTH($A43)-1)*12)+VLOOKUP(W$4,$DE$6:$DF$17,2)+1))*(VLOOKUP($A43,CURVES!$D$9:$K$261,4))*(INDEX(DailyScalarsTable,W$5/100,MONTH($A43)))*$B43</f>
        <v>-59170.444010104955</v>
      </c>
      <c r="X43" s="1021">
        <f>(VLOOKUP(YEAR($A43),'NY East Load Projections'!$A$4:$EO$14,((MONTH($A43)-1)*12)+VLOOKUP(X$4,$DE$6:$DF$17,2)+1))*(VLOOKUP($A43,CURVES!$D$9:$K$261,4))*(INDEX(DailyScalarsTable,X$5/100,MONTH($A43)))*$B43</f>
        <v>-60720.921250925967</v>
      </c>
      <c r="Y43" s="1021">
        <f>(VLOOKUP(YEAR($A43),'NY East Load Projections'!$A$4:$EO$14,((MONTH($A43)-1)*12)+VLOOKUP(Y$4,$DE$6:$DF$17,2)+1))*(VLOOKUP($A43,CURVES!$D$9:$K$261,4))*(INDEX(DailyScalarsTable,Y$5/100,MONTH($A43)))*$B43</f>
        <v>-84490.523938570113</v>
      </c>
      <c r="Z43" s="1021">
        <f>(VLOOKUP(YEAR($A43),'NY East Load Projections'!$A$4:$EO$14,((MONTH($A43)-1)*12)+VLOOKUP(Z$4,$DE$6:$DF$17,2)+1))*(VLOOKUP($A43,CURVES!$D$9:$K$261,4))*(INDEX(DailyScalarsTable,Z$5/100,MONTH($A43)))*$B43</f>
        <v>-92708.554230945316</v>
      </c>
      <c r="AA43" s="1021">
        <f>(VLOOKUP(YEAR($A43),'NY East Load Projections'!$A$4:$EO$14,((MONTH($A43)-1)*12)+VLOOKUP(AA$4,$DE$6:$DF$17,2)+1))*(VLOOKUP($A43,CURVES!$D$9:$K$261,4))*(INDEX(DailyScalarsTable,AA$5/100,MONTH($A43)))*$B43</f>
        <v>-88738.173386000679</v>
      </c>
      <c r="AB43" s="1021">
        <f>(VLOOKUP(YEAR($A43),'NY East Load Projections'!$A$4:$EO$14,((MONTH($A43)-1)*12)+VLOOKUP(AB$4,$DE$6:$DF$17,2)+1))*(VLOOKUP($A43,CURVES!$D$9:$K$261,4))*(INDEX(DailyScalarsTable,AB$5/100,MONTH($A43)))*$B43</f>
        <v>-74880.776627079496</v>
      </c>
      <c r="AC43" s="1021">
        <f>(VLOOKUP(YEAR($A43),'NY East Load Projections'!$A$4:$EO$14,((MONTH($A43)-1)*12)+VLOOKUP(AC$4,$DE$6:$DF$17,2)+1))*(VLOOKUP($A43,CURVES!$D$9:$K$261,4))*(INDEX(DailyScalarsTable,AC$5/100,MONTH($A43)))*$B43</f>
        <v>-53256.942648278666</v>
      </c>
      <c r="AD43" s="1021">
        <f>(VLOOKUP(YEAR($A43),'NY East Load Projections'!$A$4:$EO$14,((MONTH($A43)-1)*12)+VLOOKUP(AD$4,$DE$6:$DF$17,2)+1))*(VLOOKUP($A43,CURVES!$D$9:$K$261,4))*(INDEX(DailyScalarsTable,AD$5/100,MONTH($A43)))*$B43</f>
        <v>-43597.436312802674</v>
      </c>
      <c r="AE43" s="1021">
        <f>(VLOOKUP(YEAR($A43),'NY East Load Projections'!$A$4:$EO$14,((MONTH($A43)-1)*12)+VLOOKUP(AE$4,$DE$6:$DF$17,2)+1))*(VLOOKUP($A43,CURVES!$D$9:$K$261,8))*(INDEX(DailyScalarsTable,AE$5/100,MONTH($A43)))*$B43</f>
        <v>-37977.56059201515</v>
      </c>
      <c r="AF43" s="1021"/>
      <c r="AG43" s="1021">
        <f>(VLOOKUP(YEAR($A43),'NY East Load Projections'!$A$4:$EO$14,((MONTH($A43)-1)*12)+VLOOKUP(AG$4,$DE$6:$DF$17,2)+1))*(VLOOKUP($A43,CURVES!$D$9:$T$261,8))*(INDEX(DailyScalarsTable,AG$5/100,MONTH($A43)))*$C43</f>
        <v>-6749.5253896613794</v>
      </c>
      <c r="AH43" s="1021">
        <f>(VLOOKUP(YEAR($A43),'NY East Load Projections'!$A$4:$EO$14,((MONTH($A43)-1)*12)+VLOOKUP(AH$4,$DE$6:$DF$17,2)+1))*(VLOOKUP($A43,CURVES!$D$9:$T$261,8))*(INDEX(DailyScalarsTable,AH$5/100,MONTH($A43)))*$C43</f>
        <v>-6618.0258307782797</v>
      </c>
      <c r="AI43" s="1021">
        <f>(VLOOKUP(YEAR($A43),'NY East Load Projections'!$A$4:$EO$14,((MONTH($A43)-1)*12)+VLOOKUP(AI$4,$DE$6:$DF$17,2)+1))*(VLOOKUP($A43,CURVES!$D$9:$T$261,8))*(INDEX(DailyScalarsTable,AI$5/100,MONTH($A43)))*$C43</f>
        <v>-6064.4317593816513</v>
      </c>
      <c r="AJ43" s="1021">
        <f>(VLOOKUP(YEAR($A43),'NY East Load Projections'!$A$4:$EO$14,((MONTH($A43)-1)*12)+VLOOKUP(AJ$4,$DE$6:$DF$17,2)+1))*(VLOOKUP($A43,CURVES!$D$9:$T$261,8))*(INDEX(DailyScalarsTable,AJ$5/100,MONTH($A43)))*$C43</f>
        <v>-6060.7651099308023</v>
      </c>
      <c r="AK43" s="1021">
        <f>(VLOOKUP(YEAR($A43),'NY East Load Projections'!$A$4:$EO$14,((MONTH($A43)-1)*12)+VLOOKUP(AK$4,$DE$6:$DF$17,2)+1))*(VLOOKUP($A43,CURVES!$D$9:$T$261,8))*(INDEX(DailyScalarsTable,AK$5/100,MONTH($A43)))*$C43</f>
        <v>-6325.4395421402478</v>
      </c>
      <c r="AL43" s="1021">
        <f>(VLOOKUP(YEAR($A43),'NY East Load Projections'!$A$4:$EO$14,((MONTH($A43)-1)*12)+VLOOKUP(AL$4,$DE$6:$DF$17,2)+1))*(VLOOKUP($A43,CURVES!$D$9:$T$261,8))*(INDEX(DailyScalarsTable,AL$5/100,MONTH($A43)))*$C43</f>
        <v>-6750.6226608027164</v>
      </c>
      <c r="AM43" s="1021">
        <f>(VLOOKUP(YEAR($A43),'NY East Load Projections'!$A$4:$EO$14,((MONTH($A43)-1)*12)+VLOOKUP(AM$4,$DE$6:$DF$17,2)+1))*(VLOOKUP($A43,CURVES!$D$9:$T$261,8))*(INDEX(DailyScalarsTable,AM$5/100,MONTH($A43)))*$C43</f>
        <v>-12927.360198349237</v>
      </c>
      <c r="AN43" s="1021">
        <f>(VLOOKUP(YEAR($A43),'NY East Load Projections'!$A$4:$EO$14,((MONTH($A43)-1)*12)+VLOOKUP(AN$4,$DE$6:$DF$17,2)+1))*(VLOOKUP($A43,SatSunCurve,4))*(INDEX(DailyScalarsTable,AN$5/100,MONTH($A43)))*$C43</f>
        <v>-11601.688890363765</v>
      </c>
      <c r="AO43" s="1021">
        <f>(VLOOKUP(YEAR($A43),'NY East Load Projections'!$A$4:$EO$14,((MONTH($A43)-1)*12)+VLOOKUP(AO$4,$DE$6:$DF$17,2)+1))*(VLOOKUP($A43,SatSunCurve,4))*(INDEX(DailyScalarsTable,AO$5/100,MONTH($A43)))*$C43</f>
        <v>-13031.225102890599</v>
      </c>
      <c r="AP43" s="1021">
        <f>(VLOOKUP(YEAR($A43),'NY East Load Projections'!$A$4:$EO$14,((MONTH($A43)-1)*12)+VLOOKUP(AP$4,$DE$6:$DF$17,2)+1))*(VLOOKUP($A43,SatSunCurve,4))*(INDEX(DailyScalarsTable,AP$5/100,MONTH($A43)))*$C43</f>
        <v>-12991.563287946421</v>
      </c>
      <c r="AQ43" s="1021">
        <f>(VLOOKUP(YEAR($A43),'NY East Load Projections'!$A$4:$EO$14,((MONTH($A43)-1)*12)+VLOOKUP(AQ$4,$DE$6:$DF$17,2)+1))*(VLOOKUP($A43,SatSunCurve,4))*(INDEX(DailyScalarsTable,AQ$5/100,MONTH($A43)))*$C43</f>
        <v>-12764.843468766825</v>
      </c>
      <c r="AR43" s="1021">
        <f>(VLOOKUP(YEAR($A43),'NY East Load Projections'!$A$4:$EO$14,((MONTH($A43)-1)*12)+VLOOKUP(AR$4,$DE$6:$DF$17,2)+1))*(VLOOKUP($A43,SatSunCurve,4))*(INDEX(DailyScalarsTable,AR$5/100,MONTH($A43)))*$C43</f>
        <v>-9562.0754816668559</v>
      </c>
      <c r="AS43" s="1021">
        <f>(VLOOKUP(YEAR($A43),'NY East Load Projections'!$A$4:$EO$14,((MONTH($A43)-1)*12)+VLOOKUP(AS$4,$DE$6:$DF$17,2)+1))*(VLOOKUP($A43,SatSunCurve,4))*(INDEX(DailyScalarsTable,AS$5/100,MONTH($A43)))*$C43</f>
        <v>-9302.2958369203898</v>
      </c>
      <c r="AT43" s="1021">
        <f>(VLOOKUP(YEAR($A43),'NY East Load Projections'!$A$4:$EO$14,((MONTH($A43)-1)*12)+VLOOKUP(AT$4,$DE$6:$DF$17,2)+1))*(VLOOKUP($A43,SatSunCurve,4))*(INDEX(DailyScalarsTable,AT$5/100,MONTH($A43)))*$C43</f>
        <v>-9001.9409409224936</v>
      </c>
      <c r="AU43" s="1021">
        <f>(VLOOKUP(YEAR($A43),'NY East Load Projections'!$A$4:$EO$14,((MONTH($A43)-1)*12)+VLOOKUP(AU$4,$DE$6:$DF$17,2)+1))*(VLOOKUP($A43,SatSunCurve,4))*(INDEX(DailyScalarsTable,AU$5/100,MONTH($A43)))*$C43</f>
        <v>-8543.7909002880187</v>
      </c>
      <c r="AV43" s="1021">
        <f>(VLOOKUP(YEAR($A43),'NY East Load Projections'!$A$4:$EO$14,((MONTH($A43)-1)*12)+VLOOKUP(AV$4,$DE$6:$DF$17,2)+1))*(VLOOKUP($A43,SatSunCurve,4))*(INDEX(DailyScalarsTable,AV$5/100,MONTH($A43)))*$C43</f>
        <v>-8371.8486047529896</v>
      </c>
      <c r="AW43" s="1021">
        <f>(VLOOKUP(YEAR($A43),'NY East Load Projections'!$A$4:$EO$14,((MONTH($A43)-1)*12)+VLOOKUP(AW$4,$DE$6:$DF$17,2)+1))*(VLOOKUP($A43,SatSunCurve,4))*(INDEX(DailyScalarsTable,AW$5/100,MONTH($A43)))*$C43</f>
        <v>-8721.8069533261078</v>
      </c>
      <c r="AX43" s="1021">
        <f>(VLOOKUP(YEAR($A43),'NY East Load Projections'!$A$4:$EO$14,((MONTH($A43)-1)*12)+VLOOKUP(AX$4,$DE$6:$DF$17,2)+1))*(VLOOKUP($A43,SatSunCurve,4))*(INDEX(DailyScalarsTable,AX$5/100,MONTH($A43)))*$C43</f>
        <v>-12136.015462155874</v>
      </c>
      <c r="AY43" s="1021">
        <f>(VLOOKUP(YEAR($A43),'NY East Load Projections'!$A$4:$EO$14,((MONTH($A43)-1)*12)+VLOOKUP(AY$4,$DE$6:$DF$17,2)+1))*(VLOOKUP($A43,SatSunCurve,4))*(INDEX(DailyScalarsTable,AY$5/100,MONTH($A43)))*$C43</f>
        <v>-13316.433549860521</v>
      </c>
      <c r="AZ43" s="1021">
        <f>(VLOOKUP(YEAR($A43),'NY East Load Projections'!$A$4:$EO$14,((MONTH($A43)-1)*12)+VLOOKUP(AZ$4,$DE$6:$DF$17,2)+1))*(VLOOKUP($A43,SatSunCurve,4))*(INDEX(DailyScalarsTable,AZ$5/100,MONTH($A43)))*$C43</f>
        <v>-12746.13760330054</v>
      </c>
      <c r="BA43" s="1021">
        <f>(VLOOKUP(YEAR($A43),'NY East Load Projections'!$A$4:$EO$14,((MONTH($A43)-1)*12)+VLOOKUP(BA$4,$DE$6:$DF$17,2)+1))*(VLOOKUP($A43,SatSunCurve,4))*(INDEX(DailyScalarsTable,BA$5/100,MONTH($A43)))*$C43</f>
        <v>-11607.789515770171</v>
      </c>
      <c r="BB43" s="1021">
        <f>(VLOOKUP(YEAR($A43),'NY East Load Projections'!$A$4:$EO$14,((MONTH($A43)-1)*12)+VLOOKUP(BB$4,$DE$6:$DF$17,2)+1))*(VLOOKUP($A43,SatSunCurve,4))*(INDEX(DailyScalarsTable,BB$5/100,MONTH($A43)))*$C43</f>
        <v>-8255.7287512306775</v>
      </c>
      <c r="BC43" s="1021">
        <f>(VLOOKUP(YEAR($A43),'NY East Load Projections'!$A$4:$EO$14,((MONTH($A43)-1)*12)+VLOOKUP(BC$4,$DE$6:$DF$17,2)+1))*(VLOOKUP($A43,SatSunCurve,4))*(INDEX(DailyScalarsTable,BC$5/100,MONTH($A43)))*$C43</f>
        <v>-6758.3415522856121</v>
      </c>
      <c r="BD43" s="1021">
        <f>(VLOOKUP(YEAR($A43),'NY East Load Projections'!$A$4:$EO$14,((MONTH($A43)-1)*12)+VLOOKUP(BD$4,$DE$6:$DF$17,2)+1))*(VLOOKUP($A43,CURVES!$D$9:$T$261,8))*(INDEX(DailyScalarsTable,BD$5/100,MONTH($A43)))*$C43</f>
        <v>-7750.8196800869682</v>
      </c>
      <c r="BE43" s="1021"/>
      <c r="BF43" s="1021">
        <f>(VLOOKUP(YEAR($A43),'NY East Load Projections'!$A$4:$EO$14,((MONTH($A43)-1)*12)+VLOOKUP(BF$4,$DE$6:$DF$17,2)+1))*(VLOOKUP($A43,CURVES!$D$9:$T$261,8))*(INDEX(DailyScalarsTable,BF$5/100,MONTH($A43)))*$D43</f>
        <v>-8436.9067370767243</v>
      </c>
      <c r="BG43" s="1021">
        <f>(VLOOKUP(YEAR($A43),'NY East Load Projections'!$A$4:$EO$14,((MONTH($A43)-1)*12)+VLOOKUP(BG$4,$DE$6:$DF$17,2)+1))*(VLOOKUP($A43,CURVES!$D$9:$T$261,8))*(INDEX(DailyScalarsTable,BG$5/100,MONTH($A43)))*$D43</f>
        <v>-8272.5322884728503</v>
      </c>
      <c r="BH43" s="1021">
        <f>(VLOOKUP(YEAR($A43),'NY East Load Projections'!$A$4:$EO$14,((MONTH($A43)-1)*12)+VLOOKUP(BH$4,$DE$6:$DF$17,2)+1))*(VLOOKUP($A43,CURVES!$D$9:$T$261,8))*(INDEX(DailyScalarsTable,BH$5/100,MONTH($A43)))*$D43</f>
        <v>-7580.5396992270644</v>
      </c>
      <c r="BI43" s="1021">
        <f>(VLOOKUP(YEAR($A43),'NY East Load Projections'!$A$4:$EO$14,((MONTH($A43)-1)*12)+VLOOKUP(BI$4,$DE$6:$DF$17,2)+1))*(VLOOKUP($A43,CURVES!$D$9:$T$261,8))*(INDEX(DailyScalarsTable,BI$5/100,MONTH($A43)))*$D43</f>
        <v>-7575.9563874135029</v>
      </c>
      <c r="BJ43" s="1021">
        <f>(VLOOKUP(YEAR($A43),'NY East Load Projections'!$A$4:$EO$14,((MONTH($A43)-1)*12)+VLOOKUP(BJ$4,$DE$6:$DF$17,2)+1))*(VLOOKUP($A43,CURVES!$D$9:$T$261,8))*(INDEX(DailyScalarsTable,BJ$5/100,MONTH($A43)))*$D43</f>
        <v>-7906.7994276753097</v>
      </c>
      <c r="BK43" s="1021">
        <f>(VLOOKUP(YEAR($A43),'NY East Load Projections'!$A$4:$EO$14,((MONTH($A43)-1)*12)+VLOOKUP(BK$4,$DE$6:$DF$17,2)+1))*(VLOOKUP($A43,CURVES!$D$9:$T$261,8))*(INDEX(DailyScalarsTable,BK$5/100,MONTH($A43)))*$D43</f>
        <v>-8438.2783260033957</v>
      </c>
      <c r="BL43" s="1021">
        <f>(VLOOKUP(YEAR($A43),'NY East Load Projections'!$A$4:$EO$14,((MONTH($A43)-1)*12)+VLOOKUP(BL$4,$DE$6:$DF$17,2)+1))*(VLOOKUP($A43,CURVES!$D$9:$T$261,8))*(INDEX(DailyScalarsTable,BL$5/100,MONTH($A43)))*$D43</f>
        <v>-16159.200247936547</v>
      </c>
      <c r="BM43" s="1021">
        <f>(VLOOKUP(YEAR($A43),'NY East Load Projections'!$A$4:$EO$14,((MONTH($A43)-1)*12)+VLOOKUP(BM$4,$DE$6:$DF$17,2)+1))*(VLOOKUP($A43,SatSunCurve,8))*(INDEX(DailyScalarsTable,BM$5/100,MONTH($A43)))*$D43</f>
        <v>-14566.304707569454</v>
      </c>
      <c r="BN43" s="1021">
        <f>(VLOOKUP(YEAR($A43),'NY East Load Projections'!$A$4:$EO$14,((MONTH($A43)-1)*12)+VLOOKUP(BN$4,$DE$6:$DF$17,2)+1))*(VLOOKUP($A43,SatSunCurve,8))*(INDEX(DailyScalarsTable,BN$5/100,MONTH($A43)))*$D43</f>
        <v>-16361.134775755996</v>
      </c>
      <c r="BO43" s="1021">
        <f>(VLOOKUP(YEAR($A43),'NY East Load Projections'!$A$4:$EO$14,((MONTH($A43)-1)*12)+VLOOKUP(BO$4,$DE$6:$DF$17,2)+1))*(VLOOKUP($A43,SatSunCurve,8))*(INDEX(DailyScalarsTable,BO$5/100,MONTH($A43)))*$D43</f>
        <v>-16311.338053296735</v>
      </c>
      <c r="BP43" s="1021">
        <f>(VLOOKUP(YEAR($A43),'NY East Load Projections'!$A$4:$EO$14,((MONTH($A43)-1)*12)+VLOOKUP(BP$4,$DE$6:$DF$17,2)+1))*(VLOOKUP($A43,SatSunCurve,8))*(INDEX(DailyScalarsTable,BP$5/100,MONTH($A43)))*$D43</f>
        <v>-16026.683810227172</v>
      </c>
      <c r="BQ43" s="1021">
        <f>(VLOOKUP(YEAR($A43),'NY East Load Projections'!$A$4:$EO$14,((MONTH($A43)-1)*12)+VLOOKUP(BQ$4,$DE$6:$DF$17,2)+1))*(VLOOKUP($A43,SatSunCurve,8))*(INDEX(DailyScalarsTable,BQ$5/100,MONTH($A43)))*$D43</f>
        <v>-12005.502510796186</v>
      </c>
      <c r="BR43" s="1021">
        <f>(VLOOKUP(YEAR($A43),'NY East Load Projections'!$A$4:$EO$14,((MONTH($A43)-1)*12)+VLOOKUP(BR$4,$DE$6:$DF$17,2)+1))*(VLOOKUP($A43,SatSunCurve,8))*(INDEX(DailyScalarsTable,BR$5/100,MONTH($A43)))*$D43</f>
        <v>-11679.340561621342</v>
      </c>
      <c r="BS43" s="1021">
        <f>(VLOOKUP(YEAR($A43),'NY East Load Projections'!$A$4:$EO$14,((MONTH($A43)-1)*12)+VLOOKUP(BS$4,$DE$6:$DF$17,2)+1))*(VLOOKUP($A43,SatSunCurve,8))*(INDEX(DailyScalarsTable,BS$5/100,MONTH($A43)))*$D43</f>
        <v>-11302.235040445923</v>
      </c>
      <c r="BT43" s="1021">
        <f>(VLOOKUP(YEAR($A43),'NY East Load Projections'!$A$4:$EO$14,((MONTH($A43)-1)*12)+VLOOKUP(BT$4,$DE$6:$DF$17,2)+1))*(VLOOKUP($A43,SatSunCurve,8))*(INDEX(DailyScalarsTable,BT$5/100,MONTH($A43)))*$D43</f>
        <v>-10727.012488218199</v>
      </c>
      <c r="BU43" s="1021">
        <f>(VLOOKUP(YEAR($A43),'NY East Load Projections'!$A$4:$EO$14,((MONTH($A43)-1)*12)+VLOOKUP(BU$4,$DE$6:$DF$17,2)+1))*(VLOOKUP($A43,SatSunCurve,8))*(INDEX(DailyScalarsTable,BU$5/100,MONTH($A43)))*$D43</f>
        <v>-10511.133240588792</v>
      </c>
      <c r="BV43" s="1021">
        <f>(VLOOKUP(YEAR($A43),'NY East Load Projections'!$A$4:$EO$14,((MONTH($A43)-1)*12)+VLOOKUP(BV$4,$DE$6:$DF$17,2)+1))*(VLOOKUP($A43,SatSunCurve,8))*(INDEX(DailyScalarsTable,BV$5/100,MONTH($A43)))*$D43</f>
        <v>-10950.517539585797</v>
      </c>
      <c r="BW43" s="1021">
        <f>(VLOOKUP(YEAR($A43),'NY East Load Projections'!$A$4:$EO$14,((MONTH($A43)-1)*12)+VLOOKUP(BW$4,$DE$6:$DF$17,2)+1))*(VLOOKUP($A43,SatSunCurve,8))*(INDEX(DailyScalarsTable,BW$5/100,MONTH($A43)))*$D43</f>
        <v>-15237.169418011697</v>
      </c>
      <c r="BX43" s="1021">
        <f>(VLOOKUP(YEAR($A43),'NY East Load Projections'!$A$4:$EO$14,((MONTH($A43)-1)*12)+VLOOKUP(BX$4,$DE$6:$DF$17,2)+1))*(VLOOKUP($A43,SatSunCurve,8))*(INDEX(DailyScalarsTable,BX$5/100,MONTH($A43)))*$D43</f>
        <v>-16719.223428450965</v>
      </c>
      <c r="BY43" s="1021">
        <f>(VLOOKUP(YEAR($A43),'NY East Load Projections'!$A$4:$EO$14,((MONTH($A43)-1)*12)+VLOOKUP(BY$4,$DE$6:$DF$17,2)+1))*(VLOOKUP($A43,SatSunCurve,8))*(INDEX(DailyScalarsTable,BY$5/100,MONTH($A43)))*$D43</f>
        <v>-16003.197976502825</v>
      </c>
      <c r="BZ43" s="1021">
        <f>(VLOOKUP(YEAR($A43),'NY East Load Projections'!$A$4:$EO$14,((MONTH($A43)-1)*12)+VLOOKUP(BZ$4,$DE$6:$DF$17,2)+1))*(VLOOKUP($A43,SatSunCurve,8))*(INDEX(DailyScalarsTable,BZ$5/100,MONTH($A43)))*$D43</f>
        <v>-14573.964244850296</v>
      </c>
      <c r="CA43" s="1021">
        <f>(VLOOKUP(YEAR($A43),'NY East Load Projections'!$A$4:$EO$14,((MONTH($A43)-1)*12)+VLOOKUP(CA$4,$DE$6:$DF$17,2)+1))*(VLOOKUP($A43,SatSunCurve,8))*(INDEX(DailyScalarsTable,CA$5/100,MONTH($A43)))*$D43</f>
        <v>-10365.340918023649</v>
      </c>
      <c r="CB43" s="1021">
        <f>(VLOOKUP(YEAR($A43),'NY East Load Projections'!$A$4:$EO$14,((MONTH($A43)-1)*12)+VLOOKUP(CB$4,$DE$6:$DF$17,2)+1))*(VLOOKUP($A43,SatSunCurve,8))*(INDEX(DailyScalarsTable,CB$5/100,MONTH($A43)))*$D43</f>
        <v>-8485.3216888264215</v>
      </c>
      <c r="CC43" s="1021">
        <f>(VLOOKUP(YEAR($A43),'NY East Load Projections'!$A$4:$EO$14,((MONTH($A43)-1)*12)+VLOOKUP(CC$4,$DE$6:$DF$17,2)+1))*(VLOOKUP($A43,CURVES!$D$9:$T$261,8))*(INDEX(DailyScalarsTable,CC$5/100,MONTH($A43)))*$D43</f>
        <v>-9688.5246001087107</v>
      </c>
      <c r="CE43" s="1021">
        <f>(VLOOKUP(YEAR($A43),'NY East Load Projections'!$A$4:$EO$14,((MONTH($A43)-1)*12)+VLOOKUP(CE$4,$DE$6:$DF$17,2)+1))*(VLOOKUP($A43,CURVES!$D$9:$T$261,8))*(INDEX(DailyScalarsTable,CE$5/100,MONTH($A43)))*$E43</f>
        <v>0</v>
      </c>
      <c r="CF43" s="1021">
        <f>(VLOOKUP(YEAR($A43),'NY East Load Projections'!$A$4:$EO$14,((MONTH($A43)-1)*12)+VLOOKUP(CF$4,$DE$6:$DF$17,2)+1))*(VLOOKUP($A43,CURVES!$D$9:$T$261,8))*(INDEX(DailyScalarsTable,CF$5/100,MONTH($A43)))*$E43</f>
        <v>0</v>
      </c>
      <c r="CG43" s="1021">
        <f>(VLOOKUP(YEAR($A43),'NY East Load Projections'!$A$4:$EO$14,((MONTH($A43)-1)*12)+VLOOKUP(CG$4,$DE$6:$DF$17,2)+1))*(VLOOKUP($A43,CURVES!$D$9:$T$261,8))*(INDEX(DailyScalarsTable,CG$5/100,MONTH($A43)))*$E43</f>
        <v>0</v>
      </c>
      <c r="CH43" s="1021">
        <f>(VLOOKUP(YEAR($A43),'NY East Load Projections'!$A$4:$EO$14,((MONTH($A43)-1)*12)+VLOOKUP(CH$4,$DE$6:$DF$17,2)+1))*(VLOOKUP($A43,CURVES!$D$9:$T$261,8))*(INDEX(DailyScalarsTable,CH$5/100,MONTH($A43)))*$E43</f>
        <v>0</v>
      </c>
      <c r="CI43" s="1021">
        <f>(VLOOKUP(YEAR($A43),'NY East Load Projections'!$A$4:$EO$14,((MONTH($A43)-1)*12)+VLOOKUP(CI$4,$DE$6:$DF$17,2)+1))*(VLOOKUP($A43,CURVES!$D$9:$T$261,8))*(INDEX(DailyScalarsTable,CI$5/100,MONTH($A43)))*$E43</f>
        <v>0</v>
      </c>
      <c r="CJ43" s="1021">
        <f>(VLOOKUP(YEAR($A43),'NY East Load Projections'!$A$4:$EO$14,((MONTH($A43)-1)*12)+VLOOKUP(CJ$4,$DE$6:$DF$17,2)+1))*(VLOOKUP($A43,CURVES!$D$9:$T$261,8))*(INDEX(DailyScalarsTable,CJ$5/100,MONTH($A43)))*$E43</f>
        <v>0</v>
      </c>
      <c r="CK43" s="1021">
        <f>(VLOOKUP(YEAR($A43),'NY East Load Projections'!$A$4:$EO$14,((MONTH($A43)-1)*12)+VLOOKUP(CK$4,$DE$6:$DF$17,2)+1))*(VLOOKUP($A43,CURVES!$D$9:$T$261,8))*(INDEX(DailyScalarsTable,CK$5/100,MONTH($A43)))*$E43</f>
        <v>0</v>
      </c>
      <c r="CL43" s="1021">
        <f>(VLOOKUP(YEAR($A43),'NY East Load Projections'!$A$4:$EO$14,((MONTH($A43)-1)*12)+VLOOKUP(CL$4,$DE$6:$DF$17,2)+1))*(VLOOKUP($A43,SatSunCurve,8))*(INDEX(DailyScalarsTable,CL$5/100,MONTH($A43)))*$E43</f>
        <v>0</v>
      </c>
      <c r="CM43" s="1021">
        <f>(VLOOKUP(YEAR($A43),'NY East Load Projections'!$A$4:$EO$14,((MONTH($A43)-1)*12)+VLOOKUP(CM$4,$DE$6:$DF$17,2)+1))*(VLOOKUP($A43,SatSunCurve,8))*(INDEX(DailyScalarsTable,CM$5/100,MONTH($A43)))*$E43</f>
        <v>0</v>
      </c>
      <c r="CN43" s="1021">
        <f>(VLOOKUP(YEAR($A43),'NY East Load Projections'!$A$4:$EO$14,((MONTH($A43)-1)*12)+VLOOKUP(CN$4,$DE$6:$DF$17,2)+1))*(VLOOKUP($A43,SatSunCurve,8))*(INDEX(DailyScalarsTable,CN$5/100,MONTH($A43)))*$E43</f>
        <v>0</v>
      </c>
      <c r="CO43" s="1021">
        <f>(VLOOKUP(YEAR($A43),'NY East Load Projections'!$A$4:$EO$14,((MONTH($A43)-1)*12)+VLOOKUP(CO$4,$DE$6:$DF$17,2)+1))*(VLOOKUP($A43,SatSunCurve,8))*(INDEX(DailyScalarsTable,CO$5/100,MONTH($A43)))*$E43</f>
        <v>0</v>
      </c>
      <c r="CP43" s="1021">
        <f>(VLOOKUP(YEAR($A43),'NY East Load Projections'!$A$4:$EO$14,((MONTH($A43)-1)*12)+VLOOKUP(CP$4,$DE$6:$DF$17,2)+1))*(VLOOKUP($A43,SatSunCurve,8))*(INDEX(DailyScalarsTable,CP$5/100,MONTH($A43)))*$E43</f>
        <v>0</v>
      </c>
      <c r="CQ43" s="1021">
        <f>(VLOOKUP(YEAR($A43),'NY East Load Projections'!$A$4:$EO$14,((MONTH($A43)-1)*12)+VLOOKUP(CQ$4,$DE$6:$DF$17,2)+1))*(VLOOKUP($A43,SatSunCurve,8))*(INDEX(DailyScalarsTable,CQ$5/100,MONTH($A43)))*$E43</f>
        <v>0</v>
      </c>
      <c r="CR43" s="1021">
        <f>(VLOOKUP(YEAR($A43),'NY East Load Projections'!$A$4:$EO$14,((MONTH($A43)-1)*12)+VLOOKUP(CR$4,$DE$6:$DF$17,2)+1))*(VLOOKUP($A43,SatSunCurve,8))*(INDEX(DailyScalarsTable,CR$5/100,MONTH($A43)))*$E43</f>
        <v>0</v>
      </c>
      <c r="CS43" s="1021">
        <f>(VLOOKUP(YEAR($A43),'NY East Load Projections'!$A$4:$EO$14,((MONTH($A43)-1)*12)+VLOOKUP(CS$4,$DE$6:$DF$17,2)+1))*(VLOOKUP($A43,SatSunCurve,8))*(INDEX(DailyScalarsTable,CS$5/100,MONTH($A43)))*$E43</f>
        <v>0</v>
      </c>
      <c r="CT43" s="1021">
        <f>(VLOOKUP(YEAR($A43),'NY East Load Projections'!$A$4:$EO$14,((MONTH($A43)-1)*12)+VLOOKUP(CT$4,$DE$6:$DF$17,2)+1))*(VLOOKUP($A43,SatSunCurve,8))*(INDEX(DailyScalarsTable,CT$5/100,MONTH($A43)))*$E43</f>
        <v>0</v>
      </c>
      <c r="CU43" s="1021">
        <f>(VLOOKUP(YEAR($A43),'NY East Load Projections'!$A$4:$EO$14,((MONTH($A43)-1)*12)+VLOOKUP(CU$4,$DE$6:$DF$17,2)+1))*(VLOOKUP($A43,SatSunCurve,8))*(INDEX(DailyScalarsTable,CU$5/100,MONTH($A43)))*$E43</f>
        <v>0</v>
      </c>
      <c r="CV43" s="1021">
        <f>(VLOOKUP(YEAR($A43),'NY East Load Projections'!$A$4:$EO$14,((MONTH($A43)-1)*12)+VLOOKUP(CV$4,$DE$6:$DF$17,2)+1))*(VLOOKUP($A43,SatSunCurve,8))*(INDEX(DailyScalarsTable,CV$5/100,MONTH($A43)))*$E43</f>
        <v>0</v>
      </c>
      <c r="CW43" s="1021">
        <f>(VLOOKUP(YEAR($A43),'NY East Load Projections'!$A$4:$EO$14,((MONTH($A43)-1)*12)+VLOOKUP(CW$4,$DE$6:$DF$17,2)+1))*(VLOOKUP($A43,SatSunCurve,8))*(INDEX(DailyScalarsTable,CW$5/100,MONTH($A43)))*$E43</f>
        <v>0</v>
      </c>
      <c r="CX43" s="1021">
        <f>(VLOOKUP(YEAR($A43),'NY East Load Projections'!$A$4:$EO$14,((MONTH($A43)-1)*12)+VLOOKUP(CX$4,$DE$6:$DF$17,2)+1))*(VLOOKUP($A43,SatSunCurve,8))*(INDEX(DailyScalarsTable,CX$5/100,MONTH($A43)))*$E43</f>
        <v>0</v>
      </c>
      <c r="CY43" s="1021">
        <f>(VLOOKUP(YEAR($A43),'NY East Load Projections'!$A$4:$EO$14,((MONTH($A43)-1)*12)+VLOOKUP(CY$4,$DE$6:$DF$17,2)+1))*(VLOOKUP($A43,SatSunCurve,8))*(INDEX(DailyScalarsTable,CY$5/100,MONTH($A43)))*$E43</f>
        <v>0</v>
      </c>
      <c r="CZ43" s="1021">
        <f>(VLOOKUP(YEAR($A43),'NY East Load Projections'!$A$4:$EO$14,((MONTH($A43)-1)*12)+VLOOKUP(CZ$4,$DE$6:$DF$17,2)+1))*(VLOOKUP($A43,SatSunCurve,8))*(INDEX(DailyScalarsTable,CZ$5/100,MONTH($A43)))*$E43</f>
        <v>0</v>
      </c>
      <c r="DA43" s="1021">
        <f>(VLOOKUP(YEAR($A43),'NY East Load Projections'!$A$4:$EO$14,((MONTH($A43)-1)*12)+VLOOKUP(DA$4,$DE$6:$DF$17,2)+1))*(VLOOKUP($A43,SatSunCurve,8))*(INDEX(DailyScalarsTable,DA$5/100,MONTH($A43)))*$E43</f>
        <v>0</v>
      </c>
      <c r="DB43" s="1021">
        <f>(VLOOKUP(YEAR($A43),'NY East Load Projections'!$A$4:$EO$14,((MONTH($A43)-1)*12)+VLOOKUP(DB$4,$DE$6:$DF$17,2)+1))*(VLOOKUP($A43,CURVES!$D$9:$T$261,8))*(INDEX(DailyScalarsTable,DB$5/100,MONTH($A43)))*$E43</f>
        <v>0</v>
      </c>
      <c r="DH43" s="1021">
        <f t="shared" si="0"/>
        <v>-1972674.6072419717</v>
      </c>
      <c r="DI43">
        <f ca="1">CALC!J63</f>
        <v>0.74924536597621894</v>
      </c>
      <c r="DJ43" s="1029">
        <f t="shared" ca="1" si="1"/>
        <v>-1478017.308055005</v>
      </c>
    </row>
    <row r="44" spans="1:114" x14ac:dyDescent="0.25">
      <c r="A44" s="244">
        <v>38047</v>
      </c>
      <c r="B44" s="13">
        <v>23</v>
      </c>
      <c r="C44" s="210">
        <v>4</v>
      </c>
      <c r="D44" s="210">
        <v>4</v>
      </c>
      <c r="E44" s="210">
        <v>0</v>
      </c>
      <c r="F44" s="13">
        <v>31</v>
      </c>
      <c r="H44" s="1021">
        <f>(VLOOKUP(YEAR($A44),'NY East Load Projections'!$A$4:$EO$14,((MONTH($A44)-1)*12)+VLOOKUP(H$4,$DE$6:$DF$17,2)+1))*(VLOOKUP($A44,CURVES!$D$9:$K$261,8))*(INDEX(DailyScalarsTable,H$5/100,MONTH($A44)))*$B44</f>
        <v>-31469.946062578165</v>
      </c>
      <c r="I44" s="1021">
        <f>(VLOOKUP(YEAR($A44),'NY East Load Projections'!$A$4:$EO$14,((MONTH($A44)-1)*12)+VLOOKUP(I$4,$DE$6:$DF$17,2)+1))*(VLOOKUP($A44,CURVES!$D$9:$K$261,8))*(INDEX(DailyScalarsTable,I$5/100,MONTH($A44)))*$B44</f>
        <v>-29756.229891311588</v>
      </c>
      <c r="J44" s="1021">
        <f>(VLOOKUP(YEAR($A44),'NY East Load Projections'!$A$4:$EO$14,((MONTH($A44)-1)*12)+VLOOKUP(J$4,$DE$6:$DF$17,2)+1))*(VLOOKUP($A44,CURVES!$D$9:$K$261,8))*(INDEX(DailyScalarsTable,J$5/100,MONTH($A44)))*$B44</f>
        <v>-28488.064705070105</v>
      </c>
      <c r="K44" s="1021">
        <f>(VLOOKUP(YEAR($A44),'NY East Load Projections'!$A$4:$EO$14,((MONTH($A44)-1)*12)+VLOOKUP(K$4,$DE$6:$DF$17,2)+1))*(VLOOKUP($A44,CURVES!$D$9:$K$261,8))*(INDEX(DailyScalarsTable,K$5/100,MONTH($A44)))*$B44</f>
        <v>-28505.947622487867</v>
      </c>
      <c r="L44" s="1021">
        <f>(VLOOKUP(YEAR($A44),'NY East Load Projections'!$A$4:$EO$14,((MONTH($A44)-1)*12)+VLOOKUP(L$4,$DE$6:$DF$17,2)+1))*(VLOOKUP($A44,CURVES!$D$9:$K$261,8))*(INDEX(DailyScalarsTable,L$5/100,MONTH($A44)))*$B44</f>
        <v>-33928.823441209395</v>
      </c>
      <c r="M44" s="1021">
        <f>(VLOOKUP(YEAR($A44),'NY East Load Projections'!$A$4:$EO$14,((MONTH($A44)-1)*12)+VLOOKUP(M$4,$DE$6:$DF$17,2)+1))*(VLOOKUP($A44,CURVES!$D$9:$K$261,8))*(INDEX(DailyScalarsTable,M$5/100,MONTH($A44)))*$B44</f>
        <v>-39383.672550880648</v>
      </c>
      <c r="N44" s="1021">
        <f>(VLOOKUP(YEAR($A44),'NY East Load Projections'!$A$4:$EO$14,((MONTH($A44)-1)*12)+VLOOKUP(N$4,$DE$6:$DF$17,2)+1))*(VLOOKUP($A44,CURVES!$D$9:$K$261,8))*(INDEX(DailyScalarsTable,N$5/100,MONTH($A44)))*$B44</f>
        <v>-71063.376922713243</v>
      </c>
      <c r="O44" s="1021">
        <f>(VLOOKUP(YEAR($A44),'NY East Load Projections'!$A$4:$EO$14,((MONTH($A44)-1)*12)+VLOOKUP(O$4,$DE$6:$DF$17,2)+1))*(VLOOKUP($A44,CURVES!$D$9:$K$261,4))*(INDEX(DailyScalarsTable,O$5/100,MONTH($A44)))*$B44</f>
        <v>-75642.975086222243</v>
      </c>
      <c r="P44" s="1021">
        <f>(VLOOKUP(YEAR($A44),'NY East Load Projections'!$A$4:$EO$14,((MONTH($A44)-1)*12)+VLOOKUP(P$4,$DE$6:$DF$17,2)+1))*(VLOOKUP($A44,CURVES!$D$9:$K$261,4))*(INDEX(DailyScalarsTable,P$5/100,MONTH($A44)))*$B44</f>
        <v>-88375.973142814066</v>
      </c>
      <c r="Q44" s="1021">
        <f>(VLOOKUP(YEAR($A44),'NY East Load Projections'!$A$4:$EO$14,((MONTH($A44)-1)*12)+VLOOKUP(Q$4,$DE$6:$DF$17,2)+1))*(VLOOKUP($A44,CURVES!$D$9:$K$261,4))*(INDEX(DailyScalarsTable,Q$5/100,MONTH($A44)))*$B44</f>
        <v>-88108.572316360762</v>
      </c>
      <c r="R44" s="1021">
        <f>(VLOOKUP(YEAR($A44),'NY East Load Projections'!$A$4:$EO$14,((MONTH($A44)-1)*12)+VLOOKUP(R$4,$DE$6:$DF$17,2)+1))*(VLOOKUP($A44,CURVES!$D$9:$K$261,4))*(INDEX(DailyScalarsTable,R$5/100,MONTH($A44)))*$B44</f>
        <v>-86556.161962784696</v>
      </c>
      <c r="S44" s="1021">
        <f>(VLOOKUP(YEAR($A44),'NY East Load Projections'!$A$4:$EO$14,((MONTH($A44)-1)*12)+VLOOKUP(S$4,$DE$6:$DF$17,2)+1))*(VLOOKUP($A44,CURVES!$D$9:$K$261,4))*(INDEX(DailyScalarsTable,S$5/100,MONTH($A44)))*$B44</f>
        <v>-66137.137742781677</v>
      </c>
      <c r="T44" s="1021">
        <f>(VLOOKUP(YEAR($A44),'NY East Load Projections'!$A$4:$EO$14,((MONTH($A44)-1)*12)+VLOOKUP(T$4,$DE$6:$DF$17,2)+1))*(VLOOKUP($A44,CURVES!$D$9:$K$261,4))*(INDEX(DailyScalarsTable,T$5/100,MONTH($A44)))*$B44</f>
        <v>-66329.350215923041</v>
      </c>
      <c r="U44" s="1021">
        <f>(VLOOKUP(YEAR($A44),'NY East Load Projections'!$A$4:$EO$14,((MONTH($A44)-1)*12)+VLOOKUP(U$4,$DE$6:$DF$17,2)+1))*(VLOOKUP($A44,CURVES!$D$9:$K$261,4))*(INDEX(DailyScalarsTable,U$5/100,MONTH($A44)))*$B44</f>
        <v>-64212.456060095727</v>
      </c>
      <c r="V44" s="1021">
        <f>(VLOOKUP(YEAR($A44),'NY East Load Projections'!$A$4:$EO$14,((MONTH($A44)-1)*12)+VLOOKUP(V$4,$DE$6:$DF$17,2)+1))*(VLOOKUP($A44,CURVES!$D$9:$K$261,4))*(INDEX(DailyScalarsTable,V$5/100,MONTH($A44)))*$B44</f>
        <v>-60983.425481822873</v>
      </c>
      <c r="W44" s="1021">
        <f>(VLOOKUP(YEAR($A44),'NY East Load Projections'!$A$4:$EO$14,((MONTH($A44)-1)*12)+VLOOKUP(W$4,$DE$6:$DF$17,2)+1))*(VLOOKUP($A44,CURVES!$D$9:$K$261,4))*(INDEX(DailyScalarsTable,W$5/100,MONTH($A44)))*$B44</f>
        <v>-59771.58027667534</v>
      </c>
      <c r="X44" s="1021">
        <f>(VLOOKUP(YEAR($A44),'NY East Load Projections'!$A$4:$EO$14,((MONTH($A44)-1)*12)+VLOOKUP(X$4,$DE$6:$DF$17,2)+1))*(VLOOKUP($A44,CURVES!$D$9:$K$261,4))*(INDEX(DailyScalarsTable,X$5/100,MONTH($A44)))*$B44</f>
        <v>-61470.283575875816</v>
      </c>
      <c r="Y44" s="1021">
        <f>(VLOOKUP(YEAR($A44),'NY East Load Projections'!$A$4:$EO$14,((MONTH($A44)-1)*12)+VLOOKUP(Y$4,$DE$6:$DF$17,2)+1))*(VLOOKUP($A44,CURVES!$D$9:$K$261,4))*(INDEX(DailyScalarsTable,Y$5/100,MONTH($A44)))*$B44</f>
        <v>-83805.354832788333</v>
      </c>
      <c r="Z44" s="1021">
        <f>(VLOOKUP(YEAR($A44),'NY East Load Projections'!$A$4:$EO$14,((MONTH($A44)-1)*12)+VLOOKUP(Z$4,$DE$6:$DF$17,2)+1))*(VLOOKUP($A44,CURVES!$D$9:$K$261,4))*(INDEX(DailyScalarsTable,Z$5/100,MONTH($A44)))*$B44</f>
        <v>-92024.54529208623</v>
      </c>
      <c r="AA44" s="1021">
        <f>(VLOOKUP(YEAR($A44),'NY East Load Projections'!$A$4:$EO$14,((MONTH($A44)-1)*12)+VLOOKUP(AA$4,$DE$6:$DF$17,2)+1))*(VLOOKUP($A44,CURVES!$D$9:$K$261,4))*(INDEX(DailyScalarsTable,AA$5/100,MONTH($A44)))*$B44</f>
        <v>-88052.418916950191</v>
      </c>
      <c r="AB44" s="1021">
        <f>(VLOOKUP(YEAR($A44),'NY East Load Projections'!$A$4:$EO$14,((MONTH($A44)-1)*12)+VLOOKUP(AB$4,$DE$6:$DF$17,2)+1))*(VLOOKUP($A44,CURVES!$D$9:$K$261,4))*(INDEX(DailyScalarsTable,AB$5/100,MONTH($A44)))*$B44</f>
        <v>-74048.822247925506</v>
      </c>
      <c r="AC44" s="1021">
        <f>(VLOOKUP(YEAR($A44),'NY East Load Projections'!$A$4:$EO$14,((MONTH($A44)-1)*12)+VLOOKUP(AC$4,$DE$6:$DF$17,2)+1))*(VLOOKUP($A44,CURVES!$D$9:$K$261,4))*(INDEX(DailyScalarsTable,AC$5/100,MONTH($A44)))*$B44</f>
        <v>-53769.623350930102</v>
      </c>
      <c r="AD44" s="1021">
        <f>(VLOOKUP(YEAR($A44),'NY East Load Projections'!$A$4:$EO$14,((MONTH($A44)-1)*12)+VLOOKUP(AD$4,$DE$6:$DF$17,2)+1))*(VLOOKUP($A44,CURVES!$D$9:$K$261,4))*(INDEX(DailyScalarsTable,AD$5/100,MONTH($A44)))*$B44</f>
        <v>-44134.417242344905</v>
      </c>
      <c r="AE44" s="1021">
        <f>(VLOOKUP(YEAR($A44),'NY East Load Projections'!$A$4:$EO$14,((MONTH($A44)-1)*12)+VLOOKUP(AE$4,$DE$6:$DF$17,2)+1))*(VLOOKUP($A44,CURVES!$D$9:$K$261,8))*(INDEX(DailyScalarsTable,AE$5/100,MONTH($A44)))*$B44</f>
        <v>-40151.524368848171</v>
      </c>
      <c r="AF44" s="1021"/>
      <c r="AG44" s="1021">
        <f>(VLOOKUP(YEAR($A44),'NY East Load Projections'!$A$4:$EO$14,((MONTH($A44)-1)*12)+VLOOKUP(AG$4,$DE$6:$DF$17,2)+1))*(VLOOKUP($A44,CURVES!$D$9:$T$261,8))*(INDEX(DailyScalarsTable,AG$5/100,MONTH($A44)))*$C44</f>
        <v>-6121.8604978889289</v>
      </c>
      <c r="AH44" s="1021">
        <f>(VLOOKUP(YEAR($A44),'NY East Load Projections'!$A$4:$EO$14,((MONTH($A44)-1)*12)+VLOOKUP(AH$4,$DE$6:$DF$17,2)+1))*(VLOOKUP($A44,CURVES!$D$9:$T$261,8))*(INDEX(DailyScalarsTable,AH$5/100,MONTH($A44)))*$C44</f>
        <v>-5788.4906435965622</v>
      </c>
      <c r="AI44" s="1021">
        <f>(VLOOKUP(YEAR($A44),'NY East Load Projections'!$A$4:$EO$14,((MONTH($A44)-1)*12)+VLOOKUP(AI$4,$DE$6:$DF$17,2)+1))*(VLOOKUP($A44,CURVES!$D$9:$T$261,8))*(INDEX(DailyScalarsTable,AI$5/100,MONTH($A44)))*$C44</f>
        <v>-5541.7939907643049</v>
      </c>
      <c r="AJ44" s="1021">
        <f>(VLOOKUP(YEAR($A44),'NY East Load Projections'!$A$4:$EO$14,((MONTH($A44)-1)*12)+VLOOKUP(AJ$4,$DE$6:$DF$17,2)+1))*(VLOOKUP($A44,CURVES!$D$9:$T$261,8))*(INDEX(DailyScalarsTable,AJ$5/100,MONTH($A44)))*$C44</f>
        <v>-5545.2727614463111</v>
      </c>
      <c r="AK44" s="1021">
        <f>(VLOOKUP(YEAR($A44),'NY East Load Projections'!$A$4:$EO$14,((MONTH($A44)-1)*12)+VLOOKUP(AK$4,$DE$6:$DF$17,2)+1))*(VLOOKUP($A44,CURVES!$D$9:$T$261,8))*(INDEX(DailyScalarsTable,AK$5/100,MONTH($A44)))*$C44</f>
        <v>-6037.5627967415321</v>
      </c>
      <c r="AL44" s="1021">
        <f>(VLOOKUP(YEAR($A44),'NY East Load Projections'!$A$4:$EO$14,((MONTH($A44)-1)*12)+VLOOKUP(AL$4,$DE$6:$DF$17,2)+1))*(VLOOKUP($A44,CURVES!$D$9:$T$261,8))*(INDEX(DailyScalarsTable,AL$5/100,MONTH($A44)))*$C44</f>
        <v>-7008.2417271045779</v>
      </c>
      <c r="AM44" s="1021">
        <f>(VLOOKUP(YEAR($A44),'NY East Load Projections'!$A$4:$EO$14,((MONTH($A44)-1)*12)+VLOOKUP(AM$4,$DE$6:$DF$17,2)+1))*(VLOOKUP($A44,CURVES!$D$9:$T$261,8))*(INDEX(DailyScalarsTable,AM$5/100,MONTH($A44)))*$C44</f>
        <v>-12645.578514174986</v>
      </c>
      <c r="AN44" s="1021">
        <f>(VLOOKUP(YEAR($A44),'NY East Load Projections'!$A$4:$EO$14,((MONTH($A44)-1)*12)+VLOOKUP(AN$4,$DE$6:$DF$17,2)+1))*(VLOOKUP($A44,SatSunCurve,4))*(INDEX(DailyScalarsTable,AN$5/100,MONTH($A44)))*$C44</f>
        <v>-8630.5196708053682</v>
      </c>
      <c r="AO44" s="1021">
        <f>(VLOOKUP(YEAR($A44),'NY East Load Projections'!$A$4:$EO$14,((MONTH($A44)-1)*12)+VLOOKUP(AO$4,$DE$6:$DF$17,2)+1))*(VLOOKUP($A44,SatSunCurve,4))*(INDEX(DailyScalarsTable,AO$5/100,MONTH($A44)))*$C44</f>
        <v>-9689.8162582661753</v>
      </c>
      <c r="AP44" s="1021">
        <f>(VLOOKUP(YEAR($A44),'NY East Load Projections'!$A$4:$EO$14,((MONTH($A44)-1)*12)+VLOOKUP(AP$4,$DE$6:$DF$17,2)+1))*(VLOOKUP($A44,SatSunCurve,4))*(INDEX(DailyScalarsTable,AP$5/100,MONTH($A44)))*$C44</f>
        <v>-9660.4976009037964</v>
      </c>
      <c r="AQ44" s="1021">
        <f>(VLOOKUP(YEAR($A44),'NY East Load Projections'!$A$4:$EO$14,((MONTH($A44)-1)*12)+VLOOKUP(AQ$4,$DE$6:$DF$17,2)+1))*(VLOOKUP($A44,SatSunCurve,4))*(INDEX(DailyScalarsTable,AQ$5/100,MONTH($A44)))*$C44</f>
        <v>-9490.2865067722087</v>
      </c>
      <c r="AR44" s="1021">
        <f>(VLOOKUP(YEAR($A44),'NY East Load Projections'!$A$4:$EO$14,((MONTH($A44)-1)*12)+VLOOKUP(AR$4,$DE$6:$DF$17,2)+1))*(VLOOKUP($A44,SatSunCurve,4))*(INDEX(DailyScalarsTable,AR$5/100,MONTH($A44)))*$C44</f>
        <v>-7251.4812542950094</v>
      </c>
      <c r="AS44" s="1021">
        <f>(VLOOKUP(YEAR($A44),'NY East Load Projections'!$A$4:$EO$14,((MONTH($A44)-1)*12)+VLOOKUP(AS$4,$DE$6:$DF$17,2)+1))*(VLOOKUP($A44,SatSunCurve,4))*(INDEX(DailyScalarsTable,AS$5/100,MONTH($A44)))*$C44</f>
        <v>-7079.6996865969377</v>
      </c>
      <c r="AT44" s="1021">
        <f>(VLOOKUP(YEAR($A44),'NY East Load Projections'!$A$4:$EO$14,((MONTH($A44)-1)*12)+VLOOKUP(AT$4,$DE$6:$DF$17,2)+1))*(VLOOKUP($A44,SatSunCurve,4))*(INDEX(DailyScalarsTable,AT$5/100,MONTH($A44)))*$C44</f>
        <v>-6853.7518242587385</v>
      </c>
      <c r="AU44" s="1021">
        <f>(VLOOKUP(YEAR($A44),'NY East Load Projections'!$A$4:$EO$14,((MONTH($A44)-1)*12)+VLOOKUP(AU$4,$DE$6:$DF$17,2)+1))*(VLOOKUP($A44,SatSunCurve,4))*(INDEX(DailyScalarsTable,AU$5/100,MONTH($A44)))*$C44</f>
        <v>-6509.0994690254693</v>
      </c>
      <c r="AV44" s="1021">
        <f>(VLOOKUP(YEAR($A44),'NY East Load Projections'!$A$4:$EO$14,((MONTH($A44)-1)*12)+VLOOKUP(AV$4,$DE$6:$DF$17,2)+1))*(VLOOKUP($A44,SatSunCurve,4))*(INDEX(DailyScalarsTable,AV$5/100,MONTH($A44)))*$C44</f>
        <v>-6379.7525043536007</v>
      </c>
      <c r="AW44" s="1021">
        <f>(VLOOKUP(YEAR($A44),'NY East Load Projections'!$A$4:$EO$14,((MONTH($A44)-1)*12)+VLOOKUP(AW$4,$DE$6:$DF$17,2)+1))*(VLOOKUP($A44,SatSunCurve,4))*(INDEX(DailyScalarsTable,AW$5/100,MONTH($A44)))*$C44</f>
        <v>-6659.0864023788536</v>
      </c>
      <c r="AX44" s="1021">
        <f>(VLOOKUP(YEAR($A44),'NY East Load Projections'!$A$4:$EO$14,((MONTH($A44)-1)*12)+VLOOKUP(AX$4,$DE$6:$DF$17,2)+1))*(VLOOKUP($A44,SatSunCurve,4))*(INDEX(DailyScalarsTable,AX$5/100,MONTH($A44)))*$C44</f>
        <v>-9078.6485168025265</v>
      </c>
      <c r="AY44" s="1021">
        <f>(VLOOKUP(YEAR($A44),'NY East Load Projections'!$A$4:$EO$14,((MONTH($A44)-1)*12)+VLOOKUP(AY$4,$DE$6:$DF$17,2)+1))*(VLOOKUP($A44,SatSunCurve,4))*(INDEX(DailyScalarsTable,AY$5/100,MONTH($A44)))*$C44</f>
        <v>-9969.0348342580801</v>
      </c>
      <c r="AZ44" s="1021">
        <f>(VLOOKUP(YEAR($A44),'NY East Load Projections'!$A$4:$EO$14,((MONTH($A44)-1)*12)+VLOOKUP(AZ$4,$DE$6:$DF$17,2)+1))*(VLOOKUP($A44,SatSunCurve,4))*(INDEX(DailyScalarsTable,AZ$5/100,MONTH($A44)))*$C44</f>
        <v>-9538.7337002060558</v>
      </c>
      <c r="BA44" s="1021">
        <f>(VLOOKUP(YEAR($A44),'NY East Load Projections'!$A$4:$EO$14,((MONTH($A44)-1)*12)+VLOOKUP(BA$4,$DE$6:$DF$17,2)+1))*(VLOOKUP($A44,SatSunCurve,4))*(INDEX(DailyScalarsTable,BA$5/100,MONTH($A44)))*$C44</f>
        <v>-8670.1694317558777</v>
      </c>
      <c r="BB44" s="1021">
        <f>(VLOOKUP(YEAR($A44),'NY East Load Projections'!$A$4:$EO$14,((MONTH($A44)-1)*12)+VLOOKUP(BB$4,$DE$6:$DF$17,2)+1))*(VLOOKUP($A44,SatSunCurve,4))*(INDEX(DailyScalarsTable,BB$5/100,MONTH($A44)))*$C44</f>
        <v>-6295.7347677102543</v>
      </c>
      <c r="BC44" s="1021">
        <f>(VLOOKUP(YEAR($A44),'NY East Load Projections'!$A$4:$EO$14,((MONTH($A44)-1)*12)+VLOOKUP(BC$4,$DE$6:$DF$17,2)+1))*(VLOOKUP($A44,SatSunCurve,4))*(INDEX(DailyScalarsTable,BC$5/100,MONTH($A44)))*$C44</f>
        <v>-5167.5754407242912</v>
      </c>
      <c r="BD44" s="1021">
        <f>(VLOOKUP(YEAR($A44),'NY East Load Projections'!$A$4:$EO$14,((MONTH($A44)-1)*12)+VLOOKUP(BD$4,$DE$6:$DF$17,2)+1))*(VLOOKUP($A44,CURVES!$D$9:$T$261,8))*(INDEX(DailyScalarsTable,BD$5/100,MONTH($A44)))*$C44</f>
        <v>-7332.2283713321658</v>
      </c>
      <c r="BE44" s="1021"/>
      <c r="BF44" s="1021">
        <f>(VLOOKUP(YEAR($A44),'NY East Load Projections'!$A$4:$EO$14,((MONTH($A44)-1)*12)+VLOOKUP(BF$4,$DE$6:$DF$17,2)+1))*(VLOOKUP($A44,CURVES!$D$9:$T$261,8))*(INDEX(DailyScalarsTable,BF$5/100,MONTH($A44)))*$D44</f>
        <v>-6121.8604978889289</v>
      </c>
      <c r="BG44" s="1021">
        <f>(VLOOKUP(YEAR($A44),'NY East Load Projections'!$A$4:$EO$14,((MONTH($A44)-1)*12)+VLOOKUP(BG$4,$DE$6:$DF$17,2)+1))*(VLOOKUP($A44,CURVES!$D$9:$T$261,8))*(INDEX(DailyScalarsTable,BG$5/100,MONTH($A44)))*$D44</f>
        <v>-5788.4906435965622</v>
      </c>
      <c r="BH44" s="1021">
        <f>(VLOOKUP(YEAR($A44),'NY East Load Projections'!$A$4:$EO$14,((MONTH($A44)-1)*12)+VLOOKUP(BH$4,$DE$6:$DF$17,2)+1))*(VLOOKUP($A44,CURVES!$D$9:$T$261,8))*(INDEX(DailyScalarsTable,BH$5/100,MONTH($A44)))*$D44</f>
        <v>-5541.7939907643049</v>
      </c>
      <c r="BI44" s="1021">
        <f>(VLOOKUP(YEAR($A44),'NY East Load Projections'!$A$4:$EO$14,((MONTH($A44)-1)*12)+VLOOKUP(BI$4,$DE$6:$DF$17,2)+1))*(VLOOKUP($A44,CURVES!$D$9:$T$261,8))*(INDEX(DailyScalarsTable,BI$5/100,MONTH($A44)))*$D44</f>
        <v>-5545.2727614463111</v>
      </c>
      <c r="BJ44" s="1021">
        <f>(VLOOKUP(YEAR($A44),'NY East Load Projections'!$A$4:$EO$14,((MONTH($A44)-1)*12)+VLOOKUP(BJ$4,$DE$6:$DF$17,2)+1))*(VLOOKUP($A44,CURVES!$D$9:$T$261,8))*(INDEX(DailyScalarsTable,BJ$5/100,MONTH($A44)))*$D44</f>
        <v>-6037.5627967415321</v>
      </c>
      <c r="BK44" s="1021">
        <f>(VLOOKUP(YEAR($A44),'NY East Load Projections'!$A$4:$EO$14,((MONTH($A44)-1)*12)+VLOOKUP(BK$4,$DE$6:$DF$17,2)+1))*(VLOOKUP($A44,CURVES!$D$9:$T$261,8))*(INDEX(DailyScalarsTable,BK$5/100,MONTH($A44)))*$D44</f>
        <v>-7008.2417271045779</v>
      </c>
      <c r="BL44" s="1021">
        <f>(VLOOKUP(YEAR($A44),'NY East Load Projections'!$A$4:$EO$14,((MONTH($A44)-1)*12)+VLOOKUP(BL$4,$DE$6:$DF$17,2)+1))*(VLOOKUP($A44,CURVES!$D$9:$T$261,8))*(INDEX(DailyScalarsTable,BL$5/100,MONTH($A44)))*$D44</f>
        <v>-12645.578514174986</v>
      </c>
      <c r="BM44" s="1021">
        <f>(VLOOKUP(YEAR($A44),'NY East Load Projections'!$A$4:$EO$14,((MONTH($A44)-1)*12)+VLOOKUP(BM$4,$DE$6:$DF$17,2)+1))*(VLOOKUP($A44,SatSunCurve,8))*(INDEX(DailyScalarsTable,BM$5/100,MONTH($A44)))*$D44</f>
        <v>-9643.4779748026358</v>
      </c>
      <c r="BN44" s="1021">
        <f>(VLOOKUP(YEAR($A44),'NY East Load Projections'!$A$4:$EO$14,((MONTH($A44)-1)*12)+VLOOKUP(BN$4,$DE$6:$DF$17,2)+1))*(VLOOKUP($A44,SatSunCurve,8))*(INDEX(DailyScalarsTable,BN$5/100,MONTH($A44)))*$D44</f>
        <v>-10827.103492106931</v>
      </c>
      <c r="BO44" s="1021">
        <f>(VLOOKUP(YEAR($A44),'NY East Load Projections'!$A$4:$EO$14,((MONTH($A44)-1)*12)+VLOOKUP(BO$4,$DE$6:$DF$17,2)+1))*(VLOOKUP($A44,SatSunCurve,8))*(INDEX(DailyScalarsTable,BO$5/100,MONTH($A44)))*$D44</f>
        <v>-10794.343723598286</v>
      </c>
      <c r="BP44" s="1021">
        <f>(VLOOKUP(YEAR($A44),'NY East Load Projections'!$A$4:$EO$14,((MONTH($A44)-1)*12)+VLOOKUP(BP$4,$DE$6:$DF$17,2)+1))*(VLOOKUP($A44,SatSunCurve,8))*(INDEX(DailyScalarsTable,BP$5/100,MONTH($A44)))*$D44</f>
        <v>-10604.155067534213</v>
      </c>
      <c r="BQ44" s="1021">
        <f>(VLOOKUP(YEAR($A44),'NY East Load Projections'!$A$4:$EO$14,((MONTH($A44)-1)*12)+VLOOKUP(BQ$4,$DE$6:$DF$17,2)+1))*(VLOOKUP($A44,SatSunCurve,8))*(INDEX(DailyScalarsTable,BQ$5/100,MONTH($A44)))*$D44</f>
        <v>-8102.5827444713486</v>
      </c>
      <c r="BR44" s="1021">
        <f>(VLOOKUP(YEAR($A44),'NY East Load Projections'!$A$4:$EO$14,((MONTH($A44)-1)*12)+VLOOKUP(BR$4,$DE$6:$DF$17,2)+1))*(VLOOKUP($A44,SatSunCurve,8))*(INDEX(DailyScalarsTable,BR$5/100,MONTH($A44)))*$D44</f>
        <v>-7910.6392894118417</v>
      </c>
      <c r="BS44" s="1021">
        <f>(VLOOKUP(YEAR($A44),'NY East Load Projections'!$A$4:$EO$14,((MONTH($A44)-1)*12)+VLOOKUP(BS$4,$DE$6:$DF$17,2)+1))*(VLOOKUP($A44,SatSunCurve,8))*(INDEX(DailyScalarsTable,BS$5/100,MONTH($A44)))*$D44</f>
        <v>-7658.1720780476344</v>
      </c>
      <c r="BT44" s="1021">
        <f>(VLOOKUP(YEAR($A44),'NY East Load Projections'!$A$4:$EO$14,((MONTH($A44)-1)*12)+VLOOKUP(BT$4,$DE$6:$DF$17,2)+1))*(VLOOKUP($A44,SatSunCurve,8))*(INDEX(DailyScalarsTable,BT$5/100,MONTH($A44)))*$D44</f>
        <v>-7273.0681070899118</v>
      </c>
      <c r="BU44" s="1021">
        <f>(VLOOKUP(YEAR($A44),'NY East Load Projections'!$A$4:$EO$14,((MONTH($A44)-1)*12)+VLOOKUP(BU$4,$DE$6:$DF$17,2)+1))*(VLOOKUP($A44,SatSunCurve,8))*(INDEX(DailyScalarsTable,BU$5/100,MONTH($A44)))*$D44</f>
        <v>-7128.5397759466332</v>
      </c>
      <c r="BV44" s="1021">
        <f>(VLOOKUP(YEAR($A44),'NY East Load Projections'!$A$4:$EO$14,((MONTH($A44)-1)*12)+VLOOKUP(BV$4,$DE$6:$DF$17,2)+1))*(VLOOKUP($A44,SatSunCurve,8))*(INDEX(DailyScalarsTable,BV$5/100,MONTH($A44)))*$D44</f>
        <v>-7440.6589061925788</v>
      </c>
      <c r="BW44" s="1021">
        <f>(VLOOKUP(YEAR($A44),'NY East Load Projections'!$A$4:$EO$14,((MONTH($A44)-1)*12)+VLOOKUP(BW$4,$DE$6:$DF$17,2)+1))*(VLOOKUP($A44,SatSunCurve,8))*(INDEX(DailyScalarsTable,BW$5/100,MONTH($A44)))*$D44</f>
        <v>-10144.203402828231</v>
      </c>
      <c r="BX44" s="1021">
        <f>(VLOOKUP(YEAR($A44),'NY East Load Projections'!$A$4:$EO$14,((MONTH($A44)-1)*12)+VLOOKUP(BX$4,$DE$6:$DF$17,2)+1))*(VLOOKUP($A44,SatSunCurve,8))*(INDEX(DailyScalarsTable,BX$5/100,MONTH($A44)))*$D44</f>
        <v>-11139.093765049836</v>
      </c>
      <c r="BY44" s="1021">
        <f>(VLOOKUP(YEAR($A44),'NY East Load Projections'!$A$4:$EO$14,((MONTH($A44)-1)*12)+VLOOKUP(BY$4,$DE$6:$DF$17,2)+1))*(VLOOKUP($A44,SatSunCurve,8))*(INDEX(DailyScalarsTable,BY$5/100,MONTH($A44)))*$D44</f>
        <v>-10658.288475560697</v>
      </c>
      <c r="BZ44" s="1021">
        <f>(VLOOKUP(YEAR($A44),'NY East Load Projections'!$A$4:$EO$14,((MONTH($A44)-1)*12)+VLOOKUP(BZ$4,$DE$6:$DF$17,2)+1))*(VLOOKUP($A44,SatSunCurve,8))*(INDEX(DailyScalarsTable,BZ$5/100,MONTH($A44)))*$D44</f>
        <v>-9687.7814015969525</v>
      </c>
      <c r="CA44" s="1021">
        <f>(VLOOKUP(YEAR($A44),'NY East Load Projections'!$A$4:$EO$14,((MONTH($A44)-1)*12)+VLOOKUP(CA$4,$DE$6:$DF$17,2)+1))*(VLOOKUP($A44,SatSunCurve,8))*(INDEX(DailyScalarsTable,CA$5/100,MONTH($A44)))*$D44</f>
        <v>-7034.6609339165707</v>
      </c>
      <c r="CB44" s="1021">
        <f>(VLOOKUP(YEAR($A44),'NY East Load Projections'!$A$4:$EO$14,((MONTH($A44)-1)*12)+VLOOKUP(CB$4,$DE$6:$DF$17,2)+1))*(VLOOKUP($A44,SatSunCurve,8))*(INDEX(DailyScalarsTable,CB$5/100,MONTH($A44)))*$D44</f>
        <v>-5774.0903035454712</v>
      </c>
      <c r="CC44" s="1021">
        <f>(VLOOKUP(YEAR($A44),'NY East Load Projections'!$A$4:$EO$14,((MONTH($A44)-1)*12)+VLOOKUP(CC$4,$DE$6:$DF$17,2)+1))*(VLOOKUP($A44,CURVES!$D$9:$T$261,8))*(INDEX(DailyScalarsTable,CC$5/100,MONTH($A44)))*$D44</f>
        <v>-7332.2283713321658</v>
      </c>
      <c r="CE44" s="1021">
        <f>(VLOOKUP(YEAR($A44),'NY East Load Projections'!$A$4:$EO$14,((MONTH($A44)-1)*12)+VLOOKUP(CE$4,$DE$6:$DF$17,2)+1))*(VLOOKUP($A44,CURVES!$D$9:$T$261,8))*(INDEX(DailyScalarsTable,CE$5/100,MONTH($A44)))*$E44</f>
        <v>0</v>
      </c>
      <c r="CF44" s="1021">
        <f>(VLOOKUP(YEAR($A44),'NY East Load Projections'!$A$4:$EO$14,((MONTH($A44)-1)*12)+VLOOKUP(CF$4,$DE$6:$DF$17,2)+1))*(VLOOKUP($A44,CURVES!$D$9:$T$261,8))*(INDEX(DailyScalarsTable,CF$5/100,MONTH($A44)))*$E44</f>
        <v>0</v>
      </c>
      <c r="CG44" s="1021">
        <f>(VLOOKUP(YEAR($A44),'NY East Load Projections'!$A$4:$EO$14,((MONTH($A44)-1)*12)+VLOOKUP(CG$4,$DE$6:$DF$17,2)+1))*(VLOOKUP($A44,CURVES!$D$9:$T$261,8))*(INDEX(DailyScalarsTable,CG$5/100,MONTH($A44)))*$E44</f>
        <v>0</v>
      </c>
      <c r="CH44" s="1021">
        <f>(VLOOKUP(YEAR($A44),'NY East Load Projections'!$A$4:$EO$14,((MONTH($A44)-1)*12)+VLOOKUP(CH$4,$DE$6:$DF$17,2)+1))*(VLOOKUP($A44,CURVES!$D$9:$T$261,8))*(INDEX(DailyScalarsTable,CH$5/100,MONTH($A44)))*$E44</f>
        <v>0</v>
      </c>
      <c r="CI44" s="1021">
        <f>(VLOOKUP(YEAR($A44),'NY East Load Projections'!$A$4:$EO$14,((MONTH($A44)-1)*12)+VLOOKUP(CI$4,$DE$6:$DF$17,2)+1))*(VLOOKUP($A44,CURVES!$D$9:$T$261,8))*(INDEX(DailyScalarsTable,CI$5/100,MONTH($A44)))*$E44</f>
        <v>0</v>
      </c>
      <c r="CJ44" s="1021">
        <f>(VLOOKUP(YEAR($A44),'NY East Load Projections'!$A$4:$EO$14,((MONTH($A44)-1)*12)+VLOOKUP(CJ$4,$DE$6:$DF$17,2)+1))*(VLOOKUP($A44,CURVES!$D$9:$T$261,8))*(INDEX(DailyScalarsTable,CJ$5/100,MONTH($A44)))*$E44</f>
        <v>0</v>
      </c>
      <c r="CK44" s="1021">
        <f>(VLOOKUP(YEAR($A44),'NY East Load Projections'!$A$4:$EO$14,((MONTH($A44)-1)*12)+VLOOKUP(CK$4,$DE$6:$DF$17,2)+1))*(VLOOKUP($A44,CURVES!$D$9:$T$261,8))*(INDEX(DailyScalarsTable,CK$5/100,MONTH($A44)))*$E44</f>
        <v>0</v>
      </c>
      <c r="CL44" s="1021">
        <f>(VLOOKUP(YEAR($A44),'NY East Load Projections'!$A$4:$EO$14,((MONTH($A44)-1)*12)+VLOOKUP(CL$4,$DE$6:$DF$17,2)+1))*(VLOOKUP($A44,SatSunCurve,8))*(INDEX(DailyScalarsTable,CL$5/100,MONTH($A44)))*$E44</f>
        <v>0</v>
      </c>
      <c r="CM44" s="1021">
        <f>(VLOOKUP(YEAR($A44),'NY East Load Projections'!$A$4:$EO$14,((MONTH($A44)-1)*12)+VLOOKUP(CM$4,$DE$6:$DF$17,2)+1))*(VLOOKUP($A44,SatSunCurve,8))*(INDEX(DailyScalarsTable,CM$5/100,MONTH($A44)))*$E44</f>
        <v>0</v>
      </c>
      <c r="CN44" s="1021">
        <f>(VLOOKUP(YEAR($A44),'NY East Load Projections'!$A$4:$EO$14,((MONTH($A44)-1)*12)+VLOOKUP(CN$4,$DE$6:$DF$17,2)+1))*(VLOOKUP($A44,SatSunCurve,8))*(INDEX(DailyScalarsTable,CN$5/100,MONTH($A44)))*$E44</f>
        <v>0</v>
      </c>
      <c r="CO44" s="1021">
        <f>(VLOOKUP(YEAR($A44),'NY East Load Projections'!$A$4:$EO$14,((MONTH($A44)-1)*12)+VLOOKUP(CO$4,$DE$6:$DF$17,2)+1))*(VLOOKUP($A44,SatSunCurve,8))*(INDEX(DailyScalarsTable,CO$5/100,MONTH($A44)))*$E44</f>
        <v>0</v>
      </c>
      <c r="CP44" s="1021">
        <f>(VLOOKUP(YEAR($A44),'NY East Load Projections'!$A$4:$EO$14,((MONTH($A44)-1)*12)+VLOOKUP(CP$4,$DE$6:$DF$17,2)+1))*(VLOOKUP($A44,SatSunCurve,8))*(INDEX(DailyScalarsTable,CP$5/100,MONTH($A44)))*$E44</f>
        <v>0</v>
      </c>
      <c r="CQ44" s="1021">
        <f>(VLOOKUP(YEAR($A44),'NY East Load Projections'!$A$4:$EO$14,((MONTH($A44)-1)*12)+VLOOKUP(CQ$4,$DE$6:$DF$17,2)+1))*(VLOOKUP($A44,SatSunCurve,8))*(INDEX(DailyScalarsTable,CQ$5/100,MONTH($A44)))*$E44</f>
        <v>0</v>
      </c>
      <c r="CR44" s="1021">
        <f>(VLOOKUP(YEAR($A44),'NY East Load Projections'!$A$4:$EO$14,((MONTH($A44)-1)*12)+VLOOKUP(CR$4,$DE$6:$DF$17,2)+1))*(VLOOKUP($A44,SatSunCurve,8))*(INDEX(DailyScalarsTable,CR$5/100,MONTH($A44)))*$E44</f>
        <v>0</v>
      </c>
      <c r="CS44" s="1021">
        <f>(VLOOKUP(YEAR($A44),'NY East Load Projections'!$A$4:$EO$14,((MONTH($A44)-1)*12)+VLOOKUP(CS$4,$DE$6:$DF$17,2)+1))*(VLOOKUP($A44,SatSunCurve,8))*(INDEX(DailyScalarsTable,CS$5/100,MONTH($A44)))*$E44</f>
        <v>0</v>
      </c>
      <c r="CT44" s="1021">
        <f>(VLOOKUP(YEAR($A44),'NY East Load Projections'!$A$4:$EO$14,((MONTH($A44)-1)*12)+VLOOKUP(CT$4,$DE$6:$DF$17,2)+1))*(VLOOKUP($A44,SatSunCurve,8))*(INDEX(DailyScalarsTable,CT$5/100,MONTH($A44)))*$E44</f>
        <v>0</v>
      </c>
      <c r="CU44" s="1021">
        <f>(VLOOKUP(YEAR($A44),'NY East Load Projections'!$A$4:$EO$14,((MONTH($A44)-1)*12)+VLOOKUP(CU$4,$DE$6:$DF$17,2)+1))*(VLOOKUP($A44,SatSunCurve,8))*(INDEX(DailyScalarsTable,CU$5/100,MONTH($A44)))*$E44</f>
        <v>0</v>
      </c>
      <c r="CV44" s="1021">
        <f>(VLOOKUP(YEAR($A44),'NY East Load Projections'!$A$4:$EO$14,((MONTH($A44)-1)*12)+VLOOKUP(CV$4,$DE$6:$DF$17,2)+1))*(VLOOKUP($A44,SatSunCurve,8))*(INDEX(DailyScalarsTable,CV$5/100,MONTH($A44)))*$E44</f>
        <v>0</v>
      </c>
      <c r="CW44" s="1021">
        <f>(VLOOKUP(YEAR($A44),'NY East Load Projections'!$A$4:$EO$14,((MONTH($A44)-1)*12)+VLOOKUP(CW$4,$DE$6:$DF$17,2)+1))*(VLOOKUP($A44,SatSunCurve,8))*(INDEX(DailyScalarsTable,CW$5/100,MONTH($A44)))*$E44</f>
        <v>0</v>
      </c>
      <c r="CX44" s="1021">
        <f>(VLOOKUP(YEAR($A44),'NY East Load Projections'!$A$4:$EO$14,((MONTH($A44)-1)*12)+VLOOKUP(CX$4,$DE$6:$DF$17,2)+1))*(VLOOKUP($A44,SatSunCurve,8))*(INDEX(DailyScalarsTable,CX$5/100,MONTH($A44)))*$E44</f>
        <v>0</v>
      </c>
      <c r="CY44" s="1021">
        <f>(VLOOKUP(YEAR($A44),'NY East Load Projections'!$A$4:$EO$14,((MONTH($A44)-1)*12)+VLOOKUP(CY$4,$DE$6:$DF$17,2)+1))*(VLOOKUP($A44,SatSunCurve,8))*(INDEX(DailyScalarsTable,CY$5/100,MONTH($A44)))*$E44</f>
        <v>0</v>
      </c>
      <c r="CZ44" s="1021">
        <f>(VLOOKUP(YEAR($A44),'NY East Load Projections'!$A$4:$EO$14,((MONTH($A44)-1)*12)+VLOOKUP(CZ$4,$DE$6:$DF$17,2)+1))*(VLOOKUP($A44,SatSunCurve,8))*(INDEX(DailyScalarsTable,CZ$5/100,MONTH($A44)))*$E44</f>
        <v>0</v>
      </c>
      <c r="DA44" s="1021">
        <f>(VLOOKUP(YEAR($A44),'NY East Load Projections'!$A$4:$EO$14,((MONTH($A44)-1)*12)+VLOOKUP(DA$4,$DE$6:$DF$17,2)+1))*(VLOOKUP($A44,SatSunCurve,8))*(INDEX(DailyScalarsTable,DA$5/100,MONTH($A44)))*$E44</f>
        <v>0</v>
      </c>
      <c r="DB44" s="1021">
        <f>(VLOOKUP(YEAR($A44),'NY East Load Projections'!$A$4:$EO$14,((MONTH($A44)-1)*12)+VLOOKUP(DB$4,$DE$6:$DF$17,2)+1))*(VLOOKUP($A44,CURVES!$D$9:$T$261,8))*(INDEX(DailyScalarsTable,DB$5/100,MONTH($A44)))*$E44</f>
        <v>0</v>
      </c>
      <c r="DH44" s="1021">
        <f t="shared" si="0"/>
        <v>-1836957.4892263927</v>
      </c>
      <c r="DI44">
        <f ca="1">CALC!J64</f>
        <v>0.74457726488595455</v>
      </c>
      <c r="DJ44" s="1029">
        <f t="shared" ca="1" si="1"/>
        <v>-1367756.7830399578</v>
      </c>
    </row>
    <row r="45" spans="1:114" x14ac:dyDescent="0.25">
      <c r="A45" s="244">
        <v>38078</v>
      </c>
      <c r="B45" s="13">
        <v>22</v>
      </c>
      <c r="C45" s="210">
        <v>4</v>
      </c>
      <c r="D45" s="210">
        <v>4</v>
      </c>
      <c r="E45" s="210">
        <v>0</v>
      </c>
      <c r="F45" s="13">
        <v>30</v>
      </c>
      <c r="H45" s="1021">
        <f>(VLOOKUP(YEAR($A45),'NY East Load Projections'!$A$4:$EO$14,((MONTH($A45)-1)*12)+VLOOKUP(H$4,$DE$6:$DF$17,2)+1))*(VLOOKUP($A45,CURVES!$D$9:$K$261,8))*(INDEX(DailyScalarsTable,H$5/100,MONTH($A45)))*$B45</f>
        <v>-34544.200412945458</v>
      </c>
      <c r="I45" s="1021">
        <f>(VLOOKUP(YEAR($A45),'NY East Load Projections'!$A$4:$EO$14,((MONTH($A45)-1)*12)+VLOOKUP(I$4,$DE$6:$DF$17,2)+1))*(VLOOKUP($A45,CURVES!$D$9:$K$261,8))*(INDEX(DailyScalarsTable,I$5/100,MONTH($A45)))*$B45</f>
        <v>-32764.199645533059</v>
      </c>
      <c r="J45" s="1021">
        <f>(VLOOKUP(YEAR($A45),'NY East Load Projections'!$A$4:$EO$14,((MONTH($A45)-1)*12)+VLOOKUP(J$4,$DE$6:$DF$17,2)+1))*(VLOOKUP($A45,CURVES!$D$9:$K$261,8))*(INDEX(DailyScalarsTable,J$5/100,MONTH($A45)))*$B45</f>
        <v>-31446.983269470526</v>
      </c>
      <c r="K45" s="1021">
        <f>(VLOOKUP(YEAR($A45),'NY East Load Projections'!$A$4:$EO$14,((MONTH($A45)-1)*12)+VLOOKUP(K$4,$DE$6:$DF$17,2)+1))*(VLOOKUP($A45,CURVES!$D$9:$K$261,8))*(INDEX(DailyScalarsTable,K$5/100,MONTH($A45)))*$B45</f>
        <v>-31465.55787783386</v>
      </c>
      <c r="L45" s="1021">
        <f>(VLOOKUP(YEAR($A45),'NY East Load Projections'!$A$4:$EO$14,((MONTH($A45)-1)*12)+VLOOKUP(L$4,$DE$6:$DF$17,2)+1))*(VLOOKUP($A45,CURVES!$D$9:$K$261,8))*(INDEX(DailyScalarsTable,L$5/100,MONTH($A45)))*$B45</f>
        <v>-36882.908774591939</v>
      </c>
      <c r="M45" s="1021">
        <f>(VLOOKUP(YEAR($A45),'NY East Load Projections'!$A$4:$EO$14,((MONTH($A45)-1)*12)+VLOOKUP(M$4,$DE$6:$DF$17,2)+1))*(VLOOKUP($A45,CURVES!$D$9:$K$261,8))*(INDEX(DailyScalarsTable,M$5/100,MONTH($A45)))*$B45</f>
        <v>-42485.982473100026</v>
      </c>
      <c r="N45" s="1021">
        <f>(VLOOKUP(YEAR($A45),'NY East Load Projections'!$A$4:$EO$14,((MONTH($A45)-1)*12)+VLOOKUP(N$4,$DE$6:$DF$17,2)+1))*(VLOOKUP($A45,CURVES!$D$9:$K$261,8))*(INDEX(DailyScalarsTable,N$5/100,MONTH($A45)))*$B45</f>
        <v>-60597.354129511034</v>
      </c>
      <c r="O45" s="1021">
        <f>(VLOOKUP(YEAR($A45),'NY East Load Projections'!$A$4:$EO$14,((MONTH($A45)-1)*12)+VLOOKUP(O$4,$DE$6:$DF$17,2)+1))*(VLOOKUP($A45,CURVES!$D$9:$K$261,4))*(INDEX(DailyScalarsTable,O$5/100,MONTH($A45)))*$B45</f>
        <v>-73897.74409932812</v>
      </c>
      <c r="P45" s="1021">
        <f>(VLOOKUP(YEAR($A45),'NY East Load Projections'!$A$4:$EO$14,((MONTH($A45)-1)*12)+VLOOKUP(P$4,$DE$6:$DF$17,2)+1))*(VLOOKUP($A45,CURVES!$D$9:$K$261,4))*(INDEX(DailyScalarsTable,P$5/100,MONTH($A45)))*$B45</f>
        <v>-83645.958384782134</v>
      </c>
      <c r="Q45" s="1021">
        <f>(VLOOKUP(YEAR($A45),'NY East Load Projections'!$A$4:$EO$14,((MONTH($A45)-1)*12)+VLOOKUP(Q$4,$DE$6:$DF$17,2)+1))*(VLOOKUP($A45,CURVES!$D$9:$K$261,4))*(INDEX(DailyScalarsTable,Q$5/100,MONTH($A45)))*$B45</f>
        <v>-80162.577830413749</v>
      </c>
      <c r="R45" s="1021">
        <f>(VLOOKUP(YEAR($A45),'NY East Load Projections'!$A$4:$EO$14,((MONTH($A45)-1)*12)+VLOOKUP(R$4,$DE$6:$DF$17,2)+1))*(VLOOKUP($A45,CURVES!$D$9:$K$261,4))*(INDEX(DailyScalarsTable,R$5/100,MONTH($A45)))*$B45</f>
        <v>-81815.207751399212</v>
      </c>
      <c r="S45" s="1021">
        <f>(VLOOKUP(YEAR($A45),'NY East Load Projections'!$A$4:$EO$14,((MONTH($A45)-1)*12)+VLOOKUP(S$4,$DE$6:$DF$17,2)+1))*(VLOOKUP($A45,CURVES!$D$9:$K$261,4))*(INDEX(DailyScalarsTable,S$5/100,MONTH($A45)))*$B45</f>
        <v>-81975.634353293615</v>
      </c>
      <c r="T45" s="1021">
        <f>(VLOOKUP(YEAR($A45),'NY East Load Projections'!$A$4:$EO$14,((MONTH($A45)-1)*12)+VLOOKUP(T$4,$DE$6:$DF$17,2)+1))*(VLOOKUP($A45,CURVES!$D$9:$K$261,4))*(INDEX(DailyScalarsTable,T$5/100,MONTH($A45)))*$B45</f>
        <v>-77278.858029481868</v>
      </c>
      <c r="U45" s="1021">
        <f>(VLOOKUP(YEAR($A45),'NY East Load Projections'!$A$4:$EO$14,((MONTH($A45)-1)*12)+VLOOKUP(U$4,$DE$6:$DF$17,2)+1))*(VLOOKUP($A45,CURVES!$D$9:$K$261,4))*(INDEX(DailyScalarsTable,U$5/100,MONTH($A45)))*$B45</f>
        <v>-77362.070684008373</v>
      </c>
      <c r="V45" s="1021">
        <f>(VLOOKUP(YEAR($A45),'NY East Load Projections'!$A$4:$EO$14,((MONTH($A45)-1)*12)+VLOOKUP(V$4,$DE$6:$DF$17,2)+1))*(VLOOKUP($A45,CURVES!$D$9:$K$261,4))*(INDEX(DailyScalarsTable,V$5/100,MONTH($A45)))*$B45</f>
        <v>-72560.211031624596</v>
      </c>
      <c r="W45" s="1021">
        <f>(VLOOKUP(YEAR($A45),'NY East Load Projections'!$A$4:$EO$14,((MONTH($A45)-1)*12)+VLOOKUP(W$4,$DE$6:$DF$17,2)+1))*(VLOOKUP($A45,CURVES!$D$9:$K$261,4))*(INDEX(DailyScalarsTable,W$5/100,MONTH($A45)))*$B45</f>
        <v>-67815.866008104786</v>
      </c>
      <c r="X45" s="1021">
        <f>(VLOOKUP(YEAR($A45),'NY East Load Projections'!$A$4:$EO$14,((MONTH($A45)-1)*12)+VLOOKUP(X$4,$DE$6:$DF$17,2)+1))*(VLOOKUP($A45,CURVES!$D$9:$K$261,4))*(INDEX(DailyScalarsTable,X$5/100,MONTH($A45)))*$B45</f>
        <v>-62039.892696372786</v>
      </c>
      <c r="Y45" s="1021">
        <f>(VLOOKUP(YEAR($A45),'NY East Load Projections'!$A$4:$EO$14,((MONTH($A45)-1)*12)+VLOOKUP(Y$4,$DE$6:$DF$17,2)+1))*(VLOOKUP($A45,CURVES!$D$9:$K$261,4))*(INDEX(DailyScalarsTable,Y$5/100,MONTH($A45)))*$B45</f>
        <v>-61233.032065049483</v>
      </c>
      <c r="Z45" s="1021">
        <f>(VLOOKUP(YEAR($A45),'NY East Load Projections'!$A$4:$EO$14,((MONTH($A45)-1)*12)+VLOOKUP(Z$4,$DE$6:$DF$17,2)+1))*(VLOOKUP($A45,CURVES!$D$9:$K$261,4))*(INDEX(DailyScalarsTable,Z$5/100,MONTH($A45)))*$B45</f>
        <v>-60904.778664539583</v>
      </c>
      <c r="AA45" s="1021">
        <f>(VLOOKUP(YEAR($A45),'NY East Load Projections'!$A$4:$EO$14,((MONTH($A45)-1)*12)+VLOOKUP(AA$4,$DE$6:$DF$17,2)+1))*(VLOOKUP($A45,CURVES!$D$9:$K$261,4))*(INDEX(DailyScalarsTable,AA$5/100,MONTH($A45)))*$B45</f>
        <v>-66803.010221254342</v>
      </c>
      <c r="AB45" s="1021">
        <f>(VLOOKUP(YEAR($A45),'NY East Load Projections'!$A$4:$EO$14,((MONTH($A45)-1)*12)+VLOOKUP(AB$4,$DE$6:$DF$17,2)+1))*(VLOOKUP($A45,CURVES!$D$9:$K$261,4))*(INDEX(DailyScalarsTable,AB$5/100,MONTH($A45)))*$B45</f>
        <v>-73211.837734221801</v>
      </c>
      <c r="AC45" s="1021">
        <f>(VLOOKUP(YEAR($A45),'NY East Load Projections'!$A$4:$EO$14,((MONTH($A45)-1)*12)+VLOOKUP(AC$4,$DE$6:$DF$17,2)+1))*(VLOOKUP($A45,CURVES!$D$9:$K$261,4))*(INDEX(DailyScalarsTable,AC$5/100,MONTH($A45)))*$B45</f>
        <v>-62382.010400846244</v>
      </c>
      <c r="AD45" s="1021">
        <f>(VLOOKUP(YEAR($A45),'NY East Load Projections'!$A$4:$EO$14,((MONTH($A45)-1)*12)+VLOOKUP(AD$4,$DE$6:$DF$17,2)+1))*(VLOOKUP($A45,CURVES!$D$9:$K$261,4))*(INDEX(DailyScalarsTable,AD$5/100,MONTH($A45)))*$B45</f>
        <v>-55110.744485525895</v>
      </c>
      <c r="AE45" s="1021">
        <f>(VLOOKUP(YEAR($A45),'NY East Load Projections'!$A$4:$EO$14,((MONTH($A45)-1)*12)+VLOOKUP(AE$4,$DE$6:$DF$17,2)+1))*(VLOOKUP($A45,CURVES!$D$9:$K$261,8))*(INDEX(DailyScalarsTable,AE$5/100,MONTH($A45)))*$B45</f>
        <v>-41126.445744965444</v>
      </c>
      <c r="AF45" s="1021"/>
      <c r="AG45" s="1021">
        <f>(VLOOKUP(YEAR($A45),'NY East Load Projections'!$A$4:$EO$14,((MONTH($A45)-1)*12)+VLOOKUP(AG$4,$DE$6:$DF$17,2)+1))*(VLOOKUP($A45,CURVES!$D$9:$T$261,8))*(INDEX(DailyScalarsTable,AG$5/100,MONTH($A45)))*$C45</f>
        <v>-6611.7492013787032</v>
      </c>
      <c r="AH45" s="1021">
        <f>(VLOOKUP(YEAR($A45),'NY East Load Projections'!$A$4:$EO$14,((MONTH($A45)-1)*12)+VLOOKUP(AH$4,$DE$6:$DF$17,2)+1))*(VLOOKUP($A45,CURVES!$D$9:$T$261,8))*(INDEX(DailyScalarsTable,AH$5/100,MONTH($A45)))*$C45</f>
        <v>-6271.05760881887</v>
      </c>
      <c r="AI45" s="1021">
        <f>(VLOOKUP(YEAR($A45),'NY East Load Projections'!$A$4:$EO$14,((MONTH($A45)-1)*12)+VLOOKUP(AI$4,$DE$6:$DF$17,2)+1))*(VLOOKUP($A45,CURVES!$D$9:$T$261,8))*(INDEX(DailyScalarsTable,AI$5/100,MONTH($A45)))*$C45</f>
        <v>-6018.94280464437</v>
      </c>
      <c r="AJ45" s="1021">
        <f>(VLOOKUP(YEAR($A45),'NY East Load Projections'!$A$4:$EO$14,((MONTH($A45)-1)*12)+VLOOKUP(AJ$4,$DE$6:$DF$17,2)+1))*(VLOOKUP($A45,CURVES!$D$9:$T$261,8))*(INDEX(DailyScalarsTable,AJ$5/100,MONTH($A45)))*$C45</f>
        <v>-6022.4979789006602</v>
      </c>
      <c r="AK45" s="1021">
        <f>(VLOOKUP(YEAR($A45),'NY East Load Projections'!$A$4:$EO$14,((MONTH($A45)-1)*12)+VLOOKUP(AK$4,$DE$6:$DF$17,2)+1))*(VLOOKUP($A45,CURVES!$D$9:$T$261,8))*(INDEX(DailyScalarsTable,AK$5/100,MONTH($A45)))*$C45</f>
        <v>-6558.6021077304977</v>
      </c>
      <c r="AL45" s="1021">
        <f>(VLOOKUP(YEAR($A45),'NY East Load Projections'!$A$4:$EO$14,((MONTH($A45)-1)*12)+VLOOKUP(AL$4,$DE$6:$DF$17,2)+1))*(VLOOKUP($A45,CURVES!$D$9:$T$261,8))*(INDEX(DailyScalarsTable,AL$5/100,MONTH($A45)))*$C45</f>
        <v>-7554.9533226899803</v>
      </c>
      <c r="AM45" s="1021">
        <f>(VLOOKUP(YEAR($A45),'NY East Load Projections'!$A$4:$EO$14,((MONTH($A45)-1)*12)+VLOOKUP(AM$4,$DE$6:$DF$17,2)+1))*(VLOOKUP($A45,CURVES!$D$9:$T$261,8))*(INDEX(DailyScalarsTable,AM$5/100,MONTH($A45)))*$C45</f>
        <v>-10775.558320131422</v>
      </c>
      <c r="AN45" s="1021">
        <f>(VLOOKUP(YEAR($A45),'NY East Load Projections'!$A$4:$EO$14,((MONTH($A45)-1)*12)+VLOOKUP(AN$4,$DE$6:$DF$17,2)+1))*(VLOOKUP($A45,SatSunCurve,4))*(INDEX(DailyScalarsTable,AN$5/100,MONTH($A45)))*$C45</f>
        <v>-9027.287577498395</v>
      </c>
      <c r="AO45" s="1021">
        <f>(VLOOKUP(YEAR($A45),'NY East Load Projections'!$A$4:$EO$14,((MONTH($A45)-1)*12)+VLOOKUP(AO$4,$DE$6:$DF$17,2)+1))*(VLOOKUP($A45,SatSunCurve,4))*(INDEX(DailyScalarsTable,AO$5/100,MONTH($A45)))*$C45</f>
        <v>-9866.738235371593</v>
      </c>
      <c r="AP45" s="1021">
        <f>(VLOOKUP(YEAR($A45),'NY East Load Projections'!$A$4:$EO$14,((MONTH($A45)-1)*12)+VLOOKUP(AP$4,$DE$6:$DF$17,2)+1))*(VLOOKUP($A45,SatSunCurve,4))*(INDEX(DailyScalarsTable,AP$5/100,MONTH($A45)))*$C45</f>
        <v>-9455.8444543949699</v>
      </c>
      <c r="AQ45" s="1021">
        <f>(VLOOKUP(YEAR($A45),'NY East Load Projections'!$A$4:$EO$14,((MONTH($A45)-1)*12)+VLOOKUP(AQ$4,$DE$6:$DF$17,2)+1))*(VLOOKUP($A45,SatSunCurve,4))*(INDEX(DailyScalarsTable,AQ$5/100,MONTH($A45)))*$C45</f>
        <v>-9650.7859332802545</v>
      </c>
      <c r="AR45" s="1021">
        <f>(VLOOKUP(YEAR($A45),'NY East Load Projections'!$A$4:$EO$14,((MONTH($A45)-1)*12)+VLOOKUP(AR$4,$DE$6:$DF$17,2)+1))*(VLOOKUP($A45,SatSunCurve,4))*(INDEX(DailyScalarsTable,AR$5/100,MONTH($A45)))*$C45</f>
        <v>-9669.7095886181578</v>
      </c>
      <c r="AS45" s="1021">
        <f>(VLOOKUP(YEAR($A45),'NY East Load Projections'!$A$4:$EO$14,((MONTH($A45)-1)*12)+VLOOKUP(AS$4,$DE$6:$DF$17,2)+1))*(VLOOKUP($A45,SatSunCurve,4))*(INDEX(DailyScalarsTable,AS$5/100,MONTH($A45)))*$C45</f>
        <v>-8877.4840573987003</v>
      </c>
      <c r="AT45" s="1021">
        <f>(VLOOKUP(YEAR($A45),'NY East Load Projections'!$A$4:$EO$14,((MONTH($A45)-1)*12)+VLOOKUP(AT$4,$DE$6:$DF$17,2)+1))*(VLOOKUP($A45,SatSunCurve,4))*(INDEX(DailyScalarsTable,AT$5/100,MONTH($A45)))*$C45</f>
        <v>-8887.0431921060372</v>
      </c>
      <c r="AU45" s="1021">
        <f>(VLOOKUP(YEAR($A45),'NY East Load Projections'!$A$4:$EO$14,((MONTH($A45)-1)*12)+VLOOKUP(AU$4,$DE$6:$DF$17,2)+1))*(VLOOKUP($A45,SatSunCurve,4))*(INDEX(DailyScalarsTable,AU$5/100,MONTH($A45)))*$C45</f>
        <v>-8335.4248892884643</v>
      </c>
      <c r="AV45" s="1021">
        <f>(VLOOKUP(YEAR($A45),'NY East Load Projections'!$A$4:$EO$14,((MONTH($A45)-1)*12)+VLOOKUP(AV$4,$DE$6:$DF$17,2)+1))*(VLOOKUP($A45,SatSunCurve,4))*(INDEX(DailyScalarsTable,AV$5/100,MONTH($A45)))*$C45</f>
        <v>-7790.4136354597886</v>
      </c>
      <c r="AW45" s="1021">
        <f>(VLOOKUP(YEAR($A45),'NY East Load Projections'!$A$4:$EO$14,((MONTH($A45)-1)*12)+VLOOKUP(AW$4,$DE$6:$DF$17,2)+1))*(VLOOKUP($A45,SatSunCurve,4))*(INDEX(DailyScalarsTable,AW$5/100,MONTH($A45)))*$C45</f>
        <v>-7193.3773178558949</v>
      </c>
      <c r="AX45" s="1021">
        <f>(VLOOKUP(YEAR($A45),'NY East Load Projections'!$A$4:$EO$14,((MONTH($A45)-1)*12)+VLOOKUP(AX$4,$DE$6:$DF$17,2)+1))*(VLOOKUP($A45,SatSunCurve,4))*(INDEX(DailyScalarsTable,AX$5/100,MONTH($A45)))*$C45</f>
        <v>-7099.8237555949581</v>
      </c>
      <c r="AY45" s="1021">
        <f>(VLOOKUP(YEAR($A45),'NY East Load Projections'!$A$4:$EO$14,((MONTH($A45)-1)*12)+VLOOKUP(AY$4,$DE$6:$DF$17,2)+1))*(VLOOKUP($A45,SatSunCurve,4))*(INDEX(DailyScalarsTable,AY$5/100,MONTH($A45)))*$C45</f>
        <v>-7061.7635581459863</v>
      </c>
      <c r="AZ45" s="1021">
        <f>(VLOOKUP(YEAR($A45),'NY East Load Projections'!$A$4:$EO$14,((MONTH($A45)-1)*12)+VLOOKUP(AZ$4,$DE$6:$DF$17,2)+1))*(VLOOKUP($A45,SatSunCurve,4))*(INDEX(DailyScalarsTable,AZ$5/100,MONTH($A45)))*$C45</f>
        <v>-7745.6494137063792</v>
      </c>
      <c r="BA45" s="1021">
        <f>(VLOOKUP(YEAR($A45),'NY East Load Projections'!$A$4:$EO$14,((MONTH($A45)-1)*12)+VLOOKUP(BA$4,$DE$6:$DF$17,2)+1))*(VLOOKUP($A45,SatSunCurve,4))*(INDEX(DailyScalarsTable,BA$5/100,MONTH($A45)))*$C45</f>
        <v>-9198.2722236395857</v>
      </c>
      <c r="BB45" s="1021">
        <f>(VLOOKUP(YEAR($A45),'NY East Load Projections'!$A$4:$EO$14,((MONTH($A45)-1)*12)+VLOOKUP(BB$4,$DE$6:$DF$17,2)+1))*(VLOOKUP($A45,SatSunCurve,4))*(INDEX(DailyScalarsTable,BB$5/100,MONTH($A45)))*$C45</f>
        <v>-7837.62204696963</v>
      </c>
      <c r="BC45" s="1021">
        <f>(VLOOKUP(YEAR($A45),'NY East Load Projections'!$A$4:$EO$14,((MONTH($A45)-1)*12)+VLOOKUP(BC$4,$DE$6:$DF$17,2)+1))*(VLOOKUP($A45,SatSunCurve,4))*(INDEX(DailyScalarsTable,BC$5/100,MONTH($A45)))*$C45</f>
        <v>-6924.0664612951987</v>
      </c>
      <c r="BD45" s="1021">
        <f>(VLOOKUP(YEAR($A45),'NY East Load Projections'!$A$4:$EO$14,((MONTH($A45)-1)*12)+VLOOKUP(BD$4,$DE$6:$DF$17,2)+1))*(VLOOKUP($A45,CURVES!$D$9:$T$261,8))*(INDEX(DailyScalarsTable,BD$5/100,MONTH($A45)))*$C45</f>
        <v>-7521.5292893796177</v>
      </c>
      <c r="BE45" s="1021"/>
      <c r="BF45" s="1021">
        <f>(VLOOKUP(YEAR($A45),'NY East Load Projections'!$A$4:$EO$14,((MONTH($A45)-1)*12)+VLOOKUP(BF$4,$DE$6:$DF$17,2)+1))*(VLOOKUP($A45,CURVES!$D$9:$T$261,8))*(INDEX(DailyScalarsTable,BF$5/100,MONTH($A45)))*$D45</f>
        <v>-6611.7492013787032</v>
      </c>
      <c r="BG45" s="1021">
        <f>(VLOOKUP(YEAR($A45),'NY East Load Projections'!$A$4:$EO$14,((MONTH($A45)-1)*12)+VLOOKUP(BG$4,$DE$6:$DF$17,2)+1))*(VLOOKUP($A45,CURVES!$D$9:$T$261,8))*(INDEX(DailyScalarsTable,BG$5/100,MONTH($A45)))*$D45</f>
        <v>-6271.05760881887</v>
      </c>
      <c r="BH45" s="1021">
        <f>(VLOOKUP(YEAR($A45),'NY East Load Projections'!$A$4:$EO$14,((MONTH($A45)-1)*12)+VLOOKUP(BH$4,$DE$6:$DF$17,2)+1))*(VLOOKUP($A45,CURVES!$D$9:$T$261,8))*(INDEX(DailyScalarsTable,BH$5/100,MONTH($A45)))*$D45</f>
        <v>-6018.94280464437</v>
      </c>
      <c r="BI45" s="1021">
        <f>(VLOOKUP(YEAR($A45),'NY East Load Projections'!$A$4:$EO$14,((MONTH($A45)-1)*12)+VLOOKUP(BI$4,$DE$6:$DF$17,2)+1))*(VLOOKUP($A45,CURVES!$D$9:$T$261,8))*(INDEX(DailyScalarsTable,BI$5/100,MONTH($A45)))*$D45</f>
        <v>-6022.4979789006602</v>
      </c>
      <c r="BJ45" s="1021">
        <f>(VLOOKUP(YEAR($A45),'NY East Load Projections'!$A$4:$EO$14,((MONTH($A45)-1)*12)+VLOOKUP(BJ$4,$DE$6:$DF$17,2)+1))*(VLOOKUP($A45,CURVES!$D$9:$T$261,8))*(INDEX(DailyScalarsTable,BJ$5/100,MONTH($A45)))*$D45</f>
        <v>-6558.6021077304977</v>
      </c>
      <c r="BK45" s="1021">
        <f>(VLOOKUP(YEAR($A45),'NY East Load Projections'!$A$4:$EO$14,((MONTH($A45)-1)*12)+VLOOKUP(BK$4,$DE$6:$DF$17,2)+1))*(VLOOKUP($A45,CURVES!$D$9:$T$261,8))*(INDEX(DailyScalarsTable,BK$5/100,MONTH($A45)))*$D45</f>
        <v>-7554.9533226899803</v>
      </c>
      <c r="BL45" s="1021">
        <f>(VLOOKUP(YEAR($A45),'NY East Load Projections'!$A$4:$EO$14,((MONTH($A45)-1)*12)+VLOOKUP(BL$4,$DE$6:$DF$17,2)+1))*(VLOOKUP($A45,CURVES!$D$9:$T$261,8))*(INDEX(DailyScalarsTable,BL$5/100,MONTH($A45)))*$D45</f>
        <v>-10775.558320131422</v>
      </c>
      <c r="BM45" s="1021">
        <f>(VLOOKUP(YEAR($A45),'NY East Load Projections'!$A$4:$EO$14,((MONTH($A45)-1)*12)+VLOOKUP(BM$4,$DE$6:$DF$17,2)+1))*(VLOOKUP($A45,SatSunCurve,8))*(INDEX(DailyScalarsTable,BM$5/100,MONTH($A45)))*$D45</f>
        <v>-9731.4708489786117</v>
      </c>
      <c r="BN45" s="1021">
        <f>(VLOOKUP(YEAR($A45),'NY East Load Projections'!$A$4:$EO$14,((MONTH($A45)-1)*12)+VLOOKUP(BN$4,$DE$6:$DF$17,2)+1))*(VLOOKUP($A45,SatSunCurve,8))*(INDEX(DailyScalarsTable,BN$5/100,MONTH($A45)))*$D45</f>
        <v>-10636.403757797354</v>
      </c>
      <c r="BO45" s="1021">
        <f>(VLOOKUP(YEAR($A45),'NY East Load Projections'!$A$4:$EO$14,((MONTH($A45)-1)*12)+VLOOKUP(BO$4,$DE$6:$DF$17,2)+1))*(VLOOKUP($A45,SatSunCurve,8))*(INDEX(DailyScalarsTable,BO$5/100,MONTH($A45)))*$D45</f>
        <v>-10193.457765740161</v>
      </c>
      <c r="BP45" s="1021">
        <f>(VLOOKUP(YEAR($A45),'NY East Load Projections'!$A$4:$EO$14,((MONTH($A45)-1)*12)+VLOOKUP(BP$4,$DE$6:$DF$17,2)+1))*(VLOOKUP($A45,SatSunCurve,8))*(INDEX(DailyScalarsTable,BP$5/100,MONTH($A45)))*$D45</f>
        <v>-10403.605864240712</v>
      </c>
      <c r="BQ45" s="1021">
        <f>(VLOOKUP(YEAR($A45),'NY East Load Projections'!$A$4:$EO$14,((MONTH($A45)-1)*12)+VLOOKUP(BQ$4,$DE$6:$DF$17,2)+1))*(VLOOKUP($A45,SatSunCurve,8))*(INDEX(DailyScalarsTable,BQ$5/100,MONTH($A45)))*$D45</f>
        <v>-10424.005679655473</v>
      </c>
      <c r="BR45" s="1021">
        <f>(VLOOKUP(YEAR($A45),'NY East Load Projections'!$A$4:$EO$14,((MONTH($A45)-1)*12)+VLOOKUP(BR$4,$DE$6:$DF$17,2)+1))*(VLOOKUP($A45,SatSunCurve,8))*(INDEX(DailyScalarsTable,BR$5/100,MONTH($A45)))*$D45</f>
        <v>-9569.9817442603453</v>
      </c>
      <c r="BS45" s="1021">
        <f>(VLOOKUP(YEAR($A45),'NY East Load Projections'!$A$4:$EO$14,((MONTH($A45)-1)*12)+VLOOKUP(BS$4,$DE$6:$DF$17,2)+1))*(VLOOKUP($A45,SatSunCurve,8))*(INDEX(DailyScalarsTable,BS$5/100,MONTH($A45)))*$D45</f>
        <v>-9580.2865495462393</v>
      </c>
      <c r="BT45" s="1021">
        <f>(VLOOKUP(YEAR($A45),'NY East Load Projections'!$A$4:$EO$14,((MONTH($A45)-1)*12)+VLOOKUP(BT$4,$DE$6:$DF$17,2)+1))*(VLOOKUP($A45,SatSunCurve,8))*(INDEX(DailyScalarsTable,BT$5/100,MONTH($A45)))*$D45</f>
        <v>-8985.6386680482792</v>
      </c>
      <c r="BU45" s="1021">
        <f>(VLOOKUP(YEAR($A45),'NY East Load Projections'!$A$4:$EO$14,((MONTH($A45)-1)*12)+VLOOKUP(BU$4,$DE$6:$DF$17,2)+1))*(VLOOKUP($A45,SatSunCurve,8))*(INDEX(DailyScalarsTable,BU$5/100,MONTH($A45)))*$D45</f>
        <v>-8398.1132254979275</v>
      </c>
      <c r="BV45" s="1021">
        <f>(VLOOKUP(YEAR($A45),'NY East Load Projections'!$A$4:$EO$14,((MONTH($A45)-1)*12)+VLOOKUP(BV$4,$DE$6:$DF$17,2)+1))*(VLOOKUP($A45,SatSunCurve,8))*(INDEX(DailyScalarsTable,BV$5/100,MONTH($A45)))*$D45</f>
        <v>-7754.5044481475688</v>
      </c>
      <c r="BW45" s="1021">
        <f>(VLOOKUP(YEAR($A45),'NY East Load Projections'!$A$4:$EO$14,((MONTH($A45)-1)*12)+VLOOKUP(BW$4,$DE$6:$DF$17,2)+1))*(VLOOKUP($A45,SatSunCurve,8))*(INDEX(DailyScalarsTable,BW$5/100,MONTH($A45)))*$D45</f>
        <v>-7653.6531396958781</v>
      </c>
      <c r="BX45" s="1021">
        <f>(VLOOKUP(YEAR($A45),'NY East Load Projections'!$A$4:$EO$14,((MONTH($A45)-1)*12)+VLOOKUP(BX$4,$DE$6:$DF$17,2)+1))*(VLOOKUP($A45,SatSunCurve,8))*(INDEX(DailyScalarsTable,BX$5/100,MONTH($A45)))*$D45</f>
        <v>-7612.6240156316062</v>
      </c>
      <c r="BY45" s="1021">
        <f>(VLOOKUP(YEAR($A45),'NY East Load Projections'!$A$4:$EO$14,((MONTH($A45)-1)*12)+VLOOKUP(BY$4,$DE$6:$DF$17,2)+1))*(VLOOKUP($A45,SatSunCurve,8))*(INDEX(DailyScalarsTable,BY$5/100,MONTH($A45)))*$D45</f>
        <v>-8349.8571225067753</v>
      </c>
      <c r="BZ45" s="1021">
        <f>(VLOOKUP(YEAR($A45),'NY East Load Projections'!$A$4:$EO$14,((MONTH($A45)-1)*12)+VLOOKUP(BZ$4,$DE$6:$DF$17,2)+1))*(VLOOKUP($A45,SatSunCurve,8))*(INDEX(DailyScalarsTable,BZ$5/100,MONTH($A45)))*$D45</f>
        <v>-9915.7933362441618</v>
      </c>
      <c r="CA45" s="1021">
        <f>(VLOOKUP(YEAR($A45),'NY East Load Projections'!$A$4:$EO$14,((MONTH($A45)-1)*12)+VLOOKUP(CA$4,$DE$6:$DF$17,2)+1))*(VLOOKUP($A45,SatSunCurve,8))*(INDEX(DailyScalarsTable,CA$5/100,MONTH($A45)))*$D45</f>
        <v>-8449.0041798948751</v>
      </c>
      <c r="CB45" s="1021">
        <f>(VLOOKUP(YEAR($A45),'NY East Load Projections'!$A$4:$EO$14,((MONTH($A45)-1)*12)+VLOOKUP(CB$4,$DE$6:$DF$17,2)+1))*(VLOOKUP($A45,SatSunCurve,8))*(INDEX(DailyScalarsTable,CB$5/100,MONTH($A45)))*$D45</f>
        <v>-7464.1857087217277</v>
      </c>
      <c r="CC45" s="1021">
        <f>(VLOOKUP(YEAR($A45),'NY East Load Projections'!$A$4:$EO$14,((MONTH($A45)-1)*12)+VLOOKUP(CC$4,$DE$6:$DF$17,2)+1))*(VLOOKUP($A45,CURVES!$D$9:$T$261,8))*(INDEX(DailyScalarsTable,CC$5/100,MONTH($A45)))*$D45</f>
        <v>-7521.5292893796177</v>
      </c>
      <c r="CE45" s="1021">
        <f>(VLOOKUP(YEAR($A45),'NY East Load Projections'!$A$4:$EO$14,((MONTH($A45)-1)*12)+VLOOKUP(CE$4,$DE$6:$DF$17,2)+1))*(VLOOKUP($A45,CURVES!$D$9:$T$261,8))*(INDEX(DailyScalarsTable,CE$5/100,MONTH($A45)))*$E45</f>
        <v>0</v>
      </c>
      <c r="CF45" s="1021">
        <f>(VLOOKUP(YEAR($A45),'NY East Load Projections'!$A$4:$EO$14,((MONTH($A45)-1)*12)+VLOOKUP(CF$4,$DE$6:$DF$17,2)+1))*(VLOOKUP($A45,CURVES!$D$9:$T$261,8))*(INDEX(DailyScalarsTable,CF$5/100,MONTH($A45)))*$E45</f>
        <v>0</v>
      </c>
      <c r="CG45" s="1021">
        <f>(VLOOKUP(YEAR($A45),'NY East Load Projections'!$A$4:$EO$14,((MONTH($A45)-1)*12)+VLOOKUP(CG$4,$DE$6:$DF$17,2)+1))*(VLOOKUP($A45,CURVES!$D$9:$T$261,8))*(INDEX(DailyScalarsTable,CG$5/100,MONTH($A45)))*$E45</f>
        <v>0</v>
      </c>
      <c r="CH45" s="1021">
        <f>(VLOOKUP(YEAR($A45),'NY East Load Projections'!$A$4:$EO$14,((MONTH($A45)-1)*12)+VLOOKUP(CH$4,$DE$6:$DF$17,2)+1))*(VLOOKUP($A45,CURVES!$D$9:$T$261,8))*(INDEX(DailyScalarsTable,CH$5/100,MONTH($A45)))*$E45</f>
        <v>0</v>
      </c>
      <c r="CI45" s="1021">
        <f>(VLOOKUP(YEAR($A45),'NY East Load Projections'!$A$4:$EO$14,((MONTH($A45)-1)*12)+VLOOKUP(CI$4,$DE$6:$DF$17,2)+1))*(VLOOKUP($A45,CURVES!$D$9:$T$261,8))*(INDEX(DailyScalarsTable,CI$5/100,MONTH($A45)))*$E45</f>
        <v>0</v>
      </c>
      <c r="CJ45" s="1021">
        <f>(VLOOKUP(YEAR($A45),'NY East Load Projections'!$A$4:$EO$14,((MONTH($A45)-1)*12)+VLOOKUP(CJ$4,$DE$6:$DF$17,2)+1))*(VLOOKUP($A45,CURVES!$D$9:$T$261,8))*(INDEX(DailyScalarsTable,CJ$5/100,MONTH($A45)))*$E45</f>
        <v>0</v>
      </c>
      <c r="CK45" s="1021">
        <f>(VLOOKUP(YEAR($A45),'NY East Load Projections'!$A$4:$EO$14,((MONTH($A45)-1)*12)+VLOOKUP(CK$4,$DE$6:$DF$17,2)+1))*(VLOOKUP($A45,CURVES!$D$9:$T$261,8))*(INDEX(DailyScalarsTable,CK$5/100,MONTH($A45)))*$E45</f>
        <v>0</v>
      </c>
      <c r="CL45" s="1021">
        <f>(VLOOKUP(YEAR($A45),'NY East Load Projections'!$A$4:$EO$14,((MONTH($A45)-1)*12)+VLOOKUP(CL$4,$DE$6:$DF$17,2)+1))*(VLOOKUP($A45,SatSunCurve,8))*(INDEX(DailyScalarsTable,CL$5/100,MONTH($A45)))*$E45</f>
        <v>0</v>
      </c>
      <c r="CM45" s="1021">
        <f>(VLOOKUP(YEAR($A45),'NY East Load Projections'!$A$4:$EO$14,((MONTH($A45)-1)*12)+VLOOKUP(CM$4,$DE$6:$DF$17,2)+1))*(VLOOKUP($A45,SatSunCurve,8))*(INDEX(DailyScalarsTable,CM$5/100,MONTH($A45)))*$E45</f>
        <v>0</v>
      </c>
      <c r="CN45" s="1021">
        <f>(VLOOKUP(YEAR($A45),'NY East Load Projections'!$A$4:$EO$14,((MONTH($A45)-1)*12)+VLOOKUP(CN$4,$DE$6:$DF$17,2)+1))*(VLOOKUP($A45,SatSunCurve,8))*(INDEX(DailyScalarsTable,CN$5/100,MONTH($A45)))*$E45</f>
        <v>0</v>
      </c>
      <c r="CO45" s="1021">
        <f>(VLOOKUP(YEAR($A45),'NY East Load Projections'!$A$4:$EO$14,((MONTH($A45)-1)*12)+VLOOKUP(CO$4,$DE$6:$DF$17,2)+1))*(VLOOKUP($A45,SatSunCurve,8))*(INDEX(DailyScalarsTable,CO$5/100,MONTH($A45)))*$E45</f>
        <v>0</v>
      </c>
      <c r="CP45" s="1021">
        <f>(VLOOKUP(YEAR($A45),'NY East Load Projections'!$A$4:$EO$14,((MONTH($A45)-1)*12)+VLOOKUP(CP$4,$DE$6:$DF$17,2)+1))*(VLOOKUP($A45,SatSunCurve,8))*(INDEX(DailyScalarsTable,CP$5/100,MONTH($A45)))*$E45</f>
        <v>0</v>
      </c>
      <c r="CQ45" s="1021">
        <f>(VLOOKUP(YEAR($A45),'NY East Load Projections'!$A$4:$EO$14,((MONTH($A45)-1)*12)+VLOOKUP(CQ$4,$DE$6:$DF$17,2)+1))*(VLOOKUP($A45,SatSunCurve,8))*(INDEX(DailyScalarsTable,CQ$5/100,MONTH($A45)))*$E45</f>
        <v>0</v>
      </c>
      <c r="CR45" s="1021">
        <f>(VLOOKUP(YEAR($A45),'NY East Load Projections'!$A$4:$EO$14,((MONTH($A45)-1)*12)+VLOOKUP(CR$4,$DE$6:$DF$17,2)+1))*(VLOOKUP($A45,SatSunCurve,8))*(INDEX(DailyScalarsTable,CR$5/100,MONTH($A45)))*$E45</f>
        <v>0</v>
      </c>
      <c r="CS45" s="1021">
        <f>(VLOOKUP(YEAR($A45),'NY East Load Projections'!$A$4:$EO$14,((MONTH($A45)-1)*12)+VLOOKUP(CS$4,$DE$6:$DF$17,2)+1))*(VLOOKUP($A45,SatSunCurve,8))*(INDEX(DailyScalarsTable,CS$5/100,MONTH($A45)))*$E45</f>
        <v>0</v>
      </c>
      <c r="CT45" s="1021">
        <f>(VLOOKUP(YEAR($A45),'NY East Load Projections'!$A$4:$EO$14,((MONTH($A45)-1)*12)+VLOOKUP(CT$4,$DE$6:$DF$17,2)+1))*(VLOOKUP($A45,SatSunCurve,8))*(INDEX(DailyScalarsTable,CT$5/100,MONTH($A45)))*$E45</f>
        <v>0</v>
      </c>
      <c r="CU45" s="1021">
        <f>(VLOOKUP(YEAR($A45),'NY East Load Projections'!$A$4:$EO$14,((MONTH($A45)-1)*12)+VLOOKUP(CU$4,$DE$6:$DF$17,2)+1))*(VLOOKUP($A45,SatSunCurve,8))*(INDEX(DailyScalarsTable,CU$5/100,MONTH($A45)))*$E45</f>
        <v>0</v>
      </c>
      <c r="CV45" s="1021">
        <f>(VLOOKUP(YEAR($A45),'NY East Load Projections'!$A$4:$EO$14,((MONTH($A45)-1)*12)+VLOOKUP(CV$4,$DE$6:$DF$17,2)+1))*(VLOOKUP($A45,SatSunCurve,8))*(INDEX(DailyScalarsTable,CV$5/100,MONTH($A45)))*$E45</f>
        <v>0</v>
      </c>
      <c r="CW45" s="1021">
        <f>(VLOOKUP(YEAR($A45),'NY East Load Projections'!$A$4:$EO$14,((MONTH($A45)-1)*12)+VLOOKUP(CW$4,$DE$6:$DF$17,2)+1))*(VLOOKUP($A45,SatSunCurve,8))*(INDEX(DailyScalarsTable,CW$5/100,MONTH($A45)))*$E45</f>
        <v>0</v>
      </c>
      <c r="CX45" s="1021">
        <f>(VLOOKUP(YEAR($A45),'NY East Load Projections'!$A$4:$EO$14,((MONTH($A45)-1)*12)+VLOOKUP(CX$4,$DE$6:$DF$17,2)+1))*(VLOOKUP($A45,SatSunCurve,8))*(INDEX(DailyScalarsTable,CX$5/100,MONTH($A45)))*$E45</f>
        <v>0</v>
      </c>
      <c r="CY45" s="1021">
        <f>(VLOOKUP(YEAR($A45),'NY East Load Projections'!$A$4:$EO$14,((MONTH($A45)-1)*12)+VLOOKUP(CY$4,$DE$6:$DF$17,2)+1))*(VLOOKUP($A45,SatSunCurve,8))*(INDEX(DailyScalarsTable,CY$5/100,MONTH($A45)))*$E45</f>
        <v>0</v>
      </c>
      <c r="CZ45" s="1021">
        <f>(VLOOKUP(YEAR($A45),'NY East Load Projections'!$A$4:$EO$14,((MONTH($A45)-1)*12)+VLOOKUP(CZ$4,$DE$6:$DF$17,2)+1))*(VLOOKUP($A45,SatSunCurve,8))*(INDEX(DailyScalarsTable,CZ$5/100,MONTH($A45)))*$E45</f>
        <v>0</v>
      </c>
      <c r="DA45" s="1021">
        <f>(VLOOKUP(YEAR($A45),'NY East Load Projections'!$A$4:$EO$14,((MONTH($A45)-1)*12)+VLOOKUP(DA$4,$DE$6:$DF$17,2)+1))*(VLOOKUP($A45,SatSunCurve,8))*(INDEX(DailyScalarsTable,DA$5/100,MONTH($A45)))*$E45</f>
        <v>0</v>
      </c>
      <c r="DB45" s="1021">
        <f>(VLOOKUP(YEAR($A45),'NY East Load Projections'!$A$4:$EO$14,((MONTH($A45)-1)*12)+VLOOKUP(DB$4,$DE$6:$DF$17,2)+1))*(VLOOKUP($A45,CURVES!$D$9:$T$261,8))*(INDEX(DailyScalarsTable,DB$5/100,MONTH($A45)))*$E45</f>
        <v>0</v>
      </c>
      <c r="DH45" s="1021">
        <f t="shared" si="0"/>
        <v>-1843926.7404307772</v>
      </c>
      <c r="DI45">
        <f ca="1">CALC!J65</f>
        <v>0.7400899550175809</v>
      </c>
      <c r="DJ45" s="1029">
        <f t="shared" ca="1" si="1"/>
        <v>-1364671.6583811285</v>
      </c>
    </row>
    <row r="46" spans="1:114" x14ac:dyDescent="0.25">
      <c r="A46" s="244">
        <v>38108</v>
      </c>
      <c r="B46" s="13">
        <v>20</v>
      </c>
      <c r="C46" s="210">
        <v>5</v>
      </c>
      <c r="D46" s="210">
        <v>5</v>
      </c>
      <c r="E46" s="210">
        <v>1</v>
      </c>
      <c r="F46" s="13">
        <v>31</v>
      </c>
      <c r="H46" s="1021">
        <f>(VLOOKUP(YEAR($A46),'NY East Load Projections'!$A$4:$EO$14,((MONTH($A46)-1)*12)+VLOOKUP(H$4,$DE$6:$DF$17,2)+1))*(VLOOKUP($A46,CURVES!$D$9:$K$261,8))*(INDEX(DailyScalarsTable,H$5/100,MONTH($A46)))*$B46</f>
        <v>-36819.186120110498</v>
      </c>
      <c r="I46" s="1021">
        <f>(VLOOKUP(YEAR($A46),'NY East Load Projections'!$A$4:$EO$14,((MONTH($A46)-1)*12)+VLOOKUP(I$4,$DE$6:$DF$17,2)+1))*(VLOOKUP($A46,CURVES!$D$9:$K$261,8))*(INDEX(DailyScalarsTable,I$5/100,MONTH($A46)))*$B46</f>
        <v>-33165.299967996616</v>
      </c>
      <c r="J46" s="1021">
        <f>(VLOOKUP(YEAR($A46),'NY East Load Projections'!$A$4:$EO$14,((MONTH($A46)-1)*12)+VLOOKUP(J$4,$DE$6:$DF$17,2)+1))*(VLOOKUP($A46,CURVES!$D$9:$K$261,8))*(INDEX(DailyScalarsTable,J$5/100,MONTH($A46)))*$B46</f>
        <v>-31386.6887193486</v>
      </c>
      <c r="K46" s="1021">
        <f>(VLOOKUP(YEAR($A46),'NY East Load Projections'!$A$4:$EO$14,((MONTH($A46)-1)*12)+VLOOKUP(K$4,$DE$6:$DF$17,2)+1))*(VLOOKUP($A46,CURVES!$D$9:$K$261,8))*(INDEX(DailyScalarsTable,K$5/100,MONTH($A46)))*$B46</f>
        <v>-30429.718536652093</v>
      </c>
      <c r="L46" s="1021">
        <f>(VLOOKUP(YEAR($A46),'NY East Load Projections'!$A$4:$EO$14,((MONTH($A46)-1)*12)+VLOOKUP(L$4,$DE$6:$DF$17,2)+1))*(VLOOKUP($A46,CURVES!$D$9:$K$261,8))*(INDEX(DailyScalarsTable,L$5/100,MONTH($A46)))*$B46</f>
        <v>-36363.335630144735</v>
      </c>
      <c r="M46" s="1021">
        <f>(VLOOKUP(YEAR($A46),'NY East Load Projections'!$A$4:$EO$14,((MONTH($A46)-1)*12)+VLOOKUP(M$4,$DE$6:$DF$17,2)+1))*(VLOOKUP($A46,CURVES!$D$9:$K$261,8))*(INDEX(DailyScalarsTable,M$5/100,MONTH($A46)))*$B46</f>
        <v>-44088.410452980643</v>
      </c>
      <c r="N46" s="1021">
        <f>(VLOOKUP(YEAR($A46),'NY East Load Projections'!$A$4:$EO$14,((MONTH($A46)-1)*12)+VLOOKUP(N$4,$DE$6:$DF$17,2)+1))*(VLOOKUP($A46,CURVES!$D$9:$K$261,8))*(INDEX(DailyScalarsTable,N$5/100,MONTH($A46)))*$B46</f>
        <v>-52752.444646548014</v>
      </c>
      <c r="O46" s="1021">
        <f>(VLOOKUP(YEAR($A46),'NY East Load Projections'!$A$4:$EO$14,((MONTH($A46)-1)*12)+VLOOKUP(O$4,$DE$6:$DF$17,2)+1))*(VLOOKUP($A46,CURVES!$D$9:$K$261,4))*(INDEX(DailyScalarsTable,O$5/100,MONTH($A46)))*$B46</f>
        <v>-67204.006195122289</v>
      </c>
      <c r="P46" s="1021">
        <f>(VLOOKUP(YEAR($A46),'NY East Load Projections'!$A$4:$EO$14,((MONTH($A46)-1)*12)+VLOOKUP(P$4,$DE$6:$DF$17,2)+1))*(VLOOKUP($A46,CURVES!$D$9:$K$261,4))*(INDEX(DailyScalarsTable,P$5/100,MONTH($A46)))*$B46</f>
        <v>-82994.203759665135</v>
      </c>
      <c r="Q46" s="1021">
        <f>(VLOOKUP(YEAR($A46),'NY East Load Projections'!$A$4:$EO$14,((MONTH($A46)-1)*12)+VLOOKUP(Q$4,$DE$6:$DF$17,2)+1))*(VLOOKUP($A46,CURVES!$D$9:$K$261,4))*(INDEX(DailyScalarsTable,Q$5/100,MONTH($A46)))*$B46</f>
        <v>-84466.240335531154</v>
      </c>
      <c r="R46" s="1021">
        <f>(VLOOKUP(YEAR($A46),'NY East Load Projections'!$A$4:$EO$14,((MONTH($A46)-1)*12)+VLOOKUP(R$4,$DE$6:$DF$17,2)+1))*(VLOOKUP($A46,CURVES!$D$9:$K$261,4))*(INDEX(DailyScalarsTable,R$5/100,MONTH($A46)))*$B46</f>
        <v>-89598.828042532899</v>
      </c>
      <c r="S46" s="1021">
        <f>(VLOOKUP(YEAR($A46),'NY East Load Projections'!$A$4:$EO$14,((MONTH($A46)-1)*12)+VLOOKUP(S$4,$DE$6:$DF$17,2)+1))*(VLOOKUP($A46,CURVES!$D$9:$K$261,4))*(INDEX(DailyScalarsTable,S$5/100,MONTH($A46)))*$B46</f>
        <v>-88921.430680187463</v>
      </c>
      <c r="T46" s="1021">
        <f>(VLOOKUP(YEAR($A46),'NY East Load Projections'!$A$4:$EO$14,((MONTH($A46)-1)*12)+VLOOKUP(T$4,$DE$6:$DF$17,2)+1))*(VLOOKUP($A46,CURVES!$D$9:$K$261,4))*(INDEX(DailyScalarsTable,T$5/100,MONTH($A46)))*$B46</f>
        <v>-86796.551588172268</v>
      </c>
      <c r="U46" s="1021">
        <f>(VLOOKUP(YEAR($A46),'NY East Load Projections'!$A$4:$EO$14,((MONTH($A46)-1)*12)+VLOOKUP(U$4,$DE$6:$DF$17,2)+1))*(VLOOKUP($A46,CURVES!$D$9:$K$261,4))*(INDEX(DailyScalarsTable,U$5/100,MONTH($A46)))*$B46</f>
        <v>-87214.880739172499</v>
      </c>
      <c r="V46" s="1021">
        <f>(VLOOKUP(YEAR($A46),'NY East Load Projections'!$A$4:$EO$14,((MONTH($A46)-1)*12)+VLOOKUP(V$4,$DE$6:$DF$17,2)+1))*(VLOOKUP($A46,CURVES!$D$9:$K$261,4))*(INDEX(DailyScalarsTable,V$5/100,MONTH($A46)))*$B46</f>
        <v>-84596.94992323569</v>
      </c>
      <c r="W46" s="1021">
        <f>(VLOOKUP(YEAR($A46),'NY East Load Projections'!$A$4:$EO$14,((MONTH($A46)-1)*12)+VLOOKUP(W$4,$DE$6:$DF$17,2)+1))*(VLOOKUP($A46,CURVES!$D$9:$K$261,4))*(INDEX(DailyScalarsTable,W$5/100,MONTH($A46)))*$B46</f>
        <v>-81304.294670201794</v>
      </c>
      <c r="X46" s="1021">
        <f>(VLOOKUP(YEAR($A46),'NY East Load Projections'!$A$4:$EO$14,((MONTH($A46)-1)*12)+VLOOKUP(X$4,$DE$6:$DF$17,2)+1))*(VLOOKUP($A46,CURVES!$D$9:$K$261,4))*(INDEX(DailyScalarsTable,X$5/100,MONTH($A46)))*$B46</f>
        <v>-77324.374381006433</v>
      </c>
      <c r="Y46" s="1021">
        <f>(VLOOKUP(YEAR($A46),'NY East Load Projections'!$A$4:$EO$14,((MONTH($A46)-1)*12)+VLOOKUP(Y$4,$DE$6:$DF$17,2)+1))*(VLOOKUP($A46,CURVES!$D$9:$K$261,4))*(INDEX(DailyScalarsTable,Y$5/100,MONTH($A46)))*$B46</f>
        <v>-74310.914236470722</v>
      </c>
      <c r="Z46" s="1021">
        <f>(VLOOKUP(YEAR($A46),'NY East Load Projections'!$A$4:$EO$14,((MONTH($A46)-1)*12)+VLOOKUP(Z$4,$DE$6:$DF$17,2)+1))*(VLOOKUP($A46,CURVES!$D$9:$K$261,4))*(INDEX(DailyScalarsTable,Z$5/100,MONTH($A46)))*$B46</f>
        <v>-64384.22199564724</v>
      </c>
      <c r="AA46" s="1021">
        <f>(VLOOKUP(YEAR($A46),'NY East Load Projections'!$A$4:$EO$14,((MONTH($A46)-1)*12)+VLOOKUP(AA$4,$DE$6:$DF$17,2)+1))*(VLOOKUP($A46,CURVES!$D$9:$K$261,4))*(INDEX(DailyScalarsTable,AA$5/100,MONTH($A46)))*$B46</f>
        <v>-64219.621231449935</v>
      </c>
      <c r="AB46" s="1021">
        <f>(VLOOKUP(YEAR($A46),'NY East Load Projections'!$A$4:$EO$14,((MONTH($A46)-1)*12)+VLOOKUP(AB$4,$DE$6:$DF$17,2)+1))*(VLOOKUP($A46,CURVES!$D$9:$K$261,4))*(INDEX(DailyScalarsTable,AB$5/100,MONTH($A46)))*$B46</f>
        <v>-73700.581845674868</v>
      </c>
      <c r="AC46" s="1021">
        <f>(VLOOKUP(YEAR($A46),'NY East Load Projections'!$A$4:$EO$14,((MONTH($A46)-1)*12)+VLOOKUP(AC$4,$DE$6:$DF$17,2)+1))*(VLOOKUP($A46,CURVES!$D$9:$K$261,4))*(INDEX(DailyScalarsTable,AC$5/100,MONTH($A46)))*$B46</f>
        <v>-70296.628388984289</v>
      </c>
      <c r="AD46" s="1021">
        <f>(VLOOKUP(YEAR($A46),'NY East Load Projections'!$A$4:$EO$14,((MONTH($A46)-1)*12)+VLOOKUP(AD$4,$DE$6:$DF$17,2)+1))*(VLOOKUP($A46,CURVES!$D$9:$K$261,4))*(INDEX(DailyScalarsTable,AD$5/100,MONTH($A46)))*$B46</f>
        <v>-56392.53185904953</v>
      </c>
      <c r="AE46" s="1021">
        <f>(VLOOKUP(YEAR($A46),'NY East Load Projections'!$A$4:$EO$14,((MONTH($A46)-1)*12)+VLOOKUP(AE$4,$DE$6:$DF$17,2)+1))*(VLOOKUP($A46,CURVES!$D$9:$K$261,8))*(INDEX(DailyScalarsTable,AE$5/100,MONTH($A46)))*$B46</f>
        <v>-46231.452136958462</v>
      </c>
      <c r="AF46" s="1021"/>
      <c r="AG46" s="1021">
        <f>(VLOOKUP(YEAR($A46),'NY East Load Projections'!$A$4:$EO$14,((MONTH($A46)-1)*12)+VLOOKUP(AG$4,$DE$6:$DF$17,2)+1))*(VLOOKUP($A46,CURVES!$D$9:$T$261,8))*(INDEX(DailyScalarsTable,AG$5/100,MONTH($A46)))*$C46</f>
        <v>-9648.8015976954175</v>
      </c>
      <c r="AH46" s="1021">
        <f>(VLOOKUP(YEAR($A46),'NY East Load Projections'!$A$4:$EO$14,((MONTH($A46)-1)*12)+VLOOKUP(AH$4,$DE$6:$DF$17,2)+1))*(VLOOKUP($A46,CURVES!$D$9:$T$261,8))*(INDEX(DailyScalarsTable,AH$5/100,MONTH($A46)))*$C46</f>
        <v>-8691.2675982391629</v>
      </c>
      <c r="AI46" s="1021">
        <f>(VLOOKUP(YEAR($A46),'NY East Load Projections'!$A$4:$EO$14,((MONTH($A46)-1)*12)+VLOOKUP(AI$4,$DE$6:$DF$17,2)+1))*(VLOOKUP($A46,CURVES!$D$9:$T$261,8))*(INDEX(DailyScalarsTable,AI$5/100,MONTH($A46)))*$C46</f>
        <v>-8225.1663921546406</v>
      </c>
      <c r="AJ46" s="1021">
        <f>(VLOOKUP(YEAR($A46),'NY East Load Projections'!$A$4:$EO$14,((MONTH($A46)-1)*12)+VLOOKUP(AJ$4,$DE$6:$DF$17,2)+1))*(VLOOKUP($A46,CURVES!$D$9:$T$261,8))*(INDEX(DailyScalarsTable,AJ$5/100,MONTH($A46)))*$C46</f>
        <v>-7974.3836780113324</v>
      </c>
      <c r="AK46" s="1021">
        <f>(VLOOKUP(YEAR($A46),'NY East Load Projections'!$A$4:$EO$14,((MONTH($A46)-1)*12)+VLOOKUP(AK$4,$DE$6:$DF$17,2)+1))*(VLOOKUP($A46,CURVES!$D$9:$T$261,8))*(INDEX(DailyScalarsTable,AK$5/100,MONTH($A46)))*$C46</f>
        <v>-8763.4965668073273</v>
      </c>
      <c r="AL46" s="1021">
        <f>(VLOOKUP(YEAR($A46),'NY East Load Projections'!$A$4:$EO$14,((MONTH($A46)-1)*12)+VLOOKUP(AL$4,$DE$6:$DF$17,2)+1))*(VLOOKUP($A46,CURVES!$D$9:$T$261,8))*(INDEX(DailyScalarsTable,AL$5/100,MONTH($A46)))*$C46</f>
        <v>-10625.225297549257</v>
      </c>
      <c r="AM46" s="1021">
        <f>(VLOOKUP(YEAR($A46),'NY East Load Projections'!$A$4:$EO$14,((MONTH($A46)-1)*12)+VLOOKUP(AM$4,$DE$6:$DF$17,2)+1))*(VLOOKUP($A46,CURVES!$D$9:$T$261,8))*(INDEX(DailyScalarsTable,AM$5/100,MONTH($A46)))*$C46</f>
        <v>-12713.241498326126</v>
      </c>
      <c r="AN46" s="1021">
        <f>(VLOOKUP(YEAR($A46),'NY East Load Projections'!$A$4:$EO$14,((MONTH($A46)-1)*12)+VLOOKUP(AN$4,$DE$6:$DF$17,2)+1))*(VLOOKUP($A46,SatSunCurve,4))*(INDEX(DailyScalarsTable,AN$5/100,MONTH($A46)))*$C46</f>
        <v>-10572.736813203825</v>
      </c>
      <c r="AO46" s="1021">
        <f>(VLOOKUP(YEAR($A46),'NY East Load Projections'!$A$4:$EO$14,((MONTH($A46)-1)*12)+VLOOKUP(AO$4,$DE$6:$DF$17,2)+1))*(VLOOKUP($A46,SatSunCurve,4))*(INDEX(DailyScalarsTable,AO$5/100,MONTH($A46)))*$C46</f>
        <v>-12885.378004843004</v>
      </c>
      <c r="AP46" s="1021">
        <f>(VLOOKUP(YEAR($A46),'NY East Load Projections'!$A$4:$EO$14,((MONTH($A46)-1)*12)+VLOOKUP(AP$4,$DE$6:$DF$17,2)+1))*(VLOOKUP($A46,SatSunCurve,4))*(INDEX(DailyScalarsTable,AP$5/100,MONTH($A46)))*$C46</f>
        <v>-13113.921045895788</v>
      </c>
      <c r="AQ46" s="1021">
        <f>(VLOOKUP(YEAR($A46),'NY East Load Projections'!$A$4:$EO$14,((MONTH($A46)-1)*12)+VLOOKUP(AQ$4,$DE$6:$DF$17,2)+1))*(VLOOKUP($A46,SatSunCurve,4))*(INDEX(DailyScalarsTable,AQ$5/100,MONTH($A46)))*$C46</f>
        <v>-13910.7879323984</v>
      </c>
      <c r="AR46" s="1021">
        <f>(VLOOKUP(YEAR($A46),'NY East Load Projections'!$A$4:$EO$14,((MONTH($A46)-1)*12)+VLOOKUP(AR$4,$DE$6:$DF$17,2)+1))*(VLOOKUP($A46,SatSunCurve,4))*(INDEX(DailyScalarsTable,AR$5/100,MONTH($A46)))*$C46</f>
        <v>-13805.617683418357</v>
      </c>
      <c r="AS46" s="1021">
        <f>(VLOOKUP(YEAR($A46),'NY East Load Projections'!$A$4:$EO$14,((MONTH($A46)-1)*12)+VLOOKUP(AS$4,$DE$6:$DF$17,2)+1))*(VLOOKUP($A46,SatSunCurve,4))*(INDEX(DailyScalarsTable,AS$5/100,MONTH($A46)))*$C46</f>
        <v>-13203.331182908931</v>
      </c>
      <c r="AT46" s="1021">
        <f>(VLOOKUP(YEAR($A46),'NY East Load Projections'!$A$4:$EO$14,((MONTH($A46)-1)*12)+VLOOKUP(AT$4,$DE$6:$DF$17,2)+1))*(VLOOKUP($A46,SatSunCurve,4))*(INDEX(DailyScalarsTable,AT$5/100,MONTH($A46)))*$C46</f>
        <v>-13266.966641035515</v>
      </c>
      <c r="AU46" s="1021">
        <f>(VLOOKUP(YEAR($A46),'NY East Load Projections'!$A$4:$EO$14,((MONTH($A46)-1)*12)+VLOOKUP(AU$4,$DE$6:$DF$17,2)+1))*(VLOOKUP($A46,SatSunCurve,4))*(INDEX(DailyScalarsTable,AU$5/100,MONTH($A46)))*$C46</f>
        <v>-12868.731838565935</v>
      </c>
      <c r="AV46" s="1021">
        <f>(VLOOKUP(YEAR($A46),'NY East Load Projections'!$A$4:$EO$14,((MONTH($A46)-1)*12)+VLOOKUP(AV$4,$DE$6:$DF$17,2)+1))*(VLOOKUP($A46,SatSunCurve,4))*(INDEX(DailyScalarsTable,AV$5/100,MONTH($A46)))*$C46</f>
        <v>-12367.859200408318</v>
      </c>
      <c r="AW46" s="1021">
        <f>(VLOOKUP(YEAR($A46),'NY East Load Projections'!$A$4:$EO$14,((MONTH($A46)-1)*12)+VLOOKUP(AW$4,$DE$6:$DF$17,2)+1))*(VLOOKUP($A46,SatSunCurve,4))*(INDEX(DailyScalarsTable,AW$5/100,MONTH($A46)))*$C46</f>
        <v>-11676.422107275475</v>
      </c>
      <c r="AX46" s="1021">
        <f>(VLOOKUP(YEAR($A46),'NY East Load Projections'!$A$4:$EO$14,((MONTH($A46)-1)*12)+VLOOKUP(AX$4,$DE$6:$DF$17,2)+1))*(VLOOKUP($A46,SatSunCurve,4))*(INDEX(DailyScalarsTable,AX$5/100,MONTH($A46)))*$C46</f>
        <v>-11221.372416505608</v>
      </c>
      <c r="AY46" s="1021">
        <f>(VLOOKUP(YEAR($A46),'NY East Load Projections'!$A$4:$EO$14,((MONTH($A46)-1)*12)+VLOOKUP(AY$4,$DE$6:$DF$17,2)+1))*(VLOOKUP($A46,SatSunCurve,4))*(INDEX(DailyScalarsTable,AY$5/100,MONTH($A46)))*$C46</f>
        <v>-9722.3851998519385</v>
      </c>
      <c r="AZ46" s="1021">
        <f>(VLOOKUP(YEAR($A46),'NY East Load Projections'!$A$4:$EO$14,((MONTH($A46)-1)*12)+VLOOKUP(AZ$4,$DE$6:$DF$17,2)+1))*(VLOOKUP($A46,SatSunCurve,4))*(INDEX(DailyScalarsTable,AZ$5/100,MONTH($A46)))*$C46</f>
        <v>-9697.5295444737549</v>
      </c>
      <c r="BA46" s="1021">
        <f>(VLOOKUP(YEAR($A46),'NY East Load Projections'!$A$4:$EO$14,((MONTH($A46)-1)*12)+VLOOKUP(BA$4,$DE$6:$DF$17,2)+1))*(VLOOKUP($A46,SatSunCurve,4))*(INDEX(DailyScalarsTable,BA$5/100,MONTH($A46)))*$C46</f>
        <v>-12168.999781320465</v>
      </c>
      <c r="BB46" s="1021">
        <f>(VLOOKUP(YEAR($A46),'NY East Load Projections'!$A$4:$EO$14,((MONTH($A46)-1)*12)+VLOOKUP(BB$4,$DE$6:$DF$17,2)+1))*(VLOOKUP($A46,SatSunCurve,4))*(INDEX(DailyScalarsTable,BB$5/100,MONTH($A46)))*$C46</f>
        <v>-11606.959322035767</v>
      </c>
      <c r="BC46" s="1021">
        <f>(VLOOKUP(YEAR($A46),'NY East Load Projections'!$A$4:$EO$14,((MONTH($A46)-1)*12)+VLOOKUP(BC$4,$DE$6:$DF$17,2)+1))*(VLOOKUP($A46,SatSunCurve,4))*(INDEX(DailyScalarsTable,BC$5/100,MONTH($A46)))*$C46</f>
        <v>-9311.1979671725403</v>
      </c>
      <c r="BD46" s="1021">
        <f>(VLOOKUP(YEAR($A46),'NY East Load Projections'!$A$4:$EO$14,((MONTH($A46)-1)*12)+VLOOKUP(BD$4,$DE$6:$DF$17,2)+1))*(VLOOKUP($A46,CURVES!$D$9:$T$261,8))*(INDEX(DailyScalarsTable,BD$5/100,MONTH($A46)))*$C46</f>
        <v>-11693.457722643359</v>
      </c>
      <c r="BE46" s="1021"/>
      <c r="BF46" s="1021">
        <f>(VLOOKUP(YEAR($A46),'NY East Load Projections'!$A$4:$EO$14,((MONTH($A46)-1)*12)+VLOOKUP(BF$4,$DE$6:$DF$17,2)+1))*(VLOOKUP($A46,CURVES!$D$9:$T$261,8))*(INDEX(DailyScalarsTable,BF$5/100,MONTH($A46)))*$D46</f>
        <v>-9648.8015976954175</v>
      </c>
      <c r="BG46" s="1021">
        <f>(VLOOKUP(YEAR($A46),'NY East Load Projections'!$A$4:$EO$14,((MONTH($A46)-1)*12)+VLOOKUP(BG$4,$DE$6:$DF$17,2)+1))*(VLOOKUP($A46,CURVES!$D$9:$T$261,8))*(INDEX(DailyScalarsTable,BG$5/100,MONTH($A46)))*$D46</f>
        <v>-8691.2675982391629</v>
      </c>
      <c r="BH46" s="1021">
        <f>(VLOOKUP(YEAR($A46),'NY East Load Projections'!$A$4:$EO$14,((MONTH($A46)-1)*12)+VLOOKUP(BH$4,$DE$6:$DF$17,2)+1))*(VLOOKUP($A46,CURVES!$D$9:$T$261,8))*(INDEX(DailyScalarsTable,BH$5/100,MONTH($A46)))*$D46</f>
        <v>-8225.1663921546406</v>
      </c>
      <c r="BI46" s="1021">
        <f>(VLOOKUP(YEAR($A46),'NY East Load Projections'!$A$4:$EO$14,((MONTH($A46)-1)*12)+VLOOKUP(BI$4,$DE$6:$DF$17,2)+1))*(VLOOKUP($A46,CURVES!$D$9:$T$261,8))*(INDEX(DailyScalarsTable,BI$5/100,MONTH($A46)))*$D46</f>
        <v>-7974.3836780113324</v>
      </c>
      <c r="BJ46" s="1021">
        <f>(VLOOKUP(YEAR($A46),'NY East Load Projections'!$A$4:$EO$14,((MONTH($A46)-1)*12)+VLOOKUP(BJ$4,$DE$6:$DF$17,2)+1))*(VLOOKUP($A46,CURVES!$D$9:$T$261,8))*(INDEX(DailyScalarsTable,BJ$5/100,MONTH($A46)))*$D46</f>
        <v>-8763.4965668073273</v>
      </c>
      <c r="BK46" s="1021">
        <f>(VLOOKUP(YEAR($A46),'NY East Load Projections'!$A$4:$EO$14,((MONTH($A46)-1)*12)+VLOOKUP(BK$4,$DE$6:$DF$17,2)+1))*(VLOOKUP($A46,CURVES!$D$9:$T$261,8))*(INDEX(DailyScalarsTable,BK$5/100,MONTH($A46)))*$D46</f>
        <v>-10625.225297549257</v>
      </c>
      <c r="BL46" s="1021">
        <f>(VLOOKUP(YEAR($A46),'NY East Load Projections'!$A$4:$EO$14,((MONTH($A46)-1)*12)+VLOOKUP(BL$4,$DE$6:$DF$17,2)+1))*(VLOOKUP($A46,CURVES!$D$9:$T$261,8))*(INDEX(DailyScalarsTable,BL$5/100,MONTH($A46)))*$D46</f>
        <v>-12713.241498326126</v>
      </c>
      <c r="BM46" s="1021">
        <f>(VLOOKUP(YEAR($A46),'NY East Load Projections'!$A$4:$EO$14,((MONTH($A46)-1)*12)+VLOOKUP(BM$4,$DE$6:$DF$17,2)+1))*(VLOOKUP($A46,SatSunCurve,8))*(INDEX(DailyScalarsTable,BM$5/100,MONTH($A46)))*$D46</f>
        <v>-11218.867628579936</v>
      </c>
      <c r="BN46" s="1021">
        <f>(VLOOKUP(YEAR($A46),'NY East Load Projections'!$A$4:$EO$14,((MONTH($A46)-1)*12)+VLOOKUP(BN$4,$DE$6:$DF$17,2)+1))*(VLOOKUP($A46,SatSunCurve,8))*(INDEX(DailyScalarsTable,BN$5/100,MONTH($A46)))*$D46</f>
        <v>-13672.841075549644</v>
      </c>
      <c r="BO46" s="1021">
        <f>(VLOOKUP(YEAR($A46),'NY East Load Projections'!$A$4:$EO$14,((MONTH($A46)-1)*12)+VLOOKUP(BO$4,$DE$6:$DF$17,2)+1))*(VLOOKUP($A46,SatSunCurve,8))*(INDEX(DailyScalarsTable,BO$5/100,MONTH($A46)))*$D46</f>
        <v>-13915.351049107507</v>
      </c>
      <c r="BP46" s="1021">
        <f>(VLOOKUP(YEAR($A46),'NY East Load Projections'!$A$4:$EO$14,((MONTH($A46)-1)*12)+VLOOKUP(BP$4,$DE$6:$DF$17,2)+1))*(VLOOKUP($A46,SatSunCurve,8))*(INDEX(DailyScalarsTable,BP$5/100,MONTH($A46)))*$D46</f>
        <v>-14760.916797618976</v>
      </c>
      <c r="BQ46" s="1021">
        <f>(VLOOKUP(YEAR($A46),'NY East Load Projections'!$A$4:$EO$14,((MONTH($A46)-1)*12)+VLOOKUP(BQ$4,$DE$6:$DF$17,2)+1))*(VLOOKUP($A46,SatSunCurve,8))*(INDEX(DailyScalarsTable,BQ$5/100,MONTH($A46)))*$D46</f>
        <v>-14649.319287663146</v>
      </c>
      <c r="BR46" s="1021">
        <f>(VLOOKUP(YEAR($A46),'NY East Load Projections'!$A$4:$EO$14,((MONTH($A46)-1)*12)+VLOOKUP(BR$4,$DE$6:$DF$17,2)+1))*(VLOOKUP($A46,SatSunCurve,8))*(INDEX(DailyScalarsTable,BR$5/100,MONTH($A46)))*$D46</f>
        <v>-14010.225300640084</v>
      </c>
      <c r="BS46" s="1021">
        <f>(VLOOKUP(YEAR($A46),'NY East Load Projections'!$A$4:$EO$14,((MONTH($A46)-1)*12)+VLOOKUP(BS$4,$DE$6:$DF$17,2)+1))*(VLOOKUP($A46,SatSunCurve,8))*(INDEX(DailyScalarsTable,BS$5/100,MONTH($A46)))*$D46</f>
        <v>-14077.74970740623</v>
      </c>
      <c r="BT46" s="1021">
        <f>(VLOOKUP(YEAR($A46),'NY East Load Projections'!$A$4:$EO$14,((MONTH($A46)-1)*12)+VLOOKUP(BT$4,$DE$6:$DF$17,2)+1))*(VLOOKUP($A46,SatSunCurve,8))*(INDEX(DailyScalarsTable,BT$5/100,MONTH($A46)))*$D46</f>
        <v>-13655.177613450358</v>
      </c>
      <c r="BU46" s="1021">
        <f>(VLOOKUP(YEAR($A46),'NY East Load Projections'!$A$4:$EO$14,((MONTH($A46)-1)*12)+VLOOKUP(BU$4,$DE$6:$DF$17,2)+1))*(VLOOKUP($A46,SatSunCurve,8))*(INDEX(DailyScalarsTable,BU$5/100,MONTH($A46)))*$D46</f>
        <v>-13123.695186000699</v>
      </c>
      <c r="BV46" s="1021">
        <f>(VLOOKUP(YEAR($A46),'NY East Load Projections'!$A$4:$EO$14,((MONTH($A46)-1)*12)+VLOOKUP(BV$4,$DE$6:$DF$17,2)+1))*(VLOOKUP($A46,SatSunCurve,8))*(INDEX(DailyScalarsTable,BV$5/100,MONTH($A46)))*$D46</f>
        <v>-12390.002353350226</v>
      </c>
      <c r="BW46" s="1021">
        <f>(VLOOKUP(YEAR($A46),'NY East Load Projections'!$A$4:$EO$14,((MONTH($A46)-1)*12)+VLOOKUP(BW$4,$DE$6:$DF$17,2)+1))*(VLOOKUP($A46,SatSunCurve,8))*(INDEX(DailyScalarsTable,BW$5/100,MONTH($A46)))*$D46</f>
        <v>-11907.143247390284</v>
      </c>
      <c r="BX46" s="1021">
        <f>(VLOOKUP(YEAR($A46),'NY East Load Projections'!$A$4:$EO$14,((MONTH($A46)-1)*12)+VLOOKUP(BX$4,$DE$6:$DF$17,2)+1))*(VLOOKUP($A46,SatSunCurve,8))*(INDEX(DailyScalarsTable,BX$5/100,MONTH($A46)))*$D46</f>
        <v>-10316.548545404601</v>
      </c>
      <c r="BY46" s="1021">
        <f>(VLOOKUP(YEAR($A46),'NY East Load Projections'!$A$4:$EO$14,((MONTH($A46)-1)*12)+VLOOKUP(BY$4,$DE$6:$DF$17,2)+1))*(VLOOKUP($A46,SatSunCurve,8))*(INDEX(DailyScalarsTable,BY$5/100,MONTH($A46)))*$D46</f>
        <v>-10290.17388835637</v>
      </c>
      <c r="BZ46" s="1021">
        <f>(VLOOKUP(YEAR($A46),'NY East Load Projections'!$A$4:$EO$14,((MONTH($A46)-1)*12)+VLOOKUP(BZ$4,$DE$6:$DF$17,2)+1))*(VLOOKUP($A46,SatSunCurve,8))*(INDEX(DailyScalarsTable,BZ$5/100,MONTH($A46)))*$D46</f>
        <v>-12912.682887211919</v>
      </c>
      <c r="CA46" s="1021">
        <f>(VLOOKUP(YEAR($A46),'NY East Load Projections'!$A$4:$EO$14,((MONTH($A46)-1)*12)+VLOOKUP(CA$4,$DE$6:$DF$17,2)+1))*(VLOOKUP($A46,SatSunCurve,8))*(INDEX(DailyScalarsTable,CA$5/100,MONTH($A46)))*$D46</f>
        <v>-12316.294494497302</v>
      </c>
      <c r="CB46" s="1021">
        <f>(VLOOKUP(YEAR($A46),'NY East Load Projections'!$A$4:$EO$14,((MONTH($A46)-1)*12)+VLOOKUP(CB$4,$DE$6:$DF$17,2)+1))*(VLOOKUP($A46,SatSunCurve,8))*(INDEX(DailyScalarsTable,CB$5/100,MONTH($A46)))*$D46</f>
        <v>-9880.2324604121859</v>
      </c>
      <c r="CC46" s="1021">
        <f>(VLOOKUP(YEAR($A46),'NY East Load Projections'!$A$4:$EO$14,((MONTH($A46)-1)*12)+VLOOKUP(CC$4,$DE$6:$DF$17,2)+1))*(VLOOKUP($A46,CURVES!$D$9:$T$261,8))*(INDEX(DailyScalarsTable,CC$5/100,MONTH($A46)))*$D46</f>
        <v>-11693.457722643359</v>
      </c>
      <c r="CE46" s="1021">
        <f>(VLOOKUP(YEAR($A46),'NY East Load Projections'!$A$4:$EO$14,((MONTH($A46)-1)*12)+VLOOKUP(CE$4,$DE$6:$DF$17,2)+1))*(VLOOKUP($A46,CURVES!$D$9:$T$261,8))*(INDEX(DailyScalarsTable,CE$5/100,MONTH($A46)))*$E46</f>
        <v>-1929.7603195390836</v>
      </c>
      <c r="CF46" s="1021">
        <f>(VLOOKUP(YEAR($A46),'NY East Load Projections'!$A$4:$EO$14,((MONTH($A46)-1)*12)+VLOOKUP(CF$4,$DE$6:$DF$17,2)+1))*(VLOOKUP($A46,CURVES!$D$9:$T$261,8))*(INDEX(DailyScalarsTable,CF$5/100,MONTH($A46)))*$E46</f>
        <v>-1738.2535196478327</v>
      </c>
      <c r="CG46" s="1021">
        <f>(VLOOKUP(YEAR($A46),'NY East Load Projections'!$A$4:$EO$14,((MONTH($A46)-1)*12)+VLOOKUP(CG$4,$DE$6:$DF$17,2)+1))*(VLOOKUP($A46,CURVES!$D$9:$T$261,8))*(INDEX(DailyScalarsTable,CG$5/100,MONTH($A46)))*$E46</f>
        <v>-1645.033278430928</v>
      </c>
      <c r="CH46" s="1021">
        <f>(VLOOKUP(YEAR($A46),'NY East Load Projections'!$A$4:$EO$14,((MONTH($A46)-1)*12)+VLOOKUP(CH$4,$DE$6:$DF$17,2)+1))*(VLOOKUP($A46,CURVES!$D$9:$T$261,8))*(INDEX(DailyScalarsTable,CH$5/100,MONTH($A46)))*$E46</f>
        <v>-1594.8767356022665</v>
      </c>
      <c r="CI46" s="1021">
        <f>(VLOOKUP(YEAR($A46),'NY East Load Projections'!$A$4:$EO$14,((MONTH($A46)-1)*12)+VLOOKUP(CI$4,$DE$6:$DF$17,2)+1))*(VLOOKUP($A46,CURVES!$D$9:$T$261,8))*(INDEX(DailyScalarsTable,CI$5/100,MONTH($A46)))*$E46</f>
        <v>-1752.6993133614656</v>
      </c>
      <c r="CJ46" s="1021">
        <f>(VLOOKUP(YEAR($A46),'NY East Load Projections'!$A$4:$EO$14,((MONTH($A46)-1)*12)+VLOOKUP(CJ$4,$DE$6:$DF$17,2)+1))*(VLOOKUP($A46,CURVES!$D$9:$T$261,8))*(INDEX(DailyScalarsTable,CJ$5/100,MONTH($A46)))*$E46</f>
        <v>-2125.0450595098514</v>
      </c>
      <c r="CK46" s="1021">
        <f>(VLOOKUP(YEAR($A46),'NY East Load Projections'!$A$4:$EO$14,((MONTH($A46)-1)*12)+VLOOKUP(CK$4,$DE$6:$DF$17,2)+1))*(VLOOKUP($A46,CURVES!$D$9:$T$261,8))*(INDEX(DailyScalarsTable,CK$5/100,MONTH($A46)))*$E46</f>
        <v>-2542.6482996652253</v>
      </c>
      <c r="CL46" s="1021">
        <f>(VLOOKUP(YEAR($A46),'NY East Load Projections'!$A$4:$EO$14,((MONTH($A46)-1)*12)+VLOOKUP(CL$4,$DE$6:$DF$17,2)+1))*(VLOOKUP($A46,SatSunCurve,8))*(INDEX(DailyScalarsTable,CL$5/100,MONTH($A46)))*$E46</f>
        <v>-2243.773525715987</v>
      </c>
      <c r="CM46" s="1021">
        <f>(VLOOKUP(YEAR($A46),'NY East Load Projections'!$A$4:$EO$14,((MONTH($A46)-1)*12)+VLOOKUP(CM$4,$DE$6:$DF$17,2)+1))*(VLOOKUP($A46,SatSunCurve,8))*(INDEX(DailyScalarsTable,CM$5/100,MONTH($A46)))*$E46</f>
        <v>-2734.568215109929</v>
      </c>
      <c r="CN46" s="1021">
        <f>(VLOOKUP(YEAR($A46),'NY East Load Projections'!$A$4:$EO$14,((MONTH($A46)-1)*12)+VLOOKUP(CN$4,$DE$6:$DF$17,2)+1))*(VLOOKUP($A46,SatSunCurve,8))*(INDEX(DailyScalarsTable,CN$5/100,MONTH($A46)))*$E46</f>
        <v>-2783.0702098215015</v>
      </c>
      <c r="CO46" s="1021">
        <f>(VLOOKUP(YEAR($A46),'NY East Load Projections'!$A$4:$EO$14,((MONTH($A46)-1)*12)+VLOOKUP(CO$4,$DE$6:$DF$17,2)+1))*(VLOOKUP($A46,SatSunCurve,8))*(INDEX(DailyScalarsTable,CO$5/100,MONTH($A46)))*$E46</f>
        <v>-2952.1833595237954</v>
      </c>
      <c r="CP46" s="1021">
        <f>(VLOOKUP(YEAR($A46),'NY East Load Projections'!$A$4:$EO$14,((MONTH($A46)-1)*12)+VLOOKUP(CP$4,$DE$6:$DF$17,2)+1))*(VLOOKUP($A46,SatSunCurve,8))*(INDEX(DailyScalarsTable,CP$5/100,MONTH($A46)))*$E46</f>
        <v>-2929.863857532629</v>
      </c>
      <c r="CQ46" s="1021">
        <f>(VLOOKUP(YEAR($A46),'NY East Load Projections'!$A$4:$EO$14,((MONTH($A46)-1)*12)+VLOOKUP(CQ$4,$DE$6:$DF$17,2)+1))*(VLOOKUP($A46,SatSunCurve,8))*(INDEX(DailyScalarsTable,CQ$5/100,MONTH($A46)))*$E46</f>
        <v>-2802.0450601280168</v>
      </c>
      <c r="CR46" s="1021">
        <f>(VLOOKUP(YEAR($A46),'NY East Load Projections'!$A$4:$EO$14,((MONTH($A46)-1)*12)+VLOOKUP(CR$4,$DE$6:$DF$17,2)+1))*(VLOOKUP($A46,SatSunCurve,8))*(INDEX(DailyScalarsTable,CR$5/100,MONTH($A46)))*$E46</f>
        <v>-2815.5499414812462</v>
      </c>
      <c r="CS46" s="1021">
        <f>(VLOOKUP(YEAR($A46),'NY East Load Projections'!$A$4:$EO$14,((MONTH($A46)-1)*12)+VLOOKUP(CS$4,$DE$6:$DF$17,2)+1))*(VLOOKUP($A46,SatSunCurve,8))*(INDEX(DailyScalarsTable,CS$5/100,MONTH($A46)))*$E46</f>
        <v>-2731.0355226900715</v>
      </c>
      <c r="CT46" s="1021">
        <f>(VLOOKUP(YEAR($A46),'NY East Load Projections'!$A$4:$EO$14,((MONTH($A46)-1)*12)+VLOOKUP(CT$4,$DE$6:$DF$17,2)+1))*(VLOOKUP($A46,SatSunCurve,8))*(INDEX(DailyScalarsTable,CT$5/100,MONTH($A46)))*$E46</f>
        <v>-2624.73903720014</v>
      </c>
      <c r="CU46" s="1021">
        <f>(VLOOKUP(YEAR($A46),'NY East Load Projections'!$A$4:$EO$14,((MONTH($A46)-1)*12)+VLOOKUP(CU$4,$DE$6:$DF$17,2)+1))*(VLOOKUP($A46,SatSunCurve,8))*(INDEX(DailyScalarsTable,CU$5/100,MONTH($A46)))*$E46</f>
        <v>-2478.0004706700452</v>
      </c>
      <c r="CV46" s="1021">
        <f>(VLOOKUP(YEAR($A46),'NY East Load Projections'!$A$4:$EO$14,((MONTH($A46)-1)*12)+VLOOKUP(CV$4,$DE$6:$DF$17,2)+1))*(VLOOKUP($A46,SatSunCurve,8))*(INDEX(DailyScalarsTable,CV$5/100,MONTH($A46)))*$E46</f>
        <v>-2381.4286494780567</v>
      </c>
      <c r="CW46" s="1021">
        <f>(VLOOKUP(YEAR($A46),'NY East Load Projections'!$A$4:$EO$14,((MONTH($A46)-1)*12)+VLOOKUP(CW$4,$DE$6:$DF$17,2)+1))*(VLOOKUP($A46,SatSunCurve,8))*(INDEX(DailyScalarsTable,CW$5/100,MONTH($A46)))*$E46</f>
        <v>-2063.3097090809201</v>
      </c>
      <c r="CX46" s="1021">
        <f>(VLOOKUP(YEAR($A46),'NY East Load Projections'!$A$4:$EO$14,((MONTH($A46)-1)*12)+VLOOKUP(CX$4,$DE$6:$DF$17,2)+1))*(VLOOKUP($A46,SatSunCurve,8))*(INDEX(DailyScalarsTable,CX$5/100,MONTH($A46)))*$E46</f>
        <v>-2058.0347776712742</v>
      </c>
      <c r="CY46" s="1021">
        <f>(VLOOKUP(YEAR($A46),'NY East Load Projections'!$A$4:$EO$14,((MONTH($A46)-1)*12)+VLOOKUP(CY$4,$DE$6:$DF$17,2)+1))*(VLOOKUP($A46,SatSunCurve,8))*(INDEX(DailyScalarsTable,CY$5/100,MONTH($A46)))*$E46</f>
        <v>-2582.5365774423835</v>
      </c>
      <c r="CZ46" s="1021">
        <f>(VLOOKUP(YEAR($A46),'NY East Load Projections'!$A$4:$EO$14,((MONTH($A46)-1)*12)+VLOOKUP(CZ$4,$DE$6:$DF$17,2)+1))*(VLOOKUP($A46,SatSunCurve,8))*(INDEX(DailyScalarsTable,CZ$5/100,MONTH($A46)))*$E46</f>
        <v>-2463.2588988994603</v>
      </c>
      <c r="DA46" s="1021">
        <f>(VLOOKUP(YEAR($A46),'NY East Load Projections'!$A$4:$EO$14,((MONTH($A46)-1)*12)+VLOOKUP(DA$4,$DE$6:$DF$17,2)+1))*(VLOOKUP($A46,SatSunCurve,8))*(INDEX(DailyScalarsTable,DA$5/100,MONTH($A46)))*$E46</f>
        <v>-1976.0464920824372</v>
      </c>
      <c r="DB46" s="1021">
        <f>(VLOOKUP(YEAR($A46),'NY East Load Projections'!$A$4:$EO$14,((MONTH($A46)-1)*12)+VLOOKUP(DB$4,$DE$6:$DF$17,2)+1))*(VLOOKUP($A46,CURVES!$D$9:$T$261,8))*(INDEX(DailyScalarsTable,DB$5/100,MONTH($A46)))*$E46</f>
        <v>-2338.6915445286718</v>
      </c>
      <c r="DH46" s="1021">
        <f t="shared" si="0"/>
        <v>-2152416.7473644647</v>
      </c>
      <c r="DI46">
        <f ca="1">CALC!J66</f>
        <v>0.73550957482072366</v>
      </c>
      <c r="DJ46" s="1029">
        <f t="shared" ca="1" si="1"/>
        <v>-1583123.1266910424</v>
      </c>
    </row>
    <row r="47" spans="1:114" x14ac:dyDescent="0.25">
      <c r="A47" s="244">
        <v>38139</v>
      </c>
      <c r="B47" s="13">
        <v>22</v>
      </c>
      <c r="C47" s="210">
        <v>4</v>
      </c>
      <c r="D47" s="210">
        <v>4</v>
      </c>
      <c r="E47" s="210">
        <v>0</v>
      </c>
      <c r="F47" s="13">
        <v>30</v>
      </c>
      <c r="H47" s="1021">
        <f>(VLOOKUP(YEAR($A47),'NY East Load Projections'!$A$4:$EO$14,((MONTH($A47)-1)*12)+VLOOKUP(H$4,$DE$6:$DF$17,2)+1))*(VLOOKUP($A47,CURVES!$D$9:$K$261,8))*(INDEX(DailyScalarsTable,H$5/100,MONTH($A47)))*$B47</f>
        <v>-52028.765479380345</v>
      </c>
      <c r="I47" s="1021">
        <f>(VLOOKUP(YEAR($A47),'NY East Load Projections'!$A$4:$EO$14,((MONTH($A47)-1)*12)+VLOOKUP(I$4,$DE$6:$DF$17,2)+1))*(VLOOKUP($A47,CURVES!$D$9:$K$261,8))*(INDEX(DailyScalarsTable,I$5/100,MONTH($A47)))*$B47</f>
        <v>-43106.504698426972</v>
      </c>
      <c r="J47" s="1021">
        <f>(VLOOKUP(YEAR($A47),'NY East Load Projections'!$A$4:$EO$14,((MONTH($A47)-1)*12)+VLOOKUP(J$4,$DE$6:$DF$17,2)+1))*(VLOOKUP($A47,CURVES!$D$9:$K$261,8))*(INDEX(DailyScalarsTable,J$5/100,MONTH($A47)))*$B47</f>
        <v>-36235.032216379295</v>
      </c>
      <c r="K47" s="1021">
        <f>(VLOOKUP(YEAR($A47),'NY East Load Projections'!$A$4:$EO$14,((MONTH($A47)-1)*12)+VLOOKUP(K$4,$DE$6:$DF$17,2)+1))*(VLOOKUP($A47,CURVES!$D$9:$K$261,8))*(INDEX(DailyScalarsTable,K$5/100,MONTH($A47)))*$B47</f>
        <v>-33638.254824907795</v>
      </c>
      <c r="L47" s="1021">
        <f>(VLOOKUP(YEAR($A47),'NY East Load Projections'!$A$4:$EO$14,((MONTH($A47)-1)*12)+VLOOKUP(L$4,$DE$6:$DF$17,2)+1))*(VLOOKUP($A47,CURVES!$D$9:$K$261,8))*(INDEX(DailyScalarsTable,L$5/100,MONTH($A47)))*$B47</f>
        <v>-40006.912397968626</v>
      </c>
      <c r="M47" s="1021">
        <f>(VLOOKUP(YEAR($A47),'NY East Load Projections'!$A$4:$EO$14,((MONTH($A47)-1)*12)+VLOOKUP(M$4,$DE$6:$DF$17,2)+1))*(VLOOKUP($A47,CURVES!$D$9:$K$261,8))*(INDEX(DailyScalarsTable,M$5/100,MONTH($A47)))*$B47</f>
        <v>-48811.353338105517</v>
      </c>
      <c r="N47" s="1021">
        <f>(VLOOKUP(YEAR($A47),'NY East Load Projections'!$A$4:$EO$14,((MONTH($A47)-1)*12)+VLOOKUP(N$4,$DE$6:$DF$17,2)+1))*(VLOOKUP($A47,CURVES!$D$9:$K$261,8))*(INDEX(DailyScalarsTable,N$5/100,MONTH($A47)))*$B47</f>
        <v>-55965.874168399168</v>
      </c>
      <c r="O47" s="1021">
        <f>(VLOOKUP(YEAR($A47),'NY East Load Projections'!$A$4:$EO$14,((MONTH($A47)-1)*12)+VLOOKUP(O$4,$DE$6:$DF$17,2)+1))*(VLOOKUP($A47,CURVES!$D$9:$K$261,4))*(INDEX(DailyScalarsTable,O$5/100,MONTH($A47)))*$B47</f>
        <v>-78584.868939359119</v>
      </c>
      <c r="P47" s="1021">
        <f>(VLOOKUP(YEAR($A47),'NY East Load Projections'!$A$4:$EO$14,((MONTH($A47)-1)*12)+VLOOKUP(P$4,$DE$6:$DF$17,2)+1))*(VLOOKUP($A47,CURVES!$D$9:$K$261,4))*(INDEX(DailyScalarsTable,P$5/100,MONTH($A47)))*$B47</f>
        <v>-104393.14009222186</v>
      </c>
      <c r="Q47" s="1021">
        <f>(VLOOKUP(YEAR($A47),'NY East Load Projections'!$A$4:$EO$14,((MONTH($A47)-1)*12)+VLOOKUP(Q$4,$DE$6:$DF$17,2)+1))*(VLOOKUP($A47,CURVES!$D$9:$K$261,4))*(INDEX(DailyScalarsTable,Q$5/100,MONTH($A47)))*$B47</f>
        <v>-116762.94950542813</v>
      </c>
      <c r="R47" s="1021">
        <f>(VLOOKUP(YEAR($A47),'NY East Load Projections'!$A$4:$EO$14,((MONTH($A47)-1)*12)+VLOOKUP(R$4,$DE$6:$DF$17,2)+1))*(VLOOKUP($A47,CURVES!$D$9:$K$261,4))*(INDEX(DailyScalarsTable,R$5/100,MONTH($A47)))*$B47</f>
        <v>-134311.24422031693</v>
      </c>
      <c r="S47" s="1021">
        <f>(VLOOKUP(YEAR($A47),'NY East Load Projections'!$A$4:$EO$14,((MONTH($A47)-1)*12)+VLOOKUP(S$4,$DE$6:$DF$17,2)+1))*(VLOOKUP($A47,CURVES!$D$9:$K$261,4))*(INDEX(DailyScalarsTable,S$5/100,MONTH($A47)))*$B47</f>
        <v>-144851.20017003122</v>
      </c>
      <c r="T47" s="1021">
        <f>(VLOOKUP(YEAR($A47),'NY East Load Projections'!$A$4:$EO$14,((MONTH($A47)-1)*12)+VLOOKUP(T$4,$DE$6:$DF$17,2)+1))*(VLOOKUP($A47,CURVES!$D$9:$K$261,4))*(INDEX(DailyScalarsTable,T$5/100,MONTH($A47)))*$B47</f>
        <v>-154374.10130035819</v>
      </c>
      <c r="U47" s="1021">
        <f>(VLOOKUP(YEAR($A47),'NY East Load Projections'!$A$4:$EO$14,((MONTH($A47)-1)*12)+VLOOKUP(U$4,$DE$6:$DF$17,2)+1))*(VLOOKUP($A47,CURVES!$D$9:$K$261,4))*(INDEX(DailyScalarsTable,U$5/100,MONTH($A47)))*$B47</f>
        <v>-170719.81516282013</v>
      </c>
      <c r="V47" s="1021">
        <f>(VLOOKUP(YEAR($A47),'NY East Load Projections'!$A$4:$EO$14,((MONTH($A47)-1)*12)+VLOOKUP(V$4,$DE$6:$DF$17,2)+1))*(VLOOKUP($A47,CURVES!$D$9:$K$261,4))*(INDEX(DailyScalarsTable,V$5/100,MONTH($A47)))*$B47</f>
        <v>-172033.47758575052</v>
      </c>
      <c r="W47" s="1021">
        <f>(VLOOKUP(YEAR($A47),'NY East Load Projections'!$A$4:$EO$14,((MONTH($A47)-1)*12)+VLOOKUP(W$4,$DE$6:$DF$17,2)+1))*(VLOOKUP($A47,CURVES!$D$9:$K$261,4))*(INDEX(DailyScalarsTable,W$5/100,MONTH($A47)))*$B47</f>
        <v>-172314.97667637837</v>
      </c>
      <c r="X47" s="1021">
        <f>(VLOOKUP(YEAR($A47),'NY East Load Projections'!$A$4:$EO$14,((MONTH($A47)-1)*12)+VLOOKUP(X$4,$DE$6:$DF$17,2)+1))*(VLOOKUP($A47,CURVES!$D$9:$K$261,4))*(INDEX(DailyScalarsTable,X$5/100,MONTH($A47)))*$B47</f>
        <v>-165199.56861230347</v>
      </c>
      <c r="Y47" s="1021">
        <f>(VLOOKUP(YEAR($A47),'NY East Load Projections'!$A$4:$EO$14,((MONTH($A47)-1)*12)+VLOOKUP(Y$4,$DE$6:$DF$17,2)+1))*(VLOOKUP($A47,CURVES!$D$9:$K$261,4))*(INDEX(DailyScalarsTable,Y$5/100,MONTH($A47)))*$B47</f>
        <v>-160295.45538696766</v>
      </c>
      <c r="Z47" s="1021">
        <f>(VLOOKUP(YEAR($A47),'NY East Load Projections'!$A$4:$EO$14,((MONTH($A47)-1)*12)+VLOOKUP(Z$4,$DE$6:$DF$17,2)+1))*(VLOOKUP($A47,CURVES!$D$9:$K$261,4))*(INDEX(DailyScalarsTable,Z$5/100,MONTH($A47)))*$B47</f>
        <v>-136872.56081253002</v>
      </c>
      <c r="AA47" s="1021">
        <f>(VLOOKUP(YEAR($A47),'NY East Load Projections'!$A$4:$EO$14,((MONTH($A47)-1)*12)+VLOOKUP(AA$4,$DE$6:$DF$17,2)+1))*(VLOOKUP($A47,CURVES!$D$9:$K$261,4))*(INDEX(DailyScalarsTable,AA$5/100,MONTH($A47)))*$B47</f>
        <v>-109448.47638637446</v>
      </c>
      <c r="AB47" s="1021">
        <f>(VLOOKUP(YEAR($A47),'NY East Load Projections'!$A$4:$EO$14,((MONTH($A47)-1)*12)+VLOOKUP(AB$4,$DE$6:$DF$17,2)+1))*(VLOOKUP($A47,CURVES!$D$9:$K$261,4))*(INDEX(DailyScalarsTable,AB$5/100,MONTH($A47)))*$B47</f>
        <v>-105037.07215492039</v>
      </c>
      <c r="AC47" s="1021">
        <f>(VLOOKUP(YEAR($A47),'NY East Load Projections'!$A$4:$EO$14,((MONTH($A47)-1)*12)+VLOOKUP(AC$4,$DE$6:$DF$17,2)+1))*(VLOOKUP($A47,CURVES!$D$9:$K$261,4))*(INDEX(DailyScalarsTable,AC$5/100,MONTH($A47)))*$B47</f>
        <v>-107022.73874671484</v>
      </c>
      <c r="AD47" s="1021">
        <f>(VLOOKUP(YEAR($A47),'NY East Load Projections'!$A$4:$EO$14,((MONTH($A47)-1)*12)+VLOOKUP(AD$4,$DE$6:$DF$17,2)+1))*(VLOOKUP($A47,CURVES!$D$9:$K$261,4))*(INDEX(DailyScalarsTable,AD$5/100,MONTH($A47)))*$B47</f>
        <v>-85821.448207555528</v>
      </c>
      <c r="AE47" s="1021">
        <f>(VLOOKUP(YEAR($A47),'NY East Load Projections'!$A$4:$EO$14,((MONTH($A47)-1)*12)+VLOOKUP(AE$4,$DE$6:$DF$17,2)+1))*(VLOOKUP($A47,CURVES!$D$9:$K$261,8))*(INDEX(DailyScalarsTable,AE$5/100,MONTH($A47)))*$B47</f>
        <v>-66473.002868034047</v>
      </c>
      <c r="AF47" s="1021"/>
      <c r="AG47" s="1021">
        <f>(VLOOKUP(YEAR($A47),'NY East Load Projections'!$A$4:$EO$14,((MONTH($A47)-1)*12)+VLOOKUP(AG$4,$DE$6:$DF$17,2)+1))*(VLOOKUP($A47,CURVES!$D$9:$T$261,8))*(INDEX(DailyScalarsTable,AG$5/100,MONTH($A47)))*$C47</f>
        <v>-9630.163050680063</v>
      </c>
      <c r="AH47" s="1021">
        <f>(VLOOKUP(YEAR($A47),'NY East Load Projections'!$A$4:$EO$14,((MONTH($A47)-1)*12)+VLOOKUP(AH$4,$DE$6:$DF$17,2)+1))*(VLOOKUP($A47,CURVES!$D$9:$T$261,8))*(INDEX(DailyScalarsTable,AH$5/100,MONTH($A47)))*$C47</f>
        <v>-7978.7145623371807</v>
      </c>
      <c r="AI47" s="1021">
        <f>(VLOOKUP(YEAR($A47),'NY East Load Projections'!$A$4:$EO$14,((MONTH($A47)-1)*12)+VLOOKUP(AI$4,$DE$6:$DF$17,2)+1))*(VLOOKUP($A47,CURVES!$D$9:$T$261,8))*(INDEX(DailyScalarsTable,AI$5/100,MONTH($A47)))*$C47</f>
        <v>-6706.852741464154</v>
      </c>
      <c r="AJ47" s="1021">
        <f>(VLOOKUP(YEAR($A47),'NY East Load Projections'!$A$4:$EO$14,((MONTH($A47)-1)*12)+VLOOKUP(AJ$4,$DE$6:$DF$17,2)+1))*(VLOOKUP($A47,CURVES!$D$9:$T$261,8))*(INDEX(DailyScalarsTable,AJ$5/100,MONTH($A47)))*$C47</f>
        <v>-6226.2072859016744</v>
      </c>
      <c r="AK47" s="1021">
        <f>(VLOOKUP(YEAR($A47),'NY East Load Projections'!$A$4:$EO$14,((MONTH($A47)-1)*12)+VLOOKUP(AK$4,$DE$6:$DF$17,2)+1))*(VLOOKUP($A47,CURVES!$D$9:$T$261,8))*(INDEX(DailyScalarsTable,AK$5/100,MONTH($A47)))*$C47</f>
        <v>-6816.1763868314692</v>
      </c>
      <c r="AL47" s="1021">
        <f>(VLOOKUP(YEAR($A47),'NY East Load Projections'!$A$4:$EO$14,((MONTH($A47)-1)*12)+VLOOKUP(AL$4,$DE$6:$DF$17,2)+1))*(VLOOKUP($A47,CURVES!$D$9:$T$261,8))*(INDEX(DailyScalarsTable,AL$5/100,MONTH($A47)))*$C47</f>
        <v>-8316.2327230575174</v>
      </c>
      <c r="AM47" s="1021">
        <f>(VLOOKUP(YEAR($A47),'NY East Load Projections'!$A$4:$EO$14,((MONTH($A47)-1)*12)+VLOOKUP(AM$4,$DE$6:$DF$17,2)+1))*(VLOOKUP($A47,CURVES!$D$9:$T$261,8))*(INDEX(DailyScalarsTable,AM$5/100,MONTH($A47)))*$C47</f>
        <v>-9535.1839747171598</v>
      </c>
      <c r="AN47" s="1021">
        <f>(VLOOKUP(YEAR($A47),'NY East Load Projections'!$A$4:$EO$14,((MONTH($A47)-1)*12)+VLOOKUP(AN$4,$DE$6:$DF$17,2)+1))*(VLOOKUP($A47,SatSunCurve,4))*(INDEX(DailyScalarsTable,AN$5/100,MONTH($A47)))*$C47</f>
        <v>-7426.3946543040502</v>
      </c>
      <c r="AO47" s="1021">
        <f>(VLOOKUP(YEAR($A47),'NY East Load Projections'!$A$4:$EO$14,((MONTH($A47)-1)*12)+VLOOKUP(AO$4,$DE$6:$DF$17,2)+1))*(VLOOKUP($A47,SatSunCurve,4))*(INDEX(DailyScalarsTable,AO$5/100,MONTH($A47)))*$C47</f>
        <v>-9495.2456434715605</v>
      </c>
      <c r="AP47" s="1021">
        <f>(VLOOKUP(YEAR($A47),'NY East Load Projections'!$A$4:$EO$14,((MONTH($A47)-1)*12)+VLOOKUP(AP$4,$DE$6:$DF$17,2)+1))*(VLOOKUP($A47,SatSunCurve,4))*(INDEX(DailyScalarsTable,AP$5/100,MONTH($A47)))*$C47</f>
        <v>-10620.361516387731</v>
      </c>
      <c r="AQ47" s="1021">
        <f>(VLOOKUP(YEAR($A47),'NY East Load Projections'!$A$4:$EO$14,((MONTH($A47)-1)*12)+VLOOKUP(AQ$4,$DE$6:$DF$17,2)+1))*(VLOOKUP($A47,SatSunCurve,4))*(INDEX(DailyScalarsTable,AQ$5/100,MONTH($A47)))*$C47</f>
        <v>-12216.494833143071</v>
      </c>
      <c r="AR47" s="1021">
        <f>(VLOOKUP(YEAR($A47),'NY East Load Projections'!$A$4:$EO$14,((MONTH($A47)-1)*12)+VLOOKUP(AR$4,$DE$6:$DF$17,2)+1))*(VLOOKUP($A47,SatSunCurve,4))*(INDEX(DailyScalarsTable,AR$5/100,MONTH($A47)))*$C47</f>
        <v>-13175.173446752122</v>
      </c>
      <c r="AS47" s="1021">
        <f>(VLOOKUP(YEAR($A47),'NY East Load Projections'!$A$4:$EO$14,((MONTH($A47)-1)*12)+VLOOKUP(AS$4,$DE$6:$DF$17,2)+1))*(VLOOKUP($A47,SatSunCurve,4))*(INDEX(DailyScalarsTable,AS$5/100,MONTH($A47)))*$C47</f>
        <v>-14056.41902419673</v>
      </c>
      <c r="AT47" s="1021">
        <f>(VLOOKUP(YEAR($A47),'NY East Load Projections'!$A$4:$EO$14,((MONTH($A47)-1)*12)+VLOOKUP(AT$4,$DE$6:$DF$17,2)+1))*(VLOOKUP($A47,SatSunCurve,4))*(INDEX(DailyScalarsTable,AT$5/100,MONTH($A47)))*$C47</f>
        <v>-15544.765847692397</v>
      </c>
      <c r="AU47" s="1021">
        <f>(VLOOKUP(YEAR($A47),'NY East Load Projections'!$A$4:$EO$14,((MONTH($A47)-1)*12)+VLOOKUP(AU$4,$DE$6:$DF$17,2)+1))*(VLOOKUP($A47,SatSunCurve,4))*(INDEX(DailyScalarsTable,AU$5/100,MONTH($A47)))*$C47</f>
        <v>-15664.380402967598</v>
      </c>
      <c r="AV47" s="1021">
        <f>(VLOOKUP(YEAR($A47),'NY East Load Projections'!$A$4:$EO$14,((MONTH($A47)-1)*12)+VLOOKUP(AV$4,$DE$6:$DF$17,2)+1))*(VLOOKUP($A47,SatSunCurve,4))*(INDEX(DailyScalarsTable,AV$5/100,MONTH($A47)))*$C47</f>
        <v>-15690.012093383706</v>
      </c>
      <c r="AW47" s="1021">
        <f>(VLOOKUP(YEAR($A47),'NY East Load Projections'!$A$4:$EO$14,((MONTH($A47)-1)*12)+VLOOKUP(AW$4,$DE$6:$DF$17,2)+1))*(VLOOKUP($A47,SatSunCurve,4))*(INDEX(DailyScalarsTable,AW$5/100,MONTH($A47)))*$C47</f>
        <v>-15190.788257038183</v>
      </c>
      <c r="AX47" s="1021">
        <f>(VLOOKUP(YEAR($A47),'NY East Load Projections'!$A$4:$EO$14,((MONTH($A47)-1)*12)+VLOOKUP(AX$4,$DE$6:$DF$17,2)+1))*(VLOOKUP($A47,SatSunCurve,4))*(INDEX(DailyScalarsTable,AX$5/100,MONTH($A47)))*$C47</f>
        <v>-14739.834624287181</v>
      </c>
      <c r="AY47" s="1021">
        <f>(VLOOKUP(YEAR($A47),'NY East Load Projections'!$A$4:$EO$14,((MONTH($A47)-1)*12)+VLOOKUP(AY$4,$DE$6:$DF$17,2)+1))*(VLOOKUP($A47,SatSunCurve,4))*(INDEX(DailyScalarsTable,AY$5/100,MONTH($A47)))*$C47</f>
        <v>-12586.001930678616</v>
      </c>
      <c r="AZ47" s="1021">
        <f>(VLOOKUP(YEAR($A47),'NY East Load Projections'!$A$4:$EO$14,((MONTH($A47)-1)*12)+VLOOKUP(AZ$4,$DE$6:$DF$17,2)+1))*(VLOOKUP($A47,SatSunCurve,4))*(INDEX(DailyScalarsTable,AZ$5/100,MONTH($A47)))*$C47</f>
        <v>-10064.243168471767</v>
      </c>
      <c r="BA47" s="1021">
        <f>(VLOOKUP(YEAR($A47),'NY East Load Projections'!$A$4:$EO$14,((MONTH($A47)-1)*12)+VLOOKUP(BA$4,$DE$6:$DF$17,2)+1))*(VLOOKUP($A47,SatSunCurve,4))*(INDEX(DailyScalarsTable,BA$5/100,MONTH($A47)))*$C47</f>
        <v>-10403.254490285868</v>
      </c>
      <c r="BB47" s="1021">
        <f>(VLOOKUP(YEAR($A47),'NY East Load Projections'!$A$4:$EO$14,((MONTH($A47)-1)*12)+VLOOKUP(BB$4,$DE$6:$DF$17,2)+1))*(VLOOKUP($A47,SatSunCurve,4))*(INDEX(DailyScalarsTable,BB$5/100,MONTH($A47)))*$C47</f>
        <v>-10599.922147366296</v>
      </c>
      <c r="BC47" s="1021">
        <f>(VLOOKUP(YEAR($A47),'NY East Load Projections'!$A$4:$EO$14,((MONTH($A47)-1)*12)+VLOOKUP(BC$4,$DE$6:$DF$17,2)+1))*(VLOOKUP($A47,SatSunCurve,4))*(INDEX(DailyScalarsTable,BC$5/100,MONTH($A47)))*$C47</f>
        <v>-8500.0690528697723</v>
      </c>
      <c r="BD47" s="1021">
        <f>(VLOOKUP(YEAR($A47),'NY East Load Projections'!$A$4:$EO$14,((MONTH($A47)-1)*12)+VLOOKUP(BD$4,$DE$6:$DF$17,2)+1))*(VLOOKUP($A47,CURVES!$D$9:$T$261,8))*(INDEX(DailyScalarsTable,BD$5/100,MONTH($A47)))*$C47</f>
        <v>-11869.668957059233</v>
      </c>
      <c r="BE47" s="1021"/>
      <c r="BF47" s="1021">
        <f>(VLOOKUP(YEAR($A47),'NY East Load Projections'!$A$4:$EO$14,((MONTH($A47)-1)*12)+VLOOKUP(BF$4,$DE$6:$DF$17,2)+1))*(VLOOKUP($A47,CURVES!$D$9:$T$261,8))*(INDEX(DailyScalarsTable,BF$5/100,MONTH($A47)))*$D47</f>
        <v>-9630.163050680063</v>
      </c>
      <c r="BG47" s="1021">
        <f>(VLOOKUP(YEAR($A47),'NY East Load Projections'!$A$4:$EO$14,((MONTH($A47)-1)*12)+VLOOKUP(BG$4,$DE$6:$DF$17,2)+1))*(VLOOKUP($A47,CURVES!$D$9:$T$261,8))*(INDEX(DailyScalarsTable,BG$5/100,MONTH($A47)))*$D47</f>
        <v>-7978.7145623371807</v>
      </c>
      <c r="BH47" s="1021">
        <f>(VLOOKUP(YEAR($A47),'NY East Load Projections'!$A$4:$EO$14,((MONTH($A47)-1)*12)+VLOOKUP(BH$4,$DE$6:$DF$17,2)+1))*(VLOOKUP($A47,CURVES!$D$9:$T$261,8))*(INDEX(DailyScalarsTable,BH$5/100,MONTH($A47)))*$D47</f>
        <v>-6706.852741464154</v>
      </c>
      <c r="BI47" s="1021">
        <f>(VLOOKUP(YEAR($A47),'NY East Load Projections'!$A$4:$EO$14,((MONTH($A47)-1)*12)+VLOOKUP(BI$4,$DE$6:$DF$17,2)+1))*(VLOOKUP($A47,CURVES!$D$9:$T$261,8))*(INDEX(DailyScalarsTable,BI$5/100,MONTH($A47)))*$D47</f>
        <v>-6226.2072859016744</v>
      </c>
      <c r="BJ47" s="1021">
        <f>(VLOOKUP(YEAR($A47),'NY East Load Projections'!$A$4:$EO$14,((MONTH($A47)-1)*12)+VLOOKUP(BJ$4,$DE$6:$DF$17,2)+1))*(VLOOKUP($A47,CURVES!$D$9:$T$261,8))*(INDEX(DailyScalarsTable,BJ$5/100,MONTH($A47)))*$D47</f>
        <v>-6816.1763868314692</v>
      </c>
      <c r="BK47" s="1021">
        <f>(VLOOKUP(YEAR($A47),'NY East Load Projections'!$A$4:$EO$14,((MONTH($A47)-1)*12)+VLOOKUP(BK$4,$DE$6:$DF$17,2)+1))*(VLOOKUP($A47,CURVES!$D$9:$T$261,8))*(INDEX(DailyScalarsTable,BK$5/100,MONTH($A47)))*$D47</f>
        <v>-8316.2327230575174</v>
      </c>
      <c r="BL47" s="1021">
        <f>(VLOOKUP(YEAR($A47),'NY East Load Projections'!$A$4:$EO$14,((MONTH($A47)-1)*12)+VLOOKUP(BL$4,$DE$6:$DF$17,2)+1))*(VLOOKUP($A47,CURVES!$D$9:$T$261,8))*(INDEX(DailyScalarsTable,BL$5/100,MONTH($A47)))*$D47</f>
        <v>-9535.1839747171598</v>
      </c>
      <c r="BM47" s="1021">
        <f>(VLOOKUP(YEAR($A47),'NY East Load Projections'!$A$4:$EO$14,((MONTH($A47)-1)*12)+VLOOKUP(BM$4,$DE$6:$DF$17,2)+1))*(VLOOKUP($A47,SatSunCurve,8))*(INDEX(DailyScalarsTable,BM$5/100,MONTH($A47)))*$D47</f>
        <v>-5848.5989500522755</v>
      </c>
      <c r="BN47" s="1021">
        <f>(VLOOKUP(YEAR($A47),'NY East Load Projections'!$A$4:$EO$14,((MONTH($A47)-1)*12)+VLOOKUP(BN$4,$DE$6:$DF$17,2)+1))*(VLOOKUP($A47,SatSunCurve,8))*(INDEX(DailyScalarsTable,BN$5/100,MONTH($A47)))*$D47</f>
        <v>-7477.906344326977</v>
      </c>
      <c r="BO47" s="1021">
        <f>(VLOOKUP(YEAR($A47),'NY East Load Projections'!$A$4:$EO$14,((MONTH($A47)-1)*12)+VLOOKUP(BO$4,$DE$6:$DF$17,2)+1))*(VLOOKUP($A47,SatSunCurve,8))*(INDEX(DailyScalarsTable,BO$5/100,MONTH($A47)))*$D47</f>
        <v>-8363.9825386766752</v>
      </c>
      <c r="BP47" s="1021">
        <f>(VLOOKUP(YEAR($A47),'NY East Load Projections'!$A$4:$EO$14,((MONTH($A47)-1)*12)+VLOOKUP(BP$4,$DE$6:$DF$17,2)+1))*(VLOOKUP($A47,SatSunCurve,8))*(INDEX(DailyScalarsTable,BP$5/100,MONTH($A47)))*$D47</f>
        <v>-9621.0048321402264</v>
      </c>
      <c r="BQ47" s="1021">
        <f>(VLOOKUP(YEAR($A47),'NY East Load Projections'!$A$4:$EO$14,((MONTH($A47)-1)*12)+VLOOKUP(BQ$4,$DE$6:$DF$17,2)+1))*(VLOOKUP($A47,SatSunCurve,8))*(INDEX(DailyScalarsTable,BQ$5/100,MONTH($A47)))*$D47</f>
        <v>-10376.004666379025</v>
      </c>
      <c r="BR47" s="1021">
        <f>(VLOOKUP(YEAR($A47),'NY East Load Projections'!$A$4:$EO$14,((MONTH($A47)-1)*12)+VLOOKUP(BR$4,$DE$6:$DF$17,2)+1))*(VLOOKUP($A47,SatSunCurve,8))*(INDEX(DailyScalarsTable,BR$5/100,MONTH($A47)))*$D47</f>
        <v>-11070.022719404753</v>
      </c>
      <c r="BS47" s="1021">
        <f>(VLOOKUP(YEAR($A47),'NY East Load Projections'!$A$4:$EO$14,((MONTH($A47)-1)*12)+VLOOKUP(BS$4,$DE$6:$DF$17,2)+1))*(VLOOKUP($A47,SatSunCurve,8))*(INDEX(DailyScalarsTable,BS$5/100,MONTH($A47)))*$D47</f>
        <v>-12242.158604233533</v>
      </c>
      <c r="BT47" s="1021">
        <f>(VLOOKUP(YEAR($A47),'NY East Load Projections'!$A$4:$EO$14,((MONTH($A47)-1)*12)+VLOOKUP(BT$4,$DE$6:$DF$17,2)+1))*(VLOOKUP($A47,SatSunCurve,8))*(INDEX(DailyScalarsTable,BT$5/100,MONTH($A47)))*$D47</f>
        <v>-12336.36011047695</v>
      </c>
      <c r="BU47" s="1021">
        <f>(VLOOKUP(YEAR($A47),'NY East Load Projections'!$A$4:$EO$14,((MONTH($A47)-1)*12)+VLOOKUP(BU$4,$DE$6:$DF$17,2)+1))*(VLOOKUP($A47,SatSunCurve,8))*(INDEX(DailyScalarsTable,BU$5/100,MONTH($A47)))*$D47</f>
        <v>-12356.546147529107</v>
      </c>
      <c r="BV47" s="1021">
        <f>(VLOOKUP(YEAR($A47),'NY East Load Projections'!$A$4:$EO$14,((MONTH($A47)-1)*12)+VLOOKUP(BV$4,$DE$6:$DF$17,2)+1))*(VLOOKUP($A47,SatSunCurve,8))*(INDEX(DailyScalarsTable,BV$5/100,MONTH($A47)))*$D47</f>
        <v>-11963.386324895748</v>
      </c>
      <c r="BW47" s="1021">
        <f>(VLOOKUP(YEAR($A47),'NY East Load Projections'!$A$4:$EO$14,((MONTH($A47)-1)*12)+VLOOKUP(BW$4,$DE$6:$DF$17,2)+1))*(VLOOKUP($A47,SatSunCurve,8))*(INDEX(DailyScalarsTable,BW$5/100,MONTH($A47)))*$D47</f>
        <v>-11608.241323074277</v>
      </c>
      <c r="BX47" s="1021">
        <f>(VLOOKUP(YEAR($A47),'NY East Load Projections'!$A$4:$EO$14,((MONTH($A47)-1)*12)+VLOOKUP(BX$4,$DE$6:$DF$17,2)+1))*(VLOOKUP($A47,SatSunCurve,8))*(INDEX(DailyScalarsTable,BX$5/100,MONTH($A47)))*$D47</f>
        <v>-9912.0072530027883</v>
      </c>
      <c r="BY47" s="1021">
        <f>(VLOOKUP(YEAR($A47),'NY East Load Projections'!$A$4:$EO$14,((MONTH($A47)-1)*12)+VLOOKUP(BY$4,$DE$6:$DF$17,2)+1))*(VLOOKUP($A47,SatSunCurve,8))*(INDEX(DailyScalarsTable,BY$5/100,MONTH($A47)))*$D47</f>
        <v>-7926.0158890264192</v>
      </c>
      <c r="BZ47" s="1021">
        <f>(VLOOKUP(YEAR($A47),'NY East Load Projections'!$A$4:$EO$14,((MONTH($A47)-1)*12)+VLOOKUP(BZ$4,$DE$6:$DF$17,2)+1))*(VLOOKUP($A47,SatSunCurve,8))*(INDEX(DailyScalarsTable,BZ$5/100,MONTH($A47)))*$D47</f>
        <v>-8193.0016005477792</v>
      </c>
      <c r="CA47" s="1021">
        <f>(VLOOKUP(YEAR($A47),'NY East Load Projections'!$A$4:$EO$14,((MONTH($A47)-1)*12)+VLOOKUP(CA$4,$DE$6:$DF$17,2)+1))*(VLOOKUP($A47,SatSunCurve,8))*(INDEX(DailyScalarsTable,CA$5/100,MONTH($A47)))*$D47</f>
        <v>-8347.8856736751368</v>
      </c>
      <c r="CB47" s="1021">
        <f>(VLOOKUP(YEAR($A47),'NY East Load Projections'!$A$4:$EO$14,((MONTH($A47)-1)*12)+VLOOKUP(CB$4,$DE$6:$DF$17,2)+1))*(VLOOKUP($A47,SatSunCurve,8))*(INDEX(DailyScalarsTable,CB$5/100,MONTH($A47)))*$D47</f>
        <v>-6694.1628141421206</v>
      </c>
      <c r="CC47" s="1021">
        <f>(VLOOKUP(YEAR($A47),'NY East Load Projections'!$A$4:$EO$14,((MONTH($A47)-1)*12)+VLOOKUP(CC$4,$DE$6:$DF$17,2)+1))*(VLOOKUP($A47,CURVES!$D$9:$T$261,8))*(INDEX(DailyScalarsTable,CC$5/100,MONTH($A47)))*$D47</f>
        <v>-11869.668957059233</v>
      </c>
      <c r="CE47" s="1021">
        <f>(VLOOKUP(YEAR($A47),'NY East Load Projections'!$A$4:$EO$14,((MONTH($A47)-1)*12)+VLOOKUP(CE$4,$DE$6:$DF$17,2)+1))*(VLOOKUP($A47,CURVES!$D$9:$T$261,8))*(INDEX(DailyScalarsTable,CE$5/100,MONTH($A47)))*$E47</f>
        <v>0</v>
      </c>
      <c r="CF47" s="1021">
        <f>(VLOOKUP(YEAR($A47),'NY East Load Projections'!$A$4:$EO$14,((MONTH($A47)-1)*12)+VLOOKUP(CF$4,$DE$6:$DF$17,2)+1))*(VLOOKUP($A47,CURVES!$D$9:$T$261,8))*(INDEX(DailyScalarsTable,CF$5/100,MONTH($A47)))*$E47</f>
        <v>0</v>
      </c>
      <c r="CG47" s="1021">
        <f>(VLOOKUP(YEAR($A47),'NY East Load Projections'!$A$4:$EO$14,((MONTH($A47)-1)*12)+VLOOKUP(CG$4,$DE$6:$DF$17,2)+1))*(VLOOKUP($A47,CURVES!$D$9:$T$261,8))*(INDEX(DailyScalarsTable,CG$5/100,MONTH($A47)))*$E47</f>
        <v>0</v>
      </c>
      <c r="CH47" s="1021">
        <f>(VLOOKUP(YEAR($A47),'NY East Load Projections'!$A$4:$EO$14,((MONTH($A47)-1)*12)+VLOOKUP(CH$4,$DE$6:$DF$17,2)+1))*(VLOOKUP($A47,CURVES!$D$9:$T$261,8))*(INDEX(DailyScalarsTable,CH$5/100,MONTH($A47)))*$E47</f>
        <v>0</v>
      </c>
      <c r="CI47" s="1021">
        <f>(VLOOKUP(YEAR($A47),'NY East Load Projections'!$A$4:$EO$14,((MONTH($A47)-1)*12)+VLOOKUP(CI$4,$DE$6:$DF$17,2)+1))*(VLOOKUP($A47,CURVES!$D$9:$T$261,8))*(INDEX(DailyScalarsTable,CI$5/100,MONTH($A47)))*$E47</f>
        <v>0</v>
      </c>
      <c r="CJ47" s="1021">
        <f>(VLOOKUP(YEAR($A47),'NY East Load Projections'!$A$4:$EO$14,((MONTH($A47)-1)*12)+VLOOKUP(CJ$4,$DE$6:$DF$17,2)+1))*(VLOOKUP($A47,CURVES!$D$9:$T$261,8))*(INDEX(DailyScalarsTable,CJ$5/100,MONTH($A47)))*$E47</f>
        <v>0</v>
      </c>
      <c r="CK47" s="1021">
        <f>(VLOOKUP(YEAR($A47),'NY East Load Projections'!$A$4:$EO$14,((MONTH($A47)-1)*12)+VLOOKUP(CK$4,$DE$6:$DF$17,2)+1))*(VLOOKUP($A47,CURVES!$D$9:$T$261,8))*(INDEX(DailyScalarsTable,CK$5/100,MONTH($A47)))*$E47</f>
        <v>0</v>
      </c>
      <c r="CL47" s="1021">
        <f>(VLOOKUP(YEAR($A47),'NY East Load Projections'!$A$4:$EO$14,((MONTH($A47)-1)*12)+VLOOKUP(CL$4,$DE$6:$DF$17,2)+1))*(VLOOKUP($A47,SatSunCurve,8))*(INDEX(DailyScalarsTable,CL$5/100,MONTH($A47)))*$E47</f>
        <v>0</v>
      </c>
      <c r="CM47" s="1021">
        <f>(VLOOKUP(YEAR($A47),'NY East Load Projections'!$A$4:$EO$14,((MONTH($A47)-1)*12)+VLOOKUP(CM$4,$DE$6:$DF$17,2)+1))*(VLOOKUP($A47,SatSunCurve,8))*(INDEX(DailyScalarsTable,CM$5/100,MONTH($A47)))*$E47</f>
        <v>0</v>
      </c>
      <c r="CN47" s="1021">
        <f>(VLOOKUP(YEAR($A47),'NY East Load Projections'!$A$4:$EO$14,((MONTH($A47)-1)*12)+VLOOKUP(CN$4,$DE$6:$DF$17,2)+1))*(VLOOKUP($A47,SatSunCurve,8))*(INDEX(DailyScalarsTable,CN$5/100,MONTH($A47)))*$E47</f>
        <v>0</v>
      </c>
      <c r="CO47" s="1021">
        <f>(VLOOKUP(YEAR($A47),'NY East Load Projections'!$A$4:$EO$14,((MONTH($A47)-1)*12)+VLOOKUP(CO$4,$DE$6:$DF$17,2)+1))*(VLOOKUP($A47,SatSunCurve,8))*(INDEX(DailyScalarsTable,CO$5/100,MONTH($A47)))*$E47</f>
        <v>0</v>
      </c>
      <c r="CP47" s="1021">
        <f>(VLOOKUP(YEAR($A47),'NY East Load Projections'!$A$4:$EO$14,((MONTH($A47)-1)*12)+VLOOKUP(CP$4,$DE$6:$DF$17,2)+1))*(VLOOKUP($A47,SatSunCurve,8))*(INDEX(DailyScalarsTable,CP$5/100,MONTH($A47)))*$E47</f>
        <v>0</v>
      </c>
      <c r="CQ47" s="1021">
        <f>(VLOOKUP(YEAR($A47),'NY East Load Projections'!$A$4:$EO$14,((MONTH($A47)-1)*12)+VLOOKUP(CQ$4,$DE$6:$DF$17,2)+1))*(VLOOKUP($A47,SatSunCurve,8))*(INDEX(DailyScalarsTable,CQ$5/100,MONTH($A47)))*$E47</f>
        <v>0</v>
      </c>
      <c r="CR47" s="1021">
        <f>(VLOOKUP(YEAR($A47),'NY East Load Projections'!$A$4:$EO$14,((MONTH($A47)-1)*12)+VLOOKUP(CR$4,$DE$6:$DF$17,2)+1))*(VLOOKUP($A47,SatSunCurve,8))*(INDEX(DailyScalarsTable,CR$5/100,MONTH($A47)))*$E47</f>
        <v>0</v>
      </c>
      <c r="CS47" s="1021">
        <f>(VLOOKUP(YEAR($A47),'NY East Load Projections'!$A$4:$EO$14,((MONTH($A47)-1)*12)+VLOOKUP(CS$4,$DE$6:$DF$17,2)+1))*(VLOOKUP($A47,SatSunCurve,8))*(INDEX(DailyScalarsTable,CS$5/100,MONTH($A47)))*$E47</f>
        <v>0</v>
      </c>
      <c r="CT47" s="1021">
        <f>(VLOOKUP(YEAR($A47),'NY East Load Projections'!$A$4:$EO$14,((MONTH($A47)-1)*12)+VLOOKUP(CT$4,$DE$6:$DF$17,2)+1))*(VLOOKUP($A47,SatSunCurve,8))*(INDEX(DailyScalarsTable,CT$5/100,MONTH($A47)))*$E47</f>
        <v>0</v>
      </c>
      <c r="CU47" s="1021">
        <f>(VLOOKUP(YEAR($A47),'NY East Load Projections'!$A$4:$EO$14,((MONTH($A47)-1)*12)+VLOOKUP(CU$4,$DE$6:$DF$17,2)+1))*(VLOOKUP($A47,SatSunCurve,8))*(INDEX(DailyScalarsTable,CU$5/100,MONTH($A47)))*$E47</f>
        <v>0</v>
      </c>
      <c r="CV47" s="1021">
        <f>(VLOOKUP(YEAR($A47),'NY East Load Projections'!$A$4:$EO$14,((MONTH($A47)-1)*12)+VLOOKUP(CV$4,$DE$6:$DF$17,2)+1))*(VLOOKUP($A47,SatSunCurve,8))*(INDEX(DailyScalarsTable,CV$5/100,MONTH($A47)))*$E47</f>
        <v>0</v>
      </c>
      <c r="CW47" s="1021">
        <f>(VLOOKUP(YEAR($A47),'NY East Load Projections'!$A$4:$EO$14,((MONTH($A47)-1)*12)+VLOOKUP(CW$4,$DE$6:$DF$17,2)+1))*(VLOOKUP($A47,SatSunCurve,8))*(INDEX(DailyScalarsTable,CW$5/100,MONTH($A47)))*$E47</f>
        <v>0</v>
      </c>
      <c r="CX47" s="1021">
        <f>(VLOOKUP(YEAR($A47),'NY East Load Projections'!$A$4:$EO$14,((MONTH($A47)-1)*12)+VLOOKUP(CX$4,$DE$6:$DF$17,2)+1))*(VLOOKUP($A47,SatSunCurve,8))*(INDEX(DailyScalarsTable,CX$5/100,MONTH($A47)))*$E47</f>
        <v>0</v>
      </c>
      <c r="CY47" s="1021">
        <f>(VLOOKUP(YEAR($A47),'NY East Load Projections'!$A$4:$EO$14,((MONTH($A47)-1)*12)+VLOOKUP(CY$4,$DE$6:$DF$17,2)+1))*(VLOOKUP($A47,SatSunCurve,8))*(INDEX(DailyScalarsTable,CY$5/100,MONTH($A47)))*$E47</f>
        <v>0</v>
      </c>
      <c r="CZ47" s="1021">
        <f>(VLOOKUP(YEAR($A47),'NY East Load Projections'!$A$4:$EO$14,((MONTH($A47)-1)*12)+VLOOKUP(CZ$4,$DE$6:$DF$17,2)+1))*(VLOOKUP($A47,SatSunCurve,8))*(INDEX(DailyScalarsTable,CZ$5/100,MONTH($A47)))*$E47</f>
        <v>0</v>
      </c>
      <c r="DA47" s="1021">
        <f>(VLOOKUP(YEAR($A47),'NY East Load Projections'!$A$4:$EO$14,((MONTH($A47)-1)*12)+VLOOKUP(DA$4,$DE$6:$DF$17,2)+1))*(VLOOKUP($A47,SatSunCurve,8))*(INDEX(DailyScalarsTable,DA$5/100,MONTH($A47)))*$E47</f>
        <v>0</v>
      </c>
      <c r="DB47" s="1021">
        <f>(VLOOKUP(YEAR($A47),'NY East Load Projections'!$A$4:$EO$14,((MONTH($A47)-1)*12)+VLOOKUP(DB$4,$DE$6:$DF$17,2)+1))*(VLOOKUP($A47,CURVES!$D$9:$T$261,8))*(INDEX(DailyScalarsTable,DB$5/100,MONTH($A47)))*$E47</f>
        <v>0</v>
      </c>
      <c r="DH47" s="1021">
        <f t="shared" si="0"/>
        <v>-2978777.8402406108</v>
      </c>
      <c r="DI47">
        <f ca="1">CALC!J67</f>
        <v>0.73109253639737004</v>
      </c>
      <c r="DJ47" s="1029">
        <f t="shared" ca="1" si="1"/>
        <v>-2177762.2465857882</v>
      </c>
    </row>
    <row r="48" spans="1:114" x14ac:dyDescent="0.25">
      <c r="A48" s="244">
        <v>38169</v>
      </c>
      <c r="B48" s="13">
        <v>21</v>
      </c>
      <c r="C48" s="210">
        <v>5</v>
      </c>
      <c r="D48" s="210">
        <v>4</v>
      </c>
      <c r="E48" s="210">
        <v>1</v>
      </c>
      <c r="F48" s="13">
        <v>31</v>
      </c>
      <c r="H48" s="1021">
        <f>(VLOOKUP(YEAR($A48),'NY East Load Projections'!$A$4:$EO$14,((MONTH($A48)-1)*12)+VLOOKUP(H$4,$DE$6:$DF$17,2)+1))*(VLOOKUP($A48,CURVES!$D$9:$K$261,8))*(INDEX(DailyScalarsTable,H$5/100,MONTH($A48)))*$B48</f>
        <v>-59577.710847978145</v>
      </c>
      <c r="I48" s="1021">
        <f>(VLOOKUP(YEAR($A48),'NY East Load Projections'!$A$4:$EO$14,((MONTH($A48)-1)*12)+VLOOKUP(I$4,$DE$6:$DF$17,2)+1))*(VLOOKUP($A48,CURVES!$D$9:$K$261,8))*(INDEX(DailyScalarsTable,I$5/100,MONTH($A48)))*$B48</f>
        <v>-54420.272045774524</v>
      </c>
      <c r="J48" s="1021">
        <f>(VLOOKUP(YEAR($A48),'NY East Load Projections'!$A$4:$EO$14,((MONTH($A48)-1)*12)+VLOOKUP(J$4,$DE$6:$DF$17,2)+1))*(VLOOKUP($A48,CURVES!$D$9:$K$261,8))*(INDEX(DailyScalarsTable,J$5/100,MONTH($A48)))*$B48</f>
        <v>-51853.168497830855</v>
      </c>
      <c r="K48" s="1021">
        <f>(VLOOKUP(YEAR($A48),'NY East Load Projections'!$A$4:$EO$14,((MONTH($A48)-1)*12)+VLOOKUP(K$4,$DE$6:$DF$17,2)+1))*(VLOOKUP($A48,CURVES!$D$9:$K$261,8))*(INDEX(DailyScalarsTable,K$5/100,MONTH($A48)))*$B48</f>
        <v>-46695.729695627233</v>
      </c>
      <c r="L48" s="1021">
        <f>(VLOOKUP(YEAR($A48),'NY East Load Projections'!$A$4:$EO$14,((MONTH($A48)-1)*12)+VLOOKUP(L$4,$DE$6:$DF$17,2)+1))*(VLOOKUP($A48,CURVES!$D$9:$K$261,8))*(INDEX(DailyScalarsTable,L$5/100,MONTH($A48)))*$B48</f>
        <v>-48564.181791960036</v>
      </c>
      <c r="M48" s="1021">
        <f>(VLOOKUP(YEAR($A48),'NY East Load Projections'!$A$4:$EO$14,((MONTH($A48)-1)*12)+VLOOKUP(M$4,$DE$6:$DF$17,2)+1))*(VLOOKUP($A48,CURVES!$D$9:$K$261,8))*(INDEX(DailyScalarsTable,M$5/100,MONTH($A48)))*$B48</f>
        <v>-53540.228720853214</v>
      </c>
      <c r="N48" s="1021">
        <f>(VLOOKUP(YEAR($A48),'NY East Load Projections'!$A$4:$EO$14,((MONTH($A48)-1)*12)+VLOOKUP(N$4,$DE$6:$DF$17,2)+1))*(VLOOKUP($A48,CURVES!$D$9:$K$261,8))*(INDEX(DailyScalarsTable,N$5/100,MONTH($A48)))*$B48</f>
        <v>-59458.033892043313</v>
      </c>
      <c r="O48" s="1021">
        <f>(VLOOKUP(YEAR($A48),'NY East Load Projections'!$A$4:$EO$14,((MONTH($A48)-1)*12)+VLOOKUP(O$4,$DE$6:$DF$17,2)+1))*(VLOOKUP($A48,CURVES!$D$9:$K$261,4))*(INDEX(DailyScalarsTable,O$5/100,MONTH($A48)))*$B48</f>
        <v>-96823.805725191502</v>
      </c>
      <c r="P48" s="1021">
        <f>(VLOOKUP(YEAR($A48),'NY East Load Projections'!$A$4:$EO$14,((MONTH($A48)-1)*12)+VLOOKUP(P$4,$DE$6:$DF$17,2)+1))*(VLOOKUP($A48,CURVES!$D$9:$K$261,4))*(INDEX(DailyScalarsTable,P$5/100,MONTH($A48)))*$B48</f>
        <v>-120515.90126109056</v>
      </c>
      <c r="Q48" s="1021">
        <f>(VLOOKUP(YEAR($A48),'NY East Load Projections'!$A$4:$EO$14,((MONTH($A48)-1)*12)+VLOOKUP(Q$4,$DE$6:$DF$17,2)+1))*(VLOOKUP($A48,CURVES!$D$9:$K$261,4))*(INDEX(DailyScalarsTable,Q$5/100,MONTH($A48)))*$B48</f>
        <v>-144290.571117852</v>
      </c>
      <c r="R48" s="1021">
        <f>(VLOOKUP(YEAR($A48),'NY East Load Projections'!$A$4:$EO$14,((MONTH($A48)-1)*12)+VLOOKUP(R$4,$DE$6:$DF$17,2)+1))*(VLOOKUP($A48,CURVES!$D$9:$K$261,4))*(INDEX(DailyScalarsTable,R$5/100,MONTH($A48)))*$B48</f>
        <v>-164187.46362618156</v>
      </c>
      <c r="S48" s="1021">
        <f>(VLOOKUP(YEAR($A48),'NY East Load Projections'!$A$4:$EO$14,((MONTH($A48)-1)*12)+VLOOKUP(S$4,$DE$6:$DF$17,2)+1))*(VLOOKUP($A48,CURVES!$D$9:$K$261,4))*(INDEX(DailyScalarsTable,S$5/100,MONTH($A48)))*$B48</f>
        <v>-196293.42804813298</v>
      </c>
      <c r="T48" s="1021">
        <f>(VLOOKUP(YEAR($A48),'NY East Load Projections'!$A$4:$EO$14,((MONTH($A48)-1)*12)+VLOOKUP(T$4,$DE$6:$DF$17,2)+1))*(VLOOKUP($A48,CURVES!$D$9:$K$261,4))*(INDEX(DailyScalarsTable,T$5/100,MONTH($A48)))*$B48</f>
        <v>-220498.00307241399</v>
      </c>
      <c r="U48" s="1021">
        <f>(VLOOKUP(YEAR($A48),'NY East Load Projections'!$A$4:$EO$14,((MONTH($A48)-1)*12)+VLOOKUP(U$4,$DE$6:$DF$17,2)+1))*(VLOOKUP($A48,CURVES!$D$9:$K$261,4))*(INDEX(DailyScalarsTable,U$5/100,MONTH($A48)))*$B48</f>
        <v>-227919.27274376166</v>
      </c>
      <c r="V48" s="1021">
        <f>(VLOOKUP(YEAR($A48),'NY East Load Projections'!$A$4:$EO$14,((MONTH($A48)-1)*12)+VLOOKUP(V$4,$DE$6:$DF$17,2)+1))*(VLOOKUP($A48,CURVES!$D$9:$K$261,4))*(INDEX(DailyScalarsTable,V$5/100,MONTH($A48)))*$B48</f>
        <v>-237411.59441641561</v>
      </c>
      <c r="W48" s="1021">
        <f>(VLOOKUP(YEAR($A48),'NY East Load Projections'!$A$4:$EO$14,((MONTH($A48)-1)*12)+VLOOKUP(W$4,$DE$6:$DF$17,2)+1))*(VLOOKUP($A48,CURVES!$D$9:$K$261,4))*(INDEX(DailyScalarsTable,W$5/100,MONTH($A48)))*$B48</f>
        <v>-251960.73472559263</v>
      </c>
      <c r="X48" s="1021">
        <f>(VLOOKUP(YEAR($A48),'NY East Load Projections'!$A$4:$EO$14,((MONTH($A48)-1)*12)+VLOOKUP(X$4,$DE$6:$DF$17,2)+1))*(VLOOKUP($A48,CURVES!$D$9:$K$261,4))*(INDEX(DailyScalarsTable,X$5/100,MONTH($A48)))*$B48</f>
        <v>-243520.04420927621</v>
      </c>
      <c r="Y48" s="1021">
        <f>(VLOOKUP(YEAR($A48),'NY East Load Projections'!$A$4:$EO$14,((MONTH($A48)-1)*12)+VLOOKUP(Y$4,$DE$6:$DF$17,2)+1))*(VLOOKUP($A48,CURVES!$D$9:$K$261,4))*(INDEX(DailyScalarsTable,Y$5/100,MONTH($A48)))*$B48</f>
        <v>-237485.60083319515</v>
      </c>
      <c r="Z48" s="1021">
        <f>(VLOOKUP(YEAR($A48),'NY East Load Projections'!$A$4:$EO$14,((MONTH($A48)-1)*12)+VLOOKUP(Z$4,$DE$6:$DF$17,2)+1))*(VLOOKUP($A48,CURVES!$D$9:$K$261,4))*(INDEX(DailyScalarsTable,Z$5/100,MONTH($A48)))*$B48</f>
        <v>-198351.66316663157</v>
      </c>
      <c r="AA48" s="1021">
        <f>(VLOOKUP(YEAR($A48),'NY East Load Projections'!$A$4:$EO$14,((MONTH($A48)-1)*12)+VLOOKUP(AA$4,$DE$6:$DF$17,2)+1))*(VLOOKUP($A48,CURVES!$D$9:$K$261,4))*(INDEX(DailyScalarsTable,AA$5/100,MONTH($A48)))*$B48</f>
        <v>-146772.70813096865</v>
      </c>
      <c r="AB48" s="1021">
        <f>(VLOOKUP(YEAR($A48),'NY East Load Projections'!$A$4:$EO$14,((MONTH($A48)-1)*12)+VLOOKUP(AB$4,$DE$6:$DF$17,2)+1))*(VLOOKUP($A48,CURVES!$D$9:$K$261,4))*(INDEX(DailyScalarsTable,AB$5/100,MONTH($A48)))*$B48</f>
        <v>-143467.06895971231</v>
      </c>
      <c r="AC48" s="1021">
        <f>(VLOOKUP(YEAR($A48),'NY East Load Projections'!$A$4:$EO$14,((MONTH($A48)-1)*12)+VLOOKUP(AC$4,$DE$6:$DF$17,2)+1))*(VLOOKUP($A48,CURVES!$D$9:$K$261,4))*(INDEX(DailyScalarsTable,AC$5/100,MONTH($A48)))*$B48</f>
        <v>-152022.77610428265</v>
      </c>
      <c r="AD48" s="1021">
        <f>(VLOOKUP(YEAR($A48),'NY East Load Projections'!$A$4:$EO$14,((MONTH($A48)-1)*12)+VLOOKUP(AD$4,$DE$6:$DF$17,2)+1))*(VLOOKUP($A48,CURVES!$D$9:$K$261,4))*(INDEX(DailyScalarsTable,AD$5/100,MONTH($A48)))*$B48</f>
        <v>-105573.37954575384</v>
      </c>
      <c r="AE48" s="1021">
        <f>(VLOOKUP(YEAR($A48),'NY East Load Projections'!$A$4:$EO$14,((MONTH($A48)-1)*12)+VLOOKUP(AE$4,$DE$6:$DF$17,2)+1))*(VLOOKUP($A48,CURVES!$D$9:$K$261,8))*(INDEX(DailyScalarsTable,AE$5/100,MONTH($A48)))*$B48</f>
        <v>-71078.354393210451</v>
      </c>
      <c r="AF48" s="1021"/>
      <c r="AG48" s="1021">
        <f>(VLOOKUP(YEAR($A48),'NY East Load Projections'!$A$4:$EO$14,((MONTH($A48)-1)*12)+VLOOKUP(AG$4,$DE$6:$DF$17,2)+1))*(VLOOKUP($A48,CURVES!$D$9:$T$261,8))*(INDEX(DailyScalarsTable,AG$5/100,MONTH($A48)))*$C48</f>
        <v>-13612.695130252798</v>
      </c>
      <c r="AH48" s="1021">
        <f>(VLOOKUP(YEAR($A48),'NY East Load Projections'!$A$4:$EO$14,((MONTH($A48)-1)*12)+VLOOKUP(AH$4,$DE$6:$DF$17,2)+1))*(VLOOKUP($A48,CURVES!$D$9:$T$261,8))*(INDEX(DailyScalarsTable,AH$5/100,MONTH($A48)))*$C48</f>
        <v>-12434.290638571718</v>
      </c>
      <c r="AI48" s="1021">
        <f>(VLOOKUP(YEAR($A48),'NY East Load Projections'!$A$4:$EO$14,((MONTH($A48)-1)*12)+VLOOKUP(AI$4,$DE$6:$DF$17,2)+1))*(VLOOKUP($A48,CURVES!$D$9:$T$261,8))*(INDEX(DailyScalarsTable,AI$5/100,MONTH($A48)))*$C48</f>
        <v>-11847.742456901635</v>
      </c>
      <c r="AJ48" s="1021">
        <f>(VLOOKUP(YEAR($A48),'NY East Load Projections'!$A$4:$EO$14,((MONTH($A48)-1)*12)+VLOOKUP(AJ$4,$DE$6:$DF$17,2)+1))*(VLOOKUP($A48,CURVES!$D$9:$T$261,8))*(INDEX(DailyScalarsTable,AJ$5/100,MONTH($A48)))*$C48</f>
        <v>-10669.337965220555</v>
      </c>
      <c r="AK48" s="1021">
        <f>(VLOOKUP(YEAR($A48),'NY East Load Projections'!$A$4:$EO$14,((MONTH($A48)-1)*12)+VLOOKUP(AK$4,$DE$6:$DF$17,2)+1))*(VLOOKUP($A48,CURVES!$D$9:$T$261,8))*(INDEX(DailyScalarsTable,AK$5/100,MONTH($A48)))*$C48</f>
        <v>-10266.624136142353</v>
      </c>
      <c r="AL48" s="1021">
        <f>(VLOOKUP(YEAR($A48),'NY East Load Projections'!$A$4:$EO$14,((MONTH($A48)-1)*12)+VLOOKUP(AL$4,$DE$6:$DF$17,2)+1))*(VLOOKUP($A48,CURVES!$D$9:$T$261,8))*(INDEX(DailyScalarsTable,AL$5/100,MONTH($A48)))*$C48</f>
        <v>-11318.576451978737</v>
      </c>
      <c r="AM48" s="1021">
        <f>(VLOOKUP(YEAR($A48),'NY East Load Projections'!$A$4:$EO$14,((MONTH($A48)-1)*12)+VLOOKUP(AM$4,$DE$6:$DF$17,2)+1))*(VLOOKUP($A48,CURVES!$D$9:$T$261,8))*(INDEX(DailyScalarsTable,AM$5/100,MONTH($A48)))*$C48</f>
        <v>-12569.619487436337</v>
      </c>
      <c r="AN48" s="1021">
        <f>(VLOOKUP(YEAR($A48),'NY East Load Projections'!$A$4:$EO$14,((MONTH($A48)-1)*12)+VLOOKUP(AN$4,$DE$6:$DF$17,2)+1))*(VLOOKUP($A48,SatSunCurve,4))*(INDEX(DailyScalarsTable,AN$5/100,MONTH($A48)))*$C48</f>
        <v>-11824.946014193903</v>
      </c>
      <c r="AO48" s="1021">
        <f>(VLOOKUP(YEAR($A48),'NY East Load Projections'!$A$4:$EO$14,((MONTH($A48)-1)*12)+VLOOKUP(AO$4,$DE$6:$DF$17,2)+1))*(VLOOKUP($A48,SatSunCurve,4))*(INDEX(DailyScalarsTable,AO$5/100,MONTH($A48)))*$C48</f>
        <v>-14329.439177219716</v>
      </c>
      <c r="AP48" s="1021">
        <f>(VLOOKUP(YEAR($A48),'NY East Load Projections'!$A$4:$EO$14,((MONTH($A48)-1)*12)+VLOOKUP(AP$4,$DE$6:$DF$17,2)+1))*(VLOOKUP($A48,SatSunCurve,4))*(INDEX(DailyScalarsTable,AP$5/100,MONTH($A48)))*$C48</f>
        <v>-17156.266858098803</v>
      </c>
      <c r="AQ48" s="1021">
        <f>(VLOOKUP(YEAR($A48),'NY East Load Projections'!$A$4:$EO$14,((MONTH($A48)-1)*12)+VLOOKUP(AQ$4,$DE$6:$DF$17,2)+1))*(VLOOKUP($A48,SatSunCurve,4))*(INDEX(DailyScalarsTable,AQ$5/100,MONTH($A48)))*$C48</f>
        <v>-19522.023642310291</v>
      </c>
      <c r="AR48" s="1021">
        <f>(VLOOKUP(YEAR($A48),'NY East Load Projections'!$A$4:$EO$14,((MONTH($A48)-1)*12)+VLOOKUP(AR$4,$DE$6:$DF$17,2)+1))*(VLOOKUP($A48,SatSunCurve,4))*(INDEX(DailyScalarsTable,AR$5/100,MONTH($A48)))*$C48</f>
        <v>-23339.449057514539</v>
      </c>
      <c r="AS48" s="1021">
        <f>(VLOOKUP(YEAR($A48),'NY East Load Projections'!$A$4:$EO$14,((MONTH($A48)-1)*12)+VLOOKUP(AS$4,$DE$6:$DF$17,2)+1))*(VLOOKUP($A48,SatSunCurve,4))*(INDEX(DailyScalarsTable,AS$5/100,MONTH($A48)))*$C48</f>
        <v>-26490.641079968645</v>
      </c>
      <c r="AT48" s="1021">
        <f>(VLOOKUP(YEAR($A48),'NY East Load Projections'!$A$4:$EO$14,((MONTH($A48)-1)*12)+VLOOKUP(AT$4,$DE$6:$DF$17,2)+1))*(VLOOKUP($A48,SatSunCurve,4))*(INDEX(DailyScalarsTable,AT$5/100,MONTH($A48)))*$C48</f>
        <v>-27382.232788201778</v>
      </c>
      <c r="AU48" s="1021">
        <f>(VLOOKUP(YEAR($A48),'NY East Load Projections'!$A$4:$EO$14,((MONTH($A48)-1)*12)+VLOOKUP(AU$4,$DE$6:$DF$17,2)+1))*(VLOOKUP($A48,SatSunCurve,4))*(INDEX(DailyScalarsTable,AU$5/100,MONTH($A48)))*$C48</f>
        <v>-28522.640787104618</v>
      </c>
      <c r="AV48" s="1021">
        <f>(VLOOKUP(YEAR($A48),'NY East Load Projections'!$A$4:$EO$14,((MONTH($A48)-1)*12)+VLOOKUP(AV$4,$DE$6:$DF$17,2)+1))*(VLOOKUP($A48,SatSunCurve,4))*(INDEX(DailyScalarsTable,AV$5/100,MONTH($A48)))*$C48</f>
        <v>-30270.575229059352</v>
      </c>
      <c r="AW48" s="1021">
        <f>(VLOOKUP(YEAR($A48),'NY East Load Projections'!$A$4:$EO$14,((MONTH($A48)-1)*12)+VLOOKUP(AW$4,$DE$6:$DF$17,2)+1))*(VLOOKUP($A48,SatSunCurve,4))*(INDEX(DailyScalarsTable,AW$5/100,MONTH($A48)))*$C48</f>
        <v>-29304.088604541736</v>
      </c>
      <c r="AX48" s="1021">
        <f>(VLOOKUP(YEAR($A48),'NY East Load Projections'!$A$4:$EO$14,((MONTH($A48)-1)*12)+VLOOKUP(AX$4,$DE$6:$DF$17,2)+1))*(VLOOKUP($A48,SatSunCurve,4))*(INDEX(DailyScalarsTable,AX$5/100,MONTH($A48)))*$C48</f>
        <v>-28577.931281657042</v>
      </c>
      <c r="AY48" s="1021">
        <f>(VLOOKUP(YEAR($A48),'NY East Load Projections'!$A$4:$EO$14,((MONTH($A48)-1)*12)+VLOOKUP(AY$4,$DE$6:$DF$17,2)+1))*(VLOOKUP($A48,SatSunCurve,4))*(INDEX(DailyScalarsTable,AY$5/100,MONTH($A48)))*$C48</f>
        <v>-23868.732166038993</v>
      </c>
      <c r="AZ48" s="1021">
        <f>(VLOOKUP(YEAR($A48),'NY East Load Projections'!$A$4:$EO$14,((MONTH($A48)-1)*12)+VLOOKUP(AZ$4,$DE$6:$DF$17,2)+1))*(VLOOKUP($A48,SatSunCurve,4))*(INDEX(DailyScalarsTable,AZ$5/100,MONTH($A48)))*$C48</f>
        <v>-17661.956566097782</v>
      </c>
      <c r="BA48" s="1021">
        <f>(VLOOKUP(YEAR($A48),'NY East Load Projections'!$A$4:$EO$14,((MONTH($A48)-1)*12)+VLOOKUP(BA$4,$DE$6:$DF$17,2)+1))*(VLOOKUP($A48,SatSunCurve,4))*(INDEX(DailyScalarsTable,BA$5/100,MONTH($A48)))*$C48</f>
        <v>-18565.087974671518</v>
      </c>
      <c r="BB48" s="1021">
        <f>(VLOOKUP(YEAR($A48),'NY East Load Projections'!$A$4:$EO$14,((MONTH($A48)-1)*12)+VLOOKUP(BB$4,$DE$6:$DF$17,2)+1))*(VLOOKUP($A48,SatSunCurve,4))*(INDEX(DailyScalarsTable,BB$5/100,MONTH($A48)))*$C48</f>
        <v>-19672.223270431117</v>
      </c>
      <c r="BC48" s="1021">
        <f>(VLOOKUP(YEAR($A48),'NY East Load Projections'!$A$4:$EO$14,((MONTH($A48)-1)*12)+VLOOKUP(BC$4,$DE$6:$DF$17,2)+1))*(VLOOKUP($A48,SatSunCurve,4))*(INDEX(DailyScalarsTable,BC$5/100,MONTH($A48)))*$C48</f>
        <v>-13661.525904601131</v>
      </c>
      <c r="BD48" s="1021">
        <f>(VLOOKUP(YEAR($A48),'NY East Load Projections'!$A$4:$EO$14,((MONTH($A48)-1)*12)+VLOOKUP(BD$4,$DE$6:$DF$17,2)+1))*(VLOOKUP($A48,CURVES!$D$9:$T$261,8))*(INDEX(DailyScalarsTable,BD$5/100,MONTH($A48)))*$C48</f>
        <v>-15921.233766714147</v>
      </c>
      <c r="BE48" s="1021"/>
      <c r="BF48" s="1021">
        <f>(VLOOKUP(YEAR($A48),'NY East Load Projections'!$A$4:$EO$14,((MONTH($A48)-1)*12)+VLOOKUP(BF$4,$DE$6:$DF$17,2)+1))*(VLOOKUP($A48,CURVES!$D$9:$T$261,8))*(INDEX(DailyScalarsTable,BF$5/100,MONTH($A48)))*$D48</f>
        <v>-10890.156104202239</v>
      </c>
      <c r="BG48" s="1021">
        <f>(VLOOKUP(YEAR($A48),'NY East Load Projections'!$A$4:$EO$14,((MONTH($A48)-1)*12)+VLOOKUP(BG$4,$DE$6:$DF$17,2)+1))*(VLOOKUP($A48,CURVES!$D$9:$T$261,8))*(INDEX(DailyScalarsTable,BG$5/100,MONTH($A48)))*$D48</f>
        <v>-9947.4325108573739</v>
      </c>
      <c r="BH48" s="1021">
        <f>(VLOOKUP(YEAR($A48),'NY East Load Projections'!$A$4:$EO$14,((MONTH($A48)-1)*12)+VLOOKUP(BH$4,$DE$6:$DF$17,2)+1))*(VLOOKUP($A48,CURVES!$D$9:$T$261,8))*(INDEX(DailyScalarsTable,BH$5/100,MONTH($A48)))*$D48</f>
        <v>-9478.1939655213082</v>
      </c>
      <c r="BI48" s="1021">
        <f>(VLOOKUP(YEAR($A48),'NY East Load Projections'!$A$4:$EO$14,((MONTH($A48)-1)*12)+VLOOKUP(BI$4,$DE$6:$DF$17,2)+1))*(VLOOKUP($A48,CURVES!$D$9:$T$261,8))*(INDEX(DailyScalarsTable,BI$5/100,MONTH($A48)))*$D48</f>
        <v>-8535.4703721764436</v>
      </c>
      <c r="BJ48" s="1021">
        <f>(VLOOKUP(YEAR($A48),'NY East Load Projections'!$A$4:$EO$14,((MONTH($A48)-1)*12)+VLOOKUP(BJ$4,$DE$6:$DF$17,2)+1))*(VLOOKUP($A48,CURVES!$D$9:$T$261,8))*(INDEX(DailyScalarsTable,BJ$5/100,MONTH($A48)))*$D48</f>
        <v>-8213.2993089138818</v>
      </c>
      <c r="BK48" s="1021">
        <f>(VLOOKUP(YEAR($A48),'NY East Load Projections'!$A$4:$EO$14,((MONTH($A48)-1)*12)+VLOOKUP(BK$4,$DE$6:$DF$17,2)+1))*(VLOOKUP($A48,CURVES!$D$9:$T$261,8))*(INDEX(DailyScalarsTable,BK$5/100,MONTH($A48)))*$D48</f>
        <v>-9054.8611615829905</v>
      </c>
      <c r="BL48" s="1021">
        <f>(VLOOKUP(YEAR($A48),'NY East Load Projections'!$A$4:$EO$14,((MONTH($A48)-1)*12)+VLOOKUP(BL$4,$DE$6:$DF$17,2)+1))*(VLOOKUP($A48,CURVES!$D$9:$T$261,8))*(INDEX(DailyScalarsTable,BL$5/100,MONTH($A48)))*$D48</f>
        <v>-10055.695589949069</v>
      </c>
      <c r="BM48" s="1021">
        <f>(VLOOKUP(YEAR($A48),'NY East Load Projections'!$A$4:$EO$14,((MONTH($A48)-1)*12)+VLOOKUP(BM$4,$DE$6:$DF$17,2)+1))*(VLOOKUP($A48,SatSunCurve,8))*(INDEX(DailyScalarsTable,BM$5/100,MONTH($A48)))*$D48</f>
        <v>-7184.4318174991122</v>
      </c>
      <c r="BN48" s="1021">
        <f>(VLOOKUP(YEAR($A48),'NY East Load Projections'!$A$4:$EO$14,((MONTH($A48)-1)*12)+VLOOKUP(BN$4,$DE$6:$DF$17,2)+1))*(VLOOKUP($A48,SatSunCurve,8))*(INDEX(DailyScalarsTable,BN$5/100,MONTH($A48)))*$D48</f>
        <v>-8706.0760047582808</v>
      </c>
      <c r="BO48" s="1021">
        <f>(VLOOKUP(YEAR($A48),'NY East Load Projections'!$A$4:$EO$14,((MONTH($A48)-1)*12)+VLOOKUP(BO$4,$DE$6:$DF$17,2)+1))*(VLOOKUP($A48,SatSunCurve,8))*(INDEX(DailyScalarsTable,BO$5/100,MONTH($A48)))*$D48</f>
        <v>-10423.559594849699</v>
      </c>
      <c r="BP48" s="1021">
        <f>(VLOOKUP(YEAR($A48),'NY East Load Projections'!$A$4:$EO$14,((MONTH($A48)-1)*12)+VLOOKUP(BP$4,$DE$6:$DF$17,2)+1))*(VLOOKUP($A48,SatSunCurve,8))*(INDEX(DailyScalarsTable,BP$5/100,MONTH($A48)))*$D48</f>
        <v>-11860.912314477489</v>
      </c>
      <c r="BQ48" s="1021">
        <f>(VLOOKUP(YEAR($A48),'NY East Load Projections'!$A$4:$EO$14,((MONTH($A48)-1)*12)+VLOOKUP(BQ$4,$DE$6:$DF$17,2)+1))*(VLOOKUP($A48,SatSunCurve,8))*(INDEX(DailyScalarsTable,BQ$5/100,MONTH($A48)))*$D48</f>
        <v>-14180.249128447102</v>
      </c>
      <c r="BR48" s="1021">
        <f>(VLOOKUP(YEAR($A48),'NY East Load Projections'!$A$4:$EO$14,((MONTH($A48)-1)*12)+VLOOKUP(BR$4,$DE$6:$DF$17,2)+1))*(VLOOKUP($A48,SatSunCurve,8))*(INDEX(DailyScalarsTable,BR$5/100,MONTH($A48)))*$D48</f>
        <v>-16094.80537267804</v>
      </c>
      <c r="BS48" s="1021">
        <f>(VLOOKUP(YEAR($A48),'NY East Load Projections'!$A$4:$EO$14,((MONTH($A48)-1)*12)+VLOOKUP(BS$4,$DE$6:$DF$17,2)+1))*(VLOOKUP($A48,SatSunCurve,8))*(INDEX(DailyScalarsTable,BS$5/100,MONTH($A48)))*$D48</f>
        <v>-16636.505929209939</v>
      </c>
      <c r="BT48" s="1021">
        <f>(VLOOKUP(YEAR($A48),'NY East Load Projections'!$A$4:$EO$14,((MONTH($A48)-1)*12)+VLOOKUP(BT$4,$DE$6:$DF$17,2)+1))*(VLOOKUP($A48,SatSunCurve,8))*(INDEX(DailyScalarsTable,BT$5/100,MONTH($A48)))*$D48</f>
        <v>-17329.378734076319</v>
      </c>
      <c r="BU48" s="1021">
        <f>(VLOOKUP(YEAR($A48),'NY East Load Projections'!$A$4:$EO$14,((MONTH($A48)-1)*12)+VLOOKUP(BU$4,$DE$6:$DF$17,2)+1))*(VLOOKUP($A48,SatSunCurve,8))*(INDEX(DailyScalarsTable,BU$5/100,MONTH($A48)))*$D48</f>
        <v>-18391.363778626073</v>
      </c>
      <c r="BV48" s="1021">
        <f>(VLOOKUP(YEAR($A48),'NY East Load Projections'!$A$4:$EO$14,((MONTH($A48)-1)*12)+VLOOKUP(BV$4,$DE$6:$DF$17,2)+1))*(VLOOKUP($A48,SatSunCurve,8))*(INDEX(DailyScalarsTable,BV$5/100,MONTH($A48)))*$D48</f>
        <v>-17804.159638494104</v>
      </c>
      <c r="BW48" s="1021">
        <f>(VLOOKUP(YEAR($A48),'NY East Load Projections'!$A$4:$EO$14,((MONTH($A48)-1)*12)+VLOOKUP(BW$4,$DE$6:$DF$17,2)+1))*(VLOOKUP($A48,SatSunCurve,8))*(INDEX(DailyScalarsTable,BW$5/100,MONTH($A48)))*$D48</f>
        <v>-17362.97134310734</v>
      </c>
      <c r="BX48" s="1021">
        <f>(VLOOKUP(YEAR($A48),'NY East Load Projections'!$A$4:$EO$14,((MONTH($A48)-1)*12)+VLOOKUP(BX$4,$DE$6:$DF$17,2)+1))*(VLOOKUP($A48,SatSunCurve,8))*(INDEX(DailyScalarsTable,BX$5/100,MONTH($A48)))*$D48</f>
        <v>-14501.823400395875</v>
      </c>
      <c r="BY48" s="1021">
        <f>(VLOOKUP(YEAR($A48),'NY East Load Projections'!$A$4:$EO$14,((MONTH($A48)-1)*12)+VLOOKUP(BY$4,$DE$6:$DF$17,2)+1))*(VLOOKUP($A48,SatSunCurve,8))*(INDEX(DailyScalarsTable,BY$5/100,MONTH($A48)))*$D48</f>
        <v>-10730.799325464013</v>
      </c>
      <c r="BZ48" s="1021">
        <f>(VLOOKUP(YEAR($A48),'NY East Load Projections'!$A$4:$EO$14,((MONTH($A48)-1)*12)+VLOOKUP(BZ$4,$DE$6:$DF$17,2)+1))*(VLOOKUP($A48,SatSunCurve,8))*(INDEX(DailyScalarsTable,BZ$5/100,MONTH($A48)))*$D48</f>
        <v>-11279.511008320876</v>
      </c>
      <c r="CA48" s="1021">
        <f>(VLOOKUP(YEAR($A48),'NY East Load Projections'!$A$4:$EO$14,((MONTH($A48)-1)*12)+VLOOKUP(CA$4,$DE$6:$DF$17,2)+1))*(VLOOKUP($A48,SatSunCurve,8))*(INDEX(DailyScalarsTable,CA$5/100,MONTH($A48)))*$D48</f>
        <v>-11952.168459406399</v>
      </c>
      <c r="CB48" s="1021">
        <f>(VLOOKUP(YEAR($A48),'NY East Load Projections'!$A$4:$EO$14,((MONTH($A48)-1)*12)+VLOOKUP(CB$4,$DE$6:$DF$17,2)+1))*(VLOOKUP($A48,SatSunCurve,8))*(INDEX(DailyScalarsTable,CB$5/100,MONTH($A48)))*$D48</f>
        <v>-8300.2747976008868</v>
      </c>
      <c r="CC48" s="1021">
        <f>(VLOOKUP(YEAR($A48),'NY East Load Projections'!$A$4:$EO$14,((MONTH($A48)-1)*12)+VLOOKUP(CC$4,$DE$6:$DF$17,2)+1))*(VLOOKUP($A48,CURVES!$D$9:$T$261,8))*(INDEX(DailyScalarsTable,CC$5/100,MONTH($A48)))*$D48</f>
        <v>-12736.987013371318</v>
      </c>
      <c r="CE48" s="1021">
        <f>(VLOOKUP(YEAR($A48),'NY East Load Projections'!$A$4:$EO$14,((MONTH($A48)-1)*12)+VLOOKUP(CE$4,$DE$6:$DF$17,2)+1))*(VLOOKUP($A48,CURVES!$D$9:$T$261,8))*(INDEX(DailyScalarsTable,CE$5/100,MONTH($A48)))*$E48</f>
        <v>-2722.5390260505596</v>
      </c>
      <c r="CF48" s="1021">
        <f>(VLOOKUP(YEAR($A48),'NY East Load Projections'!$A$4:$EO$14,((MONTH($A48)-1)*12)+VLOOKUP(CF$4,$DE$6:$DF$17,2)+1))*(VLOOKUP($A48,CURVES!$D$9:$T$261,8))*(INDEX(DailyScalarsTable,CF$5/100,MONTH($A48)))*$E48</f>
        <v>-2486.8581277143435</v>
      </c>
      <c r="CG48" s="1021">
        <f>(VLOOKUP(YEAR($A48),'NY East Load Projections'!$A$4:$EO$14,((MONTH($A48)-1)*12)+VLOOKUP(CG$4,$DE$6:$DF$17,2)+1))*(VLOOKUP($A48,CURVES!$D$9:$T$261,8))*(INDEX(DailyScalarsTable,CG$5/100,MONTH($A48)))*$E48</f>
        <v>-2369.5484913803271</v>
      </c>
      <c r="CH48" s="1021">
        <f>(VLOOKUP(YEAR($A48),'NY East Load Projections'!$A$4:$EO$14,((MONTH($A48)-1)*12)+VLOOKUP(CH$4,$DE$6:$DF$17,2)+1))*(VLOOKUP($A48,CURVES!$D$9:$T$261,8))*(INDEX(DailyScalarsTable,CH$5/100,MONTH($A48)))*$E48</f>
        <v>-2133.8675930441109</v>
      </c>
      <c r="CI48" s="1021">
        <f>(VLOOKUP(YEAR($A48),'NY East Load Projections'!$A$4:$EO$14,((MONTH($A48)-1)*12)+VLOOKUP(CI$4,$DE$6:$DF$17,2)+1))*(VLOOKUP($A48,CURVES!$D$9:$T$261,8))*(INDEX(DailyScalarsTable,CI$5/100,MONTH($A48)))*$E48</f>
        <v>-2053.3248272284704</v>
      </c>
      <c r="CJ48" s="1021">
        <f>(VLOOKUP(YEAR($A48),'NY East Load Projections'!$A$4:$EO$14,((MONTH($A48)-1)*12)+VLOOKUP(CJ$4,$DE$6:$DF$17,2)+1))*(VLOOKUP($A48,CURVES!$D$9:$T$261,8))*(INDEX(DailyScalarsTable,CJ$5/100,MONTH($A48)))*$E48</f>
        <v>-2263.7152903957476</v>
      </c>
      <c r="CK48" s="1021">
        <f>(VLOOKUP(YEAR($A48),'NY East Load Projections'!$A$4:$EO$14,((MONTH($A48)-1)*12)+VLOOKUP(CK$4,$DE$6:$DF$17,2)+1))*(VLOOKUP($A48,CURVES!$D$9:$T$261,8))*(INDEX(DailyScalarsTable,CK$5/100,MONTH($A48)))*$E48</f>
        <v>-2513.9238974872674</v>
      </c>
      <c r="CL48" s="1021">
        <f>(VLOOKUP(YEAR($A48),'NY East Load Projections'!$A$4:$EO$14,((MONTH($A48)-1)*12)+VLOOKUP(CL$4,$DE$6:$DF$17,2)+1))*(VLOOKUP($A48,SatSunCurve,8))*(INDEX(DailyScalarsTable,CL$5/100,MONTH($A48)))*$E48</f>
        <v>-1796.107954374778</v>
      </c>
      <c r="CM48" s="1021">
        <f>(VLOOKUP(YEAR($A48),'NY East Load Projections'!$A$4:$EO$14,((MONTH($A48)-1)*12)+VLOOKUP(CM$4,$DE$6:$DF$17,2)+1))*(VLOOKUP($A48,SatSunCurve,8))*(INDEX(DailyScalarsTable,CM$5/100,MONTH($A48)))*$E48</f>
        <v>-2176.5190011895702</v>
      </c>
      <c r="CN48" s="1021">
        <f>(VLOOKUP(YEAR($A48),'NY East Load Projections'!$A$4:$EO$14,((MONTH($A48)-1)*12)+VLOOKUP(CN$4,$DE$6:$DF$17,2)+1))*(VLOOKUP($A48,SatSunCurve,8))*(INDEX(DailyScalarsTable,CN$5/100,MONTH($A48)))*$E48</f>
        <v>-2605.8898987124248</v>
      </c>
      <c r="CO48" s="1021">
        <f>(VLOOKUP(YEAR($A48),'NY East Load Projections'!$A$4:$EO$14,((MONTH($A48)-1)*12)+VLOOKUP(CO$4,$DE$6:$DF$17,2)+1))*(VLOOKUP($A48,SatSunCurve,8))*(INDEX(DailyScalarsTable,CO$5/100,MONTH($A48)))*$E48</f>
        <v>-2965.2280786193724</v>
      </c>
      <c r="CP48" s="1021">
        <f>(VLOOKUP(YEAR($A48),'NY East Load Projections'!$A$4:$EO$14,((MONTH($A48)-1)*12)+VLOOKUP(CP$4,$DE$6:$DF$17,2)+1))*(VLOOKUP($A48,SatSunCurve,8))*(INDEX(DailyScalarsTable,CP$5/100,MONTH($A48)))*$E48</f>
        <v>-3545.0622821117754</v>
      </c>
      <c r="CQ48" s="1021">
        <f>(VLOOKUP(YEAR($A48),'NY East Load Projections'!$A$4:$EO$14,((MONTH($A48)-1)*12)+VLOOKUP(CQ$4,$DE$6:$DF$17,2)+1))*(VLOOKUP($A48,SatSunCurve,8))*(INDEX(DailyScalarsTable,CQ$5/100,MONTH($A48)))*$E48</f>
        <v>-4023.70134316951</v>
      </c>
      <c r="CR48" s="1021">
        <f>(VLOOKUP(YEAR($A48),'NY East Load Projections'!$A$4:$EO$14,((MONTH($A48)-1)*12)+VLOOKUP(CR$4,$DE$6:$DF$17,2)+1))*(VLOOKUP($A48,SatSunCurve,8))*(INDEX(DailyScalarsTable,CR$5/100,MONTH($A48)))*$E48</f>
        <v>-4159.1264823024849</v>
      </c>
      <c r="CS48" s="1021">
        <f>(VLOOKUP(YEAR($A48),'NY East Load Projections'!$A$4:$EO$14,((MONTH($A48)-1)*12)+VLOOKUP(CS$4,$DE$6:$DF$17,2)+1))*(VLOOKUP($A48,SatSunCurve,8))*(INDEX(DailyScalarsTable,CS$5/100,MONTH($A48)))*$E48</f>
        <v>-4332.3446835190798</v>
      </c>
      <c r="CT48" s="1021">
        <f>(VLOOKUP(YEAR($A48),'NY East Load Projections'!$A$4:$EO$14,((MONTH($A48)-1)*12)+VLOOKUP(CT$4,$DE$6:$DF$17,2)+1))*(VLOOKUP($A48,SatSunCurve,8))*(INDEX(DailyScalarsTable,CT$5/100,MONTH($A48)))*$E48</f>
        <v>-4597.8409446565183</v>
      </c>
      <c r="CU48" s="1021">
        <f>(VLOOKUP(YEAR($A48),'NY East Load Projections'!$A$4:$EO$14,((MONTH($A48)-1)*12)+VLOOKUP(CU$4,$DE$6:$DF$17,2)+1))*(VLOOKUP($A48,SatSunCurve,8))*(INDEX(DailyScalarsTable,CU$5/100,MONTH($A48)))*$E48</f>
        <v>-4451.039909623526</v>
      </c>
      <c r="CV48" s="1021">
        <f>(VLOOKUP(YEAR($A48),'NY East Load Projections'!$A$4:$EO$14,((MONTH($A48)-1)*12)+VLOOKUP(CV$4,$DE$6:$DF$17,2)+1))*(VLOOKUP($A48,SatSunCurve,8))*(INDEX(DailyScalarsTable,CV$5/100,MONTH($A48)))*$E48</f>
        <v>-4340.7428357768349</v>
      </c>
      <c r="CW48" s="1021">
        <f>(VLOOKUP(YEAR($A48),'NY East Load Projections'!$A$4:$EO$14,((MONTH($A48)-1)*12)+VLOOKUP(CW$4,$DE$6:$DF$17,2)+1))*(VLOOKUP($A48,SatSunCurve,8))*(INDEX(DailyScalarsTable,CW$5/100,MONTH($A48)))*$E48</f>
        <v>-3625.4558500989688</v>
      </c>
      <c r="CX48" s="1021">
        <f>(VLOOKUP(YEAR($A48),'NY East Load Projections'!$A$4:$EO$14,((MONTH($A48)-1)*12)+VLOOKUP(CX$4,$DE$6:$DF$17,2)+1))*(VLOOKUP($A48,SatSunCurve,8))*(INDEX(DailyScalarsTable,CX$5/100,MONTH($A48)))*$E48</f>
        <v>-2682.6998313660033</v>
      </c>
      <c r="CY48" s="1021">
        <f>(VLOOKUP(YEAR($A48),'NY East Load Projections'!$A$4:$EO$14,((MONTH($A48)-1)*12)+VLOOKUP(CY$4,$DE$6:$DF$17,2)+1))*(VLOOKUP($A48,SatSunCurve,8))*(INDEX(DailyScalarsTable,CY$5/100,MONTH($A48)))*$E48</f>
        <v>-2819.8777520802191</v>
      </c>
      <c r="CZ48" s="1021">
        <f>(VLOOKUP(YEAR($A48),'NY East Load Projections'!$A$4:$EO$14,((MONTH($A48)-1)*12)+VLOOKUP(CZ$4,$DE$6:$DF$17,2)+1))*(VLOOKUP($A48,SatSunCurve,8))*(INDEX(DailyScalarsTable,CZ$5/100,MONTH($A48)))*$E48</f>
        <v>-2988.0421148515998</v>
      </c>
      <c r="DA48" s="1021">
        <f>(VLOOKUP(YEAR($A48),'NY East Load Projections'!$A$4:$EO$14,((MONTH($A48)-1)*12)+VLOOKUP(DA$4,$DE$6:$DF$17,2)+1))*(VLOOKUP($A48,SatSunCurve,8))*(INDEX(DailyScalarsTable,DA$5/100,MONTH($A48)))*$E48</f>
        <v>-2075.0686994002217</v>
      </c>
      <c r="DB48" s="1021">
        <f>(VLOOKUP(YEAR($A48),'NY East Load Projections'!$A$4:$EO$14,((MONTH($A48)-1)*12)+VLOOKUP(DB$4,$DE$6:$DF$17,2)+1))*(VLOOKUP($A48,CURVES!$D$9:$T$261,8))*(INDEX(DailyScalarsTable,DB$5/100,MONTH($A48)))*$E48</f>
        <v>-3184.2467533428294</v>
      </c>
      <c r="DH48" s="1021">
        <f t="shared" si="0"/>
        <v>-4145635.434349142</v>
      </c>
      <c r="DI48">
        <f ca="1">CALC!J68</f>
        <v>0.72655927342574345</v>
      </c>
      <c r="DJ48" s="1029">
        <f t="shared" ca="1" si="1"/>
        <v>-3012049.8690687288</v>
      </c>
    </row>
    <row r="49" spans="1:114" x14ac:dyDescent="0.25">
      <c r="A49" s="244">
        <v>38200</v>
      </c>
      <c r="B49" s="13">
        <v>22</v>
      </c>
      <c r="C49" s="210">
        <v>4</v>
      </c>
      <c r="D49" s="210">
        <v>5</v>
      </c>
      <c r="E49" s="210">
        <v>0</v>
      </c>
      <c r="F49" s="13">
        <v>31</v>
      </c>
      <c r="H49" s="1021">
        <f>(VLOOKUP(YEAR($A49),'NY East Load Projections'!$A$4:$EO$14,((MONTH($A49)-1)*12)+VLOOKUP(H$4,$DE$6:$DF$17,2)+1))*(VLOOKUP($A49,CURVES!$D$9:$K$261,8))*(INDEX(DailyScalarsTable,H$5/100,MONTH($A49)))*$B49</f>
        <v>-63050.425889587947</v>
      </c>
      <c r="I49" s="1021">
        <f>(VLOOKUP(YEAR($A49),'NY East Load Projections'!$A$4:$EO$14,((MONTH($A49)-1)*12)+VLOOKUP(I$4,$DE$6:$DF$17,2)+1))*(VLOOKUP($A49,CURVES!$D$9:$K$261,8))*(INDEX(DailyScalarsTable,I$5/100,MONTH($A49)))*$B49</f>
        <v>-56916.723804873523</v>
      </c>
      <c r="J49" s="1021">
        <f>(VLOOKUP(YEAR($A49),'NY East Load Projections'!$A$4:$EO$14,((MONTH($A49)-1)*12)+VLOOKUP(J$4,$DE$6:$DF$17,2)+1))*(VLOOKUP($A49,CURVES!$D$9:$K$261,8))*(INDEX(DailyScalarsTable,J$5/100,MONTH($A49)))*$B49</f>
        <v>-51114.184039286891</v>
      </c>
      <c r="K49" s="1021">
        <f>(VLOOKUP(YEAR($A49),'NY East Load Projections'!$A$4:$EO$14,((MONTH($A49)-1)*12)+VLOOKUP(K$4,$DE$6:$DF$17,2)+1))*(VLOOKUP($A49,CURVES!$D$9:$K$261,8))*(INDEX(DailyScalarsTable,K$5/100,MONTH($A49)))*$B49</f>
        <v>-48090.528082033277</v>
      </c>
      <c r="L49" s="1021">
        <f>(VLOOKUP(YEAR($A49),'NY East Load Projections'!$A$4:$EO$14,((MONTH($A49)-1)*12)+VLOOKUP(L$4,$DE$6:$DF$17,2)+1))*(VLOOKUP($A49,CURVES!$D$9:$K$261,8))*(INDEX(DailyScalarsTable,L$5/100,MONTH($A49)))*$B49</f>
        <v>-54526.872367776625</v>
      </c>
      <c r="M49" s="1021">
        <f>(VLOOKUP(YEAR($A49),'NY East Load Projections'!$A$4:$EO$14,((MONTH($A49)-1)*12)+VLOOKUP(M$4,$DE$6:$DF$17,2)+1))*(VLOOKUP($A49,CURVES!$D$9:$K$261,8))*(INDEX(DailyScalarsTable,M$5/100,MONTH($A49)))*$B49</f>
        <v>-60581.91876569821</v>
      </c>
      <c r="N49" s="1021">
        <f>(VLOOKUP(YEAR($A49),'NY East Load Projections'!$A$4:$EO$14,((MONTH($A49)-1)*12)+VLOOKUP(N$4,$DE$6:$DF$17,2)+1))*(VLOOKUP($A49,CURVES!$D$9:$K$261,8))*(INDEX(DailyScalarsTable,N$5/100,MONTH($A49)))*$B49</f>
        <v>-70490.176507751632</v>
      </c>
      <c r="O49" s="1021">
        <f>(VLOOKUP(YEAR($A49),'NY East Load Projections'!$A$4:$EO$14,((MONTH($A49)-1)*12)+VLOOKUP(O$4,$DE$6:$DF$17,2)+1))*(VLOOKUP($A49,CURVES!$D$9:$K$261,4))*(INDEX(DailyScalarsTable,O$5/100,MONTH($A49)))*$B49</f>
        <v>-109645.3618800673</v>
      </c>
      <c r="P49" s="1021">
        <f>(VLOOKUP(YEAR($A49),'NY East Load Projections'!$A$4:$EO$14,((MONTH($A49)-1)*12)+VLOOKUP(P$4,$DE$6:$DF$17,2)+1))*(VLOOKUP($A49,CURVES!$D$9:$K$261,4))*(INDEX(DailyScalarsTable,P$5/100,MONTH($A49)))*$B49</f>
        <v>-135670.29498069553</v>
      </c>
      <c r="Q49" s="1021">
        <f>(VLOOKUP(YEAR($A49),'NY East Load Projections'!$A$4:$EO$14,((MONTH($A49)-1)*12)+VLOOKUP(Q$4,$DE$6:$DF$17,2)+1))*(VLOOKUP($A49,CURVES!$D$9:$K$261,4))*(INDEX(DailyScalarsTable,Q$5/100,MONTH($A49)))*$B49</f>
        <v>-173988.80670622754</v>
      </c>
      <c r="R49" s="1021">
        <f>(VLOOKUP(YEAR($A49),'NY East Load Projections'!$A$4:$EO$14,((MONTH($A49)-1)*12)+VLOOKUP(R$4,$DE$6:$DF$17,2)+1))*(VLOOKUP($A49,CURVES!$D$9:$K$261,4))*(INDEX(DailyScalarsTable,R$5/100,MONTH($A49)))*$B49</f>
        <v>-196372.88781322146</v>
      </c>
      <c r="S49" s="1021">
        <f>(VLOOKUP(YEAR($A49),'NY East Load Projections'!$A$4:$EO$14,((MONTH($A49)-1)*12)+VLOOKUP(S$4,$DE$6:$DF$17,2)+1))*(VLOOKUP($A49,CURVES!$D$9:$K$261,4))*(INDEX(DailyScalarsTable,S$5/100,MONTH($A49)))*$B49</f>
        <v>-204694.20158068018</v>
      </c>
      <c r="T49" s="1021">
        <f>(VLOOKUP(YEAR($A49),'NY East Load Projections'!$A$4:$EO$14,((MONTH($A49)-1)*12)+VLOOKUP(T$4,$DE$6:$DF$17,2)+1))*(VLOOKUP($A49,CURVES!$D$9:$K$261,4))*(INDEX(DailyScalarsTable,T$5/100,MONTH($A49)))*$B49</f>
        <v>-208540.25513827041</v>
      </c>
      <c r="U49" s="1021">
        <f>(VLOOKUP(YEAR($A49),'NY East Load Projections'!$A$4:$EO$14,((MONTH($A49)-1)*12)+VLOOKUP(U$4,$DE$6:$DF$17,2)+1))*(VLOOKUP($A49,CURVES!$D$9:$K$261,4))*(INDEX(DailyScalarsTable,U$5/100,MONTH($A49)))*$B49</f>
        <v>-228929.35717881622</v>
      </c>
      <c r="V49" s="1021">
        <f>(VLOOKUP(YEAR($A49),'NY East Load Projections'!$A$4:$EO$14,((MONTH($A49)-1)*12)+VLOOKUP(V$4,$DE$6:$DF$17,2)+1))*(VLOOKUP($A49,CURVES!$D$9:$K$261,4))*(INDEX(DailyScalarsTable,V$5/100,MONTH($A49)))*$B49</f>
        <v>-242357.59380934131</v>
      </c>
      <c r="W49" s="1021">
        <f>(VLOOKUP(YEAR($A49),'NY East Load Projections'!$A$4:$EO$14,((MONTH($A49)-1)*12)+VLOOKUP(W$4,$DE$6:$DF$17,2)+1))*(VLOOKUP($A49,CURVES!$D$9:$K$261,4))*(INDEX(DailyScalarsTable,W$5/100,MONTH($A49)))*$B49</f>
        <v>-238981.05461791335</v>
      </c>
      <c r="X49" s="1021">
        <f>(VLOOKUP(YEAR($A49),'NY East Load Projections'!$A$4:$EO$14,((MONTH($A49)-1)*12)+VLOOKUP(X$4,$DE$6:$DF$17,2)+1))*(VLOOKUP($A49,CURVES!$D$9:$K$261,4))*(INDEX(DailyScalarsTable,X$5/100,MONTH($A49)))*$B49</f>
        <v>-220052.20538050326</v>
      </c>
      <c r="Y49" s="1021">
        <f>(VLOOKUP(YEAR($A49),'NY East Load Projections'!$A$4:$EO$14,((MONTH($A49)-1)*12)+VLOOKUP(Y$4,$DE$6:$DF$17,2)+1))*(VLOOKUP($A49,CURVES!$D$9:$K$261,4))*(INDEX(DailyScalarsTable,Y$5/100,MONTH($A49)))*$B49</f>
        <v>-203781.94558752637</v>
      </c>
      <c r="Z49" s="1021">
        <f>(VLOOKUP(YEAR($A49),'NY East Load Projections'!$A$4:$EO$14,((MONTH($A49)-1)*12)+VLOOKUP(Z$4,$DE$6:$DF$17,2)+1))*(VLOOKUP($A49,CURVES!$D$9:$K$261,4))*(INDEX(DailyScalarsTable,Z$5/100,MONTH($A49)))*$B49</f>
        <v>-166103.44922484289</v>
      </c>
      <c r="AA49" s="1021">
        <f>(VLOOKUP(YEAR($A49),'NY East Load Projections'!$A$4:$EO$14,((MONTH($A49)-1)*12)+VLOOKUP(AA$4,$DE$6:$DF$17,2)+1))*(VLOOKUP($A49,CURVES!$D$9:$K$261,4))*(INDEX(DailyScalarsTable,AA$5/100,MONTH($A49)))*$B49</f>
        <v>-151227.78312840682</v>
      </c>
      <c r="AB49" s="1021">
        <f>(VLOOKUP(YEAR($A49),'NY East Load Projections'!$A$4:$EO$14,((MONTH($A49)-1)*12)+VLOOKUP(AB$4,$DE$6:$DF$17,2)+1))*(VLOOKUP($A49,CURVES!$D$9:$K$261,4))*(INDEX(DailyScalarsTable,AB$5/100,MONTH($A49)))*$B49</f>
        <v>-167405.25816290674</v>
      </c>
      <c r="AC49" s="1021">
        <f>(VLOOKUP(YEAR($A49),'NY East Load Projections'!$A$4:$EO$14,((MONTH($A49)-1)*12)+VLOOKUP(AC$4,$DE$6:$DF$17,2)+1))*(VLOOKUP($A49,CURVES!$D$9:$K$261,4))*(INDEX(DailyScalarsTable,AC$5/100,MONTH($A49)))*$B49</f>
        <v>-142349.35993716121</v>
      </c>
      <c r="AD49" s="1021">
        <f>(VLOOKUP(YEAR($A49),'NY East Load Projections'!$A$4:$EO$14,((MONTH($A49)-1)*12)+VLOOKUP(AD$4,$DE$6:$DF$17,2)+1))*(VLOOKUP($A49,CURVES!$D$9:$K$261,4))*(INDEX(DailyScalarsTable,AD$5/100,MONTH($A49)))*$B49</f>
        <v>-115270.04724988631</v>
      </c>
      <c r="AE49" s="1021">
        <f>(VLOOKUP(YEAR($A49),'NY East Load Projections'!$A$4:$EO$14,((MONTH($A49)-1)*12)+VLOOKUP(AE$4,$DE$6:$DF$17,2)+1))*(VLOOKUP($A49,CURVES!$D$9:$K$261,8))*(INDEX(DailyScalarsTable,AE$5/100,MONTH($A49)))*$B49</f>
        <v>-77034.87410996281</v>
      </c>
      <c r="AF49" s="1021"/>
      <c r="AG49" s="1021">
        <f>(VLOOKUP(YEAR($A49),'NY East Load Projections'!$A$4:$EO$14,((MONTH($A49)-1)*12)+VLOOKUP(AG$4,$DE$6:$DF$17,2)+1))*(VLOOKUP($A49,CURVES!$D$9:$T$261,8))*(INDEX(DailyScalarsTable,AG$5/100,MONTH($A49)))*$C49</f>
        <v>-11277.547111756547</v>
      </c>
      <c r="AH49" s="1021">
        <f>(VLOOKUP(YEAR($A49),'NY East Load Projections'!$A$4:$EO$14,((MONTH($A49)-1)*12)+VLOOKUP(AH$4,$DE$6:$DF$17,2)+1))*(VLOOKUP($A49,CURVES!$D$9:$T$261,8))*(INDEX(DailyScalarsTable,AH$5/100,MONTH($A49)))*$C49</f>
        <v>-10180.439308694597</v>
      </c>
      <c r="AI49" s="1021">
        <f>(VLOOKUP(YEAR($A49),'NY East Load Projections'!$A$4:$EO$14,((MONTH($A49)-1)*12)+VLOOKUP(AI$4,$DE$6:$DF$17,2)+1))*(VLOOKUP($A49,CURVES!$D$9:$T$261,8))*(INDEX(DailyScalarsTable,AI$5/100,MONTH($A49)))*$C49</f>
        <v>-9142.5650255162727</v>
      </c>
      <c r="AJ49" s="1021">
        <f>(VLOOKUP(YEAR($A49),'NY East Load Projections'!$A$4:$EO$14,((MONTH($A49)-1)*12)+VLOOKUP(AJ$4,$DE$6:$DF$17,2)+1))*(VLOOKUP($A49,CURVES!$D$9:$T$261,8))*(INDEX(DailyScalarsTable,AJ$5/100,MONTH($A49)))*$C49</f>
        <v>-8601.7372352744624</v>
      </c>
      <c r="AK49" s="1021">
        <f>(VLOOKUP(YEAR($A49),'NY East Load Projections'!$A$4:$EO$14,((MONTH($A49)-1)*12)+VLOOKUP(AK$4,$DE$6:$DF$17,2)+1))*(VLOOKUP($A49,CURVES!$D$9:$T$261,8))*(INDEX(DailyScalarsTable,AK$5/100,MONTH($A49)))*$C49</f>
        <v>-9070.5037982717167</v>
      </c>
      <c r="AL49" s="1021">
        <f>(VLOOKUP(YEAR($A49),'NY East Load Projections'!$A$4:$EO$14,((MONTH($A49)-1)*12)+VLOOKUP(AL$4,$DE$6:$DF$17,2)+1))*(VLOOKUP($A49,CURVES!$D$9:$T$261,8))*(INDEX(DailyScalarsTable,AL$5/100,MONTH($A49)))*$C49</f>
        <v>-10077.756166986637</v>
      </c>
      <c r="AM49" s="1021">
        <f>(VLOOKUP(YEAR($A49),'NY East Load Projections'!$A$4:$EO$14,((MONTH($A49)-1)*12)+VLOOKUP(AM$4,$DE$6:$DF$17,2)+1))*(VLOOKUP($A49,CURVES!$D$9:$T$261,8))*(INDEX(DailyScalarsTable,AM$5/100,MONTH($A49)))*$C49</f>
        <v>-11725.98731579286</v>
      </c>
      <c r="AN49" s="1021">
        <f>(VLOOKUP(YEAR($A49),'NY East Load Projections'!$A$4:$EO$14,((MONTH($A49)-1)*12)+VLOOKUP(AN$4,$DE$6:$DF$17,2)+1))*(VLOOKUP($A49,SatSunCurve,4))*(INDEX(DailyScalarsTable,AN$5/100,MONTH($A49)))*$C49</f>
        <v>-11821.921205420518</v>
      </c>
      <c r="AO49" s="1021">
        <f>(VLOOKUP(YEAR($A49),'NY East Load Projections'!$A$4:$EO$14,((MONTH($A49)-1)*12)+VLOOKUP(AO$4,$DE$6:$DF$17,2)+1))*(VLOOKUP($A49,SatSunCurve,4))*(INDEX(DailyScalarsTable,AO$5/100,MONTH($A49)))*$C49</f>
        <v>-14258.824633708131</v>
      </c>
      <c r="AP49" s="1021">
        <f>(VLOOKUP(YEAR($A49),'NY East Load Projections'!$A$4:$EO$14,((MONTH($A49)-1)*12)+VLOOKUP(AP$4,$DE$6:$DF$17,2)+1))*(VLOOKUP($A49,SatSunCurve,4))*(INDEX(DailyScalarsTable,AP$5/100,MONTH($A49)))*$C49</f>
        <v>-18286.065371975808</v>
      </c>
      <c r="AQ49" s="1021">
        <f>(VLOOKUP(YEAR($A49),'NY East Load Projections'!$A$4:$EO$14,((MONTH($A49)-1)*12)+VLOOKUP(AQ$4,$DE$6:$DF$17,2)+1))*(VLOOKUP($A49,SatSunCurve,4))*(INDEX(DailyScalarsTable,AQ$5/100,MONTH($A49)))*$C49</f>
        <v>-20638.611941854939</v>
      </c>
      <c r="AR49" s="1021">
        <f>(VLOOKUP(YEAR($A49),'NY East Load Projections'!$A$4:$EO$14,((MONTH($A49)-1)*12)+VLOOKUP(AR$4,$DE$6:$DF$17,2)+1))*(VLOOKUP($A49,SatSunCurve,4))*(INDEX(DailyScalarsTable,AR$5/100,MONTH($A49)))*$C49</f>
        <v>-21513.174452013398</v>
      </c>
      <c r="AS49" s="1021">
        <f>(VLOOKUP(YEAR($A49),'NY East Load Projections'!$A$4:$EO$14,((MONTH($A49)-1)*12)+VLOOKUP(AS$4,$DE$6:$DF$17,2)+1))*(VLOOKUP($A49,SatSunCurve,4))*(INDEX(DailyScalarsTable,AS$5/100,MONTH($A49)))*$C49</f>
        <v>-22039.658061237686</v>
      </c>
      <c r="AT49" s="1021">
        <f>(VLOOKUP(YEAR($A49),'NY East Load Projections'!$A$4:$EO$14,((MONTH($A49)-1)*12)+VLOOKUP(AT$4,$DE$6:$DF$17,2)+1))*(VLOOKUP($A49,SatSunCurve,4))*(INDEX(DailyScalarsTable,AT$5/100,MONTH($A49)))*$C49</f>
        <v>-24194.488249065758</v>
      </c>
      <c r="AU49" s="1021">
        <f>(VLOOKUP(YEAR($A49),'NY East Load Projections'!$A$4:$EO$14,((MONTH($A49)-1)*12)+VLOOKUP(AU$4,$DE$6:$DF$17,2)+1))*(VLOOKUP($A49,SatSunCurve,4))*(INDEX(DailyScalarsTable,AU$5/100,MONTH($A49)))*$C49</f>
        <v>-25613.656665762719</v>
      </c>
      <c r="AV49" s="1021">
        <f>(VLOOKUP(YEAR($A49),'NY East Load Projections'!$A$4:$EO$14,((MONTH($A49)-1)*12)+VLOOKUP(AV$4,$DE$6:$DF$17,2)+1))*(VLOOKUP($A49,SatSunCurve,4))*(INDEX(DailyScalarsTable,AV$5/100,MONTH($A49)))*$C49</f>
        <v>-25256.805806631957</v>
      </c>
      <c r="AW49" s="1021">
        <f>(VLOOKUP(YEAR($A49),'NY East Load Projections'!$A$4:$EO$14,((MONTH($A49)-1)*12)+VLOOKUP(AW$4,$DE$6:$DF$17,2)+1))*(VLOOKUP($A49,SatSunCurve,4))*(INDEX(DailyScalarsTable,AW$5/100,MONTH($A49)))*$C49</f>
        <v>-23404.811369005572</v>
      </c>
      <c r="AX49" s="1021">
        <f>(VLOOKUP(YEAR($A49),'NY East Load Projections'!$A$4:$EO$14,((MONTH($A49)-1)*12)+VLOOKUP(AX$4,$DE$6:$DF$17,2)+1))*(VLOOKUP($A49,SatSunCurve,4))*(INDEX(DailyScalarsTable,AX$5/100,MONTH($A49)))*$C49</f>
        <v>-21674.302189509392</v>
      </c>
      <c r="AY49" s="1021">
        <f>(VLOOKUP(YEAR($A49),'NY East Load Projections'!$A$4:$EO$14,((MONTH($A49)-1)*12)+VLOOKUP(AY$4,$DE$6:$DF$17,2)+1))*(VLOOKUP($A49,SatSunCurve,4))*(INDEX(DailyScalarsTable,AY$5/100,MONTH($A49)))*$C49</f>
        <v>-17666.80724751822</v>
      </c>
      <c r="AZ49" s="1021">
        <f>(VLOOKUP(YEAR($A49),'NY East Load Projections'!$A$4:$EO$14,((MONTH($A49)-1)*12)+VLOOKUP(AZ$4,$DE$6:$DF$17,2)+1))*(VLOOKUP($A49,SatSunCurve,4))*(INDEX(DailyScalarsTable,AZ$5/100,MONTH($A49)))*$C49</f>
        <v>-16084.627426264564</v>
      </c>
      <c r="BA49" s="1021">
        <f>(VLOOKUP(YEAR($A49),'NY East Load Projections'!$A$4:$EO$14,((MONTH($A49)-1)*12)+VLOOKUP(BA$4,$DE$6:$DF$17,2)+1))*(VLOOKUP($A49,SatSunCurve,4))*(INDEX(DailyScalarsTable,BA$5/100,MONTH($A49)))*$C49</f>
        <v>-19183.026042360972</v>
      </c>
      <c r="BB49" s="1021">
        <f>(VLOOKUP(YEAR($A49),'NY East Load Projections'!$A$4:$EO$14,((MONTH($A49)-1)*12)+VLOOKUP(BB$4,$DE$6:$DF$17,2)+1))*(VLOOKUP($A49,SatSunCurve,4))*(INDEX(DailyScalarsTable,BB$5/100,MONTH($A49)))*$C49</f>
        <v>-16311.862057108545</v>
      </c>
      <c r="BC49" s="1021">
        <f>(VLOOKUP(YEAR($A49),'NY East Load Projections'!$A$4:$EO$14,((MONTH($A49)-1)*12)+VLOOKUP(BC$4,$DE$6:$DF$17,2)+1))*(VLOOKUP($A49,SatSunCurve,4))*(INDEX(DailyScalarsTable,BC$5/100,MONTH($A49)))*$C49</f>
        <v>-13208.834313596888</v>
      </c>
      <c r="BD49" s="1021">
        <f>(VLOOKUP(YEAR($A49),'NY East Load Projections'!$A$4:$EO$14,((MONTH($A49)-1)*12)+VLOOKUP(BD$4,$DE$6:$DF$17,2)+1))*(VLOOKUP($A49,CURVES!$D$9:$T$261,8))*(INDEX(DailyScalarsTable,BD$5/100,MONTH($A49)))*$C49</f>
        <v>-13619.414119696365</v>
      </c>
      <c r="BE49" s="1021"/>
      <c r="BF49" s="1021">
        <f>(VLOOKUP(YEAR($A49),'NY East Load Projections'!$A$4:$EO$14,((MONTH($A49)-1)*12)+VLOOKUP(BF$4,$DE$6:$DF$17,2)+1))*(VLOOKUP($A49,CURVES!$D$9:$T$261,8))*(INDEX(DailyScalarsTable,BF$5/100,MONTH($A49)))*$D49</f>
        <v>-14096.933889695683</v>
      </c>
      <c r="BG49" s="1021">
        <f>(VLOOKUP(YEAR($A49),'NY East Load Projections'!$A$4:$EO$14,((MONTH($A49)-1)*12)+VLOOKUP(BG$4,$DE$6:$DF$17,2)+1))*(VLOOKUP($A49,CURVES!$D$9:$T$261,8))*(INDEX(DailyScalarsTable,BG$5/100,MONTH($A49)))*$D49</f>
        <v>-12725.549135868245</v>
      </c>
      <c r="BH49" s="1021">
        <f>(VLOOKUP(YEAR($A49),'NY East Load Projections'!$A$4:$EO$14,((MONTH($A49)-1)*12)+VLOOKUP(BH$4,$DE$6:$DF$17,2)+1))*(VLOOKUP($A49,CURVES!$D$9:$T$261,8))*(INDEX(DailyScalarsTable,BH$5/100,MONTH($A49)))*$D49</f>
        <v>-11428.206281895342</v>
      </c>
      <c r="BI49" s="1021">
        <f>(VLOOKUP(YEAR($A49),'NY East Load Projections'!$A$4:$EO$14,((MONTH($A49)-1)*12)+VLOOKUP(BI$4,$DE$6:$DF$17,2)+1))*(VLOOKUP($A49,CURVES!$D$9:$T$261,8))*(INDEX(DailyScalarsTable,BI$5/100,MONTH($A49)))*$D49</f>
        <v>-10752.171544093078</v>
      </c>
      <c r="BJ49" s="1021">
        <f>(VLOOKUP(YEAR($A49),'NY East Load Projections'!$A$4:$EO$14,((MONTH($A49)-1)*12)+VLOOKUP(BJ$4,$DE$6:$DF$17,2)+1))*(VLOOKUP($A49,CURVES!$D$9:$T$261,8))*(INDEX(DailyScalarsTable,BJ$5/100,MONTH($A49)))*$D49</f>
        <v>-11338.129747839646</v>
      </c>
      <c r="BK49" s="1021">
        <f>(VLOOKUP(YEAR($A49),'NY East Load Projections'!$A$4:$EO$14,((MONTH($A49)-1)*12)+VLOOKUP(BK$4,$DE$6:$DF$17,2)+1))*(VLOOKUP($A49,CURVES!$D$9:$T$261,8))*(INDEX(DailyScalarsTable,BK$5/100,MONTH($A49)))*$D49</f>
        <v>-12597.195208733297</v>
      </c>
      <c r="BL49" s="1021">
        <f>(VLOOKUP(YEAR($A49),'NY East Load Projections'!$A$4:$EO$14,((MONTH($A49)-1)*12)+VLOOKUP(BL$4,$DE$6:$DF$17,2)+1))*(VLOOKUP($A49,CURVES!$D$9:$T$261,8))*(INDEX(DailyScalarsTable,BL$5/100,MONTH($A49)))*$D49</f>
        <v>-14657.484144741074</v>
      </c>
      <c r="BM49" s="1021">
        <f>(VLOOKUP(YEAR($A49),'NY East Load Projections'!$A$4:$EO$14,((MONTH($A49)-1)*12)+VLOOKUP(BM$4,$DE$6:$DF$17,2)+1))*(VLOOKUP($A49,SatSunCurve,8))*(INDEX(DailyScalarsTable,BM$5/100,MONTH($A49)))*$D49</f>
        <v>-11150.169074987261</v>
      </c>
      <c r="BN49" s="1021">
        <f>(VLOOKUP(YEAR($A49),'NY East Load Projections'!$A$4:$EO$14,((MONTH($A49)-1)*12)+VLOOKUP(BN$4,$DE$6:$DF$17,2)+1))*(VLOOKUP($A49,SatSunCurve,8))*(INDEX(DailyScalarsTable,BN$5/100,MONTH($A49)))*$D49</f>
        <v>-13448.601349460912</v>
      </c>
      <c r="BO49" s="1021">
        <f>(VLOOKUP(YEAR($A49),'NY East Load Projections'!$A$4:$EO$14,((MONTH($A49)-1)*12)+VLOOKUP(BO$4,$DE$6:$DF$17,2)+1))*(VLOOKUP($A49,SatSunCurve,8))*(INDEX(DailyScalarsTable,BO$5/100,MONTH($A49)))*$D49</f>
        <v>-17247.003855880241</v>
      </c>
      <c r="BP49" s="1021">
        <f>(VLOOKUP(YEAR($A49),'NY East Load Projections'!$A$4:$EO$14,((MONTH($A49)-1)*12)+VLOOKUP(BP$4,$DE$6:$DF$17,2)+1))*(VLOOKUP($A49,SatSunCurve,8))*(INDEX(DailyScalarsTable,BP$5/100,MONTH($A49)))*$D49</f>
        <v>-19465.872646758853</v>
      </c>
      <c r="BQ49" s="1021">
        <f>(VLOOKUP(YEAR($A49),'NY East Load Projections'!$A$4:$EO$14,((MONTH($A49)-1)*12)+VLOOKUP(BQ$4,$DE$6:$DF$17,2)+1))*(VLOOKUP($A49,SatSunCurve,8))*(INDEX(DailyScalarsTable,BQ$5/100,MONTH($A49)))*$D49</f>
        <v>-20290.740253763448</v>
      </c>
      <c r="BR49" s="1021">
        <f>(VLOOKUP(YEAR($A49),'NY East Load Projections'!$A$4:$EO$14,((MONTH($A49)-1)*12)+VLOOKUP(BR$4,$DE$6:$DF$17,2)+1))*(VLOOKUP($A49,SatSunCurve,8))*(INDEX(DailyScalarsTable,BR$5/100,MONTH($A49)))*$D49</f>
        <v>-20787.307703000773</v>
      </c>
      <c r="BS49" s="1021">
        <f>(VLOOKUP(YEAR($A49),'NY East Load Projections'!$A$4:$EO$14,((MONTH($A49)-1)*12)+VLOOKUP(BS$4,$DE$6:$DF$17,2)+1))*(VLOOKUP($A49,SatSunCurve,8))*(INDEX(DailyScalarsTable,BS$5/100,MONTH($A49)))*$D49</f>
        <v>-22819.694867885024</v>
      </c>
      <c r="BT49" s="1021">
        <f>(VLOOKUP(YEAR($A49),'NY East Load Projections'!$A$4:$EO$14,((MONTH($A49)-1)*12)+VLOOKUP(BT$4,$DE$6:$DF$17,2)+1))*(VLOOKUP($A49,SatSunCurve,8))*(INDEX(DailyScalarsTable,BT$5/100,MONTH($A49)))*$D49</f>
        <v>-24158.222465649553</v>
      </c>
      <c r="BU49" s="1021">
        <f>(VLOOKUP(YEAR($A49),'NY East Load Projections'!$A$4:$EO$14,((MONTH($A49)-1)*12)+VLOOKUP(BU$4,$DE$6:$DF$17,2)+1))*(VLOOKUP($A49,SatSunCurve,8))*(INDEX(DailyScalarsTable,BU$5/100,MONTH($A49)))*$D49</f>
        <v>-23821.648795031779</v>
      </c>
      <c r="BV49" s="1021">
        <f>(VLOOKUP(YEAR($A49),'NY East Load Projections'!$A$4:$EO$14,((MONTH($A49)-1)*12)+VLOOKUP(BV$4,$DE$6:$DF$17,2)+1))*(VLOOKUP($A49,SatSunCurve,8))*(INDEX(DailyScalarsTable,BV$5/100,MONTH($A49)))*$D49</f>
        <v>-22074.889469990623</v>
      </c>
      <c r="BW49" s="1021">
        <f>(VLOOKUP(YEAR($A49),'NY East Load Projections'!$A$4:$EO$14,((MONTH($A49)-1)*12)+VLOOKUP(BW$4,$DE$6:$DF$17,2)+1))*(VLOOKUP($A49,SatSunCurve,8))*(INDEX(DailyScalarsTable,BW$5/100,MONTH($A49)))*$D49</f>
        <v>-20442.712296592385</v>
      </c>
      <c r="BX49" s="1021">
        <f>(VLOOKUP(YEAR($A49),'NY East Load Projections'!$A$4:$EO$14,((MONTH($A49)-1)*12)+VLOOKUP(BX$4,$DE$6:$DF$17,2)+1))*(VLOOKUP($A49,SatSunCurve,8))*(INDEX(DailyScalarsTable,BX$5/100,MONTH($A49)))*$D49</f>
        <v>-16662.933579249097</v>
      </c>
      <c r="BY49" s="1021">
        <f>(VLOOKUP(YEAR($A49),'NY East Load Projections'!$A$4:$EO$14,((MONTH($A49)-1)*12)+VLOOKUP(BY$4,$DE$6:$DF$17,2)+1))*(VLOOKUP($A49,SatSunCurve,8))*(INDEX(DailyScalarsTable,BY$5/100,MONTH($A49)))*$D49</f>
        <v>-15170.657306427847</v>
      </c>
      <c r="BZ49" s="1021">
        <f>(VLOOKUP(YEAR($A49),'NY East Load Projections'!$A$4:$EO$14,((MONTH($A49)-1)*12)+VLOOKUP(BZ$4,$DE$6:$DF$17,2)+1))*(VLOOKUP($A49,SatSunCurve,8))*(INDEX(DailyScalarsTable,BZ$5/100,MONTH($A49)))*$D49</f>
        <v>-18092.996901733295</v>
      </c>
      <c r="CA49" s="1021">
        <f>(VLOOKUP(YEAR($A49),'NY East Load Projections'!$A$4:$EO$14,((MONTH($A49)-1)*12)+VLOOKUP(CA$4,$DE$6:$DF$17,2)+1))*(VLOOKUP($A49,SatSunCurve,8))*(INDEX(DailyScalarsTable,CA$5/100,MONTH($A49)))*$D49</f>
        <v>-15384.979877994383</v>
      </c>
      <c r="CB49" s="1021">
        <f>(VLOOKUP(YEAR($A49),'NY East Load Projections'!$A$4:$EO$14,((MONTH($A49)-1)*12)+VLOOKUP(CB$4,$DE$6:$DF$17,2)+1))*(VLOOKUP($A49,SatSunCurve,8))*(INDEX(DailyScalarsTable,CB$5/100,MONTH($A49)))*$D49</f>
        <v>-12458.274194262798</v>
      </c>
      <c r="CC49" s="1021">
        <f>(VLOOKUP(YEAR($A49),'NY East Load Projections'!$A$4:$EO$14,((MONTH($A49)-1)*12)+VLOOKUP(CC$4,$DE$6:$DF$17,2)+1))*(VLOOKUP($A49,CURVES!$D$9:$T$261,8))*(INDEX(DailyScalarsTable,CC$5/100,MONTH($A49)))*$D49</f>
        <v>-17024.267649620455</v>
      </c>
      <c r="CE49" s="1021">
        <f>(VLOOKUP(YEAR($A49),'NY East Load Projections'!$A$4:$EO$14,((MONTH($A49)-1)*12)+VLOOKUP(CE$4,$DE$6:$DF$17,2)+1))*(VLOOKUP($A49,CURVES!$D$9:$T$261,8))*(INDEX(DailyScalarsTable,CE$5/100,MONTH($A49)))*$E49</f>
        <v>0</v>
      </c>
      <c r="CF49" s="1021">
        <f>(VLOOKUP(YEAR($A49),'NY East Load Projections'!$A$4:$EO$14,((MONTH($A49)-1)*12)+VLOOKUP(CF$4,$DE$6:$DF$17,2)+1))*(VLOOKUP($A49,CURVES!$D$9:$T$261,8))*(INDEX(DailyScalarsTable,CF$5/100,MONTH($A49)))*$E49</f>
        <v>0</v>
      </c>
      <c r="CG49" s="1021">
        <f>(VLOOKUP(YEAR($A49),'NY East Load Projections'!$A$4:$EO$14,((MONTH($A49)-1)*12)+VLOOKUP(CG$4,$DE$6:$DF$17,2)+1))*(VLOOKUP($A49,CURVES!$D$9:$T$261,8))*(INDEX(DailyScalarsTable,CG$5/100,MONTH($A49)))*$E49</f>
        <v>0</v>
      </c>
      <c r="CH49" s="1021">
        <f>(VLOOKUP(YEAR($A49),'NY East Load Projections'!$A$4:$EO$14,((MONTH($A49)-1)*12)+VLOOKUP(CH$4,$DE$6:$DF$17,2)+1))*(VLOOKUP($A49,CURVES!$D$9:$T$261,8))*(INDEX(DailyScalarsTable,CH$5/100,MONTH($A49)))*$E49</f>
        <v>0</v>
      </c>
      <c r="CI49" s="1021">
        <f>(VLOOKUP(YEAR($A49),'NY East Load Projections'!$A$4:$EO$14,((MONTH($A49)-1)*12)+VLOOKUP(CI$4,$DE$6:$DF$17,2)+1))*(VLOOKUP($A49,CURVES!$D$9:$T$261,8))*(INDEX(DailyScalarsTable,CI$5/100,MONTH($A49)))*$E49</f>
        <v>0</v>
      </c>
      <c r="CJ49" s="1021">
        <f>(VLOOKUP(YEAR($A49),'NY East Load Projections'!$A$4:$EO$14,((MONTH($A49)-1)*12)+VLOOKUP(CJ$4,$DE$6:$DF$17,2)+1))*(VLOOKUP($A49,CURVES!$D$9:$T$261,8))*(INDEX(DailyScalarsTable,CJ$5/100,MONTH($A49)))*$E49</f>
        <v>0</v>
      </c>
      <c r="CK49" s="1021">
        <f>(VLOOKUP(YEAR($A49),'NY East Load Projections'!$A$4:$EO$14,((MONTH($A49)-1)*12)+VLOOKUP(CK$4,$DE$6:$DF$17,2)+1))*(VLOOKUP($A49,CURVES!$D$9:$T$261,8))*(INDEX(DailyScalarsTable,CK$5/100,MONTH($A49)))*$E49</f>
        <v>0</v>
      </c>
      <c r="CL49" s="1021">
        <f>(VLOOKUP(YEAR($A49),'NY East Load Projections'!$A$4:$EO$14,((MONTH($A49)-1)*12)+VLOOKUP(CL$4,$DE$6:$DF$17,2)+1))*(VLOOKUP($A49,SatSunCurve,8))*(INDEX(DailyScalarsTable,CL$5/100,MONTH($A49)))*$E49</f>
        <v>0</v>
      </c>
      <c r="CM49" s="1021">
        <f>(VLOOKUP(YEAR($A49),'NY East Load Projections'!$A$4:$EO$14,((MONTH($A49)-1)*12)+VLOOKUP(CM$4,$DE$6:$DF$17,2)+1))*(VLOOKUP($A49,SatSunCurve,8))*(INDEX(DailyScalarsTable,CM$5/100,MONTH($A49)))*$E49</f>
        <v>0</v>
      </c>
      <c r="CN49" s="1021">
        <f>(VLOOKUP(YEAR($A49),'NY East Load Projections'!$A$4:$EO$14,((MONTH($A49)-1)*12)+VLOOKUP(CN$4,$DE$6:$DF$17,2)+1))*(VLOOKUP($A49,SatSunCurve,8))*(INDEX(DailyScalarsTable,CN$5/100,MONTH($A49)))*$E49</f>
        <v>0</v>
      </c>
      <c r="CO49" s="1021">
        <f>(VLOOKUP(YEAR($A49),'NY East Load Projections'!$A$4:$EO$14,((MONTH($A49)-1)*12)+VLOOKUP(CO$4,$DE$6:$DF$17,2)+1))*(VLOOKUP($A49,SatSunCurve,8))*(INDEX(DailyScalarsTable,CO$5/100,MONTH($A49)))*$E49</f>
        <v>0</v>
      </c>
      <c r="CP49" s="1021">
        <f>(VLOOKUP(YEAR($A49),'NY East Load Projections'!$A$4:$EO$14,((MONTH($A49)-1)*12)+VLOOKUP(CP$4,$DE$6:$DF$17,2)+1))*(VLOOKUP($A49,SatSunCurve,8))*(INDEX(DailyScalarsTable,CP$5/100,MONTH($A49)))*$E49</f>
        <v>0</v>
      </c>
      <c r="CQ49" s="1021">
        <f>(VLOOKUP(YEAR($A49),'NY East Load Projections'!$A$4:$EO$14,((MONTH($A49)-1)*12)+VLOOKUP(CQ$4,$DE$6:$DF$17,2)+1))*(VLOOKUP($A49,SatSunCurve,8))*(INDEX(DailyScalarsTable,CQ$5/100,MONTH($A49)))*$E49</f>
        <v>0</v>
      </c>
      <c r="CR49" s="1021">
        <f>(VLOOKUP(YEAR($A49),'NY East Load Projections'!$A$4:$EO$14,((MONTH($A49)-1)*12)+VLOOKUP(CR$4,$DE$6:$DF$17,2)+1))*(VLOOKUP($A49,SatSunCurve,8))*(INDEX(DailyScalarsTable,CR$5/100,MONTH($A49)))*$E49</f>
        <v>0</v>
      </c>
      <c r="CS49" s="1021">
        <f>(VLOOKUP(YEAR($A49),'NY East Load Projections'!$A$4:$EO$14,((MONTH($A49)-1)*12)+VLOOKUP(CS$4,$DE$6:$DF$17,2)+1))*(VLOOKUP($A49,SatSunCurve,8))*(INDEX(DailyScalarsTable,CS$5/100,MONTH($A49)))*$E49</f>
        <v>0</v>
      </c>
      <c r="CT49" s="1021">
        <f>(VLOOKUP(YEAR($A49),'NY East Load Projections'!$A$4:$EO$14,((MONTH($A49)-1)*12)+VLOOKUP(CT$4,$DE$6:$DF$17,2)+1))*(VLOOKUP($A49,SatSunCurve,8))*(INDEX(DailyScalarsTable,CT$5/100,MONTH($A49)))*$E49</f>
        <v>0</v>
      </c>
      <c r="CU49" s="1021">
        <f>(VLOOKUP(YEAR($A49),'NY East Load Projections'!$A$4:$EO$14,((MONTH($A49)-1)*12)+VLOOKUP(CU$4,$DE$6:$DF$17,2)+1))*(VLOOKUP($A49,SatSunCurve,8))*(INDEX(DailyScalarsTable,CU$5/100,MONTH($A49)))*$E49</f>
        <v>0</v>
      </c>
      <c r="CV49" s="1021">
        <f>(VLOOKUP(YEAR($A49),'NY East Load Projections'!$A$4:$EO$14,((MONTH($A49)-1)*12)+VLOOKUP(CV$4,$DE$6:$DF$17,2)+1))*(VLOOKUP($A49,SatSunCurve,8))*(INDEX(DailyScalarsTable,CV$5/100,MONTH($A49)))*$E49</f>
        <v>0</v>
      </c>
      <c r="CW49" s="1021">
        <f>(VLOOKUP(YEAR($A49),'NY East Load Projections'!$A$4:$EO$14,((MONTH($A49)-1)*12)+VLOOKUP(CW$4,$DE$6:$DF$17,2)+1))*(VLOOKUP($A49,SatSunCurve,8))*(INDEX(DailyScalarsTable,CW$5/100,MONTH($A49)))*$E49</f>
        <v>0</v>
      </c>
      <c r="CX49" s="1021">
        <f>(VLOOKUP(YEAR($A49),'NY East Load Projections'!$A$4:$EO$14,((MONTH($A49)-1)*12)+VLOOKUP(CX$4,$DE$6:$DF$17,2)+1))*(VLOOKUP($A49,SatSunCurve,8))*(INDEX(DailyScalarsTable,CX$5/100,MONTH($A49)))*$E49</f>
        <v>0</v>
      </c>
      <c r="CY49" s="1021">
        <f>(VLOOKUP(YEAR($A49),'NY East Load Projections'!$A$4:$EO$14,((MONTH($A49)-1)*12)+VLOOKUP(CY$4,$DE$6:$DF$17,2)+1))*(VLOOKUP($A49,SatSunCurve,8))*(INDEX(DailyScalarsTable,CY$5/100,MONTH($A49)))*$E49</f>
        <v>0</v>
      </c>
      <c r="CZ49" s="1021">
        <f>(VLOOKUP(YEAR($A49),'NY East Load Projections'!$A$4:$EO$14,((MONTH($A49)-1)*12)+VLOOKUP(CZ$4,$DE$6:$DF$17,2)+1))*(VLOOKUP($A49,SatSunCurve,8))*(INDEX(DailyScalarsTable,CZ$5/100,MONTH($A49)))*$E49</f>
        <v>0</v>
      </c>
      <c r="DA49" s="1021">
        <f>(VLOOKUP(YEAR($A49),'NY East Load Projections'!$A$4:$EO$14,((MONTH($A49)-1)*12)+VLOOKUP(DA$4,$DE$6:$DF$17,2)+1))*(VLOOKUP($A49,SatSunCurve,8))*(INDEX(DailyScalarsTable,DA$5/100,MONTH($A49)))*$E49</f>
        <v>0</v>
      </c>
      <c r="DB49" s="1021">
        <f>(VLOOKUP(YEAR($A49),'NY East Load Projections'!$A$4:$EO$14,((MONTH($A49)-1)*12)+VLOOKUP(DB$4,$DE$6:$DF$17,2)+1))*(VLOOKUP($A49,CURVES!$D$9:$T$261,8))*(INDEX(DailyScalarsTable,DB$5/100,MONTH($A49)))*$E49</f>
        <v>0</v>
      </c>
      <c r="DH49" s="1021">
        <f t="shared" si="0"/>
        <v>-4180125.6352996188</v>
      </c>
      <c r="DI49">
        <f ca="1">CALC!J69</f>
        <v>0.72204605721980342</v>
      </c>
      <c r="DJ49" s="1029">
        <f t="shared" ca="1" si="1"/>
        <v>-3018243.2336515156</v>
      </c>
    </row>
    <row r="50" spans="1:114" x14ac:dyDescent="0.25">
      <c r="A50" s="244">
        <v>38231</v>
      </c>
      <c r="B50" s="13">
        <v>21</v>
      </c>
      <c r="C50" s="210">
        <v>4</v>
      </c>
      <c r="D50" s="210">
        <v>4</v>
      </c>
      <c r="E50" s="210">
        <v>1</v>
      </c>
      <c r="F50" s="13">
        <v>30</v>
      </c>
      <c r="H50" s="1021">
        <f>(VLOOKUP(YEAR($A50),'NY East Load Projections'!$A$4:$EO$14,((MONTH($A50)-1)*12)+VLOOKUP(H$4,$DE$6:$DF$17,2)+1))*(VLOOKUP($A50,CURVES!$D$9:$K$261,8))*(INDEX(DailyScalarsTable,H$5/100,MONTH($A50)))*$B50</f>
        <v>-42847.962597962651</v>
      </c>
      <c r="I50" s="1021">
        <f>(VLOOKUP(YEAR($A50),'NY East Load Projections'!$A$4:$EO$14,((MONTH($A50)-1)*12)+VLOOKUP(I$4,$DE$6:$DF$17,2)+1))*(VLOOKUP($A50,CURVES!$D$9:$K$261,8))*(INDEX(DailyScalarsTable,I$5/100,MONTH($A50)))*$B50</f>
        <v>-37591.27833715087</v>
      </c>
      <c r="J50" s="1021">
        <f>(VLOOKUP(YEAR($A50),'NY East Load Projections'!$A$4:$EO$14,((MONTH($A50)-1)*12)+VLOOKUP(J$4,$DE$6:$DF$17,2)+1))*(VLOOKUP($A50,CURVES!$D$9:$K$261,8))*(INDEX(DailyScalarsTable,J$5/100,MONTH($A50)))*$B50</f>
        <v>-35251.346419812304</v>
      </c>
      <c r="K50" s="1021">
        <f>(VLOOKUP(YEAR($A50),'NY East Load Projections'!$A$4:$EO$14,((MONTH($A50)-1)*12)+VLOOKUP(K$4,$DE$6:$DF$17,2)+1))*(VLOOKUP($A50,CURVES!$D$9:$K$261,8))*(INDEX(DailyScalarsTable,K$5/100,MONTH($A50)))*$B50</f>
        <v>-35773.749824613478</v>
      </c>
      <c r="L50" s="1021">
        <f>(VLOOKUP(YEAR($A50),'NY East Load Projections'!$A$4:$EO$14,((MONTH($A50)-1)*12)+VLOOKUP(L$4,$DE$6:$DF$17,2)+1))*(VLOOKUP($A50,CURVES!$D$9:$K$261,8))*(INDEX(DailyScalarsTable,L$5/100,MONTH($A50)))*$B50</f>
        <v>-42111.653597895929</v>
      </c>
      <c r="M50" s="1021">
        <f>(VLOOKUP(YEAR($A50),'NY East Load Projections'!$A$4:$EO$14,((MONTH($A50)-1)*12)+VLOOKUP(M$4,$DE$6:$DF$17,2)+1))*(VLOOKUP($A50,CURVES!$D$9:$K$261,8))*(INDEX(DailyScalarsTable,M$5/100,MONTH($A50)))*$B50</f>
        <v>-48732.758897311513</v>
      </c>
      <c r="N50" s="1021">
        <f>(VLOOKUP(YEAR($A50),'NY East Load Projections'!$A$4:$EO$14,((MONTH($A50)-1)*12)+VLOOKUP(N$4,$DE$6:$DF$17,2)+1))*(VLOOKUP($A50,CURVES!$D$9:$K$261,8))*(INDEX(DailyScalarsTable,N$5/100,MONTH($A50)))*$B50</f>
        <v>-66270.381894688282</v>
      </c>
      <c r="O50" s="1021">
        <f>(VLOOKUP(YEAR($A50),'NY East Load Projections'!$A$4:$EO$14,((MONTH($A50)-1)*12)+VLOOKUP(O$4,$DE$6:$DF$17,2)+1))*(VLOOKUP($A50,CURVES!$D$9:$K$261,4))*(INDEX(DailyScalarsTable,O$5/100,MONTH($A50)))*$B50</f>
        <v>-59936.587916690609</v>
      </c>
      <c r="P50" s="1021">
        <f>(VLOOKUP(YEAR($A50),'NY East Load Projections'!$A$4:$EO$14,((MONTH($A50)-1)*12)+VLOOKUP(P$4,$DE$6:$DF$17,2)+1))*(VLOOKUP($A50,CURVES!$D$9:$K$261,4))*(INDEX(DailyScalarsTable,P$5/100,MONTH($A50)))*$B50</f>
        <v>-65716.329194748323</v>
      </c>
      <c r="Q50" s="1021">
        <f>(VLOOKUP(YEAR($A50),'NY East Load Projections'!$A$4:$EO$14,((MONTH($A50)-1)*12)+VLOOKUP(Q$4,$DE$6:$DF$17,2)+1))*(VLOOKUP($A50,CURVES!$D$9:$K$261,4))*(INDEX(DailyScalarsTable,Q$5/100,MONTH($A50)))*$B50</f>
        <v>-82034.553988046129</v>
      </c>
      <c r="R50" s="1021">
        <f>(VLOOKUP(YEAR($A50),'NY East Load Projections'!$A$4:$EO$14,((MONTH($A50)-1)*12)+VLOOKUP(R$4,$DE$6:$DF$17,2)+1))*(VLOOKUP($A50,CURVES!$D$9:$K$261,4))*(INDEX(DailyScalarsTable,R$5/100,MONTH($A50)))*$B50</f>
        <v>-87609.102830477059</v>
      </c>
      <c r="S50" s="1021">
        <f>(VLOOKUP(YEAR($A50),'NY East Load Projections'!$A$4:$EO$14,((MONTH($A50)-1)*12)+VLOOKUP(S$4,$DE$6:$DF$17,2)+1))*(VLOOKUP($A50,CURVES!$D$9:$K$261,4))*(INDEX(DailyScalarsTable,S$5/100,MONTH($A50)))*$B50</f>
        <v>-93348.354252343473</v>
      </c>
      <c r="T50" s="1021">
        <f>(VLOOKUP(YEAR($A50),'NY East Load Projections'!$A$4:$EO$14,((MONTH($A50)-1)*12)+VLOOKUP(T$4,$DE$6:$DF$17,2)+1))*(VLOOKUP($A50,CURVES!$D$9:$K$261,4))*(INDEX(DailyScalarsTable,T$5/100,MONTH($A50)))*$B50</f>
        <v>-90863.714168536651</v>
      </c>
      <c r="U50" s="1021">
        <f>(VLOOKUP(YEAR($A50),'NY East Load Projections'!$A$4:$EO$14,((MONTH($A50)-1)*12)+VLOOKUP(U$4,$DE$6:$DF$17,2)+1))*(VLOOKUP($A50,CURVES!$D$9:$K$261,4))*(INDEX(DailyScalarsTable,U$5/100,MONTH($A50)))*$B50</f>
        <v>-98362.872435639918</v>
      </c>
      <c r="V50" s="1021">
        <f>(VLOOKUP(YEAR($A50),'NY East Load Projections'!$A$4:$EO$14,((MONTH($A50)-1)*12)+VLOOKUP(V$4,$DE$6:$DF$17,2)+1))*(VLOOKUP($A50,CURVES!$D$9:$K$261,4))*(INDEX(DailyScalarsTable,V$5/100,MONTH($A50)))*$B50</f>
        <v>-96810.872724709043</v>
      </c>
      <c r="W50" s="1021">
        <f>(VLOOKUP(YEAR($A50),'NY East Load Projections'!$A$4:$EO$14,((MONTH($A50)-1)*12)+VLOOKUP(W$4,$DE$6:$DF$17,2)+1))*(VLOOKUP($A50,CURVES!$D$9:$K$261,4))*(INDEX(DailyScalarsTable,W$5/100,MONTH($A50)))*$B50</f>
        <v>-93785.125389112553</v>
      </c>
      <c r="X50" s="1021">
        <f>(VLOOKUP(YEAR($A50),'NY East Load Projections'!$A$4:$EO$14,((MONTH($A50)-1)*12)+VLOOKUP(X$4,$DE$6:$DF$17,2)+1))*(VLOOKUP($A50,CURVES!$D$9:$K$261,4))*(INDEX(DailyScalarsTable,X$5/100,MONTH($A50)))*$B50</f>
        <v>-95023.425768958725</v>
      </c>
      <c r="Y50" s="1021">
        <f>(VLOOKUP(YEAR($A50),'NY East Load Projections'!$A$4:$EO$14,((MONTH($A50)-1)*12)+VLOOKUP(Y$4,$DE$6:$DF$17,2)+1))*(VLOOKUP($A50,CURVES!$D$9:$K$261,4))*(INDEX(DailyScalarsTable,Y$5/100,MONTH($A50)))*$B50</f>
        <v>-92692.315259455514</v>
      </c>
      <c r="Z50" s="1021">
        <f>(VLOOKUP(YEAR($A50),'NY East Load Projections'!$A$4:$EO$14,((MONTH($A50)-1)*12)+VLOOKUP(Z$4,$DE$6:$DF$17,2)+1))*(VLOOKUP($A50,CURVES!$D$9:$K$261,4))*(INDEX(DailyScalarsTable,Z$5/100,MONTH($A50)))*$B50</f>
        <v>-75920.588593714172</v>
      </c>
      <c r="AA50" s="1021">
        <f>(VLOOKUP(YEAR($A50),'NY East Load Projections'!$A$4:$EO$14,((MONTH($A50)-1)*12)+VLOOKUP(AA$4,$DE$6:$DF$17,2)+1))*(VLOOKUP($A50,CURVES!$D$9:$K$261,4))*(INDEX(DailyScalarsTable,AA$5/100,MONTH($A50)))*$B50</f>
        <v>-99219.42468606442</v>
      </c>
      <c r="AB50" s="1021">
        <f>(VLOOKUP(YEAR($A50),'NY East Load Projections'!$A$4:$EO$14,((MONTH($A50)-1)*12)+VLOOKUP(AB$4,$DE$6:$DF$17,2)+1))*(VLOOKUP($A50,CURVES!$D$9:$K$261,4))*(INDEX(DailyScalarsTable,AB$5/100,MONTH($A50)))*$B50</f>
        <v>-88192.184939636165</v>
      </c>
      <c r="AC50" s="1021">
        <f>(VLOOKUP(YEAR($A50),'NY East Load Projections'!$A$4:$EO$14,((MONTH($A50)-1)*12)+VLOOKUP(AC$4,$DE$6:$DF$17,2)+1))*(VLOOKUP($A50,CURVES!$D$9:$K$261,4))*(INDEX(DailyScalarsTable,AC$5/100,MONTH($A50)))*$B50</f>
        <v>-67122.970288862125</v>
      </c>
      <c r="AD50" s="1021">
        <f>(VLOOKUP(YEAR($A50),'NY East Load Projections'!$A$4:$EO$14,((MONTH($A50)-1)*12)+VLOOKUP(AD$4,$DE$6:$DF$17,2)+1))*(VLOOKUP($A50,CURVES!$D$9:$K$261,4))*(INDEX(DailyScalarsTable,AD$5/100,MONTH($A50)))*$B50</f>
        <v>-53192.19592017791</v>
      </c>
      <c r="AE50" s="1021">
        <f>(VLOOKUP(YEAR($A50),'NY East Load Projections'!$A$4:$EO$14,((MONTH($A50)-1)*12)+VLOOKUP(AE$4,$DE$6:$DF$17,2)+1))*(VLOOKUP($A50,CURVES!$D$9:$K$261,8))*(INDEX(DailyScalarsTable,AE$5/100,MONTH($A50)))*$B50</f>
        <v>-50480.437923796715</v>
      </c>
      <c r="AF50" s="1021"/>
      <c r="AG50" s="1021">
        <f>(VLOOKUP(YEAR($A50),'NY East Load Projections'!$A$4:$EO$14,((MONTH($A50)-1)*12)+VLOOKUP(AG$4,$DE$6:$DF$17,2)+1))*(VLOOKUP($A50,CURVES!$D$9:$T$261,8))*(INDEX(DailyScalarsTable,AG$5/100,MONTH($A50)))*$C50</f>
        <v>-8534.8758424812131</v>
      </c>
      <c r="AH50" s="1021">
        <f>(VLOOKUP(YEAR($A50),'NY East Load Projections'!$A$4:$EO$14,((MONTH($A50)-1)*12)+VLOOKUP(AH$4,$DE$6:$DF$17,2)+1))*(VLOOKUP($A50,CURVES!$D$9:$T$261,8))*(INDEX(DailyScalarsTable,AH$5/100,MONTH($A50)))*$C50</f>
        <v>-7487.7981102184676</v>
      </c>
      <c r="AI50" s="1021">
        <f>(VLOOKUP(YEAR($A50),'NY East Load Projections'!$A$4:$EO$14,((MONTH($A50)-1)*12)+VLOOKUP(AI$4,$DE$6:$DF$17,2)+1))*(VLOOKUP($A50,CURVES!$D$9:$T$261,8))*(INDEX(DailyScalarsTable,AI$5/100,MONTH($A50)))*$C50</f>
        <v>-7021.7076082795656</v>
      </c>
      <c r="AJ50" s="1021">
        <f>(VLOOKUP(YEAR($A50),'NY East Load Projections'!$A$4:$EO$14,((MONTH($A50)-1)*12)+VLOOKUP(AJ$4,$DE$6:$DF$17,2)+1))*(VLOOKUP($A50,CURVES!$D$9:$T$261,8))*(INDEX(DailyScalarsTable,AJ$5/100,MONTH($A50)))*$C50</f>
        <v>-7125.7650226659271</v>
      </c>
      <c r="AK50" s="1021">
        <f>(VLOOKUP(YEAR($A50),'NY East Load Projections'!$A$4:$EO$14,((MONTH($A50)-1)*12)+VLOOKUP(AK$4,$DE$6:$DF$17,2)+1))*(VLOOKUP($A50,CURVES!$D$9:$T$261,8))*(INDEX(DailyScalarsTable,AK$5/100,MONTH($A50)))*$C50</f>
        <v>-7749.7998295445141</v>
      </c>
      <c r="AL50" s="1021">
        <f>(VLOOKUP(YEAR($A50),'NY East Load Projections'!$A$4:$EO$14,((MONTH($A50)-1)*12)+VLOOKUP(AL$4,$DE$6:$DF$17,2)+1))*(VLOOKUP($A50,CURVES!$D$9:$T$261,8))*(INDEX(DailyScalarsTable,AL$5/100,MONTH($A50)))*$C50</f>
        <v>-8968.2806142404388</v>
      </c>
      <c r="AM50" s="1021">
        <f>(VLOOKUP(YEAR($A50),'NY East Load Projections'!$A$4:$EO$14,((MONTH($A50)-1)*12)+VLOOKUP(AM$4,$DE$6:$DF$17,2)+1))*(VLOOKUP($A50,CURVES!$D$9:$T$261,8))*(INDEX(DailyScalarsTable,AM$5/100,MONTH($A50)))*$C50</f>
        <v>-12195.726133560471</v>
      </c>
      <c r="AN50" s="1021">
        <f>(VLOOKUP(YEAR($A50),'NY East Load Projections'!$A$4:$EO$14,((MONTH($A50)-1)*12)+VLOOKUP(AN$4,$DE$6:$DF$17,2)+1))*(VLOOKUP($A50,SatSunCurve,4))*(INDEX(DailyScalarsTable,AN$5/100,MONTH($A50)))*$C50</f>
        <v>-7819.42003617931</v>
      </c>
      <c r="AO50" s="1021">
        <f>(VLOOKUP(YEAR($A50),'NY East Load Projections'!$A$4:$EO$14,((MONTH($A50)-1)*12)+VLOOKUP(AO$4,$DE$6:$DF$17,2)+1))*(VLOOKUP($A50,SatSunCurve,4))*(INDEX(DailyScalarsTable,AO$5/100,MONTH($A50)))*$C50</f>
        <v>-8627.0069389580131</v>
      </c>
      <c r="AP50" s="1021">
        <f>(VLOOKUP(YEAR($A50),'NY East Load Projections'!$A$4:$EO$14,((MONTH($A50)-1)*12)+VLOOKUP(AP$4,$DE$6:$DF$17,2)+1))*(VLOOKUP($A50,SatSunCurve,4))*(INDEX(DailyScalarsTable,AP$5/100,MONTH($A50)))*$C50</f>
        <v>-10769.205693031254</v>
      </c>
      <c r="AQ50" s="1021">
        <f>(VLOOKUP(YEAR($A50),'NY East Load Projections'!$A$4:$EO$14,((MONTH($A50)-1)*12)+VLOOKUP(AQ$4,$DE$6:$DF$17,2)+1))*(VLOOKUP($A50,SatSunCurve,4))*(INDEX(DailyScalarsTable,AQ$5/100,MONTH($A50)))*$C50</f>
        <v>-11501.01272082025</v>
      </c>
      <c r="AR50" s="1021">
        <f>(VLOOKUP(YEAR($A50),'NY East Load Projections'!$A$4:$EO$14,((MONTH($A50)-1)*12)+VLOOKUP(AR$4,$DE$6:$DF$17,2)+1))*(VLOOKUP($A50,SatSunCurve,4))*(INDEX(DailyScalarsTable,AR$5/100,MONTH($A50)))*$C50</f>
        <v>-12254.441319884832</v>
      </c>
      <c r="AS50" s="1021">
        <f>(VLOOKUP(YEAR($A50),'NY East Load Projections'!$A$4:$EO$14,((MONTH($A50)-1)*12)+VLOOKUP(AS$4,$DE$6:$DF$17,2)+1))*(VLOOKUP($A50,SatSunCurve,4))*(INDEX(DailyScalarsTable,AS$5/100,MONTH($A50)))*$C50</f>
        <v>-11843.915786403797</v>
      </c>
      <c r="AT50" s="1021">
        <f>(VLOOKUP(YEAR($A50),'NY East Load Projections'!$A$4:$EO$14,((MONTH($A50)-1)*12)+VLOOKUP(AT$4,$DE$6:$DF$17,2)+1))*(VLOOKUP($A50,SatSunCurve,4))*(INDEX(DailyScalarsTable,AT$5/100,MONTH($A50)))*$C50</f>
        <v>-12821.417089286269</v>
      </c>
      <c r="AU50" s="1021">
        <f>(VLOOKUP(YEAR($A50),'NY East Load Projections'!$A$4:$EO$14,((MONTH($A50)-1)*12)+VLOOKUP(AU$4,$DE$6:$DF$17,2)+1))*(VLOOKUP($A50,SatSunCurve,4))*(INDEX(DailyScalarsTable,AU$5/100,MONTH($A50)))*$C50</f>
        <v>-12619.116819646251</v>
      </c>
      <c r="AV50" s="1021">
        <f>(VLOOKUP(YEAR($A50),'NY East Load Projections'!$A$4:$EO$14,((MONTH($A50)-1)*12)+VLOOKUP(AV$4,$DE$6:$DF$17,2)+1))*(VLOOKUP($A50,SatSunCurve,4))*(INDEX(DailyScalarsTable,AV$5/100,MONTH($A50)))*$C50</f>
        <v>-12224.716293961495</v>
      </c>
      <c r="AW50" s="1021">
        <f>(VLOOKUP(YEAR($A50),'NY East Load Projections'!$A$4:$EO$14,((MONTH($A50)-1)*12)+VLOOKUP(AW$4,$DE$6:$DF$17,2)+1))*(VLOOKUP($A50,SatSunCurve,4))*(INDEX(DailyScalarsTable,AW$5/100,MONTH($A50)))*$C50</f>
        <v>-12261.07994355622</v>
      </c>
      <c r="AX50" s="1021">
        <f>(VLOOKUP(YEAR($A50),'NY East Load Projections'!$A$4:$EO$14,((MONTH($A50)-1)*12)+VLOOKUP(AX$4,$DE$6:$DF$17,2)+1))*(VLOOKUP($A50,SatSunCurve,4))*(INDEX(DailyScalarsTable,AX$5/100,MONTH($A50)))*$C50</f>
        <v>-11960.291668633599</v>
      </c>
      <c r="AY50" s="1021">
        <f>(VLOOKUP(YEAR($A50),'NY East Load Projections'!$A$4:$EO$14,((MONTH($A50)-1)*12)+VLOOKUP(AY$4,$DE$6:$DF$17,2)+1))*(VLOOKUP($A50,SatSunCurve,4))*(INDEX(DailyScalarsTable,AY$5/100,MONTH($A50)))*$C50</f>
        <v>-9796.1991853745458</v>
      </c>
      <c r="AZ50" s="1021">
        <f>(VLOOKUP(YEAR($A50),'NY East Load Projections'!$A$4:$EO$14,((MONTH($A50)-1)*12)+VLOOKUP(AZ$4,$DE$6:$DF$17,2)+1))*(VLOOKUP($A50,SatSunCurve,4))*(INDEX(DailyScalarsTable,AZ$5/100,MONTH($A50)))*$C50</f>
        <v>-12802.498838416932</v>
      </c>
      <c r="BA50" s="1021">
        <f>(VLOOKUP(YEAR($A50),'NY East Load Projections'!$A$4:$EO$14,((MONTH($A50)-1)*12)+VLOOKUP(BA$4,$DE$6:$DF$17,2)+1))*(VLOOKUP($A50,SatSunCurve,4))*(INDEX(DailyScalarsTable,BA$5/100,MONTH($A50)))*$C50</f>
        <v>-12396.505017801801</v>
      </c>
      <c r="BB50" s="1021">
        <f>(VLOOKUP(YEAR($A50),'NY East Load Projections'!$A$4:$EO$14,((MONTH($A50)-1)*12)+VLOOKUP(BB$4,$DE$6:$DF$17,2)+1))*(VLOOKUP($A50,SatSunCurve,4))*(INDEX(DailyScalarsTable,BB$5/100,MONTH($A50)))*$C50</f>
        <v>-9434.9656782533657</v>
      </c>
      <c r="BC50" s="1021">
        <f>(VLOOKUP(YEAR($A50),'NY East Load Projections'!$A$4:$EO$14,((MONTH($A50)-1)*12)+VLOOKUP(BC$4,$DE$6:$DF$17,2)+1))*(VLOOKUP($A50,SatSunCurve,4))*(INDEX(DailyScalarsTable,BC$5/100,MONTH($A50)))*$C50</f>
        <v>-7476.8226241782268</v>
      </c>
      <c r="BD50" s="1021">
        <f>(VLOOKUP(YEAR($A50),'NY East Load Projections'!$A$4:$EO$14,((MONTH($A50)-1)*12)+VLOOKUP(BD$4,$DE$6:$DF$17,2)+1))*(VLOOKUP($A50,CURVES!$D$9:$T$261,8))*(INDEX(DailyScalarsTable,BD$5/100,MONTH($A50)))*$C50</f>
        <v>-10009.166991300322</v>
      </c>
      <c r="BE50" s="1021"/>
      <c r="BF50" s="1021">
        <f>(VLOOKUP(YEAR($A50),'NY East Load Projections'!$A$4:$EO$14,((MONTH($A50)-1)*12)+VLOOKUP(BF$4,$DE$6:$DF$17,2)+1))*(VLOOKUP($A50,CURVES!$D$9:$T$261,8))*(INDEX(DailyScalarsTable,BF$5/100,MONTH($A50)))*$D50</f>
        <v>-8534.8758424812131</v>
      </c>
      <c r="BG50" s="1021">
        <f>(VLOOKUP(YEAR($A50),'NY East Load Projections'!$A$4:$EO$14,((MONTH($A50)-1)*12)+VLOOKUP(BG$4,$DE$6:$DF$17,2)+1))*(VLOOKUP($A50,CURVES!$D$9:$T$261,8))*(INDEX(DailyScalarsTable,BG$5/100,MONTH($A50)))*$D50</f>
        <v>-7487.7981102184676</v>
      </c>
      <c r="BH50" s="1021">
        <f>(VLOOKUP(YEAR($A50),'NY East Load Projections'!$A$4:$EO$14,((MONTH($A50)-1)*12)+VLOOKUP(BH$4,$DE$6:$DF$17,2)+1))*(VLOOKUP($A50,CURVES!$D$9:$T$261,8))*(INDEX(DailyScalarsTable,BH$5/100,MONTH($A50)))*$D50</f>
        <v>-7021.7076082795656</v>
      </c>
      <c r="BI50" s="1021">
        <f>(VLOOKUP(YEAR($A50),'NY East Load Projections'!$A$4:$EO$14,((MONTH($A50)-1)*12)+VLOOKUP(BI$4,$DE$6:$DF$17,2)+1))*(VLOOKUP($A50,CURVES!$D$9:$T$261,8))*(INDEX(DailyScalarsTable,BI$5/100,MONTH($A50)))*$D50</f>
        <v>-7125.7650226659271</v>
      </c>
      <c r="BJ50" s="1021">
        <f>(VLOOKUP(YEAR($A50),'NY East Load Projections'!$A$4:$EO$14,((MONTH($A50)-1)*12)+VLOOKUP(BJ$4,$DE$6:$DF$17,2)+1))*(VLOOKUP($A50,CURVES!$D$9:$T$261,8))*(INDEX(DailyScalarsTable,BJ$5/100,MONTH($A50)))*$D50</f>
        <v>-7749.7998295445141</v>
      </c>
      <c r="BK50" s="1021">
        <f>(VLOOKUP(YEAR($A50),'NY East Load Projections'!$A$4:$EO$14,((MONTH($A50)-1)*12)+VLOOKUP(BK$4,$DE$6:$DF$17,2)+1))*(VLOOKUP($A50,CURVES!$D$9:$T$261,8))*(INDEX(DailyScalarsTable,BK$5/100,MONTH($A50)))*$D50</f>
        <v>-8968.2806142404388</v>
      </c>
      <c r="BL50" s="1021">
        <f>(VLOOKUP(YEAR($A50),'NY East Load Projections'!$A$4:$EO$14,((MONTH($A50)-1)*12)+VLOOKUP(BL$4,$DE$6:$DF$17,2)+1))*(VLOOKUP($A50,CURVES!$D$9:$T$261,8))*(INDEX(DailyScalarsTable,BL$5/100,MONTH($A50)))*$D50</f>
        <v>-12195.726133560471</v>
      </c>
      <c r="BM50" s="1021">
        <f>(VLOOKUP(YEAR($A50),'NY East Load Projections'!$A$4:$EO$14,((MONTH($A50)-1)*12)+VLOOKUP(BM$4,$DE$6:$DF$17,2)+1))*(VLOOKUP($A50,SatSunCurve,8))*(INDEX(DailyScalarsTable,BM$5/100,MONTH($A50)))*$D50</f>
        <v>-8817.5395671011156</v>
      </c>
      <c r="BN50" s="1021">
        <f>(VLOOKUP(YEAR($A50),'NY East Load Projections'!$A$4:$EO$14,((MONTH($A50)-1)*12)+VLOOKUP(BN$4,$DE$6:$DF$17,2)+1))*(VLOOKUP($A50,SatSunCurve,8))*(INDEX(DailyScalarsTable,BN$5/100,MONTH($A50)))*$D50</f>
        <v>-9728.2118978080434</v>
      </c>
      <c r="BO50" s="1021">
        <f>(VLOOKUP(YEAR($A50),'NY East Load Projections'!$A$4:$EO$14,((MONTH($A50)-1)*12)+VLOOKUP(BO$4,$DE$6:$DF$17,2)+1))*(VLOOKUP($A50,SatSunCurve,8))*(INDEX(DailyScalarsTable,BO$5/100,MONTH($A50)))*$D50</f>
        <v>-12143.854258397352</v>
      </c>
      <c r="BP50" s="1021">
        <f>(VLOOKUP(YEAR($A50),'NY East Load Projections'!$A$4:$EO$14,((MONTH($A50)-1)*12)+VLOOKUP(BP$4,$DE$6:$DF$17,2)+1))*(VLOOKUP($A50,SatSunCurve,8))*(INDEX(DailyScalarsTable,BP$5/100,MONTH($A50)))*$D50</f>
        <v>-12969.073698350223</v>
      </c>
      <c r="BQ50" s="1021">
        <f>(VLOOKUP(YEAR($A50),'NY East Load Projections'!$A$4:$EO$14,((MONTH($A50)-1)*12)+VLOOKUP(BQ$4,$DE$6:$DF$17,2)+1))*(VLOOKUP($A50,SatSunCurve,8))*(INDEX(DailyScalarsTable,BQ$5/100,MONTH($A50)))*$D50</f>
        <v>-13818.674621756249</v>
      </c>
      <c r="BR50" s="1021">
        <f>(VLOOKUP(YEAR($A50),'NY East Load Projections'!$A$4:$EO$14,((MONTH($A50)-1)*12)+VLOOKUP(BR$4,$DE$6:$DF$17,2)+1))*(VLOOKUP($A50,SatSunCurve,8))*(INDEX(DailyScalarsTable,BR$5/100,MONTH($A50)))*$D50</f>
        <v>-13355.747049375441</v>
      </c>
      <c r="BS50" s="1021">
        <f>(VLOOKUP(YEAR($A50),'NY East Load Projections'!$A$4:$EO$14,((MONTH($A50)-1)*12)+VLOOKUP(BS$4,$DE$6:$DF$17,2)+1))*(VLOOKUP($A50,SatSunCurve,8))*(INDEX(DailyScalarsTable,BS$5/100,MONTH($A50)))*$D50</f>
        <v>-14458.022713705981</v>
      </c>
      <c r="BT50" s="1021">
        <f>(VLOOKUP(YEAR($A50),'NY East Load Projections'!$A$4:$EO$14,((MONTH($A50)-1)*12)+VLOOKUP(BT$4,$DE$6:$DF$17,2)+1))*(VLOOKUP($A50,SatSunCurve,8))*(INDEX(DailyScalarsTable,BT$5/100,MONTH($A50)))*$D50</f>
        <v>-14229.899576218451</v>
      </c>
      <c r="BU50" s="1021">
        <f>(VLOOKUP(YEAR($A50),'NY East Load Projections'!$A$4:$EO$14,((MONTH($A50)-1)*12)+VLOOKUP(BU$4,$DE$6:$DF$17,2)+1))*(VLOOKUP($A50,SatSunCurve,8))*(INDEX(DailyScalarsTable,BU$5/100,MONTH($A50)))*$D50</f>
        <v>-13785.155308175517</v>
      </c>
      <c r="BV50" s="1021">
        <f>(VLOOKUP(YEAR($A50),'NY East Load Projections'!$A$4:$EO$14,((MONTH($A50)-1)*12)+VLOOKUP(BV$4,$DE$6:$DF$17,2)+1))*(VLOOKUP($A50,SatSunCurve,8))*(INDEX(DailyScalarsTable,BV$5/100,MONTH($A50)))*$D50</f>
        <v>-13826.160640747772</v>
      </c>
      <c r="BW50" s="1021">
        <f>(VLOOKUP(YEAR($A50),'NY East Load Projections'!$A$4:$EO$14,((MONTH($A50)-1)*12)+VLOOKUP(BW$4,$DE$6:$DF$17,2)+1))*(VLOOKUP($A50,SatSunCurve,8))*(INDEX(DailyScalarsTable,BW$5/100,MONTH($A50)))*$D50</f>
        <v>-13486.97787486758</v>
      </c>
      <c r="BX50" s="1021">
        <f>(VLOOKUP(YEAR($A50),'NY East Load Projections'!$A$4:$EO$14,((MONTH($A50)-1)*12)+VLOOKUP(BX$4,$DE$6:$DF$17,2)+1))*(VLOOKUP($A50,SatSunCurve,8))*(INDEX(DailyScalarsTable,BX$5/100,MONTH($A50)))*$D50</f>
        <v>-11046.647132982205</v>
      </c>
      <c r="BY50" s="1021">
        <f>(VLOOKUP(YEAR($A50),'NY East Load Projections'!$A$4:$EO$14,((MONTH($A50)-1)*12)+VLOOKUP(BY$4,$DE$6:$DF$17,2)+1))*(VLOOKUP($A50,SatSunCurve,8))*(INDEX(DailyScalarsTable,BY$5/100,MONTH($A50)))*$D50</f>
        <v>-14436.689619332114</v>
      </c>
      <c r="BZ50" s="1021">
        <f>(VLOOKUP(YEAR($A50),'NY East Load Projections'!$A$4:$EO$14,((MONTH($A50)-1)*12)+VLOOKUP(BZ$4,$DE$6:$DF$17,2)+1))*(VLOOKUP($A50,SatSunCurve,8))*(INDEX(DailyScalarsTable,BZ$5/100,MONTH($A50)))*$D50</f>
        <v>-13978.872215904627</v>
      </c>
      <c r="CA50" s="1021">
        <f>(VLOOKUP(YEAR($A50),'NY East Load Projections'!$A$4:$EO$14,((MONTH($A50)-1)*12)+VLOOKUP(CA$4,$DE$6:$DF$17,2)+1))*(VLOOKUP($A50,SatSunCurve,8))*(INDEX(DailyScalarsTable,CA$5/100,MONTH($A50)))*$D50</f>
        <v>-10639.30352856317</v>
      </c>
      <c r="CB50" s="1021">
        <f>(VLOOKUP(YEAR($A50),'NY East Load Projections'!$A$4:$EO$14,((MONTH($A50)-1)*12)+VLOOKUP(CB$4,$DE$6:$DF$17,2)+1))*(VLOOKUP($A50,SatSunCurve,8))*(INDEX(DailyScalarsTable,CB$5/100,MONTH($A50)))*$D50</f>
        <v>-8431.2108851875109</v>
      </c>
      <c r="CC50" s="1021">
        <f>(VLOOKUP(YEAR($A50),'NY East Load Projections'!$A$4:$EO$14,((MONTH($A50)-1)*12)+VLOOKUP(CC$4,$DE$6:$DF$17,2)+1))*(VLOOKUP($A50,CURVES!$D$9:$T$261,8))*(INDEX(DailyScalarsTable,CC$5/100,MONTH($A50)))*$D50</f>
        <v>-10009.166991300322</v>
      </c>
      <c r="CE50" s="1021">
        <f>(VLOOKUP(YEAR($A50),'NY East Load Projections'!$A$4:$EO$14,((MONTH($A50)-1)*12)+VLOOKUP(CE$4,$DE$6:$DF$17,2)+1))*(VLOOKUP($A50,CURVES!$D$9:$T$261,8))*(INDEX(DailyScalarsTable,CE$5/100,MONTH($A50)))*$E50</f>
        <v>-2133.7189606203033</v>
      </c>
      <c r="CF50" s="1021">
        <f>(VLOOKUP(YEAR($A50),'NY East Load Projections'!$A$4:$EO$14,((MONTH($A50)-1)*12)+VLOOKUP(CF$4,$DE$6:$DF$17,2)+1))*(VLOOKUP($A50,CURVES!$D$9:$T$261,8))*(INDEX(DailyScalarsTable,CF$5/100,MONTH($A50)))*$E50</f>
        <v>-1871.9495275546169</v>
      </c>
      <c r="CG50" s="1021">
        <f>(VLOOKUP(YEAR($A50),'NY East Load Projections'!$A$4:$EO$14,((MONTH($A50)-1)*12)+VLOOKUP(CG$4,$DE$6:$DF$17,2)+1))*(VLOOKUP($A50,CURVES!$D$9:$T$261,8))*(INDEX(DailyScalarsTable,CG$5/100,MONTH($A50)))*$E50</f>
        <v>-1755.4269020698914</v>
      </c>
      <c r="CH50" s="1021">
        <f>(VLOOKUP(YEAR($A50),'NY East Load Projections'!$A$4:$EO$14,((MONTH($A50)-1)*12)+VLOOKUP(CH$4,$DE$6:$DF$17,2)+1))*(VLOOKUP($A50,CURVES!$D$9:$T$261,8))*(INDEX(DailyScalarsTable,CH$5/100,MONTH($A50)))*$E50</f>
        <v>-1781.4412556664818</v>
      </c>
      <c r="CI50" s="1021">
        <f>(VLOOKUP(YEAR($A50),'NY East Load Projections'!$A$4:$EO$14,((MONTH($A50)-1)*12)+VLOOKUP(CI$4,$DE$6:$DF$17,2)+1))*(VLOOKUP($A50,CURVES!$D$9:$T$261,8))*(INDEX(DailyScalarsTable,CI$5/100,MONTH($A50)))*$E50</f>
        <v>-1937.4499573861285</v>
      </c>
      <c r="CJ50" s="1021">
        <f>(VLOOKUP(YEAR($A50),'NY East Load Projections'!$A$4:$EO$14,((MONTH($A50)-1)*12)+VLOOKUP(CJ$4,$DE$6:$DF$17,2)+1))*(VLOOKUP($A50,CURVES!$D$9:$T$261,8))*(INDEX(DailyScalarsTable,CJ$5/100,MONTH($A50)))*$E50</f>
        <v>-2242.0701535601097</v>
      </c>
      <c r="CK50" s="1021">
        <f>(VLOOKUP(YEAR($A50),'NY East Load Projections'!$A$4:$EO$14,((MONTH($A50)-1)*12)+VLOOKUP(CK$4,$DE$6:$DF$17,2)+1))*(VLOOKUP($A50,CURVES!$D$9:$T$261,8))*(INDEX(DailyScalarsTable,CK$5/100,MONTH($A50)))*$E50</f>
        <v>-3048.9315333901177</v>
      </c>
      <c r="CL50" s="1021">
        <f>(VLOOKUP(YEAR($A50),'NY East Load Projections'!$A$4:$EO$14,((MONTH($A50)-1)*12)+VLOOKUP(CL$4,$DE$6:$DF$17,2)+1))*(VLOOKUP($A50,SatSunCurve,8))*(INDEX(DailyScalarsTable,CL$5/100,MONTH($A50)))*$E50</f>
        <v>-2204.3848917752789</v>
      </c>
      <c r="CM50" s="1021">
        <f>(VLOOKUP(YEAR($A50),'NY East Load Projections'!$A$4:$EO$14,((MONTH($A50)-1)*12)+VLOOKUP(CM$4,$DE$6:$DF$17,2)+1))*(VLOOKUP($A50,SatSunCurve,8))*(INDEX(DailyScalarsTable,CM$5/100,MONTH($A50)))*$E50</f>
        <v>-2432.0529744520109</v>
      </c>
      <c r="CN50" s="1021">
        <f>(VLOOKUP(YEAR($A50),'NY East Load Projections'!$A$4:$EO$14,((MONTH($A50)-1)*12)+VLOOKUP(CN$4,$DE$6:$DF$17,2)+1))*(VLOOKUP($A50,SatSunCurve,8))*(INDEX(DailyScalarsTable,CN$5/100,MONTH($A50)))*$E50</f>
        <v>-3035.963564599338</v>
      </c>
      <c r="CO50" s="1021">
        <f>(VLOOKUP(YEAR($A50),'NY East Load Projections'!$A$4:$EO$14,((MONTH($A50)-1)*12)+VLOOKUP(CO$4,$DE$6:$DF$17,2)+1))*(VLOOKUP($A50,SatSunCurve,8))*(INDEX(DailyScalarsTable,CO$5/100,MONTH($A50)))*$E50</f>
        <v>-3242.2684245875557</v>
      </c>
      <c r="CP50" s="1021">
        <f>(VLOOKUP(YEAR($A50),'NY East Load Projections'!$A$4:$EO$14,((MONTH($A50)-1)*12)+VLOOKUP(CP$4,$DE$6:$DF$17,2)+1))*(VLOOKUP($A50,SatSunCurve,8))*(INDEX(DailyScalarsTable,CP$5/100,MONTH($A50)))*$E50</f>
        <v>-3454.6686554390621</v>
      </c>
      <c r="CQ50" s="1021">
        <f>(VLOOKUP(YEAR($A50),'NY East Load Projections'!$A$4:$EO$14,((MONTH($A50)-1)*12)+VLOOKUP(CQ$4,$DE$6:$DF$17,2)+1))*(VLOOKUP($A50,SatSunCurve,8))*(INDEX(DailyScalarsTable,CQ$5/100,MONTH($A50)))*$E50</f>
        <v>-3338.9367623438602</v>
      </c>
      <c r="CR50" s="1021">
        <f>(VLOOKUP(YEAR($A50),'NY East Load Projections'!$A$4:$EO$14,((MONTH($A50)-1)*12)+VLOOKUP(CR$4,$DE$6:$DF$17,2)+1))*(VLOOKUP($A50,SatSunCurve,8))*(INDEX(DailyScalarsTable,CR$5/100,MONTH($A50)))*$E50</f>
        <v>-3614.5056784264953</v>
      </c>
      <c r="CS50" s="1021">
        <f>(VLOOKUP(YEAR($A50),'NY East Load Projections'!$A$4:$EO$14,((MONTH($A50)-1)*12)+VLOOKUP(CS$4,$DE$6:$DF$17,2)+1))*(VLOOKUP($A50,SatSunCurve,8))*(INDEX(DailyScalarsTable,CS$5/100,MONTH($A50)))*$E50</f>
        <v>-3557.4748940546128</v>
      </c>
      <c r="CT50" s="1021">
        <f>(VLOOKUP(YEAR($A50),'NY East Load Projections'!$A$4:$EO$14,((MONTH($A50)-1)*12)+VLOOKUP(CT$4,$DE$6:$DF$17,2)+1))*(VLOOKUP($A50,SatSunCurve,8))*(INDEX(DailyScalarsTable,CT$5/100,MONTH($A50)))*$E50</f>
        <v>-3446.2888270438793</v>
      </c>
      <c r="CU50" s="1021">
        <f>(VLOOKUP(YEAR($A50),'NY East Load Projections'!$A$4:$EO$14,((MONTH($A50)-1)*12)+VLOOKUP(CU$4,$DE$6:$DF$17,2)+1))*(VLOOKUP($A50,SatSunCurve,8))*(INDEX(DailyScalarsTable,CU$5/100,MONTH($A50)))*$E50</f>
        <v>-3456.540160186943</v>
      </c>
      <c r="CV50" s="1021">
        <f>(VLOOKUP(YEAR($A50),'NY East Load Projections'!$A$4:$EO$14,((MONTH($A50)-1)*12)+VLOOKUP(CV$4,$DE$6:$DF$17,2)+1))*(VLOOKUP($A50,SatSunCurve,8))*(INDEX(DailyScalarsTable,CV$5/100,MONTH($A50)))*$E50</f>
        <v>-3371.744468716895</v>
      </c>
      <c r="CW50" s="1021">
        <f>(VLOOKUP(YEAR($A50),'NY East Load Projections'!$A$4:$EO$14,((MONTH($A50)-1)*12)+VLOOKUP(CW$4,$DE$6:$DF$17,2)+1))*(VLOOKUP($A50,SatSunCurve,8))*(INDEX(DailyScalarsTable,CW$5/100,MONTH($A50)))*$E50</f>
        <v>-2761.6617832455513</v>
      </c>
      <c r="CX50" s="1021">
        <f>(VLOOKUP(YEAR($A50),'NY East Load Projections'!$A$4:$EO$14,((MONTH($A50)-1)*12)+VLOOKUP(CX$4,$DE$6:$DF$17,2)+1))*(VLOOKUP($A50,SatSunCurve,8))*(INDEX(DailyScalarsTable,CX$5/100,MONTH($A50)))*$E50</f>
        <v>-3609.1724048330284</v>
      </c>
      <c r="CY50" s="1021">
        <f>(VLOOKUP(YEAR($A50),'NY East Load Projections'!$A$4:$EO$14,((MONTH($A50)-1)*12)+VLOOKUP(CY$4,$DE$6:$DF$17,2)+1))*(VLOOKUP($A50,SatSunCurve,8))*(INDEX(DailyScalarsTable,CY$5/100,MONTH($A50)))*$E50</f>
        <v>-3494.7180539761566</v>
      </c>
      <c r="CZ50" s="1021">
        <f>(VLOOKUP(YEAR($A50),'NY East Load Projections'!$A$4:$EO$14,((MONTH($A50)-1)*12)+VLOOKUP(CZ$4,$DE$6:$DF$17,2)+1))*(VLOOKUP($A50,SatSunCurve,8))*(INDEX(DailyScalarsTable,CZ$5/100,MONTH($A50)))*$E50</f>
        <v>-2659.8258821407926</v>
      </c>
      <c r="DA50" s="1021">
        <f>(VLOOKUP(YEAR($A50),'NY East Load Projections'!$A$4:$EO$14,((MONTH($A50)-1)*12)+VLOOKUP(DA$4,$DE$6:$DF$17,2)+1))*(VLOOKUP($A50,SatSunCurve,8))*(INDEX(DailyScalarsTable,DA$5/100,MONTH($A50)))*$E50</f>
        <v>-2107.8027212968777</v>
      </c>
      <c r="DB50" s="1021">
        <f>(VLOOKUP(YEAR($A50),'NY East Load Projections'!$A$4:$EO$14,((MONTH($A50)-1)*12)+VLOOKUP(DB$4,$DE$6:$DF$17,2)+1))*(VLOOKUP($A50,CURVES!$D$9:$T$261,8))*(INDEX(DailyScalarsTable,DB$5/100,MONTH($A50)))*$E50</f>
        <v>-2502.2917478250806</v>
      </c>
      <c r="DH50" s="1021">
        <f t="shared" si="0"/>
        <v>-2279898.3745830371</v>
      </c>
      <c r="DI50">
        <f ca="1">CALC!J70</f>
        <v>0.71769710979032808</v>
      </c>
      <c r="DJ50" s="1029">
        <f t="shared" ca="1" si="1"/>
        <v>-1636276.4740539126</v>
      </c>
    </row>
    <row r="51" spans="1:114" x14ac:dyDescent="0.25">
      <c r="A51" s="244">
        <v>38261</v>
      </c>
      <c r="B51" s="13">
        <v>21</v>
      </c>
      <c r="C51" s="210">
        <v>5</v>
      </c>
      <c r="D51" s="210">
        <v>5</v>
      </c>
      <c r="E51" s="210">
        <v>0</v>
      </c>
      <c r="F51" s="13">
        <v>31</v>
      </c>
      <c r="H51" s="1021">
        <f>(VLOOKUP(YEAR($A51),'NY East Load Projections'!$A$4:$EO$14,((MONTH($A51)-1)*12)+VLOOKUP(H$4,$DE$6:$DF$17,2)+1))*(VLOOKUP($A51,CURVES!$D$9:$K$261,8))*(INDEX(DailyScalarsTable,H$5/100,MONTH($A51)))*$B51</f>
        <v>-37360.938368430594</v>
      </c>
      <c r="I51" s="1021">
        <f>(VLOOKUP(YEAR($A51),'NY East Load Projections'!$A$4:$EO$14,((MONTH($A51)-1)*12)+VLOOKUP(I$4,$DE$6:$DF$17,2)+1))*(VLOOKUP($A51,CURVES!$D$9:$K$261,8))*(INDEX(DailyScalarsTable,I$5/100,MONTH($A51)))*$B51</f>
        <v>-35460.429339262402</v>
      </c>
      <c r="J51" s="1021">
        <f>(VLOOKUP(YEAR($A51),'NY East Load Projections'!$A$4:$EO$14,((MONTH($A51)-1)*12)+VLOOKUP(J$4,$DE$6:$DF$17,2)+1))*(VLOOKUP($A51,CURVES!$D$9:$K$261,8))*(INDEX(DailyScalarsTable,J$5/100,MONTH($A51)))*$B51</f>
        <v>-34063.574876830295</v>
      </c>
      <c r="K51" s="1021">
        <f>(VLOOKUP(YEAR($A51),'NY East Load Projections'!$A$4:$EO$14,((MONTH($A51)-1)*12)+VLOOKUP(K$4,$DE$6:$DF$17,2)+1))*(VLOOKUP($A51,CURVES!$D$9:$K$261,8))*(INDEX(DailyScalarsTable,K$5/100,MONTH($A51)))*$B51</f>
        <v>-34083.248883343425</v>
      </c>
      <c r="L51" s="1021">
        <f>(VLOOKUP(YEAR($A51),'NY East Load Projections'!$A$4:$EO$14,((MONTH($A51)-1)*12)+VLOOKUP(L$4,$DE$6:$DF$17,2)+1))*(VLOOKUP($A51,CURVES!$D$9:$K$261,8))*(INDEX(DailyScalarsTable,L$5/100,MONTH($A51)))*$B51</f>
        <v>-40332.545847810987</v>
      </c>
      <c r="M51" s="1021">
        <f>(VLOOKUP(YEAR($A51),'NY East Load Projections'!$A$4:$EO$14,((MONTH($A51)-1)*12)+VLOOKUP(M$4,$DE$6:$DF$17,2)+1))*(VLOOKUP($A51,CURVES!$D$9:$K$261,8))*(INDEX(DailyScalarsTable,M$5/100,MONTH($A51)))*$B51</f>
        <v>-46335.630653437678</v>
      </c>
      <c r="N51" s="1021">
        <f>(VLOOKUP(YEAR($A51),'NY East Load Projections'!$A$4:$EO$14,((MONTH($A51)-1)*12)+VLOOKUP(N$4,$DE$6:$DF$17,2)+1))*(VLOOKUP($A51,CURVES!$D$9:$K$261,8))*(INDEX(DailyScalarsTable,N$5/100,MONTH($A51)))*$B51</f>
        <v>-59900.251577536867</v>
      </c>
      <c r="O51" s="1021">
        <f>(VLOOKUP(YEAR($A51),'NY East Load Projections'!$A$4:$EO$14,((MONTH($A51)-1)*12)+VLOOKUP(O$4,$DE$6:$DF$17,2)+1))*(VLOOKUP($A51,CURVES!$D$9:$K$261,4))*(INDEX(DailyScalarsTable,O$5/100,MONTH($A51)))*$B51</f>
        <v>-71932.425318974696</v>
      </c>
      <c r="P51" s="1021">
        <f>(VLOOKUP(YEAR($A51),'NY East Load Projections'!$A$4:$EO$14,((MONTH($A51)-1)*12)+VLOOKUP(P$4,$DE$6:$DF$17,2)+1))*(VLOOKUP($A51,CURVES!$D$9:$K$261,4))*(INDEX(DailyScalarsTable,P$5/100,MONTH($A51)))*$B51</f>
        <v>-85765.494632290327</v>
      </c>
      <c r="Q51" s="1021">
        <f>(VLOOKUP(YEAR($A51),'NY East Load Projections'!$A$4:$EO$14,((MONTH($A51)-1)*12)+VLOOKUP(Q$4,$DE$6:$DF$17,2)+1))*(VLOOKUP($A51,CURVES!$D$9:$K$261,4))*(INDEX(DailyScalarsTable,Q$5/100,MONTH($A51)))*$B51</f>
        <v>-85500.45911117694</v>
      </c>
      <c r="R51" s="1021">
        <f>(VLOOKUP(YEAR($A51),'NY East Load Projections'!$A$4:$EO$14,((MONTH($A51)-1)*12)+VLOOKUP(R$4,$DE$6:$DF$17,2)+1))*(VLOOKUP($A51,CURVES!$D$9:$K$261,4))*(INDEX(DailyScalarsTable,R$5/100,MONTH($A51)))*$B51</f>
        <v>-85015.822729712469</v>
      </c>
      <c r="S51" s="1021">
        <f>(VLOOKUP(YEAR($A51),'NY East Load Projections'!$A$4:$EO$14,((MONTH($A51)-1)*12)+VLOOKUP(S$4,$DE$6:$DF$17,2)+1))*(VLOOKUP($A51,CURVES!$D$9:$K$261,4))*(INDEX(DailyScalarsTable,S$5/100,MONTH($A51)))*$B51</f>
        <v>-71741.329343662233</v>
      </c>
      <c r="T51" s="1021">
        <f>(VLOOKUP(YEAR($A51),'NY East Load Projections'!$A$4:$EO$14,((MONTH($A51)-1)*12)+VLOOKUP(T$4,$DE$6:$DF$17,2)+1))*(VLOOKUP($A51,CURVES!$D$9:$K$261,4))*(INDEX(DailyScalarsTable,T$5/100,MONTH($A51)))*$B51</f>
        <v>-69488.838324189812</v>
      </c>
      <c r="U51" s="1021">
        <f>(VLOOKUP(YEAR($A51),'NY East Load Projections'!$A$4:$EO$14,((MONTH($A51)-1)*12)+VLOOKUP(U$4,$DE$6:$DF$17,2)+1))*(VLOOKUP($A51,CURVES!$D$9:$K$261,4))*(INDEX(DailyScalarsTable,U$5/100,MONTH($A51)))*$B51</f>
        <v>-67560.111156409737</v>
      </c>
      <c r="V51" s="1021">
        <f>(VLOOKUP(YEAR($A51),'NY East Load Projections'!$A$4:$EO$14,((MONTH($A51)-1)*12)+VLOOKUP(V$4,$DE$6:$DF$17,2)+1))*(VLOOKUP($A51,CURVES!$D$9:$K$261,4))*(INDEX(DailyScalarsTable,V$5/100,MONTH($A51)))*$B51</f>
        <v>-65990.580141333645</v>
      </c>
      <c r="W51" s="1021">
        <f>(VLOOKUP(YEAR($A51),'NY East Load Projections'!$A$4:$EO$14,((MONTH($A51)-1)*12)+VLOOKUP(W$4,$DE$6:$DF$17,2)+1))*(VLOOKUP($A51,CURVES!$D$9:$K$261,4))*(INDEX(DailyScalarsTable,W$5/100,MONTH($A51)))*$B51</f>
        <v>-65537.680644446024</v>
      </c>
      <c r="X51" s="1021">
        <f>(VLOOKUP(YEAR($A51),'NY East Load Projections'!$A$4:$EO$14,((MONTH($A51)-1)*12)+VLOOKUP(X$4,$DE$6:$DF$17,2)+1))*(VLOOKUP($A51,CURVES!$D$9:$K$261,4))*(INDEX(DailyScalarsTable,X$5/100,MONTH($A51)))*$B51</f>
        <v>-65091.221880134319</v>
      </c>
      <c r="Y51" s="1021">
        <f>(VLOOKUP(YEAR($A51),'NY East Load Projections'!$A$4:$EO$14,((MONTH($A51)-1)*12)+VLOOKUP(Y$4,$DE$6:$DF$17,2)+1))*(VLOOKUP($A51,CURVES!$D$9:$K$261,4))*(INDEX(DailyScalarsTable,Y$5/100,MONTH($A51)))*$B51</f>
        <v>-87810.22412134576</v>
      </c>
      <c r="Z51" s="1021">
        <f>(VLOOKUP(YEAR($A51),'NY East Load Projections'!$A$4:$EO$14,((MONTH($A51)-1)*12)+VLOOKUP(Z$4,$DE$6:$DF$17,2)+1))*(VLOOKUP($A51,CURVES!$D$9:$K$261,4))*(INDEX(DailyScalarsTable,Z$5/100,MONTH($A51)))*$B51</f>
        <v>-88498.013561176325</v>
      </c>
      <c r="AA51" s="1021">
        <f>(VLOOKUP(YEAR($A51),'NY East Load Projections'!$A$4:$EO$14,((MONTH($A51)-1)*12)+VLOOKUP(AA$4,$DE$6:$DF$17,2)+1))*(VLOOKUP($A51,CURVES!$D$9:$K$261,4))*(INDEX(DailyScalarsTable,AA$5/100,MONTH($A51)))*$B51</f>
        <v>-84634.68564383022</v>
      </c>
      <c r="AB51" s="1021">
        <f>(VLOOKUP(YEAR($A51),'NY East Load Projections'!$A$4:$EO$14,((MONTH($A51)-1)*12)+VLOOKUP(AB$4,$DE$6:$DF$17,2)+1))*(VLOOKUP($A51,CURVES!$D$9:$K$261,4))*(INDEX(DailyScalarsTable,AB$5/100,MONTH($A51)))*$B51</f>
        <v>-68832.115204548929</v>
      </c>
      <c r="AC51" s="1021">
        <f>(VLOOKUP(YEAR($A51),'NY East Load Projections'!$A$4:$EO$14,((MONTH($A51)-1)*12)+VLOOKUP(AC$4,$DE$6:$DF$17,2)+1))*(VLOOKUP($A51,CURVES!$D$9:$K$261,4))*(INDEX(DailyScalarsTable,AC$5/100,MONTH($A51)))*$B51</f>
        <v>-57099.295118227659</v>
      </c>
      <c r="AD51" s="1021">
        <f>(VLOOKUP(YEAR($A51),'NY East Load Projections'!$A$4:$EO$14,((MONTH($A51)-1)*12)+VLOOKUP(AD$4,$DE$6:$DF$17,2)+1))*(VLOOKUP($A51,CURVES!$D$9:$K$261,4))*(INDEX(DailyScalarsTable,AD$5/100,MONTH($A51)))*$B51</f>
        <v>-48682.831971783147</v>
      </c>
      <c r="AE51" s="1021">
        <f>(VLOOKUP(YEAR($A51),'NY East Load Projections'!$A$4:$EO$14,((MONTH($A51)-1)*12)+VLOOKUP(AE$4,$DE$6:$DF$17,2)+1))*(VLOOKUP($A51,CURVES!$D$9:$K$261,8))*(INDEX(DailyScalarsTable,AE$5/100,MONTH($A51)))*$B51</f>
        <v>-43456.585812679383</v>
      </c>
      <c r="AF51" s="1021"/>
      <c r="AG51" s="1021">
        <f>(VLOOKUP(YEAR($A51),'NY East Load Projections'!$A$4:$EO$14,((MONTH($A51)-1)*12)+VLOOKUP(AG$4,$DE$6:$DF$17,2)+1))*(VLOOKUP($A51,CURVES!$D$9:$T$261,8))*(INDEX(DailyScalarsTable,AG$5/100,MONTH($A51)))*$C51</f>
        <v>-9287.3237470120821</v>
      </c>
      <c r="AH51" s="1021">
        <f>(VLOOKUP(YEAR($A51),'NY East Load Projections'!$A$4:$EO$14,((MONTH($A51)-1)*12)+VLOOKUP(AH$4,$DE$6:$DF$17,2)+1))*(VLOOKUP($A51,CURVES!$D$9:$T$261,8))*(INDEX(DailyScalarsTable,AH$5/100,MONTH($A51)))*$C51</f>
        <v>-8814.8880050629687</v>
      </c>
      <c r="AI51" s="1021">
        <f>(VLOOKUP(YEAR($A51),'NY East Load Projections'!$A$4:$EO$14,((MONTH($A51)-1)*12)+VLOOKUP(AI$4,$DE$6:$DF$17,2)+1))*(VLOOKUP($A51,CURVES!$D$9:$T$261,8))*(INDEX(DailyScalarsTable,AI$5/100,MONTH($A51)))*$C51</f>
        <v>-8467.652625369521</v>
      </c>
      <c r="AJ51" s="1021">
        <f>(VLOOKUP(YEAR($A51),'NY East Load Projections'!$A$4:$EO$14,((MONTH($A51)-1)*12)+VLOOKUP(AJ$4,$DE$6:$DF$17,2)+1))*(VLOOKUP($A51,CURVES!$D$9:$T$261,8))*(INDEX(DailyScalarsTable,AJ$5/100,MONTH($A51)))*$C51</f>
        <v>-8472.5432645201327</v>
      </c>
      <c r="AK51" s="1021">
        <f>(VLOOKUP(YEAR($A51),'NY East Load Projections'!$A$4:$EO$14,((MONTH($A51)-1)*12)+VLOOKUP(AK$4,$DE$6:$DF$17,2)+1))*(VLOOKUP($A51,CURVES!$D$9:$T$261,8))*(INDEX(DailyScalarsTable,AK$5/100,MONTH($A51)))*$C51</f>
        <v>-9189.0032384787464</v>
      </c>
      <c r="AL51" s="1021">
        <f>(VLOOKUP(YEAR($A51),'NY East Load Projections'!$A$4:$EO$14,((MONTH($A51)-1)*12)+VLOOKUP(AL$4,$DE$6:$DF$17,2)+1))*(VLOOKUP($A51,CURVES!$D$9:$T$261,8))*(INDEX(DailyScalarsTable,AL$5/100,MONTH($A51)))*$C51</f>
        <v>-10556.691901820594</v>
      </c>
      <c r="AM51" s="1021">
        <f>(VLOOKUP(YEAR($A51),'NY East Load Projections'!$A$4:$EO$14,((MONTH($A51)-1)*12)+VLOOKUP(AM$4,$DE$6:$DF$17,2)+1))*(VLOOKUP($A51,CURVES!$D$9:$T$261,8))*(INDEX(DailyScalarsTable,AM$5/100,MONTH($A51)))*$C51</f>
        <v>-13647.132710358073</v>
      </c>
      <c r="AN51" s="1021">
        <f>(VLOOKUP(YEAR($A51),'NY East Load Projections'!$A$4:$EO$14,((MONTH($A51)-1)*12)+VLOOKUP(AN$4,$DE$6:$DF$17,2)+1))*(VLOOKUP($A51,SatSunCurve,4))*(INDEX(DailyScalarsTable,AN$5/100,MONTH($A51)))*$C51</f>
        <v>-12501.360171164404</v>
      </c>
      <c r="AO51" s="1021">
        <f>(VLOOKUP(YEAR($A51),'NY East Load Projections'!$A$4:$EO$14,((MONTH($A51)-1)*12)+VLOOKUP(AO$4,$DE$6:$DF$17,2)+1))*(VLOOKUP($A51,SatSunCurve,4))*(INDEX(DailyScalarsTable,AO$5/100,MONTH($A51)))*$C51</f>
        <v>-14777.622397888126</v>
      </c>
      <c r="AP51" s="1021">
        <f>(VLOOKUP(YEAR($A51),'NY East Load Projections'!$A$4:$EO$14,((MONTH($A51)-1)*12)+VLOOKUP(AP$4,$DE$6:$DF$17,2)+1))*(VLOOKUP($A51,SatSunCurve,4))*(INDEX(DailyScalarsTable,AP$5/100,MONTH($A51)))*$C51</f>
        <v>-14731.95607403804</v>
      </c>
      <c r="AQ51" s="1021">
        <f>(VLOOKUP(YEAR($A51),'NY East Load Projections'!$A$4:$EO$14,((MONTH($A51)-1)*12)+VLOOKUP(AQ$4,$DE$6:$DF$17,2)+1))*(VLOOKUP($A51,SatSunCurve,4))*(INDEX(DailyScalarsTable,AQ$5/100,MONTH($A51)))*$C51</f>
        <v>-14648.45193899788</v>
      </c>
      <c r="AR51" s="1021">
        <f>(VLOOKUP(YEAR($A51),'NY East Load Projections'!$A$4:$EO$14,((MONTH($A51)-1)*12)+VLOOKUP(AR$4,$DE$6:$DF$17,2)+1))*(VLOOKUP($A51,SatSunCurve,4))*(INDEX(DailyScalarsTable,AR$5/100,MONTH($A51)))*$C51</f>
        <v>-12361.221490163527</v>
      </c>
      <c r="AS51" s="1021">
        <f>(VLOOKUP(YEAR($A51),'NY East Load Projections'!$A$4:$EO$14,((MONTH($A51)-1)*12)+VLOOKUP(AS$4,$DE$6:$DF$17,2)+1))*(VLOOKUP($A51,SatSunCurve,4))*(INDEX(DailyScalarsTable,AS$5/100,MONTH($A51)))*$C51</f>
        <v>-11899.441088081803</v>
      </c>
      <c r="AT51" s="1021">
        <f>(VLOOKUP(YEAR($A51),'NY East Load Projections'!$A$4:$EO$14,((MONTH($A51)-1)*12)+VLOOKUP(AT$4,$DE$6:$DF$17,2)+1))*(VLOOKUP($A51,SatSunCurve,4))*(INDEX(DailyScalarsTable,AT$5/100,MONTH($A51)))*$C51</f>
        <v>-11569.16106237597</v>
      </c>
      <c r="AU51" s="1021">
        <f>(VLOOKUP(YEAR($A51),'NY East Load Projections'!$A$4:$EO$14,((MONTH($A51)-1)*12)+VLOOKUP(AU$4,$DE$6:$DF$17,2)+1))*(VLOOKUP($A51,SatSunCurve,4))*(INDEX(DailyScalarsTable,AU$5/100,MONTH($A51)))*$C51</f>
        <v>-11300.390677084988</v>
      </c>
      <c r="AV51" s="1021">
        <f>(VLOOKUP(YEAR($A51),'NY East Load Projections'!$A$4:$EO$14,((MONTH($A51)-1)*12)+VLOOKUP(AV$4,$DE$6:$DF$17,2)+1))*(VLOOKUP($A51,SatSunCurve,4))*(INDEX(DailyScalarsTable,AV$5/100,MONTH($A51)))*$C51</f>
        <v>-11222.835043518437</v>
      </c>
      <c r="AW51" s="1021">
        <f>(VLOOKUP(YEAR($A51),'NY East Load Projections'!$A$4:$EO$14,((MONTH($A51)-1)*12)+VLOOKUP(AW$4,$DE$6:$DF$17,2)+1))*(VLOOKUP($A51,SatSunCurve,4))*(INDEX(DailyScalarsTable,AW$5/100,MONTH($A51)))*$C51</f>
        <v>-11098.641520034598</v>
      </c>
      <c r="AX51" s="1021">
        <f>(VLOOKUP(YEAR($A51),'NY East Load Projections'!$A$4:$EO$14,((MONTH($A51)-1)*12)+VLOOKUP(AX$4,$DE$6:$DF$17,2)+1))*(VLOOKUP($A51,SatSunCurve,4))*(INDEX(DailyScalarsTable,AX$5/100,MONTH($A51)))*$C51</f>
        <v>-14972.436699857826</v>
      </c>
      <c r="AY51" s="1021">
        <f>(VLOOKUP(YEAR($A51),'NY East Load Projections'!$A$4:$EO$14,((MONTH($A51)-1)*12)+VLOOKUP(AY$4,$DE$6:$DF$17,2)+1))*(VLOOKUP($A51,SatSunCurve,4))*(INDEX(DailyScalarsTable,AY$5/100,MONTH($A51)))*$C51</f>
        <v>-15089.711014480494</v>
      </c>
      <c r="AZ51" s="1021">
        <f>(VLOOKUP(YEAR($A51),'NY East Load Projections'!$A$4:$EO$14,((MONTH($A51)-1)*12)+VLOOKUP(AZ$4,$DE$6:$DF$17,2)+1))*(VLOOKUP($A51,SatSunCurve,4))*(INDEX(DailyScalarsTable,AZ$5/100,MONTH($A51)))*$C51</f>
        <v>-14430.978694046787</v>
      </c>
      <c r="BA51" s="1021">
        <f>(VLOOKUP(YEAR($A51),'NY East Load Projections'!$A$4:$EO$14,((MONTH($A51)-1)*12)+VLOOKUP(BA$4,$DE$6:$DF$17,2)+1))*(VLOOKUP($A51,SatSunCurve,4))*(INDEX(DailyScalarsTable,BA$5/100,MONTH($A51)))*$C51</f>
        <v>-12708.521869027751</v>
      </c>
      <c r="BB51" s="1021">
        <f>(VLOOKUP(YEAR($A51),'NY East Load Projections'!$A$4:$EO$14,((MONTH($A51)-1)*12)+VLOOKUP(BB$4,$DE$6:$DF$17,2)+1))*(VLOOKUP($A51,SatSunCurve,4))*(INDEX(DailyScalarsTable,BB$5/100,MONTH($A51)))*$C51</f>
        <v>-10542.283039823094</v>
      </c>
      <c r="BC51" s="1021">
        <f>(VLOOKUP(YEAR($A51),'NY East Load Projections'!$A$4:$EO$14,((MONTH($A51)-1)*12)+VLOOKUP(BC$4,$DE$6:$DF$17,2)+1))*(VLOOKUP($A51,SatSunCurve,4))*(INDEX(DailyScalarsTable,BC$5/100,MONTH($A51)))*$C51</f>
        <v>-8988.3455262278785</v>
      </c>
      <c r="BD51" s="1021">
        <f>(VLOOKUP(YEAR($A51),'NY East Load Projections'!$A$4:$EO$14,((MONTH($A51)-1)*12)+VLOOKUP(BD$4,$DE$6:$DF$17,2)+1))*(VLOOKUP($A51,CURVES!$D$9:$T$261,8))*(INDEX(DailyScalarsTable,BD$5/100,MONTH($A51)))*$C51</f>
        <v>-10518.159010937012</v>
      </c>
      <c r="BE51" s="1021"/>
      <c r="BF51" s="1021">
        <f>(VLOOKUP(YEAR($A51),'NY East Load Projections'!$A$4:$EO$14,((MONTH($A51)-1)*12)+VLOOKUP(BF$4,$DE$6:$DF$17,2)+1))*(VLOOKUP($A51,CURVES!$D$9:$T$261,8))*(INDEX(DailyScalarsTable,BF$5/100,MONTH($A51)))*$D51</f>
        <v>-9287.3237470120821</v>
      </c>
      <c r="BG51" s="1021">
        <f>(VLOOKUP(YEAR($A51),'NY East Load Projections'!$A$4:$EO$14,((MONTH($A51)-1)*12)+VLOOKUP(BG$4,$DE$6:$DF$17,2)+1))*(VLOOKUP($A51,CURVES!$D$9:$T$261,8))*(INDEX(DailyScalarsTable,BG$5/100,MONTH($A51)))*$D51</f>
        <v>-8814.8880050629687</v>
      </c>
      <c r="BH51" s="1021">
        <f>(VLOOKUP(YEAR($A51),'NY East Load Projections'!$A$4:$EO$14,((MONTH($A51)-1)*12)+VLOOKUP(BH$4,$DE$6:$DF$17,2)+1))*(VLOOKUP($A51,CURVES!$D$9:$T$261,8))*(INDEX(DailyScalarsTable,BH$5/100,MONTH($A51)))*$D51</f>
        <v>-8467.652625369521</v>
      </c>
      <c r="BI51" s="1021">
        <f>(VLOOKUP(YEAR($A51),'NY East Load Projections'!$A$4:$EO$14,((MONTH($A51)-1)*12)+VLOOKUP(BI$4,$DE$6:$DF$17,2)+1))*(VLOOKUP($A51,CURVES!$D$9:$T$261,8))*(INDEX(DailyScalarsTable,BI$5/100,MONTH($A51)))*$D51</f>
        <v>-8472.5432645201327</v>
      </c>
      <c r="BJ51" s="1021">
        <f>(VLOOKUP(YEAR($A51),'NY East Load Projections'!$A$4:$EO$14,((MONTH($A51)-1)*12)+VLOOKUP(BJ$4,$DE$6:$DF$17,2)+1))*(VLOOKUP($A51,CURVES!$D$9:$T$261,8))*(INDEX(DailyScalarsTable,BJ$5/100,MONTH($A51)))*$D51</f>
        <v>-9189.0032384787464</v>
      </c>
      <c r="BK51" s="1021">
        <f>(VLOOKUP(YEAR($A51),'NY East Load Projections'!$A$4:$EO$14,((MONTH($A51)-1)*12)+VLOOKUP(BK$4,$DE$6:$DF$17,2)+1))*(VLOOKUP($A51,CURVES!$D$9:$T$261,8))*(INDEX(DailyScalarsTable,BK$5/100,MONTH($A51)))*$D51</f>
        <v>-10556.691901820594</v>
      </c>
      <c r="BL51" s="1021">
        <f>(VLOOKUP(YEAR($A51),'NY East Load Projections'!$A$4:$EO$14,((MONTH($A51)-1)*12)+VLOOKUP(BL$4,$DE$6:$DF$17,2)+1))*(VLOOKUP($A51,CURVES!$D$9:$T$261,8))*(INDEX(DailyScalarsTable,BL$5/100,MONTH($A51)))*$D51</f>
        <v>-13647.132710358073</v>
      </c>
      <c r="BM51" s="1021">
        <f>(VLOOKUP(YEAR($A51),'NY East Load Projections'!$A$4:$EO$14,((MONTH($A51)-1)*12)+VLOOKUP(BM$4,$DE$6:$DF$17,2)+1))*(VLOOKUP($A51,SatSunCurve,8))*(INDEX(DailyScalarsTable,BM$5/100,MONTH($A51)))*$D51</f>
        <v>-12849.057055246241</v>
      </c>
      <c r="BN51" s="1021">
        <f>(VLOOKUP(YEAR($A51),'NY East Load Projections'!$A$4:$EO$14,((MONTH($A51)-1)*12)+VLOOKUP(BN$4,$DE$6:$DF$17,2)+1))*(VLOOKUP($A51,SatSunCurve,8))*(INDEX(DailyScalarsTable,BN$5/100,MONTH($A51)))*$D51</f>
        <v>-15188.628335764814</v>
      </c>
      <c r="BO51" s="1021">
        <f>(VLOOKUP(YEAR($A51),'NY East Load Projections'!$A$4:$EO$14,((MONTH($A51)-1)*12)+VLOOKUP(BO$4,$DE$6:$DF$17,2)+1))*(VLOOKUP($A51,SatSunCurve,8))*(INDEX(DailyScalarsTable,BO$5/100,MONTH($A51)))*$D51</f>
        <v>-15141.691907038716</v>
      </c>
      <c r="BP51" s="1021">
        <f>(VLOOKUP(YEAR($A51),'NY East Load Projections'!$A$4:$EO$14,((MONTH($A51)-1)*12)+VLOOKUP(BP$4,$DE$6:$DF$17,2)+1))*(VLOOKUP($A51,SatSunCurve,8))*(INDEX(DailyScalarsTable,BP$5/100,MONTH($A51)))*$D51</f>
        <v>-15055.865294510997</v>
      </c>
      <c r="BQ51" s="1021">
        <f>(VLOOKUP(YEAR($A51),'NY East Load Projections'!$A$4:$EO$14,((MONTH($A51)-1)*12)+VLOOKUP(BQ$4,$DE$6:$DF$17,2)+1))*(VLOOKUP($A51,SatSunCurve,8))*(INDEX(DailyScalarsTable,BQ$5/100,MONTH($A51)))*$D51</f>
        <v>-12705.020735743938</v>
      </c>
      <c r="BR51" s="1021">
        <f>(VLOOKUP(YEAR($A51),'NY East Load Projections'!$A$4:$EO$14,((MONTH($A51)-1)*12)+VLOOKUP(BR$4,$DE$6:$DF$17,2)+1))*(VLOOKUP($A51,SatSunCurve,8))*(INDEX(DailyScalarsTable,BR$5/100,MONTH($A51)))*$D51</f>
        <v>-12230.396962642137</v>
      </c>
      <c r="BS51" s="1021">
        <f>(VLOOKUP(YEAR($A51),'NY East Load Projections'!$A$4:$EO$14,((MONTH($A51)-1)*12)+VLOOKUP(BS$4,$DE$6:$DF$17,2)+1))*(VLOOKUP($A51,SatSunCurve,8))*(INDEX(DailyScalarsTable,BS$5/100,MONTH($A51)))*$D51</f>
        <v>-11890.930949632515</v>
      </c>
      <c r="BT51" s="1021">
        <f>(VLOOKUP(YEAR($A51),'NY East Load Projections'!$A$4:$EO$14,((MONTH($A51)-1)*12)+VLOOKUP(BT$4,$DE$6:$DF$17,2)+1))*(VLOOKUP($A51,SatSunCurve,8))*(INDEX(DailyScalarsTable,BT$5/100,MONTH($A51)))*$D51</f>
        <v>-11614.685327709707</v>
      </c>
      <c r="BU51" s="1021">
        <f>(VLOOKUP(YEAR($A51),'NY East Load Projections'!$A$4:$EO$14,((MONTH($A51)-1)*12)+VLOOKUP(BU$4,$DE$6:$DF$17,2)+1))*(VLOOKUP($A51,SatSunCurve,8))*(INDEX(DailyScalarsTable,BU$5/100,MONTH($A51)))*$D51</f>
        <v>-11534.972660687208</v>
      </c>
      <c r="BV51" s="1021">
        <f>(VLOOKUP(YEAR($A51),'NY East Load Projections'!$A$4:$EO$14,((MONTH($A51)-1)*12)+VLOOKUP(BV$4,$DE$6:$DF$17,2)+1))*(VLOOKUP($A51,SatSunCurve,8))*(INDEX(DailyScalarsTable,BV$5/100,MONTH($A51)))*$D51</f>
        <v>-11407.324976972222</v>
      </c>
      <c r="BW51" s="1021">
        <f>(VLOOKUP(YEAR($A51),'NY East Load Projections'!$A$4:$EO$14,((MONTH($A51)-1)*12)+VLOOKUP(BW$4,$DE$6:$DF$17,2)+1))*(VLOOKUP($A51,SatSunCurve,8))*(INDEX(DailyScalarsTable,BW$5/100,MONTH($A51)))*$D51</f>
        <v>-15388.860954209045</v>
      </c>
      <c r="BX51" s="1021">
        <f>(VLOOKUP(YEAR($A51),'NY East Load Projections'!$A$4:$EO$14,((MONTH($A51)-1)*12)+VLOOKUP(BX$4,$DE$6:$DF$17,2)+1))*(VLOOKUP($A51,SatSunCurve,8))*(INDEX(DailyScalarsTable,BX$5/100,MONTH($A51)))*$D51</f>
        <v>-15509.396987014281</v>
      </c>
      <c r="BY51" s="1021">
        <f>(VLOOKUP(YEAR($A51),'NY East Load Projections'!$A$4:$EO$14,((MONTH($A51)-1)*12)+VLOOKUP(BY$4,$DE$6:$DF$17,2)+1))*(VLOOKUP($A51,SatSunCurve,8))*(INDEX(DailyScalarsTable,BY$5/100,MONTH($A51)))*$D51</f>
        <v>-14832.343526150824</v>
      </c>
      <c r="BZ51" s="1021">
        <f>(VLOOKUP(YEAR($A51),'NY East Load Projections'!$A$4:$EO$14,((MONTH($A51)-1)*12)+VLOOKUP(BZ$4,$DE$6:$DF$17,2)+1))*(VLOOKUP($A51,SatSunCurve,8))*(INDEX(DailyScalarsTable,BZ$5/100,MONTH($A51)))*$D51</f>
        <v>-13061.980484302194</v>
      </c>
      <c r="CA51" s="1021">
        <f>(VLOOKUP(YEAR($A51),'NY East Load Projections'!$A$4:$EO$14,((MONTH($A51)-1)*12)+VLOOKUP(CA$4,$DE$6:$DF$17,2)+1))*(VLOOKUP($A51,SatSunCurve,8))*(INDEX(DailyScalarsTable,CA$5/100,MONTH($A51)))*$D51</f>
        <v>-10835.492651726781</v>
      </c>
      <c r="CB51" s="1021">
        <f>(VLOOKUP(YEAR($A51),'NY East Load Projections'!$A$4:$EO$14,((MONTH($A51)-1)*12)+VLOOKUP(CB$4,$DE$6:$DF$17,2)+1))*(VLOOKUP($A51,SatSunCurve,8))*(INDEX(DailyScalarsTable,CB$5/100,MONTH($A51)))*$D51</f>
        <v>-9238.3359024534184</v>
      </c>
      <c r="CC51" s="1021">
        <f>(VLOOKUP(YEAR($A51),'NY East Load Projections'!$A$4:$EO$14,((MONTH($A51)-1)*12)+VLOOKUP(CC$4,$DE$6:$DF$17,2)+1))*(VLOOKUP($A51,CURVES!$D$9:$T$261,8))*(INDEX(DailyScalarsTable,CC$5/100,MONTH($A51)))*$D51</f>
        <v>-10518.159010937012</v>
      </c>
      <c r="CE51" s="1021">
        <f>(VLOOKUP(YEAR($A51),'NY East Load Projections'!$A$4:$EO$14,((MONTH($A51)-1)*12)+VLOOKUP(CE$4,$DE$6:$DF$17,2)+1))*(VLOOKUP($A51,CURVES!$D$9:$T$261,8))*(INDEX(DailyScalarsTable,CE$5/100,MONTH($A51)))*$E51</f>
        <v>0</v>
      </c>
      <c r="CF51" s="1021">
        <f>(VLOOKUP(YEAR($A51),'NY East Load Projections'!$A$4:$EO$14,((MONTH($A51)-1)*12)+VLOOKUP(CF$4,$DE$6:$DF$17,2)+1))*(VLOOKUP($A51,CURVES!$D$9:$T$261,8))*(INDEX(DailyScalarsTable,CF$5/100,MONTH($A51)))*$E51</f>
        <v>0</v>
      </c>
      <c r="CG51" s="1021">
        <f>(VLOOKUP(YEAR($A51),'NY East Load Projections'!$A$4:$EO$14,((MONTH($A51)-1)*12)+VLOOKUP(CG$4,$DE$6:$DF$17,2)+1))*(VLOOKUP($A51,CURVES!$D$9:$T$261,8))*(INDEX(DailyScalarsTable,CG$5/100,MONTH($A51)))*$E51</f>
        <v>0</v>
      </c>
      <c r="CH51" s="1021">
        <f>(VLOOKUP(YEAR($A51),'NY East Load Projections'!$A$4:$EO$14,((MONTH($A51)-1)*12)+VLOOKUP(CH$4,$DE$6:$DF$17,2)+1))*(VLOOKUP($A51,CURVES!$D$9:$T$261,8))*(INDEX(DailyScalarsTable,CH$5/100,MONTH($A51)))*$E51</f>
        <v>0</v>
      </c>
      <c r="CI51" s="1021">
        <f>(VLOOKUP(YEAR($A51),'NY East Load Projections'!$A$4:$EO$14,((MONTH($A51)-1)*12)+VLOOKUP(CI$4,$DE$6:$DF$17,2)+1))*(VLOOKUP($A51,CURVES!$D$9:$T$261,8))*(INDEX(DailyScalarsTable,CI$5/100,MONTH($A51)))*$E51</f>
        <v>0</v>
      </c>
      <c r="CJ51" s="1021">
        <f>(VLOOKUP(YEAR($A51),'NY East Load Projections'!$A$4:$EO$14,((MONTH($A51)-1)*12)+VLOOKUP(CJ$4,$DE$6:$DF$17,2)+1))*(VLOOKUP($A51,CURVES!$D$9:$T$261,8))*(INDEX(DailyScalarsTable,CJ$5/100,MONTH($A51)))*$E51</f>
        <v>0</v>
      </c>
      <c r="CK51" s="1021">
        <f>(VLOOKUP(YEAR($A51),'NY East Load Projections'!$A$4:$EO$14,((MONTH($A51)-1)*12)+VLOOKUP(CK$4,$DE$6:$DF$17,2)+1))*(VLOOKUP($A51,CURVES!$D$9:$T$261,8))*(INDEX(DailyScalarsTable,CK$5/100,MONTH($A51)))*$E51</f>
        <v>0</v>
      </c>
      <c r="CL51" s="1021">
        <f>(VLOOKUP(YEAR($A51),'NY East Load Projections'!$A$4:$EO$14,((MONTH($A51)-1)*12)+VLOOKUP(CL$4,$DE$6:$DF$17,2)+1))*(VLOOKUP($A51,SatSunCurve,8))*(INDEX(DailyScalarsTable,CL$5/100,MONTH($A51)))*$E51</f>
        <v>0</v>
      </c>
      <c r="CM51" s="1021">
        <f>(VLOOKUP(YEAR($A51),'NY East Load Projections'!$A$4:$EO$14,((MONTH($A51)-1)*12)+VLOOKUP(CM$4,$DE$6:$DF$17,2)+1))*(VLOOKUP($A51,SatSunCurve,8))*(INDEX(DailyScalarsTable,CM$5/100,MONTH($A51)))*$E51</f>
        <v>0</v>
      </c>
      <c r="CN51" s="1021">
        <f>(VLOOKUP(YEAR($A51),'NY East Load Projections'!$A$4:$EO$14,((MONTH($A51)-1)*12)+VLOOKUP(CN$4,$DE$6:$DF$17,2)+1))*(VLOOKUP($A51,SatSunCurve,8))*(INDEX(DailyScalarsTable,CN$5/100,MONTH($A51)))*$E51</f>
        <v>0</v>
      </c>
      <c r="CO51" s="1021">
        <f>(VLOOKUP(YEAR($A51),'NY East Load Projections'!$A$4:$EO$14,((MONTH($A51)-1)*12)+VLOOKUP(CO$4,$DE$6:$DF$17,2)+1))*(VLOOKUP($A51,SatSunCurve,8))*(INDEX(DailyScalarsTable,CO$5/100,MONTH($A51)))*$E51</f>
        <v>0</v>
      </c>
      <c r="CP51" s="1021">
        <f>(VLOOKUP(YEAR($A51),'NY East Load Projections'!$A$4:$EO$14,((MONTH($A51)-1)*12)+VLOOKUP(CP$4,$DE$6:$DF$17,2)+1))*(VLOOKUP($A51,SatSunCurve,8))*(INDEX(DailyScalarsTable,CP$5/100,MONTH($A51)))*$E51</f>
        <v>0</v>
      </c>
      <c r="CQ51" s="1021">
        <f>(VLOOKUP(YEAR($A51),'NY East Load Projections'!$A$4:$EO$14,((MONTH($A51)-1)*12)+VLOOKUP(CQ$4,$DE$6:$DF$17,2)+1))*(VLOOKUP($A51,SatSunCurve,8))*(INDEX(DailyScalarsTable,CQ$5/100,MONTH($A51)))*$E51</f>
        <v>0</v>
      </c>
      <c r="CR51" s="1021">
        <f>(VLOOKUP(YEAR($A51),'NY East Load Projections'!$A$4:$EO$14,((MONTH($A51)-1)*12)+VLOOKUP(CR$4,$DE$6:$DF$17,2)+1))*(VLOOKUP($A51,SatSunCurve,8))*(INDEX(DailyScalarsTable,CR$5/100,MONTH($A51)))*$E51</f>
        <v>0</v>
      </c>
      <c r="CS51" s="1021">
        <f>(VLOOKUP(YEAR($A51),'NY East Load Projections'!$A$4:$EO$14,((MONTH($A51)-1)*12)+VLOOKUP(CS$4,$DE$6:$DF$17,2)+1))*(VLOOKUP($A51,SatSunCurve,8))*(INDEX(DailyScalarsTable,CS$5/100,MONTH($A51)))*$E51</f>
        <v>0</v>
      </c>
      <c r="CT51" s="1021">
        <f>(VLOOKUP(YEAR($A51),'NY East Load Projections'!$A$4:$EO$14,((MONTH($A51)-1)*12)+VLOOKUP(CT$4,$DE$6:$DF$17,2)+1))*(VLOOKUP($A51,SatSunCurve,8))*(INDEX(DailyScalarsTable,CT$5/100,MONTH($A51)))*$E51</f>
        <v>0</v>
      </c>
      <c r="CU51" s="1021">
        <f>(VLOOKUP(YEAR($A51),'NY East Load Projections'!$A$4:$EO$14,((MONTH($A51)-1)*12)+VLOOKUP(CU$4,$DE$6:$DF$17,2)+1))*(VLOOKUP($A51,SatSunCurve,8))*(INDEX(DailyScalarsTable,CU$5/100,MONTH($A51)))*$E51</f>
        <v>0</v>
      </c>
      <c r="CV51" s="1021">
        <f>(VLOOKUP(YEAR($A51),'NY East Load Projections'!$A$4:$EO$14,((MONTH($A51)-1)*12)+VLOOKUP(CV$4,$DE$6:$DF$17,2)+1))*(VLOOKUP($A51,SatSunCurve,8))*(INDEX(DailyScalarsTable,CV$5/100,MONTH($A51)))*$E51</f>
        <v>0</v>
      </c>
      <c r="CW51" s="1021">
        <f>(VLOOKUP(YEAR($A51),'NY East Load Projections'!$A$4:$EO$14,((MONTH($A51)-1)*12)+VLOOKUP(CW$4,$DE$6:$DF$17,2)+1))*(VLOOKUP($A51,SatSunCurve,8))*(INDEX(DailyScalarsTable,CW$5/100,MONTH($A51)))*$E51</f>
        <v>0</v>
      </c>
      <c r="CX51" s="1021">
        <f>(VLOOKUP(YEAR($A51),'NY East Load Projections'!$A$4:$EO$14,((MONTH($A51)-1)*12)+VLOOKUP(CX$4,$DE$6:$DF$17,2)+1))*(VLOOKUP($A51,SatSunCurve,8))*(INDEX(DailyScalarsTable,CX$5/100,MONTH($A51)))*$E51</f>
        <v>0</v>
      </c>
      <c r="CY51" s="1021">
        <f>(VLOOKUP(YEAR($A51),'NY East Load Projections'!$A$4:$EO$14,((MONTH($A51)-1)*12)+VLOOKUP(CY$4,$DE$6:$DF$17,2)+1))*(VLOOKUP($A51,SatSunCurve,8))*(INDEX(DailyScalarsTable,CY$5/100,MONTH($A51)))*$E51</f>
        <v>0</v>
      </c>
      <c r="CZ51" s="1021">
        <f>(VLOOKUP(YEAR($A51),'NY East Load Projections'!$A$4:$EO$14,((MONTH($A51)-1)*12)+VLOOKUP(CZ$4,$DE$6:$DF$17,2)+1))*(VLOOKUP($A51,SatSunCurve,8))*(INDEX(DailyScalarsTable,CZ$5/100,MONTH($A51)))*$E51</f>
        <v>0</v>
      </c>
      <c r="DA51" s="1021">
        <f>(VLOOKUP(YEAR($A51),'NY East Load Projections'!$A$4:$EO$14,((MONTH($A51)-1)*12)+VLOOKUP(DA$4,$DE$6:$DF$17,2)+1))*(VLOOKUP($A51,SatSunCurve,8))*(INDEX(DailyScalarsTable,DA$5/100,MONTH($A51)))*$E51</f>
        <v>0</v>
      </c>
      <c r="DB51" s="1021">
        <f>(VLOOKUP(YEAR($A51),'NY East Load Projections'!$A$4:$EO$14,((MONTH($A51)-1)*12)+VLOOKUP(DB$4,$DE$6:$DF$17,2)+1))*(VLOOKUP($A51,CURVES!$D$9:$T$261,8))*(INDEX(DailyScalarsTable,DB$5/100,MONTH($A51)))*$E51</f>
        <v>0</v>
      </c>
      <c r="DH51" s="1021">
        <f t="shared" si="0"/>
        <v>-2069409.4662883091</v>
      </c>
      <c r="DI51">
        <f ca="1">CALC!J71</f>
        <v>0.71323422394632896</v>
      </c>
      <c r="DJ51" s="1029">
        <f t="shared" ca="1" si="1"/>
        <v>-1475973.6547153289</v>
      </c>
    </row>
    <row r="52" spans="1:114" x14ac:dyDescent="0.25">
      <c r="A52" s="244">
        <v>38292</v>
      </c>
      <c r="B52" s="13">
        <v>21</v>
      </c>
      <c r="C52" s="210">
        <v>4</v>
      </c>
      <c r="D52" s="210">
        <v>4</v>
      </c>
      <c r="E52" s="210">
        <v>1</v>
      </c>
      <c r="F52" s="13">
        <v>30</v>
      </c>
      <c r="H52" s="1021">
        <f>(VLOOKUP(YEAR($A52),'NY East Load Projections'!$A$4:$EO$14,((MONTH($A52)-1)*12)+VLOOKUP(H$4,$DE$6:$DF$17,2)+1))*(VLOOKUP($A52,CURVES!$D$9:$K$261,8))*(INDEX(DailyScalarsTable,H$5/100,MONTH($A52)))*$B52</f>
        <v>-35694.179274141236</v>
      </c>
      <c r="I52" s="1021">
        <f>(VLOOKUP(YEAR($A52),'NY East Load Projections'!$A$4:$EO$14,((MONTH($A52)-1)*12)+VLOOKUP(I$4,$DE$6:$DF$17,2)+1))*(VLOOKUP($A52,CURVES!$D$9:$K$261,8))*(INDEX(DailyScalarsTable,I$5/100,MONTH($A52)))*$B52</f>
        <v>-33839.387602338087</v>
      </c>
      <c r="J52" s="1021">
        <f>(VLOOKUP(YEAR($A52),'NY East Load Projections'!$A$4:$EO$14,((MONTH($A52)-1)*12)+VLOOKUP(J$4,$DE$6:$DF$17,2)+1))*(VLOOKUP($A52,CURVES!$D$9:$K$261,8))*(INDEX(DailyScalarsTable,J$5/100,MONTH($A52)))*$B52</f>
        <v>-32476.134924304723</v>
      </c>
      <c r="K52" s="1021">
        <f>(VLOOKUP(YEAR($A52),'NY East Load Projections'!$A$4:$EO$14,((MONTH($A52)-1)*12)+VLOOKUP(K$4,$DE$6:$DF$17,2)+1))*(VLOOKUP($A52,CURVES!$D$9:$K$261,8))*(INDEX(DailyScalarsTable,K$5/100,MONTH($A52)))*$B52</f>
        <v>-32495.335666248855</v>
      </c>
      <c r="L52" s="1021">
        <f>(VLOOKUP(YEAR($A52),'NY East Load Projections'!$A$4:$EO$14,((MONTH($A52)-1)*12)+VLOOKUP(L$4,$DE$6:$DF$17,2)+1))*(VLOOKUP($A52,CURVES!$D$9:$K$261,8))*(INDEX(DailyScalarsTable,L$5/100,MONTH($A52)))*$B52</f>
        <v>-38108.902187981366</v>
      </c>
      <c r="M52" s="1021">
        <f>(VLOOKUP(YEAR($A52),'NY East Load Projections'!$A$4:$EO$14,((MONTH($A52)-1)*12)+VLOOKUP(M$4,$DE$6:$DF$17,2)+1))*(VLOOKUP($A52,CURVES!$D$9:$K$261,8))*(INDEX(DailyScalarsTable,M$5/100,MONTH($A52)))*$B52</f>
        <v>-43906.163756346104</v>
      </c>
      <c r="N52" s="1021">
        <f>(VLOOKUP(YEAR($A52),'NY East Load Projections'!$A$4:$EO$14,((MONTH($A52)-1)*12)+VLOOKUP(N$4,$DE$6:$DF$17,2)+1))*(VLOOKUP($A52,CURVES!$D$9:$K$261,8))*(INDEX(DailyScalarsTable,N$5/100,MONTH($A52)))*$B52</f>
        <v>-62891.249501621758</v>
      </c>
      <c r="O52" s="1021">
        <f>(VLOOKUP(YEAR($A52),'NY East Load Projections'!$A$4:$EO$14,((MONTH($A52)-1)*12)+VLOOKUP(O$4,$DE$6:$DF$17,2)+1))*(VLOOKUP($A52,CURVES!$D$9:$K$261,4))*(INDEX(DailyScalarsTable,O$5/100,MONTH($A52)))*$B52</f>
        <v>-71228.104143150063</v>
      </c>
      <c r="P52" s="1021">
        <f>(VLOOKUP(YEAR($A52),'NY East Load Projections'!$A$4:$EO$14,((MONTH($A52)-1)*12)+VLOOKUP(P$4,$DE$6:$DF$17,2)+1))*(VLOOKUP($A52,CURVES!$D$9:$K$261,4))*(INDEX(DailyScalarsTable,P$5/100,MONTH($A52)))*$B52</f>
        <v>-82915.739318518637</v>
      </c>
      <c r="Q52" s="1021">
        <f>(VLOOKUP(YEAR($A52),'NY East Load Projections'!$A$4:$EO$14,((MONTH($A52)-1)*12)+VLOOKUP(Q$4,$DE$6:$DF$17,2)+1))*(VLOOKUP($A52,CURVES!$D$9:$K$261,4))*(INDEX(DailyScalarsTable,Q$5/100,MONTH($A52)))*$B52</f>
        <v>-82378.739081377877</v>
      </c>
      <c r="R52" s="1021">
        <f>(VLOOKUP(YEAR($A52),'NY East Load Projections'!$A$4:$EO$14,((MONTH($A52)-1)*12)+VLOOKUP(R$4,$DE$6:$DF$17,2)+1))*(VLOOKUP($A52,CURVES!$D$9:$K$261,4))*(INDEX(DailyScalarsTable,R$5/100,MONTH($A52)))*$B52</f>
        <v>-80789.508649839656</v>
      </c>
      <c r="S52" s="1021">
        <f>(VLOOKUP(YEAR($A52),'NY East Load Projections'!$A$4:$EO$14,((MONTH($A52)-1)*12)+VLOOKUP(S$4,$DE$6:$DF$17,2)+1))*(VLOOKUP($A52,CURVES!$D$9:$K$261,4))*(INDEX(DailyScalarsTable,S$5/100,MONTH($A52)))*$B52</f>
        <v>-68024.867877804456</v>
      </c>
      <c r="T52" s="1021">
        <f>(VLOOKUP(YEAR($A52),'NY East Load Projections'!$A$4:$EO$14,((MONTH($A52)-1)*12)+VLOOKUP(T$4,$DE$6:$DF$17,2)+1))*(VLOOKUP($A52,CURVES!$D$9:$K$261,4))*(INDEX(DailyScalarsTable,T$5/100,MONTH($A52)))*$B52</f>
        <v>-65728.557359754835</v>
      </c>
      <c r="U52" s="1021">
        <f>(VLOOKUP(YEAR($A52),'NY East Load Projections'!$A$4:$EO$14,((MONTH($A52)-1)*12)+VLOOKUP(U$4,$DE$6:$DF$17,2)+1))*(VLOOKUP($A52,CURVES!$D$9:$K$261,4))*(INDEX(DailyScalarsTable,U$5/100,MONTH($A52)))*$B52</f>
        <v>-63964.182221657429</v>
      </c>
      <c r="V52" s="1021">
        <f>(VLOOKUP(YEAR($A52),'NY East Load Projections'!$A$4:$EO$14,((MONTH($A52)-1)*12)+VLOOKUP(V$4,$DE$6:$DF$17,2)+1))*(VLOOKUP($A52,CURVES!$D$9:$K$261,4))*(INDEX(DailyScalarsTable,V$5/100,MONTH($A52)))*$B52</f>
        <v>-62467.813433650772</v>
      </c>
      <c r="W52" s="1021">
        <f>(VLOOKUP(YEAR($A52),'NY East Load Projections'!$A$4:$EO$14,((MONTH($A52)-1)*12)+VLOOKUP(W$4,$DE$6:$DF$17,2)+1))*(VLOOKUP($A52,CURVES!$D$9:$K$261,4))*(INDEX(DailyScalarsTable,W$5/100,MONTH($A52)))*$B52</f>
        <v>-61440.455758302931</v>
      </c>
      <c r="X52" s="1021">
        <f>(VLOOKUP(YEAR($A52),'NY East Load Projections'!$A$4:$EO$14,((MONTH($A52)-1)*12)+VLOOKUP(X$4,$DE$6:$DF$17,2)+1))*(VLOOKUP($A52,CURVES!$D$9:$K$261,4))*(INDEX(DailyScalarsTable,X$5/100,MONTH($A52)))*$B52</f>
        <v>-62556.674180761358</v>
      </c>
      <c r="Y52" s="1021">
        <f>(VLOOKUP(YEAR($A52),'NY East Load Projections'!$A$4:$EO$14,((MONTH($A52)-1)*12)+VLOOKUP(Y$4,$DE$6:$DF$17,2)+1))*(VLOOKUP($A52,CURVES!$D$9:$K$261,4))*(INDEX(DailyScalarsTable,Y$5/100,MONTH($A52)))*$B52</f>
        <v>-85876.075056851609</v>
      </c>
      <c r="Z52" s="1021">
        <f>(VLOOKUP(YEAR($A52),'NY East Load Projections'!$A$4:$EO$14,((MONTH($A52)-1)*12)+VLOOKUP(Z$4,$DE$6:$DF$17,2)+1))*(VLOOKUP($A52,CURVES!$D$9:$K$261,4))*(INDEX(DailyScalarsTable,Z$5/100,MONTH($A52)))*$B52</f>
        <v>-86567.54291944069</v>
      </c>
      <c r="AA52" s="1021">
        <f>(VLOOKUP(YEAR($A52),'NY East Load Projections'!$A$4:$EO$14,((MONTH($A52)-1)*12)+VLOOKUP(AA$4,$DE$6:$DF$17,2)+1))*(VLOOKUP($A52,CURVES!$D$9:$K$261,4))*(INDEX(DailyScalarsTable,AA$5/100,MONTH($A52)))*$B52</f>
        <v>-83025.534072300798</v>
      </c>
      <c r="AB52" s="1021">
        <f>(VLOOKUP(YEAR($A52),'NY East Load Projections'!$A$4:$EO$14,((MONTH($A52)-1)*12)+VLOOKUP(AB$4,$DE$6:$DF$17,2)+1))*(VLOOKUP($A52,CURVES!$D$9:$K$261,4))*(INDEX(DailyScalarsTable,AB$5/100,MONTH($A52)))*$B52</f>
        <v>-69209.633448602443</v>
      </c>
      <c r="AC52" s="1021">
        <f>(VLOOKUP(YEAR($A52),'NY East Load Projections'!$A$4:$EO$14,((MONTH($A52)-1)*12)+VLOOKUP(AC$4,$DE$6:$DF$17,2)+1))*(VLOOKUP($A52,CURVES!$D$9:$K$261,4))*(INDEX(DailyScalarsTable,AC$5/100,MONTH($A52)))*$B52</f>
        <v>-55054.995401946398</v>
      </c>
      <c r="AD52" s="1021">
        <f>(VLOOKUP(YEAR($A52),'NY East Load Projections'!$A$4:$EO$14,((MONTH($A52)-1)*12)+VLOOKUP(AD$4,$DE$6:$DF$17,2)+1))*(VLOOKUP($A52,CURVES!$D$9:$K$261,4))*(INDEX(DailyScalarsTable,AD$5/100,MONTH($A52)))*$B52</f>
        <v>-46430.009398662951</v>
      </c>
      <c r="AE52" s="1021">
        <f>(VLOOKUP(YEAR($A52),'NY East Load Projections'!$A$4:$EO$14,((MONTH($A52)-1)*12)+VLOOKUP(AE$4,$DE$6:$DF$17,2)+1))*(VLOOKUP($A52,CURVES!$D$9:$K$261,8))*(INDEX(DailyScalarsTable,AE$5/100,MONTH($A52)))*$B52</f>
        <v>-42225.424869987415</v>
      </c>
      <c r="AF52" s="1021"/>
      <c r="AG52" s="1021">
        <f>(VLOOKUP(YEAR($A52),'NY East Load Projections'!$A$4:$EO$14,((MONTH($A52)-1)*12)+VLOOKUP(AG$4,$DE$6:$DF$17,2)+1))*(VLOOKUP($A52,CURVES!$D$9:$T$261,8))*(INDEX(DailyScalarsTable,AG$5/100,MONTH($A52)))*$C52</f>
        <v>-7161.3120552532828</v>
      </c>
      <c r="AH52" s="1021">
        <f>(VLOOKUP(YEAR($A52),'NY East Load Projections'!$A$4:$EO$14,((MONTH($A52)-1)*12)+VLOOKUP(AH$4,$DE$6:$DF$17,2)+1))*(VLOOKUP($A52,CURVES!$D$9:$T$261,8))*(INDEX(DailyScalarsTable,AH$5/100,MONTH($A52)))*$C52</f>
        <v>-6789.1857806231228</v>
      </c>
      <c r="AI52" s="1021">
        <f>(VLOOKUP(YEAR($A52),'NY East Load Projections'!$A$4:$EO$14,((MONTH($A52)-1)*12)+VLOOKUP(AI$4,$DE$6:$DF$17,2)+1))*(VLOOKUP($A52,CURVES!$D$9:$T$261,8))*(INDEX(DailyScalarsTable,AI$5/100,MONTH($A52)))*$C52</f>
        <v>-6515.676821008823</v>
      </c>
      <c r="AJ52" s="1021">
        <f>(VLOOKUP(YEAR($A52),'NY East Load Projections'!$A$4:$EO$14,((MONTH($A52)-1)*12)+VLOOKUP(AJ$4,$DE$6:$DF$17,2)+1))*(VLOOKUP($A52,CURVES!$D$9:$T$261,8))*(INDEX(DailyScalarsTable,AJ$5/100,MONTH($A52)))*$C52</f>
        <v>-6519.5290598766296</v>
      </c>
      <c r="AK52" s="1021">
        <f>(VLOOKUP(YEAR($A52),'NY East Load Projections'!$A$4:$EO$14,((MONTH($A52)-1)*12)+VLOOKUP(AK$4,$DE$6:$DF$17,2)+1))*(VLOOKUP($A52,CURVES!$D$9:$T$261,8))*(INDEX(DailyScalarsTable,AK$5/100,MONTH($A52)))*$C52</f>
        <v>-7086.8288989033099</v>
      </c>
      <c r="AL52" s="1021">
        <f>(VLOOKUP(YEAR($A52),'NY East Load Projections'!$A$4:$EO$14,((MONTH($A52)-1)*12)+VLOOKUP(AL$4,$DE$6:$DF$17,2)+1))*(VLOOKUP($A52,CURVES!$D$9:$T$261,8))*(INDEX(DailyScalarsTable,AL$5/100,MONTH($A52)))*$C52</f>
        <v>-8164.9024842963227</v>
      </c>
      <c r="AM52" s="1021">
        <f>(VLOOKUP(YEAR($A52),'NY East Load Projections'!$A$4:$EO$14,((MONTH($A52)-1)*12)+VLOOKUP(AM$4,$DE$6:$DF$17,2)+1))*(VLOOKUP($A52,CURVES!$D$9:$T$261,8))*(INDEX(DailyScalarsTable,AM$5/100,MONTH($A52)))*$C52</f>
        <v>-11695.417576127249</v>
      </c>
      <c r="AN52" s="1021">
        <f>(VLOOKUP(YEAR($A52),'NY East Load Projections'!$A$4:$EO$14,((MONTH($A52)-1)*12)+VLOOKUP(AN$4,$DE$6:$DF$17,2)+1))*(VLOOKUP($A52,SatSunCurve,4))*(INDEX(DailyScalarsTable,AN$5/100,MONTH($A52)))*$C52</f>
        <v>-10404.885751904272</v>
      </c>
      <c r="AO52" s="1021">
        <f>(VLOOKUP(YEAR($A52),'NY East Load Projections'!$A$4:$EO$14,((MONTH($A52)-1)*12)+VLOOKUP(AO$4,$DE$6:$DF$17,2)+1))*(VLOOKUP($A52,SatSunCurve,4))*(INDEX(DailyScalarsTable,AO$5/100,MONTH($A52)))*$C52</f>
        <v>-11838.290874596025</v>
      </c>
      <c r="AP52" s="1021">
        <f>(VLOOKUP(YEAR($A52),'NY East Load Projections'!$A$4:$EO$14,((MONTH($A52)-1)*12)+VLOOKUP(AP$4,$DE$6:$DF$17,2)+1))*(VLOOKUP($A52,SatSunCurve,4))*(INDEX(DailyScalarsTable,AP$5/100,MONTH($A52)))*$C52</f>
        <v>-11761.62069039157</v>
      </c>
      <c r="AQ52" s="1021">
        <f>(VLOOKUP(YEAR($A52),'NY East Load Projections'!$A$4:$EO$14,((MONTH($A52)-1)*12)+VLOOKUP(AQ$4,$DE$6:$DF$17,2)+1))*(VLOOKUP($A52,SatSunCurve,4))*(INDEX(DailyScalarsTable,AQ$5/100,MONTH($A52)))*$C52</f>
        <v>-11534.718388489195</v>
      </c>
      <c r="AR52" s="1021">
        <f>(VLOOKUP(YEAR($A52),'NY East Load Projections'!$A$4:$EO$14,((MONTH($A52)-1)*12)+VLOOKUP(AR$4,$DE$6:$DF$17,2)+1))*(VLOOKUP($A52,SatSunCurve,4))*(INDEX(DailyScalarsTable,AR$5/100,MONTH($A52)))*$C52</f>
        <v>-9712.2473882778868</v>
      </c>
      <c r="AS52" s="1021">
        <f>(VLOOKUP(YEAR($A52),'NY East Load Projections'!$A$4:$EO$14,((MONTH($A52)-1)*12)+VLOOKUP(AS$4,$DE$6:$DF$17,2)+1))*(VLOOKUP($A52,SatSunCurve,4))*(INDEX(DailyScalarsTable,AS$5/100,MONTH($A52)))*$C52</f>
        <v>-9366.141491533539</v>
      </c>
      <c r="AT52" s="1021">
        <f>(VLOOKUP(YEAR($A52),'NY East Load Projections'!$A$4:$EO$14,((MONTH($A52)-1)*12)+VLOOKUP(AT$4,$DE$6:$DF$17,2)+1))*(VLOOKUP($A52,SatSunCurve,4))*(INDEX(DailyScalarsTable,AT$5/100,MONTH($A52)))*$C52</f>
        <v>-9114.7228106530929</v>
      </c>
      <c r="AU52" s="1021">
        <f>(VLOOKUP(YEAR($A52),'NY East Load Projections'!$A$4:$EO$14,((MONTH($A52)-1)*12)+VLOOKUP(AU$4,$DE$6:$DF$17,2)+1))*(VLOOKUP($A52,SatSunCurve,4))*(INDEX(DailyScalarsTable,AU$5/100,MONTH($A52)))*$C52</f>
        <v>-8901.494309146894</v>
      </c>
      <c r="AV52" s="1021">
        <f>(VLOOKUP(YEAR($A52),'NY East Load Projections'!$A$4:$EO$14,((MONTH($A52)-1)*12)+VLOOKUP(AV$4,$DE$6:$DF$17,2)+1))*(VLOOKUP($A52,SatSunCurve,4))*(INDEX(DailyScalarsTable,AV$5/100,MONTH($A52)))*$C52</f>
        <v>-8755.0986215456232</v>
      </c>
      <c r="AW52" s="1021">
        <f>(VLOOKUP(YEAR($A52),'NY East Load Projections'!$A$4:$EO$14,((MONTH($A52)-1)*12)+VLOOKUP(AW$4,$DE$6:$DF$17,2)+1))*(VLOOKUP($A52,SatSunCurve,4))*(INDEX(DailyScalarsTable,AW$5/100,MONTH($A52)))*$C52</f>
        <v>-8982.7743174346488</v>
      </c>
      <c r="AX52" s="1021">
        <f>(VLOOKUP(YEAR($A52),'NY East Load Projections'!$A$4:$EO$14,((MONTH($A52)-1)*12)+VLOOKUP(AX$4,$DE$6:$DF$17,2)+1))*(VLOOKUP($A52,SatSunCurve,4))*(INDEX(DailyScalarsTable,AX$5/100,MONTH($A52)))*$C52</f>
        <v>-12331.304558707096</v>
      </c>
      <c r="AY52" s="1021">
        <f>(VLOOKUP(YEAR($A52),'NY East Load Projections'!$A$4:$EO$14,((MONTH($A52)-1)*12)+VLOOKUP(AY$4,$DE$6:$DF$17,2)+1))*(VLOOKUP($A52,SatSunCurve,4))*(INDEX(DailyScalarsTable,AY$5/100,MONTH($A52)))*$C52</f>
        <v>-12430.595319265251</v>
      </c>
      <c r="AZ52" s="1021">
        <f>(VLOOKUP(YEAR($A52),'NY East Load Projections'!$A$4:$EO$14,((MONTH($A52)-1)*12)+VLOOKUP(AZ$4,$DE$6:$DF$17,2)+1))*(VLOOKUP($A52,SatSunCurve,4))*(INDEX(DailyScalarsTable,AZ$5/100,MONTH($A52)))*$C52</f>
        <v>-11921.983464161234</v>
      </c>
      <c r="BA52" s="1021">
        <f>(VLOOKUP(YEAR($A52),'NY East Load Projections'!$A$4:$EO$14,((MONTH($A52)-1)*12)+VLOOKUP(BA$4,$DE$6:$DF$17,2)+1))*(VLOOKUP($A52,SatSunCurve,4))*(INDEX(DailyScalarsTable,BA$5/100,MONTH($A52)))*$C52</f>
        <v>-10572.635134313399</v>
      </c>
      <c r="BB52" s="1021">
        <f>(VLOOKUP(YEAR($A52),'NY East Load Projections'!$A$4:$EO$14,((MONTH($A52)-1)*12)+VLOOKUP(BB$4,$DE$6:$DF$17,2)+1))*(VLOOKUP($A52,SatSunCurve,4))*(INDEX(DailyScalarsTable,BB$5/100,MONTH($A52)))*$C52</f>
        <v>-8410.3375455434525</v>
      </c>
      <c r="BC52" s="1021">
        <f>(VLOOKUP(YEAR($A52),'NY East Load Projections'!$A$4:$EO$14,((MONTH($A52)-1)*12)+VLOOKUP(BC$4,$DE$6:$DF$17,2)+1))*(VLOOKUP($A52,SatSunCurve,4))*(INDEX(DailyScalarsTable,BC$5/100,MONTH($A52)))*$C52</f>
        <v>-7092.7633075727226</v>
      </c>
      <c r="BD52" s="1021">
        <f>(VLOOKUP(YEAR($A52),'NY East Load Projections'!$A$4:$EO$14,((MONTH($A52)-1)*12)+VLOOKUP(BD$4,$DE$6:$DF$17,2)+1))*(VLOOKUP($A52,CURVES!$D$9:$T$261,8))*(INDEX(DailyScalarsTable,BD$5/100,MONTH($A52)))*$C52</f>
        <v>-8211.6475762208156</v>
      </c>
      <c r="BE52" s="1021"/>
      <c r="BF52" s="1021">
        <f>(VLOOKUP(YEAR($A52),'NY East Load Projections'!$A$4:$EO$14,((MONTH($A52)-1)*12)+VLOOKUP(BF$4,$DE$6:$DF$17,2)+1))*(VLOOKUP($A52,CURVES!$D$9:$T$261,8))*(INDEX(DailyScalarsTable,BF$5/100,MONTH($A52)))*$D52</f>
        <v>-7161.3120552532828</v>
      </c>
      <c r="BG52" s="1021">
        <f>(VLOOKUP(YEAR($A52),'NY East Load Projections'!$A$4:$EO$14,((MONTH($A52)-1)*12)+VLOOKUP(BG$4,$DE$6:$DF$17,2)+1))*(VLOOKUP($A52,CURVES!$D$9:$T$261,8))*(INDEX(DailyScalarsTable,BG$5/100,MONTH($A52)))*$D52</f>
        <v>-6789.1857806231228</v>
      </c>
      <c r="BH52" s="1021">
        <f>(VLOOKUP(YEAR($A52),'NY East Load Projections'!$A$4:$EO$14,((MONTH($A52)-1)*12)+VLOOKUP(BH$4,$DE$6:$DF$17,2)+1))*(VLOOKUP($A52,CURVES!$D$9:$T$261,8))*(INDEX(DailyScalarsTable,BH$5/100,MONTH($A52)))*$D52</f>
        <v>-6515.676821008823</v>
      </c>
      <c r="BI52" s="1021">
        <f>(VLOOKUP(YEAR($A52),'NY East Load Projections'!$A$4:$EO$14,((MONTH($A52)-1)*12)+VLOOKUP(BI$4,$DE$6:$DF$17,2)+1))*(VLOOKUP($A52,CURVES!$D$9:$T$261,8))*(INDEX(DailyScalarsTable,BI$5/100,MONTH($A52)))*$D52</f>
        <v>-6519.5290598766296</v>
      </c>
      <c r="BJ52" s="1021">
        <f>(VLOOKUP(YEAR($A52),'NY East Load Projections'!$A$4:$EO$14,((MONTH($A52)-1)*12)+VLOOKUP(BJ$4,$DE$6:$DF$17,2)+1))*(VLOOKUP($A52,CURVES!$D$9:$T$261,8))*(INDEX(DailyScalarsTable,BJ$5/100,MONTH($A52)))*$D52</f>
        <v>-7086.8288989033099</v>
      </c>
      <c r="BK52" s="1021">
        <f>(VLOOKUP(YEAR($A52),'NY East Load Projections'!$A$4:$EO$14,((MONTH($A52)-1)*12)+VLOOKUP(BK$4,$DE$6:$DF$17,2)+1))*(VLOOKUP($A52,CURVES!$D$9:$T$261,8))*(INDEX(DailyScalarsTable,BK$5/100,MONTH($A52)))*$D52</f>
        <v>-8164.9024842963227</v>
      </c>
      <c r="BL52" s="1021">
        <f>(VLOOKUP(YEAR($A52),'NY East Load Projections'!$A$4:$EO$14,((MONTH($A52)-1)*12)+VLOOKUP(BL$4,$DE$6:$DF$17,2)+1))*(VLOOKUP($A52,CURVES!$D$9:$T$261,8))*(INDEX(DailyScalarsTable,BL$5/100,MONTH($A52)))*$D52</f>
        <v>-11695.417576127249</v>
      </c>
      <c r="BM52" s="1021">
        <f>(VLOOKUP(YEAR($A52),'NY East Load Projections'!$A$4:$EO$14,((MONTH($A52)-1)*12)+VLOOKUP(BM$4,$DE$6:$DF$17,2)+1))*(VLOOKUP($A52,SatSunCurve,8))*(INDEX(DailyScalarsTable,BM$5/100,MONTH($A52)))*$D52</f>
        <v>-10682.260656841525</v>
      </c>
      <c r="BN52" s="1021">
        <f>(VLOOKUP(YEAR($A52),'NY East Load Projections'!$A$4:$EO$14,((MONTH($A52)-1)*12)+VLOOKUP(BN$4,$DE$6:$DF$17,2)+1))*(VLOOKUP($A52,SatSunCurve,8))*(INDEX(DailyScalarsTable,BN$5/100,MONTH($A52)))*$D52</f>
        <v>-12153.877694505092</v>
      </c>
      <c r="BO52" s="1021">
        <f>(VLOOKUP(YEAR($A52),'NY East Load Projections'!$A$4:$EO$14,((MONTH($A52)-1)*12)+VLOOKUP(BO$4,$DE$6:$DF$17,2)+1))*(VLOOKUP($A52,SatSunCurve,8))*(INDEX(DailyScalarsTable,BO$5/100,MONTH($A52)))*$D52</f>
        <v>-12075.163625767706</v>
      </c>
      <c r="BP52" s="1021">
        <f>(VLOOKUP(YEAR($A52),'NY East Load Projections'!$A$4:$EO$14,((MONTH($A52)-1)*12)+VLOOKUP(BP$4,$DE$6:$DF$17,2)+1))*(VLOOKUP($A52,SatSunCurve,8))*(INDEX(DailyScalarsTable,BP$5/100,MONTH($A52)))*$D52</f>
        <v>-11842.212530450304</v>
      </c>
      <c r="BQ52" s="1021">
        <f>(VLOOKUP(YEAR($A52),'NY East Load Projections'!$A$4:$EO$14,((MONTH($A52)-1)*12)+VLOOKUP(BQ$4,$DE$6:$DF$17,2)+1))*(VLOOKUP($A52,SatSunCurve,8))*(INDEX(DailyScalarsTable,BQ$5/100,MONTH($A52)))*$D52</f>
        <v>-9971.1578424899999</v>
      </c>
      <c r="BR52" s="1021">
        <f>(VLOOKUP(YEAR($A52),'NY East Load Projections'!$A$4:$EO$14,((MONTH($A52)-1)*12)+VLOOKUP(BR$4,$DE$6:$DF$17,2)+1))*(VLOOKUP($A52,SatSunCurve,8))*(INDEX(DailyScalarsTable,BR$5/100,MONTH($A52)))*$D52</f>
        <v>-9615.8254061663847</v>
      </c>
      <c r="BS52" s="1021">
        <f>(VLOOKUP(YEAR($A52),'NY East Load Projections'!$A$4:$EO$14,((MONTH($A52)-1)*12)+VLOOKUP(BS$4,$DE$6:$DF$17,2)+1))*(VLOOKUP($A52,SatSunCurve,8))*(INDEX(DailyScalarsTable,BS$5/100,MONTH($A52)))*$D52</f>
        <v>-9357.7043707986832</v>
      </c>
      <c r="BT52" s="1021">
        <f>(VLOOKUP(YEAR($A52),'NY East Load Projections'!$A$4:$EO$14,((MONTH($A52)-1)*12)+VLOOKUP(BT$4,$DE$6:$DF$17,2)+1))*(VLOOKUP($A52,SatSunCurve,8))*(INDEX(DailyScalarsTable,BT$5/100,MONTH($A52)))*$D52</f>
        <v>-9138.7915939678478</v>
      </c>
      <c r="BU52" s="1021">
        <f>(VLOOKUP(YEAR($A52),'NY East Load Projections'!$A$4:$EO$14,((MONTH($A52)-1)*12)+VLOOKUP(BU$4,$DE$6:$DF$17,2)+1))*(VLOOKUP($A52,SatSunCurve,8))*(INDEX(DailyScalarsTable,BU$5/100,MONTH($A52)))*$D52</f>
        <v>-8988.4932695765292</v>
      </c>
      <c r="BV52" s="1021">
        <f>(VLOOKUP(YEAR($A52),'NY East Load Projections'!$A$4:$EO$14,((MONTH($A52)-1)*12)+VLOOKUP(BV$4,$DE$6:$DF$17,2)+1))*(VLOOKUP($A52,SatSunCurve,8))*(INDEX(DailyScalarsTable,BV$5/100,MONTH($A52)))*$D52</f>
        <v>-9222.2383761260426</v>
      </c>
      <c r="BW52" s="1021">
        <f>(VLOOKUP(YEAR($A52),'NY East Load Projections'!$A$4:$EO$14,((MONTH($A52)-1)*12)+VLOOKUP(BW$4,$DE$6:$DF$17,2)+1))*(VLOOKUP($A52,SatSunCurve,8))*(INDEX(DailyScalarsTable,BW$5/100,MONTH($A52)))*$D52</f>
        <v>-12660.034206612909</v>
      </c>
      <c r="BX52" s="1021">
        <f>(VLOOKUP(YEAR($A52),'NY East Load Projections'!$A$4:$EO$14,((MONTH($A52)-1)*12)+VLOOKUP(BX$4,$DE$6:$DF$17,2)+1))*(VLOOKUP($A52,SatSunCurve,8))*(INDEX(DailyScalarsTable,BX$5/100,MONTH($A52)))*$D52</f>
        <v>-12761.971874203746</v>
      </c>
      <c r="BY52" s="1021">
        <f>(VLOOKUP(YEAR($A52),'NY East Load Projections'!$A$4:$EO$14,((MONTH($A52)-1)*12)+VLOOKUP(BY$4,$DE$6:$DF$17,2)+1))*(VLOOKUP($A52,SatSunCurve,8))*(INDEX(DailyScalarsTable,BY$5/100,MONTH($A52)))*$D52</f>
        <v>-12239.801372871096</v>
      </c>
      <c r="BZ52" s="1021">
        <f>(VLOOKUP(YEAR($A52),'NY East Load Projections'!$A$4:$EO$14,((MONTH($A52)-1)*12)+VLOOKUP(BZ$4,$DE$6:$DF$17,2)+1))*(VLOOKUP($A52,SatSunCurve,8))*(INDEX(DailyScalarsTable,BZ$5/100,MONTH($A52)))*$D52</f>
        <v>-10854.481925834363</v>
      </c>
      <c r="CA52" s="1021">
        <f>(VLOOKUP(YEAR($A52),'NY East Load Projections'!$A$4:$EO$14,((MONTH($A52)-1)*12)+VLOOKUP(CA$4,$DE$6:$DF$17,2)+1))*(VLOOKUP($A52,SatSunCurve,8))*(INDEX(DailyScalarsTable,CA$5/100,MONTH($A52)))*$D52</f>
        <v>-8634.5415044152141</v>
      </c>
      <c r="CB52" s="1021">
        <f>(VLOOKUP(YEAR($A52),'NY East Load Projections'!$A$4:$EO$14,((MONTH($A52)-1)*12)+VLOOKUP(CB$4,$DE$6:$DF$17,2)+1))*(VLOOKUP($A52,SatSunCurve,8))*(INDEX(DailyScalarsTable,CB$5/100,MONTH($A52)))*$D52</f>
        <v>-7281.8431874570697</v>
      </c>
      <c r="CC52" s="1021">
        <f>(VLOOKUP(YEAR($A52),'NY East Load Projections'!$A$4:$EO$14,((MONTH($A52)-1)*12)+VLOOKUP(CC$4,$DE$6:$DF$17,2)+1))*(VLOOKUP($A52,CURVES!$D$9:$T$261,8))*(INDEX(DailyScalarsTable,CC$5/100,MONTH($A52)))*$D52</f>
        <v>-8211.6475762208156</v>
      </c>
      <c r="CE52" s="1021">
        <f>(VLOOKUP(YEAR($A52),'NY East Load Projections'!$A$4:$EO$14,((MONTH($A52)-1)*12)+VLOOKUP(CE$4,$DE$6:$DF$17,2)+1))*(VLOOKUP($A52,CURVES!$D$9:$T$261,8))*(INDEX(DailyScalarsTable,CE$5/100,MONTH($A52)))*$E52</f>
        <v>-1790.3280138133207</v>
      </c>
      <c r="CF52" s="1021">
        <f>(VLOOKUP(YEAR($A52),'NY East Load Projections'!$A$4:$EO$14,((MONTH($A52)-1)*12)+VLOOKUP(CF$4,$DE$6:$DF$17,2)+1))*(VLOOKUP($A52,CURVES!$D$9:$T$261,8))*(INDEX(DailyScalarsTable,CF$5/100,MONTH($A52)))*$E52</f>
        <v>-1697.2964451557807</v>
      </c>
      <c r="CG52" s="1021">
        <f>(VLOOKUP(YEAR($A52),'NY East Load Projections'!$A$4:$EO$14,((MONTH($A52)-1)*12)+VLOOKUP(CG$4,$DE$6:$DF$17,2)+1))*(VLOOKUP($A52,CURVES!$D$9:$T$261,8))*(INDEX(DailyScalarsTable,CG$5/100,MONTH($A52)))*$E52</f>
        <v>-1628.9192052522058</v>
      </c>
      <c r="CH52" s="1021">
        <f>(VLOOKUP(YEAR($A52),'NY East Load Projections'!$A$4:$EO$14,((MONTH($A52)-1)*12)+VLOOKUP(CH$4,$DE$6:$DF$17,2)+1))*(VLOOKUP($A52,CURVES!$D$9:$T$261,8))*(INDEX(DailyScalarsTable,CH$5/100,MONTH($A52)))*$E52</f>
        <v>-1629.8822649691574</v>
      </c>
      <c r="CI52" s="1021">
        <f>(VLOOKUP(YEAR($A52),'NY East Load Projections'!$A$4:$EO$14,((MONTH($A52)-1)*12)+VLOOKUP(CI$4,$DE$6:$DF$17,2)+1))*(VLOOKUP($A52,CURVES!$D$9:$T$261,8))*(INDEX(DailyScalarsTable,CI$5/100,MONTH($A52)))*$E52</f>
        <v>-1771.7072247258275</v>
      </c>
      <c r="CJ52" s="1021">
        <f>(VLOOKUP(YEAR($A52),'NY East Load Projections'!$A$4:$EO$14,((MONTH($A52)-1)*12)+VLOOKUP(CJ$4,$DE$6:$DF$17,2)+1))*(VLOOKUP($A52,CURVES!$D$9:$T$261,8))*(INDEX(DailyScalarsTable,CJ$5/100,MONTH($A52)))*$E52</f>
        <v>-2041.2256210740807</v>
      </c>
      <c r="CK52" s="1021">
        <f>(VLOOKUP(YEAR($A52),'NY East Load Projections'!$A$4:$EO$14,((MONTH($A52)-1)*12)+VLOOKUP(CK$4,$DE$6:$DF$17,2)+1))*(VLOOKUP($A52,CURVES!$D$9:$T$261,8))*(INDEX(DailyScalarsTable,CK$5/100,MONTH($A52)))*$E52</f>
        <v>-2923.8543940318123</v>
      </c>
      <c r="CL52" s="1021">
        <f>(VLOOKUP(YEAR($A52),'NY East Load Projections'!$A$4:$EO$14,((MONTH($A52)-1)*12)+VLOOKUP(CL$4,$DE$6:$DF$17,2)+1))*(VLOOKUP($A52,SatSunCurve,8))*(INDEX(DailyScalarsTable,CL$5/100,MONTH($A52)))*$E52</f>
        <v>-2670.5651642103812</v>
      </c>
      <c r="CM52" s="1021">
        <f>(VLOOKUP(YEAR($A52),'NY East Load Projections'!$A$4:$EO$14,((MONTH($A52)-1)*12)+VLOOKUP(CM$4,$DE$6:$DF$17,2)+1))*(VLOOKUP($A52,SatSunCurve,8))*(INDEX(DailyScalarsTable,CM$5/100,MONTH($A52)))*$E52</f>
        <v>-3038.4694236262731</v>
      </c>
      <c r="CN52" s="1021">
        <f>(VLOOKUP(YEAR($A52),'NY East Load Projections'!$A$4:$EO$14,((MONTH($A52)-1)*12)+VLOOKUP(CN$4,$DE$6:$DF$17,2)+1))*(VLOOKUP($A52,SatSunCurve,8))*(INDEX(DailyScalarsTable,CN$5/100,MONTH($A52)))*$E52</f>
        <v>-3018.7909064419264</v>
      </c>
      <c r="CO52" s="1021">
        <f>(VLOOKUP(YEAR($A52),'NY East Load Projections'!$A$4:$EO$14,((MONTH($A52)-1)*12)+VLOOKUP(CO$4,$DE$6:$DF$17,2)+1))*(VLOOKUP($A52,SatSunCurve,8))*(INDEX(DailyScalarsTable,CO$5/100,MONTH($A52)))*$E52</f>
        <v>-2960.5531326125761</v>
      </c>
      <c r="CP52" s="1021">
        <f>(VLOOKUP(YEAR($A52),'NY East Load Projections'!$A$4:$EO$14,((MONTH($A52)-1)*12)+VLOOKUP(CP$4,$DE$6:$DF$17,2)+1))*(VLOOKUP($A52,SatSunCurve,8))*(INDEX(DailyScalarsTable,CP$5/100,MONTH($A52)))*$E52</f>
        <v>-2492.7894606225</v>
      </c>
      <c r="CQ52" s="1021">
        <f>(VLOOKUP(YEAR($A52),'NY East Load Projections'!$A$4:$EO$14,((MONTH($A52)-1)*12)+VLOOKUP(CQ$4,$DE$6:$DF$17,2)+1))*(VLOOKUP($A52,SatSunCurve,8))*(INDEX(DailyScalarsTable,CQ$5/100,MONTH($A52)))*$E52</f>
        <v>-2403.9563515415962</v>
      </c>
      <c r="CR52" s="1021">
        <f>(VLOOKUP(YEAR($A52),'NY East Load Projections'!$A$4:$EO$14,((MONTH($A52)-1)*12)+VLOOKUP(CR$4,$DE$6:$DF$17,2)+1))*(VLOOKUP($A52,SatSunCurve,8))*(INDEX(DailyScalarsTable,CR$5/100,MONTH($A52)))*$E52</f>
        <v>-2339.4260926996708</v>
      </c>
      <c r="CS52" s="1021">
        <f>(VLOOKUP(YEAR($A52),'NY East Load Projections'!$A$4:$EO$14,((MONTH($A52)-1)*12)+VLOOKUP(CS$4,$DE$6:$DF$17,2)+1))*(VLOOKUP($A52,SatSunCurve,8))*(INDEX(DailyScalarsTable,CS$5/100,MONTH($A52)))*$E52</f>
        <v>-2284.697898491962</v>
      </c>
      <c r="CT52" s="1021">
        <f>(VLOOKUP(YEAR($A52),'NY East Load Projections'!$A$4:$EO$14,((MONTH($A52)-1)*12)+VLOOKUP(CT$4,$DE$6:$DF$17,2)+1))*(VLOOKUP($A52,SatSunCurve,8))*(INDEX(DailyScalarsTable,CT$5/100,MONTH($A52)))*$E52</f>
        <v>-2247.1233173941323</v>
      </c>
      <c r="CU52" s="1021">
        <f>(VLOOKUP(YEAR($A52),'NY East Load Projections'!$A$4:$EO$14,((MONTH($A52)-1)*12)+VLOOKUP(CU$4,$DE$6:$DF$17,2)+1))*(VLOOKUP($A52,SatSunCurve,8))*(INDEX(DailyScalarsTable,CU$5/100,MONTH($A52)))*$E52</f>
        <v>-2305.5595940315106</v>
      </c>
      <c r="CV52" s="1021">
        <f>(VLOOKUP(YEAR($A52),'NY East Load Projections'!$A$4:$EO$14,((MONTH($A52)-1)*12)+VLOOKUP(CV$4,$DE$6:$DF$17,2)+1))*(VLOOKUP($A52,SatSunCurve,8))*(INDEX(DailyScalarsTable,CV$5/100,MONTH($A52)))*$E52</f>
        <v>-3165.0085516532272</v>
      </c>
      <c r="CW52" s="1021">
        <f>(VLOOKUP(YEAR($A52),'NY East Load Projections'!$A$4:$EO$14,((MONTH($A52)-1)*12)+VLOOKUP(CW$4,$DE$6:$DF$17,2)+1))*(VLOOKUP($A52,SatSunCurve,8))*(INDEX(DailyScalarsTable,CW$5/100,MONTH($A52)))*$E52</f>
        <v>-3190.4929685509364</v>
      </c>
      <c r="CX52" s="1021">
        <f>(VLOOKUP(YEAR($A52),'NY East Load Projections'!$A$4:$EO$14,((MONTH($A52)-1)*12)+VLOOKUP(CX$4,$DE$6:$DF$17,2)+1))*(VLOOKUP($A52,SatSunCurve,8))*(INDEX(DailyScalarsTable,CX$5/100,MONTH($A52)))*$E52</f>
        <v>-3059.9503432177739</v>
      </c>
      <c r="CY52" s="1021">
        <f>(VLOOKUP(YEAR($A52),'NY East Load Projections'!$A$4:$EO$14,((MONTH($A52)-1)*12)+VLOOKUP(CY$4,$DE$6:$DF$17,2)+1))*(VLOOKUP($A52,SatSunCurve,8))*(INDEX(DailyScalarsTable,CY$5/100,MONTH($A52)))*$E52</f>
        <v>-2713.6204814585908</v>
      </c>
      <c r="CZ52" s="1021">
        <f>(VLOOKUP(YEAR($A52),'NY East Load Projections'!$A$4:$EO$14,((MONTH($A52)-1)*12)+VLOOKUP(CZ$4,$DE$6:$DF$17,2)+1))*(VLOOKUP($A52,SatSunCurve,8))*(INDEX(DailyScalarsTable,CZ$5/100,MONTH($A52)))*$E52</f>
        <v>-2158.6353761038035</v>
      </c>
      <c r="DA52" s="1021">
        <f>(VLOOKUP(YEAR($A52),'NY East Load Projections'!$A$4:$EO$14,((MONTH($A52)-1)*12)+VLOOKUP(DA$4,$DE$6:$DF$17,2)+1))*(VLOOKUP($A52,SatSunCurve,8))*(INDEX(DailyScalarsTable,DA$5/100,MONTH($A52)))*$E52</f>
        <v>-1820.4607968642674</v>
      </c>
      <c r="DB52" s="1021">
        <f>(VLOOKUP(YEAR($A52),'NY East Load Projections'!$A$4:$EO$14,((MONTH($A52)-1)*12)+VLOOKUP(DB$4,$DE$6:$DF$17,2)+1))*(VLOOKUP($A52,CURVES!$D$9:$T$261,8))*(INDEX(DailyScalarsTable,DB$5/100,MONTH($A52)))*$E52</f>
        <v>-2052.9118940552039</v>
      </c>
      <c r="DH52" s="1021">
        <f t="shared" si="0"/>
        <v>-1961602.4489444303</v>
      </c>
      <c r="DI52">
        <f ca="1">CALC!J72</f>
        <v>0.70892999251362265</v>
      </c>
      <c r="DJ52" s="1029">
        <f t="shared" ca="1" si="1"/>
        <v>-1390638.8094448789</v>
      </c>
    </row>
    <row r="53" spans="1:114" x14ac:dyDescent="0.25">
      <c r="A53" s="244">
        <v>38322</v>
      </c>
      <c r="B53" s="13">
        <v>23</v>
      </c>
      <c r="C53" s="210">
        <v>3</v>
      </c>
      <c r="D53" s="210">
        <v>4</v>
      </c>
      <c r="E53" s="210">
        <v>1</v>
      </c>
      <c r="F53" s="13">
        <v>31</v>
      </c>
      <c r="H53" s="1021">
        <f>(VLOOKUP(YEAR($A53),'NY East Load Projections'!$A$4:$EO$14,((MONTH($A53)-1)*12)+VLOOKUP(H$4,$DE$6:$DF$17,2)+1))*(VLOOKUP($A53,CURVES!$D$9:$K$261,8))*(INDEX(DailyScalarsTable,H$5/100,MONTH($A53)))*$B53</f>
        <v>-40555.102213150196</v>
      </c>
      <c r="I53" s="1021">
        <f>(VLOOKUP(YEAR($A53),'NY East Load Projections'!$A$4:$EO$14,((MONTH($A53)-1)*12)+VLOOKUP(I$4,$DE$6:$DF$17,2)+1))*(VLOOKUP($A53,CURVES!$D$9:$K$261,8))*(INDEX(DailyScalarsTable,I$5/100,MONTH($A53)))*$B53</f>
        <v>-38447.720355274825</v>
      </c>
      <c r="J53" s="1021">
        <f>(VLOOKUP(YEAR($A53),'NY East Load Projections'!$A$4:$EO$14,((MONTH($A53)-1)*12)+VLOOKUP(J$4,$DE$6:$DF$17,2)+1))*(VLOOKUP($A53,CURVES!$D$9:$K$261,8))*(INDEX(DailyScalarsTable,J$5/100,MONTH($A53)))*$B53</f>
        <v>-36898.816505283612</v>
      </c>
      <c r="K53" s="1021">
        <f>(VLOOKUP(YEAR($A53),'NY East Load Projections'!$A$4:$EO$14,((MONTH($A53)-1)*12)+VLOOKUP(K$4,$DE$6:$DF$17,2)+1))*(VLOOKUP($A53,CURVES!$D$9:$K$261,8))*(INDEX(DailyScalarsTable,K$5/100,MONTH($A53)))*$B53</f>
        <v>-36920.632052466579</v>
      </c>
      <c r="L53" s="1021">
        <f>(VLOOKUP(YEAR($A53),'NY East Load Projections'!$A$4:$EO$14,((MONTH($A53)-1)*12)+VLOOKUP(L$4,$DE$6:$DF$17,2)+1))*(VLOOKUP($A53,CURVES!$D$9:$K$261,8))*(INDEX(DailyScalarsTable,L$5/100,MONTH($A53)))*$B53</f>
        <v>-43946.824949662092</v>
      </c>
      <c r="M53" s="1021">
        <f>(VLOOKUP(YEAR($A53),'NY East Load Projections'!$A$4:$EO$14,((MONTH($A53)-1)*12)+VLOOKUP(M$4,$DE$6:$DF$17,2)+1))*(VLOOKUP($A53,CURVES!$D$9:$K$261,8))*(INDEX(DailyScalarsTable,M$5/100,MONTH($A53)))*$B53</f>
        <v>-50632.172065556631</v>
      </c>
      <c r="N53" s="1021">
        <f>(VLOOKUP(YEAR($A53),'NY East Load Projections'!$A$4:$EO$14,((MONTH($A53)-1)*12)+VLOOKUP(N$4,$DE$6:$DF$17,2)+1))*(VLOOKUP($A53,CURVES!$D$9:$K$261,8))*(INDEX(DailyScalarsTable,N$5/100,MONTH($A53)))*$B53</f>
        <v>-72525.59307743462</v>
      </c>
      <c r="O53" s="1021">
        <f>(VLOOKUP(YEAR($A53),'NY East Load Projections'!$A$4:$EO$14,((MONTH($A53)-1)*12)+VLOOKUP(O$4,$DE$6:$DF$17,2)+1))*(VLOOKUP($A53,CURVES!$D$9:$K$261,4))*(INDEX(DailyScalarsTable,O$5/100,MONTH($A53)))*$B53</f>
        <v>-77513.741391427437</v>
      </c>
      <c r="P53" s="1021">
        <f>(VLOOKUP(YEAR($A53),'NY East Load Projections'!$A$4:$EO$14,((MONTH($A53)-1)*12)+VLOOKUP(P$4,$DE$6:$DF$17,2)+1))*(VLOOKUP($A53,CURVES!$D$9:$K$261,4))*(INDEX(DailyScalarsTable,P$5/100,MONTH($A53)))*$B53</f>
        <v>-90614.949703668695</v>
      </c>
      <c r="Q53" s="1021">
        <f>(VLOOKUP(YEAR($A53),'NY East Load Projections'!$A$4:$EO$14,((MONTH($A53)-1)*12)+VLOOKUP(Q$4,$DE$6:$DF$17,2)+1))*(VLOOKUP($A53,CURVES!$D$9:$K$261,4))*(INDEX(DailyScalarsTable,Q$5/100,MONTH($A53)))*$B53</f>
        <v>-90155.568192024381</v>
      </c>
      <c r="R53" s="1021">
        <f>(VLOOKUP(YEAR($A53),'NY East Load Projections'!$A$4:$EO$14,((MONTH($A53)-1)*12)+VLOOKUP(R$4,$DE$6:$DF$17,2)+1))*(VLOOKUP($A53,CURVES!$D$9:$K$261,4))*(INDEX(DailyScalarsTable,R$5/100,MONTH($A53)))*$B53</f>
        <v>-88193.464108391083</v>
      </c>
      <c r="S53" s="1021">
        <f>(VLOOKUP(YEAR($A53),'NY East Load Projections'!$A$4:$EO$14,((MONTH($A53)-1)*12)+VLOOKUP(S$4,$DE$6:$DF$17,2)+1))*(VLOOKUP($A53,CURVES!$D$9:$K$261,4))*(INDEX(DailyScalarsTable,S$5/100,MONTH($A53)))*$B53</f>
        <v>-71663.515816512008</v>
      </c>
      <c r="T53" s="1021">
        <f>(VLOOKUP(YEAR($A53),'NY East Load Projections'!$A$4:$EO$14,((MONTH($A53)-1)*12)+VLOOKUP(T$4,$DE$6:$DF$17,2)+1))*(VLOOKUP($A53,CURVES!$D$9:$K$261,4))*(INDEX(DailyScalarsTable,T$5/100,MONTH($A53)))*$B53</f>
        <v>-69123.111738510721</v>
      </c>
      <c r="U53" s="1021">
        <f>(VLOOKUP(YEAR($A53),'NY East Load Projections'!$A$4:$EO$14,((MONTH($A53)-1)*12)+VLOOKUP(U$4,$DE$6:$DF$17,2)+1))*(VLOOKUP($A53,CURVES!$D$9:$K$261,4))*(INDEX(DailyScalarsTable,U$5/100,MONTH($A53)))*$B53</f>
        <v>-66144.55268885722</v>
      </c>
      <c r="V53" s="1021">
        <f>(VLOOKUP(YEAR($A53),'NY East Load Projections'!$A$4:$EO$14,((MONTH($A53)-1)*12)+VLOOKUP(V$4,$DE$6:$DF$17,2)+1))*(VLOOKUP($A53,CURVES!$D$9:$K$261,4))*(INDEX(DailyScalarsTable,V$5/100,MONTH($A53)))*$B53</f>
        <v>-62818.363405291886</v>
      </c>
      <c r="W53" s="1021">
        <f>(VLOOKUP(YEAR($A53),'NY East Load Projections'!$A$4:$EO$14,((MONTH($A53)-1)*12)+VLOOKUP(W$4,$DE$6:$DF$17,2)+1))*(VLOOKUP($A53,CURVES!$D$9:$K$261,4))*(INDEX(DailyScalarsTable,W$5/100,MONTH($A53)))*$B53</f>
        <v>-61728.068580750289</v>
      </c>
      <c r="X53" s="1021">
        <f>(VLOOKUP(YEAR($A53),'NY East Load Projections'!$A$4:$EO$14,((MONTH($A53)-1)*12)+VLOOKUP(X$4,$DE$6:$DF$17,2)+1))*(VLOOKUP($A53,CURVES!$D$9:$K$261,4))*(INDEX(DailyScalarsTable,X$5/100,MONTH($A53)))*$B53</f>
        <v>-65731.682314054531</v>
      </c>
      <c r="Y53" s="1021">
        <f>(VLOOKUP(YEAR($A53),'NY East Load Projections'!$A$4:$EO$14,((MONTH($A53)-1)*12)+VLOOKUP(Y$4,$DE$6:$DF$17,2)+1))*(VLOOKUP($A53,CURVES!$D$9:$K$261,4))*(INDEX(DailyScalarsTable,Y$5/100,MONTH($A53)))*$B53</f>
        <v>-92638.572290679134</v>
      </c>
      <c r="Z53" s="1021">
        <f>(VLOOKUP(YEAR($A53),'NY East Load Projections'!$A$4:$EO$14,((MONTH($A53)-1)*12)+VLOOKUP(Z$4,$DE$6:$DF$17,2)+1))*(VLOOKUP($A53,CURVES!$D$9:$K$261,4))*(INDEX(DailyScalarsTable,Z$5/100,MONTH($A53)))*$B53</f>
        <v>-92021.366077224593</v>
      </c>
      <c r="AA53" s="1021">
        <f>(VLOOKUP(YEAR($A53),'NY East Load Projections'!$A$4:$EO$14,((MONTH($A53)-1)*12)+VLOOKUP(AA$4,$DE$6:$DF$17,2)+1))*(VLOOKUP($A53,CURVES!$D$9:$K$261,4))*(INDEX(DailyScalarsTable,AA$5/100,MONTH($A53)))*$B53</f>
        <v>-88852.578002176335</v>
      </c>
      <c r="AB53" s="1021">
        <f>(VLOOKUP(YEAR($A53),'NY East Load Projections'!$A$4:$EO$14,((MONTH($A53)-1)*12)+VLOOKUP(AB$4,$DE$6:$DF$17,2)+1))*(VLOOKUP($A53,CURVES!$D$9:$K$261,4))*(INDEX(DailyScalarsTable,AB$5/100,MONTH($A53)))*$B53</f>
        <v>-77973.371523766618</v>
      </c>
      <c r="AC53" s="1021">
        <f>(VLOOKUP(YEAR($A53),'NY East Load Projections'!$A$4:$EO$14,((MONTH($A53)-1)*12)+VLOOKUP(AC$4,$DE$6:$DF$17,2)+1))*(VLOOKUP($A53,CURVES!$D$9:$K$261,4))*(INDEX(DailyScalarsTable,AC$5/100,MONTH($A53)))*$B53</f>
        <v>-57481.658311616906</v>
      </c>
      <c r="AD53" s="1021">
        <f>(VLOOKUP(YEAR($A53),'NY East Load Projections'!$A$4:$EO$14,((MONTH($A53)-1)*12)+VLOOKUP(AD$4,$DE$6:$DF$17,2)+1))*(VLOOKUP($A53,CURVES!$D$9:$K$261,4))*(INDEX(DailyScalarsTable,AD$5/100,MONTH($A53)))*$B53</f>
        <v>-47423.211936477834</v>
      </c>
      <c r="AE53" s="1021">
        <f>(VLOOKUP(YEAR($A53),'NY East Load Projections'!$A$4:$EO$14,((MONTH($A53)-1)*12)+VLOOKUP(AE$4,$DE$6:$DF$17,2)+1))*(VLOOKUP($A53,CURVES!$D$9:$K$261,8))*(INDEX(DailyScalarsTable,AE$5/100,MONTH($A53)))*$B53</f>
        <v>-48233.741837007394</v>
      </c>
      <c r="AF53" s="1021"/>
      <c r="AG53" s="1021">
        <f>(VLOOKUP(YEAR($A53),'NY East Load Projections'!$A$4:$EO$14,((MONTH($A53)-1)*12)+VLOOKUP(AG$4,$DE$6:$DF$17,2)+1))*(VLOOKUP($A53,CURVES!$D$9:$T$261,8))*(INDEX(DailyScalarsTable,AG$5/100,MONTH($A53)))*$C53</f>
        <v>-5592.6692414124609</v>
      </c>
      <c r="AH53" s="1021">
        <f>(VLOOKUP(YEAR($A53),'NY East Load Projections'!$A$4:$EO$14,((MONTH($A53)-1)*12)+VLOOKUP(AH$4,$DE$6:$DF$17,2)+1))*(VLOOKUP($A53,CURVES!$D$9:$T$261,8))*(INDEX(DailyScalarsTable,AH$5/100,MONTH($A53)))*$C53</f>
        <v>-5302.0550140211517</v>
      </c>
      <c r="AI53" s="1021">
        <f>(VLOOKUP(YEAR($A53),'NY East Load Projections'!$A$4:$EO$14,((MONTH($A53)-1)*12)+VLOOKUP(AI$4,$DE$6:$DF$17,2)+1))*(VLOOKUP($A53,CURVES!$D$9:$T$261,8))*(INDEX(DailyScalarsTable,AI$5/100,MONTH($A53)))*$C53</f>
        <v>-5088.456565317395</v>
      </c>
      <c r="AJ53" s="1021">
        <f>(VLOOKUP(YEAR($A53),'NY East Load Projections'!$A$4:$EO$14,((MONTH($A53)-1)*12)+VLOOKUP(AJ$4,$DE$6:$DF$17,2)+1))*(VLOOKUP($A53,CURVES!$D$9:$T$261,8))*(INDEX(DailyScalarsTable,AJ$5/100,MONTH($A53)))*$C53</f>
        <v>-5091.4649941723765</v>
      </c>
      <c r="AK53" s="1021">
        <f>(VLOOKUP(YEAR($A53),'NY East Load Projections'!$A$4:$EO$14,((MONTH($A53)-1)*12)+VLOOKUP(AK$4,$DE$6:$DF$17,2)+1))*(VLOOKUP($A53,CURVES!$D$9:$T$261,8))*(INDEX(DailyScalarsTable,AK$5/100,MONTH($A53)))*$C53</f>
        <v>-5575.070800839163</v>
      </c>
      <c r="AL53" s="1021">
        <f>(VLOOKUP(YEAR($A53),'NY East Load Projections'!$A$4:$EO$14,((MONTH($A53)-1)*12)+VLOOKUP(AL$4,$DE$6:$DF$17,2)+1))*(VLOOKUP($A53,CURVES!$D$9:$T$261,8))*(INDEX(DailyScalarsTable,AL$5/100,MONTH($A53)))*$C53</f>
        <v>-6423.1703744031129</v>
      </c>
      <c r="AM53" s="1021">
        <f>(VLOOKUP(YEAR($A53),'NY East Load Projections'!$A$4:$EO$14,((MONTH($A53)-1)*12)+VLOOKUP(AM$4,$DE$6:$DF$17,2)+1))*(VLOOKUP($A53,CURVES!$D$9:$T$261,8))*(INDEX(DailyScalarsTable,AM$5/100,MONTH($A53)))*$C53</f>
        <v>-9200.5581004472006</v>
      </c>
      <c r="AN53" s="1021">
        <f>(VLOOKUP(YEAR($A53),'NY East Load Projections'!$A$4:$EO$14,((MONTH($A53)-1)*12)+VLOOKUP(AN$4,$DE$6:$DF$17,2)+1))*(VLOOKUP($A53,SatSunCurve,4))*(INDEX(DailyScalarsTable,AN$5/100,MONTH($A53)))*$C53</f>
        <v>-8207.7266691932018</v>
      </c>
      <c r="AO53" s="1021">
        <f>(VLOOKUP(YEAR($A53),'NY East Load Projections'!$A$4:$EO$14,((MONTH($A53)-1)*12)+VLOOKUP(AO$4,$DE$6:$DF$17,2)+1))*(VLOOKUP($A53,SatSunCurve,4))*(INDEX(DailyScalarsTable,AO$5/100,MONTH($A53)))*$C53</f>
        <v>-9379.5091420024237</v>
      </c>
      <c r="AP53" s="1021">
        <f>(VLOOKUP(YEAR($A53),'NY East Load Projections'!$A$4:$EO$14,((MONTH($A53)-1)*12)+VLOOKUP(AP$4,$DE$6:$DF$17,2)+1))*(VLOOKUP($A53,SatSunCurve,4))*(INDEX(DailyScalarsTable,AP$5/100,MONTH($A53)))*$C53</f>
        <v>-9331.9587863246306</v>
      </c>
      <c r="AQ53" s="1021">
        <f>(VLOOKUP(YEAR($A53),'NY East Load Projections'!$A$4:$EO$14,((MONTH($A53)-1)*12)+VLOOKUP(AQ$4,$DE$6:$DF$17,2)+1))*(VLOOKUP($A53,SatSunCurve,4))*(INDEX(DailyScalarsTable,AQ$5/100,MONTH($A53)))*$C53</f>
        <v>-9128.8623519042339</v>
      </c>
      <c r="AR53" s="1021">
        <f>(VLOOKUP(YEAR($A53),'NY East Load Projections'!$A$4:$EO$14,((MONTH($A53)-1)*12)+VLOOKUP(AR$4,$DE$6:$DF$17,2)+1))*(VLOOKUP($A53,SatSunCurve,4))*(INDEX(DailyScalarsTable,AR$5/100,MONTH($A53)))*$C53</f>
        <v>-7417.8554857355493</v>
      </c>
      <c r="AS53" s="1021">
        <f>(VLOOKUP(YEAR($A53),'NY East Load Projections'!$A$4:$EO$14,((MONTH($A53)-1)*12)+VLOOKUP(AS$4,$DE$6:$DF$17,2)+1))*(VLOOKUP($A53,SatSunCurve,4))*(INDEX(DailyScalarsTable,AS$5/100,MONTH($A53)))*$C53</f>
        <v>-7091.9400909629949</v>
      </c>
      <c r="AT53" s="1021">
        <f>(VLOOKUP(YEAR($A53),'NY East Load Projections'!$A$4:$EO$14,((MONTH($A53)-1)*12)+VLOOKUP(AT$4,$DE$6:$DF$17,2)+1))*(VLOOKUP($A53,SatSunCurve,4))*(INDEX(DailyScalarsTable,AT$5/100,MONTH($A53)))*$C53</f>
        <v>-6786.3438611889578</v>
      </c>
      <c r="AU53" s="1021">
        <f>(VLOOKUP(YEAR($A53),'NY East Load Projections'!$A$4:$EO$14,((MONTH($A53)-1)*12)+VLOOKUP(AU$4,$DE$6:$DF$17,2)+1))*(VLOOKUP($A53,SatSunCurve,4))*(INDEX(DailyScalarsTable,AU$5/100,MONTH($A53)))*$C53</f>
        <v>-6445.081227939967</v>
      </c>
      <c r="AV53" s="1021">
        <f>(VLOOKUP(YEAR($A53),'NY East Load Projections'!$A$4:$EO$14,((MONTH($A53)-1)*12)+VLOOKUP(AV$4,$DE$6:$DF$17,2)+1))*(VLOOKUP($A53,SatSunCurve,4))*(INDEX(DailyScalarsTable,AV$5/100,MONTH($A53)))*$C53</f>
        <v>-6333.2184170412474</v>
      </c>
      <c r="AW53" s="1021">
        <f>(VLOOKUP(YEAR($A53),'NY East Load Projections'!$A$4:$EO$14,((MONTH($A53)-1)*12)+VLOOKUP(AW$4,$DE$6:$DF$17,2)+1))*(VLOOKUP($A53,SatSunCurve,4))*(INDEX(DailyScalarsTable,AW$5/100,MONTH($A53)))*$C53</f>
        <v>-6843.5005542773924</v>
      </c>
      <c r="AX53" s="1021">
        <f>(VLOOKUP(YEAR($A53),'NY East Load Projections'!$A$4:$EO$14,((MONTH($A53)-1)*12)+VLOOKUP(AX$4,$DE$6:$DF$17,2)+1))*(VLOOKUP($A53,SatSunCurve,4))*(INDEX(DailyScalarsTable,AX$5/100,MONTH($A53)))*$C53</f>
        <v>-9644.8485494364904</v>
      </c>
      <c r="AY53" s="1021">
        <f>(VLOOKUP(YEAR($A53),'NY East Load Projections'!$A$4:$EO$14,((MONTH($A53)-1)*12)+VLOOKUP(AY$4,$DE$6:$DF$17,2)+1))*(VLOOKUP($A53,SatSunCurve,4))*(INDEX(DailyScalarsTable,AY$5/100,MONTH($A53)))*$C53</f>
        <v>-9580.5895663223982</v>
      </c>
      <c r="AZ53" s="1021">
        <f>(VLOOKUP(YEAR($A53),'NY East Load Projections'!$A$4:$EO$14,((MONTH($A53)-1)*12)+VLOOKUP(AZ$4,$DE$6:$DF$17,2)+1))*(VLOOKUP($A53,SatSunCurve,4))*(INDEX(DailyScalarsTable,AZ$5/100,MONTH($A53)))*$C53</f>
        <v>-9250.6785982085694</v>
      </c>
      <c r="BA53" s="1021">
        <f>(VLOOKUP(YEAR($A53),'NY East Load Projections'!$A$4:$EO$14,((MONTH($A53)-1)*12)+VLOOKUP(BA$4,$DE$6:$DF$17,2)+1))*(VLOOKUP($A53,SatSunCurve,4))*(INDEX(DailyScalarsTable,BA$5/100,MONTH($A53)))*$C53</f>
        <v>-8699.4865664982572</v>
      </c>
      <c r="BB53" s="1021">
        <f>(VLOOKUP(YEAR($A53),'NY East Load Projections'!$A$4:$EO$14,((MONTH($A53)-1)*12)+VLOOKUP(BB$4,$DE$6:$DF$17,2)+1))*(VLOOKUP($A53,SatSunCurve,4))*(INDEX(DailyScalarsTable,BB$5/100,MONTH($A53)))*$C53</f>
        <v>-6413.2267789591933</v>
      </c>
      <c r="BC53" s="1021">
        <f>(VLOOKUP(YEAR($A53),'NY East Load Projections'!$A$4:$EO$14,((MONTH($A53)-1)*12)+VLOOKUP(BC$4,$DE$6:$DF$17,2)+1))*(VLOOKUP($A53,SatSunCurve,4))*(INDEX(DailyScalarsTable,BC$5/100,MONTH($A53)))*$C53</f>
        <v>-5291.0062386598156</v>
      </c>
      <c r="BD53" s="1021">
        <f>(VLOOKUP(YEAR($A53),'NY East Load Projections'!$A$4:$EO$14,((MONTH($A53)-1)*12)+VLOOKUP(BD$4,$DE$6:$DF$17,2)+1))*(VLOOKUP($A53,CURVES!$D$9:$T$261,8))*(INDEX(DailyScalarsTable,BD$5/100,MONTH($A53)))*$C53</f>
        <v>-6447.286370343063</v>
      </c>
      <c r="BE53" s="1021"/>
      <c r="BF53" s="1021">
        <f>(VLOOKUP(YEAR($A53),'NY East Load Projections'!$A$4:$EO$14,((MONTH($A53)-1)*12)+VLOOKUP(BF$4,$DE$6:$DF$17,2)+1))*(VLOOKUP($A53,CURVES!$D$9:$T$261,8))*(INDEX(DailyScalarsTable,BF$5/100,MONTH($A53)))*$D53</f>
        <v>-7456.8923218832815</v>
      </c>
      <c r="BG53" s="1021">
        <f>(VLOOKUP(YEAR($A53),'NY East Load Projections'!$A$4:$EO$14,((MONTH($A53)-1)*12)+VLOOKUP(BG$4,$DE$6:$DF$17,2)+1))*(VLOOKUP($A53,CURVES!$D$9:$T$261,8))*(INDEX(DailyScalarsTable,BG$5/100,MONTH($A53)))*$D53</f>
        <v>-7069.4066853615359</v>
      </c>
      <c r="BH53" s="1021">
        <f>(VLOOKUP(YEAR($A53),'NY East Load Projections'!$A$4:$EO$14,((MONTH($A53)-1)*12)+VLOOKUP(BH$4,$DE$6:$DF$17,2)+1))*(VLOOKUP($A53,CURVES!$D$9:$T$261,8))*(INDEX(DailyScalarsTable,BH$5/100,MONTH($A53)))*$D53</f>
        <v>-6784.6087537565263</v>
      </c>
      <c r="BI53" s="1021">
        <f>(VLOOKUP(YEAR($A53),'NY East Load Projections'!$A$4:$EO$14,((MONTH($A53)-1)*12)+VLOOKUP(BI$4,$DE$6:$DF$17,2)+1))*(VLOOKUP($A53,CURVES!$D$9:$T$261,8))*(INDEX(DailyScalarsTable,BI$5/100,MONTH($A53)))*$D53</f>
        <v>-6788.6199922298356</v>
      </c>
      <c r="BJ53" s="1021">
        <f>(VLOOKUP(YEAR($A53),'NY East Load Projections'!$A$4:$EO$14,((MONTH($A53)-1)*12)+VLOOKUP(BJ$4,$DE$6:$DF$17,2)+1))*(VLOOKUP($A53,CURVES!$D$9:$T$261,8))*(INDEX(DailyScalarsTable,BJ$5/100,MONTH($A53)))*$D53</f>
        <v>-7433.427734452217</v>
      </c>
      <c r="BK53" s="1021">
        <f>(VLOOKUP(YEAR($A53),'NY East Load Projections'!$A$4:$EO$14,((MONTH($A53)-1)*12)+VLOOKUP(BK$4,$DE$6:$DF$17,2)+1))*(VLOOKUP($A53,CURVES!$D$9:$T$261,8))*(INDEX(DailyScalarsTable,BK$5/100,MONTH($A53)))*$D53</f>
        <v>-8564.2271658708178</v>
      </c>
      <c r="BL53" s="1021">
        <f>(VLOOKUP(YEAR($A53),'NY East Load Projections'!$A$4:$EO$14,((MONTH($A53)-1)*12)+VLOOKUP(BL$4,$DE$6:$DF$17,2)+1))*(VLOOKUP($A53,CURVES!$D$9:$T$261,8))*(INDEX(DailyScalarsTable,BL$5/100,MONTH($A53)))*$D53</f>
        <v>-12267.410800596268</v>
      </c>
      <c r="BM53" s="1021">
        <f>(VLOOKUP(YEAR($A53),'NY East Load Projections'!$A$4:$EO$14,((MONTH($A53)-1)*12)+VLOOKUP(BM$4,$DE$6:$DF$17,2)+1))*(VLOOKUP($A53,SatSunCurve,8))*(INDEX(DailyScalarsTable,BM$5/100,MONTH($A53)))*$D53</f>
        <v>-10592.96505075791</v>
      </c>
      <c r="BN53" s="1021">
        <f>(VLOOKUP(YEAR($A53),'NY East Load Projections'!$A$4:$EO$14,((MONTH($A53)-1)*12)+VLOOKUP(BN$4,$DE$6:$DF$17,2)+1))*(VLOOKUP($A53,SatSunCurve,8))*(INDEX(DailyScalarsTable,BN$5/100,MONTH($A53)))*$D53</f>
        <v>-12105.277933708594</v>
      </c>
      <c r="BO53" s="1021">
        <f>(VLOOKUP(YEAR($A53),'NY East Load Projections'!$A$4:$EO$14,((MONTH($A53)-1)*12)+VLOOKUP(BO$4,$DE$6:$DF$17,2)+1))*(VLOOKUP($A53,SatSunCurve,8))*(INDEX(DailyScalarsTable,BO$5/100,MONTH($A53)))*$D53</f>
        <v>-12043.909021688589</v>
      </c>
      <c r="BP53" s="1021">
        <f>(VLOOKUP(YEAR($A53),'NY East Load Projections'!$A$4:$EO$14,((MONTH($A53)-1)*12)+VLOOKUP(BP$4,$DE$6:$DF$17,2)+1))*(VLOOKUP($A53,SatSunCurve,8))*(INDEX(DailyScalarsTable,BP$5/100,MONTH($A53)))*$D53</f>
        <v>-11781.790956789589</v>
      </c>
      <c r="BQ53" s="1021">
        <f>(VLOOKUP(YEAR($A53),'NY East Load Projections'!$A$4:$EO$14,((MONTH($A53)-1)*12)+VLOOKUP(BQ$4,$DE$6:$DF$17,2)+1))*(VLOOKUP($A53,SatSunCurve,8))*(INDEX(DailyScalarsTable,BQ$5/100,MONTH($A53)))*$D53</f>
        <v>-9573.5502751206295</v>
      </c>
      <c r="BR53" s="1021">
        <f>(VLOOKUP(YEAR($A53),'NY East Load Projections'!$A$4:$EO$14,((MONTH($A53)-1)*12)+VLOOKUP(BR$4,$DE$6:$DF$17,2)+1))*(VLOOKUP($A53,SatSunCurve,8))*(INDEX(DailyScalarsTable,BR$5/100,MONTH($A53)))*$D53</f>
        <v>-9152.9209674600952</v>
      </c>
      <c r="BS53" s="1021">
        <f>(VLOOKUP(YEAR($A53),'NY East Load Projections'!$A$4:$EO$14,((MONTH($A53)-1)*12)+VLOOKUP(BS$4,$DE$6:$DF$17,2)+1))*(VLOOKUP($A53,SatSunCurve,8))*(INDEX(DailyScalarsTable,BS$5/100,MONTH($A53)))*$D53</f>
        <v>-8758.5157548949501</v>
      </c>
      <c r="BT53" s="1021">
        <f>(VLOOKUP(YEAR($A53),'NY East Load Projections'!$A$4:$EO$14,((MONTH($A53)-1)*12)+VLOOKUP(BT$4,$DE$6:$DF$17,2)+1))*(VLOOKUP($A53,SatSunCurve,8))*(INDEX(DailyScalarsTable,BT$5/100,MONTH($A53)))*$D53</f>
        <v>-8318.0791647359947</v>
      </c>
      <c r="BU53" s="1021">
        <f>(VLOOKUP(YEAR($A53),'NY East Load Projections'!$A$4:$EO$14,((MONTH($A53)-1)*12)+VLOOKUP(BU$4,$DE$6:$DF$17,2)+1))*(VLOOKUP($A53,SatSunCurve,8))*(INDEX(DailyScalarsTable,BU$5/100,MONTH($A53)))*$D53</f>
        <v>-8173.7080259190452</v>
      </c>
      <c r="BV53" s="1021">
        <f>(VLOOKUP(YEAR($A53),'NY East Load Projections'!$A$4:$EO$14,((MONTH($A53)-1)*12)+VLOOKUP(BV$4,$DE$6:$DF$17,2)+1))*(VLOOKUP($A53,SatSunCurve,8))*(INDEX(DailyScalarsTable,BV$5/100,MONTH($A53)))*$D53</f>
        <v>-8832.2826914299148</v>
      </c>
      <c r="BW53" s="1021">
        <f>(VLOOKUP(YEAR($A53),'NY East Load Projections'!$A$4:$EO$14,((MONTH($A53)-1)*12)+VLOOKUP(BW$4,$DE$6:$DF$17,2)+1))*(VLOOKUP($A53,SatSunCurve,8))*(INDEX(DailyScalarsTable,BW$5/100,MONTH($A53)))*$D53</f>
        <v>-12447.727333258854</v>
      </c>
      <c r="BX53" s="1021">
        <f>(VLOOKUP(YEAR($A53),'NY East Load Projections'!$A$4:$EO$14,((MONTH($A53)-1)*12)+VLOOKUP(BX$4,$DE$6:$DF$17,2)+1))*(VLOOKUP($A53,SatSunCurve,8))*(INDEX(DailyScalarsTable,BX$5/100,MONTH($A53)))*$D53</f>
        <v>-12364.79411803865</v>
      </c>
      <c r="BY53" s="1021">
        <f>(VLOOKUP(YEAR($A53),'NY East Load Projections'!$A$4:$EO$14,((MONTH($A53)-1)*12)+VLOOKUP(BY$4,$DE$6:$DF$17,2)+1))*(VLOOKUP($A53,SatSunCurve,8))*(INDEX(DailyScalarsTable,BY$5/100,MONTH($A53)))*$D53</f>
        <v>-11939.008087881408</v>
      </c>
      <c r="BZ53" s="1021">
        <f>(VLOOKUP(YEAR($A53),'NY East Load Projections'!$A$4:$EO$14,((MONTH($A53)-1)*12)+VLOOKUP(BZ$4,$DE$6:$DF$17,2)+1))*(VLOOKUP($A53,SatSunCurve,8))*(INDEX(DailyScalarsTable,BZ$5/100,MONTH($A53)))*$D53</f>
        <v>-11227.634748649885</v>
      </c>
      <c r="CA53" s="1021">
        <f>(VLOOKUP(YEAR($A53),'NY East Load Projections'!$A$4:$EO$14,((MONTH($A53)-1)*12)+VLOOKUP(CA$4,$DE$6:$DF$17,2)+1))*(VLOOKUP($A53,SatSunCurve,8))*(INDEX(DailyScalarsTable,CA$5/100,MONTH($A53)))*$D53</f>
        <v>-8276.9675295214602</v>
      </c>
      <c r="CB53" s="1021">
        <f>(VLOOKUP(YEAR($A53),'NY East Load Projections'!$A$4:$EO$14,((MONTH($A53)-1)*12)+VLOOKUP(CB$4,$DE$6:$DF$17,2)+1))*(VLOOKUP($A53,SatSunCurve,8))*(INDEX(DailyScalarsTable,CB$5/100,MONTH($A53)))*$D53</f>
        <v>-6828.6197175441284</v>
      </c>
      <c r="CC53" s="1021">
        <f>(VLOOKUP(YEAR($A53),'NY East Load Projections'!$A$4:$EO$14,((MONTH($A53)-1)*12)+VLOOKUP(CC$4,$DE$6:$DF$17,2)+1))*(VLOOKUP($A53,CURVES!$D$9:$T$261,8))*(INDEX(DailyScalarsTable,CC$5/100,MONTH($A53)))*$D53</f>
        <v>-8596.3818271240834</v>
      </c>
      <c r="CE53" s="1021">
        <f>(VLOOKUP(YEAR($A53),'NY East Load Projections'!$A$4:$EO$14,((MONTH($A53)-1)*12)+VLOOKUP(CE$4,$DE$6:$DF$17,2)+1))*(VLOOKUP($A53,CURVES!$D$9:$T$261,8))*(INDEX(DailyScalarsTable,CE$5/100,MONTH($A53)))*$E53</f>
        <v>-1864.2230804708204</v>
      </c>
      <c r="CF53" s="1021">
        <f>(VLOOKUP(YEAR($A53),'NY East Load Projections'!$A$4:$EO$14,((MONTH($A53)-1)*12)+VLOOKUP(CF$4,$DE$6:$DF$17,2)+1))*(VLOOKUP($A53,CURVES!$D$9:$T$261,8))*(INDEX(DailyScalarsTable,CF$5/100,MONTH($A53)))*$E53</f>
        <v>-1767.351671340384</v>
      </c>
      <c r="CG53" s="1021">
        <f>(VLOOKUP(YEAR($A53),'NY East Load Projections'!$A$4:$EO$14,((MONTH($A53)-1)*12)+VLOOKUP(CG$4,$DE$6:$DF$17,2)+1))*(VLOOKUP($A53,CURVES!$D$9:$T$261,8))*(INDEX(DailyScalarsTable,CG$5/100,MONTH($A53)))*$E53</f>
        <v>-1696.1521884391316</v>
      </c>
      <c r="CH53" s="1021">
        <f>(VLOOKUP(YEAR($A53),'NY East Load Projections'!$A$4:$EO$14,((MONTH($A53)-1)*12)+VLOOKUP(CH$4,$DE$6:$DF$17,2)+1))*(VLOOKUP($A53,CURVES!$D$9:$T$261,8))*(INDEX(DailyScalarsTable,CH$5/100,MONTH($A53)))*$E53</f>
        <v>-1697.1549980574589</v>
      </c>
      <c r="CI53" s="1021">
        <f>(VLOOKUP(YEAR($A53),'NY East Load Projections'!$A$4:$EO$14,((MONTH($A53)-1)*12)+VLOOKUP(CI$4,$DE$6:$DF$17,2)+1))*(VLOOKUP($A53,CURVES!$D$9:$T$261,8))*(INDEX(DailyScalarsTable,CI$5/100,MONTH($A53)))*$E53</f>
        <v>-1858.3569336130543</v>
      </c>
      <c r="CJ53" s="1021">
        <f>(VLOOKUP(YEAR($A53),'NY East Load Projections'!$A$4:$EO$14,((MONTH($A53)-1)*12)+VLOOKUP(CJ$4,$DE$6:$DF$17,2)+1))*(VLOOKUP($A53,CURVES!$D$9:$T$261,8))*(INDEX(DailyScalarsTable,CJ$5/100,MONTH($A53)))*$E53</f>
        <v>-2141.0567914677044</v>
      </c>
      <c r="CK53" s="1021">
        <f>(VLOOKUP(YEAR($A53),'NY East Load Projections'!$A$4:$EO$14,((MONTH($A53)-1)*12)+VLOOKUP(CK$4,$DE$6:$DF$17,2)+1))*(VLOOKUP($A53,CURVES!$D$9:$T$261,8))*(INDEX(DailyScalarsTable,CK$5/100,MONTH($A53)))*$E53</f>
        <v>-3066.852700149067</v>
      </c>
      <c r="CL53" s="1021">
        <f>(VLOOKUP(YEAR($A53),'NY East Load Projections'!$A$4:$EO$14,((MONTH($A53)-1)*12)+VLOOKUP(CL$4,$DE$6:$DF$17,2)+1))*(VLOOKUP($A53,SatSunCurve,8))*(INDEX(DailyScalarsTable,CL$5/100,MONTH($A53)))*$E53</f>
        <v>-2648.2412626894775</v>
      </c>
      <c r="CM53" s="1021">
        <f>(VLOOKUP(YEAR($A53),'NY East Load Projections'!$A$4:$EO$14,((MONTH($A53)-1)*12)+VLOOKUP(CM$4,$DE$6:$DF$17,2)+1))*(VLOOKUP($A53,SatSunCurve,8))*(INDEX(DailyScalarsTable,CM$5/100,MONTH($A53)))*$E53</f>
        <v>-3026.3194834271485</v>
      </c>
      <c r="CN53" s="1021">
        <f>(VLOOKUP(YEAR($A53),'NY East Load Projections'!$A$4:$EO$14,((MONTH($A53)-1)*12)+VLOOKUP(CN$4,$DE$6:$DF$17,2)+1))*(VLOOKUP($A53,SatSunCurve,8))*(INDEX(DailyScalarsTable,CN$5/100,MONTH($A53)))*$E53</f>
        <v>-3010.9772554221472</v>
      </c>
      <c r="CO53" s="1021">
        <f>(VLOOKUP(YEAR($A53),'NY East Load Projections'!$A$4:$EO$14,((MONTH($A53)-1)*12)+VLOOKUP(CO$4,$DE$6:$DF$17,2)+1))*(VLOOKUP($A53,SatSunCurve,8))*(INDEX(DailyScalarsTable,CO$5/100,MONTH($A53)))*$E53</f>
        <v>-2945.4477391973974</v>
      </c>
      <c r="CP53" s="1021">
        <f>(VLOOKUP(YEAR($A53),'NY East Load Projections'!$A$4:$EO$14,((MONTH($A53)-1)*12)+VLOOKUP(CP$4,$DE$6:$DF$17,2)+1))*(VLOOKUP($A53,SatSunCurve,8))*(INDEX(DailyScalarsTable,CP$5/100,MONTH($A53)))*$E53</f>
        <v>-2393.3875687801574</v>
      </c>
      <c r="CQ53" s="1021">
        <f>(VLOOKUP(YEAR($A53),'NY East Load Projections'!$A$4:$EO$14,((MONTH($A53)-1)*12)+VLOOKUP(CQ$4,$DE$6:$DF$17,2)+1))*(VLOOKUP($A53,SatSunCurve,8))*(INDEX(DailyScalarsTable,CQ$5/100,MONTH($A53)))*$E53</f>
        <v>-2288.2302418650238</v>
      </c>
      <c r="CR53" s="1021">
        <f>(VLOOKUP(YEAR($A53),'NY East Load Projections'!$A$4:$EO$14,((MONTH($A53)-1)*12)+VLOOKUP(CR$4,$DE$6:$DF$17,2)+1))*(VLOOKUP($A53,SatSunCurve,8))*(INDEX(DailyScalarsTable,CR$5/100,MONTH($A53)))*$E53</f>
        <v>-2189.6289387237375</v>
      </c>
      <c r="CS53" s="1021">
        <f>(VLOOKUP(YEAR($A53),'NY East Load Projections'!$A$4:$EO$14,((MONTH($A53)-1)*12)+VLOOKUP(CS$4,$DE$6:$DF$17,2)+1))*(VLOOKUP($A53,SatSunCurve,8))*(INDEX(DailyScalarsTable,CS$5/100,MONTH($A53)))*$E53</f>
        <v>-2079.5197911839987</v>
      </c>
      <c r="CT53" s="1021">
        <f>(VLOOKUP(YEAR($A53),'NY East Load Projections'!$A$4:$EO$14,((MONTH($A53)-1)*12)+VLOOKUP(CT$4,$DE$6:$DF$17,2)+1))*(VLOOKUP($A53,SatSunCurve,8))*(INDEX(DailyScalarsTable,CT$5/100,MONTH($A53)))*$E53</f>
        <v>-2043.4270064797613</v>
      </c>
      <c r="CU53" s="1021">
        <f>(VLOOKUP(YEAR($A53),'NY East Load Projections'!$A$4:$EO$14,((MONTH($A53)-1)*12)+VLOOKUP(CU$4,$DE$6:$DF$17,2)+1))*(VLOOKUP($A53,SatSunCurve,8))*(INDEX(DailyScalarsTable,CU$5/100,MONTH($A53)))*$E53</f>
        <v>-2208.0706728574787</v>
      </c>
      <c r="CV53" s="1021">
        <f>(VLOOKUP(YEAR($A53),'NY East Load Projections'!$A$4:$EO$14,((MONTH($A53)-1)*12)+VLOOKUP(CV$4,$DE$6:$DF$17,2)+1))*(VLOOKUP($A53,SatSunCurve,8))*(INDEX(DailyScalarsTable,CV$5/100,MONTH($A53)))*$E53</f>
        <v>-3111.9318333147135</v>
      </c>
      <c r="CW53" s="1021">
        <f>(VLOOKUP(YEAR($A53),'NY East Load Projections'!$A$4:$EO$14,((MONTH($A53)-1)*12)+VLOOKUP(CW$4,$DE$6:$DF$17,2)+1))*(VLOOKUP($A53,SatSunCurve,8))*(INDEX(DailyScalarsTable,CW$5/100,MONTH($A53)))*$E53</f>
        <v>-3091.1985295096624</v>
      </c>
      <c r="CX53" s="1021">
        <f>(VLOOKUP(YEAR($A53),'NY East Load Projections'!$A$4:$EO$14,((MONTH($A53)-1)*12)+VLOOKUP(CX$4,$DE$6:$DF$17,2)+1))*(VLOOKUP($A53,SatSunCurve,8))*(INDEX(DailyScalarsTable,CX$5/100,MONTH($A53)))*$E53</f>
        <v>-2984.752021970352</v>
      </c>
      <c r="CY53" s="1021">
        <f>(VLOOKUP(YEAR($A53),'NY East Load Projections'!$A$4:$EO$14,((MONTH($A53)-1)*12)+VLOOKUP(CY$4,$DE$6:$DF$17,2)+1))*(VLOOKUP($A53,SatSunCurve,8))*(INDEX(DailyScalarsTable,CY$5/100,MONTH($A53)))*$E53</f>
        <v>-2806.9086871624713</v>
      </c>
      <c r="CZ53" s="1021">
        <f>(VLOOKUP(YEAR($A53),'NY East Load Projections'!$A$4:$EO$14,((MONTH($A53)-1)*12)+VLOOKUP(CZ$4,$DE$6:$DF$17,2)+1))*(VLOOKUP($A53,SatSunCurve,8))*(INDEX(DailyScalarsTable,CZ$5/100,MONTH($A53)))*$E53</f>
        <v>-2069.241882380365</v>
      </c>
      <c r="DA53" s="1021">
        <f>(VLOOKUP(YEAR($A53),'NY East Load Projections'!$A$4:$EO$14,((MONTH($A53)-1)*12)+VLOOKUP(DA$4,$DE$6:$DF$17,2)+1))*(VLOOKUP($A53,SatSunCurve,8))*(INDEX(DailyScalarsTable,DA$5/100,MONTH($A53)))*$E53</f>
        <v>-1707.1549293860321</v>
      </c>
      <c r="DB53" s="1021">
        <f>(VLOOKUP(YEAR($A53),'NY East Load Projections'!$A$4:$EO$14,((MONTH($A53)-1)*12)+VLOOKUP(DB$4,$DE$6:$DF$17,2)+1))*(VLOOKUP($A53,CURVES!$D$9:$T$261,8))*(INDEX(DailyScalarsTable,DB$5/100,MONTH($A53)))*$E53</f>
        <v>-2149.0954567810209</v>
      </c>
      <c r="DH53" s="1021">
        <f t="shared" si="0"/>
        <v>-2027028.3518062204</v>
      </c>
      <c r="DI53">
        <f ca="1">CALC!J73</f>
        <v>0.70451331730150835</v>
      </c>
      <c r="DJ53" s="1029">
        <f t="shared" ca="1" si="1"/>
        <v>-1428068.4683952092</v>
      </c>
    </row>
    <row r="54" spans="1:114" x14ac:dyDescent="0.25">
      <c r="A54" s="244">
        <v>38353</v>
      </c>
      <c r="B54" s="13">
        <v>21</v>
      </c>
      <c r="C54" s="210">
        <v>4</v>
      </c>
      <c r="D54" s="210">
        <v>5</v>
      </c>
      <c r="E54" s="210">
        <v>1</v>
      </c>
      <c r="F54" s="13">
        <v>31</v>
      </c>
      <c r="H54" s="1021">
        <f>(VLOOKUP(YEAR($A54),'NY East Load Projections'!$A$4:$EO$14,((MONTH($A54)-1)*12)+VLOOKUP(H$4,$DE$6:$DF$17,2)+1))*(VLOOKUP($A54,CURVES!$D$9:$K$261,8))*(INDEX(DailyScalarsTable,H$5/100,MONTH($A54)))*$B54</f>
        <v>-34530.11784025692</v>
      </c>
      <c r="I54" s="1021">
        <f>(VLOOKUP(YEAR($A54),'NY East Load Projections'!$A$4:$EO$14,((MONTH($A54)-1)*12)+VLOOKUP(I$4,$DE$6:$DF$17,2)+1))*(VLOOKUP($A54,CURVES!$D$9:$K$261,8))*(INDEX(DailyScalarsTable,I$5/100,MONTH($A54)))*$B54</f>
        <v>-33857.374943233306</v>
      </c>
      <c r="J54" s="1021">
        <f>(VLOOKUP(YEAR($A54),'NY East Load Projections'!$A$4:$EO$14,((MONTH($A54)-1)*12)+VLOOKUP(J$4,$DE$6:$DF$17,2)+1))*(VLOOKUP($A54,CURVES!$D$9:$K$261,8))*(INDEX(DailyScalarsTable,J$5/100,MONTH($A54)))*$B54</f>
        <v>-31025.22491528116</v>
      </c>
      <c r="K54" s="1021">
        <f>(VLOOKUP(YEAR($A54),'NY East Load Projections'!$A$4:$EO$14,((MONTH($A54)-1)*12)+VLOOKUP(K$4,$DE$6:$DF$17,2)+1))*(VLOOKUP($A54,CURVES!$D$9:$K$261,8))*(INDEX(DailyScalarsTable,K$5/100,MONTH($A54)))*$B54</f>
        <v>-31006.466583353013</v>
      </c>
      <c r="L54" s="1021">
        <f>(VLOOKUP(YEAR($A54),'NY East Load Projections'!$A$4:$EO$14,((MONTH($A54)-1)*12)+VLOOKUP(L$4,$DE$6:$DF$17,2)+1))*(VLOOKUP($A54,CURVES!$D$9:$K$261,8))*(INDEX(DailyScalarsTable,L$5/100,MONTH($A54)))*$B54</f>
        <v>-35658.028816894759</v>
      </c>
      <c r="M54" s="1021">
        <f>(VLOOKUP(YEAR($A54),'NY East Load Projections'!$A$4:$EO$14,((MONTH($A54)-1)*12)+VLOOKUP(M$4,$DE$6:$DF$17,2)+1))*(VLOOKUP($A54,CURVES!$D$9:$K$261,8))*(INDEX(DailyScalarsTable,M$5/100,MONTH($A54)))*$B54</f>
        <v>-38054.888639318044</v>
      </c>
      <c r="N54" s="1021">
        <f>(VLOOKUP(YEAR($A54),'NY East Load Projections'!$A$4:$EO$14,((MONTH($A54)-1)*12)+VLOOKUP(N$4,$DE$6:$DF$17,2)+1))*(VLOOKUP($A54,CURVES!$D$9:$K$261,8))*(INDEX(DailyScalarsTable,N$5/100,MONTH($A54)))*$B54</f>
        <v>-72874.648379477774</v>
      </c>
      <c r="O54" s="1021">
        <f>(VLOOKUP(YEAR($A54),'NY East Load Projections'!$A$4:$EO$14,((MONTH($A54)-1)*12)+VLOOKUP(O$4,$DE$6:$DF$17,2)+1))*(VLOOKUP($A54,CURVES!$D$9:$K$261,4))*(INDEX(DailyScalarsTable,O$5/100,MONTH($A54)))*$B54</f>
        <v>-85587.950019098396</v>
      </c>
      <c r="P54" s="1021">
        <f>(VLOOKUP(YEAR($A54),'NY East Load Projections'!$A$4:$EO$14,((MONTH($A54)-1)*12)+VLOOKUP(P$4,$DE$6:$DF$17,2)+1))*(VLOOKUP($A54,CURVES!$D$9:$K$261,4))*(INDEX(DailyScalarsTable,P$5/100,MONTH($A54)))*$B54</f>
        <v>-97963.510157058205</v>
      </c>
      <c r="Q54" s="1021">
        <f>(VLOOKUP(YEAR($A54),'NY East Load Projections'!$A$4:$EO$14,((MONTH($A54)-1)*12)+VLOOKUP(Q$4,$DE$6:$DF$17,2)+1))*(VLOOKUP($A54,CURVES!$D$9:$K$261,4))*(INDEX(DailyScalarsTable,Q$5/100,MONTH($A54)))*$B54</f>
        <v>-97665.348581269791</v>
      </c>
      <c r="R54" s="1021">
        <f>(VLOOKUP(YEAR($A54),'NY East Load Projections'!$A$4:$EO$14,((MONTH($A54)-1)*12)+VLOOKUP(R$4,$DE$6:$DF$17,2)+1))*(VLOOKUP($A54,CURVES!$D$9:$K$261,4))*(INDEX(DailyScalarsTable,R$5/100,MONTH($A54)))*$B54</f>
        <v>-95960.960150125262</v>
      </c>
      <c r="S54" s="1021">
        <f>(VLOOKUP(YEAR($A54),'NY East Load Projections'!$A$4:$EO$14,((MONTH($A54)-1)*12)+VLOOKUP(S$4,$DE$6:$DF$17,2)+1))*(VLOOKUP($A54,CURVES!$D$9:$K$261,4))*(INDEX(DailyScalarsTable,S$5/100,MONTH($A54)))*$B54</f>
        <v>-71883.838332517247</v>
      </c>
      <c r="T54" s="1021">
        <f>(VLOOKUP(YEAR($A54),'NY East Load Projections'!$A$4:$EO$14,((MONTH($A54)-1)*12)+VLOOKUP(T$4,$DE$6:$DF$17,2)+1))*(VLOOKUP($A54,CURVES!$D$9:$K$261,4))*(INDEX(DailyScalarsTable,T$5/100,MONTH($A54)))*$B54</f>
        <v>-70938.290365900422</v>
      </c>
      <c r="U54" s="1021">
        <f>(VLOOKUP(YEAR($A54),'NY East Load Projections'!$A$4:$EO$14,((MONTH($A54)-1)*12)+VLOOKUP(U$4,$DE$6:$DF$17,2)+1))*(VLOOKUP($A54,CURVES!$D$9:$K$261,4))*(INDEX(DailyScalarsTable,U$5/100,MONTH($A54)))*$B54</f>
        <v>-68647.816788339769</v>
      </c>
      <c r="V54" s="1021">
        <f>(VLOOKUP(YEAR($A54),'NY East Load Projections'!$A$4:$EO$14,((MONTH($A54)-1)*12)+VLOOKUP(V$4,$DE$6:$DF$17,2)+1))*(VLOOKUP($A54,CURVES!$D$9:$K$261,4))*(INDEX(DailyScalarsTable,V$5/100,MONTH($A54)))*$B54</f>
        <v>-65154.01470082876</v>
      </c>
      <c r="W54" s="1021">
        <f>(VLOOKUP(YEAR($A54),'NY East Load Projections'!$A$4:$EO$14,((MONTH($A54)-1)*12)+VLOOKUP(W$4,$DE$6:$DF$17,2)+1))*(VLOOKUP($A54,CURVES!$D$9:$K$261,4))*(INDEX(DailyScalarsTable,W$5/100,MONTH($A54)))*$B54</f>
        <v>-63842.801565848378</v>
      </c>
      <c r="X54" s="1021">
        <f>(VLOOKUP(YEAR($A54),'NY East Load Projections'!$A$4:$EO$14,((MONTH($A54)-1)*12)+VLOOKUP(X$4,$DE$6:$DF$17,2)+1))*(VLOOKUP($A54,CURVES!$D$9:$K$261,4))*(INDEX(DailyScalarsTable,X$5/100,MONTH($A54)))*$B54</f>
        <v>-65530.075046018595</v>
      </c>
      <c r="Y54" s="1021">
        <f>(VLOOKUP(YEAR($A54),'NY East Load Projections'!$A$4:$EO$14,((MONTH($A54)-1)*12)+VLOOKUP(Y$4,$DE$6:$DF$17,2)+1))*(VLOOKUP($A54,CURVES!$D$9:$K$261,4))*(INDEX(DailyScalarsTable,Y$5/100,MONTH($A54)))*$B54</f>
        <v>-91182.252513790678</v>
      </c>
      <c r="Z54" s="1021">
        <f>(VLOOKUP(YEAR($A54),'NY East Load Projections'!$A$4:$EO$14,((MONTH($A54)-1)*12)+VLOOKUP(Z$4,$DE$6:$DF$17,2)+1))*(VLOOKUP($A54,CURVES!$D$9:$K$261,4))*(INDEX(DailyScalarsTable,Z$5/100,MONTH($A54)))*$B54</f>
        <v>-100051.1584970244</v>
      </c>
      <c r="AA54" s="1021">
        <f>(VLOOKUP(YEAR($A54),'NY East Load Projections'!$A$4:$EO$14,((MONTH($A54)-1)*12)+VLOOKUP(AA$4,$DE$6:$DF$17,2)+1))*(VLOOKUP($A54,CURVES!$D$9:$K$261,4))*(INDEX(DailyScalarsTable,AA$5/100,MONTH($A54)))*$B54</f>
        <v>-95766.319773064344</v>
      </c>
      <c r="AB54" s="1021">
        <f>(VLOOKUP(YEAR($A54),'NY East Load Projections'!$A$4:$EO$14,((MONTH($A54)-1)*12)+VLOOKUP(AB$4,$DE$6:$DF$17,2)+1))*(VLOOKUP($A54,CURVES!$D$9:$K$261,4))*(INDEX(DailyScalarsTable,AB$5/100,MONTH($A54)))*$B54</f>
        <v>-80927.078725804779</v>
      </c>
      <c r="AC54" s="1021">
        <f>(VLOOKUP(YEAR($A54),'NY East Load Projections'!$A$4:$EO$14,((MONTH($A54)-1)*12)+VLOOKUP(AC$4,$DE$6:$DF$17,2)+1))*(VLOOKUP($A54,CURVES!$D$9:$K$261,4))*(INDEX(DailyScalarsTable,AC$5/100,MONTH($A54)))*$B54</f>
        <v>-57557.212739087649</v>
      </c>
      <c r="AD54" s="1021">
        <f>(VLOOKUP(YEAR($A54),'NY East Load Projections'!$A$4:$EO$14,((MONTH($A54)-1)*12)+VLOOKUP(AD$4,$DE$6:$DF$17,2)+1))*(VLOOKUP($A54,CURVES!$D$9:$K$261,4))*(INDEX(DailyScalarsTable,AD$5/100,MONTH($A54)))*$B54</f>
        <v>-47117.742625729086</v>
      </c>
      <c r="AE54" s="1021">
        <f>(VLOOKUP(YEAR($A54),'NY East Load Projections'!$A$4:$EO$14,((MONTH($A54)-1)*12)+VLOOKUP(AE$4,$DE$6:$DF$17,2)+1))*(VLOOKUP($A54,CURVES!$D$9:$K$261,8))*(INDEX(DailyScalarsTable,AE$5/100,MONTH($A54)))*$B54</f>
        <v>-41292.120488932989</v>
      </c>
      <c r="AF54" s="1021"/>
      <c r="AG54" s="1021">
        <f>(VLOOKUP(YEAR($A54),'NY East Load Projections'!$A$4:$EO$14,((MONTH($A54)-1)*12)+VLOOKUP(AG$4,$DE$6:$DF$17,2)+1))*(VLOOKUP($A54,CURVES!$D$9:$T$261,8))*(INDEX(DailyScalarsTable,AG$5/100,MONTH($A54)))*$C54</f>
        <v>-6905.4026056407602</v>
      </c>
      <c r="AH54" s="1021">
        <f>(VLOOKUP(YEAR($A54),'NY East Load Projections'!$A$4:$EO$14,((MONTH($A54)-1)*12)+VLOOKUP(AH$4,$DE$6:$DF$17,2)+1))*(VLOOKUP($A54,CURVES!$D$9:$T$261,8))*(INDEX(DailyScalarsTable,AH$5/100,MONTH($A54)))*$C54</f>
        <v>-6770.8661243138076</v>
      </c>
      <c r="AI54" s="1021">
        <f>(VLOOKUP(YEAR($A54),'NY East Load Projections'!$A$4:$EO$14,((MONTH($A54)-1)*12)+VLOOKUP(AI$4,$DE$6:$DF$17,2)+1))*(VLOOKUP($A54,CURVES!$D$9:$T$261,8))*(INDEX(DailyScalarsTable,AI$5/100,MONTH($A54)))*$C54</f>
        <v>-6204.4870498761984</v>
      </c>
      <c r="AJ54" s="1021">
        <f>(VLOOKUP(YEAR($A54),'NY East Load Projections'!$A$4:$EO$14,((MONTH($A54)-1)*12)+VLOOKUP(AJ$4,$DE$6:$DF$17,2)+1))*(VLOOKUP($A54,CURVES!$D$9:$T$261,8))*(INDEX(DailyScalarsTable,AJ$5/100,MONTH($A54)))*$C54</f>
        <v>-6200.735720825618</v>
      </c>
      <c r="AK54" s="1021">
        <f>(VLOOKUP(YEAR($A54),'NY East Load Projections'!$A$4:$EO$14,((MONTH($A54)-1)*12)+VLOOKUP(AK$4,$DE$6:$DF$17,2)+1))*(VLOOKUP($A54,CURVES!$D$9:$T$261,8))*(INDEX(DailyScalarsTable,AK$5/100,MONTH($A54)))*$C54</f>
        <v>-6518.2761478767516</v>
      </c>
      <c r="AL54" s="1021">
        <f>(VLOOKUP(YEAR($A54),'NY East Load Projections'!$A$4:$EO$14,((MONTH($A54)-1)*12)+VLOOKUP(AL$4,$DE$6:$DF$17,2)+1))*(VLOOKUP($A54,CURVES!$D$9:$T$261,8))*(INDEX(DailyScalarsTable,AL$5/100,MONTH($A54)))*$C54</f>
        <v>-6956.4213490748461</v>
      </c>
      <c r="AM54" s="1021">
        <f>(VLOOKUP(YEAR($A54),'NY East Load Projections'!$A$4:$EO$14,((MONTH($A54)-1)*12)+VLOOKUP(AM$4,$DE$6:$DF$17,2)+1))*(VLOOKUP($A54,CURVES!$D$9:$T$261,8))*(INDEX(DailyScalarsTable,AM$5/100,MONTH($A54)))*$C54</f>
        <v>-13321.462180539609</v>
      </c>
      <c r="AN54" s="1021">
        <f>(VLOOKUP(YEAR($A54),'NY East Load Projections'!$A$4:$EO$14,((MONTH($A54)-1)*12)+VLOOKUP(AN$4,$DE$6:$DF$17,2)+1))*(VLOOKUP($A54,SatSunCurve,4))*(INDEX(DailyScalarsTable,AN$5/100,MONTH($A54)))*$C54</f>
        <v>-12350.061524720822</v>
      </c>
      <c r="AO54" s="1021">
        <f>(VLOOKUP(YEAR($A54),'NY East Load Projections'!$A$4:$EO$14,((MONTH($A54)-1)*12)+VLOOKUP(AO$4,$DE$6:$DF$17,2)+1))*(VLOOKUP($A54,SatSunCurve,4))*(INDEX(DailyScalarsTable,AO$5/100,MONTH($A54)))*$C54</f>
        <v>-13923.186469303972</v>
      </c>
      <c r="AP54" s="1021">
        <f>(VLOOKUP(YEAR($A54),'NY East Load Projections'!$A$4:$EO$14,((MONTH($A54)-1)*12)+VLOOKUP(AP$4,$DE$6:$DF$17,2)+1))*(VLOOKUP($A54,SatSunCurve,4))*(INDEX(DailyScalarsTable,AP$5/100,MONTH($A54)))*$C54</f>
        <v>-13880.809882235706</v>
      </c>
      <c r="AQ54" s="1021">
        <f>(VLOOKUP(YEAR($A54),'NY East Load Projections'!$A$4:$EO$14,((MONTH($A54)-1)*12)+VLOOKUP(AQ$4,$DE$6:$DF$17,2)+1))*(VLOOKUP($A54,SatSunCurve,4))*(INDEX(DailyScalarsTable,AQ$5/100,MONTH($A54)))*$C54</f>
        <v>-13638.571543645101</v>
      </c>
      <c r="AR54" s="1021">
        <f>(VLOOKUP(YEAR($A54),'NY East Load Projections'!$A$4:$EO$14,((MONTH($A54)-1)*12)+VLOOKUP(AR$4,$DE$6:$DF$17,2)+1))*(VLOOKUP($A54,SatSunCurve,4))*(INDEX(DailyScalarsTable,AR$5/100,MONTH($A54)))*$C54</f>
        <v>-10216.580476019495</v>
      </c>
      <c r="AS54" s="1021">
        <f>(VLOOKUP(YEAR($A54),'NY East Load Projections'!$A$4:$EO$14,((MONTH($A54)-1)*12)+VLOOKUP(AS$4,$DE$6:$DF$17,2)+1))*(VLOOKUP($A54,SatSunCurve,4))*(INDEX(DailyScalarsTable,AS$5/100,MONTH($A54)))*$C54</f>
        <v>-9964.0804846210249</v>
      </c>
      <c r="AT54" s="1021">
        <f>(VLOOKUP(YEAR($A54),'NY East Load Projections'!$A$4:$EO$14,((MONTH($A54)-1)*12)+VLOOKUP(AT$4,$DE$6:$DF$17,2)+1))*(VLOOKUP($A54,SatSunCurve,4))*(INDEX(DailyScalarsTable,AT$5/100,MONTH($A54)))*$C54</f>
        <v>-9642.3577174526345</v>
      </c>
      <c r="AU54" s="1021">
        <f>(VLOOKUP(YEAR($A54),'NY East Load Projections'!$A$4:$EO$14,((MONTH($A54)-1)*12)+VLOOKUP(AU$4,$DE$6:$DF$17,2)+1))*(VLOOKUP($A54,SatSunCurve,4))*(INDEX(DailyScalarsTable,AU$5/100,MONTH($A54)))*$C54</f>
        <v>-9151.6139313008498</v>
      </c>
      <c r="AV54" s="1021">
        <f>(VLOOKUP(YEAR($A54),'NY East Load Projections'!$A$4:$EO$14,((MONTH($A54)-1)*12)+VLOOKUP(AV$4,$DE$6:$DF$17,2)+1))*(VLOOKUP($A54,SatSunCurve,4))*(INDEX(DailyScalarsTable,AV$5/100,MONTH($A54)))*$C54</f>
        <v>-8967.4393037189438</v>
      </c>
      <c r="AW54" s="1021">
        <f>(VLOOKUP(YEAR($A54),'NY East Load Projections'!$A$4:$EO$14,((MONTH($A54)-1)*12)+VLOOKUP(AW$4,$DE$6:$DF$17,2)+1))*(VLOOKUP($A54,SatSunCurve,4))*(INDEX(DailyScalarsTable,AW$5/100,MONTH($A54)))*$C54</f>
        <v>-9282.0072676598556</v>
      </c>
      <c r="AX54" s="1021">
        <f>(VLOOKUP(YEAR($A54),'NY East Load Projections'!$A$4:$EO$14,((MONTH($A54)-1)*12)+VLOOKUP(AX$4,$DE$6:$DF$17,2)+1))*(VLOOKUP($A54,SatSunCurve,4))*(INDEX(DailyScalarsTable,AX$5/100,MONTH($A54)))*$C54</f>
        <v>-12915.50986200226</v>
      </c>
      <c r="AY54" s="1021">
        <f>(VLOOKUP(YEAR($A54),'NY East Load Projections'!$A$4:$EO$14,((MONTH($A54)-1)*12)+VLOOKUP(AY$4,$DE$6:$DF$17,2)+1))*(VLOOKUP($A54,SatSunCurve,4))*(INDEX(DailyScalarsTable,AY$5/100,MONTH($A54)))*$C54</f>
        <v>-14171.746021273511</v>
      </c>
      <c r="AZ54" s="1021">
        <f>(VLOOKUP(YEAR($A54),'NY East Load Projections'!$A$4:$EO$14,((MONTH($A54)-1)*12)+VLOOKUP(AZ$4,$DE$6:$DF$17,2)+1))*(VLOOKUP($A54,SatSunCurve,4))*(INDEX(DailyScalarsTable,AZ$5/100,MONTH($A54)))*$C54</f>
        <v>-13564.820054095575</v>
      </c>
      <c r="BA54" s="1021">
        <f>(VLOOKUP(YEAR($A54),'NY East Load Projections'!$A$4:$EO$14,((MONTH($A54)-1)*12)+VLOOKUP(BA$4,$DE$6:$DF$17,2)+1))*(VLOOKUP($A54,SatSunCurve,4))*(INDEX(DailyScalarsTable,BA$5/100,MONTH($A54)))*$C54</f>
        <v>-12280.26726209861</v>
      </c>
      <c r="BB54" s="1021">
        <f>(VLOOKUP(YEAR($A54),'NY East Load Projections'!$A$4:$EO$14,((MONTH($A54)-1)*12)+VLOOKUP(BB$4,$DE$6:$DF$17,2)+1))*(VLOOKUP($A54,SatSunCurve,4))*(INDEX(DailyScalarsTable,BB$5/100,MONTH($A54)))*$C54</f>
        <v>-8734.0104996534865</v>
      </c>
      <c r="BC54" s="1021">
        <f>(VLOOKUP(YEAR($A54),'NY East Load Projections'!$A$4:$EO$14,((MONTH($A54)-1)*12)+VLOOKUP(BC$4,$DE$6:$DF$17,2)+1))*(VLOOKUP($A54,SatSunCurve,4))*(INDEX(DailyScalarsTable,BC$5/100,MONTH($A54)))*$C54</f>
        <v>-7149.8746938733657</v>
      </c>
      <c r="BD54" s="1021">
        <f>(VLOOKUP(YEAR($A54),'NY East Load Projections'!$A$4:$EO$14,((MONTH($A54)-1)*12)+VLOOKUP(BD$4,$DE$6:$DF$17,2)+1))*(VLOOKUP($A54,CURVES!$D$9:$T$261,8))*(INDEX(DailyScalarsTable,BD$5/100,MONTH($A54)))*$C54</f>
        <v>-7937.7984606800774</v>
      </c>
      <c r="BE54" s="1021"/>
      <c r="BF54" s="1021">
        <f>(VLOOKUP(YEAR($A54),'NY East Load Projections'!$A$4:$EO$14,((MONTH($A54)-1)*12)+VLOOKUP(BF$4,$DE$6:$DF$17,2)+1))*(VLOOKUP($A54,CURVES!$D$9:$T$261,8))*(INDEX(DailyScalarsTable,BF$5/100,MONTH($A54)))*$D54</f>
        <v>-8631.7532570509502</v>
      </c>
      <c r="BG54" s="1021">
        <f>(VLOOKUP(YEAR($A54),'NY East Load Projections'!$A$4:$EO$14,((MONTH($A54)-1)*12)+VLOOKUP(BG$4,$DE$6:$DF$17,2)+1))*(VLOOKUP($A54,CURVES!$D$9:$T$261,8))*(INDEX(DailyScalarsTable,BG$5/100,MONTH($A54)))*$D54</f>
        <v>-8463.5826553922598</v>
      </c>
      <c r="BH54" s="1021">
        <f>(VLOOKUP(YEAR($A54),'NY East Load Projections'!$A$4:$EO$14,((MONTH($A54)-1)*12)+VLOOKUP(BH$4,$DE$6:$DF$17,2)+1))*(VLOOKUP($A54,CURVES!$D$9:$T$261,8))*(INDEX(DailyScalarsTable,BH$5/100,MONTH($A54)))*$D54</f>
        <v>-7755.6088123452482</v>
      </c>
      <c r="BI54" s="1021">
        <f>(VLOOKUP(YEAR($A54),'NY East Load Projections'!$A$4:$EO$14,((MONTH($A54)-1)*12)+VLOOKUP(BI$4,$DE$6:$DF$17,2)+1))*(VLOOKUP($A54,CURVES!$D$9:$T$261,8))*(INDEX(DailyScalarsTable,BI$5/100,MONTH($A54)))*$D54</f>
        <v>-7750.9196510320226</v>
      </c>
      <c r="BJ54" s="1021">
        <f>(VLOOKUP(YEAR($A54),'NY East Load Projections'!$A$4:$EO$14,((MONTH($A54)-1)*12)+VLOOKUP(BJ$4,$DE$6:$DF$17,2)+1))*(VLOOKUP($A54,CURVES!$D$9:$T$261,8))*(INDEX(DailyScalarsTable,BJ$5/100,MONTH($A54)))*$D54</f>
        <v>-8147.845184845939</v>
      </c>
      <c r="BK54" s="1021">
        <f>(VLOOKUP(YEAR($A54),'NY East Load Projections'!$A$4:$EO$14,((MONTH($A54)-1)*12)+VLOOKUP(BK$4,$DE$6:$DF$17,2)+1))*(VLOOKUP($A54,CURVES!$D$9:$T$261,8))*(INDEX(DailyScalarsTable,BK$5/100,MONTH($A54)))*$D54</f>
        <v>-8695.5266863435572</v>
      </c>
      <c r="BL54" s="1021">
        <f>(VLOOKUP(YEAR($A54),'NY East Load Projections'!$A$4:$EO$14,((MONTH($A54)-1)*12)+VLOOKUP(BL$4,$DE$6:$DF$17,2)+1))*(VLOOKUP($A54,CURVES!$D$9:$T$261,8))*(INDEX(DailyScalarsTable,BL$5/100,MONTH($A54)))*$D54</f>
        <v>-16651.827725674513</v>
      </c>
      <c r="BM54" s="1021">
        <f>(VLOOKUP(YEAR($A54),'NY East Load Projections'!$A$4:$EO$14,((MONTH($A54)-1)*12)+VLOOKUP(BM$4,$DE$6:$DF$17,2)+1))*(VLOOKUP($A54,SatSunCurve,8))*(INDEX(DailyScalarsTable,BM$5/100,MONTH($A54)))*$D54</f>
        <v>-15983.484852383302</v>
      </c>
      <c r="BN54" s="1021">
        <f>(VLOOKUP(YEAR($A54),'NY East Load Projections'!$A$4:$EO$14,((MONTH($A54)-1)*12)+VLOOKUP(BN$4,$DE$6:$DF$17,2)+1))*(VLOOKUP($A54,SatSunCurve,8))*(INDEX(DailyScalarsTable,BN$5/100,MONTH($A54)))*$D54</f>
        <v>-18019.427642815637</v>
      </c>
      <c r="BO54" s="1021">
        <f>(VLOOKUP(YEAR($A54),'NY East Load Projections'!$A$4:$EO$14,((MONTH($A54)-1)*12)+VLOOKUP(BO$4,$DE$6:$DF$17,2)+1))*(VLOOKUP($A54,SatSunCurve,8))*(INDEX(DailyScalarsTable,BO$5/100,MONTH($A54)))*$D54</f>
        <v>-17964.583742957682</v>
      </c>
      <c r="BP54" s="1021">
        <f>(VLOOKUP(YEAR($A54),'NY East Load Projections'!$A$4:$EO$14,((MONTH($A54)-1)*12)+VLOOKUP(BP$4,$DE$6:$DF$17,2)+1))*(VLOOKUP($A54,SatSunCurve,8))*(INDEX(DailyScalarsTable,BP$5/100,MONTH($A54)))*$D54</f>
        <v>-17651.078194197515</v>
      </c>
      <c r="BQ54" s="1021">
        <f>(VLOOKUP(YEAR($A54),'NY East Load Projections'!$A$4:$EO$14,((MONTH($A54)-1)*12)+VLOOKUP(BQ$4,$DE$6:$DF$17,2)+1))*(VLOOKUP($A54,SatSunCurve,8))*(INDEX(DailyScalarsTable,BQ$5/100,MONTH($A54)))*$D54</f>
        <v>-13222.327593651724</v>
      </c>
      <c r="BR54" s="1021">
        <f>(VLOOKUP(YEAR($A54),'NY East Load Projections'!$A$4:$EO$14,((MONTH($A54)-1)*12)+VLOOKUP(BR$4,$DE$6:$DF$17,2)+1))*(VLOOKUP($A54,SatSunCurve,8))*(INDEX(DailyScalarsTable,BR$5/100,MONTH($A54)))*$D54</f>
        <v>-12895.541384557464</v>
      </c>
      <c r="BS54" s="1021">
        <f>(VLOOKUP(YEAR($A54),'NY East Load Projections'!$A$4:$EO$14,((MONTH($A54)-1)*12)+VLOOKUP(BS$4,$DE$6:$DF$17,2)+1))*(VLOOKUP($A54,SatSunCurve,8))*(INDEX(DailyScalarsTable,BS$5/100,MONTH($A54)))*$D54</f>
        <v>-12479.166861611995</v>
      </c>
      <c r="BT54" s="1021">
        <f>(VLOOKUP(YEAR($A54),'NY East Load Projections'!$A$4:$EO$14,((MONTH($A54)-1)*12)+VLOOKUP(BT$4,$DE$6:$DF$17,2)+1))*(VLOOKUP($A54,SatSunCurve,8))*(INDEX(DailyScalarsTable,BT$5/100,MONTH($A54)))*$D54</f>
        <v>-11844.044853785756</v>
      </c>
      <c r="BU54" s="1021">
        <f>(VLOOKUP(YEAR($A54),'NY East Load Projections'!$A$4:$EO$14,((MONTH($A54)-1)*12)+VLOOKUP(BU$4,$DE$6:$DF$17,2)+1))*(VLOOKUP($A54,SatSunCurve,8))*(INDEX(DailyScalarsTable,BU$5/100,MONTH($A54)))*$D54</f>
        <v>-11605.685525432917</v>
      </c>
      <c r="BV54" s="1021">
        <f>(VLOOKUP(YEAR($A54),'NY East Load Projections'!$A$4:$EO$14,((MONTH($A54)-1)*12)+VLOOKUP(BV$4,$DE$6:$DF$17,2)+1))*(VLOOKUP($A54,SatSunCurve,8))*(INDEX(DailyScalarsTable,BV$5/100,MONTH($A54)))*$D54</f>
        <v>-12012.80028163315</v>
      </c>
      <c r="BW54" s="1021">
        <f>(VLOOKUP(YEAR($A54),'NY East Load Projections'!$A$4:$EO$14,((MONTH($A54)-1)*12)+VLOOKUP(BW$4,$DE$6:$DF$17,2)+1))*(VLOOKUP($A54,SatSunCurve,8))*(INDEX(DailyScalarsTable,BW$5/100,MONTH($A54)))*$D54</f>
        <v>-16715.289703367431</v>
      </c>
      <c r="BX54" s="1021">
        <f>(VLOOKUP(YEAR($A54),'NY East Load Projections'!$A$4:$EO$14,((MONTH($A54)-1)*12)+VLOOKUP(BX$4,$DE$6:$DF$17,2)+1))*(VLOOKUP($A54,SatSunCurve,8))*(INDEX(DailyScalarsTable,BX$5/100,MONTH($A54)))*$D54</f>
        <v>-18341.114123961332</v>
      </c>
      <c r="BY54" s="1021">
        <f>(VLOOKUP(YEAR($A54),'NY East Load Projections'!$A$4:$EO$14,((MONTH($A54)-1)*12)+VLOOKUP(BY$4,$DE$6:$DF$17,2)+1))*(VLOOKUP($A54,SatSunCurve,8))*(INDEX(DailyScalarsTable,BY$5/100,MONTH($A54)))*$D54</f>
        <v>-17555.628806055116</v>
      </c>
      <c r="BZ54" s="1021">
        <f>(VLOOKUP(YEAR($A54),'NY East Load Projections'!$A$4:$EO$14,((MONTH($A54)-1)*12)+VLOOKUP(BZ$4,$DE$6:$DF$17,2)+1))*(VLOOKUP($A54,SatSunCurve,8))*(INDEX(DailyScalarsTable,BZ$5/100,MONTH($A54)))*$D54</f>
        <v>-15893.156918617758</v>
      </c>
      <c r="CA54" s="1021">
        <f>(VLOOKUP(YEAR($A54),'NY East Load Projections'!$A$4:$EO$14,((MONTH($A54)-1)*12)+VLOOKUP(CA$4,$DE$6:$DF$17,2)+1))*(VLOOKUP($A54,SatSunCurve,8))*(INDEX(DailyScalarsTable,CA$5/100,MONTH($A54)))*$D54</f>
        <v>-11303.581301383349</v>
      </c>
      <c r="CB54" s="1021">
        <f>(VLOOKUP(YEAR($A54),'NY East Load Projections'!$A$4:$EO$14,((MONTH($A54)-1)*12)+VLOOKUP(CB$4,$DE$6:$DF$17,2)+1))*(VLOOKUP($A54,SatSunCurve,8))*(INDEX(DailyScalarsTable,CB$5/100,MONTH($A54)))*$D54</f>
        <v>-9253.3882229827177</v>
      </c>
      <c r="CC54" s="1021">
        <f>(VLOOKUP(YEAR($A54),'NY East Load Projections'!$A$4:$EO$14,((MONTH($A54)-1)*12)+VLOOKUP(CC$4,$DE$6:$DF$17,2)+1))*(VLOOKUP($A54,CURVES!$D$9:$T$261,8))*(INDEX(DailyScalarsTable,CC$5/100,MONTH($A54)))*$D54</f>
        <v>-9922.2480758500969</v>
      </c>
      <c r="CE54" s="1021">
        <f>(VLOOKUP(YEAR($A54),'NY East Load Projections'!$A$4:$EO$14,((MONTH($A54)-1)*12)+VLOOKUP(CE$4,$DE$6:$DF$17,2)+1))*(VLOOKUP($A54,CURVES!$D$9:$T$261,8))*(INDEX(DailyScalarsTable,CE$5/100,MONTH($A54)))*$E54</f>
        <v>-1726.35065141019</v>
      </c>
      <c r="CF54" s="1021">
        <f>(VLOOKUP(YEAR($A54),'NY East Load Projections'!$A$4:$EO$14,((MONTH($A54)-1)*12)+VLOOKUP(CF$4,$DE$6:$DF$17,2)+1))*(VLOOKUP($A54,CURVES!$D$9:$T$261,8))*(INDEX(DailyScalarsTable,CF$5/100,MONTH($A54)))*$E54</f>
        <v>-1692.7165310784519</v>
      </c>
      <c r="CG54" s="1021">
        <f>(VLOOKUP(YEAR($A54),'NY East Load Projections'!$A$4:$EO$14,((MONTH($A54)-1)*12)+VLOOKUP(CG$4,$DE$6:$DF$17,2)+1))*(VLOOKUP($A54,CURVES!$D$9:$T$261,8))*(INDEX(DailyScalarsTable,CG$5/100,MONTH($A54)))*$E54</f>
        <v>-1551.1217624690496</v>
      </c>
      <c r="CH54" s="1021">
        <f>(VLOOKUP(YEAR($A54),'NY East Load Projections'!$A$4:$EO$14,((MONTH($A54)-1)*12)+VLOOKUP(CH$4,$DE$6:$DF$17,2)+1))*(VLOOKUP($A54,CURVES!$D$9:$T$261,8))*(INDEX(DailyScalarsTable,CH$5/100,MONTH($A54)))*$E54</f>
        <v>-1550.1839302064045</v>
      </c>
      <c r="CI54" s="1021">
        <f>(VLOOKUP(YEAR($A54),'NY East Load Projections'!$A$4:$EO$14,((MONTH($A54)-1)*12)+VLOOKUP(CI$4,$DE$6:$DF$17,2)+1))*(VLOOKUP($A54,CURVES!$D$9:$T$261,8))*(INDEX(DailyScalarsTable,CI$5/100,MONTH($A54)))*$E54</f>
        <v>-1629.5690369691879</v>
      </c>
      <c r="CJ54" s="1021">
        <f>(VLOOKUP(YEAR($A54),'NY East Load Projections'!$A$4:$EO$14,((MONTH($A54)-1)*12)+VLOOKUP(CJ$4,$DE$6:$DF$17,2)+1))*(VLOOKUP($A54,CURVES!$D$9:$T$261,8))*(INDEX(DailyScalarsTable,CJ$5/100,MONTH($A54)))*$E54</f>
        <v>-1739.1053372687115</v>
      </c>
      <c r="CK54" s="1021">
        <f>(VLOOKUP(YEAR($A54),'NY East Load Projections'!$A$4:$EO$14,((MONTH($A54)-1)*12)+VLOOKUP(CK$4,$DE$6:$DF$17,2)+1))*(VLOOKUP($A54,CURVES!$D$9:$T$261,8))*(INDEX(DailyScalarsTable,CK$5/100,MONTH($A54)))*$E54</f>
        <v>-3330.3655451349023</v>
      </c>
      <c r="CL54" s="1021">
        <f>(VLOOKUP(YEAR($A54),'NY East Load Projections'!$A$4:$EO$14,((MONTH($A54)-1)*12)+VLOOKUP(CL$4,$DE$6:$DF$17,2)+1))*(VLOOKUP($A54,SatSunCurve,8))*(INDEX(DailyScalarsTable,CL$5/100,MONTH($A54)))*$E54</f>
        <v>-3196.6969704766607</v>
      </c>
      <c r="CM54" s="1021">
        <f>(VLOOKUP(YEAR($A54),'NY East Load Projections'!$A$4:$EO$14,((MONTH($A54)-1)*12)+VLOOKUP(CM$4,$DE$6:$DF$17,2)+1))*(VLOOKUP($A54,SatSunCurve,8))*(INDEX(DailyScalarsTable,CM$5/100,MONTH($A54)))*$E54</f>
        <v>-3603.8855285631271</v>
      </c>
      <c r="CN54" s="1021">
        <f>(VLOOKUP(YEAR($A54),'NY East Load Projections'!$A$4:$EO$14,((MONTH($A54)-1)*12)+VLOOKUP(CN$4,$DE$6:$DF$17,2)+1))*(VLOOKUP($A54,SatSunCurve,8))*(INDEX(DailyScalarsTable,CN$5/100,MONTH($A54)))*$E54</f>
        <v>-3592.9167485915364</v>
      </c>
      <c r="CO54" s="1021">
        <f>(VLOOKUP(YEAR($A54),'NY East Load Projections'!$A$4:$EO$14,((MONTH($A54)-1)*12)+VLOOKUP(CO$4,$DE$6:$DF$17,2)+1))*(VLOOKUP($A54,SatSunCurve,8))*(INDEX(DailyScalarsTable,CO$5/100,MONTH($A54)))*$E54</f>
        <v>-3530.2156388395033</v>
      </c>
      <c r="CP54" s="1021">
        <f>(VLOOKUP(YEAR($A54),'NY East Load Projections'!$A$4:$EO$14,((MONTH($A54)-1)*12)+VLOOKUP(CP$4,$DE$6:$DF$17,2)+1))*(VLOOKUP($A54,SatSunCurve,8))*(INDEX(DailyScalarsTable,CP$5/100,MONTH($A54)))*$E54</f>
        <v>-2644.4655187303447</v>
      </c>
      <c r="CQ54" s="1021">
        <f>(VLOOKUP(YEAR($A54),'NY East Load Projections'!$A$4:$EO$14,((MONTH($A54)-1)*12)+VLOOKUP(CQ$4,$DE$6:$DF$17,2)+1))*(VLOOKUP($A54,SatSunCurve,8))*(INDEX(DailyScalarsTable,CQ$5/100,MONTH($A54)))*$E54</f>
        <v>-2579.1082769114928</v>
      </c>
      <c r="CR54" s="1021">
        <f>(VLOOKUP(YEAR($A54),'NY East Load Projections'!$A$4:$EO$14,((MONTH($A54)-1)*12)+VLOOKUP(CR$4,$DE$6:$DF$17,2)+1))*(VLOOKUP($A54,SatSunCurve,8))*(INDEX(DailyScalarsTable,CR$5/100,MONTH($A54)))*$E54</f>
        <v>-2495.8333723223991</v>
      </c>
      <c r="CS54" s="1021">
        <f>(VLOOKUP(YEAR($A54),'NY East Load Projections'!$A$4:$EO$14,((MONTH($A54)-1)*12)+VLOOKUP(CS$4,$DE$6:$DF$17,2)+1))*(VLOOKUP($A54,SatSunCurve,8))*(INDEX(DailyScalarsTable,CS$5/100,MONTH($A54)))*$E54</f>
        <v>-2368.8089707571512</v>
      </c>
      <c r="CT54" s="1021">
        <f>(VLOOKUP(YEAR($A54),'NY East Load Projections'!$A$4:$EO$14,((MONTH($A54)-1)*12)+VLOOKUP(CT$4,$DE$6:$DF$17,2)+1))*(VLOOKUP($A54,SatSunCurve,8))*(INDEX(DailyScalarsTable,CT$5/100,MONTH($A54)))*$E54</f>
        <v>-2321.1371050865832</v>
      </c>
      <c r="CU54" s="1021">
        <f>(VLOOKUP(YEAR($A54),'NY East Load Projections'!$A$4:$EO$14,((MONTH($A54)-1)*12)+VLOOKUP(CU$4,$DE$6:$DF$17,2)+1))*(VLOOKUP($A54,SatSunCurve,8))*(INDEX(DailyScalarsTable,CU$5/100,MONTH($A54)))*$E54</f>
        <v>-2402.5600563266298</v>
      </c>
      <c r="CV54" s="1021">
        <f>(VLOOKUP(YEAR($A54),'NY East Load Projections'!$A$4:$EO$14,((MONTH($A54)-1)*12)+VLOOKUP(CV$4,$DE$6:$DF$17,2)+1))*(VLOOKUP($A54,SatSunCurve,8))*(INDEX(DailyScalarsTable,CV$5/100,MONTH($A54)))*$E54</f>
        <v>-3343.0579406734864</v>
      </c>
      <c r="CW54" s="1021">
        <f>(VLOOKUP(YEAR($A54),'NY East Load Projections'!$A$4:$EO$14,((MONTH($A54)-1)*12)+VLOOKUP(CW$4,$DE$6:$DF$17,2)+1))*(VLOOKUP($A54,SatSunCurve,8))*(INDEX(DailyScalarsTable,CW$5/100,MONTH($A54)))*$E54</f>
        <v>-3668.2228247922662</v>
      </c>
      <c r="CX54" s="1021">
        <f>(VLOOKUP(YEAR($A54),'NY East Load Projections'!$A$4:$EO$14,((MONTH($A54)-1)*12)+VLOOKUP(CX$4,$DE$6:$DF$17,2)+1))*(VLOOKUP($A54,SatSunCurve,8))*(INDEX(DailyScalarsTable,CX$5/100,MONTH($A54)))*$E54</f>
        <v>-3511.1257612110235</v>
      </c>
      <c r="CY54" s="1021">
        <f>(VLOOKUP(YEAR($A54),'NY East Load Projections'!$A$4:$EO$14,((MONTH($A54)-1)*12)+VLOOKUP(CY$4,$DE$6:$DF$17,2)+1))*(VLOOKUP($A54,SatSunCurve,8))*(INDEX(DailyScalarsTable,CY$5/100,MONTH($A54)))*$E54</f>
        <v>-3178.6313837235516</v>
      </c>
      <c r="CZ54" s="1021">
        <f>(VLOOKUP(YEAR($A54),'NY East Load Projections'!$A$4:$EO$14,((MONTH($A54)-1)*12)+VLOOKUP(CZ$4,$DE$6:$DF$17,2)+1))*(VLOOKUP($A54,SatSunCurve,8))*(INDEX(DailyScalarsTable,CZ$5/100,MONTH($A54)))*$E54</f>
        <v>-2260.7162602766698</v>
      </c>
      <c r="DA54" s="1021">
        <f>(VLOOKUP(YEAR($A54),'NY East Load Projections'!$A$4:$EO$14,((MONTH($A54)-1)*12)+VLOOKUP(DA$4,$DE$6:$DF$17,2)+1))*(VLOOKUP($A54,SatSunCurve,8))*(INDEX(DailyScalarsTable,DA$5/100,MONTH($A54)))*$E54</f>
        <v>-1850.6776445965436</v>
      </c>
      <c r="DB54" s="1021">
        <f>(VLOOKUP(YEAR($A54),'NY East Load Projections'!$A$4:$EO$14,((MONTH($A54)-1)*12)+VLOOKUP(DB$4,$DE$6:$DF$17,2)+1))*(VLOOKUP($A54,CURVES!$D$9:$T$261,8))*(INDEX(DailyScalarsTable,DB$5/100,MONTH($A54)))*$E54</f>
        <v>-1984.4496151700193</v>
      </c>
      <c r="DH54" s="1021">
        <f t="shared" si="0"/>
        <v>-2185235.1622902723</v>
      </c>
      <c r="DI54">
        <f ca="1">CALC!J74</f>
        <v>0.70011600191744161</v>
      </c>
      <c r="DJ54" s="1029">
        <f t="shared" ca="1" si="1"/>
        <v>-1529918.1050720771</v>
      </c>
    </row>
    <row r="55" spans="1:114" x14ac:dyDescent="0.25">
      <c r="A55" s="244">
        <v>38384</v>
      </c>
      <c r="B55" s="13">
        <v>20</v>
      </c>
      <c r="C55" s="210">
        <v>4</v>
      </c>
      <c r="D55" s="210">
        <v>4</v>
      </c>
      <c r="E55" s="210">
        <v>0</v>
      </c>
      <c r="F55" s="13">
        <v>28</v>
      </c>
      <c r="H55" s="1021">
        <f>(VLOOKUP(YEAR($A55),'NY East Load Projections'!$A$4:$EO$14,((MONTH($A55)-1)*12)+VLOOKUP(H$4,$DE$6:$DF$17,2)+1))*(VLOOKUP($A55,CURVES!$D$9:$K$261,8))*(INDEX(DailyScalarsTable,H$5/100,MONTH($A55)))*$B55</f>
        <v>-31969.296391162017</v>
      </c>
      <c r="I55" s="1021">
        <f>(VLOOKUP(YEAR($A55),'NY East Load Projections'!$A$4:$EO$14,((MONTH($A55)-1)*12)+VLOOKUP(I$4,$DE$6:$DF$17,2)+1))*(VLOOKUP($A55,CURVES!$D$9:$K$261,8))*(INDEX(DailyScalarsTable,I$5/100,MONTH($A55)))*$B55</f>
        <v>-31346.445430458873</v>
      </c>
      <c r="J55" s="1021">
        <f>(VLOOKUP(YEAR($A55),'NY East Load Projections'!$A$4:$EO$14,((MONTH($A55)-1)*12)+VLOOKUP(J$4,$DE$6:$DF$17,2)+1))*(VLOOKUP($A55,CURVES!$D$9:$K$261,8))*(INDEX(DailyScalarsTable,J$5/100,MONTH($A55)))*$B55</f>
        <v>-28724.333218542761</v>
      </c>
      <c r="K55" s="1021">
        <f>(VLOOKUP(YEAR($A55),'NY East Load Projections'!$A$4:$EO$14,((MONTH($A55)-1)*12)+VLOOKUP(K$4,$DE$6:$DF$17,2)+1))*(VLOOKUP($A55,CURVES!$D$9:$K$261,8))*(INDEX(DailyScalarsTable,K$5/100,MONTH($A55)))*$B55</f>
        <v>-28706.966041402244</v>
      </c>
      <c r="L55" s="1021">
        <f>(VLOOKUP(YEAR($A55),'NY East Load Projections'!$A$4:$EO$14,((MONTH($A55)-1)*12)+VLOOKUP(L$4,$DE$6:$DF$17,2)+1))*(VLOOKUP($A55,CURVES!$D$9:$K$261,8))*(INDEX(DailyScalarsTable,L$5/100,MONTH($A55)))*$B55</f>
        <v>-32843.194209916692</v>
      </c>
      <c r="M55" s="1021">
        <f>(VLOOKUP(YEAR($A55),'NY East Load Projections'!$A$4:$EO$14,((MONTH($A55)-1)*12)+VLOOKUP(M$4,$DE$6:$DF$17,2)+1))*(VLOOKUP($A55,CURVES!$D$9:$K$261,8))*(INDEX(DailyScalarsTable,M$5/100,MONTH($A55)))*$B55</f>
        <v>-35050.846602762831</v>
      </c>
      <c r="N55" s="1021">
        <f>(VLOOKUP(YEAR($A55),'NY East Load Projections'!$A$4:$EO$14,((MONTH($A55)-1)*12)+VLOOKUP(N$4,$DE$6:$DF$17,2)+1))*(VLOOKUP($A55,CURVES!$D$9:$K$261,8))*(INDEX(DailyScalarsTable,N$5/100,MONTH($A55)))*$B55</f>
        <v>-67121.944457360747</v>
      </c>
      <c r="O55" s="1021">
        <f>(VLOOKUP(YEAR($A55),'NY East Load Projections'!$A$4:$EO$14,((MONTH($A55)-1)*12)+VLOOKUP(O$4,$DE$6:$DF$17,2)+1))*(VLOOKUP($A55,CURVES!$D$9:$K$261,4))*(INDEX(DailyScalarsTable,O$5/100,MONTH($A55)))*$B55</f>
        <v>-79541.529461244078</v>
      </c>
      <c r="P55" s="1021">
        <f>(VLOOKUP(YEAR($A55),'NY East Load Projections'!$A$4:$EO$14,((MONTH($A55)-1)*12)+VLOOKUP(P$4,$DE$6:$DF$17,2)+1))*(VLOOKUP($A55,CURVES!$D$9:$K$261,4))*(INDEX(DailyScalarsTable,P$5/100,MONTH($A55)))*$B55</f>
        <v>-91094.174573038559</v>
      </c>
      <c r="Q55" s="1021">
        <f>(VLOOKUP(YEAR($A55),'NY East Load Projections'!$A$4:$EO$14,((MONTH($A55)-1)*12)+VLOOKUP(Q$4,$DE$6:$DF$17,2)+1))*(VLOOKUP($A55,CURVES!$D$9:$K$261,4))*(INDEX(DailyScalarsTable,Q$5/100,MONTH($A55)))*$B55</f>
        <v>-90816.920495553</v>
      </c>
      <c r="R55" s="1021">
        <f>(VLOOKUP(YEAR($A55),'NY East Load Projections'!$A$4:$EO$14,((MONTH($A55)-1)*12)+VLOOKUP(R$4,$DE$6:$DF$17,2)+1))*(VLOOKUP($A55,CURVES!$D$9:$K$261,4))*(INDEX(DailyScalarsTable,R$5/100,MONTH($A55)))*$B55</f>
        <v>-89232.046116939717</v>
      </c>
      <c r="S55" s="1021">
        <f>(VLOOKUP(YEAR($A55),'NY East Load Projections'!$A$4:$EO$14,((MONTH($A55)-1)*12)+VLOOKUP(S$4,$DE$6:$DF$17,2)+1))*(VLOOKUP($A55,CURVES!$D$9:$K$261,4))*(INDEX(DailyScalarsTable,S$5/100,MONTH($A55)))*$B55</f>
        <v>-66843.245077112166</v>
      </c>
      <c r="T55" s="1021">
        <f>(VLOOKUP(YEAR($A55),'NY East Load Projections'!$A$4:$EO$14,((MONTH($A55)-1)*12)+VLOOKUP(T$4,$DE$6:$DF$17,2)+1))*(VLOOKUP($A55,CURVES!$D$9:$K$261,4))*(INDEX(DailyScalarsTable,T$5/100,MONTH($A55)))*$B55</f>
        <v>-65795.649231212286</v>
      </c>
      <c r="U55" s="1021">
        <f>(VLOOKUP(YEAR($A55),'NY East Load Projections'!$A$4:$EO$14,((MONTH($A55)-1)*12)+VLOOKUP(U$4,$DE$6:$DF$17,2)+1))*(VLOOKUP($A55,CURVES!$D$9:$K$261,4))*(INDEX(DailyScalarsTable,U$5/100,MONTH($A55)))*$B55</f>
        <v>-63671.222559731868</v>
      </c>
      <c r="V55" s="1021">
        <f>(VLOOKUP(YEAR($A55),'NY East Load Projections'!$A$4:$EO$14,((MONTH($A55)-1)*12)+VLOOKUP(V$4,$DE$6:$DF$17,2)+1))*(VLOOKUP($A55,CURVES!$D$9:$K$261,4))*(INDEX(DailyScalarsTable,V$5/100,MONTH($A55)))*$B55</f>
        <v>-60430.702165915725</v>
      </c>
      <c r="W55" s="1021">
        <f>(VLOOKUP(YEAR($A55),'NY East Load Projections'!$A$4:$EO$14,((MONTH($A55)-1)*12)+VLOOKUP(W$4,$DE$6:$DF$17,2)+1))*(VLOOKUP($A55,CURVES!$D$9:$K$261,4))*(INDEX(DailyScalarsTable,W$5/100,MONTH($A55)))*$B55</f>
        <v>-59214.54486847404</v>
      </c>
      <c r="X55" s="1021">
        <f>(VLOOKUP(YEAR($A55),'NY East Load Projections'!$A$4:$EO$14,((MONTH($A55)-1)*12)+VLOOKUP(X$4,$DE$6:$DF$17,2)+1))*(VLOOKUP($A55,CURVES!$D$9:$K$261,4))*(INDEX(DailyScalarsTable,X$5/100,MONTH($A55)))*$B55</f>
        <v>-60804.103787825872</v>
      </c>
      <c r="Y55" s="1021">
        <f>(VLOOKUP(YEAR($A55),'NY East Load Projections'!$A$4:$EO$14,((MONTH($A55)-1)*12)+VLOOKUP(Y$4,$DE$6:$DF$17,2)+1))*(VLOOKUP($A55,CURVES!$D$9:$K$261,4))*(INDEX(DailyScalarsTable,Y$5/100,MONTH($A55)))*$B55</f>
        <v>-84606.268824853527</v>
      </c>
      <c r="Z55" s="1021">
        <f>(VLOOKUP(YEAR($A55),'NY East Load Projections'!$A$4:$EO$14,((MONTH($A55)-1)*12)+VLOOKUP(Z$4,$DE$6:$DF$17,2)+1))*(VLOOKUP($A55,CURVES!$D$9:$K$261,4))*(INDEX(DailyScalarsTable,Z$5/100,MONTH($A55)))*$B55</f>
        <v>-92835.557125077699</v>
      </c>
      <c r="AA55" s="1021">
        <f>(VLOOKUP(YEAR($A55),'NY East Load Projections'!$A$4:$EO$14,((MONTH($A55)-1)*12)+VLOOKUP(AA$4,$DE$6:$DF$17,2)+1))*(VLOOKUP($A55,CURVES!$D$9:$K$261,4))*(INDEX(DailyScalarsTable,AA$5/100,MONTH($A55)))*$B55</f>
        <v>-88859.737193499692</v>
      </c>
      <c r="AB55" s="1021">
        <f>(VLOOKUP(YEAR($A55),'NY East Load Projections'!$A$4:$EO$14,((MONTH($A55)-1)*12)+VLOOKUP(AB$4,$DE$6:$DF$17,2)+1))*(VLOOKUP($A55,CURVES!$D$9:$K$261,4))*(INDEX(DailyScalarsTable,AB$5/100,MONTH($A55)))*$B55</f>
        <v>-75044.164726480842</v>
      </c>
      <c r="AC55" s="1021">
        <f>(VLOOKUP(YEAR($A55),'NY East Load Projections'!$A$4:$EO$14,((MONTH($A55)-1)*12)+VLOOKUP(AC$4,$DE$6:$DF$17,2)+1))*(VLOOKUP($A55,CURVES!$D$9:$K$261,4))*(INDEX(DailyScalarsTable,AC$5/100,MONTH($A55)))*$B55</f>
        <v>-53373.148048799063</v>
      </c>
      <c r="AD55" s="1021">
        <f>(VLOOKUP(YEAR($A55),'NY East Load Projections'!$A$4:$EO$14,((MONTH($A55)-1)*12)+VLOOKUP(AD$4,$DE$6:$DF$17,2)+1))*(VLOOKUP($A55,CURVES!$D$9:$K$261,4))*(INDEX(DailyScalarsTable,AD$5/100,MONTH($A55)))*$B55</f>
        <v>-43692.564896917065</v>
      </c>
      <c r="AE55" s="1021">
        <f>(VLOOKUP(YEAR($A55),'NY East Load Projections'!$A$4:$EO$14,((MONTH($A55)-1)*12)+VLOOKUP(AE$4,$DE$6:$DF$17,2)+1))*(VLOOKUP($A55,CURVES!$D$9:$K$261,8))*(INDEX(DailyScalarsTable,AE$5/100,MONTH($A55)))*$B55</f>
        <v>-37948.707952043427</v>
      </c>
      <c r="AF55" s="1021"/>
      <c r="AG55" s="1021">
        <f>(VLOOKUP(YEAR($A55),'NY East Load Projections'!$A$4:$EO$14,((MONTH($A55)-1)*12)+VLOOKUP(AG$4,$DE$6:$DF$17,2)+1))*(VLOOKUP($A55,CURVES!$D$9:$T$261,8))*(INDEX(DailyScalarsTable,AG$5/100,MONTH($A55)))*$C55</f>
        <v>-6795.3717998588745</v>
      </c>
      <c r="AH55" s="1021">
        <f>(VLOOKUP(YEAR($A55),'NY East Load Projections'!$A$4:$EO$14,((MONTH($A55)-1)*12)+VLOOKUP(AH$4,$DE$6:$DF$17,2)+1))*(VLOOKUP($A55,CURVES!$D$9:$T$261,8))*(INDEX(DailyScalarsTable,AH$5/100,MONTH($A55)))*$C55</f>
        <v>-6662.9790251762497</v>
      </c>
      <c r="AI55" s="1021">
        <f>(VLOOKUP(YEAR($A55),'NY East Load Projections'!$A$4:$EO$14,((MONTH($A55)-1)*12)+VLOOKUP(AI$4,$DE$6:$DF$17,2)+1))*(VLOOKUP($A55,CURVES!$D$9:$T$261,8))*(INDEX(DailyScalarsTable,AI$5/100,MONTH($A55)))*$C55</f>
        <v>-6105.6246448075217</v>
      </c>
      <c r="AJ55" s="1021">
        <f>(VLOOKUP(YEAR($A55),'NY East Load Projections'!$A$4:$EO$14,((MONTH($A55)-1)*12)+VLOOKUP(AJ$4,$DE$6:$DF$17,2)+1))*(VLOOKUP($A55,CURVES!$D$9:$T$261,8))*(INDEX(DailyScalarsTable,AJ$5/100,MONTH($A55)))*$C55</f>
        <v>-6101.9330894995837</v>
      </c>
      <c r="AK55" s="1021">
        <f>(VLOOKUP(YEAR($A55),'NY East Load Projections'!$A$4:$EO$14,((MONTH($A55)-1)*12)+VLOOKUP(AK$4,$DE$6:$DF$17,2)+1))*(VLOOKUP($A55,CURVES!$D$9:$T$261,8))*(INDEX(DailyScalarsTable,AK$5/100,MONTH($A55)))*$C55</f>
        <v>-6368.2716406165164</v>
      </c>
      <c r="AL55" s="1021">
        <f>(VLOOKUP(YEAR($A55),'NY East Load Projections'!$A$4:$EO$14,((MONTH($A55)-1)*12)+VLOOKUP(AL$4,$DE$6:$DF$17,2)+1))*(VLOOKUP($A55,CURVES!$D$9:$T$261,8))*(INDEX(DailyScalarsTable,AL$5/100,MONTH($A55)))*$C55</f>
        <v>-6796.3338454021978</v>
      </c>
      <c r="AM55" s="1021">
        <f>(VLOOKUP(YEAR($A55),'NY East Load Projections'!$A$4:$EO$14,((MONTH($A55)-1)*12)+VLOOKUP(AM$4,$DE$6:$DF$17,2)+1))*(VLOOKUP($A55,CURVES!$D$9:$T$261,8))*(INDEX(DailyScalarsTable,AM$5/100,MONTH($A55)))*$C55</f>
        <v>-13014.896560267658</v>
      </c>
      <c r="AN55" s="1021">
        <f>(VLOOKUP(YEAR($A55),'NY East Load Projections'!$A$4:$EO$14,((MONTH($A55)-1)*12)+VLOOKUP(AN$4,$DE$6:$DF$17,2)+1))*(VLOOKUP($A55,SatSunCurve,4))*(INDEX(DailyScalarsTable,AN$5/100,MONTH($A55)))*$C55</f>
        <v>-11764.92358962626</v>
      </c>
      <c r="AO55" s="1021">
        <f>(VLOOKUP(YEAR($A55),'NY East Load Projections'!$A$4:$EO$14,((MONTH($A55)-1)*12)+VLOOKUP(AO$4,$DE$6:$DF$17,2)+1))*(VLOOKUP($A55,SatSunCurve,4))*(INDEX(DailyScalarsTable,AO$5/100,MONTH($A55)))*$C55</f>
        <v>-13222.366460739688</v>
      </c>
      <c r="AP55" s="1021">
        <f>(VLOOKUP(YEAR($A55),'NY East Load Projections'!$A$4:$EO$14,((MONTH($A55)-1)*12)+VLOOKUP(AP$4,$DE$6:$DF$17,2)+1))*(VLOOKUP($A55,SatSunCurve,4))*(INDEX(DailyScalarsTable,AP$5/100,MONTH($A55)))*$C55</f>
        <v>-13182.122888278212</v>
      </c>
      <c r="AQ55" s="1021">
        <f>(VLOOKUP(YEAR($A55),'NY East Load Projections'!$A$4:$EO$14,((MONTH($A55)-1)*12)+VLOOKUP(AQ$4,$DE$6:$DF$17,2)+1))*(VLOOKUP($A55,SatSunCurve,4))*(INDEX(DailyScalarsTable,AQ$5/100,MONTH($A55)))*$C55</f>
        <v>-12952.077554133821</v>
      </c>
      <c r="AR55" s="1021">
        <f>(VLOOKUP(YEAR($A55),'NY East Load Projections'!$A$4:$EO$14,((MONTH($A55)-1)*12)+VLOOKUP(AR$4,$DE$6:$DF$17,2)+1))*(VLOOKUP($A55,SatSunCurve,4))*(INDEX(DailyScalarsTable,AR$5/100,MONTH($A55)))*$C55</f>
        <v>-9702.3315264354987</v>
      </c>
      <c r="AS55" s="1021">
        <f>(VLOOKUP(YEAR($A55),'NY East Load Projections'!$A$4:$EO$14,((MONTH($A55)-1)*12)+VLOOKUP(AS$4,$DE$6:$DF$17,2)+1))*(VLOOKUP($A55,SatSunCurve,4))*(INDEX(DailyScalarsTable,AS$5/100,MONTH($A55)))*$C55</f>
        <v>-9430.6874390949833</v>
      </c>
      <c r="AT55" s="1021">
        <f>(VLOOKUP(YEAR($A55),'NY East Load Projections'!$A$4:$EO$14,((MONTH($A55)-1)*12)+VLOOKUP(AT$4,$DE$6:$DF$17,2)+1))*(VLOOKUP($A55,SatSunCurve,4))*(INDEX(DailyScalarsTable,AT$5/100,MONTH($A55)))*$C55</f>
        <v>-9126.1870023623906</v>
      </c>
      <c r="AU55" s="1021">
        <f>(VLOOKUP(YEAR($A55),'NY East Load Projections'!$A$4:$EO$14,((MONTH($A55)-1)*12)+VLOOKUP(AU$4,$DE$6:$DF$17,2)+1))*(VLOOKUP($A55,SatSunCurve,4))*(INDEX(DailyScalarsTable,AU$5/100,MONTH($A55)))*$C55</f>
        <v>-8661.7135100999913</v>
      </c>
      <c r="AV55" s="1021">
        <f>(VLOOKUP(YEAR($A55),'NY East Load Projections'!$A$4:$EO$14,((MONTH($A55)-1)*12)+VLOOKUP(AV$4,$DE$6:$DF$17,2)+1))*(VLOOKUP($A55,SatSunCurve,4))*(INDEX(DailyScalarsTable,AV$5/100,MONTH($A55)))*$C55</f>
        <v>-8487.3980426951002</v>
      </c>
      <c r="AW55" s="1021">
        <f>(VLOOKUP(YEAR($A55),'NY East Load Projections'!$A$4:$EO$14,((MONTH($A55)-1)*12)+VLOOKUP(AW$4,$DE$6:$DF$17,2)+1))*(VLOOKUP($A55,SatSunCurve,4))*(INDEX(DailyScalarsTable,AW$5/100,MONTH($A55)))*$C55</f>
        <v>-8840.5233727136438</v>
      </c>
      <c r="AX55" s="1021">
        <f>(VLOOKUP(YEAR($A55),'NY East Load Projections'!$A$4:$EO$14,((MONTH($A55)-1)*12)+VLOOKUP(AX$4,$DE$6:$DF$17,2)+1))*(VLOOKUP($A55,SatSunCurve,4))*(INDEX(DailyScalarsTable,AX$5/100,MONTH($A55)))*$C55</f>
        <v>-12301.204202173732</v>
      </c>
      <c r="AY55" s="1021">
        <f>(VLOOKUP(YEAR($A55),'NY East Load Projections'!$A$4:$EO$14,((MONTH($A55)-1)*12)+VLOOKUP(AY$4,$DE$6:$DF$17,2)+1))*(VLOOKUP($A55,SatSunCurve,4))*(INDEX(DailyScalarsTable,AY$5/100,MONTH($A55)))*$C55</f>
        <v>-13497.689488969405</v>
      </c>
      <c r="AZ55" s="1021">
        <f>(VLOOKUP(YEAR($A55),'NY East Load Projections'!$A$4:$EO$14,((MONTH($A55)-1)*12)+VLOOKUP(AZ$4,$DE$6:$DF$17,2)+1))*(VLOOKUP($A55,SatSunCurve,4))*(INDEX(DailyScalarsTable,AZ$5/100,MONTH($A55)))*$C55</f>
        <v>-12919.63098894669</v>
      </c>
      <c r="BA55" s="1021">
        <f>(VLOOKUP(YEAR($A55),'NY East Load Projections'!$A$4:$EO$14,((MONTH($A55)-1)*12)+VLOOKUP(BA$4,$DE$6:$DF$17,2)+1))*(VLOOKUP($A55,SatSunCurve,4))*(INDEX(DailyScalarsTable,BA$5/100,MONTH($A55)))*$C55</f>
        <v>-11771.147357077973</v>
      </c>
      <c r="BB55" s="1021">
        <f>(VLOOKUP(YEAR($A55),'NY East Load Projections'!$A$4:$EO$14,((MONTH($A55)-1)*12)+VLOOKUP(BB$4,$DE$6:$DF$17,2)+1))*(VLOOKUP($A55,SatSunCurve,4))*(INDEX(DailyScalarsTable,BB$5/100,MONTH($A55)))*$C55</f>
        <v>-8371.9126314941477</v>
      </c>
      <c r="BC55" s="1021">
        <f>(VLOOKUP(YEAR($A55),'NY East Load Projections'!$A$4:$EO$14,((MONTH($A55)-1)*12)+VLOOKUP(BC$4,$DE$6:$DF$17,2)+1))*(VLOOKUP($A55,SatSunCurve,4))*(INDEX(DailyScalarsTable,BC$5/100,MONTH($A55)))*$C55</f>
        <v>-6853.4525193911304</v>
      </c>
      <c r="BD55" s="1021">
        <f>(VLOOKUP(YEAR($A55),'NY East Load Projections'!$A$4:$EO$14,((MONTH($A55)-1)*12)+VLOOKUP(BD$4,$DE$6:$DF$17,2)+1))*(VLOOKUP($A55,CURVES!$D$9:$T$261,8))*(INDEX(DailyScalarsTable,BD$5/100,MONTH($A55)))*$C55</f>
        <v>-7803.3283329213746</v>
      </c>
      <c r="BE55" s="1021"/>
      <c r="BF55" s="1021">
        <f>(VLOOKUP(YEAR($A55),'NY East Load Projections'!$A$4:$EO$14,((MONTH($A55)-1)*12)+VLOOKUP(BF$4,$DE$6:$DF$17,2)+1))*(VLOOKUP($A55,CURVES!$D$9:$T$261,8))*(INDEX(DailyScalarsTable,BF$5/100,MONTH($A55)))*$D55</f>
        <v>-6795.3717998588745</v>
      </c>
      <c r="BG55" s="1021">
        <f>(VLOOKUP(YEAR($A55),'NY East Load Projections'!$A$4:$EO$14,((MONTH($A55)-1)*12)+VLOOKUP(BG$4,$DE$6:$DF$17,2)+1))*(VLOOKUP($A55,CURVES!$D$9:$T$261,8))*(INDEX(DailyScalarsTable,BG$5/100,MONTH($A55)))*$D55</f>
        <v>-6662.9790251762497</v>
      </c>
      <c r="BH55" s="1021">
        <f>(VLOOKUP(YEAR($A55),'NY East Load Projections'!$A$4:$EO$14,((MONTH($A55)-1)*12)+VLOOKUP(BH$4,$DE$6:$DF$17,2)+1))*(VLOOKUP($A55,CURVES!$D$9:$T$261,8))*(INDEX(DailyScalarsTable,BH$5/100,MONTH($A55)))*$D55</f>
        <v>-6105.6246448075217</v>
      </c>
      <c r="BI55" s="1021">
        <f>(VLOOKUP(YEAR($A55),'NY East Load Projections'!$A$4:$EO$14,((MONTH($A55)-1)*12)+VLOOKUP(BI$4,$DE$6:$DF$17,2)+1))*(VLOOKUP($A55,CURVES!$D$9:$T$261,8))*(INDEX(DailyScalarsTable,BI$5/100,MONTH($A55)))*$D55</f>
        <v>-6101.9330894995837</v>
      </c>
      <c r="BJ55" s="1021">
        <f>(VLOOKUP(YEAR($A55),'NY East Load Projections'!$A$4:$EO$14,((MONTH($A55)-1)*12)+VLOOKUP(BJ$4,$DE$6:$DF$17,2)+1))*(VLOOKUP($A55,CURVES!$D$9:$T$261,8))*(INDEX(DailyScalarsTable,BJ$5/100,MONTH($A55)))*$D55</f>
        <v>-6368.2716406165164</v>
      </c>
      <c r="BK55" s="1021">
        <f>(VLOOKUP(YEAR($A55),'NY East Load Projections'!$A$4:$EO$14,((MONTH($A55)-1)*12)+VLOOKUP(BK$4,$DE$6:$DF$17,2)+1))*(VLOOKUP($A55,CURVES!$D$9:$T$261,8))*(INDEX(DailyScalarsTable,BK$5/100,MONTH($A55)))*$D55</f>
        <v>-6796.3338454021978</v>
      </c>
      <c r="BL55" s="1021">
        <f>(VLOOKUP(YEAR($A55),'NY East Load Projections'!$A$4:$EO$14,((MONTH($A55)-1)*12)+VLOOKUP(BL$4,$DE$6:$DF$17,2)+1))*(VLOOKUP($A55,CURVES!$D$9:$T$261,8))*(INDEX(DailyScalarsTable,BL$5/100,MONTH($A55)))*$D55</f>
        <v>-13014.896560267658</v>
      </c>
      <c r="BM55" s="1021">
        <f>(VLOOKUP(YEAR($A55),'NY East Load Projections'!$A$4:$EO$14,((MONTH($A55)-1)*12)+VLOOKUP(BM$4,$DE$6:$DF$17,2)+1))*(VLOOKUP($A55,SatSunCurve,8))*(INDEX(DailyScalarsTable,BM$5/100,MONTH($A55)))*$D55</f>
        <v>-11785.861880287073</v>
      </c>
      <c r="BN55" s="1021">
        <f>(VLOOKUP(YEAR($A55),'NY East Load Projections'!$A$4:$EO$14,((MONTH($A55)-1)*12)+VLOOKUP(BN$4,$DE$6:$DF$17,2)+1))*(VLOOKUP($A55,SatSunCurve,8))*(INDEX(DailyScalarsTable,BN$5/100,MONTH($A55)))*$D55</f>
        <v>-13245.89859420997</v>
      </c>
      <c r="BO55" s="1021">
        <f>(VLOOKUP(YEAR($A55),'NY East Load Projections'!$A$4:$EO$14,((MONTH($A55)-1)*12)+VLOOKUP(BO$4,$DE$6:$DF$17,2)+1))*(VLOOKUP($A55,SatSunCurve,8))*(INDEX(DailyScalarsTable,BO$5/100,MONTH($A55)))*$D55</f>
        <v>-13205.583399386394</v>
      </c>
      <c r="BP55" s="1021">
        <f>(VLOOKUP(YEAR($A55),'NY East Load Projections'!$A$4:$EO$14,((MONTH($A55)-1)*12)+VLOOKUP(BP$4,$DE$6:$DF$17,2)+1))*(VLOOKUP($A55,SatSunCurve,8))*(INDEX(DailyScalarsTable,BP$5/100,MONTH($A55)))*$D55</f>
        <v>-12975.128648552231</v>
      </c>
      <c r="BQ55" s="1021">
        <f>(VLOOKUP(YEAR($A55),'NY East Load Projections'!$A$4:$EO$14,((MONTH($A55)-1)*12)+VLOOKUP(BQ$4,$DE$6:$DF$17,2)+1))*(VLOOKUP($A55,SatSunCurve,8))*(INDEX(DailyScalarsTable,BQ$5/100,MONTH($A55)))*$D55</f>
        <v>-9719.5989770942706</v>
      </c>
      <c r="BR55" s="1021">
        <f>(VLOOKUP(YEAR($A55),'NY East Load Projections'!$A$4:$EO$14,((MONTH($A55)-1)*12)+VLOOKUP(BR$4,$DE$6:$DF$17,2)+1))*(VLOOKUP($A55,SatSunCurve,8))*(INDEX(DailyScalarsTable,BR$5/100,MONTH($A55)))*$D55</f>
        <v>-9447.4714388572247</v>
      </c>
      <c r="BS55" s="1021">
        <f>(VLOOKUP(YEAR($A55),'NY East Load Projections'!$A$4:$EO$14,((MONTH($A55)-1)*12)+VLOOKUP(BS$4,$DE$6:$DF$17,2)+1))*(VLOOKUP($A55,SatSunCurve,8))*(INDEX(DailyScalarsTable,BS$5/100,MONTH($A55)))*$D55</f>
        <v>-9142.4290760677322</v>
      </c>
      <c r="BT55" s="1021">
        <f>(VLOOKUP(YEAR($A55),'NY East Load Projections'!$A$4:$EO$14,((MONTH($A55)-1)*12)+VLOOKUP(BT$4,$DE$6:$DF$17,2)+1))*(VLOOKUP($A55,SatSunCurve,8))*(INDEX(DailyScalarsTable,BT$5/100,MONTH($A55)))*$D55</f>
        <v>-8677.1289502185391</v>
      </c>
      <c r="BU55" s="1021">
        <f>(VLOOKUP(YEAR($A55),'NY East Load Projections'!$A$4:$EO$14,((MONTH($A55)-1)*12)+VLOOKUP(BU$4,$DE$6:$DF$17,2)+1))*(VLOOKUP($A55,SatSunCurve,8))*(INDEX(DailyScalarsTable,BU$5/100,MONTH($A55)))*$D55</f>
        <v>-8502.5032497810753</v>
      </c>
      <c r="BV55" s="1021">
        <f>(VLOOKUP(YEAR($A55),'NY East Load Projections'!$A$4:$EO$14,((MONTH($A55)-1)*12)+VLOOKUP(BV$4,$DE$6:$DF$17,2)+1))*(VLOOKUP($A55,SatSunCurve,8))*(INDEX(DailyScalarsTable,BV$5/100,MONTH($A55)))*$D55</f>
        <v>-8856.2570446377704</v>
      </c>
      <c r="BW55" s="1021">
        <f>(VLOOKUP(YEAR($A55),'NY East Load Projections'!$A$4:$EO$14,((MONTH($A55)-1)*12)+VLOOKUP(BW$4,$DE$6:$DF$17,2)+1))*(VLOOKUP($A55,SatSunCurve,8))*(INDEX(DailyScalarsTable,BW$5/100,MONTH($A55)))*$D55</f>
        <v>-12323.096923116709</v>
      </c>
      <c r="BX55" s="1021">
        <f>(VLOOKUP(YEAR($A55),'NY East Load Projections'!$A$4:$EO$14,((MONTH($A55)-1)*12)+VLOOKUP(BX$4,$DE$6:$DF$17,2)+1))*(VLOOKUP($A55,SatSunCurve,8))*(INDEX(DailyScalarsTable,BX$5/100,MONTH($A55)))*$D55</f>
        <v>-13521.711620827418</v>
      </c>
      <c r="BY55" s="1021">
        <f>(VLOOKUP(YEAR($A55),'NY East Load Projections'!$A$4:$EO$14,((MONTH($A55)-1)*12)+VLOOKUP(BY$4,$DE$6:$DF$17,2)+1))*(VLOOKUP($A55,SatSunCurve,8))*(INDEX(DailyScalarsTable,BY$5/100,MONTH($A55)))*$D55</f>
        <v>-12942.624337506604</v>
      </c>
      <c r="BZ55" s="1021">
        <f>(VLOOKUP(YEAR($A55),'NY East Load Projections'!$A$4:$EO$14,((MONTH($A55)-1)*12)+VLOOKUP(BZ$4,$DE$6:$DF$17,2)+1))*(VLOOKUP($A55,SatSunCurve,8))*(INDEX(DailyScalarsTable,BZ$5/100,MONTH($A55)))*$D55</f>
        <v>-11792.096724313227</v>
      </c>
      <c r="CA55" s="1021">
        <f>(VLOOKUP(YEAR($A55),'NY East Load Projections'!$A$4:$EO$14,((MONTH($A55)-1)*12)+VLOOKUP(CA$4,$DE$6:$DF$17,2)+1))*(VLOOKUP($A55,SatSunCurve,8))*(INDEX(DailyScalarsTable,CA$5/100,MONTH($A55)))*$D55</f>
        <v>-8386.812306679436</v>
      </c>
      <c r="CB55" s="1021">
        <f>(VLOOKUP(YEAR($A55),'NY East Load Projections'!$A$4:$EO$14,((MONTH($A55)-1)*12)+VLOOKUP(CB$4,$DE$6:$DF$17,2)+1))*(VLOOKUP($A55,SatSunCurve,8))*(INDEX(DailyScalarsTable,CB$5/100,MONTH($A55)))*$D55</f>
        <v>-6865.6497580546811</v>
      </c>
      <c r="CC55" s="1021">
        <f>(VLOOKUP(YEAR($A55),'NY East Load Projections'!$A$4:$EO$14,((MONTH($A55)-1)*12)+VLOOKUP(CC$4,$DE$6:$DF$17,2)+1))*(VLOOKUP($A55,CURVES!$D$9:$T$261,8))*(INDEX(DailyScalarsTable,CC$5/100,MONTH($A55)))*$D55</f>
        <v>-7803.3283329213746</v>
      </c>
      <c r="CE55" s="1021">
        <f>(VLOOKUP(YEAR($A55),'NY East Load Projections'!$A$4:$EO$14,((MONTH($A55)-1)*12)+VLOOKUP(CE$4,$DE$6:$DF$17,2)+1))*(VLOOKUP($A55,CURVES!$D$9:$T$261,8))*(INDEX(DailyScalarsTable,CE$5/100,MONTH($A55)))*$E55</f>
        <v>0</v>
      </c>
      <c r="CF55" s="1021">
        <f>(VLOOKUP(YEAR($A55),'NY East Load Projections'!$A$4:$EO$14,((MONTH($A55)-1)*12)+VLOOKUP(CF$4,$DE$6:$DF$17,2)+1))*(VLOOKUP($A55,CURVES!$D$9:$T$261,8))*(INDEX(DailyScalarsTable,CF$5/100,MONTH($A55)))*$E55</f>
        <v>0</v>
      </c>
      <c r="CG55" s="1021">
        <f>(VLOOKUP(YEAR($A55),'NY East Load Projections'!$A$4:$EO$14,((MONTH($A55)-1)*12)+VLOOKUP(CG$4,$DE$6:$DF$17,2)+1))*(VLOOKUP($A55,CURVES!$D$9:$T$261,8))*(INDEX(DailyScalarsTable,CG$5/100,MONTH($A55)))*$E55</f>
        <v>0</v>
      </c>
      <c r="CH55" s="1021">
        <f>(VLOOKUP(YEAR($A55),'NY East Load Projections'!$A$4:$EO$14,((MONTH($A55)-1)*12)+VLOOKUP(CH$4,$DE$6:$DF$17,2)+1))*(VLOOKUP($A55,CURVES!$D$9:$T$261,8))*(INDEX(DailyScalarsTable,CH$5/100,MONTH($A55)))*$E55</f>
        <v>0</v>
      </c>
      <c r="CI55" s="1021">
        <f>(VLOOKUP(YEAR($A55),'NY East Load Projections'!$A$4:$EO$14,((MONTH($A55)-1)*12)+VLOOKUP(CI$4,$DE$6:$DF$17,2)+1))*(VLOOKUP($A55,CURVES!$D$9:$T$261,8))*(INDEX(DailyScalarsTable,CI$5/100,MONTH($A55)))*$E55</f>
        <v>0</v>
      </c>
      <c r="CJ55" s="1021">
        <f>(VLOOKUP(YEAR($A55),'NY East Load Projections'!$A$4:$EO$14,((MONTH($A55)-1)*12)+VLOOKUP(CJ$4,$DE$6:$DF$17,2)+1))*(VLOOKUP($A55,CURVES!$D$9:$T$261,8))*(INDEX(DailyScalarsTable,CJ$5/100,MONTH($A55)))*$E55</f>
        <v>0</v>
      </c>
      <c r="CK55" s="1021">
        <f>(VLOOKUP(YEAR($A55),'NY East Load Projections'!$A$4:$EO$14,((MONTH($A55)-1)*12)+VLOOKUP(CK$4,$DE$6:$DF$17,2)+1))*(VLOOKUP($A55,CURVES!$D$9:$T$261,8))*(INDEX(DailyScalarsTable,CK$5/100,MONTH($A55)))*$E55</f>
        <v>0</v>
      </c>
      <c r="CL55" s="1021">
        <f>(VLOOKUP(YEAR($A55),'NY East Load Projections'!$A$4:$EO$14,((MONTH($A55)-1)*12)+VLOOKUP(CL$4,$DE$6:$DF$17,2)+1))*(VLOOKUP($A55,SatSunCurve,8))*(INDEX(DailyScalarsTable,CL$5/100,MONTH($A55)))*$E55</f>
        <v>0</v>
      </c>
      <c r="CM55" s="1021">
        <f>(VLOOKUP(YEAR($A55),'NY East Load Projections'!$A$4:$EO$14,((MONTH($A55)-1)*12)+VLOOKUP(CM$4,$DE$6:$DF$17,2)+1))*(VLOOKUP($A55,SatSunCurve,8))*(INDEX(DailyScalarsTable,CM$5/100,MONTH($A55)))*$E55</f>
        <v>0</v>
      </c>
      <c r="CN55" s="1021">
        <f>(VLOOKUP(YEAR($A55),'NY East Load Projections'!$A$4:$EO$14,((MONTH($A55)-1)*12)+VLOOKUP(CN$4,$DE$6:$DF$17,2)+1))*(VLOOKUP($A55,SatSunCurve,8))*(INDEX(DailyScalarsTable,CN$5/100,MONTH($A55)))*$E55</f>
        <v>0</v>
      </c>
      <c r="CO55" s="1021">
        <f>(VLOOKUP(YEAR($A55),'NY East Load Projections'!$A$4:$EO$14,((MONTH($A55)-1)*12)+VLOOKUP(CO$4,$DE$6:$DF$17,2)+1))*(VLOOKUP($A55,SatSunCurve,8))*(INDEX(DailyScalarsTable,CO$5/100,MONTH($A55)))*$E55</f>
        <v>0</v>
      </c>
      <c r="CP55" s="1021">
        <f>(VLOOKUP(YEAR($A55),'NY East Load Projections'!$A$4:$EO$14,((MONTH($A55)-1)*12)+VLOOKUP(CP$4,$DE$6:$DF$17,2)+1))*(VLOOKUP($A55,SatSunCurve,8))*(INDEX(DailyScalarsTable,CP$5/100,MONTH($A55)))*$E55</f>
        <v>0</v>
      </c>
      <c r="CQ55" s="1021">
        <f>(VLOOKUP(YEAR($A55),'NY East Load Projections'!$A$4:$EO$14,((MONTH($A55)-1)*12)+VLOOKUP(CQ$4,$DE$6:$DF$17,2)+1))*(VLOOKUP($A55,SatSunCurve,8))*(INDEX(DailyScalarsTable,CQ$5/100,MONTH($A55)))*$E55</f>
        <v>0</v>
      </c>
      <c r="CR55" s="1021">
        <f>(VLOOKUP(YEAR($A55),'NY East Load Projections'!$A$4:$EO$14,((MONTH($A55)-1)*12)+VLOOKUP(CR$4,$DE$6:$DF$17,2)+1))*(VLOOKUP($A55,SatSunCurve,8))*(INDEX(DailyScalarsTable,CR$5/100,MONTH($A55)))*$E55</f>
        <v>0</v>
      </c>
      <c r="CS55" s="1021">
        <f>(VLOOKUP(YEAR($A55),'NY East Load Projections'!$A$4:$EO$14,((MONTH($A55)-1)*12)+VLOOKUP(CS$4,$DE$6:$DF$17,2)+1))*(VLOOKUP($A55,SatSunCurve,8))*(INDEX(DailyScalarsTable,CS$5/100,MONTH($A55)))*$E55</f>
        <v>0</v>
      </c>
      <c r="CT55" s="1021">
        <f>(VLOOKUP(YEAR($A55),'NY East Load Projections'!$A$4:$EO$14,((MONTH($A55)-1)*12)+VLOOKUP(CT$4,$DE$6:$DF$17,2)+1))*(VLOOKUP($A55,SatSunCurve,8))*(INDEX(DailyScalarsTable,CT$5/100,MONTH($A55)))*$E55</f>
        <v>0</v>
      </c>
      <c r="CU55" s="1021">
        <f>(VLOOKUP(YEAR($A55),'NY East Load Projections'!$A$4:$EO$14,((MONTH($A55)-1)*12)+VLOOKUP(CU$4,$DE$6:$DF$17,2)+1))*(VLOOKUP($A55,SatSunCurve,8))*(INDEX(DailyScalarsTable,CU$5/100,MONTH($A55)))*$E55</f>
        <v>0</v>
      </c>
      <c r="CV55" s="1021">
        <f>(VLOOKUP(YEAR($A55),'NY East Load Projections'!$A$4:$EO$14,((MONTH($A55)-1)*12)+VLOOKUP(CV$4,$DE$6:$DF$17,2)+1))*(VLOOKUP($A55,SatSunCurve,8))*(INDEX(DailyScalarsTable,CV$5/100,MONTH($A55)))*$E55</f>
        <v>0</v>
      </c>
      <c r="CW55" s="1021">
        <f>(VLOOKUP(YEAR($A55),'NY East Load Projections'!$A$4:$EO$14,((MONTH($A55)-1)*12)+VLOOKUP(CW$4,$DE$6:$DF$17,2)+1))*(VLOOKUP($A55,SatSunCurve,8))*(INDEX(DailyScalarsTable,CW$5/100,MONTH($A55)))*$E55</f>
        <v>0</v>
      </c>
      <c r="CX55" s="1021">
        <f>(VLOOKUP(YEAR($A55),'NY East Load Projections'!$A$4:$EO$14,((MONTH($A55)-1)*12)+VLOOKUP(CX$4,$DE$6:$DF$17,2)+1))*(VLOOKUP($A55,SatSunCurve,8))*(INDEX(DailyScalarsTable,CX$5/100,MONTH($A55)))*$E55</f>
        <v>0</v>
      </c>
      <c r="CY55" s="1021">
        <f>(VLOOKUP(YEAR($A55),'NY East Load Projections'!$A$4:$EO$14,((MONTH($A55)-1)*12)+VLOOKUP(CY$4,$DE$6:$DF$17,2)+1))*(VLOOKUP($A55,SatSunCurve,8))*(INDEX(DailyScalarsTable,CY$5/100,MONTH($A55)))*$E55</f>
        <v>0</v>
      </c>
      <c r="CZ55" s="1021">
        <f>(VLOOKUP(YEAR($A55),'NY East Load Projections'!$A$4:$EO$14,((MONTH($A55)-1)*12)+VLOOKUP(CZ$4,$DE$6:$DF$17,2)+1))*(VLOOKUP($A55,SatSunCurve,8))*(INDEX(DailyScalarsTable,CZ$5/100,MONTH($A55)))*$E55</f>
        <v>0</v>
      </c>
      <c r="DA55" s="1021">
        <f>(VLOOKUP(YEAR($A55),'NY East Load Projections'!$A$4:$EO$14,((MONTH($A55)-1)*12)+VLOOKUP(DA$4,$DE$6:$DF$17,2)+1))*(VLOOKUP($A55,SatSunCurve,8))*(INDEX(DailyScalarsTable,DA$5/100,MONTH($A55)))*$E55</f>
        <v>0</v>
      </c>
      <c r="DB55" s="1021">
        <f>(VLOOKUP(YEAR($A55),'NY East Load Projections'!$A$4:$EO$14,((MONTH($A55)-1)*12)+VLOOKUP(DB$4,$DE$6:$DF$17,2)+1))*(VLOOKUP($A55,CURVES!$D$9:$T$261,8))*(INDEX(DailyScalarsTable,DB$5/100,MONTH($A55)))*$E55</f>
        <v>0</v>
      </c>
      <c r="DH55" s="1021">
        <f t="shared" si="0"/>
        <v>-1921340.0128372482</v>
      </c>
      <c r="DI55">
        <f ca="1">CALC!J75</f>
        <v>0.69615197728927514</v>
      </c>
      <c r="DJ55" s="1029">
        <f t="shared" ca="1" si="1"/>
        <v>-1337544.6489816515</v>
      </c>
    </row>
    <row r="56" spans="1:114" x14ac:dyDescent="0.25">
      <c r="A56" s="244">
        <v>38412</v>
      </c>
      <c r="B56" s="13">
        <v>23</v>
      </c>
      <c r="C56" s="210">
        <v>4</v>
      </c>
      <c r="D56" s="210">
        <v>4</v>
      </c>
      <c r="E56" s="210">
        <v>0</v>
      </c>
      <c r="F56" s="13">
        <v>31</v>
      </c>
      <c r="H56" s="1021">
        <f>(VLOOKUP(YEAR($A56),'NY East Load Projections'!$A$4:$EO$14,((MONTH($A56)-1)*12)+VLOOKUP(H$4,$DE$6:$DF$17,2)+1))*(VLOOKUP($A56,CURVES!$D$9:$K$261,8))*(INDEX(DailyScalarsTable,H$5/100,MONTH($A56)))*$B56</f>
        <v>-31517.794546318601</v>
      </c>
      <c r="I56" s="1021">
        <f>(VLOOKUP(YEAR($A56),'NY East Load Projections'!$A$4:$EO$14,((MONTH($A56)-1)*12)+VLOOKUP(I$4,$DE$6:$DF$17,2)+1))*(VLOOKUP($A56,CURVES!$D$9:$K$261,8))*(INDEX(DailyScalarsTable,I$5/100,MONTH($A56)))*$B56</f>
        <v>-29801.472755068</v>
      </c>
      <c r="J56" s="1021">
        <f>(VLOOKUP(YEAR($A56),'NY East Load Projections'!$A$4:$EO$14,((MONTH($A56)-1)*12)+VLOOKUP(J$4,$DE$6:$DF$17,2)+1))*(VLOOKUP($A56,CURVES!$D$9:$K$261,8))*(INDEX(DailyScalarsTable,J$5/100,MONTH($A56)))*$B56</f>
        <v>-28531.379386897854</v>
      </c>
      <c r="K56" s="1021">
        <f>(VLOOKUP(YEAR($A56),'NY East Load Projections'!$A$4:$EO$14,((MONTH($A56)-1)*12)+VLOOKUP(K$4,$DE$6:$DF$17,2)+1))*(VLOOKUP($A56,CURVES!$D$9:$K$261,8))*(INDEX(DailyScalarsTable,K$5/100,MONTH($A56)))*$B56</f>
        <v>-28549.289494399818</v>
      </c>
      <c r="L56" s="1021">
        <f>(VLOOKUP(YEAR($A56),'NY East Load Projections'!$A$4:$EO$14,((MONTH($A56)-1)*12)+VLOOKUP(L$4,$DE$6:$DF$17,2)+1))*(VLOOKUP($A56,CURVES!$D$9:$K$261,8))*(INDEX(DailyScalarsTable,L$5/100,MONTH($A56)))*$B56</f>
        <v>-33988.0228772665</v>
      </c>
      <c r="M56" s="1021">
        <f>(VLOOKUP(YEAR($A56),'NY East Load Projections'!$A$4:$EO$14,((MONTH($A56)-1)*12)+VLOOKUP(M$4,$DE$6:$DF$17,2)+1))*(VLOOKUP($A56,CURVES!$D$9:$K$261,8))*(INDEX(DailyScalarsTable,M$5/100,MONTH($A56)))*$B56</f>
        <v>-39452.38967597959</v>
      </c>
      <c r="N56" s="1021">
        <f>(VLOOKUP(YEAR($A56),'NY East Load Projections'!$A$4:$EO$14,((MONTH($A56)-1)*12)+VLOOKUP(N$4,$DE$6:$DF$17,2)+1))*(VLOOKUP($A56,CURVES!$D$9:$K$261,8))*(INDEX(DailyScalarsTable,N$5/100,MONTH($A56)))*$B56</f>
        <v>-71187.369192749567</v>
      </c>
      <c r="O56" s="1021">
        <f>(VLOOKUP(YEAR($A56),'NY East Load Projections'!$A$4:$EO$14,((MONTH($A56)-1)*12)+VLOOKUP(O$4,$DE$6:$DF$17,2)+1))*(VLOOKUP($A56,CURVES!$D$9:$K$261,4))*(INDEX(DailyScalarsTable,O$5/100,MONTH($A56)))*$B56</f>
        <v>-76019.134359472417</v>
      </c>
      <c r="P56" s="1021">
        <f>(VLOOKUP(YEAR($A56),'NY East Load Projections'!$A$4:$EO$14,((MONTH($A56)-1)*12)+VLOOKUP(P$4,$DE$6:$DF$17,2)+1))*(VLOOKUP($A56,CURVES!$D$9:$K$261,4))*(INDEX(DailyScalarsTable,P$5/100,MONTH($A56)))*$B56</f>
        <v>-88811.536024676738</v>
      </c>
      <c r="Q56" s="1021">
        <f>(VLOOKUP(YEAR($A56),'NY East Load Projections'!$A$4:$EO$14,((MONTH($A56)-1)*12)+VLOOKUP(Q$4,$DE$6:$DF$17,2)+1))*(VLOOKUP($A56,CURVES!$D$9:$K$261,4))*(INDEX(DailyScalarsTable,Q$5/100,MONTH($A56)))*$B56</f>
        <v>-88542.817307506761</v>
      </c>
      <c r="R56" s="1021">
        <f>(VLOOKUP(YEAR($A56),'NY East Load Projections'!$A$4:$EO$14,((MONTH($A56)-1)*12)+VLOOKUP(R$4,$DE$6:$DF$17,2)+1))*(VLOOKUP($A56,CURVES!$D$9:$K$261,4))*(INDEX(DailyScalarsTable,R$5/100,MONTH($A56)))*$B56</f>
        <v>-86982.755866158855</v>
      </c>
      <c r="S56" s="1021">
        <f>(VLOOKUP(YEAR($A56),'NY East Load Projections'!$A$4:$EO$14,((MONTH($A56)-1)*12)+VLOOKUP(S$4,$DE$6:$DF$17,2)+1))*(VLOOKUP($A56,CURVES!$D$9:$K$261,4))*(INDEX(DailyScalarsTable,S$5/100,MONTH($A56)))*$B56</f>
        <v>-66463.096046707142</v>
      </c>
      <c r="T56" s="1021">
        <f>(VLOOKUP(YEAR($A56),'NY East Load Projections'!$A$4:$EO$14,((MONTH($A56)-1)*12)+VLOOKUP(T$4,$DE$6:$DF$17,2)+1))*(VLOOKUP($A56,CURVES!$D$9:$K$261,4))*(INDEX(DailyScalarsTable,T$5/100,MONTH($A56)))*$B56</f>
        <v>-66654.747595932917</v>
      </c>
      <c r="U56" s="1021">
        <f>(VLOOKUP(YEAR($A56),'NY East Load Projections'!$A$4:$EO$14,((MONTH($A56)-1)*12)+VLOOKUP(U$4,$DE$6:$DF$17,2)+1))*(VLOOKUP($A56,CURVES!$D$9:$K$261,4))*(INDEX(DailyScalarsTable,U$5/100,MONTH($A56)))*$B56</f>
        <v>-64527.468417339303</v>
      </c>
      <c r="V56" s="1021">
        <f>(VLOOKUP(YEAR($A56),'NY East Load Projections'!$A$4:$EO$14,((MONTH($A56)-1)*12)+VLOOKUP(V$4,$DE$6:$DF$17,2)+1))*(VLOOKUP($A56,CURVES!$D$9:$K$261,4))*(INDEX(DailyScalarsTable,V$5/100,MONTH($A56)))*$B56</f>
        <v>-61282.596916658484</v>
      </c>
      <c r="W56" s="1021">
        <f>(VLOOKUP(YEAR($A56),'NY East Load Projections'!$A$4:$EO$14,((MONTH($A56)-1)*12)+VLOOKUP(W$4,$DE$6:$DF$17,2)+1))*(VLOOKUP($A56,CURVES!$D$9:$K$261,4))*(INDEX(DailyScalarsTable,W$5/100,MONTH($A56)))*$B56</f>
        <v>-60064.806662246192</v>
      </c>
      <c r="X56" s="1021">
        <f>(VLOOKUP(YEAR($A56),'NY East Load Projections'!$A$4:$EO$14,((MONTH($A56)-1)*12)+VLOOKUP(X$4,$DE$6:$DF$17,2)+1))*(VLOOKUP($A56,CURVES!$D$9:$K$261,4))*(INDEX(DailyScalarsTable,X$5/100,MONTH($A56)))*$B56</f>
        <v>-61768.008093172997</v>
      </c>
      <c r="Y56" s="1021">
        <f>(VLOOKUP(YEAR($A56),'NY East Load Projections'!$A$4:$EO$14,((MONTH($A56)-1)*12)+VLOOKUP(Y$4,$DE$6:$DF$17,2)+1))*(VLOOKUP($A56,CURVES!$D$9:$K$261,4))*(INDEX(DailyScalarsTable,Y$5/100,MONTH($A56)))*$B56</f>
        <v>-84211.256796518719</v>
      </c>
      <c r="Z56" s="1021">
        <f>(VLOOKUP(YEAR($A56),'NY East Load Projections'!$A$4:$EO$14,((MONTH($A56)-1)*12)+VLOOKUP(Z$4,$DE$6:$DF$17,2)+1))*(VLOOKUP($A56,CURVES!$D$9:$K$261,4))*(INDEX(DailyScalarsTable,Z$5/100,MONTH($A56)))*$B56</f>
        <v>-92470.255995417538</v>
      </c>
      <c r="AA56" s="1021">
        <f>(VLOOKUP(YEAR($A56),'NY East Load Projections'!$A$4:$EO$14,((MONTH($A56)-1)*12)+VLOOKUP(AA$4,$DE$6:$DF$17,2)+1))*(VLOOKUP($A56,CURVES!$D$9:$K$261,4))*(INDEX(DailyScalarsTable,AA$5/100,MONTH($A56)))*$B56</f>
        <v>-88478.891065668024</v>
      </c>
      <c r="AB56" s="1021">
        <f>(VLOOKUP(YEAR($A56),'NY East Load Projections'!$A$4:$EO$14,((MONTH($A56)-1)*12)+VLOOKUP(AB$4,$DE$6:$DF$17,2)+1))*(VLOOKUP($A56,CURVES!$D$9:$K$261,4))*(INDEX(DailyScalarsTable,AB$5/100,MONTH($A56)))*$B56</f>
        <v>-74401.358763786382</v>
      </c>
      <c r="AC56" s="1021">
        <f>(VLOOKUP(YEAR($A56),'NY East Load Projections'!$A$4:$EO$14,((MONTH($A56)-1)*12)+VLOOKUP(AC$4,$DE$6:$DF$17,2)+1))*(VLOOKUP($A56,CURVES!$D$9:$K$261,4))*(INDEX(DailyScalarsTable,AC$5/100,MONTH($A56)))*$B56</f>
        <v>-54025.613319437936</v>
      </c>
      <c r="AD56" s="1021">
        <f>(VLOOKUP(YEAR($A56),'NY East Load Projections'!$A$4:$EO$14,((MONTH($A56)-1)*12)+VLOOKUP(AD$4,$DE$6:$DF$17,2)+1))*(VLOOKUP($A56,CURVES!$D$9:$K$261,4))*(INDEX(DailyScalarsTable,AD$5/100,MONTH($A56)))*$B56</f>
        <v>-44344.535286249418</v>
      </c>
      <c r="AE56" s="1021">
        <f>(VLOOKUP(YEAR($A56),'NY East Load Projections'!$A$4:$EO$14,((MONTH($A56)-1)*12)+VLOOKUP(AE$4,$DE$6:$DF$17,2)+1))*(VLOOKUP($A56,CURVES!$D$9:$K$261,8))*(INDEX(DailyScalarsTable,AE$5/100,MONTH($A56)))*$B56</f>
        <v>-40213.098110408057</v>
      </c>
      <c r="AF56" s="1021"/>
      <c r="AG56" s="1021">
        <f>(VLOOKUP(YEAR($A56),'NY East Load Projections'!$A$4:$EO$14,((MONTH($A56)-1)*12)+VLOOKUP(AG$4,$DE$6:$DF$17,2)+1))*(VLOOKUP($A56,CURVES!$D$9:$T$261,8))*(INDEX(DailyScalarsTable,AG$5/100,MONTH($A56)))*$C56</f>
        <v>-6135.1566901167107</v>
      </c>
      <c r="AH56" s="1021">
        <f>(VLOOKUP(YEAR($A56),'NY East Load Projections'!$A$4:$EO$14,((MONTH($A56)-1)*12)+VLOOKUP(AH$4,$DE$6:$DF$17,2)+1))*(VLOOKUP($A56,CURVES!$D$9:$T$261,8))*(INDEX(DailyScalarsTable,AH$5/100,MONTH($A56)))*$C56</f>
        <v>-5801.0627831173033</v>
      </c>
      <c r="AI56" s="1021">
        <f>(VLOOKUP(YEAR($A56),'NY East Load Projections'!$A$4:$EO$14,((MONTH($A56)-1)*12)+VLOOKUP(AI$4,$DE$6:$DF$17,2)+1))*(VLOOKUP($A56,CURVES!$D$9:$T$261,8))*(INDEX(DailyScalarsTable,AI$5/100,MONTH($A56)))*$C56</f>
        <v>-5553.8303248515285</v>
      </c>
      <c r="AJ56" s="1021">
        <f>(VLOOKUP(YEAR($A56),'NY East Load Projections'!$A$4:$EO$14,((MONTH($A56)-1)*12)+VLOOKUP(AJ$4,$DE$6:$DF$17,2)+1))*(VLOOKUP($A56,CURVES!$D$9:$T$261,8))*(INDEX(DailyScalarsTable,AJ$5/100,MONTH($A56)))*$C56</f>
        <v>-5557.3166511457084</v>
      </c>
      <c r="AK56" s="1021">
        <f>(VLOOKUP(YEAR($A56),'NY East Load Projections'!$A$4:$EO$14,((MONTH($A56)-1)*12)+VLOOKUP(AK$4,$DE$6:$DF$17,2)+1))*(VLOOKUP($A56,CURVES!$D$9:$T$261,8))*(INDEX(DailyScalarsTable,AK$5/100,MONTH($A56)))*$C56</f>
        <v>-6050.4743418997714</v>
      </c>
      <c r="AL56" s="1021">
        <f>(VLOOKUP(YEAR($A56),'NY East Load Projections'!$A$4:$EO$14,((MONTH($A56)-1)*12)+VLOOKUP(AL$4,$DE$6:$DF$17,2)+1))*(VLOOKUP($A56,CURVES!$D$9:$T$261,8))*(INDEX(DailyScalarsTable,AL$5/100,MONTH($A56)))*$C56</f>
        <v>-7023.2291040620821</v>
      </c>
      <c r="AM56" s="1021">
        <f>(VLOOKUP(YEAR($A56),'NY East Load Projections'!$A$4:$EO$14,((MONTH($A56)-1)*12)+VLOOKUP(AM$4,$DE$6:$DF$17,2)+1))*(VLOOKUP($A56,CURVES!$D$9:$T$261,8))*(INDEX(DailyScalarsTable,AM$5/100,MONTH($A56)))*$C56</f>
        <v>-12672.621538576479</v>
      </c>
      <c r="AN56" s="1021">
        <f>(VLOOKUP(YEAR($A56),'NY East Load Projections'!$A$4:$EO$14,((MONTH($A56)-1)*12)+VLOOKUP(AN$4,$DE$6:$DF$17,2)+1))*(VLOOKUP($A56,SatSunCurve,4))*(INDEX(DailyScalarsTable,AN$5/100,MONTH($A56)))*$C56</f>
        <v>-8733.766482357958</v>
      </c>
      <c r="AO56" s="1021">
        <f>(VLOOKUP(YEAR($A56),'NY East Load Projections'!$A$4:$EO$14,((MONTH($A56)-1)*12)+VLOOKUP(AO$4,$DE$6:$DF$17,2)+1))*(VLOOKUP($A56,SatSunCurve,4))*(INDEX(DailyScalarsTable,AO$5/100,MONTH($A56)))*$C56</f>
        <v>-9806.748485330716</v>
      </c>
      <c r="AP56" s="1021">
        <f>(VLOOKUP(YEAR($A56),'NY East Load Projections'!$A$4:$EO$14,((MONTH($A56)-1)*12)+VLOOKUP(AP$4,$DE$6:$DF$17,2)+1))*(VLOOKUP($A56,SatSunCurve,4))*(INDEX(DailyScalarsTable,AP$5/100,MONTH($A56)))*$C56</f>
        <v>-9777.0760239530136</v>
      </c>
      <c r="AQ56" s="1021">
        <f>(VLOOKUP(YEAR($A56),'NY East Load Projections'!$A$4:$EO$14,((MONTH($A56)-1)*12)+VLOOKUP(AQ$4,$DE$6:$DF$17,2)+1))*(VLOOKUP($A56,SatSunCurve,4))*(INDEX(DailyScalarsTable,AQ$5/100,MONTH($A56)))*$C56</f>
        <v>-9604.8109009546843</v>
      </c>
      <c r="AR56" s="1021">
        <f>(VLOOKUP(YEAR($A56),'NY East Load Projections'!$A$4:$EO$14,((MONTH($A56)-1)*12)+VLOOKUP(AR$4,$DE$6:$DF$17,2)+1))*(VLOOKUP($A56,SatSunCurve,4))*(INDEX(DailyScalarsTable,AR$5/100,MONTH($A56)))*$C56</f>
        <v>-7338.9887807517816</v>
      </c>
      <c r="AS56" s="1021">
        <f>(VLOOKUP(YEAR($A56),'NY East Load Projections'!$A$4:$EO$14,((MONTH($A56)-1)*12)+VLOOKUP(AS$4,$DE$6:$DF$17,2)+1))*(VLOOKUP($A56,SatSunCurve,4))*(INDEX(DailyScalarsTable,AS$5/100,MONTH($A56)))*$C56</f>
        <v>-7163.9990723219826</v>
      </c>
      <c r="AT56" s="1021">
        <f>(VLOOKUP(YEAR($A56),'NY East Load Projections'!$A$4:$EO$14,((MONTH($A56)-1)*12)+VLOOKUP(AT$4,$DE$6:$DF$17,2)+1))*(VLOOKUP($A56,SatSunCurve,4))*(INDEX(DailyScalarsTable,AT$5/100,MONTH($A56)))*$C56</f>
        <v>-6935.3608040563877</v>
      </c>
      <c r="AU56" s="1021">
        <f>(VLOOKUP(YEAR($A56),'NY East Load Projections'!$A$4:$EO$14,((MONTH($A56)-1)*12)+VLOOKUP(AU$4,$DE$6:$DF$17,2)+1))*(VLOOKUP($A56,SatSunCurve,4))*(INDEX(DailyScalarsTable,AU$5/100,MONTH($A56)))*$C56</f>
        <v>-6586.6046049990846</v>
      </c>
      <c r="AV56" s="1021">
        <f>(VLOOKUP(YEAR($A56),'NY East Load Projections'!$A$4:$EO$14,((MONTH($A56)-1)*12)+VLOOKUP(AV$4,$DE$6:$DF$17,2)+1))*(VLOOKUP($A56,SatSunCurve,4))*(INDEX(DailyScalarsTable,AV$5/100,MONTH($A56)))*$C56</f>
        <v>-6455.7174804122587</v>
      </c>
      <c r="AW56" s="1021">
        <f>(VLOOKUP(YEAR($A56),'NY East Load Projections'!$A$4:$EO$14,((MONTH($A56)-1)*12)+VLOOKUP(AW$4,$DE$6:$DF$17,2)+1))*(VLOOKUP($A56,SatSunCurve,4))*(INDEX(DailyScalarsTable,AW$5/100,MONTH($A56)))*$C56</f>
        <v>-6738.3101856309768</v>
      </c>
      <c r="AX56" s="1021">
        <f>(VLOOKUP(YEAR($A56),'NY East Load Projections'!$A$4:$EO$14,((MONTH($A56)-1)*12)+VLOOKUP(AX$4,$DE$6:$DF$17,2)+1))*(VLOOKUP($A56,SatSunCurve,4))*(INDEX(DailyScalarsTable,AX$5/100,MONTH($A56)))*$C56</f>
        <v>-9186.6580602829108</v>
      </c>
      <c r="AY56" s="1021">
        <f>(VLOOKUP(YEAR($A56),'NY East Load Projections'!$A$4:$EO$14,((MONTH($A56)-1)*12)+VLOOKUP(AY$4,$DE$6:$DF$17,2)+1))*(VLOOKUP($A56,SatSunCurve,4))*(INDEX(DailyScalarsTable,AY$5/100,MONTH($A56)))*$C56</f>
        <v>-10087.637388305131</v>
      </c>
      <c r="AZ56" s="1021">
        <f>(VLOOKUP(YEAR($A56),'NY East Load Projections'!$A$4:$EO$14,((MONTH($A56)-1)*12)+VLOOKUP(AZ$4,$DE$6:$DF$17,2)+1))*(VLOOKUP($A56,SatSunCurve,4))*(INDEX(DailyScalarsTable,AZ$5/100,MONTH($A56)))*$C56</f>
        <v>-9652.2169208014348</v>
      </c>
      <c r="BA56" s="1021">
        <f>(VLOOKUP(YEAR($A56),'NY East Load Projections'!$A$4:$EO$14,((MONTH($A56)-1)*12)+VLOOKUP(BA$4,$DE$6:$DF$17,2)+1))*(VLOOKUP($A56,SatSunCurve,4))*(INDEX(DailyScalarsTable,BA$5/100,MONTH($A56)))*$C56</f>
        <v>-8774.1221937763057</v>
      </c>
      <c r="BB56" s="1021">
        <f>(VLOOKUP(YEAR($A56),'NY East Load Projections'!$A$4:$EO$14,((MONTH($A56)-1)*12)+VLOOKUP(BB$4,$DE$6:$DF$17,2)+1))*(VLOOKUP($A56,SatSunCurve,4))*(INDEX(DailyScalarsTable,BB$5/100,MONTH($A56)))*$C56</f>
        <v>-6371.2187617893615</v>
      </c>
      <c r="BC56" s="1021">
        <f>(VLOOKUP(YEAR($A56),'NY East Load Projections'!$A$4:$EO$14,((MONTH($A56)-1)*12)+VLOOKUP(BC$4,$DE$6:$DF$17,2)+1))*(VLOOKUP($A56,SatSunCurve,4))*(INDEX(DailyScalarsTable,BC$5/100,MONTH($A56)))*$C56</f>
        <v>-5229.5331388108707</v>
      </c>
      <c r="BD56" s="1021">
        <f>(VLOOKUP(YEAR($A56),'NY East Load Projections'!$A$4:$EO$14,((MONTH($A56)-1)*12)+VLOOKUP(BD$4,$DE$6:$DF$17,2)+1))*(VLOOKUP($A56,CURVES!$D$9:$T$261,8))*(INDEX(DailyScalarsTable,BD$5/100,MONTH($A56)))*$C56</f>
        <v>-7348.1025818789203</v>
      </c>
      <c r="BE56" s="1021"/>
      <c r="BF56" s="1021">
        <f>(VLOOKUP(YEAR($A56),'NY East Load Projections'!$A$4:$EO$14,((MONTH($A56)-1)*12)+VLOOKUP(BF$4,$DE$6:$DF$17,2)+1))*(VLOOKUP($A56,CURVES!$D$9:$T$261,8))*(INDEX(DailyScalarsTable,BF$5/100,MONTH($A56)))*$D56</f>
        <v>-6135.1566901167107</v>
      </c>
      <c r="BG56" s="1021">
        <f>(VLOOKUP(YEAR($A56),'NY East Load Projections'!$A$4:$EO$14,((MONTH($A56)-1)*12)+VLOOKUP(BG$4,$DE$6:$DF$17,2)+1))*(VLOOKUP($A56,CURVES!$D$9:$T$261,8))*(INDEX(DailyScalarsTable,BG$5/100,MONTH($A56)))*$D56</f>
        <v>-5801.0627831173033</v>
      </c>
      <c r="BH56" s="1021">
        <f>(VLOOKUP(YEAR($A56),'NY East Load Projections'!$A$4:$EO$14,((MONTH($A56)-1)*12)+VLOOKUP(BH$4,$DE$6:$DF$17,2)+1))*(VLOOKUP($A56,CURVES!$D$9:$T$261,8))*(INDEX(DailyScalarsTable,BH$5/100,MONTH($A56)))*$D56</f>
        <v>-5553.8303248515285</v>
      </c>
      <c r="BI56" s="1021">
        <f>(VLOOKUP(YEAR($A56),'NY East Load Projections'!$A$4:$EO$14,((MONTH($A56)-1)*12)+VLOOKUP(BI$4,$DE$6:$DF$17,2)+1))*(VLOOKUP($A56,CURVES!$D$9:$T$261,8))*(INDEX(DailyScalarsTable,BI$5/100,MONTH($A56)))*$D56</f>
        <v>-5557.3166511457084</v>
      </c>
      <c r="BJ56" s="1021">
        <f>(VLOOKUP(YEAR($A56),'NY East Load Projections'!$A$4:$EO$14,((MONTH($A56)-1)*12)+VLOOKUP(BJ$4,$DE$6:$DF$17,2)+1))*(VLOOKUP($A56,CURVES!$D$9:$T$261,8))*(INDEX(DailyScalarsTable,BJ$5/100,MONTH($A56)))*$D56</f>
        <v>-6050.4743418997714</v>
      </c>
      <c r="BK56" s="1021">
        <f>(VLOOKUP(YEAR($A56),'NY East Load Projections'!$A$4:$EO$14,((MONTH($A56)-1)*12)+VLOOKUP(BK$4,$DE$6:$DF$17,2)+1))*(VLOOKUP($A56,CURVES!$D$9:$T$261,8))*(INDEX(DailyScalarsTable,BK$5/100,MONTH($A56)))*$D56</f>
        <v>-7023.2291040620821</v>
      </c>
      <c r="BL56" s="1021">
        <f>(VLOOKUP(YEAR($A56),'NY East Load Projections'!$A$4:$EO$14,((MONTH($A56)-1)*12)+VLOOKUP(BL$4,$DE$6:$DF$17,2)+1))*(VLOOKUP($A56,CURVES!$D$9:$T$261,8))*(INDEX(DailyScalarsTable,BL$5/100,MONTH($A56)))*$D56</f>
        <v>-12672.621538576479</v>
      </c>
      <c r="BM56" s="1021">
        <f>(VLOOKUP(YEAR($A56),'NY East Load Projections'!$A$4:$EO$14,((MONTH($A56)-1)*12)+VLOOKUP(BM$4,$DE$6:$DF$17,2)+1))*(VLOOKUP($A56,SatSunCurve,8))*(INDEX(DailyScalarsTable,BM$5/100,MONTH($A56)))*$D56</f>
        <v>-9732.5122230554443</v>
      </c>
      <c r="BN56" s="1021">
        <f>(VLOOKUP(YEAR($A56),'NY East Load Projections'!$A$4:$EO$14,((MONTH($A56)-1)*12)+VLOOKUP(BN$4,$DE$6:$DF$17,2)+1))*(VLOOKUP($A56,SatSunCurve,8))*(INDEX(DailyScalarsTable,BN$5/100,MONTH($A56)))*$D56</f>
        <v>-10928.194576155358</v>
      </c>
      <c r="BO56" s="1021">
        <f>(VLOOKUP(YEAR($A56),'NY East Load Projections'!$A$4:$EO$14,((MONTH($A56)-1)*12)+VLOOKUP(BO$4,$DE$6:$DF$17,2)+1))*(VLOOKUP($A56,SatSunCurve,8))*(INDEX(DailyScalarsTable,BO$5/100,MONTH($A56)))*$D56</f>
        <v>-10895.128934472586</v>
      </c>
      <c r="BP56" s="1021">
        <f>(VLOOKUP(YEAR($A56),'NY East Load Projections'!$A$4:$EO$14,((MONTH($A56)-1)*12)+VLOOKUP(BP$4,$DE$6:$DF$17,2)+1))*(VLOOKUP($A56,SatSunCurve,8))*(INDEX(DailyScalarsTable,BP$5/100,MONTH($A56)))*$D56</f>
        <v>-10703.164514703176</v>
      </c>
      <c r="BQ56" s="1021">
        <f>(VLOOKUP(YEAR($A56),'NY East Load Projections'!$A$4:$EO$14,((MONTH($A56)-1)*12)+VLOOKUP(BQ$4,$DE$6:$DF$17,2)+1))*(VLOOKUP($A56,SatSunCurve,8))*(INDEX(DailyScalarsTable,BQ$5/100,MONTH($A56)))*$D56</f>
        <v>-8178.2353762050179</v>
      </c>
      <c r="BR56" s="1021">
        <f>(VLOOKUP(YEAR($A56),'NY East Load Projections'!$A$4:$EO$14,((MONTH($A56)-1)*12)+VLOOKUP(BR$4,$DE$6:$DF$17,2)+1))*(VLOOKUP($A56,SatSunCurve,8))*(INDEX(DailyScalarsTable,BR$5/100,MONTH($A56)))*$D56</f>
        <v>-7983.2348023240756</v>
      </c>
      <c r="BS56" s="1021">
        <f>(VLOOKUP(YEAR($A56),'NY East Load Projections'!$A$4:$EO$14,((MONTH($A56)-1)*12)+VLOOKUP(BS$4,$DE$6:$DF$17,2)+1))*(VLOOKUP($A56,SatSunCurve,8))*(INDEX(DailyScalarsTable,BS$5/100,MONTH($A56)))*$D56</f>
        <v>-7728.4507128882015</v>
      </c>
      <c r="BT56" s="1021">
        <f>(VLOOKUP(YEAR($A56),'NY East Load Projections'!$A$4:$EO$14,((MONTH($A56)-1)*12)+VLOOKUP(BT$4,$DE$6:$DF$17,2)+1))*(VLOOKUP($A56,SatSunCurve,8))*(INDEX(DailyScalarsTable,BT$5/100,MONTH($A56)))*$D56</f>
        <v>-7339.8126634226091</v>
      </c>
      <c r="BU56" s="1021">
        <f>(VLOOKUP(YEAR($A56),'NY East Load Projections'!$A$4:$EO$14,((MONTH($A56)-1)*12)+VLOOKUP(BU$4,$DE$6:$DF$17,2)+1))*(VLOOKUP($A56,SatSunCurve,8))*(INDEX(DailyScalarsTable,BU$5/100,MONTH($A56)))*$D56</f>
        <v>-7193.9580035281588</v>
      </c>
      <c r="BV56" s="1021">
        <f>(VLOOKUP(YEAR($A56),'NY East Load Projections'!$A$4:$EO$14,((MONTH($A56)-1)*12)+VLOOKUP(BV$4,$DE$6:$DF$17,2)+1))*(VLOOKUP($A56,SatSunCurve,8))*(INDEX(DailyScalarsTable,BV$5/100,MONTH($A56)))*$D56</f>
        <v>-7508.8664640695661</v>
      </c>
      <c r="BW56" s="1021">
        <f>(VLOOKUP(YEAR($A56),'NY East Load Projections'!$A$4:$EO$14,((MONTH($A56)-1)*12)+VLOOKUP(BW$4,$DE$6:$DF$17,2)+1))*(VLOOKUP($A56,SatSunCurve,8))*(INDEX(DailyScalarsTable,BW$5/100,MONTH($A56)))*$D56</f>
        <v>-10237.194003450775</v>
      </c>
      <c r="BX56" s="1021">
        <f>(VLOOKUP(YEAR($A56),'NY East Load Projections'!$A$4:$EO$14,((MONTH($A56)-1)*12)+VLOOKUP(BX$4,$DE$6:$DF$17,2)+1))*(VLOOKUP($A56,SatSunCurve,8))*(INDEX(DailyScalarsTable,BX$5/100,MONTH($A56)))*$D56</f>
        <v>-11241.204396951602</v>
      </c>
      <c r="BY56" s="1021">
        <f>(VLOOKUP(YEAR($A56),'NY East Load Projections'!$A$4:$EO$14,((MONTH($A56)-1)*12)+VLOOKUP(BY$4,$DE$6:$DF$17,2)+1))*(VLOOKUP($A56,SatSunCurve,8))*(INDEX(DailyScalarsTable,BY$5/100,MONTH($A56)))*$D56</f>
        <v>-10755.991627557276</v>
      </c>
      <c r="BZ56" s="1021">
        <f>(VLOOKUP(YEAR($A56),'NY East Load Projections'!$A$4:$EO$14,((MONTH($A56)-1)*12)+VLOOKUP(BZ$4,$DE$6:$DF$17,2)+1))*(VLOOKUP($A56,SatSunCurve,8))*(INDEX(DailyScalarsTable,BZ$5/100,MONTH($A56)))*$D56</f>
        <v>-9777.4827927910283</v>
      </c>
      <c r="CA56" s="1021">
        <f>(VLOOKUP(YEAR($A56),'NY East Load Projections'!$A$4:$EO$14,((MONTH($A56)-1)*12)+VLOOKUP(CA$4,$DE$6:$DF$17,2)+1))*(VLOOKUP($A56,SatSunCurve,8))*(INDEX(DailyScalarsTable,CA$5/100,MONTH($A56)))*$D56</f>
        <v>-7099.7964738500923</v>
      </c>
      <c r="CB56" s="1021">
        <f>(VLOOKUP(YEAR($A56),'NY East Load Projections'!$A$4:$EO$14,((MONTH($A56)-1)*12)+VLOOKUP(CB$4,$DE$6:$DF$17,2)+1))*(VLOOKUP($A56,SatSunCurve,8))*(INDEX(DailyScalarsTable,CB$5/100,MONTH($A56)))*$D56</f>
        <v>-5827.5539307308336</v>
      </c>
      <c r="CC56" s="1021">
        <f>(VLOOKUP(YEAR($A56),'NY East Load Projections'!$A$4:$EO$14,((MONTH($A56)-1)*12)+VLOOKUP(CC$4,$DE$6:$DF$17,2)+1))*(VLOOKUP($A56,CURVES!$D$9:$T$261,8))*(INDEX(DailyScalarsTable,CC$5/100,MONTH($A56)))*$D56</f>
        <v>-7348.1025818789203</v>
      </c>
      <c r="CE56" s="1021">
        <f>(VLOOKUP(YEAR($A56),'NY East Load Projections'!$A$4:$EO$14,((MONTH($A56)-1)*12)+VLOOKUP(CE$4,$DE$6:$DF$17,2)+1))*(VLOOKUP($A56,CURVES!$D$9:$T$261,8))*(INDEX(DailyScalarsTable,CE$5/100,MONTH($A56)))*$E56</f>
        <v>0</v>
      </c>
      <c r="CF56" s="1021">
        <f>(VLOOKUP(YEAR($A56),'NY East Load Projections'!$A$4:$EO$14,((MONTH($A56)-1)*12)+VLOOKUP(CF$4,$DE$6:$DF$17,2)+1))*(VLOOKUP($A56,CURVES!$D$9:$T$261,8))*(INDEX(DailyScalarsTable,CF$5/100,MONTH($A56)))*$E56</f>
        <v>0</v>
      </c>
      <c r="CG56" s="1021">
        <f>(VLOOKUP(YEAR($A56),'NY East Load Projections'!$A$4:$EO$14,((MONTH($A56)-1)*12)+VLOOKUP(CG$4,$DE$6:$DF$17,2)+1))*(VLOOKUP($A56,CURVES!$D$9:$T$261,8))*(INDEX(DailyScalarsTable,CG$5/100,MONTH($A56)))*$E56</f>
        <v>0</v>
      </c>
      <c r="CH56" s="1021">
        <f>(VLOOKUP(YEAR($A56),'NY East Load Projections'!$A$4:$EO$14,((MONTH($A56)-1)*12)+VLOOKUP(CH$4,$DE$6:$DF$17,2)+1))*(VLOOKUP($A56,CURVES!$D$9:$T$261,8))*(INDEX(DailyScalarsTable,CH$5/100,MONTH($A56)))*$E56</f>
        <v>0</v>
      </c>
      <c r="CI56" s="1021">
        <f>(VLOOKUP(YEAR($A56),'NY East Load Projections'!$A$4:$EO$14,((MONTH($A56)-1)*12)+VLOOKUP(CI$4,$DE$6:$DF$17,2)+1))*(VLOOKUP($A56,CURVES!$D$9:$T$261,8))*(INDEX(DailyScalarsTable,CI$5/100,MONTH($A56)))*$E56</f>
        <v>0</v>
      </c>
      <c r="CJ56" s="1021">
        <f>(VLOOKUP(YEAR($A56),'NY East Load Projections'!$A$4:$EO$14,((MONTH($A56)-1)*12)+VLOOKUP(CJ$4,$DE$6:$DF$17,2)+1))*(VLOOKUP($A56,CURVES!$D$9:$T$261,8))*(INDEX(DailyScalarsTable,CJ$5/100,MONTH($A56)))*$E56</f>
        <v>0</v>
      </c>
      <c r="CK56" s="1021">
        <f>(VLOOKUP(YEAR($A56),'NY East Load Projections'!$A$4:$EO$14,((MONTH($A56)-1)*12)+VLOOKUP(CK$4,$DE$6:$DF$17,2)+1))*(VLOOKUP($A56,CURVES!$D$9:$T$261,8))*(INDEX(DailyScalarsTable,CK$5/100,MONTH($A56)))*$E56</f>
        <v>0</v>
      </c>
      <c r="CL56" s="1021">
        <f>(VLOOKUP(YEAR($A56),'NY East Load Projections'!$A$4:$EO$14,((MONTH($A56)-1)*12)+VLOOKUP(CL$4,$DE$6:$DF$17,2)+1))*(VLOOKUP($A56,SatSunCurve,8))*(INDEX(DailyScalarsTable,CL$5/100,MONTH($A56)))*$E56</f>
        <v>0</v>
      </c>
      <c r="CM56" s="1021">
        <f>(VLOOKUP(YEAR($A56),'NY East Load Projections'!$A$4:$EO$14,((MONTH($A56)-1)*12)+VLOOKUP(CM$4,$DE$6:$DF$17,2)+1))*(VLOOKUP($A56,SatSunCurve,8))*(INDEX(DailyScalarsTable,CM$5/100,MONTH($A56)))*$E56</f>
        <v>0</v>
      </c>
      <c r="CN56" s="1021">
        <f>(VLOOKUP(YEAR($A56),'NY East Load Projections'!$A$4:$EO$14,((MONTH($A56)-1)*12)+VLOOKUP(CN$4,$DE$6:$DF$17,2)+1))*(VLOOKUP($A56,SatSunCurve,8))*(INDEX(DailyScalarsTable,CN$5/100,MONTH($A56)))*$E56</f>
        <v>0</v>
      </c>
      <c r="CO56" s="1021">
        <f>(VLOOKUP(YEAR($A56),'NY East Load Projections'!$A$4:$EO$14,((MONTH($A56)-1)*12)+VLOOKUP(CO$4,$DE$6:$DF$17,2)+1))*(VLOOKUP($A56,SatSunCurve,8))*(INDEX(DailyScalarsTable,CO$5/100,MONTH($A56)))*$E56</f>
        <v>0</v>
      </c>
      <c r="CP56" s="1021">
        <f>(VLOOKUP(YEAR($A56),'NY East Load Projections'!$A$4:$EO$14,((MONTH($A56)-1)*12)+VLOOKUP(CP$4,$DE$6:$DF$17,2)+1))*(VLOOKUP($A56,SatSunCurve,8))*(INDEX(DailyScalarsTable,CP$5/100,MONTH($A56)))*$E56</f>
        <v>0</v>
      </c>
      <c r="CQ56" s="1021">
        <f>(VLOOKUP(YEAR($A56),'NY East Load Projections'!$A$4:$EO$14,((MONTH($A56)-1)*12)+VLOOKUP(CQ$4,$DE$6:$DF$17,2)+1))*(VLOOKUP($A56,SatSunCurve,8))*(INDEX(DailyScalarsTable,CQ$5/100,MONTH($A56)))*$E56</f>
        <v>0</v>
      </c>
      <c r="CR56" s="1021">
        <f>(VLOOKUP(YEAR($A56),'NY East Load Projections'!$A$4:$EO$14,((MONTH($A56)-1)*12)+VLOOKUP(CR$4,$DE$6:$DF$17,2)+1))*(VLOOKUP($A56,SatSunCurve,8))*(INDEX(DailyScalarsTable,CR$5/100,MONTH($A56)))*$E56</f>
        <v>0</v>
      </c>
      <c r="CS56" s="1021">
        <f>(VLOOKUP(YEAR($A56),'NY East Load Projections'!$A$4:$EO$14,((MONTH($A56)-1)*12)+VLOOKUP(CS$4,$DE$6:$DF$17,2)+1))*(VLOOKUP($A56,SatSunCurve,8))*(INDEX(DailyScalarsTable,CS$5/100,MONTH($A56)))*$E56</f>
        <v>0</v>
      </c>
      <c r="CT56" s="1021">
        <f>(VLOOKUP(YEAR($A56),'NY East Load Projections'!$A$4:$EO$14,((MONTH($A56)-1)*12)+VLOOKUP(CT$4,$DE$6:$DF$17,2)+1))*(VLOOKUP($A56,SatSunCurve,8))*(INDEX(DailyScalarsTable,CT$5/100,MONTH($A56)))*$E56</f>
        <v>0</v>
      </c>
      <c r="CU56" s="1021">
        <f>(VLOOKUP(YEAR($A56),'NY East Load Projections'!$A$4:$EO$14,((MONTH($A56)-1)*12)+VLOOKUP(CU$4,$DE$6:$DF$17,2)+1))*(VLOOKUP($A56,SatSunCurve,8))*(INDEX(DailyScalarsTable,CU$5/100,MONTH($A56)))*$E56</f>
        <v>0</v>
      </c>
      <c r="CV56" s="1021">
        <f>(VLOOKUP(YEAR($A56),'NY East Load Projections'!$A$4:$EO$14,((MONTH($A56)-1)*12)+VLOOKUP(CV$4,$DE$6:$DF$17,2)+1))*(VLOOKUP($A56,SatSunCurve,8))*(INDEX(DailyScalarsTable,CV$5/100,MONTH($A56)))*$E56</f>
        <v>0</v>
      </c>
      <c r="CW56" s="1021">
        <f>(VLOOKUP(YEAR($A56),'NY East Load Projections'!$A$4:$EO$14,((MONTH($A56)-1)*12)+VLOOKUP(CW$4,$DE$6:$DF$17,2)+1))*(VLOOKUP($A56,SatSunCurve,8))*(INDEX(DailyScalarsTable,CW$5/100,MONTH($A56)))*$E56</f>
        <v>0</v>
      </c>
      <c r="CX56" s="1021">
        <f>(VLOOKUP(YEAR($A56),'NY East Load Projections'!$A$4:$EO$14,((MONTH($A56)-1)*12)+VLOOKUP(CX$4,$DE$6:$DF$17,2)+1))*(VLOOKUP($A56,SatSunCurve,8))*(INDEX(DailyScalarsTable,CX$5/100,MONTH($A56)))*$E56</f>
        <v>0</v>
      </c>
      <c r="CY56" s="1021">
        <f>(VLOOKUP(YEAR($A56),'NY East Load Projections'!$A$4:$EO$14,((MONTH($A56)-1)*12)+VLOOKUP(CY$4,$DE$6:$DF$17,2)+1))*(VLOOKUP($A56,SatSunCurve,8))*(INDEX(DailyScalarsTable,CY$5/100,MONTH($A56)))*$E56</f>
        <v>0</v>
      </c>
      <c r="CZ56" s="1021">
        <f>(VLOOKUP(YEAR($A56),'NY East Load Projections'!$A$4:$EO$14,((MONTH($A56)-1)*12)+VLOOKUP(CZ$4,$DE$6:$DF$17,2)+1))*(VLOOKUP($A56,SatSunCurve,8))*(INDEX(DailyScalarsTable,CZ$5/100,MONTH($A56)))*$E56</f>
        <v>0</v>
      </c>
      <c r="DA56" s="1021">
        <f>(VLOOKUP(YEAR($A56),'NY East Load Projections'!$A$4:$EO$14,((MONTH($A56)-1)*12)+VLOOKUP(DA$4,$DE$6:$DF$17,2)+1))*(VLOOKUP($A56,SatSunCurve,8))*(INDEX(DailyScalarsTable,DA$5/100,MONTH($A56)))*$E56</f>
        <v>0</v>
      </c>
      <c r="DB56" s="1021">
        <f>(VLOOKUP(YEAR($A56),'NY East Load Projections'!$A$4:$EO$14,((MONTH($A56)-1)*12)+VLOOKUP(DB$4,$DE$6:$DF$17,2)+1))*(VLOOKUP($A56,CURVES!$D$9:$T$261,8))*(INDEX(DailyScalarsTable,DB$5/100,MONTH($A56)))*$E56</f>
        <v>0</v>
      </c>
      <c r="DH56" s="1021">
        <f t="shared" si="0"/>
        <v>-1846146.8333680253</v>
      </c>
      <c r="DI56">
        <f ca="1">CALC!J76</f>
        <v>0.69181096412255072</v>
      </c>
      <c r="DJ56" s="1029">
        <f t="shared" ca="1" si="1"/>
        <v>-1277184.6207041275</v>
      </c>
    </row>
    <row r="57" spans="1:114" x14ac:dyDescent="0.25">
      <c r="A57" s="244">
        <v>38443</v>
      </c>
      <c r="B57" s="13">
        <v>21</v>
      </c>
      <c r="C57" s="210">
        <v>5</v>
      </c>
      <c r="D57" s="210">
        <v>4</v>
      </c>
      <c r="E57" s="210">
        <v>0</v>
      </c>
      <c r="F57" s="13">
        <v>30</v>
      </c>
      <c r="H57" s="1021">
        <f>(VLOOKUP(YEAR($A57),'NY East Load Projections'!$A$4:$EO$14,((MONTH($A57)-1)*12)+VLOOKUP(H$4,$DE$6:$DF$17,2)+1))*(VLOOKUP($A57,CURVES!$D$9:$K$261,8))*(INDEX(DailyScalarsTable,H$5/100,MONTH($A57)))*$B57</f>
        <v>-32996.1755561924</v>
      </c>
      <c r="I57" s="1021">
        <f>(VLOOKUP(YEAR($A57),'NY East Load Projections'!$A$4:$EO$14,((MONTH($A57)-1)*12)+VLOOKUP(I$4,$DE$6:$DF$17,2)+1))*(VLOOKUP($A57,CURVES!$D$9:$K$261,8))*(INDEX(DailyScalarsTable,I$5/100,MONTH($A57)))*$B57</f>
        <v>-31295.941736633897</v>
      </c>
      <c r="J57" s="1021">
        <f>(VLOOKUP(YEAR($A57),'NY East Load Projections'!$A$4:$EO$14,((MONTH($A57)-1)*12)+VLOOKUP(J$4,$DE$6:$DF$17,2)+1))*(VLOOKUP($A57,CURVES!$D$9:$K$261,8))*(INDEX(DailyScalarsTable,J$5/100,MONTH($A57)))*$B57</f>
        <v>-30037.75361039308</v>
      </c>
      <c r="K57" s="1021">
        <f>(VLOOKUP(YEAR($A57),'NY East Load Projections'!$A$4:$EO$14,((MONTH($A57)-1)*12)+VLOOKUP(K$4,$DE$6:$DF$17,2)+1))*(VLOOKUP($A57,CURVES!$D$9:$K$261,8))*(INDEX(DailyScalarsTable,K$5/100,MONTH($A57)))*$B57</f>
        <v>-30055.495837195776</v>
      </c>
      <c r="L57" s="1021">
        <f>(VLOOKUP(YEAR($A57),'NY East Load Projections'!$A$4:$EO$14,((MONTH($A57)-1)*12)+VLOOKUP(L$4,$DE$6:$DF$17,2)+1))*(VLOOKUP($A57,CURVES!$D$9:$K$261,8))*(INDEX(DailyScalarsTable,L$5/100,MONTH($A57)))*$B57</f>
        <v>-35211.271191638603</v>
      </c>
      <c r="M57" s="1021">
        <f>(VLOOKUP(YEAR($A57),'NY East Load Projections'!$A$4:$EO$14,((MONTH($A57)-1)*12)+VLOOKUP(M$4,$DE$6:$DF$17,2)+1))*(VLOOKUP($A57,CURVES!$D$9:$K$261,8))*(INDEX(DailyScalarsTable,M$5/100,MONTH($A57)))*$B57</f>
        <v>-40560.397767057097</v>
      </c>
      <c r="N57" s="1021">
        <f>(VLOOKUP(YEAR($A57),'NY East Load Projections'!$A$4:$EO$14,((MONTH($A57)-1)*12)+VLOOKUP(N$4,$DE$6:$DF$17,2)+1))*(VLOOKUP($A57,CURVES!$D$9:$K$261,8))*(INDEX(DailyScalarsTable,N$5/100,MONTH($A57)))*$B57</f>
        <v>-57850.910913508371</v>
      </c>
      <c r="O57" s="1021">
        <f>(VLOOKUP(YEAR($A57),'NY East Load Projections'!$A$4:$EO$14,((MONTH($A57)-1)*12)+VLOOKUP(O$4,$DE$6:$DF$17,2)+1))*(VLOOKUP($A57,CURVES!$D$9:$K$261,4))*(INDEX(DailyScalarsTable,O$5/100,MONTH($A57)))*$B57</f>
        <v>-70789.289362180774</v>
      </c>
      <c r="P57" s="1021">
        <f>(VLOOKUP(YEAR($A57),'NY East Load Projections'!$A$4:$EO$14,((MONTH($A57)-1)*12)+VLOOKUP(P$4,$DE$6:$DF$17,2)+1))*(VLOOKUP($A57,CURVES!$D$9:$K$261,4))*(INDEX(DailyScalarsTable,P$5/100,MONTH($A57)))*$B57</f>
        <v>-80128.987662873275</v>
      </c>
      <c r="Q57" s="1021">
        <f>(VLOOKUP(YEAR($A57),'NY East Load Projections'!$A$4:$EO$14,((MONTH($A57)-1)*12)+VLOOKUP(Q$4,$DE$6:$DF$17,2)+1))*(VLOOKUP($A57,CURVES!$D$9:$K$261,4))*(INDEX(DailyScalarsTable,Q$5/100,MONTH($A57)))*$B57</f>
        <v>-76792.069025608231</v>
      </c>
      <c r="R57" s="1021">
        <f>(VLOOKUP(YEAR($A57),'NY East Load Projections'!$A$4:$EO$14,((MONTH($A57)-1)*12)+VLOOKUP(R$4,$DE$6:$DF$17,2)+1))*(VLOOKUP($A57,CURVES!$D$9:$K$261,4))*(INDEX(DailyScalarsTable,R$5/100,MONTH($A57)))*$B57</f>
        <v>-78375.212612065487</v>
      </c>
      <c r="S57" s="1021">
        <f>(VLOOKUP(YEAR($A57),'NY East Load Projections'!$A$4:$EO$14,((MONTH($A57)-1)*12)+VLOOKUP(S$4,$DE$6:$DF$17,2)+1))*(VLOOKUP($A57,CURVES!$D$9:$K$261,4))*(INDEX(DailyScalarsTable,S$5/100,MONTH($A57)))*$B57</f>
        <v>-78528.89393095074</v>
      </c>
      <c r="T57" s="1021">
        <f>(VLOOKUP(YEAR($A57),'NY East Load Projections'!$A$4:$EO$14,((MONTH($A57)-1)*12)+VLOOKUP(T$4,$DE$6:$DF$17,2)+1))*(VLOOKUP($A57,CURVES!$D$9:$K$261,4))*(INDEX(DailyScalarsTable,T$5/100,MONTH($A57)))*$B57</f>
        <v>-74030.597264957498</v>
      </c>
      <c r="U57" s="1021">
        <f>(VLOOKUP(YEAR($A57),'NY East Load Projections'!$A$4:$EO$14,((MONTH($A57)-1)*12)+VLOOKUP(U$4,$DE$6:$DF$17,2)+1))*(VLOOKUP($A57,CURVES!$D$9:$K$261,4))*(INDEX(DailyScalarsTable,U$5/100,MONTH($A57)))*$B57</f>
        <v>-74110.312243564578</v>
      </c>
      <c r="V57" s="1021">
        <f>(VLOOKUP(YEAR($A57),'NY East Load Projections'!$A$4:$EO$14,((MONTH($A57)-1)*12)+VLOOKUP(V$4,$DE$6:$DF$17,2)+1))*(VLOOKUP($A57,CURVES!$D$9:$K$261,4))*(INDEX(DailyScalarsTable,V$5/100,MONTH($A57)))*$B57</f>
        <v>-69510.289066295896</v>
      </c>
      <c r="W57" s="1021">
        <f>(VLOOKUP(YEAR($A57),'NY East Load Projections'!$A$4:$EO$14,((MONTH($A57)-1)*12)+VLOOKUP(W$4,$DE$6:$DF$17,2)+1))*(VLOOKUP($A57,CURVES!$D$9:$K$261,4))*(INDEX(DailyScalarsTable,W$5/100,MONTH($A57)))*$B57</f>
        <v>-64965.363006593936</v>
      </c>
      <c r="X57" s="1021">
        <f>(VLOOKUP(YEAR($A57),'NY East Load Projections'!$A$4:$EO$14,((MONTH($A57)-1)*12)+VLOOKUP(X$4,$DE$6:$DF$17,2)+1))*(VLOOKUP($A57,CURVES!$D$9:$K$261,4))*(INDEX(DailyScalarsTable,X$5/100,MONTH($A57)))*$B57</f>
        <v>-59444.407467130244</v>
      </c>
      <c r="Y57" s="1021">
        <f>(VLOOKUP(YEAR($A57),'NY East Load Projections'!$A$4:$EO$14,((MONTH($A57)-1)*12)+VLOOKUP(Y$4,$DE$6:$DF$17,2)+1))*(VLOOKUP($A57,CURVES!$D$9:$K$261,4))*(INDEX(DailyScalarsTable,Y$5/100,MONTH($A57)))*$B57</f>
        <v>-58671.302452711476</v>
      </c>
      <c r="Z57" s="1021">
        <f>(VLOOKUP(YEAR($A57),'NY East Load Projections'!$A$4:$EO$14,((MONTH($A57)-1)*12)+VLOOKUP(Z$4,$DE$6:$DF$17,2)+1))*(VLOOKUP($A57,CURVES!$D$9:$K$261,4))*(INDEX(DailyScalarsTable,Z$5/100,MONTH($A57)))*$B57</f>
        <v>-58356.781778282224</v>
      </c>
      <c r="AA57" s="1021">
        <f>(VLOOKUP(YEAR($A57),'NY East Load Projections'!$A$4:$EO$14,((MONTH($A57)-1)*12)+VLOOKUP(AA$4,$DE$6:$DF$17,2)+1))*(VLOOKUP($A57,CURVES!$D$9:$K$261,4))*(INDEX(DailyScalarsTable,AA$5/100,MONTH($A57)))*$B57</f>
        <v>-64008.256414268137</v>
      </c>
      <c r="AB57" s="1021">
        <f>(VLOOKUP(YEAR($A57),'NY East Load Projections'!$A$4:$EO$14,((MONTH($A57)-1)*12)+VLOOKUP(AB$4,$DE$6:$DF$17,2)+1))*(VLOOKUP($A57,CURVES!$D$9:$K$261,4))*(INDEX(DailyScalarsTable,AB$5/100,MONTH($A57)))*$B57</f>
        <v>-70166.400505400481</v>
      </c>
      <c r="AC57" s="1021">
        <f>(VLOOKUP(YEAR($A57),'NY East Load Projections'!$A$4:$EO$14,((MONTH($A57)-1)*12)+VLOOKUP(AC$4,$DE$6:$DF$17,2)+1))*(VLOOKUP($A57,CURVES!$D$9:$K$261,4))*(INDEX(DailyScalarsTable,AC$5/100,MONTH($A57)))*$B57</f>
        <v>-59787.068069619236</v>
      </c>
      <c r="AD57" s="1021">
        <f>(VLOOKUP(YEAR($A57),'NY East Load Projections'!$A$4:$EO$14,((MONTH($A57)-1)*12)+VLOOKUP(AD$4,$DE$6:$DF$17,2)+1))*(VLOOKUP($A57,CURVES!$D$9:$K$261,4))*(INDEX(DailyScalarsTable,AD$5/100,MONTH($A57)))*$B57</f>
        <v>-52818.26941375446</v>
      </c>
      <c r="AE57" s="1021">
        <f>(VLOOKUP(YEAR($A57),'NY East Load Projections'!$A$4:$EO$14,((MONTH($A57)-1)*12)+VLOOKUP(AE$4,$DE$6:$DF$17,2)+1))*(VLOOKUP($A57,CURVES!$D$9:$K$261,8))*(INDEX(DailyScalarsTable,AE$5/100,MONTH($A57)))*$B57</f>
        <v>-39281.606045069057</v>
      </c>
      <c r="AF57" s="1021"/>
      <c r="AG57" s="1021">
        <f>(VLOOKUP(YEAR($A57),'NY East Load Projections'!$A$4:$EO$14,((MONTH($A57)-1)*12)+VLOOKUP(AG$4,$DE$6:$DF$17,2)+1))*(VLOOKUP($A57,CURVES!$D$9:$T$261,8))*(INDEX(DailyScalarsTable,AG$5/100,MONTH($A57)))*$C57</f>
        <v>-8134.2839688201993</v>
      </c>
      <c r="AH57" s="1021">
        <f>(VLOOKUP(YEAR($A57),'NY East Load Projections'!$A$4:$EO$14,((MONTH($A57)-1)*12)+VLOOKUP(AH$4,$DE$6:$DF$17,2)+1))*(VLOOKUP($A57,CURVES!$D$9:$T$261,8))*(INDEX(DailyScalarsTable,AH$5/100,MONTH($A57)))*$C57</f>
        <v>-7715.1388870476794</v>
      </c>
      <c r="AI57" s="1021">
        <f>(VLOOKUP(YEAR($A57),'NY East Load Projections'!$A$4:$EO$14,((MONTH($A57)-1)*12)+VLOOKUP(AI$4,$DE$6:$DF$17,2)+1))*(VLOOKUP($A57,CURVES!$D$9:$T$261,8))*(INDEX(DailyScalarsTable,AI$5/100,MONTH($A57)))*$C57</f>
        <v>-7404.96780411077</v>
      </c>
      <c r="AJ57" s="1021">
        <f>(VLOOKUP(YEAR($A57),'NY East Load Projections'!$A$4:$EO$14,((MONTH($A57)-1)*12)+VLOOKUP(AJ$4,$DE$6:$DF$17,2)+1))*(VLOOKUP($A57,CURVES!$D$9:$T$261,8))*(INDEX(DailyScalarsTable,AJ$5/100,MONTH($A57)))*$C57</f>
        <v>-7409.3416537651501</v>
      </c>
      <c r="AK57" s="1021">
        <f>(VLOOKUP(YEAR($A57),'NY East Load Projections'!$A$4:$EO$14,((MONTH($A57)-1)*12)+VLOOKUP(AK$4,$DE$6:$DF$17,2)+1))*(VLOOKUP($A57,CURVES!$D$9:$T$261,8))*(INDEX(DailyScalarsTable,AK$5/100,MONTH($A57)))*$C57</f>
        <v>-8072.8151858388537</v>
      </c>
      <c r="AL57" s="1021">
        <f>(VLOOKUP(YEAR($A57),'NY East Load Projections'!$A$4:$EO$14,((MONTH($A57)-1)*12)+VLOOKUP(AL$4,$DE$6:$DF$17,2)+1))*(VLOOKUP($A57,CURVES!$D$9:$T$261,8))*(INDEX(DailyScalarsTable,AL$5/100,MONTH($A57)))*$C57</f>
        <v>-9299.1983520128415</v>
      </c>
      <c r="AM57" s="1021">
        <f>(VLOOKUP(YEAR($A57),'NY East Load Projections'!$A$4:$EO$14,((MONTH($A57)-1)*12)+VLOOKUP(AM$4,$DE$6:$DF$17,2)+1))*(VLOOKUP($A57,CURVES!$D$9:$T$261,8))*(INDEX(DailyScalarsTable,AM$5/100,MONTH($A57)))*$C57</f>
        <v>-13263.358473921873</v>
      </c>
      <c r="AN57" s="1021">
        <f>(VLOOKUP(YEAR($A57),'NY East Load Projections'!$A$4:$EO$14,((MONTH($A57)-1)*12)+VLOOKUP(AN$4,$DE$6:$DF$17,2)+1))*(VLOOKUP($A57,SatSunCurve,4))*(INDEX(DailyScalarsTable,AN$5/100,MONTH($A57)))*$C57</f>
        <v>-11217.151650918782</v>
      </c>
      <c r="AO57" s="1021">
        <f>(VLOOKUP(YEAR($A57),'NY East Load Projections'!$A$4:$EO$14,((MONTH($A57)-1)*12)+VLOOKUP(AO$4,$DE$6:$DF$17,2)+1))*(VLOOKUP($A57,SatSunCurve,4))*(INDEX(DailyScalarsTable,AO$5/100,MONTH($A57)))*$C57</f>
        <v>-12223.33515795048</v>
      </c>
      <c r="AP57" s="1021">
        <f>(VLOOKUP(YEAR($A57),'NY East Load Projections'!$A$4:$EO$14,((MONTH($A57)-1)*12)+VLOOKUP(AP$4,$DE$6:$DF$17,2)+1))*(VLOOKUP($A57,SatSunCurve,4))*(INDEX(DailyScalarsTable,AP$5/100,MONTH($A57)))*$C57</f>
        <v>-11714.302458452134</v>
      </c>
      <c r="AQ57" s="1021">
        <f>(VLOOKUP(YEAR($A57),'NY East Load Projections'!$A$4:$EO$14,((MONTH($A57)-1)*12)+VLOOKUP(AQ$4,$DE$6:$DF$17,2)+1))*(VLOOKUP($A57,SatSunCurve,4))*(INDEX(DailyScalarsTable,AQ$5/100,MONTH($A57)))*$C57</f>
        <v>-11955.804257299807</v>
      </c>
      <c r="AR57" s="1021">
        <f>(VLOOKUP(YEAR($A57),'NY East Load Projections'!$A$4:$EO$14,((MONTH($A57)-1)*12)+VLOOKUP(AR$4,$DE$6:$DF$17,2)+1))*(VLOOKUP($A57,SatSunCurve,4))*(INDEX(DailyScalarsTable,AR$5/100,MONTH($A57)))*$C57</f>
        <v>-11979.247686738272</v>
      </c>
      <c r="AS57" s="1021">
        <f>(VLOOKUP(YEAR($A57),'NY East Load Projections'!$A$4:$EO$14,((MONTH($A57)-1)*12)+VLOOKUP(AS$4,$DE$6:$DF$17,2)+1))*(VLOOKUP($A57,SatSunCurve,4))*(INDEX(DailyScalarsTable,AS$5/100,MONTH($A57)))*$C57</f>
        <v>-11033.32720144819</v>
      </c>
      <c r="AT57" s="1021">
        <f>(VLOOKUP(YEAR($A57),'NY East Load Projections'!$A$4:$EO$14,((MONTH($A57)-1)*12)+VLOOKUP(AT$4,$DE$6:$DF$17,2)+1))*(VLOOKUP($A57,SatSunCurve,4))*(INDEX(DailyScalarsTable,AT$5/100,MONTH($A57)))*$C57</f>
        <v>-11045.207714024367</v>
      </c>
      <c r="AU57" s="1021">
        <f>(VLOOKUP(YEAR($A57),'NY East Load Projections'!$A$4:$EO$14,((MONTH($A57)-1)*12)+VLOOKUP(AU$4,$DE$6:$DF$17,2)+1))*(VLOOKUP($A57,SatSunCurve,4))*(INDEX(DailyScalarsTable,AU$5/100,MONTH($A57)))*$C57</f>
        <v>-10359.632253010564</v>
      </c>
      <c r="AV57" s="1021">
        <f>(VLOOKUP(YEAR($A57),'NY East Load Projections'!$A$4:$EO$14,((MONTH($A57)-1)*12)+VLOOKUP(AV$4,$DE$6:$DF$17,2)+1))*(VLOOKUP($A57,SatSunCurve,4))*(INDEX(DailyScalarsTable,AV$5/100,MONTH($A57)))*$C57</f>
        <v>-9682.2683227479483</v>
      </c>
      <c r="AW57" s="1021">
        <f>(VLOOKUP(YEAR($A57),'NY East Load Projections'!$A$4:$EO$14,((MONTH($A57)-1)*12)+VLOOKUP(AW$4,$DE$6:$DF$17,2)+1))*(VLOOKUP($A57,SatSunCurve,4))*(INDEX(DailyScalarsTable,AW$5/100,MONTH($A57)))*$C57</f>
        <v>-8959.6469892523492</v>
      </c>
      <c r="AX57" s="1021">
        <f>(VLOOKUP(YEAR($A57),'NY East Load Projections'!$A$4:$EO$14,((MONTH($A57)-1)*12)+VLOOKUP(AX$4,$DE$6:$DF$17,2)+1))*(VLOOKUP($A57,SatSunCurve,4))*(INDEX(DailyScalarsTable,AX$5/100,MONTH($A57)))*$C57</f>
        <v>-8843.122183808824</v>
      </c>
      <c r="AY57" s="1021">
        <f>(VLOOKUP(YEAR($A57),'NY East Load Projections'!$A$4:$EO$14,((MONTH($A57)-1)*12)+VLOOKUP(AY$4,$DE$6:$DF$17,2)+1))*(VLOOKUP($A57,SatSunCurve,4))*(INDEX(DailyScalarsTable,AY$5/100,MONTH($A57)))*$C57</f>
        <v>-8795.7166441831505</v>
      </c>
      <c r="AZ57" s="1021">
        <f>(VLOOKUP(YEAR($A57),'NY East Load Projections'!$A$4:$EO$14,((MONTH($A57)-1)*12)+VLOOKUP(AZ$4,$DE$6:$DF$17,2)+1))*(VLOOKUP($A57,SatSunCurve,4))*(INDEX(DailyScalarsTable,AZ$5/100,MONTH($A57)))*$C57</f>
        <v>-9647.5245747297849</v>
      </c>
      <c r="BA57" s="1021">
        <f>(VLOOKUP(YEAR($A57),'NY East Load Projections'!$A$4:$EO$14,((MONTH($A57)-1)*12)+VLOOKUP(BA$4,$DE$6:$DF$17,2)+1))*(VLOOKUP($A57,SatSunCurve,4))*(INDEX(DailyScalarsTable,BA$5/100,MONTH($A57)))*$C57</f>
        <v>-11426.356062721527</v>
      </c>
      <c r="BB57" s="1021">
        <f>(VLOOKUP(YEAR($A57),'NY East Load Projections'!$A$4:$EO$14,((MONTH($A57)-1)*12)+VLOOKUP(BB$4,$DE$6:$DF$17,2)+1))*(VLOOKUP($A57,SatSunCurve,4))*(INDEX(DailyScalarsTable,BB$5/100,MONTH($A57)))*$C57</f>
        <v>-9736.1176116916322</v>
      </c>
      <c r="BC57" s="1021">
        <f>(VLOOKUP(YEAR($A57),'NY East Load Projections'!$A$4:$EO$14,((MONTH($A57)-1)*12)+VLOOKUP(BC$4,$DE$6:$DF$17,2)+1))*(VLOOKUP($A57,SatSunCurve,4))*(INDEX(DailyScalarsTable,BC$5/100,MONTH($A57)))*$C57</f>
        <v>-8601.2728113630565</v>
      </c>
      <c r="BD57" s="1021">
        <f>(VLOOKUP(YEAR($A57),'NY East Load Projections'!$A$4:$EO$14,((MONTH($A57)-1)*12)+VLOOKUP(BD$4,$DE$6:$DF$17,2)+1))*(VLOOKUP($A57,CURVES!$D$9:$T$261,8))*(INDEX(DailyScalarsTable,BD$5/100,MONTH($A57)))*$C57</f>
        <v>-9255.4184393994492</v>
      </c>
      <c r="BE57" s="1021"/>
      <c r="BF57" s="1021">
        <f>(VLOOKUP(YEAR($A57),'NY East Load Projections'!$A$4:$EO$14,((MONTH($A57)-1)*12)+VLOOKUP(BF$4,$DE$6:$DF$17,2)+1))*(VLOOKUP($A57,CURVES!$D$9:$T$261,8))*(INDEX(DailyScalarsTable,BF$5/100,MONTH($A57)))*$D57</f>
        <v>-6507.4271750561593</v>
      </c>
      <c r="BG57" s="1021">
        <f>(VLOOKUP(YEAR($A57),'NY East Load Projections'!$A$4:$EO$14,((MONTH($A57)-1)*12)+VLOOKUP(BG$4,$DE$6:$DF$17,2)+1))*(VLOOKUP($A57,CURVES!$D$9:$T$261,8))*(INDEX(DailyScalarsTable,BG$5/100,MONTH($A57)))*$D57</f>
        <v>-6172.1111096381437</v>
      </c>
      <c r="BH57" s="1021">
        <f>(VLOOKUP(YEAR($A57),'NY East Load Projections'!$A$4:$EO$14,((MONTH($A57)-1)*12)+VLOOKUP(BH$4,$DE$6:$DF$17,2)+1))*(VLOOKUP($A57,CURVES!$D$9:$T$261,8))*(INDEX(DailyScalarsTable,BH$5/100,MONTH($A57)))*$D57</f>
        <v>-5923.974243288616</v>
      </c>
      <c r="BI57" s="1021">
        <f>(VLOOKUP(YEAR($A57),'NY East Load Projections'!$A$4:$EO$14,((MONTH($A57)-1)*12)+VLOOKUP(BI$4,$DE$6:$DF$17,2)+1))*(VLOOKUP($A57,CURVES!$D$9:$T$261,8))*(INDEX(DailyScalarsTable,BI$5/100,MONTH($A57)))*$D57</f>
        <v>-5927.4733230121201</v>
      </c>
      <c r="BJ57" s="1021">
        <f>(VLOOKUP(YEAR($A57),'NY East Load Projections'!$A$4:$EO$14,((MONTH($A57)-1)*12)+VLOOKUP(BJ$4,$DE$6:$DF$17,2)+1))*(VLOOKUP($A57,CURVES!$D$9:$T$261,8))*(INDEX(DailyScalarsTable,BJ$5/100,MONTH($A57)))*$D57</f>
        <v>-6458.252148671083</v>
      </c>
      <c r="BK57" s="1021">
        <f>(VLOOKUP(YEAR($A57),'NY East Load Projections'!$A$4:$EO$14,((MONTH($A57)-1)*12)+VLOOKUP(BK$4,$DE$6:$DF$17,2)+1))*(VLOOKUP($A57,CURVES!$D$9:$T$261,8))*(INDEX(DailyScalarsTable,BK$5/100,MONTH($A57)))*$D57</f>
        <v>-7439.3586816102725</v>
      </c>
      <c r="BL57" s="1021">
        <f>(VLOOKUP(YEAR($A57),'NY East Load Projections'!$A$4:$EO$14,((MONTH($A57)-1)*12)+VLOOKUP(BL$4,$DE$6:$DF$17,2)+1))*(VLOOKUP($A57,CURVES!$D$9:$T$261,8))*(INDEX(DailyScalarsTable,BL$5/100,MONTH($A57)))*$D57</f>
        <v>-10610.686779137499</v>
      </c>
      <c r="BM57" s="1021">
        <f>(VLOOKUP(YEAR($A57),'NY East Load Projections'!$A$4:$EO$14,((MONTH($A57)-1)*12)+VLOOKUP(BM$4,$DE$6:$DF$17,2)+1))*(VLOOKUP($A57,SatSunCurve,8))*(INDEX(DailyScalarsTable,BM$5/100,MONTH($A57)))*$D57</f>
        <v>-9651.1349652128938</v>
      </c>
      <c r="BN57" s="1021">
        <f>(VLOOKUP(YEAR($A57),'NY East Load Projections'!$A$4:$EO$14,((MONTH($A57)-1)*12)+VLOOKUP(BN$4,$DE$6:$DF$17,2)+1))*(VLOOKUP($A57,SatSunCurve,8))*(INDEX(DailyScalarsTable,BN$5/100,MONTH($A57)))*$D57</f>
        <v>-10516.84607694051</v>
      </c>
      <c r="BO57" s="1021">
        <f>(VLOOKUP(YEAR($A57),'NY East Load Projections'!$A$4:$EO$14,((MONTH($A57)-1)*12)+VLOOKUP(BO$4,$DE$6:$DF$17,2)+1))*(VLOOKUP($A57,SatSunCurve,8))*(INDEX(DailyScalarsTable,BO$5/100,MONTH($A57)))*$D57</f>
        <v>-10078.878985342635</v>
      </c>
      <c r="BP57" s="1021">
        <f>(VLOOKUP(YEAR($A57),'NY East Load Projections'!$A$4:$EO$14,((MONTH($A57)-1)*12)+VLOOKUP(BP$4,$DE$6:$DF$17,2)+1))*(VLOOKUP($A57,SatSunCurve,8))*(INDEX(DailyScalarsTable,BP$5/100,MONTH($A57)))*$D57</f>
        <v>-10286.664930255813</v>
      </c>
      <c r="BQ57" s="1021">
        <f>(VLOOKUP(YEAR($A57),'NY East Load Projections'!$A$4:$EO$14,((MONTH($A57)-1)*12)+VLOOKUP(BQ$4,$DE$6:$DF$17,2)+1))*(VLOOKUP($A57,SatSunCurve,8))*(INDEX(DailyScalarsTable,BQ$5/100,MONTH($A57)))*$D57</f>
        <v>-10306.83544310963</v>
      </c>
      <c r="BR57" s="1021">
        <f>(VLOOKUP(YEAR($A57),'NY East Load Projections'!$A$4:$EO$14,((MONTH($A57)-1)*12)+VLOOKUP(BR$4,$DE$6:$DF$17,2)+1))*(VLOOKUP($A57,SatSunCurve,8))*(INDEX(DailyScalarsTable,BR$5/100,MONTH($A57)))*$D57</f>
        <v>-9492.9740856101544</v>
      </c>
      <c r="BS57" s="1021">
        <f>(VLOOKUP(YEAR($A57),'NY East Load Projections'!$A$4:$EO$14,((MONTH($A57)-1)*12)+VLOOKUP(BS$4,$DE$6:$DF$17,2)+1))*(VLOOKUP($A57,SatSunCurve,8))*(INDEX(DailyScalarsTable,BS$5/100,MONTH($A57)))*$D57</f>
        <v>-9503.1959702647346</v>
      </c>
      <c r="BT57" s="1021">
        <f>(VLOOKUP(YEAR($A57),'NY East Load Projections'!$A$4:$EO$14,((MONTH($A57)-1)*12)+VLOOKUP(BT$4,$DE$6:$DF$17,2)+1))*(VLOOKUP($A57,SatSunCurve,8))*(INDEX(DailyScalarsTable,BT$5/100,MONTH($A57)))*$D57</f>
        <v>-8913.3330969621056</v>
      </c>
      <c r="BU57" s="1021">
        <f>(VLOOKUP(YEAR($A57),'NY East Load Projections'!$A$4:$EO$14,((MONTH($A57)-1)*12)+VLOOKUP(BU$4,$DE$6:$DF$17,2)+1))*(VLOOKUP($A57,SatSunCurve,8))*(INDEX(DailyScalarsTable,BU$5/100,MONTH($A57)))*$D57</f>
        <v>-8330.5353498177938</v>
      </c>
      <c r="BV57" s="1021">
        <f>(VLOOKUP(YEAR($A57),'NY East Load Projections'!$A$4:$EO$14,((MONTH($A57)-1)*12)+VLOOKUP(BV$4,$DE$6:$DF$17,2)+1))*(VLOOKUP($A57,SatSunCurve,8))*(INDEX(DailyScalarsTable,BV$5/100,MONTH($A57)))*$D57</f>
        <v>-7708.7985457391105</v>
      </c>
      <c r="BW57" s="1021">
        <f>(VLOOKUP(YEAR($A57),'NY East Load Projections'!$A$4:$EO$14,((MONTH($A57)-1)*12)+VLOOKUP(BW$4,$DE$6:$DF$17,2)+1))*(VLOOKUP($A57,SatSunCurve,8))*(INDEX(DailyScalarsTable,BW$5/100,MONTH($A57)))*$D57</f>
        <v>-7608.5416659956218</v>
      </c>
      <c r="BX57" s="1021">
        <f>(VLOOKUP(YEAR($A57),'NY East Load Projections'!$A$4:$EO$14,((MONTH($A57)-1)*12)+VLOOKUP(BX$4,$DE$6:$DF$17,2)+1))*(VLOOKUP($A57,SatSunCurve,8))*(INDEX(DailyScalarsTable,BX$5/100,MONTH($A57)))*$D57</f>
        <v>-7567.7543721028233</v>
      </c>
      <c r="BY57" s="1021">
        <f>(VLOOKUP(YEAR($A57),'NY East Load Projections'!$A$4:$EO$14,((MONTH($A57)-1)*12)+VLOOKUP(BY$4,$DE$6:$DF$17,2)+1))*(VLOOKUP($A57,SatSunCurve,8))*(INDEX(DailyScalarsTable,BY$5/100,MONTH($A57)))*$D57</f>
        <v>-8300.6421459318335</v>
      </c>
      <c r="BZ57" s="1021">
        <f>(VLOOKUP(YEAR($A57),'NY East Load Projections'!$A$4:$EO$14,((MONTH($A57)-1)*12)+VLOOKUP(BZ$4,$DE$6:$DF$17,2)+1))*(VLOOKUP($A57,SatSunCurve,8))*(INDEX(DailyScalarsTable,BZ$5/100,MONTH($A57)))*$D57</f>
        <v>-9831.1325329074407</v>
      </c>
      <c r="CA57" s="1021">
        <f>(VLOOKUP(YEAR($A57),'NY East Load Projections'!$A$4:$EO$14,((MONTH($A57)-1)*12)+VLOOKUP(CA$4,$DE$6:$DF$17,2)+1))*(VLOOKUP($A57,SatSunCurve,8))*(INDEX(DailyScalarsTable,CA$5/100,MONTH($A57)))*$D57</f>
        <v>-8376.8667868483044</v>
      </c>
      <c r="CB57" s="1021">
        <f>(VLOOKUP(YEAR($A57),'NY East Load Projections'!$A$4:$EO$14,((MONTH($A57)-1)*12)+VLOOKUP(CB$4,$DE$6:$DF$17,2)+1))*(VLOOKUP($A57,SatSunCurve,8))*(INDEX(DailyScalarsTable,CB$5/100,MONTH($A57)))*$D57</f>
        <v>-7400.4566719289733</v>
      </c>
      <c r="CC57" s="1021">
        <f>(VLOOKUP(YEAR($A57),'NY East Load Projections'!$A$4:$EO$14,((MONTH($A57)-1)*12)+VLOOKUP(CC$4,$DE$6:$DF$17,2)+1))*(VLOOKUP($A57,CURVES!$D$9:$T$261,8))*(INDEX(DailyScalarsTable,CC$5/100,MONTH($A57)))*$D57</f>
        <v>-7404.3347515195592</v>
      </c>
      <c r="CE57" s="1021">
        <f>(VLOOKUP(YEAR($A57),'NY East Load Projections'!$A$4:$EO$14,((MONTH($A57)-1)*12)+VLOOKUP(CE$4,$DE$6:$DF$17,2)+1))*(VLOOKUP($A57,CURVES!$D$9:$T$261,8))*(INDEX(DailyScalarsTable,CE$5/100,MONTH($A57)))*$E57</f>
        <v>0</v>
      </c>
      <c r="CF57" s="1021">
        <f>(VLOOKUP(YEAR($A57),'NY East Load Projections'!$A$4:$EO$14,((MONTH($A57)-1)*12)+VLOOKUP(CF$4,$DE$6:$DF$17,2)+1))*(VLOOKUP($A57,CURVES!$D$9:$T$261,8))*(INDEX(DailyScalarsTable,CF$5/100,MONTH($A57)))*$E57</f>
        <v>0</v>
      </c>
      <c r="CG57" s="1021">
        <f>(VLOOKUP(YEAR($A57),'NY East Load Projections'!$A$4:$EO$14,((MONTH($A57)-1)*12)+VLOOKUP(CG$4,$DE$6:$DF$17,2)+1))*(VLOOKUP($A57,CURVES!$D$9:$T$261,8))*(INDEX(DailyScalarsTable,CG$5/100,MONTH($A57)))*$E57</f>
        <v>0</v>
      </c>
      <c r="CH57" s="1021">
        <f>(VLOOKUP(YEAR($A57),'NY East Load Projections'!$A$4:$EO$14,((MONTH($A57)-1)*12)+VLOOKUP(CH$4,$DE$6:$DF$17,2)+1))*(VLOOKUP($A57,CURVES!$D$9:$T$261,8))*(INDEX(DailyScalarsTable,CH$5/100,MONTH($A57)))*$E57</f>
        <v>0</v>
      </c>
      <c r="CI57" s="1021">
        <f>(VLOOKUP(YEAR($A57),'NY East Load Projections'!$A$4:$EO$14,((MONTH($A57)-1)*12)+VLOOKUP(CI$4,$DE$6:$DF$17,2)+1))*(VLOOKUP($A57,CURVES!$D$9:$T$261,8))*(INDEX(DailyScalarsTable,CI$5/100,MONTH($A57)))*$E57</f>
        <v>0</v>
      </c>
      <c r="CJ57" s="1021">
        <f>(VLOOKUP(YEAR($A57),'NY East Load Projections'!$A$4:$EO$14,((MONTH($A57)-1)*12)+VLOOKUP(CJ$4,$DE$6:$DF$17,2)+1))*(VLOOKUP($A57,CURVES!$D$9:$T$261,8))*(INDEX(DailyScalarsTable,CJ$5/100,MONTH($A57)))*$E57</f>
        <v>0</v>
      </c>
      <c r="CK57" s="1021">
        <f>(VLOOKUP(YEAR($A57),'NY East Load Projections'!$A$4:$EO$14,((MONTH($A57)-1)*12)+VLOOKUP(CK$4,$DE$6:$DF$17,2)+1))*(VLOOKUP($A57,CURVES!$D$9:$T$261,8))*(INDEX(DailyScalarsTable,CK$5/100,MONTH($A57)))*$E57</f>
        <v>0</v>
      </c>
      <c r="CL57" s="1021">
        <f>(VLOOKUP(YEAR($A57),'NY East Load Projections'!$A$4:$EO$14,((MONTH($A57)-1)*12)+VLOOKUP(CL$4,$DE$6:$DF$17,2)+1))*(VLOOKUP($A57,SatSunCurve,8))*(INDEX(DailyScalarsTable,CL$5/100,MONTH($A57)))*$E57</f>
        <v>0</v>
      </c>
      <c r="CM57" s="1021">
        <f>(VLOOKUP(YEAR($A57),'NY East Load Projections'!$A$4:$EO$14,((MONTH($A57)-1)*12)+VLOOKUP(CM$4,$DE$6:$DF$17,2)+1))*(VLOOKUP($A57,SatSunCurve,8))*(INDEX(DailyScalarsTable,CM$5/100,MONTH($A57)))*$E57</f>
        <v>0</v>
      </c>
      <c r="CN57" s="1021">
        <f>(VLOOKUP(YEAR($A57),'NY East Load Projections'!$A$4:$EO$14,((MONTH($A57)-1)*12)+VLOOKUP(CN$4,$DE$6:$DF$17,2)+1))*(VLOOKUP($A57,SatSunCurve,8))*(INDEX(DailyScalarsTable,CN$5/100,MONTH($A57)))*$E57</f>
        <v>0</v>
      </c>
      <c r="CO57" s="1021">
        <f>(VLOOKUP(YEAR($A57),'NY East Load Projections'!$A$4:$EO$14,((MONTH($A57)-1)*12)+VLOOKUP(CO$4,$DE$6:$DF$17,2)+1))*(VLOOKUP($A57,SatSunCurve,8))*(INDEX(DailyScalarsTable,CO$5/100,MONTH($A57)))*$E57</f>
        <v>0</v>
      </c>
      <c r="CP57" s="1021">
        <f>(VLOOKUP(YEAR($A57),'NY East Load Projections'!$A$4:$EO$14,((MONTH($A57)-1)*12)+VLOOKUP(CP$4,$DE$6:$DF$17,2)+1))*(VLOOKUP($A57,SatSunCurve,8))*(INDEX(DailyScalarsTable,CP$5/100,MONTH($A57)))*$E57</f>
        <v>0</v>
      </c>
      <c r="CQ57" s="1021">
        <f>(VLOOKUP(YEAR($A57),'NY East Load Projections'!$A$4:$EO$14,((MONTH($A57)-1)*12)+VLOOKUP(CQ$4,$DE$6:$DF$17,2)+1))*(VLOOKUP($A57,SatSunCurve,8))*(INDEX(DailyScalarsTable,CQ$5/100,MONTH($A57)))*$E57</f>
        <v>0</v>
      </c>
      <c r="CR57" s="1021">
        <f>(VLOOKUP(YEAR($A57),'NY East Load Projections'!$A$4:$EO$14,((MONTH($A57)-1)*12)+VLOOKUP(CR$4,$DE$6:$DF$17,2)+1))*(VLOOKUP($A57,SatSunCurve,8))*(INDEX(DailyScalarsTable,CR$5/100,MONTH($A57)))*$E57</f>
        <v>0</v>
      </c>
      <c r="CS57" s="1021">
        <f>(VLOOKUP(YEAR($A57),'NY East Load Projections'!$A$4:$EO$14,((MONTH($A57)-1)*12)+VLOOKUP(CS$4,$DE$6:$DF$17,2)+1))*(VLOOKUP($A57,SatSunCurve,8))*(INDEX(DailyScalarsTable,CS$5/100,MONTH($A57)))*$E57</f>
        <v>0</v>
      </c>
      <c r="CT57" s="1021">
        <f>(VLOOKUP(YEAR($A57),'NY East Load Projections'!$A$4:$EO$14,((MONTH($A57)-1)*12)+VLOOKUP(CT$4,$DE$6:$DF$17,2)+1))*(VLOOKUP($A57,SatSunCurve,8))*(INDEX(DailyScalarsTable,CT$5/100,MONTH($A57)))*$E57</f>
        <v>0</v>
      </c>
      <c r="CU57" s="1021">
        <f>(VLOOKUP(YEAR($A57),'NY East Load Projections'!$A$4:$EO$14,((MONTH($A57)-1)*12)+VLOOKUP(CU$4,$DE$6:$DF$17,2)+1))*(VLOOKUP($A57,SatSunCurve,8))*(INDEX(DailyScalarsTable,CU$5/100,MONTH($A57)))*$E57</f>
        <v>0</v>
      </c>
      <c r="CV57" s="1021">
        <f>(VLOOKUP(YEAR($A57),'NY East Load Projections'!$A$4:$EO$14,((MONTH($A57)-1)*12)+VLOOKUP(CV$4,$DE$6:$DF$17,2)+1))*(VLOOKUP($A57,SatSunCurve,8))*(INDEX(DailyScalarsTable,CV$5/100,MONTH($A57)))*$E57</f>
        <v>0</v>
      </c>
      <c r="CW57" s="1021">
        <f>(VLOOKUP(YEAR($A57),'NY East Load Projections'!$A$4:$EO$14,((MONTH($A57)-1)*12)+VLOOKUP(CW$4,$DE$6:$DF$17,2)+1))*(VLOOKUP($A57,SatSunCurve,8))*(INDEX(DailyScalarsTable,CW$5/100,MONTH($A57)))*$E57</f>
        <v>0</v>
      </c>
      <c r="CX57" s="1021">
        <f>(VLOOKUP(YEAR($A57),'NY East Load Projections'!$A$4:$EO$14,((MONTH($A57)-1)*12)+VLOOKUP(CX$4,$DE$6:$DF$17,2)+1))*(VLOOKUP($A57,SatSunCurve,8))*(INDEX(DailyScalarsTable,CX$5/100,MONTH($A57)))*$E57</f>
        <v>0</v>
      </c>
      <c r="CY57" s="1021">
        <f>(VLOOKUP(YEAR($A57),'NY East Load Projections'!$A$4:$EO$14,((MONTH($A57)-1)*12)+VLOOKUP(CY$4,$DE$6:$DF$17,2)+1))*(VLOOKUP($A57,SatSunCurve,8))*(INDEX(DailyScalarsTable,CY$5/100,MONTH($A57)))*$E57</f>
        <v>0</v>
      </c>
      <c r="CZ57" s="1021">
        <f>(VLOOKUP(YEAR($A57),'NY East Load Projections'!$A$4:$EO$14,((MONTH($A57)-1)*12)+VLOOKUP(CZ$4,$DE$6:$DF$17,2)+1))*(VLOOKUP($A57,SatSunCurve,8))*(INDEX(DailyScalarsTable,CZ$5/100,MONTH($A57)))*$E57</f>
        <v>0</v>
      </c>
      <c r="DA57" s="1021">
        <f>(VLOOKUP(YEAR($A57),'NY East Load Projections'!$A$4:$EO$14,((MONTH($A57)-1)*12)+VLOOKUP(DA$4,$DE$6:$DF$17,2)+1))*(VLOOKUP($A57,SatSunCurve,8))*(INDEX(DailyScalarsTable,DA$5/100,MONTH($A57)))*$E57</f>
        <v>0</v>
      </c>
      <c r="DB57" s="1021">
        <f>(VLOOKUP(YEAR($A57),'NY East Load Projections'!$A$4:$EO$14,((MONTH($A57)-1)*12)+VLOOKUP(DB$4,$DE$6:$DF$17,2)+1))*(VLOOKUP($A57,CURVES!$D$9:$T$261,8))*(INDEX(DailyScalarsTable,DB$5/100,MONTH($A57)))*$E57</f>
        <v>0</v>
      </c>
      <c r="DH57" s="1021">
        <f t="shared" si="0"/>
        <v>-1825865.8191161065</v>
      </c>
      <c r="DI57">
        <f ca="1">CALC!J77</f>
        <v>0.68765592276002041</v>
      </c>
      <c r="DJ57" s="1029">
        <f t="shared" ca="1" si="1"/>
        <v>-1255567.4446802668</v>
      </c>
    </row>
    <row r="58" spans="1:114" x14ac:dyDescent="0.25">
      <c r="A58" s="244">
        <v>38473</v>
      </c>
      <c r="B58" s="13">
        <v>21</v>
      </c>
      <c r="C58" s="210">
        <v>4</v>
      </c>
      <c r="D58" s="210">
        <v>5</v>
      </c>
      <c r="E58" s="210">
        <v>1</v>
      </c>
      <c r="F58" s="13">
        <v>31</v>
      </c>
      <c r="H58" s="1021">
        <f>(VLOOKUP(YEAR($A58),'NY East Load Projections'!$A$4:$EO$14,((MONTH($A58)-1)*12)+VLOOKUP(H$4,$DE$6:$DF$17,2)+1))*(VLOOKUP($A58,CURVES!$D$9:$K$261,8))*(INDEX(DailyScalarsTable,H$5/100,MONTH($A58)))*$B58</f>
        <v>-38698.046024796829</v>
      </c>
      <c r="I58" s="1021">
        <f>(VLOOKUP(YEAR($A58),'NY East Load Projections'!$A$4:$EO$14,((MONTH($A58)-1)*12)+VLOOKUP(I$4,$DE$6:$DF$17,2)+1))*(VLOOKUP($A58,CURVES!$D$9:$K$261,8))*(INDEX(DailyScalarsTable,I$5/100,MONTH($A58)))*$B58</f>
        <v>-34857.704361007585</v>
      </c>
      <c r="J58" s="1021">
        <f>(VLOOKUP(YEAR($A58),'NY East Load Projections'!$A$4:$EO$14,((MONTH($A58)-1)*12)+VLOOKUP(J$4,$DE$6:$DF$17,2)+1))*(VLOOKUP($A58,CURVES!$D$9:$K$261,8))*(INDEX(DailyScalarsTable,J$5/100,MONTH($A58)))*$B58</f>
        <v>-32988.331699268922</v>
      </c>
      <c r="K58" s="1021">
        <f>(VLOOKUP(YEAR($A58),'NY East Load Projections'!$A$4:$EO$14,((MONTH($A58)-1)*12)+VLOOKUP(K$4,$DE$6:$DF$17,2)+1))*(VLOOKUP($A58,CURVES!$D$9:$K$261,8))*(INDEX(DailyScalarsTable,K$5/100,MONTH($A58)))*$B58</f>
        <v>-31982.527930181252</v>
      </c>
      <c r="L58" s="1021">
        <f>(VLOOKUP(YEAR($A58),'NY East Load Projections'!$A$4:$EO$14,((MONTH($A58)-1)*12)+VLOOKUP(L$4,$DE$6:$DF$17,2)+1))*(VLOOKUP($A58,CURVES!$D$9:$K$261,8))*(INDEX(DailyScalarsTable,L$5/100,MONTH($A58)))*$B58</f>
        <v>-38077.752211486237</v>
      </c>
      <c r="M58" s="1021">
        <f>(VLOOKUP(YEAR($A58),'NY East Load Projections'!$A$4:$EO$14,((MONTH($A58)-1)*12)+VLOOKUP(M$4,$DE$6:$DF$17,2)+1))*(VLOOKUP($A58,CURVES!$D$9:$K$261,8))*(INDEX(DailyScalarsTable,M$5/100,MONTH($A58)))*$B58</f>
        <v>-46167.03994655548</v>
      </c>
      <c r="N58" s="1021">
        <f>(VLOOKUP(YEAR($A58),'NY East Load Projections'!$A$4:$EO$14,((MONTH($A58)-1)*12)+VLOOKUP(N$4,$DE$6:$DF$17,2)+1))*(VLOOKUP($A58,CURVES!$D$9:$K$261,8))*(INDEX(DailyScalarsTable,N$5/100,MONTH($A58)))*$B58</f>
        <v>-55239.556025113852</v>
      </c>
      <c r="O58" s="1021">
        <f>(VLOOKUP(YEAR($A58),'NY East Load Projections'!$A$4:$EO$14,((MONTH($A58)-1)*12)+VLOOKUP(O$4,$DE$6:$DF$17,2)+1))*(VLOOKUP($A58,CURVES!$D$9:$K$261,4))*(INDEX(DailyScalarsTable,O$5/100,MONTH($A58)))*$B58</f>
        <v>-70610.99765896445</v>
      </c>
      <c r="P58" s="1021">
        <f>(VLOOKUP(YEAR($A58),'NY East Load Projections'!$A$4:$EO$14,((MONTH($A58)-1)*12)+VLOOKUP(P$4,$DE$6:$DF$17,2)+1))*(VLOOKUP($A58,CURVES!$D$9:$K$261,4))*(INDEX(DailyScalarsTable,P$5/100,MONTH($A58)))*$B58</f>
        <v>-87146.057262737464</v>
      </c>
      <c r="Q58" s="1021">
        <f>(VLOOKUP(YEAR($A58),'NY East Load Projections'!$A$4:$EO$14,((MONTH($A58)-1)*12)+VLOOKUP(Q$4,$DE$6:$DF$17,2)+1))*(VLOOKUP($A58,CURVES!$D$9:$K$261,4))*(INDEX(DailyScalarsTable,Q$5/100,MONTH($A58)))*$B58</f>
        <v>-88691.733682560007</v>
      </c>
      <c r="R58" s="1021">
        <f>(VLOOKUP(YEAR($A58),'NY East Load Projections'!$A$4:$EO$14,((MONTH($A58)-1)*12)+VLOOKUP(R$4,$DE$6:$DF$17,2)+1))*(VLOOKUP($A58,CURVES!$D$9:$K$261,4))*(INDEX(DailyScalarsTable,R$5/100,MONTH($A58)))*$B58</f>
        <v>-94081.083323357147</v>
      </c>
      <c r="S58" s="1021">
        <f>(VLOOKUP(YEAR($A58),'NY East Load Projections'!$A$4:$EO$14,((MONTH($A58)-1)*12)+VLOOKUP(S$4,$DE$6:$DF$17,2)+1))*(VLOOKUP($A58,CURVES!$D$9:$K$261,4))*(INDEX(DailyScalarsTable,S$5/100,MONTH($A58)))*$B58</f>
        <v>-93369.798599190995</v>
      </c>
      <c r="T58" s="1021">
        <f>(VLOOKUP(YEAR($A58),'NY East Load Projections'!$A$4:$EO$14,((MONTH($A58)-1)*12)+VLOOKUP(T$4,$DE$6:$DF$17,2)+1))*(VLOOKUP($A58,CURVES!$D$9:$K$261,4))*(INDEX(DailyScalarsTable,T$5/100,MONTH($A58)))*$B58</f>
        <v>-91147.458583393716</v>
      </c>
      <c r="U58" s="1021">
        <f>(VLOOKUP(YEAR($A58),'NY East Load Projections'!$A$4:$EO$14,((MONTH($A58)-1)*12)+VLOOKUP(U$4,$DE$6:$DF$17,2)+1))*(VLOOKUP($A58,CURVES!$D$9:$K$261,4))*(INDEX(DailyScalarsTable,U$5/100,MONTH($A58)))*$B58</f>
        <v>-91586.75759086966</v>
      </c>
      <c r="V58" s="1021">
        <f>(VLOOKUP(YEAR($A58),'NY East Load Projections'!$A$4:$EO$14,((MONTH($A58)-1)*12)+VLOOKUP(V$4,$DE$6:$DF$17,2)+1))*(VLOOKUP($A58,CURVES!$D$9:$K$261,4))*(INDEX(DailyScalarsTable,V$5/100,MONTH($A58)))*$B58</f>
        <v>-88837.596060213837</v>
      </c>
      <c r="W58" s="1021">
        <f>(VLOOKUP(YEAR($A58),'NY East Load Projections'!$A$4:$EO$14,((MONTH($A58)-1)*12)+VLOOKUP(W$4,$DE$6:$DF$17,2)+1))*(VLOOKUP($A58,CURVES!$D$9:$K$261,4))*(INDEX(DailyScalarsTable,W$5/100,MONTH($A58)))*$B58</f>
        <v>-85379.887743306463</v>
      </c>
      <c r="X58" s="1021">
        <f>(VLOOKUP(YEAR($A58),'NY East Load Projections'!$A$4:$EO$14,((MONTH($A58)-1)*12)+VLOOKUP(X$4,$DE$6:$DF$17,2)+1))*(VLOOKUP($A58,CURVES!$D$9:$K$261,4))*(INDEX(DailyScalarsTable,X$5/100,MONTH($A58)))*$B58</f>
        <v>-81283.185999742273</v>
      </c>
      <c r="Y58" s="1021">
        <f>(VLOOKUP(YEAR($A58),'NY East Load Projections'!$A$4:$EO$14,((MONTH($A58)-1)*12)+VLOOKUP(Y$4,$DE$6:$DF$17,2)+1))*(VLOOKUP($A58,CURVES!$D$9:$K$261,4))*(INDEX(DailyScalarsTable,Y$5/100,MONTH($A58)))*$B58</f>
        <v>-78115.444347877405</v>
      </c>
      <c r="Z58" s="1021">
        <f>(VLOOKUP(YEAR($A58),'NY East Load Projections'!$A$4:$EO$14,((MONTH($A58)-1)*12)+VLOOKUP(Z$4,$DE$6:$DF$17,2)+1))*(VLOOKUP($A58,CURVES!$D$9:$K$261,4))*(INDEX(DailyScalarsTable,Z$5/100,MONTH($A58)))*$B58</f>
        <v>-67680.530671146116</v>
      </c>
      <c r="AA58" s="1021">
        <f>(VLOOKUP(YEAR($A58),'NY East Load Projections'!$A$4:$EO$14,((MONTH($A58)-1)*12)+VLOOKUP(AA$4,$DE$6:$DF$17,2)+1))*(VLOOKUP($A58,CURVES!$D$9:$K$261,4))*(INDEX(DailyScalarsTable,AA$5/100,MONTH($A58)))*$B58</f>
        <v>-67507.502765792189</v>
      </c>
      <c r="AB58" s="1021">
        <f>(VLOOKUP(YEAR($A58),'NY East Load Projections'!$A$4:$EO$14,((MONTH($A58)-1)*12)+VLOOKUP(AB$4,$DE$6:$DF$17,2)+1))*(VLOOKUP($A58,CURVES!$D$9:$K$261,4))*(INDEX(DailyScalarsTable,AB$5/100,MONTH($A58)))*$B58</f>
        <v>-77690.546271068553</v>
      </c>
      <c r="AC58" s="1021">
        <f>(VLOOKUP(YEAR($A58),'NY East Load Projections'!$A$4:$EO$14,((MONTH($A58)-1)*12)+VLOOKUP(AC$4,$DE$6:$DF$17,2)+1))*(VLOOKUP($A58,CURVES!$D$9:$K$261,4))*(INDEX(DailyScalarsTable,AC$5/100,MONTH($A58)))*$B58</f>
        <v>-74102.311322186637</v>
      </c>
      <c r="AD58" s="1021">
        <f>(VLOOKUP(YEAR($A58),'NY East Load Projections'!$A$4:$EO$14,((MONTH($A58)-1)*12)+VLOOKUP(AD$4,$DE$6:$DF$17,2)+1))*(VLOOKUP($A58,CURVES!$D$9:$K$261,4))*(INDEX(DailyScalarsTable,AD$5/100,MONTH($A58)))*$B58</f>
        <v>-59445.4819218677</v>
      </c>
      <c r="AE58" s="1021">
        <f>(VLOOKUP(YEAR($A58),'NY East Load Projections'!$A$4:$EO$14,((MONTH($A58)-1)*12)+VLOOKUP(AE$4,$DE$6:$DF$17,2)+1))*(VLOOKUP($A58,CURVES!$D$9:$K$261,8))*(INDEX(DailyScalarsTable,AE$5/100,MONTH($A58)))*$B58</f>
        <v>-48569.675062488852</v>
      </c>
      <c r="AF58" s="1021"/>
      <c r="AG58" s="1021">
        <f>(VLOOKUP(YEAR($A58),'NY East Load Projections'!$A$4:$EO$14,((MONTH($A58)-1)*12)+VLOOKUP(AG$4,$DE$6:$DF$17,2)+1))*(VLOOKUP($A58,CURVES!$D$9:$T$261,8))*(INDEX(DailyScalarsTable,AG$5/100,MONTH($A58)))*$C58</f>
        <v>-7749.6926381247913</v>
      </c>
      <c r="AH58" s="1021">
        <f>(VLOOKUP(YEAR($A58),'NY East Load Projections'!$A$4:$EO$14,((MONTH($A58)-1)*12)+VLOOKUP(AH$4,$DE$6:$DF$17,2)+1))*(VLOOKUP($A58,CURVES!$D$9:$T$261,8))*(INDEX(DailyScalarsTable,AH$5/100,MONTH($A58)))*$C58</f>
        <v>-6980.6236391194943</v>
      </c>
      <c r="AI58" s="1021">
        <f>(VLOOKUP(YEAR($A58),'NY East Load Projections'!$A$4:$EO$14,((MONTH($A58)-1)*12)+VLOOKUP(AI$4,$DE$6:$DF$17,2)+1))*(VLOOKUP($A58,CURVES!$D$9:$T$261,8))*(INDEX(DailyScalarsTable,AI$5/100,MONTH($A58)))*$C58</f>
        <v>-6606.2620099740616</v>
      </c>
      <c r="AJ58" s="1021">
        <f>(VLOOKUP(YEAR($A58),'NY East Load Projections'!$A$4:$EO$14,((MONTH($A58)-1)*12)+VLOOKUP(AJ$4,$DE$6:$DF$17,2)+1))*(VLOOKUP($A58,CURVES!$D$9:$T$261,8))*(INDEX(DailyScalarsTable,AJ$5/100,MONTH($A58)))*$C58</f>
        <v>-6404.8391769012433</v>
      </c>
      <c r="AK58" s="1021">
        <f>(VLOOKUP(YEAR($A58),'NY East Load Projections'!$A$4:$EO$14,((MONTH($A58)-1)*12)+VLOOKUP(AK$4,$DE$6:$DF$17,2)+1))*(VLOOKUP($A58,CURVES!$D$9:$T$261,8))*(INDEX(DailyScalarsTable,AK$5/100,MONTH($A58)))*$C58</f>
        <v>-7038.5162528957499</v>
      </c>
      <c r="AL58" s="1021">
        <f>(VLOOKUP(YEAR($A58),'NY East Load Projections'!$A$4:$EO$14,((MONTH($A58)-1)*12)+VLOOKUP(AL$4,$DE$6:$DF$17,2)+1))*(VLOOKUP($A58,CURVES!$D$9:$T$261,8))*(INDEX(DailyScalarsTable,AL$5/100,MONTH($A58)))*$C58</f>
        <v>-8533.7878981705489</v>
      </c>
      <c r="AM58" s="1021">
        <f>(VLOOKUP(YEAR($A58),'NY East Load Projections'!$A$4:$EO$14,((MONTH($A58)-1)*12)+VLOOKUP(AM$4,$DE$6:$DF$17,2)+1))*(VLOOKUP($A58,CURVES!$D$9:$T$261,8))*(INDEX(DailyScalarsTable,AM$5/100,MONTH($A58)))*$C58</f>
        <v>-10210.805268285385</v>
      </c>
      <c r="AN58" s="1021">
        <f>(VLOOKUP(YEAR($A58),'NY East Load Projections'!$A$4:$EO$14,((MONTH($A58)-1)*12)+VLOOKUP(AN$4,$DE$6:$DF$17,2)+1))*(VLOOKUP($A58,SatSunCurve,4))*(INDEX(DailyScalarsTable,AN$5/100,MONTH($A58)))*$C58</f>
        <v>-8575.3053752352225</v>
      </c>
      <c r="AO58" s="1021">
        <f>(VLOOKUP(YEAR($A58),'NY East Load Projections'!$A$4:$EO$14,((MONTH($A58)-1)*12)+VLOOKUP(AO$4,$DE$6:$DF$17,2)+1))*(VLOOKUP($A58,SatSunCurve,4))*(INDEX(DailyScalarsTable,AO$5/100,MONTH($A58)))*$C58</f>
        <v>-10453.89931468963</v>
      </c>
      <c r="AP58" s="1021">
        <f>(VLOOKUP(YEAR($A58),'NY East Load Projections'!$A$4:$EO$14,((MONTH($A58)-1)*12)+VLOOKUP(AP$4,$DE$6:$DF$17,2)+1))*(VLOOKUP($A58,SatSunCurve,4))*(INDEX(DailyScalarsTable,AP$5/100,MONTH($A58)))*$C58</f>
        <v>-10639.316144474586</v>
      </c>
      <c r="AQ58" s="1021">
        <f>(VLOOKUP(YEAR($A58),'NY East Load Projections'!$A$4:$EO$14,((MONTH($A58)-1)*12)+VLOOKUP(AQ$4,$DE$6:$DF$17,2)+1))*(VLOOKUP($A58,SatSunCurve,4))*(INDEX(DailyScalarsTable,AQ$5/100,MONTH($A58)))*$C58</f>
        <v>-11285.81376337079</v>
      </c>
      <c r="AR58" s="1021">
        <f>(VLOOKUP(YEAR($A58),'NY East Load Projections'!$A$4:$EO$14,((MONTH($A58)-1)*12)+VLOOKUP(AR$4,$DE$6:$DF$17,2)+1))*(VLOOKUP($A58,SatSunCurve,4))*(INDEX(DailyScalarsTable,AR$5/100,MONTH($A58)))*$C58</f>
        <v>-11200.489204531694</v>
      </c>
      <c r="AS58" s="1021">
        <f>(VLOOKUP(YEAR($A58),'NY East Load Projections'!$A$4:$EO$14,((MONTH($A58)-1)*12)+VLOOKUP(AS$4,$DE$6:$DF$17,2)+1))*(VLOOKUP($A58,SatSunCurve,4))*(INDEX(DailyScalarsTable,AS$5/100,MONTH($A58)))*$C58</f>
        <v>-10710.036458082293</v>
      </c>
      <c r="AT58" s="1021">
        <f>(VLOOKUP(YEAR($A58),'NY East Load Projections'!$A$4:$EO$14,((MONTH($A58)-1)*12)+VLOOKUP(AT$4,$DE$6:$DF$17,2)+1))*(VLOOKUP($A58,SatSunCurve,4))*(INDEX(DailyScalarsTable,AT$5/100,MONTH($A58)))*$C58</f>
        <v>-10761.655103946809</v>
      </c>
      <c r="AU58" s="1021">
        <f>(VLOOKUP(YEAR($A58),'NY East Load Projections'!$A$4:$EO$14,((MONTH($A58)-1)*12)+VLOOKUP(AU$4,$DE$6:$DF$17,2)+1))*(VLOOKUP($A58,SatSunCurve,4))*(INDEX(DailyScalarsTable,AU$5/100,MONTH($A58)))*$C58</f>
        <v>-10438.622287891465</v>
      </c>
      <c r="AV58" s="1021">
        <f>(VLOOKUP(YEAR($A58),'NY East Load Projections'!$A$4:$EO$14,((MONTH($A58)-1)*12)+VLOOKUP(AV$4,$DE$6:$DF$17,2)+1))*(VLOOKUP($A58,SatSunCurve,4))*(INDEX(DailyScalarsTable,AV$5/100,MONTH($A58)))*$C58</f>
        <v>-10032.333591409486</v>
      </c>
      <c r="AW58" s="1021">
        <f>(VLOOKUP(YEAR($A58),'NY East Load Projections'!$A$4:$EO$14,((MONTH($A58)-1)*12)+VLOOKUP(AW$4,$DE$6:$DF$17,2)+1))*(VLOOKUP($A58,SatSunCurve,4))*(INDEX(DailyScalarsTable,AW$5/100,MONTH($A58)))*$C58</f>
        <v>-9469.550411291104</v>
      </c>
      <c r="AX58" s="1021">
        <f>(VLOOKUP(YEAR($A58),'NY East Load Projections'!$A$4:$EO$14,((MONTH($A58)-1)*12)+VLOOKUP(AX$4,$DE$6:$DF$17,2)+1))*(VLOOKUP($A58,SatSunCurve,4))*(INDEX(DailyScalarsTable,AX$5/100,MONTH($A58)))*$C58</f>
        <v>-9100.5062000765465</v>
      </c>
      <c r="AY58" s="1021">
        <f>(VLOOKUP(YEAR($A58),'NY East Load Projections'!$A$4:$EO$14,((MONTH($A58)-1)*12)+VLOOKUP(AY$4,$DE$6:$DF$17,2)+1))*(VLOOKUP($A58,SatSunCurve,4))*(INDEX(DailyScalarsTable,AY$5/100,MONTH($A58)))*$C58</f>
        <v>-7884.8311513697818</v>
      </c>
      <c r="AZ58" s="1021">
        <f>(VLOOKUP(YEAR($A58),'NY East Load Projections'!$A$4:$EO$14,((MONTH($A58)-1)*12)+VLOOKUP(AZ$4,$DE$6:$DF$17,2)+1))*(VLOOKUP($A58,SatSunCurve,4))*(INDEX(DailyScalarsTable,AZ$5/100,MONTH($A58)))*$C58</f>
        <v>-7864.6732742866361</v>
      </c>
      <c r="BA58" s="1021">
        <f>(VLOOKUP(YEAR($A58),'NY East Load Projections'!$A$4:$EO$14,((MONTH($A58)-1)*12)+VLOOKUP(BA$4,$DE$6:$DF$17,2)+1))*(VLOOKUP($A58,SatSunCurve,4))*(INDEX(DailyScalarsTable,BA$5/100,MONTH($A58)))*$C58</f>
        <v>-9870.0203935909576</v>
      </c>
      <c r="BB58" s="1021">
        <f>(VLOOKUP(YEAR($A58),'NY East Load Projections'!$A$4:$EO$14,((MONTH($A58)-1)*12)+VLOOKUP(BB$4,$DE$6:$DF$17,2)+1))*(VLOOKUP($A58,SatSunCurve,4))*(INDEX(DailyScalarsTable,BB$5/100,MONTH($A58)))*$C58</f>
        <v>-9414.1611697557782</v>
      </c>
      <c r="BC58" s="1021">
        <f>(VLOOKUP(YEAR($A58),'NY East Load Projections'!$A$4:$EO$14,((MONTH($A58)-1)*12)+VLOOKUP(BC$4,$DE$6:$DF$17,2)+1))*(VLOOKUP($A58,SatSunCurve,4))*(INDEX(DailyScalarsTable,BC$5/100,MONTH($A58)))*$C58</f>
        <v>-7552.117304318278</v>
      </c>
      <c r="BD58" s="1021">
        <f>(VLOOKUP(YEAR($A58),'NY East Load Projections'!$A$4:$EO$14,((MONTH($A58)-1)*12)+VLOOKUP(BD$4,$DE$6:$DF$17,2)+1))*(VLOOKUP($A58,CURVES!$D$9:$T$261,8))*(INDEX(DailyScalarsTable,BD$5/100,MONTH($A58)))*$C58</f>
        <v>-9391.7741500558332</v>
      </c>
      <c r="BE58" s="1021"/>
      <c r="BF58" s="1021">
        <f>(VLOOKUP(YEAR($A58),'NY East Load Projections'!$A$4:$EO$14,((MONTH($A58)-1)*12)+VLOOKUP(BF$4,$DE$6:$DF$17,2)+1))*(VLOOKUP($A58,CURVES!$D$9:$T$261,8))*(INDEX(DailyScalarsTable,BF$5/100,MONTH($A58)))*$D58</f>
        <v>-9687.1157976559898</v>
      </c>
      <c r="BG58" s="1021">
        <f>(VLOOKUP(YEAR($A58),'NY East Load Projections'!$A$4:$EO$14,((MONTH($A58)-1)*12)+VLOOKUP(BG$4,$DE$6:$DF$17,2)+1))*(VLOOKUP($A58,CURVES!$D$9:$T$261,8))*(INDEX(DailyScalarsTable,BG$5/100,MONTH($A58)))*$D58</f>
        <v>-8725.7795488993688</v>
      </c>
      <c r="BH58" s="1021">
        <f>(VLOOKUP(YEAR($A58),'NY East Load Projections'!$A$4:$EO$14,((MONTH($A58)-1)*12)+VLOOKUP(BH$4,$DE$6:$DF$17,2)+1))*(VLOOKUP($A58,CURVES!$D$9:$T$261,8))*(INDEX(DailyScalarsTable,BH$5/100,MONTH($A58)))*$D58</f>
        <v>-8257.8275124675765</v>
      </c>
      <c r="BI58" s="1021">
        <f>(VLOOKUP(YEAR($A58),'NY East Load Projections'!$A$4:$EO$14,((MONTH($A58)-1)*12)+VLOOKUP(BI$4,$DE$6:$DF$17,2)+1))*(VLOOKUP($A58,CURVES!$D$9:$T$261,8))*(INDEX(DailyScalarsTable,BI$5/100,MONTH($A58)))*$D58</f>
        <v>-8006.0489711265545</v>
      </c>
      <c r="BJ58" s="1021">
        <f>(VLOOKUP(YEAR($A58),'NY East Load Projections'!$A$4:$EO$14,((MONTH($A58)-1)*12)+VLOOKUP(BJ$4,$DE$6:$DF$17,2)+1))*(VLOOKUP($A58,CURVES!$D$9:$T$261,8))*(INDEX(DailyScalarsTable,BJ$5/100,MONTH($A58)))*$D58</f>
        <v>-8798.1453161196878</v>
      </c>
      <c r="BK58" s="1021">
        <f>(VLOOKUP(YEAR($A58),'NY East Load Projections'!$A$4:$EO$14,((MONTH($A58)-1)*12)+VLOOKUP(BK$4,$DE$6:$DF$17,2)+1))*(VLOOKUP($A58,CURVES!$D$9:$T$261,8))*(INDEX(DailyScalarsTable,BK$5/100,MONTH($A58)))*$D58</f>
        <v>-10667.234872713187</v>
      </c>
      <c r="BL58" s="1021">
        <f>(VLOOKUP(YEAR($A58),'NY East Load Projections'!$A$4:$EO$14,((MONTH($A58)-1)*12)+VLOOKUP(BL$4,$DE$6:$DF$17,2)+1))*(VLOOKUP($A58,CURVES!$D$9:$T$261,8))*(INDEX(DailyScalarsTable,BL$5/100,MONTH($A58)))*$D58</f>
        <v>-12763.506585356732</v>
      </c>
      <c r="BM58" s="1021">
        <f>(VLOOKUP(YEAR($A58),'NY East Load Projections'!$A$4:$EO$14,((MONTH($A58)-1)*12)+VLOOKUP(BM$4,$DE$6:$DF$17,2)+1))*(VLOOKUP($A58,SatSunCurve,8))*(INDEX(DailyScalarsTable,BM$5/100,MONTH($A58)))*$D58</f>
        <v>-11317.016040115559</v>
      </c>
      <c r="BN58" s="1021">
        <f>(VLOOKUP(YEAR($A58),'NY East Load Projections'!$A$4:$EO$14,((MONTH($A58)-1)*12)+VLOOKUP(BN$4,$DE$6:$DF$17,2)+1))*(VLOOKUP($A58,SatSunCurve,8))*(INDEX(DailyScalarsTable,BN$5/100,MONTH($A58)))*$D58</f>
        <v>-13796.237107515301</v>
      </c>
      <c r="BO58" s="1021">
        <f>(VLOOKUP(YEAR($A58),'NY East Load Projections'!$A$4:$EO$14,((MONTH($A58)-1)*12)+VLOOKUP(BO$4,$DE$6:$DF$17,2)+1))*(VLOOKUP($A58,SatSunCurve,8))*(INDEX(DailyScalarsTable,BO$5/100,MONTH($A58)))*$D58</f>
        <v>-14040.935709485047</v>
      </c>
      <c r="BP58" s="1021">
        <f>(VLOOKUP(YEAR($A58),'NY East Load Projections'!$A$4:$EO$14,((MONTH($A58)-1)*12)+VLOOKUP(BP$4,$DE$6:$DF$17,2)+1))*(VLOOKUP($A58,SatSunCurve,8))*(INDEX(DailyScalarsTable,BP$5/100,MONTH($A58)))*$D58</f>
        <v>-14894.132604848575</v>
      </c>
      <c r="BQ58" s="1021">
        <f>(VLOOKUP(YEAR($A58),'NY East Load Projections'!$A$4:$EO$14,((MONTH($A58)-1)*12)+VLOOKUP(BQ$4,$DE$6:$DF$17,2)+1))*(VLOOKUP($A58,SatSunCurve,8))*(INDEX(DailyScalarsTable,BQ$5/100,MONTH($A58)))*$D58</f>
        <v>-14781.527938455416</v>
      </c>
      <c r="BR58" s="1021">
        <f>(VLOOKUP(YEAR($A58),'NY East Load Projections'!$A$4:$EO$14,((MONTH($A58)-1)*12)+VLOOKUP(BR$4,$DE$6:$DF$17,2)+1))*(VLOOKUP($A58,SatSunCurve,8))*(INDEX(DailyScalarsTable,BR$5/100,MONTH($A58)))*$D58</f>
        <v>-14134.266837467003</v>
      </c>
      <c r="BS58" s="1021">
        <f>(VLOOKUP(YEAR($A58),'NY East Load Projections'!$A$4:$EO$14,((MONTH($A58)-1)*12)+VLOOKUP(BS$4,$DE$6:$DF$17,2)+1))*(VLOOKUP($A58,SatSunCurve,8))*(INDEX(DailyScalarsTable,BS$5/100,MONTH($A58)))*$D58</f>
        <v>-14202.38908124211</v>
      </c>
      <c r="BT58" s="1021">
        <f>(VLOOKUP(YEAR($A58),'NY East Load Projections'!$A$4:$EO$14,((MONTH($A58)-1)*12)+VLOOKUP(BT$4,$DE$6:$DF$17,2)+1))*(VLOOKUP($A58,SatSunCurve,8))*(INDEX(DailyScalarsTable,BT$5/100,MONTH($A58)))*$D58</f>
        <v>-13776.075684714033</v>
      </c>
      <c r="BU58" s="1021">
        <f>(VLOOKUP(YEAR($A58),'NY East Load Projections'!$A$4:$EO$14,((MONTH($A58)-1)*12)+VLOOKUP(BU$4,$DE$6:$DF$17,2)+1))*(VLOOKUP($A58,SatSunCurve,8))*(INDEX(DailyScalarsTable,BU$5/100,MONTH($A58)))*$D58</f>
        <v>-13239.887701451913</v>
      </c>
      <c r="BV58" s="1021">
        <f>(VLOOKUP(YEAR($A58),'NY East Load Projections'!$A$4:$EO$14,((MONTH($A58)-1)*12)+VLOOKUP(BV$4,$DE$6:$DF$17,2)+1))*(VLOOKUP($A58,SatSunCurve,8))*(INDEX(DailyScalarsTable,BV$5/100,MONTH($A58)))*$D58</f>
        <v>-12497.170562199915</v>
      </c>
      <c r="BW58" s="1021">
        <f>(VLOOKUP(YEAR($A58),'NY East Load Projections'!$A$4:$EO$14,((MONTH($A58)-1)*12)+VLOOKUP(BW$4,$DE$6:$DF$17,2)+1))*(VLOOKUP($A58,SatSunCurve,8))*(INDEX(DailyScalarsTable,BW$5/100,MONTH($A58)))*$D58</f>
        <v>-12010.134931971717</v>
      </c>
      <c r="BX58" s="1021">
        <f>(VLOOKUP(YEAR($A58),'NY East Load Projections'!$A$4:$EO$14,((MONTH($A58)-1)*12)+VLOOKUP(BX$4,$DE$6:$DF$17,2)+1))*(VLOOKUP($A58,SatSunCurve,8))*(INDEX(DailyScalarsTable,BX$5/100,MONTH($A58)))*$D58</f>
        <v>-10405.782267690609</v>
      </c>
      <c r="BY58" s="1021">
        <f>(VLOOKUP(YEAR($A58),'NY East Load Projections'!$A$4:$EO$14,((MONTH($A58)-1)*12)+VLOOKUP(BY$4,$DE$6:$DF$17,2)+1))*(VLOOKUP($A58,SatSunCurve,8))*(INDEX(DailyScalarsTable,BY$5/100,MONTH($A58)))*$D58</f>
        <v>-10379.179481165542</v>
      </c>
      <c r="BZ58" s="1021">
        <f>(VLOOKUP(YEAR($A58),'NY East Load Projections'!$A$4:$EO$14,((MONTH($A58)-1)*12)+VLOOKUP(BZ$4,$DE$6:$DF$17,2)+1))*(VLOOKUP($A58,SatSunCurve,8))*(INDEX(DailyScalarsTable,BZ$5/100,MONTH($A58)))*$D58</f>
        <v>-13025.67946246143</v>
      </c>
      <c r="CA58" s="1021">
        <f>(VLOOKUP(YEAR($A58),'NY East Load Projections'!$A$4:$EO$14,((MONTH($A58)-1)*12)+VLOOKUP(CA$4,$DE$6:$DF$17,2)+1))*(VLOOKUP($A58,SatSunCurve,8))*(INDEX(DailyScalarsTable,CA$5/100,MONTH($A58)))*$D58</f>
        <v>-12424.072181736941</v>
      </c>
      <c r="CB58" s="1021">
        <f>(VLOOKUP(YEAR($A58),'NY East Load Projections'!$A$4:$EO$14,((MONTH($A58)-1)*12)+VLOOKUP(CB$4,$DE$6:$DF$17,2)+1))*(VLOOKUP($A58,SatSunCurve,8))*(INDEX(DailyScalarsTable,CB$5/100,MONTH($A58)))*$D58</f>
        <v>-9966.6926050968577</v>
      </c>
      <c r="CC58" s="1021">
        <f>(VLOOKUP(YEAR($A58),'NY East Load Projections'!$A$4:$EO$14,((MONTH($A58)-1)*12)+VLOOKUP(CC$4,$DE$6:$DF$17,2)+1))*(VLOOKUP($A58,CURVES!$D$9:$T$261,8))*(INDEX(DailyScalarsTable,CC$5/100,MONTH($A58)))*$D58</f>
        <v>-11739.717687569791</v>
      </c>
      <c r="CE58" s="1021">
        <f>(VLOOKUP(YEAR($A58),'NY East Load Projections'!$A$4:$EO$14,((MONTH($A58)-1)*12)+VLOOKUP(CE$4,$DE$6:$DF$17,2)+1))*(VLOOKUP($A58,CURVES!$D$9:$T$261,8))*(INDEX(DailyScalarsTable,CE$5/100,MONTH($A58)))*$E58</f>
        <v>-1937.4231595311978</v>
      </c>
      <c r="CF58" s="1021">
        <f>(VLOOKUP(YEAR($A58),'NY East Load Projections'!$A$4:$EO$14,((MONTH($A58)-1)*12)+VLOOKUP(CF$4,$DE$6:$DF$17,2)+1))*(VLOOKUP($A58,CURVES!$D$9:$T$261,8))*(INDEX(DailyScalarsTable,CF$5/100,MONTH($A58)))*$E58</f>
        <v>-1745.1559097798736</v>
      </c>
      <c r="CG58" s="1021">
        <f>(VLOOKUP(YEAR($A58),'NY East Load Projections'!$A$4:$EO$14,((MONTH($A58)-1)*12)+VLOOKUP(CG$4,$DE$6:$DF$17,2)+1))*(VLOOKUP($A58,CURVES!$D$9:$T$261,8))*(INDEX(DailyScalarsTable,CG$5/100,MONTH($A58)))*$E58</f>
        <v>-1651.5655024935154</v>
      </c>
      <c r="CH58" s="1021">
        <f>(VLOOKUP(YEAR($A58),'NY East Load Projections'!$A$4:$EO$14,((MONTH($A58)-1)*12)+VLOOKUP(CH$4,$DE$6:$DF$17,2)+1))*(VLOOKUP($A58,CURVES!$D$9:$T$261,8))*(INDEX(DailyScalarsTable,CH$5/100,MONTH($A58)))*$E58</f>
        <v>-1601.2097942253108</v>
      </c>
      <c r="CI58" s="1021">
        <f>(VLOOKUP(YEAR($A58),'NY East Load Projections'!$A$4:$EO$14,((MONTH($A58)-1)*12)+VLOOKUP(CI$4,$DE$6:$DF$17,2)+1))*(VLOOKUP($A58,CURVES!$D$9:$T$261,8))*(INDEX(DailyScalarsTable,CI$5/100,MONTH($A58)))*$E58</f>
        <v>-1759.6290632239375</v>
      </c>
      <c r="CJ58" s="1021">
        <f>(VLOOKUP(YEAR($A58),'NY East Load Projections'!$A$4:$EO$14,((MONTH($A58)-1)*12)+VLOOKUP(CJ$4,$DE$6:$DF$17,2)+1))*(VLOOKUP($A58,CURVES!$D$9:$T$261,8))*(INDEX(DailyScalarsTable,CJ$5/100,MONTH($A58)))*$E58</f>
        <v>-2133.4469745426372</v>
      </c>
      <c r="CK58" s="1021">
        <f>(VLOOKUP(YEAR($A58),'NY East Load Projections'!$A$4:$EO$14,((MONTH($A58)-1)*12)+VLOOKUP(CK$4,$DE$6:$DF$17,2)+1))*(VLOOKUP($A58,CURVES!$D$9:$T$261,8))*(INDEX(DailyScalarsTable,CK$5/100,MONTH($A58)))*$E58</f>
        <v>-2552.7013170713462</v>
      </c>
      <c r="CL58" s="1021">
        <f>(VLOOKUP(YEAR($A58),'NY East Load Projections'!$A$4:$EO$14,((MONTH($A58)-1)*12)+VLOOKUP(CL$4,$DE$6:$DF$17,2)+1))*(VLOOKUP($A58,SatSunCurve,8))*(INDEX(DailyScalarsTable,CL$5/100,MONTH($A58)))*$E58</f>
        <v>-2263.4032080231118</v>
      </c>
      <c r="CM58" s="1021">
        <f>(VLOOKUP(YEAR($A58),'NY East Load Projections'!$A$4:$EO$14,((MONTH($A58)-1)*12)+VLOOKUP(CM$4,$DE$6:$DF$17,2)+1))*(VLOOKUP($A58,SatSunCurve,8))*(INDEX(DailyScalarsTable,CM$5/100,MONTH($A58)))*$E58</f>
        <v>-2759.2474215030602</v>
      </c>
      <c r="CN58" s="1021">
        <f>(VLOOKUP(YEAR($A58),'NY East Load Projections'!$A$4:$EO$14,((MONTH($A58)-1)*12)+VLOOKUP(CN$4,$DE$6:$DF$17,2)+1))*(VLOOKUP($A58,SatSunCurve,8))*(INDEX(DailyScalarsTable,CN$5/100,MONTH($A58)))*$E58</f>
        <v>-2808.1871418970095</v>
      </c>
      <c r="CO58" s="1021">
        <f>(VLOOKUP(YEAR($A58),'NY East Load Projections'!$A$4:$EO$14,((MONTH($A58)-1)*12)+VLOOKUP(CO$4,$DE$6:$DF$17,2)+1))*(VLOOKUP($A58,SatSunCurve,8))*(INDEX(DailyScalarsTable,CO$5/100,MONTH($A58)))*$E58</f>
        <v>-2978.8265209697151</v>
      </c>
      <c r="CP58" s="1021">
        <f>(VLOOKUP(YEAR($A58),'NY East Load Projections'!$A$4:$EO$14,((MONTH($A58)-1)*12)+VLOOKUP(CP$4,$DE$6:$DF$17,2)+1))*(VLOOKUP($A58,SatSunCurve,8))*(INDEX(DailyScalarsTable,CP$5/100,MONTH($A58)))*$E58</f>
        <v>-2956.305587691083</v>
      </c>
      <c r="CQ58" s="1021">
        <f>(VLOOKUP(YEAR($A58),'NY East Load Projections'!$A$4:$EO$14,((MONTH($A58)-1)*12)+VLOOKUP(CQ$4,$DE$6:$DF$17,2)+1))*(VLOOKUP($A58,SatSunCurve,8))*(INDEX(DailyScalarsTable,CQ$5/100,MONTH($A58)))*$E58</f>
        <v>-2826.8533674934006</v>
      </c>
      <c r="CR58" s="1021">
        <f>(VLOOKUP(YEAR($A58),'NY East Load Projections'!$A$4:$EO$14,((MONTH($A58)-1)*12)+VLOOKUP(CR$4,$DE$6:$DF$17,2)+1))*(VLOOKUP($A58,SatSunCurve,8))*(INDEX(DailyScalarsTable,CR$5/100,MONTH($A58)))*$E58</f>
        <v>-2840.4778162484222</v>
      </c>
      <c r="CS58" s="1021">
        <f>(VLOOKUP(YEAR($A58),'NY East Load Projections'!$A$4:$EO$14,((MONTH($A58)-1)*12)+VLOOKUP(CS$4,$DE$6:$DF$17,2)+1))*(VLOOKUP($A58,SatSunCurve,8))*(INDEX(DailyScalarsTable,CS$5/100,MONTH($A58)))*$E58</f>
        <v>-2755.2151369428066</v>
      </c>
      <c r="CT58" s="1021">
        <f>(VLOOKUP(YEAR($A58),'NY East Load Projections'!$A$4:$EO$14,((MONTH($A58)-1)*12)+VLOOKUP(CT$4,$DE$6:$DF$17,2)+1))*(VLOOKUP($A58,SatSunCurve,8))*(INDEX(DailyScalarsTable,CT$5/100,MONTH($A58)))*$E58</f>
        <v>-2647.9775402903824</v>
      </c>
      <c r="CU58" s="1021">
        <f>(VLOOKUP(YEAR($A58),'NY East Load Projections'!$A$4:$EO$14,((MONTH($A58)-1)*12)+VLOOKUP(CU$4,$DE$6:$DF$17,2)+1))*(VLOOKUP($A58,SatSunCurve,8))*(INDEX(DailyScalarsTable,CU$5/100,MONTH($A58)))*$E58</f>
        <v>-2499.434112439983</v>
      </c>
      <c r="CV58" s="1021">
        <f>(VLOOKUP(YEAR($A58),'NY East Load Projections'!$A$4:$EO$14,((MONTH($A58)-1)*12)+VLOOKUP(CV$4,$DE$6:$DF$17,2)+1))*(VLOOKUP($A58,SatSunCurve,8))*(INDEX(DailyScalarsTable,CV$5/100,MONTH($A58)))*$E58</f>
        <v>-2402.0269863943436</v>
      </c>
      <c r="CW58" s="1021">
        <f>(VLOOKUP(YEAR($A58),'NY East Load Projections'!$A$4:$EO$14,((MONTH($A58)-1)*12)+VLOOKUP(CW$4,$DE$6:$DF$17,2)+1))*(VLOOKUP($A58,SatSunCurve,8))*(INDEX(DailyScalarsTable,CW$5/100,MONTH($A58)))*$E58</f>
        <v>-2081.1564535381217</v>
      </c>
      <c r="CX58" s="1021">
        <f>(VLOOKUP(YEAR($A58),'NY East Load Projections'!$A$4:$EO$14,((MONTH($A58)-1)*12)+VLOOKUP(CX$4,$DE$6:$DF$17,2)+1))*(VLOOKUP($A58,SatSunCurve,8))*(INDEX(DailyScalarsTable,CX$5/100,MONTH($A58)))*$E58</f>
        <v>-2075.8358962331085</v>
      </c>
      <c r="CY58" s="1021">
        <f>(VLOOKUP(YEAR($A58),'NY East Load Projections'!$A$4:$EO$14,((MONTH($A58)-1)*12)+VLOOKUP(CY$4,$DE$6:$DF$17,2)+1))*(VLOOKUP($A58,SatSunCurve,8))*(INDEX(DailyScalarsTable,CY$5/100,MONTH($A58)))*$E58</f>
        <v>-2605.1358924922861</v>
      </c>
      <c r="CZ58" s="1021">
        <f>(VLOOKUP(YEAR($A58),'NY East Load Projections'!$A$4:$EO$14,((MONTH($A58)-1)*12)+VLOOKUP(CZ$4,$DE$6:$DF$17,2)+1))*(VLOOKUP($A58,SatSunCurve,8))*(INDEX(DailyScalarsTable,CZ$5/100,MONTH($A58)))*$E58</f>
        <v>-2484.8144363473884</v>
      </c>
      <c r="DA58" s="1021">
        <f>(VLOOKUP(YEAR($A58),'NY East Load Projections'!$A$4:$EO$14,((MONTH($A58)-1)*12)+VLOOKUP(DA$4,$DE$6:$DF$17,2)+1))*(VLOOKUP($A58,SatSunCurve,8))*(INDEX(DailyScalarsTable,DA$5/100,MONTH($A58)))*$E58</f>
        <v>-1993.3385210193717</v>
      </c>
      <c r="DB58" s="1021">
        <f>(VLOOKUP(YEAR($A58),'NY East Load Projections'!$A$4:$EO$14,((MONTH($A58)-1)*12)+VLOOKUP(DB$4,$DE$6:$DF$17,2)+1))*(VLOOKUP($A58,CURVES!$D$9:$T$261,8))*(INDEX(DailyScalarsTable,DB$5/100,MONTH($A58)))*$E58</f>
        <v>-2347.9435375139583</v>
      </c>
      <c r="DH58" s="1021">
        <f t="shared" si="0"/>
        <v>-2181670.5070344545</v>
      </c>
      <c r="DI58">
        <f ca="1">CALC!J78</f>
        <v>0.68339425162413847</v>
      </c>
      <c r="DJ58" s="1029">
        <f t="shared" ca="1" si="1"/>
        <v>-1490941.0834452657</v>
      </c>
    </row>
    <row r="59" spans="1:114" x14ac:dyDescent="0.25">
      <c r="A59" s="244">
        <v>38504</v>
      </c>
      <c r="B59" s="13">
        <v>22</v>
      </c>
      <c r="C59" s="210">
        <v>4</v>
      </c>
      <c r="D59" s="210">
        <v>4</v>
      </c>
      <c r="E59" s="210">
        <v>0</v>
      </c>
      <c r="F59" s="13">
        <v>30</v>
      </c>
      <c r="H59" s="1021">
        <f>(VLOOKUP(YEAR($A59),'NY East Load Projections'!$A$4:$EO$14,((MONTH($A59)-1)*12)+VLOOKUP(H$4,$DE$6:$DF$17,2)+1))*(VLOOKUP($A59,CURVES!$D$9:$K$261,8))*(INDEX(DailyScalarsTable,H$5/100,MONTH($A59)))*$B59</f>
        <v>-52504.671513104244</v>
      </c>
      <c r="I59" s="1021">
        <f>(VLOOKUP(YEAR($A59),'NY East Load Projections'!$A$4:$EO$14,((MONTH($A59)-1)*12)+VLOOKUP(I$4,$DE$6:$DF$17,2)+1))*(VLOOKUP($A59,CURVES!$D$9:$K$261,8))*(INDEX(DailyScalarsTable,I$5/100,MONTH($A59)))*$B59</f>
        <v>-43500.798998699363</v>
      </c>
      <c r="J59" s="1021">
        <f>(VLOOKUP(YEAR($A59),'NY East Load Projections'!$A$4:$EO$14,((MONTH($A59)-1)*12)+VLOOKUP(J$4,$DE$6:$DF$17,2)+1))*(VLOOKUP($A59,CURVES!$D$9:$K$261,8))*(INDEX(DailyScalarsTable,J$5/100,MONTH($A59)))*$B59</f>
        <v>-36566.473301038299</v>
      </c>
      <c r="K59" s="1021">
        <f>(VLOOKUP(YEAR($A59),'NY East Load Projections'!$A$4:$EO$14,((MONTH($A59)-1)*12)+VLOOKUP(K$4,$DE$6:$DF$17,2)+1))*(VLOOKUP($A59,CURVES!$D$9:$K$261,8))*(INDEX(DailyScalarsTable,K$5/100,MONTH($A59)))*$B59</f>
        <v>-33945.943240875691</v>
      </c>
      <c r="L59" s="1021">
        <f>(VLOOKUP(YEAR($A59),'NY East Load Projections'!$A$4:$EO$14,((MONTH($A59)-1)*12)+VLOOKUP(L$4,$DE$6:$DF$17,2)+1))*(VLOOKUP($A59,CURVES!$D$9:$K$261,8))*(INDEX(DailyScalarsTable,L$5/100,MONTH($A59)))*$B59</f>
        <v>-40361.991536111025</v>
      </c>
      <c r="M59" s="1021">
        <f>(VLOOKUP(YEAR($A59),'NY East Load Projections'!$A$4:$EO$14,((MONTH($A59)-1)*12)+VLOOKUP(M$4,$DE$6:$DF$17,2)+1))*(VLOOKUP($A59,CURVES!$D$9:$K$261,8))*(INDEX(DailyScalarsTable,M$5/100,MONTH($A59)))*$B59</f>
        <v>-49244.575804824504</v>
      </c>
      <c r="N59" s="1021">
        <f>(VLOOKUP(YEAR($A59),'NY East Load Projections'!$A$4:$EO$14,((MONTH($A59)-1)*12)+VLOOKUP(N$4,$DE$6:$DF$17,2)+1))*(VLOOKUP($A59,CURVES!$D$9:$K$261,8))*(INDEX(DailyScalarsTable,N$5/100,MONTH($A59)))*$B59</f>
        <v>-56462.596189019532</v>
      </c>
      <c r="O59" s="1021">
        <f>(VLOOKUP(YEAR($A59),'NY East Load Projections'!$A$4:$EO$14,((MONTH($A59)-1)*12)+VLOOKUP(O$4,$DE$6:$DF$17,2)+1))*(VLOOKUP($A59,CURVES!$D$9:$K$261,4))*(INDEX(DailyScalarsTable,O$5/100,MONTH($A59)))*$B59</f>
        <v>-79149.145249506706</v>
      </c>
      <c r="P59" s="1021">
        <f>(VLOOKUP(YEAR($A59),'NY East Load Projections'!$A$4:$EO$14,((MONTH($A59)-1)*12)+VLOOKUP(P$4,$DE$6:$DF$17,2)+1))*(VLOOKUP($A59,CURVES!$D$9:$K$261,4))*(INDEX(DailyScalarsTable,P$5/100,MONTH($A59)))*$B59</f>
        <v>-105135.83904855308</v>
      </c>
      <c r="Q59" s="1021">
        <f>(VLOOKUP(YEAR($A59),'NY East Load Projections'!$A$4:$EO$14,((MONTH($A59)-1)*12)+VLOOKUP(Q$4,$DE$6:$DF$17,2)+1))*(VLOOKUP($A59,CURVES!$D$9:$K$261,4))*(INDEX(DailyScalarsTable,Q$5/100,MONTH($A59)))*$B59</f>
        <v>-117593.65275527029</v>
      </c>
      <c r="R59" s="1021">
        <f>(VLOOKUP(YEAR($A59),'NY East Load Projections'!$A$4:$EO$14,((MONTH($A59)-1)*12)+VLOOKUP(R$4,$DE$6:$DF$17,2)+1))*(VLOOKUP($A59,CURVES!$D$9:$K$261,4))*(INDEX(DailyScalarsTable,R$5/100,MONTH($A59)))*$B59</f>
        <v>-135266.79379778777</v>
      </c>
      <c r="S59" s="1021">
        <f>(VLOOKUP(YEAR($A59),'NY East Load Projections'!$A$4:$EO$14,((MONTH($A59)-1)*12)+VLOOKUP(S$4,$DE$6:$DF$17,2)+1))*(VLOOKUP($A59,CURVES!$D$9:$K$261,4))*(INDEX(DailyScalarsTable,S$5/100,MONTH($A59)))*$B59</f>
        <v>-145881.73565439897</v>
      </c>
      <c r="T59" s="1021">
        <f>(VLOOKUP(YEAR($A59),'NY East Load Projections'!$A$4:$EO$14,((MONTH($A59)-1)*12)+VLOOKUP(T$4,$DE$6:$DF$17,2)+1))*(VLOOKUP($A59,CURVES!$D$9:$K$261,4))*(INDEX(DailyScalarsTable,T$5/100,MONTH($A59)))*$B59</f>
        <v>-155470.77500834793</v>
      </c>
      <c r="U59" s="1021">
        <f>(VLOOKUP(YEAR($A59),'NY East Load Projections'!$A$4:$EO$14,((MONTH($A59)-1)*12)+VLOOKUP(U$4,$DE$6:$DF$17,2)+1))*(VLOOKUP($A59,CURVES!$D$9:$K$261,4))*(INDEX(DailyScalarsTable,U$5/100,MONTH($A59)))*$B59</f>
        <v>-171932.6088318674</v>
      </c>
      <c r="V59" s="1021">
        <f>(VLOOKUP(YEAR($A59),'NY East Load Projections'!$A$4:$EO$14,((MONTH($A59)-1)*12)+VLOOKUP(V$4,$DE$6:$DF$17,2)+1))*(VLOOKUP($A59,CURVES!$D$9:$K$261,4))*(INDEX(DailyScalarsTable,V$5/100,MONTH($A59)))*$B59</f>
        <v>-173255.60351343616</v>
      </c>
      <c r="W59" s="1021">
        <f>(VLOOKUP(YEAR($A59),'NY East Load Projections'!$A$4:$EO$14,((MONTH($A59)-1)*12)+VLOOKUP(W$4,$DE$6:$DF$17,2)+1))*(VLOOKUP($A59,CURVES!$D$9:$K$261,4))*(INDEX(DailyScalarsTable,W$5/100,MONTH($A59)))*$B59</f>
        <v>-173539.10237377227</v>
      </c>
      <c r="X59" s="1021">
        <f>(VLOOKUP(YEAR($A59),'NY East Load Projections'!$A$4:$EO$14,((MONTH($A59)-1)*12)+VLOOKUP(X$4,$DE$6:$DF$17,2)+1))*(VLOOKUP($A59,CURVES!$D$9:$K$261,4))*(INDEX(DailyScalarsTable,X$5/100,MONTH($A59)))*$B59</f>
        <v>-166384.19727688044</v>
      </c>
      <c r="Y59" s="1021">
        <f>(VLOOKUP(YEAR($A59),'NY East Load Projections'!$A$4:$EO$14,((MONTH($A59)-1)*12)+VLOOKUP(Y$4,$DE$6:$DF$17,2)+1))*(VLOOKUP($A59,CURVES!$D$9:$K$261,4))*(INDEX(DailyScalarsTable,Y$5/100,MONTH($A59)))*$B59</f>
        <v>-161444.91717338713</v>
      </c>
      <c r="Z59" s="1021">
        <f>(VLOOKUP(YEAR($A59),'NY East Load Projections'!$A$4:$EO$14,((MONTH($A59)-1)*12)+VLOOKUP(Z$4,$DE$6:$DF$17,2)+1))*(VLOOKUP($A59,CURVES!$D$9:$K$261,4))*(INDEX(DailyScalarsTable,Z$5/100,MONTH($A59)))*$B59</f>
        <v>-137854.05949496973</v>
      </c>
      <c r="AA59" s="1021">
        <f>(VLOOKUP(YEAR($A59),'NY East Load Projections'!$A$4:$EO$14,((MONTH($A59)-1)*12)+VLOOKUP(AA$4,$DE$6:$DF$17,2)+1))*(VLOOKUP($A59,CURVES!$D$9:$K$261,4))*(INDEX(DailyScalarsTable,AA$5/100,MONTH($A59)))*$B59</f>
        <v>-110233.31985485746</v>
      </c>
      <c r="AB59" s="1021">
        <f>(VLOOKUP(YEAR($A59),'NY East Load Projections'!$A$4:$EO$14,((MONTH($A59)-1)*12)+VLOOKUP(AB$4,$DE$6:$DF$17,2)+1))*(VLOOKUP($A59,CURVES!$D$9:$K$261,4))*(INDEX(DailyScalarsTable,AB$5/100,MONTH($A59)))*$B59</f>
        <v>-105816.6443140722</v>
      </c>
      <c r="AC59" s="1021">
        <f>(VLOOKUP(YEAR($A59),'NY East Load Projections'!$A$4:$EO$14,((MONTH($A59)-1)*12)+VLOOKUP(AC$4,$DE$6:$DF$17,2)+1))*(VLOOKUP($A59,CURVES!$D$9:$K$261,4))*(INDEX(DailyScalarsTable,AC$5/100,MONTH($A59)))*$B59</f>
        <v>-107817.04827773508</v>
      </c>
      <c r="AD59" s="1021">
        <f>(VLOOKUP(YEAR($A59),'NY East Load Projections'!$A$4:$EO$14,((MONTH($A59)-1)*12)+VLOOKUP(AD$4,$DE$6:$DF$17,2)+1))*(VLOOKUP($A59,CURVES!$D$9:$K$261,4))*(INDEX(DailyScalarsTable,AD$5/100,MONTH($A59)))*$B59</f>
        <v>-86458.404382248045</v>
      </c>
      <c r="AE59" s="1021">
        <f>(VLOOKUP(YEAR($A59),'NY East Load Projections'!$A$4:$EO$14,((MONTH($A59)-1)*12)+VLOOKUP(AE$4,$DE$6:$DF$17,2)+1))*(VLOOKUP($A59,CURVES!$D$9:$K$261,8))*(INDEX(DailyScalarsTable,AE$5/100,MONTH($A59)))*$B59</f>
        <v>-67079.054323206146</v>
      </c>
      <c r="AF59" s="1021"/>
      <c r="AG59" s="1021">
        <f>(VLOOKUP(YEAR($A59),'NY East Load Projections'!$A$4:$EO$14,((MONTH($A59)-1)*12)+VLOOKUP(AG$4,$DE$6:$DF$17,2)+1))*(VLOOKUP($A59,CURVES!$D$9:$T$261,8))*(INDEX(DailyScalarsTable,AG$5/100,MONTH($A59)))*$C59</f>
        <v>-9711.6975127545138</v>
      </c>
      <c r="AH59" s="1021">
        <f>(VLOOKUP(YEAR($A59),'NY East Load Projections'!$A$4:$EO$14,((MONTH($A59)-1)*12)+VLOOKUP(AH$4,$DE$6:$DF$17,2)+1))*(VLOOKUP($A59,CURVES!$D$9:$T$261,8))*(INDEX(DailyScalarsTable,AH$5/100,MONTH($A59)))*$C59</f>
        <v>-8046.2669180410439</v>
      </c>
      <c r="AI59" s="1021">
        <f>(VLOOKUP(YEAR($A59),'NY East Load Projections'!$A$4:$EO$14,((MONTH($A59)-1)*12)+VLOOKUP(AI$4,$DE$6:$DF$17,2)+1))*(VLOOKUP($A59,CURVES!$D$9:$T$261,8))*(INDEX(DailyScalarsTable,AI$5/100,MONTH($A59)))*$C59</f>
        <v>-6763.6367883811181</v>
      </c>
      <c r="AJ59" s="1021">
        <f>(VLOOKUP(YEAR($A59),'NY East Load Projections'!$A$4:$EO$14,((MONTH($A59)-1)*12)+VLOOKUP(AJ$4,$DE$6:$DF$17,2)+1))*(VLOOKUP($A59,CURVES!$D$9:$T$261,8))*(INDEX(DailyScalarsTable,AJ$5/100,MONTH($A59)))*$C59</f>
        <v>-6278.9219138003327</v>
      </c>
      <c r="AK59" s="1021">
        <f>(VLOOKUP(YEAR($A59),'NY East Load Projections'!$A$4:$EO$14,((MONTH($A59)-1)*12)+VLOOKUP(AK$4,$DE$6:$DF$17,2)+1))*(VLOOKUP($A59,CURVES!$D$9:$T$261,8))*(INDEX(DailyScalarsTable,AK$5/100,MONTH($A59)))*$C59</f>
        <v>-6874.2506679235958</v>
      </c>
      <c r="AL59" s="1021">
        <f>(VLOOKUP(YEAR($A59),'NY East Load Projections'!$A$4:$EO$14,((MONTH($A59)-1)*12)+VLOOKUP(AL$4,$DE$6:$DF$17,2)+1))*(VLOOKUP($A59,CURVES!$D$9:$T$261,8))*(INDEX(DailyScalarsTable,AL$5/100,MONTH($A59)))*$C59</f>
        <v>-8387.0875849885324</v>
      </c>
      <c r="AM59" s="1021">
        <f>(VLOOKUP(YEAR($A59),'NY East Load Projections'!$A$4:$EO$14,((MONTH($A59)-1)*12)+VLOOKUP(AM$4,$DE$6:$DF$17,2)+1))*(VLOOKUP($A59,CURVES!$D$9:$T$261,8))*(INDEX(DailyScalarsTable,AM$5/100,MONTH($A59)))*$C59</f>
        <v>-9616.424383266838</v>
      </c>
      <c r="AN59" s="1021">
        <f>(VLOOKUP(YEAR($A59),'NY East Load Projections'!$A$4:$EO$14,((MONTH($A59)-1)*12)+VLOOKUP(AN$4,$DE$6:$DF$17,2)+1))*(VLOOKUP($A59,SatSunCurve,4))*(INDEX(DailyScalarsTable,AN$5/100,MONTH($A59)))*$C59</f>
        <v>-7547.6269240983229</v>
      </c>
      <c r="AO59" s="1021">
        <f>(VLOOKUP(YEAR($A59),'NY East Load Projections'!$A$4:$EO$14,((MONTH($A59)-1)*12)+VLOOKUP(AO$4,$DE$6:$DF$17,2)+1))*(VLOOKUP($A59,SatSunCurve,4))*(INDEX(DailyScalarsTable,AO$5/100,MONTH($A59)))*$C59</f>
        <v>-9646.0427852703961</v>
      </c>
      <c r="AP59" s="1021">
        <f>(VLOOKUP(YEAR($A59),'NY East Load Projections'!$A$4:$EO$14,((MONTH($A59)-1)*12)+VLOOKUP(AP$4,$DE$6:$DF$17,2)+1))*(VLOOKUP($A59,SatSunCurve,4))*(INDEX(DailyScalarsTable,AP$5/100,MONTH($A59)))*$C59</f>
        <v>-10789.026996110495</v>
      </c>
      <c r="AQ59" s="1021">
        <f>(VLOOKUP(YEAR($A59),'NY East Load Projections'!$A$4:$EO$14,((MONTH($A59)-1)*12)+VLOOKUP(AQ$4,$DE$6:$DF$17,2)+1))*(VLOOKUP($A59,SatSunCurve,4))*(INDEX(DailyScalarsTable,AQ$5/100,MONTH($A59)))*$C59</f>
        <v>-12410.509034861469</v>
      </c>
      <c r="AR59" s="1021">
        <f>(VLOOKUP(YEAR($A59),'NY East Load Projections'!$A$4:$EO$14,((MONTH($A59)-1)*12)+VLOOKUP(AR$4,$DE$6:$DF$17,2)+1))*(VLOOKUP($A59,SatSunCurve,4))*(INDEX(DailyScalarsTable,AR$5/100,MONTH($A59)))*$C59</f>
        <v>-13384.412741139429</v>
      </c>
      <c r="AS59" s="1021">
        <f>(VLOOKUP(YEAR($A59),'NY East Load Projections'!$A$4:$EO$14,((MONTH($A59)-1)*12)+VLOOKUP(AS$4,$DE$6:$DF$17,2)+1))*(VLOOKUP($A59,SatSunCurve,4))*(INDEX(DailyScalarsTable,AS$5/100,MONTH($A59)))*$C59</f>
        <v>-14283.12410081157</v>
      </c>
      <c r="AT59" s="1021">
        <f>(VLOOKUP(YEAR($A59),'NY East Load Projections'!$A$4:$EO$14,((MONTH($A59)-1)*12)+VLOOKUP(AT$4,$DE$6:$DF$17,2)+1))*(VLOOKUP($A59,SatSunCurve,4))*(INDEX(DailyScalarsTable,AT$5/100,MONTH($A59)))*$C59</f>
        <v>-15795.475315473239</v>
      </c>
      <c r="AU59" s="1021">
        <f>(VLOOKUP(YEAR($A59),'NY East Load Projections'!$A$4:$EO$14,((MONTH($A59)-1)*12)+VLOOKUP(AU$4,$DE$6:$DF$17,2)+1))*(VLOOKUP($A59,SatSunCurve,4))*(INDEX(DailyScalarsTable,AU$5/100,MONTH($A59)))*$C59</f>
        <v>-15917.019041106212</v>
      </c>
      <c r="AV59" s="1021">
        <f>(VLOOKUP(YEAR($A59),'NY East Load Projections'!$A$4:$EO$14,((MONTH($A59)-1)*12)+VLOOKUP(AV$4,$DE$6:$DF$17,2)+1))*(VLOOKUP($A59,SatSunCurve,4))*(INDEX(DailyScalarsTable,AV$5/100,MONTH($A59)))*$C59</f>
        <v>-15943.064125170415</v>
      </c>
      <c r="AW59" s="1021">
        <f>(VLOOKUP(YEAR($A59),'NY East Load Projections'!$A$4:$EO$14,((MONTH($A59)-1)*12)+VLOOKUP(AW$4,$DE$6:$DF$17,2)+1))*(VLOOKUP($A59,SatSunCurve,4))*(INDEX(DailyScalarsTable,AW$5/100,MONTH($A59)))*$C59</f>
        <v>-15440.804697270511</v>
      </c>
      <c r="AX59" s="1021">
        <f>(VLOOKUP(YEAR($A59),'NY East Load Projections'!$A$4:$EO$14,((MONTH($A59)-1)*12)+VLOOKUP(AX$4,$DE$6:$DF$17,2)+1))*(VLOOKUP($A59,SatSunCurve,4))*(INDEX(DailyScalarsTable,AX$5/100,MONTH($A59)))*$C59</f>
        <v>-14982.429078243187</v>
      </c>
      <c r="AY59" s="1021">
        <f>(VLOOKUP(YEAR($A59),'NY East Load Projections'!$A$4:$EO$14,((MONTH($A59)-1)*12)+VLOOKUP(AY$4,$DE$6:$DF$17,2)+1))*(VLOOKUP($A59,SatSunCurve,4))*(INDEX(DailyScalarsTable,AY$5/100,MONTH($A59)))*$C59</f>
        <v>-12793.147692058546</v>
      </c>
      <c r="AZ59" s="1021">
        <f>(VLOOKUP(YEAR($A59),'NY East Load Projections'!$A$4:$EO$14,((MONTH($A59)-1)*12)+VLOOKUP(AZ$4,$DE$6:$DF$17,2)+1))*(VLOOKUP($A59,SatSunCurve,4))*(INDEX(DailyScalarsTable,AZ$5/100,MONTH($A59)))*$C59</f>
        <v>-10229.884753887718</v>
      </c>
      <c r="BA59" s="1021">
        <f>(VLOOKUP(YEAR($A59),'NY East Load Projections'!$A$4:$EO$14,((MONTH($A59)-1)*12)+VLOOKUP(BA$4,$DE$6:$DF$17,2)+1))*(VLOOKUP($A59,SatSunCurve,4))*(INDEX(DailyScalarsTable,BA$5/100,MONTH($A59)))*$C59</f>
        <v>-10573.008471243997</v>
      </c>
      <c r="BB59" s="1021">
        <f>(VLOOKUP(YEAR($A59),'NY East Load Projections'!$A$4:$EO$14,((MONTH($A59)-1)*12)+VLOOKUP(BB$4,$DE$6:$DF$17,2)+1))*(VLOOKUP($A59,SatSunCurve,4))*(INDEX(DailyScalarsTable,BB$5/100,MONTH($A59)))*$C59</f>
        <v>-10772.885231566712</v>
      </c>
      <c r="BC59" s="1021">
        <f>(VLOOKUP(YEAR($A59),'NY East Load Projections'!$A$4:$EO$14,((MONTH($A59)-1)*12)+VLOOKUP(BC$4,$DE$6:$DF$17,2)+1))*(VLOOKUP($A59,SatSunCurve,4))*(INDEX(DailyScalarsTable,BC$5/100,MONTH($A59)))*$C59</f>
        <v>-8638.768011113174</v>
      </c>
      <c r="BD59" s="1021">
        <f>(VLOOKUP(YEAR($A59),'NY East Load Projections'!$A$4:$EO$14,((MONTH($A59)-1)*12)+VLOOKUP(BD$4,$DE$6:$DF$17,2)+1))*(VLOOKUP($A59,CURVES!$D$9:$T$261,8))*(INDEX(DailyScalarsTable,BD$5/100,MONTH($A59)))*$C59</f>
        <v>-11970.715469013738</v>
      </c>
      <c r="BE59" s="1021"/>
      <c r="BF59" s="1021">
        <f>(VLOOKUP(YEAR($A59),'NY East Load Projections'!$A$4:$EO$14,((MONTH($A59)-1)*12)+VLOOKUP(BF$4,$DE$6:$DF$17,2)+1))*(VLOOKUP($A59,CURVES!$D$9:$T$261,8))*(INDEX(DailyScalarsTable,BF$5/100,MONTH($A59)))*$D59</f>
        <v>-9711.6975127545138</v>
      </c>
      <c r="BG59" s="1021">
        <f>(VLOOKUP(YEAR($A59),'NY East Load Projections'!$A$4:$EO$14,((MONTH($A59)-1)*12)+VLOOKUP(BG$4,$DE$6:$DF$17,2)+1))*(VLOOKUP($A59,CURVES!$D$9:$T$261,8))*(INDEX(DailyScalarsTable,BG$5/100,MONTH($A59)))*$D59</f>
        <v>-8046.2669180410439</v>
      </c>
      <c r="BH59" s="1021">
        <f>(VLOOKUP(YEAR($A59),'NY East Load Projections'!$A$4:$EO$14,((MONTH($A59)-1)*12)+VLOOKUP(BH$4,$DE$6:$DF$17,2)+1))*(VLOOKUP($A59,CURVES!$D$9:$T$261,8))*(INDEX(DailyScalarsTable,BH$5/100,MONTH($A59)))*$D59</f>
        <v>-6763.6367883811181</v>
      </c>
      <c r="BI59" s="1021">
        <f>(VLOOKUP(YEAR($A59),'NY East Load Projections'!$A$4:$EO$14,((MONTH($A59)-1)*12)+VLOOKUP(BI$4,$DE$6:$DF$17,2)+1))*(VLOOKUP($A59,CURVES!$D$9:$T$261,8))*(INDEX(DailyScalarsTable,BI$5/100,MONTH($A59)))*$D59</f>
        <v>-6278.9219138003327</v>
      </c>
      <c r="BJ59" s="1021">
        <f>(VLOOKUP(YEAR($A59),'NY East Load Projections'!$A$4:$EO$14,((MONTH($A59)-1)*12)+VLOOKUP(BJ$4,$DE$6:$DF$17,2)+1))*(VLOOKUP($A59,CURVES!$D$9:$T$261,8))*(INDEX(DailyScalarsTable,BJ$5/100,MONTH($A59)))*$D59</f>
        <v>-6874.2506679235958</v>
      </c>
      <c r="BK59" s="1021">
        <f>(VLOOKUP(YEAR($A59),'NY East Load Projections'!$A$4:$EO$14,((MONTH($A59)-1)*12)+VLOOKUP(BK$4,$DE$6:$DF$17,2)+1))*(VLOOKUP($A59,CURVES!$D$9:$T$261,8))*(INDEX(DailyScalarsTable,BK$5/100,MONTH($A59)))*$D59</f>
        <v>-8387.0875849885324</v>
      </c>
      <c r="BL59" s="1021">
        <f>(VLOOKUP(YEAR($A59),'NY East Load Projections'!$A$4:$EO$14,((MONTH($A59)-1)*12)+VLOOKUP(BL$4,$DE$6:$DF$17,2)+1))*(VLOOKUP($A59,CURVES!$D$9:$T$261,8))*(INDEX(DailyScalarsTable,BL$5/100,MONTH($A59)))*$D59</f>
        <v>-9616.424383266838</v>
      </c>
      <c r="BM59" s="1021">
        <f>(VLOOKUP(YEAR($A59),'NY East Load Projections'!$A$4:$EO$14,((MONTH($A59)-1)*12)+VLOOKUP(BM$4,$DE$6:$DF$17,2)+1))*(VLOOKUP($A59,SatSunCurve,8))*(INDEX(DailyScalarsTable,BM$5/100,MONTH($A59)))*$D59</f>
        <v>-5894.9288672686553</v>
      </c>
      <c r="BN59" s="1021">
        <f>(VLOOKUP(YEAR($A59),'NY East Load Projections'!$A$4:$EO$14,((MONTH($A59)-1)*12)+VLOOKUP(BN$4,$DE$6:$DF$17,2)+1))*(VLOOKUP($A59,SatSunCurve,8))*(INDEX(DailyScalarsTable,BN$5/100,MONTH($A59)))*$D59</f>
        <v>-7533.8562228408109</v>
      </c>
      <c r="BO59" s="1021">
        <f>(VLOOKUP(YEAR($A59),'NY East Load Projections'!$A$4:$EO$14,((MONTH($A59)-1)*12)+VLOOKUP(BO$4,$DE$6:$DF$17,2)+1))*(VLOOKUP($A59,SatSunCurve,8))*(INDEX(DailyScalarsTable,BO$5/100,MONTH($A59)))*$D59</f>
        <v>-8426.5620609898688</v>
      </c>
      <c r="BP59" s="1021">
        <f>(VLOOKUP(YEAR($A59),'NY East Load Projections'!$A$4:$EO$14,((MONTH($A59)-1)*12)+VLOOKUP(BP$4,$DE$6:$DF$17,2)+1))*(VLOOKUP($A59,SatSunCurve,8))*(INDEX(DailyScalarsTable,BP$5/100,MONTH($A59)))*$D59</f>
        <v>-9692.9894260563597</v>
      </c>
      <c r="BQ59" s="1021">
        <f>(VLOOKUP(YEAR($A59),'NY East Load Projections'!$A$4:$EO$14,((MONTH($A59)-1)*12)+VLOOKUP(BQ$4,$DE$6:$DF$17,2)+1))*(VLOOKUP($A59,SatSunCurve,8))*(INDEX(DailyScalarsTable,BQ$5/100,MONTH($A59)))*$D59</f>
        <v>-10453.638187556153</v>
      </c>
      <c r="BR59" s="1021">
        <f>(VLOOKUP(YEAR($A59),'NY East Load Projections'!$A$4:$EO$14,((MONTH($A59)-1)*12)+VLOOKUP(BR$4,$DE$6:$DF$17,2)+1))*(VLOOKUP($A59,SatSunCurve,8))*(INDEX(DailyScalarsTable,BR$5/100,MONTH($A59)))*$D59</f>
        <v>-11155.559412697587</v>
      </c>
      <c r="BS59" s="1021">
        <f>(VLOOKUP(YEAR($A59),'NY East Load Projections'!$A$4:$EO$14,((MONTH($A59)-1)*12)+VLOOKUP(BS$4,$DE$6:$DF$17,2)+1))*(VLOOKUP($A59,SatSunCurve,8))*(INDEX(DailyScalarsTable,BS$5/100,MONTH($A59)))*$D59</f>
        <v>-12336.752246208358</v>
      </c>
      <c r="BT59" s="1021">
        <f>(VLOOKUP(YEAR($A59),'NY East Load Projections'!$A$4:$EO$14,((MONTH($A59)-1)*12)+VLOOKUP(BT$4,$DE$6:$DF$17,2)+1))*(VLOOKUP($A59,SatSunCurve,8))*(INDEX(DailyScalarsTable,BT$5/100,MONTH($A59)))*$D59</f>
        <v>-12431.681635813129</v>
      </c>
      <c r="BU59" s="1021">
        <f>(VLOOKUP(YEAR($A59),'NY East Load Projections'!$A$4:$EO$14,((MONTH($A59)-1)*12)+VLOOKUP(BU$4,$DE$6:$DF$17,2)+1))*(VLOOKUP($A59,SatSunCurve,8))*(INDEX(DailyScalarsTable,BU$5/100,MONTH($A59)))*$D59</f>
        <v>-12452.02364787129</v>
      </c>
      <c r="BV59" s="1021">
        <f>(VLOOKUP(YEAR($A59),'NY East Load Projections'!$A$4:$EO$14,((MONTH($A59)-1)*12)+VLOOKUP(BV$4,$DE$6:$DF$17,2)+1))*(VLOOKUP($A59,SatSunCurve,8))*(INDEX(DailyScalarsTable,BV$5/100,MONTH($A59)))*$D59</f>
        <v>-12059.743580220929</v>
      </c>
      <c r="BW59" s="1021">
        <f>(VLOOKUP(YEAR($A59),'NY East Load Projections'!$A$4:$EO$14,((MONTH($A59)-1)*12)+VLOOKUP(BW$4,$DE$6:$DF$17,2)+1))*(VLOOKUP($A59,SatSunCurve,8))*(INDEX(DailyScalarsTable,BW$5/100,MONTH($A59)))*$D59</f>
        <v>-11701.738117599429</v>
      </c>
      <c r="BX59" s="1021">
        <f>(VLOOKUP(YEAR($A59),'NY East Load Projections'!$A$4:$EO$14,((MONTH($A59)-1)*12)+VLOOKUP(BX$4,$DE$6:$DF$17,2)+1))*(VLOOKUP($A59,SatSunCurve,8))*(INDEX(DailyScalarsTable,BX$5/100,MONTH($A59)))*$D59</f>
        <v>-9991.8419910714802</v>
      </c>
      <c r="BY59" s="1021">
        <f>(VLOOKUP(YEAR($A59),'NY East Load Projections'!$A$4:$EO$14,((MONTH($A59)-1)*12)+VLOOKUP(BY$4,$DE$6:$DF$17,2)+1))*(VLOOKUP($A59,SatSunCurve,8))*(INDEX(DailyScalarsTable,BY$5/100,MONTH($A59)))*$D59</f>
        <v>-7989.8547650761748</v>
      </c>
      <c r="BZ59" s="1021">
        <f>(VLOOKUP(YEAR($A59),'NY East Load Projections'!$A$4:$EO$14,((MONTH($A59)-1)*12)+VLOOKUP(BZ$4,$DE$6:$DF$17,2)+1))*(VLOOKUP($A59,SatSunCurve,8))*(INDEX(DailyScalarsTable,BZ$5/100,MONTH($A59)))*$D59</f>
        <v>-8257.8449462058124</v>
      </c>
      <c r="CA59" s="1021">
        <f>(VLOOKUP(YEAR($A59),'NY East Load Projections'!$A$4:$EO$14,((MONTH($A59)-1)*12)+VLOOKUP(CA$4,$DE$6:$DF$17,2)+1))*(VLOOKUP($A59,SatSunCurve,8))*(INDEX(DailyScalarsTable,CA$5/100,MONTH($A59)))*$D59</f>
        <v>-8413.9548462010716</v>
      </c>
      <c r="CB59" s="1021">
        <f>(VLOOKUP(YEAR($A59),'NY East Load Projections'!$A$4:$EO$14,((MONTH($A59)-1)*12)+VLOOKUP(CB$4,$DE$6:$DF$17,2)+1))*(VLOOKUP($A59,SatSunCurve,8))*(INDEX(DailyScalarsTable,CB$5/100,MONTH($A59)))*$D59</f>
        <v>-6747.1436305036787</v>
      </c>
      <c r="CC59" s="1021">
        <f>(VLOOKUP(YEAR($A59),'NY East Load Projections'!$A$4:$EO$14,((MONTH($A59)-1)*12)+VLOOKUP(CC$4,$DE$6:$DF$17,2)+1))*(VLOOKUP($A59,CURVES!$D$9:$T$261,8))*(INDEX(DailyScalarsTable,CC$5/100,MONTH($A59)))*$D59</f>
        <v>-11970.715469013738</v>
      </c>
      <c r="CE59" s="1021">
        <f>(VLOOKUP(YEAR($A59),'NY East Load Projections'!$A$4:$EO$14,((MONTH($A59)-1)*12)+VLOOKUP(CE$4,$DE$6:$DF$17,2)+1))*(VLOOKUP($A59,CURVES!$D$9:$T$261,8))*(INDEX(DailyScalarsTable,CE$5/100,MONTH($A59)))*$E59</f>
        <v>0</v>
      </c>
      <c r="CF59" s="1021">
        <f>(VLOOKUP(YEAR($A59),'NY East Load Projections'!$A$4:$EO$14,((MONTH($A59)-1)*12)+VLOOKUP(CF$4,$DE$6:$DF$17,2)+1))*(VLOOKUP($A59,CURVES!$D$9:$T$261,8))*(INDEX(DailyScalarsTable,CF$5/100,MONTH($A59)))*$E59</f>
        <v>0</v>
      </c>
      <c r="CG59" s="1021">
        <f>(VLOOKUP(YEAR($A59),'NY East Load Projections'!$A$4:$EO$14,((MONTH($A59)-1)*12)+VLOOKUP(CG$4,$DE$6:$DF$17,2)+1))*(VLOOKUP($A59,CURVES!$D$9:$T$261,8))*(INDEX(DailyScalarsTable,CG$5/100,MONTH($A59)))*$E59</f>
        <v>0</v>
      </c>
      <c r="CH59" s="1021">
        <f>(VLOOKUP(YEAR($A59),'NY East Load Projections'!$A$4:$EO$14,((MONTH($A59)-1)*12)+VLOOKUP(CH$4,$DE$6:$DF$17,2)+1))*(VLOOKUP($A59,CURVES!$D$9:$T$261,8))*(INDEX(DailyScalarsTable,CH$5/100,MONTH($A59)))*$E59</f>
        <v>0</v>
      </c>
      <c r="CI59" s="1021">
        <f>(VLOOKUP(YEAR($A59),'NY East Load Projections'!$A$4:$EO$14,((MONTH($A59)-1)*12)+VLOOKUP(CI$4,$DE$6:$DF$17,2)+1))*(VLOOKUP($A59,CURVES!$D$9:$T$261,8))*(INDEX(DailyScalarsTable,CI$5/100,MONTH($A59)))*$E59</f>
        <v>0</v>
      </c>
      <c r="CJ59" s="1021">
        <f>(VLOOKUP(YEAR($A59),'NY East Load Projections'!$A$4:$EO$14,((MONTH($A59)-1)*12)+VLOOKUP(CJ$4,$DE$6:$DF$17,2)+1))*(VLOOKUP($A59,CURVES!$D$9:$T$261,8))*(INDEX(DailyScalarsTable,CJ$5/100,MONTH($A59)))*$E59</f>
        <v>0</v>
      </c>
      <c r="CK59" s="1021">
        <f>(VLOOKUP(YEAR($A59),'NY East Load Projections'!$A$4:$EO$14,((MONTH($A59)-1)*12)+VLOOKUP(CK$4,$DE$6:$DF$17,2)+1))*(VLOOKUP($A59,CURVES!$D$9:$T$261,8))*(INDEX(DailyScalarsTable,CK$5/100,MONTH($A59)))*$E59</f>
        <v>0</v>
      </c>
      <c r="CL59" s="1021">
        <f>(VLOOKUP(YEAR($A59),'NY East Load Projections'!$A$4:$EO$14,((MONTH($A59)-1)*12)+VLOOKUP(CL$4,$DE$6:$DF$17,2)+1))*(VLOOKUP($A59,SatSunCurve,8))*(INDEX(DailyScalarsTable,CL$5/100,MONTH($A59)))*$E59</f>
        <v>0</v>
      </c>
      <c r="CM59" s="1021">
        <f>(VLOOKUP(YEAR($A59),'NY East Load Projections'!$A$4:$EO$14,((MONTH($A59)-1)*12)+VLOOKUP(CM$4,$DE$6:$DF$17,2)+1))*(VLOOKUP($A59,SatSunCurve,8))*(INDEX(DailyScalarsTable,CM$5/100,MONTH($A59)))*$E59</f>
        <v>0</v>
      </c>
      <c r="CN59" s="1021">
        <f>(VLOOKUP(YEAR($A59),'NY East Load Projections'!$A$4:$EO$14,((MONTH($A59)-1)*12)+VLOOKUP(CN$4,$DE$6:$DF$17,2)+1))*(VLOOKUP($A59,SatSunCurve,8))*(INDEX(DailyScalarsTable,CN$5/100,MONTH($A59)))*$E59</f>
        <v>0</v>
      </c>
      <c r="CO59" s="1021">
        <f>(VLOOKUP(YEAR($A59),'NY East Load Projections'!$A$4:$EO$14,((MONTH($A59)-1)*12)+VLOOKUP(CO$4,$DE$6:$DF$17,2)+1))*(VLOOKUP($A59,SatSunCurve,8))*(INDEX(DailyScalarsTable,CO$5/100,MONTH($A59)))*$E59</f>
        <v>0</v>
      </c>
      <c r="CP59" s="1021">
        <f>(VLOOKUP(YEAR($A59),'NY East Load Projections'!$A$4:$EO$14,((MONTH($A59)-1)*12)+VLOOKUP(CP$4,$DE$6:$DF$17,2)+1))*(VLOOKUP($A59,SatSunCurve,8))*(INDEX(DailyScalarsTable,CP$5/100,MONTH($A59)))*$E59</f>
        <v>0</v>
      </c>
      <c r="CQ59" s="1021">
        <f>(VLOOKUP(YEAR($A59),'NY East Load Projections'!$A$4:$EO$14,((MONTH($A59)-1)*12)+VLOOKUP(CQ$4,$DE$6:$DF$17,2)+1))*(VLOOKUP($A59,SatSunCurve,8))*(INDEX(DailyScalarsTable,CQ$5/100,MONTH($A59)))*$E59</f>
        <v>0</v>
      </c>
      <c r="CR59" s="1021">
        <f>(VLOOKUP(YEAR($A59),'NY East Load Projections'!$A$4:$EO$14,((MONTH($A59)-1)*12)+VLOOKUP(CR$4,$DE$6:$DF$17,2)+1))*(VLOOKUP($A59,SatSunCurve,8))*(INDEX(DailyScalarsTable,CR$5/100,MONTH($A59)))*$E59</f>
        <v>0</v>
      </c>
      <c r="CS59" s="1021">
        <f>(VLOOKUP(YEAR($A59),'NY East Load Projections'!$A$4:$EO$14,((MONTH($A59)-1)*12)+VLOOKUP(CS$4,$DE$6:$DF$17,2)+1))*(VLOOKUP($A59,SatSunCurve,8))*(INDEX(DailyScalarsTable,CS$5/100,MONTH($A59)))*$E59</f>
        <v>0</v>
      </c>
      <c r="CT59" s="1021">
        <f>(VLOOKUP(YEAR($A59),'NY East Load Projections'!$A$4:$EO$14,((MONTH($A59)-1)*12)+VLOOKUP(CT$4,$DE$6:$DF$17,2)+1))*(VLOOKUP($A59,SatSunCurve,8))*(INDEX(DailyScalarsTable,CT$5/100,MONTH($A59)))*$E59</f>
        <v>0</v>
      </c>
      <c r="CU59" s="1021">
        <f>(VLOOKUP(YEAR($A59),'NY East Load Projections'!$A$4:$EO$14,((MONTH($A59)-1)*12)+VLOOKUP(CU$4,$DE$6:$DF$17,2)+1))*(VLOOKUP($A59,SatSunCurve,8))*(INDEX(DailyScalarsTable,CU$5/100,MONTH($A59)))*$E59</f>
        <v>0</v>
      </c>
      <c r="CV59" s="1021">
        <f>(VLOOKUP(YEAR($A59),'NY East Load Projections'!$A$4:$EO$14,((MONTH($A59)-1)*12)+VLOOKUP(CV$4,$DE$6:$DF$17,2)+1))*(VLOOKUP($A59,SatSunCurve,8))*(INDEX(DailyScalarsTable,CV$5/100,MONTH($A59)))*$E59</f>
        <v>0</v>
      </c>
      <c r="CW59" s="1021">
        <f>(VLOOKUP(YEAR($A59),'NY East Load Projections'!$A$4:$EO$14,((MONTH($A59)-1)*12)+VLOOKUP(CW$4,$DE$6:$DF$17,2)+1))*(VLOOKUP($A59,SatSunCurve,8))*(INDEX(DailyScalarsTable,CW$5/100,MONTH($A59)))*$E59</f>
        <v>0</v>
      </c>
      <c r="CX59" s="1021">
        <f>(VLOOKUP(YEAR($A59),'NY East Load Projections'!$A$4:$EO$14,((MONTH($A59)-1)*12)+VLOOKUP(CX$4,$DE$6:$DF$17,2)+1))*(VLOOKUP($A59,SatSunCurve,8))*(INDEX(DailyScalarsTable,CX$5/100,MONTH($A59)))*$E59</f>
        <v>0</v>
      </c>
      <c r="CY59" s="1021">
        <f>(VLOOKUP(YEAR($A59),'NY East Load Projections'!$A$4:$EO$14,((MONTH($A59)-1)*12)+VLOOKUP(CY$4,$DE$6:$DF$17,2)+1))*(VLOOKUP($A59,SatSunCurve,8))*(INDEX(DailyScalarsTable,CY$5/100,MONTH($A59)))*$E59</f>
        <v>0</v>
      </c>
      <c r="CZ59" s="1021">
        <f>(VLOOKUP(YEAR($A59),'NY East Load Projections'!$A$4:$EO$14,((MONTH($A59)-1)*12)+VLOOKUP(CZ$4,$DE$6:$DF$17,2)+1))*(VLOOKUP($A59,SatSunCurve,8))*(INDEX(DailyScalarsTable,CZ$5/100,MONTH($A59)))*$E59</f>
        <v>0</v>
      </c>
      <c r="DA59" s="1021">
        <f>(VLOOKUP(YEAR($A59),'NY East Load Projections'!$A$4:$EO$14,((MONTH($A59)-1)*12)+VLOOKUP(DA$4,$DE$6:$DF$17,2)+1))*(VLOOKUP($A59,SatSunCurve,8))*(INDEX(DailyScalarsTable,DA$5/100,MONTH($A59)))*$E59</f>
        <v>0</v>
      </c>
      <c r="DB59" s="1021">
        <f>(VLOOKUP(YEAR($A59),'NY East Load Projections'!$A$4:$EO$14,((MONTH($A59)-1)*12)+VLOOKUP(DB$4,$DE$6:$DF$17,2)+1))*(VLOOKUP($A59,CURVES!$D$9:$T$261,8))*(INDEX(DailyScalarsTable,DB$5/100,MONTH($A59)))*$E59</f>
        <v>0</v>
      </c>
      <c r="DH59" s="1021">
        <f t="shared" si="0"/>
        <v>-3002885.2969739167</v>
      </c>
      <c r="DI59">
        <f ca="1">CALC!J79</f>
        <v>0.67928709125806674</v>
      </c>
      <c r="DJ59" s="1029">
        <f t="shared" ca="1" si="1"/>
        <v>-2039821.2187630278</v>
      </c>
    </row>
    <row r="60" spans="1:114" x14ac:dyDescent="0.25">
      <c r="A60" s="244">
        <v>38534</v>
      </c>
      <c r="B60" s="13">
        <v>20</v>
      </c>
      <c r="C60" s="210">
        <v>5</v>
      </c>
      <c r="D60" s="210">
        <v>5</v>
      </c>
      <c r="E60" s="210">
        <v>1</v>
      </c>
      <c r="F60" s="13">
        <v>31</v>
      </c>
      <c r="H60" s="1021">
        <f>(VLOOKUP(YEAR($A60),'NY East Load Projections'!$A$4:$EO$14,((MONTH($A60)-1)*12)+VLOOKUP(H$4,$DE$6:$DF$17,2)+1))*(VLOOKUP($A60,CURVES!$D$9:$K$261,8))*(INDEX(DailyScalarsTable,H$5/100,MONTH($A60)))*$B60</f>
        <v>-56721.138689873769</v>
      </c>
      <c r="I60" s="1021">
        <f>(VLOOKUP(YEAR($A60),'NY East Load Projections'!$A$4:$EO$14,((MONTH($A60)-1)*12)+VLOOKUP(I$4,$DE$6:$DF$17,2)+1))*(VLOOKUP($A60,CURVES!$D$9:$K$261,8))*(INDEX(DailyScalarsTable,I$5/100,MONTH($A60)))*$B60</f>
        <v>-51810.983576147111</v>
      </c>
      <c r="J60" s="1021">
        <f>(VLOOKUP(YEAR($A60),'NY East Load Projections'!$A$4:$EO$14,((MONTH($A60)-1)*12)+VLOOKUP(J$4,$DE$6:$DF$17,2)+1))*(VLOOKUP($A60,CURVES!$D$9:$K$261,8))*(INDEX(DailyScalarsTable,J$5/100,MONTH($A60)))*$B60</f>
        <v>-49366.964927197609</v>
      </c>
      <c r="K60" s="1021">
        <f>(VLOOKUP(YEAR($A60),'NY East Load Projections'!$A$4:$EO$14,((MONTH($A60)-1)*12)+VLOOKUP(K$4,$DE$6:$DF$17,2)+1))*(VLOOKUP($A60,CURVES!$D$9:$K$261,8))*(INDEX(DailyScalarsTable,K$5/100,MONTH($A60)))*$B60</f>
        <v>-44456.809813470943</v>
      </c>
      <c r="L60" s="1021">
        <f>(VLOOKUP(YEAR($A60),'NY East Load Projections'!$A$4:$EO$14,((MONTH($A60)-1)*12)+VLOOKUP(L$4,$DE$6:$DF$17,2)+1))*(VLOOKUP($A60,CURVES!$D$9:$K$261,8))*(INDEX(DailyScalarsTable,L$5/100,MONTH($A60)))*$B60</f>
        <v>-46203.37679233696</v>
      </c>
      <c r="M60" s="1021">
        <f>(VLOOKUP(YEAR($A60),'NY East Load Projections'!$A$4:$EO$14,((MONTH($A60)-1)*12)+VLOOKUP(M$4,$DE$6:$DF$17,2)+1))*(VLOOKUP($A60,CURVES!$D$9:$K$261,8))*(INDEX(DailyScalarsTable,M$5/100,MONTH($A60)))*$B60</f>
        <v>-50937.527821111515</v>
      </c>
      <c r="N60" s="1021">
        <f>(VLOOKUP(YEAR($A60),'NY East Load Projections'!$A$4:$EO$14,((MONTH($A60)-1)*12)+VLOOKUP(N$4,$DE$6:$DF$17,2)+1))*(VLOOKUP($A60,CURVES!$D$9:$K$261,8))*(INDEX(DailyScalarsTable,N$5/100,MONTH($A60)))*$B60</f>
        <v>-56567.656282441887</v>
      </c>
      <c r="O60" s="1021">
        <f>(VLOOKUP(YEAR($A60),'NY East Load Projections'!$A$4:$EO$14,((MONTH($A60)-1)*12)+VLOOKUP(O$4,$DE$6:$DF$17,2)+1))*(VLOOKUP($A60,CURVES!$D$9:$K$261,4))*(INDEX(DailyScalarsTable,O$5/100,MONTH($A60)))*$B60</f>
        <v>-92117.000911352152</v>
      </c>
      <c r="P60" s="1021">
        <f>(VLOOKUP(YEAR($A60),'NY East Load Projections'!$A$4:$EO$14,((MONTH($A60)-1)*12)+VLOOKUP(P$4,$DE$6:$DF$17,2)+1))*(VLOOKUP($A60,CURVES!$D$9:$K$261,4))*(INDEX(DailyScalarsTable,P$5/100,MONTH($A60)))*$B60</f>
        <v>-114638.14022540393</v>
      </c>
      <c r="Q60" s="1021">
        <f>(VLOOKUP(YEAR($A60),'NY East Load Projections'!$A$4:$EO$14,((MONTH($A60)-1)*12)+VLOOKUP(Q$4,$DE$6:$DF$17,2)+1))*(VLOOKUP($A60,CURVES!$D$9:$K$261,4))*(INDEX(DailyScalarsTable,Q$5/100,MONTH($A60)))*$B60</f>
        <v>-137253.27987363594</v>
      </c>
      <c r="R60" s="1021">
        <f>(VLOOKUP(YEAR($A60),'NY East Load Projections'!$A$4:$EO$14,((MONTH($A60)-1)*12)+VLOOKUP(R$4,$DE$6:$DF$17,2)+1))*(VLOOKUP($A60,CURVES!$D$9:$K$261,4))*(INDEX(DailyScalarsTable,R$5/100,MONTH($A60)))*$B60</f>
        <v>-156179.76782710644</v>
      </c>
      <c r="S60" s="1021">
        <f>(VLOOKUP(YEAR($A60),'NY East Load Projections'!$A$4:$EO$14,((MONTH($A60)-1)*12)+VLOOKUP(S$4,$DE$6:$DF$17,2)+1))*(VLOOKUP($A60,CURVES!$D$9:$K$261,4))*(INDEX(DailyScalarsTable,S$5/100,MONTH($A60)))*$B60</f>
        <v>-186719.87094181296</v>
      </c>
      <c r="T60" s="1021">
        <f>(VLOOKUP(YEAR($A60),'NY East Load Projections'!$A$4:$EO$14,((MONTH($A60)-1)*12)+VLOOKUP(T$4,$DE$6:$DF$17,2)+1))*(VLOOKUP($A60,CURVES!$D$9:$K$261,4))*(INDEX(DailyScalarsTable,T$5/100,MONTH($A60)))*$B60</f>
        <v>-209739.9289689851</v>
      </c>
      <c r="U60" s="1021">
        <f>(VLOOKUP(YEAR($A60),'NY East Load Projections'!$A$4:$EO$14,((MONTH($A60)-1)*12)+VLOOKUP(U$4,$DE$6:$DF$17,2)+1))*(VLOOKUP($A60,CURVES!$D$9:$K$261,4))*(INDEX(DailyScalarsTable,U$5/100,MONTH($A60)))*$B60</f>
        <v>-216799.11568287545</v>
      </c>
      <c r="V60" s="1021">
        <f>(VLOOKUP(YEAR($A60),'NY East Load Projections'!$A$4:$EO$14,((MONTH($A60)-1)*12)+VLOOKUP(V$4,$DE$6:$DF$17,2)+1))*(VLOOKUP($A60,CURVES!$D$9:$K$261,4))*(INDEX(DailyScalarsTable,V$5/100,MONTH($A60)))*$B60</f>
        <v>-225828.30799133988</v>
      </c>
      <c r="W60" s="1021">
        <f>(VLOOKUP(YEAR($A60),'NY East Load Projections'!$A$4:$EO$14,((MONTH($A60)-1)*12)+VLOOKUP(W$4,$DE$6:$DF$17,2)+1))*(VLOOKUP($A60,CURVES!$D$9:$K$261,4))*(INDEX(DailyScalarsTable,W$5/100,MONTH($A60)))*$B60</f>
        <v>-239667.59729322273</v>
      </c>
      <c r="X60" s="1021">
        <f>(VLOOKUP(YEAR($A60),'NY East Load Projections'!$A$4:$EO$14,((MONTH($A60)-1)*12)+VLOOKUP(X$4,$DE$6:$DF$17,2)+1))*(VLOOKUP($A60,CURVES!$D$9:$K$261,4))*(INDEX(DailyScalarsTable,X$5/100,MONTH($A60)))*$B60</f>
        <v>-231676.51423751895</v>
      </c>
      <c r="Y60" s="1021">
        <f>(VLOOKUP(YEAR($A60),'NY East Load Projections'!$A$4:$EO$14,((MONTH($A60)-1)*12)+VLOOKUP(Y$4,$DE$6:$DF$17,2)+1))*(VLOOKUP($A60,CURVES!$D$9:$K$261,4))*(INDEX(DailyScalarsTable,Y$5/100,MONTH($A60)))*$B60</f>
        <v>-225935.55434539318</v>
      </c>
      <c r="Z60" s="1021">
        <f>(VLOOKUP(YEAR($A60),'NY East Load Projections'!$A$4:$EO$14,((MONTH($A60)-1)*12)+VLOOKUP(Z$4,$DE$6:$DF$17,2)+1))*(VLOOKUP($A60,CURVES!$D$9:$K$261,4))*(INDEX(DailyScalarsTable,Z$5/100,MONTH($A60)))*$B60</f>
        <v>-188704.88490946661</v>
      </c>
      <c r="AA60" s="1021">
        <f>(VLOOKUP(YEAR($A60),'NY East Load Projections'!$A$4:$EO$14,((MONTH($A60)-1)*12)+VLOOKUP(AA$4,$DE$6:$DF$17,2)+1))*(VLOOKUP($A60,CURVES!$D$9:$K$261,4))*(INDEX(DailyScalarsTable,AA$5/100,MONTH($A60)))*$B60</f>
        <v>-139634.45808083625</v>
      </c>
      <c r="AB60" s="1021">
        <f>(VLOOKUP(YEAR($A60),'NY East Load Projections'!$A$4:$EO$14,((MONTH($A60)-1)*12)+VLOOKUP(AB$4,$DE$6:$DF$17,2)+1))*(VLOOKUP($A60,CURVES!$D$9:$K$261,4))*(INDEX(DailyScalarsTable,AB$5/100,MONTH($A60)))*$B60</f>
        <v>-136576.63305636749</v>
      </c>
      <c r="AC60" s="1021">
        <f>(VLOOKUP(YEAR($A60),'NY East Load Projections'!$A$4:$EO$14,((MONTH($A60)-1)*12)+VLOOKUP(AC$4,$DE$6:$DF$17,2)+1))*(VLOOKUP($A60,CURVES!$D$9:$K$261,4))*(INDEX(DailyScalarsTable,AC$5/100,MONTH($A60)))*$B60</f>
        <v>-144721.4267271008</v>
      </c>
      <c r="AD60" s="1021">
        <f>(VLOOKUP(YEAR($A60),'NY East Load Projections'!$A$4:$EO$14,((MONTH($A60)-1)*12)+VLOOKUP(AD$4,$DE$6:$DF$17,2)+1))*(VLOOKUP($A60,CURVES!$D$9:$K$261,4))*(INDEX(DailyScalarsTable,AD$5/100,MONTH($A60)))*$B60</f>
        <v>-100502.90162957231</v>
      </c>
      <c r="AE60" s="1021">
        <f>(VLOOKUP(YEAR($A60),'NY East Load Projections'!$A$4:$EO$14,((MONTH($A60)-1)*12)+VLOOKUP(AE$4,$DE$6:$DF$17,2)+1))*(VLOOKUP($A60,CURVES!$D$9:$K$261,8))*(INDEX(DailyScalarsTable,AE$5/100,MONTH($A60)))*$B60</f>
        <v>-67664.603428526156</v>
      </c>
      <c r="AF60" s="1021"/>
      <c r="AG60" s="1021">
        <f>(VLOOKUP(YEAR($A60),'NY East Load Projections'!$A$4:$EO$14,((MONTH($A60)-1)*12)+VLOOKUP(AG$4,$DE$6:$DF$17,2)+1))*(VLOOKUP($A60,CURVES!$D$9:$T$261,8))*(INDEX(DailyScalarsTable,AG$5/100,MONTH($A60)))*$C60</f>
        <v>-13584.795020345708</v>
      </c>
      <c r="AH60" s="1021">
        <f>(VLOOKUP(YEAR($A60),'NY East Load Projections'!$A$4:$EO$14,((MONTH($A60)-1)*12)+VLOOKUP(AH$4,$DE$6:$DF$17,2)+1))*(VLOOKUP($A60,CURVES!$D$9:$T$261,8))*(INDEX(DailyScalarsTable,AH$5/100,MONTH($A60)))*$C60</f>
        <v>-12408.805745821723</v>
      </c>
      <c r="AI60" s="1021">
        <f>(VLOOKUP(YEAR($A60),'NY East Load Projections'!$A$4:$EO$14,((MONTH($A60)-1)*12)+VLOOKUP(AI$4,$DE$6:$DF$17,2)+1))*(VLOOKUP($A60,CURVES!$D$9:$T$261,8))*(INDEX(DailyScalarsTable,AI$5/100,MONTH($A60)))*$C60</f>
        <v>-11823.459733051906</v>
      </c>
      <c r="AJ60" s="1021">
        <f>(VLOOKUP(YEAR($A60),'NY East Load Projections'!$A$4:$EO$14,((MONTH($A60)-1)*12)+VLOOKUP(AJ$4,$DE$6:$DF$17,2)+1))*(VLOOKUP($A60,CURVES!$D$9:$T$261,8))*(INDEX(DailyScalarsTable,AJ$5/100,MONTH($A60)))*$C60</f>
        <v>-10647.470458527923</v>
      </c>
      <c r="AK60" s="1021">
        <f>(VLOOKUP(YEAR($A60),'NY East Load Projections'!$A$4:$EO$14,((MONTH($A60)-1)*12)+VLOOKUP(AK$4,$DE$6:$DF$17,2)+1))*(VLOOKUP($A60,CURVES!$D$9:$T$261,8))*(INDEX(DailyScalarsTable,AK$5/100,MONTH($A60)))*$C60</f>
        <v>-10246.247799997614</v>
      </c>
      <c r="AL60" s="1021">
        <f>(VLOOKUP(YEAR($A60),'NY East Load Projections'!$A$4:$EO$14,((MONTH($A60)-1)*12)+VLOOKUP(AL$4,$DE$6:$DF$17,2)+1))*(VLOOKUP($A60,CURVES!$D$9:$T$261,8))*(INDEX(DailyScalarsTable,AL$5/100,MONTH($A60)))*$C60</f>
        <v>-11296.112288938666</v>
      </c>
      <c r="AM60" s="1021">
        <f>(VLOOKUP(YEAR($A60),'NY East Load Projections'!$A$4:$EO$14,((MONTH($A60)-1)*12)+VLOOKUP(AM$4,$DE$6:$DF$17,2)+1))*(VLOOKUP($A60,CURVES!$D$9:$T$261,8))*(INDEX(DailyScalarsTable,AM$5/100,MONTH($A60)))*$C60</f>
        <v>-12544.672358906928</v>
      </c>
      <c r="AN60" s="1021">
        <f>(VLOOKUP(YEAR($A60),'NY East Load Projections'!$A$4:$EO$14,((MONTH($A60)-1)*12)+VLOOKUP(AN$4,$DE$6:$DF$17,2)+1))*(VLOOKUP($A60,SatSunCurve,4))*(INDEX(DailyScalarsTable,AN$5/100,MONTH($A60)))*$C60</f>
        <v>-11857.063895792935</v>
      </c>
      <c r="AO60" s="1021">
        <f>(VLOOKUP(YEAR($A60),'NY East Load Projections'!$A$4:$EO$14,((MONTH($A60)-1)*12)+VLOOKUP(AO$4,$DE$6:$DF$17,2)+1))*(VLOOKUP($A60,SatSunCurve,4))*(INDEX(DailyScalarsTable,AO$5/100,MONTH($A60)))*$C60</f>
        <v>-14338.378302377278</v>
      </c>
      <c r="AP60" s="1021">
        <f>(VLOOKUP(YEAR($A60),'NY East Load Projections'!$A$4:$EO$14,((MONTH($A60)-1)*12)+VLOOKUP(AP$4,$DE$6:$DF$17,2)+1))*(VLOOKUP($A60,SatSunCurve,4))*(INDEX(DailyScalarsTable,AP$5/100,MONTH($A60)))*$C60</f>
        <v>-17166.969441415873</v>
      </c>
      <c r="AQ60" s="1021">
        <f>(VLOOKUP(YEAR($A60),'NY East Load Projections'!$A$4:$EO$14,((MONTH($A60)-1)*12)+VLOOKUP(AQ$4,$DE$6:$DF$17,2)+1))*(VLOOKUP($A60,SatSunCurve,4))*(INDEX(DailyScalarsTable,AQ$5/100,MONTH($A60)))*$C60</f>
        <v>-19534.202054215271</v>
      </c>
      <c r="AR60" s="1021">
        <f>(VLOOKUP(YEAR($A60),'NY East Load Projections'!$A$4:$EO$14,((MONTH($A60)-1)*12)+VLOOKUP(AR$4,$DE$6:$DF$17,2)+1))*(VLOOKUP($A60,SatSunCurve,4))*(INDEX(DailyScalarsTable,AR$5/100,MONTH($A60)))*$C60</f>
        <v>-23354.008891549453</v>
      </c>
      <c r="AS60" s="1021">
        <f>(VLOOKUP(YEAR($A60),'NY East Load Projections'!$A$4:$EO$14,((MONTH($A60)-1)*12)+VLOOKUP(AS$4,$DE$6:$DF$17,2)+1))*(VLOOKUP($A60,SatSunCurve,4))*(INDEX(DailyScalarsTable,AS$5/100,MONTH($A60)))*$C60</f>
        <v>-26535.119132871732</v>
      </c>
      <c r="AT60" s="1021">
        <f>(VLOOKUP(YEAR($A60),'NY East Load Projections'!$A$4:$EO$14,((MONTH($A60)-1)*12)+VLOOKUP(AT$4,$DE$6:$DF$17,2)+1))*(VLOOKUP($A60,SatSunCurve,4))*(INDEX(DailyScalarsTable,AT$5/100,MONTH($A60)))*$C60</f>
        <v>-27428.20783255354</v>
      </c>
      <c r="AU60" s="1021">
        <f>(VLOOKUP(YEAR($A60),'NY East Load Projections'!$A$4:$EO$14,((MONTH($A60)-1)*12)+VLOOKUP(AU$4,$DE$6:$DF$17,2)+1))*(VLOOKUP($A60,SatSunCurve,4))*(INDEX(DailyScalarsTable,AU$5/100,MONTH($A60)))*$C60</f>
        <v>-28570.530587960508</v>
      </c>
      <c r="AV60" s="1021">
        <f>(VLOOKUP(YEAR($A60),'NY East Load Projections'!$A$4:$EO$14,((MONTH($A60)-1)*12)+VLOOKUP(AV$4,$DE$6:$DF$17,2)+1))*(VLOOKUP($A60,SatSunCurve,4))*(INDEX(DailyScalarsTable,AV$5/100,MONTH($A60)))*$C60</f>
        <v>-30321.399829429742</v>
      </c>
      <c r="AW60" s="1021">
        <f>(VLOOKUP(YEAR($A60),'NY East Load Projections'!$A$4:$EO$14,((MONTH($A60)-1)*12)+VLOOKUP(AW$4,$DE$6:$DF$17,2)+1))*(VLOOKUP($A60,SatSunCurve,4))*(INDEX(DailyScalarsTable,AW$5/100,MONTH($A60)))*$C60</f>
        <v>-29395.975961362543</v>
      </c>
      <c r="AX60" s="1021">
        <f>(VLOOKUP(YEAR($A60),'NY East Load Projections'!$A$4:$EO$14,((MONTH($A60)-1)*12)+VLOOKUP(AX$4,$DE$6:$DF$17,2)+1))*(VLOOKUP($A60,SatSunCurve,4))*(INDEX(DailyScalarsTable,AX$5/100,MONTH($A60)))*$C60</f>
        <v>-28667.541663481752</v>
      </c>
      <c r="AY60" s="1021">
        <f>(VLOOKUP(YEAR($A60),'NY East Load Projections'!$A$4:$EO$14,((MONTH($A60)-1)*12)+VLOOKUP(AY$4,$DE$6:$DF$17,2)+1))*(VLOOKUP($A60,SatSunCurve,4))*(INDEX(DailyScalarsTable,AY$5/100,MONTH($A60)))*$C60</f>
        <v>-23943.576149040779</v>
      </c>
      <c r="AZ60" s="1021">
        <f>(VLOOKUP(YEAR($A60),'NY East Load Projections'!$A$4:$EO$14,((MONTH($A60)-1)*12)+VLOOKUP(AZ$4,$DE$6:$DF$17,2)+1))*(VLOOKUP($A60,SatSunCurve,4))*(INDEX(DailyScalarsTable,AZ$5/100,MONTH($A60)))*$C60</f>
        <v>-17717.338275013688</v>
      </c>
      <c r="BA60" s="1021">
        <f>(VLOOKUP(YEAR($A60),'NY East Load Projections'!$A$4:$EO$14,((MONTH($A60)-1)*12)+VLOOKUP(BA$4,$DE$6:$DF$17,2)+1))*(VLOOKUP($A60,SatSunCurve,4))*(INDEX(DailyScalarsTable,BA$5/100,MONTH($A60)))*$C60</f>
        <v>-18615.756339429816</v>
      </c>
      <c r="BB60" s="1021">
        <f>(VLOOKUP(YEAR($A60),'NY East Load Projections'!$A$4:$EO$14,((MONTH($A60)-1)*12)+VLOOKUP(BB$4,$DE$6:$DF$17,2)+1))*(VLOOKUP($A60,SatSunCurve,4))*(INDEX(DailyScalarsTable,BB$5/100,MONTH($A60)))*$C60</f>
        <v>-19725.913260246023</v>
      </c>
      <c r="BC60" s="1021">
        <f>(VLOOKUP(YEAR($A60),'NY East Load Projections'!$A$4:$EO$14,((MONTH($A60)-1)*12)+VLOOKUP(BC$4,$DE$6:$DF$17,2)+1))*(VLOOKUP($A60,SatSunCurve,4))*(INDEX(DailyScalarsTable,BC$5/100,MONTH($A60)))*$C60</f>
        <v>-13698.811328652644</v>
      </c>
      <c r="BD60" s="1021">
        <f>(VLOOKUP(YEAR($A60),'NY East Load Projections'!$A$4:$EO$14,((MONTH($A60)-1)*12)+VLOOKUP(BD$4,$DE$6:$DF$17,2)+1))*(VLOOKUP($A60,CURVES!$D$9:$T$261,8))*(INDEX(DailyScalarsTable,BD$5/100,MONTH($A60)))*$C60</f>
        <v>-15889.84247935551</v>
      </c>
      <c r="BE60" s="1021"/>
      <c r="BF60" s="1021">
        <f>(VLOOKUP(YEAR($A60),'NY East Load Projections'!$A$4:$EO$14,((MONTH($A60)-1)*12)+VLOOKUP(BF$4,$DE$6:$DF$17,2)+1))*(VLOOKUP($A60,CURVES!$D$9:$T$261,8))*(INDEX(DailyScalarsTable,BF$5/100,MONTH($A60)))*$D60</f>
        <v>-13584.795020345708</v>
      </c>
      <c r="BG60" s="1021">
        <f>(VLOOKUP(YEAR($A60),'NY East Load Projections'!$A$4:$EO$14,((MONTH($A60)-1)*12)+VLOOKUP(BG$4,$DE$6:$DF$17,2)+1))*(VLOOKUP($A60,CURVES!$D$9:$T$261,8))*(INDEX(DailyScalarsTable,BG$5/100,MONTH($A60)))*$D60</f>
        <v>-12408.805745821723</v>
      </c>
      <c r="BH60" s="1021">
        <f>(VLOOKUP(YEAR($A60),'NY East Load Projections'!$A$4:$EO$14,((MONTH($A60)-1)*12)+VLOOKUP(BH$4,$DE$6:$DF$17,2)+1))*(VLOOKUP($A60,CURVES!$D$9:$T$261,8))*(INDEX(DailyScalarsTable,BH$5/100,MONTH($A60)))*$D60</f>
        <v>-11823.459733051906</v>
      </c>
      <c r="BI60" s="1021">
        <f>(VLOOKUP(YEAR($A60),'NY East Load Projections'!$A$4:$EO$14,((MONTH($A60)-1)*12)+VLOOKUP(BI$4,$DE$6:$DF$17,2)+1))*(VLOOKUP($A60,CURVES!$D$9:$T$261,8))*(INDEX(DailyScalarsTable,BI$5/100,MONTH($A60)))*$D60</f>
        <v>-10647.470458527923</v>
      </c>
      <c r="BJ60" s="1021">
        <f>(VLOOKUP(YEAR($A60),'NY East Load Projections'!$A$4:$EO$14,((MONTH($A60)-1)*12)+VLOOKUP(BJ$4,$DE$6:$DF$17,2)+1))*(VLOOKUP($A60,CURVES!$D$9:$T$261,8))*(INDEX(DailyScalarsTable,BJ$5/100,MONTH($A60)))*$D60</f>
        <v>-10246.247799997614</v>
      </c>
      <c r="BK60" s="1021">
        <f>(VLOOKUP(YEAR($A60),'NY East Load Projections'!$A$4:$EO$14,((MONTH($A60)-1)*12)+VLOOKUP(BK$4,$DE$6:$DF$17,2)+1))*(VLOOKUP($A60,CURVES!$D$9:$T$261,8))*(INDEX(DailyScalarsTable,BK$5/100,MONTH($A60)))*$D60</f>
        <v>-11296.112288938666</v>
      </c>
      <c r="BL60" s="1021">
        <f>(VLOOKUP(YEAR($A60),'NY East Load Projections'!$A$4:$EO$14,((MONTH($A60)-1)*12)+VLOOKUP(BL$4,$DE$6:$DF$17,2)+1))*(VLOOKUP($A60,CURVES!$D$9:$T$261,8))*(INDEX(DailyScalarsTable,BL$5/100,MONTH($A60)))*$D60</f>
        <v>-12544.672358906928</v>
      </c>
      <c r="BM60" s="1021">
        <f>(VLOOKUP(YEAR($A60),'NY East Load Projections'!$A$4:$EO$14,((MONTH($A60)-1)*12)+VLOOKUP(BM$4,$DE$6:$DF$17,2)+1))*(VLOOKUP($A60,SatSunCurve,8))*(INDEX(DailyScalarsTable,BM$5/100,MONTH($A60)))*$D60</f>
        <v>-9018.302992871455</v>
      </c>
      <c r="BN60" s="1021">
        <f>(VLOOKUP(YEAR($A60),'NY East Load Projections'!$A$4:$EO$14,((MONTH($A60)-1)*12)+VLOOKUP(BN$4,$DE$6:$DF$17,2)+1))*(VLOOKUP($A60,SatSunCurve,8))*(INDEX(DailyScalarsTable,BN$5/100,MONTH($A60)))*$D60</f>
        <v>-10905.553102664184</v>
      </c>
      <c r="BO60" s="1021">
        <f>(VLOOKUP(YEAR($A60),'NY East Load Projections'!$A$4:$EO$14,((MONTH($A60)-1)*12)+VLOOKUP(BO$4,$DE$6:$DF$17,2)+1))*(VLOOKUP($A60,SatSunCurve,8))*(INDEX(DailyScalarsTable,BO$5/100,MONTH($A60)))*$D60</f>
        <v>-13056.936628888789</v>
      </c>
      <c r="BP60" s="1021">
        <f>(VLOOKUP(YEAR($A60),'NY East Load Projections'!$A$4:$EO$14,((MONTH($A60)-1)*12)+VLOOKUP(BP$4,$DE$6:$DF$17,2)+1))*(VLOOKUP($A60,SatSunCurve,8))*(INDEX(DailyScalarsTable,BP$5/100,MONTH($A60)))*$D60</f>
        <v>-14857.41785632035</v>
      </c>
      <c r="BQ60" s="1021">
        <f>(VLOOKUP(YEAR($A60),'NY East Load Projections'!$A$4:$EO$14,((MONTH($A60)-1)*12)+VLOOKUP(BQ$4,$DE$6:$DF$17,2)+1))*(VLOOKUP($A60,SatSunCurve,8))*(INDEX(DailyScalarsTable,BQ$5/100,MONTH($A60)))*$D60</f>
        <v>-17762.7050113929</v>
      </c>
      <c r="BR60" s="1021">
        <f>(VLOOKUP(YEAR($A60),'NY East Load Projections'!$A$4:$EO$14,((MONTH($A60)-1)*12)+VLOOKUP(BR$4,$DE$6:$DF$17,2)+1))*(VLOOKUP($A60,SatSunCurve,8))*(INDEX(DailyScalarsTable,BR$5/100,MONTH($A60)))*$D60</f>
        <v>-20182.209221043806</v>
      </c>
      <c r="BS60" s="1021">
        <f>(VLOOKUP(YEAR($A60),'NY East Load Projections'!$A$4:$EO$14,((MONTH($A60)-1)*12)+VLOOKUP(BS$4,$DE$6:$DF$17,2)+1))*(VLOOKUP($A60,SatSunCurve,8))*(INDEX(DailyScalarsTable,BS$5/100,MONTH($A60)))*$D60</f>
        <v>-20861.478942791517</v>
      </c>
      <c r="BT60" s="1021">
        <f>(VLOOKUP(YEAR($A60),'NY East Load Projections'!$A$4:$EO$14,((MONTH($A60)-1)*12)+VLOOKUP(BT$4,$DE$6:$DF$17,2)+1))*(VLOOKUP($A60,SatSunCurve,8))*(INDEX(DailyScalarsTable,BT$5/100,MONTH($A60)))*$D60</f>
        <v>-21730.312307817665</v>
      </c>
      <c r="BU60" s="1021">
        <f>(VLOOKUP(YEAR($A60),'NY East Load Projections'!$A$4:$EO$14,((MONTH($A60)-1)*12)+VLOOKUP(BU$4,$DE$6:$DF$17,2)+1))*(VLOOKUP($A60,SatSunCurve,8))*(INDEX(DailyScalarsTable,BU$5/100,MONTH($A60)))*$D60</f>
        <v>-23061.996901848659</v>
      </c>
      <c r="BV60" s="1021">
        <f>(VLOOKUP(YEAR($A60),'NY East Load Projections'!$A$4:$EO$14,((MONTH($A60)-1)*12)+VLOOKUP(BV$4,$DE$6:$DF$17,2)+1))*(VLOOKUP($A60,SatSunCurve,8))*(INDEX(DailyScalarsTable,BV$5/100,MONTH($A60)))*$D60</f>
        <v>-22358.133541373194</v>
      </c>
      <c r="BW60" s="1021">
        <f>(VLOOKUP(YEAR($A60),'NY East Load Projections'!$A$4:$EO$14,((MONTH($A60)-1)*12)+VLOOKUP(BW$4,$DE$6:$DF$17,2)+1))*(VLOOKUP($A60,SatSunCurve,8))*(INDEX(DailyScalarsTable,BW$5/100,MONTH($A60)))*$D60</f>
        <v>-21804.09746073612</v>
      </c>
      <c r="BX60" s="1021">
        <f>(VLOOKUP(YEAR($A60),'NY East Load Projections'!$A$4:$EO$14,((MONTH($A60)-1)*12)+VLOOKUP(BX$4,$DE$6:$DF$17,2)+1))*(VLOOKUP($A60,SatSunCurve,8))*(INDEX(DailyScalarsTable,BX$5/100,MONTH($A60)))*$D60</f>
        <v>-18211.120926956919</v>
      </c>
      <c r="BY60" s="1021">
        <f>(VLOOKUP(YEAR($A60),'NY East Load Projections'!$A$4:$EO$14,((MONTH($A60)-1)*12)+VLOOKUP(BY$4,$DE$6:$DF$17,2)+1))*(VLOOKUP($A60,SatSunCurve,8))*(INDEX(DailyScalarsTable,BY$5/100,MONTH($A60)))*$D60</f>
        <v>-13475.538817663317</v>
      </c>
      <c r="BZ60" s="1021">
        <f>(VLOOKUP(YEAR($A60),'NY East Load Projections'!$A$4:$EO$14,((MONTH($A60)-1)*12)+VLOOKUP(BZ$4,$DE$6:$DF$17,2)+1))*(VLOOKUP($A60,SatSunCurve,8))*(INDEX(DailyScalarsTable,BZ$5/100,MONTH($A60)))*$D60</f>
        <v>-14158.861973410883</v>
      </c>
      <c r="CA60" s="1021">
        <f>(VLOOKUP(YEAR($A60),'NY East Load Projections'!$A$4:$EO$14,((MONTH($A60)-1)*12)+VLOOKUP(CA$4,$DE$6:$DF$17,2)+1))*(VLOOKUP($A60,SatSunCurve,8))*(INDEX(DailyScalarsTable,CA$5/100,MONTH($A60)))*$D60</f>
        <v>-15003.230492425617</v>
      </c>
      <c r="CB60" s="1021">
        <f>(VLOOKUP(YEAR($A60),'NY East Load Projections'!$A$4:$EO$14,((MONTH($A60)-1)*12)+VLOOKUP(CB$4,$DE$6:$DF$17,2)+1))*(VLOOKUP($A60,SatSunCurve,8))*(INDEX(DailyScalarsTable,CB$5/100,MONTH($A60)))*$D60</f>
        <v>-10419.108161153068</v>
      </c>
      <c r="CC60" s="1021">
        <f>(VLOOKUP(YEAR($A60),'NY East Load Projections'!$A$4:$EO$14,((MONTH($A60)-1)*12)+VLOOKUP(CC$4,$DE$6:$DF$17,2)+1))*(VLOOKUP($A60,CURVES!$D$9:$T$261,8))*(INDEX(DailyScalarsTable,CC$5/100,MONTH($A60)))*$D60</f>
        <v>-15889.84247935551</v>
      </c>
      <c r="CE60" s="1021">
        <f>(VLOOKUP(YEAR($A60),'NY East Load Projections'!$A$4:$EO$14,((MONTH($A60)-1)*12)+VLOOKUP(CE$4,$DE$6:$DF$17,2)+1))*(VLOOKUP($A60,CURVES!$D$9:$T$261,8))*(INDEX(DailyScalarsTable,CE$5/100,MONTH($A60)))*$E60</f>
        <v>-2716.9590040691414</v>
      </c>
      <c r="CF60" s="1021">
        <f>(VLOOKUP(YEAR($A60),'NY East Load Projections'!$A$4:$EO$14,((MONTH($A60)-1)*12)+VLOOKUP(CF$4,$DE$6:$DF$17,2)+1))*(VLOOKUP($A60,CURVES!$D$9:$T$261,8))*(INDEX(DailyScalarsTable,CF$5/100,MONTH($A60)))*$E60</f>
        <v>-2481.7611491643447</v>
      </c>
      <c r="CG60" s="1021">
        <f>(VLOOKUP(YEAR($A60),'NY East Load Projections'!$A$4:$EO$14,((MONTH($A60)-1)*12)+VLOOKUP(CG$4,$DE$6:$DF$17,2)+1))*(VLOOKUP($A60,CURVES!$D$9:$T$261,8))*(INDEX(DailyScalarsTable,CG$5/100,MONTH($A60)))*$E60</f>
        <v>-2364.6919466103814</v>
      </c>
      <c r="CH60" s="1021">
        <f>(VLOOKUP(YEAR($A60),'NY East Load Projections'!$A$4:$EO$14,((MONTH($A60)-1)*12)+VLOOKUP(CH$4,$DE$6:$DF$17,2)+1))*(VLOOKUP($A60,CURVES!$D$9:$T$261,8))*(INDEX(DailyScalarsTable,CH$5/100,MONTH($A60)))*$E60</f>
        <v>-2129.4940917055847</v>
      </c>
      <c r="CI60" s="1021">
        <f>(VLOOKUP(YEAR($A60),'NY East Load Projections'!$A$4:$EO$14,((MONTH($A60)-1)*12)+VLOOKUP(CI$4,$DE$6:$DF$17,2)+1))*(VLOOKUP($A60,CURVES!$D$9:$T$261,8))*(INDEX(DailyScalarsTable,CI$5/100,MONTH($A60)))*$E60</f>
        <v>-2049.2495599995227</v>
      </c>
      <c r="CJ60" s="1021">
        <f>(VLOOKUP(YEAR($A60),'NY East Load Projections'!$A$4:$EO$14,((MONTH($A60)-1)*12)+VLOOKUP(CJ$4,$DE$6:$DF$17,2)+1))*(VLOOKUP($A60,CURVES!$D$9:$T$261,8))*(INDEX(DailyScalarsTable,CJ$5/100,MONTH($A60)))*$E60</f>
        <v>-2259.2224577877332</v>
      </c>
      <c r="CK60" s="1021">
        <f>(VLOOKUP(YEAR($A60),'NY East Load Projections'!$A$4:$EO$14,((MONTH($A60)-1)*12)+VLOOKUP(CK$4,$DE$6:$DF$17,2)+1))*(VLOOKUP($A60,CURVES!$D$9:$T$261,8))*(INDEX(DailyScalarsTable,CK$5/100,MONTH($A60)))*$E60</f>
        <v>-2508.9344717813856</v>
      </c>
      <c r="CL60" s="1021">
        <f>(VLOOKUP(YEAR($A60),'NY East Load Projections'!$A$4:$EO$14,((MONTH($A60)-1)*12)+VLOOKUP(CL$4,$DE$6:$DF$17,2)+1))*(VLOOKUP($A60,SatSunCurve,8))*(INDEX(DailyScalarsTable,CL$5/100,MONTH($A60)))*$E60</f>
        <v>-1803.660598574291</v>
      </c>
      <c r="CM60" s="1021">
        <f>(VLOOKUP(YEAR($A60),'NY East Load Projections'!$A$4:$EO$14,((MONTH($A60)-1)*12)+VLOOKUP(CM$4,$DE$6:$DF$17,2)+1))*(VLOOKUP($A60,SatSunCurve,8))*(INDEX(DailyScalarsTable,CM$5/100,MONTH($A60)))*$E60</f>
        <v>-2181.1106205328369</v>
      </c>
      <c r="CN60" s="1021">
        <f>(VLOOKUP(YEAR($A60),'NY East Load Projections'!$A$4:$EO$14,((MONTH($A60)-1)*12)+VLOOKUP(CN$4,$DE$6:$DF$17,2)+1))*(VLOOKUP($A60,SatSunCurve,8))*(INDEX(DailyScalarsTable,CN$5/100,MONTH($A60)))*$E60</f>
        <v>-2611.3873257777577</v>
      </c>
      <c r="CO60" s="1021">
        <f>(VLOOKUP(YEAR($A60),'NY East Load Projections'!$A$4:$EO$14,((MONTH($A60)-1)*12)+VLOOKUP(CO$4,$DE$6:$DF$17,2)+1))*(VLOOKUP($A60,SatSunCurve,8))*(INDEX(DailyScalarsTable,CO$5/100,MONTH($A60)))*$E60</f>
        <v>-2971.4835712640697</v>
      </c>
      <c r="CP60" s="1021">
        <f>(VLOOKUP(YEAR($A60),'NY East Load Projections'!$A$4:$EO$14,((MONTH($A60)-1)*12)+VLOOKUP(CP$4,$DE$6:$DF$17,2)+1))*(VLOOKUP($A60,SatSunCurve,8))*(INDEX(DailyScalarsTable,CP$5/100,MONTH($A60)))*$E60</f>
        <v>-3552.54100227858</v>
      </c>
      <c r="CQ60" s="1021">
        <f>(VLOOKUP(YEAR($A60),'NY East Load Projections'!$A$4:$EO$14,((MONTH($A60)-1)*12)+VLOOKUP(CQ$4,$DE$6:$DF$17,2)+1))*(VLOOKUP($A60,SatSunCurve,8))*(INDEX(DailyScalarsTable,CQ$5/100,MONTH($A60)))*$E60</f>
        <v>-4036.4418442087608</v>
      </c>
      <c r="CR60" s="1021">
        <f>(VLOOKUP(YEAR($A60),'NY East Load Projections'!$A$4:$EO$14,((MONTH($A60)-1)*12)+VLOOKUP(CR$4,$DE$6:$DF$17,2)+1))*(VLOOKUP($A60,SatSunCurve,8))*(INDEX(DailyScalarsTable,CR$5/100,MONTH($A60)))*$E60</f>
        <v>-4172.2957885583037</v>
      </c>
      <c r="CS60" s="1021">
        <f>(VLOOKUP(YEAR($A60),'NY East Load Projections'!$A$4:$EO$14,((MONTH($A60)-1)*12)+VLOOKUP(CS$4,$DE$6:$DF$17,2)+1))*(VLOOKUP($A60,SatSunCurve,8))*(INDEX(DailyScalarsTable,CS$5/100,MONTH($A60)))*$E60</f>
        <v>-4346.0624615635334</v>
      </c>
      <c r="CT60" s="1021">
        <f>(VLOOKUP(YEAR($A60),'NY East Load Projections'!$A$4:$EO$14,((MONTH($A60)-1)*12)+VLOOKUP(CT$4,$DE$6:$DF$17,2)+1))*(VLOOKUP($A60,SatSunCurve,8))*(INDEX(DailyScalarsTable,CT$5/100,MONTH($A60)))*$E60</f>
        <v>-4612.3993803697322</v>
      </c>
      <c r="CU60" s="1021">
        <f>(VLOOKUP(YEAR($A60),'NY East Load Projections'!$A$4:$EO$14,((MONTH($A60)-1)*12)+VLOOKUP(CU$4,$DE$6:$DF$17,2)+1))*(VLOOKUP($A60,SatSunCurve,8))*(INDEX(DailyScalarsTable,CU$5/100,MONTH($A60)))*$E60</f>
        <v>-4471.626708274639</v>
      </c>
      <c r="CV60" s="1021">
        <f>(VLOOKUP(YEAR($A60),'NY East Load Projections'!$A$4:$EO$14,((MONTH($A60)-1)*12)+VLOOKUP(CV$4,$DE$6:$DF$17,2)+1))*(VLOOKUP($A60,SatSunCurve,8))*(INDEX(DailyScalarsTable,CV$5/100,MONTH($A60)))*$E60</f>
        <v>-4360.8194921472241</v>
      </c>
      <c r="CW60" s="1021">
        <f>(VLOOKUP(YEAR($A60),'NY East Load Projections'!$A$4:$EO$14,((MONTH($A60)-1)*12)+VLOOKUP(CW$4,$DE$6:$DF$17,2)+1))*(VLOOKUP($A60,SatSunCurve,8))*(INDEX(DailyScalarsTable,CW$5/100,MONTH($A60)))*$E60</f>
        <v>-3642.2241853913838</v>
      </c>
      <c r="CX60" s="1021">
        <f>(VLOOKUP(YEAR($A60),'NY East Load Projections'!$A$4:$EO$14,((MONTH($A60)-1)*12)+VLOOKUP(CX$4,$DE$6:$DF$17,2)+1))*(VLOOKUP($A60,SatSunCurve,8))*(INDEX(DailyScalarsTable,CX$5/100,MONTH($A60)))*$E60</f>
        <v>-2695.1077635326633</v>
      </c>
      <c r="CY60" s="1021">
        <f>(VLOOKUP(YEAR($A60),'NY East Load Projections'!$A$4:$EO$14,((MONTH($A60)-1)*12)+VLOOKUP(CY$4,$DE$6:$DF$17,2)+1))*(VLOOKUP($A60,SatSunCurve,8))*(INDEX(DailyScalarsTable,CY$5/100,MONTH($A60)))*$E60</f>
        <v>-2831.7723946821766</v>
      </c>
      <c r="CZ60" s="1021">
        <f>(VLOOKUP(YEAR($A60),'NY East Load Projections'!$A$4:$EO$14,((MONTH($A60)-1)*12)+VLOOKUP(CZ$4,$DE$6:$DF$17,2)+1))*(VLOOKUP($A60,SatSunCurve,8))*(INDEX(DailyScalarsTable,CZ$5/100,MONTH($A60)))*$E60</f>
        <v>-3000.6460984851233</v>
      </c>
      <c r="DA60" s="1021">
        <f>(VLOOKUP(YEAR($A60),'NY East Load Projections'!$A$4:$EO$14,((MONTH($A60)-1)*12)+VLOOKUP(DA$4,$DE$6:$DF$17,2)+1))*(VLOOKUP($A60,SatSunCurve,8))*(INDEX(DailyScalarsTable,DA$5/100,MONTH($A60)))*$E60</f>
        <v>-2083.8216322306134</v>
      </c>
      <c r="DB60" s="1021">
        <f>(VLOOKUP(YEAR($A60),'NY East Load Projections'!$A$4:$EO$14,((MONTH($A60)-1)*12)+VLOOKUP(DB$4,$DE$6:$DF$17,2)+1))*(VLOOKUP($A60,CURVES!$D$9:$T$261,8))*(INDEX(DailyScalarsTable,DB$5/100,MONTH($A60)))*$E60</f>
        <v>-3177.9684958711018</v>
      </c>
      <c r="DH60" s="1021">
        <f t="shared" si="0"/>
        <v>-4058106.7351326006</v>
      </c>
      <c r="DI60">
        <f ca="1">CALC!J80</f>
        <v>0.67507196780665579</v>
      </c>
      <c r="DJ60" s="1029">
        <f t="shared" ca="1" si="1"/>
        <v>-2739514.0992554082</v>
      </c>
    </row>
    <row r="61" spans="1:114" x14ac:dyDescent="0.25">
      <c r="A61" s="244">
        <v>38565</v>
      </c>
      <c r="B61" s="13">
        <v>23</v>
      </c>
      <c r="C61" s="210">
        <v>4</v>
      </c>
      <c r="D61" s="210">
        <v>4</v>
      </c>
      <c r="E61" s="210">
        <v>0</v>
      </c>
      <c r="F61" s="13">
        <v>31</v>
      </c>
      <c r="H61" s="1021">
        <f>(VLOOKUP(YEAR($A61),'NY East Load Projections'!$A$4:$EO$14,((MONTH($A61)-1)*12)+VLOOKUP(H$4,$DE$6:$DF$17,2)+1))*(VLOOKUP($A61,CURVES!$D$9:$K$261,8))*(INDEX(DailyScalarsTable,H$5/100,MONTH($A61)))*$B61</f>
        <v>-65887.82701996465</v>
      </c>
      <c r="I61" s="1021">
        <f>(VLOOKUP(YEAR($A61),'NY East Load Projections'!$A$4:$EO$14,((MONTH($A61)-1)*12)+VLOOKUP(I$4,$DE$6:$DF$17,2)+1))*(VLOOKUP($A61,CURVES!$D$9:$K$261,8))*(INDEX(DailyScalarsTable,I$5/100,MONTH($A61)))*$B61</f>
        <v>-59478.095503521421</v>
      </c>
      <c r="J61" s="1021">
        <f>(VLOOKUP(YEAR($A61),'NY East Load Projections'!$A$4:$EO$14,((MONTH($A61)-1)*12)+VLOOKUP(J$4,$DE$6:$DF$17,2)+1))*(VLOOKUP($A61,CURVES!$D$9:$K$261,8))*(INDEX(DailyScalarsTable,J$5/100,MONTH($A61)))*$B61</f>
        <v>-53414.42930369368</v>
      </c>
      <c r="K61" s="1021">
        <f>(VLOOKUP(YEAR($A61),'NY East Load Projections'!$A$4:$EO$14,((MONTH($A61)-1)*12)+VLOOKUP(K$4,$DE$6:$DF$17,2)+1))*(VLOOKUP($A61,CURVES!$D$9:$K$261,8))*(INDEX(DailyScalarsTable,K$5/100,MONTH($A61)))*$B61</f>
        <v>-50254.702499813189</v>
      </c>
      <c r="L61" s="1021">
        <f>(VLOOKUP(YEAR($A61),'NY East Load Projections'!$A$4:$EO$14,((MONTH($A61)-1)*12)+VLOOKUP(L$4,$DE$6:$DF$17,2)+1))*(VLOOKUP($A61,CURVES!$D$9:$K$261,8))*(INDEX(DailyScalarsTable,L$5/100,MONTH($A61)))*$B61</f>
        <v>-56928.818005062574</v>
      </c>
      <c r="M61" s="1021">
        <f>(VLOOKUP(YEAR($A61),'NY East Load Projections'!$A$4:$EO$14,((MONTH($A61)-1)*12)+VLOOKUP(M$4,$DE$6:$DF$17,2)+1))*(VLOOKUP($A61,CURVES!$D$9:$K$261,8))*(INDEX(DailyScalarsTable,M$5/100,MONTH($A61)))*$B61</f>
        <v>-63250.593295500767</v>
      </c>
      <c r="N61" s="1021">
        <f>(VLOOKUP(YEAR($A61),'NY East Load Projections'!$A$4:$EO$14,((MONTH($A61)-1)*12)+VLOOKUP(N$4,$DE$6:$DF$17,2)+1))*(VLOOKUP($A61,CURVES!$D$9:$K$261,8))*(INDEX(DailyScalarsTable,N$5/100,MONTH($A61)))*$B61</f>
        <v>-73595.316498035929</v>
      </c>
      <c r="O61" s="1021">
        <f>(VLOOKUP(YEAR($A61),'NY East Load Projections'!$A$4:$EO$14,((MONTH($A61)-1)*12)+VLOOKUP(O$4,$DE$6:$DF$17,2)+1))*(VLOOKUP($A61,CURVES!$D$9:$K$261,4))*(INDEX(DailyScalarsTable,O$5/100,MONTH($A61)))*$B61</f>
        <v>-114475.31429032337</v>
      </c>
      <c r="P61" s="1021">
        <f>(VLOOKUP(YEAR($A61),'NY East Load Projections'!$A$4:$EO$14,((MONTH($A61)-1)*12)+VLOOKUP(P$4,$DE$6:$DF$17,2)+1))*(VLOOKUP($A61,CURVES!$D$9:$K$261,4))*(INDEX(DailyScalarsTable,P$5/100,MONTH($A61)))*$B61</f>
        <v>-141614.33280219638</v>
      </c>
      <c r="Q61" s="1021">
        <f>(VLOOKUP(YEAR($A61),'NY East Load Projections'!$A$4:$EO$14,((MONTH($A61)-1)*12)+VLOOKUP(Q$4,$DE$6:$DF$17,2)+1))*(VLOOKUP($A61,CURVES!$D$9:$K$261,4))*(INDEX(DailyScalarsTable,Q$5/100,MONTH($A61)))*$B61</f>
        <v>-181611.66952764895</v>
      </c>
      <c r="R61" s="1021">
        <f>(VLOOKUP(YEAR($A61),'NY East Load Projections'!$A$4:$EO$14,((MONTH($A61)-1)*12)+VLOOKUP(R$4,$DE$6:$DF$17,2)+1))*(VLOOKUP($A61,CURVES!$D$9:$K$261,4))*(INDEX(DailyScalarsTable,R$5/100,MONTH($A61)))*$B61</f>
        <v>-204976.45038707167</v>
      </c>
      <c r="S61" s="1021">
        <f>(VLOOKUP(YEAR($A61),'NY East Load Projections'!$A$4:$EO$14,((MONTH($A61)-1)*12)+VLOOKUP(S$4,$DE$6:$DF$17,2)+1))*(VLOOKUP($A61,CURVES!$D$9:$K$261,4))*(INDEX(DailyScalarsTable,S$5/100,MONTH($A61)))*$B61</f>
        <v>-213662.34067266498</v>
      </c>
      <c r="T61" s="1021">
        <f>(VLOOKUP(YEAR($A61),'NY East Load Projections'!$A$4:$EO$14,((MONTH($A61)-1)*12)+VLOOKUP(T$4,$DE$6:$DF$17,2)+1))*(VLOOKUP($A61,CURVES!$D$9:$K$261,4))*(INDEX(DailyScalarsTable,T$5/100,MONTH($A61)))*$B61</f>
        <v>-217673.24203361291</v>
      </c>
      <c r="U61" s="1021">
        <f>(VLOOKUP(YEAR($A61),'NY East Load Projections'!$A$4:$EO$14,((MONTH($A61)-1)*12)+VLOOKUP(U$4,$DE$6:$DF$17,2)+1))*(VLOOKUP($A61,CURVES!$D$9:$K$261,4))*(INDEX(DailyScalarsTable,U$5/100,MONTH($A61)))*$B61</f>
        <v>-238955.28151504099</v>
      </c>
      <c r="V61" s="1021">
        <f>(VLOOKUP(YEAR($A61),'NY East Load Projections'!$A$4:$EO$14,((MONTH($A61)-1)*12)+VLOOKUP(V$4,$DE$6:$DF$17,2)+1))*(VLOOKUP($A61,CURVES!$D$9:$K$261,4))*(INDEX(DailyScalarsTable,V$5/100,MONTH($A61)))*$B61</f>
        <v>-252971.60560663123</v>
      </c>
      <c r="W61" s="1021">
        <f>(VLOOKUP(YEAR($A61),'NY East Load Projections'!$A$4:$EO$14,((MONTH($A61)-1)*12)+VLOOKUP(W$4,$DE$6:$DF$17,2)+1))*(VLOOKUP($A61,CURVES!$D$9:$K$261,4))*(INDEX(DailyScalarsTable,W$5/100,MONTH($A61)))*$B61</f>
        <v>-249447.19142499345</v>
      </c>
      <c r="X61" s="1021">
        <f>(VLOOKUP(YEAR($A61),'NY East Load Projections'!$A$4:$EO$14,((MONTH($A61)-1)*12)+VLOOKUP(X$4,$DE$6:$DF$17,2)+1))*(VLOOKUP($A61,CURVES!$D$9:$K$261,4))*(INDEX(DailyScalarsTable,X$5/100,MONTH($A61)))*$B61</f>
        <v>-229740.96663369023</v>
      </c>
      <c r="Y61" s="1021">
        <f>(VLOOKUP(YEAR($A61),'NY East Load Projections'!$A$4:$EO$14,((MONTH($A61)-1)*12)+VLOOKUP(Y$4,$DE$6:$DF$17,2)+1))*(VLOOKUP($A61,CURVES!$D$9:$K$261,4))*(INDEX(DailyScalarsTable,Y$5/100,MONTH($A61)))*$B61</f>
        <v>-212754.33745741678</v>
      </c>
      <c r="Z61" s="1021">
        <f>(VLOOKUP(YEAR($A61),'NY East Load Projections'!$A$4:$EO$14,((MONTH($A61)-1)*12)+VLOOKUP(Z$4,$DE$6:$DF$17,2)+1))*(VLOOKUP($A61,CURVES!$D$9:$K$261,4))*(INDEX(DailyScalarsTable,Z$5/100,MONTH($A61)))*$B61</f>
        <v>-173416.88041762545</v>
      </c>
      <c r="AA61" s="1021">
        <f>(VLOOKUP(YEAR($A61),'NY East Load Projections'!$A$4:$EO$14,((MONTH($A61)-1)*12)+VLOOKUP(AA$4,$DE$6:$DF$17,2)+1))*(VLOOKUP($A61,CURVES!$D$9:$K$261,4))*(INDEX(DailyScalarsTable,AA$5/100,MONTH($A61)))*$B61</f>
        <v>-157886.2480278897</v>
      </c>
      <c r="AB61" s="1021">
        <f>(VLOOKUP(YEAR($A61),'NY East Load Projections'!$A$4:$EO$14,((MONTH($A61)-1)*12)+VLOOKUP(AB$4,$DE$6:$DF$17,2)+1))*(VLOOKUP($A61,CURVES!$D$9:$K$261,4))*(INDEX(DailyScalarsTable,AB$5/100,MONTH($A61)))*$B61</f>
        <v>-174919.30260218718</v>
      </c>
      <c r="AC61" s="1021">
        <f>(VLOOKUP(YEAR($A61),'NY East Load Projections'!$A$4:$EO$14,((MONTH($A61)-1)*12)+VLOOKUP(AC$4,$DE$6:$DF$17,2)+1))*(VLOOKUP($A61,CURVES!$D$9:$K$261,4))*(INDEX(DailyScalarsTable,AC$5/100,MONTH($A61)))*$B61</f>
        <v>-148738.76149006869</v>
      </c>
      <c r="AD61" s="1021">
        <f>(VLOOKUP(YEAR($A61),'NY East Load Projections'!$A$4:$EO$14,((MONTH($A61)-1)*12)+VLOOKUP(AD$4,$DE$6:$DF$17,2)+1))*(VLOOKUP($A61,CURVES!$D$9:$K$261,4))*(INDEX(DailyScalarsTable,AD$5/100,MONTH($A61)))*$B61</f>
        <v>-120443.98424002988</v>
      </c>
      <c r="AE61" s="1021">
        <f>(VLOOKUP(YEAR($A61),'NY East Load Projections'!$A$4:$EO$14,((MONTH($A61)-1)*12)+VLOOKUP(AE$4,$DE$6:$DF$17,2)+1))*(VLOOKUP($A61,CURVES!$D$9:$K$261,8))*(INDEX(DailyScalarsTable,AE$5/100,MONTH($A61)))*$B61</f>
        <v>-80492.611780743391</v>
      </c>
      <c r="AF61" s="1021"/>
      <c r="AG61" s="1021">
        <f>(VLOOKUP(YEAR($A61),'NY East Load Projections'!$A$4:$EO$14,((MONTH($A61)-1)*12)+VLOOKUP(AG$4,$DE$6:$DF$17,2)+1))*(VLOOKUP($A61,CURVES!$D$9:$T$261,8))*(INDEX(DailyScalarsTable,AG$5/100,MONTH($A61)))*$C61</f>
        <v>-11261.224536393858</v>
      </c>
      <c r="AH61" s="1021">
        <f>(VLOOKUP(YEAR($A61),'NY East Load Projections'!$A$4:$EO$14,((MONTH($A61)-1)*12)+VLOOKUP(AH$4,$DE$6:$DF$17,2)+1))*(VLOOKUP($A61,CURVES!$D$9:$T$261,8))*(INDEX(DailyScalarsTable,AH$5/100,MONTH($A61)))*$C61</f>
        <v>-10165.704634018024</v>
      </c>
      <c r="AI61" s="1021">
        <f>(VLOOKUP(YEAR($A61),'NY East Load Projections'!$A$4:$EO$14,((MONTH($A61)-1)*12)+VLOOKUP(AI$4,$DE$6:$DF$17,2)+1))*(VLOOKUP($A61,CURVES!$D$9:$T$261,8))*(INDEX(DailyScalarsTable,AI$5/100,MONTH($A61)))*$C61</f>
        <v>-9129.3325197986323</v>
      </c>
      <c r="AJ61" s="1021">
        <f>(VLOOKUP(YEAR($A61),'NY East Load Projections'!$A$4:$EO$14,((MONTH($A61)-1)*12)+VLOOKUP(AJ$4,$DE$6:$DF$17,2)+1))*(VLOOKUP($A61,CURVES!$D$9:$T$261,8))*(INDEX(DailyScalarsTable,AJ$5/100,MONTH($A61)))*$C61</f>
        <v>-8589.2874975006816</v>
      </c>
      <c r="AK61" s="1021">
        <f>(VLOOKUP(YEAR($A61),'NY East Load Projections'!$A$4:$EO$14,((MONTH($A61)-1)*12)+VLOOKUP(AK$4,$DE$6:$DF$17,2)+1))*(VLOOKUP($A61,CURVES!$D$9:$T$261,8))*(INDEX(DailyScalarsTable,AK$5/100,MONTH($A61)))*$C61</f>
        <v>-9057.8177573880512</v>
      </c>
      <c r="AL61" s="1021">
        <f>(VLOOKUP(YEAR($A61),'NY East Load Projections'!$A$4:$EO$14,((MONTH($A61)-1)*12)+VLOOKUP(AL$4,$DE$6:$DF$17,2)+1))*(VLOOKUP($A61,CURVES!$D$9:$T$261,8))*(INDEX(DailyScalarsTable,AL$5/100,MONTH($A61)))*$C61</f>
        <v>-10063.66137913435</v>
      </c>
      <c r="AM61" s="1021">
        <f>(VLOOKUP(YEAR($A61),'NY East Load Projections'!$A$4:$EO$14,((MONTH($A61)-1)*12)+VLOOKUP(AM$4,$DE$6:$DF$17,2)+1))*(VLOOKUP($A61,CURVES!$D$9:$T$261,8))*(INDEX(DailyScalarsTable,AM$5/100,MONTH($A61)))*$C61</f>
        <v>-11709.587305628282</v>
      </c>
      <c r="AN61" s="1021">
        <f>(VLOOKUP(YEAR($A61),'NY East Load Projections'!$A$4:$EO$14,((MONTH($A61)-1)*12)+VLOOKUP(AN$4,$DE$6:$DF$17,2)+1))*(VLOOKUP($A61,SatSunCurve,4))*(INDEX(DailyScalarsTable,AN$5/100,MONTH($A61)))*$C61</f>
        <v>-11858.180972287842</v>
      </c>
      <c r="AO61" s="1021">
        <f>(VLOOKUP(YEAR($A61),'NY East Load Projections'!$A$4:$EO$14,((MONTH($A61)-1)*12)+VLOOKUP(AO$4,$DE$6:$DF$17,2)+1))*(VLOOKUP($A61,SatSunCurve,4))*(INDEX(DailyScalarsTable,AO$5/100,MONTH($A61)))*$C61</f>
        <v>-14287.094500032073</v>
      </c>
      <c r="AP61" s="1021">
        <f>(VLOOKUP(YEAR($A61),'NY East Load Projections'!$A$4:$EO$14,((MONTH($A61)-1)*12)+VLOOKUP(AP$4,$DE$6:$DF$17,2)+1))*(VLOOKUP($A61,SatSunCurve,4))*(INDEX(DailyScalarsTable,AP$5/100,MONTH($A61)))*$C61</f>
        <v>-18322.319736338672</v>
      </c>
      <c r="AQ61" s="1021">
        <f>(VLOOKUP(YEAR($A61),'NY East Load Projections'!$A$4:$EO$14,((MONTH($A61)-1)*12)+VLOOKUP(AQ$4,$DE$6:$DF$17,2)+1))*(VLOOKUP($A61,SatSunCurve,4))*(INDEX(DailyScalarsTable,AQ$5/100,MONTH($A61)))*$C61</f>
        <v>-20679.530517943509</v>
      </c>
      <c r="AR61" s="1021">
        <f>(VLOOKUP(YEAR($A61),'NY East Load Projections'!$A$4:$EO$14,((MONTH($A61)-1)*12)+VLOOKUP(AR$4,$DE$6:$DF$17,2)+1))*(VLOOKUP($A61,SatSunCurve,4))*(INDEX(DailyScalarsTable,AR$5/100,MONTH($A61)))*$C61</f>
        <v>-21555.826955398868</v>
      </c>
      <c r="AS61" s="1021">
        <f>(VLOOKUP(YEAR($A61),'NY East Load Projections'!$A$4:$EO$14,((MONTH($A61)-1)*12)+VLOOKUP(AS$4,$DE$6:$DF$17,2)+1))*(VLOOKUP($A61,SatSunCurve,4))*(INDEX(DailyScalarsTable,AS$5/100,MONTH($A61)))*$C61</f>
        <v>-22095.351740423772</v>
      </c>
      <c r="AT61" s="1021">
        <f>(VLOOKUP(YEAR($A61),'NY East Load Projections'!$A$4:$EO$14,((MONTH($A61)-1)*12)+VLOOKUP(AT$4,$DE$6:$DF$17,2)+1))*(VLOOKUP($A61,SatSunCurve,4))*(INDEX(DailyScalarsTable,AT$5/100,MONTH($A61)))*$C61</f>
        <v>-24255.627131659625</v>
      </c>
      <c r="AU61" s="1021">
        <f>(VLOOKUP(YEAR($A61),'NY East Load Projections'!$A$4:$EO$14,((MONTH($A61)-1)*12)+VLOOKUP(AU$4,$DE$6:$DF$17,2)+1))*(VLOOKUP($A61,SatSunCurve,4))*(INDEX(DailyScalarsTable,AU$5/100,MONTH($A61)))*$C61</f>
        <v>-25678.381752384386</v>
      </c>
      <c r="AV61" s="1021">
        <f>(VLOOKUP(YEAR($A61),'NY East Load Projections'!$A$4:$EO$14,((MONTH($A61)-1)*12)+VLOOKUP(AV$4,$DE$6:$DF$17,2)+1))*(VLOOKUP($A61,SatSunCurve,4))*(INDEX(DailyScalarsTable,AV$5/100,MONTH($A61)))*$C61</f>
        <v>-25320.629139823035</v>
      </c>
      <c r="AW61" s="1021">
        <f>(VLOOKUP(YEAR($A61),'NY East Load Projections'!$A$4:$EO$14,((MONTH($A61)-1)*12)+VLOOKUP(AW$4,$DE$6:$DF$17,2)+1))*(VLOOKUP($A61,SatSunCurve,4))*(INDEX(DailyScalarsTable,AW$5/100,MONTH($A61)))*$C61</f>
        <v>-23483.764591358846</v>
      </c>
      <c r="AX61" s="1021">
        <f>(VLOOKUP(YEAR($A61),'NY East Load Projections'!$A$4:$EO$14,((MONTH($A61)-1)*12)+VLOOKUP(AX$4,$DE$6:$DF$17,2)+1))*(VLOOKUP($A61,SatSunCurve,4))*(INDEX(DailyScalarsTable,AX$5/100,MONTH($A61)))*$C61</f>
        <v>-21747.417754217018</v>
      </c>
      <c r="AY61" s="1021">
        <f>(VLOOKUP(YEAR($A61),'NY East Load Projections'!$A$4:$EO$14,((MONTH($A61)-1)*12)+VLOOKUP(AY$4,$DE$6:$DF$17,2)+1))*(VLOOKUP($A61,SatSunCurve,4))*(INDEX(DailyScalarsTable,AY$5/100,MONTH($A61)))*$C61</f>
        <v>-17726.404026099095</v>
      </c>
      <c r="AZ61" s="1021">
        <f>(VLOOKUP(YEAR($A61),'NY East Load Projections'!$A$4:$EO$14,((MONTH($A61)-1)*12)+VLOOKUP(AZ$4,$DE$6:$DF$17,2)+1))*(VLOOKUP($A61,SatSunCurve,4))*(INDEX(DailyScalarsTable,AZ$5/100,MONTH($A61)))*$C61</f>
        <v>-16138.886917855134</v>
      </c>
      <c r="BA61" s="1021">
        <f>(VLOOKUP(YEAR($A61),'NY East Load Projections'!$A$4:$EO$14,((MONTH($A61)-1)*12)+VLOOKUP(BA$4,$DE$6:$DF$17,2)+1))*(VLOOKUP($A61,SatSunCurve,4))*(INDEX(DailyScalarsTable,BA$5/100,MONTH($A61)))*$C61</f>
        <v>-19242.228705071993</v>
      </c>
      <c r="BB61" s="1021">
        <f>(VLOOKUP(YEAR($A61),'NY East Load Projections'!$A$4:$EO$14,((MONTH($A61)-1)*12)+VLOOKUP(BB$4,$DE$6:$DF$17,2)+1))*(VLOOKUP($A61,SatSunCurve,4))*(INDEX(DailyScalarsTable,BB$5/100,MONTH($A61)))*$C61</f>
        <v>-16362.203732369955</v>
      </c>
      <c r="BC61" s="1021">
        <f>(VLOOKUP(YEAR($A61),'NY East Load Projections'!$A$4:$EO$14,((MONTH($A61)-1)*12)+VLOOKUP(BC$4,$DE$6:$DF$17,2)+1))*(VLOOKUP($A61,SatSunCurve,4))*(INDEX(DailyScalarsTable,BC$5/100,MONTH($A61)))*$C61</f>
        <v>-13249.599423384407</v>
      </c>
      <c r="BD61" s="1021">
        <f>(VLOOKUP(YEAR($A61),'NY East Load Projections'!$A$4:$EO$14,((MONTH($A61)-1)*12)+VLOOKUP(BD$4,$DE$6:$DF$17,2)+1))*(VLOOKUP($A61,CURVES!$D$9:$T$261,8))*(INDEX(DailyScalarsTable,BD$5/100,MONTH($A61)))*$C61</f>
        <v>-13600.624070927592</v>
      </c>
      <c r="BE61" s="1021"/>
      <c r="BF61" s="1021">
        <f>(VLOOKUP(YEAR($A61),'NY East Load Projections'!$A$4:$EO$14,((MONTH($A61)-1)*12)+VLOOKUP(BF$4,$DE$6:$DF$17,2)+1))*(VLOOKUP($A61,CURVES!$D$9:$T$261,8))*(INDEX(DailyScalarsTable,BF$5/100,MONTH($A61)))*$D61</f>
        <v>-11261.224536393858</v>
      </c>
      <c r="BG61" s="1021">
        <f>(VLOOKUP(YEAR($A61),'NY East Load Projections'!$A$4:$EO$14,((MONTH($A61)-1)*12)+VLOOKUP(BG$4,$DE$6:$DF$17,2)+1))*(VLOOKUP($A61,CURVES!$D$9:$T$261,8))*(INDEX(DailyScalarsTable,BG$5/100,MONTH($A61)))*$D61</f>
        <v>-10165.704634018024</v>
      </c>
      <c r="BH61" s="1021">
        <f>(VLOOKUP(YEAR($A61),'NY East Load Projections'!$A$4:$EO$14,((MONTH($A61)-1)*12)+VLOOKUP(BH$4,$DE$6:$DF$17,2)+1))*(VLOOKUP($A61,CURVES!$D$9:$T$261,8))*(INDEX(DailyScalarsTable,BH$5/100,MONTH($A61)))*$D61</f>
        <v>-9129.3325197986323</v>
      </c>
      <c r="BI61" s="1021">
        <f>(VLOOKUP(YEAR($A61),'NY East Load Projections'!$A$4:$EO$14,((MONTH($A61)-1)*12)+VLOOKUP(BI$4,$DE$6:$DF$17,2)+1))*(VLOOKUP($A61,CURVES!$D$9:$T$261,8))*(INDEX(DailyScalarsTable,BI$5/100,MONTH($A61)))*$D61</f>
        <v>-8589.2874975006816</v>
      </c>
      <c r="BJ61" s="1021">
        <f>(VLOOKUP(YEAR($A61),'NY East Load Projections'!$A$4:$EO$14,((MONTH($A61)-1)*12)+VLOOKUP(BJ$4,$DE$6:$DF$17,2)+1))*(VLOOKUP($A61,CURVES!$D$9:$T$261,8))*(INDEX(DailyScalarsTable,BJ$5/100,MONTH($A61)))*$D61</f>
        <v>-9057.8177573880512</v>
      </c>
      <c r="BK61" s="1021">
        <f>(VLOOKUP(YEAR($A61),'NY East Load Projections'!$A$4:$EO$14,((MONTH($A61)-1)*12)+VLOOKUP(BK$4,$DE$6:$DF$17,2)+1))*(VLOOKUP($A61,CURVES!$D$9:$T$261,8))*(INDEX(DailyScalarsTable,BK$5/100,MONTH($A61)))*$D61</f>
        <v>-10063.66137913435</v>
      </c>
      <c r="BL61" s="1021">
        <f>(VLOOKUP(YEAR($A61),'NY East Load Projections'!$A$4:$EO$14,((MONTH($A61)-1)*12)+VLOOKUP(BL$4,$DE$6:$DF$17,2)+1))*(VLOOKUP($A61,CURVES!$D$9:$T$261,8))*(INDEX(DailyScalarsTable,BL$5/100,MONTH($A61)))*$D61</f>
        <v>-11709.587305628282</v>
      </c>
      <c r="BM61" s="1021">
        <f>(VLOOKUP(YEAR($A61),'NY East Load Projections'!$A$4:$EO$14,((MONTH($A61)-1)*12)+VLOOKUP(BM$4,$DE$6:$DF$17,2)+1))*(VLOOKUP($A61,SatSunCurve,8))*(INDEX(DailyScalarsTable,BM$5/100,MONTH($A61)))*$D61</f>
        <v>-8960.4534756443281</v>
      </c>
      <c r="BN61" s="1021">
        <f>(VLOOKUP(YEAR($A61),'NY East Load Projections'!$A$4:$EO$14,((MONTH($A61)-1)*12)+VLOOKUP(BN$4,$DE$6:$DF$17,2)+1))*(VLOOKUP($A61,SatSunCurve,8))*(INDEX(DailyScalarsTable,BN$5/100,MONTH($A61)))*$D61</f>
        <v>-10795.824913521472</v>
      </c>
      <c r="BO61" s="1021">
        <f>(VLOOKUP(YEAR($A61),'NY East Load Projections'!$A$4:$EO$14,((MONTH($A61)-1)*12)+VLOOKUP(BO$4,$DE$6:$DF$17,2)+1))*(VLOOKUP($A61,SatSunCurve,8))*(INDEX(DailyScalarsTable,BO$5/100,MONTH($A61)))*$D61</f>
        <v>-13844.981278917638</v>
      </c>
      <c r="BP61" s="1021">
        <f>(VLOOKUP(YEAR($A61),'NY East Load Projections'!$A$4:$EO$14,((MONTH($A61)-1)*12)+VLOOKUP(BP$4,$DE$6:$DF$17,2)+1))*(VLOOKUP($A61,SatSunCurve,8))*(INDEX(DailyScalarsTable,BP$5/100,MONTH($A61)))*$D61</f>
        <v>-15626.17163098074</v>
      </c>
      <c r="BQ61" s="1021">
        <f>(VLOOKUP(YEAR($A61),'NY East Load Projections'!$A$4:$EO$14,((MONTH($A61)-1)*12)+VLOOKUP(BQ$4,$DE$6:$DF$17,2)+1))*(VLOOKUP($A61,SatSunCurve,8))*(INDEX(DailyScalarsTable,BQ$5/100,MONTH($A61)))*$D61</f>
        <v>-16288.331660165781</v>
      </c>
      <c r="BR61" s="1021">
        <f>(VLOOKUP(YEAR($A61),'NY East Load Projections'!$A$4:$EO$14,((MONTH($A61)-1)*12)+VLOOKUP(BR$4,$DE$6:$DF$17,2)+1))*(VLOOKUP($A61,SatSunCurve,8))*(INDEX(DailyScalarsTable,BR$5/100,MONTH($A61)))*$D61</f>
        <v>-16696.015329901504</v>
      </c>
      <c r="BS61" s="1021">
        <f>(VLOOKUP(YEAR($A61),'NY East Load Projections'!$A$4:$EO$14,((MONTH($A61)-1)*12)+VLOOKUP(BS$4,$DE$6:$DF$17,2)+1))*(VLOOKUP($A61,SatSunCurve,8))*(INDEX(DailyScalarsTable,BS$5/100,MONTH($A61)))*$D61</f>
        <v>-18328.394459802199</v>
      </c>
      <c r="BT61" s="1021">
        <f>(VLOOKUP(YEAR($A61),'NY East Load Projections'!$A$4:$EO$14,((MONTH($A61)-1)*12)+VLOOKUP(BT$4,$DE$6:$DF$17,2)+1))*(VLOOKUP($A61,SatSunCurve,8))*(INDEX(DailyScalarsTable,BT$5/100,MONTH($A61)))*$D61</f>
        <v>-19403.477275290938</v>
      </c>
      <c r="BU61" s="1021">
        <f>(VLOOKUP(YEAR($A61),'NY East Load Projections'!$A$4:$EO$14,((MONTH($A61)-1)*12)+VLOOKUP(BU$4,$DE$6:$DF$17,2)+1))*(VLOOKUP($A61,SatSunCurve,8))*(INDEX(DailyScalarsTable,BU$5/100,MONTH($A61)))*$D61</f>
        <v>-19133.146973523944</v>
      </c>
      <c r="BV61" s="1021">
        <f>(VLOOKUP(YEAR($A61),'NY East Load Projections'!$A$4:$EO$14,((MONTH($A61)-1)*12)+VLOOKUP(BV$4,$DE$6:$DF$17,2)+1))*(VLOOKUP($A61,SatSunCurve,8))*(INDEX(DailyScalarsTable,BV$5/100,MONTH($A61)))*$D61</f>
        <v>-17745.148311162644</v>
      </c>
      <c r="BW61" s="1021">
        <f>(VLOOKUP(YEAR($A61),'NY East Load Projections'!$A$4:$EO$14,((MONTH($A61)-1)*12)+VLOOKUP(BW$4,$DE$6:$DF$17,2)+1))*(VLOOKUP($A61,SatSunCurve,8))*(INDEX(DailyScalarsTable,BW$5/100,MONTH($A61)))*$D61</f>
        <v>-16433.104323290383</v>
      </c>
      <c r="BX61" s="1021">
        <f>(VLOOKUP(YEAR($A61),'NY East Load Projections'!$A$4:$EO$14,((MONTH($A61)-1)*12)+VLOOKUP(BX$4,$DE$6:$DF$17,2)+1))*(VLOOKUP($A61,SatSunCurve,8))*(INDEX(DailyScalarsTable,BX$5/100,MONTH($A61)))*$D61</f>
        <v>-13394.686667165135</v>
      </c>
      <c r="BY61" s="1021">
        <f>(VLOOKUP(YEAR($A61),'NY East Load Projections'!$A$4:$EO$14,((MONTH($A61)-1)*12)+VLOOKUP(BY$4,$DE$6:$DF$17,2)+1))*(VLOOKUP($A61,SatSunCurve,8))*(INDEX(DailyScalarsTable,BY$5/100,MONTH($A61)))*$D61</f>
        <v>-12195.103592539064</v>
      </c>
      <c r="BZ61" s="1021">
        <f>(VLOOKUP(YEAR($A61),'NY East Load Projections'!$A$4:$EO$14,((MONTH($A61)-1)*12)+VLOOKUP(BZ$4,$DE$6:$DF$17,2)+1))*(VLOOKUP($A61,SatSunCurve,8))*(INDEX(DailyScalarsTable,BZ$5/100,MONTH($A61)))*$D61</f>
        <v>-14540.096451761268</v>
      </c>
      <c r="CA61" s="1021">
        <f>(VLOOKUP(YEAR($A61),'NY East Load Projections'!$A$4:$EO$14,((MONTH($A61)-1)*12)+VLOOKUP(CA$4,$DE$6:$DF$17,2)+1))*(VLOOKUP($A61,SatSunCurve,8))*(INDEX(DailyScalarsTable,CA$5/100,MONTH($A61)))*$D61</f>
        <v>-12363.849535231748</v>
      </c>
      <c r="CB61" s="1021">
        <f>(VLOOKUP(YEAR($A61),'NY East Load Projections'!$A$4:$EO$14,((MONTH($A61)-1)*12)+VLOOKUP(CB$4,$DE$6:$DF$17,2)+1))*(VLOOKUP($A61,SatSunCurve,8))*(INDEX(DailyScalarsTable,CB$5/100,MONTH($A61)))*$D61</f>
        <v>-10011.857592796912</v>
      </c>
      <c r="CC61" s="1021">
        <f>(VLOOKUP(YEAR($A61),'NY East Load Projections'!$A$4:$EO$14,((MONTH($A61)-1)*12)+VLOOKUP(CC$4,$DE$6:$DF$17,2)+1))*(VLOOKUP($A61,CURVES!$D$9:$T$261,8))*(INDEX(DailyScalarsTable,CC$5/100,MONTH($A61)))*$D61</f>
        <v>-13600.624070927592</v>
      </c>
      <c r="CE61" s="1021">
        <f>(VLOOKUP(YEAR($A61),'NY East Load Projections'!$A$4:$EO$14,((MONTH($A61)-1)*12)+VLOOKUP(CE$4,$DE$6:$DF$17,2)+1))*(VLOOKUP($A61,CURVES!$D$9:$T$261,8))*(INDEX(DailyScalarsTable,CE$5/100,MONTH($A61)))*$E61</f>
        <v>0</v>
      </c>
      <c r="CF61" s="1021">
        <f>(VLOOKUP(YEAR($A61),'NY East Load Projections'!$A$4:$EO$14,((MONTH($A61)-1)*12)+VLOOKUP(CF$4,$DE$6:$DF$17,2)+1))*(VLOOKUP($A61,CURVES!$D$9:$T$261,8))*(INDEX(DailyScalarsTable,CF$5/100,MONTH($A61)))*$E61</f>
        <v>0</v>
      </c>
      <c r="CG61" s="1021">
        <f>(VLOOKUP(YEAR($A61),'NY East Load Projections'!$A$4:$EO$14,((MONTH($A61)-1)*12)+VLOOKUP(CG$4,$DE$6:$DF$17,2)+1))*(VLOOKUP($A61,CURVES!$D$9:$T$261,8))*(INDEX(DailyScalarsTable,CG$5/100,MONTH($A61)))*$E61</f>
        <v>0</v>
      </c>
      <c r="CH61" s="1021">
        <f>(VLOOKUP(YEAR($A61),'NY East Load Projections'!$A$4:$EO$14,((MONTH($A61)-1)*12)+VLOOKUP(CH$4,$DE$6:$DF$17,2)+1))*(VLOOKUP($A61,CURVES!$D$9:$T$261,8))*(INDEX(DailyScalarsTable,CH$5/100,MONTH($A61)))*$E61</f>
        <v>0</v>
      </c>
      <c r="CI61" s="1021">
        <f>(VLOOKUP(YEAR($A61),'NY East Load Projections'!$A$4:$EO$14,((MONTH($A61)-1)*12)+VLOOKUP(CI$4,$DE$6:$DF$17,2)+1))*(VLOOKUP($A61,CURVES!$D$9:$T$261,8))*(INDEX(DailyScalarsTable,CI$5/100,MONTH($A61)))*$E61</f>
        <v>0</v>
      </c>
      <c r="CJ61" s="1021">
        <f>(VLOOKUP(YEAR($A61),'NY East Load Projections'!$A$4:$EO$14,((MONTH($A61)-1)*12)+VLOOKUP(CJ$4,$DE$6:$DF$17,2)+1))*(VLOOKUP($A61,CURVES!$D$9:$T$261,8))*(INDEX(DailyScalarsTable,CJ$5/100,MONTH($A61)))*$E61</f>
        <v>0</v>
      </c>
      <c r="CK61" s="1021">
        <f>(VLOOKUP(YEAR($A61),'NY East Load Projections'!$A$4:$EO$14,((MONTH($A61)-1)*12)+VLOOKUP(CK$4,$DE$6:$DF$17,2)+1))*(VLOOKUP($A61,CURVES!$D$9:$T$261,8))*(INDEX(DailyScalarsTable,CK$5/100,MONTH($A61)))*$E61</f>
        <v>0</v>
      </c>
      <c r="CL61" s="1021">
        <f>(VLOOKUP(YEAR($A61),'NY East Load Projections'!$A$4:$EO$14,((MONTH($A61)-1)*12)+VLOOKUP(CL$4,$DE$6:$DF$17,2)+1))*(VLOOKUP($A61,SatSunCurve,8))*(INDEX(DailyScalarsTable,CL$5/100,MONTH($A61)))*$E61</f>
        <v>0</v>
      </c>
      <c r="CM61" s="1021">
        <f>(VLOOKUP(YEAR($A61),'NY East Load Projections'!$A$4:$EO$14,((MONTH($A61)-1)*12)+VLOOKUP(CM$4,$DE$6:$DF$17,2)+1))*(VLOOKUP($A61,SatSunCurve,8))*(INDEX(DailyScalarsTable,CM$5/100,MONTH($A61)))*$E61</f>
        <v>0</v>
      </c>
      <c r="CN61" s="1021">
        <f>(VLOOKUP(YEAR($A61),'NY East Load Projections'!$A$4:$EO$14,((MONTH($A61)-1)*12)+VLOOKUP(CN$4,$DE$6:$DF$17,2)+1))*(VLOOKUP($A61,SatSunCurve,8))*(INDEX(DailyScalarsTable,CN$5/100,MONTH($A61)))*$E61</f>
        <v>0</v>
      </c>
      <c r="CO61" s="1021">
        <f>(VLOOKUP(YEAR($A61),'NY East Load Projections'!$A$4:$EO$14,((MONTH($A61)-1)*12)+VLOOKUP(CO$4,$DE$6:$DF$17,2)+1))*(VLOOKUP($A61,SatSunCurve,8))*(INDEX(DailyScalarsTable,CO$5/100,MONTH($A61)))*$E61</f>
        <v>0</v>
      </c>
      <c r="CP61" s="1021">
        <f>(VLOOKUP(YEAR($A61),'NY East Load Projections'!$A$4:$EO$14,((MONTH($A61)-1)*12)+VLOOKUP(CP$4,$DE$6:$DF$17,2)+1))*(VLOOKUP($A61,SatSunCurve,8))*(INDEX(DailyScalarsTable,CP$5/100,MONTH($A61)))*$E61</f>
        <v>0</v>
      </c>
      <c r="CQ61" s="1021">
        <f>(VLOOKUP(YEAR($A61),'NY East Load Projections'!$A$4:$EO$14,((MONTH($A61)-1)*12)+VLOOKUP(CQ$4,$DE$6:$DF$17,2)+1))*(VLOOKUP($A61,SatSunCurve,8))*(INDEX(DailyScalarsTable,CQ$5/100,MONTH($A61)))*$E61</f>
        <v>0</v>
      </c>
      <c r="CR61" s="1021">
        <f>(VLOOKUP(YEAR($A61),'NY East Load Projections'!$A$4:$EO$14,((MONTH($A61)-1)*12)+VLOOKUP(CR$4,$DE$6:$DF$17,2)+1))*(VLOOKUP($A61,SatSunCurve,8))*(INDEX(DailyScalarsTable,CR$5/100,MONTH($A61)))*$E61</f>
        <v>0</v>
      </c>
      <c r="CS61" s="1021">
        <f>(VLOOKUP(YEAR($A61),'NY East Load Projections'!$A$4:$EO$14,((MONTH($A61)-1)*12)+VLOOKUP(CS$4,$DE$6:$DF$17,2)+1))*(VLOOKUP($A61,SatSunCurve,8))*(INDEX(DailyScalarsTable,CS$5/100,MONTH($A61)))*$E61</f>
        <v>0</v>
      </c>
      <c r="CT61" s="1021">
        <f>(VLOOKUP(YEAR($A61),'NY East Load Projections'!$A$4:$EO$14,((MONTH($A61)-1)*12)+VLOOKUP(CT$4,$DE$6:$DF$17,2)+1))*(VLOOKUP($A61,SatSunCurve,8))*(INDEX(DailyScalarsTable,CT$5/100,MONTH($A61)))*$E61</f>
        <v>0</v>
      </c>
      <c r="CU61" s="1021">
        <f>(VLOOKUP(YEAR($A61),'NY East Load Projections'!$A$4:$EO$14,((MONTH($A61)-1)*12)+VLOOKUP(CU$4,$DE$6:$DF$17,2)+1))*(VLOOKUP($A61,SatSunCurve,8))*(INDEX(DailyScalarsTable,CU$5/100,MONTH($A61)))*$E61</f>
        <v>0</v>
      </c>
      <c r="CV61" s="1021">
        <f>(VLOOKUP(YEAR($A61),'NY East Load Projections'!$A$4:$EO$14,((MONTH($A61)-1)*12)+VLOOKUP(CV$4,$DE$6:$DF$17,2)+1))*(VLOOKUP($A61,SatSunCurve,8))*(INDEX(DailyScalarsTable,CV$5/100,MONTH($A61)))*$E61</f>
        <v>0</v>
      </c>
      <c r="CW61" s="1021">
        <f>(VLOOKUP(YEAR($A61),'NY East Load Projections'!$A$4:$EO$14,((MONTH($A61)-1)*12)+VLOOKUP(CW$4,$DE$6:$DF$17,2)+1))*(VLOOKUP($A61,SatSunCurve,8))*(INDEX(DailyScalarsTable,CW$5/100,MONTH($A61)))*$E61</f>
        <v>0</v>
      </c>
      <c r="CX61" s="1021">
        <f>(VLOOKUP(YEAR($A61),'NY East Load Projections'!$A$4:$EO$14,((MONTH($A61)-1)*12)+VLOOKUP(CX$4,$DE$6:$DF$17,2)+1))*(VLOOKUP($A61,SatSunCurve,8))*(INDEX(DailyScalarsTable,CX$5/100,MONTH($A61)))*$E61</f>
        <v>0</v>
      </c>
      <c r="CY61" s="1021">
        <f>(VLOOKUP(YEAR($A61),'NY East Load Projections'!$A$4:$EO$14,((MONTH($A61)-1)*12)+VLOOKUP(CY$4,$DE$6:$DF$17,2)+1))*(VLOOKUP($A61,SatSunCurve,8))*(INDEX(DailyScalarsTable,CY$5/100,MONTH($A61)))*$E61</f>
        <v>0</v>
      </c>
      <c r="CZ61" s="1021">
        <f>(VLOOKUP(YEAR($A61),'NY East Load Projections'!$A$4:$EO$14,((MONTH($A61)-1)*12)+VLOOKUP(CZ$4,$DE$6:$DF$17,2)+1))*(VLOOKUP($A61,SatSunCurve,8))*(INDEX(DailyScalarsTable,CZ$5/100,MONTH($A61)))*$E61</f>
        <v>0</v>
      </c>
      <c r="DA61" s="1021">
        <f>(VLOOKUP(YEAR($A61),'NY East Load Projections'!$A$4:$EO$14,((MONTH($A61)-1)*12)+VLOOKUP(DA$4,$DE$6:$DF$17,2)+1))*(VLOOKUP($A61,SatSunCurve,8))*(INDEX(DailyScalarsTable,DA$5/100,MONTH($A61)))*$E61</f>
        <v>0</v>
      </c>
      <c r="DB61" s="1021">
        <f>(VLOOKUP(YEAR($A61),'NY East Load Projections'!$A$4:$EO$14,((MONTH($A61)-1)*12)+VLOOKUP(DB$4,$DE$6:$DF$17,2)+1))*(VLOOKUP($A61,CURVES!$D$9:$T$261,8))*(INDEX(DailyScalarsTable,DB$5/100,MONTH($A61)))*$E61</f>
        <v>0</v>
      </c>
      <c r="DH61" s="1021">
        <f t="shared" si="0"/>
        <v>-4251508.8735053502</v>
      </c>
      <c r="DI61">
        <f ca="1">CALC!J81</f>
        <v>0.67087747784082374</v>
      </c>
      <c r="DJ61" s="1029">
        <f t="shared" ca="1" si="1"/>
        <v>-2852241.550075151</v>
      </c>
    </row>
    <row r="62" spans="1:114" x14ac:dyDescent="0.25">
      <c r="A62" s="244">
        <v>38596</v>
      </c>
      <c r="B62" s="13">
        <v>21</v>
      </c>
      <c r="C62" s="210">
        <v>4</v>
      </c>
      <c r="D62" s="210">
        <v>4</v>
      </c>
      <c r="E62" s="210">
        <v>1</v>
      </c>
      <c r="F62" s="13">
        <v>30</v>
      </c>
      <c r="H62" s="1021">
        <f>(VLOOKUP(YEAR($A62),'NY East Load Projections'!$A$4:$EO$14,((MONTH($A62)-1)*12)+VLOOKUP(H$4,$DE$6:$DF$17,2)+1))*(VLOOKUP($A62,CURVES!$D$9:$K$261,8))*(INDEX(DailyScalarsTable,H$5/100,MONTH($A62)))*$B62</f>
        <v>-42920.338572950437</v>
      </c>
      <c r="I62" s="1021">
        <f>(VLOOKUP(YEAR($A62),'NY East Load Projections'!$A$4:$EO$14,((MONTH($A62)-1)*12)+VLOOKUP(I$4,$DE$6:$DF$17,2)+1))*(VLOOKUP($A62,CURVES!$D$9:$K$261,8))*(INDEX(DailyScalarsTable,I$5/100,MONTH($A62)))*$B62</f>
        <v>-37654.775065016715</v>
      </c>
      <c r="J62" s="1021">
        <f>(VLOOKUP(YEAR($A62),'NY East Load Projections'!$A$4:$EO$14,((MONTH($A62)-1)*12)+VLOOKUP(J$4,$DE$6:$DF$17,2)+1))*(VLOOKUP($A62,CURVES!$D$9:$K$261,8))*(INDEX(DailyScalarsTable,J$5/100,MONTH($A62)))*$B62</f>
        <v>-35310.890687779145</v>
      </c>
      <c r="K62" s="1021">
        <f>(VLOOKUP(YEAR($A62),'NY East Load Projections'!$A$4:$EO$14,((MONTH($A62)-1)*12)+VLOOKUP(K$4,$DE$6:$DF$17,2)+1))*(VLOOKUP($A62,CURVES!$D$9:$K$261,8))*(INDEX(DailyScalarsTable,K$5/100,MONTH($A62)))*$B62</f>
        <v>-35834.176502232192</v>
      </c>
      <c r="L62" s="1021">
        <f>(VLOOKUP(YEAR($A62),'NY East Load Projections'!$A$4:$EO$14,((MONTH($A62)-1)*12)+VLOOKUP(L$4,$DE$6:$DF$17,2)+1))*(VLOOKUP($A62,CURVES!$D$9:$K$261,8))*(INDEX(DailyScalarsTable,L$5/100,MONTH($A62)))*$B62</f>
        <v>-42127.058499564664</v>
      </c>
      <c r="M62" s="1021">
        <f>(VLOOKUP(YEAR($A62),'NY East Load Projections'!$A$4:$EO$14,((MONTH($A62)-1)*12)+VLOOKUP(M$4,$DE$6:$DF$17,2)+1))*(VLOOKUP($A62,CURVES!$D$9:$K$261,8))*(INDEX(DailyScalarsTable,M$5/100,MONTH($A62)))*$B62</f>
        <v>-48750.585871431969</v>
      </c>
      <c r="N62" s="1021">
        <f>(VLOOKUP(YEAR($A62),'NY East Load Projections'!$A$4:$EO$14,((MONTH($A62)-1)*12)+VLOOKUP(N$4,$DE$6:$DF$17,2)+1))*(VLOOKUP($A62,CURVES!$D$9:$K$261,8))*(INDEX(DailyScalarsTable,N$5/100,MONTH($A62)))*$B62</f>
        <v>-66294.624322363656</v>
      </c>
      <c r="O62" s="1021">
        <f>(VLOOKUP(YEAR($A62),'NY East Load Projections'!$A$4:$EO$14,((MONTH($A62)-1)*12)+VLOOKUP(O$4,$DE$6:$DF$17,2)+1))*(VLOOKUP($A62,CURVES!$D$9:$K$261,4))*(INDEX(DailyScalarsTable,O$5/100,MONTH($A62)))*$B62</f>
        <v>-60167.769505885306</v>
      </c>
      <c r="P62" s="1021">
        <f>(VLOOKUP(YEAR($A62),'NY East Load Projections'!$A$4:$EO$14,((MONTH($A62)-1)*12)+VLOOKUP(P$4,$DE$6:$DF$17,2)+1))*(VLOOKUP($A62,CURVES!$D$9:$K$261,4))*(INDEX(DailyScalarsTable,P$5/100,MONTH($A62)))*$B62</f>
        <v>-65959.03615994296</v>
      </c>
      <c r="Q62" s="1021">
        <f>(VLOOKUP(YEAR($A62),'NY East Load Projections'!$A$4:$EO$14,((MONTH($A62)-1)*12)+VLOOKUP(Q$4,$DE$6:$DF$17,2)+1))*(VLOOKUP($A62,CURVES!$D$9:$K$261,4))*(INDEX(DailyScalarsTable,Q$5/100,MONTH($A62)))*$B62</f>
        <v>-82337.528269834293</v>
      </c>
      <c r="R62" s="1021">
        <f>(VLOOKUP(YEAR($A62),'NY East Load Projections'!$A$4:$EO$14,((MONTH($A62)-1)*12)+VLOOKUP(R$4,$DE$6:$DF$17,2)+1))*(VLOOKUP($A62,CURVES!$D$9:$K$261,4))*(INDEX(DailyScalarsTable,R$5/100,MONTH($A62)))*$B62</f>
        <v>-87932.665326008369</v>
      </c>
      <c r="S62" s="1021">
        <f>(VLOOKUP(YEAR($A62),'NY East Load Projections'!$A$4:$EO$14,((MONTH($A62)-1)*12)+VLOOKUP(S$4,$DE$6:$DF$17,2)+1))*(VLOOKUP($A62,CURVES!$D$9:$K$261,4))*(INDEX(DailyScalarsTable,S$5/100,MONTH($A62)))*$B62</f>
        <v>-93693.113249751215</v>
      </c>
      <c r="T62" s="1021">
        <f>(VLOOKUP(YEAR($A62),'NY East Load Projections'!$A$4:$EO$14,((MONTH($A62)-1)*12)+VLOOKUP(T$4,$DE$6:$DF$17,2)+1))*(VLOOKUP($A62,CURVES!$D$9:$K$261,4))*(INDEX(DailyScalarsTable,T$5/100,MONTH($A62)))*$B62</f>
        <v>-91197.976724583903</v>
      </c>
      <c r="U62" s="1021">
        <f>(VLOOKUP(YEAR($A62),'NY East Load Projections'!$A$4:$EO$14,((MONTH($A62)-1)*12)+VLOOKUP(U$4,$DE$6:$DF$17,2)+1))*(VLOOKUP($A62,CURVES!$D$9:$K$261,4))*(INDEX(DailyScalarsTable,U$5/100,MONTH($A62)))*$B62</f>
        <v>-98724.722327660653</v>
      </c>
      <c r="V62" s="1021">
        <f>(VLOOKUP(YEAR($A62),'NY East Load Projections'!$A$4:$EO$14,((MONTH($A62)-1)*12)+VLOOKUP(V$4,$DE$6:$DF$17,2)+1))*(VLOOKUP($A62,CURVES!$D$9:$K$261,4))*(INDEX(DailyScalarsTable,V$5/100,MONTH($A62)))*$B62</f>
        <v>-97167.013237632666</v>
      </c>
      <c r="W62" s="1021">
        <f>(VLOOKUP(YEAR($A62),'NY East Load Projections'!$A$4:$EO$14,((MONTH($A62)-1)*12)+VLOOKUP(W$4,$DE$6:$DF$17,2)+1))*(VLOOKUP($A62,CURVES!$D$9:$K$261,4))*(INDEX(DailyScalarsTable,W$5/100,MONTH($A62)))*$B62</f>
        <v>-94130.135011695573</v>
      </c>
      <c r="X62" s="1021">
        <f>(VLOOKUP(YEAR($A62),'NY East Load Projections'!$A$4:$EO$14,((MONTH($A62)-1)*12)+VLOOKUP(X$4,$DE$6:$DF$17,2)+1))*(VLOOKUP($A62,CURVES!$D$9:$K$261,4))*(INDEX(DailyScalarsTable,X$5/100,MONTH($A62)))*$B62</f>
        <v>-95399.827045923754</v>
      </c>
      <c r="Y62" s="1021">
        <f>(VLOOKUP(YEAR($A62),'NY East Load Projections'!$A$4:$EO$14,((MONTH($A62)-1)*12)+VLOOKUP(Y$4,$DE$6:$DF$17,2)+1))*(VLOOKUP($A62,CURVES!$D$9:$K$261,4))*(INDEX(DailyScalarsTable,Y$5/100,MONTH($A62)))*$B62</f>
        <v>-93059.482676817788</v>
      </c>
      <c r="Z62" s="1021">
        <f>(VLOOKUP(YEAR($A62),'NY East Load Projections'!$A$4:$EO$14,((MONTH($A62)-1)*12)+VLOOKUP(Z$4,$DE$6:$DF$17,2)+1))*(VLOOKUP($A62,CURVES!$D$9:$K$261,4))*(INDEX(DailyScalarsTable,Z$5/100,MONTH($A62)))*$B62</f>
        <v>-76221.320821197674</v>
      </c>
      <c r="AA62" s="1021">
        <f>(VLOOKUP(YEAR($A62),'NY East Load Projections'!$A$4:$EO$14,((MONTH($A62)-1)*12)+VLOOKUP(AA$4,$DE$6:$DF$17,2)+1))*(VLOOKUP($A62,CURVES!$D$9:$K$261,4))*(INDEX(DailyScalarsTable,AA$5/100,MONTH($A62)))*$B62</f>
        <v>-99612.446910314437</v>
      </c>
      <c r="AB62" s="1021">
        <f>(VLOOKUP(YEAR($A62),'NY East Load Projections'!$A$4:$EO$14,((MONTH($A62)-1)*12)+VLOOKUP(AB$4,$DE$6:$DF$17,2)+1))*(VLOOKUP($A62,CURVES!$D$9:$K$261,4))*(INDEX(DailyScalarsTable,AB$5/100,MONTH($A62)))*$B62</f>
        <v>-88634.476030974678</v>
      </c>
      <c r="AC62" s="1021">
        <f>(VLOOKUP(YEAR($A62),'NY East Load Projections'!$A$4:$EO$14,((MONTH($A62)-1)*12)+VLOOKUP(AC$4,$DE$6:$DF$17,2)+1))*(VLOOKUP($A62,CURVES!$D$9:$K$261,4))*(INDEX(DailyScalarsTable,AC$5/100,MONTH($A62)))*$B62</f>
        <v>-67459.597528602986</v>
      </c>
      <c r="AD62" s="1021">
        <f>(VLOOKUP(YEAR($A62),'NY East Load Projections'!$A$4:$EO$14,((MONTH($A62)-1)*12)+VLOOKUP(AD$4,$DE$6:$DF$17,2)+1))*(VLOOKUP($A62,CURVES!$D$9:$K$261,4))*(INDEX(DailyScalarsTable,AD$5/100,MONTH($A62)))*$B62</f>
        <v>-53458.959175905511</v>
      </c>
      <c r="AE62" s="1021">
        <f>(VLOOKUP(YEAR($A62),'NY East Load Projections'!$A$4:$EO$14,((MONTH($A62)-1)*12)+VLOOKUP(AE$4,$DE$6:$DF$17,2)+1))*(VLOOKUP($A62,CURVES!$D$9:$K$261,8))*(INDEX(DailyScalarsTable,AE$5/100,MONTH($A62)))*$B62</f>
        <v>-50557.156237612311</v>
      </c>
      <c r="AF62" s="1021"/>
      <c r="AG62" s="1021">
        <f>(VLOOKUP(YEAR($A62),'NY East Load Projections'!$A$4:$EO$14,((MONTH($A62)-1)*12)+VLOOKUP(AG$4,$DE$6:$DF$17,2)+1))*(VLOOKUP($A62,CURVES!$D$9:$T$261,8))*(INDEX(DailyScalarsTable,AG$5/100,MONTH($A62)))*$C62</f>
        <v>-8529.6075929461858</v>
      </c>
      <c r="AH62" s="1021">
        <f>(VLOOKUP(YEAR($A62),'NY East Load Projections'!$A$4:$EO$14,((MONTH($A62)-1)*12)+VLOOKUP(AH$4,$DE$6:$DF$17,2)+1))*(VLOOKUP($A62,CURVES!$D$9:$T$261,8))*(INDEX(DailyScalarsTable,AH$5/100,MONTH($A62)))*$C62</f>
        <v>-7483.1761813655385</v>
      </c>
      <c r="AI62" s="1021">
        <f>(VLOOKUP(YEAR($A62),'NY East Load Projections'!$A$4:$EO$14,((MONTH($A62)-1)*12)+VLOOKUP(AI$4,$DE$6:$DF$17,2)+1))*(VLOOKUP($A62,CURVES!$D$9:$T$261,8))*(INDEX(DailyScalarsTable,AI$5/100,MONTH($A62)))*$C62</f>
        <v>-7017.3733791091445</v>
      </c>
      <c r="AJ62" s="1021">
        <f>(VLOOKUP(YEAR($A62),'NY East Load Projections'!$A$4:$EO$14,((MONTH($A62)-1)*12)+VLOOKUP(AJ$4,$DE$6:$DF$17,2)+1))*(VLOOKUP($A62,CURVES!$D$9:$T$261,8))*(INDEX(DailyScalarsTable,AJ$5/100,MONTH($A62)))*$C62</f>
        <v>-7121.3665628687131</v>
      </c>
      <c r="AK62" s="1021">
        <f>(VLOOKUP(YEAR($A62),'NY East Load Projections'!$A$4:$EO$14,((MONTH($A62)-1)*12)+VLOOKUP(AK$4,$DE$6:$DF$17,2)+1))*(VLOOKUP($A62,CURVES!$D$9:$T$261,8))*(INDEX(DailyScalarsTable,AK$5/100,MONTH($A62)))*$C62</f>
        <v>-7744.7998522332573</v>
      </c>
      <c r="AL62" s="1021">
        <f>(VLOOKUP(YEAR($A62),'NY East Load Projections'!$A$4:$EO$14,((MONTH($A62)-1)*12)+VLOOKUP(AL$4,$DE$6:$DF$17,2)+1))*(VLOOKUP($A62,CURVES!$D$9:$T$261,8))*(INDEX(DailyScalarsTable,AL$5/100,MONTH($A62)))*$C62</f>
        <v>-8962.4945035564906</v>
      </c>
      <c r="AM62" s="1021">
        <f>(VLOOKUP(YEAR($A62),'NY East Load Projections'!$A$4:$EO$14,((MONTH($A62)-1)*12)+VLOOKUP(AM$4,$DE$6:$DF$17,2)+1))*(VLOOKUP($A62,CURVES!$D$9:$T$261,8))*(INDEX(DailyScalarsTable,AM$5/100,MONTH($A62)))*$C62</f>
        <v>-12187.857755627709</v>
      </c>
      <c r="AN62" s="1021">
        <f>(VLOOKUP(YEAR($A62),'NY East Load Projections'!$A$4:$EO$14,((MONTH($A62)-1)*12)+VLOOKUP(AN$4,$DE$6:$DF$17,2)+1))*(VLOOKUP($A62,SatSunCurve,4))*(INDEX(DailyScalarsTable,AN$5/100,MONTH($A62)))*$C62</f>
        <v>-7885.1799469445878</v>
      </c>
      <c r="AO62" s="1021">
        <f>(VLOOKUP(YEAR($A62),'NY East Load Projections'!$A$4:$EO$14,((MONTH($A62)-1)*12)+VLOOKUP(AO$4,$DE$6:$DF$17,2)+1))*(VLOOKUP($A62,SatSunCurve,4))*(INDEX(DailyScalarsTable,AO$5/100,MONTH($A62)))*$C62</f>
        <v>-8683.3666556989629</v>
      </c>
      <c r="AP62" s="1021">
        <f>(VLOOKUP(YEAR($A62),'NY East Load Projections'!$A$4:$EO$14,((MONTH($A62)-1)*12)+VLOOKUP(AP$4,$DE$6:$DF$17,2)+1))*(VLOOKUP($A62,SatSunCurve,4))*(INDEX(DailyScalarsTable,AP$5/100,MONTH($A62)))*$C62</f>
        <v>-10839.560265211252</v>
      </c>
      <c r="AQ62" s="1021">
        <f>(VLOOKUP(YEAR($A62),'NY East Load Projections'!$A$4:$EO$14,((MONTH($A62)-1)*12)+VLOOKUP(AQ$4,$DE$6:$DF$17,2)+1))*(VLOOKUP($A62,SatSunCurve,4))*(INDEX(DailyScalarsTable,AQ$5/100,MONTH($A62)))*$C62</f>
        <v>-11576.148144237191</v>
      </c>
      <c r="AR62" s="1021">
        <f>(VLOOKUP(YEAR($A62),'NY East Load Projections'!$A$4:$EO$14,((MONTH($A62)-1)*12)+VLOOKUP(AR$4,$DE$6:$DF$17,2)+1))*(VLOOKUP($A62,SatSunCurve,4))*(INDEX(DailyScalarsTable,AR$5/100,MONTH($A62)))*$C62</f>
        <v>-12334.498846961626</v>
      </c>
      <c r="AS62" s="1021">
        <f>(VLOOKUP(YEAR($A62),'NY East Load Projections'!$A$4:$EO$14,((MONTH($A62)-1)*12)+VLOOKUP(AS$4,$DE$6:$DF$17,2)+1))*(VLOOKUP($A62,SatSunCurve,4))*(INDEX(DailyScalarsTable,AS$5/100,MONTH($A62)))*$C62</f>
        <v>-11934.884591391108</v>
      </c>
      <c r="AT62" s="1021">
        <f>(VLOOKUP(YEAR($A62),'NY East Load Projections'!$A$4:$EO$14,((MONTH($A62)-1)*12)+VLOOKUP(AT$4,$DE$6:$DF$17,2)+1))*(VLOOKUP($A62,SatSunCurve,4))*(INDEX(DailyScalarsTable,AT$5/100,MONTH($A62)))*$C62</f>
        <v>-12919.89372588944</v>
      </c>
      <c r="AU62" s="1021">
        <f>(VLOOKUP(YEAR($A62),'NY East Load Projections'!$A$4:$EO$14,((MONTH($A62)-1)*12)+VLOOKUP(AU$4,$DE$6:$DF$17,2)+1))*(VLOOKUP($A62,SatSunCurve,4))*(INDEX(DailyScalarsTable,AU$5/100,MONTH($A62)))*$C62</f>
        <v>-12716.039661532401</v>
      </c>
      <c r="AV62" s="1021">
        <f>(VLOOKUP(YEAR($A62),'NY East Load Projections'!$A$4:$EO$14,((MONTH($A62)-1)*12)+VLOOKUP(AV$4,$DE$6:$DF$17,2)+1))*(VLOOKUP($A62,SatSunCurve,4))*(INDEX(DailyScalarsTable,AV$5/100,MONTH($A62)))*$C62</f>
        <v>-12318.609889004374</v>
      </c>
      <c r="AW62" s="1021">
        <f>(VLOOKUP(YEAR($A62),'NY East Load Projections'!$A$4:$EO$14,((MONTH($A62)-1)*12)+VLOOKUP(AW$4,$DE$6:$DF$17,2)+1))*(VLOOKUP($A62,SatSunCurve,4))*(INDEX(DailyScalarsTable,AW$5/100,MONTH($A62)))*$C62</f>
        <v>-12372.075438343878</v>
      </c>
      <c r="AX62" s="1021">
        <f>(VLOOKUP(YEAR($A62),'NY East Load Projections'!$A$4:$EO$14,((MONTH($A62)-1)*12)+VLOOKUP(AX$4,$DE$6:$DF$17,2)+1))*(VLOOKUP($A62,SatSunCurve,4))*(INDEX(DailyScalarsTable,AX$5/100,MONTH($A62)))*$C62</f>
        <v>-12068.56422681575</v>
      </c>
      <c r="AY62" s="1021">
        <f>(VLOOKUP(YEAR($A62),'NY East Load Projections'!$A$4:$EO$14,((MONTH($A62)-1)*12)+VLOOKUP(AY$4,$DE$6:$DF$17,2)+1))*(VLOOKUP($A62,SatSunCurve,4))*(INDEX(DailyScalarsTable,AY$5/100,MONTH($A62)))*$C62</f>
        <v>-9884.8809312423364</v>
      </c>
      <c r="AZ62" s="1021">
        <f>(VLOOKUP(YEAR($A62),'NY East Load Projections'!$A$4:$EO$14,((MONTH($A62)-1)*12)+VLOOKUP(AZ$4,$DE$6:$DF$17,2)+1))*(VLOOKUP($A62,SatSunCurve,4))*(INDEX(DailyScalarsTable,AZ$5/100,MONTH($A62)))*$C62</f>
        <v>-12918.395619094505</v>
      </c>
      <c r="BA62" s="1021">
        <f>(VLOOKUP(YEAR($A62),'NY East Load Projections'!$A$4:$EO$14,((MONTH($A62)-1)*12)+VLOOKUP(BA$4,$DE$6:$DF$17,2)+1))*(VLOOKUP($A62,SatSunCurve,4))*(INDEX(DailyScalarsTable,BA$5/100,MONTH($A62)))*$C62</f>
        <v>-12502.573597708633</v>
      </c>
      <c r="BB62" s="1021">
        <f>(VLOOKUP(YEAR($A62),'NY East Load Projections'!$A$4:$EO$14,((MONTH($A62)-1)*12)+VLOOKUP(BB$4,$DE$6:$DF$17,2)+1))*(VLOOKUP($A62,SatSunCurve,4))*(INDEX(DailyScalarsTable,BB$5/100,MONTH($A62)))*$C62</f>
        <v>-9515.6943521437042</v>
      </c>
      <c r="BC62" s="1021">
        <f>(VLOOKUP(YEAR($A62),'NY East Load Projections'!$A$4:$EO$14,((MONTH($A62)-1)*12)+VLOOKUP(BC$4,$DE$6:$DF$17,2)+1))*(VLOOKUP($A62,SatSunCurve,4))*(INDEX(DailyScalarsTable,BC$5/100,MONTH($A62)))*$C62</f>
        <v>-7540.7967811541666</v>
      </c>
      <c r="BD62" s="1021">
        <f>(VLOOKUP(YEAR($A62),'NY East Load Projections'!$A$4:$EO$14,((MONTH($A62)-1)*12)+VLOOKUP(BD$4,$DE$6:$DF$17,2)+1))*(VLOOKUP($A62,CURVES!$D$9:$T$261,8))*(INDEX(DailyScalarsTable,BD$5/100,MONTH($A62)))*$C62</f>
        <v>-10004.162600965974</v>
      </c>
      <c r="BE62" s="1021"/>
      <c r="BF62" s="1021">
        <f>(VLOOKUP(YEAR($A62),'NY East Load Projections'!$A$4:$EO$14,((MONTH($A62)-1)*12)+VLOOKUP(BF$4,$DE$6:$DF$17,2)+1))*(VLOOKUP($A62,CURVES!$D$9:$T$261,8))*(INDEX(DailyScalarsTable,BF$5/100,MONTH($A62)))*$D62</f>
        <v>-8529.6075929461858</v>
      </c>
      <c r="BG62" s="1021">
        <f>(VLOOKUP(YEAR($A62),'NY East Load Projections'!$A$4:$EO$14,((MONTH($A62)-1)*12)+VLOOKUP(BG$4,$DE$6:$DF$17,2)+1))*(VLOOKUP($A62,CURVES!$D$9:$T$261,8))*(INDEX(DailyScalarsTable,BG$5/100,MONTH($A62)))*$D62</f>
        <v>-7483.1761813655385</v>
      </c>
      <c r="BH62" s="1021">
        <f>(VLOOKUP(YEAR($A62),'NY East Load Projections'!$A$4:$EO$14,((MONTH($A62)-1)*12)+VLOOKUP(BH$4,$DE$6:$DF$17,2)+1))*(VLOOKUP($A62,CURVES!$D$9:$T$261,8))*(INDEX(DailyScalarsTable,BH$5/100,MONTH($A62)))*$D62</f>
        <v>-7017.3733791091445</v>
      </c>
      <c r="BI62" s="1021">
        <f>(VLOOKUP(YEAR($A62),'NY East Load Projections'!$A$4:$EO$14,((MONTH($A62)-1)*12)+VLOOKUP(BI$4,$DE$6:$DF$17,2)+1))*(VLOOKUP($A62,CURVES!$D$9:$T$261,8))*(INDEX(DailyScalarsTable,BI$5/100,MONTH($A62)))*$D62</f>
        <v>-7121.3665628687131</v>
      </c>
      <c r="BJ62" s="1021">
        <f>(VLOOKUP(YEAR($A62),'NY East Load Projections'!$A$4:$EO$14,((MONTH($A62)-1)*12)+VLOOKUP(BJ$4,$DE$6:$DF$17,2)+1))*(VLOOKUP($A62,CURVES!$D$9:$T$261,8))*(INDEX(DailyScalarsTable,BJ$5/100,MONTH($A62)))*$D62</f>
        <v>-7744.7998522332573</v>
      </c>
      <c r="BK62" s="1021">
        <f>(VLOOKUP(YEAR($A62),'NY East Load Projections'!$A$4:$EO$14,((MONTH($A62)-1)*12)+VLOOKUP(BK$4,$DE$6:$DF$17,2)+1))*(VLOOKUP($A62,CURVES!$D$9:$T$261,8))*(INDEX(DailyScalarsTable,BK$5/100,MONTH($A62)))*$D62</f>
        <v>-8962.4945035564906</v>
      </c>
      <c r="BL62" s="1021">
        <f>(VLOOKUP(YEAR($A62),'NY East Load Projections'!$A$4:$EO$14,((MONTH($A62)-1)*12)+VLOOKUP(BL$4,$DE$6:$DF$17,2)+1))*(VLOOKUP($A62,CURVES!$D$9:$T$261,8))*(INDEX(DailyScalarsTable,BL$5/100,MONTH($A62)))*$D62</f>
        <v>-12187.857755627709</v>
      </c>
      <c r="BM62" s="1021">
        <f>(VLOOKUP(YEAR($A62),'NY East Load Projections'!$A$4:$EO$14,((MONTH($A62)-1)*12)+VLOOKUP(BM$4,$DE$6:$DF$17,2)+1))*(VLOOKUP($A62,SatSunCurve,8))*(INDEX(DailyScalarsTable,BM$5/100,MONTH($A62)))*$D62</f>
        <v>-8855.7142144305635</v>
      </c>
      <c r="BN62" s="1021">
        <f>(VLOOKUP(YEAR($A62),'NY East Load Projections'!$A$4:$EO$14,((MONTH($A62)-1)*12)+VLOOKUP(BN$4,$DE$6:$DF$17,2)+1))*(VLOOKUP($A62,SatSunCurve,8))*(INDEX(DailyScalarsTable,BN$5/100,MONTH($A62)))*$D62</f>
        <v>-9752.1444075328309</v>
      </c>
      <c r="BO62" s="1021">
        <f>(VLOOKUP(YEAR($A62),'NY East Load Projections'!$A$4:$EO$14,((MONTH($A62)-1)*12)+VLOOKUP(BO$4,$DE$6:$DF$17,2)+1))*(VLOOKUP($A62,SatSunCurve,8))*(INDEX(DailyScalarsTable,BO$5/100,MONTH($A62)))*$D62</f>
        <v>-12173.729523573367</v>
      </c>
      <c r="BP62" s="1021">
        <f>(VLOOKUP(YEAR($A62),'NY East Load Projections'!$A$4:$EO$14,((MONTH($A62)-1)*12)+VLOOKUP(BP$4,$DE$6:$DF$17,2)+1))*(VLOOKUP($A62,SatSunCurve,8))*(INDEX(DailyScalarsTable,BP$5/100,MONTH($A62)))*$D62</f>
        <v>-13000.979097376037</v>
      </c>
      <c r="BQ62" s="1021">
        <f>(VLOOKUP(YEAR($A62),'NY East Load Projections'!$A$4:$EO$14,((MONTH($A62)-1)*12)+VLOOKUP(BQ$4,$DE$6:$DF$17,2)+1))*(VLOOKUP($A62,SatSunCurve,8))*(INDEX(DailyScalarsTable,BQ$5/100,MONTH($A62)))*$D62</f>
        <v>-13852.670135859242</v>
      </c>
      <c r="BR62" s="1021">
        <f>(VLOOKUP(YEAR($A62),'NY East Load Projections'!$A$4:$EO$14,((MONTH($A62)-1)*12)+VLOOKUP(BR$4,$DE$6:$DF$17,2)+1))*(VLOOKUP($A62,SatSunCurve,8))*(INDEX(DailyScalarsTable,BR$5/100,MONTH($A62)))*$D62</f>
        <v>-13403.870023857209</v>
      </c>
      <c r="BS62" s="1021">
        <f>(VLOOKUP(YEAR($A62),'NY East Load Projections'!$A$4:$EO$14,((MONTH($A62)-1)*12)+VLOOKUP(BS$4,$DE$6:$DF$17,2)+1))*(VLOOKUP($A62,SatSunCurve,8))*(INDEX(DailyScalarsTable,BS$5/100,MONTH($A62)))*$D62</f>
        <v>-14510.117370450849</v>
      </c>
      <c r="BT62" s="1021">
        <f>(VLOOKUP(YEAR($A62),'NY East Load Projections'!$A$4:$EO$14,((MONTH($A62)-1)*12)+VLOOKUP(BT$4,$DE$6:$DF$17,2)+1))*(VLOOKUP($A62,SatSunCurve,8))*(INDEX(DailyScalarsTable,BT$5/100,MONTH($A62)))*$D62</f>
        <v>-14281.172267416696</v>
      </c>
      <c r="BU62" s="1021">
        <f>(VLOOKUP(YEAR($A62),'NY East Load Projections'!$A$4:$EO$14,((MONTH($A62)-1)*12)+VLOOKUP(BU$4,$DE$6:$DF$17,2)+1))*(VLOOKUP($A62,SatSunCurve,8))*(INDEX(DailyScalarsTable,BU$5/100,MONTH($A62)))*$D62</f>
        <v>-13834.825511921519</v>
      </c>
      <c r="BV62" s="1021">
        <f>(VLOOKUP(YEAR($A62),'NY East Load Projections'!$A$4:$EO$14,((MONTH($A62)-1)*12)+VLOOKUP(BV$4,$DE$6:$DF$17,2)+1))*(VLOOKUP($A62,SatSunCurve,8))*(INDEX(DailyScalarsTable,BV$5/100,MONTH($A62)))*$D62</f>
        <v>-13894.871779534173</v>
      </c>
      <c r="BW62" s="1021">
        <f>(VLOOKUP(YEAR($A62),'NY East Load Projections'!$A$4:$EO$14,((MONTH($A62)-1)*12)+VLOOKUP(BW$4,$DE$6:$DF$17,2)+1))*(VLOOKUP($A62,SatSunCurve,8))*(INDEX(DailyScalarsTable,BW$5/100,MONTH($A62)))*$D62</f>
        <v>-13554.003395013642</v>
      </c>
      <c r="BX62" s="1021">
        <f>(VLOOKUP(YEAR($A62),'NY East Load Projections'!$A$4:$EO$14,((MONTH($A62)-1)*12)+VLOOKUP(BX$4,$DE$6:$DF$17,2)+1))*(VLOOKUP($A62,SatSunCurve,8))*(INDEX(DailyScalarsTable,BX$5/100,MONTH($A62)))*$D62</f>
        <v>-11101.545070594892</v>
      </c>
      <c r="BY62" s="1021">
        <f>(VLOOKUP(YEAR($A62),'NY East Load Projections'!$A$4:$EO$14,((MONTH($A62)-1)*12)+VLOOKUP(BY$4,$DE$6:$DF$17,2)+1))*(VLOOKUP($A62,SatSunCurve,8))*(INDEX(DailyScalarsTable,BY$5/100,MONTH($A62)))*$D62</f>
        <v>-14508.434871671123</v>
      </c>
      <c r="BZ62" s="1021">
        <f>(VLOOKUP(YEAR($A62),'NY East Load Projections'!$A$4:$EO$14,((MONTH($A62)-1)*12)+VLOOKUP(BZ$4,$DE$6:$DF$17,2)+1))*(VLOOKUP($A62,SatSunCurve,8))*(INDEX(DailyScalarsTable,BZ$5/100,MONTH($A62)))*$D62</f>
        <v>-14041.432087937954</v>
      </c>
      <c r="CA62" s="1021">
        <f>(VLOOKUP(YEAR($A62),'NY East Load Projections'!$A$4:$EO$14,((MONTH($A62)-1)*12)+VLOOKUP(CA$4,$DE$6:$DF$17,2)+1))*(VLOOKUP($A62,SatSunCurve,8))*(INDEX(DailyScalarsTable,CA$5/100,MONTH($A62)))*$D62</f>
        <v>-10686.917775048187</v>
      </c>
      <c r="CB62" s="1021">
        <f>(VLOOKUP(YEAR($A62),'NY East Load Projections'!$A$4:$EO$14,((MONTH($A62)-1)*12)+VLOOKUP(CB$4,$DE$6:$DF$17,2)+1))*(VLOOKUP($A62,SatSunCurve,8))*(INDEX(DailyScalarsTable,CB$5/100,MONTH($A62)))*$D62</f>
        <v>-8468.9432190923308</v>
      </c>
      <c r="CC62" s="1021">
        <f>(VLOOKUP(YEAR($A62),'NY East Load Projections'!$A$4:$EO$14,((MONTH($A62)-1)*12)+VLOOKUP(CC$4,$DE$6:$DF$17,2)+1))*(VLOOKUP($A62,CURVES!$D$9:$T$261,8))*(INDEX(DailyScalarsTable,CC$5/100,MONTH($A62)))*$D62</f>
        <v>-10004.162600965974</v>
      </c>
      <c r="CE62" s="1021">
        <f>(VLOOKUP(YEAR($A62),'NY East Load Projections'!$A$4:$EO$14,((MONTH($A62)-1)*12)+VLOOKUP(CE$4,$DE$6:$DF$17,2)+1))*(VLOOKUP($A62,CURVES!$D$9:$T$261,8))*(INDEX(DailyScalarsTable,CE$5/100,MONTH($A62)))*$E62</f>
        <v>-2132.4018982365465</v>
      </c>
      <c r="CF62" s="1021">
        <f>(VLOOKUP(YEAR($A62),'NY East Load Projections'!$A$4:$EO$14,((MONTH($A62)-1)*12)+VLOOKUP(CF$4,$DE$6:$DF$17,2)+1))*(VLOOKUP($A62,CURVES!$D$9:$T$261,8))*(INDEX(DailyScalarsTable,CF$5/100,MONTH($A62)))*$E62</f>
        <v>-1870.7940453413846</v>
      </c>
      <c r="CG62" s="1021">
        <f>(VLOOKUP(YEAR($A62),'NY East Load Projections'!$A$4:$EO$14,((MONTH($A62)-1)*12)+VLOOKUP(CG$4,$DE$6:$DF$17,2)+1))*(VLOOKUP($A62,CURVES!$D$9:$T$261,8))*(INDEX(DailyScalarsTable,CG$5/100,MONTH($A62)))*$E62</f>
        <v>-1754.3433447772861</v>
      </c>
      <c r="CH62" s="1021">
        <f>(VLOOKUP(YEAR($A62),'NY East Load Projections'!$A$4:$EO$14,((MONTH($A62)-1)*12)+VLOOKUP(CH$4,$DE$6:$DF$17,2)+1))*(VLOOKUP($A62,CURVES!$D$9:$T$261,8))*(INDEX(DailyScalarsTable,CH$5/100,MONTH($A62)))*$E62</f>
        <v>-1780.3416407171783</v>
      </c>
      <c r="CI62" s="1021">
        <f>(VLOOKUP(YEAR($A62),'NY East Load Projections'!$A$4:$EO$14,((MONTH($A62)-1)*12)+VLOOKUP(CI$4,$DE$6:$DF$17,2)+1))*(VLOOKUP($A62,CURVES!$D$9:$T$261,8))*(INDEX(DailyScalarsTable,CI$5/100,MONTH($A62)))*$E62</f>
        <v>-1936.1999630583143</v>
      </c>
      <c r="CJ62" s="1021">
        <f>(VLOOKUP(YEAR($A62),'NY East Load Projections'!$A$4:$EO$14,((MONTH($A62)-1)*12)+VLOOKUP(CJ$4,$DE$6:$DF$17,2)+1))*(VLOOKUP($A62,CURVES!$D$9:$T$261,8))*(INDEX(DailyScalarsTable,CJ$5/100,MONTH($A62)))*$E62</f>
        <v>-2240.6236258891226</v>
      </c>
      <c r="CK62" s="1021">
        <f>(VLOOKUP(YEAR($A62),'NY East Load Projections'!$A$4:$EO$14,((MONTH($A62)-1)*12)+VLOOKUP(CK$4,$DE$6:$DF$17,2)+1))*(VLOOKUP($A62,CURVES!$D$9:$T$261,8))*(INDEX(DailyScalarsTable,CK$5/100,MONTH($A62)))*$E62</f>
        <v>-3046.9644389069272</v>
      </c>
      <c r="CL62" s="1021">
        <f>(VLOOKUP(YEAR($A62),'NY East Load Projections'!$A$4:$EO$14,((MONTH($A62)-1)*12)+VLOOKUP(CL$4,$DE$6:$DF$17,2)+1))*(VLOOKUP($A62,SatSunCurve,8))*(INDEX(DailyScalarsTable,CL$5/100,MONTH($A62)))*$E62</f>
        <v>-2213.9285536076409</v>
      </c>
      <c r="CM62" s="1021">
        <f>(VLOOKUP(YEAR($A62),'NY East Load Projections'!$A$4:$EO$14,((MONTH($A62)-1)*12)+VLOOKUP(CM$4,$DE$6:$DF$17,2)+1))*(VLOOKUP($A62,SatSunCurve,8))*(INDEX(DailyScalarsTable,CM$5/100,MONTH($A62)))*$E62</f>
        <v>-2438.0361018832077</v>
      </c>
      <c r="CN62" s="1021">
        <f>(VLOOKUP(YEAR($A62),'NY East Load Projections'!$A$4:$EO$14,((MONTH($A62)-1)*12)+VLOOKUP(CN$4,$DE$6:$DF$17,2)+1))*(VLOOKUP($A62,SatSunCurve,8))*(INDEX(DailyScalarsTable,CN$5/100,MONTH($A62)))*$E62</f>
        <v>-3043.4323808933418</v>
      </c>
      <c r="CO62" s="1021">
        <f>(VLOOKUP(YEAR($A62),'NY East Load Projections'!$A$4:$EO$14,((MONTH($A62)-1)*12)+VLOOKUP(CO$4,$DE$6:$DF$17,2)+1))*(VLOOKUP($A62,SatSunCurve,8))*(INDEX(DailyScalarsTable,CO$5/100,MONTH($A62)))*$E62</f>
        <v>-3250.2447743440093</v>
      </c>
      <c r="CP62" s="1021">
        <f>(VLOOKUP(YEAR($A62),'NY East Load Projections'!$A$4:$EO$14,((MONTH($A62)-1)*12)+VLOOKUP(CP$4,$DE$6:$DF$17,2)+1))*(VLOOKUP($A62,SatSunCurve,8))*(INDEX(DailyScalarsTable,CP$5/100,MONTH($A62)))*$E62</f>
        <v>-3463.1675339648104</v>
      </c>
      <c r="CQ62" s="1021">
        <f>(VLOOKUP(YEAR($A62),'NY East Load Projections'!$A$4:$EO$14,((MONTH($A62)-1)*12)+VLOOKUP(CQ$4,$DE$6:$DF$17,2)+1))*(VLOOKUP($A62,SatSunCurve,8))*(INDEX(DailyScalarsTable,CQ$5/100,MONTH($A62)))*$E62</f>
        <v>-3350.9675059643023</v>
      </c>
      <c r="CR62" s="1021">
        <f>(VLOOKUP(YEAR($A62),'NY East Load Projections'!$A$4:$EO$14,((MONTH($A62)-1)*12)+VLOOKUP(CR$4,$DE$6:$DF$17,2)+1))*(VLOOKUP($A62,SatSunCurve,8))*(INDEX(DailyScalarsTable,CR$5/100,MONTH($A62)))*$E62</f>
        <v>-3627.5293426127123</v>
      </c>
      <c r="CS62" s="1021">
        <f>(VLOOKUP(YEAR($A62),'NY East Load Projections'!$A$4:$EO$14,((MONTH($A62)-1)*12)+VLOOKUP(CS$4,$DE$6:$DF$17,2)+1))*(VLOOKUP($A62,SatSunCurve,8))*(INDEX(DailyScalarsTable,CS$5/100,MONTH($A62)))*$E62</f>
        <v>-3570.293066854174</v>
      </c>
      <c r="CT62" s="1021">
        <f>(VLOOKUP(YEAR($A62),'NY East Load Projections'!$A$4:$EO$14,((MONTH($A62)-1)*12)+VLOOKUP(CT$4,$DE$6:$DF$17,2)+1))*(VLOOKUP($A62,SatSunCurve,8))*(INDEX(DailyScalarsTable,CT$5/100,MONTH($A62)))*$E62</f>
        <v>-3458.7063779803798</v>
      </c>
      <c r="CU62" s="1021">
        <f>(VLOOKUP(YEAR($A62),'NY East Load Projections'!$A$4:$EO$14,((MONTH($A62)-1)*12)+VLOOKUP(CU$4,$DE$6:$DF$17,2)+1))*(VLOOKUP($A62,SatSunCurve,8))*(INDEX(DailyScalarsTable,CU$5/100,MONTH($A62)))*$E62</f>
        <v>-3473.7179448835432</v>
      </c>
      <c r="CV62" s="1021">
        <f>(VLOOKUP(YEAR($A62),'NY East Load Projections'!$A$4:$EO$14,((MONTH($A62)-1)*12)+VLOOKUP(CV$4,$DE$6:$DF$17,2)+1))*(VLOOKUP($A62,SatSunCurve,8))*(INDEX(DailyScalarsTable,CV$5/100,MONTH($A62)))*$E62</f>
        <v>-3388.5008487534105</v>
      </c>
      <c r="CW62" s="1021">
        <f>(VLOOKUP(YEAR($A62),'NY East Load Projections'!$A$4:$EO$14,((MONTH($A62)-1)*12)+VLOOKUP(CW$4,$DE$6:$DF$17,2)+1))*(VLOOKUP($A62,SatSunCurve,8))*(INDEX(DailyScalarsTable,CW$5/100,MONTH($A62)))*$E62</f>
        <v>-2775.3862676487229</v>
      </c>
      <c r="CX62" s="1021">
        <f>(VLOOKUP(YEAR($A62),'NY East Load Projections'!$A$4:$EO$14,((MONTH($A62)-1)*12)+VLOOKUP(CX$4,$DE$6:$DF$17,2)+1))*(VLOOKUP($A62,SatSunCurve,8))*(INDEX(DailyScalarsTable,CX$5/100,MONTH($A62)))*$E62</f>
        <v>-3627.1087179177807</v>
      </c>
      <c r="CY62" s="1021">
        <f>(VLOOKUP(YEAR($A62),'NY East Load Projections'!$A$4:$EO$14,((MONTH($A62)-1)*12)+VLOOKUP(CY$4,$DE$6:$DF$17,2)+1))*(VLOOKUP($A62,SatSunCurve,8))*(INDEX(DailyScalarsTable,CY$5/100,MONTH($A62)))*$E62</f>
        <v>-3510.3580219844885</v>
      </c>
      <c r="CZ62" s="1021">
        <f>(VLOOKUP(YEAR($A62),'NY East Load Projections'!$A$4:$EO$14,((MONTH($A62)-1)*12)+VLOOKUP(CZ$4,$DE$6:$DF$17,2)+1))*(VLOOKUP($A62,SatSunCurve,8))*(INDEX(DailyScalarsTable,CZ$5/100,MONTH($A62)))*$E62</f>
        <v>-2671.7294437620467</v>
      </c>
      <c r="DA62" s="1021">
        <f>(VLOOKUP(YEAR($A62),'NY East Load Projections'!$A$4:$EO$14,((MONTH($A62)-1)*12)+VLOOKUP(DA$4,$DE$6:$DF$17,2)+1))*(VLOOKUP($A62,SatSunCurve,8))*(INDEX(DailyScalarsTable,DA$5/100,MONTH($A62)))*$E62</f>
        <v>-2117.2358047730827</v>
      </c>
      <c r="DB62" s="1021">
        <f>(VLOOKUP(YEAR($A62),'NY East Load Projections'!$A$4:$EO$14,((MONTH($A62)-1)*12)+VLOOKUP(DB$4,$DE$6:$DF$17,2)+1))*(VLOOKUP($A62,CURVES!$D$9:$T$261,8))*(INDEX(DailyScalarsTable,DB$5/100,MONTH($A62)))*$E62</f>
        <v>-2501.0406502414935</v>
      </c>
      <c r="DH62" s="1021">
        <f t="shared" si="0"/>
        <v>-2287882.9383387091</v>
      </c>
      <c r="DI62">
        <f ca="1">CALC!J82</f>
        <v>0.66683762127099377</v>
      </c>
      <c r="DJ62" s="1029">
        <f t="shared" ca="1" si="1"/>
        <v>-1525646.4163482764</v>
      </c>
    </row>
    <row r="63" spans="1:114" x14ac:dyDescent="0.25">
      <c r="A63" s="244">
        <v>38626</v>
      </c>
      <c r="B63" s="13">
        <v>21</v>
      </c>
      <c r="C63" s="210">
        <v>5</v>
      </c>
      <c r="D63" s="210">
        <v>5</v>
      </c>
      <c r="E63" s="210">
        <v>0</v>
      </c>
      <c r="F63" s="13">
        <v>31</v>
      </c>
      <c r="H63" s="1021">
        <f>(VLOOKUP(YEAR($A63),'NY East Load Projections'!$A$4:$EO$14,((MONTH($A63)-1)*12)+VLOOKUP(H$4,$DE$6:$DF$17,2)+1))*(VLOOKUP($A63,CURVES!$D$9:$K$261,8))*(INDEX(DailyScalarsTable,H$5/100,MONTH($A63)))*$B63</f>
        <v>-37420.04266045172</v>
      </c>
      <c r="I63" s="1021">
        <f>(VLOOKUP(YEAR($A63),'NY East Load Projections'!$A$4:$EO$14,((MONTH($A63)-1)*12)+VLOOKUP(I$4,$DE$6:$DF$17,2)+1))*(VLOOKUP($A63,CURVES!$D$9:$K$261,8))*(INDEX(DailyScalarsTable,I$5/100,MONTH($A63)))*$B63</f>
        <v>-35516.527062242327</v>
      </c>
      <c r="J63" s="1021">
        <f>(VLOOKUP(YEAR($A63),'NY East Load Projections'!$A$4:$EO$14,((MONTH($A63)-1)*12)+VLOOKUP(J$4,$DE$6:$DF$17,2)+1))*(VLOOKUP($A63,CURVES!$D$9:$K$261,8))*(INDEX(DailyScalarsTable,J$5/100,MONTH($A63)))*$B63</f>
        <v>-34117.462802688839</v>
      </c>
      <c r="K63" s="1021">
        <f>(VLOOKUP(YEAR($A63),'NY East Load Projections'!$A$4:$EO$14,((MONTH($A63)-1)*12)+VLOOKUP(K$4,$DE$6:$DF$17,2)+1))*(VLOOKUP($A63,CURVES!$D$9:$K$261,8))*(INDEX(DailyScalarsTable,K$5/100,MONTH($A63)))*$B63</f>
        <v>-34137.167933105084</v>
      </c>
      <c r="L63" s="1021">
        <f>(VLOOKUP(YEAR($A63),'NY East Load Projections'!$A$4:$EO$14,((MONTH($A63)-1)*12)+VLOOKUP(L$4,$DE$6:$DF$17,2)+1))*(VLOOKUP($A63,CURVES!$D$9:$K$261,8))*(INDEX(DailyScalarsTable,L$5/100,MONTH($A63)))*$B63</f>
        <v>-40344.769565058486</v>
      </c>
      <c r="M63" s="1021">
        <f>(VLOOKUP(YEAR($A63),'NY East Load Projections'!$A$4:$EO$14,((MONTH($A63)-1)*12)+VLOOKUP(M$4,$DE$6:$DF$17,2)+1))*(VLOOKUP($A63,CURVES!$D$9:$K$261,8))*(INDEX(DailyScalarsTable,M$5/100,MONTH($A63)))*$B63</f>
        <v>-46349.673745330001</v>
      </c>
      <c r="N63" s="1021">
        <f>(VLOOKUP(YEAR($A63),'NY East Load Projections'!$A$4:$EO$14,((MONTH($A63)-1)*12)+VLOOKUP(N$4,$DE$6:$DF$17,2)+1))*(VLOOKUP($A63,CURVES!$D$9:$K$261,8))*(INDEX(DailyScalarsTable,N$5/100,MONTH($A63)))*$B63</f>
        <v>-59918.405743681025</v>
      </c>
      <c r="O63" s="1021">
        <f>(VLOOKUP(YEAR($A63),'NY East Load Projections'!$A$4:$EO$14,((MONTH($A63)-1)*12)+VLOOKUP(O$4,$DE$6:$DF$17,2)+1))*(VLOOKUP($A63,CURVES!$D$9:$K$261,4))*(INDEX(DailyScalarsTable,O$5/100,MONTH($A63)))*$B63</f>
        <v>-72234.820771946164</v>
      </c>
      <c r="P63" s="1021">
        <f>(VLOOKUP(YEAR($A63),'NY East Load Projections'!$A$4:$EO$14,((MONTH($A63)-1)*12)+VLOOKUP(P$4,$DE$6:$DF$17,2)+1))*(VLOOKUP($A63,CURVES!$D$9:$K$261,4))*(INDEX(DailyScalarsTable,P$5/100,MONTH($A63)))*$B63</f>
        <v>-86124.726826869563</v>
      </c>
      <c r="Q63" s="1021">
        <f>(VLOOKUP(YEAR($A63),'NY East Load Projections'!$A$4:$EO$14,((MONTH($A63)-1)*12)+VLOOKUP(Q$4,$DE$6:$DF$17,2)+1))*(VLOOKUP($A63,CURVES!$D$9:$K$261,4))*(INDEX(DailyScalarsTable,Q$5/100,MONTH($A63)))*$B63</f>
        <v>-85858.581193906415</v>
      </c>
      <c r="R63" s="1021">
        <f>(VLOOKUP(YEAR($A63),'NY East Load Projections'!$A$4:$EO$14,((MONTH($A63)-1)*12)+VLOOKUP(R$4,$DE$6:$DF$17,2)+1))*(VLOOKUP($A63,CURVES!$D$9:$K$261,4))*(INDEX(DailyScalarsTable,R$5/100,MONTH($A63)))*$B63</f>
        <v>-85371.914893630979</v>
      </c>
      <c r="S63" s="1021">
        <f>(VLOOKUP(YEAR($A63),'NY East Load Projections'!$A$4:$EO$14,((MONTH($A63)-1)*12)+VLOOKUP(S$4,$DE$6:$DF$17,2)+1))*(VLOOKUP($A63,CURVES!$D$9:$K$261,4))*(INDEX(DailyScalarsTable,S$5/100,MONTH($A63)))*$B63</f>
        <v>-72041.82076264896</v>
      </c>
      <c r="T63" s="1021">
        <f>(VLOOKUP(YEAR($A63),'NY East Load Projections'!$A$4:$EO$14,((MONTH($A63)-1)*12)+VLOOKUP(T$4,$DE$6:$DF$17,2)+1))*(VLOOKUP($A63,CURVES!$D$9:$K$261,4))*(INDEX(DailyScalarsTable,T$5/100,MONTH($A63)))*$B63</f>
        <v>-69781.803975738119</v>
      </c>
      <c r="U63" s="1021">
        <f>(VLOOKUP(YEAR($A63),'NY East Load Projections'!$A$4:$EO$14,((MONTH($A63)-1)*12)+VLOOKUP(U$4,$DE$6:$DF$17,2)+1))*(VLOOKUP($A63,CURVES!$D$9:$K$261,4))*(INDEX(DailyScalarsTable,U$5/100,MONTH($A63)))*$B63</f>
        <v>-67844.945274534912</v>
      </c>
      <c r="V63" s="1021">
        <f>(VLOOKUP(YEAR($A63),'NY East Load Projections'!$A$4:$EO$14,((MONTH($A63)-1)*12)+VLOOKUP(V$4,$DE$6:$DF$17,2)+1))*(VLOOKUP($A63,CURVES!$D$9:$K$261,4))*(INDEX(DailyScalarsTable,V$5/100,MONTH($A63)))*$B63</f>
        <v>-66268.797100681288</v>
      </c>
      <c r="W63" s="1021">
        <f>(VLOOKUP(YEAR($A63),'NY East Load Projections'!$A$4:$EO$14,((MONTH($A63)-1)*12)+VLOOKUP(W$4,$DE$6:$DF$17,2)+1))*(VLOOKUP($A63,CURVES!$D$9:$K$261,4))*(INDEX(DailyScalarsTable,W$5/100,MONTH($A63)))*$B63</f>
        <v>-65813.9881748927</v>
      </c>
      <c r="X63" s="1021">
        <f>(VLOOKUP(YEAR($A63),'NY East Load Projections'!$A$4:$EO$14,((MONTH($A63)-1)*12)+VLOOKUP(X$4,$DE$6:$DF$17,2)+1))*(VLOOKUP($A63,CURVES!$D$9:$K$261,4))*(INDEX(DailyScalarsTable,X$5/100,MONTH($A63)))*$B63</f>
        <v>-65386.415988655717</v>
      </c>
      <c r="Y63" s="1021">
        <f>(VLOOKUP(YEAR($A63),'NY East Load Projections'!$A$4:$EO$14,((MONTH($A63)-1)*12)+VLOOKUP(Y$4,$DE$6:$DF$17,2)+1))*(VLOOKUP($A63,CURVES!$D$9:$K$261,4))*(INDEX(DailyScalarsTable,Y$5/100,MONTH($A63)))*$B63</f>
        <v>-88208.450795847268</v>
      </c>
      <c r="Z63" s="1021">
        <f>(VLOOKUP(YEAR($A63),'NY East Load Projections'!$A$4:$EO$14,((MONTH($A63)-1)*12)+VLOOKUP(Z$4,$DE$6:$DF$17,2)+1))*(VLOOKUP($A63,CURVES!$D$9:$K$261,4))*(INDEX(DailyScalarsTable,Z$5/100,MONTH($A63)))*$B63</f>
        <v>-88899.359418029548</v>
      </c>
      <c r="AA63" s="1021">
        <f>(VLOOKUP(YEAR($A63),'NY East Load Projections'!$A$4:$EO$14,((MONTH($A63)-1)*12)+VLOOKUP(AA$4,$DE$6:$DF$17,2)+1))*(VLOOKUP($A63,CURVES!$D$9:$K$261,4))*(INDEX(DailyScalarsTable,AA$5/100,MONTH($A63)))*$B63</f>
        <v>-85018.510987048197</v>
      </c>
      <c r="AB63" s="1021">
        <f>(VLOOKUP(YEAR($A63),'NY East Load Projections'!$A$4:$EO$14,((MONTH($A63)-1)*12)+VLOOKUP(AB$4,$DE$6:$DF$17,2)+1))*(VLOOKUP($A63,CURVES!$D$9:$K$261,4))*(INDEX(DailyScalarsTable,AB$5/100,MONTH($A63)))*$B63</f>
        <v>-69199.443497876375</v>
      </c>
      <c r="AC63" s="1021">
        <f>(VLOOKUP(YEAR($A63),'NY East Load Projections'!$A$4:$EO$14,((MONTH($A63)-1)*12)+VLOOKUP(AC$4,$DE$6:$DF$17,2)+1))*(VLOOKUP($A63,CURVES!$D$9:$K$261,4))*(INDEX(DailyScalarsTable,AC$5/100,MONTH($A63)))*$B63</f>
        <v>-57404.010243771161</v>
      </c>
      <c r="AD63" s="1021">
        <f>(VLOOKUP(YEAR($A63),'NY East Load Projections'!$A$4:$EO$14,((MONTH($A63)-1)*12)+VLOOKUP(AD$4,$DE$6:$DF$17,2)+1))*(VLOOKUP($A63,CURVES!$D$9:$K$261,4))*(INDEX(DailyScalarsTable,AD$5/100,MONTH($A63)))*$B63</f>
        <v>-48942.63194348821</v>
      </c>
      <c r="AE63" s="1021">
        <f>(VLOOKUP(YEAR($A63),'NY East Load Projections'!$A$4:$EO$14,((MONTH($A63)-1)*12)+VLOOKUP(AE$4,$DE$6:$DF$17,2)+1))*(VLOOKUP($A63,CURVES!$D$9:$K$261,8))*(INDEX(DailyScalarsTable,AE$5/100,MONTH($A63)))*$B63</f>
        <v>-43518.788437632778</v>
      </c>
      <c r="AF63" s="1021"/>
      <c r="AG63" s="1021">
        <f>(VLOOKUP(YEAR($A63),'NY East Load Projections'!$A$4:$EO$14,((MONTH($A63)-1)*12)+VLOOKUP(AG$4,$DE$6:$DF$17,2)+1))*(VLOOKUP($A63,CURVES!$D$9:$T$261,8))*(INDEX(DailyScalarsTable,AG$5/100,MONTH($A63)))*$C63</f>
        <v>-9283.4345573954197</v>
      </c>
      <c r="AH63" s="1021">
        <f>(VLOOKUP(YEAR($A63),'NY East Load Projections'!$A$4:$EO$14,((MONTH($A63)-1)*12)+VLOOKUP(AH$4,$DE$6:$DF$17,2)+1))*(VLOOKUP($A63,CURVES!$D$9:$T$261,8))*(INDEX(DailyScalarsTable,AH$5/100,MONTH($A63)))*$C63</f>
        <v>-8811.1966541598249</v>
      </c>
      <c r="AI63" s="1021">
        <f>(VLOOKUP(YEAR($A63),'NY East Load Projections'!$A$4:$EO$14,((MONTH($A63)-1)*12)+VLOOKUP(AI$4,$DE$6:$DF$17,2)+1))*(VLOOKUP($A63,CURVES!$D$9:$T$261,8))*(INDEX(DailyScalarsTable,AI$5/100,MONTH($A63)))*$C63</f>
        <v>-8464.1066838727929</v>
      </c>
      <c r="AJ63" s="1021">
        <f>(VLOOKUP(YEAR($A63),'NY East Load Projections'!$A$4:$EO$14,((MONTH($A63)-1)*12)+VLOOKUP(AJ$4,$DE$6:$DF$17,2)+1))*(VLOOKUP($A63,CURVES!$D$9:$T$261,8))*(INDEX(DailyScalarsTable,AJ$5/100,MONTH($A63)))*$C63</f>
        <v>-8468.9952750035955</v>
      </c>
      <c r="AK63" s="1021">
        <f>(VLOOKUP(YEAR($A63),'NY East Load Projections'!$A$4:$EO$14,((MONTH($A63)-1)*12)+VLOOKUP(AK$4,$DE$6:$DF$17,2)+1))*(VLOOKUP($A63,CURVES!$D$9:$T$261,8))*(INDEX(DailyScalarsTable,AK$5/100,MONTH($A63)))*$C63</f>
        <v>-9184.1058835830372</v>
      </c>
      <c r="AL63" s="1021">
        <f>(VLOOKUP(YEAR($A63),'NY East Load Projections'!$A$4:$EO$14,((MONTH($A63)-1)*12)+VLOOKUP(AL$4,$DE$6:$DF$17,2)+1))*(VLOOKUP($A63,CURVES!$D$9:$T$261,8))*(INDEX(DailyScalarsTable,AL$5/100,MONTH($A63)))*$C63</f>
        <v>-10551.065625996529</v>
      </c>
      <c r="AM63" s="1021">
        <f>(VLOOKUP(YEAR($A63),'NY East Load Projections'!$A$4:$EO$14,((MONTH($A63)-1)*12)+VLOOKUP(AM$4,$DE$6:$DF$17,2)+1))*(VLOOKUP($A63,CURVES!$D$9:$T$261,8))*(INDEX(DailyScalarsTable,AM$5/100,MONTH($A63)))*$C63</f>
        <v>-13639.859358672702</v>
      </c>
      <c r="AN63" s="1021">
        <f>(VLOOKUP(YEAR($A63),'NY East Load Projections'!$A$4:$EO$14,((MONTH($A63)-1)*12)+VLOOKUP(AN$4,$DE$6:$DF$17,2)+1))*(VLOOKUP($A63,SatSunCurve,4))*(INDEX(DailyScalarsTable,AN$5/100,MONTH($A63)))*$C63</f>
        <v>-12607.437986826637</v>
      </c>
      <c r="AO63" s="1021">
        <f>(VLOOKUP(YEAR($A63),'NY East Load Projections'!$A$4:$EO$14,((MONTH($A63)-1)*12)+VLOOKUP(AO$4,$DE$6:$DF$17,2)+1))*(VLOOKUP($A63,SatSunCurve,4))*(INDEX(DailyScalarsTable,AO$5/100,MONTH($A63)))*$C63</f>
        <v>-14884.424384593513</v>
      </c>
      <c r="AP63" s="1021">
        <f>(VLOOKUP(YEAR($A63),'NY East Load Projections'!$A$4:$EO$14,((MONTH($A63)-1)*12)+VLOOKUP(AP$4,$DE$6:$DF$17,2)+1))*(VLOOKUP($A63,SatSunCurve,4))*(INDEX(DailyScalarsTable,AP$5/100,MONTH($A63)))*$C63</f>
        <v>-14838.428017521219</v>
      </c>
      <c r="AQ63" s="1021">
        <f>(VLOOKUP(YEAR($A63),'NY East Load Projections'!$A$4:$EO$14,((MONTH($A63)-1)*12)+VLOOKUP(AQ$4,$DE$6:$DF$17,2)+1))*(VLOOKUP($A63,SatSunCurve,4))*(INDEX(DailyScalarsTable,AQ$5/100,MONTH($A63)))*$C63</f>
        <v>-14754.320374874744</v>
      </c>
      <c r="AR63" s="1021">
        <f>(VLOOKUP(YEAR($A63),'NY East Load Projections'!$A$4:$EO$14,((MONTH($A63)-1)*12)+VLOOKUP(AR$4,$DE$6:$DF$17,2)+1))*(VLOOKUP($A63,SatSunCurve,4))*(INDEX(DailyScalarsTable,AR$5/100,MONTH($A63)))*$C63</f>
        <v>-12450.559475511118</v>
      </c>
      <c r="AS63" s="1021">
        <f>(VLOOKUP(YEAR($A63),'NY East Load Projections'!$A$4:$EO$14,((MONTH($A63)-1)*12)+VLOOKUP(AS$4,$DE$6:$DF$17,2)+1))*(VLOOKUP($A63,SatSunCurve,4))*(INDEX(DailyScalarsTable,AS$5/100,MONTH($A63)))*$C63</f>
        <v>-11996.337485685614</v>
      </c>
      <c r="AT63" s="1021">
        <f>(VLOOKUP(YEAR($A63),'NY East Load Projections'!$A$4:$EO$14,((MONTH($A63)-1)*12)+VLOOKUP(AT$4,$DE$6:$DF$17,2)+1))*(VLOOKUP($A63,SatSunCurve,4))*(INDEX(DailyScalarsTable,AT$5/100,MONTH($A63)))*$C63</f>
        <v>-11663.368010580054</v>
      </c>
      <c r="AU63" s="1021">
        <f>(VLOOKUP(YEAR($A63),'NY East Load Projections'!$A$4:$EO$14,((MONTH($A63)-1)*12)+VLOOKUP(AU$4,$DE$6:$DF$17,2)+1))*(VLOOKUP($A63,SatSunCurve,4))*(INDEX(DailyScalarsTable,AU$5/100,MONTH($A63)))*$C63</f>
        <v>-11392.409045008326</v>
      </c>
      <c r="AV63" s="1021">
        <f>(VLOOKUP(YEAR($A63),'NY East Load Projections'!$A$4:$EO$14,((MONTH($A63)-1)*12)+VLOOKUP(AV$4,$DE$6:$DF$17,2)+1))*(VLOOKUP($A63,SatSunCurve,4))*(INDEX(DailyScalarsTable,AV$5/100,MONTH($A63)))*$C63</f>
        <v>-11314.2218808135</v>
      </c>
      <c r="AW63" s="1021">
        <f>(VLOOKUP(YEAR($A63),'NY East Load Projections'!$A$4:$EO$14,((MONTH($A63)-1)*12)+VLOOKUP(AW$4,$DE$6:$DF$17,2)+1))*(VLOOKUP($A63,SatSunCurve,4))*(INDEX(DailyScalarsTable,AW$5/100,MONTH($A63)))*$C63</f>
        <v>-11199.241511568287</v>
      </c>
      <c r="AX63" s="1021">
        <f>(VLOOKUP(YEAR($A63),'NY East Load Projections'!$A$4:$EO$14,((MONTH($A63)-1)*12)+VLOOKUP(AX$4,$DE$6:$DF$17,2)+1))*(VLOOKUP($A63,SatSunCurve,4))*(INDEX(DailyScalarsTable,AX$5/100,MONTH($A63)))*$C63</f>
        <v>-15108.149435738649</v>
      </c>
      <c r="AY63" s="1021">
        <f>(VLOOKUP(YEAR($A63),'NY East Load Projections'!$A$4:$EO$14,((MONTH($A63)-1)*12)+VLOOKUP(AY$4,$DE$6:$DF$17,2)+1))*(VLOOKUP($A63,SatSunCurve,4))*(INDEX(DailyScalarsTable,AY$5/100,MONTH($A63)))*$C63</f>
        <v>-15226.486744876174</v>
      </c>
      <c r="AZ63" s="1021">
        <f>(VLOOKUP(YEAR($A63),'NY East Load Projections'!$A$4:$EO$14,((MONTH($A63)-1)*12)+VLOOKUP(AZ$4,$DE$6:$DF$17,2)+1))*(VLOOKUP($A63,SatSunCurve,4))*(INDEX(DailyScalarsTable,AZ$5/100,MONTH($A63)))*$C63</f>
        <v>-14561.783561635611</v>
      </c>
      <c r="BA63" s="1021">
        <f>(VLOOKUP(YEAR($A63),'NY East Load Projections'!$A$4:$EO$14,((MONTH($A63)-1)*12)+VLOOKUP(BA$4,$DE$6:$DF$17,2)+1))*(VLOOKUP($A63,SatSunCurve,4))*(INDEX(DailyScalarsTable,BA$5/100,MONTH($A63)))*$C63</f>
        <v>-12818.54633276208</v>
      </c>
      <c r="BB63" s="1021">
        <f>(VLOOKUP(YEAR($A63),'NY East Load Projections'!$A$4:$EO$14,((MONTH($A63)-1)*12)+VLOOKUP(BB$4,$DE$6:$DF$17,2)+1))*(VLOOKUP($A63,SatSunCurve,4))*(INDEX(DailyScalarsTable,BB$5/100,MONTH($A63)))*$C63</f>
        <v>-10633.553216634053</v>
      </c>
      <c r="BC63" s="1021">
        <f>(VLOOKUP(YEAR($A63),'NY East Load Projections'!$A$4:$EO$14,((MONTH($A63)-1)*12)+VLOOKUP(BC$4,$DE$6:$DF$17,2)+1))*(VLOOKUP($A63,SatSunCurve,4))*(INDEX(DailyScalarsTable,BC$5/100,MONTH($A63)))*$C63</f>
        <v>-9066.1624357452838</v>
      </c>
      <c r="BD63" s="1021">
        <f>(VLOOKUP(YEAR($A63),'NY East Load Projections'!$A$4:$EO$14,((MONTH($A63)-1)*12)+VLOOKUP(BD$4,$DE$6:$DF$17,2)+1))*(VLOOKUP($A63,CURVES!$D$9:$T$261,8))*(INDEX(DailyScalarsTable,BD$5/100,MONTH($A63)))*$C63</f>
        <v>-10514.348638995503</v>
      </c>
      <c r="BE63" s="1021"/>
      <c r="BF63" s="1021">
        <f>(VLOOKUP(YEAR($A63),'NY East Load Projections'!$A$4:$EO$14,((MONTH($A63)-1)*12)+VLOOKUP(BF$4,$DE$6:$DF$17,2)+1))*(VLOOKUP($A63,CURVES!$D$9:$T$261,8))*(INDEX(DailyScalarsTable,BF$5/100,MONTH($A63)))*$D63</f>
        <v>-9283.4345573954197</v>
      </c>
      <c r="BG63" s="1021">
        <f>(VLOOKUP(YEAR($A63),'NY East Load Projections'!$A$4:$EO$14,((MONTH($A63)-1)*12)+VLOOKUP(BG$4,$DE$6:$DF$17,2)+1))*(VLOOKUP($A63,CURVES!$D$9:$T$261,8))*(INDEX(DailyScalarsTable,BG$5/100,MONTH($A63)))*$D63</f>
        <v>-8811.1966541598249</v>
      </c>
      <c r="BH63" s="1021">
        <f>(VLOOKUP(YEAR($A63),'NY East Load Projections'!$A$4:$EO$14,((MONTH($A63)-1)*12)+VLOOKUP(BH$4,$DE$6:$DF$17,2)+1))*(VLOOKUP($A63,CURVES!$D$9:$T$261,8))*(INDEX(DailyScalarsTable,BH$5/100,MONTH($A63)))*$D63</f>
        <v>-8464.1066838727929</v>
      </c>
      <c r="BI63" s="1021">
        <f>(VLOOKUP(YEAR($A63),'NY East Load Projections'!$A$4:$EO$14,((MONTH($A63)-1)*12)+VLOOKUP(BI$4,$DE$6:$DF$17,2)+1))*(VLOOKUP($A63,CURVES!$D$9:$T$261,8))*(INDEX(DailyScalarsTable,BI$5/100,MONTH($A63)))*$D63</f>
        <v>-8468.9952750035955</v>
      </c>
      <c r="BJ63" s="1021">
        <f>(VLOOKUP(YEAR($A63),'NY East Load Projections'!$A$4:$EO$14,((MONTH($A63)-1)*12)+VLOOKUP(BJ$4,$DE$6:$DF$17,2)+1))*(VLOOKUP($A63,CURVES!$D$9:$T$261,8))*(INDEX(DailyScalarsTable,BJ$5/100,MONTH($A63)))*$D63</f>
        <v>-9184.1058835830372</v>
      </c>
      <c r="BK63" s="1021">
        <f>(VLOOKUP(YEAR($A63),'NY East Load Projections'!$A$4:$EO$14,((MONTH($A63)-1)*12)+VLOOKUP(BK$4,$DE$6:$DF$17,2)+1))*(VLOOKUP($A63,CURVES!$D$9:$T$261,8))*(INDEX(DailyScalarsTable,BK$5/100,MONTH($A63)))*$D63</f>
        <v>-10551.065625996529</v>
      </c>
      <c r="BL63" s="1021">
        <f>(VLOOKUP(YEAR($A63),'NY East Load Projections'!$A$4:$EO$14,((MONTH($A63)-1)*12)+VLOOKUP(BL$4,$DE$6:$DF$17,2)+1))*(VLOOKUP($A63,CURVES!$D$9:$T$261,8))*(INDEX(DailyScalarsTable,BL$5/100,MONTH($A63)))*$D63</f>
        <v>-13639.859358672702</v>
      </c>
      <c r="BM63" s="1021">
        <f>(VLOOKUP(YEAR($A63),'NY East Load Projections'!$A$4:$EO$14,((MONTH($A63)-1)*12)+VLOOKUP(BM$4,$DE$6:$DF$17,2)+1))*(VLOOKUP($A63,SatSunCurve,8))*(INDEX(DailyScalarsTable,BM$5/100,MONTH($A63)))*$D63</f>
        <v>-12914.872567371584</v>
      </c>
      <c r="BN63" s="1021">
        <f>(VLOOKUP(YEAR($A63),'NY East Load Projections'!$A$4:$EO$14,((MONTH($A63)-1)*12)+VLOOKUP(BN$4,$DE$6:$DF$17,2)+1))*(VLOOKUP($A63,SatSunCurve,8))*(INDEX(DailyScalarsTable,BN$5/100,MONTH($A63)))*$D63</f>
        <v>-15247.38367672819</v>
      </c>
      <c r="BO63" s="1021">
        <f>(VLOOKUP(YEAR($A63),'NY East Load Projections'!$A$4:$EO$14,((MONTH($A63)-1)*12)+VLOOKUP(BO$4,$DE$6:$DF$17,2)+1))*(VLOOKUP($A63,SatSunCurve,8))*(INDEX(DailyScalarsTable,BO$5/100,MONTH($A63)))*$D63</f>
        <v>-15200.265680199363</v>
      </c>
      <c r="BP63" s="1021">
        <f>(VLOOKUP(YEAR($A63),'NY East Load Projections'!$A$4:$EO$14,((MONTH($A63)-1)*12)+VLOOKUP(BP$4,$DE$6:$DF$17,2)+1))*(VLOOKUP($A63,SatSunCurve,8))*(INDEX(DailyScalarsTable,BP$5/100,MONTH($A63)))*$D63</f>
        <v>-15114.107057975225</v>
      </c>
      <c r="BQ63" s="1021">
        <f>(VLOOKUP(YEAR($A63),'NY East Load Projections'!$A$4:$EO$14,((MONTH($A63)-1)*12)+VLOOKUP(BQ$4,$DE$6:$DF$17,2)+1))*(VLOOKUP($A63,SatSunCurve,8))*(INDEX(DailyScalarsTable,BQ$5/100,MONTH($A63)))*$D63</f>
        <v>-12754.168546117153</v>
      </c>
      <c r="BR63" s="1021">
        <f>(VLOOKUP(YEAR($A63),'NY East Load Projections'!$A$4:$EO$14,((MONTH($A63)-1)*12)+VLOOKUP(BR$4,$DE$6:$DF$17,2)+1))*(VLOOKUP($A63,SatSunCurve,8))*(INDEX(DailyScalarsTable,BR$5/100,MONTH($A63)))*$D63</f>
        <v>-12288.87027361929</v>
      </c>
      <c r="BS63" s="1021">
        <f>(VLOOKUP(YEAR($A63),'NY East Load Projections'!$A$4:$EO$14,((MONTH($A63)-1)*12)+VLOOKUP(BS$4,$DE$6:$DF$17,2)+1))*(VLOOKUP($A63,SatSunCurve,8))*(INDEX(DailyScalarsTable,BS$5/100,MONTH($A63)))*$D63</f>
        <v>-11947.781279621768</v>
      </c>
      <c r="BT63" s="1021">
        <f>(VLOOKUP(YEAR($A63),'NY East Load Projections'!$A$4:$EO$14,((MONTH($A63)-1)*12)+VLOOKUP(BT$4,$DE$6:$DF$17,2)+1))*(VLOOKUP($A63,SatSunCurve,8))*(INDEX(DailyScalarsTable,BT$5/100,MONTH($A63)))*$D63</f>
        <v>-11670.214932279652</v>
      </c>
      <c r="BU63" s="1021">
        <f>(VLOOKUP(YEAR($A63),'NY East Load Projections'!$A$4:$EO$14,((MONTH($A63)-1)*12)+VLOOKUP(BU$4,$DE$6:$DF$17,2)+1))*(VLOOKUP($A63,SatSunCurve,8))*(INDEX(DailyScalarsTable,BU$5/100,MONTH($A63)))*$D63</f>
        <v>-11590.12116040979</v>
      </c>
      <c r="BV63" s="1021">
        <f>(VLOOKUP(YEAR($A63),'NY East Load Projections'!$A$4:$EO$14,((MONTH($A63)-1)*12)+VLOOKUP(BV$4,$DE$6:$DF$17,2)+1))*(VLOOKUP($A63,SatSunCurve,8))*(INDEX(DailyScalarsTable,BV$5/100,MONTH($A63)))*$D63</f>
        <v>-11472.336974748685</v>
      </c>
      <c r="BW63" s="1021">
        <f>(VLOOKUP(YEAR($A63),'NY East Load Projections'!$A$4:$EO$14,((MONTH($A63)-1)*12)+VLOOKUP(BW$4,$DE$6:$DF$17,2)+1))*(VLOOKUP($A63,SatSunCurve,8))*(INDEX(DailyScalarsTable,BW$5/100,MONTH($A63)))*$D63</f>
        <v>-15476.56430237848</v>
      </c>
      <c r="BX63" s="1021">
        <f>(VLOOKUP(YEAR($A63),'NY East Load Projections'!$A$4:$EO$14,((MONTH($A63)-1)*12)+VLOOKUP(BX$4,$DE$6:$DF$17,2)+1))*(VLOOKUP($A63,SatSunCurve,8))*(INDEX(DailyScalarsTable,BX$5/100,MONTH($A63)))*$D63</f>
        <v>-15597.787287498351</v>
      </c>
      <c r="BY63" s="1021">
        <f>(VLOOKUP(YEAR($A63),'NY East Load Projections'!$A$4:$EO$14,((MONTH($A63)-1)*12)+VLOOKUP(BY$4,$DE$6:$DF$17,2)+1))*(VLOOKUP($A63,SatSunCurve,8))*(INDEX(DailyScalarsTable,BY$5/100,MONTH($A63)))*$D63</f>
        <v>-14916.875200867584</v>
      </c>
      <c r="BZ63" s="1021">
        <f>(VLOOKUP(YEAR($A63),'NY East Load Projections'!$A$4:$EO$14,((MONTH($A63)-1)*12)+VLOOKUP(BZ$4,$DE$6:$DF$17,2)+1))*(VLOOKUP($A63,SatSunCurve,8))*(INDEX(DailyScalarsTable,BZ$5/100,MONTH($A63)))*$D63</f>
        <v>-13131.12882724878</v>
      </c>
      <c r="CA63" s="1021">
        <f>(VLOOKUP(YEAR($A63),'NY East Load Projections'!$A$4:$EO$14,((MONTH($A63)-1)*12)+VLOOKUP(CA$4,$DE$6:$DF$17,2)+1))*(VLOOKUP($A63,SatSunCurve,8))*(INDEX(DailyScalarsTable,CA$5/100,MONTH($A63)))*$D63</f>
        <v>-10892.854271794831</v>
      </c>
      <c r="CB63" s="1021">
        <f>(VLOOKUP(YEAR($A63),'NY East Load Projections'!$A$4:$EO$14,((MONTH($A63)-1)*12)+VLOOKUP(CB$4,$DE$6:$DF$17,2)+1))*(VLOOKUP($A63,SatSunCurve,8))*(INDEX(DailyScalarsTable,CB$5/100,MONTH($A63)))*$D63</f>
        <v>-9287.2423925531657</v>
      </c>
      <c r="CC63" s="1021">
        <f>(VLOOKUP(YEAR($A63),'NY East Load Projections'!$A$4:$EO$14,((MONTH($A63)-1)*12)+VLOOKUP(CC$4,$DE$6:$DF$17,2)+1))*(VLOOKUP($A63,CURVES!$D$9:$T$261,8))*(INDEX(DailyScalarsTable,CC$5/100,MONTH($A63)))*$D63</f>
        <v>-10514.348638995503</v>
      </c>
      <c r="CE63" s="1021">
        <f>(VLOOKUP(YEAR($A63),'NY East Load Projections'!$A$4:$EO$14,((MONTH($A63)-1)*12)+VLOOKUP(CE$4,$DE$6:$DF$17,2)+1))*(VLOOKUP($A63,CURVES!$D$9:$T$261,8))*(INDEX(DailyScalarsTable,CE$5/100,MONTH($A63)))*$E63</f>
        <v>0</v>
      </c>
      <c r="CF63" s="1021">
        <f>(VLOOKUP(YEAR($A63),'NY East Load Projections'!$A$4:$EO$14,((MONTH($A63)-1)*12)+VLOOKUP(CF$4,$DE$6:$DF$17,2)+1))*(VLOOKUP($A63,CURVES!$D$9:$T$261,8))*(INDEX(DailyScalarsTable,CF$5/100,MONTH($A63)))*$E63</f>
        <v>0</v>
      </c>
      <c r="CG63" s="1021">
        <f>(VLOOKUP(YEAR($A63),'NY East Load Projections'!$A$4:$EO$14,((MONTH($A63)-1)*12)+VLOOKUP(CG$4,$DE$6:$DF$17,2)+1))*(VLOOKUP($A63,CURVES!$D$9:$T$261,8))*(INDEX(DailyScalarsTable,CG$5/100,MONTH($A63)))*$E63</f>
        <v>0</v>
      </c>
      <c r="CH63" s="1021">
        <f>(VLOOKUP(YEAR($A63),'NY East Load Projections'!$A$4:$EO$14,((MONTH($A63)-1)*12)+VLOOKUP(CH$4,$DE$6:$DF$17,2)+1))*(VLOOKUP($A63,CURVES!$D$9:$T$261,8))*(INDEX(DailyScalarsTable,CH$5/100,MONTH($A63)))*$E63</f>
        <v>0</v>
      </c>
      <c r="CI63" s="1021">
        <f>(VLOOKUP(YEAR($A63),'NY East Load Projections'!$A$4:$EO$14,((MONTH($A63)-1)*12)+VLOOKUP(CI$4,$DE$6:$DF$17,2)+1))*(VLOOKUP($A63,CURVES!$D$9:$T$261,8))*(INDEX(DailyScalarsTable,CI$5/100,MONTH($A63)))*$E63</f>
        <v>0</v>
      </c>
      <c r="CJ63" s="1021">
        <f>(VLOOKUP(YEAR($A63),'NY East Load Projections'!$A$4:$EO$14,((MONTH($A63)-1)*12)+VLOOKUP(CJ$4,$DE$6:$DF$17,2)+1))*(VLOOKUP($A63,CURVES!$D$9:$T$261,8))*(INDEX(DailyScalarsTable,CJ$5/100,MONTH($A63)))*$E63</f>
        <v>0</v>
      </c>
      <c r="CK63" s="1021">
        <f>(VLOOKUP(YEAR($A63),'NY East Load Projections'!$A$4:$EO$14,((MONTH($A63)-1)*12)+VLOOKUP(CK$4,$DE$6:$DF$17,2)+1))*(VLOOKUP($A63,CURVES!$D$9:$T$261,8))*(INDEX(DailyScalarsTable,CK$5/100,MONTH($A63)))*$E63</f>
        <v>0</v>
      </c>
      <c r="CL63" s="1021">
        <f>(VLOOKUP(YEAR($A63),'NY East Load Projections'!$A$4:$EO$14,((MONTH($A63)-1)*12)+VLOOKUP(CL$4,$DE$6:$DF$17,2)+1))*(VLOOKUP($A63,SatSunCurve,8))*(INDEX(DailyScalarsTable,CL$5/100,MONTH($A63)))*$E63</f>
        <v>0</v>
      </c>
      <c r="CM63" s="1021">
        <f>(VLOOKUP(YEAR($A63),'NY East Load Projections'!$A$4:$EO$14,((MONTH($A63)-1)*12)+VLOOKUP(CM$4,$DE$6:$DF$17,2)+1))*(VLOOKUP($A63,SatSunCurve,8))*(INDEX(DailyScalarsTable,CM$5/100,MONTH($A63)))*$E63</f>
        <v>0</v>
      </c>
      <c r="CN63" s="1021">
        <f>(VLOOKUP(YEAR($A63),'NY East Load Projections'!$A$4:$EO$14,((MONTH($A63)-1)*12)+VLOOKUP(CN$4,$DE$6:$DF$17,2)+1))*(VLOOKUP($A63,SatSunCurve,8))*(INDEX(DailyScalarsTable,CN$5/100,MONTH($A63)))*$E63</f>
        <v>0</v>
      </c>
      <c r="CO63" s="1021">
        <f>(VLOOKUP(YEAR($A63),'NY East Load Projections'!$A$4:$EO$14,((MONTH($A63)-1)*12)+VLOOKUP(CO$4,$DE$6:$DF$17,2)+1))*(VLOOKUP($A63,SatSunCurve,8))*(INDEX(DailyScalarsTable,CO$5/100,MONTH($A63)))*$E63</f>
        <v>0</v>
      </c>
      <c r="CP63" s="1021">
        <f>(VLOOKUP(YEAR($A63),'NY East Load Projections'!$A$4:$EO$14,((MONTH($A63)-1)*12)+VLOOKUP(CP$4,$DE$6:$DF$17,2)+1))*(VLOOKUP($A63,SatSunCurve,8))*(INDEX(DailyScalarsTable,CP$5/100,MONTH($A63)))*$E63</f>
        <v>0</v>
      </c>
      <c r="CQ63" s="1021">
        <f>(VLOOKUP(YEAR($A63),'NY East Load Projections'!$A$4:$EO$14,((MONTH($A63)-1)*12)+VLOOKUP(CQ$4,$DE$6:$DF$17,2)+1))*(VLOOKUP($A63,SatSunCurve,8))*(INDEX(DailyScalarsTable,CQ$5/100,MONTH($A63)))*$E63</f>
        <v>0</v>
      </c>
      <c r="CR63" s="1021">
        <f>(VLOOKUP(YEAR($A63),'NY East Load Projections'!$A$4:$EO$14,((MONTH($A63)-1)*12)+VLOOKUP(CR$4,$DE$6:$DF$17,2)+1))*(VLOOKUP($A63,SatSunCurve,8))*(INDEX(DailyScalarsTable,CR$5/100,MONTH($A63)))*$E63</f>
        <v>0</v>
      </c>
      <c r="CS63" s="1021">
        <f>(VLOOKUP(YEAR($A63),'NY East Load Projections'!$A$4:$EO$14,((MONTH($A63)-1)*12)+VLOOKUP(CS$4,$DE$6:$DF$17,2)+1))*(VLOOKUP($A63,SatSunCurve,8))*(INDEX(DailyScalarsTable,CS$5/100,MONTH($A63)))*$E63</f>
        <v>0</v>
      </c>
      <c r="CT63" s="1021">
        <f>(VLOOKUP(YEAR($A63),'NY East Load Projections'!$A$4:$EO$14,((MONTH($A63)-1)*12)+VLOOKUP(CT$4,$DE$6:$DF$17,2)+1))*(VLOOKUP($A63,SatSunCurve,8))*(INDEX(DailyScalarsTable,CT$5/100,MONTH($A63)))*$E63</f>
        <v>0</v>
      </c>
      <c r="CU63" s="1021">
        <f>(VLOOKUP(YEAR($A63),'NY East Load Projections'!$A$4:$EO$14,((MONTH($A63)-1)*12)+VLOOKUP(CU$4,$DE$6:$DF$17,2)+1))*(VLOOKUP($A63,SatSunCurve,8))*(INDEX(DailyScalarsTable,CU$5/100,MONTH($A63)))*$E63</f>
        <v>0</v>
      </c>
      <c r="CV63" s="1021">
        <f>(VLOOKUP(YEAR($A63),'NY East Load Projections'!$A$4:$EO$14,((MONTH($A63)-1)*12)+VLOOKUP(CV$4,$DE$6:$DF$17,2)+1))*(VLOOKUP($A63,SatSunCurve,8))*(INDEX(DailyScalarsTable,CV$5/100,MONTH($A63)))*$E63</f>
        <v>0</v>
      </c>
      <c r="CW63" s="1021">
        <f>(VLOOKUP(YEAR($A63),'NY East Load Projections'!$A$4:$EO$14,((MONTH($A63)-1)*12)+VLOOKUP(CW$4,$DE$6:$DF$17,2)+1))*(VLOOKUP($A63,SatSunCurve,8))*(INDEX(DailyScalarsTable,CW$5/100,MONTH($A63)))*$E63</f>
        <v>0</v>
      </c>
      <c r="CX63" s="1021">
        <f>(VLOOKUP(YEAR($A63),'NY East Load Projections'!$A$4:$EO$14,((MONTH($A63)-1)*12)+VLOOKUP(CX$4,$DE$6:$DF$17,2)+1))*(VLOOKUP($A63,SatSunCurve,8))*(INDEX(DailyScalarsTable,CX$5/100,MONTH($A63)))*$E63</f>
        <v>0</v>
      </c>
      <c r="CY63" s="1021">
        <f>(VLOOKUP(YEAR($A63),'NY East Load Projections'!$A$4:$EO$14,((MONTH($A63)-1)*12)+VLOOKUP(CY$4,$DE$6:$DF$17,2)+1))*(VLOOKUP($A63,SatSunCurve,8))*(INDEX(DailyScalarsTable,CY$5/100,MONTH($A63)))*$E63</f>
        <v>0</v>
      </c>
      <c r="CZ63" s="1021">
        <f>(VLOOKUP(YEAR($A63),'NY East Load Projections'!$A$4:$EO$14,((MONTH($A63)-1)*12)+VLOOKUP(CZ$4,$DE$6:$DF$17,2)+1))*(VLOOKUP($A63,SatSunCurve,8))*(INDEX(DailyScalarsTable,CZ$5/100,MONTH($A63)))*$E63</f>
        <v>0</v>
      </c>
      <c r="DA63" s="1021">
        <f>(VLOOKUP(YEAR($A63),'NY East Load Projections'!$A$4:$EO$14,((MONTH($A63)-1)*12)+VLOOKUP(DA$4,$DE$6:$DF$17,2)+1))*(VLOOKUP($A63,SatSunCurve,8))*(INDEX(DailyScalarsTable,DA$5/100,MONTH($A63)))*$E63</f>
        <v>0</v>
      </c>
      <c r="DB63" s="1021">
        <f>(VLOOKUP(YEAR($A63),'NY East Load Projections'!$A$4:$EO$14,((MONTH($A63)-1)*12)+VLOOKUP(DB$4,$DE$6:$DF$17,2)+1))*(VLOOKUP($A63,CURVES!$D$9:$T$261,8))*(INDEX(DailyScalarsTable,DB$5/100,MONTH($A63)))*$E63</f>
        <v>0</v>
      </c>
      <c r="DH63" s="1021">
        <f t="shared" si="0"/>
        <v>-2077575.2894869023</v>
      </c>
      <c r="DI63">
        <f ca="1">CALC!J83</f>
        <v>0.66269187746322022</v>
      </c>
      <c r="DJ63" s="1029">
        <f t="shared" ca="1" si="1"/>
        <v>-1376792.2691612686</v>
      </c>
    </row>
    <row r="64" spans="1:114" x14ac:dyDescent="0.25">
      <c r="A64" s="244">
        <v>38657</v>
      </c>
      <c r="B64" s="13">
        <v>21</v>
      </c>
      <c r="C64" s="210">
        <v>4</v>
      </c>
      <c r="D64" s="210">
        <v>4</v>
      </c>
      <c r="E64" s="210">
        <v>1</v>
      </c>
      <c r="F64" s="13">
        <v>30</v>
      </c>
      <c r="H64" s="1021">
        <f>(VLOOKUP(YEAR($A64),'NY East Load Projections'!$A$4:$EO$14,((MONTH($A64)-1)*12)+VLOOKUP(H$4,$DE$6:$DF$17,2)+1))*(VLOOKUP($A64,CURVES!$D$9:$K$261,8))*(INDEX(DailyScalarsTable,H$5/100,MONTH($A64)))*$B64</f>
        <v>-35721.571026091478</v>
      </c>
      <c r="I64" s="1021">
        <f>(VLOOKUP(YEAR($A64),'NY East Load Projections'!$A$4:$EO$14,((MONTH($A64)-1)*12)+VLOOKUP(I$4,$DE$6:$DF$17,2)+1))*(VLOOKUP($A64,CURVES!$D$9:$K$261,8))*(INDEX(DailyScalarsTable,I$5/100,MONTH($A64)))*$B64</f>
        <v>-33865.355985144495</v>
      </c>
      <c r="J64" s="1021">
        <f>(VLOOKUP(YEAR($A64),'NY East Load Projections'!$A$4:$EO$14,((MONTH($A64)-1)*12)+VLOOKUP(J$4,$DE$6:$DF$17,2)+1))*(VLOOKUP($A64,CURVES!$D$9:$K$261,8))*(INDEX(DailyScalarsTable,J$5/100,MONTH($A64)))*$B64</f>
        <v>-32501.057145525079</v>
      </c>
      <c r="K64" s="1021">
        <f>(VLOOKUP(YEAR($A64),'NY East Load Projections'!$A$4:$EO$14,((MONTH($A64)-1)*12)+VLOOKUP(K$4,$DE$6:$DF$17,2)+1))*(VLOOKUP($A64,CURVES!$D$9:$K$261,8))*(INDEX(DailyScalarsTable,K$5/100,MONTH($A64)))*$B64</f>
        <v>-32520.272622139437</v>
      </c>
      <c r="L64" s="1021">
        <f>(VLOOKUP(YEAR($A64),'NY East Load Projections'!$A$4:$EO$14,((MONTH($A64)-1)*12)+VLOOKUP(L$4,$DE$6:$DF$17,2)+1))*(VLOOKUP($A64,CURVES!$D$9:$K$261,8))*(INDEX(DailyScalarsTable,L$5/100,MONTH($A64)))*$B64</f>
        <v>-38085.21130171587</v>
      </c>
      <c r="M64" s="1021">
        <f>(VLOOKUP(YEAR($A64),'NY East Load Projections'!$A$4:$EO$14,((MONTH($A64)-1)*12)+VLOOKUP(M$4,$DE$6:$DF$17,2)+1))*(VLOOKUP($A64,CURVES!$D$9:$K$261,8))*(INDEX(DailyScalarsTable,M$5/100,MONTH($A64)))*$B64</f>
        <v>-43878.868928308941</v>
      </c>
      <c r="N64" s="1021">
        <f>(VLOOKUP(YEAR($A64),'NY East Load Projections'!$A$4:$EO$14,((MONTH($A64)-1)*12)+VLOOKUP(N$4,$DE$6:$DF$17,2)+1))*(VLOOKUP($A64,CURVES!$D$9:$K$261,8))*(INDEX(DailyScalarsTable,N$5/100,MONTH($A64)))*$B64</f>
        <v>-62852.152352307719</v>
      </c>
      <c r="O64" s="1021">
        <f>(VLOOKUP(YEAR($A64),'NY East Load Projections'!$A$4:$EO$14,((MONTH($A64)-1)*12)+VLOOKUP(O$4,$DE$6:$DF$17,2)+1))*(VLOOKUP($A64,CURVES!$D$9:$K$261,4))*(INDEX(DailyScalarsTable,O$5/100,MONTH($A64)))*$B64</f>
        <v>-71455.360246717042</v>
      </c>
      <c r="P64" s="1021">
        <f>(VLOOKUP(YEAR($A64),'NY East Load Projections'!$A$4:$EO$14,((MONTH($A64)-1)*12)+VLOOKUP(P$4,$DE$6:$DF$17,2)+1))*(VLOOKUP($A64,CURVES!$D$9:$K$261,4))*(INDEX(DailyScalarsTable,P$5/100,MONTH($A64)))*$B64</f>
        <v>-83201.780570181625</v>
      </c>
      <c r="Q64" s="1021">
        <f>(VLOOKUP(YEAR($A64),'NY East Load Projections'!$A$4:$EO$14,((MONTH($A64)-1)*12)+VLOOKUP(Q$4,$DE$6:$DF$17,2)+1))*(VLOOKUP($A64,CURVES!$D$9:$K$261,4))*(INDEX(DailyScalarsTable,Q$5/100,MONTH($A64)))*$B64</f>
        <v>-82662.927799116209</v>
      </c>
      <c r="R64" s="1021">
        <f>(VLOOKUP(YEAR($A64),'NY East Load Projections'!$A$4:$EO$14,((MONTH($A64)-1)*12)+VLOOKUP(R$4,$DE$6:$DF$17,2)+1))*(VLOOKUP($A64,CURVES!$D$9:$K$261,4))*(INDEX(DailyScalarsTable,R$5/100,MONTH($A64)))*$B64</f>
        <v>-81068.214868530704</v>
      </c>
      <c r="S64" s="1021">
        <f>(VLOOKUP(YEAR($A64),'NY East Load Projections'!$A$4:$EO$14,((MONTH($A64)-1)*12)+VLOOKUP(S$4,$DE$6:$DF$17,2)+1))*(VLOOKUP($A64,CURVES!$D$9:$K$261,4))*(INDEX(DailyScalarsTable,S$5/100,MONTH($A64)))*$B64</f>
        <v>-68259.538864421702</v>
      </c>
      <c r="T64" s="1021">
        <f>(VLOOKUP(YEAR($A64),'NY East Load Projections'!$A$4:$EO$14,((MONTH($A64)-1)*12)+VLOOKUP(T$4,$DE$6:$DF$17,2)+1))*(VLOOKUP($A64,CURVES!$D$9:$K$261,4))*(INDEX(DailyScalarsTable,T$5/100,MONTH($A64)))*$B64</f>
        <v>-65965.552146566042</v>
      </c>
      <c r="U64" s="1021">
        <f>(VLOOKUP(YEAR($A64),'NY East Load Projections'!$A$4:$EO$14,((MONTH($A64)-1)*12)+VLOOKUP(U$4,$DE$6:$DF$17,2)+1))*(VLOOKUP($A64,CURVES!$D$9:$K$261,4))*(INDEX(DailyScalarsTable,U$5/100,MONTH($A64)))*$B64</f>
        <v>-64194.815272771026</v>
      </c>
      <c r="V64" s="1021">
        <f>(VLOOKUP(YEAR($A64),'NY East Load Projections'!$A$4:$EO$14,((MONTH($A64)-1)*12)+VLOOKUP(V$4,$DE$6:$DF$17,2)+1))*(VLOOKUP($A64,CURVES!$D$9:$K$261,4))*(INDEX(DailyScalarsTable,V$5/100,MONTH($A64)))*$B64</f>
        <v>-62693.051088666398</v>
      </c>
      <c r="W64" s="1021">
        <f>(VLOOKUP(YEAR($A64),'NY East Load Projections'!$A$4:$EO$14,((MONTH($A64)-1)*12)+VLOOKUP(W$4,$DE$6:$DF$17,2)+1))*(VLOOKUP($A64,CURVES!$D$9:$K$261,4))*(INDEX(DailyScalarsTable,W$5/100,MONTH($A64)))*$B64</f>
        <v>-61661.989111519935</v>
      </c>
      <c r="X64" s="1021">
        <f>(VLOOKUP(YEAR($A64),'NY East Load Projections'!$A$4:$EO$14,((MONTH($A64)-1)*12)+VLOOKUP(X$4,$DE$6:$DF$17,2)+1))*(VLOOKUP($A64,CURVES!$D$9:$K$261,4))*(INDEX(DailyScalarsTable,X$5/100,MONTH($A64)))*$B64</f>
        <v>-62803.294593193052</v>
      </c>
      <c r="Y64" s="1021">
        <f>(VLOOKUP(YEAR($A64),'NY East Load Projections'!$A$4:$EO$14,((MONTH($A64)-1)*12)+VLOOKUP(Y$4,$DE$6:$DF$17,2)+1))*(VLOOKUP($A64,CURVES!$D$9:$K$261,4))*(INDEX(DailyScalarsTable,Y$5/100,MONTH($A64)))*$B64</f>
        <v>-86214.628749577329</v>
      </c>
      <c r="Z64" s="1021">
        <f>(VLOOKUP(YEAR($A64),'NY East Load Projections'!$A$4:$EO$14,((MONTH($A64)-1)*12)+VLOOKUP(Z$4,$DE$6:$DF$17,2)+1))*(VLOOKUP($A64,CURVES!$D$9:$K$261,4))*(INDEX(DailyScalarsTable,Z$5/100,MONTH($A64)))*$B64</f>
        <v>-86908.82262168797</v>
      </c>
      <c r="AA64" s="1021">
        <f>(VLOOKUP(YEAR($A64),'NY East Load Projections'!$A$4:$EO$14,((MONTH($A64)-1)*12)+VLOOKUP(AA$4,$DE$6:$DF$17,2)+1))*(VLOOKUP($A64,CURVES!$D$9:$K$261,4))*(INDEX(DailyScalarsTable,AA$5/100,MONTH($A64)))*$B64</f>
        <v>-83352.849929855918</v>
      </c>
      <c r="AB64" s="1021">
        <f>(VLOOKUP(YEAR($A64),'NY East Load Projections'!$A$4:$EO$14,((MONTH($A64)-1)*12)+VLOOKUP(AB$4,$DE$6:$DF$17,2)+1))*(VLOOKUP($A64,CURVES!$D$9:$K$261,4))*(INDEX(DailyScalarsTable,AB$5/100,MONTH($A64)))*$B64</f>
        <v>-69518.64301362414</v>
      </c>
      <c r="AC64" s="1021">
        <f>(VLOOKUP(YEAR($A64),'NY East Load Projections'!$A$4:$EO$14,((MONTH($A64)-1)*12)+VLOOKUP(AC$4,$DE$6:$DF$17,2)+1))*(VLOOKUP($A64,CURVES!$D$9:$K$261,4))*(INDEX(DailyScalarsTable,AC$5/100,MONTH($A64)))*$B64</f>
        <v>-55300.806849482258</v>
      </c>
      <c r="AD64" s="1021">
        <f>(VLOOKUP(YEAR($A64),'NY East Load Projections'!$A$4:$EO$14,((MONTH($A64)-1)*12)+VLOOKUP(AD$4,$DE$6:$DF$17,2)+1))*(VLOOKUP($A64,CURVES!$D$9:$K$261,4))*(INDEX(DailyScalarsTable,AD$5/100,MONTH($A64)))*$B64</f>
        <v>-46637.311710398055</v>
      </c>
      <c r="AE64" s="1021">
        <f>(VLOOKUP(YEAR($A64),'NY East Load Projections'!$A$4:$EO$14,((MONTH($A64)-1)*12)+VLOOKUP(AE$4,$DE$6:$DF$17,2)+1))*(VLOOKUP($A64,CURVES!$D$9:$K$261,8))*(INDEX(DailyScalarsTable,AE$5/100,MONTH($A64)))*$B64</f>
        <v>-42252.778058794182</v>
      </c>
      <c r="AF64" s="1021"/>
      <c r="AG64" s="1021">
        <f>(VLOOKUP(YEAR($A64),'NY East Load Projections'!$A$4:$EO$14,((MONTH($A64)-1)*12)+VLOOKUP(AG$4,$DE$6:$DF$17,2)+1))*(VLOOKUP($A64,CURVES!$D$9:$T$261,8))*(INDEX(DailyScalarsTable,AG$5/100,MONTH($A64)))*$C64</f>
        <v>-7143.7840979923249</v>
      </c>
      <c r="AH64" s="1021">
        <f>(VLOOKUP(YEAR($A64),'NY East Load Projections'!$A$4:$EO$14,((MONTH($A64)-1)*12)+VLOOKUP(AH$4,$DE$6:$DF$17,2)+1))*(VLOOKUP($A64,CURVES!$D$9:$T$261,8))*(INDEX(DailyScalarsTable,AH$5/100,MONTH($A64)))*$C64</f>
        <v>-6772.5686359879901</v>
      </c>
      <c r="AI64" s="1021">
        <f>(VLOOKUP(YEAR($A64),'NY East Load Projections'!$A$4:$EO$14,((MONTH($A64)-1)*12)+VLOOKUP(AI$4,$DE$6:$DF$17,2)+1))*(VLOOKUP($A64,CURVES!$D$9:$T$261,8))*(INDEX(DailyScalarsTable,AI$5/100,MONTH($A64)))*$C64</f>
        <v>-6499.7291142249696</v>
      </c>
      <c r="AJ64" s="1021">
        <f>(VLOOKUP(YEAR($A64),'NY East Load Projections'!$A$4:$EO$14,((MONTH($A64)-1)*12)+VLOOKUP(AJ$4,$DE$6:$DF$17,2)+1))*(VLOOKUP($A64,CURVES!$D$9:$T$261,8))*(INDEX(DailyScalarsTable,AJ$5/100,MONTH($A64)))*$C64</f>
        <v>-6503.5719243906451</v>
      </c>
      <c r="AK64" s="1021">
        <f>(VLOOKUP(YEAR($A64),'NY East Load Projections'!$A$4:$EO$14,((MONTH($A64)-1)*12)+VLOOKUP(AK$4,$DE$6:$DF$17,2)+1))*(VLOOKUP($A64,CURVES!$D$9:$T$261,8))*(INDEX(DailyScalarsTable,AK$5/100,MONTH($A64)))*$C64</f>
        <v>-7069.8511028796929</v>
      </c>
      <c r="AL64" s="1021">
        <f>(VLOOKUP(YEAR($A64),'NY East Load Projections'!$A$4:$EO$14,((MONTH($A64)-1)*12)+VLOOKUP(AL$4,$DE$6:$DF$17,2)+1))*(VLOOKUP($A64,CURVES!$D$9:$T$261,8))*(INDEX(DailyScalarsTable,AL$5/100,MONTH($A64)))*$C64</f>
        <v>-8145.3419656343649</v>
      </c>
      <c r="AM64" s="1021">
        <f>(VLOOKUP(YEAR($A64),'NY East Load Projections'!$A$4:$EO$14,((MONTH($A64)-1)*12)+VLOOKUP(AM$4,$DE$6:$DF$17,2)+1))*(VLOOKUP($A64,CURVES!$D$9:$T$261,8))*(INDEX(DailyScalarsTable,AM$5/100,MONTH($A64)))*$C64</f>
        <v>-11667.399062226168</v>
      </c>
      <c r="AN64" s="1021">
        <f>(VLOOKUP(YEAR($A64),'NY East Load Projections'!$A$4:$EO$14,((MONTH($A64)-1)*12)+VLOOKUP(AN$4,$DE$6:$DF$17,2)+1))*(VLOOKUP($A64,SatSunCurve,4))*(INDEX(DailyScalarsTable,AN$5/100,MONTH($A64)))*$C64</f>
        <v>-10468.691800289851</v>
      </c>
      <c r="AO64" s="1021">
        <f>(VLOOKUP(YEAR($A64),'NY East Load Projections'!$A$4:$EO$14,((MONTH($A64)-1)*12)+VLOOKUP(AO$4,$DE$6:$DF$17,2)+1))*(VLOOKUP($A64,SatSunCurve,4))*(INDEX(DailyScalarsTable,AO$5/100,MONTH($A64)))*$C64</f>
        <v>-11905.729264621399</v>
      </c>
      <c r="AP64" s="1021">
        <f>(VLOOKUP(YEAR($A64),'NY East Load Projections'!$A$4:$EO$14,((MONTH($A64)-1)*12)+VLOOKUP(AP$4,$DE$6:$DF$17,2)+1))*(VLOOKUP($A64,SatSunCurve,4))*(INDEX(DailyScalarsTable,AP$5/100,MONTH($A64)))*$C64</f>
        <v>-11828.622318570115</v>
      </c>
      <c r="AQ64" s="1021">
        <f>(VLOOKUP(YEAR($A64),'NY East Load Projections'!$A$4:$EO$14,((MONTH($A64)-1)*12)+VLOOKUP(AQ$4,$DE$6:$DF$17,2)+1))*(VLOOKUP($A64,SatSunCurve,4))*(INDEX(DailyScalarsTable,AQ$5/100,MONTH($A64)))*$C64</f>
        <v>-11600.427437688608</v>
      </c>
      <c r="AR64" s="1021">
        <f>(VLOOKUP(YEAR($A64),'NY East Load Projections'!$A$4:$EO$14,((MONTH($A64)-1)*12)+VLOOKUP(AR$4,$DE$6:$DF$17,2)+1))*(VLOOKUP($A64,SatSunCurve,4))*(INDEX(DailyScalarsTable,AR$5/100,MONTH($A64)))*$C64</f>
        <v>-9767.574490334413</v>
      </c>
      <c r="AS64" s="1021">
        <f>(VLOOKUP(YEAR($A64),'NY East Load Projections'!$A$4:$EO$14,((MONTH($A64)-1)*12)+VLOOKUP(AS$4,$DE$6:$DF$17,2)+1))*(VLOOKUP($A64,SatSunCurve,4))*(INDEX(DailyScalarsTable,AS$5/100,MONTH($A64)))*$C64</f>
        <v>-9427.800193014351</v>
      </c>
      <c r="AT64" s="1021">
        <f>(VLOOKUP(YEAR($A64),'NY East Load Projections'!$A$4:$EO$14,((MONTH($A64)-1)*12)+VLOOKUP(AT$4,$DE$6:$DF$17,2)+1))*(VLOOKUP($A64,SatSunCurve,4))*(INDEX(DailyScalarsTable,AT$5/100,MONTH($A64)))*$C64</f>
        <v>-9174.7263855905876</v>
      </c>
      <c r="AU64" s="1021">
        <f>(VLOOKUP(YEAR($A64),'NY East Load Projections'!$A$4:$EO$14,((MONTH($A64)-1)*12)+VLOOKUP(AU$4,$DE$6:$DF$17,2)+1))*(VLOOKUP($A64,SatSunCurve,4))*(INDEX(DailyScalarsTable,AU$5/100,MONTH($A64)))*$C64</f>
        <v>-8960.0941691679036</v>
      </c>
      <c r="AV64" s="1021">
        <f>(VLOOKUP(YEAR($A64),'NY East Load Projections'!$A$4:$EO$14,((MONTH($A64)-1)*12)+VLOOKUP(AV$4,$DE$6:$DF$17,2)+1))*(VLOOKUP($A64,SatSunCurve,4))*(INDEX(DailyScalarsTable,AV$5/100,MONTH($A64)))*$C64</f>
        <v>-8812.7347369971067</v>
      </c>
      <c r="AW64" s="1021">
        <f>(VLOOKUP(YEAR($A64),'NY East Load Projections'!$A$4:$EO$14,((MONTH($A64)-1)*12)+VLOOKUP(AW$4,$DE$6:$DF$17,2)+1))*(VLOOKUP($A64,SatSunCurve,4))*(INDEX(DailyScalarsTable,AW$5/100,MONTH($A64)))*$C64</f>
        <v>-9041.4019502135216</v>
      </c>
      <c r="AX64" s="1021">
        <f>(VLOOKUP(YEAR($A64),'NY East Load Projections'!$A$4:$EO$14,((MONTH($A64)-1)*12)+VLOOKUP(AX$4,$DE$6:$DF$17,2)+1))*(VLOOKUP($A64,SatSunCurve,4))*(INDEX(DailyScalarsTable,AX$5/100,MONTH($A64)))*$C64</f>
        <v>-12411.786954212583</v>
      </c>
      <c r="AY64" s="1021">
        <f>(VLOOKUP(YEAR($A64),'NY East Load Projections'!$A$4:$EO$14,((MONTH($A64)-1)*12)+VLOOKUP(AY$4,$DE$6:$DF$17,2)+1))*(VLOOKUP($A64,SatSunCurve,4))*(INDEX(DailyScalarsTable,AY$5/100,MONTH($A64)))*$C64</f>
        <v>-12511.725753120876</v>
      </c>
      <c r="AZ64" s="1021">
        <f>(VLOOKUP(YEAR($A64),'NY East Load Projections'!$A$4:$EO$14,((MONTH($A64)-1)*12)+VLOOKUP(AZ$4,$DE$6:$DF$17,2)+1))*(VLOOKUP($A64,SatSunCurve,4))*(INDEX(DailyScalarsTable,AZ$5/100,MONTH($A64)))*$C64</f>
        <v>-11999.794354631458</v>
      </c>
      <c r="BA64" s="1021">
        <f>(VLOOKUP(YEAR($A64),'NY East Load Projections'!$A$4:$EO$14,((MONTH($A64)-1)*12)+VLOOKUP(BA$4,$DE$6:$DF$17,2)+1))*(VLOOKUP($A64,SatSunCurve,4))*(INDEX(DailyScalarsTable,BA$5/100,MONTH($A64)))*$C64</f>
        <v>-10637.525141440963</v>
      </c>
      <c r="BB64" s="1021">
        <f>(VLOOKUP(YEAR($A64),'NY East Load Projections'!$A$4:$EO$14,((MONTH($A64)-1)*12)+VLOOKUP(BB$4,$DE$6:$DF$17,2)+1))*(VLOOKUP($A64,SatSunCurve,4))*(INDEX(DailyScalarsTable,BB$5/100,MONTH($A64)))*$C64</f>
        <v>-8461.9563573479318</v>
      </c>
      <c r="BC64" s="1021">
        <f>(VLOOKUP(YEAR($A64),'NY East Load Projections'!$A$4:$EO$14,((MONTH($A64)-1)*12)+VLOOKUP(BC$4,$DE$6:$DF$17,2)+1))*(VLOOKUP($A64,SatSunCurve,4))*(INDEX(DailyScalarsTable,BC$5/100,MONTH($A64)))*$C64</f>
        <v>-7136.2954502916928</v>
      </c>
      <c r="BD64" s="1021">
        <f>(VLOOKUP(YEAR($A64),'NY East Load Projections'!$A$4:$EO$14,((MONTH($A64)-1)*12)+VLOOKUP(BD$4,$DE$6:$DF$17,2)+1))*(VLOOKUP($A64,CURVES!$D$9:$T$261,8))*(INDEX(DailyScalarsTable,BD$5/100,MONTH($A64)))*$C64</f>
        <v>-8192.017632177387</v>
      </c>
      <c r="BE64" s="1021"/>
      <c r="BF64" s="1021">
        <f>(VLOOKUP(YEAR($A64),'NY East Load Projections'!$A$4:$EO$14,((MONTH($A64)-1)*12)+VLOOKUP(BF$4,$DE$6:$DF$17,2)+1))*(VLOOKUP($A64,CURVES!$D$9:$T$261,8))*(INDEX(DailyScalarsTable,BF$5/100,MONTH($A64)))*$D64</f>
        <v>-7143.7840979923249</v>
      </c>
      <c r="BG64" s="1021">
        <f>(VLOOKUP(YEAR($A64),'NY East Load Projections'!$A$4:$EO$14,((MONTH($A64)-1)*12)+VLOOKUP(BG$4,$DE$6:$DF$17,2)+1))*(VLOOKUP($A64,CURVES!$D$9:$T$261,8))*(INDEX(DailyScalarsTable,BG$5/100,MONTH($A64)))*$D64</f>
        <v>-6772.5686359879901</v>
      </c>
      <c r="BH64" s="1021">
        <f>(VLOOKUP(YEAR($A64),'NY East Load Projections'!$A$4:$EO$14,((MONTH($A64)-1)*12)+VLOOKUP(BH$4,$DE$6:$DF$17,2)+1))*(VLOOKUP($A64,CURVES!$D$9:$T$261,8))*(INDEX(DailyScalarsTable,BH$5/100,MONTH($A64)))*$D64</f>
        <v>-6499.7291142249696</v>
      </c>
      <c r="BI64" s="1021">
        <f>(VLOOKUP(YEAR($A64),'NY East Load Projections'!$A$4:$EO$14,((MONTH($A64)-1)*12)+VLOOKUP(BI$4,$DE$6:$DF$17,2)+1))*(VLOOKUP($A64,CURVES!$D$9:$T$261,8))*(INDEX(DailyScalarsTable,BI$5/100,MONTH($A64)))*$D64</f>
        <v>-6503.5719243906451</v>
      </c>
      <c r="BJ64" s="1021">
        <f>(VLOOKUP(YEAR($A64),'NY East Load Projections'!$A$4:$EO$14,((MONTH($A64)-1)*12)+VLOOKUP(BJ$4,$DE$6:$DF$17,2)+1))*(VLOOKUP($A64,CURVES!$D$9:$T$261,8))*(INDEX(DailyScalarsTable,BJ$5/100,MONTH($A64)))*$D64</f>
        <v>-7069.8511028796929</v>
      </c>
      <c r="BK64" s="1021">
        <f>(VLOOKUP(YEAR($A64),'NY East Load Projections'!$A$4:$EO$14,((MONTH($A64)-1)*12)+VLOOKUP(BK$4,$DE$6:$DF$17,2)+1))*(VLOOKUP($A64,CURVES!$D$9:$T$261,8))*(INDEX(DailyScalarsTable,BK$5/100,MONTH($A64)))*$D64</f>
        <v>-8145.3419656343649</v>
      </c>
      <c r="BL64" s="1021">
        <f>(VLOOKUP(YEAR($A64),'NY East Load Projections'!$A$4:$EO$14,((MONTH($A64)-1)*12)+VLOOKUP(BL$4,$DE$6:$DF$17,2)+1))*(VLOOKUP($A64,CURVES!$D$9:$T$261,8))*(INDEX(DailyScalarsTable,BL$5/100,MONTH($A64)))*$D64</f>
        <v>-11667.399062226168</v>
      </c>
      <c r="BM64" s="1021">
        <f>(VLOOKUP(YEAR($A64),'NY East Load Projections'!$A$4:$EO$14,((MONTH($A64)-1)*12)+VLOOKUP(BM$4,$DE$6:$DF$17,2)+1))*(VLOOKUP($A64,SatSunCurve,8))*(INDEX(DailyScalarsTable,BM$5/100,MONTH($A64)))*$D64</f>
        <v>-10713.452685399358</v>
      </c>
      <c r="BN64" s="1021">
        <f>(VLOOKUP(YEAR($A64),'NY East Load Projections'!$A$4:$EO$14,((MONTH($A64)-1)*12)+VLOOKUP(BN$4,$DE$6:$DF$17,2)+1))*(VLOOKUP($A64,SatSunCurve,8))*(INDEX(DailyScalarsTable,BN$5/100,MONTH($A64)))*$D64</f>
        <v>-12184.088479724305</v>
      </c>
      <c r="BO64" s="1021">
        <f>(VLOOKUP(YEAR($A64),'NY East Load Projections'!$A$4:$EO$14,((MONTH($A64)-1)*12)+VLOOKUP(BO$4,$DE$6:$DF$17,2)+1))*(VLOOKUP($A64,SatSunCurve,8))*(INDEX(DailyScalarsTable,BO$5/100,MONTH($A64)))*$D64</f>
        <v>-12105.178752129381</v>
      </c>
      <c r="BP64" s="1021">
        <f>(VLOOKUP(YEAR($A64),'NY East Load Projections'!$A$4:$EO$14,((MONTH($A64)-1)*12)+VLOOKUP(BP$4,$DE$6:$DF$17,2)+1))*(VLOOKUP($A64,SatSunCurve,8))*(INDEX(DailyScalarsTable,BP$5/100,MONTH($A64)))*$D64</f>
        <v>-11871.648612355213</v>
      </c>
      <c r="BQ64" s="1021">
        <f>(VLOOKUP(YEAR($A64),'NY East Load Projections'!$A$4:$EO$14,((MONTH($A64)-1)*12)+VLOOKUP(BQ$4,$DE$6:$DF$17,2)+1))*(VLOOKUP($A64,SatSunCurve,8))*(INDEX(DailyScalarsTable,BQ$5/100,MONTH($A64)))*$D64</f>
        <v>-9995.9430604704739</v>
      </c>
      <c r="BR64" s="1021">
        <f>(VLOOKUP(YEAR($A64),'NY East Load Projections'!$A$4:$EO$14,((MONTH($A64)-1)*12)+VLOOKUP(BR$4,$DE$6:$DF$17,2)+1))*(VLOOKUP($A64,SatSunCurve,8))*(INDEX(DailyScalarsTable,BR$5/100,MONTH($A64)))*$D64</f>
        <v>-9648.2247469031099</v>
      </c>
      <c r="BS64" s="1021">
        <f>(VLOOKUP(YEAR($A64),'NY East Load Projections'!$A$4:$EO$14,((MONTH($A64)-1)*12)+VLOOKUP(BS$4,$DE$6:$DF$17,2)+1))*(VLOOKUP($A64,SatSunCurve,8))*(INDEX(DailyScalarsTable,BS$5/100,MONTH($A64)))*$D64</f>
        <v>-9389.2340044616049</v>
      </c>
      <c r="BT64" s="1021">
        <f>(VLOOKUP(YEAR($A64),'NY East Load Projections'!$A$4:$EO$14,((MONTH($A64)-1)*12)+VLOOKUP(BT$4,$DE$6:$DF$17,2)+1))*(VLOOKUP($A64,SatSunCurve,8))*(INDEX(DailyScalarsTable,BT$5/100,MONTH($A64)))*$D64</f>
        <v>-9169.5836279605828</v>
      </c>
      <c r="BU64" s="1021">
        <f>(VLOOKUP(YEAR($A64),'NY East Load Projections'!$A$4:$EO$14,((MONTH($A64)-1)*12)+VLOOKUP(BU$4,$DE$6:$DF$17,2)+1))*(VLOOKUP($A64,SatSunCurve,8))*(INDEX(DailyScalarsTable,BU$5/100,MONTH($A64)))*$D64</f>
        <v>-9018.7788918554033</v>
      </c>
      <c r="BV64" s="1021">
        <f>(VLOOKUP(YEAR($A64),'NY East Load Projections'!$A$4:$EO$14,((MONTH($A64)-1)*12)+VLOOKUP(BV$4,$DE$6:$DF$17,2)+1))*(VLOOKUP($A64,SatSunCurve,8))*(INDEX(DailyScalarsTable,BV$5/100,MONTH($A64)))*$D64</f>
        <v>-9252.7924072239985</v>
      </c>
      <c r="BW64" s="1021">
        <f>(VLOOKUP(YEAR($A64),'NY East Load Projections'!$A$4:$EO$14,((MONTH($A64)-1)*12)+VLOOKUP(BW$4,$DE$6:$DF$17,2)+1))*(VLOOKUP($A64,SatSunCurve,8))*(INDEX(DailyScalarsTable,BW$5/100,MONTH($A64)))*$D64</f>
        <v>-12701.977936873818</v>
      </c>
      <c r="BX64" s="1021">
        <f>(VLOOKUP(YEAR($A64),'NY East Load Projections'!$A$4:$EO$14,((MONTH($A64)-1)*12)+VLOOKUP(BX$4,$DE$6:$DF$17,2)+1))*(VLOOKUP($A64,SatSunCurve,8))*(INDEX(DailyScalarsTable,BX$5/100,MONTH($A64)))*$D64</f>
        <v>-12804.253332306704</v>
      </c>
      <c r="BY64" s="1021">
        <f>(VLOOKUP(YEAR($A64),'NY East Load Projections'!$A$4:$EO$14,((MONTH($A64)-1)*12)+VLOOKUP(BY$4,$DE$6:$DF$17,2)+1))*(VLOOKUP($A64,SatSunCurve,8))*(INDEX(DailyScalarsTable,BY$5/100,MONTH($A64)))*$D64</f>
        <v>-12280.352837334172</v>
      </c>
      <c r="BZ64" s="1021">
        <f>(VLOOKUP(YEAR($A64),'NY East Load Projections'!$A$4:$EO$14,((MONTH($A64)-1)*12)+VLOOKUP(BZ$4,$DE$6:$DF$17,2)+1))*(VLOOKUP($A64,SatSunCurve,8))*(INDEX(DailyScalarsTable,BZ$5/100,MONTH($A64)))*$D64</f>
        <v>-10886.23339636558</v>
      </c>
      <c r="CA64" s="1021">
        <f>(VLOOKUP(YEAR($A64),'NY East Load Projections'!$A$4:$EO$14,((MONTH($A64)-1)*12)+VLOOKUP(CA$4,$DE$6:$DF$17,2)+1))*(VLOOKUP($A64,SatSunCurve,8))*(INDEX(DailyScalarsTable,CA$5/100,MONTH($A64)))*$D64</f>
        <v>-8659.7992174964329</v>
      </c>
      <c r="CB64" s="1021">
        <f>(VLOOKUP(YEAR($A64),'NY East Load Projections'!$A$4:$EO$14,((MONTH($A64)-1)*12)+VLOOKUP(CB$4,$DE$6:$DF$17,2)+1))*(VLOOKUP($A64,SatSunCurve,8))*(INDEX(DailyScalarsTable,CB$5/100,MONTH($A64)))*$D64</f>
        <v>-7303.1439948985735</v>
      </c>
      <c r="CC64" s="1021">
        <f>(VLOOKUP(YEAR($A64),'NY East Load Projections'!$A$4:$EO$14,((MONTH($A64)-1)*12)+VLOOKUP(CC$4,$DE$6:$DF$17,2)+1))*(VLOOKUP($A64,CURVES!$D$9:$T$261,8))*(INDEX(DailyScalarsTable,CC$5/100,MONTH($A64)))*$D64</f>
        <v>-8192.017632177387</v>
      </c>
      <c r="CE64" s="1021">
        <f>(VLOOKUP(YEAR($A64),'NY East Load Projections'!$A$4:$EO$14,((MONTH($A64)-1)*12)+VLOOKUP(CE$4,$DE$6:$DF$17,2)+1))*(VLOOKUP($A64,CURVES!$D$9:$T$261,8))*(INDEX(DailyScalarsTable,CE$5/100,MONTH($A64)))*$E64</f>
        <v>-1785.9460244980812</v>
      </c>
      <c r="CF64" s="1021">
        <f>(VLOOKUP(YEAR($A64),'NY East Load Projections'!$A$4:$EO$14,((MONTH($A64)-1)*12)+VLOOKUP(CF$4,$DE$6:$DF$17,2)+1))*(VLOOKUP($A64,CURVES!$D$9:$T$261,8))*(INDEX(DailyScalarsTable,CF$5/100,MONTH($A64)))*$E64</f>
        <v>-1693.1421589969975</v>
      </c>
      <c r="CG64" s="1021">
        <f>(VLOOKUP(YEAR($A64),'NY East Load Projections'!$A$4:$EO$14,((MONTH($A64)-1)*12)+VLOOKUP(CG$4,$DE$6:$DF$17,2)+1))*(VLOOKUP($A64,CURVES!$D$9:$T$261,8))*(INDEX(DailyScalarsTable,CG$5/100,MONTH($A64)))*$E64</f>
        <v>-1624.9322785562424</v>
      </c>
      <c r="CH64" s="1021">
        <f>(VLOOKUP(YEAR($A64),'NY East Load Projections'!$A$4:$EO$14,((MONTH($A64)-1)*12)+VLOOKUP(CH$4,$DE$6:$DF$17,2)+1))*(VLOOKUP($A64,CURVES!$D$9:$T$261,8))*(INDEX(DailyScalarsTable,CH$5/100,MONTH($A64)))*$E64</f>
        <v>-1625.8929810976613</v>
      </c>
      <c r="CI64" s="1021">
        <f>(VLOOKUP(YEAR($A64),'NY East Load Projections'!$A$4:$EO$14,((MONTH($A64)-1)*12)+VLOOKUP(CI$4,$DE$6:$DF$17,2)+1))*(VLOOKUP($A64,CURVES!$D$9:$T$261,8))*(INDEX(DailyScalarsTable,CI$5/100,MONTH($A64)))*$E64</f>
        <v>-1767.4627757199232</v>
      </c>
      <c r="CJ64" s="1021">
        <f>(VLOOKUP(YEAR($A64),'NY East Load Projections'!$A$4:$EO$14,((MONTH($A64)-1)*12)+VLOOKUP(CJ$4,$DE$6:$DF$17,2)+1))*(VLOOKUP($A64,CURVES!$D$9:$T$261,8))*(INDEX(DailyScalarsTable,CJ$5/100,MONTH($A64)))*$E64</f>
        <v>-2036.3354914085912</v>
      </c>
      <c r="CK64" s="1021">
        <f>(VLOOKUP(YEAR($A64),'NY East Load Projections'!$A$4:$EO$14,((MONTH($A64)-1)*12)+VLOOKUP(CK$4,$DE$6:$DF$17,2)+1))*(VLOOKUP($A64,CURVES!$D$9:$T$261,8))*(INDEX(DailyScalarsTable,CK$5/100,MONTH($A64)))*$E64</f>
        <v>-2916.849765556542</v>
      </c>
      <c r="CL64" s="1021">
        <f>(VLOOKUP(YEAR($A64),'NY East Load Projections'!$A$4:$EO$14,((MONTH($A64)-1)*12)+VLOOKUP(CL$4,$DE$6:$DF$17,2)+1))*(VLOOKUP($A64,SatSunCurve,8))*(INDEX(DailyScalarsTable,CL$5/100,MONTH($A64)))*$E64</f>
        <v>-2678.3631713498394</v>
      </c>
      <c r="CM64" s="1021">
        <f>(VLOOKUP(YEAR($A64),'NY East Load Projections'!$A$4:$EO$14,((MONTH($A64)-1)*12)+VLOOKUP(CM$4,$DE$6:$DF$17,2)+1))*(VLOOKUP($A64,SatSunCurve,8))*(INDEX(DailyScalarsTable,CM$5/100,MONTH($A64)))*$E64</f>
        <v>-3046.0221199310763</v>
      </c>
      <c r="CN64" s="1021">
        <f>(VLOOKUP(YEAR($A64),'NY East Load Projections'!$A$4:$EO$14,((MONTH($A64)-1)*12)+VLOOKUP(CN$4,$DE$6:$DF$17,2)+1))*(VLOOKUP($A64,SatSunCurve,8))*(INDEX(DailyScalarsTable,CN$5/100,MONTH($A64)))*$E64</f>
        <v>-3026.2946880323452</v>
      </c>
      <c r="CO64" s="1021">
        <f>(VLOOKUP(YEAR($A64),'NY East Load Projections'!$A$4:$EO$14,((MONTH($A64)-1)*12)+VLOOKUP(CO$4,$DE$6:$DF$17,2)+1))*(VLOOKUP($A64,SatSunCurve,8))*(INDEX(DailyScalarsTable,CO$5/100,MONTH($A64)))*$E64</f>
        <v>-2967.9121530888033</v>
      </c>
      <c r="CP64" s="1021">
        <f>(VLOOKUP(YEAR($A64),'NY East Load Projections'!$A$4:$EO$14,((MONTH($A64)-1)*12)+VLOOKUP(CP$4,$DE$6:$DF$17,2)+1))*(VLOOKUP($A64,SatSunCurve,8))*(INDEX(DailyScalarsTable,CP$5/100,MONTH($A64)))*$E64</f>
        <v>-2498.9857651176185</v>
      </c>
      <c r="CQ64" s="1021">
        <f>(VLOOKUP(YEAR($A64),'NY East Load Projections'!$A$4:$EO$14,((MONTH($A64)-1)*12)+VLOOKUP(CQ$4,$DE$6:$DF$17,2)+1))*(VLOOKUP($A64,SatSunCurve,8))*(INDEX(DailyScalarsTable,CQ$5/100,MONTH($A64)))*$E64</f>
        <v>-2412.0561867257775</v>
      </c>
      <c r="CR64" s="1021">
        <f>(VLOOKUP(YEAR($A64),'NY East Load Projections'!$A$4:$EO$14,((MONTH($A64)-1)*12)+VLOOKUP(CR$4,$DE$6:$DF$17,2)+1))*(VLOOKUP($A64,SatSunCurve,8))*(INDEX(DailyScalarsTable,CR$5/100,MONTH($A64)))*$E64</f>
        <v>-2347.3085011154012</v>
      </c>
      <c r="CS64" s="1021">
        <f>(VLOOKUP(YEAR($A64),'NY East Load Projections'!$A$4:$EO$14,((MONTH($A64)-1)*12)+VLOOKUP(CS$4,$DE$6:$DF$17,2)+1))*(VLOOKUP($A64,SatSunCurve,8))*(INDEX(DailyScalarsTable,CS$5/100,MONTH($A64)))*$E64</f>
        <v>-2292.3959069901457</v>
      </c>
      <c r="CT64" s="1021">
        <f>(VLOOKUP(YEAR($A64),'NY East Load Projections'!$A$4:$EO$14,((MONTH($A64)-1)*12)+VLOOKUP(CT$4,$DE$6:$DF$17,2)+1))*(VLOOKUP($A64,SatSunCurve,8))*(INDEX(DailyScalarsTable,CT$5/100,MONTH($A64)))*$E64</f>
        <v>-2254.6947229638508</v>
      </c>
      <c r="CU64" s="1021">
        <f>(VLOOKUP(YEAR($A64),'NY East Load Projections'!$A$4:$EO$14,((MONTH($A64)-1)*12)+VLOOKUP(CU$4,$DE$6:$DF$17,2)+1))*(VLOOKUP($A64,SatSunCurve,8))*(INDEX(DailyScalarsTable,CU$5/100,MONTH($A64)))*$E64</f>
        <v>-2313.1981018059996</v>
      </c>
      <c r="CV64" s="1021">
        <f>(VLOOKUP(YEAR($A64),'NY East Load Projections'!$A$4:$EO$14,((MONTH($A64)-1)*12)+VLOOKUP(CV$4,$DE$6:$DF$17,2)+1))*(VLOOKUP($A64,SatSunCurve,8))*(INDEX(DailyScalarsTable,CV$5/100,MONTH($A64)))*$E64</f>
        <v>-3175.4944842184545</v>
      </c>
      <c r="CW64" s="1021">
        <f>(VLOOKUP(YEAR($A64),'NY East Load Projections'!$A$4:$EO$14,((MONTH($A64)-1)*12)+VLOOKUP(CW$4,$DE$6:$DF$17,2)+1))*(VLOOKUP($A64,SatSunCurve,8))*(INDEX(DailyScalarsTable,CW$5/100,MONTH($A64)))*$E64</f>
        <v>-3201.0633330766759</v>
      </c>
      <c r="CX64" s="1021">
        <f>(VLOOKUP(YEAR($A64),'NY East Load Projections'!$A$4:$EO$14,((MONTH($A64)-1)*12)+VLOOKUP(CX$4,$DE$6:$DF$17,2)+1))*(VLOOKUP($A64,SatSunCurve,8))*(INDEX(DailyScalarsTable,CX$5/100,MONTH($A64)))*$E64</f>
        <v>-3070.0882093335431</v>
      </c>
      <c r="CY64" s="1021">
        <f>(VLOOKUP(YEAR($A64),'NY East Load Projections'!$A$4:$EO$14,((MONTH($A64)-1)*12)+VLOOKUP(CY$4,$DE$6:$DF$17,2)+1))*(VLOOKUP($A64,SatSunCurve,8))*(INDEX(DailyScalarsTable,CY$5/100,MONTH($A64)))*$E64</f>
        <v>-2721.558349091395</v>
      </c>
      <c r="CZ64" s="1021">
        <f>(VLOOKUP(YEAR($A64),'NY East Load Projections'!$A$4:$EO$14,((MONTH($A64)-1)*12)+VLOOKUP(CZ$4,$DE$6:$DF$17,2)+1))*(VLOOKUP($A64,SatSunCurve,8))*(INDEX(DailyScalarsTable,CZ$5/100,MONTH($A64)))*$E64</f>
        <v>-2164.9498043741082</v>
      </c>
      <c r="DA64" s="1021">
        <f>(VLOOKUP(YEAR($A64),'NY East Load Projections'!$A$4:$EO$14,((MONTH($A64)-1)*12)+VLOOKUP(DA$4,$DE$6:$DF$17,2)+1))*(VLOOKUP($A64,SatSunCurve,8))*(INDEX(DailyScalarsTable,DA$5/100,MONTH($A64)))*$E64</f>
        <v>-1825.7859987246434</v>
      </c>
      <c r="DB64" s="1021">
        <f>(VLOOKUP(YEAR($A64),'NY East Load Projections'!$A$4:$EO$14,((MONTH($A64)-1)*12)+VLOOKUP(DB$4,$DE$6:$DF$17,2)+1))*(VLOOKUP($A64,CURVES!$D$9:$T$261,8))*(INDEX(DailyScalarsTable,DB$5/100,MONTH($A64)))*$E64</f>
        <v>-2048.0044080443467</v>
      </c>
      <c r="DH64" s="1021">
        <f t="shared" si="0"/>
        <v>-1967191.6920484735</v>
      </c>
      <c r="DI64">
        <f ca="1">CALC!J84</f>
        <v>0.65869612473466754</v>
      </c>
      <c r="DJ64" s="1029">
        <f t="shared" ca="1" si="1"/>
        <v>-1295781.544162563</v>
      </c>
    </row>
    <row r="65" spans="1:114" x14ac:dyDescent="0.25">
      <c r="A65" s="244">
        <v>38687</v>
      </c>
      <c r="B65" s="13">
        <v>21</v>
      </c>
      <c r="C65" s="210">
        <v>5</v>
      </c>
      <c r="D65" s="210">
        <v>4</v>
      </c>
      <c r="E65" s="210">
        <v>1</v>
      </c>
      <c r="F65" s="13">
        <v>31</v>
      </c>
      <c r="H65" s="1021">
        <f>(VLOOKUP(YEAR($A65),'NY East Load Projections'!$A$4:$EO$14,((MONTH($A65)-1)*12)+VLOOKUP(H$4,$DE$6:$DF$17,2)+1))*(VLOOKUP($A65,CURVES!$D$9:$K$261,8))*(INDEX(DailyScalarsTable,H$5/100,MONTH($A65)))*$B65</f>
        <v>-37083.45339551576</v>
      </c>
      <c r="I65" s="1021">
        <f>(VLOOKUP(YEAR($A65),'NY East Load Projections'!$A$4:$EO$14,((MONTH($A65)-1)*12)+VLOOKUP(I$4,$DE$6:$DF$17,2)+1))*(VLOOKUP($A65,CURVES!$D$9:$K$261,8))*(INDEX(DailyScalarsTable,I$5/100,MONTH($A65)))*$B65</f>
        <v>-35156.470287389449</v>
      </c>
      <c r="J65" s="1021">
        <f>(VLOOKUP(YEAR($A65),'NY East Load Projections'!$A$4:$EO$14,((MONTH($A65)-1)*12)+VLOOKUP(J$4,$DE$6:$DF$17,2)+1))*(VLOOKUP($A65,CURVES!$D$9:$K$261,8))*(INDEX(DailyScalarsTable,J$5/100,MONTH($A65)))*$B65</f>
        <v>-33740.157650981906</v>
      </c>
      <c r="K65" s="1021">
        <f>(VLOOKUP(YEAR($A65),'NY East Load Projections'!$A$4:$EO$14,((MONTH($A65)-1)*12)+VLOOKUP(K$4,$DE$6:$DF$17,2)+1))*(VLOOKUP($A65,CURVES!$D$9:$K$261,8))*(INDEX(DailyScalarsTable,K$5/100,MONTH($A65)))*$B65</f>
        <v>-33760.105716283419</v>
      </c>
      <c r="L65" s="1021">
        <f>(VLOOKUP(YEAR($A65),'NY East Load Projections'!$A$4:$EO$14,((MONTH($A65)-1)*12)+VLOOKUP(L$4,$DE$6:$DF$17,2)+1))*(VLOOKUP($A65,CURVES!$D$9:$K$261,8))*(INDEX(DailyScalarsTable,L$5/100,MONTH($A65)))*$B65</f>
        <v>-40157.056138730128</v>
      </c>
      <c r="M65" s="1021">
        <f>(VLOOKUP(YEAR($A65),'NY East Load Projections'!$A$4:$EO$14,((MONTH($A65)-1)*12)+VLOOKUP(M$4,$DE$6:$DF$17,2)+1))*(VLOOKUP($A65,CURVES!$D$9:$K$261,8))*(INDEX(DailyScalarsTable,M$5/100,MONTH($A65)))*$B65</f>
        <v>-46265.890161378644</v>
      </c>
      <c r="N65" s="1021">
        <f>(VLOOKUP(YEAR($A65),'NY East Load Projections'!$A$4:$EO$14,((MONTH($A65)-1)*12)+VLOOKUP(N$4,$DE$6:$DF$17,2)+1))*(VLOOKUP($A65,CURVES!$D$9:$K$261,8))*(INDEX(DailyScalarsTable,N$5/100,MONTH($A65)))*$B65</f>
        <v>-66271.324857738844</v>
      </c>
      <c r="O65" s="1021">
        <f>(VLOOKUP(YEAR($A65),'NY East Load Projections'!$A$4:$EO$14,((MONTH($A65)-1)*12)+VLOOKUP(O$4,$DE$6:$DF$17,2)+1))*(VLOOKUP($A65,CURVES!$D$9:$K$261,4))*(INDEX(DailyScalarsTable,O$5/100,MONTH($A65)))*$B65</f>
        <v>-71113.07036785419</v>
      </c>
      <c r="P65" s="1021">
        <f>(VLOOKUP(YEAR($A65),'NY East Load Projections'!$A$4:$EO$14,((MONTH($A65)-1)*12)+VLOOKUP(P$4,$DE$6:$DF$17,2)+1))*(VLOOKUP($A65,CURVES!$D$9:$K$261,4))*(INDEX(DailyScalarsTable,P$5/100,MONTH($A65)))*$B65</f>
        <v>-83144.699646286288</v>
      </c>
      <c r="Q65" s="1021">
        <f>(VLOOKUP(YEAR($A65),'NY East Load Projections'!$A$4:$EO$14,((MONTH($A65)-1)*12)+VLOOKUP(Q$4,$DE$6:$DF$17,2)+1))*(VLOOKUP($A65,CURVES!$D$9:$K$261,4))*(INDEX(DailyScalarsTable,Q$5/100,MONTH($A65)))*$B65</f>
        <v>-82723.189311251845</v>
      </c>
      <c r="R65" s="1021">
        <f>(VLOOKUP(YEAR($A65),'NY East Load Projections'!$A$4:$EO$14,((MONTH($A65)-1)*12)+VLOOKUP(R$4,$DE$6:$DF$17,2)+1))*(VLOOKUP($A65,CURVES!$D$9:$K$261,4))*(INDEX(DailyScalarsTable,R$5/100,MONTH($A65)))*$B65</f>
        <v>-80922.840083647097</v>
      </c>
      <c r="S65" s="1021">
        <f>(VLOOKUP(YEAR($A65),'NY East Load Projections'!$A$4:$EO$14,((MONTH($A65)-1)*12)+VLOOKUP(S$4,$DE$6:$DF$17,2)+1))*(VLOOKUP($A65,CURVES!$D$9:$K$261,4))*(INDEX(DailyScalarsTable,S$5/100,MONTH($A65)))*$B65</f>
        <v>-65755.612265373697</v>
      </c>
      <c r="T65" s="1021">
        <f>(VLOOKUP(YEAR($A65),'NY East Load Projections'!$A$4:$EO$14,((MONTH($A65)-1)*12)+VLOOKUP(T$4,$DE$6:$DF$17,2)+1))*(VLOOKUP($A65,CURVES!$D$9:$K$261,4))*(INDEX(DailyScalarsTable,T$5/100,MONTH($A65)))*$B65</f>
        <v>-63428.506391053015</v>
      </c>
      <c r="U65" s="1021">
        <f>(VLOOKUP(YEAR($A65),'NY East Load Projections'!$A$4:$EO$14,((MONTH($A65)-1)*12)+VLOOKUP(U$4,$DE$6:$DF$17,2)+1))*(VLOOKUP($A65,CURVES!$D$9:$K$261,4))*(INDEX(DailyScalarsTable,U$5/100,MONTH($A65)))*$B65</f>
        <v>-60695.331524276589</v>
      </c>
      <c r="V65" s="1021">
        <f>(VLOOKUP(YEAR($A65),'NY East Load Projections'!$A$4:$EO$14,((MONTH($A65)-1)*12)+VLOOKUP(V$4,$DE$6:$DF$17,2)+1))*(VLOOKUP($A65,CURVES!$D$9:$K$261,4))*(INDEX(DailyScalarsTable,V$5/100,MONTH($A65)))*$B65</f>
        <v>-57643.165426364452</v>
      </c>
      <c r="W65" s="1021">
        <f>(VLOOKUP(YEAR($A65),'NY East Load Projections'!$A$4:$EO$14,((MONTH($A65)-1)*12)+VLOOKUP(W$4,$DE$6:$DF$17,2)+1))*(VLOOKUP($A65,CURVES!$D$9:$K$261,4))*(INDEX(DailyScalarsTable,W$5/100,MONTH($A65)))*$B65</f>
        <v>-56642.692928711534</v>
      </c>
      <c r="X65" s="1021">
        <f>(VLOOKUP(YEAR($A65),'NY East Load Projections'!$A$4:$EO$14,((MONTH($A65)-1)*12)+VLOOKUP(X$4,$DE$6:$DF$17,2)+1))*(VLOOKUP($A65,CURVES!$D$9:$K$261,4))*(INDEX(DailyScalarsTable,X$5/100,MONTH($A65)))*$B65</f>
        <v>-60325.574957034514</v>
      </c>
      <c r="Y65" s="1021">
        <f>(VLOOKUP(YEAR($A65),'NY East Load Projections'!$A$4:$EO$14,((MONTH($A65)-1)*12)+VLOOKUP(Y$4,$DE$6:$DF$17,2)+1))*(VLOOKUP($A65,CURVES!$D$9:$K$261,4))*(INDEX(DailyScalarsTable,Y$5/100,MONTH($A65)))*$B65</f>
        <v>-85019.50566141399</v>
      </c>
      <c r="Z65" s="1021">
        <f>(VLOOKUP(YEAR($A65),'NY East Load Projections'!$A$4:$EO$14,((MONTH($A65)-1)*12)+VLOOKUP(Z$4,$DE$6:$DF$17,2)+1))*(VLOOKUP($A65,CURVES!$D$9:$K$261,4))*(INDEX(DailyScalarsTable,Z$5/100,MONTH($A65)))*$B65</f>
        <v>-84453.06162129638</v>
      </c>
      <c r="AA65" s="1021">
        <f>(VLOOKUP(YEAR($A65),'NY East Load Projections'!$A$4:$EO$14,((MONTH($A65)-1)*12)+VLOOKUP(AA$4,$DE$6:$DF$17,2)+1))*(VLOOKUP($A65,CURVES!$D$9:$K$261,4))*(INDEX(DailyScalarsTable,AA$5/100,MONTH($A65)))*$B65</f>
        <v>-81544.890769515085</v>
      </c>
      <c r="AB65" s="1021">
        <f>(VLOOKUP(YEAR($A65),'NY East Load Projections'!$A$4:$EO$14,((MONTH($A65)-1)*12)+VLOOKUP(AB$4,$DE$6:$DF$17,2)+1))*(VLOOKUP($A65,CURVES!$D$9:$K$261,4))*(INDEX(DailyScalarsTable,AB$5/100,MONTH($A65)))*$B65</f>
        <v>-71580.406099799002</v>
      </c>
      <c r="AC65" s="1021">
        <f>(VLOOKUP(YEAR($A65),'NY East Load Projections'!$A$4:$EO$14,((MONTH($A65)-1)*12)+VLOOKUP(AC$4,$DE$6:$DF$17,2)+1))*(VLOOKUP($A65,CURVES!$D$9:$K$261,4))*(INDEX(DailyScalarsTable,AC$5/100,MONTH($A65)))*$B65</f>
        <v>-52768.789714079365</v>
      </c>
      <c r="AD65" s="1021">
        <f>(VLOOKUP(YEAR($A65),'NY East Load Projections'!$A$4:$EO$14,((MONTH($A65)-1)*12)+VLOOKUP(AD$4,$DE$6:$DF$17,2)+1))*(VLOOKUP($A65,CURVES!$D$9:$K$261,4))*(INDEX(DailyScalarsTable,AD$5/100,MONTH($A65)))*$B65</f>
        <v>-43535.02615870905</v>
      </c>
      <c r="AE65" s="1021">
        <f>(VLOOKUP(YEAR($A65),'NY East Load Projections'!$A$4:$EO$14,((MONTH($A65)-1)*12)+VLOOKUP(AE$4,$DE$6:$DF$17,2)+1))*(VLOOKUP($A65,CURVES!$D$9:$K$261,8))*(INDEX(DailyScalarsTable,AE$5/100,MONTH($A65)))*$B65</f>
        <v>-44102.421210756722</v>
      </c>
      <c r="AF65" s="1021"/>
      <c r="AG65" s="1021">
        <f>(VLOOKUP(YEAR($A65),'NY East Load Projections'!$A$4:$EO$14,((MONTH($A65)-1)*12)+VLOOKUP(AG$4,$DE$6:$DF$17,2)+1))*(VLOOKUP($A65,CURVES!$D$9:$T$261,8))*(INDEX(DailyScalarsTable,AG$5/100,MONTH($A65)))*$C65</f>
        <v>-9097.2085276196085</v>
      </c>
      <c r="AH65" s="1021">
        <f>(VLOOKUP(YEAR($A65),'NY East Load Projections'!$A$4:$EO$14,((MONTH($A65)-1)*12)+VLOOKUP(AH$4,$DE$6:$DF$17,2)+1))*(VLOOKUP($A65,CURVES!$D$9:$T$261,8))*(INDEX(DailyScalarsTable,AH$5/100,MONTH($A65)))*$C65</f>
        <v>-8624.4864492075303</v>
      </c>
      <c r="AI65" s="1021">
        <f>(VLOOKUP(YEAR($A65),'NY East Load Projections'!$A$4:$EO$14,((MONTH($A65)-1)*12)+VLOOKUP(AI$4,$DE$6:$DF$17,2)+1))*(VLOOKUP($A65,CURVES!$D$9:$T$261,8))*(INDEX(DailyScalarsTable,AI$5/100,MONTH($A65)))*$C65</f>
        <v>-8277.0406151779498</v>
      </c>
      <c r="AJ65" s="1021">
        <f>(VLOOKUP(YEAR($A65),'NY East Load Projections'!$A$4:$EO$14,((MONTH($A65)-1)*12)+VLOOKUP(AJ$4,$DE$6:$DF$17,2)+1))*(VLOOKUP($A65,CURVES!$D$9:$T$261,8))*(INDEX(DailyScalarsTable,AJ$5/100,MONTH($A65)))*$C65</f>
        <v>-8281.9342184741399</v>
      </c>
      <c r="AK65" s="1021">
        <f>(VLOOKUP(YEAR($A65),'NY East Load Projections'!$A$4:$EO$14,((MONTH($A65)-1)*12)+VLOOKUP(AK$4,$DE$6:$DF$17,2)+1))*(VLOOKUP($A65,CURVES!$D$9:$T$261,8))*(INDEX(DailyScalarsTable,AK$5/100,MONTH($A65)))*$C65</f>
        <v>-9067.3488522113166</v>
      </c>
      <c r="AL65" s="1021">
        <f>(VLOOKUP(YEAR($A65),'NY East Load Projections'!$A$4:$EO$14,((MONTH($A65)-1)*12)+VLOOKUP(AL$4,$DE$6:$DF$17,2)+1))*(VLOOKUP($A65,CURVES!$D$9:$T$261,8))*(INDEX(DailyScalarsTable,AL$5/100,MONTH($A65)))*$C65</f>
        <v>-10446.706167953116</v>
      </c>
      <c r="AM65" s="1021">
        <f>(VLOOKUP(YEAR($A65),'NY East Load Projections'!$A$4:$EO$14,((MONTH($A65)-1)*12)+VLOOKUP(AM$4,$DE$6:$DF$17,2)+1))*(VLOOKUP($A65,CURVES!$D$9:$T$261,8))*(INDEX(DailyScalarsTable,AM$5/100,MONTH($A65)))*$C65</f>
        <v>-14963.87631870726</v>
      </c>
      <c r="AN65" s="1021">
        <f>(VLOOKUP(YEAR($A65),'NY East Load Projections'!$A$4:$EO$14,((MONTH($A65)-1)*12)+VLOOKUP(AN$4,$DE$6:$DF$17,2)+1))*(VLOOKUP($A65,SatSunCurve,4))*(INDEX(DailyScalarsTable,AN$5/100,MONTH($A65)))*$C65</f>
        <v>-13457.341953175805</v>
      </c>
      <c r="AO65" s="1021">
        <f>(VLOOKUP(YEAR($A65),'NY East Load Projections'!$A$4:$EO$14,((MONTH($A65)-1)*12)+VLOOKUP(AO$4,$DE$6:$DF$17,2)+1))*(VLOOKUP($A65,SatSunCurve,4))*(INDEX(DailyScalarsTable,AO$5/100,MONTH($A65)))*$C65</f>
        <v>-15331.003742053912</v>
      </c>
      <c r="AP65" s="1021">
        <f>(VLOOKUP(YEAR($A65),'NY East Load Projections'!$A$4:$EO$14,((MONTH($A65)-1)*12)+VLOOKUP(AP$4,$DE$6:$DF$17,2)+1))*(VLOOKUP($A65,SatSunCurve,4))*(INDEX(DailyScalarsTable,AP$5/100,MONTH($A65)))*$C65</f>
        <v>-15253.281691806344</v>
      </c>
      <c r="AQ65" s="1021">
        <f>(VLOOKUP(YEAR($A65),'NY East Load Projections'!$A$4:$EO$14,((MONTH($A65)-1)*12)+VLOOKUP(AQ$4,$DE$6:$DF$17,2)+1))*(VLOOKUP($A65,SatSunCurve,4))*(INDEX(DailyScalarsTable,AQ$5/100,MONTH($A65)))*$C65</f>
        <v>-14921.316324647249</v>
      </c>
      <c r="AR65" s="1021">
        <f>(VLOOKUP(YEAR($A65),'NY East Load Projections'!$A$4:$EO$14,((MONTH($A65)-1)*12)+VLOOKUP(AR$4,$DE$6:$DF$17,2)+1))*(VLOOKUP($A65,SatSunCurve,4))*(INDEX(DailyScalarsTable,AR$5/100,MONTH($A65)))*$C65</f>
        <v>-12124.639838620398</v>
      </c>
      <c r="AS65" s="1021">
        <f>(VLOOKUP(YEAR($A65),'NY East Load Projections'!$A$4:$EO$14,((MONTH($A65)-1)*12)+VLOOKUP(AS$4,$DE$6:$DF$17,2)+1))*(VLOOKUP($A65,SatSunCurve,4))*(INDEX(DailyScalarsTable,AS$5/100,MONTH($A65)))*$C65</f>
        <v>-11650.207289091442</v>
      </c>
      <c r="AT65" s="1021">
        <f>(VLOOKUP(YEAR($A65),'NY East Load Projections'!$A$4:$EO$14,((MONTH($A65)-1)*12)+VLOOKUP(AT$4,$DE$6:$DF$17,2)+1))*(VLOOKUP($A65,SatSunCurve,4))*(INDEX(DailyScalarsTable,AT$5/100,MONTH($A65)))*$C65</f>
        <v>-11148.192413335646</v>
      </c>
      <c r="AU65" s="1021">
        <f>(VLOOKUP(YEAR($A65),'NY East Load Projections'!$A$4:$EO$14,((MONTH($A65)-1)*12)+VLOOKUP(AU$4,$DE$6:$DF$17,2)+1))*(VLOOKUP($A65,SatSunCurve,4))*(INDEX(DailyScalarsTable,AU$5/100,MONTH($A65)))*$C65</f>
        <v>-10587.586942000922</v>
      </c>
      <c r="AV65" s="1021">
        <f>(VLOOKUP(YEAR($A65),'NY East Load Projections'!$A$4:$EO$14,((MONTH($A65)-1)*12)+VLOOKUP(AV$4,$DE$6:$DF$17,2)+1))*(VLOOKUP($A65,SatSunCurve,4))*(INDEX(DailyScalarsTable,AV$5/100,MONTH($A65)))*$C65</f>
        <v>-10403.825528594291</v>
      </c>
      <c r="AW65" s="1021">
        <f>(VLOOKUP(YEAR($A65),'NY East Load Projections'!$A$4:$EO$14,((MONTH($A65)-1)*12)+VLOOKUP(AW$4,$DE$6:$DF$17,2)+1))*(VLOOKUP($A65,SatSunCurve,4))*(INDEX(DailyScalarsTable,AW$5/100,MONTH($A65)))*$C65</f>
        <v>-11249.310747374138</v>
      </c>
      <c r="AX65" s="1021">
        <f>(VLOOKUP(YEAR($A65),'NY East Load Projections'!$A$4:$EO$14,((MONTH($A65)-1)*12)+VLOOKUP(AX$4,$DE$6:$DF$17,2)+1))*(VLOOKUP($A65,SatSunCurve,4))*(INDEX(DailyScalarsTable,AX$5/100,MONTH($A65)))*$C65</f>
        <v>-15854.152064933687</v>
      </c>
      <c r="AY65" s="1021">
        <f>(VLOOKUP(YEAR($A65),'NY East Load Projections'!$A$4:$EO$14,((MONTH($A65)-1)*12)+VLOOKUP(AY$4,$DE$6:$DF$17,2)+1))*(VLOOKUP($A65,SatSunCurve,4))*(INDEX(DailyScalarsTable,AY$5/100,MONTH($A65)))*$C65</f>
        <v>-15748.523481487624</v>
      </c>
      <c r="AZ65" s="1021">
        <f>(VLOOKUP(YEAR($A65),'NY East Load Projections'!$A$4:$EO$14,((MONTH($A65)-1)*12)+VLOOKUP(AZ$4,$DE$6:$DF$17,2)+1))*(VLOOKUP($A65,SatSunCurve,4))*(INDEX(DailyScalarsTable,AZ$5/100,MONTH($A65)))*$C65</f>
        <v>-15206.217541735801</v>
      </c>
      <c r="BA65" s="1021">
        <f>(VLOOKUP(YEAR($A65),'NY East Load Projections'!$A$4:$EO$14,((MONTH($A65)-1)*12)+VLOOKUP(BA$4,$DE$6:$DF$17,2)+1))*(VLOOKUP($A65,SatSunCurve,4))*(INDEX(DailyScalarsTable,BA$5/100,MONTH($A65)))*$C65</f>
        <v>-14273.227528276946</v>
      </c>
      <c r="BB65" s="1021">
        <f>(VLOOKUP(YEAR($A65),'NY East Load Projections'!$A$4:$EO$14,((MONTH($A65)-1)*12)+VLOOKUP(BB$4,$DE$6:$DF$17,2)+1))*(VLOOKUP($A65,SatSunCurve,4))*(INDEX(DailyScalarsTable,BB$5/100,MONTH($A65)))*$C65</f>
        <v>-10522.166372327552</v>
      </c>
      <c r="BC65" s="1021">
        <f>(VLOOKUP(YEAR($A65),'NY East Load Projections'!$A$4:$EO$14,((MONTH($A65)-1)*12)+VLOOKUP(BC$4,$DE$6:$DF$17,2)+1))*(VLOOKUP($A65,SatSunCurve,4))*(INDEX(DailyScalarsTable,BC$5/100,MONTH($A65)))*$C65</f>
        <v>-8680.9417223254313</v>
      </c>
      <c r="BD65" s="1021">
        <f>(VLOOKUP(YEAR($A65),'NY East Load Projections'!$A$4:$EO$14,((MONTH($A65)-1)*12)+VLOOKUP(BD$4,$DE$6:$DF$17,2)+1))*(VLOOKUP($A65,CURVES!$D$9:$T$261,8))*(INDEX(DailyScalarsTable,BD$5/100,MONTH($A65)))*$C65</f>
        <v>-10492.985261842758</v>
      </c>
      <c r="BE65" s="1021"/>
      <c r="BF65" s="1021">
        <f>(VLOOKUP(YEAR($A65),'NY East Load Projections'!$A$4:$EO$14,((MONTH($A65)-1)*12)+VLOOKUP(BF$4,$DE$6:$DF$17,2)+1))*(VLOOKUP($A65,CURVES!$D$9:$T$261,8))*(INDEX(DailyScalarsTable,BF$5/100,MONTH($A65)))*$D65</f>
        <v>-7277.7668220956875</v>
      </c>
      <c r="BG65" s="1021">
        <f>(VLOOKUP(YEAR($A65),'NY East Load Projections'!$A$4:$EO$14,((MONTH($A65)-1)*12)+VLOOKUP(BG$4,$DE$6:$DF$17,2)+1))*(VLOOKUP($A65,CURVES!$D$9:$T$261,8))*(INDEX(DailyScalarsTable,BG$5/100,MONTH($A65)))*$D65</f>
        <v>-6899.5891593660244</v>
      </c>
      <c r="BH65" s="1021">
        <f>(VLOOKUP(YEAR($A65),'NY East Load Projections'!$A$4:$EO$14,((MONTH($A65)-1)*12)+VLOOKUP(BH$4,$DE$6:$DF$17,2)+1))*(VLOOKUP($A65,CURVES!$D$9:$T$261,8))*(INDEX(DailyScalarsTable,BH$5/100,MONTH($A65)))*$D65</f>
        <v>-6621.6324921423593</v>
      </c>
      <c r="BI65" s="1021">
        <f>(VLOOKUP(YEAR($A65),'NY East Load Projections'!$A$4:$EO$14,((MONTH($A65)-1)*12)+VLOOKUP(BI$4,$DE$6:$DF$17,2)+1))*(VLOOKUP($A65,CURVES!$D$9:$T$261,8))*(INDEX(DailyScalarsTable,BI$5/100,MONTH($A65)))*$D65</f>
        <v>-6625.5473747793121</v>
      </c>
      <c r="BJ65" s="1021">
        <f>(VLOOKUP(YEAR($A65),'NY East Load Projections'!$A$4:$EO$14,((MONTH($A65)-1)*12)+VLOOKUP(BJ$4,$DE$6:$DF$17,2)+1))*(VLOOKUP($A65,CURVES!$D$9:$T$261,8))*(INDEX(DailyScalarsTable,BJ$5/100,MONTH($A65)))*$D65</f>
        <v>-7253.8790817690533</v>
      </c>
      <c r="BK65" s="1021">
        <f>(VLOOKUP(YEAR($A65),'NY East Load Projections'!$A$4:$EO$14,((MONTH($A65)-1)*12)+VLOOKUP(BK$4,$DE$6:$DF$17,2)+1))*(VLOOKUP($A65,CURVES!$D$9:$T$261,8))*(INDEX(DailyScalarsTable,BK$5/100,MONTH($A65)))*$D65</f>
        <v>-8357.3649343624929</v>
      </c>
      <c r="BL65" s="1021">
        <f>(VLOOKUP(YEAR($A65),'NY East Load Projections'!$A$4:$EO$14,((MONTH($A65)-1)*12)+VLOOKUP(BL$4,$DE$6:$DF$17,2)+1))*(VLOOKUP($A65,CURVES!$D$9:$T$261,8))*(INDEX(DailyScalarsTable,BL$5/100,MONTH($A65)))*$D65</f>
        <v>-11971.101054965808</v>
      </c>
      <c r="BM65" s="1021">
        <f>(VLOOKUP(YEAR($A65),'NY East Load Projections'!$A$4:$EO$14,((MONTH($A65)-1)*12)+VLOOKUP(BM$4,$DE$6:$DF$17,2)+1))*(VLOOKUP($A65,SatSunCurve,8))*(INDEX(DailyScalarsTable,BM$5/100,MONTH($A65)))*$D65</f>
        <v>-10394.077926736327</v>
      </c>
      <c r="BN65" s="1021">
        <f>(VLOOKUP(YEAR($A65),'NY East Load Projections'!$A$4:$EO$14,((MONTH($A65)-1)*12)+VLOOKUP(BN$4,$DE$6:$DF$17,2)+1))*(VLOOKUP($A65,SatSunCurve,8))*(INDEX(DailyScalarsTable,BN$5/100,MONTH($A65)))*$D65</f>
        <v>-11841.242360077584</v>
      </c>
      <c r="BO65" s="1021">
        <f>(VLOOKUP(YEAR($A65),'NY East Load Projections'!$A$4:$EO$14,((MONTH($A65)-1)*12)+VLOOKUP(BO$4,$DE$6:$DF$17,2)+1))*(VLOOKUP($A65,SatSunCurve,8))*(INDEX(DailyScalarsTable,BO$5/100,MONTH($A65)))*$D65</f>
        <v>-11781.212002692761</v>
      </c>
      <c r="BP65" s="1021">
        <f>(VLOOKUP(YEAR($A65),'NY East Load Projections'!$A$4:$EO$14,((MONTH($A65)-1)*12)+VLOOKUP(BP$4,$DE$6:$DF$17,2)+1))*(VLOOKUP($A65,SatSunCurve,8))*(INDEX(DailyScalarsTable,BP$5/100,MONTH($A65)))*$D65</f>
        <v>-11524.81115420165</v>
      </c>
      <c r="BQ65" s="1021">
        <f>(VLOOKUP(YEAR($A65),'NY East Load Projections'!$A$4:$EO$14,((MONTH($A65)-1)*12)+VLOOKUP(BQ$4,$DE$6:$DF$17,2)+1))*(VLOOKUP($A65,SatSunCurve,8))*(INDEX(DailyScalarsTable,BQ$5/100,MONTH($A65)))*$D65</f>
        <v>-9364.7357520324877</v>
      </c>
      <c r="BR65" s="1021">
        <f>(VLOOKUP(YEAR($A65),'NY East Load Projections'!$A$4:$EO$14,((MONTH($A65)-1)*12)+VLOOKUP(BR$4,$DE$6:$DF$17,2)+1))*(VLOOKUP($A65,SatSunCurve,8))*(INDEX(DailyScalarsTable,BR$5/100,MONTH($A65)))*$D65</f>
        <v>-8998.2972006497293</v>
      </c>
      <c r="BS65" s="1021">
        <f>(VLOOKUP(YEAR($A65),'NY East Load Projections'!$A$4:$EO$14,((MONTH($A65)-1)*12)+VLOOKUP(BS$4,$DE$6:$DF$17,2)+1))*(VLOOKUP($A65,SatSunCurve,8))*(INDEX(DailyScalarsTable,BS$5/100,MONTH($A65)))*$D65</f>
        <v>-8610.5548249902313</v>
      </c>
      <c r="BT65" s="1021">
        <f>(VLOOKUP(YEAR($A65),'NY East Load Projections'!$A$4:$EO$14,((MONTH($A65)-1)*12)+VLOOKUP(BT$4,$DE$6:$DF$17,2)+1))*(VLOOKUP($A65,SatSunCurve,8))*(INDEX(DailyScalarsTable,BT$5/100,MONTH($A65)))*$D65</f>
        <v>-8177.5586972643732</v>
      </c>
      <c r="BU65" s="1021">
        <f>(VLOOKUP(YEAR($A65),'NY East Load Projections'!$A$4:$EO$14,((MONTH($A65)-1)*12)+VLOOKUP(BU$4,$DE$6:$DF$17,2)+1))*(VLOOKUP($A65,SatSunCurve,8))*(INDEX(DailyScalarsTable,BU$5/100,MONTH($A65)))*$D65</f>
        <v>-8035.6264748744243</v>
      </c>
      <c r="BV65" s="1021">
        <f>(VLOOKUP(YEAR($A65),'NY East Load Projections'!$A$4:$EO$14,((MONTH($A65)-1)*12)+VLOOKUP(BV$4,$DE$6:$DF$17,2)+1))*(VLOOKUP($A65,SatSunCurve,8))*(INDEX(DailyScalarsTable,BV$5/100,MONTH($A65)))*$D65</f>
        <v>-8688.6558234990662</v>
      </c>
      <c r="BW65" s="1021">
        <f>(VLOOKUP(YEAR($A65),'NY East Load Projections'!$A$4:$EO$14,((MONTH($A65)-1)*12)+VLOOKUP(BW$4,$DE$6:$DF$17,2)+1))*(VLOOKUP($A65,SatSunCurve,8))*(INDEX(DailyScalarsTable,BW$5/100,MONTH($A65)))*$D65</f>
        <v>-12245.307624538713</v>
      </c>
      <c r="BX65" s="1021">
        <f>(VLOOKUP(YEAR($A65),'NY East Load Projections'!$A$4:$EO$14,((MONTH($A65)-1)*12)+VLOOKUP(BX$4,$DE$6:$DF$17,2)+1))*(VLOOKUP($A65,SatSunCurve,8))*(INDEX(DailyScalarsTable,BX$5/100,MONTH($A65)))*$D65</f>
        <v>-12163.723034398305</v>
      </c>
      <c r="BY65" s="1021">
        <f>(VLOOKUP(YEAR($A65),'NY East Load Projections'!$A$4:$EO$14,((MONTH($A65)-1)*12)+VLOOKUP(BY$4,$DE$6:$DF$17,2)+1))*(VLOOKUP($A65,SatSunCurve,8))*(INDEX(DailyScalarsTable,BY$5/100,MONTH($A65)))*$D65</f>
        <v>-11744.860957657944</v>
      </c>
      <c r="BZ65" s="1021">
        <f>(VLOOKUP(YEAR($A65),'NY East Load Projections'!$A$4:$EO$14,((MONTH($A65)-1)*12)+VLOOKUP(BZ$4,$DE$6:$DF$17,2)+1))*(VLOOKUP($A65,SatSunCurve,8))*(INDEX(DailyScalarsTable,BZ$5/100,MONTH($A65)))*$D65</f>
        <v>-11024.245330998507</v>
      </c>
      <c r="CA65" s="1021">
        <f>(VLOOKUP(YEAR($A65),'NY East Load Projections'!$A$4:$EO$14,((MONTH($A65)-1)*12)+VLOOKUP(CA$4,$DE$6:$DF$17,2)+1))*(VLOOKUP($A65,SatSunCurve,8))*(INDEX(DailyScalarsTable,CA$5/100,MONTH($A65)))*$D65</f>
        <v>-8127.0296625142373</v>
      </c>
      <c r="CB65" s="1021">
        <f>(VLOOKUP(YEAR($A65),'NY East Load Projections'!$A$4:$EO$14,((MONTH($A65)-1)*12)+VLOOKUP(CB$4,$DE$6:$DF$17,2)+1))*(VLOOKUP($A65,SatSunCurve,8))*(INDEX(DailyScalarsTable,CB$5/100,MONTH($A65)))*$D65</f>
        <v>-6704.9187761788035</v>
      </c>
      <c r="CC65" s="1021">
        <f>(VLOOKUP(YEAR($A65),'NY East Load Projections'!$A$4:$EO$14,((MONTH($A65)-1)*12)+VLOOKUP(CC$4,$DE$6:$DF$17,2)+1))*(VLOOKUP($A65,CURVES!$D$9:$T$261,8))*(INDEX(DailyScalarsTable,CC$5/100,MONTH($A65)))*$D65</f>
        <v>-8394.3882094742057</v>
      </c>
      <c r="CE65" s="1021">
        <f>(VLOOKUP(YEAR($A65),'NY East Load Projections'!$A$4:$EO$14,((MONTH($A65)-1)*12)+VLOOKUP(CE$4,$DE$6:$DF$17,2)+1))*(VLOOKUP($A65,CURVES!$D$9:$T$261,8))*(INDEX(DailyScalarsTable,CE$5/100,MONTH($A65)))*$E65</f>
        <v>-1819.4417055239219</v>
      </c>
      <c r="CF65" s="1021">
        <f>(VLOOKUP(YEAR($A65),'NY East Load Projections'!$A$4:$EO$14,((MONTH($A65)-1)*12)+VLOOKUP(CF$4,$DE$6:$DF$17,2)+1))*(VLOOKUP($A65,CURVES!$D$9:$T$261,8))*(INDEX(DailyScalarsTable,CF$5/100,MONTH($A65)))*$E65</f>
        <v>-1724.8972898415061</v>
      </c>
      <c r="CG65" s="1021">
        <f>(VLOOKUP(YEAR($A65),'NY East Load Projections'!$A$4:$EO$14,((MONTH($A65)-1)*12)+VLOOKUP(CG$4,$DE$6:$DF$17,2)+1))*(VLOOKUP($A65,CURVES!$D$9:$T$261,8))*(INDEX(DailyScalarsTable,CG$5/100,MONTH($A65)))*$E65</f>
        <v>-1655.4081230355898</v>
      </c>
      <c r="CH65" s="1021">
        <f>(VLOOKUP(YEAR($A65),'NY East Load Projections'!$A$4:$EO$14,((MONTH($A65)-1)*12)+VLOOKUP(CH$4,$DE$6:$DF$17,2)+1))*(VLOOKUP($A65,CURVES!$D$9:$T$261,8))*(INDEX(DailyScalarsTable,CH$5/100,MONTH($A65)))*$E65</f>
        <v>-1656.386843694828</v>
      </c>
      <c r="CI65" s="1021">
        <f>(VLOOKUP(YEAR($A65),'NY East Load Projections'!$A$4:$EO$14,((MONTH($A65)-1)*12)+VLOOKUP(CI$4,$DE$6:$DF$17,2)+1))*(VLOOKUP($A65,CURVES!$D$9:$T$261,8))*(INDEX(DailyScalarsTable,CI$5/100,MONTH($A65)))*$E65</f>
        <v>-1813.4697704422633</v>
      </c>
      <c r="CJ65" s="1021">
        <f>(VLOOKUP(YEAR($A65),'NY East Load Projections'!$A$4:$EO$14,((MONTH($A65)-1)*12)+VLOOKUP(CJ$4,$DE$6:$DF$17,2)+1))*(VLOOKUP($A65,CURVES!$D$9:$T$261,8))*(INDEX(DailyScalarsTable,CJ$5/100,MONTH($A65)))*$E65</f>
        <v>-2089.3412335906232</v>
      </c>
      <c r="CK65" s="1021">
        <f>(VLOOKUP(YEAR($A65),'NY East Load Projections'!$A$4:$EO$14,((MONTH($A65)-1)*12)+VLOOKUP(CK$4,$DE$6:$DF$17,2)+1))*(VLOOKUP($A65,CURVES!$D$9:$T$261,8))*(INDEX(DailyScalarsTable,CK$5/100,MONTH($A65)))*$E65</f>
        <v>-2992.7752637414519</v>
      </c>
      <c r="CL65" s="1021">
        <f>(VLOOKUP(YEAR($A65),'NY East Load Projections'!$A$4:$EO$14,((MONTH($A65)-1)*12)+VLOOKUP(CL$4,$DE$6:$DF$17,2)+1))*(VLOOKUP($A65,SatSunCurve,8))*(INDEX(DailyScalarsTable,CL$5/100,MONTH($A65)))*$E65</f>
        <v>-2598.5194816840817</v>
      </c>
      <c r="CM65" s="1021">
        <f>(VLOOKUP(YEAR($A65),'NY East Load Projections'!$A$4:$EO$14,((MONTH($A65)-1)*12)+VLOOKUP(CM$4,$DE$6:$DF$17,2)+1))*(VLOOKUP($A65,SatSunCurve,8))*(INDEX(DailyScalarsTable,CM$5/100,MONTH($A65)))*$E65</f>
        <v>-2960.3105900193959</v>
      </c>
      <c r="CN65" s="1021">
        <f>(VLOOKUP(YEAR($A65),'NY East Load Projections'!$A$4:$EO$14,((MONTH($A65)-1)*12)+VLOOKUP(CN$4,$DE$6:$DF$17,2)+1))*(VLOOKUP($A65,SatSunCurve,8))*(INDEX(DailyScalarsTable,CN$5/100,MONTH($A65)))*$E65</f>
        <v>-2945.3030006731901</v>
      </c>
      <c r="CO65" s="1021">
        <f>(VLOOKUP(YEAR($A65),'NY East Load Projections'!$A$4:$EO$14,((MONTH($A65)-1)*12)+VLOOKUP(CO$4,$DE$6:$DF$17,2)+1))*(VLOOKUP($A65,SatSunCurve,8))*(INDEX(DailyScalarsTable,CO$5/100,MONTH($A65)))*$E65</f>
        <v>-2881.2027885504126</v>
      </c>
      <c r="CP65" s="1021">
        <f>(VLOOKUP(YEAR($A65),'NY East Load Projections'!$A$4:$EO$14,((MONTH($A65)-1)*12)+VLOOKUP(CP$4,$DE$6:$DF$17,2)+1))*(VLOOKUP($A65,SatSunCurve,8))*(INDEX(DailyScalarsTable,CP$5/100,MONTH($A65)))*$E65</f>
        <v>-2341.1839380081219</v>
      </c>
      <c r="CQ65" s="1021">
        <f>(VLOOKUP(YEAR($A65),'NY East Load Projections'!$A$4:$EO$14,((MONTH($A65)-1)*12)+VLOOKUP(CQ$4,$DE$6:$DF$17,2)+1))*(VLOOKUP($A65,SatSunCurve,8))*(INDEX(DailyScalarsTable,CQ$5/100,MONTH($A65)))*$E65</f>
        <v>-2249.5743001624323</v>
      </c>
      <c r="CR65" s="1021">
        <f>(VLOOKUP(YEAR($A65),'NY East Load Projections'!$A$4:$EO$14,((MONTH($A65)-1)*12)+VLOOKUP(CR$4,$DE$6:$DF$17,2)+1))*(VLOOKUP($A65,SatSunCurve,8))*(INDEX(DailyScalarsTable,CR$5/100,MONTH($A65)))*$E65</f>
        <v>-2152.6387062475578</v>
      </c>
      <c r="CS65" s="1021">
        <f>(VLOOKUP(YEAR($A65),'NY East Load Projections'!$A$4:$EO$14,((MONTH($A65)-1)*12)+VLOOKUP(CS$4,$DE$6:$DF$17,2)+1))*(VLOOKUP($A65,SatSunCurve,8))*(INDEX(DailyScalarsTable,CS$5/100,MONTH($A65)))*$E65</f>
        <v>-2044.3896743160933</v>
      </c>
      <c r="CT65" s="1021">
        <f>(VLOOKUP(YEAR($A65),'NY East Load Projections'!$A$4:$EO$14,((MONTH($A65)-1)*12)+VLOOKUP(CT$4,$DE$6:$DF$17,2)+1))*(VLOOKUP($A65,SatSunCurve,8))*(INDEX(DailyScalarsTable,CT$5/100,MONTH($A65)))*$E65</f>
        <v>-2008.9066187186061</v>
      </c>
      <c r="CU65" s="1021">
        <f>(VLOOKUP(YEAR($A65),'NY East Load Projections'!$A$4:$EO$14,((MONTH($A65)-1)*12)+VLOOKUP(CU$4,$DE$6:$DF$17,2)+1))*(VLOOKUP($A65,SatSunCurve,8))*(INDEX(DailyScalarsTable,CU$5/100,MONTH($A65)))*$E65</f>
        <v>-2172.1639558747665</v>
      </c>
      <c r="CV65" s="1021">
        <f>(VLOOKUP(YEAR($A65),'NY East Load Projections'!$A$4:$EO$14,((MONTH($A65)-1)*12)+VLOOKUP(CV$4,$DE$6:$DF$17,2)+1))*(VLOOKUP($A65,SatSunCurve,8))*(INDEX(DailyScalarsTable,CV$5/100,MONTH($A65)))*$E65</f>
        <v>-3061.3269061346782</v>
      </c>
      <c r="CW65" s="1021">
        <f>(VLOOKUP(YEAR($A65),'NY East Load Projections'!$A$4:$EO$14,((MONTH($A65)-1)*12)+VLOOKUP(CW$4,$DE$6:$DF$17,2)+1))*(VLOOKUP($A65,SatSunCurve,8))*(INDEX(DailyScalarsTable,CW$5/100,MONTH($A65)))*$E65</f>
        <v>-3040.9307585995762</v>
      </c>
      <c r="CX65" s="1021">
        <f>(VLOOKUP(YEAR($A65),'NY East Load Projections'!$A$4:$EO$14,((MONTH($A65)-1)*12)+VLOOKUP(CX$4,$DE$6:$DF$17,2)+1))*(VLOOKUP($A65,SatSunCurve,8))*(INDEX(DailyScalarsTable,CX$5/100,MONTH($A65)))*$E65</f>
        <v>-2936.2152394144859</v>
      </c>
      <c r="CY65" s="1021">
        <f>(VLOOKUP(YEAR($A65),'NY East Load Projections'!$A$4:$EO$14,((MONTH($A65)-1)*12)+VLOOKUP(CY$4,$DE$6:$DF$17,2)+1))*(VLOOKUP($A65,SatSunCurve,8))*(INDEX(DailyScalarsTable,CY$5/100,MONTH($A65)))*$E65</f>
        <v>-2756.0613327496267</v>
      </c>
      <c r="CZ65" s="1021">
        <f>(VLOOKUP(YEAR($A65),'NY East Load Projections'!$A$4:$EO$14,((MONTH($A65)-1)*12)+VLOOKUP(CZ$4,$DE$6:$DF$17,2)+1))*(VLOOKUP($A65,SatSunCurve,8))*(INDEX(DailyScalarsTable,CZ$5/100,MONTH($A65)))*$E65</f>
        <v>-2031.7574156285593</v>
      </c>
      <c r="DA65" s="1021">
        <f>(VLOOKUP(YEAR($A65),'NY East Load Projections'!$A$4:$EO$14,((MONTH($A65)-1)*12)+VLOOKUP(DA$4,$DE$6:$DF$17,2)+1))*(VLOOKUP($A65,SatSunCurve,8))*(INDEX(DailyScalarsTable,DA$5/100,MONTH($A65)))*$E65</f>
        <v>-1676.2296940447009</v>
      </c>
      <c r="DB65" s="1021">
        <f>(VLOOKUP(YEAR($A65),'NY East Load Projections'!$A$4:$EO$14,((MONTH($A65)-1)*12)+VLOOKUP(DB$4,$DE$6:$DF$17,2)+1))*(VLOOKUP($A65,CURVES!$D$9:$T$261,8))*(INDEX(DailyScalarsTable,DB$5/100,MONTH($A65)))*$E65</f>
        <v>-2098.5970523685514</v>
      </c>
      <c r="DH65" s="1021">
        <f t="shared" si="0"/>
        <v>-2002031.9223537475</v>
      </c>
      <c r="DI65">
        <f ca="1">CALC!J85</f>
        <v>0.65459584130256854</v>
      </c>
      <c r="DJ65" s="1029">
        <f t="shared" ca="1" si="1"/>
        <v>-1310521.77052775</v>
      </c>
    </row>
    <row r="66" spans="1:114" x14ac:dyDescent="0.25">
      <c r="A66" s="244">
        <v>38718</v>
      </c>
      <c r="B66" s="13">
        <v>21</v>
      </c>
      <c r="C66" s="210">
        <v>4</v>
      </c>
      <c r="D66" s="210">
        <v>5</v>
      </c>
      <c r="E66" s="210">
        <v>1</v>
      </c>
      <c r="F66" s="13">
        <v>31</v>
      </c>
      <c r="H66" s="1021">
        <f>(VLOOKUP(YEAR($A66),'NY East Load Projections'!$A$4:$EO$14,((MONTH($A66)-1)*12)+VLOOKUP(H$4,$DE$6:$DF$17,2)+1))*(VLOOKUP($A66,CURVES!$D$9:$K$261,8))*(INDEX(DailyScalarsTable,H$5/100,MONTH($A66)))*$B66</f>
        <v>-34585.338340863003</v>
      </c>
      <c r="I66" s="1021">
        <f>(VLOOKUP(YEAR($A66),'NY East Load Projections'!$A$4:$EO$14,((MONTH($A66)-1)*12)+VLOOKUP(I$4,$DE$6:$DF$17,2)+1))*(VLOOKUP($A66,CURVES!$D$9:$K$261,8))*(INDEX(DailyScalarsTable,I$5/100,MONTH($A66)))*$B66</f>
        <v>-33911.519594642326</v>
      </c>
      <c r="J66" s="1021">
        <f>(VLOOKUP(YEAR($A66),'NY East Load Projections'!$A$4:$EO$14,((MONTH($A66)-1)*12)+VLOOKUP(J$4,$DE$6:$DF$17,2)+1))*(VLOOKUP($A66,CURVES!$D$9:$K$261,8))*(INDEX(DailyScalarsTable,J$5/100,MONTH($A66)))*$B66</f>
        <v>-31074.840397601954</v>
      </c>
      <c r="K66" s="1021">
        <f>(VLOOKUP(YEAR($A66),'NY East Load Projections'!$A$4:$EO$14,((MONTH($A66)-1)*12)+VLOOKUP(K$4,$DE$6:$DF$17,2)+1))*(VLOOKUP($A66,CURVES!$D$9:$K$261,8))*(INDEX(DailyScalarsTable,K$5/100,MONTH($A66)))*$B66</f>
        <v>-31056.052067384069</v>
      </c>
      <c r="L66" s="1021">
        <f>(VLOOKUP(YEAR($A66),'NY East Load Projections'!$A$4:$EO$14,((MONTH($A66)-1)*12)+VLOOKUP(L$4,$DE$6:$DF$17,2)+1))*(VLOOKUP($A66,CURVES!$D$9:$K$261,8))*(INDEX(DailyScalarsTable,L$5/100,MONTH($A66)))*$B66</f>
        <v>-35692.819733776909</v>
      </c>
      <c r="M66" s="1021">
        <f>(VLOOKUP(YEAR($A66),'NY East Load Projections'!$A$4:$EO$14,((MONTH($A66)-1)*12)+VLOOKUP(M$4,$DE$6:$DF$17,2)+1))*(VLOOKUP($A66,CURVES!$D$9:$K$261,8))*(INDEX(DailyScalarsTable,M$5/100,MONTH($A66)))*$B66</f>
        <v>-38092.018130530487</v>
      </c>
      <c r="N66" s="1021">
        <f>(VLOOKUP(YEAR($A66),'NY East Load Projections'!$A$4:$EO$14,((MONTH($A66)-1)*12)+VLOOKUP(N$4,$DE$6:$DF$17,2)+1))*(VLOOKUP($A66,CURVES!$D$9:$K$261,8))*(INDEX(DailyScalarsTable,N$5/100,MONTH($A66)))*$B66</f>
        <v>-72945.750903052627</v>
      </c>
      <c r="O66" s="1021">
        <f>(VLOOKUP(YEAR($A66),'NY East Load Projections'!$A$4:$EO$14,((MONTH($A66)-1)*12)+VLOOKUP(O$4,$DE$6:$DF$17,2)+1))*(VLOOKUP($A66,CURVES!$D$9:$K$261,4))*(INDEX(DailyScalarsTable,O$5/100,MONTH($A66)))*$B66</f>
        <v>-85923.551985646453</v>
      </c>
      <c r="P66" s="1021">
        <f>(VLOOKUP(YEAR($A66),'NY East Load Projections'!$A$4:$EO$14,((MONTH($A66)-1)*12)+VLOOKUP(P$4,$DE$6:$DF$17,2)+1))*(VLOOKUP($A66,CURVES!$D$9:$K$261,4))*(INDEX(DailyScalarsTable,P$5/100,MONTH($A66)))*$B66</f>
        <v>-98360.988827319859</v>
      </c>
      <c r="Q66" s="1021">
        <f>(VLOOKUP(YEAR($A66),'NY East Load Projections'!$A$4:$EO$14,((MONTH($A66)-1)*12)+VLOOKUP(Q$4,$DE$6:$DF$17,2)+1))*(VLOOKUP($A66,CURVES!$D$9:$K$261,4))*(INDEX(DailyScalarsTable,Q$5/100,MONTH($A66)))*$B66</f>
        <v>-98061.617486114934</v>
      </c>
      <c r="R66" s="1021">
        <f>(VLOOKUP(YEAR($A66),'NY East Load Projections'!$A$4:$EO$14,((MONTH($A66)-1)*12)+VLOOKUP(R$4,$DE$6:$DF$17,2)+1))*(VLOOKUP($A66,CURVES!$D$9:$K$261,4))*(INDEX(DailyScalarsTable,R$5/100,MONTH($A66)))*$B66</f>
        <v>-96350.313642832421</v>
      </c>
      <c r="S66" s="1021">
        <f>(VLOOKUP(YEAR($A66),'NY East Load Projections'!$A$4:$EO$14,((MONTH($A66)-1)*12)+VLOOKUP(S$4,$DE$6:$DF$17,2)+1))*(VLOOKUP($A66,CURVES!$D$9:$K$261,4))*(INDEX(DailyScalarsTable,S$5/100,MONTH($A66)))*$B66</f>
        <v>-72175.500936561395</v>
      </c>
      <c r="T66" s="1021">
        <f>(VLOOKUP(YEAR($A66),'NY East Load Projections'!$A$4:$EO$14,((MONTH($A66)-1)*12)+VLOOKUP(T$4,$DE$6:$DF$17,2)+1))*(VLOOKUP($A66,CURVES!$D$9:$K$261,4))*(INDEX(DailyScalarsTable,T$5/100,MONTH($A66)))*$B66</f>
        <v>-71229.77446242627</v>
      </c>
      <c r="U66" s="1021">
        <f>(VLOOKUP(YEAR($A66),'NY East Load Projections'!$A$4:$EO$14,((MONTH($A66)-1)*12)+VLOOKUP(U$4,$DE$6:$DF$17,2)+1))*(VLOOKUP($A66,CURVES!$D$9:$K$261,4))*(INDEX(DailyScalarsTable,U$5/100,MONTH($A66)))*$B66</f>
        <v>-68929.889372156074</v>
      </c>
      <c r="V66" s="1021">
        <f>(VLOOKUP(YEAR($A66),'NY East Load Projections'!$A$4:$EO$14,((MONTH($A66)-1)*12)+VLOOKUP(V$4,$DE$6:$DF$17,2)+1))*(VLOOKUP($A66,CURVES!$D$9:$K$261,4))*(INDEX(DailyScalarsTable,V$5/100,MONTH($A66)))*$B66</f>
        <v>-65421.731317794642</v>
      </c>
      <c r="W66" s="1021">
        <f>(VLOOKUP(YEAR($A66),'NY East Load Projections'!$A$4:$EO$14,((MONTH($A66)-1)*12)+VLOOKUP(W$4,$DE$6:$DF$17,2)+1))*(VLOOKUP($A66,CURVES!$D$9:$K$261,4))*(INDEX(DailyScalarsTable,W$5/100,MONTH($A66)))*$B66</f>
        <v>-64105.130432784892</v>
      </c>
      <c r="X66" s="1021">
        <f>(VLOOKUP(YEAR($A66),'NY East Load Projections'!$A$4:$EO$14,((MONTH($A66)-1)*12)+VLOOKUP(X$4,$DE$6:$DF$17,2)+1))*(VLOOKUP($A66,CURVES!$D$9:$K$261,4))*(INDEX(DailyScalarsTable,X$5/100,MONTH($A66)))*$B66</f>
        <v>-65808.798738981131</v>
      </c>
      <c r="Y66" s="1021">
        <f>(VLOOKUP(YEAR($A66),'NY East Load Projections'!$A$4:$EO$14,((MONTH($A66)-1)*12)+VLOOKUP(Y$4,$DE$6:$DF$17,2)+1))*(VLOOKUP($A66,CURVES!$D$9:$K$261,4))*(INDEX(DailyScalarsTable,Y$5/100,MONTH($A66)))*$B66</f>
        <v>-91570.084423573164</v>
      </c>
      <c r="Z66" s="1021">
        <f>(VLOOKUP(YEAR($A66),'NY East Load Projections'!$A$4:$EO$14,((MONTH($A66)-1)*12)+VLOOKUP(Z$4,$DE$6:$DF$17,2)+1))*(VLOOKUP($A66,CURVES!$D$9:$K$261,4))*(INDEX(DailyScalarsTable,Z$5/100,MONTH($A66)))*$B66</f>
        <v>-100476.71315054629</v>
      </c>
      <c r="AA66" s="1021">
        <f>(VLOOKUP(YEAR($A66),'NY East Load Projections'!$A$4:$EO$14,((MONTH($A66)-1)*12)+VLOOKUP(AA$4,$DE$6:$DF$17,2)+1))*(VLOOKUP($A66,CURVES!$D$9:$K$261,4))*(INDEX(DailyScalarsTable,AA$5/100,MONTH($A66)))*$B66</f>
        <v>-96173.649419640147</v>
      </c>
      <c r="AB66" s="1021">
        <f>(VLOOKUP(YEAR($A66),'NY East Load Projections'!$A$4:$EO$14,((MONTH($A66)-1)*12)+VLOOKUP(AB$4,$DE$6:$DF$17,2)+1))*(VLOOKUP($A66,CURVES!$D$9:$K$261,4))*(INDEX(DailyScalarsTable,AB$5/100,MONTH($A66)))*$B66</f>
        <v>-81291.271733110611</v>
      </c>
      <c r="AC66" s="1021">
        <f>(VLOOKUP(YEAR($A66),'NY East Load Projections'!$A$4:$EO$14,((MONTH($A66)-1)*12)+VLOOKUP(AC$4,$DE$6:$DF$17,2)+1))*(VLOOKUP($A66,CURVES!$D$9:$K$261,4))*(INDEX(DailyScalarsTable,AC$5/100,MONTH($A66)))*$B66</f>
        <v>-57816.235240945309</v>
      </c>
      <c r="AD66" s="1021">
        <f>(VLOOKUP(YEAR($A66),'NY East Load Projections'!$A$4:$EO$14,((MONTH($A66)-1)*12)+VLOOKUP(AD$4,$DE$6:$DF$17,2)+1))*(VLOOKUP($A66,CURVES!$D$9:$K$261,4))*(INDEX(DailyScalarsTable,AD$5/100,MONTH($A66)))*$B66</f>
        <v>-47329.784783366675</v>
      </c>
      <c r="AE66" s="1021">
        <f>(VLOOKUP(YEAR($A66),'NY East Load Projections'!$A$4:$EO$14,((MONTH($A66)-1)*12)+VLOOKUP(AE$4,$DE$6:$DF$17,2)+1))*(VLOOKUP($A66,CURVES!$D$9:$K$261,8))*(INDEX(DailyScalarsTable,AE$5/100,MONTH($A66)))*$B66</f>
        <v>-41356.251657735978</v>
      </c>
      <c r="AF66" s="1021"/>
      <c r="AG66" s="1021">
        <f>(VLOOKUP(YEAR($A66),'NY East Load Projections'!$A$4:$EO$14,((MONTH($A66)-1)*12)+VLOOKUP(AG$4,$DE$6:$DF$17,2)+1))*(VLOOKUP($A66,CURVES!$D$9:$T$261,8))*(INDEX(DailyScalarsTable,AG$5/100,MONTH($A66)))*$C66</f>
        <v>-6908.3319691022198</v>
      </c>
      <c r="AH66" s="1021">
        <f>(VLOOKUP(YEAR($A66),'NY East Load Projections'!$A$4:$EO$14,((MONTH($A66)-1)*12)+VLOOKUP(AH$4,$DE$6:$DF$17,2)+1))*(VLOOKUP($A66,CURVES!$D$9:$T$261,8))*(INDEX(DailyScalarsTable,AH$5/100,MONTH($A66)))*$C66</f>
        <v>-6773.7384156137814</v>
      </c>
      <c r="AI66" s="1021">
        <f>(VLOOKUP(YEAR($A66),'NY East Load Projections'!$A$4:$EO$14,((MONTH($A66)-1)*12)+VLOOKUP(AI$4,$DE$6:$DF$17,2)+1))*(VLOOKUP($A66,CURVES!$D$9:$T$261,8))*(INDEX(DailyScalarsTable,AI$5/100,MONTH($A66)))*$C66</f>
        <v>-6207.1190756535452</v>
      </c>
      <c r="AJ66" s="1021">
        <f>(VLOOKUP(YEAR($A66),'NY East Load Projections'!$A$4:$EO$14,((MONTH($A66)-1)*12)+VLOOKUP(AJ$4,$DE$6:$DF$17,2)+1))*(VLOOKUP($A66,CURVES!$D$9:$T$261,8))*(INDEX(DailyScalarsTable,AJ$5/100,MONTH($A66)))*$C66</f>
        <v>-6203.3661552393796</v>
      </c>
      <c r="AK66" s="1021">
        <f>(VLOOKUP(YEAR($A66),'NY East Load Projections'!$A$4:$EO$14,((MONTH($A66)-1)*12)+VLOOKUP(AK$4,$DE$6:$DF$17,2)+1))*(VLOOKUP($A66,CURVES!$D$9:$T$261,8))*(INDEX(DailyScalarsTable,AK$5/100,MONTH($A66)))*$C66</f>
        <v>-6520.8763111274893</v>
      </c>
      <c r="AL66" s="1021">
        <f>(VLOOKUP(YEAR($A66),'NY East Load Projections'!$A$4:$EO$14,((MONTH($A66)-1)*12)+VLOOKUP(AL$4,$DE$6:$DF$17,2)+1))*(VLOOKUP($A66,CURVES!$D$9:$T$261,8))*(INDEX(DailyScalarsTable,AL$5/100,MONTH($A66)))*$C66</f>
        <v>-6959.1962899853206</v>
      </c>
      <c r="AM66" s="1021">
        <f>(VLOOKUP(YEAR($A66),'NY East Load Projections'!$A$4:$EO$14,((MONTH($A66)-1)*12)+VLOOKUP(AM$4,$DE$6:$DF$17,2)+1))*(VLOOKUP($A66,CURVES!$D$9:$T$261,8))*(INDEX(DailyScalarsTable,AM$5/100,MONTH($A66)))*$C66</f>
        <v>-13326.776158594868</v>
      </c>
      <c r="AN66" s="1021">
        <f>(VLOOKUP(YEAR($A66),'NY East Load Projections'!$A$4:$EO$14,((MONTH($A66)-1)*12)+VLOOKUP(AN$4,$DE$6:$DF$17,2)+1))*(VLOOKUP($A66,SatSunCurve,4))*(INDEX(DailyScalarsTable,AN$5/100,MONTH($A66)))*$C66</f>
        <v>-12439.791840963324</v>
      </c>
      <c r="AO66" s="1021">
        <f>(VLOOKUP(YEAR($A66),'NY East Load Projections'!$A$4:$EO$14,((MONTH($A66)-1)*12)+VLOOKUP(AO$4,$DE$6:$DF$17,2)+1))*(VLOOKUP($A66,SatSunCurve,4))*(INDEX(DailyScalarsTable,AO$5/100,MONTH($A66)))*$C66</f>
        <v>-14021.022001449712</v>
      </c>
      <c r="AP66" s="1021">
        <f>(VLOOKUP(YEAR($A66),'NY East Load Projections'!$A$4:$EO$14,((MONTH($A66)-1)*12)+VLOOKUP(AP$4,$DE$6:$DF$17,2)+1))*(VLOOKUP($A66,SatSunCurve,4))*(INDEX(DailyScalarsTable,AP$5/100,MONTH($A66)))*$C66</f>
        <v>-13978.347642319319</v>
      </c>
      <c r="AQ66" s="1021">
        <f>(VLOOKUP(YEAR($A66),'NY East Load Projections'!$A$4:$EO$14,((MONTH($A66)-1)*12)+VLOOKUP(AQ$4,$DE$6:$DF$17,2)+1))*(VLOOKUP($A66,SatSunCurve,4))*(INDEX(DailyScalarsTable,AQ$5/100,MONTH($A66)))*$C66</f>
        <v>-13734.4071418842</v>
      </c>
      <c r="AR66" s="1021">
        <f>(VLOOKUP(YEAR($A66),'NY East Load Projections'!$A$4:$EO$14,((MONTH($A66)-1)*12)+VLOOKUP(AR$4,$DE$6:$DF$17,2)+1))*(VLOOKUP($A66,SatSunCurve,4))*(INDEX(DailyScalarsTable,AR$5/100,MONTH($A66)))*$C66</f>
        <v>-10288.370406419754</v>
      </c>
      <c r="AS66" s="1021">
        <f>(VLOOKUP(YEAR($A66),'NY East Load Projections'!$A$4:$EO$14,((MONTH($A66)-1)*12)+VLOOKUP(AS$4,$DE$6:$DF$17,2)+1))*(VLOOKUP($A66,SatSunCurve,4))*(INDEX(DailyScalarsTable,AS$5/100,MONTH($A66)))*$C66</f>
        <v>-10037.93207956641</v>
      </c>
      <c r="AT66" s="1021">
        <f>(VLOOKUP(YEAR($A66),'NY East Load Projections'!$A$4:$EO$14,((MONTH($A66)-1)*12)+VLOOKUP(AT$4,$DE$6:$DF$17,2)+1))*(VLOOKUP($A66,SatSunCurve,4))*(INDEX(DailyScalarsTable,AT$5/100,MONTH($A66)))*$C66</f>
        <v>-9713.8247733005792</v>
      </c>
      <c r="AU66" s="1021">
        <f>(VLOOKUP(YEAR($A66),'NY East Load Projections'!$A$4:$EO$14,((MONTH($A66)-1)*12)+VLOOKUP(AU$4,$DE$6:$DF$17,2)+1))*(VLOOKUP($A66,SatSunCurve,4))*(INDEX(DailyScalarsTable,AU$5/100,MONTH($A66)))*$C66</f>
        <v>-9219.4437010617548</v>
      </c>
      <c r="AV66" s="1021">
        <f>(VLOOKUP(YEAR($A66),'NY East Load Projections'!$A$4:$EO$14,((MONTH($A66)-1)*12)+VLOOKUP(AV$4,$DE$6:$DF$17,2)+1))*(VLOOKUP($A66,SatSunCurve,4))*(INDEX(DailyScalarsTable,AV$5/100,MONTH($A66)))*$C66</f>
        <v>-9033.9040112429084</v>
      </c>
      <c r="AW66" s="1021">
        <f>(VLOOKUP(YEAR($A66),'NY East Load Projections'!$A$4:$EO$14,((MONTH($A66)-1)*12)+VLOOKUP(AW$4,$DE$6:$DF$17,2)+1))*(VLOOKUP($A66,SatSunCurve,4))*(INDEX(DailyScalarsTable,AW$5/100,MONTH($A66)))*$C66</f>
        <v>-9351.2015968147534</v>
      </c>
      <c r="AX66" s="1021">
        <f>(VLOOKUP(YEAR($A66),'NY East Load Projections'!$A$4:$EO$14,((MONTH($A66)-1)*12)+VLOOKUP(AX$4,$DE$6:$DF$17,2)+1))*(VLOOKUP($A66,SatSunCurve,4))*(INDEX(DailyScalarsTable,AX$5/100,MONTH($A66)))*$C66</f>
        <v>-13011.790764917348</v>
      </c>
      <c r="AY66" s="1021">
        <f>(VLOOKUP(YEAR($A66),'NY East Load Projections'!$A$4:$EO$14,((MONTH($A66)-1)*12)+VLOOKUP(AY$4,$DE$6:$DF$17,2)+1))*(VLOOKUP($A66,SatSunCurve,4))*(INDEX(DailyScalarsTable,AY$5/100,MONTH($A66)))*$C66</f>
        <v>-14277.391753992577</v>
      </c>
      <c r="AZ66" s="1021">
        <f>(VLOOKUP(YEAR($A66),'NY East Load Projections'!$A$4:$EO$14,((MONTH($A66)-1)*12)+VLOOKUP(AZ$4,$DE$6:$DF$17,2)+1))*(VLOOKUP($A66,SatSunCurve,4))*(INDEX(DailyScalarsTable,AZ$5/100,MONTH($A66)))*$C66</f>
        <v>-13665.941352181639</v>
      </c>
      <c r="BA66" s="1021">
        <f>(VLOOKUP(YEAR($A66),'NY East Load Projections'!$A$4:$EO$14,((MONTH($A66)-1)*12)+VLOOKUP(BA$4,$DE$6:$DF$17,2)+1))*(VLOOKUP($A66,SatSunCurve,4))*(INDEX(DailyScalarsTable,BA$5/100,MONTH($A66)))*$C66</f>
        <v>-12369.937497360668</v>
      </c>
      <c r="BB66" s="1021">
        <f>(VLOOKUP(YEAR($A66),'NY East Load Projections'!$A$4:$EO$14,((MONTH($A66)-1)*12)+VLOOKUP(BB$4,$DE$6:$DF$17,2)+1))*(VLOOKUP($A66,SatSunCurve,4))*(INDEX(DailyScalarsTable,BB$5/100,MONTH($A66)))*$C66</f>
        <v>-8797.786047821106</v>
      </c>
      <c r="BC66" s="1021">
        <f>(VLOOKUP(YEAR($A66),'NY East Load Projections'!$A$4:$EO$14,((MONTH($A66)-1)*12)+VLOOKUP(BC$4,$DE$6:$DF$17,2)+1))*(VLOOKUP($A66,SatSunCurve,4))*(INDEX(DailyScalarsTable,BC$5/100,MONTH($A66)))*$C66</f>
        <v>-7202.0829180276251</v>
      </c>
      <c r="BD66" s="1021">
        <f>(VLOOKUP(YEAR($A66),'NY East Load Projections'!$A$4:$EO$14,((MONTH($A66)-1)*12)+VLOOKUP(BD$4,$DE$6:$DF$17,2)+1))*(VLOOKUP($A66,CURVES!$D$9:$T$261,8))*(INDEX(DailyScalarsTable,BD$5/100,MONTH($A66)))*$C66</f>
        <v>-7941.2518507590767</v>
      </c>
      <c r="BE66" s="1021"/>
      <c r="BF66" s="1021">
        <f>(VLOOKUP(YEAR($A66),'NY East Load Projections'!$A$4:$EO$14,((MONTH($A66)-1)*12)+VLOOKUP(BF$4,$DE$6:$DF$17,2)+1))*(VLOOKUP($A66,CURVES!$D$9:$T$261,8))*(INDEX(DailyScalarsTable,BF$5/100,MONTH($A66)))*$D66</f>
        <v>-8635.4149613777754</v>
      </c>
      <c r="BG66" s="1021">
        <f>(VLOOKUP(YEAR($A66),'NY East Load Projections'!$A$4:$EO$14,((MONTH($A66)-1)*12)+VLOOKUP(BG$4,$DE$6:$DF$17,2)+1))*(VLOOKUP($A66,CURVES!$D$9:$T$261,8))*(INDEX(DailyScalarsTable,BG$5/100,MONTH($A66)))*$D66</f>
        <v>-8467.1730195172277</v>
      </c>
      <c r="BH66" s="1021">
        <f>(VLOOKUP(YEAR($A66),'NY East Load Projections'!$A$4:$EO$14,((MONTH($A66)-1)*12)+VLOOKUP(BH$4,$DE$6:$DF$17,2)+1))*(VLOOKUP($A66,CURVES!$D$9:$T$261,8))*(INDEX(DailyScalarsTable,BH$5/100,MONTH($A66)))*$D66</f>
        <v>-7758.8988445669311</v>
      </c>
      <c r="BI66" s="1021">
        <f>(VLOOKUP(YEAR($A66),'NY East Load Projections'!$A$4:$EO$14,((MONTH($A66)-1)*12)+VLOOKUP(BI$4,$DE$6:$DF$17,2)+1))*(VLOOKUP($A66,CURVES!$D$9:$T$261,8))*(INDEX(DailyScalarsTable,BI$5/100,MONTH($A66)))*$D66</f>
        <v>-7754.2076940492243</v>
      </c>
      <c r="BJ66" s="1021">
        <f>(VLOOKUP(YEAR($A66),'NY East Load Projections'!$A$4:$EO$14,((MONTH($A66)-1)*12)+VLOOKUP(BJ$4,$DE$6:$DF$17,2)+1))*(VLOOKUP($A66,CURVES!$D$9:$T$261,8))*(INDEX(DailyScalarsTable,BJ$5/100,MONTH($A66)))*$D66</f>
        <v>-8151.0953889093616</v>
      </c>
      <c r="BK66" s="1021">
        <f>(VLOOKUP(YEAR($A66),'NY East Load Projections'!$A$4:$EO$14,((MONTH($A66)-1)*12)+VLOOKUP(BK$4,$DE$6:$DF$17,2)+1))*(VLOOKUP($A66,CURVES!$D$9:$T$261,8))*(INDEX(DailyScalarsTable,BK$5/100,MONTH($A66)))*$D66</f>
        <v>-8698.9953624816517</v>
      </c>
      <c r="BL66" s="1021">
        <f>(VLOOKUP(YEAR($A66),'NY East Load Projections'!$A$4:$EO$14,((MONTH($A66)-1)*12)+VLOOKUP(BL$4,$DE$6:$DF$17,2)+1))*(VLOOKUP($A66,CURVES!$D$9:$T$261,8))*(INDEX(DailyScalarsTable,BL$5/100,MONTH($A66)))*$D66</f>
        <v>-16658.470198243587</v>
      </c>
      <c r="BM66" s="1021">
        <f>(VLOOKUP(YEAR($A66),'NY East Load Projections'!$A$4:$EO$14,((MONTH($A66)-1)*12)+VLOOKUP(BM$4,$DE$6:$DF$17,2)+1))*(VLOOKUP($A66,SatSunCurve,8))*(INDEX(DailyScalarsTable,BM$5/100,MONTH($A66)))*$D66</f>
        <v>-16055.806910701947</v>
      </c>
      <c r="BN66" s="1021">
        <f>(VLOOKUP(YEAR($A66),'NY East Load Projections'!$A$4:$EO$14,((MONTH($A66)-1)*12)+VLOOKUP(BN$4,$DE$6:$DF$17,2)+1))*(VLOOKUP($A66,SatSunCurve,8))*(INDEX(DailyScalarsTable,BN$5/100,MONTH($A66)))*$D66</f>
        <v>-18096.671135981593</v>
      </c>
      <c r="BO66" s="1021">
        <f>(VLOOKUP(YEAR($A66),'NY East Load Projections'!$A$4:$EO$14,((MONTH($A66)-1)*12)+VLOOKUP(BO$4,$DE$6:$DF$17,2)+1))*(VLOOKUP($A66,SatSunCurve,8))*(INDEX(DailyScalarsTable,BO$5/100,MONTH($A66)))*$D66</f>
        <v>-18041.592137956941</v>
      </c>
      <c r="BP66" s="1021">
        <f>(VLOOKUP(YEAR($A66),'NY East Load Projections'!$A$4:$EO$14,((MONTH($A66)-1)*12)+VLOOKUP(BP$4,$DE$6:$DF$17,2)+1))*(VLOOKUP($A66,SatSunCurve,8))*(INDEX(DailyScalarsTable,BP$5/100,MONTH($A66)))*$D66</f>
        <v>-17726.742691699408</v>
      </c>
      <c r="BQ66" s="1021">
        <f>(VLOOKUP(YEAR($A66),'NY East Load Projections'!$A$4:$EO$14,((MONTH($A66)-1)*12)+VLOOKUP(BQ$4,$DE$6:$DF$17,2)+1))*(VLOOKUP($A66,SatSunCurve,8))*(INDEX(DailyScalarsTable,BQ$5/100,MONTH($A66)))*$D66</f>
        <v>-13279.007461146046</v>
      </c>
      <c r="BR66" s="1021">
        <f>(VLOOKUP(YEAR($A66),'NY East Load Projections'!$A$4:$EO$14,((MONTH($A66)-1)*12)+VLOOKUP(BR$4,$DE$6:$DF$17,2)+1))*(VLOOKUP($A66,SatSunCurve,8))*(INDEX(DailyScalarsTable,BR$5/100,MONTH($A66)))*$D66</f>
        <v>-12955.771391732431</v>
      </c>
      <c r="BS66" s="1021">
        <f>(VLOOKUP(YEAR($A66),'NY East Load Projections'!$A$4:$EO$14,((MONTH($A66)-1)*12)+VLOOKUP(BS$4,$DE$6:$DF$17,2)+1))*(VLOOKUP($A66,SatSunCurve,8))*(INDEX(DailyScalarsTable,BS$5/100,MONTH($A66)))*$D66</f>
        <v>-12537.452146982998</v>
      </c>
      <c r="BT66" s="1021">
        <f>(VLOOKUP(YEAR($A66),'NY East Load Projections'!$A$4:$EO$14,((MONTH($A66)-1)*12)+VLOOKUP(BT$4,$DE$6:$DF$17,2)+1))*(VLOOKUP($A66,SatSunCurve,8))*(INDEX(DailyScalarsTable,BT$5/100,MONTH($A66)))*$D66</f>
        <v>-11899.363733796363</v>
      </c>
      <c r="BU66" s="1021">
        <f>(VLOOKUP(YEAR($A66),'NY East Load Projections'!$A$4:$EO$14,((MONTH($A66)-1)*12)+VLOOKUP(BU$4,$DE$6:$DF$17,2)+1))*(VLOOKUP($A66,SatSunCurve,8))*(INDEX(DailyScalarsTable,BU$5/100,MONTH($A66)))*$D66</f>
        <v>-11659.891122671686</v>
      </c>
      <c r="BV66" s="1021">
        <f>(VLOOKUP(YEAR($A66),'NY East Load Projections'!$A$4:$EO$14,((MONTH($A66)-1)*12)+VLOOKUP(BV$4,$DE$6:$DF$17,2)+1))*(VLOOKUP($A66,SatSunCurve,8))*(INDEX(DailyScalarsTable,BV$5/100,MONTH($A66)))*$D66</f>
        <v>-12069.421188150576</v>
      </c>
      <c r="BW66" s="1021">
        <f>(VLOOKUP(YEAR($A66),'NY East Load Projections'!$A$4:$EO$14,((MONTH($A66)-1)*12)+VLOOKUP(BW$4,$DE$6:$DF$17,2)+1))*(VLOOKUP($A66,SatSunCurve,8))*(INDEX(DailyScalarsTable,BW$5/100,MONTH($A66)))*$D66</f>
        <v>-16794.075234926891</v>
      </c>
      <c r="BX66" s="1021">
        <f>(VLOOKUP(YEAR($A66),'NY East Load Projections'!$A$4:$EO$14,((MONTH($A66)-1)*12)+VLOOKUP(BX$4,$DE$6:$DF$17,2)+1))*(VLOOKUP($A66,SatSunCurve,8))*(INDEX(DailyScalarsTable,BX$5/100,MONTH($A66)))*$D66</f>
        <v>-18427.562785713086</v>
      </c>
      <c r="BY66" s="1021">
        <f>(VLOOKUP(YEAR($A66),'NY East Load Projections'!$A$4:$EO$14,((MONTH($A66)-1)*12)+VLOOKUP(BY$4,$DE$6:$DF$17,2)+1))*(VLOOKUP($A66,SatSunCurve,8))*(INDEX(DailyScalarsTable,BY$5/100,MONTH($A66)))*$D66</f>
        <v>-17638.375176108573</v>
      </c>
      <c r="BZ66" s="1021">
        <f>(VLOOKUP(YEAR($A66),'NY East Load Projections'!$A$4:$EO$14,((MONTH($A66)-1)*12)+VLOOKUP(BZ$4,$DE$6:$DF$17,2)+1))*(VLOOKUP($A66,SatSunCurve,8))*(INDEX(DailyScalarsTable,BZ$5/100,MONTH($A66)))*$D66</f>
        <v>-15965.647214535264</v>
      </c>
      <c r="CA66" s="1021">
        <f>(VLOOKUP(YEAR($A66),'NY East Load Projections'!$A$4:$EO$14,((MONTH($A66)-1)*12)+VLOOKUP(CA$4,$DE$6:$DF$17,2)+1))*(VLOOKUP($A66,SatSunCurve,8))*(INDEX(DailyScalarsTable,CA$5/100,MONTH($A66)))*$D66</f>
        <v>-11355.138078785138</v>
      </c>
      <c r="CB66" s="1021">
        <f>(VLOOKUP(YEAR($A66),'NY East Load Projections'!$A$4:$EO$14,((MONTH($A66)-1)*12)+VLOOKUP(CB$4,$DE$6:$DF$17,2)+1))*(VLOOKUP($A66,SatSunCurve,8))*(INDEX(DailyScalarsTable,CB$5/100,MONTH($A66)))*$D66</f>
        <v>-9295.5938624260561</v>
      </c>
      <c r="CC66" s="1021">
        <f>(VLOOKUP(YEAR($A66),'NY East Load Projections'!$A$4:$EO$14,((MONTH($A66)-1)*12)+VLOOKUP(CC$4,$DE$6:$DF$17,2)+1))*(VLOOKUP($A66,CURVES!$D$9:$T$261,8))*(INDEX(DailyScalarsTable,CC$5/100,MONTH($A66)))*$D66</f>
        <v>-9926.5648134488456</v>
      </c>
      <c r="CE66" s="1021">
        <f>(VLOOKUP(YEAR($A66),'NY East Load Projections'!$A$4:$EO$14,((MONTH($A66)-1)*12)+VLOOKUP(CE$4,$DE$6:$DF$17,2)+1))*(VLOOKUP($A66,CURVES!$D$9:$T$261,8))*(INDEX(DailyScalarsTable,CE$5/100,MONTH($A66)))*$E66</f>
        <v>-1727.0829922755549</v>
      </c>
      <c r="CF66" s="1021">
        <f>(VLOOKUP(YEAR($A66),'NY East Load Projections'!$A$4:$EO$14,((MONTH($A66)-1)*12)+VLOOKUP(CF$4,$DE$6:$DF$17,2)+1))*(VLOOKUP($A66,CURVES!$D$9:$T$261,8))*(INDEX(DailyScalarsTable,CF$5/100,MONTH($A66)))*$E66</f>
        <v>-1693.4346039034453</v>
      </c>
      <c r="CG66" s="1021">
        <f>(VLOOKUP(YEAR($A66),'NY East Load Projections'!$A$4:$EO$14,((MONTH($A66)-1)*12)+VLOOKUP(CG$4,$DE$6:$DF$17,2)+1))*(VLOOKUP($A66,CURVES!$D$9:$T$261,8))*(INDEX(DailyScalarsTable,CG$5/100,MONTH($A66)))*$E66</f>
        <v>-1551.7797689133863</v>
      </c>
      <c r="CH66" s="1021">
        <f>(VLOOKUP(YEAR($A66),'NY East Load Projections'!$A$4:$EO$14,((MONTH($A66)-1)*12)+VLOOKUP(CH$4,$DE$6:$DF$17,2)+1))*(VLOOKUP($A66,CURVES!$D$9:$T$261,8))*(INDEX(DailyScalarsTable,CH$5/100,MONTH($A66)))*$E66</f>
        <v>-1550.8415388098449</v>
      </c>
      <c r="CI66" s="1021">
        <f>(VLOOKUP(YEAR($A66),'NY East Load Projections'!$A$4:$EO$14,((MONTH($A66)-1)*12)+VLOOKUP(CI$4,$DE$6:$DF$17,2)+1))*(VLOOKUP($A66,CURVES!$D$9:$T$261,8))*(INDEX(DailyScalarsTable,CI$5/100,MONTH($A66)))*$E66</f>
        <v>-1630.2190777818723</v>
      </c>
      <c r="CJ66" s="1021">
        <f>(VLOOKUP(YEAR($A66),'NY East Load Projections'!$A$4:$EO$14,((MONTH($A66)-1)*12)+VLOOKUP(CJ$4,$DE$6:$DF$17,2)+1))*(VLOOKUP($A66,CURVES!$D$9:$T$261,8))*(INDEX(DailyScalarsTable,CJ$5/100,MONTH($A66)))*$E66</f>
        <v>-1739.7990724963302</v>
      </c>
      <c r="CK66" s="1021">
        <f>(VLOOKUP(YEAR($A66),'NY East Load Projections'!$A$4:$EO$14,((MONTH($A66)-1)*12)+VLOOKUP(CK$4,$DE$6:$DF$17,2)+1))*(VLOOKUP($A66,CURVES!$D$9:$T$261,8))*(INDEX(DailyScalarsTable,CK$5/100,MONTH($A66)))*$E66</f>
        <v>-3331.6940396487171</v>
      </c>
      <c r="CL66" s="1021">
        <f>(VLOOKUP(YEAR($A66),'NY East Load Projections'!$A$4:$EO$14,((MONTH($A66)-1)*12)+VLOOKUP(CL$4,$DE$6:$DF$17,2)+1))*(VLOOKUP($A66,SatSunCurve,8))*(INDEX(DailyScalarsTable,CL$5/100,MONTH($A66)))*$E66</f>
        <v>-3211.1613821403894</v>
      </c>
      <c r="CM66" s="1021">
        <f>(VLOOKUP(YEAR($A66),'NY East Load Projections'!$A$4:$EO$14,((MONTH($A66)-1)*12)+VLOOKUP(CM$4,$DE$6:$DF$17,2)+1))*(VLOOKUP($A66,SatSunCurve,8))*(INDEX(DailyScalarsTable,CM$5/100,MONTH($A66)))*$E66</f>
        <v>-3619.3342271963188</v>
      </c>
      <c r="CN66" s="1021">
        <f>(VLOOKUP(YEAR($A66),'NY East Load Projections'!$A$4:$EO$14,((MONTH($A66)-1)*12)+VLOOKUP(CN$4,$DE$6:$DF$17,2)+1))*(VLOOKUP($A66,SatSunCurve,8))*(INDEX(DailyScalarsTable,CN$5/100,MONTH($A66)))*$E66</f>
        <v>-3608.3184275913882</v>
      </c>
      <c r="CO66" s="1021">
        <f>(VLOOKUP(YEAR($A66),'NY East Load Projections'!$A$4:$EO$14,((MONTH($A66)-1)*12)+VLOOKUP(CO$4,$DE$6:$DF$17,2)+1))*(VLOOKUP($A66,SatSunCurve,8))*(INDEX(DailyScalarsTable,CO$5/100,MONTH($A66)))*$E66</f>
        <v>-3545.3485383398815</v>
      </c>
      <c r="CP66" s="1021">
        <f>(VLOOKUP(YEAR($A66),'NY East Load Projections'!$A$4:$EO$14,((MONTH($A66)-1)*12)+VLOOKUP(CP$4,$DE$6:$DF$17,2)+1))*(VLOOKUP($A66,SatSunCurve,8))*(INDEX(DailyScalarsTable,CP$5/100,MONTH($A66)))*$E66</f>
        <v>-2655.8014922292091</v>
      </c>
      <c r="CQ66" s="1021">
        <f>(VLOOKUP(YEAR($A66),'NY East Load Projections'!$A$4:$EO$14,((MONTH($A66)-1)*12)+VLOOKUP(CQ$4,$DE$6:$DF$17,2)+1))*(VLOOKUP($A66,SatSunCurve,8))*(INDEX(DailyScalarsTable,CQ$5/100,MONTH($A66)))*$E66</f>
        <v>-2591.1542783464861</v>
      </c>
      <c r="CR66" s="1021">
        <f>(VLOOKUP(YEAR($A66),'NY East Load Projections'!$A$4:$EO$14,((MONTH($A66)-1)*12)+VLOOKUP(CR$4,$DE$6:$DF$17,2)+1))*(VLOOKUP($A66,SatSunCurve,8))*(INDEX(DailyScalarsTable,CR$5/100,MONTH($A66)))*$E66</f>
        <v>-2507.4904293965997</v>
      </c>
      <c r="CS66" s="1021">
        <f>(VLOOKUP(YEAR($A66),'NY East Load Projections'!$A$4:$EO$14,((MONTH($A66)-1)*12)+VLOOKUP(CS$4,$DE$6:$DF$17,2)+1))*(VLOOKUP($A66,SatSunCurve,8))*(INDEX(DailyScalarsTable,CS$5/100,MONTH($A66)))*$E66</f>
        <v>-2379.8727467592726</v>
      </c>
      <c r="CT66" s="1021">
        <f>(VLOOKUP(YEAR($A66),'NY East Load Projections'!$A$4:$EO$14,((MONTH($A66)-1)*12)+VLOOKUP(CT$4,$DE$6:$DF$17,2)+1))*(VLOOKUP($A66,SatSunCurve,8))*(INDEX(DailyScalarsTable,CT$5/100,MONTH($A66)))*$E66</f>
        <v>-2331.9782245343372</v>
      </c>
      <c r="CU66" s="1021">
        <f>(VLOOKUP(YEAR($A66),'NY East Load Projections'!$A$4:$EO$14,((MONTH($A66)-1)*12)+VLOOKUP(CU$4,$DE$6:$DF$17,2)+1))*(VLOOKUP($A66,SatSunCurve,8))*(INDEX(DailyScalarsTable,CU$5/100,MONTH($A66)))*$E66</f>
        <v>-2413.8842376301154</v>
      </c>
      <c r="CV66" s="1021">
        <f>(VLOOKUP(YEAR($A66),'NY East Load Projections'!$A$4:$EO$14,((MONTH($A66)-1)*12)+VLOOKUP(CV$4,$DE$6:$DF$17,2)+1))*(VLOOKUP($A66,SatSunCurve,8))*(INDEX(DailyScalarsTable,CV$5/100,MONTH($A66)))*$E66</f>
        <v>-3358.8150469853786</v>
      </c>
      <c r="CW66" s="1021">
        <f>(VLOOKUP(YEAR($A66),'NY East Load Projections'!$A$4:$EO$14,((MONTH($A66)-1)*12)+VLOOKUP(CW$4,$DE$6:$DF$17,2)+1))*(VLOOKUP($A66,SatSunCurve,8))*(INDEX(DailyScalarsTable,CW$5/100,MONTH($A66)))*$E66</f>
        <v>-3685.5125571426174</v>
      </c>
      <c r="CX66" s="1021">
        <f>(VLOOKUP(YEAR($A66),'NY East Load Projections'!$A$4:$EO$14,((MONTH($A66)-1)*12)+VLOOKUP(CX$4,$DE$6:$DF$17,2)+1))*(VLOOKUP($A66,SatSunCurve,8))*(INDEX(DailyScalarsTable,CX$5/100,MONTH($A66)))*$E66</f>
        <v>-3527.675035221715</v>
      </c>
      <c r="CY66" s="1021">
        <f>(VLOOKUP(YEAR($A66),'NY East Load Projections'!$A$4:$EO$14,((MONTH($A66)-1)*12)+VLOOKUP(CY$4,$DE$6:$DF$17,2)+1))*(VLOOKUP($A66,SatSunCurve,8))*(INDEX(DailyScalarsTable,CY$5/100,MONTH($A66)))*$E66</f>
        <v>-3193.1294429070526</v>
      </c>
      <c r="CZ66" s="1021">
        <f>(VLOOKUP(YEAR($A66),'NY East Load Projections'!$A$4:$EO$14,((MONTH($A66)-1)*12)+VLOOKUP(CZ$4,$DE$6:$DF$17,2)+1))*(VLOOKUP($A66,SatSunCurve,8))*(INDEX(DailyScalarsTable,CZ$5/100,MONTH($A66)))*$E66</f>
        <v>-2271.0276157570274</v>
      </c>
      <c r="DA66" s="1021">
        <f>(VLOOKUP(YEAR($A66),'NY East Load Projections'!$A$4:$EO$14,((MONTH($A66)-1)*12)+VLOOKUP(DA$4,$DE$6:$DF$17,2)+1))*(VLOOKUP($A66,SatSunCurve,8))*(INDEX(DailyScalarsTable,DA$5/100,MONTH($A66)))*$E66</f>
        <v>-1859.1187724852111</v>
      </c>
      <c r="DB66" s="1021">
        <f>(VLOOKUP(YEAR($A66),'NY East Load Projections'!$A$4:$EO$14,((MONTH($A66)-1)*12)+VLOOKUP(DB$4,$DE$6:$DF$17,2)+1))*(VLOOKUP($A66,CURVES!$D$9:$T$261,8))*(INDEX(DailyScalarsTable,DB$5/100,MONTH($A66)))*$E66</f>
        <v>-1985.3129626897692</v>
      </c>
      <c r="DH66" s="1021">
        <f t="shared" si="0"/>
        <v>-2193542.177601879</v>
      </c>
      <c r="DI66">
        <f ca="1">CALC!J86</f>
        <v>0.65051551650156136</v>
      </c>
      <c r="DJ66" s="1029">
        <f t="shared" ca="1" si="1"/>
        <v>-1426933.2226306461</v>
      </c>
    </row>
    <row r="67" spans="1:114" x14ac:dyDescent="0.25">
      <c r="A67" s="244">
        <v>38749</v>
      </c>
      <c r="B67" s="13">
        <v>20</v>
      </c>
      <c r="C67" s="210">
        <v>4</v>
      </c>
      <c r="D67" s="210">
        <v>4</v>
      </c>
      <c r="E67" s="210">
        <v>0</v>
      </c>
      <c r="F67" s="13">
        <v>28</v>
      </c>
      <c r="H67" s="1021">
        <f>(VLOOKUP(YEAR($A67),'NY East Load Projections'!$A$4:$EO$14,((MONTH($A67)-1)*12)+VLOOKUP(H$4,$DE$6:$DF$17,2)+1))*(VLOOKUP($A67,CURVES!$D$9:$K$261,8))*(INDEX(DailyScalarsTable,H$5/100,MONTH($A67)))*$B67</f>
        <v>-32002.408418707491</v>
      </c>
      <c r="I67" s="1021">
        <f>(VLOOKUP(YEAR($A67),'NY East Load Projections'!$A$4:$EO$14,((MONTH($A67)-1)*12)+VLOOKUP(I$4,$DE$6:$DF$17,2)+1))*(VLOOKUP($A67,CURVES!$D$9:$K$261,8))*(INDEX(DailyScalarsTable,I$5/100,MONTH($A67)))*$B67</f>
        <v>-31378.912343457087</v>
      </c>
      <c r="J67" s="1021">
        <f>(VLOOKUP(YEAR($A67),'NY East Load Projections'!$A$4:$EO$14,((MONTH($A67)-1)*12)+VLOOKUP(J$4,$DE$6:$DF$17,2)+1))*(VLOOKUP($A67,CURVES!$D$9:$K$261,8))*(INDEX(DailyScalarsTable,J$5/100,MONTH($A67)))*$B67</f>
        <v>-28754.084292858577</v>
      </c>
      <c r="K67" s="1021">
        <f>(VLOOKUP(YEAR($A67),'NY East Load Projections'!$A$4:$EO$14,((MONTH($A67)-1)*12)+VLOOKUP(K$4,$DE$6:$DF$17,2)+1))*(VLOOKUP($A67,CURVES!$D$9:$K$261,8))*(INDEX(DailyScalarsTable,K$5/100,MONTH($A67)))*$B67</f>
        <v>-28736.699127757332</v>
      </c>
      <c r="L67" s="1021">
        <f>(VLOOKUP(YEAR($A67),'NY East Load Projections'!$A$4:$EO$14,((MONTH($A67)-1)*12)+VLOOKUP(L$4,$DE$6:$DF$17,2)+1))*(VLOOKUP($A67,CURVES!$D$9:$K$261,8))*(INDEX(DailyScalarsTable,L$5/100,MONTH($A67)))*$B67</f>
        <v>-32841.37236108604</v>
      </c>
      <c r="M67" s="1021">
        <f>(VLOOKUP(YEAR($A67),'NY East Load Projections'!$A$4:$EO$14,((MONTH($A67)-1)*12)+VLOOKUP(M$4,$DE$6:$DF$17,2)+1))*(VLOOKUP($A67,CURVES!$D$9:$K$261,8))*(INDEX(DailyScalarsTable,M$5/100,MONTH($A67)))*$B67</f>
        <v>-35048.902292977116</v>
      </c>
      <c r="N67" s="1021">
        <f>(VLOOKUP(YEAR($A67),'NY East Load Projections'!$A$4:$EO$14,((MONTH($A67)-1)*12)+VLOOKUP(N$4,$DE$6:$DF$17,2)+1))*(VLOOKUP($A67,CURVES!$D$9:$K$261,8))*(INDEX(DailyScalarsTable,N$5/100,MONTH($A67)))*$B67</f>
        <v>-67118.221127795448</v>
      </c>
      <c r="O67" s="1021">
        <f>(VLOOKUP(YEAR($A67),'NY East Load Projections'!$A$4:$EO$14,((MONTH($A67)-1)*12)+VLOOKUP(O$4,$DE$6:$DF$17,2)+1))*(VLOOKUP($A67,CURVES!$D$9:$K$261,4))*(INDEX(DailyScalarsTable,O$5/100,MONTH($A67)))*$B67</f>
        <v>-79769.478682605491</v>
      </c>
      <c r="P67" s="1021">
        <f>(VLOOKUP(YEAR($A67),'NY East Load Projections'!$A$4:$EO$14,((MONTH($A67)-1)*12)+VLOOKUP(P$4,$DE$6:$DF$17,2)+1))*(VLOOKUP($A67,CURVES!$D$9:$K$261,4))*(INDEX(DailyScalarsTable,P$5/100,MONTH($A67)))*$B67</f>
        <v>-91375.538554476734</v>
      </c>
      <c r="Q67" s="1021">
        <f>(VLOOKUP(YEAR($A67),'NY East Load Projections'!$A$4:$EO$14,((MONTH($A67)-1)*12)+VLOOKUP(Q$4,$DE$6:$DF$17,2)+1))*(VLOOKUP($A67,CURVES!$D$9:$K$261,4))*(INDEX(DailyScalarsTable,Q$5/100,MONTH($A67)))*$B67</f>
        <v>-91097.428118047523</v>
      </c>
      <c r="R67" s="1021">
        <f>(VLOOKUP(YEAR($A67),'NY East Load Projections'!$A$4:$EO$14,((MONTH($A67)-1)*12)+VLOOKUP(R$4,$DE$6:$DF$17,2)+1))*(VLOOKUP($A67,CURVES!$D$9:$K$261,4))*(INDEX(DailyScalarsTable,R$5/100,MONTH($A67)))*$B67</f>
        <v>-89507.658513506351</v>
      </c>
      <c r="S67" s="1021">
        <f>(VLOOKUP(YEAR($A67),'NY East Load Projections'!$A$4:$EO$14,((MONTH($A67)-1)*12)+VLOOKUP(S$4,$DE$6:$DF$17,2)+1))*(VLOOKUP($A67,CURVES!$D$9:$K$261,4))*(INDEX(DailyScalarsTable,S$5/100,MONTH($A67)))*$B67</f>
        <v>-67049.70483873022</v>
      </c>
      <c r="T67" s="1021">
        <f>(VLOOKUP(YEAR($A67),'NY East Load Projections'!$A$4:$EO$14,((MONTH($A67)-1)*12)+VLOOKUP(T$4,$DE$6:$DF$17,2)+1))*(VLOOKUP($A67,CURVES!$D$9:$K$261,4))*(INDEX(DailyScalarsTable,T$5/100,MONTH($A67)))*$B67</f>
        <v>-66004.049974201131</v>
      </c>
      <c r="U67" s="1021">
        <f>(VLOOKUP(YEAR($A67),'NY East Load Projections'!$A$4:$EO$14,((MONTH($A67)-1)*12)+VLOOKUP(U$4,$DE$6:$DF$17,2)+1))*(VLOOKUP($A67,CURVES!$D$9:$K$261,4))*(INDEX(DailyScalarsTable,U$5/100,MONTH($A67)))*$B67</f>
        <v>-63872.894406480089</v>
      </c>
      <c r="V67" s="1021">
        <f>(VLOOKUP(YEAR($A67),'NY East Load Projections'!$A$4:$EO$14,((MONTH($A67)-1)*12)+VLOOKUP(V$4,$DE$6:$DF$17,2)+1))*(VLOOKUP($A67,CURVES!$D$9:$K$261,4))*(INDEX(DailyScalarsTable,V$5/100,MONTH($A67)))*$B67</f>
        <v>-60622.110007891104</v>
      </c>
      <c r="W67" s="1021">
        <f>(VLOOKUP(YEAR($A67),'NY East Load Projections'!$A$4:$EO$14,((MONTH($A67)-1)*12)+VLOOKUP(W$4,$DE$6:$DF$17,2)+1))*(VLOOKUP($A67,CURVES!$D$9:$K$261,4))*(INDEX(DailyScalarsTable,W$5/100,MONTH($A67)))*$B67</f>
        <v>-59402.100661152232</v>
      </c>
      <c r="X67" s="1021">
        <f>(VLOOKUP(YEAR($A67),'NY East Load Projections'!$A$4:$EO$14,((MONTH($A67)-1)*12)+VLOOKUP(X$4,$DE$6:$DF$17,2)+1))*(VLOOKUP($A67,CURVES!$D$9:$K$261,4))*(INDEX(DailyScalarsTable,X$5/100,MONTH($A67)))*$B67</f>
        <v>-61015.231862620887</v>
      </c>
      <c r="Y67" s="1021">
        <f>(VLOOKUP(YEAR($A67),'NY East Load Projections'!$A$4:$EO$14,((MONTH($A67)-1)*12)+VLOOKUP(Y$4,$DE$6:$DF$17,2)+1))*(VLOOKUP($A67,CURVES!$D$9:$K$261,4))*(INDEX(DailyScalarsTable,Y$5/100,MONTH($A67)))*$B67</f>
        <v>-84900.044368604867</v>
      </c>
      <c r="Z67" s="1021">
        <f>(VLOOKUP(YEAR($A67),'NY East Load Projections'!$A$4:$EO$14,((MONTH($A67)-1)*12)+VLOOKUP(Z$4,$DE$6:$DF$17,2)+1))*(VLOOKUP($A67,CURVES!$D$9:$K$261,4))*(INDEX(DailyScalarsTable,Z$5/100,MONTH($A67)))*$B67</f>
        <v>-93157.906953910555</v>
      </c>
      <c r="AA67" s="1021">
        <f>(VLOOKUP(YEAR($A67),'NY East Load Projections'!$A$4:$EO$14,((MONTH($A67)-1)*12)+VLOOKUP(AA$4,$DE$6:$DF$17,2)+1))*(VLOOKUP($A67,CURVES!$D$9:$K$261,4))*(INDEX(DailyScalarsTable,AA$5/100,MONTH($A67)))*$B67</f>
        <v>-89168.281914525753</v>
      </c>
      <c r="AB67" s="1021">
        <f>(VLOOKUP(YEAR($A67),'NY East Load Projections'!$A$4:$EO$14,((MONTH($A67)-1)*12)+VLOOKUP(AB$4,$DE$6:$DF$17,2)+1))*(VLOOKUP($A67,CURVES!$D$9:$K$261,4))*(INDEX(DailyScalarsTable,AB$5/100,MONTH($A67)))*$B67</f>
        <v>-75334.44769639193</v>
      </c>
      <c r="AC67" s="1021">
        <f>(VLOOKUP(YEAR($A67),'NY East Load Projections'!$A$4:$EO$14,((MONTH($A67)-1)*12)+VLOOKUP(AC$4,$DE$6:$DF$17,2)+1))*(VLOOKUP($A67,CURVES!$D$9:$K$261,4))*(INDEX(DailyScalarsTable,AC$5/100,MONTH($A67)))*$B67</f>
        <v>-53579.604020233746</v>
      </c>
      <c r="AD67" s="1021">
        <f>(VLOOKUP(YEAR($A67),'NY East Load Projections'!$A$4:$EO$14,((MONTH($A67)-1)*12)+VLOOKUP(AD$4,$DE$6:$DF$17,2)+1))*(VLOOKUP($A67,CURVES!$D$9:$K$261,4))*(INDEX(DailyScalarsTable,AD$5/100,MONTH($A67)))*$B67</f>
        <v>-43861.574806582095</v>
      </c>
      <c r="AE67" s="1021">
        <f>(VLOOKUP(YEAR($A67),'NY East Load Projections'!$A$4:$EO$14,((MONTH($A67)-1)*12)+VLOOKUP(AE$4,$DE$6:$DF$17,2)+1))*(VLOOKUP($A67,CURVES!$D$9:$K$261,8))*(INDEX(DailyScalarsTable,AE$5/100,MONTH($A67)))*$B67</f>
        <v>-37984.530851985641</v>
      </c>
      <c r="AF67" s="1021"/>
      <c r="AG67" s="1021">
        <f>(VLOOKUP(YEAR($A67),'NY East Load Projections'!$A$4:$EO$14,((MONTH($A67)-1)*12)+VLOOKUP(AG$4,$DE$6:$DF$17,2)+1))*(VLOOKUP($A67,CURVES!$D$9:$T$261,8))*(INDEX(DailyScalarsTable,AG$5/100,MONTH($A67)))*$C67</f>
        <v>-6783.9125294232135</v>
      </c>
      <c r="AH67" s="1021">
        <f>(VLOOKUP(YEAR($A67),'NY East Load Projections'!$A$4:$EO$14,((MONTH($A67)-1)*12)+VLOOKUP(AH$4,$DE$6:$DF$17,2)+1))*(VLOOKUP($A67,CURVES!$D$9:$T$261,8))*(INDEX(DailyScalarsTable,AH$5/100,MONTH($A67)))*$C67</f>
        <v>-6651.7430132543968</v>
      </c>
      <c r="AI67" s="1021">
        <f>(VLOOKUP(YEAR($A67),'NY East Load Projections'!$A$4:$EO$14,((MONTH($A67)-1)*12)+VLOOKUP(AI$4,$DE$6:$DF$17,2)+1))*(VLOOKUP($A67,CURVES!$D$9:$T$261,8))*(INDEX(DailyScalarsTable,AI$5/100,MONTH($A67)))*$C67</f>
        <v>-6095.3285188494192</v>
      </c>
      <c r="AJ67" s="1021">
        <f>(VLOOKUP(YEAR($A67),'NY East Load Projections'!$A$4:$EO$14,((MONTH($A67)-1)*12)+VLOOKUP(AJ$4,$DE$6:$DF$17,2)+1))*(VLOOKUP($A67,CURVES!$D$9:$T$261,8))*(INDEX(DailyScalarsTable,AJ$5/100,MONTH($A67)))*$C67</f>
        <v>-6091.6431887388426</v>
      </c>
      <c r="AK67" s="1021">
        <f>(VLOOKUP(YEAR($A67),'NY East Load Projections'!$A$4:$EO$14,((MONTH($A67)-1)*12)+VLOOKUP(AK$4,$DE$6:$DF$17,2)+1))*(VLOOKUP($A67,CURVES!$D$9:$T$261,8))*(INDEX(DailyScalarsTable,AK$5/100,MONTH($A67)))*$C67</f>
        <v>-6357.6501608053377</v>
      </c>
      <c r="AL67" s="1021">
        <f>(VLOOKUP(YEAR($A67),'NY East Load Projections'!$A$4:$EO$14,((MONTH($A67)-1)*12)+VLOOKUP(AL$4,$DE$6:$DF$17,2)+1))*(VLOOKUP($A67,CURVES!$D$9:$T$261,8))*(INDEX(DailyScalarsTable,AL$5/100,MONTH($A67)))*$C67</f>
        <v>-6784.9984114253293</v>
      </c>
      <c r="AM67" s="1021">
        <f>(VLOOKUP(YEAR($A67),'NY East Load Projections'!$A$4:$EO$14,((MONTH($A67)-1)*12)+VLOOKUP(AM$4,$DE$6:$DF$17,2)+1))*(VLOOKUP($A67,CURVES!$D$9:$T$261,8))*(INDEX(DailyScalarsTable,AM$5/100,MONTH($A67)))*$C67</f>
        <v>-12993.189342224729</v>
      </c>
      <c r="AN67" s="1021">
        <f>(VLOOKUP(YEAR($A67),'NY East Load Projections'!$A$4:$EO$14,((MONTH($A67)-1)*12)+VLOOKUP(AN$4,$DE$6:$DF$17,2)+1))*(VLOOKUP($A67,SatSunCurve,4))*(INDEX(DailyScalarsTable,AN$5/100,MONTH($A67)))*$C67</f>
        <v>-11829.435247484191</v>
      </c>
      <c r="AO67" s="1021">
        <f>(VLOOKUP(YEAR($A67),'NY East Load Projections'!$A$4:$EO$14,((MONTH($A67)-1)*12)+VLOOKUP(AO$4,$DE$6:$DF$17,2)+1))*(VLOOKUP($A67,SatSunCurve,4))*(INDEX(DailyScalarsTable,AO$5/100,MONTH($A67)))*$C67</f>
        <v>-13287.960273664925</v>
      </c>
      <c r="AP67" s="1021">
        <f>(VLOOKUP(YEAR($A67),'NY East Load Projections'!$A$4:$EO$14,((MONTH($A67)-1)*12)+VLOOKUP(AP$4,$DE$6:$DF$17,2)+1))*(VLOOKUP($A67,SatSunCurve,4))*(INDEX(DailyScalarsTable,AP$5/100,MONTH($A67)))*$C67</f>
        <v>-13247.517059984057</v>
      </c>
      <c r="AQ67" s="1021">
        <f>(VLOOKUP(YEAR($A67),'NY East Load Projections'!$A$4:$EO$14,((MONTH($A67)-1)*12)+VLOOKUP(AQ$4,$DE$6:$DF$17,2)+1))*(VLOOKUP($A67,SatSunCurve,4))*(INDEX(DailyScalarsTable,AQ$5/100,MONTH($A67)))*$C67</f>
        <v>-13016.330511772048</v>
      </c>
      <c r="AR67" s="1021">
        <f>(VLOOKUP(YEAR($A67),'NY East Load Projections'!$A$4:$EO$14,((MONTH($A67)-1)*12)+VLOOKUP(AR$4,$DE$6:$DF$17,2)+1))*(VLOOKUP($A67,SatSunCurve,4))*(INDEX(DailyScalarsTable,AR$5/100,MONTH($A67)))*$C67</f>
        <v>-9750.4630708888544</v>
      </c>
      <c r="AS67" s="1021">
        <f>(VLOOKUP(YEAR($A67),'NY East Load Projections'!$A$4:$EO$14,((MONTH($A67)-1)*12)+VLOOKUP(AS$4,$DE$6:$DF$17,2)+1))*(VLOOKUP($A67,SatSunCurve,4))*(INDEX(DailyScalarsTable,AS$5/100,MONTH($A67)))*$C67</f>
        <v>-9484.6080778356827</v>
      </c>
      <c r="AT67" s="1021">
        <f>(VLOOKUP(YEAR($A67),'NY East Load Projections'!$A$4:$EO$14,((MONTH($A67)-1)*12)+VLOOKUP(AT$4,$DE$6:$DF$17,2)+1))*(VLOOKUP($A67,SatSunCurve,4))*(INDEX(DailyScalarsTable,AT$5/100,MONTH($A67)))*$C67</f>
        <v>-9178.3666377932586</v>
      </c>
      <c r="AU67" s="1021">
        <f>(VLOOKUP(YEAR($A67),'NY East Load Projections'!$A$4:$EO$14,((MONTH($A67)-1)*12)+VLOOKUP(AU$4,$DE$6:$DF$17,2)+1))*(VLOOKUP($A67,SatSunCurve,4))*(INDEX(DailyScalarsTable,AU$5/100,MONTH($A67)))*$C67</f>
        <v>-8711.2374846850671</v>
      </c>
      <c r="AV67" s="1021">
        <f>(VLOOKUP(YEAR($A67),'NY East Load Projections'!$A$4:$EO$14,((MONTH($A67)-1)*12)+VLOOKUP(AV$4,$DE$6:$DF$17,2)+1))*(VLOOKUP($A67,SatSunCurve,4))*(INDEX(DailyScalarsTable,AV$5/100,MONTH($A67)))*$C67</f>
        <v>-8535.9253559651279</v>
      </c>
      <c r="AW67" s="1021">
        <f>(VLOOKUP(YEAR($A67),'NY East Load Projections'!$A$4:$EO$14,((MONTH($A67)-1)*12)+VLOOKUP(AW$4,$DE$6:$DF$17,2)+1))*(VLOOKUP($A67,SatSunCurve,4))*(INDEX(DailyScalarsTable,AW$5/100,MONTH($A67)))*$C67</f>
        <v>-8892.5444820288885</v>
      </c>
      <c r="AX67" s="1021">
        <f>(VLOOKUP(YEAR($A67),'NY East Load Projections'!$A$4:$EO$14,((MONTH($A67)-1)*12)+VLOOKUP(AX$4,$DE$6:$DF$17,2)+1))*(VLOOKUP($A67,SatSunCurve,4))*(INDEX(DailyScalarsTable,AX$5/100,MONTH($A67)))*$C67</f>
        <v>-12373.589315761639</v>
      </c>
      <c r="AY67" s="1021">
        <f>(VLOOKUP(YEAR($A67),'NY East Load Projections'!$A$4:$EO$14,((MONTH($A67)-1)*12)+VLOOKUP(AY$4,$DE$6:$DF$17,2)+1))*(VLOOKUP($A67,SatSunCurve,4))*(INDEX(DailyScalarsTable,AY$5/100,MONTH($A67)))*$C67</f>
        <v>-13577.115191589697</v>
      </c>
      <c r="AZ67" s="1021">
        <f>(VLOOKUP(YEAR($A67),'NY East Load Projections'!$A$4:$EO$14,((MONTH($A67)-1)*12)+VLOOKUP(AZ$4,$DE$6:$DF$17,2)+1))*(VLOOKUP($A67,SatSunCurve,4))*(INDEX(DailyScalarsTable,AZ$5/100,MONTH($A67)))*$C67</f>
        <v>-12995.655168472424</v>
      </c>
      <c r="BA67" s="1021">
        <f>(VLOOKUP(YEAR($A67),'NY East Load Projections'!$A$4:$EO$14,((MONTH($A67)-1)*12)+VLOOKUP(BA$4,$DE$6:$DF$17,2)+1))*(VLOOKUP($A67,SatSunCurve,4))*(INDEX(DailyScalarsTable,BA$5/100,MONTH($A67)))*$C67</f>
        <v>-11835.659670544275</v>
      </c>
      <c r="BB67" s="1021">
        <f>(VLOOKUP(YEAR($A67),'NY East Load Projections'!$A$4:$EO$14,((MONTH($A67)-1)*12)+VLOOKUP(BB$4,$DE$6:$DF$17,2)+1))*(VLOOKUP($A67,SatSunCurve,4))*(INDEX(DailyScalarsTable,BB$5/100,MONTH($A67)))*$C67</f>
        <v>-8417.7952829988608</v>
      </c>
      <c r="BC67" s="1021">
        <f>(VLOOKUP(YEAR($A67),'NY East Load Projections'!$A$4:$EO$14,((MONTH($A67)-1)*12)+VLOOKUP(BC$4,$DE$6:$DF$17,2)+1))*(VLOOKUP($A67,SatSunCurve,4))*(INDEX(DailyScalarsTable,BC$5/100,MONTH($A67)))*$C67</f>
        <v>-6891.0131805438023</v>
      </c>
      <c r="BD67" s="1021">
        <f>(VLOOKUP(YEAR($A67),'NY East Load Projections'!$A$4:$EO$14,((MONTH($A67)-1)*12)+VLOOKUP(BD$4,$DE$6:$DF$17,2)+1))*(VLOOKUP($A67,CURVES!$D$9:$T$261,8))*(INDEX(DailyScalarsTable,BD$5/100,MONTH($A67)))*$C67</f>
        <v>-7790.2913269472001</v>
      </c>
      <c r="BE67" s="1021"/>
      <c r="BF67" s="1021">
        <f>(VLOOKUP(YEAR($A67),'NY East Load Projections'!$A$4:$EO$14,((MONTH($A67)-1)*12)+VLOOKUP(BF$4,$DE$6:$DF$17,2)+1))*(VLOOKUP($A67,CURVES!$D$9:$T$261,8))*(INDEX(DailyScalarsTable,BF$5/100,MONTH($A67)))*$D67</f>
        <v>-6783.9125294232135</v>
      </c>
      <c r="BG67" s="1021">
        <f>(VLOOKUP(YEAR($A67),'NY East Load Projections'!$A$4:$EO$14,((MONTH($A67)-1)*12)+VLOOKUP(BG$4,$DE$6:$DF$17,2)+1))*(VLOOKUP($A67,CURVES!$D$9:$T$261,8))*(INDEX(DailyScalarsTable,BG$5/100,MONTH($A67)))*$D67</f>
        <v>-6651.7430132543968</v>
      </c>
      <c r="BH67" s="1021">
        <f>(VLOOKUP(YEAR($A67),'NY East Load Projections'!$A$4:$EO$14,((MONTH($A67)-1)*12)+VLOOKUP(BH$4,$DE$6:$DF$17,2)+1))*(VLOOKUP($A67,CURVES!$D$9:$T$261,8))*(INDEX(DailyScalarsTable,BH$5/100,MONTH($A67)))*$D67</f>
        <v>-6095.3285188494192</v>
      </c>
      <c r="BI67" s="1021">
        <f>(VLOOKUP(YEAR($A67),'NY East Load Projections'!$A$4:$EO$14,((MONTH($A67)-1)*12)+VLOOKUP(BI$4,$DE$6:$DF$17,2)+1))*(VLOOKUP($A67,CURVES!$D$9:$T$261,8))*(INDEX(DailyScalarsTable,BI$5/100,MONTH($A67)))*$D67</f>
        <v>-6091.6431887388426</v>
      </c>
      <c r="BJ67" s="1021">
        <f>(VLOOKUP(YEAR($A67),'NY East Load Projections'!$A$4:$EO$14,((MONTH($A67)-1)*12)+VLOOKUP(BJ$4,$DE$6:$DF$17,2)+1))*(VLOOKUP($A67,CURVES!$D$9:$T$261,8))*(INDEX(DailyScalarsTable,BJ$5/100,MONTH($A67)))*$D67</f>
        <v>-6357.6501608053377</v>
      </c>
      <c r="BK67" s="1021">
        <f>(VLOOKUP(YEAR($A67),'NY East Load Projections'!$A$4:$EO$14,((MONTH($A67)-1)*12)+VLOOKUP(BK$4,$DE$6:$DF$17,2)+1))*(VLOOKUP($A67,CURVES!$D$9:$T$261,8))*(INDEX(DailyScalarsTable,BK$5/100,MONTH($A67)))*$D67</f>
        <v>-6784.9984114253293</v>
      </c>
      <c r="BL67" s="1021">
        <f>(VLOOKUP(YEAR($A67),'NY East Load Projections'!$A$4:$EO$14,((MONTH($A67)-1)*12)+VLOOKUP(BL$4,$DE$6:$DF$17,2)+1))*(VLOOKUP($A67,CURVES!$D$9:$T$261,8))*(INDEX(DailyScalarsTable,BL$5/100,MONTH($A67)))*$D67</f>
        <v>-12993.189342224729</v>
      </c>
      <c r="BM67" s="1021">
        <f>(VLOOKUP(YEAR($A67),'NY East Load Projections'!$A$4:$EO$14,((MONTH($A67)-1)*12)+VLOOKUP(BM$4,$DE$6:$DF$17,2)+1))*(VLOOKUP($A67,SatSunCurve,8))*(INDEX(DailyScalarsTable,BM$5/100,MONTH($A67)))*$D67</f>
        <v>-11819.770812405492</v>
      </c>
      <c r="BN67" s="1021">
        <f>(VLOOKUP(YEAR($A67),'NY East Load Projections'!$A$4:$EO$14,((MONTH($A67)-1)*12)+VLOOKUP(BN$4,$DE$6:$DF$17,2)+1))*(VLOOKUP($A67,SatSunCurve,8))*(INDEX(DailyScalarsTable,BN$5/100,MONTH($A67)))*$D67</f>
        <v>-13277.104249965865</v>
      </c>
      <c r="BO67" s="1021">
        <f>(VLOOKUP(YEAR($A67),'NY East Load Projections'!$A$4:$EO$14,((MONTH($A67)-1)*12)+VLOOKUP(BO$4,$DE$6:$DF$17,2)+1))*(VLOOKUP($A67,SatSunCurve,8))*(INDEX(DailyScalarsTable,BO$5/100,MONTH($A67)))*$D67</f>
        <v>-13236.694077660586</v>
      </c>
      <c r="BP67" s="1021">
        <f>(VLOOKUP(YEAR($A67),'NY East Load Projections'!$A$4:$EO$14,((MONTH($A67)-1)*12)+VLOOKUP(BP$4,$DE$6:$DF$17,2)+1))*(VLOOKUP($A67,SatSunCurve,8))*(INDEX(DailyScalarsTable,BP$5/100,MONTH($A67)))*$D67</f>
        <v>-13005.696404685603</v>
      </c>
      <c r="BQ67" s="1021">
        <f>(VLOOKUP(YEAR($A67),'NY East Load Projections'!$A$4:$EO$14,((MONTH($A67)-1)*12)+VLOOKUP(BQ$4,$DE$6:$DF$17,2)+1))*(VLOOKUP($A67,SatSunCurve,8))*(INDEX(DailyScalarsTable,BQ$5/100,MONTH($A67)))*$D67</f>
        <v>-9742.4971185534796</v>
      </c>
      <c r="BR67" s="1021">
        <f>(VLOOKUP(YEAR($A67),'NY East Load Projections'!$A$4:$EO$14,((MONTH($A67)-1)*12)+VLOOKUP(BR$4,$DE$6:$DF$17,2)+1))*(VLOOKUP($A67,SatSunCurve,8))*(INDEX(DailyScalarsTable,BR$5/100,MONTH($A67)))*$D67</f>
        <v>-9476.8593242310144</v>
      </c>
      <c r="BS67" s="1021">
        <f>(VLOOKUP(YEAR($A67),'NY East Load Projections'!$A$4:$EO$14,((MONTH($A67)-1)*12)+VLOOKUP(BS$4,$DE$6:$DF$17,2)+1))*(VLOOKUP($A67,SatSunCurve,8))*(INDEX(DailyScalarsTable,BS$5/100,MONTH($A67)))*$D67</f>
        <v>-9170.8680779175193</v>
      </c>
      <c r="BT67" s="1021">
        <f>(VLOOKUP(YEAR($A67),'NY East Load Projections'!$A$4:$EO$14,((MONTH($A67)-1)*12)+VLOOKUP(BT$4,$DE$6:$DF$17,2)+1))*(VLOOKUP($A67,SatSunCurve,8))*(INDEX(DailyScalarsTable,BT$5/100,MONTH($A67)))*$D67</f>
        <v>-8704.1205608958462</v>
      </c>
      <c r="BU67" s="1021">
        <f>(VLOOKUP(YEAR($A67),'NY East Load Projections'!$A$4:$EO$14,((MONTH($A67)-1)*12)+VLOOKUP(BU$4,$DE$6:$DF$17,2)+1))*(VLOOKUP($A67,SatSunCurve,8))*(INDEX(DailyScalarsTable,BU$5/100,MONTH($A67)))*$D67</f>
        <v>-8528.9516590207295</v>
      </c>
      <c r="BV67" s="1021">
        <f>(VLOOKUP(YEAR($A67),'NY East Load Projections'!$A$4:$EO$14,((MONTH($A67)-1)*12)+VLOOKUP(BV$4,$DE$6:$DF$17,2)+1))*(VLOOKUP($A67,SatSunCurve,8))*(INDEX(DailyScalarsTable,BV$5/100,MONTH($A67)))*$D67</f>
        <v>-8885.2794336953848</v>
      </c>
      <c r="BW67" s="1021">
        <f>(VLOOKUP(YEAR($A67),'NY East Load Projections'!$A$4:$EO$14,((MONTH($A67)-1)*12)+VLOOKUP(BW$4,$DE$6:$DF$17,2)+1))*(VLOOKUP($A67,SatSunCurve,8))*(INDEX(DailyScalarsTable,BW$5/100,MONTH($A67)))*$D67</f>
        <v>-12363.480316631008</v>
      </c>
      <c r="BX67" s="1021">
        <f>(VLOOKUP(YEAR($A67),'NY East Load Projections'!$A$4:$EO$14,((MONTH($A67)-1)*12)+VLOOKUP(BX$4,$DE$6:$DF$17,2)+1))*(VLOOKUP($A67,SatSunCurve,8))*(INDEX(DailyScalarsTable,BX$5/100,MONTH($A67)))*$D67</f>
        <v>-13566.022933541872</v>
      </c>
      <c r="BY67" s="1021">
        <f>(VLOOKUP(YEAR($A67),'NY East Load Projections'!$A$4:$EO$14,((MONTH($A67)-1)*12)+VLOOKUP(BY$4,$DE$6:$DF$17,2)+1))*(VLOOKUP($A67,SatSunCurve,8))*(INDEX(DailyScalarsTable,BY$5/100,MONTH($A67)))*$D67</f>
        <v>-12985.037952768269</v>
      </c>
      <c r="BZ67" s="1021">
        <f>(VLOOKUP(YEAR($A67),'NY East Load Projections'!$A$4:$EO$14,((MONTH($A67)-1)*12)+VLOOKUP(BZ$4,$DE$6:$DF$17,2)+1))*(VLOOKUP($A67,SatSunCurve,8))*(INDEX(DailyScalarsTable,BZ$5/100,MONTH($A67)))*$D67</f>
        <v>-11825.990150224285</v>
      </c>
      <c r="CA67" s="1021">
        <f>(VLOOKUP(YEAR($A67),'NY East Load Projections'!$A$4:$EO$14,((MONTH($A67)-1)*12)+VLOOKUP(CA$4,$DE$6:$DF$17,2)+1))*(VLOOKUP($A67,SatSunCurve,8))*(INDEX(DailyScalarsTable,CA$5/100,MONTH($A67)))*$D67</f>
        <v>-8410.9180961918555</v>
      </c>
      <c r="CB67" s="1021">
        <f>(VLOOKUP(YEAR($A67),'NY East Load Projections'!$A$4:$EO$14,((MONTH($A67)-1)*12)+VLOOKUP(CB$4,$DE$6:$DF$17,2)+1))*(VLOOKUP($A67,SatSunCurve,8))*(INDEX(DailyScalarsTable,CB$5/100,MONTH($A67)))*$D67</f>
        <v>-6885.3833471564485</v>
      </c>
      <c r="CC67" s="1021">
        <f>(VLOOKUP(YEAR($A67),'NY East Load Projections'!$A$4:$EO$14,((MONTH($A67)-1)*12)+VLOOKUP(CC$4,$DE$6:$DF$17,2)+1))*(VLOOKUP($A67,CURVES!$D$9:$T$261,8))*(INDEX(DailyScalarsTable,CC$5/100,MONTH($A67)))*$D67</f>
        <v>-7790.2913269472001</v>
      </c>
      <c r="CE67" s="1021">
        <f>(VLOOKUP(YEAR($A67),'NY East Load Projections'!$A$4:$EO$14,((MONTH($A67)-1)*12)+VLOOKUP(CE$4,$DE$6:$DF$17,2)+1))*(VLOOKUP($A67,CURVES!$D$9:$T$261,8))*(INDEX(DailyScalarsTable,CE$5/100,MONTH($A67)))*$E67</f>
        <v>0</v>
      </c>
      <c r="CF67" s="1021">
        <f>(VLOOKUP(YEAR($A67),'NY East Load Projections'!$A$4:$EO$14,((MONTH($A67)-1)*12)+VLOOKUP(CF$4,$DE$6:$DF$17,2)+1))*(VLOOKUP($A67,CURVES!$D$9:$T$261,8))*(INDEX(DailyScalarsTable,CF$5/100,MONTH($A67)))*$E67</f>
        <v>0</v>
      </c>
      <c r="CG67" s="1021">
        <f>(VLOOKUP(YEAR($A67),'NY East Load Projections'!$A$4:$EO$14,((MONTH($A67)-1)*12)+VLOOKUP(CG$4,$DE$6:$DF$17,2)+1))*(VLOOKUP($A67,CURVES!$D$9:$T$261,8))*(INDEX(DailyScalarsTable,CG$5/100,MONTH($A67)))*$E67</f>
        <v>0</v>
      </c>
      <c r="CH67" s="1021">
        <f>(VLOOKUP(YEAR($A67),'NY East Load Projections'!$A$4:$EO$14,((MONTH($A67)-1)*12)+VLOOKUP(CH$4,$DE$6:$DF$17,2)+1))*(VLOOKUP($A67,CURVES!$D$9:$T$261,8))*(INDEX(DailyScalarsTable,CH$5/100,MONTH($A67)))*$E67</f>
        <v>0</v>
      </c>
      <c r="CI67" s="1021">
        <f>(VLOOKUP(YEAR($A67),'NY East Load Projections'!$A$4:$EO$14,((MONTH($A67)-1)*12)+VLOOKUP(CI$4,$DE$6:$DF$17,2)+1))*(VLOOKUP($A67,CURVES!$D$9:$T$261,8))*(INDEX(DailyScalarsTable,CI$5/100,MONTH($A67)))*$E67</f>
        <v>0</v>
      </c>
      <c r="CJ67" s="1021">
        <f>(VLOOKUP(YEAR($A67),'NY East Load Projections'!$A$4:$EO$14,((MONTH($A67)-1)*12)+VLOOKUP(CJ$4,$DE$6:$DF$17,2)+1))*(VLOOKUP($A67,CURVES!$D$9:$T$261,8))*(INDEX(DailyScalarsTable,CJ$5/100,MONTH($A67)))*$E67</f>
        <v>0</v>
      </c>
      <c r="CK67" s="1021">
        <f>(VLOOKUP(YEAR($A67),'NY East Load Projections'!$A$4:$EO$14,((MONTH($A67)-1)*12)+VLOOKUP(CK$4,$DE$6:$DF$17,2)+1))*(VLOOKUP($A67,CURVES!$D$9:$T$261,8))*(INDEX(DailyScalarsTable,CK$5/100,MONTH($A67)))*$E67</f>
        <v>0</v>
      </c>
      <c r="CL67" s="1021">
        <f>(VLOOKUP(YEAR($A67),'NY East Load Projections'!$A$4:$EO$14,((MONTH($A67)-1)*12)+VLOOKUP(CL$4,$DE$6:$DF$17,2)+1))*(VLOOKUP($A67,SatSunCurve,8))*(INDEX(DailyScalarsTable,CL$5/100,MONTH($A67)))*$E67</f>
        <v>0</v>
      </c>
      <c r="CM67" s="1021">
        <f>(VLOOKUP(YEAR($A67),'NY East Load Projections'!$A$4:$EO$14,((MONTH($A67)-1)*12)+VLOOKUP(CM$4,$DE$6:$DF$17,2)+1))*(VLOOKUP($A67,SatSunCurve,8))*(INDEX(DailyScalarsTable,CM$5/100,MONTH($A67)))*$E67</f>
        <v>0</v>
      </c>
      <c r="CN67" s="1021">
        <f>(VLOOKUP(YEAR($A67),'NY East Load Projections'!$A$4:$EO$14,((MONTH($A67)-1)*12)+VLOOKUP(CN$4,$DE$6:$DF$17,2)+1))*(VLOOKUP($A67,SatSunCurve,8))*(INDEX(DailyScalarsTable,CN$5/100,MONTH($A67)))*$E67</f>
        <v>0</v>
      </c>
      <c r="CO67" s="1021">
        <f>(VLOOKUP(YEAR($A67),'NY East Load Projections'!$A$4:$EO$14,((MONTH($A67)-1)*12)+VLOOKUP(CO$4,$DE$6:$DF$17,2)+1))*(VLOOKUP($A67,SatSunCurve,8))*(INDEX(DailyScalarsTable,CO$5/100,MONTH($A67)))*$E67</f>
        <v>0</v>
      </c>
      <c r="CP67" s="1021">
        <f>(VLOOKUP(YEAR($A67),'NY East Load Projections'!$A$4:$EO$14,((MONTH($A67)-1)*12)+VLOOKUP(CP$4,$DE$6:$DF$17,2)+1))*(VLOOKUP($A67,SatSunCurve,8))*(INDEX(DailyScalarsTable,CP$5/100,MONTH($A67)))*$E67</f>
        <v>0</v>
      </c>
      <c r="CQ67" s="1021">
        <f>(VLOOKUP(YEAR($A67),'NY East Load Projections'!$A$4:$EO$14,((MONTH($A67)-1)*12)+VLOOKUP(CQ$4,$DE$6:$DF$17,2)+1))*(VLOOKUP($A67,SatSunCurve,8))*(INDEX(DailyScalarsTable,CQ$5/100,MONTH($A67)))*$E67</f>
        <v>0</v>
      </c>
      <c r="CR67" s="1021">
        <f>(VLOOKUP(YEAR($A67),'NY East Load Projections'!$A$4:$EO$14,((MONTH($A67)-1)*12)+VLOOKUP(CR$4,$DE$6:$DF$17,2)+1))*(VLOOKUP($A67,SatSunCurve,8))*(INDEX(DailyScalarsTable,CR$5/100,MONTH($A67)))*$E67</f>
        <v>0</v>
      </c>
      <c r="CS67" s="1021">
        <f>(VLOOKUP(YEAR($A67),'NY East Load Projections'!$A$4:$EO$14,((MONTH($A67)-1)*12)+VLOOKUP(CS$4,$DE$6:$DF$17,2)+1))*(VLOOKUP($A67,SatSunCurve,8))*(INDEX(DailyScalarsTable,CS$5/100,MONTH($A67)))*$E67</f>
        <v>0</v>
      </c>
      <c r="CT67" s="1021">
        <f>(VLOOKUP(YEAR($A67),'NY East Load Projections'!$A$4:$EO$14,((MONTH($A67)-1)*12)+VLOOKUP(CT$4,$DE$6:$DF$17,2)+1))*(VLOOKUP($A67,SatSunCurve,8))*(INDEX(DailyScalarsTable,CT$5/100,MONTH($A67)))*$E67</f>
        <v>0</v>
      </c>
      <c r="CU67" s="1021">
        <f>(VLOOKUP(YEAR($A67),'NY East Load Projections'!$A$4:$EO$14,((MONTH($A67)-1)*12)+VLOOKUP(CU$4,$DE$6:$DF$17,2)+1))*(VLOOKUP($A67,SatSunCurve,8))*(INDEX(DailyScalarsTable,CU$5/100,MONTH($A67)))*$E67</f>
        <v>0</v>
      </c>
      <c r="CV67" s="1021">
        <f>(VLOOKUP(YEAR($A67),'NY East Load Projections'!$A$4:$EO$14,((MONTH($A67)-1)*12)+VLOOKUP(CV$4,$DE$6:$DF$17,2)+1))*(VLOOKUP($A67,SatSunCurve,8))*(INDEX(DailyScalarsTable,CV$5/100,MONTH($A67)))*$E67</f>
        <v>0</v>
      </c>
      <c r="CW67" s="1021">
        <f>(VLOOKUP(YEAR($A67),'NY East Load Projections'!$A$4:$EO$14,((MONTH($A67)-1)*12)+VLOOKUP(CW$4,$DE$6:$DF$17,2)+1))*(VLOOKUP($A67,SatSunCurve,8))*(INDEX(DailyScalarsTable,CW$5/100,MONTH($A67)))*$E67</f>
        <v>0</v>
      </c>
      <c r="CX67" s="1021">
        <f>(VLOOKUP(YEAR($A67),'NY East Load Projections'!$A$4:$EO$14,((MONTH($A67)-1)*12)+VLOOKUP(CX$4,$DE$6:$DF$17,2)+1))*(VLOOKUP($A67,SatSunCurve,8))*(INDEX(DailyScalarsTable,CX$5/100,MONTH($A67)))*$E67</f>
        <v>0</v>
      </c>
      <c r="CY67" s="1021">
        <f>(VLOOKUP(YEAR($A67),'NY East Load Projections'!$A$4:$EO$14,((MONTH($A67)-1)*12)+VLOOKUP(CY$4,$DE$6:$DF$17,2)+1))*(VLOOKUP($A67,SatSunCurve,8))*(INDEX(DailyScalarsTable,CY$5/100,MONTH($A67)))*$E67</f>
        <v>0</v>
      </c>
      <c r="CZ67" s="1021">
        <f>(VLOOKUP(YEAR($A67),'NY East Load Projections'!$A$4:$EO$14,((MONTH($A67)-1)*12)+VLOOKUP(CZ$4,$DE$6:$DF$17,2)+1))*(VLOOKUP($A67,SatSunCurve,8))*(INDEX(DailyScalarsTable,CZ$5/100,MONTH($A67)))*$E67</f>
        <v>0</v>
      </c>
      <c r="DA67" s="1021">
        <f>(VLOOKUP(YEAR($A67),'NY East Load Projections'!$A$4:$EO$14,((MONTH($A67)-1)*12)+VLOOKUP(DA$4,$DE$6:$DF$17,2)+1))*(VLOOKUP($A67,SatSunCurve,8))*(INDEX(DailyScalarsTable,DA$5/100,MONTH($A67)))*$E67</f>
        <v>0</v>
      </c>
      <c r="DB67" s="1021">
        <f>(VLOOKUP(YEAR($A67),'NY East Load Projections'!$A$4:$EO$14,((MONTH($A67)-1)*12)+VLOOKUP(DB$4,$DE$6:$DF$17,2)+1))*(VLOOKUP($A67,CURVES!$D$9:$T$261,8))*(INDEX(DailyScalarsTable,DB$5/100,MONTH($A67)))*$E67</f>
        <v>0</v>
      </c>
      <c r="DH67" s="1021">
        <f t="shared" si="0"/>
        <v>-1926590.58970748</v>
      </c>
      <c r="DI67">
        <f ca="1">CALC!J87</f>
        <v>0.64684058945095924</v>
      </c>
      <c r="DJ67" s="1029">
        <f t="shared" ca="1" si="1"/>
        <v>-1246196.9926770576</v>
      </c>
    </row>
    <row r="68" spans="1:114" x14ac:dyDescent="0.25">
      <c r="A68" s="244">
        <v>38777</v>
      </c>
      <c r="B68" s="13">
        <v>23</v>
      </c>
      <c r="C68" s="210">
        <v>4</v>
      </c>
      <c r="D68" s="210">
        <v>4</v>
      </c>
      <c r="E68" s="210">
        <v>0</v>
      </c>
      <c r="F68" s="13">
        <v>31</v>
      </c>
      <c r="H68" s="1021">
        <f>(VLOOKUP(YEAR($A68),'NY East Load Projections'!$A$4:$EO$14,((MONTH($A68)-1)*12)+VLOOKUP(H$4,$DE$6:$DF$17,2)+1))*(VLOOKUP($A68,CURVES!$D$9:$K$261,8))*(INDEX(DailyScalarsTable,H$5/100,MONTH($A68)))*$B68</f>
        <v>-31562.335606090506</v>
      </c>
      <c r="I68" s="1021">
        <f>(VLOOKUP(YEAR($A68),'NY East Load Projections'!$A$4:$EO$14,((MONTH($A68)-1)*12)+VLOOKUP(I$4,$DE$6:$DF$17,2)+1))*(VLOOKUP($A68,CURVES!$D$9:$K$261,8))*(INDEX(DailyScalarsTable,I$5/100,MONTH($A68)))*$B68</f>
        <v>-29843.588302757216</v>
      </c>
      <c r="J68" s="1021">
        <f>(VLOOKUP(YEAR($A68),'NY East Load Projections'!$A$4:$EO$14,((MONTH($A68)-1)*12)+VLOOKUP(J$4,$DE$6:$DF$17,2)+1))*(VLOOKUP($A68,CURVES!$D$9:$K$261,8))*(INDEX(DailyScalarsTable,J$5/100,MONTH($A68)))*$B68</f>
        <v>-28571.700034104913</v>
      </c>
      <c r="K68" s="1021">
        <f>(VLOOKUP(YEAR($A68),'NY East Load Projections'!$A$4:$EO$14,((MONTH($A68)-1)*12)+VLOOKUP(K$4,$DE$6:$DF$17,2)+1))*(VLOOKUP($A68,CURVES!$D$9:$K$261,8))*(INDEX(DailyScalarsTable,K$5/100,MONTH($A68)))*$B68</f>
        <v>-28589.635452234739</v>
      </c>
      <c r="L68" s="1021">
        <f>(VLOOKUP(YEAR($A68),'NY East Load Projections'!$A$4:$EO$14,((MONTH($A68)-1)*12)+VLOOKUP(L$4,$DE$6:$DF$17,2)+1))*(VLOOKUP($A68,CURVES!$D$9:$K$261,8))*(INDEX(DailyScalarsTable,L$5/100,MONTH($A68)))*$B68</f>
        <v>-34040.612312103396</v>
      </c>
      <c r="M68" s="1021">
        <f>(VLOOKUP(YEAR($A68),'NY East Load Projections'!$A$4:$EO$14,((MONTH($A68)-1)*12)+VLOOKUP(M$4,$DE$6:$DF$17,2)+1))*(VLOOKUP($A68,CURVES!$D$9:$K$261,8))*(INDEX(DailyScalarsTable,M$5/100,MONTH($A68)))*$B68</f>
        <v>-39513.434088110211</v>
      </c>
      <c r="N68" s="1021">
        <f>(VLOOKUP(YEAR($A68),'NY East Load Projections'!$A$4:$EO$14,((MONTH($A68)-1)*12)+VLOOKUP(N$4,$DE$6:$DF$17,2)+1))*(VLOOKUP($A68,CURVES!$D$9:$K$261,8))*(INDEX(DailyScalarsTable,N$5/100,MONTH($A68)))*$B68</f>
        <v>-71297.516921168237</v>
      </c>
      <c r="O68" s="1021">
        <f>(VLOOKUP(YEAR($A68),'NY East Load Projections'!$A$4:$EO$14,((MONTH($A68)-1)*12)+VLOOKUP(O$4,$DE$6:$DF$17,2)+1))*(VLOOKUP($A68,CURVES!$D$9:$K$261,4))*(INDEX(DailyScalarsTable,O$5/100,MONTH($A68)))*$B68</f>
        <v>-76380.698833540504</v>
      </c>
      <c r="P68" s="1021">
        <f>(VLOOKUP(YEAR($A68),'NY East Load Projections'!$A$4:$EO$14,((MONTH($A68)-1)*12)+VLOOKUP(P$4,$DE$6:$DF$17,2)+1))*(VLOOKUP($A68,CURVES!$D$9:$K$261,4))*(INDEX(DailyScalarsTable,P$5/100,MONTH($A68)))*$B68</f>
        <v>-89231.586842925171</v>
      </c>
      <c r="Q68" s="1021">
        <f>(VLOOKUP(YEAR($A68),'NY East Load Projections'!$A$4:$EO$14,((MONTH($A68)-1)*12)+VLOOKUP(Q$4,$DE$6:$DF$17,2)+1))*(VLOOKUP($A68,CURVES!$D$9:$K$261,4))*(INDEX(DailyScalarsTable,Q$5/100,MONTH($A68)))*$B68</f>
        <v>-88961.597170178036</v>
      </c>
      <c r="R68" s="1021">
        <f>(VLOOKUP(YEAR($A68),'NY East Load Projections'!$A$4:$EO$14,((MONTH($A68)-1)*12)+VLOOKUP(R$4,$DE$6:$DF$17,2)+1))*(VLOOKUP($A68,CURVES!$D$9:$K$261,4))*(INDEX(DailyScalarsTable,R$5/100,MONTH($A68)))*$B68</f>
        <v>-87394.157125618338</v>
      </c>
      <c r="S68" s="1021">
        <f>(VLOOKUP(YEAR($A68),'NY East Load Projections'!$A$4:$EO$14,((MONTH($A68)-1)*12)+VLOOKUP(S$4,$DE$6:$DF$17,2)+1))*(VLOOKUP($A68,CURVES!$D$9:$K$261,4))*(INDEX(DailyScalarsTable,S$5/100,MONTH($A68)))*$B68</f>
        <v>-66777.445726122518</v>
      </c>
      <c r="T68" s="1021">
        <f>(VLOOKUP(YEAR($A68),'NY East Load Projections'!$A$4:$EO$14,((MONTH($A68)-1)*12)+VLOOKUP(T$4,$DE$6:$DF$17,2)+1))*(VLOOKUP($A68,CURVES!$D$9:$K$261,4))*(INDEX(DailyScalarsTable,T$5/100,MONTH($A68)))*$B68</f>
        <v>-66969.106811580248</v>
      </c>
      <c r="U68" s="1021">
        <f>(VLOOKUP(YEAR($A68),'NY East Load Projections'!$A$4:$EO$14,((MONTH($A68)-1)*12)+VLOOKUP(U$4,$DE$6:$DF$17,2)+1))*(VLOOKUP($A68,CURVES!$D$9:$K$261,4))*(INDEX(DailyScalarsTable,U$5/100,MONTH($A68)))*$B68</f>
        <v>-64831.794892061735</v>
      </c>
      <c r="V68" s="1021">
        <f>(VLOOKUP(YEAR($A68),'NY East Load Projections'!$A$4:$EO$14,((MONTH($A68)-1)*12)+VLOOKUP(V$4,$DE$6:$DF$17,2)+1))*(VLOOKUP($A68,CURVES!$D$9:$K$261,4))*(INDEX(DailyScalarsTable,V$5/100,MONTH($A68)))*$B68</f>
        <v>-61571.619826419359</v>
      </c>
      <c r="W68" s="1021">
        <f>(VLOOKUP(YEAR($A68),'NY East Load Projections'!$A$4:$EO$14,((MONTH($A68)-1)*12)+VLOOKUP(W$4,$DE$6:$DF$17,2)+1))*(VLOOKUP($A68,CURVES!$D$9:$K$261,4))*(INDEX(DailyScalarsTable,W$5/100,MONTH($A68)))*$B68</f>
        <v>-60348.086191332666</v>
      </c>
      <c r="X68" s="1021">
        <f>(VLOOKUP(YEAR($A68),'NY East Load Projections'!$A$4:$EO$14,((MONTH($A68)-1)*12)+VLOOKUP(X$4,$DE$6:$DF$17,2)+1))*(VLOOKUP($A68,CURVES!$D$9:$K$261,4))*(INDEX(DailyScalarsTable,X$5/100,MONTH($A68)))*$B68</f>
        <v>-62057.012687436778</v>
      </c>
      <c r="Y68" s="1021">
        <f>(VLOOKUP(YEAR($A68),'NY East Load Projections'!$A$4:$EO$14,((MONTH($A68)-1)*12)+VLOOKUP(Y$4,$DE$6:$DF$17,2)+1))*(VLOOKUP($A68,CURVES!$D$9:$K$261,4))*(INDEX(DailyScalarsTable,Y$5/100,MONTH($A68)))*$B68</f>
        <v>-84605.270475350771</v>
      </c>
      <c r="Z68" s="1021">
        <f>(VLOOKUP(YEAR($A68),'NY East Load Projections'!$A$4:$EO$14,((MONTH($A68)-1)*12)+VLOOKUP(Z$4,$DE$6:$DF$17,2)+1))*(VLOOKUP($A68,CURVES!$D$9:$K$261,4))*(INDEX(DailyScalarsTable,Z$5/100,MONTH($A68)))*$B68</f>
        <v>-92902.912473105956</v>
      </c>
      <c r="AA68" s="1021">
        <f>(VLOOKUP(YEAR($A68),'NY East Load Projections'!$A$4:$EO$14,((MONTH($A68)-1)*12)+VLOOKUP(AA$4,$DE$6:$DF$17,2)+1))*(VLOOKUP($A68,CURVES!$D$9:$K$261,4))*(INDEX(DailyScalarsTable,AA$5/100,MONTH($A68)))*$B68</f>
        <v>-88892.872458345752</v>
      </c>
      <c r="AB68" s="1021">
        <f>(VLOOKUP(YEAR($A68),'NY East Load Projections'!$A$4:$EO$14,((MONTH($A68)-1)*12)+VLOOKUP(AB$4,$DE$6:$DF$17,2)+1))*(VLOOKUP($A68,CURVES!$D$9:$K$261,4))*(INDEX(DailyScalarsTable,AB$5/100,MONTH($A68)))*$B68</f>
        <v>-74745.802538659991</v>
      </c>
      <c r="AC68" s="1021">
        <f>(VLOOKUP(YEAR($A68),'NY East Load Projections'!$A$4:$EO$14,((MONTH($A68)-1)*12)+VLOOKUP(AC$4,$DE$6:$DF$17,2)+1))*(VLOOKUP($A68,CURVES!$D$9:$K$261,4))*(INDEX(DailyScalarsTable,AC$5/100,MONTH($A68)))*$B68</f>
        <v>-54275.726845599318</v>
      </c>
      <c r="AD68" s="1021">
        <f>(VLOOKUP(YEAR($A68),'NY East Load Projections'!$A$4:$EO$14,((MONTH($A68)-1)*12)+VLOOKUP(AD$4,$DE$6:$DF$17,2)+1))*(VLOOKUP($A68,CURVES!$D$9:$K$261,4))*(INDEX(DailyScalarsTable,AD$5/100,MONTH($A68)))*$B68</f>
        <v>-44549.829912353016</v>
      </c>
      <c r="AE68" s="1021">
        <f>(VLOOKUP(YEAR($A68),'NY East Load Projections'!$A$4:$EO$14,((MONTH($A68)-1)*12)+VLOOKUP(AE$4,$DE$6:$DF$17,2)+1))*(VLOOKUP($A68,CURVES!$D$9:$K$261,8))*(INDEX(DailyScalarsTable,AE$5/100,MONTH($A68)))*$B68</f>
        <v>-40270.241084884532</v>
      </c>
      <c r="AF68" s="1021"/>
      <c r="AG68" s="1021">
        <f>(VLOOKUP(YEAR($A68),'NY East Load Projections'!$A$4:$EO$14,((MONTH($A68)-1)*12)+VLOOKUP(AG$4,$DE$6:$DF$17,2)+1))*(VLOOKUP($A68,CURVES!$D$9:$T$261,8))*(INDEX(DailyScalarsTable,AG$5/100,MONTH($A68)))*$C68</f>
        <v>-6146.2132550246351</v>
      </c>
      <c r="AH68" s="1021">
        <f>(VLOOKUP(YEAR($A68),'NY East Load Projections'!$A$4:$EO$14,((MONTH($A68)-1)*12)+VLOOKUP(AH$4,$DE$6:$DF$17,2)+1))*(VLOOKUP($A68,CURVES!$D$9:$T$261,8))*(INDEX(DailyScalarsTable,AH$5/100,MONTH($A68)))*$C68</f>
        <v>-5811.5172556656253</v>
      </c>
      <c r="AI68" s="1021">
        <f>(VLOOKUP(YEAR($A68),'NY East Load Projections'!$A$4:$EO$14,((MONTH($A68)-1)*12)+VLOOKUP(AI$4,$DE$6:$DF$17,2)+1))*(VLOOKUP($A68,CURVES!$D$9:$T$261,8))*(INDEX(DailyScalarsTable,AI$5/100,MONTH($A68)))*$C68</f>
        <v>-5563.8392437065659</v>
      </c>
      <c r="AJ68" s="1021">
        <f>(VLOOKUP(YEAR($A68),'NY East Load Projections'!$A$4:$EO$14,((MONTH($A68)-1)*12)+VLOOKUP(AJ$4,$DE$6:$DF$17,2)+1))*(VLOOKUP($A68,CURVES!$D$9:$T$261,8))*(INDEX(DailyScalarsTable,AJ$5/100,MONTH($A68)))*$C68</f>
        <v>-5567.331852936115</v>
      </c>
      <c r="AK68" s="1021">
        <f>(VLOOKUP(YEAR($A68),'NY East Load Projections'!$A$4:$EO$14,((MONTH($A68)-1)*12)+VLOOKUP(AK$4,$DE$6:$DF$17,2)+1))*(VLOOKUP($A68,CURVES!$D$9:$T$261,8))*(INDEX(DailyScalarsTable,AK$5/100,MONTH($A68)))*$C68</f>
        <v>-6061.2575723993095</v>
      </c>
      <c r="AL68" s="1021">
        <f>(VLOOKUP(YEAR($A68),'NY East Load Projections'!$A$4:$EO$14,((MONTH($A68)-1)*12)+VLOOKUP(AL$4,$DE$6:$DF$17,2)+1))*(VLOOKUP($A68,CURVES!$D$9:$T$261,8))*(INDEX(DailyScalarsTable,AL$5/100,MONTH($A68)))*$C68</f>
        <v>-7035.7459901772281</v>
      </c>
      <c r="AM68" s="1021">
        <f>(VLOOKUP(YEAR($A68),'NY East Load Projections'!$A$4:$EO$14,((MONTH($A68)-1)*12)+VLOOKUP(AM$4,$DE$6:$DF$17,2)+1))*(VLOOKUP($A68,CURVES!$D$9:$T$261,8))*(INDEX(DailyScalarsTable,AM$5/100,MONTH($A68)))*$C68</f>
        <v>-12695.206842035675</v>
      </c>
      <c r="AN68" s="1021">
        <f>(VLOOKUP(YEAR($A68),'NY East Load Projections'!$A$4:$EO$14,((MONTH($A68)-1)*12)+VLOOKUP(AN$4,$DE$6:$DF$17,2)+1))*(VLOOKUP($A68,SatSunCurve,4))*(INDEX(DailyScalarsTable,AN$5/100,MONTH($A68)))*$C68</f>
        <v>-8834.0600058848322</v>
      </c>
      <c r="AO68" s="1021">
        <f>(VLOOKUP(YEAR($A68),'NY East Load Projections'!$A$4:$EO$14,((MONTH($A68)-1)*12)+VLOOKUP(AO$4,$DE$6:$DF$17,2)+1))*(VLOOKUP($A68,SatSunCurve,4))*(INDEX(DailyScalarsTable,AO$5/100,MONTH($A68)))*$C68</f>
        <v>-9919.9757434983258</v>
      </c>
      <c r="AP68" s="1021">
        <f>(VLOOKUP(YEAR($A68),'NY East Load Projections'!$A$4:$EO$14,((MONTH($A68)-1)*12)+VLOOKUP(AP$4,$DE$6:$DF$17,2)+1))*(VLOOKUP($A68,SatSunCurve,4))*(INDEX(DailyScalarsTable,AP$5/100,MONTH($A68)))*$C68</f>
        <v>-9889.9606882986336</v>
      </c>
      <c r="AQ68" s="1021">
        <f>(VLOOKUP(YEAR($A68),'NY East Load Projections'!$A$4:$EO$14,((MONTH($A68)-1)*12)+VLOOKUP(AQ$4,$DE$6:$DF$17,2)+1))*(VLOOKUP($A68,SatSunCurve,4))*(INDEX(DailyScalarsTable,AQ$5/100,MONTH($A68)))*$C68</f>
        <v>-9715.7066178337536</v>
      </c>
      <c r="AR68" s="1021">
        <f>(VLOOKUP(YEAR($A68),'NY East Load Projections'!$A$4:$EO$14,((MONTH($A68)-1)*12)+VLOOKUP(AR$4,$DE$6:$DF$17,2)+1))*(VLOOKUP($A68,SatSunCurve,4))*(INDEX(DailyScalarsTable,AR$5/100,MONTH($A68)))*$C68</f>
        <v>-7423.7236527239111</v>
      </c>
      <c r="AS68" s="1021">
        <f>(VLOOKUP(YEAR($A68),'NY East Load Projections'!$A$4:$EO$14,((MONTH($A68)-1)*12)+VLOOKUP(AS$4,$DE$6:$DF$17,2)+1))*(VLOOKUP($A68,SatSunCurve,4))*(INDEX(DailyScalarsTable,AS$5/100,MONTH($A68)))*$C68</f>
        <v>-7246.0284155940781</v>
      </c>
      <c r="AT68" s="1021">
        <f>(VLOOKUP(YEAR($A68),'NY East Load Projections'!$A$4:$EO$14,((MONTH($A68)-1)*12)+VLOOKUP(AT$4,$DE$6:$DF$17,2)+1))*(VLOOKUP($A68,SatSunCurve,4))*(INDEX(DailyScalarsTable,AT$5/100,MONTH($A68)))*$C68</f>
        <v>-7014.77218956448</v>
      </c>
      <c r="AU68" s="1021">
        <f>(VLOOKUP(YEAR($A68),'NY East Load Projections'!$A$4:$EO$14,((MONTH($A68)-1)*12)+VLOOKUP(AU$4,$DE$6:$DF$17,2)+1))*(VLOOKUP($A68,SatSunCurve,4))*(INDEX(DailyScalarsTable,AU$5/100,MONTH($A68)))*$C68</f>
        <v>-6662.0226563816514</v>
      </c>
      <c r="AV68" s="1021">
        <f>(VLOOKUP(YEAR($A68),'NY East Load Projections'!$A$4:$EO$14,((MONTH($A68)-1)*12)+VLOOKUP(AV$4,$DE$6:$DF$17,2)+1))*(VLOOKUP($A68,SatSunCurve,4))*(INDEX(DailyScalarsTable,AV$5/100,MONTH($A68)))*$C68</f>
        <v>-6529.6368458284751</v>
      </c>
      <c r="AW68" s="1021">
        <f>(VLOOKUP(YEAR($A68),'NY East Load Projections'!$A$4:$EO$14,((MONTH($A68)-1)*12)+VLOOKUP(AW$4,$DE$6:$DF$17,2)+1))*(VLOOKUP($A68,SatSunCurve,4))*(INDEX(DailyScalarsTable,AW$5/100,MONTH($A68)))*$C68</f>
        <v>-6815.4246169342987</v>
      </c>
      <c r="AX68" s="1021">
        <f>(VLOOKUP(YEAR($A68),'NY East Load Projections'!$A$4:$EO$14,((MONTH($A68)-1)*12)+VLOOKUP(AX$4,$DE$6:$DF$17,2)+1))*(VLOOKUP($A68,SatSunCurve,4))*(INDEX(DailyScalarsTable,AX$5/100,MONTH($A68)))*$C68</f>
        <v>-9291.7918241466559</v>
      </c>
      <c r="AY68" s="1021">
        <f>(VLOOKUP(YEAR($A68),'NY East Load Projections'!$A$4:$EO$14,((MONTH($A68)-1)*12)+VLOOKUP(AY$4,$DE$6:$DF$17,2)+1))*(VLOOKUP($A68,SatSunCurve,4))*(INDEX(DailyScalarsTable,AY$5/100,MONTH($A68)))*$C68</f>
        <v>-10203.082121326195</v>
      </c>
      <c r="AZ68" s="1021">
        <f>(VLOOKUP(YEAR($A68),'NY East Load Projections'!$A$4:$EO$14,((MONTH($A68)-1)*12)+VLOOKUP(AZ$4,$DE$6:$DF$17,2)+1))*(VLOOKUP($A68,SatSunCurve,4))*(INDEX(DailyScalarsTable,AZ$5/100,MONTH($A68)))*$C68</f>
        <v>-9762.678623833619</v>
      </c>
      <c r="BA68" s="1021">
        <f>(VLOOKUP(YEAR($A68),'NY East Load Projections'!$A$4:$EO$14,((MONTH($A68)-1)*12)+VLOOKUP(BA$4,$DE$6:$DF$17,2)+1))*(VLOOKUP($A68,SatSunCurve,4))*(INDEX(DailyScalarsTable,BA$5/100,MONTH($A68)))*$C68</f>
        <v>-8875.0191234209287</v>
      </c>
      <c r="BB68" s="1021">
        <f>(VLOOKUP(YEAR($A68),'NY East Load Projections'!$A$4:$EO$14,((MONTH($A68)-1)*12)+VLOOKUP(BB$4,$DE$6:$DF$17,2)+1))*(VLOOKUP($A68,SatSunCurve,4))*(INDEX(DailyScalarsTable,BB$5/100,MONTH($A68)))*$C68</f>
        <v>-6444.48380152345</v>
      </c>
      <c r="BC68" s="1021">
        <f>(VLOOKUP(YEAR($A68),'NY East Load Projections'!$A$4:$EO$14,((MONTH($A68)-1)*12)+VLOOKUP(BC$4,$DE$6:$DF$17,2)+1))*(VLOOKUP($A68,SatSunCurve,4))*(INDEX(DailyScalarsTable,BC$5/100,MONTH($A68)))*$C68</f>
        <v>-5289.6695063617008</v>
      </c>
      <c r="BD68" s="1021">
        <f>(VLOOKUP(YEAR($A68),'NY East Load Projections'!$A$4:$EO$14,((MONTH($A68)-1)*12)+VLOOKUP(BD$4,$DE$6:$DF$17,2)+1))*(VLOOKUP($A68,CURVES!$D$9:$T$261,8))*(INDEX(DailyScalarsTable,BD$5/100,MONTH($A68)))*$C68</f>
        <v>-7361.3145705503666</v>
      </c>
      <c r="BE68" s="1021"/>
      <c r="BF68" s="1021">
        <f>(VLOOKUP(YEAR($A68),'NY East Load Projections'!$A$4:$EO$14,((MONTH($A68)-1)*12)+VLOOKUP(BF$4,$DE$6:$DF$17,2)+1))*(VLOOKUP($A68,CURVES!$D$9:$T$261,8))*(INDEX(DailyScalarsTable,BF$5/100,MONTH($A68)))*$D68</f>
        <v>-6146.2132550246351</v>
      </c>
      <c r="BG68" s="1021">
        <f>(VLOOKUP(YEAR($A68),'NY East Load Projections'!$A$4:$EO$14,((MONTH($A68)-1)*12)+VLOOKUP(BG$4,$DE$6:$DF$17,2)+1))*(VLOOKUP($A68,CURVES!$D$9:$T$261,8))*(INDEX(DailyScalarsTable,BG$5/100,MONTH($A68)))*$D68</f>
        <v>-5811.5172556656253</v>
      </c>
      <c r="BH68" s="1021">
        <f>(VLOOKUP(YEAR($A68),'NY East Load Projections'!$A$4:$EO$14,((MONTH($A68)-1)*12)+VLOOKUP(BH$4,$DE$6:$DF$17,2)+1))*(VLOOKUP($A68,CURVES!$D$9:$T$261,8))*(INDEX(DailyScalarsTable,BH$5/100,MONTH($A68)))*$D68</f>
        <v>-5563.8392437065659</v>
      </c>
      <c r="BI68" s="1021">
        <f>(VLOOKUP(YEAR($A68),'NY East Load Projections'!$A$4:$EO$14,((MONTH($A68)-1)*12)+VLOOKUP(BI$4,$DE$6:$DF$17,2)+1))*(VLOOKUP($A68,CURVES!$D$9:$T$261,8))*(INDEX(DailyScalarsTable,BI$5/100,MONTH($A68)))*$D68</f>
        <v>-5567.331852936115</v>
      </c>
      <c r="BJ68" s="1021">
        <f>(VLOOKUP(YEAR($A68),'NY East Load Projections'!$A$4:$EO$14,((MONTH($A68)-1)*12)+VLOOKUP(BJ$4,$DE$6:$DF$17,2)+1))*(VLOOKUP($A68,CURVES!$D$9:$T$261,8))*(INDEX(DailyScalarsTable,BJ$5/100,MONTH($A68)))*$D68</f>
        <v>-6061.2575723993095</v>
      </c>
      <c r="BK68" s="1021">
        <f>(VLOOKUP(YEAR($A68),'NY East Load Projections'!$A$4:$EO$14,((MONTH($A68)-1)*12)+VLOOKUP(BK$4,$DE$6:$DF$17,2)+1))*(VLOOKUP($A68,CURVES!$D$9:$T$261,8))*(INDEX(DailyScalarsTable,BK$5/100,MONTH($A68)))*$D68</f>
        <v>-7035.7459901772281</v>
      </c>
      <c r="BL68" s="1021">
        <f>(VLOOKUP(YEAR($A68),'NY East Load Projections'!$A$4:$EO$14,((MONTH($A68)-1)*12)+VLOOKUP(BL$4,$DE$6:$DF$17,2)+1))*(VLOOKUP($A68,CURVES!$D$9:$T$261,8))*(INDEX(DailyScalarsTable,BL$5/100,MONTH($A68)))*$D68</f>
        <v>-12695.206842035675</v>
      </c>
      <c r="BM68" s="1021">
        <f>(VLOOKUP(YEAR($A68),'NY East Load Projections'!$A$4:$EO$14,((MONTH($A68)-1)*12)+VLOOKUP(BM$4,$DE$6:$DF$17,2)+1))*(VLOOKUP($A68,SatSunCurve,8))*(INDEX(DailyScalarsTable,BM$5/100,MONTH($A68)))*$D68</f>
        <v>-9818.2188964709476</v>
      </c>
      <c r="BN68" s="1021">
        <f>(VLOOKUP(YEAR($A68),'NY East Load Projections'!$A$4:$EO$14,((MONTH($A68)-1)*12)+VLOOKUP(BN$4,$DE$6:$DF$17,2)+1))*(VLOOKUP($A68,SatSunCurve,8))*(INDEX(DailyScalarsTable,BN$5/100,MONTH($A68)))*$D68</f>
        <v>-11025.111130382606</v>
      </c>
      <c r="BO68" s="1021">
        <f>(VLOOKUP(YEAR($A68),'NY East Load Projections'!$A$4:$EO$14,((MONTH($A68)-1)*12)+VLOOKUP(BO$4,$DE$6:$DF$17,2)+1))*(VLOOKUP($A68,SatSunCurve,8))*(INDEX(DailyScalarsTable,BO$5/100,MONTH($A68)))*$D68</f>
        <v>-10991.752246478271</v>
      </c>
      <c r="BP68" s="1021">
        <f>(VLOOKUP(YEAR($A68),'NY East Load Projections'!$A$4:$EO$14,((MONTH($A68)-1)*12)+VLOOKUP(BP$4,$DE$6:$DF$17,2)+1))*(VLOOKUP($A68,SatSunCurve,8))*(INDEX(DailyScalarsTable,BP$5/100,MONTH($A68)))*$D68</f>
        <v>-10798.085392700328</v>
      </c>
      <c r="BQ68" s="1021">
        <f>(VLOOKUP(YEAR($A68),'NY East Load Projections'!$A$4:$EO$14,((MONTH($A68)-1)*12)+VLOOKUP(BQ$4,$DE$6:$DF$17,2)+1))*(VLOOKUP($A68,SatSunCurve,8))*(INDEX(DailyScalarsTable,BQ$5/100,MONTH($A68)))*$D68</f>
        <v>-8250.7639523387716</v>
      </c>
      <c r="BR68" s="1021">
        <f>(VLOOKUP(YEAR($A68),'NY East Load Projections'!$A$4:$EO$14,((MONTH($A68)-1)*12)+VLOOKUP(BR$4,$DE$6:$DF$17,2)+1))*(VLOOKUP($A68,SatSunCurve,8))*(INDEX(DailyScalarsTable,BR$5/100,MONTH($A68)))*$D68</f>
        <v>-8053.2725685538771</v>
      </c>
      <c r="BS68" s="1021">
        <f>(VLOOKUP(YEAR($A68),'NY East Load Projections'!$A$4:$EO$14,((MONTH($A68)-1)*12)+VLOOKUP(BS$4,$DE$6:$DF$17,2)+1))*(VLOOKUP($A68,SatSunCurve,8))*(INDEX(DailyScalarsTable,BS$5/100,MONTH($A68)))*$D68</f>
        <v>-7796.2532312596049</v>
      </c>
      <c r="BT68" s="1021">
        <f>(VLOOKUP(YEAR($A68),'NY East Load Projections'!$A$4:$EO$14,((MONTH($A68)-1)*12)+VLOOKUP(BT$4,$DE$6:$DF$17,2)+1))*(VLOOKUP($A68,SatSunCurve,8))*(INDEX(DailyScalarsTable,BT$5/100,MONTH($A68)))*$D68</f>
        <v>-7404.2056189375435</v>
      </c>
      <c r="BU68" s="1021">
        <f>(VLOOKUP(YEAR($A68),'NY East Load Projections'!$A$4:$EO$14,((MONTH($A68)-1)*12)+VLOOKUP(BU$4,$DE$6:$DF$17,2)+1))*(VLOOKUP($A68,SatSunCurve,8))*(INDEX(DailyScalarsTable,BU$5/100,MONTH($A68)))*$D68</f>
        <v>-7257.0713606314011</v>
      </c>
      <c r="BV68" s="1021">
        <f>(VLOOKUP(YEAR($A68),'NY East Load Projections'!$A$4:$EO$14,((MONTH($A68)-1)*12)+VLOOKUP(BV$4,$DE$6:$DF$17,2)+1))*(VLOOKUP($A68,SatSunCurve,8))*(INDEX(DailyScalarsTable,BV$5/100,MONTH($A68)))*$D68</f>
        <v>-7574.6973324702094</v>
      </c>
      <c r="BW68" s="1021">
        <f>(VLOOKUP(YEAR($A68),'NY East Load Projections'!$A$4:$EO$14,((MONTH($A68)-1)*12)+VLOOKUP(BW$4,$DE$6:$DF$17,2)+1))*(VLOOKUP($A68,SatSunCurve,8))*(INDEX(DailyScalarsTable,BW$5/100,MONTH($A68)))*$D68</f>
        <v>-10326.944350518177</v>
      </c>
      <c r="BX68" s="1021">
        <f>(VLOOKUP(YEAR($A68),'NY East Load Projections'!$A$4:$EO$14,((MONTH($A68)-1)*12)+VLOOKUP(BX$4,$DE$6:$DF$17,2)+1))*(VLOOKUP($A68,SatSunCurve,8))*(INDEX(DailyScalarsTable,BX$5/100,MONTH($A68)))*$D68</f>
        <v>-11339.756988193101</v>
      </c>
      <c r="BY68" s="1021">
        <f>(VLOOKUP(YEAR($A68),'NY East Load Projections'!$A$4:$EO$14,((MONTH($A68)-1)*12)+VLOOKUP(BY$4,$DE$6:$DF$17,2)+1))*(VLOOKUP($A68,SatSunCurve,8))*(INDEX(DailyScalarsTable,BY$5/100,MONTH($A68)))*$D68</f>
        <v>-10850.290317344921</v>
      </c>
      <c r="BZ68" s="1021">
        <f>(VLOOKUP(YEAR($A68),'NY East Load Projections'!$A$4:$EO$14,((MONTH($A68)-1)*12)+VLOOKUP(BZ$4,$DE$6:$DF$17,2)+1))*(VLOOKUP($A68,SatSunCurve,8))*(INDEX(DailyScalarsTable,BZ$5/100,MONTH($A68)))*$D68</f>
        <v>-9863.741066515955</v>
      </c>
      <c r="CA68" s="1021">
        <f>(VLOOKUP(YEAR($A68),'NY East Load Projections'!$A$4:$EO$14,((MONTH($A68)-1)*12)+VLOOKUP(CA$4,$DE$6:$DF$17,2)+1))*(VLOOKUP($A68,SatSunCurve,8))*(INDEX(DailyScalarsTable,CA$5/100,MONTH($A68)))*$D68</f>
        <v>-7162.431837226457</v>
      </c>
      <c r="CB68" s="1021">
        <f>(VLOOKUP(YEAR($A68),'NY East Load Projections'!$A$4:$EO$14,((MONTH($A68)-1)*12)+VLOOKUP(CB$4,$DE$6:$DF$17,2)+1))*(VLOOKUP($A68,SatSunCurve,8))*(INDEX(DailyScalarsTable,CB$5/100,MONTH($A68)))*$D68</f>
        <v>-5878.9653985653122</v>
      </c>
      <c r="CC68" s="1021">
        <f>(VLOOKUP(YEAR($A68),'NY East Load Projections'!$A$4:$EO$14,((MONTH($A68)-1)*12)+VLOOKUP(CC$4,$DE$6:$DF$17,2)+1))*(VLOOKUP($A68,CURVES!$D$9:$T$261,8))*(INDEX(DailyScalarsTable,CC$5/100,MONTH($A68)))*$D68</f>
        <v>-7361.3145705503666</v>
      </c>
      <c r="CE68" s="1021">
        <f>(VLOOKUP(YEAR($A68),'NY East Load Projections'!$A$4:$EO$14,((MONTH($A68)-1)*12)+VLOOKUP(CE$4,$DE$6:$DF$17,2)+1))*(VLOOKUP($A68,CURVES!$D$9:$T$261,8))*(INDEX(DailyScalarsTable,CE$5/100,MONTH($A68)))*$E68</f>
        <v>0</v>
      </c>
      <c r="CF68" s="1021">
        <f>(VLOOKUP(YEAR($A68),'NY East Load Projections'!$A$4:$EO$14,((MONTH($A68)-1)*12)+VLOOKUP(CF$4,$DE$6:$DF$17,2)+1))*(VLOOKUP($A68,CURVES!$D$9:$T$261,8))*(INDEX(DailyScalarsTable,CF$5/100,MONTH($A68)))*$E68</f>
        <v>0</v>
      </c>
      <c r="CG68" s="1021">
        <f>(VLOOKUP(YEAR($A68),'NY East Load Projections'!$A$4:$EO$14,((MONTH($A68)-1)*12)+VLOOKUP(CG$4,$DE$6:$DF$17,2)+1))*(VLOOKUP($A68,CURVES!$D$9:$T$261,8))*(INDEX(DailyScalarsTable,CG$5/100,MONTH($A68)))*$E68</f>
        <v>0</v>
      </c>
      <c r="CH68" s="1021">
        <f>(VLOOKUP(YEAR($A68),'NY East Load Projections'!$A$4:$EO$14,((MONTH($A68)-1)*12)+VLOOKUP(CH$4,$DE$6:$DF$17,2)+1))*(VLOOKUP($A68,CURVES!$D$9:$T$261,8))*(INDEX(DailyScalarsTable,CH$5/100,MONTH($A68)))*$E68</f>
        <v>0</v>
      </c>
      <c r="CI68" s="1021">
        <f>(VLOOKUP(YEAR($A68),'NY East Load Projections'!$A$4:$EO$14,((MONTH($A68)-1)*12)+VLOOKUP(CI$4,$DE$6:$DF$17,2)+1))*(VLOOKUP($A68,CURVES!$D$9:$T$261,8))*(INDEX(DailyScalarsTable,CI$5/100,MONTH($A68)))*$E68</f>
        <v>0</v>
      </c>
      <c r="CJ68" s="1021">
        <f>(VLOOKUP(YEAR($A68),'NY East Load Projections'!$A$4:$EO$14,((MONTH($A68)-1)*12)+VLOOKUP(CJ$4,$DE$6:$DF$17,2)+1))*(VLOOKUP($A68,CURVES!$D$9:$T$261,8))*(INDEX(DailyScalarsTable,CJ$5/100,MONTH($A68)))*$E68</f>
        <v>0</v>
      </c>
      <c r="CK68" s="1021">
        <f>(VLOOKUP(YEAR($A68),'NY East Load Projections'!$A$4:$EO$14,((MONTH($A68)-1)*12)+VLOOKUP(CK$4,$DE$6:$DF$17,2)+1))*(VLOOKUP($A68,CURVES!$D$9:$T$261,8))*(INDEX(DailyScalarsTable,CK$5/100,MONTH($A68)))*$E68</f>
        <v>0</v>
      </c>
      <c r="CL68" s="1021">
        <f>(VLOOKUP(YEAR($A68),'NY East Load Projections'!$A$4:$EO$14,((MONTH($A68)-1)*12)+VLOOKUP(CL$4,$DE$6:$DF$17,2)+1))*(VLOOKUP($A68,SatSunCurve,8))*(INDEX(DailyScalarsTable,CL$5/100,MONTH($A68)))*$E68</f>
        <v>0</v>
      </c>
      <c r="CM68" s="1021">
        <f>(VLOOKUP(YEAR($A68),'NY East Load Projections'!$A$4:$EO$14,((MONTH($A68)-1)*12)+VLOOKUP(CM$4,$DE$6:$DF$17,2)+1))*(VLOOKUP($A68,SatSunCurve,8))*(INDEX(DailyScalarsTable,CM$5/100,MONTH($A68)))*$E68</f>
        <v>0</v>
      </c>
      <c r="CN68" s="1021">
        <f>(VLOOKUP(YEAR($A68),'NY East Load Projections'!$A$4:$EO$14,((MONTH($A68)-1)*12)+VLOOKUP(CN$4,$DE$6:$DF$17,2)+1))*(VLOOKUP($A68,SatSunCurve,8))*(INDEX(DailyScalarsTable,CN$5/100,MONTH($A68)))*$E68</f>
        <v>0</v>
      </c>
      <c r="CO68" s="1021">
        <f>(VLOOKUP(YEAR($A68),'NY East Load Projections'!$A$4:$EO$14,((MONTH($A68)-1)*12)+VLOOKUP(CO$4,$DE$6:$DF$17,2)+1))*(VLOOKUP($A68,SatSunCurve,8))*(INDEX(DailyScalarsTable,CO$5/100,MONTH($A68)))*$E68</f>
        <v>0</v>
      </c>
      <c r="CP68" s="1021">
        <f>(VLOOKUP(YEAR($A68),'NY East Load Projections'!$A$4:$EO$14,((MONTH($A68)-1)*12)+VLOOKUP(CP$4,$DE$6:$DF$17,2)+1))*(VLOOKUP($A68,SatSunCurve,8))*(INDEX(DailyScalarsTable,CP$5/100,MONTH($A68)))*$E68</f>
        <v>0</v>
      </c>
      <c r="CQ68" s="1021">
        <f>(VLOOKUP(YEAR($A68),'NY East Load Projections'!$A$4:$EO$14,((MONTH($A68)-1)*12)+VLOOKUP(CQ$4,$DE$6:$DF$17,2)+1))*(VLOOKUP($A68,SatSunCurve,8))*(INDEX(DailyScalarsTable,CQ$5/100,MONTH($A68)))*$E68</f>
        <v>0</v>
      </c>
      <c r="CR68" s="1021">
        <f>(VLOOKUP(YEAR($A68),'NY East Load Projections'!$A$4:$EO$14,((MONTH($A68)-1)*12)+VLOOKUP(CR$4,$DE$6:$DF$17,2)+1))*(VLOOKUP($A68,SatSunCurve,8))*(INDEX(DailyScalarsTable,CR$5/100,MONTH($A68)))*$E68</f>
        <v>0</v>
      </c>
      <c r="CS68" s="1021">
        <f>(VLOOKUP(YEAR($A68),'NY East Load Projections'!$A$4:$EO$14,((MONTH($A68)-1)*12)+VLOOKUP(CS$4,$DE$6:$DF$17,2)+1))*(VLOOKUP($A68,SatSunCurve,8))*(INDEX(DailyScalarsTable,CS$5/100,MONTH($A68)))*$E68</f>
        <v>0</v>
      </c>
      <c r="CT68" s="1021">
        <f>(VLOOKUP(YEAR($A68),'NY East Load Projections'!$A$4:$EO$14,((MONTH($A68)-1)*12)+VLOOKUP(CT$4,$DE$6:$DF$17,2)+1))*(VLOOKUP($A68,SatSunCurve,8))*(INDEX(DailyScalarsTable,CT$5/100,MONTH($A68)))*$E68</f>
        <v>0</v>
      </c>
      <c r="CU68" s="1021">
        <f>(VLOOKUP(YEAR($A68),'NY East Load Projections'!$A$4:$EO$14,((MONTH($A68)-1)*12)+VLOOKUP(CU$4,$DE$6:$DF$17,2)+1))*(VLOOKUP($A68,SatSunCurve,8))*(INDEX(DailyScalarsTable,CU$5/100,MONTH($A68)))*$E68</f>
        <v>0</v>
      </c>
      <c r="CV68" s="1021">
        <f>(VLOOKUP(YEAR($A68),'NY East Load Projections'!$A$4:$EO$14,((MONTH($A68)-1)*12)+VLOOKUP(CV$4,$DE$6:$DF$17,2)+1))*(VLOOKUP($A68,SatSunCurve,8))*(INDEX(DailyScalarsTable,CV$5/100,MONTH($A68)))*$E68</f>
        <v>0</v>
      </c>
      <c r="CW68" s="1021">
        <f>(VLOOKUP(YEAR($A68),'NY East Load Projections'!$A$4:$EO$14,((MONTH($A68)-1)*12)+VLOOKUP(CW$4,$DE$6:$DF$17,2)+1))*(VLOOKUP($A68,SatSunCurve,8))*(INDEX(DailyScalarsTable,CW$5/100,MONTH($A68)))*$E68</f>
        <v>0</v>
      </c>
      <c r="CX68" s="1021">
        <f>(VLOOKUP(YEAR($A68),'NY East Load Projections'!$A$4:$EO$14,((MONTH($A68)-1)*12)+VLOOKUP(CX$4,$DE$6:$DF$17,2)+1))*(VLOOKUP($A68,SatSunCurve,8))*(INDEX(DailyScalarsTable,CX$5/100,MONTH($A68)))*$E68</f>
        <v>0</v>
      </c>
      <c r="CY68" s="1021">
        <f>(VLOOKUP(YEAR($A68),'NY East Load Projections'!$A$4:$EO$14,((MONTH($A68)-1)*12)+VLOOKUP(CY$4,$DE$6:$DF$17,2)+1))*(VLOOKUP($A68,SatSunCurve,8))*(INDEX(DailyScalarsTable,CY$5/100,MONTH($A68)))*$E68</f>
        <v>0</v>
      </c>
      <c r="CZ68" s="1021">
        <f>(VLOOKUP(YEAR($A68),'NY East Load Projections'!$A$4:$EO$14,((MONTH($A68)-1)*12)+VLOOKUP(CZ$4,$DE$6:$DF$17,2)+1))*(VLOOKUP($A68,SatSunCurve,8))*(INDEX(DailyScalarsTable,CZ$5/100,MONTH($A68)))*$E68</f>
        <v>0</v>
      </c>
      <c r="DA68" s="1021">
        <f>(VLOOKUP(YEAR($A68),'NY East Load Projections'!$A$4:$EO$14,((MONTH($A68)-1)*12)+VLOOKUP(DA$4,$DE$6:$DF$17,2)+1))*(VLOOKUP($A68,SatSunCurve,8))*(INDEX(DailyScalarsTable,DA$5/100,MONTH($A68)))*$E68</f>
        <v>0</v>
      </c>
      <c r="DB68" s="1021">
        <f>(VLOOKUP(YEAR($A68),'NY East Load Projections'!$A$4:$EO$14,((MONTH($A68)-1)*12)+VLOOKUP(DB$4,$DE$6:$DF$17,2)+1))*(VLOOKUP($A68,CURVES!$D$9:$T$261,8))*(INDEX(DailyScalarsTable,DB$5/100,MONTH($A68)))*$E68</f>
        <v>0</v>
      </c>
      <c r="DH68" s="1021">
        <f t="shared" si="0"/>
        <v>-1854979.0358988179</v>
      </c>
      <c r="DI68">
        <f ca="1">CALC!J88</f>
        <v>0.64281264888236933</v>
      </c>
      <c r="DJ68" s="1029">
        <f t="shared" ca="1" si="1"/>
        <v>-1192403.9876873828</v>
      </c>
    </row>
    <row r="69" spans="1:114" x14ac:dyDescent="0.25">
      <c r="A69" s="244">
        <v>38808</v>
      </c>
      <c r="B69" s="13">
        <v>20</v>
      </c>
      <c r="C69" s="210">
        <v>5</v>
      </c>
      <c r="D69" s="210">
        <v>5</v>
      </c>
      <c r="E69" s="210">
        <v>0</v>
      </c>
      <c r="F69" s="13">
        <v>30</v>
      </c>
      <c r="H69" s="1021">
        <f>(VLOOKUP(YEAR($A69),'NY East Load Projections'!$A$4:$EO$14,((MONTH($A69)-1)*12)+VLOOKUP(H$4,$DE$6:$DF$17,2)+1))*(VLOOKUP($A69,CURVES!$D$9:$K$261,8))*(INDEX(DailyScalarsTable,H$5/100,MONTH($A69)))*$B69</f>
        <v>-31439.329331927547</v>
      </c>
      <c r="I69" s="1021">
        <f>(VLOOKUP(YEAR($A69),'NY East Load Projections'!$A$4:$EO$14,((MONTH($A69)-1)*12)+VLOOKUP(I$4,$DE$6:$DF$17,2)+1))*(VLOOKUP($A69,CURVES!$D$9:$K$261,8))*(INDEX(DailyScalarsTable,I$5/100,MONTH($A69)))*$B69</f>
        <v>-29819.317009488892</v>
      </c>
      <c r="J69" s="1021">
        <f>(VLOOKUP(YEAR($A69),'NY East Load Projections'!$A$4:$EO$14,((MONTH($A69)-1)*12)+VLOOKUP(J$4,$DE$6:$DF$17,2)+1))*(VLOOKUP($A69,CURVES!$D$9:$K$261,8))*(INDEX(DailyScalarsTable,J$5/100,MONTH($A69)))*$B69</f>
        <v>-28620.493503563452</v>
      </c>
      <c r="K69" s="1021">
        <f>(VLOOKUP(YEAR($A69),'NY East Load Projections'!$A$4:$EO$14,((MONTH($A69)-1)*12)+VLOOKUP(K$4,$DE$6:$DF$17,2)+1))*(VLOOKUP($A69,CURVES!$D$9:$K$261,8))*(INDEX(DailyScalarsTable,K$5/100,MONTH($A69)))*$B69</f>
        <v>-28637.398605507216</v>
      </c>
      <c r="L69" s="1021">
        <f>(VLOOKUP(YEAR($A69),'NY East Load Projections'!$A$4:$EO$14,((MONTH($A69)-1)*12)+VLOOKUP(L$4,$DE$6:$DF$17,2)+1))*(VLOOKUP($A69,CURVES!$D$9:$K$261,8))*(INDEX(DailyScalarsTable,L$5/100,MONTH($A69)))*$B69</f>
        <v>-33525.512964551206</v>
      </c>
      <c r="M69" s="1021">
        <f>(VLOOKUP(YEAR($A69),'NY East Load Projections'!$A$4:$EO$14,((MONTH($A69)-1)*12)+VLOOKUP(M$4,$DE$6:$DF$17,2)+1))*(VLOOKUP($A69,CURVES!$D$9:$K$261,8))*(INDEX(DailyScalarsTable,M$5/100,MONTH($A69)))*$B69</f>
        <v>-38618.547276695062</v>
      </c>
      <c r="N69" s="1021">
        <f>(VLOOKUP(YEAR($A69),'NY East Load Projections'!$A$4:$EO$14,((MONTH($A69)-1)*12)+VLOOKUP(N$4,$DE$6:$DF$17,2)+1))*(VLOOKUP($A69,CURVES!$D$9:$K$261,8))*(INDEX(DailyScalarsTable,N$5/100,MONTH($A69)))*$B69</f>
        <v>-55081.267963494531</v>
      </c>
      <c r="O69" s="1021">
        <f>(VLOOKUP(YEAR($A69),'NY East Load Projections'!$A$4:$EO$14,((MONTH($A69)-1)*12)+VLOOKUP(O$4,$DE$6:$DF$17,2)+1))*(VLOOKUP($A69,CURVES!$D$9:$K$261,4))*(INDEX(DailyScalarsTable,O$5/100,MONTH($A69)))*$B69</f>
        <v>-67628.908491833368</v>
      </c>
      <c r="P69" s="1021">
        <f>(VLOOKUP(YEAR($A69),'NY East Load Projections'!$A$4:$EO$14,((MONTH($A69)-1)*12)+VLOOKUP(P$4,$DE$6:$DF$17,2)+1))*(VLOOKUP($A69,CURVES!$D$9:$K$261,4))*(INDEX(DailyScalarsTable,P$5/100,MONTH($A69)))*$B69</f>
        <v>-76553.650223924327</v>
      </c>
      <c r="Q69" s="1021">
        <f>(VLOOKUP(YEAR($A69),'NY East Load Projections'!$A$4:$EO$14,((MONTH($A69)-1)*12)+VLOOKUP(Q$4,$DE$6:$DF$17,2)+1))*(VLOOKUP($A69,CURVES!$D$9:$K$261,4))*(INDEX(DailyScalarsTable,Q$5/100,MONTH($A69)))*$B69</f>
        <v>-73365.624147048744</v>
      </c>
      <c r="R69" s="1021">
        <f>(VLOOKUP(YEAR($A69),'NY East Load Projections'!$A$4:$EO$14,((MONTH($A69)-1)*12)+VLOOKUP(R$4,$DE$6:$DF$17,2)+1))*(VLOOKUP($A69,CURVES!$D$9:$K$261,4))*(INDEX(DailyScalarsTable,R$5/100,MONTH($A69)))*$B69</f>
        <v>-74878.128222125844</v>
      </c>
      <c r="S69" s="1021">
        <f>(VLOOKUP(YEAR($A69),'NY East Load Projections'!$A$4:$EO$14,((MONTH($A69)-1)*12)+VLOOKUP(S$4,$DE$6:$DF$17,2)+1))*(VLOOKUP($A69,CURVES!$D$9:$K$261,4))*(INDEX(DailyScalarsTable,S$5/100,MONTH($A69)))*$B69</f>
        <v>-75024.95231506697</v>
      </c>
      <c r="T69" s="1021">
        <f>(VLOOKUP(YEAR($A69),'NY East Load Projections'!$A$4:$EO$14,((MONTH($A69)-1)*12)+VLOOKUP(T$4,$DE$6:$DF$17,2)+1))*(VLOOKUP($A69,CURVES!$D$9:$K$261,4))*(INDEX(DailyScalarsTable,T$5/100,MONTH($A69)))*$B69</f>
        <v>-70728.659781730079</v>
      </c>
      <c r="U69" s="1021">
        <f>(VLOOKUP(YEAR($A69),'NY East Load Projections'!$A$4:$EO$14,((MONTH($A69)-1)*12)+VLOOKUP(U$4,$DE$6:$DF$17,2)+1))*(VLOOKUP($A69,CURVES!$D$9:$K$261,4))*(INDEX(DailyScalarsTable,U$5/100,MONTH($A69)))*$B69</f>
        <v>-70804.819286174286</v>
      </c>
      <c r="V69" s="1021">
        <f>(VLOOKUP(YEAR($A69),'NY East Load Projections'!$A$4:$EO$14,((MONTH($A69)-1)*12)+VLOOKUP(V$4,$DE$6:$DF$17,2)+1))*(VLOOKUP($A69,CURVES!$D$9:$K$261,4))*(INDEX(DailyScalarsTable,V$5/100,MONTH($A69)))*$B69</f>
        <v>-66409.967882657162</v>
      </c>
      <c r="W69" s="1021">
        <f>(VLOOKUP(YEAR($A69),'NY East Load Projections'!$A$4:$EO$14,((MONTH($A69)-1)*12)+VLOOKUP(W$4,$DE$6:$DF$17,2)+1))*(VLOOKUP($A69,CURVES!$D$9:$K$261,4))*(INDEX(DailyScalarsTable,W$5/100,MONTH($A69)))*$B69</f>
        <v>-62067.75613662359</v>
      </c>
      <c r="X69" s="1021">
        <f>(VLOOKUP(YEAR($A69),'NY East Load Projections'!$A$4:$EO$14,((MONTH($A69)-1)*12)+VLOOKUP(X$4,$DE$6:$DF$17,2)+1))*(VLOOKUP($A69,CURVES!$D$9:$K$261,4))*(INDEX(DailyScalarsTable,X$5/100,MONTH($A69)))*$B69</f>
        <v>-56808.978324105738</v>
      </c>
      <c r="Y69" s="1021">
        <f>(VLOOKUP(YEAR($A69),'NY East Load Projections'!$A$4:$EO$14,((MONTH($A69)-1)*12)+VLOOKUP(Y$4,$DE$6:$DF$17,2)+1))*(VLOOKUP($A69,CURVES!$D$9:$K$261,4))*(INDEX(DailyScalarsTable,Y$5/100,MONTH($A69)))*$B69</f>
        <v>-56070.148417681688</v>
      </c>
      <c r="Z69" s="1021">
        <f>(VLOOKUP(YEAR($A69),'NY East Load Projections'!$A$4:$EO$14,((MONTH($A69)-1)*12)+VLOOKUP(Z$4,$DE$6:$DF$17,2)+1))*(VLOOKUP($A69,CURVES!$D$9:$K$261,4))*(INDEX(DailyScalarsTable,Z$5/100,MONTH($A69)))*$B69</f>
        <v>-55769.571812792237</v>
      </c>
      <c r="AA69" s="1021">
        <f>(VLOOKUP(YEAR($A69),'NY East Load Projections'!$A$4:$EO$14,((MONTH($A69)-1)*12)+VLOOKUP(AA$4,$DE$6:$DF$17,2)+1))*(VLOOKUP($A69,CURVES!$D$9:$K$261,4))*(INDEX(DailyScalarsTable,AA$5/100,MONTH($A69)))*$B69</f>
        <v>-61170.491996452649</v>
      </c>
      <c r="AB69" s="1021">
        <f>(VLOOKUP(YEAR($A69),'NY East Load Projections'!$A$4:$EO$14,((MONTH($A69)-1)*12)+VLOOKUP(AB$4,$DE$6:$DF$17,2)+1))*(VLOOKUP($A69,CURVES!$D$9:$K$261,4))*(INDEX(DailyScalarsTable,AB$5/100,MONTH($A69)))*$B69</f>
        <v>-67078.316332820279</v>
      </c>
      <c r="AC69" s="1021">
        <f>(VLOOKUP(YEAR($A69),'NY East Load Projections'!$A$4:$EO$14,((MONTH($A69)-1)*12)+VLOOKUP(AC$4,$DE$6:$DF$17,2)+1))*(VLOOKUP($A69,CURVES!$D$9:$K$261,4))*(INDEX(DailyScalarsTable,AC$5/100,MONTH($A69)))*$B69</f>
        <v>-57155.787324121156</v>
      </c>
      <c r="AD69" s="1021">
        <f>(VLOOKUP(YEAR($A69),'NY East Load Projections'!$A$4:$EO$14,((MONTH($A69)-1)*12)+VLOOKUP(AD$4,$DE$6:$DF$17,2)+1))*(VLOOKUP($A69,CURVES!$D$9:$K$261,4))*(INDEX(DailyScalarsTable,AD$5/100,MONTH($A69)))*$B69</f>
        <v>-50493.691544220754</v>
      </c>
      <c r="AE69" s="1021">
        <f>(VLOOKUP(YEAR($A69),'NY East Load Projections'!$A$4:$EO$14,((MONTH($A69)-1)*12)+VLOOKUP(AE$4,$DE$6:$DF$17,2)+1))*(VLOOKUP($A69,CURVES!$D$9:$K$261,8))*(INDEX(DailyScalarsTable,AE$5/100,MONTH($A69)))*$B69</f>
        <v>-37425.800038057001</v>
      </c>
      <c r="AF69" s="1021"/>
      <c r="AG69" s="1021">
        <f>(VLOOKUP(YEAR($A69),'NY East Load Projections'!$A$4:$EO$14,((MONTH($A69)-1)*12)+VLOOKUP(AG$4,$DE$6:$DF$17,2)+1))*(VLOOKUP($A69,CURVES!$D$9:$T$261,8))*(INDEX(DailyScalarsTable,AG$5/100,MONTH($A69)))*$C69</f>
        <v>-8028.3094245683351</v>
      </c>
      <c r="AH69" s="1021">
        <f>(VLOOKUP(YEAR($A69),'NY East Load Projections'!$A$4:$EO$14,((MONTH($A69)-1)*12)+VLOOKUP(AH$4,$DE$6:$DF$17,2)+1))*(VLOOKUP($A69,CURVES!$D$9:$T$261,8))*(INDEX(DailyScalarsTable,AH$5/100,MONTH($A69)))*$C69</f>
        <v>-7614.6250212263349</v>
      </c>
      <c r="AI69" s="1021">
        <f>(VLOOKUP(YEAR($A69),'NY East Load Projections'!$A$4:$EO$14,((MONTH($A69)-1)*12)+VLOOKUP(AI$4,$DE$6:$DF$17,2)+1))*(VLOOKUP($A69,CURVES!$D$9:$T$261,8))*(INDEX(DailyScalarsTable,AI$5/100,MONTH($A69)))*$C69</f>
        <v>-7308.4948888242661</v>
      </c>
      <c r="AJ69" s="1021">
        <f>(VLOOKUP(YEAR($A69),'NY East Load Projections'!$A$4:$EO$14,((MONTH($A69)-1)*12)+VLOOKUP(AJ$4,$DE$6:$DF$17,2)+1))*(VLOOKUP($A69,CURVES!$D$9:$T$261,8))*(INDEX(DailyScalarsTable,AJ$5/100,MONTH($A69)))*$C69</f>
        <v>-7312.8117553777938</v>
      </c>
      <c r="AK69" s="1021">
        <f>(VLOOKUP(YEAR($A69),'NY East Load Projections'!$A$4:$EO$14,((MONTH($A69)-1)*12)+VLOOKUP(AK$4,$DE$6:$DF$17,2)+1))*(VLOOKUP($A69,CURVES!$D$9:$T$261,8))*(INDEX(DailyScalarsTable,AK$5/100,MONTH($A69)))*$C69</f>
        <v>-7970.9300232240912</v>
      </c>
      <c r="AL69" s="1021">
        <f>(VLOOKUP(YEAR($A69),'NY East Load Projections'!$A$4:$EO$14,((MONTH($A69)-1)*12)+VLOOKUP(AL$4,$DE$6:$DF$17,2)+1))*(VLOOKUP($A69,CURVES!$D$9:$T$261,8))*(INDEX(DailyScalarsTable,AL$5/100,MONTH($A69)))*$C69</f>
        <v>-9181.8352866544556</v>
      </c>
      <c r="AM69" s="1021">
        <f>(VLOOKUP(YEAR($A69),'NY East Load Projections'!$A$4:$EO$14,((MONTH($A69)-1)*12)+VLOOKUP(AM$4,$DE$6:$DF$17,2)+1))*(VLOOKUP($A69,CURVES!$D$9:$T$261,8))*(INDEX(DailyScalarsTable,AM$5/100,MONTH($A69)))*$C69</f>
        <v>-13095.964646139973</v>
      </c>
      <c r="AN69" s="1021">
        <f>(VLOOKUP(YEAR($A69),'NY East Load Projections'!$A$4:$EO$14,((MONTH($A69)-1)*12)+VLOOKUP(AN$4,$DE$6:$DF$17,2)+1))*(VLOOKUP($A69,SatSunCurve,4))*(INDEX(DailyScalarsTable,AN$5/100,MONTH($A69)))*$C69</f>
        <v>-11179.680521884853</v>
      </c>
      <c r="AO69" s="1021">
        <f>(VLOOKUP(YEAR($A69),'NY East Load Projections'!$A$4:$EO$14,((MONTH($A69)-1)*12)+VLOOKUP(AO$4,$DE$6:$DF$17,2)+1))*(VLOOKUP($A69,SatSunCurve,4))*(INDEX(DailyScalarsTable,AO$5/100,MONTH($A69)))*$C69</f>
        <v>-12151.24266136726</v>
      </c>
      <c r="AP69" s="1021">
        <f>(VLOOKUP(YEAR($A69),'NY East Load Projections'!$A$4:$EO$14,((MONTH($A69)-1)*12)+VLOOKUP(AP$4,$DE$6:$DF$17,2)+1))*(VLOOKUP($A69,SatSunCurve,4))*(INDEX(DailyScalarsTable,AP$5/100,MONTH($A69)))*$C69</f>
        <v>-11645.212206156182</v>
      </c>
      <c r="AQ69" s="1021">
        <f>(VLOOKUP(YEAR($A69),'NY East Load Projections'!$A$4:$EO$14,((MONTH($A69)-1)*12)+VLOOKUP(AQ$4,$DE$6:$DF$17,2)+1))*(VLOOKUP($A69,SatSunCurve,4))*(INDEX(DailyScalarsTable,AQ$5/100,MONTH($A69)))*$C69</f>
        <v>-11885.289641899735</v>
      </c>
      <c r="AR69" s="1021">
        <f>(VLOOKUP(YEAR($A69),'NY East Load Projections'!$A$4:$EO$14,((MONTH($A69)-1)*12)+VLOOKUP(AR$4,$DE$6:$DF$17,2)+1))*(VLOOKUP($A69,SatSunCurve,4))*(INDEX(DailyScalarsTable,AR$5/100,MONTH($A69)))*$C69</f>
        <v>-11908.594803399472</v>
      </c>
      <c r="AS69" s="1021">
        <f>(VLOOKUP(YEAR($A69),'NY East Load Projections'!$A$4:$EO$14,((MONTH($A69)-1)*12)+VLOOKUP(AS$4,$DE$6:$DF$17,2)+1))*(VLOOKUP($A69,SatSunCurve,4))*(INDEX(DailyScalarsTable,AS$5/100,MONTH($A69)))*$C69</f>
        <v>-10998.434219094144</v>
      </c>
      <c r="AT69" s="1021">
        <f>(VLOOKUP(YEAR($A69),'NY East Load Projections'!$A$4:$EO$14,((MONTH($A69)-1)*12)+VLOOKUP(AT$4,$DE$6:$DF$17,2)+1))*(VLOOKUP($A69,SatSunCurve,4))*(INDEX(DailyScalarsTable,AT$5/100,MONTH($A69)))*$C69</f>
        <v>-11010.277159457692</v>
      </c>
      <c r="AU69" s="1021">
        <f>(VLOOKUP(YEAR($A69),'NY East Load Projections'!$A$4:$EO$14,((MONTH($A69)-1)*12)+VLOOKUP(AU$4,$DE$6:$DF$17,2)+1))*(VLOOKUP($A69,SatSunCurve,4))*(INDEX(DailyScalarsTable,AU$5/100,MONTH($A69)))*$C69</f>
        <v>-10326.869836125907</v>
      </c>
      <c r="AV69" s="1021">
        <f>(VLOOKUP(YEAR($A69),'NY East Load Projections'!$A$4:$EO$14,((MONTH($A69)-1)*12)+VLOOKUP(AV$4,$DE$6:$DF$17,2)+1))*(VLOOKUP($A69,SatSunCurve,4))*(INDEX(DailyScalarsTable,AV$5/100,MONTH($A69)))*$C69</f>
        <v>-9651.6480745159897</v>
      </c>
      <c r="AW69" s="1021">
        <f>(VLOOKUP(YEAR($A69),'NY East Load Projections'!$A$4:$EO$14,((MONTH($A69)-1)*12)+VLOOKUP(AW$4,$DE$6:$DF$17,2)+1))*(VLOOKUP($A69,SatSunCurve,4))*(INDEX(DailyScalarsTable,AW$5/100,MONTH($A69)))*$C69</f>
        <v>-8947.7426088456104</v>
      </c>
      <c r="AX69" s="1021">
        <f>(VLOOKUP(YEAR($A69),'NY East Load Projections'!$A$4:$EO$14,((MONTH($A69)-1)*12)+VLOOKUP(AX$4,$DE$6:$DF$17,2)+1))*(VLOOKUP($A69,SatSunCurve,4))*(INDEX(DailyScalarsTable,AX$5/100,MONTH($A69)))*$C69</f>
        <v>-8831.372625976288</v>
      </c>
      <c r="AY69" s="1021">
        <f>(VLOOKUP(YEAR($A69),'NY East Load Projections'!$A$4:$EO$14,((MONTH($A69)-1)*12)+VLOOKUP(AY$4,$DE$6:$DF$17,2)+1))*(VLOOKUP($A69,SatSunCurve,4))*(INDEX(DailyScalarsTable,AY$5/100,MONTH($A69)))*$C69</f>
        <v>-8784.0300724903318</v>
      </c>
      <c r="AZ69" s="1021">
        <f>(VLOOKUP(YEAR($A69),'NY East Load Projections'!$A$4:$EO$14,((MONTH($A69)-1)*12)+VLOOKUP(AZ$4,$DE$6:$DF$17,2)+1))*(VLOOKUP($A69,SatSunCurve,4))*(INDEX(DailyScalarsTable,AZ$5/100,MONTH($A69)))*$C69</f>
        <v>-9634.7062346033599</v>
      </c>
      <c r="BA69" s="1021">
        <f>(VLOOKUP(YEAR($A69),'NY East Load Projections'!$A$4:$EO$14,((MONTH($A69)-1)*12)+VLOOKUP(BA$4,$DE$6:$DF$17,2)+1))*(VLOOKUP($A69,SatSunCurve,4))*(INDEX(DailyScalarsTable,BA$5/100,MONTH($A69)))*$C69</f>
        <v>-11385.426427956998</v>
      </c>
      <c r="BB69" s="1021">
        <f>(VLOOKUP(YEAR($A69),'NY East Load Projections'!$A$4:$EO$14,((MONTH($A69)-1)*12)+VLOOKUP(BB$4,$DE$6:$DF$17,2)+1))*(VLOOKUP($A69,SatSunCurve,4))*(INDEX(DailyScalarsTable,BB$5/100,MONTH($A69)))*$C69</f>
        <v>-9701.2424742739277</v>
      </c>
      <c r="BC69" s="1021">
        <f>(VLOOKUP(YEAR($A69),'NY East Load Projections'!$A$4:$EO$14,((MONTH($A69)-1)*12)+VLOOKUP(BC$4,$DE$6:$DF$17,2)+1))*(VLOOKUP($A69,SatSunCurve,4))*(INDEX(DailyScalarsTable,BC$5/100,MONTH($A69)))*$C69</f>
        <v>-8570.462730463536</v>
      </c>
      <c r="BD69" s="1021">
        <f>(VLOOKUP(YEAR($A69),'NY East Load Projections'!$A$4:$EO$14,((MONTH($A69)-1)*12)+VLOOKUP(BD$4,$DE$6:$DF$17,2)+1))*(VLOOKUP($A69,CURVES!$D$9:$T$261,8))*(INDEX(DailyScalarsTable,BD$5/100,MONTH($A69)))*$C69</f>
        <v>-9136.3933876902393</v>
      </c>
      <c r="BE69" s="1021"/>
      <c r="BF69" s="1021">
        <f>(VLOOKUP(YEAR($A69),'NY East Load Projections'!$A$4:$EO$14,((MONTH($A69)-1)*12)+VLOOKUP(BF$4,$DE$6:$DF$17,2)+1))*(VLOOKUP($A69,CURVES!$D$9:$T$261,8))*(INDEX(DailyScalarsTable,BF$5/100,MONTH($A69)))*$D69</f>
        <v>-8028.3094245683351</v>
      </c>
      <c r="BG69" s="1021">
        <f>(VLOOKUP(YEAR($A69),'NY East Load Projections'!$A$4:$EO$14,((MONTH($A69)-1)*12)+VLOOKUP(BG$4,$DE$6:$DF$17,2)+1))*(VLOOKUP($A69,CURVES!$D$9:$T$261,8))*(INDEX(DailyScalarsTable,BG$5/100,MONTH($A69)))*$D69</f>
        <v>-7614.6250212263349</v>
      </c>
      <c r="BH69" s="1021">
        <f>(VLOOKUP(YEAR($A69),'NY East Load Projections'!$A$4:$EO$14,((MONTH($A69)-1)*12)+VLOOKUP(BH$4,$DE$6:$DF$17,2)+1))*(VLOOKUP($A69,CURVES!$D$9:$T$261,8))*(INDEX(DailyScalarsTable,BH$5/100,MONTH($A69)))*$D69</f>
        <v>-7308.4948888242661</v>
      </c>
      <c r="BI69" s="1021">
        <f>(VLOOKUP(YEAR($A69),'NY East Load Projections'!$A$4:$EO$14,((MONTH($A69)-1)*12)+VLOOKUP(BI$4,$DE$6:$DF$17,2)+1))*(VLOOKUP($A69,CURVES!$D$9:$T$261,8))*(INDEX(DailyScalarsTable,BI$5/100,MONTH($A69)))*$D69</f>
        <v>-7312.8117553777938</v>
      </c>
      <c r="BJ69" s="1021">
        <f>(VLOOKUP(YEAR($A69),'NY East Load Projections'!$A$4:$EO$14,((MONTH($A69)-1)*12)+VLOOKUP(BJ$4,$DE$6:$DF$17,2)+1))*(VLOOKUP($A69,CURVES!$D$9:$T$261,8))*(INDEX(DailyScalarsTable,BJ$5/100,MONTH($A69)))*$D69</f>
        <v>-7970.9300232240912</v>
      </c>
      <c r="BK69" s="1021">
        <f>(VLOOKUP(YEAR($A69),'NY East Load Projections'!$A$4:$EO$14,((MONTH($A69)-1)*12)+VLOOKUP(BK$4,$DE$6:$DF$17,2)+1))*(VLOOKUP($A69,CURVES!$D$9:$T$261,8))*(INDEX(DailyScalarsTable,BK$5/100,MONTH($A69)))*$D69</f>
        <v>-9181.8352866544556</v>
      </c>
      <c r="BL69" s="1021">
        <f>(VLOOKUP(YEAR($A69),'NY East Load Projections'!$A$4:$EO$14,((MONTH($A69)-1)*12)+VLOOKUP(BL$4,$DE$6:$DF$17,2)+1))*(VLOOKUP($A69,CURVES!$D$9:$T$261,8))*(INDEX(DailyScalarsTable,BL$5/100,MONTH($A69)))*$D69</f>
        <v>-13095.964646139973</v>
      </c>
      <c r="BM69" s="1021">
        <f>(VLOOKUP(YEAR($A69),'NY East Load Projections'!$A$4:$EO$14,((MONTH($A69)-1)*12)+VLOOKUP(BM$4,$DE$6:$DF$17,2)+1))*(VLOOKUP($A69,SatSunCurve,8))*(INDEX(DailyScalarsTable,BM$5/100,MONTH($A69)))*$D69</f>
        <v>-11996.068711769614</v>
      </c>
      <c r="BN69" s="1021">
        <f>(VLOOKUP(YEAR($A69),'NY East Load Projections'!$A$4:$EO$14,((MONTH($A69)-1)*12)+VLOOKUP(BN$4,$DE$6:$DF$17,2)+1))*(VLOOKUP($A69,SatSunCurve,8))*(INDEX(DailyScalarsTable,BN$5/100,MONTH($A69)))*$D69</f>
        <v>-13038.578482971901</v>
      </c>
      <c r="BO69" s="1021">
        <f>(VLOOKUP(YEAR($A69),'NY East Load Projections'!$A$4:$EO$14,((MONTH($A69)-1)*12)+VLOOKUP(BO$4,$DE$6:$DF$17,2)+1))*(VLOOKUP($A69,SatSunCurve,8))*(INDEX(DailyScalarsTable,BO$5/100,MONTH($A69)))*$D69</f>
        <v>-12495.595514981265</v>
      </c>
      <c r="BP69" s="1021">
        <f>(VLOOKUP(YEAR($A69),'NY East Load Projections'!$A$4:$EO$14,((MONTH($A69)-1)*12)+VLOOKUP(BP$4,$DE$6:$DF$17,2)+1))*(VLOOKUP($A69,SatSunCurve,8))*(INDEX(DailyScalarsTable,BP$5/100,MONTH($A69)))*$D69</f>
        <v>-12753.204434099069</v>
      </c>
      <c r="BQ69" s="1021">
        <f>(VLOOKUP(YEAR($A69),'NY East Load Projections'!$A$4:$EO$14,((MONTH($A69)-1)*12)+VLOOKUP(BQ$4,$DE$6:$DF$17,2)+1))*(VLOOKUP($A69,SatSunCurve,8))*(INDEX(DailyScalarsTable,BQ$5/100,MONTH($A69)))*$D69</f>
        <v>-12778.211438381746</v>
      </c>
      <c r="BR69" s="1021">
        <f>(VLOOKUP(YEAR($A69),'NY East Load Projections'!$A$4:$EO$14,((MONTH($A69)-1)*12)+VLOOKUP(BR$4,$DE$6:$DF$17,2)+1))*(VLOOKUP($A69,SatSunCurve,8))*(INDEX(DailyScalarsTable,BR$5/100,MONTH($A69)))*$D69</f>
        <v>-11801.587027093983</v>
      </c>
      <c r="BS69" s="1021">
        <f>(VLOOKUP(YEAR($A69),'NY East Load Projections'!$A$4:$EO$14,((MONTH($A69)-1)*12)+VLOOKUP(BS$4,$DE$6:$DF$17,2)+1))*(VLOOKUP($A69,SatSunCurve,8))*(INDEX(DailyScalarsTable,BS$5/100,MONTH($A69)))*$D69</f>
        <v>-11814.294789723903</v>
      </c>
      <c r="BT69" s="1021">
        <f>(VLOOKUP(YEAR($A69),'NY East Load Projections'!$A$4:$EO$14,((MONTH($A69)-1)*12)+VLOOKUP(BT$4,$DE$6:$DF$17,2)+1))*(VLOOKUP($A69,SatSunCurve,8))*(INDEX(DailyScalarsTable,BT$5/100,MONTH($A69)))*$D69</f>
        <v>-11080.98213443235</v>
      </c>
      <c r="BU69" s="1021">
        <f>(VLOOKUP(YEAR($A69),'NY East Load Projections'!$A$4:$EO$14,((MONTH($A69)-1)*12)+VLOOKUP(BU$4,$DE$6:$DF$17,2)+1))*(VLOOKUP($A69,SatSunCurve,8))*(INDEX(DailyScalarsTable,BU$5/100,MONTH($A69)))*$D69</f>
        <v>-10356.452785664425</v>
      </c>
      <c r="BV69" s="1021">
        <f>(VLOOKUP(YEAR($A69),'NY East Load Projections'!$A$4:$EO$14,((MONTH($A69)-1)*12)+VLOOKUP(BV$4,$DE$6:$DF$17,2)+1))*(VLOOKUP($A69,SatSunCurve,8))*(INDEX(DailyScalarsTable,BV$5/100,MONTH($A69)))*$D69</f>
        <v>-9601.1451258218895</v>
      </c>
      <c r="BW69" s="1021">
        <f>(VLOOKUP(YEAR($A69),'NY East Load Projections'!$A$4:$EO$14,((MONTH($A69)-1)*12)+VLOOKUP(BW$4,$DE$6:$DF$17,2)+1))*(VLOOKUP($A69,SatSunCurve,8))*(INDEX(DailyScalarsTable,BW$5/100,MONTH($A69)))*$D69</f>
        <v>-9476.2773080201969</v>
      </c>
      <c r="BX69" s="1021">
        <f>(VLOOKUP(YEAR($A69),'NY East Load Projections'!$A$4:$EO$14,((MONTH($A69)-1)*12)+VLOOKUP(BX$4,$DE$6:$DF$17,2)+1))*(VLOOKUP($A69,SatSunCurve,8))*(INDEX(DailyScalarsTable,BX$5/100,MONTH($A69)))*$D69</f>
        <v>-9425.4775983597647</v>
      </c>
      <c r="BY69" s="1021">
        <f>(VLOOKUP(YEAR($A69),'NY East Load Projections'!$A$4:$EO$14,((MONTH($A69)-1)*12)+VLOOKUP(BY$4,$DE$6:$DF$17,2)+1))*(VLOOKUP($A69,SatSunCurve,8))*(INDEX(DailyScalarsTable,BY$5/100,MONTH($A69)))*$D69</f>
        <v>-10338.273779985522</v>
      </c>
      <c r="BZ69" s="1021">
        <f>(VLOOKUP(YEAR($A69),'NY East Load Projections'!$A$4:$EO$14,((MONTH($A69)-1)*12)+VLOOKUP(BZ$4,$DE$6:$DF$17,2)+1))*(VLOOKUP($A69,SatSunCurve,8))*(INDEX(DailyScalarsTable,BZ$5/100,MONTH($A69)))*$D69</f>
        <v>-12216.839065768125</v>
      </c>
      <c r="CA69" s="1021">
        <f>(VLOOKUP(YEAR($A69),'NY East Load Projections'!$A$4:$EO$14,((MONTH($A69)-1)*12)+VLOOKUP(CA$4,$DE$6:$DF$17,2)+1))*(VLOOKUP($A69,SatSunCurve,8))*(INDEX(DailyScalarsTable,CA$5/100,MONTH($A69)))*$D69</f>
        <v>-10409.668781063454</v>
      </c>
      <c r="CB69" s="1021">
        <f>(VLOOKUP(YEAR($A69),'NY East Load Projections'!$A$4:$EO$14,((MONTH($A69)-1)*12)+VLOOKUP(CB$4,$DE$6:$DF$17,2)+1))*(VLOOKUP($A69,SatSunCurve,8))*(INDEX(DailyScalarsTable,CB$5/100,MONTH($A69)))*$D69</f>
        <v>-9196.3146536290769</v>
      </c>
      <c r="CC69" s="1021">
        <f>(VLOOKUP(YEAR($A69),'NY East Load Projections'!$A$4:$EO$14,((MONTH($A69)-1)*12)+VLOOKUP(CC$4,$DE$6:$DF$17,2)+1))*(VLOOKUP($A69,CURVES!$D$9:$T$261,8))*(INDEX(DailyScalarsTable,CC$5/100,MONTH($A69)))*$D69</f>
        <v>-9136.3933876902393</v>
      </c>
      <c r="CE69" s="1021">
        <f>(VLOOKUP(YEAR($A69),'NY East Load Projections'!$A$4:$EO$14,((MONTH($A69)-1)*12)+VLOOKUP(CE$4,$DE$6:$DF$17,2)+1))*(VLOOKUP($A69,CURVES!$D$9:$T$261,8))*(INDEX(DailyScalarsTable,CE$5/100,MONTH($A69)))*$E69</f>
        <v>0</v>
      </c>
      <c r="CF69" s="1021">
        <f>(VLOOKUP(YEAR($A69),'NY East Load Projections'!$A$4:$EO$14,((MONTH($A69)-1)*12)+VLOOKUP(CF$4,$DE$6:$DF$17,2)+1))*(VLOOKUP($A69,CURVES!$D$9:$T$261,8))*(INDEX(DailyScalarsTable,CF$5/100,MONTH($A69)))*$E69</f>
        <v>0</v>
      </c>
      <c r="CG69" s="1021">
        <f>(VLOOKUP(YEAR($A69),'NY East Load Projections'!$A$4:$EO$14,((MONTH($A69)-1)*12)+VLOOKUP(CG$4,$DE$6:$DF$17,2)+1))*(VLOOKUP($A69,CURVES!$D$9:$T$261,8))*(INDEX(DailyScalarsTable,CG$5/100,MONTH($A69)))*$E69</f>
        <v>0</v>
      </c>
      <c r="CH69" s="1021">
        <f>(VLOOKUP(YEAR($A69),'NY East Load Projections'!$A$4:$EO$14,((MONTH($A69)-1)*12)+VLOOKUP(CH$4,$DE$6:$DF$17,2)+1))*(VLOOKUP($A69,CURVES!$D$9:$T$261,8))*(INDEX(DailyScalarsTable,CH$5/100,MONTH($A69)))*$E69</f>
        <v>0</v>
      </c>
      <c r="CI69" s="1021">
        <f>(VLOOKUP(YEAR($A69),'NY East Load Projections'!$A$4:$EO$14,((MONTH($A69)-1)*12)+VLOOKUP(CI$4,$DE$6:$DF$17,2)+1))*(VLOOKUP($A69,CURVES!$D$9:$T$261,8))*(INDEX(DailyScalarsTable,CI$5/100,MONTH($A69)))*$E69</f>
        <v>0</v>
      </c>
      <c r="CJ69" s="1021">
        <f>(VLOOKUP(YEAR($A69),'NY East Load Projections'!$A$4:$EO$14,((MONTH($A69)-1)*12)+VLOOKUP(CJ$4,$DE$6:$DF$17,2)+1))*(VLOOKUP($A69,CURVES!$D$9:$T$261,8))*(INDEX(DailyScalarsTable,CJ$5/100,MONTH($A69)))*$E69</f>
        <v>0</v>
      </c>
      <c r="CK69" s="1021">
        <f>(VLOOKUP(YEAR($A69),'NY East Load Projections'!$A$4:$EO$14,((MONTH($A69)-1)*12)+VLOOKUP(CK$4,$DE$6:$DF$17,2)+1))*(VLOOKUP($A69,CURVES!$D$9:$T$261,8))*(INDEX(DailyScalarsTable,CK$5/100,MONTH($A69)))*$E69</f>
        <v>0</v>
      </c>
      <c r="CL69" s="1021">
        <f>(VLOOKUP(YEAR($A69),'NY East Load Projections'!$A$4:$EO$14,((MONTH($A69)-1)*12)+VLOOKUP(CL$4,$DE$6:$DF$17,2)+1))*(VLOOKUP($A69,SatSunCurve,8))*(INDEX(DailyScalarsTable,CL$5/100,MONTH($A69)))*$E69</f>
        <v>0</v>
      </c>
      <c r="CM69" s="1021">
        <f>(VLOOKUP(YEAR($A69),'NY East Load Projections'!$A$4:$EO$14,((MONTH($A69)-1)*12)+VLOOKUP(CM$4,$DE$6:$DF$17,2)+1))*(VLOOKUP($A69,SatSunCurve,8))*(INDEX(DailyScalarsTable,CM$5/100,MONTH($A69)))*$E69</f>
        <v>0</v>
      </c>
      <c r="CN69" s="1021">
        <f>(VLOOKUP(YEAR($A69),'NY East Load Projections'!$A$4:$EO$14,((MONTH($A69)-1)*12)+VLOOKUP(CN$4,$DE$6:$DF$17,2)+1))*(VLOOKUP($A69,SatSunCurve,8))*(INDEX(DailyScalarsTable,CN$5/100,MONTH($A69)))*$E69</f>
        <v>0</v>
      </c>
      <c r="CO69" s="1021">
        <f>(VLOOKUP(YEAR($A69),'NY East Load Projections'!$A$4:$EO$14,((MONTH($A69)-1)*12)+VLOOKUP(CO$4,$DE$6:$DF$17,2)+1))*(VLOOKUP($A69,SatSunCurve,8))*(INDEX(DailyScalarsTable,CO$5/100,MONTH($A69)))*$E69</f>
        <v>0</v>
      </c>
      <c r="CP69" s="1021">
        <f>(VLOOKUP(YEAR($A69),'NY East Load Projections'!$A$4:$EO$14,((MONTH($A69)-1)*12)+VLOOKUP(CP$4,$DE$6:$DF$17,2)+1))*(VLOOKUP($A69,SatSunCurve,8))*(INDEX(DailyScalarsTable,CP$5/100,MONTH($A69)))*$E69</f>
        <v>0</v>
      </c>
      <c r="CQ69" s="1021">
        <f>(VLOOKUP(YEAR($A69),'NY East Load Projections'!$A$4:$EO$14,((MONTH($A69)-1)*12)+VLOOKUP(CQ$4,$DE$6:$DF$17,2)+1))*(VLOOKUP($A69,SatSunCurve,8))*(INDEX(DailyScalarsTable,CQ$5/100,MONTH($A69)))*$E69</f>
        <v>0</v>
      </c>
      <c r="CR69" s="1021">
        <f>(VLOOKUP(YEAR($A69),'NY East Load Projections'!$A$4:$EO$14,((MONTH($A69)-1)*12)+VLOOKUP(CR$4,$DE$6:$DF$17,2)+1))*(VLOOKUP($A69,SatSunCurve,8))*(INDEX(DailyScalarsTable,CR$5/100,MONTH($A69)))*$E69</f>
        <v>0</v>
      </c>
      <c r="CS69" s="1021">
        <f>(VLOOKUP(YEAR($A69),'NY East Load Projections'!$A$4:$EO$14,((MONTH($A69)-1)*12)+VLOOKUP(CS$4,$DE$6:$DF$17,2)+1))*(VLOOKUP($A69,SatSunCurve,8))*(INDEX(DailyScalarsTable,CS$5/100,MONTH($A69)))*$E69</f>
        <v>0</v>
      </c>
      <c r="CT69" s="1021">
        <f>(VLOOKUP(YEAR($A69),'NY East Load Projections'!$A$4:$EO$14,((MONTH($A69)-1)*12)+VLOOKUP(CT$4,$DE$6:$DF$17,2)+1))*(VLOOKUP($A69,SatSunCurve,8))*(INDEX(DailyScalarsTable,CT$5/100,MONTH($A69)))*$E69</f>
        <v>0</v>
      </c>
      <c r="CU69" s="1021">
        <f>(VLOOKUP(YEAR($A69),'NY East Load Projections'!$A$4:$EO$14,((MONTH($A69)-1)*12)+VLOOKUP(CU$4,$DE$6:$DF$17,2)+1))*(VLOOKUP($A69,SatSunCurve,8))*(INDEX(DailyScalarsTable,CU$5/100,MONTH($A69)))*$E69</f>
        <v>0</v>
      </c>
      <c r="CV69" s="1021">
        <f>(VLOOKUP(YEAR($A69),'NY East Load Projections'!$A$4:$EO$14,((MONTH($A69)-1)*12)+VLOOKUP(CV$4,$DE$6:$DF$17,2)+1))*(VLOOKUP($A69,SatSunCurve,8))*(INDEX(DailyScalarsTable,CV$5/100,MONTH($A69)))*$E69</f>
        <v>0</v>
      </c>
      <c r="CW69" s="1021">
        <f>(VLOOKUP(YEAR($A69),'NY East Load Projections'!$A$4:$EO$14,((MONTH($A69)-1)*12)+VLOOKUP(CW$4,$DE$6:$DF$17,2)+1))*(VLOOKUP($A69,SatSunCurve,8))*(INDEX(DailyScalarsTable,CW$5/100,MONTH($A69)))*$E69</f>
        <v>0</v>
      </c>
      <c r="CX69" s="1021">
        <f>(VLOOKUP(YEAR($A69),'NY East Load Projections'!$A$4:$EO$14,((MONTH($A69)-1)*12)+VLOOKUP(CX$4,$DE$6:$DF$17,2)+1))*(VLOOKUP($A69,SatSunCurve,8))*(INDEX(DailyScalarsTable,CX$5/100,MONTH($A69)))*$E69</f>
        <v>0</v>
      </c>
      <c r="CY69" s="1021">
        <f>(VLOOKUP(YEAR($A69),'NY East Load Projections'!$A$4:$EO$14,((MONTH($A69)-1)*12)+VLOOKUP(CY$4,$DE$6:$DF$17,2)+1))*(VLOOKUP($A69,SatSunCurve,8))*(INDEX(DailyScalarsTable,CY$5/100,MONTH($A69)))*$E69</f>
        <v>0</v>
      </c>
      <c r="CZ69" s="1021">
        <f>(VLOOKUP(YEAR($A69),'NY East Load Projections'!$A$4:$EO$14,((MONTH($A69)-1)*12)+VLOOKUP(CZ$4,$DE$6:$DF$17,2)+1))*(VLOOKUP($A69,SatSunCurve,8))*(INDEX(DailyScalarsTable,CZ$5/100,MONTH($A69)))*$E69</f>
        <v>0</v>
      </c>
      <c r="DA69" s="1021">
        <f>(VLOOKUP(YEAR($A69),'NY East Load Projections'!$A$4:$EO$14,((MONTH($A69)-1)*12)+VLOOKUP(DA$4,$DE$6:$DF$17,2)+1))*(VLOOKUP($A69,SatSunCurve,8))*(INDEX(DailyScalarsTable,DA$5/100,MONTH($A69)))*$E69</f>
        <v>0</v>
      </c>
      <c r="DB69" s="1021">
        <f>(VLOOKUP(YEAR($A69),'NY East Load Projections'!$A$4:$EO$14,((MONTH($A69)-1)*12)+VLOOKUP(DB$4,$DE$6:$DF$17,2)+1))*(VLOOKUP($A69,CURVES!$D$9:$T$261,8))*(INDEX(DailyScalarsTable,DB$5/100,MONTH($A69)))*$E69</f>
        <v>0</v>
      </c>
      <c r="DH69" s="1021">
        <f t="shared" si="0"/>
        <v>-1809867.0517303527</v>
      </c>
      <c r="DI69">
        <f ca="1">CALC!J89</f>
        <v>0.63892430376292408</v>
      </c>
      <c r="DJ69" s="1029">
        <f t="shared" ca="1" si="1"/>
        <v>-1156368.0459302717</v>
      </c>
    </row>
    <row r="70" spans="1:114" x14ac:dyDescent="0.25">
      <c r="A70" s="244">
        <v>38838</v>
      </c>
      <c r="B70" s="13">
        <v>22</v>
      </c>
      <c r="C70" s="210">
        <v>4</v>
      </c>
      <c r="D70" s="210">
        <v>4</v>
      </c>
      <c r="E70" s="210">
        <v>1</v>
      </c>
      <c r="F70" s="13">
        <v>31</v>
      </c>
      <c r="H70" s="1021">
        <f>(VLOOKUP(YEAR($A70),'NY East Load Projections'!$A$4:$EO$14,((MONTH($A70)-1)*12)+VLOOKUP(H$4,$DE$6:$DF$17,2)+1))*(VLOOKUP($A70,CURVES!$D$9:$K$261,8))*(INDEX(DailyScalarsTable,H$5/100,MONTH($A70)))*$B70</f>
        <v>-40618.068139114068</v>
      </c>
      <c r="I70" s="1021">
        <f>(VLOOKUP(YEAR($A70),'NY East Load Projections'!$A$4:$EO$14,((MONTH($A70)-1)*12)+VLOOKUP(I$4,$DE$6:$DF$17,2)+1))*(VLOOKUP($A70,CURVES!$D$9:$K$261,8))*(INDEX(DailyScalarsTable,I$5/100,MONTH($A70)))*$B70</f>
        <v>-36587.186081727574</v>
      </c>
      <c r="J70" s="1021">
        <f>(VLOOKUP(YEAR($A70),'NY East Load Projections'!$A$4:$EO$14,((MONTH($A70)-1)*12)+VLOOKUP(J$4,$DE$6:$DF$17,2)+1))*(VLOOKUP($A70,CURVES!$D$9:$K$261,8))*(INDEX(DailyScalarsTable,J$5/100,MONTH($A70)))*$B70</f>
        <v>-34625.063598766967</v>
      </c>
      <c r="K70" s="1021">
        <f>(VLOOKUP(YEAR($A70),'NY East Load Projections'!$A$4:$EO$14,((MONTH($A70)-1)*12)+VLOOKUP(K$4,$DE$6:$DF$17,2)+1))*(VLOOKUP($A70,CURVES!$D$9:$K$261,8))*(INDEX(DailyScalarsTable,K$5/100,MONTH($A70)))*$B70</f>
        <v>-33569.356393260969</v>
      </c>
      <c r="L70" s="1021">
        <f>(VLOOKUP(YEAR($A70),'NY East Load Projections'!$A$4:$EO$14,((MONTH($A70)-1)*12)+VLOOKUP(L$4,$DE$6:$DF$17,2)+1))*(VLOOKUP($A70,CURVES!$D$9:$K$261,8))*(INDEX(DailyScalarsTable,L$5/100,MONTH($A70)))*$B70</f>
        <v>-39845.389140323277</v>
      </c>
      <c r="M70" s="1021">
        <f>(VLOOKUP(YEAR($A70),'NY East Load Projections'!$A$4:$EO$14,((MONTH($A70)-1)*12)+VLOOKUP(M$4,$DE$6:$DF$17,2)+1))*(VLOOKUP($A70,CURVES!$D$9:$K$261,8))*(INDEX(DailyScalarsTable,M$5/100,MONTH($A70)))*$B70</f>
        <v>-48310.195988208841</v>
      </c>
      <c r="N70" s="1021">
        <f>(VLOOKUP(YEAR($A70),'NY East Load Projections'!$A$4:$EO$14,((MONTH($A70)-1)*12)+VLOOKUP(N$4,$DE$6:$DF$17,2)+1))*(VLOOKUP($A70,CURVES!$D$9:$K$261,8))*(INDEX(DailyScalarsTable,N$5/100,MONTH($A70)))*$B70</f>
        <v>-57803.874386666175</v>
      </c>
      <c r="O70" s="1021">
        <f>(VLOOKUP(YEAR($A70),'NY East Load Projections'!$A$4:$EO$14,((MONTH($A70)-1)*12)+VLOOKUP(O$4,$DE$6:$DF$17,2)+1))*(VLOOKUP($A70,CURVES!$D$9:$K$261,4))*(INDEX(DailyScalarsTable,O$5/100,MONTH($A70)))*$B70</f>
        <v>-74142.247482637787</v>
      </c>
      <c r="P70" s="1021">
        <f>(VLOOKUP(YEAR($A70),'NY East Load Projections'!$A$4:$EO$14,((MONTH($A70)-1)*12)+VLOOKUP(P$4,$DE$6:$DF$17,2)+1))*(VLOOKUP($A70,CURVES!$D$9:$K$261,4))*(INDEX(DailyScalarsTable,P$5/100,MONTH($A70)))*$B70</f>
        <v>-91455.955501071337</v>
      </c>
      <c r="Q70" s="1021">
        <f>(VLOOKUP(YEAR($A70),'NY East Load Projections'!$A$4:$EO$14,((MONTH($A70)-1)*12)+VLOOKUP(Q$4,$DE$6:$DF$17,2)+1))*(VLOOKUP($A70,CURVES!$D$9:$K$261,4))*(INDEX(DailyScalarsTable,Q$5/100,MONTH($A70)))*$B70</f>
        <v>-93078.074944113439</v>
      </c>
      <c r="R70" s="1021">
        <f>(VLOOKUP(YEAR($A70),'NY East Load Projections'!$A$4:$EO$14,((MONTH($A70)-1)*12)+VLOOKUP(R$4,$DE$6:$DF$17,2)+1))*(VLOOKUP($A70,CURVES!$D$9:$K$261,4))*(INDEX(DailyScalarsTable,R$5/100,MONTH($A70)))*$B70</f>
        <v>-98733.960435782268</v>
      </c>
      <c r="S70" s="1021">
        <f>(VLOOKUP(YEAR($A70),'NY East Load Projections'!$A$4:$EO$14,((MONTH($A70)-1)*12)+VLOOKUP(S$4,$DE$6:$DF$17,2)+1))*(VLOOKUP($A70,CURVES!$D$9:$K$261,4))*(INDEX(DailyScalarsTable,S$5/100,MONTH($A70)))*$B70</f>
        <v>-97987.49839119651</v>
      </c>
      <c r="T70" s="1021">
        <f>(VLOOKUP(YEAR($A70),'NY East Load Projections'!$A$4:$EO$14,((MONTH($A70)-1)*12)+VLOOKUP(T$4,$DE$6:$DF$17,2)+1))*(VLOOKUP($A70,CURVES!$D$9:$K$261,4))*(INDEX(DailyScalarsTable,T$5/100,MONTH($A70)))*$B70</f>
        <v>-95662.922834833022</v>
      </c>
      <c r="U70" s="1021">
        <f>(VLOOKUP(YEAR($A70),'NY East Load Projections'!$A$4:$EO$14,((MONTH($A70)-1)*12)+VLOOKUP(U$4,$DE$6:$DF$17,2)+1))*(VLOOKUP($A70,CURVES!$D$9:$K$261,4))*(INDEX(DailyScalarsTable,U$5/100,MONTH($A70)))*$B70</f>
        <v>-96123.984807451168</v>
      </c>
      <c r="V70" s="1021">
        <f>(VLOOKUP(YEAR($A70),'NY East Load Projections'!$A$4:$EO$14,((MONTH($A70)-1)*12)+VLOOKUP(V$4,$DE$6:$DF$17,2)+1))*(VLOOKUP($A70,CURVES!$D$9:$K$261,4))*(INDEX(DailyScalarsTable,V$5/100,MONTH($A70)))*$B70</f>
        <v>-93238.629236873167</v>
      </c>
      <c r="W70" s="1021">
        <f>(VLOOKUP(YEAR($A70),'NY East Load Projections'!$A$4:$EO$14,((MONTH($A70)-1)*12)+VLOOKUP(W$4,$DE$6:$DF$17,2)+1))*(VLOOKUP($A70,CURVES!$D$9:$K$261,4))*(INDEX(DailyScalarsTable,W$5/100,MONTH($A70)))*$B70</f>
        <v>-89609.625323362707</v>
      </c>
      <c r="X70" s="1021">
        <f>(VLOOKUP(YEAR($A70),'NY East Load Projections'!$A$4:$EO$14,((MONTH($A70)-1)*12)+VLOOKUP(X$4,$DE$6:$DF$17,2)+1))*(VLOOKUP($A70,CURVES!$D$9:$K$261,4))*(INDEX(DailyScalarsTable,X$5/100,MONTH($A70)))*$B70</f>
        <v>-85381.773644354282</v>
      </c>
      <c r="Y70" s="1021">
        <f>(VLOOKUP(YEAR($A70),'NY East Load Projections'!$A$4:$EO$14,((MONTH($A70)-1)*12)+VLOOKUP(Y$4,$DE$6:$DF$17,2)+1))*(VLOOKUP($A70,CURVES!$D$9:$K$261,4))*(INDEX(DailyScalarsTable,Y$5/100,MONTH($A70)))*$B70</f>
        <v>-82054.303179747047</v>
      </c>
      <c r="Z70" s="1021">
        <f>(VLOOKUP(YEAR($A70),'NY East Load Projections'!$A$4:$EO$14,((MONTH($A70)-1)*12)+VLOOKUP(Z$4,$DE$6:$DF$17,2)+1))*(VLOOKUP($A70,CURVES!$D$9:$K$261,4))*(INDEX(DailyScalarsTable,Z$5/100,MONTH($A70)))*$B70</f>
        <v>-71093.224002217379</v>
      </c>
      <c r="AA70" s="1021">
        <f>(VLOOKUP(YEAR($A70),'NY East Load Projections'!$A$4:$EO$14,((MONTH($A70)-1)*12)+VLOOKUP(AA$4,$DE$6:$DF$17,2)+1))*(VLOOKUP($A70,CURVES!$D$9:$K$261,4))*(INDEX(DailyScalarsTable,AA$5/100,MONTH($A70)))*$B70</f>
        <v>-70911.471413814492</v>
      </c>
      <c r="AB70" s="1021">
        <f>(VLOOKUP(YEAR($A70),'NY East Load Projections'!$A$4:$EO$14,((MONTH($A70)-1)*12)+VLOOKUP(AB$4,$DE$6:$DF$17,2)+1))*(VLOOKUP($A70,CURVES!$D$9:$K$261,4))*(INDEX(DailyScalarsTable,AB$5/100,MONTH($A70)))*$B70</f>
        <v>-81795.865343244805</v>
      </c>
      <c r="AC70" s="1021">
        <f>(VLOOKUP(YEAR($A70),'NY East Load Projections'!$A$4:$EO$14,((MONTH($A70)-1)*12)+VLOOKUP(AC$4,$DE$6:$DF$17,2)+1))*(VLOOKUP($A70,CURVES!$D$9:$K$261,4))*(INDEX(DailyScalarsTable,AC$5/100,MONTH($A70)))*$B70</f>
        <v>-78018.021103681662</v>
      </c>
      <c r="AD70" s="1021">
        <f>(VLOOKUP(YEAR($A70),'NY East Load Projections'!$A$4:$EO$14,((MONTH($A70)-1)*12)+VLOOKUP(AD$4,$DE$6:$DF$17,2)+1))*(VLOOKUP($A70,CURVES!$D$9:$K$261,4))*(INDEX(DailyScalarsTable,AD$5/100,MONTH($A70)))*$B70</f>
        <v>-62586.696424814654</v>
      </c>
      <c r="AE70" s="1021">
        <f>(VLOOKUP(YEAR($A70),'NY East Load Projections'!$A$4:$EO$14,((MONTH($A70)-1)*12)+VLOOKUP(AE$4,$DE$6:$DF$17,2)+1))*(VLOOKUP($A70,CURVES!$D$9:$K$261,8))*(INDEX(DailyScalarsTable,AE$5/100,MONTH($A70)))*$B70</f>
        <v>-50961.44623167433</v>
      </c>
      <c r="AF70" s="1021"/>
      <c r="AG70" s="1021">
        <f>(VLOOKUP(YEAR($A70),'NY East Load Projections'!$A$4:$EO$14,((MONTH($A70)-1)*12)+VLOOKUP(AG$4,$DE$6:$DF$17,2)+1))*(VLOOKUP($A70,CURVES!$D$9:$T$261,8))*(INDEX(DailyScalarsTable,AG$5/100,MONTH($A70)))*$C70</f>
        <v>-7792.3891115609467</v>
      </c>
      <c r="AH70" s="1021">
        <f>(VLOOKUP(YEAR($A70),'NY East Load Projections'!$A$4:$EO$14,((MONTH($A70)-1)*12)+VLOOKUP(AH$4,$DE$6:$DF$17,2)+1))*(VLOOKUP($A70,CURVES!$D$9:$T$261,8))*(INDEX(DailyScalarsTable,AH$5/100,MONTH($A70)))*$C70</f>
        <v>-7019.0829723721727</v>
      </c>
      <c r="AI70" s="1021">
        <f>(VLOOKUP(YEAR($A70),'NY East Load Projections'!$A$4:$EO$14,((MONTH($A70)-1)*12)+VLOOKUP(AI$4,$DE$6:$DF$17,2)+1))*(VLOOKUP($A70,CURVES!$D$9:$T$261,8))*(INDEX(DailyScalarsTable,AI$5/100,MONTH($A70)))*$C70</f>
        <v>-6642.6588199628241</v>
      </c>
      <c r="AJ70" s="1021">
        <f>(VLOOKUP(YEAR($A70),'NY East Load Projections'!$A$4:$EO$14,((MONTH($A70)-1)*12)+VLOOKUP(AJ$4,$DE$6:$DF$17,2)+1))*(VLOOKUP($A70,CURVES!$D$9:$T$261,8))*(INDEX(DailyScalarsTable,AJ$5/100,MONTH($A70)))*$C70</f>
        <v>-6440.1262596990955</v>
      </c>
      <c r="AK70" s="1021">
        <f>(VLOOKUP(YEAR($A70),'NY East Load Projections'!$A$4:$EO$14,((MONTH($A70)-1)*12)+VLOOKUP(AK$4,$DE$6:$DF$17,2)+1))*(VLOOKUP($A70,CURVES!$D$9:$T$261,8))*(INDEX(DailyScalarsTable,AK$5/100,MONTH($A70)))*$C70</f>
        <v>-7076.9275271771894</v>
      </c>
      <c r="AL70" s="1021">
        <f>(VLOOKUP(YEAR($A70),'NY East Load Projections'!$A$4:$EO$14,((MONTH($A70)-1)*12)+VLOOKUP(AL$4,$DE$6:$DF$17,2)+1))*(VLOOKUP($A70,CURVES!$D$9:$T$261,8))*(INDEX(DailyScalarsTable,AL$5/100,MONTH($A70)))*$C70</f>
        <v>-8580.3593140540306</v>
      </c>
      <c r="AM70" s="1021">
        <f>(VLOOKUP(YEAR($A70),'NY East Load Projections'!$A$4:$EO$14,((MONTH($A70)-1)*12)+VLOOKUP(AM$4,$DE$6:$DF$17,2)+1))*(VLOOKUP($A70,CURVES!$D$9:$T$261,8))*(INDEX(DailyScalarsTable,AM$5/100,MONTH($A70)))*$C70</f>
        <v>-10266.528666186628</v>
      </c>
      <c r="AN70" s="1021">
        <f>(VLOOKUP(YEAR($A70),'NY East Load Projections'!$A$4:$EO$14,((MONTH($A70)-1)*12)+VLOOKUP(AN$4,$DE$6:$DF$17,2)+1))*(VLOOKUP($A70,SatSunCurve,4))*(INDEX(DailyScalarsTable,AN$5/100,MONTH($A70)))*$C70</f>
        <v>-8706.9580429430589</v>
      </c>
      <c r="AO70" s="1021">
        <f>(VLOOKUP(YEAR($A70),'NY East Load Projections'!$A$4:$EO$14,((MONTH($A70)-1)*12)+VLOOKUP(AO$4,$DE$6:$DF$17,2)+1))*(VLOOKUP($A70,SatSunCurve,4))*(INDEX(DailyScalarsTable,AO$5/100,MONTH($A70)))*$C70</f>
        <v>-10623.198549031948</v>
      </c>
      <c r="AP70" s="1021">
        <f>(VLOOKUP(YEAR($A70),'NY East Load Projections'!$A$4:$EO$14,((MONTH($A70)-1)*12)+VLOOKUP(AP$4,$DE$6:$DF$17,2)+1))*(VLOOKUP($A70,SatSunCurve,4))*(INDEX(DailyScalarsTable,AP$5/100,MONTH($A70)))*$C70</f>
        <v>-10811.618174842752</v>
      </c>
      <c r="AQ70" s="1021">
        <f>(VLOOKUP(YEAR($A70),'NY East Load Projections'!$A$4:$EO$14,((MONTH($A70)-1)*12)+VLOOKUP(AQ$4,$DE$6:$DF$17,2)+1))*(VLOOKUP($A70,SatSunCurve,4))*(INDEX(DailyScalarsTable,AQ$5/100,MONTH($A70)))*$C70</f>
        <v>-11468.58571970519</v>
      </c>
      <c r="AR70" s="1021">
        <f>(VLOOKUP(YEAR($A70),'NY East Load Projections'!$A$4:$EO$14,((MONTH($A70)-1)*12)+VLOOKUP(AR$4,$DE$6:$DF$17,2)+1))*(VLOOKUP($A70,SatSunCurve,4))*(INDEX(DailyScalarsTable,AR$5/100,MONTH($A70)))*$C70</f>
        <v>-11381.879343225881</v>
      </c>
      <c r="AS70" s="1021">
        <f>(VLOOKUP(YEAR($A70),'NY East Load Projections'!$A$4:$EO$14,((MONTH($A70)-1)*12)+VLOOKUP(AS$4,$DE$6:$DF$17,2)+1))*(VLOOKUP($A70,SatSunCurve,4))*(INDEX(DailyScalarsTable,AS$5/100,MONTH($A70)))*$C70</f>
        <v>-10877.895980964173</v>
      </c>
      <c r="AT70" s="1021">
        <f>(VLOOKUP(YEAR($A70),'NY East Load Projections'!$A$4:$EO$14,((MONTH($A70)-1)*12)+VLOOKUP(AT$4,$DE$6:$DF$17,2)+1))*(VLOOKUP($A70,SatSunCurve,4))*(INDEX(DailyScalarsTable,AT$5/100,MONTH($A70)))*$C70</f>
        <v>-10930.323651270437</v>
      </c>
      <c r="AU70" s="1021">
        <f>(VLOOKUP(YEAR($A70),'NY East Load Projections'!$A$4:$EO$14,((MONTH($A70)-1)*12)+VLOOKUP(AU$4,$DE$6:$DF$17,2)+1))*(VLOOKUP($A70,SatSunCurve,4))*(INDEX(DailyScalarsTable,AU$5/100,MONTH($A70)))*$C70</f>
        <v>-10602.227908063496</v>
      </c>
      <c r="AV70" s="1021">
        <f>(VLOOKUP(YEAR($A70),'NY East Load Projections'!$A$4:$EO$14,((MONTH($A70)-1)*12)+VLOOKUP(AV$4,$DE$6:$DF$17,2)+1))*(VLOOKUP($A70,SatSunCurve,4))*(INDEX(DailyScalarsTable,AV$5/100,MONTH($A70)))*$C70</f>
        <v>-10189.571406298062</v>
      </c>
      <c r="AW70" s="1021">
        <f>(VLOOKUP(YEAR($A70),'NY East Load Projections'!$A$4:$EO$14,((MONTH($A70)-1)*12)+VLOOKUP(AW$4,$DE$6:$DF$17,2)+1))*(VLOOKUP($A70,SatSunCurve,4))*(INDEX(DailyScalarsTable,AW$5/100,MONTH($A70)))*$C70</f>
        <v>-9612.0790710360761</v>
      </c>
      <c r="AX70" s="1021">
        <f>(VLOOKUP(YEAR($A70),'NY East Load Projections'!$A$4:$EO$14,((MONTH($A70)-1)*12)+VLOOKUP(AX$4,$DE$6:$DF$17,2)+1))*(VLOOKUP($A70,SatSunCurve,4))*(INDEX(DailyScalarsTable,AX$5/100,MONTH($A70)))*$C70</f>
        <v>-9237.4802796644362</v>
      </c>
      <c r="AY70" s="1021">
        <f>(VLOOKUP(YEAR($A70),'NY East Load Projections'!$A$4:$EO$14,((MONTH($A70)-1)*12)+VLOOKUP(AY$4,$DE$6:$DF$17,2)+1))*(VLOOKUP($A70,SatSunCurve,4))*(INDEX(DailyScalarsTable,AY$5/100,MONTH($A70)))*$C70</f>
        <v>-8003.5077904402224</v>
      </c>
      <c r="AZ70" s="1021">
        <f>(VLOOKUP(YEAR($A70),'NY East Load Projections'!$A$4:$EO$14,((MONTH($A70)-1)*12)+VLOOKUP(AZ$4,$DE$6:$DF$17,2)+1))*(VLOOKUP($A70,SatSunCurve,4))*(INDEX(DailyScalarsTable,AZ$5/100,MONTH($A70)))*$C70</f>
        <v>-7983.0465119199262</v>
      </c>
      <c r="BA70" s="1021">
        <f>(VLOOKUP(YEAR($A70),'NY East Load Projections'!$A$4:$EO$14,((MONTH($A70)-1)*12)+VLOOKUP(BA$4,$DE$6:$DF$17,2)+1))*(VLOOKUP($A70,SatSunCurve,4))*(INDEX(DailyScalarsTable,BA$5/100,MONTH($A70)))*$C70</f>
        <v>-10021.623095008996</v>
      </c>
      <c r="BB70" s="1021">
        <f>(VLOOKUP(YEAR($A70),'NY East Load Projections'!$A$4:$EO$14,((MONTH($A70)-1)*12)+VLOOKUP(BB$4,$DE$6:$DF$17,2)+1))*(VLOOKUP($A70,SatSunCurve,4))*(INDEX(DailyScalarsTable,BB$5/100,MONTH($A70)))*$C70</f>
        <v>-9558.7619109909774</v>
      </c>
      <c r="BC70" s="1021">
        <f>(VLOOKUP(YEAR($A70),'NY East Load Projections'!$A$4:$EO$14,((MONTH($A70)-1)*12)+VLOOKUP(BC$4,$DE$6:$DF$17,2)+1))*(VLOOKUP($A70,SatSunCurve,4))*(INDEX(DailyScalarsTable,BC$5/100,MONTH($A70)))*$C70</f>
        <v>-7668.1172049369252</v>
      </c>
      <c r="BD70" s="1021">
        <f>(VLOOKUP(YEAR($A70),'NY East Load Projections'!$A$4:$EO$14,((MONTH($A70)-1)*12)+VLOOKUP(BD$4,$DE$6:$DF$17,2)+1))*(VLOOKUP($A70,CURVES!$D$9:$T$261,8))*(INDEX(DailyScalarsTable,BD$5/100,MONTH($A70)))*$C70</f>
        <v>-9443.0965220817707</v>
      </c>
      <c r="BE70" s="1021"/>
      <c r="BF70" s="1021">
        <f>(VLOOKUP(YEAR($A70),'NY East Load Projections'!$A$4:$EO$14,((MONTH($A70)-1)*12)+VLOOKUP(BF$4,$DE$6:$DF$17,2)+1))*(VLOOKUP($A70,CURVES!$D$9:$T$261,8))*(INDEX(DailyScalarsTable,BF$5/100,MONTH($A70)))*$D70</f>
        <v>-7792.3891115609467</v>
      </c>
      <c r="BG70" s="1021">
        <f>(VLOOKUP(YEAR($A70),'NY East Load Projections'!$A$4:$EO$14,((MONTH($A70)-1)*12)+VLOOKUP(BG$4,$DE$6:$DF$17,2)+1))*(VLOOKUP($A70,CURVES!$D$9:$T$261,8))*(INDEX(DailyScalarsTable,BG$5/100,MONTH($A70)))*$D70</f>
        <v>-7019.0829723721727</v>
      </c>
      <c r="BH70" s="1021">
        <f>(VLOOKUP(YEAR($A70),'NY East Load Projections'!$A$4:$EO$14,((MONTH($A70)-1)*12)+VLOOKUP(BH$4,$DE$6:$DF$17,2)+1))*(VLOOKUP($A70,CURVES!$D$9:$T$261,8))*(INDEX(DailyScalarsTable,BH$5/100,MONTH($A70)))*$D70</f>
        <v>-6642.6588199628241</v>
      </c>
      <c r="BI70" s="1021">
        <f>(VLOOKUP(YEAR($A70),'NY East Load Projections'!$A$4:$EO$14,((MONTH($A70)-1)*12)+VLOOKUP(BI$4,$DE$6:$DF$17,2)+1))*(VLOOKUP($A70,CURVES!$D$9:$T$261,8))*(INDEX(DailyScalarsTable,BI$5/100,MONTH($A70)))*$D70</f>
        <v>-6440.1262596990955</v>
      </c>
      <c r="BJ70" s="1021">
        <f>(VLOOKUP(YEAR($A70),'NY East Load Projections'!$A$4:$EO$14,((MONTH($A70)-1)*12)+VLOOKUP(BJ$4,$DE$6:$DF$17,2)+1))*(VLOOKUP($A70,CURVES!$D$9:$T$261,8))*(INDEX(DailyScalarsTable,BJ$5/100,MONTH($A70)))*$D70</f>
        <v>-7076.9275271771894</v>
      </c>
      <c r="BK70" s="1021">
        <f>(VLOOKUP(YEAR($A70),'NY East Load Projections'!$A$4:$EO$14,((MONTH($A70)-1)*12)+VLOOKUP(BK$4,$DE$6:$DF$17,2)+1))*(VLOOKUP($A70,CURVES!$D$9:$T$261,8))*(INDEX(DailyScalarsTable,BK$5/100,MONTH($A70)))*$D70</f>
        <v>-8580.3593140540306</v>
      </c>
      <c r="BL70" s="1021">
        <f>(VLOOKUP(YEAR($A70),'NY East Load Projections'!$A$4:$EO$14,((MONTH($A70)-1)*12)+VLOOKUP(BL$4,$DE$6:$DF$17,2)+1))*(VLOOKUP($A70,CURVES!$D$9:$T$261,8))*(INDEX(DailyScalarsTable,BL$5/100,MONTH($A70)))*$D70</f>
        <v>-10266.528666186628</v>
      </c>
      <c r="BM70" s="1021">
        <f>(VLOOKUP(YEAR($A70),'NY East Load Projections'!$A$4:$EO$14,((MONTH($A70)-1)*12)+VLOOKUP(BM$4,$DE$6:$DF$17,2)+1))*(VLOOKUP($A70,SatSunCurve,8))*(INDEX(DailyScalarsTable,BM$5/100,MONTH($A70)))*$D70</f>
        <v>-9141.5182479039486</v>
      </c>
      <c r="BN70" s="1021">
        <f>(VLOOKUP(YEAR($A70),'NY East Load Projections'!$A$4:$EO$14,((MONTH($A70)-1)*12)+VLOOKUP(BN$4,$DE$6:$DF$17,2)+1))*(VLOOKUP($A70,SatSunCurve,8))*(INDEX(DailyScalarsTable,BN$5/100,MONTH($A70)))*$D70</f>
        <v>-11153.397421708167</v>
      </c>
      <c r="BO70" s="1021">
        <f>(VLOOKUP(YEAR($A70),'NY East Load Projections'!$A$4:$EO$14,((MONTH($A70)-1)*12)+VLOOKUP(BO$4,$DE$6:$DF$17,2)+1))*(VLOOKUP($A70,SatSunCurve,8))*(INDEX(DailyScalarsTable,BO$5/100,MONTH($A70)))*$D70</f>
        <v>-11351.220982947068</v>
      </c>
      <c r="BP70" s="1021">
        <f>(VLOOKUP(YEAR($A70),'NY East Load Projections'!$A$4:$EO$14,((MONTH($A70)-1)*12)+VLOOKUP(BP$4,$DE$6:$DF$17,2)+1))*(VLOOKUP($A70,SatSunCurve,8))*(INDEX(DailyScalarsTable,BP$5/100,MONTH($A70)))*$D70</f>
        <v>-12040.977470806592</v>
      </c>
      <c r="BQ70" s="1021">
        <f>(VLOOKUP(YEAR($A70),'NY East Load Projections'!$A$4:$EO$14,((MONTH($A70)-1)*12)+VLOOKUP(BQ$4,$DE$6:$DF$17,2)+1))*(VLOOKUP($A70,SatSunCurve,8))*(INDEX(DailyScalarsTable,BQ$5/100,MONTH($A70)))*$D70</f>
        <v>-11949.943619617008</v>
      </c>
      <c r="BR70" s="1021">
        <f>(VLOOKUP(YEAR($A70),'NY East Load Projections'!$A$4:$EO$14,((MONTH($A70)-1)*12)+VLOOKUP(BR$4,$DE$6:$DF$17,2)+1))*(VLOOKUP($A70,SatSunCurve,8))*(INDEX(DailyScalarsTable,BR$5/100,MONTH($A70)))*$D70</f>
        <v>-11420.806683383638</v>
      </c>
      <c r="BS70" s="1021">
        <f>(VLOOKUP(YEAR($A70),'NY East Load Projections'!$A$4:$EO$14,((MONTH($A70)-1)*12)+VLOOKUP(BS$4,$DE$6:$DF$17,2)+1))*(VLOOKUP($A70,SatSunCurve,8))*(INDEX(DailyScalarsTable,BS$5/100,MONTH($A70)))*$D70</f>
        <v>-11475.850994202186</v>
      </c>
      <c r="BT70" s="1021">
        <f>(VLOOKUP(YEAR($A70),'NY East Load Projections'!$A$4:$EO$14,((MONTH($A70)-1)*12)+VLOOKUP(BT$4,$DE$6:$DF$17,2)+1))*(VLOOKUP($A70,SatSunCurve,8))*(INDEX(DailyScalarsTable,BT$5/100,MONTH($A70)))*$D70</f>
        <v>-11131.380145853862</v>
      </c>
      <c r="BU70" s="1021">
        <f>(VLOOKUP(YEAR($A70),'NY East Load Projections'!$A$4:$EO$14,((MONTH($A70)-1)*12)+VLOOKUP(BU$4,$DE$6:$DF$17,2)+1))*(VLOOKUP($A70,SatSunCurve,8))*(INDEX(DailyScalarsTable,BU$5/100,MONTH($A70)))*$D70</f>
        <v>-10698.128151024008</v>
      </c>
      <c r="BV70" s="1021">
        <f>(VLOOKUP(YEAR($A70),'NY East Load Projections'!$A$4:$EO$14,((MONTH($A70)-1)*12)+VLOOKUP(BV$4,$DE$6:$DF$17,2)+1))*(VLOOKUP($A70,SatSunCurve,8))*(INDEX(DailyScalarsTable,BV$5/100,MONTH($A70)))*$D70</f>
        <v>-10091.813443317238</v>
      </c>
      <c r="BW70" s="1021">
        <f>(VLOOKUP(YEAR($A70),'NY East Load Projections'!$A$4:$EO$14,((MONTH($A70)-1)*12)+VLOOKUP(BW$4,$DE$6:$DF$17,2)+1))*(VLOOKUP($A70,SatSunCurve,8))*(INDEX(DailyScalarsTable,BW$5/100,MONTH($A70)))*$D70</f>
        <v>-9698.5186014129467</v>
      </c>
      <c r="BX70" s="1021">
        <f>(VLOOKUP(YEAR($A70),'NY East Load Projections'!$A$4:$EO$14,((MONTH($A70)-1)*12)+VLOOKUP(BX$4,$DE$6:$DF$17,2)+1))*(VLOOKUP($A70,SatSunCurve,8))*(INDEX(DailyScalarsTable,BX$5/100,MONTH($A70)))*$D70</f>
        <v>-8402.9591221988139</v>
      </c>
      <c r="BY70" s="1021">
        <f>(VLOOKUP(YEAR($A70),'NY East Load Projections'!$A$4:$EO$14,((MONTH($A70)-1)*12)+VLOOKUP(BY$4,$DE$6:$DF$17,2)+1))*(VLOOKUP($A70,SatSunCurve,8))*(INDEX(DailyScalarsTable,BY$5/100,MONTH($A70)))*$D70</f>
        <v>-8381.4766308342969</v>
      </c>
      <c r="BZ70" s="1021">
        <f>(VLOOKUP(YEAR($A70),'NY East Load Projections'!$A$4:$EO$14,((MONTH($A70)-1)*12)+VLOOKUP(BZ$4,$DE$6:$DF$17,2)+1))*(VLOOKUP($A70,SatSunCurve,8))*(INDEX(DailyScalarsTable,BZ$5/100,MONTH($A70)))*$D70</f>
        <v>-10521.797618043203</v>
      </c>
      <c r="CA70" s="1021">
        <f>(VLOOKUP(YEAR($A70),'NY East Load Projections'!$A$4:$EO$14,((MONTH($A70)-1)*12)+VLOOKUP(CA$4,$DE$6:$DF$17,2)+1))*(VLOOKUP($A70,SatSunCurve,8))*(INDEX(DailyScalarsTable,CA$5/100,MONTH($A70)))*$D70</f>
        <v>-10035.835248742877</v>
      </c>
      <c r="CB70" s="1021">
        <f>(VLOOKUP(YEAR($A70),'NY East Load Projections'!$A$4:$EO$14,((MONTH($A70)-1)*12)+VLOOKUP(CB$4,$DE$6:$DF$17,2)+1))*(VLOOKUP($A70,SatSunCurve,8))*(INDEX(DailyScalarsTable,CB$5/100,MONTH($A70)))*$D70</f>
        <v>-8050.8293493858464</v>
      </c>
      <c r="CC70" s="1021">
        <f>(VLOOKUP(YEAR($A70),'NY East Load Projections'!$A$4:$EO$14,((MONTH($A70)-1)*12)+VLOOKUP(CC$4,$DE$6:$DF$17,2)+1))*(VLOOKUP($A70,CURVES!$D$9:$T$261,8))*(INDEX(DailyScalarsTable,CC$5/100,MONTH($A70)))*$D70</f>
        <v>-9443.0965220817707</v>
      </c>
      <c r="CE70" s="1021">
        <f>(VLOOKUP(YEAR($A70),'NY East Load Projections'!$A$4:$EO$14,((MONTH($A70)-1)*12)+VLOOKUP(CE$4,$DE$6:$DF$17,2)+1))*(VLOOKUP($A70,CURVES!$D$9:$T$261,8))*(INDEX(DailyScalarsTable,CE$5/100,MONTH($A70)))*$E70</f>
        <v>-1948.0972778902367</v>
      </c>
      <c r="CF70" s="1021">
        <f>(VLOOKUP(YEAR($A70),'NY East Load Projections'!$A$4:$EO$14,((MONTH($A70)-1)*12)+VLOOKUP(CF$4,$DE$6:$DF$17,2)+1))*(VLOOKUP($A70,CURVES!$D$9:$T$261,8))*(INDEX(DailyScalarsTable,CF$5/100,MONTH($A70)))*$E70</f>
        <v>-1754.7707430930432</v>
      </c>
      <c r="CG70" s="1021">
        <f>(VLOOKUP(YEAR($A70),'NY East Load Projections'!$A$4:$EO$14,((MONTH($A70)-1)*12)+VLOOKUP(CG$4,$DE$6:$DF$17,2)+1))*(VLOOKUP($A70,CURVES!$D$9:$T$261,8))*(INDEX(DailyScalarsTable,CG$5/100,MONTH($A70)))*$E70</f>
        <v>-1660.664704990706</v>
      </c>
      <c r="CH70" s="1021">
        <f>(VLOOKUP(YEAR($A70),'NY East Load Projections'!$A$4:$EO$14,((MONTH($A70)-1)*12)+VLOOKUP(CH$4,$DE$6:$DF$17,2)+1))*(VLOOKUP($A70,CURVES!$D$9:$T$261,8))*(INDEX(DailyScalarsTable,CH$5/100,MONTH($A70)))*$E70</f>
        <v>-1610.0315649247739</v>
      </c>
      <c r="CI70" s="1021">
        <f>(VLOOKUP(YEAR($A70),'NY East Load Projections'!$A$4:$EO$14,((MONTH($A70)-1)*12)+VLOOKUP(CI$4,$DE$6:$DF$17,2)+1))*(VLOOKUP($A70,CURVES!$D$9:$T$261,8))*(INDEX(DailyScalarsTable,CI$5/100,MONTH($A70)))*$E70</f>
        <v>-1769.2318817942974</v>
      </c>
      <c r="CJ70" s="1021">
        <f>(VLOOKUP(YEAR($A70),'NY East Load Projections'!$A$4:$EO$14,((MONTH($A70)-1)*12)+VLOOKUP(CJ$4,$DE$6:$DF$17,2)+1))*(VLOOKUP($A70,CURVES!$D$9:$T$261,8))*(INDEX(DailyScalarsTable,CJ$5/100,MONTH($A70)))*$E70</f>
        <v>-2145.0898285135077</v>
      </c>
      <c r="CK70" s="1021">
        <f>(VLOOKUP(YEAR($A70),'NY East Load Projections'!$A$4:$EO$14,((MONTH($A70)-1)*12)+VLOOKUP(CK$4,$DE$6:$DF$17,2)+1))*(VLOOKUP($A70,CURVES!$D$9:$T$261,8))*(INDEX(DailyScalarsTable,CK$5/100,MONTH($A70)))*$E70</f>
        <v>-2566.6321665466571</v>
      </c>
      <c r="CL70" s="1021">
        <f>(VLOOKUP(YEAR($A70),'NY East Load Projections'!$A$4:$EO$14,((MONTH($A70)-1)*12)+VLOOKUP(CL$4,$DE$6:$DF$17,2)+1))*(VLOOKUP($A70,SatSunCurve,8))*(INDEX(DailyScalarsTable,CL$5/100,MONTH($A70)))*$E70</f>
        <v>-2285.3795619759871</v>
      </c>
      <c r="CM70" s="1021">
        <f>(VLOOKUP(YEAR($A70),'NY East Load Projections'!$A$4:$EO$14,((MONTH($A70)-1)*12)+VLOOKUP(CM$4,$DE$6:$DF$17,2)+1))*(VLOOKUP($A70,SatSunCurve,8))*(INDEX(DailyScalarsTable,CM$5/100,MONTH($A70)))*$E70</f>
        <v>-2788.3493554270417</v>
      </c>
      <c r="CN70" s="1021">
        <f>(VLOOKUP(YEAR($A70),'NY East Load Projections'!$A$4:$EO$14,((MONTH($A70)-1)*12)+VLOOKUP(CN$4,$DE$6:$DF$17,2)+1))*(VLOOKUP($A70,SatSunCurve,8))*(INDEX(DailyScalarsTable,CN$5/100,MONTH($A70)))*$E70</f>
        <v>-2837.8052457367671</v>
      </c>
      <c r="CO70" s="1021">
        <f>(VLOOKUP(YEAR($A70),'NY East Load Projections'!$A$4:$EO$14,((MONTH($A70)-1)*12)+VLOOKUP(CO$4,$DE$6:$DF$17,2)+1))*(VLOOKUP($A70,SatSunCurve,8))*(INDEX(DailyScalarsTable,CO$5/100,MONTH($A70)))*$E70</f>
        <v>-3010.2443677016481</v>
      </c>
      <c r="CP70" s="1021">
        <f>(VLOOKUP(YEAR($A70),'NY East Load Projections'!$A$4:$EO$14,((MONTH($A70)-1)*12)+VLOOKUP(CP$4,$DE$6:$DF$17,2)+1))*(VLOOKUP($A70,SatSunCurve,8))*(INDEX(DailyScalarsTable,CP$5/100,MONTH($A70)))*$E70</f>
        <v>-2987.485904904252</v>
      </c>
      <c r="CQ70" s="1021">
        <f>(VLOOKUP(YEAR($A70),'NY East Load Projections'!$A$4:$EO$14,((MONTH($A70)-1)*12)+VLOOKUP(CQ$4,$DE$6:$DF$17,2)+1))*(VLOOKUP($A70,SatSunCurve,8))*(INDEX(DailyScalarsTable,CQ$5/100,MONTH($A70)))*$E70</f>
        <v>-2855.2016708459096</v>
      </c>
      <c r="CR70" s="1021">
        <f>(VLOOKUP(YEAR($A70),'NY East Load Projections'!$A$4:$EO$14,((MONTH($A70)-1)*12)+VLOOKUP(CR$4,$DE$6:$DF$17,2)+1))*(VLOOKUP($A70,SatSunCurve,8))*(INDEX(DailyScalarsTable,CR$5/100,MONTH($A70)))*$E70</f>
        <v>-2868.9627485505466</v>
      </c>
      <c r="CS70" s="1021">
        <f>(VLOOKUP(YEAR($A70),'NY East Load Projections'!$A$4:$EO$14,((MONTH($A70)-1)*12)+VLOOKUP(CS$4,$DE$6:$DF$17,2)+1))*(VLOOKUP($A70,SatSunCurve,8))*(INDEX(DailyScalarsTable,CS$5/100,MONTH($A70)))*$E70</f>
        <v>-2782.8450364634655</v>
      </c>
      <c r="CT70" s="1021">
        <f>(VLOOKUP(YEAR($A70),'NY East Load Projections'!$A$4:$EO$14,((MONTH($A70)-1)*12)+VLOOKUP(CT$4,$DE$6:$DF$17,2)+1))*(VLOOKUP($A70,SatSunCurve,8))*(INDEX(DailyScalarsTable,CT$5/100,MONTH($A70)))*$E70</f>
        <v>-2674.532037756002</v>
      </c>
      <c r="CU70" s="1021">
        <f>(VLOOKUP(YEAR($A70),'NY East Load Projections'!$A$4:$EO$14,((MONTH($A70)-1)*12)+VLOOKUP(CU$4,$DE$6:$DF$17,2)+1))*(VLOOKUP($A70,SatSunCurve,8))*(INDEX(DailyScalarsTable,CU$5/100,MONTH($A70)))*$E70</f>
        <v>-2522.9533608293095</v>
      </c>
      <c r="CV70" s="1021">
        <f>(VLOOKUP(YEAR($A70),'NY East Load Projections'!$A$4:$EO$14,((MONTH($A70)-1)*12)+VLOOKUP(CV$4,$DE$6:$DF$17,2)+1))*(VLOOKUP($A70,SatSunCurve,8))*(INDEX(DailyScalarsTable,CV$5/100,MONTH($A70)))*$E70</f>
        <v>-2424.6296503532367</v>
      </c>
      <c r="CW70" s="1021">
        <f>(VLOOKUP(YEAR($A70),'NY East Load Projections'!$A$4:$EO$14,((MONTH($A70)-1)*12)+VLOOKUP(CW$4,$DE$6:$DF$17,2)+1))*(VLOOKUP($A70,SatSunCurve,8))*(INDEX(DailyScalarsTable,CW$5/100,MONTH($A70)))*$E70</f>
        <v>-2100.7397805497035</v>
      </c>
      <c r="CX70" s="1021">
        <f>(VLOOKUP(YEAR($A70),'NY East Load Projections'!$A$4:$EO$14,((MONTH($A70)-1)*12)+VLOOKUP(CX$4,$DE$6:$DF$17,2)+1))*(VLOOKUP($A70,SatSunCurve,8))*(INDEX(DailyScalarsTable,CX$5/100,MONTH($A70)))*$E70</f>
        <v>-2095.3691577085742</v>
      </c>
      <c r="CY70" s="1021">
        <f>(VLOOKUP(YEAR($A70),'NY East Load Projections'!$A$4:$EO$14,((MONTH($A70)-1)*12)+VLOOKUP(CY$4,$DE$6:$DF$17,2)+1))*(VLOOKUP($A70,SatSunCurve,8))*(INDEX(DailyScalarsTable,CY$5/100,MONTH($A70)))*$E70</f>
        <v>-2630.4494045108008</v>
      </c>
      <c r="CZ70" s="1021">
        <f>(VLOOKUP(YEAR($A70),'NY East Load Projections'!$A$4:$EO$14,((MONTH($A70)-1)*12)+VLOOKUP(CZ$4,$DE$6:$DF$17,2)+1))*(VLOOKUP($A70,SatSunCurve,8))*(INDEX(DailyScalarsTable,CZ$5/100,MONTH($A70)))*$E70</f>
        <v>-2508.9588121857191</v>
      </c>
      <c r="DA70" s="1021">
        <f>(VLOOKUP(YEAR($A70),'NY East Load Projections'!$A$4:$EO$14,((MONTH($A70)-1)*12)+VLOOKUP(DA$4,$DE$6:$DF$17,2)+1))*(VLOOKUP($A70,SatSunCurve,8))*(INDEX(DailyScalarsTable,DA$5/100,MONTH($A70)))*$E70</f>
        <v>-2012.7073373464616</v>
      </c>
      <c r="DB70" s="1021">
        <f>(VLOOKUP(YEAR($A70),'NY East Load Projections'!$A$4:$EO$14,((MONTH($A70)-1)*12)+VLOOKUP(DB$4,$DE$6:$DF$17,2)+1))*(VLOOKUP($A70,CURVES!$D$9:$T$261,8))*(INDEX(DailyScalarsTable,DB$5/100,MONTH($A70)))*$E70</f>
        <v>-2360.7741305204427</v>
      </c>
      <c r="DH70" s="1021">
        <f t="shared" si="0"/>
        <v>-2211142.4065179704</v>
      </c>
      <c r="DI70">
        <f ca="1">CALC!J90</f>
        <v>0.63493471897843934</v>
      </c>
      <c r="DJ70" s="1029">
        <f t="shared" ca="1" si="1"/>
        <v>-1403931.0825037975</v>
      </c>
    </row>
    <row r="71" spans="1:114" x14ac:dyDescent="0.25">
      <c r="A71" s="244">
        <v>38869</v>
      </c>
      <c r="B71" s="13">
        <v>22</v>
      </c>
      <c r="C71" s="210">
        <v>4</v>
      </c>
      <c r="D71" s="210">
        <v>4</v>
      </c>
      <c r="E71" s="210">
        <v>0</v>
      </c>
      <c r="F71" s="13">
        <v>30</v>
      </c>
      <c r="H71" s="1021">
        <f>(VLOOKUP(YEAR($A71),'NY East Load Projections'!$A$4:$EO$14,((MONTH($A71)-1)*12)+VLOOKUP(H$4,$DE$6:$DF$17,2)+1))*(VLOOKUP($A71,CURVES!$D$9:$K$261,8))*(INDEX(DailyScalarsTable,H$5/100,MONTH($A71)))*$B71</f>
        <v>-53022.779620773028</v>
      </c>
      <c r="I71" s="1021">
        <f>(VLOOKUP(YEAR($A71),'NY East Load Projections'!$A$4:$EO$14,((MONTH($A71)-1)*12)+VLOOKUP(I$4,$DE$6:$DF$17,2)+1))*(VLOOKUP($A71,CURVES!$D$9:$K$261,8))*(INDEX(DailyScalarsTable,I$5/100,MONTH($A71)))*$B71</f>
        <v>-43930.058262718776</v>
      </c>
      <c r="J71" s="1021">
        <f>(VLOOKUP(YEAR($A71),'NY East Load Projections'!$A$4:$EO$14,((MONTH($A71)-1)*12)+VLOOKUP(J$4,$DE$6:$DF$17,2)+1))*(VLOOKUP($A71,CURVES!$D$9:$K$261,8))*(INDEX(DailyScalarsTable,J$5/100,MONTH($A71)))*$B71</f>
        <v>-36927.30569442625</v>
      </c>
      <c r="K71" s="1021">
        <f>(VLOOKUP(YEAR($A71),'NY East Load Projections'!$A$4:$EO$14,((MONTH($A71)-1)*12)+VLOOKUP(K$4,$DE$6:$DF$17,2)+1))*(VLOOKUP($A71,CURVES!$D$9:$K$261,8))*(INDEX(DailyScalarsTable,K$5/100,MONTH($A71)))*$B71</f>
        <v>-34280.916642455253</v>
      </c>
      <c r="L71" s="1021">
        <f>(VLOOKUP(YEAR($A71),'NY East Load Projections'!$A$4:$EO$14,((MONTH($A71)-1)*12)+VLOOKUP(L$4,$DE$6:$DF$17,2)+1))*(VLOOKUP($A71,CURVES!$D$9:$K$261,8))*(INDEX(DailyScalarsTable,L$5/100,MONTH($A71)))*$B71</f>
        <v>-40739.877179160088</v>
      </c>
      <c r="M71" s="1021">
        <f>(VLOOKUP(YEAR($A71),'NY East Load Projections'!$A$4:$EO$14,((MONTH($A71)-1)*12)+VLOOKUP(M$4,$DE$6:$DF$17,2)+1))*(VLOOKUP($A71,CURVES!$D$9:$K$261,8))*(INDEX(DailyScalarsTable,M$5/100,MONTH($A71)))*$B71</f>
        <v>-49705.623872238015</v>
      </c>
      <c r="N71" s="1021">
        <f>(VLOOKUP(YEAR($A71),'NY East Load Projections'!$A$4:$EO$14,((MONTH($A71)-1)*12)+VLOOKUP(N$4,$DE$6:$DF$17,2)+1))*(VLOOKUP($A71,CURVES!$D$9:$K$261,8))*(INDEX(DailyScalarsTable,N$5/100,MONTH($A71)))*$B71</f>
        <v>-56991.22234588342</v>
      </c>
      <c r="O71" s="1021">
        <f>(VLOOKUP(YEAR($A71),'NY East Load Projections'!$A$4:$EO$14,((MONTH($A71)-1)*12)+VLOOKUP(O$4,$DE$6:$DF$17,2)+1))*(VLOOKUP($A71,CURVES!$D$9:$K$261,4))*(INDEX(DailyScalarsTable,O$5/100,MONTH($A71)))*$B71</f>
        <v>-80117.122654943494</v>
      </c>
      <c r="P71" s="1021">
        <f>(VLOOKUP(YEAR($A71),'NY East Load Projections'!$A$4:$EO$14,((MONTH($A71)-1)*12)+VLOOKUP(P$4,$DE$6:$DF$17,2)+1))*(VLOOKUP($A71,CURVES!$D$9:$K$261,4))*(INDEX(DailyScalarsTable,P$5/100,MONTH($A71)))*$B71</f>
        <v>-106408.64631547476</v>
      </c>
      <c r="Q71" s="1021">
        <f>(VLOOKUP(YEAR($A71),'NY East Load Projections'!$A$4:$EO$14,((MONTH($A71)-1)*12)+VLOOKUP(Q$4,$DE$6:$DF$17,2)+1))*(VLOOKUP($A71,CURVES!$D$9:$K$261,4))*(INDEX(DailyScalarsTable,Q$5/100,MONTH($A71)))*$B71</f>
        <v>-119017.27820141004</v>
      </c>
      <c r="R71" s="1021">
        <f>(VLOOKUP(YEAR($A71),'NY East Load Projections'!$A$4:$EO$14,((MONTH($A71)-1)*12)+VLOOKUP(R$4,$DE$6:$DF$17,2)+1))*(VLOOKUP($A71,CURVES!$D$9:$K$261,4))*(INDEX(DailyScalarsTable,R$5/100,MONTH($A71)))*$B71</f>
        <v>-136904.37580290702</v>
      </c>
      <c r="S71" s="1021">
        <f>(VLOOKUP(YEAR($A71),'NY East Load Projections'!$A$4:$EO$14,((MONTH($A71)-1)*12)+VLOOKUP(S$4,$DE$6:$DF$17,2)+1))*(VLOOKUP($A71,CURVES!$D$9:$K$261,4))*(INDEX(DailyScalarsTable,S$5/100,MONTH($A71)))*$B71</f>
        <v>-147647.82545719511</v>
      </c>
      <c r="T71" s="1021">
        <f>(VLOOKUP(YEAR($A71),'NY East Load Projections'!$A$4:$EO$14,((MONTH($A71)-1)*12)+VLOOKUP(T$4,$DE$6:$DF$17,2)+1))*(VLOOKUP($A71,CURVES!$D$9:$K$261,4))*(INDEX(DailyScalarsTable,T$5/100,MONTH($A71)))*$B71</f>
        <v>-157349.92263593912</v>
      </c>
      <c r="U71" s="1021">
        <f>(VLOOKUP(YEAR($A71),'NY East Load Projections'!$A$4:$EO$14,((MONTH($A71)-1)*12)+VLOOKUP(U$4,$DE$6:$DF$17,2)+1))*(VLOOKUP($A71,CURVES!$D$9:$K$261,4))*(INDEX(DailyScalarsTable,U$5/100,MONTH($A71)))*$B71</f>
        <v>-174010.72771932144</v>
      </c>
      <c r="V71" s="1021">
        <f>(VLOOKUP(YEAR($A71),'NY East Load Projections'!$A$4:$EO$14,((MONTH($A71)-1)*12)+VLOOKUP(V$4,$DE$6:$DF$17,2)+1))*(VLOOKUP($A71,CURVES!$D$9:$K$261,4))*(INDEX(DailyScalarsTable,V$5/100,MONTH($A71)))*$B71</f>
        <v>-175349.71320248654</v>
      </c>
      <c r="W71" s="1021">
        <f>(VLOOKUP(YEAR($A71),'NY East Load Projections'!$A$4:$EO$14,((MONTH($A71)-1)*12)+VLOOKUP(W$4,$DE$6:$DF$17,2)+1))*(VLOOKUP($A71,CURVES!$D$9:$K$261,4))*(INDEX(DailyScalarsTable,W$5/100,MONTH($A71)))*$B71</f>
        <v>-175636.63866316472</v>
      </c>
      <c r="X71" s="1021">
        <f>(VLOOKUP(YEAR($A71),'NY East Load Projections'!$A$4:$EO$14,((MONTH($A71)-1)*12)+VLOOKUP(X$4,$DE$6:$DF$17,2)+1))*(VLOOKUP($A71,CURVES!$D$9:$K$261,4))*(INDEX(DailyScalarsTable,X$5/100,MONTH($A71)))*$B71</f>
        <v>-168416.07065356625</v>
      </c>
      <c r="Y71" s="1021">
        <f>(VLOOKUP(YEAR($A71),'NY East Load Projections'!$A$4:$EO$14,((MONTH($A71)-1)*12)+VLOOKUP(Y$4,$DE$6:$DF$17,2)+1))*(VLOOKUP($A71,CURVES!$D$9:$K$261,4))*(INDEX(DailyScalarsTable,Y$5/100,MONTH($A71)))*$B71</f>
        <v>-163416.47237138447</v>
      </c>
      <c r="Z71" s="1021">
        <f>(VLOOKUP(YEAR($A71),'NY East Load Projections'!$A$4:$EO$14,((MONTH($A71)-1)*12)+VLOOKUP(Z$4,$DE$6:$DF$17,2)+1))*(VLOOKUP($A71,CURVES!$D$9:$K$261,4))*(INDEX(DailyScalarsTable,Z$5/100,MONTH($A71)))*$B71</f>
        <v>-139537.52461930341</v>
      </c>
      <c r="AA71" s="1021">
        <f>(VLOOKUP(YEAR($A71),'NY East Load Projections'!$A$4:$EO$14,((MONTH($A71)-1)*12)+VLOOKUP(AA$4,$DE$6:$DF$17,2)+1))*(VLOOKUP($A71,CURVES!$D$9:$K$261,4))*(INDEX(DailyScalarsTable,AA$5/100,MONTH($A71)))*$B71</f>
        <v>-111579.48223988281</v>
      </c>
      <c r="AB71" s="1021">
        <f>(VLOOKUP(YEAR($A71),'NY East Load Projections'!$A$4:$EO$14,((MONTH($A71)-1)*12)+VLOOKUP(AB$4,$DE$6:$DF$17,2)+1))*(VLOOKUP($A71,CURVES!$D$9:$K$261,4))*(INDEX(DailyScalarsTable,AB$5/100,MONTH($A71)))*$B71</f>
        <v>-107158.52781589628</v>
      </c>
      <c r="AC71" s="1021">
        <f>(VLOOKUP(YEAR($A71),'NY East Load Projections'!$A$4:$EO$14,((MONTH($A71)-1)*12)+VLOOKUP(AC$4,$DE$6:$DF$17,2)+1))*(VLOOKUP($A71,CURVES!$D$9:$K$261,4))*(INDEX(DailyScalarsTable,AC$5/100,MONTH($A71)))*$B71</f>
        <v>-109184.29933012954</v>
      </c>
      <c r="AD71" s="1021">
        <f>(VLOOKUP(YEAR($A71),'NY East Load Projections'!$A$4:$EO$14,((MONTH($A71)-1)*12)+VLOOKUP(AD$4,$DE$6:$DF$17,2)+1))*(VLOOKUP($A71,CURVES!$D$9:$K$261,4))*(INDEX(DailyScalarsTable,AD$5/100,MONTH($A71)))*$B71</f>
        <v>-87554.801902568433</v>
      </c>
      <c r="AE71" s="1021">
        <f>(VLOOKUP(YEAR($A71),'NY East Load Projections'!$A$4:$EO$14,((MONTH($A71)-1)*12)+VLOOKUP(AE$4,$DE$6:$DF$17,2)+1))*(VLOOKUP($A71,CURVES!$D$9:$K$261,8))*(INDEX(DailyScalarsTable,AE$5/100,MONTH($A71)))*$B71</f>
        <v>-67737.271475403788</v>
      </c>
      <c r="AF71" s="1021"/>
      <c r="AG71" s="1021">
        <f>(VLOOKUP(YEAR($A71),'NY East Load Projections'!$A$4:$EO$14,((MONTH($A71)-1)*12)+VLOOKUP(AG$4,$DE$6:$DF$17,2)+1))*(VLOOKUP($A71,CURVES!$D$9:$T$261,8))*(INDEX(DailyScalarsTable,AG$5/100,MONTH($A71)))*$C71</f>
        <v>-9795.2269556965493</v>
      </c>
      <c r="AH71" s="1021">
        <f>(VLOOKUP(YEAR($A71),'NY East Load Projections'!$A$4:$EO$14,((MONTH($A71)-1)*12)+VLOOKUP(AH$4,$DE$6:$DF$17,2)+1))*(VLOOKUP($A71,CURVES!$D$9:$T$261,8))*(INDEX(DailyScalarsTable,AH$5/100,MONTH($A71)))*$C71</f>
        <v>-8115.4721411798646</v>
      </c>
      <c r="AI71" s="1021">
        <f>(VLOOKUP(YEAR($A71),'NY East Load Projections'!$A$4:$EO$14,((MONTH($A71)-1)*12)+VLOOKUP(AI$4,$DE$6:$DF$17,2)+1))*(VLOOKUP($A71,CURVES!$D$9:$T$261,8))*(INDEX(DailyScalarsTable,AI$5/100,MONTH($A71)))*$C71</f>
        <v>-6821.8102243282074</v>
      </c>
      <c r="AJ71" s="1021">
        <f>(VLOOKUP(YEAR($A71),'NY East Load Projections'!$A$4:$EO$14,((MONTH($A71)-1)*12)+VLOOKUP(AJ$4,$DE$6:$DF$17,2)+1))*(VLOOKUP($A71,CURVES!$D$9:$T$261,8))*(INDEX(DailyScalarsTable,AJ$5/100,MONTH($A71)))*$C71</f>
        <v>-6332.9263604017115</v>
      </c>
      <c r="AK71" s="1021">
        <f>(VLOOKUP(YEAR($A71),'NY East Load Projections'!$A$4:$EO$14,((MONTH($A71)-1)*12)+VLOOKUP(AK$4,$DE$6:$DF$17,2)+1))*(VLOOKUP($A71,CURVES!$D$9:$T$261,8))*(INDEX(DailyScalarsTable,AK$5/100,MONTH($A71)))*$C71</f>
        <v>-6934.0610741688943</v>
      </c>
      <c r="AL71" s="1021">
        <f>(VLOOKUP(YEAR($A71),'NY East Load Projections'!$A$4:$EO$14,((MONTH($A71)-1)*12)+VLOOKUP(AL$4,$DE$6:$DF$17,2)+1))*(VLOOKUP($A71,CURVES!$D$9:$T$261,8))*(INDEX(DailyScalarsTable,AL$5/100,MONTH($A71)))*$C71</f>
        <v>-8460.0606463308795</v>
      </c>
      <c r="AM71" s="1021">
        <f>(VLOOKUP(YEAR($A71),'NY East Load Projections'!$A$4:$EO$14,((MONTH($A71)-1)*12)+VLOOKUP(AM$4,$DE$6:$DF$17,2)+1))*(VLOOKUP($A71,CURVES!$D$9:$T$261,8))*(INDEX(DailyScalarsTable,AM$5/100,MONTH($A71)))*$C71</f>
        <v>-9700.0934661640022</v>
      </c>
      <c r="AN71" s="1021">
        <f>(VLOOKUP(YEAR($A71),'NY East Load Projections'!$A$4:$EO$14,((MONTH($A71)-1)*12)+VLOOKUP(AN$4,$DE$6:$DF$17,2)+1))*(VLOOKUP($A71,SatSunCurve,4))*(INDEX(DailyScalarsTable,AN$5/100,MONTH($A71)))*$C71</f>
        <v>-7671.3110460334683</v>
      </c>
      <c r="AO71" s="1021">
        <f>(VLOOKUP(YEAR($A71),'NY East Load Projections'!$A$4:$EO$14,((MONTH($A71)-1)*12)+VLOOKUP(AO$4,$DE$6:$DF$17,2)+1))*(VLOOKUP($A71,SatSunCurve,4))*(INDEX(DailyScalarsTable,AO$5/100,MONTH($A71)))*$C71</f>
        <v>-9796.1473126944729</v>
      </c>
      <c r="AP71" s="1021">
        <f>(VLOOKUP(YEAR($A71),'NY East Load Projections'!$A$4:$EO$14,((MONTH($A71)-1)*12)+VLOOKUP(AP$4,$DE$6:$DF$17,2)+1))*(VLOOKUP($A71,SatSunCurve,4))*(INDEX(DailyScalarsTable,AP$5/100,MONTH($A71)))*$C71</f>
        <v>-10956.917791814794</v>
      </c>
      <c r="AQ71" s="1021">
        <f>(VLOOKUP(YEAR($A71),'NY East Load Projections'!$A$4:$EO$14,((MONTH($A71)-1)*12)+VLOOKUP(AQ$4,$DE$6:$DF$17,2)+1))*(VLOOKUP($A71,SatSunCurve,4))*(INDEX(DailyScalarsTable,AQ$5/100,MONTH($A71)))*$C71</f>
        <v>-12603.632125359754</v>
      </c>
      <c r="AR71" s="1021">
        <f>(VLOOKUP(YEAR($A71),'NY East Load Projections'!$A$4:$EO$14,((MONTH($A71)-1)*12)+VLOOKUP(AR$4,$DE$6:$DF$17,2)+1))*(VLOOKUP($A71,SatSunCurve,4))*(INDEX(DailyScalarsTable,AR$5/100,MONTH($A71)))*$C71</f>
        <v>-13592.690995142757</v>
      </c>
      <c r="AS71" s="1021">
        <f>(VLOOKUP(YEAR($A71),'NY East Load Projections'!$A$4:$EO$14,((MONTH($A71)-1)*12)+VLOOKUP(AS$4,$DE$6:$DF$17,2)+1))*(VLOOKUP($A71,SatSunCurve,4))*(INDEX(DailyScalarsTable,AS$5/100,MONTH($A71)))*$C71</f>
        <v>-14511.960066792339</v>
      </c>
      <c r="AT71" s="1021">
        <f>(VLOOKUP(YEAR($A71),'NY East Load Projections'!$A$4:$EO$14,((MONTH($A71)-1)*12)+VLOOKUP(AT$4,$DE$6:$DF$17,2)+1))*(VLOOKUP($A71,SatSunCurve,4))*(INDEX(DailyScalarsTable,AT$5/100,MONTH($A71)))*$C71</f>
        <v>-16048.541299247498</v>
      </c>
      <c r="AU71" s="1021">
        <f>(VLOOKUP(YEAR($A71),'NY East Load Projections'!$A$4:$EO$14,((MONTH($A71)-1)*12)+VLOOKUP(AU$4,$DE$6:$DF$17,2)+1))*(VLOOKUP($A71,SatSunCurve,4))*(INDEX(DailyScalarsTable,AU$5/100,MONTH($A71)))*$C71</f>
        <v>-16172.032328262267</v>
      </c>
      <c r="AV71" s="1021">
        <f>(VLOOKUP(YEAR($A71),'NY East Load Projections'!$A$4:$EO$14,((MONTH($A71)-1)*12)+VLOOKUP(AV$4,$DE$6:$DF$17,2)+1))*(VLOOKUP($A71,SatSunCurve,4))*(INDEX(DailyScalarsTable,AV$5/100,MONTH($A71)))*$C71</f>
        <v>-16198.494691622569</v>
      </c>
      <c r="AW71" s="1021">
        <f>(VLOOKUP(YEAR($A71),'NY East Load Projections'!$A$4:$EO$14,((MONTH($A71)-1)*12)+VLOOKUP(AW$4,$DE$6:$DF$17,2)+1))*(VLOOKUP($A71,SatSunCurve,4))*(INDEX(DailyScalarsTable,AW$5/100,MONTH($A71)))*$C71</f>
        <v>-15697.686463072214</v>
      </c>
      <c r="AX71" s="1021">
        <f>(VLOOKUP(YEAR($A71),'NY East Load Projections'!$A$4:$EO$14,((MONTH($A71)-1)*12)+VLOOKUP(AX$4,$DE$6:$DF$17,2)+1))*(VLOOKUP($A71,SatSunCurve,4))*(INDEX(DailyScalarsTable,AX$5/100,MONTH($A71)))*$C71</f>
        <v>-15231.685053762278</v>
      </c>
      <c r="AY71" s="1021">
        <f>(VLOOKUP(YEAR($A71),'NY East Load Projections'!$A$4:$EO$14,((MONTH($A71)-1)*12)+VLOOKUP(AY$4,$DE$6:$DF$17,2)+1))*(VLOOKUP($A71,SatSunCurve,4))*(INDEX(DailyScalarsTable,AY$5/100,MONTH($A71)))*$C71</f>
        <v>-13005.981571751288</v>
      </c>
      <c r="AZ71" s="1021">
        <f>(VLOOKUP(YEAR($A71),'NY East Load Projections'!$A$4:$EO$14,((MONTH($A71)-1)*12)+VLOOKUP(AZ$4,$DE$6:$DF$17,2)+1))*(VLOOKUP($A71,SatSunCurve,4))*(INDEX(DailyScalarsTable,AZ$5/100,MONTH($A71)))*$C71</f>
        <v>-10400.074773841221</v>
      </c>
      <c r="BA71" s="1021">
        <f>(VLOOKUP(YEAR($A71),'NY East Load Projections'!$A$4:$EO$14,((MONTH($A71)-1)*12)+VLOOKUP(BA$4,$DE$6:$DF$17,2)+1))*(VLOOKUP($A71,SatSunCurve,4))*(INDEX(DailyScalarsTable,BA$5/100,MONTH($A71)))*$C71</f>
        <v>-10746.129088141432</v>
      </c>
      <c r="BB71" s="1021">
        <f>(VLOOKUP(YEAR($A71),'NY East Load Projections'!$A$4:$EO$14,((MONTH($A71)-1)*12)+VLOOKUP(BB$4,$DE$6:$DF$17,2)+1))*(VLOOKUP($A71,SatSunCurve,4))*(INDEX(DailyScalarsTable,BB$5/100,MONTH($A71)))*$C71</f>
        <v>-10949.278596059559</v>
      </c>
      <c r="BC71" s="1021">
        <f>(VLOOKUP(YEAR($A71),'NY East Load Projections'!$A$4:$EO$14,((MONTH($A71)-1)*12)+VLOOKUP(BC$4,$DE$6:$DF$17,2)+1))*(VLOOKUP($A71,SatSunCurve,4))*(INDEX(DailyScalarsTable,BC$5/100,MONTH($A71)))*$C71</f>
        <v>-8780.217708366823</v>
      </c>
      <c r="BD71" s="1021">
        <f>(VLOOKUP(YEAR($A71),'NY East Load Projections'!$A$4:$EO$14,((MONTH($A71)-1)*12)+VLOOKUP(BD$4,$DE$6:$DF$17,2)+1))*(VLOOKUP($A71,CURVES!$D$9:$T$261,8))*(INDEX(DailyScalarsTable,BD$5/100,MONTH($A71)))*$C71</f>
        <v>-12074.710083131778</v>
      </c>
      <c r="BE71" s="1021"/>
      <c r="BF71" s="1021">
        <f>(VLOOKUP(YEAR($A71),'NY East Load Projections'!$A$4:$EO$14,((MONTH($A71)-1)*12)+VLOOKUP(BF$4,$DE$6:$DF$17,2)+1))*(VLOOKUP($A71,CURVES!$D$9:$T$261,8))*(INDEX(DailyScalarsTable,BF$5/100,MONTH($A71)))*$D71</f>
        <v>-9795.2269556965493</v>
      </c>
      <c r="BG71" s="1021">
        <f>(VLOOKUP(YEAR($A71),'NY East Load Projections'!$A$4:$EO$14,((MONTH($A71)-1)*12)+VLOOKUP(BG$4,$DE$6:$DF$17,2)+1))*(VLOOKUP($A71,CURVES!$D$9:$T$261,8))*(INDEX(DailyScalarsTable,BG$5/100,MONTH($A71)))*$D71</f>
        <v>-8115.4721411798646</v>
      </c>
      <c r="BH71" s="1021">
        <f>(VLOOKUP(YEAR($A71),'NY East Load Projections'!$A$4:$EO$14,((MONTH($A71)-1)*12)+VLOOKUP(BH$4,$DE$6:$DF$17,2)+1))*(VLOOKUP($A71,CURVES!$D$9:$T$261,8))*(INDEX(DailyScalarsTable,BH$5/100,MONTH($A71)))*$D71</f>
        <v>-6821.8102243282074</v>
      </c>
      <c r="BI71" s="1021">
        <f>(VLOOKUP(YEAR($A71),'NY East Load Projections'!$A$4:$EO$14,((MONTH($A71)-1)*12)+VLOOKUP(BI$4,$DE$6:$DF$17,2)+1))*(VLOOKUP($A71,CURVES!$D$9:$T$261,8))*(INDEX(DailyScalarsTable,BI$5/100,MONTH($A71)))*$D71</f>
        <v>-6332.9263604017115</v>
      </c>
      <c r="BJ71" s="1021">
        <f>(VLOOKUP(YEAR($A71),'NY East Load Projections'!$A$4:$EO$14,((MONTH($A71)-1)*12)+VLOOKUP(BJ$4,$DE$6:$DF$17,2)+1))*(VLOOKUP($A71,CURVES!$D$9:$T$261,8))*(INDEX(DailyScalarsTable,BJ$5/100,MONTH($A71)))*$D71</f>
        <v>-6934.0610741688943</v>
      </c>
      <c r="BK71" s="1021">
        <f>(VLOOKUP(YEAR($A71),'NY East Load Projections'!$A$4:$EO$14,((MONTH($A71)-1)*12)+VLOOKUP(BK$4,$DE$6:$DF$17,2)+1))*(VLOOKUP($A71,CURVES!$D$9:$T$261,8))*(INDEX(DailyScalarsTable,BK$5/100,MONTH($A71)))*$D71</f>
        <v>-8460.0606463308795</v>
      </c>
      <c r="BL71" s="1021">
        <f>(VLOOKUP(YEAR($A71),'NY East Load Projections'!$A$4:$EO$14,((MONTH($A71)-1)*12)+VLOOKUP(BL$4,$DE$6:$DF$17,2)+1))*(VLOOKUP($A71,CURVES!$D$9:$T$261,8))*(INDEX(DailyScalarsTable,BL$5/100,MONTH($A71)))*$D71</f>
        <v>-9700.0934661640022</v>
      </c>
      <c r="BM71" s="1021">
        <f>(VLOOKUP(YEAR($A71),'NY East Load Projections'!$A$4:$EO$14,((MONTH($A71)-1)*12)+VLOOKUP(BM$4,$DE$6:$DF$17,2)+1))*(VLOOKUP($A71,SatSunCurve,8))*(INDEX(DailyScalarsTable,BM$5/100,MONTH($A71)))*$D71</f>
        <v>-5937.3432307053072</v>
      </c>
      <c r="BN71" s="1021">
        <f>(VLOOKUP(YEAR($A71),'NY East Load Projections'!$A$4:$EO$14,((MONTH($A71)-1)*12)+VLOOKUP(BN$4,$DE$6:$DF$17,2)+1))*(VLOOKUP($A71,SatSunCurve,8))*(INDEX(DailyScalarsTable,BN$5/100,MONTH($A71)))*$D71</f>
        <v>-7581.8968341913796</v>
      </c>
      <c r="BO71" s="1021">
        <f>(VLOOKUP(YEAR($A71),'NY East Load Projections'!$A$4:$EO$14,((MONTH($A71)-1)*12)+VLOOKUP(BO$4,$DE$6:$DF$17,2)+1))*(VLOOKUP($A71,SatSunCurve,8))*(INDEX(DailyScalarsTable,BO$5/100,MONTH($A71)))*$D71</f>
        <v>-8480.2951269018722</v>
      </c>
      <c r="BP71" s="1021">
        <f>(VLOOKUP(YEAR($A71),'NY East Load Projections'!$A$4:$EO$14,((MONTH($A71)-1)*12)+VLOOKUP(BP$4,$DE$6:$DF$17,2)+1))*(VLOOKUP($A71,SatSunCurve,8))*(INDEX(DailyScalarsTable,BP$5/100,MONTH($A71)))*$D71</f>
        <v>-9754.7980303180902</v>
      </c>
      <c r="BQ71" s="1021">
        <f>(VLOOKUP(YEAR($A71),'NY East Load Projections'!$A$4:$EO$14,((MONTH($A71)-1)*12)+VLOOKUP(BQ$4,$DE$6:$DF$17,2)+1))*(VLOOKUP($A71,SatSunCurve,8))*(INDEX(DailyScalarsTable,BQ$5/100,MONTH($A71)))*$D71</f>
        <v>-10520.297167302182</v>
      </c>
      <c r="BR71" s="1021">
        <f>(VLOOKUP(YEAR($A71),'NY East Load Projections'!$A$4:$EO$14,((MONTH($A71)-1)*12)+VLOOKUP(BR$4,$DE$6:$DF$17,2)+1))*(VLOOKUP($A71,SatSunCurve,8))*(INDEX(DailyScalarsTable,BR$5/100,MONTH($A71)))*$D71</f>
        <v>-11231.78128872593</v>
      </c>
      <c r="BS71" s="1021">
        <f>(VLOOKUP(YEAR($A71),'NY East Load Projections'!$A$4:$EO$14,((MONTH($A71)-1)*12)+VLOOKUP(BS$4,$DE$6:$DF$17,2)+1))*(VLOOKUP($A71,SatSunCurve,8))*(INDEX(DailyScalarsTable,BS$5/100,MONTH($A71)))*$D71</f>
        <v>-12421.044782827594</v>
      </c>
      <c r="BT71" s="1021">
        <f>(VLOOKUP(YEAR($A71),'NY East Load Projections'!$A$4:$EO$14,((MONTH($A71)-1)*12)+VLOOKUP(BT$4,$DE$6:$DF$17,2)+1))*(VLOOKUP($A71,SatSunCurve,8))*(INDEX(DailyScalarsTable,BT$5/100,MONTH($A71)))*$D71</f>
        <v>-12516.622790390302</v>
      </c>
      <c r="BU71" s="1021">
        <f>(VLOOKUP(YEAR($A71),'NY East Load Projections'!$A$4:$EO$14,((MONTH($A71)-1)*12)+VLOOKUP(BU$4,$DE$6:$DF$17,2)+1))*(VLOOKUP($A71,SatSunCurve,8))*(INDEX(DailyScalarsTable,BU$5/100,MONTH($A71)))*$D71</f>
        <v>-12537.103792010877</v>
      </c>
      <c r="BV71" s="1021">
        <f>(VLOOKUP(YEAR($A71),'NY East Load Projections'!$A$4:$EO$14,((MONTH($A71)-1)*12)+VLOOKUP(BV$4,$DE$6:$DF$17,2)+1))*(VLOOKUP($A71,SatSunCurve,8))*(INDEX(DailyScalarsTable,BV$5/100,MONTH($A71)))*$D71</f>
        <v>-12149.4946430894</v>
      </c>
      <c r="BW71" s="1021">
        <f>(VLOOKUP(YEAR($A71),'NY East Load Projections'!$A$4:$EO$14,((MONTH($A71)-1)*12)+VLOOKUP(BW$4,$DE$6:$DF$17,2)+1))*(VLOOKUP($A71,SatSunCurve,8))*(INDEX(DailyScalarsTable,BW$5/100,MONTH($A71)))*$D71</f>
        <v>-11788.824831050413</v>
      </c>
      <c r="BX71" s="1021">
        <f>(VLOOKUP(YEAR($A71),'NY East Load Projections'!$A$4:$EO$14,((MONTH($A71)-1)*12)+VLOOKUP(BX$4,$DE$6:$DF$17,2)+1))*(VLOOKUP($A71,SatSunCurve,8))*(INDEX(DailyScalarsTable,BX$5/100,MONTH($A71)))*$D71</f>
        <v>-10066.203310012232</v>
      </c>
      <c r="BY71" s="1021">
        <f>(VLOOKUP(YEAR($A71),'NY East Load Projections'!$A$4:$EO$14,((MONTH($A71)-1)*12)+VLOOKUP(BY$4,$DE$6:$DF$17,2)+1))*(VLOOKUP($A71,SatSunCurve,8))*(INDEX(DailyScalarsTable,BY$5/100,MONTH($A71)))*$D71</f>
        <v>-8049.3168881769025</v>
      </c>
      <c r="BZ71" s="1021">
        <f>(VLOOKUP(YEAR($A71),'NY East Load Projections'!$A$4:$EO$14,((MONTH($A71)-1)*12)+VLOOKUP(BZ$4,$DE$6:$DF$17,2)+1))*(VLOOKUP($A71,SatSunCurve,8))*(INDEX(DailyScalarsTable,BZ$5/100,MONTH($A71)))*$D71</f>
        <v>-8317.1515813782808</v>
      </c>
      <c r="CA71" s="1021">
        <f>(VLOOKUP(YEAR($A71),'NY East Load Projections'!$A$4:$EO$14,((MONTH($A71)-1)*12)+VLOOKUP(CA$4,$DE$6:$DF$17,2)+1))*(VLOOKUP($A71,SatSunCurve,8))*(INDEX(DailyScalarsTable,CA$5/100,MONTH($A71)))*$D71</f>
        <v>-8474.3826398532819</v>
      </c>
      <c r="CB71" s="1021">
        <f>(VLOOKUP(YEAR($A71),'NY East Load Projections'!$A$4:$EO$14,((MONTH($A71)-1)*12)+VLOOKUP(CB$4,$DE$6:$DF$17,2)+1))*(VLOOKUP($A71,SatSunCurve,8))*(INDEX(DailyScalarsTable,CB$5/100,MONTH($A71)))*$D71</f>
        <v>-6795.6006296792775</v>
      </c>
      <c r="CC71" s="1021">
        <f>(VLOOKUP(YEAR($A71),'NY East Load Projections'!$A$4:$EO$14,((MONTH($A71)-1)*12)+VLOOKUP(CC$4,$DE$6:$DF$17,2)+1))*(VLOOKUP($A71,CURVES!$D$9:$T$261,8))*(INDEX(DailyScalarsTable,CC$5/100,MONTH($A71)))*$D71</f>
        <v>-12074.710083131778</v>
      </c>
      <c r="CE71" s="1021">
        <f>(VLOOKUP(YEAR($A71),'NY East Load Projections'!$A$4:$EO$14,((MONTH($A71)-1)*12)+VLOOKUP(CE$4,$DE$6:$DF$17,2)+1))*(VLOOKUP($A71,CURVES!$D$9:$T$261,8))*(INDEX(DailyScalarsTable,CE$5/100,MONTH($A71)))*$E71</f>
        <v>0</v>
      </c>
      <c r="CF71" s="1021">
        <f>(VLOOKUP(YEAR($A71),'NY East Load Projections'!$A$4:$EO$14,((MONTH($A71)-1)*12)+VLOOKUP(CF$4,$DE$6:$DF$17,2)+1))*(VLOOKUP($A71,CURVES!$D$9:$T$261,8))*(INDEX(DailyScalarsTable,CF$5/100,MONTH($A71)))*$E71</f>
        <v>0</v>
      </c>
      <c r="CG71" s="1021">
        <f>(VLOOKUP(YEAR($A71),'NY East Load Projections'!$A$4:$EO$14,((MONTH($A71)-1)*12)+VLOOKUP(CG$4,$DE$6:$DF$17,2)+1))*(VLOOKUP($A71,CURVES!$D$9:$T$261,8))*(INDEX(DailyScalarsTable,CG$5/100,MONTH($A71)))*$E71</f>
        <v>0</v>
      </c>
      <c r="CH71" s="1021">
        <f>(VLOOKUP(YEAR($A71),'NY East Load Projections'!$A$4:$EO$14,((MONTH($A71)-1)*12)+VLOOKUP(CH$4,$DE$6:$DF$17,2)+1))*(VLOOKUP($A71,CURVES!$D$9:$T$261,8))*(INDEX(DailyScalarsTable,CH$5/100,MONTH($A71)))*$E71</f>
        <v>0</v>
      </c>
      <c r="CI71" s="1021">
        <f>(VLOOKUP(YEAR($A71),'NY East Load Projections'!$A$4:$EO$14,((MONTH($A71)-1)*12)+VLOOKUP(CI$4,$DE$6:$DF$17,2)+1))*(VLOOKUP($A71,CURVES!$D$9:$T$261,8))*(INDEX(DailyScalarsTable,CI$5/100,MONTH($A71)))*$E71</f>
        <v>0</v>
      </c>
      <c r="CJ71" s="1021">
        <f>(VLOOKUP(YEAR($A71),'NY East Load Projections'!$A$4:$EO$14,((MONTH($A71)-1)*12)+VLOOKUP(CJ$4,$DE$6:$DF$17,2)+1))*(VLOOKUP($A71,CURVES!$D$9:$T$261,8))*(INDEX(DailyScalarsTable,CJ$5/100,MONTH($A71)))*$E71</f>
        <v>0</v>
      </c>
      <c r="CK71" s="1021">
        <f>(VLOOKUP(YEAR($A71),'NY East Load Projections'!$A$4:$EO$14,((MONTH($A71)-1)*12)+VLOOKUP(CK$4,$DE$6:$DF$17,2)+1))*(VLOOKUP($A71,CURVES!$D$9:$T$261,8))*(INDEX(DailyScalarsTable,CK$5/100,MONTH($A71)))*$E71</f>
        <v>0</v>
      </c>
      <c r="CL71" s="1021">
        <f>(VLOOKUP(YEAR($A71),'NY East Load Projections'!$A$4:$EO$14,((MONTH($A71)-1)*12)+VLOOKUP(CL$4,$DE$6:$DF$17,2)+1))*(VLOOKUP($A71,SatSunCurve,8))*(INDEX(DailyScalarsTable,CL$5/100,MONTH($A71)))*$E71</f>
        <v>0</v>
      </c>
      <c r="CM71" s="1021">
        <f>(VLOOKUP(YEAR($A71),'NY East Load Projections'!$A$4:$EO$14,((MONTH($A71)-1)*12)+VLOOKUP(CM$4,$DE$6:$DF$17,2)+1))*(VLOOKUP($A71,SatSunCurve,8))*(INDEX(DailyScalarsTable,CM$5/100,MONTH($A71)))*$E71</f>
        <v>0</v>
      </c>
      <c r="CN71" s="1021">
        <f>(VLOOKUP(YEAR($A71),'NY East Load Projections'!$A$4:$EO$14,((MONTH($A71)-1)*12)+VLOOKUP(CN$4,$DE$6:$DF$17,2)+1))*(VLOOKUP($A71,SatSunCurve,8))*(INDEX(DailyScalarsTable,CN$5/100,MONTH($A71)))*$E71</f>
        <v>0</v>
      </c>
      <c r="CO71" s="1021">
        <f>(VLOOKUP(YEAR($A71),'NY East Load Projections'!$A$4:$EO$14,((MONTH($A71)-1)*12)+VLOOKUP(CO$4,$DE$6:$DF$17,2)+1))*(VLOOKUP($A71,SatSunCurve,8))*(INDEX(DailyScalarsTable,CO$5/100,MONTH($A71)))*$E71</f>
        <v>0</v>
      </c>
      <c r="CP71" s="1021">
        <f>(VLOOKUP(YEAR($A71),'NY East Load Projections'!$A$4:$EO$14,((MONTH($A71)-1)*12)+VLOOKUP(CP$4,$DE$6:$DF$17,2)+1))*(VLOOKUP($A71,SatSunCurve,8))*(INDEX(DailyScalarsTable,CP$5/100,MONTH($A71)))*$E71</f>
        <v>0</v>
      </c>
      <c r="CQ71" s="1021">
        <f>(VLOOKUP(YEAR($A71),'NY East Load Projections'!$A$4:$EO$14,((MONTH($A71)-1)*12)+VLOOKUP(CQ$4,$DE$6:$DF$17,2)+1))*(VLOOKUP($A71,SatSunCurve,8))*(INDEX(DailyScalarsTable,CQ$5/100,MONTH($A71)))*$E71</f>
        <v>0</v>
      </c>
      <c r="CR71" s="1021">
        <f>(VLOOKUP(YEAR($A71),'NY East Load Projections'!$A$4:$EO$14,((MONTH($A71)-1)*12)+VLOOKUP(CR$4,$DE$6:$DF$17,2)+1))*(VLOOKUP($A71,SatSunCurve,8))*(INDEX(DailyScalarsTable,CR$5/100,MONTH($A71)))*$E71</f>
        <v>0</v>
      </c>
      <c r="CS71" s="1021">
        <f>(VLOOKUP(YEAR($A71),'NY East Load Projections'!$A$4:$EO$14,((MONTH($A71)-1)*12)+VLOOKUP(CS$4,$DE$6:$DF$17,2)+1))*(VLOOKUP($A71,SatSunCurve,8))*(INDEX(DailyScalarsTable,CS$5/100,MONTH($A71)))*$E71</f>
        <v>0</v>
      </c>
      <c r="CT71" s="1021">
        <f>(VLOOKUP(YEAR($A71),'NY East Load Projections'!$A$4:$EO$14,((MONTH($A71)-1)*12)+VLOOKUP(CT$4,$DE$6:$DF$17,2)+1))*(VLOOKUP($A71,SatSunCurve,8))*(INDEX(DailyScalarsTable,CT$5/100,MONTH($A71)))*$E71</f>
        <v>0</v>
      </c>
      <c r="CU71" s="1021">
        <f>(VLOOKUP(YEAR($A71),'NY East Load Projections'!$A$4:$EO$14,((MONTH($A71)-1)*12)+VLOOKUP(CU$4,$DE$6:$DF$17,2)+1))*(VLOOKUP($A71,SatSunCurve,8))*(INDEX(DailyScalarsTable,CU$5/100,MONTH($A71)))*$E71</f>
        <v>0</v>
      </c>
      <c r="CV71" s="1021">
        <f>(VLOOKUP(YEAR($A71),'NY East Load Projections'!$A$4:$EO$14,((MONTH($A71)-1)*12)+VLOOKUP(CV$4,$DE$6:$DF$17,2)+1))*(VLOOKUP($A71,SatSunCurve,8))*(INDEX(DailyScalarsTable,CV$5/100,MONTH($A71)))*$E71</f>
        <v>0</v>
      </c>
      <c r="CW71" s="1021">
        <f>(VLOOKUP(YEAR($A71),'NY East Load Projections'!$A$4:$EO$14,((MONTH($A71)-1)*12)+VLOOKUP(CW$4,$DE$6:$DF$17,2)+1))*(VLOOKUP($A71,SatSunCurve,8))*(INDEX(DailyScalarsTable,CW$5/100,MONTH($A71)))*$E71</f>
        <v>0</v>
      </c>
      <c r="CX71" s="1021">
        <f>(VLOOKUP(YEAR($A71),'NY East Load Projections'!$A$4:$EO$14,((MONTH($A71)-1)*12)+VLOOKUP(CX$4,$DE$6:$DF$17,2)+1))*(VLOOKUP($A71,SatSunCurve,8))*(INDEX(DailyScalarsTable,CX$5/100,MONTH($A71)))*$E71</f>
        <v>0</v>
      </c>
      <c r="CY71" s="1021">
        <f>(VLOOKUP(YEAR($A71),'NY East Load Projections'!$A$4:$EO$14,((MONTH($A71)-1)*12)+VLOOKUP(CY$4,$DE$6:$DF$17,2)+1))*(VLOOKUP($A71,SatSunCurve,8))*(INDEX(DailyScalarsTable,CY$5/100,MONTH($A71)))*$E71</f>
        <v>0</v>
      </c>
      <c r="CZ71" s="1021">
        <f>(VLOOKUP(YEAR($A71),'NY East Load Projections'!$A$4:$EO$14,((MONTH($A71)-1)*12)+VLOOKUP(CZ$4,$DE$6:$DF$17,2)+1))*(VLOOKUP($A71,SatSunCurve,8))*(INDEX(DailyScalarsTable,CZ$5/100,MONTH($A71)))*$E71</f>
        <v>0</v>
      </c>
      <c r="DA71" s="1021">
        <f>(VLOOKUP(YEAR($A71),'NY East Load Projections'!$A$4:$EO$14,((MONTH($A71)-1)*12)+VLOOKUP(DA$4,$DE$6:$DF$17,2)+1))*(VLOOKUP($A71,SatSunCurve,8))*(INDEX(DailyScalarsTable,DA$5/100,MONTH($A71)))*$E71</f>
        <v>0</v>
      </c>
      <c r="DB71" s="1021">
        <f>(VLOOKUP(YEAR($A71),'NY East Load Projections'!$A$4:$EO$14,((MONTH($A71)-1)*12)+VLOOKUP(DB$4,$DE$6:$DF$17,2)+1))*(VLOOKUP($A71,CURVES!$D$9:$T$261,8))*(INDEX(DailyScalarsTable,DB$5/100,MONTH($A71)))*$E71</f>
        <v>0</v>
      </c>
      <c r="DH71" s="1021">
        <f t="shared" ref="DH71:DH125" si="2">SUM(H71:DB71)</f>
        <v>-3038078.1450600144</v>
      </c>
      <c r="DI71">
        <f ca="1">CALC!J91</f>
        <v>0.63108905735073273</v>
      </c>
      <c r="DJ71" s="1029">
        <f t="shared" ref="DJ71:DJ125" ca="1" si="3">DH71*DI71</f>
        <v>-1917297.8727237871</v>
      </c>
    </row>
    <row r="72" spans="1:114" x14ac:dyDescent="0.25">
      <c r="A72" s="244">
        <v>38899</v>
      </c>
      <c r="B72" s="13">
        <v>20</v>
      </c>
      <c r="C72" s="210">
        <v>5</v>
      </c>
      <c r="D72" s="210">
        <v>5</v>
      </c>
      <c r="E72" s="210">
        <v>1</v>
      </c>
      <c r="F72" s="13">
        <v>31</v>
      </c>
      <c r="H72" s="1021">
        <f>(VLOOKUP(YEAR($A72),'NY East Load Projections'!$A$4:$EO$14,((MONTH($A72)-1)*12)+VLOOKUP(H$4,$DE$6:$DF$17,2)+1))*(VLOOKUP($A72,CURVES!$D$9:$K$261,8))*(INDEX(DailyScalarsTable,H$5/100,MONTH($A72)))*$B72</f>
        <v>-56699.688738692508</v>
      </c>
      <c r="I72" s="1021">
        <f>(VLOOKUP(YEAR($A72),'NY East Load Projections'!$A$4:$EO$14,((MONTH($A72)-1)*12)+VLOOKUP(I$4,$DE$6:$DF$17,2)+1))*(VLOOKUP($A72,CURVES!$D$9:$K$261,8))*(INDEX(DailyScalarsTable,I$5/100,MONTH($A72)))*$B72</f>
        <v>-51791.390473927539</v>
      </c>
      <c r="J72" s="1021">
        <f>(VLOOKUP(YEAR($A72),'NY East Load Projections'!$A$4:$EO$14,((MONTH($A72)-1)*12)+VLOOKUP(J$4,$DE$6:$DF$17,2)+1))*(VLOOKUP($A72,CURVES!$D$9:$K$261,8))*(INDEX(DailyScalarsTable,J$5/100,MONTH($A72)))*$B72</f>
        <v>-49348.296067366609</v>
      </c>
      <c r="K72" s="1021">
        <f>(VLOOKUP(YEAR($A72),'NY East Load Projections'!$A$4:$EO$14,((MONTH($A72)-1)*12)+VLOOKUP(K$4,$DE$6:$DF$17,2)+1))*(VLOOKUP($A72,CURVES!$D$9:$K$261,8))*(INDEX(DailyScalarsTable,K$5/100,MONTH($A72)))*$B72</f>
        <v>-44439.99780260164</v>
      </c>
      <c r="L72" s="1021">
        <f>(VLOOKUP(YEAR($A72),'NY East Load Projections'!$A$4:$EO$14,((MONTH($A72)-1)*12)+VLOOKUP(L$4,$DE$6:$DF$17,2)+1))*(VLOOKUP($A72,CURVES!$D$9:$K$261,8))*(INDEX(DailyScalarsTable,L$5/100,MONTH($A72)))*$B72</f>
        <v>-46150.415989930887</v>
      </c>
      <c r="M72" s="1021">
        <f>(VLOOKUP(YEAR($A72),'NY East Load Projections'!$A$4:$EO$14,((MONTH($A72)-1)*12)+VLOOKUP(M$4,$DE$6:$DF$17,2)+1))*(VLOOKUP($A72,CURVES!$D$9:$K$261,8))*(INDEX(DailyScalarsTable,M$5/100,MONTH($A72)))*$B72</f>
        <v>-50879.140479465204</v>
      </c>
      <c r="N72" s="1021">
        <f>(VLOOKUP(YEAR($A72),'NY East Load Projections'!$A$4:$EO$14,((MONTH($A72)-1)*12)+VLOOKUP(N$4,$DE$6:$DF$17,2)+1))*(VLOOKUP($A72,CURVES!$D$9:$K$261,8))*(INDEX(DailyScalarsTable,N$5/100,MONTH($A72)))*$B72</f>
        <v>-56502.815383898604</v>
      </c>
      <c r="O72" s="1021">
        <f>(VLOOKUP(YEAR($A72),'NY East Load Projections'!$A$4:$EO$14,((MONTH($A72)-1)*12)+VLOOKUP(O$4,$DE$6:$DF$17,2)+1))*(VLOOKUP($A72,CURVES!$D$9:$K$261,4))*(INDEX(DailyScalarsTable,O$5/100,MONTH($A72)))*$B72</f>
        <v>-92637.33940563869</v>
      </c>
      <c r="P72" s="1021">
        <f>(VLOOKUP(YEAR($A72),'NY East Load Projections'!$A$4:$EO$14,((MONTH($A72)-1)*12)+VLOOKUP(P$4,$DE$6:$DF$17,2)+1))*(VLOOKUP($A72,CURVES!$D$9:$K$261,4))*(INDEX(DailyScalarsTable,P$5/100,MONTH($A72)))*$B72</f>
        <v>-115264.40345666415</v>
      </c>
      <c r="Q72" s="1021">
        <f>(VLOOKUP(YEAR($A72),'NY East Load Projections'!$A$4:$EO$14,((MONTH($A72)-1)*12)+VLOOKUP(Q$4,$DE$6:$DF$17,2)+1))*(VLOOKUP($A72,CURVES!$D$9:$K$261,4))*(INDEX(DailyScalarsTable,Q$5/100,MONTH($A72)))*$B72</f>
        <v>-138003.08864047143</v>
      </c>
      <c r="R72" s="1021">
        <f>(VLOOKUP(YEAR($A72),'NY East Load Projections'!$A$4:$EO$14,((MONTH($A72)-1)*12)+VLOOKUP(R$4,$DE$6:$DF$17,2)+1))*(VLOOKUP($A72,CURVES!$D$9:$K$261,4))*(INDEX(DailyScalarsTable,R$5/100,MONTH($A72)))*$B72</f>
        <v>-157032.97118389991</v>
      </c>
      <c r="S72" s="1021">
        <f>(VLOOKUP(YEAR($A72),'NY East Load Projections'!$A$4:$EO$14,((MONTH($A72)-1)*12)+VLOOKUP(S$4,$DE$6:$DF$17,2)+1))*(VLOOKUP($A72,CURVES!$D$9:$K$261,4))*(INDEX(DailyScalarsTable,S$5/100,MONTH($A72)))*$B72</f>
        <v>-187739.91356887046</v>
      </c>
      <c r="T72" s="1021">
        <f>(VLOOKUP(YEAR($A72),'NY East Load Projections'!$A$4:$EO$14,((MONTH($A72)-1)*12)+VLOOKUP(T$4,$DE$6:$DF$17,2)+1))*(VLOOKUP($A72,CURVES!$D$9:$K$261,4))*(INDEX(DailyScalarsTable,T$5/100,MONTH($A72)))*$B72</f>
        <v>-210881.3044935189</v>
      </c>
      <c r="U72" s="1021">
        <f>(VLOOKUP(YEAR($A72),'NY East Load Projections'!$A$4:$EO$14,((MONTH($A72)-1)*12)+VLOOKUP(U$4,$DE$6:$DF$17,2)+1))*(VLOOKUP($A72,CURVES!$D$9:$K$261,4))*(INDEX(DailyScalarsTable,U$5/100,MONTH($A72)))*$B72</f>
        <v>-217978.90631977224</v>
      </c>
      <c r="V72" s="1021">
        <f>(VLOOKUP(YEAR($A72),'NY East Load Projections'!$A$4:$EO$14,((MONTH($A72)-1)*12)+VLOOKUP(V$4,$DE$6:$DF$17,2)+1))*(VLOOKUP($A72,CURVES!$D$9:$K$261,4))*(INDEX(DailyScalarsTable,V$5/100,MONTH($A72)))*$B72</f>
        <v>-227057.23423707305</v>
      </c>
      <c r="W72" s="1021">
        <f>(VLOOKUP(YEAR($A72),'NY East Load Projections'!$A$4:$EO$14,((MONTH($A72)-1)*12)+VLOOKUP(W$4,$DE$6:$DF$17,2)+1))*(VLOOKUP($A72,CURVES!$D$9:$K$261,4))*(INDEX(DailyScalarsTable,W$5/100,MONTH($A72)))*$B72</f>
        <v>-240971.83502668148</v>
      </c>
      <c r="X72" s="1021">
        <f>(VLOOKUP(YEAR($A72),'NY East Load Projections'!$A$4:$EO$14,((MONTH($A72)-1)*12)+VLOOKUP(X$4,$DE$6:$DF$17,2)+1))*(VLOOKUP($A72,CURVES!$D$9:$K$261,4))*(INDEX(DailyScalarsTable,X$5/100,MONTH($A72)))*$B72</f>
        <v>-232979.08427960062</v>
      </c>
      <c r="Y72" s="1021">
        <f>(VLOOKUP(YEAR($A72),'NY East Load Projections'!$A$4:$EO$14,((MONTH($A72)-1)*12)+VLOOKUP(Y$4,$DE$6:$DF$17,2)+1))*(VLOOKUP($A72,CURVES!$D$9:$K$261,4))*(INDEX(DailyScalarsTable,Y$5/100,MONTH($A72)))*$B72</f>
        <v>-227205.84661260893</v>
      </c>
      <c r="Z72" s="1021">
        <f>(VLOOKUP(YEAR($A72),'NY East Load Projections'!$A$4:$EO$14,((MONTH($A72)-1)*12)+VLOOKUP(Z$4,$DE$6:$DF$17,2)+1))*(VLOOKUP($A72,CURVES!$D$9:$K$261,4))*(INDEX(DailyScalarsTable,Z$5/100,MONTH($A72)))*$B72</f>
        <v>-189765.85274509943</v>
      </c>
      <c r="AA72" s="1021">
        <f>(VLOOKUP(YEAR($A72),'NY East Load Projections'!$A$4:$EO$14,((MONTH($A72)-1)*12)+VLOOKUP(AA$4,$DE$6:$DF$17,2)+1))*(VLOOKUP($A72,CURVES!$D$9:$K$261,4))*(INDEX(DailyScalarsTable,AA$5/100,MONTH($A72)))*$B72</f>
        <v>-140419.53404132804</v>
      </c>
      <c r="AB72" s="1021">
        <f>(VLOOKUP(YEAR($A72),'NY East Load Projections'!$A$4:$EO$14,((MONTH($A72)-1)*12)+VLOOKUP(AB$4,$DE$6:$DF$17,2)+1))*(VLOOKUP($A72,CURVES!$D$9:$K$261,4))*(INDEX(DailyScalarsTable,AB$5/100,MONTH($A72)))*$B72</f>
        <v>-137440.86503288269</v>
      </c>
      <c r="AC72" s="1021">
        <f>(VLOOKUP(YEAR($A72),'NY East Load Projections'!$A$4:$EO$14,((MONTH($A72)-1)*12)+VLOOKUP(AC$4,$DE$6:$DF$17,2)+1))*(VLOOKUP($A72,CURVES!$D$9:$K$261,4))*(INDEX(DailyScalarsTable,AC$5/100,MONTH($A72)))*$B72</f>
        <v>-145637.19746961753</v>
      </c>
      <c r="AD72" s="1021">
        <f>(VLOOKUP(YEAR($A72),'NY East Load Projections'!$A$4:$EO$14,((MONTH($A72)-1)*12)+VLOOKUP(AD$4,$DE$6:$DF$17,2)+1))*(VLOOKUP($A72,CURVES!$D$9:$K$261,4))*(INDEX(DailyScalarsTable,AD$5/100,MONTH($A72)))*$B72</f>
        <v>-101138.86562558761</v>
      </c>
      <c r="AE72" s="1021">
        <f>(VLOOKUP(YEAR($A72),'NY East Load Projections'!$A$4:$EO$14,((MONTH($A72)-1)*12)+VLOOKUP(AE$4,$DE$6:$DF$17,2)+1))*(VLOOKUP($A72,CURVES!$D$9:$K$261,8))*(INDEX(DailyScalarsTable,AE$5/100,MONTH($A72)))*$B72</f>
        <v>-67632.686372410841</v>
      </c>
      <c r="AF72" s="1021"/>
      <c r="AG72" s="1021">
        <f>(VLOOKUP(YEAR($A72),'NY East Load Projections'!$A$4:$EO$14,((MONTH($A72)-1)*12)+VLOOKUP(AG$4,$DE$6:$DF$17,2)+1))*(VLOOKUP($A72,CURVES!$D$9:$T$261,8))*(INDEX(DailyScalarsTable,AG$5/100,MONTH($A72)))*$C72</f>
        <v>-13565.801786401476</v>
      </c>
      <c r="AH72" s="1021">
        <f>(VLOOKUP(YEAR($A72),'NY East Load Projections'!$A$4:$EO$14,((MONTH($A72)-1)*12)+VLOOKUP(AH$4,$DE$6:$DF$17,2)+1))*(VLOOKUP($A72,CURVES!$D$9:$T$261,8))*(INDEX(DailyScalarsTable,AH$5/100,MONTH($A72)))*$C72</f>
        <v>-12391.456691224586</v>
      </c>
      <c r="AI72" s="1021">
        <f>(VLOOKUP(YEAR($A72),'NY East Load Projections'!$A$4:$EO$14,((MONTH($A72)-1)*12)+VLOOKUP(AI$4,$DE$6:$DF$17,2)+1))*(VLOOKUP($A72,CURVES!$D$9:$T$261,8))*(INDEX(DailyScalarsTable,AI$5/100,MONTH($A72)))*$C72</f>
        <v>-11806.929065021679</v>
      </c>
      <c r="AJ72" s="1021">
        <f>(VLOOKUP(YEAR($A72),'NY East Load Projections'!$A$4:$EO$14,((MONTH($A72)-1)*12)+VLOOKUP(AJ$4,$DE$6:$DF$17,2)+1))*(VLOOKUP($A72,CURVES!$D$9:$T$261,8))*(INDEX(DailyScalarsTable,AJ$5/100,MONTH($A72)))*$C72</f>
        <v>-10632.583969844789</v>
      </c>
      <c r="AK72" s="1021">
        <f>(VLOOKUP(YEAR($A72),'NY East Load Projections'!$A$4:$EO$14,((MONTH($A72)-1)*12)+VLOOKUP(AK$4,$DE$6:$DF$17,2)+1))*(VLOOKUP($A72,CURVES!$D$9:$T$261,8))*(INDEX(DailyScalarsTable,AK$5/100,MONTH($A72)))*$C72</f>
        <v>-10232.376856208724</v>
      </c>
      <c r="AL72" s="1021">
        <f>(VLOOKUP(YEAR($A72),'NY East Load Projections'!$A$4:$EO$14,((MONTH($A72)-1)*12)+VLOOKUP(AL$4,$DE$6:$DF$17,2)+1))*(VLOOKUP($A72,CURVES!$D$9:$T$261,8))*(INDEX(DailyScalarsTable,AL$5/100,MONTH($A72)))*$C72</f>
        <v>-11280.820082303482</v>
      </c>
      <c r="AM72" s="1021">
        <f>(VLOOKUP(YEAR($A72),'NY East Load Projections'!$A$4:$EO$14,((MONTH($A72)-1)*12)+VLOOKUP(AM$4,$DE$6:$DF$17,2)+1))*(VLOOKUP($A72,CURVES!$D$9:$T$261,8))*(INDEX(DailyScalarsTable,AM$5/100,MONTH($A72)))*$C72</f>
        <v>-12527.689903618226</v>
      </c>
      <c r="AN72" s="1021">
        <f>(VLOOKUP(YEAR($A72),'NY East Load Projections'!$A$4:$EO$14,((MONTH($A72)-1)*12)+VLOOKUP(AN$4,$DE$6:$DF$17,2)+1))*(VLOOKUP($A72,SatSunCurve,4))*(INDEX(DailyScalarsTable,AN$5/100,MONTH($A72)))*$C72</f>
        <v>-11896.52408935078</v>
      </c>
      <c r="AO72" s="1021">
        <f>(VLOOKUP(YEAR($A72),'NY East Load Projections'!$A$4:$EO$14,((MONTH($A72)-1)*12)+VLOOKUP(AO$4,$DE$6:$DF$17,2)+1))*(VLOOKUP($A72,SatSunCurve,4))*(INDEX(DailyScalarsTable,AO$5/100,MONTH($A72)))*$C72</f>
        <v>-14365.548498097578</v>
      </c>
      <c r="AP72" s="1021">
        <f>(VLOOKUP(YEAR($A72),'NY East Load Projections'!$A$4:$EO$14,((MONTH($A72)-1)*12)+VLOOKUP(AP$4,$DE$6:$DF$17,2)+1))*(VLOOKUP($A72,SatSunCurve,4))*(INDEX(DailyScalarsTable,AP$5/100,MONTH($A72)))*$C72</f>
        <v>-17199.499613922922</v>
      </c>
      <c r="AQ72" s="1021">
        <f>(VLOOKUP(YEAR($A72),'NY East Load Projections'!$A$4:$EO$14,((MONTH($A72)-1)*12)+VLOOKUP(AQ$4,$DE$6:$DF$17,2)+1))*(VLOOKUP($A72,SatSunCurve,4))*(INDEX(DailyScalarsTable,AQ$5/100,MONTH($A72)))*$C72</f>
        <v>-19571.217962281033</v>
      </c>
      <c r="AR72" s="1021">
        <f>(VLOOKUP(YEAR($A72),'NY East Load Projections'!$A$4:$EO$14,((MONTH($A72)-1)*12)+VLOOKUP(AR$4,$DE$6:$DF$17,2)+1))*(VLOOKUP($A72,SatSunCurve,4))*(INDEX(DailyScalarsTable,AR$5/100,MONTH($A72)))*$C72</f>
        <v>-23398.263058865698</v>
      </c>
      <c r="AS72" s="1021">
        <f>(VLOOKUP(YEAR($A72),'NY East Load Projections'!$A$4:$EO$14,((MONTH($A72)-1)*12)+VLOOKUP(AS$4,$DE$6:$DF$17,2)+1))*(VLOOKUP($A72,SatSunCurve,4))*(INDEX(DailyScalarsTable,AS$5/100,MONTH($A72)))*$C72</f>
        <v>-26604.600559664614</v>
      </c>
      <c r="AT72" s="1021">
        <f>(VLOOKUP(YEAR($A72),'NY East Load Projections'!$A$4:$EO$14,((MONTH($A72)-1)*12)+VLOOKUP(AT$4,$DE$6:$DF$17,2)+1))*(VLOOKUP($A72,SatSunCurve,4))*(INDEX(DailyScalarsTable,AT$5/100,MONTH($A72)))*$C72</f>
        <v>-27500.027785764782</v>
      </c>
      <c r="AU72" s="1021">
        <f>(VLOOKUP(YEAR($A72),'NY East Load Projections'!$A$4:$EO$14,((MONTH($A72)-1)*12)+VLOOKUP(AU$4,$DE$6:$DF$17,2)+1))*(VLOOKUP($A72,SatSunCurve,4))*(INDEX(DailyScalarsTable,AU$5/100,MONTH($A72)))*$C72</f>
        <v>-28645.341679613834</v>
      </c>
      <c r="AV72" s="1021">
        <f>(VLOOKUP(YEAR($A72),'NY East Load Projections'!$A$4:$EO$14,((MONTH($A72)-1)*12)+VLOOKUP(AV$4,$DE$6:$DF$17,2)+1))*(VLOOKUP($A72,SatSunCurve,4))*(INDEX(DailyScalarsTable,AV$5/100,MONTH($A72)))*$C72</f>
        <v>-30400.795520549756</v>
      </c>
      <c r="AW72" s="1021">
        <f>(VLOOKUP(YEAR($A72),'NY East Load Projections'!$A$4:$EO$14,((MONTH($A72)-1)*12)+VLOOKUP(AW$4,$DE$6:$DF$17,2)+1))*(VLOOKUP($A72,SatSunCurve,4))*(INDEX(DailyScalarsTable,AW$5/100,MONTH($A72)))*$C72</f>
        <v>-29502.2316554512</v>
      </c>
      <c r="AX72" s="1021">
        <f>(VLOOKUP(YEAR($A72),'NY East Load Projections'!$A$4:$EO$14,((MONTH($A72)-1)*12)+VLOOKUP(AX$4,$DE$6:$DF$17,2)+1))*(VLOOKUP($A72,SatSunCurve,4))*(INDEX(DailyScalarsTable,AX$5/100,MONTH($A72)))*$C72</f>
        <v>-28771.164334192621</v>
      </c>
      <c r="AY72" s="1021">
        <f>(VLOOKUP(YEAR($A72),'NY East Load Projections'!$A$4:$EO$14,((MONTH($A72)-1)*12)+VLOOKUP(AY$4,$DE$6:$DF$17,2)+1))*(VLOOKUP($A72,SatSunCurve,4))*(INDEX(DailyScalarsTable,AY$5/100,MONTH($A72)))*$C72</f>
        <v>-24030.123413401892</v>
      </c>
      <c r="AZ72" s="1021">
        <f>(VLOOKUP(YEAR($A72),'NY East Load Projections'!$A$4:$EO$14,((MONTH($A72)-1)*12)+VLOOKUP(AZ$4,$DE$6:$DF$17,2)+1))*(VLOOKUP($A72,SatSunCurve,4))*(INDEX(DailyScalarsTable,AZ$5/100,MONTH($A72)))*$C72</f>
        <v>-17781.379968281148</v>
      </c>
      <c r="BA72" s="1021">
        <f>(VLOOKUP(YEAR($A72),'NY East Load Projections'!$A$4:$EO$14,((MONTH($A72)-1)*12)+VLOOKUP(BA$4,$DE$6:$DF$17,2)+1))*(VLOOKUP($A72,SatSunCurve,4))*(INDEX(DailyScalarsTable,BA$5/100,MONTH($A72)))*$C72</f>
        <v>-18677.875804062915</v>
      </c>
      <c r="BB72" s="1021">
        <f>(VLOOKUP(YEAR($A72),'NY East Load Projections'!$A$4:$EO$14,((MONTH($A72)-1)*12)+VLOOKUP(BB$4,$DE$6:$DF$17,2)+1))*(VLOOKUP($A72,SatSunCurve,4))*(INDEX(DailyScalarsTable,BB$5/100,MONTH($A72)))*$C72</f>
        <v>-19791.737240146853</v>
      </c>
      <c r="BC72" s="1021">
        <f>(VLOOKUP(YEAR($A72),'NY East Load Projections'!$A$4:$EO$14,((MONTH($A72)-1)*12)+VLOOKUP(BC$4,$DE$6:$DF$17,2)+1))*(VLOOKUP($A72,SatSunCurve,4))*(INDEX(DailyScalarsTable,BC$5/100,MONTH($A72)))*$C72</f>
        <v>-13744.523294920882</v>
      </c>
      <c r="BD72" s="1021">
        <f>(VLOOKUP(YEAR($A72),'NY East Load Projections'!$A$4:$EO$14,((MONTH($A72)-1)*12)+VLOOKUP(BD$4,$DE$6:$DF$17,2)+1))*(VLOOKUP($A72,CURVES!$D$9:$T$261,8))*(INDEX(DailyScalarsTable,BD$5/100,MONTH($A72)))*$C72</f>
        <v>-15868.472850190898</v>
      </c>
      <c r="BE72" s="1021"/>
      <c r="BF72" s="1021">
        <f>(VLOOKUP(YEAR($A72),'NY East Load Projections'!$A$4:$EO$14,((MONTH($A72)-1)*12)+VLOOKUP(BF$4,$DE$6:$DF$17,2)+1))*(VLOOKUP($A72,CURVES!$D$9:$T$261,8))*(INDEX(DailyScalarsTable,BF$5/100,MONTH($A72)))*$D72</f>
        <v>-13565.801786401476</v>
      </c>
      <c r="BG72" s="1021">
        <f>(VLOOKUP(YEAR($A72),'NY East Load Projections'!$A$4:$EO$14,((MONTH($A72)-1)*12)+VLOOKUP(BG$4,$DE$6:$DF$17,2)+1))*(VLOOKUP($A72,CURVES!$D$9:$T$261,8))*(INDEX(DailyScalarsTable,BG$5/100,MONTH($A72)))*$D72</f>
        <v>-12391.456691224586</v>
      </c>
      <c r="BH72" s="1021">
        <f>(VLOOKUP(YEAR($A72),'NY East Load Projections'!$A$4:$EO$14,((MONTH($A72)-1)*12)+VLOOKUP(BH$4,$DE$6:$DF$17,2)+1))*(VLOOKUP($A72,CURVES!$D$9:$T$261,8))*(INDEX(DailyScalarsTable,BH$5/100,MONTH($A72)))*$D72</f>
        <v>-11806.929065021679</v>
      </c>
      <c r="BI72" s="1021">
        <f>(VLOOKUP(YEAR($A72),'NY East Load Projections'!$A$4:$EO$14,((MONTH($A72)-1)*12)+VLOOKUP(BI$4,$DE$6:$DF$17,2)+1))*(VLOOKUP($A72,CURVES!$D$9:$T$261,8))*(INDEX(DailyScalarsTable,BI$5/100,MONTH($A72)))*$D72</f>
        <v>-10632.583969844789</v>
      </c>
      <c r="BJ72" s="1021">
        <f>(VLOOKUP(YEAR($A72),'NY East Load Projections'!$A$4:$EO$14,((MONTH($A72)-1)*12)+VLOOKUP(BJ$4,$DE$6:$DF$17,2)+1))*(VLOOKUP($A72,CURVES!$D$9:$T$261,8))*(INDEX(DailyScalarsTable,BJ$5/100,MONTH($A72)))*$D72</f>
        <v>-10232.376856208724</v>
      </c>
      <c r="BK72" s="1021">
        <f>(VLOOKUP(YEAR($A72),'NY East Load Projections'!$A$4:$EO$14,((MONTH($A72)-1)*12)+VLOOKUP(BK$4,$DE$6:$DF$17,2)+1))*(VLOOKUP($A72,CURVES!$D$9:$T$261,8))*(INDEX(DailyScalarsTable,BK$5/100,MONTH($A72)))*$D72</f>
        <v>-11280.820082303482</v>
      </c>
      <c r="BL72" s="1021">
        <f>(VLOOKUP(YEAR($A72),'NY East Load Projections'!$A$4:$EO$14,((MONTH($A72)-1)*12)+VLOOKUP(BL$4,$DE$6:$DF$17,2)+1))*(VLOOKUP($A72,CURVES!$D$9:$T$261,8))*(INDEX(DailyScalarsTable,BL$5/100,MONTH($A72)))*$D72</f>
        <v>-12527.689903618226</v>
      </c>
      <c r="BM72" s="1021">
        <f>(VLOOKUP(YEAR($A72),'NY East Load Projections'!$A$4:$EO$14,((MONTH($A72)-1)*12)+VLOOKUP(BM$4,$DE$6:$DF$17,2)+1))*(VLOOKUP($A72,SatSunCurve,8))*(INDEX(DailyScalarsTable,BM$5/100,MONTH($A72)))*$D72</f>
        <v>-9061.6061827810499</v>
      </c>
      <c r="BN72" s="1021">
        <f>(VLOOKUP(YEAR($A72),'NY East Load Projections'!$A$4:$EO$14,((MONTH($A72)-1)*12)+VLOOKUP(BN$4,$DE$6:$DF$17,2)+1))*(VLOOKUP($A72,SatSunCurve,8))*(INDEX(DailyScalarsTable,BN$5/100,MONTH($A72)))*$D72</f>
        <v>-10942.267011078358</v>
      </c>
      <c r="BO72" s="1021">
        <f>(VLOOKUP(YEAR($A72),'NY East Load Projections'!$A$4:$EO$14,((MONTH($A72)-1)*12)+VLOOKUP(BO$4,$DE$6:$DF$17,2)+1))*(VLOOKUP($A72,SatSunCurve,8))*(INDEX(DailyScalarsTable,BO$5/100,MONTH($A72)))*$D72</f>
        <v>-13100.893241730882</v>
      </c>
      <c r="BP72" s="1021">
        <f>(VLOOKUP(YEAR($A72),'NY East Load Projections'!$A$4:$EO$14,((MONTH($A72)-1)*12)+VLOOKUP(BP$4,$DE$6:$DF$17,2)+1))*(VLOOKUP($A72,SatSunCurve,8))*(INDEX(DailyScalarsTable,BP$5/100,MONTH($A72)))*$D72</f>
        <v>-14907.435849292648</v>
      </c>
      <c r="BQ72" s="1021">
        <f>(VLOOKUP(YEAR($A72),'NY East Load Projections'!$A$4:$EO$14,((MONTH($A72)-1)*12)+VLOOKUP(BQ$4,$DE$6:$DF$17,2)+1))*(VLOOKUP($A72,SatSunCurve,8))*(INDEX(DailyScalarsTable,BQ$5/100,MONTH($A72)))*$D72</f>
        <v>-17822.50375051572</v>
      </c>
      <c r="BR72" s="1021">
        <f>(VLOOKUP(YEAR($A72),'NY East Load Projections'!$A$4:$EO$14,((MONTH($A72)-1)*12)+VLOOKUP(BR$4,$DE$6:$DF$17,2)+1))*(VLOOKUP($A72,SatSunCurve,8))*(INDEX(DailyScalarsTable,BR$5/100,MONTH($A72)))*$D72</f>
        <v>-20264.777435089727</v>
      </c>
      <c r="BS72" s="1021">
        <f>(VLOOKUP(YEAR($A72),'NY East Load Projections'!$A$4:$EO$14,((MONTH($A72)-1)*12)+VLOOKUP(BS$4,$DE$6:$DF$17,2)+1))*(VLOOKUP($A72,SatSunCurve,8))*(INDEX(DailyScalarsTable,BS$5/100,MONTH($A72)))*$D72</f>
        <v>-20946.82614337781</v>
      </c>
      <c r="BT72" s="1021">
        <f>(VLOOKUP(YEAR($A72),'NY East Load Projections'!$A$4:$EO$14,((MONTH($A72)-1)*12)+VLOOKUP(BT$4,$DE$6:$DF$17,2)+1))*(VLOOKUP($A72,SatSunCurve,8))*(INDEX(DailyScalarsTable,BT$5/100,MONTH($A72)))*$D72</f>
        <v>-21819.214026071873</v>
      </c>
      <c r="BU72" s="1021">
        <f>(VLOOKUP(YEAR($A72),'NY East Load Projections'!$A$4:$EO$14,((MONTH($A72)-1)*12)+VLOOKUP(BU$4,$DE$6:$DF$17,2)+1))*(VLOOKUP($A72,SatSunCurve,8))*(INDEX(DailyScalarsTable,BU$5/100,MONTH($A72)))*$D72</f>
        <v>-23156.34672627387</v>
      </c>
      <c r="BV72" s="1021">
        <f>(VLOOKUP(YEAR($A72),'NY East Load Projections'!$A$4:$EO$14,((MONTH($A72)-1)*12)+VLOOKUP(BV$4,$DE$6:$DF$17,2)+1))*(VLOOKUP($A72,SatSunCurve,8))*(INDEX(DailyScalarsTable,BV$5/100,MONTH($A72)))*$D72</f>
        <v>-22471.908833789843</v>
      </c>
      <c r="BW72" s="1021">
        <f>(VLOOKUP(YEAR($A72),'NY East Load Projections'!$A$4:$EO$14,((MONTH($A72)-1)*12)+VLOOKUP(BW$4,$DE$6:$DF$17,2)+1))*(VLOOKUP($A72,SatSunCurve,8))*(INDEX(DailyScalarsTable,BW$5/100,MONTH($A72)))*$D72</f>
        <v>-21915.053393613325</v>
      </c>
      <c r="BX72" s="1021">
        <f>(VLOOKUP(YEAR($A72),'NY East Load Projections'!$A$4:$EO$14,((MONTH($A72)-1)*12)+VLOOKUP(BX$4,$DE$6:$DF$17,2)+1))*(VLOOKUP($A72,SatSunCurve,8))*(INDEX(DailyScalarsTable,BX$5/100,MONTH($A72)))*$D72</f>
        <v>-18303.793045801958</v>
      </c>
      <c r="BY72" s="1021">
        <f>(VLOOKUP(YEAR($A72),'NY East Load Projections'!$A$4:$EO$14,((MONTH($A72)-1)*12)+VLOOKUP(BY$4,$DE$6:$DF$17,2)+1))*(VLOOKUP($A72,SatSunCurve,8))*(INDEX(DailyScalarsTable,BY$5/100,MONTH($A72)))*$D72</f>
        <v>-13544.112670959898</v>
      </c>
      <c r="BZ72" s="1021">
        <f>(VLOOKUP(YEAR($A72),'NY East Load Projections'!$A$4:$EO$14,((MONTH($A72)-1)*12)+VLOOKUP(BZ$4,$DE$6:$DF$17,2)+1))*(VLOOKUP($A72,SatSunCurve,8))*(INDEX(DailyScalarsTable,BZ$5/100,MONTH($A72)))*$D72</f>
        <v>-14226.975341378855</v>
      </c>
      <c r="CA72" s="1021">
        <f>(VLOOKUP(YEAR($A72),'NY East Load Projections'!$A$4:$EO$14,((MONTH($A72)-1)*12)+VLOOKUP(CA$4,$DE$6:$DF$17,2)+1))*(VLOOKUP($A72,SatSunCurve,8))*(INDEX(DailyScalarsTable,CA$5/100,MONTH($A72)))*$D72</f>
        <v>-15075.40582411244</v>
      </c>
      <c r="CB72" s="1021">
        <f>(VLOOKUP(YEAR($A72),'NY East Load Projections'!$A$4:$EO$14,((MONTH($A72)-1)*12)+VLOOKUP(CB$4,$DE$6:$DF$17,2)+1))*(VLOOKUP($A72,SatSunCurve,8))*(INDEX(DailyScalarsTable,CB$5/100,MONTH($A72)))*$D72</f>
        <v>-10469.23087224464</v>
      </c>
      <c r="CC72" s="1021">
        <f>(VLOOKUP(YEAR($A72),'NY East Load Projections'!$A$4:$EO$14,((MONTH($A72)-1)*12)+VLOOKUP(CC$4,$DE$6:$DF$17,2)+1))*(VLOOKUP($A72,CURVES!$D$9:$T$261,8))*(INDEX(DailyScalarsTable,CC$5/100,MONTH($A72)))*$D72</f>
        <v>-15868.472850190898</v>
      </c>
      <c r="CE72" s="1021">
        <f>(VLOOKUP(YEAR($A72),'NY East Load Projections'!$A$4:$EO$14,((MONTH($A72)-1)*12)+VLOOKUP(CE$4,$DE$6:$DF$17,2)+1))*(VLOOKUP($A72,CURVES!$D$9:$T$261,8))*(INDEX(DailyScalarsTable,CE$5/100,MONTH($A72)))*$E72</f>
        <v>-2713.1603572802951</v>
      </c>
      <c r="CF72" s="1021">
        <f>(VLOOKUP(YEAR($A72),'NY East Load Projections'!$A$4:$EO$14,((MONTH($A72)-1)*12)+VLOOKUP(CF$4,$DE$6:$DF$17,2)+1))*(VLOOKUP($A72,CURVES!$D$9:$T$261,8))*(INDEX(DailyScalarsTable,CF$5/100,MONTH($A72)))*$E72</f>
        <v>-2478.2913382449174</v>
      </c>
      <c r="CG72" s="1021">
        <f>(VLOOKUP(YEAR($A72),'NY East Load Projections'!$A$4:$EO$14,((MONTH($A72)-1)*12)+VLOOKUP(CG$4,$DE$6:$DF$17,2)+1))*(VLOOKUP($A72,CURVES!$D$9:$T$261,8))*(INDEX(DailyScalarsTable,CG$5/100,MONTH($A72)))*$E72</f>
        <v>-2361.3858130043359</v>
      </c>
      <c r="CH72" s="1021">
        <f>(VLOOKUP(YEAR($A72),'NY East Load Projections'!$A$4:$EO$14,((MONTH($A72)-1)*12)+VLOOKUP(CH$4,$DE$6:$DF$17,2)+1))*(VLOOKUP($A72,CURVES!$D$9:$T$261,8))*(INDEX(DailyScalarsTable,CH$5/100,MONTH($A72)))*$E72</f>
        <v>-2126.5167939689577</v>
      </c>
      <c r="CI72" s="1021">
        <f>(VLOOKUP(YEAR($A72),'NY East Load Projections'!$A$4:$EO$14,((MONTH($A72)-1)*12)+VLOOKUP(CI$4,$DE$6:$DF$17,2)+1))*(VLOOKUP($A72,CURVES!$D$9:$T$261,8))*(INDEX(DailyScalarsTable,CI$5/100,MONTH($A72)))*$E72</f>
        <v>-2046.4753712417448</v>
      </c>
      <c r="CJ72" s="1021">
        <f>(VLOOKUP(YEAR($A72),'NY East Load Projections'!$A$4:$EO$14,((MONTH($A72)-1)*12)+VLOOKUP(CJ$4,$DE$6:$DF$17,2)+1))*(VLOOKUP($A72,CURVES!$D$9:$T$261,8))*(INDEX(DailyScalarsTable,CJ$5/100,MONTH($A72)))*$E72</f>
        <v>-2256.1640164606965</v>
      </c>
      <c r="CK72" s="1021">
        <f>(VLOOKUP(YEAR($A72),'NY East Load Projections'!$A$4:$EO$14,((MONTH($A72)-1)*12)+VLOOKUP(CK$4,$DE$6:$DF$17,2)+1))*(VLOOKUP($A72,CURVES!$D$9:$T$261,8))*(INDEX(DailyScalarsTable,CK$5/100,MONTH($A72)))*$E72</f>
        <v>-2505.537980723645</v>
      </c>
      <c r="CL72" s="1021">
        <f>(VLOOKUP(YEAR($A72),'NY East Load Projections'!$A$4:$EO$14,((MONTH($A72)-1)*12)+VLOOKUP(CL$4,$DE$6:$DF$17,2)+1))*(VLOOKUP($A72,SatSunCurve,8))*(INDEX(DailyScalarsTable,CL$5/100,MONTH($A72)))*$E72</f>
        <v>-1812.3212365562101</v>
      </c>
      <c r="CM72" s="1021">
        <f>(VLOOKUP(YEAR($A72),'NY East Load Projections'!$A$4:$EO$14,((MONTH($A72)-1)*12)+VLOOKUP(CM$4,$DE$6:$DF$17,2)+1))*(VLOOKUP($A72,SatSunCurve,8))*(INDEX(DailyScalarsTable,CM$5/100,MONTH($A72)))*$E72</f>
        <v>-2188.4534022156718</v>
      </c>
      <c r="CN72" s="1021">
        <f>(VLOOKUP(YEAR($A72),'NY East Load Projections'!$A$4:$EO$14,((MONTH($A72)-1)*12)+VLOOKUP(CN$4,$DE$6:$DF$17,2)+1))*(VLOOKUP($A72,SatSunCurve,8))*(INDEX(DailyScalarsTable,CN$5/100,MONTH($A72)))*$E72</f>
        <v>-2620.1786483461765</v>
      </c>
      <c r="CO72" s="1021">
        <f>(VLOOKUP(YEAR($A72),'NY East Load Projections'!$A$4:$EO$14,((MONTH($A72)-1)*12)+VLOOKUP(CO$4,$DE$6:$DF$17,2)+1))*(VLOOKUP($A72,SatSunCurve,8))*(INDEX(DailyScalarsTable,CO$5/100,MONTH($A72)))*$E72</f>
        <v>-2981.4871698585293</v>
      </c>
      <c r="CP72" s="1021">
        <f>(VLOOKUP(YEAR($A72),'NY East Load Projections'!$A$4:$EO$14,((MONTH($A72)-1)*12)+VLOOKUP(CP$4,$DE$6:$DF$17,2)+1))*(VLOOKUP($A72,SatSunCurve,8))*(INDEX(DailyScalarsTable,CP$5/100,MONTH($A72)))*$E72</f>
        <v>-3564.5007501031437</v>
      </c>
      <c r="CQ72" s="1021">
        <f>(VLOOKUP(YEAR($A72),'NY East Load Projections'!$A$4:$EO$14,((MONTH($A72)-1)*12)+VLOOKUP(CQ$4,$DE$6:$DF$17,2)+1))*(VLOOKUP($A72,SatSunCurve,8))*(INDEX(DailyScalarsTable,CQ$5/100,MONTH($A72)))*$E72</f>
        <v>-4052.9554870179454</v>
      </c>
      <c r="CR72" s="1021">
        <f>(VLOOKUP(YEAR($A72),'NY East Load Projections'!$A$4:$EO$14,((MONTH($A72)-1)*12)+VLOOKUP(CR$4,$DE$6:$DF$17,2)+1))*(VLOOKUP($A72,SatSunCurve,8))*(INDEX(DailyScalarsTable,CR$5/100,MONTH($A72)))*$E72</f>
        <v>-4189.3652286755623</v>
      </c>
      <c r="CS72" s="1021">
        <f>(VLOOKUP(YEAR($A72),'NY East Load Projections'!$A$4:$EO$14,((MONTH($A72)-1)*12)+VLOOKUP(CS$4,$DE$6:$DF$17,2)+1))*(VLOOKUP($A72,SatSunCurve,8))*(INDEX(DailyScalarsTable,CS$5/100,MONTH($A72)))*$E72</f>
        <v>-4363.8428052143745</v>
      </c>
      <c r="CT72" s="1021">
        <f>(VLOOKUP(YEAR($A72),'NY East Load Projections'!$A$4:$EO$14,((MONTH($A72)-1)*12)+VLOOKUP(CT$4,$DE$6:$DF$17,2)+1))*(VLOOKUP($A72,SatSunCurve,8))*(INDEX(DailyScalarsTable,CT$5/100,MONTH($A72)))*$E72</f>
        <v>-4631.2693452547737</v>
      </c>
      <c r="CU72" s="1021">
        <f>(VLOOKUP(YEAR($A72),'NY East Load Projections'!$A$4:$EO$14,((MONTH($A72)-1)*12)+VLOOKUP(CU$4,$DE$6:$DF$17,2)+1))*(VLOOKUP($A72,SatSunCurve,8))*(INDEX(DailyScalarsTable,CU$5/100,MONTH($A72)))*$E72</f>
        <v>-4494.3817667579688</v>
      </c>
      <c r="CV72" s="1021">
        <f>(VLOOKUP(YEAR($A72),'NY East Load Projections'!$A$4:$EO$14,((MONTH($A72)-1)*12)+VLOOKUP(CV$4,$DE$6:$DF$17,2)+1))*(VLOOKUP($A72,SatSunCurve,8))*(INDEX(DailyScalarsTable,CV$5/100,MONTH($A72)))*$E72</f>
        <v>-4383.010678722665</v>
      </c>
      <c r="CW72" s="1021">
        <f>(VLOOKUP(YEAR($A72),'NY East Load Projections'!$A$4:$EO$14,((MONTH($A72)-1)*12)+VLOOKUP(CW$4,$DE$6:$DF$17,2)+1))*(VLOOKUP($A72,SatSunCurve,8))*(INDEX(DailyScalarsTable,CW$5/100,MONTH($A72)))*$E72</f>
        <v>-3660.7586091603916</v>
      </c>
      <c r="CX72" s="1021">
        <f>(VLOOKUP(YEAR($A72),'NY East Load Projections'!$A$4:$EO$14,((MONTH($A72)-1)*12)+VLOOKUP(CX$4,$DE$6:$DF$17,2)+1))*(VLOOKUP($A72,SatSunCurve,8))*(INDEX(DailyScalarsTable,CX$5/100,MONTH($A72)))*$E72</f>
        <v>-2708.8225341919797</v>
      </c>
      <c r="CY72" s="1021">
        <f>(VLOOKUP(YEAR($A72),'NY East Load Projections'!$A$4:$EO$14,((MONTH($A72)-1)*12)+VLOOKUP(CY$4,$DE$6:$DF$17,2)+1))*(VLOOKUP($A72,SatSunCurve,8))*(INDEX(DailyScalarsTable,CY$5/100,MONTH($A72)))*$E72</f>
        <v>-2845.3950682757709</v>
      </c>
      <c r="CZ72" s="1021">
        <f>(VLOOKUP(YEAR($A72),'NY East Load Projections'!$A$4:$EO$14,((MONTH($A72)-1)*12)+VLOOKUP(CZ$4,$DE$6:$DF$17,2)+1))*(VLOOKUP($A72,SatSunCurve,8))*(INDEX(DailyScalarsTable,CZ$5/100,MONTH($A72)))*$E72</f>
        <v>-3015.0811648224881</v>
      </c>
      <c r="DA72" s="1021">
        <f>(VLOOKUP(YEAR($A72),'NY East Load Projections'!$A$4:$EO$14,((MONTH($A72)-1)*12)+VLOOKUP(DA$4,$DE$6:$DF$17,2)+1))*(VLOOKUP($A72,SatSunCurve,8))*(INDEX(DailyScalarsTable,DA$5/100,MONTH($A72)))*$E72</f>
        <v>-2093.8461744489277</v>
      </c>
      <c r="DB72" s="1021">
        <f>(VLOOKUP(YEAR($A72),'NY East Load Projections'!$A$4:$EO$14,((MONTH($A72)-1)*12)+VLOOKUP(DB$4,$DE$6:$DF$17,2)+1))*(VLOOKUP($A72,CURVES!$D$9:$T$261,8))*(INDEX(DailyScalarsTable,DB$5/100,MONTH($A72)))*$E72</f>
        <v>-3173.6945700381793</v>
      </c>
      <c r="DH72" s="1021">
        <f t="shared" si="2"/>
        <v>-4075387.0369945043</v>
      </c>
      <c r="DI72">
        <f ca="1">CALC!J92</f>
        <v>0.62714345890985712</v>
      </c>
      <c r="DJ72" s="1029">
        <f t="shared" ca="1" si="3"/>
        <v>-2555852.3227771274</v>
      </c>
    </row>
    <row r="73" spans="1:114" x14ac:dyDescent="0.25">
      <c r="A73" s="244">
        <v>38930</v>
      </c>
      <c r="B73" s="13">
        <v>23</v>
      </c>
      <c r="C73" s="210">
        <v>4</v>
      </c>
      <c r="D73" s="210">
        <v>4</v>
      </c>
      <c r="E73" s="210">
        <v>0</v>
      </c>
      <c r="F73" s="13">
        <v>31</v>
      </c>
      <c r="H73" s="1021">
        <f>(VLOOKUP(YEAR($A73),'NY East Load Projections'!$A$4:$EO$14,((MONTH($A73)-1)*12)+VLOOKUP(H$4,$DE$6:$DF$17,2)+1))*(VLOOKUP($A73,CURVES!$D$9:$K$261,8))*(INDEX(DailyScalarsTable,H$5/100,MONTH($A73)))*$B73</f>
        <v>-65865.406266113016</v>
      </c>
      <c r="I73" s="1021">
        <f>(VLOOKUP(YEAR($A73),'NY East Load Projections'!$A$4:$EO$14,((MONTH($A73)-1)*12)+VLOOKUP(I$4,$DE$6:$DF$17,2)+1))*(VLOOKUP($A73,CURVES!$D$9:$K$261,8))*(INDEX(DailyScalarsTable,I$5/100,MONTH($A73)))*$B73</f>
        <v>-59457.85589631075</v>
      </c>
      <c r="J73" s="1021">
        <f>(VLOOKUP(YEAR($A73),'NY East Load Projections'!$A$4:$EO$14,((MONTH($A73)-1)*12)+VLOOKUP(J$4,$DE$6:$DF$17,2)+1))*(VLOOKUP($A73,CURVES!$D$9:$K$261,8))*(INDEX(DailyScalarsTable,J$5/100,MONTH($A73)))*$B73</f>
        <v>-53396.253081685609</v>
      </c>
      <c r="K73" s="1021">
        <f>(VLOOKUP(YEAR($A73),'NY East Load Projections'!$A$4:$EO$14,((MONTH($A73)-1)*12)+VLOOKUP(K$4,$DE$6:$DF$17,2)+1))*(VLOOKUP($A73,CURVES!$D$9:$K$261,8))*(INDEX(DailyScalarsTable,K$5/100,MONTH($A73)))*$B73</f>
        <v>-50237.601490937996</v>
      </c>
      <c r="L73" s="1021">
        <f>(VLOOKUP(YEAR($A73),'NY East Load Projections'!$A$4:$EO$14,((MONTH($A73)-1)*12)+VLOOKUP(L$4,$DE$6:$DF$17,2)+1))*(VLOOKUP($A73,CURVES!$D$9:$K$261,8))*(INDEX(DailyScalarsTable,L$5/100,MONTH($A73)))*$B73</f>
        <v>-56868.662983008595</v>
      </c>
      <c r="M73" s="1021">
        <f>(VLOOKUP(YEAR($A73),'NY East Load Projections'!$A$4:$EO$14,((MONTH($A73)-1)*12)+VLOOKUP(M$4,$DE$6:$DF$17,2)+1))*(VLOOKUP($A73,CURVES!$D$9:$K$261,8))*(INDEX(DailyScalarsTable,M$5/100,MONTH($A73)))*$B73</f>
        <v>-63183.75823782786</v>
      </c>
      <c r="N73" s="1021">
        <f>(VLOOKUP(YEAR($A73),'NY East Load Projections'!$A$4:$EO$14,((MONTH($A73)-1)*12)+VLOOKUP(N$4,$DE$6:$DF$17,2)+1))*(VLOOKUP($A73,CURVES!$D$9:$K$261,8))*(INDEX(DailyScalarsTable,N$5/100,MONTH($A73)))*$B73</f>
        <v>-73517.550472986608</v>
      </c>
      <c r="O73" s="1021">
        <f>(VLOOKUP(YEAR($A73),'NY East Load Projections'!$A$4:$EO$14,((MONTH($A73)-1)*12)+VLOOKUP(O$4,$DE$6:$DF$17,2)+1))*(VLOOKUP($A73,CURVES!$D$9:$K$261,4))*(INDEX(DailyScalarsTable,O$5/100,MONTH($A73)))*$B73</f>
        <v>-115183.00628506225</v>
      </c>
      <c r="P73" s="1021">
        <f>(VLOOKUP(YEAR($A73),'NY East Load Projections'!$A$4:$EO$14,((MONTH($A73)-1)*12)+VLOOKUP(P$4,$DE$6:$DF$17,2)+1))*(VLOOKUP($A73,CURVES!$D$9:$K$261,4))*(INDEX(DailyScalarsTable,P$5/100,MONTH($A73)))*$B73</f>
        <v>-142464.17359020383</v>
      </c>
      <c r="Q73" s="1021">
        <f>(VLOOKUP(YEAR($A73),'NY East Load Projections'!$A$4:$EO$14,((MONTH($A73)-1)*12)+VLOOKUP(Q$4,$DE$6:$DF$17,2)+1))*(VLOOKUP($A73,CURVES!$D$9:$K$261,4))*(INDEX(DailyScalarsTable,Q$5/100,MONTH($A73)))*$B73</f>
        <v>-182701.53805499853</v>
      </c>
      <c r="R73" s="1021">
        <f>(VLOOKUP(YEAR($A73),'NY East Load Projections'!$A$4:$EO$14,((MONTH($A73)-1)*12)+VLOOKUP(R$4,$DE$6:$DF$17,2)+1))*(VLOOKUP($A73,CURVES!$D$9:$K$261,4))*(INDEX(DailyScalarsTable,R$5/100,MONTH($A73)))*$B73</f>
        <v>-206206.5331383934</v>
      </c>
      <c r="S73" s="1021">
        <f>(VLOOKUP(YEAR($A73),'NY East Load Projections'!$A$4:$EO$14,((MONTH($A73)-1)*12)+VLOOKUP(S$4,$DE$6:$DF$17,2)+1))*(VLOOKUP($A73,CURVES!$D$9:$K$261,4))*(INDEX(DailyScalarsTable,S$5/100,MONTH($A73)))*$B73</f>
        <v>-214944.54825979107</v>
      </c>
      <c r="T73" s="1021">
        <f>(VLOOKUP(YEAR($A73),'NY East Load Projections'!$A$4:$EO$14,((MONTH($A73)-1)*12)+VLOOKUP(T$4,$DE$6:$DF$17,2)+1))*(VLOOKUP($A73,CURVES!$D$9:$K$261,4))*(INDEX(DailyScalarsTable,T$5/100,MONTH($A73)))*$B73</f>
        <v>-218976.62242377136</v>
      </c>
      <c r="U73" s="1021">
        <f>(VLOOKUP(YEAR($A73),'NY East Load Projections'!$A$4:$EO$14,((MONTH($A73)-1)*12)+VLOOKUP(U$4,$DE$6:$DF$17,2)+1))*(VLOOKUP($A73,CURVES!$D$9:$K$261,4))*(INDEX(DailyScalarsTable,U$5/100,MONTH($A73)))*$B73</f>
        <v>-240386.09416404547</v>
      </c>
      <c r="V73" s="1021">
        <f>(VLOOKUP(YEAR($A73),'NY East Load Projections'!$A$4:$EO$14,((MONTH($A73)-1)*12)+VLOOKUP(V$4,$DE$6:$DF$17,2)+1))*(VLOOKUP($A73,CURVES!$D$9:$K$261,4))*(INDEX(DailyScalarsTable,V$5/100,MONTH($A73)))*$B73</f>
        <v>-254486.34497897758</v>
      </c>
      <c r="W73" s="1021">
        <f>(VLOOKUP(YEAR($A73),'NY East Load Projections'!$A$4:$EO$14,((MONTH($A73)-1)*12)+VLOOKUP(W$4,$DE$6:$DF$17,2)+1))*(VLOOKUP($A73,CURVES!$D$9:$K$261,4))*(INDEX(DailyScalarsTable,W$5/100,MONTH($A73)))*$B73</f>
        <v>-250940.82736593852</v>
      </c>
      <c r="X73" s="1021">
        <f>(VLOOKUP(YEAR($A73),'NY East Load Projections'!$A$4:$EO$14,((MONTH($A73)-1)*12)+VLOOKUP(X$4,$DE$6:$DF$17,2)+1))*(VLOOKUP($A73,CURVES!$D$9:$K$261,4))*(INDEX(DailyScalarsTable,X$5/100,MONTH($A73)))*$B73</f>
        <v>-231157.50814373547</v>
      </c>
      <c r="Y73" s="1021">
        <f>(VLOOKUP(YEAR($A73),'NY East Load Projections'!$A$4:$EO$14,((MONTH($A73)-1)*12)+VLOOKUP(Y$4,$DE$6:$DF$17,2)+1))*(VLOOKUP($A73,CURVES!$D$9:$K$261,4))*(INDEX(DailyScalarsTable,Y$5/100,MONTH($A73)))*$B73</f>
        <v>-214066.14246488473</v>
      </c>
      <c r="Z73" s="1021">
        <f>(VLOOKUP(YEAR($A73),'NY East Load Projections'!$A$4:$EO$14,((MONTH($A73)-1)*12)+VLOOKUP(Z$4,$DE$6:$DF$17,2)+1))*(VLOOKUP($A73,CURVES!$D$9:$K$261,4))*(INDEX(DailyScalarsTable,Z$5/100,MONTH($A73)))*$B73</f>
        <v>-174486.13773491443</v>
      </c>
      <c r="AA73" s="1021">
        <f>(VLOOKUP(YEAR($A73),'NY East Load Projections'!$A$4:$EO$14,((MONTH($A73)-1)*12)+VLOOKUP(AA$4,$DE$6:$DF$17,2)+1))*(VLOOKUP($A73,CURVES!$D$9:$K$261,4))*(INDEX(DailyScalarsTable,AA$5/100,MONTH($A73)))*$B73</f>
        <v>-158859.746257108</v>
      </c>
      <c r="AB73" s="1021">
        <f>(VLOOKUP(YEAR($A73),'NY East Load Projections'!$A$4:$EO$14,((MONTH($A73)-1)*12)+VLOOKUP(AB$4,$DE$6:$DF$17,2)+1))*(VLOOKUP($A73,CURVES!$D$9:$K$261,4))*(INDEX(DailyScalarsTable,AB$5/100,MONTH($A73)))*$B73</f>
        <v>-176111.42241647767</v>
      </c>
      <c r="AC73" s="1021">
        <f>(VLOOKUP(YEAR($A73),'NY East Load Projections'!$A$4:$EO$14,((MONTH($A73)-1)*12)+VLOOKUP(AC$4,$DE$6:$DF$17,2)+1))*(VLOOKUP($A73,CURVES!$D$9:$K$261,4))*(INDEX(DailyScalarsTable,AC$5/100,MONTH($A73)))*$B73</f>
        <v>-149752.45421630028</v>
      </c>
      <c r="AD73" s="1021">
        <f>(VLOOKUP(YEAR($A73),'NY East Load Projections'!$A$4:$EO$14,((MONTH($A73)-1)*12)+VLOOKUP(AD$4,$DE$6:$DF$17,2)+1))*(VLOOKUP($A73,CURVES!$D$9:$K$261,4))*(INDEX(DailyScalarsTable,AD$5/100,MONTH($A73)))*$B73</f>
        <v>-121264.84081782667</v>
      </c>
      <c r="AE73" s="1021">
        <f>(VLOOKUP(YEAR($A73),'NY East Load Projections'!$A$4:$EO$14,((MONTH($A73)-1)*12)+VLOOKUP(AE$4,$DE$6:$DF$17,2)+1))*(VLOOKUP($A73,CURVES!$D$9:$K$261,8))*(INDEX(DailyScalarsTable,AE$5/100,MONTH($A73)))*$B73</f>
        <v>-80458.159389977576</v>
      </c>
      <c r="AF73" s="1021"/>
      <c r="AG73" s="1021">
        <f>(VLOOKUP(YEAR($A73),'NY East Load Projections'!$A$4:$EO$14,((MONTH($A73)-1)*12)+VLOOKUP(AG$4,$DE$6:$DF$17,2)+1))*(VLOOKUP($A73,CURVES!$D$9:$T$261,8))*(INDEX(DailyScalarsTable,AG$5/100,MONTH($A73)))*$C73</f>
        <v>-11237.506147921258</v>
      </c>
      <c r="AH73" s="1021">
        <f>(VLOOKUP(YEAR($A73),'NY East Load Projections'!$A$4:$EO$14,((MONTH($A73)-1)*12)+VLOOKUP(AH$4,$DE$6:$DF$17,2)+1))*(VLOOKUP($A73,CURVES!$D$9:$T$261,8))*(INDEX(DailyScalarsTable,AH$5/100,MONTH($A73)))*$C73</f>
        <v>-10144.293629306403</v>
      </c>
      <c r="AI73" s="1021">
        <f>(VLOOKUP(YEAR($A73),'NY East Load Projections'!$A$4:$EO$14,((MONTH($A73)-1)*12)+VLOOKUP(AI$4,$DE$6:$DF$17,2)+1))*(VLOOKUP($A73,CURVES!$D$9:$T$261,8))*(INDEX(DailyScalarsTable,AI$5/100,MONTH($A73)))*$C73</f>
        <v>-9110.1043217904735</v>
      </c>
      <c r="AJ73" s="1021">
        <f>(VLOOKUP(YEAR($A73),'NY East Load Projections'!$A$4:$EO$14,((MONTH($A73)-1)*12)+VLOOKUP(AJ$4,$DE$6:$DF$17,2)+1))*(VLOOKUP($A73,CURVES!$D$9:$T$261,8))*(INDEX(DailyScalarsTable,AJ$5/100,MONTH($A73)))*$C73</f>
        <v>-8571.1967421915979</v>
      </c>
      <c r="AK73" s="1021">
        <f>(VLOOKUP(YEAR($A73),'NY East Load Projections'!$A$4:$EO$14,((MONTH($A73)-1)*12)+VLOOKUP(AK$4,$DE$6:$DF$17,2)+1))*(VLOOKUP($A73,CURVES!$D$9:$T$261,8))*(INDEX(DailyScalarsTable,AK$5/100,MONTH($A73)))*$C73</f>
        <v>-9039.3839752899221</v>
      </c>
      <c r="AL73" s="1021">
        <f>(VLOOKUP(YEAR($A73),'NY East Load Projections'!$A$4:$EO$14,((MONTH($A73)-1)*12)+VLOOKUP(AL$4,$DE$6:$DF$17,2)+1))*(VLOOKUP($A73,CURVES!$D$9:$T$261,8))*(INDEX(DailyScalarsTable,AL$5/100,MONTH($A73)))*$C73</f>
        <v>-10043.180580564407</v>
      </c>
      <c r="AM73" s="1021">
        <f>(VLOOKUP(YEAR($A73),'NY East Load Projections'!$A$4:$EO$14,((MONTH($A73)-1)*12)+VLOOKUP(AM$4,$DE$6:$DF$17,2)+1))*(VLOOKUP($A73,CURVES!$D$9:$T$261,8))*(INDEX(DailyScalarsTable,AM$5/100,MONTH($A73)))*$C73</f>
        <v>-11685.756843740824</v>
      </c>
      <c r="AN73" s="1021">
        <f>(VLOOKUP(YEAR($A73),'NY East Load Projections'!$A$4:$EO$14,((MONTH($A73)-1)*12)+VLOOKUP(AN$4,$DE$6:$DF$17,2)+1))*(VLOOKUP($A73,SatSunCurve,4))*(INDEX(DailyScalarsTable,AN$5/100,MONTH($A73)))*$C73</f>
        <v>-11886.734612164353</v>
      </c>
      <c r="AO73" s="1021">
        <f>(VLOOKUP(YEAR($A73),'NY East Load Projections'!$A$4:$EO$14,((MONTH($A73)-1)*12)+VLOOKUP(AO$4,$DE$6:$DF$17,2)+1))*(VLOOKUP($A73,SatSunCurve,4))*(INDEX(DailyScalarsTable,AO$5/100,MONTH($A73)))*$C73</f>
        <v>-14298.892256927264</v>
      </c>
      <c r="AP73" s="1021">
        <f>(VLOOKUP(YEAR($A73),'NY East Load Projections'!$A$4:$EO$14,((MONTH($A73)-1)*12)+VLOOKUP(AP$4,$DE$6:$DF$17,2)+1))*(VLOOKUP($A73,SatSunCurve,4))*(INDEX(DailyScalarsTable,AP$5/100,MONTH($A73)))*$C73</f>
        <v>-18337.449633743967</v>
      </c>
      <c r="AQ73" s="1021">
        <f>(VLOOKUP(YEAR($A73),'NY East Load Projections'!$A$4:$EO$14,((MONTH($A73)-1)*12)+VLOOKUP(AQ$4,$DE$6:$DF$17,2)+1))*(VLOOKUP($A73,SatSunCurve,4))*(INDEX(DailyScalarsTable,AQ$5/100,MONTH($A73)))*$C73</f>
        <v>-20696.606913270552</v>
      </c>
      <c r="AR73" s="1021">
        <f>(VLOOKUP(YEAR($A73),'NY East Load Projections'!$A$4:$EO$14,((MONTH($A73)-1)*12)+VLOOKUP(AR$4,$DE$6:$DF$17,2)+1))*(VLOOKUP($A73,SatSunCurve,4))*(INDEX(DailyScalarsTable,AR$5/100,MONTH($A73)))*$C73</f>
        <v>-21573.626964077612</v>
      </c>
      <c r="AS73" s="1021">
        <f>(VLOOKUP(YEAR($A73),'NY East Load Projections'!$A$4:$EO$14,((MONTH($A73)-1)*12)+VLOOKUP(AS$4,$DE$6:$DF$17,2)+1))*(VLOOKUP($A73,SatSunCurve,4))*(INDEX(DailyScalarsTable,AS$5/100,MONTH($A73)))*$C73</f>
        <v>-22131.153864213564</v>
      </c>
      <c r="AT73" s="1021">
        <f>(VLOOKUP(YEAR($A73),'NY East Load Projections'!$A$4:$EO$14,((MONTH($A73)-1)*12)+VLOOKUP(AT$4,$DE$6:$DF$17,2)+1))*(VLOOKUP($A73,SatSunCurve,4))*(INDEX(DailyScalarsTable,AT$5/100,MONTH($A73)))*$C73</f>
        <v>-24294.92964991635</v>
      </c>
      <c r="AU73" s="1021">
        <f>(VLOOKUP(YEAR($A73),'NY East Load Projections'!$A$4:$EO$14,((MONTH($A73)-1)*12)+VLOOKUP(AU$4,$DE$6:$DF$17,2)+1))*(VLOOKUP($A73,SatSunCurve,4))*(INDEX(DailyScalarsTable,AU$5/100,MONTH($A73)))*$C73</f>
        <v>-25719.989625977931</v>
      </c>
      <c r="AV73" s="1021">
        <f>(VLOOKUP(YEAR($A73),'NY East Load Projections'!$A$4:$EO$14,((MONTH($A73)-1)*12)+VLOOKUP(AV$4,$DE$6:$DF$17,2)+1))*(VLOOKUP($A73,SatSunCurve,4))*(INDEX(DailyScalarsTable,AV$5/100,MONTH($A73)))*$C73</f>
        <v>-25361.65733025645</v>
      </c>
      <c r="AW73" s="1021">
        <f>(VLOOKUP(YEAR($A73),'NY East Load Projections'!$A$4:$EO$14,((MONTH($A73)-1)*12)+VLOOKUP(AW$4,$DE$6:$DF$17,2)+1))*(VLOOKUP($A73,SatSunCurve,4))*(INDEX(DailyScalarsTable,AW$5/100,MONTH($A73)))*$C73</f>
        <v>-23550.786444555619</v>
      </c>
      <c r="AX73" s="1021">
        <f>(VLOOKUP(YEAR($A73),'NY East Load Projections'!$A$4:$EO$14,((MONTH($A73)-1)*12)+VLOOKUP(AX$4,$DE$6:$DF$17,2)+1))*(VLOOKUP($A73,SatSunCurve,4))*(INDEX(DailyScalarsTable,AX$5/100,MONTH($A73)))*$C73</f>
        <v>-21809.484133500533</v>
      </c>
      <c r="AY73" s="1021">
        <f>(VLOOKUP(YEAR($A73),'NY East Load Projections'!$A$4:$EO$14,((MONTH($A73)-1)*12)+VLOOKUP(AY$4,$DE$6:$DF$17,2)+1))*(VLOOKUP($A73,SatSunCurve,4))*(INDEX(DailyScalarsTable,AY$5/100,MONTH($A73)))*$C73</f>
        <v>-17776.994571057163</v>
      </c>
      <c r="AZ73" s="1021">
        <f>(VLOOKUP(YEAR($A73),'NY East Load Projections'!$A$4:$EO$14,((MONTH($A73)-1)*12)+VLOOKUP(AZ$4,$DE$6:$DF$17,2)+1))*(VLOOKUP($A73,SatSunCurve,4))*(INDEX(DailyScalarsTable,AZ$5/100,MONTH($A73)))*$C73</f>
        <v>-16184.946743806797</v>
      </c>
      <c r="BA73" s="1021">
        <f>(VLOOKUP(YEAR($A73),'NY East Load Projections'!$A$4:$EO$14,((MONTH($A73)-1)*12)+VLOOKUP(BA$4,$DE$6:$DF$17,2)+1))*(VLOOKUP($A73,SatSunCurve,4))*(INDEX(DailyScalarsTable,BA$5/100,MONTH($A73)))*$C73</f>
        <v>-19289.096677844809</v>
      </c>
      <c r="BB73" s="1021">
        <f>(VLOOKUP(YEAR($A73),'NY East Load Projections'!$A$4:$EO$14,((MONTH($A73)-1)*12)+VLOOKUP(BB$4,$DE$6:$DF$17,2)+1))*(VLOOKUP($A73,SatSunCurve,4))*(INDEX(DailyScalarsTable,BB$5/100,MONTH($A73)))*$C73</f>
        <v>-16402.056876763247</v>
      </c>
      <c r="BC73" s="1021">
        <f>(VLOOKUP(YEAR($A73),'NY East Load Projections'!$A$4:$EO$14,((MONTH($A73)-1)*12)+VLOOKUP(BC$4,$DE$6:$DF$17,2)+1))*(VLOOKUP($A73,SatSunCurve,4))*(INDEX(DailyScalarsTable,BC$5/100,MONTH($A73)))*$C73</f>
        <v>-13281.871249821133</v>
      </c>
      <c r="BD73" s="1021">
        <f>(VLOOKUP(YEAR($A73),'NY East Load Projections'!$A$4:$EO$14,((MONTH($A73)-1)*12)+VLOOKUP(BD$4,$DE$6:$DF$17,2)+1))*(VLOOKUP($A73,CURVES!$D$9:$T$261,8))*(INDEX(DailyScalarsTable,BD$5/100,MONTH($A73)))*$C73</f>
        <v>-13573.320936340297</v>
      </c>
      <c r="BE73" s="1021"/>
      <c r="BF73" s="1021">
        <f>(VLOOKUP(YEAR($A73),'NY East Load Projections'!$A$4:$EO$14,((MONTH($A73)-1)*12)+VLOOKUP(BF$4,$DE$6:$DF$17,2)+1))*(VLOOKUP($A73,CURVES!$D$9:$T$261,8))*(INDEX(DailyScalarsTable,BF$5/100,MONTH($A73)))*$D73</f>
        <v>-11237.506147921258</v>
      </c>
      <c r="BG73" s="1021">
        <f>(VLOOKUP(YEAR($A73),'NY East Load Projections'!$A$4:$EO$14,((MONTH($A73)-1)*12)+VLOOKUP(BG$4,$DE$6:$DF$17,2)+1))*(VLOOKUP($A73,CURVES!$D$9:$T$261,8))*(INDEX(DailyScalarsTable,BG$5/100,MONTH($A73)))*$D73</f>
        <v>-10144.293629306403</v>
      </c>
      <c r="BH73" s="1021">
        <f>(VLOOKUP(YEAR($A73),'NY East Load Projections'!$A$4:$EO$14,((MONTH($A73)-1)*12)+VLOOKUP(BH$4,$DE$6:$DF$17,2)+1))*(VLOOKUP($A73,CURVES!$D$9:$T$261,8))*(INDEX(DailyScalarsTable,BH$5/100,MONTH($A73)))*$D73</f>
        <v>-9110.1043217904735</v>
      </c>
      <c r="BI73" s="1021">
        <f>(VLOOKUP(YEAR($A73),'NY East Load Projections'!$A$4:$EO$14,((MONTH($A73)-1)*12)+VLOOKUP(BI$4,$DE$6:$DF$17,2)+1))*(VLOOKUP($A73,CURVES!$D$9:$T$261,8))*(INDEX(DailyScalarsTable,BI$5/100,MONTH($A73)))*$D73</f>
        <v>-8571.1967421915979</v>
      </c>
      <c r="BJ73" s="1021">
        <f>(VLOOKUP(YEAR($A73),'NY East Load Projections'!$A$4:$EO$14,((MONTH($A73)-1)*12)+VLOOKUP(BJ$4,$DE$6:$DF$17,2)+1))*(VLOOKUP($A73,CURVES!$D$9:$T$261,8))*(INDEX(DailyScalarsTable,BJ$5/100,MONTH($A73)))*$D73</f>
        <v>-9039.3839752899221</v>
      </c>
      <c r="BK73" s="1021">
        <f>(VLOOKUP(YEAR($A73),'NY East Load Projections'!$A$4:$EO$14,((MONTH($A73)-1)*12)+VLOOKUP(BK$4,$DE$6:$DF$17,2)+1))*(VLOOKUP($A73,CURVES!$D$9:$T$261,8))*(INDEX(DailyScalarsTable,BK$5/100,MONTH($A73)))*$D73</f>
        <v>-10043.180580564407</v>
      </c>
      <c r="BL73" s="1021">
        <f>(VLOOKUP(YEAR($A73),'NY East Load Projections'!$A$4:$EO$14,((MONTH($A73)-1)*12)+VLOOKUP(BL$4,$DE$6:$DF$17,2)+1))*(VLOOKUP($A73,CURVES!$D$9:$T$261,8))*(INDEX(DailyScalarsTable,BL$5/100,MONTH($A73)))*$D73</f>
        <v>-11685.756843740824</v>
      </c>
      <c r="BM73" s="1021">
        <f>(VLOOKUP(YEAR($A73),'NY East Load Projections'!$A$4:$EO$14,((MONTH($A73)-1)*12)+VLOOKUP(BM$4,$DE$6:$DF$17,2)+1))*(VLOOKUP($A73,SatSunCurve,8))*(INDEX(DailyScalarsTable,BM$5/100,MONTH($A73)))*$D73</f>
        <v>-8994.9043502283184</v>
      </c>
      <c r="BN73" s="1021">
        <f>(VLOOKUP(YEAR($A73),'NY East Load Projections'!$A$4:$EO$14,((MONTH($A73)-1)*12)+VLOOKUP(BN$4,$DE$6:$DF$17,2)+1))*(VLOOKUP($A73,SatSunCurve,8))*(INDEX(DailyScalarsTable,BN$5/100,MONTH($A73)))*$D73</f>
        <v>-10820.227115498987</v>
      </c>
      <c r="BO73" s="1021">
        <f>(VLOOKUP(YEAR($A73),'NY East Load Projections'!$A$4:$EO$14,((MONTH($A73)-1)*12)+VLOOKUP(BO$4,$DE$6:$DF$17,2)+1))*(VLOOKUP($A73,SatSunCurve,8))*(INDEX(DailyScalarsTable,BO$5/100,MONTH($A73)))*$D73</f>
        <v>-13876.275601699763</v>
      </c>
      <c r="BP73" s="1021">
        <f>(VLOOKUP(YEAR($A73),'NY East Load Projections'!$A$4:$EO$14,((MONTH($A73)-1)*12)+VLOOKUP(BP$4,$DE$6:$DF$17,2)+1))*(VLOOKUP($A73,SatSunCurve,8))*(INDEX(DailyScalarsTable,BP$5/100,MONTH($A73)))*$D73</f>
        <v>-15661.492044133875</v>
      </c>
      <c r="BQ73" s="1021">
        <f>(VLOOKUP(YEAR($A73),'NY East Load Projections'!$A$4:$EO$14,((MONTH($A73)-1)*12)+VLOOKUP(BQ$4,$DE$6:$DF$17,2)+1))*(VLOOKUP($A73,SatSunCurve,8))*(INDEX(DailyScalarsTable,BQ$5/100,MONTH($A73)))*$D73</f>
        <v>-16325.148778100907</v>
      </c>
      <c r="BR73" s="1021">
        <f>(VLOOKUP(YEAR($A73),'NY East Load Projections'!$A$4:$EO$14,((MONTH($A73)-1)*12)+VLOOKUP(BR$4,$DE$6:$DF$17,2)+1))*(VLOOKUP($A73,SatSunCurve,8))*(INDEX(DailyScalarsTable,BR$5/100,MONTH($A73)))*$D73</f>
        <v>-16747.039339556719</v>
      </c>
      <c r="BS73" s="1021">
        <f>(VLOOKUP(YEAR($A73),'NY East Load Projections'!$A$4:$EO$14,((MONTH($A73)-1)*12)+VLOOKUP(BS$4,$DE$6:$DF$17,2)+1))*(VLOOKUP($A73,SatSunCurve,8))*(INDEX(DailyScalarsTable,BS$5/100,MONTH($A73)))*$D73</f>
        <v>-18384.407116559087</v>
      </c>
      <c r="BT73" s="1021">
        <f>(VLOOKUP(YEAR($A73),'NY East Load Projections'!$A$4:$EO$14,((MONTH($A73)-1)*12)+VLOOKUP(BT$4,$DE$6:$DF$17,2)+1))*(VLOOKUP($A73,SatSunCurve,8))*(INDEX(DailyScalarsTable,BT$5/100,MONTH($A73)))*$D73</f>
        <v>-19462.775448674023</v>
      </c>
      <c r="BU73" s="1021">
        <f>(VLOOKUP(YEAR($A73),'NY East Load Projections'!$A$4:$EO$14,((MONTH($A73)-1)*12)+VLOOKUP(BU$4,$DE$6:$DF$17,2)+1))*(VLOOKUP($A73,SatSunCurve,8))*(INDEX(DailyScalarsTable,BU$5/100,MONTH($A73)))*$D73</f>
        <v>-19191.619001527135</v>
      </c>
      <c r="BV73" s="1021">
        <f>(VLOOKUP(YEAR($A73),'NY East Load Projections'!$A$4:$EO$14,((MONTH($A73)-1)*12)+VLOOKUP(BV$4,$DE$6:$DF$17,2)+1))*(VLOOKUP($A73,SatSunCurve,8))*(INDEX(DailyScalarsTable,BV$5/100,MONTH($A73)))*$D73</f>
        <v>-17821.300664410126</v>
      </c>
      <c r="BW73" s="1021">
        <f>(VLOOKUP(YEAR($A73),'NY East Load Projections'!$A$4:$EO$14,((MONTH($A73)-1)*12)+VLOOKUP(BW$4,$DE$6:$DF$17,2)+1))*(VLOOKUP($A73,SatSunCurve,8))*(INDEX(DailyScalarsTable,BW$5/100,MONTH($A73)))*$D73</f>
        <v>-16503.626110059147</v>
      </c>
      <c r="BX73" s="1021">
        <f>(VLOOKUP(YEAR($A73),'NY East Load Projections'!$A$4:$EO$14,((MONTH($A73)-1)*12)+VLOOKUP(BX$4,$DE$6:$DF$17,2)+1))*(VLOOKUP($A73,SatSunCurve,8))*(INDEX(DailyScalarsTable,BX$5/100,MONTH($A73)))*$D73</f>
        <v>-13452.16924735161</v>
      </c>
      <c r="BY73" s="1021">
        <f>(VLOOKUP(YEAR($A73),'NY East Load Projections'!$A$4:$EO$14,((MONTH($A73)-1)*12)+VLOOKUP(BY$4,$DE$6:$DF$17,2)+1))*(VLOOKUP($A73,SatSunCurve,8))*(INDEX(DailyScalarsTable,BY$5/100,MONTH($A73)))*$D73</f>
        <v>-12247.438226230714</v>
      </c>
      <c r="BZ73" s="1021">
        <f>(VLOOKUP(YEAR($A73),'NY East Load Projections'!$A$4:$EO$14,((MONTH($A73)-1)*12)+VLOOKUP(BZ$4,$DE$6:$DF$17,2)+1))*(VLOOKUP($A73,SatSunCurve,8))*(INDEX(DailyScalarsTable,BZ$5/100,MONTH($A73)))*$D73</f>
        <v>-14596.403914155288</v>
      </c>
      <c r="CA73" s="1021">
        <f>(VLOOKUP(YEAR($A73),'NY East Load Projections'!$A$4:$EO$14,((MONTH($A73)-1)*12)+VLOOKUP(CA$4,$DE$6:$DF$17,2)+1))*(VLOOKUP($A73,SatSunCurve,8))*(INDEX(DailyScalarsTable,CA$5/100,MONTH($A73)))*$D73</f>
        <v>-12411.72934091667</v>
      </c>
      <c r="CB73" s="1021">
        <f>(VLOOKUP(YEAR($A73),'NY East Load Projections'!$A$4:$EO$14,((MONTH($A73)-1)*12)+VLOOKUP(CB$4,$DE$6:$DF$17,2)+1))*(VLOOKUP($A73,SatSunCurve,8))*(INDEX(DailyScalarsTable,CB$5/100,MONTH($A73)))*$D73</f>
        <v>-10050.629157811698</v>
      </c>
      <c r="CC73" s="1021">
        <f>(VLOOKUP(YEAR($A73),'NY East Load Projections'!$A$4:$EO$14,((MONTH($A73)-1)*12)+VLOOKUP(CC$4,$DE$6:$DF$17,2)+1))*(VLOOKUP($A73,CURVES!$D$9:$T$261,8))*(INDEX(DailyScalarsTable,CC$5/100,MONTH($A73)))*$D73</f>
        <v>-13573.320936340297</v>
      </c>
      <c r="CE73" s="1021">
        <f>(VLOOKUP(YEAR($A73),'NY East Load Projections'!$A$4:$EO$14,((MONTH($A73)-1)*12)+VLOOKUP(CE$4,$DE$6:$DF$17,2)+1))*(VLOOKUP($A73,CURVES!$D$9:$T$261,8))*(INDEX(DailyScalarsTable,CE$5/100,MONTH($A73)))*$E73</f>
        <v>0</v>
      </c>
      <c r="CF73" s="1021">
        <f>(VLOOKUP(YEAR($A73),'NY East Load Projections'!$A$4:$EO$14,((MONTH($A73)-1)*12)+VLOOKUP(CF$4,$DE$6:$DF$17,2)+1))*(VLOOKUP($A73,CURVES!$D$9:$T$261,8))*(INDEX(DailyScalarsTable,CF$5/100,MONTH($A73)))*$E73</f>
        <v>0</v>
      </c>
      <c r="CG73" s="1021">
        <f>(VLOOKUP(YEAR($A73),'NY East Load Projections'!$A$4:$EO$14,((MONTH($A73)-1)*12)+VLOOKUP(CG$4,$DE$6:$DF$17,2)+1))*(VLOOKUP($A73,CURVES!$D$9:$T$261,8))*(INDEX(DailyScalarsTable,CG$5/100,MONTH($A73)))*$E73</f>
        <v>0</v>
      </c>
      <c r="CH73" s="1021">
        <f>(VLOOKUP(YEAR($A73),'NY East Load Projections'!$A$4:$EO$14,((MONTH($A73)-1)*12)+VLOOKUP(CH$4,$DE$6:$DF$17,2)+1))*(VLOOKUP($A73,CURVES!$D$9:$T$261,8))*(INDEX(DailyScalarsTable,CH$5/100,MONTH($A73)))*$E73</f>
        <v>0</v>
      </c>
      <c r="CI73" s="1021">
        <f>(VLOOKUP(YEAR($A73),'NY East Load Projections'!$A$4:$EO$14,((MONTH($A73)-1)*12)+VLOOKUP(CI$4,$DE$6:$DF$17,2)+1))*(VLOOKUP($A73,CURVES!$D$9:$T$261,8))*(INDEX(DailyScalarsTable,CI$5/100,MONTH($A73)))*$E73</f>
        <v>0</v>
      </c>
      <c r="CJ73" s="1021">
        <f>(VLOOKUP(YEAR($A73),'NY East Load Projections'!$A$4:$EO$14,((MONTH($A73)-1)*12)+VLOOKUP(CJ$4,$DE$6:$DF$17,2)+1))*(VLOOKUP($A73,CURVES!$D$9:$T$261,8))*(INDEX(DailyScalarsTable,CJ$5/100,MONTH($A73)))*$E73</f>
        <v>0</v>
      </c>
      <c r="CK73" s="1021">
        <f>(VLOOKUP(YEAR($A73),'NY East Load Projections'!$A$4:$EO$14,((MONTH($A73)-1)*12)+VLOOKUP(CK$4,$DE$6:$DF$17,2)+1))*(VLOOKUP($A73,CURVES!$D$9:$T$261,8))*(INDEX(DailyScalarsTable,CK$5/100,MONTH($A73)))*$E73</f>
        <v>0</v>
      </c>
      <c r="CL73" s="1021">
        <f>(VLOOKUP(YEAR($A73),'NY East Load Projections'!$A$4:$EO$14,((MONTH($A73)-1)*12)+VLOOKUP(CL$4,$DE$6:$DF$17,2)+1))*(VLOOKUP($A73,SatSunCurve,8))*(INDEX(DailyScalarsTable,CL$5/100,MONTH($A73)))*$E73</f>
        <v>0</v>
      </c>
      <c r="CM73" s="1021">
        <f>(VLOOKUP(YEAR($A73),'NY East Load Projections'!$A$4:$EO$14,((MONTH($A73)-1)*12)+VLOOKUP(CM$4,$DE$6:$DF$17,2)+1))*(VLOOKUP($A73,SatSunCurve,8))*(INDEX(DailyScalarsTable,CM$5/100,MONTH($A73)))*$E73</f>
        <v>0</v>
      </c>
      <c r="CN73" s="1021">
        <f>(VLOOKUP(YEAR($A73),'NY East Load Projections'!$A$4:$EO$14,((MONTH($A73)-1)*12)+VLOOKUP(CN$4,$DE$6:$DF$17,2)+1))*(VLOOKUP($A73,SatSunCurve,8))*(INDEX(DailyScalarsTable,CN$5/100,MONTH($A73)))*$E73</f>
        <v>0</v>
      </c>
      <c r="CO73" s="1021">
        <f>(VLOOKUP(YEAR($A73),'NY East Load Projections'!$A$4:$EO$14,((MONTH($A73)-1)*12)+VLOOKUP(CO$4,$DE$6:$DF$17,2)+1))*(VLOOKUP($A73,SatSunCurve,8))*(INDEX(DailyScalarsTable,CO$5/100,MONTH($A73)))*$E73</f>
        <v>0</v>
      </c>
      <c r="CP73" s="1021">
        <f>(VLOOKUP(YEAR($A73),'NY East Load Projections'!$A$4:$EO$14,((MONTH($A73)-1)*12)+VLOOKUP(CP$4,$DE$6:$DF$17,2)+1))*(VLOOKUP($A73,SatSunCurve,8))*(INDEX(DailyScalarsTable,CP$5/100,MONTH($A73)))*$E73</f>
        <v>0</v>
      </c>
      <c r="CQ73" s="1021">
        <f>(VLOOKUP(YEAR($A73),'NY East Load Projections'!$A$4:$EO$14,((MONTH($A73)-1)*12)+VLOOKUP(CQ$4,$DE$6:$DF$17,2)+1))*(VLOOKUP($A73,SatSunCurve,8))*(INDEX(DailyScalarsTable,CQ$5/100,MONTH($A73)))*$E73</f>
        <v>0</v>
      </c>
      <c r="CR73" s="1021">
        <f>(VLOOKUP(YEAR($A73),'NY East Load Projections'!$A$4:$EO$14,((MONTH($A73)-1)*12)+VLOOKUP(CR$4,$DE$6:$DF$17,2)+1))*(VLOOKUP($A73,SatSunCurve,8))*(INDEX(DailyScalarsTable,CR$5/100,MONTH($A73)))*$E73</f>
        <v>0</v>
      </c>
      <c r="CS73" s="1021">
        <f>(VLOOKUP(YEAR($A73),'NY East Load Projections'!$A$4:$EO$14,((MONTH($A73)-1)*12)+VLOOKUP(CS$4,$DE$6:$DF$17,2)+1))*(VLOOKUP($A73,SatSunCurve,8))*(INDEX(DailyScalarsTable,CS$5/100,MONTH($A73)))*$E73</f>
        <v>0</v>
      </c>
      <c r="CT73" s="1021">
        <f>(VLOOKUP(YEAR($A73),'NY East Load Projections'!$A$4:$EO$14,((MONTH($A73)-1)*12)+VLOOKUP(CT$4,$DE$6:$DF$17,2)+1))*(VLOOKUP($A73,SatSunCurve,8))*(INDEX(DailyScalarsTable,CT$5/100,MONTH($A73)))*$E73</f>
        <v>0</v>
      </c>
      <c r="CU73" s="1021">
        <f>(VLOOKUP(YEAR($A73),'NY East Load Projections'!$A$4:$EO$14,((MONTH($A73)-1)*12)+VLOOKUP(CU$4,$DE$6:$DF$17,2)+1))*(VLOOKUP($A73,SatSunCurve,8))*(INDEX(DailyScalarsTable,CU$5/100,MONTH($A73)))*$E73</f>
        <v>0</v>
      </c>
      <c r="CV73" s="1021">
        <f>(VLOOKUP(YEAR($A73),'NY East Load Projections'!$A$4:$EO$14,((MONTH($A73)-1)*12)+VLOOKUP(CV$4,$DE$6:$DF$17,2)+1))*(VLOOKUP($A73,SatSunCurve,8))*(INDEX(DailyScalarsTable,CV$5/100,MONTH($A73)))*$E73</f>
        <v>0</v>
      </c>
      <c r="CW73" s="1021">
        <f>(VLOOKUP(YEAR($A73),'NY East Load Projections'!$A$4:$EO$14,((MONTH($A73)-1)*12)+VLOOKUP(CW$4,$DE$6:$DF$17,2)+1))*(VLOOKUP($A73,SatSunCurve,8))*(INDEX(DailyScalarsTable,CW$5/100,MONTH($A73)))*$E73</f>
        <v>0</v>
      </c>
      <c r="CX73" s="1021">
        <f>(VLOOKUP(YEAR($A73),'NY East Load Projections'!$A$4:$EO$14,((MONTH($A73)-1)*12)+VLOOKUP(CX$4,$DE$6:$DF$17,2)+1))*(VLOOKUP($A73,SatSunCurve,8))*(INDEX(DailyScalarsTable,CX$5/100,MONTH($A73)))*$E73</f>
        <v>0</v>
      </c>
      <c r="CY73" s="1021">
        <f>(VLOOKUP(YEAR($A73),'NY East Load Projections'!$A$4:$EO$14,((MONTH($A73)-1)*12)+VLOOKUP(CY$4,$DE$6:$DF$17,2)+1))*(VLOOKUP($A73,SatSunCurve,8))*(INDEX(DailyScalarsTable,CY$5/100,MONTH($A73)))*$E73</f>
        <v>0</v>
      </c>
      <c r="CZ73" s="1021">
        <f>(VLOOKUP(YEAR($A73),'NY East Load Projections'!$A$4:$EO$14,((MONTH($A73)-1)*12)+VLOOKUP(CZ$4,$DE$6:$DF$17,2)+1))*(VLOOKUP($A73,SatSunCurve,8))*(INDEX(DailyScalarsTable,CZ$5/100,MONTH($A73)))*$E73</f>
        <v>0</v>
      </c>
      <c r="DA73" s="1021">
        <f>(VLOOKUP(YEAR($A73),'NY East Load Projections'!$A$4:$EO$14,((MONTH($A73)-1)*12)+VLOOKUP(DA$4,$DE$6:$DF$17,2)+1))*(VLOOKUP($A73,SatSunCurve,8))*(INDEX(DailyScalarsTable,DA$5/100,MONTH($A73)))*$E73</f>
        <v>0</v>
      </c>
      <c r="DB73" s="1021">
        <f>(VLOOKUP(YEAR($A73),'NY East Load Projections'!$A$4:$EO$14,((MONTH($A73)-1)*12)+VLOOKUP(DB$4,$DE$6:$DF$17,2)+1))*(VLOOKUP($A73,CURVES!$D$9:$T$261,8))*(INDEX(DailyScalarsTable,DB$5/100,MONTH($A73)))*$E73</f>
        <v>0</v>
      </c>
      <c r="DH73" s="1021">
        <f t="shared" si="2"/>
        <v>-4270926.1374903768</v>
      </c>
      <c r="DI73">
        <f ca="1">CALC!J93</f>
        <v>0.62321691786190325</v>
      </c>
      <c r="DJ73" s="1029">
        <f t="shared" ca="1" si="3"/>
        <v>-2661713.4238225957</v>
      </c>
    </row>
    <row r="74" spans="1:114" x14ac:dyDescent="0.25">
      <c r="A74" s="244">
        <v>38961</v>
      </c>
      <c r="B74" s="13">
        <v>20</v>
      </c>
      <c r="C74" s="210">
        <v>5</v>
      </c>
      <c r="D74" s="210">
        <v>4</v>
      </c>
      <c r="E74" s="210">
        <v>1</v>
      </c>
      <c r="F74" s="13">
        <v>30</v>
      </c>
      <c r="H74" s="1021">
        <f>(VLOOKUP(YEAR($A74),'NY East Load Projections'!$A$4:$EO$14,((MONTH($A74)-1)*12)+VLOOKUP(H$4,$DE$6:$DF$17,2)+1))*(VLOOKUP($A74,CURVES!$D$9:$K$261,8))*(INDEX(DailyScalarsTable,H$5/100,MONTH($A74)))*$B74</f>
        <v>-40967.744189116165</v>
      </c>
      <c r="I74" s="1021">
        <f>(VLOOKUP(YEAR($A74),'NY East Load Projections'!$A$4:$EO$14,((MONTH($A74)-1)*12)+VLOOKUP(I$4,$DE$6:$DF$17,2)+1))*(VLOOKUP($A74,CURVES!$D$9:$K$261,8))*(INDEX(DailyScalarsTable,I$5/100,MONTH($A74)))*$B74</f>
        <v>-35941.729344477324</v>
      </c>
      <c r="J74" s="1021">
        <f>(VLOOKUP(YEAR($A74),'NY East Load Projections'!$A$4:$EO$14,((MONTH($A74)-1)*12)+VLOOKUP(J$4,$DE$6:$DF$17,2)+1))*(VLOOKUP($A74,CURVES!$D$9:$K$261,8))*(INDEX(DailyScalarsTable,J$5/100,MONTH($A74)))*$B74</f>
        <v>-33704.476359803732</v>
      </c>
      <c r="K74" s="1021">
        <f>(VLOOKUP(YEAR($A74),'NY East Load Projections'!$A$4:$EO$14,((MONTH($A74)-1)*12)+VLOOKUP(K$4,$DE$6:$DF$17,2)+1))*(VLOOKUP($A74,CURVES!$D$9:$K$261,8))*(INDEX(DailyScalarsTable,K$5/100,MONTH($A74)))*$B74</f>
        <v>-34203.95609591691</v>
      </c>
      <c r="L74" s="1021">
        <f>(VLOOKUP(YEAR($A74),'NY East Load Projections'!$A$4:$EO$14,((MONTH($A74)-1)*12)+VLOOKUP(L$4,$DE$6:$DF$17,2)+1))*(VLOOKUP($A74,CURVES!$D$9:$K$261,8))*(INDEX(DailyScalarsTable,L$5/100,MONTH($A74)))*$B74</f>
        <v>-40195.972512869892</v>
      </c>
      <c r="M74" s="1021">
        <f>(VLOOKUP(YEAR($A74),'NY East Load Projections'!$A$4:$EO$14,((MONTH($A74)-1)*12)+VLOOKUP(M$4,$DE$6:$DF$17,2)+1))*(VLOOKUP($A74,CURVES!$D$9:$K$261,8))*(INDEX(DailyScalarsTable,M$5/100,MONTH($A74)))*$B74</f>
        <v>-46515.880279052304</v>
      </c>
      <c r="N74" s="1021">
        <f>(VLOOKUP(YEAR($A74),'NY East Load Projections'!$A$4:$EO$14,((MONTH($A74)-1)*12)+VLOOKUP(N$4,$DE$6:$DF$17,2)+1))*(VLOOKUP($A74,CURVES!$D$9:$K$261,8))*(INDEX(DailyScalarsTable,N$5/100,MONTH($A74)))*$B74</f>
        <v>-63255.707659729029</v>
      </c>
      <c r="O74" s="1021">
        <f>(VLOOKUP(YEAR($A74),'NY East Load Projections'!$A$4:$EO$14,((MONTH($A74)-1)*12)+VLOOKUP(O$4,$DE$6:$DF$17,2)+1))*(VLOOKUP($A74,CURVES!$D$9:$K$261,4))*(INDEX(DailyScalarsTable,O$5/100,MONTH($A74)))*$B74</f>
        <v>-57608.397517473393</v>
      </c>
      <c r="P74" s="1021">
        <f>(VLOOKUP(YEAR($A74),'NY East Load Projections'!$A$4:$EO$14,((MONTH($A74)-1)*12)+VLOOKUP(P$4,$DE$6:$DF$17,2)+1))*(VLOOKUP($A74,CURVES!$D$9:$K$261,4))*(INDEX(DailyScalarsTable,P$5/100,MONTH($A74)))*$B74</f>
        <v>-63150.490662714699</v>
      </c>
      <c r="Q74" s="1021">
        <f>(VLOOKUP(YEAR($A74),'NY East Load Projections'!$A$4:$EO$14,((MONTH($A74)-1)*12)+VLOOKUP(Q$4,$DE$6:$DF$17,2)+1))*(VLOOKUP($A74,CURVES!$D$9:$K$261,4))*(INDEX(DailyScalarsTable,Q$5/100,MONTH($A74)))*$B74</f>
        <v>-78831.584160608749</v>
      </c>
      <c r="R74" s="1021">
        <f>(VLOOKUP(YEAR($A74),'NY East Load Projections'!$A$4:$EO$14,((MONTH($A74)-1)*12)+VLOOKUP(R$4,$DE$6:$DF$17,2)+1))*(VLOOKUP($A74,CURVES!$D$9:$K$261,4))*(INDEX(DailyScalarsTable,R$5/100,MONTH($A74)))*$B74</f>
        <v>-84188.47945492038</v>
      </c>
      <c r="S74" s="1021">
        <f>(VLOOKUP(YEAR($A74),'NY East Load Projections'!$A$4:$EO$14,((MONTH($A74)-1)*12)+VLOOKUP(S$4,$DE$6:$DF$17,2)+1))*(VLOOKUP($A74,CURVES!$D$9:$K$261,4))*(INDEX(DailyScalarsTable,S$5/100,MONTH($A74)))*$B74</f>
        <v>-89703.646655654884</v>
      </c>
      <c r="T74" s="1021">
        <f>(VLOOKUP(YEAR($A74),'NY East Load Projections'!$A$4:$EO$14,((MONTH($A74)-1)*12)+VLOOKUP(T$4,$DE$6:$DF$17,2)+1))*(VLOOKUP($A74,CURVES!$D$9:$K$261,4))*(INDEX(DailyScalarsTable,T$5/100,MONTH($A74)))*$B74</f>
        <v>-87314.406936107858</v>
      </c>
      <c r="U74" s="1021">
        <f>(VLOOKUP(YEAR($A74),'NY East Load Projections'!$A$4:$EO$14,((MONTH($A74)-1)*12)+VLOOKUP(U$4,$DE$6:$DF$17,2)+1))*(VLOOKUP($A74,CURVES!$D$9:$K$261,4))*(INDEX(DailyScalarsTable,U$5/100,MONTH($A74)))*$B74</f>
        <v>-94520.634004898151</v>
      </c>
      <c r="V74" s="1021">
        <f>(VLOOKUP(YEAR($A74),'NY East Load Projections'!$A$4:$EO$14,((MONTH($A74)-1)*12)+VLOOKUP(V$4,$DE$6:$DF$17,2)+1))*(VLOOKUP($A74,CURVES!$D$9:$K$261,4))*(INDEX(DailyScalarsTable,V$5/100,MONTH($A74)))*$B74</f>
        <v>-93029.258315878993</v>
      </c>
      <c r="W74" s="1021">
        <f>(VLOOKUP(YEAR($A74),'NY East Load Projections'!$A$4:$EO$14,((MONTH($A74)-1)*12)+VLOOKUP(W$4,$DE$6:$DF$17,2)+1))*(VLOOKUP($A74,CURVES!$D$9:$K$261,4))*(INDEX(DailyScalarsTable,W$5/100,MONTH($A74)))*$B74</f>
        <v>-90121.702350732288</v>
      </c>
      <c r="X74" s="1021">
        <f>(VLOOKUP(YEAR($A74),'NY East Load Projections'!$A$4:$EO$14,((MONTH($A74)-1)*12)+VLOOKUP(X$4,$DE$6:$DF$17,2)+1))*(VLOOKUP($A74,CURVES!$D$9:$K$261,4))*(INDEX(DailyScalarsTable,X$5/100,MONTH($A74)))*$B74</f>
        <v>-91344.388424367789</v>
      </c>
      <c r="Y74" s="1021">
        <f>(VLOOKUP(YEAR($A74),'NY East Load Projections'!$A$4:$EO$14,((MONTH($A74)-1)*12)+VLOOKUP(Y$4,$DE$6:$DF$17,2)+1))*(VLOOKUP($A74,CURVES!$D$9:$K$261,4))*(INDEX(DailyScalarsTable,Y$5/100,MONTH($A74)))*$B74</f>
        <v>-89103.531897494977</v>
      </c>
      <c r="Z74" s="1021">
        <f>(VLOOKUP(YEAR($A74),'NY East Load Projections'!$A$4:$EO$14,((MONTH($A74)-1)*12)+VLOOKUP(Z$4,$DE$6:$DF$17,2)+1))*(VLOOKUP($A74,CURVES!$D$9:$K$261,4))*(INDEX(DailyScalarsTable,Z$5/100,MONTH($A74)))*$B74</f>
        <v>-72981.158885731144</v>
      </c>
      <c r="AA74" s="1021">
        <f>(VLOOKUP(YEAR($A74),'NY East Load Projections'!$A$4:$EO$14,((MONTH($A74)-1)*12)+VLOOKUP(AA$4,$DE$6:$DF$17,2)+1))*(VLOOKUP($A74,CURVES!$D$9:$K$261,4))*(INDEX(DailyScalarsTable,AA$5/100,MONTH($A74)))*$B74</f>
        <v>-95377.930172738837</v>
      </c>
      <c r="AB74" s="1021">
        <f>(VLOOKUP(YEAR($A74),'NY East Load Projections'!$A$4:$EO$14,((MONTH($A74)-1)*12)+VLOOKUP(AB$4,$DE$6:$DF$17,2)+1))*(VLOOKUP($A74,CURVES!$D$9:$K$261,4))*(INDEX(DailyScalarsTable,AB$5/100,MONTH($A74)))*$B74</f>
        <v>-84891.05076308889</v>
      </c>
      <c r="AC74" s="1021">
        <f>(VLOOKUP(YEAR($A74),'NY East Load Projections'!$A$4:$EO$14,((MONTH($A74)-1)*12)+VLOOKUP(AC$4,$DE$6:$DF$17,2)+1))*(VLOOKUP($A74,CURVES!$D$9:$K$261,4))*(INDEX(DailyScalarsTable,AC$5/100,MONTH($A74)))*$B74</f>
        <v>-64610.480872667336</v>
      </c>
      <c r="AD74" s="1021">
        <f>(VLOOKUP(YEAR($A74),'NY East Load Projections'!$A$4:$EO$14,((MONTH($A74)-1)*12)+VLOOKUP(AD$4,$DE$6:$DF$17,2)+1))*(VLOOKUP($A74,CURVES!$D$9:$K$261,4))*(INDEX(DailyScalarsTable,AD$5/100,MONTH($A74)))*$B74</f>
        <v>-51201.151294195632</v>
      </c>
      <c r="AE74" s="1021">
        <f>(VLOOKUP(YEAR($A74),'NY East Load Projections'!$A$4:$EO$14,((MONTH($A74)-1)*12)+VLOOKUP(AE$4,$DE$6:$DF$17,2)+1))*(VLOOKUP($A74,CURVES!$D$9:$K$261,8))*(INDEX(DailyScalarsTable,AE$5/100,MONTH($A74)))*$B74</f>
        <v>-48254.896352369979</v>
      </c>
      <c r="AF74" s="1021"/>
      <c r="AG74" s="1021">
        <f>(VLOOKUP(YEAR($A74),'NY East Load Projections'!$A$4:$EO$14,((MONTH($A74)-1)*12)+VLOOKUP(AG$4,$DE$6:$DF$17,2)+1))*(VLOOKUP($A74,CURVES!$D$9:$T$261,8))*(INDEX(DailyScalarsTable,AG$5/100,MONTH($A74)))*$C74</f>
        <v>-10590.778292613482</v>
      </c>
      <c r="AH74" s="1021">
        <f>(VLOOKUP(YEAR($A74),'NY East Load Projections'!$A$4:$EO$14,((MONTH($A74)-1)*12)+VLOOKUP(AH$4,$DE$6:$DF$17,2)+1))*(VLOOKUP($A74,CURVES!$D$9:$T$261,8))*(INDEX(DailyScalarsTable,AH$5/100,MONTH($A74)))*$C74</f>
        <v>-9291.477831518152</v>
      </c>
      <c r="AI74" s="1021">
        <f>(VLOOKUP(YEAR($A74),'NY East Load Projections'!$A$4:$EO$14,((MONTH($A74)-1)*12)+VLOOKUP(AI$4,$DE$6:$DF$17,2)+1))*(VLOOKUP($A74,CURVES!$D$9:$T$261,8))*(INDEX(DailyScalarsTable,AI$5/100,MONTH($A74)))*$C74</f>
        <v>-8713.1142722314125</v>
      </c>
      <c r="AJ74" s="1021">
        <f>(VLOOKUP(YEAR($A74),'NY East Load Projections'!$A$4:$EO$14,((MONTH($A74)-1)*12)+VLOOKUP(AJ$4,$DE$6:$DF$17,2)+1))*(VLOOKUP($A74,CURVES!$D$9:$T$261,8))*(INDEX(DailyScalarsTable,AJ$5/100,MONTH($A74)))*$C74</f>
        <v>-8842.2372994210127</v>
      </c>
      <c r="AK74" s="1021">
        <f>(VLOOKUP(YEAR($A74),'NY East Load Projections'!$A$4:$EO$14,((MONTH($A74)-1)*12)+VLOOKUP(AK$4,$DE$6:$DF$17,2)+1))*(VLOOKUP($A74,CURVES!$D$9:$T$261,8))*(INDEX(DailyScalarsTable,AK$5/100,MONTH($A74)))*$C74</f>
        <v>-9615.5160201243252</v>
      </c>
      <c r="AL74" s="1021">
        <f>(VLOOKUP(YEAR($A74),'NY East Load Projections'!$A$4:$EO$14,((MONTH($A74)-1)*12)+VLOOKUP(AL$4,$DE$6:$DF$17,2)+1))*(VLOOKUP($A74,CURVES!$D$9:$T$261,8))*(INDEX(DailyScalarsTable,AL$5/100,MONTH($A74)))*$C74</f>
        <v>-11127.338488208115</v>
      </c>
      <c r="AM74" s="1021">
        <f>(VLOOKUP(YEAR($A74),'NY East Load Projections'!$A$4:$EO$14,((MONTH($A74)-1)*12)+VLOOKUP(AM$4,$DE$6:$DF$17,2)+1))*(VLOOKUP($A74,CURVES!$D$9:$T$261,8))*(INDEX(DailyScalarsTable,AM$5/100,MONTH($A74)))*$C74</f>
        <v>-15131.771477146902</v>
      </c>
      <c r="AN74" s="1021">
        <f>(VLOOKUP(YEAR($A74),'NY East Load Projections'!$A$4:$EO$14,((MONTH($A74)-1)*12)+VLOOKUP(AN$4,$DE$6:$DF$17,2)+1))*(VLOOKUP($A74,SatSunCurve,4))*(INDEX(DailyScalarsTable,AN$5/100,MONTH($A74)))*$C74</f>
        <v>-9877.2837625876145</v>
      </c>
      <c r="AO74" s="1021">
        <f>(VLOOKUP(YEAR($A74),'NY East Load Projections'!$A$4:$EO$14,((MONTH($A74)-1)*12)+VLOOKUP(AO$4,$DE$6:$DF$17,2)+1))*(VLOOKUP($A74,SatSunCurve,4))*(INDEX(DailyScalarsTable,AO$5/100,MONTH($A74)))*$C74</f>
        <v>-10816.158936040465</v>
      </c>
      <c r="AP74" s="1021">
        <f>(VLOOKUP(YEAR($A74),'NY East Load Projections'!$A$4:$EO$14,((MONTH($A74)-1)*12)+VLOOKUP(AP$4,$DE$6:$DF$17,2)+1))*(VLOOKUP($A74,SatSunCurve,4))*(INDEX(DailyScalarsTable,AP$5/100,MONTH($A74)))*$C74</f>
        <v>-13501.952787904758</v>
      </c>
      <c r="AQ74" s="1021">
        <f>(VLOOKUP(YEAR($A74),'NY East Load Projections'!$A$4:$EO$14,((MONTH($A74)-1)*12)+VLOOKUP(AQ$4,$DE$6:$DF$17,2)+1))*(VLOOKUP($A74,SatSunCurve,4))*(INDEX(DailyScalarsTable,AQ$5/100,MONTH($A74)))*$C74</f>
        <v>-14419.460004380142</v>
      </c>
      <c r="AR74" s="1021">
        <f>(VLOOKUP(YEAR($A74),'NY East Load Projections'!$A$4:$EO$14,((MONTH($A74)-1)*12)+VLOOKUP(AR$4,$DE$6:$DF$17,2)+1))*(VLOOKUP($A74,SatSunCurve,4))*(INDEX(DailyScalarsTable,AR$5/100,MONTH($A74)))*$C74</f>
        <v>-15364.075388615023</v>
      </c>
      <c r="AS74" s="1021">
        <f>(VLOOKUP(YEAR($A74),'NY East Load Projections'!$A$4:$EO$14,((MONTH($A74)-1)*12)+VLOOKUP(AS$4,$DE$6:$DF$17,2)+1))*(VLOOKUP($A74,SatSunCurve,4))*(INDEX(DailyScalarsTable,AS$5/100,MONTH($A74)))*$C74</f>
        <v>-14917.582362871279</v>
      </c>
      <c r="AT74" s="1021">
        <f>(VLOOKUP(YEAR($A74),'NY East Load Projections'!$A$4:$EO$14,((MONTH($A74)-1)*12)+VLOOKUP(AT$4,$DE$6:$DF$17,2)+1))*(VLOOKUP($A74,SatSunCurve,4))*(INDEX(DailyScalarsTable,AT$5/100,MONTH($A74)))*$C74</f>
        <v>-16148.75931976104</v>
      </c>
      <c r="AU74" s="1021">
        <f>(VLOOKUP(YEAR($A74),'NY East Load Projections'!$A$4:$EO$14,((MONTH($A74)-1)*12)+VLOOKUP(AU$4,$DE$6:$DF$17,2)+1))*(VLOOKUP($A74,SatSunCurve,4))*(INDEX(DailyScalarsTable,AU$5/100,MONTH($A74)))*$C74</f>
        <v>-15893.959219117776</v>
      </c>
      <c r="AV74" s="1021">
        <f>(VLOOKUP(YEAR($A74),'NY East Load Projections'!$A$4:$EO$14,((MONTH($A74)-1)*12)+VLOOKUP(AV$4,$DE$6:$DF$17,2)+1))*(VLOOKUP($A74,SatSunCurve,4))*(INDEX(DailyScalarsTable,AV$5/100,MONTH($A74)))*$C74</f>
        <v>-15397.206081729208</v>
      </c>
      <c r="AW74" s="1021">
        <f>(VLOOKUP(YEAR($A74),'NY East Load Projections'!$A$4:$EO$14,((MONTH($A74)-1)*12)+VLOOKUP(AW$4,$DE$6:$DF$17,2)+1))*(VLOOKUP($A74,SatSunCurve,4))*(INDEX(DailyScalarsTable,AW$5/100,MONTH($A74)))*$C74</f>
        <v>-15527.422813514691</v>
      </c>
      <c r="AX74" s="1021">
        <f>(VLOOKUP(YEAR($A74),'NY East Load Projections'!$A$4:$EO$14,((MONTH($A74)-1)*12)+VLOOKUP(AX$4,$DE$6:$DF$17,2)+1))*(VLOOKUP($A74,SatSunCurve,4))*(INDEX(DailyScalarsTable,AX$5/100,MONTH($A74)))*$C74</f>
        <v>-15146.504758696381</v>
      </c>
      <c r="AY74" s="1021">
        <f>(VLOOKUP(YEAR($A74),'NY East Load Projections'!$A$4:$EO$14,((MONTH($A74)-1)*12)+VLOOKUP(AY$4,$DE$6:$DF$17,2)+1))*(VLOOKUP($A74,SatSunCurve,4))*(INDEX(DailyScalarsTable,AY$5/100,MONTH($A74)))*$C74</f>
        <v>-12405.89959587203</v>
      </c>
      <c r="AZ74" s="1021">
        <f>(VLOOKUP(YEAR($A74),'NY East Load Projections'!$A$4:$EO$14,((MONTH($A74)-1)*12)+VLOOKUP(AZ$4,$DE$6:$DF$17,2)+1))*(VLOOKUP($A74,SatSunCurve,4))*(INDEX(DailyScalarsTable,AZ$5/100,MONTH($A74)))*$C74</f>
        <v>-16213.075312187641</v>
      </c>
      <c r="BA74" s="1021">
        <f>(VLOOKUP(YEAR($A74),'NY East Load Projections'!$A$4:$EO$14,((MONTH($A74)-1)*12)+VLOOKUP(BA$4,$DE$6:$DF$17,2)+1))*(VLOOKUP($A74,SatSunCurve,4))*(INDEX(DailyScalarsTable,BA$5/100,MONTH($A74)))*$C74</f>
        <v>-15668.051343221894</v>
      </c>
      <c r="BB74" s="1021">
        <f>(VLOOKUP(YEAR($A74),'NY East Load Projections'!$A$4:$EO$14,((MONTH($A74)-1)*12)+VLOOKUP(BB$4,$DE$6:$DF$17,2)+1))*(VLOOKUP($A74,SatSunCurve,4))*(INDEX(DailyScalarsTable,BB$5/100,MONTH($A74)))*$C74</f>
        <v>-11924.935815064391</v>
      </c>
      <c r="BC74" s="1021">
        <f>(VLOOKUP(YEAR($A74),'NY East Load Projections'!$A$4:$EO$14,((MONTH($A74)-1)*12)+VLOOKUP(BC$4,$DE$6:$DF$17,2)+1))*(VLOOKUP($A74,SatSunCurve,4))*(INDEX(DailyScalarsTable,BC$5/100,MONTH($A74)))*$C74</f>
        <v>-9450.0216465495814</v>
      </c>
      <c r="BD74" s="1021">
        <f>(VLOOKUP(YEAR($A74),'NY East Load Projections'!$A$4:$EO$14,((MONTH($A74)-1)*12)+VLOOKUP(BD$4,$DE$6:$DF$17,2)+1))*(VLOOKUP($A74,CURVES!$D$9:$T$261,8))*(INDEX(DailyScalarsTable,BD$5/100,MONTH($A74)))*$C74</f>
        <v>-12426.041025506078</v>
      </c>
      <c r="BE74" s="1021"/>
      <c r="BF74" s="1021">
        <f>(VLOOKUP(YEAR($A74),'NY East Load Projections'!$A$4:$EO$14,((MONTH($A74)-1)*12)+VLOOKUP(BF$4,$DE$6:$DF$17,2)+1))*(VLOOKUP($A74,CURVES!$D$9:$T$261,8))*(INDEX(DailyScalarsTable,BF$5/100,MONTH($A74)))*$D74</f>
        <v>-8472.6226340907851</v>
      </c>
      <c r="BG74" s="1021">
        <f>(VLOOKUP(YEAR($A74),'NY East Load Projections'!$A$4:$EO$14,((MONTH($A74)-1)*12)+VLOOKUP(BG$4,$DE$6:$DF$17,2)+1))*(VLOOKUP($A74,CURVES!$D$9:$T$261,8))*(INDEX(DailyScalarsTable,BG$5/100,MONTH($A74)))*$D74</f>
        <v>-7433.1822652145211</v>
      </c>
      <c r="BH74" s="1021">
        <f>(VLOOKUP(YEAR($A74),'NY East Load Projections'!$A$4:$EO$14,((MONTH($A74)-1)*12)+VLOOKUP(BH$4,$DE$6:$DF$17,2)+1))*(VLOOKUP($A74,CURVES!$D$9:$T$261,8))*(INDEX(DailyScalarsTable,BH$5/100,MONTH($A74)))*$D74</f>
        <v>-6970.4914177851306</v>
      </c>
      <c r="BI74" s="1021">
        <f>(VLOOKUP(YEAR($A74),'NY East Load Projections'!$A$4:$EO$14,((MONTH($A74)-1)*12)+VLOOKUP(BI$4,$DE$6:$DF$17,2)+1))*(VLOOKUP($A74,CURVES!$D$9:$T$261,8))*(INDEX(DailyScalarsTable,BI$5/100,MONTH($A74)))*$D74</f>
        <v>-7073.7898395368102</v>
      </c>
      <c r="BJ74" s="1021">
        <f>(VLOOKUP(YEAR($A74),'NY East Load Projections'!$A$4:$EO$14,((MONTH($A74)-1)*12)+VLOOKUP(BJ$4,$DE$6:$DF$17,2)+1))*(VLOOKUP($A74,CURVES!$D$9:$T$261,8))*(INDEX(DailyScalarsTable,BJ$5/100,MONTH($A74)))*$D74</f>
        <v>-7692.4128160994605</v>
      </c>
      <c r="BK74" s="1021">
        <f>(VLOOKUP(YEAR($A74),'NY East Load Projections'!$A$4:$EO$14,((MONTH($A74)-1)*12)+VLOOKUP(BK$4,$DE$6:$DF$17,2)+1))*(VLOOKUP($A74,CURVES!$D$9:$T$261,8))*(INDEX(DailyScalarsTable,BK$5/100,MONTH($A74)))*$D74</f>
        <v>-8901.8707905664924</v>
      </c>
      <c r="BL74" s="1021">
        <f>(VLOOKUP(YEAR($A74),'NY East Load Projections'!$A$4:$EO$14,((MONTH($A74)-1)*12)+VLOOKUP(BL$4,$DE$6:$DF$17,2)+1))*(VLOOKUP($A74,CURVES!$D$9:$T$261,8))*(INDEX(DailyScalarsTable,BL$5/100,MONTH($A74)))*$D74</f>
        <v>-12105.417181717521</v>
      </c>
      <c r="BM74" s="1021">
        <f>(VLOOKUP(YEAR($A74),'NY East Load Projections'!$A$4:$EO$14,((MONTH($A74)-1)*12)+VLOOKUP(BM$4,$DE$6:$DF$17,2)+1))*(VLOOKUP($A74,SatSunCurve,8))*(INDEX(DailyScalarsTable,BM$5/100,MONTH($A74)))*$D74</f>
        <v>-8839.1675801285874</v>
      </c>
      <c r="BN74" s="1021">
        <f>(VLOOKUP(YEAR($A74),'NY East Load Projections'!$A$4:$EO$14,((MONTH($A74)-1)*12)+VLOOKUP(BN$4,$DE$6:$DF$17,2)+1))*(VLOOKUP($A74,SatSunCurve,8))*(INDEX(DailyScalarsTable,BN$5/100,MONTH($A74)))*$D74</f>
        <v>-9679.3656745081225</v>
      </c>
      <c r="BO74" s="1021">
        <f>(VLOOKUP(YEAR($A74),'NY East Load Projections'!$A$4:$EO$14,((MONTH($A74)-1)*12)+VLOOKUP(BO$4,$DE$6:$DF$17,2)+1))*(VLOOKUP($A74,SatSunCurve,8))*(INDEX(DailyScalarsTable,BO$5/100,MONTH($A74)))*$D74</f>
        <v>-12082.878878434562</v>
      </c>
      <c r="BP74" s="1021">
        <f>(VLOOKUP(YEAR($A74),'NY East Load Projections'!$A$4:$EO$14,((MONTH($A74)-1)*12)+VLOOKUP(BP$4,$DE$6:$DF$17,2)+1))*(VLOOKUP($A74,SatSunCurve,8))*(INDEX(DailyScalarsTable,BP$5/100,MONTH($A74)))*$D74</f>
        <v>-12903.954817664093</v>
      </c>
      <c r="BQ74" s="1021">
        <f>(VLOOKUP(YEAR($A74),'NY East Load Projections'!$A$4:$EO$14,((MONTH($A74)-1)*12)+VLOOKUP(BQ$4,$DE$6:$DF$17,2)+1))*(VLOOKUP($A74,SatSunCurve,8))*(INDEX(DailyScalarsTable,BQ$5/100,MONTH($A74)))*$D74</f>
        <v>-13749.289818734496</v>
      </c>
      <c r="BR74" s="1021">
        <f>(VLOOKUP(YEAR($A74),'NY East Load Projections'!$A$4:$EO$14,((MONTH($A74)-1)*12)+VLOOKUP(BR$4,$DE$6:$DF$17,2)+1))*(VLOOKUP($A74,SatSunCurve,8))*(INDEX(DailyScalarsTable,BR$5/100,MONTH($A74)))*$D74</f>
        <v>-13349.723827438758</v>
      </c>
      <c r="BS74" s="1021">
        <f>(VLOOKUP(YEAR($A74),'NY East Load Projections'!$A$4:$EO$14,((MONTH($A74)-1)*12)+VLOOKUP(BS$4,$DE$6:$DF$17,2)+1))*(VLOOKUP($A74,SatSunCurve,8))*(INDEX(DailyScalarsTable,BS$5/100,MONTH($A74)))*$D74</f>
        <v>-14451.502383600273</v>
      </c>
      <c r="BT74" s="1021">
        <f>(VLOOKUP(YEAR($A74),'NY East Load Projections'!$A$4:$EO$14,((MONTH($A74)-1)*12)+VLOOKUP(BT$4,$DE$6:$DF$17,2)+1))*(VLOOKUP($A74,SatSunCurve,8))*(INDEX(DailyScalarsTable,BT$5/100,MONTH($A74)))*$D74</f>
        <v>-14223.482125890332</v>
      </c>
      <c r="BU74" s="1021">
        <f>(VLOOKUP(YEAR($A74),'NY East Load Projections'!$A$4:$EO$14,((MONTH($A74)-1)*12)+VLOOKUP(BU$4,$DE$6:$DF$17,2)+1))*(VLOOKUP($A74,SatSunCurve,8))*(INDEX(DailyScalarsTable,BU$5/100,MONTH($A74)))*$D74</f>
        <v>-13778.938430186899</v>
      </c>
      <c r="BV74" s="1021">
        <f>(VLOOKUP(YEAR($A74),'NY East Load Projections'!$A$4:$EO$14,((MONTH($A74)-1)*12)+VLOOKUP(BV$4,$DE$6:$DF$17,2)+1))*(VLOOKUP($A74,SatSunCurve,8))*(INDEX(DailyScalarsTable,BV$5/100,MONTH($A74)))*$D74</f>
        <v>-13895.469203388764</v>
      </c>
      <c r="BW74" s="1021">
        <f>(VLOOKUP(YEAR($A74),'NY East Load Projections'!$A$4:$EO$14,((MONTH($A74)-1)*12)+VLOOKUP(BW$4,$DE$6:$DF$17,2)+1))*(VLOOKUP($A74,SatSunCurve,8))*(INDEX(DailyScalarsTable,BW$5/100,MONTH($A74)))*$D74</f>
        <v>-13554.586162892459</v>
      </c>
      <c r="BX74" s="1021">
        <f>(VLOOKUP(YEAR($A74),'NY East Load Projections'!$A$4:$EO$14,((MONTH($A74)-1)*12)+VLOOKUP(BX$4,$DE$6:$DF$17,2)+1))*(VLOOKUP($A74,SatSunCurve,8))*(INDEX(DailyScalarsTable,BX$5/100,MONTH($A74)))*$D74</f>
        <v>-11102.022392584846</v>
      </c>
      <c r="BY74" s="1021">
        <f>(VLOOKUP(YEAR($A74),'NY East Load Projections'!$A$4:$EO$14,((MONTH($A74)-1)*12)+VLOOKUP(BY$4,$DE$6:$DF$17,2)+1))*(VLOOKUP($A74,SatSunCurve,8))*(INDEX(DailyScalarsTable,BY$5/100,MONTH($A74)))*$D74</f>
        <v>-14509.058676282108</v>
      </c>
      <c r="BZ74" s="1021">
        <f>(VLOOKUP(YEAR($A74),'NY East Load Projections'!$A$4:$EO$14,((MONTH($A74)-1)*12)+VLOOKUP(BZ$4,$DE$6:$DF$17,2)+1))*(VLOOKUP($A74,SatSunCurve,8))*(INDEX(DailyScalarsTable,BZ$5/100,MONTH($A74)))*$D74</f>
        <v>-14021.317480152598</v>
      </c>
      <c r="CA74" s="1021">
        <f>(VLOOKUP(YEAR($A74),'NY East Load Projections'!$A$4:$EO$14,((MONTH($A74)-1)*12)+VLOOKUP(CA$4,$DE$6:$DF$17,2)+1))*(VLOOKUP($A74,SatSunCurve,8))*(INDEX(DailyScalarsTable,CA$5/100,MONTH($A74)))*$D74</f>
        <v>-10671.608570251043</v>
      </c>
      <c r="CB74" s="1021">
        <f>(VLOOKUP(YEAR($A74),'NY East Load Projections'!$A$4:$EO$14,((MONTH($A74)-1)*12)+VLOOKUP(CB$4,$DE$6:$DF$17,2)+1))*(VLOOKUP($A74,SatSunCurve,8))*(INDEX(DailyScalarsTable,CB$5/100,MONTH($A74)))*$D74</f>
        <v>-8456.8113033346199</v>
      </c>
      <c r="CC74" s="1021">
        <f>(VLOOKUP(YEAR($A74),'NY East Load Projections'!$A$4:$EO$14,((MONTH($A74)-1)*12)+VLOOKUP(CC$4,$DE$6:$DF$17,2)+1))*(VLOOKUP($A74,CURVES!$D$9:$T$261,8))*(INDEX(DailyScalarsTable,CC$5/100,MONTH($A74)))*$D74</f>
        <v>-9940.832820404863</v>
      </c>
      <c r="CE74" s="1021">
        <f>(VLOOKUP(YEAR($A74),'NY East Load Projections'!$A$4:$EO$14,((MONTH($A74)-1)*12)+VLOOKUP(CE$4,$DE$6:$DF$17,2)+1))*(VLOOKUP($A74,CURVES!$D$9:$T$261,8))*(INDEX(DailyScalarsTable,CE$5/100,MONTH($A74)))*$E74</f>
        <v>-2118.1556585226963</v>
      </c>
      <c r="CF74" s="1021">
        <f>(VLOOKUP(YEAR($A74),'NY East Load Projections'!$A$4:$EO$14,((MONTH($A74)-1)*12)+VLOOKUP(CF$4,$DE$6:$DF$17,2)+1))*(VLOOKUP($A74,CURVES!$D$9:$T$261,8))*(INDEX(DailyScalarsTable,CF$5/100,MONTH($A74)))*$E74</f>
        <v>-1858.2955663036303</v>
      </c>
      <c r="CG74" s="1021">
        <f>(VLOOKUP(YEAR($A74),'NY East Load Projections'!$A$4:$EO$14,((MONTH($A74)-1)*12)+VLOOKUP(CG$4,$DE$6:$DF$17,2)+1))*(VLOOKUP($A74,CURVES!$D$9:$T$261,8))*(INDEX(DailyScalarsTable,CG$5/100,MONTH($A74)))*$E74</f>
        <v>-1742.6228544462826</v>
      </c>
      <c r="CH74" s="1021">
        <f>(VLOOKUP(YEAR($A74),'NY East Load Projections'!$A$4:$EO$14,((MONTH($A74)-1)*12)+VLOOKUP(CH$4,$DE$6:$DF$17,2)+1))*(VLOOKUP($A74,CURVES!$D$9:$T$261,8))*(INDEX(DailyScalarsTable,CH$5/100,MONTH($A74)))*$E74</f>
        <v>-1768.4474598842025</v>
      </c>
      <c r="CI74" s="1021">
        <f>(VLOOKUP(YEAR($A74),'NY East Load Projections'!$A$4:$EO$14,((MONTH($A74)-1)*12)+VLOOKUP(CI$4,$DE$6:$DF$17,2)+1))*(VLOOKUP($A74,CURVES!$D$9:$T$261,8))*(INDEX(DailyScalarsTable,CI$5/100,MONTH($A74)))*$E74</f>
        <v>-1923.1032040248651</v>
      </c>
      <c r="CJ74" s="1021">
        <f>(VLOOKUP(YEAR($A74),'NY East Load Projections'!$A$4:$EO$14,((MONTH($A74)-1)*12)+VLOOKUP(CJ$4,$DE$6:$DF$17,2)+1))*(VLOOKUP($A74,CURVES!$D$9:$T$261,8))*(INDEX(DailyScalarsTable,CJ$5/100,MONTH($A74)))*$E74</f>
        <v>-2225.4676976416231</v>
      </c>
      <c r="CK74" s="1021">
        <f>(VLOOKUP(YEAR($A74),'NY East Load Projections'!$A$4:$EO$14,((MONTH($A74)-1)*12)+VLOOKUP(CK$4,$DE$6:$DF$17,2)+1))*(VLOOKUP($A74,CURVES!$D$9:$T$261,8))*(INDEX(DailyScalarsTable,CK$5/100,MONTH($A74)))*$E74</f>
        <v>-3026.3542954293803</v>
      </c>
      <c r="CL74" s="1021">
        <f>(VLOOKUP(YEAR($A74),'NY East Load Projections'!$A$4:$EO$14,((MONTH($A74)-1)*12)+VLOOKUP(CL$4,$DE$6:$DF$17,2)+1))*(VLOOKUP($A74,SatSunCurve,8))*(INDEX(DailyScalarsTable,CL$5/100,MONTH($A74)))*$E74</f>
        <v>-2209.7918950321468</v>
      </c>
      <c r="CM74" s="1021">
        <f>(VLOOKUP(YEAR($A74),'NY East Load Projections'!$A$4:$EO$14,((MONTH($A74)-1)*12)+VLOOKUP(CM$4,$DE$6:$DF$17,2)+1))*(VLOOKUP($A74,SatSunCurve,8))*(INDEX(DailyScalarsTable,CM$5/100,MONTH($A74)))*$E74</f>
        <v>-2419.8414186270306</v>
      </c>
      <c r="CN74" s="1021">
        <f>(VLOOKUP(YEAR($A74),'NY East Load Projections'!$A$4:$EO$14,((MONTH($A74)-1)*12)+VLOOKUP(CN$4,$DE$6:$DF$17,2)+1))*(VLOOKUP($A74,SatSunCurve,8))*(INDEX(DailyScalarsTable,CN$5/100,MONTH($A74)))*$E74</f>
        <v>-3020.7197196086404</v>
      </c>
      <c r="CO74" s="1021">
        <f>(VLOOKUP(YEAR($A74),'NY East Load Projections'!$A$4:$EO$14,((MONTH($A74)-1)*12)+VLOOKUP(CO$4,$DE$6:$DF$17,2)+1))*(VLOOKUP($A74,SatSunCurve,8))*(INDEX(DailyScalarsTable,CO$5/100,MONTH($A74)))*$E74</f>
        <v>-3225.9887044160232</v>
      </c>
      <c r="CP74" s="1021">
        <f>(VLOOKUP(YEAR($A74),'NY East Load Projections'!$A$4:$EO$14,((MONTH($A74)-1)*12)+VLOOKUP(CP$4,$DE$6:$DF$17,2)+1))*(VLOOKUP($A74,SatSunCurve,8))*(INDEX(DailyScalarsTable,CP$5/100,MONTH($A74)))*$E74</f>
        <v>-3437.3224546836241</v>
      </c>
      <c r="CQ74" s="1021">
        <f>(VLOOKUP(YEAR($A74),'NY East Load Projections'!$A$4:$EO$14,((MONTH($A74)-1)*12)+VLOOKUP(CQ$4,$DE$6:$DF$17,2)+1))*(VLOOKUP($A74,SatSunCurve,8))*(INDEX(DailyScalarsTable,CQ$5/100,MONTH($A74)))*$E74</f>
        <v>-3337.4309568596896</v>
      </c>
      <c r="CR74" s="1021">
        <f>(VLOOKUP(YEAR($A74),'NY East Load Projections'!$A$4:$EO$14,((MONTH($A74)-1)*12)+VLOOKUP(CR$4,$DE$6:$DF$17,2)+1))*(VLOOKUP($A74,SatSunCurve,8))*(INDEX(DailyScalarsTable,CR$5/100,MONTH($A74)))*$E74</f>
        <v>-3612.8755959000682</v>
      </c>
      <c r="CS74" s="1021">
        <f>(VLOOKUP(YEAR($A74),'NY East Load Projections'!$A$4:$EO$14,((MONTH($A74)-1)*12)+VLOOKUP(CS$4,$DE$6:$DF$17,2)+1))*(VLOOKUP($A74,SatSunCurve,8))*(INDEX(DailyScalarsTable,CS$5/100,MONTH($A74)))*$E74</f>
        <v>-3555.870531472583</v>
      </c>
      <c r="CT74" s="1021">
        <f>(VLOOKUP(YEAR($A74),'NY East Load Projections'!$A$4:$EO$14,((MONTH($A74)-1)*12)+VLOOKUP(CT$4,$DE$6:$DF$17,2)+1))*(VLOOKUP($A74,SatSunCurve,8))*(INDEX(DailyScalarsTable,CT$5/100,MONTH($A74)))*$E74</f>
        <v>-3444.7346075467249</v>
      </c>
      <c r="CU74" s="1021">
        <f>(VLOOKUP(YEAR($A74),'NY East Load Projections'!$A$4:$EO$14,((MONTH($A74)-1)*12)+VLOOKUP(CU$4,$DE$6:$DF$17,2)+1))*(VLOOKUP($A74,SatSunCurve,8))*(INDEX(DailyScalarsTable,CU$5/100,MONTH($A74)))*$E74</f>
        <v>-3473.867300847191</v>
      </c>
      <c r="CV74" s="1021">
        <f>(VLOOKUP(YEAR($A74),'NY East Load Projections'!$A$4:$EO$14,((MONTH($A74)-1)*12)+VLOOKUP(CV$4,$DE$6:$DF$17,2)+1))*(VLOOKUP($A74,SatSunCurve,8))*(INDEX(DailyScalarsTable,CV$5/100,MONTH($A74)))*$E74</f>
        <v>-3388.6465407231149</v>
      </c>
      <c r="CW74" s="1021">
        <f>(VLOOKUP(YEAR($A74),'NY East Load Projections'!$A$4:$EO$14,((MONTH($A74)-1)*12)+VLOOKUP(CW$4,$DE$6:$DF$17,2)+1))*(VLOOKUP($A74,SatSunCurve,8))*(INDEX(DailyScalarsTable,CW$5/100,MONTH($A74)))*$E74</f>
        <v>-2775.5055981462115</v>
      </c>
      <c r="CX74" s="1021">
        <f>(VLOOKUP(YEAR($A74),'NY East Load Projections'!$A$4:$EO$14,((MONTH($A74)-1)*12)+VLOOKUP(CX$4,$DE$6:$DF$17,2)+1))*(VLOOKUP($A74,SatSunCurve,8))*(INDEX(DailyScalarsTable,CX$5/100,MONTH($A74)))*$E74</f>
        <v>-3627.2646690705269</v>
      </c>
      <c r="CY74" s="1021">
        <f>(VLOOKUP(YEAR($A74),'NY East Load Projections'!$A$4:$EO$14,((MONTH($A74)-1)*12)+VLOOKUP(CY$4,$DE$6:$DF$17,2)+1))*(VLOOKUP($A74,SatSunCurve,8))*(INDEX(DailyScalarsTable,CY$5/100,MONTH($A74)))*$E74</f>
        <v>-3505.3293700381496</v>
      </c>
      <c r="CZ74" s="1021">
        <f>(VLOOKUP(YEAR($A74),'NY East Load Projections'!$A$4:$EO$14,((MONTH($A74)-1)*12)+VLOOKUP(CZ$4,$DE$6:$DF$17,2)+1))*(VLOOKUP($A74,SatSunCurve,8))*(INDEX(DailyScalarsTable,CZ$5/100,MONTH($A74)))*$E74</f>
        <v>-2667.9021425627607</v>
      </c>
      <c r="DA74" s="1021">
        <f>(VLOOKUP(YEAR($A74),'NY East Load Projections'!$A$4:$EO$14,((MONTH($A74)-1)*12)+VLOOKUP(DA$4,$DE$6:$DF$17,2)+1))*(VLOOKUP($A74,SatSunCurve,8))*(INDEX(DailyScalarsTable,DA$5/100,MONTH($A74)))*$E74</f>
        <v>-2114.202825833655</v>
      </c>
      <c r="DB74" s="1021">
        <f>(VLOOKUP(YEAR($A74),'NY East Load Projections'!$A$4:$EO$14,((MONTH($A74)-1)*12)+VLOOKUP(DB$4,$DE$6:$DF$17,2)+1))*(VLOOKUP($A74,CURVES!$D$9:$T$261,8))*(INDEX(DailyScalarsTable,DB$5/100,MONTH($A74)))*$E74</f>
        <v>-2485.2082051012158</v>
      </c>
      <c r="DH74" s="1021">
        <f t="shared" si="2"/>
        <v>-2274254.0253811032</v>
      </c>
      <c r="DI74">
        <f ca="1">CALC!J94</f>
        <v>0.61943487176854406</v>
      </c>
      <c r="DJ74" s="1029">
        <f t="shared" ca="1" si="3"/>
        <v>-1408752.2505810389</v>
      </c>
    </row>
    <row r="75" spans="1:114" x14ac:dyDescent="0.25">
      <c r="A75" s="244">
        <v>38991</v>
      </c>
      <c r="B75" s="13">
        <v>22</v>
      </c>
      <c r="C75" s="210">
        <v>4</v>
      </c>
      <c r="D75" s="210">
        <v>5</v>
      </c>
      <c r="E75" s="210">
        <v>0</v>
      </c>
      <c r="F75" s="13">
        <v>31</v>
      </c>
      <c r="H75" s="1021">
        <f>(VLOOKUP(YEAR($A75),'NY East Load Projections'!$A$4:$EO$14,((MONTH($A75)-1)*12)+VLOOKUP(H$4,$DE$6:$DF$17,2)+1))*(VLOOKUP($A75,CURVES!$D$9:$K$261,8))*(INDEX(DailyScalarsTable,H$5/100,MONTH($A75)))*$B75</f>
        <v>-39249.937926196515</v>
      </c>
      <c r="I75" s="1021">
        <f>(VLOOKUP(YEAR($A75),'NY East Load Projections'!$A$4:$EO$14,((MONTH($A75)-1)*12)+VLOOKUP(I$4,$DE$6:$DF$17,2)+1))*(VLOOKUP($A75,CURVES!$D$9:$K$261,8))*(INDEX(DailyScalarsTable,I$5/100,MONTH($A75)))*$B75</f>
        <v>-37253.33760830784</v>
      </c>
      <c r="J75" s="1021">
        <f>(VLOOKUP(YEAR($A75),'NY East Load Projections'!$A$4:$EO$14,((MONTH($A75)-1)*12)+VLOOKUP(J$4,$DE$6:$DF$17,2)+1))*(VLOOKUP($A75,CURVES!$D$9:$K$261,8))*(INDEX(DailyScalarsTable,J$5/100,MONTH($A75)))*$B75</f>
        <v>-35785.857043400021</v>
      </c>
      <c r="K75" s="1021">
        <f>(VLOOKUP(YEAR($A75),'NY East Load Projections'!$A$4:$EO$14,((MONTH($A75)-1)*12)+VLOOKUP(K$4,$DE$6:$DF$17,2)+1))*(VLOOKUP($A75,CURVES!$D$9:$K$261,8))*(INDEX(DailyScalarsTable,K$5/100,MONTH($A75)))*$B75</f>
        <v>-35806.52578375084</v>
      </c>
      <c r="L75" s="1021">
        <f>(VLOOKUP(YEAR($A75),'NY East Load Projections'!$A$4:$EO$14,((MONTH($A75)-1)*12)+VLOOKUP(L$4,$DE$6:$DF$17,2)+1))*(VLOOKUP($A75,CURVES!$D$9:$K$261,8))*(INDEX(DailyScalarsTable,L$5/100,MONTH($A75)))*$B75</f>
        <v>-42242.553974803253</v>
      </c>
      <c r="M75" s="1021">
        <f>(VLOOKUP(YEAR($A75),'NY East Load Projections'!$A$4:$EO$14,((MONTH($A75)-1)*12)+VLOOKUP(M$4,$DE$6:$DF$17,2)+1))*(VLOOKUP($A75,CURVES!$D$9:$K$261,8))*(INDEX(DailyScalarsTable,M$5/100,MONTH($A75)))*$B75</f>
        <v>-48529.923854053515</v>
      </c>
      <c r="N75" s="1021">
        <f>(VLOOKUP(YEAR($A75),'NY East Load Projections'!$A$4:$EO$14,((MONTH($A75)-1)*12)+VLOOKUP(N$4,$DE$6:$DF$17,2)+1))*(VLOOKUP($A75,CURVES!$D$9:$K$261,8))*(INDEX(DailyScalarsTable,N$5/100,MONTH($A75)))*$B75</f>
        <v>-62736.917721888043</v>
      </c>
      <c r="O75" s="1021">
        <f>(VLOOKUP(YEAR($A75),'NY East Load Projections'!$A$4:$EO$14,((MONTH($A75)-1)*12)+VLOOKUP(O$4,$DE$6:$DF$17,2)+1))*(VLOOKUP($A75,CURVES!$D$9:$K$261,4))*(INDEX(DailyScalarsTable,O$5/100,MONTH($A75)))*$B75</f>
        <v>-75925.02404037847</v>
      </c>
      <c r="P75" s="1021">
        <f>(VLOOKUP(YEAR($A75),'NY East Load Projections'!$A$4:$EO$14,((MONTH($A75)-1)*12)+VLOOKUP(P$4,$DE$6:$DF$17,2)+1))*(VLOOKUP($A75,CURVES!$D$9:$K$261,4))*(INDEX(DailyScalarsTable,P$5/100,MONTH($A75)))*$B75</f>
        <v>-90522.583275737328</v>
      </c>
      <c r="Q75" s="1021">
        <f>(VLOOKUP(YEAR($A75),'NY East Load Projections'!$A$4:$EO$14,((MONTH($A75)-1)*12)+VLOOKUP(Q$4,$DE$6:$DF$17,2)+1))*(VLOOKUP($A75,CURVES!$D$9:$K$261,4))*(INDEX(DailyScalarsTable,Q$5/100,MONTH($A75)))*$B75</f>
        <v>-90242.847233476074</v>
      </c>
      <c r="R75" s="1021">
        <f>(VLOOKUP(YEAR($A75),'NY East Load Projections'!$A$4:$EO$14,((MONTH($A75)-1)*12)+VLOOKUP(R$4,$DE$6:$DF$17,2)+1))*(VLOOKUP($A75,CURVES!$D$9:$K$261,4))*(INDEX(DailyScalarsTable,R$5/100,MONTH($A75)))*$B75</f>
        <v>-89731.329899055534</v>
      </c>
      <c r="S75" s="1021">
        <f>(VLOOKUP(YEAR($A75),'NY East Load Projections'!$A$4:$EO$14,((MONTH($A75)-1)*12)+VLOOKUP(S$4,$DE$6:$DF$17,2)+1))*(VLOOKUP($A75,CURVES!$D$9:$K$261,4))*(INDEX(DailyScalarsTable,S$5/100,MONTH($A75)))*$B75</f>
        <v>-75720.550410942553</v>
      </c>
      <c r="T75" s="1021">
        <f>(VLOOKUP(YEAR($A75),'NY East Load Projections'!$A$4:$EO$14,((MONTH($A75)-1)*12)+VLOOKUP(T$4,$DE$6:$DF$17,2)+1))*(VLOOKUP($A75,CURVES!$D$9:$K$261,4))*(INDEX(DailyScalarsTable,T$5/100,MONTH($A75)))*$B75</f>
        <v>-73347.922699864546</v>
      </c>
      <c r="U75" s="1021">
        <f>(VLOOKUP(YEAR($A75),'NY East Load Projections'!$A$4:$EO$14,((MONTH($A75)-1)*12)+VLOOKUP(U$4,$DE$6:$DF$17,2)+1))*(VLOOKUP($A75,CURVES!$D$9:$K$261,4))*(INDEX(DailyScalarsTable,U$5/100,MONTH($A75)))*$B75</f>
        <v>-71312.083065426239</v>
      </c>
      <c r="V75" s="1021">
        <f>(VLOOKUP(YEAR($A75),'NY East Load Projections'!$A$4:$EO$14,((MONTH($A75)-1)*12)+VLOOKUP(V$4,$DE$6:$DF$17,2)+1))*(VLOOKUP($A75,CURVES!$D$9:$K$261,4))*(INDEX(DailyScalarsTable,V$5/100,MONTH($A75)))*$B75</f>
        <v>-69655.387654405582</v>
      </c>
      <c r="W75" s="1021">
        <f>(VLOOKUP(YEAR($A75),'NY East Load Projections'!$A$4:$EO$14,((MONTH($A75)-1)*12)+VLOOKUP(W$4,$DE$6:$DF$17,2)+1))*(VLOOKUP($A75,CURVES!$D$9:$K$261,4))*(INDEX(DailyScalarsTable,W$5/100,MONTH($A75)))*$B75</f>
        <v>-69177.336242270263</v>
      </c>
      <c r="X75" s="1021">
        <f>(VLOOKUP(YEAR($A75),'NY East Load Projections'!$A$4:$EO$14,((MONTH($A75)-1)*12)+VLOOKUP(X$4,$DE$6:$DF$17,2)+1))*(VLOOKUP($A75,CURVES!$D$9:$K$261,4))*(INDEX(DailyScalarsTable,X$5/100,MONTH($A75)))*$B75</f>
        <v>-68758.32749222983</v>
      </c>
      <c r="Y75" s="1021">
        <f>(VLOOKUP(YEAR($A75),'NY East Load Projections'!$A$4:$EO$14,((MONTH($A75)-1)*12)+VLOOKUP(Y$4,$DE$6:$DF$17,2)+1))*(VLOOKUP($A75,CURVES!$D$9:$K$261,4))*(INDEX(DailyScalarsTable,Y$5/100,MONTH($A75)))*$B75</f>
        <v>-92757.271609065894</v>
      </c>
      <c r="Z75" s="1021">
        <f>(VLOOKUP(YEAR($A75),'NY East Load Projections'!$A$4:$EO$14,((MONTH($A75)-1)*12)+VLOOKUP(Z$4,$DE$6:$DF$17,2)+1))*(VLOOKUP($A75,CURVES!$D$9:$K$261,4))*(INDEX(DailyScalarsTable,Z$5/100,MONTH($A75)))*$B75</f>
        <v>-93483.809691830014</v>
      </c>
      <c r="AA75" s="1021">
        <f>(VLOOKUP(YEAR($A75),'NY East Load Projections'!$A$4:$EO$14,((MONTH($A75)-1)*12)+VLOOKUP(AA$4,$DE$6:$DF$17,2)+1))*(VLOOKUP($A75,CURVES!$D$9:$K$261,4))*(INDEX(DailyScalarsTable,AA$5/100,MONTH($A75)))*$B75</f>
        <v>-89402.829822686879</v>
      </c>
      <c r="AB75" s="1021">
        <f>(VLOOKUP(YEAR($A75),'NY East Load Projections'!$A$4:$EO$14,((MONTH($A75)-1)*12)+VLOOKUP(AB$4,$DE$6:$DF$17,2)+1))*(VLOOKUP($A75,CURVES!$D$9:$K$261,4))*(INDEX(DailyScalarsTable,AB$5/100,MONTH($A75)))*$B75</f>
        <v>-72848.737163007172</v>
      </c>
      <c r="AC75" s="1021">
        <f>(VLOOKUP(YEAR($A75),'NY East Load Projections'!$A$4:$EO$14,((MONTH($A75)-1)*12)+VLOOKUP(AC$4,$DE$6:$DF$17,2)+1))*(VLOOKUP($A75,CURVES!$D$9:$K$261,4))*(INDEX(DailyScalarsTable,AC$5/100,MONTH($A75)))*$B75</f>
        <v>-60431.261336363052</v>
      </c>
      <c r="AD75" s="1021">
        <f>(VLOOKUP(YEAR($A75),'NY East Load Projections'!$A$4:$EO$14,((MONTH($A75)-1)*12)+VLOOKUP(AD$4,$DE$6:$DF$17,2)+1))*(VLOOKUP($A75,CURVES!$D$9:$K$261,4))*(INDEX(DailyScalarsTable,AD$5/100,MONTH($A75)))*$B75</f>
        <v>-51523.664791124917</v>
      </c>
      <c r="AE75" s="1021">
        <f>(VLOOKUP(YEAR($A75),'NY East Load Projections'!$A$4:$EO$14,((MONTH($A75)-1)*12)+VLOOKUP(AE$4,$DE$6:$DF$17,2)+1))*(VLOOKUP($A75,CURVES!$D$9:$K$261,8))*(INDEX(DailyScalarsTable,AE$5/100,MONTH($A75)))*$B75</f>
        <v>-45637.391318978574</v>
      </c>
      <c r="AF75" s="1021"/>
      <c r="AG75" s="1021">
        <f>(VLOOKUP(YEAR($A75),'NY East Load Projections'!$A$4:$EO$14,((MONTH($A75)-1)*12)+VLOOKUP(AG$4,$DE$6:$DF$17,2)+1))*(VLOOKUP($A75,CURVES!$D$9:$T$261,8))*(INDEX(DailyScalarsTable,AG$5/100,MONTH($A75)))*$C75</f>
        <v>-7487.1957962144998</v>
      </c>
      <c r="AH75" s="1021">
        <f>(VLOOKUP(YEAR($A75),'NY East Load Projections'!$A$4:$EO$14,((MONTH($A75)-1)*12)+VLOOKUP(AH$4,$DE$6:$DF$17,2)+1))*(VLOOKUP($A75,CURVES!$D$9:$T$261,8))*(INDEX(DailyScalarsTable,AH$5/100,MONTH($A75)))*$C75</f>
        <v>-7106.3305440215972</v>
      </c>
      <c r="AI75" s="1021">
        <f>(VLOOKUP(YEAR($A75),'NY East Load Projections'!$A$4:$EO$14,((MONTH($A75)-1)*12)+VLOOKUP(AI$4,$DE$6:$DF$17,2)+1))*(VLOOKUP($A75,CURVES!$D$9:$T$261,8))*(INDEX(DailyScalarsTable,AI$5/100,MONTH($A75)))*$C75</f>
        <v>-6826.398526364289</v>
      </c>
      <c r="AJ75" s="1021">
        <f>(VLOOKUP(YEAR($A75),'NY East Load Projections'!$A$4:$EO$14,((MONTH($A75)-1)*12)+VLOOKUP(AJ$4,$DE$6:$DF$17,2)+1))*(VLOOKUP($A75,CURVES!$D$9:$T$261,8))*(INDEX(DailyScalarsTable,AJ$5/100,MONTH($A75)))*$C75</f>
        <v>-6830.3412308383349</v>
      </c>
      <c r="AK75" s="1021">
        <f>(VLOOKUP(YEAR($A75),'NY East Load Projections'!$A$4:$EO$14,((MONTH($A75)-1)*12)+VLOOKUP(AK$4,$DE$6:$DF$17,2)+1))*(VLOOKUP($A75,CURVES!$D$9:$T$261,8))*(INDEX(DailyScalarsTable,AK$5/100,MONTH($A75)))*$C75</f>
        <v>-7408.7210774107489</v>
      </c>
      <c r="AL75" s="1021">
        <f>(VLOOKUP(YEAR($A75),'NY East Load Projections'!$A$4:$EO$14,((MONTH($A75)-1)*12)+VLOOKUP(AL$4,$DE$6:$DF$17,2)+1))*(VLOOKUP($A75,CURVES!$D$9:$T$261,8))*(INDEX(DailyScalarsTable,AL$5/100,MONTH($A75)))*$C75</f>
        <v>-8511.433043492716</v>
      </c>
      <c r="AM75" s="1021">
        <f>(VLOOKUP(YEAR($A75),'NY East Load Projections'!$A$4:$EO$14,((MONTH($A75)-1)*12)+VLOOKUP(AM$4,$DE$6:$DF$17,2)+1))*(VLOOKUP($A75,CURVES!$D$9:$T$261,8))*(INDEX(DailyScalarsTable,AM$5/100,MONTH($A75)))*$C75</f>
        <v>-11003.130277946238</v>
      </c>
      <c r="AN75" s="1021">
        <f>(VLOOKUP(YEAR($A75),'NY East Load Projections'!$A$4:$EO$14,((MONTH($A75)-1)*12)+VLOOKUP(AN$4,$DE$6:$DF$17,2)+1))*(VLOOKUP($A75,SatSunCurve,4))*(INDEX(DailyScalarsTable,AN$5/100,MONTH($A75)))*$C75</f>
        <v>-10260.782672284669</v>
      </c>
      <c r="AO75" s="1021">
        <f>(VLOOKUP(YEAR($A75),'NY East Load Projections'!$A$4:$EO$14,((MONTH($A75)-1)*12)+VLOOKUP(AO$4,$DE$6:$DF$17,2)+1))*(VLOOKUP($A75,SatSunCurve,4))*(INDEX(DailyScalarsTable,AO$5/100,MONTH($A75)))*$C75</f>
        <v>-12143.186743396103</v>
      </c>
      <c r="AP75" s="1021">
        <f>(VLOOKUP(YEAR($A75),'NY East Load Projections'!$A$4:$EO$14,((MONTH($A75)-1)*12)+VLOOKUP(AP$4,$DE$6:$DF$17,2)+1))*(VLOOKUP($A75,SatSunCurve,4))*(INDEX(DailyScalarsTable,AP$5/100,MONTH($A75)))*$C75</f>
        <v>-12105.661444436288</v>
      </c>
      <c r="AQ75" s="1021">
        <f>(VLOOKUP(YEAR($A75),'NY East Load Projections'!$A$4:$EO$14,((MONTH($A75)-1)*12)+VLOOKUP(AQ$4,$DE$6:$DF$17,2)+1))*(VLOOKUP($A75,SatSunCurve,4))*(INDEX(DailyScalarsTable,AQ$5/100,MONTH($A75)))*$C75</f>
        <v>-12037.04375490977</v>
      </c>
      <c r="AR75" s="1021">
        <f>(VLOOKUP(YEAR($A75),'NY East Load Projections'!$A$4:$EO$14,((MONTH($A75)-1)*12)+VLOOKUP(AR$4,$DE$6:$DF$17,2)+1))*(VLOOKUP($A75,SatSunCurve,4))*(INDEX(DailyScalarsTable,AR$5/100,MONTH($A75)))*$C75</f>
        <v>-10157.562352722469</v>
      </c>
      <c r="AS75" s="1021">
        <f>(VLOOKUP(YEAR($A75),'NY East Load Projections'!$A$4:$EO$14,((MONTH($A75)-1)*12)+VLOOKUP(AS$4,$DE$6:$DF$17,2)+1))*(VLOOKUP($A75,SatSunCurve,4))*(INDEX(DailyScalarsTable,AS$5/100,MONTH($A75)))*$C75</f>
        <v>-9769.8355103227987</v>
      </c>
      <c r="AT75" s="1021">
        <f>(VLOOKUP(YEAR($A75),'NY East Load Projections'!$A$4:$EO$14,((MONTH($A75)-1)*12)+VLOOKUP(AT$4,$DE$6:$DF$17,2)+1))*(VLOOKUP($A75,SatSunCurve,4))*(INDEX(DailyScalarsTable,AT$5/100,MONTH($A75)))*$C75</f>
        <v>-9498.6646629186253</v>
      </c>
      <c r="AU75" s="1021">
        <f>(VLOOKUP(YEAR($A75),'NY East Load Projections'!$A$4:$EO$14,((MONTH($A75)-1)*12)+VLOOKUP(AU$4,$DE$6:$DF$17,2)+1))*(VLOOKUP($A75,SatSunCurve,4))*(INDEX(DailyScalarsTable,AU$5/100,MONTH($A75)))*$C75</f>
        <v>-9277.9952688771718</v>
      </c>
      <c r="AV75" s="1021">
        <f>(VLOOKUP(YEAR($A75),'NY East Load Projections'!$A$4:$EO$14,((MONTH($A75)-1)*12)+VLOOKUP(AV$4,$DE$6:$DF$17,2)+1))*(VLOOKUP($A75,SatSunCurve,4))*(INDEX(DailyScalarsTable,AV$5/100,MONTH($A75)))*$C75</f>
        <v>-9214.3195233328734</v>
      </c>
      <c r="AW75" s="1021">
        <f>(VLOOKUP(YEAR($A75),'NY East Load Projections'!$A$4:$EO$14,((MONTH($A75)-1)*12)+VLOOKUP(AW$4,$DE$6:$DF$17,2)+1))*(VLOOKUP($A75,SatSunCurve,4))*(INDEX(DailyScalarsTable,AW$5/100,MONTH($A75)))*$C75</f>
        <v>-9104.5940360136428</v>
      </c>
      <c r="AX75" s="1021">
        <f>(VLOOKUP(YEAR($A75),'NY East Load Projections'!$A$4:$EO$14,((MONTH($A75)-1)*12)+VLOOKUP(AX$4,$DE$6:$DF$17,2)+1))*(VLOOKUP($A75,SatSunCurve,4))*(INDEX(DailyScalarsTable,AX$5/100,MONTH($A75)))*$C75</f>
        <v>-12282.400295211299</v>
      </c>
      <c r="AY75" s="1021">
        <f>(VLOOKUP(YEAR($A75),'NY East Load Projections'!$A$4:$EO$14,((MONTH($A75)-1)*12)+VLOOKUP(AY$4,$DE$6:$DF$17,2)+1))*(VLOOKUP($A75,SatSunCurve,4))*(INDEX(DailyScalarsTable,AY$5/100,MONTH($A75)))*$C75</f>
        <v>-12378.604413847235</v>
      </c>
      <c r="AZ75" s="1021">
        <f>(VLOOKUP(YEAR($A75),'NY East Load Projections'!$A$4:$EO$14,((MONTH($A75)-1)*12)+VLOOKUP(AZ$4,$DE$6:$DF$17,2)+1))*(VLOOKUP($A75,SatSunCurve,4))*(INDEX(DailyScalarsTable,AZ$5/100,MONTH($A75)))*$C75</f>
        <v>-11838.223832573045</v>
      </c>
      <c r="BA75" s="1021">
        <f>(VLOOKUP(YEAR($A75),'NY East Load Projections'!$A$4:$EO$14,((MONTH($A75)-1)*12)+VLOOKUP(BA$4,$DE$6:$DF$17,2)+1))*(VLOOKUP($A75,SatSunCurve,4))*(INDEX(DailyScalarsTable,BA$5/100,MONTH($A75)))*$C75</f>
        <v>-10429.155241559311</v>
      </c>
      <c r="BB75" s="1021">
        <f>(VLOOKUP(YEAR($A75),'NY East Load Projections'!$A$4:$EO$14,((MONTH($A75)-1)*12)+VLOOKUP(BB$4,$DE$6:$DF$17,2)+1))*(VLOOKUP($A75,SatSunCurve,4))*(INDEX(DailyScalarsTable,BB$5/100,MONTH($A75)))*$C75</f>
        <v>-8651.4472379929284</v>
      </c>
      <c r="BC75" s="1021">
        <f>(VLOOKUP(YEAR($A75),'NY East Load Projections'!$A$4:$EO$14,((MONTH($A75)-1)*12)+VLOOKUP(BC$4,$DE$6:$DF$17,2)+1))*(VLOOKUP($A75,SatSunCurve,4))*(INDEX(DailyScalarsTable,BC$5/100,MONTH($A75)))*$C75</f>
        <v>-7376.2198172128728</v>
      </c>
      <c r="BD75" s="1021">
        <f>(VLOOKUP(YEAR($A75),'NY East Load Projections'!$A$4:$EO$14,((MONTH($A75)-1)*12)+VLOOKUP(BD$4,$DE$6:$DF$17,2)+1))*(VLOOKUP($A75,CURVES!$D$9:$T$261,8))*(INDEX(DailyScalarsTable,BD$5/100,MONTH($A75)))*$C75</f>
        <v>-8479.0157563996181</v>
      </c>
      <c r="BE75" s="1021"/>
      <c r="BF75" s="1021">
        <f>(VLOOKUP(YEAR($A75),'NY East Load Projections'!$A$4:$EO$14,((MONTH($A75)-1)*12)+VLOOKUP(BF$4,$DE$6:$DF$17,2)+1))*(VLOOKUP($A75,CURVES!$D$9:$T$261,8))*(INDEX(DailyScalarsTable,BF$5/100,MONTH($A75)))*$D75</f>
        <v>-9358.9947452681245</v>
      </c>
      <c r="BG75" s="1021">
        <f>(VLOOKUP(YEAR($A75),'NY East Load Projections'!$A$4:$EO$14,((MONTH($A75)-1)*12)+VLOOKUP(BG$4,$DE$6:$DF$17,2)+1))*(VLOOKUP($A75,CURVES!$D$9:$T$261,8))*(INDEX(DailyScalarsTable,BG$5/100,MONTH($A75)))*$D75</f>
        <v>-8882.913180026997</v>
      </c>
      <c r="BH75" s="1021">
        <f>(VLOOKUP(YEAR($A75),'NY East Load Projections'!$A$4:$EO$14,((MONTH($A75)-1)*12)+VLOOKUP(BH$4,$DE$6:$DF$17,2)+1))*(VLOOKUP($A75,CURVES!$D$9:$T$261,8))*(INDEX(DailyScalarsTable,BH$5/100,MONTH($A75)))*$D75</f>
        <v>-8532.9981579553605</v>
      </c>
      <c r="BI75" s="1021">
        <f>(VLOOKUP(YEAR($A75),'NY East Load Projections'!$A$4:$EO$14,((MONTH($A75)-1)*12)+VLOOKUP(BI$4,$DE$6:$DF$17,2)+1))*(VLOOKUP($A75,CURVES!$D$9:$T$261,8))*(INDEX(DailyScalarsTable,BI$5/100,MONTH($A75)))*$D75</f>
        <v>-8537.9265385479193</v>
      </c>
      <c r="BJ75" s="1021">
        <f>(VLOOKUP(YEAR($A75),'NY East Load Projections'!$A$4:$EO$14,((MONTH($A75)-1)*12)+VLOOKUP(BJ$4,$DE$6:$DF$17,2)+1))*(VLOOKUP($A75,CURVES!$D$9:$T$261,8))*(INDEX(DailyScalarsTable,BJ$5/100,MONTH($A75)))*$D75</f>
        <v>-9260.9013467634359</v>
      </c>
      <c r="BK75" s="1021">
        <f>(VLOOKUP(YEAR($A75),'NY East Load Projections'!$A$4:$EO$14,((MONTH($A75)-1)*12)+VLOOKUP(BK$4,$DE$6:$DF$17,2)+1))*(VLOOKUP($A75,CURVES!$D$9:$T$261,8))*(INDEX(DailyScalarsTable,BK$5/100,MONTH($A75)))*$D75</f>
        <v>-10639.291304365895</v>
      </c>
      <c r="BL75" s="1021">
        <f>(VLOOKUP(YEAR($A75),'NY East Load Projections'!$A$4:$EO$14,((MONTH($A75)-1)*12)+VLOOKUP(BL$4,$DE$6:$DF$17,2)+1))*(VLOOKUP($A75,CURVES!$D$9:$T$261,8))*(INDEX(DailyScalarsTable,BL$5/100,MONTH($A75)))*$D75</f>
        <v>-13753.912847432799</v>
      </c>
      <c r="BM75" s="1021">
        <f>(VLOOKUP(YEAR($A75),'NY East Load Projections'!$A$4:$EO$14,((MONTH($A75)-1)*12)+VLOOKUP(BM$4,$DE$6:$DF$17,2)+1))*(VLOOKUP($A75,SatSunCurve,8))*(INDEX(DailyScalarsTable,BM$5/100,MONTH($A75)))*$D75</f>
        <v>-13095.771818173835</v>
      </c>
      <c r="BN75" s="1021">
        <f>(VLOOKUP(YEAR($A75),'NY East Load Projections'!$A$4:$EO$14,((MONTH($A75)-1)*12)+VLOOKUP(BN$4,$DE$6:$DF$17,2)+1))*(VLOOKUP($A75,SatSunCurve,8))*(INDEX(DailyScalarsTable,BN$5/100,MONTH($A75)))*$D75</f>
        <v>-15498.272189949848</v>
      </c>
      <c r="BO75" s="1021">
        <f>(VLOOKUP(YEAR($A75),'NY East Load Projections'!$A$4:$EO$14,((MONTH($A75)-1)*12)+VLOOKUP(BO$4,$DE$6:$DF$17,2)+1))*(VLOOKUP($A75,SatSunCurve,8))*(INDEX(DailyScalarsTable,BO$5/100,MONTH($A75)))*$D75</f>
        <v>-15450.378888992029</v>
      </c>
      <c r="BP75" s="1021">
        <f>(VLOOKUP(YEAR($A75),'NY East Load Projections'!$A$4:$EO$14,((MONTH($A75)-1)*12)+VLOOKUP(BP$4,$DE$6:$DF$17,2)+1))*(VLOOKUP($A75,SatSunCurve,8))*(INDEX(DailyScalarsTable,BP$5/100,MONTH($A75)))*$D75</f>
        <v>-15362.802567240593</v>
      </c>
      <c r="BQ75" s="1021">
        <f>(VLOOKUP(YEAR($A75),'NY East Load Projections'!$A$4:$EO$14,((MONTH($A75)-1)*12)+VLOOKUP(BQ$4,$DE$6:$DF$17,2)+1))*(VLOOKUP($A75,SatSunCurve,8))*(INDEX(DailyScalarsTable,BQ$5/100,MONTH($A75)))*$D75</f>
        <v>-12964.032379267601</v>
      </c>
      <c r="BR75" s="1021">
        <f>(VLOOKUP(YEAR($A75),'NY East Load Projections'!$A$4:$EO$14,((MONTH($A75)-1)*12)+VLOOKUP(BR$4,$DE$6:$DF$17,2)+1))*(VLOOKUP($A75,SatSunCurve,8))*(INDEX(DailyScalarsTable,BR$5/100,MONTH($A75)))*$D75</f>
        <v>-12469.17907050762</v>
      </c>
      <c r="BS75" s="1021">
        <f>(VLOOKUP(YEAR($A75),'NY East Load Projections'!$A$4:$EO$14,((MONTH($A75)-1)*12)+VLOOKUP(BS$4,$DE$6:$DF$17,2)+1))*(VLOOKUP($A75,SatSunCurve,8))*(INDEX(DailyScalarsTable,BS$5/100,MONTH($A75)))*$D75</f>
        <v>-12123.085438592196</v>
      </c>
      <c r="BT75" s="1021">
        <f>(VLOOKUP(YEAR($A75),'NY East Load Projections'!$A$4:$EO$14,((MONTH($A75)-1)*12)+VLOOKUP(BT$4,$DE$6:$DF$17,2)+1))*(VLOOKUP($A75,SatSunCurve,8))*(INDEX(DailyScalarsTable,BT$5/100,MONTH($A75)))*$D75</f>
        <v>-11841.446491163042</v>
      </c>
      <c r="BU75" s="1021">
        <f>(VLOOKUP(YEAR($A75),'NY East Load Projections'!$A$4:$EO$14,((MONTH($A75)-1)*12)+VLOOKUP(BU$4,$DE$6:$DF$17,2)+1))*(VLOOKUP($A75,SatSunCurve,8))*(INDEX(DailyScalarsTable,BU$5/100,MONTH($A75)))*$D75</f>
        <v>-11760.17754115861</v>
      </c>
      <c r="BV75" s="1021">
        <f>(VLOOKUP(YEAR($A75),'NY East Load Projections'!$A$4:$EO$14,((MONTH($A75)-1)*12)+VLOOKUP(BV$4,$DE$6:$DF$17,2)+1))*(VLOOKUP($A75,SatSunCurve,8))*(INDEX(DailyScalarsTable,BV$5/100,MONTH($A75)))*$D75</f>
        <v>-11620.135597920509</v>
      </c>
      <c r="BW75" s="1021">
        <f>(VLOOKUP(YEAR($A75),'NY East Load Projections'!$A$4:$EO$14,((MONTH($A75)-1)*12)+VLOOKUP(BW$4,$DE$6:$DF$17,2)+1))*(VLOOKUP($A75,SatSunCurve,8))*(INDEX(DailyScalarsTable,BW$5/100,MONTH($A75)))*$D75</f>
        <v>-15675.949562797216</v>
      </c>
      <c r="BX75" s="1021">
        <f>(VLOOKUP(YEAR($A75),'NY East Load Projections'!$A$4:$EO$14,((MONTH($A75)-1)*12)+VLOOKUP(BX$4,$DE$6:$DF$17,2)+1))*(VLOOKUP($A75,SatSunCurve,8))*(INDEX(DailyScalarsTable,BX$5/100,MONTH($A75)))*$D75</f>
        <v>-15798.734268980279</v>
      </c>
      <c r="BY75" s="1021">
        <f>(VLOOKUP(YEAR($A75),'NY East Load Projections'!$A$4:$EO$14,((MONTH($A75)-1)*12)+VLOOKUP(BY$4,$DE$6:$DF$17,2)+1))*(VLOOKUP($A75,SatSunCurve,8))*(INDEX(DailyScalarsTable,BY$5/100,MONTH($A75)))*$D75</f>
        <v>-15109.049961909459</v>
      </c>
      <c r="BZ75" s="1021">
        <f>(VLOOKUP(YEAR($A75),'NY East Load Projections'!$A$4:$EO$14,((MONTH($A75)-1)*12)+VLOOKUP(BZ$4,$DE$6:$DF$17,2)+1))*(VLOOKUP($A75,SatSunCurve,8))*(INDEX(DailyScalarsTable,BZ$5/100,MONTH($A75)))*$D75</f>
        <v>-13310.664659985618</v>
      </c>
      <c r="CA75" s="1021">
        <f>(VLOOKUP(YEAR($A75),'NY East Load Projections'!$A$4:$EO$14,((MONTH($A75)-1)*12)+VLOOKUP(CA$4,$DE$6:$DF$17,2)+1))*(VLOOKUP($A75,SatSunCurve,8))*(INDEX(DailyScalarsTable,CA$5/100,MONTH($A75)))*$D75</f>
        <v>-11041.78721490247</v>
      </c>
      <c r="CB75" s="1021">
        <f>(VLOOKUP(YEAR($A75),'NY East Load Projections'!$A$4:$EO$14,((MONTH($A75)-1)*12)+VLOOKUP(CB$4,$DE$6:$DF$17,2)+1))*(VLOOKUP($A75,SatSunCurve,8))*(INDEX(DailyScalarsTable,CB$5/100,MONTH($A75)))*$D75</f>
        <v>-9414.2225493022052</v>
      </c>
      <c r="CC75" s="1021">
        <f>(VLOOKUP(YEAR($A75),'NY East Load Projections'!$A$4:$EO$14,((MONTH($A75)-1)*12)+VLOOKUP(CC$4,$DE$6:$DF$17,2)+1))*(VLOOKUP($A75,CURVES!$D$9:$T$261,8))*(INDEX(DailyScalarsTable,CC$5/100,MONTH($A75)))*$D75</f>
        <v>-10598.769695499523</v>
      </c>
      <c r="CE75" s="1021">
        <f>(VLOOKUP(YEAR($A75),'NY East Load Projections'!$A$4:$EO$14,((MONTH($A75)-1)*12)+VLOOKUP(CE$4,$DE$6:$DF$17,2)+1))*(VLOOKUP($A75,CURVES!$D$9:$T$261,8))*(INDEX(DailyScalarsTable,CE$5/100,MONTH($A75)))*$E75</f>
        <v>0</v>
      </c>
      <c r="CF75" s="1021">
        <f>(VLOOKUP(YEAR($A75),'NY East Load Projections'!$A$4:$EO$14,((MONTH($A75)-1)*12)+VLOOKUP(CF$4,$DE$6:$DF$17,2)+1))*(VLOOKUP($A75,CURVES!$D$9:$T$261,8))*(INDEX(DailyScalarsTable,CF$5/100,MONTH($A75)))*$E75</f>
        <v>0</v>
      </c>
      <c r="CG75" s="1021">
        <f>(VLOOKUP(YEAR($A75),'NY East Load Projections'!$A$4:$EO$14,((MONTH($A75)-1)*12)+VLOOKUP(CG$4,$DE$6:$DF$17,2)+1))*(VLOOKUP($A75,CURVES!$D$9:$T$261,8))*(INDEX(DailyScalarsTable,CG$5/100,MONTH($A75)))*$E75</f>
        <v>0</v>
      </c>
      <c r="CH75" s="1021">
        <f>(VLOOKUP(YEAR($A75),'NY East Load Projections'!$A$4:$EO$14,((MONTH($A75)-1)*12)+VLOOKUP(CH$4,$DE$6:$DF$17,2)+1))*(VLOOKUP($A75,CURVES!$D$9:$T$261,8))*(INDEX(DailyScalarsTable,CH$5/100,MONTH($A75)))*$E75</f>
        <v>0</v>
      </c>
      <c r="CI75" s="1021">
        <f>(VLOOKUP(YEAR($A75),'NY East Load Projections'!$A$4:$EO$14,((MONTH($A75)-1)*12)+VLOOKUP(CI$4,$DE$6:$DF$17,2)+1))*(VLOOKUP($A75,CURVES!$D$9:$T$261,8))*(INDEX(DailyScalarsTable,CI$5/100,MONTH($A75)))*$E75</f>
        <v>0</v>
      </c>
      <c r="CJ75" s="1021">
        <f>(VLOOKUP(YEAR($A75),'NY East Load Projections'!$A$4:$EO$14,((MONTH($A75)-1)*12)+VLOOKUP(CJ$4,$DE$6:$DF$17,2)+1))*(VLOOKUP($A75,CURVES!$D$9:$T$261,8))*(INDEX(DailyScalarsTable,CJ$5/100,MONTH($A75)))*$E75</f>
        <v>0</v>
      </c>
      <c r="CK75" s="1021">
        <f>(VLOOKUP(YEAR($A75),'NY East Load Projections'!$A$4:$EO$14,((MONTH($A75)-1)*12)+VLOOKUP(CK$4,$DE$6:$DF$17,2)+1))*(VLOOKUP($A75,CURVES!$D$9:$T$261,8))*(INDEX(DailyScalarsTable,CK$5/100,MONTH($A75)))*$E75</f>
        <v>0</v>
      </c>
      <c r="CL75" s="1021">
        <f>(VLOOKUP(YEAR($A75),'NY East Load Projections'!$A$4:$EO$14,((MONTH($A75)-1)*12)+VLOOKUP(CL$4,$DE$6:$DF$17,2)+1))*(VLOOKUP($A75,SatSunCurve,8))*(INDEX(DailyScalarsTable,CL$5/100,MONTH($A75)))*$E75</f>
        <v>0</v>
      </c>
      <c r="CM75" s="1021">
        <f>(VLOOKUP(YEAR($A75),'NY East Load Projections'!$A$4:$EO$14,((MONTH($A75)-1)*12)+VLOOKUP(CM$4,$DE$6:$DF$17,2)+1))*(VLOOKUP($A75,SatSunCurve,8))*(INDEX(DailyScalarsTable,CM$5/100,MONTH($A75)))*$E75</f>
        <v>0</v>
      </c>
      <c r="CN75" s="1021">
        <f>(VLOOKUP(YEAR($A75),'NY East Load Projections'!$A$4:$EO$14,((MONTH($A75)-1)*12)+VLOOKUP(CN$4,$DE$6:$DF$17,2)+1))*(VLOOKUP($A75,SatSunCurve,8))*(INDEX(DailyScalarsTable,CN$5/100,MONTH($A75)))*$E75</f>
        <v>0</v>
      </c>
      <c r="CO75" s="1021">
        <f>(VLOOKUP(YEAR($A75),'NY East Load Projections'!$A$4:$EO$14,((MONTH($A75)-1)*12)+VLOOKUP(CO$4,$DE$6:$DF$17,2)+1))*(VLOOKUP($A75,SatSunCurve,8))*(INDEX(DailyScalarsTable,CO$5/100,MONTH($A75)))*$E75</f>
        <v>0</v>
      </c>
      <c r="CP75" s="1021">
        <f>(VLOOKUP(YEAR($A75),'NY East Load Projections'!$A$4:$EO$14,((MONTH($A75)-1)*12)+VLOOKUP(CP$4,$DE$6:$DF$17,2)+1))*(VLOOKUP($A75,SatSunCurve,8))*(INDEX(DailyScalarsTable,CP$5/100,MONTH($A75)))*$E75</f>
        <v>0</v>
      </c>
      <c r="CQ75" s="1021">
        <f>(VLOOKUP(YEAR($A75),'NY East Load Projections'!$A$4:$EO$14,((MONTH($A75)-1)*12)+VLOOKUP(CQ$4,$DE$6:$DF$17,2)+1))*(VLOOKUP($A75,SatSunCurve,8))*(INDEX(DailyScalarsTable,CQ$5/100,MONTH($A75)))*$E75</f>
        <v>0</v>
      </c>
      <c r="CR75" s="1021">
        <f>(VLOOKUP(YEAR($A75),'NY East Load Projections'!$A$4:$EO$14,((MONTH($A75)-1)*12)+VLOOKUP(CR$4,$DE$6:$DF$17,2)+1))*(VLOOKUP($A75,SatSunCurve,8))*(INDEX(DailyScalarsTable,CR$5/100,MONTH($A75)))*$E75</f>
        <v>0</v>
      </c>
      <c r="CS75" s="1021">
        <f>(VLOOKUP(YEAR($A75),'NY East Load Projections'!$A$4:$EO$14,((MONTH($A75)-1)*12)+VLOOKUP(CS$4,$DE$6:$DF$17,2)+1))*(VLOOKUP($A75,SatSunCurve,8))*(INDEX(DailyScalarsTable,CS$5/100,MONTH($A75)))*$E75</f>
        <v>0</v>
      </c>
      <c r="CT75" s="1021">
        <f>(VLOOKUP(YEAR($A75),'NY East Load Projections'!$A$4:$EO$14,((MONTH($A75)-1)*12)+VLOOKUP(CT$4,$DE$6:$DF$17,2)+1))*(VLOOKUP($A75,SatSunCurve,8))*(INDEX(DailyScalarsTable,CT$5/100,MONTH($A75)))*$E75</f>
        <v>0</v>
      </c>
      <c r="CU75" s="1021">
        <f>(VLOOKUP(YEAR($A75),'NY East Load Projections'!$A$4:$EO$14,((MONTH($A75)-1)*12)+VLOOKUP(CU$4,$DE$6:$DF$17,2)+1))*(VLOOKUP($A75,SatSunCurve,8))*(INDEX(DailyScalarsTable,CU$5/100,MONTH($A75)))*$E75</f>
        <v>0</v>
      </c>
      <c r="CV75" s="1021">
        <f>(VLOOKUP(YEAR($A75),'NY East Load Projections'!$A$4:$EO$14,((MONTH($A75)-1)*12)+VLOOKUP(CV$4,$DE$6:$DF$17,2)+1))*(VLOOKUP($A75,SatSunCurve,8))*(INDEX(DailyScalarsTable,CV$5/100,MONTH($A75)))*$E75</f>
        <v>0</v>
      </c>
      <c r="CW75" s="1021">
        <f>(VLOOKUP(YEAR($A75),'NY East Load Projections'!$A$4:$EO$14,((MONTH($A75)-1)*12)+VLOOKUP(CW$4,$DE$6:$DF$17,2)+1))*(VLOOKUP($A75,SatSunCurve,8))*(INDEX(DailyScalarsTable,CW$5/100,MONTH($A75)))*$E75</f>
        <v>0</v>
      </c>
      <c r="CX75" s="1021">
        <f>(VLOOKUP(YEAR($A75),'NY East Load Projections'!$A$4:$EO$14,((MONTH($A75)-1)*12)+VLOOKUP(CX$4,$DE$6:$DF$17,2)+1))*(VLOOKUP($A75,SatSunCurve,8))*(INDEX(DailyScalarsTable,CX$5/100,MONTH($A75)))*$E75</f>
        <v>0</v>
      </c>
      <c r="CY75" s="1021">
        <f>(VLOOKUP(YEAR($A75),'NY East Load Projections'!$A$4:$EO$14,((MONTH($A75)-1)*12)+VLOOKUP(CY$4,$DE$6:$DF$17,2)+1))*(VLOOKUP($A75,SatSunCurve,8))*(INDEX(DailyScalarsTable,CY$5/100,MONTH($A75)))*$E75</f>
        <v>0</v>
      </c>
      <c r="CZ75" s="1021">
        <f>(VLOOKUP(YEAR($A75),'NY East Load Projections'!$A$4:$EO$14,((MONTH($A75)-1)*12)+VLOOKUP(CZ$4,$DE$6:$DF$17,2)+1))*(VLOOKUP($A75,SatSunCurve,8))*(INDEX(DailyScalarsTable,CZ$5/100,MONTH($A75)))*$E75</f>
        <v>0</v>
      </c>
      <c r="DA75" s="1021">
        <f>(VLOOKUP(YEAR($A75),'NY East Load Projections'!$A$4:$EO$14,((MONTH($A75)-1)*12)+VLOOKUP(DA$4,$DE$6:$DF$17,2)+1))*(VLOOKUP($A75,SatSunCurve,8))*(INDEX(DailyScalarsTable,DA$5/100,MONTH($A75)))*$E75</f>
        <v>0</v>
      </c>
      <c r="DB75" s="1021">
        <f>(VLOOKUP(YEAR($A75),'NY East Load Projections'!$A$4:$EO$14,((MONTH($A75)-1)*12)+VLOOKUP(DB$4,$DE$6:$DF$17,2)+1))*(VLOOKUP($A75,CURVES!$D$9:$T$261,8))*(INDEX(DailyScalarsTable,DB$5/100,MONTH($A75)))*$E75</f>
        <v>0</v>
      </c>
      <c r="DH75" s="1021">
        <f t="shared" si="2"/>
        <v>-2104363.0727362446</v>
      </c>
      <c r="DI75">
        <f ca="1">CALC!J95</f>
        <v>0.61555482530266015</v>
      </c>
      <c r="DJ75" s="1029">
        <f t="shared" ca="1" si="3"/>
        <v>-1295350.8436115282</v>
      </c>
    </row>
    <row r="76" spans="1:114" x14ac:dyDescent="0.25">
      <c r="A76" s="244">
        <v>39022</v>
      </c>
      <c r="B76" s="13">
        <v>21</v>
      </c>
      <c r="C76" s="210">
        <v>4</v>
      </c>
      <c r="D76" s="210">
        <v>4</v>
      </c>
      <c r="E76" s="210">
        <v>1</v>
      </c>
      <c r="F76" s="13">
        <v>30</v>
      </c>
      <c r="H76" s="1021">
        <f>(VLOOKUP(YEAR($A76),'NY East Load Projections'!$A$4:$EO$14,((MONTH($A76)-1)*12)+VLOOKUP(H$4,$DE$6:$DF$17,2)+1))*(VLOOKUP($A76,CURVES!$D$9:$K$261,8))*(INDEX(DailyScalarsTable,H$5/100,MONTH($A76)))*$B76</f>
        <v>-35757.263905433108</v>
      </c>
      <c r="I76" s="1021">
        <f>(VLOOKUP(YEAR($A76),'NY East Load Projections'!$A$4:$EO$14,((MONTH($A76)-1)*12)+VLOOKUP(I$4,$DE$6:$DF$17,2)+1))*(VLOOKUP($A76,CURVES!$D$9:$K$261,8))*(INDEX(DailyScalarsTable,I$5/100,MONTH($A76)))*$B76</f>
        <v>-33899.194140363266</v>
      </c>
      <c r="J76" s="1021">
        <f>(VLOOKUP(YEAR($A76),'NY East Load Projections'!$A$4:$EO$14,((MONTH($A76)-1)*12)+VLOOKUP(J$4,$DE$6:$DF$17,2)+1))*(VLOOKUP($A76,CURVES!$D$9:$K$261,8))*(INDEX(DailyScalarsTable,J$5/100,MONTH($A76)))*$B76</f>
        <v>-32533.532097713589</v>
      </c>
      <c r="K76" s="1021">
        <f>(VLOOKUP(YEAR($A76),'NY East Load Projections'!$A$4:$EO$14,((MONTH($A76)-1)*12)+VLOOKUP(K$4,$DE$6:$DF$17,2)+1))*(VLOOKUP($A76,CURVES!$D$9:$K$261,8))*(INDEX(DailyScalarsTable,K$5/100,MONTH($A76)))*$B76</f>
        <v>-32552.766774370626</v>
      </c>
      <c r="L76" s="1021">
        <f>(VLOOKUP(YEAR($A76),'NY East Load Projections'!$A$4:$EO$14,((MONTH($A76)-1)*12)+VLOOKUP(L$4,$DE$6:$DF$17,2)+1))*(VLOOKUP($A76,CURVES!$D$9:$K$261,8))*(INDEX(DailyScalarsTable,L$5/100,MONTH($A76)))*$B76</f>
        <v>-38077.490548667069</v>
      </c>
      <c r="M76" s="1021">
        <f>(VLOOKUP(YEAR($A76),'NY East Load Projections'!$A$4:$EO$14,((MONTH($A76)-1)*12)+VLOOKUP(M$4,$DE$6:$DF$17,2)+1))*(VLOOKUP($A76,CURVES!$D$9:$K$261,8))*(INDEX(DailyScalarsTable,M$5/100,MONTH($A76)))*$B76</f>
        <v>-43869.973666881284</v>
      </c>
      <c r="N76" s="1021">
        <f>(VLOOKUP(YEAR($A76),'NY East Load Projections'!$A$4:$EO$14,((MONTH($A76)-1)*12)+VLOOKUP(N$4,$DE$6:$DF$17,2)+1))*(VLOOKUP($A76,CURVES!$D$9:$K$261,8))*(INDEX(DailyScalarsTable,N$5/100,MONTH($A76)))*$B76</f>
        <v>-62839.410767574118</v>
      </c>
      <c r="O76" s="1021">
        <f>(VLOOKUP(YEAR($A76),'NY East Load Projections'!$A$4:$EO$14,((MONTH($A76)-1)*12)+VLOOKUP(O$4,$DE$6:$DF$17,2)+1))*(VLOOKUP($A76,CURVES!$D$9:$K$261,4))*(INDEX(DailyScalarsTable,O$5/100,MONTH($A76)))*$B76</f>
        <v>-71711.004859866327</v>
      </c>
      <c r="P76" s="1021">
        <f>(VLOOKUP(YEAR($A76),'NY East Load Projections'!$A$4:$EO$14,((MONTH($A76)-1)*12)+VLOOKUP(P$4,$DE$6:$DF$17,2)+1))*(VLOOKUP($A76,CURVES!$D$9:$K$261,4))*(INDEX(DailyScalarsTable,P$5/100,MONTH($A76)))*$B76</f>
        <v>-83518.143878597562</v>
      </c>
      <c r="Q76" s="1021">
        <f>(VLOOKUP(YEAR($A76),'NY East Load Projections'!$A$4:$EO$14,((MONTH($A76)-1)*12)+VLOOKUP(Q$4,$DE$6:$DF$17,2)+1))*(VLOOKUP($A76,CURVES!$D$9:$K$261,4))*(INDEX(DailyScalarsTable,Q$5/100,MONTH($A76)))*$B76</f>
        <v>-82977.242194104634</v>
      </c>
      <c r="R76" s="1021">
        <f>(VLOOKUP(YEAR($A76),'NY East Load Projections'!$A$4:$EO$14,((MONTH($A76)-1)*12)+VLOOKUP(R$4,$DE$6:$DF$17,2)+1))*(VLOOKUP($A76,CURVES!$D$9:$K$261,4))*(INDEX(DailyScalarsTable,R$5/100,MONTH($A76)))*$B76</f>
        <v>-81376.465587294471</v>
      </c>
      <c r="S76" s="1021">
        <f>(VLOOKUP(YEAR($A76),'NY East Load Projections'!$A$4:$EO$14,((MONTH($A76)-1)*12)+VLOOKUP(S$4,$DE$6:$DF$17,2)+1))*(VLOOKUP($A76,CURVES!$D$9:$K$261,4))*(INDEX(DailyScalarsTable,S$5/100,MONTH($A76)))*$B76</f>
        <v>-68519.086357253065</v>
      </c>
      <c r="T76" s="1021">
        <f>(VLOOKUP(YEAR($A76),'NY East Load Projections'!$A$4:$EO$14,((MONTH($A76)-1)*12)+VLOOKUP(T$4,$DE$6:$DF$17,2)+1))*(VLOOKUP($A76,CURVES!$D$9:$K$261,4))*(INDEX(DailyScalarsTable,T$5/100,MONTH($A76)))*$B76</f>
        <v>-66225.2668879673</v>
      </c>
      <c r="U76" s="1021">
        <f>(VLOOKUP(YEAR($A76),'NY East Load Projections'!$A$4:$EO$14,((MONTH($A76)-1)*12)+VLOOKUP(U$4,$DE$6:$DF$17,2)+1))*(VLOOKUP($A76,CURVES!$D$9:$K$261,4))*(INDEX(DailyScalarsTable,U$5/100,MONTH($A76)))*$B76</f>
        <v>-64447.558398619898</v>
      </c>
      <c r="V76" s="1021">
        <f>(VLOOKUP(YEAR($A76),'NY East Load Projections'!$A$4:$EO$14,((MONTH($A76)-1)*12)+VLOOKUP(V$4,$DE$6:$DF$17,2)+1))*(VLOOKUP($A76,CURVES!$D$9:$K$261,4))*(INDEX(DailyScalarsTable,V$5/100,MONTH($A76)))*$B76</f>
        <v>-62939.881578540444</v>
      </c>
      <c r="W76" s="1021">
        <f>(VLOOKUP(YEAR($A76),'NY East Load Projections'!$A$4:$EO$14,((MONTH($A76)-1)*12)+VLOOKUP(W$4,$DE$6:$DF$17,2)+1))*(VLOOKUP($A76,CURVES!$D$9:$K$261,4))*(INDEX(DailyScalarsTable,W$5/100,MONTH($A76)))*$B76</f>
        <v>-61904.760179679943</v>
      </c>
      <c r="X76" s="1021">
        <f>(VLOOKUP(YEAR($A76),'NY East Load Projections'!$A$4:$EO$14,((MONTH($A76)-1)*12)+VLOOKUP(X$4,$DE$6:$DF$17,2)+1))*(VLOOKUP($A76,CURVES!$D$9:$K$261,4))*(INDEX(DailyScalarsTable,X$5/100,MONTH($A76)))*$B76</f>
        <v>-63068.8569545922</v>
      </c>
      <c r="Y76" s="1021">
        <f>(VLOOKUP(YEAR($A76),'NY East Load Projections'!$A$4:$EO$14,((MONTH($A76)-1)*12)+VLOOKUP(Y$4,$DE$6:$DF$17,2)+1))*(VLOOKUP($A76,CURVES!$D$9:$K$261,4))*(INDEX(DailyScalarsTable,Y$5/100,MONTH($A76)))*$B76</f>
        <v>-86579.185426837532</v>
      </c>
      <c r="Z76" s="1021">
        <f>(VLOOKUP(YEAR($A76),'NY East Load Projections'!$A$4:$EO$14,((MONTH($A76)-1)*12)+VLOOKUP(Z$4,$DE$6:$DF$17,2)+1))*(VLOOKUP($A76,CURVES!$D$9:$K$261,4))*(INDEX(DailyScalarsTable,Z$5/100,MONTH($A76)))*$B76</f>
        <v>-87276.31468259549</v>
      </c>
      <c r="AA76" s="1021">
        <f>(VLOOKUP(YEAR($A76),'NY East Load Projections'!$A$4:$EO$14,((MONTH($A76)-1)*12)+VLOOKUP(AA$4,$DE$6:$DF$17,2)+1))*(VLOOKUP($A76,CURVES!$D$9:$K$261,4))*(INDEX(DailyScalarsTable,AA$5/100,MONTH($A76)))*$B76</f>
        <v>-83705.305637794532</v>
      </c>
      <c r="AB76" s="1021">
        <f>(VLOOKUP(YEAR($A76),'NY East Load Projections'!$A$4:$EO$14,((MONTH($A76)-1)*12)+VLOOKUP(AB$4,$DE$6:$DF$17,2)+1))*(VLOOKUP($A76,CURVES!$D$9:$K$261,4))*(INDEX(DailyScalarsTable,AB$5/100,MONTH($A76)))*$B76</f>
        <v>-69844.016063385774</v>
      </c>
      <c r="AC76" s="1021">
        <f>(VLOOKUP(YEAR($A76),'NY East Load Projections'!$A$4:$EO$14,((MONTH($A76)-1)*12)+VLOOKUP(AC$4,$DE$6:$DF$17,2)+1))*(VLOOKUP($A76,CURVES!$D$9:$K$261,4))*(INDEX(DailyScalarsTable,AC$5/100,MONTH($A76)))*$B76</f>
        <v>-55559.63514932937</v>
      </c>
      <c r="AD76" s="1021">
        <f>(VLOOKUP(YEAR($A76),'NY East Load Projections'!$A$4:$EO$14,((MONTH($A76)-1)*12)+VLOOKUP(AD$4,$DE$6:$DF$17,2)+1))*(VLOOKUP($A76,CURVES!$D$9:$K$261,4))*(INDEX(DailyScalarsTable,AD$5/100,MONTH($A76)))*$B76</f>
        <v>-46855.591637710822</v>
      </c>
      <c r="AE76" s="1021">
        <f>(VLOOKUP(YEAR($A76),'NY East Load Projections'!$A$4:$EO$14,((MONTH($A76)-1)*12)+VLOOKUP(AE$4,$DE$6:$DF$17,2)+1))*(VLOOKUP($A76,CURVES!$D$9:$K$261,8))*(INDEX(DailyScalarsTable,AE$5/100,MONTH($A76)))*$B76</f>
        <v>-42290.628581547055</v>
      </c>
      <c r="AF76" s="1021"/>
      <c r="AG76" s="1021">
        <f>(VLOOKUP(YEAR($A76),'NY East Load Projections'!$A$4:$EO$14,((MONTH($A76)-1)*12)+VLOOKUP(AG$4,$DE$6:$DF$17,2)+1))*(VLOOKUP($A76,CURVES!$D$9:$T$261,8))*(INDEX(DailyScalarsTable,AG$5/100,MONTH($A76)))*$C76</f>
        <v>-7131.0127294993108</v>
      </c>
      <c r="AH76" s="1021">
        <f>(VLOOKUP(YEAR($A76),'NY East Load Projections'!$A$4:$EO$14,((MONTH($A76)-1)*12)+VLOOKUP(AH$4,$DE$6:$DF$17,2)+1))*(VLOOKUP($A76,CURVES!$D$9:$T$261,8))*(INDEX(DailyScalarsTable,AH$5/100,MONTH($A76)))*$C76</f>
        <v>-6760.4609114952045</v>
      </c>
      <c r="AI76" s="1021">
        <f>(VLOOKUP(YEAR($A76),'NY East Load Projections'!$A$4:$EO$14,((MONTH($A76)-1)*12)+VLOOKUP(AI$4,$DE$6:$DF$17,2)+1))*(VLOOKUP($A76,CURVES!$D$9:$T$261,8))*(INDEX(DailyScalarsTable,AI$5/100,MONTH($A76)))*$C76</f>
        <v>-6488.109161202332</v>
      </c>
      <c r="AJ76" s="1021">
        <f>(VLOOKUP(YEAR($A76),'NY East Load Projections'!$A$4:$EO$14,((MONTH($A76)-1)*12)+VLOOKUP(AJ$4,$DE$6:$DF$17,2)+1))*(VLOOKUP($A76,CURVES!$D$9:$T$261,8))*(INDEX(DailyScalarsTable,AJ$5/100,MONTH($A76)))*$C76</f>
        <v>-6491.9451013473017</v>
      </c>
      <c r="AK76" s="1021">
        <f>(VLOOKUP(YEAR($A76),'NY East Load Projections'!$A$4:$EO$14,((MONTH($A76)-1)*12)+VLOOKUP(AK$4,$DE$6:$DF$17,2)+1))*(VLOOKUP($A76,CURVES!$D$9:$T$261,8))*(INDEX(DailyScalarsTable,AK$5/100,MONTH($A76)))*$C76</f>
        <v>-7057.5307687852355</v>
      </c>
      <c r="AL76" s="1021">
        <f>(VLOOKUP(YEAR($A76),'NY East Load Projections'!$A$4:$EO$14,((MONTH($A76)-1)*12)+VLOOKUP(AL$4,$DE$6:$DF$17,2)+1))*(VLOOKUP($A76,CURVES!$D$9:$T$261,8))*(INDEX(DailyScalarsTable,AL$5/100,MONTH($A76)))*$C76</f>
        <v>-8131.1474185541101</v>
      </c>
      <c r="AM76" s="1021">
        <f>(VLOOKUP(YEAR($A76),'NY East Load Projections'!$A$4:$EO$14,((MONTH($A76)-1)*12)+VLOOKUP(AM$4,$DE$6:$DF$17,2)+1))*(VLOOKUP($A76,CURVES!$D$9:$T$261,8))*(INDEX(DailyScalarsTable,AM$5/100,MONTH($A76)))*$C76</f>
        <v>-11647.066773417224</v>
      </c>
      <c r="AN76" s="1021">
        <f>(VLOOKUP(YEAR($A76),'NY East Load Projections'!$A$4:$EO$14,((MONTH($A76)-1)*12)+VLOOKUP(AN$4,$DE$6:$DF$17,2)+1))*(VLOOKUP($A76,SatSunCurve,4))*(INDEX(DailyScalarsTable,AN$5/100,MONTH($A76)))*$C76</f>
        <v>-10538.585986803448</v>
      </c>
      <c r="AO76" s="1021">
        <f>(VLOOKUP(YEAR($A76),'NY East Load Projections'!$A$4:$EO$14,((MONTH($A76)-1)*12)+VLOOKUP(AO$4,$DE$6:$DF$17,2)+1))*(VLOOKUP($A76,SatSunCurve,4))*(INDEX(DailyScalarsTable,AO$5/100,MONTH($A76)))*$C76</f>
        <v>-11980.705884049436</v>
      </c>
      <c r="AP76" s="1021">
        <f>(VLOOKUP(YEAR($A76),'NY East Load Projections'!$A$4:$EO$14,((MONTH($A76)-1)*12)+VLOOKUP(AP$4,$DE$6:$DF$17,2)+1))*(VLOOKUP($A76,SatSunCurve,4))*(INDEX(DailyScalarsTable,AP$5/100,MONTH($A76)))*$C76</f>
        <v>-11903.113355131209</v>
      </c>
      <c r="AQ76" s="1021">
        <f>(VLOOKUP(YEAR($A76),'NY East Load Projections'!$A$4:$EO$14,((MONTH($A76)-1)*12)+VLOOKUP(AQ$4,$DE$6:$DF$17,2)+1))*(VLOOKUP($A76,SatSunCurve,4))*(INDEX(DailyScalarsTable,AQ$5/100,MONTH($A76)))*$C76</f>
        <v>-11673.48141144078</v>
      </c>
      <c r="AR76" s="1021">
        <f>(VLOOKUP(YEAR($A76),'NY East Load Projections'!$A$4:$EO$14,((MONTH($A76)-1)*12)+VLOOKUP(AR$4,$DE$6:$DF$17,2)+1))*(VLOOKUP($A76,SatSunCurve,4))*(INDEX(DailyScalarsTable,AR$5/100,MONTH($A76)))*$C76</f>
        <v>-9829.0860281007699</v>
      </c>
      <c r="AS76" s="1021">
        <f>(VLOOKUP(YEAR($A76),'NY East Load Projections'!$A$4:$EO$14,((MONTH($A76)-1)*12)+VLOOKUP(AS$4,$DE$6:$DF$17,2)+1))*(VLOOKUP($A76,SatSunCurve,4))*(INDEX(DailyScalarsTable,AS$5/100,MONTH($A76)))*$C76</f>
        <v>-9494.4394954936379</v>
      </c>
      <c r="AT76" s="1021">
        <f>(VLOOKUP(YEAR($A76),'NY East Load Projections'!$A$4:$EO$14,((MONTH($A76)-1)*12)+VLOOKUP(AT$4,$DE$6:$DF$17,2)+1))*(VLOOKUP($A76,SatSunCurve,4))*(INDEX(DailyScalarsTable,AT$5/100,MONTH($A76)))*$C76</f>
        <v>-9239.5768654752901</v>
      </c>
      <c r="AU76" s="1021">
        <f>(VLOOKUP(YEAR($A76),'NY East Load Projections'!$A$4:$EO$14,((MONTH($A76)-1)*12)+VLOOKUP(AU$4,$DE$6:$DF$17,2)+1))*(VLOOKUP($A76,SatSunCurve,4))*(INDEX(DailyScalarsTable,AU$5/100,MONTH($A76)))*$C76</f>
        <v>-9023.4275463458052</v>
      </c>
      <c r="AV76" s="1021">
        <f>(VLOOKUP(YEAR($A76),'NY East Load Projections'!$A$4:$EO$14,((MONTH($A76)-1)*12)+VLOOKUP(AV$4,$DE$6:$DF$17,2)+1))*(VLOOKUP($A76,SatSunCurve,4))*(INDEX(DailyScalarsTable,AV$5/100,MONTH($A76)))*$C76</f>
        <v>-8875.0265212718314</v>
      </c>
      <c r="AW76" s="1021">
        <f>(VLOOKUP(YEAR($A76),'NY East Load Projections'!$A$4:$EO$14,((MONTH($A76)-1)*12)+VLOOKUP(AW$4,$DE$6:$DF$17,2)+1))*(VLOOKUP($A76,SatSunCurve,4))*(INDEX(DailyScalarsTable,AW$5/100,MONTH($A76)))*$C76</f>
        <v>-9104.8667629757801</v>
      </c>
      <c r="AX76" s="1021">
        <f>(VLOOKUP(YEAR($A76),'NY East Load Projections'!$A$4:$EO$14,((MONTH($A76)-1)*12)+VLOOKUP(AX$4,$DE$6:$DF$17,2)+1))*(VLOOKUP($A76,SatSunCurve,4))*(INDEX(DailyScalarsTable,AX$5/100,MONTH($A76)))*$C76</f>
        <v>-12498.909696839411</v>
      </c>
      <c r="AY76" s="1021">
        <f>(VLOOKUP(YEAR($A76),'NY East Load Projections'!$A$4:$EO$14,((MONTH($A76)-1)*12)+VLOOKUP(AY$4,$DE$6:$DF$17,2)+1))*(VLOOKUP($A76,SatSunCurve,4))*(INDEX(DailyScalarsTable,AY$5/100,MONTH($A76)))*$C76</f>
        <v>-12599.550001686201</v>
      </c>
      <c r="AZ76" s="1021">
        <f>(VLOOKUP(YEAR($A76),'NY East Load Projections'!$A$4:$EO$14,((MONTH($A76)-1)*12)+VLOOKUP(AZ$4,$DE$6:$DF$17,2)+1))*(VLOOKUP($A76,SatSunCurve,4))*(INDEX(DailyScalarsTable,AZ$5/100,MONTH($A76)))*$C76</f>
        <v>-12084.025174817958</v>
      </c>
      <c r="BA76" s="1021">
        <f>(VLOOKUP(YEAR($A76),'NY East Load Projections'!$A$4:$EO$14,((MONTH($A76)-1)*12)+VLOOKUP(BA$4,$DE$6:$DF$17,2)+1))*(VLOOKUP($A76,SatSunCurve,4))*(INDEX(DailyScalarsTable,BA$5/100,MONTH($A76)))*$C76</f>
        <v>-10708.594806834422</v>
      </c>
      <c r="BB76" s="1021">
        <f>(VLOOKUP(YEAR($A76),'NY East Load Projections'!$A$4:$EO$14,((MONTH($A76)-1)*12)+VLOOKUP(BB$4,$DE$6:$DF$17,2)+1))*(VLOOKUP($A76,SatSunCurve,4))*(INDEX(DailyScalarsTable,BB$5/100,MONTH($A76)))*$C76</f>
        <v>-8518.4909740839157</v>
      </c>
      <c r="BC76" s="1021">
        <f>(VLOOKUP(YEAR($A76),'NY East Load Projections'!$A$4:$EO$14,((MONTH($A76)-1)*12)+VLOOKUP(BC$4,$DE$6:$DF$17,2)+1))*(VLOOKUP($A76,SatSunCurve,4))*(INDEX(DailyScalarsTable,BC$5/100,MONTH($A76)))*$C76</f>
        <v>-7183.9732816535452</v>
      </c>
      <c r="BD76" s="1021">
        <f>(VLOOKUP(YEAR($A76),'NY East Load Projections'!$A$4:$EO$14,((MONTH($A76)-1)*12)+VLOOKUP(BD$4,$DE$6:$DF$17,2)+1))*(VLOOKUP($A76,CURVES!$D$9:$T$261,8))*(INDEX(DailyScalarsTable,BD$5/100,MONTH($A76)))*$C76</f>
        <v>-8177.7786026069507</v>
      </c>
      <c r="BE76" s="1021"/>
      <c r="BF76" s="1021">
        <f>(VLOOKUP(YEAR($A76),'NY East Load Projections'!$A$4:$EO$14,((MONTH($A76)-1)*12)+VLOOKUP(BF$4,$DE$6:$DF$17,2)+1))*(VLOOKUP($A76,CURVES!$D$9:$T$261,8))*(INDEX(DailyScalarsTable,BF$5/100,MONTH($A76)))*$D76</f>
        <v>-7131.0127294993108</v>
      </c>
      <c r="BG76" s="1021">
        <f>(VLOOKUP(YEAR($A76),'NY East Load Projections'!$A$4:$EO$14,((MONTH($A76)-1)*12)+VLOOKUP(BG$4,$DE$6:$DF$17,2)+1))*(VLOOKUP($A76,CURVES!$D$9:$T$261,8))*(INDEX(DailyScalarsTable,BG$5/100,MONTH($A76)))*$D76</f>
        <v>-6760.4609114952045</v>
      </c>
      <c r="BH76" s="1021">
        <f>(VLOOKUP(YEAR($A76),'NY East Load Projections'!$A$4:$EO$14,((MONTH($A76)-1)*12)+VLOOKUP(BH$4,$DE$6:$DF$17,2)+1))*(VLOOKUP($A76,CURVES!$D$9:$T$261,8))*(INDEX(DailyScalarsTable,BH$5/100,MONTH($A76)))*$D76</f>
        <v>-6488.109161202332</v>
      </c>
      <c r="BI76" s="1021">
        <f>(VLOOKUP(YEAR($A76),'NY East Load Projections'!$A$4:$EO$14,((MONTH($A76)-1)*12)+VLOOKUP(BI$4,$DE$6:$DF$17,2)+1))*(VLOOKUP($A76,CURVES!$D$9:$T$261,8))*(INDEX(DailyScalarsTable,BI$5/100,MONTH($A76)))*$D76</f>
        <v>-6491.9451013473017</v>
      </c>
      <c r="BJ76" s="1021">
        <f>(VLOOKUP(YEAR($A76),'NY East Load Projections'!$A$4:$EO$14,((MONTH($A76)-1)*12)+VLOOKUP(BJ$4,$DE$6:$DF$17,2)+1))*(VLOOKUP($A76,CURVES!$D$9:$T$261,8))*(INDEX(DailyScalarsTable,BJ$5/100,MONTH($A76)))*$D76</f>
        <v>-7057.5307687852355</v>
      </c>
      <c r="BK76" s="1021">
        <f>(VLOOKUP(YEAR($A76),'NY East Load Projections'!$A$4:$EO$14,((MONTH($A76)-1)*12)+VLOOKUP(BK$4,$DE$6:$DF$17,2)+1))*(VLOOKUP($A76,CURVES!$D$9:$T$261,8))*(INDEX(DailyScalarsTable,BK$5/100,MONTH($A76)))*$D76</f>
        <v>-8131.1474185541101</v>
      </c>
      <c r="BL76" s="1021">
        <f>(VLOOKUP(YEAR($A76),'NY East Load Projections'!$A$4:$EO$14,((MONTH($A76)-1)*12)+VLOOKUP(BL$4,$DE$6:$DF$17,2)+1))*(VLOOKUP($A76,CURVES!$D$9:$T$261,8))*(INDEX(DailyScalarsTable,BL$5/100,MONTH($A76)))*$D76</f>
        <v>-11647.066773417224</v>
      </c>
      <c r="BM76" s="1021">
        <f>(VLOOKUP(YEAR($A76),'NY East Load Projections'!$A$4:$EO$14,((MONTH($A76)-1)*12)+VLOOKUP(BM$4,$DE$6:$DF$17,2)+1))*(VLOOKUP($A76,SatSunCurve,8))*(INDEX(DailyScalarsTable,BM$5/100,MONTH($A76)))*$D76</f>
        <v>-10751.18517280943</v>
      </c>
      <c r="BN76" s="1021">
        <f>(VLOOKUP(YEAR($A76),'NY East Load Projections'!$A$4:$EO$14,((MONTH($A76)-1)*12)+VLOOKUP(BN$4,$DE$6:$DF$17,2)+1))*(VLOOKUP($A76,SatSunCurve,8))*(INDEX(DailyScalarsTable,BN$5/100,MONTH($A76)))*$D76</f>
        <v>-12222.397541916582</v>
      </c>
      <c r="BO76" s="1021">
        <f>(VLOOKUP(YEAR($A76),'NY East Load Projections'!$A$4:$EO$14,((MONTH($A76)-1)*12)+VLOOKUP(BO$4,$DE$6:$DF$17,2)+1))*(VLOOKUP($A76,SatSunCurve,8))*(INDEX(DailyScalarsTable,BO$5/100,MONTH($A76)))*$D76</f>
        <v>-12143.239707319886</v>
      </c>
      <c r="BP76" s="1021">
        <f>(VLOOKUP(YEAR($A76),'NY East Load Projections'!$A$4:$EO$14,((MONTH($A76)-1)*12)+VLOOKUP(BP$4,$DE$6:$DF$17,2)+1))*(VLOOKUP($A76,SatSunCurve,8))*(INDEX(DailyScalarsTable,BP$5/100,MONTH($A76)))*$D76</f>
        <v>-11908.975304932372</v>
      </c>
      <c r="BQ76" s="1021">
        <f>(VLOOKUP(YEAR($A76),'NY East Load Projections'!$A$4:$EO$14,((MONTH($A76)-1)*12)+VLOOKUP(BQ$4,$DE$6:$DF$17,2)+1))*(VLOOKUP($A76,SatSunCurve,8))*(INDEX(DailyScalarsTable,BQ$5/100,MONTH($A76)))*$D76</f>
        <v>-10027.372182559604</v>
      </c>
      <c r="BR76" s="1021">
        <f>(VLOOKUP(YEAR($A76),'NY East Load Projections'!$A$4:$EO$14,((MONTH($A76)-1)*12)+VLOOKUP(BR$4,$DE$6:$DF$17,2)+1))*(VLOOKUP($A76,SatSunCurve,8))*(INDEX(DailyScalarsTable,BR$5/100,MONTH($A76)))*$D76</f>
        <v>-9685.9746891953928</v>
      </c>
      <c r="BS76" s="1021">
        <f>(VLOOKUP(YEAR($A76),'NY East Load Projections'!$A$4:$EO$14,((MONTH($A76)-1)*12)+VLOOKUP(BS$4,$DE$6:$DF$17,2)+1))*(VLOOKUP($A76,SatSunCurve,8))*(INDEX(DailyScalarsTable,BS$5/100,MONTH($A76)))*$D76</f>
        <v>-9425.9706115717308</v>
      </c>
      <c r="BT76" s="1021">
        <f>(VLOOKUP(YEAR($A76),'NY East Load Projections'!$A$4:$EO$14,((MONTH($A76)-1)*12)+VLOOKUP(BT$4,$DE$6:$DF$17,2)+1))*(VLOOKUP($A76,SatSunCurve,8))*(INDEX(DailyScalarsTable,BT$5/100,MONTH($A76)))*$D76</f>
        <v>-9205.4608242200175</v>
      </c>
      <c r="BU76" s="1021">
        <f>(VLOOKUP(YEAR($A76),'NY East Load Projections'!$A$4:$EO$14,((MONTH($A76)-1)*12)+VLOOKUP(BU$4,$DE$6:$DF$17,2)+1))*(VLOOKUP($A76,SatSunCurve,8))*(INDEX(DailyScalarsTable,BU$5/100,MONTH($A76)))*$D76</f>
        <v>-9054.0660448442159</v>
      </c>
      <c r="BV76" s="1021">
        <f>(VLOOKUP(YEAR($A76),'NY East Load Projections'!$A$4:$EO$14,((MONTH($A76)-1)*12)+VLOOKUP(BV$4,$DE$6:$DF$17,2)+1))*(VLOOKUP($A76,SatSunCurve,8))*(INDEX(DailyScalarsTable,BV$5/100,MONTH($A76)))*$D76</f>
        <v>-9288.5429473258882</v>
      </c>
      <c r="BW76" s="1021">
        <f>(VLOOKUP(YEAR($A76),'NY East Load Projections'!$A$4:$EO$14,((MONTH($A76)-1)*12)+VLOOKUP(BW$4,$DE$6:$DF$17,2)+1))*(VLOOKUP($A76,SatSunCurve,8))*(INDEX(DailyScalarsTable,BW$5/100,MONTH($A76)))*$D76</f>
        <v>-12751.055291214008</v>
      </c>
      <c r="BX76" s="1021">
        <f>(VLOOKUP(YEAR($A76),'NY East Load Projections'!$A$4:$EO$14,((MONTH($A76)-1)*12)+VLOOKUP(BX$4,$DE$6:$DF$17,2)+1))*(VLOOKUP($A76,SatSunCurve,8))*(INDEX(DailyScalarsTable,BX$5/100,MONTH($A76)))*$D76</f>
        <v>-12853.72585390721</v>
      </c>
      <c r="BY76" s="1021">
        <f>(VLOOKUP(YEAR($A76),'NY East Load Projections'!$A$4:$EO$14,((MONTH($A76)-1)*12)+VLOOKUP(BY$4,$DE$6:$DF$17,2)+1))*(VLOOKUP($A76,SatSunCurve,8))*(INDEX(DailyScalarsTable,BY$5/100,MONTH($A76)))*$D76</f>
        <v>-12327.801134805293</v>
      </c>
      <c r="BZ76" s="1021">
        <f>(VLOOKUP(YEAR($A76),'NY East Load Projections'!$A$4:$EO$14,((MONTH($A76)-1)*12)+VLOOKUP(BZ$4,$DE$6:$DF$17,2)+1))*(VLOOKUP($A76,SatSunCurve,8))*(INDEX(DailyScalarsTable,BZ$5/100,MONTH($A76)))*$D76</f>
        <v>-10924.623649987736</v>
      </c>
      <c r="CA76" s="1021">
        <f>(VLOOKUP(YEAR($A76),'NY East Load Projections'!$A$4:$EO$14,((MONTH($A76)-1)*12)+VLOOKUP(CA$4,$DE$6:$DF$17,2)+1))*(VLOOKUP($A76,SatSunCurve,8))*(INDEX(DailyScalarsTable,CA$5/100,MONTH($A76)))*$D76</f>
        <v>-8690.3379608957457</v>
      </c>
      <c r="CB76" s="1021">
        <f>(VLOOKUP(YEAR($A76),'NY East Load Projections'!$A$4:$EO$14,((MONTH($A76)-1)*12)+VLOOKUP(CB$4,$DE$6:$DF$17,2)+1))*(VLOOKUP($A76,SatSunCurve,8))*(INDEX(DailyScalarsTable,CB$5/100,MONTH($A76)))*$D76</f>
        <v>-7328.8984996933068</v>
      </c>
      <c r="CC76" s="1021">
        <f>(VLOOKUP(YEAR($A76),'NY East Load Projections'!$A$4:$EO$14,((MONTH($A76)-1)*12)+VLOOKUP(CC$4,$DE$6:$DF$17,2)+1))*(VLOOKUP($A76,CURVES!$D$9:$T$261,8))*(INDEX(DailyScalarsTable,CC$5/100,MONTH($A76)))*$D76</f>
        <v>-8177.7786026069507</v>
      </c>
      <c r="CE76" s="1021">
        <f>(VLOOKUP(YEAR($A76),'NY East Load Projections'!$A$4:$EO$14,((MONTH($A76)-1)*12)+VLOOKUP(CE$4,$DE$6:$DF$17,2)+1))*(VLOOKUP($A76,CURVES!$D$9:$T$261,8))*(INDEX(DailyScalarsTable,CE$5/100,MONTH($A76)))*$E76</f>
        <v>-1782.7531823748277</v>
      </c>
      <c r="CF76" s="1021">
        <f>(VLOOKUP(YEAR($A76),'NY East Load Projections'!$A$4:$EO$14,((MONTH($A76)-1)*12)+VLOOKUP(CF$4,$DE$6:$DF$17,2)+1))*(VLOOKUP($A76,CURVES!$D$9:$T$261,8))*(INDEX(DailyScalarsTable,CF$5/100,MONTH($A76)))*$E76</f>
        <v>-1690.1152278738011</v>
      </c>
      <c r="CG76" s="1021">
        <f>(VLOOKUP(YEAR($A76),'NY East Load Projections'!$A$4:$EO$14,((MONTH($A76)-1)*12)+VLOOKUP(CG$4,$DE$6:$DF$17,2)+1))*(VLOOKUP($A76,CURVES!$D$9:$T$261,8))*(INDEX(DailyScalarsTable,CG$5/100,MONTH($A76)))*$E76</f>
        <v>-1622.027290300583</v>
      </c>
      <c r="CH76" s="1021">
        <f>(VLOOKUP(YEAR($A76),'NY East Load Projections'!$A$4:$EO$14,((MONTH($A76)-1)*12)+VLOOKUP(CH$4,$DE$6:$DF$17,2)+1))*(VLOOKUP($A76,CURVES!$D$9:$T$261,8))*(INDEX(DailyScalarsTable,CH$5/100,MONTH($A76)))*$E76</f>
        <v>-1622.9862753368254</v>
      </c>
      <c r="CI76" s="1021">
        <f>(VLOOKUP(YEAR($A76),'NY East Load Projections'!$A$4:$EO$14,((MONTH($A76)-1)*12)+VLOOKUP(CI$4,$DE$6:$DF$17,2)+1))*(VLOOKUP($A76,CURVES!$D$9:$T$261,8))*(INDEX(DailyScalarsTable,CI$5/100,MONTH($A76)))*$E76</f>
        <v>-1764.3826921963089</v>
      </c>
      <c r="CJ76" s="1021">
        <f>(VLOOKUP(YEAR($A76),'NY East Load Projections'!$A$4:$EO$14,((MONTH($A76)-1)*12)+VLOOKUP(CJ$4,$DE$6:$DF$17,2)+1))*(VLOOKUP($A76,CURVES!$D$9:$T$261,8))*(INDEX(DailyScalarsTable,CJ$5/100,MONTH($A76)))*$E76</f>
        <v>-2032.7868546385275</v>
      </c>
      <c r="CK76" s="1021">
        <f>(VLOOKUP(YEAR($A76),'NY East Load Projections'!$A$4:$EO$14,((MONTH($A76)-1)*12)+VLOOKUP(CK$4,$DE$6:$DF$17,2)+1))*(VLOOKUP($A76,CURVES!$D$9:$T$261,8))*(INDEX(DailyScalarsTable,CK$5/100,MONTH($A76)))*$E76</f>
        <v>-2911.766693354306</v>
      </c>
      <c r="CL76" s="1021">
        <f>(VLOOKUP(YEAR($A76),'NY East Load Projections'!$A$4:$EO$14,((MONTH($A76)-1)*12)+VLOOKUP(CL$4,$DE$6:$DF$17,2)+1))*(VLOOKUP($A76,SatSunCurve,8))*(INDEX(DailyScalarsTable,CL$5/100,MONTH($A76)))*$E76</f>
        <v>-2687.7962932023574</v>
      </c>
      <c r="CM76" s="1021">
        <f>(VLOOKUP(YEAR($A76),'NY East Load Projections'!$A$4:$EO$14,((MONTH($A76)-1)*12)+VLOOKUP(CM$4,$DE$6:$DF$17,2)+1))*(VLOOKUP($A76,SatSunCurve,8))*(INDEX(DailyScalarsTable,CM$5/100,MONTH($A76)))*$E76</f>
        <v>-3055.5993854791454</v>
      </c>
      <c r="CN76" s="1021">
        <f>(VLOOKUP(YEAR($A76),'NY East Load Projections'!$A$4:$EO$14,((MONTH($A76)-1)*12)+VLOOKUP(CN$4,$DE$6:$DF$17,2)+1))*(VLOOKUP($A76,SatSunCurve,8))*(INDEX(DailyScalarsTable,CN$5/100,MONTH($A76)))*$E76</f>
        <v>-3035.8099268299716</v>
      </c>
      <c r="CO76" s="1021">
        <f>(VLOOKUP(YEAR($A76),'NY East Load Projections'!$A$4:$EO$14,((MONTH($A76)-1)*12)+VLOOKUP(CO$4,$DE$6:$DF$17,2)+1))*(VLOOKUP($A76,SatSunCurve,8))*(INDEX(DailyScalarsTable,CO$5/100,MONTH($A76)))*$E76</f>
        <v>-2977.2438262330929</v>
      </c>
      <c r="CP76" s="1021">
        <f>(VLOOKUP(YEAR($A76),'NY East Load Projections'!$A$4:$EO$14,((MONTH($A76)-1)*12)+VLOOKUP(CP$4,$DE$6:$DF$17,2)+1))*(VLOOKUP($A76,SatSunCurve,8))*(INDEX(DailyScalarsTable,CP$5/100,MONTH($A76)))*$E76</f>
        <v>-2506.843045639901</v>
      </c>
      <c r="CQ76" s="1021">
        <f>(VLOOKUP(YEAR($A76),'NY East Load Projections'!$A$4:$EO$14,((MONTH($A76)-1)*12)+VLOOKUP(CQ$4,$DE$6:$DF$17,2)+1))*(VLOOKUP($A76,SatSunCurve,8))*(INDEX(DailyScalarsTable,CQ$5/100,MONTH($A76)))*$E76</f>
        <v>-2421.4936722988482</v>
      </c>
      <c r="CR76" s="1021">
        <f>(VLOOKUP(YEAR($A76),'NY East Load Projections'!$A$4:$EO$14,((MONTH($A76)-1)*12)+VLOOKUP(CR$4,$DE$6:$DF$17,2)+1))*(VLOOKUP($A76,SatSunCurve,8))*(INDEX(DailyScalarsTable,CR$5/100,MONTH($A76)))*$E76</f>
        <v>-2356.4926528929327</v>
      </c>
      <c r="CS76" s="1021">
        <f>(VLOOKUP(YEAR($A76),'NY East Load Projections'!$A$4:$EO$14,((MONTH($A76)-1)*12)+VLOOKUP(CS$4,$DE$6:$DF$17,2)+1))*(VLOOKUP($A76,SatSunCurve,8))*(INDEX(DailyScalarsTable,CS$5/100,MONTH($A76)))*$E76</f>
        <v>-2301.3652060550044</v>
      </c>
      <c r="CT76" s="1021">
        <f>(VLOOKUP(YEAR($A76),'NY East Load Projections'!$A$4:$EO$14,((MONTH($A76)-1)*12)+VLOOKUP(CT$4,$DE$6:$DF$17,2)+1))*(VLOOKUP($A76,SatSunCurve,8))*(INDEX(DailyScalarsTable,CT$5/100,MONTH($A76)))*$E76</f>
        <v>-2263.516511211054</v>
      </c>
      <c r="CU76" s="1021">
        <f>(VLOOKUP(YEAR($A76),'NY East Load Projections'!$A$4:$EO$14,((MONTH($A76)-1)*12)+VLOOKUP(CU$4,$DE$6:$DF$17,2)+1))*(VLOOKUP($A76,SatSunCurve,8))*(INDEX(DailyScalarsTable,CU$5/100,MONTH($A76)))*$E76</f>
        <v>-2322.1357368314721</v>
      </c>
      <c r="CV76" s="1021">
        <f>(VLOOKUP(YEAR($A76),'NY East Load Projections'!$A$4:$EO$14,((MONTH($A76)-1)*12)+VLOOKUP(CV$4,$DE$6:$DF$17,2)+1))*(VLOOKUP($A76,SatSunCurve,8))*(INDEX(DailyScalarsTable,CV$5/100,MONTH($A76)))*$E76</f>
        <v>-3187.7638228035021</v>
      </c>
      <c r="CW76" s="1021">
        <f>(VLOOKUP(YEAR($A76),'NY East Load Projections'!$A$4:$EO$14,((MONTH($A76)-1)*12)+VLOOKUP(CW$4,$DE$6:$DF$17,2)+1))*(VLOOKUP($A76,SatSunCurve,8))*(INDEX(DailyScalarsTable,CW$5/100,MONTH($A76)))*$E76</f>
        <v>-3213.4314634768025</v>
      </c>
      <c r="CX76" s="1021">
        <f>(VLOOKUP(YEAR($A76),'NY East Load Projections'!$A$4:$EO$14,((MONTH($A76)-1)*12)+VLOOKUP(CX$4,$DE$6:$DF$17,2)+1))*(VLOOKUP($A76,SatSunCurve,8))*(INDEX(DailyScalarsTable,CX$5/100,MONTH($A76)))*$E76</f>
        <v>-3081.9502837013233</v>
      </c>
      <c r="CY76" s="1021">
        <f>(VLOOKUP(YEAR($A76),'NY East Load Projections'!$A$4:$EO$14,((MONTH($A76)-1)*12)+VLOOKUP(CY$4,$DE$6:$DF$17,2)+1))*(VLOOKUP($A76,SatSunCurve,8))*(INDEX(DailyScalarsTable,CY$5/100,MONTH($A76)))*$E76</f>
        <v>-2731.155912496934</v>
      </c>
      <c r="CZ76" s="1021">
        <f>(VLOOKUP(YEAR($A76),'NY East Load Projections'!$A$4:$EO$14,((MONTH($A76)-1)*12)+VLOOKUP(CZ$4,$DE$6:$DF$17,2)+1))*(VLOOKUP($A76,SatSunCurve,8))*(INDEX(DailyScalarsTable,CZ$5/100,MONTH($A76)))*$E76</f>
        <v>-2172.5844902239364</v>
      </c>
      <c r="DA76" s="1021">
        <f>(VLOOKUP(YEAR($A76),'NY East Load Projections'!$A$4:$EO$14,((MONTH($A76)-1)*12)+VLOOKUP(DA$4,$DE$6:$DF$17,2)+1))*(VLOOKUP($A76,SatSunCurve,8))*(INDEX(DailyScalarsTable,DA$5/100,MONTH($A76)))*$E76</f>
        <v>-1832.2246249233267</v>
      </c>
      <c r="DB76" s="1021">
        <f>(VLOOKUP(YEAR($A76),'NY East Load Projections'!$A$4:$EO$14,((MONTH($A76)-1)*12)+VLOOKUP(DB$4,$DE$6:$DF$17,2)+1))*(VLOOKUP($A76,CURVES!$D$9:$T$261,8))*(INDEX(DailyScalarsTable,DB$5/100,MONTH($A76)))*$E76</f>
        <v>-2044.4446506517377</v>
      </c>
      <c r="DH76" s="1021">
        <f t="shared" si="2"/>
        <v>-1973562.8298217629</v>
      </c>
      <c r="DI76">
        <f ca="1">CALC!J96</f>
        <v>0.61181445974366278</v>
      </c>
      <c r="DJ76" s="1029">
        <f t="shared" ca="1" si="3"/>
        <v>-1207454.2764975762</v>
      </c>
    </row>
    <row r="77" spans="1:114" x14ac:dyDescent="0.25">
      <c r="A77" s="244">
        <v>39052</v>
      </c>
      <c r="B77" s="13">
        <v>20</v>
      </c>
      <c r="C77" s="210">
        <v>5</v>
      </c>
      <c r="D77" s="210">
        <v>5</v>
      </c>
      <c r="E77" s="210">
        <v>1</v>
      </c>
      <c r="F77" s="13">
        <v>31</v>
      </c>
      <c r="H77" s="1021">
        <f>(VLOOKUP(YEAR($A77),'NY East Load Projections'!$A$4:$EO$14,((MONTH($A77)-1)*12)+VLOOKUP(H$4,$DE$6:$DF$17,2)+1))*(VLOOKUP($A77,CURVES!$D$9:$K$261,8))*(INDEX(DailyScalarsTable,H$5/100,MONTH($A77)))*$B77</f>
        <v>-33755.413832186816</v>
      </c>
      <c r="I77" s="1021">
        <f>(VLOOKUP(YEAR($A77),'NY East Load Projections'!$A$4:$EO$14,((MONTH($A77)-1)*12)+VLOOKUP(I$4,$DE$6:$DF$17,2)+1))*(VLOOKUP($A77,CURVES!$D$9:$K$261,8))*(INDEX(DailyScalarsTable,I$5/100,MONTH($A77)))*$B77</f>
        <v>-32001.367045640694</v>
      </c>
      <c r="J77" s="1021">
        <f>(VLOOKUP(YEAR($A77),'NY East Load Projections'!$A$4:$EO$14,((MONTH($A77)-1)*12)+VLOOKUP(J$4,$DE$6:$DF$17,2)+1))*(VLOOKUP($A77,CURVES!$D$9:$K$261,8))*(INDEX(DailyScalarsTable,J$5/100,MONTH($A77)))*$B77</f>
        <v>-30712.160815363524</v>
      </c>
      <c r="K77" s="1021">
        <f>(VLOOKUP(YEAR($A77),'NY East Load Projections'!$A$4:$EO$14,((MONTH($A77)-1)*12)+VLOOKUP(K$4,$DE$6:$DF$17,2)+1))*(VLOOKUP($A77,CURVES!$D$9:$K$261,8))*(INDEX(DailyScalarsTable,K$5/100,MONTH($A77)))*$B77</f>
        <v>-30730.318649592777</v>
      </c>
      <c r="L77" s="1021">
        <f>(VLOOKUP(YEAR($A77),'NY East Load Projections'!$A$4:$EO$14,((MONTH($A77)-1)*12)+VLOOKUP(L$4,$DE$6:$DF$17,2)+1))*(VLOOKUP($A77,CURVES!$D$9:$K$261,8))*(INDEX(DailyScalarsTable,L$5/100,MONTH($A77)))*$B77</f>
        <v>-36105.584233272639</v>
      </c>
      <c r="M77" s="1021">
        <f>(VLOOKUP(YEAR($A77),'NY East Load Projections'!$A$4:$EO$14,((MONTH($A77)-1)*12)+VLOOKUP(M$4,$DE$6:$DF$17,2)+1))*(VLOOKUP($A77,CURVES!$D$9:$K$261,8))*(INDEX(DailyScalarsTable,M$5/100,MONTH($A77)))*$B77</f>
        <v>-41598.093958334197</v>
      </c>
      <c r="N77" s="1021">
        <f>(VLOOKUP(YEAR($A77),'NY East Load Projections'!$A$4:$EO$14,((MONTH($A77)-1)*12)+VLOOKUP(N$4,$DE$6:$DF$17,2)+1))*(VLOOKUP($A77,CURVES!$D$9:$K$261,8))*(INDEX(DailyScalarsTable,N$5/100,MONTH($A77)))*$B77</f>
        <v>-59585.167140624239</v>
      </c>
      <c r="O77" s="1021">
        <f>(VLOOKUP(YEAR($A77),'NY East Load Projections'!$A$4:$EO$14,((MONTH($A77)-1)*12)+VLOOKUP(O$4,$DE$6:$DF$17,2)+1))*(VLOOKUP($A77,CURVES!$D$9:$K$261,4))*(INDEX(DailyScalarsTable,O$5/100,MONTH($A77)))*$B77</f>
        <v>-64192.364395138466</v>
      </c>
      <c r="P77" s="1021">
        <f>(VLOOKUP(YEAR($A77),'NY East Load Projections'!$A$4:$EO$14,((MONTH($A77)-1)*12)+VLOOKUP(P$4,$DE$6:$DF$17,2)+1))*(VLOOKUP($A77,CURVES!$D$9:$K$261,4))*(INDEX(DailyScalarsTable,P$5/100,MONTH($A77)))*$B77</f>
        <v>-72429.539957050976</v>
      </c>
      <c r="Q77" s="1021">
        <f>(VLOOKUP(YEAR($A77),'NY East Load Projections'!$A$4:$EO$14,((MONTH($A77)-1)*12)+VLOOKUP(Q$4,$DE$6:$DF$17,2)+1))*(VLOOKUP($A77,CURVES!$D$9:$K$261,4))*(INDEX(DailyScalarsTable,Q$5/100,MONTH($A77)))*$B77</f>
        <v>-72062.351191157679</v>
      </c>
      <c r="R77" s="1021">
        <f>(VLOOKUP(YEAR($A77),'NY East Load Projections'!$A$4:$EO$14,((MONTH($A77)-1)*12)+VLOOKUP(R$4,$DE$6:$DF$17,2)+1))*(VLOOKUP($A77,CURVES!$D$9:$K$261,4))*(INDEX(DailyScalarsTable,R$5/100,MONTH($A77)))*$B77</f>
        <v>-70494.019513105042</v>
      </c>
      <c r="S77" s="1021">
        <f>(VLOOKUP(YEAR($A77),'NY East Load Projections'!$A$4:$EO$14,((MONTH($A77)-1)*12)+VLOOKUP(S$4,$DE$6:$DF$17,2)+1))*(VLOOKUP($A77,CURVES!$D$9:$K$261,4))*(INDEX(DailyScalarsTable,S$5/100,MONTH($A77)))*$B77</f>
        <v>-57281.447479351882</v>
      </c>
      <c r="T77" s="1021">
        <f>(VLOOKUP(YEAR($A77),'NY East Load Projections'!$A$4:$EO$14,((MONTH($A77)-1)*12)+VLOOKUP(T$4,$DE$6:$DF$17,2)+1))*(VLOOKUP($A77,CURVES!$D$9:$K$261,4))*(INDEX(DailyScalarsTable,T$5/100,MONTH($A77)))*$B77</f>
        <v>-54985.892865914211</v>
      </c>
      <c r="U77" s="1021">
        <f>(VLOOKUP(YEAR($A77),'NY East Load Projections'!$A$4:$EO$14,((MONTH($A77)-1)*12)+VLOOKUP(U$4,$DE$6:$DF$17,2)+1))*(VLOOKUP($A77,CURVES!$D$9:$K$261,4))*(INDEX(DailyScalarsTable,U$5/100,MONTH($A77)))*$B77</f>
        <v>-52616.515610176459</v>
      </c>
      <c r="V77" s="1021">
        <f>(VLOOKUP(YEAR($A77),'NY East Load Projections'!$A$4:$EO$14,((MONTH($A77)-1)*12)+VLOOKUP(V$4,$DE$6:$DF$17,2)+1))*(VLOOKUP($A77,CURVES!$D$9:$K$261,4))*(INDEX(DailyScalarsTable,V$5/100,MONTH($A77)))*$B77</f>
        <v>-49970.606260930836</v>
      </c>
      <c r="W77" s="1021">
        <f>(VLOOKUP(YEAR($A77),'NY East Load Projections'!$A$4:$EO$14,((MONTH($A77)-1)*12)+VLOOKUP(W$4,$DE$6:$DF$17,2)+1))*(VLOOKUP($A77,CURVES!$D$9:$K$261,4))*(INDEX(DailyScalarsTable,W$5/100,MONTH($A77)))*$B77</f>
        <v>-49103.301058565296</v>
      </c>
      <c r="X77" s="1021">
        <f>(VLOOKUP(YEAR($A77),'NY East Load Projections'!$A$4:$EO$14,((MONTH($A77)-1)*12)+VLOOKUP(X$4,$DE$6:$DF$17,2)+1))*(VLOOKUP($A77,CURVES!$D$9:$K$261,4))*(INDEX(DailyScalarsTable,X$5/100,MONTH($A77)))*$B77</f>
        <v>-53187.205119346283</v>
      </c>
      <c r="Y77" s="1021">
        <f>(VLOOKUP(YEAR($A77),'NY East Load Projections'!$A$4:$EO$14,((MONTH($A77)-1)*12)+VLOOKUP(Y$4,$DE$6:$DF$17,2)+1))*(VLOOKUP($A77,CURVES!$D$9:$K$261,4))*(INDEX(DailyScalarsTable,Y$5/100,MONTH($A77)))*$B77</f>
        <v>-74959.084765950451</v>
      </c>
      <c r="Z77" s="1021">
        <f>(VLOOKUP(YEAR($A77),'NY East Load Projections'!$A$4:$EO$14,((MONTH($A77)-1)*12)+VLOOKUP(Z$4,$DE$6:$DF$17,2)+1))*(VLOOKUP($A77,CURVES!$D$9:$K$261,4))*(INDEX(DailyScalarsTable,Z$5/100,MONTH($A77)))*$B77</f>
        <v>-74459.668467443174</v>
      </c>
      <c r="AA77" s="1021">
        <f>(VLOOKUP(YEAR($A77),'NY East Load Projections'!$A$4:$EO$14,((MONTH($A77)-1)*12)+VLOOKUP(AA$4,$DE$6:$DF$17,2)+1))*(VLOOKUP($A77,CURVES!$D$9:$K$261,4))*(INDEX(DailyScalarsTable,AA$5/100,MONTH($A77)))*$B77</f>
        <v>-71895.623620361963</v>
      </c>
      <c r="AB77" s="1021">
        <f>(VLOOKUP(YEAR($A77),'NY East Load Projections'!$A$4:$EO$14,((MONTH($A77)-1)*12)+VLOOKUP(AB$4,$DE$6:$DF$17,2)+1))*(VLOOKUP($A77,CURVES!$D$9:$K$261,4))*(INDEX(DailyScalarsTable,AB$5/100,MONTH($A77)))*$B77</f>
        <v>-64697.368879311063</v>
      </c>
      <c r="AC77" s="1021">
        <f>(VLOOKUP(YEAR($A77),'NY East Load Projections'!$A$4:$EO$14,((MONTH($A77)-1)*12)+VLOOKUP(AC$4,$DE$6:$DF$17,2)+1))*(VLOOKUP($A77,CURVES!$D$9:$K$261,4))*(INDEX(DailyScalarsTable,AC$5/100,MONTH($A77)))*$B77</f>
        <v>-47694.642143922887</v>
      </c>
      <c r="AD77" s="1021">
        <f>(VLOOKUP(YEAR($A77),'NY East Load Projections'!$A$4:$EO$14,((MONTH($A77)-1)*12)+VLOOKUP(AD$4,$DE$6:$DF$17,2)+1))*(VLOOKUP($A77,CURVES!$D$9:$K$261,4))*(INDEX(DailyScalarsTable,AD$5/100,MONTH($A77)))*$B77</f>
        <v>-39348.779924962801</v>
      </c>
      <c r="AE77" s="1021">
        <f>(VLOOKUP(YEAR($A77),'NY East Load Projections'!$A$4:$EO$14,((MONTH($A77)-1)*12)+VLOOKUP(AE$4,$DE$6:$DF$17,2)+1))*(VLOOKUP($A77,CURVES!$D$9:$K$261,8))*(INDEX(DailyScalarsTable,AE$5/100,MONTH($A77)))*$B77</f>
        <v>-39703.926727706646</v>
      </c>
      <c r="AF77" s="1021"/>
      <c r="AG77" s="1021">
        <f>(VLOOKUP(YEAR($A77),'NY East Load Projections'!$A$4:$EO$14,((MONTH($A77)-1)*12)+VLOOKUP(AG$4,$DE$6:$DF$17,2)+1))*(VLOOKUP($A77,CURVES!$D$9:$T$261,8))*(INDEX(DailyScalarsTable,AG$5/100,MONTH($A77)))*$C77</f>
        <v>-8622.5797385867372</v>
      </c>
      <c r="AH77" s="1021">
        <f>(VLOOKUP(YEAR($A77),'NY East Load Projections'!$A$4:$EO$14,((MONTH($A77)-1)*12)+VLOOKUP(AH$4,$DE$6:$DF$17,2)+1))*(VLOOKUP($A77,CURVES!$D$9:$T$261,8))*(INDEX(DailyScalarsTable,AH$5/100,MONTH($A77)))*$C77</f>
        <v>-8174.5209958500618</v>
      </c>
      <c r="AI77" s="1021">
        <f>(VLOOKUP(YEAR($A77),'NY East Load Projections'!$A$4:$EO$14,((MONTH($A77)-1)*12)+VLOOKUP(AI$4,$DE$6:$DF$17,2)+1))*(VLOOKUP($A77,CURVES!$D$9:$T$261,8))*(INDEX(DailyScalarsTable,AI$5/100,MONTH($A77)))*$C77</f>
        <v>-7845.2024582278682</v>
      </c>
      <c r="AJ77" s="1021">
        <f>(VLOOKUP(YEAR($A77),'NY East Load Projections'!$A$4:$EO$14,((MONTH($A77)-1)*12)+VLOOKUP(AJ$4,$DE$6:$DF$17,2)+1))*(VLOOKUP($A77,CURVES!$D$9:$T$261,8))*(INDEX(DailyScalarsTable,AJ$5/100,MONTH($A77)))*$C77</f>
        <v>-7849.8407474901524</v>
      </c>
      <c r="AK77" s="1021">
        <f>(VLOOKUP(YEAR($A77),'NY East Load Projections'!$A$4:$EO$14,((MONTH($A77)-1)*12)+VLOOKUP(AK$4,$DE$6:$DF$17,2)+1))*(VLOOKUP($A77,CURVES!$D$9:$T$261,8))*(INDEX(DailyScalarsTable,AK$5/100,MONTH($A77)))*$C77</f>
        <v>-8599.0572552452468</v>
      </c>
      <c r="AL77" s="1021">
        <f>(VLOOKUP(YEAR($A77),'NY East Load Projections'!$A$4:$EO$14,((MONTH($A77)-1)*12)+VLOOKUP(AL$4,$DE$6:$DF$17,2)+1))*(VLOOKUP($A77,CURVES!$D$9:$T$261,8))*(INDEX(DailyScalarsTable,AL$5/100,MONTH($A77)))*$C77</f>
        <v>-9907.1763898269564</v>
      </c>
      <c r="AM77" s="1021">
        <f>(VLOOKUP(YEAR($A77),'NY East Load Projections'!$A$4:$EO$14,((MONTH($A77)-1)*12)+VLOOKUP(AM$4,$DE$6:$DF$17,2)+1))*(VLOOKUP($A77,CURVES!$D$9:$T$261,8))*(INDEX(DailyScalarsTable,AM$5/100,MONTH($A77)))*$C77</f>
        <v>-14191.053120625362</v>
      </c>
      <c r="AN77" s="1021">
        <f>(VLOOKUP(YEAR($A77),'NY East Load Projections'!$A$4:$EO$14,((MONTH($A77)-1)*12)+VLOOKUP(AN$4,$DE$6:$DF$17,2)+1))*(VLOOKUP($A77,SatSunCurve,4))*(INDEX(DailyScalarsTable,AN$5/100,MONTH($A77)))*$C77</f>
        <v>-12864.475640625695</v>
      </c>
      <c r="AO77" s="1021">
        <f>(VLOOKUP(YEAR($A77),'NY East Load Projections'!$A$4:$EO$14,((MONTH($A77)-1)*12)+VLOOKUP(AO$4,$DE$6:$DF$17,2)+1))*(VLOOKUP($A77,SatSunCurve,4))*(INDEX(DailyScalarsTable,AO$5/100,MONTH($A77)))*$C77</f>
        <v>-14600.571832130925</v>
      </c>
      <c r="AP77" s="1021">
        <f>(VLOOKUP(YEAR($A77),'NY East Load Projections'!$A$4:$EO$14,((MONTH($A77)-1)*12)+VLOOKUP(AP$4,$DE$6:$DF$17,2)+1))*(VLOOKUP($A77,SatSunCurve,4))*(INDEX(DailyScalarsTable,AP$5/100,MONTH($A77)))*$C77</f>
        <v>-14526.552779192643</v>
      </c>
      <c r="AQ77" s="1021">
        <f>(VLOOKUP(YEAR($A77),'NY East Load Projections'!$A$4:$EO$14,((MONTH($A77)-1)*12)+VLOOKUP(AQ$4,$DE$6:$DF$17,2)+1))*(VLOOKUP($A77,SatSunCurve,4))*(INDEX(DailyScalarsTable,AQ$5/100,MONTH($A77)))*$C77</f>
        <v>-14210.40360393083</v>
      </c>
      <c r="AR77" s="1021">
        <f>(VLOOKUP(YEAR($A77),'NY East Load Projections'!$A$4:$EO$14,((MONTH($A77)-1)*12)+VLOOKUP(AR$4,$DE$6:$DF$17,2)+1))*(VLOOKUP($A77,SatSunCurve,4))*(INDEX(DailyScalarsTable,AR$5/100,MONTH($A77)))*$C77</f>
        <v>-11546.972258371974</v>
      </c>
      <c r="AS77" s="1021">
        <f>(VLOOKUP(YEAR($A77),'NY East Load Projections'!$A$4:$EO$14,((MONTH($A77)-1)*12)+VLOOKUP(AS$4,$DE$6:$DF$17,2)+1))*(VLOOKUP($A77,SatSunCurve,4))*(INDEX(DailyScalarsTable,AS$5/100,MONTH($A77)))*$C77</f>
        <v>-11092.049819395419</v>
      </c>
      <c r="AT77" s="1021">
        <f>(VLOOKUP(YEAR($A77),'NY East Load Projections'!$A$4:$EO$14,((MONTH($A77)-1)*12)+VLOOKUP(AT$4,$DE$6:$DF$17,2)+1))*(VLOOKUP($A77,SatSunCurve,4))*(INDEX(DailyScalarsTable,AT$5/100,MONTH($A77)))*$C77</f>
        <v>-10614.086305632467</v>
      </c>
      <c r="AU77" s="1021">
        <f>(VLOOKUP(YEAR($A77),'NY East Load Projections'!$A$4:$EO$14,((MONTH($A77)-1)*12)+VLOOKUP(AU$4,$DE$6:$DF$17,2)+1))*(VLOOKUP($A77,SatSunCurve,4))*(INDEX(DailyScalarsTable,AU$5/100,MONTH($A77)))*$C77</f>
        <v>-10080.339251801692</v>
      </c>
      <c r="AV77" s="1021">
        <f>(VLOOKUP(YEAR($A77),'NY East Load Projections'!$A$4:$EO$14,((MONTH($A77)-1)*12)+VLOOKUP(AV$4,$DE$6:$DF$17,2)+1))*(VLOOKUP($A77,SatSunCurve,4))*(INDEX(DailyScalarsTable,AV$5/100,MONTH($A77)))*$C77</f>
        <v>-9905.3817852253305</v>
      </c>
      <c r="AW77" s="1021">
        <f>(VLOOKUP(YEAR($A77),'NY East Load Projections'!$A$4:$EO$14,((MONTH($A77)-1)*12)+VLOOKUP(AW$4,$DE$6:$DF$17,2)+1))*(VLOOKUP($A77,SatSunCurve,4))*(INDEX(DailyScalarsTable,AW$5/100,MONTH($A77)))*$C77</f>
        <v>-10747.893720839784</v>
      </c>
      <c r="AX77" s="1021">
        <f>(VLOOKUP(YEAR($A77),'NY East Load Projections'!$A$4:$EO$14,((MONTH($A77)-1)*12)+VLOOKUP(AX$4,$DE$6:$DF$17,2)+1))*(VLOOKUP($A77,SatSunCurve,4))*(INDEX(DailyScalarsTable,AX$5/100,MONTH($A77)))*$C77</f>
        <v>-15147.482832911792</v>
      </c>
      <c r="AY77" s="1021">
        <f>(VLOOKUP(YEAR($A77),'NY East Load Projections'!$A$4:$EO$14,((MONTH($A77)-1)*12)+VLOOKUP(AY$4,$DE$6:$DF$17,2)+1))*(VLOOKUP($A77,SatSunCurve,4))*(INDEX(DailyScalarsTable,AY$5/100,MONTH($A77)))*$C77</f>
        <v>-15046.562446387121</v>
      </c>
      <c r="AZ77" s="1021">
        <f>(VLOOKUP(YEAR($A77),'NY East Load Projections'!$A$4:$EO$14,((MONTH($A77)-1)*12)+VLOOKUP(AZ$4,$DE$6:$DF$17,2)+1))*(VLOOKUP($A77,SatSunCurve,4))*(INDEX(DailyScalarsTable,AZ$5/100,MONTH($A77)))*$C77</f>
        <v>-14528.428781531853</v>
      </c>
      <c r="BA77" s="1021">
        <f>(VLOOKUP(YEAR($A77),'NY East Load Projections'!$A$4:$EO$14,((MONTH($A77)-1)*12)+VLOOKUP(BA$4,$DE$6:$DF$17,2)+1))*(VLOOKUP($A77,SatSunCurve,4))*(INDEX(DailyScalarsTable,BA$5/100,MONTH($A77)))*$C77</f>
        <v>-13636.398856743052</v>
      </c>
      <c r="BB77" s="1021">
        <f>(VLOOKUP(YEAR($A77),'NY East Load Projections'!$A$4:$EO$14,((MONTH($A77)-1)*12)+VLOOKUP(BB$4,$DE$6:$DF$17,2)+1))*(VLOOKUP($A77,SatSunCurve,4))*(INDEX(DailyScalarsTable,BB$5/100,MONTH($A77)))*$C77</f>
        <v>-10052.698817125138</v>
      </c>
      <c r="BC77" s="1021">
        <f>(VLOOKUP(YEAR($A77),'NY East Load Projections'!$A$4:$EO$14,((MONTH($A77)-1)*12)+VLOOKUP(BC$4,$DE$6:$DF$17,2)+1))*(VLOOKUP($A77,SatSunCurve,4))*(INDEX(DailyScalarsTable,BC$5/100,MONTH($A77)))*$C77</f>
        <v>-8293.6240975107557</v>
      </c>
      <c r="BD77" s="1021">
        <f>(VLOOKUP(YEAR($A77),'NY East Load Projections'!$A$4:$EO$14,((MONTH($A77)-1)*12)+VLOOKUP(BD$4,$DE$6:$DF$17,2)+1))*(VLOOKUP($A77,CURVES!$D$9:$T$261,8))*(INDEX(DailyScalarsTable,BD$5/100,MONTH($A77)))*$C77</f>
        <v>-9945.2174754604748</v>
      </c>
      <c r="BE77" s="1021"/>
      <c r="BF77" s="1021">
        <f>(VLOOKUP(YEAR($A77),'NY East Load Projections'!$A$4:$EO$14,((MONTH($A77)-1)*12)+VLOOKUP(BF$4,$DE$6:$DF$17,2)+1))*(VLOOKUP($A77,CURVES!$D$9:$T$261,8))*(INDEX(DailyScalarsTable,BF$5/100,MONTH($A77)))*$D77</f>
        <v>-8622.5797385867372</v>
      </c>
      <c r="BG77" s="1021">
        <f>(VLOOKUP(YEAR($A77),'NY East Load Projections'!$A$4:$EO$14,((MONTH($A77)-1)*12)+VLOOKUP(BG$4,$DE$6:$DF$17,2)+1))*(VLOOKUP($A77,CURVES!$D$9:$T$261,8))*(INDEX(DailyScalarsTable,BG$5/100,MONTH($A77)))*$D77</f>
        <v>-8174.5209958500618</v>
      </c>
      <c r="BH77" s="1021">
        <f>(VLOOKUP(YEAR($A77),'NY East Load Projections'!$A$4:$EO$14,((MONTH($A77)-1)*12)+VLOOKUP(BH$4,$DE$6:$DF$17,2)+1))*(VLOOKUP($A77,CURVES!$D$9:$T$261,8))*(INDEX(DailyScalarsTable,BH$5/100,MONTH($A77)))*$D77</f>
        <v>-7845.2024582278682</v>
      </c>
      <c r="BI77" s="1021">
        <f>(VLOOKUP(YEAR($A77),'NY East Load Projections'!$A$4:$EO$14,((MONTH($A77)-1)*12)+VLOOKUP(BI$4,$DE$6:$DF$17,2)+1))*(VLOOKUP($A77,CURVES!$D$9:$T$261,8))*(INDEX(DailyScalarsTable,BI$5/100,MONTH($A77)))*$D77</f>
        <v>-7849.8407474901524</v>
      </c>
      <c r="BJ77" s="1021">
        <f>(VLOOKUP(YEAR($A77),'NY East Load Projections'!$A$4:$EO$14,((MONTH($A77)-1)*12)+VLOOKUP(BJ$4,$DE$6:$DF$17,2)+1))*(VLOOKUP($A77,CURVES!$D$9:$T$261,8))*(INDEX(DailyScalarsTable,BJ$5/100,MONTH($A77)))*$D77</f>
        <v>-8599.0572552452468</v>
      </c>
      <c r="BK77" s="1021">
        <f>(VLOOKUP(YEAR($A77),'NY East Load Projections'!$A$4:$EO$14,((MONTH($A77)-1)*12)+VLOOKUP(BK$4,$DE$6:$DF$17,2)+1))*(VLOOKUP($A77,CURVES!$D$9:$T$261,8))*(INDEX(DailyScalarsTable,BK$5/100,MONTH($A77)))*$D77</f>
        <v>-9907.1763898269564</v>
      </c>
      <c r="BL77" s="1021">
        <f>(VLOOKUP(YEAR($A77),'NY East Load Projections'!$A$4:$EO$14,((MONTH($A77)-1)*12)+VLOOKUP(BL$4,$DE$6:$DF$17,2)+1))*(VLOOKUP($A77,CURVES!$D$9:$T$261,8))*(INDEX(DailyScalarsTable,BL$5/100,MONTH($A77)))*$D77</f>
        <v>-14191.053120625362</v>
      </c>
      <c r="BM77" s="1021">
        <f>(VLOOKUP(YEAR($A77),'NY East Load Projections'!$A$4:$EO$14,((MONTH($A77)-1)*12)+VLOOKUP(BM$4,$DE$6:$DF$17,2)+1))*(VLOOKUP($A77,SatSunCurve,8))*(INDEX(DailyScalarsTable,BM$5/100,MONTH($A77)))*$D77</f>
        <v>-12388.812716564313</v>
      </c>
      <c r="BN77" s="1021">
        <f>(VLOOKUP(YEAR($A77),'NY East Load Projections'!$A$4:$EO$14,((MONTH($A77)-1)*12)+VLOOKUP(BN$4,$DE$6:$DF$17,2)+1))*(VLOOKUP($A77,SatSunCurve,8))*(INDEX(DailyScalarsTable,BN$5/100,MONTH($A77)))*$D77</f>
        <v>-14060.716894809761</v>
      </c>
      <c r="BO77" s="1021">
        <f>(VLOOKUP(YEAR($A77),'NY East Load Projections'!$A$4:$EO$14,((MONTH($A77)-1)*12)+VLOOKUP(BO$4,$DE$6:$DF$17,2)+1))*(VLOOKUP($A77,SatSunCurve,8))*(INDEX(DailyScalarsTable,BO$5/100,MONTH($A77)))*$D77</f>
        <v>-13989.434690239064</v>
      </c>
      <c r="BP77" s="1021">
        <f>(VLOOKUP(YEAR($A77),'NY East Load Projections'!$A$4:$EO$14,((MONTH($A77)-1)*12)+VLOOKUP(BP$4,$DE$6:$DF$17,2)+1))*(VLOOKUP($A77,SatSunCurve,8))*(INDEX(DailyScalarsTable,BP$5/100,MONTH($A77)))*$D77</f>
        <v>-13684.975104615069</v>
      </c>
      <c r="BQ77" s="1021">
        <f>(VLOOKUP(YEAR($A77),'NY East Load Projections'!$A$4:$EO$14,((MONTH($A77)-1)*12)+VLOOKUP(BQ$4,$DE$6:$DF$17,2)+1))*(VLOOKUP($A77,SatSunCurve,8))*(INDEX(DailyScalarsTable,BQ$5/100,MONTH($A77)))*$D77</f>
        <v>-11120.023913028788</v>
      </c>
      <c r="BR77" s="1021">
        <f>(VLOOKUP(YEAR($A77),'NY East Load Projections'!$A$4:$EO$14,((MONTH($A77)-1)*12)+VLOOKUP(BR$4,$DE$6:$DF$17,2)+1))*(VLOOKUP($A77,SatSunCurve,8))*(INDEX(DailyScalarsTable,BR$5/100,MONTH($A77)))*$D77</f>
        <v>-10681.92219365167</v>
      </c>
      <c r="BS77" s="1021">
        <f>(VLOOKUP(YEAR($A77),'NY East Load Projections'!$A$4:$EO$14,((MONTH($A77)-1)*12)+VLOOKUP(BS$4,$DE$6:$DF$17,2)+1))*(VLOOKUP($A77,SatSunCurve,8))*(INDEX(DailyScalarsTable,BS$5/100,MONTH($A77)))*$D77</f>
        <v>-10221.631341324926</v>
      </c>
      <c r="BT77" s="1021">
        <f>(VLOOKUP(YEAR($A77),'NY East Load Projections'!$A$4:$EO$14,((MONTH($A77)-1)*12)+VLOOKUP(BT$4,$DE$6:$DF$17,2)+1))*(VLOOKUP($A77,SatSunCurve,8))*(INDEX(DailyScalarsTable,BT$5/100,MONTH($A77)))*$D77</f>
        <v>-9707.6195407160176</v>
      </c>
      <c r="BU77" s="1021">
        <f>(VLOOKUP(YEAR($A77),'NY East Load Projections'!$A$4:$EO$14,((MONTH($A77)-1)*12)+VLOOKUP(BU$4,$DE$6:$DF$17,2)+1))*(VLOOKUP($A77,SatSunCurve,8))*(INDEX(DailyScalarsTable,BU$5/100,MONTH($A77)))*$D77</f>
        <v>-9539.1311120128576</v>
      </c>
      <c r="BV77" s="1021">
        <f>(VLOOKUP(YEAR($A77),'NY East Load Projections'!$A$4:$EO$14,((MONTH($A77)-1)*12)+VLOOKUP(BV$4,$DE$6:$DF$17,2)+1))*(VLOOKUP($A77,SatSunCurve,8))*(INDEX(DailyScalarsTable,BV$5/100,MONTH($A77)))*$D77</f>
        <v>-10350.491238408955</v>
      </c>
      <c r="BW77" s="1021">
        <f>(VLOOKUP(YEAR($A77),'NY East Load Projections'!$A$4:$EO$14,((MONTH($A77)-1)*12)+VLOOKUP(BW$4,$DE$6:$DF$17,2)+1))*(VLOOKUP($A77,SatSunCurve,8))*(INDEX(DailyScalarsTable,BW$5/100,MONTH($A77)))*$D77</f>
        <v>-14587.405906517772</v>
      </c>
      <c r="BX77" s="1021">
        <f>(VLOOKUP(YEAR($A77),'NY East Load Projections'!$A$4:$EO$14,((MONTH($A77)-1)*12)+VLOOKUP(BX$4,$DE$6:$DF$17,2)+1))*(VLOOKUP($A77,SatSunCurve,8))*(INDEX(DailyScalarsTable,BX$5/100,MONTH($A77)))*$D77</f>
        <v>-14490.217042947686</v>
      </c>
      <c r="BY77" s="1021">
        <f>(VLOOKUP(YEAR($A77),'NY East Load Projections'!$A$4:$EO$14,((MONTH($A77)-1)*12)+VLOOKUP(BY$4,$DE$6:$DF$17,2)+1))*(VLOOKUP($A77,SatSunCurve,8))*(INDEX(DailyScalarsTable,BY$5/100,MONTH($A77)))*$D77</f>
        <v>-13991.241327546759</v>
      </c>
      <c r="BZ77" s="1021">
        <f>(VLOOKUP(YEAR($A77),'NY East Load Projections'!$A$4:$EO$14,((MONTH($A77)-1)*12)+VLOOKUP(BZ$4,$DE$6:$DF$17,2)+1))*(VLOOKUP($A77,SatSunCurve,8))*(INDEX(DailyScalarsTable,BZ$5/100,MONTH($A77)))*$D77</f>
        <v>-13132.194135535292</v>
      </c>
      <c r="CA77" s="1021">
        <f>(VLOOKUP(YEAR($A77),'NY East Load Projections'!$A$4:$EO$14,((MONTH($A77)-1)*12)+VLOOKUP(CA$4,$DE$6:$DF$17,2)+1))*(VLOOKUP($A77,SatSunCurve,8))*(INDEX(DailyScalarsTable,CA$5/100,MONTH($A77)))*$D77</f>
        <v>-9681.0011088282154</v>
      </c>
      <c r="CB77" s="1021">
        <f>(VLOOKUP(YEAR($A77),'NY East Load Projections'!$A$4:$EO$14,((MONTH($A77)-1)*12)+VLOOKUP(CB$4,$DE$6:$DF$17,2)+1))*(VLOOKUP($A77,SatSunCurve,8))*(INDEX(DailyScalarsTable,CB$5/100,MONTH($A77)))*$D77</f>
        <v>-7986.9680316521681</v>
      </c>
      <c r="CC77" s="1021">
        <f>(VLOOKUP(YEAR($A77),'NY East Load Projections'!$A$4:$EO$14,((MONTH($A77)-1)*12)+VLOOKUP(CC$4,$DE$6:$DF$17,2)+1))*(VLOOKUP($A77,CURVES!$D$9:$T$261,8))*(INDEX(DailyScalarsTable,CC$5/100,MONTH($A77)))*$D77</f>
        <v>-9945.2174754604748</v>
      </c>
      <c r="CE77" s="1021">
        <f>(VLOOKUP(YEAR($A77),'NY East Load Projections'!$A$4:$EO$14,((MONTH($A77)-1)*12)+VLOOKUP(CE$4,$DE$6:$DF$17,2)+1))*(VLOOKUP($A77,CURVES!$D$9:$T$261,8))*(INDEX(DailyScalarsTable,CE$5/100,MONTH($A77)))*$E77</f>
        <v>-1724.5159477173474</v>
      </c>
      <c r="CF77" s="1021">
        <f>(VLOOKUP(YEAR($A77),'NY East Load Projections'!$A$4:$EO$14,((MONTH($A77)-1)*12)+VLOOKUP(CF$4,$DE$6:$DF$17,2)+1))*(VLOOKUP($A77,CURVES!$D$9:$T$261,8))*(INDEX(DailyScalarsTable,CF$5/100,MONTH($A77)))*$E77</f>
        <v>-1634.9041991700124</v>
      </c>
      <c r="CG77" s="1021">
        <f>(VLOOKUP(YEAR($A77),'NY East Load Projections'!$A$4:$EO$14,((MONTH($A77)-1)*12)+VLOOKUP(CG$4,$DE$6:$DF$17,2)+1))*(VLOOKUP($A77,CURVES!$D$9:$T$261,8))*(INDEX(DailyScalarsTable,CG$5/100,MONTH($A77)))*$E77</f>
        <v>-1569.0404916455736</v>
      </c>
      <c r="CH77" s="1021">
        <f>(VLOOKUP(YEAR($A77),'NY East Load Projections'!$A$4:$EO$14,((MONTH($A77)-1)*12)+VLOOKUP(CH$4,$DE$6:$DF$17,2)+1))*(VLOOKUP($A77,CURVES!$D$9:$T$261,8))*(INDEX(DailyScalarsTable,CH$5/100,MONTH($A77)))*$E77</f>
        <v>-1569.9681494980305</v>
      </c>
      <c r="CI77" s="1021">
        <f>(VLOOKUP(YEAR($A77),'NY East Load Projections'!$A$4:$EO$14,((MONTH($A77)-1)*12)+VLOOKUP(CI$4,$DE$6:$DF$17,2)+1))*(VLOOKUP($A77,CURVES!$D$9:$T$261,8))*(INDEX(DailyScalarsTable,CI$5/100,MONTH($A77)))*$E77</f>
        <v>-1719.8114510490493</v>
      </c>
      <c r="CJ77" s="1021">
        <f>(VLOOKUP(YEAR($A77),'NY East Load Projections'!$A$4:$EO$14,((MONTH($A77)-1)*12)+VLOOKUP(CJ$4,$DE$6:$DF$17,2)+1))*(VLOOKUP($A77,CURVES!$D$9:$T$261,8))*(INDEX(DailyScalarsTable,CJ$5/100,MONTH($A77)))*$E77</f>
        <v>-1981.4352779653912</v>
      </c>
      <c r="CK77" s="1021">
        <f>(VLOOKUP(YEAR($A77),'NY East Load Projections'!$A$4:$EO$14,((MONTH($A77)-1)*12)+VLOOKUP(CK$4,$DE$6:$DF$17,2)+1))*(VLOOKUP($A77,CURVES!$D$9:$T$261,8))*(INDEX(DailyScalarsTable,CK$5/100,MONTH($A77)))*$E77</f>
        <v>-2838.2106241250722</v>
      </c>
      <c r="CL77" s="1021">
        <f>(VLOOKUP(YEAR($A77),'NY East Load Projections'!$A$4:$EO$14,((MONTH($A77)-1)*12)+VLOOKUP(CL$4,$DE$6:$DF$17,2)+1))*(VLOOKUP($A77,SatSunCurve,8))*(INDEX(DailyScalarsTable,CL$5/100,MONTH($A77)))*$E77</f>
        <v>-2477.7625433128624</v>
      </c>
      <c r="CM77" s="1021">
        <f>(VLOOKUP(YEAR($A77),'NY East Load Projections'!$A$4:$EO$14,((MONTH($A77)-1)*12)+VLOOKUP(CM$4,$DE$6:$DF$17,2)+1))*(VLOOKUP($A77,SatSunCurve,8))*(INDEX(DailyScalarsTable,CM$5/100,MONTH($A77)))*$E77</f>
        <v>-2812.1433789619523</v>
      </c>
      <c r="CN77" s="1021">
        <f>(VLOOKUP(YEAR($A77),'NY East Load Projections'!$A$4:$EO$14,((MONTH($A77)-1)*12)+VLOOKUP(CN$4,$DE$6:$DF$17,2)+1))*(VLOOKUP($A77,SatSunCurve,8))*(INDEX(DailyScalarsTable,CN$5/100,MONTH($A77)))*$E77</f>
        <v>-2797.8869380478127</v>
      </c>
      <c r="CO77" s="1021">
        <f>(VLOOKUP(YEAR($A77),'NY East Load Projections'!$A$4:$EO$14,((MONTH($A77)-1)*12)+VLOOKUP(CO$4,$DE$6:$DF$17,2)+1))*(VLOOKUP($A77,SatSunCurve,8))*(INDEX(DailyScalarsTable,CO$5/100,MONTH($A77)))*$E77</f>
        <v>-2736.9950209230137</v>
      </c>
      <c r="CP77" s="1021">
        <f>(VLOOKUP(YEAR($A77),'NY East Load Projections'!$A$4:$EO$14,((MONTH($A77)-1)*12)+VLOOKUP(CP$4,$DE$6:$DF$17,2)+1))*(VLOOKUP($A77,SatSunCurve,8))*(INDEX(DailyScalarsTable,CP$5/100,MONTH($A77)))*$E77</f>
        <v>-2224.0047826057576</v>
      </c>
      <c r="CQ77" s="1021">
        <f>(VLOOKUP(YEAR($A77),'NY East Load Projections'!$A$4:$EO$14,((MONTH($A77)-1)*12)+VLOOKUP(CQ$4,$DE$6:$DF$17,2)+1))*(VLOOKUP($A77,SatSunCurve,8))*(INDEX(DailyScalarsTable,CQ$5/100,MONTH($A77)))*$E77</f>
        <v>-2136.3844387303338</v>
      </c>
      <c r="CR77" s="1021">
        <f>(VLOOKUP(YEAR($A77),'NY East Load Projections'!$A$4:$EO$14,((MONTH($A77)-1)*12)+VLOOKUP(CR$4,$DE$6:$DF$17,2)+1))*(VLOOKUP($A77,SatSunCurve,8))*(INDEX(DailyScalarsTable,CR$5/100,MONTH($A77)))*$E77</f>
        <v>-2044.3262682649854</v>
      </c>
      <c r="CS77" s="1021">
        <f>(VLOOKUP(YEAR($A77),'NY East Load Projections'!$A$4:$EO$14,((MONTH($A77)-1)*12)+VLOOKUP(CS$4,$DE$6:$DF$17,2)+1))*(VLOOKUP($A77,SatSunCurve,8))*(INDEX(DailyScalarsTable,CS$5/100,MONTH($A77)))*$E77</f>
        <v>-1941.5239081432035</v>
      </c>
      <c r="CT77" s="1021">
        <f>(VLOOKUP(YEAR($A77),'NY East Load Projections'!$A$4:$EO$14,((MONTH($A77)-1)*12)+VLOOKUP(CT$4,$DE$6:$DF$17,2)+1))*(VLOOKUP($A77,SatSunCurve,8))*(INDEX(DailyScalarsTable,CT$5/100,MONTH($A77)))*$E77</f>
        <v>-1907.8262224025716</v>
      </c>
      <c r="CU77" s="1021">
        <f>(VLOOKUP(YEAR($A77),'NY East Load Projections'!$A$4:$EO$14,((MONTH($A77)-1)*12)+VLOOKUP(CU$4,$DE$6:$DF$17,2)+1))*(VLOOKUP($A77,SatSunCurve,8))*(INDEX(DailyScalarsTable,CU$5/100,MONTH($A77)))*$E77</f>
        <v>-2070.0982476817908</v>
      </c>
      <c r="CV77" s="1021">
        <f>(VLOOKUP(YEAR($A77),'NY East Load Projections'!$A$4:$EO$14,((MONTH($A77)-1)*12)+VLOOKUP(CV$4,$DE$6:$DF$17,2)+1))*(VLOOKUP($A77,SatSunCurve,8))*(INDEX(DailyScalarsTable,CV$5/100,MONTH($A77)))*$E77</f>
        <v>-2917.4811813035544</v>
      </c>
      <c r="CW77" s="1021">
        <f>(VLOOKUP(YEAR($A77),'NY East Load Projections'!$A$4:$EO$14,((MONTH($A77)-1)*12)+VLOOKUP(CW$4,$DE$6:$DF$17,2)+1))*(VLOOKUP($A77,SatSunCurve,8))*(INDEX(DailyScalarsTable,CW$5/100,MONTH($A77)))*$E77</f>
        <v>-2898.0434085895372</v>
      </c>
      <c r="CX77" s="1021">
        <f>(VLOOKUP(YEAR($A77),'NY East Load Projections'!$A$4:$EO$14,((MONTH($A77)-1)*12)+VLOOKUP(CX$4,$DE$6:$DF$17,2)+1))*(VLOOKUP($A77,SatSunCurve,8))*(INDEX(DailyScalarsTable,CX$5/100,MONTH($A77)))*$E77</f>
        <v>-2798.2482655093518</v>
      </c>
      <c r="CY77" s="1021">
        <f>(VLOOKUP(YEAR($A77),'NY East Load Projections'!$A$4:$EO$14,((MONTH($A77)-1)*12)+VLOOKUP(CY$4,$DE$6:$DF$17,2)+1))*(VLOOKUP($A77,SatSunCurve,8))*(INDEX(DailyScalarsTable,CY$5/100,MONTH($A77)))*$E77</f>
        <v>-2626.4388271070584</v>
      </c>
      <c r="CZ77" s="1021">
        <f>(VLOOKUP(YEAR($A77),'NY East Load Projections'!$A$4:$EO$14,((MONTH($A77)-1)*12)+VLOOKUP(CZ$4,$DE$6:$DF$17,2)+1))*(VLOOKUP($A77,SatSunCurve,8))*(INDEX(DailyScalarsTable,CZ$5/100,MONTH($A77)))*$E77</f>
        <v>-1936.2002217656432</v>
      </c>
      <c r="DA77" s="1021">
        <f>(VLOOKUP(YEAR($A77),'NY East Load Projections'!$A$4:$EO$14,((MONTH($A77)-1)*12)+VLOOKUP(DA$4,$DE$6:$DF$17,2)+1))*(VLOOKUP($A77,SatSunCurve,8))*(INDEX(DailyScalarsTable,DA$5/100,MONTH($A77)))*$E77</f>
        <v>-1597.3936063304336</v>
      </c>
      <c r="DB77" s="1021">
        <f>(VLOOKUP(YEAR($A77),'NY East Load Projections'!$A$4:$EO$14,((MONTH($A77)-1)*12)+VLOOKUP(DB$4,$DE$6:$DF$17,2)+1))*(VLOOKUP($A77,CURVES!$D$9:$T$261,8))*(INDEX(DailyScalarsTable,DB$5/100,MONTH($A77)))*$E77</f>
        <v>-1989.0434950920949</v>
      </c>
      <c r="DH77" s="1021">
        <f t="shared" si="2"/>
        <v>-1863297.1360417341</v>
      </c>
      <c r="DI77">
        <f ca="1">CALC!J97</f>
        <v>0.60797735907077</v>
      </c>
      <c r="DJ77" s="1029">
        <f t="shared" ca="1" si="3"/>
        <v>-1132842.4719347828</v>
      </c>
    </row>
    <row r="78" spans="1:114" x14ac:dyDescent="0.25">
      <c r="A78" s="244">
        <v>39083</v>
      </c>
      <c r="B78" s="13">
        <v>22</v>
      </c>
      <c r="C78" s="210">
        <v>4</v>
      </c>
      <c r="D78" s="210">
        <v>4</v>
      </c>
      <c r="E78" s="210">
        <v>1</v>
      </c>
      <c r="F78" s="13">
        <v>31</v>
      </c>
      <c r="H78" s="1021">
        <f>(VLOOKUP(YEAR($A78),'NY East Load Projections'!$A$4:$EO$14,((MONTH($A78)-1)*12)+VLOOKUP(H$4,$DE$6:$DF$17,2)+1))*(VLOOKUP($A78,CURVES!$D$9:$K$261,8))*(INDEX(DailyScalarsTable,H$5/100,MONTH($A78)))*$B78</f>
        <v>-34478.239021221467</v>
      </c>
      <c r="I78" s="1021">
        <f>(VLOOKUP(YEAR($A78),'NY East Load Projections'!$A$4:$EO$14,((MONTH($A78)-1)*12)+VLOOKUP(I$4,$DE$6:$DF$17,2)+1))*(VLOOKUP($A78,CURVES!$D$9:$K$261,8))*(INDEX(DailyScalarsTable,I$5/100,MONTH($A78)))*$B78</f>
        <v>-33806.50686812793</v>
      </c>
      <c r="J78" s="1021">
        <f>(VLOOKUP(YEAR($A78),'NY East Load Projections'!$A$4:$EO$14,((MONTH($A78)-1)*12)+VLOOKUP(J$4,$DE$6:$DF$17,2)+1))*(VLOOKUP($A78,CURVES!$D$9:$K$261,8))*(INDEX(DailyScalarsTable,J$5/100,MONTH($A78)))*$B78</f>
        <v>-30978.611925532317</v>
      </c>
      <c r="K78" s="1021">
        <f>(VLOOKUP(YEAR($A78),'NY East Load Projections'!$A$4:$EO$14,((MONTH($A78)-1)*12)+VLOOKUP(K$4,$DE$6:$DF$17,2)+1))*(VLOOKUP($A78,CURVES!$D$9:$K$261,8))*(INDEX(DailyScalarsTable,K$5/100,MONTH($A78)))*$B78</f>
        <v>-30959.881776540347</v>
      </c>
      <c r="L78" s="1021">
        <f>(VLOOKUP(YEAR($A78),'NY East Load Projections'!$A$4:$EO$14,((MONTH($A78)-1)*12)+VLOOKUP(L$4,$DE$6:$DF$17,2)+1))*(VLOOKUP($A78,CURVES!$D$9:$K$261,8))*(INDEX(DailyScalarsTable,L$5/100,MONTH($A78)))*$B78</f>
        <v>-35105.754388134133</v>
      </c>
      <c r="M78" s="1021">
        <f>(VLOOKUP(YEAR($A78),'NY East Load Projections'!$A$4:$EO$14,((MONTH($A78)-1)*12)+VLOOKUP(M$4,$DE$6:$DF$17,2)+1))*(VLOOKUP($A78,CURVES!$D$9:$K$261,8))*(INDEX(DailyScalarsTable,M$5/100,MONTH($A78)))*$B78</f>
        <v>-37465.491452144568</v>
      </c>
      <c r="N78" s="1021">
        <f>(VLOOKUP(YEAR($A78),'NY East Load Projections'!$A$4:$EO$14,((MONTH($A78)-1)*12)+VLOOKUP(N$4,$DE$6:$DF$17,2)+1))*(VLOOKUP($A78,CURVES!$D$9:$K$261,8))*(INDEX(DailyScalarsTable,N$5/100,MONTH($A78)))*$B78</f>
        <v>-71745.959942672242</v>
      </c>
      <c r="O78" s="1021">
        <f>(VLOOKUP(YEAR($A78),'NY East Load Projections'!$A$4:$EO$14,((MONTH($A78)-1)*12)+VLOOKUP(O$4,$DE$6:$DF$17,2)+1))*(VLOOKUP($A78,CURVES!$D$9:$K$261,4))*(INDEX(DailyScalarsTable,O$5/100,MONTH($A78)))*$B78</f>
        <v>-84757.095567924189</v>
      </c>
      <c r="P78" s="1021">
        <f>(VLOOKUP(YEAR($A78),'NY East Load Projections'!$A$4:$EO$14,((MONTH($A78)-1)*12)+VLOOKUP(P$4,$DE$6:$DF$17,2)+1))*(VLOOKUP($A78,CURVES!$D$9:$K$261,4))*(INDEX(DailyScalarsTable,P$5/100,MONTH($A78)))*$B78</f>
        <v>-93635.266220703605</v>
      </c>
      <c r="Q78" s="1021">
        <f>(VLOOKUP(YEAR($A78),'NY East Load Projections'!$A$4:$EO$14,((MONTH($A78)-1)*12)+VLOOKUP(Q$4,$DE$6:$DF$17,2)+1))*(VLOOKUP($A78,CURVES!$D$9:$K$261,4))*(INDEX(DailyScalarsTable,Q$5/100,MONTH($A78)))*$B78</f>
        <v>-93350.278080926102</v>
      </c>
      <c r="R78" s="1021">
        <f>(VLOOKUP(YEAR($A78),'NY East Load Projections'!$A$4:$EO$14,((MONTH($A78)-1)*12)+VLOOKUP(R$4,$DE$6:$DF$17,2)+1))*(VLOOKUP($A78,CURVES!$D$9:$K$261,4))*(INDEX(DailyScalarsTable,R$5/100,MONTH($A78)))*$B78</f>
        <v>-91721.193289682487</v>
      </c>
      <c r="S78" s="1021">
        <f>(VLOOKUP(YEAR($A78),'NY East Load Projections'!$A$4:$EO$14,((MONTH($A78)-1)*12)+VLOOKUP(S$4,$DE$6:$DF$17,2)+1))*(VLOOKUP($A78,CURVES!$D$9:$K$261,4))*(INDEX(DailyScalarsTable,S$5/100,MONTH($A78)))*$B78</f>
        <v>-68707.851815845905</v>
      </c>
      <c r="T78" s="1021">
        <f>(VLOOKUP(YEAR($A78),'NY East Load Projections'!$A$4:$EO$14,((MONTH($A78)-1)*12)+VLOOKUP(T$4,$DE$6:$DF$17,2)+1))*(VLOOKUP($A78,CURVES!$D$9:$K$261,4))*(INDEX(DailyScalarsTable,T$5/100,MONTH($A78)))*$B78</f>
        <v>-67460.474350116056</v>
      </c>
      <c r="U78" s="1021">
        <f>(VLOOKUP(YEAR($A78),'NY East Load Projections'!$A$4:$EO$14,((MONTH($A78)-1)*12)+VLOOKUP(U$4,$DE$6:$DF$17,2)+1))*(VLOOKUP($A78,CURVES!$D$9:$K$261,4))*(INDEX(DailyScalarsTable,U$5/100,MONTH($A78)))*$B78</f>
        <v>-65282.293381394484</v>
      </c>
      <c r="V78" s="1021">
        <f>(VLOOKUP(YEAR($A78),'NY East Load Projections'!$A$4:$EO$14,((MONTH($A78)-1)*12)+VLOOKUP(V$4,$DE$6:$DF$17,2)+1))*(VLOOKUP($A78,CURVES!$D$9:$K$261,4))*(INDEX(DailyScalarsTable,V$5/100,MONTH($A78)))*$B78</f>
        <v>-61959.778208090916</v>
      </c>
      <c r="W78" s="1021">
        <f>(VLOOKUP(YEAR($A78),'NY East Load Projections'!$A$4:$EO$14,((MONTH($A78)-1)*12)+VLOOKUP(W$4,$DE$6:$DF$17,2)+1))*(VLOOKUP($A78,CURVES!$D$9:$K$261,4))*(INDEX(DailyScalarsTable,W$5/100,MONTH($A78)))*$B78</f>
        <v>-60712.848523098124</v>
      </c>
      <c r="X78" s="1021">
        <f>(VLOOKUP(YEAR($A78),'NY East Load Projections'!$A$4:$EO$14,((MONTH($A78)-1)*12)+VLOOKUP(X$4,$DE$6:$DF$17,2)+1))*(VLOOKUP($A78,CURVES!$D$9:$K$261,4))*(INDEX(DailyScalarsTable,X$5/100,MONTH($A78)))*$B78</f>
        <v>-63387.650728075358</v>
      </c>
      <c r="Y78" s="1021">
        <f>(VLOOKUP(YEAR($A78),'NY East Load Projections'!$A$4:$EO$14,((MONTH($A78)-1)*12)+VLOOKUP(Y$4,$DE$6:$DF$17,2)+1))*(VLOOKUP($A78,CURVES!$D$9:$K$261,4))*(INDEX(DailyScalarsTable,Y$5/100,MONTH($A78)))*$B78</f>
        <v>-88201.162151644749</v>
      </c>
      <c r="Z78" s="1021">
        <f>(VLOOKUP(YEAR($A78),'NY East Load Projections'!$A$4:$EO$14,((MONTH($A78)-1)*12)+VLOOKUP(Z$4,$DE$6:$DF$17,2)+1))*(VLOOKUP($A78,CURVES!$D$9:$K$261,4))*(INDEX(DailyScalarsTable,Z$5/100,MONTH($A78)))*$B78</f>
        <v>-96780.110282111025</v>
      </c>
      <c r="AA78" s="1021">
        <f>(VLOOKUP(YEAR($A78),'NY East Load Projections'!$A$4:$EO$14,((MONTH($A78)-1)*12)+VLOOKUP(AA$4,$DE$6:$DF$17,2)+1))*(VLOOKUP($A78,CURVES!$D$9:$K$261,4))*(INDEX(DailyScalarsTable,AA$5/100,MONTH($A78)))*$B78</f>
        <v>-92635.359032096807</v>
      </c>
      <c r="AB78" s="1021">
        <f>(VLOOKUP(YEAR($A78),'NY East Load Projections'!$A$4:$EO$14,((MONTH($A78)-1)*12)+VLOOKUP(AB$4,$DE$6:$DF$17,2)+1))*(VLOOKUP($A78,CURVES!$D$9:$K$261,4))*(INDEX(DailyScalarsTable,AB$5/100,MONTH($A78)))*$B78</f>
        <v>-80488.336380563342</v>
      </c>
      <c r="AC78" s="1021">
        <f>(VLOOKUP(YEAR($A78),'NY East Load Projections'!$A$4:$EO$14,((MONTH($A78)-1)*12)+VLOOKUP(AC$4,$DE$6:$DF$17,2)+1))*(VLOOKUP($A78,CURVES!$D$9:$K$261,4))*(INDEX(DailyScalarsTable,AC$5/100,MONTH($A78)))*$B78</f>
        <v>-57245.169021455527</v>
      </c>
      <c r="AD78" s="1021">
        <f>(VLOOKUP(YEAR($A78),'NY East Load Projections'!$A$4:$EO$14,((MONTH($A78)-1)*12)+VLOOKUP(AD$4,$DE$6:$DF$17,2)+1))*(VLOOKUP($A78,CURVES!$D$9:$K$261,4))*(INDEX(DailyScalarsTable,AD$5/100,MONTH($A78)))*$B78</f>
        <v>-46862.296003565236</v>
      </c>
      <c r="AE78" s="1021">
        <f>(VLOOKUP(YEAR($A78),'NY East Load Projections'!$A$4:$EO$14,((MONTH($A78)-1)*12)+VLOOKUP(AE$4,$DE$6:$DF$17,2)+1))*(VLOOKUP($A78,CURVES!$D$9:$K$261,8))*(INDEX(DailyScalarsTable,AE$5/100,MONTH($A78)))*$B78</f>
        <v>-40828.536232223181</v>
      </c>
      <c r="AF78" s="1021"/>
      <c r="AG78" s="1021">
        <f>(VLOOKUP(YEAR($A78),'NY East Load Projections'!$A$4:$EO$14,((MONTH($A78)-1)*12)+VLOOKUP(AG$4,$DE$6:$DF$17,2)+1))*(VLOOKUP($A78,CURVES!$D$9:$T$261,8))*(INDEX(DailyScalarsTable,AG$5/100,MONTH($A78)))*$C78</f>
        <v>-6677.1902870897384</v>
      </c>
      <c r="AH78" s="1021">
        <f>(VLOOKUP(YEAR($A78),'NY East Load Projections'!$A$4:$EO$14,((MONTH($A78)-1)*12)+VLOOKUP(AH$4,$DE$6:$DF$17,2)+1))*(VLOOKUP($A78,CURVES!$D$9:$T$261,8))*(INDEX(DailyScalarsTable,AH$5/100,MONTH($A78)))*$C78</f>
        <v>-6547.1000175315603</v>
      </c>
      <c r="AI78" s="1021">
        <f>(VLOOKUP(YEAR($A78),'NY East Load Projections'!$A$4:$EO$14,((MONTH($A78)-1)*12)+VLOOKUP(AI$4,$DE$6:$DF$17,2)+1))*(VLOOKUP($A78,CURVES!$D$9:$T$261,8))*(INDEX(DailyScalarsTable,AI$5/100,MONTH($A78)))*$C78</f>
        <v>-5999.4388498023309</v>
      </c>
      <c r="AJ78" s="1021">
        <f>(VLOOKUP(YEAR($A78),'NY East Load Projections'!$A$4:$EO$14,((MONTH($A78)-1)*12)+VLOOKUP(AJ$4,$DE$6:$DF$17,2)+1))*(VLOOKUP($A78,CURVES!$D$9:$T$261,8))*(INDEX(DailyScalarsTable,AJ$5/100,MONTH($A78)))*$C78</f>
        <v>-5995.811496072115</v>
      </c>
      <c r="AK78" s="1021">
        <f>(VLOOKUP(YEAR($A78),'NY East Load Projections'!$A$4:$EO$14,((MONTH($A78)-1)*12)+VLOOKUP(AK$4,$DE$6:$DF$17,2)+1))*(VLOOKUP($A78,CURVES!$D$9:$T$261,8))*(INDEX(DailyScalarsTable,AK$5/100,MONTH($A78)))*$C78</f>
        <v>-6309.9207918342217</v>
      </c>
      <c r="AL78" s="1021">
        <f>(VLOOKUP(YEAR($A78),'NY East Load Projections'!$A$4:$EO$14,((MONTH($A78)-1)*12)+VLOOKUP(AL$4,$DE$6:$DF$17,2)+1))*(VLOOKUP($A78,CURVES!$D$9:$T$261,8))*(INDEX(DailyScalarsTable,AL$5/100,MONTH($A78)))*$C78</f>
        <v>-6734.0607718169349</v>
      </c>
      <c r="AM78" s="1021">
        <f>(VLOOKUP(YEAR($A78),'NY East Load Projections'!$A$4:$EO$14,((MONTH($A78)-1)*12)+VLOOKUP(AM$4,$DE$6:$DF$17,2)+1))*(VLOOKUP($A78,CURVES!$D$9:$T$261,8))*(INDEX(DailyScalarsTable,AM$5/100,MONTH($A78)))*$C78</f>
        <v>-12895.644382602721</v>
      </c>
      <c r="AN78" s="1021">
        <f>(VLOOKUP(YEAR($A78),'NY East Load Projections'!$A$4:$EO$14,((MONTH($A78)-1)*12)+VLOOKUP(AN$4,$DE$6:$DF$17,2)+1))*(VLOOKUP($A78,SatSunCurve,4))*(INDEX(DailyScalarsTable,AN$5/100,MONTH($A78)))*$C78</f>
        <v>-12119.031434132528</v>
      </c>
      <c r="AO78" s="1021">
        <f>(VLOOKUP(YEAR($A78),'NY East Load Projections'!$A$4:$EO$14,((MONTH($A78)-1)*12)+VLOOKUP(AO$4,$DE$6:$DF$17,2)+1))*(VLOOKUP($A78,SatSunCurve,4))*(INDEX(DailyScalarsTable,AO$5/100,MONTH($A78)))*$C78</f>
        <v>-13633.499167462855</v>
      </c>
      <c r="AP78" s="1021">
        <f>(VLOOKUP(YEAR($A78),'NY East Load Projections'!$A$4:$EO$14,((MONTH($A78)-1)*12)+VLOOKUP(AP$4,$DE$6:$DF$17,2)+1))*(VLOOKUP($A78,SatSunCurve,4))*(INDEX(DailyScalarsTable,AP$5/100,MONTH($A78)))*$C78</f>
        <v>-13592.004272182321</v>
      </c>
      <c r="AQ78" s="1021">
        <f>(VLOOKUP(YEAR($A78),'NY East Load Projections'!$A$4:$EO$14,((MONTH($A78)-1)*12)+VLOOKUP(AQ$4,$DE$6:$DF$17,2)+1))*(VLOOKUP($A78,SatSunCurve,4))*(INDEX(DailyScalarsTable,AQ$5/100,MONTH($A78)))*$C78</f>
        <v>-13354.805970286154</v>
      </c>
      <c r="AR78" s="1021">
        <f>(VLOOKUP(YEAR($A78),'NY East Load Projections'!$A$4:$EO$14,((MONTH($A78)-1)*12)+VLOOKUP(AR$4,$DE$6:$DF$17,2)+1))*(VLOOKUP($A78,SatSunCurve,4))*(INDEX(DailyScalarsTable,AR$5/100,MONTH($A78)))*$C78</f>
        <v>-10004.013213585304</v>
      </c>
      <c r="AS78" s="1021">
        <f>(VLOOKUP(YEAR($A78),'NY East Load Projections'!$A$4:$EO$14,((MONTH($A78)-1)*12)+VLOOKUP(AS$4,$DE$6:$DF$17,2)+1))*(VLOOKUP($A78,SatSunCurve,4))*(INDEX(DailyScalarsTable,AS$5/100,MONTH($A78)))*$C78</f>
        <v>-9709.3403961457861</v>
      </c>
      <c r="AT78" s="1021">
        <f>(VLOOKUP(YEAR($A78),'NY East Load Projections'!$A$4:$EO$14,((MONTH($A78)-1)*12)+VLOOKUP(AT$4,$DE$6:$DF$17,2)+1))*(VLOOKUP($A78,SatSunCurve,4))*(INDEX(DailyScalarsTable,AT$5/100,MONTH($A78)))*$C78</f>
        <v>-9395.8427418013507</v>
      </c>
      <c r="AU78" s="1021">
        <f>(VLOOKUP(YEAR($A78),'NY East Load Projections'!$A$4:$EO$14,((MONTH($A78)-1)*12)+VLOOKUP(AU$4,$DE$6:$DF$17,2)+1))*(VLOOKUP($A78,SatSunCurve,4))*(INDEX(DailyScalarsTable,AU$5/100,MONTH($A78)))*$C78</f>
        <v>-8917.6452328194391</v>
      </c>
      <c r="AV78" s="1021">
        <f>(VLOOKUP(YEAR($A78),'NY East Load Projections'!$A$4:$EO$14,((MONTH($A78)-1)*12)+VLOOKUP(AV$4,$DE$6:$DF$17,2)+1))*(VLOOKUP($A78,SatSunCurve,4))*(INDEX(DailyScalarsTable,AV$5/100,MONTH($A78)))*$C78</f>
        <v>-8738.1791843179144</v>
      </c>
      <c r="AW78" s="1021">
        <f>(VLOOKUP(YEAR($A78),'NY East Load Projections'!$A$4:$EO$14,((MONTH($A78)-1)*12)+VLOOKUP(AW$4,$DE$6:$DF$17,2)+1))*(VLOOKUP($A78,SatSunCurve,4))*(INDEX(DailyScalarsTable,AW$5/100,MONTH($A78)))*$C78</f>
        <v>-9068.8042741242425</v>
      </c>
      <c r="AX78" s="1021">
        <f>(VLOOKUP(YEAR($A78),'NY East Load Projections'!$A$4:$EO$14,((MONTH($A78)-1)*12)+VLOOKUP(AX$4,$DE$6:$DF$17,2)+1))*(VLOOKUP($A78,SatSunCurve,4))*(INDEX(DailyScalarsTable,AX$5/100,MONTH($A78)))*$C78</f>
        <v>-12618.847158966923</v>
      </c>
      <c r="AY78" s="1021">
        <f>(VLOOKUP(YEAR($A78),'NY East Load Projections'!$A$4:$EO$14,((MONTH($A78)-1)*12)+VLOOKUP(AY$4,$DE$6:$DF$17,2)+1))*(VLOOKUP($A78,SatSunCurve,4))*(INDEX(DailyScalarsTable,AY$5/100,MONTH($A78)))*$C78</f>
        <v>-13846.228211576332</v>
      </c>
      <c r="AZ78" s="1021">
        <f>(VLOOKUP(YEAR($A78),'NY East Load Projections'!$A$4:$EO$14,((MONTH($A78)-1)*12)+VLOOKUP(AZ$4,$DE$6:$DF$17,2)+1))*(VLOOKUP($A78,SatSunCurve,4))*(INDEX(DailyScalarsTable,AZ$5/100,MONTH($A78)))*$C78</f>
        <v>-13253.243025667516</v>
      </c>
      <c r="BA78" s="1021">
        <f>(VLOOKUP(YEAR($A78),'NY East Load Projections'!$A$4:$EO$14,((MONTH($A78)-1)*12)+VLOOKUP(BA$4,$DE$6:$DF$17,2)+1))*(VLOOKUP($A78,SatSunCurve,4))*(INDEX(DailyScalarsTable,BA$5/100,MONTH($A78)))*$C78</f>
        <v>-12023.971428815266</v>
      </c>
      <c r="BB78" s="1021">
        <f>(VLOOKUP(YEAR($A78),'NY East Load Projections'!$A$4:$EO$14,((MONTH($A78)-1)*12)+VLOOKUP(BB$4,$DE$6:$DF$17,2)+1))*(VLOOKUP($A78,SatSunCurve,4))*(INDEX(DailyScalarsTable,BB$5/100,MONTH($A78)))*$C78</f>
        <v>-8551.7269669633661</v>
      </c>
      <c r="BC78" s="1021">
        <f>(VLOOKUP(YEAR($A78),'NY East Load Projections'!$A$4:$EO$14,((MONTH($A78)-1)*12)+VLOOKUP(BC$4,$DE$6:$DF$17,2)+1))*(VLOOKUP($A78,SatSunCurve,4))*(INDEX(DailyScalarsTable,BC$5/100,MONTH($A78)))*$C78</f>
        <v>-7000.6529340022689</v>
      </c>
      <c r="BD78" s="1021">
        <f>(VLOOKUP(YEAR($A78),'NY East Load Projections'!$A$4:$EO$14,((MONTH($A78)-1)*12)+VLOOKUP(BD$4,$DE$6:$DF$17,2)+1))*(VLOOKUP($A78,CURVES!$D$9:$T$261,8))*(INDEX(DailyScalarsTable,BD$5/100,MONTH($A78)))*$C78</f>
        <v>-7667.1250443622694</v>
      </c>
      <c r="BE78" s="1021"/>
      <c r="BF78" s="1021">
        <f>(VLOOKUP(YEAR($A78),'NY East Load Projections'!$A$4:$EO$14,((MONTH($A78)-1)*12)+VLOOKUP(BF$4,$DE$6:$DF$17,2)+1))*(VLOOKUP($A78,CURVES!$D$9:$T$261,8))*(INDEX(DailyScalarsTable,BF$5/100,MONTH($A78)))*$D78</f>
        <v>-6677.1902870897384</v>
      </c>
      <c r="BG78" s="1021">
        <f>(VLOOKUP(YEAR($A78),'NY East Load Projections'!$A$4:$EO$14,((MONTH($A78)-1)*12)+VLOOKUP(BG$4,$DE$6:$DF$17,2)+1))*(VLOOKUP($A78,CURVES!$D$9:$T$261,8))*(INDEX(DailyScalarsTable,BG$5/100,MONTH($A78)))*$D78</f>
        <v>-6547.1000175315603</v>
      </c>
      <c r="BH78" s="1021">
        <f>(VLOOKUP(YEAR($A78),'NY East Load Projections'!$A$4:$EO$14,((MONTH($A78)-1)*12)+VLOOKUP(BH$4,$DE$6:$DF$17,2)+1))*(VLOOKUP($A78,CURVES!$D$9:$T$261,8))*(INDEX(DailyScalarsTable,BH$5/100,MONTH($A78)))*$D78</f>
        <v>-5999.4388498023309</v>
      </c>
      <c r="BI78" s="1021">
        <f>(VLOOKUP(YEAR($A78),'NY East Load Projections'!$A$4:$EO$14,((MONTH($A78)-1)*12)+VLOOKUP(BI$4,$DE$6:$DF$17,2)+1))*(VLOOKUP($A78,CURVES!$D$9:$T$261,8))*(INDEX(DailyScalarsTable,BI$5/100,MONTH($A78)))*$D78</f>
        <v>-5995.811496072115</v>
      </c>
      <c r="BJ78" s="1021">
        <f>(VLOOKUP(YEAR($A78),'NY East Load Projections'!$A$4:$EO$14,((MONTH($A78)-1)*12)+VLOOKUP(BJ$4,$DE$6:$DF$17,2)+1))*(VLOOKUP($A78,CURVES!$D$9:$T$261,8))*(INDEX(DailyScalarsTable,BJ$5/100,MONTH($A78)))*$D78</f>
        <v>-6309.9207918342217</v>
      </c>
      <c r="BK78" s="1021">
        <f>(VLOOKUP(YEAR($A78),'NY East Load Projections'!$A$4:$EO$14,((MONTH($A78)-1)*12)+VLOOKUP(BK$4,$DE$6:$DF$17,2)+1))*(VLOOKUP($A78,CURVES!$D$9:$T$261,8))*(INDEX(DailyScalarsTable,BK$5/100,MONTH($A78)))*$D78</f>
        <v>-6734.0607718169349</v>
      </c>
      <c r="BL78" s="1021">
        <f>(VLOOKUP(YEAR($A78),'NY East Load Projections'!$A$4:$EO$14,((MONTH($A78)-1)*12)+VLOOKUP(BL$4,$DE$6:$DF$17,2)+1))*(VLOOKUP($A78,CURVES!$D$9:$T$261,8))*(INDEX(DailyScalarsTable,BL$5/100,MONTH($A78)))*$D78</f>
        <v>-12895.644382602721</v>
      </c>
      <c r="BM78" s="1021">
        <f>(VLOOKUP(YEAR($A78),'NY East Load Projections'!$A$4:$EO$14,((MONTH($A78)-1)*12)+VLOOKUP(BM$4,$DE$6:$DF$17,2)+1))*(VLOOKUP($A78,SatSunCurve,8))*(INDEX(DailyScalarsTable,BM$5/100,MONTH($A78)))*$D78</f>
        <v>-12479.922619606026</v>
      </c>
      <c r="BN78" s="1021">
        <f>(VLOOKUP(YEAR($A78),'NY East Load Projections'!$A$4:$EO$14,((MONTH($A78)-1)*12)+VLOOKUP(BN$4,$DE$6:$DF$17,2)+1))*(VLOOKUP($A78,SatSunCurve,8))*(INDEX(DailyScalarsTable,BN$5/100,MONTH($A78)))*$D78</f>
        <v>-14039.48950616601</v>
      </c>
      <c r="BO78" s="1021">
        <f>(VLOOKUP(YEAR($A78),'NY East Load Projections'!$A$4:$EO$14,((MONTH($A78)-1)*12)+VLOOKUP(BO$4,$DE$6:$DF$17,2)+1))*(VLOOKUP($A78,SatSunCurve,8))*(INDEX(DailyScalarsTable,BO$5/100,MONTH($A78)))*$D78</f>
        <v>-13996.758939369127</v>
      </c>
      <c r="BP78" s="1021">
        <f>(VLOOKUP(YEAR($A78),'NY East Load Projections'!$A$4:$EO$14,((MONTH($A78)-1)*12)+VLOOKUP(BP$4,$DE$6:$DF$17,2)+1))*(VLOOKUP($A78,SatSunCurve,8))*(INDEX(DailyScalarsTable,BP$5/100,MONTH($A78)))*$D78</f>
        <v>-13752.497137652132</v>
      </c>
      <c r="BQ78" s="1021">
        <f>(VLOOKUP(YEAR($A78),'NY East Load Projections'!$A$4:$EO$14,((MONTH($A78)-1)*12)+VLOOKUP(BQ$4,$DE$6:$DF$17,2)+1))*(VLOOKUP($A78,SatSunCurve,8))*(INDEX(DailyScalarsTable,BQ$5/100,MONTH($A78)))*$D78</f>
        <v>-10301.921524803558</v>
      </c>
      <c r="BR78" s="1021">
        <f>(VLOOKUP(YEAR($A78),'NY East Load Projections'!$A$4:$EO$14,((MONTH($A78)-1)*12)+VLOOKUP(BR$4,$DE$6:$DF$17,2)+1))*(VLOOKUP($A78,SatSunCurve,8))*(INDEX(DailyScalarsTable,BR$5/100,MONTH($A78)))*$D78</f>
        <v>-9998.4736808290781</v>
      </c>
      <c r="BS78" s="1021">
        <f>(VLOOKUP(YEAR($A78),'NY East Load Projections'!$A$4:$EO$14,((MONTH($A78)-1)*12)+VLOOKUP(BS$4,$DE$6:$DF$17,2)+1))*(VLOOKUP($A78,SatSunCurve,8))*(INDEX(DailyScalarsTable,BS$5/100,MONTH($A78)))*$D78</f>
        <v>-9675.6404173863066</v>
      </c>
      <c r="BT78" s="1021">
        <f>(VLOOKUP(YEAR($A78),'NY East Load Projections'!$A$4:$EO$14,((MONTH($A78)-1)*12)+VLOOKUP(BT$4,$DE$6:$DF$17,2)+1))*(VLOOKUP($A78,SatSunCurve,8))*(INDEX(DailyScalarsTable,BT$5/100,MONTH($A78)))*$D78</f>
        <v>-9183.2027220623659</v>
      </c>
      <c r="BU78" s="1021">
        <f>(VLOOKUP(YEAR($A78),'NY East Load Projections'!$A$4:$EO$14,((MONTH($A78)-1)*12)+VLOOKUP(BU$4,$DE$6:$DF$17,2)+1))*(VLOOKUP($A78,SatSunCurve,8))*(INDEX(DailyScalarsTable,BU$5/100,MONTH($A78)))*$D78</f>
        <v>-8998.3923755987489</v>
      </c>
      <c r="BV78" s="1021">
        <f>(VLOOKUP(YEAR($A78),'NY East Load Projections'!$A$4:$EO$14,((MONTH($A78)-1)*12)+VLOOKUP(BV$4,$DE$6:$DF$17,2)+1))*(VLOOKUP($A78,SatSunCurve,8))*(INDEX(DailyScalarsTable,BV$5/100,MONTH($A78)))*$D78</f>
        <v>-9338.8631103525295</v>
      </c>
      <c r="BW78" s="1021">
        <f>(VLOOKUP(YEAR($A78),'NY East Load Projections'!$A$4:$EO$14,((MONTH($A78)-1)*12)+VLOOKUP(BW$4,$DE$6:$DF$17,2)+1))*(VLOOKUP($A78,SatSunCurve,8))*(INDEX(DailyScalarsTable,BW$5/100,MONTH($A78)))*$D78</f>
        <v>-12994.622297042919</v>
      </c>
      <c r="BX78" s="1021">
        <f>(VLOOKUP(YEAR($A78),'NY East Load Projections'!$A$4:$EO$14,((MONTH($A78)-1)*12)+VLOOKUP(BX$4,$DE$6:$DF$17,2)+1))*(VLOOKUP($A78,SatSunCurve,8))*(INDEX(DailyScalarsTable,BX$5/100,MONTH($A78)))*$D78</f>
        <v>-14258.553383003706</v>
      </c>
      <c r="BY78" s="1021">
        <f>(VLOOKUP(YEAR($A78),'NY East Load Projections'!$A$4:$EO$14,((MONTH($A78)-1)*12)+VLOOKUP(BY$4,$DE$6:$DF$17,2)+1))*(VLOOKUP($A78,SatSunCurve,8))*(INDEX(DailyScalarsTable,BY$5/100,MONTH($A78)))*$D78</f>
        <v>-13647.909762270789</v>
      </c>
      <c r="BZ78" s="1021">
        <f>(VLOOKUP(YEAR($A78),'NY East Load Projections'!$A$4:$EO$14,((MONTH($A78)-1)*12)+VLOOKUP(BZ$4,$DE$6:$DF$17,2)+1))*(VLOOKUP($A78,SatSunCurve,8))*(INDEX(DailyScalarsTable,BZ$5/100,MONTH($A78)))*$D78</f>
        <v>-12382.031833776602</v>
      </c>
      <c r="CA78" s="1021">
        <f>(VLOOKUP(YEAR($A78),'NY East Load Projections'!$A$4:$EO$14,((MONTH($A78)-1)*12)+VLOOKUP(CA$4,$DE$6:$DF$17,2)+1))*(VLOOKUP($A78,SatSunCurve,8))*(INDEX(DailyScalarsTable,CA$5/100,MONTH($A78)))*$D78</f>
        <v>-8806.3878199966293</v>
      </c>
      <c r="CB78" s="1021">
        <f>(VLOOKUP(YEAR($A78),'NY East Load Projections'!$A$4:$EO$14,((MONTH($A78)-1)*12)+VLOOKUP(CB$4,$DE$6:$DF$17,2)+1))*(VLOOKUP($A78,SatSunCurve,8))*(INDEX(DailyScalarsTable,CB$5/100,MONTH($A78)))*$D78</f>
        <v>-7209.1245391938319</v>
      </c>
      <c r="CC78" s="1021">
        <f>(VLOOKUP(YEAR($A78),'NY East Load Projections'!$A$4:$EO$14,((MONTH($A78)-1)*12)+VLOOKUP(CC$4,$DE$6:$DF$17,2)+1))*(VLOOKUP($A78,CURVES!$D$9:$T$261,8))*(INDEX(DailyScalarsTable,CC$5/100,MONTH($A78)))*$D78</f>
        <v>-7667.1250443622694</v>
      </c>
      <c r="CE78" s="1021">
        <f>(VLOOKUP(YEAR($A78),'NY East Load Projections'!$A$4:$EO$14,((MONTH($A78)-1)*12)+VLOOKUP(CE$4,$DE$6:$DF$17,2)+1))*(VLOOKUP($A78,CURVES!$D$9:$T$261,8))*(INDEX(DailyScalarsTable,CE$5/100,MONTH($A78)))*$E78</f>
        <v>-1669.2975717724346</v>
      </c>
      <c r="CF78" s="1021">
        <f>(VLOOKUP(YEAR($A78),'NY East Load Projections'!$A$4:$EO$14,((MONTH($A78)-1)*12)+VLOOKUP(CF$4,$DE$6:$DF$17,2)+1))*(VLOOKUP($A78,CURVES!$D$9:$T$261,8))*(INDEX(DailyScalarsTable,CF$5/100,MONTH($A78)))*$E78</f>
        <v>-1636.7750043828901</v>
      </c>
      <c r="CG78" s="1021">
        <f>(VLOOKUP(YEAR($A78),'NY East Load Projections'!$A$4:$EO$14,((MONTH($A78)-1)*12)+VLOOKUP(CG$4,$DE$6:$DF$17,2)+1))*(VLOOKUP($A78,CURVES!$D$9:$T$261,8))*(INDEX(DailyScalarsTable,CG$5/100,MONTH($A78)))*$E78</f>
        <v>-1499.8597124505827</v>
      </c>
      <c r="CH78" s="1021">
        <f>(VLOOKUP(YEAR($A78),'NY East Load Projections'!$A$4:$EO$14,((MONTH($A78)-1)*12)+VLOOKUP(CH$4,$DE$6:$DF$17,2)+1))*(VLOOKUP($A78,CURVES!$D$9:$T$261,8))*(INDEX(DailyScalarsTable,CH$5/100,MONTH($A78)))*$E78</f>
        <v>-1498.9528740180288</v>
      </c>
      <c r="CI78" s="1021">
        <f>(VLOOKUP(YEAR($A78),'NY East Load Projections'!$A$4:$EO$14,((MONTH($A78)-1)*12)+VLOOKUP(CI$4,$DE$6:$DF$17,2)+1))*(VLOOKUP($A78,CURVES!$D$9:$T$261,8))*(INDEX(DailyScalarsTable,CI$5/100,MONTH($A78)))*$E78</f>
        <v>-1577.4801979585554</v>
      </c>
      <c r="CJ78" s="1021">
        <f>(VLOOKUP(YEAR($A78),'NY East Load Projections'!$A$4:$EO$14,((MONTH($A78)-1)*12)+VLOOKUP(CJ$4,$DE$6:$DF$17,2)+1))*(VLOOKUP($A78,CURVES!$D$9:$T$261,8))*(INDEX(DailyScalarsTable,CJ$5/100,MONTH($A78)))*$E78</f>
        <v>-1683.5151929542337</v>
      </c>
      <c r="CK78" s="1021">
        <f>(VLOOKUP(YEAR($A78),'NY East Load Projections'!$A$4:$EO$14,((MONTH($A78)-1)*12)+VLOOKUP(CK$4,$DE$6:$DF$17,2)+1))*(VLOOKUP($A78,CURVES!$D$9:$T$261,8))*(INDEX(DailyScalarsTable,CK$5/100,MONTH($A78)))*$E78</f>
        <v>-3223.9110956506802</v>
      </c>
      <c r="CL78" s="1021">
        <f>(VLOOKUP(YEAR($A78),'NY East Load Projections'!$A$4:$EO$14,((MONTH($A78)-1)*12)+VLOOKUP(CL$4,$DE$6:$DF$17,2)+1))*(VLOOKUP($A78,SatSunCurve,8))*(INDEX(DailyScalarsTable,CL$5/100,MONTH($A78)))*$E78</f>
        <v>-3119.9806549015066</v>
      </c>
      <c r="CM78" s="1021">
        <f>(VLOOKUP(YEAR($A78),'NY East Load Projections'!$A$4:$EO$14,((MONTH($A78)-1)*12)+VLOOKUP(CM$4,$DE$6:$DF$17,2)+1))*(VLOOKUP($A78,SatSunCurve,8))*(INDEX(DailyScalarsTable,CM$5/100,MONTH($A78)))*$E78</f>
        <v>-3509.8723765415025</v>
      </c>
      <c r="CN78" s="1021">
        <f>(VLOOKUP(YEAR($A78),'NY East Load Projections'!$A$4:$EO$14,((MONTH($A78)-1)*12)+VLOOKUP(CN$4,$DE$6:$DF$17,2)+1))*(VLOOKUP($A78,SatSunCurve,8))*(INDEX(DailyScalarsTable,CN$5/100,MONTH($A78)))*$E78</f>
        <v>-3499.1897348422817</v>
      </c>
      <c r="CO78" s="1021">
        <f>(VLOOKUP(YEAR($A78),'NY East Load Projections'!$A$4:$EO$14,((MONTH($A78)-1)*12)+VLOOKUP(CO$4,$DE$6:$DF$17,2)+1))*(VLOOKUP($A78,SatSunCurve,8))*(INDEX(DailyScalarsTable,CO$5/100,MONTH($A78)))*$E78</f>
        <v>-3438.1242844130329</v>
      </c>
      <c r="CP78" s="1021">
        <f>(VLOOKUP(YEAR($A78),'NY East Load Projections'!$A$4:$EO$14,((MONTH($A78)-1)*12)+VLOOKUP(CP$4,$DE$6:$DF$17,2)+1))*(VLOOKUP($A78,SatSunCurve,8))*(INDEX(DailyScalarsTable,CP$5/100,MONTH($A78)))*$E78</f>
        <v>-2575.4803812008895</v>
      </c>
      <c r="CQ78" s="1021">
        <f>(VLOOKUP(YEAR($A78),'NY East Load Projections'!$A$4:$EO$14,((MONTH($A78)-1)*12)+VLOOKUP(CQ$4,$DE$6:$DF$17,2)+1))*(VLOOKUP($A78,SatSunCurve,8))*(INDEX(DailyScalarsTable,CQ$5/100,MONTH($A78)))*$E78</f>
        <v>-2499.6184202072695</v>
      </c>
      <c r="CR78" s="1021">
        <f>(VLOOKUP(YEAR($A78),'NY East Load Projections'!$A$4:$EO$14,((MONTH($A78)-1)*12)+VLOOKUP(CR$4,$DE$6:$DF$17,2)+1))*(VLOOKUP($A78,SatSunCurve,8))*(INDEX(DailyScalarsTable,CR$5/100,MONTH($A78)))*$E78</f>
        <v>-2418.9101043465766</v>
      </c>
      <c r="CS78" s="1021">
        <f>(VLOOKUP(YEAR($A78),'NY East Load Projections'!$A$4:$EO$14,((MONTH($A78)-1)*12)+VLOOKUP(CS$4,$DE$6:$DF$17,2)+1))*(VLOOKUP($A78,SatSunCurve,8))*(INDEX(DailyScalarsTable,CS$5/100,MONTH($A78)))*$E78</f>
        <v>-2295.8006805155915</v>
      </c>
      <c r="CT78" s="1021">
        <f>(VLOOKUP(YEAR($A78),'NY East Load Projections'!$A$4:$EO$14,((MONTH($A78)-1)*12)+VLOOKUP(CT$4,$DE$6:$DF$17,2)+1))*(VLOOKUP($A78,SatSunCurve,8))*(INDEX(DailyScalarsTable,CT$5/100,MONTH($A78)))*$E78</f>
        <v>-2249.5980938996872</v>
      </c>
      <c r="CU78" s="1021">
        <f>(VLOOKUP(YEAR($A78),'NY East Load Projections'!$A$4:$EO$14,((MONTH($A78)-1)*12)+VLOOKUP(CU$4,$DE$6:$DF$17,2)+1))*(VLOOKUP($A78,SatSunCurve,8))*(INDEX(DailyScalarsTable,CU$5/100,MONTH($A78)))*$E78</f>
        <v>-2334.7157775881324</v>
      </c>
      <c r="CV78" s="1021">
        <f>(VLOOKUP(YEAR($A78),'NY East Load Projections'!$A$4:$EO$14,((MONTH($A78)-1)*12)+VLOOKUP(CV$4,$DE$6:$DF$17,2)+1))*(VLOOKUP($A78,SatSunCurve,8))*(INDEX(DailyScalarsTable,CV$5/100,MONTH($A78)))*$E78</f>
        <v>-3248.6555742607297</v>
      </c>
      <c r="CW78" s="1021">
        <f>(VLOOKUP(YEAR($A78),'NY East Load Projections'!$A$4:$EO$14,((MONTH($A78)-1)*12)+VLOOKUP(CW$4,$DE$6:$DF$17,2)+1))*(VLOOKUP($A78,SatSunCurve,8))*(INDEX(DailyScalarsTable,CW$5/100,MONTH($A78)))*$E78</f>
        <v>-3564.6383457509264</v>
      </c>
      <c r="CX78" s="1021">
        <f>(VLOOKUP(YEAR($A78),'NY East Load Projections'!$A$4:$EO$14,((MONTH($A78)-1)*12)+VLOOKUP(CX$4,$DE$6:$DF$17,2)+1))*(VLOOKUP($A78,SatSunCurve,8))*(INDEX(DailyScalarsTable,CX$5/100,MONTH($A78)))*$E78</f>
        <v>-3411.9774405676972</v>
      </c>
      <c r="CY78" s="1021">
        <f>(VLOOKUP(YEAR($A78),'NY East Load Projections'!$A$4:$EO$14,((MONTH($A78)-1)*12)+VLOOKUP(CY$4,$DE$6:$DF$17,2)+1))*(VLOOKUP($A78,SatSunCurve,8))*(INDEX(DailyScalarsTable,CY$5/100,MONTH($A78)))*$E78</f>
        <v>-3095.5079584441505</v>
      </c>
      <c r="CZ78" s="1021">
        <f>(VLOOKUP(YEAR($A78),'NY East Load Projections'!$A$4:$EO$14,((MONTH($A78)-1)*12)+VLOOKUP(CZ$4,$DE$6:$DF$17,2)+1))*(VLOOKUP($A78,SatSunCurve,8))*(INDEX(DailyScalarsTable,CZ$5/100,MONTH($A78)))*$E78</f>
        <v>-2201.5969549991573</v>
      </c>
      <c r="DA78" s="1021">
        <f>(VLOOKUP(YEAR($A78),'NY East Load Projections'!$A$4:$EO$14,((MONTH($A78)-1)*12)+VLOOKUP(DA$4,$DE$6:$DF$17,2)+1))*(VLOOKUP($A78,SatSunCurve,8))*(INDEX(DailyScalarsTable,DA$5/100,MONTH($A78)))*$E78</f>
        <v>-1802.281134798458</v>
      </c>
      <c r="DB78" s="1021">
        <f>(VLOOKUP(YEAR($A78),'NY East Load Projections'!$A$4:$EO$14,((MONTH($A78)-1)*12)+VLOOKUP(DB$4,$DE$6:$DF$17,2)+1))*(VLOOKUP($A78,CURVES!$D$9:$T$261,8))*(INDEX(DailyScalarsTable,DB$5/100,MONTH($A78)))*$E78</f>
        <v>-1916.7812610905673</v>
      </c>
      <c r="DH78" s="1021">
        <f t="shared" si="2"/>
        <v>-2063072.8760356295</v>
      </c>
      <c r="DI78">
        <f ca="1">CALC!J98</f>
        <v>0.60415868903812819</v>
      </c>
      <c r="DJ78" s="1029">
        <f t="shared" ca="1" si="3"/>
        <v>-1246423.4041758068</v>
      </c>
    </row>
    <row r="79" spans="1:114" x14ac:dyDescent="0.25">
      <c r="A79" s="244">
        <v>39114</v>
      </c>
      <c r="B79" s="13">
        <v>20</v>
      </c>
      <c r="C79" s="210">
        <v>4</v>
      </c>
      <c r="D79" s="210">
        <v>4</v>
      </c>
      <c r="E79" s="210">
        <v>0</v>
      </c>
      <c r="F79" s="13">
        <v>28</v>
      </c>
      <c r="H79" s="1021">
        <f>(VLOOKUP(YEAR($A79),'NY East Load Projections'!$A$4:$EO$14,((MONTH($A79)-1)*12)+VLOOKUP(H$4,$DE$6:$DF$17,2)+1))*(VLOOKUP($A79,CURVES!$D$9:$K$261,8))*(INDEX(DailyScalarsTable,H$5/100,MONTH($A79)))*$B79</f>
        <v>-30479.924986979779</v>
      </c>
      <c r="I79" s="1021">
        <f>(VLOOKUP(YEAR($A79),'NY East Load Projections'!$A$4:$EO$14,((MONTH($A79)-1)*12)+VLOOKUP(I$4,$DE$6:$DF$17,2)+1))*(VLOOKUP($A79,CURVES!$D$9:$K$261,8))*(INDEX(DailyScalarsTable,I$5/100,MONTH($A79)))*$B79</f>
        <v>-29886.091130644156</v>
      </c>
      <c r="J79" s="1021">
        <f>(VLOOKUP(YEAR($A79),'NY East Load Projections'!$A$4:$EO$14,((MONTH($A79)-1)*12)+VLOOKUP(J$4,$DE$6:$DF$17,2)+1))*(VLOOKUP($A79,CURVES!$D$9:$K$261,8))*(INDEX(DailyScalarsTable,J$5/100,MONTH($A79)))*$B79</f>
        <v>-27386.136719738162</v>
      </c>
      <c r="K79" s="1021">
        <f>(VLOOKUP(YEAR($A79),'NY East Load Projections'!$A$4:$EO$14,((MONTH($A79)-1)*12)+VLOOKUP(K$4,$DE$6:$DF$17,2)+1))*(VLOOKUP($A79,CURVES!$D$9:$K$261,8))*(INDEX(DailyScalarsTable,K$5/100,MONTH($A79)))*$B79</f>
        <v>-27369.578636945167</v>
      </c>
      <c r="L79" s="1021">
        <f>(VLOOKUP(YEAR($A79),'NY East Load Projections'!$A$4:$EO$14,((MONTH($A79)-1)*12)+VLOOKUP(L$4,$DE$6:$DF$17,2)+1))*(VLOOKUP($A79,CURVES!$D$9:$K$261,8))*(INDEX(DailyScalarsTable,L$5/100,MONTH($A79)))*$B79</f>
        <v>-30836.84615752563</v>
      </c>
      <c r="M79" s="1021">
        <f>(VLOOKUP(YEAR($A79),'NY East Load Projections'!$A$4:$EO$14,((MONTH($A79)-1)*12)+VLOOKUP(M$4,$DE$6:$DF$17,2)+1))*(VLOOKUP($A79,CURVES!$D$9:$K$261,8))*(INDEX(DailyScalarsTable,M$5/100,MONTH($A79)))*$B79</f>
        <v>-32909.635934682396</v>
      </c>
      <c r="N79" s="1021">
        <f>(VLOOKUP(YEAR($A79),'NY East Load Projections'!$A$4:$EO$14,((MONTH($A79)-1)*12)+VLOOKUP(N$4,$DE$6:$DF$17,2)+1))*(VLOOKUP($A79,CURVES!$D$9:$K$261,8))*(INDEX(DailyScalarsTable,N$5/100,MONTH($A79)))*$B79</f>
        <v>-63021.552099845641</v>
      </c>
      <c r="O79" s="1021">
        <f>(VLOOKUP(YEAR($A79),'NY East Load Projections'!$A$4:$EO$14,((MONTH($A79)-1)*12)+VLOOKUP(O$4,$DE$6:$DF$17,2)+1))*(VLOOKUP($A79,CURVES!$D$9:$K$261,4))*(INDEX(DailyScalarsTable,O$5/100,MONTH($A79)))*$B79</f>
        <v>-75117.769492089836</v>
      </c>
      <c r="P79" s="1021">
        <f>(VLOOKUP(YEAR($A79),'NY East Load Projections'!$A$4:$EO$14,((MONTH($A79)-1)*12)+VLOOKUP(P$4,$DE$6:$DF$17,2)+1))*(VLOOKUP($A79,CURVES!$D$9:$K$261,4))*(INDEX(DailyScalarsTable,P$5/100,MONTH($A79)))*$B79</f>
        <v>-82831.830082004977</v>
      </c>
      <c r="Q79" s="1021">
        <f>(VLOOKUP(YEAR($A79),'NY East Load Projections'!$A$4:$EO$14,((MONTH($A79)-1)*12)+VLOOKUP(Q$4,$DE$6:$DF$17,2)+1))*(VLOOKUP($A79,CURVES!$D$9:$K$261,4))*(INDEX(DailyScalarsTable,Q$5/100,MONTH($A79)))*$B79</f>
        <v>-82579.723262403553</v>
      </c>
      <c r="R79" s="1021">
        <f>(VLOOKUP(YEAR($A79),'NY East Load Projections'!$A$4:$EO$14,((MONTH($A79)-1)*12)+VLOOKUP(R$4,$DE$6:$DF$17,2)+1))*(VLOOKUP($A79,CURVES!$D$9:$K$261,4))*(INDEX(DailyScalarsTable,R$5/100,MONTH($A79)))*$B79</f>
        <v>-81138.598779461303</v>
      </c>
      <c r="S79" s="1021">
        <f>(VLOOKUP(YEAR($A79),'NY East Load Projections'!$A$4:$EO$14,((MONTH($A79)-1)*12)+VLOOKUP(S$4,$DE$6:$DF$17,2)+1))*(VLOOKUP($A79,CURVES!$D$9:$K$261,4))*(INDEX(DailyScalarsTable,S$5/100,MONTH($A79)))*$B79</f>
        <v>-60780.487273836057</v>
      </c>
      <c r="T79" s="1021">
        <f>(VLOOKUP(YEAR($A79),'NY East Load Projections'!$A$4:$EO$14,((MONTH($A79)-1)*12)+VLOOKUP(T$4,$DE$6:$DF$17,2)+1))*(VLOOKUP($A79,CURVES!$D$9:$K$261,4))*(INDEX(DailyScalarsTable,T$5/100,MONTH($A79)))*$B79</f>
        <v>-59508.764326469376</v>
      </c>
      <c r="U79" s="1021">
        <f>(VLOOKUP(YEAR($A79),'NY East Load Projections'!$A$4:$EO$14,((MONTH($A79)-1)*12)+VLOOKUP(U$4,$DE$6:$DF$17,2)+1))*(VLOOKUP($A79,CURVES!$D$9:$K$261,4))*(INDEX(DailyScalarsTable,U$5/100,MONTH($A79)))*$B79</f>
        <v>-57587.330195198258</v>
      </c>
      <c r="V79" s="1021">
        <f>(VLOOKUP(YEAR($A79),'NY East Load Projections'!$A$4:$EO$14,((MONTH($A79)-1)*12)+VLOOKUP(V$4,$DE$6:$DF$17,2)+1))*(VLOOKUP($A79,CURVES!$D$9:$K$261,4))*(INDEX(DailyScalarsTable,V$5/100,MONTH($A79)))*$B79</f>
        <v>-54656.446973223101</v>
      </c>
      <c r="W79" s="1021">
        <f>(VLOOKUP(YEAR($A79),'NY East Load Projections'!$A$4:$EO$14,((MONTH($A79)-1)*12)+VLOOKUP(W$4,$DE$6:$DF$17,2)+1))*(VLOOKUP($A79,CURVES!$D$9:$K$261,4))*(INDEX(DailyScalarsTable,W$5/100,MONTH($A79)))*$B79</f>
        <v>-53556.495550249048</v>
      </c>
      <c r="X79" s="1021">
        <f>(VLOOKUP(YEAR($A79),'NY East Load Projections'!$A$4:$EO$14,((MONTH($A79)-1)*12)+VLOOKUP(X$4,$DE$6:$DF$17,2)+1))*(VLOOKUP($A79,CURVES!$D$9:$K$261,4))*(INDEX(DailyScalarsTable,X$5/100,MONTH($A79)))*$B79</f>
        <v>-55970.236659183618</v>
      </c>
      <c r="Y79" s="1021">
        <f>(VLOOKUP(YEAR($A79),'NY East Load Projections'!$A$4:$EO$14,((MONTH($A79)-1)*12)+VLOOKUP(Y$4,$DE$6:$DF$17,2)+1))*(VLOOKUP($A79,CURVES!$D$9:$K$261,4))*(INDEX(DailyScalarsTable,Y$5/100,MONTH($A79)))*$B79</f>
        <v>-77880.152719653837</v>
      </c>
      <c r="Z79" s="1021">
        <f>(VLOOKUP(YEAR($A79),'NY East Load Projections'!$A$4:$EO$14,((MONTH($A79)-1)*12)+VLOOKUP(Z$4,$DE$6:$DF$17,2)+1))*(VLOOKUP($A79,CURVES!$D$9:$K$261,4))*(INDEX(DailyScalarsTable,Z$5/100,MONTH($A79)))*$B79</f>
        <v>-85455.220601707188</v>
      </c>
      <c r="AA79" s="1021">
        <f>(VLOOKUP(YEAR($A79),'NY East Load Projections'!$A$4:$EO$14,((MONTH($A79)-1)*12)+VLOOKUP(AA$4,$DE$6:$DF$17,2)+1))*(VLOOKUP($A79,CURVES!$D$9:$K$261,4))*(INDEX(DailyScalarsTable,AA$5/100,MONTH($A79)))*$B79</f>
        <v>-81795.474488826003</v>
      </c>
      <c r="AB79" s="1021">
        <f>(VLOOKUP(YEAR($A79),'NY East Load Projections'!$A$4:$EO$14,((MONTH($A79)-1)*12)+VLOOKUP(AB$4,$DE$6:$DF$17,2)+1))*(VLOOKUP($A79,CURVES!$D$9:$K$261,4))*(INDEX(DailyScalarsTable,AB$5/100,MONTH($A79)))*$B79</f>
        <v>-71140.826769020379</v>
      </c>
      <c r="AC79" s="1021">
        <f>(VLOOKUP(YEAR($A79),'NY East Load Projections'!$A$4:$EO$14,((MONTH($A79)-1)*12)+VLOOKUP(AC$4,$DE$6:$DF$17,2)+1))*(VLOOKUP($A79,CURVES!$D$9:$K$261,4))*(INDEX(DailyScalarsTable,AC$5/100,MONTH($A79)))*$B79</f>
        <v>-50597.003688376601</v>
      </c>
      <c r="AD79" s="1021">
        <f>(VLOOKUP(YEAR($A79),'NY East Load Projections'!$A$4:$EO$14,((MONTH($A79)-1)*12)+VLOOKUP(AD$4,$DE$6:$DF$17,2)+1))*(VLOOKUP($A79,CURVES!$D$9:$K$261,4))*(INDEX(DailyScalarsTable,AD$5/100,MONTH($A79)))*$B79</f>
        <v>-41419.945198336289</v>
      </c>
      <c r="AE79" s="1021">
        <f>(VLOOKUP(YEAR($A79),'NY East Load Projections'!$A$4:$EO$14,((MONTH($A79)-1)*12)+VLOOKUP(AE$4,$DE$6:$DF$17,2)+1))*(VLOOKUP($A79,CURVES!$D$9:$K$261,8))*(INDEX(DailyScalarsTable,AE$5/100,MONTH($A79)))*$B79</f>
        <v>-35766.36411173224</v>
      </c>
      <c r="AF79" s="1021"/>
      <c r="AG79" s="1021">
        <f>(VLOOKUP(YEAR($A79),'NY East Load Projections'!$A$4:$EO$14,((MONTH($A79)-1)*12)+VLOOKUP(AG$4,$DE$6:$DF$17,2)+1))*(VLOOKUP($A79,CURVES!$D$9:$T$261,8))*(INDEX(DailyScalarsTable,AG$5/100,MONTH($A79)))*$C79</f>
        <v>-6459.4176581417269</v>
      </c>
      <c r="AH79" s="1021">
        <f>(VLOOKUP(YEAR($A79),'NY East Load Projections'!$A$4:$EO$14,((MONTH($A79)-1)*12)+VLOOKUP(AH$4,$DE$6:$DF$17,2)+1))*(VLOOKUP($A79,CURVES!$D$9:$T$261,8))*(INDEX(DailyScalarsTable,AH$5/100,MONTH($A79)))*$C79</f>
        <v>-6333.5702061137026</v>
      </c>
      <c r="AI79" s="1021">
        <f>(VLOOKUP(YEAR($A79),'NY East Load Projections'!$A$4:$EO$14,((MONTH($A79)-1)*12)+VLOOKUP(AI$4,$DE$6:$DF$17,2)+1))*(VLOOKUP($A79,CURVES!$D$9:$T$261,8))*(INDEX(DailyScalarsTable,AI$5/100,MONTH($A79)))*$C79</f>
        <v>-5803.7706848467178</v>
      </c>
      <c r="AJ79" s="1021">
        <f>(VLOOKUP(YEAR($A79),'NY East Load Projections'!$A$4:$EO$14,((MONTH($A79)-1)*12)+VLOOKUP(AJ$4,$DE$6:$DF$17,2)+1))*(VLOOKUP($A79,CURVES!$D$9:$T$261,8))*(INDEX(DailyScalarsTable,AJ$5/100,MONTH($A79)))*$C79</f>
        <v>-5800.2616351222277</v>
      </c>
      <c r="AK79" s="1021">
        <f>(VLOOKUP(YEAR($A79),'NY East Load Projections'!$A$4:$EO$14,((MONTH($A79)-1)*12)+VLOOKUP(AK$4,$DE$6:$DF$17,2)+1))*(VLOOKUP($A79,CURVES!$D$9:$T$261,8))*(INDEX(DailyScalarsTable,AK$5/100,MONTH($A79)))*$C79</f>
        <v>-6056.6467055849353</v>
      </c>
      <c r="AL79" s="1021">
        <f>(VLOOKUP(YEAR($A79),'NY East Load Projections'!$A$4:$EO$14,((MONTH($A79)-1)*12)+VLOOKUP(AL$4,$DE$6:$DF$17,2)+1))*(VLOOKUP($A79,CURVES!$D$9:$T$261,8))*(INDEX(DailyScalarsTable,AL$5/100,MONTH($A79)))*$C79</f>
        <v>-6463.7621191086</v>
      </c>
      <c r="AM79" s="1021">
        <f>(VLOOKUP(YEAR($A79),'NY East Load Projections'!$A$4:$EO$14,((MONTH($A79)-1)*12)+VLOOKUP(AM$4,$DE$6:$DF$17,2)+1))*(VLOOKUP($A79,CURVES!$D$9:$T$261,8))*(INDEX(DailyScalarsTable,AM$5/100,MONTH($A79)))*$C79</f>
        <v>-12378.025753882974</v>
      </c>
      <c r="AN79" s="1021">
        <f>(VLOOKUP(YEAR($A79),'NY East Load Projections'!$A$4:$EO$14,((MONTH($A79)-1)*12)+VLOOKUP(AN$4,$DE$6:$DF$17,2)+1))*(VLOOKUP($A79,SatSunCurve,4))*(INDEX(DailyScalarsTable,AN$5/100,MONTH($A79)))*$C79</f>
        <v>-11349.142363081544</v>
      </c>
      <c r="AO79" s="1021">
        <f>(VLOOKUP(YEAR($A79),'NY East Load Projections'!$A$4:$EO$14,((MONTH($A79)-1)*12)+VLOOKUP(AO$4,$DE$6:$DF$17,2)+1))*(VLOOKUP($A79,SatSunCurve,4))*(INDEX(DailyScalarsTable,AO$5/100,MONTH($A79)))*$C79</f>
        <v>-12701.993342513775</v>
      </c>
      <c r="AP79" s="1021">
        <f>(VLOOKUP(YEAR($A79),'NY East Load Projections'!$A$4:$EO$14,((MONTH($A79)-1)*12)+VLOOKUP(AP$4,$DE$6:$DF$17,2)+1))*(VLOOKUP($A79,SatSunCurve,4))*(INDEX(DailyScalarsTable,AP$5/100,MONTH($A79)))*$C79</f>
        <v>-12663.333576805238</v>
      </c>
      <c r="AQ79" s="1021">
        <f>(VLOOKUP(YEAR($A79),'NY East Load Projections'!$A$4:$EO$14,((MONTH($A79)-1)*12)+VLOOKUP(AQ$4,$DE$6:$DF$17,2)+1))*(VLOOKUP($A79,SatSunCurve,4))*(INDEX(DailyScalarsTable,AQ$5/100,MONTH($A79)))*$C79</f>
        <v>-12442.341796592926</v>
      </c>
      <c r="AR79" s="1021">
        <f>(VLOOKUP(YEAR($A79),'NY East Load Projections'!$A$4:$EO$14,((MONTH($A79)-1)*12)+VLOOKUP(AR$4,$DE$6:$DF$17,2)+1))*(VLOOKUP($A79,SatSunCurve,4))*(INDEX(DailyScalarsTable,AR$5/100,MONTH($A79)))*$C79</f>
        <v>-9320.4912162713554</v>
      </c>
      <c r="AS79" s="1021">
        <f>(VLOOKUP(YEAR($A79),'NY East Load Projections'!$A$4:$EO$14,((MONTH($A79)-1)*12)+VLOOKUP(AS$4,$DE$6:$DF$17,2)+1))*(VLOOKUP($A79,SatSunCurve,4))*(INDEX(DailyScalarsTable,AS$5/100,MONTH($A79)))*$C79</f>
        <v>-9044.3507438745492</v>
      </c>
      <c r="AT79" s="1021">
        <f>(VLOOKUP(YEAR($A79),'NY East Load Projections'!$A$4:$EO$14,((MONTH($A79)-1)*12)+VLOOKUP(AT$4,$DE$6:$DF$17,2)+1))*(VLOOKUP($A79,SatSunCurve,4))*(INDEX(DailyScalarsTable,AT$5/100,MONTH($A79)))*$C79</f>
        <v>-8752.3244447040561</v>
      </c>
      <c r="AU79" s="1021">
        <f>(VLOOKUP(YEAR($A79),'NY East Load Projections'!$A$4:$EO$14,((MONTH($A79)-1)*12)+VLOOKUP(AU$4,$DE$6:$DF$17,2)+1))*(VLOOKUP($A79,SatSunCurve,4))*(INDEX(DailyScalarsTable,AU$5/100,MONTH($A79)))*$C79</f>
        <v>-8306.87853183892</v>
      </c>
      <c r="AV79" s="1021">
        <f>(VLOOKUP(YEAR($A79),'NY East Load Projections'!$A$4:$EO$14,((MONTH($A79)-1)*12)+VLOOKUP(AV$4,$DE$6:$DF$17,2)+1))*(VLOOKUP($A79,SatSunCurve,4))*(INDEX(DailyScalarsTable,AV$5/100,MONTH($A79)))*$C79</f>
        <v>-8139.7040562268257</v>
      </c>
      <c r="AW79" s="1021">
        <f>(VLOOKUP(YEAR($A79),'NY East Load Projections'!$A$4:$EO$14,((MONTH($A79)-1)*12)+VLOOKUP(AW$4,$DE$6:$DF$17,2)+1))*(VLOOKUP($A79,SatSunCurve,4))*(INDEX(DailyScalarsTable,AW$5/100,MONTH($A79)))*$C79</f>
        <v>-8509.8217896768128</v>
      </c>
      <c r="AX79" s="1021">
        <f>(VLOOKUP(YEAR($A79),'NY East Load Projections'!$A$4:$EO$14,((MONTH($A79)-1)*12)+VLOOKUP(AX$4,$DE$6:$DF$17,2)+1))*(VLOOKUP($A79,SatSunCurve,4))*(INDEX(DailyScalarsTable,AX$5/100,MONTH($A79)))*$C79</f>
        <v>-11841.0473164995</v>
      </c>
      <c r="AY79" s="1021">
        <f>(VLOOKUP(YEAR($A79),'NY East Load Projections'!$A$4:$EO$14,((MONTH($A79)-1)*12)+VLOOKUP(AY$4,$DE$6:$DF$17,2)+1))*(VLOOKUP($A79,SatSunCurve,4))*(INDEX(DailyScalarsTable,AY$5/100,MONTH($A79)))*$C79</f>
        <v>-12992.775119858743</v>
      </c>
      <c r="AZ79" s="1021">
        <f>(VLOOKUP(YEAR($A79),'NY East Load Projections'!$A$4:$EO$14,((MONTH($A79)-1)*12)+VLOOKUP(AZ$4,$DE$6:$DF$17,2)+1))*(VLOOKUP($A79,SatSunCurve,4))*(INDEX(DailyScalarsTable,AZ$5/100,MONTH($A79)))*$C79</f>
        <v>-12436.340323884528</v>
      </c>
      <c r="BA79" s="1021">
        <f>(VLOOKUP(YEAR($A79),'NY East Load Projections'!$A$4:$EO$14,((MONTH($A79)-1)*12)+VLOOKUP(BA$4,$DE$6:$DF$17,2)+1))*(VLOOKUP($A79,SatSunCurve,4))*(INDEX(DailyScalarsTable,BA$5/100,MONTH($A79)))*$C79</f>
        <v>-11338.831163338313</v>
      </c>
      <c r="BB79" s="1021">
        <f>(VLOOKUP(YEAR($A79),'NY East Load Projections'!$A$4:$EO$14,((MONTH($A79)-1)*12)+VLOOKUP(BB$4,$DE$6:$DF$17,2)+1))*(VLOOKUP($A79,SatSunCurve,4))*(INDEX(DailyScalarsTable,BB$5/100,MONTH($A79)))*$C79</f>
        <v>-8064.4393416459616</v>
      </c>
      <c r="BC79" s="1021">
        <f>(VLOOKUP(YEAR($A79),'NY East Load Projections'!$A$4:$EO$14,((MONTH($A79)-1)*12)+VLOOKUP(BC$4,$DE$6:$DF$17,2)+1))*(VLOOKUP($A79,SatSunCurve,4))*(INDEX(DailyScalarsTable,BC$5/100,MONTH($A79)))*$C79</f>
        <v>-6601.747361237869</v>
      </c>
      <c r="BD79" s="1021">
        <f>(VLOOKUP(YEAR($A79),'NY East Load Projections'!$A$4:$EO$14,((MONTH($A79)-1)*12)+VLOOKUP(BD$4,$DE$6:$DF$17,2)+1))*(VLOOKUP($A79,CURVES!$D$9:$T$261,8))*(INDEX(DailyScalarsTable,BD$5/100,MONTH($A79)))*$C79</f>
        <v>-7410.8172052401787</v>
      </c>
      <c r="BE79" s="1021"/>
      <c r="BF79" s="1021">
        <f>(VLOOKUP(YEAR($A79),'NY East Load Projections'!$A$4:$EO$14,((MONTH($A79)-1)*12)+VLOOKUP(BF$4,$DE$6:$DF$17,2)+1))*(VLOOKUP($A79,CURVES!$D$9:$T$261,8))*(INDEX(DailyScalarsTable,BF$5/100,MONTH($A79)))*$D79</f>
        <v>-6459.4176581417269</v>
      </c>
      <c r="BG79" s="1021">
        <f>(VLOOKUP(YEAR($A79),'NY East Load Projections'!$A$4:$EO$14,((MONTH($A79)-1)*12)+VLOOKUP(BG$4,$DE$6:$DF$17,2)+1))*(VLOOKUP($A79,CURVES!$D$9:$T$261,8))*(INDEX(DailyScalarsTable,BG$5/100,MONTH($A79)))*$D79</f>
        <v>-6333.5702061137026</v>
      </c>
      <c r="BH79" s="1021">
        <f>(VLOOKUP(YEAR($A79),'NY East Load Projections'!$A$4:$EO$14,((MONTH($A79)-1)*12)+VLOOKUP(BH$4,$DE$6:$DF$17,2)+1))*(VLOOKUP($A79,CURVES!$D$9:$T$261,8))*(INDEX(DailyScalarsTable,BH$5/100,MONTH($A79)))*$D79</f>
        <v>-5803.7706848467178</v>
      </c>
      <c r="BI79" s="1021">
        <f>(VLOOKUP(YEAR($A79),'NY East Load Projections'!$A$4:$EO$14,((MONTH($A79)-1)*12)+VLOOKUP(BI$4,$DE$6:$DF$17,2)+1))*(VLOOKUP($A79,CURVES!$D$9:$T$261,8))*(INDEX(DailyScalarsTable,BI$5/100,MONTH($A79)))*$D79</f>
        <v>-5800.2616351222277</v>
      </c>
      <c r="BJ79" s="1021">
        <f>(VLOOKUP(YEAR($A79),'NY East Load Projections'!$A$4:$EO$14,((MONTH($A79)-1)*12)+VLOOKUP(BJ$4,$DE$6:$DF$17,2)+1))*(VLOOKUP($A79,CURVES!$D$9:$T$261,8))*(INDEX(DailyScalarsTable,BJ$5/100,MONTH($A79)))*$D79</f>
        <v>-6056.6467055849353</v>
      </c>
      <c r="BK79" s="1021">
        <f>(VLOOKUP(YEAR($A79),'NY East Load Projections'!$A$4:$EO$14,((MONTH($A79)-1)*12)+VLOOKUP(BK$4,$DE$6:$DF$17,2)+1))*(VLOOKUP($A79,CURVES!$D$9:$T$261,8))*(INDEX(DailyScalarsTable,BK$5/100,MONTH($A79)))*$D79</f>
        <v>-6463.7621191086</v>
      </c>
      <c r="BL79" s="1021">
        <f>(VLOOKUP(YEAR($A79),'NY East Load Projections'!$A$4:$EO$14,((MONTH($A79)-1)*12)+VLOOKUP(BL$4,$DE$6:$DF$17,2)+1))*(VLOOKUP($A79,CURVES!$D$9:$T$261,8))*(INDEX(DailyScalarsTable,BL$5/100,MONTH($A79)))*$D79</f>
        <v>-12378.025753882974</v>
      </c>
      <c r="BM79" s="1021">
        <f>(VLOOKUP(YEAR($A79),'NY East Load Projections'!$A$4:$EO$14,((MONTH($A79)-1)*12)+VLOOKUP(BM$4,$DE$6:$DF$17,2)+1))*(VLOOKUP($A79,SatSunCurve,8))*(INDEX(DailyScalarsTable,BM$5/100,MONTH($A79)))*$D79</f>
        <v>-11310.952284438972</v>
      </c>
      <c r="BN79" s="1021">
        <f>(VLOOKUP(YEAR($A79),'NY East Load Projections'!$A$4:$EO$14,((MONTH($A79)-1)*12)+VLOOKUP(BN$4,$DE$6:$DF$17,2)+1))*(VLOOKUP($A79,SatSunCurve,8))*(INDEX(DailyScalarsTable,BN$5/100,MONTH($A79)))*$D79</f>
        <v>-12659.250894745563</v>
      </c>
      <c r="BO79" s="1021">
        <f>(VLOOKUP(YEAR($A79),'NY East Load Projections'!$A$4:$EO$14,((MONTH($A79)-1)*12)+VLOOKUP(BO$4,$DE$6:$DF$17,2)+1))*(VLOOKUP($A79,SatSunCurve,8))*(INDEX(DailyScalarsTable,BO$5/100,MONTH($A79)))*$D79</f>
        <v>-12620.721219879617</v>
      </c>
      <c r="BP79" s="1021">
        <f>(VLOOKUP(YEAR($A79),'NY East Load Projections'!$A$4:$EO$14,((MONTH($A79)-1)*12)+VLOOKUP(BP$4,$DE$6:$DF$17,2)+1))*(VLOOKUP($A79,SatSunCurve,8))*(INDEX(DailyScalarsTable,BP$5/100,MONTH($A79)))*$D79</f>
        <v>-12400.473081186257</v>
      </c>
      <c r="BQ79" s="1021">
        <f>(VLOOKUP(YEAR($A79),'NY East Load Projections'!$A$4:$EO$14,((MONTH($A79)-1)*12)+VLOOKUP(BQ$4,$DE$6:$DF$17,2)+1))*(VLOOKUP($A79,SatSunCurve,8))*(INDEX(DailyScalarsTable,BQ$5/100,MONTH($A79)))*$D79</f>
        <v>-9289.1275870957525</v>
      </c>
      <c r="BR79" s="1021">
        <f>(VLOOKUP(YEAR($A79),'NY East Load Projections'!$A$4:$EO$14,((MONTH($A79)-1)*12)+VLOOKUP(BR$4,$DE$6:$DF$17,2)+1))*(VLOOKUP($A79,SatSunCurve,8))*(INDEX(DailyScalarsTable,BR$5/100,MONTH($A79)))*$D79</f>
        <v>-9013.9163326098587</v>
      </c>
      <c r="BS79" s="1021">
        <f>(VLOOKUP(YEAR($A79),'NY East Load Projections'!$A$4:$EO$14,((MONTH($A79)-1)*12)+VLOOKUP(BS$4,$DE$6:$DF$17,2)+1))*(VLOOKUP($A79,SatSunCurve,8))*(INDEX(DailyScalarsTable,BS$5/100,MONTH($A79)))*$D79</f>
        <v>-8722.8727074577382</v>
      </c>
      <c r="BT79" s="1021">
        <f>(VLOOKUP(YEAR($A79),'NY East Load Projections'!$A$4:$EO$14,((MONTH($A79)-1)*12)+VLOOKUP(BT$4,$DE$6:$DF$17,2)+1))*(VLOOKUP($A79,SatSunCurve,8))*(INDEX(DailyScalarsTable,BT$5/100,MONTH($A79)))*$D79</f>
        <v>-8278.9257285119329</v>
      </c>
      <c r="BU79" s="1021">
        <f>(VLOOKUP(YEAR($A79),'NY East Load Projections'!$A$4:$EO$14,((MONTH($A79)-1)*12)+VLOOKUP(BU$4,$DE$6:$DF$17,2)+1))*(VLOOKUP($A79,SatSunCurve,8))*(INDEX(DailyScalarsTable,BU$5/100,MONTH($A79)))*$D79</f>
        <v>-8112.3137981712262</v>
      </c>
      <c r="BV79" s="1021">
        <f>(VLOOKUP(YEAR($A79),'NY East Load Projections'!$A$4:$EO$14,((MONTH($A79)-1)*12)+VLOOKUP(BV$4,$DE$6:$DF$17,2)+1))*(VLOOKUP($A79,SatSunCurve,8))*(INDEX(DailyScalarsTable,BV$5/100,MONTH($A79)))*$D79</f>
        <v>-8481.1860784499277</v>
      </c>
      <c r="BW79" s="1021">
        <f>(VLOOKUP(YEAR($A79),'NY East Load Projections'!$A$4:$EO$14,((MONTH($A79)-1)*12)+VLOOKUP(BW$4,$DE$6:$DF$17,2)+1))*(VLOOKUP($A79,SatSunCurve,8))*(INDEX(DailyScalarsTable,BW$5/100,MONTH($A79)))*$D79</f>
        <v>-11801.201968387686</v>
      </c>
      <c r="BX79" s="1021">
        <f>(VLOOKUP(YEAR($A79),'NY East Load Projections'!$A$4:$EO$14,((MONTH($A79)-1)*12)+VLOOKUP(BX$4,$DE$6:$DF$17,2)+1))*(VLOOKUP($A79,SatSunCurve,8))*(INDEX(DailyScalarsTable,BX$5/100,MONTH($A79)))*$D79</f>
        <v>-12949.054185911631</v>
      </c>
      <c r="BY79" s="1021">
        <f>(VLOOKUP(YEAR($A79),'NY East Load Projections'!$A$4:$EO$14,((MONTH($A79)-1)*12)+VLOOKUP(BY$4,$DE$6:$DF$17,2)+1))*(VLOOKUP($A79,SatSunCurve,8))*(INDEX(DailyScalarsTable,BY$5/100,MONTH($A79)))*$D79</f>
        <v>-12394.491803547</v>
      </c>
      <c r="BZ79" s="1021">
        <f>(VLOOKUP(YEAR($A79),'NY East Load Projections'!$A$4:$EO$14,((MONTH($A79)-1)*12)+VLOOKUP(BZ$4,$DE$6:$DF$17,2)+1))*(VLOOKUP($A79,SatSunCurve,8))*(INDEX(DailyScalarsTable,BZ$5/100,MONTH($A79)))*$D79</f>
        <v>-11300.675782077842</v>
      </c>
      <c r="CA79" s="1021">
        <f>(VLOOKUP(YEAR($A79),'NY East Load Projections'!$A$4:$EO$14,((MONTH($A79)-1)*12)+VLOOKUP(CA$4,$DE$6:$DF$17,2)+1))*(VLOOKUP($A79,SatSunCurve,8))*(INDEX(DailyScalarsTable,CA$5/100,MONTH($A79)))*$D79</f>
        <v>-8037.3023507780381</v>
      </c>
      <c r="CB79" s="1021">
        <f>(VLOOKUP(YEAR($A79),'NY East Load Projections'!$A$4:$EO$14,((MONTH($A79)-1)*12)+VLOOKUP(CB$4,$DE$6:$DF$17,2)+1))*(VLOOKUP($A79,SatSunCurve,8))*(INDEX(DailyScalarsTable,CB$5/100,MONTH($A79)))*$D79</f>
        <v>-6579.5323565407552</v>
      </c>
      <c r="CC79" s="1021">
        <f>(VLOOKUP(YEAR($A79),'NY East Load Projections'!$A$4:$EO$14,((MONTH($A79)-1)*12)+VLOOKUP(CC$4,$DE$6:$DF$17,2)+1))*(VLOOKUP($A79,CURVES!$D$9:$T$261,8))*(INDEX(DailyScalarsTable,CC$5/100,MONTH($A79)))*$D79</f>
        <v>-7410.8172052401787</v>
      </c>
      <c r="CE79" s="1021">
        <f>(VLOOKUP(YEAR($A79),'NY East Load Projections'!$A$4:$EO$14,((MONTH($A79)-1)*12)+VLOOKUP(CE$4,$DE$6:$DF$17,2)+1))*(VLOOKUP($A79,CURVES!$D$9:$T$261,8))*(INDEX(DailyScalarsTable,CE$5/100,MONTH($A79)))*$E79</f>
        <v>0</v>
      </c>
      <c r="CF79" s="1021">
        <f>(VLOOKUP(YEAR($A79),'NY East Load Projections'!$A$4:$EO$14,((MONTH($A79)-1)*12)+VLOOKUP(CF$4,$DE$6:$DF$17,2)+1))*(VLOOKUP($A79,CURVES!$D$9:$T$261,8))*(INDEX(DailyScalarsTable,CF$5/100,MONTH($A79)))*$E79</f>
        <v>0</v>
      </c>
      <c r="CG79" s="1021">
        <f>(VLOOKUP(YEAR($A79),'NY East Load Projections'!$A$4:$EO$14,((MONTH($A79)-1)*12)+VLOOKUP(CG$4,$DE$6:$DF$17,2)+1))*(VLOOKUP($A79,CURVES!$D$9:$T$261,8))*(INDEX(DailyScalarsTable,CG$5/100,MONTH($A79)))*$E79</f>
        <v>0</v>
      </c>
      <c r="CH79" s="1021">
        <f>(VLOOKUP(YEAR($A79),'NY East Load Projections'!$A$4:$EO$14,((MONTH($A79)-1)*12)+VLOOKUP(CH$4,$DE$6:$DF$17,2)+1))*(VLOOKUP($A79,CURVES!$D$9:$T$261,8))*(INDEX(DailyScalarsTable,CH$5/100,MONTH($A79)))*$E79</f>
        <v>0</v>
      </c>
      <c r="CI79" s="1021">
        <f>(VLOOKUP(YEAR($A79),'NY East Load Projections'!$A$4:$EO$14,((MONTH($A79)-1)*12)+VLOOKUP(CI$4,$DE$6:$DF$17,2)+1))*(VLOOKUP($A79,CURVES!$D$9:$T$261,8))*(INDEX(DailyScalarsTable,CI$5/100,MONTH($A79)))*$E79</f>
        <v>0</v>
      </c>
      <c r="CJ79" s="1021">
        <f>(VLOOKUP(YEAR($A79),'NY East Load Projections'!$A$4:$EO$14,((MONTH($A79)-1)*12)+VLOOKUP(CJ$4,$DE$6:$DF$17,2)+1))*(VLOOKUP($A79,CURVES!$D$9:$T$261,8))*(INDEX(DailyScalarsTable,CJ$5/100,MONTH($A79)))*$E79</f>
        <v>0</v>
      </c>
      <c r="CK79" s="1021">
        <f>(VLOOKUP(YEAR($A79),'NY East Load Projections'!$A$4:$EO$14,((MONTH($A79)-1)*12)+VLOOKUP(CK$4,$DE$6:$DF$17,2)+1))*(VLOOKUP($A79,CURVES!$D$9:$T$261,8))*(INDEX(DailyScalarsTable,CK$5/100,MONTH($A79)))*$E79</f>
        <v>0</v>
      </c>
      <c r="CL79" s="1021">
        <f>(VLOOKUP(YEAR($A79),'NY East Load Projections'!$A$4:$EO$14,((MONTH($A79)-1)*12)+VLOOKUP(CL$4,$DE$6:$DF$17,2)+1))*(VLOOKUP($A79,SatSunCurve,8))*(INDEX(DailyScalarsTable,CL$5/100,MONTH($A79)))*$E79</f>
        <v>0</v>
      </c>
      <c r="CM79" s="1021">
        <f>(VLOOKUP(YEAR($A79),'NY East Load Projections'!$A$4:$EO$14,((MONTH($A79)-1)*12)+VLOOKUP(CM$4,$DE$6:$DF$17,2)+1))*(VLOOKUP($A79,SatSunCurve,8))*(INDEX(DailyScalarsTable,CM$5/100,MONTH($A79)))*$E79</f>
        <v>0</v>
      </c>
      <c r="CN79" s="1021">
        <f>(VLOOKUP(YEAR($A79),'NY East Load Projections'!$A$4:$EO$14,((MONTH($A79)-1)*12)+VLOOKUP(CN$4,$DE$6:$DF$17,2)+1))*(VLOOKUP($A79,SatSunCurve,8))*(INDEX(DailyScalarsTable,CN$5/100,MONTH($A79)))*$E79</f>
        <v>0</v>
      </c>
      <c r="CO79" s="1021">
        <f>(VLOOKUP(YEAR($A79),'NY East Load Projections'!$A$4:$EO$14,((MONTH($A79)-1)*12)+VLOOKUP(CO$4,$DE$6:$DF$17,2)+1))*(VLOOKUP($A79,SatSunCurve,8))*(INDEX(DailyScalarsTable,CO$5/100,MONTH($A79)))*$E79</f>
        <v>0</v>
      </c>
      <c r="CP79" s="1021">
        <f>(VLOOKUP(YEAR($A79),'NY East Load Projections'!$A$4:$EO$14,((MONTH($A79)-1)*12)+VLOOKUP(CP$4,$DE$6:$DF$17,2)+1))*(VLOOKUP($A79,SatSunCurve,8))*(INDEX(DailyScalarsTable,CP$5/100,MONTH($A79)))*$E79</f>
        <v>0</v>
      </c>
      <c r="CQ79" s="1021">
        <f>(VLOOKUP(YEAR($A79),'NY East Load Projections'!$A$4:$EO$14,((MONTH($A79)-1)*12)+VLOOKUP(CQ$4,$DE$6:$DF$17,2)+1))*(VLOOKUP($A79,SatSunCurve,8))*(INDEX(DailyScalarsTable,CQ$5/100,MONTH($A79)))*$E79</f>
        <v>0</v>
      </c>
      <c r="CR79" s="1021">
        <f>(VLOOKUP(YEAR($A79),'NY East Load Projections'!$A$4:$EO$14,((MONTH($A79)-1)*12)+VLOOKUP(CR$4,$DE$6:$DF$17,2)+1))*(VLOOKUP($A79,SatSunCurve,8))*(INDEX(DailyScalarsTable,CR$5/100,MONTH($A79)))*$E79</f>
        <v>0</v>
      </c>
      <c r="CS79" s="1021">
        <f>(VLOOKUP(YEAR($A79),'NY East Load Projections'!$A$4:$EO$14,((MONTH($A79)-1)*12)+VLOOKUP(CS$4,$DE$6:$DF$17,2)+1))*(VLOOKUP($A79,SatSunCurve,8))*(INDEX(DailyScalarsTable,CS$5/100,MONTH($A79)))*$E79</f>
        <v>0</v>
      </c>
      <c r="CT79" s="1021">
        <f>(VLOOKUP(YEAR($A79),'NY East Load Projections'!$A$4:$EO$14,((MONTH($A79)-1)*12)+VLOOKUP(CT$4,$DE$6:$DF$17,2)+1))*(VLOOKUP($A79,SatSunCurve,8))*(INDEX(DailyScalarsTable,CT$5/100,MONTH($A79)))*$E79</f>
        <v>0</v>
      </c>
      <c r="CU79" s="1021">
        <f>(VLOOKUP(YEAR($A79),'NY East Load Projections'!$A$4:$EO$14,((MONTH($A79)-1)*12)+VLOOKUP(CU$4,$DE$6:$DF$17,2)+1))*(VLOOKUP($A79,SatSunCurve,8))*(INDEX(DailyScalarsTable,CU$5/100,MONTH($A79)))*$E79</f>
        <v>0</v>
      </c>
      <c r="CV79" s="1021">
        <f>(VLOOKUP(YEAR($A79),'NY East Load Projections'!$A$4:$EO$14,((MONTH($A79)-1)*12)+VLOOKUP(CV$4,$DE$6:$DF$17,2)+1))*(VLOOKUP($A79,SatSunCurve,8))*(INDEX(DailyScalarsTable,CV$5/100,MONTH($A79)))*$E79</f>
        <v>0</v>
      </c>
      <c r="CW79" s="1021">
        <f>(VLOOKUP(YEAR($A79),'NY East Load Projections'!$A$4:$EO$14,((MONTH($A79)-1)*12)+VLOOKUP(CW$4,$DE$6:$DF$17,2)+1))*(VLOOKUP($A79,SatSunCurve,8))*(INDEX(DailyScalarsTable,CW$5/100,MONTH($A79)))*$E79</f>
        <v>0</v>
      </c>
      <c r="CX79" s="1021">
        <f>(VLOOKUP(YEAR($A79),'NY East Load Projections'!$A$4:$EO$14,((MONTH($A79)-1)*12)+VLOOKUP(CX$4,$DE$6:$DF$17,2)+1))*(VLOOKUP($A79,SatSunCurve,8))*(INDEX(DailyScalarsTable,CX$5/100,MONTH($A79)))*$E79</f>
        <v>0</v>
      </c>
      <c r="CY79" s="1021">
        <f>(VLOOKUP(YEAR($A79),'NY East Load Projections'!$A$4:$EO$14,((MONTH($A79)-1)*12)+VLOOKUP(CY$4,$DE$6:$DF$17,2)+1))*(VLOOKUP($A79,SatSunCurve,8))*(INDEX(DailyScalarsTable,CY$5/100,MONTH($A79)))*$E79</f>
        <v>0</v>
      </c>
      <c r="CZ79" s="1021">
        <f>(VLOOKUP(YEAR($A79),'NY East Load Projections'!$A$4:$EO$14,((MONTH($A79)-1)*12)+VLOOKUP(CZ$4,$DE$6:$DF$17,2)+1))*(VLOOKUP($A79,SatSunCurve,8))*(INDEX(DailyScalarsTable,CZ$5/100,MONTH($A79)))*$E79</f>
        <v>0</v>
      </c>
      <c r="DA79" s="1021">
        <f>(VLOOKUP(YEAR($A79),'NY East Load Projections'!$A$4:$EO$14,((MONTH($A79)-1)*12)+VLOOKUP(DA$4,$DE$6:$DF$17,2)+1))*(VLOOKUP($A79,SatSunCurve,8))*(INDEX(DailyScalarsTable,DA$5/100,MONTH($A79)))*$E79</f>
        <v>0</v>
      </c>
      <c r="DB79" s="1021">
        <f>(VLOOKUP(YEAR($A79),'NY East Load Projections'!$A$4:$EO$14,((MONTH($A79)-1)*12)+VLOOKUP(DB$4,$DE$6:$DF$17,2)+1))*(VLOOKUP($A79,CURVES!$D$9:$T$261,8))*(INDEX(DailyScalarsTable,DB$5/100,MONTH($A79)))*$E79</f>
        <v>0</v>
      </c>
      <c r="DH79" s="1021">
        <f t="shared" si="2"/>
        <v>-1791542.5404220549</v>
      </c>
      <c r="DI79">
        <f ca="1">CALC!J99</f>
        <v>0.60071826693255137</v>
      </c>
      <c r="DJ79" s="1029">
        <f t="shared" ca="1" si="3"/>
        <v>-1076212.3300182773</v>
      </c>
    </row>
    <row r="80" spans="1:114" x14ac:dyDescent="0.25">
      <c r="A80" s="244">
        <v>39142</v>
      </c>
      <c r="B80" s="13">
        <v>22</v>
      </c>
      <c r="C80" s="210">
        <v>5</v>
      </c>
      <c r="D80" s="210">
        <v>4</v>
      </c>
      <c r="E80" s="210">
        <v>0</v>
      </c>
      <c r="F80" s="13">
        <v>31</v>
      </c>
      <c r="H80" s="1021">
        <f>(VLOOKUP(YEAR($A80),'NY East Load Projections'!$A$4:$EO$14,((MONTH($A80)-1)*12)+VLOOKUP(H$4,$DE$6:$DF$17,2)+1))*(VLOOKUP($A80,CURVES!$D$9:$K$261,8))*(INDEX(DailyScalarsTable,H$5/100,MONTH($A80)))*$B80</f>
        <v>-28713.488826100613</v>
      </c>
      <c r="I80" s="1021">
        <f>(VLOOKUP(YEAR($A80),'NY East Load Projections'!$A$4:$EO$14,((MONTH($A80)-1)*12)+VLOOKUP(I$4,$DE$6:$DF$17,2)+1))*(VLOOKUP($A80,CURVES!$D$9:$K$261,8))*(INDEX(DailyScalarsTable,I$5/100,MONTH($A80)))*$B80</f>
        <v>-27149.877308085204</v>
      </c>
      <c r="J80" s="1021">
        <f>(VLOOKUP(YEAR($A80),'NY East Load Projections'!$A$4:$EO$14,((MONTH($A80)-1)*12)+VLOOKUP(J$4,$DE$6:$DF$17,2)+1))*(VLOOKUP($A80,CURVES!$D$9:$K$261,8))*(INDEX(DailyScalarsTable,J$5/100,MONTH($A80)))*$B80</f>
        <v>-25992.790898328218</v>
      </c>
      <c r="K80" s="1021">
        <f>(VLOOKUP(YEAR($A80),'NY East Load Projections'!$A$4:$EO$14,((MONTH($A80)-1)*12)+VLOOKUP(K$4,$DE$6:$DF$17,2)+1))*(VLOOKUP($A80,CURVES!$D$9:$K$261,8))*(INDEX(DailyScalarsTable,K$5/100,MONTH($A80)))*$B80</f>
        <v>-26009.10744836081</v>
      </c>
      <c r="L80" s="1021">
        <f>(VLOOKUP(YEAR($A80),'NY East Load Projections'!$A$4:$EO$14,((MONTH($A80)-1)*12)+VLOOKUP(L$4,$DE$6:$DF$17,2)+1))*(VLOOKUP($A80,CURVES!$D$9:$K$261,8))*(INDEX(DailyScalarsTable,L$5/100,MONTH($A80)))*$B80</f>
        <v>-30515.702988361016</v>
      </c>
      <c r="M80" s="1021">
        <f>(VLOOKUP(YEAR($A80),'NY East Load Projections'!$A$4:$EO$14,((MONTH($A80)-1)*12)+VLOOKUP(M$4,$DE$6:$DF$17,2)+1))*(VLOOKUP($A80,CURVES!$D$9:$K$261,8))*(INDEX(DailyScalarsTable,M$5/100,MONTH($A80)))*$B80</f>
        <v>-35421.813439420024</v>
      </c>
      <c r="N80" s="1021">
        <f>(VLOOKUP(YEAR($A80),'NY East Load Projections'!$A$4:$EO$14,((MONTH($A80)-1)*12)+VLOOKUP(N$4,$DE$6:$DF$17,2)+1))*(VLOOKUP($A80,CURVES!$D$9:$K$261,8))*(INDEX(DailyScalarsTable,N$5/100,MONTH($A80)))*$B80</f>
        <v>-63914.650836067049</v>
      </c>
      <c r="O80" s="1021">
        <f>(VLOOKUP(YEAR($A80),'NY East Load Projections'!$A$4:$EO$14,((MONTH($A80)-1)*12)+VLOOKUP(O$4,$DE$6:$DF$17,2)+1))*(VLOOKUP($A80,CURVES!$D$9:$K$261,4))*(INDEX(DailyScalarsTable,O$5/100,MONTH($A80)))*$B80</f>
        <v>-68689.601117256854</v>
      </c>
      <c r="P80" s="1021">
        <f>(VLOOKUP(YEAR($A80),'NY East Load Projections'!$A$4:$EO$14,((MONTH($A80)-1)*12)+VLOOKUP(P$4,$DE$6:$DF$17,2)+1))*(VLOOKUP($A80,CURVES!$D$9:$K$261,4))*(INDEX(DailyScalarsTable,P$5/100,MONTH($A80)))*$B80</f>
        <v>-76990.219494439923</v>
      </c>
      <c r="Q80" s="1021">
        <f>(VLOOKUP(YEAR($A80),'NY East Load Projections'!$A$4:$EO$14,((MONTH($A80)-1)*12)+VLOOKUP(Q$4,$DE$6:$DF$17,2)+1))*(VLOOKUP($A80,CURVES!$D$9:$K$261,4))*(INDEX(DailyScalarsTable,Q$5/100,MONTH($A80)))*$B80</f>
        <v>-76757.268754668534</v>
      </c>
      <c r="R80" s="1021">
        <f>(VLOOKUP(YEAR($A80),'NY East Load Projections'!$A$4:$EO$14,((MONTH($A80)-1)*12)+VLOOKUP(R$4,$DE$6:$DF$17,2)+1))*(VLOOKUP($A80,CURVES!$D$9:$K$261,4))*(INDEX(DailyScalarsTable,R$5/100,MONTH($A80)))*$B80</f>
        <v>-75404.860293218051</v>
      </c>
      <c r="S80" s="1021">
        <f>(VLOOKUP(YEAR($A80),'NY East Load Projections'!$A$4:$EO$14,((MONTH($A80)-1)*12)+VLOOKUP(S$4,$DE$6:$DF$17,2)+1))*(VLOOKUP($A80,CURVES!$D$9:$K$261,4))*(INDEX(DailyScalarsTable,S$5/100,MONTH($A80)))*$B80</f>
        <v>-57616.482970120443</v>
      </c>
      <c r="T80" s="1021">
        <f>(VLOOKUP(YEAR($A80),'NY East Load Projections'!$A$4:$EO$14,((MONTH($A80)-1)*12)+VLOOKUP(T$4,$DE$6:$DF$17,2)+1))*(VLOOKUP($A80,CURVES!$D$9:$K$261,4))*(INDEX(DailyScalarsTable,T$5/100,MONTH($A80)))*$B80</f>
        <v>-57547.421637207568</v>
      </c>
      <c r="U80" s="1021">
        <f>(VLOOKUP(YEAR($A80),'NY East Load Projections'!$A$4:$EO$14,((MONTH($A80)-1)*12)+VLOOKUP(U$4,$DE$6:$DF$17,2)+1))*(VLOOKUP($A80,CURVES!$D$9:$K$261,4))*(INDEX(DailyScalarsTable,U$5/100,MONTH($A80)))*$B80</f>
        <v>-55710.801797722226</v>
      </c>
      <c r="V80" s="1021">
        <f>(VLOOKUP(YEAR($A80),'NY East Load Projections'!$A$4:$EO$14,((MONTH($A80)-1)*12)+VLOOKUP(V$4,$DE$6:$DF$17,2)+1))*(VLOOKUP($A80,CURVES!$D$9:$K$261,4))*(INDEX(DailyScalarsTable,V$5/100,MONTH($A80)))*$B80</f>
        <v>-52909.29110053624</v>
      </c>
      <c r="W80" s="1021">
        <f>(VLOOKUP(YEAR($A80),'NY East Load Projections'!$A$4:$EO$14,((MONTH($A80)-1)*12)+VLOOKUP(W$4,$DE$6:$DF$17,2)+1))*(VLOOKUP($A80,CURVES!$D$9:$K$261,4))*(INDEX(DailyScalarsTable,W$5/100,MONTH($A80)))*$B80</f>
        <v>-51857.892786627956</v>
      </c>
      <c r="X80" s="1021">
        <f>(VLOOKUP(YEAR($A80),'NY East Load Projections'!$A$4:$EO$14,((MONTH($A80)-1)*12)+VLOOKUP(X$4,$DE$6:$DF$17,2)+1))*(VLOOKUP($A80,CURVES!$D$9:$K$261,4))*(INDEX(DailyScalarsTable,X$5/100,MONTH($A80)))*$B80</f>
        <v>-54289.067327008364</v>
      </c>
      <c r="Y80" s="1021">
        <f>(VLOOKUP(YEAR($A80),'NY East Load Projections'!$A$4:$EO$14,((MONTH($A80)-1)*12)+VLOOKUP(Y$4,$DE$6:$DF$17,2)+1))*(VLOOKUP($A80,CURVES!$D$9:$K$261,4))*(INDEX(DailyScalarsTable,Y$5/100,MONTH($A80)))*$B80</f>
        <v>-74014.861917224334</v>
      </c>
      <c r="Z80" s="1021">
        <f>(VLOOKUP(YEAR($A80),'NY East Load Projections'!$A$4:$EO$14,((MONTH($A80)-1)*12)+VLOOKUP(Z$4,$DE$6:$DF$17,2)+1))*(VLOOKUP($A80,CURVES!$D$9:$K$261,4))*(INDEX(DailyScalarsTable,Z$5/100,MONTH($A80)))*$B80</f>
        <v>-81273.852087125648</v>
      </c>
      <c r="AA80" s="1021">
        <f>(VLOOKUP(YEAR($A80),'NY East Load Projections'!$A$4:$EO$14,((MONTH($A80)-1)*12)+VLOOKUP(AA$4,$DE$6:$DF$17,2)+1))*(VLOOKUP($A80,CURVES!$D$9:$K$261,4))*(INDEX(DailyScalarsTable,AA$5/100,MONTH($A80)))*$B80</f>
        <v>-77765.766168749047</v>
      </c>
      <c r="AB80" s="1021">
        <f>(VLOOKUP(YEAR($A80),'NY East Load Projections'!$A$4:$EO$14,((MONTH($A80)-1)*12)+VLOOKUP(AB$4,$DE$6:$DF$17,2)+1))*(VLOOKUP($A80,CURVES!$D$9:$K$261,4))*(INDEX(DailyScalarsTable,AB$5/100,MONTH($A80)))*$B80</f>
        <v>-67472.446843406156</v>
      </c>
      <c r="AC80" s="1021">
        <f>(VLOOKUP(YEAR($A80),'NY East Load Projections'!$A$4:$EO$14,((MONTH($A80)-1)*12)+VLOOKUP(AC$4,$DE$6:$DF$17,2)+1))*(VLOOKUP($A80,CURVES!$D$9:$K$261,4))*(INDEX(DailyScalarsTable,AC$5/100,MONTH($A80)))*$B80</f>
        <v>-48994.270849962646</v>
      </c>
      <c r="AD80" s="1021">
        <f>(VLOOKUP(YEAR($A80),'NY East Load Projections'!$A$4:$EO$14,((MONTH($A80)-1)*12)+VLOOKUP(AD$4,$DE$6:$DF$17,2)+1))*(VLOOKUP($A80,CURVES!$D$9:$K$261,4))*(INDEX(DailyScalarsTable,AD$5/100,MONTH($A80)))*$B80</f>
        <v>-40214.780342873724</v>
      </c>
      <c r="AE80" s="1021">
        <f>(VLOOKUP(YEAR($A80),'NY East Load Projections'!$A$4:$EO$14,((MONTH($A80)-1)*12)+VLOOKUP(AE$4,$DE$6:$DF$17,2)+1))*(VLOOKUP($A80,CURVES!$D$9:$K$261,8))*(INDEX(DailyScalarsTable,AE$5/100,MONTH($A80)))*$B80</f>
        <v>-36236.190081238376</v>
      </c>
      <c r="AF80" s="1021"/>
      <c r="AG80" s="1021">
        <f>(VLOOKUP(YEAR($A80),'NY East Load Projections'!$A$4:$EO$14,((MONTH($A80)-1)*12)+VLOOKUP(AG$4,$DE$6:$DF$17,2)+1))*(VLOOKUP($A80,CURVES!$D$9:$T$261,8))*(INDEX(DailyScalarsTable,AG$5/100,MONTH($A80)))*$C80</f>
        <v>-7224.5964537076379</v>
      </c>
      <c r="AH80" s="1021">
        <f>(VLOOKUP(YEAR($A80),'NY East Load Projections'!$A$4:$EO$14,((MONTH($A80)-1)*12)+VLOOKUP(AH$4,$DE$6:$DF$17,2)+1))*(VLOOKUP($A80,CURVES!$D$9:$T$261,8))*(INDEX(DailyScalarsTable,AH$5/100,MONTH($A80)))*$C80</f>
        <v>-6831.1764030671184</v>
      </c>
      <c r="AI80" s="1021">
        <f>(VLOOKUP(YEAR($A80),'NY East Load Projections'!$A$4:$EO$14,((MONTH($A80)-1)*12)+VLOOKUP(AI$4,$DE$6:$DF$17,2)+1))*(VLOOKUP($A80,CURVES!$D$9:$T$261,8))*(INDEX(DailyScalarsTable,AI$5/100,MONTH($A80)))*$C80</f>
        <v>-6540.0420716317522</v>
      </c>
      <c r="AJ80" s="1021">
        <f>(VLOOKUP(YEAR($A80),'NY East Load Projections'!$A$4:$EO$14,((MONTH($A80)-1)*12)+VLOOKUP(AJ$4,$DE$6:$DF$17,2)+1))*(VLOOKUP($A80,CURVES!$D$9:$T$261,8))*(INDEX(DailyScalarsTable,AJ$5/100,MONTH($A80)))*$C80</f>
        <v>-6544.1474762454563</v>
      </c>
      <c r="AK80" s="1021">
        <f>(VLOOKUP(YEAR($A80),'NY East Load Projections'!$A$4:$EO$14,((MONTH($A80)-1)*12)+VLOOKUP(AK$4,$DE$6:$DF$17,2)+1))*(VLOOKUP($A80,CURVES!$D$9:$T$261,8))*(INDEX(DailyScalarsTable,AK$5/100,MONTH($A80)))*$C80</f>
        <v>-7125.9809745210523</v>
      </c>
      <c r="AL80" s="1021">
        <f>(VLOOKUP(YEAR($A80),'NY East Load Projections'!$A$4:$EO$14,((MONTH($A80)-1)*12)+VLOOKUP(AL$4,$DE$6:$DF$17,2)+1))*(VLOOKUP($A80,CURVES!$D$9:$T$261,8))*(INDEX(DailyScalarsTable,AL$5/100,MONTH($A80)))*$C80</f>
        <v>-8271.6484935187236</v>
      </c>
      <c r="AM80" s="1021">
        <f>(VLOOKUP(YEAR($A80),'NY East Load Projections'!$A$4:$EO$14,((MONTH($A80)-1)*12)+VLOOKUP(AM$4,$DE$6:$DF$17,2)+1))*(VLOOKUP($A80,CURVES!$D$9:$T$261,8))*(INDEX(DailyScalarsTable,AM$5/100,MONTH($A80)))*$C80</f>
        <v>-14925.252943531556</v>
      </c>
      <c r="AN80" s="1021">
        <f>(VLOOKUP(YEAR($A80),'NY East Load Projections'!$A$4:$EO$14,((MONTH($A80)-1)*12)+VLOOKUP(AN$4,$DE$6:$DF$17,2)+1))*(VLOOKUP($A80,SatSunCurve,4))*(INDEX(DailyScalarsTable,AN$5/100,MONTH($A80)))*$C80</f>
        <v>-10485.217030275655</v>
      </c>
      <c r="AO80" s="1021">
        <f>(VLOOKUP(YEAR($A80),'NY East Load Projections'!$A$4:$EO$14,((MONTH($A80)-1)*12)+VLOOKUP(AO$4,$DE$6:$DF$17,2)+1))*(VLOOKUP($A80,SatSunCurve,4))*(INDEX(DailyScalarsTable,AO$5/100,MONTH($A80)))*$C80</f>
        <v>-11714.945505091833</v>
      </c>
      <c r="AP80" s="1021">
        <f>(VLOOKUP(YEAR($A80),'NY East Load Projections'!$A$4:$EO$14,((MONTH($A80)-1)*12)+VLOOKUP(AP$4,$DE$6:$DF$17,2)+1))*(VLOOKUP($A80,SatSunCurve,4))*(INDEX(DailyScalarsTable,AP$5/100,MONTH($A80)))*$C80</f>
        <v>-11679.499376483383</v>
      </c>
      <c r="AQ80" s="1021">
        <f>(VLOOKUP(YEAR($A80),'NY East Load Projections'!$A$4:$EO$14,((MONTH($A80)-1)*12)+VLOOKUP(AQ$4,$DE$6:$DF$17,2)+1))*(VLOOKUP($A80,SatSunCurve,4))*(INDEX(DailyScalarsTable,AQ$5/100,MONTH($A80)))*$C80</f>
        <v>-11473.714907617677</v>
      </c>
      <c r="AR80" s="1021">
        <f>(VLOOKUP(YEAR($A80),'NY East Load Projections'!$A$4:$EO$14,((MONTH($A80)-1)*12)+VLOOKUP(AR$4,$DE$6:$DF$17,2)+1))*(VLOOKUP($A80,SatSunCurve,4))*(INDEX(DailyScalarsTable,AR$5/100,MONTH($A80)))*$C80</f>
        <v>-8767.009142489298</v>
      </c>
      <c r="AS80" s="1021">
        <f>(VLOOKUP(YEAR($A80),'NY East Load Projections'!$A$4:$EO$14,((MONTH($A80)-1)*12)+VLOOKUP(AS$4,$DE$6:$DF$17,2)+1))*(VLOOKUP($A80,SatSunCurve,4))*(INDEX(DailyScalarsTable,AS$5/100,MONTH($A80)))*$C80</f>
        <v>-8550.0961375757852</v>
      </c>
      <c r="AT80" s="1021">
        <f>(VLOOKUP(YEAR($A80),'NY East Load Projections'!$A$4:$EO$14,((MONTH($A80)-1)*12)+VLOOKUP(AT$4,$DE$6:$DF$17,2)+1))*(VLOOKUP($A80,SatSunCurve,4))*(INDEX(DailyScalarsTable,AT$5/100,MONTH($A80)))*$C80</f>
        <v>-8277.2207289297494</v>
      </c>
      <c r="AU80" s="1021">
        <f>(VLOOKUP(YEAR($A80),'NY East Load Projections'!$A$4:$EO$14,((MONTH($A80)-1)*12)+VLOOKUP(AU$4,$DE$6:$DF$17,2)+1))*(VLOOKUP($A80,SatSunCurve,4))*(INDEX(DailyScalarsTable,AU$5/100,MONTH($A80)))*$C80</f>
        <v>-7860.986862842863</v>
      </c>
      <c r="AV80" s="1021">
        <f>(VLOOKUP(YEAR($A80),'NY East Load Projections'!$A$4:$EO$14,((MONTH($A80)-1)*12)+VLOOKUP(AV$4,$DE$6:$DF$17,2)+1))*(VLOOKUP($A80,SatSunCurve,4))*(INDEX(DailyScalarsTable,AV$5/100,MONTH($A80)))*$C80</f>
        <v>-7704.7755781831747</v>
      </c>
      <c r="AW80" s="1021">
        <f>(VLOOKUP(YEAR($A80),'NY East Load Projections'!$A$4:$EO$14,((MONTH($A80)-1)*12)+VLOOKUP(AW$4,$DE$6:$DF$17,2)+1))*(VLOOKUP($A80,SatSunCurve,4))*(INDEX(DailyScalarsTable,AW$5/100,MONTH($A80)))*$C80</f>
        <v>-8083.0646839793726</v>
      </c>
      <c r="AX80" s="1021">
        <f>(VLOOKUP(YEAR($A80),'NY East Load Projections'!$A$4:$EO$14,((MONTH($A80)-1)*12)+VLOOKUP(AX$4,$DE$6:$DF$17,2)+1))*(VLOOKUP($A80,SatSunCurve,4))*(INDEX(DailyScalarsTable,AX$5/100,MONTH($A80)))*$C80</f>
        <v>-11020.025686738827</v>
      </c>
      <c r="AY80" s="1021">
        <f>(VLOOKUP(YEAR($A80),'NY East Load Projections'!$A$4:$EO$14,((MONTH($A80)-1)*12)+VLOOKUP(AY$4,$DE$6:$DF$17,2)+1))*(VLOOKUP($A80,SatSunCurve,4))*(INDEX(DailyScalarsTable,AY$5/100,MONTH($A80)))*$C80</f>
        <v>-12100.812113410268</v>
      </c>
      <c r="AZ80" s="1021">
        <f>(VLOOKUP(YEAR($A80),'NY East Load Projections'!$A$4:$EO$14,((MONTH($A80)-1)*12)+VLOOKUP(AZ$4,$DE$6:$DF$17,2)+1))*(VLOOKUP($A80,SatSunCurve,4))*(INDEX(DailyScalarsTable,AZ$5/100,MONTH($A80)))*$C80</f>
        <v>-11578.49543361923</v>
      </c>
      <c r="BA80" s="1021">
        <f>(VLOOKUP(YEAR($A80),'NY East Load Projections'!$A$4:$EO$14,((MONTH($A80)-1)*12)+VLOOKUP(BA$4,$DE$6:$DF$17,2)+1))*(VLOOKUP($A80,SatSunCurve,4))*(INDEX(DailyScalarsTable,BA$5/100,MONTH($A80)))*$C80</f>
        <v>-10519.297630641584</v>
      </c>
      <c r="BB80" s="1021">
        <f>(VLOOKUP(YEAR($A80),'NY East Load Projections'!$A$4:$EO$14,((MONTH($A80)-1)*12)+VLOOKUP(BB$4,$DE$6:$DF$17,2)+1))*(VLOOKUP($A80,SatSunCurve,4))*(INDEX(DailyScalarsTable,BB$5/100,MONTH($A80)))*$C80</f>
        <v>-7638.4560124691961</v>
      </c>
      <c r="BC80" s="1021">
        <f>(VLOOKUP(YEAR($A80),'NY East Load Projections'!$A$4:$EO$14,((MONTH($A80)-1)*12)+VLOOKUP(BC$4,$DE$6:$DF$17,2)+1))*(VLOOKUP($A80,SatSunCurve,4))*(INDEX(DailyScalarsTable,BC$5/100,MONTH($A80)))*$C80</f>
        <v>-6269.68878954928</v>
      </c>
      <c r="BD80" s="1021">
        <f>(VLOOKUP(YEAR($A80),'NY East Load Projections'!$A$4:$EO$14,((MONTH($A80)-1)*12)+VLOOKUP(BD$4,$DE$6:$DF$17,2)+1))*(VLOOKUP($A80,CURVES!$D$9:$T$261,8))*(INDEX(DailyScalarsTable,BD$5/100,MONTH($A80)))*$C80</f>
        <v>-8642.4656460375027</v>
      </c>
      <c r="BE80" s="1021"/>
      <c r="BF80" s="1021">
        <f>(VLOOKUP(YEAR($A80),'NY East Load Projections'!$A$4:$EO$14,((MONTH($A80)-1)*12)+VLOOKUP(BF$4,$DE$6:$DF$17,2)+1))*(VLOOKUP($A80,CURVES!$D$9:$T$261,8))*(INDEX(DailyScalarsTable,BF$5/100,MONTH($A80)))*$D80</f>
        <v>-5779.6771629661107</v>
      </c>
      <c r="BG80" s="1021">
        <f>(VLOOKUP(YEAR($A80),'NY East Load Projections'!$A$4:$EO$14,((MONTH($A80)-1)*12)+VLOOKUP(BG$4,$DE$6:$DF$17,2)+1))*(VLOOKUP($A80,CURVES!$D$9:$T$261,8))*(INDEX(DailyScalarsTable,BG$5/100,MONTH($A80)))*$D80</f>
        <v>-5464.9411224536943</v>
      </c>
      <c r="BH80" s="1021">
        <f>(VLOOKUP(YEAR($A80),'NY East Load Projections'!$A$4:$EO$14,((MONTH($A80)-1)*12)+VLOOKUP(BH$4,$DE$6:$DF$17,2)+1))*(VLOOKUP($A80,CURVES!$D$9:$T$261,8))*(INDEX(DailyScalarsTable,BH$5/100,MONTH($A80)))*$D80</f>
        <v>-5232.0336573054019</v>
      </c>
      <c r="BI80" s="1021">
        <f>(VLOOKUP(YEAR($A80),'NY East Load Projections'!$A$4:$EO$14,((MONTH($A80)-1)*12)+VLOOKUP(BI$4,$DE$6:$DF$17,2)+1))*(VLOOKUP($A80,CURVES!$D$9:$T$261,8))*(INDEX(DailyScalarsTable,BI$5/100,MONTH($A80)))*$D80</f>
        <v>-5235.3179809963649</v>
      </c>
      <c r="BJ80" s="1021">
        <f>(VLOOKUP(YEAR($A80),'NY East Load Projections'!$A$4:$EO$14,((MONTH($A80)-1)*12)+VLOOKUP(BJ$4,$DE$6:$DF$17,2)+1))*(VLOOKUP($A80,CURVES!$D$9:$T$261,8))*(INDEX(DailyScalarsTable,BJ$5/100,MONTH($A80)))*$D80</f>
        <v>-5700.7847796168417</v>
      </c>
      <c r="BK80" s="1021">
        <f>(VLOOKUP(YEAR($A80),'NY East Load Projections'!$A$4:$EO$14,((MONTH($A80)-1)*12)+VLOOKUP(BK$4,$DE$6:$DF$17,2)+1))*(VLOOKUP($A80,CURVES!$D$9:$T$261,8))*(INDEX(DailyScalarsTable,BK$5/100,MONTH($A80)))*$D80</f>
        <v>-6617.3187948149789</v>
      </c>
      <c r="BL80" s="1021">
        <f>(VLOOKUP(YEAR($A80),'NY East Load Projections'!$A$4:$EO$14,((MONTH($A80)-1)*12)+VLOOKUP(BL$4,$DE$6:$DF$17,2)+1))*(VLOOKUP($A80,CURVES!$D$9:$T$261,8))*(INDEX(DailyScalarsTable,BL$5/100,MONTH($A80)))*$D80</f>
        <v>-11940.202354825244</v>
      </c>
      <c r="BM80" s="1021">
        <f>(VLOOKUP(YEAR($A80),'NY East Load Projections'!$A$4:$EO$14,((MONTH($A80)-1)*12)+VLOOKUP(BM$4,$DE$6:$DF$17,2)+1))*(VLOOKUP($A80,SatSunCurve,8))*(INDEX(DailyScalarsTable,BM$5/100,MONTH($A80)))*$D80</f>
        <v>-9298.4481081962476</v>
      </c>
      <c r="BN80" s="1021">
        <f>(VLOOKUP(YEAR($A80),'NY East Load Projections'!$A$4:$EO$14,((MONTH($A80)-1)*12)+VLOOKUP(BN$4,$DE$6:$DF$17,2)+1))*(VLOOKUP($A80,SatSunCurve,8))*(INDEX(DailyScalarsTable,BN$5/100,MONTH($A80)))*$D80</f>
        <v>-10388.98980869064</v>
      </c>
      <c r="BO80" s="1021">
        <f>(VLOOKUP(YEAR($A80),'NY East Load Projections'!$A$4:$EO$14,((MONTH($A80)-1)*12)+VLOOKUP(BO$4,$DE$6:$DF$17,2)+1))*(VLOOKUP($A80,SatSunCurve,8))*(INDEX(DailyScalarsTable,BO$5/100,MONTH($A80)))*$D80</f>
        <v>-10357.555648906402</v>
      </c>
      <c r="BP80" s="1021">
        <f>(VLOOKUP(YEAR($A80),'NY East Load Projections'!$A$4:$EO$14,((MONTH($A80)-1)*12)+VLOOKUP(BP$4,$DE$6:$DF$17,2)+1))*(VLOOKUP($A80,SatSunCurve,8))*(INDEX(DailyScalarsTable,BP$5/100,MONTH($A80)))*$D80</f>
        <v>-10175.062887936798</v>
      </c>
      <c r="BQ80" s="1021">
        <f>(VLOOKUP(YEAR($A80),'NY East Load Projections'!$A$4:$EO$14,((MONTH($A80)-1)*12)+VLOOKUP(BQ$4,$DE$6:$DF$17,2)+1))*(VLOOKUP($A80,SatSunCurve,8))*(INDEX(DailyScalarsTable,BQ$5/100,MONTH($A80)))*$D80</f>
        <v>-7774.7155199681838</v>
      </c>
      <c r="BR80" s="1021">
        <f>(VLOOKUP(YEAR($A80),'NY East Load Projections'!$A$4:$EO$14,((MONTH($A80)-1)*12)+VLOOKUP(BR$4,$DE$6:$DF$17,2)+1))*(VLOOKUP($A80,SatSunCurve,8))*(INDEX(DailyScalarsTable,BR$5/100,MONTH($A80)))*$D80</f>
        <v>-7582.3538059133052</v>
      </c>
      <c r="BS80" s="1021">
        <f>(VLOOKUP(YEAR($A80),'NY East Load Projections'!$A$4:$EO$14,((MONTH($A80)-1)*12)+VLOOKUP(BS$4,$DE$6:$DF$17,2)+1))*(VLOOKUP($A80,SatSunCurve,8))*(INDEX(DailyScalarsTable,BS$5/100,MONTH($A80)))*$D80</f>
        <v>-7340.3637908309665</v>
      </c>
      <c r="BT80" s="1021">
        <f>(VLOOKUP(YEAR($A80),'NY East Load Projections'!$A$4:$EO$14,((MONTH($A80)-1)*12)+VLOOKUP(BT$4,$DE$6:$DF$17,2)+1))*(VLOOKUP($A80,SatSunCurve,8))*(INDEX(DailyScalarsTable,BT$5/100,MONTH($A80)))*$D80</f>
        <v>-6971.2413402887014</v>
      </c>
      <c r="BU80" s="1021">
        <f>(VLOOKUP(YEAR($A80),'NY East Load Projections'!$A$4:$EO$14,((MONTH($A80)-1)*12)+VLOOKUP(BU$4,$DE$6:$DF$17,2)+1))*(VLOOKUP($A80,SatSunCurve,8))*(INDEX(DailyScalarsTable,BU$5/100,MONTH($A80)))*$D80</f>
        <v>-6832.7108244082319</v>
      </c>
      <c r="BV80" s="1021">
        <f>(VLOOKUP(YEAR($A80),'NY East Load Projections'!$A$4:$EO$14,((MONTH($A80)-1)*12)+VLOOKUP(BV$4,$DE$6:$DF$17,2)+1))*(VLOOKUP($A80,SatSunCurve,8))*(INDEX(DailyScalarsTable,BV$5/100,MONTH($A80)))*$D80</f>
        <v>-7168.1832910233952</v>
      </c>
      <c r="BW80" s="1021">
        <f>(VLOOKUP(YEAR($A80),'NY East Load Projections'!$A$4:$EO$14,((MONTH($A80)-1)*12)+VLOOKUP(BW$4,$DE$6:$DF$17,2)+1))*(VLOOKUP($A80,SatSunCurve,8))*(INDEX(DailyScalarsTable,BW$5/100,MONTH($A80)))*$D80</f>
        <v>-9772.7244656219391</v>
      </c>
      <c r="BX80" s="1021">
        <f>(VLOOKUP(YEAR($A80),'NY East Load Projections'!$A$4:$EO$14,((MONTH($A80)-1)*12)+VLOOKUP(BX$4,$DE$6:$DF$17,2)+1))*(VLOOKUP($A80,SatSunCurve,8))*(INDEX(DailyScalarsTable,BX$5/100,MONTH($A80)))*$D80</f>
        <v>-10731.18211847064</v>
      </c>
      <c r="BY80" s="1021">
        <f>(VLOOKUP(YEAR($A80),'NY East Load Projections'!$A$4:$EO$14,((MONTH($A80)-1)*12)+VLOOKUP(BY$4,$DE$6:$DF$17,2)+1))*(VLOOKUP($A80,SatSunCurve,8))*(INDEX(DailyScalarsTable,BY$5/100,MONTH($A80)))*$D80</f>
        <v>-10267.983833775274</v>
      </c>
      <c r="BZ80" s="1021">
        <f>(VLOOKUP(YEAR($A80),'NY East Load Projections'!$A$4:$EO$14,((MONTH($A80)-1)*12)+VLOOKUP(BZ$4,$DE$6:$DF$17,2)+1))*(VLOOKUP($A80,SatSunCurve,8))*(INDEX(DailyScalarsTable,BZ$5/100,MONTH($A80)))*$D80</f>
        <v>-9328.6712970042372</v>
      </c>
      <c r="CA80" s="1021">
        <f>(VLOOKUP(YEAR($A80),'NY East Load Projections'!$A$4:$EO$14,((MONTH($A80)-1)*12)+VLOOKUP(CA$4,$DE$6:$DF$17,2)+1))*(VLOOKUP($A80,SatSunCurve,8))*(INDEX(DailyScalarsTable,CA$5/100,MONTH($A80)))*$D80</f>
        <v>-6773.8976364151804</v>
      </c>
      <c r="CB80" s="1021">
        <f>(VLOOKUP(YEAR($A80),'NY East Load Projections'!$A$4:$EO$14,((MONTH($A80)-1)*12)+VLOOKUP(CB$4,$DE$6:$DF$17,2)+1))*(VLOOKUP($A80,SatSunCurve,8))*(INDEX(DailyScalarsTable,CB$5/100,MONTH($A80)))*$D80</f>
        <v>-5560.0542836480581</v>
      </c>
      <c r="CC80" s="1021">
        <f>(VLOOKUP(YEAR($A80),'NY East Load Projections'!$A$4:$EO$14,((MONTH($A80)-1)*12)+VLOOKUP(CC$4,$DE$6:$DF$17,2)+1))*(VLOOKUP($A80,CURVES!$D$9:$T$261,8))*(INDEX(DailyScalarsTable,CC$5/100,MONTH($A80)))*$D80</f>
        <v>-6913.972516830002</v>
      </c>
      <c r="CE80" s="1021">
        <f>(VLOOKUP(YEAR($A80),'NY East Load Projections'!$A$4:$EO$14,((MONTH($A80)-1)*12)+VLOOKUP(CE$4,$DE$6:$DF$17,2)+1))*(VLOOKUP($A80,CURVES!$D$9:$T$261,8))*(INDEX(DailyScalarsTable,CE$5/100,MONTH($A80)))*$E80</f>
        <v>0</v>
      </c>
      <c r="CF80" s="1021">
        <f>(VLOOKUP(YEAR($A80),'NY East Load Projections'!$A$4:$EO$14,((MONTH($A80)-1)*12)+VLOOKUP(CF$4,$DE$6:$DF$17,2)+1))*(VLOOKUP($A80,CURVES!$D$9:$T$261,8))*(INDEX(DailyScalarsTable,CF$5/100,MONTH($A80)))*$E80</f>
        <v>0</v>
      </c>
      <c r="CG80" s="1021">
        <f>(VLOOKUP(YEAR($A80),'NY East Load Projections'!$A$4:$EO$14,((MONTH($A80)-1)*12)+VLOOKUP(CG$4,$DE$6:$DF$17,2)+1))*(VLOOKUP($A80,CURVES!$D$9:$T$261,8))*(INDEX(DailyScalarsTable,CG$5/100,MONTH($A80)))*$E80</f>
        <v>0</v>
      </c>
      <c r="CH80" s="1021">
        <f>(VLOOKUP(YEAR($A80),'NY East Load Projections'!$A$4:$EO$14,((MONTH($A80)-1)*12)+VLOOKUP(CH$4,$DE$6:$DF$17,2)+1))*(VLOOKUP($A80,CURVES!$D$9:$T$261,8))*(INDEX(DailyScalarsTable,CH$5/100,MONTH($A80)))*$E80</f>
        <v>0</v>
      </c>
      <c r="CI80" s="1021">
        <f>(VLOOKUP(YEAR($A80),'NY East Load Projections'!$A$4:$EO$14,((MONTH($A80)-1)*12)+VLOOKUP(CI$4,$DE$6:$DF$17,2)+1))*(VLOOKUP($A80,CURVES!$D$9:$T$261,8))*(INDEX(DailyScalarsTable,CI$5/100,MONTH($A80)))*$E80</f>
        <v>0</v>
      </c>
      <c r="CJ80" s="1021">
        <f>(VLOOKUP(YEAR($A80),'NY East Load Projections'!$A$4:$EO$14,((MONTH($A80)-1)*12)+VLOOKUP(CJ$4,$DE$6:$DF$17,2)+1))*(VLOOKUP($A80,CURVES!$D$9:$T$261,8))*(INDEX(DailyScalarsTable,CJ$5/100,MONTH($A80)))*$E80</f>
        <v>0</v>
      </c>
      <c r="CK80" s="1021">
        <f>(VLOOKUP(YEAR($A80),'NY East Load Projections'!$A$4:$EO$14,((MONTH($A80)-1)*12)+VLOOKUP(CK$4,$DE$6:$DF$17,2)+1))*(VLOOKUP($A80,CURVES!$D$9:$T$261,8))*(INDEX(DailyScalarsTable,CK$5/100,MONTH($A80)))*$E80</f>
        <v>0</v>
      </c>
      <c r="CL80" s="1021">
        <f>(VLOOKUP(YEAR($A80),'NY East Load Projections'!$A$4:$EO$14,((MONTH($A80)-1)*12)+VLOOKUP(CL$4,$DE$6:$DF$17,2)+1))*(VLOOKUP($A80,SatSunCurve,8))*(INDEX(DailyScalarsTable,CL$5/100,MONTH($A80)))*$E80</f>
        <v>0</v>
      </c>
      <c r="CM80" s="1021">
        <f>(VLOOKUP(YEAR($A80),'NY East Load Projections'!$A$4:$EO$14,((MONTH($A80)-1)*12)+VLOOKUP(CM$4,$DE$6:$DF$17,2)+1))*(VLOOKUP($A80,SatSunCurve,8))*(INDEX(DailyScalarsTable,CM$5/100,MONTH($A80)))*$E80</f>
        <v>0</v>
      </c>
      <c r="CN80" s="1021">
        <f>(VLOOKUP(YEAR($A80),'NY East Load Projections'!$A$4:$EO$14,((MONTH($A80)-1)*12)+VLOOKUP(CN$4,$DE$6:$DF$17,2)+1))*(VLOOKUP($A80,SatSunCurve,8))*(INDEX(DailyScalarsTable,CN$5/100,MONTH($A80)))*$E80</f>
        <v>0</v>
      </c>
      <c r="CO80" s="1021">
        <f>(VLOOKUP(YEAR($A80),'NY East Load Projections'!$A$4:$EO$14,((MONTH($A80)-1)*12)+VLOOKUP(CO$4,$DE$6:$DF$17,2)+1))*(VLOOKUP($A80,SatSunCurve,8))*(INDEX(DailyScalarsTable,CO$5/100,MONTH($A80)))*$E80</f>
        <v>0</v>
      </c>
      <c r="CP80" s="1021">
        <f>(VLOOKUP(YEAR($A80),'NY East Load Projections'!$A$4:$EO$14,((MONTH($A80)-1)*12)+VLOOKUP(CP$4,$DE$6:$DF$17,2)+1))*(VLOOKUP($A80,SatSunCurve,8))*(INDEX(DailyScalarsTable,CP$5/100,MONTH($A80)))*$E80</f>
        <v>0</v>
      </c>
      <c r="CQ80" s="1021">
        <f>(VLOOKUP(YEAR($A80),'NY East Load Projections'!$A$4:$EO$14,((MONTH($A80)-1)*12)+VLOOKUP(CQ$4,$DE$6:$DF$17,2)+1))*(VLOOKUP($A80,SatSunCurve,8))*(INDEX(DailyScalarsTable,CQ$5/100,MONTH($A80)))*$E80</f>
        <v>0</v>
      </c>
      <c r="CR80" s="1021">
        <f>(VLOOKUP(YEAR($A80),'NY East Load Projections'!$A$4:$EO$14,((MONTH($A80)-1)*12)+VLOOKUP(CR$4,$DE$6:$DF$17,2)+1))*(VLOOKUP($A80,SatSunCurve,8))*(INDEX(DailyScalarsTable,CR$5/100,MONTH($A80)))*$E80</f>
        <v>0</v>
      </c>
      <c r="CS80" s="1021">
        <f>(VLOOKUP(YEAR($A80),'NY East Load Projections'!$A$4:$EO$14,((MONTH($A80)-1)*12)+VLOOKUP(CS$4,$DE$6:$DF$17,2)+1))*(VLOOKUP($A80,SatSunCurve,8))*(INDEX(DailyScalarsTable,CS$5/100,MONTH($A80)))*$E80</f>
        <v>0</v>
      </c>
      <c r="CT80" s="1021">
        <f>(VLOOKUP(YEAR($A80),'NY East Load Projections'!$A$4:$EO$14,((MONTH($A80)-1)*12)+VLOOKUP(CT$4,$DE$6:$DF$17,2)+1))*(VLOOKUP($A80,SatSunCurve,8))*(INDEX(DailyScalarsTable,CT$5/100,MONTH($A80)))*$E80</f>
        <v>0</v>
      </c>
      <c r="CU80" s="1021">
        <f>(VLOOKUP(YEAR($A80),'NY East Load Projections'!$A$4:$EO$14,((MONTH($A80)-1)*12)+VLOOKUP(CU$4,$DE$6:$DF$17,2)+1))*(VLOOKUP($A80,SatSunCurve,8))*(INDEX(DailyScalarsTable,CU$5/100,MONTH($A80)))*$E80</f>
        <v>0</v>
      </c>
      <c r="CV80" s="1021">
        <f>(VLOOKUP(YEAR($A80),'NY East Load Projections'!$A$4:$EO$14,((MONTH($A80)-1)*12)+VLOOKUP(CV$4,$DE$6:$DF$17,2)+1))*(VLOOKUP($A80,SatSunCurve,8))*(INDEX(DailyScalarsTable,CV$5/100,MONTH($A80)))*$E80</f>
        <v>0</v>
      </c>
      <c r="CW80" s="1021">
        <f>(VLOOKUP(YEAR($A80),'NY East Load Projections'!$A$4:$EO$14,((MONTH($A80)-1)*12)+VLOOKUP(CW$4,$DE$6:$DF$17,2)+1))*(VLOOKUP($A80,SatSunCurve,8))*(INDEX(DailyScalarsTable,CW$5/100,MONTH($A80)))*$E80</f>
        <v>0</v>
      </c>
      <c r="CX80" s="1021">
        <f>(VLOOKUP(YEAR($A80),'NY East Load Projections'!$A$4:$EO$14,((MONTH($A80)-1)*12)+VLOOKUP(CX$4,$DE$6:$DF$17,2)+1))*(VLOOKUP($A80,SatSunCurve,8))*(INDEX(DailyScalarsTable,CX$5/100,MONTH($A80)))*$E80</f>
        <v>0</v>
      </c>
      <c r="CY80" s="1021">
        <f>(VLOOKUP(YEAR($A80),'NY East Load Projections'!$A$4:$EO$14,((MONTH($A80)-1)*12)+VLOOKUP(CY$4,$DE$6:$DF$17,2)+1))*(VLOOKUP($A80,SatSunCurve,8))*(INDEX(DailyScalarsTable,CY$5/100,MONTH($A80)))*$E80</f>
        <v>0</v>
      </c>
      <c r="CZ80" s="1021">
        <f>(VLOOKUP(YEAR($A80),'NY East Load Projections'!$A$4:$EO$14,((MONTH($A80)-1)*12)+VLOOKUP(CZ$4,$DE$6:$DF$17,2)+1))*(VLOOKUP($A80,SatSunCurve,8))*(INDEX(DailyScalarsTable,CZ$5/100,MONTH($A80)))*$E80</f>
        <v>0</v>
      </c>
      <c r="DA80" s="1021">
        <f>(VLOOKUP(YEAR($A80),'NY East Load Projections'!$A$4:$EO$14,((MONTH($A80)-1)*12)+VLOOKUP(DA$4,$DE$6:$DF$17,2)+1))*(VLOOKUP($A80,SatSunCurve,8))*(INDEX(DailyScalarsTable,DA$5/100,MONTH($A80)))*$E80</f>
        <v>0</v>
      </c>
      <c r="DB80" s="1021">
        <f>(VLOOKUP(YEAR($A80),'NY East Load Projections'!$A$4:$EO$14,((MONTH($A80)-1)*12)+VLOOKUP(DB$4,$DE$6:$DF$17,2)+1))*(VLOOKUP($A80,CURVES!$D$9:$T$261,8))*(INDEX(DailyScalarsTable,DB$5/100,MONTH($A80)))*$E80</f>
        <v>0</v>
      </c>
      <c r="DH80" s="1021">
        <f t="shared" si="2"/>
        <v>-1700499.5104271749</v>
      </c>
      <c r="DI80">
        <f ca="1">CALC!J100</f>
        <v>0.5969503290230761</v>
      </c>
      <c r="DJ80" s="1029">
        <f t="shared" ca="1" si="3"/>
        <v>-1015113.7422530819</v>
      </c>
    </row>
    <row r="81" spans="1:114" x14ac:dyDescent="0.25">
      <c r="A81" s="244">
        <v>39173</v>
      </c>
      <c r="B81" s="13">
        <v>21</v>
      </c>
      <c r="C81" s="210">
        <v>4</v>
      </c>
      <c r="D81" s="210">
        <v>5</v>
      </c>
      <c r="E81" s="210">
        <v>0</v>
      </c>
      <c r="F81" s="13">
        <v>30</v>
      </c>
      <c r="H81" s="1021">
        <f>(VLOOKUP(YEAR($A81),'NY East Load Projections'!$A$4:$EO$14,((MONTH($A81)-1)*12)+VLOOKUP(H$4,$DE$6:$DF$17,2)+1))*(VLOOKUP($A81,CURVES!$D$9:$K$261,8))*(INDEX(DailyScalarsTable,H$5/100,MONTH($A81)))*$B81</f>
        <v>-31501.842596640101</v>
      </c>
      <c r="I81" s="1021">
        <f>(VLOOKUP(YEAR($A81),'NY East Load Projections'!$A$4:$EO$14,((MONTH($A81)-1)*12)+VLOOKUP(I$4,$DE$6:$DF$17,2)+1))*(VLOOKUP($A81,CURVES!$D$9:$K$261,8))*(INDEX(DailyScalarsTable,I$5/100,MONTH($A81)))*$B81</f>
        <v>-29878.609077652334</v>
      </c>
      <c r="J81" s="1021">
        <f>(VLOOKUP(YEAR($A81),'NY East Load Projections'!$A$4:$EO$14,((MONTH($A81)-1)*12)+VLOOKUP(J$4,$DE$6:$DF$17,2)+1))*(VLOOKUP($A81,CURVES!$D$9:$K$261,8))*(INDEX(DailyScalarsTable,J$5/100,MONTH($A81)))*$B81</f>
        <v>-28677.401857673129</v>
      </c>
      <c r="K81" s="1021">
        <f>(VLOOKUP(YEAR($A81),'NY East Load Projections'!$A$4:$EO$14,((MONTH($A81)-1)*12)+VLOOKUP(K$4,$DE$6:$DF$17,2)+1))*(VLOOKUP($A81,CURVES!$D$9:$K$261,8))*(INDEX(DailyScalarsTable,K$5/100,MONTH($A81)))*$B81</f>
        <v>-28694.340573346421</v>
      </c>
      <c r="L81" s="1021">
        <f>(VLOOKUP(YEAR($A81),'NY East Load Projections'!$A$4:$EO$14,((MONTH($A81)-1)*12)+VLOOKUP(L$4,$DE$6:$DF$17,2)+1))*(VLOOKUP($A81,CURVES!$D$9:$K$261,8))*(INDEX(DailyScalarsTable,L$5/100,MONTH($A81)))*$B81</f>
        <v>-33105.574133701353</v>
      </c>
      <c r="M81" s="1021">
        <f>(VLOOKUP(YEAR($A81),'NY East Load Projections'!$A$4:$EO$14,((MONTH($A81)-1)*12)+VLOOKUP(M$4,$DE$6:$DF$17,2)+1))*(VLOOKUP($A81,CURVES!$D$9:$K$261,8))*(INDEX(DailyScalarsTable,M$5/100,MONTH($A81)))*$B81</f>
        <v>-38134.813363074034</v>
      </c>
      <c r="N81" s="1021">
        <f>(VLOOKUP(YEAR($A81),'NY East Load Projections'!$A$4:$EO$14,((MONTH($A81)-1)*12)+VLOOKUP(N$4,$DE$6:$DF$17,2)+1))*(VLOOKUP($A81,CURVES!$D$9:$K$261,8))*(INDEX(DailyScalarsTable,N$5/100,MONTH($A81)))*$B81</f>
        <v>-54391.322867209958</v>
      </c>
      <c r="O81" s="1021">
        <f>(VLOOKUP(YEAR($A81),'NY East Load Projections'!$A$4:$EO$14,((MONTH($A81)-1)*12)+VLOOKUP(O$4,$DE$6:$DF$17,2)+1))*(VLOOKUP($A81,CURVES!$D$9:$K$261,4))*(INDEX(DailyScalarsTable,O$5/100,MONTH($A81)))*$B81</f>
        <v>-67007.053362291132</v>
      </c>
      <c r="P81" s="1021">
        <f>(VLOOKUP(YEAR($A81),'NY East Load Projections'!$A$4:$EO$14,((MONTH($A81)-1)*12)+VLOOKUP(P$4,$DE$6:$DF$17,2)+1))*(VLOOKUP($A81,CURVES!$D$9:$K$261,4))*(INDEX(DailyScalarsTable,P$5/100,MONTH($A81)))*$B81</f>
        <v>-72970.822219383524</v>
      </c>
      <c r="Q81" s="1021">
        <f>(VLOOKUP(YEAR($A81),'NY East Load Projections'!$A$4:$EO$14,((MONTH($A81)-1)*12)+VLOOKUP(Q$4,$DE$6:$DF$17,2)+1))*(VLOOKUP($A81,CURVES!$D$9:$K$261,4))*(INDEX(DailyScalarsTable,Q$5/100,MONTH($A81)))*$B81</f>
        <v>-69932.000642541898</v>
      </c>
      <c r="R81" s="1021">
        <f>(VLOOKUP(YEAR($A81),'NY East Load Projections'!$A$4:$EO$14,((MONTH($A81)-1)*12)+VLOOKUP(R$4,$DE$6:$DF$17,2)+1))*(VLOOKUP($A81,CURVES!$D$9:$K$261,4))*(INDEX(DailyScalarsTable,R$5/100,MONTH($A81)))*$B81</f>
        <v>-71373.717211846029</v>
      </c>
      <c r="S81" s="1021">
        <f>(VLOOKUP(YEAR($A81),'NY East Load Projections'!$A$4:$EO$14,((MONTH($A81)-1)*12)+VLOOKUP(S$4,$DE$6:$DF$17,2)+1))*(VLOOKUP($A81,CURVES!$D$9:$K$261,4))*(INDEX(DailyScalarsTable,S$5/100,MONTH($A81)))*$B81</f>
        <v>-71513.669712506555</v>
      </c>
      <c r="T81" s="1021">
        <f>(VLOOKUP(YEAR($A81),'NY East Load Projections'!$A$4:$EO$14,((MONTH($A81)-1)*12)+VLOOKUP(T$4,$DE$6:$DF$17,2)+1))*(VLOOKUP($A81,CURVES!$D$9:$K$261,4))*(INDEX(DailyScalarsTable,T$5/100,MONTH($A81)))*$B81</f>
        <v>-67068.518220119717</v>
      </c>
      <c r="U81" s="1021">
        <f>(VLOOKUP(YEAR($A81),'NY East Load Projections'!$A$4:$EO$14,((MONTH($A81)-1)*12)+VLOOKUP(U$4,$DE$6:$DF$17,2)+1))*(VLOOKUP($A81,CURVES!$D$9:$K$261,4))*(INDEX(DailyScalarsTable,U$5/100,MONTH($A81)))*$B81</f>
        <v>-67140.736541903476</v>
      </c>
      <c r="V81" s="1021">
        <f>(VLOOKUP(YEAR($A81),'NY East Load Projections'!$A$4:$EO$14,((MONTH($A81)-1)*12)+VLOOKUP(V$4,$DE$6:$DF$17,2)+1))*(VLOOKUP($A81,CURVES!$D$9:$K$261,4))*(INDEX(DailyScalarsTable,V$5/100,MONTH($A81)))*$B81</f>
        <v>-62973.314561321218</v>
      </c>
      <c r="W81" s="1021">
        <f>(VLOOKUP(YEAR($A81),'NY East Load Projections'!$A$4:$EO$14,((MONTH($A81)-1)*12)+VLOOKUP(W$4,$DE$6:$DF$17,2)+1))*(VLOOKUP($A81,CURVES!$D$9:$K$261,4))*(INDEX(DailyScalarsTable,W$5/100,MONTH($A81)))*$B81</f>
        <v>-58855.808185501315</v>
      </c>
      <c r="X81" s="1021">
        <f>(VLOOKUP(YEAR($A81),'NY East Load Projections'!$A$4:$EO$14,((MONTH($A81)-1)*12)+VLOOKUP(X$4,$DE$6:$DF$17,2)+1))*(VLOOKUP($A81,CURVES!$D$9:$K$261,4))*(INDEX(DailyScalarsTable,X$5/100,MONTH($A81)))*$B81</f>
        <v>-54811.672649797394</v>
      </c>
      <c r="Y81" s="1021">
        <f>(VLOOKUP(YEAR($A81),'NY East Load Projections'!$A$4:$EO$14,((MONTH($A81)-1)*12)+VLOOKUP(Y$4,$DE$6:$DF$17,2)+1))*(VLOOKUP($A81,CURVES!$D$9:$K$261,4))*(INDEX(DailyScalarsTable,Y$5/100,MONTH($A81)))*$B81</f>
        <v>-54098.818728296537</v>
      </c>
      <c r="Z81" s="1021">
        <f>(VLOOKUP(YEAR($A81),'NY East Load Projections'!$A$4:$EO$14,((MONTH($A81)-1)*12)+VLOOKUP(Z$4,$DE$6:$DF$17,2)+1))*(VLOOKUP($A81,CURVES!$D$9:$K$261,4))*(INDEX(DailyScalarsTable,Z$5/100,MONTH($A81)))*$B81</f>
        <v>-53808.809878297623</v>
      </c>
      <c r="AA81" s="1021">
        <f>(VLOOKUP(YEAR($A81),'NY East Load Projections'!$A$4:$EO$14,((MONTH($A81)-1)*12)+VLOOKUP(AA$4,$DE$6:$DF$17,2)+1))*(VLOOKUP($A81,CURVES!$D$9:$K$261,4))*(INDEX(DailyScalarsTable,AA$5/100,MONTH($A81)))*$B81</f>
        <v>-59019.84302565598</v>
      </c>
      <c r="AB81" s="1021">
        <f>(VLOOKUP(YEAR($A81),'NY East Load Projections'!$A$4:$EO$14,((MONTH($A81)-1)*12)+VLOOKUP(AB$4,$DE$6:$DF$17,2)+1))*(VLOOKUP($A81,CURVES!$D$9:$K$261,4))*(INDEX(DailyScalarsTable,AB$5/100,MONTH($A81)))*$B81</f>
        <v>-66700.798206985666</v>
      </c>
      <c r="AC81" s="1021">
        <f>(VLOOKUP(YEAR($A81),'NY East Load Projections'!$A$4:$EO$14,((MONTH($A81)-1)*12)+VLOOKUP(AC$4,$DE$6:$DF$17,2)+1))*(VLOOKUP($A81,CURVES!$D$9:$K$261,4))*(INDEX(DailyScalarsTable,AC$5/100,MONTH($A81)))*$B81</f>
        <v>-56834.113392948755</v>
      </c>
      <c r="AD81" s="1021">
        <f>(VLOOKUP(YEAR($A81),'NY East Load Projections'!$A$4:$EO$14,((MONTH($A81)-1)*12)+VLOOKUP(AD$4,$DE$6:$DF$17,2)+1))*(VLOOKUP($A81,CURVES!$D$9:$K$261,4))*(INDEX(DailyScalarsTable,AD$5/100,MONTH($A81)))*$B81</f>
        <v>-50209.512023320669</v>
      </c>
      <c r="AE81" s="1021">
        <f>(VLOOKUP(YEAR($A81),'NY East Load Projections'!$A$4:$EO$14,((MONTH($A81)-1)*12)+VLOOKUP(AE$4,$DE$6:$DF$17,2)+1))*(VLOOKUP($A81,CURVES!$D$9:$K$261,8))*(INDEX(DailyScalarsTable,AE$5/100,MONTH($A81)))*$B81</f>
        <v>-37090.058734442762</v>
      </c>
      <c r="AF81" s="1021"/>
      <c r="AG81" s="1021">
        <f>(VLOOKUP(YEAR($A81),'NY East Load Projections'!$A$4:$EO$14,((MONTH($A81)-1)*12)+VLOOKUP(AG$4,$DE$6:$DF$17,2)+1))*(VLOOKUP($A81,CURVES!$D$9:$T$261,8))*(INDEX(DailyScalarsTable,AG$5/100,MONTH($A81)))*$C81</f>
        <v>-6198.0952222185688</v>
      </c>
      <c r="AH81" s="1021">
        <f>(VLOOKUP(YEAR($A81),'NY East Load Projections'!$A$4:$EO$14,((MONTH($A81)-1)*12)+VLOOKUP(AH$4,$DE$6:$DF$17,2)+1))*(VLOOKUP($A81,CURVES!$D$9:$T$261,8))*(INDEX(DailyScalarsTable,AH$5/100,MONTH($A81)))*$C81</f>
        <v>-5878.7184782164204</v>
      </c>
      <c r="AI81" s="1021">
        <f>(VLOOKUP(YEAR($A81),'NY East Load Projections'!$A$4:$EO$14,((MONTH($A81)-1)*12)+VLOOKUP(AI$4,$DE$6:$DF$17,2)+1))*(VLOOKUP($A81,CURVES!$D$9:$T$261,8))*(INDEX(DailyScalarsTable,AI$5/100,MONTH($A81)))*$C81</f>
        <v>-5642.3768512716633</v>
      </c>
      <c r="AJ81" s="1021">
        <f>(VLOOKUP(YEAR($A81),'NY East Load Projections'!$A$4:$EO$14,((MONTH($A81)-1)*12)+VLOOKUP(AJ$4,$DE$6:$DF$17,2)+1))*(VLOOKUP($A81,CURVES!$D$9:$T$261,8))*(INDEX(DailyScalarsTable,AJ$5/100,MONTH($A81)))*$C81</f>
        <v>-5645.7096014866092</v>
      </c>
      <c r="AK81" s="1021">
        <f>(VLOOKUP(YEAR($A81),'NY East Load Projections'!$A$4:$EO$14,((MONTH($A81)-1)*12)+VLOOKUP(AK$4,$DE$6:$DF$17,2)+1))*(VLOOKUP($A81,CURVES!$D$9:$T$261,8))*(INDEX(DailyScalarsTable,AK$5/100,MONTH($A81)))*$C81</f>
        <v>-6145.8449011534422</v>
      </c>
      <c r="AL81" s="1021">
        <f>(VLOOKUP(YEAR($A81),'NY East Load Projections'!$A$4:$EO$14,((MONTH($A81)-1)*12)+VLOOKUP(AL$4,$DE$6:$DF$17,2)+1))*(VLOOKUP($A81,CURVES!$D$9:$T$261,8))*(INDEX(DailyScalarsTable,AL$5/100,MONTH($A81)))*$C81</f>
        <v>-7079.4920310805983</v>
      </c>
      <c r="AM81" s="1021">
        <f>(VLOOKUP(YEAR($A81),'NY East Load Projections'!$A$4:$EO$14,((MONTH($A81)-1)*12)+VLOOKUP(AM$4,$DE$6:$DF$17,2)+1))*(VLOOKUP($A81,CURVES!$D$9:$T$261,8))*(INDEX(DailyScalarsTable,AM$5/100,MONTH($A81)))*$C81</f>
        <v>-10097.412386216147</v>
      </c>
      <c r="AN81" s="1021">
        <f>(VLOOKUP(YEAR($A81),'NY East Load Projections'!$A$4:$EO$14,((MONTH($A81)-1)*12)+VLOOKUP(AN$4,$DE$6:$DF$17,2)+1))*(VLOOKUP($A81,SatSunCurve,4))*(INDEX(DailyScalarsTable,AN$5/100,MONTH($A81)))*$C81</f>
        <v>-8699.9563332823709</v>
      </c>
      <c r="AO81" s="1021">
        <f>(VLOOKUP(YEAR($A81),'NY East Load Projections'!$A$4:$EO$14,((MONTH($A81)-1)*12)+VLOOKUP(AO$4,$DE$6:$DF$17,2)+1))*(VLOOKUP($A81,SatSunCurve,4))*(INDEX(DailyScalarsTable,AO$5/100,MONTH($A81)))*$C81</f>
        <v>-9448.5478594562337</v>
      </c>
      <c r="AP81" s="1021">
        <f>(VLOOKUP(YEAR($A81),'NY East Load Projections'!$A$4:$EO$14,((MONTH($A81)-1)*12)+VLOOKUP(AP$4,$DE$6:$DF$17,2)+1))*(VLOOKUP($A81,SatSunCurve,4))*(INDEX(DailyScalarsTable,AP$5/100,MONTH($A81)))*$C81</f>
        <v>-9055.0693397978757</v>
      </c>
      <c r="AQ81" s="1021">
        <f>(VLOOKUP(YEAR($A81),'NY East Load Projections'!$A$4:$EO$14,((MONTH($A81)-1)*12)+VLOOKUP(AQ$4,$DE$6:$DF$17,2)+1))*(VLOOKUP($A81,SatSunCurve,4))*(INDEX(DailyScalarsTable,AQ$5/100,MONTH($A81)))*$C81</f>
        <v>-9241.7484478376173</v>
      </c>
      <c r="AR81" s="1021">
        <f>(VLOOKUP(YEAR($A81),'NY East Load Projections'!$A$4:$EO$14,((MONTH($A81)-1)*12)+VLOOKUP(AR$4,$DE$6:$DF$17,2)+1))*(VLOOKUP($A81,SatSunCurve,4))*(INDEX(DailyScalarsTable,AR$5/100,MONTH($A81)))*$C81</f>
        <v>-9259.870045762962</v>
      </c>
      <c r="AS81" s="1021">
        <f>(VLOOKUP(YEAR($A81),'NY East Load Projections'!$A$4:$EO$14,((MONTH($A81)-1)*12)+VLOOKUP(AS$4,$DE$6:$DF$17,2)+1))*(VLOOKUP($A81,SatSunCurve,4))*(INDEX(DailyScalarsTable,AS$5/100,MONTH($A81)))*$C81</f>
        <v>-8520.7603808856948</v>
      </c>
      <c r="AT81" s="1021">
        <f>(VLOOKUP(YEAR($A81),'NY East Load Projections'!$A$4:$EO$14,((MONTH($A81)-1)*12)+VLOOKUP(AT$4,$DE$6:$DF$17,2)+1))*(VLOOKUP($A81,SatSunCurve,4))*(INDEX(DailyScalarsTable,AT$5/100,MONTH($A81)))*$C81</f>
        <v>-8529.9354011688283</v>
      </c>
      <c r="AU81" s="1021">
        <f>(VLOOKUP(YEAR($A81),'NY East Load Projections'!$A$4:$EO$14,((MONTH($A81)-1)*12)+VLOOKUP(AU$4,$DE$6:$DF$17,2)+1))*(VLOOKUP($A81,SatSunCurve,4))*(INDEX(DailyScalarsTable,AU$5/100,MONTH($A81)))*$C81</f>
        <v>-8000.4827601244169</v>
      </c>
      <c r="AV81" s="1021">
        <f>(VLOOKUP(YEAR($A81),'NY East Load Projections'!$A$4:$EO$14,((MONTH($A81)-1)*12)+VLOOKUP(AV$4,$DE$6:$DF$17,2)+1))*(VLOOKUP($A81,SatSunCurve,4))*(INDEX(DailyScalarsTable,AV$5/100,MONTH($A81)))*$C81</f>
        <v>-7477.3716772168827</v>
      </c>
      <c r="AW81" s="1021">
        <f>(VLOOKUP(YEAR($A81),'NY East Load Projections'!$A$4:$EO$14,((MONTH($A81)-1)*12)+VLOOKUP(AW$4,$DE$6:$DF$17,2)+1))*(VLOOKUP($A81,SatSunCurve,4))*(INDEX(DailyScalarsTable,AW$5/100,MONTH($A81)))*$C81</f>
        <v>-6944.3044057903344</v>
      </c>
      <c r="AX81" s="1021">
        <f>(VLOOKUP(YEAR($A81),'NY East Load Projections'!$A$4:$EO$14,((MONTH($A81)-1)*12)+VLOOKUP(AX$4,$DE$6:$DF$17,2)+1))*(VLOOKUP($A81,SatSunCurve,4))*(INDEX(DailyScalarsTable,AX$5/100,MONTH($A81)))*$C81</f>
        <v>-6853.9901645265882</v>
      </c>
      <c r="AY81" s="1021">
        <f>(VLOOKUP(YEAR($A81),'NY East Load Projections'!$A$4:$EO$14,((MONTH($A81)-1)*12)+VLOOKUP(AY$4,$DE$6:$DF$17,2)+1))*(VLOOKUP($A81,SatSunCurve,4))*(INDEX(DailyScalarsTable,AY$5/100,MONTH($A81)))*$C81</f>
        <v>-6817.2478131732005</v>
      </c>
      <c r="AZ81" s="1021">
        <f>(VLOOKUP(YEAR($A81),'NY East Load Projections'!$A$4:$EO$14,((MONTH($A81)-1)*12)+VLOOKUP(AZ$4,$DE$6:$DF$17,2)+1))*(VLOOKUP($A81,SatSunCurve,4))*(INDEX(DailyScalarsTable,AZ$5/100,MONTH($A81)))*$C81</f>
        <v>-7477.4539096943936</v>
      </c>
      <c r="BA81" s="1021">
        <f>(VLOOKUP(YEAR($A81),'NY East Load Projections'!$A$4:$EO$14,((MONTH($A81)-1)*12)+VLOOKUP(BA$4,$DE$6:$DF$17,2)+1))*(VLOOKUP($A81,SatSunCurve,4))*(INDEX(DailyScalarsTable,BA$5/100,MONTH($A81)))*$C81</f>
        <v>-8852.153904246552</v>
      </c>
      <c r="BB81" s="1021">
        <f>(VLOOKUP(YEAR($A81),'NY East Load Projections'!$A$4:$EO$14,((MONTH($A81)-1)*12)+VLOOKUP(BB$4,$DE$6:$DF$17,2)+1))*(VLOOKUP($A81,SatSunCurve,4))*(INDEX(DailyScalarsTable,BB$5/100,MONTH($A81)))*$C81</f>
        <v>-7542.7031203517427</v>
      </c>
      <c r="BC81" s="1021">
        <f>(VLOOKUP(YEAR($A81),'NY East Load Projections'!$A$4:$EO$14,((MONTH($A81)-1)*12)+VLOOKUP(BC$4,$DE$6:$DF$17,2)+1))*(VLOOKUP($A81,SatSunCurve,4))*(INDEX(DailyScalarsTable,BC$5/100,MONTH($A81)))*$C81</f>
        <v>-6663.5233735629145</v>
      </c>
      <c r="BD81" s="1021">
        <f>(VLOOKUP(YEAR($A81),'NY East Load Projections'!$A$4:$EO$14,((MONTH($A81)-1)*12)+VLOOKUP(BD$4,$DE$6:$DF$17,2)+1))*(VLOOKUP($A81,CURVES!$D$9:$T$261,8))*(INDEX(DailyScalarsTable,BD$5/100,MONTH($A81)))*$C81</f>
        <v>-7038.163724499138</v>
      </c>
      <c r="BE81" s="1021"/>
      <c r="BF81" s="1021">
        <f>(VLOOKUP(YEAR($A81),'NY East Load Projections'!$A$4:$EO$14,((MONTH($A81)-1)*12)+VLOOKUP(BF$4,$DE$6:$DF$17,2)+1))*(VLOOKUP($A81,CURVES!$D$9:$T$261,8))*(INDEX(DailyScalarsTable,BF$5/100,MONTH($A81)))*$D81</f>
        <v>-7747.6190277732112</v>
      </c>
      <c r="BG81" s="1021">
        <f>(VLOOKUP(YEAR($A81),'NY East Load Projections'!$A$4:$EO$14,((MONTH($A81)-1)*12)+VLOOKUP(BG$4,$DE$6:$DF$17,2)+1))*(VLOOKUP($A81,CURVES!$D$9:$T$261,8))*(INDEX(DailyScalarsTable,BG$5/100,MONTH($A81)))*$D81</f>
        <v>-7348.3980977705251</v>
      </c>
      <c r="BH81" s="1021">
        <f>(VLOOKUP(YEAR($A81),'NY East Load Projections'!$A$4:$EO$14,((MONTH($A81)-1)*12)+VLOOKUP(BH$4,$DE$6:$DF$17,2)+1))*(VLOOKUP($A81,CURVES!$D$9:$T$261,8))*(INDEX(DailyScalarsTable,BH$5/100,MONTH($A81)))*$D81</f>
        <v>-7052.9710640895792</v>
      </c>
      <c r="BI81" s="1021">
        <f>(VLOOKUP(YEAR($A81),'NY East Load Projections'!$A$4:$EO$14,((MONTH($A81)-1)*12)+VLOOKUP(BI$4,$DE$6:$DF$17,2)+1))*(VLOOKUP($A81,CURVES!$D$9:$T$261,8))*(INDEX(DailyScalarsTable,BI$5/100,MONTH($A81)))*$D81</f>
        <v>-7057.137001858262</v>
      </c>
      <c r="BJ81" s="1021">
        <f>(VLOOKUP(YEAR($A81),'NY East Load Projections'!$A$4:$EO$14,((MONTH($A81)-1)*12)+VLOOKUP(BJ$4,$DE$6:$DF$17,2)+1))*(VLOOKUP($A81,CURVES!$D$9:$T$261,8))*(INDEX(DailyScalarsTable,BJ$5/100,MONTH($A81)))*$D81</f>
        <v>-7682.3061264418029</v>
      </c>
      <c r="BK81" s="1021">
        <f>(VLOOKUP(YEAR($A81),'NY East Load Projections'!$A$4:$EO$14,((MONTH($A81)-1)*12)+VLOOKUP(BK$4,$DE$6:$DF$17,2)+1))*(VLOOKUP($A81,CURVES!$D$9:$T$261,8))*(INDEX(DailyScalarsTable,BK$5/100,MONTH($A81)))*$D81</f>
        <v>-8849.3650388507485</v>
      </c>
      <c r="BL81" s="1021">
        <f>(VLOOKUP(YEAR($A81),'NY East Load Projections'!$A$4:$EO$14,((MONTH($A81)-1)*12)+VLOOKUP(BL$4,$DE$6:$DF$17,2)+1))*(VLOOKUP($A81,CURVES!$D$9:$T$261,8))*(INDEX(DailyScalarsTable,BL$5/100,MONTH($A81)))*$D81</f>
        <v>-12621.765482770184</v>
      </c>
      <c r="BM81" s="1021">
        <f>(VLOOKUP(YEAR($A81),'NY East Load Projections'!$A$4:$EO$14,((MONTH($A81)-1)*12)+VLOOKUP(BM$4,$DE$6:$DF$17,2)+1))*(VLOOKUP($A81,SatSunCurve,8))*(INDEX(DailyScalarsTable,BM$5/100,MONTH($A81)))*$D81</f>
        <v>-11642.841320000442</v>
      </c>
      <c r="BN81" s="1021">
        <f>(VLOOKUP(YEAR($A81),'NY East Load Projections'!$A$4:$EO$14,((MONTH($A81)-1)*12)+VLOOKUP(BN$4,$DE$6:$DF$17,2)+1))*(VLOOKUP($A81,SatSunCurve,8))*(INDEX(DailyScalarsTable,BN$5/100,MONTH($A81)))*$D81</f>
        <v>-12644.654664671669</v>
      </c>
      <c r="BO81" s="1021">
        <f>(VLOOKUP(YEAR($A81),'NY East Load Projections'!$A$4:$EO$14,((MONTH($A81)-1)*12)+VLOOKUP(BO$4,$DE$6:$DF$17,2)+1))*(VLOOKUP($A81,SatSunCurve,8))*(INDEX(DailyScalarsTable,BO$5/100,MONTH($A81)))*$D81</f>
        <v>-12118.076393274469</v>
      </c>
      <c r="BP81" s="1021">
        <f>(VLOOKUP(YEAR($A81),'NY East Load Projections'!$A$4:$EO$14,((MONTH($A81)-1)*12)+VLOOKUP(BP$4,$DE$6:$DF$17,2)+1))*(VLOOKUP($A81,SatSunCurve,8))*(INDEX(DailyScalarsTable,BP$5/100,MONTH($A81)))*$D81</f>
        <v>-12367.902386578726</v>
      </c>
      <c r="BQ81" s="1021">
        <f>(VLOOKUP(YEAR($A81),'NY East Load Projections'!$A$4:$EO$14,((MONTH($A81)-1)*12)+VLOOKUP(BQ$4,$DE$6:$DF$17,2)+1))*(VLOOKUP($A81,SatSunCurve,8))*(INDEX(DailyScalarsTable,BQ$5/100,MONTH($A81)))*$D81</f>
        <v>-12392.153874865226</v>
      </c>
      <c r="BR81" s="1021">
        <f>(VLOOKUP(YEAR($A81),'NY East Load Projections'!$A$4:$EO$14,((MONTH($A81)-1)*12)+VLOOKUP(BR$4,$DE$6:$DF$17,2)+1))*(VLOOKUP($A81,SatSunCurve,8))*(INDEX(DailyScalarsTable,BR$5/100,MONTH($A81)))*$D81</f>
        <v>-11403.029767043636</v>
      </c>
      <c r="BS81" s="1021">
        <f>(VLOOKUP(YEAR($A81),'NY East Load Projections'!$A$4:$EO$14,((MONTH($A81)-1)*12)+VLOOKUP(BS$4,$DE$6:$DF$17,2)+1))*(VLOOKUP($A81,SatSunCurve,8))*(INDEX(DailyScalarsTable,BS$5/100,MONTH($A81)))*$D81</f>
        <v>-11415.308369506918</v>
      </c>
      <c r="BT81" s="1021">
        <f>(VLOOKUP(YEAR($A81),'NY East Load Projections'!$A$4:$EO$14,((MONTH($A81)-1)*12)+VLOOKUP(BT$4,$DE$6:$DF$17,2)+1))*(VLOOKUP($A81,SatSunCurve,8))*(INDEX(DailyScalarsTable,BT$5/100,MONTH($A81)))*$D81</f>
        <v>-10706.760780302007</v>
      </c>
      <c r="BU81" s="1021">
        <f>(VLOOKUP(YEAR($A81),'NY East Load Projections'!$A$4:$EO$14,((MONTH($A81)-1)*12)+VLOOKUP(BU$4,$DE$6:$DF$17,2)+1))*(VLOOKUP($A81,SatSunCurve,8))*(INDEX(DailyScalarsTable,BU$5/100,MONTH($A81)))*$D81</f>
        <v>-10006.699872211431</v>
      </c>
      <c r="BV81" s="1021">
        <f>(VLOOKUP(YEAR($A81),'NY East Load Projections'!$A$4:$EO$14,((MONTH($A81)-1)*12)+VLOOKUP(BV$4,$DE$6:$DF$17,2)+1))*(VLOOKUP($A81,SatSunCurve,8))*(INDEX(DailyScalarsTable,BV$5/100,MONTH($A81)))*$D81</f>
        <v>-9293.3149520639854</v>
      </c>
      <c r="BW81" s="1021">
        <f>(VLOOKUP(YEAR($A81),'NY East Load Projections'!$A$4:$EO$14,((MONTH($A81)-1)*12)+VLOOKUP(BW$4,$DE$6:$DF$17,2)+1))*(VLOOKUP($A81,SatSunCurve,8))*(INDEX(DailyScalarsTable,BW$5/100,MONTH($A81)))*$D81</f>
        <v>-9172.4506235905901</v>
      </c>
      <c r="BX81" s="1021">
        <f>(VLOOKUP(YEAR($A81),'NY East Load Projections'!$A$4:$EO$14,((MONTH($A81)-1)*12)+VLOOKUP(BX$4,$DE$6:$DF$17,2)+1))*(VLOOKUP($A81,SatSunCurve,8))*(INDEX(DailyScalarsTable,BX$5/100,MONTH($A81)))*$D81</f>
        <v>-9123.2796450082405</v>
      </c>
      <c r="BY81" s="1021">
        <f>(VLOOKUP(YEAR($A81),'NY East Load Projections'!$A$4:$EO$14,((MONTH($A81)-1)*12)+VLOOKUP(BY$4,$DE$6:$DF$17,2)+1))*(VLOOKUP($A81,SatSunCurve,8))*(INDEX(DailyScalarsTable,BY$5/100,MONTH($A81)))*$D81</f>
        <v>-10006.809921003669</v>
      </c>
      <c r="BZ81" s="1021">
        <f>(VLOOKUP(YEAR($A81),'NY East Load Projections'!$A$4:$EO$14,((MONTH($A81)-1)*12)+VLOOKUP(BZ$4,$DE$6:$DF$17,2)+1))*(VLOOKUP($A81,SatSunCurve,8))*(INDEX(DailyScalarsTable,BZ$5/100,MONTH($A81)))*$D81</f>
        <v>-11846.521901849628</v>
      </c>
      <c r="CA81" s="1021">
        <f>(VLOOKUP(YEAR($A81),'NY East Load Projections'!$A$4:$EO$14,((MONTH($A81)-1)*12)+VLOOKUP(CA$4,$DE$6:$DF$17,2)+1))*(VLOOKUP($A81,SatSunCurve,8))*(INDEX(DailyScalarsTable,CA$5/100,MONTH($A81)))*$D81</f>
        <v>-10094.130612836632</v>
      </c>
      <c r="CB81" s="1021">
        <f>(VLOOKUP(YEAR($A81),'NY East Load Projections'!$A$4:$EO$14,((MONTH($A81)-1)*12)+VLOOKUP(CB$4,$DE$6:$DF$17,2)+1))*(VLOOKUP($A81,SatSunCurve,8))*(INDEX(DailyScalarsTable,CB$5/100,MONTH($A81)))*$D81</f>
        <v>-8917.5557092981762</v>
      </c>
      <c r="CC81" s="1021">
        <f>(VLOOKUP(YEAR($A81),'NY East Load Projections'!$A$4:$EO$14,((MONTH($A81)-1)*12)+VLOOKUP(CC$4,$DE$6:$DF$17,2)+1))*(VLOOKUP($A81,CURVES!$D$9:$T$261,8))*(INDEX(DailyScalarsTable,CC$5/100,MONTH($A81)))*$D81</f>
        <v>-8797.704655623922</v>
      </c>
      <c r="CE81" s="1021">
        <f>(VLOOKUP(YEAR($A81),'NY East Load Projections'!$A$4:$EO$14,((MONTH($A81)-1)*12)+VLOOKUP(CE$4,$DE$6:$DF$17,2)+1))*(VLOOKUP($A81,CURVES!$D$9:$T$261,8))*(INDEX(DailyScalarsTable,CE$5/100,MONTH($A81)))*$E81</f>
        <v>0</v>
      </c>
      <c r="CF81" s="1021">
        <f>(VLOOKUP(YEAR($A81),'NY East Load Projections'!$A$4:$EO$14,((MONTH($A81)-1)*12)+VLOOKUP(CF$4,$DE$6:$DF$17,2)+1))*(VLOOKUP($A81,CURVES!$D$9:$T$261,8))*(INDEX(DailyScalarsTable,CF$5/100,MONTH($A81)))*$E81</f>
        <v>0</v>
      </c>
      <c r="CG81" s="1021">
        <f>(VLOOKUP(YEAR($A81),'NY East Load Projections'!$A$4:$EO$14,((MONTH($A81)-1)*12)+VLOOKUP(CG$4,$DE$6:$DF$17,2)+1))*(VLOOKUP($A81,CURVES!$D$9:$T$261,8))*(INDEX(DailyScalarsTable,CG$5/100,MONTH($A81)))*$E81</f>
        <v>0</v>
      </c>
      <c r="CH81" s="1021">
        <f>(VLOOKUP(YEAR($A81),'NY East Load Projections'!$A$4:$EO$14,((MONTH($A81)-1)*12)+VLOOKUP(CH$4,$DE$6:$DF$17,2)+1))*(VLOOKUP($A81,CURVES!$D$9:$T$261,8))*(INDEX(DailyScalarsTable,CH$5/100,MONTH($A81)))*$E81</f>
        <v>0</v>
      </c>
      <c r="CI81" s="1021">
        <f>(VLOOKUP(YEAR($A81),'NY East Load Projections'!$A$4:$EO$14,((MONTH($A81)-1)*12)+VLOOKUP(CI$4,$DE$6:$DF$17,2)+1))*(VLOOKUP($A81,CURVES!$D$9:$T$261,8))*(INDEX(DailyScalarsTable,CI$5/100,MONTH($A81)))*$E81</f>
        <v>0</v>
      </c>
      <c r="CJ81" s="1021">
        <f>(VLOOKUP(YEAR($A81),'NY East Load Projections'!$A$4:$EO$14,((MONTH($A81)-1)*12)+VLOOKUP(CJ$4,$DE$6:$DF$17,2)+1))*(VLOOKUP($A81,CURVES!$D$9:$T$261,8))*(INDEX(DailyScalarsTable,CJ$5/100,MONTH($A81)))*$E81</f>
        <v>0</v>
      </c>
      <c r="CK81" s="1021">
        <f>(VLOOKUP(YEAR($A81),'NY East Load Projections'!$A$4:$EO$14,((MONTH($A81)-1)*12)+VLOOKUP(CK$4,$DE$6:$DF$17,2)+1))*(VLOOKUP($A81,CURVES!$D$9:$T$261,8))*(INDEX(DailyScalarsTable,CK$5/100,MONTH($A81)))*$E81</f>
        <v>0</v>
      </c>
      <c r="CL81" s="1021">
        <f>(VLOOKUP(YEAR($A81),'NY East Load Projections'!$A$4:$EO$14,((MONTH($A81)-1)*12)+VLOOKUP(CL$4,$DE$6:$DF$17,2)+1))*(VLOOKUP($A81,SatSunCurve,8))*(INDEX(DailyScalarsTable,CL$5/100,MONTH($A81)))*$E81</f>
        <v>0</v>
      </c>
      <c r="CM81" s="1021">
        <f>(VLOOKUP(YEAR($A81),'NY East Load Projections'!$A$4:$EO$14,((MONTH($A81)-1)*12)+VLOOKUP(CM$4,$DE$6:$DF$17,2)+1))*(VLOOKUP($A81,SatSunCurve,8))*(INDEX(DailyScalarsTable,CM$5/100,MONTH($A81)))*$E81</f>
        <v>0</v>
      </c>
      <c r="CN81" s="1021">
        <f>(VLOOKUP(YEAR($A81),'NY East Load Projections'!$A$4:$EO$14,((MONTH($A81)-1)*12)+VLOOKUP(CN$4,$DE$6:$DF$17,2)+1))*(VLOOKUP($A81,SatSunCurve,8))*(INDEX(DailyScalarsTable,CN$5/100,MONTH($A81)))*$E81</f>
        <v>0</v>
      </c>
      <c r="CO81" s="1021">
        <f>(VLOOKUP(YEAR($A81),'NY East Load Projections'!$A$4:$EO$14,((MONTH($A81)-1)*12)+VLOOKUP(CO$4,$DE$6:$DF$17,2)+1))*(VLOOKUP($A81,SatSunCurve,8))*(INDEX(DailyScalarsTable,CO$5/100,MONTH($A81)))*$E81</f>
        <v>0</v>
      </c>
      <c r="CP81" s="1021">
        <f>(VLOOKUP(YEAR($A81),'NY East Load Projections'!$A$4:$EO$14,((MONTH($A81)-1)*12)+VLOOKUP(CP$4,$DE$6:$DF$17,2)+1))*(VLOOKUP($A81,SatSunCurve,8))*(INDEX(DailyScalarsTable,CP$5/100,MONTH($A81)))*$E81</f>
        <v>0</v>
      </c>
      <c r="CQ81" s="1021">
        <f>(VLOOKUP(YEAR($A81),'NY East Load Projections'!$A$4:$EO$14,((MONTH($A81)-1)*12)+VLOOKUP(CQ$4,$DE$6:$DF$17,2)+1))*(VLOOKUP($A81,SatSunCurve,8))*(INDEX(DailyScalarsTable,CQ$5/100,MONTH($A81)))*$E81</f>
        <v>0</v>
      </c>
      <c r="CR81" s="1021">
        <f>(VLOOKUP(YEAR($A81),'NY East Load Projections'!$A$4:$EO$14,((MONTH($A81)-1)*12)+VLOOKUP(CR$4,$DE$6:$DF$17,2)+1))*(VLOOKUP($A81,SatSunCurve,8))*(INDEX(DailyScalarsTable,CR$5/100,MONTH($A81)))*$E81</f>
        <v>0</v>
      </c>
      <c r="CS81" s="1021">
        <f>(VLOOKUP(YEAR($A81),'NY East Load Projections'!$A$4:$EO$14,((MONTH($A81)-1)*12)+VLOOKUP(CS$4,$DE$6:$DF$17,2)+1))*(VLOOKUP($A81,SatSunCurve,8))*(INDEX(DailyScalarsTable,CS$5/100,MONTH($A81)))*$E81</f>
        <v>0</v>
      </c>
      <c r="CT81" s="1021">
        <f>(VLOOKUP(YEAR($A81),'NY East Load Projections'!$A$4:$EO$14,((MONTH($A81)-1)*12)+VLOOKUP(CT$4,$DE$6:$DF$17,2)+1))*(VLOOKUP($A81,SatSunCurve,8))*(INDEX(DailyScalarsTable,CT$5/100,MONTH($A81)))*$E81</f>
        <v>0</v>
      </c>
      <c r="CU81" s="1021">
        <f>(VLOOKUP(YEAR($A81),'NY East Load Projections'!$A$4:$EO$14,((MONTH($A81)-1)*12)+VLOOKUP(CU$4,$DE$6:$DF$17,2)+1))*(VLOOKUP($A81,SatSunCurve,8))*(INDEX(DailyScalarsTable,CU$5/100,MONTH($A81)))*$E81</f>
        <v>0</v>
      </c>
      <c r="CV81" s="1021">
        <f>(VLOOKUP(YEAR($A81),'NY East Load Projections'!$A$4:$EO$14,((MONTH($A81)-1)*12)+VLOOKUP(CV$4,$DE$6:$DF$17,2)+1))*(VLOOKUP($A81,SatSunCurve,8))*(INDEX(DailyScalarsTable,CV$5/100,MONTH($A81)))*$E81</f>
        <v>0</v>
      </c>
      <c r="CW81" s="1021">
        <f>(VLOOKUP(YEAR($A81),'NY East Load Projections'!$A$4:$EO$14,((MONTH($A81)-1)*12)+VLOOKUP(CW$4,$DE$6:$DF$17,2)+1))*(VLOOKUP($A81,SatSunCurve,8))*(INDEX(DailyScalarsTable,CW$5/100,MONTH($A81)))*$E81</f>
        <v>0</v>
      </c>
      <c r="CX81" s="1021">
        <f>(VLOOKUP(YEAR($A81),'NY East Load Projections'!$A$4:$EO$14,((MONTH($A81)-1)*12)+VLOOKUP(CX$4,$DE$6:$DF$17,2)+1))*(VLOOKUP($A81,SatSunCurve,8))*(INDEX(DailyScalarsTable,CX$5/100,MONTH($A81)))*$E81</f>
        <v>0</v>
      </c>
      <c r="CY81" s="1021">
        <f>(VLOOKUP(YEAR($A81),'NY East Load Projections'!$A$4:$EO$14,((MONTH($A81)-1)*12)+VLOOKUP(CY$4,$DE$6:$DF$17,2)+1))*(VLOOKUP($A81,SatSunCurve,8))*(INDEX(DailyScalarsTable,CY$5/100,MONTH($A81)))*$E81</f>
        <v>0</v>
      </c>
      <c r="CZ81" s="1021">
        <f>(VLOOKUP(YEAR($A81),'NY East Load Projections'!$A$4:$EO$14,((MONTH($A81)-1)*12)+VLOOKUP(CZ$4,$DE$6:$DF$17,2)+1))*(VLOOKUP($A81,SatSunCurve,8))*(INDEX(DailyScalarsTable,CZ$5/100,MONTH($A81)))*$E81</f>
        <v>0</v>
      </c>
      <c r="DA81" s="1021">
        <f>(VLOOKUP(YEAR($A81),'NY East Load Projections'!$A$4:$EO$14,((MONTH($A81)-1)*12)+VLOOKUP(DA$4,$DE$6:$DF$17,2)+1))*(VLOOKUP($A81,SatSunCurve,8))*(INDEX(DailyScalarsTable,DA$5/100,MONTH($A81)))*$E81</f>
        <v>0</v>
      </c>
      <c r="DB81" s="1021">
        <f>(VLOOKUP(YEAR($A81),'NY East Load Projections'!$A$4:$EO$14,((MONTH($A81)-1)*12)+VLOOKUP(DB$4,$DE$6:$DF$17,2)+1))*(VLOOKUP($A81,CURVES!$D$9:$T$261,8))*(INDEX(DailyScalarsTable,DB$5/100,MONTH($A81)))*$E81</f>
        <v>0</v>
      </c>
      <c r="DH81" s="1021">
        <f t="shared" si="2"/>
        <v>-1709212.8611887624</v>
      </c>
      <c r="DI81">
        <f ca="1">CALC!J101</f>
        <v>0.59334585051619781</v>
      </c>
      <c r="DJ81" s="1029">
        <f t="shared" ca="1" si="3"/>
        <v>-1014154.3588352702</v>
      </c>
    </row>
    <row r="82" spans="1:114" x14ac:dyDescent="0.25">
      <c r="A82" s="244">
        <v>39203</v>
      </c>
      <c r="B82" s="13">
        <v>22</v>
      </c>
      <c r="C82" s="210">
        <v>4</v>
      </c>
      <c r="D82" s="210">
        <v>4</v>
      </c>
      <c r="E82" s="210">
        <v>1</v>
      </c>
      <c r="F82" s="13">
        <v>31</v>
      </c>
      <c r="H82" s="1021">
        <f>(VLOOKUP(YEAR($A82),'NY East Load Projections'!$A$4:$EO$14,((MONTH($A82)-1)*12)+VLOOKUP(H$4,$DE$6:$DF$17,2)+1))*(VLOOKUP($A82,CURVES!$D$9:$K$261,8))*(INDEX(DailyScalarsTable,H$5/100,MONTH($A82)))*$B82</f>
        <v>-38960.608445039696</v>
      </c>
      <c r="I82" s="1021">
        <f>(VLOOKUP(YEAR($A82),'NY East Load Projections'!$A$4:$EO$14,((MONTH($A82)-1)*12)+VLOOKUP(I$4,$DE$6:$DF$17,2)+1))*(VLOOKUP($A82,CURVES!$D$9:$K$261,8))*(INDEX(DailyScalarsTable,I$5/100,MONTH($A82)))*$B82</f>
        <v>-35094.210442355259</v>
      </c>
      <c r="J82" s="1021">
        <f>(VLOOKUP(YEAR($A82),'NY East Load Projections'!$A$4:$EO$14,((MONTH($A82)-1)*12)+VLOOKUP(J$4,$DE$6:$DF$17,2)+1))*(VLOOKUP($A82,CURVES!$D$9:$K$261,8))*(INDEX(DailyScalarsTable,J$5/100,MONTH($A82)))*$B82</f>
        <v>-33212.154271736392</v>
      </c>
      <c r="K82" s="1021">
        <f>(VLOOKUP(YEAR($A82),'NY East Load Projections'!$A$4:$EO$14,((MONTH($A82)-1)*12)+VLOOKUP(K$4,$DE$6:$DF$17,2)+1))*(VLOOKUP($A82,CURVES!$D$9:$K$261,8))*(INDEX(DailyScalarsTable,K$5/100,MONTH($A82)))*$B82</f>
        <v>-32199.526223414265</v>
      </c>
      <c r="L82" s="1021">
        <f>(VLOOKUP(YEAR($A82),'NY East Load Projections'!$A$4:$EO$14,((MONTH($A82)-1)*12)+VLOOKUP(L$4,$DE$6:$DF$17,2)+1))*(VLOOKUP($A82,CURVES!$D$9:$K$261,8))*(INDEX(DailyScalarsTable,L$5/100,MONTH($A82)))*$B82</f>
        <v>-37588.449144490682</v>
      </c>
      <c r="M82" s="1021">
        <f>(VLOOKUP(YEAR($A82),'NY East Load Projections'!$A$4:$EO$14,((MONTH($A82)-1)*12)+VLOOKUP(M$4,$DE$6:$DF$17,2)+1))*(VLOOKUP($A82,CURVES!$D$9:$K$261,8))*(INDEX(DailyScalarsTable,M$5/100,MONTH($A82)))*$B82</f>
        <v>-45573.788692792092</v>
      </c>
      <c r="N82" s="1021">
        <f>(VLOOKUP(YEAR($A82),'NY East Load Projections'!$A$4:$EO$14,((MONTH($A82)-1)*12)+VLOOKUP(N$4,$DE$6:$DF$17,2)+1))*(VLOOKUP($A82,CURVES!$D$9:$K$261,8))*(INDEX(DailyScalarsTable,N$5/100,MONTH($A82)))*$B82</f>
        <v>-54529.721998345645</v>
      </c>
      <c r="O82" s="1021">
        <f>(VLOOKUP(YEAR($A82),'NY East Load Projections'!$A$4:$EO$14,((MONTH($A82)-1)*12)+VLOOKUP(O$4,$DE$6:$DF$17,2)+1))*(VLOOKUP($A82,CURVES!$D$9:$K$261,4))*(INDEX(DailyScalarsTable,O$5/100,MONTH($A82)))*$B82</f>
        <v>-70182.304783548068</v>
      </c>
      <c r="P82" s="1021">
        <f>(VLOOKUP(YEAR($A82),'NY East Load Projections'!$A$4:$EO$14,((MONTH($A82)-1)*12)+VLOOKUP(P$4,$DE$6:$DF$17,2)+1))*(VLOOKUP($A82,CURVES!$D$9:$K$261,4))*(INDEX(DailyScalarsTable,P$5/100,MONTH($A82)))*$B82</f>
        <v>-83320.336452278134</v>
      </c>
      <c r="Q82" s="1021">
        <f>(VLOOKUP(YEAR($A82),'NY East Load Projections'!$A$4:$EO$14,((MONTH($A82)-1)*12)+VLOOKUP(Q$4,$DE$6:$DF$17,2)+1))*(VLOOKUP($A82,CURVES!$D$9:$K$261,4))*(INDEX(DailyScalarsTable,Q$5/100,MONTH($A82)))*$B82</f>
        <v>-84798.157519474436</v>
      </c>
      <c r="R82" s="1021">
        <f>(VLOOKUP(YEAR($A82),'NY East Load Projections'!$A$4:$EO$14,((MONTH($A82)-1)*12)+VLOOKUP(R$4,$DE$6:$DF$17,2)+1))*(VLOOKUP($A82,CURVES!$D$9:$K$261,4))*(INDEX(DailyScalarsTable,R$5/100,MONTH($A82)))*$B82</f>
        <v>-89950.914160849046</v>
      </c>
      <c r="S82" s="1021">
        <f>(VLOOKUP(YEAR($A82),'NY East Load Projections'!$A$4:$EO$14,((MONTH($A82)-1)*12)+VLOOKUP(S$4,$DE$6:$DF$17,2)+1))*(VLOOKUP($A82,CURVES!$D$9:$K$261,4))*(INDEX(DailyScalarsTable,S$5/100,MONTH($A82)))*$B82</f>
        <v>-89270.854908687907</v>
      </c>
      <c r="T82" s="1021">
        <f>(VLOOKUP(YEAR($A82),'NY East Load Projections'!$A$4:$EO$14,((MONTH($A82)-1)*12)+VLOOKUP(T$4,$DE$6:$DF$17,2)+1))*(VLOOKUP($A82,CURVES!$D$9:$K$261,4))*(INDEX(DailyScalarsTable,T$5/100,MONTH($A82)))*$B82</f>
        <v>-86789.219439652545</v>
      </c>
      <c r="U82" s="1021">
        <f>(VLOOKUP(YEAR($A82),'NY East Load Projections'!$A$4:$EO$14,((MONTH($A82)-1)*12)+VLOOKUP(U$4,$DE$6:$DF$17,2)+1))*(VLOOKUP($A82,CURVES!$D$9:$K$261,4))*(INDEX(DailyScalarsTable,U$5/100,MONTH($A82)))*$B82</f>
        <v>-87207.513252250385</v>
      </c>
      <c r="V82" s="1021">
        <f>(VLOOKUP(YEAR($A82),'NY East Load Projections'!$A$4:$EO$14,((MONTH($A82)-1)*12)+VLOOKUP(V$4,$DE$6:$DF$17,2)+1))*(VLOOKUP($A82,CURVES!$D$9:$K$261,4))*(INDEX(DailyScalarsTable,V$5/100,MONTH($A82)))*$B82</f>
        <v>-84589.803586315596</v>
      </c>
      <c r="W82" s="1021">
        <f>(VLOOKUP(YEAR($A82),'NY East Load Projections'!$A$4:$EO$14,((MONTH($A82)-1)*12)+VLOOKUP(W$4,$DE$6:$DF$17,2)+1))*(VLOOKUP($A82,CURVES!$D$9:$K$261,4))*(INDEX(DailyScalarsTable,W$5/100,MONTH($A82)))*$B82</f>
        <v>-81297.426480706883</v>
      </c>
      <c r="X82" s="1021">
        <f>(VLOOKUP(YEAR($A82),'NY East Load Projections'!$A$4:$EO$14,((MONTH($A82)-1)*12)+VLOOKUP(X$4,$DE$6:$DF$17,2)+1))*(VLOOKUP($A82,CURVES!$D$9:$K$261,4))*(INDEX(DailyScalarsTable,X$5/100,MONTH($A82)))*$B82</f>
        <v>-78887.474922758964</v>
      </c>
      <c r="Y82" s="1021">
        <f>(VLOOKUP(YEAR($A82),'NY East Load Projections'!$A$4:$EO$14,((MONTH($A82)-1)*12)+VLOOKUP(Y$4,$DE$6:$DF$17,2)+1))*(VLOOKUP($A82,CURVES!$D$9:$K$261,4))*(INDEX(DailyScalarsTable,Y$5/100,MONTH($A82)))*$B82</f>
        <v>-75813.098136838424</v>
      </c>
      <c r="Z82" s="1021">
        <f>(VLOOKUP(YEAR($A82),'NY East Load Projections'!$A$4:$EO$14,((MONTH($A82)-1)*12)+VLOOKUP(Z$4,$DE$6:$DF$17,2)+1))*(VLOOKUP($A82,CURVES!$D$9:$K$261,4))*(INDEX(DailyScalarsTable,Z$5/100,MONTH($A82)))*$B82</f>
        <v>-65685.739312629652</v>
      </c>
      <c r="AA82" s="1021">
        <f>(VLOOKUP(YEAR($A82),'NY East Load Projections'!$A$4:$EO$14,((MONTH($A82)-1)*12)+VLOOKUP(AA$4,$DE$6:$DF$17,2)+1))*(VLOOKUP($A82,CURVES!$D$9:$K$261,4))*(INDEX(DailyScalarsTable,AA$5/100,MONTH($A82)))*$B82</f>
        <v>-65517.811168860913</v>
      </c>
      <c r="AB82" s="1021">
        <f>(VLOOKUP(YEAR($A82),'NY East Load Projections'!$A$4:$EO$14,((MONTH($A82)-1)*12)+VLOOKUP(AB$4,$DE$6:$DF$17,2)+1))*(VLOOKUP($A82,CURVES!$D$9:$K$261,4))*(INDEX(DailyScalarsTable,AB$5/100,MONTH($A82)))*$B82</f>
        <v>-77904.752476826165</v>
      </c>
      <c r="AC82" s="1021">
        <f>(VLOOKUP(YEAR($A82),'NY East Load Projections'!$A$4:$EO$14,((MONTH($A82)-1)*12)+VLOOKUP(AC$4,$DE$6:$DF$17,2)+1))*(VLOOKUP($A82,CURVES!$D$9:$K$261,4))*(INDEX(DailyScalarsTable,AC$5/100,MONTH($A82)))*$B82</f>
        <v>-74306.624146694419</v>
      </c>
      <c r="AD82" s="1021">
        <f>(VLOOKUP(YEAR($A82),'NY East Load Projections'!$A$4:$EO$14,((MONTH($A82)-1)*12)+VLOOKUP(AD$4,$DE$6:$DF$17,2)+1))*(VLOOKUP($A82,CURVES!$D$9:$K$261,4))*(INDEX(DailyScalarsTable,AD$5/100,MONTH($A82)))*$B82</f>
        <v>-59609.383345439703</v>
      </c>
      <c r="AE82" s="1021">
        <f>(VLOOKUP(YEAR($A82),'NY East Load Projections'!$A$4:$EO$14,((MONTH($A82)-1)*12)+VLOOKUP(AE$4,$DE$6:$DF$17,2)+1))*(VLOOKUP($A82,CURVES!$D$9:$K$261,8))*(INDEX(DailyScalarsTable,AE$5/100,MONTH($A82)))*$B82</f>
        <v>-48371.415949792965</v>
      </c>
      <c r="AF82" s="1021"/>
      <c r="AG82" s="1021">
        <f>(VLOOKUP(YEAR($A82),'NY East Load Projections'!$A$4:$EO$14,((MONTH($A82)-1)*12)+VLOOKUP(AG$4,$DE$6:$DF$17,2)+1))*(VLOOKUP($A82,CURVES!$D$9:$T$261,8))*(INDEX(DailyScalarsTable,AG$5/100,MONTH($A82)))*$C82</f>
        <v>-7462.8308899677641</v>
      </c>
      <c r="AH82" s="1021">
        <f>(VLOOKUP(YEAR($A82),'NY East Load Projections'!$A$4:$EO$14,((MONTH($A82)-1)*12)+VLOOKUP(AH$4,$DE$6:$DF$17,2)+1))*(VLOOKUP($A82,CURVES!$D$9:$T$261,8))*(INDEX(DailyScalarsTable,AH$5/100,MONTH($A82)))*$C82</f>
        <v>-6722.229662241899</v>
      </c>
      <c r="AI82" s="1021">
        <f>(VLOOKUP(YEAR($A82),'NY East Load Projections'!$A$4:$EO$14,((MONTH($A82)-1)*12)+VLOOKUP(AI$4,$DE$6:$DF$17,2)+1))*(VLOOKUP($A82,CURVES!$D$9:$T$261,8))*(INDEX(DailyScalarsTable,AI$5/100,MONTH($A82)))*$C82</f>
        <v>-6361.7253609150257</v>
      </c>
      <c r="AJ82" s="1021">
        <f>(VLOOKUP(YEAR($A82),'NY East Load Projections'!$A$4:$EO$14,((MONTH($A82)-1)*12)+VLOOKUP(AJ$4,$DE$6:$DF$17,2)+1))*(VLOOKUP($A82,CURVES!$D$9:$T$261,8))*(INDEX(DailyScalarsTable,AJ$5/100,MONTH($A82)))*$C82</f>
        <v>-6167.7583727011061</v>
      </c>
      <c r="AK82" s="1021">
        <f>(VLOOKUP(YEAR($A82),'NY East Load Projections'!$A$4:$EO$14,((MONTH($A82)-1)*12)+VLOOKUP(AK$4,$DE$6:$DF$17,2)+1))*(VLOOKUP($A82,CURVES!$D$9:$T$261,8))*(INDEX(DailyScalarsTable,AK$5/100,MONTH($A82)))*$C82</f>
        <v>-6783.7968542289309</v>
      </c>
      <c r="AL82" s="1021">
        <f>(VLOOKUP(YEAR($A82),'NY East Load Projections'!$A$4:$EO$14,((MONTH($A82)-1)*12)+VLOOKUP(AL$4,$DE$6:$DF$17,2)+1))*(VLOOKUP($A82,CURVES!$D$9:$T$261,8))*(INDEX(DailyScalarsTable,AL$5/100,MONTH($A82)))*$C82</f>
        <v>-8224.9555756085501</v>
      </c>
      <c r="AM82" s="1021">
        <f>(VLOOKUP(YEAR($A82),'NY East Load Projections'!$A$4:$EO$14,((MONTH($A82)-1)*12)+VLOOKUP(AM$4,$DE$6:$DF$17,2)+1))*(VLOOKUP($A82,CURVES!$D$9:$T$261,8))*(INDEX(DailyScalarsTable,AM$5/100,MONTH($A82)))*$C82</f>
        <v>-9841.2827603602818</v>
      </c>
      <c r="AN82" s="1021">
        <f>(VLOOKUP(YEAR($A82),'NY East Load Projections'!$A$4:$EO$14,((MONTH($A82)-1)*12)+VLOOKUP(AN$4,$DE$6:$DF$17,2)+1))*(VLOOKUP($A82,SatSunCurve,4))*(INDEX(DailyScalarsTable,AN$5/100,MONTH($A82)))*$C82</f>
        <v>-8427.6168890017361</v>
      </c>
      <c r="AO82" s="1021">
        <f>(VLOOKUP(YEAR($A82),'NY East Load Projections'!$A$4:$EO$14,((MONTH($A82)-1)*12)+VLOOKUP(AO$4,$DE$6:$DF$17,2)+1))*(VLOOKUP($A82,SatSunCurve,4))*(INDEX(DailyScalarsTable,AO$5/100,MONTH($A82)))*$C82</f>
        <v>-10217.324966156841</v>
      </c>
      <c r="AP82" s="1021">
        <f>(VLOOKUP(YEAR($A82),'NY East Load Projections'!$A$4:$EO$14,((MONTH($A82)-1)*12)+VLOOKUP(AP$4,$DE$6:$DF$17,2)+1))*(VLOOKUP($A82,SatSunCurve,4))*(INDEX(DailyScalarsTable,AP$5/100,MONTH($A82)))*$C82</f>
        <v>-10398.545766843663</v>
      </c>
      <c r="AQ82" s="1021">
        <f>(VLOOKUP(YEAR($A82),'NY East Load Projections'!$A$4:$EO$14,((MONTH($A82)-1)*12)+VLOOKUP(AQ$4,$DE$6:$DF$17,2)+1))*(VLOOKUP($A82,SatSunCurve,4))*(INDEX(DailyScalarsTable,AQ$5/100,MONTH($A82)))*$C82</f>
        <v>-11030.412983397706</v>
      </c>
      <c r="AR82" s="1021">
        <f>(VLOOKUP(YEAR($A82),'NY East Load Projections'!$A$4:$EO$14,((MONTH($A82)-1)*12)+VLOOKUP(AR$4,$DE$6:$DF$17,2)+1))*(VLOOKUP($A82,SatSunCurve,4))*(INDEX(DailyScalarsTable,AR$5/100,MONTH($A82)))*$C82</f>
        <v>-10947.019340603767</v>
      </c>
      <c r="AS82" s="1021">
        <f>(VLOOKUP(YEAR($A82),'NY East Load Projections'!$A$4:$EO$14,((MONTH($A82)-1)*12)+VLOOKUP(AS$4,$DE$6:$DF$17,2)+1))*(VLOOKUP($A82,SatSunCurve,4))*(INDEX(DailyScalarsTable,AS$5/100,MONTH($A82)))*$C82</f>
        <v>-10426.554003645721</v>
      </c>
      <c r="AT82" s="1021">
        <f>(VLOOKUP(YEAR($A82),'NY East Load Projections'!$A$4:$EO$14,((MONTH($A82)-1)*12)+VLOOKUP(AT$4,$DE$6:$DF$17,2)+1))*(VLOOKUP($A82,SatSunCurve,4))*(INDEX(DailyScalarsTable,AT$5/100,MONTH($A82)))*$C82</f>
        <v>-10476.806362805086</v>
      </c>
      <c r="AU82" s="1021">
        <f>(VLOOKUP(YEAR($A82),'NY East Load Projections'!$A$4:$EO$14,((MONTH($A82)-1)*12)+VLOOKUP(AU$4,$DE$6:$DF$17,2)+1))*(VLOOKUP($A82,SatSunCurve,4))*(INDEX(DailyScalarsTable,AU$5/100,MONTH($A82)))*$C82</f>
        <v>-10162.323857098108</v>
      </c>
      <c r="AV82" s="1021">
        <f>(VLOOKUP(YEAR($A82),'NY East Load Projections'!$A$4:$EO$14,((MONTH($A82)-1)*12)+VLOOKUP(AV$4,$DE$6:$DF$17,2)+1))*(VLOOKUP($A82,SatSunCurve,4))*(INDEX(DailyScalarsTable,AV$5/100,MONTH($A82)))*$C82</f>
        <v>-9766.7891591986117</v>
      </c>
      <c r="AW82" s="1021">
        <f>(VLOOKUP(YEAR($A82),'NY East Load Projections'!$A$4:$EO$14,((MONTH($A82)-1)*12)+VLOOKUP(AW$4,$DE$6:$DF$17,2)+1))*(VLOOKUP($A82,SatSunCurve,4))*(INDEX(DailyScalarsTable,AW$5/100,MONTH($A82)))*$C82</f>
        <v>-9292.2782587929378</v>
      </c>
      <c r="AX82" s="1021">
        <f>(VLOOKUP(YEAR($A82),'NY East Load Projections'!$A$4:$EO$14,((MONTH($A82)-1)*12)+VLOOKUP(AX$4,$DE$6:$DF$17,2)+1))*(VLOOKUP($A82,SatSunCurve,4))*(INDEX(DailyScalarsTable,AX$5/100,MONTH($A82)))*$C82</f>
        <v>-8930.1426397340329</v>
      </c>
      <c r="AY82" s="1021">
        <f>(VLOOKUP(YEAR($A82),'NY East Load Projections'!$A$4:$EO$14,((MONTH($A82)-1)*12)+VLOOKUP(AY$4,$DE$6:$DF$17,2)+1))*(VLOOKUP($A82,SatSunCurve,4))*(INDEX(DailyScalarsTable,AY$5/100,MONTH($A82)))*$C82</f>
        <v>-7737.2253063635308</v>
      </c>
      <c r="AZ82" s="1021">
        <f>(VLOOKUP(YEAR($A82),'NY East Load Projections'!$A$4:$EO$14,((MONTH($A82)-1)*12)+VLOOKUP(AZ$4,$DE$6:$DF$17,2)+1))*(VLOOKUP($A82,SatSunCurve,4))*(INDEX(DailyScalarsTable,AZ$5/100,MONTH($A82)))*$C82</f>
        <v>-7717.4447893561137</v>
      </c>
      <c r="BA82" s="1021">
        <f>(VLOOKUP(YEAR($A82),'NY East Load Projections'!$A$4:$EO$14,((MONTH($A82)-1)*12)+VLOOKUP(BA$4,$DE$6:$DF$17,2)+1))*(VLOOKUP($A82,SatSunCurve,4))*(INDEX(DailyScalarsTable,BA$5/100,MONTH($A82)))*$C82</f>
        <v>-9687.213489236261</v>
      </c>
      <c r="BB82" s="1021">
        <f>(VLOOKUP(YEAR($A82),'NY East Load Projections'!$A$4:$EO$14,((MONTH($A82)-1)*12)+VLOOKUP(BB$4,$DE$6:$DF$17,2)+1))*(VLOOKUP($A82,SatSunCurve,4))*(INDEX(DailyScalarsTable,BB$5/100,MONTH($A82)))*$C82</f>
        <v>-9239.7974306842025</v>
      </c>
      <c r="BC82" s="1021">
        <f>(VLOOKUP(YEAR($A82),'NY East Load Projections'!$A$4:$EO$14,((MONTH($A82)-1)*12)+VLOOKUP(BC$4,$DE$6:$DF$17,2)+1))*(VLOOKUP($A82,SatSunCurve,4))*(INDEX(DailyScalarsTable,BC$5/100,MONTH($A82)))*$C82</f>
        <v>-7412.2412827223725</v>
      </c>
      <c r="BD82" s="1021">
        <f>(VLOOKUP(YEAR($A82),'NY East Load Projections'!$A$4:$EO$14,((MONTH($A82)-1)*12)+VLOOKUP(BD$4,$DE$6:$DF$17,2)+1))*(VLOOKUP($A82,CURVES!$D$9:$T$261,8))*(INDEX(DailyScalarsTable,BD$5/100,MONTH($A82)))*$C82</f>
        <v>-9039.9283320814229</v>
      </c>
      <c r="BE82" s="1021"/>
      <c r="BF82" s="1021">
        <f>(VLOOKUP(YEAR($A82),'NY East Load Projections'!$A$4:$EO$14,((MONTH($A82)-1)*12)+VLOOKUP(BF$4,$DE$6:$DF$17,2)+1))*(VLOOKUP($A82,CURVES!$D$9:$T$261,8))*(INDEX(DailyScalarsTable,BF$5/100,MONTH($A82)))*$D82</f>
        <v>-7462.8308899677641</v>
      </c>
      <c r="BG82" s="1021">
        <f>(VLOOKUP(YEAR($A82),'NY East Load Projections'!$A$4:$EO$14,((MONTH($A82)-1)*12)+VLOOKUP(BG$4,$DE$6:$DF$17,2)+1))*(VLOOKUP($A82,CURVES!$D$9:$T$261,8))*(INDEX(DailyScalarsTable,BG$5/100,MONTH($A82)))*$D82</f>
        <v>-6722.229662241899</v>
      </c>
      <c r="BH82" s="1021">
        <f>(VLOOKUP(YEAR($A82),'NY East Load Projections'!$A$4:$EO$14,((MONTH($A82)-1)*12)+VLOOKUP(BH$4,$DE$6:$DF$17,2)+1))*(VLOOKUP($A82,CURVES!$D$9:$T$261,8))*(INDEX(DailyScalarsTable,BH$5/100,MONTH($A82)))*$D82</f>
        <v>-6361.7253609150257</v>
      </c>
      <c r="BI82" s="1021">
        <f>(VLOOKUP(YEAR($A82),'NY East Load Projections'!$A$4:$EO$14,((MONTH($A82)-1)*12)+VLOOKUP(BI$4,$DE$6:$DF$17,2)+1))*(VLOOKUP($A82,CURVES!$D$9:$T$261,8))*(INDEX(DailyScalarsTable,BI$5/100,MONTH($A82)))*$D82</f>
        <v>-6167.7583727011061</v>
      </c>
      <c r="BJ82" s="1021">
        <f>(VLOOKUP(YEAR($A82),'NY East Load Projections'!$A$4:$EO$14,((MONTH($A82)-1)*12)+VLOOKUP(BJ$4,$DE$6:$DF$17,2)+1))*(VLOOKUP($A82,CURVES!$D$9:$T$261,8))*(INDEX(DailyScalarsTable,BJ$5/100,MONTH($A82)))*$D82</f>
        <v>-6783.7968542289309</v>
      </c>
      <c r="BK82" s="1021">
        <f>(VLOOKUP(YEAR($A82),'NY East Load Projections'!$A$4:$EO$14,((MONTH($A82)-1)*12)+VLOOKUP(BK$4,$DE$6:$DF$17,2)+1))*(VLOOKUP($A82,CURVES!$D$9:$T$261,8))*(INDEX(DailyScalarsTable,BK$5/100,MONTH($A82)))*$D82</f>
        <v>-8224.9555756085501</v>
      </c>
      <c r="BL82" s="1021">
        <f>(VLOOKUP(YEAR($A82),'NY East Load Projections'!$A$4:$EO$14,((MONTH($A82)-1)*12)+VLOOKUP(BL$4,$DE$6:$DF$17,2)+1))*(VLOOKUP($A82,CURVES!$D$9:$T$261,8))*(INDEX(DailyScalarsTable,BL$5/100,MONTH($A82)))*$D82</f>
        <v>-9841.2827603602818</v>
      </c>
      <c r="BM82" s="1021">
        <f>(VLOOKUP(YEAR($A82),'NY East Load Projections'!$A$4:$EO$14,((MONTH($A82)-1)*12)+VLOOKUP(BM$4,$DE$6:$DF$17,2)+1))*(VLOOKUP($A82,SatSunCurve,8))*(INDEX(DailyScalarsTable,BM$5/100,MONTH($A82)))*$D82</f>
        <v>-8797.342205915862</v>
      </c>
      <c r="BN82" s="1021">
        <f>(VLOOKUP(YEAR($A82),'NY East Load Projections'!$A$4:$EO$14,((MONTH($A82)-1)*12)+VLOOKUP(BN$4,$DE$6:$DF$17,2)+1))*(VLOOKUP($A82,SatSunCurve,8))*(INDEX(DailyScalarsTable,BN$5/100,MONTH($A82)))*$D82</f>
        <v>-10665.566000470682</v>
      </c>
      <c r="BO82" s="1021">
        <f>(VLOOKUP(YEAR($A82),'NY East Load Projections'!$A$4:$EO$14,((MONTH($A82)-1)*12)+VLOOKUP(BO$4,$DE$6:$DF$17,2)+1))*(VLOOKUP($A82,SatSunCurve,8))*(INDEX(DailyScalarsTable,BO$5/100,MONTH($A82)))*$D82</f>
        <v>-10854.737081627989</v>
      </c>
      <c r="BP82" s="1021">
        <f>(VLOOKUP(YEAR($A82),'NY East Load Projections'!$A$4:$EO$14,((MONTH($A82)-1)*12)+VLOOKUP(BP$4,$DE$6:$DF$17,2)+1))*(VLOOKUP($A82,SatSunCurve,8))*(INDEX(DailyScalarsTable,BP$5/100,MONTH($A82)))*$D82</f>
        <v>-11514.32474513222</v>
      </c>
      <c r="BQ82" s="1021">
        <f>(VLOOKUP(YEAR($A82),'NY East Load Projections'!$A$4:$EO$14,((MONTH($A82)-1)*12)+VLOOKUP(BQ$4,$DE$6:$DF$17,2)+1))*(VLOOKUP($A82,SatSunCurve,8))*(INDEX(DailyScalarsTable,BQ$5/100,MONTH($A82)))*$D82</f>
        <v>-11427.272566192572</v>
      </c>
      <c r="BR82" s="1021">
        <f>(VLOOKUP(YEAR($A82),'NY East Load Projections'!$A$4:$EO$14,((MONTH($A82)-1)*12)+VLOOKUP(BR$4,$DE$6:$DF$17,2)+1))*(VLOOKUP($A82,SatSunCurve,8))*(INDEX(DailyScalarsTable,BR$5/100,MONTH($A82)))*$D82</f>
        <v>-10883.97405893454</v>
      </c>
      <c r="BS82" s="1021">
        <f>(VLOOKUP(YEAR($A82),'NY East Load Projections'!$A$4:$EO$14,((MONTH($A82)-1)*12)+VLOOKUP(BS$4,$DE$6:$DF$17,2)+1))*(VLOOKUP($A82,SatSunCurve,8))*(INDEX(DailyScalarsTable,BS$5/100,MONTH($A82)))*$D82</f>
        <v>-10936.43102345988</v>
      </c>
      <c r="BT82" s="1021">
        <f>(VLOOKUP(YEAR($A82),'NY East Load Projections'!$A$4:$EO$14,((MONTH($A82)-1)*12)+VLOOKUP(BT$4,$DE$6:$DF$17,2)+1))*(VLOOKUP($A82,SatSunCurve,8))*(INDEX(DailyScalarsTable,BT$5/100,MONTH($A82)))*$D82</f>
        <v>-10608.151955140025</v>
      </c>
      <c r="BU82" s="1021">
        <f>(VLOOKUP(YEAR($A82),'NY East Load Projections'!$A$4:$EO$14,((MONTH($A82)-1)*12)+VLOOKUP(BU$4,$DE$6:$DF$17,2)+1))*(VLOOKUP($A82,SatSunCurve,8))*(INDEX(DailyScalarsTable,BU$5/100,MONTH($A82)))*$D82</f>
        <v>-10195.264879521239</v>
      </c>
      <c r="BV82" s="1021">
        <f>(VLOOKUP(YEAR($A82),'NY East Load Projections'!$A$4:$EO$14,((MONTH($A82)-1)*12)+VLOOKUP(BV$4,$DE$6:$DF$17,2)+1))*(VLOOKUP($A82,SatSunCurve,8))*(INDEX(DailyScalarsTable,BV$5/100,MONTH($A82)))*$D82</f>
        <v>-9699.9368613772549</v>
      </c>
      <c r="BW82" s="1021">
        <f>(VLOOKUP(YEAR($A82),'NY East Load Projections'!$A$4:$EO$14,((MONTH($A82)-1)*12)+VLOOKUP(BW$4,$DE$6:$DF$17,2)+1))*(VLOOKUP($A82,SatSunCurve,8))*(INDEX(DailyScalarsTable,BW$5/100,MONTH($A82)))*$D82</f>
        <v>-9321.9141050308008</v>
      </c>
      <c r="BX82" s="1021">
        <f>(VLOOKUP(YEAR($A82),'NY East Load Projections'!$A$4:$EO$14,((MONTH($A82)-1)*12)+VLOOKUP(BX$4,$DE$6:$DF$17,2)+1))*(VLOOKUP($A82,SatSunCurve,8))*(INDEX(DailyScalarsTable,BX$5/100,MONTH($A82)))*$D82</f>
        <v>-8076.6626723601339</v>
      </c>
      <c r="BY82" s="1021">
        <f>(VLOOKUP(YEAR($A82),'NY East Load Projections'!$A$4:$EO$14,((MONTH($A82)-1)*12)+VLOOKUP(BY$4,$DE$6:$DF$17,2)+1))*(VLOOKUP($A82,SatSunCurve,8))*(INDEX(DailyScalarsTable,BY$5/100,MONTH($A82)))*$D82</f>
        <v>-8056.0143705428936</v>
      </c>
      <c r="BZ82" s="1021">
        <f>(VLOOKUP(YEAR($A82),'NY East Load Projections'!$A$4:$EO$14,((MONTH($A82)-1)*12)+VLOOKUP(BZ$4,$DE$6:$DF$17,2)+1))*(VLOOKUP($A82,SatSunCurve,8))*(INDEX(DailyScalarsTable,BZ$5/100,MONTH($A82)))*$D82</f>
        <v>-10112.198170492567</v>
      </c>
      <c r="CA82" s="1021">
        <f>(VLOOKUP(YEAR($A82),'NY East Load Projections'!$A$4:$EO$14,((MONTH($A82)-1)*12)+VLOOKUP(CA$4,$DE$6:$DF$17,2)+1))*(VLOOKUP($A82,SatSunCurve,8))*(INDEX(DailyScalarsTable,CA$5/100,MONTH($A82)))*$D82</f>
        <v>-9645.1536634455952</v>
      </c>
      <c r="CB82" s="1021">
        <f>(VLOOKUP(YEAR($A82),'NY East Load Projections'!$A$4:$EO$14,((MONTH($A82)-1)*12)+VLOOKUP(CB$4,$DE$6:$DF$17,2)+1))*(VLOOKUP($A82,SatSunCurve,8))*(INDEX(DailyScalarsTable,CB$5/100,MONTH($A82)))*$D82</f>
        <v>-7737.421377331907</v>
      </c>
      <c r="CC82" s="1021">
        <f>(VLOOKUP(YEAR($A82),'NY East Load Projections'!$A$4:$EO$14,((MONTH($A82)-1)*12)+VLOOKUP(CC$4,$DE$6:$DF$17,2)+1))*(VLOOKUP($A82,CURVES!$D$9:$T$261,8))*(INDEX(DailyScalarsTable,CC$5/100,MONTH($A82)))*$D82</f>
        <v>-9039.9283320814229</v>
      </c>
      <c r="CE82" s="1021">
        <f>(VLOOKUP(YEAR($A82),'NY East Load Projections'!$A$4:$EO$14,((MONTH($A82)-1)*12)+VLOOKUP(CE$4,$DE$6:$DF$17,2)+1))*(VLOOKUP($A82,CURVES!$D$9:$T$261,8))*(INDEX(DailyScalarsTable,CE$5/100,MONTH($A82)))*$E82</f>
        <v>-1865.707722491941</v>
      </c>
      <c r="CF82" s="1021">
        <f>(VLOOKUP(YEAR($A82),'NY East Load Projections'!$A$4:$EO$14,((MONTH($A82)-1)*12)+VLOOKUP(CF$4,$DE$6:$DF$17,2)+1))*(VLOOKUP($A82,CURVES!$D$9:$T$261,8))*(INDEX(DailyScalarsTable,CF$5/100,MONTH($A82)))*$E82</f>
        <v>-1680.5574155604747</v>
      </c>
      <c r="CG82" s="1021">
        <f>(VLOOKUP(YEAR($A82),'NY East Load Projections'!$A$4:$EO$14,((MONTH($A82)-1)*12)+VLOOKUP(CG$4,$DE$6:$DF$17,2)+1))*(VLOOKUP($A82,CURVES!$D$9:$T$261,8))*(INDEX(DailyScalarsTable,CG$5/100,MONTH($A82)))*$E82</f>
        <v>-1590.4313402287564</v>
      </c>
      <c r="CH82" s="1021">
        <f>(VLOOKUP(YEAR($A82),'NY East Load Projections'!$A$4:$EO$14,((MONTH($A82)-1)*12)+VLOOKUP(CH$4,$DE$6:$DF$17,2)+1))*(VLOOKUP($A82,CURVES!$D$9:$T$261,8))*(INDEX(DailyScalarsTable,CH$5/100,MONTH($A82)))*$E82</f>
        <v>-1541.9395931752765</v>
      </c>
      <c r="CI82" s="1021">
        <f>(VLOOKUP(YEAR($A82),'NY East Load Projections'!$A$4:$EO$14,((MONTH($A82)-1)*12)+VLOOKUP(CI$4,$DE$6:$DF$17,2)+1))*(VLOOKUP($A82,CURVES!$D$9:$T$261,8))*(INDEX(DailyScalarsTable,CI$5/100,MONTH($A82)))*$E82</f>
        <v>-1695.9492135572327</v>
      </c>
      <c r="CJ82" s="1021">
        <f>(VLOOKUP(YEAR($A82),'NY East Load Projections'!$A$4:$EO$14,((MONTH($A82)-1)*12)+VLOOKUP(CJ$4,$DE$6:$DF$17,2)+1))*(VLOOKUP($A82,CURVES!$D$9:$T$261,8))*(INDEX(DailyScalarsTable,CJ$5/100,MONTH($A82)))*$E82</f>
        <v>-2056.2388939021375</v>
      </c>
      <c r="CK82" s="1021">
        <f>(VLOOKUP(YEAR($A82),'NY East Load Projections'!$A$4:$EO$14,((MONTH($A82)-1)*12)+VLOOKUP(CK$4,$DE$6:$DF$17,2)+1))*(VLOOKUP($A82,CURVES!$D$9:$T$261,8))*(INDEX(DailyScalarsTable,CK$5/100,MONTH($A82)))*$E82</f>
        <v>-2460.3206900900705</v>
      </c>
      <c r="CL82" s="1021">
        <f>(VLOOKUP(YEAR($A82),'NY East Load Projections'!$A$4:$EO$14,((MONTH($A82)-1)*12)+VLOOKUP(CL$4,$DE$6:$DF$17,2)+1))*(VLOOKUP($A82,SatSunCurve,8))*(INDEX(DailyScalarsTable,CL$5/100,MONTH($A82)))*$E82</f>
        <v>-2199.3355514789655</v>
      </c>
      <c r="CM82" s="1021">
        <f>(VLOOKUP(YEAR($A82),'NY East Load Projections'!$A$4:$EO$14,((MONTH($A82)-1)*12)+VLOOKUP(CM$4,$DE$6:$DF$17,2)+1))*(VLOOKUP($A82,SatSunCurve,8))*(INDEX(DailyScalarsTable,CM$5/100,MONTH($A82)))*$E82</f>
        <v>-2666.3915001176706</v>
      </c>
      <c r="CN82" s="1021">
        <f>(VLOOKUP(YEAR($A82),'NY East Load Projections'!$A$4:$EO$14,((MONTH($A82)-1)*12)+VLOOKUP(CN$4,$DE$6:$DF$17,2)+1))*(VLOOKUP($A82,SatSunCurve,8))*(INDEX(DailyScalarsTable,CN$5/100,MONTH($A82)))*$E82</f>
        <v>-2713.6842704069973</v>
      </c>
      <c r="CO82" s="1021">
        <f>(VLOOKUP(YEAR($A82),'NY East Load Projections'!$A$4:$EO$14,((MONTH($A82)-1)*12)+VLOOKUP(CO$4,$DE$6:$DF$17,2)+1))*(VLOOKUP($A82,SatSunCurve,8))*(INDEX(DailyScalarsTable,CO$5/100,MONTH($A82)))*$E82</f>
        <v>-2878.5811862830551</v>
      </c>
      <c r="CP82" s="1021">
        <f>(VLOOKUP(YEAR($A82),'NY East Load Projections'!$A$4:$EO$14,((MONTH($A82)-1)*12)+VLOOKUP(CP$4,$DE$6:$DF$17,2)+1))*(VLOOKUP($A82,SatSunCurve,8))*(INDEX(DailyScalarsTable,CP$5/100,MONTH($A82)))*$E82</f>
        <v>-2856.8181415481431</v>
      </c>
      <c r="CQ82" s="1021">
        <f>(VLOOKUP(YEAR($A82),'NY East Load Projections'!$A$4:$EO$14,((MONTH($A82)-1)*12)+VLOOKUP(CQ$4,$DE$6:$DF$17,2)+1))*(VLOOKUP($A82,SatSunCurve,8))*(INDEX(DailyScalarsTable,CQ$5/100,MONTH($A82)))*$E82</f>
        <v>-2720.993514733635</v>
      </c>
      <c r="CR82" s="1021">
        <f>(VLOOKUP(YEAR($A82),'NY East Load Projections'!$A$4:$EO$14,((MONTH($A82)-1)*12)+VLOOKUP(CR$4,$DE$6:$DF$17,2)+1))*(VLOOKUP($A82,SatSunCurve,8))*(INDEX(DailyScalarsTable,CR$5/100,MONTH($A82)))*$E82</f>
        <v>-2734.1077558649699</v>
      </c>
      <c r="CS82" s="1021">
        <f>(VLOOKUP(YEAR($A82),'NY East Load Projections'!$A$4:$EO$14,((MONTH($A82)-1)*12)+VLOOKUP(CS$4,$DE$6:$DF$17,2)+1))*(VLOOKUP($A82,SatSunCurve,8))*(INDEX(DailyScalarsTable,CS$5/100,MONTH($A82)))*$E82</f>
        <v>-2652.0379887850063</v>
      </c>
      <c r="CT82" s="1021">
        <f>(VLOOKUP(YEAR($A82),'NY East Load Projections'!$A$4:$EO$14,((MONTH($A82)-1)*12)+VLOOKUP(CT$4,$DE$6:$DF$17,2)+1))*(VLOOKUP($A82,SatSunCurve,8))*(INDEX(DailyScalarsTable,CT$5/100,MONTH($A82)))*$E82</f>
        <v>-2548.8162198803097</v>
      </c>
      <c r="CU82" s="1021">
        <f>(VLOOKUP(YEAR($A82),'NY East Load Projections'!$A$4:$EO$14,((MONTH($A82)-1)*12)+VLOOKUP(CU$4,$DE$6:$DF$17,2)+1))*(VLOOKUP($A82,SatSunCurve,8))*(INDEX(DailyScalarsTable,CU$5/100,MONTH($A82)))*$E82</f>
        <v>-2424.9842153443137</v>
      </c>
      <c r="CV82" s="1021">
        <f>(VLOOKUP(YEAR($A82),'NY East Load Projections'!$A$4:$EO$14,((MONTH($A82)-1)*12)+VLOOKUP(CV$4,$DE$6:$DF$17,2)+1))*(VLOOKUP($A82,SatSunCurve,8))*(INDEX(DailyScalarsTable,CV$5/100,MONTH($A82)))*$E82</f>
        <v>-2330.4785262577002</v>
      </c>
      <c r="CW82" s="1021">
        <f>(VLOOKUP(YEAR($A82),'NY East Load Projections'!$A$4:$EO$14,((MONTH($A82)-1)*12)+VLOOKUP(CW$4,$DE$6:$DF$17,2)+1))*(VLOOKUP($A82,SatSunCurve,8))*(INDEX(DailyScalarsTable,CW$5/100,MONTH($A82)))*$E82</f>
        <v>-2019.1656680900335</v>
      </c>
      <c r="CX82" s="1021">
        <f>(VLOOKUP(YEAR($A82),'NY East Load Projections'!$A$4:$EO$14,((MONTH($A82)-1)*12)+VLOOKUP(CX$4,$DE$6:$DF$17,2)+1))*(VLOOKUP($A82,SatSunCurve,8))*(INDEX(DailyScalarsTable,CX$5/100,MONTH($A82)))*$E82</f>
        <v>-2014.0035926357234</v>
      </c>
      <c r="CY82" s="1021">
        <f>(VLOOKUP(YEAR($A82),'NY East Load Projections'!$A$4:$EO$14,((MONTH($A82)-1)*12)+VLOOKUP(CY$4,$DE$6:$DF$17,2)+1))*(VLOOKUP($A82,SatSunCurve,8))*(INDEX(DailyScalarsTable,CY$5/100,MONTH($A82)))*$E82</f>
        <v>-2528.0495426231419</v>
      </c>
      <c r="CZ82" s="1021">
        <f>(VLOOKUP(YEAR($A82),'NY East Load Projections'!$A$4:$EO$14,((MONTH($A82)-1)*12)+VLOOKUP(CZ$4,$DE$6:$DF$17,2)+1))*(VLOOKUP($A82,SatSunCurve,8))*(INDEX(DailyScalarsTable,CZ$5/100,MONTH($A82)))*$E82</f>
        <v>-2411.2884158613988</v>
      </c>
      <c r="DA82" s="1021">
        <f>(VLOOKUP(YEAR($A82),'NY East Load Projections'!$A$4:$EO$14,((MONTH($A82)-1)*12)+VLOOKUP(DA$4,$DE$6:$DF$17,2)+1))*(VLOOKUP($A82,SatSunCurve,8))*(INDEX(DailyScalarsTable,DA$5/100,MONTH($A82)))*$E82</f>
        <v>-1934.3553443329768</v>
      </c>
      <c r="DB82" s="1021">
        <f>(VLOOKUP(YEAR($A82),'NY East Load Projections'!$A$4:$EO$14,((MONTH($A82)-1)*12)+VLOOKUP(DB$4,$DE$6:$DF$17,2)+1))*(VLOOKUP($A82,CURVES!$D$9:$T$261,8))*(INDEX(DailyScalarsTable,DB$5/100,MONTH($A82)))*$E82</f>
        <v>-2259.9820830203557</v>
      </c>
      <c r="DH82" s="1021">
        <f t="shared" si="2"/>
        <v>-2067056.6255268757</v>
      </c>
      <c r="DI82">
        <f ca="1">CALC!J102</f>
        <v>0.58965192229306307</v>
      </c>
      <c r="DJ82" s="1029">
        <f t="shared" ca="1" si="3"/>
        <v>-1218843.9127305346</v>
      </c>
    </row>
    <row r="83" spans="1:114" x14ac:dyDescent="0.25">
      <c r="A83" s="244">
        <v>39234</v>
      </c>
      <c r="B83" s="13">
        <v>21</v>
      </c>
      <c r="C83" s="210">
        <v>5</v>
      </c>
      <c r="D83" s="210">
        <v>4</v>
      </c>
      <c r="E83" s="210">
        <v>0</v>
      </c>
      <c r="F83" s="13">
        <v>30</v>
      </c>
      <c r="H83" s="1021">
        <f>(VLOOKUP(YEAR($A83),'NY East Load Projections'!$A$4:$EO$14,((MONTH($A83)-1)*12)+VLOOKUP(H$4,$DE$6:$DF$17,2)+1))*(VLOOKUP($A83,CURVES!$D$9:$K$261,8))*(INDEX(DailyScalarsTable,H$5/100,MONTH($A83)))*$B83</f>
        <v>-48966.428245181822</v>
      </c>
      <c r="I83" s="1021">
        <f>(VLOOKUP(YEAR($A83),'NY East Load Projections'!$A$4:$EO$14,((MONTH($A83)-1)*12)+VLOOKUP(I$4,$DE$6:$DF$17,2)+1))*(VLOOKUP($A83,CURVES!$D$9:$K$261,8))*(INDEX(DailyScalarsTable,I$5/100,MONTH($A83)))*$B83</f>
        <v>-40569.318717597533</v>
      </c>
      <c r="J83" s="1021">
        <f>(VLOOKUP(YEAR($A83),'NY East Load Projections'!$A$4:$EO$14,((MONTH($A83)-1)*12)+VLOOKUP(J$4,$DE$6:$DF$17,2)+1))*(VLOOKUP($A83,CURVES!$D$9:$K$261,8))*(INDEX(DailyScalarsTable,J$5/100,MONTH($A83)))*$B83</f>
        <v>-34102.291081428128</v>
      </c>
      <c r="K83" s="1021">
        <f>(VLOOKUP(YEAR($A83),'NY East Load Projections'!$A$4:$EO$14,((MONTH($A83)-1)*12)+VLOOKUP(K$4,$DE$6:$DF$17,2)+1))*(VLOOKUP($A83,CURVES!$D$9:$K$261,8))*(INDEX(DailyScalarsTable,K$5/100,MONTH($A83)))*$B83</f>
        <v>-31658.356218922265</v>
      </c>
      <c r="L83" s="1021">
        <f>(VLOOKUP(YEAR($A83),'NY East Load Projections'!$A$4:$EO$14,((MONTH($A83)-1)*12)+VLOOKUP(L$4,$DE$6:$DF$17,2)+1))*(VLOOKUP($A83,CURVES!$D$9:$K$261,8))*(INDEX(DailyScalarsTable,L$5/100,MONTH($A83)))*$B83</f>
        <v>-36854.679358702677</v>
      </c>
      <c r="M83" s="1021">
        <f>(VLOOKUP(YEAR($A83),'NY East Load Projections'!$A$4:$EO$14,((MONTH($A83)-1)*12)+VLOOKUP(M$4,$DE$6:$DF$17,2)+1))*(VLOOKUP($A83,CURVES!$D$9:$K$261,8))*(INDEX(DailyScalarsTable,M$5/100,MONTH($A83)))*$B83</f>
        <v>-44965.398940198196</v>
      </c>
      <c r="N83" s="1021">
        <f>(VLOOKUP(YEAR($A83),'NY East Load Projections'!$A$4:$EO$14,((MONTH($A83)-1)*12)+VLOOKUP(N$4,$DE$6:$DF$17,2)+1))*(VLOOKUP($A83,CURVES!$D$9:$K$261,8))*(INDEX(DailyScalarsTable,N$5/100,MONTH($A83)))*$B83</f>
        <v>-51556.199263469833</v>
      </c>
      <c r="O83" s="1021">
        <f>(VLOOKUP(YEAR($A83),'NY East Load Projections'!$A$4:$EO$14,((MONTH($A83)-1)*12)+VLOOKUP(O$4,$DE$6:$DF$17,2)+1))*(VLOOKUP($A83,CURVES!$D$9:$K$261,4))*(INDEX(DailyScalarsTable,O$5/100,MONTH($A83)))*$B83</f>
        <v>-72995.533804553721</v>
      </c>
      <c r="P83" s="1021">
        <f>(VLOOKUP(YEAR($A83),'NY East Load Projections'!$A$4:$EO$14,((MONTH($A83)-1)*12)+VLOOKUP(P$4,$DE$6:$DF$17,2)+1))*(VLOOKUP($A83,CURVES!$D$9:$K$261,4))*(INDEX(DailyScalarsTable,P$5/100,MONTH($A83)))*$B83</f>
        <v>-93041.80770986792</v>
      </c>
      <c r="Q83" s="1021">
        <f>(VLOOKUP(YEAR($A83),'NY East Load Projections'!$A$4:$EO$14,((MONTH($A83)-1)*12)+VLOOKUP(Q$4,$DE$6:$DF$17,2)+1))*(VLOOKUP($A83,CURVES!$D$9:$K$261,4))*(INDEX(DailyScalarsTable,Q$5/100,MONTH($A83)))*$B83</f>
        <v>-104066.56879871462</v>
      </c>
      <c r="R83" s="1021">
        <f>(VLOOKUP(YEAR($A83),'NY East Load Projections'!$A$4:$EO$14,((MONTH($A83)-1)*12)+VLOOKUP(R$4,$DE$6:$DF$17,2)+1))*(VLOOKUP($A83,CURVES!$D$9:$K$261,4))*(INDEX(DailyScalarsTable,R$5/100,MONTH($A83)))*$B83</f>
        <v>-119706.72543215254</v>
      </c>
      <c r="S83" s="1021">
        <f>(VLOOKUP(YEAR($A83),'NY East Load Projections'!$A$4:$EO$14,((MONTH($A83)-1)*12)+VLOOKUP(S$4,$DE$6:$DF$17,2)+1))*(VLOOKUP($A83,CURVES!$D$9:$K$261,4))*(INDEX(DailyScalarsTable,S$5/100,MONTH($A83)))*$B83</f>
        <v>-129100.60470312259</v>
      </c>
      <c r="T83" s="1021">
        <f>(VLOOKUP(YEAR($A83),'NY East Load Projections'!$A$4:$EO$14,((MONTH($A83)-1)*12)+VLOOKUP(T$4,$DE$6:$DF$17,2)+1))*(VLOOKUP($A83,CURVES!$D$9:$K$261,4))*(INDEX(DailyScalarsTable,T$5/100,MONTH($A83)))*$B83</f>
        <v>-137095.47403654113</v>
      </c>
      <c r="U83" s="1021">
        <f>(VLOOKUP(YEAR($A83),'NY East Load Projections'!$A$4:$EO$14,((MONTH($A83)-1)*12)+VLOOKUP(U$4,$DE$6:$DF$17,2)+1))*(VLOOKUP($A83,CURVES!$D$9:$K$261,4))*(INDEX(DailyScalarsTable,U$5/100,MONTH($A83)))*$B83</f>
        <v>-151611.66147707449</v>
      </c>
      <c r="V83" s="1021">
        <f>(VLOOKUP(YEAR($A83),'NY East Load Projections'!$A$4:$EO$14,((MONTH($A83)-1)*12)+VLOOKUP(V$4,$DE$6:$DF$17,2)+1))*(VLOOKUP($A83,CURVES!$D$9:$K$261,4))*(INDEX(DailyScalarsTable,V$5/100,MONTH($A83)))*$B83</f>
        <v>-152778.28962958581</v>
      </c>
      <c r="W83" s="1021">
        <f>(VLOOKUP(YEAR($A83),'NY East Load Projections'!$A$4:$EO$14,((MONTH($A83)-1)*12)+VLOOKUP(W$4,$DE$6:$DF$17,2)+1))*(VLOOKUP($A83,CURVES!$D$9:$K$261,4))*(INDEX(DailyScalarsTable,W$5/100,MONTH($A83)))*$B83</f>
        <v>-153028.28137655248</v>
      </c>
      <c r="X83" s="1021">
        <f>(VLOOKUP(YEAR($A83),'NY East Load Projections'!$A$4:$EO$14,((MONTH($A83)-1)*12)+VLOOKUP(X$4,$DE$6:$DF$17,2)+1))*(VLOOKUP($A83,CURVES!$D$9:$K$261,4))*(INDEX(DailyScalarsTable,X$5/100,MONTH($A83)))*$B83</f>
        <v>-149612.61033115664</v>
      </c>
      <c r="Y83" s="1021">
        <f>(VLOOKUP(YEAR($A83),'NY East Load Projections'!$A$4:$EO$14,((MONTH($A83)-1)*12)+VLOOKUP(Y$4,$DE$6:$DF$17,2)+1))*(VLOOKUP($A83,CURVES!$D$9:$K$261,4))*(INDEX(DailyScalarsTable,Y$5/100,MONTH($A83)))*$B83</f>
        <v>-145171.21143910533</v>
      </c>
      <c r="Z83" s="1021">
        <f>(VLOOKUP(YEAR($A83),'NY East Load Projections'!$A$4:$EO$14,((MONTH($A83)-1)*12)+VLOOKUP(Z$4,$DE$6:$DF$17,2)+1))*(VLOOKUP($A83,CURVES!$D$9:$K$261,4))*(INDEX(DailyScalarsTable,Z$5/100,MONTH($A83)))*$B83</f>
        <v>-123958.32070197961</v>
      </c>
      <c r="AA83" s="1021">
        <f>(VLOOKUP(YEAR($A83),'NY East Load Projections'!$A$4:$EO$14,((MONTH($A83)-1)*12)+VLOOKUP(AA$4,$DE$6:$DF$17,2)+1))*(VLOOKUP($A83,CURVES!$D$9:$K$261,4))*(INDEX(DailyScalarsTable,AA$5/100,MONTH($A83)))*$B83</f>
        <v>-99121.761554732642</v>
      </c>
      <c r="AB83" s="1021">
        <f>(VLOOKUP(YEAR($A83),'NY East Load Projections'!$A$4:$EO$14,((MONTH($A83)-1)*12)+VLOOKUP(AB$4,$DE$6:$DF$17,2)+1))*(VLOOKUP($A83,CURVES!$D$9:$K$261,4))*(INDEX(DailyScalarsTable,AB$5/100,MONTH($A83)))*$B83</f>
        <v>-98531.673200154051</v>
      </c>
      <c r="AC83" s="1021">
        <f>(VLOOKUP(YEAR($A83),'NY East Load Projections'!$A$4:$EO$14,((MONTH($A83)-1)*12)+VLOOKUP(AC$4,$DE$6:$DF$17,2)+1))*(VLOOKUP($A83,CURVES!$D$9:$K$261,4))*(INDEX(DailyScalarsTable,AC$5/100,MONTH($A83)))*$B83</f>
        <v>-100394.35889476848</v>
      </c>
      <c r="AD83" s="1021">
        <f>(VLOOKUP(YEAR($A83),'NY East Load Projections'!$A$4:$EO$14,((MONTH($A83)-1)*12)+VLOOKUP(AD$4,$DE$6:$DF$17,2)+1))*(VLOOKUP($A83,CURVES!$D$9:$K$261,4))*(INDEX(DailyScalarsTable,AD$5/100,MONTH($A83)))*$B83</f>
        <v>-80506.155730224127</v>
      </c>
      <c r="AE83" s="1021">
        <f>(VLOOKUP(YEAR($A83),'NY East Load Projections'!$A$4:$EO$14,((MONTH($A83)-1)*12)+VLOOKUP(AE$4,$DE$6:$DF$17,2)+1))*(VLOOKUP($A83,CURVES!$D$9:$K$261,8))*(INDEX(DailyScalarsTable,AE$5/100,MONTH($A83)))*$B83</f>
        <v>-61841.326205668956</v>
      </c>
      <c r="AF83" s="1021"/>
      <c r="AG83" s="1021">
        <f>(VLOOKUP(YEAR($A83),'NY East Load Projections'!$A$4:$EO$14,((MONTH($A83)-1)*12)+VLOOKUP(AG$4,$DE$6:$DF$17,2)+1))*(VLOOKUP($A83,CURVES!$D$9:$T$261,8))*(INDEX(DailyScalarsTable,AG$5/100,MONTH($A83)))*$C83</f>
        <v>-11827.971863104271</v>
      </c>
      <c r="AH83" s="1021">
        <f>(VLOOKUP(YEAR($A83),'NY East Load Projections'!$A$4:$EO$14,((MONTH($A83)-1)*12)+VLOOKUP(AH$4,$DE$6:$DF$17,2)+1))*(VLOOKUP($A83,CURVES!$D$9:$T$261,8))*(INDEX(DailyScalarsTable,AH$5/100,MONTH($A83)))*$C83</f>
        <v>-9799.6275712486604</v>
      </c>
      <c r="AI83" s="1021">
        <f>(VLOOKUP(YEAR($A83),'NY East Load Projections'!$A$4:$EO$14,((MONTH($A83)-1)*12)+VLOOKUP(AI$4,$DE$6:$DF$17,2)+1))*(VLOOKUP($A83,CURVES!$D$9:$T$261,8))*(INDEX(DailyScalarsTable,AI$5/100,MONTH($A83)))*$C83</f>
        <v>-8237.4997285658337</v>
      </c>
      <c r="AJ83" s="1021">
        <f>(VLOOKUP(YEAR($A83),'NY East Load Projections'!$A$4:$EO$14,((MONTH($A83)-1)*12)+VLOOKUP(AJ$4,$DE$6:$DF$17,2)+1))*(VLOOKUP($A83,CURVES!$D$9:$T$261,8))*(INDEX(DailyScalarsTable,AJ$5/100,MONTH($A83)))*$C83</f>
        <v>-7647.1607182496509</v>
      </c>
      <c r="AK83" s="1021">
        <f>(VLOOKUP(YEAR($A83),'NY East Load Projections'!$A$4:$EO$14,((MONTH($A83)-1)*12)+VLOOKUP(AK$4,$DE$6:$DF$17,2)+1))*(VLOOKUP($A83,CURVES!$D$9:$T$261,8))*(INDEX(DailyScalarsTable,AK$5/100,MONTH($A83)))*$C83</f>
        <v>-8381.5453234981942</v>
      </c>
      <c r="AL83" s="1021">
        <f>(VLOOKUP(YEAR($A83),'NY East Load Projections'!$A$4:$EO$14,((MONTH($A83)-1)*12)+VLOOKUP(AL$4,$DE$6:$DF$17,2)+1))*(VLOOKUP($A83,CURVES!$D$9:$T$261,8))*(INDEX(DailyScalarsTable,AL$5/100,MONTH($A83)))*$C83</f>
        <v>-10226.097086297248</v>
      </c>
      <c r="AM83" s="1021">
        <f>(VLOOKUP(YEAR($A83),'NY East Load Projections'!$A$4:$EO$14,((MONTH($A83)-1)*12)+VLOOKUP(AM$4,$DE$6:$DF$17,2)+1))*(VLOOKUP($A83,CURVES!$D$9:$T$261,8))*(INDEX(DailyScalarsTable,AM$5/100,MONTH($A83)))*$C83</f>
        <v>-11724.986578455682</v>
      </c>
      <c r="AN83" s="1021">
        <f>(VLOOKUP(YEAR($A83),'NY East Load Projections'!$A$4:$EO$14,((MONTH($A83)-1)*12)+VLOOKUP(AN$4,$DE$6:$DF$17,2)+1))*(VLOOKUP($A83,SatSunCurve,4))*(INDEX(DailyScalarsTable,AN$5/100,MONTH($A83)))*$C83</f>
        <v>-9342.2750708565418</v>
      </c>
      <c r="AO83" s="1021">
        <f>(VLOOKUP(YEAR($A83),'NY East Load Projections'!$A$4:$EO$14,((MONTH($A83)-1)*12)+VLOOKUP(AO$4,$DE$6:$DF$17,2)+1))*(VLOOKUP($A83,SatSunCurve,4))*(INDEX(DailyScalarsTable,AO$5/100,MONTH($A83)))*$C83</f>
        <v>-11831.829679114693</v>
      </c>
      <c r="AP83" s="1021">
        <f>(VLOOKUP(YEAR($A83),'NY East Load Projections'!$A$4:$EO$14,((MONTH($A83)-1)*12)+VLOOKUP(AP$4,$DE$6:$DF$17,2)+1))*(VLOOKUP($A83,SatSunCurve,4))*(INDEX(DailyScalarsTable,AP$5/100,MONTH($A83)))*$C83</f>
        <v>-13233.813353625039</v>
      </c>
      <c r="AQ83" s="1021">
        <f>(VLOOKUP(YEAR($A83),'NY East Load Projections'!$A$4:$EO$14,((MONTH($A83)-1)*12)+VLOOKUP(AQ$4,$DE$6:$DF$17,2)+1))*(VLOOKUP($A83,SatSunCurve,4))*(INDEX(DailyScalarsTable,AQ$5/100,MONTH($A83)))*$C83</f>
        <v>-15222.722146310574</v>
      </c>
      <c r="AR83" s="1021">
        <f>(VLOOKUP(YEAR($A83),'NY East Load Projections'!$A$4:$EO$14,((MONTH($A83)-1)*12)+VLOOKUP(AR$4,$DE$6:$DF$17,2)+1))*(VLOOKUP($A83,SatSunCurve,4))*(INDEX(DailyScalarsTable,AR$5/100,MONTH($A83)))*$C83</f>
        <v>-16417.311786130045</v>
      </c>
      <c r="AS83" s="1021">
        <f>(VLOOKUP(YEAR($A83),'NY East Load Projections'!$A$4:$EO$14,((MONTH($A83)-1)*12)+VLOOKUP(AS$4,$DE$6:$DF$17,2)+1))*(VLOOKUP($A83,SatSunCurve,4))*(INDEX(DailyScalarsTable,AS$5/100,MONTH($A83)))*$C83</f>
        <v>-17462.221805121546</v>
      </c>
      <c r="AT83" s="1021">
        <f>(VLOOKUP(YEAR($A83),'NY East Load Projections'!$A$4:$EO$14,((MONTH($A83)-1)*12)+VLOOKUP(AT$4,$DE$6:$DF$17,2)+1))*(VLOOKUP($A83,SatSunCurve,4))*(INDEX(DailyScalarsTable,AT$5/100,MONTH($A83)))*$C83</f>
        <v>-19311.187911644873</v>
      </c>
      <c r="AU83" s="1021">
        <f>(VLOOKUP(YEAR($A83),'NY East Load Projections'!$A$4:$EO$14,((MONTH($A83)-1)*12)+VLOOKUP(AU$4,$DE$6:$DF$17,2)+1))*(VLOOKUP($A83,SatSunCurve,4))*(INDEX(DailyScalarsTable,AU$5/100,MONTH($A83)))*$C83</f>
        <v>-19459.78449885111</v>
      </c>
      <c r="AV83" s="1021">
        <f>(VLOOKUP(YEAR($A83),'NY East Load Projections'!$A$4:$EO$14,((MONTH($A83)-1)*12)+VLOOKUP(AV$4,$DE$6:$DF$17,2)+1))*(VLOOKUP($A83,SatSunCurve,4))*(INDEX(DailyScalarsTable,AV$5/100,MONTH($A83)))*$C83</f>
        <v>-19491.626624681016</v>
      </c>
      <c r="AW83" s="1021">
        <f>(VLOOKUP(YEAR($A83),'NY East Load Projections'!$A$4:$EO$14,((MONTH($A83)-1)*12)+VLOOKUP(AW$4,$DE$6:$DF$17,2)+1))*(VLOOKUP($A83,SatSunCurve,4))*(INDEX(DailyScalarsTable,AW$5/100,MONTH($A83)))*$C83</f>
        <v>-19045.342154239559</v>
      </c>
      <c r="AX83" s="1021">
        <f>(VLOOKUP(YEAR($A83),'NY East Load Projections'!$A$4:$EO$14,((MONTH($A83)-1)*12)+VLOOKUP(AX$4,$DE$6:$DF$17,2)+1))*(VLOOKUP($A83,SatSunCurve,4))*(INDEX(DailyScalarsTable,AX$5/100,MONTH($A83)))*$C83</f>
        <v>-18479.962261760258</v>
      </c>
      <c r="AY83" s="1021">
        <f>(VLOOKUP(YEAR($A83),'NY East Load Projections'!$A$4:$EO$14,((MONTH($A83)-1)*12)+VLOOKUP(AY$4,$DE$6:$DF$17,2)+1))*(VLOOKUP($A83,SatSunCurve,4))*(INDEX(DailyScalarsTable,AY$5/100,MONTH($A83)))*$C83</f>
        <v>-15779.609923312186</v>
      </c>
      <c r="AZ83" s="1021">
        <f>(VLOOKUP(YEAR($A83),'NY East Load Projections'!$A$4:$EO$14,((MONTH($A83)-1)*12)+VLOOKUP(AZ$4,$DE$6:$DF$17,2)+1))*(VLOOKUP($A83,SatSunCurve,4))*(INDEX(DailyScalarsTable,AZ$5/100,MONTH($A83)))*$C83</f>
        <v>-12617.97290724563</v>
      </c>
      <c r="BA83" s="1021">
        <f>(VLOOKUP(YEAR($A83),'NY East Load Projections'!$A$4:$EO$14,((MONTH($A83)-1)*12)+VLOOKUP(BA$4,$DE$6:$DF$17,2)+1))*(VLOOKUP($A83,SatSunCurve,4))*(INDEX(DailyScalarsTable,BA$5/100,MONTH($A83)))*$C83</f>
        <v>-13056.533635291426</v>
      </c>
      <c r="BB83" s="1021">
        <f>(VLOOKUP(YEAR($A83),'NY East Load Projections'!$A$4:$EO$14,((MONTH($A83)-1)*12)+VLOOKUP(BB$4,$DE$6:$DF$17,2)+1))*(VLOOKUP($A83,SatSunCurve,4))*(INDEX(DailyScalarsTable,BB$5/100,MONTH($A83)))*$C83</f>
        <v>-13303.36003774484</v>
      </c>
      <c r="BC83" s="1021">
        <f>(VLOOKUP(YEAR($A83),'NY East Load Projections'!$A$4:$EO$14,((MONTH($A83)-1)*12)+VLOOKUP(BC$4,$DE$6:$DF$17,2)+1))*(VLOOKUP($A83,SatSunCurve,4))*(INDEX(DailyScalarsTable,BC$5/100,MONTH($A83)))*$C83</f>
        <v>-10667.953724935196</v>
      </c>
      <c r="BD83" s="1021">
        <f>(VLOOKUP(YEAR($A83),'NY East Load Projections'!$A$4:$EO$14,((MONTH($A83)-1)*12)+VLOOKUP(BD$4,$DE$6:$DF$17,2)+1))*(VLOOKUP($A83,CURVES!$D$9:$T$261,8))*(INDEX(DailyScalarsTable,BD$5/100,MONTH($A83)))*$C83</f>
        <v>-14561.493741157534</v>
      </c>
      <c r="BE83" s="1021"/>
      <c r="BF83" s="1021">
        <f>(VLOOKUP(YEAR($A83),'NY East Load Projections'!$A$4:$EO$14,((MONTH($A83)-1)*12)+VLOOKUP(BF$4,$DE$6:$DF$17,2)+1))*(VLOOKUP($A83,CURVES!$D$9:$T$261,8))*(INDEX(DailyScalarsTable,BF$5/100,MONTH($A83)))*$D83</f>
        <v>-9462.3774904834172</v>
      </c>
      <c r="BG83" s="1021">
        <f>(VLOOKUP(YEAR($A83),'NY East Load Projections'!$A$4:$EO$14,((MONTH($A83)-1)*12)+VLOOKUP(BG$4,$DE$6:$DF$17,2)+1))*(VLOOKUP($A83,CURVES!$D$9:$T$261,8))*(INDEX(DailyScalarsTable,BG$5/100,MONTH($A83)))*$D83</f>
        <v>-7839.702056998929</v>
      </c>
      <c r="BH83" s="1021">
        <f>(VLOOKUP(YEAR($A83),'NY East Load Projections'!$A$4:$EO$14,((MONTH($A83)-1)*12)+VLOOKUP(BH$4,$DE$6:$DF$17,2)+1))*(VLOOKUP($A83,CURVES!$D$9:$T$261,8))*(INDEX(DailyScalarsTable,BH$5/100,MONTH($A83)))*$D83</f>
        <v>-6589.9997828526675</v>
      </c>
      <c r="BI83" s="1021">
        <f>(VLOOKUP(YEAR($A83),'NY East Load Projections'!$A$4:$EO$14,((MONTH($A83)-1)*12)+VLOOKUP(BI$4,$DE$6:$DF$17,2)+1))*(VLOOKUP($A83,CURVES!$D$9:$T$261,8))*(INDEX(DailyScalarsTable,BI$5/100,MONTH($A83)))*$D83</f>
        <v>-6117.7285745997206</v>
      </c>
      <c r="BJ83" s="1021">
        <f>(VLOOKUP(YEAR($A83),'NY East Load Projections'!$A$4:$EO$14,((MONTH($A83)-1)*12)+VLOOKUP(BJ$4,$DE$6:$DF$17,2)+1))*(VLOOKUP($A83,CURVES!$D$9:$T$261,8))*(INDEX(DailyScalarsTable,BJ$5/100,MONTH($A83)))*$D83</f>
        <v>-6705.2362587985554</v>
      </c>
      <c r="BK83" s="1021">
        <f>(VLOOKUP(YEAR($A83),'NY East Load Projections'!$A$4:$EO$14,((MONTH($A83)-1)*12)+VLOOKUP(BK$4,$DE$6:$DF$17,2)+1))*(VLOOKUP($A83,CURVES!$D$9:$T$261,8))*(INDEX(DailyScalarsTable,BK$5/100,MONTH($A83)))*$D83</f>
        <v>-8180.8776690377981</v>
      </c>
      <c r="BL83" s="1021">
        <f>(VLOOKUP(YEAR($A83),'NY East Load Projections'!$A$4:$EO$14,((MONTH($A83)-1)*12)+VLOOKUP(BL$4,$DE$6:$DF$17,2)+1))*(VLOOKUP($A83,CURVES!$D$9:$T$261,8))*(INDEX(DailyScalarsTable,BL$5/100,MONTH($A83)))*$D83</f>
        <v>-9379.9892627645459</v>
      </c>
      <c r="BM83" s="1021">
        <f>(VLOOKUP(YEAR($A83),'NY East Load Projections'!$A$4:$EO$14,((MONTH($A83)-1)*12)+VLOOKUP(BM$4,$DE$6:$DF$17,2)+1))*(VLOOKUP($A83,SatSunCurve,8))*(INDEX(DailyScalarsTable,BM$5/100,MONTH($A83)))*$D83</f>
        <v>-5726.5476652261868</v>
      </c>
      <c r="BN83" s="1021">
        <f>(VLOOKUP(YEAR($A83),'NY East Load Projections'!$A$4:$EO$14,((MONTH($A83)-1)*12)+VLOOKUP(BN$4,$DE$6:$DF$17,2)+1))*(VLOOKUP($A83,SatSunCurve,8))*(INDEX(DailyScalarsTable,BN$5/100,MONTH($A83)))*$D83</f>
        <v>-7252.5735016787539</v>
      </c>
      <c r="BO83" s="1021">
        <f>(VLOOKUP(YEAR($A83),'NY East Load Projections'!$A$4:$EO$14,((MONTH($A83)-1)*12)+VLOOKUP(BO$4,$DE$6:$DF$17,2)+1))*(VLOOKUP($A83,SatSunCurve,8))*(INDEX(DailyScalarsTable,BO$5/100,MONTH($A83)))*$D83</f>
        <v>-8111.9494328154451</v>
      </c>
      <c r="BP83" s="1021">
        <f>(VLOOKUP(YEAR($A83),'NY East Load Projections'!$A$4:$EO$14,((MONTH($A83)-1)*12)+VLOOKUP(BP$4,$DE$6:$DF$17,2)+1))*(VLOOKUP($A83,SatSunCurve,8))*(INDEX(DailyScalarsTable,BP$5/100,MONTH($A83)))*$D83</f>
        <v>-9331.0936901528548</v>
      </c>
      <c r="BQ83" s="1021">
        <f>(VLOOKUP(YEAR($A83),'NY East Load Projections'!$A$4:$EO$14,((MONTH($A83)-1)*12)+VLOOKUP(BQ$4,$DE$6:$DF$17,2)+1))*(VLOOKUP($A83,SatSunCurve,8))*(INDEX(DailyScalarsTable,BQ$5/100,MONTH($A83)))*$D83</f>
        <v>-10063.343004257495</v>
      </c>
      <c r="BR83" s="1021">
        <f>(VLOOKUP(YEAR($A83),'NY East Load Projections'!$A$4:$EO$14,((MONTH($A83)-1)*12)+VLOOKUP(BR$4,$DE$6:$DF$17,2)+1))*(VLOOKUP($A83,SatSunCurve,8))*(INDEX(DailyScalarsTable,BR$5/100,MONTH($A83)))*$D83</f>
        <v>-10703.842987852882</v>
      </c>
      <c r="BS83" s="1021">
        <f>(VLOOKUP(YEAR($A83),'NY East Load Projections'!$A$4:$EO$14,((MONTH($A83)-1)*12)+VLOOKUP(BS$4,$DE$6:$DF$17,2)+1))*(VLOOKUP($A83,SatSunCurve,8))*(INDEX(DailyScalarsTable,BS$5/100,MONTH($A83)))*$D83</f>
        <v>-11837.206377400642</v>
      </c>
      <c r="BT83" s="1021">
        <f>(VLOOKUP(YEAR($A83),'NY East Load Projections'!$A$4:$EO$14,((MONTH($A83)-1)*12)+VLOOKUP(BT$4,$DE$6:$DF$17,2)+1))*(VLOOKUP($A83,SatSunCurve,8))*(INDEX(DailyScalarsTable,BT$5/100,MONTH($A83)))*$D83</f>
        <v>-11928.291839247191</v>
      </c>
      <c r="BU83" s="1021">
        <f>(VLOOKUP(YEAR($A83),'NY East Load Projections'!$A$4:$EO$14,((MONTH($A83)-1)*12)+VLOOKUP(BU$4,$DE$6:$DF$17,2)+1))*(VLOOKUP($A83,SatSunCurve,8))*(INDEX(DailyScalarsTable,BU$5/100,MONTH($A83)))*$D83</f>
        <v>-11947.81015250002</v>
      </c>
      <c r="BV83" s="1021">
        <f>(VLOOKUP(YEAR($A83),'NY East Load Projections'!$A$4:$EO$14,((MONTH($A83)-1)*12)+VLOOKUP(BV$4,$DE$6:$DF$17,2)+1))*(VLOOKUP($A83,SatSunCurve,8))*(INDEX(DailyScalarsTable,BV$5/100,MONTH($A83)))*$D83</f>
        <v>-11674.250524588217</v>
      </c>
      <c r="BW83" s="1021">
        <f>(VLOOKUP(YEAR($A83),'NY East Load Projections'!$A$4:$EO$14,((MONTH($A83)-1)*12)+VLOOKUP(BW$4,$DE$6:$DF$17,2)+1))*(VLOOKUP($A83,SatSunCurve,8))*(INDEX(DailyScalarsTable,BW$5/100,MONTH($A83)))*$D83</f>
        <v>-11327.688806089562</v>
      </c>
      <c r="BX83" s="1021">
        <f>(VLOOKUP(YEAR($A83),'NY East Load Projections'!$A$4:$EO$14,((MONTH($A83)-1)*12)+VLOOKUP(BX$4,$DE$6:$DF$17,2)+1))*(VLOOKUP($A83,SatSunCurve,8))*(INDEX(DailyScalarsTable,BX$5/100,MONTH($A83)))*$D83</f>
        <v>-9672.4499845237897</v>
      </c>
      <c r="BY83" s="1021">
        <f>(VLOOKUP(YEAR($A83),'NY East Load Projections'!$A$4:$EO$14,((MONTH($A83)-1)*12)+VLOOKUP(BY$4,$DE$6:$DF$17,2)+1))*(VLOOKUP($A83,SatSunCurve,8))*(INDEX(DailyScalarsTable,BY$5/100,MONTH($A83)))*$D83</f>
        <v>-7734.4568366739213</v>
      </c>
      <c r="BZ83" s="1021">
        <f>(VLOOKUP(YEAR($A83),'NY East Load Projections'!$A$4:$EO$14,((MONTH($A83)-1)*12)+VLOOKUP(BZ$4,$DE$6:$DF$17,2)+1))*(VLOOKUP($A83,SatSunCurve,8))*(INDEX(DailyScalarsTable,BZ$5/100,MONTH($A83)))*$D83</f>
        <v>-8003.2820312012236</v>
      </c>
      <c r="CA83" s="1021">
        <f>(VLOOKUP(YEAR($A83),'NY East Load Projections'!$A$4:$EO$14,((MONTH($A83)-1)*12)+VLOOKUP(CA$4,$DE$6:$DF$17,2)+1))*(VLOOKUP($A83,SatSunCurve,8))*(INDEX(DailyScalarsTable,CA$5/100,MONTH($A83)))*$D83</f>
        <v>-8154.5795629015165</v>
      </c>
      <c r="CB83" s="1021">
        <f>(VLOOKUP(YEAR($A83),'NY East Load Projections'!$A$4:$EO$14,((MONTH($A83)-1)*12)+VLOOKUP(CB$4,$DE$6:$DF$17,2)+1))*(VLOOKUP($A83,SatSunCurve,8))*(INDEX(DailyScalarsTable,CB$5/100,MONTH($A83)))*$D83</f>
        <v>-6539.1507992354154</v>
      </c>
      <c r="CC83" s="1021">
        <f>(VLOOKUP(YEAR($A83),'NY East Load Projections'!$A$4:$EO$14,((MONTH($A83)-1)*12)+VLOOKUP(CC$4,$DE$6:$DF$17,2)+1))*(VLOOKUP($A83,CURVES!$D$9:$T$261,8))*(INDEX(DailyScalarsTable,CC$5/100,MONTH($A83)))*$D83</f>
        <v>-11649.194992926026</v>
      </c>
      <c r="CE83" s="1021">
        <f>(VLOOKUP(YEAR($A83),'NY East Load Projections'!$A$4:$EO$14,((MONTH($A83)-1)*12)+VLOOKUP(CE$4,$DE$6:$DF$17,2)+1))*(VLOOKUP($A83,CURVES!$D$9:$T$261,8))*(INDEX(DailyScalarsTable,CE$5/100,MONTH($A83)))*$E83</f>
        <v>0</v>
      </c>
      <c r="CF83" s="1021">
        <f>(VLOOKUP(YEAR($A83),'NY East Load Projections'!$A$4:$EO$14,((MONTH($A83)-1)*12)+VLOOKUP(CF$4,$DE$6:$DF$17,2)+1))*(VLOOKUP($A83,CURVES!$D$9:$T$261,8))*(INDEX(DailyScalarsTable,CF$5/100,MONTH($A83)))*$E83</f>
        <v>0</v>
      </c>
      <c r="CG83" s="1021">
        <f>(VLOOKUP(YEAR($A83),'NY East Load Projections'!$A$4:$EO$14,((MONTH($A83)-1)*12)+VLOOKUP(CG$4,$DE$6:$DF$17,2)+1))*(VLOOKUP($A83,CURVES!$D$9:$T$261,8))*(INDEX(DailyScalarsTable,CG$5/100,MONTH($A83)))*$E83</f>
        <v>0</v>
      </c>
      <c r="CH83" s="1021">
        <f>(VLOOKUP(YEAR($A83),'NY East Load Projections'!$A$4:$EO$14,((MONTH($A83)-1)*12)+VLOOKUP(CH$4,$DE$6:$DF$17,2)+1))*(VLOOKUP($A83,CURVES!$D$9:$T$261,8))*(INDEX(DailyScalarsTable,CH$5/100,MONTH($A83)))*$E83</f>
        <v>0</v>
      </c>
      <c r="CI83" s="1021">
        <f>(VLOOKUP(YEAR($A83),'NY East Load Projections'!$A$4:$EO$14,((MONTH($A83)-1)*12)+VLOOKUP(CI$4,$DE$6:$DF$17,2)+1))*(VLOOKUP($A83,CURVES!$D$9:$T$261,8))*(INDEX(DailyScalarsTable,CI$5/100,MONTH($A83)))*$E83</f>
        <v>0</v>
      </c>
      <c r="CJ83" s="1021">
        <f>(VLOOKUP(YEAR($A83),'NY East Load Projections'!$A$4:$EO$14,((MONTH($A83)-1)*12)+VLOOKUP(CJ$4,$DE$6:$DF$17,2)+1))*(VLOOKUP($A83,CURVES!$D$9:$T$261,8))*(INDEX(DailyScalarsTable,CJ$5/100,MONTH($A83)))*$E83</f>
        <v>0</v>
      </c>
      <c r="CK83" s="1021">
        <f>(VLOOKUP(YEAR($A83),'NY East Load Projections'!$A$4:$EO$14,((MONTH($A83)-1)*12)+VLOOKUP(CK$4,$DE$6:$DF$17,2)+1))*(VLOOKUP($A83,CURVES!$D$9:$T$261,8))*(INDEX(DailyScalarsTable,CK$5/100,MONTH($A83)))*$E83</f>
        <v>0</v>
      </c>
      <c r="CL83" s="1021">
        <f>(VLOOKUP(YEAR($A83),'NY East Load Projections'!$A$4:$EO$14,((MONTH($A83)-1)*12)+VLOOKUP(CL$4,$DE$6:$DF$17,2)+1))*(VLOOKUP($A83,SatSunCurve,8))*(INDEX(DailyScalarsTable,CL$5/100,MONTH($A83)))*$E83</f>
        <v>0</v>
      </c>
      <c r="CM83" s="1021">
        <f>(VLOOKUP(YEAR($A83),'NY East Load Projections'!$A$4:$EO$14,((MONTH($A83)-1)*12)+VLOOKUP(CM$4,$DE$6:$DF$17,2)+1))*(VLOOKUP($A83,SatSunCurve,8))*(INDEX(DailyScalarsTable,CM$5/100,MONTH($A83)))*$E83</f>
        <v>0</v>
      </c>
      <c r="CN83" s="1021">
        <f>(VLOOKUP(YEAR($A83),'NY East Load Projections'!$A$4:$EO$14,((MONTH($A83)-1)*12)+VLOOKUP(CN$4,$DE$6:$DF$17,2)+1))*(VLOOKUP($A83,SatSunCurve,8))*(INDEX(DailyScalarsTable,CN$5/100,MONTH($A83)))*$E83</f>
        <v>0</v>
      </c>
      <c r="CO83" s="1021">
        <f>(VLOOKUP(YEAR($A83),'NY East Load Projections'!$A$4:$EO$14,((MONTH($A83)-1)*12)+VLOOKUP(CO$4,$DE$6:$DF$17,2)+1))*(VLOOKUP($A83,SatSunCurve,8))*(INDEX(DailyScalarsTable,CO$5/100,MONTH($A83)))*$E83</f>
        <v>0</v>
      </c>
      <c r="CP83" s="1021">
        <f>(VLOOKUP(YEAR($A83),'NY East Load Projections'!$A$4:$EO$14,((MONTH($A83)-1)*12)+VLOOKUP(CP$4,$DE$6:$DF$17,2)+1))*(VLOOKUP($A83,SatSunCurve,8))*(INDEX(DailyScalarsTable,CP$5/100,MONTH($A83)))*$E83</f>
        <v>0</v>
      </c>
      <c r="CQ83" s="1021">
        <f>(VLOOKUP(YEAR($A83),'NY East Load Projections'!$A$4:$EO$14,((MONTH($A83)-1)*12)+VLOOKUP(CQ$4,$DE$6:$DF$17,2)+1))*(VLOOKUP($A83,SatSunCurve,8))*(INDEX(DailyScalarsTable,CQ$5/100,MONTH($A83)))*$E83</f>
        <v>0</v>
      </c>
      <c r="CR83" s="1021">
        <f>(VLOOKUP(YEAR($A83),'NY East Load Projections'!$A$4:$EO$14,((MONTH($A83)-1)*12)+VLOOKUP(CR$4,$DE$6:$DF$17,2)+1))*(VLOOKUP($A83,SatSunCurve,8))*(INDEX(DailyScalarsTable,CR$5/100,MONTH($A83)))*$E83</f>
        <v>0</v>
      </c>
      <c r="CS83" s="1021">
        <f>(VLOOKUP(YEAR($A83),'NY East Load Projections'!$A$4:$EO$14,((MONTH($A83)-1)*12)+VLOOKUP(CS$4,$DE$6:$DF$17,2)+1))*(VLOOKUP($A83,SatSunCurve,8))*(INDEX(DailyScalarsTable,CS$5/100,MONTH($A83)))*$E83</f>
        <v>0</v>
      </c>
      <c r="CT83" s="1021">
        <f>(VLOOKUP(YEAR($A83),'NY East Load Projections'!$A$4:$EO$14,((MONTH($A83)-1)*12)+VLOOKUP(CT$4,$DE$6:$DF$17,2)+1))*(VLOOKUP($A83,SatSunCurve,8))*(INDEX(DailyScalarsTable,CT$5/100,MONTH($A83)))*$E83</f>
        <v>0</v>
      </c>
      <c r="CU83" s="1021">
        <f>(VLOOKUP(YEAR($A83),'NY East Load Projections'!$A$4:$EO$14,((MONTH($A83)-1)*12)+VLOOKUP(CU$4,$DE$6:$DF$17,2)+1))*(VLOOKUP($A83,SatSunCurve,8))*(INDEX(DailyScalarsTable,CU$5/100,MONTH($A83)))*$E83</f>
        <v>0</v>
      </c>
      <c r="CV83" s="1021">
        <f>(VLOOKUP(YEAR($A83),'NY East Load Projections'!$A$4:$EO$14,((MONTH($A83)-1)*12)+VLOOKUP(CV$4,$DE$6:$DF$17,2)+1))*(VLOOKUP($A83,SatSunCurve,8))*(INDEX(DailyScalarsTable,CV$5/100,MONTH($A83)))*$E83</f>
        <v>0</v>
      </c>
      <c r="CW83" s="1021">
        <f>(VLOOKUP(YEAR($A83),'NY East Load Projections'!$A$4:$EO$14,((MONTH($A83)-1)*12)+VLOOKUP(CW$4,$DE$6:$DF$17,2)+1))*(VLOOKUP($A83,SatSunCurve,8))*(INDEX(DailyScalarsTable,CW$5/100,MONTH($A83)))*$E83</f>
        <v>0</v>
      </c>
      <c r="CX83" s="1021">
        <f>(VLOOKUP(YEAR($A83),'NY East Load Projections'!$A$4:$EO$14,((MONTH($A83)-1)*12)+VLOOKUP(CX$4,$DE$6:$DF$17,2)+1))*(VLOOKUP($A83,SatSunCurve,8))*(INDEX(DailyScalarsTable,CX$5/100,MONTH($A83)))*$E83</f>
        <v>0</v>
      </c>
      <c r="CY83" s="1021">
        <f>(VLOOKUP(YEAR($A83),'NY East Load Projections'!$A$4:$EO$14,((MONTH($A83)-1)*12)+VLOOKUP(CY$4,$DE$6:$DF$17,2)+1))*(VLOOKUP($A83,SatSunCurve,8))*(INDEX(DailyScalarsTable,CY$5/100,MONTH($A83)))*$E83</f>
        <v>0</v>
      </c>
      <c r="CZ83" s="1021">
        <f>(VLOOKUP(YEAR($A83),'NY East Load Projections'!$A$4:$EO$14,((MONTH($A83)-1)*12)+VLOOKUP(CZ$4,$DE$6:$DF$17,2)+1))*(VLOOKUP($A83,SatSunCurve,8))*(INDEX(DailyScalarsTable,CZ$5/100,MONTH($A83)))*$E83</f>
        <v>0</v>
      </c>
      <c r="DA83" s="1021">
        <f>(VLOOKUP(YEAR($A83),'NY East Load Projections'!$A$4:$EO$14,((MONTH($A83)-1)*12)+VLOOKUP(DA$4,$DE$6:$DF$17,2)+1))*(VLOOKUP($A83,SatSunCurve,8))*(INDEX(DailyScalarsTable,DA$5/100,MONTH($A83)))*$E83</f>
        <v>0</v>
      </c>
      <c r="DB83" s="1021">
        <f>(VLOOKUP(YEAR($A83),'NY East Load Projections'!$A$4:$EO$14,((MONTH($A83)-1)*12)+VLOOKUP(DB$4,$DE$6:$DF$17,2)+1))*(VLOOKUP($A83,CURVES!$D$9:$T$261,8))*(INDEX(DailyScalarsTable,DB$5/100,MONTH($A83)))*$E83</f>
        <v>0</v>
      </c>
      <c r="DH83" s="1021">
        <f t="shared" si="2"/>
        <v>-2804298.5502677043</v>
      </c>
      <c r="DI83">
        <f ca="1">CALC!J103</f>
        <v>0.58609365136337499</v>
      </c>
      <c r="DJ83" s="1029">
        <f t="shared" ca="1" si="3"/>
        <v>-1643581.5768394177</v>
      </c>
    </row>
    <row r="84" spans="1:114" x14ac:dyDescent="0.25">
      <c r="A84" s="244">
        <v>39264</v>
      </c>
      <c r="B84" s="13">
        <v>21</v>
      </c>
      <c r="C84" s="210">
        <v>4</v>
      </c>
      <c r="D84" s="210">
        <v>5</v>
      </c>
      <c r="E84" s="210">
        <v>1</v>
      </c>
      <c r="F84" s="13">
        <v>31</v>
      </c>
      <c r="H84" s="1021">
        <f>(VLOOKUP(YEAR($A84),'NY East Load Projections'!$A$4:$EO$14,((MONTH($A84)-1)*12)+VLOOKUP(H$4,$DE$6:$DF$17,2)+1))*(VLOOKUP($A84,CURVES!$D$9:$K$261,8))*(INDEX(DailyScalarsTable,H$5/100,MONTH($A84)))*$B84</f>
        <v>-57943.210444379372</v>
      </c>
      <c r="I84" s="1021">
        <f>(VLOOKUP(YEAR($A84),'NY East Load Projections'!$A$4:$EO$14,((MONTH($A84)-1)*12)+VLOOKUP(I$4,$DE$6:$DF$17,2)+1))*(VLOOKUP($A84,CURVES!$D$9:$K$261,8))*(INDEX(DailyScalarsTable,I$5/100,MONTH($A84)))*$B84</f>
        <v>-52927.26475568673</v>
      </c>
      <c r="J84" s="1021">
        <f>(VLOOKUP(YEAR($A84),'NY East Load Projections'!$A$4:$EO$14,((MONTH($A84)-1)*12)+VLOOKUP(J$4,$DE$6:$DF$17,2)+1))*(VLOOKUP($A84,CURVES!$D$9:$K$261,8))*(INDEX(DailyScalarsTable,J$5/100,MONTH($A84)))*$B84</f>
        <v>-50430.589086314969</v>
      </c>
      <c r="K84" s="1021">
        <f>(VLOOKUP(YEAR($A84),'NY East Load Projections'!$A$4:$EO$14,((MONTH($A84)-1)*12)+VLOOKUP(K$4,$DE$6:$DF$17,2)+1))*(VLOOKUP($A84,CURVES!$D$9:$K$261,8))*(INDEX(DailyScalarsTable,K$5/100,MONTH($A84)))*$B84</f>
        <v>-45414.643397622342</v>
      </c>
      <c r="L84" s="1021">
        <f>(VLOOKUP(YEAR($A84),'NY East Load Projections'!$A$4:$EO$14,((MONTH($A84)-1)*12)+VLOOKUP(L$4,$DE$6:$DF$17,2)+1))*(VLOOKUP($A84,CURVES!$D$9:$K$261,8))*(INDEX(DailyScalarsTable,L$5/100,MONTH($A84)))*$B84</f>
        <v>-46024.383564817588</v>
      </c>
      <c r="M84" s="1021">
        <f>(VLOOKUP(YEAR($A84),'NY East Load Projections'!$A$4:$EO$14,((MONTH($A84)-1)*12)+VLOOKUP(M$4,$DE$6:$DF$17,2)+1))*(VLOOKUP($A84,CURVES!$D$9:$K$261,8))*(INDEX(DailyScalarsTable,M$5/100,MONTH($A84)))*$B84</f>
        <v>-50740.194354608902</v>
      </c>
      <c r="N84" s="1021">
        <f>(VLOOKUP(YEAR($A84),'NY East Load Projections'!$A$4:$EO$14,((MONTH($A84)-1)*12)+VLOOKUP(N$4,$DE$6:$DF$17,2)+1))*(VLOOKUP($A84,CURVES!$D$9:$K$261,8))*(INDEX(DailyScalarsTable,N$5/100,MONTH($A84)))*$B84</f>
        <v>-56348.511534283993</v>
      </c>
      <c r="O84" s="1021">
        <f>(VLOOKUP(YEAR($A84),'NY East Load Projections'!$A$4:$EO$14,((MONTH($A84)-1)*12)+VLOOKUP(O$4,$DE$6:$DF$17,2)+1))*(VLOOKUP($A84,CURVES!$D$9:$K$261,4))*(INDEX(DailyScalarsTable,O$5/100,MONTH($A84)))*$B84</f>
        <v>-93094.38941588701</v>
      </c>
      <c r="P84" s="1021">
        <f>(VLOOKUP(YEAR($A84),'NY East Load Projections'!$A$4:$EO$14,((MONTH($A84)-1)*12)+VLOOKUP(P$4,$DE$6:$DF$17,2)+1))*(VLOOKUP($A84,CURVES!$D$9:$K$261,4))*(INDEX(DailyScalarsTable,P$5/100,MONTH($A84)))*$B84</f>
        <v>-111386.98372278502</v>
      </c>
      <c r="Q84" s="1021">
        <f>(VLOOKUP(YEAR($A84),'NY East Load Projections'!$A$4:$EO$14,((MONTH($A84)-1)*12)+VLOOKUP(Q$4,$DE$6:$DF$17,2)+1))*(VLOOKUP($A84,CURVES!$D$9:$K$261,4))*(INDEX(DailyScalarsTable,Q$5/100,MONTH($A84)))*$B84</f>
        <v>-133360.75429279913</v>
      </c>
      <c r="R84" s="1021">
        <f>(VLOOKUP(YEAR($A84),'NY East Load Projections'!$A$4:$EO$14,((MONTH($A84)-1)*12)+VLOOKUP(R$4,$DE$6:$DF$17,2)+1))*(VLOOKUP($A84,CURVES!$D$9:$K$261,4))*(INDEX(DailyScalarsTable,R$5/100,MONTH($A84)))*$B84</f>
        <v>-151750.48393650749</v>
      </c>
      <c r="S84" s="1021">
        <f>(VLOOKUP(YEAR($A84),'NY East Load Projections'!$A$4:$EO$14,((MONTH($A84)-1)*12)+VLOOKUP(S$4,$DE$6:$DF$17,2)+1))*(VLOOKUP($A84,CURVES!$D$9:$K$261,4))*(INDEX(DailyScalarsTable,S$5/100,MONTH($A84)))*$B84</f>
        <v>-181424.46470627014</v>
      </c>
      <c r="T84" s="1021">
        <f>(VLOOKUP(YEAR($A84),'NY East Load Projections'!$A$4:$EO$14,((MONTH($A84)-1)*12)+VLOOKUP(T$4,$DE$6:$DF$17,2)+1))*(VLOOKUP($A84,CURVES!$D$9:$K$261,4))*(INDEX(DailyScalarsTable,T$5/100,MONTH($A84)))*$B84</f>
        <v>-203267.13404450373</v>
      </c>
      <c r="U84" s="1021">
        <f>(VLOOKUP(YEAR($A84),'NY East Load Projections'!$A$4:$EO$14,((MONTH($A84)-1)*12)+VLOOKUP(U$4,$DE$6:$DF$17,2)+1))*(VLOOKUP($A84,CURVES!$D$9:$K$261,4))*(INDEX(DailyScalarsTable,U$5/100,MONTH($A84)))*$B84</f>
        <v>-210108.46682777989</v>
      </c>
      <c r="V84" s="1021">
        <f>(VLOOKUP(YEAR($A84),'NY East Load Projections'!$A$4:$EO$14,((MONTH($A84)-1)*12)+VLOOKUP(V$4,$DE$6:$DF$17,2)+1))*(VLOOKUP($A84,CURVES!$D$9:$K$261,4))*(INDEX(DailyScalarsTable,V$5/100,MONTH($A84)))*$B84</f>
        <v>-218859.00875987732</v>
      </c>
      <c r="W84" s="1021">
        <f>(VLOOKUP(YEAR($A84),'NY East Load Projections'!$A$4:$EO$14,((MONTH($A84)-1)*12)+VLOOKUP(W$4,$DE$6:$DF$17,2)+1))*(VLOOKUP($A84,CURVES!$D$9:$K$261,4))*(INDEX(DailyScalarsTable,W$5/100,MONTH($A84)))*$B84</f>
        <v>-232271.20303034675</v>
      </c>
      <c r="X84" s="1021">
        <f>(VLOOKUP(YEAR($A84),'NY East Load Projections'!$A$4:$EO$14,((MONTH($A84)-1)*12)+VLOOKUP(X$4,$DE$6:$DF$17,2)+1))*(VLOOKUP($A84,CURVES!$D$9:$K$261,4))*(INDEX(DailyScalarsTable,X$5/100,MONTH($A84)))*$B84</f>
        <v>-229315.54249557125</v>
      </c>
      <c r="Y84" s="1021">
        <f>(VLOOKUP(YEAR($A84),'NY East Load Projections'!$A$4:$EO$14,((MONTH($A84)-1)*12)+VLOOKUP(Y$4,$DE$6:$DF$17,2)+1))*(VLOOKUP($A84,CURVES!$D$9:$K$261,4))*(INDEX(DailyScalarsTable,Y$5/100,MONTH($A84)))*$B84</f>
        <v>-223633.08764493224</v>
      </c>
      <c r="Z84" s="1021">
        <f>(VLOOKUP(YEAR($A84),'NY East Load Projections'!$A$4:$EO$14,((MONTH($A84)-1)*12)+VLOOKUP(Z$4,$DE$6:$DF$17,2)+1))*(VLOOKUP($A84,CURVES!$D$9:$K$261,4))*(INDEX(DailyScalarsTable,Z$5/100,MONTH($A84)))*$B84</f>
        <v>-186781.82895230566</v>
      </c>
      <c r="AA84" s="1021">
        <f>(VLOOKUP(YEAR($A84),'NY East Load Projections'!$A$4:$EO$14,((MONTH($A84)-1)*12)+VLOOKUP(AA$4,$DE$6:$DF$17,2)+1))*(VLOOKUP($A84,CURVES!$D$9:$K$261,4))*(INDEX(DailyScalarsTable,AA$5/100,MONTH($A84)))*$B84</f>
        <v>-138211.46960565122</v>
      </c>
      <c r="AB84" s="1021">
        <f>(VLOOKUP(YEAR($A84),'NY East Load Projections'!$A$4:$EO$14,((MONTH($A84)-1)*12)+VLOOKUP(AB$4,$DE$6:$DF$17,2)+1))*(VLOOKUP($A84,CURVES!$D$9:$K$261,4))*(INDEX(DailyScalarsTable,AB$5/100,MONTH($A84)))*$B84</f>
        <v>-140051.45872410783</v>
      </c>
      <c r="AC84" s="1021">
        <f>(VLOOKUP(YEAR($A84),'NY East Load Projections'!$A$4:$EO$14,((MONTH($A84)-1)*12)+VLOOKUP(AC$4,$DE$6:$DF$17,2)+1))*(VLOOKUP($A84,CURVES!$D$9:$K$261,4))*(INDEX(DailyScalarsTable,AC$5/100,MONTH($A84)))*$B84</f>
        <v>-148403.4747979138</v>
      </c>
      <c r="AD84" s="1021">
        <f>(VLOOKUP(YEAR($A84),'NY East Load Projections'!$A$4:$EO$14,((MONTH($A84)-1)*12)+VLOOKUP(AD$4,$DE$6:$DF$17,2)+1))*(VLOOKUP($A84,CURVES!$D$9:$K$261,4))*(INDEX(DailyScalarsTable,AD$5/100,MONTH($A84)))*$B84</f>
        <v>-103059.92807289289</v>
      </c>
      <c r="AE84" s="1021">
        <f>(VLOOKUP(YEAR($A84),'NY East Load Projections'!$A$4:$EO$14,((MONTH($A84)-1)*12)+VLOOKUP(AE$4,$DE$6:$DF$17,2)+1))*(VLOOKUP($A84,CURVES!$D$9:$K$261,8))*(INDEX(DailyScalarsTable,AE$5/100,MONTH($A84)))*$B84</f>
        <v>-68391.68765602888</v>
      </c>
      <c r="AF84" s="1021"/>
      <c r="AG84" s="1021">
        <f>(VLOOKUP(YEAR($A84),'NY East Load Projections'!$A$4:$EO$14,((MONTH($A84)-1)*12)+VLOOKUP(AG$4,$DE$6:$DF$17,2)+1))*(VLOOKUP($A84,CURVES!$D$9:$T$261,8))*(INDEX(DailyScalarsTable,AG$5/100,MONTH($A84)))*$C84</f>
        <v>-10550.949816885304</v>
      </c>
      <c r="AH84" s="1021">
        <f>(VLOOKUP(YEAR($A84),'NY East Load Projections'!$A$4:$EO$14,((MONTH($A84)-1)*12)+VLOOKUP(AH$4,$DE$6:$DF$17,2)+1))*(VLOOKUP($A84,CURVES!$D$9:$T$261,8))*(INDEX(DailyScalarsTable,AH$5/100,MONTH($A84)))*$C84</f>
        <v>-9637.5901524873534</v>
      </c>
      <c r="AI84" s="1021">
        <f>(VLOOKUP(YEAR($A84),'NY East Load Projections'!$A$4:$EO$14,((MONTH($A84)-1)*12)+VLOOKUP(AI$4,$DE$6:$DF$17,2)+1))*(VLOOKUP($A84,CURVES!$D$9:$T$261,8))*(INDEX(DailyScalarsTable,AI$5/100,MONTH($A84)))*$C84</f>
        <v>-9182.9674366496383</v>
      </c>
      <c r="AJ84" s="1021">
        <f>(VLOOKUP(YEAR($A84),'NY East Load Projections'!$A$4:$EO$14,((MONTH($A84)-1)*12)+VLOOKUP(AJ$4,$DE$6:$DF$17,2)+1))*(VLOOKUP($A84,CURVES!$D$9:$T$261,8))*(INDEX(DailyScalarsTable,AJ$5/100,MONTH($A84)))*$C84</f>
        <v>-8269.6077722516875</v>
      </c>
      <c r="AK84" s="1021">
        <f>(VLOOKUP(YEAR($A84),'NY East Load Projections'!$A$4:$EO$14,((MONTH($A84)-1)*12)+VLOOKUP(AK$4,$DE$6:$DF$17,2)+1))*(VLOOKUP($A84,CURVES!$D$9:$T$261,8))*(INDEX(DailyScalarsTable,AK$5/100,MONTH($A84)))*$C84</f>
        <v>-7966.5062785997388</v>
      </c>
      <c r="AL84" s="1021">
        <f>(VLOOKUP(YEAR($A84),'NY East Load Projections'!$A$4:$EO$14,((MONTH($A84)-1)*12)+VLOOKUP(AL$4,$DE$6:$DF$17,2)+1))*(VLOOKUP($A84,CURVES!$D$9:$T$261,8))*(INDEX(DailyScalarsTable,AL$5/100,MONTH($A84)))*$C84</f>
        <v>-8782.7808999132849</v>
      </c>
      <c r="AM84" s="1021">
        <f>(VLOOKUP(YEAR($A84),'NY East Load Projections'!$A$4:$EO$14,((MONTH($A84)-1)*12)+VLOOKUP(AM$4,$DE$6:$DF$17,2)+1))*(VLOOKUP($A84,CURVES!$D$9:$T$261,8))*(INDEX(DailyScalarsTable,AM$5/100,MONTH($A84)))*$C84</f>
        <v>-9753.542278201774</v>
      </c>
      <c r="AN84" s="1021">
        <f>(VLOOKUP(YEAR($A84),'NY East Load Projections'!$A$4:$EO$14,((MONTH($A84)-1)*12)+VLOOKUP(AN$4,$DE$6:$DF$17,2)+1))*(VLOOKUP($A84,SatSunCurve,4))*(INDEX(DailyScalarsTable,AN$5/100,MONTH($A84)))*$C84</f>
        <v>-9289.1393463787826</v>
      </c>
      <c r="AO84" s="1021">
        <f>(VLOOKUP(YEAR($A84),'NY East Load Projections'!$A$4:$EO$14,((MONTH($A84)-1)*12)+VLOOKUP(AO$4,$DE$6:$DF$17,2)+1))*(VLOOKUP($A84,SatSunCurve,4))*(INDEX(DailyScalarsTable,AO$5/100,MONTH($A84)))*$C84</f>
        <v>-11109.001403387671</v>
      </c>
      <c r="AP84" s="1021">
        <f>(VLOOKUP(YEAR($A84),'NY East Load Projections'!$A$4:$EO$14,((MONTH($A84)-1)*12)+VLOOKUP(AP$4,$DE$6:$DF$17,2)+1))*(VLOOKUP($A84,SatSunCurve,4))*(INDEX(DailyScalarsTable,AP$5/100,MONTH($A84)))*$C84</f>
        <v>-13300.520016617444</v>
      </c>
      <c r="AQ84" s="1021">
        <f>(VLOOKUP(YEAR($A84),'NY East Load Projections'!$A$4:$EO$14,((MONTH($A84)-1)*12)+VLOOKUP(AQ$4,$DE$6:$DF$17,2)+1))*(VLOOKUP($A84,SatSunCurve,4))*(INDEX(DailyScalarsTable,AQ$5/100,MONTH($A84)))*$C84</f>
        <v>-15134.590081108172</v>
      </c>
      <c r="AR84" s="1021">
        <f>(VLOOKUP(YEAR($A84),'NY East Load Projections'!$A$4:$EO$14,((MONTH($A84)-1)*12)+VLOOKUP(AR$4,$DE$6:$DF$17,2)+1))*(VLOOKUP($A84,SatSunCurve,4))*(INDEX(DailyScalarsTable,AR$5/100,MONTH($A84)))*$C84</f>
        <v>-18094.076755384282</v>
      </c>
      <c r="AS84" s="1021">
        <f>(VLOOKUP(YEAR($A84),'NY East Load Projections'!$A$4:$EO$14,((MONTH($A84)-1)*12)+VLOOKUP(AS$4,$DE$6:$DF$17,2)+1))*(VLOOKUP($A84,SatSunCurve,4))*(INDEX(DailyScalarsTable,AS$5/100,MONTH($A84)))*$C84</f>
        <v>-20507.404096755297</v>
      </c>
      <c r="AT84" s="1021">
        <f>(VLOOKUP(YEAR($A84),'NY East Load Projections'!$A$4:$EO$14,((MONTH($A84)-1)*12)+VLOOKUP(AT$4,$DE$6:$DF$17,2)+1))*(VLOOKUP($A84,SatSunCurve,4))*(INDEX(DailyScalarsTable,AT$5/100,MONTH($A84)))*$C84</f>
        <v>-21197.618855803885</v>
      </c>
      <c r="AU84" s="1021">
        <f>(VLOOKUP(YEAR($A84),'NY East Load Projections'!$A$4:$EO$14,((MONTH($A84)-1)*12)+VLOOKUP(AU$4,$DE$6:$DF$17,2)+1))*(VLOOKUP($A84,SatSunCurve,4))*(INDEX(DailyScalarsTable,AU$5/100,MONTH($A84)))*$C84</f>
        <v>-22080.451687145101</v>
      </c>
      <c r="AV84" s="1021">
        <f>(VLOOKUP(YEAR($A84),'NY East Load Projections'!$A$4:$EO$14,((MONTH($A84)-1)*12)+VLOOKUP(AV$4,$DE$6:$DF$17,2)+1))*(VLOOKUP($A84,SatSunCurve,4))*(INDEX(DailyScalarsTable,AV$5/100,MONTH($A84)))*$C84</f>
        <v>-23433.593645000827</v>
      </c>
      <c r="AW84" s="1021">
        <f>(VLOOKUP(YEAR($A84),'NY East Load Projections'!$A$4:$EO$14,((MONTH($A84)-1)*12)+VLOOKUP(AW$4,$DE$6:$DF$17,2)+1))*(VLOOKUP($A84,SatSunCurve,4))*(INDEX(DailyScalarsTable,AW$5/100,MONTH($A84)))*$C84</f>
        <v>-22993.885593765983</v>
      </c>
      <c r="AX84" s="1021">
        <f>(VLOOKUP(YEAR($A84),'NY East Load Projections'!$A$4:$EO$14,((MONTH($A84)-1)*12)+VLOOKUP(AX$4,$DE$6:$DF$17,2)+1))*(VLOOKUP($A84,SatSunCurve,4))*(INDEX(DailyScalarsTable,AX$5/100,MONTH($A84)))*$C84</f>
        <v>-22424.095533723026</v>
      </c>
      <c r="AY84" s="1021">
        <f>(VLOOKUP(YEAR($A84),'NY East Load Projections'!$A$4:$EO$14,((MONTH($A84)-1)*12)+VLOOKUP(AY$4,$DE$6:$DF$17,2)+1))*(VLOOKUP($A84,SatSunCurve,4))*(INDEX(DailyScalarsTable,AY$5/100,MONTH($A84)))*$C84</f>
        <v>-18728.952949216811</v>
      </c>
      <c r="AZ84" s="1021">
        <f>(VLOOKUP(YEAR($A84),'NY East Load Projections'!$A$4:$EO$14,((MONTH($A84)-1)*12)+VLOOKUP(AZ$4,$DE$6:$DF$17,2)+1))*(VLOOKUP($A84,SatSunCurve,4))*(INDEX(DailyScalarsTable,AZ$5/100,MONTH($A84)))*$C84</f>
        <v>-13858.714875028521</v>
      </c>
      <c r="BA84" s="1021">
        <f>(VLOOKUP(YEAR($A84),'NY East Load Projections'!$A$4:$EO$14,((MONTH($A84)-1)*12)+VLOOKUP(BA$4,$DE$6:$DF$17,2)+1))*(VLOOKUP($A84,SatSunCurve,4))*(INDEX(DailyScalarsTable,BA$5/100,MONTH($A84)))*$C84</f>
        <v>-14567.893240339041</v>
      </c>
      <c r="BB84" s="1021">
        <f>(VLOOKUP(YEAR($A84),'NY East Load Projections'!$A$4:$EO$14,((MONTH($A84)-1)*12)+VLOOKUP(BB$4,$DE$6:$DF$17,2)+1))*(VLOOKUP($A84,SatSunCurve,4))*(INDEX(DailyScalarsTable,BB$5/100,MONTH($A84)))*$C84</f>
        <v>-15436.654477196171</v>
      </c>
      <c r="BC84" s="1021">
        <f>(VLOOKUP(YEAR($A84),'NY East Load Projections'!$A$4:$EO$14,((MONTH($A84)-1)*12)+VLOOKUP(BC$4,$DE$6:$DF$17,2)+1))*(VLOOKUP($A84,SatSunCurve,4))*(INDEX(DailyScalarsTable,BC$5/100,MONTH($A84)))*$C84</f>
        <v>-10720.102762231962</v>
      </c>
      <c r="BD84" s="1021">
        <f>(VLOOKUP(YEAR($A84),'NY East Load Projections'!$A$4:$EO$14,((MONTH($A84)-1)*12)+VLOOKUP(BD$4,$DE$6:$DF$17,2)+1))*(VLOOKUP($A84,CURVES!$D$9:$T$261,8))*(INDEX(DailyScalarsTable,BD$5/100,MONTH($A84)))*$C84</f>
        <v>-12340.716813512312</v>
      </c>
      <c r="BE84" s="1021"/>
      <c r="BF84" s="1021">
        <f>(VLOOKUP(YEAR($A84),'NY East Load Projections'!$A$4:$EO$14,((MONTH($A84)-1)*12)+VLOOKUP(BF$4,$DE$6:$DF$17,2)+1))*(VLOOKUP($A84,CURVES!$D$9:$T$261,8))*(INDEX(DailyScalarsTable,BF$5/100,MONTH($A84)))*$D84</f>
        <v>-13188.68727110663</v>
      </c>
      <c r="BG84" s="1021">
        <f>(VLOOKUP(YEAR($A84),'NY East Load Projections'!$A$4:$EO$14,((MONTH($A84)-1)*12)+VLOOKUP(BG$4,$DE$6:$DF$17,2)+1))*(VLOOKUP($A84,CURVES!$D$9:$T$261,8))*(INDEX(DailyScalarsTable,BG$5/100,MONTH($A84)))*$D84</f>
        <v>-12046.987690609192</v>
      </c>
      <c r="BH84" s="1021">
        <f>(VLOOKUP(YEAR($A84),'NY East Load Projections'!$A$4:$EO$14,((MONTH($A84)-1)*12)+VLOOKUP(BH$4,$DE$6:$DF$17,2)+1))*(VLOOKUP($A84,CURVES!$D$9:$T$261,8))*(INDEX(DailyScalarsTable,BH$5/100,MONTH($A84)))*$D84</f>
        <v>-11478.709295812048</v>
      </c>
      <c r="BI84" s="1021">
        <f>(VLOOKUP(YEAR($A84),'NY East Load Projections'!$A$4:$EO$14,((MONTH($A84)-1)*12)+VLOOKUP(BI$4,$DE$6:$DF$17,2)+1))*(VLOOKUP($A84,CURVES!$D$9:$T$261,8))*(INDEX(DailyScalarsTable,BI$5/100,MONTH($A84)))*$D84</f>
        <v>-10337.009715314609</v>
      </c>
      <c r="BJ84" s="1021">
        <f>(VLOOKUP(YEAR($A84),'NY East Load Projections'!$A$4:$EO$14,((MONTH($A84)-1)*12)+VLOOKUP(BJ$4,$DE$6:$DF$17,2)+1))*(VLOOKUP($A84,CURVES!$D$9:$T$261,8))*(INDEX(DailyScalarsTable,BJ$5/100,MONTH($A84)))*$D84</f>
        <v>-9958.1328482496738</v>
      </c>
      <c r="BK84" s="1021">
        <f>(VLOOKUP(YEAR($A84),'NY East Load Projections'!$A$4:$EO$14,((MONTH($A84)-1)*12)+VLOOKUP(BK$4,$DE$6:$DF$17,2)+1))*(VLOOKUP($A84,CURVES!$D$9:$T$261,8))*(INDEX(DailyScalarsTable,BK$5/100,MONTH($A84)))*$D84</f>
        <v>-10978.476124891606</v>
      </c>
      <c r="BL84" s="1021">
        <f>(VLOOKUP(YEAR($A84),'NY East Load Projections'!$A$4:$EO$14,((MONTH($A84)-1)*12)+VLOOKUP(BL$4,$DE$6:$DF$17,2)+1))*(VLOOKUP($A84,CURVES!$D$9:$T$261,8))*(INDEX(DailyScalarsTable,BL$5/100,MONTH($A84)))*$D84</f>
        <v>-12191.927847752217</v>
      </c>
      <c r="BM84" s="1021">
        <f>(VLOOKUP(YEAR($A84),'NY East Load Projections'!$A$4:$EO$14,((MONTH($A84)-1)*12)+VLOOKUP(BM$4,$DE$6:$DF$17,2)+1))*(VLOOKUP($A84,SatSunCurve,8))*(INDEX(DailyScalarsTable,BM$5/100,MONTH($A84)))*$D84</f>
        <v>-8705.669288919873</v>
      </c>
      <c r="BN84" s="1021">
        <f>(VLOOKUP(YEAR($A84),'NY East Load Projections'!$A$4:$EO$14,((MONTH($A84)-1)*12)+VLOOKUP(BN$4,$DE$6:$DF$17,2)+1))*(VLOOKUP($A84,SatSunCurve,8))*(INDEX(DailyScalarsTable,BN$5/100,MONTH($A84)))*$D84</f>
        <v>-10411.222045639901</v>
      </c>
      <c r="BO84" s="1021">
        <f>(VLOOKUP(YEAR($A84),'NY East Load Projections'!$A$4:$EO$14,((MONTH($A84)-1)*12)+VLOOKUP(BO$4,$DE$6:$DF$17,2)+1))*(VLOOKUP($A84,SatSunCurve,8))*(INDEX(DailyScalarsTable,BO$5/100,MONTH($A84)))*$D84</f>
        <v>-12465.086841491866</v>
      </c>
      <c r="BP84" s="1021">
        <f>(VLOOKUP(YEAR($A84),'NY East Load Projections'!$A$4:$EO$14,((MONTH($A84)-1)*12)+VLOOKUP(BP$4,$DE$6:$DF$17,2)+1))*(VLOOKUP($A84,SatSunCurve,8))*(INDEX(DailyScalarsTable,BP$5/100,MONTH($A84)))*$D84</f>
        <v>-14183.955171353729</v>
      </c>
      <c r="BQ84" s="1021">
        <f>(VLOOKUP(YEAR($A84),'NY East Load Projections'!$A$4:$EO$14,((MONTH($A84)-1)*12)+VLOOKUP(BQ$4,$DE$6:$DF$17,2)+1))*(VLOOKUP($A84,SatSunCurve,8))*(INDEX(DailyScalarsTable,BQ$5/100,MONTH($A84)))*$D84</f>
        <v>-16957.550365752111</v>
      </c>
      <c r="BR84" s="1021">
        <f>(VLOOKUP(YEAR($A84),'NY East Load Projections'!$A$4:$EO$14,((MONTH($A84)-1)*12)+VLOOKUP(BR$4,$DE$6:$DF$17,2)+1))*(VLOOKUP($A84,SatSunCurve,8))*(INDEX(DailyScalarsTable,BR$5/100,MONTH($A84)))*$D84</f>
        <v>-19219.291624706802</v>
      </c>
      <c r="BS84" s="1021">
        <f>(VLOOKUP(YEAR($A84),'NY East Load Projections'!$A$4:$EO$14,((MONTH($A84)-1)*12)+VLOOKUP(BS$4,$DE$6:$DF$17,2)+1))*(VLOOKUP($A84,SatSunCurve,8))*(INDEX(DailyScalarsTable,BS$5/100,MONTH($A84)))*$D84</f>
        <v>-19866.152566991077</v>
      </c>
      <c r="BT84" s="1021">
        <f>(VLOOKUP(YEAR($A84),'NY East Load Projections'!$A$4:$EO$14,((MONTH($A84)-1)*12)+VLOOKUP(BT$4,$DE$6:$DF$17,2)+1))*(VLOOKUP($A84,SatSunCurve,8))*(INDEX(DailyScalarsTable,BT$5/100,MONTH($A84)))*$D84</f>
        <v>-20693.532842005847</v>
      </c>
      <c r="BU84" s="1021">
        <f>(VLOOKUP(YEAR($A84),'NY East Load Projections'!$A$4:$EO$14,((MONTH($A84)-1)*12)+VLOOKUP(BU$4,$DE$6:$DF$17,2)+1))*(VLOOKUP($A84,SatSunCurve,8))*(INDEX(DailyScalarsTable,BU$5/100,MONTH($A84)))*$D84</f>
        <v>-21961.681154437589</v>
      </c>
      <c r="BV84" s="1021">
        <f>(VLOOKUP(YEAR($A84),'NY East Load Projections'!$A$4:$EO$14,((MONTH($A84)-1)*12)+VLOOKUP(BV$4,$DE$6:$DF$17,2)+1))*(VLOOKUP($A84,SatSunCurve,8))*(INDEX(DailyScalarsTable,BV$5/100,MONTH($A84)))*$D84</f>
        <v>-21549.592075461907</v>
      </c>
      <c r="BW84" s="1021">
        <f>(VLOOKUP(YEAR($A84),'NY East Load Projections'!$A$4:$EO$14,((MONTH($A84)-1)*12)+VLOOKUP(BW$4,$DE$6:$DF$17,2)+1))*(VLOOKUP($A84,SatSunCurve,8))*(INDEX(DailyScalarsTable,BW$5/100,MONTH($A84)))*$D84</f>
        <v>-21015.591707733383</v>
      </c>
      <c r="BX84" s="1021">
        <f>(VLOOKUP(YEAR($A84),'NY East Load Projections'!$A$4:$EO$14,((MONTH($A84)-1)*12)+VLOOKUP(BX$4,$DE$6:$DF$17,2)+1))*(VLOOKUP($A84,SatSunCurve,8))*(INDEX(DailyScalarsTable,BX$5/100,MONTH($A84)))*$D84</f>
        <v>-17552.548672572524</v>
      </c>
      <c r="BY84" s="1021">
        <f>(VLOOKUP(YEAR($A84),'NY East Load Projections'!$A$4:$EO$14,((MONTH($A84)-1)*12)+VLOOKUP(BY$4,$DE$6:$DF$17,2)+1))*(VLOOKUP($A84,SatSunCurve,8))*(INDEX(DailyScalarsTable,BY$5/100,MONTH($A84)))*$D84</f>
        <v>-12988.220326188344</v>
      </c>
      <c r="BZ84" s="1021">
        <f>(VLOOKUP(YEAR($A84),'NY East Load Projections'!$A$4:$EO$14,((MONTH($A84)-1)*12)+VLOOKUP(BZ$4,$DE$6:$DF$17,2)+1))*(VLOOKUP($A84,SatSunCurve,8))*(INDEX(DailyScalarsTable,BZ$5/100,MONTH($A84)))*$D84</f>
        <v>-13652.85373139794</v>
      </c>
      <c r="CA84" s="1021">
        <f>(VLOOKUP(YEAR($A84),'NY East Load Projections'!$A$4:$EO$14,((MONTH($A84)-1)*12)+VLOOKUP(CA$4,$DE$6:$DF$17,2)+1))*(VLOOKUP($A84,SatSunCurve,8))*(INDEX(DailyScalarsTable,CA$5/100,MONTH($A84)))*$D84</f>
        <v>-14467.046277886064</v>
      </c>
      <c r="CB84" s="1021">
        <f>(VLOOKUP(YEAR($A84),'NY East Load Projections'!$A$4:$EO$14,((MONTH($A84)-1)*12)+VLOOKUP(CB$4,$DE$6:$DF$17,2)+1))*(VLOOKUP($A84,SatSunCurve,8))*(INDEX(DailyScalarsTable,CB$5/100,MONTH($A84)))*$D84</f>
        <v>-10046.750932594134</v>
      </c>
      <c r="CC84" s="1021">
        <f>(VLOOKUP(YEAR($A84),'NY East Load Projections'!$A$4:$EO$14,((MONTH($A84)-1)*12)+VLOOKUP(CC$4,$DE$6:$DF$17,2)+1))*(VLOOKUP($A84,CURVES!$D$9:$T$261,8))*(INDEX(DailyScalarsTable,CC$5/100,MONTH($A84)))*$D84</f>
        <v>-15425.89601689039</v>
      </c>
      <c r="CE84" s="1021">
        <f>(VLOOKUP(YEAR($A84),'NY East Load Projections'!$A$4:$EO$14,((MONTH($A84)-1)*12)+VLOOKUP(CE$4,$DE$6:$DF$17,2)+1))*(VLOOKUP($A84,CURVES!$D$9:$T$261,8))*(INDEX(DailyScalarsTable,CE$5/100,MONTH($A84)))*$E84</f>
        <v>-2637.7374542213261</v>
      </c>
      <c r="CF84" s="1021">
        <f>(VLOOKUP(YEAR($A84),'NY East Load Projections'!$A$4:$EO$14,((MONTH($A84)-1)*12)+VLOOKUP(CF$4,$DE$6:$DF$17,2)+1))*(VLOOKUP($A84,CURVES!$D$9:$T$261,8))*(INDEX(DailyScalarsTable,CF$5/100,MONTH($A84)))*$E84</f>
        <v>-2409.3975381218384</v>
      </c>
      <c r="CG84" s="1021">
        <f>(VLOOKUP(YEAR($A84),'NY East Load Projections'!$A$4:$EO$14,((MONTH($A84)-1)*12)+VLOOKUP(CG$4,$DE$6:$DF$17,2)+1))*(VLOOKUP($A84,CURVES!$D$9:$T$261,8))*(INDEX(DailyScalarsTable,CG$5/100,MONTH($A84)))*$E84</f>
        <v>-2295.7418591624096</v>
      </c>
      <c r="CH84" s="1021">
        <f>(VLOOKUP(YEAR($A84),'NY East Load Projections'!$A$4:$EO$14,((MONTH($A84)-1)*12)+VLOOKUP(CH$4,$DE$6:$DF$17,2)+1))*(VLOOKUP($A84,CURVES!$D$9:$T$261,8))*(INDEX(DailyScalarsTable,CH$5/100,MONTH($A84)))*$E84</f>
        <v>-2067.4019430629219</v>
      </c>
      <c r="CI84" s="1021">
        <f>(VLOOKUP(YEAR($A84),'NY East Load Projections'!$A$4:$EO$14,((MONTH($A84)-1)*12)+VLOOKUP(CI$4,$DE$6:$DF$17,2)+1))*(VLOOKUP($A84,CURVES!$D$9:$T$261,8))*(INDEX(DailyScalarsTable,CI$5/100,MONTH($A84)))*$E84</f>
        <v>-1991.6265696499347</v>
      </c>
      <c r="CJ84" s="1021">
        <f>(VLOOKUP(YEAR($A84),'NY East Load Projections'!$A$4:$EO$14,((MONTH($A84)-1)*12)+VLOOKUP(CJ$4,$DE$6:$DF$17,2)+1))*(VLOOKUP($A84,CURVES!$D$9:$T$261,8))*(INDEX(DailyScalarsTable,CJ$5/100,MONTH($A84)))*$E84</f>
        <v>-2195.6952249783212</v>
      </c>
      <c r="CK84" s="1021">
        <f>(VLOOKUP(YEAR($A84),'NY East Load Projections'!$A$4:$EO$14,((MONTH($A84)-1)*12)+VLOOKUP(CK$4,$DE$6:$DF$17,2)+1))*(VLOOKUP($A84,CURVES!$D$9:$T$261,8))*(INDEX(DailyScalarsTable,CK$5/100,MONTH($A84)))*$E84</f>
        <v>-2438.3855695504435</v>
      </c>
      <c r="CL84" s="1021">
        <f>(VLOOKUP(YEAR($A84),'NY East Load Projections'!$A$4:$EO$14,((MONTH($A84)-1)*12)+VLOOKUP(CL$4,$DE$6:$DF$17,2)+1))*(VLOOKUP($A84,SatSunCurve,8))*(INDEX(DailyScalarsTable,CL$5/100,MONTH($A84)))*$E84</f>
        <v>-1741.1338577839745</v>
      </c>
      <c r="CM84" s="1021">
        <f>(VLOOKUP(YEAR($A84),'NY East Load Projections'!$A$4:$EO$14,((MONTH($A84)-1)*12)+VLOOKUP(CM$4,$DE$6:$DF$17,2)+1))*(VLOOKUP($A84,SatSunCurve,8))*(INDEX(DailyScalarsTable,CM$5/100,MONTH($A84)))*$E84</f>
        <v>-2082.2444091279804</v>
      </c>
      <c r="CN84" s="1021">
        <f>(VLOOKUP(YEAR($A84),'NY East Load Projections'!$A$4:$EO$14,((MONTH($A84)-1)*12)+VLOOKUP(CN$4,$DE$6:$DF$17,2)+1))*(VLOOKUP($A84,SatSunCurve,8))*(INDEX(DailyScalarsTable,CN$5/100,MONTH($A84)))*$E84</f>
        <v>-2493.0173682983732</v>
      </c>
      <c r="CO84" s="1021">
        <f>(VLOOKUP(YEAR($A84),'NY East Load Projections'!$A$4:$EO$14,((MONTH($A84)-1)*12)+VLOOKUP(CO$4,$DE$6:$DF$17,2)+1))*(VLOOKUP($A84,SatSunCurve,8))*(INDEX(DailyScalarsTable,CO$5/100,MONTH($A84)))*$E84</f>
        <v>-2836.791034270746</v>
      </c>
      <c r="CP84" s="1021">
        <f>(VLOOKUP(YEAR($A84),'NY East Load Projections'!$A$4:$EO$14,((MONTH($A84)-1)*12)+VLOOKUP(CP$4,$DE$6:$DF$17,2)+1))*(VLOOKUP($A84,SatSunCurve,8))*(INDEX(DailyScalarsTable,CP$5/100,MONTH($A84)))*$E84</f>
        <v>-3391.5100731504226</v>
      </c>
      <c r="CQ84" s="1021">
        <f>(VLOOKUP(YEAR($A84),'NY East Load Projections'!$A$4:$EO$14,((MONTH($A84)-1)*12)+VLOOKUP(CQ$4,$DE$6:$DF$17,2)+1))*(VLOOKUP($A84,SatSunCurve,8))*(INDEX(DailyScalarsTable,CQ$5/100,MONTH($A84)))*$E84</f>
        <v>-3843.8583249413605</v>
      </c>
      <c r="CR84" s="1021">
        <f>(VLOOKUP(YEAR($A84),'NY East Load Projections'!$A$4:$EO$14,((MONTH($A84)-1)*12)+VLOOKUP(CR$4,$DE$6:$DF$17,2)+1))*(VLOOKUP($A84,SatSunCurve,8))*(INDEX(DailyScalarsTable,CR$5/100,MONTH($A84)))*$E84</f>
        <v>-3973.2305133982154</v>
      </c>
      <c r="CS84" s="1021">
        <f>(VLOOKUP(YEAR($A84),'NY East Load Projections'!$A$4:$EO$14,((MONTH($A84)-1)*12)+VLOOKUP(CS$4,$DE$6:$DF$17,2)+1))*(VLOOKUP($A84,SatSunCurve,8))*(INDEX(DailyScalarsTable,CS$5/100,MONTH($A84)))*$E84</f>
        <v>-4138.7065684011695</v>
      </c>
      <c r="CT84" s="1021">
        <f>(VLOOKUP(YEAR($A84),'NY East Load Projections'!$A$4:$EO$14,((MONTH($A84)-1)*12)+VLOOKUP(CT$4,$DE$6:$DF$17,2)+1))*(VLOOKUP($A84,SatSunCurve,8))*(INDEX(DailyScalarsTable,CT$5/100,MONTH($A84)))*$E84</f>
        <v>-4392.3362308875176</v>
      </c>
      <c r="CU84" s="1021">
        <f>(VLOOKUP(YEAR($A84),'NY East Load Projections'!$A$4:$EO$14,((MONTH($A84)-1)*12)+VLOOKUP(CU$4,$DE$6:$DF$17,2)+1))*(VLOOKUP($A84,SatSunCurve,8))*(INDEX(DailyScalarsTable,CU$5/100,MONTH($A84)))*$E84</f>
        <v>-4309.9184150923811</v>
      </c>
      <c r="CV84" s="1021">
        <f>(VLOOKUP(YEAR($A84),'NY East Load Projections'!$A$4:$EO$14,((MONTH($A84)-1)*12)+VLOOKUP(CV$4,$DE$6:$DF$17,2)+1))*(VLOOKUP($A84,SatSunCurve,8))*(INDEX(DailyScalarsTable,CV$5/100,MONTH($A84)))*$E84</f>
        <v>-4203.1183415466767</v>
      </c>
      <c r="CW84" s="1021">
        <f>(VLOOKUP(YEAR($A84),'NY East Load Projections'!$A$4:$EO$14,((MONTH($A84)-1)*12)+VLOOKUP(CW$4,$DE$6:$DF$17,2)+1))*(VLOOKUP($A84,SatSunCurve,8))*(INDEX(DailyScalarsTable,CW$5/100,MONTH($A84)))*$E84</f>
        <v>-3510.5097345145045</v>
      </c>
      <c r="CX84" s="1021">
        <f>(VLOOKUP(YEAR($A84),'NY East Load Projections'!$A$4:$EO$14,((MONTH($A84)-1)*12)+VLOOKUP(CX$4,$DE$6:$DF$17,2)+1))*(VLOOKUP($A84,SatSunCurve,8))*(INDEX(DailyScalarsTable,CX$5/100,MONTH($A84)))*$E84</f>
        <v>-2597.6440652376687</v>
      </c>
      <c r="CY84" s="1021">
        <f>(VLOOKUP(YEAR($A84),'NY East Load Projections'!$A$4:$EO$14,((MONTH($A84)-1)*12)+VLOOKUP(CY$4,$DE$6:$DF$17,2)+1))*(VLOOKUP($A84,SatSunCurve,8))*(INDEX(DailyScalarsTable,CY$5/100,MONTH($A84)))*$E84</f>
        <v>-2730.5707462795881</v>
      </c>
      <c r="CZ84" s="1021">
        <f>(VLOOKUP(YEAR($A84),'NY East Load Projections'!$A$4:$EO$14,((MONTH($A84)-1)*12)+VLOOKUP(CZ$4,$DE$6:$DF$17,2)+1))*(VLOOKUP($A84,SatSunCurve,8))*(INDEX(DailyScalarsTable,CZ$5/100,MONTH($A84)))*$E84</f>
        <v>-2893.4092555772127</v>
      </c>
      <c r="DA84" s="1021">
        <f>(VLOOKUP(YEAR($A84),'NY East Load Projections'!$A$4:$EO$14,((MONTH($A84)-1)*12)+VLOOKUP(DA$4,$DE$6:$DF$17,2)+1))*(VLOOKUP($A84,SatSunCurve,8))*(INDEX(DailyScalarsTable,DA$5/100,MONTH($A84)))*$E84</f>
        <v>-2009.3501865188266</v>
      </c>
      <c r="DB84" s="1021">
        <f>(VLOOKUP(YEAR($A84),'NY East Load Projections'!$A$4:$EO$14,((MONTH($A84)-1)*12)+VLOOKUP(DB$4,$DE$6:$DF$17,2)+1))*(VLOOKUP($A84,CURVES!$D$9:$T$261,8))*(INDEX(DailyScalarsTable,DB$5/100,MONTH($A84)))*$E84</f>
        <v>-3085.179203378078</v>
      </c>
      <c r="DH84" s="1021">
        <f t="shared" si="2"/>
        <v>-3904172.6075143707</v>
      </c>
      <c r="DI84">
        <f ca="1">CALC!J104</f>
        <v>0.58244205146161265</v>
      </c>
      <c r="DJ84" s="1029">
        <f t="shared" ca="1" si="3"/>
        <v>-2273954.3027809034</v>
      </c>
    </row>
    <row r="85" spans="1:114" x14ac:dyDescent="0.25">
      <c r="A85" s="244">
        <v>39295</v>
      </c>
      <c r="B85" s="13">
        <v>23</v>
      </c>
      <c r="C85" s="210">
        <v>4</v>
      </c>
      <c r="D85" s="210">
        <v>4</v>
      </c>
      <c r="E85" s="210">
        <v>0</v>
      </c>
      <c r="F85" s="13">
        <v>31</v>
      </c>
      <c r="H85" s="1021">
        <f>(VLOOKUP(YEAR($A85),'NY East Load Projections'!$A$4:$EO$14,((MONTH($A85)-1)*12)+VLOOKUP(H$4,$DE$6:$DF$17,2)+1))*(VLOOKUP($A85,CURVES!$D$9:$K$261,8))*(INDEX(DailyScalarsTable,H$5/100,MONTH($A85)))*$B85</f>
        <v>-64157.362014923856</v>
      </c>
      <c r="I85" s="1021">
        <f>(VLOOKUP(YEAR($A85),'NY East Load Projections'!$A$4:$EO$14,((MONTH($A85)-1)*12)+VLOOKUP(I$4,$DE$6:$DF$17,2)+1))*(VLOOKUP($A85,CURVES!$D$9:$K$261,8))*(INDEX(DailyScalarsTable,I$5/100,MONTH($A85)))*$B85</f>
        <v>-57915.974433659292</v>
      </c>
      <c r="J85" s="1021">
        <f>(VLOOKUP(YEAR($A85),'NY East Load Projections'!$A$4:$EO$14,((MONTH($A85)-1)*12)+VLOOKUP(J$4,$DE$6:$DF$17,2)+1))*(VLOOKUP($A85,CURVES!$D$9:$K$261,8))*(INDEX(DailyScalarsTable,J$5/100,MONTH($A85)))*$B85</f>
        <v>-52011.563177204793</v>
      </c>
      <c r="K85" s="1021">
        <f>(VLOOKUP(YEAR($A85),'NY East Load Projections'!$A$4:$EO$14,((MONTH($A85)-1)*12)+VLOOKUP(K$4,$DE$6:$DF$17,2)+1))*(VLOOKUP($A85,CURVES!$D$9:$K$261,8))*(INDEX(DailyScalarsTable,K$5/100,MONTH($A85)))*$B85</f>
        <v>-48934.822820243367</v>
      </c>
      <c r="L85" s="1021">
        <f>(VLOOKUP(YEAR($A85),'NY East Load Projections'!$A$4:$EO$14,((MONTH($A85)-1)*12)+VLOOKUP(L$4,$DE$6:$DF$17,2)+1))*(VLOOKUP($A85,CURVES!$D$9:$K$261,8))*(INDEX(DailyScalarsTable,L$5/100,MONTH($A85)))*$B85</f>
        <v>-54056.588043688753</v>
      </c>
      <c r="M85" s="1021">
        <f>(VLOOKUP(YEAR($A85),'NY East Load Projections'!$A$4:$EO$14,((MONTH($A85)-1)*12)+VLOOKUP(M$4,$DE$6:$DF$17,2)+1))*(VLOOKUP($A85,CURVES!$D$9:$K$261,8))*(INDEX(DailyScalarsTable,M$5/100,MONTH($A85)))*$B85</f>
        <v>-60059.410771355397</v>
      </c>
      <c r="N85" s="1021">
        <f>(VLOOKUP(YEAR($A85),'NY East Load Projections'!$A$4:$EO$14,((MONTH($A85)-1)*12)+VLOOKUP(N$4,$DE$6:$DF$17,2)+1))*(VLOOKUP($A85,CURVES!$D$9:$K$261,8))*(INDEX(DailyScalarsTable,N$5/100,MONTH($A85)))*$B85</f>
        <v>-69882.211598446214</v>
      </c>
      <c r="O85" s="1021">
        <f>(VLOOKUP(YEAR($A85),'NY East Load Projections'!$A$4:$EO$14,((MONTH($A85)-1)*12)+VLOOKUP(O$4,$DE$6:$DF$17,2)+1))*(VLOOKUP($A85,CURVES!$D$9:$K$261,4))*(INDEX(DailyScalarsTable,O$5/100,MONTH($A85)))*$B85</f>
        <v>-110544.4403751201</v>
      </c>
      <c r="P85" s="1021">
        <f>(VLOOKUP(YEAR($A85),'NY East Load Projections'!$A$4:$EO$14,((MONTH($A85)-1)*12)+VLOOKUP(P$4,$DE$6:$DF$17,2)+1))*(VLOOKUP($A85,CURVES!$D$9:$K$261,4))*(INDEX(DailyScalarsTable,P$5/100,MONTH($A85)))*$B85</f>
        <v>-131255.57042514329</v>
      </c>
      <c r="Q85" s="1021">
        <f>(VLOOKUP(YEAR($A85),'NY East Load Projections'!$A$4:$EO$14,((MONTH($A85)-1)*12)+VLOOKUP(Q$4,$DE$6:$DF$17,2)+1))*(VLOOKUP($A85,CURVES!$D$9:$K$261,4))*(INDEX(DailyScalarsTable,Q$5/100,MONTH($A85)))*$B85</f>
        <v>-168327.19406311723</v>
      </c>
      <c r="R85" s="1021">
        <f>(VLOOKUP(YEAR($A85),'NY East Load Projections'!$A$4:$EO$14,((MONTH($A85)-1)*12)+VLOOKUP(R$4,$DE$6:$DF$17,2)+1))*(VLOOKUP($A85,CURVES!$D$9:$K$261,4))*(INDEX(DailyScalarsTable,R$5/100,MONTH($A85)))*$B85</f>
        <v>-189982.89500015145</v>
      </c>
      <c r="S85" s="1021">
        <f>(VLOOKUP(YEAR($A85),'NY East Load Projections'!$A$4:$EO$14,((MONTH($A85)-1)*12)+VLOOKUP(S$4,$DE$6:$DF$17,2)+1))*(VLOOKUP($A85,CURVES!$D$9:$K$261,4))*(INDEX(DailyScalarsTable,S$5/100,MONTH($A85)))*$B85</f>
        <v>-198033.43241064213</v>
      </c>
      <c r="T85" s="1021">
        <f>(VLOOKUP(YEAR($A85),'NY East Load Projections'!$A$4:$EO$14,((MONTH($A85)-1)*12)+VLOOKUP(T$4,$DE$6:$DF$17,2)+1))*(VLOOKUP($A85,CURVES!$D$9:$K$261,4))*(INDEX(DailyScalarsTable,T$5/100,MONTH($A85)))*$B85</f>
        <v>-201408.71151769004</v>
      </c>
      <c r="U85" s="1021">
        <f>(VLOOKUP(YEAR($A85),'NY East Load Projections'!$A$4:$EO$14,((MONTH($A85)-1)*12)+VLOOKUP(U$4,$DE$6:$DF$17,2)+1))*(VLOOKUP($A85,CURVES!$D$9:$K$261,4))*(INDEX(DailyScalarsTable,U$5/100,MONTH($A85)))*$B85</f>
        <v>-221100.55839044965</v>
      </c>
      <c r="V85" s="1021">
        <f>(VLOOKUP(YEAR($A85),'NY East Load Projections'!$A$4:$EO$14,((MONTH($A85)-1)*12)+VLOOKUP(V$4,$DE$6:$DF$17,2)+1))*(VLOOKUP($A85,CURVES!$D$9:$K$261,4))*(INDEX(DailyScalarsTable,V$5/100,MONTH($A85)))*$B85</f>
        <v>-234069.58365569389</v>
      </c>
      <c r="W85" s="1021">
        <f>(VLOOKUP(YEAR($A85),'NY East Load Projections'!$A$4:$EO$14,((MONTH($A85)-1)*12)+VLOOKUP(W$4,$DE$6:$DF$17,2)+1))*(VLOOKUP($A85,CURVES!$D$9:$K$261,4))*(INDEX(DailyScalarsTable,W$5/100,MONTH($A85)))*$B85</f>
        <v>-230808.51347294389</v>
      </c>
      <c r="X85" s="1021">
        <f>(VLOOKUP(YEAR($A85),'NY East Load Projections'!$A$4:$EO$14,((MONTH($A85)-1)*12)+VLOOKUP(X$4,$DE$6:$DF$17,2)+1))*(VLOOKUP($A85,CURVES!$D$9:$K$261,4))*(INDEX(DailyScalarsTable,X$5/100,MONTH($A85)))*$B85</f>
        <v>-217046.33658219347</v>
      </c>
      <c r="Y85" s="1021">
        <f>(VLOOKUP(YEAR($A85),'NY East Load Projections'!$A$4:$EO$14,((MONTH($A85)-1)*12)+VLOOKUP(Y$4,$DE$6:$DF$17,2)+1))*(VLOOKUP($A85,CURVES!$D$9:$K$261,4))*(INDEX(DailyScalarsTable,Y$5/100,MONTH($A85)))*$B85</f>
        <v>-200998.32526051701</v>
      </c>
      <c r="Z85" s="1021">
        <f>(VLOOKUP(YEAR($A85),'NY East Load Projections'!$A$4:$EO$14,((MONTH($A85)-1)*12)+VLOOKUP(Z$4,$DE$6:$DF$17,2)+1))*(VLOOKUP($A85,CURVES!$D$9:$K$261,4))*(INDEX(DailyScalarsTable,Z$5/100,MONTH($A85)))*$B85</f>
        <v>-163834.50956821346</v>
      </c>
      <c r="AA85" s="1021">
        <f>(VLOOKUP(YEAR($A85),'NY East Load Projections'!$A$4:$EO$14,((MONTH($A85)-1)*12)+VLOOKUP(AA$4,$DE$6:$DF$17,2)+1))*(VLOOKUP($A85,CURVES!$D$9:$K$261,4))*(INDEX(DailyScalarsTable,AA$5/100,MONTH($A85)))*$B85</f>
        <v>-149162.04207410922</v>
      </c>
      <c r="AB85" s="1021">
        <f>(VLOOKUP(YEAR($A85),'NY East Load Projections'!$A$4:$EO$14,((MONTH($A85)-1)*12)+VLOOKUP(AB$4,$DE$6:$DF$17,2)+1))*(VLOOKUP($A85,CURVES!$D$9:$K$261,4))*(INDEX(DailyScalarsTable,AB$5/100,MONTH($A85)))*$B85</f>
        <v>-171357.39139427882</v>
      </c>
      <c r="AC85" s="1021">
        <f>(VLOOKUP(YEAR($A85),'NY East Load Projections'!$A$4:$EO$14,((MONTH($A85)-1)*12)+VLOOKUP(AC$4,$DE$6:$DF$17,2)+1))*(VLOOKUP($A85,CURVES!$D$9:$K$261,4))*(INDEX(DailyScalarsTable,AC$5/100,MONTH($A85)))*$B85</f>
        <v>-145709.96904852337</v>
      </c>
      <c r="AD85" s="1021">
        <f>(VLOOKUP(YEAR($A85),'NY East Load Projections'!$A$4:$EO$14,((MONTH($A85)-1)*12)+VLOOKUP(AD$4,$DE$6:$DF$17,2)+1))*(VLOOKUP($A85,CURVES!$D$9:$K$261,4))*(INDEX(DailyScalarsTable,AD$5/100,MONTH($A85)))*$B85</f>
        <v>-117991.36311127211</v>
      </c>
      <c r="AE85" s="1021">
        <f>(VLOOKUP(YEAR($A85),'NY East Load Projections'!$A$4:$EO$14,((MONTH($A85)-1)*12)+VLOOKUP(AE$4,$DE$6:$DF$17,2)+1))*(VLOOKUP($A85,CURVES!$D$9:$K$261,8))*(INDEX(DailyScalarsTable,AE$5/100,MONTH($A85)))*$B85</f>
        <v>-77537.630847100751</v>
      </c>
      <c r="AF85" s="1021"/>
      <c r="AG85" s="1021">
        <f>(VLOOKUP(YEAR($A85),'NY East Load Projections'!$A$4:$EO$14,((MONTH($A85)-1)*12)+VLOOKUP(AG$4,$DE$6:$DF$17,2)+1))*(VLOOKUP($A85,CURVES!$D$9:$T$261,8))*(INDEX(DailyScalarsTable,AG$5/100,MONTH($A85)))*$C85</f>
        <v>-10928.650574772466</v>
      </c>
      <c r="AH85" s="1021">
        <f>(VLOOKUP(YEAR($A85),'NY East Load Projections'!$A$4:$EO$14,((MONTH($A85)-1)*12)+VLOOKUP(AH$4,$DE$6:$DF$17,2)+1))*(VLOOKUP($A85,CURVES!$D$9:$T$261,8))*(INDEX(DailyScalarsTable,AH$5/100,MONTH($A85)))*$C85</f>
        <v>-9865.4842936916102</v>
      </c>
      <c r="AI85" s="1021">
        <f>(VLOOKUP(YEAR($A85),'NY East Load Projections'!$A$4:$EO$14,((MONTH($A85)-1)*12)+VLOOKUP(AI$4,$DE$6:$DF$17,2)+1))*(VLOOKUP($A85,CURVES!$D$9:$T$261,8))*(INDEX(DailyScalarsTable,AI$5/100,MONTH($A85)))*$C85</f>
        <v>-8859.7190090071399</v>
      </c>
      <c r="AJ85" s="1021">
        <f>(VLOOKUP(YEAR($A85),'NY East Load Projections'!$A$4:$EO$14,((MONTH($A85)-1)*12)+VLOOKUP(AJ$4,$DE$6:$DF$17,2)+1))*(VLOOKUP($A85,CURVES!$D$9:$T$261,8))*(INDEX(DailyScalarsTable,AJ$5/100,MONTH($A85)))*$C85</f>
        <v>-8335.6229549531945</v>
      </c>
      <c r="AK85" s="1021">
        <f>(VLOOKUP(YEAR($A85),'NY East Load Projections'!$A$4:$EO$14,((MONTH($A85)-1)*12)+VLOOKUP(AK$4,$DE$6:$DF$17,2)+1))*(VLOOKUP($A85,CURVES!$D$9:$T$261,8))*(INDEX(DailyScalarsTable,AK$5/100,MONTH($A85)))*$C85</f>
        <v>-8797.9369892492687</v>
      </c>
      <c r="AL85" s="1021">
        <f>(VLOOKUP(YEAR($A85),'NY East Load Projections'!$A$4:$EO$14,((MONTH($A85)-1)*12)+VLOOKUP(AL$4,$DE$6:$DF$17,2)+1))*(VLOOKUP($A85,CURVES!$D$9:$T$261,8))*(INDEX(DailyScalarsTable,AL$5/100,MONTH($A85)))*$C85</f>
        <v>-9774.9216275131803</v>
      </c>
      <c r="AM85" s="1021">
        <f>(VLOOKUP(YEAR($A85),'NY East Load Projections'!$A$4:$EO$14,((MONTH($A85)-1)*12)+VLOOKUP(AM$4,$DE$6:$DF$17,2)+1))*(VLOOKUP($A85,CURVES!$D$9:$T$261,8))*(INDEX(DailyScalarsTable,AM$5/100,MONTH($A85)))*$C85</f>
        <v>-11373.623762854118</v>
      </c>
      <c r="AN85" s="1021">
        <f>(VLOOKUP(YEAR($A85),'NY East Load Projections'!$A$4:$EO$14,((MONTH($A85)-1)*12)+VLOOKUP(AN$4,$DE$6:$DF$17,2)+1))*(VLOOKUP($A85,SatSunCurve,4))*(INDEX(DailyScalarsTable,AN$5/100,MONTH($A85)))*$C85</f>
        <v>-11593.240641471555</v>
      </c>
      <c r="AO85" s="1021">
        <f>(VLOOKUP(YEAR($A85),'NY East Load Projections'!$A$4:$EO$14,((MONTH($A85)-1)*12)+VLOOKUP(AO$4,$DE$6:$DF$17,2)+1))*(VLOOKUP($A85,SatSunCurve,4))*(INDEX(DailyScalarsTable,AO$5/100,MONTH($A85)))*$C85</f>
        <v>-13830.260230810658</v>
      </c>
      <c r="AP85" s="1021">
        <f>(VLOOKUP(YEAR($A85),'NY East Load Projections'!$A$4:$EO$14,((MONTH($A85)-1)*12)+VLOOKUP(AP$4,$DE$6:$DF$17,2)+1))*(VLOOKUP($A85,SatSunCurve,4))*(INDEX(DailyScalarsTable,AP$5/100,MONTH($A85)))*$C85</f>
        <v>-17736.457891078768</v>
      </c>
      <c r="AQ85" s="1021">
        <f>(VLOOKUP(YEAR($A85),'NY East Load Projections'!$A$4:$EO$14,((MONTH($A85)-1)*12)+VLOOKUP(AQ$4,$DE$6:$DF$17,2)+1))*(VLOOKUP($A85,SatSunCurve,4))*(INDEX(DailyScalarsTable,AQ$5/100,MONTH($A85)))*$C85</f>
        <v>-20018.296128265087</v>
      </c>
      <c r="AR85" s="1021">
        <f>(VLOOKUP(YEAR($A85),'NY East Load Projections'!$A$4:$EO$14,((MONTH($A85)-1)*12)+VLOOKUP(AR$4,$DE$6:$DF$17,2)+1))*(VLOOKUP($A85,SatSunCurve,4))*(INDEX(DailyScalarsTable,AR$5/100,MONTH($A85)))*$C85</f>
        <v>-20866.572715874463</v>
      </c>
      <c r="AS85" s="1021">
        <f>(VLOOKUP(YEAR($A85),'NY East Load Projections'!$A$4:$EO$14,((MONTH($A85)-1)*12)+VLOOKUP(AS$4,$DE$6:$DF$17,2)+1))*(VLOOKUP($A85,SatSunCurve,4))*(INDEX(DailyScalarsTable,AS$5/100,MONTH($A85)))*$C85</f>
        <v>-21355.915131157519</v>
      </c>
      <c r="AT85" s="1021">
        <f>(VLOOKUP(YEAR($A85),'NY East Load Projections'!$A$4:$EO$14,((MONTH($A85)-1)*12)+VLOOKUP(AT$4,$DE$6:$DF$17,2)+1))*(VLOOKUP($A85,SatSunCurve,4))*(INDEX(DailyScalarsTable,AT$5/100,MONTH($A85)))*$C85</f>
        <v>-23443.895375018357</v>
      </c>
      <c r="AU85" s="1021">
        <f>(VLOOKUP(YEAR($A85),'NY East Load Projections'!$A$4:$EO$14,((MONTH($A85)-1)*12)+VLOOKUP(AU$4,$DE$6:$DF$17,2)+1))*(VLOOKUP($A85,SatSunCurve,4))*(INDEX(DailyScalarsTable,AU$5/100,MONTH($A85)))*$C85</f>
        <v>-24819.036503777661</v>
      </c>
      <c r="AV85" s="1021">
        <f>(VLOOKUP(YEAR($A85),'NY East Load Projections'!$A$4:$EO$14,((MONTH($A85)-1)*12)+VLOOKUP(AV$4,$DE$6:$DF$17,2)+1))*(VLOOKUP($A85,SatSunCurve,4))*(INDEX(DailyScalarsTable,AV$5/100,MONTH($A85)))*$C85</f>
        <v>-24473.256336004528</v>
      </c>
      <c r="AW85" s="1021">
        <f>(VLOOKUP(YEAR($A85),'NY East Load Projections'!$A$4:$EO$14,((MONTH($A85)-1)*12)+VLOOKUP(AW$4,$DE$6:$DF$17,2)+1))*(VLOOKUP($A85,SatSunCurve,4))*(INDEX(DailyScalarsTable,AW$5/100,MONTH($A85)))*$C85</f>
        <v>-22944.878163568974</v>
      </c>
      <c r="AX85" s="1021">
        <f>(VLOOKUP(YEAR($A85),'NY East Load Projections'!$A$4:$EO$14,((MONTH($A85)-1)*12)+VLOOKUP(AX$4,$DE$6:$DF$17,2)+1))*(VLOOKUP($A85,SatSunCurve,4))*(INDEX(DailyScalarsTable,AX$5/100,MONTH($A85)))*$C85</f>
        <v>-21248.37560866867</v>
      </c>
      <c r="AY85" s="1021">
        <f>(VLOOKUP(YEAR($A85),'NY East Load Projections'!$A$4:$EO$14,((MONTH($A85)-1)*12)+VLOOKUP(AY$4,$DE$6:$DF$17,2)+1))*(VLOOKUP($A85,SatSunCurve,4))*(INDEX(DailyScalarsTable,AY$5/100,MONTH($A85)))*$C85</f>
        <v>-17319.63284995217</v>
      </c>
      <c r="AZ85" s="1021">
        <f>(VLOOKUP(YEAR($A85),'NY East Load Projections'!$A$4:$EO$14,((MONTH($A85)-1)*12)+VLOOKUP(AZ$4,$DE$6:$DF$17,2)+1))*(VLOOKUP($A85,SatSunCurve,4))*(INDEX(DailyScalarsTable,AZ$5/100,MONTH($A85)))*$C85</f>
        <v>-15768.544799757603</v>
      </c>
      <c r="BA85" s="1021">
        <f>(VLOOKUP(YEAR($A85),'NY East Load Projections'!$A$4:$EO$14,((MONTH($A85)-1)*12)+VLOOKUP(BA$4,$DE$6:$DF$17,2)+1))*(VLOOKUP($A85,SatSunCurve,4))*(INDEX(DailyScalarsTable,BA$5/100,MONTH($A85)))*$C85</f>
        <v>-18790.425017304806</v>
      </c>
      <c r="BB85" s="1021">
        <f>(VLOOKUP(YEAR($A85),'NY East Load Projections'!$A$4:$EO$14,((MONTH($A85)-1)*12)+VLOOKUP(BB$4,$DE$6:$DF$17,2)+1))*(VLOOKUP($A85,SatSunCurve,4))*(INDEX(DailyScalarsTable,BB$5/100,MONTH($A85)))*$C85</f>
        <v>-15978.022455887454</v>
      </c>
      <c r="BC85" s="1021">
        <f>(VLOOKUP(YEAR($A85),'NY East Load Projections'!$A$4:$EO$14,((MONTH($A85)-1)*12)+VLOOKUP(BC$4,$DE$6:$DF$17,2)+1))*(VLOOKUP($A85,SatSunCurve,4))*(INDEX(DailyScalarsTable,BC$5/100,MONTH($A85)))*$C85</f>
        <v>-12938.501474561815</v>
      </c>
      <c r="BD85" s="1021">
        <f>(VLOOKUP(YEAR($A85),'NY East Load Projections'!$A$4:$EO$14,((MONTH($A85)-1)*12)+VLOOKUP(BD$4,$DE$6:$DF$17,2)+1))*(VLOOKUP($A85,CURVES!$D$9:$T$261,8))*(INDEX(DailyScalarsTable,BD$5/100,MONTH($A85)))*$C85</f>
        <v>-13195.035410148315</v>
      </c>
      <c r="BE85" s="1021"/>
      <c r="BF85" s="1021">
        <f>(VLOOKUP(YEAR($A85),'NY East Load Projections'!$A$4:$EO$14,((MONTH($A85)-1)*12)+VLOOKUP(BF$4,$DE$6:$DF$17,2)+1))*(VLOOKUP($A85,CURVES!$D$9:$T$261,8))*(INDEX(DailyScalarsTable,BF$5/100,MONTH($A85)))*$D85</f>
        <v>-10928.650574772466</v>
      </c>
      <c r="BG85" s="1021">
        <f>(VLOOKUP(YEAR($A85),'NY East Load Projections'!$A$4:$EO$14,((MONTH($A85)-1)*12)+VLOOKUP(BG$4,$DE$6:$DF$17,2)+1))*(VLOOKUP($A85,CURVES!$D$9:$T$261,8))*(INDEX(DailyScalarsTable,BG$5/100,MONTH($A85)))*$D85</f>
        <v>-9865.4842936916102</v>
      </c>
      <c r="BH85" s="1021">
        <f>(VLOOKUP(YEAR($A85),'NY East Load Projections'!$A$4:$EO$14,((MONTH($A85)-1)*12)+VLOOKUP(BH$4,$DE$6:$DF$17,2)+1))*(VLOOKUP($A85,CURVES!$D$9:$T$261,8))*(INDEX(DailyScalarsTable,BH$5/100,MONTH($A85)))*$D85</f>
        <v>-8859.7190090071399</v>
      </c>
      <c r="BI85" s="1021">
        <f>(VLOOKUP(YEAR($A85),'NY East Load Projections'!$A$4:$EO$14,((MONTH($A85)-1)*12)+VLOOKUP(BI$4,$DE$6:$DF$17,2)+1))*(VLOOKUP($A85,CURVES!$D$9:$T$261,8))*(INDEX(DailyScalarsTable,BI$5/100,MONTH($A85)))*$D85</f>
        <v>-8335.6229549531945</v>
      </c>
      <c r="BJ85" s="1021">
        <f>(VLOOKUP(YEAR($A85),'NY East Load Projections'!$A$4:$EO$14,((MONTH($A85)-1)*12)+VLOOKUP(BJ$4,$DE$6:$DF$17,2)+1))*(VLOOKUP($A85,CURVES!$D$9:$T$261,8))*(INDEX(DailyScalarsTable,BJ$5/100,MONTH($A85)))*$D85</f>
        <v>-8797.9369892492687</v>
      </c>
      <c r="BK85" s="1021">
        <f>(VLOOKUP(YEAR($A85),'NY East Load Projections'!$A$4:$EO$14,((MONTH($A85)-1)*12)+VLOOKUP(BK$4,$DE$6:$DF$17,2)+1))*(VLOOKUP($A85,CURVES!$D$9:$T$261,8))*(INDEX(DailyScalarsTable,BK$5/100,MONTH($A85)))*$D85</f>
        <v>-9774.9216275131803</v>
      </c>
      <c r="BL85" s="1021">
        <f>(VLOOKUP(YEAR($A85),'NY East Load Projections'!$A$4:$EO$14,((MONTH($A85)-1)*12)+VLOOKUP(BL$4,$DE$6:$DF$17,2)+1))*(VLOOKUP($A85,CURVES!$D$9:$T$261,8))*(INDEX(DailyScalarsTable,BL$5/100,MONTH($A85)))*$D85</f>
        <v>-11373.623762854118</v>
      </c>
      <c r="BM85" s="1021">
        <f>(VLOOKUP(YEAR($A85),'NY East Load Projections'!$A$4:$EO$14,((MONTH($A85)-1)*12)+VLOOKUP(BM$4,$DE$6:$DF$17,2)+1))*(VLOOKUP($A85,SatSunCurve,8))*(INDEX(DailyScalarsTable,BM$5/100,MONTH($A85)))*$D85</f>
        <v>-8642.245753388408</v>
      </c>
      <c r="BN85" s="1021">
        <f>(VLOOKUP(YEAR($A85),'NY East Load Projections'!$A$4:$EO$14,((MONTH($A85)-1)*12)+VLOOKUP(BN$4,$DE$6:$DF$17,2)+1))*(VLOOKUP($A85,SatSunCurve,8))*(INDEX(DailyScalarsTable,BN$5/100,MONTH($A85)))*$D85</f>
        <v>-10309.844455433342</v>
      </c>
      <c r="BO85" s="1021">
        <f>(VLOOKUP(YEAR($A85),'NY East Load Projections'!$A$4:$EO$14,((MONTH($A85)-1)*12)+VLOOKUP(BO$4,$DE$6:$DF$17,2)+1))*(VLOOKUP($A85,SatSunCurve,8))*(INDEX(DailyScalarsTable,BO$5/100,MONTH($A85)))*$D85</f>
        <v>-13221.741239546227</v>
      </c>
      <c r="BP85" s="1021">
        <f>(VLOOKUP(YEAR($A85),'NY East Load Projections'!$A$4:$EO$14,((MONTH($A85)-1)*12)+VLOOKUP(BP$4,$DE$6:$DF$17,2)+1))*(VLOOKUP($A85,SatSunCurve,8))*(INDEX(DailyScalarsTable,BP$5/100,MONTH($A85)))*$D85</f>
        <v>-14922.75025204781</v>
      </c>
      <c r="BQ85" s="1021">
        <f>(VLOOKUP(YEAR($A85),'NY East Load Projections'!$A$4:$EO$14,((MONTH($A85)-1)*12)+VLOOKUP(BQ$4,$DE$6:$DF$17,2)+1))*(VLOOKUP($A85,SatSunCurve,8))*(INDEX(DailyScalarsTable,BQ$5/100,MONTH($A85)))*$D85</f>
        <v>-15555.102755000376</v>
      </c>
      <c r="BR85" s="1021">
        <f>(VLOOKUP(YEAR($A85),'NY East Load Projections'!$A$4:$EO$14,((MONTH($A85)-1)*12)+VLOOKUP(BR$4,$DE$6:$DF$17,2)+1))*(VLOOKUP($A85,SatSunCurve,8))*(INDEX(DailyScalarsTable,BR$5/100,MONTH($A85)))*$D85</f>
        <v>-15919.885781698251</v>
      </c>
      <c r="BS85" s="1021">
        <f>(VLOOKUP(YEAR($A85),'NY East Load Projections'!$A$4:$EO$14,((MONTH($A85)-1)*12)+VLOOKUP(BS$4,$DE$6:$DF$17,2)+1))*(VLOOKUP($A85,SatSunCurve,8))*(INDEX(DailyScalarsTable,BS$5/100,MONTH($A85)))*$D85</f>
        <v>-17476.382274241922</v>
      </c>
      <c r="BT85" s="1021">
        <f>(VLOOKUP(YEAR($A85),'NY East Load Projections'!$A$4:$EO$14,((MONTH($A85)-1)*12)+VLOOKUP(BT$4,$DE$6:$DF$17,2)+1))*(VLOOKUP($A85,SatSunCurve,8))*(INDEX(DailyScalarsTable,BT$5/100,MONTH($A85)))*$D85</f>
        <v>-18501.488881433106</v>
      </c>
      <c r="BU85" s="1021">
        <f>(VLOOKUP(YEAR($A85),'NY East Load Projections'!$A$4:$EO$14,((MONTH($A85)-1)*12)+VLOOKUP(BU$4,$DE$6:$DF$17,2)+1))*(VLOOKUP($A85,SatSunCurve,8))*(INDEX(DailyScalarsTable,BU$5/100,MONTH($A85)))*$D85</f>
        <v>-18243.725131075553</v>
      </c>
      <c r="BV85" s="1021">
        <f>(VLOOKUP(YEAR($A85),'NY East Load Projections'!$A$4:$EO$14,((MONTH($A85)-1)*12)+VLOOKUP(BV$4,$DE$6:$DF$17,2)+1))*(VLOOKUP($A85,SatSunCurve,8))*(INDEX(DailyScalarsTable,BV$5/100,MONTH($A85)))*$D85</f>
        <v>-17104.387116900933</v>
      </c>
      <c r="BW85" s="1021">
        <f>(VLOOKUP(YEAR($A85),'NY East Load Projections'!$A$4:$EO$14,((MONTH($A85)-1)*12)+VLOOKUP(BW$4,$DE$6:$DF$17,2)+1))*(VLOOKUP($A85,SatSunCurve,8))*(INDEX(DailyScalarsTable,BW$5/100,MONTH($A85)))*$D85</f>
        <v>-15839.719846193897</v>
      </c>
      <c r="BX85" s="1021">
        <f>(VLOOKUP(YEAR($A85),'NY East Load Projections'!$A$4:$EO$14,((MONTH($A85)-1)*12)+VLOOKUP(BX$4,$DE$6:$DF$17,2)+1))*(VLOOKUP($A85,SatSunCurve,8))*(INDEX(DailyScalarsTable,BX$5/100,MONTH($A85)))*$D85</f>
        <v>-12911.016692977593</v>
      </c>
      <c r="BY85" s="1021">
        <f>(VLOOKUP(YEAR($A85),'NY East Load Projections'!$A$4:$EO$14,((MONTH($A85)-1)*12)+VLOOKUP(BY$4,$DE$6:$DF$17,2)+1))*(VLOOKUP($A85,SatSunCurve,8))*(INDEX(DailyScalarsTable,BY$5/100,MONTH($A85)))*$D85</f>
        <v>-11754.749474045442</v>
      </c>
      <c r="BZ85" s="1021">
        <f>(VLOOKUP(YEAR($A85),'NY East Load Projections'!$A$4:$EO$14,((MONTH($A85)-1)*12)+VLOOKUP(BZ$4,$DE$6:$DF$17,2)+1))*(VLOOKUP($A85,SatSunCurve,8))*(INDEX(DailyScalarsTable,BZ$5/100,MONTH($A85)))*$D85</f>
        <v>-14007.426899192966</v>
      </c>
      <c r="CA85" s="1021">
        <f>(VLOOKUP(YEAR($A85),'NY East Load Projections'!$A$4:$EO$14,((MONTH($A85)-1)*12)+VLOOKUP(CA$4,$DE$6:$DF$17,2)+1))*(VLOOKUP($A85,SatSunCurve,8))*(INDEX(DailyScalarsTable,CA$5/100,MONTH($A85)))*$D85</f>
        <v>-11910.905758565401</v>
      </c>
      <c r="CB85" s="1021">
        <f>(VLOOKUP(YEAR($A85),'NY East Load Projections'!$A$4:$EO$14,((MONTH($A85)-1)*12)+VLOOKUP(CB$4,$DE$6:$DF$17,2)+1))*(VLOOKUP($A85,SatSunCurve,8))*(INDEX(DailyScalarsTable,CB$5/100,MONTH($A85)))*$D85</f>
        <v>-9645.0779278871469</v>
      </c>
      <c r="CC85" s="1021">
        <f>(VLOOKUP(YEAR($A85),'NY East Load Projections'!$A$4:$EO$14,((MONTH($A85)-1)*12)+VLOOKUP(CC$4,$DE$6:$DF$17,2)+1))*(VLOOKUP($A85,CURVES!$D$9:$T$261,8))*(INDEX(DailyScalarsTable,CC$5/100,MONTH($A85)))*$D85</f>
        <v>-13195.035410148315</v>
      </c>
      <c r="CE85" s="1021">
        <f>(VLOOKUP(YEAR($A85),'NY East Load Projections'!$A$4:$EO$14,((MONTH($A85)-1)*12)+VLOOKUP(CE$4,$DE$6:$DF$17,2)+1))*(VLOOKUP($A85,CURVES!$D$9:$T$261,8))*(INDEX(DailyScalarsTable,CE$5/100,MONTH($A85)))*$E85</f>
        <v>0</v>
      </c>
      <c r="CF85" s="1021">
        <f>(VLOOKUP(YEAR($A85),'NY East Load Projections'!$A$4:$EO$14,((MONTH($A85)-1)*12)+VLOOKUP(CF$4,$DE$6:$DF$17,2)+1))*(VLOOKUP($A85,CURVES!$D$9:$T$261,8))*(INDEX(DailyScalarsTable,CF$5/100,MONTH($A85)))*$E85</f>
        <v>0</v>
      </c>
      <c r="CG85" s="1021">
        <f>(VLOOKUP(YEAR($A85),'NY East Load Projections'!$A$4:$EO$14,((MONTH($A85)-1)*12)+VLOOKUP(CG$4,$DE$6:$DF$17,2)+1))*(VLOOKUP($A85,CURVES!$D$9:$T$261,8))*(INDEX(DailyScalarsTable,CG$5/100,MONTH($A85)))*$E85</f>
        <v>0</v>
      </c>
      <c r="CH85" s="1021">
        <f>(VLOOKUP(YEAR($A85),'NY East Load Projections'!$A$4:$EO$14,((MONTH($A85)-1)*12)+VLOOKUP(CH$4,$DE$6:$DF$17,2)+1))*(VLOOKUP($A85,CURVES!$D$9:$T$261,8))*(INDEX(DailyScalarsTable,CH$5/100,MONTH($A85)))*$E85</f>
        <v>0</v>
      </c>
      <c r="CI85" s="1021">
        <f>(VLOOKUP(YEAR($A85),'NY East Load Projections'!$A$4:$EO$14,((MONTH($A85)-1)*12)+VLOOKUP(CI$4,$DE$6:$DF$17,2)+1))*(VLOOKUP($A85,CURVES!$D$9:$T$261,8))*(INDEX(DailyScalarsTable,CI$5/100,MONTH($A85)))*$E85</f>
        <v>0</v>
      </c>
      <c r="CJ85" s="1021">
        <f>(VLOOKUP(YEAR($A85),'NY East Load Projections'!$A$4:$EO$14,((MONTH($A85)-1)*12)+VLOOKUP(CJ$4,$DE$6:$DF$17,2)+1))*(VLOOKUP($A85,CURVES!$D$9:$T$261,8))*(INDEX(DailyScalarsTable,CJ$5/100,MONTH($A85)))*$E85</f>
        <v>0</v>
      </c>
      <c r="CK85" s="1021">
        <f>(VLOOKUP(YEAR($A85),'NY East Load Projections'!$A$4:$EO$14,((MONTH($A85)-1)*12)+VLOOKUP(CK$4,$DE$6:$DF$17,2)+1))*(VLOOKUP($A85,CURVES!$D$9:$T$261,8))*(INDEX(DailyScalarsTable,CK$5/100,MONTH($A85)))*$E85</f>
        <v>0</v>
      </c>
      <c r="CL85" s="1021">
        <f>(VLOOKUP(YEAR($A85),'NY East Load Projections'!$A$4:$EO$14,((MONTH($A85)-1)*12)+VLOOKUP(CL$4,$DE$6:$DF$17,2)+1))*(VLOOKUP($A85,SatSunCurve,8))*(INDEX(DailyScalarsTable,CL$5/100,MONTH($A85)))*$E85</f>
        <v>0</v>
      </c>
      <c r="CM85" s="1021">
        <f>(VLOOKUP(YEAR($A85),'NY East Load Projections'!$A$4:$EO$14,((MONTH($A85)-1)*12)+VLOOKUP(CM$4,$DE$6:$DF$17,2)+1))*(VLOOKUP($A85,SatSunCurve,8))*(INDEX(DailyScalarsTable,CM$5/100,MONTH($A85)))*$E85</f>
        <v>0</v>
      </c>
      <c r="CN85" s="1021">
        <f>(VLOOKUP(YEAR($A85),'NY East Load Projections'!$A$4:$EO$14,((MONTH($A85)-1)*12)+VLOOKUP(CN$4,$DE$6:$DF$17,2)+1))*(VLOOKUP($A85,SatSunCurve,8))*(INDEX(DailyScalarsTable,CN$5/100,MONTH($A85)))*$E85</f>
        <v>0</v>
      </c>
      <c r="CO85" s="1021">
        <f>(VLOOKUP(YEAR($A85),'NY East Load Projections'!$A$4:$EO$14,((MONTH($A85)-1)*12)+VLOOKUP(CO$4,$DE$6:$DF$17,2)+1))*(VLOOKUP($A85,SatSunCurve,8))*(INDEX(DailyScalarsTable,CO$5/100,MONTH($A85)))*$E85</f>
        <v>0</v>
      </c>
      <c r="CP85" s="1021">
        <f>(VLOOKUP(YEAR($A85),'NY East Load Projections'!$A$4:$EO$14,((MONTH($A85)-1)*12)+VLOOKUP(CP$4,$DE$6:$DF$17,2)+1))*(VLOOKUP($A85,SatSunCurve,8))*(INDEX(DailyScalarsTable,CP$5/100,MONTH($A85)))*$E85</f>
        <v>0</v>
      </c>
      <c r="CQ85" s="1021">
        <f>(VLOOKUP(YEAR($A85),'NY East Load Projections'!$A$4:$EO$14,((MONTH($A85)-1)*12)+VLOOKUP(CQ$4,$DE$6:$DF$17,2)+1))*(VLOOKUP($A85,SatSunCurve,8))*(INDEX(DailyScalarsTable,CQ$5/100,MONTH($A85)))*$E85</f>
        <v>0</v>
      </c>
      <c r="CR85" s="1021">
        <f>(VLOOKUP(YEAR($A85),'NY East Load Projections'!$A$4:$EO$14,((MONTH($A85)-1)*12)+VLOOKUP(CR$4,$DE$6:$DF$17,2)+1))*(VLOOKUP($A85,SatSunCurve,8))*(INDEX(DailyScalarsTable,CR$5/100,MONTH($A85)))*$E85</f>
        <v>0</v>
      </c>
      <c r="CS85" s="1021">
        <f>(VLOOKUP(YEAR($A85),'NY East Load Projections'!$A$4:$EO$14,((MONTH($A85)-1)*12)+VLOOKUP(CS$4,$DE$6:$DF$17,2)+1))*(VLOOKUP($A85,SatSunCurve,8))*(INDEX(DailyScalarsTable,CS$5/100,MONTH($A85)))*$E85</f>
        <v>0</v>
      </c>
      <c r="CT85" s="1021">
        <f>(VLOOKUP(YEAR($A85),'NY East Load Projections'!$A$4:$EO$14,((MONTH($A85)-1)*12)+VLOOKUP(CT$4,$DE$6:$DF$17,2)+1))*(VLOOKUP($A85,SatSunCurve,8))*(INDEX(DailyScalarsTable,CT$5/100,MONTH($A85)))*$E85</f>
        <v>0</v>
      </c>
      <c r="CU85" s="1021">
        <f>(VLOOKUP(YEAR($A85),'NY East Load Projections'!$A$4:$EO$14,((MONTH($A85)-1)*12)+VLOOKUP(CU$4,$DE$6:$DF$17,2)+1))*(VLOOKUP($A85,SatSunCurve,8))*(INDEX(DailyScalarsTable,CU$5/100,MONTH($A85)))*$E85</f>
        <v>0</v>
      </c>
      <c r="CV85" s="1021">
        <f>(VLOOKUP(YEAR($A85),'NY East Load Projections'!$A$4:$EO$14,((MONTH($A85)-1)*12)+VLOOKUP(CV$4,$DE$6:$DF$17,2)+1))*(VLOOKUP($A85,SatSunCurve,8))*(INDEX(DailyScalarsTable,CV$5/100,MONTH($A85)))*$E85</f>
        <v>0</v>
      </c>
      <c r="CW85" s="1021">
        <f>(VLOOKUP(YEAR($A85),'NY East Load Projections'!$A$4:$EO$14,((MONTH($A85)-1)*12)+VLOOKUP(CW$4,$DE$6:$DF$17,2)+1))*(VLOOKUP($A85,SatSunCurve,8))*(INDEX(DailyScalarsTable,CW$5/100,MONTH($A85)))*$E85</f>
        <v>0</v>
      </c>
      <c r="CX85" s="1021">
        <f>(VLOOKUP(YEAR($A85),'NY East Load Projections'!$A$4:$EO$14,((MONTH($A85)-1)*12)+VLOOKUP(CX$4,$DE$6:$DF$17,2)+1))*(VLOOKUP($A85,SatSunCurve,8))*(INDEX(DailyScalarsTable,CX$5/100,MONTH($A85)))*$E85</f>
        <v>0</v>
      </c>
      <c r="CY85" s="1021">
        <f>(VLOOKUP(YEAR($A85),'NY East Load Projections'!$A$4:$EO$14,((MONTH($A85)-1)*12)+VLOOKUP(CY$4,$DE$6:$DF$17,2)+1))*(VLOOKUP($A85,SatSunCurve,8))*(INDEX(DailyScalarsTable,CY$5/100,MONTH($A85)))*$E85</f>
        <v>0</v>
      </c>
      <c r="CZ85" s="1021">
        <f>(VLOOKUP(YEAR($A85),'NY East Load Projections'!$A$4:$EO$14,((MONTH($A85)-1)*12)+VLOOKUP(CZ$4,$DE$6:$DF$17,2)+1))*(VLOOKUP($A85,SatSunCurve,8))*(INDEX(DailyScalarsTable,CZ$5/100,MONTH($A85)))*$E85</f>
        <v>0</v>
      </c>
      <c r="DA85" s="1021">
        <f>(VLOOKUP(YEAR($A85),'NY East Load Projections'!$A$4:$EO$14,((MONTH($A85)-1)*12)+VLOOKUP(DA$4,$DE$6:$DF$17,2)+1))*(VLOOKUP($A85,SatSunCurve,8))*(INDEX(DailyScalarsTable,DA$5/100,MONTH($A85)))*$E85</f>
        <v>0</v>
      </c>
      <c r="DB85" s="1021">
        <f>(VLOOKUP(YEAR($A85),'NY East Load Projections'!$A$4:$EO$14,((MONTH($A85)-1)*12)+VLOOKUP(DB$4,$DE$6:$DF$17,2)+1))*(VLOOKUP($A85,CURVES!$D$9:$T$261,8))*(INDEX(DailyScalarsTable,DB$5/100,MONTH($A85)))*$E85</f>
        <v>0</v>
      </c>
      <c r="DH85" s="1021">
        <f t="shared" si="2"/>
        <v>-4027540.1508638482</v>
      </c>
      <c r="DI85">
        <f ca="1">CALC!J105</f>
        <v>0.57880972281525267</v>
      </c>
      <c r="DJ85" s="1029">
        <f t="shared" ca="1" si="3"/>
        <v>-2331179.398348805</v>
      </c>
    </row>
    <row r="86" spans="1:114" x14ac:dyDescent="0.25">
      <c r="A86" s="244">
        <v>39326</v>
      </c>
      <c r="B86" s="13">
        <v>19</v>
      </c>
      <c r="C86" s="210">
        <v>5</v>
      </c>
      <c r="D86" s="210">
        <v>5</v>
      </c>
      <c r="E86" s="210">
        <v>1</v>
      </c>
      <c r="F86" s="13">
        <v>30</v>
      </c>
      <c r="H86" s="1021">
        <f>(VLOOKUP(YEAR($A86),'NY East Load Projections'!$A$4:$EO$14,((MONTH($A86)-1)*12)+VLOOKUP(H$4,$DE$6:$DF$17,2)+1))*(VLOOKUP($A86,CURVES!$D$9:$K$261,8))*(INDEX(DailyScalarsTable,H$5/100,MONTH($A86)))*$B86</f>
        <v>-37349.652906134797</v>
      </c>
      <c r="I86" s="1021">
        <f>(VLOOKUP(YEAR($A86),'NY East Load Projections'!$A$4:$EO$14,((MONTH($A86)-1)*12)+VLOOKUP(I$4,$DE$6:$DF$17,2)+1))*(VLOOKUP($A86,CURVES!$D$9:$K$261,8))*(INDEX(DailyScalarsTable,I$5/100,MONTH($A86)))*$B86</f>
        <v>-32767.513624025803</v>
      </c>
      <c r="J86" s="1021">
        <f>(VLOOKUP(YEAR($A86),'NY East Load Projections'!$A$4:$EO$14,((MONTH($A86)-1)*12)+VLOOKUP(J$4,$DE$6:$DF$17,2)+1))*(VLOOKUP($A86,CURVES!$D$9:$K$261,8))*(INDEX(DailyScalarsTable,J$5/100,MONTH($A86)))*$B86</f>
        <v>-30727.844999484536</v>
      </c>
      <c r="K86" s="1021">
        <f>(VLOOKUP(YEAR($A86),'NY East Load Projections'!$A$4:$EO$14,((MONTH($A86)-1)*12)+VLOOKUP(K$4,$DE$6:$DF$17,2)+1))*(VLOOKUP($A86,CURVES!$D$9:$K$261,8))*(INDEX(DailyScalarsTable,K$5/100,MONTH($A86)))*$B86</f>
        <v>-31183.212878451901</v>
      </c>
      <c r="L86" s="1021">
        <f>(VLOOKUP(YEAR($A86),'NY East Load Projections'!$A$4:$EO$14,((MONTH($A86)-1)*12)+VLOOKUP(L$4,$DE$6:$DF$17,2)+1))*(VLOOKUP($A86,CURVES!$D$9:$K$261,8))*(INDEX(DailyScalarsTable,L$5/100,MONTH($A86)))*$B86</f>
        <v>-35961.285101498586</v>
      </c>
      <c r="M86" s="1021">
        <f>(VLOOKUP(YEAR($A86),'NY East Load Projections'!$A$4:$EO$14,((MONTH($A86)-1)*12)+VLOOKUP(M$4,$DE$6:$DF$17,2)+1))*(VLOOKUP($A86,CURVES!$D$9:$K$261,8))*(INDEX(DailyScalarsTable,M$5/100,MONTH($A86)))*$B86</f>
        <v>-41615.38402700892</v>
      </c>
      <c r="N86" s="1021">
        <f>(VLOOKUP(YEAR($A86),'NY East Load Projections'!$A$4:$EO$14,((MONTH($A86)-1)*12)+VLOOKUP(N$4,$DE$6:$DF$17,2)+1))*(VLOOKUP($A86,CURVES!$D$9:$K$261,8))*(INDEX(DailyScalarsTable,N$5/100,MONTH($A86)))*$B86</f>
        <v>-56591.65322397001</v>
      </c>
      <c r="O86" s="1021">
        <f>(VLOOKUP(YEAR($A86),'NY East Load Projections'!$A$4:$EO$14,((MONTH($A86)-1)*12)+VLOOKUP(O$4,$DE$6:$DF$17,2)+1))*(VLOOKUP($A86,CURVES!$D$9:$K$261,4))*(INDEX(DailyScalarsTable,O$5/100,MONTH($A86)))*$B86</f>
        <v>-51716.190032276158</v>
      </c>
      <c r="P86" s="1021">
        <f>(VLOOKUP(YEAR($A86),'NY East Load Projections'!$A$4:$EO$14,((MONTH($A86)-1)*12)+VLOOKUP(P$4,$DE$6:$DF$17,2)+1))*(VLOOKUP($A86,CURVES!$D$9:$K$261,4))*(INDEX(DailyScalarsTable,P$5/100,MONTH($A86)))*$B86</f>
        <v>-54587.292772112218</v>
      </c>
      <c r="Q86" s="1021">
        <f>(VLOOKUP(YEAR($A86),'NY East Load Projections'!$A$4:$EO$14,((MONTH($A86)-1)*12)+VLOOKUP(Q$4,$DE$6:$DF$17,2)+1))*(VLOOKUP($A86,CURVES!$D$9:$K$261,4))*(INDEX(DailyScalarsTable,Q$5/100,MONTH($A86)))*$B86</f>
        <v>-68142.032137926843</v>
      </c>
      <c r="R86" s="1021">
        <f>(VLOOKUP(YEAR($A86),'NY East Load Projections'!$A$4:$EO$14,((MONTH($A86)-1)*12)+VLOOKUP(R$4,$DE$6:$DF$17,2)+1))*(VLOOKUP($A86,CURVES!$D$9:$K$261,4))*(INDEX(DailyScalarsTable,R$5/100,MONTH($A86)))*$B86</f>
        <v>-72772.533163515691</v>
      </c>
      <c r="S86" s="1021">
        <f>(VLOOKUP(YEAR($A86),'NY East Load Projections'!$A$4:$EO$14,((MONTH($A86)-1)*12)+VLOOKUP(S$4,$DE$6:$DF$17,2)+1))*(VLOOKUP($A86,CURVES!$D$9:$K$261,4))*(INDEX(DailyScalarsTable,S$5/100,MONTH($A86)))*$B86</f>
        <v>-77539.844446678777</v>
      </c>
      <c r="T86" s="1021">
        <f>(VLOOKUP(YEAR($A86),'NY East Load Projections'!$A$4:$EO$14,((MONTH($A86)-1)*12)+VLOOKUP(T$4,$DE$6:$DF$17,2)+1))*(VLOOKUP($A86,CURVES!$D$9:$K$261,4))*(INDEX(DailyScalarsTable,T$5/100,MONTH($A86)))*$B86</f>
        <v>-75250.729607648085</v>
      </c>
      <c r="U86" s="1021">
        <f>(VLOOKUP(YEAR($A86),'NY East Load Projections'!$A$4:$EO$14,((MONTH($A86)-1)*12)+VLOOKUP(U$4,$DE$6:$DF$17,2)+1))*(VLOOKUP($A86,CURVES!$D$9:$K$261,4))*(INDEX(DailyScalarsTable,U$5/100,MONTH($A86)))*$B86</f>
        <v>-81461.318027972127</v>
      </c>
      <c r="V86" s="1021">
        <f>(VLOOKUP(YEAR($A86),'NY East Load Projections'!$A$4:$EO$14,((MONTH($A86)-1)*12)+VLOOKUP(V$4,$DE$6:$DF$17,2)+1))*(VLOOKUP($A86,CURVES!$D$9:$K$261,4))*(INDEX(DailyScalarsTable,V$5/100,MONTH($A86)))*$B86</f>
        <v>-80175.996250548589</v>
      </c>
      <c r="W86" s="1021">
        <f>(VLOOKUP(YEAR($A86),'NY East Load Projections'!$A$4:$EO$14,((MONTH($A86)-1)*12)+VLOOKUP(W$4,$DE$6:$DF$17,2)+1))*(VLOOKUP($A86,CURVES!$D$9:$K$261,4))*(INDEX(DailyScalarsTable,W$5/100,MONTH($A86)))*$B86</f>
        <v>-77670.158835739567</v>
      </c>
      <c r="X86" s="1021">
        <f>(VLOOKUP(YEAR($A86),'NY East Load Projections'!$A$4:$EO$14,((MONTH($A86)-1)*12)+VLOOKUP(X$4,$DE$6:$DF$17,2)+1))*(VLOOKUP($A86,CURVES!$D$9:$K$261,4))*(INDEX(DailyScalarsTable,X$5/100,MONTH($A86)))*$B86</f>
        <v>-80177.864290983824</v>
      </c>
      <c r="Y86" s="1021">
        <f>(VLOOKUP(YEAR($A86),'NY East Load Projections'!$A$4:$EO$14,((MONTH($A86)-1)*12)+VLOOKUP(Y$4,$DE$6:$DF$17,2)+1))*(VLOOKUP($A86,CURVES!$D$9:$K$261,4))*(INDEX(DailyScalarsTable,Y$5/100,MONTH($A86)))*$B86</f>
        <v>-78210.944443948683</v>
      </c>
      <c r="Z86" s="1021">
        <f>(VLOOKUP(YEAR($A86),'NY East Load Projections'!$A$4:$EO$14,((MONTH($A86)-1)*12)+VLOOKUP(Z$4,$DE$6:$DF$17,2)+1))*(VLOOKUP($A86,CURVES!$D$9:$K$261,4))*(INDEX(DailyScalarsTable,Z$5/100,MONTH($A86)))*$B86</f>
        <v>-64059.473755017127</v>
      </c>
      <c r="AA86" s="1021">
        <f>(VLOOKUP(YEAR($A86),'NY East Load Projections'!$A$4:$EO$14,((MONTH($A86)-1)*12)+VLOOKUP(AA$4,$DE$6:$DF$17,2)+1))*(VLOOKUP($A86,CURVES!$D$9:$K$261,4))*(INDEX(DailyScalarsTable,AA$5/100,MONTH($A86)))*$B86</f>
        <v>-83718.320015647012</v>
      </c>
      <c r="AB86" s="1021">
        <f>(VLOOKUP(YEAR($A86),'NY East Load Projections'!$A$4:$EO$14,((MONTH($A86)-1)*12)+VLOOKUP(AB$4,$DE$6:$DF$17,2)+1))*(VLOOKUP($A86,CURVES!$D$9:$K$261,4))*(INDEX(DailyScalarsTable,AB$5/100,MONTH($A86)))*$B86</f>
        <v>-76779.015185674332</v>
      </c>
      <c r="AC86" s="1021">
        <f>(VLOOKUP(YEAR($A86),'NY East Load Projections'!$A$4:$EO$14,((MONTH($A86)-1)*12)+VLOOKUP(AC$4,$DE$6:$DF$17,2)+1))*(VLOOKUP($A86,CURVES!$D$9:$K$261,4))*(INDEX(DailyScalarsTable,AC$5/100,MONTH($A86)))*$B86</f>
        <v>-58436.41994632018</v>
      </c>
      <c r="AD86" s="1021">
        <f>(VLOOKUP(YEAR($A86),'NY East Load Projections'!$A$4:$EO$14,((MONTH($A86)-1)*12)+VLOOKUP(AD$4,$DE$6:$DF$17,2)+1))*(VLOOKUP($A86,CURVES!$D$9:$K$261,4))*(INDEX(DailyScalarsTable,AD$5/100,MONTH($A86)))*$B86</f>
        <v>-46308.461697712337</v>
      </c>
      <c r="AE86" s="1021">
        <f>(VLOOKUP(YEAR($A86),'NY East Load Projections'!$A$4:$EO$14,((MONTH($A86)-1)*12)+VLOOKUP(AE$4,$DE$6:$DF$17,2)+1))*(VLOOKUP($A86,CURVES!$D$9:$K$261,8))*(INDEX(DailyScalarsTable,AE$5/100,MONTH($A86)))*$B86</f>
        <v>-43494.460660334276</v>
      </c>
      <c r="AF86" s="1021"/>
      <c r="AG86" s="1021">
        <f>(VLOOKUP(YEAR($A86),'NY East Load Projections'!$A$4:$EO$14,((MONTH($A86)-1)*12)+VLOOKUP(AG$4,$DE$6:$DF$17,2)+1))*(VLOOKUP($A86,CURVES!$D$9:$T$261,8))*(INDEX(DailyScalarsTable,AG$5/100,MONTH($A86)))*$C86</f>
        <v>-10106.146018478841</v>
      </c>
      <c r="AH86" s="1021">
        <f>(VLOOKUP(YEAR($A86),'NY East Load Projections'!$A$4:$EO$14,((MONTH($A86)-1)*12)+VLOOKUP(AH$4,$DE$6:$DF$17,2)+1))*(VLOOKUP($A86,CURVES!$D$9:$T$261,8))*(INDEX(DailyScalarsTable,AH$5/100,MONTH($A86)))*$C86</f>
        <v>-8866.3013329504465</v>
      </c>
      <c r="AI86" s="1021">
        <f>(VLOOKUP(YEAR($A86),'NY East Load Projections'!$A$4:$EO$14,((MONTH($A86)-1)*12)+VLOOKUP(AI$4,$DE$6:$DF$17,2)+1))*(VLOOKUP($A86,CURVES!$D$9:$T$261,8))*(INDEX(DailyScalarsTable,AI$5/100,MONTH($A86)))*$C86</f>
        <v>-8314.4035950858433</v>
      </c>
      <c r="AJ86" s="1021">
        <f>(VLOOKUP(YEAR($A86),'NY East Load Projections'!$A$4:$EO$14,((MONTH($A86)-1)*12)+VLOOKUP(AJ$4,$DE$6:$DF$17,2)+1))*(VLOOKUP($A86,CURVES!$D$9:$T$261,8))*(INDEX(DailyScalarsTable,AJ$5/100,MONTH($A86)))*$C86</f>
        <v>-8437.6179737718976</v>
      </c>
      <c r="AK86" s="1021">
        <f>(VLOOKUP(YEAR($A86),'NY East Load Projections'!$A$4:$EO$14,((MONTH($A86)-1)*12)+VLOOKUP(AK$4,$DE$6:$DF$17,2)+1))*(VLOOKUP($A86,CURVES!$D$9:$T$261,8))*(INDEX(DailyScalarsTable,AK$5/100,MONTH($A86)))*$C86</f>
        <v>-9181.4999294055269</v>
      </c>
      <c r="AL86" s="1021">
        <f>(VLOOKUP(YEAR($A86),'NY East Load Projections'!$A$4:$EO$14,((MONTH($A86)-1)*12)+VLOOKUP(AL$4,$DE$6:$DF$17,2)+1))*(VLOOKUP($A86,CURVES!$D$9:$T$261,8))*(INDEX(DailyScalarsTable,AL$5/100,MONTH($A86)))*$C86</f>
        <v>-10625.083181197097</v>
      </c>
      <c r="AM86" s="1021">
        <f>(VLOOKUP(YEAR($A86),'NY East Load Projections'!$A$4:$EO$14,((MONTH($A86)-1)*12)+VLOOKUP(AM$4,$DE$6:$DF$17,2)+1))*(VLOOKUP($A86,CURVES!$D$9:$T$261,8))*(INDEX(DailyScalarsTable,AM$5/100,MONTH($A86)))*$C86</f>
        <v>-14448.767851713119</v>
      </c>
      <c r="AN86" s="1021">
        <f>(VLOOKUP(YEAR($A86),'NY East Load Projections'!$A$4:$EO$14,((MONTH($A86)-1)*12)+VLOOKUP(AN$4,$DE$6:$DF$17,2)+1))*(VLOOKUP($A86,SatSunCurve,4))*(INDEX(DailyScalarsTable,AN$5/100,MONTH($A86)))*$C86</f>
        <v>-9514.5777512638033</v>
      </c>
      <c r="AO86" s="1021">
        <f>(VLOOKUP(YEAR($A86),'NY East Load Projections'!$A$4:$EO$14,((MONTH($A86)-1)*12)+VLOOKUP(AO$4,$DE$6:$DF$17,2)+1))*(VLOOKUP($A86,SatSunCurve,4))*(INDEX(DailyScalarsTable,AO$5/100,MONTH($A86)))*$C86</f>
        <v>-10338.352118100627</v>
      </c>
      <c r="AP86" s="1021">
        <f>(VLOOKUP(YEAR($A86),'NY East Load Projections'!$A$4:$EO$14,((MONTH($A86)-1)*12)+VLOOKUP(AP$4,$DE$6:$DF$17,2)+1))*(VLOOKUP($A86,SatSunCurve,4))*(INDEX(DailyScalarsTable,AP$5/100,MONTH($A86)))*$C86</f>
        <v>-12905.500282379318</v>
      </c>
      <c r="AQ86" s="1021">
        <f>(VLOOKUP(YEAR($A86),'NY East Load Projections'!$A$4:$EO$14,((MONTH($A86)-1)*12)+VLOOKUP(AQ$4,$DE$6:$DF$17,2)+1))*(VLOOKUP($A86,SatSunCurve,4))*(INDEX(DailyScalarsTable,AQ$5/100,MONTH($A86)))*$C86</f>
        <v>-13782.476363344093</v>
      </c>
      <c r="AR86" s="1021">
        <f>(VLOOKUP(YEAR($A86),'NY East Load Projections'!$A$4:$EO$14,((MONTH($A86)-1)*12)+VLOOKUP(AR$4,$DE$6:$DF$17,2)+1))*(VLOOKUP($A86,SatSunCurve,4))*(INDEX(DailyScalarsTable,AR$5/100,MONTH($A86)))*$C86</f>
        <v>-14685.363101246461</v>
      </c>
      <c r="AS86" s="1021">
        <f>(VLOOKUP(YEAR($A86),'NY East Load Projections'!$A$4:$EO$14,((MONTH($A86)-1)*12)+VLOOKUP(AS$4,$DE$6:$DF$17,2)+1))*(VLOOKUP($A86,SatSunCurve,4))*(INDEX(DailyScalarsTable,AS$5/100,MONTH($A86)))*$C86</f>
        <v>-14249.289312673896</v>
      </c>
      <c r="AT86" s="1021">
        <f>(VLOOKUP(YEAR($A86),'NY East Load Projections'!$A$4:$EO$14,((MONTH($A86)-1)*12)+VLOOKUP(AT$4,$DE$6:$DF$17,2)+1))*(VLOOKUP($A86,SatSunCurve,4))*(INDEX(DailyScalarsTable,AT$5/100,MONTH($A86)))*$C86</f>
        <v>-15425.310750134422</v>
      </c>
      <c r="AU86" s="1021">
        <f>(VLOOKUP(YEAR($A86),'NY East Load Projections'!$A$4:$EO$14,((MONTH($A86)-1)*12)+VLOOKUP(AU$4,$DE$6:$DF$17,2)+1))*(VLOOKUP($A86,SatSunCurve,4))*(INDEX(DailyScalarsTable,AU$5/100,MONTH($A86)))*$C86</f>
        <v>-15181.925443946948</v>
      </c>
      <c r="AV86" s="1021">
        <f>(VLOOKUP(YEAR($A86),'NY East Load Projections'!$A$4:$EO$14,((MONTH($A86)-1)*12)+VLOOKUP(AV$4,$DE$6:$DF$17,2)+1))*(VLOOKUP($A86,SatSunCurve,4))*(INDEX(DailyScalarsTable,AV$5/100,MONTH($A86)))*$C86</f>
        <v>-14707.426359615045</v>
      </c>
      <c r="AW86" s="1021">
        <f>(VLOOKUP(YEAR($A86),'NY East Load Projections'!$A$4:$EO$14,((MONTH($A86)-1)*12)+VLOOKUP(AW$4,$DE$6:$DF$17,2)+1))*(VLOOKUP($A86,SatSunCurve,4))*(INDEX(DailyScalarsTable,AW$5/100,MONTH($A86)))*$C86</f>
        <v>-14949.969844366147</v>
      </c>
      <c r="AX86" s="1021">
        <f>(VLOOKUP(YEAR($A86),'NY East Load Projections'!$A$4:$EO$14,((MONTH($A86)-1)*12)+VLOOKUP(AX$4,$DE$6:$DF$17,2)+1))*(VLOOKUP($A86,SatSunCurve,4))*(INDEX(DailyScalarsTable,AX$5/100,MONTH($A86)))*$C86</f>
        <v>-14583.217840437213</v>
      </c>
      <c r="AY86" s="1021">
        <f>(VLOOKUP(YEAR($A86),'NY East Load Projections'!$A$4:$EO$14,((MONTH($A86)-1)*12)+VLOOKUP(AY$4,$DE$6:$DF$17,2)+1))*(VLOOKUP($A86,SatSunCurve,4))*(INDEX(DailyScalarsTable,AY$5/100,MONTH($A86)))*$C86</f>
        <v>-11944.533685853801</v>
      </c>
      <c r="AZ86" s="1021">
        <f>(VLOOKUP(YEAR($A86),'NY East Load Projections'!$A$4:$EO$14,((MONTH($A86)-1)*12)+VLOOKUP(AZ$4,$DE$6:$DF$17,2)+1))*(VLOOKUP($A86,SatSunCurve,4))*(INDEX(DailyScalarsTable,AZ$5/100,MONTH($A86)))*$C86</f>
        <v>-15610.123451438219</v>
      </c>
      <c r="BA86" s="1021">
        <f>(VLOOKUP(YEAR($A86),'NY East Load Projections'!$A$4:$EO$14,((MONTH($A86)-1)*12)+VLOOKUP(BA$4,$DE$6:$DF$17,2)+1))*(VLOOKUP($A86,SatSunCurve,4))*(INDEX(DailyScalarsTable,BA$5/100,MONTH($A86)))*$C86</f>
        <v>-15081.640445829791</v>
      </c>
      <c r="BB86" s="1021">
        <f>(VLOOKUP(YEAR($A86),'NY East Load Projections'!$A$4:$EO$14,((MONTH($A86)-1)*12)+VLOOKUP(BB$4,$DE$6:$DF$17,2)+1))*(VLOOKUP($A86,SatSunCurve,4))*(INDEX(DailyScalarsTable,BB$5/100,MONTH($A86)))*$C86</f>
        <v>-11478.619157078692</v>
      </c>
      <c r="BC86" s="1021">
        <f>(VLOOKUP(YEAR($A86),'NY East Load Projections'!$A$4:$EO$14,((MONTH($A86)-1)*12)+VLOOKUP(BC$4,$DE$6:$DF$17,2)+1))*(VLOOKUP($A86,SatSunCurve,4))*(INDEX(DailyScalarsTable,BC$5/100,MONTH($A86)))*$C86</f>
        <v>-9096.334033920888</v>
      </c>
      <c r="BD86" s="1021">
        <f>(VLOOKUP(YEAR($A86),'NY East Load Projections'!$A$4:$EO$14,((MONTH($A86)-1)*12)+VLOOKUP(BD$4,$DE$6:$DF$17,2)+1))*(VLOOKUP($A86,CURVES!$D$9:$T$261,8))*(INDEX(DailyScalarsTable,BD$5/100,MONTH($A86)))*$C86</f>
        <v>-11856.470650602168</v>
      </c>
      <c r="BE86" s="1021"/>
      <c r="BF86" s="1021">
        <f>(VLOOKUP(YEAR($A86),'NY East Load Projections'!$A$4:$EO$14,((MONTH($A86)-1)*12)+VLOOKUP(BF$4,$DE$6:$DF$17,2)+1))*(VLOOKUP($A86,CURVES!$D$9:$T$261,8))*(INDEX(DailyScalarsTable,BF$5/100,MONTH($A86)))*$D86</f>
        <v>-10106.146018478841</v>
      </c>
      <c r="BG86" s="1021">
        <f>(VLOOKUP(YEAR($A86),'NY East Load Projections'!$A$4:$EO$14,((MONTH($A86)-1)*12)+VLOOKUP(BG$4,$DE$6:$DF$17,2)+1))*(VLOOKUP($A86,CURVES!$D$9:$T$261,8))*(INDEX(DailyScalarsTable,BG$5/100,MONTH($A86)))*$D86</f>
        <v>-8866.3013329504465</v>
      </c>
      <c r="BH86" s="1021">
        <f>(VLOOKUP(YEAR($A86),'NY East Load Projections'!$A$4:$EO$14,((MONTH($A86)-1)*12)+VLOOKUP(BH$4,$DE$6:$DF$17,2)+1))*(VLOOKUP($A86,CURVES!$D$9:$T$261,8))*(INDEX(DailyScalarsTable,BH$5/100,MONTH($A86)))*$D86</f>
        <v>-8314.4035950858433</v>
      </c>
      <c r="BI86" s="1021">
        <f>(VLOOKUP(YEAR($A86),'NY East Load Projections'!$A$4:$EO$14,((MONTH($A86)-1)*12)+VLOOKUP(BI$4,$DE$6:$DF$17,2)+1))*(VLOOKUP($A86,CURVES!$D$9:$T$261,8))*(INDEX(DailyScalarsTable,BI$5/100,MONTH($A86)))*$D86</f>
        <v>-8437.6179737718976</v>
      </c>
      <c r="BJ86" s="1021">
        <f>(VLOOKUP(YEAR($A86),'NY East Load Projections'!$A$4:$EO$14,((MONTH($A86)-1)*12)+VLOOKUP(BJ$4,$DE$6:$DF$17,2)+1))*(VLOOKUP($A86,CURVES!$D$9:$T$261,8))*(INDEX(DailyScalarsTable,BJ$5/100,MONTH($A86)))*$D86</f>
        <v>-9181.4999294055269</v>
      </c>
      <c r="BK86" s="1021">
        <f>(VLOOKUP(YEAR($A86),'NY East Load Projections'!$A$4:$EO$14,((MONTH($A86)-1)*12)+VLOOKUP(BK$4,$DE$6:$DF$17,2)+1))*(VLOOKUP($A86,CURVES!$D$9:$T$261,8))*(INDEX(DailyScalarsTable,BK$5/100,MONTH($A86)))*$D86</f>
        <v>-10625.083181197097</v>
      </c>
      <c r="BL86" s="1021">
        <f>(VLOOKUP(YEAR($A86),'NY East Load Projections'!$A$4:$EO$14,((MONTH($A86)-1)*12)+VLOOKUP(BL$4,$DE$6:$DF$17,2)+1))*(VLOOKUP($A86,CURVES!$D$9:$T$261,8))*(INDEX(DailyScalarsTable,BL$5/100,MONTH($A86)))*$D86</f>
        <v>-14448.767851713119</v>
      </c>
      <c r="BM86" s="1021">
        <f>(VLOOKUP(YEAR($A86),'NY East Load Projections'!$A$4:$EO$14,((MONTH($A86)-1)*12)+VLOOKUP(BM$4,$DE$6:$DF$17,2)+1))*(VLOOKUP($A86,SatSunCurve,8))*(INDEX(DailyScalarsTable,BM$5/100,MONTH($A86)))*$D86</f>
        <v>-10601.738130351998</v>
      </c>
      <c r="BN86" s="1021">
        <f>(VLOOKUP(YEAR($A86),'NY East Load Projections'!$A$4:$EO$14,((MONTH($A86)-1)*12)+VLOOKUP(BN$4,$DE$6:$DF$17,2)+1))*(VLOOKUP($A86,SatSunCurve,8))*(INDEX(DailyScalarsTable,BN$5/100,MONTH($A86)))*$D86</f>
        <v>-11519.639097059689</v>
      </c>
      <c r="BO86" s="1021">
        <f>(VLOOKUP(YEAR($A86),'NY East Load Projections'!$A$4:$EO$14,((MONTH($A86)-1)*12)+VLOOKUP(BO$4,$DE$6:$DF$17,2)+1))*(VLOOKUP($A86,SatSunCurve,8))*(INDEX(DailyScalarsTable,BO$5/100,MONTH($A86)))*$D86</f>
        <v>-14380.116281754668</v>
      </c>
      <c r="BP86" s="1021">
        <f>(VLOOKUP(YEAR($A86),'NY East Load Projections'!$A$4:$EO$14,((MONTH($A86)-1)*12)+VLOOKUP(BP$4,$DE$6:$DF$17,2)+1))*(VLOOKUP($A86,SatSunCurve,8))*(INDEX(DailyScalarsTable,BP$5/100,MONTH($A86)))*$D86</f>
        <v>-15357.297928700158</v>
      </c>
      <c r="BQ86" s="1021">
        <f>(VLOOKUP(YEAR($A86),'NY East Load Projections'!$A$4:$EO$14,((MONTH($A86)-1)*12)+VLOOKUP(BQ$4,$DE$6:$DF$17,2)+1))*(VLOOKUP($A86,SatSunCurve,8))*(INDEX(DailyScalarsTable,BQ$5/100,MONTH($A86)))*$D86</f>
        <v>-16363.350851578132</v>
      </c>
      <c r="BR86" s="1021">
        <f>(VLOOKUP(YEAR($A86),'NY East Load Projections'!$A$4:$EO$14,((MONTH($A86)-1)*12)+VLOOKUP(BR$4,$DE$6:$DF$17,2)+1))*(VLOOKUP($A86,SatSunCurve,8))*(INDEX(DailyScalarsTable,BR$5/100,MONTH($A86)))*$D86</f>
        <v>-15877.450138712264</v>
      </c>
      <c r="BS86" s="1021">
        <f>(VLOOKUP(YEAR($A86),'NY East Load Projections'!$A$4:$EO$14,((MONTH($A86)-1)*12)+VLOOKUP(BS$4,$DE$6:$DF$17,2)+1))*(VLOOKUP($A86,SatSunCurve,8))*(INDEX(DailyScalarsTable,BS$5/100,MONTH($A86)))*$D86</f>
        <v>-17187.846841706312</v>
      </c>
      <c r="BT86" s="1021">
        <f>(VLOOKUP(YEAR($A86),'NY East Load Projections'!$A$4:$EO$14,((MONTH($A86)-1)*12)+VLOOKUP(BT$4,$DE$6:$DF$17,2)+1))*(VLOOKUP($A86,SatSunCurve,8))*(INDEX(DailyScalarsTable,BT$5/100,MONTH($A86)))*$D86</f>
        <v>-16916.651697956251</v>
      </c>
      <c r="BU86" s="1021">
        <f>(VLOOKUP(YEAR($A86),'NY East Load Projections'!$A$4:$EO$14,((MONTH($A86)-1)*12)+VLOOKUP(BU$4,$DE$6:$DF$17,2)+1))*(VLOOKUP($A86,SatSunCurve,8))*(INDEX(DailyScalarsTable,BU$5/100,MONTH($A86)))*$D86</f>
        <v>-16387.935115182994</v>
      </c>
      <c r="BV86" s="1021">
        <f>(VLOOKUP(YEAR($A86),'NY East Load Projections'!$A$4:$EO$14,((MONTH($A86)-1)*12)+VLOOKUP(BV$4,$DE$6:$DF$17,2)+1))*(VLOOKUP($A86,SatSunCurve,8))*(INDEX(DailyScalarsTable,BV$5/100,MONTH($A86)))*$D86</f>
        <v>-16658.192248791747</v>
      </c>
      <c r="BW86" s="1021">
        <f>(VLOOKUP(YEAR($A86),'NY East Load Projections'!$A$4:$EO$14,((MONTH($A86)-1)*12)+VLOOKUP(BW$4,$DE$6:$DF$17,2)+1))*(VLOOKUP($A86,SatSunCurve,8))*(INDEX(DailyScalarsTable,BW$5/100,MONTH($A86)))*$D86</f>
        <v>-16249.534207827197</v>
      </c>
      <c r="BX86" s="1021">
        <f>(VLOOKUP(YEAR($A86),'NY East Load Projections'!$A$4:$EO$14,((MONTH($A86)-1)*12)+VLOOKUP(BX$4,$DE$6:$DF$17,2)+1))*(VLOOKUP($A86,SatSunCurve,8))*(INDEX(DailyScalarsTable,BX$5/100,MONTH($A86)))*$D86</f>
        <v>-13309.347144676991</v>
      </c>
      <c r="BY86" s="1021">
        <f>(VLOOKUP(YEAR($A86),'NY East Load Projections'!$A$4:$EO$14,((MONTH($A86)-1)*12)+VLOOKUP(BY$4,$DE$6:$DF$17,2)+1))*(VLOOKUP($A86,SatSunCurve,8))*(INDEX(DailyScalarsTable,BY$5/100,MONTH($A86)))*$D86</f>
        <v>-17393.776722527935</v>
      </c>
      <c r="BZ86" s="1021">
        <f>(VLOOKUP(YEAR($A86),'NY East Load Projections'!$A$4:$EO$14,((MONTH($A86)-1)*12)+VLOOKUP(BZ$4,$DE$6:$DF$17,2)+1))*(VLOOKUP($A86,SatSunCurve,8))*(INDEX(DailyScalarsTable,BZ$5/100,MONTH($A86)))*$D86</f>
        <v>-16804.907875346809</v>
      </c>
      <c r="CA86" s="1021">
        <f>(VLOOKUP(YEAR($A86),'NY East Load Projections'!$A$4:$EO$14,((MONTH($A86)-1)*12)+VLOOKUP(CA$4,$DE$6:$DF$17,2)+1))*(VLOOKUP($A86,SatSunCurve,8))*(INDEX(DailyScalarsTable,CA$5/100,MONTH($A86)))*$D86</f>
        <v>-12790.196011086862</v>
      </c>
      <c r="CB86" s="1021">
        <f>(VLOOKUP(YEAR($A86),'NY East Load Projections'!$A$4:$EO$14,((MONTH($A86)-1)*12)+VLOOKUP(CB$4,$DE$6:$DF$17,2)+1))*(VLOOKUP($A86,SatSunCurve,8))*(INDEX(DailyScalarsTable,CB$5/100,MONTH($A86)))*$D86</f>
        <v>-10135.704798988916</v>
      </c>
      <c r="CC86" s="1021">
        <f>(VLOOKUP(YEAR($A86),'NY East Load Projections'!$A$4:$EO$14,((MONTH($A86)-1)*12)+VLOOKUP(CC$4,$DE$6:$DF$17,2)+1))*(VLOOKUP($A86,CURVES!$D$9:$T$261,8))*(INDEX(DailyScalarsTable,CC$5/100,MONTH($A86)))*$D86</f>
        <v>-11856.470650602168</v>
      </c>
      <c r="CE86" s="1021">
        <f>(VLOOKUP(YEAR($A86),'NY East Load Projections'!$A$4:$EO$14,((MONTH($A86)-1)*12)+VLOOKUP(CE$4,$DE$6:$DF$17,2)+1))*(VLOOKUP($A86,CURVES!$D$9:$T$261,8))*(INDEX(DailyScalarsTable,CE$5/100,MONTH($A86)))*$E86</f>
        <v>-2021.2292036957681</v>
      </c>
      <c r="CF86" s="1021">
        <f>(VLOOKUP(YEAR($A86),'NY East Load Projections'!$A$4:$EO$14,((MONTH($A86)-1)*12)+VLOOKUP(CF$4,$DE$6:$DF$17,2)+1))*(VLOOKUP($A86,CURVES!$D$9:$T$261,8))*(INDEX(DailyScalarsTable,CF$5/100,MONTH($A86)))*$E86</f>
        <v>-1773.2602665900895</v>
      </c>
      <c r="CG86" s="1021">
        <f>(VLOOKUP(YEAR($A86),'NY East Load Projections'!$A$4:$EO$14,((MONTH($A86)-1)*12)+VLOOKUP(CG$4,$DE$6:$DF$17,2)+1))*(VLOOKUP($A86,CURVES!$D$9:$T$261,8))*(INDEX(DailyScalarsTable,CG$5/100,MONTH($A86)))*$E86</f>
        <v>-1662.8807190171688</v>
      </c>
      <c r="CH86" s="1021">
        <f>(VLOOKUP(YEAR($A86),'NY East Load Projections'!$A$4:$EO$14,((MONTH($A86)-1)*12)+VLOOKUP(CH$4,$DE$6:$DF$17,2)+1))*(VLOOKUP($A86,CURVES!$D$9:$T$261,8))*(INDEX(DailyScalarsTable,CH$5/100,MONTH($A86)))*$E86</f>
        <v>-1687.5235947543795</v>
      </c>
      <c r="CI86" s="1021">
        <f>(VLOOKUP(YEAR($A86),'NY East Load Projections'!$A$4:$EO$14,((MONTH($A86)-1)*12)+VLOOKUP(CI$4,$DE$6:$DF$17,2)+1))*(VLOOKUP($A86,CURVES!$D$9:$T$261,8))*(INDEX(DailyScalarsTable,CI$5/100,MONTH($A86)))*$E86</f>
        <v>-1836.2999858811054</v>
      </c>
      <c r="CJ86" s="1021">
        <f>(VLOOKUP(YEAR($A86),'NY East Load Projections'!$A$4:$EO$14,((MONTH($A86)-1)*12)+VLOOKUP(CJ$4,$DE$6:$DF$17,2)+1))*(VLOOKUP($A86,CURVES!$D$9:$T$261,8))*(INDEX(DailyScalarsTable,CJ$5/100,MONTH($A86)))*$E86</f>
        <v>-2125.0166362394193</v>
      </c>
      <c r="CK86" s="1021">
        <f>(VLOOKUP(YEAR($A86),'NY East Load Projections'!$A$4:$EO$14,((MONTH($A86)-1)*12)+VLOOKUP(CK$4,$DE$6:$DF$17,2)+1))*(VLOOKUP($A86,CURVES!$D$9:$T$261,8))*(INDEX(DailyScalarsTable,CK$5/100,MONTH($A86)))*$E86</f>
        <v>-2889.7535703426238</v>
      </c>
      <c r="CL86" s="1021">
        <f>(VLOOKUP(YEAR($A86),'NY East Load Projections'!$A$4:$EO$14,((MONTH($A86)-1)*12)+VLOOKUP(CL$4,$DE$6:$DF$17,2)+1))*(VLOOKUP($A86,SatSunCurve,8))*(INDEX(DailyScalarsTable,CL$5/100,MONTH($A86)))*$E86</f>
        <v>-2120.3476260703997</v>
      </c>
      <c r="CM86" s="1021">
        <f>(VLOOKUP(YEAR($A86),'NY East Load Projections'!$A$4:$EO$14,((MONTH($A86)-1)*12)+VLOOKUP(CM$4,$DE$6:$DF$17,2)+1))*(VLOOKUP($A86,SatSunCurve,8))*(INDEX(DailyScalarsTable,CM$5/100,MONTH($A86)))*$E86</f>
        <v>-2303.9278194119379</v>
      </c>
      <c r="CN86" s="1021">
        <f>(VLOOKUP(YEAR($A86),'NY East Load Projections'!$A$4:$EO$14,((MONTH($A86)-1)*12)+VLOOKUP(CN$4,$DE$6:$DF$17,2)+1))*(VLOOKUP($A86,SatSunCurve,8))*(INDEX(DailyScalarsTable,CN$5/100,MONTH($A86)))*$E86</f>
        <v>-2876.0232563509335</v>
      </c>
      <c r="CO86" s="1021">
        <f>(VLOOKUP(YEAR($A86),'NY East Load Projections'!$A$4:$EO$14,((MONTH($A86)-1)*12)+VLOOKUP(CO$4,$DE$6:$DF$17,2)+1))*(VLOOKUP($A86,SatSunCurve,8))*(INDEX(DailyScalarsTable,CO$5/100,MONTH($A86)))*$E86</f>
        <v>-3071.4595857400318</v>
      </c>
      <c r="CP86" s="1021">
        <f>(VLOOKUP(YEAR($A86),'NY East Load Projections'!$A$4:$EO$14,((MONTH($A86)-1)*12)+VLOOKUP(CP$4,$DE$6:$DF$17,2)+1))*(VLOOKUP($A86,SatSunCurve,8))*(INDEX(DailyScalarsTable,CP$5/100,MONTH($A86)))*$E86</f>
        <v>-3272.6701703156264</v>
      </c>
      <c r="CQ86" s="1021">
        <f>(VLOOKUP(YEAR($A86),'NY East Load Projections'!$A$4:$EO$14,((MONTH($A86)-1)*12)+VLOOKUP(CQ$4,$DE$6:$DF$17,2)+1))*(VLOOKUP($A86,SatSunCurve,8))*(INDEX(DailyScalarsTable,CQ$5/100,MONTH($A86)))*$E86</f>
        <v>-3175.4900277424526</v>
      </c>
      <c r="CR86" s="1021">
        <f>(VLOOKUP(YEAR($A86),'NY East Load Projections'!$A$4:$EO$14,((MONTH($A86)-1)*12)+VLOOKUP(CR$4,$DE$6:$DF$17,2)+1))*(VLOOKUP($A86,SatSunCurve,8))*(INDEX(DailyScalarsTable,CR$5/100,MONTH($A86)))*$E86</f>
        <v>-3437.5693683412624</v>
      </c>
      <c r="CS86" s="1021">
        <f>(VLOOKUP(YEAR($A86),'NY East Load Projections'!$A$4:$EO$14,((MONTH($A86)-1)*12)+VLOOKUP(CS$4,$DE$6:$DF$17,2)+1))*(VLOOKUP($A86,SatSunCurve,8))*(INDEX(DailyScalarsTable,CS$5/100,MONTH($A86)))*$E86</f>
        <v>-3383.3303395912499</v>
      </c>
      <c r="CT86" s="1021">
        <f>(VLOOKUP(YEAR($A86),'NY East Load Projections'!$A$4:$EO$14,((MONTH($A86)-1)*12)+VLOOKUP(CT$4,$DE$6:$DF$17,2)+1))*(VLOOKUP($A86,SatSunCurve,8))*(INDEX(DailyScalarsTable,CT$5/100,MONTH($A86)))*$E86</f>
        <v>-3277.5870230365986</v>
      </c>
      <c r="CU86" s="1021">
        <f>(VLOOKUP(YEAR($A86),'NY East Load Projections'!$A$4:$EO$14,((MONTH($A86)-1)*12)+VLOOKUP(CU$4,$DE$6:$DF$17,2)+1))*(VLOOKUP($A86,SatSunCurve,8))*(INDEX(DailyScalarsTable,CU$5/100,MONTH($A86)))*$E86</f>
        <v>-3331.6384497583495</v>
      </c>
      <c r="CV86" s="1021">
        <f>(VLOOKUP(YEAR($A86),'NY East Load Projections'!$A$4:$EO$14,((MONTH($A86)-1)*12)+VLOOKUP(CV$4,$DE$6:$DF$17,2)+1))*(VLOOKUP($A86,SatSunCurve,8))*(INDEX(DailyScalarsTable,CV$5/100,MONTH($A86)))*$E86</f>
        <v>-3249.9068415654392</v>
      </c>
      <c r="CW86" s="1021">
        <f>(VLOOKUP(YEAR($A86),'NY East Load Projections'!$A$4:$EO$14,((MONTH($A86)-1)*12)+VLOOKUP(CW$4,$DE$6:$DF$17,2)+1))*(VLOOKUP($A86,SatSunCurve,8))*(INDEX(DailyScalarsTable,CW$5/100,MONTH($A86)))*$E86</f>
        <v>-2661.869428935398</v>
      </c>
      <c r="CX86" s="1021">
        <f>(VLOOKUP(YEAR($A86),'NY East Load Projections'!$A$4:$EO$14,((MONTH($A86)-1)*12)+VLOOKUP(CX$4,$DE$6:$DF$17,2)+1))*(VLOOKUP($A86,SatSunCurve,8))*(INDEX(DailyScalarsTable,CX$5/100,MONTH($A86)))*$E86</f>
        <v>-3478.7553445055869</v>
      </c>
      <c r="CY86" s="1021">
        <f>(VLOOKUP(YEAR($A86),'NY East Load Projections'!$A$4:$EO$14,((MONTH($A86)-1)*12)+VLOOKUP(CY$4,$DE$6:$DF$17,2)+1))*(VLOOKUP($A86,SatSunCurve,8))*(INDEX(DailyScalarsTable,CY$5/100,MONTH($A86)))*$E86</f>
        <v>-3360.981575069362</v>
      </c>
      <c r="CZ86" s="1021">
        <f>(VLOOKUP(YEAR($A86),'NY East Load Projections'!$A$4:$EO$14,((MONTH($A86)-1)*12)+VLOOKUP(CZ$4,$DE$6:$DF$17,2)+1))*(VLOOKUP($A86,SatSunCurve,8))*(INDEX(DailyScalarsTable,CZ$5/100,MONTH($A86)))*$E86</f>
        <v>-2558.0392022173723</v>
      </c>
      <c r="DA86" s="1021">
        <f>(VLOOKUP(YEAR($A86),'NY East Load Projections'!$A$4:$EO$14,((MONTH($A86)-1)*12)+VLOOKUP(DA$4,$DE$6:$DF$17,2)+1))*(VLOOKUP($A86,SatSunCurve,8))*(INDEX(DailyScalarsTable,DA$5/100,MONTH($A86)))*$E86</f>
        <v>-2027.1409597977834</v>
      </c>
      <c r="DB86" s="1021">
        <f>(VLOOKUP(YEAR($A86),'NY East Load Projections'!$A$4:$EO$14,((MONTH($A86)-1)*12)+VLOOKUP(DB$4,$DE$6:$DF$17,2)+1))*(VLOOKUP($A86,CURVES!$D$9:$T$261,8))*(INDEX(DailyScalarsTable,DB$5/100,MONTH($A86)))*$E86</f>
        <v>-2371.2941301204337</v>
      </c>
      <c r="DH86" s="1021">
        <f t="shared" si="2"/>
        <v>-2115792.5232560099</v>
      </c>
      <c r="DI86">
        <f ca="1">CALC!J106</f>
        <v>0.57531267715270051</v>
      </c>
      <c r="DJ86" s="1029">
        <f t="shared" ca="1" si="3"/>
        <v>-1217242.2608540824</v>
      </c>
    </row>
    <row r="87" spans="1:114" x14ac:dyDescent="0.25">
      <c r="A87" s="244">
        <v>39356</v>
      </c>
      <c r="B87" s="13">
        <v>23</v>
      </c>
      <c r="C87" s="210">
        <v>4</v>
      </c>
      <c r="D87" s="210">
        <v>4</v>
      </c>
      <c r="E87" s="210">
        <v>0</v>
      </c>
      <c r="F87" s="13">
        <v>31</v>
      </c>
      <c r="H87" s="1021">
        <f>(VLOOKUP(YEAR($A87),'NY East Load Projections'!$A$4:$EO$14,((MONTH($A87)-1)*12)+VLOOKUP(H$4,$DE$6:$DF$17,2)+1))*(VLOOKUP($A87,CURVES!$D$9:$K$261,8))*(INDEX(DailyScalarsTable,H$5/100,MONTH($A87)))*$B87</f>
        <v>-39313.110488522354</v>
      </c>
      <c r="I87" s="1021">
        <f>(VLOOKUP(YEAR($A87),'NY East Load Projections'!$A$4:$EO$14,((MONTH($A87)-1)*12)+VLOOKUP(I$4,$DE$6:$DF$17,2)+1))*(VLOOKUP($A87,CURVES!$D$9:$K$261,8))*(INDEX(DailyScalarsTable,I$5/100,MONTH($A87)))*$B87</f>
        <v>-37313.296653245226</v>
      </c>
      <c r="J87" s="1021">
        <f>(VLOOKUP(YEAR($A87),'NY East Load Projections'!$A$4:$EO$14,((MONTH($A87)-1)*12)+VLOOKUP(J$4,$DE$6:$DF$17,2)+1))*(VLOOKUP($A87,CURVES!$D$9:$K$261,8))*(INDEX(DailyScalarsTable,J$5/100,MONTH($A87)))*$B87</f>
        <v>-35843.454186323113</v>
      </c>
      <c r="K87" s="1021">
        <f>(VLOOKUP(YEAR($A87),'NY East Load Projections'!$A$4:$EO$14,((MONTH($A87)-1)*12)+VLOOKUP(K$4,$DE$6:$DF$17,2)+1))*(VLOOKUP($A87,CURVES!$D$9:$K$261,8))*(INDEX(DailyScalarsTable,K$5/100,MONTH($A87)))*$B87</f>
        <v>-35864.156192899485</v>
      </c>
      <c r="L87" s="1021">
        <f>(VLOOKUP(YEAR($A87),'NY East Load Projections'!$A$4:$EO$14,((MONTH($A87)-1)*12)+VLOOKUP(L$4,$DE$6:$DF$17,2)+1))*(VLOOKUP($A87,CURVES!$D$9:$K$261,8))*(INDEX(DailyScalarsTable,L$5/100,MONTH($A87)))*$B87</f>
        <v>-41743.610280016219</v>
      </c>
      <c r="M87" s="1021">
        <f>(VLOOKUP(YEAR($A87),'NY East Load Projections'!$A$4:$EO$14,((MONTH($A87)-1)*12)+VLOOKUP(M$4,$DE$6:$DF$17,2)+1))*(VLOOKUP($A87,CURVES!$D$9:$K$261,8))*(INDEX(DailyScalarsTable,M$5/100,MONTH($A87)))*$B87</f>
        <v>-47956.717519750957</v>
      </c>
      <c r="N87" s="1021">
        <f>(VLOOKUP(YEAR($A87),'NY East Load Projections'!$A$4:$EO$14,((MONTH($A87)-1)*12)+VLOOKUP(N$4,$DE$6:$DF$17,2)+1))*(VLOOKUP($A87,CURVES!$D$9:$K$261,8))*(INDEX(DailyScalarsTable,N$5/100,MONTH($A87)))*$B87</f>
        <v>-61995.90690264685</v>
      </c>
      <c r="O87" s="1021">
        <f>(VLOOKUP(YEAR($A87),'NY East Load Projections'!$A$4:$EO$14,((MONTH($A87)-1)*12)+VLOOKUP(O$4,$DE$6:$DF$17,2)+1))*(VLOOKUP($A87,CURVES!$D$9:$K$261,4))*(INDEX(DailyScalarsTable,O$5/100,MONTH($A87)))*$B87</f>
        <v>-75315.699327072478</v>
      </c>
      <c r="P87" s="1021">
        <f>(VLOOKUP(YEAR($A87),'NY East Load Projections'!$A$4:$EO$14,((MONTH($A87)-1)*12)+VLOOKUP(P$4,$DE$6:$DF$17,2)+1))*(VLOOKUP($A87,CURVES!$D$9:$K$261,4))*(INDEX(DailyScalarsTable,P$5/100,MONTH($A87)))*$B87</f>
        <v>-86497.129105864034</v>
      </c>
      <c r="Q87" s="1021">
        <f>(VLOOKUP(YEAR($A87),'NY East Load Projections'!$A$4:$EO$14,((MONTH($A87)-1)*12)+VLOOKUP(Q$4,$DE$6:$DF$17,2)+1))*(VLOOKUP($A87,CURVES!$D$9:$K$261,4))*(INDEX(DailyScalarsTable,Q$5/100,MONTH($A87)))*$B87</f>
        <v>-86229.832662397195</v>
      </c>
      <c r="R87" s="1021">
        <f>(VLOOKUP(YEAR($A87),'NY East Load Projections'!$A$4:$EO$14,((MONTH($A87)-1)*12)+VLOOKUP(R$4,$DE$6:$DF$17,2)+1))*(VLOOKUP($A87,CURVES!$D$9:$K$261,4))*(INDEX(DailyScalarsTable,R$5/100,MONTH($A87)))*$B87</f>
        <v>-85741.062022915023</v>
      </c>
      <c r="S87" s="1021">
        <f>(VLOOKUP(YEAR($A87),'NY East Load Projections'!$A$4:$EO$14,((MONTH($A87)-1)*12)+VLOOKUP(S$4,$DE$6:$DF$17,2)+1))*(VLOOKUP($A87,CURVES!$D$9:$K$261,4))*(INDEX(DailyScalarsTable,S$5/100,MONTH($A87)))*$B87</f>
        <v>-72353.328725848129</v>
      </c>
      <c r="T87" s="1021">
        <f>(VLOOKUP(YEAR($A87),'NY East Load Projections'!$A$4:$EO$14,((MONTH($A87)-1)*12)+VLOOKUP(T$4,$DE$6:$DF$17,2)+1))*(VLOOKUP($A87,CURVES!$D$9:$K$261,4))*(INDEX(DailyScalarsTable,T$5/100,MONTH($A87)))*$B87</f>
        <v>-69775.440881389994</v>
      </c>
      <c r="U87" s="1021">
        <f>(VLOOKUP(YEAR($A87),'NY East Load Projections'!$A$4:$EO$14,((MONTH($A87)-1)*12)+VLOOKUP(U$4,$DE$6:$DF$17,2)+1))*(VLOOKUP($A87,CURVES!$D$9:$K$261,4))*(INDEX(DailyScalarsTable,U$5/100,MONTH($A87)))*$B87</f>
        <v>-67838.758793773042</v>
      </c>
      <c r="V87" s="1021">
        <f>(VLOOKUP(YEAR($A87),'NY East Load Projections'!$A$4:$EO$14,((MONTH($A87)-1)*12)+VLOOKUP(V$4,$DE$6:$DF$17,2)+1))*(VLOOKUP($A87,CURVES!$D$9:$K$261,4))*(INDEX(DailyScalarsTable,V$5/100,MONTH($A87)))*$B87</f>
        <v>-66262.754341906606</v>
      </c>
      <c r="W87" s="1021">
        <f>(VLOOKUP(YEAR($A87),'NY East Load Projections'!$A$4:$EO$14,((MONTH($A87)-1)*12)+VLOOKUP(W$4,$DE$6:$DF$17,2)+1))*(VLOOKUP($A87,CURVES!$D$9:$K$261,4))*(INDEX(DailyScalarsTable,W$5/100,MONTH($A87)))*$B87</f>
        <v>-65807.986888134197</v>
      </c>
      <c r="X87" s="1021">
        <f>(VLOOKUP(YEAR($A87),'NY East Load Projections'!$A$4:$EO$14,((MONTH($A87)-1)*12)+VLOOKUP(X$4,$DE$6:$DF$17,2)+1))*(VLOOKUP($A87,CURVES!$D$9:$K$261,4))*(INDEX(DailyScalarsTable,X$5/100,MONTH($A87)))*$B87</f>
        <v>-66508.352324779815</v>
      </c>
      <c r="Y87" s="1021">
        <f>(VLOOKUP(YEAR($A87),'NY East Load Projections'!$A$4:$EO$14,((MONTH($A87)-1)*12)+VLOOKUP(Y$4,$DE$6:$DF$17,2)+1))*(VLOOKUP($A87,CURVES!$D$9:$K$261,4))*(INDEX(DailyScalarsTable,Y$5/100,MONTH($A87)))*$B87</f>
        <v>-89721.98024389417</v>
      </c>
      <c r="Z87" s="1021">
        <f>(VLOOKUP(YEAR($A87),'NY East Load Projections'!$A$4:$EO$14,((MONTH($A87)-1)*12)+VLOOKUP(Z$4,$DE$6:$DF$17,2)+1))*(VLOOKUP($A87,CURVES!$D$9:$K$261,4))*(INDEX(DailyScalarsTable,Z$5/100,MONTH($A87)))*$B87</f>
        <v>-90424.743858836766</v>
      </c>
      <c r="AA87" s="1021">
        <f>(VLOOKUP(YEAR($A87),'NY East Load Projections'!$A$4:$EO$14,((MONTH($A87)-1)*12)+VLOOKUP(AA$4,$DE$6:$DF$17,2)+1))*(VLOOKUP($A87,CURVES!$D$9:$K$261,4))*(INDEX(DailyScalarsTable,AA$5/100,MONTH($A87)))*$B87</f>
        <v>-86477.305681286889</v>
      </c>
      <c r="AB87" s="1021">
        <f>(VLOOKUP(YEAR($A87),'NY East Load Projections'!$A$4:$EO$14,((MONTH($A87)-1)*12)+VLOOKUP(AB$4,$DE$6:$DF$17,2)+1))*(VLOOKUP($A87,CURVES!$D$9:$K$261,4))*(INDEX(DailyScalarsTable,AB$5/100,MONTH($A87)))*$B87</f>
        <v>-72418.82883830124</v>
      </c>
      <c r="AC87" s="1021">
        <f>(VLOOKUP(YEAR($A87),'NY East Load Projections'!$A$4:$EO$14,((MONTH($A87)-1)*12)+VLOOKUP(AC$4,$DE$6:$DF$17,2)+1))*(VLOOKUP($A87,CURVES!$D$9:$K$261,4))*(INDEX(DailyScalarsTable,AC$5/100,MONTH($A87)))*$B87</f>
        <v>-60074.63329677398</v>
      </c>
      <c r="AD87" s="1021">
        <f>(VLOOKUP(YEAR($A87),'NY East Load Projections'!$A$4:$EO$14,((MONTH($A87)-1)*12)+VLOOKUP(AD$4,$DE$6:$DF$17,2)+1))*(VLOOKUP($A87,CURVES!$D$9:$K$261,4))*(INDEX(DailyScalarsTable,AD$5/100,MONTH($A87)))*$B87</f>
        <v>-51219.603893494001</v>
      </c>
      <c r="AE87" s="1021">
        <f>(VLOOKUP(YEAR($A87),'NY East Load Projections'!$A$4:$EO$14,((MONTH($A87)-1)*12)+VLOOKUP(AE$4,$DE$6:$DF$17,2)+1))*(VLOOKUP($A87,CURVES!$D$9:$K$261,8))*(INDEX(DailyScalarsTable,AE$5/100,MONTH($A87)))*$B87</f>
        <v>-45194.912073429623</v>
      </c>
      <c r="AF87" s="1021"/>
      <c r="AG87" s="1021">
        <f>(VLOOKUP(YEAR($A87),'NY East Load Projections'!$A$4:$EO$14,((MONTH($A87)-1)*12)+VLOOKUP(AG$4,$DE$6:$DF$17,2)+1))*(VLOOKUP($A87,CURVES!$D$9:$T$261,8))*(INDEX(DailyScalarsTable,AG$5/100,MONTH($A87)))*$C87</f>
        <v>-7261.4524931803753</v>
      </c>
      <c r="AH87" s="1021">
        <f>(VLOOKUP(YEAR($A87),'NY East Load Projections'!$A$4:$EO$14,((MONTH($A87)-1)*12)+VLOOKUP(AH$4,$DE$6:$DF$17,2)+1))*(VLOOKUP($A87,CURVES!$D$9:$T$261,8))*(INDEX(DailyScalarsTable,AH$5/100,MONTH($A87)))*$C87</f>
        <v>-6892.0705496094297</v>
      </c>
      <c r="AI87" s="1021">
        <f>(VLOOKUP(YEAR($A87),'NY East Load Projections'!$A$4:$EO$14,((MONTH($A87)-1)*12)+VLOOKUP(AI$4,$DE$6:$DF$17,2)+1))*(VLOOKUP($A87,CURVES!$D$9:$T$261,8))*(INDEX(DailyScalarsTable,AI$5/100,MONTH($A87)))*$C87</f>
        <v>-6620.5786449144298</v>
      </c>
      <c r="AJ87" s="1021">
        <f>(VLOOKUP(YEAR($A87),'NY East Load Projections'!$A$4:$EO$14,((MONTH($A87)-1)*12)+VLOOKUP(AJ$4,$DE$6:$DF$17,2)+1))*(VLOOKUP($A87,CURVES!$D$9:$T$261,8))*(INDEX(DailyScalarsTable,AJ$5/100,MONTH($A87)))*$C87</f>
        <v>-6624.4024745580209</v>
      </c>
      <c r="AK87" s="1021">
        <f>(VLOOKUP(YEAR($A87),'NY East Load Projections'!$A$4:$EO$14,((MONTH($A87)-1)*12)+VLOOKUP(AK$4,$DE$6:$DF$17,2)+1))*(VLOOKUP($A87,CURVES!$D$9:$T$261,8))*(INDEX(DailyScalarsTable,AK$5/100,MONTH($A87)))*$C87</f>
        <v>-7193.0516469125405</v>
      </c>
      <c r="AL87" s="1021">
        <f>(VLOOKUP(YEAR($A87),'NY East Load Projections'!$A$4:$EO$14,((MONTH($A87)-1)*12)+VLOOKUP(AL$4,$DE$6:$DF$17,2)+1))*(VLOOKUP($A87,CURVES!$D$9:$T$261,8))*(INDEX(DailyScalarsTable,AL$5/100,MONTH($A87)))*$C87</f>
        <v>-8263.6634354816069</v>
      </c>
      <c r="AM87" s="1021">
        <f>(VLOOKUP(YEAR($A87),'NY East Load Projections'!$A$4:$EO$14,((MONTH($A87)-1)*12)+VLOOKUP(AM$4,$DE$6:$DF$17,2)+1))*(VLOOKUP($A87,CURVES!$D$9:$T$261,8))*(INDEX(DailyScalarsTable,AM$5/100,MONTH($A87)))*$C87</f>
        <v>-10682.826838803729</v>
      </c>
      <c r="AN87" s="1021">
        <f>(VLOOKUP(YEAR($A87),'NY East Load Projections'!$A$4:$EO$14,((MONTH($A87)-1)*12)+VLOOKUP(AN$4,$DE$6:$DF$17,2)+1))*(VLOOKUP($A87,SatSunCurve,4))*(INDEX(DailyScalarsTable,AN$5/100,MONTH($A87)))*$C87</f>
        <v>-10049.516151820248</v>
      </c>
      <c r="AO87" s="1021">
        <f>(VLOOKUP(YEAR($A87),'NY East Load Projections'!$A$4:$EO$14,((MONTH($A87)-1)*12)+VLOOKUP(AO$4,$DE$6:$DF$17,2)+1))*(VLOOKUP($A87,SatSunCurve,4))*(INDEX(DailyScalarsTable,AO$5/100,MONTH($A87)))*$C87</f>
        <v>-11916.564646994264</v>
      </c>
      <c r="AP87" s="1021">
        <f>(VLOOKUP(YEAR($A87),'NY East Load Projections'!$A$4:$EO$14,((MONTH($A87)-1)*12)+VLOOKUP(AP$4,$DE$6:$DF$17,2)+1))*(VLOOKUP($A87,SatSunCurve,4))*(INDEX(DailyScalarsTable,AP$5/100,MONTH($A87)))*$C87</f>
        <v>-11879.739663536307</v>
      </c>
      <c r="AQ87" s="1021">
        <f>(VLOOKUP(YEAR($A87),'NY East Load Projections'!$A$4:$EO$14,((MONTH($A87)-1)*12)+VLOOKUP(AQ$4,$DE$6:$DF$17,2)+1))*(VLOOKUP($A87,SatSunCurve,4))*(INDEX(DailyScalarsTable,AQ$5/100,MONTH($A87)))*$C87</f>
        <v>-11812.402550927476</v>
      </c>
      <c r="AR87" s="1021">
        <f>(VLOOKUP(YEAR($A87),'NY East Load Projections'!$A$4:$EO$14,((MONTH($A87)-1)*12)+VLOOKUP(AR$4,$DE$6:$DF$17,2)+1))*(VLOOKUP($A87,SatSunCurve,4))*(INDEX(DailyScalarsTable,AR$5/100,MONTH($A87)))*$C87</f>
        <v>-9967.9969508761842</v>
      </c>
      <c r="AS87" s="1021">
        <f>(VLOOKUP(YEAR($A87),'NY East Load Projections'!$A$4:$EO$14,((MONTH($A87)-1)*12)+VLOOKUP(AS$4,$DE$6:$DF$17,2)+1))*(VLOOKUP($A87,SatSunCurve,4))*(INDEX(DailyScalarsTable,AS$5/100,MONTH($A87)))*$C87</f>
        <v>-9532.0184356357277</v>
      </c>
      <c r="AT87" s="1021">
        <f>(VLOOKUP(YEAR($A87),'NY East Load Projections'!$A$4:$EO$14,((MONTH($A87)-1)*12)+VLOOKUP(AT$4,$DE$6:$DF$17,2)+1))*(VLOOKUP($A87,SatSunCurve,4))*(INDEX(DailyScalarsTable,AT$5/100,MONTH($A87)))*$C87</f>
        <v>-9267.4484217462978</v>
      </c>
      <c r="AU87" s="1021">
        <f>(VLOOKUP(YEAR($A87),'NY East Load Projections'!$A$4:$EO$14,((MONTH($A87)-1)*12)+VLOOKUP(AU$4,$DE$6:$DF$17,2)+1))*(VLOOKUP($A87,SatSunCurve,4))*(INDEX(DailyScalarsTable,AU$5/100,MONTH($A87)))*$C87</f>
        <v>-9052.1505561925533</v>
      </c>
      <c r="AV87" s="1021">
        <f>(VLOOKUP(YEAR($A87),'NY East Load Projections'!$A$4:$EO$14,((MONTH($A87)-1)*12)+VLOOKUP(AV$4,$DE$6:$DF$17,2)+1))*(VLOOKUP($A87,SatSunCurve,4))*(INDEX(DailyScalarsTable,AV$5/100,MONTH($A87)))*$C87</f>
        <v>-8990.0248039432136</v>
      </c>
      <c r="AW87" s="1021">
        <f>(VLOOKUP(YEAR($A87),'NY East Load Projections'!$A$4:$EO$14,((MONTH($A87)-1)*12)+VLOOKUP(AW$4,$DE$6:$DF$17,2)+1))*(VLOOKUP($A87,SatSunCurve,4))*(INDEX(DailyScalarsTable,AW$5/100,MONTH($A87)))*$C87</f>
        <v>-8880.8418565142201</v>
      </c>
      <c r="AX87" s="1021">
        <f>(VLOOKUP(YEAR($A87),'NY East Load Projections'!$A$4:$EO$14,((MONTH($A87)-1)*12)+VLOOKUP(AX$4,$DE$6:$DF$17,2)+1))*(VLOOKUP($A87,SatSunCurve,4))*(INDEX(DailyScalarsTable,AX$5/100,MONTH($A87)))*$C87</f>
        <v>-11980.551160074996</v>
      </c>
      <c r="AY87" s="1021">
        <f>(VLOOKUP(YEAR($A87),'NY East Load Projections'!$A$4:$EO$14,((MONTH($A87)-1)*12)+VLOOKUP(AY$4,$DE$6:$DF$17,2)+1))*(VLOOKUP($A87,SatSunCurve,4))*(INDEX(DailyScalarsTable,AY$5/100,MONTH($A87)))*$C87</f>
        <v>-12074.39099084302</v>
      </c>
      <c r="AZ87" s="1021">
        <f>(VLOOKUP(YEAR($A87),'NY East Load Projections'!$A$4:$EO$14,((MONTH($A87)-1)*12)+VLOOKUP(AZ$4,$DE$6:$DF$17,2)+1))*(VLOOKUP($A87,SatSunCurve,4))*(INDEX(DailyScalarsTable,AZ$5/100,MONTH($A87)))*$C87</f>
        <v>-11547.290664826889</v>
      </c>
      <c r="BA87" s="1021">
        <f>(VLOOKUP(YEAR($A87),'NY East Load Projections'!$A$4:$EO$14,((MONTH($A87)-1)*12)+VLOOKUP(BA$4,$DE$6:$DF$17,2)+1))*(VLOOKUP($A87,SatSunCurve,4))*(INDEX(DailyScalarsTable,BA$5/100,MONTH($A87)))*$C87</f>
        <v>-10192.867121748488</v>
      </c>
      <c r="BB87" s="1021">
        <f>(VLOOKUP(YEAR($A87),'NY East Load Projections'!$A$4:$EO$14,((MONTH($A87)-1)*12)+VLOOKUP(BB$4,$DE$6:$DF$17,2)+1))*(VLOOKUP($A87,SatSunCurve,4))*(INDEX(DailyScalarsTable,BB$5/100,MONTH($A87)))*$C87</f>
        <v>-8455.4357534422161</v>
      </c>
      <c r="BC87" s="1021">
        <f>(VLOOKUP(YEAR($A87),'NY East Load Projections'!$A$4:$EO$14,((MONTH($A87)-1)*12)+VLOOKUP(BC$4,$DE$6:$DF$17,2)+1))*(VLOOKUP($A87,SatSunCurve,4))*(INDEX(DailyScalarsTable,BC$5/100,MONTH($A87)))*$C87</f>
        <v>-7209.1005183289899</v>
      </c>
      <c r="BD87" s="1021">
        <f>(VLOOKUP(YEAR($A87),'NY East Load Projections'!$A$4:$EO$14,((MONTH($A87)-1)*12)+VLOOKUP(BD$4,$DE$6:$DF$17,2)+1))*(VLOOKUP($A87,CURVES!$D$9:$T$261,8))*(INDEX(DailyScalarsTable,BD$5/100,MONTH($A87)))*$C87</f>
        <v>-8214.817945976265</v>
      </c>
      <c r="BE87" s="1021"/>
      <c r="BF87" s="1021">
        <f>(VLOOKUP(YEAR($A87),'NY East Load Projections'!$A$4:$EO$14,((MONTH($A87)-1)*12)+VLOOKUP(BF$4,$DE$6:$DF$17,2)+1))*(VLOOKUP($A87,CURVES!$D$9:$T$261,8))*(INDEX(DailyScalarsTable,BF$5/100,MONTH($A87)))*$D87</f>
        <v>-7261.4524931803753</v>
      </c>
      <c r="BG87" s="1021">
        <f>(VLOOKUP(YEAR($A87),'NY East Load Projections'!$A$4:$EO$14,((MONTH($A87)-1)*12)+VLOOKUP(BG$4,$DE$6:$DF$17,2)+1))*(VLOOKUP($A87,CURVES!$D$9:$T$261,8))*(INDEX(DailyScalarsTable,BG$5/100,MONTH($A87)))*$D87</f>
        <v>-6892.0705496094297</v>
      </c>
      <c r="BH87" s="1021">
        <f>(VLOOKUP(YEAR($A87),'NY East Load Projections'!$A$4:$EO$14,((MONTH($A87)-1)*12)+VLOOKUP(BH$4,$DE$6:$DF$17,2)+1))*(VLOOKUP($A87,CURVES!$D$9:$T$261,8))*(INDEX(DailyScalarsTable,BH$5/100,MONTH($A87)))*$D87</f>
        <v>-6620.5786449144298</v>
      </c>
      <c r="BI87" s="1021">
        <f>(VLOOKUP(YEAR($A87),'NY East Load Projections'!$A$4:$EO$14,((MONTH($A87)-1)*12)+VLOOKUP(BI$4,$DE$6:$DF$17,2)+1))*(VLOOKUP($A87,CURVES!$D$9:$T$261,8))*(INDEX(DailyScalarsTable,BI$5/100,MONTH($A87)))*$D87</f>
        <v>-6624.4024745580209</v>
      </c>
      <c r="BJ87" s="1021">
        <f>(VLOOKUP(YEAR($A87),'NY East Load Projections'!$A$4:$EO$14,((MONTH($A87)-1)*12)+VLOOKUP(BJ$4,$DE$6:$DF$17,2)+1))*(VLOOKUP($A87,CURVES!$D$9:$T$261,8))*(INDEX(DailyScalarsTable,BJ$5/100,MONTH($A87)))*$D87</f>
        <v>-7193.0516469125405</v>
      </c>
      <c r="BK87" s="1021">
        <f>(VLOOKUP(YEAR($A87),'NY East Load Projections'!$A$4:$EO$14,((MONTH($A87)-1)*12)+VLOOKUP(BK$4,$DE$6:$DF$17,2)+1))*(VLOOKUP($A87,CURVES!$D$9:$T$261,8))*(INDEX(DailyScalarsTable,BK$5/100,MONTH($A87)))*$D87</f>
        <v>-8263.6634354816069</v>
      </c>
      <c r="BL87" s="1021">
        <f>(VLOOKUP(YEAR($A87),'NY East Load Projections'!$A$4:$EO$14,((MONTH($A87)-1)*12)+VLOOKUP(BL$4,$DE$6:$DF$17,2)+1))*(VLOOKUP($A87,CURVES!$D$9:$T$261,8))*(INDEX(DailyScalarsTable,BL$5/100,MONTH($A87)))*$D87</f>
        <v>-10682.826838803729</v>
      </c>
      <c r="BM87" s="1021">
        <f>(VLOOKUP(YEAR($A87),'NY East Load Projections'!$A$4:$EO$14,((MONTH($A87)-1)*12)+VLOOKUP(BM$4,$DE$6:$DF$17,2)+1))*(VLOOKUP($A87,SatSunCurve,8))*(INDEX(DailyScalarsTable,BM$5/100,MONTH($A87)))*$D87</f>
        <v>-10227.989382783724</v>
      </c>
      <c r="BN87" s="1021">
        <f>(VLOOKUP(YEAR($A87),'NY East Load Projections'!$A$4:$EO$14,((MONTH($A87)-1)*12)+VLOOKUP(BN$4,$DE$6:$DF$17,2)+1))*(VLOOKUP($A87,SatSunCurve,8))*(INDEX(DailyScalarsTable,BN$5/100,MONTH($A87)))*$D87</f>
        <v>-12128.195511844307</v>
      </c>
      <c r="BO87" s="1021">
        <f>(VLOOKUP(YEAR($A87),'NY East Load Projections'!$A$4:$EO$14,((MONTH($A87)-1)*12)+VLOOKUP(BO$4,$DE$6:$DF$17,2)+1))*(VLOOKUP($A87,SatSunCurve,8))*(INDEX(DailyScalarsTable,BO$5/100,MONTH($A87)))*$D87</f>
        <v>-12090.716539310795</v>
      </c>
      <c r="BP87" s="1021">
        <f>(VLOOKUP(YEAR($A87),'NY East Load Projections'!$A$4:$EO$14,((MONTH($A87)-1)*12)+VLOOKUP(BP$4,$DE$6:$DF$17,2)+1))*(VLOOKUP($A87,SatSunCurve,8))*(INDEX(DailyScalarsTable,BP$5/100,MONTH($A87)))*$D87</f>
        <v>-12022.183560963804</v>
      </c>
      <c r="BQ87" s="1021">
        <f>(VLOOKUP(YEAR($A87),'NY East Load Projections'!$A$4:$EO$14,((MONTH($A87)-1)*12)+VLOOKUP(BQ$4,$DE$6:$DF$17,2)+1))*(VLOOKUP($A87,SatSunCurve,8))*(INDEX(DailyScalarsTable,BQ$5/100,MONTH($A87)))*$D87</f>
        <v>-10145.022450928216</v>
      </c>
      <c r="BR87" s="1021">
        <f>(VLOOKUP(YEAR($A87),'NY East Load Projections'!$A$4:$EO$14,((MONTH($A87)-1)*12)+VLOOKUP(BR$4,$DE$6:$DF$17,2)+1))*(VLOOKUP($A87,SatSunCurve,8))*(INDEX(DailyScalarsTable,BR$5/100,MONTH($A87)))*$D87</f>
        <v>-9701.3012251860673</v>
      </c>
      <c r="BS87" s="1021">
        <f>(VLOOKUP(YEAR($A87),'NY East Load Projections'!$A$4:$EO$14,((MONTH($A87)-1)*12)+VLOOKUP(BS$4,$DE$6:$DF$17,2)+1))*(VLOOKUP($A87,SatSunCurve,8))*(INDEX(DailyScalarsTable,BS$5/100,MONTH($A87)))*$D87</f>
        <v>-9432.032610440483</v>
      </c>
      <c r="BT87" s="1021">
        <f>(VLOOKUP(YEAR($A87),'NY East Load Projections'!$A$4:$EO$14,((MONTH($A87)-1)*12)+VLOOKUP(BT$4,$DE$6:$DF$17,2)+1))*(VLOOKUP($A87,SatSunCurve,8))*(INDEX(DailyScalarsTable,BT$5/100,MONTH($A87)))*$D87</f>
        <v>-9212.9111871050063</v>
      </c>
      <c r="BU87" s="1021">
        <f>(VLOOKUP(YEAR($A87),'NY East Load Projections'!$A$4:$EO$14,((MONTH($A87)-1)*12)+VLOOKUP(BU$4,$DE$6:$DF$17,2)+1))*(VLOOKUP($A87,SatSunCurve,8))*(INDEX(DailyScalarsTable,BU$5/100,MONTH($A87)))*$D87</f>
        <v>-9149.6821196748697</v>
      </c>
      <c r="BV87" s="1021">
        <f>(VLOOKUP(YEAR($A87),'NY East Load Projections'!$A$4:$EO$14,((MONTH($A87)-1)*12)+VLOOKUP(BV$4,$DE$6:$DF$17,2)+1))*(VLOOKUP($A87,SatSunCurve,8))*(INDEX(DailyScalarsTable,BV$5/100,MONTH($A87)))*$D87</f>
        <v>-9038.5601501975125</v>
      </c>
      <c r="BW87" s="1021">
        <f>(VLOOKUP(YEAR($A87),'NY East Load Projections'!$A$4:$EO$14,((MONTH($A87)-1)*12)+VLOOKUP(BW$4,$DE$6:$DF$17,2)+1))*(VLOOKUP($A87,SatSunCurve,8))*(INDEX(DailyScalarsTable,BW$5/100,MONTH($A87)))*$D87</f>
        <v>-12193.318386074681</v>
      </c>
      <c r="BX87" s="1021">
        <f>(VLOOKUP(YEAR($A87),'NY East Load Projections'!$A$4:$EO$14,((MONTH($A87)-1)*12)+VLOOKUP(BX$4,$DE$6:$DF$17,2)+1))*(VLOOKUP($A87,SatSunCurve,8))*(INDEX(DailyScalarsTable,BX$5/100,MONTH($A87)))*$D87</f>
        <v>-12288.824754568224</v>
      </c>
      <c r="BY87" s="1021">
        <f>(VLOOKUP(YEAR($A87),'NY East Load Projections'!$A$4:$EO$14,((MONTH($A87)-1)*12)+VLOOKUP(BY$4,$DE$6:$DF$17,2)+1))*(VLOOKUP($A87,SatSunCurve,8))*(INDEX(DailyScalarsTable,BY$5/100,MONTH($A87)))*$D87</f>
        <v>-11752.363450689596</v>
      </c>
      <c r="BZ87" s="1021">
        <f>(VLOOKUP(YEAR($A87),'NY East Load Projections'!$A$4:$EO$14,((MONTH($A87)-1)*12)+VLOOKUP(BZ$4,$DE$6:$DF$17,2)+1))*(VLOOKUP($A87,SatSunCurve,8))*(INDEX(DailyScalarsTable,BZ$5/100,MONTH($A87)))*$D87</f>
        <v>-10373.886177842081</v>
      </c>
      <c r="CA87" s="1021">
        <f>(VLOOKUP(YEAR($A87),'NY East Load Projections'!$A$4:$EO$14,((MONTH($A87)-1)*12)+VLOOKUP(CA$4,$DE$6:$DF$17,2)+1))*(VLOOKUP($A87,SatSunCurve,8))*(INDEX(DailyScalarsTable,CA$5/100,MONTH($A87)))*$D87</f>
        <v>-8605.5990961666903</v>
      </c>
      <c r="CB87" s="1021">
        <f>(VLOOKUP(YEAR($A87),'NY East Load Projections'!$A$4:$EO$14,((MONTH($A87)-1)*12)+VLOOKUP(CB$4,$DE$6:$DF$17,2)+1))*(VLOOKUP($A87,SatSunCurve,8))*(INDEX(DailyScalarsTable,CB$5/100,MONTH($A87)))*$D87</f>
        <v>-7337.1297132085456</v>
      </c>
      <c r="CC87" s="1021">
        <f>(VLOOKUP(YEAR($A87),'NY East Load Projections'!$A$4:$EO$14,((MONTH($A87)-1)*12)+VLOOKUP(CC$4,$DE$6:$DF$17,2)+1))*(VLOOKUP($A87,CURVES!$D$9:$T$261,8))*(INDEX(DailyScalarsTable,CC$5/100,MONTH($A87)))*$D87</f>
        <v>-8214.817945976265</v>
      </c>
      <c r="CE87" s="1021">
        <f>(VLOOKUP(YEAR($A87),'NY East Load Projections'!$A$4:$EO$14,((MONTH($A87)-1)*12)+VLOOKUP(CE$4,$DE$6:$DF$17,2)+1))*(VLOOKUP($A87,CURVES!$D$9:$T$261,8))*(INDEX(DailyScalarsTable,CE$5/100,MONTH($A87)))*$E87</f>
        <v>0</v>
      </c>
      <c r="CF87" s="1021">
        <f>(VLOOKUP(YEAR($A87),'NY East Load Projections'!$A$4:$EO$14,((MONTH($A87)-1)*12)+VLOOKUP(CF$4,$DE$6:$DF$17,2)+1))*(VLOOKUP($A87,CURVES!$D$9:$T$261,8))*(INDEX(DailyScalarsTable,CF$5/100,MONTH($A87)))*$E87</f>
        <v>0</v>
      </c>
      <c r="CG87" s="1021">
        <f>(VLOOKUP(YEAR($A87),'NY East Load Projections'!$A$4:$EO$14,((MONTH($A87)-1)*12)+VLOOKUP(CG$4,$DE$6:$DF$17,2)+1))*(VLOOKUP($A87,CURVES!$D$9:$T$261,8))*(INDEX(DailyScalarsTable,CG$5/100,MONTH($A87)))*$E87</f>
        <v>0</v>
      </c>
      <c r="CH87" s="1021">
        <f>(VLOOKUP(YEAR($A87),'NY East Load Projections'!$A$4:$EO$14,((MONTH($A87)-1)*12)+VLOOKUP(CH$4,$DE$6:$DF$17,2)+1))*(VLOOKUP($A87,CURVES!$D$9:$T$261,8))*(INDEX(DailyScalarsTable,CH$5/100,MONTH($A87)))*$E87</f>
        <v>0</v>
      </c>
      <c r="CI87" s="1021">
        <f>(VLOOKUP(YEAR($A87),'NY East Load Projections'!$A$4:$EO$14,((MONTH($A87)-1)*12)+VLOOKUP(CI$4,$DE$6:$DF$17,2)+1))*(VLOOKUP($A87,CURVES!$D$9:$T$261,8))*(INDEX(DailyScalarsTable,CI$5/100,MONTH($A87)))*$E87</f>
        <v>0</v>
      </c>
      <c r="CJ87" s="1021">
        <f>(VLOOKUP(YEAR($A87),'NY East Load Projections'!$A$4:$EO$14,((MONTH($A87)-1)*12)+VLOOKUP(CJ$4,$DE$6:$DF$17,2)+1))*(VLOOKUP($A87,CURVES!$D$9:$T$261,8))*(INDEX(DailyScalarsTable,CJ$5/100,MONTH($A87)))*$E87</f>
        <v>0</v>
      </c>
      <c r="CK87" s="1021">
        <f>(VLOOKUP(YEAR($A87),'NY East Load Projections'!$A$4:$EO$14,((MONTH($A87)-1)*12)+VLOOKUP(CK$4,$DE$6:$DF$17,2)+1))*(VLOOKUP($A87,CURVES!$D$9:$T$261,8))*(INDEX(DailyScalarsTable,CK$5/100,MONTH($A87)))*$E87</f>
        <v>0</v>
      </c>
      <c r="CL87" s="1021">
        <f>(VLOOKUP(YEAR($A87),'NY East Load Projections'!$A$4:$EO$14,((MONTH($A87)-1)*12)+VLOOKUP(CL$4,$DE$6:$DF$17,2)+1))*(VLOOKUP($A87,SatSunCurve,8))*(INDEX(DailyScalarsTable,CL$5/100,MONTH($A87)))*$E87</f>
        <v>0</v>
      </c>
      <c r="CM87" s="1021">
        <f>(VLOOKUP(YEAR($A87),'NY East Load Projections'!$A$4:$EO$14,((MONTH($A87)-1)*12)+VLOOKUP(CM$4,$DE$6:$DF$17,2)+1))*(VLOOKUP($A87,SatSunCurve,8))*(INDEX(DailyScalarsTable,CM$5/100,MONTH($A87)))*$E87</f>
        <v>0</v>
      </c>
      <c r="CN87" s="1021">
        <f>(VLOOKUP(YEAR($A87),'NY East Load Projections'!$A$4:$EO$14,((MONTH($A87)-1)*12)+VLOOKUP(CN$4,$DE$6:$DF$17,2)+1))*(VLOOKUP($A87,SatSunCurve,8))*(INDEX(DailyScalarsTable,CN$5/100,MONTH($A87)))*$E87</f>
        <v>0</v>
      </c>
      <c r="CO87" s="1021">
        <f>(VLOOKUP(YEAR($A87),'NY East Load Projections'!$A$4:$EO$14,((MONTH($A87)-1)*12)+VLOOKUP(CO$4,$DE$6:$DF$17,2)+1))*(VLOOKUP($A87,SatSunCurve,8))*(INDEX(DailyScalarsTable,CO$5/100,MONTH($A87)))*$E87</f>
        <v>0</v>
      </c>
      <c r="CP87" s="1021">
        <f>(VLOOKUP(YEAR($A87),'NY East Load Projections'!$A$4:$EO$14,((MONTH($A87)-1)*12)+VLOOKUP(CP$4,$DE$6:$DF$17,2)+1))*(VLOOKUP($A87,SatSunCurve,8))*(INDEX(DailyScalarsTable,CP$5/100,MONTH($A87)))*$E87</f>
        <v>0</v>
      </c>
      <c r="CQ87" s="1021">
        <f>(VLOOKUP(YEAR($A87),'NY East Load Projections'!$A$4:$EO$14,((MONTH($A87)-1)*12)+VLOOKUP(CQ$4,$DE$6:$DF$17,2)+1))*(VLOOKUP($A87,SatSunCurve,8))*(INDEX(DailyScalarsTable,CQ$5/100,MONTH($A87)))*$E87</f>
        <v>0</v>
      </c>
      <c r="CR87" s="1021">
        <f>(VLOOKUP(YEAR($A87),'NY East Load Projections'!$A$4:$EO$14,((MONTH($A87)-1)*12)+VLOOKUP(CR$4,$DE$6:$DF$17,2)+1))*(VLOOKUP($A87,SatSunCurve,8))*(INDEX(DailyScalarsTable,CR$5/100,MONTH($A87)))*$E87</f>
        <v>0</v>
      </c>
      <c r="CS87" s="1021">
        <f>(VLOOKUP(YEAR($A87),'NY East Load Projections'!$A$4:$EO$14,((MONTH($A87)-1)*12)+VLOOKUP(CS$4,$DE$6:$DF$17,2)+1))*(VLOOKUP($A87,SatSunCurve,8))*(INDEX(DailyScalarsTable,CS$5/100,MONTH($A87)))*$E87</f>
        <v>0</v>
      </c>
      <c r="CT87" s="1021">
        <f>(VLOOKUP(YEAR($A87),'NY East Load Projections'!$A$4:$EO$14,((MONTH($A87)-1)*12)+VLOOKUP(CT$4,$DE$6:$DF$17,2)+1))*(VLOOKUP($A87,SatSunCurve,8))*(INDEX(DailyScalarsTable,CT$5/100,MONTH($A87)))*$E87</f>
        <v>0</v>
      </c>
      <c r="CU87" s="1021">
        <f>(VLOOKUP(YEAR($A87),'NY East Load Projections'!$A$4:$EO$14,((MONTH($A87)-1)*12)+VLOOKUP(CU$4,$DE$6:$DF$17,2)+1))*(VLOOKUP($A87,SatSunCurve,8))*(INDEX(DailyScalarsTable,CU$5/100,MONTH($A87)))*$E87</f>
        <v>0</v>
      </c>
      <c r="CV87" s="1021">
        <f>(VLOOKUP(YEAR($A87),'NY East Load Projections'!$A$4:$EO$14,((MONTH($A87)-1)*12)+VLOOKUP(CV$4,$DE$6:$DF$17,2)+1))*(VLOOKUP($A87,SatSunCurve,8))*(INDEX(DailyScalarsTable,CV$5/100,MONTH($A87)))*$E87</f>
        <v>0</v>
      </c>
      <c r="CW87" s="1021">
        <f>(VLOOKUP(YEAR($A87),'NY East Load Projections'!$A$4:$EO$14,((MONTH($A87)-1)*12)+VLOOKUP(CW$4,$DE$6:$DF$17,2)+1))*(VLOOKUP($A87,SatSunCurve,8))*(INDEX(DailyScalarsTable,CW$5/100,MONTH($A87)))*$E87</f>
        <v>0</v>
      </c>
      <c r="CX87" s="1021">
        <f>(VLOOKUP(YEAR($A87),'NY East Load Projections'!$A$4:$EO$14,((MONTH($A87)-1)*12)+VLOOKUP(CX$4,$DE$6:$DF$17,2)+1))*(VLOOKUP($A87,SatSunCurve,8))*(INDEX(DailyScalarsTable,CX$5/100,MONTH($A87)))*$E87</f>
        <v>0</v>
      </c>
      <c r="CY87" s="1021">
        <f>(VLOOKUP(YEAR($A87),'NY East Load Projections'!$A$4:$EO$14,((MONTH($A87)-1)*12)+VLOOKUP(CY$4,$DE$6:$DF$17,2)+1))*(VLOOKUP($A87,SatSunCurve,8))*(INDEX(DailyScalarsTable,CY$5/100,MONTH($A87)))*$E87</f>
        <v>0</v>
      </c>
      <c r="CZ87" s="1021">
        <f>(VLOOKUP(YEAR($A87),'NY East Load Projections'!$A$4:$EO$14,((MONTH($A87)-1)*12)+VLOOKUP(CZ$4,$DE$6:$DF$17,2)+1))*(VLOOKUP($A87,SatSunCurve,8))*(INDEX(DailyScalarsTable,CZ$5/100,MONTH($A87)))*$E87</f>
        <v>0</v>
      </c>
      <c r="DA87" s="1021">
        <f>(VLOOKUP(YEAR($A87),'NY East Load Projections'!$A$4:$EO$14,((MONTH($A87)-1)*12)+VLOOKUP(DA$4,$DE$6:$DF$17,2)+1))*(VLOOKUP($A87,SatSunCurve,8))*(INDEX(DailyScalarsTable,DA$5/100,MONTH($A87)))*$E87</f>
        <v>0</v>
      </c>
      <c r="DB87" s="1021">
        <f>(VLOOKUP(YEAR($A87),'NY East Load Projections'!$A$4:$EO$14,((MONTH($A87)-1)*12)+VLOOKUP(DB$4,$DE$6:$DF$17,2)+1))*(VLOOKUP($A87,CURVES!$D$9:$T$261,8))*(INDEX(DailyScalarsTable,DB$5/100,MONTH($A87)))*$E87</f>
        <v>0</v>
      </c>
      <c r="DH87" s="1021">
        <f t="shared" si="2"/>
        <v>-1989906.3898068094</v>
      </c>
      <c r="DI87">
        <f ca="1">CALC!J107</f>
        <v>0.57172407099571054</v>
      </c>
      <c r="DJ87" s="1029">
        <f t="shared" ca="1" si="3"/>
        <v>-1137677.3820807263</v>
      </c>
    </row>
    <row r="88" spans="1:114" x14ac:dyDescent="0.25">
      <c r="A88" s="244">
        <v>39387</v>
      </c>
      <c r="B88" s="13">
        <v>21</v>
      </c>
      <c r="C88" s="210">
        <v>4</v>
      </c>
      <c r="D88" s="210">
        <v>4</v>
      </c>
      <c r="E88" s="210">
        <v>1</v>
      </c>
      <c r="F88" s="13">
        <v>30</v>
      </c>
      <c r="H88" s="1021">
        <f>(VLOOKUP(YEAR($A88),'NY East Load Projections'!$A$4:$EO$14,((MONTH($A88)-1)*12)+VLOOKUP(H$4,$DE$6:$DF$17,2)+1))*(VLOOKUP($A88,CURVES!$D$9:$K$261,8))*(INDEX(DailyScalarsTable,H$5/100,MONTH($A88)))*$B88</f>
        <v>-34239.092490050461</v>
      </c>
      <c r="I88" s="1021">
        <f>(VLOOKUP(YEAR($A88),'NY East Load Projections'!$A$4:$EO$14,((MONTH($A88)-1)*12)+VLOOKUP(I$4,$DE$6:$DF$17,2)+1))*(VLOOKUP($A88,CURVES!$D$9:$K$261,8))*(INDEX(DailyScalarsTable,I$5/100,MONTH($A88)))*$B88</f>
        <v>-32459.912105683128</v>
      </c>
      <c r="J88" s="1021">
        <f>(VLOOKUP(YEAR($A88),'NY East Load Projections'!$A$4:$EO$14,((MONTH($A88)-1)*12)+VLOOKUP(J$4,$DE$6:$DF$17,2)+1))*(VLOOKUP($A88,CURVES!$D$9:$K$261,8))*(INDEX(DailyScalarsTable,J$5/100,MONTH($A88)))*$B88</f>
        <v>-31152.232941189541</v>
      </c>
      <c r="K88" s="1021">
        <f>(VLOOKUP(YEAR($A88),'NY East Load Projections'!$A$4:$EO$14,((MONTH($A88)-1)*12)+VLOOKUP(K$4,$DE$6:$DF$17,2)+1))*(VLOOKUP($A88,CURVES!$D$9:$K$261,8))*(INDEX(DailyScalarsTable,K$5/100,MONTH($A88)))*$B88</f>
        <v>-31170.650957590857</v>
      </c>
      <c r="L88" s="1021">
        <f>(VLOOKUP(YEAR($A88),'NY East Load Projections'!$A$4:$EO$14,((MONTH($A88)-1)*12)+VLOOKUP(L$4,$DE$6:$DF$17,2)+1))*(VLOOKUP($A88,CURVES!$D$9:$K$261,8))*(INDEX(DailyScalarsTable,L$5/100,MONTH($A88)))*$B88</f>
        <v>-36004.785731432647</v>
      </c>
      <c r="M88" s="1021">
        <f>(VLOOKUP(YEAR($A88),'NY East Load Projections'!$A$4:$EO$14,((MONTH($A88)-1)*12)+VLOOKUP(M$4,$DE$6:$DF$17,2)+1))*(VLOOKUP($A88,CURVES!$D$9:$K$261,8))*(INDEX(DailyScalarsTable,M$5/100,MONTH($A88)))*$B88</f>
        <v>-41481.961630345562</v>
      </c>
      <c r="N88" s="1021">
        <f>(VLOOKUP(YEAR($A88),'NY East Load Projections'!$A$4:$EO$14,((MONTH($A88)-1)*12)+VLOOKUP(N$4,$DE$6:$DF$17,2)+1))*(VLOOKUP($A88,CURVES!$D$9:$K$261,8))*(INDEX(DailyScalarsTable,N$5/100,MONTH($A88)))*$B88</f>
        <v>-59418.819033892149</v>
      </c>
      <c r="O88" s="1021">
        <f>(VLOOKUP(YEAR($A88),'NY East Load Projections'!$A$4:$EO$14,((MONTH($A88)-1)*12)+VLOOKUP(O$4,$DE$6:$DF$17,2)+1))*(VLOOKUP($A88,CURVES!$D$9:$K$261,4))*(INDEX(DailyScalarsTable,O$5/100,MONTH($A88)))*$B88</f>
        <v>-68061.6564195877</v>
      </c>
      <c r="P88" s="1021">
        <f>(VLOOKUP(YEAR($A88),'NY East Load Projections'!$A$4:$EO$14,((MONTH($A88)-1)*12)+VLOOKUP(P$4,$DE$6:$DF$17,2)+1))*(VLOOKUP($A88,CURVES!$D$9:$K$261,4))*(INDEX(DailyScalarsTable,P$5/100,MONTH($A88)))*$B88</f>
        <v>-76544.319199274265</v>
      </c>
      <c r="Q88" s="1021">
        <f>(VLOOKUP(YEAR($A88),'NY East Load Projections'!$A$4:$EO$14,((MONTH($A88)-1)*12)+VLOOKUP(Q$4,$DE$6:$DF$17,2)+1))*(VLOOKUP($A88,CURVES!$D$9:$K$261,4))*(INDEX(DailyScalarsTable,Q$5/100,MONTH($A88)))*$B88</f>
        <v>-76048.583191857295</v>
      </c>
      <c r="R88" s="1021">
        <f>(VLOOKUP(YEAR($A88),'NY East Load Projections'!$A$4:$EO$14,((MONTH($A88)-1)*12)+VLOOKUP(R$4,$DE$6:$DF$17,2)+1))*(VLOOKUP($A88,CURVES!$D$9:$K$261,4))*(INDEX(DailyScalarsTable,R$5/100,MONTH($A88)))*$B88</f>
        <v>-74581.47257531248</v>
      </c>
      <c r="S88" s="1021">
        <f>(VLOOKUP(YEAR($A88),'NY East Load Projections'!$A$4:$EO$14,((MONTH($A88)-1)*12)+VLOOKUP(S$4,$DE$6:$DF$17,2)+1))*(VLOOKUP($A88,CURVES!$D$9:$K$261,4))*(INDEX(DailyScalarsTable,S$5/100,MONTH($A88)))*$B88</f>
        <v>-62797.693696306407</v>
      </c>
      <c r="T88" s="1021">
        <f>(VLOOKUP(YEAR($A88),'NY East Load Projections'!$A$4:$EO$14,((MONTH($A88)-1)*12)+VLOOKUP(T$4,$DE$6:$DF$17,2)+1))*(VLOOKUP($A88,CURVES!$D$9:$K$261,4))*(INDEX(DailyScalarsTable,T$5/100,MONTH($A88)))*$B88</f>
        <v>-60456.097396680263</v>
      </c>
      <c r="U88" s="1021">
        <f>(VLOOKUP(YEAR($A88),'NY East Load Projections'!$A$4:$EO$14,((MONTH($A88)-1)*12)+VLOOKUP(U$4,$DE$6:$DF$17,2)+1))*(VLOOKUP($A88,CURVES!$D$9:$K$261,4))*(INDEX(DailyScalarsTable,U$5/100,MONTH($A88)))*$B88</f>
        <v>-58833.252784265125</v>
      </c>
      <c r="V88" s="1021">
        <f>(VLOOKUP(YEAR($A88),'NY East Load Projections'!$A$4:$EO$14,((MONTH($A88)-1)*12)+VLOOKUP(V$4,$DE$6:$DF$17,2)+1))*(VLOOKUP($A88,CURVES!$D$9:$K$261,4))*(INDEX(DailyScalarsTable,V$5/100,MONTH($A88)))*$B88</f>
        <v>-57456.91621424217</v>
      </c>
      <c r="W88" s="1021">
        <f>(VLOOKUP(YEAR($A88),'NY East Load Projections'!$A$4:$EO$14,((MONTH($A88)-1)*12)+VLOOKUP(W$4,$DE$6:$DF$17,2)+1))*(VLOOKUP($A88,CURVES!$D$9:$K$261,4))*(INDEX(DailyScalarsTable,W$5/100,MONTH($A88)))*$B88</f>
        <v>-56511.968718405507</v>
      </c>
      <c r="X88" s="1021">
        <f>(VLOOKUP(YEAR($A88),'NY East Load Projections'!$A$4:$EO$14,((MONTH($A88)-1)*12)+VLOOKUP(X$4,$DE$6:$DF$17,2)+1))*(VLOOKUP($A88,CURVES!$D$9:$K$261,4))*(INDEX(DailyScalarsTable,X$5/100,MONTH($A88)))*$B88</f>
        <v>-58530.070528241413</v>
      </c>
      <c r="Y88" s="1021">
        <f>(VLOOKUP(YEAR($A88),'NY East Load Projections'!$A$4:$EO$14,((MONTH($A88)-1)*12)+VLOOKUP(Y$4,$DE$6:$DF$17,2)+1))*(VLOOKUP($A88,CURVES!$D$9:$K$261,4))*(INDEX(DailyScalarsTable,Y$5/100,MONTH($A88)))*$B88</f>
        <v>-80348.464741622622</v>
      </c>
      <c r="Z88" s="1021">
        <f>(VLOOKUP(YEAR($A88),'NY East Load Projections'!$A$4:$EO$14,((MONTH($A88)-1)*12)+VLOOKUP(Z$4,$DE$6:$DF$17,2)+1))*(VLOOKUP($A88,CURVES!$D$9:$K$261,4))*(INDEX(DailyScalarsTable,Z$5/100,MONTH($A88)))*$B88</f>
        <v>-80995.424691066306</v>
      </c>
      <c r="AA88" s="1021">
        <f>(VLOOKUP(YEAR($A88),'NY East Load Projections'!$A$4:$EO$14,((MONTH($A88)-1)*12)+VLOOKUP(AA$4,$DE$6:$DF$17,2)+1))*(VLOOKUP($A88,CURVES!$D$9:$K$261,4))*(INDEX(DailyScalarsTable,AA$5/100,MONTH($A88)))*$B88</f>
        <v>-77681.405358201737</v>
      </c>
      <c r="AB88" s="1021">
        <f>(VLOOKUP(YEAR($A88),'NY East Load Projections'!$A$4:$EO$14,((MONTH($A88)-1)*12)+VLOOKUP(AB$4,$DE$6:$DF$17,2)+1))*(VLOOKUP($A88,CURVES!$D$9:$K$261,4))*(INDEX(DailyScalarsTable,AB$5/100,MONTH($A88)))*$B88</f>
        <v>-66424.715744644898</v>
      </c>
      <c r="AC88" s="1021">
        <f>(VLOOKUP(YEAR($A88),'NY East Load Projections'!$A$4:$EO$14,((MONTH($A88)-1)*12)+VLOOKUP(AC$4,$DE$6:$DF$17,2)+1))*(VLOOKUP($A88,CURVES!$D$9:$K$261,4))*(INDEX(DailyScalarsTable,AC$5/100,MONTH($A88)))*$B88</f>
        <v>-52839.644391598318</v>
      </c>
      <c r="AD88" s="1021">
        <f>(VLOOKUP(YEAR($A88),'NY East Load Projections'!$A$4:$EO$14,((MONTH($A88)-1)*12)+VLOOKUP(AD$4,$DE$6:$DF$17,2)+1))*(VLOOKUP($A88,CURVES!$D$9:$K$261,4))*(INDEX(DailyScalarsTable,AD$5/100,MONTH($A88)))*$B88</f>
        <v>-44561.718111362934</v>
      </c>
      <c r="AE88" s="1021">
        <f>(VLOOKUP(YEAR($A88),'NY East Load Projections'!$A$4:$EO$14,((MONTH($A88)-1)*12)+VLOOKUP(AE$4,$DE$6:$DF$17,2)+1))*(VLOOKUP($A88,CURVES!$D$9:$K$261,8))*(INDEX(DailyScalarsTable,AE$5/100,MONTH($A88)))*$B88</f>
        <v>-40070.046540879186</v>
      </c>
      <c r="AF88" s="1021"/>
      <c r="AG88" s="1021">
        <f>(VLOOKUP(YEAR($A88),'NY East Load Projections'!$A$4:$EO$14,((MONTH($A88)-1)*12)+VLOOKUP(AG$4,$DE$6:$DF$17,2)+1))*(VLOOKUP($A88,CURVES!$D$9:$T$261,8))*(INDEX(DailyScalarsTable,AG$5/100,MONTH($A88)))*$C88</f>
        <v>-6830.7992960837173</v>
      </c>
      <c r="AH88" s="1021">
        <f>(VLOOKUP(YEAR($A88),'NY East Load Projections'!$A$4:$EO$14,((MONTH($A88)-1)*12)+VLOOKUP(AH$4,$DE$6:$DF$17,2)+1))*(VLOOKUP($A88,CURVES!$D$9:$T$261,8))*(INDEX(DailyScalarsTable,AH$5/100,MONTH($A88)))*$C88</f>
        <v>-6475.8475951683395</v>
      </c>
      <c r="AI88" s="1021">
        <f>(VLOOKUP(YEAR($A88),'NY East Load Projections'!$A$4:$EO$14,((MONTH($A88)-1)*12)+VLOOKUP(AI$4,$DE$6:$DF$17,2)+1))*(VLOOKUP($A88,CURVES!$D$9:$T$261,8))*(INDEX(DailyScalarsTable,AI$5/100,MONTH($A88)))*$C88</f>
        <v>-6214.9617694437866</v>
      </c>
      <c r="AJ88" s="1021">
        <f>(VLOOKUP(YEAR($A88),'NY East Load Projections'!$A$4:$EO$14,((MONTH($A88)-1)*12)+VLOOKUP(AJ$4,$DE$6:$DF$17,2)+1))*(VLOOKUP($A88,CURVES!$D$9:$T$261,8))*(INDEX(DailyScalarsTable,AJ$5/100,MONTH($A88)))*$C88</f>
        <v>-6218.6362176934281</v>
      </c>
      <c r="AK88" s="1021">
        <f>(VLOOKUP(YEAR($A88),'NY East Load Projections'!$A$4:$EO$14,((MONTH($A88)-1)*12)+VLOOKUP(AK$4,$DE$6:$DF$17,2)+1))*(VLOOKUP($A88,CURVES!$D$9:$T$261,8))*(INDEX(DailyScalarsTable,AK$5/100,MONTH($A88)))*$C88</f>
        <v>-6765.10975145067</v>
      </c>
      <c r="AL88" s="1021">
        <f>(VLOOKUP(YEAR($A88),'NY East Load Projections'!$A$4:$EO$14,((MONTH($A88)-1)*12)+VLOOKUP(AL$4,$DE$6:$DF$17,2)+1))*(VLOOKUP($A88,CURVES!$D$9:$T$261,8))*(INDEX(DailyScalarsTable,AL$5/100,MONTH($A88)))*$C88</f>
        <v>-7794.2422773470271</v>
      </c>
      <c r="AM88" s="1021">
        <f>(VLOOKUP(YEAR($A88),'NY East Load Projections'!$A$4:$EO$14,((MONTH($A88)-1)*12)+VLOOKUP(AM$4,$DE$6:$DF$17,2)+1))*(VLOOKUP($A88,CURVES!$D$9:$T$261,8))*(INDEX(DailyScalarsTable,AM$5/100,MONTH($A88)))*$C88</f>
        <v>-11164.48338463343</v>
      </c>
      <c r="AN88" s="1021">
        <f>(VLOOKUP(YEAR($A88),'NY East Load Projections'!$A$4:$EO$14,((MONTH($A88)-1)*12)+VLOOKUP(AN$4,$DE$6:$DF$17,2)+1))*(VLOOKUP($A88,SatSunCurve,4))*(INDEX(DailyScalarsTable,AN$5/100,MONTH($A88)))*$C88</f>
        <v>-10185.997651728567</v>
      </c>
      <c r="AO88" s="1021">
        <f>(VLOOKUP(YEAR($A88),'NY East Load Projections'!$A$4:$EO$14,((MONTH($A88)-1)*12)+VLOOKUP(AO$4,$DE$6:$DF$17,2)+1))*(VLOOKUP($A88,SatSunCurve,4))*(INDEX(DailyScalarsTable,AO$5/100,MONTH($A88)))*$C88</f>
        <v>-11546.640906646568</v>
      </c>
      <c r="AP88" s="1021">
        <f>(VLOOKUP(YEAR($A88),'NY East Load Projections'!$A$4:$EO$14,((MONTH($A88)-1)*12)+VLOOKUP(AP$4,$DE$6:$DF$17,2)+1))*(VLOOKUP($A88,SatSunCurve,4))*(INDEX(DailyScalarsTable,AP$5/100,MONTH($A88)))*$C88</f>
        <v>-11471.859580977754</v>
      </c>
      <c r="AQ88" s="1021">
        <f>(VLOOKUP(YEAR($A88),'NY East Load Projections'!$A$4:$EO$14,((MONTH($A88)-1)*12)+VLOOKUP(AQ$4,$DE$6:$DF$17,2)+1))*(VLOOKUP($A88,SatSunCurve,4))*(INDEX(DailyScalarsTable,AQ$5/100,MONTH($A88)))*$C88</f>
        <v>-11250.54727933627</v>
      </c>
      <c r="AR88" s="1021">
        <f>(VLOOKUP(YEAR($A88),'NY East Load Projections'!$A$4:$EO$14,((MONTH($A88)-1)*12)+VLOOKUP(AR$4,$DE$6:$DF$17,2)+1))*(VLOOKUP($A88,SatSunCurve,4))*(INDEX(DailyScalarsTable,AR$5/100,MONTH($A88)))*$C88</f>
        <v>-9472.974957019509</v>
      </c>
      <c r="AS88" s="1021">
        <f>(VLOOKUP(YEAR($A88),'NY East Load Projections'!$A$4:$EO$14,((MONTH($A88)-1)*12)+VLOOKUP(AS$4,$DE$6:$DF$17,2)+1))*(VLOOKUP($A88,SatSunCurve,4))*(INDEX(DailyScalarsTable,AS$5/100,MONTH($A88)))*$C88</f>
        <v>-9136.730325293438</v>
      </c>
      <c r="AT88" s="1021">
        <f>(VLOOKUP(YEAR($A88),'NY East Load Projections'!$A$4:$EO$14,((MONTH($A88)-1)*12)+VLOOKUP(AT$4,$DE$6:$DF$17,2)+1))*(VLOOKUP($A88,SatSunCurve,4))*(INDEX(DailyScalarsTable,AT$5/100,MONTH($A88)))*$C88</f>
        <v>-8891.4698102753682</v>
      </c>
      <c r="AU88" s="1021">
        <f>(VLOOKUP(YEAR($A88),'NY East Load Projections'!$A$4:$EO$14,((MONTH($A88)-1)*12)+VLOOKUP(AU$4,$DE$6:$DF$17,2)+1))*(VLOOKUP($A88,SatSunCurve,4))*(INDEX(DailyScalarsTable,AU$5/100,MONTH($A88)))*$C88</f>
        <v>-8683.4640570321935</v>
      </c>
      <c r="AV88" s="1021">
        <f>(VLOOKUP(YEAR($A88),'NY East Load Projections'!$A$4:$EO$14,((MONTH($A88)-1)*12)+VLOOKUP(AV$4,$DE$6:$DF$17,2)+1))*(VLOOKUP($A88,SatSunCurve,4))*(INDEX(DailyScalarsTable,AV$5/100,MONTH($A88)))*$C88</f>
        <v>-8540.6541368950911</v>
      </c>
      <c r="AW88" s="1021">
        <f>(VLOOKUP(YEAR($A88),'NY East Load Projections'!$A$4:$EO$14,((MONTH($A88)-1)*12)+VLOOKUP(AW$4,$DE$6:$DF$17,2)+1))*(VLOOKUP($A88,SatSunCurve,4))*(INDEX(DailyScalarsTable,AW$5/100,MONTH($A88)))*$C88</f>
        <v>-8788.0899408847345</v>
      </c>
      <c r="AX88" s="1021">
        <f>(VLOOKUP(YEAR($A88),'NY East Load Projections'!$A$4:$EO$14,((MONTH($A88)-1)*12)+VLOOKUP(AX$4,$DE$6:$DF$17,2)+1))*(VLOOKUP($A88,SatSunCurve,4))*(INDEX(DailyScalarsTable,AX$5/100,MONTH($A88)))*$C88</f>
        <v>-12064.047222028887</v>
      </c>
      <c r="AY88" s="1021">
        <f>(VLOOKUP(YEAR($A88),'NY East Load Projections'!$A$4:$EO$14,((MONTH($A88)-1)*12)+VLOOKUP(AY$4,$DE$6:$DF$17,2)+1))*(VLOOKUP($A88,SatSunCurve,4))*(INDEX(DailyScalarsTable,AY$5/100,MONTH($A88)))*$C88</f>
        <v>-12161.186046099121</v>
      </c>
      <c r="AZ88" s="1021">
        <f>(VLOOKUP(YEAR($A88),'NY East Load Projections'!$A$4:$EO$14,((MONTH($A88)-1)*12)+VLOOKUP(AZ$4,$DE$6:$DF$17,2)+1))*(VLOOKUP($A88,SatSunCurve,4))*(INDEX(DailyScalarsTable,AZ$5/100,MONTH($A88)))*$C88</f>
        <v>-11663.597375861795</v>
      </c>
      <c r="BA88" s="1021">
        <f>(VLOOKUP(YEAR($A88),'NY East Load Projections'!$A$4:$EO$14,((MONTH($A88)-1)*12)+VLOOKUP(BA$4,$DE$6:$DF$17,2)+1))*(VLOOKUP($A88,SatSunCurve,4))*(INDEX(DailyScalarsTable,BA$5/100,MONTH($A88)))*$C88</f>
        <v>-10337.091510460225</v>
      </c>
      <c r="BB88" s="1021">
        <f>(VLOOKUP(YEAR($A88),'NY East Load Projections'!$A$4:$EO$14,((MONTH($A88)-1)*12)+VLOOKUP(BB$4,$DE$6:$DF$17,2)+1))*(VLOOKUP($A88,SatSunCurve,4))*(INDEX(DailyScalarsTable,BB$5/100,MONTH($A88)))*$C88</f>
        <v>-8222.9669082198961</v>
      </c>
      <c r="BC88" s="1021">
        <f>(VLOOKUP(YEAR($A88),'NY East Load Projections'!$A$4:$EO$14,((MONTH($A88)-1)*12)+VLOOKUP(BC$4,$DE$6:$DF$17,2)+1))*(VLOOKUP($A88,SatSunCurve,4))*(INDEX(DailyScalarsTable,BC$5/100,MONTH($A88)))*$C88</f>
        <v>-6934.7463939674844</v>
      </c>
      <c r="BD88" s="1021">
        <f>(VLOOKUP(YEAR($A88),'NY East Load Projections'!$A$4:$EO$14,((MONTH($A88)-1)*12)+VLOOKUP(BD$4,$DE$6:$DF$17,2)+1))*(VLOOKUP($A88,CURVES!$D$9:$T$261,8))*(INDEX(DailyScalarsTable,BD$5/100,MONTH($A88)))*$C88</f>
        <v>-7828.9237222121383</v>
      </c>
      <c r="BE88" s="1021"/>
      <c r="BF88" s="1021">
        <f>(VLOOKUP(YEAR($A88),'NY East Load Projections'!$A$4:$EO$14,((MONTH($A88)-1)*12)+VLOOKUP(BF$4,$DE$6:$DF$17,2)+1))*(VLOOKUP($A88,CURVES!$D$9:$T$261,8))*(INDEX(DailyScalarsTable,BF$5/100,MONTH($A88)))*$D88</f>
        <v>-6830.7992960837173</v>
      </c>
      <c r="BG88" s="1021">
        <f>(VLOOKUP(YEAR($A88),'NY East Load Projections'!$A$4:$EO$14,((MONTH($A88)-1)*12)+VLOOKUP(BG$4,$DE$6:$DF$17,2)+1))*(VLOOKUP($A88,CURVES!$D$9:$T$261,8))*(INDEX(DailyScalarsTable,BG$5/100,MONTH($A88)))*$D88</f>
        <v>-6475.8475951683395</v>
      </c>
      <c r="BH88" s="1021">
        <f>(VLOOKUP(YEAR($A88),'NY East Load Projections'!$A$4:$EO$14,((MONTH($A88)-1)*12)+VLOOKUP(BH$4,$DE$6:$DF$17,2)+1))*(VLOOKUP($A88,CURVES!$D$9:$T$261,8))*(INDEX(DailyScalarsTable,BH$5/100,MONTH($A88)))*$D88</f>
        <v>-6214.9617694437866</v>
      </c>
      <c r="BI88" s="1021">
        <f>(VLOOKUP(YEAR($A88),'NY East Load Projections'!$A$4:$EO$14,((MONTH($A88)-1)*12)+VLOOKUP(BI$4,$DE$6:$DF$17,2)+1))*(VLOOKUP($A88,CURVES!$D$9:$T$261,8))*(INDEX(DailyScalarsTable,BI$5/100,MONTH($A88)))*$D88</f>
        <v>-6218.6362176934281</v>
      </c>
      <c r="BJ88" s="1021">
        <f>(VLOOKUP(YEAR($A88),'NY East Load Projections'!$A$4:$EO$14,((MONTH($A88)-1)*12)+VLOOKUP(BJ$4,$DE$6:$DF$17,2)+1))*(VLOOKUP($A88,CURVES!$D$9:$T$261,8))*(INDEX(DailyScalarsTable,BJ$5/100,MONTH($A88)))*$D88</f>
        <v>-6765.10975145067</v>
      </c>
      <c r="BK88" s="1021">
        <f>(VLOOKUP(YEAR($A88),'NY East Load Projections'!$A$4:$EO$14,((MONTH($A88)-1)*12)+VLOOKUP(BK$4,$DE$6:$DF$17,2)+1))*(VLOOKUP($A88,CURVES!$D$9:$T$261,8))*(INDEX(DailyScalarsTable,BK$5/100,MONTH($A88)))*$D88</f>
        <v>-7794.2422773470271</v>
      </c>
      <c r="BL88" s="1021">
        <f>(VLOOKUP(YEAR($A88),'NY East Load Projections'!$A$4:$EO$14,((MONTH($A88)-1)*12)+VLOOKUP(BL$4,$DE$6:$DF$17,2)+1))*(VLOOKUP($A88,CURVES!$D$9:$T$261,8))*(INDEX(DailyScalarsTable,BL$5/100,MONTH($A88)))*$D88</f>
        <v>-11164.48338463343</v>
      </c>
      <c r="BM88" s="1021">
        <f>(VLOOKUP(YEAR($A88),'NY East Load Projections'!$A$4:$EO$14,((MONTH($A88)-1)*12)+VLOOKUP(BM$4,$DE$6:$DF$17,2)+1))*(VLOOKUP($A88,SatSunCurve,8))*(INDEX(DailyScalarsTable,BM$5/100,MONTH($A88)))*$D88</f>
        <v>-10359.518740604097</v>
      </c>
      <c r="BN88" s="1021">
        <f>(VLOOKUP(YEAR($A88),'NY East Load Projections'!$A$4:$EO$14,((MONTH($A88)-1)*12)+VLOOKUP(BN$4,$DE$6:$DF$17,2)+1))*(VLOOKUP($A88,SatSunCurve,8))*(INDEX(DailyScalarsTable,BN$5/100,MONTH($A88)))*$D88</f>
        <v>-11743.340903198799</v>
      </c>
      <c r="BO88" s="1021">
        <f>(VLOOKUP(YEAR($A88),'NY East Load Projections'!$A$4:$EO$14,((MONTH($A88)-1)*12)+VLOOKUP(BO$4,$DE$6:$DF$17,2)+1))*(VLOOKUP($A88,SatSunCurve,8))*(INDEX(DailyScalarsTable,BO$5/100,MONTH($A88)))*$D88</f>
        <v>-11667.285658420511</v>
      </c>
      <c r="BP88" s="1021">
        <f>(VLOOKUP(YEAR($A88),'NY East Load Projections'!$A$4:$EO$14,((MONTH($A88)-1)*12)+VLOOKUP(BP$4,$DE$6:$DF$17,2)+1))*(VLOOKUP($A88,SatSunCurve,8))*(INDEX(DailyScalarsTable,BP$5/100,MONTH($A88)))*$D88</f>
        <v>-11442.203244819904</v>
      </c>
      <c r="BQ88" s="1021">
        <f>(VLOOKUP(YEAR($A88),'NY East Load Projections'!$A$4:$EO$14,((MONTH($A88)-1)*12)+VLOOKUP(BQ$4,$DE$6:$DF$17,2)+1))*(VLOOKUP($A88,SatSunCurve,8))*(INDEX(DailyScalarsTable,BQ$5/100,MONTH($A88)))*$D88</f>
        <v>-9634.3495209684534</v>
      </c>
      <c r="BR88" s="1021">
        <f>(VLOOKUP(YEAR($A88),'NY East Load Projections'!$A$4:$EO$14,((MONTH($A88)-1)*12)+VLOOKUP(BR$4,$DE$6:$DF$17,2)+1))*(VLOOKUP($A88,SatSunCurve,8))*(INDEX(DailyScalarsTable,BR$5/100,MONTH($A88)))*$D88</f>
        <v>-9292.3768754905086</v>
      </c>
      <c r="BS88" s="1021">
        <f>(VLOOKUP(YEAR($A88),'NY East Load Projections'!$A$4:$EO$14,((MONTH($A88)-1)*12)+VLOOKUP(BS$4,$DE$6:$DF$17,2)+1))*(VLOOKUP($A88,SatSunCurve,8))*(INDEX(DailyScalarsTable,BS$5/100,MONTH($A88)))*$D88</f>
        <v>-9042.9382845412219</v>
      </c>
      <c r="BT88" s="1021">
        <f>(VLOOKUP(YEAR($A88),'NY East Load Projections'!$A$4:$EO$14,((MONTH($A88)-1)*12)+VLOOKUP(BT$4,$DE$6:$DF$17,2)+1))*(VLOOKUP($A88,SatSunCurve,8))*(INDEX(DailyScalarsTable,BT$5/100,MONTH($A88)))*$D88</f>
        <v>-8831.3890998120787</v>
      </c>
      <c r="BU88" s="1021">
        <f>(VLOOKUP(YEAR($A88),'NY East Load Projections'!$A$4:$EO$14,((MONTH($A88)-1)*12)+VLOOKUP(BU$4,$DE$6:$DF$17,2)+1))*(VLOOKUP($A88,SatSunCurve,8))*(INDEX(DailyScalarsTable,BU$5/100,MONTH($A88)))*$D88</f>
        <v>-8686.1463759681919</v>
      </c>
      <c r="BV88" s="1021">
        <f>(VLOOKUP(YEAR($A88),'NY East Load Projections'!$A$4:$EO$14,((MONTH($A88)-1)*12)+VLOOKUP(BV$4,$DE$6:$DF$17,2)+1))*(VLOOKUP($A88,SatSunCurve,8))*(INDEX(DailyScalarsTable,BV$5/100,MONTH($A88)))*$D88</f>
        <v>-8937.7973124959626</v>
      </c>
      <c r="BW88" s="1021">
        <f>(VLOOKUP(YEAR($A88),'NY East Load Projections'!$A$4:$EO$14,((MONTH($A88)-1)*12)+VLOOKUP(BW$4,$DE$6:$DF$17,2)+1))*(VLOOKUP($A88,SatSunCurve,8))*(INDEX(DailyScalarsTable,BW$5/100,MONTH($A88)))*$D88</f>
        <v>-12269.561368191786</v>
      </c>
      <c r="BX88" s="1021">
        <f>(VLOOKUP(YEAR($A88),'NY East Load Projections'!$A$4:$EO$14,((MONTH($A88)-1)*12)+VLOOKUP(BX$4,$DE$6:$DF$17,2)+1))*(VLOOKUP($A88,SatSunCurve,8))*(INDEX(DailyScalarsTable,BX$5/100,MONTH($A88)))*$D88</f>
        <v>-12368.354977105006</v>
      </c>
      <c r="BY88" s="1021">
        <f>(VLOOKUP(YEAR($A88),'NY East Load Projections'!$A$4:$EO$14,((MONTH($A88)-1)*12)+VLOOKUP(BY$4,$DE$6:$DF$17,2)+1))*(VLOOKUP($A88,SatSunCurve,8))*(INDEX(DailyScalarsTable,BY$5/100,MONTH($A88)))*$D88</f>
        <v>-11862.289755937289</v>
      </c>
      <c r="BZ88" s="1021">
        <f>(VLOOKUP(YEAR($A88),'NY East Load Projections'!$A$4:$EO$14,((MONTH($A88)-1)*12)+VLOOKUP(BZ$4,$DE$6:$DF$17,2)+1))*(VLOOKUP($A88,SatSunCurve,8))*(INDEX(DailyScalarsTable,BZ$5/100,MONTH($A88)))*$D88</f>
        <v>-10513.186522066346</v>
      </c>
      <c r="CA88" s="1021">
        <f>(VLOOKUP(YEAR($A88),'NY East Load Projections'!$A$4:$EO$14,((MONTH($A88)-1)*12)+VLOOKUP(CA$4,$DE$6:$DF$17,2)+1))*(VLOOKUP($A88,SatSunCurve,8))*(INDEX(DailyScalarsTable,CA$5/100,MONTH($A88)))*$D88</f>
        <v>-8363.0472636733102</v>
      </c>
      <c r="CB88" s="1021">
        <f>(VLOOKUP(YEAR($A88),'NY East Load Projections'!$A$4:$EO$14,((MONTH($A88)-1)*12)+VLOOKUP(CB$4,$DE$6:$DF$17,2)+1))*(VLOOKUP($A88,SatSunCurve,8))*(INDEX(DailyScalarsTable,CB$5/100,MONTH($A88)))*$D88</f>
        <v>-7052.8815817517361</v>
      </c>
      <c r="CC88" s="1021">
        <f>(VLOOKUP(YEAR($A88),'NY East Load Projections'!$A$4:$EO$14,((MONTH($A88)-1)*12)+VLOOKUP(CC$4,$DE$6:$DF$17,2)+1))*(VLOOKUP($A88,CURVES!$D$9:$T$261,8))*(INDEX(DailyScalarsTable,CC$5/100,MONTH($A88)))*$D88</f>
        <v>-7828.9237222121383</v>
      </c>
      <c r="CE88" s="1021">
        <f>(VLOOKUP(YEAR($A88),'NY East Load Projections'!$A$4:$EO$14,((MONTH($A88)-1)*12)+VLOOKUP(CE$4,$DE$6:$DF$17,2)+1))*(VLOOKUP($A88,CURVES!$D$9:$T$261,8))*(INDEX(DailyScalarsTable,CE$5/100,MONTH($A88)))*$E88</f>
        <v>-1707.6998240209293</v>
      </c>
      <c r="CF88" s="1021">
        <f>(VLOOKUP(YEAR($A88),'NY East Load Projections'!$A$4:$EO$14,((MONTH($A88)-1)*12)+VLOOKUP(CF$4,$DE$6:$DF$17,2)+1))*(VLOOKUP($A88,CURVES!$D$9:$T$261,8))*(INDEX(DailyScalarsTable,CF$5/100,MONTH($A88)))*$E88</f>
        <v>-1618.9618987920849</v>
      </c>
      <c r="CG88" s="1021">
        <f>(VLOOKUP(YEAR($A88),'NY East Load Projections'!$A$4:$EO$14,((MONTH($A88)-1)*12)+VLOOKUP(CG$4,$DE$6:$DF$17,2)+1))*(VLOOKUP($A88,CURVES!$D$9:$T$261,8))*(INDEX(DailyScalarsTable,CG$5/100,MONTH($A88)))*$E88</f>
        <v>-1553.7404423609466</v>
      </c>
      <c r="CH88" s="1021">
        <f>(VLOOKUP(YEAR($A88),'NY East Load Projections'!$A$4:$EO$14,((MONTH($A88)-1)*12)+VLOOKUP(CH$4,$DE$6:$DF$17,2)+1))*(VLOOKUP($A88,CURVES!$D$9:$T$261,8))*(INDEX(DailyScalarsTable,CH$5/100,MONTH($A88)))*$E88</f>
        <v>-1554.659054423357</v>
      </c>
      <c r="CI88" s="1021">
        <f>(VLOOKUP(YEAR($A88),'NY East Load Projections'!$A$4:$EO$14,((MONTH($A88)-1)*12)+VLOOKUP(CI$4,$DE$6:$DF$17,2)+1))*(VLOOKUP($A88,CURVES!$D$9:$T$261,8))*(INDEX(DailyScalarsTable,CI$5/100,MONTH($A88)))*$E88</f>
        <v>-1691.2774378626675</v>
      </c>
      <c r="CJ88" s="1021">
        <f>(VLOOKUP(YEAR($A88),'NY East Load Projections'!$A$4:$EO$14,((MONTH($A88)-1)*12)+VLOOKUP(CJ$4,$DE$6:$DF$17,2)+1))*(VLOOKUP($A88,CURVES!$D$9:$T$261,8))*(INDEX(DailyScalarsTable,CJ$5/100,MONTH($A88)))*$E88</f>
        <v>-1948.5605693367568</v>
      </c>
      <c r="CK88" s="1021">
        <f>(VLOOKUP(YEAR($A88),'NY East Load Projections'!$A$4:$EO$14,((MONTH($A88)-1)*12)+VLOOKUP(CK$4,$DE$6:$DF$17,2)+1))*(VLOOKUP($A88,CURVES!$D$9:$T$261,8))*(INDEX(DailyScalarsTable,CK$5/100,MONTH($A88)))*$E88</f>
        <v>-2791.1208461583574</v>
      </c>
      <c r="CL88" s="1021">
        <f>(VLOOKUP(YEAR($A88),'NY East Load Projections'!$A$4:$EO$14,((MONTH($A88)-1)*12)+VLOOKUP(CL$4,$DE$6:$DF$17,2)+1))*(VLOOKUP($A88,SatSunCurve,8))*(INDEX(DailyScalarsTable,CL$5/100,MONTH($A88)))*$E88</f>
        <v>-2589.8796851510242</v>
      </c>
      <c r="CM88" s="1021">
        <f>(VLOOKUP(YEAR($A88),'NY East Load Projections'!$A$4:$EO$14,((MONTH($A88)-1)*12)+VLOOKUP(CM$4,$DE$6:$DF$17,2)+1))*(VLOOKUP($A88,SatSunCurve,8))*(INDEX(DailyScalarsTable,CM$5/100,MONTH($A88)))*$E88</f>
        <v>-2935.8352257996999</v>
      </c>
      <c r="CN88" s="1021">
        <f>(VLOOKUP(YEAR($A88),'NY East Load Projections'!$A$4:$EO$14,((MONTH($A88)-1)*12)+VLOOKUP(CN$4,$DE$6:$DF$17,2)+1))*(VLOOKUP($A88,SatSunCurve,8))*(INDEX(DailyScalarsTable,CN$5/100,MONTH($A88)))*$E88</f>
        <v>-2916.8214146051278</v>
      </c>
      <c r="CO88" s="1021">
        <f>(VLOOKUP(YEAR($A88),'NY East Load Projections'!$A$4:$EO$14,((MONTH($A88)-1)*12)+VLOOKUP(CO$4,$DE$6:$DF$17,2)+1))*(VLOOKUP($A88,SatSunCurve,8))*(INDEX(DailyScalarsTable,CO$5/100,MONTH($A88)))*$E88</f>
        <v>-2860.5508112049761</v>
      </c>
      <c r="CP88" s="1021">
        <f>(VLOOKUP(YEAR($A88),'NY East Load Projections'!$A$4:$EO$14,((MONTH($A88)-1)*12)+VLOOKUP(CP$4,$DE$6:$DF$17,2)+1))*(VLOOKUP($A88,SatSunCurve,8))*(INDEX(DailyScalarsTable,CP$5/100,MONTH($A88)))*$E88</f>
        <v>-2408.5873802421133</v>
      </c>
      <c r="CQ88" s="1021">
        <f>(VLOOKUP(YEAR($A88),'NY East Load Projections'!$A$4:$EO$14,((MONTH($A88)-1)*12)+VLOOKUP(CQ$4,$DE$6:$DF$17,2)+1))*(VLOOKUP($A88,SatSunCurve,8))*(INDEX(DailyScalarsTable,CQ$5/100,MONTH($A88)))*$E88</f>
        <v>-2323.0942188726272</v>
      </c>
      <c r="CR88" s="1021">
        <f>(VLOOKUP(YEAR($A88),'NY East Load Projections'!$A$4:$EO$14,((MONTH($A88)-1)*12)+VLOOKUP(CR$4,$DE$6:$DF$17,2)+1))*(VLOOKUP($A88,SatSunCurve,8))*(INDEX(DailyScalarsTable,CR$5/100,MONTH($A88)))*$E88</f>
        <v>-2260.7345711353055</v>
      </c>
      <c r="CS88" s="1021">
        <f>(VLOOKUP(YEAR($A88),'NY East Load Projections'!$A$4:$EO$14,((MONTH($A88)-1)*12)+VLOOKUP(CS$4,$DE$6:$DF$17,2)+1))*(VLOOKUP($A88,SatSunCurve,8))*(INDEX(DailyScalarsTable,CS$5/100,MONTH($A88)))*$E88</f>
        <v>-2207.8472749530197</v>
      </c>
      <c r="CT88" s="1021">
        <f>(VLOOKUP(YEAR($A88),'NY East Load Projections'!$A$4:$EO$14,((MONTH($A88)-1)*12)+VLOOKUP(CT$4,$DE$6:$DF$17,2)+1))*(VLOOKUP($A88,SatSunCurve,8))*(INDEX(DailyScalarsTable,CT$5/100,MONTH($A88)))*$E88</f>
        <v>-2171.536593992048</v>
      </c>
      <c r="CU88" s="1021">
        <f>(VLOOKUP(YEAR($A88),'NY East Load Projections'!$A$4:$EO$14,((MONTH($A88)-1)*12)+VLOOKUP(CU$4,$DE$6:$DF$17,2)+1))*(VLOOKUP($A88,SatSunCurve,8))*(INDEX(DailyScalarsTable,CU$5/100,MONTH($A88)))*$E88</f>
        <v>-2234.4493281239907</v>
      </c>
      <c r="CV88" s="1021">
        <f>(VLOOKUP(YEAR($A88),'NY East Load Projections'!$A$4:$EO$14,((MONTH($A88)-1)*12)+VLOOKUP(CV$4,$DE$6:$DF$17,2)+1))*(VLOOKUP($A88,SatSunCurve,8))*(INDEX(DailyScalarsTable,CV$5/100,MONTH($A88)))*$E88</f>
        <v>-3067.3903420479464</v>
      </c>
      <c r="CW88" s="1021">
        <f>(VLOOKUP(YEAR($A88),'NY East Load Projections'!$A$4:$EO$14,((MONTH($A88)-1)*12)+VLOOKUP(CW$4,$DE$6:$DF$17,2)+1))*(VLOOKUP($A88,SatSunCurve,8))*(INDEX(DailyScalarsTable,CW$5/100,MONTH($A88)))*$E88</f>
        <v>-3092.0887442762514</v>
      </c>
      <c r="CX88" s="1021">
        <f>(VLOOKUP(YEAR($A88),'NY East Load Projections'!$A$4:$EO$14,((MONTH($A88)-1)*12)+VLOOKUP(CX$4,$DE$6:$DF$17,2)+1))*(VLOOKUP($A88,SatSunCurve,8))*(INDEX(DailyScalarsTable,CX$5/100,MONTH($A88)))*$E88</f>
        <v>-2965.5724389843222</v>
      </c>
      <c r="CY88" s="1021">
        <f>(VLOOKUP(YEAR($A88),'NY East Load Projections'!$A$4:$EO$14,((MONTH($A88)-1)*12)+VLOOKUP(CY$4,$DE$6:$DF$17,2)+1))*(VLOOKUP($A88,SatSunCurve,8))*(INDEX(DailyScalarsTable,CY$5/100,MONTH($A88)))*$E88</f>
        <v>-2628.2966305165864</v>
      </c>
      <c r="CZ88" s="1021">
        <f>(VLOOKUP(YEAR($A88),'NY East Load Projections'!$A$4:$EO$14,((MONTH($A88)-1)*12)+VLOOKUP(CZ$4,$DE$6:$DF$17,2)+1))*(VLOOKUP($A88,SatSunCurve,8))*(INDEX(DailyScalarsTable,CZ$5/100,MONTH($A88)))*$E88</f>
        <v>-2090.7618159183276</v>
      </c>
      <c r="DA88" s="1021">
        <f>(VLOOKUP(YEAR($A88),'NY East Load Projections'!$A$4:$EO$14,((MONTH($A88)-1)*12)+VLOOKUP(DA$4,$DE$6:$DF$17,2)+1))*(VLOOKUP($A88,SatSunCurve,8))*(INDEX(DailyScalarsTable,DA$5/100,MONTH($A88)))*$E88</f>
        <v>-1763.220395437934</v>
      </c>
      <c r="DB88" s="1021">
        <f>(VLOOKUP(YEAR($A88),'NY East Load Projections'!$A$4:$EO$14,((MONTH($A88)-1)*12)+VLOOKUP(DB$4,$DE$6:$DF$17,2)+1))*(VLOOKUP($A88,CURVES!$D$9:$T$261,8))*(INDEX(DailyScalarsTable,DB$5/100,MONTH($A88)))*$E88</f>
        <v>-1957.2309305530346</v>
      </c>
      <c r="DH88" s="1021">
        <f t="shared" si="2"/>
        <v>-1854015.5626843402</v>
      </c>
      <c r="DI88">
        <f ca="1">CALC!J108</f>
        <v>0.56826708324181341</v>
      </c>
      <c r="DJ88" s="1029">
        <f t="shared" ca="1" si="3"/>
        <v>-1053576.0160915595</v>
      </c>
    </row>
    <row r="89" spans="1:114" x14ac:dyDescent="0.25">
      <c r="A89" s="244">
        <v>39417</v>
      </c>
      <c r="B89" s="13">
        <v>20</v>
      </c>
      <c r="C89" s="210">
        <v>5</v>
      </c>
      <c r="D89" s="210">
        <v>5</v>
      </c>
      <c r="E89" s="210">
        <v>1</v>
      </c>
      <c r="F89" s="13">
        <v>31</v>
      </c>
      <c r="H89" s="1021">
        <f>(VLOOKUP(YEAR($A89),'NY East Load Projections'!$A$4:$EO$14,((MONTH($A89)-1)*12)+VLOOKUP(H$4,$DE$6:$DF$17,2)+1))*(VLOOKUP($A89,CURVES!$D$9:$K$261,8))*(INDEX(DailyScalarsTable,H$5/100,MONTH($A89)))*$B89</f>
        <v>-33788.10475442958</v>
      </c>
      <c r="I89" s="1021">
        <f>(VLOOKUP(YEAR($A89),'NY East Load Projections'!$A$4:$EO$14,((MONTH($A89)-1)*12)+VLOOKUP(I$4,$DE$6:$DF$17,2)+1))*(VLOOKUP($A89,CURVES!$D$9:$K$261,8))*(INDEX(DailyScalarsTable,I$5/100,MONTH($A89)))*$B89</f>
        <v>-32032.359235721728</v>
      </c>
      <c r="J89" s="1021">
        <f>(VLOOKUP(YEAR($A89),'NY East Load Projections'!$A$4:$EO$14,((MONTH($A89)-1)*12)+VLOOKUP(J$4,$DE$6:$DF$17,2)+1))*(VLOOKUP($A89,CURVES!$D$9:$K$261,8))*(INDEX(DailyScalarsTable,J$5/100,MONTH($A89)))*$B89</f>
        <v>-30741.904454890908</v>
      </c>
      <c r="K89" s="1021">
        <f>(VLOOKUP(YEAR($A89),'NY East Load Projections'!$A$4:$EO$14,((MONTH($A89)-1)*12)+VLOOKUP(K$4,$DE$6:$DF$17,2)+1))*(VLOOKUP($A89,CURVES!$D$9:$K$261,8))*(INDEX(DailyScalarsTable,K$5/100,MONTH($A89)))*$B89</f>
        <v>-30760.079874339226</v>
      </c>
      <c r="L89" s="1021">
        <f>(VLOOKUP(YEAR($A89),'NY East Load Projections'!$A$4:$EO$14,((MONTH($A89)-1)*12)+VLOOKUP(L$4,$DE$6:$DF$17,2)+1))*(VLOOKUP($A89,CURVES!$D$9:$K$261,8))*(INDEX(DailyScalarsTable,L$5/100,MONTH($A89)))*$B89</f>
        <v>-36099.643651000275</v>
      </c>
      <c r="M89" s="1021">
        <f>(VLOOKUP(YEAR($A89),'NY East Load Projections'!$A$4:$EO$14,((MONTH($A89)-1)*12)+VLOOKUP(M$4,$DE$6:$DF$17,2)+1))*(VLOOKUP($A89,CURVES!$D$9:$K$261,8))*(INDEX(DailyScalarsTable,M$5/100,MONTH($A89)))*$B89</f>
        <v>-41591.249673584869</v>
      </c>
      <c r="N89" s="1021">
        <f>(VLOOKUP(YEAR($A89),'NY East Load Projections'!$A$4:$EO$14,((MONTH($A89)-1)*12)+VLOOKUP(N$4,$DE$6:$DF$17,2)+1))*(VLOOKUP($A89,CURVES!$D$9:$K$261,8))*(INDEX(DailyScalarsTable,N$5/100,MONTH($A89)))*$B89</f>
        <v>-59575.363377712536</v>
      </c>
      <c r="O89" s="1021">
        <f>(VLOOKUP(YEAR($A89),'NY East Load Projections'!$A$4:$EO$14,((MONTH($A89)-1)*12)+VLOOKUP(O$4,$DE$6:$DF$17,2)+1))*(VLOOKUP($A89,CURVES!$D$9:$K$261,4))*(INDEX(DailyScalarsTable,O$5/100,MONTH($A89)))*$B89</f>
        <v>-64434.522646858779</v>
      </c>
      <c r="P89" s="1021">
        <f>(VLOOKUP(YEAR($A89),'NY East Load Projections'!$A$4:$EO$14,((MONTH($A89)-1)*12)+VLOOKUP(P$4,$DE$6:$DF$17,2)+1))*(VLOOKUP($A89,CURVES!$D$9:$K$261,4))*(INDEX(DailyScalarsTable,P$5/100,MONTH($A89)))*$B89</f>
        <v>-72714.141662224079</v>
      </c>
      <c r="Q89" s="1021">
        <f>(VLOOKUP(YEAR($A89),'NY East Load Projections'!$A$4:$EO$14,((MONTH($A89)-1)*12)+VLOOKUP(Q$4,$DE$6:$DF$17,2)+1))*(VLOOKUP($A89,CURVES!$D$9:$K$261,4))*(INDEX(DailyScalarsTable,Q$5/100,MONTH($A89)))*$B89</f>
        <v>-72345.510079643631</v>
      </c>
      <c r="R89" s="1021">
        <f>(VLOOKUP(YEAR($A89),'NY East Load Projections'!$A$4:$EO$14,((MONTH($A89)-1)*12)+VLOOKUP(R$4,$DE$6:$DF$17,2)+1))*(VLOOKUP($A89,CURVES!$D$9:$K$261,4))*(INDEX(DailyScalarsTable,R$5/100,MONTH($A89)))*$B89</f>
        <v>-70771.015862520391</v>
      </c>
      <c r="S89" s="1021">
        <f>(VLOOKUP(YEAR($A89),'NY East Load Projections'!$A$4:$EO$14,((MONTH($A89)-1)*12)+VLOOKUP(S$4,$DE$6:$DF$17,2)+1))*(VLOOKUP($A89,CURVES!$D$9:$K$261,4))*(INDEX(DailyScalarsTable,S$5/100,MONTH($A89)))*$B89</f>
        <v>-57506.52688254945</v>
      </c>
      <c r="T89" s="1021">
        <f>(VLOOKUP(YEAR($A89),'NY East Load Projections'!$A$4:$EO$14,((MONTH($A89)-1)*12)+VLOOKUP(T$4,$DE$6:$DF$17,2)+1))*(VLOOKUP($A89,CURVES!$D$9:$K$261,4))*(INDEX(DailyScalarsTable,T$5/100,MONTH($A89)))*$B89</f>
        <v>-55206.990115334658</v>
      </c>
      <c r="U89" s="1021">
        <f>(VLOOKUP(YEAR($A89),'NY East Load Projections'!$A$4:$EO$14,((MONTH($A89)-1)*12)+VLOOKUP(U$4,$DE$6:$DF$17,2)+1))*(VLOOKUP($A89,CURVES!$D$9:$K$261,4))*(INDEX(DailyScalarsTable,U$5/100,MONTH($A89)))*$B89</f>
        <v>-52828.085637853663</v>
      </c>
      <c r="V89" s="1021">
        <f>(VLOOKUP(YEAR($A89),'NY East Load Projections'!$A$4:$EO$14,((MONTH($A89)-1)*12)+VLOOKUP(V$4,$DE$6:$DF$17,2)+1))*(VLOOKUP($A89,CURVES!$D$9:$K$261,4))*(INDEX(DailyScalarsTable,V$5/100,MONTH($A89)))*$B89</f>
        <v>-50171.537136475687</v>
      </c>
      <c r="W89" s="1021">
        <f>(VLOOKUP(YEAR($A89),'NY East Load Projections'!$A$4:$EO$14,((MONTH($A89)-1)*12)+VLOOKUP(W$4,$DE$6:$DF$17,2)+1))*(VLOOKUP($A89,CURVES!$D$9:$K$261,4))*(INDEX(DailyScalarsTable,W$5/100,MONTH($A89)))*$B89</f>
        <v>-49300.744516071507</v>
      </c>
      <c r="X89" s="1021">
        <f>(VLOOKUP(YEAR($A89),'NY East Load Projections'!$A$4:$EO$14,((MONTH($A89)-1)*12)+VLOOKUP(X$4,$DE$6:$DF$17,2)+1))*(VLOOKUP($A89,CURVES!$D$9:$K$261,4))*(INDEX(DailyScalarsTable,X$5/100,MONTH($A89)))*$B89</f>
        <v>-53416.385055097591</v>
      </c>
      <c r="Y89" s="1021">
        <f>(VLOOKUP(YEAR($A89),'NY East Load Projections'!$A$4:$EO$14,((MONTH($A89)-1)*12)+VLOOKUP(Y$4,$DE$6:$DF$17,2)+1))*(VLOOKUP($A89,CURVES!$D$9:$K$261,4))*(INDEX(DailyScalarsTable,Y$5/100,MONTH($A89)))*$B89</f>
        <v>-75282.078203791185</v>
      </c>
      <c r="Z89" s="1021">
        <f>(VLOOKUP(YEAR($A89),'NY East Load Projections'!$A$4:$EO$14,((MONTH($A89)-1)*12)+VLOOKUP(Z$4,$DE$6:$DF$17,2)+1))*(VLOOKUP($A89,CURVES!$D$9:$K$261,4))*(INDEX(DailyScalarsTable,Z$5/100,MONTH($A89)))*$B89</f>
        <v>-74780.509955487913</v>
      </c>
      <c r="AA89" s="1021">
        <f>(VLOOKUP(YEAR($A89),'NY East Load Projections'!$A$4:$EO$14,((MONTH($A89)-1)*12)+VLOOKUP(AA$4,$DE$6:$DF$17,2)+1))*(VLOOKUP($A89,CURVES!$D$9:$K$261,4))*(INDEX(DailyScalarsTable,AA$5/100,MONTH($A89)))*$B89</f>
        <v>-72205.416819029604</v>
      </c>
      <c r="AB89" s="1021">
        <f>(VLOOKUP(YEAR($A89),'NY East Load Projections'!$A$4:$EO$14,((MONTH($A89)-1)*12)+VLOOKUP(AB$4,$DE$6:$DF$17,2)+1))*(VLOOKUP($A89,CURVES!$D$9:$K$261,4))*(INDEX(DailyScalarsTable,AB$5/100,MONTH($A89)))*$B89</f>
        <v>-65008.458276402467</v>
      </c>
      <c r="AC89" s="1021">
        <f>(VLOOKUP(YEAR($A89),'NY East Load Projections'!$A$4:$EO$14,((MONTH($A89)-1)*12)+VLOOKUP(AC$4,$DE$6:$DF$17,2)+1))*(VLOOKUP($A89,CURVES!$D$9:$K$261,4))*(INDEX(DailyScalarsTable,AC$5/100,MONTH($A89)))*$B89</f>
        <v>-47923.976005964811</v>
      </c>
      <c r="AD89" s="1021">
        <f>(VLOOKUP(YEAR($A89),'NY East Load Projections'!$A$4:$EO$14,((MONTH($A89)-1)*12)+VLOOKUP(AD$4,$DE$6:$DF$17,2)+1))*(VLOOKUP($A89,CURVES!$D$9:$K$261,4))*(INDEX(DailyScalarsTable,AD$5/100,MONTH($A89)))*$B89</f>
        <v>-39537.983727763101</v>
      </c>
      <c r="AE89" s="1021">
        <f>(VLOOKUP(YEAR($A89),'NY East Load Projections'!$A$4:$EO$14,((MONTH($A89)-1)*12)+VLOOKUP(AE$4,$DE$6:$DF$17,2)+1))*(VLOOKUP($A89,CURVES!$D$9:$K$261,8))*(INDEX(DailyScalarsTable,AE$5/100,MONTH($A89)))*$B89</f>
        <v>-39738.365791237426</v>
      </c>
      <c r="AF89" s="1021"/>
      <c r="AG89" s="1021">
        <f>(VLOOKUP(YEAR($A89),'NY East Load Projections'!$A$4:$EO$14,((MONTH($A89)-1)*12)+VLOOKUP(AG$4,$DE$6:$DF$17,2)+1))*(VLOOKUP($A89,CURVES!$D$9:$T$261,8))*(INDEX(DailyScalarsTable,AG$5/100,MONTH($A89)))*$C89</f>
        <v>-8615.9754073884342</v>
      </c>
      <c r="AH89" s="1021">
        <f>(VLOOKUP(YEAR($A89),'NY East Load Projections'!$A$4:$EO$14,((MONTH($A89)-1)*12)+VLOOKUP(AH$4,$DE$6:$DF$17,2)+1))*(VLOOKUP($A89,CURVES!$D$9:$T$261,8))*(INDEX(DailyScalarsTable,AH$5/100,MONTH($A89)))*$C89</f>
        <v>-8168.2598482955218</v>
      </c>
      <c r="AI89" s="1021">
        <f>(VLOOKUP(YEAR($A89),'NY East Load Projections'!$A$4:$EO$14,((MONTH($A89)-1)*12)+VLOOKUP(AI$4,$DE$6:$DF$17,2)+1))*(VLOOKUP($A89,CURVES!$D$9:$T$261,8))*(INDEX(DailyScalarsTable,AI$5/100,MONTH($A89)))*$C89</f>
        <v>-7839.1935470988701</v>
      </c>
      <c r="AJ89" s="1021">
        <f>(VLOOKUP(YEAR($A89),'NY East Load Projections'!$A$4:$EO$14,((MONTH($A89)-1)*12)+VLOOKUP(AJ$4,$DE$6:$DF$17,2)+1))*(VLOOKUP($A89,CURVES!$D$9:$T$261,8))*(INDEX(DailyScalarsTable,AJ$5/100,MONTH($A89)))*$C89</f>
        <v>-7843.8282837354418</v>
      </c>
      <c r="AK89" s="1021">
        <f>(VLOOKUP(YEAR($A89),'NY East Load Projections'!$A$4:$EO$14,((MONTH($A89)-1)*12)+VLOOKUP(AK$4,$DE$6:$DF$17,2)+1))*(VLOOKUP($A89,CURVES!$D$9:$T$261,8))*(INDEX(DailyScalarsTable,AK$5/100,MONTH($A89)))*$C89</f>
        <v>-8592.3487349545776</v>
      </c>
      <c r="AL89" s="1021">
        <f>(VLOOKUP(YEAR($A89),'NY East Load Projections'!$A$4:$EO$14,((MONTH($A89)-1)*12)+VLOOKUP(AL$4,$DE$6:$DF$17,2)+1))*(VLOOKUP($A89,CURVES!$D$9:$T$261,8))*(INDEX(DailyScalarsTable,AL$5/100,MONTH($A89)))*$C89</f>
        <v>-9899.4473456001779</v>
      </c>
      <c r="AM89" s="1021">
        <f>(VLOOKUP(YEAR($A89),'NY East Load Projections'!$A$4:$EO$14,((MONTH($A89)-1)*12)+VLOOKUP(AM$4,$DE$6:$DF$17,2)+1))*(VLOOKUP($A89,CURVES!$D$9:$T$261,8))*(INDEX(DailyScalarsTable,AM$5/100,MONTH($A89)))*$C89</f>
        <v>-14179.982027018254</v>
      </c>
      <c r="AN89" s="1021">
        <f>(VLOOKUP(YEAR($A89),'NY East Load Projections'!$A$4:$EO$14,((MONTH($A89)-1)*12)+VLOOKUP(AN$4,$DE$6:$DF$17,2)+1))*(VLOOKUP($A89,SatSunCurve,4))*(INDEX(DailyScalarsTable,AN$5/100,MONTH($A89)))*$C89</f>
        <v>-12956.037209383598</v>
      </c>
      <c r="AO89" s="1021">
        <f>(VLOOKUP(YEAR($A89),'NY East Load Projections'!$A$4:$EO$14,((MONTH($A89)-1)*12)+VLOOKUP(AO$4,$DE$6:$DF$17,2)+1))*(VLOOKUP($A89,SatSunCurve,4))*(INDEX(DailyScalarsTable,AO$5/100,MONTH($A89)))*$C89</f>
        <v>-14698.933257485658</v>
      </c>
      <c r="AP89" s="1021">
        <f>(VLOOKUP(YEAR($A89),'NY East Load Projections'!$A$4:$EO$14,((MONTH($A89)-1)*12)+VLOOKUP(AP$4,$DE$6:$DF$17,2)+1))*(VLOOKUP($A89,SatSunCurve,4))*(INDEX(DailyScalarsTable,AP$5/100,MONTH($A89)))*$C89</f>
        <v>-14624.415551505968</v>
      </c>
      <c r="AQ89" s="1021">
        <f>(VLOOKUP(YEAR($A89),'NY East Load Projections'!$A$4:$EO$14,((MONTH($A89)-1)*12)+VLOOKUP(AQ$4,$DE$6:$DF$17,2)+1))*(VLOOKUP($A89,SatSunCurve,4))*(INDEX(DailyScalarsTable,AQ$5/100,MONTH($A89)))*$C89</f>
        <v>-14306.13653613508</v>
      </c>
      <c r="AR89" s="1021">
        <f>(VLOOKUP(YEAR($A89),'NY East Load Projections'!$A$4:$EO$14,((MONTH($A89)-1)*12)+VLOOKUP(AR$4,$DE$6:$DF$17,2)+1))*(VLOOKUP($A89,SatSunCurve,4))*(INDEX(DailyScalarsTable,AR$5/100,MONTH($A89)))*$C89</f>
        <v>-11624.762132831931</v>
      </c>
      <c r="AS89" s="1021">
        <f>(VLOOKUP(YEAR($A89),'NY East Load Projections'!$A$4:$EO$14,((MONTH($A89)-1)*12)+VLOOKUP(AS$4,$DE$6:$DF$17,2)+1))*(VLOOKUP($A89,SatSunCurve,4))*(INDEX(DailyScalarsTable,AS$5/100,MONTH($A89)))*$C89</f>
        <v>-11173.37898222944</v>
      </c>
      <c r="AT89" s="1021">
        <f>(VLOOKUP(YEAR($A89),'NY East Load Projections'!$A$4:$EO$14,((MONTH($A89)-1)*12)+VLOOKUP(AT$4,$DE$6:$DF$17,2)+1))*(VLOOKUP($A89,SatSunCurve,4))*(INDEX(DailyScalarsTable,AT$5/100,MONTH($A89)))*$C89</f>
        <v>-10691.910942876315</v>
      </c>
      <c r="AU89" s="1021">
        <f>(VLOOKUP(YEAR($A89),'NY East Load Projections'!$A$4:$EO$14,((MONTH($A89)-1)*12)+VLOOKUP(AU$4,$DE$6:$DF$17,2)+1))*(VLOOKUP($A89,SatSunCurve,4))*(INDEX(DailyScalarsTable,AU$5/100,MONTH($A89)))*$C89</f>
        <v>-10154.250347206114</v>
      </c>
      <c r="AV89" s="1021">
        <f>(VLOOKUP(YEAR($A89),'NY East Load Projections'!$A$4:$EO$14,((MONTH($A89)-1)*12)+VLOOKUP(AV$4,$DE$6:$DF$17,2)+1))*(VLOOKUP($A89,SatSunCurve,4))*(INDEX(DailyScalarsTable,AV$5/100,MONTH($A89)))*$C89</f>
        <v>-9978.0100569389215</v>
      </c>
      <c r="AW89" s="1021">
        <f>(VLOOKUP(YEAR($A89),'NY East Load Projections'!$A$4:$EO$14,((MONTH($A89)-1)*12)+VLOOKUP(AW$4,$DE$6:$DF$17,2)+1))*(VLOOKUP($A89,SatSunCurve,4))*(INDEX(DailyScalarsTable,AW$5/100,MONTH($A89)))*$C89</f>
        <v>-10827.624411420366</v>
      </c>
      <c r="AX89" s="1021">
        <f>(VLOOKUP(YEAR($A89),'NY East Load Projections'!$A$4:$EO$14,((MONTH($A89)-1)*12)+VLOOKUP(AX$4,$DE$6:$DF$17,2)+1))*(VLOOKUP($A89,SatSunCurve,4))*(INDEX(DailyScalarsTable,AX$5/100,MONTH($A89)))*$C89</f>
        <v>-15259.850827813325</v>
      </c>
      <c r="AY89" s="1021">
        <f>(VLOOKUP(YEAR($A89),'NY East Load Projections'!$A$4:$EO$14,((MONTH($A89)-1)*12)+VLOOKUP(AY$4,$DE$6:$DF$17,2)+1))*(VLOOKUP($A89,SatSunCurve,4))*(INDEX(DailyScalarsTable,AY$5/100,MONTH($A89)))*$C89</f>
        <v>-15158.181787429556</v>
      </c>
      <c r="AZ89" s="1021">
        <f>(VLOOKUP(YEAR($A89),'NY East Load Projections'!$A$4:$EO$14,((MONTH($A89)-1)*12)+VLOOKUP(AZ$4,$DE$6:$DF$17,2)+1))*(VLOOKUP($A89,SatSunCurve,4))*(INDEX(DailyScalarsTable,AZ$5/100,MONTH($A89)))*$C89</f>
        <v>-14636.204471345038</v>
      </c>
      <c r="BA89" s="1021">
        <f>(VLOOKUP(YEAR($A89),'NY East Load Projections'!$A$4:$EO$14,((MONTH($A89)-1)*12)+VLOOKUP(BA$4,$DE$6:$DF$17,2)+1))*(VLOOKUP($A89,SatSunCurve,4))*(INDEX(DailyScalarsTable,BA$5/100,MONTH($A89)))*$C89</f>
        <v>-13734.514970696997</v>
      </c>
      <c r="BB89" s="1021">
        <f>(VLOOKUP(YEAR($A89),'NY East Load Projections'!$A$4:$EO$14,((MONTH($A89)-1)*12)+VLOOKUP(BB$4,$DE$6:$DF$17,2)+1))*(VLOOKUP($A89,SatSunCurve,4))*(INDEX(DailyScalarsTable,BB$5/100,MONTH($A89)))*$C89</f>
        <v>-10125.029624770736</v>
      </c>
      <c r="BC89" s="1021">
        <f>(VLOOKUP(YEAR($A89),'NY East Load Projections'!$A$4:$EO$14,((MONTH($A89)-1)*12)+VLOOKUP(BC$4,$DE$6:$DF$17,2)+1))*(VLOOKUP($A89,SatSunCurve,4))*(INDEX(DailyScalarsTable,BC$5/100,MONTH($A89)))*$C89</f>
        <v>-8353.2980756329325</v>
      </c>
      <c r="BD89" s="1021">
        <f>(VLOOKUP(YEAR($A89),'NY East Load Projections'!$A$4:$EO$14,((MONTH($A89)-1)*12)+VLOOKUP(BD$4,$DE$6:$DF$17,2)+1))*(VLOOKUP($A89,CURVES!$D$9:$T$261,8))*(INDEX(DailyScalarsTable,BD$5/100,MONTH($A89)))*$C89</f>
        <v>-9938.2260985461671</v>
      </c>
      <c r="BE89" s="1021"/>
      <c r="BF89" s="1021">
        <f>(VLOOKUP(YEAR($A89),'NY East Load Projections'!$A$4:$EO$14,((MONTH($A89)-1)*12)+VLOOKUP(BF$4,$DE$6:$DF$17,2)+1))*(VLOOKUP($A89,CURVES!$D$9:$T$261,8))*(INDEX(DailyScalarsTable,BF$5/100,MONTH($A89)))*$D89</f>
        <v>-8615.9754073884342</v>
      </c>
      <c r="BG89" s="1021">
        <f>(VLOOKUP(YEAR($A89),'NY East Load Projections'!$A$4:$EO$14,((MONTH($A89)-1)*12)+VLOOKUP(BG$4,$DE$6:$DF$17,2)+1))*(VLOOKUP($A89,CURVES!$D$9:$T$261,8))*(INDEX(DailyScalarsTable,BG$5/100,MONTH($A89)))*$D89</f>
        <v>-8168.2598482955218</v>
      </c>
      <c r="BH89" s="1021">
        <f>(VLOOKUP(YEAR($A89),'NY East Load Projections'!$A$4:$EO$14,((MONTH($A89)-1)*12)+VLOOKUP(BH$4,$DE$6:$DF$17,2)+1))*(VLOOKUP($A89,CURVES!$D$9:$T$261,8))*(INDEX(DailyScalarsTable,BH$5/100,MONTH($A89)))*$D89</f>
        <v>-7839.1935470988701</v>
      </c>
      <c r="BI89" s="1021">
        <f>(VLOOKUP(YEAR($A89),'NY East Load Projections'!$A$4:$EO$14,((MONTH($A89)-1)*12)+VLOOKUP(BI$4,$DE$6:$DF$17,2)+1))*(VLOOKUP($A89,CURVES!$D$9:$T$261,8))*(INDEX(DailyScalarsTable,BI$5/100,MONTH($A89)))*$D89</f>
        <v>-7843.8282837354418</v>
      </c>
      <c r="BJ89" s="1021">
        <f>(VLOOKUP(YEAR($A89),'NY East Load Projections'!$A$4:$EO$14,((MONTH($A89)-1)*12)+VLOOKUP(BJ$4,$DE$6:$DF$17,2)+1))*(VLOOKUP($A89,CURVES!$D$9:$T$261,8))*(INDEX(DailyScalarsTable,BJ$5/100,MONTH($A89)))*$D89</f>
        <v>-8592.3487349545776</v>
      </c>
      <c r="BK89" s="1021">
        <f>(VLOOKUP(YEAR($A89),'NY East Load Projections'!$A$4:$EO$14,((MONTH($A89)-1)*12)+VLOOKUP(BK$4,$DE$6:$DF$17,2)+1))*(VLOOKUP($A89,CURVES!$D$9:$T$261,8))*(INDEX(DailyScalarsTable,BK$5/100,MONTH($A89)))*$D89</f>
        <v>-9899.4473456001779</v>
      </c>
      <c r="BL89" s="1021">
        <f>(VLOOKUP(YEAR($A89),'NY East Load Projections'!$A$4:$EO$14,((MONTH($A89)-1)*12)+VLOOKUP(BL$4,$DE$6:$DF$17,2)+1))*(VLOOKUP($A89,CURVES!$D$9:$T$261,8))*(INDEX(DailyScalarsTable,BL$5/100,MONTH($A89)))*$D89</f>
        <v>-14179.982027018254</v>
      </c>
      <c r="BM89" s="1021">
        <f>(VLOOKUP(YEAR($A89),'NY East Load Projections'!$A$4:$EO$14,((MONTH($A89)-1)*12)+VLOOKUP(BM$4,$DE$6:$DF$17,2)+1))*(VLOOKUP($A89,SatSunCurve,8))*(INDEX(DailyScalarsTable,BM$5/100,MONTH($A89)))*$D89</f>
        <v>-12446.01380512349</v>
      </c>
      <c r="BN89" s="1021">
        <f>(VLOOKUP(YEAR($A89),'NY East Load Projections'!$A$4:$EO$14,((MONTH($A89)-1)*12)+VLOOKUP(BN$4,$DE$6:$DF$17,2)+1))*(VLOOKUP($A89,SatSunCurve,8))*(INDEX(DailyScalarsTable,BN$5/100,MONTH($A89)))*$D89</f>
        <v>-14120.299539642881</v>
      </c>
      <c r="BO89" s="1021">
        <f>(VLOOKUP(YEAR($A89),'NY East Load Projections'!$A$4:$EO$14,((MONTH($A89)-1)*12)+VLOOKUP(BO$4,$DE$6:$DF$17,2)+1))*(VLOOKUP($A89,SatSunCurve,8))*(INDEX(DailyScalarsTable,BO$5/100,MONTH($A89)))*$D89</f>
        <v>-14048.715274920512</v>
      </c>
      <c r="BP89" s="1021">
        <f>(VLOOKUP(YEAR($A89),'NY East Load Projections'!$A$4:$EO$14,((MONTH($A89)-1)*12)+VLOOKUP(BP$4,$DE$6:$DF$17,2)+1))*(VLOOKUP($A89,SatSunCurve,8))*(INDEX(DailyScalarsTable,BP$5/100,MONTH($A89)))*$D89</f>
        <v>-13742.965534072429</v>
      </c>
      <c r="BQ89" s="1021">
        <f>(VLOOKUP(YEAR($A89),'NY East Load Projections'!$A$4:$EO$14,((MONTH($A89)-1)*12)+VLOOKUP(BQ$4,$DE$6:$DF$17,2)+1))*(VLOOKUP($A89,SatSunCurve,8))*(INDEX(DailyScalarsTable,BQ$5/100,MONTH($A89)))*$D89</f>
        <v>-11167.145296689559</v>
      </c>
      <c r="BR89" s="1021">
        <f>(VLOOKUP(YEAR($A89),'NY East Load Projections'!$A$4:$EO$14,((MONTH($A89)-1)*12)+VLOOKUP(BR$4,$DE$6:$DF$17,2)+1))*(VLOOKUP($A89,SatSunCurve,8))*(INDEX(DailyScalarsTable,BR$5/100,MONTH($A89)))*$D89</f>
        <v>-10733.53115734996</v>
      </c>
      <c r="BS89" s="1021">
        <f>(VLOOKUP(YEAR($A89),'NY East Load Projections'!$A$4:$EO$14,((MONTH($A89)-1)*12)+VLOOKUP(BS$4,$DE$6:$DF$17,2)+1))*(VLOOKUP($A89,SatSunCurve,8))*(INDEX(DailyScalarsTable,BS$5/100,MONTH($A89)))*$D89</f>
        <v>-10271.016441802933</v>
      </c>
      <c r="BT89" s="1021">
        <f>(VLOOKUP(YEAR($A89),'NY East Load Projections'!$A$4:$EO$14,((MONTH($A89)-1)*12)+VLOOKUP(BT$4,$DE$6:$DF$17,2)+1))*(VLOOKUP($A89,SatSunCurve,8))*(INDEX(DailyScalarsTable,BT$5/100,MONTH($A89)))*$D89</f>
        <v>-9754.5212289506835</v>
      </c>
      <c r="BU89" s="1021">
        <f>(VLOOKUP(YEAR($A89),'NY East Load Projections'!$A$4:$EO$14,((MONTH($A89)-1)*12)+VLOOKUP(BU$4,$DE$6:$DF$17,2)+1))*(VLOOKUP($A89,SatSunCurve,8))*(INDEX(DailyScalarsTable,BU$5/100,MONTH($A89)))*$D89</f>
        <v>-9585.2187601297555</v>
      </c>
      <c r="BV89" s="1021">
        <f>(VLOOKUP(YEAR($A89),'NY East Load Projections'!$A$4:$EO$14,((MONTH($A89)-1)*12)+VLOOKUP(BV$4,$DE$6:$DF$17,2)+1))*(VLOOKUP($A89,SatSunCurve,8))*(INDEX(DailyScalarsTable,BV$5/100,MONTH($A89)))*$D89</f>
        <v>-10401.38745538856</v>
      </c>
      <c r="BW89" s="1021">
        <f>(VLOOKUP(YEAR($A89),'NY East Load Projections'!$A$4:$EO$14,((MONTH($A89)-1)*12)+VLOOKUP(BW$4,$DE$6:$DF$17,2)+1))*(VLOOKUP($A89,SatSunCurve,8))*(INDEX(DailyScalarsTable,BW$5/100,MONTH($A89)))*$D89</f>
        <v>-14659.136200190467</v>
      </c>
      <c r="BX89" s="1021">
        <f>(VLOOKUP(YEAR($A89),'NY East Load Projections'!$A$4:$EO$14,((MONTH($A89)-1)*12)+VLOOKUP(BX$4,$DE$6:$DF$17,2)+1))*(VLOOKUP($A89,SatSunCurve,8))*(INDEX(DailyScalarsTable,BX$5/100,MONTH($A89)))*$D89</f>
        <v>-14561.469432202673</v>
      </c>
      <c r="BY89" s="1021">
        <f>(VLOOKUP(YEAR($A89),'NY East Load Projections'!$A$4:$EO$14,((MONTH($A89)-1)*12)+VLOOKUP(BY$4,$DE$6:$DF$17,2)+1))*(VLOOKUP($A89,SatSunCurve,8))*(INDEX(DailyScalarsTable,BY$5/100,MONTH($A89)))*$D89</f>
        <v>-14060.040115741311</v>
      </c>
      <c r="BZ89" s="1021">
        <f>(VLOOKUP(YEAR($A89),'NY East Load Projections'!$A$4:$EO$14,((MONTH($A89)-1)*12)+VLOOKUP(BZ$4,$DE$6:$DF$17,2)+1))*(VLOOKUP($A89,SatSunCurve,8))*(INDEX(DailyScalarsTable,BZ$5/100,MONTH($A89)))*$D89</f>
        <v>-13193.846248617154</v>
      </c>
      <c r="CA89" s="1021">
        <f>(VLOOKUP(YEAR($A89),'NY East Load Projections'!$A$4:$EO$14,((MONTH($A89)-1)*12)+VLOOKUP(CA$4,$DE$6:$DF$17,2)+1))*(VLOOKUP($A89,SatSunCurve,8))*(INDEX(DailyScalarsTable,CA$5/100,MONTH($A89)))*$D89</f>
        <v>-9726.4508005512489</v>
      </c>
      <c r="CB89" s="1021">
        <f>(VLOOKUP(YEAR($A89),'NY East Load Projections'!$A$4:$EO$14,((MONTH($A89)-1)*12)+VLOOKUP(CB$4,$DE$6:$DF$17,2)+1))*(VLOOKUP($A89,SatSunCurve,8))*(INDEX(DailyScalarsTable,CB$5/100,MONTH($A89)))*$D89</f>
        <v>-8024.4646945240775</v>
      </c>
      <c r="CC89" s="1021">
        <f>(VLOOKUP(YEAR($A89),'NY East Load Projections'!$A$4:$EO$14,((MONTH($A89)-1)*12)+VLOOKUP(CC$4,$DE$6:$DF$17,2)+1))*(VLOOKUP($A89,CURVES!$D$9:$T$261,8))*(INDEX(DailyScalarsTable,CC$5/100,MONTH($A89)))*$D89</f>
        <v>-9938.2260985461671</v>
      </c>
      <c r="CE89" s="1021">
        <f>(VLOOKUP(YEAR($A89),'NY East Load Projections'!$A$4:$EO$14,((MONTH($A89)-1)*12)+VLOOKUP(CE$4,$DE$6:$DF$17,2)+1))*(VLOOKUP($A89,CURVES!$D$9:$T$261,8))*(INDEX(DailyScalarsTable,CE$5/100,MONTH($A89)))*$E89</f>
        <v>-1723.1950814776869</v>
      </c>
      <c r="CF89" s="1021">
        <f>(VLOOKUP(YEAR($A89),'NY East Load Projections'!$A$4:$EO$14,((MONTH($A89)-1)*12)+VLOOKUP(CF$4,$DE$6:$DF$17,2)+1))*(VLOOKUP($A89,CURVES!$D$9:$T$261,8))*(INDEX(DailyScalarsTable,CF$5/100,MONTH($A89)))*$E89</f>
        <v>-1633.6519696591045</v>
      </c>
      <c r="CG89" s="1021">
        <f>(VLOOKUP(YEAR($A89),'NY East Load Projections'!$A$4:$EO$14,((MONTH($A89)-1)*12)+VLOOKUP(CG$4,$DE$6:$DF$17,2)+1))*(VLOOKUP($A89,CURVES!$D$9:$T$261,8))*(INDEX(DailyScalarsTable,CG$5/100,MONTH($A89)))*$E89</f>
        <v>-1567.838709419774</v>
      </c>
      <c r="CH89" s="1021">
        <f>(VLOOKUP(YEAR($A89),'NY East Load Projections'!$A$4:$EO$14,((MONTH($A89)-1)*12)+VLOOKUP(CH$4,$DE$6:$DF$17,2)+1))*(VLOOKUP($A89,CURVES!$D$9:$T$261,8))*(INDEX(DailyScalarsTable,CH$5/100,MONTH($A89)))*$E89</f>
        <v>-1568.7656567470883</v>
      </c>
      <c r="CI89" s="1021">
        <f>(VLOOKUP(YEAR($A89),'NY East Load Projections'!$A$4:$EO$14,((MONTH($A89)-1)*12)+VLOOKUP(CI$4,$DE$6:$DF$17,2)+1))*(VLOOKUP($A89,CURVES!$D$9:$T$261,8))*(INDEX(DailyScalarsTable,CI$5/100,MONTH($A89)))*$E89</f>
        <v>-1718.4697469909154</v>
      </c>
      <c r="CJ89" s="1021">
        <f>(VLOOKUP(YEAR($A89),'NY East Load Projections'!$A$4:$EO$14,((MONTH($A89)-1)*12)+VLOOKUP(CJ$4,$DE$6:$DF$17,2)+1))*(VLOOKUP($A89,CURVES!$D$9:$T$261,8))*(INDEX(DailyScalarsTable,CJ$5/100,MONTH($A89)))*$E89</f>
        <v>-1979.8894691200355</v>
      </c>
      <c r="CK89" s="1021">
        <f>(VLOOKUP(YEAR($A89),'NY East Load Projections'!$A$4:$EO$14,((MONTH($A89)-1)*12)+VLOOKUP(CK$4,$DE$6:$DF$17,2)+1))*(VLOOKUP($A89,CURVES!$D$9:$T$261,8))*(INDEX(DailyScalarsTable,CK$5/100,MONTH($A89)))*$E89</f>
        <v>-2835.9964054036509</v>
      </c>
      <c r="CL89" s="1021">
        <f>(VLOOKUP(YEAR($A89),'NY East Load Projections'!$A$4:$EO$14,((MONTH($A89)-1)*12)+VLOOKUP(CL$4,$DE$6:$DF$17,2)+1))*(VLOOKUP($A89,SatSunCurve,8))*(INDEX(DailyScalarsTable,CL$5/100,MONTH($A89)))*$E89</f>
        <v>-2489.2027610246978</v>
      </c>
      <c r="CM89" s="1021">
        <f>(VLOOKUP(YEAR($A89),'NY East Load Projections'!$A$4:$EO$14,((MONTH($A89)-1)*12)+VLOOKUP(CM$4,$DE$6:$DF$17,2)+1))*(VLOOKUP($A89,SatSunCurve,8))*(INDEX(DailyScalarsTable,CM$5/100,MONTH($A89)))*$E89</f>
        <v>-2824.0599079285762</v>
      </c>
      <c r="CN89" s="1021">
        <f>(VLOOKUP(YEAR($A89),'NY East Load Projections'!$A$4:$EO$14,((MONTH($A89)-1)*12)+VLOOKUP(CN$4,$DE$6:$DF$17,2)+1))*(VLOOKUP($A89,SatSunCurve,8))*(INDEX(DailyScalarsTable,CN$5/100,MONTH($A89)))*$E89</f>
        <v>-2809.7430549841024</v>
      </c>
      <c r="CO89" s="1021">
        <f>(VLOOKUP(YEAR($A89),'NY East Load Projections'!$A$4:$EO$14,((MONTH($A89)-1)*12)+VLOOKUP(CO$4,$DE$6:$DF$17,2)+1))*(VLOOKUP($A89,SatSunCurve,8))*(INDEX(DailyScalarsTable,CO$5/100,MONTH($A89)))*$E89</f>
        <v>-2748.593106814486</v>
      </c>
      <c r="CP89" s="1021">
        <f>(VLOOKUP(YEAR($A89),'NY East Load Projections'!$A$4:$EO$14,((MONTH($A89)-1)*12)+VLOOKUP(CP$4,$DE$6:$DF$17,2)+1))*(VLOOKUP($A89,SatSunCurve,8))*(INDEX(DailyScalarsTable,CP$5/100,MONTH($A89)))*$E89</f>
        <v>-2233.4290593379119</v>
      </c>
      <c r="CQ89" s="1021">
        <f>(VLOOKUP(YEAR($A89),'NY East Load Projections'!$A$4:$EO$14,((MONTH($A89)-1)*12)+VLOOKUP(CQ$4,$DE$6:$DF$17,2)+1))*(VLOOKUP($A89,SatSunCurve,8))*(INDEX(DailyScalarsTable,CQ$5/100,MONTH($A89)))*$E89</f>
        <v>-2146.706231469992</v>
      </c>
      <c r="CR89" s="1021">
        <f>(VLOOKUP(YEAR($A89),'NY East Load Projections'!$A$4:$EO$14,((MONTH($A89)-1)*12)+VLOOKUP(CR$4,$DE$6:$DF$17,2)+1))*(VLOOKUP($A89,SatSunCurve,8))*(INDEX(DailyScalarsTable,CR$5/100,MONTH($A89)))*$E89</f>
        <v>-2054.2032883605866</v>
      </c>
      <c r="CS89" s="1021">
        <f>(VLOOKUP(YEAR($A89),'NY East Load Projections'!$A$4:$EO$14,((MONTH($A89)-1)*12)+VLOOKUP(CS$4,$DE$6:$DF$17,2)+1))*(VLOOKUP($A89,SatSunCurve,8))*(INDEX(DailyScalarsTable,CS$5/100,MONTH($A89)))*$E89</f>
        <v>-1950.9042457901367</v>
      </c>
      <c r="CT89" s="1021">
        <f>(VLOOKUP(YEAR($A89),'NY East Load Projections'!$A$4:$EO$14,((MONTH($A89)-1)*12)+VLOOKUP(CT$4,$DE$6:$DF$17,2)+1))*(VLOOKUP($A89,SatSunCurve,8))*(INDEX(DailyScalarsTable,CT$5/100,MONTH($A89)))*$E89</f>
        <v>-1917.0437520259511</v>
      </c>
      <c r="CU89" s="1021">
        <f>(VLOOKUP(YEAR($A89),'NY East Load Projections'!$A$4:$EO$14,((MONTH($A89)-1)*12)+VLOOKUP(CU$4,$DE$6:$DF$17,2)+1))*(VLOOKUP($A89,SatSunCurve,8))*(INDEX(DailyScalarsTable,CU$5/100,MONTH($A89)))*$E89</f>
        <v>-2080.2774910777121</v>
      </c>
      <c r="CV89" s="1021">
        <f>(VLOOKUP(YEAR($A89),'NY East Load Projections'!$A$4:$EO$14,((MONTH($A89)-1)*12)+VLOOKUP(CV$4,$DE$6:$DF$17,2)+1))*(VLOOKUP($A89,SatSunCurve,8))*(INDEX(DailyScalarsTable,CV$5/100,MONTH($A89)))*$E89</f>
        <v>-2931.8272400380934</v>
      </c>
      <c r="CW89" s="1021">
        <f>(VLOOKUP(YEAR($A89),'NY East Load Projections'!$A$4:$EO$14,((MONTH($A89)-1)*12)+VLOOKUP(CW$4,$DE$6:$DF$17,2)+1))*(VLOOKUP($A89,SatSunCurve,8))*(INDEX(DailyScalarsTable,CW$5/100,MONTH($A89)))*$E89</f>
        <v>-2912.2938864405346</v>
      </c>
      <c r="CX89" s="1021">
        <f>(VLOOKUP(YEAR($A89),'NY East Load Projections'!$A$4:$EO$14,((MONTH($A89)-1)*12)+VLOOKUP(CX$4,$DE$6:$DF$17,2)+1))*(VLOOKUP($A89,SatSunCurve,8))*(INDEX(DailyScalarsTable,CX$5/100,MONTH($A89)))*$E89</f>
        <v>-2812.0080231482621</v>
      </c>
      <c r="CY89" s="1021">
        <f>(VLOOKUP(YEAR($A89),'NY East Load Projections'!$A$4:$EO$14,((MONTH($A89)-1)*12)+VLOOKUP(CY$4,$DE$6:$DF$17,2)+1))*(VLOOKUP($A89,SatSunCurve,8))*(INDEX(DailyScalarsTable,CY$5/100,MONTH($A89)))*$E89</f>
        <v>-2638.7692497234307</v>
      </c>
      <c r="CZ89" s="1021">
        <f>(VLOOKUP(YEAR($A89),'NY East Load Projections'!$A$4:$EO$14,((MONTH($A89)-1)*12)+VLOOKUP(CZ$4,$DE$6:$DF$17,2)+1))*(VLOOKUP($A89,SatSunCurve,8))*(INDEX(DailyScalarsTable,CZ$5/100,MONTH($A89)))*$E89</f>
        <v>-1945.2901601102499</v>
      </c>
      <c r="DA89" s="1021">
        <f>(VLOOKUP(YEAR($A89),'NY East Load Projections'!$A$4:$EO$14,((MONTH($A89)-1)*12)+VLOOKUP(DA$4,$DE$6:$DF$17,2)+1))*(VLOOKUP($A89,SatSunCurve,8))*(INDEX(DailyScalarsTable,DA$5/100,MONTH($A89)))*$E89</f>
        <v>-1604.8929389048155</v>
      </c>
      <c r="DB89" s="1021">
        <f>(VLOOKUP(YEAR($A89),'NY East Load Projections'!$A$4:$EO$14,((MONTH($A89)-1)*12)+VLOOKUP(DB$4,$DE$6:$DF$17,2)+1))*(VLOOKUP($A89,CURVES!$D$9:$T$261,8))*(INDEX(DailyScalarsTable,DB$5/100,MONTH($A89)))*$E89</f>
        <v>-1987.6452197092335</v>
      </c>
      <c r="DH89" s="1021">
        <f t="shared" si="2"/>
        <v>-1869828.9338085675</v>
      </c>
      <c r="DI89">
        <f ca="1">CALC!J109</f>
        <v>0.56471969020165991</v>
      </c>
      <c r="DJ89" s="1029">
        <f t="shared" ca="1" si="3"/>
        <v>-1055929.2162304742</v>
      </c>
    </row>
    <row r="90" spans="1:114" x14ac:dyDescent="0.25">
      <c r="A90" s="244">
        <v>39448</v>
      </c>
      <c r="B90" s="13">
        <v>22</v>
      </c>
      <c r="C90" s="210">
        <v>4</v>
      </c>
      <c r="D90" s="210">
        <v>4</v>
      </c>
      <c r="E90" s="210">
        <v>1</v>
      </c>
      <c r="F90" s="13">
        <v>31</v>
      </c>
      <c r="H90" s="1021">
        <f>(VLOOKUP(YEAR($A90),'NY East Load Projections'!$A$4:$EO$14,((MONTH($A90)-1)*12)+VLOOKUP(H$4,$DE$6:$DF$17,2)+1))*(VLOOKUP($A90,CURVES!$D$9:$K$261,8))*(INDEX(DailyScalarsTable,H$5/100,MONTH($A90)))*$B90</f>
        <v>-34718.919117541198</v>
      </c>
      <c r="I90" s="1021">
        <f>(VLOOKUP(YEAR($A90),'NY East Load Projections'!$A$4:$EO$14,((MONTH($A90)-1)*12)+VLOOKUP(I$4,$DE$6:$DF$17,2)+1))*(VLOOKUP($A90,CURVES!$D$9:$K$261,8))*(INDEX(DailyScalarsTable,I$5/100,MONTH($A90)))*$B90</f>
        <v>-34042.497845632519</v>
      </c>
      <c r="J90" s="1021">
        <f>(VLOOKUP(YEAR($A90),'NY East Load Projections'!$A$4:$EO$14,((MONTH($A90)-1)*12)+VLOOKUP(J$4,$DE$6:$DF$17,2)+1))*(VLOOKUP($A90,CURVES!$D$9:$K$261,8))*(INDEX(DailyScalarsTable,J$5/100,MONTH($A90)))*$B90</f>
        <v>-31194.862392892315</v>
      </c>
      <c r="K90" s="1021">
        <f>(VLOOKUP(YEAR($A90),'NY East Load Projections'!$A$4:$EO$14,((MONTH($A90)-1)*12)+VLOOKUP(K$4,$DE$6:$DF$17,2)+1))*(VLOOKUP($A90,CURVES!$D$9:$K$261,8))*(INDEX(DailyScalarsTable,K$5/100,MONTH($A90)))*$B90</f>
        <v>-31176.001495515527</v>
      </c>
      <c r="L90" s="1021">
        <f>(VLOOKUP(YEAR($A90),'NY East Load Projections'!$A$4:$EO$14,((MONTH($A90)-1)*12)+VLOOKUP(L$4,$DE$6:$DF$17,2)+1))*(VLOOKUP($A90,CURVES!$D$9:$K$261,8))*(INDEX(DailyScalarsTable,L$5/100,MONTH($A90)))*$B90</f>
        <v>-35331.846809998715</v>
      </c>
      <c r="M90" s="1021">
        <f>(VLOOKUP(YEAR($A90),'NY East Load Projections'!$A$4:$EO$14,((MONTH($A90)-1)*12)+VLOOKUP(M$4,$DE$6:$DF$17,2)+1))*(VLOOKUP($A90,CURVES!$D$9:$K$261,8))*(INDEX(DailyScalarsTable,M$5/100,MONTH($A90)))*$B90</f>
        <v>-37706.781344539675</v>
      </c>
      <c r="N90" s="1021">
        <f>(VLOOKUP(YEAR($A90),'NY East Load Projections'!$A$4:$EO$14,((MONTH($A90)-1)*12)+VLOOKUP(N$4,$DE$6:$DF$17,2)+1))*(VLOOKUP($A90,CURVES!$D$9:$K$261,8))*(INDEX(DailyScalarsTable,N$5/100,MONTH($A90)))*$B90</f>
        <v>-72208.027148609297</v>
      </c>
      <c r="O90" s="1021">
        <f>(VLOOKUP(YEAR($A90),'NY East Load Projections'!$A$4:$EO$14,((MONTH($A90)-1)*12)+VLOOKUP(O$4,$DE$6:$DF$17,2)+1))*(VLOOKUP($A90,CURVES!$D$9:$K$261,4))*(INDEX(DailyScalarsTable,O$5/100,MONTH($A90)))*$B90</f>
        <v>-85550.179343054173</v>
      </c>
      <c r="P90" s="1021">
        <f>(VLOOKUP(YEAR($A90),'NY East Load Projections'!$A$4:$EO$14,((MONTH($A90)-1)*12)+VLOOKUP(P$4,$DE$6:$DF$17,2)+1))*(VLOOKUP($A90,CURVES!$D$9:$K$261,4))*(INDEX(DailyScalarsTable,P$5/100,MONTH($A90)))*$B90</f>
        <v>-95166.766271322907</v>
      </c>
      <c r="Q90" s="1021">
        <f>(VLOOKUP(YEAR($A90),'NY East Load Projections'!$A$4:$EO$14,((MONTH($A90)-1)*12)+VLOOKUP(Q$4,$DE$6:$DF$17,2)+1))*(VLOOKUP($A90,CURVES!$D$9:$K$261,4))*(INDEX(DailyScalarsTable,Q$5/100,MONTH($A90)))*$B90</f>
        <v>-94877.11686055093</v>
      </c>
      <c r="R90" s="1021">
        <f>(VLOOKUP(YEAR($A90),'NY East Load Projections'!$A$4:$EO$14,((MONTH($A90)-1)*12)+VLOOKUP(R$4,$DE$6:$DF$17,2)+1))*(VLOOKUP($A90,CURVES!$D$9:$K$261,4))*(INDEX(DailyScalarsTable,R$5/100,MONTH($A90)))*$B90</f>
        <v>-93221.38672999281</v>
      </c>
      <c r="S90" s="1021">
        <f>(VLOOKUP(YEAR($A90),'NY East Load Projections'!$A$4:$EO$14,((MONTH($A90)-1)*12)+VLOOKUP(S$4,$DE$6:$DF$17,2)+1))*(VLOOKUP($A90,CURVES!$D$9:$K$261,4))*(INDEX(DailyScalarsTable,S$5/100,MONTH($A90)))*$B90</f>
        <v>-69831.638640842895</v>
      </c>
      <c r="T90" s="1021">
        <f>(VLOOKUP(YEAR($A90),'NY East Load Projections'!$A$4:$EO$14,((MONTH($A90)-1)*12)+VLOOKUP(T$4,$DE$6:$DF$17,2)+1))*(VLOOKUP($A90,CURVES!$D$9:$K$261,4))*(INDEX(DailyScalarsTable,T$5/100,MONTH($A90)))*$B90</f>
        <v>-68632.89659829266</v>
      </c>
      <c r="U90" s="1021">
        <f>(VLOOKUP(YEAR($A90),'NY East Load Projections'!$A$4:$EO$14,((MONTH($A90)-1)*12)+VLOOKUP(U$4,$DE$6:$DF$17,2)+1))*(VLOOKUP($A90,CURVES!$D$9:$K$261,4))*(INDEX(DailyScalarsTable,U$5/100,MONTH($A90)))*$B90</f>
        <v>-66416.860161567252</v>
      </c>
      <c r="V90" s="1021">
        <f>(VLOOKUP(YEAR($A90),'NY East Load Projections'!$A$4:$EO$14,((MONTH($A90)-1)*12)+VLOOKUP(V$4,$DE$6:$DF$17,2)+1))*(VLOOKUP($A90,CURVES!$D$9:$K$261,4))*(INDEX(DailyScalarsTable,V$5/100,MONTH($A90)))*$B90</f>
        <v>-63036.601683808571</v>
      </c>
      <c r="W90" s="1021">
        <f>(VLOOKUP(YEAR($A90),'NY East Load Projections'!$A$4:$EO$14,((MONTH($A90)-1)*12)+VLOOKUP(W$4,$DE$6:$DF$17,2)+1))*(VLOOKUP($A90,CURVES!$D$9:$K$261,4))*(INDEX(DailyScalarsTable,W$5/100,MONTH($A90)))*$B90</f>
        <v>-61768.001114958519</v>
      </c>
      <c r="X90" s="1021">
        <f>(VLOOKUP(YEAR($A90),'NY East Load Projections'!$A$4:$EO$14,((MONTH($A90)-1)*12)+VLOOKUP(X$4,$DE$6:$DF$17,2)+1))*(VLOOKUP($A90,CURVES!$D$9:$K$261,4))*(INDEX(DailyScalarsTable,X$5/100,MONTH($A90)))*$B90</f>
        <v>-64535.638824257403</v>
      </c>
      <c r="Y90" s="1021">
        <f>(VLOOKUP(YEAR($A90),'NY East Load Projections'!$A$4:$EO$14,((MONTH($A90)-1)*12)+VLOOKUP(Y$4,$DE$6:$DF$17,2)+1))*(VLOOKUP($A90,CURVES!$D$9:$K$261,4))*(INDEX(DailyScalarsTable,Y$5/100,MONTH($A90)))*$B90</f>
        <v>-89798.537713863887</v>
      </c>
      <c r="Z90" s="1021">
        <f>(VLOOKUP(YEAR($A90),'NY East Load Projections'!$A$4:$EO$14,((MONTH($A90)-1)*12)+VLOOKUP(Z$4,$DE$6:$DF$17,2)+1))*(VLOOKUP($A90,CURVES!$D$9:$K$261,4))*(INDEX(DailyScalarsTable,Z$5/100,MONTH($A90)))*$B90</f>
        <v>-98532.855702944871</v>
      </c>
      <c r="AA90" s="1021">
        <f>(VLOOKUP(YEAR($A90),'NY East Load Projections'!$A$4:$EO$14,((MONTH($A90)-1)*12)+VLOOKUP(AA$4,$DE$6:$DF$17,2)+1))*(VLOOKUP($A90,CURVES!$D$9:$K$261,4))*(INDEX(DailyScalarsTable,AA$5/100,MONTH($A90)))*$B90</f>
        <v>-94313.040539975977</v>
      </c>
      <c r="AB90" s="1021">
        <f>(VLOOKUP(YEAR($A90),'NY East Load Projections'!$A$4:$EO$14,((MONTH($A90)-1)*12)+VLOOKUP(AB$4,$DE$6:$DF$17,2)+1))*(VLOOKUP($A90,CURVES!$D$9:$K$261,4))*(INDEX(DailyScalarsTable,AB$5/100,MONTH($A90)))*$B90</f>
        <v>-81339.878432018435</v>
      </c>
      <c r="AC90" s="1021">
        <f>(VLOOKUP(YEAR($A90),'NY East Load Projections'!$A$4:$EO$14,((MONTH($A90)-1)*12)+VLOOKUP(AC$4,$DE$6:$DF$17,2)+1))*(VLOOKUP($A90,CURVES!$D$9:$K$261,4))*(INDEX(DailyScalarsTable,AC$5/100,MONTH($A90)))*$B90</f>
        <v>-57850.805450986649</v>
      </c>
      <c r="AD90" s="1021">
        <f>(VLOOKUP(YEAR($A90),'NY East Load Projections'!$A$4:$EO$14,((MONTH($A90)-1)*12)+VLOOKUP(AD$4,$DE$6:$DF$17,2)+1))*(VLOOKUP($A90,CURVES!$D$9:$K$261,4))*(INDEX(DailyScalarsTable,AD$5/100,MONTH($A90)))*$B90</f>
        <v>-47358.084803150967</v>
      </c>
      <c r="AE90" s="1021">
        <f>(VLOOKUP(YEAR($A90),'NY East Load Projections'!$A$4:$EO$14,((MONTH($A90)-1)*12)+VLOOKUP(AE$4,$DE$6:$DF$17,2)+1))*(VLOOKUP($A90,CURVES!$D$9:$K$261,8))*(INDEX(DailyScalarsTable,AE$5/100,MONTH($A90)))*$B90</f>
        <v>-41141.256222489552</v>
      </c>
      <c r="AF90" s="1021"/>
      <c r="AG90" s="1021">
        <f>(VLOOKUP(YEAR($A90),'NY East Load Projections'!$A$4:$EO$14,((MONTH($A90)-1)*12)+VLOOKUP(AG$4,$DE$6:$DF$17,2)+1))*(VLOOKUP($A90,CURVES!$D$9:$T$261,8))*(INDEX(DailyScalarsTable,AG$5/100,MONTH($A90)))*$C90</f>
        <v>-6717.0520081967607</v>
      </c>
      <c r="AH90" s="1021">
        <f>(VLOOKUP(YEAR($A90),'NY East Load Projections'!$A$4:$EO$14,((MONTH($A90)-1)*12)+VLOOKUP(AH$4,$DE$6:$DF$17,2)+1))*(VLOOKUP($A90,CURVES!$D$9:$T$261,8))*(INDEX(DailyScalarsTable,AH$5/100,MONTH($A90)))*$C90</f>
        <v>-6586.1851212559841</v>
      </c>
      <c r="AI90" s="1021">
        <f>(VLOOKUP(YEAR($A90),'NY East Load Projections'!$A$4:$EO$14,((MONTH($A90)-1)*12)+VLOOKUP(AI$4,$DE$6:$DF$17,2)+1))*(VLOOKUP($A90,CURVES!$D$9:$T$261,8))*(INDEX(DailyScalarsTable,AI$5/100,MONTH($A90)))*$C90</f>
        <v>-6035.2545069795478</v>
      </c>
      <c r="AJ90" s="1021">
        <f>(VLOOKUP(YEAR($A90),'NY East Load Projections'!$A$4:$EO$14,((MONTH($A90)-1)*12)+VLOOKUP(AJ$4,$DE$6:$DF$17,2)+1))*(VLOOKUP($A90,CURVES!$D$9:$T$261,8))*(INDEX(DailyScalarsTable,AJ$5/100,MONTH($A90)))*$C90</f>
        <v>-6031.6054985477986</v>
      </c>
      <c r="AK90" s="1021">
        <f>(VLOOKUP(YEAR($A90),'NY East Load Projections'!$A$4:$EO$14,((MONTH($A90)-1)*12)+VLOOKUP(AK$4,$DE$6:$DF$17,2)+1))*(VLOOKUP($A90,CURVES!$D$9:$T$261,8))*(INDEX(DailyScalarsTable,AK$5/100,MONTH($A90)))*$C90</f>
        <v>-6347.9632828256199</v>
      </c>
      <c r="AL90" s="1021">
        <f>(VLOOKUP(YEAR($A90),'NY East Load Projections'!$A$4:$EO$14,((MONTH($A90)-1)*12)+VLOOKUP(AL$4,$DE$6:$DF$17,2)+1))*(VLOOKUP($A90,CURVES!$D$9:$T$261,8))*(INDEX(DailyScalarsTable,AL$5/100,MONTH($A90)))*$C90</f>
        <v>-6774.6604013049782</v>
      </c>
      <c r="AM90" s="1021">
        <f>(VLOOKUP(YEAR($A90),'NY East Load Projections'!$A$4:$EO$14,((MONTH($A90)-1)*12)+VLOOKUP(AM$4,$DE$6:$DF$17,2)+1))*(VLOOKUP($A90,CURVES!$D$9:$T$261,8))*(INDEX(DailyScalarsTable,AM$5/100,MONTH($A90)))*$C90</f>
        <v>-12973.392178722175</v>
      </c>
      <c r="AN90" s="1021">
        <f>(VLOOKUP(YEAR($A90),'NY East Load Projections'!$A$4:$EO$14,((MONTH($A90)-1)*12)+VLOOKUP(AN$4,$DE$6:$DF$17,2)+1))*(VLOOKUP($A90,SatSunCurve,4))*(INDEX(DailyScalarsTable,AN$5/100,MONTH($A90)))*$C90</f>
        <v>-12273.882933640447</v>
      </c>
      <c r="AO90" s="1021">
        <f>(VLOOKUP(YEAR($A90),'NY East Load Projections'!$A$4:$EO$14,((MONTH($A90)-1)*12)+VLOOKUP(AO$4,$DE$6:$DF$17,2)+1))*(VLOOKUP($A90,SatSunCurve,4))*(INDEX(DailyScalarsTable,AO$5/100,MONTH($A90)))*$C90</f>
        <v>-13874.387907416232</v>
      </c>
      <c r="AP90" s="1021">
        <f>(VLOOKUP(YEAR($A90),'NY East Load Projections'!$A$4:$EO$14,((MONTH($A90)-1)*12)+VLOOKUP(AP$4,$DE$6:$DF$17,2)+1))*(VLOOKUP($A90,SatSunCurve,4))*(INDEX(DailyScalarsTable,AP$5/100,MONTH($A90)))*$C90</f>
        <v>-13832.15984356937</v>
      </c>
      <c r="AQ90" s="1021">
        <f>(VLOOKUP(YEAR($A90),'NY East Load Projections'!$A$4:$EO$14,((MONTH($A90)-1)*12)+VLOOKUP(AQ$4,$DE$6:$DF$17,2)+1))*(VLOOKUP($A90,SatSunCurve,4))*(INDEX(DailyScalarsTable,AQ$5/100,MONTH($A90)))*$C90</f>
        <v>-13590.770511963148</v>
      </c>
      <c r="AR90" s="1021">
        <f>(VLOOKUP(YEAR($A90),'NY East Load Projections'!$A$4:$EO$14,((MONTH($A90)-1)*12)+VLOOKUP(AR$4,$DE$6:$DF$17,2)+1))*(VLOOKUP($A90,SatSunCurve,4))*(INDEX(DailyScalarsTable,AR$5/100,MONTH($A90)))*$C90</f>
        <v>-10180.772980677875</v>
      </c>
      <c r="AS90" s="1021">
        <f>(VLOOKUP(YEAR($A90),'NY East Load Projections'!$A$4:$EO$14,((MONTH($A90)-1)*12)+VLOOKUP(AS$4,$DE$6:$DF$17,2)+1))*(VLOOKUP($A90,SatSunCurve,4))*(INDEX(DailyScalarsTable,AS$5/100,MONTH($A90)))*$C90</f>
        <v>-9912.178929822494</v>
      </c>
      <c r="AT90" s="1021">
        <f>(VLOOKUP(YEAR($A90),'NY East Load Projections'!$A$4:$EO$14,((MONTH($A90)-1)*12)+VLOOKUP(AT$4,$DE$6:$DF$17,2)+1))*(VLOOKUP($A90,SatSunCurve,4))*(INDEX(DailyScalarsTable,AT$5/100,MONTH($A90)))*$C90</f>
        <v>-9592.1319732676275</v>
      </c>
      <c r="AU90" s="1021">
        <f>(VLOOKUP(YEAR($A90),'NY East Load Projections'!$A$4:$EO$14,((MONTH($A90)-1)*12)+VLOOKUP(AU$4,$DE$6:$DF$17,2)+1))*(VLOOKUP($A90,SatSunCurve,4))*(INDEX(DailyScalarsTable,AU$5/100,MONTH($A90)))*$C90</f>
        <v>-9103.9444054792239</v>
      </c>
      <c r="AV90" s="1021">
        <f>(VLOOKUP(YEAR($A90),'NY East Load Projections'!$A$4:$EO$14,((MONTH($A90)-1)*12)+VLOOKUP(AV$4,$DE$6:$DF$17,2)+1))*(VLOOKUP($A90,SatSunCurve,4))*(INDEX(DailyScalarsTable,AV$5/100,MONTH($A90)))*$C90</f>
        <v>-8920.7291187557839</v>
      </c>
      <c r="AW90" s="1021">
        <f>(VLOOKUP(YEAR($A90),'NY East Load Projections'!$A$4:$EO$14,((MONTH($A90)-1)*12)+VLOOKUP(AW$4,$DE$6:$DF$17,2)+1))*(VLOOKUP($A90,SatSunCurve,4))*(INDEX(DailyScalarsTable,AW$5/100,MONTH($A90)))*$C90</f>
        <v>-9204.7324909544586</v>
      </c>
      <c r="AX90" s="1021">
        <f>(VLOOKUP(YEAR($A90),'NY East Load Projections'!$A$4:$EO$14,((MONTH($A90)-1)*12)+VLOOKUP(AX$4,$DE$6:$DF$17,2)+1))*(VLOOKUP($A90,SatSunCurve,4))*(INDEX(DailyScalarsTable,AX$5/100,MONTH($A90)))*$C90</f>
        <v>-12807.985367370593</v>
      </c>
      <c r="AY90" s="1021">
        <f>(VLOOKUP(YEAR($A90),'NY East Load Projections'!$A$4:$EO$14,((MONTH($A90)-1)*12)+VLOOKUP(AY$4,$DE$6:$DF$17,2)+1))*(VLOOKUP($A90,SatSunCurve,4))*(INDEX(DailyScalarsTable,AY$5/100,MONTH($A90)))*$C90</f>
        <v>-14053.763080974046</v>
      </c>
      <c r="AZ90" s="1021">
        <f>(VLOOKUP(YEAR($A90),'NY East Load Projections'!$A$4:$EO$14,((MONTH($A90)-1)*12)+VLOOKUP(AZ$4,$DE$6:$DF$17,2)+1))*(VLOOKUP($A90,SatSunCurve,4))*(INDEX(DailyScalarsTable,AZ$5/100,MONTH($A90)))*$C90</f>
        <v>-13451.889907576371</v>
      </c>
      <c r="BA90" s="1021">
        <f>(VLOOKUP(YEAR($A90),'NY East Load Projections'!$A$4:$EO$14,((MONTH($A90)-1)*12)+VLOOKUP(BA$4,$DE$6:$DF$17,2)+1))*(VLOOKUP($A90,SatSunCurve,4))*(INDEX(DailyScalarsTable,BA$5/100,MONTH($A90)))*$C90</f>
        <v>-12177.023029100361</v>
      </c>
      <c r="BB90" s="1021">
        <f>(VLOOKUP(YEAR($A90),'NY East Load Projections'!$A$4:$EO$14,((MONTH($A90)-1)*12)+VLOOKUP(BB$4,$DE$6:$DF$17,2)+1))*(VLOOKUP($A90,SatSunCurve,4))*(INDEX(DailyScalarsTable,BB$5/100,MONTH($A90)))*$C90</f>
        <v>-8660.5808099089918</v>
      </c>
      <c r="BC90" s="1021">
        <f>(VLOOKUP(YEAR($A90),'NY East Load Projections'!$A$4:$EO$14,((MONTH($A90)-1)*12)+VLOOKUP(BC$4,$DE$6:$DF$17,2)+1))*(VLOOKUP($A90,SatSunCurve,4))*(INDEX(DailyScalarsTable,BC$5/100,MONTH($A90)))*$C90</f>
        <v>-7089.763353212169</v>
      </c>
      <c r="BD90" s="1021">
        <f>(VLOOKUP(YEAR($A90),'NY East Load Projections'!$A$4:$EO$14,((MONTH($A90)-1)*12)+VLOOKUP(BD$4,$DE$6:$DF$17,2)+1))*(VLOOKUP($A90,CURVES!$D$9:$T$261,8))*(INDEX(DailyScalarsTable,BD$5/100,MONTH($A90)))*$C90</f>
        <v>-7712.9794054649728</v>
      </c>
      <c r="BE90" s="1021"/>
      <c r="BF90" s="1021">
        <f>(VLOOKUP(YEAR($A90),'NY East Load Projections'!$A$4:$EO$14,((MONTH($A90)-1)*12)+VLOOKUP(BF$4,$DE$6:$DF$17,2)+1))*(VLOOKUP($A90,CURVES!$D$9:$T$261,8))*(INDEX(DailyScalarsTable,BF$5/100,MONTH($A90)))*$D90</f>
        <v>-6717.0520081967607</v>
      </c>
      <c r="BG90" s="1021">
        <f>(VLOOKUP(YEAR($A90),'NY East Load Projections'!$A$4:$EO$14,((MONTH($A90)-1)*12)+VLOOKUP(BG$4,$DE$6:$DF$17,2)+1))*(VLOOKUP($A90,CURVES!$D$9:$T$261,8))*(INDEX(DailyScalarsTable,BG$5/100,MONTH($A90)))*$D90</f>
        <v>-6586.1851212559841</v>
      </c>
      <c r="BH90" s="1021">
        <f>(VLOOKUP(YEAR($A90),'NY East Load Projections'!$A$4:$EO$14,((MONTH($A90)-1)*12)+VLOOKUP(BH$4,$DE$6:$DF$17,2)+1))*(VLOOKUP($A90,CURVES!$D$9:$T$261,8))*(INDEX(DailyScalarsTable,BH$5/100,MONTH($A90)))*$D90</f>
        <v>-6035.2545069795478</v>
      </c>
      <c r="BI90" s="1021">
        <f>(VLOOKUP(YEAR($A90),'NY East Load Projections'!$A$4:$EO$14,((MONTH($A90)-1)*12)+VLOOKUP(BI$4,$DE$6:$DF$17,2)+1))*(VLOOKUP($A90,CURVES!$D$9:$T$261,8))*(INDEX(DailyScalarsTable,BI$5/100,MONTH($A90)))*$D90</f>
        <v>-6031.6054985477986</v>
      </c>
      <c r="BJ90" s="1021">
        <f>(VLOOKUP(YEAR($A90),'NY East Load Projections'!$A$4:$EO$14,((MONTH($A90)-1)*12)+VLOOKUP(BJ$4,$DE$6:$DF$17,2)+1))*(VLOOKUP($A90,CURVES!$D$9:$T$261,8))*(INDEX(DailyScalarsTable,BJ$5/100,MONTH($A90)))*$D90</f>
        <v>-6347.9632828256199</v>
      </c>
      <c r="BK90" s="1021">
        <f>(VLOOKUP(YEAR($A90),'NY East Load Projections'!$A$4:$EO$14,((MONTH($A90)-1)*12)+VLOOKUP(BK$4,$DE$6:$DF$17,2)+1))*(VLOOKUP($A90,CURVES!$D$9:$T$261,8))*(INDEX(DailyScalarsTable,BK$5/100,MONTH($A90)))*$D90</f>
        <v>-6774.6604013049782</v>
      </c>
      <c r="BL90" s="1021">
        <f>(VLOOKUP(YEAR($A90),'NY East Load Projections'!$A$4:$EO$14,((MONTH($A90)-1)*12)+VLOOKUP(BL$4,$DE$6:$DF$17,2)+1))*(VLOOKUP($A90,CURVES!$D$9:$T$261,8))*(INDEX(DailyScalarsTable,BL$5/100,MONTH($A90)))*$D90</f>
        <v>-12973.392178722175</v>
      </c>
      <c r="BM90" s="1021">
        <f>(VLOOKUP(YEAR($A90),'NY East Load Projections'!$A$4:$EO$14,((MONTH($A90)-1)*12)+VLOOKUP(BM$4,$DE$6:$DF$17,2)+1))*(VLOOKUP($A90,SatSunCurve,8))*(INDEX(DailyScalarsTable,BM$5/100,MONTH($A90)))*$D90</f>
        <v>-12606.043509156245</v>
      </c>
      <c r="BN90" s="1021">
        <f>(VLOOKUP(YEAR($A90),'NY East Load Projections'!$A$4:$EO$14,((MONTH($A90)-1)*12)+VLOOKUP(BN$4,$DE$6:$DF$17,2)+1))*(VLOOKUP($A90,SatSunCurve,8))*(INDEX(DailyScalarsTable,BN$5/100,MONTH($A90)))*$D90</f>
        <v>-14249.861968654479</v>
      </c>
      <c r="BO90" s="1021">
        <f>(VLOOKUP(YEAR($A90),'NY East Load Projections'!$A$4:$EO$14,((MONTH($A90)-1)*12)+VLOOKUP(BO$4,$DE$6:$DF$17,2)+1))*(VLOOKUP($A90,SatSunCurve,8))*(INDEX(DailyScalarsTable,BO$5/100,MONTH($A90)))*$D90</f>
        <v>-14206.49111258236</v>
      </c>
      <c r="BP90" s="1021">
        <f>(VLOOKUP(YEAR($A90),'NY East Load Projections'!$A$4:$EO$14,((MONTH($A90)-1)*12)+VLOOKUP(BP$4,$DE$6:$DF$17,2)+1))*(VLOOKUP($A90,SatSunCurve,8))*(INDEX(DailyScalarsTable,BP$5/100,MONTH($A90)))*$D90</f>
        <v>-13958.569209356938</v>
      </c>
      <c r="BQ90" s="1021">
        <f>(VLOOKUP(YEAR($A90),'NY East Load Projections'!$A$4:$EO$14,((MONTH($A90)-1)*12)+VLOOKUP(BQ$4,$DE$6:$DF$17,2)+1))*(VLOOKUP($A90,SatSunCurve,8))*(INDEX(DailyScalarsTable,BQ$5/100,MONTH($A90)))*$D90</f>
        <v>-10456.289003662676</v>
      </c>
      <c r="BR90" s="1021">
        <f>(VLOOKUP(YEAR($A90),'NY East Load Projections'!$A$4:$EO$14,((MONTH($A90)-1)*12)+VLOOKUP(BR$4,$DE$6:$DF$17,2)+1))*(VLOOKUP($A90,SatSunCurve,8))*(INDEX(DailyScalarsTable,BR$5/100,MONTH($A90)))*$D90</f>
        <v>-10180.426156535195</v>
      </c>
      <c r="BS90" s="1021">
        <f>(VLOOKUP(YEAR($A90),'NY East Load Projections'!$A$4:$EO$14,((MONTH($A90)-1)*12)+VLOOKUP(BS$4,$DE$6:$DF$17,2)+1))*(VLOOKUP($A90,SatSunCurve,8))*(INDEX(DailyScalarsTable,BS$5/100,MONTH($A90)))*$D90</f>
        <v>-9851.717965238553</v>
      </c>
      <c r="BT90" s="1021">
        <f>(VLOOKUP(YEAR($A90),'NY East Load Projections'!$A$4:$EO$14,((MONTH($A90)-1)*12)+VLOOKUP(BT$4,$DE$6:$DF$17,2)+1))*(VLOOKUP($A90,SatSunCurve,8))*(INDEX(DailyScalarsTable,BT$5/100,MONTH($A90)))*$D90</f>
        <v>-9350.3188763404105</v>
      </c>
      <c r="BU90" s="1021">
        <f>(VLOOKUP(YEAR($A90),'NY East Load Projections'!$A$4:$EO$14,((MONTH($A90)-1)*12)+VLOOKUP(BU$4,$DE$6:$DF$17,2)+1))*(VLOOKUP($A90,SatSunCurve,8))*(INDEX(DailyScalarsTable,BU$5/100,MONTH($A90)))*$D90</f>
        <v>-9162.1453465401573</v>
      </c>
      <c r="BV90" s="1021">
        <f>(VLOOKUP(YEAR($A90),'NY East Load Projections'!$A$4:$EO$14,((MONTH($A90)-1)*12)+VLOOKUP(BV$4,$DE$6:$DF$17,2)+1))*(VLOOKUP($A90,SatSunCurve,8))*(INDEX(DailyScalarsTable,BV$5/100,MONTH($A90)))*$D90</f>
        <v>-9453.8345280355261</v>
      </c>
      <c r="BW90" s="1021">
        <f>(VLOOKUP(YEAR($A90),'NY East Load Projections'!$A$4:$EO$14,((MONTH($A90)-1)*12)+VLOOKUP(BW$4,$DE$6:$DF$17,2)+1))*(VLOOKUP($A90,SatSunCurve,8))*(INDEX(DailyScalarsTable,BW$5/100,MONTH($A90)))*$D90</f>
        <v>-13154.600029888144</v>
      </c>
      <c r="BX90" s="1021">
        <f>(VLOOKUP(YEAR($A90),'NY East Load Projections'!$A$4:$EO$14,((MONTH($A90)-1)*12)+VLOOKUP(BX$4,$DE$6:$DF$17,2)+1))*(VLOOKUP($A90,SatSunCurve,8))*(INDEX(DailyScalarsTable,BX$5/100,MONTH($A90)))*$D90</f>
        <v>-14434.091462658751</v>
      </c>
      <c r="BY90" s="1021">
        <f>(VLOOKUP(YEAR($A90),'NY East Load Projections'!$A$4:$EO$14,((MONTH($A90)-1)*12)+VLOOKUP(BY$4,$DE$6:$DF$17,2)+1))*(VLOOKUP($A90,SatSunCurve,8))*(INDEX(DailyScalarsTable,BY$5/100,MONTH($A90)))*$D90</f>
        <v>-13815.930164244392</v>
      </c>
      <c r="BZ90" s="1021">
        <f>(VLOOKUP(YEAR($A90),'NY East Load Projections'!$A$4:$EO$14,((MONTH($A90)-1)*12)+VLOOKUP(BZ$4,$DE$6:$DF$17,2)+1))*(VLOOKUP($A90,SatSunCurve,8))*(INDEX(DailyScalarsTable,BZ$5/100,MONTH($A90)))*$D90</f>
        <v>-12506.562344350732</v>
      </c>
      <c r="CA90" s="1021">
        <f>(VLOOKUP(YEAR($A90),'NY East Load Projections'!$A$4:$EO$14,((MONTH($A90)-1)*12)+VLOOKUP(CA$4,$DE$6:$DF$17,2)+1))*(VLOOKUP($A90,SatSunCurve,8))*(INDEX(DailyScalarsTable,CA$5/100,MONTH($A90)))*$D90</f>
        <v>-8894.9568033638352</v>
      </c>
      <c r="CB90" s="1021">
        <f>(VLOOKUP(YEAR($A90),'NY East Load Projections'!$A$4:$EO$14,((MONTH($A90)-1)*12)+VLOOKUP(CB$4,$DE$6:$DF$17,2)+1))*(VLOOKUP($A90,SatSunCurve,8))*(INDEX(DailyScalarsTable,CB$5/100,MONTH($A90)))*$D90</f>
        <v>-7281.6292760343022</v>
      </c>
      <c r="CC90" s="1021">
        <f>(VLOOKUP(YEAR($A90),'NY East Load Projections'!$A$4:$EO$14,((MONTH($A90)-1)*12)+VLOOKUP(CC$4,$DE$6:$DF$17,2)+1))*(VLOOKUP($A90,CURVES!$D$9:$T$261,8))*(INDEX(DailyScalarsTable,CC$5/100,MONTH($A90)))*$D90</f>
        <v>-7712.9794054649728</v>
      </c>
      <c r="CE90" s="1021">
        <f>(VLOOKUP(YEAR($A90),'NY East Load Projections'!$A$4:$EO$14,((MONTH($A90)-1)*12)+VLOOKUP(CE$4,$DE$6:$DF$17,2)+1))*(VLOOKUP($A90,CURVES!$D$9:$T$261,8))*(INDEX(DailyScalarsTable,CE$5/100,MONTH($A90)))*$E90</f>
        <v>-1679.2630020491902</v>
      </c>
      <c r="CF90" s="1021">
        <f>(VLOOKUP(YEAR($A90),'NY East Load Projections'!$A$4:$EO$14,((MONTH($A90)-1)*12)+VLOOKUP(CF$4,$DE$6:$DF$17,2)+1))*(VLOOKUP($A90,CURVES!$D$9:$T$261,8))*(INDEX(DailyScalarsTable,CF$5/100,MONTH($A90)))*$E90</f>
        <v>-1646.546280313996</v>
      </c>
      <c r="CG90" s="1021">
        <f>(VLOOKUP(YEAR($A90),'NY East Load Projections'!$A$4:$EO$14,((MONTH($A90)-1)*12)+VLOOKUP(CG$4,$DE$6:$DF$17,2)+1))*(VLOOKUP($A90,CURVES!$D$9:$T$261,8))*(INDEX(DailyScalarsTable,CG$5/100,MONTH($A90)))*$E90</f>
        <v>-1508.813626744887</v>
      </c>
      <c r="CH90" s="1021">
        <f>(VLOOKUP(YEAR($A90),'NY East Load Projections'!$A$4:$EO$14,((MONTH($A90)-1)*12)+VLOOKUP(CH$4,$DE$6:$DF$17,2)+1))*(VLOOKUP($A90,CURVES!$D$9:$T$261,8))*(INDEX(DailyScalarsTable,CH$5/100,MONTH($A90)))*$E90</f>
        <v>-1507.9013746369496</v>
      </c>
      <c r="CI90" s="1021">
        <f>(VLOOKUP(YEAR($A90),'NY East Load Projections'!$A$4:$EO$14,((MONTH($A90)-1)*12)+VLOOKUP(CI$4,$DE$6:$DF$17,2)+1))*(VLOOKUP($A90,CURVES!$D$9:$T$261,8))*(INDEX(DailyScalarsTable,CI$5/100,MONTH($A90)))*$E90</f>
        <v>-1586.990820706405</v>
      </c>
      <c r="CJ90" s="1021">
        <f>(VLOOKUP(YEAR($A90),'NY East Load Projections'!$A$4:$EO$14,((MONTH($A90)-1)*12)+VLOOKUP(CJ$4,$DE$6:$DF$17,2)+1))*(VLOOKUP($A90,CURVES!$D$9:$T$261,8))*(INDEX(DailyScalarsTable,CJ$5/100,MONTH($A90)))*$E90</f>
        <v>-1693.6651003262446</v>
      </c>
      <c r="CK90" s="1021">
        <f>(VLOOKUP(YEAR($A90),'NY East Load Projections'!$A$4:$EO$14,((MONTH($A90)-1)*12)+VLOOKUP(CK$4,$DE$6:$DF$17,2)+1))*(VLOOKUP($A90,CURVES!$D$9:$T$261,8))*(INDEX(DailyScalarsTable,CK$5/100,MONTH($A90)))*$E90</f>
        <v>-3243.3480446805438</v>
      </c>
      <c r="CL90" s="1021">
        <f>(VLOOKUP(YEAR($A90),'NY East Load Projections'!$A$4:$EO$14,((MONTH($A90)-1)*12)+VLOOKUP(CL$4,$DE$6:$DF$17,2)+1))*(VLOOKUP($A90,SatSunCurve,8))*(INDEX(DailyScalarsTable,CL$5/100,MONTH($A90)))*$E90</f>
        <v>-3151.5108772890612</v>
      </c>
      <c r="CM90" s="1021">
        <f>(VLOOKUP(YEAR($A90),'NY East Load Projections'!$A$4:$EO$14,((MONTH($A90)-1)*12)+VLOOKUP(CM$4,$DE$6:$DF$17,2)+1))*(VLOOKUP($A90,SatSunCurve,8))*(INDEX(DailyScalarsTable,CM$5/100,MONTH($A90)))*$E90</f>
        <v>-3562.4654921636197</v>
      </c>
      <c r="CN90" s="1021">
        <f>(VLOOKUP(YEAR($A90),'NY East Load Projections'!$A$4:$EO$14,((MONTH($A90)-1)*12)+VLOOKUP(CN$4,$DE$6:$DF$17,2)+1))*(VLOOKUP($A90,SatSunCurve,8))*(INDEX(DailyScalarsTable,CN$5/100,MONTH($A90)))*$E90</f>
        <v>-3551.62277814559</v>
      </c>
      <c r="CO90" s="1021">
        <f>(VLOOKUP(YEAR($A90),'NY East Load Projections'!$A$4:$EO$14,((MONTH($A90)-1)*12)+VLOOKUP(CO$4,$DE$6:$DF$17,2)+1))*(VLOOKUP($A90,SatSunCurve,8))*(INDEX(DailyScalarsTable,CO$5/100,MONTH($A90)))*$E90</f>
        <v>-3489.6423023392344</v>
      </c>
      <c r="CP90" s="1021">
        <f>(VLOOKUP(YEAR($A90),'NY East Load Projections'!$A$4:$EO$14,((MONTH($A90)-1)*12)+VLOOKUP(CP$4,$DE$6:$DF$17,2)+1))*(VLOOKUP($A90,SatSunCurve,8))*(INDEX(DailyScalarsTable,CP$5/100,MONTH($A90)))*$E90</f>
        <v>-2614.072250915669</v>
      </c>
      <c r="CQ90" s="1021">
        <f>(VLOOKUP(YEAR($A90),'NY East Load Projections'!$A$4:$EO$14,((MONTH($A90)-1)*12)+VLOOKUP(CQ$4,$DE$6:$DF$17,2)+1))*(VLOOKUP($A90,SatSunCurve,8))*(INDEX(DailyScalarsTable,CQ$5/100,MONTH($A90)))*$E90</f>
        <v>-2545.1065391337988</v>
      </c>
      <c r="CR90" s="1021">
        <f>(VLOOKUP(YEAR($A90),'NY East Load Projections'!$A$4:$EO$14,((MONTH($A90)-1)*12)+VLOOKUP(CR$4,$DE$6:$DF$17,2)+1))*(VLOOKUP($A90,SatSunCurve,8))*(INDEX(DailyScalarsTable,CR$5/100,MONTH($A90)))*$E90</f>
        <v>-2462.9294913096383</v>
      </c>
      <c r="CS90" s="1021">
        <f>(VLOOKUP(YEAR($A90),'NY East Load Projections'!$A$4:$EO$14,((MONTH($A90)-1)*12)+VLOOKUP(CS$4,$DE$6:$DF$17,2)+1))*(VLOOKUP($A90,SatSunCurve,8))*(INDEX(DailyScalarsTable,CS$5/100,MONTH($A90)))*$E90</f>
        <v>-2337.5797190851026</v>
      </c>
      <c r="CT90" s="1021">
        <f>(VLOOKUP(YEAR($A90),'NY East Load Projections'!$A$4:$EO$14,((MONTH($A90)-1)*12)+VLOOKUP(CT$4,$DE$6:$DF$17,2)+1))*(VLOOKUP($A90,SatSunCurve,8))*(INDEX(DailyScalarsTable,CT$5/100,MONTH($A90)))*$E90</f>
        <v>-2290.5363366350393</v>
      </c>
      <c r="CU90" s="1021">
        <f>(VLOOKUP(YEAR($A90),'NY East Load Projections'!$A$4:$EO$14,((MONTH($A90)-1)*12)+VLOOKUP(CU$4,$DE$6:$DF$17,2)+1))*(VLOOKUP($A90,SatSunCurve,8))*(INDEX(DailyScalarsTable,CU$5/100,MONTH($A90)))*$E90</f>
        <v>-2363.4586320088815</v>
      </c>
      <c r="CV90" s="1021">
        <f>(VLOOKUP(YEAR($A90),'NY East Load Projections'!$A$4:$EO$14,((MONTH($A90)-1)*12)+VLOOKUP(CV$4,$DE$6:$DF$17,2)+1))*(VLOOKUP($A90,SatSunCurve,8))*(INDEX(DailyScalarsTable,CV$5/100,MONTH($A90)))*$E90</f>
        <v>-3288.6500074720361</v>
      </c>
      <c r="CW90" s="1021">
        <f>(VLOOKUP(YEAR($A90),'NY East Load Projections'!$A$4:$EO$14,((MONTH($A90)-1)*12)+VLOOKUP(CW$4,$DE$6:$DF$17,2)+1))*(VLOOKUP($A90,SatSunCurve,8))*(INDEX(DailyScalarsTable,CW$5/100,MONTH($A90)))*$E90</f>
        <v>-3608.5228656646877</v>
      </c>
      <c r="CX90" s="1021">
        <f>(VLOOKUP(YEAR($A90),'NY East Load Projections'!$A$4:$EO$14,((MONTH($A90)-1)*12)+VLOOKUP(CX$4,$DE$6:$DF$17,2)+1))*(VLOOKUP($A90,SatSunCurve,8))*(INDEX(DailyScalarsTable,CX$5/100,MONTH($A90)))*$E90</f>
        <v>-3453.9825410610979</v>
      </c>
      <c r="CY90" s="1021">
        <f>(VLOOKUP(YEAR($A90),'NY East Load Projections'!$A$4:$EO$14,((MONTH($A90)-1)*12)+VLOOKUP(CY$4,$DE$6:$DF$17,2)+1))*(VLOOKUP($A90,SatSunCurve,8))*(INDEX(DailyScalarsTable,CY$5/100,MONTH($A90)))*$E90</f>
        <v>-3126.640586087683</v>
      </c>
      <c r="CZ90" s="1021">
        <f>(VLOOKUP(YEAR($A90),'NY East Load Projections'!$A$4:$EO$14,((MONTH($A90)-1)*12)+VLOOKUP(CZ$4,$DE$6:$DF$17,2)+1))*(VLOOKUP($A90,SatSunCurve,8))*(INDEX(DailyScalarsTable,CZ$5/100,MONTH($A90)))*$E90</f>
        <v>-2223.7392008409588</v>
      </c>
      <c r="DA90" s="1021">
        <f>(VLOOKUP(YEAR($A90),'NY East Load Projections'!$A$4:$EO$14,((MONTH($A90)-1)*12)+VLOOKUP(DA$4,$DE$6:$DF$17,2)+1))*(VLOOKUP($A90,SatSunCurve,8))*(INDEX(DailyScalarsTable,DA$5/100,MONTH($A90)))*$E90</f>
        <v>-1820.4073190085755</v>
      </c>
      <c r="DB90" s="1021">
        <f>(VLOOKUP(YEAR($A90),'NY East Load Projections'!$A$4:$EO$14,((MONTH($A90)-1)*12)+VLOOKUP(DB$4,$DE$6:$DF$17,2)+1))*(VLOOKUP($A90,CURVES!$D$9:$T$261,8))*(INDEX(DailyScalarsTable,DB$5/100,MONTH($A90)))*$E90</f>
        <v>-1928.2448513662432</v>
      </c>
      <c r="DH90" s="1021">
        <f t="shared" si="2"/>
        <v>-2091084.4704957202</v>
      </c>
      <c r="DI90">
        <f ca="1">CALC!J110</f>
        <v>0.56119095626846427</v>
      </c>
      <c r="DJ90" s="1029">
        <f t="shared" ca="1" si="3"/>
        <v>-1173497.6936356286</v>
      </c>
    </row>
    <row r="91" spans="1:114" x14ac:dyDescent="0.25">
      <c r="A91" s="244">
        <v>39479</v>
      </c>
      <c r="B91" s="13">
        <v>21</v>
      </c>
      <c r="C91" s="210">
        <v>4</v>
      </c>
      <c r="D91" s="210">
        <v>4</v>
      </c>
      <c r="E91" s="210">
        <v>0</v>
      </c>
      <c r="F91" s="13">
        <v>29</v>
      </c>
      <c r="H91" s="1021">
        <f>(VLOOKUP(YEAR($A91),'NY East Load Projections'!$A$4:$EO$14,((MONTH($A91)-1)*12)+VLOOKUP(H$4,$DE$6:$DF$17,2)+1))*(VLOOKUP($A91,CURVES!$D$9:$K$261,8))*(INDEX(DailyScalarsTable,H$5/100,MONTH($A91)))*$B91</f>
        <v>-32319.149303818336</v>
      </c>
      <c r="I91" s="1021">
        <f>(VLOOKUP(YEAR($A91),'NY East Load Projections'!$A$4:$EO$14,((MONTH($A91)-1)*12)+VLOOKUP(I$4,$DE$6:$DF$17,2)+1))*(VLOOKUP($A91,CURVES!$D$9:$K$261,8))*(INDEX(DailyScalarsTable,I$5/100,MONTH($A91)))*$B91</f>
        <v>-31689.482233680479</v>
      </c>
      <c r="J91" s="1021">
        <f>(VLOOKUP(YEAR($A91),'NY East Load Projections'!$A$4:$EO$14,((MONTH($A91)-1)*12)+VLOOKUP(J$4,$DE$6:$DF$17,2)+1))*(VLOOKUP($A91,CURVES!$D$9:$K$261,8))*(INDEX(DailyScalarsTable,J$5/100,MONTH($A91)))*$B91</f>
        <v>-29038.675189590831</v>
      </c>
      <c r="K91" s="1021">
        <f>(VLOOKUP(YEAR($A91),'NY East Load Projections'!$A$4:$EO$14,((MONTH($A91)-1)*12)+VLOOKUP(K$4,$DE$6:$DF$17,2)+1))*(VLOOKUP($A91,CURVES!$D$9:$K$261,8))*(INDEX(DailyScalarsTable,K$5/100,MONTH($A91)))*$B91</f>
        <v>-29021.117956421775</v>
      </c>
      <c r="L91" s="1021">
        <f>(VLOOKUP(YEAR($A91),'NY East Load Projections'!$A$4:$EO$14,((MONTH($A91)-1)*12)+VLOOKUP(L$4,$DE$6:$DF$17,2)+1))*(VLOOKUP($A91,CURVES!$D$9:$K$261,8))*(INDEX(DailyScalarsTable,L$5/100,MONTH($A91)))*$B91</f>
        <v>-32742.714809443904</v>
      </c>
      <c r="M91" s="1021">
        <f>(VLOOKUP(YEAR($A91),'NY East Load Projections'!$A$4:$EO$14,((MONTH($A91)-1)*12)+VLOOKUP(M$4,$DE$6:$DF$17,2)+1))*(VLOOKUP($A91,CURVES!$D$9:$K$261,8))*(INDEX(DailyScalarsTable,M$5/100,MONTH($A91)))*$B91</f>
        <v>-34943.61318234096</v>
      </c>
      <c r="N91" s="1021">
        <f>(VLOOKUP(YEAR($A91),'NY East Load Projections'!$A$4:$EO$14,((MONTH($A91)-1)*12)+VLOOKUP(N$4,$DE$6:$DF$17,2)+1))*(VLOOKUP($A91,CURVES!$D$9:$K$261,8))*(INDEX(DailyScalarsTable,N$5/100,MONTH($A91)))*$B91</f>
        <v>-66916.593762950914</v>
      </c>
      <c r="O91" s="1021">
        <f>(VLOOKUP(YEAR($A91),'NY East Load Projections'!$A$4:$EO$14,((MONTH($A91)-1)*12)+VLOOKUP(O$4,$DE$6:$DF$17,2)+1))*(VLOOKUP($A91,CURVES!$D$9:$K$261,4))*(INDEX(DailyScalarsTable,O$5/100,MONTH($A91)))*$B91</f>
        <v>-79989.902501262797</v>
      </c>
      <c r="P91" s="1021">
        <f>(VLOOKUP(YEAR($A91),'NY East Load Projections'!$A$4:$EO$14,((MONTH($A91)-1)*12)+VLOOKUP(P$4,$DE$6:$DF$17,2)+1))*(VLOOKUP($A91,CURVES!$D$9:$K$261,4))*(INDEX(DailyScalarsTable,P$5/100,MONTH($A91)))*$B91</f>
        <v>-88851.172986271966</v>
      </c>
      <c r="Q91" s="1021">
        <f>(VLOOKUP(YEAR($A91),'NY East Load Projections'!$A$4:$EO$14,((MONTH($A91)-1)*12)+VLOOKUP(Q$4,$DE$6:$DF$17,2)+1))*(VLOOKUP($A91,CURVES!$D$9:$K$261,4))*(INDEX(DailyScalarsTable,Q$5/100,MONTH($A91)))*$B91</f>
        <v>-88580.745704667206</v>
      </c>
      <c r="R91" s="1021">
        <f>(VLOOKUP(YEAR($A91),'NY East Load Projections'!$A$4:$EO$14,((MONTH($A91)-1)*12)+VLOOKUP(R$4,$DE$6:$DF$17,2)+1))*(VLOOKUP($A91,CURVES!$D$9:$K$261,4))*(INDEX(DailyScalarsTable,R$5/100,MONTH($A91)))*$B91</f>
        <v>-87034.895509133843</v>
      </c>
      <c r="S91" s="1021">
        <f>(VLOOKUP(YEAR($A91),'NY East Load Projections'!$A$4:$EO$14,((MONTH($A91)-1)*12)+VLOOKUP(S$4,$DE$6:$DF$17,2)+1))*(VLOOKUP($A91,CURVES!$D$9:$K$261,4))*(INDEX(DailyScalarsTable,S$5/100,MONTH($A91)))*$B91</f>
        <v>-65197.371392265508</v>
      </c>
      <c r="T91" s="1021">
        <f>(VLOOKUP(YEAR($A91),'NY East Load Projections'!$A$4:$EO$14,((MONTH($A91)-1)*12)+VLOOKUP(T$4,$DE$6:$DF$17,2)+1))*(VLOOKUP($A91,CURVES!$D$9:$K$261,4))*(INDEX(DailyScalarsTable,T$5/100,MONTH($A91)))*$B91</f>
        <v>-63919.811166962281</v>
      </c>
      <c r="U91" s="1021">
        <f>(VLOOKUP(YEAR($A91),'NY East Load Projections'!$A$4:$EO$14,((MONTH($A91)-1)*12)+VLOOKUP(U$4,$DE$6:$DF$17,2)+1))*(VLOOKUP($A91,CURVES!$D$9:$K$261,4))*(INDEX(DailyScalarsTable,U$5/100,MONTH($A91)))*$B91</f>
        <v>-61855.952032418347</v>
      </c>
      <c r="V91" s="1021">
        <f>(VLOOKUP(YEAR($A91),'NY East Load Projections'!$A$4:$EO$14,((MONTH($A91)-1)*12)+VLOOKUP(V$4,$DE$6:$DF$17,2)+1))*(VLOOKUP($A91,CURVES!$D$9:$K$261,4))*(INDEX(DailyScalarsTable,V$5/100,MONTH($A91)))*$B91</f>
        <v>-58707.819077190084</v>
      </c>
      <c r="W91" s="1021">
        <f>(VLOOKUP(YEAR($A91),'NY East Load Projections'!$A$4:$EO$14,((MONTH($A91)-1)*12)+VLOOKUP(W$4,$DE$6:$DF$17,2)+1))*(VLOOKUP($A91,CURVES!$D$9:$K$261,4))*(INDEX(DailyScalarsTable,W$5/100,MONTH($A91)))*$B91</f>
        <v>-57526.334500168552</v>
      </c>
      <c r="X91" s="1021">
        <f>(VLOOKUP(YEAR($A91),'NY East Load Projections'!$A$4:$EO$14,((MONTH($A91)-1)*12)+VLOOKUP(X$4,$DE$6:$DF$17,2)+1))*(VLOOKUP($A91,CURVES!$D$9:$K$261,4))*(INDEX(DailyScalarsTable,X$5/100,MONTH($A91)))*$B91</f>
        <v>-60118.486795272234</v>
      </c>
      <c r="Y91" s="1021">
        <f>(VLOOKUP(YEAR($A91),'NY East Load Projections'!$A$4:$EO$14,((MONTH($A91)-1)*12)+VLOOKUP(Y$4,$DE$6:$DF$17,2)+1))*(VLOOKUP($A91,CURVES!$D$9:$K$261,4))*(INDEX(DailyScalarsTable,Y$5/100,MONTH($A91)))*$B91</f>
        <v>-83652.262565912592</v>
      </c>
      <c r="Z91" s="1021">
        <f>(VLOOKUP(YEAR($A91),'NY East Load Projections'!$A$4:$EO$14,((MONTH($A91)-1)*12)+VLOOKUP(Z$4,$DE$6:$DF$17,2)+1))*(VLOOKUP($A91,CURVES!$D$9:$K$261,4))*(INDEX(DailyScalarsTable,Z$5/100,MONTH($A91)))*$B91</f>
        <v>-91788.758775738635</v>
      </c>
      <c r="AA91" s="1021">
        <f>(VLOOKUP(YEAR($A91),'NY East Load Projections'!$A$4:$EO$14,((MONTH($A91)-1)*12)+VLOOKUP(AA$4,$DE$6:$DF$17,2)+1))*(VLOOKUP($A91,CURVES!$D$9:$K$261,4))*(INDEX(DailyScalarsTable,AA$5/100,MONTH($A91)))*$B91</f>
        <v>-87857.769530489561</v>
      </c>
      <c r="AB91" s="1021">
        <f>(VLOOKUP(YEAR($A91),'NY East Load Projections'!$A$4:$EO$14,((MONTH($A91)-1)*12)+VLOOKUP(AB$4,$DE$6:$DF$17,2)+1))*(VLOOKUP($A91,CURVES!$D$9:$K$261,4))*(INDEX(DailyScalarsTable,AB$5/100,MONTH($A91)))*$B91</f>
        <v>-75725.028397113041</v>
      </c>
      <c r="AC91" s="1021">
        <f>(VLOOKUP(YEAR($A91),'NY East Load Projections'!$A$4:$EO$14,((MONTH($A91)-1)*12)+VLOOKUP(AC$4,$DE$6:$DF$17,2)+1))*(VLOOKUP($A91,CURVES!$D$9:$K$261,4))*(INDEX(DailyScalarsTable,AC$5/100,MONTH($A91)))*$B91</f>
        <v>-53857.39406081281</v>
      </c>
      <c r="AD91" s="1021">
        <f>(VLOOKUP(YEAR($A91),'NY East Load Projections'!$A$4:$EO$14,((MONTH($A91)-1)*12)+VLOOKUP(AD$4,$DE$6:$DF$17,2)+1))*(VLOOKUP($A91,CURVES!$D$9:$K$261,4))*(INDEX(DailyScalarsTable,AD$5/100,MONTH($A91)))*$B91</f>
        <v>-44088.980530610606</v>
      </c>
      <c r="AE91" s="1021">
        <f>(VLOOKUP(YEAR($A91),'NY East Load Projections'!$A$4:$EO$14,((MONTH($A91)-1)*12)+VLOOKUP(AE$4,$DE$6:$DF$17,2)+1))*(VLOOKUP($A91,CURVES!$D$9:$K$261,8))*(INDEX(DailyScalarsTable,AE$5/100,MONTH($A91)))*$B91</f>
        <v>-37961.868272763713</v>
      </c>
      <c r="AF91" s="1021"/>
      <c r="AG91" s="1021">
        <f>(VLOOKUP(YEAR($A91),'NY East Load Projections'!$A$4:$EO$14,((MONTH($A91)-1)*12)+VLOOKUP(AG$4,$DE$6:$DF$17,2)+1))*(VLOOKUP($A91,CURVES!$D$9:$T$261,8))*(INDEX(DailyScalarsTable,AG$5/100,MONTH($A91)))*$C91</f>
        <v>-6584.9290146991698</v>
      </c>
      <c r="AH91" s="1021">
        <f>(VLOOKUP(YEAR($A91),'NY East Load Projections'!$A$4:$EO$14,((MONTH($A91)-1)*12)+VLOOKUP(AH$4,$DE$6:$DF$17,2)+1))*(VLOOKUP($A91,CURVES!$D$9:$T$261,8))*(INDEX(DailyScalarsTable,AH$5/100,MONTH($A91)))*$C91</f>
        <v>-6456.636251768633</v>
      </c>
      <c r="AI91" s="1021">
        <f>(VLOOKUP(YEAR($A91),'NY East Load Projections'!$A$4:$EO$14,((MONTH($A91)-1)*12)+VLOOKUP(AI$4,$DE$6:$DF$17,2)+1))*(VLOOKUP($A91,CURVES!$D$9:$T$261,8))*(INDEX(DailyScalarsTable,AI$5/100,MONTH($A91)))*$C91</f>
        <v>-5916.542326247747</v>
      </c>
      <c r="AJ91" s="1021">
        <f>(VLOOKUP(YEAR($A91),'NY East Load Projections'!$A$4:$EO$14,((MONTH($A91)-1)*12)+VLOOKUP(AJ$4,$DE$6:$DF$17,2)+1))*(VLOOKUP($A91,CURVES!$D$9:$T$261,8))*(INDEX(DailyScalarsTable,AJ$5/100,MONTH($A91)))*$C91</f>
        <v>-5912.9650930407106</v>
      </c>
      <c r="AK91" s="1021">
        <f>(VLOOKUP(YEAR($A91),'NY East Load Projections'!$A$4:$EO$14,((MONTH($A91)-1)*12)+VLOOKUP(AK$4,$DE$6:$DF$17,2)+1))*(VLOOKUP($A91,CURVES!$D$9:$T$261,8))*(INDEX(DailyScalarsTable,AK$5/100,MONTH($A91)))*$C91</f>
        <v>-6172.2997360510435</v>
      </c>
      <c r="AL91" s="1021">
        <f>(VLOOKUP(YEAR($A91),'NY East Load Projections'!$A$4:$EO$14,((MONTH($A91)-1)*12)+VLOOKUP(AL$4,$DE$6:$DF$17,2)+1))*(VLOOKUP($A91,CURVES!$D$9:$T$261,8))*(INDEX(DailyScalarsTable,AL$5/100,MONTH($A91)))*$C91</f>
        <v>-6587.1891099214554</v>
      </c>
      <c r="AM91" s="1021">
        <f>(VLOOKUP(YEAR($A91),'NY East Load Projections'!$A$4:$EO$14,((MONTH($A91)-1)*12)+VLOOKUP(AM$4,$DE$6:$DF$17,2)+1))*(VLOOKUP($A91,CURVES!$D$9:$T$261,8))*(INDEX(DailyScalarsTable,AM$5/100,MONTH($A91)))*$C91</f>
        <v>-12614.386938415008</v>
      </c>
      <c r="AN91" s="1021">
        <f>(VLOOKUP(YEAR($A91),'NY East Load Projections'!$A$4:$EO$14,((MONTH($A91)-1)*12)+VLOOKUP(AN$4,$DE$6:$DF$17,2)+1))*(VLOOKUP($A91,SatSunCurve,4))*(INDEX(DailyScalarsTable,AN$5/100,MONTH($A91)))*$C91</f>
        <v>-11646.77016913871</v>
      </c>
      <c r="AO91" s="1021">
        <f>(VLOOKUP(YEAR($A91),'NY East Load Projections'!$A$4:$EO$14,((MONTH($A91)-1)*12)+VLOOKUP(AO$4,$DE$6:$DF$17,2)+1))*(VLOOKUP($A91,SatSunCurve,4))*(INDEX(DailyScalarsTable,AO$5/100,MONTH($A91)))*$C91</f>
        <v>-13126.678114065675</v>
      </c>
      <c r="AP91" s="1021">
        <f>(VLOOKUP(YEAR($A91),'NY East Load Projections'!$A$4:$EO$14,((MONTH($A91)-1)*12)+VLOOKUP(AP$4,$DE$6:$DF$17,2)+1))*(VLOOKUP($A91,SatSunCurve,4))*(INDEX(DailyScalarsTable,AP$5/100,MONTH($A91)))*$C91</f>
        <v>-13086.725778496213</v>
      </c>
      <c r="AQ91" s="1021">
        <f>(VLOOKUP(YEAR($A91),'NY East Load Projections'!$A$4:$EO$14,((MONTH($A91)-1)*12)+VLOOKUP(AQ$4,$DE$6:$DF$17,2)+1))*(VLOOKUP($A91,SatSunCurve,4))*(INDEX(DailyScalarsTable,AQ$5/100,MONTH($A91)))*$C91</f>
        <v>-12858.345249040885</v>
      </c>
      <c r="AR91" s="1021">
        <f>(VLOOKUP(YEAR($A91),'NY East Load Projections'!$A$4:$EO$14,((MONTH($A91)-1)*12)+VLOOKUP(AR$4,$DE$6:$DF$17,2)+1))*(VLOOKUP($A91,SatSunCurve,4))*(INDEX(DailyScalarsTable,AR$5/100,MONTH($A91)))*$C91</f>
        <v>-9632.1171616011543</v>
      </c>
      <c r="AS91" s="1021">
        <f>(VLOOKUP(YEAR($A91),'NY East Load Projections'!$A$4:$EO$14,((MONTH($A91)-1)*12)+VLOOKUP(AS$4,$DE$6:$DF$17,2)+1))*(VLOOKUP($A91,SatSunCurve,4))*(INDEX(DailyScalarsTable,AS$5/100,MONTH($A91)))*$C91</f>
        <v>-9361.5067224855084</v>
      </c>
      <c r="AT91" s="1021">
        <f>(VLOOKUP(YEAR($A91),'NY East Load Projections'!$A$4:$EO$14,((MONTH($A91)-1)*12)+VLOOKUP(AT$4,$DE$6:$DF$17,2)+1))*(VLOOKUP($A91,SatSunCurve,4))*(INDEX(DailyScalarsTable,AT$5/100,MONTH($A91)))*$C91</f>
        <v>-9059.2400103416148</v>
      </c>
      <c r="AU91" s="1021">
        <f>(VLOOKUP(YEAR($A91),'NY East Load Projections'!$A$4:$EO$14,((MONTH($A91)-1)*12)+VLOOKUP(AU$4,$DE$6:$DF$17,2)+1))*(VLOOKUP($A91,SatSunCurve,4))*(INDEX(DailyScalarsTable,AU$5/100,MONTH($A91)))*$C91</f>
        <v>-8598.1737573974879</v>
      </c>
      <c r="AV91" s="1021">
        <f>(VLOOKUP(YEAR($A91),'NY East Load Projections'!$A$4:$EO$14,((MONTH($A91)-1)*12)+VLOOKUP(AV$4,$DE$6:$DF$17,2)+1))*(VLOOKUP($A91,SatSunCurve,4))*(INDEX(DailyScalarsTable,AV$5/100,MONTH($A91)))*$C91</f>
        <v>-8425.1370163875781</v>
      </c>
      <c r="AW91" s="1021">
        <f>(VLOOKUP(YEAR($A91),'NY East Load Projections'!$A$4:$EO$14,((MONTH($A91)-1)*12)+VLOOKUP(AW$4,$DE$6:$DF$17,2)+1))*(VLOOKUP($A91,SatSunCurve,4))*(INDEX(DailyScalarsTable,AW$5/100,MONTH($A91)))*$C91</f>
        <v>-8745.8211893510415</v>
      </c>
      <c r="AX91" s="1021">
        <f>(VLOOKUP(YEAR($A91),'NY East Load Projections'!$A$4:$EO$14,((MONTH($A91)-1)*12)+VLOOKUP(AX$4,$DE$6:$DF$17,2)+1))*(VLOOKUP($A91,SatSunCurve,4))*(INDEX(DailyScalarsTable,AX$5/100,MONTH($A91)))*$C91</f>
        <v>-12169.430228301248</v>
      </c>
      <c r="AY91" s="1021">
        <f>(VLOOKUP(YEAR($A91),'NY East Load Projections'!$A$4:$EO$14,((MONTH($A91)-1)*12)+VLOOKUP(AY$4,$DE$6:$DF$17,2)+1))*(VLOOKUP($A91,SatSunCurve,4))*(INDEX(DailyScalarsTable,AY$5/100,MONTH($A91)))*$C91</f>
        <v>-13353.098426759083</v>
      </c>
      <c r="AZ91" s="1021">
        <f>(VLOOKUP(YEAR($A91),'NY East Load Projections'!$A$4:$EO$14,((MONTH($A91)-1)*12)+VLOOKUP(AZ$4,$DE$6:$DF$17,2)+1))*(VLOOKUP($A91,SatSunCurve,4))*(INDEX(DailyScalarsTable,AZ$5/100,MONTH($A91)))*$C91</f>
        <v>-12781.232252660468</v>
      </c>
      <c r="BA91" s="1021">
        <f>(VLOOKUP(YEAR($A91),'NY East Load Projections'!$A$4:$EO$14,((MONTH($A91)-1)*12)+VLOOKUP(BA$4,$DE$6:$DF$17,2)+1))*(VLOOKUP($A91,SatSunCurve,4))*(INDEX(DailyScalarsTable,BA$5/100,MONTH($A91)))*$C91</f>
        <v>-11636.696462949745</v>
      </c>
      <c r="BB91" s="1021">
        <f>(VLOOKUP(YEAR($A91),'NY East Load Projections'!$A$4:$EO$14,((MONTH($A91)-1)*12)+VLOOKUP(BB$4,$DE$6:$DF$17,2)+1))*(VLOOKUP($A91,SatSunCurve,4))*(INDEX(DailyScalarsTable,BB$5/100,MONTH($A91)))*$C91</f>
        <v>-8276.2880415776035</v>
      </c>
      <c r="BC91" s="1021">
        <f>(VLOOKUP(YEAR($A91),'NY East Load Projections'!$A$4:$EO$14,((MONTH($A91)-1)*12)+VLOOKUP(BC$4,$DE$6:$DF$17,2)+1))*(VLOOKUP($A91,SatSunCurve,4))*(INDEX(DailyScalarsTable,BC$5/100,MONTH($A91)))*$C91</f>
        <v>-6775.1718903967603</v>
      </c>
      <c r="BD91" s="1021">
        <f>(VLOOKUP(YEAR($A91),'NY East Load Projections'!$A$4:$EO$14,((MONTH($A91)-1)*12)+VLOOKUP(BD$4,$DE$6:$DF$17,2)+1))*(VLOOKUP($A91,CURVES!$D$9:$T$261,8))*(INDEX(DailyScalarsTable,BD$5/100,MONTH($A91)))*$C91</f>
        <v>-7552.658073287791</v>
      </c>
      <c r="BE91" s="1021"/>
      <c r="BF91" s="1021">
        <f>(VLOOKUP(YEAR($A91),'NY East Load Projections'!$A$4:$EO$14,((MONTH($A91)-1)*12)+VLOOKUP(BF$4,$DE$6:$DF$17,2)+1))*(VLOOKUP($A91,CURVES!$D$9:$T$261,8))*(INDEX(DailyScalarsTable,BF$5/100,MONTH($A91)))*$D91</f>
        <v>-6584.9290146991698</v>
      </c>
      <c r="BG91" s="1021">
        <f>(VLOOKUP(YEAR($A91),'NY East Load Projections'!$A$4:$EO$14,((MONTH($A91)-1)*12)+VLOOKUP(BG$4,$DE$6:$DF$17,2)+1))*(VLOOKUP($A91,CURVES!$D$9:$T$261,8))*(INDEX(DailyScalarsTable,BG$5/100,MONTH($A91)))*$D91</f>
        <v>-6456.636251768633</v>
      </c>
      <c r="BH91" s="1021">
        <f>(VLOOKUP(YEAR($A91),'NY East Load Projections'!$A$4:$EO$14,((MONTH($A91)-1)*12)+VLOOKUP(BH$4,$DE$6:$DF$17,2)+1))*(VLOOKUP($A91,CURVES!$D$9:$T$261,8))*(INDEX(DailyScalarsTable,BH$5/100,MONTH($A91)))*$D91</f>
        <v>-5916.542326247747</v>
      </c>
      <c r="BI91" s="1021">
        <f>(VLOOKUP(YEAR($A91),'NY East Load Projections'!$A$4:$EO$14,((MONTH($A91)-1)*12)+VLOOKUP(BI$4,$DE$6:$DF$17,2)+1))*(VLOOKUP($A91,CURVES!$D$9:$T$261,8))*(INDEX(DailyScalarsTable,BI$5/100,MONTH($A91)))*$D91</f>
        <v>-5912.9650930407106</v>
      </c>
      <c r="BJ91" s="1021">
        <f>(VLOOKUP(YEAR($A91),'NY East Load Projections'!$A$4:$EO$14,((MONTH($A91)-1)*12)+VLOOKUP(BJ$4,$DE$6:$DF$17,2)+1))*(VLOOKUP($A91,CURVES!$D$9:$T$261,8))*(INDEX(DailyScalarsTable,BJ$5/100,MONTH($A91)))*$D91</f>
        <v>-6172.2997360510435</v>
      </c>
      <c r="BK91" s="1021">
        <f>(VLOOKUP(YEAR($A91),'NY East Load Projections'!$A$4:$EO$14,((MONTH($A91)-1)*12)+VLOOKUP(BK$4,$DE$6:$DF$17,2)+1))*(VLOOKUP($A91,CURVES!$D$9:$T$261,8))*(INDEX(DailyScalarsTable,BK$5/100,MONTH($A91)))*$D91</f>
        <v>-6587.1891099214554</v>
      </c>
      <c r="BL91" s="1021">
        <f>(VLOOKUP(YEAR($A91),'NY East Load Projections'!$A$4:$EO$14,((MONTH($A91)-1)*12)+VLOOKUP(BL$4,$DE$6:$DF$17,2)+1))*(VLOOKUP($A91,CURVES!$D$9:$T$261,8))*(INDEX(DailyScalarsTable,BL$5/100,MONTH($A91)))*$D91</f>
        <v>-12614.386938415008</v>
      </c>
      <c r="BM91" s="1021">
        <f>(VLOOKUP(YEAR($A91),'NY East Load Projections'!$A$4:$EO$14,((MONTH($A91)-1)*12)+VLOOKUP(BM$4,$DE$6:$DF$17,2)+1))*(VLOOKUP($A91,SatSunCurve,8))*(INDEX(DailyScalarsTable,BM$5/100,MONTH($A91)))*$D91</f>
        <v>-11578.453190494462</v>
      </c>
      <c r="BN91" s="1021">
        <f>(VLOOKUP(YEAR($A91),'NY East Load Projections'!$A$4:$EO$14,((MONTH($A91)-1)*12)+VLOOKUP(BN$4,$DE$6:$DF$17,2)+1))*(VLOOKUP($A91,SatSunCurve,8))*(INDEX(DailyScalarsTable,BN$5/100,MONTH($A91)))*$D91</f>
        <v>-13049.68037345903</v>
      </c>
      <c r="BO91" s="1021">
        <f>(VLOOKUP(YEAR($A91),'NY East Load Projections'!$A$4:$EO$14,((MONTH($A91)-1)*12)+VLOOKUP(BO$4,$DE$6:$DF$17,2)+1))*(VLOOKUP($A91,SatSunCurve,8))*(INDEX(DailyScalarsTable,BO$5/100,MONTH($A91)))*$D91</f>
        <v>-13009.962388084194</v>
      </c>
      <c r="BP91" s="1021">
        <f>(VLOOKUP(YEAR($A91),'NY East Load Projections'!$A$4:$EO$14,((MONTH($A91)-1)*12)+VLOOKUP(BP$4,$DE$6:$DF$17,2)+1))*(VLOOKUP($A91,SatSunCurve,8))*(INDEX(DailyScalarsTable,BP$5/100,MONTH($A91)))*$D91</f>
        <v>-12782.921480474834</v>
      </c>
      <c r="BQ91" s="1021">
        <f>(VLOOKUP(YEAR($A91),'NY East Load Projections'!$A$4:$EO$14,((MONTH($A91)-1)*12)+VLOOKUP(BQ$4,$DE$6:$DF$17,2)+1))*(VLOOKUP($A91,SatSunCurve,8))*(INDEX(DailyScalarsTable,BQ$5/100,MONTH($A91)))*$D91</f>
        <v>-9575.6176228559289</v>
      </c>
      <c r="BR91" s="1021">
        <f>(VLOOKUP(YEAR($A91),'NY East Load Projections'!$A$4:$EO$14,((MONTH($A91)-1)*12)+VLOOKUP(BR$4,$DE$6:$DF$17,2)+1))*(VLOOKUP($A91,SatSunCurve,8))*(INDEX(DailyScalarsTable,BR$5/100,MONTH($A91)))*$D91</f>
        <v>-9306.5945154486853</v>
      </c>
      <c r="BS91" s="1021">
        <f>(VLOOKUP(YEAR($A91),'NY East Load Projections'!$A$4:$EO$14,((MONTH($A91)-1)*12)+VLOOKUP(BS$4,$DE$6:$DF$17,2)+1))*(VLOOKUP($A91,SatSunCurve,8))*(INDEX(DailyScalarsTable,BS$5/100,MONTH($A91)))*$D91</f>
        <v>-9006.1008226241847</v>
      </c>
      <c r="BT91" s="1021">
        <f>(VLOOKUP(YEAR($A91),'NY East Load Projections'!$A$4:$EO$14,((MONTH($A91)-1)*12)+VLOOKUP(BT$4,$DE$6:$DF$17,2)+1))*(VLOOKUP($A91,SatSunCurve,8))*(INDEX(DailyScalarsTable,BT$5/100,MONTH($A91)))*$D91</f>
        <v>-8547.7390665404346</v>
      </c>
      <c r="BU91" s="1021">
        <f>(VLOOKUP(YEAR($A91),'NY East Load Projections'!$A$4:$EO$14,((MONTH($A91)-1)*12)+VLOOKUP(BU$4,$DE$6:$DF$17,2)+1))*(VLOOKUP($A91,SatSunCurve,8))*(INDEX(DailyScalarsTable,BU$5/100,MONTH($A91)))*$D91</f>
        <v>-8375.7173148510446</v>
      </c>
      <c r="BV91" s="1021">
        <f>(VLOOKUP(YEAR($A91),'NY East Load Projections'!$A$4:$EO$14,((MONTH($A91)-1)*12)+VLOOKUP(BV$4,$DE$6:$DF$17,2)+1))*(VLOOKUP($A91,SatSunCurve,8))*(INDEX(DailyScalarsTable,BV$5/100,MONTH($A91)))*$D91</f>
        <v>-8694.5204363746925</v>
      </c>
      <c r="BW91" s="1021">
        <f>(VLOOKUP(YEAR($A91),'NY East Load Projections'!$A$4:$EO$14,((MONTH($A91)-1)*12)+VLOOKUP(BW$4,$DE$6:$DF$17,2)+1))*(VLOOKUP($A91,SatSunCurve,8))*(INDEX(DailyScalarsTable,BW$5/100,MONTH($A91)))*$D91</f>
        <v>-12098.047459263486</v>
      </c>
      <c r="BX91" s="1021">
        <f>(VLOOKUP(YEAR($A91),'NY East Load Projections'!$A$4:$EO$14,((MONTH($A91)-1)*12)+VLOOKUP(BX$4,$DE$6:$DF$17,2)+1))*(VLOOKUP($A91,SatSunCurve,8))*(INDEX(DailyScalarsTable,BX$5/100,MONTH($A91)))*$D91</f>
        <v>-13274.772562437258</v>
      </c>
      <c r="BY91" s="1021">
        <f>(VLOOKUP(YEAR($A91),'NY East Load Projections'!$A$4:$EO$14,((MONTH($A91)-1)*12)+VLOOKUP(BY$4,$DE$6:$DF$17,2)+1))*(VLOOKUP($A91,SatSunCurve,8))*(INDEX(DailyScalarsTable,BY$5/100,MONTH($A91)))*$D91</f>
        <v>-12706.260809232668</v>
      </c>
      <c r="BZ91" s="1021">
        <f>(VLOOKUP(YEAR($A91),'NY East Load Projections'!$A$4:$EO$14,((MONTH($A91)-1)*12)+VLOOKUP(BZ$4,$DE$6:$DF$17,2)+1))*(VLOOKUP($A91,SatSunCurve,8))*(INDEX(DailyScalarsTable,BZ$5/100,MONTH($A91)))*$D91</f>
        <v>-11568.438574092674</v>
      </c>
      <c r="CA91" s="1021">
        <f>(VLOOKUP(YEAR($A91),'NY East Load Projections'!$A$4:$EO$14,((MONTH($A91)-1)*12)+VLOOKUP(CA$4,$DE$6:$DF$17,2)+1))*(VLOOKUP($A91,SatSunCurve,8))*(INDEX(DailyScalarsTable,CA$5/100,MONTH($A91)))*$D91</f>
        <v>-8227.7414501038311</v>
      </c>
      <c r="CB91" s="1021">
        <f>(VLOOKUP(YEAR($A91),'NY East Load Projections'!$A$4:$EO$14,((MONTH($A91)-1)*12)+VLOOKUP(CB$4,$DE$6:$DF$17,2)+1))*(VLOOKUP($A91,SatSunCurve,8))*(INDEX(DailyScalarsTable,CB$5/100,MONTH($A91)))*$D91</f>
        <v>-6735.4304628056307</v>
      </c>
      <c r="CC91" s="1021">
        <f>(VLOOKUP(YEAR($A91),'NY East Load Projections'!$A$4:$EO$14,((MONTH($A91)-1)*12)+VLOOKUP(CC$4,$DE$6:$DF$17,2)+1))*(VLOOKUP($A91,CURVES!$D$9:$T$261,8))*(INDEX(DailyScalarsTable,CC$5/100,MONTH($A91)))*$D91</f>
        <v>-7552.658073287791</v>
      </c>
      <c r="CE91" s="1021">
        <f>(VLOOKUP(YEAR($A91),'NY East Load Projections'!$A$4:$EO$14,((MONTH($A91)-1)*12)+VLOOKUP(CE$4,$DE$6:$DF$17,2)+1))*(VLOOKUP($A91,CURVES!$D$9:$T$261,8))*(INDEX(DailyScalarsTable,CE$5/100,MONTH($A91)))*$E91</f>
        <v>0</v>
      </c>
      <c r="CF91" s="1021">
        <f>(VLOOKUP(YEAR($A91),'NY East Load Projections'!$A$4:$EO$14,((MONTH($A91)-1)*12)+VLOOKUP(CF$4,$DE$6:$DF$17,2)+1))*(VLOOKUP($A91,CURVES!$D$9:$T$261,8))*(INDEX(DailyScalarsTable,CF$5/100,MONTH($A91)))*$E91</f>
        <v>0</v>
      </c>
      <c r="CG91" s="1021">
        <f>(VLOOKUP(YEAR($A91),'NY East Load Projections'!$A$4:$EO$14,((MONTH($A91)-1)*12)+VLOOKUP(CG$4,$DE$6:$DF$17,2)+1))*(VLOOKUP($A91,CURVES!$D$9:$T$261,8))*(INDEX(DailyScalarsTable,CG$5/100,MONTH($A91)))*$E91</f>
        <v>0</v>
      </c>
      <c r="CH91" s="1021">
        <f>(VLOOKUP(YEAR($A91),'NY East Load Projections'!$A$4:$EO$14,((MONTH($A91)-1)*12)+VLOOKUP(CH$4,$DE$6:$DF$17,2)+1))*(VLOOKUP($A91,CURVES!$D$9:$T$261,8))*(INDEX(DailyScalarsTable,CH$5/100,MONTH($A91)))*$E91</f>
        <v>0</v>
      </c>
      <c r="CI91" s="1021">
        <f>(VLOOKUP(YEAR($A91),'NY East Load Projections'!$A$4:$EO$14,((MONTH($A91)-1)*12)+VLOOKUP(CI$4,$DE$6:$DF$17,2)+1))*(VLOOKUP($A91,CURVES!$D$9:$T$261,8))*(INDEX(DailyScalarsTable,CI$5/100,MONTH($A91)))*$E91</f>
        <v>0</v>
      </c>
      <c r="CJ91" s="1021">
        <f>(VLOOKUP(YEAR($A91),'NY East Load Projections'!$A$4:$EO$14,((MONTH($A91)-1)*12)+VLOOKUP(CJ$4,$DE$6:$DF$17,2)+1))*(VLOOKUP($A91,CURVES!$D$9:$T$261,8))*(INDEX(DailyScalarsTable,CJ$5/100,MONTH($A91)))*$E91</f>
        <v>0</v>
      </c>
      <c r="CK91" s="1021">
        <f>(VLOOKUP(YEAR($A91),'NY East Load Projections'!$A$4:$EO$14,((MONTH($A91)-1)*12)+VLOOKUP(CK$4,$DE$6:$DF$17,2)+1))*(VLOOKUP($A91,CURVES!$D$9:$T$261,8))*(INDEX(DailyScalarsTable,CK$5/100,MONTH($A91)))*$E91</f>
        <v>0</v>
      </c>
      <c r="CL91" s="1021">
        <f>(VLOOKUP(YEAR($A91),'NY East Load Projections'!$A$4:$EO$14,((MONTH($A91)-1)*12)+VLOOKUP(CL$4,$DE$6:$DF$17,2)+1))*(VLOOKUP($A91,SatSunCurve,8))*(INDEX(DailyScalarsTable,CL$5/100,MONTH($A91)))*$E91</f>
        <v>0</v>
      </c>
      <c r="CM91" s="1021">
        <f>(VLOOKUP(YEAR($A91),'NY East Load Projections'!$A$4:$EO$14,((MONTH($A91)-1)*12)+VLOOKUP(CM$4,$DE$6:$DF$17,2)+1))*(VLOOKUP($A91,SatSunCurve,8))*(INDEX(DailyScalarsTable,CM$5/100,MONTH($A91)))*$E91</f>
        <v>0</v>
      </c>
      <c r="CN91" s="1021">
        <f>(VLOOKUP(YEAR($A91),'NY East Load Projections'!$A$4:$EO$14,((MONTH($A91)-1)*12)+VLOOKUP(CN$4,$DE$6:$DF$17,2)+1))*(VLOOKUP($A91,SatSunCurve,8))*(INDEX(DailyScalarsTable,CN$5/100,MONTH($A91)))*$E91</f>
        <v>0</v>
      </c>
      <c r="CO91" s="1021">
        <f>(VLOOKUP(YEAR($A91),'NY East Load Projections'!$A$4:$EO$14,((MONTH($A91)-1)*12)+VLOOKUP(CO$4,$DE$6:$DF$17,2)+1))*(VLOOKUP($A91,SatSunCurve,8))*(INDEX(DailyScalarsTable,CO$5/100,MONTH($A91)))*$E91</f>
        <v>0</v>
      </c>
      <c r="CP91" s="1021">
        <f>(VLOOKUP(YEAR($A91),'NY East Load Projections'!$A$4:$EO$14,((MONTH($A91)-1)*12)+VLOOKUP(CP$4,$DE$6:$DF$17,2)+1))*(VLOOKUP($A91,SatSunCurve,8))*(INDEX(DailyScalarsTable,CP$5/100,MONTH($A91)))*$E91</f>
        <v>0</v>
      </c>
      <c r="CQ91" s="1021">
        <f>(VLOOKUP(YEAR($A91),'NY East Load Projections'!$A$4:$EO$14,((MONTH($A91)-1)*12)+VLOOKUP(CQ$4,$DE$6:$DF$17,2)+1))*(VLOOKUP($A91,SatSunCurve,8))*(INDEX(DailyScalarsTable,CQ$5/100,MONTH($A91)))*$E91</f>
        <v>0</v>
      </c>
      <c r="CR91" s="1021">
        <f>(VLOOKUP(YEAR($A91),'NY East Load Projections'!$A$4:$EO$14,((MONTH($A91)-1)*12)+VLOOKUP(CR$4,$DE$6:$DF$17,2)+1))*(VLOOKUP($A91,SatSunCurve,8))*(INDEX(DailyScalarsTable,CR$5/100,MONTH($A91)))*$E91</f>
        <v>0</v>
      </c>
      <c r="CS91" s="1021">
        <f>(VLOOKUP(YEAR($A91),'NY East Load Projections'!$A$4:$EO$14,((MONTH($A91)-1)*12)+VLOOKUP(CS$4,$DE$6:$DF$17,2)+1))*(VLOOKUP($A91,SatSunCurve,8))*(INDEX(DailyScalarsTable,CS$5/100,MONTH($A91)))*$E91</f>
        <v>0</v>
      </c>
      <c r="CT91" s="1021">
        <f>(VLOOKUP(YEAR($A91),'NY East Load Projections'!$A$4:$EO$14,((MONTH($A91)-1)*12)+VLOOKUP(CT$4,$DE$6:$DF$17,2)+1))*(VLOOKUP($A91,SatSunCurve,8))*(INDEX(DailyScalarsTable,CT$5/100,MONTH($A91)))*$E91</f>
        <v>0</v>
      </c>
      <c r="CU91" s="1021">
        <f>(VLOOKUP(YEAR($A91),'NY East Load Projections'!$A$4:$EO$14,((MONTH($A91)-1)*12)+VLOOKUP(CU$4,$DE$6:$DF$17,2)+1))*(VLOOKUP($A91,SatSunCurve,8))*(INDEX(DailyScalarsTable,CU$5/100,MONTH($A91)))*$E91</f>
        <v>0</v>
      </c>
      <c r="CV91" s="1021">
        <f>(VLOOKUP(YEAR($A91),'NY East Load Projections'!$A$4:$EO$14,((MONTH($A91)-1)*12)+VLOOKUP(CV$4,$DE$6:$DF$17,2)+1))*(VLOOKUP($A91,SatSunCurve,8))*(INDEX(DailyScalarsTable,CV$5/100,MONTH($A91)))*$E91</f>
        <v>0</v>
      </c>
      <c r="CW91" s="1021">
        <f>(VLOOKUP(YEAR($A91),'NY East Load Projections'!$A$4:$EO$14,((MONTH($A91)-1)*12)+VLOOKUP(CW$4,$DE$6:$DF$17,2)+1))*(VLOOKUP($A91,SatSunCurve,8))*(INDEX(DailyScalarsTable,CW$5/100,MONTH($A91)))*$E91</f>
        <v>0</v>
      </c>
      <c r="CX91" s="1021">
        <f>(VLOOKUP(YEAR($A91),'NY East Load Projections'!$A$4:$EO$14,((MONTH($A91)-1)*12)+VLOOKUP(CX$4,$DE$6:$DF$17,2)+1))*(VLOOKUP($A91,SatSunCurve,8))*(INDEX(DailyScalarsTable,CX$5/100,MONTH($A91)))*$E91</f>
        <v>0</v>
      </c>
      <c r="CY91" s="1021">
        <f>(VLOOKUP(YEAR($A91),'NY East Load Projections'!$A$4:$EO$14,((MONTH($A91)-1)*12)+VLOOKUP(CY$4,$DE$6:$DF$17,2)+1))*(VLOOKUP($A91,SatSunCurve,8))*(INDEX(DailyScalarsTable,CY$5/100,MONTH($A91)))*$E91</f>
        <v>0</v>
      </c>
      <c r="CZ91" s="1021">
        <f>(VLOOKUP(YEAR($A91),'NY East Load Projections'!$A$4:$EO$14,((MONTH($A91)-1)*12)+VLOOKUP(CZ$4,$DE$6:$DF$17,2)+1))*(VLOOKUP($A91,SatSunCurve,8))*(INDEX(DailyScalarsTable,CZ$5/100,MONTH($A91)))*$E91</f>
        <v>0</v>
      </c>
      <c r="DA91" s="1021">
        <f>(VLOOKUP(YEAR($A91),'NY East Load Projections'!$A$4:$EO$14,((MONTH($A91)-1)*12)+VLOOKUP(DA$4,$DE$6:$DF$17,2)+1))*(VLOOKUP($A91,SatSunCurve,8))*(INDEX(DailyScalarsTable,DA$5/100,MONTH($A91)))*$E91</f>
        <v>0</v>
      </c>
      <c r="DB91" s="1021">
        <f>(VLOOKUP(YEAR($A91),'NY East Load Projections'!$A$4:$EO$14,((MONTH($A91)-1)*12)+VLOOKUP(DB$4,$DE$6:$DF$17,2)+1))*(VLOOKUP($A91,CURVES!$D$9:$T$261,8))*(INDEX(DailyScalarsTable,DB$5/100,MONTH($A91)))*$E91</f>
        <v>0</v>
      </c>
      <c r="DH91" s="1021">
        <f t="shared" si="2"/>
        <v>-1897051.5443242579</v>
      </c>
      <c r="DI91">
        <f ca="1">CALC!J111</f>
        <v>0.55790431277218178</v>
      </c>
      <c r="DJ91" s="1029">
        <f t="shared" ca="1" si="3"/>
        <v>-1058373.2381296312</v>
      </c>
    </row>
    <row r="92" spans="1:114" x14ac:dyDescent="0.25">
      <c r="A92" s="244">
        <v>39508</v>
      </c>
      <c r="B92" s="13">
        <v>21</v>
      </c>
      <c r="C92" s="210">
        <v>5</v>
      </c>
      <c r="D92" s="210">
        <v>5</v>
      </c>
      <c r="E92" s="210">
        <v>0</v>
      </c>
      <c r="F92" s="13">
        <v>31</v>
      </c>
      <c r="H92" s="1021">
        <f>(VLOOKUP(YEAR($A92),'NY East Load Projections'!$A$4:$EO$14,((MONTH($A92)-1)*12)+VLOOKUP(H$4,$DE$6:$DF$17,2)+1))*(VLOOKUP($A92,CURVES!$D$9:$K$261,8))*(INDEX(DailyScalarsTable,H$5/100,MONTH($A92)))*$B92</f>
        <v>-27627.255057755905</v>
      </c>
      <c r="I92" s="1021">
        <f>(VLOOKUP(YEAR($A92),'NY East Load Projections'!$A$4:$EO$14,((MONTH($A92)-1)*12)+VLOOKUP(I$4,$DE$6:$DF$17,2)+1))*(VLOOKUP($A92,CURVES!$D$9:$K$261,8))*(INDEX(DailyScalarsTable,I$5/100,MONTH($A92)))*$B92</f>
        <v>-26122.795098846655</v>
      </c>
      <c r="J92" s="1021">
        <f>(VLOOKUP(YEAR($A92),'NY East Load Projections'!$A$4:$EO$14,((MONTH($A92)-1)*12)+VLOOKUP(J$4,$DE$6:$DF$17,2)+1))*(VLOOKUP($A92,CURVES!$D$9:$K$261,8))*(INDEX(DailyScalarsTable,J$5/100,MONTH($A92)))*$B92</f>
        <v>-25009.481368152905</v>
      </c>
      <c r="K92" s="1021">
        <f>(VLOOKUP(YEAR($A92),'NY East Load Projections'!$A$4:$EO$14,((MONTH($A92)-1)*12)+VLOOKUP(K$4,$DE$6:$DF$17,2)+1))*(VLOOKUP($A92,CURVES!$D$9:$K$261,8))*(INDEX(DailyScalarsTable,K$5/100,MONTH($A92)))*$B92</f>
        <v>-25025.180661685055</v>
      </c>
      <c r="L92" s="1021">
        <f>(VLOOKUP(YEAR($A92),'NY East Load Projections'!$A$4:$EO$14,((MONTH($A92)-1)*12)+VLOOKUP(L$4,$DE$6:$DF$17,2)+1))*(VLOOKUP($A92,CURVES!$D$9:$K$261,8))*(INDEX(DailyScalarsTable,L$5/100,MONTH($A92)))*$B92</f>
        <v>-29383.234938719022</v>
      </c>
      <c r="M92" s="1021">
        <f>(VLOOKUP(YEAR($A92),'NY East Load Projections'!$A$4:$EO$14,((MONTH($A92)-1)*12)+VLOOKUP(M$4,$DE$6:$DF$17,2)+1))*(VLOOKUP($A92,CURVES!$D$9:$K$261,8))*(INDEX(DailyScalarsTable,M$5/100,MONTH($A92)))*$B92</f>
        <v>-34107.274757619954</v>
      </c>
      <c r="N92" s="1021">
        <f>(VLOOKUP(YEAR($A92),'NY East Load Projections'!$A$4:$EO$14,((MONTH($A92)-1)*12)+VLOOKUP(N$4,$DE$6:$DF$17,2)+1))*(VLOOKUP($A92,CURVES!$D$9:$K$261,8))*(INDEX(DailyScalarsTable,N$5/100,MONTH($A92)))*$B92</f>
        <v>-61542.714656078766</v>
      </c>
      <c r="O92" s="1021">
        <f>(VLOOKUP(YEAR($A92),'NY East Load Projections'!$A$4:$EO$14,((MONTH($A92)-1)*12)+VLOOKUP(O$4,$DE$6:$DF$17,2)+1))*(VLOOKUP($A92,CURVES!$D$9:$K$261,4))*(INDEX(DailyScalarsTable,O$5/100,MONTH($A92)))*$B92</f>
        <v>-66349.97336824474</v>
      </c>
      <c r="P92" s="1021">
        <f>(VLOOKUP(YEAR($A92),'NY East Load Projections'!$A$4:$EO$14,((MONTH($A92)-1)*12)+VLOOKUP(P$4,$DE$6:$DF$17,2)+1))*(VLOOKUP($A92,CURVES!$D$9:$K$261,4))*(INDEX(DailyScalarsTable,P$5/100,MONTH($A92)))*$B92</f>
        <v>-74935.609086550568</v>
      </c>
      <c r="Q92" s="1021">
        <f>(VLOOKUP(YEAR($A92),'NY East Load Projections'!$A$4:$EO$14,((MONTH($A92)-1)*12)+VLOOKUP(Q$4,$DE$6:$DF$17,2)+1))*(VLOOKUP($A92,CURVES!$D$9:$K$261,4))*(INDEX(DailyScalarsTable,Q$5/100,MONTH($A92)))*$B92</f>
        <v>-74708.875019722866</v>
      </c>
      <c r="R92" s="1021">
        <f>(VLOOKUP(YEAR($A92),'NY East Load Projections'!$A$4:$EO$14,((MONTH($A92)-1)*12)+VLOOKUP(R$4,$DE$6:$DF$17,2)+1))*(VLOOKUP($A92,CURVES!$D$9:$K$261,4))*(INDEX(DailyScalarsTable,R$5/100,MONTH($A92)))*$B92</f>
        <v>-73392.557798417693</v>
      </c>
      <c r="S92" s="1021">
        <f>(VLOOKUP(YEAR($A92),'NY East Load Projections'!$A$4:$EO$14,((MONTH($A92)-1)*12)+VLOOKUP(S$4,$DE$6:$DF$17,2)+1))*(VLOOKUP($A92,CURVES!$D$9:$K$261,4))*(INDEX(DailyScalarsTable,S$5/100,MONTH($A92)))*$B92</f>
        <v>-56078.89252871459</v>
      </c>
      <c r="T92" s="1021">
        <f>(VLOOKUP(YEAR($A92),'NY East Load Projections'!$A$4:$EO$14,((MONTH($A92)-1)*12)+VLOOKUP(T$4,$DE$6:$DF$17,2)+1))*(VLOOKUP($A92,CURVES!$D$9:$K$261,4))*(INDEX(DailyScalarsTable,T$5/100,MONTH($A92)))*$B92</f>
        <v>-56104.258425989778</v>
      </c>
      <c r="U92" s="1021">
        <f>(VLOOKUP(YEAR($A92),'NY East Load Projections'!$A$4:$EO$14,((MONTH($A92)-1)*12)+VLOOKUP(U$4,$DE$6:$DF$17,2)+1))*(VLOOKUP($A92,CURVES!$D$9:$K$261,4))*(INDEX(DailyScalarsTable,U$5/100,MONTH($A92)))*$B92</f>
        <v>-54313.696986862444</v>
      </c>
      <c r="V92" s="1021">
        <f>(VLOOKUP(YEAR($A92),'NY East Load Projections'!$A$4:$EO$14,((MONTH($A92)-1)*12)+VLOOKUP(V$4,$DE$6:$DF$17,2)+1))*(VLOOKUP($A92,CURVES!$D$9:$K$261,4))*(INDEX(DailyScalarsTable,V$5/100,MONTH($A92)))*$B92</f>
        <v>-51582.442038048648</v>
      </c>
      <c r="W92" s="1021">
        <f>(VLOOKUP(YEAR($A92),'NY East Load Projections'!$A$4:$EO$14,((MONTH($A92)-1)*12)+VLOOKUP(W$4,$DE$6:$DF$17,2)+1))*(VLOOKUP($A92,CURVES!$D$9:$K$261,4))*(INDEX(DailyScalarsTable,W$5/100,MONTH($A92)))*$B92</f>
        <v>-50557.41048956271</v>
      </c>
      <c r="X92" s="1021">
        <f>(VLOOKUP(YEAR($A92),'NY East Load Projections'!$A$4:$EO$14,((MONTH($A92)-1)*12)+VLOOKUP(X$4,$DE$6:$DF$17,2)+1))*(VLOOKUP($A92,CURVES!$D$9:$K$261,4))*(INDEX(DailyScalarsTable,X$5/100,MONTH($A92)))*$B92</f>
        <v>-52915.292813253502</v>
      </c>
      <c r="Y92" s="1021">
        <f>(VLOOKUP(YEAR($A92),'NY East Load Projections'!$A$4:$EO$14,((MONTH($A92)-1)*12)+VLOOKUP(Y$4,$DE$6:$DF$17,2)+1))*(VLOOKUP($A92,CURVES!$D$9:$K$261,4))*(INDEX(DailyScalarsTable,Y$5/100,MONTH($A92)))*$B92</f>
        <v>-72141.9299265437</v>
      </c>
      <c r="Z92" s="1021">
        <f>(VLOOKUP(YEAR($A92),'NY East Load Projections'!$A$4:$EO$14,((MONTH($A92)-1)*12)+VLOOKUP(Z$4,$DE$6:$DF$17,2)+1))*(VLOOKUP($A92,CURVES!$D$9:$K$261,4))*(INDEX(DailyScalarsTable,Z$5/100,MONTH($A92)))*$B92</f>
        <v>-79217.23273208231</v>
      </c>
      <c r="AA92" s="1021">
        <f>(VLOOKUP(YEAR($A92),'NY East Load Projections'!$A$4:$EO$14,((MONTH($A92)-1)*12)+VLOOKUP(AA$4,$DE$6:$DF$17,2)+1))*(VLOOKUP($A92,CURVES!$D$9:$K$261,4))*(INDEX(DailyScalarsTable,AA$5/100,MONTH($A92)))*$B92</f>
        <v>-75797.918260039442</v>
      </c>
      <c r="AB92" s="1021">
        <f>(VLOOKUP(YEAR($A92),'NY East Load Projections'!$A$4:$EO$14,((MONTH($A92)-1)*12)+VLOOKUP(AB$4,$DE$6:$DF$17,2)+1))*(VLOOKUP($A92,CURVES!$D$9:$K$261,4))*(INDEX(DailyScalarsTable,AB$5/100,MONTH($A92)))*$B92</f>
        <v>-65172.434383242638</v>
      </c>
      <c r="AC92" s="1021">
        <f>(VLOOKUP(YEAR($A92),'NY East Load Projections'!$A$4:$EO$14,((MONTH($A92)-1)*12)+VLOOKUP(AC$4,$DE$6:$DF$17,2)+1))*(VLOOKUP($A92,CURVES!$D$9:$K$261,4))*(INDEX(DailyScalarsTable,AC$5/100,MONTH($A92)))*$B92</f>
        <v>-47324.145655109824</v>
      </c>
      <c r="AD92" s="1021">
        <f>(VLOOKUP(YEAR($A92),'NY East Load Projections'!$A$4:$EO$14,((MONTH($A92)-1)*12)+VLOOKUP(AD$4,$DE$6:$DF$17,2)+1))*(VLOOKUP($A92,CURVES!$D$9:$K$261,4))*(INDEX(DailyScalarsTable,AD$5/100,MONTH($A92)))*$B92</f>
        <v>-38843.931941806914</v>
      </c>
      <c r="AE92" s="1021">
        <f>(VLOOKUP(YEAR($A92),'NY East Load Projections'!$A$4:$EO$14,((MONTH($A92)-1)*12)+VLOOKUP(AE$4,$DE$6:$DF$17,2)+1))*(VLOOKUP($A92,CURVES!$D$9:$K$261,8))*(INDEX(DailyScalarsTable,AE$5/100,MONTH($A92)))*$B92</f>
        <v>-34890.442922321752</v>
      </c>
      <c r="AF92" s="1021"/>
      <c r="AG92" s="1021">
        <f>(VLOOKUP(YEAR($A92),'NY East Load Projections'!$A$4:$EO$14,((MONTH($A92)-1)*12)+VLOOKUP(AG$4,$DE$6:$DF$17,2)+1))*(VLOOKUP($A92,CURVES!$D$9:$T$261,8))*(INDEX(DailyScalarsTable,AG$5/100,MONTH($A92)))*$C92</f>
        <v>-7180.1246318949225</v>
      </c>
      <c r="AH92" s="1021">
        <f>(VLOOKUP(YEAR($A92),'NY East Load Projections'!$A$4:$EO$14,((MONTH($A92)-1)*12)+VLOOKUP(AH$4,$DE$6:$DF$17,2)+1))*(VLOOKUP($A92,CURVES!$D$9:$T$261,8))*(INDEX(DailyScalarsTable,AH$5/100,MONTH($A92)))*$C92</f>
        <v>-6789.1263229394553</v>
      </c>
      <c r="AI92" s="1021">
        <f>(VLOOKUP(YEAR($A92),'NY East Load Projections'!$A$4:$EO$14,((MONTH($A92)-1)*12)+VLOOKUP(AI$4,$DE$6:$DF$17,2)+1))*(VLOOKUP($A92,CURVES!$D$9:$T$261,8))*(INDEX(DailyScalarsTable,AI$5/100,MONTH($A92)))*$C92</f>
        <v>-6499.7841018585041</v>
      </c>
      <c r="AJ92" s="1021">
        <f>(VLOOKUP(YEAR($A92),'NY East Load Projections'!$A$4:$EO$14,((MONTH($A92)-1)*12)+VLOOKUP(AJ$4,$DE$6:$DF$17,2)+1))*(VLOOKUP($A92,CURVES!$D$9:$T$261,8))*(INDEX(DailyScalarsTable,AJ$5/100,MONTH($A92)))*$C92</f>
        <v>-6503.864235189083</v>
      </c>
      <c r="AK92" s="1021">
        <f>(VLOOKUP(YEAR($A92),'NY East Load Projections'!$A$4:$EO$14,((MONTH($A92)-1)*12)+VLOOKUP(AK$4,$DE$6:$DF$17,2)+1))*(VLOOKUP($A92,CURVES!$D$9:$T$261,8))*(INDEX(DailyScalarsTable,AK$5/100,MONTH($A92)))*$C92</f>
        <v>-7085.1730520288838</v>
      </c>
      <c r="AL92" s="1021">
        <f>(VLOOKUP(YEAR($A92),'NY East Load Projections'!$A$4:$EO$14,((MONTH($A92)-1)*12)+VLOOKUP(AL$4,$DE$6:$DF$17,2)+1))*(VLOOKUP($A92,CURVES!$D$9:$T$261,8))*(INDEX(DailyScalarsTable,AL$5/100,MONTH($A92)))*$C92</f>
        <v>-8224.2797464209034</v>
      </c>
      <c r="AM92" s="1021">
        <f>(VLOOKUP(YEAR($A92),'NY East Load Projections'!$A$4:$EO$14,((MONTH($A92)-1)*12)+VLOOKUP(AM$4,$DE$6:$DF$17,2)+1))*(VLOOKUP($A92,CURVES!$D$9:$T$261,8))*(INDEX(DailyScalarsTable,AM$5/100,MONTH($A92)))*$C92</f>
        <v>-14839.781403897448</v>
      </c>
      <c r="AN92" s="1021">
        <f>(VLOOKUP(YEAR($A92),'NY East Load Projections'!$A$4:$EO$14,((MONTH($A92)-1)*12)+VLOOKUP(AN$4,$DE$6:$DF$17,2)+1))*(VLOOKUP($A92,SatSunCurve,4))*(INDEX(DailyScalarsTable,AN$5/100,MONTH($A92)))*$C92</f>
        <v>-10523.717495760946</v>
      </c>
      <c r="AO92" s="1021">
        <f>(VLOOKUP(YEAR($A92),'NY East Load Projections'!$A$4:$EO$14,((MONTH($A92)-1)*12)+VLOOKUP(AO$4,$DE$6:$DF$17,2)+1))*(VLOOKUP($A92,SatSunCurve,4))*(INDEX(DailyScalarsTable,AO$5/100,MONTH($A92)))*$C92</f>
        <v>-11808.778876554081</v>
      </c>
      <c r="AP92" s="1021">
        <f>(VLOOKUP(YEAR($A92),'NY East Load Projections'!$A$4:$EO$14,((MONTH($A92)-1)*12)+VLOOKUP(AP$4,$DE$6:$DF$17,2)+1))*(VLOOKUP($A92,SatSunCurve,4))*(INDEX(DailyScalarsTable,AP$5/100,MONTH($A92)))*$C92</f>
        <v>-11773.048834567535</v>
      </c>
      <c r="AQ92" s="1021">
        <f>(VLOOKUP(YEAR($A92),'NY East Load Projections'!$A$4:$EO$14,((MONTH($A92)-1)*12)+VLOOKUP(AQ$4,$DE$6:$DF$17,2)+1))*(VLOOKUP($A92,SatSunCurve,4))*(INDEX(DailyScalarsTable,AQ$5/100,MONTH($A92)))*$C92</f>
        <v>-11565.616090812298</v>
      </c>
      <c r="AR92" s="1021">
        <f>(VLOOKUP(YEAR($A92),'NY East Load Projections'!$A$4:$EO$14,((MONTH($A92)-1)*12)+VLOOKUP(AR$4,$DE$6:$DF$17,2)+1))*(VLOOKUP($A92,SatSunCurve,4))*(INDEX(DailyScalarsTable,AR$5/100,MONTH($A92)))*$C92</f>
        <v>-8837.2303846728482</v>
      </c>
      <c r="AS92" s="1021">
        <f>(VLOOKUP(YEAR($A92),'NY East Load Projections'!$A$4:$EO$14,((MONTH($A92)-1)*12)+VLOOKUP(AS$4,$DE$6:$DF$17,2)+1))*(VLOOKUP($A92,SatSunCurve,4))*(INDEX(DailyScalarsTable,AS$5/100,MONTH($A92)))*$C92</f>
        <v>-8668.0824532440802</v>
      </c>
      <c r="AT92" s="1021">
        <f>(VLOOKUP(YEAR($A92),'NY East Load Projections'!$A$4:$EO$14,((MONTH($A92)-1)*12)+VLOOKUP(AT$4,$DE$6:$DF$17,2)+1))*(VLOOKUP($A92,SatSunCurve,4))*(INDEX(DailyScalarsTable,AT$5/100,MONTH($A92)))*$C92</f>
        <v>-8391.4415238852271</v>
      </c>
      <c r="AU92" s="1021">
        <f>(VLOOKUP(YEAR($A92),'NY East Load Projections'!$A$4:$EO$14,((MONTH($A92)-1)*12)+VLOOKUP(AU$4,$DE$6:$DF$17,2)+1))*(VLOOKUP($A92,SatSunCurve,4))*(INDEX(DailyScalarsTable,AU$5/100,MONTH($A92)))*$C92</f>
        <v>-7969.4638743921932</v>
      </c>
      <c r="AV92" s="1021">
        <f>(VLOOKUP(YEAR($A92),'NY East Load Projections'!$A$4:$EO$14,((MONTH($A92)-1)*12)+VLOOKUP(AV$4,$DE$6:$DF$17,2)+1))*(VLOOKUP($A92,SatSunCurve,4))*(INDEX(DailyScalarsTable,AV$5/100,MONTH($A92)))*$C92</f>
        <v>-7811.0969655563267</v>
      </c>
      <c r="AW92" s="1021">
        <f>(VLOOKUP(YEAR($A92),'NY East Load Projections'!$A$4:$EO$14,((MONTH($A92)-1)*12)+VLOOKUP(AW$4,$DE$6:$DF$17,2)+1))*(VLOOKUP($A92,SatSunCurve,4))*(INDEX(DailyScalarsTable,AW$5/100,MONTH($A92)))*$C92</f>
        <v>-8141.2395281706258</v>
      </c>
      <c r="AX92" s="1021">
        <f>(VLOOKUP(YEAR($A92),'NY East Load Projections'!$A$4:$EO$14,((MONTH($A92)-1)*12)+VLOOKUP(AX$4,$DE$6:$DF$17,2)+1))*(VLOOKUP($A92,SatSunCurve,4))*(INDEX(DailyScalarsTable,AX$5/100,MONTH($A92)))*$C92</f>
        <v>-11099.338212664825</v>
      </c>
      <c r="AY92" s="1021">
        <f>(VLOOKUP(YEAR($A92),'NY East Load Projections'!$A$4:$EO$14,((MONTH($A92)-1)*12)+VLOOKUP(AY$4,$DE$6:$DF$17,2)+1))*(VLOOKUP($A92,SatSunCurve,4))*(INDEX(DailyScalarsTable,AY$5/100,MONTH($A92)))*$C92</f>
        <v>-12187.903196657508</v>
      </c>
      <c r="AZ92" s="1021">
        <f>(VLOOKUP(YEAR($A92),'NY East Load Projections'!$A$4:$EO$14,((MONTH($A92)-1)*12)+VLOOKUP(AZ$4,$DE$6:$DF$17,2)+1))*(VLOOKUP($A92,SatSunCurve,4))*(INDEX(DailyScalarsTable,AZ$5/100,MONTH($A92)))*$C92</f>
        <v>-11661.827337315974</v>
      </c>
      <c r="BA92" s="1021">
        <f>(VLOOKUP(YEAR($A92),'NY East Load Projections'!$A$4:$EO$14,((MONTH($A92)-1)*12)+VLOOKUP(BA$4,$DE$6:$DF$17,2)+1))*(VLOOKUP($A92,SatSunCurve,4))*(INDEX(DailyScalarsTable,BA$5/100,MONTH($A92)))*$C92</f>
        <v>-10553.705554944811</v>
      </c>
      <c r="BB92" s="1021">
        <f>(VLOOKUP(YEAR($A92),'NY East Load Projections'!$A$4:$EO$14,((MONTH($A92)-1)*12)+VLOOKUP(BB$4,$DE$6:$DF$17,2)+1))*(VLOOKUP($A92,SatSunCurve,4))*(INDEX(DailyScalarsTable,BB$5/100,MONTH($A92)))*$C92</f>
        <v>-7663.4408950629731</v>
      </c>
      <c r="BC92" s="1021">
        <f>(VLOOKUP(YEAR($A92),'NY East Load Projections'!$A$4:$EO$14,((MONTH($A92)-1)*12)+VLOOKUP(BC$4,$DE$6:$DF$17,2)+1))*(VLOOKUP($A92,SatSunCurve,4))*(INDEX(DailyScalarsTable,BC$5/100,MONTH($A92)))*$C92</f>
        <v>-6290.1965254124825</v>
      </c>
      <c r="BD92" s="1021">
        <f>(VLOOKUP(YEAR($A92),'NY East Load Projections'!$A$4:$EO$14,((MONTH($A92)-1)*12)+VLOOKUP(BD$4,$DE$6:$DF$17,2)+1))*(VLOOKUP($A92,CURVES!$D$9:$T$261,8))*(INDEX(DailyScalarsTable,BD$5/100,MONTH($A92)))*$C92</f>
        <v>-8589.5406403225952</v>
      </c>
      <c r="BE92" s="1021"/>
      <c r="BF92" s="1021">
        <f>(VLOOKUP(YEAR($A92),'NY East Load Projections'!$A$4:$EO$14,((MONTH($A92)-1)*12)+VLOOKUP(BF$4,$DE$6:$DF$17,2)+1))*(VLOOKUP($A92,CURVES!$D$9:$T$261,8))*(INDEX(DailyScalarsTable,BF$5/100,MONTH($A92)))*$D92</f>
        <v>-7180.1246318949225</v>
      </c>
      <c r="BG92" s="1021">
        <f>(VLOOKUP(YEAR($A92),'NY East Load Projections'!$A$4:$EO$14,((MONTH($A92)-1)*12)+VLOOKUP(BG$4,$DE$6:$DF$17,2)+1))*(VLOOKUP($A92,CURVES!$D$9:$T$261,8))*(INDEX(DailyScalarsTable,BG$5/100,MONTH($A92)))*$D92</f>
        <v>-6789.1263229394553</v>
      </c>
      <c r="BH92" s="1021">
        <f>(VLOOKUP(YEAR($A92),'NY East Load Projections'!$A$4:$EO$14,((MONTH($A92)-1)*12)+VLOOKUP(BH$4,$DE$6:$DF$17,2)+1))*(VLOOKUP($A92,CURVES!$D$9:$T$261,8))*(INDEX(DailyScalarsTable,BH$5/100,MONTH($A92)))*$D92</f>
        <v>-6499.7841018585041</v>
      </c>
      <c r="BI92" s="1021">
        <f>(VLOOKUP(YEAR($A92),'NY East Load Projections'!$A$4:$EO$14,((MONTH($A92)-1)*12)+VLOOKUP(BI$4,$DE$6:$DF$17,2)+1))*(VLOOKUP($A92,CURVES!$D$9:$T$261,8))*(INDEX(DailyScalarsTable,BI$5/100,MONTH($A92)))*$D92</f>
        <v>-6503.864235189083</v>
      </c>
      <c r="BJ92" s="1021">
        <f>(VLOOKUP(YEAR($A92),'NY East Load Projections'!$A$4:$EO$14,((MONTH($A92)-1)*12)+VLOOKUP(BJ$4,$DE$6:$DF$17,2)+1))*(VLOOKUP($A92,CURVES!$D$9:$T$261,8))*(INDEX(DailyScalarsTable,BJ$5/100,MONTH($A92)))*$D92</f>
        <v>-7085.1730520288838</v>
      </c>
      <c r="BK92" s="1021">
        <f>(VLOOKUP(YEAR($A92),'NY East Load Projections'!$A$4:$EO$14,((MONTH($A92)-1)*12)+VLOOKUP(BK$4,$DE$6:$DF$17,2)+1))*(VLOOKUP($A92,CURVES!$D$9:$T$261,8))*(INDEX(DailyScalarsTable,BK$5/100,MONTH($A92)))*$D92</f>
        <v>-8224.2797464209034</v>
      </c>
      <c r="BL92" s="1021">
        <f>(VLOOKUP(YEAR($A92),'NY East Load Projections'!$A$4:$EO$14,((MONTH($A92)-1)*12)+VLOOKUP(BL$4,$DE$6:$DF$17,2)+1))*(VLOOKUP($A92,CURVES!$D$9:$T$261,8))*(INDEX(DailyScalarsTable,BL$5/100,MONTH($A92)))*$D92</f>
        <v>-14839.781403897448</v>
      </c>
      <c r="BM92" s="1021">
        <f>(VLOOKUP(YEAR($A92),'NY East Load Projections'!$A$4:$EO$14,((MONTH($A92)-1)*12)+VLOOKUP(BM$4,$DE$6:$DF$17,2)+1))*(VLOOKUP($A92,SatSunCurve,8))*(INDEX(DailyScalarsTable,BM$5/100,MONTH($A92)))*$D92</f>
        <v>-11636.008660813584</v>
      </c>
      <c r="BN92" s="1021">
        <f>(VLOOKUP(YEAR($A92),'NY East Load Projections'!$A$4:$EO$14,((MONTH($A92)-1)*12)+VLOOKUP(BN$4,$DE$6:$DF$17,2)+1))*(VLOOKUP($A92,SatSunCurve,8))*(INDEX(DailyScalarsTable,BN$5/100,MONTH($A92)))*$D92</f>
        <v>-13056.892997798988</v>
      </c>
      <c r="BO92" s="1021">
        <f>(VLOOKUP(YEAR($A92),'NY East Load Projections'!$A$4:$EO$14,((MONTH($A92)-1)*12)+VLOOKUP(BO$4,$DE$6:$DF$17,2)+1))*(VLOOKUP($A92,SatSunCurve,8))*(INDEX(DailyScalarsTable,BO$5/100,MONTH($A92)))*$D92</f>
        <v>-13017.386513690672</v>
      </c>
      <c r="BP92" s="1021">
        <f>(VLOOKUP(YEAR($A92),'NY East Load Projections'!$A$4:$EO$14,((MONTH($A92)-1)*12)+VLOOKUP(BP$4,$DE$6:$DF$17,2)+1))*(VLOOKUP($A92,SatSunCurve,8))*(INDEX(DailyScalarsTable,BP$5/100,MONTH($A92)))*$D92</f>
        <v>-12788.029425395162</v>
      </c>
      <c r="BQ92" s="1021">
        <f>(VLOOKUP(YEAR($A92),'NY East Load Projections'!$A$4:$EO$14,((MONTH($A92)-1)*12)+VLOOKUP(BQ$4,$DE$6:$DF$17,2)+1))*(VLOOKUP($A92,SatSunCurve,8))*(INDEX(DailyScalarsTable,BQ$5/100,MONTH($A92)))*$D92</f>
        <v>-9771.2704027905693</v>
      </c>
      <c r="BR92" s="1021">
        <f>(VLOOKUP(YEAR($A92),'NY East Load Projections'!$A$4:$EO$14,((MONTH($A92)-1)*12)+VLOOKUP(BR$4,$DE$6:$DF$17,2)+1))*(VLOOKUP($A92,SatSunCurve,8))*(INDEX(DailyScalarsTable,BR$5/100,MONTH($A92)))*$D92</f>
        <v>-9584.2445922006646</v>
      </c>
      <c r="BS92" s="1021">
        <f>(VLOOKUP(YEAR($A92),'NY East Load Projections'!$A$4:$EO$14,((MONTH($A92)-1)*12)+VLOOKUP(BS$4,$DE$6:$DF$17,2)+1))*(VLOOKUP($A92,SatSunCurve,8))*(INDEX(DailyScalarsTable,BS$5/100,MONTH($A92)))*$D92</f>
        <v>-9278.3644456410693</v>
      </c>
      <c r="BT92" s="1021">
        <f>(VLOOKUP(YEAR($A92),'NY East Load Projections'!$A$4:$EO$14,((MONTH($A92)-1)*12)+VLOOKUP(BT$4,$DE$6:$DF$17,2)+1))*(VLOOKUP($A92,SatSunCurve,8))*(INDEX(DailyScalarsTable,BT$5/100,MONTH($A92)))*$D92</f>
        <v>-8811.7863959976276</v>
      </c>
      <c r="BU92" s="1021">
        <f>(VLOOKUP(YEAR($A92),'NY East Load Projections'!$A$4:$EO$14,((MONTH($A92)-1)*12)+VLOOKUP(BU$4,$DE$6:$DF$17,2)+1))*(VLOOKUP($A92,SatSunCurve,8))*(INDEX(DailyScalarsTable,BU$5/100,MONTH($A92)))*$D92</f>
        <v>-8636.6810947062659</v>
      </c>
      <c r="BV92" s="1021">
        <f>(VLOOKUP(YEAR($A92),'NY East Load Projections'!$A$4:$EO$14,((MONTH($A92)-1)*12)+VLOOKUP(BV$4,$DE$6:$DF$17,2)+1))*(VLOOKUP($A92,SatSunCurve,8))*(INDEX(DailyScalarsTable,BV$5/100,MONTH($A92)))*$D92</f>
        <v>-9001.7176627660392</v>
      </c>
      <c r="BW92" s="1021">
        <f>(VLOOKUP(YEAR($A92),'NY East Load Projections'!$A$4:$EO$14,((MONTH($A92)-1)*12)+VLOOKUP(BW$4,$DE$6:$DF$17,2)+1))*(VLOOKUP($A92,SatSunCurve,8))*(INDEX(DailyScalarsTable,BW$5/100,MONTH($A92)))*$D92</f>
        <v>-12272.46888980921</v>
      </c>
      <c r="BX92" s="1021">
        <f>(VLOOKUP(YEAR($A92),'NY East Load Projections'!$A$4:$EO$14,((MONTH($A92)-1)*12)+VLOOKUP(BX$4,$DE$6:$DF$17,2)+1))*(VLOOKUP($A92,SatSunCurve,8))*(INDEX(DailyScalarsTable,BX$5/100,MONTH($A92)))*$D92</f>
        <v>-13476.088388973783</v>
      </c>
      <c r="BY92" s="1021">
        <f>(VLOOKUP(YEAR($A92),'NY East Load Projections'!$A$4:$EO$14,((MONTH($A92)-1)*12)+VLOOKUP(BY$4,$DE$6:$DF$17,2)+1))*(VLOOKUP($A92,SatSunCurve,8))*(INDEX(DailyScalarsTable,BY$5/100,MONTH($A92)))*$D92</f>
        <v>-12894.409599324707</v>
      </c>
      <c r="BZ92" s="1021">
        <f>(VLOOKUP(YEAR($A92),'NY East Load Projections'!$A$4:$EO$14,((MONTH($A92)-1)*12)+VLOOKUP(BZ$4,$DE$6:$DF$17,2)+1))*(VLOOKUP($A92,SatSunCurve,8))*(INDEX(DailyScalarsTable,BZ$5/100,MONTH($A92)))*$D92</f>
        <v>-11669.166270424921</v>
      </c>
      <c r="CA92" s="1021">
        <f>(VLOOKUP(YEAR($A92),'NY East Load Projections'!$A$4:$EO$14,((MONTH($A92)-1)*12)+VLOOKUP(CA$4,$DE$6:$DF$17,2)+1))*(VLOOKUP($A92,SatSunCurve,8))*(INDEX(DailyScalarsTable,CA$5/100,MONTH($A92)))*$D92</f>
        <v>-8473.418700426444</v>
      </c>
      <c r="CB92" s="1021">
        <f>(VLOOKUP(YEAR($A92),'NY East Load Projections'!$A$4:$EO$14,((MONTH($A92)-1)*12)+VLOOKUP(CB$4,$DE$6:$DF$17,2)+1))*(VLOOKUP($A92,SatSunCurve,8))*(INDEX(DailyScalarsTable,CB$5/100,MONTH($A92)))*$D92</f>
        <v>-6955.0309838136482</v>
      </c>
      <c r="CC92" s="1021">
        <f>(VLOOKUP(YEAR($A92),'NY East Load Projections'!$A$4:$EO$14,((MONTH($A92)-1)*12)+VLOOKUP(CC$4,$DE$6:$DF$17,2)+1))*(VLOOKUP($A92,CURVES!$D$9:$T$261,8))*(INDEX(DailyScalarsTable,CC$5/100,MONTH($A92)))*$D92</f>
        <v>-8589.5406403225952</v>
      </c>
      <c r="CE92" s="1021">
        <f>(VLOOKUP(YEAR($A92),'NY East Load Projections'!$A$4:$EO$14,((MONTH($A92)-1)*12)+VLOOKUP(CE$4,$DE$6:$DF$17,2)+1))*(VLOOKUP($A92,CURVES!$D$9:$T$261,8))*(INDEX(DailyScalarsTable,CE$5/100,MONTH($A92)))*$E92</f>
        <v>0</v>
      </c>
      <c r="CF92" s="1021">
        <f>(VLOOKUP(YEAR($A92),'NY East Load Projections'!$A$4:$EO$14,((MONTH($A92)-1)*12)+VLOOKUP(CF$4,$DE$6:$DF$17,2)+1))*(VLOOKUP($A92,CURVES!$D$9:$T$261,8))*(INDEX(DailyScalarsTable,CF$5/100,MONTH($A92)))*$E92</f>
        <v>0</v>
      </c>
      <c r="CG92" s="1021">
        <f>(VLOOKUP(YEAR($A92),'NY East Load Projections'!$A$4:$EO$14,((MONTH($A92)-1)*12)+VLOOKUP(CG$4,$DE$6:$DF$17,2)+1))*(VLOOKUP($A92,CURVES!$D$9:$T$261,8))*(INDEX(DailyScalarsTable,CG$5/100,MONTH($A92)))*$E92</f>
        <v>0</v>
      </c>
      <c r="CH92" s="1021">
        <f>(VLOOKUP(YEAR($A92),'NY East Load Projections'!$A$4:$EO$14,((MONTH($A92)-1)*12)+VLOOKUP(CH$4,$DE$6:$DF$17,2)+1))*(VLOOKUP($A92,CURVES!$D$9:$T$261,8))*(INDEX(DailyScalarsTable,CH$5/100,MONTH($A92)))*$E92</f>
        <v>0</v>
      </c>
      <c r="CI92" s="1021">
        <f>(VLOOKUP(YEAR($A92),'NY East Load Projections'!$A$4:$EO$14,((MONTH($A92)-1)*12)+VLOOKUP(CI$4,$DE$6:$DF$17,2)+1))*(VLOOKUP($A92,CURVES!$D$9:$T$261,8))*(INDEX(DailyScalarsTable,CI$5/100,MONTH($A92)))*$E92</f>
        <v>0</v>
      </c>
      <c r="CJ92" s="1021">
        <f>(VLOOKUP(YEAR($A92),'NY East Load Projections'!$A$4:$EO$14,((MONTH($A92)-1)*12)+VLOOKUP(CJ$4,$DE$6:$DF$17,2)+1))*(VLOOKUP($A92,CURVES!$D$9:$T$261,8))*(INDEX(DailyScalarsTable,CJ$5/100,MONTH($A92)))*$E92</f>
        <v>0</v>
      </c>
      <c r="CK92" s="1021">
        <f>(VLOOKUP(YEAR($A92),'NY East Load Projections'!$A$4:$EO$14,((MONTH($A92)-1)*12)+VLOOKUP(CK$4,$DE$6:$DF$17,2)+1))*(VLOOKUP($A92,CURVES!$D$9:$T$261,8))*(INDEX(DailyScalarsTable,CK$5/100,MONTH($A92)))*$E92</f>
        <v>0</v>
      </c>
      <c r="CL92" s="1021">
        <f>(VLOOKUP(YEAR($A92),'NY East Load Projections'!$A$4:$EO$14,((MONTH($A92)-1)*12)+VLOOKUP(CL$4,$DE$6:$DF$17,2)+1))*(VLOOKUP($A92,SatSunCurve,8))*(INDEX(DailyScalarsTable,CL$5/100,MONTH($A92)))*$E92</f>
        <v>0</v>
      </c>
      <c r="CM92" s="1021">
        <f>(VLOOKUP(YEAR($A92),'NY East Load Projections'!$A$4:$EO$14,((MONTH($A92)-1)*12)+VLOOKUP(CM$4,$DE$6:$DF$17,2)+1))*(VLOOKUP($A92,SatSunCurve,8))*(INDEX(DailyScalarsTable,CM$5/100,MONTH($A92)))*$E92</f>
        <v>0</v>
      </c>
      <c r="CN92" s="1021">
        <f>(VLOOKUP(YEAR($A92),'NY East Load Projections'!$A$4:$EO$14,((MONTH($A92)-1)*12)+VLOOKUP(CN$4,$DE$6:$DF$17,2)+1))*(VLOOKUP($A92,SatSunCurve,8))*(INDEX(DailyScalarsTable,CN$5/100,MONTH($A92)))*$E92</f>
        <v>0</v>
      </c>
      <c r="CO92" s="1021">
        <f>(VLOOKUP(YEAR($A92),'NY East Load Projections'!$A$4:$EO$14,((MONTH($A92)-1)*12)+VLOOKUP(CO$4,$DE$6:$DF$17,2)+1))*(VLOOKUP($A92,SatSunCurve,8))*(INDEX(DailyScalarsTable,CO$5/100,MONTH($A92)))*$E92</f>
        <v>0</v>
      </c>
      <c r="CP92" s="1021">
        <f>(VLOOKUP(YEAR($A92),'NY East Load Projections'!$A$4:$EO$14,((MONTH($A92)-1)*12)+VLOOKUP(CP$4,$DE$6:$DF$17,2)+1))*(VLOOKUP($A92,SatSunCurve,8))*(INDEX(DailyScalarsTable,CP$5/100,MONTH($A92)))*$E92</f>
        <v>0</v>
      </c>
      <c r="CQ92" s="1021">
        <f>(VLOOKUP(YEAR($A92),'NY East Load Projections'!$A$4:$EO$14,((MONTH($A92)-1)*12)+VLOOKUP(CQ$4,$DE$6:$DF$17,2)+1))*(VLOOKUP($A92,SatSunCurve,8))*(INDEX(DailyScalarsTable,CQ$5/100,MONTH($A92)))*$E92</f>
        <v>0</v>
      </c>
      <c r="CR92" s="1021">
        <f>(VLOOKUP(YEAR($A92),'NY East Load Projections'!$A$4:$EO$14,((MONTH($A92)-1)*12)+VLOOKUP(CR$4,$DE$6:$DF$17,2)+1))*(VLOOKUP($A92,SatSunCurve,8))*(INDEX(DailyScalarsTable,CR$5/100,MONTH($A92)))*$E92</f>
        <v>0</v>
      </c>
      <c r="CS92" s="1021">
        <f>(VLOOKUP(YEAR($A92),'NY East Load Projections'!$A$4:$EO$14,((MONTH($A92)-1)*12)+VLOOKUP(CS$4,$DE$6:$DF$17,2)+1))*(VLOOKUP($A92,SatSunCurve,8))*(INDEX(DailyScalarsTable,CS$5/100,MONTH($A92)))*$E92</f>
        <v>0</v>
      </c>
      <c r="CT92" s="1021">
        <f>(VLOOKUP(YEAR($A92),'NY East Load Projections'!$A$4:$EO$14,((MONTH($A92)-1)*12)+VLOOKUP(CT$4,$DE$6:$DF$17,2)+1))*(VLOOKUP($A92,SatSunCurve,8))*(INDEX(DailyScalarsTable,CT$5/100,MONTH($A92)))*$E92</f>
        <v>0</v>
      </c>
      <c r="CU92" s="1021">
        <f>(VLOOKUP(YEAR($A92),'NY East Load Projections'!$A$4:$EO$14,((MONTH($A92)-1)*12)+VLOOKUP(CU$4,$DE$6:$DF$17,2)+1))*(VLOOKUP($A92,SatSunCurve,8))*(INDEX(DailyScalarsTable,CU$5/100,MONTH($A92)))*$E92</f>
        <v>0</v>
      </c>
      <c r="CV92" s="1021">
        <f>(VLOOKUP(YEAR($A92),'NY East Load Projections'!$A$4:$EO$14,((MONTH($A92)-1)*12)+VLOOKUP(CV$4,$DE$6:$DF$17,2)+1))*(VLOOKUP($A92,SatSunCurve,8))*(INDEX(DailyScalarsTable,CV$5/100,MONTH($A92)))*$E92</f>
        <v>0</v>
      </c>
      <c r="CW92" s="1021">
        <f>(VLOOKUP(YEAR($A92),'NY East Load Projections'!$A$4:$EO$14,((MONTH($A92)-1)*12)+VLOOKUP(CW$4,$DE$6:$DF$17,2)+1))*(VLOOKUP($A92,SatSunCurve,8))*(INDEX(DailyScalarsTable,CW$5/100,MONTH($A92)))*$E92</f>
        <v>0</v>
      </c>
      <c r="CX92" s="1021">
        <f>(VLOOKUP(YEAR($A92),'NY East Load Projections'!$A$4:$EO$14,((MONTH($A92)-1)*12)+VLOOKUP(CX$4,$DE$6:$DF$17,2)+1))*(VLOOKUP($A92,SatSunCurve,8))*(INDEX(DailyScalarsTable,CX$5/100,MONTH($A92)))*$E92</f>
        <v>0</v>
      </c>
      <c r="CY92" s="1021">
        <f>(VLOOKUP(YEAR($A92),'NY East Load Projections'!$A$4:$EO$14,((MONTH($A92)-1)*12)+VLOOKUP(CY$4,$DE$6:$DF$17,2)+1))*(VLOOKUP($A92,SatSunCurve,8))*(INDEX(DailyScalarsTable,CY$5/100,MONTH($A92)))*$E92</f>
        <v>0</v>
      </c>
      <c r="CZ92" s="1021">
        <f>(VLOOKUP(YEAR($A92),'NY East Load Projections'!$A$4:$EO$14,((MONTH($A92)-1)*12)+VLOOKUP(CZ$4,$DE$6:$DF$17,2)+1))*(VLOOKUP($A92,SatSunCurve,8))*(INDEX(DailyScalarsTable,CZ$5/100,MONTH($A92)))*$E92</f>
        <v>0</v>
      </c>
      <c r="DA92" s="1021">
        <f>(VLOOKUP(YEAR($A92),'NY East Load Projections'!$A$4:$EO$14,((MONTH($A92)-1)*12)+VLOOKUP(DA$4,$DE$6:$DF$17,2)+1))*(VLOOKUP($A92,SatSunCurve,8))*(INDEX(DailyScalarsTable,DA$5/100,MONTH($A92)))*$E92</f>
        <v>0</v>
      </c>
      <c r="DB92" s="1021">
        <f>(VLOOKUP(YEAR($A92),'NY East Load Projections'!$A$4:$EO$14,((MONTH($A92)-1)*12)+VLOOKUP(DB$4,$DE$6:$DF$17,2)+1))*(VLOOKUP($A92,CURVES!$D$9:$T$261,8))*(INDEX(DailyScalarsTable,DB$5/100,MONTH($A92)))*$E92</f>
        <v>0</v>
      </c>
      <c r="DH92" s="1021">
        <f t="shared" si="2"/>
        <v>-1710837.4219587238</v>
      </c>
      <c r="DI92">
        <f ca="1">CALC!J112</f>
        <v>0.55441972575425003</v>
      </c>
      <c r="DJ92" s="1029">
        <f t="shared" ca="1" si="3"/>
        <v>-948522.01429246378</v>
      </c>
    </row>
    <row r="93" spans="1:114" x14ac:dyDescent="0.25">
      <c r="A93" s="244">
        <v>39539</v>
      </c>
      <c r="B93" s="13">
        <v>22</v>
      </c>
      <c r="C93" s="210">
        <v>4</v>
      </c>
      <c r="D93" s="210">
        <v>4</v>
      </c>
      <c r="E93" s="210">
        <v>0</v>
      </c>
      <c r="F93" s="13">
        <v>30</v>
      </c>
      <c r="H93" s="1021">
        <f>(VLOOKUP(YEAR($A93),'NY East Load Projections'!$A$4:$EO$14,((MONTH($A93)-1)*12)+VLOOKUP(H$4,$DE$6:$DF$17,2)+1))*(VLOOKUP($A93,CURVES!$D$9:$K$261,8))*(INDEX(DailyScalarsTable,H$5/100,MONTH($A93)))*$B93</f>
        <v>-33186.709312126986</v>
      </c>
      <c r="I93" s="1021">
        <f>(VLOOKUP(YEAR($A93),'NY East Load Projections'!$A$4:$EO$14,((MONTH($A93)-1)*12)+VLOOKUP(I$4,$DE$6:$DF$17,2)+1))*(VLOOKUP($A93,CURVES!$D$9:$K$261,8))*(INDEX(DailyScalarsTable,I$5/100,MONTH($A93)))*$B93</f>
        <v>-31476.657629432928</v>
      </c>
      <c r="J93" s="1021">
        <f>(VLOOKUP(YEAR($A93),'NY East Load Projections'!$A$4:$EO$14,((MONTH($A93)-1)*12)+VLOOKUP(J$4,$DE$6:$DF$17,2)+1))*(VLOOKUP($A93,CURVES!$D$9:$K$261,8))*(INDEX(DailyScalarsTable,J$5/100,MONTH($A93)))*$B93</f>
        <v>-30211.20419727941</v>
      </c>
      <c r="K93" s="1021">
        <f>(VLOOKUP(YEAR($A93),'NY East Load Projections'!$A$4:$EO$14,((MONTH($A93)-1)*12)+VLOOKUP(K$4,$DE$6:$DF$17,2)+1))*(VLOOKUP($A93,CURVES!$D$9:$K$261,8))*(INDEX(DailyScalarsTable,K$5/100,MONTH($A93)))*$B93</f>
        <v>-30229.048875140579</v>
      </c>
      <c r="L93" s="1021">
        <f>(VLOOKUP(YEAR($A93),'NY East Load Projections'!$A$4:$EO$14,((MONTH($A93)-1)*12)+VLOOKUP(L$4,$DE$6:$DF$17,2)+1))*(VLOOKUP($A93,CURVES!$D$9:$K$261,8))*(INDEX(DailyScalarsTable,L$5/100,MONTH($A93)))*$B93</f>
        <v>-34853.368156939119</v>
      </c>
      <c r="M93" s="1021">
        <f>(VLOOKUP(YEAR($A93),'NY East Load Projections'!$A$4:$EO$14,((MONTH($A93)-1)*12)+VLOOKUP(M$4,$DE$6:$DF$17,2)+1))*(VLOOKUP($A93,CURVES!$D$9:$K$261,8))*(INDEX(DailyScalarsTable,M$5/100,MONTH($A93)))*$B93</f>
        <v>-40148.123828679796</v>
      </c>
      <c r="N93" s="1021">
        <f>(VLOOKUP(YEAR($A93),'NY East Load Projections'!$A$4:$EO$14,((MONTH($A93)-1)*12)+VLOOKUP(N$4,$DE$6:$DF$17,2)+1))*(VLOOKUP($A93,CURVES!$D$9:$K$261,8))*(INDEX(DailyScalarsTable,N$5/100,MONTH($A93)))*$B93</f>
        <v>-57262.888502633556</v>
      </c>
      <c r="O93" s="1021">
        <f>(VLOOKUP(YEAR($A93),'NY East Load Projections'!$A$4:$EO$14,((MONTH($A93)-1)*12)+VLOOKUP(O$4,$DE$6:$DF$17,2)+1))*(VLOOKUP($A93,CURVES!$D$9:$K$261,4))*(INDEX(DailyScalarsTable,O$5/100,MONTH($A93)))*$B93</f>
        <v>-70781.2186161258</v>
      </c>
      <c r="P93" s="1021">
        <f>(VLOOKUP(YEAR($A93),'NY East Load Projections'!$A$4:$EO$14,((MONTH($A93)-1)*12)+VLOOKUP(P$4,$DE$6:$DF$17,2)+1))*(VLOOKUP($A93,CURVES!$D$9:$K$261,4))*(INDEX(DailyScalarsTable,P$5/100,MONTH($A93)))*$B93</f>
        <v>-77623.297570478491</v>
      </c>
      <c r="Q93" s="1021">
        <f>(VLOOKUP(YEAR($A93),'NY East Load Projections'!$A$4:$EO$14,((MONTH($A93)-1)*12)+VLOOKUP(Q$4,$DE$6:$DF$17,2)+1))*(VLOOKUP($A93,CURVES!$D$9:$K$261,4))*(INDEX(DailyScalarsTable,Q$5/100,MONTH($A93)))*$B93</f>
        <v>-74390.726738076526</v>
      </c>
      <c r="R93" s="1021">
        <f>(VLOOKUP(YEAR($A93),'NY East Load Projections'!$A$4:$EO$14,((MONTH($A93)-1)*12)+VLOOKUP(R$4,$DE$6:$DF$17,2)+1))*(VLOOKUP($A93,CURVES!$D$9:$K$261,4))*(INDEX(DailyScalarsTable,R$5/100,MONTH($A93)))*$B93</f>
        <v>-75924.364305362367</v>
      </c>
      <c r="S93" s="1021">
        <f>(VLOOKUP(YEAR($A93),'NY East Load Projections'!$A$4:$EO$14,((MONTH($A93)-1)*12)+VLOOKUP(S$4,$DE$6:$DF$17,2)+1))*(VLOOKUP($A93,CURVES!$D$9:$K$261,4))*(INDEX(DailyScalarsTable,S$5/100,MONTH($A93)))*$B93</f>
        <v>-76073.239900759174</v>
      </c>
      <c r="T93" s="1021">
        <f>(VLOOKUP(YEAR($A93),'NY East Load Projections'!$A$4:$EO$14,((MONTH($A93)-1)*12)+VLOOKUP(T$4,$DE$6:$DF$17,2)+1))*(VLOOKUP($A93,CURVES!$D$9:$K$261,4))*(INDEX(DailyScalarsTable,T$5/100,MONTH($A93)))*$B93</f>
        <v>-71506.063373009689</v>
      </c>
      <c r="U93" s="1021">
        <f>(VLOOKUP(YEAR($A93),'NY East Load Projections'!$A$4:$EO$14,((MONTH($A93)-1)*12)+VLOOKUP(U$4,$DE$6:$DF$17,2)+1))*(VLOOKUP($A93,CURVES!$D$9:$K$261,4))*(INDEX(DailyScalarsTable,U$5/100,MONTH($A93)))*$B93</f>
        <v>-71583.059973370153</v>
      </c>
      <c r="V93" s="1021">
        <f>(VLOOKUP(YEAR($A93),'NY East Load Projections'!$A$4:$EO$14,((MONTH($A93)-1)*12)+VLOOKUP(V$4,$DE$6:$DF$17,2)+1))*(VLOOKUP($A93,CURVES!$D$9:$K$261,4))*(INDEX(DailyScalarsTable,V$5/100,MONTH($A93)))*$B93</f>
        <v>-67139.903211391866</v>
      </c>
      <c r="W93" s="1021">
        <f>(VLOOKUP(YEAR($A93),'NY East Load Projections'!$A$4:$EO$14,((MONTH($A93)-1)*12)+VLOOKUP(W$4,$DE$6:$DF$17,2)+1))*(VLOOKUP($A93,CURVES!$D$9:$K$261,4))*(INDEX(DailyScalarsTable,W$5/100,MONTH($A93)))*$B93</f>
        <v>-62749.964687898057</v>
      </c>
      <c r="X93" s="1021">
        <f>(VLOOKUP(YEAR($A93),'NY East Load Projections'!$A$4:$EO$14,((MONTH($A93)-1)*12)+VLOOKUP(X$4,$DE$6:$DF$17,2)+1))*(VLOOKUP($A93,CURVES!$D$9:$K$261,4))*(INDEX(DailyScalarsTable,X$5/100,MONTH($A93)))*$B93</f>
        <v>-58409.93769803497</v>
      </c>
      <c r="Y93" s="1021">
        <f>(VLOOKUP(YEAR($A93),'NY East Load Projections'!$A$4:$EO$14,((MONTH($A93)-1)*12)+VLOOKUP(Y$4,$DE$6:$DF$17,2)+1))*(VLOOKUP($A93,CURVES!$D$9:$K$261,4))*(INDEX(DailyScalarsTable,Y$5/100,MONTH($A93)))*$B93</f>
        <v>-57650.286493651976</v>
      </c>
      <c r="Z93" s="1021">
        <f>(VLOOKUP(YEAR($A93),'NY East Load Projections'!$A$4:$EO$14,((MONTH($A93)-1)*12)+VLOOKUP(Z$4,$DE$6:$DF$17,2)+1))*(VLOOKUP($A93,CURVES!$D$9:$K$261,4))*(INDEX(DailyScalarsTable,Z$5/100,MONTH($A93)))*$B93</f>
        <v>-57341.239204244397</v>
      </c>
      <c r="AA93" s="1021">
        <f>(VLOOKUP(YEAR($A93),'NY East Load Projections'!$A$4:$EO$14,((MONTH($A93)-1)*12)+VLOOKUP(AA$4,$DE$6:$DF$17,2)+1))*(VLOOKUP($A93,CURVES!$D$9:$K$261,4))*(INDEX(DailyScalarsTable,AA$5/100,MONTH($A93)))*$B93</f>
        <v>-62894.365149229074</v>
      </c>
      <c r="AB93" s="1021">
        <f>(VLOOKUP(YEAR($A93),'NY East Load Projections'!$A$4:$EO$14,((MONTH($A93)-1)*12)+VLOOKUP(AB$4,$DE$6:$DF$17,2)+1))*(VLOOKUP($A93,CURVES!$D$9:$K$261,4))*(INDEX(DailyScalarsTable,AB$5/100,MONTH($A93)))*$B93</f>
        <v>-70558.593630706862</v>
      </c>
      <c r="AC93" s="1021">
        <f>(VLOOKUP(YEAR($A93),'NY East Load Projections'!$A$4:$EO$14,((MONTH($A93)-1)*12)+VLOOKUP(AC$4,$DE$6:$DF$17,2)+1))*(VLOOKUP($A93,CURVES!$D$9:$K$261,4))*(INDEX(DailyScalarsTable,AC$5/100,MONTH($A93)))*$B93</f>
        <v>-60121.246207734272</v>
      </c>
      <c r="AD93" s="1021">
        <f>(VLOOKUP(YEAR($A93),'NY East Load Projections'!$A$4:$EO$14,((MONTH($A93)-1)*12)+VLOOKUP(AD$4,$DE$6:$DF$17,2)+1))*(VLOOKUP($A93,CURVES!$D$9:$K$261,4))*(INDEX(DailyScalarsTable,AD$5/100,MONTH($A93)))*$B93</f>
        <v>-53113.495647470976</v>
      </c>
      <c r="AE93" s="1021">
        <f>(VLOOKUP(YEAR($A93),'NY East Load Projections'!$A$4:$EO$14,((MONTH($A93)-1)*12)+VLOOKUP(AE$4,$DE$6:$DF$17,2)+1))*(VLOOKUP($A93,CURVES!$D$9:$K$261,8))*(INDEX(DailyScalarsTable,AE$5/100,MONTH($A93)))*$B93</f>
        <v>-39104.12030190682</v>
      </c>
      <c r="AF93" s="1021"/>
      <c r="AG93" s="1021">
        <f>(VLOOKUP(YEAR($A93),'NY East Load Projections'!$A$4:$EO$14,((MONTH($A93)-1)*12)+VLOOKUP(AG$4,$DE$6:$DF$17,2)+1))*(VLOOKUP($A93,CURVES!$D$9:$T$261,8))*(INDEX(DailyScalarsTable,AG$5/100,MONTH($A93)))*$C93</f>
        <v>-6311.0009769176904</v>
      </c>
      <c r="AH93" s="1021">
        <f>(VLOOKUP(YEAR($A93),'NY East Load Projections'!$A$4:$EO$14,((MONTH($A93)-1)*12)+VLOOKUP(AH$4,$DE$6:$DF$17,2)+1))*(VLOOKUP($A93,CURVES!$D$9:$T$261,8))*(INDEX(DailyScalarsTable,AH$5/100,MONTH($A93)))*$C93</f>
        <v>-5985.8064016267217</v>
      </c>
      <c r="AI93" s="1021">
        <f>(VLOOKUP(YEAR($A93),'NY East Load Projections'!$A$4:$EO$14,((MONTH($A93)-1)*12)+VLOOKUP(AI$4,$DE$6:$DF$17,2)+1))*(VLOOKUP($A93,CURVES!$D$9:$T$261,8))*(INDEX(DailyScalarsTable,AI$5/100,MONTH($A93)))*$C93</f>
        <v>-5745.1595278601098</v>
      </c>
      <c r="AJ93" s="1021">
        <f>(VLOOKUP(YEAR($A93),'NY East Load Projections'!$A$4:$EO$14,((MONTH($A93)-1)*12)+VLOOKUP(AJ$4,$DE$6:$DF$17,2)+1))*(VLOOKUP($A93,CURVES!$D$9:$T$261,8))*(INDEX(DailyScalarsTable,AJ$5/100,MONTH($A93)))*$C93</f>
        <v>-5748.5529881262482</v>
      </c>
      <c r="AK93" s="1021">
        <f>(VLOOKUP(YEAR($A93),'NY East Load Projections'!$A$4:$EO$14,((MONTH($A93)-1)*12)+VLOOKUP(AK$4,$DE$6:$DF$17,2)+1))*(VLOOKUP($A93,CURVES!$D$9:$T$261,8))*(INDEX(DailyScalarsTable,AK$5/100,MONTH($A93)))*$C93</f>
        <v>-6257.4041080335919</v>
      </c>
      <c r="AL93" s="1021">
        <f>(VLOOKUP(YEAR($A93),'NY East Load Projections'!$A$4:$EO$14,((MONTH($A93)-1)*12)+VLOOKUP(AL$4,$DE$6:$DF$17,2)+1))*(VLOOKUP($A93,CURVES!$D$9:$T$261,8))*(INDEX(DailyScalarsTable,AL$5/100,MONTH($A93)))*$C93</f>
        <v>-7207.9987748732156</v>
      </c>
      <c r="AM93" s="1021">
        <f>(VLOOKUP(YEAR($A93),'NY East Load Projections'!$A$4:$EO$14,((MONTH($A93)-1)*12)+VLOOKUP(AM$4,$DE$6:$DF$17,2)+1))*(VLOOKUP($A93,CURVES!$D$9:$T$261,8))*(INDEX(DailyScalarsTable,AM$5/100,MONTH($A93)))*$C93</f>
        <v>-10280.700336931704</v>
      </c>
      <c r="AN93" s="1021">
        <f>(VLOOKUP(YEAR($A93),'NY East Load Projections'!$A$4:$EO$14,((MONTH($A93)-1)*12)+VLOOKUP(AN$4,$DE$6:$DF$17,2)+1))*(VLOOKUP($A93,SatSunCurve,4))*(INDEX(DailyScalarsTable,AN$5/100,MONTH($A93)))*$C93</f>
        <v>-8939.1871527422863</v>
      </c>
      <c r="AO93" s="1021">
        <f>(VLOOKUP(YEAR($A93),'NY East Load Projections'!$A$4:$EO$14,((MONTH($A93)-1)*12)+VLOOKUP(AO$4,$DE$6:$DF$17,2)+1))*(VLOOKUP($A93,SatSunCurve,4))*(INDEX(DailyScalarsTable,AO$5/100,MONTH($A93)))*$C93</f>
        <v>-9780.4184252439809</v>
      </c>
      <c r="AP93" s="1021">
        <f>(VLOOKUP(YEAR($A93),'NY East Load Projections'!$A$4:$EO$14,((MONTH($A93)-1)*12)+VLOOKUP(AP$4,$DE$6:$DF$17,2)+1))*(VLOOKUP($A93,SatSunCurve,4))*(INDEX(DailyScalarsTable,AP$5/100,MONTH($A93)))*$C93</f>
        <v>-9373.1193756071807</v>
      </c>
      <c r="AQ93" s="1021">
        <f>(VLOOKUP(YEAR($A93),'NY East Load Projections'!$A$4:$EO$14,((MONTH($A93)-1)*12)+VLOOKUP(AQ$4,$DE$6:$DF$17,2)+1))*(VLOOKUP($A93,SatSunCurve,4))*(INDEX(DailyScalarsTable,AQ$5/100,MONTH($A93)))*$C93</f>
        <v>-9566.3553961087546</v>
      </c>
      <c r="AR93" s="1021">
        <f>(VLOOKUP(YEAR($A93),'NY East Load Projections'!$A$4:$EO$14,((MONTH($A93)-1)*12)+VLOOKUP(AR$4,$DE$6:$DF$17,2)+1))*(VLOOKUP($A93,SatSunCurve,4))*(INDEX(DailyScalarsTable,AR$5/100,MONTH($A93)))*$C93</f>
        <v>-9585.11349659999</v>
      </c>
      <c r="AS93" s="1021">
        <f>(VLOOKUP(YEAR($A93),'NY East Load Projections'!$A$4:$EO$14,((MONTH($A93)-1)*12)+VLOOKUP(AS$4,$DE$6:$DF$17,2)+1))*(VLOOKUP($A93,SatSunCurve,4))*(INDEX(DailyScalarsTable,AS$5/100,MONTH($A93)))*$C93</f>
        <v>-8838.8893940650905</v>
      </c>
      <c r="AT93" s="1021">
        <f>(VLOOKUP(YEAR($A93),'NY East Load Projections'!$A$4:$EO$14,((MONTH($A93)-1)*12)+VLOOKUP(AT$4,$DE$6:$DF$17,2)+1))*(VLOOKUP($A93,SatSunCurve,4))*(INDEX(DailyScalarsTable,AT$5/100,MONTH($A93)))*$C93</f>
        <v>-8848.4069706481423</v>
      </c>
      <c r="AU93" s="1021">
        <f>(VLOOKUP(YEAR($A93),'NY East Load Projections'!$A$4:$EO$14,((MONTH($A93)-1)*12)+VLOOKUP(AU$4,$DE$6:$DF$17,2)+1))*(VLOOKUP($A93,SatSunCurve,4))*(INDEX(DailyScalarsTable,AU$5/100,MONTH($A93)))*$C93</f>
        <v>-8299.186816061334</v>
      </c>
      <c r="AV93" s="1021">
        <f>(VLOOKUP(YEAR($A93),'NY East Load Projections'!$A$4:$EO$14,((MONTH($A93)-1)*12)+VLOOKUP(AV$4,$DE$6:$DF$17,2)+1))*(VLOOKUP($A93,SatSunCurve,4))*(INDEX(DailyScalarsTable,AV$5/100,MONTH($A93)))*$C93</f>
        <v>-7756.5449864657585</v>
      </c>
      <c r="AW93" s="1021">
        <f>(VLOOKUP(YEAR($A93),'NY East Load Projections'!$A$4:$EO$14,((MONTH($A93)-1)*12)+VLOOKUP(AW$4,$DE$6:$DF$17,2)+1))*(VLOOKUP($A93,SatSunCurve,4))*(INDEX(DailyScalarsTable,AW$5/100,MONTH($A93)))*$C93</f>
        <v>-7138.0806490139121</v>
      </c>
      <c r="AX93" s="1021">
        <f>(VLOOKUP(YEAR($A93),'NY East Load Projections'!$A$4:$EO$14,((MONTH($A93)-1)*12)+VLOOKUP(AX$4,$DE$6:$DF$17,2)+1))*(VLOOKUP($A93,SatSunCurve,4))*(INDEX(DailyScalarsTable,AX$5/100,MONTH($A93)))*$C93</f>
        <v>-7045.2462482987612</v>
      </c>
      <c r="AY93" s="1021">
        <f>(VLOOKUP(YEAR($A93),'NY East Load Projections'!$A$4:$EO$14,((MONTH($A93)-1)*12)+VLOOKUP(AY$4,$DE$6:$DF$17,2)+1))*(VLOOKUP($A93,SatSunCurve,4))*(INDEX(DailyScalarsTable,AY$5/100,MONTH($A93)))*$C93</f>
        <v>-7007.4786258172071</v>
      </c>
      <c r="AZ93" s="1021">
        <f>(VLOOKUP(YEAR($A93),'NY East Load Projections'!$A$4:$EO$14,((MONTH($A93)-1)*12)+VLOOKUP(AZ$4,$DE$6:$DF$17,2)+1))*(VLOOKUP($A93,SatSunCurve,4))*(INDEX(DailyScalarsTable,AZ$5/100,MONTH($A93)))*$C93</f>
        <v>-7686.1073388686464</v>
      </c>
      <c r="BA93" s="1021">
        <f>(VLOOKUP(YEAR($A93),'NY East Load Projections'!$A$4:$EO$14,((MONTH($A93)-1)*12)+VLOOKUP(BA$4,$DE$6:$DF$17,2)+1))*(VLOOKUP($A93,SatSunCurve,4))*(INDEX(DailyScalarsTable,BA$5/100,MONTH($A93)))*$C93</f>
        <v>-9094.940682404791</v>
      </c>
      <c r="BB93" s="1021">
        <f>(VLOOKUP(YEAR($A93),'NY East Load Projections'!$A$4:$EO$14,((MONTH($A93)-1)*12)+VLOOKUP(BB$4,$DE$6:$DF$17,2)+1))*(VLOOKUP($A93,SatSunCurve,4))*(INDEX(DailyScalarsTable,BB$5/100,MONTH($A93)))*$C93</f>
        <v>-7749.5757763180818</v>
      </c>
      <c r="BC93" s="1021">
        <f>(VLOOKUP(YEAR($A93),'NY East Load Projections'!$A$4:$EO$14,((MONTH($A93)-1)*12)+VLOOKUP(BC$4,$DE$6:$DF$17,2)+1))*(VLOOKUP($A93,SatSunCurve,4))*(INDEX(DailyScalarsTable,BC$5/100,MONTH($A93)))*$C93</f>
        <v>-6846.2828904612088</v>
      </c>
      <c r="BD93" s="1021">
        <f>(VLOOKUP(YEAR($A93),'NY East Load Projections'!$A$4:$EO$14,((MONTH($A93)-1)*12)+VLOOKUP(BD$4,$DE$6:$DF$17,2)+1))*(VLOOKUP($A93,CURVES!$D$9:$T$261,8))*(INDEX(DailyScalarsTable,BD$5/100,MONTH($A93)))*$C93</f>
        <v>-7165.4245960231165</v>
      </c>
      <c r="BE93" s="1021"/>
      <c r="BF93" s="1021">
        <f>(VLOOKUP(YEAR($A93),'NY East Load Projections'!$A$4:$EO$14,((MONTH($A93)-1)*12)+VLOOKUP(BF$4,$DE$6:$DF$17,2)+1))*(VLOOKUP($A93,CURVES!$D$9:$T$261,8))*(INDEX(DailyScalarsTable,BF$5/100,MONTH($A93)))*$D93</f>
        <v>-6311.0009769176904</v>
      </c>
      <c r="BG93" s="1021">
        <f>(VLOOKUP(YEAR($A93),'NY East Load Projections'!$A$4:$EO$14,((MONTH($A93)-1)*12)+VLOOKUP(BG$4,$DE$6:$DF$17,2)+1))*(VLOOKUP($A93,CURVES!$D$9:$T$261,8))*(INDEX(DailyScalarsTable,BG$5/100,MONTH($A93)))*$D93</f>
        <v>-5985.8064016267217</v>
      </c>
      <c r="BH93" s="1021">
        <f>(VLOOKUP(YEAR($A93),'NY East Load Projections'!$A$4:$EO$14,((MONTH($A93)-1)*12)+VLOOKUP(BH$4,$DE$6:$DF$17,2)+1))*(VLOOKUP($A93,CURVES!$D$9:$T$261,8))*(INDEX(DailyScalarsTable,BH$5/100,MONTH($A93)))*$D93</f>
        <v>-5745.1595278601098</v>
      </c>
      <c r="BI93" s="1021">
        <f>(VLOOKUP(YEAR($A93),'NY East Load Projections'!$A$4:$EO$14,((MONTH($A93)-1)*12)+VLOOKUP(BI$4,$DE$6:$DF$17,2)+1))*(VLOOKUP($A93,CURVES!$D$9:$T$261,8))*(INDEX(DailyScalarsTable,BI$5/100,MONTH($A93)))*$D93</f>
        <v>-5748.5529881262482</v>
      </c>
      <c r="BJ93" s="1021">
        <f>(VLOOKUP(YEAR($A93),'NY East Load Projections'!$A$4:$EO$14,((MONTH($A93)-1)*12)+VLOOKUP(BJ$4,$DE$6:$DF$17,2)+1))*(VLOOKUP($A93,CURVES!$D$9:$T$261,8))*(INDEX(DailyScalarsTable,BJ$5/100,MONTH($A93)))*$D93</f>
        <v>-6257.4041080335919</v>
      </c>
      <c r="BK93" s="1021">
        <f>(VLOOKUP(YEAR($A93),'NY East Load Projections'!$A$4:$EO$14,((MONTH($A93)-1)*12)+VLOOKUP(BK$4,$DE$6:$DF$17,2)+1))*(VLOOKUP($A93,CURVES!$D$9:$T$261,8))*(INDEX(DailyScalarsTable,BK$5/100,MONTH($A93)))*$D93</f>
        <v>-7207.9987748732156</v>
      </c>
      <c r="BL93" s="1021">
        <f>(VLOOKUP(YEAR($A93),'NY East Load Projections'!$A$4:$EO$14,((MONTH($A93)-1)*12)+VLOOKUP(BL$4,$DE$6:$DF$17,2)+1))*(VLOOKUP($A93,CURVES!$D$9:$T$261,8))*(INDEX(DailyScalarsTable,BL$5/100,MONTH($A93)))*$D93</f>
        <v>-10280.700336931704</v>
      </c>
      <c r="BM93" s="1021">
        <f>(VLOOKUP(YEAR($A93),'NY East Load Projections'!$A$4:$EO$14,((MONTH($A93)-1)*12)+VLOOKUP(BM$4,$DE$6:$DF$17,2)+1))*(VLOOKUP($A93,SatSunCurve,8))*(INDEX(DailyScalarsTable,BM$5/100,MONTH($A93)))*$D93</f>
        <v>-9549.2737866226016</v>
      </c>
      <c r="BN93" s="1021">
        <f>(VLOOKUP(YEAR($A93),'NY East Load Projections'!$A$4:$EO$14,((MONTH($A93)-1)*12)+VLOOKUP(BN$4,$DE$6:$DF$17,2)+1))*(VLOOKUP($A93,SatSunCurve,8))*(INDEX(DailyScalarsTable,BN$5/100,MONTH($A93)))*$D93</f>
        <v>-10447.917880512421</v>
      </c>
      <c r="BO93" s="1021">
        <f>(VLOOKUP(YEAR($A93),'NY East Load Projections'!$A$4:$EO$14,((MONTH($A93)-1)*12)+VLOOKUP(BO$4,$DE$6:$DF$17,2)+1))*(VLOOKUP($A93,SatSunCurve,8))*(INDEX(DailyScalarsTable,BO$5/100,MONTH($A93)))*$D93</f>
        <v>-10012.82125801696</v>
      </c>
      <c r="BP93" s="1021">
        <f>(VLOOKUP(YEAR($A93),'NY East Load Projections'!$A$4:$EO$14,((MONTH($A93)-1)*12)+VLOOKUP(BP$4,$DE$6:$DF$17,2)+1))*(VLOOKUP($A93,SatSunCurve,8))*(INDEX(DailyScalarsTable,BP$5/100,MONTH($A93)))*$D93</f>
        <v>-10219.245358293336</v>
      </c>
      <c r="BQ93" s="1021">
        <f>(VLOOKUP(YEAR($A93),'NY East Load Projections'!$A$4:$EO$14,((MONTH($A93)-1)*12)+VLOOKUP(BQ$4,$DE$6:$DF$17,2)+1))*(VLOOKUP($A93,SatSunCurve,8))*(INDEX(DailyScalarsTable,BQ$5/100,MONTH($A93)))*$D93</f>
        <v>-10239.283672096042</v>
      </c>
      <c r="BR93" s="1021">
        <f>(VLOOKUP(YEAR($A93),'NY East Load Projections'!$A$4:$EO$14,((MONTH($A93)-1)*12)+VLOOKUP(BR$4,$DE$6:$DF$17,2)+1))*(VLOOKUP($A93,SatSunCurve,8))*(INDEX(DailyScalarsTable,BR$5/100,MONTH($A93)))*$D93</f>
        <v>-9442.1308505336856</v>
      </c>
      <c r="BS93" s="1021">
        <f>(VLOOKUP(YEAR($A93),'NY East Load Projections'!$A$4:$EO$14,((MONTH($A93)-1)*12)+VLOOKUP(BS$4,$DE$6:$DF$17,2)+1))*(VLOOKUP($A93,SatSunCurve,8))*(INDEX(DailyScalarsTable,BS$5/100,MONTH($A93)))*$D93</f>
        <v>-9452.2979879952636</v>
      </c>
      <c r="BT93" s="1021">
        <f>(VLOOKUP(YEAR($A93),'NY East Load Projections'!$A$4:$EO$14,((MONTH($A93)-1)*12)+VLOOKUP(BT$4,$DE$6:$DF$17,2)+1))*(VLOOKUP($A93,SatSunCurve,8))*(INDEX(DailyScalarsTable,BT$5/100,MONTH($A93)))*$D93</f>
        <v>-8865.5943497710978</v>
      </c>
      <c r="BU93" s="1021">
        <f>(VLOOKUP(YEAR($A93),'NY East Load Projections'!$A$4:$EO$14,((MONTH($A93)-1)*12)+VLOOKUP(BU$4,$DE$6:$DF$17,2)+1))*(VLOOKUP($A93,SatSunCurve,8))*(INDEX(DailyScalarsTable,BU$5/100,MONTH($A93)))*$D93</f>
        <v>-8285.9179977336171</v>
      </c>
      <c r="BV93" s="1021">
        <f>(VLOOKUP(YEAR($A93),'NY East Load Projections'!$A$4:$EO$14,((MONTH($A93)-1)*12)+VLOOKUP(BV$4,$DE$6:$DF$17,2)+1))*(VLOOKUP($A93,SatSunCurve,8))*(INDEX(DailyScalarsTable,BV$5/100,MONTH($A93)))*$D93</f>
        <v>-7625.2443610061364</v>
      </c>
      <c r="BW93" s="1021">
        <f>(VLOOKUP(YEAR($A93),'NY East Load Projections'!$A$4:$EO$14,((MONTH($A93)-1)*12)+VLOOKUP(BW$4,$DE$6:$DF$17,2)+1))*(VLOOKUP($A93,SatSunCurve,8))*(INDEX(DailyScalarsTable,BW$5/100,MONTH($A93)))*$D93</f>
        <v>-7526.0741462988572</v>
      </c>
      <c r="BX93" s="1021">
        <f>(VLOOKUP(YEAR($A93),'NY East Load Projections'!$A$4:$EO$14,((MONTH($A93)-1)*12)+VLOOKUP(BX$4,$DE$6:$DF$17,2)+1))*(VLOOKUP($A93,SatSunCurve,8))*(INDEX(DailyScalarsTable,BX$5/100,MONTH($A93)))*$D93</f>
        <v>-7485.7289380395659</v>
      </c>
      <c r="BY93" s="1021">
        <f>(VLOOKUP(YEAR($A93),'NY East Load Projections'!$A$4:$EO$14,((MONTH($A93)-1)*12)+VLOOKUP(BY$4,$DE$6:$DF$17,2)+1))*(VLOOKUP($A93,SatSunCurve,8))*(INDEX(DailyScalarsTable,BY$5/100,MONTH($A93)))*$D93</f>
        <v>-8210.6730822511054</v>
      </c>
      <c r="BZ93" s="1021">
        <f>(VLOOKUP(YEAR($A93),'NY East Load Projections'!$A$4:$EO$14,((MONTH($A93)-1)*12)+VLOOKUP(BZ$4,$DE$6:$DF$17,2)+1))*(VLOOKUP($A93,SatSunCurve,8))*(INDEX(DailyScalarsTable,BZ$5/100,MONTH($A93)))*$D93</f>
        <v>-9715.657270105643</v>
      </c>
      <c r="CA93" s="1021">
        <f>(VLOOKUP(YEAR($A93),'NY East Load Projections'!$A$4:$EO$14,((MONTH($A93)-1)*12)+VLOOKUP(CA$4,$DE$6:$DF$17,2)+1))*(VLOOKUP($A93,SatSunCurve,8))*(INDEX(DailyScalarsTable,CA$5/100,MONTH($A93)))*$D93</f>
        <v>-8278.4731490421727</v>
      </c>
      <c r="CB93" s="1021">
        <f>(VLOOKUP(YEAR($A93),'NY East Load Projections'!$A$4:$EO$14,((MONTH($A93)-1)*12)+VLOOKUP(CB$4,$DE$6:$DF$17,2)+1))*(VLOOKUP($A93,SatSunCurve,8))*(INDEX(DailyScalarsTable,CB$5/100,MONTH($A93)))*$D93</f>
        <v>-7313.5318261714938</v>
      </c>
      <c r="CC93" s="1021">
        <f>(VLOOKUP(YEAR($A93),'NY East Load Projections'!$A$4:$EO$14,((MONTH($A93)-1)*12)+VLOOKUP(CC$4,$DE$6:$DF$17,2)+1))*(VLOOKUP($A93,CURVES!$D$9:$T$261,8))*(INDEX(DailyScalarsTable,CC$5/100,MONTH($A93)))*$D93</f>
        <v>-7165.4245960231165</v>
      </c>
      <c r="CE93" s="1021">
        <f>(VLOOKUP(YEAR($A93),'NY East Load Projections'!$A$4:$EO$14,((MONTH($A93)-1)*12)+VLOOKUP(CE$4,$DE$6:$DF$17,2)+1))*(VLOOKUP($A93,CURVES!$D$9:$T$261,8))*(INDEX(DailyScalarsTable,CE$5/100,MONTH($A93)))*$E93</f>
        <v>0</v>
      </c>
      <c r="CF93" s="1021">
        <f>(VLOOKUP(YEAR($A93),'NY East Load Projections'!$A$4:$EO$14,((MONTH($A93)-1)*12)+VLOOKUP(CF$4,$DE$6:$DF$17,2)+1))*(VLOOKUP($A93,CURVES!$D$9:$T$261,8))*(INDEX(DailyScalarsTable,CF$5/100,MONTH($A93)))*$E93</f>
        <v>0</v>
      </c>
      <c r="CG93" s="1021">
        <f>(VLOOKUP(YEAR($A93),'NY East Load Projections'!$A$4:$EO$14,((MONTH($A93)-1)*12)+VLOOKUP(CG$4,$DE$6:$DF$17,2)+1))*(VLOOKUP($A93,CURVES!$D$9:$T$261,8))*(INDEX(DailyScalarsTable,CG$5/100,MONTH($A93)))*$E93</f>
        <v>0</v>
      </c>
      <c r="CH93" s="1021">
        <f>(VLOOKUP(YEAR($A93),'NY East Load Projections'!$A$4:$EO$14,((MONTH($A93)-1)*12)+VLOOKUP(CH$4,$DE$6:$DF$17,2)+1))*(VLOOKUP($A93,CURVES!$D$9:$T$261,8))*(INDEX(DailyScalarsTable,CH$5/100,MONTH($A93)))*$E93</f>
        <v>0</v>
      </c>
      <c r="CI93" s="1021">
        <f>(VLOOKUP(YEAR($A93),'NY East Load Projections'!$A$4:$EO$14,((MONTH($A93)-1)*12)+VLOOKUP(CI$4,$DE$6:$DF$17,2)+1))*(VLOOKUP($A93,CURVES!$D$9:$T$261,8))*(INDEX(DailyScalarsTable,CI$5/100,MONTH($A93)))*$E93</f>
        <v>0</v>
      </c>
      <c r="CJ93" s="1021">
        <f>(VLOOKUP(YEAR($A93),'NY East Load Projections'!$A$4:$EO$14,((MONTH($A93)-1)*12)+VLOOKUP(CJ$4,$DE$6:$DF$17,2)+1))*(VLOOKUP($A93,CURVES!$D$9:$T$261,8))*(INDEX(DailyScalarsTable,CJ$5/100,MONTH($A93)))*$E93</f>
        <v>0</v>
      </c>
      <c r="CK93" s="1021">
        <f>(VLOOKUP(YEAR($A93),'NY East Load Projections'!$A$4:$EO$14,((MONTH($A93)-1)*12)+VLOOKUP(CK$4,$DE$6:$DF$17,2)+1))*(VLOOKUP($A93,CURVES!$D$9:$T$261,8))*(INDEX(DailyScalarsTable,CK$5/100,MONTH($A93)))*$E93</f>
        <v>0</v>
      </c>
      <c r="CL93" s="1021">
        <f>(VLOOKUP(YEAR($A93),'NY East Load Projections'!$A$4:$EO$14,((MONTH($A93)-1)*12)+VLOOKUP(CL$4,$DE$6:$DF$17,2)+1))*(VLOOKUP($A93,SatSunCurve,8))*(INDEX(DailyScalarsTable,CL$5/100,MONTH($A93)))*$E93</f>
        <v>0</v>
      </c>
      <c r="CM93" s="1021">
        <f>(VLOOKUP(YEAR($A93),'NY East Load Projections'!$A$4:$EO$14,((MONTH($A93)-1)*12)+VLOOKUP(CM$4,$DE$6:$DF$17,2)+1))*(VLOOKUP($A93,SatSunCurve,8))*(INDEX(DailyScalarsTable,CM$5/100,MONTH($A93)))*$E93</f>
        <v>0</v>
      </c>
      <c r="CN93" s="1021">
        <f>(VLOOKUP(YEAR($A93),'NY East Load Projections'!$A$4:$EO$14,((MONTH($A93)-1)*12)+VLOOKUP(CN$4,$DE$6:$DF$17,2)+1))*(VLOOKUP($A93,SatSunCurve,8))*(INDEX(DailyScalarsTable,CN$5/100,MONTH($A93)))*$E93</f>
        <v>0</v>
      </c>
      <c r="CO93" s="1021">
        <f>(VLOOKUP(YEAR($A93),'NY East Load Projections'!$A$4:$EO$14,((MONTH($A93)-1)*12)+VLOOKUP(CO$4,$DE$6:$DF$17,2)+1))*(VLOOKUP($A93,SatSunCurve,8))*(INDEX(DailyScalarsTable,CO$5/100,MONTH($A93)))*$E93</f>
        <v>0</v>
      </c>
      <c r="CP93" s="1021">
        <f>(VLOOKUP(YEAR($A93),'NY East Load Projections'!$A$4:$EO$14,((MONTH($A93)-1)*12)+VLOOKUP(CP$4,$DE$6:$DF$17,2)+1))*(VLOOKUP($A93,SatSunCurve,8))*(INDEX(DailyScalarsTable,CP$5/100,MONTH($A93)))*$E93</f>
        <v>0</v>
      </c>
      <c r="CQ93" s="1021">
        <f>(VLOOKUP(YEAR($A93),'NY East Load Projections'!$A$4:$EO$14,((MONTH($A93)-1)*12)+VLOOKUP(CQ$4,$DE$6:$DF$17,2)+1))*(VLOOKUP($A93,SatSunCurve,8))*(INDEX(DailyScalarsTable,CQ$5/100,MONTH($A93)))*$E93</f>
        <v>0</v>
      </c>
      <c r="CR93" s="1021">
        <f>(VLOOKUP(YEAR($A93),'NY East Load Projections'!$A$4:$EO$14,((MONTH($A93)-1)*12)+VLOOKUP(CR$4,$DE$6:$DF$17,2)+1))*(VLOOKUP($A93,SatSunCurve,8))*(INDEX(DailyScalarsTable,CR$5/100,MONTH($A93)))*$E93</f>
        <v>0</v>
      </c>
      <c r="CS93" s="1021">
        <f>(VLOOKUP(YEAR($A93),'NY East Load Projections'!$A$4:$EO$14,((MONTH($A93)-1)*12)+VLOOKUP(CS$4,$DE$6:$DF$17,2)+1))*(VLOOKUP($A93,SatSunCurve,8))*(INDEX(DailyScalarsTable,CS$5/100,MONTH($A93)))*$E93</f>
        <v>0</v>
      </c>
      <c r="CT93" s="1021">
        <f>(VLOOKUP(YEAR($A93),'NY East Load Projections'!$A$4:$EO$14,((MONTH($A93)-1)*12)+VLOOKUP(CT$4,$DE$6:$DF$17,2)+1))*(VLOOKUP($A93,SatSunCurve,8))*(INDEX(DailyScalarsTable,CT$5/100,MONTH($A93)))*$E93</f>
        <v>0</v>
      </c>
      <c r="CU93" s="1021">
        <f>(VLOOKUP(YEAR($A93),'NY East Load Projections'!$A$4:$EO$14,((MONTH($A93)-1)*12)+VLOOKUP(CU$4,$DE$6:$DF$17,2)+1))*(VLOOKUP($A93,SatSunCurve,8))*(INDEX(DailyScalarsTable,CU$5/100,MONTH($A93)))*$E93</f>
        <v>0</v>
      </c>
      <c r="CV93" s="1021">
        <f>(VLOOKUP(YEAR($A93),'NY East Load Projections'!$A$4:$EO$14,((MONTH($A93)-1)*12)+VLOOKUP(CV$4,$DE$6:$DF$17,2)+1))*(VLOOKUP($A93,SatSunCurve,8))*(INDEX(DailyScalarsTable,CV$5/100,MONTH($A93)))*$E93</f>
        <v>0</v>
      </c>
      <c r="CW93" s="1021">
        <f>(VLOOKUP(YEAR($A93),'NY East Load Projections'!$A$4:$EO$14,((MONTH($A93)-1)*12)+VLOOKUP(CW$4,$DE$6:$DF$17,2)+1))*(VLOOKUP($A93,SatSunCurve,8))*(INDEX(DailyScalarsTable,CW$5/100,MONTH($A93)))*$E93</f>
        <v>0</v>
      </c>
      <c r="CX93" s="1021">
        <f>(VLOOKUP(YEAR($A93),'NY East Load Projections'!$A$4:$EO$14,((MONTH($A93)-1)*12)+VLOOKUP(CX$4,$DE$6:$DF$17,2)+1))*(VLOOKUP($A93,SatSunCurve,8))*(INDEX(DailyScalarsTable,CX$5/100,MONTH($A93)))*$E93</f>
        <v>0</v>
      </c>
      <c r="CY93" s="1021">
        <f>(VLOOKUP(YEAR($A93),'NY East Load Projections'!$A$4:$EO$14,((MONTH($A93)-1)*12)+VLOOKUP(CY$4,$DE$6:$DF$17,2)+1))*(VLOOKUP($A93,SatSunCurve,8))*(INDEX(DailyScalarsTable,CY$5/100,MONTH($A93)))*$E93</f>
        <v>0</v>
      </c>
      <c r="CZ93" s="1021">
        <f>(VLOOKUP(YEAR($A93),'NY East Load Projections'!$A$4:$EO$14,((MONTH($A93)-1)*12)+VLOOKUP(CZ$4,$DE$6:$DF$17,2)+1))*(VLOOKUP($A93,SatSunCurve,8))*(INDEX(DailyScalarsTable,CZ$5/100,MONTH($A93)))*$E93</f>
        <v>0</v>
      </c>
      <c r="DA93" s="1021">
        <f>(VLOOKUP(YEAR($A93),'NY East Load Projections'!$A$4:$EO$14,((MONTH($A93)-1)*12)+VLOOKUP(DA$4,$DE$6:$DF$17,2)+1))*(VLOOKUP($A93,SatSunCurve,8))*(INDEX(DailyScalarsTable,DA$5/100,MONTH($A93)))*$E93</f>
        <v>0</v>
      </c>
      <c r="DB93" s="1021">
        <f>(VLOOKUP(YEAR($A93),'NY East Load Projections'!$A$4:$EO$14,((MONTH($A93)-1)*12)+VLOOKUP(DB$4,$DE$6:$DF$17,2)+1))*(VLOOKUP($A93,CURVES!$D$9:$T$261,8))*(INDEX(DailyScalarsTable,DB$5/100,MONTH($A93)))*$E93</f>
        <v>0</v>
      </c>
      <c r="DH93" s="1021">
        <f t="shared" si="2"/>
        <v>-1749962.0187716833</v>
      </c>
      <c r="DI93">
        <f ca="1">CALC!J113</f>
        <v>0.5510607206691106</v>
      </c>
      <c r="DJ93" s="1029">
        <f t="shared" ca="1" si="3"/>
        <v>-964335.33120789542</v>
      </c>
    </row>
    <row r="94" spans="1:114" x14ac:dyDescent="0.25">
      <c r="A94" s="244">
        <v>39569</v>
      </c>
      <c r="B94" s="13">
        <v>21</v>
      </c>
      <c r="C94" s="210">
        <v>5</v>
      </c>
      <c r="D94" s="210">
        <v>4</v>
      </c>
      <c r="E94" s="210">
        <v>1</v>
      </c>
      <c r="F94" s="13">
        <v>31</v>
      </c>
      <c r="H94" s="1021">
        <f>(VLOOKUP(YEAR($A94),'NY East Load Projections'!$A$4:$EO$14,((MONTH($A94)-1)*12)+VLOOKUP(H$4,$DE$6:$DF$17,2)+1))*(VLOOKUP($A94,CURVES!$D$9:$K$261,8))*(INDEX(DailyScalarsTable,H$5/100,MONTH($A94)))*$B94</f>
        <v>-37532.885038242071</v>
      </c>
      <c r="I94" s="1021">
        <f>(VLOOKUP(YEAR($A94),'NY East Load Projections'!$A$4:$EO$14,((MONTH($A94)-1)*12)+VLOOKUP(I$4,$DE$6:$DF$17,2)+1))*(VLOOKUP($A94,CURVES!$D$9:$K$261,8))*(INDEX(DailyScalarsTable,I$5/100,MONTH($A94)))*$B94</f>
        <v>-33808.172372330933</v>
      </c>
      <c r="J94" s="1021">
        <f>(VLOOKUP(YEAR($A94),'NY East Load Projections'!$A$4:$EO$14,((MONTH($A94)-1)*12)+VLOOKUP(J$4,$DE$6:$DF$17,2)+1))*(VLOOKUP($A94,CURVES!$D$9:$K$261,8))*(INDEX(DailyScalarsTable,J$5/100,MONTH($A94)))*$B94</f>
        <v>-31995.0847254324</v>
      </c>
      <c r="K94" s="1021">
        <f>(VLOOKUP(YEAR($A94),'NY East Load Projections'!$A$4:$EO$14,((MONTH($A94)-1)*12)+VLOOKUP(K$4,$DE$6:$DF$17,2)+1))*(VLOOKUP($A94,CURVES!$D$9:$K$261,8))*(INDEX(DailyScalarsTable,K$5/100,MONTH($A94)))*$B94</f>
        <v>-31019.564741503284</v>
      </c>
      <c r="L94" s="1021">
        <f>(VLOOKUP(YEAR($A94),'NY East Load Projections'!$A$4:$EO$14,((MONTH($A94)-1)*12)+VLOOKUP(L$4,$DE$6:$DF$17,2)+1))*(VLOOKUP($A94,CURVES!$D$9:$K$261,8))*(INDEX(DailyScalarsTable,L$5/100,MONTH($A94)))*$B94</f>
        <v>-36194.604658406744</v>
      </c>
      <c r="M94" s="1021">
        <f>(VLOOKUP(YEAR($A94),'NY East Load Projections'!$A$4:$EO$14,((MONTH($A94)-1)*12)+VLOOKUP(M$4,$DE$6:$DF$17,2)+1))*(VLOOKUP($A94,CURVES!$D$9:$K$261,8))*(INDEX(DailyScalarsTable,M$5/100,MONTH($A94)))*$B94</f>
        <v>-43883.834051800659</v>
      </c>
      <c r="N94" s="1021">
        <f>(VLOOKUP(YEAR($A94),'NY East Load Projections'!$A$4:$EO$14,((MONTH($A94)-1)*12)+VLOOKUP(N$4,$DE$6:$DF$17,2)+1))*(VLOOKUP($A94,CURVES!$D$9:$K$261,8))*(INDEX(DailyScalarsTable,N$5/100,MONTH($A94)))*$B94</f>
        <v>-52507.665912899931</v>
      </c>
      <c r="O94" s="1021">
        <f>(VLOOKUP(YEAR($A94),'NY East Load Projections'!$A$4:$EO$14,((MONTH($A94)-1)*12)+VLOOKUP(O$4,$DE$6:$DF$17,2)+1))*(VLOOKUP($A94,CURVES!$D$9:$K$261,4))*(INDEX(DailyScalarsTable,O$5/100,MONTH($A94)))*$B94</f>
        <v>-67813.383869750498</v>
      </c>
      <c r="P94" s="1021">
        <f>(VLOOKUP(YEAR($A94),'NY East Load Projections'!$A$4:$EO$14,((MONTH($A94)-1)*12)+VLOOKUP(P$4,$DE$6:$DF$17,2)+1))*(VLOOKUP($A94,CURVES!$D$9:$K$261,4))*(INDEX(DailyScalarsTable,P$5/100,MONTH($A94)))*$B94</f>
        <v>-81028.341742565244</v>
      </c>
      <c r="Q94" s="1021">
        <f>(VLOOKUP(YEAR($A94),'NY East Load Projections'!$A$4:$EO$14,((MONTH($A94)-1)*12)+VLOOKUP(Q$4,$DE$6:$DF$17,2)+1))*(VLOOKUP($A94,CURVES!$D$9:$K$261,4))*(INDEX(DailyScalarsTable,Q$5/100,MONTH($A94)))*$B94</f>
        <v>-82465.510572719068</v>
      </c>
      <c r="R94" s="1021">
        <f>(VLOOKUP(YEAR($A94),'NY East Load Projections'!$A$4:$EO$14,((MONTH($A94)-1)*12)+VLOOKUP(R$4,$DE$6:$DF$17,2)+1))*(VLOOKUP($A94,CURVES!$D$9:$K$261,4))*(INDEX(DailyScalarsTable,R$5/100,MONTH($A94)))*$B94</f>
        <v>-87476.52401591021</v>
      </c>
      <c r="S94" s="1021">
        <f>(VLOOKUP(YEAR($A94),'NY East Load Projections'!$A$4:$EO$14,((MONTH($A94)-1)*12)+VLOOKUP(S$4,$DE$6:$DF$17,2)+1))*(VLOOKUP($A94,CURVES!$D$9:$K$261,4))*(INDEX(DailyScalarsTable,S$5/100,MONTH($A94)))*$B94</f>
        <v>-86815.171987874812</v>
      </c>
      <c r="T94" s="1021">
        <f>(VLOOKUP(YEAR($A94),'NY East Load Projections'!$A$4:$EO$14,((MONTH($A94)-1)*12)+VLOOKUP(T$4,$DE$6:$DF$17,2)+1))*(VLOOKUP($A94,CURVES!$D$9:$K$261,4))*(INDEX(DailyScalarsTable,T$5/100,MONTH($A94)))*$B94</f>
        <v>-84581.851152615069</v>
      </c>
      <c r="U94" s="1021">
        <f>(VLOOKUP(YEAR($A94),'NY East Load Projections'!$A$4:$EO$14,((MONTH($A94)-1)*12)+VLOOKUP(U$4,$DE$6:$DF$17,2)+1))*(VLOOKUP($A94,CURVES!$D$9:$K$261,4))*(INDEX(DailyScalarsTable,U$5/100,MONTH($A94)))*$B94</f>
        <v>-84989.506218804614</v>
      </c>
      <c r="V94" s="1021">
        <f>(VLOOKUP(YEAR($A94),'NY East Load Projections'!$A$4:$EO$14,((MONTH($A94)-1)*12)+VLOOKUP(V$4,$DE$6:$DF$17,2)+1))*(VLOOKUP($A94,CURVES!$D$9:$K$261,4))*(INDEX(DailyScalarsTable,V$5/100,MONTH($A94)))*$B94</f>
        <v>-82438.374514263676</v>
      </c>
      <c r="W94" s="1021">
        <f>(VLOOKUP(YEAR($A94),'NY East Load Projections'!$A$4:$EO$14,((MONTH($A94)-1)*12)+VLOOKUP(W$4,$DE$6:$DF$17,2)+1))*(VLOOKUP($A94,CURVES!$D$9:$K$261,4))*(INDEX(DailyScalarsTable,W$5/100,MONTH($A94)))*$B94</f>
        <v>-79229.734638449299</v>
      </c>
      <c r="X94" s="1021">
        <f>(VLOOKUP(YEAR($A94),'NY East Load Projections'!$A$4:$EO$14,((MONTH($A94)-1)*12)+VLOOKUP(X$4,$DE$6:$DF$17,2)+1))*(VLOOKUP($A94,CURVES!$D$9:$K$261,4))*(INDEX(DailyScalarsTable,X$5/100,MONTH($A94)))*$B94</f>
        <v>-76838.03926014289</v>
      </c>
      <c r="Y94" s="1021">
        <f>(VLOOKUP(YEAR($A94),'NY East Load Projections'!$A$4:$EO$14,((MONTH($A94)-1)*12)+VLOOKUP(Y$4,$DE$6:$DF$17,2)+1))*(VLOOKUP($A94,CURVES!$D$9:$K$261,4))*(INDEX(DailyScalarsTable,Y$5/100,MONTH($A94)))*$B94</f>
        <v>-73843.532408347557</v>
      </c>
      <c r="Z94" s="1021">
        <f>(VLOOKUP(YEAR($A94),'NY East Load Projections'!$A$4:$EO$14,((MONTH($A94)-1)*12)+VLOOKUP(Z$4,$DE$6:$DF$17,2)+1))*(VLOOKUP($A94,CURVES!$D$9:$K$261,4))*(INDEX(DailyScalarsTable,Z$5/100,MONTH($A94)))*$B94</f>
        <v>-63979.274543610045</v>
      </c>
      <c r="AA94" s="1021">
        <f>(VLOOKUP(YEAR($A94),'NY East Load Projections'!$A$4:$EO$14,((MONTH($A94)-1)*12)+VLOOKUP(AA$4,$DE$6:$DF$17,2)+1))*(VLOOKUP($A94,CURVES!$D$9:$K$261,4))*(INDEX(DailyScalarsTable,AA$5/100,MONTH($A94)))*$B94</f>
        <v>-63815.709043301926</v>
      </c>
      <c r="AB94" s="1021">
        <f>(VLOOKUP(YEAR($A94),'NY East Load Projections'!$A$4:$EO$14,((MONTH($A94)-1)*12)+VLOOKUP(AB$4,$DE$6:$DF$17,2)+1))*(VLOOKUP($A94,CURVES!$D$9:$K$261,4))*(INDEX(DailyScalarsTable,AB$5/100,MONTH($A94)))*$B94</f>
        <v>-75396.90402270935</v>
      </c>
      <c r="AC94" s="1021">
        <f>(VLOOKUP(YEAR($A94),'NY East Load Projections'!$A$4:$EO$14,((MONTH($A94)-1)*12)+VLOOKUP(AC$4,$DE$6:$DF$17,2)+1))*(VLOOKUP($A94,CURVES!$D$9:$K$261,4))*(INDEX(DailyScalarsTable,AC$5/100,MONTH($A94)))*$B94</f>
        <v>-71914.603806826708</v>
      </c>
      <c r="AD94" s="1021">
        <f>(VLOOKUP(YEAR($A94),'NY East Load Projections'!$A$4:$EO$14,((MONTH($A94)-1)*12)+VLOOKUP(AD$4,$DE$6:$DF$17,2)+1))*(VLOOKUP($A94,CURVES!$D$9:$K$261,4))*(INDEX(DailyScalarsTable,AD$5/100,MONTH($A94)))*$B94</f>
        <v>-57690.485009703574</v>
      </c>
      <c r="AE94" s="1021">
        <f>(VLOOKUP(YEAR($A94),'NY East Load Projections'!$A$4:$EO$14,((MONTH($A94)-1)*12)+VLOOKUP(AE$4,$DE$6:$DF$17,2)+1))*(VLOOKUP($A94,CURVES!$D$9:$K$261,8))*(INDEX(DailyScalarsTable,AE$5/100,MONTH($A94)))*$B94</f>
        <v>-46653.045690309213</v>
      </c>
      <c r="AF94" s="1021"/>
      <c r="AG94" s="1021">
        <f>(VLOOKUP(YEAR($A94),'NY East Load Projections'!$A$4:$EO$14,((MONTH($A94)-1)*12)+VLOOKUP(AG$4,$DE$6:$DF$17,2)+1))*(VLOOKUP($A94,CURVES!$D$9:$T$261,8))*(INDEX(DailyScalarsTable,AG$5/100,MONTH($A94)))*$C94</f>
        <v>-9332.2900340200613</v>
      </c>
      <c r="AH94" s="1021">
        <f>(VLOOKUP(YEAR($A94),'NY East Load Projections'!$A$4:$EO$14,((MONTH($A94)-1)*12)+VLOOKUP(AH$4,$DE$6:$DF$17,2)+1))*(VLOOKUP($A94,CURVES!$D$9:$T$261,8))*(INDEX(DailyScalarsTable,AH$5/100,MONTH($A94)))*$C94</f>
        <v>-8406.1662133690807</v>
      </c>
      <c r="AI94" s="1021">
        <f>(VLOOKUP(YEAR($A94),'NY East Load Projections'!$A$4:$EO$14,((MONTH($A94)-1)*12)+VLOOKUP(AI$4,$DE$6:$DF$17,2)+1))*(VLOOKUP($A94,CURVES!$D$9:$T$261,8))*(INDEX(DailyScalarsTable,AI$5/100,MONTH($A94)))*$C94</f>
        <v>-7955.3546181315678</v>
      </c>
      <c r="AJ94" s="1021">
        <f>(VLOOKUP(YEAR($A94),'NY East Load Projections'!$A$4:$EO$14,((MONTH($A94)-1)*12)+VLOOKUP(AJ$4,$DE$6:$DF$17,2)+1))*(VLOOKUP($A94,CURVES!$D$9:$T$261,8))*(INDEX(DailyScalarsTable,AJ$5/100,MONTH($A94)))*$C94</f>
        <v>-7712.798379389641</v>
      </c>
      <c r="AK94" s="1021">
        <f>(VLOOKUP(YEAR($A94),'NY East Load Projections'!$A$4:$EO$14,((MONTH($A94)-1)*12)+VLOOKUP(AK$4,$DE$6:$DF$17,2)+1))*(VLOOKUP($A94,CURVES!$D$9:$T$261,8))*(INDEX(DailyScalarsTable,AK$5/100,MONTH($A94)))*$C94</f>
        <v>-8487.3184704721971</v>
      </c>
      <c r="AL94" s="1021">
        <f>(VLOOKUP(YEAR($A94),'NY East Load Projections'!$A$4:$EO$14,((MONTH($A94)-1)*12)+VLOOKUP(AL$4,$DE$6:$DF$17,2)+1))*(VLOOKUP($A94,CURVES!$D$9:$T$261,8))*(INDEX(DailyScalarsTable,AL$5/100,MONTH($A94)))*$C94</f>
        <v>-10290.375563377675</v>
      </c>
      <c r="AM94" s="1021">
        <f>(VLOOKUP(YEAR($A94),'NY East Load Projections'!$A$4:$EO$14,((MONTH($A94)-1)*12)+VLOOKUP(AM$4,$DE$6:$DF$17,2)+1))*(VLOOKUP($A94,CURVES!$D$9:$T$261,8))*(INDEX(DailyScalarsTable,AM$5/100,MONTH($A94)))*$C94</f>
        <v>-12312.588767023048</v>
      </c>
      <c r="AN94" s="1021">
        <f>(VLOOKUP(YEAR($A94),'NY East Load Projections'!$A$4:$EO$14,((MONTH($A94)-1)*12)+VLOOKUP(AN$4,$DE$6:$DF$17,2)+1))*(VLOOKUP($A94,SatSunCurve,4))*(INDEX(DailyScalarsTable,AN$5/100,MONTH($A94)))*$C94</f>
        <v>-10646.259889177636</v>
      </c>
      <c r="AO94" s="1021">
        <f>(VLOOKUP(YEAR($A94),'NY East Load Projections'!$A$4:$EO$14,((MONTH($A94)-1)*12)+VLOOKUP(AO$4,$DE$6:$DF$17,2)+1))*(VLOOKUP($A94,SatSunCurve,4))*(INDEX(DailyScalarsTable,AO$5/100,MONTH($A94)))*$C94</f>
        <v>-12905.501125966559</v>
      </c>
      <c r="AP94" s="1021">
        <f>(VLOOKUP(YEAR($A94),'NY East Load Projections'!$A$4:$EO$14,((MONTH($A94)-1)*12)+VLOOKUP(AP$4,$DE$6:$DF$17,2)+1))*(VLOOKUP($A94,SatSunCurve,4))*(INDEX(DailyScalarsTable,AP$5/100,MONTH($A94)))*$C94</f>
        <v>-13134.401083152909</v>
      </c>
      <c r="AQ94" s="1021">
        <f>(VLOOKUP(YEAR($A94),'NY East Load Projections'!$A$4:$EO$14,((MONTH($A94)-1)*12)+VLOOKUP(AQ$4,$DE$6:$DF$17,2)+1))*(VLOOKUP($A94,SatSunCurve,4))*(INDEX(DailyScalarsTable,AQ$5/100,MONTH($A94)))*$C94</f>
        <v>-13932.512438298232</v>
      </c>
      <c r="AR94" s="1021">
        <f>(VLOOKUP(YEAR($A94),'NY East Load Projections'!$A$4:$EO$14,((MONTH($A94)-1)*12)+VLOOKUP(AR$4,$DE$6:$DF$17,2)+1))*(VLOOKUP($A94,SatSunCurve,4))*(INDEX(DailyScalarsTable,AR$5/100,MONTH($A94)))*$C94</f>
        <v>-13827.177944725747</v>
      </c>
      <c r="AS94" s="1021">
        <f>(VLOOKUP(YEAR($A94),'NY East Load Projections'!$A$4:$EO$14,((MONTH($A94)-1)*12)+VLOOKUP(AS$4,$DE$6:$DF$17,2)+1))*(VLOOKUP($A94,SatSunCurve,4))*(INDEX(DailyScalarsTable,AS$5/100,MONTH($A94)))*$C94</f>
        <v>-13260.206993885196</v>
      </c>
      <c r="AT94" s="1021">
        <f>(VLOOKUP(YEAR($A94),'NY East Load Projections'!$A$4:$EO$14,((MONTH($A94)-1)*12)+VLOOKUP(AT$4,$DE$6:$DF$17,2)+1))*(VLOOKUP($A94,SatSunCurve,4))*(INDEX(DailyScalarsTable,AT$5/100,MONTH($A94)))*$C94</f>
        <v>-13324.116573613192</v>
      </c>
      <c r="AU94" s="1021">
        <f>(VLOOKUP(YEAR($A94),'NY East Load Projections'!$A$4:$EO$14,((MONTH($A94)-1)*12)+VLOOKUP(AU$4,$DE$6:$DF$17,2)+1))*(VLOOKUP($A94,SatSunCurve,4))*(INDEX(DailyScalarsTable,AU$5/100,MONTH($A94)))*$C94</f>
        <v>-12924.166300476729</v>
      </c>
      <c r="AV94" s="1021">
        <f>(VLOOKUP(YEAR($A94),'NY East Load Projections'!$A$4:$EO$14,((MONTH($A94)-1)*12)+VLOOKUP(AV$4,$DE$6:$DF$17,2)+1))*(VLOOKUP($A94,SatSunCurve,4))*(INDEX(DailyScalarsTable,AV$5/100,MONTH($A94)))*$C94</f>
        <v>-12421.136060037052</v>
      </c>
      <c r="AW94" s="1021">
        <f>(VLOOKUP(YEAR($A94),'NY East Load Projections'!$A$4:$EO$14,((MONTH($A94)-1)*12)+VLOOKUP(AW$4,$DE$6:$DF$17,2)+1))*(VLOOKUP($A94,SatSunCurve,4))*(INDEX(DailyScalarsTable,AW$5/100,MONTH($A94)))*$C94</f>
        <v>-11795.286849101787</v>
      </c>
      <c r="AX94" s="1021">
        <f>(VLOOKUP(YEAR($A94),'NY East Load Projections'!$A$4:$EO$14,((MONTH($A94)-1)*12)+VLOOKUP(AX$4,$DE$6:$DF$17,2)+1))*(VLOOKUP($A94,SatSunCurve,4))*(INDEX(DailyScalarsTable,AX$5/100,MONTH($A94)))*$C94</f>
        <v>-11335.604800618696</v>
      </c>
      <c r="AY94" s="1021">
        <f>(VLOOKUP(YEAR($A94),'NY East Load Projections'!$A$4:$EO$14,((MONTH($A94)-1)*12)+VLOOKUP(AY$4,$DE$6:$DF$17,2)+1))*(VLOOKUP($A94,SatSunCurve,4))*(INDEX(DailyScalarsTable,AY$5/100,MONTH($A94)))*$C94</f>
        <v>-9821.3580526744026</v>
      </c>
      <c r="AZ94" s="1021">
        <f>(VLOOKUP(YEAR($A94),'NY East Load Projections'!$A$4:$EO$14,((MONTH($A94)-1)*12)+VLOOKUP(AZ$4,$DE$6:$DF$17,2)+1))*(VLOOKUP($A94,SatSunCurve,4))*(INDEX(DailyScalarsTable,AZ$5/100,MONTH($A94)))*$C94</f>
        <v>-9796.2493693539018</v>
      </c>
      <c r="BA94" s="1021">
        <f>(VLOOKUP(YEAR($A94),'NY East Load Projections'!$A$4:$EO$14,((MONTH($A94)-1)*12)+VLOOKUP(BA$4,$DE$6:$DF$17,2)+1))*(VLOOKUP($A94,SatSunCurve,4))*(INDEX(DailyScalarsTable,BA$5/100,MONTH($A94)))*$C94</f>
        <v>-12239.471701666051</v>
      </c>
      <c r="BB94" s="1021">
        <f>(VLOOKUP(YEAR($A94),'NY East Load Projections'!$A$4:$EO$14,((MONTH($A94)-1)*12)+VLOOKUP(BB$4,$DE$6:$DF$17,2)+1))*(VLOOKUP($A94,SatSunCurve,4))*(INDEX(DailyScalarsTable,BB$5/100,MONTH($A94)))*$C94</f>
        <v>-11674.176408690048</v>
      </c>
      <c r="BC94" s="1021">
        <f>(VLOOKUP(YEAR($A94),'NY East Load Projections'!$A$4:$EO$14,((MONTH($A94)-1)*12)+VLOOKUP(BC$4,$DE$6:$DF$17,2)+1))*(VLOOKUP($A94,SatSunCurve,4))*(INDEX(DailyScalarsTable,BC$5/100,MONTH($A94)))*$C94</f>
        <v>-9365.1200653939395</v>
      </c>
      <c r="BD94" s="1021">
        <f>(VLOOKUP(YEAR($A94),'NY East Load Projections'!$A$4:$EO$14,((MONTH($A94)-1)*12)+VLOOKUP(BD$4,$DE$6:$DF$17,2)+1))*(VLOOKUP($A94,CURVES!$D$9:$T$261,8))*(INDEX(DailyScalarsTable,BD$5/100,MONTH($A94)))*$C94</f>
        <v>-11311.863986915314</v>
      </c>
      <c r="BE94" s="1021"/>
      <c r="BF94" s="1021">
        <f>(VLOOKUP(YEAR($A94),'NY East Load Projections'!$A$4:$EO$14,((MONTH($A94)-1)*12)+VLOOKUP(BF$4,$DE$6:$DF$17,2)+1))*(VLOOKUP($A94,CURVES!$D$9:$T$261,8))*(INDEX(DailyScalarsTable,BF$5/100,MONTH($A94)))*$D94</f>
        <v>-7465.832027216049</v>
      </c>
      <c r="BG94" s="1021">
        <f>(VLOOKUP(YEAR($A94),'NY East Load Projections'!$A$4:$EO$14,((MONTH($A94)-1)*12)+VLOOKUP(BG$4,$DE$6:$DF$17,2)+1))*(VLOOKUP($A94,CURVES!$D$9:$T$261,8))*(INDEX(DailyScalarsTable,BG$5/100,MONTH($A94)))*$D94</f>
        <v>-6724.932970695264</v>
      </c>
      <c r="BH94" s="1021">
        <f>(VLOOKUP(YEAR($A94),'NY East Load Projections'!$A$4:$EO$14,((MONTH($A94)-1)*12)+VLOOKUP(BH$4,$DE$6:$DF$17,2)+1))*(VLOOKUP($A94,CURVES!$D$9:$T$261,8))*(INDEX(DailyScalarsTable,BH$5/100,MONTH($A94)))*$D94</f>
        <v>-6364.2836945052541</v>
      </c>
      <c r="BI94" s="1021">
        <f>(VLOOKUP(YEAR($A94),'NY East Load Projections'!$A$4:$EO$14,((MONTH($A94)-1)*12)+VLOOKUP(BI$4,$DE$6:$DF$17,2)+1))*(VLOOKUP($A94,CURVES!$D$9:$T$261,8))*(INDEX(DailyScalarsTable,BI$5/100,MONTH($A94)))*$D94</f>
        <v>-6170.2387035117126</v>
      </c>
      <c r="BJ94" s="1021">
        <f>(VLOOKUP(YEAR($A94),'NY East Load Projections'!$A$4:$EO$14,((MONTH($A94)-1)*12)+VLOOKUP(BJ$4,$DE$6:$DF$17,2)+1))*(VLOOKUP($A94,CURVES!$D$9:$T$261,8))*(INDEX(DailyScalarsTable,BJ$5/100,MONTH($A94)))*$D94</f>
        <v>-6789.8547763777578</v>
      </c>
      <c r="BK94" s="1021">
        <f>(VLOOKUP(YEAR($A94),'NY East Load Projections'!$A$4:$EO$14,((MONTH($A94)-1)*12)+VLOOKUP(BK$4,$DE$6:$DF$17,2)+1))*(VLOOKUP($A94,CURVES!$D$9:$T$261,8))*(INDEX(DailyScalarsTable,BK$5/100,MONTH($A94)))*$D94</f>
        <v>-8232.3004507021396</v>
      </c>
      <c r="BL94" s="1021">
        <f>(VLOOKUP(YEAR($A94),'NY East Load Projections'!$A$4:$EO$14,((MONTH($A94)-1)*12)+VLOOKUP(BL$4,$DE$6:$DF$17,2)+1))*(VLOOKUP($A94,CURVES!$D$9:$T$261,8))*(INDEX(DailyScalarsTable,BL$5/100,MONTH($A94)))*$D94</f>
        <v>-9850.0710136184389</v>
      </c>
      <c r="BM94" s="1021">
        <f>(VLOOKUP(YEAR($A94),'NY East Load Projections'!$A$4:$EO$14,((MONTH($A94)-1)*12)+VLOOKUP(BM$4,$DE$6:$DF$17,2)+1))*(VLOOKUP($A94,SatSunCurve,8))*(INDEX(DailyScalarsTable,BM$5/100,MONTH($A94)))*$D94</f>
        <v>-8835.1288432213023</v>
      </c>
      <c r="BN94" s="1021">
        <f>(VLOOKUP(YEAR($A94),'NY East Load Projections'!$A$4:$EO$14,((MONTH($A94)-1)*12)+VLOOKUP(BN$4,$DE$6:$DF$17,2)+1))*(VLOOKUP($A94,SatSunCurve,8))*(INDEX(DailyScalarsTable,BN$5/100,MONTH($A94)))*$D94</f>
        <v>-10710.030228565054</v>
      </c>
      <c r="BO94" s="1021">
        <f>(VLOOKUP(YEAR($A94),'NY East Load Projections'!$A$4:$EO$14,((MONTH($A94)-1)*12)+VLOOKUP(BO$4,$DE$6:$DF$17,2)+1))*(VLOOKUP($A94,SatSunCurve,8))*(INDEX(DailyScalarsTable,BO$5/100,MONTH($A94)))*$D94</f>
        <v>-10899.989954797651</v>
      </c>
      <c r="BP94" s="1021">
        <f>(VLOOKUP(YEAR($A94),'NY East Load Projections'!$A$4:$EO$14,((MONTH($A94)-1)*12)+VLOOKUP(BP$4,$DE$6:$DF$17,2)+1))*(VLOOKUP($A94,SatSunCurve,8))*(INDEX(DailyScalarsTable,BP$5/100,MONTH($A94)))*$D94</f>
        <v>-11562.327407325454</v>
      </c>
      <c r="BQ94" s="1021">
        <f>(VLOOKUP(YEAR($A94),'NY East Load Projections'!$A$4:$EO$14,((MONTH($A94)-1)*12)+VLOOKUP(BQ$4,$DE$6:$DF$17,2)+1))*(VLOOKUP($A94,SatSunCurve,8))*(INDEX(DailyScalarsTable,BQ$5/100,MONTH($A94)))*$D94</f>
        <v>-11474.912312067974</v>
      </c>
      <c r="BR94" s="1021">
        <f>(VLOOKUP(YEAR($A94),'NY East Load Projections'!$A$4:$EO$14,((MONTH($A94)-1)*12)+VLOOKUP(BR$4,$DE$6:$DF$17,2)+1))*(VLOOKUP($A94,SatSunCurve,8))*(INDEX(DailyScalarsTable,BR$5/100,MONTH($A94)))*$D94</f>
        <v>-11004.393890276293</v>
      </c>
      <c r="BS94" s="1021">
        <f>(VLOOKUP(YEAR($A94),'NY East Load Projections'!$A$4:$EO$14,((MONTH($A94)-1)*12)+VLOOKUP(BS$4,$DE$6:$DF$17,2)+1))*(VLOOKUP($A94,SatSunCurve,8))*(INDEX(DailyScalarsTable,BS$5/100,MONTH($A94)))*$D94</f>
        <v>-11057.431236451444</v>
      </c>
      <c r="BT94" s="1021">
        <f>(VLOOKUP(YEAR($A94),'NY East Load Projections'!$A$4:$EO$14,((MONTH($A94)-1)*12)+VLOOKUP(BT$4,$DE$6:$DF$17,2)+1))*(VLOOKUP($A94,SatSunCurve,8))*(INDEX(DailyScalarsTable,BT$5/100,MONTH($A94)))*$D94</f>
        <v>-10725.520102323086</v>
      </c>
      <c r="BU94" s="1021">
        <f>(VLOOKUP(YEAR($A94),'NY East Load Projections'!$A$4:$EO$14,((MONTH($A94)-1)*12)+VLOOKUP(BU$4,$DE$6:$DF$17,2)+1))*(VLOOKUP($A94,SatSunCurve,8))*(INDEX(DailyScalarsTable,BU$5/100,MONTH($A94)))*$D94</f>
        <v>-10308.064861460614</v>
      </c>
      <c r="BV94" s="1021">
        <f>(VLOOKUP(YEAR($A94),'NY East Load Projections'!$A$4:$EO$14,((MONTH($A94)-1)*12)+VLOOKUP(BV$4,$DE$6:$DF$17,2)+1))*(VLOOKUP($A94,SatSunCurve,8))*(INDEX(DailyScalarsTable,BV$5/100,MONTH($A94)))*$D94</f>
        <v>-9788.6844900813303</v>
      </c>
      <c r="BW94" s="1021">
        <f>(VLOOKUP(YEAR($A94),'NY East Load Projections'!$A$4:$EO$14,((MONTH($A94)-1)*12)+VLOOKUP(BW$4,$DE$6:$DF$17,2)+1))*(VLOOKUP($A94,SatSunCurve,8))*(INDEX(DailyScalarsTable,BW$5/100,MONTH($A94)))*$D94</f>
        <v>-9407.2030902713796</v>
      </c>
      <c r="BX94" s="1021">
        <f>(VLOOKUP(YEAR($A94),'NY East Load Projections'!$A$4:$EO$14,((MONTH($A94)-1)*12)+VLOOKUP(BX$4,$DE$6:$DF$17,2)+1))*(VLOOKUP($A94,SatSunCurve,8))*(INDEX(DailyScalarsTable,BX$5/100,MONTH($A94)))*$D94</f>
        <v>-8150.5584791327265</v>
      </c>
      <c r="BY94" s="1021">
        <f>(VLOOKUP(YEAR($A94),'NY East Load Projections'!$A$4:$EO$14,((MONTH($A94)-1)*12)+VLOOKUP(BY$4,$DE$6:$DF$17,2)+1))*(VLOOKUP($A94,SatSunCurve,8))*(INDEX(DailyScalarsTable,BY$5/100,MONTH($A94)))*$D94</f>
        <v>-8129.7212598153792</v>
      </c>
      <c r="BZ94" s="1021">
        <f>(VLOOKUP(YEAR($A94),'NY East Load Projections'!$A$4:$EO$14,((MONTH($A94)-1)*12)+VLOOKUP(BZ$4,$DE$6:$DF$17,2)+1))*(VLOOKUP($A94,SatSunCurve,8))*(INDEX(DailyScalarsTable,BZ$5/100,MONTH($A94)))*$D94</f>
        <v>-10157.305061386553</v>
      </c>
      <c r="CA94" s="1021">
        <f>(VLOOKUP(YEAR($A94),'NY East Load Projections'!$A$4:$EO$14,((MONTH($A94)-1)*12)+VLOOKUP(CA$4,$DE$6:$DF$17,2)+1))*(VLOOKUP($A94,SatSunCurve,8))*(INDEX(DailyScalarsTable,CA$5/100,MONTH($A94)))*$D94</f>
        <v>-9688.177236225476</v>
      </c>
      <c r="CB94" s="1021">
        <f>(VLOOKUP(YEAR($A94),'NY East Load Projections'!$A$4:$EO$14,((MONTH($A94)-1)*12)+VLOOKUP(CB$4,$DE$6:$DF$17,2)+1))*(VLOOKUP($A94,SatSunCurve,8))*(INDEX(DailyScalarsTable,CB$5/100,MONTH($A94)))*$D94</f>
        <v>-7771.935240290657</v>
      </c>
      <c r="CC94" s="1021">
        <f>(VLOOKUP(YEAR($A94),'NY East Load Projections'!$A$4:$EO$14,((MONTH($A94)-1)*12)+VLOOKUP(CC$4,$DE$6:$DF$17,2)+1))*(VLOOKUP($A94,CURVES!$D$9:$T$261,8))*(INDEX(DailyScalarsTable,CC$5/100,MONTH($A94)))*$D94</f>
        <v>-9049.4911895322512</v>
      </c>
      <c r="CE94" s="1021">
        <f>(VLOOKUP(YEAR($A94),'NY East Load Projections'!$A$4:$EO$14,((MONTH($A94)-1)*12)+VLOOKUP(CE$4,$DE$6:$DF$17,2)+1))*(VLOOKUP($A94,CURVES!$D$9:$T$261,8))*(INDEX(DailyScalarsTable,CE$5/100,MONTH($A94)))*$E94</f>
        <v>-1866.4580068040123</v>
      </c>
      <c r="CF94" s="1021">
        <f>(VLOOKUP(YEAR($A94),'NY East Load Projections'!$A$4:$EO$14,((MONTH($A94)-1)*12)+VLOOKUP(CF$4,$DE$6:$DF$17,2)+1))*(VLOOKUP($A94,CURVES!$D$9:$T$261,8))*(INDEX(DailyScalarsTable,CF$5/100,MONTH($A94)))*$E94</f>
        <v>-1681.233242673816</v>
      </c>
      <c r="CG94" s="1021">
        <f>(VLOOKUP(YEAR($A94),'NY East Load Projections'!$A$4:$EO$14,((MONTH($A94)-1)*12)+VLOOKUP(CG$4,$DE$6:$DF$17,2)+1))*(VLOOKUP($A94,CURVES!$D$9:$T$261,8))*(INDEX(DailyScalarsTable,CG$5/100,MONTH($A94)))*$E94</f>
        <v>-1591.0709236263135</v>
      </c>
      <c r="CH94" s="1021">
        <f>(VLOOKUP(YEAR($A94),'NY East Load Projections'!$A$4:$EO$14,((MONTH($A94)-1)*12)+VLOOKUP(CH$4,$DE$6:$DF$17,2)+1))*(VLOOKUP($A94,CURVES!$D$9:$T$261,8))*(INDEX(DailyScalarsTable,CH$5/100,MONTH($A94)))*$E94</f>
        <v>-1542.5596758779282</v>
      </c>
      <c r="CI94" s="1021">
        <f>(VLOOKUP(YEAR($A94),'NY East Load Projections'!$A$4:$EO$14,((MONTH($A94)-1)*12)+VLOOKUP(CI$4,$DE$6:$DF$17,2)+1))*(VLOOKUP($A94,CURVES!$D$9:$T$261,8))*(INDEX(DailyScalarsTable,CI$5/100,MONTH($A94)))*$E94</f>
        <v>-1697.4636940944395</v>
      </c>
      <c r="CJ94" s="1021">
        <f>(VLOOKUP(YEAR($A94),'NY East Load Projections'!$A$4:$EO$14,((MONTH($A94)-1)*12)+VLOOKUP(CJ$4,$DE$6:$DF$17,2)+1))*(VLOOKUP($A94,CURVES!$D$9:$T$261,8))*(INDEX(DailyScalarsTable,CJ$5/100,MONTH($A94)))*$E94</f>
        <v>-2058.0751126755349</v>
      </c>
      <c r="CK94" s="1021">
        <f>(VLOOKUP(YEAR($A94),'NY East Load Projections'!$A$4:$EO$14,((MONTH($A94)-1)*12)+VLOOKUP(CK$4,$DE$6:$DF$17,2)+1))*(VLOOKUP($A94,CURVES!$D$9:$T$261,8))*(INDEX(DailyScalarsTable,CK$5/100,MONTH($A94)))*$E94</f>
        <v>-2462.5177534046097</v>
      </c>
      <c r="CL94" s="1021">
        <f>(VLOOKUP(YEAR($A94),'NY East Load Projections'!$A$4:$EO$14,((MONTH($A94)-1)*12)+VLOOKUP(CL$4,$DE$6:$DF$17,2)+1))*(VLOOKUP($A94,SatSunCurve,8))*(INDEX(DailyScalarsTable,CL$5/100,MONTH($A94)))*$E94</f>
        <v>-2208.7822108053256</v>
      </c>
      <c r="CM94" s="1021">
        <f>(VLOOKUP(YEAR($A94),'NY East Load Projections'!$A$4:$EO$14,((MONTH($A94)-1)*12)+VLOOKUP(CM$4,$DE$6:$DF$17,2)+1))*(VLOOKUP($A94,SatSunCurve,8))*(INDEX(DailyScalarsTable,CM$5/100,MONTH($A94)))*$E94</f>
        <v>-2677.5075571412635</v>
      </c>
      <c r="CN94" s="1021">
        <f>(VLOOKUP(YEAR($A94),'NY East Load Projections'!$A$4:$EO$14,((MONTH($A94)-1)*12)+VLOOKUP(CN$4,$DE$6:$DF$17,2)+1))*(VLOOKUP($A94,SatSunCurve,8))*(INDEX(DailyScalarsTable,CN$5/100,MONTH($A94)))*$E94</f>
        <v>-2724.9974886994128</v>
      </c>
      <c r="CO94" s="1021">
        <f>(VLOOKUP(YEAR($A94),'NY East Load Projections'!$A$4:$EO$14,((MONTH($A94)-1)*12)+VLOOKUP(CO$4,$DE$6:$DF$17,2)+1))*(VLOOKUP($A94,SatSunCurve,8))*(INDEX(DailyScalarsTable,CO$5/100,MONTH($A94)))*$E94</f>
        <v>-2890.5818518313636</v>
      </c>
      <c r="CP94" s="1021">
        <f>(VLOOKUP(YEAR($A94),'NY East Load Projections'!$A$4:$EO$14,((MONTH($A94)-1)*12)+VLOOKUP(CP$4,$DE$6:$DF$17,2)+1))*(VLOOKUP($A94,SatSunCurve,8))*(INDEX(DailyScalarsTable,CP$5/100,MONTH($A94)))*$E94</f>
        <v>-2868.7280780169935</v>
      </c>
      <c r="CQ94" s="1021">
        <f>(VLOOKUP(YEAR($A94),'NY East Load Projections'!$A$4:$EO$14,((MONTH($A94)-1)*12)+VLOOKUP(CQ$4,$DE$6:$DF$17,2)+1))*(VLOOKUP($A94,SatSunCurve,8))*(INDEX(DailyScalarsTable,CQ$5/100,MONTH($A94)))*$E94</f>
        <v>-2751.0984725690732</v>
      </c>
      <c r="CR94" s="1021">
        <f>(VLOOKUP(YEAR($A94),'NY East Load Projections'!$A$4:$EO$14,((MONTH($A94)-1)*12)+VLOOKUP(CR$4,$DE$6:$DF$17,2)+1))*(VLOOKUP($A94,SatSunCurve,8))*(INDEX(DailyScalarsTable,CR$5/100,MONTH($A94)))*$E94</f>
        <v>-2764.3578091128611</v>
      </c>
      <c r="CS94" s="1021">
        <f>(VLOOKUP(YEAR($A94),'NY East Load Projections'!$A$4:$EO$14,((MONTH($A94)-1)*12)+VLOOKUP(CS$4,$DE$6:$DF$17,2)+1))*(VLOOKUP($A94,SatSunCurve,8))*(INDEX(DailyScalarsTable,CS$5/100,MONTH($A94)))*$E94</f>
        <v>-2681.3800255807714</v>
      </c>
      <c r="CT94" s="1021">
        <f>(VLOOKUP(YEAR($A94),'NY East Load Projections'!$A$4:$EO$14,((MONTH($A94)-1)*12)+VLOOKUP(CT$4,$DE$6:$DF$17,2)+1))*(VLOOKUP($A94,SatSunCurve,8))*(INDEX(DailyScalarsTable,CT$5/100,MONTH($A94)))*$E94</f>
        <v>-2577.0162153651536</v>
      </c>
      <c r="CU94" s="1021">
        <f>(VLOOKUP(YEAR($A94),'NY East Load Projections'!$A$4:$EO$14,((MONTH($A94)-1)*12)+VLOOKUP(CU$4,$DE$6:$DF$17,2)+1))*(VLOOKUP($A94,SatSunCurve,8))*(INDEX(DailyScalarsTable,CU$5/100,MONTH($A94)))*$E94</f>
        <v>-2447.1711225203326</v>
      </c>
      <c r="CV94" s="1021">
        <f>(VLOOKUP(YEAR($A94),'NY East Load Projections'!$A$4:$EO$14,((MONTH($A94)-1)*12)+VLOOKUP(CV$4,$DE$6:$DF$17,2)+1))*(VLOOKUP($A94,SatSunCurve,8))*(INDEX(DailyScalarsTable,CV$5/100,MONTH($A94)))*$E94</f>
        <v>-2351.8007725678449</v>
      </c>
      <c r="CW94" s="1021">
        <f>(VLOOKUP(YEAR($A94),'NY East Load Projections'!$A$4:$EO$14,((MONTH($A94)-1)*12)+VLOOKUP(CW$4,$DE$6:$DF$17,2)+1))*(VLOOKUP($A94,SatSunCurve,8))*(INDEX(DailyScalarsTable,CW$5/100,MONTH($A94)))*$E94</f>
        <v>-2037.6396197831816</v>
      </c>
      <c r="CX94" s="1021">
        <f>(VLOOKUP(YEAR($A94),'NY East Load Projections'!$A$4:$EO$14,((MONTH($A94)-1)*12)+VLOOKUP(CX$4,$DE$6:$DF$17,2)+1))*(VLOOKUP($A94,SatSunCurve,8))*(INDEX(DailyScalarsTable,CX$5/100,MONTH($A94)))*$E94</f>
        <v>-2032.4303149538448</v>
      </c>
      <c r="CY94" s="1021">
        <f>(VLOOKUP(YEAR($A94),'NY East Load Projections'!$A$4:$EO$14,((MONTH($A94)-1)*12)+VLOOKUP(CY$4,$DE$6:$DF$17,2)+1))*(VLOOKUP($A94,SatSunCurve,8))*(INDEX(DailyScalarsTable,CY$5/100,MONTH($A94)))*$E94</f>
        <v>-2539.3262653466381</v>
      </c>
      <c r="CZ94" s="1021">
        <f>(VLOOKUP(YEAR($A94),'NY East Load Projections'!$A$4:$EO$14,((MONTH($A94)-1)*12)+VLOOKUP(CZ$4,$DE$6:$DF$17,2)+1))*(VLOOKUP($A94,SatSunCurve,8))*(INDEX(DailyScalarsTable,CZ$5/100,MONTH($A94)))*$E94</f>
        <v>-2422.044309056369</v>
      </c>
      <c r="DA94" s="1021">
        <f>(VLOOKUP(YEAR($A94),'NY East Load Projections'!$A$4:$EO$14,((MONTH($A94)-1)*12)+VLOOKUP(DA$4,$DE$6:$DF$17,2)+1))*(VLOOKUP($A94,SatSunCurve,8))*(INDEX(DailyScalarsTable,DA$5/100,MONTH($A94)))*$E94</f>
        <v>-1942.9838100726643</v>
      </c>
      <c r="DB94" s="1021">
        <f>(VLOOKUP(YEAR($A94),'NY East Load Projections'!$A$4:$EO$14,((MONTH($A94)-1)*12)+VLOOKUP(DB$4,$DE$6:$DF$17,2)+1))*(VLOOKUP($A94,CURVES!$D$9:$T$261,8))*(INDEX(DailyScalarsTable,DB$5/100,MONTH($A94)))*$E94</f>
        <v>-2262.3727973830628</v>
      </c>
      <c r="DH94" s="1021">
        <f t="shared" si="2"/>
        <v>-2077521.2913378645</v>
      </c>
      <c r="DI94">
        <f ca="1">CALC!J114</f>
        <v>0.54761412968906398</v>
      </c>
      <c r="DJ94" s="1029">
        <f t="shared" ca="1" si="3"/>
        <v>-1137680.0138664851</v>
      </c>
    </row>
    <row r="95" spans="1:114" x14ac:dyDescent="0.25">
      <c r="A95" s="244">
        <v>39600</v>
      </c>
      <c r="B95" s="13">
        <v>21</v>
      </c>
      <c r="C95" s="210">
        <v>4</v>
      </c>
      <c r="D95" s="210">
        <v>5</v>
      </c>
      <c r="E95" s="210">
        <v>0</v>
      </c>
      <c r="F95" s="13">
        <v>30</v>
      </c>
      <c r="H95" s="1021">
        <f>(VLOOKUP(YEAR($A95),'NY East Load Projections'!$A$4:$EO$14,((MONTH($A95)-1)*12)+VLOOKUP(H$4,$DE$6:$DF$17,2)+1))*(VLOOKUP($A95,CURVES!$D$9:$K$261,8))*(INDEX(DailyScalarsTable,H$5/100,MONTH($A95)))*$B95</f>
        <v>-49903.871327709225</v>
      </c>
      <c r="I95" s="1021">
        <f>(VLOOKUP(YEAR($A95),'NY East Load Projections'!$A$4:$EO$14,((MONTH($A95)-1)*12)+VLOOKUP(I$4,$DE$6:$DF$17,2)+1))*(VLOOKUP($A95,CURVES!$D$9:$K$261,8))*(INDEX(DailyScalarsTable,I$5/100,MONTH($A95)))*$B95</f>
        <v>-41346.002428409207</v>
      </c>
      <c r="J95" s="1021">
        <f>(VLOOKUP(YEAR($A95),'NY East Load Projections'!$A$4:$EO$14,((MONTH($A95)-1)*12)+VLOOKUP(J$4,$DE$6:$DF$17,2)+1))*(VLOOKUP($A95,CURVES!$D$9:$K$261,8))*(INDEX(DailyScalarsTable,J$5/100,MONTH($A95)))*$B95</f>
        <v>-34755.166082082622</v>
      </c>
      <c r="K95" s="1021">
        <f>(VLOOKUP(YEAR($A95),'NY East Load Projections'!$A$4:$EO$14,((MONTH($A95)-1)*12)+VLOOKUP(K$4,$DE$6:$DF$17,2)+1))*(VLOOKUP($A95,CURVES!$D$9:$K$261,8))*(INDEX(DailyScalarsTable,K$5/100,MONTH($A95)))*$B95</f>
        <v>-32264.443044226649</v>
      </c>
      <c r="L95" s="1021">
        <f>(VLOOKUP(YEAR($A95),'NY East Load Projections'!$A$4:$EO$14,((MONTH($A95)-1)*12)+VLOOKUP(L$4,$DE$6:$DF$17,2)+1))*(VLOOKUP($A95,CURVES!$D$9:$K$261,8))*(INDEX(DailyScalarsTable,L$5/100,MONTH($A95)))*$B95</f>
        <v>-37604.818977053954</v>
      </c>
      <c r="M95" s="1021">
        <f>(VLOOKUP(YEAR($A95),'NY East Load Projections'!$A$4:$EO$14,((MONTH($A95)-1)*12)+VLOOKUP(M$4,$DE$6:$DF$17,2)+1))*(VLOOKUP($A95,CURVES!$D$9:$K$261,8))*(INDEX(DailyScalarsTable,M$5/100,MONTH($A95)))*$B95</f>
        <v>-45880.624029303406</v>
      </c>
      <c r="N95" s="1021">
        <f>(VLOOKUP(YEAR($A95),'NY East Load Projections'!$A$4:$EO$14,((MONTH($A95)-1)*12)+VLOOKUP(N$4,$DE$6:$DF$17,2)+1))*(VLOOKUP($A95,CURVES!$D$9:$K$261,8))*(INDEX(DailyScalarsTable,N$5/100,MONTH($A95)))*$B95</f>
        <v>-52605.57340841159</v>
      </c>
      <c r="O95" s="1021">
        <f>(VLOOKUP(YEAR($A95),'NY East Load Projections'!$A$4:$EO$14,((MONTH($A95)-1)*12)+VLOOKUP(O$4,$DE$6:$DF$17,2)+1))*(VLOOKUP($A95,CURVES!$D$9:$K$261,4))*(INDEX(DailyScalarsTable,O$5/100,MONTH($A95)))*$B95</f>
        <v>-75318.414535707809</v>
      </c>
      <c r="P95" s="1021">
        <f>(VLOOKUP(YEAR($A95),'NY East Load Projections'!$A$4:$EO$14,((MONTH($A95)-1)*12)+VLOOKUP(P$4,$DE$6:$DF$17,2)+1))*(VLOOKUP($A95,CURVES!$D$9:$K$261,4))*(INDEX(DailyScalarsTable,P$5/100,MONTH($A95)))*$B95</f>
        <v>-96532.048526988408</v>
      </c>
      <c r="Q95" s="1021">
        <f>(VLOOKUP(YEAR($A95),'NY East Load Projections'!$A$4:$EO$14,((MONTH($A95)-1)*12)+VLOOKUP(Q$4,$DE$6:$DF$17,2)+1))*(VLOOKUP($A95,CURVES!$D$9:$K$261,4))*(INDEX(DailyScalarsTable,Q$5/100,MONTH($A95)))*$B95</f>
        <v>-107970.37715174632</v>
      </c>
      <c r="R95" s="1021">
        <f>(VLOOKUP(YEAR($A95),'NY East Load Projections'!$A$4:$EO$14,((MONTH($A95)-1)*12)+VLOOKUP(R$4,$DE$6:$DF$17,2)+1))*(VLOOKUP($A95,CURVES!$D$9:$K$261,4))*(INDEX(DailyScalarsTable,R$5/100,MONTH($A95)))*$B95</f>
        <v>-124197.23684278609</v>
      </c>
      <c r="S95" s="1021">
        <f>(VLOOKUP(YEAR($A95),'NY East Load Projections'!$A$4:$EO$14,((MONTH($A95)-1)*12)+VLOOKUP(S$4,$DE$6:$DF$17,2)+1))*(VLOOKUP($A95,CURVES!$D$9:$K$261,4))*(INDEX(DailyScalarsTable,S$5/100,MONTH($A95)))*$B95</f>
        <v>-133943.50502009466</v>
      </c>
      <c r="T95" s="1021">
        <f>(VLOOKUP(YEAR($A95),'NY East Load Projections'!$A$4:$EO$14,((MONTH($A95)-1)*12)+VLOOKUP(T$4,$DE$6:$DF$17,2)+1))*(VLOOKUP($A95,CURVES!$D$9:$K$261,4))*(INDEX(DailyScalarsTable,T$5/100,MONTH($A95)))*$B95</f>
        <v>-142506.3652820432</v>
      </c>
      <c r="U95" s="1021">
        <f>(VLOOKUP(YEAR($A95),'NY East Load Projections'!$A$4:$EO$14,((MONTH($A95)-1)*12)+VLOOKUP(U$4,$DE$6:$DF$17,2)+1))*(VLOOKUP($A95,CURVES!$D$9:$K$261,4))*(INDEX(DailyScalarsTable,U$5/100,MONTH($A95)))*$B95</f>
        <v>-157595.4783577373</v>
      </c>
      <c r="V95" s="1021">
        <f>(VLOOKUP(YEAR($A95),'NY East Load Projections'!$A$4:$EO$14,((MONTH($A95)-1)*12)+VLOOKUP(V$4,$DE$6:$DF$17,2)+1))*(VLOOKUP($A95,CURVES!$D$9:$K$261,4))*(INDEX(DailyScalarsTable,V$5/100,MONTH($A95)))*$B95</f>
        <v>-158808.15105038782</v>
      </c>
      <c r="W95" s="1021">
        <f>(VLOOKUP(YEAR($A95),'NY East Load Projections'!$A$4:$EO$14,((MONTH($A95)-1)*12)+VLOOKUP(W$4,$DE$6:$DF$17,2)+1))*(VLOOKUP($A95,CURVES!$D$9:$K$261,4))*(INDEX(DailyScalarsTable,W$5/100,MONTH($A95)))*$B95</f>
        <v>-159068.0094845272</v>
      </c>
      <c r="X95" s="1021">
        <f>(VLOOKUP(YEAR($A95),'NY East Load Projections'!$A$4:$EO$14,((MONTH($A95)-1)*12)+VLOOKUP(X$4,$DE$6:$DF$17,2)+1))*(VLOOKUP($A95,CURVES!$D$9:$K$261,4))*(INDEX(DailyScalarsTable,X$5/100,MONTH($A95)))*$B95</f>
        <v>-155428.66808106957</v>
      </c>
      <c r="Y95" s="1021">
        <f>(VLOOKUP(YEAR($A95),'NY East Load Projections'!$A$4:$EO$14,((MONTH($A95)-1)*12)+VLOOKUP(Y$4,$DE$6:$DF$17,2)+1))*(VLOOKUP($A95,CURVES!$D$9:$K$261,4))*(INDEX(DailyScalarsTable,Y$5/100,MONTH($A95)))*$B95</f>
        <v>-150814.61373979249</v>
      </c>
      <c r="Z95" s="1021">
        <f>(VLOOKUP(YEAR($A95),'NY East Load Projections'!$A$4:$EO$14,((MONTH($A95)-1)*12)+VLOOKUP(Z$4,$DE$6:$DF$17,2)+1))*(VLOOKUP($A95,CURVES!$D$9:$K$261,4))*(INDEX(DailyScalarsTable,Z$5/100,MONTH($A95)))*$B95</f>
        <v>-128777.09065853055</v>
      </c>
      <c r="AA95" s="1021">
        <f>(VLOOKUP(YEAR($A95),'NY East Load Projections'!$A$4:$EO$14,((MONTH($A95)-1)*12)+VLOOKUP(AA$4,$DE$6:$DF$17,2)+1))*(VLOOKUP($A95,CURVES!$D$9:$K$261,4))*(INDEX(DailyScalarsTable,AA$5/100,MONTH($A95)))*$B95</f>
        <v>-102975.03226633504</v>
      </c>
      <c r="AB95" s="1021">
        <f>(VLOOKUP(YEAR($A95),'NY East Load Projections'!$A$4:$EO$14,((MONTH($A95)-1)*12)+VLOOKUP(AB$4,$DE$6:$DF$17,2)+1))*(VLOOKUP($A95,CURVES!$D$9:$K$261,4))*(INDEX(DailyScalarsTable,AB$5/100,MONTH($A95)))*$B95</f>
        <v>-101691.7409643369</v>
      </c>
      <c r="AC95" s="1021">
        <f>(VLOOKUP(YEAR($A95),'NY East Load Projections'!$A$4:$EO$14,((MONTH($A95)-1)*12)+VLOOKUP(AC$4,$DE$6:$DF$17,2)+1))*(VLOOKUP($A95,CURVES!$D$9:$K$261,4))*(INDEX(DailyScalarsTable,AC$5/100,MONTH($A95)))*$B95</f>
        <v>-103614.16595726203</v>
      </c>
      <c r="AD95" s="1021">
        <f>(VLOOKUP(YEAR($A95),'NY East Load Projections'!$A$4:$EO$14,((MONTH($A95)-1)*12)+VLOOKUP(AD$4,$DE$6:$DF$17,2)+1))*(VLOOKUP($A95,CURVES!$D$9:$K$261,4))*(INDEX(DailyScalarsTable,AD$5/100,MONTH($A95)))*$B95</f>
        <v>-83088.116426502733</v>
      </c>
      <c r="AE95" s="1021">
        <f>(VLOOKUP(YEAR($A95),'NY East Load Projections'!$A$4:$EO$14,((MONTH($A95)-1)*12)+VLOOKUP(AE$4,$DE$6:$DF$17,2)+1))*(VLOOKUP($A95,CURVES!$D$9:$K$261,8))*(INDEX(DailyScalarsTable,AE$5/100,MONTH($A95)))*$B95</f>
        <v>-63115.293191830708</v>
      </c>
      <c r="AF95" s="1021"/>
      <c r="AG95" s="1021">
        <f>(VLOOKUP(YEAR($A95),'NY East Load Projections'!$A$4:$EO$14,((MONTH($A95)-1)*12)+VLOOKUP(AG$4,$DE$6:$DF$17,2)+1))*(VLOOKUP($A95,CURVES!$D$9:$T$261,8))*(INDEX(DailyScalarsTable,AG$5/100,MONTH($A95)))*$C95</f>
        <v>-9657.0492478308588</v>
      </c>
      <c r="AH95" s="1021">
        <f>(VLOOKUP(YEAR($A95),'NY East Load Projections'!$A$4:$EO$14,((MONTH($A95)-1)*12)+VLOOKUP(AH$4,$DE$6:$DF$17,2)+1))*(VLOOKUP($A95,CURVES!$D$9:$T$261,8))*(INDEX(DailyScalarsTable,AH$5/100,MONTH($A95)))*$C95</f>
        <v>-8000.9901241946463</v>
      </c>
      <c r="AI95" s="1021">
        <f>(VLOOKUP(YEAR($A95),'NY East Load Projections'!$A$4:$EO$14,((MONTH($A95)-1)*12)+VLOOKUP(AI$4,$DE$6:$DF$17,2)+1))*(VLOOKUP($A95,CURVES!$D$9:$T$261,8))*(INDEX(DailyScalarsTable,AI$5/100,MONTH($A95)))*$C95</f>
        <v>-6725.5774259912359</v>
      </c>
      <c r="AJ95" s="1021">
        <f>(VLOOKUP(YEAR($A95),'NY East Load Projections'!$A$4:$EO$14,((MONTH($A95)-1)*12)+VLOOKUP(AJ$4,$DE$6:$DF$17,2)+1))*(VLOOKUP($A95,CURVES!$D$9:$T$261,8))*(INDEX(DailyScalarsTable,AJ$5/100,MONTH($A95)))*$C95</f>
        <v>-6243.5900691120414</v>
      </c>
      <c r="AK95" s="1021">
        <f>(VLOOKUP(YEAR($A95),'NY East Load Projections'!$A$4:$EO$14,((MONTH($A95)-1)*12)+VLOOKUP(AK$4,$DE$6:$DF$17,2)+1))*(VLOOKUP($A95,CURVES!$D$9:$T$261,8))*(INDEX(DailyScalarsTable,AK$5/100,MONTH($A95)))*$C95</f>
        <v>-6846.8016360870279</v>
      </c>
      <c r="AL95" s="1021">
        <f>(VLOOKUP(YEAR($A95),'NY East Load Projections'!$A$4:$EO$14,((MONTH($A95)-1)*12)+VLOOKUP(AL$4,$DE$6:$DF$17,2)+1))*(VLOOKUP($A95,CURVES!$D$9:$T$261,8))*(INDEX(DailyScalarsTable,AL$5/100,MONTH($A95)))*$C95</f>
        <v>-8353.597762568952</v>
      </c>
      <c r="AM95" s="1021">
        <f>(VLOOKUP(YEAR($A95),'NY East Load Projections'!$A$4:$EO$14,((MONTH($A95)-1)*12)+VLOOKUP(AM$4,$DE$6:$DF$17,2)+1))*(VLOOKUP($A95,CURVES!$D$9:$T$261,8))*(INDEX(DailyScalarsTable,AM$5/100,MONTH($A95)))*$C95</f>
        <v>-9578.0257923801364</v>
      </c>
      <c r="AN95" s="1021">
        <f>(VLOOKUP(YEAR($A95),'NY East Load Projections'!$A$4:$EO$14,((MONTH($A95)-1)*12)+VLOOKUP(AN$4,$DE$6:$DF$17,2)+1))*(VLOOKUP($A95,SatSunCurve,4))*(INDEX(DailyScalarsTable,AN$5/100,MONTH($A95)))*$C95</f>
        <v>-7687.8292050385508</v>
      </c>
      <c r="AO95" s="1021">
        <f>(VLOOKUP(YEAR($A95),'NY East Load Projections'!$A$4:$EO$14,((MONTH($A95)-1)*12)+VLOOKUP(AO$4,$DE$6:$DF$17,2)+1))*(VLOOKUP($A95,SatSunCurve,4))*(INDEX(DailyScalarsTable,AO$5/100,MONTH($A95)))*$C95</f>
        <v>-9799.4695219076802</v>
      </c>
      <c r="AP95" s="1021">
        <f>(VLOOKUP(YEAR($A95),'NY East Load Projections'!$A$4:$EO$14,((MONTH($A95)-1)*12)+VLOOKUP(AP$4,$DE$6:$DF$17,2)+1))*(VLOOKUP($A95,SatSunCurve,4))*(INDEX(DailyScalarsTable,AP$5/100,MONTH($A95)))*$C95</f>
        <v>-10960.633658070621</v>
      </c>
      <c r="AQ95" s="1021">
        <f>(VLOOKUP(YEAR($A95),'NY East Load Projections'!$A$4:$EO$14,((MONTH($A95)-1)*12)+VLOOKUP(AQ$4,$DE$6:$DF$17,2)+1))*(VLOOKUP($A95,SatSunCurve,4))*(INDEX(DailyScalarsTable,AQ$5/100,MONTH($A95)))*$C95</f>
        <v>-12607.906448869824</v>
      </c>
      <c r="AR95" s="1021">
        <f>(VLOOKUP(YEAR($A95),'NY East Load Projections'!$A$4:$EO$14,((MONTH($A95)-1)*12)+VLOOKUP(AR$4,$DE$6:$DF$17,2)+1))*(VLOOKUP($A95,SatSunCurve,4))*(INDEX(DailyScalarsTable,AR$5/100,MONTH($A95)))*$C95</f>
        <v>-13597.300742405117</v>
      </c>
      <c r="AS95" s="1021">
        <f>(VLOOKUP(YEAR($A95),'NY East Load Projections'!$A$4:$EO$14,((MONTH($A95)-1)*12)+VLOOKUP(AS$4,$DE$6:$DF$17,2)+1))*(VLOOKUP($A95,SatSunCurve,4))*(INDEX(DailyScalarsTable,AS$5/100,MONTH($A95)))*$C95</f>
        <v>-14495.256528252337</v>
      </c>
      <c r="AT95" s="1021">
        <f>(VLOOKUP(YEAR($A95),'NY East Load Projections'!$A$4:$EO$14,((MONTH($A95)-1)*12)+VLOOKUP(AT$4,$DE$6:$DF$17,2)+1))*(VLOOKUP($A95,SatSunCurve,4))*(INDEX(DailyScalarsTable,AT$5/100,MONTH($A95)))*$C95</f>
        <v>-16030.069126855278</v>
      </c>
      <c r="AU95" s="1021">
        <f>(VLOOKUP(YEAR($A95),'NY East Load Projections'!$A$4:$EO$14,((MONTH($A95)-1)*12)+VLOOKUP(AU$4,$DE$6:$DF$17,2)+1))*(VLOOKUP($A95,SatSunCurve,4))*(INDEX(DailyScalarsTable,AU$5/100,MONTH($A95)))*$C95</f>
        <v>-16153.418015376757</v>
      </c>
      <c r="AV95" s="1021">
        <f>(VLOOKUP(YEAR($A95),'NY East Load Projections'!$A$4:$EO$14,((MONTH($A95)-1)*12)+VLOOKUP(AV$4,$DE$6:$DF$17,2)+1))*(VLOOKUP($A95,SatSunCurve,4))*(INDEX(DailyScalarsTable,AV$5/100,MONTH($A95)))*$C95</f>
        <v>-16179.849920059927</v>
      </c>
      <c r="AW95" s="1021">
        <f>(VLOOKUP(YEAR($A95),'NY East Load Projections'!$A$4:$EO$14,((MONTH($A95)-1)*12)+VLOOKUP(AW$4,$DE$6:$DF$17,2)+1))*(VLOOKUP($A95,SatSunCurve,4))*(INDEX(DailyScalarsTable,AW$5/100,MONTH($A95)))*$C95</f>
        <v>-15729.066871163148</v>
      </c>
      <c r="AX95" s="1021">
        <f>(VLOOKUP(YEAR($A95),'NY East Load Projections'!$A$4:$EO$14,((MONTH($A95)-1)*12)+VLOOKUP(AX$4,$DE$6:$DF$17,2)+1))*(VLOOKUP($A95,SatSunCurve,4))*(INDEX(DailyScalarsTable,AX$5/100,MONTH($A95)))*$C95</f>
        <v>-15262.133903280583</v>
      </c>
      <c r="AY95" s="1021">
        <f>(VLOOKUP(YEAR($A95),'NY East Load Projections'!$A$4:$EO$14,((MONTH($A95)-1)*12)+VLOOKUP(AY$4,$DE$6:$DF$17,2)+1))*(VLOOKUP($A95,SatSunCurve,4))*(INDEX(DailyScalarsTable,AY$5/100,MONTH($A95)))*$C95</f>
        <v>-13031.981136101413</v>
      </c>
      <c r="AZ95" s="1021">
        <f>(VLOOKUP(YEAR($A95),'NY East Load Projections'!$A$4:$EO$14,((MONTH($A95)-1)*12)+VLOOKUP(AZ$4,$DE$6:$DF$17,2)+1))*(VLOOKUP($A95,SatSunCurve,4))*(INDEX(DailyScalarsTable,AZ$5/100,MONTH($A95)))*$C95</f>
        <v>-10420.865008844774</v>
      </c>
      <c r="BA95" s="1021">
        <f>(VLOOKUP(YEAR($A95),'NY East Load Projections'!$A$4:$EO$14,((MONTH($A95)-1)*12)+VLOOKUP(BA$4,$DE$6:$DF$17,2)+1))*(VLOOKUP($A95,SatSunCurve,4))*(INDEX(DailyScalarsTable,BA$5/100,MONTH($A95)))*$C95</f>
        <v>-10750.520333082181</v>
      </c>
      <c r="BB95" s="1021">
        <f>(VLOOKUP(YEAR($A95),'NY East Load Projections'!$A$4:$EO$14,((MONTH($A95)-1)*12)+VLOOKUP(BB$4,$DE$6:$DF$17,2)+1))*(VLOOKUP($A95,SatSunCurve,4))*(INDEX(DailyScalarsTable,BB$5/100,MONTH($A95)))*$C95</f>
        <v>-10953.752855008564</v>
      </c>
      <c r="BC95" s="1021">
        <f>(VLOOKUP(YEAR($A95),'NY East Load Projections'!$A$4:$EO$14,((MONTH($A95)-1)*12)+VLOOKUP(BC$4,$DE$6:$DF$17,2)+1))*(VLOOKUP($A95,SatSunCurve,4))*(INDEX(DailyScalarsTable,BC$5/100,MONTH($A95)))*$C95</f>
        <v>-8783.8056130229379</v>
      </c>
      <c r="BD95" s="1021">
        <f>(VLOOKUP(YEAR($A95),'NY East Load Projections'!$A$4:$EO$14,((MONTH($A95)-1)*12)+VLOOKUP(BD$4,$DE$6:$DF$17,2)+1))*(VLOOKUP($A95,CURVES!$D$9:$T$261,8))*(INDEX(DailyScalarsTable,BD$5/100,MONTH($A95)))*$C95</f>
        <v>-11902.004027548957</v>
      </c>
      <c r="BE95" s="1021"/>
      <c r="BF95" s="1021">
        <f>(VLOOKUP(YEAR($A95),'NY East Load Projections'!$A$4:$EO$14,((MONTH($A95)-1)*12)+VLOOKUP(BF$4,$DE$6:$DF$17,2)+1))*(VLOOKUP($A95,CURVES!$D$9:$T$261,8))*(INDEX(DailyScalarsTable,BF$5/100,MONTH($A95)))*$D95</f>
        <v>-12071.311559788574</v>
      </c>
      <c r="BG95" s="1021">
        <f>(VLOOKUP(YEAR($A95),'NY East Load Projections'!$A$4:$EO$14,((MONTH($A95)-1)*12)+VLOOKUP(BG$4,$DE$6:$DF$17,2)+1))*(VLOOKUP($A95,CURVES!$D$9:$T$261,8))*(INDEX(DailyScalarsTable,BG$5/100,MONTH($A95)))*$D95</f>
        <v>-10001.237655243309</v>
      </c>
      <c r="BH95" s="1021">
        <f>(VLOOKUP(YEAR($A95),'NY East Load Projections'!$A$4:$EO$14,((MONTH($A95)-1)*12)+VLOOKUP(BH$4,$DE$6:$DF$17,2)+1))*(VLOOKUP($A95,CURVES!$D$9:$T$261,8))*(INDEX(DailyScalarsTable,BH$5/100,MONTH($A95)))*$D95</f>
        <v>-8406.9717824890449</v>
      </c>
      <c r="BI95" s="1021">
        <f>(VLOOKUP(YEAR($A95),'NY East Load Projections'!$A$4:$EO$14,((MONTH($A95)-1)*12)+VLOOKUP(BI$4,$DE$6:$DF$17,2)+1))*(VLOOKUP($A95,CURVES!$D$9:$T$261,8))*(INDEX(DailyScalarsTable,BI$5/100,MONTH($A95)))*$D95</f>
        <v>-7804.4875863900515</v>
      </c>
      <c r="BJ95" s="1021">
        <f>(VLOOKUP(YEAR($A95),'NY East Load Projections'!$A$4:$EO$14,((MONTH($A95)-1)*12)+VLOOKUP(BJ$4,$DE$6:$DF$17,2)+1))*(VLOOKUP($A95,CURVES!$D$9:$T$261,8))*(INDEX(DailyScalarsTable,BJ$5/100,MONTH($A95)))*$D95</f>
        <v>-8558.5020451087839</v>
      </c>
      <c r="BK95" s="1021">
        <f>(VLOOKUP(YEAR($A95),'NY East Load Projections'!$A$4:$EO$14,((MONTH($A95)-1)*12)+VLOOKUP(BK$4,$DE$6:$DF$17,2)+1))*(VLOOKUP($A95,CURVES!$D$9:$T$261,8))*(INDEX(DailyScalarsTable,BK$5/100,MONTH($A95)))*$D95</f>
        <v>-10441.997203211191</v>
      </c>
      <c r="BL95" s="1021">
        <f>(VLOOKUP(YEAR($A95),'NY East Load Projections'!$A$4:$EO$14,((MONTH($A95)-1)*12)+VLOOKUP(BL$4,$DE$6:$DF$17,2)+1))*(VLOOKUP($A95,CURVES!$D$9:$T$261,8))*(INDEX(DailyScalarsTable,BL$5/100,MONTH($A95)))*$D95</f>
        <v>-11972.532240475171</v>
      </c>
      <c r="BM95" s="1021">
        <f>(VLOOKUP(YEAR($A95),'NY East Load Projections'!$A$4:$EO$14,((MONTH($A95)-1)*12)+VLOOKUP(BM$4,$DE$6:$DF$17,2)+1))*(VLOOKUP($A95,SatSunCurve,8))*(INDEX(DailyScalarsTable,BM$5/100,MONTH($A95)))*$D95</f>
        <v>-7282.6518102795962</v>
      </c>
      <c r="BN95" s="1021">
        <f>(VLOOKUP(YEAR($A95),'NY East Load Projections'!$A$4:$EO$14,((MONTH($A95)-1)*12)+VLOOKUP(BN$4,$DE$6:$DF$17,2)+1))*(VLOOKUP($A95,SatSunCurve,8))*(INDEX(DailyScalarsTable,BN$5/100,MONTH($A95)))*$D95</f>
        <v>-9283.000773056694</v>
      </c>
      <c r="BO95" s="1021">
        <f>(VLOOKUP(YEAR($A95),'NY East Load Projections'!$A$4:$EO$14,((MONTH($A95)-1)*12)+VLOOKUP(BO$4,$DE$6:$DF$17,2)+1))*(VLOOKUP($A95,SatSunCurve,8))*(INDEX(DailyScalarsTable,BO$5/100,MONTH($A95)))*$D95</f>
        <v>-10382.967209969282</v>
      </c>
      <c r="BP95" s="1021">
        <f>(VLOOKUP(YEAR($A95),'NY East Load Projections'!$A$4:$EO$14,((MONTH($A95)-1)*12)+VLOOKUP(BP$4,$DE$6:$DF$17,2)+1))*(VLOOKUP($A95,SatSunCurve,8))*(INDEX(DailyScalarsTable,BP$5/100,MONTH($A95)))*$D95</f>
        <v>-11943.422554642613</v>
      </c>
      <c r="BQ95" s="1021">
        <f>(VLOOKUP(YEAR($A95),'NY East Load Projections'!$A$4:$EO$14,((MONTH($A95)-1)*12)+VLOOKUP(BQ$4,$DE$6:$DF$17,2)+1))*(VLOOKUP($A95,SatSunCurve,8))*(INDEX(DailyScalarsTable,BQ$5/100,MONTH($A95)))*$D95</f>
        <v>-12880.672063017842</v>
      </c>
      <c r="BR95" s="1021">
        <f>(VLOOKUP(YEAR($A95),'NY East Load Projections'!$A$4:$EO$14,((MONTH($A95)-1)*12)+VLOOKUP(BR$4,$DE$6:$DF$17,2)+1))*(VLOOKUP($A95,SatSunCurve,8))*(INDEX(DailyScalarsTable,BR$5/100,MONTH($A95)))*$D95</f>
        <v>-13731.302215553664</v>
      </c>
      <c r="BS95" s="1021">
        <f>(VLOOKUP(YEAR($A95),'NY East Load Projections'!$A$4:$EO$14,((MONTH($A95)-1)*12)+VLOOKUP(BS$4,$DE$6:$DF$17,2)+1))*(VLOOKUP($A95,SatSunCurve,8))*(INDEX(DailyScalarsTable,BS$5/100,MONTH($A95)))*$D95</f>
        <v>-15185.224441392133</v>
      </c>
      <c r="BT95" s="1021">
        <f>(VLOOKUP(YEAR($A95),'NY East Load Projections'!$A$4:$EO$14,((MONTH($A95)-1)*12)+VLOOKUP(BT$4,$DE$6:$DF$17,2)+1))*(VLOOKUP($A95,SatSunCurve,8))*(INDEX(DailyScalarsTable,BT$5/100,MONTH($A95)))*$D95</f>
        <v>-15302.072381471004</v>
      </c>
      <c r="BU95" s="1021">
        <f>(VLOOKUP(YEAR($A95),'NY East Load Projections'!$A$4:$EO$14,((MONTH($A95)-1)*12)+VLOOKUP(BU$4,$DE$6:$DF$17,2)+1))*(VLOOKUP($A95,SatSunCurve,8))*(INDEX(DailyScalarsTable,BU$5/100,MONTH($A95)))*$D95</f>
        <v>-15327.111225773613</v>
      </c>
      <c r="BV95" s="1021">
        <f>(VLOOKUP(YEAR($A95),'NY East Load Projections'!$A$4:$EO$14,((MONTH($A95)-1)*12)+VLOOKUP(BV$4,$DE$6:$DF$17,2)+1))*(VLOOKUP($A95,SatSunCurve,8))*(INDEX(DailyScalarsTable,BV$5/100,MONTH($A95)))*$D95</f>
        <v>-14900.086132013739</v>
      </c>
      <c r="BW95" s="1021">
        <f>(VLOOKUP(YEAR($A95),'NY East Load Projections'!$A$4:$EO$14,((MONTH($A95)-1)*12)+VLOOKUP(BW$4,$DE$6:$DF$17,2)+1))*(VLOOKUP($A95,SatSunCurve,8))*(INDEX(DailyScalarsTable,BW$5/100,MONTH($A95)))*$D95</f>
        <v>-14457.76228049002</v>
      </c>
      <c r="BX95" s="1021">
        <f>(VLOOKUP(YEAR($A95),'NY East Load Projections'!$A$4:$EO$14,((MONTH($A95)-1)*12)+VLOOKUP(BX$4,$DE$6:$DF$17,2)+1))*(VLOOKUP($A95,SatSunCurve,8))*(INDEX(DailyScalarsTable,BX$5/100,MONTH($A95)))*$D95</f>
        <v>-12345.146917436306</v>
      </c>
      <c r="BY95" s="1021">
        <f>(VLOOKUP(YEAR($A95),'NY East Load Projections'!$A$4:$EO$14,((MONTH($A95)-1)*12)+VLOOKUP(BY$4,$DE$6:$DF$17,2)+1))*(VLOOKUP($A95,SatSunCurve,8))*(INDEX(DailyScalarsTable,BY$5/100,MONTH($A95)))*$D95</f>
        <v>-9871.6463903235381</v>
      </c>
      <c r="BZ95" s="1021">
        <f>(VLOOKUP(YEAR($A95),'NY East Load Projections'!$A$4:$EO$14,((MONTH($A95)-1)*12)+VLOOKUP(BZ$4,$DE$6:$DF$17,2)+1))*(VLOOKUP($A95,SatSunCurve,8))*(INDEX(DailyScalarsTable,BZ$5/100,MONTH($A95)))*$D95</f>
        <v>-10183.927644211491</v>
      </c>
      <c r="CA95" s="1021">
        <f>(VLOOKUP(YEAR($A95),'NY East Load Projections'!$A$4:$EO$14,((MONTH($A95)-1)*12)+VLOOKUP(CA$4,$DE$6:$DF$17,2)+1))*(VLOOKUP($A95,SatSunCurve,8))*(INDEX(DailyScalarsTable,CA$5/100,MONTH($A95)))*$D95</f>
        <v>-10376.449051001438</v>
      </c>
      <c r="CB95" s="1021">
        <f>(VLOOKUP(YEAR($A95),'NY East Load Projections'!$A$4:$EO$14,((MONTH($A95)-1)*12)+VLOOKUP(CB$4,$DE$6:$DF$17,2)+1))*(VLOOKUP($A95,SatSunCurve,8))*(INDEX(DailyScalarsTable,CB$5/100,MONTH($A95)))*$D95</f>
        <v>-8320.8661564568138</v>
      </c>
      <c r="CC95" s="1021">
        <f>(VLOOKUP(YEAR($A95),'NY East Load Projections'!$A$4:$EO$14,((MONTH($A95)-1)*12)+VLOOKUP(CC$4,$DE$6:$DF$17,2)+1))*(VLOOKUP($A95,CURVES!$D$9:$T$261,8))*(INDEX(DailyScalarsTable,CC$5/100,MONTH($A95)))*$D95</f>
        <v>-14877.505034436197</v>
      </c>
      <c r="CE95" s="1021">
        <f>(VLOOKUP(YEAR($A95),'NY East Load Projections'!$A$4:$EO$14,((MONTH($A95)-1)*12)+VLOOKUP(CE$4,$DE$6:$DF$17,2)+1))*(VLOOKUP($A95,CURVES!$D$9:$T$261,8))*(INDEX(DailyScalarsTable,CE$5/100,MONTH($A95)))*$E95</f>
        <v>0</v>
      </c>
      <c r="CF95" s="1021">
        <f>(VLOOKUP(YEAR($A95),'NY East Load Projections'!$A$4:$EO$14,((MONTH($A95)-1)*12)+VLOOKUP(CF$4,$DE$6:$DF$17,2)+1))*(VLOOKUP($A95,CURVES!$D$9:$T$261,8))*(INDEX(DailyScalarsTable,CF$5/100,MONTH($A95)))*$E95</f>
        <v>0</v>
      </c>
      <c r="CG95" s="1021">
        <f>(VLOOKUP(YEAR($A95),'NY East Load Projections'!$A$4:$EO$14,((MONTH($A95)-1)*12)+VLOOKUP(CG$4,$DE$6:$DF$17,2)+1))*(VLOOKUP($A95,CURVES!$D$9:$T$261,8))*(INDEX(DailyScalarsTable,CG$5/100,MONTH($A95)))*$E95</f>
        <v>0</v>
      </c>
      <c r="CH95" s="1021">
        <f>(VLOOKUP(YEAR($A95),'NY East Load Projections'!$A$4:$EO$14,((MONTH($A95)-1)*12)+VLOOKUP(CH$4,$DE$6:$DF$17,2)+1))*(VLOOKUP($A95,CURVES!$D$9:$T$261,8))*(INDEX(DailyScalarsTable,CH$5/100,MONTH($A95)))*$E95</f>
        <v>0</v>
      </c>
      <c r="CI95" s="1021">
        <f>(VLOOKUP(YEAR($A95),'NY East Load Projections'!$A$4:$EO$14,((MONTH($A95)-1)*12)+VLOOKUP(CI$4,$DE$6:$DF$17,2)+1))*(VLOOKUP($A95,CURVES!$D$9:$T$261,8))*(INDEX(DailyScalarsTable,CI$5/100,MONTH($A95)))*$E95</f>
        <v>0</v>
      </c>
      <c r="CJ95" s="1021">
        <f>(VLOOKUP(YEAR($A95),'NY East Load Projections'!$A$4:$EO$14,((MONTH($A95)-1)*12)+VLOOKUP(CJ$4,$DE$6:$DF$17,2)+1))*(VLOOKUP($A95,CURVES!$D$9:$T$261,8))*(INDEX(DailyScalarsTable,CJ$5/100,MONTH($A95)))*$E95</f>
        <v>0</v>
      </c>
      <c r="CK95" s="1021">
        <f>(VLOOKUP(YEAR($A95),'NY East Load Projections'!$A$4:$EO$14,((MONTH($A95)-1)*12)+VLOOKUP(CK$4,$DE$6:$DF$17,2)+1))*(VLOOKUP($A95,CURVES!$D$9:$T$261,8))*(INDEX(DailyScalarsTable,CK$5/100,MONTH($A95)))*$E95</f>
        <v>0</v>
      </c>
      <c r="CL95" s="1021">
        <f>(VLOOKUP(YEAR($A95),'NY East Load Projections'!$A$4:$EO$14,((MONTH($A95)-1)*12)+VLOOKUP(CL$4,$DE$6:$DF$17,2)+1))*(VLOOKUP($A95,SatSunCurve,8))*(INDEX(DailyScalarsTable,CL$5/100,MONTH($A95)))*$E95</f>
        <v>0</v>
      </c>
      <c r="CM95" s="1021">
        <f>(VLOOKUP(YEAR($A95),'NY East Load Projections'!$A$4:$EO$14,((MONTH($A95)-1)*12)+VLOOKUP(CM$4,$DE$6:$DF$17,2)+1))*(VLOOKUP($A95,SatSunCurve,8))*(INDEX(DailyScalarsTable,CM$5/100,MONTH($A95)))*$E95</f>
        <v>0</v>
      </c>
      <c r="CN95" s="1021">
        <f>(VLOOKUP(YEAR($A95),'NY East Load Projections'!$A$4:$EO$14,((MONTH($A95)-1)*12)+VLOOKUP(CN$4,$DE$6:$DF$17,2)+1))*(VLOOKUP($A95,SatSunCurve,8))*(INDEX(DailyScalarsTable,CN$5/100,MONTH($A95)))*$E95</f>
        <v>0</v>
      </c>
      <c r="CO95" s="1021">
        <f>(VLOOKUP(YEAR($A95),'NY East Load Projections'!$A$4:$EO$14,((MONTH($A95)-1)*12)+VLOOKUP(CO$4,$DE$6:$DF$17,2)+1))*(VLOOKUP($A95,SatSunCurve,8))*(INDEX(DailyScalarsTable,CO$5/100,MONTH($A95)))*$E95</f>
        <v>0</v>
      </c>
      <c r="CP95" s="1021">
        <f>(VLOOKUP(YEAR($A95),'NY East Load Projections'!$A$4:$EO$14,((MONTH($A95)-1)*12)+VLOOKUP(CP$4,$DE$6:$DF$17,2)+1))*(VLOOKUP($A95,SatSunCurve,8))*(INDEX(DailyScalarsTable,CP$5/100,MONTH($A95)))*$E95</f>
        <v>0</v>
      </c>
      <c r="CQ95" s="1021">
        <f>(VLOOKUP(YEAR($A95),'NY East Load Projections'!$A$4:$EO$14,((MONTH($A95)-1)*12)+VLOOKUP(CQ$4,$DE$6:$DF$17,2)+1))*(VLOOKUP($A95,SatSunCurve,8))*(INDEX(DailyScalarsTable,CQ$5/100,MONTH($A95)))*$E95</f>
        <v>0</v>
      </c>
      <c r="CR95" s="1021">
        <f>(VLOOKUP(YEAR($A95),'NY East Load Projections'!$A$4:$EO$14,((MONTH($A95)-1)*12)+VLOOKUP(CR$4,$DE$6:$DF$17,2)+1))*(VLOOKUP($A95,SatSunCurve,8))*(INDEX(DailyScalarsTable,CR$5/100,MONTH($A95)))*$E95</f>
        <v>0</v>
      </c>
      <c r="CS95" s="1021">
        <f>(VLOOKUP(YEAR($A95),'NY East Load Projections'!$A$4:$EO$14,((MONTH($A95)-1)*12)+VLOOKUP(CS$4,$DE$6:$DF$17,2)+1))*(VLOOKUP($A95,SatSunCurve,8))*(INDEX(DailyScalarsTable,CS$5/100,MONTH($A95)))*$E95</f>
        <v>0</v>
      </c>
      <c r="CT95" s="1021">
        <f>(VLOOKUP(YEAR($A95),'NY East Load Projections'!$A$4:$EO$14,((MONTH($A95)-1)*12)+VLOOKUP(CT$4,$DE$6:$DF$17,2)+1))*(VLOOKUP($A95,SatSunCurve,8))*(INDEX(DailyScalarsTable,CT$5/100,MONTH($A95)))*$E95</f>
        <v>0</v>
      </c>
      <c r="CU95" s="1021">
        <f>(VLOOKUP(YEAR($A95),'NY East Load Projections'!$A$4:$EO$14,((MONTH($A95)-1)*12)+VLOOKUP(CU$4,$DE$6:$DF$17,2)+1))*(VLOOKUP($A95,SatSunCurve,8))*(INDEX(DailyScalarsTable,CU$5/100,MONTH($A95)))*$E95</f>
        <v>0</v>
      </c>
      <c r="CV95" s="1021">
        <f>(VLOOKUP(YEAR($A95),'NY East Load Projections'!$A$4:$EO$14,((MONTH($A95)-1)*12)+VLOOKUP(CV$4,$DE$6:$DF$17,2)+1))*(VLOOKUP($A95,SatSunCurve,8))*(INDEX(DailyScalarsTable,CV$5/100,MONTH($A95)))*$E95</f>
        <v>0</v>
      </c>
      <c r="CW95" s="1021">
        <f>(VLOOKUP(YEAR($A95),'NY East Load Projections'!$A$4:$EO$14,((MONTH($A95)-1)*12)+VLOOKUP(CW$4,$DE$6:$DF$17,2)+1))*(VLOOKUP($A95,SatSunCurve,8))*(INDEX(DailyScalarsTable,CW$5/100,MONTH($A95)))*$E95</f>
        <v>0</v>
      </c>
      <c r="CX95" s="1021">
        <f>(VLOOKUP(YEAR($A95),'NY East Load Projections'!$A$4:$EO$14,((MONTH($A95)-1)*12)+VLOOKUP(CX$4,$DE$6:$DF$17,2)+1))*(VLOOKUP($A95,SatSunCurve,8))*(INDEX(DailyScalarsTable,CX$5/100,MONTH($A95)))*$E95</f>
        <v>0</v>
      </c>
      <c r="CY95" s="1021">
        <f>(VLOOKUP(YEAR($A95),'NY East Load Projections'!$A$4:$EO$14,((MONTH($A95)-1)*12)+VLOOKUP(CY$4,$DE$6:$DF$17,2)+1))*(VLOOKUP($A95,SatSunCurve,8))*(INDEX(DailyScalarsTable,CY$5/100,MONTH($A95)))*$E95</f>
        <v>0</v>
      </c>
      <c r="CZ95" s="1021">
        <f>(VLOOKUP(YEAR($A95),'NY East Load Projections'!$A$4:$EO$14,((MONTH($A95)-1)*12)+VLOOKUP(CZ$4,$DE$6:$DF$17,2)+1))*(VLOOKUP($A95,SatSunCurve,8))*(INDEX(DailyScalarsTable,CZ$5/100,MONTH($A95)))*$E95</f>
        <v>0</v>
      </c>
      <c r="DA95" s="1021">
        <f>(VLOOKUP(YEAR($A95),'NY East Load Projections'!$A$4:$EO$14,((MONTH($A95)-1)*12)+VLOOKUP(DA$4,$DE$6:$DF$17,2)+1))*(VLOOKUP($A95,SatSunCurve,8))*(INDEX(DailyScalarsTable,DA$5/100,MONTH($A95)))*$E95</f>
        <v>0</v>
      </c>
      <c r="DB95" s="1021">
        <f>(VLOOKUP(YEAR($A95),'NY East Load Projections'!$A$4:$EO$14,((MONTH($A95)-1)*12)+VLOOKUP(DB$4,$DE$6:$DF$17,2)+1))*(VLOOKUP($A95,CURVES!$D$9:$T$261,8))*(INDEX(DailyScalarsTable,DB$5/100,MONTH($A95)))*$E95</f>
        <v>0</v>
      </c>
      <c r="DH95" s="1021">
        <f t="shared" si="2"/>
        <v>-2885465.1561621604</v>
      </c>
      <c r="DI95">
        <f ca="1">CALC!J115</f>
        <v>0.54429372116598296</v>
      </c>
      <c r="DJ95" s="1029">
        <f t="shared" ca="1" si="3"/>
        <v>-1570540.5671422863</v>
      </c>
    </row>
    <row r="96" spans="1:114" x14ac:dyDescent="0.25">
      <c r="A96" s="244">
        <v>39630</v>
      </c>
      <c r="B96" s="13">
        <v>22</v>
      </c>
      <c r="C96" s="210">
        <v>4</v>
      </c>
      <c r="D96" s="210">
        <v>4</v>
      </c>
      <c r="E96" s="210">
        <v>1</v>
      </c>
      <c r="F96" s="13">
        <v>31</v>
      </c>
      <c r="H96" s="1021">
        <f>(VLOOKUP(YEAR($A96),'NY East Load Projections'!$A$4:$EO$14,((MONTH($A96)-1)*12)+VLOOKUP(H$4,$DE$6:$DF$17,2)+1))*(VLOOKUP($A96,CURVES!$D$9:$K$261,8))*(INDEX(DailyScalarsTable,H$5/100,MONTH($A96)))*$B96</f>
        <v>-61191.252292873694</v>
      </c>
      <c r="I96" s="1021">
        <f>(VLOOKUP(YEAR($A96),'NY East Load Projections'!$A$4:$EO$14,((MONTH($A96)-1)*12)+VLOOKUP(I$4,$DE$6:$DF$17,2)+1))*(VLOOKUP($A96,CURVES!$D$9:$K$261,8))*(INDEX(DailyScalarsTable,I$5/100,MONTH($A96)))*$B96</f>
        <v>-55894.134722580071</v>
      </c>
      <c r="J96" s="1021">
        <f>(VLOOKUP(YEAR($A96),'NY East Load Projections'!$A$4:$EO$14,((MONTH($A96)-1)*12)+VLOOKUP(J$4,$DE$6:$DF$17,2)+1))*(VLOOKUP($A96,CURVES!$D$9:$K$261,8))*(INDEX(DailyScalarsTable,J$5/100,MONTH($A96)))*$B96</f>
        <v>-53257.506382411419</v>
      </c>
      <c r="K96" s="1021">
        <f>(VLOOKUP(YEAR($A96),'NY East Load Projections'!$A$4:$EO$14,((MONTH($A96)-1)*12)+VLOOKUP(K$4,$DE$6:$DF$17,2)+1))*(VLOOKUP($A96,CURVES!$D$9:$K$261,8))*(INDEX(DailyScalarsTable,K$5/100,MONTH($A96)))*$B96</f>
        <v>-47960.388812117795</v>
      </c>
      <c r="L96" s="1021">
        <f>(VLOOKUP(YEAR($A96),'NY East Load Projections'!$A$4:$EO$14,((MONTH($A96)-1)*12)+VLOOKUP(L$4,$DE$6:$DF$17,2)+1))*(VLOOKUP($A96,CURVES!$D$9:$K$261,8))*(INDEX(DailyScalarsTable,L$5/100,MONTH($A96)))*$B96</f>
        <v>-48614.401993651809</v>
      </c>
      <c r="M96" s="1021">
        <f>(VLOOKUP(YEAR($A96),'NY East Load Projections'!$A$4:$EO$14,((MONTH($A96)-1)*12)+VLOOKUP(M$4,$DE$6:$DF$17,2)+1))*(VLOOKUP($A96,CURVES!$D$9:$K$261,8))*(INDEX(DailyScalarsTable,M$5/100,MONTH($A96)))*$B96</f>
        <v>-53595.594650758147</v>
      </c>
      <c r="N96" s="1021">
        <f>(VLOOKUP(YEAR($A96),'NY East Load Projections'!$A$4:$EO$14,((MONTH($A96)-1)*12)+VLOOKUP(N$4,$DE$6:$DF$17,2)+1))*(VLOOKUP($A96,CURVES!$D$9:$K$261,8))*(INDEX(DailyScalarsTable,N$5/100,MONTH($A96)))*$B96</f>
        <v>-59519.51942199716</v>
      </c>
      <c r="O96" s="1021">
        <f>(VLOOKUP(YEAR($A96),'NY East Load Projections'!$A$4:$EO$14,((MONTH($A96)-1)*12)+VLOOKUP(O$4,$DE$6:$DF$17,2)+1))*(VLOOKUP($A96,CURVES!$D$9:$K$261,4))*(INDEX(DailyScalarsTable,O$5/100,MONTH($A96)))*$B96</f>
        <v>-100274.05677808067</v>
      </c>
      <c r="P96" s="1021">
        <f>(VLOOKUP(YEAR($A96),'NY East Load Projections'!$A$4:$EO$14,((MONTH($A96)-1)*12)+VLOOKUP(P$4,$DE$6:$DF$17,2)+1))*(VLOOKUP($A96,CURVES!$D$9:$K$261,4))*(INDEX(DailyScalarsTable,P$5/100,MONTH($A96)))*$B96</f>
        <v>-120522.36238791826</v>
      </c>
      <c r="Q96" s="1021">
        <f>(VLOOKUP(YEAR($A96),'NY East Load Projections'!$A$4:$EO$14,((MONTH($A96)-1)*12)+VLOOKUP(Q$4,$DE$6:$DF$17,2)+1))*(VLOOKUP($A96,CURVES!$D$9:$K$261,4))*(INDEX(DailyScalarsTable,Q$5/100,MONTH($A96)))*$B96</f>
        <v>-144298.30685786871</v>
      </c>
      <c r="R96" s="1021">
        <f>(VLOOKUP(YEAR($A96),'NY East Load Projections'!$A$4:$EO$14,((MONTH($A96)-1)*12)+VLOOKUP(R$4,$DE$6:$DF$17,2)+1))*(VLOOKUP($A96,CURVES!$D$9:$K$261,4))*(INDEX(DailyScalarsTable,R$5/100,MONTH($A96)))*$B96</f>
        <v>-164196.26608307651</v>
      </c>
      <c r="S96" s="1021">
        <f>(VLOOKUP(YEAR($A96),'NY East Load Projections'!$A$4:$EO$14,((MONTH($A96)-1)*12)+VLOOKUP(S$4,$DE$6:$DF$17,2)+1))*(VLOOKUP($A96,CURVES!$D$9:$K$261,4))*(INDEX(DailyScalarsTable,S$5/100,MONTH($A96)))*$B96</f>
        <v>-196303.95177753954</v>
      </c>
      <c r="T96" s="1021">
        <f>(VLOOKUP(YEAR($A96),'NY East Load Projections'!$A$4:$EO$14,((MONTH($A96)-1)*12)+VLOOKUP(T$4,$DE$6:$DF$17,2)+1))*(VLOOKUP($A96,CURVES!$D$9:$K$261,4))*(INDEX(DailyScalarsTable,T$5/100,MONTH($A96)))*$B96</f>
        <v>-220279.74675385689</v>
      </c>
      <c r="U96" s="1021">
        <f>(VLOOKUP(YEAR($A96),'NY East Load Projections'!$A$4:$EO$14,((MONTH($A96)-1)*12)+VLOOKUP(U$4,$DE$6:$DF$17,2)+1))*(VLOOKUP($A96,CURVES!$D$9:$K$261,4))*(INDEX(DailyScalarsTable,U$5/100,MONTH($A96)))*$B96</f>
        <v>-227693.6706035875</v>
      </c>
      <c r="V96" s="1021">
        <f>(VLOOKUP(YEAR($A96),'NY East Load Projections'!$A$4:$EO$14,((MONTH($A96)-1)*12)+VLOOKUP(V$4,$DE$6:$DF$17,2)+1))*(VLOOKUP($A96,CURVES!$D$9:$K$261,4))*(INDEX(DailyScalarsTable,V$5/100,MONTH($A96)))*$B96</f>
        <v>-237176.59645789408</v>
      </c>
      <c r="W96" s="1021">
        <f>(VLOOKUP(YEAR($A96),'NY East Load Projections'!$A$4:$EO$14,((MONTH($A96)-1)*12)+VLOOKUP(W$4,$DE$6:$DF$17,2)+1))*(VLOOKUP($A96,CURVES!$D$9:$K$261,4))*(INDEX(DailyScalarsTable,W$5/100,MONTH($A96)))*$B96</f>
        <v>-251711.33554004045</v>
      </c>
      <c r="X96" s="1021">
        <f>(VLOOKUP(YEAR($A96),'NY East Load Projections'!$A$4:$EO$14,((MONTH($A96)-1)*12)+VLOOKUP(X$4,$DE$6:$DF$17,2)+1))*(VLOOKUP($A96,CURVES!$D$9:$K$261,4))*(INDEX(DailyScalarsTable,X$5/100,MONTH($A96)))*$B96</f>
        <v>-248499.77367774805</v>
      </c>
      <c r="Y96" s="1021">
        <f>(VLOOKUP(YEAR($A96),'NY East Load Projections'!$A$4:$EO$14,((MONTH($A96)-1)*12)+VLOOKUP(Y$4,$DE$6:$DF$17,2)+1))*(VLOOKUP($A96,CURVES!$D$9:$K$261,4))*(INDEX(DailyScalarsTable,Y$5/100,MONTH($A96)))*$B96</f>
        <v>-242341.93226433799</v>
      </c>
      <c r="Z96" s="1021">
        <f>(VLOOKUP(YEAR($A96),'NY East Load Projections'!$A$4:$EO$14,((MONTH($A96)-1)*12)+VLOOKUP(Z$4,$DE$6:$DF$17,2)+1))*(VLOOKUP($A96,CURVES!$D$9:$K$261,4))*(INDEX(DailyScalarsTable,Z$5/100,MONTH($A96)))*$B96</f>
        <v>-202407.746621275</v>
      </c>
      <c r="AA96" s="1021">
        <f>(VLOOKUP(YEAR($A96),'NY East Load Projections'!$A$4:$EO$14,((MONTH($A96)-1)*12)+VLOOKUP(AA$4,$DE$6:$DF$17,2)+1))*(VLOOKUP($A96,CURVES!$D$9:$K$261,4))*(INDEX(DailyScalarsTable,AA$5/100,MONTH($A96)))*$B96</f>
        <v>-149774.05605787315</v>
      </c>
      <c r="AB96" s="1021">
        <f>(VLOOKUP(YEAR($A96),'NY East Load Projections'!$A$4:$EO$14,((MONTH($A96)-1)*12)+VLOOKUP(AB$4,$DE$6:$DF$17,2)+1))*(VLOOKUP($A96,CURVES!$D$9:$K$261,4))*(INDEX(DailyScalarsTable,AB$5/100,MONTH($A96)))*$B96</f>
        <v>-150997.05407026428</v>
      </c>
      <c r="AC96" s="1021">
        <f>(VLOOKUP(YEAR($A96),'NY East Load Projections'!$A$4:$EO$14,((MONTH($A96)-1)*12)+VLOOKUP(AC$4,$DE$6:$DF$17,2)+1))*(VLOOKUP($A96,CURVES!$D$9:$K$261,4))*(INDEX(DailyScalarsTable,AC$5/100,MONTH($A96)))*$B96</f>
        <v>-160001.81442179007</v>
      </c>
      <c r="AD96" s="1021">
        <f>(VLOOKUP(YEAR($A96),'NY East Load Projections'!$A$4:$EO$14,((MONTH($A96)-1)*12)+VLOOKUP(AD$4,$DE$6:$DF$17,2)+1))*(VLOOKUP($A96,CURVES!$D$9:$K$261,4))*(INDEX(DailyScalarsTable,AD$5/100,MONTH($A96)))*$B96</f>
        <v>-111114.48372955379</v>
      </c>
      <c r="AE96" s="1021">
        <f>(VLOOKUP(YEAR($A96),'NY East Load Projections'!$A$4:$EO$14,((MONTH($A96)-1)*12)+VLOOKUP(AE$4,$DE$6:$DF$17,2)+1))*(VLOOKUP($A96,CURVES!$D$9:$K$261,8))*(INDEX(DailyScalarsTable,AE$5/100,MONTH($A96)))*$B96</f>
        <v>-72309.614823985132</v>
      </c>
      <c r="AF96" s="1021"/>
      <c r="AG96" s="1021">
        <f>(VLOOKUP(YEAR($A96),'NY East Load Projections'!$A$4:$EO$14,((MONTH($A96)-1)*12)+VLOOKUP(AG$4,$DE$6:$DF$17,2)+1))*(VLOOKUP($A96,CURVES!$D$9:$T$261,8))*(INDEX(DailyScalarsTable,AG$5/100,MONTH($A96)))*$C96</f>
        <v>-10630.048748286576</v>
      </c>
      <c r="AH96" s="1021">
        <f>(VLOOKUP(YEAR($A96),'NY East Load Projections'!$A$4:$EO$14,((MONTH($A96)-1)*12)+VLOOKUP(AH$4,$DE$6:$DF$17,2)+1))*(VLOOKUP($A96,CURVES!$D$9:$T$261,8))*(INDEX(DailyScalarsTable,AH$5/100,MONTH($A96)))*$C96</f>
        <v>-9709.8417597431453</v>
      </c>
      <c r="AI96" s="1021">
        <f>(VLOOKUP(YEAR($A96),'NY East Load Projections'!$A$4:$EO$14,((MONTH($A96)-1)*12)+VLOOKUP(AI$4,$DE$6:$DF$17,2)+1))*(VLOOKUP($A96,CURVES!$D$9:$T$261,8))*(INDEX(DailyScalarsTable,AI$5/100,MONTH($A96)))*$C96</f>
        <v>-9251.8108037339189</v>
      </c>
      <c r="AJ96" s="1021">
        <f>(VLOOKUP(YEAR($A96),'NY East Load Projections'!$A$4:$EO$14,((MONTH($A96)-1)*12)+VLOOKUP(AJ$4,$DE$6:$DF$17,2)+1))*(VLOOKUP($A96,CURVES!$D$9:$T$261,8))*(INDEX(DailyScalarsTable,AJ$5/100,MONTH($A96)))*$C96</f>
        <v>-8331.6038151904886</v>
      </c>
      <c r="AK96" s="1021">
        <f>(VLOOKUP(YEAR($A96),'NY East Load Projections'!$A$4:$EO$14,((MONTH($A96)-1)*12)+VLOOKUP(AK$4,$DE$6:$DF$17,2)+1))*(VLOOKUP($A96,CURVES!$D$9:$T$261,8))*(INDEX(DailyScalarsTable,AK$5/100,MONTH($A96)))*$C96</f>
        <v>-8030.6584271611819</v>
      </c>
      <c r="AL96" s="1021">
        <f>(VLOOKUP(YEAR($A96),'NY East Load Projections'!$A$4:$EO$14,((MONTH($A96)-1)*12)+VLOOKUP(AL$4,$DE$6:$DF$17,2)+1))*(VLOOKUP($A96,CURVES!$D$9:$T$261,8))*(INDEX(DailyScalarsTable,AL$5/100,MONTH($A96)))*$C96</f>
        <v>-8853.50629011192</v>
      </c>
      <c r="AM96" s="1021">
        <f>(VLOOKUP(YEAR($A96),'NY East Load Projections'!$A$4:$EO$14,((MONTH($A96)-1)*12)+VLOOKUP(AM$4,$DE$6:$DF$17,2)+1))*(VLOOKUP($A96,CURVES!$D$9:$T$261,8))*(INDEX(DailyScalarsTable,AM$5/100,MONTH($A96)))*$C96</f>
        <v>-9832.08495065436</v>
      </c>
      <c r="AN96" s="1021">
        <f>(VLOOKUP(YEAR($A96),'NY East Load Projections'!$A$4:$EO$14,((MONTH($A96)-1)*12)+VLOOKUP(AN$4,$DE$6:$DF$17,2)+1))*(VLOOKUP($A96,SatSunCurve,4))*(INDEX(DailyScalarsTable,AN$5/100,MONTH($A96)))*$C96</f>
        <v>-9406.6890543828031</v>
      </c>
      <c r="AO96" s="1021">
        <f>(VLOOKUP(YEAR($A96),'NY East Load Projections'!$A$4:$EO$14,((MONTH($A96)-1)*12)+VLOOKUP(AO$4,$DE$6:$DF$17,2)+1))*(VLOOKUP($A96,SatSunCurve,4))*(INDEX(DailyScalarsTable,AO$5/100,MONTH($A96)))*$C96</f>
        <v>-11304.740001459673</v>
      </c>
      <c r="AP96" s="1021">
        <f>(VLOOKUP(YEAR($A96),'NY East Load Projections'!$A$4:$EO$14,((MONTH($A96)-1)*12)+VLOOKUP(AP$4,$DE$6:$DF$17,2)+1))*(VLOOKUP($A96,SatSunCurve,4))*(INDEX(DailyScalarsTable,AP$5/100,MONTH($A96)))*$C96</f>
        <v>-13534.872776793294</v>
      </c>
      <c r="AQ96" s="1021">
        <f>(VLOOKUP(YEAR($A96),'NY East Load Projections'!$A$4:$EO$14,((MONTH($A96)-1)*12)+VLOOKUP(AQ$4,$DE$6:$DF$17,2)+1))*(VLOOKUP($A96,SatSunCurve,4))*(INDEX(DailyScalarsTable,AQ$5/100,MONTH($A96)))*$C96</f>
        <v>-15401.258824526203</v>
      </c>
      <c r="AR96" s="1021">
        <f>(VLOOKUP(YEAR($A96),'NY East Load Projections'!$A$4:$EO$14,((MONTH($A96)-1)*12)+VLOOKUP(AR$4,$DE$6:$DF$17,2)+1))*(VLOOKUP($A96,SatSunCurve,4))*(INDEX(DailyScalarsTable,AR$5/100,MONTH($A96)))*$C96</f>
        <v>-18412.891119421183</v>
      </c>
      <c r="AS96" s="1021">
        <f>(VLOOKUP(YEAR($A96),'NY East Load Projections'!$A$4:$EO$14,((MONTH($A96)-1)*12)+VLOOKUP(AS$4,$DE$6:$DF$17,2)+1))*(VLOOKUP($A96,SatSunCurve,4))*(INDEX(DailyScalarsTable,AS$5/100,MONTH($A96)))*$C96</f>
        <v>-20919.890795040952</v>
      </c>
      <c r="AT96" s="1021">
        <f>(VLOOKUP(YEAR($A96),'NY East Load Projections'!$A$4:$EO$14,((MONTH($A96)-1)*12)+VLOOKUP(AT$4,$DE$6:$DF$17,2)+1))*(VLOOKUP($A96,SatSunCurve,4))*(INDEX(DailyScalarsTable,AT$5/100,MONTH($A96)))*$C96</f>
        <v>-21623.988559745678</v>
      </c>
      <c r="AU96" s="1021">
        <f>(VLOOKUP(YEAR($A96),'NY East Load Projections'!$A$4:$EO$14,((MONTH($A96)-1)*12)+VLOOKUP(AU$4,$DE$6:$DF$17,2)+1))*(VLOOKUP($A96,SatSunCurve,4))*(INDEX(DailyScalarsTable,AU$5/100,MONTH($A96)))*$C96</f>
        <v>-22524.578723902883</v>
      </c>
      <c r="AV96" s="1021">
        <f>(VLOOKUP(YEAR($A96),'NY East Load Projections'!$A$4:$EO$14,((MONTH($A96)-1)*12)+VLOOKUP(AV$4,$DE$6:$DF$17,2)+1))*(VLOOKUP($A96,SatSunCurve,4))*(INDEX(DailyScalarsTable,AV$5/100,MONTH($A96)))*$C96</f>
        <v>-23904.937830056577</v>
      </c>
      <c r="AW96" s="1021">
        <f>(VLOOKUP(YEAR($A96),'NY East Load Projections'!$A$4:$EO$14,((MONTH($A96)-1)*12)+VLOOKUP(AW$4,$DE$6:$DF$17,2)+1))*(VLOOKUP($A96,SatSunCurve,4))*(INDEX(DailyScalarsTable,AW$5/100,MONTH($A96)))*$C96</f>
        <v>-23345.410184639542</v>
      </c>
      <c r="AX96" s="1021">
        <f>(VLOOKUP(YEAR($A96),'NY East Load Projections'!$A$4:$EO$14,((MONTH($A96)-1)*12)+VLOOKUP(AX$4,$DE$6:$DF$17,2)+1))*(VLOOKUP($A96,SatSunCurve,4))*(INDEX(DailyScalarsTable,AX$5/100,MONTH($A96)))*$C96</f>
        <v>-22766.909321156094</v>
      </c>
      <c r="AY96" s="1021">
        <f>(VLOOKUP(YEAR($A96),'NY East Load Projections'!$A$4:$EO$14,((MONTH($A96)-1)*12)+VLOOKUP(AY$4,$DE$6:$DF$17,2)+1))*(VLOOKUP($A96,SatSunCurve,4))*(INDEX(DailyScalarsTable,AY$5/100,MONTH($A96)))*$C96</f>
        <v>-19015.276350110333</v>
      </c>
      <c r="AZ96" s="1021">
        <f>(VLOOKUP(YEAR($A96),'NY East Load Projections'!$A$4:$EO$14,((MONTH($A96)-1)*12)+VLOOKUP(AZ$4,$DE$6:$DF$17,2)+1))*(VLOOKUP($A96,SatSunCurve,4))*(INDEX(DailyScalarsTable,AZ$5/100,MONTH($A96)))*$C96</f>
        <v>-14070.583332693566</v>
      </c>
      <c r="BA96" s="1021">
        <f>(VLOOKUP(YEAR($A96),'NY East Load Projections'!$A$4:$EO$14,((MONTH($A96)-1)*12)+VLOOKUP(BA$4,$DE$6:$DF$17,2)+1))*(VLOOKUP($A96,SatSunCurve,4))*(INDEX(DailyScalarsTable,BA$5/100,MONTH($A96)))*$C96</f>
        <v>-14746.931021847202</v>
      </c>
      <c r="BB96" s="1021">
        <f>(VLOOKUP(YEAR($A96),'NY East Load Projections'!$A$4:$EO$14,((MONTH($A96)-1)*12)+VLOOKUP(BB$4,$DE$6:$DF$17,2)+1))*(VLOOKUP($A96,SatSunCurve,4))*(INDEX(DailyScalarsTable,BB$5/100,MONTH($A96)))*$C96</f>
        <v>-15626.369237313462</v>
      </c>
      <c r="BC96" s="1021">
        <f>(VLOOKUP(YEAR($A96),'NY East Load Projections'!$A$4:$EO$14,((MONTH($A96)-1)*12)+VLOOKUP(BC$4,$DE$6:$DF$17,2)+1))*(VLOOKUP($A96,SatSunCurve,4))*(INDEX(DailyScalarsTable,BC$5/100,MONTH($A96)))*$C96</f>
        <v>-10851.851628346309</v>
      </c>
      <c r="BD96" s="1021">
        <f>(VLOOKUP(YEAR($A96),'NY East Load Projections'!$A$4:$EO$14,((MONTH($A96)-1)*12)+VLOOKUP(BD$4,$DE$6:$DF$17,2)+1))*(VLOOKUP($A96,CURVES!$D$9:$T$261,8))*(INDEX(DailyScalarsTable,BD$5/100,MONTH($A96)))*$C96</f>
        <v>-12435.613801219015</v>
      </c>
      <c r="BE96" s="1021"/>
      <c r="BF96" s="1021">
        <f>(VLOOKUP(YEAR($A96),'NY East Load Projections'!$A$4:$EO$14,((MONTH($A96)-1)*12)+VLOOKUP(BF$4,$DE$6:$DF$17,2)+1))*(VLOOKUP($A96,CURVES!$D$9:$T$261,8))*(INDEX(DailyScalarsTable,BF$5/100,MONTH($A96)))*$D96</f>
        <v>-10630.048748286576</v>
      </c>
      <c r="BG96" s="1021">
        <f>(VLOOKUP(YEAR($A96),'NY East Load Projections'!$A$4:$EO$14,((MONTH($A96)-1)*12)+VLOOKUP(BG$4,$DE$6:$DF$17,2)+1))*(VLOOKUP($A96,CURVES!$D$9:$T$261,8))*(INDEX(DailyScalarsTable,BG$5/100,MONTH($A96)))*$D96</f>
        <v>-9709.8417597431453</v>
      </c>
      <c r="BH96" s="1021">
        <f>(VLOOKUP(YEAR($A96),'NY East Load Projections'!$A$4:$EO$14,((MONTH($A96)-1)*12)+VLOOKUP(BH$4,$DE$6:$DF$17,2)+1))*(VLOOKUP($A96,CURVES!$D$9:$T$261,8))*(INDEX(DailyScalarsTable,BH$5/100,MONTH($A96)))*$D96</f>
        <v>-9251.8108037339189</v>
      </c>
      <c r="BI96" s="1021">
        <f>(VLOOKUP(YEAR($A96),'NY East Load Projections'!$A$4:$EO$14,((MONTH($A96)-1)*12)+VLOOKUP(BI$4,$DE$6:$DF$17,2)+1))*(VLOOKUP($A96,CURVES!$D$9:$T$261,8))*(INDEX(DailyScalarsTable,BI$5/100,MONTH($A96)))*$D96</f>
        <v>-8331.6038151904886</v>
      </c>
      <c r="BJ96" s="1021">
        <f>(VLOOKUP(YEAR($A96),'NY East Load Projections'!$A$4:$EO$14,((MONTH($A96)-1)*12)+VLOOKUP(BJ$4,$DE$6:$DF$17,2)+1))*(VLOOKUP($A96,CURVES!$D$9:$T$261,8))*(INDEX(DailyScalarsTable,BJ$5/100,MONTH($A96)))*$D96</f>
        <v>-8030.6584271611819</v>
      </c>
      <c r="BK96" s="1021">
        <f>(VLOOKUP(YEAR($A96),'NY East Load Projections'!$A$4:$EO$14,((MONTH($A96)-1)*12)+VLOOKUP(BK$4,$DE$6:$DF$17,2)+1))*(VLOOKUP($A96,CURVES!$D$9:$T$261,8))*(INDEX(DailyScalarsTable,BK$5/100,MONTH($A96)))*$D96</f>
        <v>-8853.50629011192</v>
      </c>
      <c r="BL96" s="1021">
        <f>(VLOOKUP(YEAR($A96),'NY East Load Projections'!$A$4:$EO$14,((MONTH($A96)-1)*12)+VLOOKUP(BL$4,$DE$6:$DF$17,2)+1))*(VLOOKUP($A96,CURVES!$D$9:$T$261,8))*(INDEX(DailyScalarsTable,BL$5/100,MONTH($A96)))*$D96</f>
        <v>-9832.08495065436</v>
      </c>
      <c r="BM96" s="1021">
        <f>(VLOOKUP(YEAR($A96),'NY East Load Projections'!$A$4:$EO$14,((MONTH($A96)-1)*12)+VLOOKUP(BM$4,$DE$6:$DF$17,2)+1))*(VLOOKUP($A96,SatSunCurve,8))*(INDEX(DailyScalarsTable,BM$5/100,MONTH($A96)))*$D96</f>
        <v>-7063.3657243171656</v>
      </c>
      <c r="BN96" s="1021">
        <f>(VLOOKUP(YEAR($A96),'NY East Load Projections'!$A$4:$EO$14,((MONTH($A96)-1)*12)+VLOOKUP(BN$4,$DE$6:$DF$17,2)+1))*(VLOOKUP($A96,SatSunCurve,8))*(INDEX(DailyScalarsTable,BN$5/100,MONTH($A96)))*$D96</f>
        <v>-8488.5885551222327</v>
      </c>
      <c r="BO96" s="1021">
        <f>(VLOOKUP(YEAR($A96),'NY East Load Projections'!$A$4:$EO$14,((MONTH($A96)-1)*12)+VLOOKUP(BO$4,$DE$6:$DF$17,2)+1))*(VLOOKUP($A96,SatSunCurve,8))*(INDEX(DailyScalarsTable,BO$5/100,MONTH($A96)))*$D96</f>
        <v>-10163.167497287697</v>
      </c>
      <c r="BP96" s="1021">
        <f>(VLOOKUP(YEAR($A96),'NY East Load Projections'!$A$4:$EO$14,((MONTH($A96)-1)*12)+VLOOKUP(BP$4,$DE$6:$DF$17,2)+1))*(VLOOKUP($A96,SatSunCurve,8))*(INDEX(DailyScalarsTable,BP$5/100,MONTH($A96)))*$D96</f>
        <v>-11564.613549313639</v>
      </c>
      <c r="BQ96" s="1021">
        <f>(VLOOKUP(YEAR($A96),'NY East Load Projections'!$A$4:$EO$14,((MONTH($A96)-1)*12)+VLOOKUP(BQ$4,$DE$6:$DF$17,2)+1))*(VLOOKUP($A96,SatSunCurve,8))*(INDEX(DailyScalarsTable,BQ$5/100,MONTH($A96)))*$D96</f>
        <v>-13826.010753263588</v>
      </c>
      <c r="BR96" s="1021">
        <f>(VLOOKUP(YEAR($A96),'NY East Load Projections'!$A$4:$EO$14,((MONTH($A96)-1)*12)+VLOOKUP(BR$4,$DE$6:$DF$17,2)+1))*(VLOOKUP($A96,SatSunCurve,8))*(INDEX(DailyScalarsTable,BR$5/100,MONTH($A96)))*$D96</f>
        <v>-15708.48560464569</v>
      </c>
      <c r="BS96" s="1021">
        <f>(VLOOKUP(YEAR($A96),'NY East Load Projections'!$A$4:$EO$14,((MONTH($A96)-1)*12)+VLOOKUP(BS$4,$DE$6:$DF$17,2)+1))*(VLOOKUP($A96,SatSunCurve,8))*(INDEX(DailyScalarsTable,BS$5/100,MONTH($A96)))*$D96</f>
        <v>-16237.183852140808</v>
      </c>
      <c r="BT96" s="1021">
        <f>(VLOOKUP(YEAR($A96),'NY East Load Projections'!$A$4:$EO$14,((MONTH($A96)-1)*12)+VLOOKUP(BT$4,$DE$6:$DF$17,2)+1))*(VLOOKUP($A96,SatSunCurve,8))*(INDEX(DailyScalarsTable,BT$5/100,MONTH($A96)))*$D96</f>
        <v>-16913.425796611307</v>
      </c>
      <c r="BU96" s="1021">
        <f>(VLOOKUP(YEAR($A96),'NY East Load Projections'!$A$4:$EO$14,((MONTH($A96)-1)*12)+VLOOKUP(BU$4,$DE$6:$DF$17,2)+1))*(VLOOKUP($A96,SatSunCurve,8))*(INDEX(DailyScalarsTable,BU$5/100,MONTH($A96)))*$D96</f>
        <v>-17949.92026786337</v>
      </c>
      <c r="BV96" s="1021">
        <f>(VLOOKUP(YEAR($A96),'NY East Load Projections'!$A$4:$EO$14,((MONTH($A96)-1)*12)+VLOOKUP(BV$4,$DE$6:$DF$17,2)+1))*(VLOOKUP($A96,SatSunCurve,8))*(INDEX(DailyScalarsTable,BV$5/100,MONTH($A96)))*$D96</f>
        <v>-17529.777923453126</v>
      </c>
      <c r="BW96" s="1021">
        <f>(VLOOKUP(YEAR($A96),'NY East Load Projections'!$A$4:$EO$14,((MONTH($A96)-1)*12)+VLOOKUP(BW$4,$DE$6:$DF$17,2)+1))*(VLOOKUP($A96,SatSunCurve,8))*(INDEX(DailyScalarsTable,BW$5/100,MONTH($A96)))*$D96</f>
        <v>-17095.388825759605</v>
      </c>
      <c r="BX96" s="1021">
        <f>(VLOOKUP(YEAR($A96),'NY East Load Projections'!$A$4:$EO$14,((MONTH($A96)-1)*12)+VLOOKUP(BX$4,$DE$6:$DF$17,2)+1))*(VLOOKUP($A96,SatSunCurve,8))*(INDEX(DailyScalarsTable,BX$5/100,MONTH($A96)))*$D96</f>
        <v>-14278.33432499919</v>
      </c>
      <c r="BY96" s="1021">
        <f>(VLOOKUP(YEAR($A96),'NY East Load Projections'!$A$4:$EO$14,((MONTH($A96)-1)*12)+VLOOKUP(BY$4,$DE$6:$DF$17,2)+1))*(VLOOKUP($A96,SatSunCurve,8))*(INDEX(DailyScalarsTable,BY$5/100,MONTH($A96)))*$D96</f>
        <v>-10565.42588563507</v>
      </c>
      <c r="BZ96" s="1021">
        <f>(VLOOKUP(YEAR($A96),'NY East Load Projections'!$A$4:$EO$14,((MONTH($A96)-1)*12)+VLOOKUP(BZ$4,$DE$6:$DF$17,2)+1))*(VLOOKUP($A96,SatSunCurve,8))*(INDEX(DailyScalarsTable,BZ$5/100,MONTH($A96)))*$D96</f>
        <v>-11073.286946808663</v>
      </c>
      <c r="CA96" s="1021">
        <f>(VLOOKUP(YEAR($A96),'NY East Load Projections'!$A$4:$EO$14,((MONTH($A96)-1)*12)+VLOOKUP(CA$4,$DE$6:$DF$17,2)+1))*(VLOOKUP($A96,SatSunCurve,8))*(INDEX(DailyScalarsTable,CA$5/100,MONTH($A96)))*$D96</f>
        <v>-11733.646156288944</v>
      </c>
      <c r="CB96" s="1021">
        <f>(VLOOKUP(YEAR($A96),'NY East Load Projections'!$A$4:$EO$14,((MONTH($A96)-1)*12)+VLOOKUP(CB$4,$DE$6:$DF$17,2)+1))*(VLOOKUP($A96,SatSunCurve,8))*(INDEX(DailyScalarsTable,CB$5/100,MONTH($A96)))*$D96</f>
        <v>-8148.5203129281035</v>
      </c>
      <c r="CC96" s="1021">
        <f>(VLOOKUP(YEAR($A96),'NY East Load Projections'!$A$4:$EO$14,((MONTH($A96)-1)*12)+VLOOKUP(CC$4,$DE$6:$DF$17,2)+1))*(VLOOKUP($A96,CURVES!$D$9:$T$261,8))*(INDEX(DailyScalarsTable,CC$5/100,MONTH($A96)))*$D96</f>
        <v>-12435.613801219015</v>
      </c>
      <c r="CE96" s="1021">
        <f>(VLOOKUP(YEAR($A96),'NY East Load Projections'!$A$4:$EO$14,((MONTH($A96)-1)*12)+VLOOKUP(CE$4,$DE$6:$DF$17,2)+1))*(VLOOKUP($A96,CURVES!$D$9:$T$261,8))*(INDEX(DailyScalarsTable,CE$5/100,MONTH($A96)))*$E96</f>
        <v>-2657.5121870716439</v>
      </c>
      <c r="CF96" s="1021">
        <f>(VLOOKUP(YEAR($A96),'NY East Load Projections'!$A$4:$EO$14,((MONTH($A96)-1)*12)+VLOOKUP(CF$4,$DE$6:$DF$17,2)+1))*(VLOOKUP($A96,CURVES!$D$9:$T$261,8))*(INDEX(DailyScalarsTable,CF$5/100,MONTH($A96)))*$E96</f>
        <v>-2427.4604399357863</v>
      </c>
      <c r="CG96" s="1021">
        <f>(VLOOKUP(YEAR($A96),'NY East Load Projections'!$A$4:$EO$14,((MONTH($A96)-1)*12)+VLOOKUP(CG$4,$DE$6:$DF$17,2)+1))*(VLOOKUP($A96,CURVES!$D$9:$T$261,8))*(INDEX(DailyScalarsTable,CG$5/100,MONTH($A96)))*$E96</f>
        <v>-2312.9527009334797</v>
      </c>
      <c r="CH96" s="1021">
        <f>(VLOOKUP(YEAR($A96),'NY East Load Projections'!$A$4:$EO$14,((MONTH($A96)-1)*12)+VLOOKUP(CH$4,$DE$6:$DF$17,2)+1))*(VLOOKUP($A96,CURVES!$D$9:$T$261,8))*(INDEX(DailyScalarsTable,CH$5/100,MONTH($A96)))*$E96</f>
        <v>-2082.9009537976222</v>
      </c>
      <c r="CI96" s="1021">
        <f>(VLOOKUP(YEAR($A96),'NY East Load Projections'!$A$4:$EO$14,((MONTH($A96)-1)*12)+VLOOKUP(CI$4,$DE$6:$DF$17,2)+1))*(VLOOKUP($A96,CURVES!$D$9:$T$261,8))*(INDEX(DailyScalarsTable,CI$5/100,MONTH($A96)))*$E96</f>
        <v>-2007.6646067902955</v>
      </c>
      <c r="CJ96" s="1021">
        <f>(VLOOKUP(YEAR($A96),'NY East Load Projections'!$A$4:$EO$14,((MONTH($A96)-1)*12)+VLOOKUP(CJ$4,$DE$6:$DF$17,2)+1))*(VLOOKUP($A96,CURVES!$D$9:$T$261,8))*(INDEX(DailyScalarsTable,CJ$5/100,MONTH($A96)))*$E96</f>
        <v>-2213.37657252798</v>
      </c>
      <c r="CK96" s="1021">
        <f>(VLOOKUP(YEAR($A96),'NY East Load Projections'!$A$4:$EO$14,((MONTH($A96)-1)*12)+VLOOKUP(CK$4,$DE$6:$DF$17,2)+1))*(VLOOKUP($A96,CURVES!$D$9:$T$261,8))*(INDEX(DailyScalarsTable,CK$5/100,MONTH($A96)))*$E96</f>
        <v>-2458.02123766359</v>
      </c>
      <c r="CL96" s="1021">
        <f>(VLOOKUP(YEAR($A96),'NY East Load Projections'!$A$4:$EO$14,((MONTH($A96)-1)*12)+VLOOKUP(CL$4,$DE$6:$DF$17,2)+1))*(VLOOKUP($A96,SatSunCurve,8))*(INDEX(DailyScalarsTable,CL$5/100,MONTH($A96)))*$E96</f>
        <v>-1765.8414310792914</v>
      </c>
      <c r="CM96" s="1021">
        <f>(VLOOKUP(YEAR($A96),'NY East Load Projections'!$A$4:$EO$14,((MONTH($A96)-1)*12)+VLOOKUP(CM$4,$DE$6:$DF$17,2)+1))*(VLOOKUP($A96,SatSunCurve,8))*(INDEX(DailyScalarsTable,CM$5/100,MONTH($A96)))*$E96</f>
        <v>-2122.1471387805582</v>
      </c>
      <c r="CN96" s="1021">
        <f>(VLOOKUP(YEAR($A96),'NY East Load Projections'!$A$4:$EO$14,((MONTH($A96)-1)*12)+VLOOKUP(CN$4,$DE$6:$DF$17,2)+1))*(VLOOKUP($A96,SatSunCurve,8))*(INDEX(DailyScalarsTable,CN$5/100,MONTH($A96)))*$E96</f>
        <v>-2540.7918743219243</v>
      </c>
      <c r="CO96" s="1021">
        <f>(VLOOKUP(YEAR($A96),'NY East Load Projections'!$A$4:$EO$14,((MONTH($A96)-1)*12)+VLOOKUP(CO$4,$DE$6:$DF$17,2)+1))*(VLOOKUP($A96,SatSunCurve,8))*(INDEX(DailyScalarsTable,CO$5/100,MONTH($A96)))*$E96</f>
        <v>-2891.1533873284097</v>
      </c>
      <c r="CP96" s="1021">
        <f>(VLOOKUP(YEAR($A96),'NY East Load Projections'!$A$4:$EO$14,((MONTH($A96)-1)*12)+VLOOKUP(CP$4,$DE$6:$DF$17,2)+1))*(VLOOKUP($A96,SatSunCurve,8))*(INDEX(DailyScalarsTable,CP$5/100,MONTH($A96)))*$E96</f>
        <v>-3456.5026883158971</v>
      </c>
      <c r="CQ96" s="1021">
        <f>(VLOOKUP(YEAR($A96),'NY East Load Projections'!$A$4:$EO$14,((MONTH($A96)-1)*12)+VLOOKUP(CQ$4,$DE$6:$DF$17,2)+1))*(VLOOKUP($A96,SatSunCurve,8))*(INDEX(DailyScalarsTable,CQ$5/100,MONTH($A96)))*$E96</f>
        <v>-3927.1214011614225</v>
      </c>
      <c r="CR96" s="1021">
        <f>(VLOOKUP(YEAR($A96),'NY East Load Projections'!$A$4:$EO$14,((MONTH($A96)-1)*12)+VLOOKUP(CR$4,$DE$6:$DF$17,2)+1))*(VLOOKUP($A96,SatSunCurve,8))*(INDEX(DailyScalarsTable,CR$5/100,MONTH($A96)))*$E96</f>
        <v>-4059.295963035202</v>
      </c>
      <c r="CS96" s="1021">
        <f>(VLOOKUP(YEAR($A96),'NY East Load Projections'!$A$4:$EO$14,((MONTH($A96)-1)*12)+VLOOKUP(CS$4,$DE$6:$DF$17,2)+1))*(VLOOKUP($A96,SatSunCurve,8))*(INDEX(DailyScalarsTable,CS$5/100,MONTH($A96)))*$E96</f>
        <v>-4228.3564491528268</v>
      </c>
      <c r="CT96" s="1021">
        <f>(VLOOKUP(YEAR($A96),'NY East Load Projections'!$A$4:$EO$14,((MONTH($A96)-1)*12)+VLOOKUP(CT$4,$DE$6:$DF$17,2)+1))*(VLOOKUP($A96,SatSunCurve,8))*(INDEX(DailyScalarsTable,CT$5/100,MONTH($A96)))*$E96</f>
        <v>-4487.4800669658425</v>
      </c>
      <c r="CU96" s="1021">
        <f>(VLOOKUP(YEAR($A96),'NY East Load Projections'!$A$4:$EO$14,((MONTH($A96)-1)*12)+VLOOKUP(CU$4,$DE$6:$DF$17,2)+1))*(VLOOKUP($A96,SatSunCurve,8))*(INDEX(DailyScalarsTable,CU$5/100,MONTH($A96)))*$E96</f>
        <v>-4382.4444808632816</v>
      </c>
      <c r="CV96" s="1021">
        <f>(VLOOKUP(YEAR($A96),'NY East Load Projections'!$A$4:$EO$14,((MONTH($A96)-1)*12)+VLOOKUP(CV$4,$DE$6:$DF$17,2)+1))*(VLOOKUP($A96,SatSunCurve,8))*(INDEX(DailyScalarsTable,CV$5/100,MONTH($A96)))*$E96</f>
        <v>-4273.8472064399011</v>
      </c>
      <c r="CW96" s="1021">
        <f>(VLOOKUP(YEAR($A96),'NY East Load Projections'!$A$4:$EO$14,((MONTH($A96)-1)*12)+VLOOKUP(CW$4,$DE$6:$DF$17,2)+1))*(VLOOKUP($A96,SatSunCurve,8))*(INDEX(DailyScalarsTable,CW$5/100,MONTH($A96)))*$E96</f>
        <v>-3569.5835812497976</v>
      </c>
      <c r="CX96" s="1021">
        <f>(VLOOKUP(YEAR($A96),'NY East Load Projections'!$A$4:$EO$14,((MONTH($A96)-1)*12)+VLOOKUP(CX$4,$DE$6:$DF$17,2)+1))*(VLOOKUP($A96,SatSunCurve,8))*(INDEX(DailyScalarsTable,CX$5/100,MONTH($A96)))*$E96</f>
        <v>-2641.3564714087674</v>
      </c>
      <c r="CY96" s="1021">
        <f>(VLOOKUP(YEAR($A96),'NY East Load Projections'!$A$4:$EO$14,((MONTH($A96)-1)*12)+VLOOKUP(CY$4,$DE$6:$DF$17,2)+1))*(VLOOKUP($A96,SatSunCurve,8))*(INDEX(DailyScalarsTable,CY$5/100,MONTH($A96)))*$E96</f>
        <v>-2768.3217367021657</v>
      </c>
      <c r="CZ96" s="1021">
        <f>(VLOOKUP(YEAR($A96),'NY East Load Projections'!$A$4:$EO$14,((MONTH($A96)-1)*12)+VLOOKUP(CZ$4,$DE$6:$DF$17,2)+1))*(VLOOKUP($A96,SatSunCurve,8))*(INDEX(DailyScalarsTable,CZ$5/100,MONTH($A96)))*$E96</f>
        <v>-2933.4115390722359</v>
      </c>
      <c r="DA96" s="1021">
        <f>(VLOOKUP(YEAR($A96),'NY East Load Projections'!$A$4:$EO$14,((MONTH($A96)-1)*12)+VLOOKUP(DA$4,$DE$6:$DF$17,2)+1))*(VLOOKUP($A96,SatSunCurve,8))*(INDEX(DailyScalarsTable,DA$5/100,MONTH($A96)))*$E96</f>
        <v>-2037.1300782320259</v>
      </c>
      <c r="DB96" s="1021">
        <f>(VLOOKUP(YEAR($A96),'NY East Load Projections'!$A$4:$EO$14,((MONTH($A96)-1)*12)+VLOOKUP(DB$4,$DE$6:$DF$17,2)+1))*(VLOOKUP($A96,CURVES!$D$9:$T$261,8))*(INDEX(DailyScalarsTable,DB$5/100,MONTH($A96)))*$E96</f>
        <v>-3108.9034503047537</v>
      </c>
      <c r="DH96" s="1021">
        <f t="shared" si="2"/>
        <v>-4091235.8027562881</v>
      </c>
      <c r="DI96">
        <f ca="1">CALC!J116</f>
        <v>0.54088683486088429</v>
      </c>
      <c r="DJ96" s="1029">
        <f t="shared" ca="1" si="3"/>
        <v>-2212895.5840223776</v>
      </c>
    </row>
    <row r="97" spans="1:114" x14ac:dyDescent="0.25">
      <c r="A97" s="244">
        <v>39661</v>
      </c>
      <c r="B97" s="13">
        <v>21</v>
      </c>
      <c r="C97" s="210">
        <v>5</v>
      </c>
      <c r="D97" s="210">
        <v>5</v>
      </c>
      <c r="E97" s="210">
        <v>0</v>
      </c>
      <c r="F97" s="13">
        <v>31</v>
      </c>
      <c r="H97" s="1021">
        <f>(VLOOKUP(YEAR($A97),'NY East Load Projections'!$A$4:$EO$14,((MONTH($A97)-1)*12)+VLOOKUP(H$4,$DE$6:$DF$17,2)+1))*(VLOOKUP($A97,CURVES!$D$9:$K$261,8))*(INDEX(DailyScalarsTable,H$5/100,MONTH($A97)))*$B97</f>
        <v>-59014.139450267343</v>
      </c>
      <c r="I97" s="1021">
        <f>(VLOOKUP(YEAR($A97),'NY East Load Projections'!$A$4:$EO$14,((MONTH($A97)-1)*12)+VLOOKUP(I$4,$DE$6:$DF$17,2)+1))*(VLOOKUP($A97,CURVES!$D$9:$K$261,8))*(INDEX(DailyScalarsTable,I$5/100,MONTH($A97)))*$B97</f>
        <v>-53273.09733886888</v>
      </c>
      <c r="J97" s="1021">
        <f>(VLOOKUP(YEAR($A97),'NY East Load Projections'!$A$4:$EO$14,((MONTH($A97)-1)*12)+VLOOKUP(J$4,$DE$6:$DF$17,2)+1))*(VLOOKUP($A97,CURVES!$D$9:$K$261,8))*(INDEX(DailyScalarsTable,J$5/100,MONTH($A97)))*$B97</f>
        <v>-47842.017594987243</v>
      </c>
      <c r="K97" s="1021">
        <f>(VLOOKUP(YEAR($A97),'NY East Load Projections'!$A$4:$EO$14,((MONTH($A97)-1)*12)+VLOOKUP(K$4,$DE$6:$DF$17,2)+1))*(VLOOKUP($A97,CURVES!$D$9:$K$261,8))*(INDEX(DailyScalarsTable,K$5/100,MONTH($A97)))*$B97</f>
        <v>-45011.926413311929</v>
      </c>
      <c r="L97" s="1021">
        <f>(VLOOKUP(YEAR($A97),'NY East Load Projections'!$A$4:$EO$14,((MONTH($A97)-1)*12)+VLOOKUP(L$4,$DE$6:$DF$17,2)+1))*(VLOOKUP($A97,CURVES!$D$9:$K$261,8))*(INDEX(DailyScalarsTable,L$5/100,MONTH($A97)))*$B97</f>
        <v>-49741.277121681778</v>
      </c>
      <c r="M97" s="1021">
        <f>(VLOOKUP(YEAR($A97),'NY East Load Projections'!$A$4:$EO$14,((MONTH($A97)-1)*12)+VLOOKUP(M$4,$DE$6:$DF$17,2)+1))*(VLOOKUP($A97,CURVES!$D$9:$K$261,8))*(INDEX(DailyScalarsTable,M$5/100,MONTH($A97)))*$B97</f>
        <v>-55264.89745391356</v>
      </c>
      <c r="N97" s="1021">
        <f>(VLOOKUP(YEAR($A97),'NY East Load Projections'!$A$4:$EO$14,((MONTH($A97)-1)*12)+VLOOKUP(N$4,$DE$6:$DF$17,2)+1))*(VLOOKUP($A97,CURVES!$D$9:$K$261,8))*(INDEX(DailyScalarsTable,N$5/100,MONTH($A97)))*$B97</f>
        <v>-64303.548906656426</v>
      </c>
      <c r="O97" s="1021">
        <f>(VLOOKUP(YEAR($A97),'NY East Load Projections'!$A$4:$EO$14,((MONTH($A97)-1)*12)+VLOOKUP(O$4,$DE$6:$DF$17,2)+1))*(VLOOKUP($A97,CURVES!$D$9:$K$261,4))*(INDEX(DailyScalarsTable,O$5/100,MONTH($A97)))*$B97</f>
        <v>-103853.7122843602</v>
      </c>
      <c r="P97" s="1021">
        <f>(VLOOKUP(YEAR($A97),'NY East Load Projections'!$A$4:$EO$14,((MONTH($A97)-1)*12)+VLOOKUP(P$4,$DE$6:$DF$17,2)+1))*(VLOOKUP($A97,CURVES!$D$9:$K$261,4))*(INDEX(DailyScalarsTable,P$5/100,MONTH($A97)))*$B97</f>
        <v>-123933.52905480738</v>
      </c>
      <c r="Q97" s="1021">
        <f>(VLOOKUP(YEAR($A97),'NY East Load Projections'!$A$4:$EO$14,((MONTH($A97)-1)*12)+VLOOKUP(Q$4,$DE$6:$DF$17,2)+1))*(VLOOKUP($A97,CURVES!$D$9:$K$261,4))*(INDEX(DailyScalarsTable,Q$5/100,MONTH($A97)))*$B97</f>
        <v>-158937.12646681952</v>
      </c>
      <c r="R97" s="1021">
        <f>(VLOOKUP(YEAR($A97),'NY East Load Projections'!$A$4:$EO$14,((MONTH($A97)-1)*12)+VLOOKUP(R$4,$DE$6:$DF$17,2)+1))*(VLOOKUP($A97,CURVES!$D$9:$K$261,4))*(INDEX(DailyScalarsTable,R$5/100,MONTH($A97)))*$B97</f>
        <v>-179384.77247977705</v>
      </c>
      <c r="S97" s="1021">
        <f>(VLOOKUP(YEAR($A97),'NY East Load Projections'!$A$4:$EO$14,((MONTH($A97)-1)*12)+VLOOKUP(S$4,$DE$6:$DF$17,2)+1))*(VLOOKUP($A97,CURVES!$D$9:$K$261,4))*(INDEX(DailyScalarsTable,S$5/100,MONTH($A97)))*$B97</f>
        <v>-186986.21376595</v>
      </c>
      <c r="T97" s="1021">
        <f>(VLOOKUP(YEAR($A97),'NY East Load Projections'!$A$4:$EO$14,((MONTH($A97)-1)*12)+VLOOKUP(T$4,$DE$6:$DF$17,2)+1))*(VLOOKUP($A97,CURVES!$D$9:$K$261,4))*(INDEX(DailyScalarsTable,T$5/100,MONTH($A97)))*$B97</f>
        <v>-190458.98146318013</v>
      </c>
      <c r="U97" s="1021">
        <f>(VLOOKUP(YEAR($A97),'NY East Load Projections'!$A$4:$EO$14,((MONTH($A97)-1)*12)+VLOOKUP(U$4,$DE$6:$DF$17,2)+1))*(VLOOKUP($A97,CURVES!$D$9:$K$261,4))*(INDEX(DailyScalarsTable,U$5/100,MONTH($A97)))*$B97</f>
        <v>-209080.26685969232</v>
      </c>
      <c r="V97" s="1021">
        <f>(VLOOKUP(YEAR($A97),'NY East Load Projections'!$A$4:$EO$14,((MONTH($A97)-1)*12)+VLOOKUP(V$4,$DE$6:$DF$17,2)+1))*(VLOOKUP($A97,CURVES!$D$9:$K$261,4))*(INDEX(DailyScalarsTable,V$5/100,MONTH($A97)))*$B97</f>
        <v>-221344.22170045262</v>
      </c>
      <c r="W97" s="1021">
        <f>(VLOOKUP(YEAR($A97),'NY East Load Projections'!$A$4:$EO$14,((MONTH($A97)-1)*12)+VLOOKUP(W$4,$DE$6:$DF$17,2)+1))*(VLOOKUP($A97,CURVES!$D$9:$K$261,4))*(INDEX(DailyScalarsTable,W$5/100,MONTH($A97)))*$B97</f>
        <v>-218260.44195325949</v>
      </c>
      <c r="X97" s="1021">
        <f>(VLOOKUP(YEAR($A97),'NY East Load Projections'!$A$4:$EO$14,((MONTH($A97)-1)*12)+VLOOKUP(X$4,$DE$6:$DF$17,2)+1))*(VLOOKUP($A97,CURVES!$D$9:$K$261,4))*(INDEX(DailyScalarsTable,X$5/100,MONTH($A97)))*$B97</f>
        <v>-205187.78577105497</v>
      </c>
      <c r="Y97" s="1021">
        <f>(VLOOKUP(YEAR($A97),'NY East Load Projections'!$A$4:$EO$14,((MONTH($A97)-1)*12)+VLOOKUP(Y$4,$DE$6:$DF$17,2)+1))*(VLOOKUP($A97,CURVES!$D$9:$K$261,4))*(INDEX(DailyScalarsTable,Y$5/100,MONTH($A97)))*$B97</f>
        <v>-190016.57412576352</v>
      </c>
      <c r="Z97" s="1021">
        <f>(VLOOKUP(YEAR($A97),'NY East Load Projections'!$A$4:$EO$14,((MONTH($A97)-1)*12)+VLOOKUP(Z$4,$DE$6:$DF$17,2)+1))*(VLOOKUP($A97,CURVES!$D$9:$K$261,4))*(INDEX(DailyScalarsTable,Z$5/100,MONTH($A97)))*$B97</f>
        <v>-154883.2418945622</v>
      </c>
      <c r="AA97" s="1021">
        <f>(VLOOKUP(YEAR($A97),'NY East Load Projections'!$A$4:$EO$14,((MONTH($A97)-1)*12)+VLOOKUP(AA$4,$DE$6:$DF$17,2)+1))*(VLOOKUP($A97,CURVES!$D$9:$K$261,4))*(INDEX(DailyScalarsTable,AA$5/100,MONTH($A97)))*$B97</f>
        <v>-141012.41981886717</v>
      </c>
      <c r="AB97" s="1021">
        <f>(VLOOKUP(YEAR($A97),'NY East Load Projections'!$A$4:$EO$14,((MONTH($A97)-1)*12)+VLOOKUP(AB$4,$DE$6:$DF$17,2)+1))*(VLOOKUP($A97,CURVES!$D$9:$K$261,4))*(INDEX(DailyScalarsTable,AB$5/100,MONTH($A97)))*$B97</f>
        <v>-161127.35288772304</v>
      </c>
      <c r="AC97" s="1021">
        <f>(VLOOKUP(YEAR($A97),'NY East Load Projections'!$A$4:$EO$14,((MONTH($A97)-1)*12)+VLOOKUP(AC$4,$DE$6:$DF$17,2)+1))*(VLOOKUP($A97,CURVES!$D$9:$K$261,4))*(INDEX(DailyScalarsTable,AC$5/100,MONTH($A97)))*$B97</f>
        <v>-137011.08199132219</v>
      </c>
      <c r="AD97" s="1021">
        <f>(VLOOKUP(YEAR($A97),'NY East Load Projections'!$A$4:$EO$14,((MONTH($A97)-1)*12)+VLOOKUP(AD$4,$DE$6:$DF$17,2)+1))*(VLOOKUP($A97,CURVES!$D$9:$K$261,4))*(INDEX(DailyScalarsTable,AD$5/100,MONTH($A97)))*$B97</f>
        <v>-110947.27719091641</v>
      </c>
      <c r="AE97" s="1021">
        <f>(VLOOKUP(YEAR($A97),'NY East Load Projections'!$A$4:$EO$14,((MONTH($A97)-1)*12)+VLOOKUP(AE$4,$DE$6:$DF$17,2)+1))*(VLOOKUP($A97,CURVES!$D$9:$K$261,8))*(INDEX(DailyScalarsTable,AE$5/100,MONTH($A97)))*$B97</f>
        <v>-71410.510670330521</v>
      </c>
      <c r="AF97" s="1021"/>
      <c r="AG97" s="1021">
        <f>(VLOOKUP(YEAR($A97),'NY East Load Projections'!$A$4:$EO$14,((MONTH($A97)-1)*12)+VLOOKUP(AG$4,$DE$6:$DF$17,2)+1))*(VLOOKUP($A97,CURVES!$D$9:$T$261,8))*(INDEX(DailyScalarsTable,AG$5/100,MONTH($A97)))*$C97</f>
        <v>-13756.117865196509</v>
      </c>
      <c r="AH97" s="1021">
        <f>(VLOOKUP(YEAR($A97),'NY East Load Projections'!$A$4:$EO$14,((MONTH($A97)-1)*12)+VLOOKUP(AH$4,$DE$6:$DF$17,2)+1))*(VLOOKUP($A97,CURVES!$D$9:$T$261,8))*(INDEX(DailyScalarsTable,AH$5/100,MONTH($A97)))*$C97</f>
        <v>-12417.88854101891</v>
      </c>
      <c r="AI97" s="1021">
        <f>(VLOOKUP(YEAR($A97),'NY East Load Projections'!$A$4:$EO$14,((MONTH($A97)-1)*12)+VLOOKUP(AI$4,$DE$6:$DF$17,2)+1))*(VLOOKUP($A97,CURVES!$D$9:$T$261,8))*(INDEX(DailyScalarsTable,AI$5/100,MONTH($A97)))*$C97</f>
        <v>-11151.91103481334</v>
      </c>
      <c r="AJ97" s="1021">
        <f>(VLOOKUP(YEAR($A97),'NY East Load Projections'!$A$4:$EO$14,((MONTH($A97)-1)*12)+VLOOKUP(AJ$4,$DE$6:$DF$17,2)+1))*(VLOOKUP($A97,CURVES!$D$9:$T$261,8))*(INDEX(DailyScalarsTable,AJ$5/100,MONTH($A97)))*$C97</f>
        <v>-10492.220522894802</v>
      </c>
      <c r="AK97" s="1021">
        <f>(VLOOKUP(YEAR($A97),'NY East Load Projections'!$A$4:$EO$14,((MONTH($A97)-1)*12)+VLOOKUP(AK$4,$DE$6:$DF$17,2)+1))*(VLOOKUP($A97,CURVES!$D$9:$T$261,8))*(INDEX(DailyScalarsTable,AK$5/100,MONTH($A97)))*$C97</f>
        <v>-11076.975992959631</v>
      </c>
      <c r="AL97" s="1021">
        <f>(VLOOKUP(YEAR($A97),'NY East Load Projections'!$A$4:$EO$14,((MONTH($A97)-1)*12)+VLOOKUP(AL$4,$DE$6:$DF$17,2)+1))*(VLOOKUP($A97,CURVES!$D$9:$T$261,8))*(INDEX(DailyScalarsTable,AL$5/100,MONTH($A97)))*$C97</f>
        <v>-12307.041108993515</v>
      </c>
      <c r="AM97" s="1021">
        <f>(VLOOKUP(YEAR($A97),'NY East Load Projections'!$A$4:$EO$14,((MONTH($A97)-1)*12)+VLOOKUP(AM$4,$DE$6:$DF$17,2)+1))*(VLOOKUP($A97,CURVES!$D$9:$T$261,8))*(INDEX(DailyScalarsTable,AM$5/100,MONTH($A97)))*$C97</f>
        <v>-14319.874935230768</v>
      </c>
      <c r="AN97" s="1021">
        <f>(VLOOKUP(YEAR($A97),'NY East Load Projections'!$A$4:$EO$14,((MONTH($A97)-1)*12)+VLOOKUP(AN$4,$DE$6:$DF$17,2)+1))*(VLOOKUP($A97,SatSunCurve,4))*(INDEX(DailyScalarsTable,AN$5/100,MONTH($A97)))*$C97</f>
        <v>-14659.744570637578</v>
      </c>
      <c r="AO97" s="1021">
        <f>(VLOOKUP(YEAR($A97),'NY East Load Projections'!$A$4:$EO$14,((MONTH($A97)-1)*12)+VLOOKUP(AO$4,$DE$6:$DF$17,2)+1))*(VLOOKUP($A97,SatSunCurve,4))*(INDEX(DailyScalarsTable,AO$5/100,MONTH($A97)))*$C97</f>
        <v>-17564.020676639644</v>
      </c>
      <c r="AP97" s="1021">
        <f>(VLOOKUP(YEAR($A97),'NY East Load Projections'!$A$4:$EO$14,((MONTH($A97)-1)*12)+VLOOKUP(AP$4,$DE$6:$DF$17,2)+1))*(VLOOKUP($A97,SatSunCurve,4))*(INDEX(DailyScalarsTable,AP$5/100,MONTH($A97)))*$C97</f>
        <v>-22524.775957234175</v>
      </c>
      <c r="AQ97" s="1021">
        <f>(VLOOKUP(YEAR($A97),'NY East Load Projections'!$A$4:$EO$14,((MONTH($A97)-1)*12)+VLOOKUP(AQ$4,$DE$6:$DF$17,2)+1))*(VLOOKUP($A97,SatSunCurve,4))*(INDEX(DailyScalarsTable,AQ$5/100,MONTH($A97)))*$C97</f>
        <v>-25422.642903324046</v>
      </c>
      <c r="AR97" s="1021">
        <f>(VLOOKUP(YEAR($A97),'NY East Load Projections'!$A$4:$EO$14,((MONTH($A97)-1)*12)+VLOOKUP(AR$4,$DE$6:$DF$17,2)+1))*(VLOOKUP($A97,SatSunCurve,4))*(INDEX(DailyScalarsTable,AR$5/100,MONTH($A97)))*$C97</f>
        <v>-26499.929033565364</v>
      </c>
      <c r="AS97" s="1021">
        <f>(VLOOKUP(YEAR($A97),'NY East Load Projections'!$A$4:$EO$14,((MONTH($A97)-1)*12)+VLOOKUP(AS$4,$DE$6:$DF$17,2)+1))*(VLOOKUP($A97,SatSunCurve,4))*(INDEX(DailyScalarsTable,AS$5/100,MONTH($A97)))*$C97</f>
        <v>-27192.782374158975</v>
      </c>
      <c r="AT97" s="1021">
        <f>(VLOOKUP(YEAR($A97),'NY East Load Projections'!$A$4:$EO$14,((MONTH($A97)-1)*12)+VLOOKUP(AT$4,$DE$6:$DF$17,2)+1))*(VLOOKUP($A97,SatSunCurve,4))*(INDEX(DailyScalarsTable,AT$5/100,MONTH($A97)))*$C97</f>
        <v>-29851.436523332573</v>
      </c>
      <c r="AU97" s="1021">
        <f>(VLOOKUP(YEAR($A97),'NY East Load Projections'!$A$4:$EO$14,((MONTH($A97)-1)*12)+VLOOKUP(AU$4,$DE$6:$DF$17,2)+1))*(VLOOKUP($A97,SatSunCurve,4))*(INDEX(DailyScalarsTable,AU$5/100,MONTH($A97)))*$C97</f>
        <v>-31602.422759157729</v>
      </c>
      <c r="AV97" s="1021">
        <f>(VLOOKUP(YEAR($A97),'NY East Load Projections'!$A$4:$EO$14,((MONTH($A97)-1)*12)+VLOOKUP(AV$4,$DE$6:$DF$17,2)+1))*(VLOOKUP($A97,SatSunCurve,4))*(INDEX(DailyScalarsTable,AV$5/100,MONTH($A97)))*$C97</f>
        <v>-31162.136084772297</v>
      </c>
      <c r="AW97" s="1021">
        <f>(VLOOKUP(YEAR($A97),'NY East Load Projections'!$A$4:$EO$14,((MONTH($A97)-1)*12)+VLOOKUP(AW$4,$DE$6:$DF$17,2)+1))*(VLOOKUP($A97,SatSunCurve,4))*(INDEX(DailyScalarsTable,AW$5/100,MONTH($A97)))*$C97</f>
        <v>-29089.955529110284</v>
      </c>
      <c r="AX97" s="1021">
        <f>(VLOOKUP(YEAR($A97),'NY East Load Projections'!$A$4:$EO$14,((MONTH($A97)-1)*12)+VLOOKUP(AX$4,$DE$6:$DF$17,2)+1))*(VLOOKUP($A97,SatSunCurve,4))*(INDEX(DailyScalarsTable,AX$5/100,MONTH($A97)))*$C97</f>
        <v>-26939.097131638828</v>
      </c>
      <c r="AY97" s="1021">
        <f>(VLOOKUP(YEAR($A97),'NY East Load Projections'!$A$4:$EO$14,((MONTH($A97)-1)*12)+VLOOKUP(AY$4,$DE$6:$DF$17,2)+1))*(VLOOKUP($A97,SatSunCurve,4))*(INDEX(DailyScalarsTable,AY$5/100,MONTH($A97)))*$C97</f>
        <v>-21958.161895389123</v>
      </c>
      <c r="AZ97" s="1021">
        <f>(VLOOKUP(YEAR($A97),'NY East Load Projections'!$A$4:$EO$14,((MONTH($A97)-1)*12)+VLOOKUP(AZ$4,$DE$6:$DF$17,2)+1))*(VLOOKUP($A97,SatSunCurve,4))*(INDEX(DailyScalarsTable,AZ$5/100,MONTH($A97)))*$C97</f>
        <v>-19991.662789129499</v>
      </c>
      <c r="BA97" s="1021">
        <f>(VLOOKUP(YEAR($A97),'NY East Load Projections'!$A$4:$EO$14,((MONTH($A97)-1)*12)+VLOOKUP(BA$4,$DE$6:$DF$17,2)+1))*(VLOOKUP($A97,SatSunCurve,4))*(INDEX(DailyScalarsTable,BA$5/100,MONTH($A97)))*$C97</f>
        <v>-23769.68818646888</v>
      </c>
      <c r="BB97" s="1021">
        <f>(VLOOKUP(YEAR($A97),'NY East Load Projections'!$A$4:$EO$14,((MONTH($A97)-1)*12)+VLOOKUP(BB$4,$DE$6:$DF$17,2)+1))*(VLOOKUP($A97,SatSunCurve,4))*(INDEX(DailyScalarsTable,BB$5/100,MONTH($A97)))*$C97</f>
        <v>-20212.028799938122</v>
      </c>
      <c r="BC97" s="1021">
        <f>(VLOOKUP(YEAR($A97),'NY East Load Projections'!$A$4:$EO$14,((MONTH($A97)-1)*12)+VLOOKUP(BC$4,$DE$6:$DF$17,2)+1))*(VLOOKUP($A97,SatSunCurve,4))*(INDEX(DailyScalarsTable,BC$5/100,MONTH($A97)))*$C97</f>
        <v>-16367.067023086132</v>
      </c>
      <c r="BD97" s="1021">
        <f>(VLOOKUP(YEAR($A97),'NY East Load Projections'!$A$4:$EO$14,((MONTH($A97)-1)*12)+VLOOKUP(BD$4,$DE$6:$DF$17,2)+1))*(VLOOKUP($A97,CURVES!$D$9:$T$261,8))*(INDEX(DailyScalarsTable,BD$5/100,MONTH($A97)))*$C97</f>
        <v>-16619.435020260687</v>
      </c>
      <c r="BE97" s="1021"/>
      <c r="BF97" s="1021">
        <f>(VLOOKUP(YEAR($A97),'NY East Load Projections'!$A$4:$EO$14,((MONTH($A97)-1)*12)+VLOOKUP(BF$4,$DE$6:$DF$17,2)+1))*(VLOOKUP($A97,CURVES!$D$9:$T$261,8))*(INDEX(DailyScalarsTable,BF$5/100,MONTH($A97)))*$D97</f>
        <v>-13756.117865196509</v>
      </c>
      <c r="BG97" s="1021">
        <f>(VLOOKUP(YEAR($A97),'NY East Load Projections'!$A$4:$EO$14,((MONTH($A97)-1)*12)+VLOOKUP(BG$4,$DE$6:$DF$17,2)+1))*(VLOOKUP($A97,CURVES!$D$9:$T$261,8))*(INDEX(DailyScalarsTable,BG$5/100,MONTH($A97)))*$D97</f>
        <v>-12417.88854101891</v>
      </c>
      <c r="BH97" s="1021">
        <f>(VLOOKUP(YEAR($A97),'NY East Load Projections'!$A$4:$EO$14,((MONTH($A97)-1)*12)+VLOOKUP(BH$4,$DE$6:$DF$17,2)+1))*(VLOOKUP($A97,CURVES!$D$9:$T$261,8))*(INDEX(DailyScalarsTable,BH$5/100,MONTH($A97)))*$D97</f>
        <v>-11151.91103481334</v>
      </c>
      <c r="BI97" s="1021">
        <f>(VLOOKUP(YEAR($A97),'NY East Load Projections'!$A$4:$EO$14,((MONTH($A97)-1)*12)+VLOOKUP(BI$4,$DE$6:$DF$17,2)+1))*(VLOOKUP($A97,CURVES!$D$9:$T$261,8))*(INDEX(DailyScalarsTable,BI$5/100,MONTH($A97)))*$D97</f>
        <v>-10492.220522894802</v>
      </c>
      <c r="BJ97" s="1021">
        <f>(VLOOKUP(YEAR($A97),'NY East Load Projections'!$A$4:$EO$14,((MONTH($A97)-1)*12)+VLOOKUP(BJ$4,$DE$6:$DF$17,2)+1))*(VLOOKUP($A97,CURVES!$D$9:$T$261,8))*(INDEX(DailyScalarsTable,BJ$5/100,MONTH($A97)))*$D97</f>
        <v>-11076.975992959631</v>
      </c>
      <c r="BK97" s="1021">
        <f>(VLOOKUP(YEAR($A97),'NY East Load Projections'!$A$4:$EO$14,((MONTH($A97)-1)*12)+VLOOKUP(BK$4,$DE$6:$DF$17,2)+1))*(VLOOKUP($A97,CURVES!$D$9:$T$261,8))*(INDEX(DailyScalarsTable,BK$5/100,MONTH($A97)))*$D97</f>
        <v>-12307.041108993515</v>
      </c>
      <c r="BL97" s="1021">
        <f>(VLOOKUP(YEAR($A97),'NY East Load Projections'!$A$4:$EO$14,((MONTH($A97)-1)*12)+VLOOKUP(BL$4,$DE$6:$DF$17,2)+1))*(VLOOKUP($A97,CURVES!$D$9:$T$261,8))*(INDEX(DailyScalarsTable,BL$5/100,MONTH($A97)))*$D97</f>
        <v>-14319.874935230768</v>
      </c>
      <c r="BM97" s="1021">
        <f>(VLOOKUP(YEAR($A97),'NY East Load Projections'!$A$4:$EO$14,((MONTH($A97)-1)*12)+VLOOKUP(BM$4,$DE$6:$DF$17,2)+1))*(VLOOKUP($A97,SatSunCurve,8))*(INDEX(DailyScalarsTable,BM$5/100,MONTH($A97)))*$D97</f>
        <v>-10944.316786761974</v>
      </c>
      <c r="BN97" s="1021">
        <f>(VLOOKUP(YEAR($A97),'NY East Load Projections'!$A$4:$EO$14,((MONTH($A97)-1)*12)+VLOOKUP(BN$4,$DE$6:$DF$17,2)+1))*(VLOOKUP($A97,SatSunCurve,8))*(INDEX(DailyScalarsTable,BN$5/100,MONTH($A97)))*$D97</f>
        <v>-13112.520849742297</v>
      </c>
      <c r="BO97" s="1021">
        <f>(VLOOKUP(YEAR($A97),'NY East Load Projections'!$A$4:$EO$14,((MONTH($A97)-1)*12)+VLOOKUP(BO$4,$DE$6:$DF$17,2)+1))*(VLOOKUP($A97,SatSunCurve,8))*(INDEX(DailyScalarsTable,BO$5/100,MONTH($A97)))*$D97</f>
        <v>-16816.0012910845</v>
      </c>
      <c r="BP97" s="1021">
        <f>(VLOOKUP(YEAR($A97),'NY East Load Projections'!$A$4:$EO$14,((MONTH($A97)-1)*12)+VLOOKUP(BP$4,$DE$6:$DF$17,2)+1))*(VLOOKUP($A97,SatSunCurve,8))*(INDEX(DailyScalarsTable,BP$5/100,MONTH($A97)))*$D97</f>
        <v>-18979.420558799251</v>
      </c>
      <c r="BQ97" s="1021">
        <f>(VLOOKUP(YEAR($A97),'NY East Load Projections'!$A$4:$EO$14,((MONTH($A97)-1)*12)+VLOOKUP(BQ$4,$DE$6:$DF$17,2)+1))*(VLOOKUP($A97,SatSunCurve,8))*(INDEX(DailyScalarsTable,BQ$5/100,MONTH($A97)))*$D97</f>
        <v>-19783.674727249141</v>
      </c>
      <c r="BR97" s="1021">
        <f>(VLOOKUP(YEAR($A97),'NY East Load Projections'!$A$4:$EO$14,((MONTH($A97)-1)*12)+VLOOKUP(BR$4,$DE$6:$DF$17,2)+1))*(VLOOKUP($A97,SatSunCurve,8))*(INDEX(DailyScalarsTable,BR$5/100,MONTH($A97)))*$D97</f>
        <v>-20300.928381273276</v>
      </c>
      <c r="BS97" s="1021">
        <f>(VLOOKUP(YEAR($A97),'NY East Load Projections'!$A$4:$EO$14,((MONTH($A97)-1)*12)+VLOOKUP(BS$4,$DE$6:$DF$17,2)+1))*(VLOOKUP($A97,SatSunCurve,8))*(INDEX(DailyScalarsTable,BS$5/100,MONTH($A97)))*$D97</f>
        <v>-22285.761956973802</v>
      </c>
      <c r="BT97" s="1021">
        <f>(VLOOKUP(YEAR($A97),'NY East Load Projections'!$A$4:$EO$14,((MONTH($A97)-1)*12)+VLOOKUP(BT$4,$DE$6:$DF$17,2)+1))*(VLOOKUP($A97,SatSunCurve,8))*(INDEX(DailyScalarsTable,BT$5/100,MONTH($A97)))*$D97</f>
        <v>-23592.970821479754</v>
      </c>
      <c r="BU97" s="1021">
        <f>(VLOOKUP(YEAR($A97),'NY East Load Projections'!$A$4:$EO$14,((MONTH($A97)-1)*12)+VLOOKUP(BU$4,$DE$6:$DF$17,2)+1))*(VLOOKUP($A97,SatSunCurve,8))*(INDEX(DailyScalarsTable,BU$5/100,MONTH($A97)))*$D97</f>
        <v>-23264.272267542088</v>
      </c>
      <c r="BV97" s="1021">
        <f>(VLOOKUP(YEAR($A97),'NY East Load Projections'!$A$4:$EO$14,((MONTH($A97)-1)*12)+VLOOKUP(BV$4,$DE$6:$DF$17,2)+1))*(VLOOKUP($A97,SatSunCurve,8))*(INDEX(DailyScalarsTable,BV$5/100,MONTH($A97)))*$D97</f>
        <v>-21717.273932662702</v>
      </c>
      <c r="BW97" s="1021">
        <f>(VLOOKUP(YEAR($A97),'NY East Load Projections'!$A$4:$EO$14,((MONTH($A97)-1)*12)+VLOOKUP(BW$4,$DE$6:$DF$17,2)+1))*(VLOOKUP($A97,SatSunCurve,8))*(INDEX(DailyScalarsTable,BW$5/100,MONTH($A97)))*$D97</f>
        <v>-20111.538201595245</v>
      </c>
      <c r="BX97" s="1021">
        <f>(VLOOKUP(YEAR($A97),'NY East Load Projections'!$A$4:$EO$14,((MONTH($A97)-1)*12)+VLOOKUP(BX$4,$DE$6:$DF$17,2)+1))*(VLOOKUP($A97,SatSunCurve,8))*(INDEX(DailyScalarsTable,BX$5/100,MONTH($A97)))*$D97</f>
        <v>-16392.992298070614</v>
      </c>
      <c r="BY97" s="1021">
        <f>(VLOOKUP(YEAR($A97),'NY East Load Projections'!$A$4:$EO$14,((MONTH($A97)-1)*12)+VLOOKUP(BY$4,$DE$6:$DF$17,2)+1))*(VLOOKUP($A97,SatSunCurve,8))*(INDEX(DailyScalarsTable,BY$5/100,MONTH($A97)))*$D97</f>
        <v>-14924.891058237514</v>
      </c>
      <c r="BZ97" s="1021">
        <f>(VLOOKUP(YEAR($A97),'NY East Load Projections'!$A$4:$EO$14,((MONTH($A97)-1)*12)+VLOOKUP(BZ$4,$DE$6:$DF$17,2)+1))*(VLOOKUP($A97,SatSunCurve,8))*(INDEX(DailyScalarsTable,BZ$5/100,MONTH($A97)))*$D97</f>
        <v>-17745.397689692152</v>
      </c>
      <c r="CA97" s="1021">
        <f>(VLOOKUP(YEAR($A97),'NY East Load Projections'!$A$4:$EO$14,((MONTH($A97)-1)*12)+VLOOKUP(CA$4,$DE$6:$DF$17,2)+1))*(VLOOKUP($A97,SatSunCurve,8))*(INDEX(DailyScalarsTable,CA$5/100,MONTH($A97)))*$D97</f>
        <v>-15089.406573477467</v>
      </c>
      <c r="CB97" s="1021">
        <f>(VLOOKUP(YEAR($A97),'NY East Load Projections'!$A$4:$EO$14,((MONTH($A97)-1)*12)+VLOOKUP(CB$4,$DE$6:$DF$17,2)+1))*(VLOOKUP($A97,SatSunCurve,8))*(INDEX(DailyScalarsTable,CB$5/100,MONTH($A97)))*$D97</f>
        <v>-12218.928202173265</v>
      </c>
      <c r="CC97" s="1021">
        <f>(VLOOKUP(YEAR($A97),'NY East Load Projections'!$A$4:$EO$14,((MONTH($A97)-1)*12)+VLOOKUP(CC$4,$DE$6:$DF$17,2)+1))*(VLOOKUP($A97,CURVES!$D$9:$T$261,8))*(INDEX(DailyScalarsTable,CC$5/100,MONTH($A97)))*$D97</f>
        <v>-16619.435020260687</v>
      </c>
      <c r="CE97" s="1021">
        <f>(VLOOKUP(YEAR($A97),'NY East Load Projections'!$A$4:$EO$14,((MONTH($A97)-1)*12)+VLOOKUP(CE$4,$DE$6:$DF$17,2)+1))*(VLOOKUP($A97,CURVES!$D$9:$T$261,8))*(INDEX(DailyScalarsTable,CE$5/100,MONTH($A97)))*$E97</f>
        <v>0</v>
      </c>
      <c r="CF97" s="1021">
        <f>(VLOOKUP(YEAR($A97),'NY East Load Projections'!$A$4:$EO$14,((MONTH($A97)-1)*12)+VLOOKUP(CF$4,$DE$6:$DF$17,2)+1))*(VLOOKUP($A97,CURVES!$D$9:$T$261,8))*(INDEX(DailyScalarsTable,CF$5/100,MONTH($A97)))*$E97</f>
        <v>0</v>
      </c>
      <c r="CG97" s="1021">
        <f>(VLOOKUP(YEAR($A97),'NY East Load Projections'!$A$4:$EO$14,((MONTH($A97)-1)*12)+VLOOKUP(CG$4,$DE$6:$DF$17,2)+1))*(VLOOKUP($A97,CURVES!$D$9:$T$261,8))*(INDEX(DailyScalarsTable,CG$5/100,MONTH($A97)))*$E97</f>
        <v>0</v>
      </c>
      <c r="CH97" s="1021">
        <f>(VLOOKUP(YEAR($A97),'NY East Load Projections'!$A$4:$EO$14,((MONTH($A97)-1)*12)+VLOOKUP(CH$4,$DE$6:$DF$17,2)+1))*(VLOOKUP($A97,CURVES!$D$9:$T$261,8))*(INDEX(DailyScalarsTable,CH$5/100,MONTH($A97)))*$E97</f>
        <v>0</v>
      </c>
      <c r="CI97" s="1021">
        <f>(VLOOKUP(YEAR($A97),'NY East Load Projections'!$A$4:$EO$14,((MONTH($A97)-1)*12)+VLOOKUP(CI$4,$DE$6:$DF$17,2)+1))*(VLOOKUP($A97,CURVES!$D$9:$T$261,8))*(INDEX(DailyScalarsTable,CI$5/100,MONTH($A97)))*$E97</f>
        <v>0</v>
      </c>
      <c r="CJ97" s="1021">
        <f>(VLOOKUP(YEAR($A97),'NY East Load Projections'!$A$4:$EO$14,((MONTH($A97)-1)*12)+VLOOKUP(CJ$4,$DE$6:$DF$17,2)+1))*(VLOOKUP($A97,CURVES!$D$9:$T$261,8))*(INDEX(DailyScalarsTable,CJ$5/100,MONTH($A97)))*$E97</f>
        <v>0</v>
      </c>
      <c r="CK97" s="1021">
        <f>(VLOOKUP(YEAR($A97),'NY East Load Projections'!$A$4:$EO$14,((MONTH($A97)-1)*12)+VLOOKUP(CK$4,$DE$6:$DF$17,2)+1))*(VLOOKUP($A97,CURVES!$D$9:$T$261,8))*(INDEX(DailyScalarsTable,CK$5/100,MONTH($A97)))*$E97</f>
        <v>0</v>
      </c>
      <c r="CL97" s="1021">
        <f>(VLOOKUP(YEAR($A97),'NY East Load Projections'!$A$4:$EO$14,((MONTH($A97)-1)*12)+VLOOKUP(CL$4,$DE$6:$DF$17,2)+1))*(VLOOKUP($A97,SatSunCurve,8))*(INDEX(DailyScalarsTable,CL$5/100,MONTH($A97)))*$E97</f>
        <v>0</v>
      </c>
      <c r="CM97" s="1021">
        <f>(VLOOKUP(YEAR($A97),'NY East Load Projections'!$A$4:$EO$14,((MONTH($A97)-1)*12)+VLOOKUP(CM$4,$DE$6:$DF$17,2)+1))*(VLOOKUP($A97,SatSunCurve,8))*(INDEX(DailyScalarsTable,CM$5/100,MONTH($A97)))*$E97</f>
        <v>0</v>
      </c>
      <c r="CN97" s="1021">
        <f>(VLOOKUP(YEAR($A97),'NY East Load Projections'!$A$4:$EO$14,((MONTH($A97)-1)*12)+VLOOKUP(CN$4,$DE$6:$DF$17,2)+1))*(VLOOKUP($A97,SatSunCurve,8))*(INDEX(DailyScalarsTable,CN$5/100,MONTH($A97)))*$E97</f>
        <v>0</v>
      </c>
      <c r="CO97" s="1021">
        <f>(VLOOKUP(YEAR($A97),'NY East Load Projections'!$A$4:$EO$14,((MONTH($A97)-1)*12)+VLOOKUP(CO$4,$DE$6:$DF$17,2)+1))*(VLOOKUP($A97,SatSunCurve,8))*(INDEX(DailyScalarsTable,CO$5/100,MONTH($A97)))*$E97</f>
        <v>0</v>
      </c>
      <c r="CP97" s="1021">
        <f>(VLOOKUP(YEAR($A97),'NY East Load Projections'!$A$4:$EO$14,((MONTH($A97)-1)*12)+VLOOKUP(CP$4,$DE$6:$DF$17,2)+1))*(VLOOKUP($A97,SatSunCurve,8))*(INDEX(DailyScalarsTable,CP$5/100,MONTH($A97)))*$E97</f>
        <v>0</v>
      </c>
      <c r="CQ97" s="1021">
        <f>(VLOOKUP(YEAR($A97),'NY East Load Projections'!$A$4:$EO$14,((MONTH($A97)-1)*12)+VLOOKUP(CQ$4,$DE$6:$DF$17,2)+1))*(VLOOKUP($A97,SatSunCurve,8))*(INDEX(DailyScalarsTable,CQ$5/100,MONTH($A97)))*$E97</f>
        <v>0</v>
      </c>
      <c r="CR97" s="1021">
        <f>(VLOOKUP(YEAR($A97),'NY East Load Projections'!$A$4:$EO$14,((MONTH($A97)-1)*12)+VLOOKUP(CR$4,$DE$6:$DF$17,2)+1))*(VLOOKUP($A97,SatSunCurve,8))*(INDEX(DailyScalarsTable,CR$5/100,MONTH($A97)))*$E97</f>
        <v>0</v>
      </c>
      <c r="CS97" s="1021">
        <f>(VLOOKUP(YEAR($A97),'NY East Load Projections'!$A$4:$EO$14,((MONTH($A97)-1)*12)+VLOOKUP(CS$4,$DE$6:$DF$17,2)+1))*(VLOOKUP($A97,SatSunCurve,8))*(INDEX(DailyScalarsTable,CS$5/100,MONTH($A97)))*$E97</f>
        <v>0</v>
      </c>
      <c r="CT97" s="1021">
        <f>(VLOOKUP(YEAR($A97),'NY East Load Projections'!$A$4:$EO$14,((MONTH($A97)-1)*12)+VLOOKUP(CT$4,$DE$6:$DF$17,2)+1))*(VLOOKUP($A97,SatSunCurve,8))*(INDEX(DailyScalarsTable,CT$5/100,MONTH($A97)))*$E97</f>
        <v>0</v>
      </c>
      <c r="CU97" s="1021">
        <f>(VLOOKUP(YEAR($A97),'NY East Load Projections'!$A$4:$EO$14,((MONTH($A97)-1)*12)+VLOOKUP(CU$4,$DE$6:$DF$17,2)+1))*(VLOOKUP($A97,SatSunCurve,8))*(INDEX(DailyScalarsTable,CU$5/100,MONTH($A97)))*$E97</f>
        <v>0</v>
      </c>
      <c r="CV97" s="1021">
        <f>(VLOOKUP(YEAR($A97),'NY East Load Projections'!$A$4:$EO$14,((MONTH($A97)-1)*12)+VLOOKUP(CV$4,$DE$6:$DF$17,2)+1))*(VLOOKUP($A97,SatSunCurve,8))*(INDEX(DailyScalarsTable,CV$5/100,MONTH($A97)))*$E97</f>
        <v>0</v>
      </c>
      <c r="CW97" s="1021">
        <f>(VLOOKUP(YEAR($A97),'NY East Load Projections'!$A$4:$EO$14,((MONTH($A97)-1)*12)+VLOOKUP(CW$4,$DE$6:$DF$17,2)+1))*(VLOOKUP($A97,SatSunCurve,8))*(INDEX(DailyScalarsTable,CW$5/100,MONTH($A97)))*$E97</f>
        <v>0</v>
      </c>
      <c r="CX97" s="1021">
        <f>(VLOOKUP(YEAR($A97),'NY East Load Projections'!$A$4:$EO$14,((MONTH($A97)-1)*12)+VLOOKUP(CX$4,$DE$6:$DF$17,2)+1))*(VLOOKUP($A97,SatSunCurve,8))*(INDEX(DailyScalarsTable,CX$5/100,MONTH($A97)))*$E97</f>
        <v>0</v>
      </c>
      <c r="CY97" s="1021">
        <f>(VLOOKUP(YEAR($A97),'NY East Load Projections'!$A$4:$EO$14,((MONTH($A97)-1)*12)+VLOOKUP(CY$4,$DE$6:$DF$17,2)+1))*(VLOOKUP($A97,SatSunCurve,8))*(INDEX(DailyScalarsTable,CY$5/100,MONTH($A97)))*$E97</f>
        <v>0</v>
      </c>
      <c r="CZ97" s="1021">
        <f>(VLOOKUP(YEAR($A97),'NY East Load Projections'!$A$4:$EO$14,((MONTH($A97)-1)*12)+VLOOKUP(CZ$4,$DE$6:$DF$17,2)+1))*(VLOOKUP($A97,SatSunCurve,8))*(INDEX(DailyScalarsTable,CZ$5/100,MONTH($A97)))*$E97</f>
        <v>0</v>
      </c>
      <c r="DA97" s="1021">
        <f>(VLOOKUP(YEAR($A97),'NY East Load Projections'!$A$4:$EO$14,((MONTH($A97)-1)*12)+VLOOKUP(DA$4,$DE$6:$DF$17,2)+1))*(VLOOKUP($A97,SatSunCurve,8))*(INDEX(DailyScalarsTable,DA$5/100,MONTH($A97)))*$E97</f>
        <v>0</v>
      </c>
      <c r="DB97" s="1021">
        <f>(VLOOKUP(YEAR($A97),'NY East Load Projections'!$A$4:$EO$14,((MONTH($A97)-1)*12)+VLOOKUP(DB$4,$DE$6:$DF$17,2)+1))*(VLOOKUP($A97,CURVES!$D$9:$T$261,8))*(INDEX(DailyScalarsTable,DB$5/100,MONTH($A97)))*$E97</f>
        <v>0</v>
      </c>
      <c r="DH97" s="1021">
        <f t="shared" si="2"/>
        <v>-4014657.1925356607</v>
      </c>
      <c r="DI97">
        <f ca="1">CALC!J117</f>
        <v>0.53749778610818577</v>
      </c>
      <c r="DJ97" s="1029">
        <f t="shared" ca="1" si="3"/>
        <v>-2157869.3529712223</v>
      </c>
    </row>
    <row r="98" spans="1:114" x14ac:dyDescent="0.25">
      <c r="A98" s="244">
        <v>39692</v>
      </c>
      <c r="B98" s="13">
        <v>21</v>
      </c>
      <c r="C98" s="210">
        <v>4</v>
      </c>
      <c r="D98" s="210">
        <v>4</v>
      </c>
      <c r="E98" s="210">
        <v>1</v>
      </c>
      <c r="F98" s="13">
        <v>30</v>
      </c>
      <c r="H98" s="1021">
        <f>(VLOOKUP(YEAR($A98),'NY East Load Projections'!$A$4:$EO$14,((MONTH($A98)-1)*12)+VLOOKUP(H$4,$DE$6:$DF$17,2)+1))*(VLOOKUP($A98,CURVES!$D$9:$K$261,8))*(INDEX(DailyScalarsTable,H$5/100,MONTH($A98)))*$B98</f>
        <v>-41610.396660422477</v>
      </c>
      <c r="I98" s="1021">
        <f>(VLOOKUP(YEAR($A98),'NY East Load Projections'!$A$4:$EO$14,((MONTH($A98)-1)*12)+VLOOKUP(I$4,$DE$6:$DF$17,2)+1))*(VLOOKUP($A98,CURVES!$D$9:$K$261,8))*(INDEX(DailyScalarsTable,I$5/100,MONTH($A98)))*$B98</f>
        <v>-36505.539767614733</v>
      </c>
      <c r="J98" s="1021">
        <f>(VLOOKUP(YEAR($A98),'NY East Load Projections'!$A$4:$EO$14,((MONTH($A98)-1)*12)+VLOOKUP(J$4,$DE$6:$DF$17,2)+1))*(VLOOKUP($A98,CURVES!$D$9:$K$261,8))*(INDEX(DailyScalarsTable,J$5/100,MONTH($A98)))*$B98</f>
        <v>-34233.191461292459</v>
      </c>
      <c r="K98" s="1021">
        <f>(VLOOKUP(YEAR($A98),'NY East Load Projections'!$A$4:$EO$14,((MONTH($A98)-1)*12)+VLOOKUP(K$4,$DE$6:$DF$17,2)+1))*(VLOOKUP($A98,CURVES!$D$9:$K$261,8))*(INDEX(DailyScalarsTable,K$5/100,MONTH($A98)))*$B98</f>
        <v>-34740.506432006281</v>
      </c>
      <c r="L98" s="1021">
        <f>(VLOOKUP(YEAR($A98),'NY East Load Projections'!$A$4:$EO$14,((MONTH($A98)-1)*12)+VLOOKUP(L$4,$DE$6:$DF$17,2)+1))*(VLOOKUP($A98,CURVES!$D$9:$K$261,8))*(INDEX(DailyScalarsTable,L$5/100,MONTH($A98)))*$B98</f>
        <v>-40041.014325988661</v>
      </c>
      <c r="M98" s="1021">
        <f>(VLOOKUP(YEAR($A98),'NY East Load Projections'!$A$4:$EO$14,((MONTH($A98)-1)*12)+VLOOKUP(M$4,$DE$6:$DF$17,2)+1))*(VLOOKUP($A98,CURVES!$D$9:$K$261,8))*(INDEX(DailyScalarsTable,M$5/100,MONTH($A98)))*$B98</f>
        <v>-46336.55842119905</v>
      </c>
      <c r="N98" s="1021">
        <f>(VLOOKUP(YEAR($A98),'NY East Load Projections'!$A$4:$EO$14,((MONTH($A98)-1)*12)+VLOOKUP(N$4,$DE$6:$DF$17,2)+1))*(VLOOKUP($A98,CURVES!$D$9:$K$261,8))*(INDEX(DailyScalarsTable,N$5/100,MONTH($A98)))*$B98</f>
        <v>-63011.852637544849</v>
      </c>
      <c r="O98" s="1021">
        <f>(VLOOKUP(YEAR($A98),'NY East Load Projections'!$A$4:$EO$14,((MONTH($A98)-1)*12)+VLOOKUP(O$4,$DE$6:$DF$17,2)+1))*(VLOOKUP($A98,CURVES!$D$9:$K$261,4))*(INDEX(DailyScalarsTable,O$5/100,MONTH($A98)))*$B98</f>
        <v>-57779.290512483625</v>
      </c>
      <c r="P98" s="1021">
        <f>(VLOOKUP(YEAR($A98),'NY East Load Projections'!$A$4:$EO$14,((MONTH($A98)-1)*12)+VLOOKUP(P$4,$DE$6:$DF$17,2)+1))*(VLOOKUP($A98,CURVES!$D$9:$K$261,4))*(INDEX(DailyScalarsTable,P$5/100,MONTH($A98)))*$B98</f>
        <v>-61345.552907096295</v>
      </c>
      <c r="Q98" s="1021">
        <f>(VLOOKUP(YEAR($A98),'NY East Load Projections'!$A$4:$EO$14,((MONTH($A98)-1)*12)+VLOOKUP(Q$4,$DE$6:$DF$17,2)+1))*(VLOOKUP($A98,CURVES!$D$9:$K$261,4))*(INDEX(DailyScalarsTable,Q$5/100,MONTH($A98)))*$B98</f>
        <v>-76578.45673287996</v>
      </c>
      <c r="R98" s="1021">
        <f>(VLOOKUP(YEAR($A98),'NY East Load Projections'!$A$4:$EO$14,((MONTH($A98)-1)*12)+VLOOKUP(R$4,$DE$6:$DF$17,2)+1))*(VLOOKUP($A98,CURVES!$D$9:$K$261,4))*(INDEX(DailyScalarsTable,R$5/100,MONTH($A98)))*$B98</f>
        <v>-81782.243754110415</v>
      </c>
      <c r="S98" s="1021">
        <f>(VLOOKUP(YEAR($A98),'NY East Load Projections'!$A$4:$EO$14,((MONTH($A98)-1)*12)+VLOOKUP(S$4,$DE$6:$DF$17,2)+1))*(VLOOKUP($A98,CURVES!$D$9:$K$261,4))*(INDEX(DailyScalarsTable,S$5/100,MONTH($A98)))*$B98</f>
        <v>-87139.779028240868</v>
      </c>
      <c r="T98" s="1021">
        <f>(VLOOKUP(YEAR($A98),'NY East Load Projections'!$A$4:$EO$14,((MONTH($A98)-1)*12)+VLOOKUP(T$4,$DE$6:$DF$17,2)+1))*(VLOOKUP($A98,CURVES!$D$9:$K$261,4))*(INDEX(DailyScalarsTable,T$5/100,MONTH($A98)))*$B98</f>
        <v>-84760.788702574762</v>
      </c>
      <c r="U98" s="1021">
        <f>(VLOOKUP(YEAR($A98),'NY East Load Projections'!$A$4:$EO$14,((MONTH($A98)-1)*12)+VLOOKUP(U$4,$DE$6:$DF$17,2)+1))*(VLOOKUP($A98,CURVES!$D$9:$K$261,4))*(INDEX(DailyScalarsTable,U$5/100,MONTH($A98)))*$B98</f>
        <v>-91756.260714054675</v>
      </c>
      <c r="V98" s="1021">
        <f>(VLOOKUP(YEAR($A98),'NY East Load Projections'!$A$4:$EO$14,((MONTH($A98)-1)*12)+VLOOKUP(V$4,$DE$6:$DF$17,2)+1))*(VLOOKUP($A98,CURVES!$D$9:$K$261,4))*(INDEX(DailyScalarsTable,V$5/100,MONTH($A98)))*$B98</f>
        <v>-90308.502158635412</v>
      </c>
      <c r="W98" s="1021">
        <f>(VLOOKUP(YEAR($A98),'NY East Load Projections'!$A$4:$EO$14,((MONTH($A98)-1)*12)+VLOOKUP(W$4,$DE$6:$DF$17,2)+1))*(VLOOKUP($A98,CURVES!$D$9:$K$261,4))*(INDEX(DailyScalarsTable,W$5/100,MONTH($A98)))*$B98</f>
        <v>-87485.981277481755</v>
      </c>
      <c r="X98" s="1021">
        <f>(VLOOKUP(YEAR($A98),'NY East Load Projections'!$A$4:$EO$14,((MONTH($A98)-1)*12)+VLOOKUP(X$4,$DE$6:$DF$17,2)+1))*(VLOOKUP($A98,CURVES!$D$9:$K$261,4))*(INDEX(DailyScalarsTable,X$5/100,MONTH($A98)))*$B98</f>
        <v>-90263.098984725089</v>
      </c>
      <c r="Y98" s="1021">
        <f>(VLOOKUP(YEAR($A98),'NY East Load Projections'!$A$4:$EO$14,((MONTH($A98)-1)*12)+VLOOKUP(Y$4,$DE$6:$DF$17,2)+1))*(VLOOKUP($A98,CURVES!$D$9:$K$261,4))*(INDEX(DailyScalarsTable,Y$5/100,MONTH($A98)))*$B98</f>
        <v>-88048.768602917742</v>
      </c>
      <c r="Z98" s="1021">
        <f>(VLOOKUP(YEAR($A98),'NY East Load Projections'!$A$4:$EO$14,((MONTH($A98)-1)*12)+VLOOKUP(Z$4,$DE$6:$DF$17,2)+1))*(VLOOKUP($A98,CURVES!$D$9:$K$261,4))*(INDEX(DailyScalarsTable,Z$5/100,MONTH($A98)))*$B98</f>
        <v>-72117.244224335518</v>
      </c>
      <c r="AA98" s="1021">
        <f>(VLOOKUP(YEAR($A98),'NY East Load Projections'!$A$4:$EO$14,((MONTH($A98)-1)*12)+VLOOKUP(AA$4,$DE$6:$DF$17,2)+1))*(VLOOKUP($A98,CURVES!$D$9:$K$261,4))*(INDEX(DailyScalarsTable,AA$5/100,MONTH($A98)))*$B98</f>
        <v>-94248.89367197825</v>
      </c>
      <c r="AB98" s="1021">
        <f>(VLOOKUP(YEAR($A98),'NY East Load Projections'!$A$4:$EO$14,((MONTH($A98)-1)*12)+VLOOKUP(AB$4,$DE$6:$DF$17,2)+1))*(VLOOKUP($A98,CURVES!$D$9:$K$261,4))*(INDEX(DailyScalarsTable,AB$5/100,MONTH($A98)))*$B98</f>
        <v>-85942.429750186013</v>
      </c>
      <c r="AC98" s="1021">
        <f>(VLOOKUP(YEAR($A98),'NY East Load Projections'!$A$4:$EO$14,((MONTH($A98)-1)*12)+VLOOKUP(AC$4,$DE$6:$DF$17,2)+1))*(VLOOKUP($A98,CURVES!$D$9:$K$261,4))*(INDEX(DailyScalarsTable,AC$5/100,MONTH($A98)))*$B98</f>
        <v>-65410.684207708386</v>
      </c>
      <c r="AD98" s="1021">
        <f>(VLOOKUP(YEAR($A98),'NY East Load Projections'!$A$4:$EO$14,((MONTH($A98)-1)*12)+VLOOKUP(AD$4,$DE$6:$DF$17,2)+1))*(VLOOKUP($A98,CURVES!$D$9:$K$261,4))*(INDEX(DailyScalarsTable,AD$5/100,MONTH($A98)))*$B98</f>
        <v>-51835.279557446025</v>
      </c>
      <c r="AE98" s="1021">
        <f>(VLOOKUP(YEAR($A98),'NY East Load Projections'!$A$4:$EO$14,((MONTH($A98)-1)*12)+VLOOKUP(AE$4,$DE$6:$DF$17,2)+1))*(VLOOKUP($A98,CURVES!$D$9:$K$261,8))*(INDEX(DailyScalarsTable,AE$5/100,MONTH($A98)))*$B98</f>
        <v>-48520.271877107843</v>
      </c>
      <c r="AF98" s="1021"/>
      <c r="AG98" s="1021">
        <f>(VLOOKUP(YEAR($A98),'NY East Load Projections'!$A$4:$EO$14,((MONTH($A98)-1)*12)+VLOOKUP(AG$4,$DE$6:$DF$17,2)+1))*(VLOOKUP($A98,CURVES!$D$9:$T$261,8))*(INDEX(DailyScalarsTable,AG$5/100,MONTH($A98)))*$C98</f>
        <v>-8266.5767722883484</v>
      </c>
      <c r="AH98" s="1021">
        <f>(VLOOKUP(YEAR($A98),'NY East Load Projections'!$A$4:$EO$14,((MONTH($A98)-1)*12)+VLOOKUP(AH$4,$DE$6:$DF$17,2)+1))*(VLOOKUP($A98,CURVES!$D$9:$T$261,8))*(INDEX(DailyScalarsTable,AH$5/100,MONTH($A98)))*$C98</f>
        <v>-7252.4145723860693</v>
      </c>
      <c r="AI98" s="1021">
        <f>(VLOOKUP(YEAR($A98),'NY East Load Projections'!$A$4:$EO$14,((MONTH($A98)-1)*12)+VLOOKUP(AI$4,$DE$6:$DF$17,2)+1))*(VLOOKUP($A98,CURVES!$D$9:$T$261,8))*(INDEX(DailyScalarsTable,AI$5/100,MONTH($A98)))*$C98</f>
        <v>-6800.9759119740829</v>
      </c>
      <c r="AJ98" s="1021">
        <f>(VLOOKUP(YEAR($A98),'NY East Load Projections'!$A$4:$EO$14,((MONTH($A98)-1)*12)+VLOOKUP(AJ$4,$DE$6:$DF$17,2)+1))*(VLOOKUP($A98,CURVES!$D$9:$T$261,8))*(INDEX(DailyScalarsTable,AJ$5/100,MONTH($A98)))*$C98</f>
        <v>-6901.7622175544357</v>
      </c>
      <c r="AK98" s="1021">
        <f>(VLOOKUP(YEAR($A98),'NY East Load Projections'!$A$4:$EO$14,((MONTH($A98)-1)*12)+VLOOKUP(AK$4,$DE$6:$DF$17,2)+1))*(VLOOKUP($A98,CURVES!$D$9:$T$261,8))*(INDEX(DailyScalarsTable,AK$5/100,MONTH($A98)))*$C98</f>
        <v>-7508.8129345930975</v>
      </c>
      <c r="AL98" s="1021">
        <f>(VLOOKUP(YEAR($A98),'NY East Load Projections'!$A$4:$EO$14,((MONTH($A98)-1)*12)+VLOOKUP(AL$4,$DE$6:$DF$17,2)+1))*(VLOOKUP($A98,CURVES!$D$9:$T$261,8))*(INDEX(DailyScalarsTable,AL$5/100,MONTH($A98)))*$C98</f>
        <v>-8689.4039792543954</v>
      </c>
      <c r="AM98" s="1021">
        <f>(VLOOKUP(YEAR($A98),'NY East Load Projections'!$A$4:$EO$14,((MONTH($A98)-1)*12)+VLOOKUP(AM$4,$DE$6:$DF$17,2)+1))*(VLOOKUP($A98,CURVES!$D$9:$T$261,8))*(INDEX(DailyScalarsTable,AM$5/100,MONTH($A98)))*$C98</f>
        <v>-11816.489219414609</v>
      </c>
      <c r="AN98" s="1021">
        <f>(VLOOKUP(YEAR($A98),'NY East Load Projections'!$A$4:$EO$14,((MONTH($A98)-1)*12)+VLOOKUP(AN$4,$DE$6:$DF$17,2)+1))*(VLOOKUP($A98,SatSunCurve,4))*(INDEX(DailyScalarsTable,AN$5/100,MONTH($A98)))*$C98</f>
        <v>-7848.8630693882851</v>
      </c>
      <c r="AO98" s="1021">
        <f>(VLOOKUP(YEAR($A98),'NY East Load Projections'!$A$4:$EO$14,((MONTH($A98)-1)*12)+VLOOKUP(AO$4,$DE$6:$DF$17,2)+1))*(VLOOKUP($A98,SatSunCurve,4))*(INDEX(DailyScalarsTable,AO$5/100,MONTH($A98)))*$C98</f>
        <v>-8641.8351544763991</v>
      </c>
      <c r="AP98" s="1021">
        <f>(VLOOKUP(YEAR($A98),'NY East Load Projections'!$A$4:$EO$14,((MONTH($A98)-1)*12)+VLOOKUP(AP$4,$DE$6:$DF$17,2)+1))*(VLOOKUP($A98,SatSunCurve,4))*(INDEX(DailyScalarsTable,AP$5/100,MONTH($A98)))*$C98</f>
        <v>-10787.7159485704</v>
      </c>
      <c r="AQ98" s="1021">
        <f>(VLOOKUP(YEAR($A98),'NY East Load Projections'!$A$4:$EO$14,((MONTH($A98)-1)*12)+VLOOKUP(AQ$4,$DE$6:$DF$17,2)+1))*(VLOOKUP($A98,SatSunCurve,4))*(INDEX(DailyScalarsTable,AQ$5/100,MONTH($A98)))*$C98</f>
        <v>-11520.780816118042</v>
      </c>
      <c r="AR98" s="1021">
        <f>(VLOOKUP(YEAR($A98),'NY East Load Projections'!$A$4:$EO$14,((MONTH($A98)-1)*12)+VLOOKUP(AR$4,$DE$6:$DF$17,2)+1))*(VLOOKUP($A98,SatSunCurve,4))*(INDEX(DailyScalarsTable,AR$5/100,MONTH($A98)))*$C98</f>
        <v>-12275.504418388682</v>
      </c>
      <c r="AS98" s="1021">
        <f>(VLOOKUP(YEAR($A98),'NY East Load Projections'!$A$4:$EO$14,((MONTH($A98)-1)*12)+VLOOKUP(AS$4,$DE$6:$DF$17,2)+1))*(VLOOKUP($A98,SatSunCurve,4))*(INDEX(DailyScalarsTable,AS$5/100,MONTH($A98)))*$C98</f>
        <v>-11890.677894564671</v>
      </c>
      <c r="AT98" s="1021">
        <f>(VLOOKUP(YEAR($A98),'NY East Load Projections'!$A$4:$EO$14,((MONTH($A98)-1)*12)+VLOOKUP(AT$4,$DE$6:$DF$17,2)+1))*(VLOOKUP($A98,SatSunCurve,4))*(INDEX(DailyScalarsTable,AT$5/100,MONTH($A98)))*$C98</f>
        <v>-12872.038564777771</v>
      </c>
      <c r="AU98" s="1021">
        <f>(VLOOKUP(YEAR($A98),'NY East Load Projections'!$A$4:$EO$14,((MONTH($A98)-1)*12)+VLOOKUP(AU$4,$DE$6:$DF$17,2)+1))*(VLOOKUP($A98,SatSunCurve,4))*(INDEX(DailyScalarsTable,AU$5/100,MONTH($A98)))*$C98</f>
        <v>-12668.939573898893</v>
      </c>
      <c r="AV98" s="1021">
        <f>(VLOOKUP(YEAR($A98),'NY East Load Projections'!$A$4:$EO$14,((MONTH($A98)-1)*12)+VLOOKUP(AV$4,$DE$6:$DF$17,2)+1))*(VLOOKUP($A98,SatSunCurve,4))*(INDEX(DailyScalarsTable,AV$5/100,MONTH($A98)))*$C98</f>
        <v>-12272.981877395518</v>
      </c>
      <c r="AW98" s="1021">
        <f>(VLOOKUP(YEAR($A98),'NY East Load Projections'!$A$4:$EO$14,((MONTH($A98)-1)*12)+VLOOKUP(AW$4,$DE$6:$DF$17,2)+1))*(VLOOKUP($A98,SatSunCurve,4))*(INDEX(DailyScalarsTable,AW$5/100,MONTH($A98)))*$C98</f>
        <v>-12328.975653534353</v>
      </c>
      <c r="AX98" s="1021">
        <f>(VLOOKUP(YEAR($A98),'NY East Load Projections'!$A$4:$EO$14,((MONTH($A98)-1)*12)+VLOOKUP(AX$4,$DE$6:$DF$17,2)+1))*(VLOOKUP($A98,SatSunCurve,4))*(INDEX(DailyScalarsTable,AX$5/100,MONTH($A98)))*$C98</f>
        <v>-12026.521764035122</v>
      </c>
      <c r="AY98" s="1021">
        <f>(VLOOKUP(YEAR($A98),'NY East Load Projections'!$A$4:$EO$14,((MONTH($A98)-1)*12)+VLOOKUP(AY$4,$DE$6:$DF$17,2)+1))*(VLOOKUP($A98,SatSunCurve,4))*(INDEX(DailyScalarsTable,AY$5/100,MONTH($A98)))*$C98</f>
        <v>-9850.4456222169847</v>
      </c>
      <c r="AZ98" s="1021">
        <f>(VLOOKUP(YEAR($A98),'NY East Load Projections'!$A$4:$EO$14,((MONTH($A98)-1)*12)+VLOOKUP(AZ$4,$DE$6:$DF$17,2)+1))*(VLOOKUP($A98,SatSunCurve,4))*(INDEX(DailyScalarsTable,AZ$5/100,MONTH($A98)))*$C98</f>
        <v>-12873.392654632964</v>
      </c>
      <c r="BA98" s="1021">
        <f>(VLOOKUP(YEAR($A98),'NY East Load Projections'!$A$4:$EO$14,((MONTH($A98)-1)*12)+VLOOKUP(BA$4,$DE$6:$DF$17,2)+1))*(VLOOKUP($A98,SatSunCurve,4))*(INDEX(DailyScalarsTable,BA$5/100,MONTH($A98)))*$C98</f>
        <v>-12436.32581670664</v>
      </c>
      <c r="BB98" s="1021">
        <f>(VLOOKUP(YEAR($A98),'NY East Load Projections'!$A$4:$EO$14,((MONTH($A98)-1)*12)+VLOOKUP(BB$4,$DE$6:$DF$17,2)+1))*(VLOOKUP($A98,SatSunCurve,4))*(INDEX(DailyScalarsTable,BB$5/100,MONTH($A98)))*$C98</f>
        <v>-9465.273242394087</v>
      </c>
      <c r="BC98" s="1021">
        <f>(VLOOKUP(YEAR($A98),'NY East Load Projections'!$A$4:$EO$14,((MONTH($A98)-1)*12)+VLOOKUP(BC$4,$DE$6:$DF$17,2)+1))*(VLOOKUP($A98,SatSunCurve,4))*(INDEX(DailyScalarsTable,BC$5/100,MONTH($A98)))*$C98</f>
        <v>-7500.8401234441089</v>
      </c>
      <c r="BD98" s="1021">
        <f>(VLOOKUP(YEAR($A98),'NY East Load Projections'!$A$4:$EO$14,((MONTH($A98)-1)*12)+VLOOKUP(BD$4,$DE$6:$DF$17,2)+1))*(VLOOKUP($A98,CURVES!$D$9:$T$261,8))*(INDEX(DailyScalarsTable,BD$5/100,MONTH($A98)))*$C98</f>
        <v>-9692.5791475121478</v>
      </c>
      <c r="BE98" s="1021"/>
      <c r="BF98" s="1021">
        <f>(VLOOKUP(YEAR($A98),'NY East Load Projections'!$A$4:$EO$14,((MONTH($A98)-1)*12)+VLOOKUP(BF$4,$DE$6:$DF$17,2)+1))*(VLOOKUP($A98,CURVES!$D$9:$T$261,8))*(INDEX(DailyScalarsTable,BF$5/100,MONTH($A98)))*$D98</f>
        <v>-8266.5767722883484</v>
      </c>
      <c r="BG98" s="1021">
        <f>(VLOOKUP(YEAR($A98),'NY East Load Projections'!$A$4:$EO$14,((MONTH($A98)-1)*12)+VLOOKUP(BG$4,$DE$6:$DF$17,2)+1))*(VLOOKUP($A98,CURVES!$D$9:$T$261,8))*(INDEX(DailyScalarsTable,BG$5/100,MONTH($A98)))*$D98</f>
        <v>-7252.4145723860693</v>
      </c>
      <c r="BH98" s="1021">
        <f>(VLOOKUP(YEAR($A98),'NY East Load Projections'!$A$4:$EO$14,((MONTH($A98)-1)*12)+VLOOKUP(BH$4,$DE$6:$DF$17,2)+1))*(VLOOKUP($A98,CURVES!$D$9:$T$261,8))*(INDEX(DailyScalarsTable,BH$5/100,MONTH($A98)))*$D98</f>
        <v>-6800.9759119740829</v>
      </c>
      <c r="BI98" s="1021">
        <f>(VLOOKUP(YEAR($A98),'NY East Load Projections'!$A$4:$EO$14,((MONTH($A98)-1)*12)+VLOOKUP(BI$4,$DE$6:$DF$17,2)+1))*(VLOOKUP($A98,CURVES!$D$9:$T$261,8))*(INDEX(DailyScalarsTable,BI$5/100,MONTH($A98)))*$D98</f>
        <v>-6901.7622175544357</v>
      </c>
      <c r="BJ98" s="1021">
        <f>(VLOOKUP(YEAR($A98),'NY East Load Projections'!$A$4:$EO$14,((MONTH($A98)-1)*12)+VLOOKUP(BJ$4,$DE$6:$DF$17,2)+1))*(VLOOKUP($A98,CURVES!$D$9:$T$261,8))*(INDEX(DailyScalarsTable,BJ$5/100,MONTH($A98)))*$D98</f>
        <v>-7508.8129345930975</v>
      </c>
      <c r="BK98" s="1021">
        <f>(VLOOKUP(YEAR($A98),'NY East Load Projections'!$A$4:$EO$14,((MONTH($A98)-1)*12)+VLOOKUP(BK$4,$DE$6:$DF$17,2)+1))*(VLOOKUP($A98,CURVES!$D$9:$T$261,8))*(INDEX(DailyScalarsTable,BK$5/100,MONTH($A98)))*$D98</f>
        <v>-8689.4039792543954</v>
      </c>
      <c r="BL98" s="1021">
        <f>(VLOOKUP(YEAR($A98),'NY East Load Projections'!$A$4:$EO$14,((MONTH($A98)-1)*12)+VLOOKUP(BL$4,$DE$6:$DF$17,2)+1))*(VLOOKUP($A98,CURVES!$D$9:$T$261,8))*(INDEX(DailyScalarsTable,BL$5/100,MONTH($A98)))*$D98</f>
        <v>-11816.489219414609</v>
      </c>
      <c r="BM98" s="1021">
        <f>(VLOOKUP(YEAR($A98),'NY East Load Projections'!$A$4:$EO$14,((MONTH($A98)-1)*12)+VLOOKUP(BM$4,$DE$6:$DF$17,2)+1))*(VLOOKUP($A98,SatSunCurve,8))*(INDEX(DailyScalarsTable,BM$5/100,MONTH($A98)))*$D98</f>
        <v>-8712.2225739789101</v>
      </c>
      <c r="BN98" s="1021">
        <f>(VLOOKUP(YEAR($A98),'NY East Load Projections'!$A$4:$EO$14,((MONTH($A98)-1)*12)+VLOOKUP(BN$4,$DE$6:$DF$17,2)+1))*(VLOOKUP($A98,SatSunCurve,8))*(INDEX(DailyScalarsTable,BN$5/100,MONTH($A98)))*$D98</f>
        <v>-9592.4200292236237</v>
      </c>
      <c r="BO98" s="1021">
        <f>(VLOOKUP(YEAR($A98),'NY East Load Projections'!$A$4:$EO$14,((MONTH($A98)-1)*12)+VLOOKUP(BO$4,$DE$6:$DF$17,2)+1))*(VLOOKUP($A98,SatSunCurve,8))*(INDEX(DailyScalarsTable,BO$5/100,MONTH($A98)))*$D98</f>
        <v>-11974.343491271053</v>
      </c>
      <c r="BP98" s="1021">
        <f>(VLOOKUP(YEAR($A98),'NY East Load Projections'!$A$4:$EO$14,((MONTH($A98)-1)*12)+VLOOKUP(BP$4,$DE$6:$DF$17,2)+1))*(VLOOKUP($A98,SatSunCurve,8))*(INDEX(DailyScalarsTable,BP$5/100,MONTH($A98)))*$D98</f>
        <v>-12788.04405284005</v>
      </c>
      <c r="BQ98" s="1021">
        <f>(VLOOKUP(YEAR($A98),'NY East Load Projections'!$A$4:$EO$14,((MONTH($A98)-1)*12)+VLOOKUP(BQ$4,$DE$6:$DF$17,2)+1))*(VLOOKUP($A98,SatSunCurve,8))*(INDEX(DailyScalarsTable,BQ$5/100,MONTH($A98)))*$D98</f>
        <v>-13625.785767364498</v>
      </c>
      <c r="BR98" s="1021">
        <f>(VLOOKUP(YEAR($A98),'NY East Load Projections'!$A$4:$EO$14,((MONTH($A98)-1)*12)+VLOOKUP(BR$4,$DE$6:$DF$17,2)+1))*(VLOOKUP($A98,SatSunCurve,8))*(INDEX(DailyScalarsTable,BR$5/100,MONTH($A98)))*$D98</f>
        <v>-13198.629082595542</v>
      </c>
      <c r="BS98" s="1021">
        <f>(VLOOKUP(YEAR($A98),'NY East Load Projections'!$A$4:$EO$14,((MONTH($A98)-1)*12)+VLOOKUP(BS$4,$DE$6:$DF$17,2)+1))*(VLOOKUP($A98,SatSunCurve,8))*(INDEX(DailyScalarsTable,BS$5/100,MONTH($A98)))*$D98</f>
        <v>-14287.937496904775</v>
      </c>
      <c r="BT98" s="1021">
        <f>(VLOOKUP(YEAR($A98),'NY East Load Projections'!$A$4:$EO$14,((MONTH($A98)-1)*12)+VLOOKUP(BT$4,$DE$6:$DF$17,2)+1))*(VLOOKUP($A98,SatSunCurve,8))*(INDEX(DailyScalarsTable,BT$5/100,MONTH($A98)))*$D98</f>
        <v>-14062.498016378177</v>
      </c>
      <c r="BU98" s="1021">
        <f>(VLOOKUP(YEAR($A98),'NY East Load Projections'!$A$4:$EO$14,((MONTH($A98)-1)*12)+VLOOKUP(BU$4,$DE$6:$DF$17,2)+1))*(VLOOKUP($A98,SatSunCurve,8))*(INDEX(DailyScalarsTable,BU$5/100,MONTH($A98)))*$D98</f>
        <v>-13622.9857518221</v>
      </c>
      <c r="BV98" s="1021">
        <f>(VLOOKUP(YEAR($A98),'NY East Load Projections'!$A$4:$EO$14,((MONTH($A98)-1)*12)+VLOOKUP(BV$4,$DE$6:$DF$17,2)+1))*(VLOOKUP($A98,SatSunCurve,8))*(INDEX(DailyScalarsTable,BV$5/100,MONTH($A98)))*$D98</f>
        <v>-13685.13873323691</v>
      </c>
      <c r="BW98" s="1021">
        <f>(VLOOKUP(YEAR($A98),'NY East Load Projections'!$A$4:$EO$14,((MONTH($A98)-1)*12)+VLOOKUP(BW$4,$DE$6:$DF$17,2)+1))*(VLOOKUP($A98,SatSunCurve,8))*(INDEX(DailyScalarsTable,BW$5/100,MONTH($A98)))*$D98</f>
        <v>-13349.415510601013</v>
      </c>
      <c r="BX98" s="1021">
        <f>(VLOOKUP(YEAR($A98),'NY East Load Projections'!$A$4:$EO$14,((MONTH($A98)-1)*12)+VLOOKUP(BX$4,$DE$6:$DF$17,2)+1))*(VLOOKUP($A98,SatSunCurve,8))*(INDEX(DailyScalarsTable,BX$5/100,MONTH($A98)))*$D98</f>
        <v>-10933.975271952224</v>
      </c>
      <c r="BY98" s="1021">
        <f>(VLOOKUP(YEAR($A98),'NY East Load Projections'!$A$4:$EO$14,((MONTH($A98)-1)*12)+VLOOKUP(BY$4,$DE$6:$DF$17,2)+1))*(VLOOKUP($A98,SatSunCurve,8))*(INDEX(DailyScalarsTable,BY$5/100,MONTH($A98)))*$D98</f>
        <v>-14289.44053398152</v>
      </c>
      <c r="BZ98" s="1021">
        <f>(VLOOKUP(YEAR($A98),'NY East Load Projections'!$A$4:$EO$14,((MONTH($A98)-1)*12)+VLOOKUP(BZ$4,$DE$6:$DF$17,2)+1))*(VLOOKUP($A98,SatSunCurve,8))*(INDEX(DailyScalarsTable,BZ$5/100,MONTH($A98)))*$D98</f>
        <v>-13804.297203277947</v>
      </c>
      <c r="CA98" s="1021">
        <f>(VLOOKUP(YEAR($A98),'NY East Load Projections'!$A$4:$EO$14,((MONTH($A98)-1)*12)+VLOOKUP(CA$4,$DE$6:$DF$17,2)+1))*(VLOOKUP($A98,SatSunCurve,8))*(INDEX(DailyScalarsTable,CA$5/100,MONTH($A98)))*$D98</f>
        <v>-10506.434687704552</v>
      </c>
      <c r="CB98" s="1021">
        <f>(VLOOKUP(YEAR($A98),'NY East Load Projections'!$A$4:$EO$14,((MONTH($A98)-1)*12)+VLOOKUP(CB$4,$DE$6:$DF$17,2)+1))*(VLOOKUP($A98,SatSunCurve,8))*(INDEX(DailyScalarsTable,CB$5/100,MONTH($A98)))*$D98</f>
        <v>-8325.9177882905278</v>
      </c>
      <c r="CC98" s="1021">
        <f>(VLOOKUP(YEAR($A98),'NY East Load Projections'!$A$4:$EO$14,((MONTH($A98)-1)*12)+VLOOKUP(CC$4,$DE$6:$DF$17,2)+1))*(VLOOKUP($A98,CURVES!$D$9:$T$261,8))*(INDEX(DailyScalarsTable,CC$5/100,MONTH($A98)))*$D98</f>
        <v>-9692.5791475121478</v>
      </c>
      <c r="CE98" s="1021">
        <f>(VLOOKUP(YEAR($A98),'NY East Load Projections'!$A$4:$EO$14,((MONTH($A98)-1)*12)+VLOOKUP(CE$4,$DE$6:$DF$17,2)+1))*(VLOOKUP($A98,CURVES!$D$9:$T$261,8))*(INDEX(DailyScalarsTable,CE$5/100,MONTH($A98)))*$E98</f>
        <v>-2066.6441930720871</v>
      </c>
      <c r="CF98" s="1021">
        <f>(VLOOKUP(YEAR($A98),'NY East Load Projections'!$A$4:$EO$14,((MONTH($A98)-1)*12)+VLOOKUP(CF$4,$DE$6:$DF$17,2)+1))*(VLOOKUP($A98,CURVES!$D$9:$T$261,8))*(INDEX(DailyScalarsTable,CF$5/100,MONTH($A98)))*$E98</f>
        <v>-1813.1036430965173</v>
      </c>
      <c r="CG98" s="1021">
        <f>(VLOOKUP(YEAR($A98),'NY East Load Projections'!$A$4:$EO$14,((MONTH($A98)-1)*12)+VLOOKUP(CG$4,$DE$6:$DF$17,2)+1))*(VLOOKUP($A98,CURVES!$D$9:$T$261,8))*(INDEX(DailyScalarsTable,CG$5/100,MONTH($A98)))*$E98</f>
        <v>-1700.2439779935207</v>
      </c>
      <c r="CH98" s="1021">
        <f>(VLOOKUP(YEAR($A98),'NY East Load Projections'!$A$4:$EO$14,((MONTH($A98)-1)*12)+VLOOKUP(CH$4,$DE$6:$DF$17,2)+1))*(VLOOKUP($A98,CURVES!$D$9:$T$261,8))*(INDEX(DailyScalarsTable,CH$5/100,MONTH($A98)))*$E98</f>
        <v>-1725.4405543886089</v>
      </c>
      <c r="CI98" s="1021">
        <f>(VLOOKUP(YEAR($A98),'NY East Load Projections'!$A$4:$EO$14,((MONTH($A98)-1)*12)+VLOOKUP(CI$4,$DE$6:$DF$17,2)+1))*(VLOOKUP($A98,CURVES!$D$9:$T$261,8))*(INDEX(DailyScalarsTable,CI$5/100,MONTH($A98)))*$E98</f>
        <v>-1877.2032336482744</v>
      </c>
      <c r="CJ98" s="1021">
        <f>(VLOOKUP(YEAR($A98),'NY East Load Projections'!$A$4:$EO$14,((MONTH($A98)-1)*12)+VLOOKUP(CJ$4,$DE$6:$DF$17,2)+1))*(VLOOKUP($A98,CURVES!$D$9:$T$261,8))*(INDEX(DailyScalarsTable,CJ$5/100,MONTH($A98)))*$E98</f>
        <v>-2172.3509948135988</v>
      </c>
      <c r="CK98" s="1021">
        <f>(VLOOKUP(YEAR($A98),'NY East Load Projections'!$A$4:$EO$14,((MONTH($A98)-1)*12)+VLOOKUP(CK$4,$DE$6:$DF$17,2)+1))*(VLOOKUP($A98,CURVES!$D$9:$T$261,8))*(INDEX(DailyScalarsTable,CK$5/100,MONTH($A98)))*$E98</f>
        <v>-2954.1223048536522</v>
      </c>
      <c r="CL98" s="1021">
        <f>(VLOOKUP(YEAR($A98),'NY East Load Projections'!$A$4:$EO$14,((MONTH($A98)-1)*12)+VLOOKUP(CL$4,$DE$6:$DF$17,2)+1))*(VLOOKUP($A98,SatSunCurve,8))*(INDEX(DailyScalarsTable,CL$5/100,MONTH($A98)))*$E98</f>
        <v>-2178.0556434947275</v>
      </c>
      <c r="CM98" s="1021">
        <f>(VLOOKUP(YEAR($A98),'NY East Load Projections'!$A$4:$EO$14,((MONTH($A98)-1)*12)+VLOOKUP(CM$4,$DE$6:$DF$17,2)+1))*(VLOOKUP($A98,SatSunCurve,8))*(INDEX(DailyScalarsTable,CM$5/100,MONTH($A98)))*$E98</f>
        <v>-2398.1050073059059</v>
      </c>
      <c r="CN98" s="1021">
        <f>(VLOOKUP(YEAR($A98),'NY East Load Projections'!$A$4:$EO$14,((MONTH($A98)-1)*12)+VLOOKUP(CN$4,$DE$6:$DF$17,2)+1))*(VLOOKUP($A98,SatSunCurve,8))*(INDEX(DailyScalarsTable,CN$5/100,MONTH($A98)))*$E98</f>
        <v>-2993.5858728177632</v>
      </c>
      <c r="CO98" s="1021">
        <f>(VLOOKUP(YEAR($A98),'NY East Load Projections'!$A$4:$EO$14,((MONTH($A98)-1)*12)+VLOOKUP(CO$4,$DE$6:$DF$17,2)+1))*(VLOOKUP($A98,SatSunCurve,8))*(INDEX(DailyScalarsTable,CO$5/100,MONTH($A98)))*$E98</f>
        <v>-3197.0110132100126</v>
      </c>
      <c r="CP98" s="1021">
        <f>(VLOOKUP(YEAR($A98),'NY East Load Projections'!$A$4:$EO$14,((MONTH($A98)-1)*12)+VLOOKUP(CP$4,$DE$6:$DF$17,2)+1))*(VLOOKUP($A98,SatSunCurve,8))*(INDEX(DailyScalarsTable,CP$5/100,MONTH($A98)))*$E98</f>
        <v>-3406.4464418411244</v>
      </c>
      <c r="CQ98" s="1021">
        <f>(VLOOKUP(YEAR($A98),'NY East Load Projections'!$A$4:$EO$14,((MONTH($A98)-1)*12)+VLOOKUP(CQ$4,$DE$6:$DF$17,2)+1))*(VLOOKUP($A98,SatSunCurve,8))*(INDEX(DailyScalarsTable,CQ$5/100,MONTH($A98)))*$E98</f>
        <v>-3299.6572706488855</v>
      </c>
      <c r="CR98" s="1021">
        <f>(VLOOKUP(YEAR($A98),'NY East Load Projections'!$A$4:$EO$14,((MONTH($A98)-1)*12)+VLOOKUP(CR$4,$DE$6:$DF$17,2)+1))*(VLOOKUP($A98,SatSunCurve,8))*(INDEX(DailyScalarsTable,CR$5/100,MONTH($A98)))*$E98</f>
        <v>-3571.9843742261937</v>
      </c>
      <c r="CS98" s="1021">
        <f>(VLOOKUP(YEAR($A98),'NY East Load Projections'!$A$4:$EO$14,((MONTH($A98)-1)*12)+VLOOKUP(CS$4,$DE$6:$DF$17,2)+1))*(VLOOKUP($A98,SatSunCurve,8))*(INDEX(DailyScalarsTable,CS$5/100,MONTH($A98)))*$E98</f>
        <v>-3515.6245040945441</v>
      </c>
      <c r="CT98" s="1021">
        <f>(VLOOKUP(YEAR($A98),'NY East Load Projections'!$A$4:$EO$14,((MONTH($A98)-1)*12)+VLOOKUP(CT$4,$DE$6:$DF$17,2)+1))*(VLOOKUP($A98,SatSunCurve,8))*(INDEX(DailyScalarsTable,CT$5/100,MONTH($A98)))*$E98</f>
        <v>-3405.7464379555249</v>
      </c>
      <c r="CU98" s="1021">
        <f>(VLOOKUP(YEAR($A98),'NY East Load Projections'!$A$4:$EO$14,((MONTH($A98)-1)*12)+VLOOKUP(CU$4,$DE$6:$DF$17,2)+1))*(VLOOKUP($A98,SatSunCurve,8))*(INDEX(DailyScalarsTable,CU$5/100,MONTH($A98)))*$E98</f>
        <v>-3421.2846833092276</v>
      </c>
      <c r="CV98" s="1021">
        <f>(VLOOKUP(YEAR($A98),'NY East Load Projections'!$A$4:$EO$14,((MONTH($A98)-1)*12)+VLOOKUP(CV$4,$DE$6:$DF$17,2)+1))*(VLOOKUP($A98,SatSunCurve,8))*(INDEX(DailyScalarsTable,CV$5/100,MONTH($A98)))*$E98</f>
        <v>-3337.3538776502533</v>
      </c>
      <c r="CW98" s="1021">
        <f>(VLOOKUP(YEAR($A98),'NY East Load Projections'!$A$4:$EO$14,((MONTH($A98)-1)*12)+VLOOKUP(CW$4,$DE$6:$DF$17,2)+1))*(VLOOKUP($A98,SatSunCurve,8))*(INDEX(DailyScalarsTable,CW$5/100,MONTH($A98)))*$E98</f>
        <v>-2733.493817988056</v>
      </c>
      <c r="CX98" s="1021">
        <f>(VLOOKUP(YEAR($A98),'NY East Load Projections'!$A$4:$EO$14,((MONTH($A98)-1)*12)+VLOOKUP(CX$4,$DE$6:$DF$17,2)+1))*(VLOOKUP($A98,SatSunCurve,8))*(INDEX(DailyScalarsTable,CX$5/100,MONTH($A98)))*$E98</f>
        <v>-3572.3601334953801</v>
      </c>
      <c r="CY98" s="1021">
        <f>(VLOOKUP(YEAR($A98),'NY East Load Projections'!$A$4:$EO$14,((MONTH($A98)-1)*12)+VLOOKUP(CY$4,$DE$6:$DF$17,2)+1))*(VLOOKUP($A98,SatSunCurve,8))*(INDEX(DailyScalarsTable,CY$5/100,MONTH($A98)))*$E98</f>
        <v>-3451.0743008194868</v>
      </c>
      <c r="CZ98" s="1021">
        <f>(VLOOKUP(YEAR($A98),'NY East Load Projections'!$A$4:$EO$14,((MONTH($A98)-1)*12)+VLOOKUP(CZ$4,$DE$6:$DF$17,2)+1))*(VLOOKUP($A98,SatSunCurve,8))*(INDEX(DailyScalarsTable,CZ$5/100,MONTH($A98)))*$E98</f>
        <v>-2626.608671926138</v>
      </c>
      <c r="DA98" s="1021">
        <f>(VLOOKUP(YEAR($A98),'NY East Load Projections'!$A$4:$EO$14,((MONTH($A98)-1)*12)+VLOOKUP(DA$4,$DE$6:$DF$17,2)+1))*(VLOOKUP($A98,SatSunCurve,8))*(INDEX(DailyScalarsTable,DA$5/100,MONTH($A98)))*$E98</f>
        <v>-2081.479447072632</v>
      </c>
      <c r="DB98" s="1021">
        <f>(VLOOKUP(YEAR($A98),'NY East Load Projections'!$A$4:$EO$14,((MONTH($A98)-1)*12)+VLOOKUP(DB$4,$DE$6:$DF$17,2)+1))*(VLOOKUP($A98,CURVES!$D$9:$T$261,8))*(INDEX(DailyScalarsTable,DB$5/100,MONTH($A98)))*$E98</f>
        <v>-2423.1447868780369</v>
      </c>
      <c r="DH98" s="1021">
        <f t="shared" si="2"/>
        <v>-2185603.3392525502</v>
      </c>
      <c r="DI98">
        <f ca="1">CALC!J118</f>
        <v>0.53423481538699313</v>
      </c>
      <c r="DJ98" s="1029">
        <f t="shared" ca="1" si="3"/>
        <v>-1167625.3964547818</v>
      </c>
    </row>
    <row r="99" spans="1:114" x14ac:dyDescent="0.25">
      <c r="A99" s="244">
        <v>39722</v>
      </c>
      <c r="B99" s="13">
        <v>23</v>
      </c>
      <c r="C99" s="210">
        <v>4</v>
      </c>
      <c r="D99" s="210">
        <v>4</v>
      </c>
      <c r="E99" s="210">
        <v>0</v>
      </c>
      <c r="F99" s="13">
        <v>31</v>
      </c>
      <c r="H99" s="1021">
        <f>(VLOOKUP(YEAR($A99),'NY East Load Projections'!$A$4:$EO$14,((MONTH($A99)-1)*12)+VLOOKUP(H$4,$DE$6:$DF$17,2)+1))*(VLOOKUP($A99,CURVES!$D$9:$K$261,8))*(INDEX(DailyScalarsTable,H$5/100,MONTH($A99)))*$B99</f>
        <v>-39578.289273585149</v>
      </c>
      <c r="I99" s="1021">
        <f>(VLOOKUP(YEAR($A99),'NY East Load Projections'!$A$4:$EO$14,((MONTH($A99)-1)*12)+VLOOKUP(I$4,$DE$6:$DF$17,2)+1))*(VLOOKUP($A99,CURVES!$D$9:$K$261,8))*(INDEX(DailyScalarsTable,I$5/100,MONTH($A99)))*$B99</f>
        <v>-37564.986090947801</v>
      </c>
      <c r="J99" s="1021">
        <f>(VLOOKUP(YEAR($A99),'NY East Load Projections'!$A$4:$EO$14,((MONTH($A99)-1)*12)+VLOOKUP(J$4,$DE$6:$DF$17,2)+1))*(VLOOKUP($A99,CURVES!$D$9:$K$261,8))*(INDEX(DailyScalarsTable,J$5/100,MONTH($A99)))*$B99</f>
        <v>-36085.229093357208</v>
      </c>
      <c r="K99" s="1021">
        <f>(VLOOKUP(YEAR($A99),'NY East Load Projections'!$A$4:$EO$14,((MONTH($A99)-1)*12)+VLOOKUP(K$4,$DE$6:$DF$17,2)+1))*(VLOOKUP($A99,CURVES!$D$9:$K$261,8))*(INDEX(DailyScalarsTable,K$5/100,MONTH($A99)))*$B99</f>
        <v>-36106.070741210591</v>
      </c>
      <c r="L99" s="1021">
        <f>(VLOOKUP(YEAR($A99),'NY East Load Projections'!$A$4:$EO$14,((MONTH($A99)-1)*12)+VLOOKUP(L$4,$DE$6:$DF$17,2)+1))*(VLOOKUP($A99,CURVES!$D$9:$K$261,8))*(INDEX(DailyScalarsTable,L$5/100,MONTH($A99)))*$B99</f>
        <v>-42017.939796607643</v>
      </c>
      <c r="M99" s="1021">
        <f>(VLOOKUP(YEAR($A99),'NY East Load Projections'!$A$4:$EO$14,((MONTH($A99)-1)*12)+VLOOKUP(M$4,$DE$6:$DF$17,2)+1))*(VLOOKUP($A99,CURVES!$D$9:$K$261,8))*(INDEX(DailyScalarsTable,M$5/100,MONTH($A99)))*$B99</f>
        <v>-48271.878164607857</v>
      </c>
      <c r="N99" s="1021">
        <f>(VLOOKUP(YEAR($A99),'NY East Load Projections'!$A$4:$EO$14,((MONTH($A99)-1)*12)+VLOOKUP(N$4,$DE$6:$DF$17,2)+1))*(VLOOKUP($A99,CURVES!$D$9:$K$261,8))*(INDEX(DailyScalarsTable,N$5/100,MONTH($A99)))*$B99</f>
        <v>-62403.329908399472</v>
      </c>
      <c r="O99" s="1021">
        <f>(VLOOKUP(YEAR($A99),'NY East Load Projections'!$A$4:$EO$14,((MONTH($A99)-1)*12)+VLOOKUP(O$4,$DE$6:$DF$17,2)+1))*(VLOOKUP($A99,CURVES!$D$9:$K$261,4))*(INDEX(DailyScalarsTable,O$5/100,MONTH($A99)))*$B99</f>
        <v>-76098.575075859655</v>
      </c>
      <c r="P99" s="1021">
        <f>(VLOOKUP(YEAR($A99),'NY East Load Projections'!$A$4:$EO$14,((MONTH($A99)-1)*12)+VLOOKUP(P$4,$DE$6:$DF$17,2)+1))*(VLOOKUP($A99,CURVES!$D$9:$K$261,4))*(INDEX(DailyScalarsTable,P$5/100,MONTH($A99)))*$B99</f>
        <v>-87952.282852012708</v>
      </c>
      <c r="Q99" s="1021">
        <f>(VLOOKUP(YEAR($A99),'NY East Load Projections'!$A$4:$EO$14,((MONTH($A99)-1)*12)+VLOOKUP(Q$4,$DE$6:$DF$17,2)+1))*(VLOOKUP($A99,CURVES!$D$9:$K$261,4))*(INDEX(DailyScalarsTable,Q$5/100,MONTH($A99)))*$B99</f>
        <v>-87680.48964171602</v>
      </c>
      <c r="R99" s="1021">
        <f>(VLOOKUP(YEAR($A99),'NY East Load Projections'!$A$4:$EO$14,((MONTH($A99)-1)*12)+VLOOKUP(R$4,$DE$6:$DF$17,2)+1))*(VLOOKUP($A99,CURVES!$D$9:$K$261,4))*(INDEX(DailyScalarsTable,R$5/100,MONTH($A99)))*$B99</f>
        <v>-87183.496342887767</v>
      </c>
      <c r="S99" s="1021">
        <f>(VLOOKUP(YEAR($A99),'NY East Load Projections'!$A$4:$EO$14,((MONTH($A99)-1)*12)+VLOOKUP(S$4,$DE$6:$DF$17,2)+1))*(VLOOKUP($A99,CURVES!$D$9:$K$261,4))*(INDEX(DailyScalarsTable,S$5/100,MONTH($A99)))*$B99</f>
        <v>-73570.539267170097</v>
      </c>
      <c r="T99" s="1021">
        <f>(VLOOKUP(YEAR($A99),'NY East Load Projections'!$A$4:$EO$14,((MONTH($A99)-1)*12)+VLOOKUP(T$4,$DE$6:$DF$17,2)+1))*(VLOOKUP($A99,CURVES!$D$9:$K$261,4))*(INDEX(DailyScalarsTable,T$5/100,MONTH($A99)))*$B99</f>
        <v>-71112.42571359931</v>
      </c>
      <c r="U99" s="1021">
        <f>(VLOOKUP(YEAR($A99),'NY East Load Projections'!$A$4:$EO$14,((MONTH($A99)-1)*12)+VLOOKUP(U$4,$DE$6:$DF$17,2)+1))*(VLOOKUP($A99,CURVES!$D$9:$K$261,4))*(INDEX(DailyScalarsTable,U$5/100,MONTH($A99)))*$B99</f>
        <v>-69138.634371734035</v>
      </c>
      <c r="V99" s="1021">
        <f>(VLOOKUP(YEAR($A99),'NY East Load Projections'!$A$4:$EO$14,((MONTH($A99)-1)*12)+VLOOKUP(V$4,$DE$6:$DF$17,2)+1))*(VLOOKUP($A99,CURVES!$D$9:$K$261,4))*(INDEX(DailyScalarsTable,V$5/100,MONTH($A99)))*$B99</f>
        <v>-67532.431700823436</v>
      </c>
      <c r="W99" s="1021">
        <f>(VLOOKUP(YEAR($A99),'NY East Load Projections'!$A$4:$EO$14,((MONTH($A99)-1)*12)+VLOOKUP(W$4,$DE$6:$DF$17,2)+1))*(VLOOKUP($A99,CURVES!$D$9:$K$261,4))*(INDEX(DailyScalarsTable,W$5/100,MONTH($A99)))*$B99</f>
        <v>-67068.950333097993</v>
      </c>
      <c r="X99" s="1021">
        <f>(VLOOKUP(YEAR($A99),'NY East Load Projections'!$A$4:$EO$14,((MONTH($A99)-1)*12)+VLOOKUP(X$4,$DE$6:$DF$17,2)+1))*(VLOOKUP($A99,CURVES!$D$9:$K$261,4))*(INDEX(DailyScalarsTable,X$5/100,MONTH($A99)))*$B99</f>
        <v>-67753.039745992879</v>
      </c>
      <c r="Y99" s="1021">
        <f>(VLOOKUP(YEAR($A99),'NY East Load Projections'!$A$4:$EO$14,((MONTH($A99)-1)*12)+VLOOKUP(Y$4,$DE$6:$DF$17,2)+1))*(VLOOKUP($A99,CURVES!$D$9:$K$261,4))*(INDEX(DailyScalarsTable,Y$5/100,MONTH($A99)))*$B99</f>
        <v>-91401.104990069754</v>
      </c>
      <c r="Z99" s="1021">
        <f>(VLOOKUP(YEAR($A99),'NY East Load Projections'!$A$4:$EO$14,((MONTH($A99)-1)*12)+VLOOKUP(Z$4,$DE$6:$DF$17,2)+1))*(VLOOKUP($A99,CURVES!$D$9:$K$261,4))*(INDEX(DailyScalarsTable,Z$5/100,MONTH($A99)))*$B99</f>
        <v>-92117.020652853418</v>
      </c>
      <c r="AA99" s="1021">
        <f>(VLOOKUP(YEAR($A99),'NY East Load Projections'!$A$4:$EO$14,((MONTH($A99)-1)*12)+VLOOKUP(AA$4,$DE$6:$DF$17,2)+1))*(VLOOKUP($A99,CURVES!$D$9:$K$261,4))*(INDEX(DailyScalarsTable,AA$5/100,MONTH($A99)))*$B99</f>
        <v>-88095.707142749525</v>
      </c>
      <c r="AB99" s="1021">
        <f>(VLOOKUP(YEAR($A99),'NY East Load Projections'!$A$4:$EO$14,((MONTH($A99)-1)*12)+VLOOKUP(AB$4,$DE$6:$DF$17,2)+1))*(VLOOKUP($A99,CURVES!$D$9:$K$261,4))*(INDEX(DailyScalarsTable,AB$5/100,MONTH($A99)))*$B99</f>
        <v>-73262.142315175355</v>
      </c>
      <c r="AC99" s="1021">
        <f>(VLOOKUP(YEAR($A99),'NY East Load Projections'!$A$4:$EO$14,((MONTH($A99)-1)*12)+VLOOKUP(AC$4,$DE$6:$DF$17,2)+1))*(VLOOKUP($A99,CURVES!$D$9:$K$261,4))*(INDEX(DailyScalarsTable,AC$5/100,MONTH($A99)))*$B99</f>
        <v>-60774.19926173261</v>
      </c>
      <c r="AD99" s="1021">
        <f>(VLOOKUP(YEAR($A99),'NY East Load Projections'!$A$4:$EO$14,((MONTH($A99)-1)*12)+VLOOKUP(AD$4,$DE$6:$DF$17,2)+1))*(VLOOKUP($A99,CURVES!$D$9:$K$261,4))*(INDEX(DailyScalarsTable,AD$5/100,MONTH($A99)))*$B99</f>
        <v>-51816.053503856834</v>
      </c>
      <c r="AE99" s="1021">
        <f>(VLOOKUP(YEAR($A99),'NY East Load Projections'!$A$4:$EO$14,((MONTH($A99)-1)*12)+VLOOKUP(AE$4,$DE$6:$DF$17,2)+1))*(VLOOKUP($A99,CURVES!$D$9:$K$261,8))*(INDEX(DailyScalarsTable,AE$5/100,MONTH($A99)))*$B99</f>
        <v>-45548.218804087221</v>
      </c>
      <c r="AF99" s="1021"/>
      <c r="AG99" s="1021">
        <f>(VLOOKUP(YEAR($A99),'NY East Load Projections'!$A$4:$EO$14,((MONTH($A99)-1)*12)+VLOOKUP(AG$4,$DE$6:$DF$17,2)+1))*(VLOOKUP($A99,CURVES!$D$9:$T$261,8))*(INDEX(DailyScalarsTable,AG$5/100,MONTH($A99)))*$C99</f>
        <v>-7307.760758949813</v>
      </c>
      <c r="AH99" s="1021">
        <f>(VLOOKUP(YEAR($A99),'NY East Load Projections'!$A$4:$EO$14,((MONTH($A99)-1)*12)+VLOOKUP(AH$4,$DE$6:$DF$17,2)+1))*(VLOOKUP($A99,CURVES!$D$9:$T$261,8))*(INDEX(DailyScalarsTable,AH$5/100,MONTH($A99)))*$C99</f>
        <v>-6936.0231658405173</v>
      </c>
      <c r="AI99" s="1021">
        <f>(VLOOKUP(YEAR($A99),'NY East Load Projections'!$A$4:$EO$14,((MONTH($A99)-1)*12)+VLOOKUP(AI$4,$DE$6:$DF$17,2)+1))*(VLOOKUP($A99,CURVES!$D$9:$T$261,8))*(INDEX(DailyScalarsTable,AI$5/100,MONTH($A99)))*$C99</f>
        <v>-6662.799883120435</v>
      </c>
      <c r="AJ99" s="1021">
        <f>(VLOOKUP(YEAR($A99),'NY East Load Projections'!$A$4:$EO$14,((MONTH($A99)-1)*12)+VLOOKUP(AJ$4,$DE$6:$DF$17,2)+1))*(VLOOKUP($A99,CURVES!$D$9:$T$261,8))*(INDEX(DailyScalarsTable,AJ$5/100,MONTH($A99)))*$C99</f>
        <v>-6666.6480983700139</v>
      </c>
      <c r="AK99" s="1021">
        <f>(VLOOKUP(YEAR($A99),'NY East Load Projections'!$A$4:$EO$14,((MONTH($A99)-1)*12)+VLOOKUP(AK$4,$DE$6:$DF$17,2)+1))*(VLOOKUP($A99,CURVES!$D$9:$T$261,8))*(INDEX(DailyScalarsTable,AK$5/100,MONTH($A99)))*$C99</f>
        <v>-7239.103347647223</v>
      </c>
      <c r="AL99" s="1021">
        <f>(VLOOKUP(YEAR($A99),'NY East Load Projections'!$A$4:$EO$14,((MONTH($A99)-1)*12)+VLOOKUP(AL$4,$DE$6:$DF$17,2)+1))*(VLOOKUP($A99,CURVES!$D$9:$T$261,8))*(INDEX(DailyScalarsTable,AL$5/100,MONTH($A99)))*$C99</f>
        <v>-8316.5694584303328</v>
      </c>
      <c r="AM99" s="1021">
        <f>(VLOOKUP(YEAR($A99),'NY East Load Projections'!$A$4:$EO$14,((MONTH($A99)-1)*12)+VLOOKUP(AM$4,$DE$6:$DF$17,2)+1))*(VLOOKUP($A99,CURVES!$D$9:$T$261,8))*(INDEX(DailyScalarsTable,AM$5/100,MONTH($A99)))*$C99</f>
        <v>-10751.220945885136</v>
      </c>
      <c r="AN99" s="1021">
        <f>(VLOOKUP(YEAR($A99),'NY East Load Projections'!$A$4:$EO$14,((MONTH($A99)-1)*12)+VLOOKUP(AN$4,$DE$6:$DF$17,2)+1))*(VLOOKUP($A99,SatSunCurve,4))*(INDEX(DailyScalarsTable,AN$5/100,MONTH($A99)))*$C99</f>
        <v>-10201.40843311885</v>
      </c>
      <c r="AO99" s="1021">
        <f>(VLOOKUP(YEAR($A99),'NY East Load Projections'!$A$4:$EO$14,((MONTH($A99)-1)*12)+VLOOKUP(AO$4,$DE$6:$DF$17,2)+1))*(VLOOKUP($A99,SatSunCurve,4))*(INDEX(DailyScalarsTable,AO$5/100,MONTH($A99)))*$C99</f>
        <v>-12148.056063673996</v>
      </c>
      <c r="AP99" s="1021">
        <f>(VLOOKUP(YEAR($A99),'NY East Load Projections'!$A$4:$EO$14,((MONTH($A99)-1)*12)+VLOOKUP(AP$4,$DE$6:$DF$17,2)+1))*(VLOOKUP($A99,SatSunCurve,4))*(INDEX(DailyScalarsTable,AP$5/100,MONTH($A99)))*$C99</f>
        <v>-12110.515717370923</v>
      </c>
      <c r="AQ99" s="1021">
        <f>(VLOOKUP(YEAR($A99),'NY East Load Projections'!$A$4:$EO$14,((MONTH($A99)-1)*12)+VLOOKUP(AQ$4,$DE$6:$DF$17,2)+1))*(VLOOKUP($A99,SatSunCurve,4))*(INDEX(DailyScalarsTable,AQ$5/100,MONTH($A99)))*$C99</f>
        <v>-12041.87051270245</v>
      </c>
      <c r="AR99" s="1021">
        <f>(VLOOKUP(YEAR($A99),'NY East Load Projections'!$A$4:$EO$14,((MONTH($A99)-1)*12)+VLOOKUP(AR$4,$DE$6:$DF$17,2)+1))*(VLOOKUP($A99,SatSunCurve,4))*(INDEX(DailyScalarsTable,AR$5/100,MONTH($A99)))*$C99</f>
        <v>-10161.635453580031</v>
      </c>
      <c r="AS99" s="1021">
        <f>(VLOOKUP(YEAR($A99),'NY East Load Projections'!$A$4:$EO$14,((MONTH($A99)-1)*12)+VLOOKUP(AS$4,$DE$6:$DF$17,2)+1))*(VLOOKUP($A99,SatSunCurve,4))*(INDEX(DailyScalarsTable,AS$5/100,MONTH($A99)))*$C99</f>
        <v>-9758.3434583071048</v>
      </c>
      <c r="AT99" s="1021">
        <f>(VLOOKUP(YEAR($A99),'NY East Load Projections'!$A$4:$EO$14,((MONTH($A99)-1)*12)+VLOOKUP(AT$4,$DE$6:$DF$17,2)+1))*(VLOOKUP($A99,SatSunCurve,4))*(INDEX(DailyScalarsTable,AT$5/100,MONTH($A99)))*$C99</f>
        <v>-9487.4915834670264</v>
      </c>
      <c r="AU99" s="1021">
        <f>(VLOOKUP(YEAR($A99),'NY East Load Projections'!$A$4:$EO$14,((MONTH($A99)-1)*12)+VLOOKUP(AU$4,$DE$6:$DF$17,2)+1))*(VLOOKUP($A99,SatSunCurve,4))*(INDEX(DailyScalarsTable,AU$5/100,MONTH($A99)))*$C99</f>
        <v>-9267.0817581923075</v>
      </c>
      <c r="AV99" s="1021">
        <f>(VLOOKUP(YEAR($A99),'NY East Load Projections'!$A$4:$EO$14,((MONTH($A99)-1)*12)+VLOOKUP(AV$4,$DE$6:$DF$17,2)+1))*(VLOOKUP($A99,SatSunCurve,4))*(INDEX(DailyScalarsTable,AV$5/100,MONTH($A99)))*$C99</f>
        <v>-9203.4809130881604</v>
      </c>
      <c r="AW99" s="1021">
        <f>(VLOOKUP(YEAR($A99),'NY East Load Projections'!$A$4:$EO$14,((MONTH($A99)-1)*12)+VLOOKUP(AW$4,$DE$6:$DF$17,2)+1))*(VLOOKUP($A99,SatSunCurve,4))*(INDEX(DailyScalarsTable,AW$5/100,MONTH($A99)))*$C99</f>
        <v>-9040.7007667808575</v>
      </c>
      <c r="AX99" s="1021">
        <f>(VLOOKUP(YEAR($A99),'NY East Load Projections'!$A$4:$EO$14,((MONTH($A99)-1)*12)+VLOOKUP(AX$4,$DE$6:$DF$17,2)+1))*(VLOOKUP($A99,SatSunCurve,4))*(INDEX(DailyScalarsTable,AX$5/100,MONTH($A99)))*$C99</f>
        <v>-12196.206149071164</v>
      </c>
      <c r="AY99" s="1021">
        <f>(VLOOKUP(YEAR($A99),'NY East Load Projections'!$A$4:$EO$14,((MONTH($A99)-1)*12)+VLOOKUP(AY$4,$DE$6:$DF$17,2)+1))*(VLOOKUP($A99,SatSunCurve,4))*(INDEX(DailyScalarsTable,AY$5/100,MONTH($A99)))*$C99</f>
        <v>-12291.735136489937</v>
      </c>
      <c r="AZ99" s="1021">
        <f>(VLOOKUP(YEAR($A99),'NY East Load Projections'!$A$4:$EO$14,((MONTH($A99)-1)*12)+VLOOKUP(AZ$4,$DE$6:$DF$17,2)+1))*(VLOOKUP($A99,SatSunCurve,4))*(INDEX(DailyScalarsTable,AZ$5/100,MONTH($A99)))*$C99</f>
        <v>-11755.146781627045</v>
      </c>
      <c r="BA99" s="1021">
        <f>(VLOOKUP(YEAR($A99),'NY East Load Projections'!$A$4:$EO$14,((MONTH($A99)-1)*12)+VLOOKUP(BA$4,$DE$6:$DF$17,2)+1))*(VLOOKUP($A99,SatSunCurve,4))*(INDEX(DailyScalarsTable,BA$5/100,MONTH($A99)))*$C99</f>
        <v>-10349.375374424313</v>
      </c>
      <c r="BB99" s="1021">
        <f>(VLOOKUP(YEAR($A99),'NY East Load Projections'!$A$4:$EO$14,((MONTH($A99)-1)*12)+VLOOKUP(BB$4,$DE$6:$DF$17,2)+1))*(VLOOKUP($A99,SatSunCurve,4))*(INDEX(DailyScalarsTable,BB$5/100,MONTH($A99)))*$C99</f>
        <v>-8585.2662966620264</v>
      </c>
      <c r="BC99" s="1021">
        <f>(VLOOKUP(YEAR($A99),'NY East Load Projections'!$A$4:$EO$14,((MONTH($A99)-1)*12)+VLOOKUP(BC$4,$DE$6:$DF$17,2)+1))*(VLOOKUP($A99,SatSunCurve,4))*(INDEX(DailyScalarsTable,BC$5/100,MONTH($A99)))*$C99</f>
        <v>-7319.7939779818325</v>
      </c>
      <c r="BD99" s="1021">
        <f>(VLOOKUP(YEAR($A99),'NY East Load Projections'!$A$4:$EO$14,((MONTH($A99)-1)*12)+VLOOKUP(BD$4,$DE$6:$DF$17,2)+1))*(VLOOKUP($A99,CURVES!$D$9:$T$261,8))*(INDEX(DailyScalarsTable,BD$5/100,MONTH($A99)))*$C99</f>
        <v>-8269.3682975363718</v>
      </c>
      <c r="BE99" s="1021"/>
      <c r="BF99" s="1021">
        <f>(VLOOKUP(YEAR($A99),'NY East Load Projections'!$A$4:$EO$14,((MONTH($A99)-1)*12)+VLOOKUP(BF$4,$DE$6:$DF$17,2)+1))*(VLOOKUP($A99,CURVES!$D$9:$T$261,8))*(INDEX(DailyScalarsTable,BF$5/100,MONTH($A99)))*$D99</f>
        <v>-7307.760758949813</v>
      </c>
      <c r="BG99" s="1021">
        <f>(VLOOKUP(YEAR($A99),'NY East Load Projections'!$A$4:$EO$14,((MONTH($A99)-1)*12)+VLOOKUP(BG$4,$DE$6:$DF$17,2)+1))*(VLOOKUP($A99,CURVES!$D$9:$T$261,8))*(INDEX(DailyScalarsTable,BG$5/100,MONTH($A99)))*$D99</f>
        <v>-6936.0231658405173</v>
      </c>
      <c r="BH99" s="1021">
        <f>(VLOOKUP(YEAR($A99),'NY East Load Projections'!$A$4:$EO$14,((MONTH($A99)-1)*12)+VLOOKUP(BH$4,$DE$6:$DF$17,2)+1))*(VLOOKUP($A99,CURVES!$D$9:$T$261,8))*(INDEX(DailyScalarsTable,BH$5/100,MONTH($A99)))*$D99</f>
        <v>-6662.799883120435</v>
      </c>
      <c r="BI99" s="1021">
        <f>(VLOOKUP(YEAR($A99),'NY East Load Projections'!$A$4:$EO$14,((MONTH($A99)-1)*12)+VLOOKUP(BI$4,$DE$6:$DF$17,2)+1))*(VLOOKUP($A99,CURVES!$D$9:$T$261,8))*(INDEX(DailyScalarsTable,BI$5/100,MONTH($A99)))*$D99</f>
        <v>-6666.6480983700139</v>
      </c>
      <c r="BJ99" s="1021">
        <f>(VLOOKUP(YEAR($A99),'NY East Load Projections'!$A$4:$EO$14,((MONTH($A99)-1)*12)+VLOOKUP(BJ$4,$DE$6:$DF$17,2)+1))*(VLOOKUP($A99,CURVES!$D$9:$T$261,8))*(INDEX(DailyScalarsTable,BJ$5/100,MONTH($A99)))*$D99</f>
        <v>-7239.103347647223</v>
      </c>
      <c r="BK99" s="1021">
        <f>(VLOOKUP(YEAR($A99),'NY East Load Projections'!$A$4:$EO$14,((MONTH($A99)-1)*12)+VLOOKUP(BK$4,$DE$6:$DF$17,2)+1))*(VLOOKUP($A99,CURVES!$D$9:$T$261,8))*(INDEX(DailyScalarsTable,BK$5/100,MONTH($A99)))*$D99</f>
        <v>-8316.5694584303328</v>
      </c>
      <c r="BL99" s="1021">
        <f>(VLOOKUP(YEAR($A99),'NY East Load Projections'!$A$4:$EO$14,((MONTH($A99)-1)*12)+VLOOKUP(BL$4,$DE$6:$DF$17,2)+1))*(VLOOKUP($A99,CURVES!$D$9:$T$261,8))*(INDEX(DailyScalarsTable,BL$5/100,MONTH($A99)))*$D99</f>
        <v>-10751.220945885136</v>
      </c>
      <c r="BM99" s="1021">
        <f>(VLOOKUP(YEAR($A99),'NY East Load Projections'!$A$4:$EO$14,((MONTH($A99)-1)*12)+VLOOKUP(BM$4,$DE$6:$DF$17,2)+1))*(VLOOKUP($A99,SatSunCurve,8))*(INDEX(DailyScalarsTable,BM$5/100,MONTH($A99)))*$D99</f>
        <v>-10349.901032503762</v>
      </c>
      <c r="BN99" s="1021">
        <f>(VLOOKUP(YEAR($A99),'NY East Load Projections'!$A$4:$EO$14,((MONTH($A99)-1)*12)+VLOOKUP(BN$4,$DE$6:$DF$17,2)+1))*(VLOOKUP($A99,SatSunCurve,8))*(INDEX(DailyScalarsTable,BN$5/100,MONTH($A99)))*$D99</f>
        <v>-12324.884237371291</v>
      </c>
      <c r="BO99" s="1021">
        <f>(VLOOKUP(YEAR($A99),'NY East Load Projections'!$A$4:$EO$14,((MONTH($A99)-1)*12)+VLOOKUP(BO$4,$DE$6:$DF$17,2)+1))*(VLOOKUP($A99,SatSunCurve,8))*(INDEX(DailyScalarsTable,BO$5/100,MONTH($A99)))*$D99</f>
        <v>-12286.797450482009</v>
      </c>
      <c r="BP99" s="1021">
        <f>(VLOOKUP(YEAR($A99),'NY East Load Projections'!$A$4:$EO$14,((MONTH($A99)-1)*12)+VLOOKUP(BP$4,$DE$6:$DF$17,2)+1))*(VLOOKUP($A99,SatSunCurve,8))*(INDEX(DailyScalarsTable,BP$5/100,MONTH($A99)))*$D99</f>
        <v>-12217.153040170182</v>
      </c>
      <c r="BQ99" s="1021">
        <f>(VLOOKUP(YEAR($A99),'NY East Load Projections'!$A$4:$EO$14,((MONTH($A99)-1)*12)+VLOOKUP(BQ$4,$DE$6:$DF$17,2)+1))*(VLOOKUP($A99,SatSunCurve,8))*(INDEX(DailyScalarsTable,BQ$5/100,MONTH($A99)))*$D99</f>
        <v>-10309.549113972771</v>
      </c>
      <c r="BR99" s="1021">
        <f>(VLOOKUP(YEAR($A99),'NY East Load Projections'!$A$4:$EO$14,((MONTH($A99)-1)*12)+VLOOKUP(BR$4,$DE$6:$DF$17,2)+1))*(VLOOKUP($A99,SatSunCurve,8))*(INDEX(DailyScalarsTable,BR$5/100,MONTH($A99)))*$D99</f>
        <v>-9900.3867649068543</v>
      </c>
      <c r="BS99" s="1021">
        <f>(VLOOKUP(YEAR($A99),'NY East Load Projections'!$A$4:$EO$14,((MONTH($A99)-1)*12)+VLOOKUP(BS$4,$DE$6:$DF$17,2)+1))*(VLOOKUP($A99,SatSunCurve,8))*(INDEX(DailyScalarsTable,BS$5/100,MONTH($A99)))*$D99</f>
        <v>-9625.5923463281379</v>
      </c>
      <c r="BT99" s="1021">
        <f>(VLOOKUP(YEAR($A99),'NY East Load Projections'!$A$4:$EO$14,((MONTH($A99)-1)*12)+VLOOKUP(BT$4,$DE$6:$DF$17,2)+1))*(VLOOKUP($A99,SatSunCurve,8))*(INDEX(DailyScalarsTable,BT$5/100,MONTH($A99)))*$D99</f>
        <v>-9401.9742162296679</v>
      </c>
      <c r="BU99" s="1021">
        <f>(VLOOKUP(YEAR($A99),'NY East Load Projections'!$A$4:$EO$14,((MONTH($A99)-1)*12)+VLOOKUP(BU$4,$DE$6:$DF$17,2)+1))*(VLOOKUP($A99,SatSunCurve,8))*(INDEX(DailyScalarsTable,BU$5/100,MONTH($A99)))*$D99</f>
        <v>-9337.4475916241408</v>
      </c>
      <c r="BV99" s="1021">
        <f>(VLOOKUP(YEAR($A99),'NY East Load Projections'!$A$4:$EO$14,((MONTH($A99)-1)*12)+VLOOKUP(BV$4,$DE$6:$DF$17,2)+1))*(VLOOKUP($A99,SatSunCurve,8))*(INDEX(DailyScalarsTable,BV$5/100,MONTH($A99)))*$D99</f>
        <v>-9172.2980031744228</v>
      </c>
      <c r="BW99" s="1021">
        <f>(VLOOKUP(YEAR($A99),'NY East Load Projections'!$A$4:$EO$14,((MONTH($A99)-1)*12)+VLOOKUP(BW$4,$DE$6:$DF$17,2)+1))*(VLOOKUP($A99,SatSunCurve,8))*(INDEX(DailyScalarsTable,BW$5/100,MONTH($A99)))*$D99</f>
        <v>-12373.735199651106</v>
      </c>
      <c r="BX99" s="1021">
        <f>(VLOOKUP(YEAR($A99),'NY East Load Projections'!$A$4:$EO$14,((MONTH($A99)-1)*12)+VLOOKUP(BX$4,$DE$6:$DF$17,2)+1))*(VLOOKUP($A99,SatSunCurve,8))*(INDEX(DailyScalarsTable,BX$5/100,MONTH($A99)))*$D99</f>
        <v>-12470.654715422059</v>
      </c>
      <c r="BY99" s="1021">
        <f>(VLOOKUP(YEAR($A99),'NY East Load Projections'!$A$4:$EO$14,((MONTH($A99)-1)*12)+VLOOKUP(BY$4,$DE$6:$DF$17,2)+1))*(VLOOKUP($A99,SatSunCurve,8))*(INDEX(DailyScalarsTable,BY$5/100,MONTH($A99)))*$D99</f>
        <v>-11926.255733219261</v>
      </c>
      <c r="BZ99" s="1021">
        <f>(VLOOKUP(YEAR($A99),'NY East Load Projections'!$A$4:$EO$14,((MONTH($A99)-1)*12)+VLOOKUP(BZ$4,$DE$6:$DF$17,2)+1))*(VLOOKUP($A99,SatSunCurve,8))*(INDEX(DailyScalarsTable,BZ$5/100,MONTH($A99)))*$D99</f>
        <v>-10500.021793635333</v>
      </c>
      <c r="CA99" s="1021">
        <f>(VLOOKUP(YEAR($A99),'NY East Load Projections'!$A$4:$EO$14,((MONTH($A99)-1)*12)+VLOOKUP(CA$4,$DE$6:$DF$17,2)+1))*(VLOOKUP($A99,SatSunCurve,8))*(INDEX(DailyScalarsTable,CA$5/100,MONTH($A99)))*$D99</f>
        <v>-8710.2341888076062</v>
      </c>
      <c r="CB99" s="1021">
        <f>(VLOOKUP(YEAR($A99),'NY East Load Projections'!$A$4:$EO$14,((MONTH($A99)-1)*12)+VLOOKUP(CB$4,$DE$6:$DF$17,2)+1))*(VLOOKUP($A99,SatSunCurve,8))*(INDEX(DailyScalarsTable,CB$5/100,MONTH($A99)))*$D99</f>
        <v>-7426.341543632062</v>
      </c>
      <c r="CC99" s="1021">
        <f>(VLOOKUP(YEAR($A99),'NY East Load Projections'!$A$4:$EO$14,((MONTH($A99)-1)*12)+VLOOKUP(CC$4,$DE$6:$DF$17,2)+1))*(VLOOKUP($A99,CURVES!$D$9:$T$261,8))*(INDEX(DailyScalarsTable,CC$5/100,MONTH($A99)))*$D99</f>
        <v>-8269.3682975363718</v>
      </c>
      <c r="CE99" s="1021">
        <f>(VLOOKUP(YEAR($A99),'NY East Load Projections'!$A$4:$EO$14,((MONTH($A99)-1)*12)+VLOOKUP(CE$4,$DE$6:$DF$17,2)+1))*(VLOOKUP($A99,CURVES!$D$9:$T$261,8))*(INDEX(DailyScalarsTable,CE$5/100,MONTH($A99)))*$E99</f>
        <v>0</v>
      </c>
      <c r="CF99" s="1021">
        <f>(VLOOKUP(YEAR($A99),'NY East Load Projections'!$A$4:$EO$14,((MONTH($A99)-1)*12)+VLOOKUP(CF$4,$DE$6:$DF$17,2)+1))*(VLOOKUP($A99,CURVES!$D$9:$T$261,8))*(INDEX(DailyScalarsTable,CF$5/100,MONTH($A99)))*$E99</f>
        <v>0</v>
      </c>
      <c r="CG99" s="1021">
        <f>(VLOOKUP(YEAR($A99),'NY East Load Projections'!$A$4:$EO$14,((MONTH($A99)-1)*12)+VLOOKUP(CG$4,$DE$6:$DF$17,2)+1))*(VLOOKUP($A99,CURVES!$D$9:$T$261,8))*(INDEX(DailyScalarsTable,CG$5/100,MONTH($A99)))*$E99</f>
        <v>0</v>
      </c>
      <c r="CH99" s="1021">
        <f>(VLOOKUP(YEAR($A99),'NY East Load Projections'!$A$4:$EO$14,((MONTH($A99)-1)*12)+VLOOKUP(CH$4,$DE$6:$DF$17,2)+1))*(VLOOKUP($A99,CURVES!$D$9:$T$261,8))*(INDEX(DailyScalarsTable,CH$5/100,MONTH($A99)))*$E99</f>
        <v>0</v>
      </c>
      <c r="CI99" s="1021">
        <f>(VLOOKUP(YEAR($A99),'NY East Load Projections'!$A$4:$EO$14,((MONTH($A99)-1)*12)+VLOOKUP(CI$4,$DE$6:$DF$17,2)+1))*(VLOOKUP($A99,CURVES!$D$9:$T$261,8))*(INDEX(DailyScalarsTable,CI$5/100,MONTH($A99)))*$E99</f>
        <v>0</v>
      </c>
      <c r="CJ99" s="1021">
        <f>(VLOOKUP(YEAR($A99),'NY East Load Projections'!$A$4:$EO$14,((MONTH($A99)-1)*12)+VLOOKUP(CJ$4,$DE$6:$DF$17,2)+1))*(VLOOKUP($A99,CURVES!$D$9:$T$261,8))*(INDEX(DailyScalarsTable,CJ$5/100,MONTH($A99)))*$E99</f>
        <v>0</v>
      </c>
      <c r="CK99" s="1021">
        <f>(VLOOKUP(YEAR($A99),'NY East Load Projections'!$A$4:$EO$14,((MONTH($A99)-1)*12)+VLOOKUP(CK$4,$DE$6:$DF$17,2)+1))*(VLOOKUP($A99,CURVES!$D$9:$T$261,8))*(INDEX(DailyScalarsTable,CK$5/100,MONTH($A99)))*$E99</f>
        <v>0</v>
      </c>
      <c r="CL99" s="1021">
        <f>(VLOOKUP(YEAR($A99),'NY East Load Projections'!$A$4:$EO$14,((MONTH($A99)-1)*12)+VLOOKUP(CL$4,$DE$6:$DF$17,2)+1))*(VLOOKUP($A99,SatSunCurve,8))*(INDEX(DailyScalarsTable,CL$5/100,MONTH($A99)))*$E99</f>
        <v>0</v>
      </c>
      <c r="CM99" s="1021">
        <f>(VLOOKUP(YEAR($A99),'NY East Load Projections'!$A$4:$EO$14,((MONTH($A99)-1)*12)+VLOOKUP(CM$4,$DE$6:$DF$17,2)+1))*(VLOOKUP($A99,SatSunCurve,8))*(INDEX(DailyScalarsTable,CM$5/100,MONTH($A99)))*$E99</f>
        <v>0</v>
      </c>
      <c r="CN99" s="1021">
        <f>(VLOOKUP(YEAR($A99),'NY East Load Projections'!$A$4:$EO$14,((MONTH($A99)-1)*12)+VLOOKUP(CN$4,$DE$6:$DF$17,2)+1))*(VLOOKUP($A99,SatSunCurve,8))*(INDEX(DailyScalarsTable,CN$5/100,MONTH($A99)))*$E99</f>
        <v>0</v>
      </c>
      <c r="CO99" s="1021">
        <f>(VLOOKUP(YEAR($A99),'NY East Load Projections'!$A$4:$EO$14,((MONTH($A99)-1)*12)+VLOOKUP(CO$4,$DE$6:$DF$17,2)+1))*(VLOOKUP($A99,SatSunCurve,8))*(INDEX(DailyScalarsTable,CO$5/100,MONTH($A99)))*$E99</f>
        <v>0</v>
      </c>
      <c r="CP99" s="1021">
        <f>(VLOOKUP(YEAR($A99),'NY East Load Projections'!$A$4:$EO$14,((MONTH($A99)-1)*12)+VLOOKUP(CP$4,$DE$6:$DF$17,2)+1))*(VLOOKUP($A99,SatSunCurve,8))*(INDEX(DailyScalarsTable,CP$5/100,MONTH($A99)))*$E99</f>
        <v>0</v>
      </c>
      <c r="CQ99" s="1021">
        <f>(VLOOKUP(YEAR($A99),'NY East Load Projections'!$A$4:$EO$14,((MONTH($A99)-1)*12)+VLOOKUP(CQ$4,$DE$6:$DF$17,2)+1))*(VLOOKUP($A99,SatSunCurve,8))*(INDEX(DailyScalarsTable,CQ$5/100,MONTH($A99)))*$E99</f>
        <v>0</v>
      </c>
      <c r="CR99" s="1021">
        <f>(VLOOKUP(YEAR($A99),'NY East Load Projections'!$A$4:$EO$14,((MONTH($A99)-1)*12)+VLOOKUP(CR$4,$DE$6:$DF$17,2)+1))*(VLOOKUP($A99,SatSunCurve,8))*(INDEX(DailyScalarsTable,CR$5/100,MONTH($A99)))*$E99</f>
        <v>0</v>
      </c>
      <c r="CS99" s="1021">
        <f>(VLOOKUP(YEAR($A99),'NY East Load Projections'!$A$4:$EO$14,((MONTH($A99)-1)*12)+VLOOKUP(CS$4,$DE$6:$DF$17,2)+1))*(VLOOKUP($A99,SatSunCurve,8))*(INDEX(DailyScalarsTable,CS$5/100,MONTH($A99)))*$E99</f>
        <v>0</v>
      </c>
      <c r="CT99" s="1021">
        <f>(VLOOKUP(YEAR($A99),'NY East Load Projections'!$A$4:$EO$14,((MONTH($A99)-1)*12)+VLOOKUP(CT$4,$DE$6:$DF$17,2)+1))*(VLOOKUP($A99,SatSunCurve,8))*(INDEX(DailyScalarsTable,CT$5/100,MONTH($A99)))*$E99</f>
        <v>0</v>
      </c>
      <c r="CU99" s="1021">
        <f>(VLOOKUP(YEAR($A99),'NY East Load Projections'!$A$4:$EO$14,((MONTH($A99)-1)*12)+VLOOKUP(CU$4,$DE$6:$DF$17,2)+1))*(VLOOKUP($A99,SatSunCurve,8))*(INDEX(DailyScalarsTable,CU$5/100,MONTH($A99)))*$E99</f>
        <v>0</v>
      </c>
      <c r="CV99" s="1021">
        <f>(VLOOKUP(YEAR($A99),'NY East Load Projections'!$A$4:$EO$14,((MONTH($A99)-1)*12)+VLOOKUP(CV$4,$DE$6:$DF$17,2)+1))*(VLOOKUP($A99,SatSunCurve,8))*(INDEX(DailyScalarsTable,CV$5/100,MONTH($A99)))*$E99</f>
        <v>0</v>
      </c>
      <c r="CW99" s="1021">
        <f>(VLOOKUP(YEAR($A99),'NY East Load Projections'!$A$4:$EO$14,((MONTH($A99)-1)*12)+VLOOKUP(CW$4,$DE$6:$DF$17,2)+1))*(VLOOKUP($A99,SatSunCurve,8))*(INDEX(DailyScalarsTable,CW$5/100,MONTH($A99)))*$E99</f>
        <v>0</v>
      </c>
      <c r="CX99" s="1021">
        <f>(VLOOKUP(YEAR($A99),'NY East Load Projections'!$A$4:$EO$14,((MONTH($A99)-1)*12)+VLOOKUP(CX$4,$DE$6:$DF$17,2)+1))*(VLOOKUP($A99,SatSunCurve,8))*(INDEX(DailyScalarsTable,CX$5/100,MONTH($A99)))*$E99</f>
        <v>0</v>
      </c>
      <c r="CY99" s="1021">
        <f>(VLOOKUP(YEAR($A99),'NY East Load Projections'!$A$4:$EO$14,((MONTH($A99)-1)*12)+VLOOKUP(CY$4,$DE$6:$DF$17,2)+1))*(VLOOKUP($A99,SatSunCurve,8))*(INDEX(DailyScalarsTable,CY$5/100,MONTH($A99)))*$E99</f>
        <v>0</v>
      </c>
      <c r="CZ99" s="1021">
        <f>(VLOOKUP(YEAR($A99),'NY East Load Projections'!$A$4:$EO$14,((MONTH($A99)-1)*12)+VLOOKUP(CZ$4,$DE$6:$DF$17,2)+1))*(VLOOKUP($A99,SatSunCurve,8))*(INDEX(DailyScalarsTable,CZ$5/100,MONTH($A99)))*$E99</f>
        <v>0</v>
      </c>
      <c r="DA99" s="1021">
        <f>(VLOOKUP(YEAR($A99),'NY East Load Projections'!$A$4:$EO$14,((MONTH($A99)-1)*12)+VLOOKUP(DA$4,$DE$6:$DF$17,2)+1))*(VLOOKUP($A99,SatSunCurve,8))*(INDEX(DailyScalarsTable,DA$5/100,MONTH($A99)))*$E99</f>
        <v>0</v>
      </c>
      <c r="DB99" s="1021">
        <f>(VLOOKUP(YEAR($A99),'NY East Load Projections'!$A$4:$EO$14,((MONTH($A99)-1)*12)+VLOOKUP(DB$4,$DE$6:$DF$17,2)+1))*(VLOOKUP($A99,CURVES!$D$9:$T$261,8))*(INDEX(DailyScalarsTable,DB$5/100,MONTH($A99)))*$E99</f>
        <v>0</v>
      </c>
      <c r="DH99" s="1021">
        <f t="shared" si="2"/>
        <v>-2018683.3580433633</v>
      </c>
      <c r="DI99">
        <f ca="1">CALC!J119</f>
        <v>0.53088701329765786</v>
      </c>
      <c r="DJ99" s="1029">
        <f t="shared" ca="1" si="3"/>
        <v>-1071692.7787453276</v>
      </c>
    </row>
    <row r="100" spans="1:114" x14ac:dyDescent="0.25">
      <c r="A100" s="244">
        <v>39753</v>
      </c>
      <c r="B100" s="13">
        <v>19</v>
      </c>
      <c r="C100" s="210">
        <v>5</v>
      </c>
      <c r="D100" s="210">
        <v>5</v>
      </c>
      <c r="E100" s="210">
        <v>1</v>
      </c>
      <c r="F100" s="13">
        <v>30</v>
      </c>
      <c r="H100" s="1021">
        <f>(VLOOKUP(YEAR($A100),'NY East Load Projections'!$A$4:$EO$14,((MONTH($A100)-1)*12)+VLOOKUP(H$4,$DE$6:$DF$17,2)+1))*(VLOOKUP($A100,CURVES!$D$9:$K$261,8))*(INDEX(DailyScalarsTable,H$5/100,MONTH($A100)))*$B100</f>
        <v>-31211.065572513253</v>
      </c>
      <c r="I100" s="1021">
        <f>(VLOOKUP(YEAR($A100),'NY East Load Projections'!$A$4:$EO$14,((MONTH($A100)-1)*12)+VLOOKUP(I$4,$DE$6:$DF$17,2)+1))*(VLOOKUP($A100,CURVES!$D$9:$K$261,8))*(INDEX(DailyScalarsTable,I$5/100,MONTH($A100)))*$B100</f>
        <v>-29589.231826249248</v>
      </c>
      <c r="J100" s="1021">
        <f>(VLOOKUP(YEAR($A100),'NY East Load Projections'!$A$4:$EO$14,((MONTH($A100)-1)*12)+VLOOKUP(J$4,$DE$6:$DF$17,2)+1))*(VLOOKUP($A100,CURVES!$D$9:$K$261,8))*(INDEX(DailyScalarsTable,J$5/100,MONTH($A100)))*$B100</f>
        <v>-28397.200811914423</v>
      </c>
      <c r="K100" s="1021">
        <f>(VLOOKUP(YEAR($A100),'NY East Load Projections'!$A$4:$EO$14,((MONTH($A100)-1)*12)+VLOOKUP(K$4,$DE$6:$DF$17,2)+1))*(VLOOKUP($A100,CURVES!$D$9:$K$261,8))*(INDEX(DailyScalarsTable,K$5/100,MONTH($A100)))*$B100</f>
        <v>-28413.989981130406</v>
      </c>
      <c r="L100" s="1021">
        <f>(VLOOKUP(YEAR($A100),'NY East Load Projections'!$A$4:$EO$14,((MONTH($A100)-1)*12)+VLOOKUP(L$4,$DE$6:$DF$17,2)+1))*(VLOOKUP($A100,CURVES!$D$9:$K$261,8))*(INDEX(DailyScalarsTable,L$5/100,MONTH($A100)))*$B100</f>
        <v>-32821.249948861667</v>
      </c>
      <c r="M100" s="1021">
        <f>(VLOOKUP(YEAR($A100),'NY East Load Projections'!$A$4:$EO$14,((MONTH($A100)-1)*12)+VLOOKUP(M$4,$DE$6:$DF$17,2)+1))*(VLOOKUP($A100,CURVES!$D$9:$K$261,8))*(INDEX(DailyScalarsTable,M$5/100,MONTH($A100)))*$B100</f>
        <v>-37814.135076217462</v>
      </c>
      <c r="N100" s="1021">
        <f>(VLOOKUP(YEAR($A100),'NY East Load Projections'!$A$4:$EO$14,((MONTH($A100)-1)*12)+VLOOKUP(N$4,$DE$6:$DF$17,2)+1))*(VLOOKUP($A100,CURVES!$D$9:$K$261,8))*(INDEX(DailyScalarsTable,N$5/100,MONTH($A100)))*$B100</f>
        <v>-54165.019220625545</v>
      </c>
      <c r="O100" s="1021">
        <f>(VLOOKUP(YEAR($A100),'NY East Load Projections'!$A$4:$EO$14,((MONTH($A100)-1)*12)+VLOOKUP(O$4,$DE$6:$DF$17,2)+1))*(VLOOKUP($A100,CURVES!$D$9:$K$261,4))*(INDEX(DailyScalarsTable,O$5/100,MONTH($A100)))*$B100</f>
        <v>-62274.197510851867</v>
      </c>
      <c r="P100" s="1021">
        <f>(VLOOKUP(YEAR($A100),'NY East Load Projections'!$A$4:$EO$14,((MONTH($A100)-1)*12)+VLOOKUP(P$4,$DE$6:$DF$17,2)+1))*(VLOOKUP($A100,CURVES!$D$9:$K$261,4))*(INDEX(DailyScalarsTable,P$5/100,MONTH($A100)))*$B100</f>
        <v>-70499.34286047933</v>
      </c>
      <c r="Q100" s="1021">
        <f>(VLOOKUP(YEAR($A100),'NY East Load Projections'!$A$4:$EO$14,((MONTH($A100)-1)*12)+VLOOKUP(Q$4,$DE$6:$DF$17,2)+1))*(VLOOKUP($A100,CURVES!$D$9:$K$261,4))*(INDEX(DailyScalarsTable,Q$5/100,MONTH($A100)))*$B100</f>
        <v>-70042.756883612936</v>
      </c>
      <c r="R100" s="1021">
        <f>(VLOOKUP(YEAR($A100),'NY East Load Projections'!$A$4:$EO$14,((MONTH($A100)-1)*12)+VLOOKUP(R$4,$DE$6:$DF$17,2)+1))*(VLOOKUP($A100,CURVES!$D$9:$K$261,4))*(INDEX(DailyScalarsTable,R$5/100,MONTH($A100)))*$B100</f>
        <v>-68691.509195319115</v>
      </c>
      <c r="S100" s="1021">
        <f>(VLOOKUP(YEAR($A100),'NY East Load Projections'!$A$4:$EO$14,((MONTH($A100)-1)*12)+VLOOKUP(S$4,$DE$6:$DF$17,2)+1))*(VLOOKUP($A100,CURVES!$D$9:$K$261,4))*(INDEX(DailyScalarsTable,S$5/100,MONTH($A100)))*$B100</f>
        <v>-57838.337123589459</v>
      </c>
      <c r="T100" s="1021">
        <f>(VLOOKUP(YEAR($A100),'NY East Load Projections'!$A$4:$EO$14,((MONTH($A100)-1)*12)+VLOOKUP(T$4,$DE$6:$DF$17,2)+1))*(VLOOKUP($A100,CURVES!$D$9:$K$261,4))*(INDEX(DailyScalarsTable,T$5/100,MONTH($A100)))*$B100</f>
        <v>-55794.44188870849</v>
      </c>
      <c r="U100" s="1021">
        <f>(VLOOKUP(YEAR($A100),'NY East Load Projections'!$A$4:$EO$14,((MONTH($A100)-1)*12)+VLOOKUP(U$4,$DE$6:$DF$17,2)+1))*(VLOOKUP($A100,CURVES!$D$9:$K$261,4))*(INDEX(DailyScalarsTable,U$5/100,MONTH($A100)))*$B100</f>
        <v>-54296.73175985767</v>
      </c>
      <c r="V100" s="1021">
        <f>(VLOOKUP(YEAR($A100),'NY East Load Projections'!$A$4:$EO$14,((MONTH($A100)-1)*12)+VLOOKUP(V$4,$DE$6:$DF$17,2)+1))*(VLOOKUP($A100,CURVES!$D$9:$K$261,4))*(INDEX(DailyScalarsTable,V$5/100,MONTH($A100)))*$B100</f>
        <v>-53026.521903743676</v>
      </c>
      <c r="W100" s="1021">
        <f>(VLOOKUP(YEAR($A100),'NY East Load Projections'!$A$4:$EO$14,((MONTH($A100)-1)*12)+VLOOKUP(W$4,$DE$6:$DF$17,2)+1))*(VLOOKUP($A100,CURVES!$D$9:$K$261,4))*(INDEX(DailyScalarsTable,W$5/100,MONTH($A100)))*$B100</f>
        <v>-52154.437524919158</v>
      </c>
      <c r="X100" s="1021">
        <f>(VLOOKUP(YEAR($A100),'NY East Load Projections'!$A$4:$EO$14,((MONTH($A100)-1)*12)+VLOOKUP(X$4,$DE$6:$DF$17,2)+1))*(VLOOKUP($A100,CURVES!$D$9:$K$261,4))*(INDEX(DailyScalarsTable,X$5/100,MONTH($A100)))*$B100</f>
        <v>-53997.347288973215</v>
      </c>
      <c r="Y100" s="1021">
        <f>(VLOOKUP(YEAR($A100),'NY East Load Projections'!$A$4:$EO$14,((MONTH($A100)-1)*12)+VLOOKUP(Y$4,$DE$6:$DF$17,2)+1))*(VLOOKUP($A100,CURVES!$D$9:$K$261,4))*(INDEX(DailyScalarsTable,Y$5/100,MONTH($A100)))*$B100</f>
        <v>-74126.067432223441</v>
      </c>
      <c r="Z100" s="1021">
        <f>(VLOOKUP(YEAR($A100),'NY East Load Projections'!$A$4:$EO$14,((MONTH($A100)-1)*12)+VLOOKUP(Z$4,$DE$6:$DF$17,2)+1))*(VLOOKUP($A100,CURVES!$D$9:$K$261,4))*(INDEX(DailyScalarsTable,Z$5/100,MONTH($A100)))*$B100</f>
        <v>-74722.925094564896</v>
      </c>
      <c r="AA100" s="1021">
        <f>(VLOOKUP(YEAR($A100),'NY East Load Projections'!$A$4:$EO$14,((MONTH($A100)-1)*12)+VLOOKUP(AA$4,$DE$6:$DF$17,2)+1))*(VLOOKUP($A100,CURVES!$D$9:$K$261,4))*(INDEX(DailyScalarsTable,AA$5/100,MONTH($A100)))*$B100</f>
        <v>-71665.552171142321</v>
      </c>
      <c r="AB100" s="1021">
        <f>(VLOOKUP(YEAR($A100),'NY East Load Projections'!$A$4:$EO$14,((MONTH($A100)-1)*12)+VLOOKUP(AB$4,$DE$6:$DF$17,2)+1))*(VLOOKUP($A100,CURVES!$D$9:$K$261,4))*(INDEX(DailyScalarsTable,AB$5/100,MONTH($A100)))*$B100</f>
        <v>-60824.767112198446</v>
      </c>
      <c r="AC100" s="1021">
        <f>(VLOOKUP(YEAR($A100),'NY East Load Projections'!$A$4:$EO$14,((MONTH($A100)-1)*12)+VLOOKUP(AC$4,$DE$6:$DF$17,2)+1))*(VLOOKUP($A100,CURVES!$D$9:$K$261,4))*(INDEX(DailyScalarsTable,AC$5/100,MONTH($A100)))*$B100</f>
        <v>-48384.987852499122</v>
      </c>
      <c r="AD100" s="1021">
        <f>(VLOOKUP(YEAR($A100),'NY East Load Projections'!$A$4:$EO$14,((MONTH($A100)-1)*12)+VLOOKUP(AD$4,$DE$6:$DF$17,2)+1))*(VLOOKUP($A100,CURVES!$D$9:$K$261,4))*(INDEX(DailyScalarsTable,AD$5/100,MONTH($A100)))*$B100</f>
        <v>-40804.933763854315</v>
      </c>
      <c r="AE100" s="1021">
        <f>(VLOOKUP(YEAR($A100),'NY East Load Projections'!$A$4:$EO$14,((MONTH($A100)-1)*12)+VLOOKUP(AE$4,$DE$6:$DF$17,2)+1))*(VLOOKUP($A100,CURVES!$D$9:$K$261,8))*(INDEX(DailyScalarsTable,AE$5/100,MONTH($A100)))*$B100</f>
        <v>-36556.100059380085</v>
      </c>
      <c r="AF100" s="1021"/>
      <c r="AG100" s="1021">
        <f>(VLOOKUP(YEAR($A100),'NY East Load Projections'!$A$4:$EO$14,((MONTH($A100)-1)*12)+VLOOKUP(AG$4,$DE$6:$DF$17,2)+1))*(VLOOKUP($A100,CURVES!$D$9:$T$261,8))*(INDEX(DailyScalarsTable,AG$5/100,MONTH($A100)))*$C100</f>
        <v>-8438.568013618109</v>
      </c>
      <c r="AH100" s="1021">
        <f>(VLOOKUP(YEAR($A100),'NY East Load Projections'!$A$4:$EO$14,((MONTH($A100)-1)*12)+VLOOKUP(AH$4,$DE$6:$DF$17,2)+1))*(VLOOKUP($A100,CURVES!$D$9:$T$261,8))*(INDEX(DailyScalarsTable,AH$5/100,MONTH($A100)))*$C100</f>
        <v>-8000.0711496506483</v>
      </c>
      <c r="AI100" s="1021">
        <f>(VLOOKUP(YEAR($A100),'NY East Load Projections'!$A$4:$EO$14,((MONTH($A100)-1)*12)+VLOOKUP(AI$4,$DE$6:$DF$17,2)+1))*(VLOOKUP($A100,CURVES!$D$9:$T$261,8))*(INDEX(DailyScalarsTable,AI$5/100,MONTH($A100)))*$C100</f>
        <v>-7677.7804939395737</v>
      </c>
      <c r="AJ100" s="1021">
        <f>(VLOOKUP(YEAR($A100),'NY East Load Projections'!$A$4:$EO$14,((MONTH($A100)-1)*12)+VLOOKUP(AJ$4,$DE$6:$DF$17,2)+1))*(VLOOKUP($A100,CURVES!$D$9:$T$261,8))*(INDEX(DailyScalarsTable,AJ$5/100,MONTH($A100)))*$C100</f>
        <v>-7682.3197989495893</v>
      </c>
      <c r="AK100" s="1021">
        <f>(VLOOKUP(YEAR($A100),'NY East Load Projections'!$A$4:$EO$14,((MONTH($A100)-1)*12)+VLOOKUP(AK$4,$DE$6:$DF$17,2)+1))*(VLOOKUP($A100,CURVES!$D$9:$T$261,8))*(INDEX(DailyScalarsTable,AK$5/100,MONTH($A100)))*$C100</f>
        <v>-8357.9404134168435</v>
      </c>
      <c r="AL100" s="1021">
        <f>(VLOOKUP(YEAR($A100),'NY East Load Projections'!$A$4:$EO$14,((MONTH($A100)-1)*12)+VLOOKUP(AL$4,$DE$6:$DF$17,2)+1))*(VLOOKUP($A100,CURVES!$D$9:$T$261,8))*(INDEX(DailyScalarsTable,AL$5/100,MONTH($A100)))*$C100</f>
        <v>-9629.3799975428028</v>
      </c>
      <c r="AM100" s="1021">
        <f>(VLOOKUP(YEAR($A100),'NY East Load Projections'!$A$4:$EO$14,((MONTH($A100)-1)*12)+VLOOKUP(AM$4,$DE$6:$DF$17,2)+1))*(VLOOKUP($A100,CURVES!$D$9:$T$261,8))*(INDEX(DailyScalarsTable,AM$5/100,MONTH($A100)))*$C100</f>
        <v>-13793.137185296853</v>
      </c>
      <c r="AN100" s="1021">
        <f>(VLOOKUP(YEAR($A100),'NY East Load Projections'!$A$4:$EO$14,((MONTH($A100)-1)*12)+VLOOKUP(AN$4,$DE$6:$DF$17,2)+1))*(VLOOKUP($A100,SatSunCurve,4))*(INDEX(DailyScalarsTable,AN$5/100,MONTH($A100)))*$C100</f>
        <v>-12687.614537825757</v>
      </c>
      <c r="AO100" s="1021">
        <f>(VLOOKUP(YEAR($A100),'NY East Load Projections'!$A$4:$EO$14,((MONTH($A100)-1)*12)+VLOOKUP(AO$4,$DE$6:$DF$17,2)+1))*(VLOOKUP($A100,SatSunCurve,4))*(INDEX(DailyScalarsTable,AO$5/100,MONTH($A100)))*$C100</f>
        <v>-14430.887841375541</v>
      </c>
      <c r="AP100" s="1021">
        <f>(VLOOKUP(YEAR($A100),'NY East Load Projections'!$A$4:$EO$14,((MONTH($A100)-1)*12)+VLOOKUP(AP$4,$DE$6:$DF$17,2)+1))*(VLOOKUP($A100,SatSunCurve,4))*(INDEX(DailyScalarsTable,AP$5/100,MONTH($A100)))*$C100</f>
        <v>-14337.426813871443</v>
      </c>
      <c r="AQ100" s="1021">
        <f>(VLOOKUP(YEAR($A100),'NY East Load Projections'!$A$4:$EO$14,((MONTH($A100)-1)*12)+VLOOKUP(AQ$4,$DE$6:$DF$17,2)+1))*(VLOOKUP($A100,SatSunCurve,4))*(INDEX(DailyScalarsTable,AQ$5/100,MONTH($A100)))*$C100</f>
        <v>-14060.832691933649</v>
      </c>
      <c r="AR100" s="1021">
        <f>(VLOOKUP(YEAR($A100),'NY East Load Projections'!$A$4:$EO$14,((MONTH($A100)-1)*12)+VLOOKUP(AR$4,$DE$6:$DF$17,2)+1))*(VLOOKUP($A100,SatSunCurve,4))*(INDEX(DailyScalarsTable,AR$5/100,MONTH($A100)))*$C100</f>
        <v>-11839.238808424147</v>
      </c>
      <c r="AS100" s="1021">
        <f>(VLOOKUP(YEAR($A100),'NY East Load Projections'!$A$4:$EO$14,((MONTH($A100)-1)*12)+VLOOKUP(AS$4,$DE$6:$DF$17,2)+1))*(VLOOKUP($A100,SatSunCurve,4))*(INDEX(DailyScalarsTable,AS$5/100,MONTH($A100)))*$C100</f>
        <v>-11496.076407811244</v>
      </c>
      <c r="AT100" s="1021">
        <f>(VLOOKUP(YEAR($A100),'NY East Load Projections'!$A$4:$EO$14,((MONTH($A100)-1)*12)+VLOOKUP(AT$4,$DE$6:$DF$17,2)+1))*(VLOOKUP($A100,SatSunCurve,4))*(INDEX(DailyScalarsTable,AT$5/100,MONTH($A100)))*$C100</f>
        <v>-11187.483123333808</v>
      </c>
      <c r="AU100" s="1021">
        <f>(VLOOKUP(YEAR($A100),'NY East Load Projections'!$A$4:$EO$14,((MONTH($A100)-1)*12)+VLOOKUP(AU$4,$DE$6:$DF$17,2)+1))*(VLOOKUP($A100,SatSunCurve,4))*(INDEX(DailyScalarsTable,AU$5/100,MONTH($A100)))*$C100</f>
        <v>-10925.764768144089</v>
      </c>
      <c r="AV100" s="1021">
        <f>(VLOOKUP(YEAR($A100),'NY East Load Projections'!$A$4:$EO$14,((MONTH($A100)-1)*12)+VLOOKUP(AV$4,$DE$6:$DF$17,2)+1))*(VLOOKUP($A100,SatSunCurve,4))*(INDEX(DailyScalarsTable,AV$5/100,MONTH($A100)))*$C100</f>
        <v>-10746.077539207861</v>
      </c>
      <c r="AW100" s="1021">
        <f>(VLOOKUP(YEAR($A100),'NY East Load Projections'!$A$4:$EO$14,((MONTH($A100)-1)*12)+VLOOKUP(AW$4,$DE$6:$DF$17,2)+1))*(VLOOKUP($A100,SatSunCurve,4))*(INDEX(DailyScalarsTable,AW$5/100,MONTH($A100)))*$C100</f>
        <v>-10990.604663871538</v>
      </c>
      <c r="AX100" s="1021">
        <f>(VLOOKUP(YEAR($A100),'NY East Load Projections'!$A$4:$EO$14,((MONTH($A100)-1)*12)+VLOOKUP(AX$4,$DE$6:$DF$17,2)+1))*(VLOOKUP($A100,SatSunCurve,4))*(INDEX(DailyScalarsTable,AX$5/100,MONTH($A100)))*$C100</f>
        <v>-15087.598619894032</v>
      </c>
      <c r="AY100" s="1021">
        <f>(VLOOKUP(YEAR($A100),'NY East Load Projections'!$A$4:$EO$14,((MONTH($A100)-1)*12)+VLOOKUP(AY$4,$DE$6:$DF$17,2)+1))*(VLOOKUP($A100,SatSunCurve,4))*(INDEX(DailyScalarsTable,AY$5/100,MONTH($A100)))*$C100</f>
        <v>-15209.082858226922</v>
      </c>
      <c r="AZ100" s="1021">
        <f>(VLOOKUP(YEAR($A100),'NY East Load Projections'!$A$4:$EO$14,((MONTH($A100)-1)*12)+VLOOKUP(AZ$4,$DE$6:$DF$17,2)+1))*(VLOOKUP($A100,SatSunCurve,4))*(INDEX(DailyScalarsTable,AZ$5/100,MONTH($A100)))*$C100</f>
        <v>-14586.786045542114</v>
      </c>
      <c r="BA100" s="1021">
        <f>(VLOOKUP(YEAR($A100),'NY East Load Projections'!$A$4:$EO$14,((MONTH($A100)-1)*12)+VLOOKUP(BA$4,$DE$6:$DF$17,2)+1))*(VLOOKUP($A100,SatSunCurve,4))*(INDEX(DailyScalarsTable,BA$5/100,MONTH($A100)))*$C100</f>
        <v>-12877.034426132472</v>
      </c>
      <c r="BB100" s="1021">
        <f>(VLOOKUP(YEAR($A100),'NY East Load Projections'!$A$4:$EO$14,((MONTH($A100)-1)*12)+VLOOKUP(BB$4,$DE$6:$DF$17,2)+1))*(VLOOKUP($A100,SatSunCurve,4))*(INDEX(DailyScalarsTable,BB$5/100,MONTH($A100)))*$C100</f>
        <v>-10243.444962729314</v>
      </c>
      <c r="BC100" s="1021">
        <f>(VLOOKUP(YEAR($A100),'NY East Load Projections'!$A$4:$EO$14,((MONTH($A100)-1)*12)+VLOOKUP(BC$4,$DE$6:$DF$17,2)+1))*(VLOOKUP($A100,SatSunCurve,4))*(INDEX(DailyScalarsTable,BC$5/100,MONTH($A100)))*$C100</f>
        <v>-8638.693771962322</v>
      </c>
      <c r="BD100" s="1021">
        <f>(VLOOKUP(YEAR($A100),'NY East Load Projections'!$A$4:$EO$14,((MONTH($A100)-1)*12)+VLOOKUP(BD$4,$DE$6:$DF$17,2)+1))*(VLOOKUP($A100,CURVES!$D$9:$T$261,8))*(INDEX(DailyScalarsTable,BD$5/100,MONTH($A100)))*$C100</f>
        <v>-9673.1423154306867</v>
      </c>
      <c r="BE100" s="1021"/>
      <c r="BF100" s="1021">
        <f>(VLOOKUP(YEAR($A100),'NY East Load Projections'!$A$4:$EO$14,((MONTH($A100)-1)*12)+VLOOKUP(BF$4,$DE$6:$DF$17,2)+1))*(VLOOKUP($A100,CURVES!$D$9:$T$261,8))*(INDEX(DailyScalarsTable,BF$5/100,MONTH($A100)))*$D100</f>
        <v>-8438.568013618109</v>
      </c>
      <c r="BG100" s="1021">
        <f>(VLOOKUP(YEAR($A100),'NY East Load Projections'!$A$4:$EO$14,((MONTH($A100)-1)*12)+VLOOKUP(BG$4,$DE$6:$DF$17,2)+1))*(VLOOKUP($A100,CURVES!$D$9:$T$261,8))*(INDEX(DailyScalarsTable,BG$5/100,MONTH($A100)))*$D100</f>
        <v>-8000.0711496506483</v>
      </c>
      <c r="BH100" s="1021">
        <f>(VLOOKUP(YEAR($A100),'NY East Load Projections'!$A$4:$EO$14,((MONTH($A100)-1)*12)+VLOOKUP(BH$4,$DE$6:$DF$17,2)+1))*(VLOOKUP($A100,CURVES!$D$9:$T$261,8))*(INDEX(DailyScalarsTable,BH$5/100,MONTH($A100)))*$D100</f>
        <v>-7677.7804939395737</v>
      </c>
      <c r="BI100" s="1021">
        <f>(VLOOKUP(YEAR($A100),'NY East Load Projections'!$A$4:$EO$14,((MONTH($A100)-1)*12)+VLOOKUP(BI$4,$DE$6:$DF$17,2)+1))*(VLOOKUP($A100,CURVES!$D$9:$T$261,8))*(INDEX(DailyScalarsTable,BI$5/100,MONTH($A100)))*$D100</f>
        <v>-7682.3197989495893</v>
      </c>
      <c r="BJ100" s="1021">
        <f>(VLOOKUP(YEAR($A100),'NY East Load Projections'!$A$4:$EO$14,((MONTH($A100)-1)*12)+VLOOKUP(BJ$4,$DE$6:$DF$17,2)+1))*(VLOOKUP($A100,CURVES!$D$9:$T$261,8))*(INDEX(DailyScalarsTable,BJ$5/100,MONTH($A100)))*$D100</f>
        <v>-8357.9404134168435</v>
      </c>
      <c r="BK100" s="1021">
        <f>(VLOOKUP(YEAR($A100),'NY East Load Projections'!$A$4:$EO$14,((MONTH($A100)-1)*12)+VLOOKUP(BK$4,$DE$6:$DF$17,2)+1))*(VLOOKUP($A100,CURVES!$D$9:$T$261,8))*(INDEX(DailyScalarsTable,BK$5/100,MONTH($A100)))*$D100</f>
        <v>-9629.3799975428028</v>
      </c>
      <c r="BL100" s="1021">
        <f>(VLOOKUP(YEAR($A100),'NY East Load Projections'!$A$4:$EO$14,((MONTH($A100)-1)*12)+VLOOKUP(BL$4,$DE$6:$DF$17,2)+1))*(VLOOKUP($A100,CURVES!$D$9:$T$261,8))*(INDEX(DailyScalarsTable,BL$5/100,MONTH($A100)))*$D100</f>
        <v>-13793.137185296853</v>
      </c>
      <c r="BM100" s="1021">
        <f>(VLOOKUP(YEAR($A100),'NY East Load Projections'!$A$4:$EO$14,((MONTH($A100)-1)*12)+VLOOKUP(BM$4,$DE$6:$DF$17,2)+1))*(VLOOKUP($A100,SatSunCurve,8))*(INDEX(DailyScalarsTable,BM$5/100,MONTH($A100)))*$D100</f>
        <v>-12864.779804055779</v>
      </c>
      <c r="BN100" s="1021">
        <f>(VLOOKUP(YEAR($A100),'NY East Load Projections'!$A$4:$EO$14,((MONTH($A100)-1)*12)+VLOOKUP(BN$4,$DE$6:$DF$17,2)+1))*(VLOOKUP($A100,SatSunCurve,8))*(INDEX(DailyScalarsTable,BN$5/100,MONTH($A100)))*$D100</f>
        <v>-14632.395546289707</v>
      </c>
      <c r="BO100" s="1021">
        <f>(VLOOKUP(YEAR($A100),'NY East Load Projections'!$A$4:$EO$14,((MONTH($A100)-1)*12)+VLOOKUP(BO$4,$DE$6:$DF$17,2)+1))*(VLOOKUP($A100,SatSunCurve,8))*(INDEX(DailyScalarsTable,BO$5/100,MONTH($A100)))*$D100</f>
        <v>-14537.629462758687</v>
      </c>
      <c r="BP100" s="1021">
        <f>(VLOOKUP(YEAR($A100),'NY East Load Projections'!$A$4:$EO$14,((MONTH($A100)-1)*12)+VLOOKUP(BP$4,$DE$6:$DF$17,2)+1))*(VLOOKUP($A100,SatSunCurve,8))*(INDEX(DailyScalarsTable,BP$5/100,MONTH($A100)))*$D100</f>
        <v>-14257.173080416884</v>
      </c>
      <c r="BQ100" s="1021">
        <f>(VLOOKUP(YEAR($A100),'NY East Load Projections'!$A$4:$EO$14,((MONTH($A100)-1)*12)+VLOOKUP(BQ$4,$DE$6:$DF$17,2)+1))*(VLOOKUP($A100,SatSunCurve,8))*(INDEX(DailyScalarsTable,BQ$5/100,MONTH($A100)))*$D100</f>
        <v>-12004.557662429521</v>
      </c>
      <c r="BR100" s="1021">
        <f>(VLOOKUP(YEAR($A100),'NY East Load Projections'!$A$4:$EO$14,((MONTH($A100)-1)*12)+VLOOKUP(BR$4,$DE$6:$DF$17,2)+1))*(VLOOKUP($A100,SatSunCurve,8))*(INDEX(DailyScalarsTable,BR$5/100,MONTH($A100)))*$D100</f>
        <v>-11656.603466015802</v>
      </c>
      <c r="BS100" s="1021">
        <f>(VLOOKUP(YEAR($A100),'NY East Load Projections'!$A$4:$EO$14,((MONTH($A100)-1)*12)+VLOOKUP(BS$4,$DE$6:$DF$17,2)+1))*(VLOOKUP($A100,SatSunCurve,8))*(INDEX(DailyScalarsTable,BS$5/100,MONTH($A100)))*$D100</f>
        <v>-11343.701096387786</v>
      </c>
      <c r="BT100" s="1021">
        <f>(VLOOKUP(YEAR($A100),'NY East Load Projections'!$A$4:$EO$14,((MONTH($A100)-1)*12)+VLOOKUP(BT$4,$DE$6:$DF$17,2)+1))*(VLOOKUP($A100,SatSunCurve,8))*(INDEX(DailyScalarsTable,BT$5/100,MONTH($A100)))*$D100</f>
        <v>-11078.328200627318</v>
      </c>
      <c r="BU100" s="1021">
        <f>(VLOOKUP(YEAR($A100),'NY East Load Projections'!$A$4:$EO$14,((MONTH($A100)-1)*12)+VLOOKUP(BU$4,$DE$6:$DF$17,2)+1))*(VLOOKUP($A100,SatSunCurve,8))*(INDEX(DailyScalarsTable,BU$5/100,MONTH($A100)))*$D100</f>
        <v>-10896.131884135057</v>
      </c>
      <c r="BV100" s="1021">
        <f>(VLOOKUP(YEAR($A100),'NY East Load Projections'!$A$4:$EO$14,((MONTH($A100)-1)*12)+VLOOKUP(BV$4,$DE$6:$DF$17,2)+1))*(VLOOKUP($A100,SatSunCurve,8))*(INDEX(DailyScalarsTable,BV$5/100,MONTH($A100)))*$D100</f>
        <v>-11144.073497236443</v>
      </c>
      <c r="BW100" s="1021">
        <f>(VLOOKUP(YEAR($A100),'NY East Load Projections'!$A$4:$EO$14,((MONTH($A100)-1)*12)+VLOOKUP(BW$4,$DE$6:$DF$17,2)+1))*(VLOOKUP($A100,SatSunCurve,8))*(INDEX(DailyScalarsTable,BW$5/100,MONTH($A100)))*$D100</f>
        <v>-15298.276396894287</v>
      </c>
      <c r="BX100" s="1021">
        <f>(VLOOKUP(YEAR($A100),'NY East Load Projections'!$A$4:$EO$14,((MONTH($A100)-1)*12)+VLOOKUP(BX$4,$DE$6:$DF$17,2)+1))*(VLOOKUP($A100,SatSunCurve,8))*(INDEX(DailyScalarsTable,BX$5/100,MONTH($A100)))*$D100</f>
        <v>-15421.456997247227</v>
      </c>
      <c r="BY100" s="1021">
        <f>(VLOOKUP(YEAR($A100),'NY East Load Projections'!$A$4:$EO$14,((MONTH($A100)-1)*12)+VLOOKUP(BY$4,$DE$6:$DF$17,2)+1))*(VLOOKUP($A100,SatSunCurve,8))*(INDEX(DailyScalarsTable,BY$5/100,MONTH($A100)))*$D100</f>
        <v>-14790.470656663798</v>
      </c>
      <c r="BZ100" s="1021">
        <f>(VLOOKUP(YEAR($A100),'NY East Load Projections'!$A$4:$EO$14,((MONTH($A100)-1)*12)+VLOOKUP(BZ$4,$DE$6:$DF$17,2)+1))*(VLOOKUP($A100,SatSunCurve,8))*(INDEX(DailyScalarsTable,BZ$5/100,MONTH($A100)))*$D100</f>
        <v>-13056.844683258227</v>
      </c>
      <c r="CA100" s="1021">
        <f>(VLOOKUP(YEAR($A100),'NY East Load Projections'!$A$4:$EO$14,((MONTH($A100)-1)*12)+VLOOKUP(CA$4,$DE$6:$DF$17,2)+1))*(VLOOKUP($A100,SatSunCurve,8))*(INDEX(DailyScalarsTable,CA$5/100,MONTH($A100)))*$D100</f>
        <v>-10386.480727925684</v>
      </c>
      <c r="CB100" s="1021">
        <f>(VLOOKUP(YEAR($A100),'NY East Load Projections'!$A$4:$EO$14,((MONTH($A100)-1)*12)+VLOOKUP(CB$4,$DE$6:$DF$17,2)+1))*(VLOOKUP($A100,SatSunCurve,8))*(INDEX(DailyScalarsTable,CB$5/100,MONTH($A100)))*$D100</f>
        <v>-8759.3213712187862</v>
      </c>
      <c r="CC100" s="1021">
        <f>(VLOOKUP(YEAR($A100),'NY East Load Projections'!$A$4:$EO$14,((MONTH($A100)-1)*12)+VLOOKUP(CC$4,$DE$6:$DF$17,2)+1))*(VLOOKUP($A100,CURVES!$D$9:$T$261,8))*(INDEX(DailyScalarsTable,CC$5/100,MONTH($A100)))*$D100</f>
        <v>-9673.1423154306867</v>
      </c>
      <c r="CE100" s="1021">
        <f>(VLOOKUP(YEAR($A100),'NY East Load Projections'!$A$4:$EO$14,((MONTH($A100)-1)*12)+VLOOKUP(CE$4,$DE$6:$DF$17,2)+1))*(VLOOKUP($A100,CURVES!$D$9:$T$261,8))*(INDEX(DailyScalarsTable,CE$5/100,MONTH($A100)))*$E100</f>
        <v>-1687.7136027236218</v>
      </c>
      <c r="CF100" s="1021">
        <f>(VLOOKUP(YEAR($A100),'NY East Load Projections'!$A$4:$EO$14,((MONTH($A100)-1)*12)+VLOOKUP(CF$4,$DE$6:$DF$17,2)+1))*(VLOOKUP($A100,CURVES!$D$9:$T$261,8))*(INDEX(DailyScalarsTable,CF$5/100,MONTH($A100)))*$E100</f>
        <v>-1600.0142299301297</v>
      </c>
      <c r="CG100" s="1021">
        <f>(VLOOKUP(YEAR($A100),'NY East Load Projections'!$A$4:$EO$14,((MONTH($A100)-1)*12)+VLOOKUP(CG$4,$DE$6:$DF$17,2)+1))*(VLOOKUP($A100,CURVES!$D$9:$T$261,8))*(INDEX(DailyScalarsTable,CG$5/100,MONTH($A100)))*$E100</f>
        <v>-1535.5560987879148</v>
      </c>
      <c r="CH100" s="1021">
        <f>(VLOOKUP(YEAR($A100),'NY East Load Projections'!$A$4:$EO$14,((MONTH($A100)-1)*12)+VLOOKUP(CH$4,$DE$6:$DF$17,2)+1))*(VLOOKUP($A100,CURVES!$D$9:$T$261,8))*(INDEX(DailyScalarsTable,CH$5/100,MONTH($A100)))*$E100</f>
        <v>-1536.4639597899179</v>
      </c>
      <c r="CI100" s="1021">
        <f>(VLOOKUP(YEAR($A100),'NY East Load Projections'!$A$4:$EO$14,((MONTH($A100)-1)*12)+VLOOKUP(CI$4,$DE$6:$DF$17,2)+1))*(VLOOKUP($A100,CURVES!$D$9:$T$261,8))*(INDEX(DailyScalarsTable,CI$5/100,MONTH($A100)))*$E100</f>
        <v>-1671.5880826833686</v>
      </c>
      <c r="CJ100" s="1021">
        <f>(VLOOKUP(YEAR($A100),'NY East Load Projections'!$A$4:$EO$14,((MONTH($A100)-1)*12)+VLOOKUP(CJ$4,$DE$6:$DF$17,2)+1))*(VLOOKUP($A100,CURVES!$D$9:$T$261,8))*(INDEX(DailyScalarsTable,CJ$5/100,MONTH($A100)))*$E100</f>
        <v>-1925.8759995085607</v>
      </c>
      <c r="CK100" s="1021">
        <f>(VLOOKUP(YEAR($A100),'NY East Load Projections'!$A$4:$EO$14,((MONTH($A100)-1)*12)+VLOOKUP(CK$4,$DE$6:$DF$17,2)+1))*(VLOOKUP($A100,CURVES!$D$9:$T$261,8))*(INDEX(DailyScalarsTable,CK$5/100,MONTH($A100)))*$E100</f>
        <v>-2758.6274370593705</v>
      </c>
      <c r="CL100" s="1021">
        <f>(VLOOKUP(YEAR($A100),'NY East Load Projections'!$A$4:$EO$14,((MONTH($A100)-1)*12)+VLOOKUP(CL$4,$DE$6:$DF$17,2)+1))*(VLOOKUP($A100,SatSunCurve,8))*(INDEX(DailyScalarsTable,CL$5/100,MONTH($A100)))*$E100</f>
        <v>-2572.9559608111558</v>
      </c>
      <c r="CM100" s="1021">
        <f>(VLOOKUP(YEAR($A100),'NY East Load Projections'!$A$4:$EO$14,((MONTH($A100)-1)*12)+VLOOKUP(CM$4,$DE$6:$DF$17,2)+1))*(VLOOKUP($A100,SatSunCurve,8))*(INDEX(DailyScalarsTable,CM$5/100,MONTH($A100)))*$E100</f>
        <v>-2926.4791092579412</v>
      </c>
      <c r="CN100" s="1021">
        <f>(VLOOKUP(YEAR($A100),'NY East Load Projections'!$A$4:$EO$14,((MONTH($A100)-1)*12)+VLOOKUP(CN$4,$DE$6:$DF$17,2)+1))*(VLOOKUP($A100,SatSunCurve,8))*(INDEX(DailyScalarsTable,CN$5/100,MONTH($A100)))*$E100</f>
        <v>-2907.5258925517373</v>
      </c>
      <c r="CO100" s="1021">
        <f>(VLOOKUP(YEAR($A100),'NY East Load Projections'!$A$4:$EO$14,((MONTH($A100)-1)*12)+VLOOKUP(CO$4,$DE$6:$DF$17,2)+1))*(VLOOKUP($A100,SatSunCurve,8))*(INDEX(DailyScalarsTable,CO$5/100,MONTH($A100)))*$E100</f>
        <v>-2851.4346160833766</v>
      </c>
      <c r="CP100" s="1021">
        <f>(VLOOKUP(YEAR($A100),'NY East Load Projections'!$A$4:$EO$14,((MONTH($A100)-1)*12)+VLOOKUP(CP$4,$DE$6:$DF$17,2)+1))*(VLOOKUP($A100,SatSunCurve,8))*(INDEX(DailyScalarsTable,CP$5/100,MONTH($A100)))*$E100</f>
        <v>-2400.911532485904</v>
      </c>
      <c r="CQ100" s="1021">
        <f>(VLOOKUP(YEAR($A100),'NY East Load Projections'!$A$4:$EO$14,((MONTH($A100)-1)*12)+VLOOKUP(CQ$4,$DE$6:$DF$17,2)+1))*(VLOOKUP($A100,SatSunCurve,8))*(INDEX(DailyScalarsTable,CQ$5/100,MONTH($A100)))*$E100</f>
        <v>-2331.3206932031603</v>
      </c>
      <c r="CR100" s="1021">
        <f>(VLOOKUP(YEAR($A100),'NY East Load Projections'!$A$4:$EO$14,((MONTH($A100)-1)*12)+VLOOKUP(CR$4,$DE$6:$DF$17,2)+1))*(VLOOKUP($A100,SatSunCurve,8))*(INDEX(DailyScalarsTable,CR$5/100,MONTH($A100)))*$E100</f>
        <v>-2268.7402192775571</v>
      </c>
      <c r="CS100" s="1021">
        <f>(VLOOKUP(YEAR($A100),'NY East Load Projections'!$A$4:$EO$14,((MONTH($A100)-1)*12)+VLOOKUP(CS$4,$DE$6:$DF$17,2)+1))*(VLOOKUP($A100,SatSunCurve,8))*(INDEX(DailyScalarsTable,CS$5/100,MONTH($A100)))*$E100</f>
        <v>-2215.6656401254636</v>
      </c>
      <c r="CT100" s="1021">
        <f>(VLOOKUP(YEAR($A100),'NY East Load Projections'!$A$4:$EO$14,((MONTH($A100)-1)*12)+VLOOKUP(CT$4,$DE$6:$DF$17,2)+1))*(VLOOKUP($A100,SatSunCurve,8))*(INDEX(DailyScalarsTable,CT$5/100,MONTH($A100)))*$E100</f>
        <v>-2179.2263768270113</v>
      </c>
      <c r="CU100" s="1021">
        <f>(VLOOKUP(YEAR($A100),'NY East Load Projections'!$A$4:$EO$14,((MONTH($A100)-1)*12)+VLOOKUP(CU$4,$DE$6:$DF$17,2)+1))*(VLOOKUP($A100,SatSunCurve,8))*(INDEX(DailyScalarsTable,CU$5/100,MONTH($A100)))*$E100</f>
        <v>-2228.8146994472886</v>
      </c>
      <c r="CV100" s="1021">
        <f>(VLOOKUP(YEAR($A100),'NY East Load Projections'!$A$4:$EO$14,((MONTH($A100)-1)*12)+VLOOKUP(CV$4,$DE$6:$DF$17,2)+1))*(VLOOKUP($A100,SatSunCurve,8))*(INDEX(DailyScalarsTable,CV$5/100,MONTH($A100)))*$E100</f>
        <v>-3059.6552793788574</v>
      </c>
      <c r="CW100" s="1021">
        <f>(VLOOKUP(YEAR($A100),'NY East Load Projections'!$A$4:$EO$14,((MONTH($A100)-1)*12)+VLOOKUP(CW$4,$DE$6:$DF$17,2)+1))*(VLOOKUP($A100,SatSunCurve,8))*(INDEX(DailyScalarsTable,CW$5/100,MONTH($A100)))*$E100</f>
        <v>-3084.2913994494456</v>
      </c>
      <c r="CX100" s="1021">
        <f>(VLOOKUP(YEAR($A100),'NY East Load Projections'!$A$4:$EO$14,((MONTH($A100)-1)*12)+VLOOKUP(CX$4,$DE$6:$DF$17,2)+1))*(VLOOKUP($A100,SatSunCurve,8))*(INDEX(DailyScalarsTable,CX$5/100,MONTH($A100)))*$E100</f>
        <v>-2958.0941313327594</v>
      </c>
      <c r="CY100" s="1021">
        <f>(VLOOKUP(YEAR($A100),'NY East Load Projections'!$A$4:$EO$14,((MONTH($A100)-1)*12)+VLOOKUP(CY$4,$DE$6:$DF$17,2)+1))*(VLOOKUP($A100,SatSunCurve,8))*(INDEX(DailyScalarsTable,CY$5/100,MONTH($A100)))*$E100</f>
        <v>-2611.3689366516455</v>
      </c>
      <c r="CZ100" s="1021">
        <f>(VLOOKUP(YEAR($A100),'NY East Load Projections'!$A$4:$EO$14,((MONTH($A100)-1)*12)+VLOOKUP(CZ$4,$DE$6:$DF$17,2)+1))*(VLOOKUP($A100,SatSunCurve,8))*(INDEX(DailyScalarsTable,CZ$5/100,MONTH($A100)))*$E100</f>
        <v>-2077.2961455851369</v>
      </c>
      <c r="DA100" s="1021">
        <f>(VLOOKUP(YEAR($A100),'NY East Load Projections'!$A$4:$EO$14,((MONTH($A100)-1)*12)+VLOOKUP(DA$4,$DE$6:$DF$17,2)+1))*(VLOOKUP($A100,SatSunCurve,8))*(INDEX(DailyScalarsTable,DA$5/100,MONTH($A100)))*$E100</f>
        <v>-1751.8642742437571</v>
      </c>
      <c r="DB100" s="1021">
        <f>(VLOOKUP(YEAR($A100),'NY East Load Projections'!$A$4:$EO$14,((MONTH($A100)-1)*12)+VLOOKUP(DB$4,$DE$6:$DF$17,2)+1))*(VLOOKUP($A100,CURVES!$D$9:$T$261,8))*(INDEX(DailyScalarsTable,DB$5/100,MONTH($A100)))*$E100</f>
        <v>-1934.6284630861373</v>
      </c>
      <c r="DH100" s="1021">
        <f t="shared" si="2"/>
        <v>-1851166.5137932487</v>
      </c>
      <c r="DI100">
        <f ca="1">CALC!J120</f>
        <v>0.52766161927294875</v>
      </c>
      <c r="DJ100" s="1029">
        <f t="shared" ca="1" si="3"/>
        <v>-976789.52021200501</v>
      </c>
    </row>
    <row r="101" spans="1:114" x14ac:dyDescent="0.25">
      <c r="A101" s="244">
        <v>39783</v>
      </c>
      <c r="B101" s="13">
        <v>22</v>
      </c>
      <c r="C101" s="210">
        <v>4</v>
      </c>
      <c r="D101" s="210">
        <v>4</v>
      </c>
      <c r="E101" s="210">
        <v>1</v>
      </c>
      <c r="F101" s="13">
        <v>31</v>
      </c>
      <c r="H101" s="1021">
        <f>(VLOOKUP(YEAR($A101),'NY East Load Projections'!$A$4:$EO$14,((MONTH($A101)-1)*12)+VLOOKUP(H$4,$DE$6:$DF$17,2)+1))*(VLOOKUP($A101,CURVES!$D$9:$K$261,8))*(INDEX(DailyScalarsTable,H$5/100,MONTH($A101)))*$B101</f>
        <v>-37407.203212811466</v>
      </c>
      <c r="I101" s="1021">
        <f>(VLOOKUP(YEAR($A101),'NY East Load Projections'!$A$4:$EO$14,((MONTH($A101)-1)*12)+VLOOKUP(I$4,$DE$6:$DF$17,2)+1))*(VLOOKUP($A101,CURVES!$D$9:$K$261,8))*(INDEX(DailyScalarsTable,I$5/100,MONTH($A101)))*$B101</f>
        <v>-35463.396956567471</v>
      </c>
      <c r="J101" s="1021">
        <f>(VLOOKUP(YEAR($A101),'NY East Load Projections'!$A$4:$EO$14,((MONTH($A101)-1)*12)+VLOOKUP(J$4,$DE$6:$DF$17,2)+1))*(VLOOKUP($A101,CURVES!$D$9:$K$261,8))*(INDEX(DailyScalarsTable,J$5/100,MONTH($A101)))*$B101</f>
        <v>-34034.719480446103</v>
      </c>
      <c r="K101" s="1021">
        <f>(VLOOKUP(YEAR($A101),'NY East Load Projections'!$A$4:$EO$14,((MONTH($A101)-1)*12)+VLOOKUP(K$4,$DE$6:$DF$17,2)+1))*(VLOOKUP($A101,CURVES!$D$9:$K$261,8))*(INDEX(DailyScalarsTable,K$5/100,MONTH($A101)))*$B101</f>
        <v>-34054.841698419645</v>
      </c>
      <c r="L101" s="1021">
        <f>(VLOOKUP(YEAR($A101),'NY East Load Projections'!$A$4:$EO$14,((MONTH($A101)-1)*12)+VLOOKUP(L$4,$DE$6:$DF$17,2)+1))*(VLOOKUP($A101,CURVES!$D$9:$K$261,8))*(INDEX(DailyScalarsTable,L$5/100,MONTH($A101)))*$B101</f>
        <v>-39940.426166691002</v>
      </c>
      <c r="M101" s="1021">
        <f>(VLOOKUP(YEAR($A101),'NY East Load Projections'!$A$4:$EO$14,((MONTH($A101)-1)*12)+VLOOKUP(M$4,$DE$6:$DF$17,2)+1))*(VLOOKUP($A101,CURVES!$D$9:$K$261,8))*(INDEX(DailyScalarsTable,M$5/100,MONTH($A101)))*$B101</f>
        <v>-46016.305668496498</v>
      </c>
      <c r="N101" s="1021">
        <f>(VLOOKUP(YEAR($A101),'NY East Load Projections'!$A$4:$EO$14,((MONTH($A101)-1)*12)+VLOOKUP(N$4,$DE$6:$DF$17,2)+1))*(VLOOKUP($A101,CURVES!$D$9:$K$261,8))*(INDEX(DailyScalarsTable,N$5/100,MONTH($A101)))*$B101</f>
        <v>-65913.819686011848</v>
      </c>
      <c r="O101" s="1021">
        <f>(VLOOKUP(YEAR($A101),'NY East Load Projections'!$A$4:$EO$14,((MONTH($A101)-1)*12)+VLOOKUP(O$4,$DE$6:$DF$17,2)+1))*(VLOOKUP($A101,CURVES!$D$9:$K$261,4))*(INDEX(DailyScalarsTable,O$5/100,MONTH($A101)))*$B101</f>
        <v>-71568.278891866081</v>
      </c>
      <c r="P101" s="1021">
        <f>(VLOOKUP(YEAR($A101),'NY East Load Projections'!$A$4:$EO$14,((MONTH($A101)-1)*12)+VLOOKUP(P$4,$DE$6:$DF$17,2)+1))*(VLOOKUP($A101,CURVES!$D$9:$K$261,4))*(INDEX(DailyScalarsTable,P$5/100,MONTH($A101)))*$B101</f>
        <v>-81304.05227105369</v>
      </c>
      <c r="Q101" s="1021">
        <f>(VLOOKUP(YEAR($A101),'NY East Load Projections'!$A$4:$EO$14,((MONTH($A101)-1)*12)+VLOOKUP(Q$4,$DE$6:$DF$17,2)+1))*(VLOOKUP($A101,CURVES!$D$9:$K$261,4))*(INDEX(DailyScalarsTable,Q$5/100,MONTH($A101)))*$B101</f>
        <v>-80891.873281193548</v>
      </c>
      <c r="R101" s="1021">
        <f>(VLOOKUP(YEAR($A101),'NY East Load Projections'!$A$4:$EO$14,((MONTH($A101)-1)*12)+VLOOKUP(R$4,$DE$6:$DF$17,2)+1))*(VLOOKUP($A101,CURVES!$D$9:$K$261,4))*(INDEX(DailyScalarsTable,R$5/100,MONTH($A101)))*$B101</f>
        <v>-79131.379968570647</v>
      </c>
      <c r="S101" s="1021">
        <f>(VLOOKUP(YEAR($A101),'NY East Load Projections'!$A$4:$EO$14,((MONTH($A101)-1)*12)+VLOOKUP(S$4,$DE$6:$DF$17,2)+1))*(VLOOKUP($A101,CURVES!$D$9:$K$261,4))*(INDEX(DailyScalarsTable,S$5/100,MONTH($A101)))*$B101</f>
        <v>-64299.922418179936</v>
      </c>
      <c r="T101" s="1021">
        <f>(VLOOKUP(YEAR($A101),'NY East Load Projections'!$A$4:$EO$14,((MONTH($A101)-1)*12)+VLOOKUP(T$4,$DE$6:$DF$17,2)+1))*(VLOOKUP($A101,CURVES!$D$9:$K$261,4))*(INDEX(DailyScalarsTable,T$5/100,MONTH($A101)))*$B101</f>
        <v>-61795.536842356385</v>
      </c>
      <c r="U101" s="1021">
        <f>(VLOOKUP(YEAR($A101),'NY East Load Projections'!$A$4:$EO$14,((MONTH($A101)-1)*12)+VLOOKUP(U$4,$DE$6:$DF$17,2)+1))*(VLOOKUP($A101,CURVES!$D$9:$K$261,4))*(INDEX(DailyScalarsTable,U$5/100,MONTH($A101)))*$B101</f>
        <v>-59132.727676786802</v>
      </c>
      <c r="V101" s="1021">
        <f>(VLOOKUP(YEAR($A101),'NY East Load Projections'!$A$4:$EO$14,((MONTH($A101)-1)*12)+VLOOKUP(V$4,$DE$6:$DF$17,2)+1))*(VLOOKUP($A101,CURVES!$D$9:$K$261,4))*(INDEX(DailyScalarsTable,V$5/100,MONTH($A101)))*$B101</f>
        <v>-56159.139722662658</v>
      </c>
      <c r="W101" s="1021">
        <f>(VLOOKUP(YEAR($A101),'NY East Load Projections'!$A$4:$EO$14,((MONTH($A101)-1)*12)+VLOOKUP(W$4,$DE$6:$DF$17,2)+1))*(VLOOKUP($A101,CURVES!$D$9:$K$261,4))*(INDEX(DailyScalarsTable,W$5/100,MONTH($A101)))*$B101</f>
        <v>-55184.424431287058</v>
      </c>
      <c r="X101" s="1021">
        <f>(VLOOKUP(YEAR($A101),'NY East Load Projections'!$A$4:$EO$14,((MONTH($A101)-1)*12)+VLOOKUP(X$4,$DE$6:$DF$17,2)+1))*(VLOOKUP($A101,CURVES!$D$9:$K$261,4))*(INDEX(DailyScalarsTable,X$5/100,MONTH($A101)))*$B101</f>
        <v>-59852.395950381557</v>
      </c>
      <c r="Y101" s="1021">
        <f>(VLOOKUP(YEAR($A101),'NY East Load Projections'!$A$4:$EO$14,((MONTH($A101)-1)*12)+VLOOKUP(Y$4,$DE$6:$DF$17,2)+1))*(VLOOKUP($A101,CURVES!$D$9:$K$261,4))*(INDEX(DailyScalarsTable,Y$5/100,MONTH($A101)))*$B101</f>
        <v>-84352.633521966563</v>
      </c>
      <c r="Z101" s="1021">
        <f>(VLOOKUP(YEAR($A101),'NY East Load Projections'!$A$4:$EO$14,((MONTH($A101)-1)*12)+VLOOKUP(Z$4,$DE$6:$DF$17,2)+1))*(VLOOKUP($A101,CURVES!$D$9:$K$261,4))*(INDEX(DailyScalarsTable,Z$5/100,MONTH($A101)))*$B101</f>
        <v>-83790.632529899784</v>
      </c>
      <c r="AA101" s="1021">
        <f>(VLOOKUP(YEAR($A101),'NY East Load Projections'!$A$4:$EO$14,((MONTH($A101)-1)*12)+VLOOKUP(AA$4,$DE$6:$DF$17,2)+1))*(VLOOKUP($A101,CURVES!$D$9:$K$261,4))*(INDEX(DailyScalarsTable,AA$5/100,MONTH($A101)))*$B101</f>
        <v>-80905.272656642977</v>
      </c>
      <c r="AB101" s="1021">
        <f>(VLOOKUP(YEAR($A101),'NY East Load Projections'!$A$4:$EO$14,((MONTH($A101)-1)*12)+VLOOKUP(AB$4,$DE$6:$DF$17,2)+1))*(VLOOKUP($A101,CURVES!$D$9:$K$261,4))*(INDEX(DailyScalarsTable,AB$5/100,MONTH($A101)))*$B101</f>
        <v>-72301.335902255742</v>
      </c>
      <c r="AC101" s="1021">
        <f>(VLOOKUP(YEAR($A101),'NY East Load Projections'!$A$4:$EO$14,((MONTH($A101)-1)*12)+VLOOKUP(AC$4,$DE$6:$DF$17,2)+1))*(VLOOKUP($A101,CURVES!$D$9:$K$261,4))*(INDEX(DailyScalarsTable,AC$5/100,MONTH($A101)))*$B101</f>
        <v>-53300.256287367774</v>
      </c>
      <c r="AD101" s="1021">
        <f>(VLOOKUP(YEAR($A101),'NY East Load Projections'!$A$4:$EO$14,((MONTH($A101)-1)*12)+VLOOKUP(AD$4,$DE$6:$DF$17,2)+1))*(VLOOKUP($A101,CURVES!$D$9:$K$261,4))*(INDEX(DailyScalarsTable,AD$5/100,MONTH($A101)))*$B101</f>
        <v>-43973.493883588795</v>
      </c>
      <c r="AE101" s="1021">
        <f>(VLOOKUP(YEAR($A101),'NY East Load Projections'!$A$4:$EO$14,((MONTH($A101)-1)*12)+VLOOKUP(AE$4,$DE$6:$DF$17,2)+1))*(VLOOKUP($A101,CURVES!$D$9:$K$261,8))*(INDEX(DailyScalarsTable,AE$5/100,MONTH($A101)))*$B101</f>
        <v>-44024.484587486571</v>
      </c>
      <c r="AF101" s="1021"/>
      <c r="AG101" s="1021">
        <f>(VLOOKUP(YEAR($A101),'NY East Load Projections'!$A$4:$EO$14,((MONTH($A101)-1)*12)+VLOOKUP(AG$4,$DE$6:$DF$17,2)+1))*(VLOOKUP($A101,CURVES!$D$9:$T$261,8))*(INDEX(DailyScalarsTable,AG$5/100,MONTH($A101)))*$C101</f>
        <v>-7057.2524238927936</v>
      </c>
      <c r="AH101" s="1021">
        <f>(VLOOKUP(YEAR($A101),'NY East Load Projections'!$A$4:$EO$14,((MONTH($A101)-1)*12)+VLOOKUP(AH$4,$DE$6:$DF$17,2)+1))*(VLOOKUP($A101,CURVES!$D$9:$T$261,8))*(INDEX(DailyScalarsTable,AH$5/100,MONTH($A101)))*$C101</f>
        <v>-6690.533443716331</v>
      </c>
      <c r="AI101" s="1021">
        <f>(VLOOKUP(YEAR($A101),'NY East Load Projections'!$A$4:$EO$14,((MONTH($A101)-1)*12)+VLOOKUP(AI$4,$DE$6:$DF$17,2)+1))*(VLOOKUP($A101,CURVES!$D$9:$T$261,8))*(INDEX(DailyScalarsTable,AI$5/100,MONTH($A101)))*$C101</f>
        <v>-6420.9987895493659</v>
      </c>
      <c r="AJ101" s="1021">
        <f>(VLOOKUP(YEAR($A101),'NY East Load Projections'!$A$4:$EO$14,((MONTH($A101)-1)*12)+VLOOKUP(AJ$4,$DE$6:$DF$17,2)+1))*(VLOOKUP($A101,CURVES!$D$9:$T$261,8))*(INDEX(DailyScalarsTable,AJ$5/100,MONTH($A101)))*$C101</f>
        <v>-6424.7950522841111</v>
      </c>
      <c r="AK101" s="1021">
        <f>(VLOOKUP(YEAR($A101),'NY East Load Projections'!$A$4:$EO$14,((MONTH($A101)-1)*12)+VLOOKUP(AK$4,$DE$6:$DF$17,2)+1))*(VLOOKUP($A101,CURVES!$D$9:$T$261,8))*(INDEX(DailyScalarsTable,AK$5/100,MONTH($A101)))*$C101</f>
        <v>-7038.3430093896814</v>
      </c>
      <c r="AL101" s="1021">
        <f>(VLOOKUP(YEAR($A101),'NY East Load Projections'!$A$4:$EO$14,((MONTH($A101)-1)*12)+VLOOKUP(AL$4,$DE$6:$DF$17,2)+1))*(VLOOKUP($A101,CURVES!$D$9:$T$261,8))*(INDEX(DailyScalarsTable,AL$5/100,MONTH($A101)))*$C101</f>
        <v>-8109.0407490420112</v>
      </c>
      <c r="AM101" s="1021">
        <f>(VLOOKUP(YEAR($A101),'NY East Load Projections'!$A$4:$EO$14,((MONTH($A101)-1)*12)+VLOOKUP(AM$4,$DE$6:$DF$17,2)+1))*(VLOOKUP($A101,CURVES!$D$9:$T$261,8))*(INDEX(DailyScalarsTable,AM$5/100,MONTH($A101)))*$C101</f>
        <v>-11615.401149527814</v>
      </c>
      <c r="AN101" s="1021">
        <f>(VLOOKUP(YEAR($A101),'NY East Load Projections'!$A$4:$EO$14,((MONTH($A101)-1)*12)+VLOOKUP(AN$4,$DE$6:$DF$17,2)+1))*(VLOOKUP($A101,SatSunCurve,4))*(INDEX(DailyScalarsTable,AN$5/100,MONTH($A101)))*$C101</f>
        <v>-10695.656072663924</v>
      </c>
      <c r="AO101" s="1021">
        <f>(VLOOKUP(YEAR($A101),'NY East Load Projections'!$A$4:$EO$14,((MONTH($A101)-1)*12)+VLOOKUP(AO$4,$DE$6:$DF$17,2)+1))*(VLOOKUP($A101,SatSunCurve,4))*(INDEX(DailyScalarsTable,AO$5/100,MONTH($A101)))*$C101</f>
        <v>-12219.277759010447</v>
      </c>
      <c r="AP101" s="1021">
        <f>(VLOOKUP(YEAR($A101),'NY East Load Projections'!$A$4:$EO$14,((MONTH($A101)-1)*12)+VLOOKUP(AP$4,$DE$6:$DF$17,2)+1))*(VLOOKUP($A101,SatSunCurve,4))*(INDEX(DailyScalarsTable,AP$5/100,MONTH($A101)))*$C101</f>
        <v>-12157.33091352311</v>
      </c>
      <c r="AQ101" s="1021">
        <f>(VLOOKUP(YEAR($A101),'NY East Load Projections'!$A$4:$EO$14,((MONTH($A101)-1)*12)+VLOOKUP(AQ$4,$DE$6:$DF$17,2)+1))*(VLOOKUP($A101,SatSunCurve,4))*(INDEX(DailyScalarsTable,AQ$5/100,MONTH($A101)))*$C101</f>
        <v>-11892.744387034829</v>
      </c>
      <c r="AR101" s="1021">
        <f>(VLOOKUP(YEAR($A101),'NY East Load Projections'!$A$4:$EO$14,((MONTH($A101)-1)*12)+VLOOKUP(AR$4,$DE$6:$DF$17,2)+1))*(VLOOKUP($A101,SatSunCurve,4))*(INDEX(DailyScalarsTable,AR$5/100,MONTH($A101)))*$C101</f>
        <v>-9663.7078960244162</v>
      </c>
      <c r="AS101" s="1021">
        <f>(VLOOKUP(YEAR($A101),'NY East Load Projections'!$A$4:$EO$14,((MONTH($A101)-1)*12)+VLOOKUP(AS$4,$DE$6:$DF$17,2)+1))*(VLOOKUP($A101,SatSunCurve,4))*(INDEX(DailyScalarsTable,AS$5/100,MONTH($A101)))*$C101</f>
        <v>-9286.0230726406407</v>
      </c>
      <c r="AT101" s="1021">
        <f>(VLOOKUP(YEAR($A101),'NY East Load Projections'!$A$4:$EO$14,((MONTH($A101)-1)*12)+VLOOKUP(AT$4,$DE$6:$DF$17,2)+1))*(VLOOKUP($A101,SatSunCurve,4))*(INDEX(DailyScalarsTable,AT$5/100,MONTH($A101)))*$C101</f>
        <v>-8885.882405320317</v>
      </c>
      <c r="AU101" s="1021">
        <f>(VLOOKUP(YEAR($A101),'NY East Load Projections'!$A$4:$EO$14,((MONTH($A101)-1)*12)+VLOOKUP(AU$4,$DE$6:$DF$17,2)+1))*(VLOOKUP($A101,SatSunCurve,4))*(INDEX(DailyScalarsTable,AU$5/100,MONTH($A101)))*$C101</f>
        <v>-8439.0409704612794</v>
      </c>
      <c r="AV101" s="1021">
        <f>(VLOOKUP(YEAR($A101),'NY East Load Projections'!$A$4:$EO$14,((MONTH($A101)-1)*12)+VLOOKUP(AV$4,$DE$6:$DF$17,2)+1))*(VLOOKUP($A101,SatSunCurve,4))*(INDEX(DailyScalarsTable,AV$5/100,MONTH($A101)))*$C101</f>
        <v>-8292.5703813625933</v>
      </c>
      <c r="AW101" s="1021">
        <f>(VLOOKUP(YEAR($A101),'NY East Load Projections'!$A$4:$EO$14,((MONTH($A101)-1)*12)+VLOOKUP(AW$4,$DE$6:$DF$17,2)+1))*(VLOOKUP($A101,SatSunCurve,4))*(INDEX(DailyScalarsTable,AW$5/100,MONTH($A101)))*$C101</f>
        <v>-8944.7643362599119</v>
      </c>
      <c r="AX101" s="1021">
        <f>(VLOOKUP(YEAR($A101),'NY East Load Projections'!$A$4:$EO$14,((MONTH($A101)-1)*12)+VLOOKUP(AX$4,$DE$6:$DF$17,2)+1))*(VLOOKUP($A101,SatSunCurve,4))*(INDEX(DailyScalarsTable,AX$5/100,MONTH($A101)))*$C101</f>
        <v>-12606.252699096482</v>
      </c>
      <c r="AY101" s="1021">
        <f>(VLOOKUP(YEAR($A101),'NY East Load Projections'!$A$4:$EO$14,((MONTH($A101)-1)*12)+VLOOKUP(AY$4,$DE$6:$DF$17,2)+1))*(VLOOKUP($A101,SatSunCurve,4))*(INDEX(DailyScalarsTable,AY$5/100,MONTH($A101)))*$C101</f>
        <v>-12522.26330567355</v>
      </c>
      <c r="AZ101" s="1021">
        <f>(VLOOKUP(YEAR($A101),'NY East Load Projections'!$A$4:$EO$14,((MONTH($A101)-1)*12)+VLOOKUP(AZ$4,$DE$6:$DF$17,2)+1))*(VLOOKUP($A101,SatSunCurve,4))*(INDEX(DailyScalarsTable,AZ$5/100,MONTH($A101)))*$C101</f>
        <v>-12091.054768709071</v>
      </c>
      <c r="BA101" s="1021">
        <f>(VLOOKUP(YEAR($A101),'NY East Load Projections'!$A$4:$EO$14,((MONTH($A101)-1)*12)+VLOOKUP(BA$4,$DE$6:$DF$17,2)+1))*(VLOOKUP($A101,SatSunCurve,4))*(INDEX(DailyScalarsTable,BA$5/100,MONTH($A101)))*$C101</f>
        <v>-11332.616632281339</v>
      </c>
      <c r="BB101" s="1021">
        <f>(VLOOKUP(YEAR($A101),'NY East Load Projections'!$A$4:$EO$14,((MONTH($A101)-1)*12)+VLOOKUP(BB$4,$DE$6:$DF$17,2)+1))*(VLOOKUP($A101,SatSunCurve,4))*(INDEX(DailyScalarsTable,BB$5/100,MONTH($A101)))*$C101</f>
        <v>-8354.359755173442</v>
      </c>
      <c r="BC101" s="1021">
        <f>(VLOOKUP(YEAR($A101),'NY East Load Projections'!$A$4:$EO$14,((MONTH($A101)-1)*12)+VLOOKUP(BC$4,$DE$6:$DF$17,2)+1))*(VLOOKUP($A101,SatSunCurve,4))*(INDEX(DailyScalarsTable,BC$5/100,MONTH($A101)))*$C101</f>
        <v>-6892.4694398230686</v>
      </c>
      <c r="BD101" s="1021">
        <f>(VLOOKUP(YEAR($A101),'NY East Load Projections'!$A$4:$EO$14,((MONTH($A101)-1)*12)+VLOOKUP(BD$4,$DE$6:$DF$17,2)+1))*(VLOOKUP($A101,CURVES!$D$9:$T$261,8))*(INDEX(DailyScalarsTable,BD$5/100,MONTH($A101)))*$C101</f>
        <v>-8136.7136653722828</v>
      </c>
      <c r="BE101" s="1021"/>
      <c r="BF101" s="1021">
        <f>(VLOOKUP(YEAR($A101),'NY East Load Projections'!$A$4:$EO$14,((MONTH($A101)-1)*12)+VLOOKUP(BF$4,$DE$6:$DF$17,2)+1))*(VLOOKUP($A101,CURVES!$D$9:$T$261,8))*(INDEX(DailyScalarsTable,BF$5/100,MONTH($A101)))*$D101</f>
        <v>-7057.2524238927936</v>
      </c>
      <c r="BG101" s="1021">
        <f>(VLOOKUP(YEAR($A101),'NY East Load Projections'!$A$4:$EO$14,((MONTH($A101)-1)*12)+VLOOKUP(BG$4,$DE$6:$DF$17,2)+1))*(VLOOKUP($A101,CURVES!$D$9:$T$261,8))*(INDEX(DailyScalarsTable,BG$5/100,MONTH($A101)))*$D101</f>
        <v>-6690.533443716331</v>
      </c>
      <c r="BH101" s="1021">
        <f>(VLOOKUP(YEAR($A101),'NY East Load Projections'!$A$4:$EO$14,((MONTH($A101)-1)*12)+VLOOKUP(BH$4,$DE$6:$DF$17,2)+1))*(VLOOKUP($A101,CURVES!$D$9:$T$261,8))*(INDEX(DailyScalarsTable,BH$5/100,MONTH($A101)))*$D101</f>
        <v>-6420.9987895493659</v>
      </c>
      <c r="BI101" s="1021">
        <f>(VLOOKUP(YEAR($A101),'NY East Load Projections'!$A$4:$EO$14,((MONTH($A101)-1)*12)+VLOOKUP(BI$4,$DE$6:$DF$17,2)+1))*(VLOOKUP($A101,CURVES!$D$9:$T$261,8))*(INDEX(DailyScalarsTable,BI$5/100,MONTH($A101)))*$D101</f>
        <v>-6424.7950522841111</v>
      </c>
      <c r="BJ101" s="1021">
        <f>(VLOOKUP(YEAR($A101),'NY East Load Projections'!$A$4:$EO$14,((MONTH($A101)-1)*12)+VLOOKUP(BJ$4,$DE$6:$DF$17,2)+1))*(VLOOKUP($A101,CURVES!$D$9:$T$261,8))*(INDEX(DailyScalarsTable,BJ$5/100,MONTH($A101)))*$D101</f>
        <v>-7038.3430093896814</v>
      </c>
      <c r="BK101" s="1021">
        <f>(VLOOKUP(YEAR($A101),'NY East Load Projections'!$A$4:$EO$14,((MONTH($A101)-1)*12)+VLOOKUP(BK$4,$DE$6:$DF$17,2)+1))*(VLOOKUP($A101,CURVES!$D$9:$T$261,8))*(INDEX(DailyScalarsTable,BK$5/100,MONTH($A101)))*$D101</f>
        <v>-8109.0407490420112</v>
      </c>
      <c r="BL101" s="1021">
        <f>(VLOOKUP(YEAR($A101),'NY East Load Projections'!$A$4:$EO$14,((MONTH($A101)-1)*12)+VLOOKUP(BL$4,$DE$6:$DF$17,2)+1))*(VLOOKUP($A101,CURVES!$D$9:$T$261,8))*(INDEX(DailyScalarsTable,BL$5/100,MONTH($A101)))*$D101</f>
        <v>-11615.401149527814</v>
      </c>
      <c r="BM101" s="1021">
        <f>(VLOOKUP(YEAR($A101),'NY East Load Projections'!$A$4:$EO$14,((MONTH($A101)-1)*12)+VLOOKUP(BM$4,$DE$6:$DF$17,2)+1))*(VLOOKUP($A101,SatSunCurve,8))*(INDEX(DailyScalarsTable,BM$5/100,MONTH($A101)))*$D101</f>
        <v>-10249.556636628691</v>
      </c>
      <c r="BN101" s="1021">
        <f>(VLOOKUP(YEAR($A101),'NY East Load Projections'!$A$4:$EO$14,((MONTH($A101)-1)*12)+VLOOKUP(BN$4,$DE$6:$DF$17,2)+1))*(VLOOKUP($A101,SatSunCurve,8))*(INDEX(DailyScalarsTable,BN$5/100,MONTH($A101)))*$D101</f>
        <v>-11709.630395630447</v>
      </c>
      <c r="BO101" s="1021">
        <f>(VLOOKUP(YEAR($A101),'NY East Load Projections'!$A$4:$EO$14,((MONTH($A101)-1)*12)+VLOOKUP(BO$4,$DE$6:$DF$17,2)+1))*(VLOOKUP($A101,SatSunCurve,8))*(INDEX(DailyScalarsTable,BO$5/100,MONTH($A101)))*$D101</f>
        <v>-11650.267258206302</v>
      </c>
      <c r="BP101" s="1021">
        <f>(VLOOKUP(YEAR($A101),'NY East Load Projections'!$A$4:$EO$14,((MONTH($A101)-1)*12)+VLOOKUP(BP$4,$DE$6:$DF$17,2)+1))*(VLOOKUP($A101,SatSunCurve,8))*(INDEX(DailyScalarsTable,BP$5/100,MONTH($A101)))*$D101</f>
        <v>-11396.716230564194</v>
      </c>
      <c r="BQ101" s="1021">
        <f>(VLOOKUP(YEAR($A101),'NY East Load Projections'!$A$4:$EO$14,((MONTH($A101)-1)*12)+VLOOKUP(BQ$4,$DE$6:$DF$17,2)+1))*(VLOOKUP($A101,SatSunCurve,8))*(INDEX(DailyScalarsTable,BQ$5/100,MONTH($A101)))*$D101</f>
        <v>-9260.649438166578</v>
      </c>
      <c r="BR101" s="1021">
        <f>(VLOOKUP(YEAR($A101),'NY East Load Projections'!$A$4:$EO$14,((MONTH($A101)-1)*12)+VLOOKUP(BR$4,$DE$6:$DF$17,2)+1))*(VLOOKUP($A101,SatSunCurve,8))*(INDEX(DailyScalarsTable,BR$5/100,MONTH($A101)))*$D101</f>
        <v>-8898.7172703998076</v>
      </c>
      <c r="BS101" s="1021">
        <f>(VLOOKUP(YEAR($A101),'NY East Load Projections'!$A$4:$EO$14,((MONTH($A101)-1)*12)+VLOOKUP(BS$4,$DE$6:$DF$17,2)+1))*(VLOOKUP($A101,SatSunCurve,8))*(INDEX(DailyScalarsTable,BS$5/100,MONTH($A101)))*$D101</f>
        <v>-8515.2658575593996</v>
      </c>
      <c r="BT101" s="1021">
        <f>(VLOOKUP(YEAR($A101),'NY East Load Projections'!$A$4:$EO$14,((MONTH($A101)-1)*12)+VLOOKUP(BT$4,$DE$6:$DF$17,2)+1))*(VLOOKUP($A101,SatSunCurve,8))*(INDEX(DailyScalarsTable,BT$5/100,MONTH($A101)))*$D101</f>
        <v>-8087.061494679263</v>
      </c>
      <c r="BU101" s="1021">
        <f>(VLOOKUP(YEAR($A101),'NY East Load Projections'!$A$4:$EO$14,((MONTH($A101)-1)*12)+VLOOKUP(BU$4,$DE$6:$DF$17,2)+1))*(VLOOKUP($A101,SatSunCurve,8))*(INDEX(DailyScalarsTable,BU$5/100,MONTH($A101)))*$D101</f>
        <v>-7946.6999695546574</v>
      </c>
      <c r="BV101" s="1021">
        <f>(VLOOKUP(YEAR($A101),'NY East Load Projections'!$A$4:$EO$14,((MONTH($A101)-1)*12)+VLOOKUP(BV$4,$DE$6:$DF$17,2)+1))*(VLOOKUP($A101,SatSunCurve,8))*(INDEX(DailyScalarsTable,BV$5/100,MONTH($A101)))*$D101</f>
        <v>-8571.6919133281426</v>
      </c>
      <c r="BW101" s="1021">
        <f>(VLOOKUP(YEAR($A101),'NY East Load Projections'!$A$4:$EO$14,((MONTH($A101)-1)*12)+VLOOKUP(BW$4,$DE$6:$DF$17,2)+1))*(VLOOKUP($A101,SatSunCurve,8))*(INDEX(DailyScalarsTable,BW$5/100,MONTH($A101)))*$D101</f>
        <v>-12080.465203558218</v>
      </c>
      <c r="BX101" s="1021">
        <f>(VLOOKUP(YEAR($A101),'NY East Load Projections'!$A$4:$EO$14,((MONTH($A101)-1)*12)+VLOOKUP(BX$4,$DE$6:$DF$17,2)+1))*(VLOOKUP($A101,SatSunCurve,8))*(INDEX(DailyScalarsTable,BX$5/100,MONTH($A101)))*$D101</f>
        <v>-11999.978879118093</v>
      </c>
      <c r="BY101" s="1021">
        <f>(VLOOKUP(YEAR($A101),'NY East Load Projections'!$A$4:$EO$14,((MONTH($A101)-1)*12)+VLOOKUP(BY$4,$DE$6:$DF$17,2)+1))*(VLOOKUP($A101,SatSunCurve,8))*(INDEX(DailyScalarsTable,BY$5/100,MONTH($A101)))*$D101</f>
        <v>-11586.755389900714</v>
      </c>
      <c r="BZ101" s="1021">
        <f>(VLOOKUP(YEAR($A101),'NY East Load Projections'!$A$4:$EO$14,((MONTH($A101)-1)*12)+VLOOKUP(BZ$4,$DE$6:$DF$17,2)+1))*(VLOOKUP($A101,SatSunCurve,8))*(INDEX(DailyScalarsTable,BZ$5/100,MONTH($A101)))*$D101</f>
        <v>-10859.950546711792</v>
      </c>
      <c r="CA101" s="1021">
        <f>(VLOOKUP(YEAR($A101),'NY East Load Projections'!$A$4:$EO$14,((MONTH($A101)-1)*12)+VLOOKUP(CA$4,$DE$6:$DF$17,2)+1))*(VLOOKUP($A101,SatSunCurve,8))*(INDEX(DailyScalarsTable,CA$5/100,MONTH($A101)))*$D101</f>
        <v>-8005.9122032047972</v>
      </c>
      <c r="CB101" s="1021">
        <f>(VLOOKUP(YEAR($A101),'NY East Load Projections'!$A$4:$EO$14,((MONTH($A101)-1)*12)+VLOOKUP(CB$4,$DE$6:$DF$17,2)+1))*(VLOOKUP($A101,SatSunCurve,8))*(INDEX(DailyScalarsTable,CB$5/100,MONTH($A101)))*$D101</f>
        <v>-6604.9950942470578</v>
      </c>
      <c r="CC101" s="1021">
        <f>(VLOOKUP(YEAR($A101),'NY East Load Projections'!$A$4:$EO$14,((MONTH($A101)-1)*12)+VLOOKUP(CC$4,$DE$6:$DF$17,2)+1))*(VLOOKUP($A101,CURVES!$D$9:$T$261,8))*(INDEX(DailyScalarsTable,CC$5/100,MONTH($A101)))*$D101</f>
        <v>-8136.7136653722828</v>
      </c>
      <c r="CE101" s="1021">
        <f>(VLOOKUP(YEAR($A101),'NY East Load Projections'!$A$4:$EO$14,((MONTH($A101)-1)*12)+VLOOKUP(CE$4,$DE$6:$DF$17,2)+1))*(VLOOKUP($A101,CURVES!$D$9:$T$261,8))*(INDEX(DailyScalarsTable,CE$5/100,MONTH($A101)))*$E101</f>
        <v>-1764.3131059731984</v>
      </c>
      <c r="CF101" s="1021">
        <f>(VLOOKUP(YEAR($A101),'NY East Load Projections'!$A$4:$EO$14,((MONTH($A101)-1)*12)+VLOOKUP(CF$4,$DE$6:$DF$17,2)+1))*(VLOOKUP($A101,CURVES!$D$9:$T$261,8))*(INDEX(DailyScalarsTable,CF$5/100,MONTH($A101)))*$E101</f>
        <v>-1672.6333609290828</v>
      </c>
      <c r="CG101" s="1021">
        <f>(VLOOKUP(YEAR($A101),'NY East Load Projections'!$A$4:$EO$14,((MONTH($A101)-1)*12)+VLOOKUP(CG$4,$DE$6:$DF$17,2)+1))*(VLOOKUP($A101,CURVES!$D$9:$T$261,8))*(INDEX(DailyScalarsTable,CG$5/100,MONTH($A101)))*$E101</f>
        <v>-1605.2496973873415</v>
      </c>
      <c r="CH101" s="1021">
        <f>(VLOOKUP(YEAR($A101),'NY East Load Projections'!$A$4:$EO$14,((MONTH($A101)-1)*12)+VLOOKUP(CH$4,$DE$6:$DF$17,2)+1))*(VLOOKUP($A101,CURVES!$D$9:$T$261,8))*(INDEX(DailyScalarsTable,CH$5/100,MONTH($A101)))*$E101</f>
        <v>-1606.1987630710278</v>
      </c>
      <c r="CI101" s="1021">
        <f>(VLOOKUP(YEAR($A101),'NY East Load Projections'!$A$4:$EO$14,((MONTH($A101)-1)*12)+VLOOKUP(CI$4,$DE$6:$DF$17,2)+1))*(VLOOKUP($A101,CURVES!$D$9:$T$261,8))*(INDEX(DailyScalarsTable,CI$5/100,MONTH($A101)))*$E101</f>
        <v>-1759.5857523474203</v>
      </c>
      <c r="CJ101" s="1021">
        <f>(VLOOKUP(YEAR($A101),'NY East Load Projections'!$A$4:$EO$14,((MONTH($A101)-1)*12)+VLOOKUP(CJ$4,$DE$6:$DF$17,2)+1))*(VLOOKUP($A101,CURVES!$D$9:$T$261,8))*(INDEX(DailyScalarsTable,CJ$5/100,MONTH($A101)))*$E101</f>
        <v>-2027.2601872605028</v>
      </c>
      <c r="CK101" s="1021">
        <f>(VLOOKUP(YEAR($A101),'NY East Load Projections'!$A$4:$EO$14,((MONTH($A101)-1)*12)+VLOOKUP(CK$4,$DE$6:$DF$17,2)+1))*(VLOOKUP($A101,CURVES!$D$9:$T$261,8))*(INDEX(DailyScalarsTable,CK$5/100,MONTH($A101)))*$E101</f>
        <v>-2903.8502873819534</v>
      </c>
      <c r="CL101" s="1021">
        <f>(VLOOKUP(YEAR($A101),'NY East Load Projections'!$A$4:$EO$14,((MONTH($A101)-1)*12)+VLOOKUP(CL$4,$DE$6:$DF$17,2)+1))*(VLOOKUP($A101,SatSunCurve,8))*(INDEX(DailyScalarsTable,CL$5/100,MONTH($A101)))*$E101</f>
        <v>-2562.3891591571728</v>
      </c>
      <c r="CM101" s="1021">
        <f>(VLOOKUP(YEAR($A101),'NY East Load Projections'!$A$4:$EO$14,((MONTH($A101)-1)*12)+VLOOKUP(CM$4,$DE$6:$DF$17,2)+1))*(VLOOKUP($A101,SatSunCurve,8))*(INDEX(DailyScalarsTable,CM$5/100,MONTH($A101)))*$E101</f>
        <v>-2927.4075989076118</v>
      </c>
      <c r="CN101" s="1021">
        <f>(VLOOKUP(YEAR($A101),'NY East Load Projections'!$A$4:$EO$14,((MONTH($A101)-1)*12)+VLOOKUP(CN$4,$DE$6:$DF$17,2)+1))*(VLOOKUP($A101,SatSunCurve,8))*(INDEX(DailyScalarsTable,CN$5/100,MONTH($A101)))*$E101</f>
        <v>-2912.5668145515756</v>
      </c>
      <c r="CO101" s="1021">
        <f>(VLOOKUP(YEAR($A101),'NY East Load Projections'!$A$4:$EO$14,((MONTH($A101)-1)*12)+VLOOKUP(CO$4,$DE$6:$DF$17,2)+1))*(VLOOKUP($A101,SatSunCurve,8))*(INDEX(DailyScalarsTable,CO$5/100,MONTH($A101)))*$E101</f>
        <v>-2849.1790576410485</v>
      </c>
      <c r="CP101" s="1021">
        <f>(VLOOKUP(YEAR($A101),'NY East Load Projections'!$A$4:$EO$14,((MONTH($A101)-1)*12)+VLOOKUP(CP$4,$DE$6:$DF$17,2)+1))*(VLOOKUP($A101,SatSunCurve,8))*(INDEX(DailyScalarsTable,CP$5/100,MONTH($A101)))*$E101</f>
        <v>-2315.1623595416445</v>
      </c>
      <c r="CQ101" s="1021">
        <f>(VLOOKUP(YEAR($A101),'NY East Load Projections'!$A$4:$EO$14,((MONTH($A101)-1)*12)+VLOOKUP(CQ$4,$DE$6:$DF$17,2)+1))*(VLOOKUP($A101,SatSunCurve,8))*(INDEX(DailyScalarsTable,CQ$5/100,MONTH($A101)))*$E101</f>
        <v>-2224.6793175999519</v>
      </c>
      <c r="CR101" s="1021">
        <f>(VLOOKUP(YEAR($A101),'NY East Load Projections'!$A$4:$EO$14,((MONTH($A101)-1)*12)+VLOOKUP(CR$4,$DE$6:$DF$17,2)+1))*(VLOOKUP($A101,SatSunCurve,8))*(INDEX(DailyScalarsTable,CR$5/100,MONTH($A101)))*$E101</f>
        <v>-2128.8164643898499</v>
      </c>
      <c r="CS101" s="1021">
        <f>(VLOOKUP(YEAR($A101),'NY East Load Projections'!$A$4:$EO$14,((MONTH($A101)-1)*12)+VLOOKUP(CS$4,$DE$6:$DF$17,2)+1))*(VLOOKUP($A101,SatSunCurve,8))*(INDEX(DailyScalarsTable,CS$5/100,MONTH($A101)))*$E101</f>
        <v>-2021.7653736698157</v>
      </c>
      <c r="CT101" s="1021">
        <f>(VLOOKUP(YEAR($A101),'NY East Load Projections'!$A$4:$EO$14,((MONTH($A101)-1)*12)+VLOOKUP(CT$4,$DE$6:$DF$17,2)+1))*(VLOOKUP($A101,SatSunCurve,8))*(INDEX(DailyScalarsTable,CT$5/100,MONTH($A101)))*$E101</f>
        <v>-1986.6749923886644</v>
      </c>
      <c r="CU101" s="1021">
        <f>(VLOOKUP(YEAR($A101),'NY East Load Projections'!$A$4:$EO$14,((MONTH($A101)-1)*12)+VLOOKUP(CU$4,$DE$6:$DF$17,2)+1))*(VLOOKUP($A101,SatSunCurve,8))*(INDEX(DailyScalarsTable,CU$5/100,MONTH($A101)))*$E101</f>
        <v>-2142.9229783320357</v>
      </c>
      <c r="CV101" s="1021">
        <f>(VLOOKUP(YEAR($A101),'NY East Load Projections'!$A$4:$EO$14,((MONTH($A101)-1)*12)+VLOOKUP(CV$4,$DE$6:$DF$17,2)+1))*(VLOOKUP($A101,SatSunCurve,8))*(INDEX(DailyScalarsTable,CV$5/100,MONTH($A101)))*$E101</f>
        <v>-3020.1163008895546</v>
      </c>
      <c r="CW101" s="1021">
        <f>(VLOOKUP(YEAR($A101),'NY East Load Projections'!$A$4:$EO$14,((MONTH($A101)-1)*12)+VLOOKUP(CW$4,$DE$6:$DF$17,2)+1))*(VLOOKUP($A101,SatSunCurve,8))*(INDEX(DailyScalarsTable,CW$5/100,MONTH($A101)))*$E101</f>
        <v>-2999.9947197795232</v>
      </c>
      <c r="CX101" s="1021">
        <f>(VLOOKUP(YEAR($A101),'NY East Load Projections'!$A$4:$EO$14,((MONTH($A101)-1)*12)+VLOOKUP(CX$4,$DE$6:$DF$17,2)+1))*(VLOOKUP($A101,SatSunCurve,8))*(INDEX(DailyScalarsTable,CX$5/100,MONTH($A101)))*$E101</f>
        <v>-2896.6888474751786</v>
      </c>
      <c r="CY101" s="1021">
        <f>(VLOOKUP(YEAR($A101),'NY East Load Projections'!$A$4:$EO$14,((MONTH($A101)-1)*12)+VLOOKUP(CY$4,$DE$6:$DF$17,2)+1))*(VLOOKUP($A101,SatSunCurve,8))*(INDEX(DailyScalarsTable,CY$5/100,MONTH($A101)))*$E101</f>
        <v>-2714.9876366779481</v>
      </c>
      <c r="CZ101" s="1021">
        <f>(VLOOKUP(YEAR($A101),'NY East Load Projections'!$A$4:$EO$14,((MONTH($A101)-1)*12)+VLOOKUP(CZ$4,$DE$6:$DF$17,2)+1))*(VLOOKUP($A101,SatSunCurve,8))*(INDEX(DailyScalarsTable,CZ$5/100,MONTH($A101)))*$E101</f>
        <v>-2001.4780508011993</v>
      </c>
      <c r="DA101" s="1021">
        <f>(VLOOKUP(YEAR($A101),'NY East Load Projections'!$A$4:$EO$14,((MONTH($A101)-1)*12)+VLOOKUP(DA$4,$DE$6:$DF$17,2)+1))*(VLOOKUP($A101,SatSunCurve,8))*(INDEX(DailyScalarsTable,DA$5/100,MONTH($A101)))*$E101</f>
        <v>-1651.2487735617644</v>
      </c>
      <c r="DB101" s="1021">
        <f>(VLOOKUP(YEAR($A101),'NY East Load Projections'!$A$4:$EO$14,((MONTH($A101)-1)*12)+VLOOKUP(DB$4,$DE$6:$DF$17,2)+1))*(VLOOKUP($A101,CURVES!$D$9:$T$261,8))*(INDEX(DailyScalarsTable,DB$5/100,MONTH($A101)))*$E101</f>
        <v>-2034.1784163430707</v>
      </c>
      <c r="DH101" s="1021">
        <f t="shared" si="2"/>
        <v>-1924214.3868511149</v>
      </c>
      <c r="DI101">
        <f ca="1">CALC!J121</f>
        <v>0.52435246926669343</v>
      </c>
      <c r="DJ101" s="1029">
        <f t="shared" ca="1" si="3"/>
        <v>-1008966.5651438786</v>
      </c>
    </row>
    <row r="102" spans="1:114" x14ac:dyDescent="0.25">
      <c r="A102" s="244">
        <v>39814</v>
      </c>
      <c r="B102" s="13">
        <v>21</v>
      </c>
      <c r="C102" s="210">
        <v>5</v>
      </c>
      <c r="D102" s="210">
        <v>4</v>
      </c>
      <c r="E102" s="210">
        <v>1</v>
      </c>
      <c r="F102" s="13">
        <v>31</v>
      </c>
      <c r="H102" s="1021">
        <f>(VLOOKUP(YEAR($A102),'NY East Load Projections'!$A$4:$EO$14,((MONTH($A102)-1)*12)+VLOOKUP(H$4,$DE$6:$DF$17,2)+1))*(VLOOKUP($A102,CURVES!$D$9:$K$261,8))*(INDEX(DailyScalarsTable,H$5/100,MONTH($A102)))*$B102</f>
        <v>-33492.930770991268</v>
      </c>
      <c r="I102" s="1021">
        <f>(VLOOKUP(YEAR($A102),'NY East Load Projections'!$A$4:$EO$14,((MONTH($A102)-1)*12)+VLOOKUP(I$4,$DE$6:$DF$17,2)+1))*(VLOOKUP($A102,CURVES!$D$9:$K$261,8))*(INDEX(DailyScalarsTable,I$5/100,MONTH($A102)))*$B102</f>
        <v>-32840.395167697759</v>
      </c>
      <c r="J102" s="1021">
        <f>(VLOOKUP(YEAR($A102),'NY East Load Projections'!$A$4:$EO$14,((MONTH($A102)-1)*12)+VLOOKUP(J$4,$DE$6:$DF$17,2)+1))*(VLOOKUP($A102,CURVES!$D$9:$K$261,8))*(INDEX(DailyScalarsTable,J$5/100,MONTH($A102)))*$B102</f>
        <v>-30093.31491566707</v>
      </c>
      <c r="K102" s="1021">
        <f>(VLOOKUP(YEAR($A102),'NY East Load Projections'!$A$4:$EO$14,((MONTH($A102)-1)*12)+VLOOKUP(K$4,$DE$6:$DF$17,2)+1))*(VLOOKUP($A102,CURVES!$D$9:$K$261,8))*(INDEX(DailyScalarsTable,K$5/100,MONTH($A102)))*$B102</f>
        <v>-30075.120030970898</v>
      </c>
      <c r="L102" s="1021">
        <f>(VLOOKUP(YEAR($A102),'NY East Load Projections'!$A$4:$EO$14,((MONTH($A102)-1)*12)+VLOOKUP(L$4,$DE$6:$DF$17,2)+1))*(VLOOKUP($A102,CURVES!$D$9:$K$261,8))*(INDEX(DailyScalarsTable,L$5/100,MONTH($A102)))*$B102</f>
        <v>-34054.238733560022</v>
      </c>
      <c r="M102" s="1021">
        <f>(VLOOKUP(YEAR($A102),'NY East Load Projections'!$A$4:$EO$14,((MONTH($A102)-1)*12)+VLOOKUP(M$4,$DE$6:$DF$17,2)+1))*(VLOOKUP($A102,CURVES!$D$9:$K$261,8))*(INDEX(DailyScalarsTable,M$5/100,MONTH($A102)))*$B102</f>
        <v>-36343.295064262406</v>
      </c>
      <c r="N102" s="1021">
        <f>(VLOOKUP(YEAR($A102),'NY East Load Projections'!$A$4:$EO$14,((MONTH($A102)-1)*12)+VLOOKUP(N$4,$DE$6:$DF$17,2)+1))*(VLOOKUP($A102,CURVES!$D$9:$K$261,8))*(INDEX(DailyScalarsTable,N$5/100,MONTH($A102)))*$B102</f>
        <v>-69596.967523991538</v>
      </c>
      <c r="O102" s="1021">
        <f>(VLOOKUP(YEAR($A102),'NY East Load Projections'!$A$4:$EO$14,((MONTH($A102)-1)*12)+VLOOKUP(O$4,$DE$6:$DF$17,2)+1))*(VLOOKUP($A102,CURVES!$D$9:$K$261,4))*(INDEX(DailyScalarsTable,O$5/100,MONTH($A102)))*$B102</f>
        <v>-81931.33001727119</v>
      </c>
      <c r="P102" s="1021">
        <f>(VLOOKUP(YEAR($A102),'NY East Load Projections'!$A$4:$EO$14,((MONTH($A102)-1)*12)+VLOOKUP(P$4,$DE$6:$DF$17,2)+1))*(VLOOKUP($A102,CURVES!$D$9:$K$261,4))*(INDEX(DailyScalarsTable,P$5/100,MONTH($A102)))*$B102</f>
        <v>-91153.784193321131</v>
      </c>
      <c r="Q102" s="1021">
        <f>(VLOOKUP(YEAR($A102),'NY East Load Projections'!$A$4:$EO$14,((MONTH($A102)-1)*12)+VLOOKUP(Q$4,$DE$6:$DF$17,2)+1))*(VLOOKUP($A102,CURVES!$D$9:$K$261,4))*(INDEX(DailyScalarsTable,Q$5/100,MONTH($A102)))*$B102</f>
        <v>-90876.34868809492</v>
      </c>
      <c r="R102" s="1021">
        <f>(VLOOKUP(YEAR($A102),'NY East Load Projections'!$A$4:$EO$14,((MONTH($A102)-1)*12)+VLOOKUP(R$4,$DE$6:$DF$17,2)+1))*(VLOOKUP($A102,CURVES!$D$9:$K$261,4))*(INDEX(DailyScalarsTable,R$5/100,MONTH($A102)))*$B102</f>
        <v>-89290.437209575408</v>
      </c>
      <c r="S102" s="1021">
        <f>(VLOOKUP(YEAR($A102),'NY East Load Projections'!$A$4:$EO$14,((MONTH($A102)-1)*12)+VLOOKUP(S$4,$DE$6:$DF$17,2)+1))*(VLOOKUP($A102,CURVES!$D$9:$K$261,4))*(INDEX(DailyScalarsTable,S$5/100,MONTH($A102)))*$B102</f>
        <v>-66886.985530068414</v>
      </c>
      <c r="T102" s="1021">
        <f>(VLOOKUP(YEAR($A102),'NY East Load Projections'!$A$4:$EO$14,((MONTH($A102)-1)*12)+VLOOKUP(T$4,$DE$6:$DF$17,2)+1))*(VLOOKUP($A102,CURVES!$D$9:$K$261,4))*(INDEX(DailyScalarsTable,T$5/100,MONTH($A102)))*$B102</f>
        <v>-65743.163139984099</v>
      </c>
      <c r="U102" s="1021">
        <f>(VLOOKUP(YEAR($A102),'NY East Load Projections'!$A$4:$EO$14,((MONTH($A102)-1)*12)+VLOOKUP(U$4,$DE$6:$DF$17,2)+1))*(VLOOKUP($A102,CURVES!$D$9:$K$261,4))*(INDEX(DailyScalarsTable,U$5/100,MONTH($A102)))*$B102</f>
        <v>-63620.431152778256</v>
      </c>
      <c r="V102" s="1021">
        <f>(VLOOKUP(YEAR($A102),'NY East Load Projections'!$A$4:$EO$14,((MONTH($A102)-1)*12)+VLOOKUP(V$4,$DE$6:$DF$17,2)+1))*(VLOOKUP($A102,CURVES!$D$9:$K$261,4))*(INDEX(DailyScalarsTable,V$5/100,MONTH($A102)))*$B102</f>
        <v>-60382.495766496861</v>
      </c>
      <c r="W102" s="1021">
        <f>(VLOOKUP(YEAR($A102),'NY East Load Projections'!$A$4:$EO$14,((MONTH($A102)-1)*12)+VLOOKUP(W$4,$DE$6:$DF$17,2)+1))*(VLOOKUP($A102,CURVES!$D$9:$K$261,4))*(INDEX(DailyScalarsTable,W$5/100,MONTH($A102)))*$B102</f>
        <v>-59167.308614400761</v>
      </c>
      <c r="X102" s="1021">
        <f>(VLOOKUP(YEAR($A102),'NY East Load Projections'!$A$4:$EO$14,((MONTH($A102)-1)*12)+VLOOKUP(X$4,$DE$6:$DF$17,2)+1))*(VLOOKUP($A102,CURVES!$D$9:$K$261,4))*(INDEX(DailyScalarsTable,X$5/100,MONTH($A102)))*$B102</f>
        <v>-61832.794001736336</v>
      </c>
      <c r="Y102" s="1021">
        <f>(VLOOKUP(YEAR($A102),'NY East Load Projections'!$A$4:$EO$14,((MONTH($A102)-1)*12)+VLOOKUP(Y$4,$DE$6:$DF$17,2)+1))*(VLOOKUP($A102,CURVES!$D$9:$K$261,4))*(INDEX(DailyScalarsTable,Y$5/100,MONTH($A102)))*$B102</f>
        <v>-86037.646566712967</v>
      </c>
      <c r="Z102" s="1021">
        <f>(VLOOKUP(YEAR($A102),'NY East Load Projections'!$A$4:$EO$14,((MONTH($A102)-1)*12)+VLOOKUP(Z$4,$DE$6:$DF$17,2)+1))*(VLOOKUP($A102,CURVES!$D$9:$K$261,4))*(INDEX(DailyScalarsTable,Z$5/100,MONTH($A102)))*$B102</f>
        <v>-94406.158830691755</v>
      </c>
      <c r="AA102" s="1021">
        <f>(VLOOKUP(YEAR($A102),'NY East Load Projections'!$A$4:$EO$14,((MONTH($A102)-1)*12)+VLOOKUP(AA$4,$DE$6:$DF$17,2)+1))*(VLOOKUP($A102,CURVES!$D$9:$K$261,4))*(INDEX(DailyScalarsTable,AA$5/100,MONTH($A102)))*$B102</f>
        <v>-90363.075559945806</v>
      </c>
      <c r="AB102" s="1021">
        <f>(VLOOKUP(YEAR($A102),'NY East Load Projections'!$A$4:$EO$14,((MONTH($A102)-1)*12)+VLOOKUP(AB$4,$DE$6:$DF$17,2)+1))*(VLOOKUP($A102,CURVES!$D$9:$K$261,4))*(INDEX(DailyScalarsTable,AB$5/100,MONTH($A102)))*$B102</f>
        <v>-77962.022519598366</v>
      </c>
      <c r="AC102" s="1021">
        <f>(VLOOKUP(YEAR($A102),'NY East Load Projections'!$A$4:$EO$14,((MONTH($A102)-1)*12)+VLOOKUP(AC$4,$DE$6:$DF$17,2)+1))*(VLOOKUP($A102,CURVES!$D$9:$K$261,4))*(INDEX(DailyScalarsTable,AC$5/100,MONTH($A102)))*$B102</f>
        <v>-55448.396091668532</v>
      </c>
      <c r="AD102" s="1021">
        <f>(VLOOKUP(YEAR($A102),'NY East Load Projections'!$A$4:$EO$14,((MONTH($A102)-1)*12)+VLOOKUP(AD$4,$DE$6:$DF$17,2)+1))*(VLOOKUP($A102,CURVES!$D$9:$K$261,4))*(INDEX(DailyScalarsTable,AD$5/100,MONTH($A102)))*$B102</f>
        <v>-45391.413720812045</v>
      </c>
      <c r="AE102" s="1021">
        <f>(VLOOKUP(YEAR($A102),'NY East Load Projections'!$A$4:$EO$14,((MONTH($A102)-1)*12)+VLOOKUP(AE$4,$DE$6:$DF$17,2)+1))*(VLOOKUP($A102,CURVES!$D$9:$K$261,8))*(INDEX(DailyScalarsTable,AE$5/100,MONTH($A102)))*$B102</f>
        <v>-39685.593863209368</v>
      </c>
      <c r="AF102" s="1021"/>
      <c r="AG102" s="1021">
        <f>(VLOOKUP(YEAR($A102),'NY East Load Projections'!$A$4:$EO$14,((MONTH($A102)-1)*12)+VLOOKUP(AG$4,$DE$6:$DF$17,2)+1))*(VLOOKUP($A102,CURVES!$D$9:$T$261,8))*(INDEX(DailyScalarsTable,AG$5/100,MONTH($A102)))*$C102</f>
        <v>-8346.7235648021851</v>
      </c>
      <c r="AH102" s="1021">
        <f>(VLOOKUP(YEAR($A102),'NY East Load Projections'!$A$4:$EO$14,((MONTH($A102)-1)*12)+VLOOKUP(AH$4,$DE$6:$DF$17,2)+1))*(VLOOKUP($A102,CURVES!$D$9:$T$261,8))*(INDEX(DailyScalarsTable,AH$5/100,MONTH($A102)))*$C102</f>
        <v>-8184.1061356460705</v>
      </c>
      <c r="AI102" s="1021">
        <f>(VLOOKUP(YEAR($A102),'NY East Load Projections'!$A$4:$EO$14,((MONTH($A102)-1)*12)+VLOOKUP(AI$4,$DE$6:$DF$17,2)+1))*(VLOOKUP($A102,CURVES!$D$9:$T$261,8))*(INDEX(DailyScalarsTable,AI$5/100,MONTH($A102)))*$C102</f>
        <v>-7499.5103434532139</v>
      </c>
      <c r="AJ102" s="1021">
        <f>(VLOOKUP(YEAR($A102),'NY East Load Projections'!$A$4:$EO$14,((MONTH($A102)-1)*12)+VLOOKUP(AJ$4,$DE$6:$DF$17,2)+1))*(VLOOKUP($A102,CURVES!$D$9:$T$261,8))*(INDEX(DailyScalarsTable,AJ$5/100,MONTH($A102)))*$C102</f>
        <v>-7494.9760232442486</v>
      </c>
      <c r="AK102" s="1021">
        <f>(VLOOKUP(YEAR($A102),'NY East Load Projections'!$A$4:$EO$14,((MONTH($A102)-1)*12)+VLOOKUP(AK$4,$DE$6:$DF$17,2)+1))*(VLOOKUP($A102,CURVES!$D$9:$T$261,8))*(INDEX(DailyScalarsTable,AK$5/100,MONTH($A102)))*$C102</f>
        <v>-7886.4164184110041</v>
      </c>
      <c r="AL102" s="1021">
        <f>(VLOOKUP(YEAR($A102),'NY East Load Projections'!$A$4:$EO$14,((MONTH($A102)-1)*12)+VLOOKUP(AL$4,$DE$6:$DF$17,2)+1))*(VLOOKUP($A102,CURVES!$D$9:$T$261,8))*(INDEX(DailyScalarsTable,AL$5/100,MONTH($A102)))*$C102</f>
        <v>-8416.5252125132902</v>
      </c>
      <c r="AM102" s="1021">
        <f>(VLOOKUP(YEAR($A102),'NY East Load Projections'!$A$4:$EO$14,((MONTH($A102)-1)*12)+VLOOKUP(AM$4,$DE$6:$DF$17,2)+1))*(VLOOKUP($A102,CURVES!$D$9:$T$261,8))*(INDEX(DailyScalarsTable,AM$5/100,MONTH($A102)))*$C102</f>
        <v>-16117.543300473757</v>
      </c>
      <c r="AN102" s="1021">
        <f>(VLOOKUP(YEAR($A102),'NY East Load Projections'!$A$4:$EO$14,((MONTH($A102)-1)*12)+VLOOKUP(AN$4,$DE$6:$DF$17,2)+1))*(VLOOKUP($A102,SatSunCurve,4))*(INDEX(DailyScalarsTable,AN$5/100,MONTH($A102)))*$C102</f>
        <v>-15208.102978696041</v>
      </c>
      <c r="AO102" s="1021">
        <f>(VLOOKUP(YEAR($A102),'NY East Load Projections'!$A$4:$EO$14,((MONTH($A102)-1)*12)+VLOOKUP(AO$4,$DE$6:$DF$17,2)+1))*(VLOOKUP($A102,SatSunCurve,4))*(INDEX(DailyScalarsTable,AO$5/100,MONTH($A102)))*$C102</f>
        <v>-17154.764696378305</v>
      </c>
      <c r="AP102" s="1021">
        <f>(VLOOKUP(YEAR($A102),'NY East Load Projections'!$A$4:$EO$14,((MONTH($A102)-1)*12)+VLOOKUP(AP$4,$DE$6:$DF$17,2)+1))*(VLOOKUP($A102,SatSunCurve,4))*(INDEX(DailyScalarsTable,AP$5/100,MONTH($A102)))*$C102</f>
        <v>-17102.552483219024</v>
      </c>
      <c r="AQ102" s="1021">
        <f>(VLOOKUP(YEAR($A102),'NY East Load Projections'!$A$4:$EO$14,((MONTH($A102)-1)*12)+VLOOKUP(AQ$4,$DE$6:$DF$17,2)+1))*(VLOOKUP($A102,SatSunCurve,4))*(INDEX(DailyScalarsTable,AQ$5/100,MONTH($A102)))*$C102</f>
        <v>-16804.090510586178</v>
      </c>
      <c r="AR102" s="1021">
        <f>(VLOOKUP(YEAR($A102),'NY East Load Projections'!$A$4:$EO$14,((MONTH($A102)-1)*12)+VLOOKUP(AR$4,$DE$6:$DF$17,2)+1))*(VLOOKUP($A102,SatSunCurve,4))*(INDEX(DailyScalarsTable,AR$5/100,MONTH($A102)))*$C102</f>
        <v>-12587.853682353834</v>
      </c>
      <c r="AS102" s="1021">
        <f>(VLOOKUP(YEAR($A102),'NY East Load Projections'!$A$4:$EO$14,((MONTH($A102)-1)*12)+VLOOKUP(AS$4,$DE$6:$DF$17,2)+1))*(VLOOKUP($A102,SatSunCurve,4))*(INDEX(DailyScalarsTable,AS$5/100,MONTH($A102)))*$C102</f>
        <v>-12298.366562362198</v>
      </c>
      <c r="AT102" s="1021">
        <f>(VLOOKUP(YEAR($A102),'NY East Load Projections'!$A$4:$EO$14,((MONTH($A102)-1)*12)+VLOOKUP(AT$4,$DE$6:$DF$17,2)+1))*(VLOOKUP($A102,SatSunCurve,4))*(INDEX(DailyScalarsTable,AT$5/100,MONTH($A102)))*$C102</f>
        <v>-11901.273772094071</v>
      </c>
      <c r="AU102" s="1021">
        <f>(VLOOKUP(YEAR($A102),'NY East Load Projections'!$A$4:$EO$14,((MONTH($A102)-1)*12)+VLOOKUP(AU$4,$DE$6:$DF$17,2)+1))*(VLOOKUP($A102,SatSunCurve,4))*(INDEX(DailyScalarsTable,AU$5/100,MONTH($A102)))*$C102</f>
        <v>-11295.563392735801</v>
      </c>
      <c r="AV102" s="1021">
        <f>(VLOOKUP(YEAR($A102),'NY East Load Projections'!$A$4:$EO$14,((MONTH($A102)-1)*12)+VLOOKUP(AV$4,$DE$6:$DF$17,2)+1))*(VLOOKUP($A102,SatSunCurve,4))*(INDEX(DailyScalarsTable,AV$5/100,MONTH($A102)))*$C102</f>
        <v>-11068.242157727234</v>
      </c>
      <c r="AW102" s="1021">
        <f>(VLOOKUP(YEAR($A102),'NY East Load Projections'!$A$4:$EO$14,((MONTH($A102)-1)*12)+VLOOKUP(AW$4,$DE$6:$DF$17,2)+1))*(VLOOKUP($A102,SatSunCurve,4))*(INDEX(DailyScalarsTable,AW$5/100,MONTH($A102)))*$C102</f>
        <v>-11424.489239417479</v>
      </c>
      <c r="AX102" s="1021">
        <f>(VLOOKUP(YEAR($A102),'NY East Load Projections'!$A$4:$EO$14,((MONTH($A102)-1)*12)+VLOOKUP(AX$4,$DE$6:$DF$17,2)+1))*(VLOOKUP($A102,SatSunCurve,4))*(INDEX(DailyScalarsTable,AX$5/100,MONTH($A102)))*$C102</f>
        <v>-15896.680446926181</v>
      </c>
      <c r="AY102" s="1021">
        <f>(VLOOKUP(YEAR($A102),'NY East Load Projections'!$A$4:$EO$14,((MONTH($A102)-1)*12)+VLOOKUP(AY$4,$DE$6:$DF$17,2)+1))*(VLOOKUP($A102,SatSunCurve,4))*(INDEX(DailyScalarsTable,AY$5/100,MONTH($A102)))*$C102</f>
        <v>-17442.882261889841</v>
      </c>
      <c r="AZ102" s="1021">
        <f>(VLOOKUP(YEAR($A102),'NY East Load Projections'!$A$4:$EO$14,((MONTH($A102)-1)*12)+VLOOKUP(AZ$4,$DE$6:$DF$17,2)+1))*(VLOOKUP($A102,SatSunCurve,4))*(INDEX(DailyScalarsTable,AZ$5/100,MONTH($A102)))*$C102</f>
        <v>-16695.865050935263</v>
      </c>
      <c r="BA102" s="1021">
        <f>(VLOOKUP(YEAR($A102),'NY East Load Projections'!$A$4:$EO$14,((MONTH($A102)-1)*12)+VLOOKUP(BA$4,$DE$6:$DF$17,2)+1))*(VLOOKUP($A102,SatSunCurve,4))*(INDEX(DailyScalarsTable,BA$5/100,MONTH($A102)))*$C102</f>
        <v>-15092.499509545623</v>
      </c>
      <c r="BB102" s="1021">
        <f>(VLOOKUP(YEAR($A102),'NY East Load Projections'!$A$4:$EO$14,((MONTH($A102)-1)*12)+VLOOKUP(BB$4,$DE$6:$DF$17,2)+1))*(VLOOKUP($A102,SatSunCurve,4))*(INDEX(DailyScalarsTable,BB$5/100,MONTH($A102)))*$C102</f>
        <v>-10734.13520805245</v>
      </c>
      <c r="BC102" s="1021">
        <f>(VLOOKUP(YEAR($A102),'NY East Load Projections'!$A$4:$EO$14,((MONTH($A102)-1)*12)+VLOOKUP(BC$4,$DE$6:$DF$17,2)+1))*(VLOOKUP($A102,SatSunCurve,4))*(INDEX(DailyScalarsTable,BC$5/100,MONTH($A102)))*$C102</f>
        <v>-8787.2257180952802</v>
      </c>
      <c r="BD102" s="1021">
        <f>(VLOOKUP(YEAR($A102),'NY East Load Projections'!$A$4:$EO$14,((MONTH($A102)-1)*12)+VLOOKUP(BD$4,$DE$6:$DF$17,2)+1))*(VLOOKUP($A102,CURVES!$D$9:$T$261,8))*(INDEX(DailyScalarsTable,BD$5/100,MONTH($A102)))*$C102</f>
        <v>-9585.0513921251713</v>
      </c>
      <c r="BE102" s="1021"/>
      <c r="BF102" s="1021">
        <f>(VLOOKUP(YEAR($A102),'NY East Load Projections'!$A$4:$EO$14,((MONTH($A102)-1)*12)+VLOOKUP(BF$4,$DE$6:$DF$17,2)+1))*(VLOOKUP($A102,CURVES!$D$9:$T$261,8))*(INDEX(DailyScalarsTable,BF$5/100,MONTH($A102)))*$D102</f>
        <v>-6677.3788518417477</v>
      </c>
      <c r="BG102" s="1021">
        <f>(VLOOKUP(YEAR($A102),'NY East Load Projections'!$A$4:$EO$14,((MONTH($A102)-1)*12)+VLOOKUP(BG$4,$DE$6:$DF$17,2)+1))*(VLOOKUP($A102,CURVES!$D$9:$T$261,8))*(INDEX(DailyScalarsTable,BG$5/100,MONTH($A102)))*$D102</f>
        <v>-6547.2849085168564</v>
      </c>
      <c r="BH102" s="1021">
        <f>(VLOOKUP(YEAR($A102),'NY East Load Projections'!$A$4:$EO$14,((MONTH($A102)-1)*12)+VLOOKUP(BH$4,$DE$6:$DF$17,2)+1))*(VLOOKUP($A102,CURVES!$D$9:$T$261,8))*(INDEX(DailyScalarsTable,BH$5/100,MONTH($A102)))*$D102</f>
        <v>-5999.6082747625715</v>
      </c>
      <c r="BI102" s="1021">
        <f>(VLOOKUP(YEAR($A102),'NY East Load Projections'!$A$4:$EO$14,((MONTH($A102)-1)*12)+VLOOKUP(BI$4,$DE$6:$DF$17,2)+1))*(VLOOKUP($A102,CURVES!$D$9:$T$261,8))*(INDEX(DailyScalarsTable,BI$5/100,MONTH($A102)))*$D102</f>
        <v>-5995.9808185953989</v>
      </c>
      <c r="BJ102" s="1021">
        <f>(VLOOKUP(YEAR($A102),'NY East Load Projections'!$A$4:$EO$14,((MONTH($A102)-1)*12)+VLOOKUP(BJ$4,$DE$6:$DF$17,2)+1))*(VLOOKUP($A102,CURVES!$D$9:$T$261,8))*(INDEX(DailyScalarsTable,BJ$5/100,MONTH($A102)))*$D102</f>
        <v>-6309.1331347288033</v>
      </c>
      <c r="BK102" s="1021">
        <f>(VLOOKUP(YEAR($A102),'NY East Load Projections'!$A$4:$EO$14,((MONTH($A102)-1)*12)+VLOOKUP(BK$4,$DE$6:$DF$17,2)+1))*(VLOOKUP($A102,CURVES!$D$9:$T$261,8))*(INDEX(DailyScalarsTable,BK$5/100,MONTH($A102)))*$D102</f>
        <v>-6733.2201700106325</v>
      </c>
      <c r="BL102" s="1021">
        <f>(VLOOKUP(YEAR($A102),'NY East Load Projections'!$A$4:$EO$14,((MONTH($A102)-1)*12)+VLOOKUP(BL$4,$DE$6:$DF$17,2)+1))*(VLOOKUP($A102,CURVES!$D$9:$T$261,8))*(INDEX(DailyScalarsTable,BL$5/100,MONTH($A102)))*$D102</f>
        <v>-12894.034640379006</v>
      </c>
      <c r="BM102" s="1021">
        <f>(VLOOKUP(YEAR($A102),'NY East Load Projections'!$A$4:$EO$14,((MONTH($A102)-1)*12)+VLOOKUP(BM$4,$DE$6:$DF$17,2)+1))*(VLOOKUP($A102,SatSunCurve,8))*(INDEX(DailyScalarsTable,BM$5/100,MONTH($A102)))*$D102</f>
        <v>-12463.274577065476</v>
      </c>
      <c r="BN102" s="1021">
        <f>(VLOOKUP(YEAR($A102),'NY East Load Projections'!$A$4:$EO$14,((MONTH($A102)-1)*12)+VLOOKUP(BN$4,$DE$6:$DF$17,2)+1))*(VLOOKUP($A102,SatSunCurve,8))*(INDEX(DailyScalarsTable,BN$5/100,MONTH($A102)))*$D102</f>
        <v>-14058.593830895004</v>
      </c>
      <c r="BO102" s="1021">
        <f>(VLOOKUP(YEAR($A102),'NY East Load Projections'!$A$4:$EO$14,((MONTH($A102)-1)*12)+VLOOKUP(BO$4,$DE$6:$DF$17,2)+1))*(VLOOKUP($A102,SatSunCurve,8))*(INDEX(DailyScalarsTable,BO$5/100,MONTH($A102)))*$D102</f>
        <v>-14015.805118207305</v>
      </c>
      <c r="BP102" s="1021">
        <f>(VLOOKUP(YEAR($A102),'NY East Load Projections'!$A$4:$EO$14,((MONTH($A102)-1)*12)+VLOOKUP(BP$4,$DE$6:$DF$17,2)+1))*(VLOOKUP($A102,SatSunCurve,8))*(INDEX(DailyScalarsTable,BP$5/100,MONTH($A102)))*$D102</f>
        <v>-13771.210935688512</v>
      </c>
      <c r="BQ102" s="1021">
        <f>(VLOOKUP(YEAR($A102),'NY East Load Projections'!$A$4:$EO$14,((MONTH($A102)-1)*12)+VLOOKUP(BQ$4,$DE$6:$DF$17,2)+1))*(VLOOKUP($A102,SatSunCurve,8))*(INDEX(DailyScalarsTable,BQ$5/100,MONTH($A102)))*$D102</f>
        <v>-10315.939930106402</v>
      </c>
      <c r="BR102" s="1021">
        <f>(VLOOKUP(YEAR($A102),'NY East Load Projections'!$A$4:$EO$14,((MONTH($A102)-1)*12)+VLOOKUP(BR$4,$DE$6:$DF$17,2)+1))*(VLOOKUP($A102,SatSunCurve,8))*(INDEX(DailyScalarsTable,BR$5/100,MONTH($A102)))*$D102</f>
        <v>-10078.700777528742</v>
      </c>
      <c r="BS102" s="1021">
        <f>(VLOOKUP(YEAR($A102),'NY East Load Projections'!$A$4:$EO$14,((MONTH($A102)-1)*12)+VLOOKUP(BS$4,$DE$6:$DF$17,2)+1))*(VLOOKUP($A102,SatSunCurve,8))*(INDEX(DailyScalarsTable,BS$5/100,MONTH($A102)))*$D102</f>
        <v>-9753.2771211649233</v>
      </c>
      <c r="BT102" s="1021">
        <f>(VLOOKUP(YEAR($A102),'NY East Load Projections'!$A$4:$EO$14,((MONTH($A102)-1)*12)+VLOOKUP(BT$4,$DE$6:$DF$17,2)+1))*(VLOOKUP($A102,SatSunCurve,8))*(INDEX(DailyScalarsTable,BT$5/100,MONTH($A102)))*$D102</f>
        <v>-9256.8881380882267</v>
      </c>
      <c r="BU102" s="1021">
        <f>(VLOOKUP(YEAR($A102),'NY East Load Projections'!$A$4:$EO$14,((MONTH($A102)-1)*12)+VLOOKUP(BU$4,$DE$6:$DF$17,2)+1))*(VLOOKUP($A102,SatSunCurve,8))*(INDEX(DailyScalarsTable,BU$5/100,MONTH($A102)))*$D102</f>
        <v>-9070.5948855321258</v>
      </c>
      <c r="BV102" s="1021">
        <f>(VLOOKUP(YEAR($A102),'NY East Load Projections'!$A$4:$EO$14,((MONTH($A102)-1)*12)+VLOOKUP(BV$4,$DE$6:$DF$17,2)+1))*(VLOOKUP($A102,SatSunCurve,8))*(INDEX(DailyScalarsTable,BV$5/100,MONTH($A102)))*$D102</f>
        <v>-9362.5448547428477</v>
      </c>
      <c r="BW102" s="1021">
        <f>(VLOOKUP(YEAR($A102),'NY East Load Projections'!$A$4:$EO$14,((MONTH($A102)-1)*12)+VLOOKUP(BW$4,$DE$6:$DF$17,2)+1))*(VLOOKUP($A102,SatSunCurve,8))*(INDEX(DailyScalarsTable,BW$5/100,MONTH($A102)))*$D102</f>
        <v>-13027.574415523612</v>
      </c>
      <c r="BX102" s="1021">
        <f>(VLOOKUP(YEAR($A102),'NY East Load Projections'!$A$4:$EO$14,((MONTH($A102)-1)*12)+VLOOKUP(BX$4,$DE$6:$DF$17,2)+1))*(VLOOKUP($A102,SatSunCurve,8))*(INDEX(DailyScalarsTable,BX$5/100,MONTH($A102)))*$D102</f>
        <v>-14294.710612486777</v>
      </c>
      <c r="BY102" s="1021">
        <f>(VLOOKUP(YEAR($A102),'NY East Load Projections'!$A$4:$EO$14,((MONTH($A102)-1)*12)+VLOOKUP(BY$4,$DE$6:$DF$17,2)+1))*(VLOOKUP($A102,SatSunCurve,8))*(INDEX(DailyScalarsTable,BY$5/100,MONTH($A102)))*$D102</f>
        <v>-13682.518504966025</v>
      </c>
      <c r="BZ102" s="1021">
        <f>(VLOOKUP(YEAR($A102),'NY East Load Projections'!$A$4:$EO$14,((MONTH($A102)-1)*12)+VLOOKUP(BZ$4,$DE$6:$DF$17,2)+1))*(VLOOKUP($A102,SatSunCurve,8))*(INDEX(DailyScalarsTable,BZ$5/100,MONTH($A102)))*$D102</f>
        <v>-12368.535753945902</v>
      </c>
      <c r="CA102" s="1021">
        <f>(VLOOKUP(YEAR($A102),'NY East Load Projections'!$A$4:$EO$14,((MONTH($A102)-1)*12)+VLOOKUP(CA$4,$DE$6:$DF$17,2)+1))*(VLOOKUP($A102,SatSunCurve,8))*(INDEX(DailyScalarsTable,CA$5/100,MONTH($A102)))*$D102</f>
        <v>-8796.7890954387931</v>
      </c>
      <c r="CB102" s="1021">
        <f>(VLOOKUP(YEAR($A102),'NY East Load Projections'!$A$4:$EO$14,((MONTH($A102)-1)*12)+VLOOKUP(CB$4,$DE$6:$DF$17,2)+1))*(VLOOKUP($A102,SatSunCurve,8))*(INDEX(DailyScalarsTable,CB$5/100,MONTH($A102)))*$D102</f>
        <v>-7201.2667884145931</v>
      </c>
      <c r="CC102" s="1021">
        <f>(VLOOKUP(YEAR($A102),'NY East Load Projections'!$A$4:$EO$14,((MONTH($A102)-1)*12)+VLOOKUP(CC$4,$DE$6:$DF$17,2)+1))*(VLOOKUP($A102,CURVES!$D$9:$T$261,8))*(INDEX(DailyScalarsTable,CC$5/100,MONTH($A102)))*$D102</f>
        <v>-7668.0411137001365</v>
      </c>
      <c r="CE102" s="1021">
        <f>(VLOOKUP(YEAR($A102),'NY East Load Projections'!$A$4:$EO$14,((MONTH($A102)-1)*12)+VLOOKUP(CE$4,$DE$6:$DF$17,2)+1))*(VLOOKUP($A102,CURVES!$D$9:$T$261,8))*(INDEX(DailyScalarsTable,CE$5/100,MONTH($A102)))*$E102</f>
        <v>-1669.3447129604369</v>
      </c>
      <c r="CF102" s="1021">
        <f>(VLOOKUP(YEAR($A102),'NY East Load Projections'!$A$4:$EO$14,((MONTH($A102)-1)*12)+VLOOKUP(CF$4,$DE$6:$DF$17,2)+1))*(VLOOKUP($A102,CURVES!$D$9:$T$261,8))*(INDEX(DailyScalarsTable,CF$5/100,MONTH($A102)))*$E102</f>
        <v>-1636.8212271292141</v>
      </c>
      <c r="CG102" s="1021">
        <f>(VLOOKUP(YEAR($A102),'NY East Load Projections'!$A$4:$EO$14,((MONTH($A102)-1)*12)+VLOOKUP(CG$4,$DE$6:$DF$17,2)+1))*(VLOOKUP($A102,CURVES!$D$9:$T$261,8))*(INDEX(DailyScalarsTable,CG$5/100,MONTH($A102)))*$E102</f>
        <v>-1499.9020686906429</v>
      </c>
      <c r="CH102" s="1021">
        <f>(VLOOKUP(YEAR($A102),'NY East Load Projections'!$A$4:$EO$14,((MONTH($A102)-1)*12)+VLOOKUP(CH$4,$DE$6:$DF$17,2)+1))*(VLOOKUP($A102,CURVES!$D$9:$T$261,8))*(INDEX(DailyScalarsTable,CH$5/100,MONTH($A102)))*$E102</f>
        <v>-1498.9952046488497</v>
      </c>
      <c r="CI102" s="1021">
        <f>(VLOOKUP(YEAR($A102),'NY East Load Projections'!$A$4:$EO$14,((MONTH($A102)-1)*12)+VLOOKUP(CI$4,$DE$6:$DF$17,2)+1))*(VLOOKUP($A102,CURVES!$D$9:$T$261,8))*(INDEX(DailyScalarsTable,CI$5/100,MONTH($A102)))*$E102</f>
        <v>-1577.2832836822008</v>
      </c>
      <c r="CJ102" s="1021">
        <f>(VLOOKUP(YEAR($A102),'NY East Load Projections'!$A$4:$EO$14,((MONTH($A102)-1)*12)+VLOOKUP(CJ$4,$DE$6:$DF$17,2)+1))*(VLOOKUP($A102,CURVES!$D$9:$T$261,8))*(INDEX(DailyScalarsTable,CJ$5/100,MONTH($A102)))*$E102</f>
        <v>-1683.3050425026581</v>
      </c>
      <c r="CK102" s="1021">
        <f>(VLOOKUP(YEAR($A102),'NY East Load Projections'!$A$4:$EO$14,((MONTH($A102)-1)*12)+VLOOKUP(CK$4,$DE$6:$DF$17,2)+1))*(VLOOKUP($A102,CURVES!$D$9:$T$261,8))*(INDEX(DailyScalarsTable,CK$5/100,MONTH($A102)))*$E102</f>
        <v>-3223.5086600947516</v>
      </c>
      <c r="CL102" s="1021">
        <f>(VLOOKUP(YEAR($A102),'NY East Load Projections'!$A$4:$EO$14,((MONTH($A102)-1)*12)+VLOOKUP(CL$4,$DE$6:$DF$17,2)+1))*(VLOOKUP($A102,SatSunCurve,8))*(INDEX(DailyScalarsTable,CL$5/100,MONTH($A102)))*$E102</f>
        <v>-3115.8186442663691</v>
      </c>
      <c r="CM102" s="1021">
        <f>(VLOOKUP(YEAR($A102),'NY East Load Projections'!$A$4:$EO$14,((MONTH($A102)-1)*12)+VLOOKUP(CM$4,$DE$6:$DF$17,2)+1))*(VLOOKUP($A102,SatSunCurve,8))*(INDEX(DailyScalarsTable,CM$5/100,MONTH($A102)))*$E102</f>
        <v>-3514.6484577237511</v>
      </c>
      <c r="CN102" s="1021">
        <f>(VLOOKUP(YEAR($A102),'NY East Load Projections'!$A$4:$EO$14,((MONTH($A102)-1)*12)+VLOOKUP(CN$4,$DE$6:$DF$17,2)+1))*(VLOOKUP($A102,SatSunCurve,8))*(INDEX(DailyScalarsTable,CN$5/100,MONTH($A102)))*$E102</f>
        <v>-3503.9512795518262</v>
      </c>
      <c r="CO102" s="1021">
        <f>(VLOOKUP(YEAR($A102),'NY East Load Projections'!$A$4:$EO$14,((MONTH($A102)-1)*12)+VLOOKUP(CO$4,$DE$6:$DF$17,2)+1))*(VLOOKUP($A102,SatSunCurve,8))*(INDEX(DailyScalarsTable,CO$5/100,MONTH($A102)))*$E102</f>
        <v>-3442.802733922128</v>
      </c>
      <c r="CP102" s="1021">
        <f>(VLOOKUP(YEAR($A102),'NY East Load Projections'!$A$4:$EO$14,((MONTH($A102)-1)*12)+VLOOKUP(CP$4,$DE$6:$DF$17,2)+1))*(VLOOKUP($A102,SatSunCurve,8))*(INDEX(DailyScalarsTable,CP$5/100,MONTH($A102)))*$E102</f>
        <v>-2578.9849825266006</v>
      </c>
      <c r="CQ102" s="1021">
        <f>(VLOOKUP(YEAR($A102),'NY East Load Projections'!$A$4:$EO$14,((MONTH($A102)-1)*12)+VLOOKUP(CQ$4,$DE$6:$DF$17,2)+1))*(VLOOKUP($A102,SatSunCurve,8))*(INDEX(DailyScalarsTable,CQ$5/100,MONTH($A102)))*$E102</f>
        <v>-2519.6751943821855</v>
      </c>
      <c r="CR102" s="1021">
        <f>(VLOOKUP(YEAR($A102),'NY East Load Projections'!$A$4:$EO$14,((MONTH($A102)-1)*12)+VLOOKUP(CR$4,$DE$6:$DF$17,2)+1))*(VLOOKUP($A102,SatSunCurve,8))*(INDEX(DailyScalarsTable,CR$5/100,MONTH($A102)))*$E102</f>
        <v>-2438.3192802912308</v>
      </c>
      <c r="CS102" s="1021">
        <f>(VLOOKUP(YEAR($A102),'NY East Load Projections'!$A$4:$EO$14,((MONTH($A102)-1)*12)+VLOOKUP(CS$4,$DE$6:$DF$17,2)+1))*(VLOOKUP($A102,SatSunCurve,8))*(INDEX(DailyScalarsTable,CS$5/100,MONTH($A102)))*$E102</f>
        <v>-2314.2220345220567</v>
      </c>
      <c r="CT102" s="1021">
        <f>(VLOOKUP(YEAR($A102),'NY East Load Projections'!$A$4:$EO$14,((MONTH($A102)-1)*12)+VLOOKUP(CT$4,$DE$6:$DF$17,2)+1))*(VLOOKUP($A102,SatSunCurve,8))*(INDEX(DailyScalarsTable,CT$5/100,MONTH($A102)))*$E102</f>
        <v>-2267.6487213830314</v>
      </c>
      <c r="CU102" s="1021">
        <f>(VLOOKUP(YEAR($A102),'NY East Load Projections'!$A$4:$EO$14,((MONTH($A102)-1)*12)+VLOOKUP(CU$4,$DE$6:$DF$17,2)+1))*(VLOOKUP($A102,SatSunCurve,8))*(INDEX(DailyScalarsTable,CU$5/100,MONTH($A102)))*$E102</f>
        <v>-2340.6362136857119</v>
      </c>
      <c r="CV102" s="1021">
        <f>(VLOOKUP(YEAR($A102),'NY East Load Projections'!$A$4:$EO$14,((MONTH($A102)-1)*12)+VLOOKUP(CV$4,$DE$6:$DF$17,2)+1))*(VLOOKUP($A102,SatSunCurve,8))*(INDEX(DailyScalarsTable,CV$5/100,MONTH($A102)))*$E102</f>
        <v>-3256.8936038809029</v>
      </c>
      <c r="CW102" s="1021">
        <f>(VLOOKUP(YEAR($A102),'NY East Load Projections'!$A$4:$EO$14,((MONTH($A102)-1)*12)+VLOOKUP(CW$4,$DE$6:$DF$17,2)+1))*(VLOOKUP($A102,SatSunCurve,8))*(INDEX(DailyScalarsTable,CW$5/100,MONTH($A102)))*$E102</f>
        <v>-3573.6776531216942</v>
      </c>
      <c r="CX102" s="1021">
        <f>(VLOOKUP(YEAR($A102),'NY East Load Projections'!$A$4:$EO$14,((MONTH($A102)-1)*12)+VLOOKUP(CX$4,$DE$6:$DF$17,2)+1))*(VLOOKUP($A102,SatSunCurve,8))*(INDEX(DailyScalarsTable,CX$5/100,MONTH($A102)))*$E102</f>
        <v>-3420.6296262415062</v>
      </c>
      <c r="CY102" s="1021">
        <f>(VLOOKUP(YEAR($A102),'NY East Load Projections'!$A$4:$EO$14,((MONTH($A102)-1)*12)+VLOOKUP(CY$4,$DE$6:$DF$17,2)+1))*(VLOOKUP($A102,SatSunCurve,8))*(INDEX(DailyScalarsTable,CY$5/100,MONTH($A102)))*$E102</f>
        <v>-3092.1339384864755</v>
      </c>
      <c r="CZ102" s="1021">
        <f>(VLOOKUP(YEAR($A102),'NY East Load Projections'!$A$4:$EO$14,((MONTH($A102)-1)*12)+VLOOKUP(CZ$4,$DE$6:$DF$17,2)+1))*(VLOOKUP($A102,SatSunCurve,8))*(INDEX(DailyScalarsTable,CZ$5/100,MONTH($A102)))*$E102</f>
        <v>-2199.1972738596983</v>
      </c>
      <c r="DA102" s="1021">
        <f>(VLOOKUP(YEAR($A102),'NY East Load Projections'!$A$4:$EO$14,((MONTH($A102)-1)*12)+VLOOKUP(DA$4,$DE$6:$DF$17,2)+1))*(VLOOKUP($A102,SatSunCurve,8))*(INDEX(DailyScalarsTable,DA$5/100,MONTH($A102)))*$E102</f>
        <v>-1800.3166971036483</v>
      </c>
      <c r="DB102" s="1021">
        <f>(VLOOKUP(YEAR($A102),'NY East Load Projections'!$A$4:$EO$14,((MONTH($A102)-1)*12)+VLOOKUP(DB$4,$DE$6:$DF$17,2)+1))*(VLOOKUP($A102,CURVES!$D$9:$T$261,8))*(INDEX(DailyScalarsTable,DB$5/100,MONTH($A102)))*$E102</f>
        <v>-1917.0102784250341</v>
      </c>
      <c r="DH102" s="1021">
        <f t="shared" si="2"/>
        <v>-2082129.7218006044</v>
      </c>
      <c r="DI102">
        <f ca="1">CALC!J122</f>
        <v>0.52106058799387756</v>
      </c>
      <c r="DJ102" s="1029">
        <f t="shared" ca="1" si="3"/>
        <v>-1084915.7371209515</v>
      </c>
    </row>
    <row r="103" spans="1:114" x14ac:dyDescent="0.25">
      <c r="A103" s="244">
        <v>39845</v>
      </c>
      <c r="B103" s="13">
        <v>20</v>
      </c>
      <c r="C103" s="210">
        <v>4</v>
      </c>
      <c r="D103" s="210">
        <v>4</v>
      </c>
      <c r="E103" s="210">
        <v>0</v>
      </c>
      <c r="F103" s="13">
        <v>28</v>
      </c>
      <c r="H103" s="1021">
        <f>(VLOOKUP(YEAR($A103),'NY East Load Projections'!$A$4:$EO$14,((MONTH($A103)-1)*12)+VLOOKUP(H$4,$DE$6:$DF$17,2)+1))*(VLOOKUP($A103,CURVES!$D$9:$K$261,8))*(INDEX(DailyScalarsTable,H$5/100,MONTH($A103)))*$B103</f>
        <v>-30998.450669861599</v>
      </c>
      <c r="I103" s="1021">
        <f>(VLOOKUP(YEAR($A103),'NY East Load Projections'!$A$4:$EO$14,((MONTH($A103)-1)*12)+VLOOKUP(I$4,$DE$6:$DF$17,2)+1))*(VLOOKUP($A103,CURVES!$D$9:$K$261,8))*(INDEX(DailyScalarsTable,I$5/100,MONTH($A103)))*$B103</f>
        <v>-30394.514488602072</v>
      </c>
      <c r="J103" s="1021">
        <f>(VLOOKUP(YEAR($A103),'NY East Load Projections'!$A$4:$EO$14,((MONTH($A103)-1)*12)+VLOOKUP(J$4,$DE$6:$DF$17,2)+1))*(VLOOKUP($A103,CURVES!$D$9:$K$261,8))*(INDEX(DailyScalarsTable,J$5/100,MONTH($A103)))*$B103</f>
        <v>-27852.03075491585</v>
      </c>
      <c r="K103" s="1021">
        <f>(VLOOKUP(YEAR($A103),'NY East Load Projections'!$A$4:$EO$14,((MONTH($A103)-1)*12)+VLOOKUP(K$4,$DE$6:$DF$17,2)+1))*(VLOOKUP($A103,CURVES!$D$9:$K$261,8))*(INDEX(DailyScalarsTable,K$5/100,MONTH($A103)))*$B103</f>
        <v>-27835.190985367026</v>
      </c>
      <c r="L103" s="1021">
        <f>(VLOOKUP(YEAR($A103),'NY East Load Projections'!$A$4:$EO$14,((MONTH($A103)-1)*12)+VLOOKUP(L$4,$DE$6:$DF$17,2)+1))*(VLOOKUP($A103,CURVES!$D$9:$K$261,8))*(INDEX(DailyScalarsTable,L$5/100,MONTH($A103)))*$B103</f>
        <v>-31287.142836280043</v>
      </c>
      <c r="M103" s="1021">
        <f>(VLOOKUP(YEAR($A103),'NY East Load Projections'!$A$4:$EO$14,((MONTH($A103)-1)*12)+VLOOKUP(M$4,$DE$6:$DF$17,2)+1))*(VLOOKUP($A103,CURVES!$D$9:$K$261,8))*(INDEX(DailyScalarsTable,M$5/100,MONTH($A103)))*$B103</f>
        <v>-33390.200635907138</v>
      </c>
      <c r="N103" s="1021">
        <f>(VLOOKUP(YEAR($A103),'NY East Load Projections'!$A$4:$EO$14,((MONTH($A103)-1)*12)+VLOOKUP(N$4,$DE$6:$DF$17,2)+1))*(VLOOKUP($A103,CURVES!$D$9:$K$261,8))*(INDEX(DailyScalarsTable,N$5/100,MONTH($A103)))*$B103</f>
        <v>-63941.82765122797</v>
      </c>
      <c r="O103" s="1021">
        <f>(VLOOKUP(YEAR($A103),'NY East Load Projections'!$A$4:$EO$14,((MONTH($A103)-1)*12)+VLOOKUP(O$4,$DE$6:$DF$17,2)+1))*(VLOOKUP($A103,CURVES!$D$9:$K$261,4))*(INDEX(DailyScalarsTable,O$5/100,MONTH($A103)))*$B103</f>
        <v>-75939.175048003104</v>
      </c>
      <c r="P103" s="1021">
        <f>(VLOOKUP(YEAR($A103),'NY East Load Projections'!$A$4:$EO$14,((MONTH($A103)-1)*12)+VLOOKUP(P$4,$DE$6:$DF$17,2)+1))*(VLOOKUP($A103,CURVES!$D$9:$K$261,4))*(INDEX(DailyScalarsTable,P$5/100,MONTH($A103)))*$B103</f>
        <v>-84395.668340763528</v>
      </c>
      <c r="Q103" s="1021">
        <f>(VLOOKUP(YEAR($A103),'NY East Load Projections'!$A$4:$EO$14,((MONTH($A103)-1)*12)+VLOOKUP(Q$4,$DE$6:$DF$17,2)+1))*(VLOOKUP($A103,CURVES!$D$9:$K$261,4))*(INDEX(DailyScalarsTable,Q$5/100,MONTH($A103)))*$B103</f>
        <v>-84138.801825651375</v>
      </c>
      <c r="R103" s="1021">
        <f>(VLOOKUP(YEAR($A103),'NY East Load Projections'!$A$4:$EO$14,((MONTH($A103)-1)*12)+VLOOKUP(R$4,$DE$6:$DF$17,2)+1))*(VLOOKUP($A103,CURVES!$D$9:$K$261,4))*(INDEX(DailyScalarsTable,R$5/100,MONTH($A103)))*$B103</f>
        <v>-82670.469376884561</v>
      </c>
      <c r="S103" s="1021">
        <f>(VLOOKUP(YEAR($A103),'NY East Load Projections'!$A$4:$EO$14,((MONTH($A103)-1)*12)+VLOOKUP(S$4,$DE$6:$DF$17,2)+1))*(VLOOKUP($A103,CURVES!$D$9:$K$261,4))*(INDEX(DailyScalarsTable,S$5/100,MONTH($A103)))*$B103</f>
        <v>-61928.003286589963</v>
      </c>
      <c r="T103" s="1021">
        <f>(VLOOKUP(YEAR($A103),'NY East Load Projections'!$A$4:$EO$14,((MONTH($A103)-1)*12)+VLOOKUP(T$4,$DE$6:$DF$17,2)+1))*(VLOOKUP($A103,CURVES!$D$9:$K$261,4))*(INDEX(DailyScalarsTable,T$5/100,MONTH($A103)))*$B103</f>
        <v>-60729.321106777948</v>
      </c>
      <c r="U103" s="1021">
        <f>(VLOOKUP(YEAR($A103),'NY East Load Projections'!$A$4:$EO$14,((MONTH($A103)-1)*12)+VLOOKUP(U$4,$DE$6:$DF$17,2)+1))*(VLOOKUP($A103,CURVES!$D$9:$K$261,4))*(INDEX(DailyScalarsTable,U$5/100,MONTH($A103)))*$B103</f>
        <v>-58768.477327476277</v>
      </c>
      <c r="V103" s="1021">
        <f>(VLOOKUP(YEAR($A103),'NY East Load Projections'!$A$4:$EO$14,((MONTH($A103)-1)*12)+VLOOKUP(V$4,$DE$6:$DF$17,2)+1))*(VLOOKUP($A103,CURVES!$D$9:$K$261,4))*(INDEX(DailyScalarsTable,V$5/100,MONTH($A103)))*$B103</f>
        <v>-55777.480113396552</v>
      </c>
      <c r="W103" s="1021">
        <f>(VLOOKUP(YEAR($A103),'NY East Load Projections'!$A$4:$EO$14,((MONTH($A103)-1)*12)+VLOOKUP(W$4,$DE$6:$DF$17,2)+1))*(VLOOKUP($A103,CURVES!$D$9:$K$261,4))*(INDEX(DailyScalarsTable,W$5/100,MONTH($A103)))*$B103</f>
        <v>-54654.9680948108</v>
      </c>
      <c r="X103" s="1021">
        <f>(VLOOKUP(YEAR($A103),'NY East Load Projections'!$A$4:$EO$14,((MONTH($A103)-1)*12)+VLOOKUP(X$4,$DE$6:$DF$17,2)+1))*(VLOOKUP($A103,CURVES!$D$9:$K$261,4))*(INDEX(DailyScalarsTable,X$5/100,MONTH($A103)))*$B103</f>
        <v>-57184.913700983481</v>
      </c>
      <c r="Y103" s="1021">
        <f>(VLOOKUP(YEAR($A103),'NY East Load Projections'!$A$4:$EO$14,((MONTH($A103)-1)*12)+VLOOKUP(Y$4,$DE$6:$DF$17,2)+1))*(VLOOKUP($A103,CURVES!$D$9:$K$261,4))*(INDEX(DailyScalarsTable,Y$5/100,MONTH($A103)))*$B103</f>
        <v>-79570.323052441032</v>
      </c>
      <c r="Z103" s="1021">
        <f>(VLOOKUP(YEAR($A103),'NY East Load Projections'!$A$4:$EO$14,((MONTH($A103)-1)*12)+VLOOKUP(Z$4,$DE$6:$DF$17,2)+1))*(VLOOKUP($A103,CURVES!$D$9:$K$261,4))*(INDEX(DailyScalarsTable,Z$5/100,MONTH($A103)))*$B103</f>
        <v>-87309.786541796057</v>
      </c>
      <c r="AA103" s="1021">
        <f>(VLOOKUP(YEAR($A103),'NY East Load Projections'!$A$4:$EO$14,((MONTH($A103)-1)*12)+VLOOKUP(AA$4,$DE$6:$DF$17,2)+1))*(VLOOKUP($A103,CURVES!$D$9:$K$261,4))*(INDEX(DailyScalarsTable,AA$5/100,MONTH($A103)))*$B103</f>
        <v>-83570.615901746947</v>
      </c>
      <c r="AB103" s="1021">
        <f>(VLOOKUP(YEAR($A103),'NY East Load Projections'!$A$4:$EO$14,((MONTH($A103)-1)*12)+VLOOKUP(AB$4,$DE$6:$DF$17,2)+1))*(VLOOKUP($A103,CURVES!$D$9:$K$261,4))*(INDEX(DailyScalarsTable,AB$5/100,MONTH($A103)))*$B103</f>
        <v>-72134.772728275115</v>
      </c>
      <c r="AC103" s="1021">
        <f>(VLOOKUP(YEAR($A103),'NY East Load Projections'!$A$4:$EO$14,((MONTH($A103)-1)*12)+VLOOKUP(AC$4,$DE$6:$DF$17,2)+1))*(VLOOKUP($A103,CURVES!$D$9:$K$261,4))*(INDEX(DailyScalarsTable,AC$5/100,MONTH($A103)))*$B103</f>
        <v>-51303.921075346851</v>
      </c>
      <c r="AD103" s="1021">
        <f>(VLOOKUP(YEAR($A103),'NY East Load Projections'!$A$4:$EO$14,((MONTH($A103)-1)*12)+VLOOKUP(AD$4,$DE$6:$DF$17,2)+1))*(VLOOKUP($A103,CURVES!$D$9:$K$261,4))*(INDEX(DailyScalarsTable,AD$5/100,MONTH($A103)))*$B103</f>
        <v>-41998.645067767204</v>
      </c>
      <c r="AE103" s="1021">
        <f>(VLOOKUP(YEAR($A103),'NY East Load Projections'!$A$4:$EO$14,((MONTH($A103)-1)*12)+VLOOKUP(AE$4,$DE$6:$DF$17,2)+1))*(VLOOKUP($A103,CURVES!$D$9:$K$261,8))*(INDEX(DailyScalarsTable,AE$5/100,MONTH($A103)))*$B103</f>
        <v>-36397.647340905693</v>
      </c>
      <c r="AF103" s="1021"/>
      <c r="AG103" s="1021">
        <f>(VLOOKUP(YEAR($A103),'NY East Load Projections'!$A$4:$EO$14,((MONTH($A103)-1)*12)+VLOOKUP(AG$4,$DE$6:$DF$17,2)+1))*(VLOOKUP($A103,CURVES!$D$9:$T$261,8))*(INDEX(DailyScalarsTable,AG$5/100,MONTH($A103)))*$C103</f>
        <v>-6535.7161289013329</v>
      </c>
      <c r="AH103" s="1021">
        <f>(VLOOKUP(YEAR($A103),'NY East Load Projections'!$A$4:$EO$14,((MONTH($A103)-1)*12)+VLOOKUP(AH$4,$DE$6:$DF$17,2)+1))*(VLOOKUP($A103,CURVES!$D$9:$T$261,8))*(INDEX(DailyScalarsTable,AH$5/100,MONTH($A103)))*$C103</f>
        <v>-6408.3821700940744</v>
      </c>
      <c r="AI103" s="1021">
        <f>(VLOOKUP(YEAR($A103),'NY East Load Projections'!$A$4:$EO$14,((MONTH($A103)-1)*12)+VLOOKUP(AI$4,$DE$6:$DF$17,2)+1))*(VLOOKUP($A103,CURVES!$D$9:$T$261,8))*(INDEX(DailyScalarsTable,AI$5/100,MONTH($A103)))*$C103</f>
        <v>-5872.3246708759525</v>
      </c>
      <c r="AJ103" s="1021">
        <f>(VLOOKUP(YEAR($A103),'NY East Load Projections'!$A$4:$EO$14,((MONTH($A103)-1)*12)+VLOOKUP(AJ$4,$DE$6:$DF$17,2)+1))*(VLOOKUP($A103,CURVES!$D$9:$T$261,8))*(INDEX(DailyScalarsTable,AJ$5/100,MONTH($A103)))*$C103</f>
        <v>-5868.7741723488043</v>
      </c>
      <c r="AK103" s="1021">
        <f>(VLOOKUP(YEAR($A103),'NY East Load Projections'!$A$4:$EO$14,((MONTH($A103)-1)*12)+VLOOKUP(AK$4,$DE$6:$DF$17,2)+1))*(VLOOKUP($A103,CURVES!$D$9:$T$261,8))*(INDEX(DailyScalarsTable,AK$5/100,MONTH($A103)))*$C103</f>
        <v>-6126.7294518537519</v>
      </c>
      <c r="AL103" s="1021">
        <f>(VLOOKUP(YEAR($A103),'NY East Load Projections'!$A$4:$EO$14,((MONTH($A103)-1)*12)+VLOOKUP(AL$4,$DE$6:$DF$17,2)+1))*(VLOOKUP($A103,CURVES!$D$9:$T$261,8))*(INDEX(DailyScalarsTable,AL$5/100,MONTH($A103)))*$C103</f>
        <v>-6538.5556843528402</v>
      </c>
      <c r="AM103" s="1021">
        <f>(VLOOKUP(YEAR($A103),'NY East Load Projections'!$A$4:$EO$14,((MONTH($A103)-1)*12)+VLOOKUP(AM$4,$DE$6:$DF$17,2)+1))*(VLOOKUP($A103,CURVES!$D$9:$T$261,8))*(INDEX(DailyScalarsTable,AM$5/100,MONTH($A103)))*$C103</f>
        <v>-12521.254520622553</v>
      </c>
      <c r="AN103" s="1021">
        <f>(VLOOKUP(YEAR($A103),'NY East Load Projections'!$A$4:$EO$14,((MONTH($A103)-1)*12)+VLOOKUP(AN$4,$DE$6:$DF$17,2)+1))*(VLOOKUP($A103,SatSunCurve,4))*(INDEX(DailyScalarsTable,AN$5/100,MONTH($A103)))*$C103</f>
        <v>-11532.434836501019</v>
      </c>
      <c r="AO103" s="1021">
        <f>(VLOOKUP(YEAR($A103),'NY East Load Projections'!$A$4:$EO$14,((MONTH($A103)-1)*12)+VLOOKUP(AO$4,$DE$6:$DF$17,2)+1))*(VLOOKUP($A103,SatSunCurve,4))*(INDEX(DailyScalarsTable,AO$5/100,MONTH($A103)))*$C103</f>
        <v>-12966.725792243067</v>
      </c>
      <c r="AP103" s="1021">
        <f>(VLOOKUP(YEAR($A103),'NY East Load Projections'!$A$4:$EO$14,((MONTH($A103)-1)*12)+VLOOKUP(AP$4,$DE$6:$DF$17,2)+1))*(VLOOKUP($A103,SatSunCurve,4))*(INDEX(DailyScalarsTable,AP$5/100,MONTH($A103)))*$C103</f>
        <v>-12927.260287292978</v>
      </c>
      <c r="AQ103" s="1021">
        <f>(VLOOKUP(YEAR($A103),'NY East Load Projections'!$A$4:$EO$14,((MONTH($A103)-1)*12)+VLOOKUP(AQ$4,$DE$6:$DF$17,2)+1))*(VLOOKUP($A103,SatSunCurve,4))*(INDEX(DailyScalarsTable,AQ$5/100,MONTH($A103)))*$C103</f>
        <v>-12701.662639814949</v>
      </c>
      <c r="AR103" s="1021">
        <f>(VLOOKUP(YEAR($A103),'NY East Load Projections'!$A$4:$EO$14,((MONTH($A103)-1)*12)+VLOOKUP(AR$4,$DE$6:$DF$17,2)+1))*(VLOOKUP($A103,SatSunCurve,4))*(INDEX(DailyScalarsTable,AR$5/100,MONTH($A103)))*$C103</f>
        <v>-9514.7470630371772</v>
      </c>
      <c r="AS103" s="1021">
        <f>(VLOOKUP(YEAR($A103),'NY East Load Projections'!$A$4:$EO$14,((MONTH($A103)-1)*12)+VLOOKUP(AS$4,$DE$6:$DF$17,2)+1))*(VLOOKUP($A103,SatSunCurve,4))*(INDEX(DailyScalarsTable,AS$5/100,MONTH($A103)))*$C103</f>
        <v>-9280.2505219029554</v>
      </c>
      <c r="AT103" s="1021">
        <f>(VLOOKUP(YEAR($A103),'NY East Load Projections'!$A$4:$EO$14,((MONTH($A103)-1)*12)+VLOOKUP(AT$4,$DE$6:$DF$17,2)+1))*(VLOOKUP($A103,SatSunCurve,4))*(INDEX(DailyScalarsTable,AT$5/100,MONTH($A103)))*$C103</f>
        <v>-8980.6074306482515</v>
      </c>
      <c r="AU103" s="1021">
        <f>(VLOOKUP(YEAR($A103),'NY East Load Projections'!$A$4:$EO$14,((MONTH($A103)-1)*12)+VLOOKUP(AU$4,$DE$6:$DF$17,2)+1))*(VLOOKUP($A103,SatSunCurve,4))*(INDEX(DailyScalarsTable,AU$5/100,MONTH($A103)))*$C103</f>
        <v>-8523.5431501474159</v>
      </c>
      <c r="AV103" s="1021">
        <f>(VLOOKUP(YEAR($A103),'NY East Load Projections'!$A$4:$EO$14,((MONTH($A103)-1)*12)+VLOOKUP(AV$4,$DE$6:$DF$17,2)+1))*(VLOOKUP($A103,SatSunCurve,4))*(INDEX(DailyScalarsTable,AV$5/100,MONTH($A103)))*$C103</f>
        <v>-8352.0083370378379</v>
      </c>
      <c r="AW103" s="1021">
        <f>(VLOOKUP(YEAR($A103),'NY East Load Projections'!$A$4:$EO$14,((MONTH($A103)-1)*12)+VLOOKUP(AW$4,$DE$6:$DF$17,2)+1))*(VLOOKUP($A103,SatSunCurve,4))*(INDEX(DailyScalarsTable,AW$5/100,MONTH($A103)))*$C103</f>
        <v>-8676.1634177433152</v>
      </c>
      <c r="AX103" s="1021">
        <f>(VLOOKUP(YEAR($A103),'NY East Load Projections'!$A$4:$EO$14,((MONTH($A103)-1)*12)+VLOOKUP(AX$4,$DE$6:$DF$17,2)+1))*(VLOOKUP($A103,SatSunCurve,4))*(INDEX(DailyScalarsTable,AX$5/100,MONTH($A103)))*$C103</f>
        <v>-12072.50446534701</v>
      </c>
      <c r="AY103" s="1021">
        <f>(VLOOKUP(YEAR($A103),'NY East Load Projections'!$A$4:$EO$14,((MONTH($A103)-1)*12)+VLOOKUP(AY$4,$DE$6:$DF$17,2)+1))*(VLOOKUP($A103,SatSunCurve,4))*(INDEX(DailyScalarsTable,AY$5/100,MONTH($A103)))*$C103</f>
        <v>-13246.745111235181</v>
      </c>
      <c r="AZ103" s="1021">
        <f>(VLOOKUP(YEAR($A103),'NY East Load Projections'!$A$4:$EO$14,((MONTH($A103)-1)*12)+VLOOKUP(AZ$4,$DE$6:$DF$17,2)+1))*(VLOOKUP($A103,SatSunCurve,4))*(INDEX(DailyScalarsTable,AZ$5/100,MONTH($A103)))*$C103</f>
        <v>-12679.433675048891</v>
      </c>
      <c r="BA103" s="1021">
        <f>(VLOOKUP(YEAR($A103),'NY East Load Projections'!$A$4:$EO$14,((MONTH($A103)-1)*12)+VLOOKUP(BA$4,$DE$6:$DF$17,2)+1))*(VLOOKUP($A103,SatSunCurve,4))*(INDEX(DailyScalarsTable,BA$5/100,MONTH($A103)))*$C103</f>
        <v>-11522.000718869615</v>
      </c>
      <c r="BB103" s="1021">
        <f>(VLOOKUP(YEAR($A103),'NY East Load Projections'!$A$4:$EO$14,((MONTH($A103)-1)*12)+VLOOKUP(BB$4,$DE$6:$DF$17,2)+1))*(VLOOKUP($A103,SatSunCurve,4))*(INDEX(DailyScalarsTable,BB$5/100,MONTH($A103)))*$C103</f>
        <v>-8194.7137719236198</v>
      </c>
      <c r="BC103" s="1021">
        <f>(VLOOKUP(YEAR($A103),'NY East Load Projections'!$A$4:$EO$14,((MONTH($A103)-1)*12)+VLOOKUP(BC$4,$DE$6:$DF$17,2)+1))*(VLOOKUP($A103,SatSunCurve,4))*(INDEX(DailyScalarsTable,BC$5/100,MONTH($A103)))*$C103</f>
        <v>-6708.3931973446543</v>
      </c>
      <c r="BD103" s="1021">
        <f>(VLOOKUP(YEAR($A103),'NY East Load Projections'!$A$4:$EO$14,((MONTH($A103)-1)*12)+VLOOKUP(BD$4,$DE$6:$DF$17,2)+1))*(VLOOKUP($A103,CURVES!$D$9:$T$261,8))*(INDEX(DailyScalarsTable,BD$5/100,MONTH($A103)))*$C103</f>
        <v>-7496.5977212376583</v>
      </c>
      <c r="BE103" s="1021"/>
      <c r="BF103" s="1021">
        <f>(VLOOKUP(YEAR($A103),'NY East Load Projections'!$A$4:$EO$14,((MONTH($A103)-1)*12)+VLOOKUP(BF$4,$DE$6:$DF$17,2)+1))*(VLOOKUP($A103,CURVES!$D$9:$T$261,8))*(INDEX(DailyScalarsTable,BF$5/100,MONTH($A103)))*$D103</f>
        <v>-6535.7161289013329</v>
      </c>
      <c r="BG103" s="1021">
        <f>(VLOOKUP(YEAR($A103),'NY East Load Projections'!$A$4:$EO$14,((MONTH($A103)-1)*12)+VLOOKUP(BG$4,$DE$6:$DF$17,2)+1))*(VLOOKUP($A103,CURVES!$D$9:$T$261,8))*(INDEX(DailyScalarsTable,BG$5/100,MONTH($A103)))*$D103</f>
        <v>-6408.3821700940744</v>
      </c>
      <c r="BH103" s="1021">
        <f>(VLOOKUP(YEAR($A103),'NY East Load Projections'!$A$4:$EO$14,((MONTH($A103)-1)*12)+VLOOKUP(BH$4,$DE$6:$DF$17,2)+1))*(VLOOKUP($A103,CURVES!$D$9:$T$261,8))*(INDEX(DailyScalarsTable,BH$5/100,MONTH($A103)))*$D103</f>
        <v>-5872.3246708759525</v>
      </c>
      <c r="BI103" s="1021">
        <f>(VLOOKUP(YEAR($A103),'NY East Load Projections'!$A$4:$EO$14,((MONTH($A103)-1)*12)+VLOOKUP(BI$4,$DE$6:$DF$17,2)+1))*(VLOOKUP($A103,CURVES!$D$9:$T$261,8))*(INDEX(DailyScalarsTable,BI$5/100,MONTH($A103)))*$D103</f>
        <v>-5868.7741723488043</v>
      </c>
      <c r="BJ103" s="1021">
        <f>(VLOOKUP(YEAR($A103),'NY East Load Projections'!$A$4:$EO$14,((MONTH($A103)-1)*12)+VLOOKUP(BJ$4,$DE$6:$DF$17,2)+1))*(VLOOKUP($A103,CURVES!$D$9:$T$261,8))*(INDEX(DailyScalarsTable,BJ$5/100,MONTH($A103)))*$D103</f>
        <v>-6126.7294518537519</v>
      </c>
      <c r="BK103" s="1021">
        <f>(VLOOKUP(YEAR($A103),'NY East Load Projections'!$A$4:$EO$14,((MONTH($A103)-1)*12)+VLOOKUP(BK$4,$DE$6:$DF$17,2)+1))*(VLOOKUP($A103,CURVES!$D$9:$T$261,8))*(INDEX(DailyScalarsTable,BK$5/100,MONTH($A103)))*$D103</f>
        <v>-6538.5556843528402</v>
      </c>
      <c r="BL103" s="1021">
        <f>(VLOOKUP(YEAR($A103),'NY East Load Projections'!$A$4:$EO$14,((MONTH($A103)-1)*12)+VLOOKUP(BL$4,$DE$6:$DF$17,2)+1))*(VLOOKUP($A103,CURVES!$D$9:$T$261,8))*(INDEX(DailyScalarsTable,BL$5/100,MONTH($A103)))*$D103</f>
        <v>-12521.254520622553</v>
      </c>
      <c r="BM103" s="1021">
        <f>(VLOOKUP(YEAR($A103),'NY East Load Projections'!$A$4:$EO$14,((MONTH($A103)-1)*12)+VLOOKUP(BM$4,$DE$6:$DF$17,2)+1))*(VLOOKUP($A103,SatSunCurve,8))*(INDEX(DailyScalarsTable,BM$5/100,MONTH($A103)))*$D103</f>
        <v>-11436.479622397826</v>
      </c>
      <c r="BN103" s="1021">
        <f>(VLOOKUP(YEAR($A103),'NY East Load Projections'!$A$4:$EO$14,((MONTH($A103)-1)*12)+VLOOKUP(BN$4,$DE$6:$DF$17,2)+1))*(VLOOKUP($A103,SatSunCurve,8))*(INDEX(DailyScalarsTable,BN$5/100,MONTH($A103)))*$D103</f>
        <v>-12858.83661122866</v>
      </c>
      <c r="BO103" s="1021">
        <f>(VLOOKUP(YEAR($A103),'NY East Load Projections'!$A$4:$EO$14,((MONTH($A103)-1)*12)+VLOOKUP(BO$4,$DE$6:$DF$17,2)+1))*(VLOOKUP($A103,SatSunCurve,8))*(INDEX(DailyScalarsTable,BO$5/100,MONTH($A103)))*$D103</f>
        <v>-12819.699477609593</v>
      </c>
      <c r="BP103" s="1021">
        <f>(VLOOKUP(YEAR($A103),'NY East Load Projections'!$A$4:$EO$14,((MONTH($A103)-1)*12)+VLOOKUP(BP$4,$DE$6:$DF$17,2)+1))*(VLOOKUP($A103,SatSunCurve,8))*(INDEX(DailyScalarsTable,BP$5/100,MONTH($A103)))*$D103</f>
        <v>-12595.978907337882</v>
      </c>
      <c r="BQ103" s="1021">
        <f>(VLOOKUP(YEAR($A103),'NY East Load Projections'!$A$4:$EO$14,((MONTH($A103)-1)*12)+VLOOKUP(BQ$4,$DE$6:$DF$17,2)+1))*(VLOOKUP($A103,SatSunCurve,8))*(INDEX(DailyScalarsTable,BQ$5/100,MONTH($A103)))*$D103</f>
        <v>-9435.5799483285118</v>
      </c>
      <c r="BR103" s="1021">
        <f>(VLOOKUP(YEAR($A103),'NY East Load Projections'!$A$4:$EO$14,((MONTH($A103)-1)*12)+VLOOKUP(BR$4,$DE$6:$DF$17,2)+1))*(VLOOKUP($A103,SatSunCurve,8))*(INDEX(DailyScalarsTable,BR$5/100,MONTH($A103)))*$D103</f>
        <v>-9203.0345273289404</v>
      </c>
      <c r="BS103" s="1021">
        <f>(VLOOKUP(YEAR($A103),'NY East Load Projections'!$A$4:$EO$14,((MONTH($A103)-1)*12)+VLOOKUP(BS$4,$DE$6:$DF$17,2)+1))*(VLOOKUP($A103,SatSunCurve,8))*(INDEX(DailyScalarsTable,BS$5/100,MONTH($A103)))*$D103</f>
        <v>-8905.8846057633364</v>
      </c>
      <c r="BT103" s="1021">
        <f>(VLOOKUP(YEAR($A103),'NY East Load Projections'!$A$4:$EO$14,((MONTH($A103)-1)*12)+VLOOKUP(BT$4,$DE$6:$DF$17,2)+1))*(VLOOKUP($A103,SatSunCurve,8))*(INDEX(DailyScalarsTable,BT$5/100,MONTH($A103)))*$D103</f>
        <v>-8452.623312360729</v>
      </c>
      <c r="BU103" s="1021">
        <f>(VLOOKUP(YEAR($A103),'NY East Load Projections'!$A$4:$EO$14,((MONTH($A103)-1)*12)+VLOOKUP(BU$4,$DE$6:$DF$17,2)+1))*(VLOOKUP($A103,SatSunCurve,8))*(INDEX(DailyScalarsTable,BU$5/100,MONTH($A103)))*$D103</f>
        <v>-8282.5157485659256</v>
      </c>
      <c r="BV103" s="1021">
        <f>(VLOOKUP(YEAR($A103),'NY East Load Projections'!$A$4:$EO$14,((MONTH($A103)-1)*12)+VLOOKUP(BV$4,$DE$6:$DF$17,2)+1))*(VLOOKUP($A103,SatSunCurve,8))*(INDEX(DailyScalarsTable,BV$5/100,MONTH($A103)))*$D103</f>
        <v>-8603.9737084454264</v>
      </c>
      <c r="BW103" s="1021">
        <f>(VLOOKUP(YEAR($A103),'NY East Load Projections'!$A$4:$EO$14,((MONTH($A103)-1)*12)+VLOOKUP(BW$4,$DE$6:$DF$17,2)+1))*(VLOOKUP($A103,SatSunCurve,8))*(INDEX(DailyScalarsTable,BW$5/100,MONTH($A103)))*$D103</f>
        <v>-11972.055621095347</v>
      </c>
      <c r="BX103" s="1021">
        <f>(VLOOKUP(YEAR($A103),'NY East Load Projections'!$A$4:$EO$14,((MONTH($A103)-1)*12)+VLOOKUP(BX$4,$DE$6:$DF$17,2)+1))*(VLOOKUP($A103,SatSunCurve,8))*(INDEX(DailyScalarsTable,BX$5/100,MONTH($A103)))*$D103</f>
        <v>-13136.526039431201</v>
      </c>
      <c r="BY103" s="1021">
        <f>(VLOOKUP(YEAR($A103),'NY East Load Projections'!$A$4:$EO$14,((MONTH($A103)-1)*12)+VLOOKUP(BY$4,$DE$6:$DF$17,2)+1))*(VLOOKUP($A103,SatSunCurve,8))*(INDEX(DailyScalarsTable,BY$5/100,MONTH($A103)))*$D103</f>
        <v>-12573.934897882966</v>
      </c>
      <c r="BZ103" s="1021">
        <f>(VLOOKUP(YEAR($A103),'NY East Load Projections'!$A$4:$EO$14,((MONTH($A103)-1)*12)+VLOOKUP(BZ$4,$DE$6:$DF$17,2)+1))*(VLOOKUP($A103,SatSunCurve,8))*(INDEX(DailyScalarsTable,BZ$5/100,MONTH($A103)))*$D103</f>
        <v>-11426.132321471263</v>
      </c>
      <c r="CA103" s="1021">
        <f>(VLOOKUP(YEAR($A103),'NY East Load Projections'!$A$4:$EO$14,((MONTH($A103)-1)*12)+VLOOKUP(CA$4,$DE$6:$DF$17,2)+1))*(VLOOKUP($A103,SatSunCurve,8))*(INDEX(DailyScalarsTable,CA$5/100,MONTH($A103)))*$D103</f>
        <v>-8126.5299472892466</v>
      </c>
      <c r="CB103" s="1021">
        <f>(VLOOKUP(YEAR($A103),'NY East Load Projections'!$A$4:$EO$14,((MONTH($A103)-1)*12)+VLOOKUP(CB$4,$DE$6:$DF$17,2)+1))*(VLOOKUP($A103,SatSunCurve,8))*(INDEX(DailyScalarsTable,CB$5/100,MONTH($A103)))*$D103</f>
        <v>-6652.5762502154812</v>
      </c>
      <c r="CC103" s="1021">
        <f>(VLOOKUP(YEAR($A103),'NY East Load Projections'!$A$4:$EO$14,((MONTH($A103)-1)*12)+VLOOKUP(CC$4,$DE$6:$DF$17,2)+1))*(VLOOKUP($A103,CURVES!$D$9:$T$261,8))*(INDEX(DailyScalarsTable,CC$5/100,MONTH($A103)))*$D103</f>
        <v>-7496.5977212376583</v>
      </c>
      <c r="CE103" s="1021">
        <f>(VLOOKUP(YEAR($A103),'NY East Load Projections'!$A$4:$EO$14,((MONTH($A103)-1)*12)+VLOOKUP(CE$4,$DE$6:$DF$17,2)+1))*(VLOOKUP($A103,CURVES!$D$9:$T$261,8))*(INDEX(DailyScalarsTable,CE$5/100,MONTH($A103)))*$E103</f>
        <v>0</v>
      </c>
      <c r="CF103" s="1021">
        <f>(VLOOKUP(YEAR($A103),'NY East Load Projections'!$A$4:$EO$14,((MONTH($A103)-1)*12)+VLOOKUP(CF$4,$DE$6:$DF$17,2)+1))*(VLOOKUP($A103,CURVES!$D$9:$T$261,8))*(INDEX(DailyScalarsTable,CF$5/100,MONTH($A103)))*$E103</f>
        <v>0</v>
      </c>
      <c r="CG103" s="1021">
        <f>(VLOOKUP(YEAR($A103),'NY East Load Projections'!$A$4:$EO$14,((MONTH($A103)-1)*12)+VLOOKUP(CG$4,$DE$6:$DF$17,2)+1))*(VLOOKUP($A103,CURVES!$D$9:$T$261,8))*(INDEX(DailyScalarsTable,CG$5/100,MONTH($A103)))*$E103</f>
        <v>0</v>
      </c>
      <c r="CH103" s="1021">
        <f>(VLOOKUP(YEAR($A103),'NY East Load Projections'!$A$4:$EO$14,((MONTH($A103)-1)*12)+VLOOKUP(CH$4,$DE$6:$DF$17,2)+1))*(VLOOKUP($A103,CURVES!$D$9:$T$261,8))*(INDEX(DailyScalarsTable,CH$5/100,MONTH($A103)))*$E103</f>
        <v>0</v>
      </c>
      <c r="CI103" s="1021">
        <f>(VLOOKUP(YEAR($A103),'NY East Load Projections'!$A$4:$EO$14,((MONTH($A103)-1)*12)+VLOOKUP(CI$4,$DE$6:$DF$17,2)+1))*(VLOOKUP($A103,CURVES!$D$9:$T$261,8))*(INDEX(DailyScalarsTable,CI$5/100,MONTH($A103)))*$E103</f>
        <v>0</v>
      </c>
      <c r="CJ103" s="1021">
        <f>(VLOOKUP(YEAR($A103),'NY East Load Projections'!$A$4:$EO$14,((MONTH($A103)-1)*12)+VLOOKUP(CJ$4,$DE$6:$DF$17,2)+1))*(VLOOKUP($A103,CURVES!$D$9:$T$261,8))*(INDEX(DailyScalarsTable,CJ$5/100,MONTH($A103)))*$E103</f>
        <v>0</v>
      </c>
      <c r="CK103" s="1021">
        <f>(VLOOKUP(YEAR($A103),'NY East Load Projections'!$A$4:$EO$14,((MONTH($A103)-1)*12)+VLOOKUP(CK$4,$DE$6:$DF$17,2)+1))*(VLOOKUP($A103,CURVES!$D$9:$T$261,8))*(INDEX(DailyScalarsTable,CK$5/100,MONTH($A103)))*$E103</f>
        <v>0</v>
      </c>
      <c r="CL103" s="1021">
        <f>(VLOOKUP(YEAR($A103),'NY East Load Projections'!$A$4:$EO$14,((MONTH($A103)-1)*12)+VLOOKUP(CL$4,$DE$6:$DF$17,2)+1))*(VLOOKUP($A103,SatSunCurve,8))*(INDEX(DailyScalarsTable,CL$5/100,MONTH($A103)))*$E103</f>
        <v>0</v>
      </c>
      <c r="CM103" s="1021">
        <f>(VLOOKUP(YEAR($A103),'NY East Load Projections'!$A$4:$EO$14,((MONTH($A103)-1)*12)+VLOOKUP(CM$4,$DE$6:$DF$17,2)+1))*(VLOOKUP($A103,SatSunCurve,8))*(INDEX(DailyScalarsTable,CM$5/100,MONTH($A103)))*$E103</f>
        <v>0</v>
      </c>
      <c r="CN103" s="1021">
        <f>(VLOOKUP(YEAR($A103),'NY East Load Projections'!$A$4:$EO$14,((MONTH($A103)-1)*12)+VLOOKUP(CN$4,$DE$6:$DF$17,2)+1))*(VLOOKUP($A103,SatSunCurve,8))*(INDEX(DailyScalarsTable,CN$5/100,MONTH($A103)))*$E103</f>
        <v>0</v>
      </c>
      <c r="CO103" s="1021">
        <f>(VLOOKUP(YEAR($A103),'NY East Load Projections'!$A$4:$EO$14,((MONTH($A103)-1)*12)+VLOOKUP(CO$4,$DE$6:$DF$17,2)+1))*(VLOOKUP($A103,SatSunCurve,8))*(INDEX(DailyScalarsTable,CO$5/100,MONTH($A103)))*$E103</f>
        <v>0</v>
      </c>
      <c r="CP103" s="1021">
        <f>(VLOOKUP(YEAR($A103),'NY East Load Projections'!$A$4:$EO$14,((MONTH($A103)-1)*12)+VLOOKUP(CP$4,$DE$6:$DF$17,2)+1))*(VLOOKUP($A103,SatSunCurve,8))*(INDEX(DailyScalarsTable,CP$5/100,MONTH($A103)))*$E103</f>
        <v>0</v>
      </c>
      <c r="CQ103" s="1021">
        <f>(VLOOKUP(YEAR($A103),'NY East Load Projections'!$A$4:$EO$14,((MONTH($A103)-1)*12)+VLOOKUP(CQ$4,$DE$6:$DF$17,2)+1))*(VLOOKUP($A103,SatSunCurve,8))*(INDEX(DailyScalarsTable,CQ$5/100,MONTH($A103)))*$E103</f>
        <v>0</v>
      </c>
      <c r="CR103" s="1021">
        <f>(VLOOKUP(YEAR($A103),'NY East Load Projections'!$A$4:$EO$14,((MONTH($A103)-1)*12)+VLOOKUP(CR$4,$DE$6:$DF$17,2)+1))*(VLOOKUP($A103,SatSunCurve,8))*(INDEX(DailyScalarsTable,CR$5/100,MONTH($A103)))*$E103</f>
        <v>0</v>
      </c>
      <c r="CS103" s="1021">
        <f>(VLOOKUP(YEAR($A103),'NY East Load Projections'!$A$4:$EO$14,((MONTH($A103)-1)*12)+VLOOKUP(CS$4,$DE$6:$DF$17,2)+1))*(VLOOKUP($A103,SatSunCurve,8))*(INDEX(DailyScalarsTable,CS$5/100,MONTH($A103)))*$E103</f>
        <v>0</v>
      </c>
      <c r="CT103" s="1021">
        <f>(VLOOKUP(YEAR($A103),'NY East Load Projections'!$A$4:$EO$14,((MONTH($A103)-1)*12)+VLOOKUP(CT$4,$DE$6:$DF$17,2)+1))*(VLOOKUP($A103,SatSunCurve,8))*(INDEX(DailyScalarsTable,CT$5/100,MONTH($A103)))*$E103</f>
        <v>0</v>
      </c>
      <c r="CU103" s="1021">
        <f>(VLOOKUP(YEAR($A103),'NY East Load Projections'!$A$4:$EO$14,((MONTH($A103)-1)*12)+VLOOKUP(CU$4,$DE$6:$DF$17,2)+1))*(VLOOKUP($A103,SatSunCurve,8))*(INDEX(DailyScalarsTable,CU$5/100,MONTH($A103)))*$E103</f>
        <v>0</v>
      </c>
      <c r="CV103" s="1021">
        <f>(VLOOKUP(YEAR($A103),'NY East Load Projections'!$A$4:$EO$14,((MONTH($A103)-1)*12)+VLOOKUP(CV$4,$DE$6:$DF$17,2)+1))*(VLOOKUP($A103,SatSunCurve,8))*(INDEX(DailyScalarsTable,CV$5/100,MONTH($A103)))*$E103</f>
        <v>0</v>
      </c>
      <c r="CW103" s="1021">
        <f>(VLOOKUP(YEAR($A103),'NY East Load Projections'!$A$4:$EO$14,((MONTH($A103)-1)*12)+VLOOKUP(CW$4,$DE$6:$DF$17,2)+1))*(VLOOKUP($A103,SatSunCurve,8))*(INDEX(DailyScalarsTable,CW$5/100,MONTH($A103)))*$E103</f>
        <v>0</v>
      </c>
      <c r="CX103" s="1021">
        <f>(VLOOKUP(YEAR($A103),'NY East Load Projections'!$A$4:$EO$14,((MONTH($A103)-1)*12)+VLOOKUP(CX$4,$DE$6:$DF$17,2)+1))*(VLOOKUP($A103,SatSunCurve,8))*(INDEX(DailyScalarsTable,CX$5/100,MONTH($A103)))*$E103</f>
        <v>0</v>
      </c>
      <c r="CY103" s="1021">
        <f>(VLOOKUP(YEAR($A103),'NY East Load Projections'!$A$4:$EO$14,((MONTH($A103)-1)*12)+VLOOKUP(CY$4,$DE$6:$DF$17,2)+1))*(VLOOKUP($A103,SatSunCurve,8))*(INDEX(DailyScalarsTable,CY$5/100,MONTH($A103)))*$E103</f>
        <v>0</v>
      </c>
      <c r="CZ103" s="1021">
        <f>(VLOOKUP(YEAR($A103),'NY East Load Projections'!$A$4:$EO$14,((MONTH($A103)-1)*12)+VLOOKUP(CZ$4,$DE$6:$DF$17,2)+1))*(VLOOKUP($A103,SatSunCurve,8))*(INDEX(DailyScalarsTable,CZ$5/100,MONTH($A103)))*$E103</f>
        <v>0</v>
      </c>
      <c r="DA103" s="1021">
        <f>(VLOOKUP(YEAR($A103),'NY East Load Projections'!$A$4:$EO$14,((MONTH($A103)-1)*12)+VLOOKUP(DA$4,$DE$6:$DF$17,2)+1))*(VLOOKUP($A103,SatSunCurve,8))*(INDEX(DailyScalarsTable,DA$5/100,MONTH($A103)))*$E103</f>
        <v>0</v>
      </c>
      <c r="DB103" s="1021">
        <f>(VLOOKUP(YEAR($A103),'NY East Load Projections'!$A$4:$EO$14,((MONTH($A103)-1)*12)+VLOOKUP(DB$4,$DE$6:$DF$17,2)+1))*(VLOOKUP($A103,CURVES!$D$9:$T$261,8))*(INDEX(DailyScalarsTable,DB$5/100,MONTH($A103)))*$E103</f>
        <v>0</v>
      </c>
      <c r="DH103" s="1021">
        <f t="shared" si="2"/>
        <v>-1823270.5729552426</v>
      </c>
      <c r="DI103">
        <f ca="1">CALC!J123</f>
        <v>0.5180972415705154</v>
      </c>
      <c r="DJ103" s="1029">
        <f t="shared" ca="1" si="3"/>
        <v>-944631.4544848043</v>
      </c>
    </row>
    <row r="104" spans="1:114" x14ac:dyDescent="0.25">
      <c r="A104" s="244">
        <v>39873</v>
      </c>
      <c r="B104" s="13">
        <v>22</v>
      </c>
      <c r="C104" s="210">
        <v>4</v>
      </c>
      <c r="D104" s="210">
        <v>5</v>
      </c>
      <c r="E104" s="210">
        <v>0</v>
      </c>
      <c r="F104" s="13">
        <v>31</v>
      </c>
      <c r="H104" s="1021">
        <f>(VLOOKUP(YEAR($A104),'NY East Load Projections'!$A$4:$EO$14,((MONTH($A104)-1)*12)+VLOOKUP(H$4,$DE$6:$DF$17,2)+1))*(VLOOKUP($A104,CURVES!$D$9:$K$261,8))*(INDEX(DailyScalarsTable,H$5/100,MONTH($A104)))*$B104</f>
        <v>-29208.809375089339</v>
      </c>
      <c r="I104" s="1021">
        <f>(VLOOKUP(YEAR($A104),'NY East Load Projections'!$A$4:$EO$14,((MONTH($A104)-1)*12)+VLOOKUP(I$4,$DE$6:$DF$17,2)+1))*(VLOOKUP($A104,CURVES!$D$9:$K$261,8))*(INDEX(DailyScalarsTable,I$5/100,MONTH($A104)))*$B104</f>
        <v>-27618.224857721638</v>
      </c>
      <c r="J104" s="1021">
        <f>(VLOOKUP(YEAR($A104),'NY East Load Projections'!$A$4:$EO$14,((MONTH($A104)-1)*12)+VLOOKUP(J$4,$DE$6:$DF$17,2)+1))*(VLOOKUP($A104,CURVES!$D$9:$K$261,8))*(INDEX(DailyScalarsTable,J$5/100,MONTH($A104)))*$B104</f>
        <v>-26441.178188896887</v>
      </c>
      <c r="K104" s="1021">
        <f>(VLOOKUP(YEAR($A104),'NY East Load Projections'!$A$4:$EO$14,((MONTH($A104)-1)*12)+VLOOKUP(K$4,$DE$6:$DF$17,2)+1))*(VLOOKUP($A104,CURVES!$D$9:$K$261,8))*(INDEX(DailyScalarsTable,K$5/100,MONTH($A104)))*$B104</f>
        <v>-26457.776206729122</v>
      </c>
      <c r="L104" s="1021">
        <f>(VLOOKUP(YEAR($A104),'NY East Load Projections'!$A$4:$EO$14,((MONTH($A104)-1)*12)+VLOOKUP(L$4,$DE$6:$DF$17,2)+1))*(VLOOKUP($A104,CURVES!$D$9:$K$261,8))*(INDEX(DailyScalarsTable,L$5/100,MONTH($A104)))*$B104</f>
        <v>-31009.116070244632</v>
      </c>
      <c r="M104" s="1021">
        <f>(VLOOKUP(YEAR($A104),'NY East Load Projections'!$A$4:$EO$14,((MONTH($A104)-1)*12)+VLOOKUP(M$4,$DE$6:$DF$17,2)+1))*(VLOOKUP($A104,CURVES!$D$9:$K$261,8))*(INDEX(DailyScalarsTable,M$5/100,MONTH($A104)))*$B104</f>
        <v>-35994.554173648459</v>
      </c>
      <c r="N104" s="1021">
        <f>(VLOOKUP(YEAR($A104),'NY East Load Projections'!$A$4:$EO$14,((MONTH($A104)-1)*12)+VLOOKUP(N$4,$DE$6:$DF$17,2)+1))*(VLOOKUP($A104,CURVES!$D$9:$K$261,8))*(INDEX(DailyScalarsTable,N$5/100,MONTH($A104)))*$B104</f>
        <v>-64948.096628175044</v>
      </c>
      <c r="O104" s="1021">
        <f>(VLOOKUP(YEAR($A104),'NY East Load Projections'!$A$4:$EO$14,((MONTH($A104)-1)*12)+VLOOKUP(O$4,$DE$6:$DF$17,2)+1))*(VLOOKUP($A104,CURVES!$D$9:$K$261,4))*(INDEX(DailyScalarsTable,O$5/100,MONTH($A104)))*$B104</f>
        <v>-69546.445811311205</v>
      </c>
      <c r="P104" s="1021">
        <f>(VLOOKUP(YEAR($A104),'NY East Load Projections'!$A$4:$EO$14,((MONTH($A104)-1)*12)+VLOOKUP(P$4,$DE$6:$DF$17,2)+1))*(VLOOKUP($A104,CURVES!$D$9:$K$261,4))*(INDEX(DailyScalarsTable,P$5/100,MONTH($A104)))*$B104</f>
        <v>-78563.761316674456</v>
      </c>
      <c r="Q104" s="1021">
        <f>(VLOOKUP(YEAR($A104),'NY East Load Projections'!$A$4:$EO$14,((MONTH($A104)-1)*12)+VLOOKUP(Q$4,$DE$6:$DF$17,2)+1))*(VLOOKUP($A104,CURVES!$D$9:$K$261,4))*(INDEX(DailyScalarsTable,Q$5/100,MONTH($A104)))*$B104</f>
        <v>-78326.049482130809</v>
      </c>
      <c r="R104" s="1021">
        <f>(VLOOKUP(YEAR($A104),'NY East Load Projections'!$A$4:$EO$14,((MONTH($A104)-1)*12)+VLOOKUP(R$4,$DE$6:$DF$17,2)+1))*(VLOOKUP($A104,CURVES!$D$9:$K$261,4))*(INDEX(DailyScalarsTable,R$5/100,MONTH($A104)))*$B104</f>
        <v>-76946.000220474671</v>
      </c>
      <c r="S104" s="1021">
        <f>(VLOOKUP(YEAR($A104),'NY East Load Projections'!$A$4:$EO$14,((MONTH($A104)-1)*12)+VLOOKUP(S$4,$DE$6:$DF$17,2)+1))*(VLOOKUP($A104,CURVES!$D$9:$K$261,4))*(INDEX(DailyScalarsTable,S$5/100,MONTH($A104)))*$B104</f>
        <v>-58794.060410461374</v>
      </c>
      <c r="T104" s="1021">
        <f>(VLOOKUP(YEAR($A104),'NY East Load Projections'!$A$4:$EO$14,((MONTH($A104)-1)*12)+VLOOKUP(T$4,$DE$6:$DF$17,2)+1))*(VLOOKUP($A104,CURVES!$D$9:$K$261,4))*(INDEX(DailyScalarsTable,T$5/100,MONTH($A104)))*$B104</f>
        <v>-58831.094427332355</v>
      </c>
      <c r="U104" s="1021">
        <f>(VLOOKUP(YEAR($A104),'NY East Load Projections'!$A$4:$EO$14,((MONTH($A104)-1)*12)+VLOOKUP(U$4,$DE$6:$DF$17,2)+1))*(VLOOKUP($A104,CURVES!$D$9:$K$261,4))*(INDEX(DailyScalarsTable,U$5/100,MONTH($A104)))*$B104</f>
        <v>-56953.506307311116</v>
      </c>
      <c r="V104" s="1021">
        <f>(VLOOKUP(YEAR($A104),'NY East Load Projections'!$A$4:$EO$14,((MONTH($A104)-1)*12)+VLOOKUP(V$4,$DE$6:$DF$17,2)+1))*(VLOOKUP($A104,CURVES!$D$9:$K$261,4))*(INDEX(DailyScalarsTable,V$5/100,MONTH($A104)))*$B104</f>
        <v>-54089.504138727985</v>
      </c>
      <c r="W104" s="1021">
        <f>(VLOOKUP(YEAR($A104),'NY East Load Projections'!$A$4:$EO$14,((MONTH($A104)-1)*12)+VLOOKUP(W$4,$DE$6:$DF$17,2)+1))*(VLOOKUP($A104,CURVES!$D$9:$K$261,4))*(INDEX(DailyScalarsTable,W$5/100,MONTH($A104)))*$B104</f>
        <v>-53014.652968570896</v>
      </c>
      <c r="X104" s="1021">
        <f>(VLOOKUP(YEAR($A104),'NY East Load Projections'!$A$4:$EO$14,((MONTH($A104)-1)*12)+VLOOKUP(X$4,$DE$6:$DF$17,2)+1))*(VLOOKUP($A104,CURVES!$D$9:$K$261,4))*(INDEX(DailyScalarsTable,X$5/100,MONTH($A104)))*$B104</f>
        <v>-55518.448020700969</v>
      </c>
      <c r="Y104" s="1021">
        <f>(VLOOKUP(YEAR($A104),'NY East Load Projections'!$A$4:$EO$14,((MONTH($A104)-1)*12)+VLOOKUP(Y$4,$DE$6:$DF$17,2)+1))*(VLOOKUP($A104,CURVES!$D$9:$K$261,4))*(INDEX(DailyScalarsTable,Y$5/100,MONTH($A104)))*$B104</f>
        <v>-75690.934960426006</v>
      </c>
      <c r="Z104" s="1021">
        <f>(VLOOKUP(YEAR($A104),'NY East Load Projections'!$A$4:$EO$14,((MONTH($A104)-1)*12)+VLOOKUP(Z$4,$DE$6:$DF$17,2)+1))*(VLOOKUP($A104,CURVES!$D$9:$K$261,4))*(INDEX(DailyScalarsTable,Z$5/100,MONTH($A104)))*$B104</f>
        <v>-83114.305599728774</v>
      </c>
      <c r="AA104" s="1021">
        <f>(VLOOKUP(YEAR($A104),'NY East Load Projections'!$A$4:$EO$14,((MONTH($A104)-1)*12)+VLOOKUP(AA$4,$DE$6:$DF$17,2)+1))*(VLOOKUP($A104,CURVES!$D$9:$K$261,4))*(INDEX(DailyScalarsTable,AA$5/100,MONTH($A104)))*$B104</f>
        <v>-79526.778767882628</v>
      </c>
      <c r="AB104" s="1021">
        <f>(VLOOKUP(YEAR($A104),'NY East Load Projections'!$A$4:$EO$14,((MONTH($A104)-1)*12)+VLOOKUP(AB$4,$DE$6:$DF$17,2)+1))*(VLOOKUP($A104,CURVES!$D$9:$K$261,4))*(INDEX(DailyScalarsTable,AB$5/100,MONTH($A104)))*$B104</f>
        <v>-68427.469163763904</v>
      </c>
      <c r="AC104" s="1021">
        <f>(VLOOKUP(YEAR($A104),'NY East Load Projections'!$A$4:$EO$14,((MONTH($A104)-1)*12)+VLOOKUP(AC$4,$DE$6:$DF$17,2)+1))*(VLOOKUP($A104,CURVES!$D$9:$K$261,4))*(INDEX(DailyScalarsTable,AC$5/100,MONTH($A104)))*$B104</f>
        <v>-49687.748327368507</v>
      </c>
      <c r="AD104" s="1021">
        <f>(VLOOKUP(YEAR($A104),'NY East Load Projections'!$A$4:$EO$14,((MONTH($A104)-1)*12)+VLOOKUP(AD$4,$DE$6:$DF$17,2)+1))*(VLOOKUP($A104,CURVES!$D$9:$K$261,4))*(INDEX(DailyScalarsTable,AD$5/100,MONTH($A104)))*$B104</f>
        <v>-40783.990659565854</v>
      </c>
      <c r="AE104" s="1021">
        <f>(VLOOKUP(YEAR($A104),'NY East Load Projections'!$A$4:$EO$14,((MONTH($A104)-1)*12)+VLOOKUP(AE$4,$DE$6:$DF$17,2)+1))*(VLOOKUP($A104,CURVES!$D$9:$K$261,8))*(INDEX(DailyScalarsTable,AE$5/100,MONTH($A104)))*$B104</f>
        <v>-36883.201275616986</v>
      </c>
      <c r="AF104" s="1021"/>
      <c r="AG104" s="1021">
        <f>(VLOOKUP(YEAR($A104),'NY East Load Projections'!$A$4:$EO$14,((MONTH($A104)-1)*12)+VLOOKUP(AG$4,$DE$6:$DF$17,2)+1))*(VLOOKUP($A104,CURVES!$D$9:$T$261,8))*(INDEX(DailyScalarsTable,AG$5/100,MONTH($A104)))*$C104</f>
        <v>-5867.5623199426045</v>
      </c>
      <c r="AH104" s="1021">
        <f>(VLOOKUP(YEAR($A104),'NY East Load Projections'!$A$4:$EO$14,((MONTH($A104)-1)*12)+VLOOKUP(AH$4,$DE$6:$DF$17,2)+1))*(VLOOKUP($A104,CURVES!$D$9:$T$261,8))*(INDEX(DailyScalarsTable,AH$5/100,MONTH($A104)))*$C104</f>
        <v>-5548.0404366319372</v>
      </c>
      <c r="AI104" s="1021">
        <f>(VLOOKUP(YEAR($A104),'NY East Load Projections'!$A$4:$EO$14,((MONTH($A104)-1)*12)+VLOOKUP(AI$4,$DE$6:$DF$17,2)+1))*(VLOOKUP($A104,CURVES!$D$9:$T$261,8))*(INDEX(DailyScalarsTable,AI$5/100,MONTH($A104)))*$C104</f>
        <v>-5311.591405309895</v>
      </c>
      <c r="AJ104" s="1021">
        <f>(VLOOKUP(YEAR($A104),'NY East Load Projections'!$A$4:$EO$14,((MONTH($A104)-1)*12)+VLOOKUP(AJ$4,$DE$6:$DF$17,2)+1))*(VLOOKUP($A104,CURVES!$D$9:$T$261,8))*(INDEX(DailyScalarsTable,AJ$5/100,MONTH($A104)))*$C104</f>
        <v>-5314.9256700780161</v>
      </c>
      <c r="AK104" s="1021">
        <f>(VLOOKUP(YEAR($A104),'NY East Load Projections'!$A$4:$EO$14,((MONTH($A104)-1)*12)+VLOOKUP(AK$4,$DE$6:$DF$17,2)+1))*(VLOOKUP($A104,CURVES!$D$9:$T$261,8))*(INDEX(DailyScalarsTable,AK$5/100,MONTH($A104)))*$C104</f>
        <v>-5787.8201224165696</v>
      </c>
      <c r="AL104" s="1021">
        <f>(VLOOKUP(YEAR($A104),'NY East Load Projections'!$A$4:$EO$14,((MONTH($A104)-1)*12)+VLOOKUP(AL$4,$DE$6:$DF$17,2)+1))*(VLOOKUP($A104,CURVES!$D$9:$T$261,8))*(INDEX(DailyScalarsTable,AL$5/100,MONTH($A104)))*$C104</f>
        <v>-6718.3470974060674</v>
      </c>
      <c r="AM104" s="1021">
        <f>(VLOOKUP(YEAR($A104),'NY East Load Projections'!$A$4:$EO$14,((MONTH($A104)-1)*12)+VLOOKUP(AM$4,$DE$6:$DF$17,2)+1))*(VLOOKUP($A104,CURVES!$D$9:$T$261,8))*(INDEX(DailyScalarsTable,AM$5/100,MONTH($A104)))*$C104</f>
        <v>-12122.496485409871</v>
      </c>
      <c r="AN104" s="1021">
        <f>(VLOOKUP(YEAR($A104),'NY East Load Projections'!$A$4:$EO$14,((MONTH($A104)-1)*12)+VLOOKUP(AN$4,$DE$6:$DF$17,2)+1))*(VLOOKUP($A104,SatSunCurve,4))*(INDEX(DailyScalarsTable,AN$5/100,MONTH($A104)))*$C104</f>
        <v>-8591.1275577842207</v>
      </c>
      <c r="AO104" s="1021">
        <f>(VLOOKUP(YEAR($A104),'NY East Load Projections'!$A$4:$EO$14,((MONTH($A104)-1)*12)+VLOOKUP(AO$4,$DE$6:$DF$17,2)+1))*(VLOOKUP($A104,SatSunCurve,4))*(INDEX(DailyScalarsTable,AO$5/100,MONTH($A104)))*$C104</f>
        <v>-9651.1909939844445</v>
      </c>
      <c r="AP104" s="1021">
        <f>(VLOOKUP(YEAR($A104),'NY East Load Projections'!$A$4:$EO$14,((MONTH($A104)-1)*12)+VLOOKUP(AP$4,$DE$6:$DF$17,2)+1))*(VLOOKUP($A104,SatSunCurve,4))*(INDEX(DailyScalarsTable,AP$5/100,MONTH($A104)))*$C104</f>
        <v>-9621.9892058029473</v>
      </c>
      <c r="AQ104" s="1021">
        <f>(VLOOKUP(YEAR($A104),'NY East Load Projections'!$A$4:$EO$14,((MONTH($A104)-1)*12)+VLOOKUP(AQ$4,$DE$6:$DF$17,2)+1))*(VLOOKUP($A104,SatSunCurve,4))*(INDEX(DailyScalarsTable,AQ$5/100,MONTH($A104)))*$C104</f>
        <v>-9452.456602193708</v>
      </c>
      <c r="AR104" s="1021">
        <f>(VLOOKUP(YEAR($A104),'NY East Load Projections'!$A$4:$EO$14,((MONTH($A104)-1)*12)+VLOOKUP(AR$4,$DE$6:$DF$17,2)+1))*(VLOOKUP($A104,SatSunCurve,4))*(INDEX(DailyScalarsTable,AR$5/100,MONTH($A104)))*$C104</f>
        <v>-7222.5756102233554</v>
      </c>
      <c r="AS104" s="1021">
        <f>(VLOOKUP(YEAR($A104),'NY East Load Projections'!$A$4:$EO$14,((MONTH($A104)-1)*12)+VLOOKUP(AS$4,$DE$6:$DF$17,2)+1))*(VLOOKUP($A104,SatSunCurve,4))*(INDEX(DailyScalarsTable,AS$5/100,MONTH($A104)))*$C104</f>
        <v>-7071.7216405515028</v>
      </c>
      <c r="AT104" s="1021">
        <f>(VLOOKUP(YEAR($A104),'NY East Load Projections'!$A$4:$EO$14,((MONTH($A104)-1)*12)+VLOOKUP(AT$4,$DE$6:$DF$17,2)+1))*(VLOOKUP($A104,SatSunCurve,4))*(INDEX(DailyScalarsTable,AT$5/100,MONTH($A104)))*$C104</f>
        <v>-6846.028396704115</v>
      </c>
      <c r="AU104" s="1021">
        <f>(VLOOKUP(YEAR($A104),'NY East Load Projections'!$A$4:$EO$14,((MONTH($A104)-1)*12)+VLOOKUP(AU$4,$DE$6:$DF$17,2)+1))*(VLOOKUP($A104,SatSunCurve,4))*(INDEX(DailyScalarsTable,AU$5/100,MONTH($A104)))*$C104</f>
        <v>-6501.7644269224093</v>
      </c>
      <c r="AV104" s="1021">
        <f>(VLOOKUP(YEAR($A104),'NY East Load Projections'!$A$4:$EO$14,((MONTH($A104)-1)*12)+VLOOKUP(AV$4,$DE$6:$DF$17,2)+1))*(VLOOKUP($A104,SatSunCurve,4))*(INDEX(DailyScalarsTable,AV$5/100,MONTH($A104)))*$C104</f>
        <v>-6372.5632221112237</v>
      </c>
      <c r="AW104" s="1021">
        <f>(VLOOKUP(YEAR($A104),'NY East Load Projections'!$A$4:$EO$14,((MONTH($A104)-1)*12)+VLOOKUP(AW$4,$DE$6:$DF$17,2)+1))*(VLOOKUP($A104,SatSunCurve,4))*(INDEX(DailyScalarsTable,AW$5/100,MONTH($A104)))*$C104</f>
        <v>-6641.2651666569845</v>
      </c>
      <c r="AX104" s="1021">
        <f>(VLOOKUP(YEAR($A104),'NY East Load Projections'!$A$4:$EO$14,((MONTH($A104)-1)*12)+VLOOKUP(AX$4,$DE$6:$DF$17,2)+1))*(VLOOKUP($A104,SatSunCurve,4))*(INDEX(DailyScalarsTable,AX$5/100,MONTH($A104)))*$C104</f>
        <v>-9054.3519803893432</v>
      </c>
      <c r="AY104" s="1021">
        <f>(VLOOKUP(YEAR($A104),'NY East Load Projections'!$A$4:$EO$14,((MONTH($A104)-1)*12)+VLOOKUP(AY$4,$DE$6:$DF$17,2)+1))*(VLOOKUP($A104,SatSunCurve,4))*(INDEX(DailyScalarsTable,AY$5/100,MONTH($A104)))*$C104</f>
        <v>-9942.3554207521411</v>
      </c>
      <c r="AZ104" s="1021">
        <f>(VLOOKUP(YEAR($A104),'NY East Load Projections'!$A$4:$EO$14,((MONTH($A104)-1)*12)+VLOOKUP(AZ$4,$DE$6:$DF$17,2)+1))*(VLOOKUP($A104,SatSunCurve,4))*(INDEX(DailyScalarsTable,AZ$5/100,MONTH($A104)))*$C104</f>
        <v>-9513.2058707880769</v>
      </c>
      <c r="BA104" s="1021">
        <f>(VLOOKUP(YEAR($A104),'NY East Load Projections'!$A$4:$EO$14,((MONTH($A104)-1)*12)+VLOOKUP(BA$4,$DE$6:$DF$17,2)+1))*(VLOOKUP($A104,SatSunCurve,4))*(INDEX(DailyScalarsTable,BA$5/100,MONTH($A104)))*$C104</f>
        <v>-8618.2538533571569</v>
      </c>
      <c r="BB104" s="1021">
        <f>(VLOOKUP(YEAR($A104),'NY East Load Projections'!$A$4:$EO$14,((MONTH($A104)-1)*12)+VLOOKUP(BB$4,$DE$6:$DF$17,2)+1))*(VLOOKUP($A104,SatSunCurve,4))*(INDEX(DailyScalarsTable,BB$5/100,MONTH($A104)))*$C104</f>
        <v>-6258.0369217242824</v>
      </c>
      <c r="BC104" s="1021">
        <f>(VLOOKUP(YEAR($A104),'NY East Load Projections'!$A$4:$EO$14,((MONTH($A104)-1)*12)+VLOOKUP(BC$4,$DE$6:$DF$17,2)+1))*(VLOOKUP($A104,SatSunCurve,4))*(INDEX(DailyScalarsTable,BC$5/100,MONTH($A104)))*$C104</f>
        <v>-5136.6328311206526</v>
      </c>
      <c r="BD104" s="1021">
        <f>(VLOOKUP(YEAR($A104),'NY East Load Projections'!$A$4:$EO$14,((MONTH($A104)-1)*12)+VLOOKUP(BD$4,$DE$6:$DF$17,2)+1))*(VLOOKUP($A104,CURVES!$D$9:$T$261,8))*(INDEX(DailyScalarsTable,BD$5/100,MONTH($A104)))*$C104</f>
        <v>-7018.8801181600693</v>
      </c>
      <c r="BE104" s="1021"/>
      <c r="BF104" s="1021">
        <f>(VLOOKUP(YEAR($A104),'NY East Load Projections'!$A$4:$EO$14,((MONTH($A104)-1)*12)+VLOOKUP(BF$4,$DE$6:$DF$17,2)+1))*(VLOOKUP($A104,CURVES!$D$9:$T$261,8))*(INDEX(DailyScalarsTable,BF$5/100,MONTH($A104)))*$D104</f>
        <v>-7334.4528999282556</v>
      </c>
      <c r="BG104" s="1021">
        <f>(VLOOKUP(YEAR($A104),'NY East Load Projections'!$A$4:$EO$14,((MONTH($A104)-1)*12)+VLOOKUP(BG$4,$DE$6:$DF$17,2)+1))*(VLOOKUP($A104,CURVES!$D$9:$T$261,8))*(INDEX(DailyScalarsTable,BG$5/100,MONTH($A104)))*$D104</f>
        <v>-6935.0505457899217</v>
      </c>
      <c r="BH104" s="1021">
        <f>(VLOOKUP(YEAR($A104),'NY East Load Projections'!$A$4:$EO$14,((MONTH($A104)-1)*12)+VLOOKUP(BH$4,$DE$6:$DF$17,2)+1))*(VLOOKUP($A104,CURVES!$D$9:$T$261,8))*(INDEX(DailyScalarsTable,BH$5/100,MONTH($A104)))*$D104</f>
        <v>-6639.4892566373692</v>
      </c>
      <c r="BI104" s="1021">
        <f>(VLOOKUP(YEAR($A104),'NY East Load Projections'!$A$4:$EO$14,((MONTH($A104)-1)*12)+VLOOKUP(BI$4,$DE$6:$DF$17,2)+1))*(VLOOKUP($A104,CURVES!$D$9:$T$261,8))*(INDEX(DailyScalarsTable,BI$5/100,MONTH($A104)))*$D104</f>
        <v>-6643.6570875975203</v>
      </c>
      <c r="BJ104" s="1021">
        <f>(VLOOKUP(YEAR($A104),'NY East Load Projections'!$A$4:$EO$14,((MONTH($A104)-1)*12)+VLOOKUP(BJ$4,$DE$6:$DF$17,2)+1))*(VLOOKUP($A104,CURVES!$D$9:$T$261,8))*(INDEX(DailyScalarsTable,BJ$5/100,MONTH($A104)))*$D104</f>
        <v>-7234.7751530207115</v>
      </c>
      <c r="BK104" s="1021">
        <f>(VLOOKUP(YEAR($A104),'NY East Load Projections'!$A$4:$EO$14,((MONTH($A104)-1)*12)+VLOOKUP(BK$4,$DE$6:$DF$17,2)+1))*(VLOOKUP($A104,CURVES!$D$9:$T$261,8))*(INDEX(DailyScalarsTable,BK$5/100,MONTH($A104)))*$D104</f>
        <v>-8397.9338717575847</v>
      </c>
      <c r="BL104" s="1021">
        <f>(VLOOKUP(YEAR($A104),'NY East Load Projections'!$A$4:$EO$14,((MONTH($A104)-1)*12)+VLOOKUP(BL$4,$DE$6:$DF$17,2)+1))*(VLOOKUP($A104,CURVES!$D$9:$T$261,8))*(INDEX(DailyScalarsTable,BL$5/100,MONTH($A104)))*$D104</f>
        <v>-15153.120606762339</v>
      </c>
      <c r="BM104" s="1021">
        <f>(VLOOKUP(YEAR($A104),'NY East Load Projections'!$A$4:$EO$14,((MONTH($A104)-1)*12)+VLOOKUP(BM$4,$DE$6:$DF$17,2)+1))*(VLOOKUP($A104,SatSunCurve,8))*(INDEX(DailyScalarsTable,BM$5/100,MONTH($A104)))*$D104</f>
        <v>-11844.243819622978</v>
      </c>
      <c r="BN104" s="1021">
        <f>(VLOOKUP(YEAR($A104),'NY East Load Projections'!$A$4:$EO$14,((MONTH($A104)-1)*12)+VLOOKUP(BN$4,$DE$6:$DF$17,2)+1))*(VLOOKUP($A104,SatSunCurve,8))*(INDEX(DailyScalarsTable,BN$5/100,MONTH($A104)))*$D104</f>
        <v>-13305.710864335451</v>
      </c>
      <c r="BO104" s="1021">
        <f>(VLOOKUP(YEAR($A104),'NY East Load Projections'!$A$4:$EO$14,((MONTH($A104)-1)*12)+VLOOKUP(BO$4,$DE$6:$DF$17,2)+1))*(VLOOKUP($A104,SatSunCurve,8))*(INDEX(DailyScalarsTable,BO$5/100,MONTH($A104)))*$D104</f>
        <v>-13265.451527378309</v>
      </c>
      <c r="BP104" s="1021">
        <f>(VLOOKUP(YEAR($A104),'NY East Load Projections'!$A$4:$EO$14,((MONTH($A104)-1)*12)+VLOOKUP(BP$4,$DE$6:$DF$17,2)+1))*(VLOOKUP($A104,SatSunCurve,8))*(INDEX(DailyScalarsTable,BP$5/100,MONTH($A104)))*$D104</f>
        <v>-13031.723710043791</v>
      </c>
      <c r="BQ104" s="1021">
        <f>(VLOOKUP(YEAR($A104),'NY East Load Projections'!$A$4:$EO$14,((MONTH($A104)-1)*12)+VLOOKUP(BQ$4,$DE$6:$DF$17,2)+1))*(VLOOKUP($A104,SatSunCurve,8))*(INDEX(DailyScalarsTable,BQ$5/100,MONTH($A104)))*$D104</f>
        <v>-9957.4760073998023</v>
      </c>
      <c r="BR104" s="1021">
        <f>(VLOOKUP(YEAR($A104),'NY East Load Projections'!$A$4:$EO$14,((MONTH($A104)-1)*12)+VLOOKUP(BR$4,$DE$6:$DF$17,2)+1))*(VLOOKUP($A104,SatSunCurve,8))*(INDEX(DailyScalarsTable,BR$5/100,MONTH($A104)))*$D104</f>
        <v>-9749.499675313742</v>
      </c>
      <c r="BS104" s="1021">
        <f>(VLOOKUP(YEAR($A104),'NY East Load Projections'!$A$4:$EO$14,((MONTH($A104)-1)*12)+VLOOKUP(BS$4,$DE$6:$DF$17,2)+1))*(VLOOKUP($A104,SatSunCurve,8))*(INDEX(DailyScalarsTable,BS$5/100,MONTH($A104)))*$D104</f>
        <v>-9438.3454303569215</v>
      </c>
      <c r="BT104" s="1021">
        <f>(VLOOKUP(YEAR($A104),'NY East Load Projections'!$A$4:$EO$14,((MONTH($A104)-1)*12)+VLOOKUP(BT$4,$DE$6:$DF$17,2)+1))*(VLOOKUP($A104,SatSunCurve,8))*(INDEX(DailyScalarsTable,BT$5/100,MONTH($A104)))*$D104</f>
        <v>-8963.7224697524944</v>
      </c>
      <c r="BU104" s="1021">
        <f>(VLOOKUP(YEAR($A104),'NY East Load Projections'!$A$4:$EO$14,((MONTH($A104)-1)*12)+VLOOKUP(BU$4,$DE$6:$DF$17,2)+1))*(VLOOKUP($A104,SatSunCurve,8))*(INDEX(DailyScalarsTable,BU$5/100,MONTH($A104)))*$D104</f>
        <v>-8785.5979382192399</v>
      </c>
      <c r="BV104" s="1021">
        <f>(VLOOKUP(YEAR($A104),'NY East Load Projections'!$A$4:$EO$14,((MONTH($A104)-1)*12)+VLOOKUP(BV$4,$DE$6:$DF$17,2)+1))*(VLOOKUP($A104,SatSunCurve,8))*(INDEX(DailyScalarsTable,BV$5/100,MONTH($A104)))*$D104</f>
        <v>-9156.0465579843094</v>
      </c>
      <c r="BW104" s="1021">
        <f>(VLOOKUP(YEAR($A104),'NY East Load Projections'!$A$4:$EO$14,((MONTH($A104)-1)*12)+VLOOKUP(BW$4,$DE$6:$DF$17,2)+1))*(VLOOKUP($A104,SatSunCurve,8))*(INDEX(DailyScalarsTable,BW$5/100,MONTH($A104)))*$D104</f>
        <v>-12482.872796743439</v>
      </c>
      <c r="BX104" s="1021">
        <f>(VLOOKUP(YEAR($A104),'NY East Load Projections'!$A$4:$EO$14,((MONTH($A104)-1)*12)+VLOOKUP(BX$4,$DE$6:$DF$17,2)+1))*(VLOOKUP($A104,SatSunCurve,8))*(INDEX(DailyScalarsTable,BX$5/100,MONTH($A104)))*$D104</f>
        <v>-13707.127609581265</v>
      </c>
      <c r="BY104" s="1021">
        <f>(VLOOKUP(YEAR($A104),'NY East Load Projections'!$A$4:$EO$14,((MONTH($A104)-1)*12)+VLOOKUP(BY$4,$DE$6:$DF$17,2)+1))*(VLOOKUP($A104,SatSunCurve,8))*(INDEX(DailyScalarsTable,BY$5/100,MONTH($A104)))*$D104</f>
        <v>-13115.476295982702</v>
      </c>
      <c r="BZ104" s="1021">
        <f>(VLOOKUP(YEAR($A104),'NY East Load Projections'!$A$4:$EO$14,((MONTH($A104)-1)*12)+VLOOKUP(BZ$4,$DE$6:$DF$17,2)+1))*(VLOOKUP($A104,SatSunCurve,8))*(INDEX(DailyScalarsTable,BZ$5/100,MONTH($A104)))*$D104</f>
        <v>-11881.641757964364</v>
      </c>
      <c r="CA104" s="1021">
        <f>(VLOOKUP(YEAR($A104),'NY East Load Projections'!$A$4:$EO$14,((MONTH($A104)-1)*12)+VLOOKUP(CA$4,$DE$6:$DF$17,2)+1))*(VLOOKUP($A104,SatSunCurve,8))*(INDEX(DailyScalarsTable,CA$5/100,MONTH($A104)))*$D104</f>
        <v>-8627.7051102500827</v>
      </c>
      <c r="CB104" s="1021">
        <f>(VLOOKUP(YEAR($A104),'NY East Load Projections'!$A$4:$EO$14,((MONTH($A104)-1)*12)+VLOOKUP(CB$4,$DE$6:$DF$17,2)+1))*(VLOOKUP($A104,SatSunCurve,8))*(INDEX(DailyScalarsTable,CB$5/100,MONTH($A104)))*$D104</f>
        <v>-7081.670159646038</v>
      </c>
      <c r="CC104" s="1021">
        <f>(VLOOKUP(YEAR($A104),'NY East Load Projections'!$A$4:$EO$14,((MONTH($A104)-1)*12)+VLOOKUP(CC$4,$DE$6:$DF$17,2)+1))*(VLOOKUP($A104,CURVES!$D$9:$T$261,8))*(INDEX(DailyScalarsTable,CC$5/100,MONTH($A104)))*$D104</f>
        <v>-8773.6001477000864</v>
      </c>
      <c r="CE104" s="1021">
        <f>(VLOOKUP(YEAR($A104),'NY East Load Projections'!$A$4:$EO$14,((MONTH($A104)-1)*12)+VLOOKUP(CE$4,$DE$6:$DF$17,2)+1))*(VLOOKUP($A104,CURVES!$D$9:$T$261,8))*(INDEX(DailyScalarsTable,CE$5/100,MONTH($A104)))*$E104</f>
        <v>0</v>
      </c>
      <c r="CF104" s="1021">
        <f>(VLOOKUP(YEAR($A104),'NY East Load Projections'!$A$4:$EO$14,((MONTH($A104)-1)*12)+VLOOKUP(CF$4,$DE$6:$DF$17,2)+1))*(VLOOKUP($A104,CURVES!$D$9:$T$261,8))*(INDEX(DailyScalarsTable,CF$5/100,MONTH($A104)))*$E104</f>
        <v>0</v>
      </c>
      <c r="CG104" s="1021">
        <f>(VLOOKUP(YEAR($A104),'NY East Load Projections'!$A$4:$EO$14,((MONTH($A104)-1)*12)+VLOOKUP(CG$4,$DE$6:$DF$17,2)+1))*(VLOOKUP($A104,CURVES!$D$9:$T$261,8))*(INDEX(DailyScalarsTable,CG$5/100,MONTH($A104)))*$E104</f>
        <v>0</v>
      </c>
      <c r="CH104" s="1021">
        <f>(VLOOKUP(YEAR($A104),'NY East Load Projections'!$A$4:$EO$14,((MONTH($A104)-1)*12)+VLOOKUP(CH$4,$DE$6:$DF$17,2)+1))*(VLOOKUP($A104,CURVES!$D$9:$T$261,8))*(INDEX(DailyScalarsTable,CH$5/100,MONTH($A104)))*$E104</f>
        <v>0</v>
      </c>
      <c r="CI104" s="1021">
        <f>(VLOOKUP(YEAR($A104),'NY East Load Projections'!$A$4:$EO$14,((MONTH($A104)-1)*12)+VLOOKUP(CI$4,$DE$6:$DF$17,2)+1))*(VLOOKUP($A104,CURVES!$D$9:$T$261,8))*(INDEX(DailyScalarsTable,CI$5/100,MONTH($A104)))*$E104</f>
        <v>0</v>
      </c>
      <c r="CJ104" s="1021">
        <f>(VLOOKUP(YEAR($A104),'NY East Load Projections'!$A$4:$EO$14,((MONTH($A104)-1)*12)+VLOOKUP(CJ$4,$DE$6:$DF$17,2)+1))*(VLOOKUP($A104,CURVES!$D$9:$T$261,8))*(INDEX(DailyScalarsTable,CJ$5/100,MONTH($A104)))*$E104</f>
        <v>0</v>
      </c>
      <c r="CK104" s="1021">
        <f>(VLOOKUP(YEAR($A104),'NY East Load Projections'!$A$4:$EO$14,((MONTH($A104)-1)*12)+VLOOKUP(CK$4,$DE$6:$DF$17,2)+1))*(VLOOKUP($A104,CURVES!$D$9:$T$261,8))*(INDEX(DailyScalarsTable,CK$5/100,MONTH($A104)))*$E104</f>
        <v>0</v>
      </c>
      <c r="CL104" s="1021">
        <f>(VLOOKUP(YEAR($A104),'NY East Load Projections'!$A$4:$EO$14,((MONTH($A104)-1)*12)+VLOOKUP(CL$4,$DE$6:$DF$17,2)+1))*(VLOOKUP($A104,SatSunCurve,8))*(INDEX(DailyScalarsTable,CL$5/100,MONTH($A104)))*$E104</f>
        <v>0</v>
      </c>
      <c r="CM104" s="1021">
        <f>(VLOOKUP(YEAR($A104),'NY East Load Projections'!$A$4:$EO$14,((MONTH($A104)-1)*12)+VLOOKUP(CM$4,$DE$6:$DF$17,2)+1))*(VLOOKUP($A104,SatSunCurve,8))*(INDEX(DailyScalarsTable,CM$5/100,MONTH($A104)))*$E104</f>
        <v>0</v>
      </c>
      <c r="CN104" s="1021">
        <f>(VLOOKUP(YEAR($A104),'NY East Load Projections'!$A$4:$EO$14,((MONTH($A104)-1)*12)+VLOOKUP(CN$4,$DE$6:$DF$17,2)+1))*(VLOOKUP($A104,SatSunCurve,8))*(INDEX(DailyScalarsTable,CN$5/100,MONTH($A104)))*$E104</f>
        <v>0</v>
      </c>
      <c r="CO104" s="1021">
        <f>(VLOOKUP(YEAR($A104),'NY East Load Projections'!$A$4:$EO$14,((MONTH($A104)-1)*12)+VLOOKUP(CO$4,$DE$6:$DF$17,2)+1))*(VLOOKUP($A104,SatSunCurve,8))*(INDEX(DailyScalarsTable,CO$5/100,MONTH($A104)))*$E104</f>
        <v>0</v>
      </c>
      <c r="CP104" s="1021">
        <f>(VLOOKUP(YEAR($A104),'NY East Load Projections'!$A$4:$EO$14,((MONTH($A104)-1)*12)+VLOOKUP(CP$4,$DE$6:$DF$17,2)+1))*(VLOOKUP($A104,SatSunCurve,8))*(INDEX(DailyScalarsTable,CP$5/100,MONTH($A104)))*$E104</f>
        <v>0</v>
      </c>
      <c r="CQ104" s="1021">
        <f>(VLOOKUP(YEAR($A104),'NY East Load Projections'!$A$4:$EO$14,((MONTH($A104)-1)*12)+VLOOKUP(CQ$4,$DE$6:$DF$17,2)+1))*(VLOOKUP($A104,SatSunCurve,8))*(INDEX(DailyScalarsTable,CQ$5/100,MONTH($A104)))*$E104</f>
        <v>0</v>
      </c>
      <c r="CR104" s="1021">
        <f>(VLOOKUP(YEAR($A104),'NY East Load Projections'!$A$4:$EO$14,((MONTH($A104)-1)*12)+VLOOKUP(CR$4,$DE$6:$DF$17,2)+1))*(VLOOKUP($A104,SatSunCurve,8))*(INDEX(DailyScalarsTable,CR$5/100,MONTH($A104)))*$E104</f>
        <v>0</v>
      </c>
      <c r="CS104" s="1021">
        <f>(VLOOKUP(YEAR($A104),'NY East Load Projections'!$A$4:$EO$14,((MONTH($A104)-1)*12)+VLOOKUP(CS$4,$DE$6:$DF$17,2)+1))*(VLOOKUP($A104,SatSunCurve,8))*(INDEX(DailyScalarsTable,CS$5/100,MONTH($A104)))*$E104</f>
        <v>0</v>
      </c>
      <c r="CT104" s="1021">
        <f>(VLOOKUP(YEAR($A104),'NY East Load Projections'!$A$4:$EO$14,((MONTH($A104)-1)*12)+VLOOKUP(CT$4,$DE$6:$DF$17,2)+1))*(VLOOKUP($A104,SatSunCurve,8))*(INDEX(DailyScalarsTable,CT$5/100,MONTH($A104)))*$E104</f>
        <v>0</v>
      </c>
      <c r="CU104" s="1021">
        <f>(VLOOKUP(YEAR($A104),'NY East Load Projections'!$A$4:$EO$14,((MONTH($A104)-1)*12)+VLOOKUP(CU$4,$DE$6:$DF$17,2)+1))*(VLOOKUP($A104,SatSunCurve,8))*(INDEX(DailyScalarsTable,CU$5/100,MONTH($A104)))*$E104</f>
        <v>0</v>
      </c>
      <c r="CV104" s="1021">
        <f>(VLOOKUP(YEAR($A104),'NY East Load Projections'!$A$4:$EO$14,((MONTH($A104)-1)*12)+VLOOKUP(CV$4,$DE$6:$DF$17,2)+1))*(VLOOKUP($A104,SatSunCurve,8))*(INDEX(DailyScalarsTable,CV$5/100,MONTH($A104)))*$E104</f>
        <v>0</v>
      </c>
      <c r="CW104" s="1021">
        <f>(VLOOKUP(YEAR($A104),'NY East Load Projections'!$A$4:$EO$14,((MONTH($A104)-1)*12)+VLOOKUP(CW$4,$DE$6:$DF$17,2)+1))*(VLOOKUP($A104,SatSunCurve,8))*(INDEX(DailyScalarsTable,CW$5/100,MONTH($A104)))*$E104</f>
        <v>0</v>
      </c>
      <c r="CX104" s="1021">
        <f>(VLOOKUP(YEAR($A104),'NY East Load Projections'!$A$4:$EO$14,((MONTH($A104)-1)*12)+VLOOKUP(CX$4,$DE$6:$DF$17,2)+1))*(VLOOKUP($A104,SatSunCurve,8))*(INDEX(DailyScalarsTable,CX$5/100,MONTH($A104)))*$E104</f>
        <v>0</v>
      </c>
      <c r="CY104" s="1021">
        <f>(VLOOKUP(YEAR($A104),'NY East Load Projections'!$A$4:$EO$14,((MONTH($A104)-1)*12)+VLOOKUP(CY$4,$DE$6:$DF$17,2)+1))*(VLOOKUP($A104,SatSunCurve,8))*(INDEX(DailyScalarsTable,CY$5/100,MONTH($A104)))*$E104</f>
        <v>0</v>
      </c>
      <c r="CZ104" s="1021">
        <f>(VLOOKUP(YEAR($A104),'NY East Load Projections'!$A$4:$EO$14,((MONTH($A104)-1)*12)+VLOOKUP(CZ$4,$DE$6:$DF$17,2)+1))*(VLOOKUP($A104,SatSunCurve,8))*(INDEX(DailyScalarsTable,CZ$5/100,MONTH($A104)))*$E104</f>
        <v>0</v>
      </c>
      <c r="DA104" s="1021">
        <f>(VLOOKUP(YEAR($A104),'NY East Load Projections'!$A$4:$EO$14,((MONTH($A104)-1)*12)+VLOOKUP(DA$4,$DE$6:$DF$17,2)+1))*(VLOOKUP($A104,SatSunCurve,8))*(INDEX(DailyScalarsTable,DA$5/100,MONTH($A104)))*$E104</f>
        <v>0</v>
      </c>
      <c r="DB104" s="1021">
        <f>(VLOOKUP(YEAR($A104),'NY East Load Projections'!$A$4:$EO$14,((MONTH($A104)-1)*12)+VLOOKUP(DB$4,$DE$6:$DF$17,2)+1))*(VLOOKUP($A104,CURVES!$D$9:$T$261,8))*(INDEX(DailyScalarsTable,DB$5/100,MONTH($A104)))*$E104</f>
        <v>0</v>
      </c>
      <c r="DH104" s="1021">
        <f t="shared" si="2"/>
        <v>-1738067.2820147441</v>
      </c>
      <c r="DI104">
        <f ca="1">CALC!J124</f>
        <v>0.51484882515290875</v>
      </c>
      <c r="DJ104" s="1029">
        <f t="shared" ca="1" si="3"/>
        <v>-894841.89818200038</v>
      </c>
    </row>
    <row r="105" spans="1:114" x14ac:dyDescent="0.25">
      <c r="A105" s="244">
        <v>39904</v>
      </c>
      <c r="B105" s="13">
        <v>22</v>
      </c>
      <c r="C105" s="210">
        <v>4</v>
      </c>
      <c r="D105" s="210">
        <v>4</v>
      </c>
      <c r="E105" s="210">
        <v>0</v>
      </c>
      <c r="F105" s="13">
        <v>30</v>
      </c>
      <c r="H105" s="1021">
        <f>(VLOOKUP(YEAR($A105),'NY East Load Projections'!$A$4:$EO$14,((MONTH($A105)-1)*12)+VLOOKUP(H$4,$DE$6:$DF$17,2)+1))*(VLOOKUP($A105,CURVES!$D$9:$K$261,8))*(INDEX(DailyScalarsTable,H$5/100,MONTH($A105)))*$B105</f>
        <v>-33519.798934216749</v>
      </c>
      <c r="I105" s="1021">
        <f>(VLOOKUP(YEAR($A105),'NY East Load Projections'!$A$4:$EO$14,((MONTH($A105)-1)*12)+VLOOKUP(I$4,$DE$6:$DF$17,2)+1))*(VLOOKUP($A105,CURVES!$D$9:$K$261,8))*(INDEX(DailyScalarsTable,I$5/100,MONTH($A105)))*$B105</f>
        <v>-31792.583739967944</v>
      </c>
      <c r="J105" s="1021">
        <f>(VLOOKUP(YEAR($A105),'NY East Load Projections'!$A$4:$EO$14,((MONTH($A105)-1)*12)+VLOOKUP(J$4,$DE$6:$DF$17,2)+1))*(VLOOKUP($A105,CURVES!$D$9:$K$261,8))*(INDEX(DailyScalarsTable,J$5/100,MONTH($A105)))*$B105</f>
        <v>-30514.429156834867</v>
      </c>
      <c r="K105" s="1021">
        <f>(VLOOKUP(YEAR($A105),'NY East Load Projections'!$A$4:$EO$14,((MONTH($A105)-1)*12)+VLOOKUP(K$4,$DE$6:$DF$17,2)+1))*(VLOOKUP($A105,CURVES!$D$9:$K$261,8))*(INDEX(DailyScalarsTable,K$5/100,MONTH($A105)))*$B105</f>
        <v>-30532.45293883526</v>
      </c>
      <c r="L105" s="1021">
        <f>(VLOOKUP(YEAR($A105),'NY East Load Projections'!$A$4:$EO$14,((MONTH($A105)-1)*12)+VLOOKUP(L$4,$DE$6:$DF$17,2)+1))*(VLOOKUP($A105,CURVES!$D$9:$K$261,8))*(INDEX(DailyScalarsTable,L$5/100,MONTH($A105)))*$B105</f>
        <v>-35161.718352249569</v>
      </c>
      <c r="M105" s="1021">
        <f>(VLOOKUP(YEAR($A105),'NY East Load Projections'!$A$4:$EO$14,((MONTH($A105)-1)*12)+VLOOKUP(M$4,$DE$6:$DF$17,2)+1))*(VLOOKUP($A105,CURVES!$D$9:$K$261,8))*(INDEX(DailyScalarsTable,M$5/100,MONTH($A105)))*$B105</f>
        <v>-40503.31709918892</v>
      </c>
      <c r="N105" s="1021">
        <f>(VLOOKUP(YEAR($A105),'NY East Load Projections'!$A$4:$EO$14,((MONTH($A105)-1)*12)+VLOOKUP(N$4,$DE$6:$DF$17,2)+1))*(VLOOKUP($A105,CURVES!$D$9:$K$261,8))*(INDEX(DailyScalarsTable,N$5/100,MONTH($A105)))*$B105</f>
        <v>-57769.497297924754</v>
      </c>
      <c r="O105" s="1021">
        <f>(VLOOKUP(YEAR($A105),'NY East Load Projections'!$A$4:$EO$14,((MONTH($A105)-1)*12)+VLOOKUP(O$4,$DE$6:$DF$17,2)+1))*(VLOOKUP($A105,CURVES!$D$9:$K$261,4))*(INDEX(DailyScalarsTable,O$5/100,MONTH($A105)))*$B105</f>
        <v>-70933.4719317696</v>
      </c>
      <c r="P105" s="1021">
        <f>(VLOOKUP(YEAR($A105),'NY East Load Projections'!$A$4:$EO$14,((MONTH($A105)-1)*12)+VLOOKUP(P$4,$DE$6:$DF$17,2)+1))*(VLOOKUP($A105,CURVES!$D$9:$K$261,4))*(INDEX(DailyScalarsTable,P$5/100,MONTH($A105)))*$B105</f>
        <v>-77787.529230715547</v>
      </c>
      <c r="Q105" s="1021">
        <f>(VLOOKUP(YEAR($A105),'NY East Load Projections'!$A$4:$EO$14,((MONTH($A105)-1)*12)+VLOOKUP(Q$4,$DE$6:$DF$17,2)+1))*(VLOOKUP($A105,CURVES!$D$9:$K$261,4))*(INDEX(DailyScalarsTable,Q$5/100,MONTH($A105)))*$B105</f>
        <v>-74548.119079561933</v>
      </c>
      <c r="R105" s="1021">
        <f>(VLOOKUP(YEAR($A105),'NY East Load Projections'!$A$4:$EO$14,((MONTH($A105)-1)*12)+VLOOKUP(R$4,$DE$6:$DF$17,2)+1))*(VLOOKUP($A105,CURVES!$D$9:$K$261,4))*(INDEX(DailyScalarsTable,R$5/100,MONTH($A105)))*$B105</f>
        <v>-76085.001443857953</v>
      </c>
      <c r="S105" s="1021">
        <f>(VLOOKUP(YEAR($A105),'NY East Load Projections'!$A$4:$EO$14,((MONTH($A105)-1)*12)+VLOOKUP(S$4,$DE$6:$DF$17,2)+1))*(VLOOKUP($A105,CURVES!$D$9:$K$261,4))*(INDEX(DailyScalarsTable,S$5/100,MONTH($A105)))*$B105</f>
        <v>-76234.192023118696</v>
      </c>
      <c r="T105" s="1021">
        <f>(VLOOKUP(YEAR($A105),'NY East Load Projections'!$A$4:$EO$14,((MONTH($A105)-1)*12)+VLOOKUP(T$4,$DE$6:$DF$17,2)+1))*(VLOOKUP($A105,CURVES!$D$9:$K$261,4))*(INDEX(DailyScalarsTable,T$5/100,MONTH($A105)))*$B105</f>
        <v>-71658.990132067178</v>
      </c>
      <c r="U105" s="1021">
        <f>(VLOOKUP(YEAR($A105),'NY East Load Projections'!$A$4:$EO$14,((MONTH($A105)-1)*12)+VLOOKUP(U$4,$DE$6:$DF$17,2)+1))*(VLOOKUP($A105,CURVES!$D$9:$K$261,4))*(INDEX(DailyScalarsTable,U$5/100,MONTH($A105)))*$B105</f>
        <v>-71736.151401547948</v>
      </c>
      <c r="V105" s="1021">
        <f>(VLOOKUP(YEAR($A105),'NY East Load Projections'!$A$4:$EO$14,((MONTH($A105)-1)*12)+VLOOKUP(V$4,$DE$6:$DF$17,2)+1))*(VLOOKUP($A105,CURVES!$D$9:$K$261,4))*(INDEX(DailyScalarsTable,V$5/100,MONTH($A105)))*$B105</f>
        <v>-67283.492262686603</v>
      </c>
      <c r="W105" s="1021">
        <f>(VLOOKUP(YEAR($A105),'NY East Load Projections'!$A$4:$EO$14,((MONTH($A105)-1)*12)+VLOOKUP(W$4,$DE$6:$DF$17,2)+1))*(VLOOKUP($A105,CURVES!$D$9:$K$261,4))*(INDEX(DailyScalarsTable,W$5/100,MONTH($A105)))*$B105</f>
        <v>-62884.165177731127</v>
      </c>
      <c r="X105" s="1021">
        <f>(VLOOKUP(YEAR($A105),'NY East Load Projections'!$A$4:$EO$14,((MONTH($A105)-1)*12)+VLOOKUP(X$4,$DE$6:$DF$17,2)+1))*(VLOOKUP($A105,CURVES!$D$9:$K$261,4))*(INDEX(DailyScalarsTable,X$5/100,MONTH($A105)))*$B105</f>
        <v>-58563.909644066487</v>
      </c>
      <c r="Y105" s="1021">
        <f>(VLOOKUP(YEAR($A105),'NY East Load Projections'!$A$4:$EO$14,((MONTH($A105)-1)*12)+VLOOKUP(Y$4,$DE$6:$DF$17,2)+1))*(VLOOKUP($A105,CURVES!$D$9:$K$261,4))*(INDEX(DailyScalarsTable,Y$5/100,MONTH($A105)))*$B105</f>
        <v>-57802.255955536901</v>
      </c>
      <c r="Z105" s="1021">
        <f>(VLOOKUP(YEAR($A105),'NY East Load Projections'!$A$4:$EO$14,((MONTH($A105)-1)*12)+VLOOKUP(Z$4,$DE$6:$DF$17,2)+1))*(VLOOKUP($A105,CURVES!$D$9:$K$261,4))*(INDEX(DailyScalarsTable,Z$5/100,MONTH($A105)))*$B105</f>
        <v>-57492.393999748194</v>
      </c>
      <c r="AA105" s="1021">
        <f>(VLOOKUP(YEAR($A105),'NY East Load Projections'!$A$4:$EO$14,((MONTH($A105)-1)*12)+VLOOKUP(AA$4,$DE$6:$DF$17,2)+1))*(VLOOKUP($A105,CURVES!$D$9:$K$261,4))*(INDEX(DailyScalarsTable,AA$5/100,MONTH($A105)))*$B105</f>
        <v>-63060.158303238364</v>
      </c>
      <c r="AB105" s="1021">
        <f>(VLOOKUP(YEAR($A105),'NY East Load Projections'!$A$4:$EO$14,((MONTH($A105)-1)*12)+VLOOKUP(AB$4,$DE$6:$DF$17,2)+1))*(VLOOKUP($A105,CURVES!$D$9:$K$261,4))*(INDEX(DailyScalarsTable,AB$5/100,MONTH($A105)))*$B105</f>
        <v>-70785.655529119016</v>
      </c>
      <c r="AC105" s="1021">
        <f>(VLOOKUP(YEAR($A105),'NY East Load Projections'!$A$4:$EO$14,((MONTH($A105)-1)*12)+VLOOKUP(AC$4,$DE$6:$DF$17,2)+1))*(VLOOKUP($A105,CURVES!$D$9:$K$261,4))*(INDEX(DailyScalarsTable,AC$5/100,MONTH($A105)))*$B105</f>
        <v>-60314.720079539053</v>
      </c>
      <c r="AD105" s="1021">
        <f>(VLOOKUP(YEAR($A105),'NY East Load Projections'!$A$4:$EO$14,((MONTH($A105)-1)*12)+VLOOKUP(AD$4,$DE$6:$DF$17,2)+1))*(VLOOKUP($A105,CURVES!$D$9:$K$261,4))*(INDEX(DailyScalarsTable,AD$5/100,MONTH($A105)))*$B105</f>
        <v>-53284.418146523909</v>
      </c>
      <c r="AE105" s="1021">
        <f>(VLOOKUP(YEAR($A105),'NY East Load Projections'!$A$4:$EO$14,((MONTH($A105)-1)*12)+VLOOKUP(AE$4,$DE$6:$DF$17,2)+1))*(VLOOKUP($A105,CURVES!$D$9:$K$261,8))*(INDEX(DailyScalarsTable,AE$5/100,MONTH($A105)))*$B105</f>
        <v>-39492.080885116316</v>
      </c>
      <c r="AF105" s="1021"/>
      <c r="AG105" s="1021">
        <f>(VLOOKUP(YEAR($A105),'NY East Load Projections'!$A$4:$EO$14,((MONTH($A105)-1)*12)+VLOOKUP(AG$4,$DE$6:$DF$17,2)+1))*(VLOOKUP($A105,CURVES!$D$9:$T$261,8))*(INDEX(DailyScalarsTable,AG$5/100,MONTH($A105)))*$C105</f>
        <v>-6352.3937736009493</v>
      </c>
      <c r="AH105" s="1021">
        <f>(VLOOKUP(YEAR($A105),'NY East Load Projections'!$A$4:$EO$14,((MONTH($A105)-1)*12)+VLOOKUP(AH$4,$DE$6:$DF$17,2)+1))*(VLOOKUP($A105,CURVES!$D$9:$T$261,8))*(INDEX(DailyScalarsTable,AH$5/100,MONTH($A105)))*$C105</f>
        <v>-6025.0663016448161</v>
      </c>
      <c r="AI105" s="1021">
        <f>(VLOOKUP(YEAR($A105),'NY East Load Projections'!$A$4:$EO$14,((MONTH($A105)-1)*12)+VLOOKUP(AI$4,$DE$6:$DF$17,2)+1))*(VLOOKUP($A105,CURVES!$D$9:$T$261,8))*(INDEX(DailyScalarsTable,AI$5/100,MONTH($A105)))*$C105</f>
        <v>-5782.841065403738</v>
      </c>
      <c r="AJ105" s="1021">
        <f>(VLOOKUP(YEAR($A105),'NY East Load Projections'!$A$4:$EO$14,((MONTH($A105)-1)*12)+VLOOKUP(AJ$4,$DE$6:$DF$17,2)+1))*(VLOOKUP($A105,CURVES!$D$9:$T$261,8))*(INDEX(DailyScalarsTable,AJ$5/100,MONTH($A105)))*$C105</f>
        <v>-5786.2567828064812</v>
      </c>
      <c r="AK105" s="1021">
        <f>(VLOOKUP(YEAR($A105),'NY East Load Projections'!$A$4:$EO$14,((MONTH($A105)-1)*12)+VLOOKUP(AK$4,$DE$6:$DF$17,2)+1))*(VLOOKUP($A105,CURVES!$D$9:$T$261,8))*(INDEX(DailyScalarsTable,AK$5/100,MONTH($A105)))*$C105</f>
        <v>-6299.2647665940449</v>
      </c>
      <c r="AL105" s="1021">
        <f>(VLOOKUP(YEAR($A105),'NY East Load Projections'!$A$4:$EO$14,((MONTH($A105)-1)*12)+VLOOKUP(AL$4,$DE$6:$DF$17,2)+1))*(VLOOKUP($A105,CURVES!$D$9:$T$261,8))*(INDEX(DailyScalarsTable,AL$5/100,MONTH($A105)))*$C105</f>
        <v>-7256.2187028832595</v>
      </c>
      <c r="AM105" s="1021">
        <f>(VLOOKUP(YEAR($A105),'NY East Load Projections'!$A$4:$EO$14,((MONTH($A105)-1)*12)+VLOOKUP(AM$4,$DE$6:$DF$17,2)+1))*(VLOOKUP($A105,CURVES!$D$9:$T$261,8))*(INDEX(DailyScalarsTable,AM$5/100,MONTH($A105)))*$C105</f>
        <v>-10349.475963235609</v>
      </c>
      <c r="AN105" s="1021">
        <f>(VLOOKUP(YEAR($A105),'NY East Load Projections'!$A$4:$EO$14,((MONTH($A105)-1)*12)+VLOOKUP(AN$4,$DE$6:$DF$17,2)+1))*(VLOOKUP($A105,SatSunCurve,4))*(INDEX(DailyScalarsTable,AN$5/100,MONTH($A105)))*$C105</f>
        <v>-8990.3939826227506</v>
      </c>
      <c r="AO105" s="1021">
        <f>(VLOOKUP(YEAR($A105),'NY East Load Projections'!$A$4:$EO$14,((MONTH($A105)-1)*12)+VLOOKUP(AO$4,$DE$6:$DF$17,2)+1))*(VLOOKUP($A105,SatSunCurve,4))*(INDEX(DailyScalarsTable,AO$5/100,MONTH($A105)))*$C105</f>
        <v>-9828.4261132434312</v>
      </c>
      <c r="AP105" s="1021">
        <f>(VLOOKUP(YEAR($A105),'NY East Load Projections'!$A$4:$EO$14,((MONTH($A105)-1)*12)+VLOOKUP(AP$4,$DE$6:$DF$17,2)+1))*(VLOOKUP($A105,SatSunCurve,4))*(INDEX(DailyScalarsTable,AP$5/100,MONTH($A105)))*$C105</f>
        <v>-9419.1278152261166</v>
      </c>
      <c r="AQ105" s="1021">
        <f>(VLOOKUP(YEAR($A105),'NY East Load Projections'!$A$4:$EO$14,((MONTH($A105)-1)*12)+VLOOKUP(AQ$4,$DE$6:$DF$17,2)+1))*(VLOOKUP($A105,SatSunCurve,4))*(INDEX(DailyScalarsTable,AQ$5/100,MONTH($A105)))*$C105</f>
        <v>-9613.3123446952159</v>
      </c>
      <c r="AR105" s="1021">
        <f>(VLOOKUP(YEAR($A105),'NY East Load Projections'!$A$4:$EO$14,((MONTH($A105)-1)*12)+VLOOKUP(AR$4,$DE$6:$DF$17,2)+1))*(VLOOKUP($A105,SatSunCurve,4))*(INDEX(DailyScalarsTable,AR$5/100,MONTH($A105)))*$C105</f>
        <v>-9632.1625202896521</v>
      </c>
      <c r="AS105" s="1021">
        <f>(VLOOKUP(YEAR($A105),'NY East Load Projections'!$A$4:$EO$14,((MONTH($A105)-1)*12)+VLOOKUP(AS$4,$DE$6:$DF$17,2)+1))*(VLOOKUP($A105,SatSunCurve,4))*(INDEX(DailyScalarsTable,AS$5/100,MONTH($A105)))*$C105</f>
        <v>-8890.2502415981526</v>
      </c>
      <c r="AT105" s="1021">
        <f>(VLOOKUP(YEAR($A105),'NY East Load Projections'!$A$4:$EO$14,((MONTH($A105)-1)*12)+VLOOKUP(AT$4,$DE$6:$DF$17,2)+1))*(VLOOKUP($A105,SatSunCurve,4))*(INDEX(DailyScalarsTable,AT$5/100,MONTH($A105)))*$C105</f>
        <v>-8899.823122731128</v>
      </c>
      <c r="AU105" s="1021">
        <f>(VLOOKUP(YEAR($A105),'NY East Load Projections'!$A$4:$EO$14,((MONTH($A105)-1)*12)+VLOOKUP(AU$4,$DE$6:$DF$17,2)+1))*(VLOOKUP($A105,SatSunCurve,4))*(INDEX(DailyScalarsTable,AU$5/100,MONTH($A105)))*$C105</f>
        <v>-8347.4115702928266</v>
      </c>
      <c r="AV105" s="1021">
        <f>(VLOOKUP(YEAR($A105),'NY East Load Projections'!$A$4:$EO$14,((MONTH($A105)-1)*12)+VLOOKUP(AV$4,$DE$6:$DF$17,2)+1))*(VLOOKUP($A105,SatSunCurve,4))*(INDEX(DailyScalarsTable,AV$5/100,MONTH($A105)))*$C105</f>
        <v>-7801.6165680493787</v>
      </c>
      <c r="AW105" s="1021">
        <f>(VLOOKUP(YEAR($A105),'NY East Load Projections'!$A$4:$EO$14,((MONTH($A105)-1)*12)+VLOOKUP(AW$4,$DE$6:$DF$17,2)+1))*(VLOOKUP($A105,SatSunCurve,4))*(INDEX(DailyScalarsTable,AW$5/100,MONTH($A105)))*$C105</f>
        <v>-7183.689589586591</v>
      </c>
      <c r="AX105" s="1021">
        <f>(VLOOKUP(YEAR($A105),'NY East Load Projections'!$A$4:$EO$14,((MONTH($A105)-1)*12)+VLOOKUP(AX$4,$DE$6:$DF$17,2)+1))*(VLOOKUP($A105,SatSunCurve,4))*(INDEX(DailyScalarsTable,AX$5/100,MONTH($A105)))*$C105</f>
        <v>-7090.2620212016545</v>
      </c>
      <c r="AY105" s="1021">
        <f>(VLOOKUP(YEAR($A105),'NY East Load Projections'!$A$4:$EO$14,((MONTH($A105)-1)*12)+VLOOKUP(AY$4,$DE$6:$DF$17,2)+1))*(VLOOKUP($A105,SatSunCurve,4))*(INDEX(DailyScalarsTable,AY$5/100,MONTH($A105)))*$C105</f>
        <v>-7052.2530815742139</v>
      </c>
      <c r="AZ105" s="1021">
        <f>(VLOOKUP(YEAR($A105),'NY East Load Projections'!$A$4:$EO$14,((MONTH($A105)-1)*12)+VLOOKUP(AZ$4,$DE$6:$DF$17,2)+1))*(VLOOKUP($A105,SatSunCurve,4))*(INDEX(DailyScalarsTable,AZ$5/100,MONTH($A105)))*$C105</f>
        <v>-7735.2179093554232</v>
      </c>
      <c r="BA105" s="1021">
        <f>(VLOOKUP(YEAR($A105),'NY East Load Projections'!$A$4:$EO$14,((MONTH($A105)-1)*12)+VLOOKUP(BA$4,$DE$6:$DF$17,2)+1))*(VLOOKUP($A105,SatSunCurve,4))*(INDEX(DailyScalarsTable,BA$5/100,MONTH($A105)))*$C105</f>
        <v>-9146.2652726266097</v>
      </c>
      <c r="BB105" s="1021">
        <f>(VLOOKUP(YEAR($A105),'NY East Load Projections'!$A$4:$EO$14,((MONTH($A105)-1)*12)+VLOOKUP(BB$4,$DE$6:$DF$17,2)+1))*(VLOOKUP($A105,SatSunCurve,4))*(INDEX(DailyScalarsTable,BB$5/100,MONTH($A105)))*$C105</f>
        <v>-7793.3082002009496</v>
      </c>
      <c r="BC105" s="1021">
        <f>(VLOOKUP(YEAR($A105),'NY East Load Projections'!$A$4:$EO$14,((MONTH($A105)-1)*12)+VLOOKUP(BC$4,$DE$6:$DF$17,2)+1))*(VLOOKUP($A105,SatSunCurve,4))*(INDEX(DailyScalarsTable,BC$5/100,MONTH($A105)))*$C105</f>
        <v>-6884.9178498486153</v>
      </c>
      <c r="BD105" s="1021">
        <f>(VLOOKUP(YEAR($A105),'NY East Load Projections'!$A$4:$EO$14,((MONTH($A105)-1)*12)+VLOOKUP(BD$4,$DE$6:$DF$17,2)+1))*(VLOOKUP($A105,CURVES!$D$9:$T$261,8))*(INDEX(DailyScalarsTable,BD$5/100,MONTH($A105)))*$C105</f>
        <v>-7212.7489796886521</v>
      </c>
      <c r="BE105" s="1021"/>
      <c r="BF105" s="1021">
        <f>(VLOOKUP(YEAR($A105),'NY East Load Projections'!$A$4:$EO$14,((MONTH($A105)-1)*12)+VLOOKUP(BF$4,$DE$6:$DF$17,2)+1))*(VLOOKUP($A105,CURVES!$D$9:$T$261,8))*(INDEX(DailyScalarsTable,BF$5/100,MONTH($A105)))*$D105</f>
        <v>-6352.3937736009493</v>
      </c>
      <c r="BG105" s="1021">
        <f>(VLOOKUP(YEAR($A105),'NY East Load Projections'!$A$4:$EO$14,((MONTH($A105)-1)*12)+VLOOKUP(BG$4,$DE$6:$DF$17,2)+1))*(VLOOKUP($A105,CURVES!$D$9:$T$261,8))*(INDEX(DailyScalarsTable,BG$5/100,MONTH($A105)))*$D105</f>
        <v>-6025.0663016448161</v>
      </c>
      <c r="BH105" s="1021">
        <f>(VLOOKUP(YEAR($A105),'NY East Load Projections'!$A$4:$EO$14,((MONTH($A105)-1)*12)+VLOOKUP(BH$4,$DE$6:$DF$17,2)+1))*(VLOOKUP($A105,CURVES!$D$9:$T$261,8))*(INDEX(DailyScalarsTable,BH$5/100,MONTH($A105)))*$D105</f>
        <v>-5782.841065403738</v>
      </c>
      <c r="BI105" s="1021">
        <f>(VLOOKUP(YEAR($A105),'NY East Load Projections'!$A$4:$EO$14,((MONTH($A105)-1)*12)+VLOOKUP(BI$4,$DE$6:$DF$17,2)+1))*(VLOOKUP($A105,CURVES!$D$9:$T$261,8))*(INDEX(DailyScalarsTable,BI$5/100,MONTH($A105)))*$D105</f>
        <v>-5786.2567828064812</v>
      </c>
      <c r="BJ105" s="1021">
        <f>(VLOOKUP(YEAR($A105),'NY East Load Projections'!$A$4:$EO$14,((MONTH($A105)-1)*12)+VLOOKUP(BJ$4,$DE$6:$DF$17,2)+1))*(VLOOKUP($A105,CURVES!$D$9:$T$261,8))*(INDEX(DailyScalarsTable,BJ$5/100,MONTH($A105)))*$D105</f>
        <v>-6299.2647665940449</v>
      </c>
      <c r="BK105" s="1021">
        <f>(VLOOKUP(YEAR($A105),'NY East Load Projections'!$A$4:$EO$14,((MONTH($A105)-1)*12)+VLOOKUP(BK$4,$DE$6:$DF$17,2)+1))*(VLOOKUP($A105,CURVES!$D$9:$T$261,8))*(INDEX(DailyScalarsTable,BK$5/100,MONTH($A105)))*$D105</f>
        <v>-7256.2187028832595</v>
      </c>
      <c r="BL105" s="1021">
        <f>(VLOOKUP(YEAR($A105),'NY East Load Projections'!$A$4:$EO$14,((MONTH($A105)-1)*12)+VLOOKUP(BL$4,$DE$6:$DF$17,2)+1))*(VLOOKUP($A105,CURVES!$D$9:$T$261,8))*(INDEX(DailyScalarsTable,BL$5/100,MONTH($A105)))*$D105</f>
        <v>-10349.475963235609</v>
      </c>
      <c r="BM105" s="1021">
        <f>(VLOOKUP(YEAR($A105),'NY East Load Projections'!$A$4:$EO$14,((MONTH($A105)-1)*12)+VLOOKUP(BM$4,$DE$6:$DF$17,2)+1))*(VLOOKUP($A105,SatSunCurve,8))*(INDEX(DailyScalarsTable,BM$5/100,MONTH($A105)))*$D105</f>
        <v>-9583.1667315092363</v>
      </c>
      <c r="BN105" s="1021">
        <f>(VLOOKUP(YEAR($A105),'NY East Load Projections'!$A$4:$EO$14,((MONTH($A105)-1)*12)+VLOOKUP(BN$4,$DE$6:$DF$17,2)+1))*(VLOOKUP($A105,SatSunCurve,8))*(INDEX(DailyScalarsTable,BN$5/100,MONTH($A105)))*$D105</f>
        <v>-10476.453683073625</v>
      </c>
      <c r="BO105" s="1021">
        <f>(VLOOKUP(YEAR($A105),'NY East Load Projections'!$A$4:$EO$14,((MONTH($A105)-1)*12)+VLOOKUP(BO$4,$DE$6:$DF$17,2)+1))*(VLOOKUP($A105,SatSunCurve,8))*(INDEX(DailyScalarsTable,BO$5/100,MONTH($A105)))*$D105</f>
        <v>-10040.168705974254</v>
      </c>
      <c r="BP105" s="1021">
        <f>(VLOOKUP(YEAR($A105),'NY East Load Projections'!$A$4:$EO$14,((MONTH($A105)-1)*12)+VLOOKUP(BP$4,$DE$6:$DF$17,2)+1))*(VLOOKUP($A105,SatSunCurve,8))*(INDEX(DailyScalarsTable,BP$5/100,MONTH($A105)))*$D105</f>
        <v>-10247.156600629254</v>
      </c>
      <c r="BQ105" s="1021">
        <f>(VLOOKUP(YEAR($A105),'NY East Load Projections'!$A$4:$EO$14,((MONTH($A105)-1)*12)+VLOOKUP(BQ$4,$DE$6:$DF$17,2)+1))*(VLOOKUP($A105,SatSunCurve,8))*(INDEX(DailyScalarsTable,BQ$5/100,MONTH($A105)))*$D105</f>
        <v>-10267.249643936238</v>
      </c>
      <c r="BR105" s="1021">
        <f>(VLOOKUP(YEAR($A105),'NY East Load Projections'!$A$4:$EO$14,((MONTH($A105)-1)*12)+VLOOKUP(BR$4,$DE$6:$DF$17,2)+1))*(VLOOKUP($A105,SatSunCurve,8))*(INDEX(DailyScalarsTable,BR$5/100,MONTH($A105)))*$D105</f>
        <v>-9476.4201118159526</v>
      </c>
      <c r="BS105" s="1021">
        <f>(VLOOKUP(YEAR($A105),'NY East Load Projections'!$A$4:$EO$14,((MONTH($A105)-1)*12)+VLOOKUP(BS$4,$DE$6:$DF$17,2)+1))*(VLOOKUP($A105,SatSunCurve,8))*(INDEX(DailyScalarsTable,BS$5/100,MONTH($A105)))*$D105</f>
        <v>-9486.6241714128464</v>
      </c>
      <c r="BT105" s="1021">
        <f>(VLOOKUP(YEAR($A105),'NY East Load Projections'!$A$4:$EO$14,((MONTH($A105)-1)*12)+VLOOKUP(BT$4,$DE$6:$DF$17,2)+1))*(VLOOKUP($A105,SatSunCurve,8))*(INDEX(DailyScalarsTable,BT$5/100,MONTH($A105)))*$D105</f>
        <v>-8897.7899087920487</v>
      </c>
      <c r="BU105" s="1021">
        <f>(VLOOKUP(YEAR($A105),'NY East Load Projections'!$A$4:$EO$14,((MONTH($A105)-1)*12)+VLOOKUP(BU$4,$DE$6:$DF$17,2)+1))*(VLOOKUP($A105,SatSunCurve,8))*(INDEX(DailyScalarsTable,BU$5/100,MONTH($A105)))*$D105</f>
        <v>-8316.0084520691107</v>
      </c>
      <c r="BV105" s="1021">
        <f>(VLOOKUP(YEAR($A105),'NY East Load Projections'!$A$4:$EO$14,((MONTH($A105)-1)*12)+VLOOKUP(BV$4,$DE$6:$DF$17,2)+1))*(VLOOKUP($A105,SatSunCurve,8))*(INDEX(DailyScalarsTable,BV$5/100,MONTH($A105)))*$D105</f>
        <v>-7657.339068507893</v>
      </c>
      <c r="BW105" s="1021">
        <f>(VLOOKUP(YEAR($A105),'NY East Load Projections'!$A$4:$EO$14,((MONTH($A105)-1)*12)+VLOOKUP(BW$4,$DE$6:$DF$17,2)+1))*(VLOOKUP($A105,SatSunCurve,8))*(INDEX(DailyScalarsTable,BW$5/100,MONTH($A105)))*$D105</f>
        <v>-7557.7514456647914</v>
      </c>
      <c r="BX105" s="1021">
        <f>(VLOOKUP(YEAR($A105),'NY East Load Projections'!$A$4:$EO$14,((MONTH($A105)-1)*12)+VLOOKUP(BX$4,$DE$6:$DF$17,2)+1))*(VLOOKUP($A105,SatSunCurve,8))*(INDEX(DailyScalarsTable,BX$5/100,MONTH($A105)))*$D105</f>
        <v>-7517.2364241382957</v>
      </c>
      <c r="BY105" s="1021">
        <f>(VLOOKUP(YEAR($A105),'NY East Load Projections'!$A$4:$EO$14,((MONTH($A105)-1)*12)+VLOOKUP(BY$4,$DE$6:$DF$17,2)+1))*(VLOOKUP($A105,SatSunCurve,8))*(INDEX(DailyScalarsTable,BY$5/100,MONTH($A105)))*$D105</f>
        <v>-8245.2318633853829</v>
      </c>
      <c r="BZ105" s="1021">
        <f>(VLOOKUP(YEAR($A105),'NY East Load Projections'!$A$4:$EO$14,((MONTH($A105)-1)*12)+VLOOKUP(BZ$4,$DE$6:$DF$17,2)+1))*(VLOOKUP($A105,SatSunCurve,8))*(INDEX(DailyScalarsTable,BZ$5/100,MONTH($A105)))*$D105</f>
        <v>-9749.3152410906423</v>
      </c>
      <c r="CA105" s="1021">
        <f>(VLOOKUP(YEAR($A105),'NY East Load Projections'!$A$4:$EO$14,((MONTH($A105)-1)*12)+VLOOKUP(CA$4,$DE$6:$DF$17,2)+1))*(VLOOKUP($A105,SatSunCurve,8))*(INDEX(DailyScalarsTable,CA$5/100,MONTH($A105)))*$D105</f>
        <v>-8307.1522801914271</v>
      </c>
      <c r="CB105" s="1021">
        <f>(VLOOKUP(YEAR($A105),'NY East Load Projections'!$A$4:$EO$14,((MONTH($A105)-1)*12)+VLOOKUP(CB$4,$DE$6:$DF$17,2)+1))*(VLOOKUP($A105,SatSunCurve,8))*(INDEX(DailyScalarsTable,CB$5/100,MONTH($A105)))*$D105</f>
        <v>-7338.8681091588078</v>
      </c>
      <c r="CC105" s="1021">
        <f>(VLOOKUP(YEAR($A105),'NY East Load Projections'!$A$4:$EO$14,((MONTH($A105)-1)*12)+VLOOKUP(CC$4,$DE$6:$DF$17,2)+1))*(VLOOKUP($A105,CURVES!$D$9:$T$261,8))*(INDEX(DailyScalarsTable,CC$5/100,MONTH($A105)))*$D105</f>
        <v>-7212.7489796886521</v>
      </c>
      <c r="CE105" s="1021">
        <f>(VLOOKUP(YEAR($A105),'NY East Load Projections'!$A$4:$EO$14,((MONTH($A105)-1)*12)+VLOOKUP(CE$4,$DE$6:$DF$17,2)+1))*(VLOOKUP($A105,CURVES!$D$9:$T$261,8))*(INDEX(DailyScalarsTable,CE$5/100,MONTH($A105)))*$E105</f>
        <v>0</v>
      </c>
      <c r="CF105" s="1021">
        <f>(VLOOKUP(YEAR($A105),'NY East Load Projections'!$A$4:$EO$14,((MONTH($A105)-1)*12)+VLOOKUP(CF$4,$DE$6:$DF$17,2)+1))*(VLOOKUP($A105,CURVES!$D$9:$T$261,8))*(INDEX(DailyScalarsTable,CF$5/100,MONTH($A105)))*$E105</f>
        <v>0</v>
      </c>
      <c r="CG105" s="1021">
        <f>(VLOOKUP(YEAR($A105),'NY East Load Projections'!$A$4:$EO$14,((MONTH($A105)-1)*12)+VLOOKUP(CG$4,$DE$6:$DF$17,2)+1))*(VLOOKUP($A105,CURVES!$D$9:$T$261,8))*(INDEX(DailyScalarsTable,CG$5/100,MONTH($A105)))*$E105</f>
        <v>0</v>
      </c>
      <c r="CH105" s="1021">
        <f>(VLOOKUP(YEAR($A105),'NY East Load Projections'!$A$4:$EO$14,((MONTH($A105)-1)*12)+VLOOKUP(CH$4,$DE$6:$DF$17,2)+1))*(VLOOKUP($A105,CURVES!$D$9:$T$261,8))*(INDEX(DailyScalarsTable,CH$5/100,MONTH($A105)))*$E105</f>
        <v>0</v>
      </c>
      <c r="CI105" s="1021">
        <f>(VLOOKUP(YEAR($A105),'NY East Load Projections'!$A$4:$EO$14,((MONTH($A105)-1)*12)+VLOOKUP(CI$4,$DE$6:$DF$17,2)+1))*(VLOOKUP($A105,CURVES!$D$9:$T$261,8))*(INDEX(DailyScalarsTable,CI$5/100,MONTH($A105)))*$E105</f>
        <v>0</v>
      </c>
      <c r="CJ105" s="1021">
        <f>(VLOOKUP(YEAR($A105),'NY East Load Projections'!$A$4:$EO$14,((MONTH($A105)-1)*12)+VLOOKUP(CJ$4,$DE$6:$DF$17,2)+1))*(VLOOKUP($A105,CURVES!$D$9:$T$261,8))*(INDEX(DailyScalarsTable,CJ$5/100,MONTH($A105)))*$E105</f>
        <v>0</v>
      </c>
      <c r="CK105" s="1021">
        <f>(VLOOKUP(YEAR($A105),'NY East Load Projections'!$A$4:$EO$14,((MONTH($A105)-1)*12)+VLOOKUP(CK$4,$DE$6:$DF$17,2)+1))*(VLOOKUP($A105,CURVES!$D$9:$T$261,8))*(INDEX(DailyScalarsTable,CK$5/100,MONTH($A105)))*$E105</f>
        <v>0</v>
      </c>
      <c r="CL105" s="1021">
        <f>(VLOOKUP(YEAR($A105),'NY East Load Projections'!$A$4:$EO$14,((MONTH($A105)-1)*12)+VLOOKUP(CL$4,$DE$6:$DF$17,2)+1))*(VLOOKUP($A105,SatSunCurve,8))*(INDEX(DailyScalarsTable,CL$5/100,MONTH($A105)))*$E105</f>
        <v>0</v>
      </c>
      <c r="CM105" s="1021">
        <f>(VLOOKUP(YEAR($A105),'NY East Load Projections'!$A$4:$EO$14,((MONTH($A105)-1)*12)+VLOOKUP(CM$4,$DE$6:$DF$17,2)+1))*(VLOOKUP($A105,SatSunCurve,8))*(INDEX(DailyScalarsTable,CM$5/100,MONTH($A105)))*$E105</f>
        <v>0</v>
      </c>
      <c r="CN105" s="1021">
        <f>(VLOOKUP(YEAR($A105),'NY East Load Projections'!$A$4:$EO$14,((MONTH($A105)-1)*12)+VLOOKUP(CN$4,$DE$6:$DF$17,2)+1))*(VLOOKUP($A105,SatSunCurve,8))*(INDEX(DailyScalarsTable,CN$5/100,MONTH($A105)))*$E105</f>
        <v>0</v>
      </c>
      <c r="CO105" s="1021">
        <f>(VLOOKUP(YEAR($A105),'NY East Load Projections'!$A$4:$EO$14,((MONTH($A105)-1)*12)+VLOOKUP(CO$4,$DE$6:$DF$17,2)+1))*(VLOOKUP($A105,SatSunCurve,8))*(INDEX(DailyScalarsTable,CO$5/100,MONTH($A105)))*$E105</f>
        <v>0</v>
      </c>
      <c r="CP105" s="1021">
        <f>(VLOOKUP(YEAR($A105),'NY East Load Projections'!$A$4:$EO$14,((MONTH($A105)-1)*12)+VLOOKUP(CP$4,$DE$6:$DF$17,2)+1))*(VLOOKUP($A105,SatSunCurve,8))*(INDEX(DailyScalarsTable,CP$5/100,MONTH($A105)))*$E105</f>
        <v>0</v>
      </c>
      <c r="CQ105" s="1021">
        <f>(VLOOKUP(YEAR($A105),'NY East Load Projections'!$A$4:$EO$14,((MONTH($A105)-1)*12)+VLOOKUP(CQ$4,$DE$6:$DF$17,2)+1))*(VLOOKUP($A105,SatSunCurve,8))*(INDEX(DailyScalarsTable,CQ$5/100,MONTH($A105)))*$E105</f>
        <v>0</v>
      </c>
      <c r="CR105" s="1021">
        <f>(VLOOKUP(YEAR($A105),'NY East Load Projections'!$A$4:$EO$14,((MONTH($A105)-1)*12)+VLOOKUP(CR$4,$DE$6:$DF$17,2)+1))*(VLOOKUP($A105,SatSunCurve,8))*(INDEX(DailyScalarsTable,CR$5/100,MONTH($A105)))*$E105</f>
        <v>0</v>
      </c>
      <c r="CS105" s="1021">
        <f>(VLOOKUP(YEAR($A105),'NY East Load Projections'!$A$4:$EO$14,((MONTH($A105)-1)*12)+VLOOKUP(CS$4,$DE$6:$DF$17,2)+1))*(VLOOKUP($A105,SatSunCurve,8))*(INDEX(DailyScalarsTable,CS$5/100,MONTH($A105)))*$E105</f>
        <v>0</v>
      </c>
      <c r="CT105" s="1021">
        <f>(VLOOKUP(YEAR($A105),'NY East Load Projections'!$A$4:$EO$14,((MONTH($A105)-1)*12)+VLOOKUP(CT$4,$DE$6:$DF$17,2)+1))*(VLOOKUP($A105,SatSunCurve,8))*(INDEX(DailyScalarsTable,CT$5/100,MONTH($A105)))*$E105</f>
        <v>0</v>
      </c>
      <c r="CU105" s="1021">
        <f>(VLOOKUP(YEAR($A105),'NY East Load Projections'!$A$4:$EO$14,((MONTH($A105)-1)*12)+VLOOKUP(CU$4,$DE$6:$DF$17,2)+1))*(VLOOKUP($A105,SatSunCurve,8))*(INDEX(DailyScalarsTable,CU$5/100,MONTH($A105)))*$E105</f>
        <v>0</v>
      </c>
      <c r="CV105" s="1021">
        <f>(VLOOKUP(YEAR($A105),'NY East Load Projections'!$A$4:$EO$14,((MONTH($A105)-1)*12)+VLOOKUP(CV$4,$DE$6:$DF$17,2)+1))*(VLOOKUP($A105,SatSunCurve,8))*(INDEX(DailyScalarsTable,CV$5/100,MONTH($A105)))*$E105</f>
        <v>0</v>
      </c>
      <c r="CW105" s="1021">
        <f>(VLOOKUP(YEAR($A105),'NY East Load Projections'!$A$4:$EO$14,((MONTH($A105)-1)*12)+VLOOKUP(CW$4,$DE$6:$DF$17,2)+1))*(VLOOKUP($A105,SatSunCurve,8))*(INDEX(DailyScalarsTable,CW$5/100,MONTH($A105)))*$E105</f>
        <v>0</v>
      </c>
      <c r="CX105" s="1021">
        <f>(VLOOKUP(YEAR($A105),'NY East Load Projections'!$A$4:$EO$14,((MONTH($A105)-1)*12)+VLOOKUP(CX$4,$DE$6:$DF$17,2)+1))*(VLOOKUP($A105,SatSunCurve,8))*(INDEX(DailyScalarsTable,CX$5/100,MONTH($A105)))*$E105</f>
        <v>0</v>
      </c>
      <c r="CY105" s="1021">
        <f>(VLOOKUP(YEAR($A105),'NY East Load Projections'!$A$4:$EO$14,((MONTH($A105)-1)*12)+VLOOKUP(CY$4,$DE$6:$DF$17,2)+1))*(VLOOKUP($A105,SatSunCurve,8))*(INDEX(DailyScalarsTable,CY$5/100,MONTH($A105)))*$E105</f>
        <v>0</v>
      </c>
      <c r="CZ105" s="1021">
        <f>(VLOOKUP(YEAR($A105),'NY East Load Projections'!$A$4:$EO$14,((MONTH($A105)-1)*12)+VLOOKUP(CZ$4,$DE$6:$DF$17,2)+1))*(VLOOKUP($A105,SatSunCurve,8))*(INDEX(DailyScalarsTable,CZ$5/100,MONTH($A105)))*$E105</f>
        <v>0</v>
      </c>
      <c r="DA105" s="1021">
        <f>(VLOOKUP(YEAR($A105),'NY East Load Projections'!$A$4:$EO$14,((MONTH($A105)-1)*12)+VLOOKUP(DA$4,$DE$6:$DF$17,2)+1))*(VLOOKUP($A105,SatSunCurve,8))*(INDEX(DailyScalarsTable,DA$5/100,MONTH($A105)))*$E105</f>
        <v>0</v>
      </c>
      <c r="DB105" s="1021">
        <f>(VLOOKUP(YEAR($A105),'NY East Load Projections'!$A$4:$EO$14,((MONTH($A105)-1)*12)+VLOOKUP(DB$4,$DE$6:$DF$17,2)+1))*(VLOOKUP($A105,CURVES!$D$9:$T$261,8))*(INDEX(DailyScalarsTable,DB$5/100,MONTH($A105)))*$E105</f>
        <v>0</v>
      </c>
      <c r="DH105" s="1021">
        <f t="shared" si="2"/>
        <v>-1757341.4060613699</v>
      </c>
      <c r="DI105">
        <f ca="1">CALC!J125</f>
        <v>0.5117147372508184</v>
      </c>
      <c r="DJ105" s="1029">
        <f t="shared" ca="1" si="3"/>
        <v>-899257.49586267769</v>
      </c>
    </row>
    <row r="106" spans="1:114" x14ac:dyDescent="0.25">
      <c r="A106" s="244">
        <v>39934</v>
      </c>
      <c r="B106" s="13">
        <v>20</v>
      </c>
      <c r="C106" s="210">
        <v>5</v>
      </c>
      <c r="D106" s="210">
        <v>5</v>
      </c>
      <c r="E106" s="210">
        <v>1</v>
      </c>
      <c r="F106" s="13">
        <v>31</v>
      </c>
      <c r="H106" s="1021">
        <f>(VLOOKUP(YEAR($A106),'NY East Load Projections'!$A$4:$EO$14,((MONTH($A106)-1)*12)+VLOOKUP(H$4,$DE$6:$DF$17,2)+1))*(VLOOKUP($A106,CURVES!$D$9:$K$261,8))*(INDEX(DailyScalarsTable,H$5/100,MONTH($A106)))*$B106</f>
        <v>-36237.331397392874</v>
      </c>
      <c r="I106" s="1021">
        <f>(VLOOKUP(YEAR($A106),'NY East Load Projections'!$A$4:$EO$14,((MONTH($A106)-1)*12)+VLOOKUP(I$4,$DE$6:$DF$17,2)+1))*(VLOOKUP($A106,CURVES!$D$9:$K$261,8))*(INDEX(DailyScalarsTable,I$5/100,MONTH($A106)))*$B106</f>
        <v>-32641.187719730879</v>
      </c>
      <c r="J106" s="1021">
        <f>(VLOOKUP(YEAR($A106),'NY East Load Projections'!$A$4:$EO$14,((MONTH($A106)-1)*12)+VLOOKUP(J$4,$DE$6:$DF$17,2)+1))*(VLOOKUP($A106,CURVES!$D$9:$K$261,8))*(INDEX(DailyScalarsTable,J$5/100,MONTH($A106)))*$B106</f>
        <v>-30890.683918964209</v>
      </c>
      <c r="K106" s="1021">
        <f>(VLOOKUP(YEAR($A106),'NY East Load Projections'!$A$4:$EO$14,((MONTH($A106)-1)*12)+VLOOKUP(K$4,$DE$6:$DF$17,2)+1))*(VLOOKUP($A106,CURVES!$D$9:$K$261,8))*(INDEX(DailyScalarsTable,K$5/100,MONTH($A106)))*$B106</f>
        <v>-29948.836765290816</v>
      </c>
      <c r="L106" s="1021">
        <f>(VLOOKUP(YEAR($A106),'NY East Load Projections'!$A$4:$EO$14,((MONTH($A106)-1)*12)+VLOOKUP(L$4,$DE$6:$DF$17,2)+1))*(VLOOKUP($A106,CURVES!$D$9:$K$261,8))*(INDEX(DailyScalarsTable,L$5/100,MONTH($A106)))*$B106</f>
        <v>-34889.677933601037</v>
      </c>
      <c r="M106" s="1021">
        <f>(VLOOKUP(YEAR($A106),'NY East Load Projections'!$A$4:$EO$14,((MONTH($A106)-1)*12)+VLOOKUP(M$4,$DE$6:$DF$17,2)+1))*(VLOOKUP($A106,CURVES!$D$9:$K$261,8))*(INDEX(DailyScalarsTable,M$5/100,MONTH($A106)))*$B106</f>
        <v>-42301.686978180587</v>
      </c>
      <c r="N106" s="1021">
        <f>(VLOOKUP(YEAR($A106),'NY East Load Projections'!$A$4:$EO$14,((MONTH($A106)-1)*12)+VLOOKUP(N$4,$DE$6:$DF$17,2)+1))*(VLOOKUP($A106,CURVES!$D$9:$K$261,8))*(INDEX(DailyScalarsTable,N$5/100,MONTH($A106)))*$B106</f>
        <v>-50614.603199449404</v>
      </c>
      <c r="O106" s="1021">
        <f>(VLOOKUP(YEAR($A106),'NY East Load Projections'!$A$4:$EO$14,((MONTH($A106)-1)*12)+VLOOKUP(O$4,$DE$6:$DF$17,2)+1))*(VLOOKUP($A106,CURVES!$D$9:$K$261,4))*(INDEX(DailyScalarsTable,O$5/100,MONTH($A106)))*$B106</f>
        <v>-64969.007816527381</v>
      </c>
      <c r="P106" s="1021">
        <f>(VLOOKUP(YEAR($A106),'NY East Load Projections'!$A$4:$EO$14,((MONTH($A106)-1)*12)+VLOOKUP(P$4,$DE$6:$DF$17,2)+1))*(VLOOKUP($A106,CURVES!$D$9:$K$261,4))*(INDEX(DailyScalarsTable,P$5/100,MONTH($A106)))*$B106</f>
        <v>-77601.209126346497</v>
      </c>
      <c r="Q106" s="1021">
        <f>(VLOOKUP(YEAR($A106),'NY East Load Projections'!$A$4:$EO$14,((MONTH($A106)-1)*12)+VLOOKUP(Q$4,$DE$6:$DF$17,2)+1))*(VLOOKUP($A106,CURVES!$D$9:$K$261,4))*(INDEX(DailyScalarsTable,Q$5/100,MONTH($A106)))*$B106</f>
        <v>-78977.592210835166</v>
      </c>
      <c r="R106" s="1021">
        <f>(VLOOKUP(YEAR($A106),'NY East Load Projections'!$A$4:$EO$14,((MONTH($A106)-1)*12)+VLOOKUP(R$4,$DE$6:$DF$17,2)+1))*(VLOOKUP($A106,CURVES!$D$9:$K$261,4))*(INDEX(DailyScalarsTable,R$5/100,MONTH($A106)))*$B106</f>
        <v>-83776.662434627433</v>
      </c>
      <c r="S106" s="1021">
        <f>(VLOOKUP(YEAR($A106),'NY East Load Projections'!$A$4:$EO$14,((MONTH($A106)-1)*12)+VLOOKUP(S$4,$DE$6:$DF$17,2)+1))*(VLOOKUP($A106,CURVES!$D$9:$K$261,4))*(INDEX(DailyScalarsTable,S$5/100,MONTH($A106)))*$B106</f>
        <v>-83143.282608137073</v>
      </c>
      <c r="T106" s="1021">
        <f>(VLOOKUP(YEAR($A106),'NY East Load Projections'!$A$4:$EO$14,((MONTH($A106)-1)*12)+VLOOKUP(T$4,$DE$6:$DF$17,2)+1))*(VLOOKUP($A106,CURVES!$D$9:$K$261,4))*(INDEX(DailyScalarsTable,T$5/100,MONTH($A106)))*$B106</f>
        <v>-81007.417103561282</v>
      </c>
      <c r="U106" s="1021">
        <f>(VLOOKUP(YEAR($A106),'NY East Load Projections'!$A$4:$EO$14,((MONTH($A106)-1)*12)+VLOOKUP(U$4,$DE$6:$DF$17,2)+1))*(VLOOKUP($A106,CURVES!$D$9:$K$261,4))*(INDEX(DailyScalarsTable,U$5/100,MONTH($A106)))*$B106</f>
        <v>-81397.844642462165</v>
      </c>
      <c r="V106" s="1021">
        <f>(VLOOKUP(YEAR($A106),'NY East Load Projections'!$A$4:$EO$14,((MONTH($A106)-1)*12)+VLOOKUP(V$4,$DE$6:$DF$17,2)+1))*(VLOOKUP($A106,CURVES!$D$9:$K$261,4))*(INDEX(DailyScalarsTable,V$5/100,MONTH($A106)))*$B106</f>
        <v>-78954.52391514703</v>
      </c>
      <c r="W106" s="1021">
        <f>(VLOOKUP(YEAR($A106),'NY East Load Projections'!$A$4:$EO$14,((MONTH($A106)-1)*12)+VLOOKUP(W$4,$DE$6:$DF$17,2)+1))*(VLOOKUP($A106,CURVES!$D$9:$K$261,4))*(INDEX(DailyScalarsTable,W$5/100,MONTH($A106)))*$B106</f>
        <v>-75881.481350895017</v>
      </c>
      <c r="X106" s="1021">
        <f>(VLOOKUP(YEAR($A106),'NY East Load Projections'!$A$4:$EO$14,((MONTH($A106)-1)*12)+VLOOKUP(X$4,$DE$6:$DF$17,2)+1))*(VLOOKUP($A106,CURVES!$D$9:$K$261,4))*(INDEX(DailyScalarsTable,X$5/100,MONTH($A106)))*$B106</f>
        <v>-73627.237256128647</v>
      </c>
      <c r="Y106" s="1021">
        <f>(VLOOKUP(YEAR($A106),'NY East Load Projections'!$A$4:$EO$14,((MONTH($A106)-1)*12)+VLOOKUP(Y$4,$DE$6:$DF$17,2)+1))*(VLOOKUP($A106,CURVES!$D$9:$K$261,4))*(INDEX(DailyScalarsTable,Y$5/100,MONTH($A106)))*$B106</f>
        <v>-70757.860726415413</v>
      </c>
      <c r="Z106" s="1021">
        <f>(VLOOKUP(YEAR($A106),'NY East Load Projections'!$A$4:$EO$14,((MONTH($A106)-1)*12)+VLOOKUP(Z$4,$DE$6:$DF$17,2)+1))*(VLOOKUP($A106,CURVES!$D$9:$K$261,4))*(INDEX(DailyScalarsTable,Z$5/100,MONTH($A106)))*$B106</f>
        <v>-61305.796863830707</v>
      </c>
      <c r="AA106" s="1021">
        <f>(VLOOKUP(YEAR($A106),'NY East Load Projections'!$A$4:$EO$14,((MONTH($A106)-1)*12)+VLOOKUP(AA$4,$DE$6:$DF$17,2)+1))*(VLOOKUP($A106,CURVES!$D$9:$K$261,4))*(INDEX(DailyScalarsTable,AA$5/100,MONTH($A106)))*$B106</f>
        <v>-61149.06621304807</v>
      </c>
      <c r="AB106" s="1021">
        <f>(VLOOKUP(YEAR($A106),'NY East Load Projections'!$A$4:$EO$14,((MONTH($A106)-1)*12)+VLOOKUP(AB$4,$DE$6:$DF$17,2)+1))*(VLOOKUP($A106,CURVES!$D$9:$K$261,4))*(INDEX(DailyScalarsTable,AB$5/100,MONTH($A106)))*$B106</f>
        <v>-72335.709327782693</v>
      </c>
      <c r="AC106" s="1021">
        <f>(VLOOKUP(YEAR($A106),'NY East Load Projections'!$A$4:$EO$14,((MONTH($A106)-1)*12)+VLOOKUP(AC$4,$DE$6:$DF$17,2)+1))*(VLOOKUP($A106,CURVES!$D$9:$K$261,4))*(INDEX(DailyScalarsTable,AC$5/100,MONTH($A106)))*$B106</f>
        <v>-68994.794213651607</v>
      </c>
      <c r="AD106" s="1021">
        <f>(VLOOKUP(YEAR($A106),'NY East Load Projections'!$A$4:$EO$14,((MONTH($A106)-1)*12)+VLOOKUP(AD$4,$DE$6:$DF$17,2)+1))*(VLOOKUP($A106,CURVES!$D$9:$K$261,4))*(INDEX(DailyScalarsTable,AD$5/100,MONTH($A106)))*$B106</f>
        <v>-55348.189806093389</v>
      </c>
      <c r="AE106" s="1021">
        <f>(VLOOKUP(YEAR($A106),'NY East Load Projections'!$A$4:$EO$14,((MONTH($A106)-1)*12)+VLOOKUP(AE$4,$DE$6:$DF$17,2)+1))*(VLOOKUP($A106,CURVES!$D$9:$K$261,8))*(INDEX(DailyScalarsTable,AE$5/100,MONTH($A106)))*$B106</f>
        <v>-45034.10517113738</v>
      </c>
      <c r="AF106" s="1021"/>
      <c r="AG106" s="1021">
        <f>(VLOOKUP(YEAR($A106),'NY East Load Projections'!$A$4:$EO$14,((MONTH($A106)-1)*12)+VLOOKUP(AG$4,$DE$6:$DF$17,2)+1))*(VLOOKUP($A106,CURVES!$D$9:$T$261,8))*(INDEX(DailyScalarsTable,AG$5/100,MONTH($A106)))*$C106</f>
        <v>-9376.7414410838082</v>
      </c>
      <c r="AH106" s="1021">
        <f>(VLOOKUP(YEAR($A106),'NY East Load Projections'!$A$4:$EO$14,((MONTH($A106)-1)*12)+VLOOKUP(AH$4,$DE$6:$DF$17,2)+1))*(VLOOKUP($A106,CURVES!$D$9:$T$261,8))*(INDEX(DailyScalarsTable,AH$5/100,MONTH($A106)))*$C106</f>
        <v>-8446.2063230135318</v>
      </c>
      <c r="AI106" s="1021">
        <f>(VLOOKUP(YEAR($A106),'NY East Load Projections'!$A$4:$EO$14,((MONTH($A106)-1)*12)+VLOOKUP(AI$4,$DE$6:$DF$17,2)+1))*(VLOOKUP($A106,CURVES!$D$9:$T$261,8))*(INDEX(DailyScalarsTable,AI$5/100,MONTH($A106)))*$C106</f>
        <v>-7993.2474295613356</v>
      </c>
      <c r="AJ106" s="1021">
        <f>(VLOOKUP(YEAR($A106),'NY East Load Projections'!$A$4:$EO$14,((MONTH($A106)-1)*12)+VLOOKUP(AJ$4,$DE$6:$DF$17,2)+1))*(VLOOKUP($A106,CURVES!$D$9:$T$261,8))*(INDEX(DailyScalarsTable,AJ$5/100,MONTH($A106)))*$C106</f>
        <v>-7749.5358510191181</v>
      </c>
      <c r="AK106" s="1021">
        <f>(VLOOKUP(YEAR($A106),'NY East Load Projections'!$A$4:$EO$14,((MONTH($A106)-1)*12)+VLOOKUP(AK$4,$DE$6:$DF$17,2)+1))*(VLOOKUP($A106,CURVES!$D$9:$T$261,8))*(INDEX(DailyScalarsTable,AK$5/100,MONTH($A106)))*$C106</f>
        <v>-8530.6632385732282</v>
      </c>
      <c r="AL106" s="1021">
        <f>(VLOOKUP(YEAR($A106),'NY East Load Projections'!$A$4:$EO$14,((MONTH($A106)-1)*12)+VLOOKUP(AL$4,$DE$6:$DF$17,2)+1))*(VLOOKUP($A106,CURVES!$D$9:$T$261,8))*(INDEX(DailyScalarsTable,AL$5/100,MONTH($A106)))*$C106</f>
        <v>-10342.928550993125</v>
      </c>
      <c r="AM106" s="1021">
        <f>(VLOOKUP(YEAR($A106),'NY East Load Projections'!$A$4:$EO$14,((MONTH($A106)-1)*12)+VLOOKUP(AM$4,$DE$6:$DF$17,2)+1))*(VLOOKUP($A106,CURVES!$D$9:$T$261,8))*(INDEX(DailyScalarsTable,AM$5/100,MONTH($A106)))*$C106</f>
        <v>-12375.469205254121</v>
      </c>
      <c r="AN106" s="1021">
        <f>(VLOOKUP(YEAR($A106),'NY East Load Projections'!$A$4:$EO$14,((MONTH($A106)-1)*12)+VLOOKUP(AN$4,$DE$6:$DF$17,2)+1))*(VLOOKUP($A106,SatSunCurve,4))*(INDEX(DailyScalarsTable,AN$5/100,MONTH($A106)))*$C106</f>
        <v>-10700.67454189451</v>
      </c>
      <c r="AO106" s="1021">
        <f>(VLOOKUP(YEAR($A106),'NY East Load Projections'!$A$4:$EO$14,((MONTH($A106)-1)*12)+VLOOKUP(AO$4,$DE$6:$DF$17,2)+1))*(VLOOKUP($A106,SatSunCurve,4))*(INDEX(DailyScalarsTable,AO$5/100,MONTH($A106)))*$C106</f>
        <v>-12902.148870203786</v>
      </c>
      <c r="AP106" s="1021">
        <f>(VLOOKUP(YEAR($A106),'NY East Load Projections'!$A$4:$EO$14,((MONTH($A106)-1)*12)+VLOOKUP(AP$4,$DE$6:$DF$17,2)+1))*(VLOOKUP($A106,SatSunCurve,4))*(INDEX(DailyScalarsTable,AP$5/100,MONTH($A106)))*$C106</f>
        <v>-13130.989369706698</v>
      </c>
      <c r="AQ106" s="1021">
        <f>(VLOOKUP(YEAR($A106),'NY East Load Projections'!$A$4:$EO$14,((MONTH($A106)-1)*12)+VLOOKUP(AQ$4,$DE$6:$DF$17,2)+1))*(VLOOKUP($A106,SatSunCurve,4))*(INDEX(DailyScalarsTable,AQ$5/100,MONTH($A106)))*$C106</f>
        <v>-13928.893412221263</v>
      </c>
      <c r="AR106" s="1021">
        <f>(VLOOKUP(YEAR($A106),'NY East Load Projections'!$A$4:$EO$14,((MONTH($A106)-1)*12)+VLOOKUP(AR$4,$DE$6:$DF$17,2)+1))*(VLOOKUP($A106,SatSunCurve,4))*(INDEX(DailyScalarsTable,AR$5/100,MONTH($A106)))*$C106</f>
        <v>-13823.586279706647</v>
      </c>
      <c r="AS106" s="1021">
        <f>(VLOOKUP(YEAR($A106),'NY East Load Projections'!$A$4:$EO$14,((MONTH($A106)-1)*12)+VLOOKUP(AS$4,$DE$6:$DF$17,2)+1))*(VLOOKUP($A106,SatSunCurve,4))*(INDEX(DailyScalarsTable,AS$5/100,MONTH($A106)))*$C106</f>
        <v>-13300.883225699767</v>
      </c>
      <c r="AT106" s="1021">
        <f>(VLOOKUP(YEAR($A106),'NY East Load Projections'!$A$4:$EO$14,((MONTH($A106)-1)*12)+VLOOKUP(AT$4,$DE$6:$DF$17,2)+1))*(VLOOKUP($A106,SatSunCurve,4))*(INDEX(DailyScalarsTable,AT$5/100,MONTH($A106)))*$C106</f>
        <v>-13364.988850699256</v>
      </c>
      <c r="AU106" s="1021">
        <f>(VLOOKUP(YEAR($A106),'NY East Load Projections'!$A$4:$EO$14,((MONTH($A106)-1)*12)+VLOOKUP(AU$4,$DE$6:$DF$17,2)+1))*(VLOOKUP($A106,SatSunCurve,4))*(INDEX(DailyScalarsTable,AU$5/100,MONTH($A106)))*$C106</f>
        <v>-12963.811713605699</v>
      </c>
      <c r="AV106" s="1021">
        <f>(VLOOKUP(YEAR($A106),'NY East Load Projections'!$A$4:$EO$14,((MONTH($A106)-1)*12)+VLOOKUP(AV$4,$DE$6:$DF$17,2)+1))*(VLOOKUP($A106,SatSunCurve,4))*(INDEX(DailyScalarsTable,AV$5/100,MONTH($A106)))*$C106</f>
        <v>-12459.238407158133</v>
      </c>
      <c r="AW106" s="1021">
        <f>(VLOOKUP(YEAR($A106),'NY East Load Projections'!$A$4:$EO$14,((MONTH($A106)-1)*12)+VLOOKUP(AW$4,$DE$6:$DF$17,2)+1))*(VLOOKUP($A106,SatSunCurve,4))*(INDEX(DailyScalarsTable,AW$5/100,MONTH($A106)))*$C106</f>
        <v>-11878.183530096863</v>
      </c>
      <c r="AX106" s="1021">
        <f>(VLOOKUP(YEAR($A106),'NY East Load Projections'!$A$4:$EO$14,((MONTH($A106)-1)*12)+VLOOKUP(AX$4,$DE$6:$DF$17,2)+1))*(VLOOKUP($A106,SatSunCurve,4))*(INDEX(DailyScalarsTable,AX$5/100,MONTH($A106)))*$C106</f>
        <v>-11415.270859364411</v>
      </c>
      <c r="AY106" s="1021">
        <f>(VLOOKUP(YEAR($A106),'NY East Load Projections'!$A$4:$EO$14,((MONTH($A106)-1)*12)+VLOOKUP(AY$4,$DE$6:$DF$17,2)+1))*(VLOOKUP($A106,SatSunCurve,4))*(INDEX(DailyScalarsTable,AY$5/100,MONTH($A106)))*$C106</f>
        <v>-9890.3820616575304</v>
      </c>
      <c r="AZ106" s="1021">
        <f>(VLOOKUP(YEAR($A106),'NY East Load Projections'!$A$4:$EO$14,((MONTH($A106)-1)*12)+VLOOKUP(AZ$4,$DE$6:$DF$17,2)+1))*(VLOOKUP($A106,SatSunCurve,4))*(INDEX(DailyScalarsTable,AZ$5/100,MONTH($A106)))*$C106</f>
        <v>-9865.0969157771906</v>
      </c>
      <c r="BA106" s="1021">
        <f>(VLOOKUP(YEAR($A106),'NY East Load Projections'!$A$4:$EO$14,((MONTH($A106)-1)*12)+VLOOKUP(BA$4,$DE$6:$DF$17,2)+1))*(VLOOKUP($A106,SatSunCurve,4))*(INDEX(DailyScalarsTable,BA$5/100,MONTH($A106)))*$C106</f>
        <v>-12301.334353785791</v>
      </c>
      <c r="BB106" s="1021">
        <f>(VLOOKUP(YEAR($A106),'NY East Load Projections'!$A$4:$EO$14,((MONTH($A106)-1)*12)+VLOOKUP(BB$4,$DE$6:$DF$17,2)+1))*(VLOOKUP($A106,SatSunCurve,4))*(INDEX(DailyScalarsTable,BB$5/100,MONTH($A106)))*$C106</f>
        <v>-11733.181856928226</v>
      </c>
      <c r="BC106" s="1021">
        <f>(VLOOKUP(YEAR($A106),'NY East Load Projections'!$A$4:$EO$14,((MONTH($A106)-1)*12)+VLOOKUP(BC$4,$DE$6:$DF$17,2)+1))*(VLOOKUP($A106,SatSunCurve,4))*(INDEX(DailyScalarsTable,BC$5/100,MONTH($A106)))*$C106</f>
        <v>-9412.4547199269637</v>
      </c>
      <c r="BD106" s="1021">
        <f>(VLOOKUP(YEAR($A106),'NY East Load Projections'!$A$4:$EO$14,((MONTH($A106)-1)*12)+VLOOKUP(BD$4,$DE$6:$DF$17,2)+1))*(VLOOKUP($A106,CURVES!$D$9:$T$261,8))*(INDEX(DailyScalarsTable,BD$5/100,MONTH($A106)))*$C106</f>
        <v>-11368.991258179936</v>
      </c>
      <c r="BE106" s="1021"/>
      <c r="BF106" s="1021">
        <f>(VLOOKUP(YEAR($A106),'NY East Load Projections'!$A$4:$EO$14,((MONTH($A106)-1)*12)+VLOOKUP(BF$4,$DE$6:$DF$17,2)+1))*(VLOOKUP($A106,CURVES!$D$9:$T$261,8))*(INDEX(DailyScalarsTable,BF$5/100,MONTH($A106)))*$D106</f>
        <v>-9376.7414410838082</v>
      </c>
      <c r="BG106" s="1021">
        <f>(VLOOKUP(YEAR($A106),'NY East Load Projections'!$A$4:$EO$14,((MONTH($A106)-1)*12)+VLOOKUP(BG$4,$DE$6:$DF$17,2)+1))*(VLOOKUP($A106,CURVES!$D$9:$T$261,8))*(INDEX(DailyScalarsTable,BG$5/100,MONTH($A106)))*$D106</f>
        <v>-8446.2063230135318</v>
      </c>
      <c r="BH106" s="1021">
        <f>(VLOOKUP(YEAR($A106),'NY East Load Projections'!$A$4:$EO$14,((MONTH($A106)-1)*12)+VLOOKUP(BH$4,$DE$6:$DF$17,2)+1))*(VLOOKUP($A106,CURVES!$D$9:$T$261,8))*(INDEX(DailyScalarsTable,BH$5/100,MONTH($A106)))*$D106</f>
        <v>-7993.2474295613356</v>
      </c>
      <c r="BI106" s="1021">
        <f>(VLOOKUP(YEAR($A106),'NY East Load Projections'!$A$4:$EO$14,((MONTH($A106)-1)*12)+VLOOKUP(BI$4,$DE$6:$DF$17,2)+1))*(VLOOKUP($A106,CURVES!$D$9:$T$261,8))*(INDEX(DailyScalarsTable,BI$5/100,MONTH($A106)))*$D106</f>
        <v>-7749.5358510191181</v>
      </c>
      <c r="BJ106" s="1021">
        <f>(VLOOKUP(YEAR($A106),'NY East Load Projections'!$A$4:$EO$14,((MONTH($A106)-1)*12)+VLOOKUP(BJ$4,$DE$6:$DF$17,2)+1))*(VLOOKUP($A106,CURVES!$D$9:$T$261,8))*(INDEX(DailyScalarsTable,BJ$5/100,MONTH($A106)))*$D106</f>
        <v>-8530.6632385732282</v>
      </c>
      <c r="BK106" s="1021">
        <f>(VLOOKUP(YEAR($A106),'NY East Load Projections'!$A$4:$EO$14,((MONTH($A106)-1)*12)+VLOOKUP(BK$4,$DE$6:$DF$17,2)+1))*(VLOOKUP($A106,CURVES!$D$9:$T$261,8))*(INDEX(DailyScalarsTable,BK$5/100,MONTH($A106)))*$D106</f>
        <v>-10342.928550993125</v>
      </c>
      <c r="BL106" s="1021">
        <f>(VLOOKUP(YEAR($A106),'NY East Load Projections'!$A$4:$EO$14,((MONTH($A106)-1)*12)+VLOOKUP(BL$4,$DE$6:$DF$17,2)+1))*(VLOOKUP($A106,CURVES!$D$9:$T$261,8))*(INDEX(DailyScalarsTable,BL$5/100,MONTH($A106)))*$D106</f>
        <v>-12375.469205254121</v>
      </c>
      <c r="BM106" s="1021">
        <f>(VLOOKUP(YEAR($A106),'NY East Load Projections'!$A$4:$EO$14,((MONTH($A106)-1)*12)+VLOOKUP(BM$4,$DE$6:$DF$17,2)+1))*(VLOOKUP($A106,SatSunCurve,8))*(INDEX(DailyScalarsTable,BM$5/100,MONTH($A106)))*$D106</f>
        <v>-11025.796860137571</v>
      </c>
      <c r="BN106" s="1021">
        <f>(VLOOKUP(YEAR($A106),'NY East Load Projections'!$A$4:$EO$14,((MONTH($A106)-1)*12)+VLOOKUP(BN$4,$DE$6:$DF$17,2)+1))*(VLOOKUP($A106,SatSunCurve,8))*(INDEX(DailyScalarsTable,BN$5/100,MONTH($A106)))*$D106</f>
        <v>-13294.159349036185</v>
      </c>
      <c r="BO106" s="1021">
        <f>(VLOOKUP(YEAR($A106),'NY East Load Projections'!$A$4:$EO$14,((MONTH($A106)-1)*12)+VLOOKUP(BO$4,$DE$6:$DF$17,2)+1))*(VLOOKUP($A106,SatSunCurve,8))*(INDEX(DailyScalarsTable,BO$5/100,MONTH($A106)))*$D106</f>
        <v>-13529.952789067755</v>
      </c>
      <c r="BP106" s="1021">
        <f>(VLOOKUP(YEAR($A106),'NY East Load Projections'!$A$4:$EO$14,((MONTH($A106)-1)*12)+VLOOKUP(BP$4,$DE$6:$DF$17,2)+1))*(VLOOKUP($A106,SatSunCurve,8))*(INDEX(DailyScalarsTable,BP$5/100,MONTH($A106)))*$D106</f>
        <v>-14352.099827761878</v>
      </c>
      <c r="BQ106" s="1021">
        <f>(VLOOKUP(YEAR($A106),'NY East Load Projections'!$A$4:$EO$14,((MONTH($A106)-1)*12)+VLOOKUP(BQ$4,$DE$6:$DF$17,2)+1))*(VLOOKUP($A106,SatSunCurve,8))*(INDEX(DailyScalarsTable,BQ$5/100,MONTH($A106)))*$D106</f>
        <v>-14243.593111995138</v>
      </c>
      <c r="BR106" s="1021">
        <f>(VLOOKUP(YEAR($A106),'NY East Load Projections'!$A$4:$EO$14,((MONTH($A106)-1)*12)+VLOOKUP(BR$4,$DE$6:$DF$17,2)+1))*(VLOOKUP($A106,SatSunCurve,8))*(INDEX(DailyScalarsTable,BR$5/100,MONTH($A106)))*$D106</f>
        <v>-13705.008589207375</v>
      </c>
      <c r="BS106" s="1021">
        <f>(VLOOKUP(YEAR($A106),'NY East Load Projections'!$A$4:$EO$14,((MONTH($A106)-1)*12)+VLOOKUP(BS$4,$DE$6:$DF$17,2)+1))*(VLOOKUP($A106,SatSunCurve,8))*(INDEX(DailyScalarsTable,BS$5/100,MONTH($A106)))*$D106</f>
        <v>-13771.061957718794</v>
      </c>
      <c r="BT106" s="1021">
        <f>(VLOOKUP(YEAR($A106),'NY East Load Projections'!$A$4:$EO$14,((MONTH($A106)-1)*12)+VLOOKUP(BT$4,$DE$6:$DF$17,2)+1))*(VLOOKUP($A106,SatSunCurve,8))*(INDEX(DailyScalarsTable,BT$5/100,MONTH($A106)))*$D106</f>
        <v>-13357.695716066704</v>
      </c>
      <c r="BU106" s="1021">
        <f>(VLOOKUP(YEAR($A106),'NY East Load Projections'!$A$4:$EO$14,((MONTH($A106)-1)*12)+VLOOKUP(BU$4,$DE$6:$DF$17,2)+1))*(VLOOKUP($A106,SatSunCurve,8))*(INDEX(DailyScalarsTable,BU$5/100,MONTH($A106)))*$D106</f>
        <v>-12837.79178326717</v>
      </c>
      <c r="BV106" s="1021">
        <f>(VLOOKUP(YEAR($A106),'NY East Load Projections'!$A$4:$EO$14,((MONTH($A106)-1)*12)+VLOOKUP(BV$4,$DE$6:$DF$17,2)+1))*(VLOOKUP($A106,SatSunCurve,8))*(INDEX(DailyScalarsTable,BV$5/100,MONTH($A106)))*$D106</f>
        <v>-12239.082513679807</v>
      </c>
      <c r="BW106" s="1021">
        <f>(VLOOKUP(YEAR($A106),'NY East Load Projections'!$A$4:$EO$14,((MONTH($A106)-1)*12)+VLOOKUP(BW$4,$DE$6:$DF$17,2)+1))*(VLOOKUP($A106,SatSunCurve,8))*(INDEX(DailyScalarsTable,BW$5/100,MONTH($A106)))*$D106</f>
        <v>-11762.105006187452</v>
      </c>
      <c r="BX106" s="1021">
        <f>(VLOOKUP(YEAR($A106),'NY East Load Projections'!$A$4:$EO$14,((MONTH($A106)-1)*12)+VLOOKUP(BX$4,$DE$6:$DF$17,2)+1))*(VLOOKUP($A106,SatSunCurve,8))*(INDEX(DailyScalarsTable,BX$5/100,MONTH($A106)))*$D106</f>
        <v>-10190.884981506766</v>
      </c>
      <c r="BY106" s="1021">
        <f>(VLOOKUP(YEAR($A106),'NY East Load Projections'!$A$4:$EO$14,((MONTH($A106)-1)*12)+VLOOKUP(BY$4,$DE$6:$DF$17,2)+1))*(VLOOKUP($A106,SatSunCurve,8))*(INDEX(DailyScalarsTable,BY$5/100,MONTH($A106)))*$D106</f>
        <v>-10164.831588240379</v>
      </c>
      <c r="BZ106" s="1021">
        <f>(VLOOKUP(YEAR($A106),'NY East Load Projections'!$A$4:$EO$14,((MONTH($A106)-1)*12)+VLOOKUP(BZ$4,$DE$6:$DF$17,2)+1))*(VLOOKUP($A106,SatSunCurve,8))*(INDEX(DailyScalarsTable,BZ$5/100,MONTH($A106)))*$D106</f>
        <v>-12675.090076093533</v>
      </c>
      <c r="CA106" s="1021">
        <f>(VLOOKUP(YEAR($A106),'NY East Load Projections'!$A$4:$EO$14,((MONTH($A106)-1)*12)+VLOOKUP(CA$4,$DE$6:$DF$17,2)+1))*(VLOOKUP($A106,SatSunCurve,8))*(INDEX(DailyScalarsTable,CA$5/100,MONTH($A106)))*$D106</f>
        <v>-12089.67520421739</v>
      </c>
      <c r="CB106" s="1021">
        <f>(VLOOKUP(YEAR($A106),'NY East Load Projections'!$A$4:$EO$14,((MONTH($A106)-1)*12)+VLOOKUP(CB$4,$DE$6:$DF$17,2)+1))*(VLOOKUP($A106,SatSunCurve,8))*(INDEX(DailyScalarsTable,CB$5/100,MONTH($A106)))*$D106</f>
        <v>-9698.4366070425294</v>
      </c>
      <c r="CC106" s="1021">
        <f>(VLOOKUP(YEAR($A106),'NY East Load Projections'!$A$4:$EO$14,((MONTH($A106)-1)*12)+VLOOKUP(CC$4,$DE$6:$DF$17,2)+1))*(VLOOKUP($A106,CURVES!$D$9:$T$261,8))*(INDEX(DailyScalarsTable,CC$5/100,MONTH($A106)))*$D106</f>
        <v>-11368.991258179936</v>
      </c>
      <c r="CE106" s="1021">
        <f>(VLOOKUP(YEAR($A106),'NY East Load Projections'!$A$4:$EO$14,((MONTH($A106)-1)*12)+VLOOKUP(CE$4,$DE$6:$DF$17,2)+1))*(VLOOKUP($A106,CURVES!$D$9:$T$261,8))*(INDEX(DailyScalarsTable,CE$5/100,MONTH($A106)))*$E106</f>
        <v>-1875.3482882167616</v>
      </c>
      <c r="CF106" s="1021">
        <f>(VLOOKUP(YEAR($A106),'NY East Load Projections'!$A$4:$EO$14,((MONTH($A106)-1)*12)+VLOOKUP(CF$4,$DE$6:$DF$17,2)+1))*(VLOOKUP($A106,CURVES!$D$9:$T$261,8))*(INDEX(DailyScalarsTable,CF$5/100,MONTH($A106)))*$E106</f>
        <v>-1689.2412646027062</v>
      </c>
      <c r="CG106" s="1021">
        <f>(VLOOKUP(YEAR($A106),'NY East Load Projections'!$A$4:$EO$14,((MONTH($A106)-1)*12)+VLOOKUP(CG$4,$DE$6:$DF$17,2)+1))*(VLOOKUP($A106,CURVES!$D$9:$T$261,8))*(INDEX(DailyScalarsTable,CG$5/100,MONTH($A106)))*$E106</f>
        <v>-1598.6494859122672</v>
      </c>
      <c r="CH106" s="1021">
        <f>(VLOOKUP(YEAR($A106),'NY East Load Projections'!$A$4:$EO$14,((MONTH($A106)-1)*12)+VLOOKUP(CH$4,$DE$6:$DF$17,2)+1))*(VLOOKUP($A106,CURVES!$D$9:$T$261,8))*(INDEX(DailyScalarsTable,CH$5/100,MONTH($A106)))*$E106</f>
        <v>-1549.9071702038236</v>
      </c>
      <c r="CI106" s="1021">
        <f>(VLOOKUP(YEAR($A106),'NY East Load Projections'!$A$4:$EO$14,((MONTH($A106)-1)*12)+VLOOKUP(CI$4,$DE$6:$DF$17,2)+1))*(VLOOKUP($A106,CURVES!$D$9:$T$261,8))*(INDEX(DailyScalarsTable,CI$5/100,MONTH($A106)))*$E106</f>
        <v>-1706.1326477146456</v>
      </c>
      <c r="CJ106" s="1021">
        <f>(VLOOKUP(YEAR($A106),'NY East Load Projections'!$A$4:$EO$14,((MONTH($A106)-1)*12)+VLOOKUP(CJ$4,$DE$6:$DF$17,2)+1))*(VLOOKUP($A106,CURVES!$D$9:$T$261,8))*(INDEX(DailyScalarsTable,CJ$5/100,MONTH($A106)))*$E106</f>
        <v>-2068.5857101986248</v>
      </c>
      <c r="CK106" s="1021">
        <f>(VLOOKUP(YEAR($A106),'NY East Load Projections'!$A$4:$EO$14,((MONTH($A106)-1)*12)+VLOOKUP(CK$4,$DE$6:$DF$17,2)+1))*(VLOOKUP($A106,CURVES!$D$9:$T$261,8))*(INDEX(DailyScalarsTable,CK$5/100,MONTH($A106)))*$E106</f>
        <v>-2475.0938410508243</v>
      </c>
      <c r="CL106" s="1021">
        <f>(VLOOKUP(YEAR($A106),'NY East Load Projections'!$A$4:$EO$14,((MONTH($A106)-1)*12)+VLOOKUP(CL$4,$DE$6:$DF$17,2)+1))*(VLOOKUP($A106,SatSunCurve,8))*(INDEX(DailyScalarsTable,CL$5/100,MONTH($A106)))*$E106</f>
        <v>-2205.1593720275141</v>
      </c>
      <c r="CM106" s="1021">
        <f>(VLOOKUP(YEAR($A106),'NY East Load Projections'!$A$4:$EO$14,((MONTH($A106)-1)*12)+VLOOKUP(CM$4,$DE$6:$DF$17,2)+1))*(VLOOKUP($A106,SatSunCurve,8))*(INDEX(DailyScalarsTable,CM$5/100,MONTH($A106)))*$E106</f>
        <v>-2658.8318698072371</v>
      </c>
      <c r="CN106" s="1021">
        <f>(VLOOKUP(YEAR($A106),'NY East Load Projections'!$A$4:$EO$14,((MONTH($A106)-1)*12)+VLOOKUP(CN$4,$DE$6:$DF$17,2)+1))*(VLOOKUP($A106,SatSunCurve,8))*(INDEX(DailyScalarsTable,CN$5/100,MONTH($A106)))*$E106</f>
        <v>-2705.9905578135508</v>
      </c>
      <c r="CO106" s="1021">
        <f>(VLOOKUP(YEAR($A106),'NY East Load Projections'!$A$4:$EO$14,((MONTH($A106)-1)*12)+VLOOKUP(CO$4,$DE$6:$DF$17,2)+1))*(VLOOKUP($A106,SatSunCurve,8))*(INDEX(DailyScalarsTable,CO$5/100,MONTH($A106)))*$E106</f>
        <v>-2870.4199655523757</v>
      </c>
      <c r="CP106" s="1021">
        <f>(VLOOKUP(YEAR($A106),'NY East Load Projections'!$A$4:$EO$14,((MONTH($A106)-1)*12)+VLOOKUP(CP$4,$DE$6:$DF$17,2)+1))*(VLOOKUP($A106,SatSunCurve,8))*(INDEX(DailyScalarsTable,CP$5/100,MONTH($A106)))*$E106</f>
        <v>-2848.7186223990275</v>
      </c>
      <c r="CQ106" s="1021">
        <f>(VLOOKUP(YEAR($A106),'NY East Load Projections'!$A$4:$EO$14,((MONTH($A106)-1)*12)+VLOOKUP(CQ$4,$DE$6:$DF$17,2)+1))*(VLOOKUP($A106,SatSunCurve,8))*(INDEX(DailyScalarsTable,CQ$5/100,MONTH($A106)))*$E106</f>
        <v>-2741.0017178414751</v>
      </c>
      <c r="CR106" s="1021">
        <f>(VLOOKUP(YEAR($A106),'NY East Load Projections'!$A$4:$EO$14,((MONTH($A106)-1)*12)+VLOOKUP(CR$4,$DE$6:$DF$17,2)+1))*(VLOOKUP($A106,SatSunCurve,8))*(INDEX(DailyScalarsTable,CR$5/100,MONTH($A106)))*$E106</f>
        <v>-2754.2123915437587</v>
      </c>
      <c r="CS106" s="1021">
        <f>(VLOOKUP(YEAR($A106),'NY East Load Projections'!$A$4:$EO$14,((MONTH($A106)-1)*12)+VLOOKUP(CS$4,$DE$6:$DF$17,2)+1))*(VLOOKUP($A106,SatSunCurve,8))*(INDEX(DailyScalarsTable,CS$5/100,MONTH($A106)))*$E106</f>
        <v>-2671.539143213341</v>
      </c>
      <c r="CT106" s="1021">
        <f>(VLOOKUP(YEAR($A106),'NY East Load Projections'!$A$4:$EO$14,((MONTH($A106)-1)*12)+VLOOKUP(CT$4,$DE$6:$DF$17,2)+1))*(VLOOKUP($A106,SatSunCurve,8))*(INDEX(DailyScalarsTable,CT$5/100,MONTH($A106)))*$E106</f>
        <v>-2567.5583566534342</v>
      </c>
      <c r="CU106" s="1021">
        <f>(VLOOKUP(YEAR($A106),'NY East Load Projections'!$A$4:$EO$14,((MONTH($A106)-1)*12)+VLOOKUP(CU$4,$DE$6:$DF$17,2)+1))*(VLOOKUP($A106,SatSunCurve,8))*(INDEX(DailyScalarsTable,CU$5/100,MONTH($A106)))*$E106</f>
        <v>-2447.8165027359614</v>
      </c>
      <c r="CV106" s="1021">
        <f>(VLOOKUP(YEAR($A106),'NY East Load Projections'!$A$4:$EO$14,((MONTH($A106)-1)*12)+VLOOKUP(CV$4,$DE$6:$DF$17,2)+1))*(VLOOKUP($A106,SatSunCurve,8))*(INDEX(DailyScalarsTable,CV$5/100,MONTH($A106)))*$E106</f>
        <v>-2352.4210012374906</v>
      </c>
      <c r="CW106" s="1021">
        <f>(VLOOKUP(YEAR($A106),'NY East Load Projections'!$A$4:$EO$14,((MONTH($A106)-1)*12)+VLOOKUP(CW$4,$DE$6:$DF$17,2)+1))*(VLOOKUP($A106,SatSunCurve,8))*(INDEX(DailyScalarsTable,CW$5/100,MONTH($A106)))*$E106</f>
        <v>-2038.176996301353</v>
      </c>
      <c r="CX106" s="1021">
        <f>(VLOOKUP(YEAR($A106),'NY East Load Projections'!$A$4:$EO$14,((MONTH($A106)-1)*12)+VLOOKUP(CX$4,$DE$6:$DF$17,2)+1))*(VLOOKUP($A106,SatSunCurve,8))*(INDEX(DailyScalarsTable,CX$5/100,MONTH($A106)))*$E106</f>
        <v>-2032.9663176480758</v>
      </c>
      <c r="CY106" s="1021">
        <f>(VLOOKUP(YEAR($A106),'NY East Load Projections'!$A$4:$EO$14,((MONTH($A106)-1)*12)+VLOOKUP(CY$4,$DE$6:$DF$17,2)+1))*(VLOOKUP($A106,SatSunCurve,8))*(INDEX(DailyScalarsTable,CY$5/100,MONTH($A106)))*$E106</f>
        <v>-2535.0180152187068</v>
      </c>
      <c r="CZ106" s="1021">
        <f>(VLOOKUP(YEAR($A106),'NY East Load Projections'!$A$4:$EO$14,((MONTH($A106)-1)*12)+VLOOKUP(CZ$4,$DE$6:$DF$17,2)+1))*(VLOOKUP($A106,SatSunCurve,8))*(INDEX(DailyScalarsTable,CZ$5/100,MONTH($A106)))*$E106</f>
        <v>-2417.935040843478</v>
      </c>
      <c r="DA106" s="1021">
        <f>(VLOOKUP(YEAR($A106),'NY East Load Projections'!$A$4:$EO$14,((MONTH($A106)-1)*12)+VLOOKUP(DA$4,$DE$6:$DF$17,2)+1))*(VLOOKUP($A106,SatSunCurve,8))*(INDEX(DailyScalarsTable,DA$5/100,MONTH($A106)))*$E106</f>
        <v>-1939.687321408506</v>
      </c>
      <c r="DB106" s="1021">
        <f>(VLOOKUP(YEAR($A106),'NY East Load Projections'!$A$4:$EO$14,((MONTH($A106)-1)*12)+VLOOKUP(DB$4,$DE$6:$DF$17,2)+1))*(VLOOKUP($A106,CURVES!$D$9:$T$261,8))*(INDEX(DailyScalarsTable,DB$5/100,MONTH($A106)))*$E106</f>
        <v>-2273.7982516359871</v>
      </c>
      <c r="DH106" s="1021">
        <f t="shared" si="2"/>
        <v>-2071185.9500760334</v>
      </c>
      <c r="DI106">
        <f ca="1">CALC!J126</f>
        <v>0.5084995006426769</v>
      </c>
      <c r="DJ106" s="1029">
        <f t="shared" ca="1" si="3"/>
        <v>-1053197.0213517912</v>
      </c>
    </row>
    <row r="107" spans="1:114" x14ac:dyDescent="0.25">
      <c r="A107" s="244">
        <v>39965</v>
      </c>
      <c r="B107" s="13">
        <v>22</v>
      </c>
      <c r="C107" s="210">
        <v>4</v>
      </c>
      <c r="D107" s="210">
        <v>4</v>
      </c>
      <c r="E107" s="210">
        <v>0</v>
      </c>
      <c r="F107" s="13">
        <v>30</v>
      </c>
      <c r="H107" s="1021">
        <f>(VLOOKUP(YEAR($A107),'NY East Load Projections'!$A$4:$EO$14,((MONTH($A107)-1)*12)+VLOOKUP(H$4,$DE$6:$DF$17,2)+1))*(VLOOKUP($A107,CURVES!$D$9:$K$261,8))*(INDEX(DailyScalarsTable,H$5/100,MONTH($A107)))*$B107</f>
        <v>-53123.358925457083</v>
      </c>
      <c r="I107" s="1021">
        <f>(VLOOKUP(YEAR($A107),'NY East Load Projections'!$A$4:$EO$14,((MONTH($A107)-1)*12)+VLOOKUP(I$4,$DE$6:$DF$17,2)+1))*(VLOOKUP($A107,CURVES!$D$9:$K$261,8))*(INDEX(DailyScalarsTable,I$5/100,MONTH($A107)))*$B107</f>
        <v>-44013.38951668916</v>
      </c>
      <c r="J107" s="1021">
        <f>(VLOOKUP(YEAR($A107),'NY East Load Projections'!$A$4:$EO$14,((MONTH($A107)-1)*12)+VLOOKUP(J$4,$DE$6:$DF$17,2)+1))*(VLOOKUP($A107,CURVES!$D$9:$K$261,8))*(INDEX(DailyScalarsTable,J$5/100,MONTH($A107)))*$B107</f>
        <v>-36997.353375011182</v>
      </c>
      <c r="K107" s="1021">
        <f>(VLOOKUP(YEAR($A107),'NY East Load Projections'!$A$4:$EO$14,((MONTH($A107)-1)*12)+VLOOKUP(K$4,$DE$6:$DF$17,2)+1))*(VLOOKUP($A107,CURVES!$D$9:$K$261,8))*(INDEX(DailyScalarsTable,K$5/100,MONTH($A107)))*$B107</f>
        <v>-34345.944367981727</v>
      </c>
      <c r="L107" s="1021">
        <f>(VLOOKUP(YEAR($A107),'NY East Load Projections'!$A$4:$EO$14,((MONTH($A107)-1)*12)+VLOOKUP(L$4,$DE$6:$DF$17,2)+1))*(VLOOKUP($A107,CURVES!$D$9:$K$261,8))*(INDEX(DailyScalarsTable,L$5/100,MONTH($A107)))*$B107</f>
        <v>-40021.987640856416</v>
      </c>
      <c r="M107" s="1021">
        <f>(VLOOKUP(YEAR($A107),'NY East Load Projections'!$A$4:$EO$14,((MONTH($A107)-1)*12)+VLOOKUP(M$4,$DE$6:$DF$17,2)+1))*(VLOOKUP($A107,CURVES!$D$9:$K$261,8))*(INDEX(DailyScalarsTable,M$5/100,MONTH($A107)))*$B107</f>
        <v>-48829.746234811311</v>
      </c>
      <c r="N107" s="1021">
        <f>(VLOOKUP(YEAR($A107),'NY East Load Projections'!$A$4:$EO$14,((MONTH($A107)-1)*12)+VLOOKUP(N$4,$DE$6:$DF$17,2)+1))*(VLOOKUP($A107,CURVES!$D$9:$K$261,8))*(INDEX(DailyScalarsTable,N$5/100,MONTH($A107)))*$B107</f>
        <v>-55986.963002701683</v>
      </c>
      <c r="O107" s="1021">
        <f>(VLOOKUP(YEAR($A107),'NY East Load Projections'!$A$4:$EO$14,((MONTH($A107)-1)*12)+VLOOKUP(O$4,$DE$6:$DF$17,2)+1))*(VLOOKUP($A107,CURVES!$D$9:$K$261,4))*(INDEX(DailyScalarsTable,O$5/100,MONTH($A107)))*$B107</f>
        <v>-80655.628434133236</v>
      </c>
      <c r="P107" s="1021">
        <f>(VLOOKUP(YEAR($A107),'NY East Load Projections'!$A$4:$EO$14,((MONTH($A107)-1)*12)+VLOOKUP(P$4,$DE$6:$DF$17,2)+1))*(VLOOKUP($A107,CURVES!$D$9:$K$261,4))*(INDEX(DailyScalarsTable,P$5/100,MONTH($A107)))*$B107</f>
        <v>-103347.19806311373</v>
      </c>
      <c r="Q107" s="1021">
        <f>(VLOOKUP(YEAR($A107),'NY East Load Projections'!$A$4:$EO$14,((MONTH($A107)-1)*12)+VLOOKUP(Q$4,$DE$6:$DF$17,2)+1))*(VLOOKUP($A107,CURVES!$D$9:$K$261,4))*(INDEX(DailyScalarsTable,Q$5/100,MONTH($A107)))*$B107</f>
        <v>-115593.07113772628</v>
      </c>
      <c r="R107" s="1021">
        <f>(VLOOKUP(YEAR($A107),'NY East Load Projections'!$A$4:$EO$14,((MONTH($A107)-1)*12)+VLOOKUP(R$4,$DE$6:$DF$17,2)+1))*(VLOOKUP($A107,CURVES!$D$9:$K$261,4))*(INDEX(DailyScalarsTable,R$5/100,MONTH($A107)))*$B107</f>
        <v>-132965.54492256872</v>
      </c>
      <c r="S107" s="1021">
        <f>(VLOOKUP(YEAR($A107),'NY East Load Projections'!$A$4:$EO$14,((MONTH($A107)-1)*12)+VLOOKUP(S$4,$DE$6:$DF$17,2)+1))*(VLOOKUP($A107,CURVES!$D$9:$K$261,4))*(INDEX(DailyScalarsTable,S$5/100,MONTH($A107)))*$B107</f>
        <v>-143399.89831158775</v>
      </c>
      <c r="T107" s="1021">
        <f>(VLOOKUP(YEAR($A107),'NY East Load Projections'!$A$4:$EO$14,((MONTH($A107)-1)*12)+VLOOKUP(T$4,$DE$6:$DF$17,2)+1))*(VLOOKUP($A107,CURVES!$D$9:$K$261,4))*(INDEX(DailyScalarsTable,T$5/100,MONTH($A107)))*$B107</f>
        <v>-152520.82906588289</v>
      </c>
      <c r="U107" s="1021">
        <f>(VLOOKUP(YEAR($A107),'NY East Load Projections'!$A$4:$EO$14,((MONTH($A107)-1)*12)+VLOOKUP(U$4,$DE$6:$DF$17,2)+1))*(VLOOKUP($A107,CURVES!$D$9:$K$261,4))*(INDEX(DailyScalarsTable,U$5/100,MONTH($A107)))*$B107</f>
        <v>-168670.31145299497</v>
      </c>
      <c r="V107" s="1021">
        <f>(VLOOKUP(YEAR($A107),'NY East Load Projections'!$A$4:$EO$14,((MONTH($A107)-1)*12)+VLOOKUP(V$4,$DE$6:$DF$17,2)+1))*(VLOOKUP($A107,CURVES!$D$9:$K$261,4))*(INDEX(DailyScalarsTable,V$5/100,MONTH($A107)))*$B107</f>
        <v>-169968.20326366992</v>
      </c>
      <c r="W107" s="1021">
        <f>(VLOOKUP(YEAR($A107),'NY East Load Projections'!$A$4:$EO$14,((MONTH($A107)-1)*12)+VLOOKUP(W$4,$DE$6:$DF$17,2)+1))*(VLOOKUP($A107,CURVES!$D$9:$K$261,4))*(INDEX(DailyScalarsTable,W$5/100,MONTH($A107)))*$B107</f>
        <v>-170246.32293738591</v>
      </c>
      <c r="X107" s="1021">
        <f>(VLOOKUP(YEAR($A107),'NY East Load Projections'!$A$4:$EO$14,((MONTH($A107)-1)*12)+VLOOKUP(X$4,$DE$6:$DF$17,2)+1))*(VLOOKUP($A107,CURVES!$D$9:$K$261,4))*(INDEX(DailyScalarsTable,X$5/100,MONTH($A107)))*$B107</f>
        <v>-166334.85910523511</v>
      </c>
      <c r="Y107" s="1021">
        <f>(VLOOKUP(YEAR($A107),'NY East Load Projections'!$A$4:$EO$14,((MONTH($A107)-1)*12)+VLOOKUP(Y$4,$DE$6:$DF$17,2)+1))*(VLOOKUP($A107,CURVES!$D$9:$K$261,4))*(INDEX(DailyScalarsTable,Y$5/100,MONTH($A107)))*$B107</f>
        <v>-161397.0436543563</v>
      </c>
      <c r="Z107" s="1021">
        <f>(VLOOKUP(YEAR($A107),'NY East Load Projections'!$A$4:$EO$14,((MONTH($A107)-1)*12)+VLOOKUP(Z$4,$DE$6:$DF$17,2)+1))*(VLOOKUP($A107,CURVES!$D$9:$K$261,4))*(INDEX(DailyScalarsTable,Z$5/100,MONTH($A107)))*$B107</f>
        <v>-137813.18141062828</v>
      </c>
      <c r="AA107" s="1021">
        <f>(VLOOKUP(YEAR($A107),'NY East Load Projections'!$A$4:$EO$14,((MONTH($A107)-1)*12)+VLOOKUP(AA$4,$DE$6:$DF$17,2)+1))*(VLOOKUP($A107,CURVES!$D$9:$K$261,4))*(INDEX(DailyScalarsTable,AA$5/100,MONTH($A107)))*$B107</f>
        <v>-110200.6321925371</v>
      </c>
      <c r="AB107" s="1021">
        <f>(VLOOKUP(YEAR($A107),'NY East Load Projections'!$A$4:$EO$14,((MONTH($A107)-1)*12)+VLOOKUP(AB$4,$DE$6:$DF$17,2)+1))*(VLOOKUP($A107,CURVES!$D$9:$K$261,4))*(INDEX(DailyScalarsTable,AB$5/100,MONTH($A107)))*$B107</f>
        <v>-108853.88184272409</v>
      </c>
      <c r="AC107" s="1021">
        <f>(VLOOKUP(YEAR($A107),'NY East Load Projections'!$A$4:$EO$14,((MONTH($A107)-1)*12)+VLOOKUP(AC$4,$DE$6:$DF$17,2)+1))*(VLOOKUP($A107,CURVES!$D$9:$K$261,4))*(INDEX(DailyScalarsTable,AC$5/100,MONTH($A107)))*$B107</f>
        <v>-110911.7030683904</v>
      </c>
      <c r="AD107" s="1021">
        <f>(VLOOKUP(YEAR($A107),'NY East Load Projections'!$A$4:$EO$14,((MONTH($A107)-1)*12)+VLOOKUP(AD$4,$DE$6:$DF$17,2)+1))*(VLOOKUP($A107,CURVES!$D$9:$K$261,4))*(INDEX(DailyScalarsTable,AD$5/100,MONTH($A107)))*$B107</f>
        <v>-88940.005572300186</v>
      </c>
      <c r="AE107" s="1021">
        <f>(VLOOKUP(YEAR($A107),'NY East Load Projections'!$A$4:$EO$14,((MONTH($A107)-1)*12)+VLOOKUP(AE$4,$DE$6:$DF$17,2)+1))*(VLOOKUP($A107,CURVES!$D$9:$K$261,8))*(INDEX(DailyScalarsTable,AE$5/100,MONTH($A107)))*$B107</f>
        <v>-67145.124545881685</v>
      </c>
      <c r="AF107" s="1021"/>
      <c r="AG107" s="1021">
        <f>(VLOOKUP(YEAR($A107),'NY East Load Projections'!$A$4:$EO$14,((MONTH($A107)-1)*12)+VLOOKUP(AG$4,$DE$6:$DF$17,2)+1))*(VLOOKUP($A107,CURVES!$D$9:$T$261,8))*(INDEX(DailyScalarsTable,AG$5/100,MONTH($A107)))*$C107</f>
        <v>-9821.5324367859157</v>
      </c>
      <c r="AH107" s="1021">
        <f>(VLOOKUP(YEAR($A107),'NY East Load Projections'!$A$4:$EO$14,((MONTH($A107)-1)*12)+VLOOKUP(AH$4,$DE$6:$DF$17,2)+1))*(VLOOKUP($A107,CURVES!$D$9:$T$261,8))*(INDEX(DailyScalarsTable,AH$5/100,MONTH($A107)))*$C107</f>
        <v>-8137.2665722743805</v>
      </c>
      <c r="AI107" s="1021">
        <f>(VLOOKUP(YEAR($A107),'NY East Load Projections'!$A$4:$EO$14,((MONTH($A107)-1)*12)+VLOOKUP(AI$4,$DE$6:$DF$17,2)+1))*(VLOOKUP($A107,CURVES!$D$9:$T$261,8))*(INDEX(DailyScalarsTable,AI$5/100,MONTH($A107)))*$C107</f>
        <v>-6840.130473635646</v>
      </c>
      <c r="AJ107" s="1021">
        <f>(VLOOKUP(YEAR($A107),'NY East Load Projections'!$A$4:$EO$14,((MONTH($A107)-1)*12)+VLOOKUP(AJ$4,$DE$6:$DF$17,2)+1))*(VLOOKUP($A107,CURVES!$D$9:$T$261,8))*(INDEX(DailyScalarsTable,AJ$5/100,MONTH($A107)))*$C107</f>
        <v>-6349.9336921733357</v>
      </c>
      <c r="AK107" s="1021">
        <f>(VLOOKUP(YEAR($A107),'NY East Load Projections'!$A$4:$EO$14,((MONTH($A107)-1)*12)+VLOOKUP(AK$4,$DE$6:$DF$17,2)+1))*(VLOOKUP($A107,CURVES!$D$9:$T$261,8))*(INDEX(DailyScalarsTable,AK$5/100,MONTH($A107)))*$C107</f>
        <v>-6962.2844027975398</v>
      </c>
      <c r="AL107" s="1021">
        <f>(VLOOKUP(YEAR($A107),'NY East Load Projections'!$A$4:$EO$14,((MONTH($A107)-1)*12)+VLOOKUP(AL$4,$DE$6:$DF$17,2)+1))*(VLOOKUP($A107,CURVES!$D$9:$T$261,8))*(INDEX(DailyScalarsTable,AL$5/100,MONTH($A107)))*$C107</f>
        <v>-8494.4951673548076</v>
      </c>
      <c r="AM107" s="1021">
        <f>(VLOOKUP(YEAR($A107),'NY East Load Projections'!$A$4:$EO$14,((MONTH($A107)-1)*12)+VLOOKUP(AM$4,$DE$6:$DF$17,2)+1))*(VLOOKUP($A107,CURVES!$D$9:$T$261,8))*(INDEX(DailyScalarsTable,AM$5/100,MONTH($A107)))*$C107</f>
        <v>-9739.5752247894034</v>
      </c>
      <c r="AN107" s="1021">
        <f>(VLOOKUP(YEAR($A107),'NY East Load Projections'!$A$4:$EO$14,((MONTH($A107)-1)*12)+VLOOKUP(AN$4,$DE$6:$DF$17,2)+1))*(VLOOKUP($A107,SatSunCurve,4))*(INDEX(DailyScalarsTable,AN$5/100,MONTH($A107)))*$C107</f>
        <v>-7805.3517286511687</v>
      </c>
      <c r="AO107" s="1021">
        <f>(VLOOKUP(YEAR($A107),'NY East Load Projections'!$A$4:$EO$14,((MONTH($A107)-1)*12)+VLOOKUP(AO$4,$DE$6:$DF$17,2)+1))*(VLOOKUP($A107,SatSunCurve,4))*(INDEX(DailyScalarsTable,AO$5/100,MONTH($A107)))*$C107</f>
        <v>-9950.9029624168488</v>
      </c>
      <c r="AP107" s="1021">
        <f>(VLOOKUP(YEAR($A107),'NY East Load Projections'!$A$4:$EO$14,((MONTH($A107)-1)*12)+VLOOKUP(AP$4,$DE$6:$DF$17,2)+1))*(VLOOKUP($A107,SatSunCurve,4))*(INDEX(DailyScalarsTable,AP$5/100,MONTH($A107)))*$C107</f>
        <v>-11130.010833160717</v>
      </c>
      <c r="AQ107" s="1021">
        <f>(VLOOKUP(YEAR($A107),'NY East Load Projections'!$A$4:$EO$14,((MONTH($A107)-1)*12)+VLOOKUP(AQ$4,$DE$6:$DF$17,2)+1))*(VLOOKUP($A107,SatSunCurve,4))*(INDEX(DailyScalarsTable,AQ$5/100,MONTH($A107)))*$C107</f>
        <v>-12802.739306597658</v>
      </c>
      <c r="AR107" s="1021">
        <f>(VLOOKUP(YEAR($A107),'NY East Load Projections'!$A$4:$EO$14,((MONTH($A107)-1)*12)+VLOOKUP(AR$4,$DE$6:$DF$17,2)+1))*(VLOOKUP($A107,SatSunCurve,4))*(INDEX(DailyScalarsTable,AR$5/100,MONTH($A107)))*$C107</f>
        <v>-13807.422936107232</v>
      </c>
      <c r="AS107" s="1021">
        <f>(VLOOKUP(YEAR($A107),'NY East Load Projections'!$A$4:$EO$14,((MONTH($A107)-1)*12)+VLOOKUP(AS$4,$DE$6:$DF$17,2)+1))*(VLOOKUP($A107,SatSunCurve,4))*(INDEX(DailyScalarsTable,AS$5/100,MONTH($A107)))*$C107</f>
        <v>-14712.260710167737</v>
      </c>
      <c r="AT107" s="1021">
        <f>(VLOOKUP(YEAR($A107),'NY East Load Projections'!$A$4:$EO$14,((MONTH($A107)-1)*12)+VLOOKUP(AT$4,$DE$6:$DF$17,2)+1))*(VLOOKUP($A107,SatSunCurve,4))*(INDEX(DailyScalarsTable,AT$5/100,MONTH($A107)))*$C107</f>
        <v>-16270.050532506188</v>
      </c>
      <c r="AU107" s="1021">
        <f>(VLOOKUP(YEAR($A107),'NY East Load Projections'!$A$4:$EO$14,((MONTH($A107)-1)*12)+VLOOKUP(AU$4,$DE$6:$DF$17,2)+1))*(VLOOKUP($A107,SatSunCurve,4))*(INDEX(DailyScalarsTable,AU$5/100,MONTH($A107)))*$C107</f>
        <v>-16395.246040616054</v>
      </c>
      <c r="AV107" s="1021">
        <f>(VLOOKUP(YEAR($A107),'NY East Load Projections'!$A$4:$EO$14,((MONTH($A107)-1)*12)+VLOOKUP(AV$4,$DE$6:$DF$17,2)+1))*(VLOOKUP($A107,SatSunCurve,4))*(INDEX(DailyScalarsTable,AV$5/100,MONTH($A107)))*$C107</f>
        <v>-16422.073649496735</v>
      </c>
      <c r="AW107" s="1021">
        <f>(VLOOKUP(YEAR($A107),'NY East Load Projections'!$A$4:$EO$14,((MONTH($A107)-1)*12)+VLOOKUP(AW$4,$DE$6:$DF$17,2)+1))*(VLOOKUP($A107,SatSunCurve,4))*(INDEX(DailyScalarsTable,AW$5/100,MONTH($A107)))*$C107</f>
        <v>-15957.105309648759</v>
      </c>
      <c r="AX107" s="1021">
        <f>(VLOOKUP(YEAR($A107),'NY East Load Projections'!$A$4:$EO$14,((MONTH($A107)-1)*12)+VLOOKUP(AX$4,$DE$6:$DF$17,2)+1))*(VLOOKUP($A107,SatSunCurve,4))*(INDEX(DailyScalarsTable,AX$5/100,MONTH($A107)))*$C107</f>
        <v>-15483.40279429427</v>
      </c>
      <c r="AY107" s="1021">
        <f>(VLOOKUP(YEAR($A107),'NY East Load Projections'!$A$4:$EO$14,((MONTH($A107)-1)*12)+VLOOKUP(AY$4,$DE$6:$DF$17,2)+1))*(VLOOKUP($A107,SatSunCurve,4))*(INDEX(DailyScalarsTable,AY$5/100,MONTH($A107)))*$C107</f>
        <v>-13220.917495326818</v>
      </c>
      <c r="AZ107" s="1021">
        <f>(VLOOKUP(YEAR($A107),'NY East Load Projections'!$A$4:$EO$14,((MONTH($A107)-1)*12)+VLOOKUP(AZ$4,$DE$6:$DF$17,2)+1))*(VLOOKUP($A107,SatSunCurve,4))*(INDEX(DailyScalarsTable,AZ$5/100,MONTH($A107)))*$C107</f>
        <v>-10571.945667586393</v>
      </c>
      <c r="BA107" s="1021">
        <f>(VLOOKUP(YEAR($A107),'NY East Load Projections'!$A$4:$EO$14,((MONTH($A107)-1)*12)+VLOOKUP(BA$4,$DE$6:$DF$17,2)+1))*(VLOOKUP($A107,SatSunCurve,4))*(INDEX(DailyScalarsTable,BA$5/100,MONTH($A107)))*$C107</f>
        <v>-10909.513513523449</v>
      </c>
      <c r="BB107" s="1021">
        <f>(VLOOKUP(YEAR($A107),'NY East Load Projections'!$A$4:$EO$14,((MONTH($A107)-1)*12)+VLOOKUP(BB$4,$DE$6:$DF$17,2)+1))*(VLOOKUP($A107,SatSunCurve,4))*(INDEX(DailyScalarsTable,BB$5/100,MONTH($A107)))*$C107</f>
        <v>-11115.75171182912</v>
      </c>
      <c r="BC107" s="1021">
        <f>(VLOOKUP(YEAR($A107),'NY East Load Projections'!$A$4:$EO$14,((MONTH($A107)-1)*12)+VLOOKUP(BC$4,$DE$6:$DF$17,2)+1))*(VLOOKUP($A107,SatSunCurve,4))*(INDEX(DailyScalarsTable,BC$5/100,MONTH($A107)))*$C107</f>
        <v>-8913.7123661402529</v>
      </c>
      <c r="BD107" s="1021">
        <f>(VLOOKUP(YEAR($A107),'NY East Load Projections'!$A$4:$EO$14,((MONTH($A107)-1)*12)+VLOOKUP(BD$4,$DE$6:$DF$17,2)+1))*(VLOOKUP($A107,CURVES!$D$9:$T$261,8))*(INDEX(DailyScalarsTable,BD$5/100,MONTH($A107)))*$C107</f>
        <v>-12096.821011404485</v>
      </c>
      <c r="BE107" s="1021"/>
      <c r="BF107" s="1021">
        <f>(VLOOKUP(YEAR($A107),'NY East Load Projections'!$A$4:$EO$14,((MONTH($A107)-1)*12)+VLOOKUP(BF$4,$DE$6:$DF$17,2)+1))*(VLOOKUP($A107,CURVES!$D$9:$T$261,8))*(INDEX(DailyScalarsTable,BF$5/100,MONTH($A107)))*$D107</f>
        <v>-9821.5324367859157</v>
      </c>
      <c r="BG107" s="1021">
        <f>(VLOOKUP(YEAR($A107),'NY East Load Projections'!$A$4:$EO$14,((MONTH($A107)-1)*12)+VLOOKUP(BG$4,$DE$6:$DF$17,2)+1))*(VLOOKUP($A107,CURVES!$D$9:$T$261,8))*(INDEX(DailyScalarsTable,BG$5/100,MONTH($A107)))*$D107</f>
        <v>-8137.2665722743805</v>
      </c>
      <c r="BH107" s="1021">
        <f>(VLOOKUP(YEAR($A107),'NY East Load Projections'!$A$4:$EO$14,((MONTH($A107)-1)*12)+VLOOKUP(BH$4,$DE$6:$DF$17,2)+1))*(VLOOKUP($A107,CURVES!$D$9:$T$261,8))*(INDEX(DailyScalarsTable,BH$5/100,MONTH($A107)))*$D107</f>
        <v>-6840.130473635646</v>
      </c>
      <c r="BI107" s="1021">
        <f>(VLOOKUP(YEAR($A107),'NY East Load Projections'!$A$4:$EO$14,((MONTH($A107)-1)*12)+VLOOKUP(BI$4,$DE$6:$DF$17,2)+1))*(VLOOKUP($A107,CURVES!$D$9:$T$261,8))*(INDEX(DailyScalarsTable,BI$5/100,MONTH($A107)))*$D107</f>
        <v>-6349.9336921733357</v>
      </c>
      <c r="BJ107" s="1021">
        <f>(VLOOKUP(YEAR($A107),'NY East Load Projections'!$A$4:$EO$14,((MONTH($A107)-1)*12)+VLOOKUP(BJ$4,$DE$6:$DF$17,2)+1))*(VLOOKUP($A107,CURVES!$D$9:$T$261,8))*(INDEX(DailyScalarsTable,BJ$5/100,MONTH($A107)))*$D107</f>
        <v>-6962.2844027975398</v>
      </c>
      <c r="BK107" s="1021">
        <f>(VLOOKUP(YEAR($A107),'NY East Load Projections'!$A$4:$EO$14,((MONTH($A107)-1)*12)+VLOOKUP(BK$4,$DE$6:$DF$17,2)+1))*(VLOOKUP($A107,CURVES!$D$9:$T$261,8))*(INDEX(DailyScalarsTable,BK$5/100,MONTH($A107)))*$D107</f>
        <v>-8494.4951673548076</v>
      </c>
      <c r="BL107" s="1021">
        <f>(VLOOKUP(YEAR($A107),'NY East Load Projections'!$A$4:$EO$14,((MONTH($A107)-1)*12)+VLOOKUP(BL$4,$DE$6:$DF$17,2)+1))*(VLOOKUP($A107,CURVES!$D$9:$T$261,8))*(INDEX(DailyScalarsTable,BL$5/100,MONTH($A107)))*$D107</f>
        <v>-9739.5752247894034</v>
      </c>
      <c r="BM107" s="1021">
        <f>(VLOOKUP(YEAR($A107),'NY East Load Projections'!$A$4:$EO$14,((MONTH($A107)-1)*12)+VLOOKUP(BM$4,$DE$6:$DF$17,2)+1))*(VLOOKUP($A107,SatSunCurve,8))*(INDEX(DailyScalarsTable,BM$5/100,MONTH($A107)))*$D107</f>
        <v>-5845.4281655927334</v>
      </c>
      <c r="BN107" s="1021">
        <f>(VLOOKUP(YEAR($A107),'NY East Load Projections'!$A$4:$EO$14,((MONTH($A107)-1)*12)+VLOOKUP(BN$4,$DE$6:$DF$17,2)+1))*(VLOOKUP($A107,SatSunCurve,8))*(INDEX(DailyScalarsTable,BN$5/100,MONTH($A107)))*$D107</f>
        <v>-7452.2315549312734</v>
      </c>
      <c r="BO107" s="1021">
        <f>(VLOOKUP(YEAR($A107),'NY East Load Projections'!$A$4:$EO$14,((MONTH($A107)-1)*12)+VLOOKUP(BO$4,$DE$6:$DF$17,2)+1))*(VLOOKUP($A107,SatSunCurve,8))*(INDEX(DailyScalarsTable,BO$5/100,MONTH($A107)))*$D107</f>
        <v>-8335.265478004636</v>
      </c>
      <c r="BP107" s="1021">
        <f>(VLOOKUP(YEAR($A107),'NY East Load Projections'!$A$4:$EO$14,((MONTH($A107)-1)*12)+VLOOKUP(BP$4,$DE$6:$DF$17,2)+1))*(VLOOKUP($A107,SatSunCurve,8))*(INDEX(DailyScalarsTable,BP$5/100,MONTH($A107)))*$D107</f>
        <v>-9587.9718866249841</v>
      </c>
      <c r="BQ107" s="1021">
        <f>(VLOOKUP(YEAR($A107),'NY East Load Projections'!$A$4:$EO$14,((MONTH($A107)-1)*12)+VLOOKUP(BQ$4,$DE$6:$DF$17,2)+1))*(VLOOKUP($A107,SatSunCurve,8))*(INDEX(DailyScalarsTable,BQ$5/100,MONTH($A107)))*$D107</f>
        <v>-10340.379489717083</v>
      </c>
      <c r="BR107" s="1021">
        <f>(VLOOKUP(YEAR($A107),'NY East Load Projections'!$A$4:$EO$14,((MONTH($A107)-1)*12)+VLOOKUP(BR$4,$DE$6:$DF$17,2)+1))*(VLOOKUP($A107,SatSunCurve,8))*(INDEX(DailyScalarsTable,BR$5/100,MONTH($A107)))*$D107</f>
        <v>-11018.012528388554</v>
      </c>
      <c r="BS107" s="1021">
        <f>(VLOOKUP(YEAR($A107),'NY East Load Projections'!$A$4:$EO$14,((MONTH($A107)-1)*12)+VLOOKUP(BS$4,$DE$6:$DF$17,2)+1))*(VLOOKUP($A107,SatSunCurve,8))*(INDEX(DailyScalarsTable,BS$5/100,MONTH($A107)))*$D107</f>
        <v>-12184.641377431397</v>
      </c>
      <c r="BT107" s="1021">
        <f>(VLOOKUP(YEAR($A107),'NY East Load Projections'!$A$4:$EO$14,((MONTH($A107)-1)*12)+VLOOKUP(BT$4,$DE$6:$DF$17,2)+1))*(VLOOKUP($A107,SatSunCurve,8))*(INDEX(DailyScalarsTable,BT$5/100,MONTH($A107)))*$D107</f>
        <v>-12278.400297561135</v>
      </c>
      <c r="BU107" s="1021">
        <f>(VLOOKUP(YEAR($A107),'NY East Load Projections'!$A$4:$EO$14,((MONTH($A107)-1)*12)+VLOOKUP(BU$4,$DE$6:$DF$17,2)+1))*(VLOOKUP($A107,SatSunCurve,8))*(INDEX(DailyScalarsTable,BU$5/100,MONTH($A107)))*$D107</f>
        <v>-12298.491494731788</v>
      </c>
      <c r="BV107" s="1021">
        <f>(VLOOKUP(YEAR($A107),'NY East Load Projections'!$A$4:$EO$14,((MONTH($A107)-1)*12)+VLOOKUP(BV$4,$DE$6:$DF$17,2)+1))*(VLOOKUP($A107,SatSunCurve,8))*(INDEX(DailyScalarsTable,BV$5/100,MONTH($A107)))*$D107</f>
        <v>-11950.276689769255</v>
      </c>
      <c r="BW107" s="1021">
        <f>(VLOOKUP(YEAR($A107),'NY East Load Projections'!$A$4:$EO$14,((MONTH($A107)-1)*12)+VLOOKUP(BW$4,$DE$6:$DF$17,2)+1))*(VLOOKUP($A107,SatSunCurve,8))*(INDEX(DailyScalarsTable,BW$5/100,MONTH($A107)))*$D107</f>
        <v>-11595.520860483422</v>
      </c>
      <c r="BX107" s="1021">
        <f>(VLOOKUP(YEAR($A107),'NY East Load Projections'!$A$4:$EO$14,((MONTH($A107)-1)*12)+VLOOKUP(BX$4,$DE$6:$DF$17,2)+1))*(VLOOKUP($A107,SatSunCurve,8))*(INDEX(DailyScalarsTable,BX$5/100,MONTH($A107)))*$D107</f>
        <v>-9901.1455458799792</v>
      </c>
      <c r="BY107" s="1021">
        <f>(VLOOKUP(YEAR($A107),'NY East Load Projections'!$A$4:$EO$14,((MONTH($A107)-1)*12)+VLOOKUP(BY$4,$DE$6:$DF$17,2)+1))*(VLOOKUP($A107,SatSunCurve,8))*(INDEX(DailyScalarsTable,BY$5/100,MONTH($A107)))*$D107</f>
        <v>-7917.3304572021798</v>
      </c>
      <c r="BZ107" s="1021">
        <f>(VLOOKUP(YEAR($A107),'NY East Load Projections'!$A$4:$EO$14,((MONTH($A107)-1)*12)+VLOOKUP(BZ$4,$DE$6:$DF$17,2)+1))*(VLOOKUP($A107,SatSunCurve,8))*(INDEX(DailyScalarsTable,BZ$5/100,MONTH($A107)))*$D107</f>
        <v>-8170.135028096247</v>
      </c>
      <c r="CA107" s="1021">
        <f>(VLOOKUP(YEAR($A107),'NY East Load Projections'!$A$4:$EO$14,((MONTH($A107)-1)*12)+VLOOKUP(CA$4,$DE$6:$DF$17,2)+1))*(VLOOKUP($A107,SatSunCurve,8))*(INDEX(DailyScalarsTable,CA$5/100,MONTH($A107)))*$D107</f>
        <v>-8324.5868215717219</v>
      </c>
      <c r="CB107" s="1021">
        <f>(VLOOKUP(YEAR($A107),'NY East Load Projections'!$A$4:$EO$14,((MONTH($A107)-1)*12)+VLOOKUP(CB$4,$DE$6:$DF$17,2)+1))*(VLOOKUP($A107,SatSunCurve,8))*(INDEX(DailyScalarsTable,CB$5/100,MONTH($A107)))*$D107</f>
        <v>-6675.479483361165</v>
      </c>
      <c r="CC107" s="1021">
        <f>(VLOOKUP(YEAR($A107),'NY East Load Projections'!$A$4:$EO$14,((MONTH($A107)-1)*12)+VLOOKUP(CC$4,$DE$6:$DF$17,2)+1))*(VLOOKUP($A107,CURVES!$D$9:$T$261,8))*(INDEX(DailyScalarsTable,CC$5/100,MONTH($A107)))*$D107</f>
        <v>-12096.821011404485</v>
      </c>
      <c r="CE107" s="1021">
        <f>(VLOOKUP(YEAR($A107),'NY East Load Projections'!$A$4:$EO$14,((MONTH($A107)-1)*12)+VLOOKUP(CE$4,$DE$6:$DF$17,2)+1))*(VLOOKUP($A107,CURVES!$D$9:$T$261,8))*(INDEX(DailyScalarsTable,CE$5/100,MONTH($A107)))*$E107</f>
        <v>0</v>
      </c>
      <c r="CF107" s="1021">
        <f>(VLOOKUP(YEAR($A107),'NY East Load Projections'!$A$4:$EO$14,((MONTH($A107)-1)*12)+VLOOKUP(CF$4,$DE$6:$DF$17,2)+1))*(VLOOKUP($A107,CURVES!$D$9:$T$261,8))*(INDEX(DailyScalarsTable,CF$5/100,MONTH($A107)))*$E107</f>
        <v>0</v>
      </c>
      <c r="CG107" s="1021">
        <f>(VLOOKUP(YEAR($A107),'NY East Load Projections'!$A$4:$EO$14,((MONTH($A107)-1)*12)+VLOOKUP(CG$4,$DE$6:$DF$17,2)+1))*(VLOOKUP($A107,CURVES!$D$9:$T$261,8))*(INDEX(DailyScalarsTable,CG$5/100,MONTH($A107)))*$E107</f>
        <v>0</v>
      </c>
      <c r="CH107" s="1021">
        <f>(VLOOKUP(YEAR($A107),'NY East Load Projections'!$A$4:$EO$14,((MONTH($A107)-1)*12)+VLOOKUP(CH$4,$DE$6:$DF$17,2)+1))*(VLOOKUP($A107,CURVES!$D$9:$T$261,8))*(INDEX(DailyScalarsTable,CH$5/100,MONTH($A107)))*$E107</f>
        <v>0</v>
      </c>
      <c r="CI107" s="1021">
        <f>(VLOOKUP(YEAR($A107),'NY East Load Projections'!$A$4:$EO$14,((MONTH($A107)-1)*12)+VLOOKUP(CI$4,$DE$6:$DF$17,2)+1))*(VLOOKUP($A107,CURVES!$D$9:$T$261,8))*(INDEX(DailyScalarsTable,CI$5/100,MONTH($A107)))*$E107</f>
        <v>0</v>
      </c>
      <c r="CJ107" s="1021">
        <f>(VLOOKUP(YEAR($A107),'NY East Load Projections'!$A$4:$EO$14,((MONTH($A107)-1)*12)+VLOOKUP(CJ$4,$DE$6:$DF$17,2)+1))*(VLOOKUP($A107,CURVES!$D$9:$T$261,8))*(INDEX(DailyScalarsTable,CJ$5/100,MONTH($A107)))*$E107</f>
        <v>0</v>
      </c>
      <c r="CK107" s="1021">
        <f>(VLOOKUP(YEAR($A107),'NY East Load Projections'!$A$4:$EO$14,((MONTH($A107)-1)*12)+VLOOKUP(CK$4,$DE$6:$DF$17,2)+1))*(VLOOKUP($A107,CURVES!$D$9:$T$261,8))*(INDEX(DailyScalarsTable,CK$5/100,MONTH($A107)))*$E107</f>
        <v>0</v>
      </c>
      <c r="CL107" s="1021">
        <f>(VLOOKUP(YEAR($A107),'NY East Load Projections'!$A$4:$EO$14,((MONTH($A107)-1)*12)+VLOOKUP(CL$4,$DE$6:$DF$17,2)+1))*(VLOOKUP($A107,SatSunCurve,8))*(INDEX(DailyScalarsTable,CL$5/100,MONTH($A107)))*$E107</f>
        <v>0</v>
      </c>
      <c r="CM107" s="1021">
        <f>(VLOOKUP(YEAR($A107),'NY East Load Projections'!$A$4:$EO$14,((MONTH($A107)-1)*12)+VLOOKUP(CM$4,$DE$6:$DF$17,2)+1))*(VLOOKUP($A107,SatSunCurve,8))*(INDEX(DailyScalarsTable,CM$5/100,MONTH($A107)))*$E107</f>
        <v>0</v>
      </c>
      <c r="CN107" s="1021">
        <f>(VLOOKUP(YEAR($A107),'NY East Load Projections'!$A$4:$EO$14,((MONTH($A107)-1)*12)+VLOOKUP(CN$4,$DE$6:$DF$17,2)+1))*(VLOOKUP($A107,SatSunCurve,8))*(INDEX(DailyScalarsTable,CN$5/100,MONTH($A107)))*$E107</f>
        <v>0</v>
      </c>
      <c r="CO107" s="1021">
        <f>(VLOOKUP(YEAR($A107),'NY East Load Projections'!$A$4:$EO$14,((MONTH($A107)-1)*12)+VLOOKUP(CO$4,$DE$6:$DF$17,2)+1))*(VLOOKUP($A107,SatSunCurve,8))*(INDEX(DailyScalarsTable,CO$5/100,MONTH($A107)))*$E107</f>
        <v>0</v>
      </c>
      <c r="CP107" s="1021">
        <f>(VLOOKUP(YEAR($A107),'NY East Load Projections'!$A$4:$EO$14,((MONTH($A107)-1)*12)+VLOOKUP(CP$4,$DE$6:$DF$17,2)+1))*(VLOOKUP($A107,SatSunCurve,8))*(INDEX(DailyScalarsTable,CP$5/100,MONTH($A107)))*$E107</f>
        <v>0</v>
      </c>
      <c r="CQ107" s="1021">
        <f>(VLOOKUP(YEAR($A107),'NY East Load Projections'!$A$4:$EO$14,((MONTH($A107)-1)*12)+VLOOKUP(CQ$4,$DE$6:$DF$17,2)+1))*(VLOOKUP($A107,SatSunCurve,8))*(INDEX(DailyScalarsTable,CQ$5/100,MONTH($A107)))*$E107</f>
        <v>0</v>
      </c>
      <c r="CR107" s="1021">
        <f>(VLOOKUP(YEAR($A107),'NY East Load Projections'!$A$4:$EO$14,((MONTH($A107)-1)*12)+VLOOKUP(CR$4,$DE$6:$DF$17,2)+1))*(VLOOKUP($A107,SatSunCurve,8))*(INDEX(DailyScalarsTable,CR$5/100,MONTH($A107)))*$E107</f>
        <v>0</v>
      </c>
      <c r="CS107" s="1021">
        <f>(VLOOKUP(YEAR($A107),'NY East Load Projections'!$A$4:$EO$14,((MONTH($A107)-1)*12)+VLOOKUP(CS$4,$DE$6:$DF$17,2)+1))*(VLOOKUP($A107,SatSunCurve,8))*(INDEX(DailyScalarsTable,CS$5/100,MONTH($A107)))*$E107</f>
        <v>0</v>
      </c>
      <c r="CT107" s="1021">
        <f>(VLOOKUP(YEAR($A107),'NY East Load Projections'!$A$4:$EO$14,((MONTH($A107)-1)*12)+VLOOKUP(CT$4,$DE$6:$DF$17,2)+1))*(VLOOKUP($A107,SatSunCurve,8))*(INDEX(DailyScalarsTable,CT$5/100,MONTH($A107)))*$E107</f>
        <v>0</v>
      </c>
      <c r="CU107" s="1021">
        <f>(VLOOKUP(YEAR($A107),'NY East Load Projections'!$A$4:$EO$14,((MONTH($A107)-1)*12)+VLOOKUP(CU$4,$DE$6:$DF$17,2)+1))*(VLOOKUP($A107,SatSunCurve,8))*(INDEX(DailyScalarsTable,CU$5/100,MONTH($A107)))*$E107</f>
        <v>0</v>
      </c>
      <c r="CV107" s="1021">
        <f>(VLOOKUP(YEAR($A107),'NY East Load Projections'!$A$4:$EO$14,((MONTH($A107)-1)*12)+VLOOKUP(CV$4,$DE$6:$DF$17,2)+1))*(VLOOKUP($A107,SatSunCurve,8))*(INDEX(DailyScalarsTable,CV$5/100,MONTH($A107)))*$E107</f>
        <v>0</v>
      </c>
      <c r="CW107" s="1021">
        <f>(VLOOKUP(YEAR($A107),'NY East Load Projections'!$A$4:$EO$14,((MONTH($A107)-1)*12)+VLOOKUP(CW$4,$DE$6:$DF$17,2)+1))*(VLOOKUP($A107,SatSunCurve,8))*(INDEX(DailyScalarsTable,CW$5/100,MONTH($A107)))*$E107</f>
        <v>0</v>
      </c>
      <c r="CX107" s="1021">
        <f>(VLOOKUP(YEAR($A107),'NY East Load Projections'!$A$4:$EO$14,((MONTH($A107)-1)*12)+VLOOKUP(CX$4,$DE$6:$DF$17,2)+1))*(VLOOKUP($A107,SatSunCurve,8))*(INDEX(DailyScalarsTable,CX$5/100,MONTH($A107)))*$E107</f>
        <v>0</v>
      </c>
      <c r="CY107" s="1021">
        <f>(VLOOKUP(YEAR($A107),'NY East Load Projections'!$A$4:$EO$14,((MONTH($A107)-1)*12)+VLOOKUP(CY$4,$DE$6:$DF$17,2)+1))*(VLOOKUP($A107,SatSunCurve,8))*(INDEX(DailyScalarsTable,CY$5/100,MONTH($A107)))*$E107</f>
        <v>0</v>
      </c>
      <c r="CZ107" s="1021">
        <f>(VLOOKUP(YEAR($A107),'NY East Load Projections'!$A$4:$EO$14,((MONTH($A107)-1)*12)+VLOOKUP(CZ$4,$DE$6:$DF$17,2)+1))*(VLOOKUP($A107,SatSunCurve,8))*(INDEX(DailyScalarsTable,CZ$5/100,MONTH($A107)))*$E107</f>
        <v>0</v>
      </c>
      <c r="DA107" s="1021">
        <f>(VLOOKUP(YEAR($A107),'NY East Load Projections'!$A$4:$EO$14,((MONTH($A107)-1)*12)+VLOOKUP(DA$4,$DE$6:$DF$17,2)+1))*(VLOOKUP($A107,SatSunCurve,8))*(INDEX(DailyScalarsTable,DA$5/100,MONTH($A107)))*$E107</f>
        <v>0</v>
      </c>
      <c r="DB107" s="1021">
        <f>(VLOOKUP(YEAR($A107),'NY East Load Projections'!$A$4:$EO$14,((MONTH($A107)-1)*12)+VLOOKUP(DB$4,$DE$6:$DF$17,2)+1))*(VLOOKUP($A107,CURVES!$D$9:$T$261,8))*(INDEX(DailyScalarsTable,DB$5/100,MONTH($A107)))*$E107</f>
        <v>0</v>
      </c>
      <c r="DH107" s="1021">
        <f t="shared" si="2"/>
        <v>-2998509.9647244737</v>
      </c>
      <c r="DI107">
        <f ca="1">CALC!J127</f>
        <v>0.50540161644795423</v>
      </c>
      <c r="DJ107" s="1029">
        <f t="shared" ca="1" si="3"/>
        <v>-1515451.7831070472</v>
      </c>
    </row>
    <row r="108" spans="1:114" x14ac:dyDescent="0.25">
      <c r="A108" s="244">
        <v>39995</v>
      </c>
      <c r="B108" s="13">
        <v>23</v>
      </c>
      <c r="C108" s="210">
        <v>3</v>
      </c>
      <c r="D108" s="210">
        <v>4</v>
      </c>
      <c r="E108" s="210">
        <v>1</v>
      </c>
      <c r="F108" s="13">
        <v>31</v>
      </c>
      <c r="H108" s="1021">
        <f>(VLOOKUP(YEAR($A108),'NY East Load Projections'!$A$4:$EO$14,((MONTH($A108)-1)*12)+VLOOKUP(H$4,$DE$6:$DF$17,2)+1))*(VLOOKUP($A108,CURVES!$D$9:$K$261,8))*(INDEX(DailyScalarsTable,H$5/100,MONTH($A108)))*$B108</f>
        <v>-64114.957427477224</v>
      </c>
      <c r="I108" s="1021">
        <f>(VLOOKUP(YEAR($A108),'NY East Load Projections'!$A$4:$EO$14,((MONTH($A108)-1)*12)+VLOOKUP(I$4,$DE$6:$DF$17,2)+1))*(VLOOKUP($A108,CURVES!$D$9:$K$261,8))*(INDEX(DailyScalarsTable,I$5/100,MONTH($A108)))*$B108</f>
        <v>-58564.744696379559</v>
      </c>
      <c r="J108" s="1021">
        <f>(VLOOKUP(YEAR($A108),'NY East Load Projections'!$A$4:$EO$14,((MONTH($A108)-1)*12)+VLOOKUP(J$4,$DE$6:$DF$17,2)+1))*(VLOOKUP($A108,CURVES!$D$9:$K$261,8))*(INDEX(DailyScalarsTable,J$5/100,MONTH($A108)))*$B108</f>
        <v>-55802.138809954835</v>
      </c>
      <c r="K108" s="1021">
        <f>(VLOOKUP(YEAR($A108),'NY East Load Projections'!$A$4:$EO$14,((MONTH($A108)-1)*12)+VLOOKUP(K$4,$DE$6:$DF$17,2)+1))*(VLOOKUP($A108,CURVES!$D$9:$K$261,8))*(INDEX(DailyScalarsTable,K$5/100,MONTH($A108)))*$B108</f>
        <v>-50251.926078857156</v>
      </c>
      <c r="L108" s="1021">
        <f>(VLOOKUP(YEAR($A108),'NY East Load Projections'!$A$4:$EO$14,((MONTH($A108)-1)*12)+VLOOKUP(L$4,$DE$6:$DF$17,2)+1))*(VLOOKUP($A108,CURVES!$D$9:$K$261,8))*(INDEX(DailyScalarsTable,L$5/100,MONTH($A108)))*$B108</f>
        <v>-50939.185963421456</v>
      </c>
      <c r="M108" s="1021">
        <f>(VLOOKUP(YEAR($A108),'NY East Load Projections'!$A$4:$EO$14,((MONTH($A108)-1)*12)+VLOOKUP(M$4,$DE$6:$DF$17,2)+1))*(VLOOKUP($A108,CURVES!$D$9:$K$261,8))*(INDEX(DailyScalarsTable,M$5/100,MONTH($A108)))*$B108</f>
        <v>-56158.583686612685</v>
      </c>
      <c r="N108" s="1021">
        <f>(VLOOKUP(YEAR($A108),'NY East Load Projections'!$A$4:$EO$14,((MONTH($A108)-1)*12)+VLOOKUP(N$4,$DE$6:$DF$17,2)+1))*(VLOOKUP($A108,CURVES!$D$9:$K$261,8))*(INDEX(DailyScalarsTable,N$5/100,MONTH($A108)))*$B108</f>
        <v>-62365.795812658529</v>
      </c>
      <c r="O108" s="1021">
        <f>(VLOOKUP(YEAR($A108),'NY East Load Projections'!$A$4:$EO$14,((MONTH($A108)-1)*12)+VLOOKUP(O$4,$DE$6:$DF$17,2)+1))*(VLOOKUP($A108,CURVES!$D$9:$K$261,4))*(INDEX(DailyScalarsTable,O$5/100,MONTH($A108)))*$B108</f>
        <v>-106974.87877131489</v>
      </c>
      <c r="P108" s="1021">
        <f>(VLOOKUP(YEAR($A108),'NY East Load Projections'!$A$4:$EO$14,((MONTH($A108)-1)*12)+VLOOKUP(P$4,$DE$6:$DF$17,2)+1))*(VLOOKUP($A108,CURVES!$D$9:$K$261,4))*(INDEX(DailyScalarsTable,P$5/100,MONTH($A108)))*$B108</f>
        <v>-128538.54633684964</v>
      </c>
      <c r="Q108" s="1021">
        <f>(VLOOKUP(YEAR($A108),'NY East Load Projections'!$A$4:$EO$14,((MONTH($A108)-1)*12)+VLOOKUP(Q$4,$DE$6:$DF$17,2)+1))*(VLOOKUP($A108,CURVES!$D$9:$K$261,4))*(INDEX(DailyScalarsTable,Q$5/100,MONTH($A108)))*$B108</f>
        <v>-153895.87654015675</v>
      </c>
      <c r="R108" s="1021">
        <f>(VLOOKUP(YEAR($A108),'NY East Load Projections'!$A$4:$EO$14,((MONTH($A108)-1)*12)+VLOOKUP(R$4,$DE$6:$DF$17,2)+1))*(VLOOKUP($A108,CURVES!$D$9:$K$261,4))*(INDEX(DailyScalarsTable,R$5/100,MONTH($A108)))*$B108</f>
        <v>-175117.28892540312</v>
      </c>
      <c r="S108" s="1021">
        <f>(VLOOKUP(YEAR($A108),'NY East Load Projections'!$A$4:$EO$14,((MONTH($A108)-1)*12)+VLOOKUP(S$4,$DE$6:$DF$17,2)+1))*(VLOOKUP($A108,CURVES!$D$9:$K$261,4))*(INDEX(DailyScalarsTable,S$5/100,MONTH($A108)))*$B108</f>
        <v>-209360.5211657667</v>
      </c>
      <c r="T108" s="1021">
        <f>(VLOOKUP(YEAR($A108),'NY East Load Projections'!$A$4:$EO$14,((MONTH($A108)-1)*12)+VLOOKUP(T$4,$DE$6:$DF$17,2)+1))*(VLOOKUP($A108,CURVES!$D$9:$K$261,4))*(INDEX(DailyScalarsTable,T$5/100,MONTH($A108)))*$B108</f>
        <v>-234826.04899295009</v>
      </c>
      <c r="U108" s="1021">
        <f>(VLOOKUP(YEAR($A108),'NY East Load Projections'!$A$4:$EO$14,((MONTH($A108)-1)*12)+VLOOKUP(U$4,$DE$6:$DF$17,2)+1))*(VLOOKUP($A108,CURVES!$D$9:$K$261,4))*(INDEX(DailyScalarsTable,U$5/100,MONTH($A108)))*$B108</f>
        <v>-242729.55565129136</v>
      </c>
      <c r="V108" s="1021">
        <f>(VLOOKUP(YEAR($A108),'NY East Load Projections'!$A$4:$EO$14,((MONTH($A108)-1)*12)+VLOOKUP(V$4,$DE$6:$DF$17,2)+1))*(VLOOKUP($A108,CURVES!$D$9:$K$261,4))*(INDEX(DailyScalarsTable,V$5/100,MONTH($A108)))*$B108</f>
        <v>-252838.69207475113</v>
      </c>
      <c r="W108" s="1021">
        <f>(VLOOKUP(YEAR($A108),'NY East Load Projections'!$A$4:$EO$14,((MONTH($A108)-1)*12)+VLOOKUP(W$4,$DE$6:$DF$17,2)+1))*(VLOOKUP($A108,CURVES!$D$9:$K$261,4))*(INDEX(DailyScalarsTable,W$5/100,MONTH($A108)))*$B108</f>
        <v>-268333.2411747087</v>
      </c>
      <c r="X108" s="1021">
        <f>(VLOOKUP(YEAR($A108),'NY East Load Projections'!$A$4:$EO$14,((MONTH($A108)-1)*12)+VLOOKUP(X$4,$DE$6:$DF$17,2)+1))*(VLOOKUP($A108,CURVES!$D$9:$K$261,4))*(INDEX(DailyScalarsTable,X$5/100,MONTH($A108)))*$B108</f>
        <v>-264884.66011190892</v>
      </c>
      <c r="Y108" s="1021">
        <f>(VLOOKUP(YEAR($A108),'NY East Load Projections'!$A$4:$EO$14,((MONTH($A108)-1)*12)+VLOOKUP(Y$4,$DE$6:$DF$17,2)+1))*(VLOOKUP($A108,CURVES!$D$9:$K$261,4))*(INDEX(DailyScalarsTable,Y$5/100,MONTH($A108)))*$B108</f>
        <v>-258320.80009033246</v>
      </c>
      <c r="Z108" s="1021">
        <f>(VLOOKUP(YEAR($A108),'NY East Load Projections'!$A$4:$EO$14,((MONTH($A108)-1)*12)+VLOOKUP(Z$4,$DE$6:$DF$17,2)+1))*(VLOOKUP($A108,CURVES!$D$9:$K$261,4))*(INDEX(DailyScalarsTable,Z$5/100,MONTH($A108)))*$B108</f>
        <v>-215753.54526206048</v>
      </c>
      <c r="AA108" s="1021">
        <f>(VLOOKUP(YEAR($A108),'NY East Load Projections'!$A$4:$EO$14,((MONTH($A108)-1)*12)+VLOOKUP(AA$4,$DE$6:$DF$17,2)+1))*(VLOOKUP($A108,CURVES!$D$9:$K$261,4))*(INDEX(DailyScalarsTable,AA$5/100,MONTH($A108)))*$B108</f>
        <v>-159649.440904196</v>
      </c>
      <c r="AB108" s="1021">
        <f>(VLOOKUP(YEAR($A108),'NY East Load Projections'!$A$4:$EO$14,((MONTH($A108)-1)*12)+VLOOKUP(AB$4,$DE$6:$DF$17,2)+1))*(VLOOKUP($A108,CURVES!$D$9:$K$261,4))*(INDEX(DailyScalarsTable,AB$5/100,MONTH($A108)))*$B108</f>
        <v>-160957.65890973862</v>
      </c>
      <c r="AC108" s="1021">
        <f>(VLOOKUP(YEAR($A108),'NY East Load Projections'!$A$4:$EO$14,((MONTH($A108)-1)*12)+VLOOKUP(AC$4,$DE$6:$DF$17,2)+1))*(VLOOKUP($A108,CURVES!$D$9:$K$261,4))*(INDEX(DailyScalarsTable,AC$5/100,MONTH($A108)))*$B108</f>
        <v>-170556.42329722381</v>
      </c>
      <c r="AD108" s="1021">
        <f>(VLOOKUP(YEAR($A108),'NY East Load Projections'!$A$4:$EO$14,((MONTH($A108)-1)*12)+VLOOKUP(AD$4,$DE$6:$DF$17,2)+1))*(VLOOKUP($A108,CURVES!$D$9:$K$261,4))*(INDEX(DailyScalarsTable,AD$5/100,MONTH($A108)))*$B108</f>
        <v>-118444.21258543777</v>
      </c>
      <c r="AE108" s="1021">
        <f>(VLOOKUP(YEAR($A108),'NY East Load Projections'!$A$4:$EO$14,((MONTH($A108)-1)*12)+VLOOKUP(AE$4,$DE$6:$DF$17,2)+1))*(VLOOKUP($A108,CURVES!$D$9:$K$261,8))*(INDEX(DailyScalarsTable,AE$5/100,MONTH($A108)))*$B108</f>
        <v>-75706.480280410004</v>
      </c>
      <c r="AF108" s="1021"/>
      <c r="AG108" s="1021">
        <f>(VLOOKUP(YEAR($A108),'NY East Load Projections'!$A$4:$EO$14,((MONTH($A108)-1)*12)+VLOOKUP(AG$4,$DE$6:$DF$17,2)+1))*(VLOOKUP($A108,CURVES!$D$9:$T$261,8))*(INDEX(DailyScalarsTable,AG$5/100,MONTH($A108)))*$C108</f>
        <v>-7988.822577800187</v>
      </c>
      <c r="AH108" s="1021">
        <f>(VLOOKUP(YEAR($A108),'NY East Load Projections'!$A$4:$EO$14,((MONTH($A108)-1)*12)+VLOOKUP(AH$4,$DE$6:$DF$17,2)+1))*(VLOOKUP($A108,CURVES!$D$9:$T$261,8))*(INDEX(DailyScalarsTable,AH$5/100,MONTH($A108)))*$C108</f>
        <v>-7297.257511599506</v>
      </c>
      <c r="AI108" s="1021">
        <f>(VLOOKUP(YEAR($A108),'NY East Load Projections'!$A$4:$EO$14,((MONTH($A108)-1)*12)+VLOOKUP(AI$4,$DE$6:$DF$17,2)+1))*(VLOOKUP($A108,CURVES!$D$9:$T$261,8))*(INDEX(DailyScalarsTable,AI$5/100,MONTH($A108)))*$C108</f>
        <v>-6953.0325574770977</v>
      </c>
      <c r="AJ108" s="1021">
        <f>(VLOOKUP(YEAR($A108),'NY East Load Projections'!$A$4:$EO$14,((MONTH($A108)-1)*12)+VLOOKUP(AJ$4,$DE$6:$DF$17,2)+1))*(VLOOKUP($A108,CURVES!$D$9:$T$261,8))*(INDEX(DailyScalarsTable,AJ$5/100,MONTH($A108)))*$C108</f>
        <v>-6261.4674912764167</v>
      </c>
      <c r="AK108" s="1021">
        <f>(VLOOKUP(YEAR($A108),'NY East Load Projections'!$A$4:$EO$14,((MONTH($A108)-1)*12)+VLOOKUP(AK$4,$DE$6:$DF$17,2)+1))*(VLOOKUP($A108,CURVES!$D$9:$T$261,8))*(INDEX(DailyScalarsTable,AK$5/100,MONTH($A108)))*$C108</f>
        <v>-6034.3616976889825</v>
      </c>
      <c r="AL108" s="1021">
        <f>(VLOOKUP(YEAR($A108),'NY East Load Projections'!$A$4:$EO$14,((MONTH($A108)-1)*12)+VLOOKUP(AL$4,$DE$6:$DF$17,2)+1))*(VLOOKUP($A108,CURVES!$D$9:$T$261,8))*(INDEX(DailyScalarsTable,AL$5/100,MONTH($A108)))*$C108</f>
        <v>-6652.6623852666526</v>
      </c>
      <c r="AM108" s="1021">
        <f>(VLOOKUP(YEAR($A108),'NY East Load Projections'!$A$4:$EO$14,((MONTH($A108)-1)*12)+VLOOKUP(AM$4,$DE$6:$DF$17,2)+1))*(VLOOKUP($A108,CURVES!$D$9:$T$261,8))*(INDEX(DailyScalarsTable,AM$5/100,MONTH($A108)))*$C108</f>
        <v>-7387.9816172963638</v>
      </c>
      <c r="AN108" s="1021">
        <f>(VLOOKUP(YEAR($A108),'NY East Load Projections'!$A$4:$EO$14,((MONTH($A108)-1)*12)+VLOOKUP(AN$4,$DE$6:$DF$17,2)+1))*(VLOOKUP($A108,SatSunCurve,4))*(INDEX(DailyScalarsTable,AN$5/100,MONTH($A108)))*$C108</f>
        <v>-7047.365589328474</v>
      </c>
      <c r="AO108" s="1021">
        <f>(VLOOKUP(YEAR($A108),'NY East Load Projections'!$A$4:$EO$14,((MONTH($A108)-1)*12)+VLOOKUP(AO$4,$DE$6:$DF$17,2)+1))*(VLOOKUP($A108,SatSunCurve,4))*(INDEX(DailyScalarsTable,AO$5/100,MONTH($A108)))*$C108</f>
        <v>-8468.1155819558026</v>
      </c>
      <c r="AP108" s="1021">
        <f>(VLOOKUP(YEAR($A108),'NY East Load Projections'!$A$4:$EO$14,((MONTH($A108)-1)*12)+VLOOKUP(AP$4,$DE$6:$DF$17,2)+1))*(VLOOKUP($A108,SatSunCurve,4))*(INDEX(DailyScalarsTable,AP$5/100,MONTH($A108)))*$C108</f>
        <v>-10138.65573610305</v>
      </c>
      <c r="AQ108" s="1021">
        <f>(VLOOKUP(YEAR($A108),'NY East Load Projections'!$A$4:$EO$14,((MONTH($A108)-1)*12)+VLOOKUP(AQ$4,$DE$6:$DF$17,2)+1))*(VLOOKUP($A108,SatSunCurve,4))*(INDEX(DailyScalarsTable,AQ$5/100,MONTH($A108)))*$C108</f>
        <v>-11536.721748298927</v>
      </c>
      <c r="AR108" s="1021">
        <f>(VLOOKUP(YEAR($A108),'NY East Load Projections'!$A$4:$EO$14,((MONTH($A108)-1)*12)+VLOOKUP(AR$4,$DE$6:$DF$17,2)+1))*(VLOOKUP($A108,SatSunCurve,4))*(INDEX(DailyScalarsTable,AR$5/100,MONTH($A108)))*$C108</f>
        <v>-13792.664862446494</v>
      </c>
      <c r="AS108" s="1021">
        <f>(VLOOKUP(YEAR($A108),'NY East Load Projections'!$A$4:$EO$14,((MONTH($A108)-1)*12)+VLOOKUP(AS$4,$DE$6:$DF$17,2)+1))*(VLOOKUP($A108,SatSunCurve,4))*(INDEX(DailyScalarsTable,AS$5/100,MONTH($A108)))*$C108</f>
        <v>-15664.783066098691</v>
      </c>
      <c r="AT108" s="1021">
        <f>(VLOOKUP(YEAR($A108),'NY East Load Projections'!$A$4:$EO$14,((MONTH($A108)-1)*12)+VLOOKUP(AT$4,$DE$6:$DF$17,2)+1))*(VLOOKUP($A108,SatSunCurve,4))*(INDEX(DailyScalarsTable,AT$5/100,MONTH($A108)))*$C108</f>
        <v>-16192.010423520609</v>
      </c>
      <c r="AU108" s="1021">
        <f>(VLOOKUP(YEAR($A108),'NY East Load Projections'!$A$4:$EO$14,((MONTH($A108)-1)*12)+VLOOKUP(AU$4,$DE$6:$DF$17,2)+1))*(VLOOKUP($A108,SatSunCurve,4))*(INDEX(DailyScalarsTable,AU$5/100,MONTH($A108)))*$C108</f>
        <v>-16866.370996967245</v>
      </c>
      <c r="AV108" s="1021">
        <f>(VLOOKUP(YEAR($A108),'NY East Load Projections'!$A$4:$EO$14,((MONTH($A108)-1)*12)+VLOOKUP(AV$4,$DE$6:$DF$17,2)+1))*(VLOOKUP($A108,SatSunCurve,4))*(INDEX(DailyScalarsTable,AV$5/100,MONTH($A108)))*$C108</f>
        <v>-17899.98183954092</v>
      </c>
      <c r="AW108" s="1021">
        <f>(VLOOKUP(YEAR($A108),'NY East Load Projections'!$A$4:$EO$14,((MONTH($A108)-1)*12)+VLOOKUP(AW$4,$DE$6:$DF$17,2)+1))*(VLOOKUP($A108,SatSunCurve,4))*(INDEX(DailyScalarsTable,AW$5/100,MONTH($A108)))*$C108</f>
        <v>-17478.833515055201</v>
      </c>
      <c r="AX108" s="1021">
        <f>(VLOOKUP(YEAR($A108),'NY East Load Projections'!$A$4:$EO$14,((MONTH($A108)-1)*12)+VLOOKUP(AX$4,$DE$6:$DF$17,2)+1))*(VLOOKUP($A108,SatSunCurve,4))*(INDEX(DailyScalarsTable,AX$5/100,MONTH($A108)))*$C108</f>
        <v>-17045.706823291355</v>
      </c>
      <c r="AY108" s="1021">
        <f>(VLOOKUP(YEAR($A108),'NY East Load Projections'!$A$4:$EO$14,((MONTH($A108)-1)*12)+VLOOKUP(AY$4,$DE$6:$DF$17,2)+1))*(VLOOKUP($A108,SatSunCurve,4))*(INDEX(DailyScalarsTable,AY$5/100,MONTH($A108)))*$C108</f>
        <v>-14236.839144725302</v>
      </c>
      <c r="AZ108" s="1021">
        <f>(VLOOKUP(YEAR($A108),'NY East Load Projections'!$A$4:$EO$14,((MONTH($A108)-1)*12)+VLOOKUP(AZ$4,$DE$6:$DF$17,2)+1))*(VLOOKUP($A108,SatSunCurve,4))*(INDEX(DailyScalarsTable,AZ$5/100,MONTH($A108)))*$C108</f>
        <v>-10534.721025963363</v>
      </c>
      <c r="BA108" s="1021">
        <f>(VLOOKUP(YEAR($A108),'NY East Load Projections'!$A$4:$EO$14,((MONTH($A108)-1)*12)+VLOOKUP(BA$4,$DE$6:$DF$17,2)+1))*(VLOOKUP($A108,SatSunCurve,4))*(INDEX(DailyScalarsTable,BA$5/100,MONTH($A108)))*$C108</f>
        <v>-11043.05629647336</v>
      </c>
      <c r="BB108" s="1021">
        <f>(VLOOKUP(YEAR($A108),'NY East Load Projections'!$A$4:$EO$14,((MONTH($A108)-1)*12)+VLOOKUP(BB$4,$DE$6:$DF$17,2)+1))*(VLOOKUP($A108,SatSunCurve,4))*(INDEX(DailyScalarsTable,BB$5/100,MONTH($A108)))*$C108</f>
        <v>-11701.612690903927</v>
      </c>
      <c r="BC108" s="1021">
        <f>(VLOOKUP(YEAR($A108),'NY East Load Projections'!$A$4:$EO$14,((MONTH($A108)-1)*12)+VLOOKUP(BC$4,$DE$6:$DF$17,2)+1))*(VLOOKUP($A108,SatSunCurve,4))*(INDEX(DailyScalarsTable,BC$5/100,MONTH($A108)))*$C108</f>
        <v>-8126.2744278974415</v>
      </c>
      <c r="BD108" s="1021">
        <f>(VLOOKUP(YEAR($A108),'NY East Load Projections'!$A$4:$EO$14,((MONTH($A108)-1)*12)+VLOOKUP(BD$4,$DE$6:$DF$17,2)+1))*(VLOOKUP($A108,CURVES!$D$9:$T$261,8))*(INDEX(DailyScalarsTable,BD$5/100,MONTH($A108)))*$C108</f>
        <v>-9339.9603840603813</v>
      </c>
      <c r="BE108" s="1021"/>
      <c r="BF108" s="1021">
        <f>(VLOOKUP(YEAR($A108),'NY East Load Projections'!$A$4:$EO$14,((MONTH($A108)-1)*12)+VLOOKUP(BF$4,$DE$6:$DF$17,2)+1))*(VLOOKUP($A108,CURVES!$D$9:$T$261,8))*(INDEX(DailyScalarsTable,BF$5/100,MONTH($A108)))*$D108</f>
        <v>-10651.763437066917</v>
      </c>
      <c r="BG108" s="1021">
        <f>(VLOOKUP(YEAR($A108),'NY East Load Projections'!$A$4:$EO$14,((MONTH($A108)-1)*12)+VLOOKUP(BG$4,$DE$6:$DF$17,2)+1))*(VLOOKUP($A108,CURVES!$D$9:$T$261,8))*(INDEX(DailyScalarsTable,BG$5/100,MONTH($A108)))*$D108</f>
        <v>-9729.6766821326746</v>
      </c>
      <c r="BH108" s="1021">
        <f>(VLOOKUP(YEAR($A108),'NY East Load Projections'!$A$4:$EO$14,((MONTH($A108)-1)*12)+VLOOKUP(BH$4,$DE$6:$DF$17,2)+1))*(VLOOKUP($A108,CURVES!$D$9:$T$261,8))*(INDEX(DailyScalarsTable,BH$5/100,MONTH($A108)))*$D108</f>
        <v>-9270.7100766361309</v>
      </c>
      <c r="BI108" s="1021">
        <f>(VLOOKUP(YEAR($A108),'NY East Load Projections'!$A$4:$EO$14,((MONTH($A108)-1)*12)+VLOOKUP(BI$4,$DE$6:$DF$17,2)+1))*(VLOOKUP($A108,CURVES!$D$9:$T$261,8))*(INDEX(DailyScalarsTable,BI$5/100,MONTH($A108)))*$D108</f>
        <v>-8348.6233217018889</v>
      </c>
      <c r="BJ108" s="1021">
        <f>(VLOOKUP(YEAR($A108),'NY East Load Projections'!$A$4:$EO$14,((MONTH($A108)-1)*12)+VLOOKUP(BJ$4,$DE$6:$DF$17,2)+1))*(VLOOKUP($A108,CURVES!$D$9:$T$261,8))*(INDEX(DailyScalarsTable,BJ$5/100,MONTH($A108)))*$D108</f>
        <v>-8045.8155969186437</v>
      </c>
      <c r="BK108" s="1021">
        <f>(VLOOKUP(YEAR($A108),'NY East Load Projections'!$A$4:$EO$14,((MONTH($A108)-1)*12)+VLOOKUP(BK$4,$DE$6:$DF$17,2)+1))*(VLOOKUP($A108,CURVES!$D$9:$T$261,8))*(INDEX(DailyScalarsTable,BK$5/100,MONTH($A108)))*$D108</f>
        <v>-8870.2165136888707</v>
      </c>
      <c r="BL108" s="1021">
        <f>(VLOOKUP(YEAR($A108),'NY East Load Projections'!$A$4:$EO$14,((MONTH($A108)-1)*12)+VLOOKUP(BL$4,$DE$6:$DF$17,2)+1))*(VLOOKUP($A108,CURVES!$D$9:$T$261,8))*(INDEX(DailyScalarsTable,BL$5/100,MONTH($A108)))*$D108</f>
        <v>-9850.6421563951517</v>
      </c>
      <c r="BM108" s="1021">
        <f>(VLOOKUP(YEAR($A108),'NY East Load Projections'!$A$4:$EO$14,((MONTH($A108)-1)*12)+VLOOKUP(BM$4,$DE$6:$DF$17,2)+1))*(VLOOKUP($A108,SatSunCurve,8))*(INDEX(DailyScalarsTable,BM$5/100,MONTH($A108)))*$D108</f>
        <v>-7066.294547006888</v>
      </c>
      <c r="BN108" s="1021">
        <f>(VLOOKUP(YEAR($A108),'NY East Load Projections'!$A$4:$EO$14,((MONTH($A108)-1)*12)+VLOOKUP(BN$4,$DE$6:$DF$17,2)+1))*(VLOOKUP($A108,SatSunCurve,8))*(INDEX(DailyScalarsTable,BN$5/100,MONTH($A108)))*$D108</f>
        <v>-8490.8606204293974</v>
      </c>
      <c r="BO108" s="1021">
        <f>(VLOOKUP(YEAR($A108),'NY East Load Projections'!$A$4:$EO$14,((MONTH($A108)-1)*12)+VLOOKUP(BO$4,$DE$6:$DF$17,2)+1))*(VLOOKUP($A108,SatSunCurve,8))*(INDEX(DailyScalarsTable,BO$5/100,MONTH($A108)))*$D108</f>
        <v>-10165.887782306996</v>
      </c>
      <c r="BP108" s="1021">
        <f>(VLOOKUP(YEAR($A108),'NY East Load Projections'!$A$4:$EO$14,((MONTH($A108)-1)*12)+VLOOKUP(BP$4,$DE$6:$DF$17,2)+1))*(VLOOKUP($A108,SatSunCurve,8))*(INDEX(DailyScalarsTable,BP$5/100,MONTH($A108)))*$D108</f>
        <v>-11567.708946983763</v>
      </c>
      <c r="BQ108" s="1021">
        <f>(VLOOKUP(YEAR($A108),'NY East Load Projections'!$A$4:$EO$14,((MONTH($A108)-1)*12)+VLOOKUP(BQ$4,$DE$6:$DF$17,2)+1))*(VLOOKUP($A108,SatSunCurve,8))*(INDEX(DailyScalarsTable,BQ$5/100,MONTH($A108)))*$D108</f>
        <v>-13829.711439091978</v>
      </c>
      <c r="BR108" s="1021">
        <f>(VLOOKUP(YEAR($A108),'NY East Load Projections'!$A$4:$EO$14,((MONTH($A108)-1)*12)+VLOOKUP(BR$4,$DE$6:$DF$17,2)+1))*(VLOOKUP($A108,SatSunCurve,8))*(INDEX(DailyScalarsTable,BR$5/100,MONTH($A108)))*$D108</f>
        <v>-15706.858081498589</v>
      </c>
      <c r="BS108" s="1021">
        <f>(VLOOKUP(YEAR($A108),'NY East Load Projections'!$A$4:$EO$14,((MONTH($A108)-1)*12)+VLOOKUP(BS$4,$DE$6:$DF$17,2)+1))*(VLOOKUP($A108,SatSunCurve,8))*(INDEX(DailyScalarsTable,BS$5/100,MONTH($A108)))*$D108</f>
        <v>-16235.501551680522</v>
      </c>
      <c r="BT108" s="1021">
        <f>(VLOOKUP(YEAR($A108),'NY East Load Projections'!$A$4:$EO$14,((MONTH($A108)-1)*12)+VLOOKUP(BT$4,$DE$6:$DF$17,2)+1))*(VLOOKUP($A108,SatSunCurve,8))*(INDEX(DailyScalarsTable,BT$5/100,MONTH($A108)))*$D108</f>
        <v>-16911.673432145784</v>
      </c>
      <c r="BU108" s="1021">
        <f>(VLOOKUP(YEAR($A108),'NY East Load Projections'!$A$4:$EO$14,((MONTH($A108)-1)*12)+VLOOKUP(BU$4,$DE$6:$DF$17,2)+1))*(VLOOKUP($A108,SatSunCurve,8))*(INDEX(DailyScalarsTable,BU$5/100,MONTH($A108)))*$D108</f>
        <v>-17948.060514386183</v>
      </c>
      <c r="BV108" s="1021">
        <f>(VLOOKUP(YEAR($A108),'NY East Load Projections'!$A$4:$EO$14,((MONTH($A108)-1)*12)+VLOOKUP(BV$4,$DE$6:$DF$17,2)+1))*(VLOOKUP($A108,SatSunCurve,8))*(INDEX(DailyScalarsTable,BV$5/100,MONTH($A108)))*$D108</f>
        <v>-17525.781001414576</v>
      </c>
      <c r="BW108" s="1021">
        <f>(VLOOKUP(YEAR($A108),'NY East Load Projections'!$A$4:$EO$14,((MONTH($A108)-1)*12)+VLOOKUP(BW$4,$DE$6:$DF$17,2)+1))*(VLOOKUP($A108,SatSunCurve,8))*(INDEX(DailyScalarsTable,BW$5/100,MONTH($A108)))*$D108</f>
        <v>-17091.490947722948</v>
      </c>
      <c r="BX108" s="1021">
        <f>(VLOOKUP(YEAR($A108),'NY East Load Projections'!$A$4:$EO$14,((MONTH($A108)-1)*12)+VLOOKUP(BX$4,$DE$6:$DF$17,2)+1))*(VLOOKUP($A108,SatSunCurve,8))*(INDEX(DailyScalarsTable,BX$5/100,MONTH($A108)))*$D108</f>
        <v>-14275.078756709245</v>
      </c>
      <c r="BY108" s="1021">
        <f>(VLOOKUP(YEAR($A108),'NY East Load Projections'!$A$4:$EO$14,((MONTH($A108)-1)*12)+VLOOKUP(BY$4,$DE$6:$DF$17,2)+1))*(VLOOKUP($A108,SatSunCurve,8))*(INDEX(DailyScalarsTable,BY$5/100,MONTH($A108)))*$D108</f>
        <v>-10563.016888569997</v>
      </c>
      <c r="BZ108" s="1021">
        <f>(VLOOKUP(YEAR($A108),'NY East Load Projections'!$A$4:$EO$14,((MONTH($A108)-1)*12)+VLOOKUP(BZ$4,$DE$6:$DF$17,2)+1))*(VLOOKUP($A108,SatSunCurve,8))*(INDEX(DailyScalarsTable,BZ$5/100,MONTH($A108)))*$D108</f>
        <v>-11072.717528408428</v>
      </c>
      <c r="CA108" s="1021">
        <f>(VLOOKUP(YEAR($A108),'NY East Load Projections'!$A$4:$EO$14,((MONTH($A108)-1)*12)+VLOOKUP(CA$4,$DE$6:$DF$17,2)+1))*(VLOOKUP($A108,SatSunCurve,8))*(INDEX(DailyScalarsTable,CA$5/100,MONTH($A108)))*$D108</f>
        <v>-11733.042780429967</v>
      </c>
      <c r="CB108" s="1021">
        <f>(VLOOKUP(YEAR($A108),'NY East Load Projections'!$A$4:$EO$14,((MONTH($A108)-1)*12)+VLOOKUP(CB$4,$DE$6:$DF$17,2)+1))*(VLOOKUP($A108,SatSunCurve,8))*(INDEX(DailyScalarsTable,CB$5/100,MONTH($A108)))*$D108</f>
        <v>-8148.1012939481789</v>
      </c>
      <c r="CC108" s="1021">
        <f>(VLOOKUP(YEAR($A108),'NY East Load Projections'!$A$4:$EO$14,((MONTH($A108)-1)*12)+VLOOKUP(CC$4,$DE$6:$DF$17,2)+1))*(VLOOKUP($A108,CURVES!$D$9:$T$261,8))*(INDEX(DailyScalarsTable,CC$5/100,MONTH($A108)))*$D108</f>
        <v>-12453.280512080508</v>
      </c>
      <c r="CE108" s="1021">
        <f>(VLOOKUP(YEAR($A108),'NY East Load Projections'!$A$4:$EO$14,((MONTH($A108)-1)*12)+VLOOKUP(CE$4,$DE$6:$DF$17,2)+1))*(VLOOKUP($A108,CURVES!$D$9:$T$261,8))*(INDEX(DailyScalarsTable,CE$5/100,MONTH($A108)))*$E108</f>
        <v>-2662.9408592667291</v>
      </c>
      <c r="CF108" s="1021">
        <f>(VLOOKUP(YEAR($A108),'NY East Load Projections'!$A$4:$EO$14,((MONTH($A108)-1)*12)+VLOOKUP(CF$4,$DE$6:$DF$17,2)+1))*(VLOOKUP($A108,CURVES!$D$9:$T$261,8))*(INDEX(DailyScalarsTable,CF$5/100,MONTH($A108)))*$E108</f>
        <v>-2432.4191705331687</v>
      </c>
      <c r="CG108" s="1021">
        <f>(VLOOKUP(YEAR($A108),'NY East Load Projections'!$A$4:$EO$14,((MONTH($A108)-1)*12)+VLOOKUP(CG$4,$DE$6:$DF$17,2)+1))*(VLOOKUP($A108,CURVES!$D$9:$T$261,8))*(INDEX(DailyScalarsTable,CG$5/100,MONTH($A108)))*$E108</f>
        <v>-2317.6775191590327</v>
      </c>
      <c r="CH108" s="1021">
        <f>(VLOOKUP(YEAR($A108),'NY East Load Projections'!$A$4:$EO$14,((MONTH($A108)-1)*12)+VLOOKUP(CH$4,$DE$6:$DF$17,2)+1))*(VLOOKUP($A108,CURVES!$D$9:$T$261,8))*(INDEX(DailyScalarsTable,CH$5/100,MONTH($A108)))*$E108</f>
        <v>-2087.1558304254722</v>
      </c>
      <c r="CI108" s="1021">
        <f>(VLOOKUP(YEAR($A108),'NY East Load Projections'!$A$4:$EO$14,((MONTH($A108)-1)*12)+VLOOKUP(CI$4,$DE$6:$DF$17,2)+1))*(VLOOKUP($A108,CURVES!$D$9:$T$261,8))*(INDEX(DailyScalarsTable,CI$5/100,MONTH($A108)))*$E108</f>
        <v>-2011.4538992296609</v>
      </c>
      <c r="CJ108" s="1021">
        <f>(VLOOKUP(YEAR($A108),'NY East Load Projections'!$A$4:$EO$14,((MONTH($A108)-1)*12)+VLOOKUP(CJ$4,$DE$6:$DF$17,2)+1))*(VLOOKUP($A108,CURVES!$D$9:$T$261,8))*(INDEX(DailyScalarsTable,CJ$5/100,MONTH($A108)))*$E108</f>
        <v>-2217.5541284222177</v>
      </c>
      <c r="CK108" s="1021">
        <f>(VLOOKUP(YEAR($A108),'NY East Load Projections'!$A$4:$EO$14,((MONTH($A108)-1)*12)+VLOOKUP(CK$4,$DE$6:$DF$17,2)+1))*(VLOOKUP($A108,CURVES!$D$9:$T$261,8))*(INDEX(DailyScalarsTable,CK$5/100,MONTH($A108)))*$E108</f>
        <v>-2462.6605390987879</v>
      </c>
      <c r="CL108" s="1021">
        <f>(VLOOKUP(YEAR($A108),'NY East Load Projections'!$A$4:$EO$14,((MONTH($A108)-1)*12)+VLOOKUP(CL$4,$DE$6:$DF$17,2)+1))*(VLOOKUP($A108,SatSunCurve,8))*(INDEX(DailyScalarsTable,CL$5/100,MONTH($A108)))*$E108</f>
        <v>-1766.573636751722</v>
      </c>
      <c r="CM108" s="1021">
        <f>(VLOOKUP(YEAR($A108),'NY East Load Projections'!$A$4:$EO$14,((MONTH($A108)-1)*12)+VLOOKUP(CM$4,$DE$6:$DF$17,2)+1))*(VLOOKUP($A108,SatSunCurve,8))*(INDEX(DailyScalarsTable,CM$5/100,MONTH($A108)))*$E108</f>
        <v>-2122.7151551073493</v>
      </c>
      <c r="CN108" s="1021">
        <f>(VLOOKUP(YEAR($A108),'NY East Load Projections'!$A$4:$EO$14,((MONTH($A108)-1)*12)+VLOOKUP(CN$4,$DE$6:$DF$17,2)+1))*(VLOOKUP($A108,SatSunCurve,8))*(INDEX(DailyScalarsTable,CN$5/100,MONTH($A108)))*$E108</f>
        <v>-2541.471945576749</v>
      </c>
      <c r="CO108" s="1021">
        <f>(VLOOKUP(YEAR($A108),'NY East Load Projections'!$A$4:$EO$14,((MONTH($A108)-1)*12)+VLOOKUP(CO$4,$DE$6:$DF$17,2)+1))*(VLOOKUP($A108,SatSunCurve,8))*(INDEX(DailyScalarsTable,CO$5/100,MONTH($A108)))*$E108</f>
        <v>-2891.9272367459407</v>
      </c>
      <c r="CP108" s="1021">
        <f>(VLOOKUP(YEAR($A108),'NY East Load Projections'!$A$4:$EO$14,((MONTH($A108)-1)*12)+VLOOKUP(CP$4,$DE$6:$DF$17,2)+1))*(VLOOKUP($A108,SatSunCurve,8))*(INDEX(DailyScalarsTable,CP$5/100,MONTH($A108)))*$E108</f>
        <v>-3457.4278597729945</v>
      </c>
      <c r="CQ108" s="1021">
        <f>(VLOOKUP(YEAR($A108),'NY East Load Projections'!$A$4:$EO$14,((MONTH($A108)-1)*12)+VLOOKUP(CQ$4,$DE$6:$DF$17,2)+1))*(VLOOKUP($A108,SatSunCurve,8))*(INDEX(DailyScalarsTable,CQ$5/100,MONTH($A108)))*$E108</f>
        <v>-3926.7145203746472</v>
      </c>
      <c r="CR108" s="1021">
        <f>(VLOOKUP(YEAR($A108),'NY East Load Projections'!$A$4:$EO$14,((MONTH($A108)-1)*12)+VLOOKUP(CR$4,$DE$6:$DF$17,2)+1))*(VLOOKUP($A108,SatSunCurve,8))*(INDEX(DailyScalarsTable,CR$5/100,MONTH($A108)))*$E108</f>
        <v>-4058.8753879201304</v>
      </c>
      <c r="CS108" s="1021">
        <f>(VLOOKUP(YEAR($A108),'NY East Load Projections'!$A$4:$EO$14,((MONTH($A108)-1)*12)+VLOOKUP(CS$4,$DE$6:$DF$17,2)+1))*(VLOOKUP($A108,SatSunCurve,8))*(INDEX(DailyScalarsTable,CS$5/100,MONTH($A108)))*$E108</f>
        <v>-4227.9183580364461</v>
      </c>
      <c r="CT108" s="1021">
        <f>(VLOOKUP(YEAR($A108),'NY East Load Projections'!$A$4:$EO$14,((MONTH($A108)-1)*12)+VLOOKUP(CT$4,$DE$6:$DF$17,2)+1))*(VLOOKUP($A108,SatSunCurve,8))*(INDEX(DailyScalarsTable,CT$5/100,MONTH($A108)))*$E108</f>
        <v>-4487.0151285965458</v>
      </c>
      <c r="CU108" s="1021">
        <f>(VLOOKUP(YEAR($A108),'NY East Load Projections'!$A$4:$EO$14,((MONTH($A108)-1)*12)+VLOOKUP(CU$4,$DE$6:$DF$17,2)+1))*(VLOOKUP($A108,SatSunCurve,8))*(INDEX(DailyScalarsTable,CU$5/100,MONTH($A108)))*$E108</f>
        <v>-4381.445250353644</v>
      </c>
      <c r="CV108" s="1021">
        <f>(VLOOKUP(YEAR($A108),'NY East Load Projections'!$A$4:$EO$14,((MONTH($A108)-1)*12)+VLOOKUP(CV$4,$DE$6:$DF$17,2)+1))*(VLOOKUP($A108,SatSunCurve,8))*(INDEX(DailyScalarsTable,CV$5/100,MONTH($A108)))*$E108</f>
        <v>-4272.8727369307371</v>
      </c>
      <c r="CW108" s="1021">
        <f>(VLOOKUP(YEAR($A108),'NY East Load Projections'!$A$4:$EO$14,((MONTH($A108)-1)*12)+VLOOKUP(CW$4,$DE$6:$DF$17,2)+1))*(VLOOKUP($A108,SatSunCurve,8))*(INDEX(DailyScalarsTable,CW$5/100,MONTH($A108)))*$E108</f>
        <v>-3568.7696891773112</v>
      </c>
      <c r="CX108" s="1021">
        <f>(VLOOKUP(YEAR($A108),'NY East Load Projections'!$A$4:$EO$14,((MONTH($A108)-1)*12)+VLOOKUP(CX$4,$DE$6:$DF$17,2)+1))*(VLOOKUP($A108,SatSunCurve,8))*(INDEX(DailyScalarsTable,CX$5/100,MONTH($A108)))*$E108</f>
        <v>-2640.7542221424992</v>
      </c>
      <c r="CY108" s="1021">
        <f>(VLOOKUP(YEAR($A108),'NY East Load Projections'!$A$4:$EO$14,((MONTH($A108)-1)*12)+VLOOKUP(CY$4,$DE$6:$DF$17,2)+1))*(VLOOKUP($A108,SatSunCurve,8))*(INDEX(DailyScalarsTable,CY$5/100,MONTH($A108)))*$E108</f>
        <v>-2768.179382102107</v>
      </c>
      <c r="CZ108" s="1021">
        <f>(VLOOKUP(YEAR($A108),'NY East Load Projections'!$A$4:$EO$14,((MONTH($A108)-1)*12)+VLOOKUP(CZ$4,$DE$6:$DF$17,2)+1))*(VLOOKUP($A108,SatSunCurve,8))*(INDEX(DailyScalarsTable,CZ$5/100,MONTH($A108)))*$E108</f>
        <v>-2933.2606951074918</v>
      </c>
      <c r="DA108" s="1021">
        <f>(VLOOKUP(YEAR($A108),'NY East Load Projections'!$A$4:$EO$14,((MONTH($A108)-1)*12)+VLOOKUP(DA$4,$DE$6:$DF$17,2)+1))*(VLOOKUP($A108,SatSunCurve,8))*(INDEX(DailyScalarsTable,DA$5/100,MONTH($A108)))*$E108</f>
        <v>-2037.0253234870447</v>
      </c>
      <c r="DB108" s="1021">
        <f>(VLOOKUP(YEAR($A108),'NY East Load Projections'!$A$4:$EO$14,((MONTH($A108)-1)*12)+VLOOKUP(DB$4,$DE$6:$DF$17,2)+1))*(VLOOKUP($A108,CURVES!$D$9:$T$261,8))*(INDEX(DailyScalarsTable,DB$5/100,MONTH($A108)))*$E108</f>
        <v>-3113.320128020127</v>
      </c>
      <c r="DH108" s="1021">
        <f t="shared" si="2"/>
        <v>-4217715.1065525897</v>
      </c>
      <c r="DI108">
        <f ca="1">CALC!J128</f>
        <v>0.5022236150639402</v>
      </c>
      <c r="DJ108" s="1029">
        <f t="shared" ca="1" si="3"/>
        <v>-2118236.1281226333</v>
      </c>
    </row>
    <row r="109" spans="1:114" x14ac:dyDescent="0.25">
      <c r="A109" s="244">
        <v>40026</v>
      </c>
      <c r="B109" s="13">
        <v>21</v>
      </c>
      <c r="C109" s="210">
        <v>5</v>
      </c>
      <c r="D109" s="210">
        <v>5</v>
      </c>
      <c r="E109" s="210">
        <v>0</v>
      </c>
      <c r="F109" s="13">
        <v>31</v>
      </c>
      <c r="H109" s="1021">
        <f>(VLOOKUP(YEAR($A109),'NY East Load Projections'!$A$4:$EO$14,((MONTH($A109)-1)*12)+VLOOKUP(H$4,$DE$6:$DF$17,2)+1))*(VLOOKUP($A109,CURVES!$D$9:$K$261,8))*(INDEX(DailyScalarsTable,H$5/100,MONTH($A109)))*$B109</f>
        <v>-59172.738668635313</v>
      </c>
      <c r="I109" s="1021">
        <f>(VLOOKUP(YEAR($A109),'NY East Load Projections'!$A$4:$EO$14,((MONTH($A109)-1)*12)+VLOOKUP(I$4,$DE$6:$DF$17,2)+1))*(VLOOKUP($A109,CURVES!$D$9:$K$261,8))*(INDEX(DailyScalarsTable,I$5/100,MONTH($A109)))*$B109</f>
        <v>-53416.26763122069</v>
      </c>
      <c r="J109" s="1021">
        <f>(VLOOKUP(YEAR($A109),'NY East Load Projections'!$A$4:$EO$14,((MONTH($A109)-1)*12)+VLOOKUP(J$4,$DE$6:$DF$17,2)+1))*(VLOOKUP($A109,CURVES!$D$9:$K$261,8))*(INDEX(DailyScalarsTable,J$5/100,MONTH($A109)))*$B109</f>
        <v>-47970.591978455217</v>
      </c>
      <c r="K109" s="1021">
        <f>(VLOOKUP(YEAR($A109),'NY East Load Projections'!$A$4:$EO$14,((MONTH($A109)-1)*12)+VLOOKUP(K$4,$DE$6:$DF$17,2)+1))*(VLOOKUP($A109,CURVES!$D$9:$K$261,8))*(INDEX(DailyScalarsTable,K$5/100,MONTH($A109)))*$B109</f>
        <v>-45132.8949881804</v>
      </c>
      <c r="L109" s="1021">
        <f>(VLOOKUP(YEAR($A109),'NY East Load Projections'!$A$4:$EO$14,((MONTH($A109)-1)*12)+VLOOKUP(L$4,$DE$6:$DF$17,2)+1))*(VLOOKUP($A109,CURVES!$D$9:$K$261,8))*(INDEX(DailyScalarsTable,L$5/100,MONTH($A109)))*$B109</f>
        <v>-49875.114476666968</v>
      </c>
      <c r="M109" s="1021">
        <f>(VLOOKUP(YEAR($A109),'NY East Load Projections'!$A$4:$EO$14,((MONTH($A109)-1)*12)+VLOOKUP(M$4,$DE$6:$DF$17,2)+1))*(VLOOKUP($A109,CURVES!$D$9:$K$261,8))*(INDEX(DailyScalarsTable,M$5/100,MONTH($A109)))*$B109</f>
        <v>-55413.597047626557</v>
      </c>
      <c r="N109" s="1021">
        <f>(VLOOKUP(YEAR($A109),'NY East Load Projections'!$A$4:$EO$14,((MONTH($A109)-1)*12)+VLOOKUP(N$4,$DE$6:$DF$17,2)+1))*(VLOOKUP($A109,CURVES!$D$9:$K$261,8))*(INDEX(DailyScalarsTable,N$5/100,MONTH($A109)))*$B109</f>
        <v>-64476.568527378549</v>
      </c>
      <c r="O109" s="1021">
        <f>(VLOOKUP(YEAR($A109),'NY East Load Projections'!$A$4:$EO$14,((MONTH($A109)-1)*12)+VLOOKUP(O$4,$DE$6:$DF$17,2)+1))*(VLOOKUP($A109,CURVES!$D$9:$K$261,4))*(INDEX(DailyScalarsTable,O$5/100,MONTH($A109)))*$B109</f>
        <v>-106196.54585300048</v>
      </c>
      <c r="P109" s="1021">
        <f>(VLOOKUP(YEAR($A109),'NY East Load Projections'!$A$4:$EO$14,((MONTH($A109)-1)*12)+VLOOKUP(P$4,$DE$6:$DF$17,2)+1))*(VLOOKUP($A109,CURVES!$D$9:$K$261,4))*(INDEX(DailyScalarsTable,P$5/100,MONTH($A109)))*$B109</f>
        <v>-126691.85902457408</v>
      </c>
      <c r="Q109" s="1021">
        <f>(VLOOKUP(YEAR($A109),'NY East Load Projections'!$A$4:$EO$14,((MONTH($A109)-1)*12)+VLOOKUP(Q$4,$DE$6:$DF$17,2)+1))*(VLOOKUP($A109,CURVES!$D$9:$K$261,4))*(INDEX(DailyScalarsTable,Q$5/100,MONTH($A109)))*$B109</f>
        <v>-162474.51495712996</v>
      </c>
      <c r="R109" s="1021">
        <f>(VLOOKUP(YEAR($A109),'NY East Load Projections'!$A$4:$EO$14,((MONTH($A109)-1)*12)+VLOOKUP(R$4,$DE$6:$DF$17,2)+1))*(VLOOKUP($A109,CURVES!$D$9:$K$261,4))*(INDEX(DailyScalarsTable,R$5/100,MONTH($A109)))*$B109</f>
        <v>-183377.25456129623</v>
      </c>
      <c r="S109" s="1021">
        <f>(VLOOKUP(YEAR($A109),'NY East Load Projections'!$A$4:$EO$14,((MONTH($A109)-1)*12)+VLOOKUP(S$4,$DE$6:$DF$17,2)+1))*(VLOOKUP($A109,CURVES!$D$9:$K$261,4))*(INDEX(DailyScalarsTable,S$5/100,MONTH($A109)))*$B109</f>
        <v>-191147.87753278852</v>
      </c>
      <c r="T109" s="1021">
        <f>(VLOOKUP(YEAR($A109),'NY East Load Projections'!$A$4:$EO$14,((MONTH($A109)-1)*12)+VLOOKUP(T$4,$DE$6:$DF$17,2)+1))*(VLOOKUP($A109,CURVES!$D$9:$K$261,4))*(INDEX(DailyScalarsTable,T$5/100,MONTH($A109)))*$B109</f>
        <v>-194612.21881539802</v>
      </c>
      <c r="U109" s="1021">
        <f>(VLOOKUP(YEAR($A109),'NY East Load Projections'!$A$4:$EO$14,((MONTH($A109)-1)*12)+VLOOKUP(U$4,$DE$6:$DF$17,2)+1))*(VLOOKUP($A109,CURVES!$D$9:$K$261,4))*(INDEX(DailyScalarsTable,U$5/100,MONTH($A109)))*$B109</f>
        <v>-213639.56864353197</v>
      </c>
      <c r="V109" s="1021">
        <f>(VLOOKUP(YEAR($A109),'NY East Load Projections'!$A$4:$EO$14,((MONTH($A109)-1)*12)+VLOOKUP(V$4,$DE$6:$DF$17,2)+1))*(VLOOKUP($A109,CURVES!$D$9:$K$261,4))*(INDEX(DailyScalarsTable,V$5/100,MONTH($A109)))*$B109</f>
        <v>-226170.95700167879</v>
      </c>
      <c r="W109" s="1021">
        <f>(VLOOKUP(YEAR($A109),'NY East Load Projections'!$A$4:$EO$14,((MONTH($A109)-1)*12)+VLOOKUP(W$4,$DE$6:$DF$17,2)+1))*(VLOOKUP($A109,CURVES!$D$9:$K$261,4))*(INDEX(DailyScalarsTable,W$5/100,MONTH($A109)))*$B109</f>
        <v>-223019.93091549099</v>
      </c>
      <c r="X109" s="1021">
        <f>(VLOOKUP(YEAR($A109),'NY East Load Projections'!$A$4:$EO$14,((MONTH($A109)-1)*12)+VLOOKUP(X$4,$DE$6:$DF$17,2)+1))*(VLOOKUP($A109,CURVES!$D$9:$K$261,4))*(INDEX(DailyScalarsTable,X$5/100,MONTH($A109)))*$B109</f>
        <v>-209629.24494026348</v>
      </c>
      <c r="Y109" s="1021">
        <f>(VLOOKUP(YEAR($A109),'NY East Load Projections'!$A$4:$EO$14,((MONTH($A109)-1)*12)+VLOOKUP(Y$4,$DE$6:$DF$17,2)+1))*(VLOOKUP($A109,CURVES!$D$9:$K$261,4))*(INDEX(DailyScalarsTable,Y$5/100,MONTH($A109)))*$B109</f>
        <v>-194129.63988297252</v>
      </c>
      <c r="Z109" s="1021">
        <f>(VLOOKUP(YEAR($A109),'NY East Load Projections'!$A$4:$EO$14,((MONTH($A109)-1)*12)+VLOOKUP(Z$4,$DE$6:$DF$17,2)+1))*(VLOOKUP($A109,CURVES!$D$9:$K$261,4))*(INDEX(DailyScalarsTable,Z$5/100,MONTH($A109)))*$B109</f>
        <v>-158235.81764503551</v>
      </c>
      <c r="AA109" s="1021">
        <f>(VLOOKUP(YEAR($A109),'NY East Load Projections'!$A$4:$EO$14,((MONTH($A109)-1)*12)+VLOOKUP(AA$4,$DE$6:$DF$17,2)+1))*(VLOOKUP($A109,CURVES!$D$9:$K$261,4))*(INDEX(DailyScalarsTable,AA$5/100,MONTH($A109)))*$B109</f>
        <v>-144064.75016408373</v>
      </c>
      <c r="AB109" s="1021">
        <f>(VLOOKUP(YEAR($A109),'NY East Load Projections'!$A$4:$EO$14,((MONTH($A109)-1)*12)+VLOOKUP(AB$4,$DE$6:$DF$17,2)+1))*(VLOOKUP($A109,CURVES!$D$9:$K$261,4))*(INDEX(DailyScalarsTable,AB$5/100,MONTH($A109)))*$B109</f>
        <v>-164616.45582771889</v>
      </c>
      <c r="AC109" s="1021">
        <f>(VLOOKUP(YEAR($A109),'NY East Load Projections'!$A$4:$EO$14,((MONTH($A109)-1)*12)+VLOOKUP(AC$4,$DE$6:$DF$17,2)+1))*(VLOOKUP($A109,CURVES!$D$9:$K$261,4))*(INDEX(DailyScalarsTable,AC$5/100,MONTH($A109)))*$B109</f>
        <v>-139977.96353204388</v>
      </c>
      <c r="AD109" s="1021">
        <f>(VLOOKUP(YEAR($A109),'NY East Load Projections'!$A$4:$EO$14,((MONTH($A109)-1)*12)+VLOOKUP(AD$4,$DE$6:$DF$17,2)+1))*(VLOOKUP($A109,CURVES!$D$9:$K$261,4))*(INDEX(DailyScalarsTable,AD$5/100,MONTH($A109)))*$B109</f>
        <v>-113349.76481386586</v>
      </c>
      <c r="AE109" s="1021">
        <f>(VLOOKUP(YEAR($A109),'NY East Load Projections'!$A$4:$EO$14,((MONTH($A109)-1)*12)+VLOOKUP(AE$4,$DE$6:$DF$17,2)+1))*(VLOOKUP($A109,CURVES!$D$9:$K$261,8))*(INDEX(DailyScalarsTable,AE$5/100,MONTH($A109)))*$B109</f>
        <v>-71539.305796022498</v>
      </c>
      <c r="AF109" s="1021"/>
      <c r="AG109" s="1021">
        <f>(VLOOKUP(YEAR($A109),'NY East Load Projections'!$A$4:$EO$14,((MONTH($A109)-1)*12)+VLOOKUP(AG$4,$DE$6:$DF$17,2)+1))*(VLOOKUP($A109,CURVES!$D$9:$T$261,8))*(INDEX(DailyScalarsTable,AG$5/100,MONTH($A109)))*$C109</f>
        <v>-13788.076508977207</v>
      </c>
      <c r="AH109" s="1021">
        <f>(VLOOKUP(YEAR($A109),'NY East Load Projections'!$A$4:$EO$14,((MONTH($A109)-1)*12)+VLOOKUP(AH$4,$DE$6:$DF$17,2)+1))*(VLOOKUP($A109,CURVES!$D$9:$T$261,8))*(INDEX(DailyScalarsTable,AH$5/100,MONTH($A109)))*$C109</f>
        <v>-12446.738168528636</v>
      </c>
      <c r="AI109" s="1021">
        <f>(VLOOKUP(YEAR($A109),'NY East Load Projections'!$A$4:$EO$14,((MONTH($A109)-1)*12)+VLOOKUP(AI$4,$DE$6:$DF$17,2)+1))*(VLOOKUP($A109,CURVES!$D$9:$T$261,8))*(INDEX(DailyScalarsTable,AI$5/100,MONTH($A109)))*$C109</f>
        <v>-11177.81950373809</v>
      </c>
      <c r="AJ109" s="1021">
        <f>(VLOOKUP(YEAR($A109),'NY East Load Projections'!$A$4:$EO$14,((MONTH($A109)-1)*12)+VLOOKUP(AJ$4,$DE$6:$DF$17,2)+1))*(VLOOKUP($A109,CURVES!$D$9:$T$261,8))*(INDEX(DailyScalarsTable,AJ$5/100,MONTH($A109)))*$C109</f>
        <v>-10516.596378164848</v>
      </c>
      <c r="AK109" s="1021">
        <f>(VLOOKUP(YEAR($A109),'NY East Load Projections'!$A$4:$EO$14,((MONTH($A109)-1)*12)+VLOOKUP(AK$4,$DE$6:$DF$17,2)+1))*(VLOOKUP($A109,CURVES!$D$9:$T$261,8))*(INDEX(DailyScalarsTable,AK$5/100,MONTH($A109)))*$C109</f>
        <v>-11101.532874255136</v>
      </c>
      <c r="AL109" s="1021">
        <f>(VLOOKUP(YEAR($A109),'NY East Load Projections'!$A$4:$EO$14,((MONTH($A109)-1)*12)+VLOOKUP(AL$4,$DE$6:$DF$17,2)+1))*(VLOOKUP($A109,CURVES!$D$9:$T$261,8))*(INDEX(DailyScalarsTable,AL$5/100,MONTH($A109)))*$C109</f>
        <v>-12334.324958647478</v>
      </c>
      <c r="AM109" s="1021">
        <f>(VLOOKUP(YEAR($A109),'NY East Load Projections'!$A$4:$EO$14,((MONTH($A109)-1)*12)+VLOOKUP(AM$4,$DE$6:$DF$17,2)+1))*(VLOOKUP($A109,CURVES!$D$9:$T$261,8))*(INDEX(DailyScalarsTable,AM$5/100,MONTH($A109)))*$C109</f>
        <v>-14351.621096744024</v>
      </c>
      <c r="AN109" s="1021">
        <f>(VLOOKUP(YEAR($A109),'NY East Load Projections'!$A$4:$EO$14,((MONTH($A109)-1)*12)+VLOOKUP(AN$4,$DE$6:$DF$17,2)+1))*(VLOOKUP($A109,SatSunCurve,4))*(INDEX(DailyScalarsTable,AN$5/100,MONTH($A109)))*$C109</f>
        <v>-14646.848824188368</v>
      </c>
      <c r="AO109" s="1021">
        <f>(VLOOKUP(YEAR($A109),'NY East Load Projections'!$A$4:$EO$14,((MONTH($A109)-1)*12)+VLOOKUP(AO$4,$DE$6:$DF$17,2)+1))*(VLOOKUP($A109,SatSunCurve,4))*(INDEX(DailyScalarsTable,AO$5/100,MONTH($A109)))*$C109</f>
        <v>-17544.677986144859</v>
      </c>
      <c r="AP109" s="1021">
        <f>(VLOOKUP(YEAR($A109),'NY East Load Projections'!$A$4:$EO$14,((MONTH($A109)-1)*12)+VLOOKUP(AP$4,$DE$6:$DF$17,2)+1))*(VLOOKUP($A109,SatSunCurve,4))*(INDEX(DailyScalarsTable,AP$5/100,MONTH($A109)))*$C109</f>
        <v>-22499.970146661162</v>
      </c>
      <c r="AQ109" s="1021">
        <f>(VLOOKUP(YEAR($A109),'NY East Load Projections'!$A$4:$EO$14,((MONTH($A109)-1)*12)+VLOOKUP(AQ$4,$DE$6:$DF$17,2)+1))*(VLOOKUP($A109,SatSunCurve,4))*(INDEX(DailyScalarsTable,AQ$5/100,MONTH($A109)))*$C109</f>
        <v>-25394.645765180583</v>
      </c>
      <c r="AR109" s="1021">
        <f>(VLOOKUP(YEAR($A109),'NY East Load Projections'!$A$4:$EO$14,((MONTH($A109)-1)*12)+VLOOKUP(AR$4,$DE$6:$DF$17,2)+1))*(VLOOKUP($A109,SatSunCurve,4))*(INDEX(DailyScalarsTable,AR$5/100,MONTH($A109)))*$C109</f>
        <v>-26470.745514890063</v>
      </c>
      <c r="AS109" s="1021">
        <f>(VLOOKUP(YEAR($A109),'NY East Load Projections'!$A$4:$EO$14,((MONTH($A109)-1)*12)+VLOOKUP(AS$4,$DE$6:$DF$17,2)+1))*(VLOOKUP($A109,SatSunCurve,4))*(INDEX(DailyScalarsTable,AS$5/100,MONTH($A109)))*$C109</f>
        <v>-27154.786130416069</v>
      </c>
      <c r="AT109" s="1021">
        <f>(VLOOKUP(YEAR($A109),'NY East Load Projections'!$A$4:$EO$14,((MONTH($A109)-1)*12)+VLOOKUP(AT$4,$DE$6:$DF$17,2)+1))*(VLOOKUP($A109,SatSunCurve,4))*(INDEX(DailyScalarsTable,AT$5/100,MONTH($A109)))*$C109</f>
        <v>-29809.72536473873</v>
      </c>
      <c r="AU109" s="1021">
        <f>(VLOOKUP(YEAR($A109),'NY East Load Projections'!$A$4:$EO$14,((MONTH($A109)-1)*12)+VLOOKUP(AU$4,$DE$6:$DF$17,2)+1))*(VLOOKUP($A109,SatSunCurve,4))*(INDEX(DailyScalarsTable,AU$5/100,MONTH($A109)))*$C109</f>
        <v>-31558.264962375437</v>
      </c>
      <c r="AV109" s="1021">
        <f>(VLOOKUP(YEAR($A109),'NY East Load Projections'!$A$4:$EO$14,((MONTH($A109)-1)*12)+VLOOKUP(AV$4,$DE$6:$DF$17,2)+1))*(VLOOKUP($A109,SatSunCurve,4))*(INDEX(DailyScalarsTable,AV$5/100,MONTH($A109)))*$C109</f>
        <v>-31118.593496818816</v>
      </c>
      <c r="AW109" s="1021">
        <f>(VLOOKUP(YEAR($A109),'NY East Load Projections'!$A$4:$EO$14,((MONTH($A109)-1)*12)+VLOOKUP(AW$4,$DE$6:$DF$17,2)+1))*(VLOOKUP($A109,SatSunCurve,4))*(INDEX(DailyScalarsTable,AW$5/100,MONTH($A109)))*$C109</f>
        <v>-29046.78974209513</v>
      </c>
      <c r="AX109" s="1021">
        <f>(VLOOKUP(YEAR($A109),'NY East Load Projections'!$A$4:$EO$14,((MONTH($A109)-1)*12)+VLOOKUP(AX$4,$DE$6:$DF$17,2)+1))*(VLOOKUP($A109,SatSunCurve,4))*(INDEX(DailyScalarsTable,AX$5/100,MONTH($A109)))*$C109</f>
        <v>-26899.122944397419</v>
      </c>
      <c r="AY109" s="1021">
        <f>(VLOOKUP(YEAR($A109),'NY East Load Projections'!$A$4:$EO$14,((MONTH($A109)-1)*12)+VLOOKUP(AY$4,$DE$6:$DF$17,2)+1))*(VLOOKUP($A109,SatSunCurve,4))*(INDEX(DailyScalarsTable,AY$5/100,MONTH($A109)))*$C109</f>
        <v>-21925.578781307973</v>
      </c>
      <c r="AZ109" s="1021">
        <f>(VLOOKUP(YEAR($A109),'NY East Load Projections'!$A$4:$EO$14,((MONTH($A109)-1)*12)+VLOOKUP(AZ$4,$DE$6:$DF$17,2)+1))*(VLOOKUP($A109,SatSunCurve,4))*(INDEX(DailyScalarsTable,AZ$5/100,MONTH($A109)))*$C109</f>
        <v>-19961.997709127201</v>
      </c>
      <c r="BA109" s="1021">
        <f>(VLOOKUP(YEAR($A109),'NY East Load Projections'!$A$4:$EO$14,((MONTH($A109)-1)*12)+VLOOKUP(BA$4,$DE$6:$DF$17,2)+1))*(VLOOKUP($A109,SatSunCurve,4))*(INDEX(DailyScalarsTable,BA$5/100,MONTH($A109)))*$C109</f>
        <v>-23739.540480809432</v>
      </c>
      <c r="BB109" s="1021">
        <f>(VLOOKUP(YEAR($A109),'NY East Load Projections'!$A$4:$EO$14,((MONTH($A109)-1)*12)+VLOOKUP(BB$4,$DE$6:$DF$17,2)+1))*(VLOOKUP($A109,SatSunCurve,4))*(INDEX(DailyScalarsTable,BB$5/100,MONTH($A109)))*$C109</f>
        <v>-20186.393364998436</v>
      </c>
      <c r="BC109" s="1021">
        <f>(VLOOKUP(YEAR($A109),'NY East Load Projections'!$A$4:$EO$14,((MONTH($A109)-1)*12)+VLOOKUP(BC$4,$DE$6:$DF$17,2)+1))*(VLOOKUP($A109,SatSunCurve,4))*(INDEX(DailyScalarsTable,BC$5/100,MONTH($A109)))*$C109</f>
        <v>-16346.308251862481</v>
      </c>
      <c r="BD109" s="1021">
        <f>(VLOOKUP(YEAR($A109),'NY East Load Projections'!$A$4:$EO$14,((MONTH($A109)-1)*12)+VLOOKUP(BD$4,$DE$6:$DF$17,2)+1))*(VLOOKUP($A109,CURVES!$D$9:$T$261,8))*(INDEX(DailyScalarsTable,BD$5/100,MONTH($A109)))*$C109</f>
        <v>-16649.799898953061</v>
      </c>
      <c r="BE109" s="1021"/>
      <c r="BF109" s="1021">
        <f>(VLOOKUP(YEAR($A109),'NY East Load Projections'!$A$4:$EO$14,((MONTH($A109)-1)*12)+VLOOKUP(BF$4,$DE$6:$DF$17,2)+1))*(VLOOKUP($A109,CURVES!$D$9:$T$261,8))*(INDEX(DailyScalarsTable,BF$5/100,MONTH($A109)))*$D109</f>
        <v>-13788.076508977207</v>
      </c>
      <c r="BG109" s="1021">
        <f>(VLOOKUP(YEAR($A109),'NY East Load Projections'!$A$4:$EO$14,((MONTH($A109)-1)*12)+VLOOKUP(BG$4,$DE$6:$DF$17,2)+1))*(VLOOKUP($A109,CURVES!$D$9:$T$261,8))*(INDEX(DailyScalarsTable,BG$5/100,MONTH($A109)))*$D109</f>
        <v>-12446.738168528636</v>
      </c>
      <c r="BH109" s="1021">
        <f>(VLOOKUP(YEAR($A109),'NY East Load Projections'!$A$4:$EO$14,((MONTH($A109)-1)*12)+VLOOKUP(BH$4,$DE$6:$DF$17,2)+1))*(VLOOKUP($A109,CURVES!$D$9:$T$261,8))*(INDEX(DailyScalarsTable,BH$5/100,MONTH($A109)))*$D109</f>
        <v>-11177.81950373809</v>
      </c>
      <c r="BI109" s="1021">
        <f>(VLOOKUP(YEAR($A109),'NY East Load Projections'!$A$4:$EO$14,((MONTH($A109)-1)*12)+VLOOKUP(BI$4,$DE$6:$DF$17,2)+1))*(VLOOKUP($A109,CURVES!$D$9:$T$261,8))*(INDEX(DailyScalarsTable,BI$5/100,MONTH($A109)))*$D109</f>
        <v>-10516.596378164848</v>
      </c>
      <c r="BJ109" s="1021">
        <f>(VLOOKUP(YEAR($A109),'NY East Load Projections'!$A$4:$EO$14,((MONTH($A109)-1)*12)+VLOOKUP(BJ$4,$DE$6:$DF$17,2)+1))*(VLOOKUP($A109,CURVES!$D$9:$T$261,8))*(INDEX(DailyScalarsTable,BJ$5/100,MONTH($A109)))*$D109</f>
        <v>-11101.532874255136</v>
      </c>
      <c r="BK109" s="1021">
        <f>(VLOOKUP(YEAR($A109),'NY East Load Projections'!$A$4:$EO$14,((MONTH($A109)-1)*12)+VLOOKUP(BK$4,$DE$6:$DF$17,2)+1))*(VLOOKUP($A109,CURVES!$D$9:$T$261,8))*(INDEX(DailyScalarsTable,BK$5/100,MONTH($A109)))*$D109</f>
        <v>-12334.324958647478</v>
      </c>
      <c r="BL109" s="1021">
        <f>(VLOOKUP(YEAR($A109),'NY East Load Projections'!$A$4:$EO$14,((MONTH($A109)-1)*12)+VLOOKUP(BL$4,$DE$6:$DF$17,2)+1))*(VLOOKUP($A109,CURVES!$D$9:$T$261,8))*(INDEX(DailyScalarsTable,BL$5/100,MONTH($A109)))*$D109</f>
        <v>-14351.621096744024</v>
      </c>
      <c r="BM109" s="1021">
        <f>(VLOOKUP(YEAR($A109),'NY East Load Projections'!$A$4:$EO$14,((MONTH($A109)-1)*12)+VLOOKUP(BM$4,$DE$6:$DF$17,2)+1))*(VLOOKUP($A109,SatSunCurve,8))*(INDEX(DailyScalarsTable,BM$5/100,MONTH($A109)))*$D109</f>
        <v>-10950.66511838577</v>
      </c>
      <c r="BN109" s="1021">
        <f>(VLOOKUP(YEAR($A109),'NY East Load Projections'!$A$4:$EO$14,((MONTH($A109)-1)*12)+VLOOKUP(BN$4,$DE$6:$DF$17,2)+1))*(VLOOKUP($A109,SatSunCurve,8))*(INDEX(DailyScalarsTable,BN$5/100,MONTH($A109)))*$D109</f>
        <v>-13117.216921014649</v>
      </c>
      <c r="BO109" s="1021">
        <f>(VLOOKUP(YEAR($A109),'NY East Load Projections'!$A$4:$EO$14,((MONTH($A109)-1)*12)+VLOOKUP(BO$4,$DE$6:$DF$17,2)+1))*(VLOOKUP($A109,SatSunCurve,8))*(INDEX(DailyScalarsTable,BO$5/100,MONTH($A109)))*$D109</f>
        <v>-16822.023713583105</v>
      </c>
      <c r="BP109" s="1021">
        <f>(VLOOKUP(YEAR($A109),'NY East Load Projections'!$A$4:$EO$14,((MONTH($A109)-1)*12)+VLOOKUP(BP$4,$DE$6:$DF$17,2)+1))*(VLOOKUP($A109,SatSunCurve,8))*(INDEX(DailyScalarsTable,BP$5/100,MONTH($A109)))*$D109</f>
        <v>-18986.217780529027</v>
      </c>
      <c r="BQ109" s="1021">
        <f>(VLOOKUP(YEAR($A109),'NY East Load Projections'!$A$4:$EO$14,((MONTH($A109)-1)*12)+VLOOKUP(BQ$4,$DE$6:$DF$17,2)+1))*(VLOOKUP($A109,SatSunCurve,8))*(INDEX(DailyScalarsTable,BQ$5/100,MONTH($A109)))*$D109</f>
        <v>-19790.759981687457</v>
      </c>
      <c r="BR109" s="1021">
        <f>(VLOOKUP(YEAR($A109),'NY East Load Projections'!$A$4:$EO$14,((MONTH($A109)-1)*12)+VLOOKUP(BR$4,$DE$6:$DF$17,2)+1))*(VLOOKUP($A109,SatSunCurve,8))*(INDEX(DailyScalarsTable,BR$5/100,MONTH($A109)))*$D109</f>
        <v>-20302.180547156076</v>
      </c>
      <c r="BS109" s="1021">
        <f>(VLOOKUP(YEAR($A109),'NY East Load Projections'!$A$4:$EO$14,((MONTH($A109)-1)*12)+VLOOKUP(BS$4,$DE$6:$DF$17,2)+1))*(VLOOKUP($A109,SatSunCurve,8))*(INDEX(DailyScalarsTable,BS$5/100,MONTH($A109)))*$D109</f>
        <v>-22287.136547843278</v>
      </c>
      <c r="BT109" s="1021">
        <f>(VLOOKUP(YEAR($A109),'NY East Load Projections'!$A$4:$EO$14,((MONTH($A109)-1)*12)+VLOOKUP(BT$4,$DE$6:$DF$17,2)+1))*(VLOOKUP($A109,SatSunCurve,8))*(INDEX(DailyScalarsTable,BT$5/100,MONTH($A109)))*$D109</f>
        <v>-23594.426041289498</v>
      </c>
      <c r="BU109" s="1021">
        <f>(VLOOKUP(YEAR($A109),'NY East Load Projections'!$A$4:$EO$14,((MONTH($A109)-1)*12)+VLOOKUP(BU$4,$DE$6:$DF$17,2)+1))*(VLOOKUP($A109,SatSunCurve,8))*(INDEX(DailyScalarsTable,BU$5/100,MONTH($A109)))*$D109</f>
        <v>-23265.707213150217</v>
      </c>
      <c r="BV109" s="1021">
        <f>(VLOOKUP(YEAR($A109),'NY East Load Projections'!$A$4:$EO$14,((MONTH($A109)-1)*12)+VLOOKUP(BV$4,$DE$6:$DF$17,2)+1))*(VLOOKUP($A109,SatSunCurve,8))*(INDEX(DailyScalarsTable,BV$5/100,MONTH($A109)))*$D109</f>
        <v>-21716.730407195464</v>
      </c>
      <c r="BW109" s="1021">
        <f>(VLOOKUP(YEAR($A109),'NY East Load Projections'!$A$4:$EO$14,((MONTH($A109)-1)*12)+VLOOKUP(BW$4,$DE$6:$DF$17,2)+1))*(VLOOKUP($A109,SatSunCurve,8))*(INDEX(DailyScalarsTable,BW$5/100,MONTH($A109)))*$D109</f>
        <v>-20111.034863412395</v>
      </c>
      <c r="BX109" s="1021">
        <f>(VLOOKUP(YEAR($A109),'NY East Load Projections'!$A$4:$EO$14,((MONTH($A109)-1)*12)+VLOOKUP(BX$4,$DE$6:$DF$17,2)+1))*(VLOOKUP($A109,SatSunCurve,8))*(INDEX(DailyScalarsTable,BX$5/100,MONTH($A109)))*$D109</f>
        <v>-16392.582025177904</v>
      </c>
      <c r="BY109" s="1021">
        <f>(VLOOKUP(YEAR($A109),'NY East Load Projections'!$A$4:$EO$14,((MONTH($A109)-1)*12)+VLOOKUP(BY$4,$DE$6:$DF$17,2)+1))*(VLOOKUP($A109,SatSunCurve,8))*(INDEX(DailyScalarsTable,BY$5/100,MONTH($A109)))*$D109</f>
        <v>-14924.517528004806</v>
      </c>
      <c r="BZ109" s="1021">
        <f>(VLOOKUP(YEAR($A109),'NY East Load Projections'!$A$4:$EO$14,((MONTH($A109)-1)*12)+VLOOKUP(BZ$4,$DE$6:$DF$17,2)+1))*(VLOOKUP($A109,SatSunCurve,8))*(INDEX(DailyScalarsTable,BZ$5/100,MONTH($A109)))*$D109</f>
        <v>-17748.784123475943</v>
      </c>
      <c r="CA109" s="1021">
        <f>(VLOOKUP(YEAR($A109),'NY East Load Projections'!$A$4:$EO$14,((MONTH($A109)-1)*12)+VLOOKUP(CA$4,$DE$6:$DF$17,2)+1))*(VLOOKUP($A109,SatSunCurve,8))*(INDEX(DailyScalarsTable,CA$5/100,MONTH($A109)))*$D109</f>
        <v>-15092.286152571231</v>
      </c>
      <c r="CB109" s="1021">
        <f>(VLOOKUP(YEAR($A109),'NY East Load Projections'!$A$4:$EO$14,((MONTH($A109)-1)*12)+VLOOKUP(CB$4,$DE$6:$DF$17,2)+1))*(VLOOKUP($A109,SatSunCurve,8))*(INDEX(DailyScalarsTable,CB$5/100,MONTH($A109)))*$D109</f>
        <v>-12221.259995012688</v>
      </c>
      <c r="CC109" s="1021">
        <f>(VLOOKUP(YEAR($A109),'NY East Load Projections'!$A$4:$EO$14,((MONTH($A109)-1)*12)+VLOOKUP(CC$4,$DE$6:$DF$17,2)+1))*(VLOOKUP($A109,CURVES!$D$9:$T$261,8))*(INDEX(DailyScalarsTable,CC$5/100,MONTH($A109)))*$D109</f>
        <v>-16649.799898953061</v>
      </c>
      <c r="CE109" s="1021">
        <f>(VLOOKUP(YEAR($A109),'NY East Load Projections'!$A$4:$EO$14,((MONTH($A109)-1)*12)+VLOOKUP(CE$4,$DE$6:$DF$17,2)+1))*(VLOOKUP($A109,CURVES!$D$9:$T$261,8))*(INDEX(DailyScalarsTable,CE$5/100,MONTH($A109)))*$E109</f>
        <v>0</v>
      </c>
      <c r="CF109" s="1021">
        <f>(VLOOKUP(YEAR($A109),'NY East Load Projections'!$A$4:$EO$14,((MONTH($A109)-1)*12)+VLOOKUP(CF$4,$DE$6:$DF$17,2)+1))*(VLOOKUP($A109,CURVES!$D$9:$T$261,8))*(INDEX(DailyScalarsTable,CF$5/100,MONTH($A109)))*$E109</f>
        <v>0</v>
      </c>
      <c r="CG109" s="1021">
        <f>(VLOOKUP(YEAR($A109),'NY East Load Projections'!$A$4:$EO$14,((MONTH($A109)-1)*12)+VLOOKUP(CG$4,$DE$6:$DF$17,2)+1))*(VLOOKUP($A109,CURVES!$D$9:$T$261,8))*(INDEX(DailyScalarsTable,CG$5/100,MONTH($A109)))*$E109</f>
        <v>0</v>
      </c>
      <c r="CH109" s="1021">
        <f>(VLOOKUP(YEAR($A109),'NY East Load Projections'!$A$4:$EO$14,((MONTH($A109)-1)*12)+VLOOKUP(CH$4,$DE$6:$DF$17,2)+1))*(VLOOKUP($A109,CURVES!$D$9:$T$261,8))*(INDEX(DailyScalarsTable,CH$5/100,MONTH($A109)))*$E109</f>
        <v>0</v>
      </c>
      <c r="CI109" s="1021">
        <f>(VLOOKUP(YEAR($A109),'NY East Load Projections'!$A$4:$EO$14,((MONTH($A109)-1)*12)+VLOOKUP(CI$4,$DE$6:$DF$17,2)+1))*(VLOOKUP($A109,CURVES!$D$9:$T$261,8))*(INDEX(DailyScalarsTable,CI$5/100,MONTH($A109)))*$E109</f>
        <v>0</v>
      </c>
      <c r="CJ109" s="1021">
        <f>(VLOOKUP(YEAR($A109),'NY East Load Projections'!$A$4:$EO$14,((MONTH($A109)-1)*12)+VLOOKUP(CJ$4,$DE$6:$DF$17,2)+1))*(VLOOKUP($A109,CURVES!$D$9:$T$261,8))*(INDEX(DailyScalarsTable,CJ$5/100,MONTH($A109)))*$E109</f>
        <v>0</v>
      </c>
      <c r="CK109" s="1021">
        <f>(VLOOKUP(YEAR($A109),'NY East Load Projections'!$A$4:$EO$14,((MONTH($A109)-1)*12)+VLOOKUP(CK$4,$DE$6:$DF$17,2)+1))*(VLOOKUP($A109,CURVES!$D$9:$T$261,8))*(INDEX(DailyScalarsTable,CK$5/100,MONTH($A109)))*$E109</f>
        <v>0</v>
      </c>
      <c r="CL109" s="1021">
        <f>(VLOOKUP(YEAR($A109),'NY East Load Projections'!$A$4:$EO$14,((MONTH($A109)-1)*12)+VLOOKUP(CL$4,$DE$6:$DF$17,2)+1))*(VLOOKUP($A109,SatSunCurve,8))*(INDEX(DailyScalarsTable,CL$5/100,MONTH($A109)))*$E109</f>
        <v>0</v>
      </c>
      <c r="CM109" s="1021">
        <f>(VLOOKUP(YEAR($A109),'NY East Load Projections'!$A$4:$EO$14,((MONTH($A109)-1)*12)+VLOOKUP(CM$4,$DE$6:$DF$17,2)+1))*(VLOOKUP($A109,SatSunCurve,8))*(INDEX(DailyScalarsTable,CM$5/100,MONTH($A109)))*$E109</f>
        <v>0</v>
      </c>
      <c r="CN109" s="1021">
        <f>(VLOOKUP(YEAR($A109),'NY East Load Projections'!$A$4:$EO$14,((MONTH($A109)-1)*12)+VLOOKUP(CN$4,$DE$6:$DF$17,2)+1))*(VLOOKUP($A109,SatSunCurve,8))*(INDEX(DailyScalarsTable,CN$5/100,MONTH($A109)))*$E109</f>
        <v>0</v>
      </c>
      <c r="CO109" s="1021">
        <f>(VLOOKUP(YEAR($A109),'NY East Load Projections'!$A$4:$EO$14,((MONTH($A109)-1)*12)+VLOOKUP(CO$4,$DE$6:$DF$17,2)+1))*(VLOOKUP($A109,SatSunCurve,8))*(INDEX(DailyScalarsTable,CO$5/100,MONTH($A109)))*$E109</f>
        <v>0</v>
      </c>
      <c r="CP109" s="1021">
        <f>(VLOOKUP(YEAR($A109),'NY East Load Projections'!$A$4:$EO$14,((MONTH($A109)-1)*12)+VLOOKUP(CP$4,$DE$6:$DF$17,2)+1))*(VLOOKUP($A109,SatSunCurve,8))*(INDEX(DailyScalarsTable,CP$5/100,MONTH($A109)))*$E109</f>
        <v>0</v>
      </c>
      <c r="CQ109" s="1021">
        <f>(VLOOKUP(YEAR($A109),'NY East Load Projections'!$A$4:$EO$14,((MONTH($A109)-1)*12)+VLOOKUP(CQ$4,$DE$6:$DF$17,2)+1))*(VLOOKUP($A109,SatSunCurve,8))*(INDEX(DailyScalarsTable,CQ$5/100,MONTH($A109)))*$E109</f>
        <v>0</v>
      </c>
      <c r="CR109" s="1021">
        <f>(VLOOKUP(YEAR($A109),'NY East Load Projections'!$A$4:$EO$14,((MONTH($A109)-1)*12)+VLOOKUP(CR$4,$DE$6:$DF$17,2)+1))*(VLOOKUP($A109,SatSunCurve,8))*(INDEX(DailyScalarsTable,CR$5/100,MONTH($A109)))*$E109</f>
        <v>0</v>
      </c>
      <c r="CS109" s="1021">
        <f>(VLOOKUP(YEAR($A109),'NY East Load Projections'!$A$4:$EO$14,((MONTH($A109)-1)*12)+VLOOKUP(CS$4,$DE$6:$DF$17,2)+1))*(VLOOKUP($A109,SatSunCurve,8))*(INDEX(DailyScalarsTable,CS$5/100,MONTH($A109)))*$E109</f>
        <v>0</v>
      </c>
      <c r="CT109" s="1021">
        <f>(VLOOKUP(YEAR($A109),'NY East Load Projections'!$A$4:$EO$14,((MONTH($A109)-1)*12)+VLOOKUP(CT$4,$DE$6:$DF$17,2)+1))*(VLOOKUP($A109,SatSunCurve,8))*(INDEX(DailyScalarsTable,CT$5/100,MONTH($A109)))*$E109</f>
        <v>0</v>
      </c>
      <c r="CU109" s="1021">
        <f>(VLOOKUP(YEAR($A109),'NY East Load Projections'!$A$4:$EO$14,((MONTH($A109)-1)*12)+VLOOKUP(CU$4,$DE$6:$DF$17,2)+1))*(VLOOKUP($A109,SatSunCurve,8))*(INDEX(DailyScalarsTable,CU$5/100,MONTH($A109)))*$E109</f>
        <v>0</v>
      </c>
      <c r="CV109" s="1021">
        <f>(VLOOKUP(YEAR($A109),'NY East Load Projections'!$A$4:$EO$14,((MONTH($A109)-1)*12)+VLOOKUP(CV$4,$DE$6:$DF$17,2)+1))*(VLOOKUP($A109,SatSunCurve,8))*(INDEX(DailyScalarsTable,CV$5/100,MONTH($A109)))*$E109</f>
        <v>0</v>
      </c>
      <c r="CW109" s="1021">
        <f>(VLOOKUP(YEAR($A109),'NY East Load Projections'!$A$4:$EO$14,((MONTH($A109)-1)*12)+VLOOKUP(CW$4,$DE$6:$DF$17,2)+1))*(VLOOKUP($A109,SatSunCurve,8))*(INDEX(DailyScalarsTable,CW$5/100,MONTH($A109)))*$E109</f>
        <v>0</v>
      </c>
      <c r="CX109" s="1021">
        <f>(VLOOKUP(YEAR($A109),'NY East Load Projections'!$A$4:$EO$14,((MONTH($A109)-1)*12)+VLOOKUP(CX$4,$DE$6:$DF$17,2)+1))*(VLOOKUP($A109,SatSunCurve,8))*(INDEX(DailyScalarsTable,CX$5/100,MONTH($A109)))*$E109</f>
        <v>0</v>
      </c>
      <c r="CY109" s="1021">
        <f>(VLOOKUP(YEAR($A109),'NY East Load Projections'!$A$4:$EO$14,((MONTH($A109)-1)*12)+VLOOKUP(CY$4,$DE$6:$DF$17,2)+1))*(VLOOKUP($A109,SatSunCurve,8))*(INDEX(DailyScalarsTable,CY$5/100,MONTH($A109)))*$E109</f>
        <v>0</v>
      </c>
      <c r="CZ109" s="1021">
        <f>(VLOOKUP(YEAR($A109),'NY East Load Projections'!$A$4:$EO$14,((MONTH($A109)-1)*12)+VLOOKUP(CZ$4,$DE$6:$DF$17,2)+1))*(VLOOKUP($A109,SatSunCurve,8))*(INDEX(DailyScalarsTable,CZ$5/100,MONTH($A109)))*$E109</f>
        <v>0</v>
      </c>
      <c r="DA109" s="1021">
        <f>(VLOOKUP(YEAR($A109),'NY East Load Projections'!$A$4:$EO$14,((MONTH($A109)-1)*12)+VLOOKUP(DA$4,$DE$6:$DF$17,2)+1))*(VLOOKUP($A109,SatSunCurve,8))*(INDEX(DailyScalarsTable,DA$5/100,MONTH($A109)))*$E109</f>
        <v>0</v>
      </c>
      <c r="DB109" s="1021">
        <f>(VLOOKUP(YEAR($A109),'NY East Load Projections'!$A$4:$EO$14,((MONTH($A109)-1)*12)+VLOOKUP(DB$4,$DE$6:$DF$17,2)+1))*(VLOOKUP($A109,CURVES!$D$9:$T$261,8))*(INDEX(DailyScalarsTable,DB$5/100,MONTH($A109)))*$E109</f>
        <v>0</v>
      </c>
      <c r="DH109" s="1021">
        <f t="shared" si="2"/>
        <v>-4074691.9804265802</v>
      </c>
      <c r="DI109">
        <f ca="1">CALC!J129</f>
        <v>0.4990621226429876</v>
      </c>
      <c r="DJ109" s="1029">
        <f t="shared" ca="1" si="3"/>
        <v>-2033524.4288680479</v>
      </c>
    </row>
    <row r="110" spans="1:114" x14ac:dyDescent="0.25">
      <c r="A110" s="244">
        <v>40057</v>
      </c>
      <c r="B110" s="13">
        <v>21</v>
      </c>
      <c r="C110" s="210">
        <v>4</v>
      </c>
      <c r="D110" s="210">
        <v>4</v>
      </c>
      <c r="E110" s="210">
        <v>1</v>
      </c>
      <c r="F110" s="13">
        <v>30</v>
      </c>
      <c r="H110" s="1021">
        <f>(VLOOKUP(YEAR($A110),'NY East Load Projections'!$A$4:$EO$14,((MONTH($A110)-1)*12)+VLOOKUP(H$4,$DE$6:$DF$17,2)+1))*(VLOOKUP($A110,CURVES!$D$9:$K$261,8))*(INDEX(DailyScalarsTable,H$5/100,MONTH($A110)))*$B110</f>
        <v>-41832.623246377007</v>
      </c>
      <c r="I110" s="1021">
        <f>(VLOOKUP(YEAR($A110),'NY East Load Projections'!$A$4:$EO$14,((MONTH($A110)-1)*12)+VLOOKUP(I$4,$DE$6:$DF$17,2)+1))*(VLOOKUP($A110,CURVES!$D$9:$K$261,8))*(INDEX(DailyScalarsTable,I$5/100,MONTH($A110)))*$B110</f>
        <v>-36700.503097024681</v>
      </c>
      <c r="J110" s="1021">
        <f>(VLOOKUP(YEAR($A110),'NY East Load Projections'!$A$4:$EO$14,((MONTH($A110)-1)*12)+VLOOKUP(J$4,$DE$6:$DF$17,2)+1))*(VLOOKUP($A110,CURVES!$D$9:$K$261,8))*(INDEX(DailyScalarsTable,J$5/100,MONTH($A110)))*$B110</f>
        <v>-34416.018972571794</v>
      </c>
      <c r="K110" s="1021">
        <f>(VLOOKUP(YEAR($A110),'NY East Load Projections'!$A$4:$EO$14,((MONTH($A110)-1)*12)+VLOOKUP(K$4,$DE$6:$DF$17,2)+1))*(VLOOKUP($A110,CURVES!$D$9:$K$261,8))*(INDEX(DailyScalarsTable,K$5/100,MONTH($A110)))*$B110</f>
        <v>-34926.043335240349</v>
      </c>
      <c r="L110" s="1021">
        <f>(VLOOKUP(YEAR($A110),'NY East Load Projections'!$A$4:$EO$14,((MONTH($A110)-1)*12)+VLOOKUP(L$4,$DE$6:$DF$17,2)+1))*(VLOOKUP($A110,CURVES!$D$9:$K$261,8))*(INDEX(DailyScalarsTable,L$5/100,MONTH($A110)))*$B110</f>
        <v>-40192.639648238575</v>
      </c>
      <c r="M110" s="1021">
        <f>(VLOOKUP(YEAR($A110),'NY East Load Projections'!$A$4:$EO$14,((MONTH($A110)-1)*12)+VLOOKUP(M$4,$DE$6:$DF$17,2)+1))*(VLOOKUP($A110,CURVES!$D$9:$K$261,8))*(INDEX(DailyScalarsTable,M$5/100,MONTH($A110)))*$B110</f>
        <v>-46512.023396820463</v>
      </c>
      <c r="N110" s="1021">
        <f>(VLOOKUP(YEAR($A110),'NY East Load Projections'!$A$4:$EO$14,((MONTH($A110)-1)*12)+VLOOKUP(N$4,$DE$6:$DF$17,2)+1))*(VLOOKUP($A110,CURVES!$D$9:$K$261,8))*(INDEX(DailyScalarsTable,N$5/100,MONTH($A110)))*$B110</f>
        <v>-63250.462788225537</v>
      </c>
      <c r="O110" s="1021">
        <f>(VLOOKUP(YEAR($A110),'NY East Load Projections'!$A$4:$EO$14,((MONTH($A110)-1)*12)+VLOOKUP(O$4,$DE$6:$DF$17,2)+1))*(VLOOKUP($A110,CURVES!$D$9:$K$261,4))*(INDEX(DailyScalarsTable,O$5/100,MONTH($A110)))*$B110</f>
        <v>-57637.010337458836</v>
      </c>
      <c r="P110" s="1021">
        <f>(VLOOKUP(YEAR($A110),'NY East Load Projections'!$A$4:$EO$14,((MONTH($A110)-1)*12)+VLOOKUP(P$4,$DE$6:$DF$17,2)+1))*(VLOOKUP($A110,CURVES!$D$9:$K$261,4))*(INDEX(DailyScalarsTable,P$5/100,MONTH($A110)))*$B110</f>
        <v>-61172.795045194442</v>
      </c>
      <c r="Q110" s="1021">
        <f>(VLOOKUP(YEAR($A110),'NY East Load Projections'!$A$4:$EO$14,((MONTH($A110)-1)*12)+VLOOKUP(Q$4,$DE$6:$DF$17,2)+1))*(VLOOKUP($A110,CURVES!$D$9:$K$261,4))*(INDEX(DailyScalarsTable,Q$5/100,MONTH($A110)))*$B110</f>
        <v>-76362.800832395194</v>
      </c>
      <c r="R110" s="1021">
        <f>(VLOOKUP(YEAR($A110),'NY East Load Projections'!$A$4:$EO$14,((MONTH($A110)-1)*12)+VLOOKUP(R$4,$DE$6:$DF$17,2)+1))*(VLOOKUP($A110,CURVES!$D$9:$K$261,4))*(INDEX(DailyScalarsTable,R$5/100,MONTH($A110)))*$B110</f>
        <v>-81551.933244171858</v>
      </c>
      <c r="S110" s="1021">
        <f>(VLOOKUP(YEAR($A110),'NY East Load Projections'!$A$4:$EO$14,((MONTH($A110)-1)*12)+VLOOKUP(S$4,$DE$6:$DF$17,2)+1))*(VLOOKUP($A110,CURVES!$D$9:$K$261,4))*(INDEX(DailyScalarsTable,S$5/100,MONTH($A110)))*$B110</f>
        <v>-86894.380931751017</v>
      </c>
      <c r="T110" s="1021">
        <f>(VLOOKUP(YEAR($A110),'NY East Load Projections'!$A$4:$EO$14,((MONTH($A110)-1)*12)+VLOOKUP(T$4,$DE$6:$DF$17,2)+1))*(VLOOKUP($A110,CURVES!$D$9:$K$261,4))*(INDEX(DailyScalarsTable,T$5/100,MONTH($A110)))*$B110</f>
        <v>-84489.429140980952</v>
      </c>
      <c r="U110" s="1021">
        <f>(VLOOKUP(YEAR($A110),'NY East Load Projections'!$A$4:$EO$14,((MONTH($A110)-1)*12)+VLOOKUP(U$4,$DE$6:$DF$17,2)+1))*(VLOOKUP($A110,CURVES!$D$9:$K$261,4))*(INDEX(DailyScalarsTable,U$5/100,MONTH($A110)))*$B110</f>
        <v>-91462.505322416866</v>
      </c>
      <c r="V110" s="1021">
        <f>(VLOOKUP(YEAR($A110),'NY East Load Projections'!$A$4:$EO$14,((MONTH($A110)-1)*12)+VLOOKUP(V$4,$DE$6:$DF$17,2)+1))*(VLOOKUP($A110,CURVES!$D$9:$K$261,4))*(INDEX(DailyScalarsTable,V$5/100,MONTH($A110)))*$B110</f>
        <v>-90019.381730084977</v>
      </c>
      <c r="W110" s="1021">
        <f>(VLOOKUP(YEAR($A110),'NY East Load Projections'!$A$4:$EO$14,((MONTH($A110)-1)*12)+VLOOKUP(W$4,$DE$6:$DF$17,2)+1))*(VLOOKUP($A110,CURVES!$D$9:$K$261,4))*(INDEX(DailyScalarsTable,W$5/100,MONTH($A110)))*$B110</f>
        <v>-87205.897079488175</v>
      </c>
      <c r="X110" s="1021">
        <f>(VLOOKUP(YEAR($A110),'NY East Load Projections'!$A$4:$EO$14,((MONTH($A110)-1)*12)+VLOOKUP(X$4,$DE$6:$DF$17,2)+1))*(VLOOKUP($A110,CURVES!$D$9:$K$261,4))*(INDEX(DailyScalarsTable,X$5/100,MONTH($A110)))*$B110</f>
        <v>-89991.377709883367</v>
      </c>
      <c r="Y110" s="1021">
        <f>(VLOOKUP(YEAR($A110),'NY East Load Projections'!$A$4:$EO$14,((MONTH($A110)-1)*12)+VLOOKUP(Y$4,$DE$6:$DF$17,2)+1))*(VLOOKUP($A110,CURVES!$D$9:$K$261,4))*(INDEX(DailyScalarsTable,Y$5/100,MONTH($A110)))*$B110</f>
        <v>-87783.713182462074</v>
      </c>
      <c r="Z110" s="1021">
        <f>(VLOOKUP(YEAR($A110),'NY East Load Projections'!$A$4:$EO$14,((MONTH($A110)-1)*12)+VLOOKUP(Z$4,$DE$6:$DF$17,2)+1))*(VLOOKUP($A110,CURVES!$D$9:$K$261,4))*(INDEX(DailyScalarsTable,Z$5/100,MONTH($A110)))*$B110</f>
        <v>-71900.147872015252</v>
      </c>
      <c r="AA110" s="1021">
        <f>(VLOOKUP(YEAR($A110),'NY East Load Projections'!$A$4:$EO$14,((MONTH($A110)-1)*12)+VLOOKUP(AA$4,$DE$6:$DF$17,2)+1))*(VLOOKUP($A110,CURVES!$D$9:$K$261,4))*(INDEX(DailyScalarsTable,AA$5/100,MONTH($A110)))*$B110</f>
        <v>-93965.173859241666</v>
      </c>
      <c r="AB110" s="1021">
        <f>(VLOOKUP(YEAR($A110),'NY East Load Projections'!$A$4:$EO$14,((MONTH($A110)-1)*12)+VLOOKUP(AB$4,$DE$6:$DF$17,2)+1))*(VLOOKUP($A110,CURVES!$D$9:$K$261,4))*(INDEX(DailyScalarsTable,AB$5/100,MONTH($A110)))*$B110</f>
        <v>-85788.591375347969</v>
      </c>
      <c r="AC110" s="1021">
        <f>(VLOOKUP(YEAR($A110),'NY East Load Projections'!$A$4:$EO$14,((MONTH($A110)-1)*12)+VLOOKUP(AC$4,$DE$6:$DF$17,2)+1))*(VLOOKUP($A110,CURVES!$D$9:$K$261,4))*(INDEX(DailyScalarsTable,AC$5/100,MONTH($A110)))*$B110</f>
        <v>-65293.597997965328</v>
      </c>
      <c r="AD110" s="1021">
        <f>(VLOOKUP(YEAR($A110),'NY East Load Projections'!$A$4:$EO$14,((MONTH($A110)-1)*12)+VLOOKUP(AD$4,$DE$6:$DF$17,2)+1))*(VLOOKUP($A110,CURVES!$D$9:$K$261,4))*(INDEX(DailyScalarsTable,AD$5/100,MONTH($A110)))*$B110</f>
        <v>-51742.493547211358</v>
      </c>
      <c r="AE110" s="1021">
        <f>(VLOOKUP(YEAR($A110),'NY East Load Projections'!$A$4:$EO$14,((MONTH($A110)-1)*12)+VLOOKUP(AE$4,$DE$6:$DF$17,2)+1))*(VLOOKUP($A110,CURVES!$D$9:$K$261,8))*(INDEX(DailyScalarsTable,AE$5/100,MONTH($A110)))*$B110</f>
        <v>-48736.838396089996</v>
      </c>
      <c r="AF110" s="1021"/>
      <c r="AG110" s="1021">
        <f>(VLOOKUP(YEAR($A110),'NY East Load Projections'!$A$4:$EO$14,((MONTH($A110)-1)*12)+VLOOKUP(AG$4,$DE$6:$DF$17,2)+1))*(VLOOKUP($A110,CURVES!$D$9:$T$261,8))*(INDEX(DailyScalarsTable,AG$5/100,MONTH($A110)))*$C110</f>
        <v>-8289.4812509838703</v>
      </c>
      <c r="AH110" s="1021">
        <f>(VLOOKUP(YEAR($A110),'NY East Load Projections'!$A$4:$EO$14,((MONTH($A110)-1)*12)+VLOOKUP(AH$4,$DE$6:$DF$17,2)+1))*(VLOOKUP($A110,CURVES!$D$9:$T$261,8))*(INDEX(DailyScalarsTable,AH$5/100,MONTH($A110)))*$C110</f>
        <v>-7272.5090782063207</v>
      </c>
      <c r="AI110" s="1021">
        <f>(VLOOKUP(YEAR($A110),'NY East Load Projections'!$A$4:$EO$14,((MONTH($A110)-1)*12)+VLOOKUP(AI$4,$DE$6:$DF$17,2)+1))*(VLOOKUP($A110,CURVES!$D$9:$T$261,8))*(INDEX(DailyScalarsTable,AI$5/100,MONTH($A110)))*$C110</f>
        <v>-6819.8196017111404</v>
      </c>
      <c r="AJ110" s="1021">
        <f>(VLOOKUP(YEAR($A110),'NY East Load Projections'!$A$4:$EO$14,((MONTH($A110)-1)*12)+VLOOKUP(AJ$4,$DE$6:$DF$17,2)+1))*(VLOOKUP($A110,CURVES!$D$9:$T$261,8))*(INDEX(DailyScalarsTable,AJ$5/100,MONTH($A110)))*$C110</f>
        <v>-6920.8851592542524</v>
      </c>
      <c r="AK110" s="1021">
        <f>(VLOOKUP(YEAR($A110),'NY East Load Projections'!$A$4:$EO$14,((MONTH($A110)-1)*12)+VLOOKUP(AK$4,$DE$6:$DF$17,2)+1))*(VLOOKUP($A110,CURVES!$D$9:$T$261,8))*(INDEX(DailyScalarsTable,AK$5/100,MONTH($A110)))*$C110</f>
        <v>-7528.3077378841126</v>
      </c>
      <c r="AL110" s="1021">
        <f>(VLOOKUP(YEAR($A110),'NY East Load Projections'!$A$4:$EO$14,((MONTH($A110)-1)*12)+VLOOKUP(AL$4,$DE$6:$DF$17,2)+1))*(VLOOKUP($A110,CURVES!$D$9:$T$261,8))*(INDEX(DailyScalarsTable,AL$5/100,MONTH($A110)))*$C110</f>
        <v>-8711.9638995463647</v>
      </c>
      <c r="AM110" s="1021">
        <f>(VLOOKUP(YEAR($A110),'NY East Load Projections'!$A$4:$EO$14,((MONTH($A110)-1)*12)+VLOOKUP(AM$4,$DE$6:$DF$17,2)+1))*(VLOOKUP($A110,CURVES!$D$9:$T$261,8))*(INDEX(DailyScalarsTable,AM$5/100,MONTH($A110)))*$C110</f>
        <v>-11847.167854630252</v>
      </c>
      <c r="AN110" s="1021">
        <f>(VLOOKUP(YEAR($A110),'NY East Load Projections'!$A$4:$EO$14,((MONTH($A110)-1)*12)+VLOOKUP(AN$4,$DE$6:$DF$17,2)+1))*(VLOOKUP($A110,SatSunCurve,4))*(INDEX(DailyScalarsTable,AN$5/100,MONTH($A110)))*$C110</f>
        <v>-7860.7914968166797</v>
      </c>
      <c r="AO110" s="1021">
        <f>(VLOOKUP(YEAR($A110),'NY East Load Projections'!$A$4:$EO$14,((MONTH($A110)-1)*12)+VLOOKUP(AO$4,$DE$6:$DF$17,2)+1))*(VLOOKUP($A110,SatSunCurve,4))*(INDEX(DailyScalarsTable,AO$5/100,MONTH($A110)))*$C110</f>
        <v>-8636.3766661880327</v>
      </c>
      <c r="AP110" s="1021">
        <f>(VLOOKUP(YEAR($A110),'NY East Load Projections'!$A$4:$EO$14,((MONTH($A110)-1)*12)+VLOOKUP(AP$4,$DE$6:$DF$17,2)+1))*(VLOOKUP($A110,SatSunCurve,4))*(INDEX(DailyScalarsTable,AP$5/100,MONTH($A110)))*$C110</f>
        <v>-10780.902046186136</v>
      </c>
      <c r="AQ110" s="1021">
        <f>(VLOOKUP(YEAR($A110),'NY East Load Projections'!$A$4:$EO$14,((MONTH($A110)-1)*12)+VLOOKUP(AQ$4,$DE$6:$DF$17,2)+1))*(VLOOKUP($A110,SatSunCurve,4))*(INDEX(DailyScalarsTable,AQ$5/100,MONTH($A110)))*$C110</f>
        <v>-11513.503884073689</v>
      </c>
      <c r="AR110" s="1021">
        <f>(VLOOKUP(YEAR($A110),'NY East Load Projections'!$A$4:$EO$14,((MONTH($A110)-1)*12)+VLOOKUP(AR$4,$DE$6:$DF$17,2)+1))*(VLOOKUP($A110,SatSunCurve,4))*(INDEX(DailyScalarsTable,AR$5/100,MONTH($A110)))*$C110</f>
        <v>-12267.750776262465</v>
      </c>
      <c r="AS110" s="1021">
        <f>(VLOOKUP(YEAR($A110),'NY East Load Projections'!$A$4:$EO$14,((MONTH($A110)-1)*12)+VLOOKUP(AS$4,$DE$6:$DF$17,2)+1))*(VLOOKUP($A110,SatSunCurve,4))*(INDEX(DailyScalarsTable,AS$5/100,MONTH($A110)))*$C110</f>
        <v>-11894.887411544583</v>
      </c>
      <c r="AT110" s="1021">
        <f>(VLOOKUP(YEAR($A110),'NY East Load Projections'!$A$4:$EO$14,((MONTH($A110)-1)*12)+VLOOKUP(AT$4,$DE$6:$DF$17,2)+1))*(VLOOKUP($A110,SatSunCurve,4))*(INDEX(DailyScalarsTable,AT$5/100,MONTH($A110)))*$C110</f>
        <v>-12876.595501344802</v>
      </c>
      <c r="AU110" s="1021">
        <f>(VLOOKUP(YEAR($A110),'NY East Load Projections'!$A$4:$EO$14,((MONTH($A110)-1)*12)+VLOOKUP(AU$4,$DE$6:$DF$17,2)+1))*(VLOOKUP($A110,SatSunCurve,4))*(INDEX(DailyScalarsTable,AU$5/100,MONTH($A110)))*$C110</f>
        <v>-12673.424609716591</v>
      </c>
      <c r="AV110" s="1021">
        <f>(VLOOKUP(YEAR($A110),'NY East Load Projections'!$A$4:$EO$14,((MONTH($A110)-1)*12)+VLOOKUP(AV$4,$DE$6:$DF$17,2)+1))*(VLOOKUP($A110,SatSunCurve,4))*(INDEX(DailyScalarsTable,AV$5/100,MONTH($A110)))*$C110</f>
        <v>-12277.326736962412</v>
      </c>
      <c r="AW110" s="1021">
        <f>(VLOOKUP(YEAR($A110),'NY East Load Projections'!$A$4:$EO$14,((MONTH($A110)-1)*12)+VLOOKUP(AW$4,$DE$6:$DF$17,2)+1))*(VLOOKUP($A110,SatSunCurve,4))*(INDEX(DailyScalarsTable,AW$5/100,MONTH($A110)))*$C110</f>
        <v>-12349.588640281439</v>
      </c>
      <c r="AX110" s="1021">
        <f>(VLOOKUP(YEAR($A110),'NY East Load Projections'!$A$4:$EO$14,((MONTH($A110)-1)*12)+VLOOKUP(AX$4,$DE$6:$DF$17,2)+1))*(VLOOKUP($A110,SatSunCurve,4))*(INDEX(DailyScalarsTable,AX$5/100,MONTH($A110)))*$C110</f>
        <v>-12046.629073896225</v>
      </c>
      <c r="AY110" s="1021">
        <f>(VLOOKUP(YEAR($A110),'NY East Load Projections'!$A$4:$EO$14,((MONTH($A110)-1)*12)+VLOOKUP(AY$4,$DE$6:$DF$17,2)+1))*(VLOOKUP($A110,SatSunCurve,4))*(INDEX(DailyScalarsTable,AY$5/100,MONTH($A110)))*$C110</f>
        <v>-9866.9147199562958</v>
      </c>
      <c r="AZ110" s="1021">
        <f>(VLOOKUP(YEAR($A110),'NY East Load Projections'!$A$4:$EO$14,((MONTH($A110)-1)*12)+VLOOKUP(AZ$4,$DE$6:$DF$17,2)+1))*(VLOOKUP($A110,SatSunCurve,4))*(INDEX(DailyScalarsTable,AZ$5/100,MONTH($A110)))*$C110</f>
        <v>-12894.915859774821</v>
      </c>
      <c r="BA110" s="1021">
        <f>(VLOOKUP(YEAR($A110),'NY East Load Projections'!$A$4:$EO$14,((MONTH($A110)-1)*12)+VLOOKUP(BA$4,$DE$6:$DF$17,2)+1))*(VLOOKUP($A110,SatSunCurve,4))*(INDEX(DailyScalarsTable,BA$5/100,MONTH($A110)))*$C110</f>
        <v>-12452.270449799011</v>
      </c>
      <c r="BB110" s="1021">
        <f>(VLOOKUP(YEAR($A110),'NY East Load Projections'!$A$4:$EO$14,((MONTH($A110)-1)*12)+VLOOKUP(BB$4,$DE$6:$DF$17,2)+1))*(VLOOKUP($A110,SatSunCurve,4))*(INDEX(DailyScalarsTable,BB$5/100,MONTH($A110)))*$C110</f>
        <v>-9477.4086842595825</v>
      </c>
      <c r="BC110" s="1021">
        <f>(VLOOKUP(YEAR($A110),'NY East Load Projections'!$A$4:$EO$14,((MONTH($A110)-1)*12)+VLOOKUP(BC$4,$DE$6:$DF$17,2)+1))*(VLOOKUP($A110,SatSunCurve,4))*(INDEX(DailyScalarsTable,BC$5/100,MONTH($A110)))*$C110</f>
        <v>-7510.456962486086</v>
      </c>
      <c r="BD110" s="1021">
        <f>(VLOOKUP(YEAR($A110),'NY East Load Projections'!$A$4:$EO$14,((MONTH($A110)-1)*12)+VLOOKUP(BD$4,$DE$6:$DF$17,2)+1))*(VLOOKUP($A110,CURVES!$D$9:$T$261,8))*(INDEX(DailyScalarsTable,BD$5/100,MONTH($A110)))*$C110</f>
        <v>-9715.4375202199371</v>
      </c>
      <c r="BE110" s="1021"/>
      <c r="BF110" s="1021">
        <f>(VLOOKUP(YEAR($A110),'NY East Load Projections'!$A$4:$EO$14,((MONTH($A110)-1)*12)+VLOOKUP(BF$4,$DE$6:$DF$17,2)+1))*(VLOOKUP($A110,CURVES!$D$9:$T$261,8))*(INDEX(DailyScalarsTable,BF$5/100,MONTH($A110)))*$D110</f>
        <v>-8289.4812509838703</v>
      </c>
      <c r="BG110" s="1021">
        <f>(VLOOKUP(YEAR($A110),'NY East Load Projections'!$A$4:$EO$14,((MONTH($A110)-1)*12)+VLOOKUP(BG$4,$DE$6:$DF$17,2)+1))*(VLOOKUP($A110,CURVES!$D$9:$T$261,8))*(INDEX(DailyScalarsTable,BG$5/100,MONTH($A110)))*$D110</f>
        <v>-7272.5090782063207</v>
      </c>
      <c r="BH110" s="1021">
        <f>(VLOOKUP(YEAR($A110),'NY East Load Projections'!$A$4:$EO$14,((MONTH($A110)-1)*12)+VLOOKUP(BH$4,$DE$6:$DF$17,2)+1))*(VLOOKUP($A110,CURVES!$D$9:$T$261,8))*(INDEX(DailyScalarsTable,BH$5/100,MONTH($A110)))*$D110</f>
        <v>-6819.8196017111404</v>
      </c>
      <c r="BI110" s="1021">
        <f>(VLOOKUP(YEAR($A110),'NY East Load Projections'!$A$4:$EO$14,((MONTH($A110)-1)*12)+VLOOKUP(BI$4,$DE$6:$DF$17,2)+1))*(VLOOKUP($A110,CURVES!$D$9:$T$261,8))*(INDEX(DailyScalarsTable,BI$5/100,MONTH($A110)))*$D110</f>
        <v>-6920.8851592542524</v>
      </c>
      <c r="BJ110" s="1021">
        <f>(VLOOKUP(YEAR($A110),'NY East Load Projections'!$A$4:$EO$14,((MONTH($A110)-1)*12)+VLOOKUP(BJ$4,$DE$6:$DF$17,2)+1))*(VLOOKUP($A110,CURVES!$D$9:$T$261,8))*(INDEX(DailyScalarsTable,BJ$5/100,MONTH($A110)))*$D110</f>
        <v>-7528.3077378841126</v>
      </c>
      <c r="BK110" s="1021">
        <f>(VLOOKUP(YEAR($A110),'NY East Load Projections'!$A$4:$EO$14,((MONTH($A110)-1)*12)+VLOOKUP(BK$4,$DE$6:$DF$17,2)+1))*(VLOOKUP($A110,CURVES!$D$9:$T$261,8))*(INDEX(DailyScalarsTable,BK$5/100,MONTH($A110)))*$D110</f>
        <v>-8711.9638995463647</v>
      </c>
      <c r="BL110" s="1021">
        <f>(VLOOKUP(YEAR($A110),'NY East Load Projections'!$A$4:$EO$14,((MONTH($A110)-1)*12)+VLOOKUP(BL$4,$DE$6:$DF$17,2)+1))*(VLOOKUP($A110,CURVES!$D$9:$T$261,8))*(INDEX(DailyScalarsTable,BL$5/100,MONTH($A110)))*$D110</f>
        <v>-11847.167854630252</v>
      </c>
      <c r="BM110" s="1021">
        <f>(VLOOKUP(YEAR($A110),'NY East Load Projections'!$A$4:$EO$14,((MONTH($A110)-1)*12)+VLOOKUP(BM$4,$DE$6:$DF$17,2)+1))*(VLOOKUP($A110,SatSunCurve,8))*(INDEX(DailyScalarsTable,BM$5/100,MONTH($A110)))*$D110</f>
        <v>-8692.671028789744</v>
      </c>
      <c r="BN110" s="1021">
        <f>(VLOOKUP(YEAR($A110),'NY East Load Projections'!$A$4:$EO$14,((MONTH($A110)-1)*12)+VLOOKUP(BN$4,$DE$6:$DF$17,2)+1))*(VLOOKUP($A110,SatSunCurve,8))*(INDEX(DailyScalarsTable,BN$5/100,MONTH($A110)))*$D110</f>
        <v>-9550.3336108444346</v>
      </c>
      <c r="BO110" s="1021">
        <f>(VLOOKUP(YEAR($A110),'NY East Load Projections'!$A$4:$EO$14,((MONTH($A110)-1)*12)+VLOOKUP(BO$4,$DE$6:$DF$17,2)+1))*(VLOOKUP($A110,SatSunCurve,8))*(INDEX(DailyScalarsTable,BO$5/100,MONTH($A110)))*$D110</f>
        <v>-11921.806464279485</v>
      </c>
      <c r="BP110" s="1021">
        <f>(VLOOKUP(YEAR($A110),'NY East Load Projections'!$A$4:$EO$14,((MONTH($A110)-1)*12)+VLOOKUP(BP$4,$DE$6:$DF$17,2)+1))*(VLOOKUP($A110,SatSunCurve,8))*(INDEX(DailyScalarsTable,BP$5/100,MONTH($A110)))*$D110</f>
        <v>-12731.936942161026</v>
      </c>
      <c r="BQ110" s="1021">
        <f>(VLOOKUP(YEAR($A110),'NY East Load Projections'!$A$4:$EO$14,((MONTH($A110)-1)*12)+VLOOKUP(BQ$4,$DE$6:$DF$17,2)+1))*(VLOOKUP($A110,SatSunCurve,8))*(INDEX(DailyScalarsTable,BQ$5/100,MONTH($A110)))*$D110</f>
        <v>-13566.003093252704</v>
      </c>
      <c r="BR110" s="1021">
        <f>(VLOOKUP(YEAR($A110),'NY East Load Projections'!$A$4:$EO$14,((MONTH($A110)-1)*12)+VLOOKUP(BR$4,$DE$6:$DF$17,2)+1))*(VLOOKUP($A110,SatSunCurve,8))*(INDEX(DailyScalarsTable,BR$5/100,MONTH($A110)))*$D110</f>
        <v>-13153.680928303696</v>
      </c>
      <c r="BS110" s="1021">
        <f>(VLOOKUP(YEAR($A110),'NY East Load Projections'!$A$4:$EO$14,((MONTH($A110)-1)*12)+VLOOKUP(BS$4,$DE$6:$DF$17,2)+1))*(VLOOKUP($A110,SatSunCurve,8))*(INDEX(DailyScalarsTable,BS$5/100,MONTH($A110)))*$D110</f>
        <v>-14239.279684407416</v>
      </c>
      <c r="BT110" s="1021">
        <f>(VLOOKUP(YEAR($A110),'NY East Load Projections'!$A$4:$EO$14,((MONTH($A110)-1)*12)+VLOOKUP(BT$4,$DE$6:$DF$17,2)+1))*(VLOOKUP($A110,SatSunCurve,8))*(INDEX(DailyScalarsTable,BT$5/100,MONTH($A110)))*$D110</f>
        <v>-14014.607941839871</v>
      </c>
      <c r="BU110" s="1021">
        <f>(VLOOKUP(YEAR($A110),'NY East Load Projections'!$A$4:$EO$14,((MONTH($A110)-1)*12)+VLOOKUP(BU$4,$DE$6:$DF$17,2)+1))*(VLOOKUP($A110,SatSunCurve,8))*(INDEX(DailyScalarsTable,BU$5/100,MONTH($A110)))*$D110</f>
        <v>-13576.592443724976</v>
      </c>
      <c r="BV110" s="1021">
        <f>(VLOOKUP(YEAR($A110),'NY East Load Projections'!$A$4:$EO$14,((MONTH($A110)-1)*12)+VLOOKUP(BV$4,$DE$6:$DF$17,2)+1))*(VLOOKUP($A110,SatSunCurve,8))*(INDEX(DailyScalarsTable,BV$5/100,MONTH($A110)))*$D110</f>
        <v>-13656.50156658123</v>
      </c>
      <c r="BW110" s="1021">
        <f>(VLOOKUP(YEAR($A110),'NY East Load Projections'!$A$4:$EO$14,((MONTH($A110)-1)*12)+VLOOKUP(BW$4,$DE$6:$DF$17,2)+1))*(VLOOKUP($A110,SatSunCurve,8))*(INDEX(DailyScalarsTable,BW$5/100,MONTH($A110)))*$D110</f>
        <v>-13321.480869660578</v>
      </c>
      <c r="BX110" s="1021">
        <f>(VLOOKUP(YEAR($A110),'NY East Load Projections'!$A$4:$EO$14,((MONTH($A110)-1)*12)+VLOOKUP(BX$4,$DE$6:$DF$17,2)+1))*(VLOOKUP($A110,SatSunCurve,8))*(INDEX(DailyScalarsTable,BX$5/100,MONTH($A110)))*$D110</f>
        <v>-10911.095118657795</v>
      </c>
      <c r="BY110" s="1021">
        <f>(VLOOKUP(YEAR($A110),'NY East Load Projections'!$A$4:$EO$14,((MONTH($A110)-1)*12)+VLOOKUP(BY$4,$DE$6:$DF$17,2)+1))*(VLOOKUP($A110,SatSunCurve,8))*(INDEX(DailyScalarsTable,BY$5/100,MONTH($A110)))*$D110</f>
        <v>-14259.538821038399</v>
      </c>
      <c r="BZ110" s="1021">
        <f>(VLOOKUP(YEAR($A110),'NY East Load Projections'!$A$4:$EO$14,((MONTH($A110)-1)*12)+VLOOKUP(BZ$4,$DE$6:$DF$17,2)+1))*(VLOOKUP($A110,SatSunCurve,8))*(INDEX(DailyScalarsTable,BZ$5/100,MONTH($A110)))*$D110</f>
        <v>-13770.049825829494</v>
      </c>
      <c r="CA110" s="1021">
        <f>(VLOOKUP(YEAR($A110),'NY East Load Projections'!$A$4:$EO$14,((MONTH($A110)-1)*12)+VLOOKUP(CA$4,$DE$6:$DF$17,2)+1))*(VLOOKUP($A110,SatSunCurve,8))*(INDEX(DailyScalarsTable,CA$5/100,MONTH($A110)))*$D110</f>
        <v>-10480.369048209201</v>
      </c>
      <c r="CB110" s="1021">
        <f>(VLOOKUP(YEAR($A110),'NY East Load Projections'!$A$4:$EO$14,((MONTH($A110)-1)*12)+VLOOKUP(CB$4,$DE$6:$DF$17,2)+1))*(VLOOKUP($A110,SatSunCurve,8))*(INDEX(DailyScalarsTable,CB$5/100,MONTH($A110)))*$D110</f>
        <v>-8305.2618400085194</v>
      </c>
      <c r="CC110" s="1021">
        <f>(VLOOKUP(YEAR($A110),'NY East Load Projections'!$A$4:$EO$14,((MONTH($A110)-1)*12)+VLOOKUP(CC$4,$DE$6:$DF$17,2)+1))*(VLOOKUP($A110,CURVES!$D$9:$T$261,8))*(INDEX(DailyScalarsTable,CC$5/100,MONTH($A110)))*$D110</f>
        <v>-9715.4375202199371</v>
      </c>
      <c r="CE110" s="1021">
        <f>(VLOOKUP(YEAR($A110),'NY East Load Projections'!$A$4:$EO$14,((MONTH($A110)-1)*12)+VLOOKUP(CE$4,$DE$6:$DF$17,2)+1))*(VLOOKUP($A110,CURVES!$D$9:$T$261,8))*(INDEX(DailyScalarsTable,CE$5/100,MONTH($A110)))*$E110</f>
        <v>-2072.3703127459676</v>
      </c>
      <c r="CF110" s="1021">
        <f>(VLOOKUP(YEAR($A110),'NY East Load Projections'!$A$4:$EO$14,((MONTH($A110)-1)*12)+VLOOKUP(CF$4,$DE$6:$DF$17,2)+1))*(VLOOKUP($A110,CURVES!$D$9:$T$261,8))*(INDEX(DailyScalarsTable,CF$5/100,MONTH($A110)))*$E110</f>
        <v>-1818.1272695515802</v>
      </c>
      <c r="CG110" s="1021">
        <f>(VLOOKUP(YEAR($A110),'NY East Load Projections'!$A$4:$EO$14,((MONTH($A110)-1)*12)+VLOOKUP(CG$4,$DE$6:$DF$17,2)+1))*(VLOOKUP($A110,CURVES!$D$9:$T$261,8))*(INDEX(DailyScalarsTable,CG$5/100,MONTH($A110)))*$E110</f>
        <v>-1704.9549004277851</v>
      </c>
      <c r="CH110" s="1021">
        <f>(VLOOKUP(YEAR($A110),'NY East Load Projections'!$A$4:$EO$14,((MONTH($A110)-1)*12)+VLOOKUP(CH$4,$DE$6:$DF$17,2)+1))*(VLOOKUP($A110,CURVES!$D$9:$T$261,8))*(INDEX(DailyScalarsTable,CH$5/100,MONTH($A110)))*$E110</f>
        <v>-1730.2212898135631</v>
      </c>
      <c r="CI110" s="1021">
        <f>(VLOOKUP(YEAR($A110),'NY East Load Projections'!$A$4:$EO$14,((MONTH($A110)-1)*12)+VLOOKUP(CI$4,$DE$6:$DF$17,2)+1))*(VLOOKUP($A110,CURVES!$D$9:$T$261,8))*(INDEX(DailyScalarsTable,CI$5/100,MONTH($A110)))*$E110</f>
        <v>-1882.0769344710282</v>
      </c>
      <c r="CJ110" s="1021">
        <f>(VLOOKUP(YEAR($A110),'NY East Load Projections'!$A$4:$EO$14,((MONTH($A110)-1)*12)+VLOOKUP(CJ$4,$DE$6:$DF$17,2)+1))*(VLOOKUP($A110,CURVES!$D$9:$T$261,8))*(INDEX(DailyScalarsTable,CJ$5/100,MONTH($A110)))*$E110</f>
        <v>-2177.9909748865912</v>
      </c>
      <c r="CK110" s="1021">
        <f>(VLOOKUP(YEAR($A110),'NY East Load Projections'!$A$4:$EO$14,((MONTH($A110)-1)*12)+VLOOKUP(CK$4,$DE$6:$DF$17,2)+1))*(VLOOKUP($A110,CURVES!$D$9:$T$261,8))*(INDEX(DailyScalarsTable,CK$5/100,MONTH($A110)))*$E110</f>
        <v>-2961.791963657563</v>
      </c>
      <c r="CL110" s="1021">
        <f>(VLOOKUP(YEAR($A110),'NY East Load Projections'!$A$4:$EO$14,((MONTH($A110)-1)*12)+VLOOKUP(CL$4,$DE$6:$DF$17,2)+1))*(VLOOKUP($A110,SatSunCurve,8))*(INDEX(DailyScalarsTable,CL$5/100,MONTH($A110)))*$E110</f>
        <v>-2173.167757197436</v>
      </c>
      <c r="CM110" s="1021">
        <f>(VLOOKUP(YEAR($A110),'NY East Load Projections'!$A$4:$EO$14,((MONTH($A110)-1)*12)+VLOOKUP(CM$4,$DE$6:$DF$17,2)+1))*(VLOOKUP($A110,SatSunCurve,8))*(INDEX(DailyScalarsTable,CM$5/100,MONTH($A110)))*$E110</f>
        <v>-2387.5834027111086</v>
      </c>
      <c r="CN110" s="1021">
        <f>(VLOOKUP(YEAR($A110),'NY East Load Projections'!$A$4:$EO$14,((MONTH($A110)-1)*12)+VLOOKUP(CN$4,$DE$6:$DF$17,2)+1))*(VLOOKUP($A110,SatSunCurve,8))*(INDEX(DailyScalarsTable,CN$5/100,MONTH($A110)))*$E110</f>
        <v>-2980.4516160698713</v>
      </c>
      <c r="CO110" s="1021">
        <f>(VLOOKUP(YEAR($A110),'NY East Load Projections'!$A$4:$EO$14,((MONTH($A110)-1)*12)+VLOOKUP(CO$4,$DE$6:$DF$17,2)+1))*(VLOOKUP($A110,SatSunCurve,8))*(INDEX(DailyScalarsTable,CO$5/100,MONTH($A110)))*$E110</f>
        <v>-3182.9842355402566</v>
      </c>
      <c r="CP110" s="1021">
        <f>(VLOOKUP(YEAR($A110),'NY East Load Projections'!$A$4:$EO$14,((MONTH($A110)-1)*12)+VLOOKUP(CP$4,$DE$6:$DF$17,2)+1))*(VLOOKUP($A110,SatSunCurve,8))*(INDEX(DailyScalarsTable,CP$5/100,MONTH($A110)))*$E110</f>
        <v>-3391.5007733131761</v>
      </c>
      <c r="CQ110" s="1021">
        <f>(VLOOKUP(YEAR($A110),'NY East Load Projections'!$A$4:$EO$14,((MONTH($A110)-1)*12)+VLOOKUP(CQ$4,$DE$6:$DF$17,2)+1))*(VLOOKUP($A110,SatSunCurve,8))*(INDEX(DailyScalarsTable,CQ$5/100,MONTH($A110)))*$E110</f>
        <v>-3288.4202320759241</v>
      </c>
      <c r="CR110" s="1021">
        <f>(VLOOKUP(YEAR($A110),'NY East Load Projections'!$A$4:$EO$14,((MONTH($A110)-1)*12)+VLOOKUP(CR$4,$DE$6:$DF$17,2)+1))*(VLOOKUP($A110,SatSunCurve,8))*(INDEX(DailyScalarsTable,CR$5/100,MONTH($A110)))*$E110</f>
        <v>-3559.8199211018541</v>
      </c>
      <c r="CS110" s="1021">
        <f>(VLOOKUP(YEAR($A110),'NY East Load Projections'!$A$4:$EO$14,((MONTH($A110)-1)*12)+VLOOKUP(CS$4,$DE$6:$DF$17,2)+1))*(VLOOKUP($A110,SatSunCurve,8))*(INDEX(DailyScalarsTable,CS$5/100,MONTH($A110)))*$E110</f>
        <v>-3503.6519854599678</v>
      </c>
      <c r="CT110" s="1021">
        <f>(VLOOKUP(YEAR($A110),'NY East Load Projections'!$A$4:$EO$14,((MONTH($A110)-1)*12)+VLOOKUP(CT$4,$DE$6:$DF$17,2)+1))*(VLOOKUP($A110,SatSunCurve,8))*(INDEX(DailyScalarsTable,CT$5/100,MONTH($A110)))*$E110</f>
        <v>-3394.148110931244</v>
      </c>
      <c r="CU110" s="1021">
        <f>(VLOOKUP(YEAR($A110),'NY East Load Projections'!$A$4:$EO$14,((MONTH($A110)-1)*12)+VLOOKUP(CU$4,$DE$6:$DF$17,2)+1))*(VLOOKUP($A110,SatSunCurve,8))*(INDEX(DailyScalarsTable,CU$5/100,MONTH($A110)))*$E110</f>
        <v>-3414.1253916453074</v>
      </c>
      <c r="CV110" s="1021">
        <f>(VLOOKUP(YEAR($A110),'NY East Load Projections'!$A$4:$EO$14,((MONTH($A110)-1)*12)+VLOOKUP(CV$4,$DE$6:$DF$17,2)+1))*(VLOOKUP($A110,SatSunCurve,8))*(INDEX(DailyScalarsTable,CV$5/100,MONTH($A110)))*$E110</f>
        <v>-3330.3702174151445</v>
      </c>
      <c r="CW110" s="1021">
        <f>(VLOOKUP(YEAR($A110),'NY East Load Projections'!$A$4:$EO$14,((MONTH($A110)-1)*12)+VLOOKUP(CW$4,$DE$6:$DF$17,2)+1))*(VLOOKUP($A110,SatSunCurve,8))*(INDEX(DailyScalarsTable,CW$5/100,MONTH($A110)))*$E110</f>
        <v>-2727.7737796644487</v>
      </c>
      <c r="CX110" s="1021">
        <f>(VLOOKUP(YEAR($A110),'NY East Load Projections'!$A$4:$EO$14,((MONTH($A110)-1)*12)+VLOOKUP(CX$4,$DE$6:$DF$17,2)+1))*(VLOOKUP($A110,SatSunCurve,8))*(INDEX(DailyScalarsTable,CX$5/100,MONTH($A110)))*$E110</f>
        <v>-3564.8847052595997</v>
      </c>
      <c r="CY110" s="1021">
        <f>(VLOOKUP(YEAR($A110),'NY East Load Projections'!$A$4:$EO$14,((MONTH($A110)-1)*12)+VLOOKUP(CY$4,$DE$6:$DF$17,2)+1))*(VLOOKUP($A110,SatSunCurve,8))*(INDEX(DailyScalarsTable,CY$5/100,MONTH($A110)))*$E110</f>
        <v>-3442.5124564573734</v>
      </c>
      <c r="CZ110" s="1021">
        <f>(VLOOKUP(YEAR($A110),'NY East Load Projections'!$A$4:$EO$14,((MONTH($A110)-1)*12)+VLOOKUP(CZ$4,$DE$6:$DF$17,2)+1))*(VLOOKUP($A110,SatSunCurve,8))*(INDEX(DailyScalarsTable,CZ$5/100,MONTH($A110)))*$E110</f>
        <v>-2620.0922620523002</v>
      </c>
      <c r="DA110" s="1021">
        <f>(VLOOKUP(YEAR($A110),'NY East Load Projections'!$A$4:$EO$14,((MONTH($A110)-1)*12)+VLOOKUP(DA$4,$DE$6:$DF$17,2)+1))*(VLOOKUP($A110,SatSunCurve,8))*(INDEX(DailyScalarsTable,DA$5/100,MONTH($A110)))*$E110</f>
        <v>-2076.3154600021298</v>
      </c>
      <c r="DB110" s="1021">
        <f>(VLOOKUP(YEAR($A110),'NY East Load Projections'!$A$4:$EO$14,((MONTH($A110)-1)*12)+VLOOKUP(DB$4,$DE$6:$DF$17,2)+1))*(VLOOKUP($A110,CURVES!$D$9:$T$261,8))*(INDEX(DailyScalarsTable,DB$5/100,MONTH($A110)))*$E110</f>
        <v>-2428.8593800549843</v>
      </c>
      <c r="DH110" s="1021">
        <f t="shared" si="2"/>
        <v>-2183384.6743731732</v>
      </c>
      <c r="DI110">
        <f ca="1">CALC!J130</f>
        <v>0.49601811076526392</v>
      </c>
      <c r="DJ110" s="1029">
        <f t="shared" ca="1" si="3"/>
        <v>-1082998.3412564122</v>
      </c>
    </row>
    <row r="111" spans="1:114" x14ac:dyDescent="0.25">
      <c r="A111" s="244">
        <v>40087</v>
      </c>
      <c r="B111" s="13">
        <v>22</v>
      </c>
      <c r="C111" s="210">
        <v>5</v>
      </c>
      <c r="D111" s="210">
        <v>4</v>
      </c>
      <c r="E111" s="210">
        <v>0</v>
      </c>
      <c r="F111" s="13">
        <v>31</v>
      </c>
      <c r="H111" s="1021">
        <f>(VLOOKUP(YEAR($A111),'NY East Load Projections'!$A$4:$EO$14,((MONTH($A111)-1)*12)+VLOOKUP(H$4,$DE$6:$DF$17,2)+1))*(VLOOKUP($A111,CURVES!$D$9:$K$261,8))*(INDEX(DailyScalarsTable,H$5/100,MONTH($A111)))*$B111</f>
        <v>-38131.916253802076</v>
      </c>
      <c r="I111" s="1021">
        <f>(VLOOKUP(YEAR($A111),'NY East Load Projections'!$A$4:$EO$14,((MONTH($A111)-1)*12)+VLOOKUP(I$4,$DE$6:$DF$17,2)+1))*(VLOOKUP($A111,CURVES!$D$9:$K$261,8))*(INDEX(DailyScalarsTable,I$5/100,MONTH($A111)))*$B111</f>
        <v>-36192.188444366955</v>
      </c>
      <c r="J111" s="1021">
        <f>(VLOOKUP(YEAR($A111),'NY East Load Projections'!$A$4:$EO$14,((MONTH($A111)-1)*12)+VLOOKUP(J$4,$DE$6:$DF$17,2)+1))*(VLOOKUP($A111,CURVES!$D$9:$K$261,8))*(INDEX(DailyScalarsTable,J$5/100,MONTH($A111)))*$B111</f>
        <v>-34766.508584430172</v>
      </c>
      <c r="K111" s="1021">
        <f>(VLOOKUP(YEAR($A111),'NY East Load Projections'!$A$4:$EO$14,((MONTH($A111)-1)*12)+VLOOKUP(K$4,$DE$6:$DF$17,2)+1))*(VLOOKUP($A111,CURVES!$D$9:$K$261,8))*(INDEX(DailyScalarsTable,K$5/100,MONTH($A111)))*$B111</f>
        <v>-34786.588582457458</v>
      </c>
      <c r="L111" s="1021">
        <f>(VLOOKUP(YEAR($A111),'NY East Load Projections'!$A$4:$EO$14,((MONTH($A111)-1)*12)+VLOOKUP(L$4,$DE$6:$DF$17,2)+1))*(VLOOKUP($A111,CURVES!$D$9:$K$261,8))*(INDEX(DailyScalarsTable,L$5/100,MONTH($A111)))*$B111</f>
        <v>-40447.430777844638</v>
      </c>
      <c r="M111" s="1021">
        <f>(VLOOKUP(YEAR($A111),'NY East Load Projections'!$A$4:$EO$14,((MONTH($A111)-1)*12)+VLOOKUP(M$4,$DE$6:$DF$17,2)+1))*(VLOOKUP($A111,CURVES!$D$9:$K$261,8))*(INDEX(DailyScalarsTable,M$5/100,MONTH($A111)))*$B111</f>
        <v>-46467.615024217848</v>
      </c>
      <c r="N111" s="1021">
        <f>(VLOOKUP(YEAR($A111),'NY East Load Projections'!$A$4:$EO$14,((MONTH($A111)-1)*12)+VLOOKUP(N$4,$DE$6:$DF$17,2)+1))*(VLOOKUP($A111,CURVES!$D$9:$K$261,8))*(INDEX(DailyScalarsTable,N$5/100,MONTH($A111)))*$B111</f>
        <v>-60070.873988466512</v>
      </c>
      <c r="O111" s="1021">
        <f>(VLOOKUP(YEAR($A111),'NY East Load Projections'!$A$4:$EO$14,((MONTH($A111)-1)*12)+VLOOKUP(O$4,$DE$6:$DF$17,2)+1))*(VLOOKUP($A111,CURVES!$D$9:$K$261,4))*(INDEX(DailyScalarsTable,O$5/100,MONTH($A111)))*$B111</f>
        <v>-72813.531091015611</v>
      </c>
      <c r="P111" s="1021">
        <f>(VLOOKUP(YEAR($A111),'NY East Load Projections'!$A$4:$EO$14,((MONTH($A111)-1)*12)+VLOOKUP(P$4,$DE$6:$DF$17,2)+1))*(VLOOKUP($A111,CURVES!$D$9:$K$261,4))*(INDEX(DailyScalarsTable,P$5/100,MONTH($A111)))*$B111</f>
        <v>-84177.676696292139</v>
      </c>
      <c r="Q111" s="1021">
        <f>(VLOOKUP(YEAR($A111),'NY East Load Projections'!$A$4:$EO$14,((MONTH($A111)-1)*12)+VLOOKUP(Q$4,$DE$6:$DF$17,2)+1))*(VLOOKUP($A111,CURVES!$D$9:$K$261,4))*(INDEX(DailyScalarsTable,Q$5/100,MONTH($A111)))*$B111</f>
        <v>-83917.547905512489</v>
      </c>
      <c r="R111" s="1021">
        <f>(VLOOKUP(YEAR($A111),'NY East Load Projections'!$A$4:$EO$14,((MONTH($A111)-1)*12)+VLOOKUP(R$4,$DE$6:$DF$17,2)+1))*(VLOOKUP($A111,CURVES!$D$9:$K$261,4))*(INDEX(DailyScalarsTable,R$5/100,MONTH($A111)))*$B111</f>
        <v>-83441.883830944003</v>
      </c>
      <c r="S111" s="1021">
        <f>(VLOOKUP(YEAR($A111),'NY East Load Projections'!$A$4:$EO$14,((MONTH($A111)-1)*12)+VLOOKUP(S$4,$DE$6:$DF$17,2)+1))*(VLOOKUP($A111,CURVES!$D$9:$K$261,4))*(INDEX(DailyScalarsTable,S$5/100,MONTH($A111)))*$B111</f>
        <v>-70413.14753846651</v>
      </c>
      <c r="T111" s="1021">
        <f>(VLOOKUP(YEAR($A111),'NY East Load Projections'!$A$4:$EO$14,((MONTH($A111)-1)*12)+VLOOKUP(T$4,$DE$6:$DF$17,2)+1))*(VLOOKUP($A111,CURVES!$D$9:$K$261,4))*(INDEX(DailyScalarsTable,T$5/100,MONTH($A111)))*$B111</f>
        <v>-68059.913283330156</v>
      </c>
      <c r="U111" s="1021">
        <f>(VLOOKUP(YEAR($A111),'NY East Load Projections'!$A$4:$EO$14,((MONTH($A111)-1)*12)+VLOOKUP(U$4,$DE$6:$DF$17,2)+1))*(VLOOKUP($A111,CURVES!$D$9:$K$261,4))*(INDEX(DailyScalarsTable,U$5/100,MONTH($A111)))*$B111</f>
        <v>-66170.847255576184</v>
      </c>
      <c r="V111" s="1021">
        <f>(VLOOKUP(YEAR($A111),'NY East Load Projections'!$A$4:$EO$14,((MONTH($A111)-1)*12)+VLOOKUP(V$4,$DE$6:$DF$17,2)+1))*(VLOOKUP($A111,CURVES!$D$9:$K$261,4))*(INDEX(DailyScalarsTable,V$5/100,MONTH($A111)))*$B111</f>
        <v>-64633.59109533915</v>
      </c>
      <c r="W111" s="1021">
        <f>(VLOOKUP(YEAR($A111),'NY East Load Projections'!$A$4:$EO$14,((MONTH($A111)-1)*12)+VLOOKUP(W$4,$DE$6:$DF$17,2)+1))*(VLOOKUP($A111,CURVES!$D$9:$K$261,4))*(INDEX(DailyScalarsTable,W$5/100,MONTH($A111)))*$B111</f>
        <v>-64190.00474064389</v>
      </c>
      <c r="X111" s="1021">
        <f>(VLOOKUP(YEAR($A111),'NY East Load Projections'!$A$4:$EO$14,((MONTH($A111)-1)*12)+VLOOKUP(X$4,$DE$6:$DF$17,2)+1))*(VLOOKUP($A111,CURVES!$D$9:$K$261,4))*(INDEX(DailyScalarsTable,X$5/100,MONTH($A111)))*$B111</f>
        <v>-64823.957554142413</v>
      </c>
      <c r="Y111" s="1021">
        <f>(VLOOKUP(YEAR($A111),'NY East Load Projections'!$A$4:$EO$14,((MONTH($A111)-1)*12)+VLOOKUP(Y$4,$DE$6:$DF$17,2)+1))*(VLOOKUP($A111,CURVES!$D$9:$K$261,4))*(INDEX(DailyScalarsTable,Y$5/100,MONTH($A111)))*$B111</f>
        <v>-87449.67565279486</v>
      </c>
      <c r="Z111" s="1021">
        <f>(VLOOKUP(YEAR($A111),'NY East Load Projections'!$A$4:$EO$14,((MONTH($A111)-1)*12)+VLOOKUP(Z$4,$DE$6:$DF$17,2)+1))*(VLOOKUP($A111,CURVES!$D$9:$K$261,4))*(INDEX(DailyScalarsTable,Z$5/100,MONTH($A111)))*$B111</f>
        <v>-88134.641031626859</v>
      </c>
      <c r="AA111" s="1021">
        <f>(VLOOKUP(YEAR($A111),'NY East Load Projections'!$A$4:$EO$14,((MONTH($A111)-1)*12)+VLOOKUP(AA$4,$DE$6:$DF$17,2)+1))*(VLOOKUP($A111,CURVES!$D$9:$K$261,4))*(INDEX(DailyScalarsTable,AA$5/100,MONTH($A111)))*$B111</f>
        <v>-84287.175924996103</v>
      </c>
      <c r="AB111" s="1021">
        <f>(VLOOKUP(YEAR($A111),'NY East Load Projections'!$A$4:$EO$14,((MONTH($A111)-1)*12)+VLOOKUP(AB$4,$DE$6:$DF$17,2)+1))*(VLOOKUP($A111,CURVES!$D$9:$K$261,4))*(INDEX(DailyScalarsTable,AB$5/100,MONTH($A111)))*$B111</f>
        <v>-70110.550198283468</v>
      </c>
      <c r="AC111" s="1021">
        <f>(VLOOKUP(YEAR($A111),'NY East Load Projections'!$A$4:$EO$14,((MONTH($A111)-1)*12)+VLOOKUP(AC$4,$DE$6:$DF$17,2)+1))*(VLOOKUP($A111,CURVES!$D$9:$K$261,4))*(INDEX(DailyScalarsTable,AC$5/100,MONTH($A111)))*$B111</f>
        <v>-58159.813697088561</v>
      </c>
      <c r="AD111" s="1021">
        <f>(VLOOKUP(YEAR($A111),'NY East Load Projections'!$A$4:$EO$14,((MONTH($A111)-1)*12)+VLOOKUP(AD$4,$DE$6:$DF$17,2)+1))*(VLOOKUP($A111,CURVES!$D$9:$K$261,4))*(INDEX(DailyScalarsTable,AD$5/100,MONTH($A111)))*$B111</f>
        <v>-49587.029609787918</v>
      </c>
      <c r="AE111" s="1021">
        <f>(VLOOKUP(YEAR($A111),'NY East Load Projections'!$A$4:$EO$14,((MONTH($A111)-1)*12)+VLOOKUP(AE$4,$DE$6:$DF$17,2)+1))*(VLOOKUP($A111,CURVES!$D$9:$K$261,8))*(INDEX(DailyScalarsTable,AE$5/100,MONTH($A111)))*$B111</f>
        <v>-43852.643417238585</v>
      </c>
      <c r="AF111" s="1021"/>
      <c r="AG111" s="1021">
        <f>(VLOOKUP(YEAR($A111),'NY East Load Projections'!$A$4:$EO$14,((MONTH($A111)-1)*12)+VLOOKUP(AG$4,$DE$6:$DF$17,2)+1))*(VLOOKUP($A111,CURVES!$D$9:$T$261,8))*(INDEX(DailyScalarsTable,AG$5/100,MONTH($A111)))*$C111</f>
        <v>-9080.7509134753273</v>
      </c>
      <c r="AH111" s="1021">
        <f>(VLOOKUP(YEAR($A111),'NY East Load Projections'!$A$4:$EO$14,((MONTH($A111)-1)*12)+VLOOKUP(AH$4,$DE$6:$DF$17,2)+1))*(VLOOKUP($A111,CURVES!$D$9:$T$261,8))*(INDEX(DailyScalarsTable,AH$5/100,MONTH($A111)))*$C111</f>
        <v>-8618.8232998672611</v>
      </c>
      <c r="AI111" s="1021">
        <f>(VLOOKUP(YEAR($A111),'NY East Load Projections'!$A$4:$EO$14,((MONTH($A111)-1)*12)+VLOOKUP(AI$4,$DE$6:$DF$17,2)+1))*(VLOOKUP($A111,CURVES!$D$9:$T$261,8))*(INDEX(DailyScalarsTable,AI$5/100,MONTH($A111)))*$C111</f>
        <v>-8279.311285724687</v>
      </c>
      <c r="AJ111" s="1021">
        <f>(VLOOKUP(YEAR($A111),'NY East Load Projections'!$A$4:$EO$14,((MONTH($A111)-1)*12)+VLOOKUP(AJ$4,$DE$6:$DF$17,2)+1))*(VLOOKUP($A111,CURVES!$D$9:$T$261,8))*(INDEX(DailyScalarsTable,AJ$5/100,MONTH($A111)))*$C111</f>
        <v>-8284.0931450788066</v>
      </c>
      <c r="AK111" s="1021">
        <f>(VLOOKUP(YEAR($A111),'NY East Load Projections'!$A$4:$EO$14,((MONTH($A111)-1)*12)+VLOOKUP(AK$4,$DE$6:$DF$17,2)+1))*(VLOOKUP($A111,CURVES!$D$9:$T$261,8))*(INDEX(DailyScalarsTable,AK$5/100,MONTH($A111)))*$C111</f>
        <v>-8988.6995027399225</v>
      </c>
      <c r="AL111" s="1021">
        <f>(VLOOKUP(YEAR($A111),'NY East Load Projections'!$A$4:$EO$14,((MONTH($A111)-1)*12)+VLOOKUP(AL$4,$DE$6:$DF$17,2)+1))*(VLOOKUP($A111,CURVES!$D$9:$T$261,8))*(INDEX(DailyScalarsTable,AL$5/100,MONTH($A111)))*$C111</f>
        <v>-10326.575014264839</v>
      </c>
      <c r="AM111" s="1021">
        <f>(VLOOKUP(YEAR($A111),'NY East Load Projections'!$A$4:$EO$14,((MONTH($A111)-1)*12)+VLOOKUP(AM$4,$DE$6:$DF$17,2)+1))*(VLOOKUP($A111,CURVES!$D$9:$T$261,8))*(INDEX(DailyScalarsTable,AM$5/100,MONTH($A111)))*$C111</f>
        <v>-13349.649774171758</v>
      </c>
      <c r="AN111" s="1021">
        <f>(VLOOKUP(YEAR($A111),'NY East Load Projections'!$A$4:$EO$14,((MONTH($A111)-1)*12)+VLOOKUP(AN$4,$DE$6:$DF$17,2)+1))*(VLOOKUP($A111,SatSunCurve,4))*(INDEX(DailyScalarsTable,AN$5/100,MONTH($A111)))*$C111</f>
        <v>-12650.649429788333</v>
      </c>
      <c r="AO111" s="1021">
        <f>(VLOOKUP(YEAR($A111),'NY East Load Projections'!$A$4:$EO$14,((MONTH($A111)-1)*12)+VLOOKUP(AO$4,$DE$6:$DF$17,2)+1))*(VLOOKUP($A111,SatSunCurve,4))*(INDEX(DailyScalarsTable,AO$5/100,MONTH($A111)))*$C111</f>
        <v>-14981.881270528882</v>
      </c>
      <c r="AP111" s="1021">
        <f>(VLOOKUP(YEAR($A111),'NY East Load Projections'!$A$4:$EO$14,((MONTH($A111)-1)*12)+VLOOKUP(AP$4,$DE$6:$DF$17,2)+1))*(VLOOKUP($A111,SatSunCurve,4))*(INDEX(DailyScalarsTable,AP$5/100,MONTH($A111)))*$C111</f>
        <v>-14935.583738790534</v>
      </c>
      <c r="AQ111" s="1021">
        <f>(VLOOKUP(YEAR($A111),'NY East Load Projections'!$A$4:$EO$14,((MONTH($A111)-1)*12)+VLOOKUP(AQ$4,$DE$6:$DF$17,2)+1))*(VLOOKUP($A111,SatSunCurve,4))*(INDEX(DailyScalarsTable,AQ$5/100,MONTH($A111)))*$C111</f>
        <v>-14850.925395040415</v>
      </c>
      <c r="AR111" s="1021">
        <f>(VLOOKUP(YEAR($A111),'NY East Load Projections'!$A$4:$EO$14,((MONTH($A111)-1)*12)+VLOOKUP(AR$4,$DE$6:$DF$17,2)+1))*(VLOOKUP($A111,SatSunCurve,4))*(INDEX(DailyScalarsTable,AR$5/100,MONTH($A111)))*$C111</f>
        <v>-12532.080448259811</v>
      </c>
      <c r="AS111" s="1021">
        <f>(VLOOKUP(YEAR($A111),'NY East Load Projections'!$A$4:$EO$14,((MONTH($A111)-1)*12)+VLOOKUP(AS$4,$DE$6:$DF$17,2)+1))*(VLOOKUP($A111,SatSunCurve,4))*(INDEX(DailyScalarsTable,AS$5/100,MONTH($A111)))*$C111</f>
        <v>-12083.563596952932</v>
      </c>
      <c r="AT111" s="1021">
        <f>(VLOOKUP(YEAR($A111),'NY East Load Projections'!$A$4:$EO$14,((MONTH($A111)-1)*12)+VLOOKUP(AT$4,$DE$6:$DF$17,2)+1))*(VLOOKUP($A111,SatSunCurve,4))*(INDEX(DailyScalarsTable,AT$5/100,MONTH($A111)))*$C111</f>
        <v>-11748.173080215391</v>
      </c>
      <c r="AU111" s="1021">
        <f>(VLOOKUP(YEAR($A111),'NY East Load Projections'!$A$4:$EO$14,((MONTH($A111)-1)*12)+VLOOKUP(AU$4,$DE$6:$DF$17,2)+1))*(VLOOKUP($A111,SatSunCurve,4))*(INDEX(DailyScalarsTable,AU$5/100,MONTH($A111)))*$C111</f>
        <v>-11475.243955258929</v>
      </c>
      <c r="AV111" s="1021">
        <f>(VLOOKUP(YEAR($A111),'NY East Load Projections'!$A$4:$EO$14,((MONTH($A111)-1)*12)+VLOOKUP(AV$4,$DE$6:$DF$17,2)+1))*(VLOOKUP($A111,SatSunCurve,4))*(INDEX(DailyScalarsTable,AV$5/100,MONTH($A111)))*$C111</f>
        <v>-11396.488287361046</v>
      </c>
      <c r="AW111" s="1021">
        <f>(VLOOKUP(YEAR($A111),'NY East Load Projections'!$A$4:$EO$14,((MONTH($A111)-1)*12)+VLOOKUP(AW$4,$DE$6:$DF$17,2)+1))*(VLOOKUP($A111,SatSunCurve,4))*(INDEX(DailyScalarsTable,AW$5/100,MONTH($A111)))*$C111</f>
        <v>-11236.516628005649</v>
      </c>
      <c r="AX111" s="1021">
        <f>(VLOOKUP(YEAR($A111),'NY East Load Projections'!$A$4:$EO$14,((MONTH($A111)-1)*12)+VLOOKUP(AX$4,$DE$6:$DF$17,2)+1))*(VLOOKUP($A111,SatSunCurve,4))*(INDEX(DailyScalarsTable,AX$5/100,MONTH($A111)))*$C111</f>
        <v>-15158.434808081813</v>
      </c>
      <c r="AY111" s="1021">
        <f>(VLOOKUP(YEAR($A111),'NY East Load Projections'!$A$4:$EO$14,((MONTH($A111)-1)*12)+VLOOKUP(AY$4,$DE$6:$DF$17,2)+1))*(VLOOKUP($A111,SatSunCurve,4))*(INDEX(DailyScalarsTable,AY$5/100,MONTH($A111)))*$C111</f>
        <v>-15277.165986480253</v>
      </c>
      <c r="AZ111" s="1021">
        <f>(VLOOKUP(YEAR($A111),'NY East Load Projections'!$A$4:$EO$14,((MONTH($A111)-1)*12)+VLOOKUP(AZ$4,$DE$6:$DF$17,2)+1))*(VLOOKUP($A111,SatSunCurve,4))*(INDEX(DailyScalarsTable,AZ$5/100,MONTH($A111)))*$C111</f>
        <v>-14610.250431220928</v>
      </c>
      <c r="BA111" s="1021">
        <f>(VLOOKUP(YEAR($A111),'NY East Load Projections'!$A$4:$EO$14,((MONTH($A111)-1)*12)+VLOOKUP(BA$4,$DE$6:$DF$17,2)+1))*(VLOOKUP($A111,SatSunCurve,4))*(INDEX(DailyScalarsTable,BA$5/100,MONTH($A111)))*$C111</f>
        <v>-12838.636393555369</v>
      </c>
      <c r="BB111" s="1021">
        <f>(VLOOKUP(YEAR($A111),'NY East Load Projections'!$A$4:$EO$14,((MONTH($A111)-1)*12)+VLOOKUP(BB$4,$DE$6:$DF$17,2)+1))*(VLOOKUP($A111,SatSunCurve,4))*(INDEX(DailyScalarsTable,BB$5/100,MONTH($A111)))*$C111</f>
        <v>-10650.218813888621</v>
      </c>
      <c r="BC111" s="1021">
        <f>(VLOOKUP(YEAR($A111),'NY East Load Projections'!$A$4:$EO$14,((MONTH($A111)-1)*12)+VLOOKUP(BC$4,$DE$6:$DF$17,2)+1))*(VLOOKUP($A111,SatSunCurve,4))*(INDEX(DailyScalarsTable,BC$5/100,MONTH($A111)))*$C111</f>
        <v>-9080.371516070596</v>
      </c>
      <c r="BD111" s="1021">
        <f>(VLOOKUP(YEAR($A111),'NY East Load Projections'!$A$4:$EO$14,((MONTH($A111)-1)*12)+VLOOKUP(BD$4,$DE$6:$DF$17,2)+1))*(VLOOKUP($A111,CURVES!$D$9:$T$261,8))*(INDEX(DailyScalarsTable,BD$5/100,MONTH($A111)))*$C111</f>
        <v>-10271.562069083428</v>
      </c>
      <c r="BE111" s="1021"/>
      <c r="BF111" s="1021">
        <f>(VLOOKUP(YEAR($A111),'NY East Load Projections'!$A$4:$EO$14,((MONTH($A111)-1)*12)+VLOOKUP(BF$4,$DE$6:$DF$17,2)+1))*(VLOOKUP($A111,CURVES!$D$9:$T$261,8))*(INDEX(DailyScalarsTable,BF$5/100,MONTH($A111)))*$D111</f>
        <v>-7264.6007307802611</v>
      </c>
      <c r="BG111" s="1021">
        <f>(VLOOKUP(YEAR($A111),'NY East Load Projections'!$A$4:$EO$14,((MONTH($A111)-1)*12)+VLOOKUP(BG$4,$DE$6:$DF$17,2)+1))*(VLOOKUP($A111,CURVES!$D$9:$T$261,8))*(INDEX(DailyScalarsTable,BG$5/100,MONTH($A111)))*$D111</f>
        <v>-6895.0586398938085</v>
      </c>
      <c r="BH111" s="1021">
        <f>(VLOOKUP(YEAR($A111),'NY East Load Projections'!$A$4:$EO$14,((MONTH($A111)-1)*12)+VLOOKUP(BH$4,$DE$6:$DF$17,2)+1))*(VLOOKUP($A111,CURVES!$D$9:$T$261,8))*(INDEX(DailyScalarsTable,BH$5/100,MONTH($A111)))*$D111</f>
        <v>-6623.4490285797492</v>
      </c>
      <c r="BI111" s="1021">
        <f>(VLOOKUP(YEAR($A111),'NY East Load Projections'!$A$4:$EO$14,((MONTH($A111)-1)*12)+VLOOKUP(BI$4,$DE$6:$DF$17,2)+1))*(VLOOKUP($A111,CURVES!$D$9:$T$261,8))*(INDEX(DailyScalarsTable,BI$5/100,MONTH($A111)))*$D111</f>
        <v>-6627.2745160630457</v>
      </c>
      <c r="BJ111" s="1021">
        <f>(VLOOKUP(YEAR($A111),'NY East Load Projections'!$A$4:$EO$14,((MONTH($A111)-1)*12)+VLOOKUP(BJ$4,$DE$6:$DF$17,2)+1))*(VLOOKUP($A111,CURVES!$D$9:$T$261,8))*(INDEX(DailyScalarsTable,BJ$5/100,MONTH($A111)))*$D111</f>
        <v>-7190.9596021919378</v>
      </c>
      <c r="BK111" s="1021">
        <f>(VLOOKUP(YEAR($A111),'NY East Load Projections'!$A$4:$EO$14,((MONTH($A111)-1)*12)+VLOOKUP(BK$4,$DE$6:$DF$17,2)+1))*(VLOOKUP($A111,CURVES!$D$9:$T$261,8))*(INDEX(DailyScalarsTable,BK$5/100,MONTH($A111)))*$D111</f>
        <v>-8261.2600114118723</v>
      </c>
      <c r="BL111" s="1021">
        <f>(VLOOKUP(YEAR($A111),'NY East Load Projections'!$A$4:$EO$14,((MONTH($A111)-1)*12)+VLOOKUP(BL$4,$DE$6:$DF$17,2)+1))*(VLOOKUP($A111,CURVES!$D$9:$T$261,8))*(INDEX(DailyScalarsTable,BL$5/100,MONTH($A111)))*$D111</f>
        <v>-10679.719819337406</v>
      </c>
      <c r="BM111" s="1021">
        <f>(VLOOKUP(YEAR($A111),'NY East Load Projections'!$A$4:$EO$14,((MONTH($A111)-1)*12)+VLOOKUP(BM$4,$DE$6:$DF$17,2)+1))*(VLOOKUP($A111,SatSunCurve,8))*(INDEX(DailyScalarsTable,BM$5/100,MONTH($A111)))*$D111</f>
        <v>-10236.122876896616</v>
      </c>
      <c r="BN111" s="1021">
        <f>(VLOOKUP(YEAR($A111),'NY East Load Projections'!$A$4:$EO$14,((MONTH($A111)-1)*12)+VLOOKUP(BN$4,$DE$6:$DF$17,2)+1))*(VLOOKUP($A111,SatSunCurve,8))*(INDEX(DailyScalarsTable,BN$5/100,MONTH($A111)))*$D111</f>
        <v>-12122.41145905942</v>
      </c>
      <c r="BO111" s="1021">
        <f>(VLOOKUP(YEAR($A111),'NY East Load Projections'!$A$4:$EO$14,((MONTH($A111)-1)*12)+VLOOKUP(BO$4,$DE$6:$DF$17,2)+1))*(VLOOKUP($A111,SatSunCurve,8))*(INDEX(DailyScalarsTable,BO$5/100,MONTH($A111)))*$D111</f>
        <v>-12084.950360607443</v>
      </c>
      <c r="BP111" s="1021">
        <f>(VLOOKUP(YEAR($A111),'NY East Load Projections'!$A$4:$EO$14,((MONTH($A111)-1)*12)+VLOOKUP(BP$4,$DE$6:$DF$17,2)+1))*(VLOOKUP($A111,SatSunCurve,8))*(INDEX(DailyScalarsTable,BP$5/100,MONTH($A111)))*$D111</f>
        <v>-12016.45006629526</v>
      </c>
      <c r="BQ111" s="1021">
        <f>(VLOOKUP(YEAR($A111),'NY East Load Projections'!$A$4:$EO$14,((MONTH($A111)-1)*12)+VLOOKUP(BQ$4,$DE$6:$DF$17,2)+1))*(VLOOKUP($A111,SatSunCurve,8))*(INDEX(DailyScalarsTable,BQ$5/100,MONTH($A111)))*$D111</f>
        <v>-10140.184192400578</v>
      </c>
      <c r="BR111" s="1021">
        <f>(VLOOKUP(YEAR($A111),'NY East Load Projections'!$A$4:$EO$14,((MONTH($A111)-1)*12)+VLOOKUP(BR$4,$DE$6:$DF$17,2)+1))*(VLOOKUP($A111,SatSunCurve,8))*(INDEX(DailyScalarsTable,BR$5/100,MONTH($A111)))*$D111</f>
        <v>-9777.272104146401</v>
      </c>
      <c r="BS111" s="1021">
        <f>(VLOOKUP(YEAR($A111),'NY East Load Projections'!$A$4:$EO$14,((MONTH($A111)-1)*12)+VLOOKUP(BS$4,$DE$6:$DF$17,2)+1))*(VLOOKUP($A111,SatSunCurve,8))*(INDEX(DailyScalarsTable,BS$5/100,MONTH($A111)))*$D111</f>
        <v>-9505.8948471822296</v>
      </c>
      <c r="BT111" s="1021">
        <f>(VLOOKUP(YEAR($A111),'NY East Load Projections'!$A$4:$EO$14,((MONTH($A111)-1)*12)+VLOOKUP(BT$4,$DE$6:$DF$17,2)+1))*(VLOOKUP($A111,SatSunCurve,8))*(INDEX(DailyScalarsTable,BT$5/100,MONTH($A111)))*$D111</f>
        <v>-9285.0574842275801</v>
      </c>
      <c r="BU111" s="1021">
        <f>(VLOOKUP(YEAR($A111),'NY East Load Projections'!$A$4:$EO$14,((MONTH($A111)-1)*12)+VLOOKUP(BU$4,$DE$6:$DF$17,2)+1))*(VLOOKUP($A111,SatSunCurve,8))*(INDEX(DailyScalarsTable,BU$5/100,MONTH($A111)))*$D111</f>
        <v>-9221.3332700416613</v>
      </c>
      <c r="BV111" s="1021">
        <f>(VLOOKUP(YEAR($A111),'NY East Load Projections'!$A$4:$EO$14,((MONTH($A111)-1)*12)+VLOOKUP(BV$4,$DE$6:$DF$17,2)+1))*(VLOOKUP($A111,SatSunCurve,8))*(INDEX(DailyScalarsTable,BV$5/100,MONTH($A111)))*$D111</f>
        <v>-9091.8941000550913</v>
      </c>
      <c r="BW111" s="1021">
        <f>(VLOOKUP(YEAR($A111),'NY East Load Projections'!$A$4:$EO$14,((MONTH($A111)-1)*12)+VLOOKUP(BW$4,$DE$6:$DF$17,2)+1))*(VLOOKUP($A111,SatSunCurve,8))*(INDEX(DailyScalarsTable,BW$5/100,MONTH($A111)))*$D111</f>
        <v>-12265.267659033403</v>
      </c>
      <c r="BX111" s="1021">
        <f>(VLOOKUP(YEAR($A111),'NY East Load Projections'!$A$4:$EO$14,((MONTH($A111)-1)*12)+VLOOKUP(BX$4,$DE$6:$DF$17,2)+1))*(VLOOKUP($A111,SatSunCurve,8))*(INDEX(DailyScalarsTable,BX$5/100,MONTH($A111)))*$D111</f>
        <v>-12361.337583202152</v>
      </c>
      <c r="BY111" s="1021">
        <f>(VLOOKUP(YEAR($A111),'NY East Load Projections'!$A$4:$EO$14,((MONTH($A111)-1)*12)+VLOOKUP(BY$4,$DE$6:$DF$17,2)+1))*(VLOOKUP($A111,SatSunCurve,8))*(INDEX(DailyScalarsTable,BY$5/100,MONTH($A111)))*$D111</f>
        <v>-11821.710775105357</v>
      </c>
      <c r="BZ111" s="1021">
        <f>(VLOOKUP(YEAR($A111),'NY East Load Projections'!$A$4:$EO$14,((MONTH($A111)-1)*12)+VLOOKUP(BZ$4,$DE$6:$DF$17,2)+1))*(VLOOKUP($A111,SatSunCurve,8))*(INDEX(DailyScalarsTable,BZ$5/100,MONTH($A111)))*$D111</f>
        <v>-10388.23029802577</v>
      </c>
      <c r="CA111" s="1021">
        <f>(VLOOKUP(YEAR($A111),'NY East Load Projections'!$A$4:$EO$14,((MONTH($A111)-1)*12)+VLOOKUP(CA$4,$DE$6:$DF$17,2)+1))*(VLOOKUP($A111,SatSunCurve,8))*(INDEX(DailyScalarsTable,CA$5/100,MONTH($A111)))*$D111</f>
        <v>-8617.4981806150718</v>
      </c>
      <c r="CB111" s="1021">
        <f>(VLOOKUP(YEAR($A111),'NY East Load Projections'!$A$4:$EO$14,((MONTH($A111)-1)*12)+VLOOKUP(CB$4,$DE$6:$DF$17,2)+1))*(VLOOKUP($A111,SatSunCurve,8))*(INDEX(DailyScalarsTable,CB$5/100,MONTH($A111)))*$D111</f>
        <v>-7347.2748669730399</v>
      </c>
      <c r="CC111" s="1021">
        <f>(VLOOKUP(YEAR($A111),'NY East Load Projections'!$A$4:$EO$14,((MONTH($A111)-1)*12)+VLOOKUP(CC$4,$DE$6:$DF$17,2)+1))*(VLOOKUP($A111,CURVES!$D$9:$T$261,8))*(INDEX(DailyScalarsTable,CC$5/100,MONTH($A111)))*$D111</f>
        <v>-8217.2496552667417</v>
      </c>
      <c r="CE111" s="1021">
        <f>(VLOOKUP(YEAR($A111),'NY East Load Projections'!$A$4:$EO$14,((MONTH($A111)-1)*12)+VLOOKUP(CE$4,$DE$6:$DF$17,2)+1))*(VLOOKUP($A111,CURVES!$D$9:$T$261,8))*(INDEX(DailyScalarsTable,CE$5/100,MONTH($A111)))*$E111</f>
        <v>0</v>
      </c>
      <c r="CF111" s="1021">
        <f>(VLOOKUP(YEAR($A111),'NY East Load Projections'!$A$4:$EO$14,((MONTH($A111)-1)*12)+VLOOKUP(CF$4,$DE$6:$DF$17,2)+1))*(VLOOKUP($A111,CURVES!$D$9:$T$261,8))*(INDEX(DailyScalarsTable,CF$5/100,MONTH($A111)))*$E111</f>
        <v>0</v>
      </c>
      <c r="CG111" s="1021">
        <f>(VLOOKUP(YEAR($A111),'NY East Load Projections'!$A$4:$EO$14,((MONTH($A111)-1)*12)+VLOOKUP(CG$4,$DE$6:$DF$17,2)+1))*(VLOOKUP($A111,CURVES!$D$9:$T$261,8))*(INDEX(DailyScalarsTable,CG$5/100,MONTH($A111)))*$E111</f>
        <v>0</v>
      </c>
      <c r="CH111" s="1021">
        <f>(VLOOKUP(YEAR($A111),'NY East Load Projections'!$A$4:$EO$14,((MONTH($A111)-1)*12)+VLOOKUP(CH$4,$DE$6:$DF$17,2)+1))*(VLOOKUP($A111,CURVES!$D$9:$T$261,8))*(INDEX(DailyScalarsTable,CH$5/100,MONTH($A111)))*$E111</f>
        <v>0</v>
      </c>
      <c r="CI111" s="1021">
        <f>(VLOOKUP(YEAR($A111),'NY East Load Projections'!$A$4:$EO$14,((MONTH($A111)-1)*12)+VLOOKUP(CI$4,$DE$6:$DF$17,2)+1))*(VLOOKUP($A111,CURVES!$D$9:$T$261,8))*(INDEX(DailyScalarsTable,CI$5/100,MONTH($A111)))*$E111</f>
        <v>0</v>
      </c>
      <c r="CJ111" s="1021">
        <f>(VLOOKUP(YEAR($A111),'NY East Load Projections'!$A$4:$EO$14,((MONTH($A111)-1)*12)+VLOOKUP(CJ$4,$DE$6:$DF$17,2)+1))*(VLOOKUP($A111,CURVES!$D$9:$T$261,8))*(INDEX(DailyScalarsTable,CJ$5/100,MONTH($A111)))*$E111</f>
        <v>0</v>
      </c>
      <c r="CK111" s="1021">
        <f>(VLOOKUP(YEAR($A111),'NY East Load Projections'!$A$4:$EO$14,((MONTH($A111)-1)*12)+VLOOKUP(CK$4,$DE$6:$DF$17,2)+1))*(VLOOKUP($A111,CURVES!$D$9:$T$261,8))*(INDEX(DailyScalarsTable,CK$5/100,MONTH($A111)))*$E111</f>
        <v>0</v>
      </c>
      <c r="CL111" s="1021">
        <f>(VLOOKUP(YEAR($A111),'NY East Load Projections'!$A$4:$EO$14,((MONTH($A111)-1)*12)+VLOOKUP(CL$4,$DE$6:$DF$17,2)+1))*(VLOOKUP($A111,SatSunCurve,8))*(INDEX(DailyScalarsTable,CL$5/100,MONTH($A111)))*$E111</f>
        <v>0</v>
      </c>
      <c r="CM111" s="1021">
        <f>(VLOOKUP(YEAR($A111),'NY East Load Projections'!$A$4:$EO$14,((MONTH($A111)-1)*12)+VLOOKUP(CM$4,$DE$6:$DF$17,2)+1))*(VLOOKUP($A111,SatSunCurve,8))*(INDEX(DailyScalarsTable,CM$5/100,MONTH($A111)))*$E111</f>
        <v>0</v>
      </c>
      <c r="CN111" s="1021">
        <f>(VLOOKUP(YEAR($A111),'NY East Load Projections'!$A$4:$EO$14,((MONTH($A111)-1)*12)+VLOOKUP(CN$4,$DE$6:$DF$17,2)+1))*(VLOOKUP($A111,SatSunCurve,8))*(INDEX(DailyScalarsTable,CN$5/100,MONTH($A111)))*$E111</f>
        <v>0</v>
      </c>
      <c r="CO111" s="1021">
        <f>(VLOOKUP(YEAR($A111),'NY East Load Projections'!$A$4:$EO$14,((MONTH($A111)-1)*12)+VLOOKUP(CO$4,$DE$6:$DF$17,2)+1))*(VLOOKUP($A111,SatSunCurve,8))*(INDEX(DailyScalarsTable,CO$5/100,MONTH($A111)))*$E111</f>
        <v>0</v>
      </c>
      <c r="CP111" s="1021">
        <f>(VLOOKUP(YEAR($A111),'NY East Load Projections'!$A$4:$EO$14,((MONTH($A111)-1)*12)+VLOOKUP(CP$4,$DE$6:$DF$17,2)+1))*(VLOOKUP($A111,SatSunCurve,8))*(INDEX(DailyScalarsTable,CP$5/100,MONTH($A111)))*$E111</f>
        <v>0</v>
      </c>
      <c r="CQ111" s="1021">
        <f>(VLOOKUP(YEAR($A111),'NY East Load Projections'!$A$4:$EO$14,((MONTH($A111)-1)*12)+VLOOKUP(CQ$4,$DE$6:$DF$17,2)+1))*(VLOOKUP($A111,SatSunCurve,8))*(INDEX(DailyScalarsTable,CQ$5/100,MONTH($A111)))*$E111</f>
        <v>0</v>
      </c>
      <c r="CR111" s="1021">
        <f>(VLOOKUP(YEAR($A111),'NY East Load Projections'!$A$4:$EO$14,((MONTH($A111)-1)*12)+VLOOKUP(CR$4,$DE$6:$DF$17,2)+1))*(VLOOKUP($A111,SatSunCurve,8))*(INDEX(DailyScalarsTable,CR$5/100,MONTH($A111)))*$E111</f>
        <v>0</v>
      </c>
      <c r="CS111" s="1021">
        <f>(VLOOKUP(YEAR($A111),'NY East Load Projections'!$A$4:$EO$14,((MONTH($A111)-1)*12)+VLOOKUP(CS$4,$DE$6:$DF$17,2)+1))*(VLOOKUP($A111,SatSunCurve,8))*(INDEX(DailyScalarsTable,CS$5/100,MONTH($A111)))*$E111</f>
        <v>0</v>
      </c>
      <c r="CT111" s="1021">
        <f>(VLOOKUP(YEAR($A111),'NY East Load Projections'!$A$4:$EO$14,((MONTH($A111)-1)*12)+VLOOKUP(CT$4,$DE$6:$DF$17,2)+1))*(VLOOKUP($A111,SatSunCurve,8))*(INDEX(DailyScalarsTable,CT$5/100,MONTH($A111)))*$E111</f>
        <v>0</v>
      </c>
      <c r="CU111" s="1021">
        <f>(VLOOKUP(YEAR($A111),'NY East Load Projections'!$A$4:$EO$14,((MONTH($A111)-1)*12)+VLOOKUP(CU$4,$DE$6:$DF$17,2)+1))*(VLOOKUP($A111,SatSunCurve,8))*(INDEX(DailyScalarsTable,CU$5/100,MONTH($A111)))*$E111</f>
        <v>0</v>
      </c>
      <c r="CV111" s="1021">
        <f>(VLOOKUP(YEAR($A111),'NY East Load Projections'!$A$4:$EO$14,((MONTH($A111)-1)*12)+VLOOKUP(CV$4,$DE$6:$DF$17,2)+1))*(VLOOKUP($A111,SatSunCurve,8))*(INDEX(DailyScalarsTable,CV$5/100,MONTH($A111)))*$E111</f>
        <v>0</v>
      </c>
      <c r="CW111" s="1021">
        <f>(VLOOKUP(YEAR($A111),'NY East Load Projections'!$A$4:$EO$14,((MONTH($A111)-1)*12)+VLOOKUP(CW$4,$DE$6:$DF$17,2)+1))*(VLOOKUP($A111,SatSunCurve,8))*(INDEX(DailyScalarsTable,CW$5/100,MONTH($A111)))*$E111</f>
        <v>0</v>
      </c>
      <c r="CX111" s="1021">
        <f>(VLOOKUP(YEAR($A111),'NY East Load Projections'!$A$4:$EO$14,((MONTH($A111)-1)*12)+VLOOKUP(CX$4,$DE$6:$DF$17,2)+1))*(VLOOKUP($A111,SatSunCurve,8))*(INDEX(DailyScalarsTable,CX$5/100,MONTH($A111)))*$E111</f>
        <v>0</v>
      </c>
      <c r="CY111" s="1021">
        <f>(VLOOKUP(YEAR($A111),'NY East Load Projections'!$A$4:$EO$14,((MONTH($A111)-1)*12)+VLOOKUP(CY$4,$DE$6:$DF$17,2)+1))*(VLOOKUP($A111,SatSunCurve,8))*(INDEX(DailyScalarsTable,CY$5/100,MONTH($A111)))*$E111</f>
        <v>0</v>
      </c>
      <c r="CZ111" s="1021">
        <f>(VLOOKUP(YEAR($A111),'NY East Load Projections'!$A$4:$EO$14,((MONTH($A111)-1)*12)+VLOOKUP(CZ$4,$DE$6:$DF$17,2)+1))*(VLOOKUP($A111,SatSunCurve,8))*(INDEX(DailyScalarsTable,CZ$5/100,MONTH($A111)))*$E111</f>
        <v>0</v>
      </c>
      <c r="DA111" s="1021">
        <f>(VLOOKUP(YEAR($A111),'NY East Load Projections'!$A$4:$EO$14,((MONTH($A111)-1)*12)+VLOOKUP(DA$4,$DE$6:$DF$17,2)+1))*(VLOOKUP($A111,SatSunCurve,8))*(INDEX(DailyScalarsTable,DA$5/100,MONTH($A111)))*$E111</f>
        <v>0</v>
      </c>
      <c r="DB111" s="1021">
        <f>(VLOOKUP(YEAR($A111),'NY East Load Projections'!$A$4:$EO$14,((MONTH($A111)-1)*12)+VLOOKUP(DB$4,$DE$6:$DF$17,2)+1))*(VLOOKUP($A111,CURVES!$D$9:$T$261,8))*(INDEX(DailyScalarsTable,DB$5/100,MONTH($A111)))*$E111</f>
        <v>0</v>
      </c>
      <c r="DH111" s="1021">
        <f t="shared" si="2"/>
        <v>-2005834.8630899615</v>
      </c>
      <c r="DI111">
        <f ca="1">CALC!J131</f>
        <v>0.49289551418382949</v>
      </c>
      <c r="DJ111" s="1029">
        <f t="shared" ca="1" si="3"/>
        <v>-988667.00621057779</v>
      </c>
    </row>
    <row r="112" spans="1:114" x14ac:dyDescent="0.25">
      <c r="A112" s="244">
        <v>40118</v>
      </c>
      <c r="B112" s="13">
        <v>20</v>
      </c>
      <c r="C112" s="210">
        <v>4</v>
      </c>
      <c r="D112" s="210">
        <v>5</v>
      </c>
      <c r="E112" s="210">
        <v>1</v>
      </c>
      <c r="F112" s="13">
        <v>30</v>
      </c>
      <c r="H112" s="1021">
        <f>(VLOOKUP(YEAR($A112),'NY East Load Projections'!$A$4:$EO$14,((MONTH($A112)-1)*12)+VLOOKUP(H$4,$DE$6:$DF$17,2)+1))*(VLOOKUP($A112,CURVES!$D$9:$K$261,8))*(INDEX(DailyScalarsTable,H$5/100,MONTH($A112)))*$B112</f>
        <v>-32431.858640728682</v>
      </c>
      <c r="I112" s="1021">
        <f>(VLOOKUP(YEAR($A112),'NY East Load Projections'!$A$4:$EO$14,((MONTH($A112)-1)*12)+VLOOKUP(I$4,$DE$6:$DF$17,2)+1))*(VLOOKUP($A112,CURVES!$D$9:$K$261,8))*(INDEX(DailyScalarsTable,I$5/100,MONTH($A112)))*$B112</f>
        <v>-30746.588310070056</v>
      </c>
      <c r="J112" s="1021">
        <f>(VLOOKUP(YEAR($A112),'NY East Load Projections'!$A$4:$EO$14,((MONTH($A112)-1)*12)+VLOOKUP(J$4,$DE$6:$DF$17,2)+1))*(VLOOKUP($A112,CURVES!$D$9:$K$261,8))*(INDEX(DailyScalarsTable,J$5/100,MONTH($A112)))*$B112</f>
        <v>-29507.932062898599</v>
      </c>
      <c r="K112" s="1021">
        <f>(VLOOKUP(YEAR($A112),'NY East Load Projections'!$A$4:$EO$14,((MONTH($A112)-1)*12)+VLOOKUP(K$4,$DE$6:$DF$17,2)+1))*(VLOOKUP($A112,CURVES!$D$9:$K$261,8))*(INDEX(DailyScalarsTable,K$5/100,MONTH($A112)))*$B112</f>
        <v>-29525.377925534816</v>
      </c>
      <c r="L112" s="1021">
        <f>(VLOOKUP(YEAR($A112),'NY East Load Projections'!$A$4:$EO$14,((MONTH($A112)-1)*12)+VLOOKUP(L$4,$DE$6:$DF$17,2)+1))*(VLOOKUP($A112,CURVES!$D$9:$K$261,8))*(INDEX(DailyScalarsTable,L$5/100,MONTH($A112)))*$B112</f>
        <v>-33723.860811078943</v>
      </c>
      <c r="M112" s="1021">
        <f>(VLOOKUP(YEAR($A112),'NY East Load Projections'!$A$4:$EO$14,((MONTH($A112)-1)*12)+VLOOKUP(M$4,$DE$6:$DF$17,2)+1))*(VLOOKUP($A112,CURVES!$D$9:$K$261,8))*(INDEX(DailyScalarsTable,M$5/100,MONTH($A112)))*$B112</f>
        <v>-38854.054308980529</v>
      </c>
      <c r="N112" s="1021">
        <f>(VLOOKUP(YEAR($A112),'NY East Load Projections'!$A$4:$EO$14,((MONTH($A112)-1)*12)+VLOOKUP(N$4,$DE$6:$DF$17,2)+1))*(VLOOKUP($A112,CURVES!$D$9:$K$261,8))*(INDEX(DailyScalarsTable,N$5/100,MONTH($A112)))*$B112</f>
        <v>-55654.600963457371</v>
      </c>
      <c r="O112" s="1021">
        <f>(VLOOKUP(YEAR($A112),'NY East Load Projections'!$A$4:$EO$14,((MONTH($A112)-1)*12)+VLOOKUP(O$4,$DE$6:$DF$17,2)+1))*(VLOOKUP($A112,CURVES!$D$9:$K$261,4))*(INDEX(DailyScalarsTable,O$5/100,MONTH($A112)))*$B112</f>
        <v>-63594.404308068617</v>
      </c>
      <c r="P112" s="1021">
        <f>(VLOOKUP(YEAR($A112),'NY East Load Projections'!$A$4:$EO$14,((MONTH($A112)-1)*12)+VLOOKUP(P$4,$DE$6:$DF$17,2)+1))*(VLOOKUP($A112,CURVES!$D$9:$K$261,4))*(INDEX(DailyScalarsTable,P$5/100,MONTH($A112)))*$B112</f>
        <v>-72102.249984894908</v>
      </c>
      <c r="Q112" s="1021">
        <f>(VLOOKUP(YEAR($A112),'NY East Load Projections'!$A$4:$EO$14,((MONTH($A112)-1)*12)+VLOOKUP(Q$4,$DE$6:$DF$17,2)+1))*(VLOOKUP($A112,CURVES!$D$9:$K$261,4))*(INDEX(DailyScalarsTable,Q$5/100,MONTH($A112)))*$B112</f>
        <v>-71635.282848637056</v>
      </c>
      <c r="R112" s="1021">
        <f>(VLOOKUP(YEAR($A112),'NY East Load Projections'!$A$4:$EO$14,((MONTH($A112)-1)*12)+VLOOKUP(R$4,$DE$6:$DF$17,2)+1))*(VLOOKUP($A112,CURVES!$D$9:$K$261,4))*(INDEX(DailyScalarsTable,R$5/100,MONTH($A112)))*$B112</f>
        <v>-70253.312539982056</v>
      </c>
      <c r="S112" s="1021">
        <f>(VLOOKUP(YEAR($A112),'NY East Load Projections'!$A$4:$EO$14,((MONTH($A112)-1)*12)+VLOOKUP(S$4,$DE$6:$DF$17,2)+1))*(VLOOKUP($A112,CURVES!$D$9:$K$261,4))*(INDEX(DailyScalarsTable,S$5/100,MONTH($A112)))*$B112</f>
        <v>-59153.37750379878</v>
      </c>
      <c r="T112" s="1021">
        <f>(VLOOKUP(YEAR($A112),'NY East Load Projections'!$A$4:$EO$14,((MONTH($A112)-1)*12)+VLOOKUP(T$4,$DE$6:$DF$17,2)+1))*(VLOOKUP($A112,CURVES!$D$9:$K$261,4))*(INDEX(DailyScalarsTable,T$5/100,MONTH($A112)))*$B112</f>
        <v>-57080.88068127216</v>
      </c>
      <c r="U112" s="1021">
        <f>(VLOOKUP(YEAR($A112),'NY East Load Projections'!$A$4:$EO$14,((MONTH($A112)-1)*12)+VLOOKUP(U$4,$DE$6:$DF$17,2)+1))*(VLOOKUP($A112,CURVES!$D$9:$K$261,4))*(INDEX(DailyScalarsTable,U$5/100,MONTH($A112)))*$B112</f>
        <v>-55548.638216501342</v>
      </c>
      <c r="V112" s="1021">
        <f>(VLOOKUP(YEAR($A112),'NY East Load Projections'!$A$4:$EO$14,((MONTH($A112)-1)*12)+VLOOKUP(V$4,$DE$6:$DF$17,2)+1))*(VLOOKUP($A112,CURVES!$D$9:$K$261,4))*(INDEX(DailyScalarsTable,V$5/100,MONTH($A112)))*$B112</f>
        <v>-54249.141442581793</v>
      </c>
      <c r="W112" s="1021">
        <f>(VLOOKUP(YEAR($A112),'NY East Load Projections'!$A$4:$EO$14,((MONTH($A112)-1)*12)+VLOOKUP(W$4,$DE$6:$DF$17,2)+1))*(VLOOKUP($A112,CURVES!$D$9:$K$261,4))*(INDEX(DailyScalarsTable,W$5/100,MONTH($A112)))*$B112</f>
        <v>-53356.949627651957</v>
      </c>
      <c r="X112" s="1021">
        <f>(VLOOKUP(YEAR($A112),'NY East Load Projections'!$A$4:$EO$14,((MONTH($A112)-1)*12)+VLOOKUP(X$4,$DE$6:$DF$17,2)+1))*(VLOOKUP($A112,CURVES!$D$9:$K$261,4))*(INDEX(DailyScalarsTable,X$5/100,MONTH($A112)))*$B112</f>
        <v>-55173.627822430994</v>
      </c>
      <c r="Y112" s="1021">
        <f>(VLOOKUP(YEAR($A112),'NY East Load Projections'!$A$4:$EO$14,((MONTH($A112)-1)*12)+VLOOKUP(Y$4,$DE$6:$DF$17,2)+1))*(VLOOKUP($A112,CURVES!$D$9:$K$261,4))*(INDEX(DailyScalarsTable,Y$5/100,MONTH($A112)))*$B112</f>
        <v>-75740.832870156504</v>
      </c>
      <c r="Z112" s="1021">
        <f>(VLOOKUP(YEAR($A112),'NY East Load Projections'!$A$4:$EO$14,((MONTH($A112)-1)*12)+VLOOKUP(Z$4,$DE$6:$DF$17,2)+1))*(VLOOKUP($A112,CURVES!$D$9:$K$261,4))*(INDEX(DailyScalarsTable,Z$5/100,MONTH($A112)))*$B112</f>
        <v>-76350.692505459709</v>
      </c>
      <c r="AA112" s="1021">
        <f>(VLOOKUP(YEAR($A112),'NY East Load Projections'!$A$4:$EO$14,((MONTH($A112)-1)*12)+VLOOKUP(AA$4,$DE$6:$DF$17,2)+1))*(VLOOKUP($A112,CURVES!$D$9:$K$261,4))*(INDEX(DailyScalarsTable,AA$5/100,MONTH($A112)))*$B112</f>
        <v>-73226.717638906543</v>
      </c>
      <c r="AB112" s="1021">
        <f>(VLOOKUP(YEAR($A112),'NY East Load Projections'!$A$4:$EO$14,((MONTH($A112)-1)*12)+VLOOKUP(AB$4,$DE$6:$DF$17,2)+1))*(VLOOKUP($A112,CURVES!$D$9:$K$261,4))*(INDEX(DailyScalarsTable,AB$5/100,MONTH($A112)))*$B112</f>
        <v>-62236.403485014525</v>
      </c>
      <c r="AC112" s="1021">
        <f>(VLOOKUP(YEAR($A112),'NY East Load Projections'!$A$4:$EO$14,((MONTH($A112)-1)*12)+VLOOKUP(AC$4,$DE$6:$DF$17,2)+1))*(VLOOKUP($A112,CURVES!$D$9:$K$261,4))*(INDEX(DailyScalarsTable,AC$5/100,MONTH($A112)))*$B112</f>
        <v>-49507.918724143245</v>
      </c>
      <c r="AD112" s="1021">
        <f>(VLOOKUP(YEAR($A112),'NY East Load Projections'!$A$4:$EO$14,((MONTH($A112)-1)*12)+VLOOKUP(AD$4,$DE$6:$DF$17,2)+1))*(VLOOKUP($A112,CURVES!$D$9:$K$261,4))*(INDEX(DailyScalarsTable,AD$5/100,MONTH($A112)))*$B112</f>
        <v>-41751.944848749299</v>
      </c>
      <c r="AE112" s="1021">
        <f>(VLOOKUP(YEAR($A112),'NY East Load Projections'!$A$4:$EO$14,((MONTH($A112)-1)*12)+VLOOKUP(AE$4,$DE$6:$DF$17,2)+1))*(VLOOKUP($A112,CURVES!$D$9:$K$261,8))*(INDEX(DailyScalarsTable,AE$5/100,MONTH($A112)))*$B112</f>
        <v>-37635.292711127448</v>
      </c>
      <c r="AF112" s="1021"/>
      <c r="AG112" s="1021">
        <f>(VLOOKUP(YEAR($A112),'NY East Load Projections'!$A$4:$EO$14,((MONTH($A112)-1)*12)+VLOOKUP(AG$4,$DE$6:$DF$17,2)+1))*(VLOOKUP($A112,CURVES!$D$9:$T$261,8))*(INDEX(DailyScalarsTable,AG$5/100,MONTH($A112)))*$C112</f>
        <v>-6728.2863895852151</v>
      </c>
      <c r="AH112" s="1021">
        <f>(VLOOKUP(YEAR($A112),'NY East Load Projections'!$A$4:$EO$14,((MONTH($A112)-1)*12)+VLOOKUP(AH$4,$DE$6:$DF$17,2)+1))*(VLOOKUP($A112,CURVES!$D$9:$T$261,8))*(INDEX(DailyScalarsTable,AH$5/100,MONTH($A112)))*$C112</f>
        <v>-6378.6616100080601</v>
      </c>
      <c r="AI112" s="1021">
        <f>(VLOOKUP(YEAR($A112),'NY East Load Projections'!$A$4:$EO$14,((MONTH($A112)-1)*12)+VLOOKUP(AI$4,$DE$6:$DF$17,2)+1))*(VLOOKUP($A112,CURVES!$D$9:$T$261,8))*(INDEX(DailyScalarsTable,AI$5/100,MONTH($A112)))*$C112</f>
        <v>-6121.6910163229868</v>
      </c>
      <c r="AJ112" s="1021">
        <f>(VLOOKUP(YEAR($A112),'NY East Load Projections'!$A$4:$EO$14,((MONTH($A112)-1)*12)+VLOOKUP(AJ$4,$DE$6:$DF$17,2)+1))*(VLOOKUP($A112,CURVES!$D$9:$T$261,8))*(INDEX(DailyScalarsTable,AJ$5/100,MONTH($A112)))*$C112</f>
        <v>-6125.3103204593963</v>
      </c>
      <c r="AK112" s="1021">
        <f>(VLOOKUP(YEAR($A112),'NY East Load Projections'!$A$4:$EO$14,((MONTH($A112)-1)*12)+VLOOKUP(AK$4,$DE$6:$DF$17,2)+1))*(VLOOKUP($A112,CURVES!$D$9:$T$261,8))*(INDEX(DailyScalarsTable,AK$5/100,MONTH($A112)))*$C112</f>
        <v>-6643.8082688402601</v>
      </c>
      <c r="AL112" s="1021">
        <f>(VLOOKUP(YEAR($A112),'NY East Load Projections'!$A$4:$EO$14,((MONTH($A112)-1)*12)+VLOOKUP(AL$4,$DE$6:$DF$17,2)+1))*(VLOOKUP($A112,CURVES!$D$9:$T$261,8))*(INDEX(DailyScalarsTable,AL$5/100,MONTH($A112)))*$C112</f>
        <v>-7654.487982324069</v>
      </c>
      <c r="AM112" s="1021">
        <f>(VLOOKUP(YEAR($A112),'NY East Load Projections'!$A$4:$EO$14,((MONTH($A112)-1)*12)+VLOOKUP(AM$4,$DE$6:$DF$17,2)+1))*(VLOOKUP($A112,CURVES!$D$9:$T$261,8))*(INDEX(DailyScalarsTable,AM$5/100,MONTH($A112)))*$C112</f>
        <v>-10964.299139751825</v>
      </c>
      <c r="AN112" s="1021">
        <f>(VLOOKUP(YEAR($A112),'NY East Load Projections'!$A$4:$EO$14,((MONTH($A112)-1)*12)+VLOOKUP(AN$4,$DE$6:$DF$17,2)+1))*(VLOOKUP($A112,SatSunCurve,4))*(INDEX(DailyScalarsTable,AN$5/100,MONTH($A112)))*$C112</f>
        <v>-10067.817804724942</v>
      </c>
      <c r="AO112" s="1021">
        <f>(VLOOKUP(YEAR($A112),'NY East Load Projections'!$A$4:$EO$14,((MONTH($A112)-1)*12)+VLOOKUP(AO$4,$DE$6:$DF$17,2)+1))*(VLOOKUP($A112,SatSunCurve,4))*(INDEX(DailyScalarsTable,AO$5/100,MONTH($A112)))*$C112</f>
        <v>-11465.265319201726</v>
      </c>
      <c r="AP112" s="1021">
        <f>(VLOOKUP(YEAR($A112),'NY East Load Projections'!$A$4:$EO$14,((MONTH($A112)-1)*12)+VLOOKUP(AP$4,$DE$6:$DF$17,2)+1))*(VLOOKUP($A112,SatSunCurve,4))*(INDEX(DailyScalarsTable,AP$5/100,MONTH($A112)))*$C112</f>
        <v>-11391.011019042358</v>
      </c>
      <c r="AQ112" s="1021">
        <f>(VLOOKUP(YEAR($A112),'NY East Load Projections'!$A$4:$EO$14,((MONTH($A112)-1)*12)+VLOOKUP(AQ$4,$DE$6:$DF$17,2)+1))*(VLOOKUP($A112,SatSunCurve,4))*(INDEX(DailyScalarsTable,AQ$5/100,MONTH($A112)))*$C112</f>
        <v>-11171.258428030178</v>
      </c>
      <c r="AR112" s="1021">
        <f>(VLOOKUP(YEAR($A112),'NY East Load Projections'!$A$4:$EO$14,((MONTH($A112)-1)*12)+VLOOKUP(AR$4,$DE$6:$DF$17,2)+1))*(VLOOKUP($A112,SatSunCurve,4))*(INDEX(DailyScalarsTable,AR$5/100,MONTH($A112)))*$C112</f>
        <v>-9406.2136445122505</v>
      </c>
      <c r="AS112" s="1021">
        <f>(VLOOKUP(YEAR($A112),'NY East Load Projections'!$A$4:$EO$14,((MONTH($A112)-1)*12)+VLOOKUP(AS$4,$DE$6:$DF$17,2)+1))*(VLOOKUP($A112,SatSunCurve,4))*(INDEX(DailyScalarsTable,AS$5/100,MONTH($A112)))*$C112</f>
        <v>-9125.2973999805981</v>
      </c>
      <c r="AT112" s="1021">
        <f>(VLOOKUP(YEAR($A112),'NY East Load Projections'!$A$4:$EO$14,((MONTH($A112)-1)*12)+VLOOKUP(AT$4,$DE$6:$DF$17,2)+1))*(VLOOKUP($A112,SatSunCurve,4))*(INDEX(DailyScalarsTable,AT$5/100,MONTH($A112)))*$C112</f>
        <v>-8880.3437830596104</v>
      </c>
      <c r="AU112" s="1021">
        <f>(VLOOKUP(YEAR($A112),'NY East Load Projections'!$A$4:$EO$14,((MONTH($A112)-1)*12)+VLOOKUP(AU$4,$DE$6:$DF$17,2)+1))*(VLOOKUP($A112,SatSunCurve,4))*(INDEX(DailyScalarsTable,AU$5/100,MONTH($A112)))*$C112</f>
        <v>-8672.5983104810512</v>
      </c>
      <c r="AV112" s="1021">
        <f>(VLOOKUP(YEAR($A112),'NY East Load Projections'!$A$4:$EO$14,((MONTH($A112)-1)*12)+VLOOKUP(AV$4,$DE$6:$DF$17,2)+1))*(VLOOKUP($A112,SatSunCurve,4))*(INDEX(DailyScalarsTable,AV$5/100,MONTH($A112)))*$C112</f>
        <v>-8529.9670905017429</v>
      </c>
      <c r="AW112" s="1021">
        <f>(VLOOKUP(YEAR($A112),'NY East Load Projections'!$A$4:$EO$14,((MONTH($A112)-1)*12)+VLOOKUP(AW$4,$DE$6:$DF$17,2)+1))*(VLOOKUP($A112,SatSunCurve,4))*(INDEX(DailyScalarsTable,AW$5/100,MONTH($A112)))*$C112</f>
        <v>-8714.4711057662898</v>
      </c>
      <c r="AX112" s="1021">
        <f>(VLOOKUP(YEAR($A112),'NY East Load Projections'!$A$4:$EO$14,((MONTH($A112)-1)*12)+VLOOKUP(AX$4,$DE$6:$DF$17,2)+1))*(VLOOKUP($A112,SatSunCurve,4))*(INDEX(DailyScalarsTable,AX$5/100,MONTH($A112)))*$C112</f>
        <v>-11962.9853178752</v>
      </c>
      <c r="AY112" s="1021">
        <f>(VLOOKUP(YEAR($A112),'NY East Load Projections'!$A$4:$EO$14,((MONTH($A112)-1)*12)+VLOOKUP(AY$4,$DE$6:$DF$17,2)+1))*(VLOOKUP($A112,SatSunCurve,4))*(INDEX(DailyScalarsTable,AY$5/100,MONTH($A112)))*$C112</f>
        <v>-12059.310398899912</v>
      </c>
      <c r="AZ112" s="1021">
        <f>(VLOOKUP(YEAR($A112),'NY East Load Projections'!$A$4:$EO$14,((MONTH($A112)-1)*12)+VLOOKUP(AZ$4,$DE$6:$DF$17,2)+1))*(VLOOKUP($A112,SatSunCurve,4))*(INDEX(DailyScalarsTable,AZ$5/100,MONTH($A112)))*$C112</f>
        <v>-11565.890085895775</v>
      </c>
      <c r="BA112" s="1021">
        <f>(VLOOKUP(YEAR($A112),'NY East Load Projections'!$A$4:$EO$14,((MONTH($A112)-1)*12)+VLOOKUP(BA$4,$DE$6:$DF$17,2)+1))*(VLOOKUP($A112,SatSunCurve,4))*(INDEX(DailyScalarsTable,BA$5/100,MONTH($A112)))*$C112</f>
        <v>-10225.391782458924</v>
      </c>
      <c r="BB112" s="1021">
        <f>(VLOOKUP(YEAR($A112),'NY East Load Projections'!$A$4:$EO$14,((MONTH($A112)-1)*12)+VLOOKUP(BB$4,$DE$6:$DF$17,2)+1))*(VLOOKUP($A112,SatSunCurve,4))*(INDEX(DailyScalarsTable,BB$5/100,MONTH($A112)))*$C112</f>
        <v>-8134.111821072569</v>
      </c>
      <c r="BC112" s="1021">
        <f>(VLOOKUP(YEAR($A112),'NY East Load Projections'!$A$4:$EO$14,((MONTH($A112)-1)*12)+VLOOKUP(BC$4,$DE$6:$DF$17,2)+1))*(VLOOKUP($A112,SatSunCurve,4))*(INDEX(DailyScalarsTable,BC$5/100,MONTH($A112)))*$C112</f>
        <v>-6859.8114584316691</v>
      </c>
      <c r="BD112" s="1021">
        <f>(VLOOKUP(YEAR($A112),'NY East Load Projections'!$A$4:$EO$14,((MONTH($A112)-1)*12)+VLOOKUP(BD$4,$DE$6:$DF$17,2)+1))*(VLOOKUP($A112,CURVES!$D$9:$T$261,8))*(INDEX(DailyScalarsTable,BD$5/100,MONTH($A112)))*$C112</f>
        <v>-7694.7431189865283</v>
      </c>
      <c r="BE112" s="1021"/>
      <c r="BF112" s="1021">
        <f>(VLOOKUP(YEAR($A112),'NY East Load Projections'!$A$4:$EO$14,((MONTH($A112)-1)*12)+VLOOKUP(BF$4,$DE$6:$DF$17,2)+1))*(VLOOKUP($A112,CURVES!$D$9:$T$261,8))*(INDEX(DailyScalarsTable,BF$5/100,MONTH($A112)))*$D112</f>
        <v>-8410.3579869815185</v>
      </c>
      <c r="BG112" s="1021">
        <f>(VLOOKUP(YEAR($A112),'NY East Load Projections'!$A$4:$EO$14,((MONTH($A112)-1)*12)+VLOOKUP(BG$4,$DE$6:$DF$17,2)+1))*(VLOOKUP($A112,CURVES!$D$9:$T$261,8))*(INDEX(DailyScalarsTable,BG$5/100,MONTH($A112)))*$D112</f>
        <v>-7973.3270125100753</v>
      </c>
      <c r="BH112" s="1021">
        <f>(VLOOKUP(YEAR($A112),'NY East Load Projections'!$A$4:$EO$14,((MONTH($A112)-1)*12)+VLOOKUP(BH$4,$DE$6:$DF$17,2)+1))*(VLOOKUP($A112,CURVES!$D$9:$T$261,8))*(INDEX(DailyScalarsTable,BH$5/100,MONTH($A112)))*$D112</f>
        <v>-7652.1137704037337</v>
      </c>
      <c r="BI112" s="1021">
        <f>(VLOOKUP(YEAR($A112),'NY East Load Projections'!$A$4:$EO$14,((MONTH($A112)-1)*12)+VLOOKUP(BI$4,$DE$6:$DF$17,2)+1))*(VLOOKUP($A112,CURVES!$D$9:$T$261,8))*(INDEX(DailyScalarsTable,BI$5/100,MONTH($A112)))*$D112</f>
        <v>-7656.6379005742456</v>
      </c>
      <c r="BJ112" s="1021">
        <f>(VLOOKUP(YEAR($A112),'NY East Load Projections'!$A$4:$EO$14,((MONTH($A112)-1)*12)+VLOOKUP(BJ$4,$DE$6:$DF$17,2)+1))*(VLOOKUP($A112,CURVES!$D$9:$T$261,8))*(INDEX(DailyScalarsTable,BJ$5/100,MONTH($A112)))*$D112</f>
        <v>-8304.7603360503253</v>
      </c>
      <c r="BK112" s="1021">
        <f>(VLOOKUP(YEAR($A112),'NY East Load Projections'!$A$4:$EO$14,((MONTH($A112)-1)*12)+VLOOKUP(BK$4,$DE$6:$DF$17,2)+1))*(VLOOKUP($A112,CURVES!$D$9:$T$261,8))*(INDEX(DailyScalarsTable,BK$5/100,MONTH($A112)))*$D112</f>
        <v>-9568.1099779050855</v>
      </c>
      <c r="BL112" s="1021">
        <f>(VLOOKUP(YEAR($A112),'NY East Load Projections'!$A$4:$EO$14,((MONTH($A112)-1)*12)+VLOOKUP(BL$4,$DE$6:$DF$17,2)+1))*(VLOOKUP($A112,CURVES!$D$9:$T$261,8))*(INDEX(DailyScalarsTable,BL$5/100,MONTH($A112)))*$D112</f>
        <v>-13705.373924689782</v>
      </c>
      <c r="BM112" s="1021">
        <f>(VLOOKUP(YEAR($A112),'NY East Load Projections'!$A$4:$EO$14,((MONTH($A112)-1)*12)+VLOOKUP(BM$4,$DE$6:$DF$17,2)+1))*(VLOOKUP($A112,SatSunCurve,8))*(INDEX(DailyScalarsTable,BM$5/100,MONTH($A112)))*$D112</f>
        <v>-12722.656791332491</v>
      </c>
      <c r="BN112" s="1021">
        <f>(VLOOKUP(YEAR($A112),'NY East Load Projections'!$A$4:$EO$14,((MONTH($A112)-1)*12)+VLOOKUP(BN$4,$DE$6:$DF$17,2)+1))*(VLOOKUP($A112,SatSunCurve,8))*(INDEX(DailyScalarsTable,BN$5/100,MONTH($A112)))*$D112</f>
        <v>-14488.605029116925</v>
      </c>
      <c r="BO112" s="1021">
        <f>(VLOOKUP(YEAR($A112),'NY East Load Projections'!$A$4:$EO$14,((MONTH($A112)-1)*12)+VLOOKUP(BO$4,$DE$6:$DF$17,2)+1))*(VLOOKUP($A112,SatSunCurve,8))*(INDEX(DailyScalarsTable,BO$5/100,MONTH($A112)))*$D112</f>
        <v>-14394.770198716553</v>
      </c>
      <c r="BP112" s="1021">
        <f>(VLOOKUP(YEAR($A112),'NY East Load Projections'!$A$4:$EO$14,((MONTH($A112)-1)*12)+VLOOKUP(BP$4,$DE$6:$DF$17,2)+1))*(VLOOKUP($A112,SatSunCurve,8))*(INDEX(DailyScalarsTable,BP$5/100,MONTH($A112)))*$D112</f>
        <v>-14117.069822261397</v>
      </c>
      <c r="BQ112" s="1021">
        <f>(VLOOKUP(YEAR($A112),'NY East Load Projections'!$A$4:$EO$14,((MONTH($A112)-1)*12)+VLOOKUP(BQ$4,$DE$6:$DF$17,2)+1))*(VLOOKUP($A112,SatSunCurve,8))*(INDEX(DailyScalarsTable,BQ$5/100,MONTH($A112)))*$D112</f>
        <v>-11886.590542879578</v>
      </c>
      <c r="BR112" s="1021">
        <f>(VLOOKUP(YEAR($A112),'NY East Load Projections'!$A$4:$EO$14,((MONTH($A112)-1)*12)+VLOOKUP(BR$4,$DE$6:$DF$17,2)+1))*(VLOOKUP($A112,SatSunCurve,8))*(INDEX(DailyScalarsTable,BR$5/100,MONTH($A112)))*$D112</f>
        <v>-11531.597928232843</v>
      </c>
      <c r="BS112" s="1021">
        <f>(VLOOKUP(YEAR($A112),'NY East Load Projections'!$A$4:$EO$14,((MONTH($A112)-1)*12)+VLOOKUP(BS$4,$DE$6:$DF$17,2)+1))*(VLOOKUP($A112,SatSunCurve,8))*(INDEX(DailyScalarsTable,BS$5/100,MONTH($A112)))*$D112</f>
        <v>-11222.051126897335</v>
      </c>
      <c r="BT112" s="1021">
        <f>(VLOOKUP(YEAR($A112),'NY East Load Projections'!$A$4:$EO$14,((MONTH($A112)-1)*12)+VLOOKUP(BT$4,$DE$6:$DF$17,2)+1))*(VLOOKUP($A112,SatSunCurve,8))*(INDEX(DailyScalarsTable,BT$5/100,MONTH($A112)))*$D112</f>
        <v>-10959.524092853298</v>
      </c>
      <c r="BU112" s="1021">
        <f>(VLOOKUP(YEAR($A112),'NY East Load Projections'!$A$4:$EO$14,((MONTH($A112)-1)*12)+VLOOKUP(BU$4,$DE$6:$DF$17,2)+1))*(VLOOKUP($A112,SatSunCurve,8))*(INDEX(DailyScalarsTable,BU$5/100,MONTH($A112)))*$D112</f>
        <v>-10779.281651569334</v>
      </c>
      <c r="BV112" s="1021">
        <f>(VLOOKUP(YEAR($A112),'NY East Load Projections'!$A$4:$EO$14,((MONTH($A112)-1)*12)+VLOOKUP(BV$4,$DE$6:$DF$17,2)+1))*(VLOOKUP($A112,SatSunCurve,8))*(INDEX(DailyScalarsTable,BV$5/100,MONTH($A112)))*$D112</f>
        <v>-11012.438558891592</v>
      </c>
      <c r="BW112" s="1021">
        <f>(VLOOKUP(YEAR($A112),'NY East Load Projections'!$A$4:$EO$14,((MONTH($A112)-1)*12)+VLOOKUP(BW$4,$DE$6:$DF$17,2)+1))*(VLOOKUP($A112,SatSunCurve,8))*(INDEX(DailyScalarsTable,BW$5/100,MONTH($A112)))*$D112</f>
        <v>-15117.571588119734</v>
      </c>
      <c r="BX112" s="1021">
        <f>(VLOOKUP(YEAR($A112),'NY East Load Projections'!$A$4:$EO$14,((MONTH($A112)-1)*12)+VLOOKUP(BX$4,$DE$6:$DF$17,2)+1))*(VLOOKUP($A112,SatSunCurve,8))*(INDEX(DailyScalarsTable,BX$5/100,MONTH($A112)))*$D112</f>
        <v>-15239.29716659609</v>
      </c>
      <c r="BY112" s="1021">
        <f>(VLOOKUP(YEAR($A112),'NY East Load Projections'!$A$4:$EO$14,((MONTH($A112)-1)*12)+VLOOKUP(BY$4,$DE$6:$DF$17,2)+1))*(VLOOKUP($A112,SatSunCurve,8))*(INDEX(DailyScalarsTable,BY$5/100,MONTH($A112)))*$D112</f>
        <v>-14615.764101339653</v>
      </c>
      <c r="BZ112" s="1021">
        <f>(VLOOKUP(YEAR($A112),'NY East Load Projections'!$A$4:$EO$14,((MONTH($A112)-1)*12)+VLOOKUP(BZ$4,$DE$6:$DF$17,2)+1))*(VLOOKUP($A112,SatSunCurve,8))*(INDEX(DailyScalarsTable,BZ$5/100,MONTH($A112)))*$D112</f>
        <v>-12921.782329442014</v>
      </c>
      <c r="CA112" s="1021">
        <f>(VLOOKUP(YEAR($A112),'NY East Load Projections'!$A$4:$EO$14,((MONTH($A112)-1)*12)+VLOOKUP(CA$4,$DE$6:$DF$17,2)+1))*(VLOOKUP($A112,SatSunCurve,8))*(INDEX(DailyScalarsTable,CA$5/100,MONTH($A112)))*$D112</f>
        <v>-10279.041099974904</v>
      </c>
      <c r="CB112" s="1021">
        <f>(VLOOKUP(YEAR($A112),'NY East Load Projections'!$A$4:$EO$14,((MONTH($A112)-1)*12)+VLOOKUP(CB$4,$DE$6:$DF$17,2)+1))*(VLOOKUP($A112,SatSunCurve,8))*(INDEX(DailyScalarsTable,CB$5/100,MONTH($A112)))*$D112</f>
        <v>-8668.7133728142107</v>
      </c>
      <c r="CC112" s="1021">
        <f>(VLOOKUP(YEAR($A112),'NY East Load Projections'!$A$4:$EO$14,((MONTH($A112)-1)*12)+VLOOKUP(CC$4,$DE$6:$DF$17,2)+1))*(VLOOKUP($A112,CURVES!$D$9:$T$261,8))*(INDEX(DailyScalarsTable,CC$5/100,MONTH($A112)))*$D112</f>
        <v>-9618.4288987331602</v>
      </c>
      <c r="CE112" s="1021">
        <f>(VLOOKUP(YEAR($A112),'NY East Load Projections'!$A$4:$EO$14,((MONTH($A112)-1)*12)+VLOOKUP(CE$4,$DE$6:$DF$17,2)+1))*(VLOOKUP($A112,CURVES!$D$9:$T$261,8))*(INDEX(DailyScalarsTable,CE$5/100,MONTH($A112)))*$E112</f>
        <v>-1682.0715973963038</v>
      </c>
      <c r="CF112" s="1021">
        <f>(VLOOKUP(YEAR($A112),'NY East Load Projections'!$A$4:$EO$14,((MONTH($A112)-1)*12)+VLOOKUP(CF$4,$DE$6:$DF$17,2)+1))*(VLOOKUP($A112,CURVES!$D$9:$T$261,8))*(INDEX(DailyScalarsTable,CF$5/100,MONTH($A112)))*$E112</f>
        <v>-1594.665402502015</v>
      </c>
      <c r="CG112" s="1021">
        <f>(VLOOKUP(YEAR($A112),'NY East Load Projections'!$A$4:$EO$14,((MONTH($A112)-1)*12)+VLOOKUP(CG$4,$DE$6:$DF$17,2)+1))*(VLOOKUP($A112,CURVES!$D$9:$T$261,8))*(INDEX(DailyScalarsTable,CG$5/100,MONTH($A112)))*$E112</f>
        <v>-1530.4227540807467</v>
      </c>
      <c r="CH112" s="1021">
        <f>(VLOOKUP(YEAR($A112),'NY East Load Projections'!$A$4:$EO$14,((MONTH($A112)-1)*12)+VLOOKUP(CH$4,$DE$6:$DF$17,2)+1))*(VLOOKUP($A112,CURVES!$D$9:$T$261,8))*(INDEX(DailyScalarsTable,CH$5/100,MONTH($A112)))*$E112</f>
        <v>-1531.3275801148491</v>
      </c>
      <c r="CI112" s="1021">
        <f>(VLOOKUP(YEAR($A112),'NY East Load Projections'!$A$4:$EO$14,((MONTH($A112)-1)*12)+VLOOKUP(CI$4,$DE$6:$DF$17,2)+1))*(VLOOKUP($A112,CURVES!$D$9:$T$261,8))*(INDEX(DailyScalarsTable,CI$5/100,MONTH($A112)))*$E112</f>
        <v>-1660.952067210065</v>
      </c>
      <c r="CJ112" s="1021">
        <f>(VLOOKUP(YEAR($A112),'NY East Load Projections'!$A$4:$EO$14,((MONTH($A112)-1)*12)+VLOOKUP(CJ$4,$DE$6:$DF$17,2)+1))*(VLOOKUP($A112,CURVES!$D$9:$T$261,8))*(INDEX(DailyScalarsTable,CJ$5/100,MONTH($A112)))*$E112</f>
        <v>-1913.6219955810172</v>
      </c>
      <c r="CK112" s="1021">
        <f>(VLOOKUP(YEAR($A112),'NY East Load Projections'!$A$4:$EO$14,((MONTH($A112)-1)*12)+VLOOKUP(CK$4,$DE$6:$DF$17,2)+1))*(VLOOKUP($A112,CURVES!$D$9:$T$261,8))*(INDEX(DailyScalarsTable,CK$5/100,MONTH($A112)))*$E112</f>
        <v>-2741.0747849379563</v>
      </c>
      <c r="CL112" s="1021">
        <f>(VLOOKUP(YEAR($A112),'NY East Load Projections'!$A$4:$EO$14,((MONTH($A112)-1)*12)+VLOOKUP(CL$4,$DE$6:$DF$17,2)+1))*(VLOOKUP($A112,SatSunCurve,8))*(INDEX(DailyScalarsTable,CL$5/100,MONTH($A112)))*$E112</f>
        <v>-2544.531358266498</v>
      </c>
      <c r="CM112" s="1021">
        <f>(VLOOKUP(YEAR($A112),'NY East Load Projections'!$A$4:$EO$14,((MONTH($A112)-1)*12)+VLOOKUP(CM$4,$DE$6:$DF$17,2)+1))*(VLOOKUP($A112,SatSunCurve,8))*(INDEX(DailyScalarsTable,CM$5/100,MONTH($A112)))*$E112</f>
        <v>-2897.721005823385</v>
      </c>
      <c r="CN112" s="1021">
        <f>(VLOOKUP(YEAR($A112),'NY East Load Projections'!$A$4:$EO$14,((MONTH($A112)-1)*12)+VLOOKUP(CN$4,$DE$6:$DF$17,2)+1))*(VLOOKUP($A112,SatSunCurve,8))*(INDEX(DailyScalarsTable,CN$5/100,MONTH($A112)))*$E112</f>
        <v>-2878.9540397433107</v>
      </c>
      <c r="CO112" s="1021">
        <f>(VLOOKUP(YEAR($A112),'NY East Load Projections'!$A$4:$EO$14,((MONTH($A112)-1)*12)+VLOOKUP(CO$4,$DE$6:$DF$17,2)+1))*(VLOOKUP($A112,SatSunCurve,8))*(INDEX(DailyScalarsTable,CO$5/100,MONTH($A112)))*$E112</f>
        <v>-2823.4139644522793</v>
      </c>
      <c r="CP112" s="1021">
        <f>(VLOOKUP(YEAR($A112),'NY East Load Projections'!$A$4:$EO$14,((MONTH($A112)-1)*12)+VLOOKUP(CP$4,$DE$6:$DF$17,2)+1))*(VLOOKUP($A112,SatSunCurve,8))*(INDEX(DailyScalarsTable,CP$5/100,MONTH($A112)))*$E112</f>
        <v>-2377.3181085759156</v>
      </c>
      <c r="CQ112" s="1021">
        <f>(VLOOKUP(YEAR($A112),'NY East Load Projections'!$A$4:$EO$14,((MONTH($A112)-1)*12)+VLOOKUP(CQ$4,$DE$6:$DF$17,2)+1))*(VLOOKUP($A112,SatSunCurve,8))*(INDEX(DailyScalarsTable,CQ$5/100,MONTH($A112)))*$E112</f>
        <v>-2306.3195856465686</v>
      </c>
      <c r="CR112" s="1021">
        <f>(VLOOKUP(YEAR($A112),'NY East Load Projections'!$A$4:$EO$14,((MONTH($A112)-1)*12)+VLOOKUP(CR$4,$DE$6:$DF$17,2)+1))*(VLOOKUP($A112,SatSunCurve,8))*(INDEX(DailyScalarsTable,CR$5/100,MONTH($A112)))*$E112</f>
        <v>-2244.4102253794672</v>
      </c>
      <c r="CS112" s="1021">
        <f>(VLOOKUP(YEAR($A112),'NY East Load Projections'!$A$4:$EO$14,((MONTH($A112)-1)*12)+VLOOKUP(CS$4,$DE$6:$DF$17,2)+1))*(VLOOKUP($A112,SatSunCurve,8))*(INDEX(DailyScalarsTable,CS$5/100,MONTH($A112)))*$E112</f>
        <v>-2191.9048185706597</v>
      </c>
      <c r="CT112" s="1021">
        <f>(VLOOKUP(YEAR($A112),'NY East Load Projections'!$A$4:$EO$14,((MONTH($A112)-1)*12)+VLOOKUP(CT$4,$DE$6:$DF$17,2)+1))*(VLOOKUP($A112,SatSunCurve,8))*(INDEX(DailyScalarsTable,CT$5/100,MONTH($A112)))*$E112</f>
        <v>-2155.8563303138667</v>
      </c>
      <c r="CU112" s="1021">
        <f>(VLOOKUP(YEAR($A112),'NY East Load Projections'!$A$4:$EO$14,((MONTH($A112)-1)*12)+VLOOKUP(CU$4,$DE$6:$DF$17,2)+1))*(VLOOKUP($A112,SatSunCurve,8))*(INDEX(DailyScalarsTable,CU$5/100,MONTH($A112)))*$E112</f>
        <v>-2202.4877117783185</v>
      </c>
      <c r="CV112" s="1021">
        <f>(VLOOKUP(YEAR($A112),'NY East Load Projections'!$A$4:$EO$14,((MONTH($A112)-1)*12)+VLOOKUP(CV$4,$DE$6:$DF$17,2)+1))*(VLOOKUP($A112,SatSunCurve,8))*(INDEX(DailyScalarsTable,CV$5/100,MONTH($A112)))*$E112</f>
        <v>-3023.5143176239467</v>
      </c>
      <c r="CW112" s="1021">
        <f>(VLOOKUP(YEAR($A112),'NY East Load Projections'!$A$4:$EO$14,((MONTH($A112)-1)*12)+VLOOKUP(CW$4,$DE$6:$DF$17,2)+1))*(VLOOKUP($A112,SatSunCurve,8))*(INDEX(DailyScalarsTable,CW$5/100,MONTH($A112)))*$E112</f>
        <v>-3047.8594333192182</v>
      </c>
      <c r="CX112" s="1021">
        <f>(VLOOKUP(YEAR($A112),'NY East Load Projections'!$A$4:$EO$14,((MONTH($A112)-1)*12)+VLOOKUP(CX$4,$DE$6:$DF$17,2)+1))*(VLOOKUP($A112,SatSunCurve,8))*(INDEX(DailyScalarsTable,CX$5/100,MONTH($A112)))*$E112</f>
        <v>-2923.1528202679306</v>
      </c>
      <c r="CY112" s="1021">
        <f>(VLOOKUP(YEAR($A112),'NY East Load Projections'!$A$4:$EO$14,((MONTH($A112)-1)*12)+VLOOKUP(CY$4,$DE$6:$DF$17,2)+1))*(VLOOKUP($A112,SatSunCurve,8))*(INDEX(DailyScalarsTable,CY$5/100,MONTH($A112)))*$E112</f>
        <v>-2584.3564658884029</v>
      </c>
      <c r="CZ112" s="1021">
        <f>(VLOOKUP(YEAR($A112),'NY East Load Projections'!$A$4:$EO$14,((MONTH($A112)-1)*12)+VLOOKUP(CZ$4,$DE$6:$DF$17,2)+1))*(VLOOKUP($A112,SatSunCurve,8))*(INDEX(DailyScalarsTable,CZ$5/100,MONTH($A112)))*$E112</f>
        <v>-2055.8082199949808</v>
      </c>
      <c r="DA112" s="1021">
        <f>(VLOOKUP(YEAR($A112),'NY East Load Projections'!$A$4:$EO$14,((MONTH($A112)-1)*12)+VLOOKUP(DA$4,$DE$6:$DF$17,2)+1))*(VLOOKUP($A112,SatSunCurve,8))*(INDEX(DailyScalarsTable,DA$5/100,MONTH($A112)))*$E112</f>
        <v>-1733.742674562842</v>
      </c>
      <c r="DB112" s="1021">
        <f>(VLOOKUP(YEAR($A112),'NY East Load Projections'!$A$4:$EO$14,((MONTH($A112)-1)*12)+VLOOKUP(DB$4,$DE$6:$DF$17,2)+1))*(VLOOKUP($A112,CURVES!$D$9:$T$261,8))*(INDEX(DailyScalarsTable,DB$5/100,MONTH($A112)))*$E112</f>
        <v>-1923.6857797466321</v>
      </c>
      <c r="DH112" s="1021">
        <f t="shared" si="2"/>
        <v>-1823000.0116490019</v>
      </c>
      <c r="DI112">
        <f ca="1">CALC!J132</f>
        <v>0.48988674343446137</v>
      </c>
      <c r="DJ112" s="1029">
        <f t="shared" ca="1" si="3"/>
        <v>-893063.53898771468</v>
      </c>
    </row>
    <row r="113" spans="1:114" x14ac:dyDescent="0.25">
      <c r="A113" s="244">
        <v>40148</v>
      </c>
      <c r="B113" s="13">
        <v>22</v>
      </c>
      <c r="C113" s="210">
        <v>4</v>
      </c>
      <c r="D113" s="210">
        <v>4</v>
      </c>
      <c r="E113" s="210">
        <v>1</v>
      </c>
      <c r="F113" s="13">
        <v>31</v>
      </c>
      <c r="H113" s="1021">
        <f>(VLOOKUP(YEAR($A113),'NY East Load Projections'!$A$4:$EO$14,((MONTH($A113)-1)*12)+VLOOKUP(H$4,$DE$6:$DF$17,2)+1))*(VLOOKUP($A113,CURVES!$D$9:$K$261,8))*(INDEX(DailyScalarsTable,H$5/100,MONTH($A113)))*$B113</f>
        <v>-37225.243570385515</v>
      </c>
      <c r="I113" s="1021">
        <f>(VLOOKUP(YEAR($A113),'NY East Load Projections'!$A$4:$EO$14,((MONTH($A113)-1)*12)+VLOOKUP(I$4,$DE$6:$DF$17,2)+1))*(VLOOKUP($A113,CURVES!$D$9:$K$261,8))*(INDEX(DailyScalarsTable,I$5/100,MONTH($A113)))*$B113</f>
        <v>-35290.892559681241</v>
      </c>
      <c r="J113" s="1021">
        <f>(VLOOKUP(YEAR($A113),'NY East Load Projections'!$A$4:$EO$14,((MONTH($A113)-1)*12)+VLOOKUP(J$4,$DE$6:$DF$17,2)+1))*(VLOOKUP($A113,CURVES!$D$9:$K$261,8))*(INDEX(DailyScalarsTable,J$5/100,MONTH($A113)))*$B113</f>
        <v>-33869.164591151188</v>
      </c>
      <c r="K113" s="1021">
        <f>(VLOOKUP(YEAR($A113),'NY East Load Projections'!$A$4:$EO$14,((MONTH($A113)-1)*12)+VLOOKUP(K$4,$DE$6:$DF$17,2)+1))*(VLOOKUP($A113,CURVES!$D$9:$K$261,8))*(INDEX(DailyScalarsTable,K$5/100,MONTH($A113)))*$B113</f>
        <v>-33889.188928736112</v>
      </c>
      <c r="L113" s="1021">
        <f>(VLOOKUP(YEAR($A113),'NY East Load Projections'!$A$4:$EO$14,((MONTH($A113)-1)*12)+VLOOKUP(L$4,$DE$6:$DF$17,2)+1))*(VLOOKUP($A113,CURVES!$D$9:$K$261,8))*(INDEX(DailyScalarsTable,L$5/100,MONTH($A113)))*$B113</f>
        <v>-38875.365134790198</v>
      </c>
      <c r="M113" s="1021">
        <f>(VLOOKUP(YEAR($A113),'NY East Load Projections'!$A$4:$EO$14,((MONTH($A113)-1)*12)+VLOOKUP(M$4,$DE$6:$DF$17,2)+1))*(VLOOKUP($A113,CURVES!$D$9:$K$261,8))*(INDEX(DailyScalarsTable,M$5/100,MONTH($A113)))*$B113</f>
        <v>-44789.223769194577</v>
      </c>
      <c r="N113" s="1021">
        <f>(VLOOKUP(YEAR($A113),'NY East Load Projections'!$A$4:$EO$14,((MONTH($A113)-1)*12)+VLOOKUP(N$4,$DE$6:$DF$17,2)+1))*(VLOOKUP($A113,CURVES!$D$9:$K$261,8))*(INDEX(DailyScalarsTable,N$5/100,MONTH($A113)))*$B113</f>
        <v>-64156.145881573233</v>
      </c>
      <c r="O113" s="1021">
        <f>(VLOOKUP(YEAR($A113),'NY East Load Projections'!$A$4:$EO$14,((MONTH($A113)-1)*12)+VLOOKUP(O$4,$DE$6:$DF$17,2)+1))*(VLOOKUP($A113,CURVES!$D$9:$K$261,4))*(INDEX(DailyScalarsTable,O$5/100,MONTH($A113)))*$B113</f>
        <v>-69290.110315863581</v>
      </c>
      <c r="P113" s="1021">
        <f>(VLOOKUP(YEAR($A113),'NY East Load Projections'!$A$4:$EO$14,((MONTH($A113)-1)*12)+VLOOKUP(P$4,$DE$6:$DF$17,2)+1))*(VLOOKUP($A113,CURVES!$D$9:$K$261,4))*(INDEX(DailyScalarsTable,P$5/100,MONTH($A113)))*$B113</f>
        <v>-78813.946817229036</v>
      </c>
      <c r="Q113" s="1021">
        <f>(VLOOKUP(YEAR($A113),'NY East Load Projections'!$A$4:$EO$14,((MONTH($A113)-1)*12)+VLOOKUP(Q$4,$DE$6:$DF$17,2)+1))*(VLOOKUP($A113,CURVES!$D$9:$K$261,4))*(INDEX(DailyScalarsTable,Q$5/100,MONTH($A113)))*$B113</f>
        <v>-78414.391664950599</v>
      </c>
      <c r="R113" s="1021">
        <f>(VLOOKUP(YEAR($A113),'NY East Load Projections'!$A$4:$EO$14,((MONTH($A113)-1)*12)+VLOOKUP(R$4,$DE$6:$DF$17,2)+1))*(VLOOKUP($A113,CURVES!$D$9:$K$261,4))*(INDEX(DailyScalarsTable,R$5/100,MONTH($A113)))*$B113</f>
        <v>-76707.817116235892</v>
      </c>
      <c r="S113" s="1021">
        <f>(VLOOKUP(YEAR($A113),'NY East Load Projections'!$A$4:$EO$14,((MONTH($A113)-1)*12)+VLOOKUP(S$4,$DE$6:$DF$17,2)+1))*(VLOOKUP($A113,CURVES!$D$9:$K$261,4))*(INDEX(DailyScalarsTable,S$5/100,MONTH($A113)))*$B113</f>
        <v>-62330.603755437027</v>
      </c>
      <c r="T113" s="1021">
        <f>(VLOOKUP(YEAR($A113),'NY East Load Projections'!$A$4:$EO$14,((MONTH($A113)-1)*12)+VLOOKUP(T$4,$DE$6:$DF$17,2)+1))*(VLOOKUP($A113,CURVES!$D$9:$K$261,4))*(INDEX(DailyScalarsTable,T$5/100,MONTH($A113)))*$B113</f>
        <v>-59874.195012170865</v>
      </c>
      <c r="U113" s="1021">
        <f>(VLOOKUP(YEAR($A113),'NY East Load Projections'!$A$4:$EO$14,((MONTH($A113)-1)*12)+VLOOKUP(U$4,$DE$6:$DF$17,2)+1))*(VLOOKUP($A113,CURVES!$D$9:$K$261,4))*(INDEX(DailyScalarsTable,U$5/100,MONTH($A113)))*$B113</f>
        <v>-57294.177693667225</v>
      </c>
      <c r="V113" s="1021">
        <f>(VLOOKUP(YEAR($A113),'NY East Load Projections'!$A$4:$EO$14,((MONTH($A113)-1)*12)+VLOOKUP(V$4,$DE$6:$DF$17,2)+1))*(VLOOKUP($A113,CURVES!$D$9:$K$261,4))*(INDEX(DailyScalarsTable,V$5/100,MONTH($A113)))*$B113</f>
        <v>-54413.044295550419</v>
      </c>
      <c r="W113" s="1021">
        <f>(VLOOKUP(YEAR($A113),'NY East Load Projections'!$A$4:$EO$14,((MONTH($A113)-1)*12)+VLOOKUP(W$4,$DE$6:$DF$17,2)+1))*(VLOOKUP($A113,CURVES!$D$9:$K$261,4))*(INDEX(DailyScalarsTable,W$5/100,MONTH($A113)))*$B113</f>
        <v>-53468.634773127334</v>
      </c>
      <c r="X113" s="1021">
        <f>(VLOOKUP(YEAR($A113),'NY East Load Projections'!$A$4:$EO$14,((MONTH($A113)-1)*12)+VLOOKUP(X$4,$DE$6:$DF$17,2)+1))*(VLOOKUP($A113,CURVES!$D$9:$K$261,4))*(INDEX(DailyScalarsTable,X$5/100,MONTH($A113)))*$B113</f>
        <v>-57902.413407908534</v>
      </c>
      <c r="Y113" s="1021">
        <f>(VLOOKUP(YEAR($A113),'NY East Load Projections'!$A$4:$EO$14,((MONTH($A113)-1)*12)+VLOOKUP(Y$4,$DE$6:$DF$17,2)+1))*(VLOOKUP($A113,CURVES!$D$9:$K$261,4))*(INDEX(DailyScalarsTable,Y$5/100,MONTH($A113)))*$B113</f>
        <v>-81604.436726038446</v>
      </c>
      <c r="Z113" s="1021">
        <f>(VLOOKUP(YEAR($A113),'NY East Load Projections'!$A$4:$EO$14,((MONTH($A113)-1)*12)+VLOOKUP(Z$4,$DE$6:$DF$17,2)+1))*(VLOOKUP($A113,CURVES!$D$9:$K$261,4))*(INDEX(DailyScalarsTable,Z$5/100,MONTH($A113)))*$B113</f>
        <v>-81060.74564631487</v>
      </c>
      <c r="AA113" s="1021">
        <f>(VLOOKUP(YEAR($A113),'NY East Load Projections'!$A$4:$EO$14,((MONTH($A113)-1)*12)+VLOOKUP(AA$4,$DE$6:$DF$17,2)+1))*(VLOOKUP($A113,CURVES!$D$9:$K$261,4))*(INDEX(DailyScalarsTable,AA$5/100,MONTH($A113)))*$B113</f>
        <v>-78269.39038711341</v>
      </c>
      <c r="AB113" s="1021">
        <f>(VLOOKUP(YEAR($A113),'NY East Load Projections'!$A$4:$EO$14,((MONTH($A113)-1)*12)+VLOOKUP(AB$4,$DE$6:$DF$17,2)+1))*(VLOOKUP($A113,CURVES!$D$9:$K$261,4))*(INDEX(DailyScalarsTable,AB$5/100,MONTH($A113)))*$B113</f>
        <v>-70233.0600588089</v>
      </c>
      <c r="AC113" s="1021">
        <f>(VLOOKUP(YEAR($A113),'NY East Load Projections'!$A$4:$EO$14,((MONTH($A113)-1)*12)+VLOOKUP(AC$4,$DE$6:$DF$17,2)+1))*(VLOOKUP($A113,CURVES!$D$9:$K$261,4))*(INDEX(DailyScalarsTable,AC$5/100,MONTH($A113)))*$B113</f>
        <v>-51775.531589642669</v>
      </c>
      <c r="AD113" s="1021">
        <f>(VLOOKUP(YEAR($A113),'NY East Load Projections'!$A$4:$EO$14,((MONTH($A113)-1)*12)+VLOOKUP(AD$4,$DE$6:$DF$17,2)+1))*(VLOOKUP($A113,CURVES!$D$9:$K$261,4))*(INDEX(DailyScalarsTable,AD$5/100,MONTH($A113)))*$B113</f>
        <v>-42715.573625042838</v>
      </c>
      <c r="AE113" s="1021">
        <f>(VLOOKUP(YEAR($A113),'NY East Load Projections'!$A$4:$EO$14,((MONTH($A113)-1)*12)+VLOOKUP(AE$4,$DE$6:$DF$17,2)+1))*(VLOOKUP($A113,CURVES!$D$9:$K$261,8))*(INDEX(DailyScalarsTable,AE$5/100,MONTH($A113)))*$B113</f>
        <v>-42993.287667191493</v>
      </c>
      <c r="AF113" s="1021"/>
      <c r="AG113" s="1021">
        <f>(VLOOKUP(YEAR($A113),'NY East Load Projections'!$A$4:$EO$14,((MONTH($A113)-1)*12)+VLOOKUP(AG$4,$DE$6:$DF$17,2)+1))*(VLOOKUP($A113,CURVES!$D$9:$T$261,8))*(INDEX(DailyScalarsTable,AG$5/100,MONTH($A113)))*$C113</f>
        <v>-7042.4287661535727</v>
      </c>
      <c r="AH113" s="1021">
        <f>(VLOOKUP(YEAR($A113),'NY East Load Projections'!$A$4:$EO$14,((MONTH($A113)-1)*12)+VLOOKUP(AH$4,$DE$6:$DF$17,2)+1))*(VLOOKUP($A113,CURVES!$D$9:$T$261,8))*(INDEX(DailyScalarsTable,AH$5/100,MONTH($A113)))*$C113</f>
        <v>-6676.4800739478524</v>
      </c>
      <c r="AI113" s="1021">
        <f>(VLOOKUP(YEAR($A113),'NY East Load Projections'!$A$4:$EO$14,((MONTH($A113)-1)*12)+VLOOKUP(AI$4,$DE$6:$DF$17,2)+1))*(VLOOKUP($A113,CURVES!$D$9:$T$261,8))*(INDEX(DailyScalarsTable,AI$5/100,MONTH($A113)))*$C113</f>
        <v>-6407.5115734653864</v>
      </c>
      <c r="AJ113" s="1021">
        <f>(VLOOKUP(YEAR($A113),'NY East Load Projections'!$A$4:$EO$14,((MONTH($A113)-1)*12)+VLOOKUP(AJ$4,$DE$6:$DF$17,2)+1))*(VLOOKUP($A113,CURVES!$D$9:$T$261,8))*(INDEX(DailyScalarsTable,AJ$5/100,MONTH($A113)))*$C113</f>
        <v>-6411.2998622045761</v>
      </c>
      <c r="AK113" s="1021">
        <f>(VLOOKUP(YEAR($A113),'NY East Load Projections'!$A$4:$EO$14,((MONTH($A113)-1)*12)+VLOOKUP(AK$4,$DE$6:$DF$17,2)+1))*(VLOOKUP($A113,CURVES!$D$9:$T$261,8))*(INDEX(DailyScalarsTable,AK$5/100,MONTH($A113)))*$C113</f>
        <v>-6974.939785294654</v>
      </c>
      <c r="AL113" s="1021">
        <f>(VLOOKUP(YEAR($A113),'NY East Load Projections'!$A$4:$EO$14,((MONTH($A113)-1)*12)+VLOOKUP(AL$4,$DE$6:$DF$17,2)+1))*(VLOOKUP($A113,CURVES!$D$9:$T$261,8))*(INDEX(DailyScalarsTable,AL$5/100,MONTH($A113)))*$C113</f>
        <v>-8035.9924012815627</v>
      </c>
      <c r="AM113" s="1021">
        <f>(VLOOKUP(YEAR($A113),'NY East Load Projections'!$A$4:$EO$14,((MONTH($A113)-1)*12)+VLOOKUP(AM$4,$DE$6:$DF$17,2)+1))*(VLOOKUP($A113,CURVES!$D$9:$T$261,8))*(INDEX(DailyScalarsTable,AM$5/100,MONTH($A113)))*$C113</f>
        <v>-11510.766595477995</v>
      </c>
      <c r="AN113" s="1021">
        <f>(VLOOKUP(YEAR($A113),'NY East Load Projections'!$A$4:$EO$14,((MONTH($A113)-1)*12)+VLOOKUP(AN$4,$DE$6:$DF$17,2)+1))*(VLOOKUP($A113,SatSunCurve,4))*(INDEX(DailyScalarsTable,AN$5/100,MONTH($A113)))*$C113</f>
        <v>-10583.364815802586</v>
      </c>
      <c r="AO113" s="1021">
        <f>(VLOOKUP(YEAR($A113),'NY East Load Projections'!$A$4:$EO$14,((MONTH($A113)-1)*12)+VLOOKUP(AO$4,$DE$6:$DF$17,2)+1))*(VLOOKUP($A113,SatSunCurve,4))*(INDEX(DailyScalarsTable,AO$5/100,MONTH($A113)))*$C113</f>
        <v>-12086.260388986053</v>
      </c>
      <c r="AP113" s="1021">
        <f>(VLOOKUP(YEAR($A113),'NY East Load Projections'!$A$4:$EO$14,((MONTH($A113)-1)*12)+VLOOKUP(AP$4,$DE$6:$DF$17,2)+1))*(VLOOKUP($A113,SatSunCurve,4))*(INDEX(DailyScalarsTable,AP$5/100,MONTH($A113)))*$C113</f>
        <v>-12024.987888302931</v>
      </c>
      <c r="AQ113" s="1021">
        <f>(VLOOKUP(YEAR($A113),'NY East Load Projections'!$A$4:$EO$14,((MONTH($A113)-1)*12)+VLOOKUP(AQ$4,$DE$6:$DF$17,2)+1))*(VLOOKUP($A113,SatSunCurve,4))*(INDEX(DailyScalarsTable,AQ$5/100,MONTH($A113)))*$C113</f>
        <v>-11763.28161419875</v>
      </c>
      <c r="AR113" s="1021">
        <f>(VLOOKUP(YEAR($A113),'NY East Load Projections'!$A$4:$EO$14,((MONTH($A113)-1)*12)+VLOOKUP(AR$4,$DE$6:$DF$17,2)+1))*(VLOOKUP($A113,SatSunCurve,4))*(INDEX(DailyScalarsTable,AR$5/100,MONTH($A113)))*$C113</f>
        <v>-9558.5101065670769</v>
      </c>
      <c r="AS113" s="1021">
        <f>(VLOOKUP(YEAR($A113),'NY East Load Projections'!$A$4:$EO$14,((MONTH($A113)-1)*12)+VLOOKUP(AS$4,$DE$6:$DF$17,2)+1))*(VLOOKUP($A113,SatSunCurve,4))*(INDEX(DailyScalarsTable,AS$5/100,MONTH($A113)))*$C113</f>
        <v>-9185.2611858062119</v>
      </c>
      <c r="AT113" s="1021">
        <f>(VLOOKUP(YEAR($A113),'NY East Load Projections'!$A$4:$EO$14,((MONTH($A113)-1)*12)+VLOOKUP(AT$4,$DE$6:$DF$17,2)+1))*(VLOOKUP($A113,SatSunCurve,4))*(INDEX(DailyScalarsTable,AT$5/100,MONTH($A113)))*$C113</f>
        <v>-8789.4624125693917</v>
      </c>
      <c r="AU113" s="1021">
        <f>(VLOOKUP(YEAR($A113),'NY East Load Projections'!$A$4:$EO$14,((MONTH($A113)-1)*12)+VLOOKUP(AU$4,$DE$6:$DF$17,2)+1))*(VLOOKUP($A113,SatSunCurve,4))*(INDEX(DailyScalarsTable,AU$5/100,MONTH($A113)))*$C113</f>
        <v>-8347.4696180529427</v>
      </c>
      <c r="AV113" s="1021">
        <f>(VLOOKUP(YEAR($A113),'NY East Load Projections'!$A$4:$EO$14,((MONTH($A113)-1)*12)+VLOOKUP(AV$4,$DE$6:$DF$17,2)+1))*(VLOOKUP($A113,SatSunCurve,4))*(INDEX(DailyScalarsTable,AV$5/100,MONTH($A113)))*$C113</f>
        <v>-8202.5883694941058</v>
      </c>
      <c r="AW113" s="1021">
        <f>(VLOOKUP(YEAR($A113),'NY East Load Projections'!$A$4:$EO$14,((MONTH($A113)-1)*12)+VLOOKUP(AW$4,$DE$6:$DF$17,2)+1))*(VLOOKUP($A113,SatSunCurve,4))*(INDEX(DailyScalarsTable,AW$5/100,MONTH($A113)))*$C113</f>
        <v>-8842.8780856087869</v>
      </c>
      <c r="AX113" s="1021">
        <f>(VLOOKUP(YEAR($A113),'NY East Load Projections'!$A$4:$EO$14,((MONTH($A113)-1)*12)+VLOOKUP(AX$4,$DE$6:$DF$17,2)+1))*(VLOOKUP($A113,SatSunCurve,4))*(INDEX(DailyScalarsTable,AX$5/100,MONTH($A113)))*$C113</f>
        <v>-12462.6598917304</v>
      </c>
      <c r="AY113" s="1021">
        <f>(VLOOKUP(YEAR($A113),'NY East Load Projections'!$A$4:$EO$14,((MONTH($A113)-1)*12)+VLOOKUP(AY$4,$DE$6:$DF$17,2)+1))*(VLOOKUP($A113,SatSunCurve,4))*(INDEX(DailyScalarsTable,AY$5/100,MONTH($A113)))*$C113</f>
        <v>-12379.627188061231</v>
      </c>
      <c r="AZ113" s="1021">
        <f>(VLOOKUP(YEAR($A113),'NY East Load Projections'!$A$4:$EO$14,((MONTH($A113)-1)*12)+VLOOKUP(AZ$4,$DE$6:$DF$17,2)+1))*(VLOOKUP($A113,SatSunCurve,4))*(INDEX(DailyScalarsTable,AZ$5/100,MONTH($A113)))*$C113</f>
        <v>-11953.330375925763</v>
      </c>
      <c r="BA113" s="1021">
        <f>(VLOOKUP(YEAR($A113),'NY East Load Projections'!$A$4:$EO$14,((MONTH($A113)-1)*12)+VLOOKUP(BA$4,$DE$6:$DF$17,2)+1))*(VLOOKUP($A113,SatSunCurve,4))*(INDEX(DailyScalarsTable,BA$5/100,MONTH($A113)))*$C113</f>
        <v>-11237.5529615613</v>
      </c>
      <c r="BB113" s="1021">
        <f>(VLOOKUP(YEAR($A113),'NY East Load Projections'!$A$4:$EO$14,((MONTH($A113)-1)*12)+VLOOKUP(BB$4,$DE$6:$DF$17,2)+1))*(VLOOKUP($A113,SatSunCurve,4))*(INDEX(DailyScalarsTable,BB$5/100,MONTH($A113)))*$C113</f>
        <v>-8284.2791964982043</v>
      </c>
      <c r="BC113" s="1021">
        <f>(VLOOKUP(YEAR($A113),'NY East Load Projections'!$A$4:$EO$14,((MONTH($A113)-1)*12)+VLOOKUP(BC$4,$DE$6:$DF$17,2)+1))*(VLOOKUP($A113,SatSunCurve,4))*(INDEX(DailyScalarsTable,BC$5/100,MONTH($A113)))*$C113</f>
        <v>-6834.6519501350422</v>
      </c>
      <c r="BD113" s="1021">
        <f>(VLOOKUP(YEAR($A113),'NY East Load Projections'!$A$4:$EO$14,((MONTH($A113)-1)*12)+VLOOKUP(BD$4,$DE$6:$DF$17,2)+1))*(VLOOKUP($A113,CURVES!$D$9:$T$261,8))*(INDEX(DailyScalarsTable,BD$5/100,MONTH($A113)))*$C113</f>
        <v>-8080.6125666827265</v>
      </c>
      <c r="BE113" s="1021"/>
      <c r="BF113" s="1021">
        <f>(VLOOKUP(YEAR($A113),'NY East Load Projections'!$A$4:$EO$14,((MONTH($A113)-1)*12)+VLOOKUP(BF$4,$DE$6:$DF$17,2)+1))*(VLOOKUP($A113,CURVES!$D$9:$T$261,8))*(INDEX(DailyScalarsTable,BF$5/100,MONTH($A113)))*$D113</f>
        <v>-7042.4287661535727</v>
      </c>
      <c r="BG113" s="1021">
        <f>(VLOOKUP(YEAR($A113),'NY East Load Projections'!$A$4:$EO$14,((MONTH($A113)-1)*12)+VLOOKUP(BG$4,$DE$6:$DF$17,2)+1))*(VLOOKUP($A113,CURVES!$D$9:$T$261,8))*(INDEX(DailyScalarsTable,BG$5/100,MONTH($A113)))*$D113</f>
        <v>-6676.4800739478524</v>
      </c>
      <c r="BH113" s="1021">
        <f>(VLOOKUP(YEAR($A113),'NY East Load Projections'!$A$4:$EO$14,((MONTH($A113)-1)*12)+VLOOKUP(BH$4,$DE$6:$DF$17,2)+1))*(VLOOKUP($A113,CURVES!$D$9:$T$261,8))*(INDEX(DailyScalarsTable,BH$5/100,MONTH($A113)))*$D113</f>
        <v>-6407.5115734653864</v>
      </c>
      <c r="BI113" s="1021">
        <f>(VLOOKUP(YEAR($A113),'NY East Load Projections'!$A$4:$EO$14,((MONTH($A113)-1)*12)+VLOOKUP(BI$4,$DE$6:$DF$17,2)+1))*(VLOOKUP($A113,CURVES!$D$9:$T$261,8))*(INDEX(DailyScalarsTable,BI$5/100,MONTH($A113)))*$D113</f>
        <v>-6411.2998622045761</v>
      </c>
      <c r="BJ113" s="1021">
        <f>(VLOOKUP(YEAR($A113),'NY East Load Projections'!$A$4:$EO$14,((MONTH($A113)-1)*12)+VLOOKUP(BJ$4,$DE$6:$DF$17,2)+1))*(VLOOKUP($A113,CURVES!$D$9:$T$261,8))*(INDEX(DailyScalarsTable,BJ$5/100,MONTH($A113)))*$D113</f>
        <v>-6974.939785294654</v>
      </c>
      <c r="BK113" s="1021">
        <f>(VLOOKUP(YEAR($A113),'NY East Load Projections'!$A$4:$EO$14,((MONTH($A113)-1)*12)+VLOOKUP(BK$4,$DE$6:$DF$17,2)+1))*(VLOOKUP($A113,CURVES!$D$9:$T$261,8))*(INDEX(DailyScalarsTable,BK$5/100,MONTH($A113)))*$D113</f>
        <v>-8035.9924012815627</v>
      </c>
      <c r="BL113" s="1021">
        <f>(VLOOKUP(YEAR($A113),'NY East Load Projections'!$A$4:$EO$14,((MONTH($A113)-1)*12)+VLOOKUP(BL$4,$DE$6:$DF$17,2)+1))*(VLOOKUP($A113,CURVES!$D$9:$T$261,8))*(INDEX(DailyScalarsTable,BL$5/100,MONTH($A113)))*$D113</f>
        <v>-11510.766595477995</v>
      </c>
      <c r="BM113" s="1021">
        <f>(VLOOKUP(YEAR($A113),'NY East Load Projections'!$A$4:$EO$14,((MONTH($A113)-1)*12)+VLOOKUP(BM$4,$DE$6:$DF$17,2)+1))*(VLOOKUP($A113,SatSunCurve,8))*(INDEX(DailyScalarsTable,BM$5/100,MONTH($A113)))*$D113</f>
        <v>-10117.647330396016</v>
      </c>
      <c r="BN113" s="1021">
        <f>(VLOOKUP(YEAR($A113),'NY East Load Projections'!$A$4:$EO$14,((MONTH($A113)-1)*12)+VLOOKUP(BN$4,$DE$6:$DF$17,2)+1))*(VLOOKUP($A113,SatSunCurve,8))*(INDEX(DailyScalarsTable,BN$5/100,MONTH($A113)))*$D113</f>
        <v>-11554.408478530977</v>
      </c>
      <c r="BO113" s="1021">
        <f>(VLOOKUP(YEAR($A113),'NY East Load Projections'!$A$4:$EO$14,((MONTH($A113)-1)*12)+VLOOKUP(BO$4,$DE$6:$DF$17,2)+1))*(VLOOKUP($A113,SatSunCurve,8))*(INDEX(DailyScalarsTable,BO$5/100,MONTH($A113)))*$D113</f>
        <v>-11495.832254073741</v>
      </c>
      <c r="BP113" s="1021">
        <f>(VLOOKUP(YEAR($A113),'NY East Load Projections'!$A$4:$EO$14,((MONTH($A113)-1)*12)+VLOOKUP(BP$4,$DE$6:$DF$17,2)+1))*(VLOOKUP($A113,SatSunCurve,8))*(INDEX(DailyScalarsTable,BP$5/100,MONTH($A113)))*$D113</f>
        <v>-11245.642278425881</v>
      </c>
      <c r="BQ113" s="1021">
        <f>(VLOOKUP(YEAR($A113),'NY East Load Projections'!$A$4:$EO$14,((MONTH($A113)-1)*12)+VLOOKUP(BQ$4,$DE$6:$DF$17,2)+1))*(VLOOKUP($A113,SatSunCurve,8))*(INDEX(DailyScalarsTable,BQ$5/100,MONTH($A113)))*$D113</f>
        <v>-9137.8910153290199</v>
      </c>
      <c r="BR113" s="1021">
        <f>(VLOOKUP(YEAR($A113),'NY East Load Projections'!$A$4:$EO$14,((MONTH($A113)-1)*12)+VLOOKUP(BR$4,$DE$6:$DF$17,2)+1))*(VLOOKUP($A113,SatSunCurve,8))*(INDEX(DailyScalarsTable,BR$5/100,MONTH($A113)))*$D113</f>
        <v>-8781.0667904784677</v>
      </c>
      <c r="BS113" s="1021">
        <f>(VLOOKUP(YEAR($A113),'NY East Load Projections'!$A$4:$EO$14,((MONTH($A113)-1)*12)+VLOOKUP(BS$4,$DE$6:$DF$17,2)+1))*(VLOOKUP($A113,SatSunCurve,8))*(INDEX(DailyScalarsTable,BS$5/100,MONTH($A113)))*$D113</f>
        <v>-8402.6850119883111</v>
      </c>
      <c r="BT113" s="1021">
        <f>(VLOOKUP(YEAR($A113),'NY East Load Projections'!$A$4:$EO$14,((MONTH($A113)-1)*12)+VLOOKUP(BT$4,$DE$6:$DF$17,2)+1))*(VLOOKUP($A113,SatSunCurve,8))*(INDEX(DailyScalarsTable,BT$5/100,MONTH($A113)))*$D113</f>
        <v>-7980.1419649210538</v>
      </c>
      <c r="BU113" s="1021">
        <f>(VLOOKUP(YEAR($A113),'NY East Load Projections'!$A$4:$EO$14,((MONTH($A113)-1)*12)+VLOOKUP(BU$4,$DE$6:$DF$17,2)+1))*(VLOOKUP($A113,SatSunCurve,8))*(INDEX(DailyScalarsTable,BU$5/100,MONTH($A113)))*$D113</f>
        <v>-7841.6361680201471</v>
      </c>
      <c r="BV113" s="1021">
        <f>(VLOOKUP(YEAR($A113),'NY East Load Projections'!$A$4:$EO$14,((MONTH($A113)-1)*12)+VLOOKUP(BV$4,$DE$6:$DF$17,2)+1))*(VLOOKUP($A113,SatSunCurve,8))*(INDEX(DailyScalarsTable,BV$5/100,MONTH($A113)))*$D113</f>
        <v>-8453.7501459163559</v>
      </c>
      <c r="BW113" s="1021">
        <f>(VLOOKUP(YEAR($A113),'NY East Load Projections'!$A$4:$EO$14,((MONTH($A113)-1)*12)+VLOOKUP(BW$4,$DE$6:$DF$17,2)+1))*(VLOOKUP($A113,SatSunCurve,8))*(INDEX(DailyScalarsTable,BW$5/100,MONTH($A113)))*$D113</f>
        <v>-11914.244645041779</v>
      </c>
      <c r="BX113" s="1021">
        <f>(VLOOKUP(YEAR($A113),'NY East Load Projections'!$A$4:$EO$14,((MONTH($A113)-1)*12)+VLOOKUP(BX$4,$DE$6:$DF$17,2)+1))*(VLOOKUP($A113,SatSunCurve,8))*(INDEX(DailyScalarsTable,BX$5/100,MONTH($A113)))*$D113</f>
        <v>-11834.865768168942</v>
      </c>
      <c r="BY113" s="1021">
        <f>(VLOOKUP(YEAR($A113),'NY East Load Projections'!$A$4:$EO$14,((MONTH($A113)-1)*12)+VLOOKUP(BY$4,$DE$6:$DF$17,2)+1))*(VLOOKUP($A113,SatSunCurve,8))*(INDEX(DailyScalarsTable,BY$5/100,MONTH($A113)))*$D113</f>
        <v>-11427.328006944024</v>
      </c>
      <c r="BZ113" s="1021">
        <f>(VLOOKUP(YEAR($A113),'NY East Load Projections'!$A$4:$EO$14,((MONTH($A113)-1)*12)+VLOOKUP(BZ$4,$DE$6:$DF$17,2)+1))*(VLOOKUP($A113,SatSunCurve,8))*(INDEX(DailyScalarsTable,BZ$5/100,MONTH($A113)))*$D113</f>
        <v>-10743.048142114176</v>
      </c>
      <c r="CA113" s="1021">
        <f>(VLOOKUP(YEAR($A113),'NY East Load Projections'!$A$4:$EO$14,((MONTH($A113)-1)*12)+VLOOKUP(CA$4,$DE$6:$DF$17,2)+1))*(VLOOKUP($A113,SatSunCurve,8))*(INDEX(DailyScalarsTable,CA$5/100,MONTH($A113)))*$D113</f>
        <v>-7919.7322170689085</v>
      </c>
      <c r="CB113" s="1021">
        <f>(VLOOKUP(YEAR($A113),'NY East Load Projections'!$A$4:$EO$14,((MONTH($A113)-1)*12)+VLOOKUP(CB$4,$DE$6:$DF$17,2)+1))*(VLOOKUP($A113,SatSunCurve,8))*(INDEX(DailyScalarsTable,CB$5/100,MONTH($A113)))*$D113</f>
        <v>-6533.8953405647781</v>
      </c>
      <c r="CC113" s="1021">
        <f>(VLOOKUP(YEAR($A113),'NY East Load Projections'!$A$4:$EO$14,((MONTH($A113)-1)*12)+VLOOKUP(CC$4,$DE$6:$DF$17,2)+1))*(VLOOKUP($A113,CURVES!$D$9:$T$261,8))*(INDEX(DailyScalarsTable,CC$5/100,MONTH($A113)))*$D113</f>
        <v>-8080.6125666827265</v>
      </c>
      <c r="CE113" s="1021">
        <f>(VLOOKUP(YEAR($A113),'NY East Load Projections'!$A$4:$EO$14,((MONTH($A113)-1)*12)+VLOOKUP(CE$4,$DE$6:$DF$17,2)+1))*(VLOOKUP($A113,CURVES!$D$9:$T$261,8))*(INDEX(DailyScalarsTable,CE$5/100,MONTH($A113)))*$E113</f>
        <v>-1760.6071915383932</v>
      </c>
      <c r="CF113" s="1021">
        <f>(VLOOKUP(YEAR($A113),'NY East Load Projections'!$A$4:$EO$14,((MONTH($A113)-1)*12)+VLOOKUP(CF$4,$DE$6:$DF$17,2)+1))*(VLOOKUP($A113,CURVES!$D$9:$T$261,8))*(INDEX(DailyScalarsTable,CF$5/100,MONTH($A113)))*$E113</f>
        <v>-1669.1200184869631</v>
      </c>
      <c r="CG113" s="1021">
        <f>(VLOOKUP(YEAR($A113),'NY East Load Projections'!$A$4:$EO$14,((MONTH($A113)-1)*12)+VLOOKUP(CG$4,$DE$6:$DF$17,2)+1))*(VLOOKUP($A113,CURVES!$D$9:$T$261,8))*(INDEX(DailyScalarsTable,CG$5/100,MONTH($A113)))*$E113</f>
        <v>-1601.8778933663466</v>
      </c>
      <c r="CH113" s="1021">
        <f>(VLOOKUP(YEAR($A113),'NY East Load Projections'!$A$4:$EO$14,((MONTH($A113)-1)*12)+VLOOKUP(CH$4,$DE$6:$DF$17,2)+1))*(VLOOKUP($A113,CURVES!$D$9:$T$261,8))*(INDEX(DailyScalarsTable,CH$5/100,MONTH($A113)))*$E113</f>
        <v>-1602.824965551144</v>
      </c>
      <c r="CI113" s="1021">
        <f>(VLOOKUP(YEAR($A113),'NY East Load Projections'!$A$4:$EO$14,((MONTH($A113)-1)*12)+VLOOKUP(CI$4,$DE$6:$DF$17,2)+1))*(VLOOKUP($A113,CURVES!$D$9:$T$261,8))*(INDEX(DailyScalarsTable,CI$5/100,MONTH($A113)))*$E113</f>
        <v>-1743.7349463236635</v>
      </c>
      <c r="CJ113" s="1021">
        <f>(VLOOKUP(YEAR($A113),'NY East Load Projections'!$A$4:$EO$14,((MONTH($A113)-1)*12)+VLOOKUP(CJ$4,$DE$6:$DF$17,2)+1))*(VLOOKUP($A113,CURVES!$D$9:$T$261,8))*(INDEX(DailyScalarsTable,CJ$5/100,MONTH($A113)))*$E113</f>
        <v>-2008.9981003203907</v>
      </c>
      <c r="CK113" s="1021">
        <f>(VLOOKUP(YEAR($A113),'NY East Load Projections'!$A$4:$EO$14,((MONTH($A113)-1)*12)+VLOOKUP(CK$4,$DE$6:$DF$17,2)+1))*(VLOOKUP($A113,CURVES!$D$9:$T$261,8))*(INDEX(DailyScalarsTable,CK$5/100,MONTH($A113)))*$E113</f>
        <v>-2877.6916488694987</v>
      </c>
      <c r="CL113" s="1021">
        <f>(VLOOKUP(YEAR($A113),'NY East Load Projections'!$A$4:$EO$14,((MONTH($A113)-1)*12)+VLOOKUP(CL$4,$DE$6:$DF$17,2)+1))*(VLOOKUP($A113,SatSunCurve,8))*(INDEX(DailyScalarsTable,CL$5/100,MONTH($A113)))*$E113</f>
        <v>-2529.4118325990039</v>
      </c>
      <c r="CM113" s="1021">
        <f>(VLOOKUP(YEAR($A113),'NY East Load Projections'!$A$4:$EO$14,((MONTH($A113)-1)*12)+VLOOKUP(CM$4,$DE$6:$DF$17,2)+1))*(VLOOKUP($A113,SatSunCurve,8))*(INDEX(DailyScalarsTable,CM$5/100,MONTH($A113)))*$E113</f>
        <v>-2888.6021196327442</v>
      </c>
      <c r="CN113" s="1021">
        <f>(VLOOKUP(YEAR($A113),'NY East Load Projections'!$A$4:$EO$14,((MONTH($A113)-1)*12)+VLOOKUP(CN$4,$DE$6:$DF$17,2)+1))*(VLOOKUP($A113,SatSunCurve,8))*(INDEX(DailyScalarsTable,CN$5/100,MONTH($A113)))*$E113</f>
        <v>-2873.9580635184352</v>
      </c>
      <c r="CO113" s="1021">
        <f>(VLOOKUP(YEAR($A113),'NY East Load Projections'!$A$4:$EO$14,((MONTH($A113)-1)*12)+VLOOKUP(CO$4,$DE$6:$DF$17,2)+1))*(VLOOKUP($A113,SatSunCurve,8))*(INDEX(DailyScalarsTable,CO$5/100,MONTH($A113)))*$E113</f>
        <v>-2811.4105696064703</v>
      </c>
      <c r="CP113" s="1021">
        <f>(VLOOKUP(YEAR($A113),'NY East Load Projections'!$A$4:$EO$14,((MONTH($A113)-1)*12)+VLOOKUP(CP$4,$DE$6:$DF$17,2)+1))*(VLOOKUP($A113,SatSunCurve,8))*(INDEX(DailyScalarsTable,CP$5/100,MONTH($A113)))*$E113</f>
        <v>-2284.472753832255</v>
      </c>
      <c r="CQ113" s="1021">
        <f>(VLOOKUP(YEAR($A113),'NY East Load Projections'!$A$4:$EO$14,((MONTH($A113)-1)*12)+VLOOKUP(CQ$4,$DE$6:$DF$17,2)+1))*(VLOOKUP($A113,SatSunCurve,8))*(INDEX(DailyScalarsTable,CQ$5/100,MONTH($A113)))*$E113</f>
        <v>-2195.2666976196169</v>
      </c>
      <c r="CR113" s="1021">
        <f>(VLOOKUP(YEAR($A113),'NY East Load Projections'!$A$4:$EO$14,((MONTH($A113)-1)*12)+VLOOKUP(CR$4,$DE$6:$DF$17,2)+1))*(VLOOKUP($A113,SatSunCurve,8))*(INDEX(DailyScalarsTable,CR$5/100,MONTH($A113)))*$E113</f>
        <v>-2100.6712529970778</v>
      </c>
      <c r="CS113" s="1021">
        <f>(VLOOKUP(YEAR($A113),'NY East Load Projections'!$A$4:$EO$14,((MONTH($A113)-1)*12)+VLOOKUP(CS$4,$DE$6:$DF$17,2)+1))*(VLOOKUP($A113,SatSunCurve,8))*(INDEX(DailyScalarsTable,CS$5/100,MONTH($A113)))*$E113</f>
        <v>-1995.0354912302635</v>
      </c>
      <c r="CT113" s="1021">
        <f>(VLOOKUP(YEAR($A113),'NY East Load Projections'!$A$4:$EO$14,((MONTH($A113)-1)*12)+VLOOKUP(CT$4,$DE$6:$DF$17,2)+1))*(VLOOKUP($A113,SatSunCurve,8))*(INDEX(DailyScalarsTable,CT$5/100,MONTH($A113)))*$E113</f>
        <v>-1960.4090420050368</v>
      </c>
      <c r="CU113" s="1021">
        <f>(VLOOKUP(YEAR($A113),'NY East Load Projections'!$A$4:$EO$14,((MONTH($A113)-1)*12)+VLOOKUP(CU$4,$DE$6:$DF$17,2)+1))*(VLOOKUP($A113,SatSunCurve,8))*(INDEX(DailyScalarsTable,CU$5/100,MONTH($A113)))*$E113</f>
        <v>-2113.437536479089</v>
      </c>
      <c r="CV113" s="1021">
        <f>(VLOOKUP(YEAR($A113),'NY East Load Projections'!$A$4:$EO$14,((MONTH($A113)-1)*12)+VLOOKUP(CV$4,$DE$6:$DF$17,2)+1))*(VLOOKUP($A113,SatSunCurve,8))*(INDEX(DailyScalarsTable,CV$5/100,MONTH($A113)))*$E113</f>
        <v>-2978.5611612604448</v>
      </c>
      <c r="CW113" s="1021">
        <f>(VLOOKUP(YEAR($A113),'NY East Load Projections'!$A$4:$EO$14,((MONTH($A113)-1)*12)+VLOOKUP(CW$4,$DE$6:$DF$17,2)+1))*(VLOOKUP($A113,SatSunCurve,8))*(INDEX(DailyScalarsTable,CW$5/100,MONTH($A113)))*$E113</f>
        <v>-2958.7164420422355</v>
      </c>
      <c r="CX113" s="1021">
        <f>(VLOOKUP(YEAR($A113),'NY East Load Projections'!$A$4:$EO$14,((MONTH($A113)-1)*12)+VLOOKUP(CX$4,$DE$6:$DF$17,2)+1))*(VLOOKUP($A113,SatSunCurve,8))*(INDEX(DailyScalarsTable,CX$5/100,MONTH($A113)))*$E113</f>
        <v>-2856.8320017360061</v>
      </c>
      <c r="CY113" s="1021">
        <f>(VLOOKUP(YEAR($A113),'NY East Load Projections'!$A$4:$EO$14,((MONTH($A113)-1)*12)+VLOOKUP(CY$4,$DE$6:$DF$17,2)+1))*(VLOOKUP($A113,SatSunCurve,8))*(INDEX(DailyScalarsTable,CY$5/100,MONTH($A113)))*$E113</f>
        <v>-2685.7620355285439</v>
      </c>
      <c r="CZ113" s="1021">
        <f>(VLOOKUP(YEAR($A113),'NY East Load Projections'!$A$4:$EO$14,((MONTH($A113)-1)*12)+VLOOKUP(CZ$4,$DE$6:$DF$17,2)+1))*(VLOOKUP($A113,SatSunCurve,8))*(INDEX(DailyScalarsTable,CZ$5/100,MONTH($A113)))*$E113</f>
        <v>-1979.9330542672271</v>
      </c>
      <c r="DA113" s="1021">
        <f>(VLOOKUP(YEAR($A113),'NY East Load Projections'!$A$4:$EO$14,((MONTH($A113)-1)*12)+VLOOKUP(DA$4,$DE$6:$DF$17,2)+1))*(VLOOKUP($A113,SatSunCurve,8))*(INDEX(DailyScalarsTable,DA$5/100,MONTH($A113)))*$E113</f>
        <v>-1633.4738351411945</v>
      </c>
      <c r="DB113" s="1021">
        <f>(VLOOKUP(YEAR($A113),'NY East Load Projections'!$A$4:$EO$14,((MONTH($A113)-1)*12)+VLOOKUP(DB$4,$DE$6:$DF$17,2)+1))*(VLOOKUP($A113,CURVES!$D$9:$T$261,8))*(INDEX(DailyScalarsTable,DB$5/100,MONTH($A113)))*$E113</f>
        <v>-2020.1531416706816</v>
      </c>
      <c r="DH113" s="1021">
        <f t="shared" si="2"/>
        <v>-1879587.5916397278</v>
      </c>
      <c r="DI113">
        <f ca="1">CALC!J133</f>
        <v>0.48680038887296539</v>
      </c>
      <c r="DJ113" s="1029">
        <f t="shared" ca="1" si="3"/>
        <v>-914983.97053101996</v>
      </c>
    </row>
    <row r="114" spans="1:114" x14ac:dyDescent="0.25">
      <c r="A114" s="244">
        <v>40179</v>
      </c>
      <c r="B114" s="13">
        <v>20</v>
      </c>
      <c r="C114" s="210">
        <v>5</v>
      </c>
      <c r="D114" s="210">
        <v>5</v>
      </c>
      <c r="E114" s="210">
        <v>1</v>
      </c>
      <c r="F114" s="13">
        <v>31</v>
      </c>
      <c r="H114" s="1021">
        <f>(VLOOKUP(YEAR($A114),'NY East Load Projections'!$A$4:$EO$14,((MONTH($A114)-1)*12)+VLOOKUP(H$4,$DE$6:$DF$17,2)+1))*(VLOOKUP($A114,CURVES!$D$9:$K$261,8))*(INDEX(DailyScalarsTable,H$5/100,MONTH($A114)))*$B114</f>
        <v>-30901.097275620625</v>
      </c>
      <c r="I114" s="1021">
        <f>(VLOOKUP(YEAR($A114),'NY East Load Projections'!$A$4:$EO$14,((MONTH($A114)-1)*12)+VLOOKUP(I$4,$DE$6:$DF$17,2)+1))*(VLOOKUP($A114,CURVES!$D$9:$K$261,8))*(INDEX(DailyScalarsTable,I$5/100,MONTH($A114)))*$B114</f>
        <v>-30299.05780970912</v>
      </c>
      <c r="J114" s="1021">
        <f>(VLOOKUP(YEAR($A114),'NY East Load Projections'!$A$4:$EO$14,((MONTH($A114)-1)*12)+VLOOKUP(J$4,$DE$6:$DF$17,2)+1))*(VLOOKUP($A114,CURVES!$D$9:$K$261,8))*(INDEX(DailyScalarsTable,J$5/100,MONTH($A114)))*$B114</f>
        <v>-27764.558972555722</v>
      </c>
      <c r="K114" s="1021">
        <f>(VLOOKUP(YEAR($A114),'NY East Load Projections'!$A$4:$EO$14,((MONTH($A114)-1)*12)+VLOOKUP(K$4,$DE$6:$DF$17,2)+1))*(VLOOKUP($A114,CURVES!$D$9:$K$261,8))*(INDEX(DailyScalarsTable,K$5/100,MONTH($A114)))*$B114</f>
        <v>-27747.772089802478</v>
      </c>
      <c r="L114" s="1021">
        <f>(VLOOKUP(YEAR($A114),'NY East Load Projections'!$A$4:$EO$14,((MONTH($A114)-1)*12)+VLOOKUP(L$4,$DE$6:$DF$17,2)+1))*(VLOOKUP($A114,CURVES!$D$9:$K$261,8))*(INDEX(DailyScalarsTable,L$5/100,MONTH($A114)))*$B114</f>
        <v>-31025.091678297864</v>
      </c>
      <c r="M114" s="1021">
        <f>(VLOOKUP(YEAR($A114),'NY East Load Projections'!$A$4:$EO$14,((MONTH($A114)-1)*12)+VLOOKUP(M$4,$DE$6:$DF$17,2)+1))*(VLOOKUP($A114,CURVES!$D$9:$K$261,8))*(INDEX(DailyScalarsTable,M$5/100,MONTH($A114)))*$B114</f>
        <v>-33110.534934641808</v>
      </c>
      <c r="N114" s="1021">
        <f>(VLOOKUP(YEAR($A114),'NY East Load Projections'!$A$4:$EO$14,((MONTH($A114)-1)*12)+VLOOKUP(N$4,$DE$6:$DF$17,2)+1))*(VLOOKUP($A114,CURVES!$D$9:$K$261,8))*(INDEX(DailyScalarsTable,N$5/100,MONTH($A114)))*$B114</f>
        <v>-63406.271238576846</v>
      </c>
      <c r="O114" s="1021">
        <f>(VLOOKUP(YEAR($A114),'NY East Load Projections'!$A$4:$EO$14,((MONTH($A114)-1)*12)+VLOOKUP(O$4,$DE$6:$DF$17,2)+1))*(VLOOKUP($A114,CURVES!$D$9:$K$261,4))*(INDEX(DailyScalarsTable,O$5/100,MONTH($A114)))*$B114</f>
        <v>-74558.62850060717</v>
      </c>
      <c r="P114" s="1021">
        <f>(VLOOKUP(YEAR($A114),'NY East Load Projections'!$A$4:$EO$14,((MONTH($A114)-1)*12)+VLOOKUP(P$4,$DE$6:$DF$17,2)+1))*(VLOOKUP($A114,CURVES!$D$9:$K$261,4))*(INDEX(DailyScalarsTable,P$5/100,MONTH($A114)))*$B114</f>
        <v>-81057.755124610863</v>
      </c>
      <c r="Q114" s="1021">
        <f>(VLOOKUP(YEAR($A114),'NY East Load Projections'!$A$4:$EO$14,((MONTH($A114)-1)*12)+VLOOKUP(Q$4,$DE$6:$DF$17,2)+1))*(VLOOKUP($A114,CURVES!$D$9:$K$261,4))*(INDEX(DailyScalarsTable,Q$5/100,MONTH($A114)))*$B114</f>
        <v>-80811.047876584751</v>
      </c>
      <c r="R114" s="1021">
        <f>(VLOOKUP(YEAR($A114),'NY East Load Projections'!$A$4:$EO$14,((MONTH($A114)-1)*12)+VLOOKUP(R$4,$DE$6:$DF$17,2)+1))*(VLOOKUP($A114,CURVES!$D$9:$K$261,4))*(INDEX(DailyScalarsTable,R$5/100,MONTH($A114)))*$B114</f>
        <v>-79400.789098929294</v>
      </c>
      <c r="S114" s="1021">
        <f>(VLOOKUP(YEAR($A114),'NY East Load Projections'!$A$4:$EO$14,((MONTH($A114)-1)*12)+VLOOKUP(S$4,$DE$6:$DF$17,2)+1))*(VLOOKUP($A114,CURVES!$D$9:$K$261,4))*(INDEX(DailyScalarsTable,S$5/100,MONTH($A114)))*$B114</f>
        <v>-59478.703403263935</v>
      </c>
      <c r="T114" s="1021">
        <f>(VLOOKUP(YEAR($A114),'NY East Load Projections'!$A$4:$EO$14,((MONTH($A114)-1)*12)+VLOOKUP(T$4,$DE$6:$DF$17,2)+1))*(VLOOKUP($A114,CURVES!$D$9:$K$261,4))*(INDEX(DailyScalarsTable,T$5/100,MONTH($A114)))*$B114</f>
        <v>-57519.888800113724</v>
      </c>
      <c r="U114" s="1021">
        <f>(VLOOKUP(YEAR($A114),'NY East Load Projections'!$A$4:$EO$14,((MONTH($A114)-1)*12)+VLOOKUP(U$4,$DE$6:$DF$17,2)+1))*(VLOOKUP($A114,CURVES!$D$9:$K$261,4))*(INDEX(DailyScalarsTable,U$5/100,MONTH($A114)))*$B114</f>
        <v>-55662.671988130642</v>
      </c>
      <c r="V114" s="1021">
        <f>(VLOOKUP(YEAR($A114),'NY East Load Projections'!$A$4:$EO$14,((MONTH($A114)-1)*12)+VLOOKUP(V$4,$DE$6:$DF$17,2)+1))*(VLOOKUP($A114,CURVES!$D$9:$K$261,4))*(INDEX(DailyScalarsTable,V$5/100,MONTH($A114)))*$B114</f>
        <v>-52829.743445214415</v>
      </c>
      <c r="W114" s="1021">
        <f>(VLOOKUP(YEAR($A114),'NY East Load Projections'!$A$4:$EO$14,((MONTH($A114)-1)*12)+VLOOKUP(W$4,$DE$6:$DF$17,2)+1))*(VLOOKUP($A114,CURVES!$D$9:$K$261,4))*(INDEX(DailyScalarsTable,W$5/100,MONTH($A114)))*$B114</f>
        <v>-51766.554110818295</v>
      </c>
      <c r="X114" s="1021">
        <f>(VLOOKUP(YEAR($A114),'NY East Load Projections'!$A$4:$EO$14,((MONTH($A114)-1)*12)+VLOOKUP(X$4,$DE$6:$DF$17,2)+1))*(VLOOKUP($A114,CURVES!$D$9:$K$261,4))*(INDEX(DailyScalarsTable,X$5/100,MONTH($A114)))*$B114</f>
        <v>-53828.068524328635</v>
      </c>
      <c r="Y114" s="1021">
        <f>(VLOOKUP(YEAR($A114),'NY East Load Projections'!$A$4:$EO$14,((MONTH($A114)-1)*12)+VLOOKUP(Y$4,$DE$6:$DF$17,2)+1))*(VLOOKUP($A114,CURVES!$D$9:$K$261,4))*(INDEX(DailyScalarsTable,Y$5/100,MONTH($A114)))*$B114</f>
        <v>-74899.418825145491</v>
      </c>
      <c r="Z114" s="1021">
        <f>(VLOOKUP(YEAR($A114),'NY East Load Projections'!$A$4:$EO$14,((MONTH($A114)-1)*12)+VLOOKUP(Z$4,$DE$6:$DF$17,2)+1))*(VLOOKUP($A114,CURVES!$D$9:$K$261,4))*(INDEX(DailyScalarsTable,Z$5/100,MONTH($A114)))*$B114</f>
        <v>-82184.563526507118</v>
      </c>
      <c r="AA114" s="1021">
        <f>(VLOOKUP(YEAR($A114),'NY East Load Projections'!$A$4:$EO$14,((MONTH($A114)-1)*12)+VLOOKUP(AA$4,$DE$6:$DF$17,2)+1))*(VLOOKUP($A114,CURVES!$D$9:$K$261,4))*(INDEX(DailyScalarsTable,AA$5/100,MONTH($A114)))*$B114</f>
        <v>-78664.888136435489</v>
      </c>
      <c r="AB114" s="1021">
        <f>(VLOOKUP(YEAR($A114),'NY East Load Projections'!$A$4:$EO$14,((MONTH($A114)-1)*12)+VLOOKUP(AB$4,$DE$6:$DF$17,2)+1))*(VLOOKUP($A114,CURVES!$D$9:$K$261,4))*(INDEX(DailyScalarsTable,AB$5/100,MONTH($A114)))*$B114</f>
        <v>-70104.298365124763</v>
      </c>
      <c r="AC114" s="1021">
        <f>(VLOOKUP(YEAR($A114),'NY East Load Projections'!$A$4:$EO$14,((MONTH($A114)-1)*12)+VLOOKUP(AC$4,$DE$6:$DF$17,2)+1))*(VLOOKUP($A114,CURVES!$D$9:$K$261,4))*(INDEX(DailyScalarsTable,AC$5/100,MONTH($A114)))*$B114</f>
        <v>-49859.800680527223</v>
      </c>
      <c r="AD114" s="1021">
        <f>(VLOOKUP(YEAR($A114),'NY East Load Projections'!$A$4:$EO$14,((MONTH($A114)-1)*12)+VLOOKUP(AD$4,$DE$6:$DF$17,2)+1))*(VLOOKUP($A114,CURVES!$D$9:$K$261,4))*(INDEX(DailyScalarsTable,AD$5/100,MONTH($A114)))*$B114</f>
        <v>-40816.452778642182</v>
      </c>
      <c r="AE114" s="1021">
        <f>(VLOOKUP(YEAR($A114),'NY East Load Projections'!$A$4:$EO$14,((MONTH($A114)-1)*12)+VLOOKUP(AE$4,$DE$6:$DF$17,2)+1))*(VLOOKUP($A114,CURVES!$D$9:$K$261,8))*(INDEX(DailyScalarsTable,AE$5/100,MONTH($A114)))*$B114</f>
        <v>-35726.3316061531</v>
      </c>
      <c r="AF114" s="1021"/>
      <c r="AG114" s="1021">
        <f>(VLOOKUP(YEAR($A114),'NY East Load Projections'!$A$4:$EO$14,((MONTH($A114)-1)*12)+VLOOKUP(AG$4,$DE$6:$DF$17,2)+1))*(VLOOKUP($A114,CURVES!$D$9:$T$261,8))*(INDEX(DailyScalarsTable,AG$5/100,MONTH($A114)))*$C114</f>
        <v>-8026.4140146388509</v>
      </c>
      <c r="AH114" s="1021">
        <f>(VLOOKUP(YEAR($A114),'NY East Load Projections'!$A$4:$EO$14,((MONTH($A114)-1)*12)+VLOOKUP(AH$4,$DE$6:$DF$17,2)+1))*(VLOOKUP($A114,CURVES!$D$9:$T$261,8))*(INDEX(DailyScalarsTable,AH$5/100,MONTH($A114)))*$C114</f>
        <v>-7870.0371079077704</v>
      </c>
      <c r="AI114" s="1021">
        <f>(VLOOKUP(YEAR($A114),'NY East Load Projections'!$A$4:$EO$14,((MONTH($A114)-1)*12)+VLOOKUP(AI$4,$DE$6:$DF$17,2)+1))*(VLOOKUP($A114,CURVES!$D$9:$T$261,8))*(INDEX(DailyScalarsTable,AI$5/100,MONTH($A114)))*$C114</f>
        <v>-7211.7130100556406</v>
      </c>
      <c r="AJ114" s="1021">
        <f>(VLOOKUP(YEAR($A114),'NY East Load Projections'!$A$4:$EO$14,((MONTH($A114)-1)*12)+VLOOKUP(AJ$4,$DE$6:$DF$17,2)+1))*(VLOOKUP($A114,CURVES!$D$9:$T$261,8))*(INDEX(DailyScalarsTable,AJ$5/100,MONTH($A114)))*$C114</f>
        <v>-7207.3526965757992</v>
      </c>
      <c r="AK114" s="1021">
        <f>(VLOOKUP(YEAR($A114),'NY East Load Projections'!$A$4:$EO$14,((MONTH($A114)-1)*12)+VLOOKUP(AK$4,$DE$6:$DF$17,2)+1))*(VLOOKUP($A114,CURVES!$D$9:$T$261,8))*(INDEX(DailyScalarsTable,AK$5/100,MONTH($A114)))*$C114</f>
        <v>-7546.0806835231651</v>
      </c>
      <c r="AL114" s="1021">
        <f>(VLOOKUP(YEAR($A114),'NY East Load Projections'!$A$4:$EO$14,((MONTH($A114)-1)*12)+VLOOKUP(AL$4,$DE$6:$DF$17,2)+1))*(VLOOKUP($A114,CURVES!$D$9:$T$261,8))*(INDEX(DailyScalarsTable,AL$5/100,MONTH($A114)))*$C114</f>
        <v>-8053.3128050736286</v>
      </c>
      <c r="AM114" s="1021">
        <f>(VLOOKUP(YEAR($A114),'NY East Load Projections'!$A$4:$EO$14,((MONTH($A114)-1)*12)+VLOOKUP(AM$4,$DE$6:$DF$17,2)+1))*(VLOOKUP($A114,CURVES!$D$9:$T$261,8))*(INDEX(DailyScalarsTable,AM$5/100,MONTH($A114)))*$C114</f>
        <v>-15421.995962782132</v>
      </c>
      <c r="AN114" s="1021">
        <f>(VLOOKUP(YEAR($A114),'NY East Load Projections'!$A$4:$EO$14,((MONTH($A114)-1)*12)+VLOOKUP(AN$4,$DE$6:$DF$17,2)+1))*(VLOOKUP($A114,SatSunCurve,4))*(INDEX(DailyScalarsTable,AN$5/100,MONTH($A114)))*$C114</f>
        <v>-14514.0244630286</v>
      </c>
      <c r="AO114" s="1021">
        <f>(VLOOKUP(YEAR($A114),'NY East Load Projections'!$A$4:$EO$14,((MONTH($A114)-1)*12)+VLOOKUP(AO$4,$DE$6:$DF$17,2)+1))*(VLOOKUP($A114,SatSunCurve,4))*(INDEX(DailyScalarsTable,AO$5/100,MONTH($A114)))*$C114</f>
        <v>-16108.555622867561</v>
      </c>
      <c r="AP114" s="1021">
        <f>(VLOOKUP(YEAR($A114),'NY East Load Projections'!$A$4:$EO$14,((MONTH($A114)-1)*12)+VLOOKUP(AP$4,$DE$6:$DF$17,2)+1))*(VLOOKUP($A114,SatSunCurve,4))*(INDEX(DailyScalarsTable,AP$5/100,MONTH($A114)))*$C114</f>
        <v>-16059.527649895899</v>
      </c>
      <c r="AQ114" s="1021">
        <f>(VLOOKUP(YEAR($A114),'NY East Load Projections'!$A$4:$EO$14,((MONTH($A114)-1)*12)+VLOOKUP(AQ$4,$DE$6:$DF$17,2)+1))*(VLOOKUP($A114,SatSunCurve,4))*(INDEX(DailyScalarsTable,AQ$5/100,MONTH($A114)))*$C114</f>
        <v>-15779.267828641576</v>
      </c>
      <c r="AR114" s="1021">
        <f>(VLOOKUP(YEAR($A114),'NY East Load Projections'!$A$4:$EO$14,((MONTH($A114)-1)*12)+VLOOKUP(AR$4,$DE$6:$DF$17,2)+1))*(VLOOKUP($A114,SatSunCurve,4))*(INDEX(DailyScalarsTable,AR$5/100,MONTH($A114)))*$C114</f>
        <v>-11820.164531753911</v>
      </c>
      <c r="AS114" s="1021">
        <f>(VLOOKUP(YEAR($A114),'NY East Load Projections'!$A$4:$EO$14,((MONTH($A114)-1)*12)+VLOOKUP(AS$4,$DE$6:$DF$17,2)+1))*(VLOOKUP($A114,SatSunCurve,4))*(INDEX(DailyScalarsTable,AS$5/100,MONTH($A114)))*$C114</f>
        <v>-11272.637831698594</v>
      </c>
      <c r="AT114" s="1021">
        <f>(VLOOKUP(YEAR($A114),'NY East Load Projections'!$A$4:$EO$14,((MONTH($A114)-1)*12)+VLOOKUP(AT$4,$DE$6:$DF$17,2)+1))*(VLOOKUP($A114,SatSunCurve,4))*(INDEX(DailyScalarsTable,AT$5/100,MONTH($A114)))*$C114</f>
        <v>-10908.664031798171</v>
      </c>
      <c r="AU114" s="1021">
        <f>(VLOOKUP(YEAR($A114),'NY East Load Projections'!$A$4:$EO$14,((MONTH($A114)-1)*12)+VLOOKUP(AU$4,$DE$6:$DF$17,2)+1))*(VLOOKUP($A114,SatSunCurve,4))*(INDEX(DailyScalarsTable,AU$5/100,MONTH($A114)))*$C114</f>
        <v>-10353.472112384845</v>
      </c>
      <c r="AV114" s="1021">
        <f>(VLOOKUP(YEAR($A114),'NY East Load Projections'!$A$4:$EO$14,((MONTH($A114)-1)*12)+VLOOKUP(AV$4,$DE$6:$DF$17,2)+1))*(VLOOKUP($A114,SatSunCurve,4))*(INDEX(DailyScalarsTable,AV$5/100,MONTH($A114)))*$C114</f>
        <v>-10145.11029939837</v>
      </c>
      <c r="AW114" s="1021">
        <f>(VLOOKUP(YEAR($A114),'NY East Load Projections'!$A$4:$EO$14,((MONTH($A114)-1)*12)+VLOOKUP(AW$4,$DE$6:$DF$17,2)+1))*(VLOOKUP($A114,SatSunCurve,4))*(INDEX(DailyScalarsTable,AW$5/100,MONTH($A114)))*$C114</f>
        <v>-10688.471558939453</v>
      </c>
      <c r="AX114" s="1021">
        <f>(VLOOKUP(YEAR($A114),'NY East Load Projections'!$A$4:$EO$14,((MONTH($A114)-1)*12)+VLOOKUP(AX$4,$DE$6:$DF$17,2)+1))*(VLOOKUP($A114,SatSunCurve,4))*(INDEX(DailyScalarsTable,AX$5/100,MONTH($A114)))*$C114</f>
        <v>-14872.543820364519</v>
      </c>
      <c r="AY114" s="1021">
        <f>(VLOOKUP(YEAR($A114),'NY East Load Projections'!$A$4:$EO$14,((MONTH($A114)-1)*12)+VLOOKUP(AY$4,$DE$6:$DF$17,2)+1))*(VLOOKUP($A114,SatSunCurve,4))*(INDEX(DailyScalarsTable,AY$5/100,MONTH($A114)))*$C114</f>
        <v>-16319.13226535152</v>
      </c>
      <c r="AZ114" s="1021">
        <f>(VLOOKUP(YEAR($A114),'NY East Load Projections'!$A$4:$EO$14,((MONTH($A114)-1)*12)+VLOOKUP(AZ$4,$DE$6:$DF$17,2)+1))*(VLOOKUP($A114,SatSunCurve,4))*(INDEX(DailyScalarsTable,AZ$5/100,MONTH($A114)))*$C114</f>
        <v>-15620.241308740719</v>
      </c>
      <c r="BA114" s="1021">
        <f>(VLOOKUP(YEAR($A114),'NY East Load Projections'!$A$4:$EO$14,((MONTH($A114)-1)*12)+VLOOKUP(BA$4,$DE$6:$DF$17,2)+1))*(VLOOKUP($A114,SatSunCurve,4))*(INDEX(DailyScalarsTable,BA$5/100,MONTH($A114)))*$C114</f>
        <v>-14419.874323923961</v>
      </c>
      <c r="BB114" s="1021">
        <f>(VLOOKUP(YEAR($A114),'NY East Load Projections'!$A$4:$EO$14,((MONTH($A114)-1)*12)+VLOOKUP(BB$4,$DE$6:$DF$17,2)+1))*(VLOOKUP($A114,SatSunCurve,4))*(INDEX(DailyScalarsTable,BB$5/100,MONTH($A114)))*$C114</f>
        <v>-10255.748597389467</v>
      </c>
      <c r="BC114" s="1021">
        <f>(VLOOKUP(YEAR($A114),'NY East Load Projections'!$A$4:$EO$14,((MONTH($A114)-1)*12)+VLOOKUP(BC$4,$DE$6:$DF$17,2)+1))*(VLOOKUP($A114,SatSunCurve,4))*(INDEX(DailyScalarsTable,BC$5/100,MONTH($A114)))*$C114</f>
        <v>-8395.6067337120094</v>
      </c>
      <c r="BD114" s="1021">
        <f>(VLOOKUP(YEAR($A114),'NY East Load Projections'!$A$4:$EO$14,((MONTH($A114)-1)*12)+VLOOKUP(BD$4,$DE$6:$DF$17,2)+1))*(VLOOKUP($A114,CURVES!$D$9:$T$261,8))*(INDEX(DailyScalarsTable,BD$5/100,MONTH($A114)))*$C114</f>
        <v>-9181.7123752885273</v>
      </c>
      <c r="BE114" s="1021"/>
      <c r="BF114" s="1021">
        <f>(VLOOKUP(YEAR($A114),'NY East Load Projections'!$A$4:$EO$14,((MONTH($A114)-1)*12)+VLOOKUP(BF$4,$DE$6:$DF$17,2)+1))*(VLOOKUP($A114,CURVES!$D$9:$T$261,8))*(INDEX(DailyScalarsTable,BF$5/100,MONTH($A114)))*$D114</f>
        <v>-8026.4140146388509</v>
      </c>
      <c r="BG114" s="1021">
        <f>(VLOOKUP(YEAR($A114),'NY East Load Projections'!$A$4:$EO$14,((MONTH($A114)-1)*12)+VLOOKUP(BG$4,$DE$6:$DF$17,2)+1))*(VLOOKUP($A114,CURVES!$D$9:$T$261,8))*(INDEX(DailyScalarsTable,BG$5/100,MONTH($A114)))*$D114</f>
        <v>-7870.0371079077704</v>
      </c>
      <c r="BH114" s="1021">
        <f>(VLOOKUP(YEAR($A114),'NY East Load Projections'!$A$4:$EO$14,((MONTH($A114)-1)*12)+VLOOKUP(BH$4,$DE$6:$DF$17,2)+1))*(VLOOKUP($A114,CURVES!$D$9:$T$261,8))*(INDEX(DailyScalarsTable,BH$5/100,MONTH($A114)))*$D114</f>
        <v>-7211.7130100556406</v>
      </c>
      <c r="BI114" s="1021">
        <f>(VLOOKUP(YEAR($A114),'NY East Load Projections'!$A$4:$EO$14,((MONTH($A114)-1)*12)+VLOOKUP(BI$4,$DE$6:$DF$17,2)+1))*(VLOOKUP($A114,CURVES!$D$9:$T$261,8))*(INDEX(DailyScalarsTable,BI$5/100,MONTH($A114)))*$D114</f>
        <v>-7207.3526965757992</v>
      </c>
      <c r="BJ114" s="1021">
        <f>(VLOOKUP(YEAR($A114),'NY East Load Projections'!$A$4:$EO$14,((MONTH($A114)-1)*12)+VLOOKUP(BJ$4,$DE$6:$DF$17,2)+1))*(VLOOKUP($A114,CURVES!$D$9:$T$261,8))*(INDEX(DailyScalarsTable,BJ$5/100,MONTH($A114)))*$D114</f>
        <v>-7546.0806835231651</v>
      </c>
      <c r="BK114" s="1021">
        <f>(VLOOKUP(YEAR($A114),'NY East Load Projections'!$A$4:$EO$14,((MONTH($A114)-1)*12)+VLOOKUP(BK$4,$DE$6:$DF$17,2)+1))*(VLOOKUP($A114,CURVES!$D$9:$T$261,8))*(INDEX(DailyScalarsTable,BK$5/100,MONTH($A114)))*$D114</f>
        <v>-8053.3128050736286</v>
      </c>
      <c r="BL114" s="1021">
        <f>(VLOOKUP(YEAR($A114),'NY East Load Projections'!$A$4:$EO$14,((MONTH($A114)-1)*12)+VLOOKUP(BL$4,$DE$6:$DF$17,2)+1))*(VLOOKUP($A114,CURVES!$D$9:$T$261,8))*(INDEX(DailyScalarsTable,BL$5/100,MONTH($A114)))*$D114</f>
        <v>-15421.995962782132</v>
      </c>
      <c r="BM114" s="1021">
        <f>(VLOOKUP(YEAR($A114),'NY East Load Projections'!$A$4:$EO$14,((MONTH($A114)-1)*12)+VLOOKUP(BM$4,$DE$6:$DF$17,2)+1))*(VLOOKUP($A114,SatSunCurve,8))*(INDEX(DailyScalarsTable,BM$5/100,MONTH($A114)))*$D114</f>
        <v>-15295.625809996891</v>
      </c>
      <c r="BN114" s="1021">
        <f>(VLOOKUP(YEAR($A114),'NY East Load Projections'!$A$4:$EO$14,((MONTH($A114)-1)*12)+VLOOKUP(BN$4,$DE$6:$DF$17,2)+1))*(VLOOKUP($A114,SatSunCurve,8))*(INDEX(DailyScalarsTable,BN$5/100,MONTH($A114)))*$D114</f>
        <v>-16976.024794124543</v>
      </c>
      <c r="BO114" s="1021">
        <f>(VLOOKUP(YEAR($A114),'NY East Load Projections'!$A$4:$EO$14,((MONTH($A114)-1)*12)+VLOOKUP(BO$4,$DE$6:$DF$17,2)+1))*(VLOOKUP($A114,SatSunCurve,8))*(INDEX(DailyScalarsTable,BO$5/100,MONTH($A114)))*$D114</f>
        <v>-16924.356593433036</v>
      </c>
      <c r="BP114" s="1021">
        <f>(VLOOKUP(YEAR($A114),'NY East Load Projections'!$A$4:$EO$14,((MONTH($A114)-1)*12)+VLOOKUP(BP$4,$DE$6:$DF$17,2)+1))*(VLOOKUP($A114,SatSunCurve,8))*(INDEX(DailyScalarsTable,BP$5/100,MONTH($A114)))*$D114</f>
        <v>-16629.004372799653</v>
      </c>
      <c r="BQ114" s="1021">
        <f>(VLOOKUP(YEAR($A114),'NY East Load Projections'!$A$4:$EO$14,((MONTH($A114)-1)*12)+VLOOKUP(BQ$4,$DE$6:$DF$17,2)+1))*(VLOOKUP($A114,SatSunCurve,8))*(INDEX(DailyScalarsTable,BQ$5/100,MONTH($A114)))*$D114</f>
        <v>-12456.69759967999</v>
      </c>
      <c r="BR114" s="1021">
        <f>(VLOOKUP(YEAR($A114),'NY East Load Projections'!$A$4:$EO$14,((MONTH($A114)-1)*12)+VLOOKUP(BR$4,$DE$6:$DF$17,2)+1))*(VLOOKUP($A114,SatSunCurve,8))*(INDEX(DailyScalarsTable,BR$5/100,MONTH($A114)))*$D114</f>
        <v>-11879.685789732892</v>
      </c>
      <c r="BS114" s="1021">
        <f>(VLOOKUP(YEAR($A114),'NY East Load Projections'!$A$4:$EO$14,((MONTH($A114)-1)*12)+VLOOKUP(BS$4,$DE$6:$DF$17,2)+1))*(VLOOKUP($A114,SatSunCurve,8))*(INDEX(DailyScalarsTable,BS$5/100,MONTH($A114)))*$D114</f>
        <v>-11496.111470831829</v>
      </c>
      <c r="BT114" s="1021">
        <f>(VLOOKUP(YEAR($A114),'NY East Load Projections'!$A$4:$EO$14,((MONTH($A114)-1)*12)+VLOOKUP(BT$4,$DE$6:$DF$17,2)+1))*(VLOOKUP($A114,SatSunCurve,8))*(INDEX(DailyScalarsTable,BT$5/100,MONTH($A114)))*$D114</f>
        <v>-10911.02165830521</v>
      </c>
      <c r="BU114" s="1021">
        <f>(VLOOKUP(YEAR($A114),'NY East Load Projections'!$A$4:$EO$14,((MONTH($A114)-1)*12)+VLOOKUP(BU$4,$DE$6:$DF$17,2)+1))*(VLOOKUP($A114,SatSunCurve,8))*(INDEX(DailyScalarsTable,BU$5/100,MONTH($A114)))*$D114</f>
        <v>-10691.439258354601</v>
      </c>
      <c r="BV114" s="1021">
        <f>(VLOOKUP(YEAR($A114),'NY East Load Projections'!$A$4:$EO$14,((MONTH($A114)-1)*12)+VLOOKUP(BV$4,$DE$6:$DF$17,2)+1))*(VLOOKUP($A114,SatSunCurve,8))*(INDEX(DailyScalarsTable,BV$5/100,MONTH($A114)))*$D114</f>
        <v>-11264.061312751684</v>
      </c>
      <c r="BW114" s="1021">
        <f>(VLOOKUP(YEAR($A114),'NY East Load Projections'!$A$4:$EO$14,((MONTH($A114)-1)*12)+VLOOKUP(BW$4,$DE$6:$DF$17,2)+1))*(VLOOKUP($A114,SatSunCurve,8))*(INDEX(DailyScalarsTable,BW$5/100,MONTH($A114)))*$D114</f>
        <v>-15673.451956660731</v>
      </c>
      <c r="BX114" s="1021">
        <f>(VLOOKUP(YEAR($A114),'NY East Load Projections'!$A$4:$EO$14,((MONTH($A114)-1)*12)+VLOOKUP(BX$4,$DE$6:$DF$17,2)+1))*(VLOOKUP($A114,SatSunCurve,8))*(INDEX(DailyScalarsTable,BX$5/100,MONTH($A114)))*$D114</f>
        <v>-17197.941295365439</v>
      </c>
      <c r="BY114" s="1021">
        <f>(VLOOKUP(YEAR($A114),'NY East Load Projections'!$A$4:$EO$14,((MONTH($A114)-1)*12)+VLOOKUP(BY$4,$DE$6:$DF$17,2)+1))*(VLOOKUP($A114,SatSunCurve,8))*(INDEX(DailyScalarsTable,BY$5/100,MONTH($A114)))*$D114</f>
        <v>-16461.414043290039</v>
      </c>
      <c r="BZ114" s="1021">
        <f>(VLOOKUP(YEAR($A114),'NY East Load Projections'!$A$4:$EO$14,((MONTH($A114)-1)*12)+VLOOKUP(BZ$4,$DE$6:$DF$17,2)+1))*(VLOOKUP($A114,SatSunCurve,8))*(INDEX(DailyScalarsTable,BZ$5/100,MONTH($A114)))*$D114</f>
        <v>-15196.405548836938</v>
      </c>
      <c r="CA114" s="1021">
        <f>(VLOOKUP(YEAR($A114),'NY East Load Projections'!$A$4:$EO$14,((MONTH($A114)-1)*12)+VLOOKUP(CA$4,$DE$6:$DF$17,2)+1))*(VLOOKUP($A114,SatSunCurve,8))*(INDEX(DailyScalarsTable,CA$5/100,MONTH($A114)))*$D114</f>
        <v>-10808.035589760646</v>
      </c>
      <c r="CB114" s="1021">
        <f>(VLOOKUP(YEAR($A114),'NY East Load Projections'!$A$4:$EO$14,((MONTH($A114)-1)*12)+VLOOKUP(CB$4,$DE$6:$DF$17,2)+1))*(VLOOKUP($A114,SatSunCurve,8))*(INDEX(DailyScalarsTable,CB$5/100,MONTH($A114)))*$D114</f>
        <v>-8847.7223787145886</v>
      </c>
      <c r="CC114" s="1021">
        <f>(VLOOKUP(YEAR($A114),'NY East Load Projections'!$A$4:$EO$14,((MONTH($A114)-1)*12)+VLOOKUP(CC$4,$DE$6:$DF$17,2)+1))*(VLOOKUP($A114,CURVES!$D$9:$T$261,8))*(INDEX(DailyScalarsTable,CC$5/100,MONTH($A114)))*$D114</f>
        <v>-9181.7123752885273</v>
      </c>
      <c r="CE114" s="1021">
        <f>(VLOOKUP(YEAR($A114),'NY East Load Projections'!$A$4:$EO$14,((MONTH($A114)-1)*12)+VLOOKUP(CE$4,$DE$6:$DF$17,2)+1))*(VLOOKUP($A114,CURVES!$D$9:$T$261,8))*(INDEX(DailyScalarsTable,CE$5/100,MONTH($A114)))*$E114</f>
        <v>-1605.2828029277703</v>
      </c>
      <c r="CF114" s="1021">
        <f>(VLOOKUP(YEAR($A114),'NY East Load Projections'!$A$4:$EO$14,((MONTH($A114)-1)*12)+VLOOKUP(CF$4,$DE$6:$DF$17,2)+1))*(VLOOKUP($A114,CURVES!$D$9:$T$261,8))*(INDEX(DailyScalarsTable,CF$5/100,MONTH($A114)))*$E114</f>
        <v>-1574.0074215815541</v>
      </c>
      <c r="CG114" s="1021">
        <f>(VLOOKUP(YEAR($A114),'NY East Load Projections'!$A$4:$EO$14,((MONTH($A114)-1)*12)+VLOOKUP(CG$4,$DE$6:$DF$17,2)+1))*(VLOOKUP($A114,CURVES!$D$9:$T$261,8))*(INDEX(DailyScalarsTable,CG$5/100,MONTH($A114)))*$E114</f>
        <v>-1442.3426020111281</v>
      </c>
      <c r="CH114" s="1021">
        <f>(VLOOKUP(YEAR($A114),'NY East Load Projections'!$A$4:$EO$14,((MONTH($A114)-1)*12)+VLOOKUP(CH$4,$DE$6:$DF$17,2)+1))*(VLOOKUP($A114,CURVES!$D$9:$T$261,8))*(INDEX(DailyScalarsTable,CH$5/100,MONTH($A114)))*$E114</f>
        <v>-1441.4705393151598</v>
      </c>
      <c r="CI114" s="1021">
        <f>(VLOOKUP(YEAR($A114),'NY East Load Projections'!$A$4:$EO$14,((MONTH($A114)-1)*12)+VLOOKUP(CI$4,$DE$6:$DF$17,2)+1))*(VLOOKUP($A114,CURVES!$D$9:$T$261,8))*(INDEX(DailyScalarsTable,CI$5/100,MONTH($A114)))*$E114</f>
        <v>-1509.2161367046331</v>
      </c>
      <c r="CJ114" s="1021">
        <f>(VLOOKUP(YEAR($A114),'NY East Load Projections'!$A$4:$EO$14,((MONTH($A114)-1)*12)+VLOOKUP(CJ$4,$DE$6:$DF$17,2)+1))*(VLOOKUP($A114,CURVES!$D$9:$T$261,8))*(INDEX(DailyScalarsTable,CJ$5/100,MONTH($A114)))*$E114</f>
        <v>-1610.6625610147257</v>
      </c>
      <c r="CK114" s="1021">
        <f>(VLOOKUP(YEAR($A114),'NY East Load Projections'!$A$4:$EO$14,((MONTH($A114)-1)*12)+VLOOKUP(CK$4,$DE$6:$DF$17,2)+1))*(VLOOKUP($A114,CURVES!$D$9:$T$261,8))*(INDEX(DailyScalarsTable,CK$5/100,MONTH($A114)))*$E114</f>
        <v>-3084.3991925564264</v>
      </c>
      <c r="CL114" s="1021">
        <f>(VLOOKUP(YEAR($A114),'NY East Load Projections'!$A$4:$EO$14,((MONTH($A114)-1)*12)+VLOOKUP(CL$4,$DE$6:$DF$17,2)+1))*(VLOOKUP($A114,SatSunCurve,8))*(INDEX(DailyScalarsTable,CL$5/100,MONTH($A114)))*$E114</f>
        <v>-3059.1251619993782</v>
      </c>
      <c r="CM114" s="1021">
        <f>(VLOOKUP(YEAR($A114),'NY East Load Projections'!$A$4:$EO$14,((MONTH($A114)-1)*12)+VLOOKUP(CM$4,$DE$6:$DF$17,2)+1))*(VLOOKUP($A114,SatSunCurve,8))*(INDEX(DailyScalarsTable,CM$5/100,MONTH($A114)))*$E114</f>
        <v>-3395.2049588249088</v>
      </c>
      <c r="CN114" s="1021">
        <f>(VLOOKUP(YEAR($A114),'NY East Load Projections'!$A$4:$EO$14,((MONTH($A114)-1)*12)+VLOOKUP(CN$4,$DE$6:$DF$17,2)+1))*(VLOOKUP($A114,SatSunCurve,8))*(INDEX(DailyScalarsTable,CN$5/100,MONTH($A114)))*$E114</f>
        <v>-3384.8713186866075</v>
      </c>
      <c r="CO114" s="1021">
        <f>(VLOOKUP(YEAR($A114),'NY East Load Projections'!$A$4:$EO$14,((MONTH($A114)-1)*12)+VLOOKUP(CO$4,$DE$6:$DF$17,2)+1))*(VLOOKUP($A114,SatSunCurve,8))*(INDEX(DailyScalarsTable,CO$5/100,MONTH($A114)))*$E114</f>
        <v>-3325.8008745599304</v>
      </c>
      <c r="CP114" s="1021">
        <f>(VLOOKUP(YEAR($A114),'NY East Load Projections'!$A$4:$EO$14,((MONTH($A114)-1)*12)+VLOOKUP(CP$4,$DE$6:$DF$17,2)+1))*(VLOOKUP($A114,SatSunCurve,8))*(INDEX(DailyScalarsTable,CP$5/100,MONTH($A114)))*$E114</f>
        <v>-2491.3395199359979</v>
      </c>
      <c r="CQ114" s="1021">
        <f>(VLOOKUP(YEAR($A114),'NY East Load Projections'!$A$4:$EO$14,((MONTH($A114)-1)*12)+VLOOKUP(CQ$4,$DE$6:$DF$17,2)+1))*(VLOOKUP($A114,SatSunCurve,8))*(INDEX(DailyScalarsTable,CQ$5/100,MONTH($A114)))*$E114</f>
        <v>-2375.9371579465783</v>
      </c>
      <c r="CR114" s="1021">
        <f>(VLOOKUP(YEAR($A114),'NY East Load Projections'!$A$4:$EO$14,((MONTH($A114)-1)*12)+VLOOKUP(CR$4,$DE$6:$DF$17,2)+1))*(VLOOKUP($A114,SatSunCurve,8))*(INDEX(DailyScalarsTable,CR$5/100,MONTH($A114)))*$E114</f>
        <v>-2299.2222941663658</v>
      </c>
      <c r="CS114" s="1021">
        <f>(VLOOKUP(YEAR($A114),'NY East Load Projections'!$A$4:$EO$14,((MONTH($A114)-1)*12)+VLOOKUP(CS$4,$DE$6:$DF$17,2)+1))*(VLOOKUP($A114,SatSunCurve,8))*(INDEX(DailyScalarsTable,CS$5/100,MONTH($A114)))*$E114</f>
        <v>-2182.204331661042</v>
      </c>
      <c r="CT114" s="1021">
        <f>(VLOOKUP(YEAR($A114),'NY East Load Projections'!$A$4:$EO$14,((MONTH($A114)-1)*12)+VLOOKUP(CT$4,$DE$6:$DF$17,2)+1))*(VLOOKUP($A114,SatSunCurve,8))*(INDEX(DailyScalarsTable,CT$5/100,MONTH($A114)))*$E114</f>
        <v>-2138.2878516709202</v>
      </c>
      <c r="CU114" s="1021">
        <f>(VLOOKUP(YEAR($A114),'NY East Load Projections'!$A$4:$EO$14,((MONTH($A114)-1)*12)+VLOOKUP(CU$4,$DE$6:$DF$17,2)+1))*(VLOOKUP($A114,SatSunCurve,8))*(INDEX(DailyScalarsTable,CU$5/100,MONTH($A114)))*$E114</f>
        <v>-2252.812262550337</v>
      </c>
      <c r="CV114" s="1021">
        <f>(VLOOKUP(YEAR($A114),'NY East Load Projections'!$A$4:$EO$14,((MONTH($A114)-1)*12)+VLOOKUP(CV$4,$DE$6:$DF$17,2)+1))*(VLOOKUP($A114,SatSunCurve,8))*(INDEX(DailyScalarsTable,CV$5/100,MONTH($A114)))*$E114</f>
        <v>-3134.6903913321462</v>
      </c>
      <c r="CW114" s="1021">
        <f>(VLOOKUP(YEAR($A114),'NY East Load Projections'!$A$4:$EO$14,((MONTH($A114)-1)*12)+VLOOKUP(CW$4,$DE$6:$DF$17,2)+1))*(VLOOKUP($A114,SatSunCurve,8))*(INDEX(DailyScalarsTable,CW$5/100,MONTH($A114)))*$E114</f>
        <v>-3439.5882590730876</v>
      </c>
      <c r="CX114" s="1021">
        <f>(VLOOKUP(YEAR($A114),'NY East Load Projections'!$A$4:$EO$14,((MONTH($A114)-1)*12)+VLOOKUP(CX$4,$DE$6:$DF$17,2)+1))*(VLOOKUP($A114,SatSunCurve,8))*(INDEX(DailyScalarsTable,CX$5/100,MONTH($A114)))*$E114</f>
        <v>-3292.282808658008</v>
      </c>
      <c r="CY114" s="1021">
        <f>(VLOOKUP(YEAR($A114),'NY East Load Projections'!$A$4:$EO$14,((MONTH($A114)-1)*12)+VLOOKUP(CY$4,$DE$6:$DF$17,2)+1))*(VLOOKUP($A114,SatSunCurve,8))*(INDEX(DailyScalarsTable,CY$5/100,MONTH($A114)))*$E114</f>
        <v>-3039.2811097673875</v>
      </c>
      <c r="CZ114" s="1021">
        <f>(VLOOKUP(YEAR($A114),'NY East Load Projections'!$A$4:$EO$14,((MONTH($A114)-1)*12)+VLOOKUP(CZ$4,$DE$6:$DF$17,2)+1))*(VLOOKUP($A114,SatSunCurve,8))*(INDEX(DailyScalarsTable,CZ$5/100,MONTH($A114)))*$E114</f>
        <v>-2161.6071179521291</v>
      </c>
      <c r="DA114" s="1021">
        <f>(VLOOKUP(YEAR($A114),'NY East Load Projections'!$A$4:$EO$14,((MONTH($A114)-1)*12)+VLOOKUP(DA$4,$DE$6:$DF$17,2)+1))*(VLOOKUP($A114,SatSunCurve,8))*(INDEX(DailyScalarsTable,DA$5/100,MONTH($A114)))*$E114</f>
        <v>-1769.5444757429177</v>
      </c>
      <c r="DB114" s="1021">
        <f>(VLOOKUP(YEAR($A114),'NY East Load Projections'!$A$4:$EO$14,((MONTH($A114)-1)*12)+VLOOKUP(DB$4,$DE$6:$DF$17,2)+1))*(VLOOKUP($A114,CURVES!$D$9:$T$261,8))*(INDEX(DailyScalarsTable,DB$5/100,MONTH($A114)))*$E114</f>
        <v>-1836.3424750577053</v>
      </c>
      <c r="DH114" s="1021">
        <f t="shared" si="2"/>
        <v>-1948548.7921802574</v>
      </c>
      <c r="DI114">
        <f ca="1">CALC!J134</f>
        <v>0.48373001478463451</v>
      </c>
      <c r="DJ114" s="1029">
        <f t="shared" ca="1" si="3"/>
        <v>-942571.5360499376</v>
      </c>
    </row>
    <row r="115" spans="1:114" x14ac:dyDescent="0.25">
      <c r="A115" s="244">
        <v>40210</v>
      </c>
      <c r="B115" s="13">
        <v>20</v>
      </c>
      <c r="C115" s="210">
        <v>4</v>
      </c>
      <c r="D115" s="210">
        <v>4</v>
      </c>
      <c r="E115" s="210">
        <v>0</v>
      </c>
      <c r="F115" s="13">
        <v>28</v>
      </c>
      <c r="H115" s="1021">
        <f>(VLOOKUP(YEAR($A115),'NY East Load Projections'!$A$4:$EO$14,((MONTH($A115)-1)*12)+VLOOKUP(H$4,$DE$6:$DF$17,2)+1))*(VLOOKUP($A115,CURVES!$D$9:$K$261,8))*(INDEX(DailyScalarsTable,H$5/100,MONTH($A115)))*$B115</f>
        <v>-28804.754596345232</v>
      </c>
      <c r="I115" s="1021">
        <f>(VLOOKUP(YEAR($A115),'NY East Load Projections'!$A$4:$EO$14,((MONTH($A115)-1)*12)+VLOOKUP(I$4,$DE$6:$DF$17,2)+1))*(VLOOKUP($A115,CURVES!$D$9:$K$261,8))*(INDEX(DailyScalarsTable,I$5/100,MONTH($A115)))*$B115</f>
        <v>-28243.557726272367</v>
      </c>
      <c r="J115" s="1021">
        <f>(VLOOKUP(YEAR($A115),'NY East Load Projections'!$A$4:$EO$14,((MONTH($A115)-1)*12)+VLOOKUP(J$4,$DE$6:$DF$17,2)+1))*(VLOOKUP($A115,CURVES!$D$9:$K$261,8))*(INDEX(DailyScalarsTable,J$5/100,MONTH($A115)))*$B115</f>
        <v>-25881.000294160604</v>
      </c>
      <c r="K115" s="1021">
        <f>(VLOOKUP(YEAR($A115),'NY East Load Projections'!$A$4:$EO$14,((MONTH($A115)-1)*12)+VLOOKUP(K$4,$DE$6:$DF$17,2)+1))*(VLOOKUP($A115,CURVES!$D$9:$K$261,8))*(INDEX(DailyScalarsTable,K$5/100,MONTH($A115)))*$B115</f>
        <v>-25865.352240182721</v>
      </c>
      <c r="L115" s="1021">
        <f>(VLOOKUP(YEAR($A115),'NY East Load Projections'!$A$4:$EO$14,((MONTH($A115)-1)*12)+VLOOKUP(L$4,$DE$6:$DF$17,2)+1))*(VLOOKUP($A115,CURVES!$D$9:$K$261,8))*(INDEX(DailyScalarsTable,L$5/100,MONTH($A115)))*$B115</f>
        <v>-27993.826209791376</v>
      </c>
      <c r="M115" s="1021">
        <f>(VLOOKUP(YEAR($A115),'NY East Load Projections'!$A$4:$EO$14,((MONTH($A115)-1)*12)+VLOOKUP(M$4,$DE$6:$DF$17,2)+1))*(VLOOKUP($A115,CURVES!$D$9:$K$261,8))*(INDEX(DailyScalarsTable,M$5/100,MONTH($A115)))*$B115</f>
        <v>-29875.513996368019</v>
      </c>
      <c r="N115" s="1021">
        <f>(VLOOKUP(YEAR($A115),'NY East Load Projections'!$A$4:$EO$14,((MONTH($A115)-1)*12)+VLOOKUP(N$4,$DE$6:$DF$17,2)+1))*(VLOOKUP($A115,CURVES!$D$9:$K$261,8))*(INDEX(DailyScalarsTable,N$5/100,MONTH($A115)))*$B115</f>
        <v>-57211.245532119414</v>
      </c>
      <c r="O115" s="1021">
        <f>(VLOOKUP(YEAR($A115),'NY East Load Projections'!$A$4:$EO$14,((MONTH($A115)-1)*12)+VLOOKUP(O$4,$DE$6:$DF$17,2)+1))*(VLOOKUP($A115,CURVES!$D$9:$K$261,4))*(INDEX(DailyScalarsTable,O$5/100,MONTH($A115)))*$B115</f>
        <v>-67861.664834339928</v>
      </c>
      <c r="P115" s="1021">
        <f>(VLOOKUP(YEAR($A115),'NY East Load Projections'!$A$4:$EO$14,((MONTH($A115)-1)*12)+VLOOKUP(P$4,$DE$6:$DF$17,2)+1))*(VLOOKUP($A115,CURVES!$D$9:$K$261,4))*(INDEX(DailyScalarsTable,P$5/100,MONTH($A115)))*$B115</f>
        <v>-73746.876594331392</v>
      </c>
      <c r="Q115" s="1021">
        <f>(VLOOKUP(YEAR($A115),'NY East Load Projections'!$A$4:$EO$14,((MONTH($A115)-1)*12)+VLOOKUP(Q$4,$DE$6:$DF$17,2)+1))*(VLOOKUP($A115,CURVES!$D$9:$K$261,4))*(INDEX(DailyScalarsTable,Q$5/100,MONTH($A115)))*$B115</f>
        <v>-73522.420723981442</v>
      </c>
      <c r="R115" s="1021">
        <f>(VLOOKUP(YEAR($A115),'NY East Load Projections'!$A$4:$EO$14,((MONTH($A115)-1)*12)+VLOOKUP(R$4,$DE$6:$DF$17,2)+1))*(VLOOKUP($A115,CURVES!$D$9:$K$261,4))*(INDEX(DailyScalarsTable,R$5/100,MONTH($A115)))*$B115</f>
        <v>-72239.358049941831</v>
      </c>
      <c r="S115" s="1021">
        <f>(VLOOKUP(YEAR($A115),'NY East Load Projections'!$A$4:$EO$14,((MONTH($A115)-1)*12)+VLOOKUP(S$4,$DE$6:$DF$17,2)+1))*(VLOOKUP($A115,CURVES!$D$9:$K$261,4))*(INDEX(DailyScalarsTable,S$5/100,MONTH($A115)))*$B115</f>
        <v>-54114.113981174749</v>
      </c>
      <c r="T115" s="1021">
        <f>(VLOOKUP(YEAR($A115),'NY East Load Projections'!$A$4:$EO$14,((MONTH($A115)-1)*12)+VLOOKUP(T$4,$DE$6:$DF$17,2)+1))*(VLOOKUP($A115,CURVES!$D$9:$K$261,4))*(INDEX(DailyScalarsTable,T$5/100,MONTH($A115)))*$B115</f>
        <v>-52171.723027246902</v>
      </c>
      <c r="U115" s="1021">
        <f>(VLOOKUP(YEAR($A115),'NY East Load Projections'!$A$4:$EO$14,((MONTH($A115)-1)*12)+VLOOKUP(U$4,$DE$6:$DF$17,2)+1))*(VLOOKUP($A115,CURVES!$D$9:$K$261,4))*(INDEX(DailyScalarsTable,U$5/100,MONTH($A115)))*$B115</f>
        <v>-50487.189153180443</v>
      </c>
      <c r="V115" s="1021">
        <f>(VLOOKUP(YEAR($A115),'NY East Load Projections'!$A$4:$EO$14,((MONTH($A115)-1)*12)+VLOOKUP(V$4,$DE$6:$DF$17,2)+1))*(VLOOKUP($A115,CURVES!$D$9:$K$261,4))*(INDEX(DailyScalarsTable,V$5/100,MONTH($A115)))*$B115</f>
        <v>-47917.66465686891</v>
      </c>
      <c r="W115" s="1021">
        <f>(VLOOKUP(YEAR($A115),'NY East Load Projections'!$A$4:$EO$14,((MONTH($A115)-1)*12)+VLOOKUP(W$4,$DE$6:$DF$17,2)+1))*(VLOOKUP($A115,CURVES!$D$9:$K$261,4))*(INDEX(DailyScalarsTable,W$5/100,MONTH($A115)))*$B115</f>
        <v>-46953.330047801872</v>
      </c>
      <c r="X115" s="1021">
        <f>(VLOOKUP(YEAR($A115),'NY East Load Projections'!$A$4:$EO$14,((MONTH($A115)-1)*12)+VLOOKUP(X$4,$DE$6:$DF$17,2)+1))*(VLOOKUP($A115,CURVES!$D$9:$K$261,4))*(INDEX(DailyScalarsTable,X$5/100,MONTH($A115)))*$B115</f>
        <v>-49320.377874044178</v>
      </c>
      <c r="Y115" s="1021">
        <f>(VLOOKUP(YEAR($A115),'NY East Load Projections'!$A$4:$EO$14,((MONTH($A115)-1)*12)+VLOOKUP(Y$4,$DE$6:$DF$17,2)+1))*(VLOOKUP($A115,CURVES!$D$9:$K$261,4))*(INDEX(DailyScalarsTable,Y$5/100,MONTH($A115)))*$B115</f>
        <v>-68627.163119049481</v>
      </c>
      <c r="Z115" s="1021">
        <f>(VLOOKUP(YEAR($A115),'NY East Load Projections'!$A$4:$EO$14,((MONTH($A115)-1)*12)+VLOOKUP(Z$4,$DE$6:$DF$17,2)+1))*(VLOOKUP($A115,CURVES!$D$9:$K$261,4))*(INDEX(DailyScalarsTable,Z$5/100,MONTH($A115)))*$B115</f>
        <v>-75302.232453477685</v>
      </c>
      <c r="AA115" s="1021">
        <f>(VLOOKUP(YEAR($A115),'NY East Load Projections'!$A$4:$EO$14,((MONTH($A115)-1)*12)+VLOOKUP(AA$4,$DE$6:$DF$17,2)+1))*(VLOOKUP($A115,CURVES!$D$9:$K$261,4))*(INDEX(DailyScalarsTable,AA$5/100,MONTH($A115)))*$B115</f>
        <v>-72077.303062711057</v>
      </c>
      <c r="AB115" s="1021">
        <f>(VLOOKUP(YEAR($A115),'NY East Load Projections'!$A$4:$EO$14,((MONTH($A115)-1)*12)+VLOOKUP(AB$4,$DE$6:$DF$17,2)+1))*(VLOOKUP($A115,CURVES!$D$9:$K$261,4))*(INDEX(DailyScalarsTable,AB$5/100,MONTH($A115)))*$B115</f>
        <v>-65280.544578563313</v>
      </c>
      <c r="AC115" s="1021">
        <f>(VLOOKUP(YEAR($A115),'NY East Load Projections'!$A$4:$EO$14,((MONTH($A115)-1)*12)+VLOOKUP(AC$4,$DE$6:$DF$17,2)+1))*(VLOOKUP($A115,CURVES!$D$9:$K$261,4))*(INDEX(DailyScalarsTable,AC$5/100,MONTH($A115)))*$B115</f>
        <v>-46429.035264728671</v>
      </c>
      <c r="AD115" s="1021">
        <f>(VLOOKUP(YEAR($A115),'NY East Load Projections'!$A$4:$EO$14,((MONTH($A115)-1)*12)+VLOOKUP(AD$4,$DE$6:$DF$17,2)+1))*(VLOOKUP($A115,CURVES!$D$9:$K$261,4))*(INDEX(DailyScalarsTable,AD$5/100,MONTH($A115)))*$B115</f>
        <v>-38007.944267230712</v>
      </c>
      <c r="AE115" s="1021">
        <f>(VLOOKUP(YEAR($A115),'NY East Load Projections'!$A$4:$EO$14,((MONTH($A115)-1)*12)+VLOOKUP(AE$4,$DE$6:$DF$17,2)+1))*(VLOOKUP($A115,CURVES!$D$9:$K$261,8))*(INDEX(DailyScalarsTable,AE$5/100,MONTH($A115)))*$B115</f>
        <v>-32979.960863211025</v>
      </c>
      <c r="AF115" s="1021"/>
      <c r="AG115" s="1021">
        <f>(VLOOKUP(YEAR($A115),'NY East Load Projections'!$A$4:$EO$14,((MONTH($A115)-1)*12)+VLOOKUP(AG$4,$DE$6:$DF$17,2)+1))*(VLOOKUP($A115,CURVES!$D$9:$T$261,8))*(INDEX(DailyScalarsTable,AG$5/100,MONTH($A115)))*$C115</f>
        <v>-5663.3828678985856</v>
      </c>
      <c r="AH115" s="1021">
        <f>(VLOOKUP(YEAR($A115),'NY East Load Projections'!$A$4:$EO$14,((MONTH($A115)-1)*12)+VLOOKUP(AH$4,$DE$6:$DF$17,2)+1))*(VLOOKUP($A115,CURVES!$D$9:$T$261,8))*(INDEX(DailyScalarsTable,AH$5/100,MONTH($A115)))*$C115</f>
        <v>-5553.044391350958</v>
      </c>
      <c r="AI115" s="1021">
        <f>(VLOOKUP(YEAR($A115),'NY East Load Projections'!$A$4:$EO$14,((MONTH($A115)-1)*12)+VLOOKUP(AI$4,$DE$6:$DF$17,2)+1))*(VLOOKUP($A115,CURVES!$D$9:$T$261,8))*(INDEX(DailyScalarsTable,AI$5/100,MONTH($A115)))*$C115</f>
        <v>-5088.5354075755549</v>
      </c>
      <c r="AJ115" s="1021">
        <f>(VLOOKUP(YEAR($A115),'NY East Load Projections'!$A$4:$EO$14,((MONTH($A115)-1)*12)+VLOOKUP(AJ$4,$DE$6:$DF$17,2)+1))*(VLOOKUP($A115,CURVES!$D$9:$T$261,8))*(INDEX(DailyScalarsTable,AJ$5/100,MONTH($A115)))*$C115</f>
        <v>-5085.4588001870798</v>
      </c>
      <c r="AK115" s="1021">
        <f>(VLOOKUP(YEAR($A115),'NY East Load Projections'!$A$4:$EO$14,((MONTH($A115)-1)*12)+VLOOKUP(AK$4,$DE$6:$DF$17,2)+1))*(VLOOKUP($A115,CURVES!$D$9:$T$261,8))*(INDEX(DailyScalarsTable,AK$5/100,MONTH($A115)))*$C115</f>
        <v>-5300.1090100441988</v>
      </c>
      <c r="AL115" s="1021">
        <f>(VLOOKUP(YEAR($A115),'NY East Load Projections'!$A$4:$EO$14,((MONTH($A115)-1)*12)+VLOOKUP(AL$4,$DE$6:$DF$17,2)+1))*(VLOOKUP($A115,CURVES!$D$9:$T$261,8))*(INDEX(DailyScalarsTable,AL$5/100,MONTH($A115)))*$C115</f>
        <v>-5656.3715058168091</v>
      </c>
      <c r="AM115" s="1021">
        <f>(VLOOKUP(YEAR($A115),'NY East Load Projections'!$A$4:$EO$14,((MONTH($A115)-1)*12)+VLOOKUP(AM$4,$DE$6:$DF$17,2)+1))*(VLOOKUP($A115,CURVES!$D$9:$T$261,8))*(INDEX(DailyScalarsTable,AM$5/100,MONTH($A115)))*$C115</f>
        <v>-10831.882560397476</v>
      </c>
      <c r="AN115" s="1021">
        <f>(VLOOKUP(YEAR($A115),'NY East Load Projections'!$A$4:$EO$14,((MONTH($A115)-1)*12)+VLOOKUP(AN$4,$DE$6:$DF$17,2)+1))*(VLOOKUP($A115,SatSunCurve,4))*(INDEX(DailyScalarsTable,AN$5/100,MONTH($A115)))*$C115</f>
        <v>-9952.5162066010435</v>
      </c>
      <c r="AO115" s="1021">
        <f>(VLOOKUP(YEAR($A115),'NY East Load Projections'!$A$4:$EO$14,((MONTH($A115)-1)*12)+VLOOKUP(AO$4,$DE$6:$DF$17,2)+1))*(VLOOKUP($A115,SatSunCurve,4))*(INDEX(DailyScalarsTable,AO$5/100,MONTH($A115)))*$C115</f>
        <v>-10843.85535296496</v>
      </c>
      <c r="AP115" s="1021">
        <f>(VLOOKUP(YEAR($A115),'NY East Load Projections'!$A$4:$EO$14,((MONTH($A115)-1)*12)+VLOOKUP(AP$4,$DE$6:$DF$17,2)+1))*(VLOOKUP($A115,SatSunCurve,4))*(INDEX(DailyScalarsTable,AP$5/100,MONTH($A115)))*$C115</f>
        <v>-10810.851012935922</v>
      </c>
      <c r="AQ115" s="1021">
        <f>(VLOOKUP(YEAR($A115),'NY East Load Projections'!$A$4:$EO$14,((MONTH($A115)-1)*12)+VLOOKUP(AQ$4,$DE$6:$DF$17,2)+1))*(VLOOKUP($A115,SatSunCurve,4))*(INDEX(DailyScalarsTable,AQ$5/100,MONTH($A115)))*$C115</f>
        <v>-10622.187483189316</v>
      </c>
      <c r="AR115" s="1021">
        <f>(VLOOKUP(YEAR($A115),'NY East Load Projections'!$A$4:$EO$14,((MONTH($A115)-1)*12)+VLOOKUP(AR$4,$DE$6:$DF$17,2)+1))*(VLOOKUP($A115,SatSunCurve,4))*(INDEX(DailyScalarsTable,AR$5/100,MONTH($A115)))*$C115</f>
        <v>-7957.023424783566</v>
      </c>
      <c r="AS115" s="1021">
        <f>(VLOOKUP(YEAR($A115),'NY East Load Projections'!$A$4:$EO$14,((MONTH($A115)-1)*12)+VLOOKUP(AS$4,$DE$6:$DF$17,2)+1))*(VLOOKUP($A115,SatSunCurve,4))*(INDEX(DailyScalarsTable,AS$5/100,MONTH($A115)))*$C115</f>
        <v>-7676.9029741222857</v>
      </c>
      <c r="AT115" s="1021">
        <f>(VLOOKUP(YEAR($A115),'NY East Load Projections'!$A$4:$EO$14,((MONTH($A115)-1)*12)+VLOOKUP(AT$4,$DE$6:$DF$17,2)+1))*(VLOOKUP($A115,SatSunCurve,4))*(INDEX(DailyScalarsTable,AT$5/100,MONTH($A115)))*$C115</f>
        <v>-7429.0291766424371</v>
      </c>
      <c r="AU115" s="1021">
        <f>(VLOOKUP(YEAR($A115),'NY East Load Projections'!$A$4:$EO$14,((MONTH($A115)-1)*12)+VLOOKUP(AU$4,$DE$6:$DF$17,2)+1))*(VLOOKUP($A115,SatSunCurve,4))*(INDEX(DailyScalarsTable,AU$5/100,MONTH($A115)))*$C115</f>
        <v>-7050.9318261387543</v>
      </c>
      <c r="AV115" s="1021">
        <f>(VLOOKUP(YEAR($A115),'NY East Load Projections'!$A$4:$EO$14,((MONTH($A115)-1)*12)+VLOOKUP(AV$4,$DE$6:$DF$17,2)+1))*(VLOOKUP($A115,SatSunCurve,4))*(INDEX(DailyScalarsTable,AV$5/100,MONTH($A115)))*$C115</f>
        <v>-6909.0330580162317</v>
      </c>
      <c r="AW115" s="1021">
        <f>(VLOOKUP(YEAR($A115),'NY East Load Projections'!$A$4:$EO$14,((MONTH($A115)-1)*12)+VLOOKUP(AW$4,$DE$6:$DF$17,2)+1))*(VLOOKUP($A115,SatSunCurve,4))*(INDEX(DailyScalarsTable,AW$5/100,MONTH($A115)))*$C115</f>
        <v>-7381.242613899105</v>
      </c>
      <c r="AX115" s="1021">
        <f>(VLOOKUP(YEAR($A115),'NY East Load Projections'!$A$4:$EO$14,((MONTH($A115)-1)*12)+VLOOKUP(AX$4,$DE$6:$DF$17,2)+1))*(VLOOKUP($A115,SatSunCurve,4))*(INDEX(DailyScalarsTable,AX$5/100,MONTH($A115)))*$C115</f>
        <v>-10270.67842381469</v>
      </c>
      <c r="AY115" s="1021">
        <f>(VLOOKUP(YEAR($A115),'NY East Load Projections'!$A$4:$EO$14,((MONTH($A115)-1)*12)+VLOOKUP(AY$4,$DE$6:$DF$17,2)+1))*(VLOOKUP($A115,SatSunCurve,4))*(INDEX(DailyScalarsTable,AY$5/100,MONTH($A115)))*$C115</f>
        <v>-11269.663191284246</v>
      </c>
      <c r="AZ115" s="1021">
        <f>(VLOOKUP(YEAR($A115),'NY East Load Projections'!$A$4:$EO$14,((MONTH($A115)-1)*12)+VLOOKUP(AZ$4,$DE$6:$DF$17,2)+1))*(VLOOKUP($A115,SatSunCurve,4))*(INDEX(DailyScalarsTable,AZ$5/100,MONTH($A115)))*$C115</f>
        <v>-10787.023210164605</v>
      </c>
      <c r="BA115" s="1021">
        <f>(VLOOKUP(YEAR($A115),'NY East Load Projections'!$A$4:$EO$14,((MONTH($A115)-1)*12)+VLOOKUP(BA$4,$DE$6:$DF$17,2)+1))*(VLOOKUP($A115,SatSunCurve,4))*(INDEX(DailyScalarsTable,BA$5/100,MONTH($A115)))*$C115</f>
        <v>-9945.34382402556</v>
      </c>
      <c r="BB115" s="1021">
        <f>(VLOOKUP(YEAR($A115),'NY East Load Projections'!$A$4:$EO$14,((MONTH($A115)-1)*12)+VLOOKUP(BB$4,$DE$6:$DF$17,2)+1))*(VLOOKUP($A115,SatSunCurve,4))*(INDEX(DailyScalarsTable,BB$5/100,MONTH($A115)))*$C115</f>
        <v>-7073.3588714142506</v>
      </c>
      <c r="BC115" s="1021">
        <f>(VLOOKUP(YEAR($A115),'NY East Load Projections'!$A$4:$EO$14,((MONTH($A115)-1)*12)+VLOOKUP(BC$4,$DE$6:$DF$17,2)+1))*(VLOOKUP($A115,SatSunCurve,4))*(INDEX(DailyScalarsTable,BC$5/100,MONTH($A115)))*$C115</f>
        <v>-5790.4246391066135</v>
      </c>
      <c r="BD115" s="1021">
        <f>(VLOOKUP(YEAR($A115),'NY East Load Projections'!$A$4:$EO$14,((MONTH($A115)-1)*12)+VLOOKUP(BD$4,$DE$6:$DF$17,2)+1))*(VLOOKUP($A115,CURVES!$D$9:$T$261,8))*(INDEX(DailyScalarsTable,BD$5/100,MONTH($A115)))*$C115</f>
        <v>-6486.3491966133133</v>
      </c>
      <c r="BE115" s="1021"/>
      <c r="BF115" s="1021">
        <f>(VLOOKUP(YEAR($A115),'NY East Load Projections'!$A$4:$EO$14,((MONTH($A115)-1)*12)+VLOOKUP(BF$4,$DE$6:$DF$17,2)+1))*(VLOOKUP($A115,CURVES!$D$9:$T$261,8))*(INDEX(DailyScalarsTable,BF$5/100,MONTH($A115)))*$D115</f>
        <v>-5663.3828678985856</v>
      </c>
      <c r="BG115" s="1021">
        <f>(VLOOKUP(YEAR($A115),'NY East Load Projections'!$A$4:$EO$14,((MONTH($A115)-1)*12)+VLOOKUP(BG$4,$DE$6:$DF$17,2)+1))*(VLOOKUP($A115,CURVES!$D$9:$T$261,8))*(INDEX(DailyScalarsTable,BG$5/100,MONTH($A115)))*$D115</f>
        <v>-5553.044391350958</v>
      </c>
      <c r="BH115" s="1021">
        <f>(VLOOKUP(YEAR($A115),'NY East Load Projections'!$A$4:$EO$14,((MONTH($A115)-1)*12)+VLOOKUP(BH$4,$DE$6:$DF$17,2)+1))*(VLOOKUP($A115,CURVES!$D$9:$T$261,8))*(INDEX(DailyScalarsTable,BH$5/100,MONTH($A115)))*$D115</f>
        <v>-5088.5354075755549</v>
      </c>
      <c r="BI115" s="1021">
        <f>(VLOOKUP(YEAR($A115),'NY East Load Projections'!$A$4:$EO$14,((MONTH($A115)-1)*12)+VLOOKUP(BI$4,$DE$6:$DF$17,2)+1))*(VLOOKUP($A115,CURVES!$D$9:$T$261,8))*(INDEX(DailyScalarsTable,BI$5/100,MONTH($A115)))*$D115</f>
        <v>-5085.4588001870798</v>
      </c>
      <c r="BJ115" s="1021">
        <f>(VLOOKUP(YEAR($A115),'NY East Load Projections'!$A$4:$EO$14,((MONTH($A115)-1)*12)+VLOOKUP(BJ$4,$DE$6:$DF$17,2)+1))*(VLOOKUP($A115,CURVES!$D$9:$T$261,8))*(INDEX(DailyScalarsTable,BJ$5/100,MONTH($A115)))*$D115</f>
        <v>-5300.1090100441988</v>
      </c>
      <c r="BK115" s="1021">
        <f>(VLOOKUP(YEAR($A115),'NY East Load Projections'!$A$4:$EO$14,((MONTH($A115)-1)*12)+VLOOKUP(BK$4,$DE$6:$DF$17,2)+1))*(VLOOKUP($A115,CURVES!$D$9:$T$261,8))*(INDEX(DailyScalarsTable,BK$5/100,MONTH($A115)))*$D115</f>
        <v>-5656.3715058168091</v>
      </c>
      <c r="BL115" s="1021">
        <f>(VLOOKUP(YEAR($A115),'NY East Load Projections'!$A$4:$EO$14,((MONTH($A115)-1)*12)+VLOOKUP(BL$4,$DE$6:$DF$17,2)+1))*(VLOOKUP($A115,CURVES!$D$9:$T$261,8))*(INDEX(DailyScalarsTable,BL$5/100,MONTH($A115)))*$D115</f>
        <v>-10831.882560397476</v>
      </c>
      <c r="BM115" s="1021">
        <f>(VLOOKUP(YEAR($A115),'NY East Load Projections'!$A$4:$EO$14,((MONTH($A115)-1)*12)+VLOOKUP(BM$4,$DE$6:$DF$17,2)+1))*(VLOOKUP($A115,SatSunCurve,8))*(INDEX(DailyScalarsTable,BM$5/100,MONTH($A115)))*$D115</f>
        <v>-10175.588907162846</v>
      </c>
      <c r="BN115" s="1021">
        <f>(VLOOKUP(YEAR($A115),'NY East Load Projections'!$A$4:$EO$14,((MONTH($A115)-1)*12)+VLOOKUP(BN$4,$DE$6:$DF$17,2)+1))*(VLOOKUP($A115,SatSunCurve,8))*(INDEX(DailyScalarsTable,BN$5/100,MONTH($A115)))*$D115</f>
        <v>-11086.906260682452</v>
      </c>
      <c r="BO115" s="1021">
        <f>(VLOOKUP(YEAR($A115),'NY East Load Projections'!$A$4:$EO$14,((MONTH($A115)-1)*12)+VLOOKUP(BO$4,$DE$6:$DF$17,2)+1))*(VLOOKUP($A115,SatSunCurve,8))*(INDEX(DailyScalarsTable,BO$5/100,MONTH($A115)))*$D115</f>
        <v>-11053.162171316895</v>
      </c>
      <c r="BP115" s="1021">
        <f>(VLOOKUP(YEAR($A115),'NY East Load Projections'!$A$4:$EO$14,((MONTH($A115)-1)*12)+VLOOKUP(BP$4,$DE$6:$DF$17,2)+1))*(VLOOKUP($A115,SatSunCurve,8))*(INDEX(DailyScalarsTable,BP$5/100,MONTH($A115)))*$D115</f>
        <v>-10860.269994039911</v>
      </c>
      <c r="BQ115" s="1021">
        <f>(VLOOKUP(YEAR($A115),'NY East Load Projections'!$A$4:$EO$14,((MONTH($A115)-1)*12)+VLOOKUP(BQ$4,$DE$6:$DF$17,2)+1))*(VLOOKUP($A115,SatSunCurve,8))*(INDEX(DailyScalarsTable,BQ$5/100,MONTH($A115)))*$D115</f>
        <v>-8135.3697511751488</v>
      </c>
      <c r="BR115" s="1021">
        <f>(VLOOKUP(YEAR($A115),'NY East Load Projections'!$A$4:$EO$14,((MONTH($A115)-1)*12)+VLOOKUP(BR$4,$DE$6:$DF$17,2)+1))*(VLOOKUP($A115,SatSunCurve,8))*(INDEX(DailyScalarsTable,BR$5/100,MONTH($A115)))*$D115</f>
        <v>-7848.9707651048875</v>
      </c>
      <c r="BS115" s="1021">
        <f>(VLOOKUP(YEAR($A115),'NY East Load Projections'!$A$4:$EO$14,((MONTH($A115)-1)*12)+VLOOKUP(BS$4,$DE$6:$DF$17,2)+1))*(VLOOKUP($A115,SatSunCurve,8))*(INDEX(DailyScalarsTable,BS$5/100,MONTH($A115)))*$D115</f>
        <v>-7595.5411989877903</v>
      </c>
      <c r="BT115" s="1021">
        <f>(VLOOKUP(YEAR($A115),'NY East Load Projections'!$A$4:$EO$14,((MONTH($A115)-1)*12)+VLOOKUP(BT$4,$DE$6:$DF$17,2)+1))*(VLOOKUP($A115,SatSunCurve,8))*(INDEX(DailyScalarsTable,BT$5/100,MONTH($A115)))*$D115</f>
        <v>-7208.9692883526523</v>
      </c>
      <c r="BU115" s="1021">
        <f>(VLOOKUP(YEAR($A115),'NY East Load Projections'!$A$4:$EO$14,((MONTH($A115)-1)*12)+VLOOKUP(BU$4,$DE$6:$DF$17,2)+1))*(VLOOKUP($A115,SatSunCurve,8))*(INDEX(DailyScalarsTable,BU$5/100,MONTH($A115)))*$D115</f>
        <v>-7063.8900439812696</v>
      </c>
      <c r="BV115" s="1021">
        <f>(VLOOKUP(YEAR($A115),'NY East Load Projections'!$A$4:$EO$14,((MONTH($A115)-1)*12)+VLOOKUP(BV$4,$DE$6:$DF$17,2)+1))*(VLOOKUP($A115,SatSunCurve,8))*(INDEX(DailyScalarsTable,BV$5/100,MONTH($A115)))*$D115</f>
        <v>-7546.6835626204183</v>
      </c>
      <c r="BW115" s="1021">
        <f>(VLOOKUP(YEAR($A115),'NY East Load Projections'!$A$4:$EO$14,((MONTH($A115)-1)*12)+VLOOKUP(BW$4,$DE$6:$DF$17,2)+1))*(VLOOKUP($A115,SatSunCurve,8))*(INDEX(DailyScalarsTable,BW$5/100,MONTH($A115)))*$D115</f>
        <v>-10500.882316482815</v>
      </c>
      <c r="BX115" s="1021">
        <f>(VLOOKUP(YEAR($A115),'NY East Load Projections'!$A$4:$EO$14,((MONTH($A115)-1)*12)+VLOOKUP(BX$4,$DE$6:$DF$17,2)+1))*(VLOOKUP($A115,SatSunCurve,8))*(INDEX(DailyScalarsTable,BX$5/100,MONTH($A115)))*$D115</f>
        <v>-11522.258027636717</v>
      </c>
      <c r="BY115" s="1021">
        <f>(VLOOKUP(YEAR($A115),'NY East Load Projections'!$A$4:$EO$14,((MONTH($A115)-1)*12)+VLOOKUP(BY$4,$DE$6:$DF$17,2)+1))*(VLOOKUP($A115,SatSunCurve,8))*(INDEX(DailyScalarsTable,BY$5/100,MONTH($A115)))*$D115</f>
        <v>-11028.800299351184</v>
      </c>
      <c r="BZ115" s="1021">
        <f>(VLOOKUP(YEAR($A115),'NY East Load Projections'!$A$4:$EO$14,((MONTH($A115)-1)*12)+VLOOKUP(BZ$4,$DE$6:$DF$17,2)+1))*(VLOOKUP($A115,SatSunCurve,8))*(INDEX(DailyScalarsTable,BZ$5/100,MONTH($A115)))*$D115</f>
        <v>-10168.25576496463</v>
      </c>
      <c r="CA115" s="1021">
        <f>(VLOOKUP(YEAR($A115),'NY East Load Projections'!$A$4:$EO$14,((MONTH($A115)-1)*12)+VLOOKUP(CA$4,$DE$6:$DF$17,2)+1))*(VLOOKUP($A115,SatSunCurve,8))*(INDEX(DailyScalarsTable,CA$5/100,MONTH($A115)))*$D115</f>
        <v>-7231.8990066659371</v>
      </c>
      <c r="CB115" s="1021">
        <f>(VLOOKUP(YEAR($A115),'NY East Load Projections'!$A$4:$EO$14,((MONTH($A115)-1)*12)+VLOOKUP(CB$4,$DE$6:$DF$17,2)+1))*(VLOOKUP($A115,SatSunCurve,8))*(INDEX(DailyScalarsTable,CB$5/100,MONTH($A115)))*$D115</f>
        <v>-5920.2094728945131</v>
      </c>
      <c r="CC115" s="1021">
        <f>(VLOOKUP(YEAR($A115),'NY East Load Projections'!$A$4:$EO$14,((MONTH($A115)-1)*12)+VLOOKUP(CC$4,$DE$6:$DF$17,2)+1))*(VLOOKUP($A115,CURVES!$D$9:$T$261,8))*(INDEX(DailyScalarsTable,CC$5/100,MONTH($A115)))*$D115</f>
        <v>-6486.3491966133133</v>
      </c>
      <c r="CE115" s="1021">
        <f>(VLOOKUP(YEAR($A115),'NY East Load Projections'!$A$4:$EO$14,((MONTH($A115)-1)*12)+VLOOKUP(CE$4,$DE$6:$DF$17,2)+1))*(VLOOKUP($A115,CURVES!$D$9:$T$261,8))*(INDEX(DailyScalarsTable,CE$5/100,MONTH($A115)))*$E115</f>
        <v>0</v>
      </c>
      <c r="CF115" s="1021">
        <f>(VLOOKUP(YEAR($A115),'NY East Load Projections'!$A$4:$EO$14,((MONTH($A115)-1)*12)+VLOOKUP(CF$4,$DE$6:$DF$17,2)+1))*(VLOOKUP($A115,CURVES!$D$9:$T$261,8))*(INDEX(DailyScalarsTable,CF$5/100,MONTH($A115)))*$E115</f>
        <v>0</v>
      </c>
      <c r="CG115" s="1021">
        <f>(VLOOKUP(YEAR($A115),'NY East Load Projections'!$A$4:$EO$14,((MONTH($A115)-1)*12)+VLOOKUP(CG$4,$DE$6:$DF$17,2)+1))*(VLOOKUP($A115,CURVES!$D$9:$T$261,8))*(INDEX(DailyScalarsTable,CG$5/100,MONTH($A115)))*$E115</f>
        <v>0</v>
      </c>
      <c r="CH115" s="1021">
        <f>(VLOOKUP(YEAR($A115),'NY East Load Projections'!$A$4:$EO$14,((MONTH($A115)-1)*12)+VLOOKUP(CH$4,$DE$6:$DF$17,2)+1))*(VLOOKUP($A115,CURVES!$D$9:$T$261,8))*(INDEX(DailyScalarsTable,CH$5/100,MONTH($A115)))*$E115</f>
        <v>0</v>
      </c>
      <c r="CI115" s="1021">
        <f>(VLOOKUP(YEAR($A115),'NY East Load Projections'!$A$4:$EO$14,((MONTH($A115)-1)*12)+VLOOKUP(CI$4,$DE$6:$DF$17,2)+1))*(VLOOKUP($A115,CURVES!$D$9:$T$261,8))*(INDEX(DailyScalarsTable,CI$5/100,MONTH($A115)))*$E115</f>
        <v>0</v>
      </c>
      <c r="CJ115" s="1021">
        <f>(VLOOKUP(YEAR($A115),'NY East Load Projections'!$A$4:$EO$14,((MONTH($A115)-1)*12)+VLOOKUP(CJ$4,$DE$6:$DF$17,2)+1))*(VLOOKUP($A115,CURVES!$D$9:$T$261,8))*(INDEX(DailyScalarsTable,CJ$5/100,MONTH($A115)))*$E115</f>
        <v>0</v>
      </c>
      <c r="CK115" s="1021">
        <f>(VLOOKUP(YEAR($A115),'NY East Load Projections'!$A$4:$EO$14,((MONTH($A115)-1)*12)+VLOOKUP(CK$4,$DE$6:$DF$17,2)+1))*(VLOOKUP($A115,CURVES!$D$9:$T$261,8))*(INDEX(DailyScalarsTable,CK$5/100,MONTH($A115)))*$E115</f>
        <v>0</v>
      </c>
      <c r="CL115" s="1021">
        <f>(VLOOKUP(YEAR($A115),'NY East Load Projections'!$A$4:$EO$14,((MONTH($A115)-1)*12)+VLOOKUP(CL$4,$DE$6:$DF$17,2)+1))*(VLOOKUP($A115,SatSunCurve,8))*(INDEX(DailyScalarsTable,CL$5/100,MONTH($A115)))*$E115</f>
        <v>0</v>
      </c>
      <c r="CM115" s="1021">
        <f>(VLOOKUP(YEAR($A115),'NY East Load Projections'!$A$4:$EO$14,((MONTH($A115)-1)*12)+VLOOKUP(CM$4,$DE$6:$DF$17,2)+1))*(VLOOKUP($A115,SatSunCurve,8))*(INDEX(DailyScalarsTable,CM$5/100,MONTH($A115)))*$E115</f>
        <v>0</v>
      </c>
      <c r="CN115" s="1021">
        <f>(VLOOKUP(YEAR($A115),'NY East Load Projections'!$A$4:$EO$14,((MONTH($A115)-1)*12)+VLOOKUP(CN$4,$DE$6:$DF$17,2)+1))*(VLOOKUP($A115,SatSunCurve,8))*(INDEX(DailyScalarsTable,CN$5/100,MONTH($A115)))*$E115</f>
        <v>0</v>
      </c>
      <c r="CO115" s="1021">
        <f>(VLOOKUP(YEAR($A115),'NY East Load Projections'!$A$4:$EO$14,((MONTH($A115)-1)*12)+VLOOKUP(CO$4,$DE$6:$DF$17,2)+1))*(VLOOKUP($A115,SatSunCurve,8))*(INDEX(DailyScalarsTable,CO$5/100,MONTH($A115)))*$E115</f>
        <v>0</v>
      </c>
      <c r="CP115" s="1021">
        <f>(VLOOKUP(YEAR($A115),'NY East Load Projections'!$A$4:$EO$14,((MONTH($A115)-1)*12)+VLOOKUP(CP$4,$DE$6:$DF$17,2)+1))*(VLOOKUP($A115,SatSunCurve,8))*(INDEX(DailyScalarsTable,CP$5/100,MONTH($A115)))*$E115</f>
        <v>0</v>
      </c>
      <c r="CQ115" s="1021">
        <f>(VLOOKUP(YEAR($A115),'NY East Load Projections'!$A$4:$EO$14,((MONTH($A115)-1)*12)+VLOOKUP(CQ$4,$DE$6:$DF$17,2)+1))*(VLOOKUP($A115,SatSunCurve,8))*(INDEX(DailyScalarsTable,CQ$5/100,MONTH($A115)))*$E115</f>
        <v>0</v>
      </c>
      <c r="CR115" s="1021">
        <f>(VLOOKUP(YEAR($A115),'NY East Load Projections'!$A$4:$EO$14,((MONTH($A115)-1)*12)+VLOOKUP(CR$4,$DE$6:$DF$17,2)+1))*(VLOOKUP($A115,SatSunCurve,8))*(INDEX(DailyScalarsTable,CR$5/100,MONTH($A115)))*$E115</f>
        <v>0</v>
      </c>
      <c r="CS115" s="1021">
        <f>(VLOOKUP(YEAR($A115),'NY East Load Projections'!$A$4:$EO$14,((MONTH($A115)-1)*12)+VLOOKUP(CS$4,$DE$6:$DF$17,2)+1))*(VLOOKUP($A115,SatSunCurve,8))*(INDEX(DailyScalarsTable,CS$5/100,MONTH($A115)))*$E115</f>
        <v>0</v>
      </c>
      <c r="CT115" s="1021">
        <f>(VLOOKUP(YEAR($A115),'NY East Load Projections'!$A$4:$EO$14,((MONTH($A115)-1)*12)+VLOOKUP(CT$4,$DE$6:$DF$17,2)+1))*(VLOOKUP($A115,SatSunCurve,8))*(INDEX(DailyScalarsTable,CT$5/100,MONTH($A115)))*$E115</f>
        <v>0</v>
      </c>
      <c r="CU115" s="1021">
        <f>(VLOOKUP(YEAR($A115),'NY East Load Projections'!$A$4:$EO$14,((MONTH($A115)-1)*12)+VLOOKUP(CU$4,$DE$6:$DF$17,2)+1))*(VLOOKUP($A115,SatSunCurve,8))*(INDEX(DailyScalarsTable,CU$5/100,MONTH($A115)))*$E115</f>
        <v>0</v>
      </c>
      <c r="CV115" s="1021">
        <f>(VLOOKUP(YEAR($A115),'NY East Load Projections'!$A$4:$EO$14,((MONTH($A115)-1)*12)+VLOOKUP(CV$4,$DE$6:$DF$17,2)+1))*(VLOOKUP($A115,SatSunCurve,8))*(INDEX(DailyScalarsTable,CV$5/100,MONTH($A115)))*$E115</f>
        <v>0</v>
      </c>
      <c r="CW115" s="1021">
        <f>(VLOOKUP(YEAR($A115),'NY East Load Projections'!$A$4:$EO$14,((MONTH($A115)-1)*12)+VLOOKUP(CW$4,$DE$6:$DF$17,2)+1))*(VLOOKUP($A115,SatSunCurve,8))*(INDEX(DailyScalarsTable,CW$5/100,MONTH($A115)))*$E115</f>
        <v>0</v>
      </c>
      <c r="CX115" s="1021">
        <f>(VLOOKUP(YEAR($A115),'NY East Load Projections'!$A$4:$EO$14,((MONTH($A115)-1)*12)+VLOOKUP(CX$4,$DE$6:$DF$17,2)+1))*(VLOOKUP($A115,SatSunCurve,8))*(INDEX(DailyScalarsTable,CX$5/100,MONTH($A115)))*$E115</f>
        <v>0</v>
      </c>
      <c r="CY115" s="1021">
        <f>(VLOOKUP(YEAR($A115),'NY East Load Projections'!$A$4:$EO$14,((MONTH($A115)-1)*12)+VLOOKUP(CY$4,$DE$6:$DF$17,2)+1))*(VLOOKUP($A115,SatSunCurve,8))*(INDEX(DailyScalarsTable,CY$5/100,MONTH($A115)))*$E115</f>
        <v>0</v>
      </c>
      <c r="CZ115" s="1021">
        <f>(VLOOKUP(YEAR($A115),'NY East Load Projections'!$A$4:$EO$14,((MONTH($A115)-1)*12)+VLOOKUP(CZ$4,$DE$6:$DF$17,2)+1))*(VLOOKUP($A115,SatSunCurve,8))*(INDEX(DailyScalarsTable,CZ$5/100,MONTH($A115)))*$E115</f>
        <v>0</v>
      </c>
      <c r="DA115" s="1021">
        <f>(VLOOKUP(YEAR($A115),'NY East Load Projections'!$A$4:$EO$14,((MONTH($A115)-1)*12)+VLOOKUP(DA$4,$DE$6:$DF$17,2)+1))*(VLOOKUP($A115,SatSunCurve,8))*(INDEX(DailyScalarsTable,DA$5/100,MONTH($A115)))*$E115</f>
        <v>0</v>
      </c>
      <c r="DB115" s="1021">
        <f>(VLOOKUP(YEAR($A115),'NY East Load Projections'!$A$4:$EO$14,((MONTH($A115)-1)*12)+VLOOKUP(DB$4,$DE$6:$DF$17,2)+1))*(VLOOKUP($A115,CURVES!$D$9:$T$261,8))*(INDEX(DailyScalarsTable,DB$5/100,MONTH($A115)))*$E115</f>
        <v>0</v>
      </c>
      <c r="DH115" s="1021">
        <f t="shared" si="2"/>
        <v>-1596962.142747415</v>
      </c>
      <c r="DI115">
        <f ca="1">CALC!J135</f>
        <v>0.48096549532935601</v>
      </c>
      <c r="DJ115" s="1029">
        <f t="shared" ca="1" si="3"/>
        <v>-768083.6880087402</v>
      </c>
    </row>
    <row r="116" spans="1:114" x14ac:dyDescent="0.25">
      <c r="A116" s="244">
        <v>40238</v>
      </c>
      <c r="B116" s="13">
        <v>23</v>
      </c>
      <c r="C116" s="210">
        <v>4</v>
      </c>
      <c r="D116" s="210">
        <v>4</v>
      </c>
      <c r="E116" s="210">
        <v>0</v>
      </c>
      <c r="F116" s="13">
        <v>31</v>
      </c>
      <c r="H116" s="1021">
        <f>(VLOOKUP(YEAR($A116),'NY East Load Projections'!$A$4:$EO$14,((MONTH($A116)-1)*12)+VLOOKUP(H$4,$DE$6:$DF$17,2)+1))*(VLOOKUP($A116,CURVES!$D$9:$K$261,8))*(INDEX(DailyScalarsTable,H$5/100,MONTH($A116)))*$B116</f>
        <v>-28370.045102775963</v>
      </c>
      <c r="I116" s="1021">
        <f>(VLOOKUP(YEAR($A116),'NY East Load Projections'!$A$4:$EO$14,((MONTH($A116)-1)*12)+VLOOKUP(I$4,$DE$6:$DF$17,2)+1))*(VLOOKUP($A116,CURVES!$D$9:$K$261,8))*(INDEX(DailyScalarsTable,I$5/100,MONTH($A116)))*$B116</f>
        <v>-26825.136033802286</v>
      </c>
      <c r="J116" s="1021">
        <f>(VLOOKUP(YEAR($A116),'NY East Load Projections'!$A$4:$EO$14,((MONTH($A116)-1)*12)+VLOOKUP(J$4,$DE$6:$DF$17,2)+1))*(VLOOKUP($A116,CURVES!$D$9:$K$261,8))*(INDEX(DailyScalarsTable,J$5/100,MONTH($A116)))*$B116</f>
        <v>-25681.889602432533</v>
      </c>
      <c r="K116" s="1021">
        <f>(VLOOKUP(YEAR($A116),'NY East Load Projections'!$A$4:$EO$14,((MONTH($A116)-1)*12)+VLOOKUP(K$4,$DE$6:$DF$17,2)+1))*(VLOOKUP($A116,CURVES!$D$9:$K$261,8))*(INDEX(DailyScalarsTable,K$5/100,MONTH($A116)))*$B116</f>
        <v>-25698.010989253547</v>
      </c>
      <c r="L116" s="1021">
        <f>(VLOOKUP(YEAR($A116),'NY East Load Projections'!$A$4:$EO$14,((MONTH($A116)-1)*12)+VLOOKUP(L$4,$DE$6:$DF$17,2)+1))*(VLOOKUP($A116,CURVES!$D$9:$K$261,8))*(INDEX(DailyScalarsTable,L$5/100,MONTH($A116)))*$B116</f>
        <v>-28673.74736328232</v>
      </c>
      <c r="M116" s="1021">
        <f>(VLOOKUP(YEAR($A116),'NY East Load Projections'!$A$4:$EO$14,((MONTH($A116)-1)*12)+VLOOKUP(M$4,$DE$6:$DF$17,2)+1))*(VLOOKUP($A116,CURVES!$D$9:$K$261,8))*(INDEX(DailyScalarsTable,M$5/100,MONTH($A116)))*$B116</f>
        <v>-33283.720519190952</v>
      </c>
      <c r="N116" s="1021">
        <f>(VLOOKUP(YEAR($A116),'NY East Load Projections'!$A$4:$EO$14,((MONTH($A116)-1)*12)+VLOOKUP(N$4,$DE$6:$DF$17,2)+1))*(VLOOKUP($A116,CURVES!$D$9:$K$261,8))*(INDEX(DailyScalarsTable,N$5/100,MONTH($A116)))*$B116</f>
        <v>-60056.704300234764</v>
      </c>
      <c r="O116" s="1021">
        <f>(VLOOKUP(YEAR($A116),'NY East Load Projections'!$A$4:$EO$14,((MONTH($A116)-1)*12)+VLOOKUP(O$4,$DE$6:$DF$17,2)+1))*(VLOOKUP($A116,CURVES!$D$9:$K$261,4))*(INDEX(DailyScalarsTable,O$5/100,MONTH($A116)))*$B116</f>
        <v>-64251.202150446028</v>
      </c>
      <c r="P116" s="1021">
        <f>(VLOOKUP(YEAR($A116),'NY East Load Projections'!$A$4:$EO$14,((MONTH($A116)-1)*12)+VLOOKUP(P$4,$DE$6:$DF$17,2)+1))*(VLOOKUP($A116,CURVES!$D$9:$K$261,4))*(INDEX(DailyScalarsTable,P$5/100,MONTH($A116)))*$B116</f>
        <v>-70945.96552352939</v>
      </c>
      <c r="Q116" s="1021">
        <f>(VLOOKUP(YEAR($A116),'NY East Load Projections'!$A$4:$EO$14,((MONTH($A116)-1)*12)+VLOOKUP(Q$4,$DE$6:$DF$17,2)+1))*(VLOOKUP($A116,CURVES!$D$9:$K$261,4))*(INDEX(DailyScalarsTable,Q$5/100,MONTH($A116)))*$B116</f>
        <v>-70731.30299547028</v>
      </c>
      <c r="R116" s="1021">
        <f>(VLOOKUP(YEAR($A116),'NY East Load Projections'!$A$4:$EO$14,((MONTH($A116)-1)*12)+VLOOKUP(R$4,$DE$6:$DF$17,2)+1))*(VLOOKUP($A116,CURVES!$D$9:$K$261,4))*(INDEX(DailyScalarsTable,R$5/100,MONTH($A116)))*$B116</f>
        <v>-69485.067763127241</v>
      </c>
      <c r="S116" s="1021">
        <f>(VLOOKUP(YEAR($A116),'NY East Load Projections'!$A$4:$EO$14,((MONTH($A116)-1)*12)+VLOOKUP(S$4,$DE$6:$DF$17,2)+1))*(VLOOKUP($A116,CURVES!$D$9:$K$261,4))*(INDEX(DailyScalarsTable,S$5/100,MONTH($A116)))*$B116</f>
        <v>-53093.198606615028</v>
      </c>
      <c r="T116" s="1021">
        <f>(VLOOKUP(YEAR($A116),'NY East Load Projections'!$A$4:$EO$14,((MONTH($A116)-1)*12)+VLOOKUP(T$4,$DE$6:$DF$17,2)+1))*(VLOOKUP($A116,CURVES!$D$9:$K$261,4))*(INDEX(DailyScalarsTable,T$5/100,MONTH($A116)))*$B116</f>
        <v>-52253.028346150662</v>
      </c>
      <c r="U116" s="1021">
        <f>(VLOOKUP(YEAR($A116),'NY East Load Projections'!$A$4:$EO$14,((MONTH($A116)-1)*12)+VLOOKUP(U$4,$DE$6:$DF$17,2)+1))*(VLOOKUP($A116,CURVES!$D$9:$K$261,4))*(INDEX(DailyScalarsTable,U$5/100,MONTH($A116)))*$B116</f>
        <v>-50585.378505316061</v>
      </c>
      <c r="V116" s="1021">
        <f>(VLOOKUP(YEAR($A116),'NY East Load Projections'!$A$4:$EO$14,((MONTH($A116)-1)*12)+VLOOKUP(V$4,$DE$6:$DF$17,2)+1))*(VLOOKUP($A116,CURVES!$D$9:$K$261,4))*(INDEX(DailyScalarsTable,V$5/100,MONTH($A116)))*$B116</f>
        <v>-48041.608277086489</v>
      </c>
      <c r="W116" s="1021">
        <f>(VLOOKUP(YEAR($A116),'NY East Load Projections'!$A$4:$EO$14,((MONTH($A116)-1)*12)+VLOOKUP(W$4,$DE$6:$DF$17,2)+1))*(VLOOKUP($A116,CURVES!$D$9:$K$261,4))*(INDEX(DailyScalarsTable,W$5/100,MONTH($A116)))*$B116</f>
        <v>-47086.939165304357</v>
      </c>
      <c r="X116" s="1021">
        <f>(VLOOKUP(YEAR($A116),'NY East Load Projections'!$A$4:$EO$14,((MONTH($A116)-1)*12)+VLOOKUP(X$4,$DE$6:$DF$17,2)+1))*(VLOOKUP($A116,CURVES!$D$9:$K$261,4))*(INDEX(DailyScalarsTable,X$5/100,MONTH($A116)))*$B116</f>
        <v>-49619.18447201961</v>
      </c>
      <c r="Y116" s="1021">
        <f>(VLOOKUP(YEAR($A116),'NY East Load Projections'!$A$4:$EO$14,((MONTH($A116)-1)*12)+VLOOKUP(Y$4,$DE$6:$DF$17,2)+1))*(VLOOKUP($A116,CURVES!$D$9:$K$261,4))*(INDEX(DailyScalarsTable,Y$5/100,MONTH($A116)))*$B116</f>
        <v>-67648.188999458944</v>
      </c>
      <c r="Z116" s="1021">
        <f>(VLOOKUP(YEAR($A116),'NY East Load Projections'!$A$4:$EO$14,((MONTH($A116)-1)*12)+VLOOKUP(Z$4,$DE$6:$DF$17,2)+1))*(VLOOKUP($A116,CURVES!$D$9:$K$261,4))*(INDEX(DailyScalarsTable,Z$5/100,MONTH($A116)))*$B116</f>
        <v>-74282.769220764778</v>
      </c>
      <c r="AA116" s="1021">
        <f>(VLOOKUP(YEAR($A116),'NY East Load Projections'!$A$4:$EO$14,((MONTH($A116)-1)*12)+VLOOKUP(AA$4,$DE$6:$DF$17,2)+1))*(VLOOKUP($A116,CURVES!$D$9:$K$261,4))*(INDEX(DailyScalarsTable,AA$5/100,MONTH($A116)))*$B116</f>
        <v>-71076.444800433004</v>
      </c>
      <c r="AB116" s="1021">
        <f>(VLOOKUP(YEAR($A116),'NY East Load Projections'!$A$4:$EO$14,((MONTH($A116)-1)*12)+VLOOKUP(AB$4,$DE$6:$DF$17,2)+1))*(VLOOKUP($A116,CURVES!$D$9:$K$261,4))*(INDEX(DailyScalarsTable,AB$5/100,MONTH($A116)))*$B116</f>
        <v>-64558.977322036066</v>
      </c>
      <c r="AC116" s="1021">
        <f>(VLOOKUP(YEAR($A116),'NY East Load Projections'!$A$4:$EO$14,((MONTH($A116)-1)*12)+VLOOKUP(AC$4,$DE$6:$DF$17,2)+1))*(VLOOKUP($A116,CURVES!$D$9:$K$261,4))*(INDEX(DailyScalarsTable,AC$5/100,MONTH($A116)))*$B116</f>
        <v>-46878.691505783761</v>
      </c>
      <c r="AD116" s="1021">
        <f>(VLOOKUP(YEAR($A116),'NY East Load Projections'!$A$4:$EO$14,((MONTH($A116)-1)*12)+VLOOKUP(AD$4,$DE$6:$DF$17,2)+1))*(VLOOKUP($A116,CURVES!$D$9:$K$261,4))*(INDEX(DailyScalarsTable,AD$5/100,MONTH($A116)))*$B116</f>
        <v>-38478.300604566946</v>
      </c>
      <c r="AE116" s="1021">
        <f>(VLOOKUP(YEAR($A116),'NY East Load Projections'!$A$4:$EO$14,((MONTH($A116)-1)*12)+VLOOKUP(AE$4,$DE$6:$DF$17,2)+1))*(VLOOKUP($A116,CURVES!$D$9:$K$261,8))*(INDEX(DailyScalarsTable,AE$5/100,MONTH($A116)))*$B116</f>
        <v>-34829.201933922675</v>
      </c>
      <c r="AF116" s="1021"/>
      <c r="AG116" s="1021">
        <f>(VLOOKUP(YEAR($A116),'NY East Load Projections'!$A$4:$EO$14,((MONTH($A116)-1)*12)+VLOOKUP(AG$4,$DE$6:$DF$17,2)+1))*(VLOOKUP($A116,CURVES!$D$9:$T$261,8))*(INDEX(DailyScalarsTable,AG$5/100,MONTH($A116)))*$C116</f>
        <v>-5066.3797945786073</v>
      </c>
      <c r="AH116" s="1021">
        <f>(VLOOKUP(YEAR($A116),'NY East Load Projections'!$A$4:$EO$14,((MONTH($A116)-1)*12)+VLOOKUP(AH$4,$DE$6:$DF$17,2)+1))*(VLOOKUP($A116,CURVES!$D$9:$T$261,8))*(INDEX(DailyScalarsTable,AH$5/100,MONTH($A116)))*$C116</f>
        <v>-4790.4868214390044</v>
      </c>
      <c r="AI116" s="1021">
        <f>(VLOOKUP(YEAR($A116),'NY East Load Projections'!$A$4:$EO$14,((MONTH($A116)-1)*12)+VLOOKUP(AI$4,$DE$6:$DF$17,2)+1))*(VLOOKUP($A116,CURVES!$D$9:$T$261,8))*(INDEX(DailyScalarsTable,AI$5/100,MONTH($A116)))*$C116</f>
        <v>-4586.3235711116704</v>
      </c>
      <c r="AJ116" s="1021">
        <f>(VLOOKUP(YEAR($A116),'NY East Load Projections'!$A$4:$EO$14,((MONTH($A116)-1)*12)+VLOOKUP(AJ$4,$DE$6:$DF$17,2)+1))*(VLOOKUP($A116,CURVES!$D$9:$T$261,8))*(INDEX(DailyScalarsTable,AJ$5/100,MONTH($A116)))*$C116</f>
        <v>-4589.202560840261</v>
      </c>
      <c r="AK116" s="1021">
        <f>(VLOOKUP(YEAR($A116),'NY East Load Projections'!$A$4:$EO$14,((MONTH($A116)-1)*12)+VLOOKUP(AK$4,$DE$6:$DF$17,2)+1))*(VLOOKUP($A116,CURVES!$D$9:$T$261,8))*(INDEX(DailyScalarsTable,AK$5/100,MONTH($A116)))*$C116</f>
        <v>-4999.3186079032357</v>
      </c>
      <c r="AL116" s="1021">
        <f>(VLOOKUP(YEAR($A116),'NY East Load Projections'!$A$4:$EO$14,((MONTH($A116)-1)*12)+VLOOKUP(AL$4,$DE$6:$DF$17,2)+1))*(VLOOKUP($A116,CURVES!$D$9:$T$261,8))*(INDEX(DailyScalarsTable,AL$5/100,MONTH($A116)))*$C116</f>
        <v>-5803.075587703529</v>
      </c>
      <c r="AM116" s="1021">
        <f>(VLOOKUP(YEAR($A116),'NY East Load Projections'!$A$4:$EO$14,((MONTH($A116)-1)*12)+VLOOKUP(AM$4,$DE$6:$DF$17,2)+1))*(VLOOKUP($A116,CURVES!$D$9:$T$261,8))*(INDEX(DailyScalarsTable,AM$5/100,MONTH($A116)))*$C116</f>
        <v>-10470.992700520772</v>
      </c>
      <c r="AN116" s="1021">
        <f>(VLOOKUP(YEAR($A116),'NY East Load Projections'!$A$4:$EO$14,((MONTH($A116)-1)*12)+VLOOKUP(AN$4,$DE$6:$DF$17,2)+1))*(VLOOKUP($A116,SatSunCurve,4))*(INDEX(DailyScalarsTable,AN$5/100,MONTH($A116)))*$C116</f>
        <v>-7415.9782729579911</v>
      </c>
      <c r="AO116" s="1021">
        <f>(VLOOKUP(YEAR($A116),'NY East Load Projections'!$A$4:$EO$14,((MONTH($A116)-1)*12)+VLOOKUP(AO$4,$DE$6:$DF$17,2)+1))*(VLOOKUP($A116,SatSunCurve,4))*(INDEX(DailyScalarsTable,AO$5/100,MONTH($A116)))*$C116</f>
        <v>-8055.690060022338</v>
      </c>
      <c r="AP116" s="1021">
        <f>(VLOOKUP(YEAR($A116),'NY East Load Projections'!$A$4:$EO$14,((MONTH($A116)-1)*12)+VLOOKUP(AP$4,$DE$6:$DF$17,2)+1))*(VLOOKUP($A116,SatSunCurve,4))*(INDEX(DailyScalarsTable,AP$5/100,MONTH($A116)))*$C116</f>
        <v>-8031.315808706082</v>
      </c>
      <c r="AQ116" s="1021">
        <f>(VLOOKUP(YEAR($A116),'NY East Load Projections'!$A$4:$EO$14,((MONTH($A116)-1)*12)+VLOOKUP(AQ$4,$DE$6:$DF$17,2)+1))*(VLOOKUP($A116,SatSunCurve,4))*(INDEX(DailyScalarsTable,AQ$5/100,MONTH($A116)))*$C116</f>
        <v>-7889.8097385644905</v>
      </c>
      <c r="AR116" s="1021">
        <f>(VLOOKUP(YEAR($A116),'NY East Load Projections'!$A$4:$EO$14,((MONTH($A116)-1)*12)+VLOOKUP(AR$4,$DE$6:$DF$17,2)+1))*(VLOOKUP($A116,SatSunCurve,4))*(INDEX(DailyScalarsTable,AR$5/100,MONTH($A116)))*$C116</f>
        <v>-6028.5648255537817</v>
      </c>
      <c r="AS116" s="1021">
        <f>(VLOOKUP(YEAR($A116),'NY East Load Projections'!$A$4:$EO$14,((MONTH($A116)-1)*12)+VLOOKUP(AS$4,$DE$6:$DF$17,2)+1))*(VLOOKUP($A116,SatSunCurve,4))*(INDEX(DailyScalarsTable,AS$5/100,MONTH($A116)))*$C116</f>
        <v>-5850.1530844904873</v>
      </c>
      <c r="AT116" s="1021">
        <f>(VLOOKUP(YEAR($A116),'NY East Load Projections'!$A$4:$EO$14,((MONTH($A116)-1)*12)+VLOOKUP(AT$4,$DE$6:$DF$17,2)+1))*(VLOOKUP($A116,SatSunCurve,4))*(INDEX(DailyScalarsTable,AT$5/100,MONTH($A116)))*$C116</f>
        <v>-5663.4460711556849</v>
      </c>
      <c r="AU116" s="1021">
        <f>(VLOOKUP(YEAR($A116),'NY East Load Projections'!$A$4:$EO$14,((MONTH($A116)-1)*12)+VLOOKUP(AU$4,$DE$6:$DF$17,2)+1))*(VLOOKUP($A116,SatSunCurve,4))*(INDEX(DailyScalarsTable,AU$5/100,MONTH($A116)))*$C116</f>
        <v>-5378.650228351511</v>
      </c>
      <c r="AV116" s="1021">
        <f>(VLOOKUP(YEAR($A116),'NY East Load Projections'!$A$4:$EO$14,((MONTH($A116)-1)*12)+VLOOKUP(AV$4,$DE$6:$DF$17,2)+1))*(VLOOKUP($A116,SatSunCurve,4))*(INDEX(DailyScalarsTable,AV$5/100,MONTH($A116)))*$C116</f>
        <v>-5271.7672279641956</v>
      </c>
      <c r="AW116" s="1021">
        <f>(VLOOKUP(YEAR($A116),'NY East Load Projections'!$A$4:$EO$14,((MONTH($A116)-1)*12)+VLOOKUP(AW$4,$DE$6:$DF$17,2)+1))*(VLOOKUP($A116,SatSunCurve,4))*(INDEX(DailyScalarsTable,AW$5/100,MONTH($A116)))*$C116</f>
        <v>-5631.4813529583153</v>
      </c>
      <c r="AX116" s="1021">
        <f>(VLOOKUP(YEAR($A116),'NY East Load Projections'!$A$4:$EO$14,((MONTH($A116)-1)*12)+VLOOKUP(AX$4,$DE$6:$DF$17,2)+1))*(VLOOKUP($A116,SatSunCurve,4))*(INDEX(DailyScalarsTable,AX$5/100,MONTH($A116)))*$C116</f>
        <v>-7677.665785230246</v>
      </c>
      <c r="AY116" s="1021">
        <f>(VLOOKUP(YEAR($A116),'NY East Load Projections'!$A$4:$EO$14,((MONTH($A116)-1)*12)+VLOOKUP(AY$4,$DE$6:$DF$17,2)+1))*(VLOOKUP($A116,SatSunCurve,4))*(INDEX(DailyScalarsTable,AY$5/100,MONTH($A116)))*$C116</f>
        <v>-8430.6510508800384</v>
      </c>
      <c r="AZ116" s="1021">
        <f>(VLOOKUP(YEAR($A116),'NY East Load Projections'!$A$4:$EO$14,((MONTH($A116)-1)*12)+VLOOKUP(AZ$4,$DE$6:$DF$17,2)+1))*(VLOOKUP($A116,SatSunCurve,4))*(INDEX(DailyScalarsTable,AZ$5/100,MONTH($A116)))*$C116</f>
        <v>-8066.7523617587922</v>
      </c>
      <c r="BA116" s="1021">
        <f>(VLOOKUP(YEAR($A116),'NY East Load Projections'!$A$4:$EO$14,((MONTH($A116)-1)*12)+VLOOKUP(BA$4,$DE$6:$DF$17,2)+1))*(VLOOKUP($A116,SatSunCurve,4))*(INDEX(DailyScalarsTable,BA$5/100,MONTH($A116)))*$C116</f>
        <v>-7412.0172736760496</v>
      </c>
      <c r="BB116" s="1021">
        <f>(VLOOKUP(YEAR($A116),'NY East Load Projections'!$A$4:$EO$14,((MONTH($A116)-1)*12)+VLOOKUP(BB$4,$DE$6:$DF$17,2)+1))*(VLOOKUP($A116,SatSunCurve,4))*(INDEX(DailyScalarsTable,BB$5/100,MONTH($A116)))*$C116</f>
        <v>-5382.1433613323161</v>
      </c>
      <c r="BC116" s="1021">
        <f>(VLOOKUP(YEAR($A116),'NY East Load Projections'!$A$4:$EO$14,((MONTH($A116)-1)*12)+VLOOKUP(BC$4,$DE$6:$DF$17,2)+1))*(VLOOKUP($A116,SatSunCurve,4))*(INDEX(DailyScalarsTable,BC$5/100,MONTH($A116)))*$C116</f>
        <v>-4417.6943404802232</v>
      </c>
      <c r="BD116" s="1021">
        <f>(VLOOKUP(YEAR($A116),'NY East Load Projections'!$A$4:$EO$14,((MONTH($A116)-1)*12)+VLOOKUP(BD$4,$DE$6:$DF$17,2)+1))*(VLOOKUP($A116,CURVES!$D$9:$T$261,8))*(INDEX(DailyScalarsTable,BD$5/100,MONTH($A116)))*$C116</f>
        <v>-6040.3551444051536</v>
      </c>
      <c r="BE116" s="1021"/>
      <c r="BF116" s="1021">
        <f>(VLOOKUP(YEAR($A116),'NY East Load Projections'!$A$4:$EO$14,((MONTH($A116)-1)*12)+VLOOKUP(BF$4,$DE$6:$DF$17,2)+1))*(VLOOKUP($A116,CURVES!$D$9:$T$261,8))*(INDEX(DailyScalarsTable,BF$5/100,MONTH($A116)))*$D116</f>
        <v>-5066.3797945786073</v>
      </c>
      <c r="BG116" s="1021">
        <f>(VLOOKUP(YEAR($A116),'NY East Load Projections'!$A$4:$EO$14,((MONTH($A116)-1)*12)+VLOOKUP(BG$4,$DE$6:$DF$17,2)+1))*(VLOOKUP($A116,CURVES!$D$9:$T$261,8))*(INDEX(DailyScalarsTable,BG$5/100,MONTH($A116)))*$D116</f>
        <v>-4790.4868214390044</v>
      </c>
      <c r="BH116" s="1021">
        <f>(VLOOKUP(YEAR($A116),'NY East Load Projections'!$A$4:$EO$14,((MONTH($A116)-1)*12)+VLOOKUP(BH$4,$DE$6:$DF$17,2)+1))*(VLOOKUP($A116,CURVES!$D$9:$T$261,8))*(INDEX(DailyScalarsTable,BH$5/100,MONTH($A116)))*$D116</f>
        <v>-4586.3235711116704</v>
      </c>
      <c r="BI116" s="1021">
        <f>(VLOOKUP(YEAR($A116),'NY East Load Projections'!$A$4:$EO$14,((MONTH($A116)-1)*12)+VLOOKUP(BI$4,$DE$6:$DF$17,2)+1))*(VLOOKUP($A116,CURVES!$D$9:$T$261,8))*(INDEX(DailyScalarsTable,BI$5/100,MONTH($A116)))*$D116</f>
        <v>-4589.202560840261</v>
      </c>
      <c r="BJ116" s="1021">
        <f>(VLOOKUP(YEAR($A116),'NY East Load Projections'!$A$4:$EO$14,((MONTH($A116)-1)*12)+VLOOKUP(BJ$4,$DE$6:$DF$17,2)+1))*(VLOOKUP($A116,CURVES!$D$9:$T$261,8))*(INDEX(DailyScalarsTable,BJ$5/100,MONTH($A116)))*$D116</f>
        <v>-4999.3186079032357</v>
      </c>
      <c r="BK116" s="1021">
        <f>(VLOOKUP(YEAR($A116),'NY East Load Projections'!$A$4:$EO$14,((MONTH($A116)-1)*12)+VLOOKUP(BK$4,$DE$6:$DF$17,2)+1))*(VLOOKUP($A116,CURVES!$D$9:$T$261,8))*(INDEX(DailyScalarsTable,BK$5/100,MONTH($A116)))*$D116</f>
        <v>-5803.075587703529</v>
      </c>
      <c r="BL116" s="1021">
        <f>(VLOOKUP(YEAR($A116),'NY East Load Projections'!$A$4:$EO$14,((MONTH($A116)-1)*12)+VLOOKUP(BL$4,$DE$6:$DF$17,2)+1))*(VLOOKUP($A116,CURVES!$D$9:$T$261,8))*(INDEX(DailyScalarsTable,BL$5/100,MONTH($A116)))*$D116</f>
        <v>-10470.992700520772</v>
      </c>
      <c r="BM116" s="1021">
        <f>(VLOOKUP(YEAR($A116),'NY East Load Projections'!$A$4:$EO$14,((MONTH($A116)-1)*12)+VLOOKUP(BM$4,$DE$6:$DF$17,2)+1))*(VLOOKUP($A116,SatSunCurve,8))*(INDEX(DailyScalarsTable,BM$5/100,MONTH($A116)))*$D116</f>
        <v>-8483.4399213455108</v>
      </c>
      <c r="BN116" s="1021">
        <f>(VLOOKUP(YEAR($A116),'NY East Load Projections'!$A$4:$EO$14,((MONTH($A116)-1)*12)+VLOOKUP(BN$4,$DE$6:$DF$17,2)+1))*(VLOOKUP($A116,SatSunCurve,8))*(INDEX(DailyScalarsTable,BN$5/100,MONTH($A116)))*$D116</f>
        <v>-9215.2323178154529</v>
      </c>
      <c r="BO116" s="1021">
        <f>(VLOOKUP(YEAR($A116),'NY East Load Projections'!$A$4:$EO$14,((MONTH($A116)-1)*12)+VLOOKUP(BO$4,$DE$6:$DF$17,2)+1))*(VLOOKUP($A116,SatSunCurve,8))*(INDEX(DailyScalarsTable,BO$5/100,MONTH($A116)))*$D116</f>
        <v>-9187.3496179128342</v>
      </c>
      <c r="BP116" s="1021">
        <f>(VLOOKUP(YEAR($A116),'NY East Load Projections'!$A$4:$EO$14,((MONTH($A116)-1)*12)+VLOOKUP(BP$4,$DE$6:$DF$17,2)+1))*(VLOOKUP($A116,SatSunCurve,8))*(INDEX(DailyScalarsTable,BP$5/100,MONTH($A116)))*$D116</f>
        <v>-9025.4750545892985</v>
      </c>
      <c r="BQ116" s="1021">
        <f>(VLOOKUP(YEAR($A116),'NY East Load Projections'!$A$4:$EO$14,((MONTH($A116)-1)*12)+VLOOKUP(BQ$4,$DE$6:$DF$17,2)+1))*(VLOOKUP($A116,SatSunCurve,8))*(INDEX(DailyScalarsTable,BQ$5/100,MONTH($A116)))*$D116</f>
        <v>-6896.3211092476713</v>
      </c>
      <c r="BR116" s="1021">
        <f>(VLOOKUP(YEAR($A116),'NY East Load Projections'!$A$4:$EO$14,((MONTH($A116)-1)*12)+VLOOKUP(BR$4,$DE$6:$DF$17,2)+1))*(VLOOKUP($A116,SatSunCurve,8))*(INDEX(DailyScalarsTable,BR$5/100,MONTH($A116)))*$D116</f>
        <v>-6692.2286441858223</v>
      </c>
      <c r="BS116" s="1021">
        <f>(VLOOKUP(YEAR($A116),'NY East Load Projections'!$A$4:$EO$14,((MONTH($A116)-1)*12)+VLOOKUP(BS$4,$DE$6:$DF$17,2)+1))*(VLOOKUP($A116,SatSunCurve,8))*(INDEX(DailyScalarsTable,BS$5/100,MONTH($A116)))*$D116</f>
        <v>-6478.6468789458495</v>
      </c>
      <c r="BT116" s="1021">
        <f>(VLOOKUP(YEAR($A116),'NY East Load Projections'!$A$4:$EO$14,((MONTH($A116)-1)*12)+VLOOKUP(BT$4,$DE$6:$DF$17,2)+1))*(VLOOKUP($A116,SatSunCurve,8))*(INDEX(DailyScalarsTable,BT$5/100,MONTH($A116)))*$D116</f>
        <v>-6152.8573022573401</v>
      </c>
      <c r="BU116" s="1021">
        <f>(VLOOKUP(YEAR($A116),'NY East Load Projections'!$A$4:$EO$14,((MONTH($A116)-1)*12)+VLOOKUP(BU$4,$DE$6:$DF$17,2)+1))*(VLOOKUP($A116,SatSunCurve,8))*(INDEX(DailyScalarsTable,BU$5/100,MONTH($A116)))*$D116</f>
        <v>-6030.5894801272098</v>
      </c>
      <c r="BV116" s="1021">
        <f>(VLOOKUP(YEAR($A116),'NY East Load Projections'!$A$4:$EO$14,((MONTH($A116)-1)*12)+VLOOKUP(BV$4,$DE$6:$DF$17,2)+1))*(VLOOKUP($A116,SatSunCurve,8))*(INDEX(DailyScalarsTable,BV$5/100,MONTH($A116)))*$D116</f>
        <v>-6442.0811344885151</v>
      </c>
      <c r="BW116" s="1021">
        <f>(VLOOKUP(YEAR($A116),'NY East Load Projections'!$A$4:$EO$14,((MONTH($A116)-1)*12)+VLOOKUP(BW$4,$DE$6:$DF$17,2)+1))*(VLOOKUP($A116,SatSunCurve,8))*(INDEX(DailyScalarsTable,BW$5/100,MONTH($A116)))*$D116</f>
        <v>-8782.7949365325421</v>
      </c>
      <c r="BX116" s="1021">
        <f>(VLOOKUP(YEAR($A116),'NY East Load Projections'!$A$4:$EO$14,((MONTH($A116)-1)*12)+VLOOKUP(BX$4,$DE$6:$DF$17,2)+1))*(VLOOKUP($A116,SatSunCurve,8))*(INDEX(DailyScalarsTable,BX$5/100,MONTH($A116)))*$D116</f>
        <v>-9644.1654837052047</v>
      </c>
      <c r="BY116" s="1021">
        <f>(VLOOKUP(YEAR($A116),'NY East Load Projections'!$A$4:$EO$14,((MONTH($A116)-1)*12)+VLOOKUP(BY$4,$DE$6:$DF$17,2)+1))*(VLOOKUP($A116,SatSunCurve,8))*(INDEX(DailyScalarsTable,BY$5/100,MONTH($A116)))*$D116</f>
        <v>-9227.8869358198244</v>
      </c>
      <c r="BZ116" s="1021">
        <f>(VLOOKUP(YEAR($A116),'NY East Load Projections'!$A$4:$EO$14,((MONTH($A116)-1)*12)+VLOOKUP(BZ$4,$DE$6:$DF$17,2)+1))*(VLOOKUP($A116,SatSunCurve,8))*(INDEX(DailyScalarsTable,BZ$5/100,MONTH($A116)))*$D116</f>
        <v>-8478.9087727633487</v>
      </c>
      <c r="CA116" s="1021">
        <f>(VLOOKUP(YEAR($A116),'NY East Load Projections'!$A$4:$EO$14,((MONTH($A116)-1)*12)+VLOOKUP(CA$4,$DE$6:$DF$17,2)+1))*(VLOOKUP($A116,SatSunCurve,8))*(INDEX(DailyScalarsTable,CA$5/100,MONTH($A116)))*$D116</f>
        <v>-6156.8532395011134</v>
      </c>
      <c r="CB116" s="1021">
        <f>(VLOOKUP(YEAR($A116),'NY East Load Projections'!$A$4:$EO$14,((MONTH($A116)-1)*12)+VLOOKUP(CB$4,$DE$6:$DF$17,2)+1))*(VLOOKUP($A116,SatSunCurve,8))*(INDEX(DailyScalarsTable,CB$5/100,MONTH($A116)))*$D116</f>
        <v>-5053.580680648839</v>
      </c>
      <c r="CC116" s="1021">
        <f>(VLOOKUP(YEAR($A116),'NY East Load Projections'!$A$4:$EO$14,((MONTH($A116)-1)*12)+VLOOKUP(CC$4,$DE$6:$DF$17,2)+1))*(VLOOKUP($A116,CURVES!$D$9:$T$261,8))*(INDEX(DailyScalarsTable,CC$5/100,MONTH($A116)))*$D116</f>
        <v>-6040.3551444051536</v>
      </c>
      <c r="CE116" s="1021">
        <f>(VLOOKUP(YEAR($A116),'NY East Load Projections'!$A$4:$EO$14,((MONTH($A116)-1)*12)+VLOOKUP(CE$4,$DE$6:$DF$17,2)+1))*(VLOOKUP($A116,CURVES!$D$9:$T$261,8))*(INDEX(DailyScalarsTable,CE$5/100,MONTH($A116)))*$E116</f>
        <v>0</v>
      </c>
      <c r="CF116" s="1021">
        <f>(VLOOKUP(YEAR($A116),'NY East Load Projections'!$A$4:$EO$14,((MONTH($A116)-1)*12)+VLOOKUP(CF$4,$DE$6:$DF$17,2)+1))*(VLOOKUP($A116,CURVES!$D$9:$T$261,8))*(INDEX(DailyScalarsTable,CF$5/100,MONTH($A116)))*$E116</f>
        <v>0</v>
      </c>
      <c r="CG116" s="1021">
        <f>(VLOOKUP(YEAR($A116),'NY East Load Projections'!$A$4:$EO$14,((MONTH($A116)-1)*12)+VLOOKUP(CG$4,$DE$6:$DF$17,2)+1))*(VLOOKUP($A116,CURVES!$D$9:$T$261,8))*(INDEX(DailyScalarsTable,CG$5/100,MONTH($A116)))*$E116</f>
        <v>0</v>
      </c>
      <c r="CH116" s="1021">
        <f>(VLOOKUP(YEAR($A116),'NY East Load Projections'!$A$4:$EO$14,((MONTH($A116)-1)*12)+VLOOKUP(CH$4,$DE$6:$DF$17,2)+1))*(VLOOKUP($A116,CURVES!$D$9:$T$261,8))*(INDEX(DailyScalarsTable,CH$5/100,MONTH($A116)))*$E116</f>
        <v>0</v>
      </c>
      <c r="CI116" s="1021">
        <f>(VLOOKUP(YEAR($A116),'NY East Load Projections'!$A$4:$EO$14,((MONTH($A116)-1)*12)+VLOOKUP(CI$4,$DE$6:$DF$17,2)+1))*(VLOOKUP($A116,CURVES!$D$9:$T$261,8))*(INDEX(DailyScalarsTable,CI$5/100,MONTH($A116)))*$E116</f>
        <v>0</v>
      </c>
      <c r="CJ116" s="1021">
        <f>(VLOOKUP(YEAR($A116),'NY East Load Projections'!$A$4:$EO$14,((MONTH($A116)-1)*12)+VLOOKUP(CJ$4,$DE$6:$DF$17,2)+1))*(VLOOKUP($A116,CURVES!$D$9:$T$261,8))*(INDEX(DailyScalarsTable,CJ$5/100,MONTH($A116)))*$E116</f>
        <v>0</v>
      </c>
      <c r="CK116" s="1021">
        <f>(VLOOKUP(YEAR($A116),'NY East Load Projections'!$A$4:$EO$14,((MONTH($A116)-1)*12)+VLOOKUP(CK$4,$DE$6:$DF$17,2)+1))*(VLOOKUP($A116,CURVES!$D$9:$T$261,8))*(INDEX(DailyScalarsTable,CK$5/100,MONTH($A116)))*$E116</f>
        <v>0</v>
      </c>
      <c r="CL116" s="1021">
        <f>(VLOOKUP(YEAR($A116),'NY East Load Projections'!$A$4:$EO$14,((MONTH($A116)-1)*12)+VLOOKUP(CL$4,$DE$6:$DF$17,2)+1))*(VLOOKUP($A116,SatSunCurve,8))*(INDEX(DailyScalarsTable,CL$5/100,MONTH($A116)))*$E116</f>
        <v>0</v>
      </c>
      <c r="CM116" s="1021">
        <f>(VLOOKUP(YEAR($A116),'NY East Load Projections'!$A$4:$EO$14,((MONTH($A116)-1)*12)+VLOOKUP(CM$4,$DE$6:$DF$17,2)+1))*(VLOOKUP($A116,SatSunCurve,8))*(INDEX(DailyScalarsTable,CM$5/100,MONTH($A116)))*$E116</f>
        <v>0</v>
      </c>
      <c r="CN116" s="1021">
        <f>(VLOOKUP(YEAR($A116),'NY East Load Projections'!$A$4:$EO$14,((MONTH($A116)-1)*12)+VLOOKUP(CN$4,$DE$6:$DF$17,2)+1))*(VLOOKUP($A116,SatSunCurve,8))*(INDEX(DailyScalarsTable,CN$5/100,MONTH($A116)))*$E116</f>
        <v>0</v>
      </c>
      <c r="CO116" s="1021">
        <f>(VLOOKUP(YEAR($A116),'NY East Load Projections'!$A$4:$EO$14,((MONTH($A116)-1)*12)+VLOOKUP(CO$4,$DE$6:$DF$17,2)+1))*(VLOOKUP($A116,SatSunCurve,8))*(INDEX(DailyScalarsTable,CO$5/100,MONTH($A116)))*$E116</f>
        <v>0</v>
      </c>
      <c r="CP116" s="1021">
        <f>(VLOOKUP(YEAR($A116),'NY East Load Projections'!$A$4:$EO$14,((MONTH($A116)-1)*12)+VLOOKUP(CP$4,$DE$6:$DF$17,2)+1))*(VLOOKUP($A116,SatSunCurve,8))*(INDEX(DailyScalarsTable,CP$5/100,MONTH($A116)))*$E116</f>
        <v>0</v>
      </c>
      <c r="CQ116" s="1021">
        <f>(VLOOKUP(YEAR($A116),'NY East Load Projections'!$A$4:$EO$14,((MONTH($A116)-1)*12)+VLOOKUP(CQ$4,$DE$6:$DF$17,2)+1))*(VLOOKUP($A116,SatSunCurve,8))*(INDEX(DailyScalarsTable,CQ$5/100,MONTH($A116)))*$E116</f>
        <v>0</v>
      </c>
      <c r="CR116" s="1021">
        <f>(VLOOKUP(YEAR($A116),'NY East Load Projections'!$A$4:$EO$14,((MONTH($A116)-1)*12)+VLOOKUP(CR$4,$DE$6:$DF$17,2)+1))*(VLOOKUP($A116,SatSunCurve,8))*(INDEX(DailyScalarsTable,CR$5/100,MONTH($A116)))*$E116</f>
        <v>0</v>
      </c>
      <c r="CS116" s="1021">
        <f>(VLOOKUP(YEAR($A116),'NY East Load Projections'!$A$4:$EO$14,((MONTH($A116)-1)*12)+VLOOKUP(CS$4,$DE$6:$DF$17,2)+1))*(VLOOKUP($A116,SatSunCurve,8))*(INDEX(DailyScalarsTable,CS$5/100,MONTH($A116)))*$E116</f>
        <v>0</v>
      </c>
      <c r="CT116" s="1021">
        <f>(VLOOKUP(YEAR($A116),'NY East Load Projections'!$A$4:$EO$14,((MONTH($A116)-1)*12)+VLOOKUP(CT$4,$DE$6:$DF$17,2)+1))*(VLOOKUP($A116,SatSunCurve,8))*(INDEX(DailyScalarsTable,CT$5/100,MONTH($A116)))*$E116</f>
        <v>0</v>
      </c>
      <c r="CU116" s="1021">
        <f>(VLOOKUP(YEAR($A116),'NY East Load Projections'!$A$4:$EO$14,((MONTH($A116)-1)*12)+VLOOKUP(CU$4,$DE$6:$DF$17,2)+1))*(VLOOKUP($A116,SatSunCurve,8))*(INDEX(DailyScalarsTable,CU$5/100,MONTH($A116)))*$E116</f>
        <v>0</v>
      </c>
      <c r="CV116" s="1021">
        <f>(VLOOKUP(YEAR($A116),'NY East Load Projections'!$A$4:$EO$14,((MONTH($A116)-1)*12)+VLOOKUP(CV$4,$DE$6:$DF$17,2)+1))*(VLOOKUP($A116,SatSunCurve,8))*(INDEX(DailyScalarsTable,CV$5/100,MONTH($A116)))*$E116</f>
        <v>0</v>
      </c>
      <c r="CW116" s="1021">
        <f>(VLOOKUP(YEAR($A116),'NY East Load Projections'!$A$4:$EO$14,((MONTH($A116)-1)*12)+VLOOKUP(CW$4,$DE$6:$DF$17,2)+1))*(VLOOKUP($A116,SatSunCurve,8))*(INDEX(DailyScalarsTable,CW$5/100,MONTH($A116)))*$E116</f>
        <v>0</v>
      </c>
      <c r="CX116" s="1021">
        <f>(VLOOKUP(YEAR($A116),'NY East Load Projections'!$A$4:$EO$14,((MONTH($A116)-1)*12)+VLOOKUP(CX$4,$DE$6:$DF$17,2)+1))*(VLOOKUP($A116,SatSunCurve,8))*(INDEX(DailyScalarsTable,CX$5/100,MONTH($A116)))*$E116</f>
        <v>0</v>
      </c>
      <c r="CY116" s="1021">
        <f>(VLOOKUP(YEAR($A116),'NY East Load Projections'!$A$4:$EO$14,((MONTH($A116)-1)*12)+VLOOKUP(CY$4,$DE$6:$DF$17,2)+1))*(VLOOKUP($A116,SatSunCurve,8))*(INDEX(DailyScalarsTable,CY$5/100,MONTH($A116)))*$E116</f>
        <v>0</v>
      </c>
      <c r="CZ116" s="1021">
        <f>(VLOOKUP(YEAR($A116),'NY East Load Projections'!$A$4:$EO$14,((MONTH($A116)-1)*12)+VLOOKUP(CZ$4,$DE$6:$DF$17,2)+1))*(VLOOKUP($A116,SatSunCurve,8))*(INDEX(DailyScalarsTable,CZ$5/100,MONTH($A116)))*$E116</f>
        <v>0</v>
      </c>
      <c r="DA116" s="1021">
        <f>(VLOOKUP(YEAR($A116),'NY East Load Projections'!$A$4:$EO$14,((MONTH($A116)-1)*12)+VLOOKUP(DA$4,$DE$6:$DF$17,2)+1))*(VLOOKUP($A116,SatSunCurve,8))*(INDEX(DailyScalarsTable,DA$5/100,MONTH($A116)))*$E116</f>
        <v>0</v>
      </c>
      <c r="DB116" s="1021">
        <f>(VLOOKUP(YEAR($A116),'NY East Load Projections'!$A$4:$EO$14,((MONTH($A116)-1)*12)+VLOOKUP(DB$4,$DE$6:$DF$17,2)+1))*(VLOOKUP($A116,CURVES!$D$9:$T$261,8))*(INDEX(DailyScalarsTable,DB$5/100,MONTH($A116)))*$E116</f>
        <v>0</v>
      </c>
      <c r="DH116" s="1021">
        <f t="shared" si="2"/>
        <v>-1523679.1660339776</v>
      </c>
      <c r="DI116">
        <f ca="1">CALC!J136</f>
        <v>0.47793649822986561</v>
      </c>
      <c r="DJ116" s="1029">
        <f t="shared" ca="1" si="3"/>
        <v>-728221.88504008122</v>
      </c>
    </row>
    <row r="117" spans="1:114" x14ac:dyDescent="0.25">
      <c r="A117" s="244">
        <v>40269</v>
      </c>
      <c r="B117" s="13">
        <v>22</v>
      </c>
      <c r="C117" s="210">
        <v>4</v>
      </c>
      <c r="D117" s="210">
        <v>4</v>
      </c>
      <c r="E117" s="210">
        <v>0</v>
      </c>
      <c r="F117" s="13">
        <v>30</v>
      </c>
      <c r="H117" s="1021">
        <f>(VLOOKUP(YEAR($A117),'NY East Load Projections'!$A$4:$EO$14,((MONTH($A117)-1)*12)+VLOOKUP(H$4,$DE$6:$DF$17,2)+1))*(VLOOKUP($A117,CURVES!$D$9:$K$261,8))*(INDEX(DailyScalarsTable,H$5/100,MONTH($A117)))*$B117</f>
        <v>-31724.732443070217</v>
      </c>
      <c r="I117" s="1021">
        <f>(VLOOKUP(YEAR($A117),'NY East Load Projections'!$A$4:$EO$14,((MONTH($A117)-1)*12)+VLOOKUP(I$4,$DE$6:$DF$17,2)+1))*(VLOOKUP($A117,CURVES!$D$9:$K$261,8))*(INDEX(DailyScalarsTable,I$5/100,MONTH($A117)))*$B117</f>
        <v>-30090.013809563912</v>
      </c>
      <c r="J117" s="1021">
        <f>(VLOOKUP(YEAR($A117),'NY East Load Projections'!$A$4:$EO$14,((MONTH($A117)-1)*12)+VLOOKUP(J$4,$DE$6:$DF$17,2)+1))*(VLOOKUP($A117,CURVES!$D$9:$K$261,8))*(INDEX(DailyScalarsTable,J$5/100,MONTH($A117)))*$B117</f>
        <v>-28880.307502841752</v>
      </c>
      <c r="K117" s="1021">
        <f>(VLOOKUP(YEAR($A117),'NY East Load Projections'!$A$4:$EO$14,((MONTH($A117)-1)*12)+VLOOKUP(K$4,$DE$6:$DF$17,2)+1))*(VLOOKUP($A117,CURVES!$D$9:$K$261,8))*(INDEX(DailyScalarsTable,K$5/100,MONTH($A117)))*$B117</f>
        <v>-28897.366067623025</v>
      </c>
      <c r="L117" s="1021">
        <f>(VLOOKUP(YEAR($A117),'NY East Load Projections'!$A$4:$EO$14,((MONTH($A117)-1)*12)+VLOOKUP(L$4,$DE$6:$DF$17,2)+1))*(VLOOKUP($A117,CURVES!$D$9:$K$261,8))*(INDEX(DailyScalarsTable,L$5/100,MONTH($A117)))*$B117</f>
        <v>-32227.650187392755</v>
      </c>
      <c r="M117" s="1021">
        <f>(VLOOKUP(YEAR($A117),'NY East Load Projections'!$A$4:$EO$14,((MONTH($A117)-1)*12)+VLOOKUP(M$4,$DE$6:$DF$17,2)+1))*(VLOOKUP($A117,CURVES!$D$9:$K$261,8))*(INDEX(DailyScalarsTable,M$5/100,MONTH($A117)))*$B117</f>
        <v>-37123.51944307614</v>
      </c>
      <c r="N117" s="1021">
        <f>(VLOOKUP(YEAR($A117),'NY East Load Projections'!$A$4:$EO$14,((MONTH($A117)-1)*12)+VLOOKUP(N$4,$DE$6:$DF$17,2)+1))*(VLOOKUP($A117,CURVES!$D$9:$K$261,8))*(INDEX(DailyScalarsTable,N$5/100,MONTH($A117)))*$B117</f>
        <v>-52948.923933916267</v>
      </c>
      <c r="O117" s="1021">
        <f>(VLOOKUP(YEAR($A117),'NY East Load Projections'!$A$4:$EO$14,((MONTH($A117)-1)*12)+VLOOKUP(O$4,$DE$6:$DF$17,2)+1))*(VLOOKUP($A117,CURVES!$D$9:$K$261,4))*(INDEX(DailyScalarsTable,O$5/100,MONTH($A117)))*$B117</f>
        <v>-64981.67945880835</v>
      </c>
      <c r="P117" s="1021">
        <f>(VLOOKUP(YEAR($A117),'NY East Load Projections'!$A$4:$EO$14,((MONTH($A117)-1)*12)+VLOOKUP(P$4,$DE$6:$DF$17,2)+1))*(VLOOKUP($A117,CURVES!$D$9:$K$261,4))*(INDEX(DailyScalarsTable,P$5/100,MONTH($A117)))*$B117</f>
        <v>-69501.946406603718</v>
      </c>
      <c r="Q117" s="1021">
        <f>(VLOOKUP(YEAR($A117),'NY East Load Projections'!$A$4:$EO$14,((MONTH($A117)-1)*12)+VLOOKUP(Q$4,$DE$6:$DF$17,2)+1))*(VLOOKUP($A117,CURVES!$D$9:$K$261,4))*(INDEX(DailyScalarsTable,Q$5/100,MONTH($A117)))*$B117</f>
        <v>-66607.583866218702</v>
      </c>
      <c r="R117" s="1021">
        <f>(VLOOKUP(YEAR($A117),'NY East Load Projections'!$A$4:$EO$14,((MONTH($A117)-1)*12)+VLOOKUP(R$4,$DE$6:$DF$17,2)+1))*(VLOOKUP($A117,CURVES!$D$9:$K$261,4))*(INDEX(DailyScalarsTable,R$5/100,MONTH($A117)))*$B117</f>
        <v>-67980.764333228304</v>
      </c>
      <c r="S117" s="1021">
        <f>(VLOOKUP(YEAR($A117),'NY East Load Projections'!$A$4:$EO$14,((MONTH($A117)-1)*12)+VLOOKUP(S$4,$DE$6:$DF$17,2)+1))*(VLOOKUP($A117,CURVES!$D$9:$K$261,4))*(INDEX(DailyScalarsTable,S$5/100,MONTH($A117)))*$B117</f>
        <v>-68114.063793266381</v>
      </c>
      <c r="T117" s="1021">
        <f>(VLOOKUP(YEAR($A117),'NY East Load Projections'!$A$4:$EO$14,((MONTH($A117)-1)*12)+VLOOKUP(T$4,$DE$6:$DF$17,2)+1))*(VLOOKUP($A117,CURVES!$D$9:$K$261,4))*(INDEX(DailyScalarsTable,T$5/100,MONTH($A117)))*$B117</f>
        <v>-62687.119599715326</v>
      </c>
      <c r="U117" s="1021">
        <f>(VLOOKUP(YEAR($A117),'NY East Load Projections'!$A$4:$EO$14,((MONTH($A117)-1)*12)+VLOOKUP(U$4,$DE$6:$DF$17,2)+1))*(VLOOKUP($A117,CURVES!$D$9:$K$261,4))*(INDEX(DailyScalarsTable,U$5/100,MONTH($A117)))*$B117</f>
        <v>-62754.620100622349</v>
      </c>
      <c r="V117" s="1021">
        <f>(VLOOKUP(YEAR($A117),'NY East Load Projections'!$A$4:$EO$14,((MONTH($A117)-1)*12)+VLOOKUP(V$4,$DE$6:$DF$17,2)+1))*(VLOOKUP($A117,CURVES!$D$9:$K$261,4))*(INDEX(DailyScalarsTable,V$5/100,MONTH($A117)))*$B117</f>
        <v>-58859.444136515944</v>
      </c>
      <c r="W117" s="1021">
        <f>(VLOOKUP(YEAR($A117),'NY East Load Projections'!$A$4:$EO$14,((MONTH($A117)-1)*12)+VLOOKUP(W$4,$DE$6:$DF$17,2)+1))*(VLOOKUP($A117,CURVES!$D$9:$K$261,4))*(INDEX(DailyScalarsTable,W$5/100,MONTH($A117)))*$B117</f>
        <v>-55010.922930389432</v>
      </c>
      <c r="X117" s="1021">
        <f>(VLOOKUP(YEAR($A117),'NY East Load Projections'!$A$4:$EO$14,((MONTH($A117)-1)*12)+VLOOKUP(X$4,$DE$6:$DF$17,2)+1))*(VLOOKUP($A117,CURVES!$D$9:$K$261,4))*(INDEX(DailyScalarsTable,X$5/100,MONTH($A117)))*$B117</f>
        <v>-51718.024437558182</v>
      </c>
      <c r="Y117" s="1021">
        <f>(VLOOKUP(YEAR($A117),'NY East Load Projections'!$A$4:$EO$14,((MONTH($A117)-1)*12)+VLOOKUP(Y$4,$DE$6:$DF$17,2)+1))*(VLOOKUP($A117,CURVES!$D$9:$K$261,4))*(INDEX(DailyScalarsTable,Y$5/100,MONTH($A117)))*$B117</f>
        <v>-51045.404998116079</v>
      </c>
      <c r="Z117" s="1021">
        <f>(VLOOKUP(YEAR($A117),'NY East Load Projections'!$A$4:$EO$14,((MONTH($A117)-1)*12)+VLOOKUP(Z$4,$DE$6:$DF$17,2)+1))*(VLOOKUP($A117,CURVES!$D$9:$K$261,4))*(INDEX(DailyScalarsTable,Z$5/100,MONTH($A117)))*$B117</f>
        <v>-50771.764657176624</v>
      </c>
      <c r="AA117" s="1021">
        <f>(VLOOKUP(YEAR($A117),'NY East Load Projections'!$A$4:$EO$14,((MONTH($A117)-1)*12)+VLOOKUP(AA$4,$DE$6:$DF$17,2)+1))*(VLOOKUP($A117,CURVES!$D$9:$K$261,4))*(INDEX(DailyScalarsTable,AA$5/100,MONTH($A117)))*$B117</f>
        <v>-55688.679734407015</v>
      </c>
      <c r="AB117" s="1021">
        <f>(VLOOKUP(YEAR($A117),'NY East Load Projections'!$A$4:$EO$14,((MONTH($A117)-1)*12)+VLOOKUP(AB$4,$DE$6:$DF$17,2)+1))*(VLOOKUP($A117,CURVES!$D$9:$K$261,4))*(INDEX(DailyScalarsTable,AB$5/100,MONTH($A117)))*$B117</f>
        <v>-65505.901645776205</v>
      </c>
      <c r="AC117" s="1021">
        <f>(VLOOKUP(YEAR($A117),'NY East Load Projections'!$A$4:$EO$14,((MONTH($A117)-1)*12)+VLOOKUP(AC$4,$DE$6:$DF$17,2)+1))*(VLOOKUP($A117,CURVES!$D$9:$K$261,4))*(INDEX(DailyScalarsTable,AC$5/100,MONTH($A117)))*$B117</f>
        <v>-55815.971354499947</v>
      </c>
      <c r="AD117" s="1021">
        <f>(VLOOKUP(YEAR($A117),'NY East Load Projections'!$A$4:$EO$14,((MONTH($A117)-1)*12)+VLOOKUP(AD$4,$DE$6:$DF$17,2)+1))*(VLOOKUP($A117,CURVES!$D$9:$K$261,4))*(INDEX(DailyScalarsTable,AD$5/100,MONTH($A117)))*$B117</f>
        <v>-49310.04492743234</v>
      </c>
      <c r="AE117" s="1021">
        <f>(VLOOKUP(YEAR($A117),'NY East Load Projections'!$A$4:$EO$14,((MONTH($A117)-1)*12)+VLOOKUP(AE$4,$DE$6:$DF$17,2)+1))*(VLOOKUP($A117,CURVES!$D$9:$K$261,8))*(INDEX(DailyScalarsTable,AE$5/100,MONTH($A117)))*$B117</f>
        <v>-36564.869212940001</v>
      </c>
      <c r="AF117" s="1021"/>
      <c r="AG117" s="1021">
        <f>(VLOOKUP(YEAR($A117),'NY East Load Projections'!$A$4:$EO$14,((MONTH($A117)-1)*12)+VLOOKUP(AG$4,$DE$6:$DF$17,2)+1))*(VLOOKUP($A117,CURVES!$D$9:$T$261,8))*(INDEX(DailyScalarsTable,AG$5/100,MONTH($A117)))*$C117</f>
        <v>-5627.8186868206303</v>
      </c>
      <c r="AH117" s="1021">
        <f>(VLOOKUP(YEAR($A117),'NY East Load Projections'!$A$4:$EO$14,((MONTH($A117)-1)*12)+VLOOKUP(AH$4,$DE$6:$DF$17,2)+1))*(VLOOKUP($A117,CURVES!$D$9:$T$261,8))*(INDEX(DailyScalarsTable,AH$5/100,MONTH($A117)))*$C117</f>
        <v>-5337.8272711373047</v>
      </c>
      <c r="AI117" s="1021">
        <f>(VLOOKUP(YEAR($A117),'NY East Load Projections'!$A$4:$EO$14,((MONTH($A117)-1)*12)+VLOOKUP(AI$4,$DE$6:$DF$17,2)+1))*(VLOOKUP($A117,CURVES!$D$9:$T$261,8))*(INDEX(DailyScalarsTable,AI$5/100,MONTH($A117)))*$C117</f>
        <v>-5123.2310481194218</v>
      </c>
      <c r="AJ117" s="1021">
        <f>(VLOOKUP(YEAR($A117),'NY East Load Projections'!$A$4:$EO$14,((MONTH($A117)-1)*12)+VLOOKUP(AJ$4,$DE$6:$DF$17,2)+1))*(VLOOKUP($A117,CURVES!$D$9:$T$261,8))*(INDEX(DailyScalarsTable,AJ$5/100,MONTH($A117)))*$C117</f>
        <v>-5126.2571574749118</v>
      </c>
      <c r="AK117" s="1021">
        <f>(VLOOKUP(YEAR($A117),'NY East Load Projections'!$A$4:$EO$14,((MONTH($A117)-1)*12)+VLOOKUP(AK$4,$DE$6:$DF$17,2)+1))*(VLOOKUP($A117,CURVES!$D$9:$T$261,8))*(INDEX(DailyScalarsTable,AK$5/100,MONTH($A117)))*$C117</f>
        <v>-5574.3545771241907</v>
      </c>
      <c r="AL117" s="1021">
        <f>(VLOOKUP(YEAR($A117),'NY East Load Projections'!$A$4:$EO$14,((MONTH($A117)-1)*12)+VLOOKUP(AL$4,$DE$6:$DF$17,2)+1))*(VLOOKUP($A117,CURVES!$D$9:$T$261,8))*(INDEX(DailyScalarsTable,AL$5/100,MONTH($A117)))*$C117</f>
        <v>-6421.1836520251109</v>
      </c>
      <c r="AM117" s="1021">
        <f>(VLOOKUP(YEAR($A117),'NY East Load Projections'!$A$4:$EO$14,((MONTH($A117)-1)*12)+VLOOKUP(AM$4,$DE$6:$DF$17,2)+1))*(VLOOKUP($A117,CURVES!$D$9:$T$261,8))*(INDEX(DailyScalarsTable,AM$5/100,MONTH($A117)))*$C117</f>
        <v>-9158.4733844569855</v>
      </c>
      <c r="AN117" s="1021">
        <f>(VLOOKUP(YEAR($A117),'NY East Load Projections'!$A$4:$EO$14,((MONTH($A117)-1)*12)+VLOOKUP(AN$4,$DE$6:$DF$17,2)+1))*(VLOOKUP($A117,SatSunCurve,4))*(INDEX(DailyScalarsTable,AN$5/100,MONTH($A117)))*$C117</f>
        <v>-7948.3554096917824</v>
      </c>
      <c r="AO117" s="1021">
        <f>(VLOOKUP(YEAR($A117),'NY East Load Projections'!$A$4:$EO$14,((MONTH($A117)-1)*12)+VLOOKUP(AO$4,$DE$6:$DF$17,2)+1))*(VLOOKUP($A117,SatSunCurve,4))*(INDEX(DailyScalarsTable,AO$5/100,MONTH($A117)))*$C117</f>
        <v>-8397.0132208993145</v>
      </c>
      <c r="AP117" s="1021">
        <f>(VLOOKUP(YEAR($A117),'NY East Load Projections'!$A$4:$EO$14,((MONTH($A117)-1)*12)+VLOOKUP(AP$4,$DE$6:$DF$17,2)+1))*(VLOOKUP($A117,SatSunCurve,4))*(INDEX(DailyScalarsTable,AP$5/100,MONTH($A117)))*$C117</f>
        <v>-8047.3251650353222</v>
      </c>
      <c r="AQ117" s="1021">
        <f>(VLOOKUP(YEAR($A117),'NY East Load Projections'!$A$4:$EO$14,((MONTH($A117)-1)*12)+VLOOKUP(AQ$4,$DE$6:$DF$17,2)+1))*(VLOOKUP($A117,SatSunCurve,4))*(INDEX(DailyScalarsTable,AQ$5/100,MONTH($A117)))*$C117</f>
        <v>-8213.2286415898252</v>
      </c>
      <c r="AR117" s="1021">
        <f>(VLOOKUP(YEAR($A117),'NY East Load Projections'!$A$4:$EO$14,((MONTH($A117)-1)*12)+VLOOKUP(AR$4,$DE$6:$DF$17,2)+1))*(VLOOKUP($A117,SatSunCurve,4))*(INDEX(DailyScalarsTable,AR$5/100,MONTH($A117)))*$C117</f>
        <v>-8229.3334758592173</v>
      </c>
      <c r="AS117" s="1021">
        <f>(VLOOKUP(YEAR($A117),'NY East Load Projections'!$A$4:$EO$14,((MONTH($A117)-1)*12)+VLOOKUP(AS$4,$DE$6:$DF$17,2)+1))*(VLOOKUP($A117,SatSunCurve,4))*(INDEX(DailyScalarsTable,AS$5/100,MONTH($A117)))*$C117</f>
        <v>-7485.0340110695479</v>
      </c>
      <c r="AT117" s="1021">
        <f>(VLOOKUP(YEAR($A117),'NY East Load Projections'!$A$4:$EO$14,((MONTH($A117)-1)*12)+VLOOKUP(AT$4,$DE$6:$DF$17,2)+1))*(VLOOKUP($A117,SatSunCurve,4))*(INDEX(DailyScalarsTable,AT$5/100,MONTH($A117)))*$C117</f>
        <v>-7493.0937775459715</v>
      </c>
      <c r="AU117" s="1021">
        <f>(VLOOKUP(YEAR($A117),'NY East Load Projections'!$A$4:$EO$14,((MONTH($A117)-1)*12)+VLOOKUP(AU$4,$DE$6:$DF$17,2)+1))*(VLOOKUP($A117,SatSunCurve,4))*(INDEX(DailyScalarsTable,AU$5/100,MONTH($A117)))*$C117</f>
        <v>-7027.9978414651969</v>
      </c>
      <c r="AV117" s="1021">
        <f>(VLOOKUP(YEAR($A117),'NY East Load Projections'!$A$4:$EO$14,((MONTH($A117)-1)*12)+VLOOKUP(AV$4,$DE$6:$DF$17,2)+1))*(VLOOKUP($A117,SatSunCurve,4))*(INDEX(DailyScalarsTable,AV$5/100,MONTH($A117)))*$C117</f>
        <v>-6568.4726263313669</v>
      </c>
      <c r="AW117" s="1021">
        <f>(VLOOKUP(YEAR($A117),'NY East Load Projections'!$A$4:$EO$14,((MONTH($A117)-1)*12)+VLOOKUP(AW$4,$DE$6:$DF$17,2)+1))*(VLOOKUP($A117,SatSunCurve,4))*(INDEX(DailyScalarsTable,AW$5/100,MONTH($A117)))*$C117</f>
        <v>-6282.8736629055657</v>
      </c>
      <c r="AX117" s="1021">
        <f>(VLOOKUP(YEAR($A117),'NY East Load Projections'!$A$4:$EO$14,((MONTH($A117)-1)*12)+VLOOKUP(AX$4,$DE$6:$DF$17,2)+1))*(VLOOKUP($A117,SatSunCurve,4))*(INDEX(DailyScalarsTable,AX$5/100,MONTH($A117)))*$C117</f>
        <v>-6201.1616677706525</v>
      </c>
      <c r="AY117" s="1021">
        <f>(VLOOKUP(YEAR($A117),'NY East Load Projections'!$A$4:$EO$14,((MONTH($A117)-1)*12)+VLOOKUP(AY$4,$DE$6:$DF$17,2)+1))*(VLOOKUP($A117,SatSunCurve,4))*(INDEX(DailyScalarsTable,AY$5/100,MONTH($A117)))*$C117</f>
        <v>-6167.9189499775021</v>
      </c>
      <c r="AZ117" s="1021">
        <f>(VLOOKUP(YEAR($A117),'NY East Load Projections'!$A$4:$EO$14,((MONTH($A117)-1)*12)+VLOOKUP(AZ$4,$DE$6:$DF$17,2)+1))*(VLOOKUP($A117,SatSunCurve,4))*(INDEX(DailyScalarsTable,AZ$5/100,MONTH($A117)))*$C117</f>
        <v>-6765.2417707432496</v>
      </c>
      <c r="BA117" s="1021">
        <f>(VLOOKUP(YEAR($A117),'NY East Load Projections'!$A$4:$EO$14,((MONTH($A117)-1)*12)+VLOOKUP(BA$4,$DE$6:$DF$17,2)+1))*(VLOOKUP($A117,SatSunCurve,4))*(INDEX(DailyScalarsTable,BA$5/100,MONTH($A117)))*$C117</f>
        <v>-8089.0109696708123</v>
      </c>
      <c r="BB117" s="1021">
        <f>(VLOOKUP(YEAR($A117),'NY East Load Projections'!$A$4:$EO$14,((MONTH($A117)-1)*12)+VLOOKUP(BB$4,$DE$6:$DF$17,2)+1))*(VLOOKUP($A117,SatSunCurve,4))*(INDEX(DailyScalarsTable,BB$5/100,MONTH($A117)))*$C117</f>
        <v>-6892.4477524307804</v>
      </c>
      <c r="BC117" s="1021">
        <f>(VLOOKUP(YEAR($A117),'NY East Load Projections'!$A$4:$EO$14,((MONTH($A117)-1)*12)+VLOOKUP(BC$4,$DE$6:$DF$17,2)+1))*(VLOOKUP($A117,SatSunCurve,4))*(INDEX(DailyScalarsTable,BC$5/100,MONTH($A117)))*$C117</f>
        <v>-6089.0619671163595</v>
      </c>
      <c r="BD117" s="1021">
        <f>(VLOOKUP(YEAR($A117),'NY East Load Projections'!$A$4:$EO$14,((MONTH($A117)-1)*12)+VLOOKUP(BD$4,$DE$6:$DF$17,2)+1))*(VLOOKUP($A117,CURVES!$D$9:$T$261,8))*(INDEX(DailyScalarsTable,BD$5/100,MONTH($A117)))*$C117</f>
        <v>-6384.9664903891617</v>
      </c>
      <c r="BE117" s="1021"/>
      <c r="BF117" s="1021">
        <f>(VLOOKUP(YEAR($A117),'NY East Load Projections'!$A$4:$EO$14,((MONTH($A117)-1)*12)+VLOOKUP(BF$4,$DE$6:$DF$17,2)+1))*(VLOOKUP($A117,CURVES!$D$9:$T$261,8))*(INDEX(DailyScalarsTable,BF$5/100,MONTH($A117)))*$D117</f>
        <v>-5627.8186868206303</v>
      </c>
      <c r="BG117" s="1021">
        <f>(VLOOKUP(YEAR($A117),'NY East Load Projections'!$A$4:$EO$14,((MONTH($A117)-1)*12)+VLOOKUP(BG$4,$DE$6:$DF$17,2)+1))*(VLOOKUP($A117,CURVES!$D$9:$T$261,8))*(INDEX(DailyScalarsTable,BG$5/100,MONTH($A117)))*$D117</f>
        <v>-5337.8272711373047</v>
      </c>
      <c r="BH117" s="1021">
        <f>(VLOOKUP(YEAR($A117),'NY East Load Projections'!$A$4:$EO$14,((MONTH($A117)-1)*12)+VLOOKUP(BH$4,$DE$6:$DF$17,2)+1))*(VLOOKUP($A117,CURVES!$D$9:$T$261,8))*(INDEX(DailyScalarsTable,BH$5/100,MONTH($A117)))*$D117</f>
        <v>-5123.2310481194218</v>
      </c>
      <c r="BI117" s="1021">
        <f>(VLOOKUP(YEAR($A117),'NY East Load Projections'!$A$4:$EO$14,((MONTH($A117)-1)*12)+VLOOKUP(BI$4,$DE$6:$DF$17,2)+1))*(VLOOKUP($A117,CURVES!$D$9:$T$261,8))*(INDEX(DailyScalarsTable,BI$5/100,MONTH($A117)))*$D117</f>
        <v>-5126.2571574749118</v>
      </c>
      <c r="BJ117" s="1021">
        <f>(VLOOKUP(YEAR($A117),'NY East Load Projections'!$A$4:$EO$14,((MONTH($A117)-1)*12)+VLOOKUP(BJ$4,$DE$6:$DF$17,2)+1))*(VLOOKUP($A117,CURVES!$D$9:$T$261,8))*(INDEX(DailyScalarsTable,BJ$5/100,MONTH($A117)))*$D117</f>
        <v>-5574.3545771241907</v>
      </c>
      <c r="BK117" s="1021">
        <f>(VLOOKUP(YEAR($A117),'NY East Load Projections'!$A$4:$EO$14,((MONTH($A117)-1)*12)+VLOOKUP(BK$4,$DE$6:$DF$17,2)+1))*(VLOOKUP($A117,CURVES!$D$9:$T$261,8))*(INDEX(DailyScalarsTable,BK$5/100,MONTH($A117)))*$D117</f>
        <v>-6421.1836520251109</v>
      </c>
      <c r="BL117" s="1021">
        <f>(VLOOKUP(YEAR($A117),'NY East Load Projections'!$A$4:$EO$14,((MONTH($A117)-1)*12)+VLOOKUP(BL$4,$DE$6:$DF$17,2)+1))*(VLOOKUP($A117,CURVES!$D$9:$T$261,8))*(INDEX(DailyScalarsTable,BL$5/100,MONTH($A117)))*$D117</f>
        <v>-9158.4733844569855</v>
      </c>
      <c r="BM117" s="1021">
        <f>(VLOOKUP(YEAR($A117),'NY East Load Projections'!$A$4:$EO$14,((MONTH($A117)-1)*12)+VLOOKUP(BM$4,$DE$6:$DF$17,2)+1))*(VLOOKUP($A117,SatSunCurve,8))*(INDEX(DailyScalarsTable,BM$5/100,MONTH($A117)))*$D117</f>
        <v>-8793.4557999304652</v>
      </c>
      <c r="BN117" s="1021">
        <f>(VLOOKUP(YEAR($A117),'NY East Load Projections'!$A$4:$EO$14,((MONTH($A117)-1)*12)+VLOOKUP(BN$4,$DE$6:$DF$17,2)+1))*(VLOOKUP($A117,SatSunCurve,8))*(INDEX(DailyScalarsTable,BN$5/100,MONTH($A117)))*$D117</f>
        <v>-9289.8166731919155</v>
      </c>
      <c r="BO117" s="1021">
        <f>(VLOOKUP(YEAR($A117),'NY East Load Projections'!$A$4:$EO$14,((MONTH($A117)-1)*12)+VLOOKUP(BO$4,$DE$6:$DF$17,2)+1))*(VLOOKUP($A117,SatSunCurve,8))*(INDEX(DailyScalarsTable,BO$5/100,MONTH($A117)))*$D117</f>
        <v>-8902.9484086885204</v>
      </c>
      <c r="BP117" s="1021">
        <f>(VLOOKUP(YEAR($A117),'NY East Load Projections'!$A$4:$EO$14,((MONTH($A117)-1)*12)+VLOOKUP(BP$4,$DE$6:$DF$17,2)+1))*(VLOOKUP($A117,SatSunCurve,8))*(INDEX(DailyScalarsTable,BP$5/100,MONTH($A117)))*$D117</f>
        <v>-9086.4913949971051</v>
      </c>
      <c r="BQ117" s="1021">
        <f>(VLOOKUP(YEAR($A117),'NY East Load Projections'!$A$4:$EO$14,((MONTH($A117)-1)*12)+VLOOKUP(BQ$4,$DE$6:$DF$17,2)+1))*(VLOOKUP($A117,SatSunCurve,8))*(INDEX(DailyScalarsTable,BQ$5/100,MONTH($A117)))*$D117</f>
        <v>-9104.3085585502631</v>
      </c>
      <c r="BR117" s="1021">
        <f>(VLOOKUP(YEAR($A117),'NY East Load Projections'!$A$4:$EO$14,((MONTH($A117)-1)*12)+VLOOKUP(BR$4,$DE$6:$DF$17,2)+1))*(VLOOKUP($A117,SatSunCurve,8))*(INDEX(DailyScalarsTable,BR$5/100,MONTH($A117)))*$D117</f>
        <v>-8280.8722490013351</v>
      </c>
      <c r="BS117" s="1021">
        <f>(VLOOKUP(YEAR($A117),'NY East Load Projections'!$A$4:$EO$14,((MONTH($A117)-1)*12)+VLOOKUP(BS$4,$DE$6:$DF$17,2)+1))*(VLOOKUP($A117,SatSunCurve,8))*(INDEX(DailyScalarsTable,BS$5/100,MONTH($A117)))*$D117</f>
        <v>-8289.788961530543</v>
      </c>
      <c r="BT117" s="1021">
        <f>(VLOOKUP(YEAR($A117),'NY East Load Projections'!$A$4:$EO$14,((MONTH($A117)-1)*12)+VLOOKUP(BT$4,$DE$6:$DF$17,2)+1))*(VLOOKUP($A117,SatSunCurve,8))*(INDEX(DailyScalarsTable,BT$5/100,MONTH($A117)))*$D117</f>
        <v>-7775.2421973449982</v>
      </c>
      <c r="BU117" s="1021">
        <f>(VLOOKUP(YEAR($A117),'NY East Load Projections'!$A$4:$EO$14,((MONTH($A117)-1)*12)+VLOOKUP(BU$4,$DE$6:$DF$17,2)+1))*(VLOOKUP($A117,SatSunCurve,8))*(INDEX(DailyScalarsTable,BU$5/100,MONTH($A117)))*$D117</f>
        <v>-7266.8584550546457</v>
      </c>
      <c r="BV117" s="1021">
        <f>(VLOOKUP(YEAR($A117),'NY East Load Projections'!$A$4:$EO$14,((MONTH($A117)-1)*12)+VLOOKUP(BV$4,$DE$6:$DF$17,2)+1))*(VLOOKUP($A117,SatSunCurve,8))*(INDEX(DailyScalarsTable,BV$5/100,MONTH($A117)))*$D117</f>
        <v>-6950.8934872163327</v>
      </c>
      <c r="BW117" s="1021">
        <f>(VLOOKUP(YEAR($A117),'NY East Load Projections'!$A$4:$EO$14,((MONTH($A117)-1)*12)+VLOOKUP(BW$4,$DE$6:$DF$17,2)+1))*(VLOOKUP($A117,SatSunCurve,8))*(INDEX(DailyScalarsTable,BW$5/100,MONTH($A117)))*$D117</f>
        <v>-6860.4935515684056</v>
      </c>
      <c r="BX117" s="1021">
        <f>(VLOOKUP(YEAR($A117),'NY East Load Projections'!$A$4:$EO$14,((MONTH($A117)-1)*12)+VLOOKUP(BX$4,$DE$6:$DF$17,2)+1))*(VLOOKUP($A117,SatSunCurve,8))*(INDEX(DailyScalarsTable,BX$5/100,MONTH($A117)))*$D117</f>
        <v>-6823.7163373503308</v>
      </c>
      <c r="BY117" s="1021">
        <f>(VLOOKUP(YEAR($A117),'NY East Load Projections'!$A$4:$EO$14,((MONTH($A117)-1)*12)+VLOOKUP(BY$4,$DE$6:$DF$17,2)+1))*(VLOOKUP($A117,SatSunCurve,8))*(INDEX(DailyScalarsTable,BY$5/100,MONTH($A117)))*$D117</f>
        <v>-7484.5488683527492</v>
      </c>
      <c r="BZ117" s="1021">
        <f>(VLOOKUP(YEAR($A117),'NY East Load Projections'!$A$4:$EO$14,((MONTH($A117)-1)*12)+VLOOKUP(BZ$4,$DE$6:$DF$17,2)+1))*(VLOOKUP($A117,SatSunCurve,8))*(INDEX(DailyScalarsTable,BZ$5/100,MONTH($A117)))*$D117</f>
        <v>-8949.0664119297635</v>
      </c>
      <c r="CA117" s="1021">
        <f>(VLOOKUP(YEAR($A117),'NY East Load Projections'!$A$4:$EO$14,((MONTH($A117)-1)*12)+VLOOKUP(CA$4,$DE$6:$DF$17,2)+1))*(VLOOKUP($A117,SatSunCurve,8))*(INDEX(DailyScalarsTable,CA$5/100,MONTH($A117)))*$D117</f>
        <v>-7625.2798900295265</v>
      </c>
      <c r="CB117" s="1021">
        <f>(VLOOKUP(YEAR($A117),'NY East Load Projections'!$A$4:$EO$14,((MONTH($A117)-1)*12)+VLOOKUP(CB$4,$DE$6:$DF$17,2)+1))*(VLOOKUP($A117,SatSunCurve,8))*(INDEX(DailyScalarsTable,CB$5/100,MONTH($A117)))*$D117</f>
        <v>-6736.4749701034898</v>
      </c>
      <c r="CC117" s="1021">
        <f>(VLOOKUP(YEAR($A117),'NY East Load Projections'!$A$4:$EO$14,((MONTH($A117)-1)*12)+VLOOKUP(CC$4,$DE$6:$DF$17,2)+1))*(VLOOKUP($A117,CURVES!$D$9:$T$261,8))*(INDEX(DailyScalarsTable,CC$5/100,MONTH($A117)))*$D117</f>
        <v>-6384.9664903891617</v>
      </c>
      <c r="CE117" s="1021">
        <f>(VLOOKUP(YEAR($A117),'NY East Load Projections'!$A$4:$EO$14,((MONTH($A117)-1)*12)+VLOOKUP(CE$4,$DE$6:$DF$17,2)+1))*(VLOOKUP($A117,CURVES!$D$9:$T$261,8))*(INDEX(DailyScalarsTable,CE$5/100,MONTH($A117)))*$E117</f>
        <v>0</v>
      </c>
      <c r="CF117" s="1021">
        <f>(VLOOKUP(YEAR($A117),'NY East Load Projections'!$A$4:$EO$14,((MONTH($A117)-1)*12)+VLOOKUP(CF$4,$DE$6:$DF$17,2)+1))*(VLOOKUP($A117,CURVES!$D$9:$T$261,8))*(INDEX(DailyScalarsTable,CF$5/100,MONTH($A117)))*$E117</f>
        <v>0</v>
      </c>
      <c r="CG117" s="1021">
        <f>(VLOOKUP(YEAR($A117),'NY East Load Projections'!$A$4:$EO$14,((MONTH($A117)-1)*12)+VLOOKUP(CG$4,$DE$6:$DF$17,2)+1))*(VLOOKUP($A117,CURVES!$D$9:$T$261,8))*(INDEX(DailyScalarsTable,CG$5/100,MONTH($A117)))*$E117</f>
        <v>0</v>
      </c>
      <c r="CH117" s="1021">
        <f>(VLOOKUP(YEAR($A117),'NY East Load Projections'!$A$4:$EO$14,((MONTH($A117)-1)*12)+VLOOKUP(CH$4,$DE$6:$DF$17,2)+1))*(VLOOKUP($A117,CURVES!$D$9:$T$261,8))*(INDEX(DailyScalarsTable,CH$5/100,MONTH($A117)))*$E117</f>
        <v>0</v>
      </c>
      <c r="CI117" s="1021">
        <f>(VLOOKUP(YEAR($A117),'NY East Load Projections'!$A$4:$EO$14,((MONTH($A117)-1)*12)+VLOOKUP(CI$4,$DE$6:$DF$17,2)+1))*(VLOOKUP($A117,CURVES!$D$9:$T$261,8))*(INDEX(DailyScalarsTable,CI$5/100,MONTH($A117)))*$E117</f>
        <v>0</v>
      </c>
      <c r="CJ117" s="1021">
        <f>(VLOOKUP(YEAR($A117),'NY East Load Projections'!$A$4:$EO$14,((MONTH($A117)-1)*12)+VLOOKUP(CJ$4,$DE$6:$DF$17,2)+1))*(VLOOKUP($A117,CURVES!$D$9:$T$261,8))*(INDEX(DailyScalarsTable,CJ$5/100,MONTH($A117)))*$E117</f>
        <v>0</v>
      </c>
      <c r="CK117" s="1021">
        <f>(VLOOKUP(YEAR($A117),'NY East Load Projections'!$A$4:$EO$14,((MONTH($A117)-1)*12)+VLOOKUP(CK$4,$DE$6:$DF$17,2)+1))*(VLOOKUP($A117,CURVES!$D$9:$T$261,8))*(INDEX(DailyScalarsTable,CK$5/100,MONTH($A117)))*$E117</f>
        <v>0</v>
      </c>
      <c r="CL117" s="1021">
        <f>(VLOOKUP(YEAR($A117),'NY East Load Projections'!$A$4:$EO$14,((MONTH($A117)-1)*12)+VLOOKUP(CL$4,$DE$6:$DF$17,2)+1))*(VLOOKUP($A117,SatSunCurve,8))*(INDEX(DailyScalarsTable,CL$5/100,MONTH($A117)))*$E117</f>
        <v>0</v>
      </c>
      <c r="CM117" s="1021">
        <f>(VLOOKUP(YEAR($A117),'NY East Load Projections'!$A$4:$EO$14,((MONTH($A117)-1)*12)+VLOOKUP(CM$4,$DE$6:$DF$17,2)+1))*(VLOOKUP($A117,SatSunCurve,8))*(INDEX(DailyScalarsTable,CM$5/100,MONTH($A117)))*$E117</f>
        <v>0</v>
      </c>
      <c r="CN117" s="1021">
        <f>(VLOOKUP(YEAR($A117),'NY East Load Projections'!$A$4:$EO$14,((MONTH($A117)-1)*12)+VLOOKUP(CN$4,$DE$6:$DF$17,2)+1))*(VLOOKUP($A117,SatSunCurve,8))*(INDEX(DailyScalarsTable,CN$5/100,MONTH($A117)))*$E117</f>
        <v>0</v>
      </c>
      <c r="CO117" s="1021">
        <f>(VLOOKUP(YEAR($A117),'NY East Load Projections'!$A$4:$EO$14,((MONTH($A117)-1)*12)+VLOOKUP(CO$4,$DE$6:$DF$17,2)+1))*(VLOOKUP($A117,SatSunCurve,8))*(INDEX(DailyScalarsTable,CO$5/100,MONTH($A117)))*$E117</f>
        <v>0</v>
      </c>
      <c r="CP117" s="1021">
        <f>(VLOOKUP(YEAR($A117),'NY East Load Projections'!$A$4:$EO$14,((MONTH($A117)-1)*12)+VLOOKUP(CP$4,$DE$6:$DF$17,2)+1))*(VLOOKUP($A117,SatSunCurve,8))*(INDEX(DailyScalarsTable,CP$5/100,MONTH($A117)))*$E117</f>
        <v>0</v>
      </c>
      <c r="CQ117" s="1021">
        <f>(VLOOKUP(YEAR($A117),'NY East Load Projections'!$A$4:$EO$14,((MONTH($A117)-1)*12)+VLOOKUP(CQ$4,$DE$6:$DF$17,2)+1))*(VLOOKUP($A117,SatSunCurve,8))*(INDEX(DailyScalarsTable,CQ$5/100,MONTH($A117)))*$E117</f>
        <v>0</v>
      </c>
      <c r="CR117" s="1021">
        <f>(VLOOKUP(YEAR($A117),'NY East Load Projections'!$A$4:$EO$14,((MONTH($A117)-1)*12)+VLOOKUP(CR$4,$DE$6:$DF$17,2)+1))*(VLOOKUP($A117,SatSunCurve,8))*(INDEX(DailyScalarsTable,CR$5/100,MONTH($A117)))*$E117</f>
        <v>0</v>
      </c>
      <c r="CS117" s="1021">
        <f>(VLOOKUP(YEAR($A117),'NY East Load Projections'!$A$4:$EO$14,((MONTH($A117)-1)*12)+VLOOKUP(CS$4,$DE$6:$DF$17,2)+1))*(VLOOKUP($A117,SatSunCurve,8))*(INDEX(DailyScalarsTable,CS$5/100,MONTH($A117)))*$E117</f>
        <v>0</v>
      </c>
      <c r="CT117" s="1021">
        <f>(VLOOKUP(YEAR($A117),'NY East Load Projections'!$A$4:$EO$14,((MONTH($A117)-1)*12)+VLOOKUP(CT$4,$DE$6:$DF$17,2)+1))*(VLOOKUP($A117,SatSunCurve,8))*(INDEX(DailyScalarsTable,CT$5/100,MONTH($A117)))*$E117</f>
        <v>0</v>
      </c>
      <c r="CU117" s="1021">
        <f>(VLOOKUP(YEAR($A117),'NY East Load Projections'!$A$4:$EO$14,((MONTH($A117)-1)*12)+VLOOKUP(CU$4,$DE$6:$DF$17,2)+1))*(VLOOKUP($A117,SatSunCurve,8))*(INDEX(DailyScalarsTable,CU$5/100,MONTH($A117)))*$E117</f>
        <v>0</v>
      </c>
      <c r="CV117" s="1021">
        <f>(VLOOKUP(YEAR($A117),'NY East Load Projections'!$A$4:$EO$14,((MONTH($A117)-1)*12)+VLOOKUP(CV$4,$DE$6:$DF$17,2)+1))*(VLOOKUP($A117,SatSunCurve,8))*(INDEX(DailyScalarsTable,CV$5/100,MONTH($A117)))*$E117</f>
        <v>0</v>
      </c>
      <c r="CW117" s="1021">
        <f>(VLOOKUP(YEAR($A117),'NY East Load Projections'!$A$4:$EO$14,((MONTH($A117)-1)*12)+VLOOKUP(CW$4,$DE$6:$DF$17,2)+1))*(VLOOKUP($A117,SatSunCurve,8))*(INDEX(DailyScalarsTable,CW$5/100,MONTH($A117)))*$E117</f>
        <v>0</v>
      </c>
      <c r="CX117" s="1021">
        <f>(VLOOKUP(YEAR($A117),'NY East Load Projections'!$A$4:$EO$14,((MONTH($A117)-1)*12)+VLOOKUP(CX$4,$DE$6:$DF$17,2)+1))*(VLOOKUP($A117,SatSunCurve,8))*(INDEX(DailyScalarsTable,CX$5/100,MONTH($A117)))*$E117</f>
        <v>0</v>
      </c>
      <c r="CY117" s="1021">
        <f>(VLOOKUP(YEAR($A117),'NY East Load Projections'!$A$4:$EO$14,((MONTH($A117)-1)*12)+VLOOKUP(CY$4,$DE$6:$DF$17,2)+1))*(VLOOKUP($A117,SatSunCurve,8))*(INDEX(DailyScalarsTable,CY$5/100,MONTH($A117)))*$E117</f>
        <v>0</v>
      </c>
      <c r="CZ117" s="1021">
        <f>(VLOOKUP(YEAR($A117),'NY East Load Projections'!$A$4:$EO$14,((MONTH($A117)-1)*12)+VLOOKUP(CZ$4,$DE$6:$DF$17,2)+1))*(VLOOKUP($A117,SatSunCurve,8))*(INDEX(DailyScalarsTable,CZ$5/100,MONTH($A117)))*$E117</f>
        <v>0</v>
      </c>
      <c r="DA117" s="1021">
        <f>(VLOOKUP(YEAR($A117),'NY East Load Projections'!$A$4:$EO$14,((MONTH($A117)-1)*12)+VLOOKUP(DA$4,$DE$6:$DF$17,2)+1))*(VLOOKUP($A117,SatSunCurve,8))*(INDEX(DailyScalarsTable,DA$5/100,MONTH($A117)))*$E117</f>
        <v>0</v>
      </c>
      <c r="DB117" s="1021">
        <f>(VLOOKUP(YEAR($A117),'NY East Load Projections'!$A$4:$EO$14,((MONTH($A117)-1)*12)+VLOOKUP(DB$4,$DE$6:$DF$17,2)+1))*(VLOOKUP($A117,CURVES!$D$9:$T$261,8))*(INDEX(DailyScalarsTable,DB$5/100,MONTH($A117)))*$E117</f>
        <v>0</v>
      </c>
      <c r="DH117" s="1021">
        <f t="shared" si="2"/>
        <v>-1576437.3706407971</v>
      </c>
      <c r="DI117">
        <f ca="1">CALC!J137</f>
        <v>0.47508154432487182</v>
      </c>
      <c r="DJ117" s="1029">
        <f t="shared" ca="1" si="3"/>
        <v>-748936.3005754702</v>
      </c>
    </row>
    <row r="118" spans="1:114" x14ac:dyDescent="0.25">
      <c r="A118" s="244">
        <v>40299</v>
      </c>
      <c r="B118" s="13">
        <v>20</v>
      </c>
      <c r="C118" s="210">
        <v>5</v>
      </c>
      <c r="D118" s="210">
        <v>5</v>
      </c>
      <c r="E118" s="210">
        <v>1</v>
      </c>
      <c r="F118" s="13">
        <v>31</v>
      </c>
      <c r="H118" s="1021">
        <f>(VLOOKUP(YEAR($A118),'NY East Load Projections'!$A$4:$EO$14,((MONTH($A118)-1)*12)+VLOOKUP(H$4,$DE$6:$DF$17,2)+1))*(VLOOKUP($A118,CURVES!$D$9:$K$261,8))*(INDEX(DailyScalarsTable,H$5/100,MONTH($A118)))*$B118</f>
        <v>-34829.538168332751</v>
      </c>
      <c r="I118" s="1021">
        <f>(VLOOKUP(YEAR($A118),'NY East Load Projections'!$A$4:$EO$14,((MONTH($A118)-1)*12)+VLOOKUP(I$4,$DE$6:$DF$17,2)+1))*(VLOOKUP($A118,CURVES!$D$9:$K$261,8))*(INDEX(DailyScalarsTable,I$5/100,MONTH($A118)))*$B118</f>
        <v>-31373.101983604531</v>
      </c>
      <c r="J118" s="1021">
        <f>(VLOOKUP(YEAR($A118),'NY East Load Projections'!$A$4:$EO$14,((MONTH($A118)-1)*12)+VLOOKUP(J$4,$DE$6:$DF$17,2)+1))*(VLOOKUP($A118,CURVES!$D$9:$K$261,8))*(INDEX(DailyScalarsTable,J$5/100,MONTH($A118)))*$B118</f>
        <v>-29690.603946593976</v>
      </c>
      <c r="K118" s="1021">
        <f>(VLOOKUP(YEAR($A118),'NY East Load Projections'!$A$4:$EO$14,((MONTH($A118)-1)*12)+VLOOKUP(K$4,$DE$6:$DF$17,2)+1))*(VLOOKUP($A118,CURVES!$D$9:$K$261,8))*(INDEX(DailyScalarsTable,K$5/100,MONTH($A118)))*$B118</f>
        <v>-28785.34685059372</v>
      </c>
      <c r="L118" s="1021">
        <f>(VLOOKUP(YEAR($A118),'NY East Load Projections'!$A$4:$EO$14,((MONTH($A118)-1)*12)+VLOOKUP(L$4,$DE$6:$DF$17,2)+1))*(VLOOKUP($A118,CURVES!$D$9:$K$261,8))*(INDEX(DailyScalarsTable,L$5/100,MONTH($A118)))*$B118</f>
        <v>-32613.830438183155</v>
      </c>
      <c r="M118" s="1021">
        <f>(VLOOKUP(YEAR($A118),'NY East Load Projections'!$A$4:$EO$14,((MONTH($A118)-1)*12)+VLOOKUP(M$4,$DE$6:$DF$17,2)+1))*(VLOOKUP($A118,CURVES!$D$9:$K$261,8))*(INDEX(DailyScalarsTable,M$5/100,MONTH($A118)))*$B118</f>
        <v>-39542.355449111725</v>
      </c>
      <c r="N118" s="1021">
        <f>(VLOOKUP(YEAR($A118),'NY East Load Projections'!$A$4:$EO$14,((MONTH($A118)-1)*12)+VLOOKUP(N$4,$DE$6:$DF$17,2)+1))*(VLOOKUP($A118,CURVES!$D$9:$K$261,8))*(INDEX(DailyScalarsTable,N$5/100,MONTH($A118)))*$B118</f>
        <v>-47313.021621589658</v>
      </c>
      <c r="O118" s="1021">
        <f>(VLOOKUP(YEAR($A118),'NY East Load Projections'!$A$4:$EO$14,((MONTH($A118)-1)*12)+VLOOKUP(O$4,$DE$6:$DF$17,2)+1))*(VLOOKUP($A118,CURVES!$D$9:$K$261,4))*(INDEX(DailyScalarsTable,O$5/100,MONTH($A118)))*$B118</f>
        <v>-61030.313662287801</v>
      </c>
      <c r="P118" s="1021">
        <f>(VLOOKUP(YEAR($A118),'NY East Load Projections'!$A$4:$EO$14,((MONTH($A118)-1)*12)+VLOOKUP(P$4,$DE$6:$DF$17,2)+1))*(VLOOKUP($A118,CURVES!$D$9:$K$261,4))*(INDEX(DailyScalarsTable,P$5/100,MONTH($A118)))*$B118</f>
        <v>-70893.160203868931</v>
      </c>
      <c r="Q118" s="1021">
        <f>(VLOOKUP(YEAR($A118),'NY East Load Projections'!$A$4:$EO$14,((MONTH($A118)-1)*12)+VLOOKUP(Q$4,$DE$6:$DF$17,2)+1))*(VLOOKUP($A118,CURVES!$D$9:$K$261,4))*(INDEX(DailyScalarsTable,Q$5/100,MONTH($A118)))*$B118</f>
        <v>-72150.565180016696</v>
      </c>
      <c r="R118" s="1021">
        <f>(VLOOKUP(YEAR($A118),'NY East Load Projections'!$A$4:$EO$14,((MONTH($A118)-1)*12)+VLOOKUP(R$4,$DE$6:$DF$17,2)+1))*(VLOOKUP($A118,CURVES!$D$9:$K$261,4))*(INDEX(DailyScalarsTable,R$5/100,MONTH($A118)))*$B118</f>
        <v>-76534.791380036215</v>
      </c>
      <c r="S118" s="1021">
        <f>(VLOOKUP(YEAR($A118),'NY East Load Projections'!$A$4:$EO$14,((MONTH($A118)-1)*12)+VLOOKUP(S$4,$DE$6:$DF$17,2)+1))*(VLOOKUP($A118,CURVES!$D$9:$K$261,4))*(INDEX(DailyScalarsTable,S$5/100,MONTH($A118)))*$B118</f>
        <v>-75956.162541454949</v>
      </c>
      <c r="T118" s="1021">
        <f>(VLOOKUP(YEAR($A118),'NY East Load Projections'!$A$4:$EO$14,((MONTH($A118)-1)*12)+VLOOKUP(T$4,$DE$6:$DF$17,2)+1))*(VLOOKUP($A118,CURVES!$D$9:$K$261,4))*(INDEX(DailyScalarsTable,T$5/100,MONTH($A118)))*$B118</f>
        <v>-72492.645520307778</v>
      </c>
      <c r="U118" s="1021">
        <f>(VLOOKUP(YEAR($A118),'NY East Load Projections'!$A$4:$EO$14,((MONTH($A118)-1)*12)+VLOOKUP(U$4,$DE$6:$DF$17,2)+1))*(VLOOKUP($A118,CURVES!$D$9:$K$261,4))*(INDEX(DailyScalarsTable,U$5/100,MONTH($A118)))*$B118</f>
        <v>-72842.034825520721</v>
      </c>
      <c r="V118" s="1021">
        <f>(VLOOKUP(YEAR($A118),'NY East Load Projections'!$A$4:$EO$14,((MONTH($A118)-1)*12)+VLOOKUP(V$4,$DE$6:$DF$17,2)+1))*(VLOOKUP($A118,CURVES!$D$9:$K$261,4))*(INDEX(DailyScalarsTable,V$5/100,MONTH($A118)))*$B118</f>
        <v>-70655.534012252727</v>
      </c>
      <c r="W118" s="1021">
        <f>(VLOOKUP(YEAR($A118),'NY East Load Projections'!$A$4:$EO$14,((MONTH($A118)-1)*12)+VLOOKUP(W$4,$DE$6:$DF$17,2)+1))*(VLOOKUP($A118,CURVES!$D$9:$K$261,4))*(INDEX(DailyScalarsTable,W$5/100,MONTH($A118)))*$B118</f>
        <v>-67905.502061544525</v>
      </c>
      <c r="X118" s="1021">
        <f>(VLOOKUP(YEAR($A118),'NY East Load Projections'!$A$4:$EO$14,((MONTH($A118)-1)*12)+VLOOKUP(X$4,$DE$6:$DF$17,2)+1))*(VLOOKUP($A118,CURVES!$D$9:$K$261,4))*(INDEX(DailyScalarsTable,X$5/100,MONTH($A118)))*$B118</f>
        <v>-66302.248489287464</v>
      </c>
      <c r="Y118" s="1021">
        <f>(VLOOKUP(YEAR($A118),'NY East Load Projections'!$A$4:$EO$14,((MONTH($A118)-1)*12)+VLOOKUP(Y$4,$DE$6:$DF$17,2)+1))*(VLOOKUP($A118,CURVES!$D$9:$K$261,4))*(INDEX(DailyScalarsTable,Y$5/100,MONTH($A118)))*$B118</f>
        <v>-63718.339018114959</v>
      </c>
      <c r="Z118" s="1021">
        <f>(VLOOKUP(YEAR($A118),'NY East Load Projections'!$A$4:$EO$14,((MONTH($A118)-1)*12)+VLOOKUP(Z$4,$DE$6:$DF$17,2)+1))*(VLOOKUP($A118,CURVES!$D$9:$K$261,4))*(INDEX(DailyScalarsTable,Z$5/100,MONTH($A118)))*$B118</f>
        <v>-55206.637230723216</v>
      </c>
      <c r="AA118" s="1021">
        <f>(VLOOKUP(YEAR($A118),'NY East Load Projections'!$A$4:$EO$14,((MONTH($A118)-1)*12)+VLOOKUP(AA$4,$DE$6:$DF$17,2)+1))*(VLOOKUP($A118,CURVES!$D$9:$K$261,4))*(INDEX(DailyScalarsTable,AA$5/100,MONTH($A118)))*$B118</f>
        <v>-55065.499318432303</v>
      </c>
      <c r="AB118" s="1021">
        <f>(VLOOKUP(YEAR($A118),'NY East Load Projections'!$A$4:$EO$14,((MONTH($A118)-1)*12)+VLOOKUP(AB$4,$DE$6:$DF$17,2)+1))*(VLOOKUP($A118,CURVES!$D$9:$K$261,4))*(INDEX(DailyScalarsTable,AB$5/100,MONTH($A118)))*$B118</f>
        <v>-68347.71461875872</v>
      </c>
      <c r="AC118" s="1021">
        <f>(VLOOKUP(YEAR($A118),'NY East Load Projections'!$A$4:$EO$14,((MONTH($A118)-1)*12)+VLOOKUP(AC$4,$DE$6:$DF$17,2)+1))*(VLOOKUP($A118,CURVES!$D$9:$K$261,4))*(INDEX(DailyScalarsTable,AC$5/100,MONTH($A118)))*$B118</f>
        <v>-65190.990023007405</v>
      </c>
      <c r="AD118" s="1021">
        <f>(VLOOKUP(YEAR($A118),'NY East Load Projections'!$A$4:$EO$14,((MONTH($A118)-1)*12)+VLOOKUP(AD$4,$DE$6:$DF$17,2)+1))*(VLOOKUP($A118,CURVES!$D$9:$K$261,4))*(INDEX(DailyScalarsTable,AD$5/100,MONTH($A118)))*$B118</f>
        <v>-52296.746885964611</v>
      </c>
      <c r="AE118" s="1021">
        <f>(VLOOKUP(YEAR($A118),'NY East Load Projections'!$A$4:$EO$14,((MONTH($A118)-1)*12)+VLOOKUP(AE$4,$DE$6:$DF$17,2)+1))*(VLOOKUP($A118,CURVES!$D$9:$K$261,8))*(INDEX(DailyScalarsTable,AE$5/100,MONTH($A118)))*$B118</f>
        <v>-42342.673082852183</v>
      </c>
      <c r="AF118" s="1021"/>
      <c r="AG118" s="1021">
        <f>(VLOOKUP(YEAR($A118),'NY East Load Projections'!$A$4:$EO$14,((MONTH($A118)-1)*12)+VLOOKUP(AG$4,$DE$6:$DF$17,2)+1))*(VLOOKUP($A118,CURVES!$D$9:$T$261,8))*(INDEX(DailyScalarsTable,AG$5/100,MONTH($A118)))*$C118</f>
        <v>-8767.1997609790269</v>
      </c>
      <c r="AH118" s="1021">
        <f>(VLOOKUP(YEAR($A118),'NY East Load Projections'!$A$4:$EO$14,((MONTH($A118)-1)*12)+VLOOKUP(AH$4,$DE$6:$DF$17,2)+1))*(VLOOKUP($A118,CURVES!$D$9:$T$261,8))*(INDEX(DailyScalarsTable,AH$5/100,MONTH($A118)))*$C118</f>
        <v>-7897.1547335046034</v>
      </c>
      <c r="AI118" s="1021">
        <f>(VLOOKUP(YEAR($A118),'NY East Load Projections'!$A$4:$EO$14,((MONTH($A118)-1)*12)+VLOOKUP(AI$4,$DE$6:$DF$17,2)+1))*(VLOOKUP($A118,CURVES!$D$9:$T$261,8))*(INDEX(DailyScalarsTable,AI$5/100,MONTH($A118)))*$C118</f>
        <v>-7473.6407518768456</v>
      </c>
      <c r="AJ118" s="1021">
        <f>(VLOOKUP(YEAR($A118),'NY East Load Projections'!$A$4:$EO$14,((MONTH($A118)-1)*12)+VLOOKUP(AJ$4,$DE$6:$DF$17,2)+1))*(VLOOKUP($A118,CURVES!$D$9:$T$261,8))*(INDEX(DailyScalarsTable,AJ$5/100,MONTH($A118)))*$C118</f>
        <v>-7245.7718161097318</v>
      </c>
      <c r="AK118" s="1021">
        <f>(VLOOKUP(YEAR($A118),'NY East Load Projections'!$A$4:$EO$14,((MONTH($A118)-1)*12)+VLOOKUP(AK$4,$DE$6:$DF$17,2)+1))*(VLOOKUP($A118,CURVES!$D$9:$T$261,8))*(INDEX(DailyScalarsTable,AK$5/100,MONTH($A118)))*$C118</f>
        <v>-7970.5668629857246</v>
      </c>
      <c r="AL118" s="1021">
        <f>(VLOOKUP(YEAR($A118),'NY East Load Projections'!$A$4:$EO$14,((MONTH($A118)-1)*12)+VLOOKUP(AL$4,$DE$6:$DF$17,2)+1))*(VLOOKUP($A118,CURVES!$D$9:$T$261,8))*(INDEX(DailyScalarsTable,AL$5/100,MONTH($A118)))*$C118</f>
        <v>-9663.844565098887</v>
      </c>
      <c r="AM118" s="1021">
        <f>(VLOOKUP(YEAR($A118),'NY East Load Projections'!$A$4:$EO$14,((MONTH($A118)-1)*12)+VLOOKUP(AM$4,$DE$6:$DF$17,2)+1))*(VLOOKUP($A118,CURVES!$D$9:$T$261,8))*(INDEX(DailyScalarsTable,AM$5/100,MONTH($A118)))*$C118</f>
        <v>-11562.935026584926</v>
      </c>
      <c r="AN118" s="1021">
        <f>(VLOOKUP(YEAR($A118),'NY East Load Projections'!$A$4:$EO$14,((MONTH($A118)-1)*12)+VLOOKUP(AN$4,$DE$6:$DF$17,2)+1))*(VLOOKUP($A118,SatSunCurve,4))*(INDEX(DailyScalarsTable,AN$5/100,MONTH($A118)))*$C118</f>
        <v>-9999.4605252527836</v>
      </c>
      <c r="AO118" s="1021">
        <f>(VLOOKUP(YEAR($A118),'NY East Load Projections'!$A$4:$EO$14,((MONTH($A118)-1)*12)+VLOOKUP(AO$4,$DE$6:$DF$17,2)+1))*(VLOOKUP($A118,SatSunCurve,4))*(INDEX(DailyScalarsTable,AO$5/100,MONTH($A118)))*$C118</f>
        <v>-11584.163902299002</v>
      </c>
      <c r="AP118" s="1021">
        <f>(VLOOKUP(YEAR($A118),'NY East Load Projections'!$A$4:$EO$14,((MONTH($A118)-1)*12)+VLOOKUP(AP$4,$DE$6:$DF$17,2)+1))*(VLOOKUP($A118,SatSunCurve,4))*(INDEX(DailyScalarsTable,AP$5/100,MONTH($A118)))*$C118</f>
        <v>-11789.627804505844</v>
      </c>
      <c r="AQ118" s="1021">
        <f>(VLOOKUP(YEAR($A118),'NY East Load Projections'!$A$4:$EO$14,((MONTH($A118)-1)*12)+VLOOKUP(AQ$4,$DE$6:$DF$17,2)+1))*(VLOOKUP($A118,SatSunCurve,4))*(INDEX(DailyScalarsTable,AQ$5/100,MONTH($A118)))*$C118</f>
        <v>-12506.024065297843</v>
      </c>
      <c r="AR118" s="1021">
        <f>(VLOOKUP(YEAR($A118),'NY East Load Projections'!$A$4:$EO$14,((MONTH($A118)-1)*12)+VLOOKUP(AR$4,$DE$6:$DF$17,2)+1))*(VLOOKUP($A118,SatSunCurve,4))*(INDEX(DailyScalarsTable,AR$5/100,MONTH($A118)))*$C118</f>
        <v>-12411.474304990264</v>
      </c>
      <c r="AS118" s="1021">
        <f>(VLOOKUP(YEAR($A118),'NY East Load Projections'!$A$4:$EO$14,((MONTH($A118)-1)*12)+VLOOKUP(AS$4,$DE$6:$DF$17,2)+1))*(VLOOKUP($A118,SatSunCurve,4))*(INDEX(DailyScalarsTable,AS$5/100,MONTH($A118)))*$C118</f>
        <v>-11766.17347418086</v>
      </c>
      <c r="AT118" s="1021">
        <f>(VLOOKUP(YEAR($A118),'NY East Load Projections'!$A$4:$EO$14,((MONTH($A118)-1)*12)+VLOOKUP(AT$4,$DE$6:$DF$17,2)+1))*(VLOOKUP($A118,SatSunCurve,4))*(INDEX(DailyScalarsTable,AT$5/100,MONTH($A118)))*$C118</f>
        <v>-11822.882332654059</v>
      </c>
      <c r="AU118" s="1021">
        <f>(VLOOKUP(YEAR($A118),'NY East Load Projections'!$A$4:$EO$14,((MONTH($A118)-1)*12)+VLOOKUP(AU$4,$DE$6:$DF$17,2)+1))*(VLOOKUP($A118,SatSunCurve,4))*(INDEX(DailyScalarsTable,AU$5/100,MONTH($A118)))*$C118</f>
        <v>-11467.994637692756</v>
      </c>
      <c r="AV118" s="1021">
        <f>(VLOOKUP(YEAR($A118),'NY East Load Projections'!$A$4:$EO$14,((MONTH($A118)-1)*12)+VLOOKUP(AV$4,$DE$6:$DF$17,2)+1))*(VLOOKUP($A118,SatSunCurve,4))*(INDEX(DailyScalarsTable,AV$5/100,MONTH($A118)))*$C118</f>
        <v>-11021.641041968234</v>
      </c>
      <c r="AW118" s="1021">
        <f>(VLOOKUP(YEAR($A118),'NY East Load Projections'!$A$4:$EO$14,((MONTH($A118)-1)*12)+VLOOKUP(AW$4,$DE$6:$DF$17,2)+1))*(VLOOKUP($A118,SatSunCurve,4))*(INDEX(DailyScalarsTable,AW$5/100,MONTH($A118)))*$C118</f>
        <v>-10883.926579434356</v>
      </c>
      <c r="AX118" s="1021">
        <f>(VLOOKUP(YEAR($A118),'NY East Load Projections'!$A$4:$EO$14,((MONTH($A118)-1)*12)+VLOOKUP(AX$4,$DE$6:$DF$17,2)+1))*(VLOOKUP($A118,SatSunCurve,4))*(INDEX(DailyScalarsTable,AX$5/100,MONTH($A118)))*$C118</f>
        <v>-10459.761764319668</v>
      </c>
      <c r="AY118" s="1021">
        <f>(VLOOKUP(YEAR($A118),'NY East Load Projections'!$A$4:$EO$14,((MONTH($A118)-1)*12)+VLOOKUP(AY$4,$DE$6:$DF$17,2)+1))*(VLOOKUP($A118,SatSunCurve,4))*(INDEX(DailyScalarsTable,AY$5/100,MONTH($A118)))*$C118</f>
        <v>-9062.5129615889455</v>
      </c>
      <c r="AZ118" s="1021">
        <f>(VLOOKUP(YEAR($A118),'NY East Load Projections'!$A$4:$EO$14,((MONTH($A118)-1)*12)+VLOOKUP(AZ$4,$DE$6:$DF$17,2)+1))*(VLOOKUP($A118,SatSunCurve,4))*(INDEX(DailyScalarsTable,AZ$5/100,MONTH($A118)))*$C118</f>
        <v>-9039.344295217139</v>
      </c>
      <c r="BA118" s="1021">
        <f>(VLOOKUP(YEAR($A118),'NY East Load Projections'!$A$4:$EO$14,((MONTH($A118)-1)*12)+VLOOKUP(BA$4,$DE$6:$DF$17,2)+1))*(VLOOKUP($A118,SatSunCurve,4))*(INDEX(DailyScalarsTable,BA$5/100,MONTH($A118)))*$C118</f>
        <v>-11468.194387210089</v>
      </c>
      <c r="BB118" s="1021">
        <f>(VLOOKUP(YEAR($A118),'NY East Load Projections'!$A$4:$EO$14,((MONTH($A118)-1)*12)+VLOOKUP(BB$4,$DE$6:$DF$17,2)+1))*(VLOOKUP($A118,SatSunCurve,4))*(INDEX(DailyScalarsTable,BB$5/100,MONTH($A118)))*$C118</f>
        <v>-10938.521500663754</v>
      </c>
      <c r="BC118" s="1021">
        <f>(VLOOKUP(YEAR($A118),'NY East Load Projections'!$A$4:$EO$14,((MONTH($A118)-1)*12)+VLOOKUP(BC$4,$DE$6:$DF$17,2)+1))*(VLOOKUP($A118,SatSunCurve,4))*(INDEX(DailyScalarsTable,BC$5/100,MONTH($A118)))*$C118</f>
        <v>-8774.9716644125929</v>
      </c>
      <c r="BD118" s="1021">
        <f>(VLOOKUP(YEAR($A118),'NY East Load Projections'!$A$4:$EO$14,((MONTH($A118)-1)*12)+VLOOKUP(BD$4,$DE$6:$DF$17,2)+1))*(VLOOKUP($A118,CURVES!$D$9:$T$261,8))*(INDEX(DailyScalarsTable,BD$5/100,MONTH($A118)))*$C118</f>
        <v>-10597.556772836138</v>
      </c>
      <c r="BE118" s="1021"/>
      <c r="BF118" s="1021">
        <f>(VLOOKUP(YEAR($A118),'NY East Load Projections'!$A$4:$EO$14,((MONTH($A118)-1)*12)+VLOOKUP(BF$4,$DE$6:$DF$17,2)+1))*(VLOOKUP($A118,CURVES!$D$9:$T$261,8))*(INDEX(DailyScalarsTable,BF$5/100,MONTH($A118)))*$D118</f>
        <v>-8767.1997609790269</v>
      </c>
      <c r="BG118" s="1021">
        <f>(VLOOKUP(YEAR($A118),'NY East Load Projections'!$A$4:$EO$14,((MONTH($A118)-1)*12)+VLOOKUP(BG$4,$DE$6:$DF$17,2)+1))*(VLOOKUP($A118,CURVES!$D$9:$T$261,8))*(INDEX(DailyScalarsTable,BG$5/100,MONTH($A118)))*$D118</f>
        <v>-7897.1547335046034</v>
      </c>
      <c r="BH118" s="1021">
        <f>(VLOOKUP(YEAR($A118),'NY East Load Projections'!$A$4:$EO$14,((MONTH($A118)-1)*12)+VLOOKUP(BH$4,$DE$6:$DF$17,2)+1))*(VLOOKUP($A118,CURVES!$D$9:$T$261,8))*(INDEX(DailyScalarsTable,BH$5/100,MONTH($A118)))*$D118</f>
        <v>-7473.6407518768456</v>
      </c>
      <c r="BI118" s="1021">
        <f>(VLOOKUP(YEAR($A118),'NY East Load Projections'!$A$4:$EO$14,((MONTH($A118)-1)*12)+VLOOKUP(BI$4,$DE$6:$DF$17,2)+1))*(VLOOKUP($A118,CURVES!$D$9:$T$261,8))*(INDEX(DailyScalarsTable,BI$5/100,MONTH($A118)))*$D118</f>
        <v>-7245.7718161097318</v>
      </c>
      <c r="BJ118" s="1021">
        <f>(VLOOKUP(YEAR($A118),'NY East Load Projections'!$A$4:$EO$14,((MONTH($A118)-1)*12)+VLOOKUP(BJ$4,$DE$6:$DF$17,2)+1))*(VLOOKUP($A118,CURVES!$D$9:$T$261,8))*(INDEX(DailyScalarsTable,BJ$5/100,MONTH($A118)))*$D118</f>
        <v>-7970.5668629857246</v>
      </c>
      <c r="BK118" s="1021">
        <f>(VLOOKUP(YEAR($A118),'NY East Load Projections'!$A$4:$EO$14,((MONTH($A118)-1)*12)+VLOOKUP(BK$4,$DE$6:$DF$17,2)+1))*(VLOOKUP($A118,CURVES!$D$9:$T$261,8))*(INDEX(DailyScalarsTable,BK$5/100,MONTH($A118)))*$D118</f>
        <v>-9663.844565098887</v>
      </c>
      <c r="BL118" s="1021">
        <f>(VLOOKUP(YEAR($A118),'NY East Load Projections'!$A$4:$EO$14,((MONTH($A118)-1)*12)+VLOOKUP(BL$4,$DE$6:$DF$17,2)+1))*(VLOOKUP($A118,CURVES!$D$9:$T$261,8))*(INDEX(DailyScalarsTable,BL$5/100,MONTH($A118)))*$D118</f>
        <v>-11562.935026584926</v>
      </c>
      <c r="BM118" s="1021">
        <f>(VLOOKUP(YEAR($A118),'NY East Load Projections'!$A$4:$EO$14,((MONTH($A118)-1)*12)+VLOOKUP(BM$4,$DE$6:$DF$17,2)+1))*(VLOOKUP($A118,SatSunCurve,8))*(INDEX(DailyScalarsTable,BM$5/100,MONTH($A118)))*$D118</f>
        <v>-10631.142701658262</v>
      </c>
      <c r="BN118" s="1021">
        <f>(VLOOKUP(YEAR($A118),'NY East Load Projections'!$A$4:$EO$14,((MONTH($A118)-1)*12)+VLOOKUP(BN$4,$DE$6:$DF$17,2)+1))*(VLOOKUP($A118,SatSunCurve,8))*(INDEX(DailyScalarsTable,BN$5/100,MONTH($A118)))*$D118</f>
        <v>-12315.9543671108</v>
      </c>
      <c r="BO118" s="1021">
        <f>(VLOOKUP(YEAR($A118),'NY East Load Projections'!$A$4:$EO$14,((MONTH($A118)-1)*12)+VLOOKUP(BO$4,$DE$6:$DF$17,2)+1))*(VLOOKUP($A118,SatSunCurve,8))*(INDEX(DailyScalarsTable,BO$5/100,MONTH($A118)))*$D118</f>
        <v>-12534.397758020161</v>
      </c>
      <c r="BP118" s="1021">
        <f>(VLOOKUP(YEAR($A118),'NY East Load Projections'!$A$4:$EO$14,((MONTH($A118)-1)*12)+VLOOKUP(BP$4,$DE$6:$DF$17,2)+1))*(VLOOKUP($A118,SatSunCurve,8))*(INDEX(DailyScalarsTable,BP$5/100,MONTH($A118)))*$D118</f>
        <v>-13296.049935173145</v>
      </c>
      <c r="BQ118" s="1021">
        <f>(VLOOKUP(YEAR($A118),'NY East Load Projections'!$A$4:$EO$14,((MONTH($A118)-1)*12)+VLOOKUP(BQ$4,$DE$6:$DF$17,2)+1))*(VLOOKUP($A118,SatSunCurve,8))*(INDEX(DailyScalarsTable,BQ$5/100,MONTH($A118)))*$D118</f>
        <v>-13195.527312807773</v>
      </c>
      <c r="BR118" s="1021">
        <f>(VLOOKUP(YEAR($A118),'NY East Load Projections'!$A$4:$EO$14,((MONTH($A118)-1)*12)+VLOOKUP(BR$4,$DE$6:$DF$17,2)+1))*(VLOOKUP($A118,SatSunCurve,8))*(INDEX(DailyScalarsTable,BR$5/100,MONTH($A118)))*$D118</f>
        <v>-12509.461779521416</v>
      </c>
      <c r="BS118" s="1021">
        <f>(VLOOKUP(YEAR($A118),'NY East Load Projections'!$A$4:$EO$14,((MONTH($A118)-1)*12)+VLOOKUP(BS$4,$DE$6:$DF$17,2)+1))*(VLOOKUP($A118,SatSunCurve,8))*(INDEX(DailyScalarsTable,BS$5/100,MONTH($A118)))*$D118</f>
        <v>-12569.753028769734</v>
      </c>
      <c r="BT118" s="1021">
        <f>(VLOOKUP(YEAR($A118),'NY East Load Projections'!$A$4:$EO$14,((MONTH($A118)-1)*12)+VLOOKUP(BT$4,$DE$6:$DF$17,2)+1))*(VLOOKUP($A118,SatSunCurve,8))*(INDEX(DailyScalarsTable,BT$5/100,MONTH($A118)))*$D118</f>
        <v>-12192.44650121576</v>
      </c>
      <c r="BU118" s="1021">
        <f>(VLOOKUP(YEAR($A118),'NY East Load Projections'!$A$4:$EO$14,((MONTH($A118)-1)*12)+VLOOKUP(BU$4,$DE$6:$DF$17,2)+1))*(VLOOKUP($A118,SatSunCurve,8))*(INDEX(DailyScalarsTable,BU$5/100,MONTH($A118)))*$D118</f>
        <v>-11717.896023261277</v>
      </c>
      <c r="BV118" s="1021">
        <f>(VLOOKUP(YEAR($A118),'NY East Load Projections'!$A$4:$EO$14,((MONTH($A118)-1)*12)+VLOOKUP(BV$4,$DE$6:$DF$17,2)+1))*(VLOOKUP($A118,SatSunCurve,8))*(INDEX(DailyScalarsTable,BV$5/100,MONTH($A118)))*$D118</f>
        <v>-11571.481914261851</v>
      </c>
      <c r="BW118" s="1021">
        <f>(VLOOKUP(YEAR($A118),'NY East Load Projections'!$A$4:$EO$14,((MONTH($A118)-1)*12)+VLOOKUP(BW$4,$DE$6:$DF$17,2)+1))*(VLOOKUP($A118,SatSunCurve,8))*(INDEX(DailyScalarsTable,BW$5/100,MONTH($A118)))*$D118</f>
        <v>-11120.521918258193</v>
      </c>
      <c r="BX118" s="1021">
        <f>(VLOOKUP(YEAR($A118),'NY East Load Projections'!$A$4:$EO$14,((MONTH($A118)-1)*12)+VLOOKUP(BX$4,$DE$6:$DF$17,2)+1))*(VLOOKUP($A118,SatSunCurve,8))*(INDEX(DailyScalarsTable,BX$5/100,MONTH($A118)))*$D118</f>
        <v>-9635.0066373049794</v>
      </c>
      <c r="BY118" s="1021">
        <f>(VLOOKUP(YEAR($A118),'NY East Load Projections'!$A$4:$EO$14,((MONTH($A118)-1)*12)+VLOOKUP(BY$4,$DE$6:$DF$17,2)+1))*(VLOOKUP($A118,SatSunCurve,8))*(INDEX(DailyScalarsTable,BY$5/100,MONTH($A118)))*$D118</f>
        <v>-9610.3743686157068</v>
      </c>
      <c r="BZ118" s="1021">
        <f>(VLOOKUP(YEAR($A118),'NY East Load Projections'!$A$4:$EO$14,((MONTH($A118)-1)*12)+VLOOKUP(BZ$4,$DE$6:$DF$17,2)+1))*(VLOOKUP($A118,SatSunCurve,8))*(INDEX(DailyScalarsTable,BZ$5/100,MONTH($A118)))*$D118</f>
        <v>-12192.658869234816</v>
      </c>
      <c r="CA118" s="1021">
        <f>(VLOOKUP(YEAR($A118),'NY East Load Projections'!$A$4:$EO$14,((MONTH($A118)-1)*12)+VLOOKUP(CA$4,$DE$6:$DF$17,2)+1))*(VLOOKUP($A118,SatSunCurve,8))*(INDEX(DailyScalarsTable,CA$5/100,MONTH($A118)))*$D118</f>
        <v>-11629.525685414281</v>
      </c>
      <c r="CB118" s="1021">
        <f>(VLOOKUP(YEAR($A118),'NY East Load Projections'!$A$4:$EO$14,((MONTH($A118)-1)*12)+VLOOKUP(CB$4,$DE$6:$DF$17,2)+1))*(VLOOKUP($A118,SatSunCurve,8))*(INDEX(DailyScalarsTable,CB$5/100,MONTH($A118)))*$D118</f>
        <v>-9329.3008889616758</v>
      </c>
      <c r="CC118" s="1021">
        <f>(VLOOKUP(YEAR($A118),'NY East Load Projections'!$A$4:$EO$14,((MONTH($A118)-1)*12)+VLOOKUP(CC$4,$DE$6:$DF$17,2)+1))*(VLOOKUP($A118,CURVES!$D$9:$T$261,8))*(INDEX(DailyScalarsTable,CC$5/100,MONTH($A118)))*$D118</f>
        <v>-10597.556772836138</v>
      </c>
      <c r="CE118" s="1021">
        <f>(VLOOKUP(YEAR($A118),'NY East Load Projections'!$A$4:$EO$14,((MONTH($A118)-1)*12)+VLOOKUP(CE$4,$DE$6:$DF$17,2)+1))*(VLOOKUP($A118,CURVES!$D$9:$T$261,8))*(INDEX(DailyScalarsTable,CE$5/100,MONTH($A118)))*$E118</f>
        <v>-1753.4399521958053</v>
      </c>
      <c r="CF118" s="1021">
        <f>(VLOOKUP(YEAR($A118),'NY East Load Projections'!$A$4:$EO$14,((MONTH($A118)-1)*12)+VLOOKUP(CF$4,$DE$6:$DF$17,2)+1))*(VLOOKUP($A118,CURVES!$D$9:$T$261,8))*(INDEX(DailyScalarsTable,CF$5/100,MONTH($A118)))*$E118</f>
        <v>-1579.4309467009207</v>
      </c>
      <c r="CG118" s="1021">
        <f>(VLOOKUP(YEAR($A118),'NY East Load Projections'!$A$4:$EO$14,((MONTH($A118)-1)*12)+VLOOKUP(CG$4,$DE$6:$DF$17,2)+1))*(VLOOKUP($A118,CURVES!$D$9:$T$261,8))*(INDEX(DailyScalarsTable,CG$5/100,MONTH($A118)))*$E118</f>
        <v>-1494.7281503753691</v>
      </c>
      <c r="CH118" s="1021">
        <f>(VLOOKUP(YEAR($A118),'NY East Load Projections'!$A$4:$EO$14,((MONTH($A118)-1)*12)+VLOOKUP(CH$4,$DE$6:$DF$17,2)+1))*(VLOOKUP($A118,CURVES!$D$9:$T$261,8))*(INDEX(DailyScalarsTable,CH$5/100,MONTH($A118)))*$E118</f>
        <v>-1449.1543632219464</v>
      </c>
      <c r="CI118" s="1021">
        <f>(VLOOKUP(YEAR($A118),'NY East Load Projections'!$A$4:$EO$14,((MONTH($A118)-1)*12)+VLOOKUP(CI$4,$DE$6:$DF$17,2)+1))*(VLOOKUP($A118,CURVES!$D$9:$T$261,8))*(INDEX(DailyScalarsTable,CI$5/100,MONTH($A118)))*$E118</f>
        <v>-1594.1133725971449</v>
      </c>
      <c r="CJ118" s="1021">
        <f>(VLOOKUP(YEAR($A118),'NY East Load Projections'!$A$4:$EO$14,((MONTH($A118)-1)*12)+VLOOKUP(CJ$4,$DE$6:$DF$17,2)+1))*(VLOOKUP($A118,CURVES!$D$9:$T$261,8))*(INDEX(DailyScalarsTable,CJ$5/100,MONTH($A118)))*$E118</f>
        <v>-1932.7689130197773</v>
      </c>
      <c r="CK118" s="1021">
        <f>(VLOOKUP(YEAR($A118),'NY East Load Projections'!$A$4:$EO$14,((MONTH($A118)-1)*12)+VLOOKUP(CK$4,$DE$6:$DF$17,2)+1))*(VLOOKUP($A118,CURVES!$D$9:$T$261,8))*(INDEX(DailyScalarsTable,CK$5/100,MONTH($A118)))*$E118</f>
        <v>-2312.5870053169851</v>
      </c>
      <c r="CL118" s="1021">
        <f>(VLOOKUP(YEAR($A118),'NY East Load Projections'!$A$4:$EO$14,((MONTH($A118)-1)*12)+VLOOKUP(CL$4,$DE$6:$DF$17,2)+1))*(VLOOKUP($A118,SatSunCurve,8))*(INDEX(DailyScalarsTable,CL$5/100,MONTH($A118)))*$E118</f>
        <v>-2126.2285403316523</v>
      </c>
      <c r="CM118" s="1021">
        <f>(VLOOKUP(YEAR($A118),'NY East Load Projections'!$A$4:$EO$14,((MONTH($A118)-1)*12)+VLOOKUP(CM$4,$DE$6:$DF$17,2)+1))*(VLOOKUP($A118,SatSunCurve,8))*(INDEX(DailyScalarsTable,CM$5/100,MONTH($A118)))*$E118</f>
        <v>-2463.1908734221602</v>
      </c>
      <c r="CN118" s="1021">
        <f>(VLOOKUP(YEAR($A118),'NY East Load Projections'!$A$4:$EO$14,((MONTH($A118)-1)*12)+VLOOKUP(CN$4,$DE$6:$DF$17,2)+1))*(VLOOKUP($A118,SatSunCurve,8))*(INDEX(DailyScalarsTable,CN$5/100,MONTH($A118)))*$E118</f>
        <v>-2506.8795516040323</v>
      </c>
      <c r="CO118" s="1021">
        <f>(VLOOKUP(YEAR($A118),'NY East Load Projections'!$A$4:$EO$14,((MONTH($A118)-1)*12)+VLOOKUP(CO$4,$DE$6:$DF$17,2)+1))*(VLOOKUP($A118,SatSunCurve,8))*(INDEX(DailyScalarsTable,CO$5/100,MONTH($A118)))*$E118</f>
        <v>-2659.2099870346292</v>
      </c>
      <c r="CP118" s="1021">
        <f>(VLOOKUP(YEAR($A118),'NY East Load Projections'!$A$4:$EO$14,((MONTH($A118)-1)*12)+VLOOKUP(CP$4,$DE$6:$DF$17,2)+1))*(VLOOKUP($A118,SatSunCurve,8))*(INDEX(DailyScalarsTable,CP$5/100,MONTH($A118)))*$E118</f>
        <v>-2639.1054625615548</v>
      </c>
      <c r="CQ118" s="1021">
        <f>(VLOOKUP(YEAR($A118),'NY East Load Projections'!$A$4:$EO$14,((MONTH($A118)-1)*12)+VLOOKUP(CQ$4,$DE$6:$DF$17,2)+1))*(VLOOKUP($A118,SatSunCurve,8))*(INDEX(DailyScalarsTable,CQ$5/100,MONTH($A118)))*$E118</f>
        <v>-2501.8923559042832</v>
      </c>
      <c r="CR118" s="1021">
        <f>(VLOOKUP(YEAR($A118),'NY East Load Projections'!$A$4:$EO$14,((MONTH($A118)-1)*12)+VLOOKUP(CR$4,$DE$6:$DF$17,2)+1))*(VLOOKUP($A118,SatSunCurve,8))*(INDEX(DailyScalarsTable,CR$5/100,MONTH($A118)))*$E118</f>
        <v>-2513.9506057539465</v>
      </c>
      <c r="CS118" s="1021">
        <f>(VLOOKUP(YEAR($A118),'NY East Load Projections'!$A$4:$EO$14,((MONTH($A118)-1)*12)+VLOOKUP(CS$4,$DE$6:$DF$17,2)+1))*(VLOOKUP($A118,SatSunCurve,8))*(INDEX(DailyScalarsTable,CS$5/100,MONTH($A118)))*$E118</f>
        <v>-2438.4893002431518</v>
      </c>
      <c r="CT118" s="1021">
        <f>(VLOOKUP(YEAR($A118),'NY East Load Projections'!$A$4:$EO$14,((MONTH($A118)-1)*12)+VLOOKUP(CT$4,$DE$6:$DF$17,2)+1))*(VLOOKUP($A118,SatSunCurve,8))*(INDEX(DailyScalarsTable,CT$5/100,MONTH($A118)))*$E118</f>
        <v>-2343.5792046522556</v>
      </c>
      <c r="CU118" s="1021">
        <f>(VLOOKUP(YEAR($A118),'NY East Load Projections'!$A$4:$EO$14,((MONTH($A118)-1)*12)+VLOOKUP(CU$4,$DE$6:$DF$17,2)+1))*(VLOOKUP($A118,SatSunCurve,8))*(INDEX(DailyScalarsTable,CU$5/100,MONTH($A118)))*$E118</f>
        <v>-2314.2963828523702</v>
      </c>
      <c r="CV118" s="1021">
        <f>(VLOOKUP(YEAR($A118),'NY East Load Projections'!$A$4:$EO$14,((MONTH($A118)-1)*12)+VLOOKUP(CV$4,$DE$6:$DF$17,2)+1))*(VLOOKUP($A118,SatSunCurve,8))*(INDEX(DailyScalarsTable,CV$5/100,MONTH($A118)))*$E118</f>
        <v>-2224.1043836516387</v>
      </c>
      <c r="CW118" s="1021">
        <f>(VLOOKUP(YEAR($A118),'NY East Load Projections'!$A$4:$EO$14,((MONTH($A118)-1)*12)+VLOOKUP(CW$4,$DE$6:$DF$17,2)+1))*(VLOOKUP($A118,SatSunCurve,8))*(INDEX(DailyScalarsTable,CW$5/100,MONTH($A118)))*$E118</f>
        <v>-1927.0013274609958</v>
      </c>
      <c r="CX118" s="1021">
        <f>(VLOOKUP(YEAR($A118),'NY East Load Projections'!$A$4:$EO$14,((MONTH($A118)-1)*12)+VLOOKUP(CX$4,$DE$6:$DF$17,2)+1))*(VLOOKUP($A118,SatSunCurve,8))*(INDEX(DailyScalarsTable,CX$5/100,MONTH($A118)))*$E118</f>
        <v>-1922.0748737231415</v>
      </c>
      <c r="CY118" s="1021">
        <f>(VLOOKUP(YEAR($A118),'NY East Load Projections'!$A$4:$EO$14,((MONTH($A118)-1)*12)+VLOOKUP(CY$4,$DE$6:$DF$17,2)+1))*(VLOOKUP($A118,SatSunCurve,8))*(INDEX(DailyScalarsTable,CY$5/100,MONTH($A118)))*$E118</f>
        <v>-2438.531773846963</v>
      </c>
      <c r="CZ118" s="1021">
        <f>(VLOOKUP(YEAR($A118),'NY East Load Projections'!$A$4:$EO$14,((MONTH($A118)-1)*12)+VLOOKUP(CZ$4,$DE$6:$DF$17,2)+1))*(VLOOKUP($A118,SatSunCurve,8))*(INDEX(DailyScalarsTable,CZ$5/100,MONTH($A118)))*$E118</f>
        <v>-2325.9051370828561</v>
      </c>
      <c r="DA118" s="1021">
        <f>(VLOOKUP(YEAR($A118),'NY East Load Projections'!$A$4:$EO$14,((MONTH($A118)-1)*12)+VLOOKUP(DA$4,$DE$6:$DF$17,2)+1))*(VLOOKUP($A118,SatSunCurve,8))*(INDEX(DailyScalarsTable,DA$5/100,MONTH($A118)))*$E118</f>
        <v>-1865.860177792335</v>
      </c>
      <c r="DB118" s="1021">
        <f>(VLOOKUP(YEAR($A118),'NY East Load Projections'!$A$4:$EO$14,((MONTH($A118)-1)*12)+VLOOKUP(DB$4,$DE$6:$DF$17,2)+1))*(VLOOKUP($A118,CURVES!$D$9:$T$261,8))*(INDEX(DailyScalarsTable,DB$5/100,MONTH($A118)))*$E118</f>
        <v>-2119.5113545672275</v>
      </c>
      <c r="DH118" s="1021">
        <f t="shared" si="2"/>
        <v>-1907930.906019584</v>
      </c>
      <c r="DI118">
        <f ca="1">CALC!J138</f>
        <v>0.47215406433957591</v>
      </c>
      <c r="DJ118" s="1029">
        <f t="shared" ca="1" si="3"/>
        <v>-900837.33175623603</v>
      </c>
    </row>
    <row r="119" spans="1:114" x14ac:dyDescent="0.25">
      <c r="A119" s="244">
        <v>40330</v>
      </c>
      <c r="B119" s="13">
        <v>22</v>
      </c>
      <c r="C119" s="210">
        <v>4</v>
      </c>
      <c r="D119" s="210">
        <v>4</v>
      </c>
      <c r="E119" s="210">
        <v>0</v>
      </c>
      <c r="F119" s="13">
        <v>30</v>
      </c>
      <c r="H119" s="1021">
        <f>(VLOOKUP(YEAR($A119),'NY East Load Projections'!$A$4:$EO$14,((MONTH($A119)-1)*12)+VLOOKUP(H$4,$DE$6:$DF$17,2)+1))*(VLOOKUP($A119,CURVES!$D$9:$K$261,8))*(INDEX(DailyScalarsTable,H$5/100,MONTH($A119)))*$B119</f>
        <v>-51823.670655414338</v>
      </c>
      <c r="I119" s="1021">
        <f>(VLOOKUP(YEAR($A119),'NY East Load Projections'!$A$4:$EO$14,((MONTH($A119)-1)*12)+VLOOKUP(I$4,$DE$6:$DF$17,2)+1))*(VLOOKUP($A119,CURVES!$D$9:$K$261,8))*(INDEX(DailyScalarsTable,I$5/100,MONTH($A119)))*$B119</f>
        <v>-42936.580985814231</v>
      </c>
      <c r="J119" s="1021">
        <f>(VLOOKUP(YEAR($A119),'NY East Load Projections'!$A$4:$EO$14,((MONTH($A119)-1)*12)+VLOOKUP(J$4,$DE$6:$DF$17,2)+1))*(VLOOKUP($A119,CURVES!$D$9:$K$261,8))*(INDEX(DailyScalarsTable,J$5/100,MONTH($A119)))*$B119</f>
        <v>-36092.195508928176</v>
      </c>
      <c r="K119" s="1021">
        <f>(VLOOKUP(YEAR($A119),'NY East Load Projections'!$A$4:$EO$14,((MONTH($A119)-1)*12)+VLOOKUP(K$4,$DE$6:$DF$17,2)+1))*(VLOOKUP($A119,CURVES!$D$9:$K$261,8))*(INDEX(DailyScalarsTable,K$5/100,MONTH($A119)))*$B119</f>
        <v>-33505.654485686362</v>
      </c>
      <c r="L119" s="1021">
        <f>(VLOOKUP(YEAR($A119),'NY East Load Projections'!$A$4:$EO$14,((MONTH($A119)-1)*12)+VLOOKUP(L$4,$DE$6:$DF$17,2)+1))*(VLOOKUP($A119,CURVES!$D$9:$K$261,8))*(INDEX(DailyScalarsTable,L$5/100,MONTH($A119)))*$B119</f>
        <v>-38712.535592422566</v>
      </c>
      <c r="M119" s="1021">
        <f>(VLOOKUP(YEAR($A119),'NY East Load Projections'!$A$4:$EO$14,((MONTH($A119)-1)*12)+VLOOKUP(M$4,$DE$6:$DF$17,2)+1))*(VLOOKUP($A119,CURVES!$D$9:$K$261,8))*(INDEX(DailyScalarsTable,M$5/100,MONTH($A119)))*$B119</f>
        <v>-47232.119155280518</v>
      </c>
      <c r="N119" s="1021">
        <f>(VLOOKUP(YEAR($A119),'NY East Load Projections'!$A$4:$EO$14,((MONTH($A119)-1)*12)+VLOOKUP(N$4,$DE$6:$DF$17,2)+1))*(VLOOKUP($A119,CURVES!$D$9:$K$261,8))*(INDEX(DailyScalarsTable,N$5/100,MONTH($A119)))*$B119</f>
        <v>-54155.163841516667</v>
      </c>
      <c r="O119" s="1021">
        <f>(VLOOKUP(YEAR($A119),'NY East Load Projections'!$A$4:$EO$14,((MONTH($A119)-1)*12)+VLOOKUP(O$4,$DE$6:$DF$17,2)+1))*(VLOOKUP($A119,CURVES!$D$9:$K$261,4))*(INDEX(DailyScalarsTable,O$5/100,MONTH($A119)))*$B119</f>
        <v>-78455.309487519626</v>
      </c>
      <c r="P119" s="1021">
        <f>(VLOOKUP(YEAR($A119),'NY East Load Projections'!$A$4:$EO$14,((MONTH($A119)-1)*12)+VLOOKUP(P$4,$DE$6:$DF$17,2)+1))*(VLOOKUP($A119,CURVES!$D$9:$K$261,4))*(INDEX(DailyScalarsTable,P$5/100,MONTH($A119)))*$B119</f>
        <v>-98538.796141643907</v>
      </c>
      <c r="Q119" s="1021">
        <f>(VLOOKUP(YEAR($A119),'NY East Load Projections'!$A$4:$EO$14,((MONTH($A119)-1)*12)+VLOOKUP(Q$4,$DE$6:$DF$17,2)+1))*(VLOOKUP($A119,CURVES!$D$9:$K$261,4))*(INDEX(DailyScalarsTable,Q$5/100,MONTH($A119)))*$B119</f>
        <v>-110214.90940926022</v>
      </c>
      <c r="R119" s="1021">
        <f>(VLOOKUP(YEAR($A119),'NY East Load Projections'!$A$4:$EO$14,((MONTH($A119)-1)*12)+VLOOKUP(R$4,$DE$6:$DF$17,2)+1))*(VLOOKUP($A119,CURVES!$D$9:$K$261,4))*(INDEX(DailyScalarsTable,R$5/100,MONTH($A119)))*$B119</f>
        <v>-126779.09968092303</v>
      </c>
      <c r="S119" s="1021">
        <f>(VLOOKUP(YEAR($A119),'NY East Load Projections'!$A$4:$EO$14,((MONTH($A119)-1)*12)+VLOOKUP(S$4,$DE$6:$DF$17,2)+1))*(VLOOKUP($A119,CURVES!$D$9:$K$261,4))*(INDEX(DailyScalarsTable,S$5/100,MONTH($A119)))*$B119</f>
        <v>-136727.97725806362</v>
      </c>
      <c r="T119" s="1021">
        <f>(VLOOKUP(YEAR($A119),'NY East Load Projections'!$A$4:$EO$14,((MONTH($A119)-1)*12)+VLOOKUP(T$4,$DE$6:$DF$17,2)+1))*(VLOOKUP($A119,CURVES!$D$9:$K$261,4))*(INDEX(DailyScalarsTable,T$5/100,MONTH($A119)))*$B119</f>
        <v>-142946.48930769495</v>
      </c>
      <c r="U119" s="1021">
        <f>(VLOOKUP(YEAR($A119),'NY East Load Projections'!$A$4:$EO$14,((MONTH($A119)-1)*12)+VLOOKUP(U$4,$DE$6:$DF$17,2)+1))*(VLOOKUP($A119,CURVES!$D$9:$K$261,4))*(INDEX(DailyScalarsTable,U$5/100,MONTH($A119)))*$B119</f>
        <v>-158082.20438027001</v>
      </c>
      <c r="V119" s="1021">
        <f>(VLOOKUP(YEAR($A119),'NY East Load Projections'!$A$4:$EO$14,((MONTH($A119)-1)*12)+VLOOKUP(V$4,$DE$6:$DF$17,2)+1))*(VLOOKUP($A119,CURVES!$D$9:$K$261,4))*(INDEX(DailyScalarsTable,V$5/100,MONTH($A119)))*$B119</f>
        <v>-159298.62235395575</v>
      </c>
      <c r="W119" s="1021">
        <f>(VLOOKUP(YEAR($A119),'NY East Load Projections'!$A$4:$EO$14,((MONTH($A119)-1)*12)+VLOOKUP(W$4,$DE$6:$DF$17,2)+1))*(VLOOKUP($A119,CURVES!$D$9:$K$261,4))*(INDEX(DailyScalarsTable,W$5/100,MONTH($A119)))*$B119</f>
        <v>-159559.28334831691</v>
      </c>
      <c r="X119" s="1021">
        <f>(VLOOKUP(YEAR($A119),'NY East Load Projections'!$A$4:$EO$14,((MONTH($A119)-1)*12)+VLOOKUP(X$4,$DE$6:$DF$17,2)+1))*(VLOOKUP($A119,CURVES!$D$9:$K$261,4))*(INDEX(DailyScalarsTable,X$5/100,MONTH($A119)))*$B119</f>
        <v>-155750.74185095212</v>
      </c>
      <c r="Y119" s="1021">
        <f>(VLOOKUP(YEAR($A119),'NY East Load Projections'!$A$4:$EO$14,((MONTH($A119)-1)*12)+VLOOKUP(Y$4,$DE$6:$DF$17,2)+1))*(VLOOKUP($A119,CURVES!$D$9:$K$261,4))*(INDEX(DailyScalarsTable,Y$5/100,MONTH($A119)))*$B119</f>
        <v>-151127.12643002041</v>
      </c>
      <c r="Z119" s="1021">
        <f>(VLOOKUP(YEAR($A119),'NY East Load Projections'!$A$4:$EO$14,((MONTH($A119)-1)*12)+VLOOKUP(Z$4,$DE$6:$DF$17,2)+1))*(VLOOKUP($A119,CURVES!$D$9:$K$261,4))*(INDEX(DailyScalarsTable,Z$5/100,MONTH($A119)))*$B119</f>
        <v>-129043.93797553431</v>
      </c>
      <c r="AA119" s="1021">
        <f>(VLOOKUP(YEAR($A119),'NY East Load Projections'!$A$4:$EO$14,((MONTH($A119)-1)*12)+VLOOKUP(AA$4,$DE$6:$DF$17,2)+1))*(VLOOKUP($A119,CURVES!$D$9:$K$261,4))*(INDEX(DailyScalarsTable,AA$5/100,MONTH($A119)))*$B119</f>
        <v>-103188.41347364549</v>
      </c>
      <c r="AB119" s="1021">
        <f>(VLOOKUP(YEAR($A119),'NY East Load Projections'!$A$4:$EO$14,((MONTH($A119)-1)*12)+VLOOKUP(AB$4,$DE$6:$DF$17,2)+1))*(VLOOKUP($A119,CURVES!$D$9:$K$261,4))*(INDEX(DailyScalarsTable,AB$5/100,MONTH($A119)))*$B119</f>
        <v>-104940.32897758734</v>
      </c>
      <c r="AC119" s="1021">
        <f>(VLOOKUP(YEAR($A119),'NY East Load Projections'!$A$4:$EO$14,((MONTH($A119)-1)*12)+VLOOKUP(AC$4,$DE$6:$DF$17,2)+1))*(VLOOKUP($A119,CURVES!$D$9:$K$261,4))*(INDEX(DailyScalarsTable,AC$5/100,MONTH($A119)))*$B119</f>
        <v>-106924.16669419255</v>
      </c>
      <c r="AD119" s="1021">
        <f>(VLOOKUP(YEAR($A119),'NY East Load Projections'!$A$4:$EO$14,((MONTH($A119)-1)*12)+VLOOKUP(AD$4,$DE$6:$DF$17,2)+1))*(VLOOKUP($A119,CURVES!$D$9:$K$261,4))*(INDEX(DailyScalarsTable,AD$5/100,MONTH($A119)))*$B119</f>
        <v>-85742.403357841162</v>
      </c>
      <c r="AE119" s="1021">
        <f>(VLOOKUP(YEAR($A119),'NY East Load Projections'!$A$4:$EO$14,((MONTH($A119)-1)*12)+VLOOKUP(AE$4,$DE$6:$DF$17,2)+1))*(VLOOKUP($A119,CURVES!$D$9:$K$261,8))*(INDEX(DailyScalarsTable,AE$5/100,MONTH($A119)))*$B119</f>
        <v>-64369.226083982881</v>
      </c>
      <c r="AF119" s="1021"/>
      <c r="AG119" s="1021">
        <f>(VLOOKUP(YEAR($A119),'NY East Load Projections'!$A$4:$EO$14,((MONTH($A119)-1)*12)+VLOOKUP(AG$4,$DE$6:$DF$17,2)+1))*(VLOOKUP($A119,CURVES!$D$9:$T$261,8))*(INDEX(DailyScalarsTable,AG$5/100,MONTH($A119)))*$C119</f>
        <v>-9524.3182378783622</v>
      </c>
      <c r="AH119" s="1021">
        <f>(VLOOKUP(YEAR($A119),'NY East Load Projections'!$A$4:$EO$14,((MONTH($A119)-1)*12)+VLOOKUP(AH$4,$DE$6:$DF$17,2)+1))*(VLOOKUP($A119,CURVES!$D$9:$T$261,8))*(INDEX(DailyScalarsTable,AH$5/100,MONTH($A119)))*$C119</f>
        <v>-7891.0207668319063</v>
      </c>
      <c r="AI119" s="1021">
        <f>(VLOOKUP(YEAR($A119),'NY East Load Projections'!$A$4:$EO$14,((MONTH($A119)-1)*12)+VLOOKUP(AI$4,$DE$6:$DF$17,2)+1))*(VLOOKUP($A119,CURVES!$D$9:$T$261,8))*(INDEX(DailyScalarsTable,AI$5/100,MONTH($A119)))*$C119</f>
        <v>-6633.1379383841868</v>
      </c>
      <c r="AJ119" s="1021">
        <f>(VLOOKUP(YEAR($A119),'NY East Load Projections'!$A$4:$EO$14,((MONTH($A119)-1)*12)+VLOOKUP(AJ$4,$DE$6:$DF$17,2)+1))*(VLOOKUP($A119,CURVES!$D$9:$T$261,8))*(INDEX(DailyScalarsTable,AJ$5/100,MONTH($A119)))*$C119</f>
        <v>-6157.7752415870855</v>
      </c>
      <c r="AK119" s="1021">
        <f>(VLOOKUP(YEAR($A119),'NY East Load Projections'!$A$4:$EO$14,((MONTH($A119)-1)*12)+VLOOKUP(AK$4,$DE$6:$DF$17,2)+1))*(VLOOKUP($A119,CURVES!$D$9:$T$261,8))*(INDEX(DailyScalarsTable,AK$5/100,MONTH($A119)))*$C119</f>
        <v>-6737.3647488132465</v>
      </c>
      <c r="AL119" s="1021">
        <f>(VLOOKUP(YEAR($A119),'NY East Load Projections'!$A$4:$EO$14,((MONTH($A119)-1)*12)+VLOOKUP(AL$4,$DE$6:$DF$17,2)+1))*(VLOOKUP($A119,CURVES!$D$9:$T$261,8))*(INDEX(DailyScalarsTable,AL$5/100,MONTH($A119)))*$C119</f>
        <v>-8220.0767720009771</v>
      </c>
      <c r="AM119" s="1021">
        <f>(VLOOKUP(YEAR($A119),'NY East Load Projections'!$A$4:$EO$14,((MONTH($A119)-1)*12)+VLOOKUP(AM$4,$DE$6:$DF$17,2)+1))*(VLOOKUP($A119,CURVES!$D$9:$T$261,8))*(INDEX(DailyScalarsTable,AM$5/100,MONTH($A119)))*$C119</f>
        <v>-9424.9339716062659</v>
      </c>
      <c r="AN119" s="1021">
        <f>(VLOOKUP(YEAR($A119),'NY East Load Projections'!$A$4:$EO$14,((MONTH($A119)-1)*12)+VLOOKUP(AN$4,$DE$6:$DF$17,2)+1))*(VLOOKUP($A119,SatSunCurve,4))*(INDEX(DailyScalarsTable,AN$5/100,MONTH($A119)))*$C119</f>
        <v>-7542.6657782444927</v>
      </c>
      <c r="AO119" s="1021">
        <f>(VLOOKUP(YEAR($A119),'NY East Load Projections'!$A$4:$EO$14,((MONTH($A119)-1)*12)+VLOOKUP(AO$4,$DE$6:$DF$17,2)+1))*(VLOOKUP($A119,SatSunCurve,4))*(INDEX(DailyScalarsTable,AO$5/100,MONTH($A119)))*$C119</f>
        <v>-9387.7545814164132</v>
      </c>
      <c r="AP119" s="1021">
        <f>(VLOOKUP(YEAR($A119),'NY East Load Projections'!$A$4:$EO$14,((MONTH($A119)-1)*12)+VLOOKUP(AP$4,$DE$6:$DF$17,2)+1))*(VLOOKUP($A119,SatSunCurve,4))*(INDEX(DailyScalarsTable,AP$5/100,MONTH($A119)))*$C119</f>
        <v>-10500.133564245067</v>
      </c>
      <c r="AQ119" s="1021">
        <f>(VLOOKUP(YEAR($A119),'NY East Load Projections'!$A$4:$EO$14,((MONTH($A119)-1)*12)+VLOOKUP(AQ$4,$DE$6:$DF$17,2)+1))*(VLOOKUP($A119,SatSunCurve,4))*(INDEX(DailyScalarsTable,AQ$5/100,MONTH($A119)))*$C119</f>
        <v>-12078.19783130525</v>
      </c>
      <c r="AR119" s="1021">
        <f>(VLOOKUP(YEAR($A119),'NY East Load Projections'!$A$4:$EO$14,((MONTH($A119)-1)*12)+VLOOKUP(AR$4,$DE$6:$DF$17,2)+1))*(VLOOKUP($A119,SatSunCurve,4))*(INDEX(DailyScalarsTable,AR$5/100,MONTH($A119)))*$C119</f>
        <v>-13026.023710165173</v>
      </c>
      <c r="AS119" s="1021">
        <f>(VLOOKUP(YEAR($A119),'NY East Load Projections'!$A$4:$EO$14,((MONTH($A119)-1)*12)+VLOOKUP(AS$4,$DE$6:$DF$17,2)+1))*(VLOOKUP($A119,SatSunCurve,4))*(INDEX(DailyScalarsTable,AS$5/100,MONTH($A119)))*$C119</f>
        <v>-13589.171575552817</v>
      </c>
      <c r="AT119" s="1021">
        <f>(VLOOKUP(YEAR($A119),'NY East Load Projections'!$A$4:$EO$14,((MONTH($A119)-1)*12)+VLOOKUP(AT$4,$DE$6:$DF$17,2)+1))*(VLOOKUP($A119,SatSunCurve,4))*(INDEX(DailyScalarsTable,AT$5/100,MONTH($A119)))*$C119</f>
        <v>-15028.044471529782</v>
      </c>
      <c r="AU119" s="1021">
        <f>(VLOOKUP(YEAR($A119),'NY East Load Projections'!$A$4:$EO$14,((MONTH($A119)-1)*12)+VLOOKUP(AU$4,$DE$6:$DF$17,2)+1))*(VLOOKUP($A119,SatSunCurve,4))*(INDEX(DailyScalarsTable,AU$5/100,MONTH($A119)))*$C119</f>
        <v>-15143.682936189241</v>
      </c>
      <c r="AV119" s="1021">
        <f>(VLOOKUP(YEAR($A119),'NY East Load Projections'!$A$4:$EO$14,((MONTH($A119)-1)*12)+VLOOKUP(AV$4,$DE$6:$DF$17,2)+1))*(VLOOKUP($A119,SatSunCurve,4))*(INDEX(DailyScalarsTable,AV$5/100,MONTH($A119)))*$C119</f>
        <v>-15168.462607187692</v>
      </c>
      <c r="AW119" s="1021">
        <f>(VLOOKUP(YEAR($A119),'NY East Load Projections'!$A$4:$EO$14,((MONTH($A119)-1)*12)+VLOOKUP(AW$4,$DE$6:$DF$17,2)+1))*(VLOOKUP($A119,SatSunCurve,4))*(INDEX(DailyScalarsTable,AW$5/100,MONTH($A119)))*$C119</f>
        <v>-14994.953992955208</v>
      </c>
      <c r="AX119" s="1021">
        <f>(VLOOKUP(YEAR($A119),'NY East Load Projections'!$A$4:$EO$14,((MONTH($A119)-1)*12)+VLOOKUP(AX$4,$DE$6:$DF$17,2)+1))*(VLOOKUP($A119,SatSunCurve,4))*(INDEX(DailyScalarsTable,AX$5/100,MONTH($A119)))*$C119</f>
        <v>-14549.813894782599</v>
      </c>
      <c r="AY119" s="1021">
        <f>(VLOOKUP(YEAR($A119),'NY East Load Projections'!$A$4:$EO$14,((MONTH($A119)-1)*12)+VLOOKUP(AY$4,$DE$6:$DF$17,2)+1))*(VLOOKUP($A119,SatSunCurve,4))*(INDEX(DailyScalarsTable,AY$5/100,MONTH($A119)))*$C119</f>
        <v>-12423.747649719933</v>
      </c>
      <c r="AZ119" s="1021">
        <f>(VLOOKUP(YEAR($A119),'NY East Load Projections'!$A$4:$EO$14,((MONTH($A119)-1)*12)+VLOOKUP(AZ$4,$DE$6:$DF$17,2)+1))*(VLOOKUP($A119,SatSunCurve,4))*(INDEX(DailyScalarsTable,AZ$5/100,MONTH($A119)))*$C119</f>
        <v>-9934.4985086752877</v>
      </c>
      <c r="BA119" s="1021">
        <f>(VLOOKUP(YEAR($A119),'NY East Load Projections'!$A$4:$EO$14,((MONTH($A119)-1)*12)+VLOOKUP(BA$4,$DE$6:$DF$17,2)+1))*(VLOOKUP($A119,SatSunCurve,4))*(INDEX(DailyScalarsTable,BA$5/100,MONTH($A119)))*$C119</f>
        <v>-10485.339064903732</v>
      </c>
      <c r="BB119" s="1021">
        <f>(VLOOKUP(YEAR($A119),'NY East Load Projections'!$A$4:$EO$14,((MONTH($A119)-1)*12)+VLOOKUP(BB$4,$DE$6:$DF$17,2)+1))*(VLOOKUP($A119,SatSunCurve,4))*(INDEX(DailyScalarsTable,BB$5/100,MONTH($A119)))*$C119</f>
        <v>-10683.558484558807</v>
      </c>
      <c r="BC119" s="1021">
        <f>(VLOOKUP(YEAR($A119),'NY East Load Projections'!$A$4:$EO$14,((MONTH($A119)-1)*12)+VLOOKUP(BC$4,$DE$6:$DF$17,2)+1))*(VLOOKUP($A119,SatSunCurve,4))*(INDEX(DailyScalarsTable,BC$5/100,MONTH($A119)))*$C119</f>
        <v>-8567.13696446213</v>
      </c>
      <c r="BD119" s="1021">
        <f>(VLOOKUP(YEAR($A119),'NY East Load Projections'!$A$4:$EO$14,((MONTH($A119)-1)*12)+VLOOKUP(BD$4,$DE$6:$DF$17,2)+1))*(VLOOKUP($A119,CURVES!$D$9:$T$261,8))*(INDEX(DailyScalarsTable,BD$5/100,MONTH($A119)))*$C119</f>
        <v>-11642.714906746427</v>
      </c>
      <c r="BE119" s="1021"/>
      <c r="BF119" s="1021">
        <f>(VLOOKUP(YEAR($A119),'NY East Load Projections'!$A$4:$EO$14,((MONTH($A119)-1)*12)+VLOOKUP(BF$4,$DE$6:$DF$17,2)+1))*(VLOOKUP($A119,CURVES!$D$9:$T$261,8))*(INDEX(DailyScalarsTable,BF$5/100,MONTH($A119)))*$D119</f>
        <v>-9524.3182378783622</v>
      </c>
      <c r="BG119" s="1021">
        <f>(VLOOKUP(YEAR($A119),'NY East Load Projections'!$A$4:$EO$14,((MONTH($A119)-1)*12)+VLOOKUP(BG$4,$DE$6:$DF$17,2)+1))*(VLOOKUP($A119,CURVES!$D$9:$T$261,8))*(INDEX(DailyScalarsTable,BG$5/100,MONTH($A119)))*$D119</f>
        <v>-7891.0207668319063</v>
      </c>
      <c r="BH119" s="1021">
        <f>(VLOOKUP(YEAR($A119),'NY East Load Projections'!$A$4:$EO$14,((MONTH($A119)-1)*12)+VLOOKUP(BH$4,$DE$6:$DF$17,2)+1))*(VLOOKUP($A119,CURVES!$D$9:$T$261,8))*(INDEX(DailyScalarsTable,BH$5/100,MONTH($A119)))*$D119</f>
        <v>-6633.1379383841868</v>
      </c>
      <c r="BI119" s="1021">
        <f>(VLOOKUP(YEAR($A119),'NY East Load Projections'!$A$4:$EO$14,((MONTH($A119)-1)*12)+VLOOKUP(BI$4,$DE$6:$DF$17,2)+1))*(VLOOKUP($A119,CURVES!$D$9:$T$261,8))*(INDEX(DailyScalarsTable,BI$5/100,MONTH($A119)))*$D119</f>
        <v>-6157.7752415870855</v>
      </c>
      <c r="BJ119" s="1021">
        <f>(VLOOKUP(YEAR($A119),'NY East Load Projections'!$A$4:$EO$14,((MONTH($A119)-1)*12)+VLOOKUP(BJ$4,$DE$6:$DF$17,2)+1))*(VLOOKUP($A119,CURVES!$D$9:$T$261,8))*(INDEX(DailyScalarsTable,BJ$5/100,MONTH($A119)))*$D119</f>
        <v>-6737.3647488132465</v>
      </c>
      <c r="BK119" s="1021">
        <f>(VLOOKUP(YEAR($A119),'NY East Load Projections'!$A$4:$EO$14,((MONTH($A119)-1)*12)+VLOOKUP(BK$4,$DE$6:$DF$17,2)+1))*(VLOOKUP($A119,CURVES!$D$9:$T$261,8))*(INDEX(DailyScalarsTable,BK$5/100,MONTH($A119)))*$D119</f>
        <v>-8220.0767720009771</v>
      </c>
      <c r="BL119" s="1021">
        <f>(VLOOKUP(YEAR($A119),'NY East Load Projections'!$A$4:$EO$14,((MONTH($A119)-1)*12)+VLOOKUP(BL$4,$DE$6:$DF$17,2)+1))*(VLOOKUP($A119,CURVES!$D$9:$T$261,8))*(INDEX(DailyScalarsTable,BL$5/100,MONTH($A119)))*$D119</f>
        <v>-9424.9339716062659</v>
      </c>
      <c r="BM119" s="1021">
        <f>(VLOOKUP(YEAR($A119),'NY East Load Projections'!$A$4:$EO$14,((MONTH($A119)-1)*12)+VLOOKUP(BM$4,$DE$6:$DF$17,2)+1))*(VLOOKUP($A119,SatSunCurve,8))*(INDEX(DailyScalarsTable,BM$5/100,MONTH($A119)))*$D119</f>
        <v>-5806.2970020541343</v>
      </c>
      <c r="BN119" s="1021">
        <f>(VLOOKUP(YEAR($A119),'NY East Load Projections'!$A$4:$EO$14,((MONTH($A119)-1)*12)+VLOOKUP(BN$4,$DE$6:$DF$17,2)+1))*(VLOOKUP($A119,SatSunCurve,8))*(INDEX(DailyScalarsTable,BN$5/100,MONTH($A119)))*$D119</f>
        <v>-7226.6348376879141</v>
      </c>
      <c r="BO119" s="1021">
        <f>(VLOOKUP(YEAR($A119),'NY East Load Projections'!$A$4:$EO$14,((MONTH($A119)-1)*12)+VLOOKUP(BO$4,$DE$6:$DF$17,2)+1))*(VLOOKUP($A119,SatSunCurve,8))*(INDEX(DailyScalarsTable,BO$5/100,MONTH($A119)))*$D119</f>
        <v>-8082.9372303745076</v>
      </c>
      <c r="BP119" s="1021">
        <f>(VLOOKUP(YEAR($A119),'NY East Load Projections'!$A$4:$EO$14,((MONTH($A119)-1)*12)+VLOOKUP(BP$4,$DE$6:$DF$17,2)+1))*(VLOOKUP($A119,SatSunCurve,8))*(INDEX(DailyScalarsTable,BP$5/100,MONTH($A119)))*$D119</f>
        <v>-9297.7212460349292</v>
      </c>
      <c r="BQ119" s="1021">
        <f>(VLOOKUP(YEAR($A119),'NY East Load Projections'!$A$4:$EO$14,((MONTH($A119)-1)*12)+VLOOKUP(BQ$4,$DE$6:$DF$17,2)+1))*(VLOOKUP($A119,SatSunCurve,8))*(INDEX(DailyScalarsTable,BQ$5/100,MONTH($A119)))*$D119</f>
        <v>-10027.35168714067</v>
      </c>
      <c r="BR119" s="1021">
        <f>(VLOOKUP(YEAR($A119),'NY East Load Projections'!$A$4:$EO$14,((MONTH($A119)-1)*12)+VLOOKUP(BR$4,$DE$6:$DF$17,2)+1))*(VLOOKUP($A119,SatSunCurve,8))*(INDEX(DailyScalarsTable,BR$5/100,MONTH($A119)))*$D119</f>
        <v>-10460.859396304273</v>
      </c>
      <c r="BS119" s="1021">
        <f>(VLOOKUP(YEAR($A119),'NY East Load Projections'!$A$4:$EO$14,((MONTH($A119)-1)*12)+VLOOKUP(BS$4,$DE$6:$DF$17,2)+1))*(VLOOKUP($A119,SatSunCurve,8))*(INDEX(DailyScalarsTable,BS$5/100,MONTH($A119)))*$D119</f>
        <v>-11568.494763941158</v>
      </c>
      <c r="BT119" s="1021">
        <f>(VLOOKUP(YEAR($A119),'NY East Load Projections'!$A$4:$EO$14,((MONTH($A119)-1)*12)+VLOOKUP(BT$4,$DE$6:$DF$17,2)+1))*(VLOOKUP($A119,SatSunCurve,8))*(INDEX(DailyScalarsTable,BT$5/100,MONTH($A119)))*$D119</f>
        <v>-11657.512531719096</v>
      </c>
      <c r="BU119" s="1021">
        <f>(VLOOKUP(YEAR($A119),'NY East Load Projections'!$A$4:$EO$14,((MONTH($A119)-1)*12)+VLOOKUP(BU$4,$DE$6:$DF$17,2)+1))*(VLOOKUP($A119,SatSunCurve,8))*(INDEX(DailyScalarsTable,BU$5/100,MONTH($A119)))*$D119</f>
        <v>-11676.587767671508</v>
      </c>
      <c r="BV119" s="1021">
        <f>(VLOOKUP(YEAR($A119),'NY East Load Projections'!$A$4:$EO$14,((MONTH($A119)-1)*12)+VLOOKUP(BV$4,$DE$6:$DF$17,2)+1))*(VLOOKUP($A119,SatSunCurve,8))*(INDEX(DailyScalarsTable,BV$5/100,MONTH($A119)))*$D119</f>
        <v>-11543.021920228757</v>
      </c>
      <c r="BW119" s="1021">
        <f>(VLOOKUP(YEAR($A119),'NY East Load Projections'!$A$4:$EO$14,((MONTH($A119)-1)*12)+VLOOKUP(BW$4,$DE$6:$DF$17,2)+1))*(VLOOKUP($A119,SatSunCurve,8))*(INDEX(DailyScalarsTable,BW$5/100,MONTH($A119)))*$D119</f>
        <v>-11200.355853150912</v>
      </c>
      <c r="BX119" s="1021">
        <f>(VLOOKUP(YEAR($A119),'NY East Load Projections'!$A$4:$EO$14,((MONTH($A119)-1)*12)+VLOOKUP(BX$4,$DE$6:$DF$17,2)+1))*(VLOOKUP($A119,SatSunCurve,8))*(INDEX(DailyScalarsTable,BX$5/100,MONTH($A119)))*$D119</f>
        <v>-9563.7233378296551</v>
      </c>
      <c r="BY119" s="1021">
        <f>(VLOOKUP(YEAR($A119),'NY East Load Projections'!$A$4:$EO$14,((MONTH($A119)-1)*12)+VLOOKUP(BY$4,$DE$6:$DF$17,2)+1))*(VLOOKUP($A119,SatSunCurve,8))*(INDEX(DailyScalarsTable,BY$5/100,MONTH($A119)))*$D119</f>
        <v>-7647.5148977445269</v>
      </c>
      <c r="BZ119" s="1021">
        <f>(VLOOKUP(YEAR($A119),'NY East Load Projections'!$A$4:$EO$14,((MONTH($A119)-1)*12)+VLOOKUP(BZ$4,$DE$6:$DF$17,2)+1))*(VLOOKUP($A119,SatSunCurve,8))*(INDEX(DailyScalarsTable,BZ$5/100,MONTH($A119)))*$D119</f>
        <v>-8071.5485171929886</v>
      </c>
      <c r="CA119" s="1021">
        <f>(VLOOKUP(YEAR($A119),'NY East Load Projections'!$A$4:$EO$14,((MONTH($A119)-1)*12)+VLOOKUP(CA$4,$DE$6:$DF$17,2)+1))*(VLOOKUP($A119,SatSunCurve,8))*(INDEX(DailyScalarsTable,CA$5/100,MONTH($A119)))*$D119</f>
        <v>-8224.1365882980081</v>
      </c>
      <c r="CB119" s="1021">
        <f>(VLOOKUP(YEAR($A119),'NY East Load Projections'!$A$4:$EO$14,((MONTH($A119)-1)*12)+VLOOKUP(CB$4,$DE$6:$DF$17,2)+1))*(VLOOKUP($A119,SatSunCurve,8))*(INDEX(DailyScalarsTable,CB$5/100,MONTH($A119)))*$D119</f>
        <v>-6594.9285220113607</v>
      </c>
      <c r="CC119" s="1021">
        <f>(VLOOKUP(YEAR($A119),'NY East Load Projections'!$A$4:$EO$14,((MONTH($A119)-1)*12)+VLOOKUP(CC$4,$DE$6:$DF$17,2)+1))*(VLOOKUP($A119,CURVES!$D$9:$T$261,8))*(INDEX(DailyScalarsTable,CC$5/100,MONTH($A119)))*$D119</f>
        <v>-11642.714906746427</v>
      </c>
      <c r="CE119" s="1021">
        <f>(VLOOKUP(YEAR($A119),'NY East Load Projections'!$A$4:$EO$14,((MONTH($A119)-1)*12)+VLOOKUP(CE$4,$DE$6:$DF$17,2)+1))*(VLOOKUP($A119,CURVES!$D$9:$T$261,8))*(INDEX(DailyScalarsTable,CE$5/100,MONTH($A119)))*$E119</f>
        <v>0</v>
      </c>
      <c r="CF119" s="1021">
        <f>(VLOOKUP(YEAR($A119),'NY East Load Projections'!$A$4:$EO$14,((MONTH($A119)-1)*12)+VLOOKUP(CF$4,$DE$6:$DF$17,2)+1))*(VLOOKUP($A119,CURVES!$D$9:$T$261,8))*(INDEX(DailyScalarsTable,CF$5/100,MONTH($A119)))*$E119</f>
        <v>0</v>
      </c>
      <c r="CG119" s="1021">
        <f>(VLOOKUP(YEAR($A119),'NY East Load Projections'!$A$4:$EO$14,((MONTH($A119)-1)*12)+VLOOKUP(CG$4,$DE$6:$DF$17,2)+1))*(VLOOKUP($A119,CURVES!$D$9:$T$261,8))*(INDEX(DailyScalarsTable,CG$5/100,MONTH($A119)))*$E119</f>
        <v>0</v>
      </c>
      <c r="CH119" s="1021">
        <f>(VLOOKUP(YEAR($A119),'NY East Load Projections'!$A$4:$EO$14,((MONTH($A119)-1)*12)+VLOOKUP(CH$4,$DE$6:$DF$17,2)+1))*(VLOOKUP($A119,CURVES!$D$9:$T$261,8))*(INDEX(DailyScalarsTable,CH$5/100,MONTH($A119)))*$E119</f>
        <v>0</v>
      </c>
      <c r="CI119" s="1021">
        <f>(VLOOKUP(YEAR($A119),'NY East Load Projections'!$A$4:$EO$14,((MONTH($A119)-1)*12)+VLOOKUP(CI$4,$DE$6:$DF$17,2)+1))*(VLOOKUP($A119,CURVES!$D$9:$T$261,8))*(INDEX(DailyScalarsTable,CI$5/100,MONTH($A119)))*$E119</f>
        <v>0</v>
      </c>
      <c r="CJ119" s="1021">
        <f>(VLOOKUP(YEAR($A119),'NY East Load Projections'!$A$4:$EO$14,((MONTH($A119)-1)*12)+VLOOKUP(CJ$4,$DE$6:$DF$17,2)+1))*(VLOOKUP($A119,CURVES!$D$9:$T$261,8))*(INDEX(DailyScalarsTable,CJ$5/100,MONTH($A119)))*$E119</f>
        <v>0</v>
      </c>
      <c r="CK119" s="1021">
        <f>(VLOOKUP(YEAR($A119),'NY East Load Projections'!$A$4:$EO$14,((MONTH($A119)-1)*12)+VLOOKUP(CK$4,$DE$6:$DF$17,2)+1))*(VLOOKUP($A119,CURVES!$D$9:$T$261,8))*(INDEX(DailyScalarsTable,CK$5/100,MONTH($A119)))*$E119</f>
        <v>0</v>
      </c>
      <c r="CL119" s="1021">
        <f>(VLOOKUP(YEAR($A119),'NY East Load Projections'!$A$4:$EO$14,((MONTH($A119)-1)*12)+VLOOKUP(CL$4,$DE$6:$DF$17,2)+1))*(VLOOKUP($A119,SatSunCurve,8))*(INDEX(DailyScalarsTable,CL$5/100,MONTH($A119)))*$E119</f>
        <v>0</v>
      </c>
      <c r="CM119" s="1021">
        <f>(VLOOKUP(YEAR($A119),'NY East Load Projections'!$A$4:$EO$14,((MONTH($A119)-1)*12)+VLOOKUP(CM$4,$DE$6:$DF$17,2)+1))*(VLOOKUP($A119,SatSunCurve,8))*(INDEX(DailyScalarsTable,CM$5/100,MONTH($A119)))*$E119</f>
        <v>0</v>
      </c>
      <c r="CN119" s="1021">
        <f>(VLOOKUP(YEAR($A119),'NY East Load Projections'!$A$4:$EO$14,((MONTH($A119)-1)*12)+VLOOKUP(CN$4,$DE$6:$DF$17,2)+1))*(VLOOKUP($A119,SatSunCurve,8))*(INDEX(DailyScalarsTable,CN$5/100,MONTH($A119)))*$E119</f>
        <v>0</v>
      </c>
      <c r="CO119" s="1021">
        <f>(VLOOKUP(YEAR($A119),'NY East Load Projections'!$A$4:$EO$14,((MONTH($A119)-1)*12)+VLOOKUP(CO$4,$DE$6:$DF$17,2)+1))*(VLOOKUP($A119,SatSunCurve,8))*(INDEX(DailyScalarsTable,CO$5/100,MONTH($A119)))*$E119</f>
        <v>0</v>
      </c>
      <c r="CP119" s="1021">
        <f>(VLOOKUP(YEAR($A119),'NY East Load Projections'!$A$4:$EO$14,((MONTH($A119)-1)*12)+VLOOKUP(CP$4,$DE$6:$DF$17,2)+1))*(VLOOKUP($A119,SatSunCurve,8))*(INDEX(DailyScalarsTable,CP$5/100,MONTH($A119)))*$E119</f>
        <v>0</v>
      </c>
      <c r="CQ119" s="1021">
        <f>(VLOOKUP(YEAR($A119),'NY East Load Projections'!$A$4:$EO$14,((MONTH($A119)-1)*12)+VLOOKUP(CQ$4,$DE$6:$DF$17,2)+1))*(VLOOKUP($A119,SatSunCurve,8))*(INDEX(DailyScalarsTable,CQ$5/100,MONTH($A119)))*$E119</f>
        <v>0</v>
      </c>
      <c r="CR119" s="1021">
        <f>(VLOOKUP(YEAR($A119),'NY East Load Projections'!$A$4:$EO$14,((MONTH($A119)-1)*12)+VLOOKUP(CR$4,$DE$6:$DF$17,2)+1))*(VLOOKUP($A119,SatSunCurve,8))*(INDEX(DailyScalarsTable,CR$5/100,MONTH($A119)))*$E119</f>
        <v>0</v>
      </c>
      <c r="CS119" s="1021">
        <f>(VLOOKUP(YEAR($A119),'NY East Load Projections'!$A$4:$EO$14,((MONTH($A119)-1)*12)+VLOOKUP(CS$4,$DE$6:$DF$17,2)+1))*(VLOOKUP($A119,SatSunCurve,8))*(INDEX(DailyScalarsTable,CS$5/100,MONTH($A119)))*$E119</f>
        <v>0</v>
      </c>
      <c r="CT119" s="1021">
        <f>(VLOOKUP(YEAR($A119),'NY East Load Projections'!$A$4:$EO$14,((MONTH($A119)-1)*12)+VLOOKUP(CT$4,$DE$6:$DF$17,2)+1))*(VLOOKUP($A119,SatSunCurve,8))*(INDEX(DailyScalarsTable,CT$5/100,MONTH($A119)))*$E119</f>
        <v>0</v>
      </c>
      <c r="CU119" s="1021">
        <f>(VLOOKUP(YEAR($A119),'NY East Load Projections'!$A$4:$EO$14,((MONTH($A119)-1)*12)+VLOOKUP(CU$4,$DE$6:$DF$17,2)+1))*(VLOOKUP($A119,SatSunCurve,8))*(INDEX(DailyScalarsTable,CU$5/100,MONTH($A119)))*$E119</f>
        <v>0</v>
      </c>
      <c r="CV119" s="1021">
        <f>(VLOOKUP(YEAR($A119),'NY East Load Projections'!$A$4:$EO$14,((MONTH($A119)-1)*12)+VLOOKUP(CV$4,$DE$6:$DF$17,2)+1))*(VLOOKUP($A119,SatSunCurve,8))*(INDEX(DailyScalarsTable,CV$5/100,MONTH($A119)))*$E119</f>
        <v>0</v>
      </c>
      <c r="CW119" s="1021">
        <f>(VLOOKUP(YEAR($A119),'NY East Load Projections'!$A$4:$EO$14,((MONTH($A119)-1)*12)+VLOOKUP(CW$4,$DE$6:$DF$17,2)+1))*(VLOOKUP($A119,SatSunCurve,8))*(INDEX(DailyScalarsTable,CW$5/100,MONTH($A119)))*$E119</f>
        <v>0</v>
      </c>
      <c r="CX119" s="1021">
        <f>(VLOOKUP(YEAR($A119),'NY East Load Projections'!$A$4:$EO$14,((MONTH($A119)-1)*12)+VLOOKUP(CX$4,$DE$6:$DF$17,2)+1))*(VLOOKUP($A119,SatSunCurve,8))*(INDEX(DailyScalarsTable,CX$5/100,MONTH($A119)))*$E119</f>
        <v>0</v>
      </c>
      <c r="CY119" s="1021">
        <f>(VLOOKUP(YEAR($A119),'NY East Load Projections'!$A$4:$EO$14,((MONTH($A119)-1)*12)+VLOOKUP(CY$4,$DE$6:$DF$17,2)+1))*(VLOOKUP($A119,SatSunCurve,8))*(INDEX(DailyScalarsTable,CY$5/100,MONTH($A119)))*$E119</f>
        <v>0</v>
      </c>
      <c r="CZ119" s="1021">
        <f>(VLOOKUP(YEAR($A119),'NY East Load Projections'!$A$4:$EO$14,((MONTH($A119)-1)*12)+VLOOKUP(CZ$4,$DE$6:$DF$17,2)+1))*(VLOOKUP($A119,SatSunCurve,8))*(INDEX(DailyScalarsTable,CZ$5/100,MONTH($A119)))*$E119</f>
        <v>0</v>
      </c>
      <c r="DA119" s="1021">
        <f>(VLOOKUP(YEAR($A119),'NY East Load Projections'!$A$4:$EO$14,((MONTH($A119)-1)*12)+VLOOKUP(DA$4,$DE$6:$DF$17,2)+1))*(VLOOKUP($A119,SatSunCurve,8))*(INDEX(DailyScalarsTable,DA$5/100,MONTH($A119)))*$E119</f>
        <v>0</v>
      </c>
      <c r="DB119" s="1021">
        <f>(VLOOKUP(YEAR($A119),'NY East Load Projections'!$A$4:$EO$14,((MONTH($A119)-1)*12)+VLOOKUP(DB$4,$DE$6:$DF$17,2)+1))*(VLOOKUP($A119,CURVES!$D$9:$T$261,8))*(INDEX(DailyScalarsTable,DB$5/100,MONTH($A119)))*$E119</f>
        <v>0</v>
      </c>
      <c r="DH119" s="1021">
        <f t="shared" si="2"/>
        <v>-2850362.4533194429</v>
      </c>
      <c r="DI119">
        <f ca="1">CALC!J139</f>
        <v>0.46933830490401512</v>
      </c>
      <c r="DJ119" s="1029">
        <f t="shared" ca="1" si="3"/>
        <v>-1337784.2822029972</v>
      </c>
    </row>
    <row r="120" spans="1:114" x14ac:dyDescent="0.25">
      <c r="A120" s="244">
        <v>40360</v>
      </c>
      <c r="B120" s="13">
        <v>21</v>
      </c>
      <c r="C120" s="210">
        <v>5</v>
      </c>
      <c r="D120" s="210">
        <v>4</v>
      </c>
      <c r="E120" s="210">
        <v>1</v>
      </c>
      <c r="F120" s="13">
        <v>31</v>
      </c>
      <c r="H120" s="1021">
        <f>(VLOOKUP(YEAR($A120),'NY East Load Projections'!$A$4:$EO$14,((MONTH($A120)-1)*12)+VLOOKUP(H$4,$DE$6:$DF$17,2)+1))*(VLOOKUP($A120,CURVES!$D$9:$K$261,8))*(INDEX(DailyScalarsTable,H$5/100,MONTH($A120)))*$B120</f>
        <v>-55896.831308759261</v>
      </c>
      <c r="I120" s="1021">
        <f>(VLOOKUP(YEAR($A120),'NY East Load Projections'!$A$4:$EO$14,((MONTH($A120)-1)*12)+VLOOKUP(I$4,$DE$6:$DF$17,2)+1))*(VLOOKUP($A120,CURVES!$D$9:$K$261,8))*(INDEX(DailyScalarsTable,I$5/100,MONTH($A120)))*$B120</f>
        <v>-51058.033667681237</v>
      </c>
      <c r="J120" s="1021">
        <f>(VLOOKUP(YEAR($A120),'NY East Load Projections'!$A$4:$EO$14,((MONTH($A120)-1)*12)+VLOOKUP(J$4,$DE$6:$DF$17,2)+1))*(VLOOKUP($A120,CURVES!$D$9:$K$261,8))*(INDEX(DailyScalarsTable,J$5/100,MONTH($A120)))*$B120</f>
        <v>-48649.533040027556</v>
      </c>
      <c r="K120" s="1021">
        <f>(VLOOKUP(YEAR($A120),'NY East Load Projections'!$A$4:$EO$14,((MONTH($A120)-1)*12)+VLOOKUP(K$4,$DE$6:$DF$17,2)+1))*(VLOOKUP($A120,CURVES!$D$9:$K$261,8))*(INDEX(DailyScalarsTable,K$5/100,MONTH($A120)))*$B120</f>
        <v>-43810.735398949539</v>
      </c>
      <c r="L120" s="1021">
        <f>(VLOOKUP(YEAR($A120),'NY East Load Projections'!$A$4:$EO$14,((MONTH($A120)-1)*12)+VLOOKUP(L$4,$DE$6:$DF$17,2)+1))*(VLOOKUP($A120,CURVES!$D$9:$K$261,8))*(INDEX(DailyScalarsTable,L$5/100,MONTH($A120)))*$B120</f>
        <v>-44122.137454431526</v>
      </c>
      <c r="M120" s="1021">
        <f>(VLOOKUP(YEAR($A120),'NY East Load Projections'!$A$4:$EO$14,((MONTH($A120)-1)*12)+VLOOKUP(M$4,$DE$6:$DF$17,2)+1))*(VLOOKUP($A120,CURVES!$D$9:$K$261,8))*(INDEX(DailyScalarsTable,M$5/100,MONTH($A120)))*$B120</f>
        <v>-48643.037806811684</v>
      </c>
      <c r="N120" s="1021">
        <f>(VLOOKUP(YEAR($A120),'NY East Load Projections'!$A$4:$EO$14,((MONTH($A120)-1)*12)+VLOOKUP(N$4,$DE$6:$DF$17,2)+1))*(VLOOKUP($A120,CURVES!$D$9:$K$261,8))*(INDEX(DailyScalarsTable,N$5/100,MONTH($A120)))*$B120</f>
        <v>-54019.556128696022</v>
      </c>
      <c r="O120" s="1021">
        <f>(VLOOKUP(YEAR($A120),'NY East Load Projections'!$A$4:$EO$14,((MONTH($A120)-1)*12)+VLOOKUP(O$4,$DE$6:$DF$17,2)+1))*(VLOOKUP($A120,CURVES!$D$9:$K$261,4))*(INDEX(DailyScalarsTable,O$5/100,MONTH($A120)))*$B120</f>
        <v>-94284.834368947209</v>
      </c>
      <c r="P120" s="1021">
        <f>(VLOOKUP(YEAR($A120),'NY East Load Projections'!$A$4:$EO$14,((MONTH($A120)-1)*12)+VLOOKUP(P$4,$DE$6:$DF$17,2)+1))*(VLOOKUP($A120,CURVES!$D$9:$K$261,4))*(INDEX(DailyScalarsTable,P$5/100,MONTH($A120)))*$B120</f>
        <v>-111429.04755504277</v>
      </c>
      <c r="Q120" s="1021">
        <f>(VLOOKUP(YEAR($A120),'NY East Load Projections'!$A$4:$EO$14,((MONTH($A120)-1)*12)+VLOOKUP(Q$4,$DE$6:$DF$17,2)+1))*(VLOOKUP($A120,CURVES!$D$9:$K$261,4))*(INDEX(DailyScalarsTable,Q$5/100,MONTH($A120)))*$B120</f>
        <v>-133411.11623106917</v>
      </c>
      <c r="R120" s="1021">
        <f>(VLOOKUP(YEAR($A120),'NY East Load Projections'!$A$4:$EO$14,((MONTH($A120)-1)*12)+VLOOKUP(R$4,$DE$6:$DF$17,2)+1))*(VLOOKUP($A120,CURVES!$D$9:$K$261,4))*(INDEX(DailyScalarsTable,R$5/100,MONTH($A120)))*$B120</f>
        <v>-151807.79051478073</v>
      </c>
      <c r="S120" s="1021">
        <f>(VLOOKUP(YEAR($A120),'NY East Load Projections'!$A$4:$EO$14,((MONTH($A120)-1)*12)+VLOOKUP(S$4,$DE$6:$DF$17,2)+1))*(VLOOKUP($A120,CURVES!$D$9:$K$261,4))*(INDEX(DailyScalarsTable,S$5/100,MONTH($A120)))*$B120</f>
        <v>-181492.9772738592</v>
      </c>
      <c r="T120" s="1021">
        <f>(VLOOKUP(YEAR($A120),'NY East Load Projections'!$A$4:$EO$14,((MONTH($A120)-1)*12)+VLOOKUP(T$4,$DE$6:$DF$17,2)+1))*(VLOOKUP($A120,CURVES!$D$9:$K$261,4))*(INDEX(DailyScalarsTable,T$5/100,MONTH($A120)))*$B120</f>
        <v>-200596.17443365161</v>
      </c>
      <c r="U120" s="1021">
        <f>(VLOOKUP(YEAR($A120),'NY East Load Projections'!$A$4:$EO$14,((MONTH($A120)-1)*12)+VLOOKUP(U$4,$DE$6:$DF$17,2)+1))*(VLOOKUP($A120,CURVES!$D$9:$K$261,4))*(INDEX(DailyScalarsTable,U$5/100,MONTH($A120)))*$B120</f>
        <v>-207347.61111230453</v>
      </c>
      <c r="V120" s="1021">
        <f>(VLOOKUP(YEAR($A120),'NY East Load Projections'!$A$4:$EO$14,((MONTH($A120)-1)*12)+VLOOKUP(V$4,$DE$6:$DF$17,2)+1))*(VLOOKUP($A120,CURVES!$D$9:$K$261,4))*(INDEX(DailyScalarsTable,V$5/100,MONTH($A120)))*$B120</f>
        <v>-215983.16965476758</v>
      </c>
      <c r="W120" s="1021">
        <f>(VLOOKUP(YEAR($A120),'NY East Load Projections'!$A$4:$EO$14,((MONTH($A120)-1)*12)+VLOOKUP(W$4,$DE$6:$DF$17,2)+1))*(VLOOKUP($A120,CURVES!$D$9:$K$261,4))*(INDEX(DailyScalarsTable,W$5/100,MONTH($A120)))*$B120</f>
        <v>-229219.12574803381</v>
      </c>
      <c r="X120" s="1021">
        <f>(VLOOKUP(YEAR($A120),'NY East Load Projections'!$A$4:$EO$14,((MONTH($A120)-1)*12)+VLOOKUP(X$4,$DE$6:$DF$17,2)+1))*(VLOOKUP($A120,CURVES!$D$9:$K$261,4))*(INDEX(DailyScalarsTable,X$5/100,MONTH($A120)))*$B120</f>
        <v>-225653.41025774393</v>
      </c>
      <c r="Y120" s="1021">
        <f>(VLOOKUP(YEAR($A120),'NY East Load Projections'!$A$4:$EO$14,((MONTH($A120)-1)*12)+VLOOKUP(Y$4,$DE$6:$DF$17,2)+1))*(VLOOKUP($A120,CURVES!$D$9:$K$261,4))*(INDEX(DailyScalarsTable,Y$5/100,MONTH($A120)))*$B120</f>
        <v>-220061.70329480607</v>
      </c>
      <c r="Z120" s="1021">
        <f>(VLOOKUP(YEAR($A120),'NY East Load Projections'!$A$4:$EO$14,((MONTH($A120)-1)*12)+VLOOKUP(Z$4,$DE$6:$DF$17,2)+1))*(VLOOKUP($A120,CURVES!$D$9:$K$261,4))*(INDEX(DailyScalarsTable,Z$5/100,MONTH($A120)))*$B120</f>
        <v>-183798.9532614449</v>
      </c>
      <c r="AA120" s="1021">
        <f>(VLOOKUP(YEAR($A120),'NY East Load Projections'!$A$4:$EO$14,((MONTH($A120)-1)*12)+VLOOKUP(AA$4,$DE$6:$DF$17,2)+1))*(VLOOKUP($A120,CURVES!$D$9:$K$261,4))*(INDEX(DailyScalarsTable,AA$5/100,MONTH($A120)))*$B120</f>
        <v>-136004.25472186232</v>
      </c>
      <c r="AB120" s="1021">
        <f>(VLOOKUP(YEAR($A120),'NY East Load Projections'!$A$4:$EO$14,((MONTH($A120)-1)*12)+VLOOKUP(AB$4,$DE$6:$DF$17,2)+1))*(VLOOKUP($A120,CURVES!$D$9:$K$261,4))*(INDEX(DailyScalarsTable,AB$5/100,MONTH($A120)))*$B120</f>
        <v>-140255.82174932203</v>
      </c>
      <c r="AC120" s="1021">
        <f>(VLOOKUP(YEAR($A120),'NY East Load Projections'!$A$4:$EO$14,((MONTH($A120)-1)*12)+VLOOKUP(AC$4,$DE$6:$DF$17,2)+1))*(VLOOKUP($A120,CURVES!$D$9:$K$261,4))*(INDEX(DailyScalarsTable,AC$5/100,MONTH($A120)))*$B120</f>
        <v>-148620.02508120469</v>
      </c>
      <c r="AD120" s="1021">
        <f>(VLOOKUP(YEAR($A120),'NY East Load Projections'!$A$4:$EO$14,((MONTH($A120)-1)*12)+VLOOKUP(AD$4,$DE$6:$DF$17,2)+1))*(VLOOKUP($A120,CURVES!$D$9:$K$261,4))*(INDEX(DailyScalarsTable,AD$5/100,MONTH($A120)))*$B120</f>
        <v>-103210.31307331494</v>
      </c>
      <c r="AE120" s="1021">
        <f>(VLOOKUP(YEAR($A120),'NY East Load Projections'!$A$4:$EO$14,((MONTH($A120)-1)*12)+VLOOKUP(AE$4,$DE$6:$DF$17,2)+1))*(VLOOKUP($A120,CURVES!$D$9:$K$261,8))*(INDEX(DailyScalarsTable,AE$5/100,MONTH($A120)))*$B120</f>
        <v>-64831.610364572938</v>
      </c>
      <c r="AF120" s="1021"/>
      <c r="AG120" s="1021">
        <f>(VLOOKUP(YEAR($A120),'NY East Load Projections'!$A$4:$EO$14,((MONTH($A120)-1)*12)+VLOOKUP(AG$4,$DE$6:$DF$17,2)+1))*(VLOOKUP($A120,CURVES!$D$9:$T$261,8))*(INDEX(DailyScalarsTable,AG$5/100,MONTH($A120)))*$C120</f>
        <v>-12777.569324497326</v>
      </c>
      <c r="AH120" s="1021">
        <f>(VLOOKUP(YEAR($A120),'NY East Load Projections'!$A$4:$EO$14,((MONTH($A120)-1)*12)+VLOOKUP(AH$4,$DE$6:$DF$17,2)+1))*(VLOOKUP($A120,CURVES!$D$9:$T$261,8))*(INDEX(DailyScalarsTable,AH$5/100,MONTH($A120)))*$C120</f>
        <v>-11671.458819510619</v>
      </c>
      <c r="AI120" s="1021">
        <f>(VLOOKUP(YEAR($A120),'NY East Load Projections'!$A$4:$EO$14,((MONTH($A120)-1)*12)+VLOOKUP(AI$4,$DE$6:$DF$17,2)+1))*(VLOOKUP($A120,CURVES!$D$9:$T$261,8))*(INDEX(DailyScalarsTable,AI$5/100,MONTH($A120)))*$C120</f>
        <v>-11120.894806893364</v>
      </c>
      <c r="AJ120" s="1021">
        <f>(VLOOKUP(YEAR($A120),'NY East Load Projections'!$A$4:$EO$14,((MONTH($A120)-1)*12)+VLOOKUP(AJ$4,$DE$6:$DF$17,2)+1))*(VLOOKUP($A120,CURVES!$D$9:$T$261,8))*(INDEX(DailyScalarsTable,AJ$5/100,MONTH($A120)))*$C120</f>
        <v>-10014.784301906655</v>
      </c>
      <c r="AK120" s="1021">
        <f>(VLOOKUP(YEAR($A120),'NY East Load Projections'!$A$4:$EO$14,((MONTH($A120)-1)*12)+VLOOKUP(AK$4,$DE$6:$DF$17,2)+1))*(VLOOKUP($A120,CURVES!$D$9:$T$261,8))*(INDEX(DailyScalarsTable,AK$5/100,MONTH($A120)))*$C120</f>
        <v>-9621.5482115318373</v>
      </c>
      <c r="AL120" s="1021">
        <f>(VLOOKUP(YEAR($A120),'NY East Load Projections'!$A$4:$EO$14,((MONTH($A120)-1)*12)+VLOOKUP(AL$4,$DE$6:$DF$17,2)+1))*(VLOOKUP($A120,CURVES!$D$9:$T$261,8))*(INDEX(DailyScalarsTable,AL$5/100,MONTH($A120)))*$C120</f>
        <v>-10607.403911403153</v>
      </c>
      <c r="AM120" s="1021">
        <f>(VLOOKUP(YEAR($A120),'NY East Load Projections'!$A$4:$EO$14,((MONTH($A120)-1)*12)+VLOOKUP(AM$4,$DE$6:$DF$17,2)+1))*(VLOOKUP($A120,CURVES!$D$9:$T$261,8))*(INDEX(DailyScalarsTable,AM$5/100,MONTH($A120)))*$C120</f>
        <v>-11779.840996927865</v>
      </c>
      <c r="AN120" s="1021">
        <f>(VLOOKUP(YEAR($A120),'NY East Load Projections'!$A$4:$EO$14,((MONTH($A120)-1)*12)+VLOOKUP(AN$4,$DE$6:$DF$17,2)+1))*(VLOOKUP($A120,SatSunCurve,4))*(INDEX(DailyScalarsTable,AN$5/100,MONTH($A120)))*$C120</f>
        <v>-11203.807630359706</v>
      </c>
      <c r="AO120" s="1021">
        <f>(VLOOKUP(YEAR($A120),'NY East Load Projections'!$A$4:$EO$14,((MONTH($A120)-1)*12)+VLOOKUP(AO$4,$DE$6:$DF$17,2)+1))*(VLOOKUP($A120,SatSunCurve,4))*(INDEX(DailyScalarsTable,AO$5/100,MONTH($A120)))*$C120</f>
        <v>-13243.351739790614</v>
      </c>
      <c r="AP120" s="1021">
        <f>(VLOOKUP(YEAR($A120),'NY East Load Projections'!$A$4:$EO$14,((MONTH($A120)-1)*12)+VLOOKUP(AP$4,$DE$6:$DF$17,2)+1))*(VLOOKUP($A120,SatSunCurve,4))*(INDEX(DailyScalarsTable,AP$5/100,MONTH($A120)))*$C120</f>
        <v>-15855.922463784716</v>
      </c>
      <c r="AQ120" s="1021">
        <f>(VLOOKUP(YEAR($A120),'NY East Load Projections'!$A$4:$EO$14,((MONTH($A120)-1)*12)+VLOOKUP(AQ$4,$DE$6:$DF$17,2)+1))*(VLOOKUP($A120,SatSunCurve,4))*(INDEX(DailyScalarsTable,AQ$5/100,MONTH($A120)))*$C120</f>
        <v>-18042.368760574653</v>
      </c>
      <c r="AR120" s="1021">
        <f>(VLOOKUP(YEAR($A120),'NY East Load Projections'!$A$4:$EO$14,((MONTH($A120)-1)*12)+VLOOKUP(AR$4,$DE$6:$DF$17,2)+1))*(VLOOKUP($A120,SatSunCurve,4))*(INDEX(DailyScalarsTable,AR$5/100,MONTH($A120)))*$C120</f>
        <v>-21570.455721182079</v>
      </c>
      <c r="AS120" s="1021">
        <f>(VLOOKUP(YEAR($A120),'NY East Load Projections'!$A$4:$EO$14,((MONTH($A120)-1)*12)+VLOOKUP(AS$4,$DE$6:$DF$17,2)+1))*(VLOOKUP($A120,SatSunCurve,4))*(INDEX(DailyScalarsTable,AS$5/100,MONTH($A120)))*$C120</f>
        <v>-23965.024987423963</v>
      </c>
      <c r="AT120" s="1021">
        <f>(VLOOKUP(YEAR($A120),'NY East Load Projections'!$A$4:$EO$14,((MONTH($A120)-1)*12)+VLOOKUP(AT$4,$DE$6:$DF$17,2)+1))*(VLOOKUP($A120,SatSunCurve,4))*(INDEX(DailyScalarsTable,AT$5/100,MONTH($A120)))*$C120</f>
        <v>-24771.612396988166</v>
      </c>
      <c r="AU120" s="1021">
        <f>(VLOOKUP(YEAR($A120),'NY East Load Projections'!$A$4:$EO$14,((MONTH($A120)-1)*12)+VLOOKUP(AU$4,$DE$6:$DF$17,2)+1))*(VLOOKUP($A120,SatSunCurve,4))*(INDEX(DailyScalarsTable,AU$5/100,MONTH($A120)))*$C120</f>
        <v>-25803.293967360984</v>
      </c>
      <c r="AV120" s="1021">
        <f>(VLOOKUP(YEAR($A120),'NY East Load Projections'!$A$4:$EO$14,((MONTH($A120)-1)*12)+VLOOKUP(AV$4,$DE$6:$DF$17,2)+1))*(VLOOKUP($A120,SatSunCurve,4))*(INDEX(DailyScalarsTable,AV$5/100,MONTH($A120)))*$C120</f>
        <v>-27384.580447041517</v>
      </c>
      <c r="AW120" s="1021">
        <f>(VLOOKUP(YEAR($A120),'NY East Load Projections'!$A$4:$EO$14,((MONTH($A120)-1)*12)+VLOOKUP(AW$4,$DE$6:$DF$17,2)+1))*(VLOOKUP($A120,SatSunCurve,4))*(INDEX(DailyScalarsTable,AW$5/100,MONTH($A120)))*$C120</f>
        <v>-27131.973780195145</v>
      </c>
      <c r="AX120" s="1021">
        <f>(VLOOKUP(YEAR($A120),'NY East Load Projections'!$A$4:$EO$14,((MONTH($A120)-1)*12)+VLOOKUP(AX$4,$DE$6:$DF$17,2)+1))*(VLOOKUP($A120,SatSunCurve,4))*(INDEX(DailyScalarsTable,AX$5/100,MONTH($A120)))*$C120</f>
        <v>-26459.641611442741</v>
      </c>
      <c r="AY120" s="1021">
        <f>(VLOOKUP(YEAR($A120),'NY East Load Projections'!$A$4:$EO$14,((MONTH($A120)-1)*12)+VLOOKUP(AY$4,$DE$6:$DF$17,2)+1))*(VLOOKUP($A120,SatSunCurve,4))*(INDEX(DailyScalarsTable,AY$5/100,MONTH($A120)))*$C120</f>
        <v>-22099.503725739494</v>
      </c>
      <c r="AZ120" s="1021">
        <f>(VLOOKUP(YEAR($A120),'NY East Load Projections'!$A$4:$EO$14,((MONTH($A120)-1)*12)+VLOOKUP(AZ$4,$DE$6:$DF$17,2)+1))*(VLOOKUP($A120,SatSunCurve,4))*(INDEX(DailyScalarsTable,AZ$5/100,MONTH($A120)))*$C120</f>
        <v>-16352.794619384287</v>
      </c>
      <c r="BA120" s="1021">
        <f>(VLOOKUP(YEAR($A120),'NY East Load Projections'!$A$4:$EO$14,((MONTH($A120)-1)*12)+VLOOKUP(BA$4,$DE$6:$DF$17,2)+1))*(VLOOKUP($A120,SatSunCurve,4))*(INDEX(DailyScalarsTable,BA$5/100,MONTH($A120)))*$C120</f>
        <v>-17560.991051376444</v>
      </c>
      <c r="BB120" s="1021">
        <f>(VLOOKUP(YEAR($A120),'NY East Load Projections'!$A$4:$EO$14,((MONTH($A120)-1)*12)+VLOOKUP(BB$4,$DE$6:$DF$17,2)+1))*(VLOOKUP($A120,SatSunCurve,4))*(INDEX(DailyScalarsTable,BB$5/100,MONTH($A120)))*$C120</f>
        <v>-18608.246687763556</v>
      </c>
      <c r="BC120" s="1021">
        <f>(VLOOKUP(YEAR($A120),'NY East Load Projections'!$A$4:$EO$14,((MONTH($A120)-1)*12)+VLOOKUP(BC$4,$DE$6:$DF$17,2)+1))*(VLOOKUP($A120,SatSunCurve,4))*(INDEX(DailyScalarsTable,BC$5/100,MONTH($A120)))*$C120</f>
        <v>-12922.639229405149</v>
      </c>
      <c r="BD120" s="1021">
        <f>(VLOOKUP(YEAR($A120),'NY East Load Projections'!$A$4:$EO$14,((MONTH($A120)-1)*12)+VLOOKUP(BD$4,$DE$6:$DF$17,2)+1))*(VLOOKUP($A120,CURVES!$D$9:$T$261,8))*(INDEX(DailyScalarsTable,BD$5/100,MONTH($A120)))*$C120</f>
        <v>-14896.339100290799</v>
      </c>
      <c r="BE120" s="1021"/>
      <c r="BF120" s="1021">
        <f>(VLOOKUP(YEAR($A120),'NY East Load Projections'!$A$4:$EO$14,((MONTH($A120)-1)*12)+VLOOKUP(BF$4,$DE$6:$DF$17,2)+1))*(VLOOKUP($A120,CURVES!$D$9:$T$261,8))*(INDEX(DailyScalarsTable,BF$5/100,MONTH($A120)))*$D120</f>
        <v>-10222.055459597861</v>
      </c>
      <c r="BG120" s="1021">
        <f>(VLOOKUP(YEAR($A120),'NY East Load Projections'!$A$4:$EO$14,((MONTH($A120)-1)*12)+VLOOKUP(BG$4,$DE$6:$DF$17,2)+1))*(VLOOKUP($A120,CURVES!$D$9:$T$261,8))*(INDEX(DailyScalarsTable,BG$5/100,MONTH($A120)))*$D120</f>
        <v>-9337.1670556084955</v>
      </c>
      <c r="BH120" s="1021">
        <f>(VLOOKUP(YEAR($A120),'NY East Load Projections'!$A$4:$EO$14,((MONTH($A120)-1)*12)+VLOOKUP(BH$4,$DE$6:$DF$17,2)+1))*(VLOOKUP($A120,CURVES!$D$9:$T$261,8))*(INDEX(DailyScalarsTable,BH$5/100,MONTH($A120)))*$D120</f>
        <v>-8896.715845514691</v>
      </c>
      <c r="BI120" s="1021">
        <f>(VLOOKUP(YEAR($A120),'NY East Load Projections'!$A$4:$EO$14,((MONTH($A120)-1)*12)+VLOOKUP(BI$4,$DE$6:$DF$17,2)+1))*(VLOOKUP($A120,CURVES!$D$9:$T$261,8))*(INDEX(DailyScalarsTable,BI$5/100,MONTH($A120)))*$D120</f>
        <v>-8011.8274415253245</v>
      </c>
      <c r="BJ120" s="1021">
        <f>(VLOOKUP(YEAR($A120),'NY East Load Projections'!$A$4:$EO$14,((MONTH($A120)-1)*12)+VLOOKUP(BJ$4,$DE$6:$DF$17,2)+1))*(VLOOKUP($A120,CURVES!$D$9:$T$261,8))*(INDEX(DailyScalarsTable,BJ$5/100,MONTH($A120)))*$D120</f>
        <v>-7697.2385692254702</v>
      </c>
      <c r="BK120" s="1021">
        <f>(VLOOKUP(YEAR($A120),'NY East Load Projections'!$A$4:$EO$14,((MONTH($A120)-1)*12)+VLOOKUP(BK$4,$DE$6:$DF$17,2)+1))*(VLOOKUP($A120,CURVES!$D$9:$T$261,8))*(INDEX(DailyScalarsTable,BK$5/100,MONTH($A120)))*$D120</f>
        <v>-8485.9231291225224</v>
      </c>
      <c r="BL120" s="1021">
        <f>(VLOOKUP(YEAR($A120),'NY East Load Projections'!$A$4:$EO$14,((MONTH($A120)-1)*12)+VLOOKUP(BL$4,$DE$6:$DF$17,2)+1))*(VLOOKUP($A120,CURVES!$D$9:$T$261,8))*(INDEX(DailyScalarsTable,BL$5/100,MONTH($A120)))*$D120</f>
        <v>-9423.8727975422917</v>
      </c>
      <c r="BM120" s="1021">
        <f>(VLOOKUP(YEAR($A120),'NY East Load Projections'!$A$4:$EO$14,((MONTH($A120)-1)*12)+VLOOKUP(BM$4,$DE$6:$DF$17,2)+1))*(VLOOKUP($A120,SatSunCurve,8))*(INDEX(DailyScalarsTable,BM$5/100,MONTH($A120)))*$D120</f>
        <v>-6952.1693055953201</v>
      </c>
      <c r="BN120" s="1021">
        <f>(VLOOKUP(YEAR($A120),'NY East Load Projections'!$A$4:$EO$14,((MONTH($A120)-1)*12)+VLOOKUP(BN$4,$DE$6:$DF$17,2)+1))*(VLOOKUP($A120,SatSunCurve,8))*(INDEX(DailyScalarsTable,BN$5/100,MONTH($A120)))*$D120</f>
        <v>-8217.7440479329889</v>
      </c>
      <c r="BO120" s="1021">
        <f>(VLOOKUP(YEAR($A120),'NY East Load Projections'!$A$4:$EO$14,((MONTH($A120)-1)*12)+VLOOKUP(BO$4,$DE$6:$DF$17,2)+1))*(VLOOKUP($A120,SatSunCurve,8))*(INDEX(DailyScalarsTable,BO$5/100,MONTH($A120)))*$D120</f>
        <v>-9838.8923749384576</v>
      </c>
      <c r="BP120" s="1021">
        <f>(VLOOKUP(YEAR($A120),'NY East Load Projections'!$A$4:$EO$14,((MONTH($A120)-1)*12)+VLOOKUP(BP$4,$DE$6:$DF$17,2)+1))*(VLOOKUP($A120,SatSunCurve,8))*(INDEX(DailyScalarsTable,BP$5/100,MONTH($A120)))*$D120</f>
        <v>-11195.622634362549</v>
      </c>
      <c r="BQ120" s="1021">
        <f>(VLOOKUP(YEAR($A120),'NY East Load Projections'!$A$4:$EO$14,((MONTH($A120)-1)*12)+VLOOKUP(BQ$4,$DE$6:$DF$17,2)+1))*(VLOOKUP($A120,SatSunCurve,8))*(INDEX(DailyScalarsTable,BQ$5/100,MONTH($A120)))*$D120</f>
        <v>-13384.865674250279</v>
      </c>
      <c r="BR120" s="1021">
        <f>(VLOOKUP(YEAR($A120),'NY East Load Projections'!$A$4:$EO$14,((MONTH($A120)-1)*12)+VLOOKUP(BR$4,$DE$6:$DF$17,2)+1))*(VLOOKUP($A120,SatSunCurve,8))*(INDEX(DailyScalarsTable,BR$5/100,MONTH($A120)))*$D120</f>
        <v>-14870.740075358168</v>
      </c>
      <c r="BS120" s="1021">
        <f>(VLOOKUP(YEAR($A120),'NY East Load Projections'!$A$4:$EO$14,((MONTH($A120)-1)*12)+VLOOKUP(BS$4,$DE$6:$DF$17,2)+1))*(VLOOKUP($A120,SatSunCurve,8))*(INDEX(DailyScalarsTable,BS$5/100,MONTH($A120)))*$D120</f>
        <v>-15371.242441701623</v>
      </c>
      <c r="BT120" s="1021">
        <f>(VLOOKUP(YEAR($A120),'NY East Load Projections'!$A$4:$EO$14,((MONTH($A120)-1)*12)+VLOOKUP(BT$4,$DE$6:$DF$17,2)+1))*(VLOOKUP($A120,SatSunCurve,8))*(INDEX(DailyScalarsTable,BT$5/100,MONTH($A120)))*$D120</f>
        <v>-16011.419887024647</v>
      </c>
      <c r="BU120" s="1021">
        <f>(VLOOKUP(YEAR($A120),'NY East Load Projections'!$A$4:$EO$14,((MONTH($A120)-1)*12)+VLOOKUP(BU$4,$DE$6:$DF$17,2)+1))*(VLOOKUP($A120,SatSunCurve,8))*(INDEX(DailyScalarsTable,BU$5/100,MONTH($A120)))*$D120</f>
        <v>-16992.637316856126</v>
      </c>
      <c r="BV120" s="1021">
        <f>(VLOOKUP(YEAR($A120),'NY East Load Projections'!$A$4:$EO$14,((MONTH($A120)-1)*12)+VLOOKUP(BV$4,$DE$6:$DF$17,2)+1))*(VLOOKUP($A120,SatSunCurve,8))*(INDEX(DailyScalarsTable,BV$5/100,MONTH($A120)))*$D120</f>
        <v>-16835.890220370886</v>
      </c>
      <c r="BW120" s="1021">
        <f>(VLOOKUP(YEAR($A120),'NY East Load Projections'!$A$4:$EO$14,((MONTH($A120)-1)*12)+VLOOKUP(BW$4,$DE$6:$DF$17,2)+1))*(VLOOKUP($A120,SatSunCurve,8))*(INDEX(DailyScalarsTable,BW$5/100,MONTH($A120)))*$D120</f>
        <v>-16418.695707489489</v>
      </c>
      <c r="BX120" s="1021">
        <f>(VLOOKUP(YEAR($A120),'NY East Load Projections'!$A$4:$EO$14,((MONTH($A120)-1)*12)+VLOOKUP(BX$4,$DE$6:$DF$17,2)+1))*(VLOOKUP($A120,SatSunCurve,8))*(INDEX(DailyScalarsTable,BX$5/100,MONTH($A120)))*$D120</f>
        <v>-13713.149720158379</v>
      </c>
      <c r="BY120" s="1021">
        <f>(VLOOKUP(YEAR($A120),'NY East Load Projections'!$A$4:$EO$14,((MONTH($A120)-1)*12)+VLOOKUP(BY$4,$DE$6:$DF$17,2)+1))*(VLOOKUP($A120,SatSunCurve,8))*(INDEX(DailyScalarsTable,BY$5/100,MONTH($A120)))*$D120</f>
        <v>-10147.210713036646</v>
      </c>
      <c r="BZ120" s="1021">
        <f>(VLOOKUP(YEAR($A120),'NY East Load Projections'!$A$4:$EO$14,((MONTH($A120)-1)*12)+VLOOKUP(BZ$4,$DE$6:$DF$17,2)+1))*(VLOOKUP($A120,SatSunCurve,8))*(INDEX(DailyScalarsTable,BZ$5/100,MONTH($A120)))*$D120</f>
        <v>-10896.918886074598</v>
      </c>
      <c r="CA120" s="1021">
        <f>(VLOOKUP(YEAR($A120),'NY East Load Projections'!$A$4:$EO$14,((MONTH($A120)-1)*12)+VLOOKUP(CA$4,$DE$6:$DF$17,2)+1))*(VLOOKUP($A120,SatSunCurve,8))*(INDEX(DailyScalarsTable,CA$5/100,MONTH($A120)))*$D120</f>
        <v>-11546.76032664639</v>
      </c>
      <c r="CB120" s="1021">
        <f>(VLOOKUP(YEAR($A120),'NY East Load Projections'!$A$4:$EO$14,((MONTH($A120)-1)*12)+VLOOKUP(CB$4,$DE$6:$DF$17,2)+1))*(VLOOKUP($A120,SatSunCurve,8))*(INDEX(DailyScalarsTable,CB$5/100,MONTH($A120)))*$D120</f>
        <v>-8018.7360192177839</v>
      </c>
      <c r="CC120" s="1021">
        <f>(VLOOKUP(YEAR($A120),'NY East Load Projections'!$A$4:$EO$14,((MONTH($A120)-1)*12)+VLOOKUP(CC$4,$DE$6:$DF$17,2)+1))*(VLOOKUP($A120,CURVES!$D$9:$T$261,8))*(INDEX(DailyScalarsTable,CC$5/100,MONTH($A120)))*$D120</f>
        <v>-11917.07128023264</v>
      </c>
      <c r="CE120" s="1021">
        <f>(VLOOKUP(YEAR($A120),'NY East Load Projections'!$A$4:$EO$14,((MONTH($A120)-1)*12)+VLOOKUP(CE$4,$DE$6:$DF$17,2)+1))*(VLOOKUP($A120,CURVES!$D$9:$T$261,8))*(INDEX(DailyScalarsTable,CE$5/100,MONTH($A120)))*$E120</f>
        <v>-2555.5138648994653</v>
      </c>
      <c r="CF120" s="1021">
        <f>(VLOOKUP(YEAR($A120),'NY East Load Projections'!$A$4:$EO$14,((MONTH($A120)-1)*12)+VLOOKUP(CF$4,$DE$6:$DF$17,2)+1))*(VLOOKUP($A120,CURVES!$D$9:$T$261,8))*(INDEX(DailyScalarsTable,CF$5/100,MONTH($A120)))*$E120</f>
        <v>-2334.2917639021239</v>
      </c>
      <c r="CG120" s="1021">
        <f>(VLOOKUP(YEAR($A120),'NY East Load Projections'!$A$4:$EO$14,((MONTH($A120)-1)*12)+VLOOKUP(CG$4,$DE$6:$DF$17,2)+1))*(VLOOKUP($A120,CURVES!$D$9:$T$261,8))*(INDEX(DailyScalarsTable,CG$5/100,MONTH($A120)))*$E120</f>
        <v>-2224.1789613786727</v>
      </c>
      <c r="CH120" s="1021">
        <f>(VLOOKUP(YEAR($A120),'NY East Load Projections'!$A$4:$EO$14,((MONTH($A120)-1)*12)+VLOOKUP(CH$4,$DE$6:$DF$17,2)+1))*(VLOOKUP($A120,CURVES!$D$9:$T$261,8))*(INDEX(DailyScalarsTable,CH$5/100,MONTH($A120)))*$E120</f>
        <v>-2002.9568603813311</v>
      </c>
      <c r="CI120" s="1021">
        <f>(VLOOKUP(YEAR($A120),'NY East Load Projections'!$A$4:$EO$14,((MONTH($A120)-1)*12)+VLOOKUP(CI$4,$DE$6:$DF$17,2)+1))*(VLOOKUP($A120,CURVES!$D$9:$T$261,8))*(INDEX(DailyScalarsTable,CI$5/100,MONTH($A120)))*$E120</f>
        <v>-1924.3096423063676</v>
      </c>
      <c r="CJ120" s="1021">
        <f>(VLOOKUP(YEAR($A120),'NY East Load Projections'!$A$4:$EO$14,((MONTH($A120)-1)*12)+VLOOKUP(CJ$4,$DE$6:$DF$17,2)+1))*(VLOOKUP($A120,CURVES!$D$9:$T$261,8))*(INDEX(DailyScalarsTable,CJ$5/100,MONTH($A120)))*$E120</f>
        <v>-2121.4807822806306</v>
      </c>
      <c r="CK120" s="1021">
        <f>(VLOOKUP(YEAR($A120),'NY East Load Projections'!$A$4:$EO$14,((MONTH($A120)-1)*12)+VLOOKUP(CK$4,$DE$6:$DF$17,2)+1))*(VLOOKUP($A120,CURVES!$D$9:$T$261,8))*(INDEX(DailyScalarsTable,CK$5/100,MONTH($A120)))*$E120</f>
        <v>-2355.9681993855729</v>
      </c>
      <c r="CL120" s="1021">
        <f>(VLOOKUP(YEAR($A120),'NY East Load Projections'!$A$4:$EO$14,((MONTH($A120)-1)*12)+VLOOKUP(CL$4,$DE$6:$DF$17,2)+1))*(VLOOKUP($A120,SatSunCurve,8))*(INDEX(DailyScalarsTable,CL$5/100,MONTH($A120)))*$E120</f>
        <v>-1738.04232639883</v>
      </c>
      <c r="CM120" s="1021">
        <f>(VLOOKUP(YEAR($A120),'NY East Load Projections'!$A$4:$EO$14,((MONTH($A120)-1)*12)+VLOOKUP(CM$4,$DE$6:$DF$17,2)+1))*(VLOOKUP($A120,SatSunCurve,8))*(INDEX(DailyScalarsTable,CM$5/100,MONTH($A120)))*$E120</f>
        <v>-2054.4360119832472</v>
      </c>
      <c r="CN120" s="1021">
        <f>(VLOOKUP(YEAR($A120),'NY East Load Projections'!$A$4:$EO$14,((MONTH($A120)-1)*12)+VLOOKUP(CN$4,$DE$6:$DF$17,2)+1))*(VLOOKUP($A120,SatSunCurve,8))*(INDEX(DailyScalarsTable,CN$5/100,MONTH($A120)))*$E120</f>
        <v>-2459.7230937346144</v>
      </c>
      <c r="CO120" s="1021">
        <f>(VLOOKUP(YEAR($A120),'NY East Load Projections'!$A$4:$EO$14,((MONTH($A120)-1)*12)+VLOOKUP(CO$4,$DE$6:$DF$17,2)+1))*(VLOOKUP($A120,SatSunCurve,8))*(INDEX(DailyScalarsTable,CO$5/100,MONTH($A120)))*$E120</f>
        <v>-2798.9056585906374</v>
      </c>
      <c r="CP120" s="1021">
        <f>(VLOOKUP(YEAR($A120),'NY East Load Projections'!$A$4:$EO$14,((MONTH($A120)-1)*12)+VLOOKUP(CP$4,$DE$6:$DF$17,2)+1))*(VLOOKUP($A120,SatSunCurve,8))*(INDEX(DailyScalarsTable,CP$5/100,MONTH($A120)))*$E120</f>
        <v>-3346.2164185625697</v>
      </c>
      <c r="CQ120" s="1021">
        <f>(VLOOKUP(YEAR($A120),'NY East Load Projections'!$A$4:$EO$14,((MONTH($A120)-1)*12)+VLOOKUP(CQ$4,$DE$6:$DF$17,2)+1))*(VLOOKUP($A120,SatSunCurve,8))*(INDEX(DailyScalarsTable,CQ$5/100,MONTH($A120)))*$E120</f>
        <v>-3717.685018839542</v>
      </c>
      <c r="CR120" s="1021">
        <f>(VLOOKUP(YEAR($A120),'NY East Load Projections'!$A$4:$EO$14,((MONTH($A120)-1)*12)+VLOOKUP(CR$4,$DE$6:$DF$17,2)+1))*(VLOOKUP($A120,SatSunCurve,8))*(INDEX(DailyScalarsTable,CR$5/100,MONTH($A120)))*$E120</f>
        <v>-3842.8106104254057</v>
      </c>
      <c r="CS120" s="1021">
        <f>(VLOOKUP(YEAR($A120),'NY East Load Projections'!$A$4:$EO$14,((MONTH($A120)-1)*12)+VLOOKUP(CS$4,$DE$6:$DF$17,2)+1))*(VLOOKUP($A120,SatSunCurve,8))*(INDEX(DailyScalarsTable,CS$5/100,MONTH($A120)))*$E120</f>
        <v>-4002.8549717561618</v>
      </c>
      <c r="CT120" s="1021">
        <f>(VLOOKUP(YEAR($A120),'NY East Load Projections'!$A$4:$EO$14,((MONTH($A120)-1)*12)+VLOOKUP(CT$4,$DE$6:$DF$17,2)+1))*(VLOOKUP($A120,SatSunCurve,8))*(INDEX(DailyScalarsTable,CT$5/100,MONTH($A120)))*$E120</f>
        <v>-4248.1593292140315</v>
      </c>
      <c r="CU120" s="1021">
        <f>(VLOOKUP(YEAR($A120),'NY East Load Projections'!$A$4:$EO$14,((MONTH($A120)-1)*12)+VLOOKUP(CU$4,$DE$6:$DF$17,2)+1))*(VLOOKUP($A120,SatSunCurve,8))*(INDEX(DailyScalarsTable,CU$5/100,MONTH($A120)))*$E120</f>
        <v>-4208.9725550927214</v>
      </c>
      <c r="CV120" s="1021">
        <f>(VLOOKUP(YEAR($A120),'NY East Load Projections'!$A$4:$EO$14,((MONTH($A120)-1)*12)+VLOOKUP(CV$4,$DE$6:$DF$17,2)+1))*(VLOOKUP($A120,SatSunCurve,8))*(INDEX(DailyScalarsTable,CV$5/100,MONTH($A120)))*$E120</f>
        <v>-4104.6739268723722</v>
      </c>
      <c r="CW120" s="1021">
        <f>(VLOOKUP(YEAR($A120),'NY East Load Projections'!$A$4:$EO$14,((MONTH($A120)-1)*12)+VLOOKUP(CW$4,$DE$6:$DF$17,2)+1))*(VLOOKUP($A120,SatSunCurve,8))*(INDEX(DailyScalarsTable,CW$5/100,MONTH($A120)))*$E120</f>
        <v>-3428.2874300395947</v>
      </c>
      <c r="CX120" s="1021">
        <f>(VLOOKUP(YEAR($A120),'NY East Load Projections'!$A$4:$EO$14,((MONTH($A120)-1)*12)+VLOOKUP(CX$4,$DE$6:$DF$17,2)+1))*(VLOOKUP($A120,SatSunCurve,8))*(INDEX(DailyScalarsTable,CX$5/100,MONTH($A120)))*$E120</f>
        <v>-2536.8026782591614</v>
      </c>
      <c r="CY120" s="1021">
        <f>(VLOOKUP(YEAR($A120),'NY East Load Projections'!$A$4:$EO$14,((MONTH($A120)-1)*12)+VLOOKUP(CY$4,$DE$6:$DF$17,2)+1))*(VLOOKUP($A120,SatSunCurve,8))*(INDEX(DailyScalarsTable,CY$5/100,MONTH($A120)))*$E120</f>
        <v>-2724.2297215186495</v>
      </c>
      <c r="CZ120" s="1021">
        <f>(VLOOKUP(YEAR($A120),'NY East Load Projections'!$A$4:$EO$14,((MONTH($A120)-1)*12)+VLOOKUP(CZ$4,$DE$6:$DF$17,2)+1))*(VLOOKUP($A120,SatSunCurve,8))*(INDEX(DailyScalarsTable,CZ$5/100,MONTH($A120)))*$E120</f>
        <v>-2886.6900816615976</v>
      </c>
      <c r="DA120" s="1021">
        <f>(VLOOKUP(YEAR($A120),'NY East Load Projections'!$A$4:$EO$14,((MONTH($A120)-1)*12)+VLOOKUP(DA$4,$DE$6:$DF$17,2)+1))*(VLOOKUP($A120,SatSunCurve,8))*(INDEX(DailyScalarsTable,DA$5/100,MONTH($A120)))*$E120</f>
        <v>-2004.684004804446</v>
      </c>
      <c r="DB120" s="1021">
        <f>(VLOOKUP(YEAR($A120),'NY East Load Projections'!$A$4:$EO$14,((MONTH($A120)-1)*12)+VLOOKUP(DB$4,$DE$6:$DF$17,2)+1))*(VLOOKUP($A120,CURVES!$D$9:$T$261,8))*(INDEX(DailyScalarsTable,DB$5/100,MONTH($A120)))*$E120</f>
        <v>-2979.2678200581599</v>
      </c>
      <c r="DH120" s="1021">
        <f t="shared" si="2"/>
        <v>-3852679.5604565898</v>
      </c>
      <c r="DI120">
        <f ca="1">CALC!J140</f>
        <v>0.46644625865360617</v>
      </c>
      <c r="DJ120" s="1029">
        <f t="shared" ca="1" si="3"/>
        <v>-1797067.9667661963</v>
      </c>
    </row>
    <row r="121" spans="1:114" x14ac:dyDescent="0.25">
      <c r="A121" s="244">
        <v>40391</v>
      </c>
      <c r="B121" s="13">
        <v>22</v>
      </c>
      <c r="C121" s="210">
        <v>4</v>
      </c>
      <c r="D121" s="210">
        <v>5</v>
      </c>
      <c r="E121" s="210">
        <v>0</v>
      </c>
      <c r="F121" s="13">
        <v>31</v>
      </c>
      <c r="H121" s="1021">
        <f>(VLOOKUP(YEAR($A121),'NY East Load Projections'!$A$4:$EO$14,((MONTH($A121)-1)*12)+VLOOKUP(H$4,$DE$6:$DF$17,2)+1))*(VLOOKUP($A121,CURVES!$D$9:$K$261,8))*(INDEX(DailyScalarsTable,H$5/100,MONTH($A121)))*$B121</f>
        <v>-59434.038495910783</v>
      </c>
      <c r="I121" s="1021">
        <f>(VLOOKUP(YEAR($A121),'NY East Load Projections'!$A$4:$EO$14,((MONTH($A121)-1)*12)+VLOOKUP(I$4,$DE$6:$DF$17,2)+1))*(VLOOKUP($A121,CURVES!$D$9:$K$261,8))*(INDEX(DailyScalarsTable,I$5/100,MONTH($A121)))*$B121</f>
        <v>-53652.147562077043</v>
      </c>
      <c r="J121" s="1021">
        <f>(VLOOKUP(YEAR($A121),'NY East Load Projections'!$A$4:$EO$14,((MONTH($A121)-1)*12)+VLOOKUP(J$4,$DE$6:$DF$17,2)+1))*(VLOOKUP($A121,CURVES!$D$9:$K$261,8))*(INDEX(DailyScalarsTable,J$5/100,MONTH($A121)))*$B121</f>
        <v>-48182.424448614605</v>
      </c>
      <c r="K121" s="1021">
        <f>(VLOOKUP(YEAR($A121),'NY East Load Projections'!$A$4:$EO$14,((MONTH($A121)-1)*12)+VLOOKUP(K$4,$DE$6:$DF$17,2)+1))*(VLOOKUP($A121,CURVES!$D$9:$K$261,8))*(INDEX(DailyScalarsTable,K$5/100,MONTH($A121)))*$B121</f>
        <v>-45332.196523485276</v>
      </c>
      <c r="L121" s="1021">
        <f>(VLOOKUP(YEAR($A121),'NY East Load Projections'!$A$4:$EO$14,((MONTH($A121)-1)*12)+VLOOKUP(L$4,$DE$6:$DF$17,2)+1))*(VLOOKUP($A121,CURVES!$D$9:$K$261,8))*(INDEX(DailyScalarsTable,L$5/100,MONTH($A121)))*$B121</f>
        <v>-49716.500203084615</v>
      </c>
      <c r="M121" s="1021">
        <f>(VLOOKUP(YEAR($A121),'NY East Load Projections'!$A$4:$EO$14,((MONTH($A121)-1)*12)+VLOOKUP(M$4,$DE$6:$DF$17,2)+1))*(VLOOKUP($A121,CURVES!$D$9:$K$261,8))*(INDEX(DailyScalarsTable,M$5/100,MONTH($A121)))*$B121</f>
        <v>-55237.369132472464</v>
      </c>
      <c r="N121" s="1021">
        <f>(VLOOKUP(YEAR($A121),'NY East Load Projections'!$A$4:$EO$14,((MONTH($A121)-1)*12)+VLOOKUP(N$4,$DE$6:$DF$17,2)+1))*(VLOOKUP($A121,CURVES!$D$9:$K$261,8))*(INDEX(DailyScalarsTable,N$5/100,MONTH($A121)))*$B121</f>
        <v>-64271.518289652508</v>
      </c>
      <c r="O121" s="1021">
        <f>(VLOOKUP(YEAR($A121),'NY East Load Projections'!$A$4:$EO$14,((MONTH($A121)-1)*12)+VLOOKUP(O$4,$DE$6:$DF$17,2)+1))*(VLOOKUP($A121,CURVES!$D$9:$K$261,4))*(INDEX(DailyScalarsTable,O$5/100,MONTH($A121)))*$B121</f>
        <v>-107885.51519768385</v>
      </c>
      <c r="P121" s="1021">
        <f>(VLOOKUP(YEAR($A121),'NY East Load Projections'!$A$4:$EO$14,((MONTH($A121)-1)*12)+VLOOKUP(P$4,$DE$6:$DF$17,2)+1))*(VLOOKUP($A121,CURVES!$D$9:$K$261,4))*(INDEX(DailyScalarsTable,P$5/100,MONTH($A121)))*$B121</f>
        <v>-126294.42380206088</v>
      </c>
      <c r="Q121" s="1021">
        <f>(VLOOKUP(YEAR($A121),'NY East Load Projections'!$A$4:$EO$14,((MONTH($A121)-1)*12)+VLOOKUP(Q$4,$DE$6:$DF$17,2)+1))*(VLOOKUP($A121,CURVES!$D$9:$K$261,4))*(INDEX(DailyScalarsTable,Q$5/100,MONTH($A121)))*$B121</f>
        <v>-161964.82873496957</v>
      </c>
      <c r="R121" s="1021">
        <f>(VLOOKUP(YEAR($A121),'NY East Load Projections'!$A$4:$EO$14,((MONTH($A121)-1)*12)+VLOOKUP(R$4,$DE$6:$DF$17,2)+1))*(VLOOKUP($A121,CURVES!$D$9:$K$261,4))*(INDEX(DailyScalarsTable,R$5/100,MONTH($A121)))*$B121</f>
        <v>-182801.99597300531</v>
      </c>
      <c r="S121" s="1021">
        <f>(VLOOKUP(YEAR($A121),'NY East Load Projections'!$A$4:$EO$14,((MONTH($A121)-1)*12)+VLOOKUP(S$4,$DE$6:$DF$17,2)+1))*(VLOOKUP($A121,CURVES!$D$9:$K$261,4))*(INDEX(DailyScalarsTable,S$5/100,MONTH($A121)))*$B121</f>
        <v>-190548.24232477226</v>
      </c>
      <c r="T121" s="1021">
        <f>(VLOOKUP(YEAR($A121),'NY East Load Projections'!$A$4:$EO$14,((MONTH($A121)-1)*12)+VLOOKUP(T$4,$DE$6:$DF$17,2)+1))*(VLOOKUP($A121,CURVES!$D$9:$K$261,4))*(INDEX(DailyScalarsTable,T$5/100,MONTH($A121)))*$B121</f>
        <v>-191099.70456291214</v>
      </c>
      <c r="U121" s="1021">
        <f>(VLOOKUP(YEAR($A121),'NY East Load Projections'!$A$4:$EO$14,((MONTH($A121)-1)*12)+VLOOKUP(U$4,$DE$6:$DF$17,2)+1))*(VLOOKUP($A121,CURVES!$D$9:$K$261,4))*(INDEX(DailyScalarsTable,U$5/100,MONTH($A121)))*$B121</f>
        <v>-209783.63382955635</v>
      </c>
      <c r="V121" s="1021">
        <f>(VLOOKUP(YEAR($A121),'NY East Load Projections'!$A$4:$EO$14,((MONTH($A121)-1)*12)+VLOOKUP(V$4,$DE$6:$DF$17,2)+1))*(VLOOKUP($A121,CURVES!$D$9:$K$261,4))*(INDEX(DailyScalarsTable,V$5/100,MONTH($A121)))*$B121</f>
        <v>-222088.84584338439</v>
      </c>
      <c r="W121" s="1021">
        <f>(VLOOKUP(YEAR($A121),'NY East Load Projections'!$A$4:$EO$14,((MONTH($A121)-1)*12)+VLOOKUP(W$4,$DE$6:$DF$17,2)+1))*(VLOOKUP($A121,CURVES!$D$9:$K$261,4))*(INDEX(DailyScalarsTable,W$5/100,MONTH($A121)))*$B121</f>
        <v>-218994.69195209304</v>
      </c>
      <c r="X121" s="1021">
        <f>(VLOOKUP(YEAR($A121),'NY East Load Projections'!$A$4:$EO$14,((MONTH($A121)-1)*12)+VLOOKUP(X$4,$DE$6:$DF$17,2)+1))*(VLOOKUP($A121,CURVES!$D$9:$K$261,4))*(INDEX(DailyScalarsTable,X$5/100,MONTH($A121)))*$B121</f>
        <v>-205523.41034101698</v>
      </c>
      <c r="Y121" s="1021">
        <f>(VLOOKUP(YEAR($A121),'NY East Load Projections'!$A$4:$EO$14,((MONTH($A121)-1)*12)+VLOOKUP(Y$4,$DE$6:$DF$17,2)+1))*(VLOOKUP($A121,CURVES!$D$9:$K$261,4))*(INDEX(DailyScalarsTable,Y$5/100,MONTH($A121)))*$B121</f>
        <v>-190327.3832255204</v>
      </c>
      <c r="Z121" s="1021">
        <f>(VLOOKUP(YEAR($A121),'NY East Load Projections'!$A$4:$EO$14,((MONTH($A121)-1)*12)+VLOOKUP(Z$4,$DE$6:$DF$17,2)+1))*(VLOOKUP($A121,CURVES!$D$9:$K$261,4))*(INDEX(DailyScalarsTable,Z$5/100,MONTH($A121)))*$B121</f>
        <v>-155136.58358963358</v>
      </c>
      <c r="AA121" s="1021">
        <f>(VLOOKUP(YEAR($A121),'NY East Load Projections'!$A$4:$EO$14,((MONTH($A121)-1)*12)+VLOOKUP(AA$4,$DE$6:$DF$17,2)+1))*(VLOOKUP($A121,CURVES!$D$9:$K$261,4))*(INDEX(DailyScalarsTable,AA$5/100,MONTH($A121)))*$B121</f>
        <v>-141243.0730840367</v>
      </c>
      <c r="AB121" s="1021">
        <f>(VLOOKUP(YEAR($A121),'NY East Load Projections'!$A$4:$EO$14,((MONTH($A121)-1)*12)+VLOOKUP(AB$4,$DE$6:$DF$17,2)+1))*(VLOOKUP($A121,CURVES!$D$9:$K$261,4))*(INDEX(DailyScalarsTable,AB$5/100,MONTH($A121)))*$B121</f>
        <v>-165383.83583008291</v>
      </c>
      <c r="AC121" s="1021">
        <f>(VLOOKUP(YEAR($A121),'NY East Load Projections'!$A$4:$EO$14,((MONTH($A121)-1)*12)+VLOOKUP(AC$4,$DE$6:$DF$17,2)+1))*(VLOOKUP($A121,CURVES!$D$9:$K$261,4))*(INDEX(DailyScalarsTable,AC$5/100,MONTH($A121)))*$B121</f>
        <v>-140630.48815023</v>
      </c>
      <c r="AD121" s="1021">
        <f>(VLOOKUP(YEAR($A121),'NY East Load Projections'!$A$4:$EO$14,((MONTH($A121)-1)*12)+VLOOKUP(AD$4,$DE$6:$DF$17,2)+1))*(VLOOKUP($A121,CURVES!$D$9:$K$261,4))*(INDEX(DailyScalarsTable,AD$5/100,MONTH($A121)))*$B121</f>
        <v>-113878.15878489058</v>
      </c>
      <c r="AE121" s="1021">
        <f>(VLOOKUP(YEAR($A121),'NY East Load Projections'!$A$4:$EO$14,((MONTH($A121)-1)*12)+VLOOKUP(AE$4,$DE$6:$DF$17,2)+1))*(VLOOKUP($A121,CURVES!$D$9:$K$261,8))*(INDEX(DailyScalarsTable,AE$5/100,MONTH($A121)))*$B121</f>
        <v>-70522.618541220843</v>
      </c>
      <c r="AF121" s="1021"/>
      <c r="AG121" s="1021">
        <f>(VLOOKUP(YEAR($A121),'NY East Load Projections'!$A$4:$EO$14,((MONTH($A121)-1)*12)+VLOOKUP(AG$4,$DE$6:$DF$17,2)+1))*(VLOOKUP($A121,CURVES!$D$9:$T$261,8))*(INDEX(DailyScalarsTable,AG$5/100,MONTH($A121)))*$C121</f>
        <v>-10614.611764041629</v>
      </c>
      <c r="AH121" s="1021">
        <f>(VLOOKUP(YEAR($A121),'NY East Load Projections'!$A$4:$EO$14,((MONTH($A121)-1)*12)+VLOOKUP(AH$4,$DE$6:$DF$17,2)+1))*(VLOOKUP($A121,CURVES!$D$9:$T$261,8))*(INDEX(DailyScalarsTable,AH$5/100,MONTH($A121)))*$C121</f>
        <v>-9581.9959587249505</v>
      </c>
      <c r="AI121" s="1021">
        <f>(VLOOKUP(YEAR($A121),'NY East Load Projections'!$A$4:$EO$14,((MONTH($A121)-1)*12)+VLOOKUP(AI$4,$DE$6:$DF$17,2)+1))*(VLOOKUP($A121,CURVES!$D$9:$T$261,8))*(INDEX(DailyScalarsTable,AI$5/100,MONTH($A121)))*$C121</f>
        <v>-8605.1317109723204</v>
      </c>
      <c r="AJ121" s="1021">
        <f>(VLOOKUP(YEAR($A121),'NY East Load Projections'!$A$4:$EO$14,((MONTH($A121)-1)*12)+VLOOKUP(AJ$4,$DE$6:$DF$17,2)+1))*(VLOOKUP($A121,CURVES!$D$9:$T$261,8))*(INDEX(DailyScalarsTable,AJ$5/100,MONTH($A121)))*$C121</f>
        <v>-8096.0957506049417</v>
      </c>
      <c r="AK121" s="1021">
        <f>(VLOOKUP(YEAR($A121),'NY East Load Projections'!$A$4:$EO$14,((MONTH($A121)-1)*12)+VLOOKUP(AK$4,$DE$6:$DF$17,2)+1))*(VLOOKUP($A121,CURVES!$D$9:$T$261,8))*(INDEX(DailyScalarsTable,AK$5/100,MONTH($A121)))*$C121</f>
        <v>-8532.8205222975903</v>
      </c>
      <c r="AL121" s="1021">
        <f>(VLOOKUP(YEAR($A121),'NY East Load Projections'!$A$4:$EO$14,((MONTH($A121)-1)*12)+VLOOKUP(AL$4,$DE$6:$DF$17,2)+1))*(VLOOKUP($A121,CURVES!$D$9:$T$261,8))*(INDEX(DailyScalarsTable,AL$5/100,MONTH($A121)))*$C121</f>
        <v>-9480.364768356023</v>
      </c>
      <c r="AM121" s="1021">
        <f>(VLOOKUP(YEAR($A121),'NY East Load Projections'!$A$4:$EO$14,((MONTH($A121)-1)*12)+VLOOKUP(AM$4,$DE$6:$DF$17,2)+1))*(VLOOKUP($A121,CURVES!$D$9:$T$261,8))*(INDEX(DailyScalarsTable,AM$5/100,MONTH($A121)))*$C121</f>
        <v>-11030.891716451632</v>
      </c>
      <c r="AN121" s="1021">
        <f>(VLOOKUP(YEAR($A121),'NY East Load Projections'!$A$4:$EO$14,((MONTH($A121)-1)*12)+VLOOKUP(AN$4,$DE$6:$DF$17,2)+1))*(VLOOKUP($A121,SatSunCurve,4))*(INDEX(DailyScalarsTable,AN$5/100,MONTH($A121)))*$C121</f>
        <v>-11223.428198902968</v>
      </c>
      <c r="AO121" s="1021">
        <f>(VLOOKUP(YEAR($A121),'NY East Load Projections'!$A$4:$EO$14,((MONTH($A121)-1)*12)+VLOOKUP(AO$4,$DE$6:$DF$17,2)+1))*(VLOOKUP($A121,SatSunCurve,4))*(INDEX(DailyScalarsTable,AO$5/100,MONTH($A121)))*$C121</f>
        <v>-13247.749617182797</v>
      </c>
      <c r="AP121" s="1021">
        <f>(VLOOKUP(YEAR($A121),'NY East Load Projections'!$A$4:$EO$14,((MONTH($A121)-1)*12)+VLOOKUP(AP$4,$DE$6:$DF$17,2)+1))*(VLOOKUP($A121,SatSunCurve,4))*(INDEX(DailyScalarsTable,AP$5/100,MONTH($A121)))*$C121</f>
        <v>-16989.423865883753</v>
      </c>
      <c r="AQ121" s="1021">
        <f>(VLOOKUP(YEAR($A121),'NY East Load Projections'!$A$4:$EO$14,((MONTH($A121)-1)*12)+VLOOKUP(AQ$4,$DE$6:$DF$17,2)+1))*(VLOOKUP($A121,SatSunCurve,4))*(INDEX(DailyScalarsTable,AQ$5/100,MONTH($A121)))*$C121</f>
        <v>-19175.154367600153</v>
      </c>
      <c r="AR121" s="1021">
        <f>(VLOOKUP(YEAR($A121),'NY East Load Projections'!$A$4:$EO$14,((MONTH($A121)-1)*12)+VLOOKUP(AR$4,$DE$6:$DF$17,2)+1))*(VLOOKUP($A121,SatSunCurve,4))*(INDEX(DailyScalarsTable,AR$5/100,MONTH($A121)))*$C121</f>
        <v>-19987.702768803196</v>
      </c>
      <c r="AS121" s="1021">
        <f>(VLOOKUP(YEAR($A121),'NY East Load Projections'!$A$4:$EO$14,((MONTH($A121)-1)*12)+VLOOKUP(AS$4,$DE$6:$DF$17,2)+1))*(VLOOKUP($A121,SatSunCurve,4))*(INDEX(DailyScalarsTable,AS$5/100,MONTH($A121)))*$C121</f>
        <v>-20057.697524336345</v>
      </c>
      <c r="AT121" s="1021">
        <f>(VLOOKUP(YEAR($A121),'NY East Load Projections'!$A$4:$EO$14,((MONTH($A121)-1)*12)+VLOOKUP(AT$4,$DE$6:$DF$17,2)+1))*(VLOOKUP($A121,SatSunCurve,4))*(INDEX(DailyScalarsTable,AT$5/100,MONTH($A121)))*$C121</f>
        <v>-22018.750277680974</v>
      </c>
      <c r="AU121" s="1021">
        <f>(VLOOKUP(YEAR($A121),'NY East Load Projections'!$A$4:$EO$14,((MONTH($A121)-1)*12)+VLOOKUP(AU$4,$DE$6:$DF$17,2)+1))*(VLOOKUP($A121,SatSunCurve,4))*(INDEX(DailyScalarsTable,AU$5/100,MONTH($A121)))*$C121</f>
        <v>-23310.297122877375</v>
      </c>
      <c r="AV121" s="1021">
        <f>(VLOOKUP(YEAR($A121),'NY East Load Projections'!$A$4:$EO$14,((MONTH($A121)-1)*12)+VLOOKUP(AV$4,$DE$6:$DF$17,2)+1))*(VLOOKUP($A121,SatSunCurve,4))*(INDEX(DailyScalarsTable,AV$5/100,MONTH($A121)))*$C121</f>
        <v>-22985.536794298012</v>
      </c>
      <c r="AW121" s="1021">
        <f>(VLOOKUP(YEAR($A121),'NY East Load Projections'!$A$4:$EO$14,((MONTH($A121)-1)*12)+VLOOKUP(AW$4,$DE$6:$DF$17,2)+1))*(VLOOKUP($A121,SatSunCurve,4))*(INDEX(DailyScalarsTable,AW$5/100,MONTH($A121)))*$C121</f>
        <v>-21761.589654398889</v>
      </c>
      <c r="AX121" s="1021">
        <f>(VLOOKUP(YEAR($A121),'NY East Load Projections'!$A$4:$EO$14,((MONTH($A121)-1)*12)+VLOOKUP(AX$4,$DE$6:$DF$17,2)+1))*(VLOOKUP($A121,SatSunCurve,4))*(INDEX(DailyScalarsTable,AX$5/100,MONTH($A121)))*$C121</f>
        <v>-20152.577299476136</v>
      </c>
      <c r="AY121" s="1021">
        <f>(VLOOKUP(YEAR($A121),'NY East Load Projections'!$A$4:$EO$14,((MONTH($A121)-1)*12)+VLOOKUP(AY$4,$DE$6:$DF$17,2)+1))*(VLOOKUP($A121,SatSunCurve,4))*(INDEX(DailyScalarsTable,AY$5/100,MONTH($A121)))*$C121</f>
        <v>-16426.443424918176</v>
      </c>
      <c r="AZ121" s="1021">
        <f>(VLOOKUP(YEAR($A121),'NY East Load Projections'!$A$4:$EO$14,((MONTH($A121)-1)*12)+VLOOKUP(AZ$4,$DE$6:$DF$17,2)+1))*(VLOOKUP($A121,SatSunCurve,4))*(INDEX(DailyScalarsTable,AZ$5/100,MONTH($A121)))*$C121</f>
        <v>-14955.346414703088</v>
      </c>
      <c r="BA121" s="1021">
        <f>(VLOOKUP(YEAR($A121),'NY East Load Projections'!$A$4:$EO$14,((MONTH($A121)-1)*12)+VLOOKUP(BA$4,$DE$6:$DF$17,2)+1))*(VLOOKUP($A121,SatSunCurve,4))*(INDEX(DailyScalarsTable,BA$5/100,MONTH($A121)))*$C121</f>
        <v>-18142.698573752437</v>
      </c>
      <c r="BB121" s="1021">
        <f>(VLOOKUP(YEAR($A121),'NY East Load Projections'!$A$4:$EO$14,((MONTH($A121)-1)*12)+VLOOKUP(BB$4,$DE$6:$DF$17,2)+1))*(VLOOKUP($A121,SatSunCurve,4))*(INDEX(DailyScalarsTable,BB$5/100,MONTH($A121)))*$C121</f>
        <v>-15427.242595888505</v>
      </c>
      <c r="BC121" s="1021">
        <f>(VLOOKUP(YEAR($A121),'NY East Load Projections'!$A$4:$EO$14,((MONTH($A121)-1)*12)+VLOOKUP(BC$4,$DE$6:$DF$17,2)+1))*(VLOOKUP($A121,SatSunCurve,4))*(INDEX(DailyScalarsTable,BC$5/100,MONTH($A121)))*$C121</f>
        <v>-12492.497217750328</v>
      </c>
      <c r="BD121" s="1021">
        <f>(VLOOKUP(YEAR($A121),'NY East Load Projections'!$A$4:$EO$14,((MONTH($A121)-1)*12)+VLOOKUP(BD$4,$DE$6:$DF$17,2)+1))*(VLOOKUP($A121,CURVES!$D$9:$T$261,8))*(INDEX(DailyScalarsTable,BD$5/100,MONTH($A121)))*$C121</f>
        <v>-12763.415970140743</v>
      </c>
      <c r="BE121" s="1021"/>
      <c r="BF121" s="1021">
        <f>(VLOOKUP(YEAR($A121),'NY East Load Projections'!$A$4:$EO$14,((MONTH($A121)-1)*12)+VLOOKUP(BF$4,$DE$6:$DF$17,2)+1))*(VLOOKUP($A121,CURVES!$D$9:$T$261,8))*(INDEX(DailyScalarsTable,BF$5/100,MONTH($A121)))*$D121</f>
        <v>-13268.264705052035</v>
      </c>
      <c r="BG121" s="1021">
        <f>(VLOOKUP(YEAR($A121),'NY East Load Projections'!$A$4:$EO$14,((MONTH($A121)-1)*12)+VLOOKUP(BG$4,$DE$6:$DF$17,2)+1))*(VLOOKUP($A121,CURVES!$D$9:$T$261,8))*(INDEX(DailyScalarsTable,BG$5/100,MONTH($A121)))*$D121</f>
        <v>-11977.494948406187</v>
      </c>
      <c r="BH121" s="1021">
        <f>(VLOOKUP(YEAR($A121),'NY East Load Projections'!$A$4:$EO$14,((MONTH($A121)-1)*12)+VLOOKUP(BH$4,$DE$6:$DF$17,2)+1))*(VLOOKUP($A121,CURVES!$D$9:$T$261,8))*(INDEX(DailyScalarsTable,BH$5/100,MONTH($A121)))*$D121</f>
        <v>-10756.4146387154</v>
      </c>
      <c r="BI121" s="1021">
        <f>(VLOOKUP(YEAR($A121),'NY East Load Projections'!$A$4:$EO$14,((MONTH($A121)-1)*12)+VLOOKUP(BI$4,$DE$6:$DF$17,2)+1))*(VLOOKUP($A121,CURVES!$D$9:$T$261,8))*(INDEX(DailyScalarsTable,BI$5/100,MONTH($A121)))*$D121</f>
        <v>-10120.119688256178</v>
      </c>
      <c r="BJ121" s="1021">
        <f>(VLOOKUP(YEAR($A121),'NY East Load Projections'!$A$4:$EO$14,((MONTH($A121)-1)*12)+VLOOKUP(BJ$4,$DE$6:$DF$17,2)+1))*(VLOOKUP($A121,CURVES!$D$9:$T$261,8))*(INDEX(DailyScalarsTable,BJ$5/100,MONTH($A121)))*$D121</f>
        <v>-10666.025652871987</v>
      </c>
      <c r="BK121" s="1021">
        <f>(VLOOKUP(YEAR($A121),'NY East Load Projections'!$A$4:$EO$14,((MONTH($A121)-1)*12)+VLOOKUP(BK$4,$DE$6:$DF$17,2)+1))*(VLOOKUP($A121,CURVES!$D$9:$T$261,8))*(INDEX(DailyScalarsTable,BK$5/100,MONTH($A121)))*$D121</f>
        <v>-11850.45596044503</v>
      </c>
      <c r="BL121" s="1021">
        <f>(VLOOKUP(YEAR($A121),'NY East Load Projections'!$A$4:$EO$14,((MONTH($A121)-1)*12)+VLOOKUP(BL$4,$DE$6:$DF$17,2)+1))*(VLOOKUP($A121,CURVES!$D$9:$T$261,8))*(INDEX(DailyScalarsTable,BL$5/100,MONTH($A121)))*$D121</f>
        <v>-13788.614645564539</v>
      </c>
      <c r="BM121" s="1021">
        <f>(VLOOKUP(YEAR($A121),'NY East Load Projections'!$A$4:$EO$14,((MONTH($A121)-1)*12)+VLOOKUP(BM$4,$DE$6:$DF$17,2)+1))*(VLOOKUP($A121,SatSunCurve,8))*(INDEX(DailyScalarsTable,BM$5/100,MONTH($A121)))*$D121</f>
        <v>-10804.706838669623</v>
      </c>
      <c r="BN121" s="1021">
        <f>(VLOOKUP(YEAR($A121),'NY East Load Projections'!$A$4:$EO$14,((MONTH($A121)-1)*12)+VLOOKUP(BN$4,$DE$6:$DF$17,2)+1))*(VLOOKUP($A121,SatSunCurve,8))*(INDEX(DailyScalarsTable,BN$5/100,MONTH($A121)))*$D121</f>
        <v>-12753.505288139042</v>
      </c>
      <c r="BO121" s="1021">
        <f>(VLOOKUP(YEAR($A121),'NY East Load Projections'!$A$4:$EO$14,((MONTH($A121)-1)*12)+VLOOKUP(BO$4,$DE$6:$DF$17,2)+1))*(VLOOKUP($A121,SatSunCurve,8))*(INDEX(DailyScalarsTable,BO$5/100,MONTH($A121)))*$D121</f>
        <v>-16355.585920415449</v>
      </c>
      <c r="BP121" s="1021">
        <f>(VLOOKUP(YEAR($A121),'NY East Load Projections'!$A$4:$EO$14,((MONTH($A121)-1)*12)+VLOOKUP(BP$4,$DE$6:$DF$17,2)+1))*(VLOOKUP($A121,SatSunCurve,8))*(INDEX(DailyScalarsTable,BP$5/100,MONTH($A121)))*$D121</f>
        <v>-18459.771636299683</v>
      </c>
      <c r="BQ121" s="1021">
        <f>(VLOOKUP(YEAR($A121),'NY East Load Projections'!$A$4:$EO$14,((MONTH($A121)-1)*12)+VLOOKUP(BQ$4,$DE$6:$DF$17,2)+1))*(VLOOKUP($A121,SatSunCurve,8))*(INDEX(DailyScalarsTable,BQ$5/100,MONTH($A121)))*$D121</f>
        <v>-19242.005648193372</v>
      </c>
      <c r="BR121" s="1021">
        <f>(VLOOKUP(YEAR($A121),'NY East Load Projections'!$A$4:$EO$14,((MONTH($A121)-1)*12)+VLOOKUP(BR$4,$DE$6:$DF$17,2)+1))*(VLOOKUP($A121,SatSunCurve,8))*(INDEX(DailyScalarsTable,BR$5/100,MONTH($A121)))*$D121</f>
        <v>-19309.389053724841</v>
      </c>
      <c r="BS121" s="1021">
        <f>(VLOOKUP(YEAR($A121),'NY East Load Projections'!$A$4:$EO$14,((MONTH($A121)-1)*12)+VLOOKUP(BS$4,$DE$6:$DF$17,2)+1))*(VLOOKUP($A121,SatSunCurve,8))*(INDEX(DailyScalarsTable,BS$5/100,MONTH($A121)))*$D121</f>
        <v>-21197.279252650485</v>
      </c>
      <c r="BT121" s="1021">
        <f>(VLOOKUP(YEAR($A121),'NY East Load Projections'!$A$4:$EO$14,((MONTH($A121)-1)*12)+VLOOKUP(BT$4,$DE$6:$DF$17,2)+1))*(VLOOKUP($A121,SatSunCurve,8))*(INDEX(DailyScalarsTable,BT$5/100,MONTH($A121)))*$D121</f>
        <v>-22440.641332707251</v>
      </c>
      <c r="BU121" s="1021">
        <f>(VLOOKUP(YEAR($A121),'NY East Load Projections'!$A$4:$EO$14,((MONTH($A121)-1)*12)+VLOOKUP(BU$4,$DE$6:$DF$17,2)+1))*(VLOOKUP($A121,SatSunCurve,8))*(INDEX(DailyScalarsTable,BU$5/100,MONTH($A121)))*$D121</f>
        <v>-22127.99709594249</v>
      </c>
      <c r="BV121" s="1021">
        <f>(VLOOKUP(YEAR($A121),'NY East Load Projections'!$A$4:$EO$14,((MONTH($A121)-1)*12)+VLOOKUP(BV$4,$DE$6:$DF$17,2)+1))*(VLOOKUP($A121,SatSunCurve,8))*(INDEX(DailyScalarsTable,BV$5/100,MONTH($A121)))*$D121</f>
        <v>-20949.712725224927</v>
      </c>
      <c r="BW121" s="1021">
        <f>(VLOOKUP(YEAR($A121),'NY East Load Projections'!$A$4:$EO$14,((MONTH($A121)-1)*12)+VLOOKUP(BW$4,$DE$6:$DF$17,2)+1))*(VLOOKUP($A121,SatSunCurve,8))*(INDEX(DailyScalarsTable,BW$5/100,MONTH($A121)))*$D121</f>
        <v>-19400.72907364893</v>
      </c>
      <c r="BX121" s="1021">
        <f>(VLOOKUP(YEAR($A121),'NY East Load Projections'!$A$4:$EO$14,((MONTH($A121)-1)*12)+VLOOKUP(BX$4,$DE$6:$DF$17,2)+1))*(VLOOKUP($A121,SatSunCurve,8))*(INDEX(DailyScalarsTable,BX$5/100,MONTH($A121)))*$D121</f>
        <v>-15813.609038420289</v>
      </c>
      <c r="BY121" s="1021">
        <f>(VLOOKUP(YEAR($A121),'NY East Load Projections'!$A$4:$EO$14,((MONTH($A121)-1)*12)+VLOOKUP(BY$4,$DE$6:$DF$17,2)+1))*(VLOOKUP($A121,SatSunCurve,8))*(INDEX(DailyScalarsTable,BY$5/100,MONTH($A121)))*$D121</f>
        <v>-14397.395414122228</v>
      </c>
      <c r="BZ121" s="1021">
        <f>(VLOOKUP(YEAR($A121),'NY East Load Projections'!$A$4:$EO$14,((MONTH($A121)-1)*12)+VLOOKUP(BZ$4,$DE$6:$DF$17,2)+1))*(VLOOKUP($A121,SatSunCurve,8))*(INDEX(DailyScalarsTable,BZ$5/100,MONTH($A121)))*$D121</f>
        <v>-17465.834491720201</v>
      </c>
      <c r="CA121" s="1021">
        <f>(VLOOKUP(YEAR($A121),'NY East Load Projections'!$A$4:$EO$14,((MONTH($A121)-1)*12)+VLOOKUP(CA$4,$DE$6:$DF$17,2)+1))*(VLOOKUP($A121,SatSunCurve,8))*(INDEX(DailyScalarsTable,CA$5/100,MONTH($A121)))*$D121</f>
        <v>-14851.686189243374</v>
      </c>
      <c r="CB121" s="1021">
        <f>(VLOOKUP(YEAR($A121),'NY East Load Projections'!$A$4:$EO$14,((MONTH($A121)-1)*12)+VLOOKUP(CB$4,$DE$6:$DF$17,2)+1))*(VLOOKUP($A121,SatSunCurve,8))*(INDEX(DailyScalarsTable,CB$5/100,MONTH($A121)))*$D121</f>
        <v>-12026.429690518409</v>
      </c>
      <c r="CC121" s="1021">
        <f>(VLOOKUP(YEAR($A121),'NY East Load Projections'!$A$4:$EO$14,((MONTH($A121)-1)*12)+VLOOKUP(CC$4,$DE$6:$DF$17,2)+1))*(VLOOKUP($A121,CURVES!$D$9:$T$261,8))*(INDEX(DailyScalarsTable,CC$5/100,MONTH($A121)))*$D121</f>
        <v>-15954.269962675928</v>
      </c>
      <c r="CE121" s="1021">
        <f>(VLOOKUP(YEAR($A121),'NY East Load Projections'!$A$4:$EO$14,((MONTH($A121)-1)*12)+VLOOKUP(CE$4,$DE$6:$DF$17,2)+1))*(VLOOKUP($A121,CURVES!$D$9:$T$261,8))*(INDEX(DailyScalarsTable,CE$5/100,MONTH($A121)))*$E121</f>
        <v>0</v>
      </c>
      <c r="CF121" s="1021">
        <f>(VLOOKUP(YEAR($A121),'NY East Load Projections'!$A$4:$EO$14,((MONTH($A121)-1)*12)+VLOOKUP(CF$4,$DE$6:$DF$17,2)+1))*(VLOOKUP($A121,CURVES!$D$9:$T$261,8))*(INDEX(DailyScalarsTable,CF$5/100,MONTH($A121)))*$E121</f>
        <v>0</v>
      </c>
      <c r="CG121" s="1021">
        <f>(VLOOKUP(YEAR($A121),'NY East Load Projections'!$A$4:$EO$14,((MONTH($A121)-1)*12)+VLOOKUP(CG$4,$DE$6:$DF$17,2)+1))*(VLOOKUP($A121,CURVES!$D$9:$T$261,8))*(INDEX(DailyScalarsTable,CG$5/100,MONTH($A121)))*$E121</f>
        <v>0</v>
      </c>
      <c r="CH121" s="1021">
        <f>(VLOOKUP(YEAR($A121),'NY East Load Projections'!$A$4:$EO$14,((MONTH($A121)-1)*12)+VLOOKUP(CH$4,$DE$6:$DF$17,2)+1))*(VLOOKUP($A121,CURVES!$D$9:$T$261,8))*(INDEX(DailyScalarsTable,CH$5/100,MONTH($A121)))*$E121</f>
        <v>0</v>
      </c>
      <c r="CI121" s="1021">
        <f>(VLOOKUP(YEAR($A121),'NY East Load Projections'!$A$4:$EO$14,((MONTH($A121)-1)*12)+VLOOKUP(CI$4,$DE$6:$DF$17,2)+1))*(VLOOKUP($A121,CURVES!$D$9:$T$261,8))*(INDEX(DailyScalarsTable,CI$5/100,MONTH($A121)))*$E121</f>
        <v>0</v>
      </c>
      <c r="CJ121" s="1021">
        <f>(VLOOKUP(YEAR($A121),'NY East Load Projections'!$A$4:$EO$14,((MONTH($A121)-1)*12)+VLOOKUP(CJ$4,$DE$6:$DF$17,2)+1))*(VLOOKUP($A121,CURVES!$D$9:$T$261,8))*(INDEX(DailyScalarsTable,CJ$5/100,MONTH($A121)))*$E121</f>
        <v>0</v>
      </c>
      <c r="CK121" s="1021">
        <f>(VLOOKUP(YEAR($A121),'NY East Load Projections'!$A$4:$EO$14,((MONTH($A121)-1)*12)+VLOOKUP(CK$4,$DE$6:$DF$17,2)+1))*(VLOOKUP($A121,CURVES!$D$9:$T$261,8))*(INDEX(DailyScalarsTable,CK$5/100,MONTH($A121)))*$E121</f>
        <v>0</v>
      </c>
      <c r="CL121" s="1021">
        <f>(VLOOKUP(YEAR($A121),'NY East Load Projections'!$A$4:$EO$14,((MONTH($A121)-1)*12)+VLOOKUP(CL$4,$DE$6:$DF$17,2)+1))*(VLOOKUP($A121,SatSunCurve,8))*(INDEX(DailyScalarsTable,CL$5/100,MONTH($A121)))*$E121</f>
        <v>0</v>
      </c>
      <c r="CM121" s="1021">
        <f>(VLOOKUP(YEAR($A121),'NY East Load Projections'!$A$4:$EO$14,((MONTH($A121)-1)*12)+VLOOKUP(CM$4,$DE$6:$DF$17,2)+1))*(VLOOKUP($A121,SatSunCurve,8))*(INDEX(DailyScalarsTable,CM$5/100,MONTH($A121)))*$E121</f>
        <v>0</v>
      </c>
      <c r="CN121" s="1021">
        <f>(VLOOKUP(YEAR($A121),'NY East Load Projections'!$A$4:$EO$14,((MONTH($A121)-1)*12)+VLOOKUP(CN$4,$DE$6:$DF$17,2)+1))*(VLOOKUP($A121,SatSunCurve,8))*(INDEX(DailyScalarsTable,CN$5/100,MONTH($A121)))*$E121</f>
        <v>0</v>
      </c>
      <c r="CO121" s="1021">
        <f>(VLOOKUP(YEAR($A121),'NY East Load Projections'!$A$4:$EO$14,((MONTH($A121)-1)*12)+VLOOKUP(CO$4,$DE$6:$DF$17,2)+1))*(VLOOKUP($A121,SatSunCurve,8))*(INDEX(DailyScalarsTable,CO$5/100,MONTH($A121)))*$E121</f>
        <v>0</v>
      </c>
      <c r="CP121" s="1021">
        <f>(VLOOKUP(YEAR($A121),'NY East Load Projections'!$A$4:$EO$14,((MONTH($A121)-1)*12)+VLOOKUP(CP$4,$DE$6:$DF$17,2)+1))*(VLOOKUP($A121,SatSunCurve,8))*(INDEX(DailyScalarsTable,CP$5/100,MONTH($A121)))*$E121</f>
        <v>0</v>
      </c>
      <c r="CQ121" s="1021">
        <f>(VLOOKUP(YEAR($A121),'NY East Load Projections'!$A$4:$EO$14,((MONTH($A121)-1)*12)+VLOOKUP(CQ$4,$DE$6:$DF$17,2)+1))*(VLOOKUP($A121,SatSunCurve,8))*(INDEX(DailyScalarsTable,CQ$5/100,MONTH($A121)))*$E121</f>
        <v>0</v>
      </c>
      <c r="CR121" s="1021">
        <f>(VLOOKUP(YEAR($A121),'NY East Load Projections'!$A$4:$EO$14,((MONTH($A121)-1)*12)+VLOOKUP(CR$4,$DE$6:$DF$17,2)+1))*(VLOOKUP($A121,SatSunCurve,8))*(INDEX(DailyScalarsTable,CR$5/100,MONTH($A121)))*$E121</f>
        <v>0</v>
      </c>
      <c r="CS121" s="1021">
        <f>(VLOOKUP(YEAR($A121),'NY East Load Projections'!$A$4:$EO$14,((MONTH($A121)-1)*12)+VLOOKUP(CS$4,$DE$6:$DF$17,2)+1))*(VLOOKUP($A121,SatSunCurve,8))*(INDEX(DailyScalarsTable,CS$5/100,MONTH($A121)))*$E121</f>
        <v>0</v>
      </c>
      <c r="CT121" s="1021">
        <f>(VLOOKUP(YEAR($A121),'NY East Load Projections'!$A$4:$EO$14,((MONTH($A121)-1)*12)+VLOOKUP(CT$4,$DE$6:$DF$17,2)+1))*(VLOOKUP($A121,SatSunCurve,8))*(INDEX(DailyScalarsTable,CT$5/100,MONTH($A121)))*$E121</f>
        <v>0</v>
      </c>
      <c r="CU121" s="1021">
        <f>(VLOOKUP(YEAR($A121),'NY East Load Projections'!$A$4:$EO$14,((MONTH($A121)-1)*12)+VLOOKUP(CU$4,$DE$6:$DF$17,2)+1))*(VLOOKUP($A121,SatSunCurve,8))*(INDEX(DailyScalarsTable,CU$5/100,MONTH($A121)))*$E121</f>
        <v>0</v>
      </c>
      <c r="CV121" s="1021">
        <f>(VLOOKUP(YEAR($A121),'NY East Load Projections'!$A$4:$EO$14,((MONTH($A121)-1)*12)+VLOOKUP(CV$4,$DE$6:$DF$17,2)+1))*(VLOOKUP($A121,SatSunCurve,8))*(INDEX(DailyScalarsTable,CV$5/100,MONTH($A121)))*$E121</f>
        <v>0</v>
      </c>
      <c r="CW121" s="1021">
        <f>(VLOOKUP(YEAR($A121),'NY East Load Projections'!$A$4:$EO$14,((MONTH($A121)-1)*12)+VLOOKUP(CW$4,$DE$6:$DF$17,2)+1))*(VLOOKUP($A121,SatSunCurve,8))*(INDEX(DailyScalarsTable,CW$5/100,MONTH($A121)))*$E121</f>
        <v>0</v>
      </c>
      <c r="CX121" s="1021">
        <f>(VLOOKUP(YEAR($A121),'NY East Load Projections'!$A$4:$EO$14,((MONTH($A121)-1)*12)+VLOOKUP(CX$4,$DE$6:$DF$17,2)+1))*(VLOOKUP($A121,SatSunCurve,8))*(INDEX(DailyScalarsTable,CX$5/100,MONTH($A121)))*$E121</f>
        <v>0</v>
      </c>
      <c r="CY121" s="1021">
        <f>(VLOOKUP(YEAR($A121),'NY East Load Projections'!$A$4:$EO$14,((MONTH($A121)-1)*12)+VLOOKUP(CY$4,$DE$6:$DF$17,2)+1))*(VLOOKUP($A121,SatSunCurve,8))*(INDEX(DailyScalarsTable,CY$5/100,MONTH($A121)))*$E121</f>
        <v>0</v>
      </c>
      <c r="CZ121" s="1021">
        <f>(VLOOKUP(YEAR($A121),'NY East Load Projections'!$A$4:$EO$14,((MONTH($A121)-1)*12)+VLOOKUP(CZ$4,$DE$6:$DF$17,2)+1))*(VLOOKUP($A121,SatSunCurve,8))*(INDEX(DailyScalarsTable,CZ$5/100,MONTH($A121)))*$E121</f>
        <v>0</v>
      </c>
      <c r="DA121" s="1021">
        <f>(VLOOKUP(YEAR($A121),'NY East Load Projections'!$A$4:$EO$14,((MONTH($A121)-1)*12)+VLOOKUP(DA$4,$DE$6:$DF$17,2)+1))*(VLOOKUP($A121,SatSunCurve,8))*(INDEX(DailyScalarsTable,DA$5/100,MONTH($A121)))*$E121</f>
        <v>0</v>
      </c>
      <c r="DB121" s="1021">
        <f>(VLOOKUP(YEAR($A121),'NY East Load Projections'!$A$4:$EO$14,((MONTH($A121)-1)*12)+VLOOKUP(DB$4,$DE$6:$DF$17,2)+1))*(VLOOKUP($A121,CURVES!$D$9:$T$261,8))*(INDEX(DailyScalarsTable,DB$5/100,MONTH($A121)))*$E121</f>
        <v>0</v>
      </c>
      <c r="DH121" s="1021">
        <f t="shared" si="2"/>
        <v>-3912971.0311940382</v>
      </c>
      <c r="DI121">
        <f ca="1">CALC!J141</f>
        <v>0.46357209957138773</v>
      </c>
      <c r="DJ121" s="1029">
        <f t="shared" ca="1" si="3"/>
        <v>-1813944.1964926384</v>
      </c>
    </row>
    <row r="122" spans="1:114" x14ac:dyDescent="0.25">
      <c r="A122" s="244">
        <v>40422</v>
      </c>
      <c r="B122" s="13">
        <v>21</v>
      </c>
      <c r="C122" s="210">
        <v>4</v>
      </c>
      <c r="D122" s="210">
        <v>4</v>
      </c>
      <c r="E122" s="210">
        <v>1</v>
      </c>
      <c r="F122" s="13">
        <v>30</v>
      </c>
      <c r="H122" s="1021">
        <f>(VLOOKUP(YEAR($A122),'NY East Load Projections'!$A$4:$EO$14,((MONTH($A122)-1)*12)+VLOOKUP(H$4,$DE$6:$DF$17,2)+1))*(VLOOKUP($A122,CURVES!$D$9:$K$261,8))*(INDEX(DailyScalarsTable,H$5/100,MONTH($A122)))*$B122</f>
        <v>-39976.745671531935</v>
      </c>
      <c r="I122" s="1021">
        <f>(VLOOKUP(YEAR($A122),'NY East Load Projections'!$A$4:$EO$14,((MONTH($A122)-1)*12)+VLOOKUP(I$4,$DE$6:$DF$17,2)+1))*(VLOOKUP($A122,CURVES!$D$9:$K$261,8))*(INDEX(DailyScalarsTable,I$5/100,MONTH($A122)))*$B122</f>
        <v>-35072.308750183212</v>
      </c>
      <c r="J122" s="1021">
        <f>(VLOOKUP(YEAR($A122),'NY East Load Projections'!$A$4:$EO$14,((MONTH($A122)-1)*12)+VLOOKUP(J$4,$DE$6:$DF$17,2)+1))*(VLOOKUP($A122,CURVES!$D$9:$K$261,8))*(INDEX(DailyScalarsTable,J$5/100,MONTH($A122)))*$B122</f>
        <v>-32889.174302791966</v>
      </c>
      <c r="K122" s="1021">
        <f>(VLOOKUP(YEAR($A122),'NY East Load Projections'!$A$4:$EO$14,((MONTH($A122)-1)*12)+VLOOKUP(K$4,$DE$6:$DF$17,2)+1))*(VLOOKUP($A122,CURVES!$D$9:$K$261,8))*(INDEX(DailyScalarsTable,K$5/100,MONTH($A122)))*$B122</f>
        <v>-33376.5717608142</v>
      </c>
      <c r="L122" s="1021">
        <f>(VLOOKUP(YEAR($A122),'NY East Load Projections'!$A$4:$EO$14,((MONTH($A122)-1)*12)+VLOOKUP(L$4,$DE$6:$DF$17,2)+1))*(VLOOKUP($A122,CURVES!$D$9:$K$261,8))*(INDEX(DailyScalarsTable,L$5/100,MONTH($A122)))*$B122</f>
        <v>-37295.897808951086</v>
      </c>
      <c r="M122" s="1021">
        <f>(VLOOKUP(YEAR($A122),'NY East Load Projections'!$A$4:$EO$14,((MONTH($A122)-1)*12)+VLOOKUP(M$4,$DE$6:$DF$17,2)+1))*(VLOOKUP($A122,CURVES!$D$9:$K$261,8))*(INDEX(DailyScalarsTable,M$5/100,MONTH($A122)))*$B122</f>
        <v>-43159.834404441281</v>
      </c>
      <c r="N122" s="1021">
        <f>(VLOOKUP(YEAR($A122),'NY East Load Projections'!$A$4:$EO$14,((MONTH($A122)-1)*12)+VLOOKUP(N$4,$DE$6:$DF$17,2)+1))*(VLOOKUP($A122,CURVES!$D$9:$K$261,8))*(INDEX(DailyScalarsTable,N$5/100,MONTH($A122)))*$B122</f>
        <v>-58691.910189628565</v>
      </c>
      <c r="O122" s="1021">
        <f>(VLOOKUP(YEAR($A122),'NY East Load Projections'!$A$4:$EO$14,((MONTH($A122)-1)*12)+VLOOKUP(O$4,$DE$6:$DF$17,2)+1))*(VLOOKUP($A122,CURVES!$D$9:$K$261,4))*(INDEX(DailyScalarsTable,O$5/100,MONTH($A122)))*$B122</f>
        <v>-53460.950967289071</v>
      </c>
      <c r="P122" s="1021">
        <f>(VLOOKUP(YEAR($A122),'NY East Load Projections'!$A$4:$EO$14,((MONTH($A122)-1)*12)+VLOOKUP(P$4,$DE$6:$DF$17,2)+1))*(VLOOKUP($A122,CURVES!$D$9:$K$261,4))*(INDEX(DailyScalarsTable,P$5/100,MONTH($A122)))*$B122</f>
        <v>-55324.4694554038</v>
      </c>
      <c r="Q122" s="1021">
        <f>(VLOOKUP(YEAR($A122),'NY East Load Projections'!$A$4:$EO$14,((MONTH($A122)-1)*12)+VLOOKUP(Q$4,$DE$6:$DF$17,2)+1))*(VLOOKUP($A122,CURVES!$D$9:$K$261,4))*(INDEX(DailyScalarsTable,Q$5/100,MONTH($A122)))*$B122</f>
        <v>-69062.2594416309</v>
      </c>
      <c r="R122" s="1021">
        <f>(VLOOKUP(YEAR($A122),'NY East Load Projections'!$A$4:$EO$14,((MONTH($A122)-1)*12)+VLOOKUP(R$4,$DE$6:$DF$17,2)+1))*(VLOOKUP($A122,CURVES!$D$9:$K$261,4))*(INDEX(DailyScalarsTable,R$5/100,MONTH($A122)))*$B122</f>
        <v>-73755.293287857567</v>
      </c>
      <c r="S122" s="1021">
        <f>(VLOOKUP(YEAR($A122),'NY East Load Projections'!$A$4:$EO$14,((MONTH($A122)-1)*12)+VLOOKUP(S$4,$DE$6:$DF$17,2)+1))*(VLOOKUP($A122,CURVES!$D$9:$K$261,4))*(INDEX(DailyScalarsTable,S$5/100,MONTH($A122)))*$B122</f>
        <v>-78586.984952268191</v>
      </c>
      <c r="T122" s="1021">
        <f>(VLOOKUP(YEAR($A122),'NY East Load Projections'!$A$4:$EO$14,((MONTH($A122)-1)*12)+VLOOKUP(T$4,$DE$6:$DF$17,2)+1))*(VLOOKUP($A122,CURVES!$D$9:$K$261,4))*(INDEX(DailyScalarsTable,T$5/100,MONTH($A122)))*$B122</f>
        <v>-74809.672883814914</v>
      </c>
      <c r="U122" s="1021">
        <f>(VLOOKUP(YEAR($A122),'NY East Load Projections'!$A$4:$EO$14,((MONTH($A122)-1)*12)+VLOOKUP(U$4,$DE$6:$DF$17,2)+1))*(VLOOKUP($A122,CURVES!$D$9:$K$261,4))*(INDEX(DailyScalarsTable,U$5/100,MONTH($A122)))*$B122</f>
        <v>-80983.860038715662</v>
      </c>
      <c r="V122" s="1021">
        <f>(VLOOKUP(YEAR($A122),'NY East Load Projections'!$A$4:$EO$14,((MONTH($A122)-1)*12)+VLOOKUP(V$4,$DE$6:$DF$17,2)+1))*(VLOOKUP($A122,CURVES!$D$9:$K$261,4))*(INDEX(DailyScalarsTable,V$5/100,MONTH($A122)))*$B122</f>
        <v>-79706.071740571031</v>
      </c>
      <c r="W122" s="1021">
        <f>(VLOOKUP(YEAR($A122),'NY East Load Projections'!$A$4:$EO$14,((MONTH($A122)-1)*12)+VLOOKUP(W$4,$DE$6:$DF$17,2)+1))*(VLOOKUP($A122,CURVES!$D$9:$K$261,4))*(INDEX(DailyScalarsTable,W$5/100,MONTH($A122)))*$B122</f>
        <v>-77214.921445028449</v>
      </c>
      <c r="X122" s="1021">
        <f>(VLOOKUP(YEAR($A122),'NY East Load Projections'!$A$4:$EO$14,((MONTH($A122)-1)*12)+VLOOKUP(X$4,$DE$6:$DF$17,2)+1))*(VLOOKUP($A122,CURVES!$D$9:$K$261,4))*(INDEX(DailyScalarsTable,X$5/100,MONTH($A122)))*$B122</f>
        <v>-80177.16494559501</v>
      </c>
      <c r="Y122" s="1021">
        <f>(VLOOKUP(YEAR($A122),'NY East Load Projections'!$A$4:$EO$14,((MONTH($A122)-1)*12)+VLOOKUP(Y$4,$DE$6:$DF$17,2)+1))*(VLOOKUP($A122,CURVES!$D$9:$K$261,4))*(INDEX(DailyScalarsTable,Y$5/100,MONTH($A122)))*$B122</f>
        <v>-78210.262254870249</v>
      </c>
      <c r="Z122" s="1021">
        <f>(VLOOKUP(YEAR($A122),'NY East Load Projections'!$A$4:$EO$14,((MONTH($A122)-1)*12)+VLOOKUP(Z$4,$DE$6:$DF$17,2)+1))*(VLOOKUP($A122,CURVES!$D$9:$K$261,4))*(INDEX(DailyScalarsTable,Z$5/100,MONTH($A122)))*$B122</f>
        <v>-64058.915001077039</v>
      </c>
      <c r="AA122" s="1021">
        <f>(VLOOKUP(YEAR($A122),'NY East Load Projections'!$A$4:$EO$14,((MONTH($A122)-1)*12)+VLOOKUP(AA$4,$DE$6:$DF$17,2)+1))*(VLOOKUP($A122,CURVES!$D$9:$K$261,4))*(INDEX(DailyScalarsTable,AA$5/100,MONTH($A122)))*$B122</f>
        <v>-83717.58978889951</v>
      </c>
      <c r="AB122" s="1021">
        <f>(VLOOKUP(YEAR($A122),'NY East Load Projections'!$A$4:$EO$14,((MONTH($A122)-1)*12)+VLOOKUP(AB$4,$DE$6:$DF$17,2)+1))*(VLOOKUP($A122,CURVES!$D$9:$K$261,4))*(INDEX(DailyScalarsTable,AB$5/100,MONTH($A122)))*$B122</f>
        <v>-80221.463973241582</v>
      </c>
      <c r="AC122" s="1021">
        <f>(VLOOKUP(YEAR($A122),'NY East Load Projections'!$A$4:$EO$14,((MONTH($A122)-1)*12)+VLOOKUP(AC$4,$DE$6:$DF$17,2)+1))*(VLOOKUP($A122,CURVES!$D$9:$K$261,4))*(INDEX(DailyScalarsTable,AC$5/100,MONTH($A122)))*$B122</f>
        <v>-61056.463750053605</v>
      </c>
      <c r="AD122" s="1021">
        <f>(VLOOKUP(YEAR($A122),'NY East Load Projections'!$A$4:$EO$14,((MONTH($A122)-1)*12)+VLOOKUP(AD$4,$DE$6:$DF$17,2)+1))*(VLOOKUP($A122,CURVES!$D$9:$K$261,4))*(INDEX(DailyScalarsTable,AD$5/100,MONTH($A122)))*$B122</f>
        <v>-48384.738756487874</v>
      </c>
      <c r="AE122" s="1021">
        <f>(VLOOKUP(YEAR($A122),'NY East Load Projections'!$A$4:$EO$14,((MONTH($A122)-1)*12)+VLOOKUP(AE$4,$DE$6:$DF$17,2)+1))*(VLOOKUP($A122,CURVES!$D$9:$K$261,8))*(INDEX(DailyScalarsTable,AE$5/100,MONTH($A122)))*$B122</f>
        <v>-45592.950888141189</v>
      </c>
      <c r="AF122" s="1021"/>
      <c r="AG122" s="1021">
        <f>(VLOOKUP(YEAR($A122),'NY East Load Projections'!$A$4:$EO$14,((MONTH($A122)-1)*12)+VLOOKUP(AG$4,$DE$6:$DF$17,2)+1))*(VLOOKUP($A122,CURVES!$D$9:$T$261,8))*(INDEX(DailyScalarsTable,AG$5/100,MONTH($A122)))*$C122</f>
        <v>-7618.1572019738023</v>
      </c>
      <c r="AH122" s="1021">
        <f>(VLOOKUP(YEAR($A122),'NY East Load Projections'!$A$4:$EO$14,((MONTH($A122)-1)*12)+VLOOKUP(AH$4,$DE$6:$DF$17,2)+1))*(VLOOKUP($A122,CURVES!$D$9:$T$261,8))*(INDEX(DailyScalarsTable,AH$5/100,MONTH($A122)))*$C122</f>
        <v>-6683.5445708959896</v>
      </c>
      <c r="AI122" s="1021">
        <f>(VLOOKUP(YEAR($A122),'NY East Load Projections'!$A$4:$EO$14,((MONTH($A122)-1)*12)+VLOOKUP(AI$4,$DE$6:$DF$17,2)+1))*(VLOOKUP($A122,CURVES!$D$9:$T$261,8))*(INDEX(DailyScalarsTable,AI$5/100,MONTH($A122)))*$C122</f>
        <v>-6267.5161740394078</v>
      </c>
      <c r="AJ122" s="1021">
        <f>(VLOOKUP(YEAR($A122),'NY East Load Projections'!$A$4:$EO$14,((MONTH($A122)-1)*12)+VLOOKUP(AJ$4,$DE$6:$DF$17,2)+1))*(VLOOKUP($A122,CURVES!$D$9:$T$261,8))*(INDEX(DailyScalarsTable,AJ$5/100,MONTH($A122)))*$C122</f>
        <v>-6360.3969324073905</v>
      </c>
      <c r="AK122" s="1021">
        <f>(VLOOKUP(YEAR($A122),'NY East Load Projections'!$A$4:$EO$14,((MONTH($A122)-1)*12)+VLOOKUP(AK$4,$DE$6:$DF$17,2)+1))*(VLOOKUP($A122,CURVES!$D$9:$T$261,8))*(INDEX(DailyScalarsTable,AK$5/100,MONTH($A122)))*$C122</f>
        <v>-6918.0625623395263</v>
      </c>
      <c r="AL122" s="1021">
        <f>(VLOOKUP(YEAR($A122),'NY East Load Projections'!$A$4:$EO$14,((MONTH($A122)-1)*12)+VLOOKUP(AL$4,$DE$6:$DF$17,2)+1))*(VLOOKUP($A122,CURVES!$D$9:$T$261,8))*(INDEX(DailyScalarsTable,AL$5/100,MONTH($A122)))*$C122</f>
        <v>-8005.7714690133653</v>
      </c>
      <c r="AM122" s="1021">
        <f>(VLOOKUP(YEAR($A122),'NY East Load Projections'!$A$4:$EO$14,((MONTH($A122)-1)*12)+VLOOKUP(AM$4,$DE$6:$DF$17,2)+1))*(VLOOKUP($A122,CURVES!$D$9:$T$261,8))*(INDEX(DailyScalarsTable,AM$5/100,MONTH($A122)))*$C122</f>
        <v>-10886.835562317907</v>
      </c>
      <c r="AN122" s="1021">
        <f>(VLOOKUP(YEAR($A122),'NY East Load Projections'!$A$4:$EO$14,((MONTH($A122)-1)*12)+VLOOKUP(AN$4,$DE$6:$DF$17,2)+1))*(VLOOKUP($A122,SatSunCurve,4))*(INDEX(DailyScalarsTable,AN$5/100,MONTH($A122)))*$C122</f>
        <v>-7216.0143798426689</v>
      </c>
      <c r="AO122" s="1021">
        <f>(VLOOKUP(YEAR($A122),'NY East Load Projections'!$A$4:$EO$14,((MONTH($A122)-1)*12)+VLOOKUP(AO$4,$DE$6:$DF$17,2)+1))*(VLOOKUP($A122,SatSunCurve,4))*(INDEX(DailyScalarsTable,AO$5/100,MONTH($A122)))*$C122</f>
        <v>-7548.9081826066058</v>
      </c>
      <c r="AP122" s="1021">
        <f>(VLOOKUP(YEAR($A122),'NY East Load Projections'!$A$4:$EO$14,((MONTH($A122)-1)*12)+VLOOKUP(AP$4,$DE$6:$DF$17,2)+1))*(VLOOKUP($A122,SatSunCurve,4))*(INDEX(DailyScalarsTable,AP$5/100,MONTH($A122)))*$C122</f>
        <v>-9423.4009027140455</v>
      </c>
      <c r="AQ122" s="1021">
        <f>(VLOOKUP(YEAR($A122),'NY East Load Projections'!$A$4:$EO$14,((MONTH($A122)-1)*12)+VLOOKUP(AQ$4,$DE$6:$DF$17,2)+1))*(VLOOKUP($A122,SatSunCurve,4))*(INDEX(DailyScalarsTable,AQ$5/100,MONTH($A122)))*$C122</f>
        <v>-10063.755558651372</v>
      </c>
      <c r="AR122" s="1021">
        <f>(VLOOKUP(YEAR($A122),'NY East Load Projections'!$A$4:$EO$14,((MONTH($A122)-1)*12)+VLOOKUP(AR$4,$DE$6:$DF$17,2)+1))*(VLOOKUP($A122,SatSunCurve,4))*(INDEX(DailyScalarsTable,AR$5/100,MONTH($A122)))*$C122</f>
        <v>-10723.029783968665</v>
      </c>
      <c r="AS122" s="1021">
        <f>(VLOOKUP(YEAR($A122),'NY East Load Projections'!$A$4:$EO$14,((MONTH($A122)-1)*12)+VLOOKUP(AS$4,$DE$6:$DF$17,2)+1))*(VLOOKUP($A122,SatSunCurve,4))*(INDEX(DailyScalarsTable,AS$5/100,MONTH($A122)))*$C122</f>
        <v>-10342.621174869728</v>
      </c>
      <c r="AT122" s="1021">
        <f>(VLOOKUP(YEAR($A122),'NY East Load Projections'!$A$4:$EO$14,((MONTH($A122)-1)*12)+VLOOKUP(AT$4,$DE$6:$DF$17,2)+1))*(VLOOKUP($A122,SatSunCurve,4))*(INDEX(DailyScalarsTable,AT$5/100,MONTH($A122)))*$C122</f>
        <v>-11196.217726549086</v>
      </c>
      <c r="AU122" s="1021">
        <f>(VLOOKUP(YEAR($A122),'NY East Load Projections'!$A$4:$EO$14,((MONTH($A122)-1)*12)+VLOOKUP(AU$4,$DE$6:$DF$17,2)+1))*(VLOOKUP($A122,SatSunCurve,4))*(INDEX(DailyScalarsTable,AU$5/100,MONTH($A122)))*$C122</f>
        <v>-11019.560353245017</v>
      </c>
      <c r="AV122" s="1021">
        <f>(VLOOKUP(YEAR($A122),'NY East Load Projections'!$A$4:$EO$14,((MONTH($A122)-1)*12)+VLOOKUP(AV$4,$DE$6:$DF$17,2)+1))*(VLOOKUP($A122,SatSunCurve,4))*(INDEX(DailyScalarsTable,AV$5/100,MONTH($A122)))*$C122</f>
        <v>-10675.152701089168</v>
      </c>
      <c r="AW122" s="1021">
        <f>(VLOOKUP(YEAR($A122),'NY East Load Projections'!$A$4:$EO$14,((MONTH($A122)-1)*12)+VLOOKUP(AW$4,$DE$6:$DF$17,2)+1))*(VLOOKUP($A122,SatSunCurve,4))*(INDEX(DailyScalarsTable,AW$5/100,MONTH($A122)))*$C122</f>
        <v>-11217.322821522896</v>
      </c>
      <c r="AX122" s="1021">
        <f>(VLOOKUP(YEAR($A122),'NY East Load Projections'!$A$4:$EO$14,((MONTH($A122)-1)*12)+VLOOKUP(AX$4,$DE$6:$DF$17,2)+1))*(VLOOKUP($A122,SatSunCurve,4))*(INDEX(DailyScalarsTable,AX$5/100,MONTH($A122)))*$C122</f>
        <v>-10942.1399504978</v>
      </c>
      <c r="AY122" s="1021">
        <f>(VLOOKUP(YEAR($A122),'NY East Load Projections'!$A$4:$EO$14,((MONTH($A122)-1)*12)+VLOOKUP(AY$4,$DE$6:$DF$17,2)+1))*(VLOOKUP($A122,SatSunCurve,4))*(INDEX(DailyScalarsTable,AY$5/100,MONTH($A122)))*$C122</f>
        <v>-8962.2716100172565</v>
      </c>
      <c r="AZ122" s="1021">
        <f>(VLOOKUP(YEAR($A122),'NY East Load Projections'!$A$4:$EO$14,((MONTH($A122)-1)*12)+VLOOKUP(AZ$4,$DE$6:$DF$17,2)+1))*(VLOOKUP($A122,SatSunCurve,4))*(INDEX(DailyScalarsTable,AZ$5/100,MONTH($A122)))*$C122</f>
        <v>-11712.651989368062</v>
      </c>
      <c r="BA122" s="1021">
        <f>(VLOOKUP(YEAR($A122),'NY East Load Projections'!$A$4:$EO$14,((MONTH($A122)-1)*12)+VLOOKUP(BA$4,$DE$6:$DF$17,2)+1))*(VLOOKUP($A122,SatSunCurve,4))*(INDEX(DailyScalarsTable,BA$5/100,MONTH($A122)))*$C122</f>
        <v>-11450.390420919259</v>
      </c>
      <c r="BB122" s="1021">
        <f>(VLOOKUP(YEAR($A122),'NY East Load Projections'!$A$4:$EO$14,((MONTH($A122)-1)*12)+VLOOKUP(BB$4,$DE$6:$DF$17,2)+1))*(VLOOKUP($A122,SatSunCurve,4))*(INDEX(DailyScalarsTable,BB$5/100,MONTH($A122)))*$C122</f>
        <v>-8714.8789492549549</v>
      </c>
      <c r="BC122" s="1021">
        <f>(VLOOKUP(YEAR($A122),'NY East Load Projections'!$A$4:$EO$14,((MONTH($A122)-1)*12)+VLOOKUP(BC$4,$DE$6:$DF$17,2)+1))*(VLOOKUP($A122,SatSunCurve,4))*(INDEX(DailyScalarsTable,BC$5/100,MONTH($A122)))*$C122</f>
        <v>-6906.1834792838999</v>
      </c>
      <c r="BD122" s="1021">
        <f>(VLOOKUP(YEAR($A122),'NY East Load Projections'!$A$4:$EO$14,((MONTH($A122)-1)*12)+VLOOKUP(BD$4,$DE$6:$DF$17,2)+1))*(VLOOKUP($A122,CURVES!$D$9:$T$261,8))*(INDEX(DailyScalarsTable,BD$5/100,MONTH($A122)))*$C122</f>
        <v>-8943.1419094694957</v>
      </c>
      <c r="BE122" s="1021"/>
      <c r="BF122" s="1021">
        <f>(VLOOKUP(YEAR($A122),'NY East Load Projections'!$A$4:$EO$14,((MONTH($A122)-1)*12)+VLOOKUP(BF$4,$DE$6:$DF$17,2)+1))*(VLOOKUP($A122,CURVES!$D$9:$T$261,8))*(INDEX(DailyScalarsTable,BF$5/100,MONTH($A122)))*$D122</f>
        <v>-7618.1572019738023</v>
      </c>
      <c r="BG122" s="1021">
        <f>(VLOOKUP(YEAR($A122),'NY East Load Projections'!$A$4:$EO$14,((MONTH($A122)-1)*12)+VLOOKUP(BG$4,$DE$6:$DF$17,2)+1))*(VLOOKUP($A122,CURVES!$D$9:$T$261,8))*(INDEX(DailyScalarsTable,BG$5/100,MONTH($A122)))*$D122</f>
        <v>-6683.5445708959896</v>
      </c>
      <c r="BH122" s="1021">
        <f>(VLOOKUP(YEAR($A122),'NY East Load Projections'!$A$4:$EO$14,((MONTH($A122)-1)*12)+VLOOKUP(BH$4,$DE$6:$DF$17,2)+1))*(VLOOKUP($A122,CURVES!$D$9:$T$261,8))*(INDEX(DailyScalarsTable,BH$5/100,MONTH($A122)))*$D122</f>
        <v>-6267.5161740394078</v>
      </c>
      <c r="BI122" s="1021">
        <f>(VLOOKUP(YEAR($A122),'NY East Load Projections'!$A$4:$EO$14,((MONTH($A122)-1)*12)+VLOOKUP(BI$4,$DE$6:$DF$17,2)+1))*(VLOOKUP($A122,CURVES!$D$9:$T$261,8))*(INDEX(DailyScalarsTable,BI$5/100,MONTH($A122)))*$D122</f>
        <v>-6360.3969324073905</v>
      </c>
      <c r="BJ122" s="1021">
        <f>(VLOOKUP(YEAR($A122),'NY East Load Projections'!$A$4:$EO$14,((MONTH($A122)-1)*12)+VLOOKUP(BJ$4,$DE$6:$DF$17,2)+1))*(VLOOKUP($A122,CURVES!$D$9:$T$261,8))*(INDEX(DailyScalarsTable,BJ$5/100,MONTH($A122)))*$D122</f>
        <v>-6918.0625623395263</v>
      </c>
      <c r="BK122" s="1021">
        <f>(VLOOKUP(YEAR($A122),'NY East Load Projections'!$A$4:$EO$14,((MONTH($A122)-1)*12)+VLOOKUP(BK$4,$DE$6:$DF$17,2)+1))*(VLOOKUP($A122,CURVES!$D$9:$T$261,8))*(INDEX(DailyScalarsTable,BK$5/100,MONTH($A122)))*$D122</f>
        <v>-8005.7714690133653</v>
      </c>
      <c r="BL122" s="1021">
        <f>(VLOOKUP(YEAR($A122),'NY East Load Projections'!$A$4:$EO$14,((MONTH($A122)-1)*12)+VLOOKUP(BL$4,$DE$6:$DF$17,2)+1))*(VLOOKUP($A122,CURVES!$D$9:$T$261,8))*(INDEX(DailyScalarsTable,BL$5/100,MONTH($A122)))*$D122</f>
        <v>-10886.835562317907</v>
      </c>
      <c r="BM122" s="1021">
        <f>(VLOOKUP(YEAR($A122),'NY East Load Projections'!$A$4:$EO$14,((MONTH($A122)-1)*12)+VLOOKUP(BM$4,$DE$6:$DF$17,2)+1))*(VLOOKUP($A122,SatSunCurve,8))*(INDEX(DailyScalarsTable,BM$5/100,MONTH($A122)))*$D122</f>
        <v>-8233.1317531049153</v>
      </c>
      <c r="BN122" s="1021">
        <f>(VLOOKUP(YEAR($A122),'NY East Load Projections'!$A$4:$EO$14,((MONTH($A122)-1)*12)+VLOOKUP(BN$4,$DE$6:$DF$17,2)+1))*(VLOOKUP($A122,SatSunCurve,8))*(INDEX(DailyScalarsTable,BN$5/100,MONTH($A122)))*$D122</f>
        <v>-8612.9478667761541</v>
      </c>
      <c r="BO122" s="1021">
        <f>(VLOOKUP(YEAR($A122),'NY East Load Projections'!$A$4:$EO$14,((MONTH($A122)-1)*12)+VLOOKUP(BO$4,$DE$6:$DF$17,2)+1))*(VLOOKUP($A122,SatSunCurve,8))*(INDEX(DailyScalarsTable,BO$5/100,MONTH($A122)))*$D122</f>
        <v>-10751.655569187504</v>
      </c>
      <c r="BP122" s="1021">
        <f>(VLOOKUP(YEAR($A122),'NY East Load Projections'!$A$4:$EO$14,((MONTH($A122)-1)*12)+VLOOKUP(BP$4,$DE$6:$DF$17,2)+1))*(VLOOKUP($A122,SatSunCurve,8))*(INDEX(DailyScalarsTable,BP$5/100,MONTH($A122)))*$D122</f>
        <v>-11482.270001688275</v>
      </c>
      <c r="BQ122" s="1021">
        <f>(VLOOKUP(YEAR($A122),'NY East Load Projections'!$A$4:$EO$14,((MONTH($A122)-1)*12)+VLOOKUP(BQ$4,$DE$6:$DF$17,2)+1))*(VLOOKUP($A122,SatSunCurve,8))*(INDEX(DailyScalarsTable,BQ$5/100,MONTH($A122)))*$D122</f>
        <v>-12234.470769694753</v>
      </c>
      <c r="BR122" s="1021">
        <f>(VLOOKUP(YEAR($A122),'NY East Load Projections'!$A$4:$EO$14,((MONTH($A122)-1)*12)+VLOOKUP(BR$4,$DE$6:$DF$17,2)+1))*(VLOOKUP($A122,SatSunCurve,8))*(INDEX(DailyScalarsTable,BR$5/100,MONTH($A122)))*$D122</f>
        <v>-11800.442505078794</v>
      </c>
      <c r="BS122" s="1021">
        <f>(VLOOKUP(YEAR($A122),'NY East Load Projections'!$A$4:$EO$14,((MONTH($A122)-1)*12)+VLOOKUP(BS$4,$DE$6:$DF$17,2)+1))*(VLOOKUP($A122,SatSunCurve,8))*(INDEX(DailyScalarsTable,BS$5/100,MONTH($A122)))*$D122</f>
        <v>-12774.355873877459</v>
      </c>
      <c r="BT122" s="1021">
        <f>(VLOOKUP(YEAR($A122),'NY East Load Projections'!$A$4:$EO$14,((MONTH($A122)-1)*12)+VLOOKUP(BT$4,$DE$6:$DF$17,2)+1))*(VLOOKUP($A122,SatSunCurve,8))*(INDEX(DailyScalarsTable,BT$5/100,MONTH($A122)))*$D122</f>
        <v>-12572.798150595656</v>
      </c>
      <c r="BU122" s="1021">
        <f>(VLOOKUP(YEAR($A122),'NY East Load Projections'!$A$4:$EO$14,((MONTH($A122)-1)*12)+VLOOKUP(BU$4,$DE$6:$DF$17,2)+1))*(VLOOKUP($A122,SatSunCurve,8))*(INDEX(DailyScalarsTable,BU$5/100,MONTH($A122)))*$D122</f>
        <v>-12179.845278315148</v>
      </c>
      <c r="BV122" s="1021">
        <f>(VLOOKUP(YEAR($A122),'NY East Load Projections'!$A$4:$EO$14,((MONTH($A122)-1)*12)+VLOOKUP(BV$4,$DE$6:$DF$17,2)+1))*(VLOOKUP($A122,SatSunCurve,8))*(INDEX(DailyScalarsTable,BV$5/100,MONTH($A122)))*$D122</f>
        <v>-12798.435790911237</v>
      </c>
      <c r="BW122" s="1021">
        <f>(VLOOKUP(YEAR($A122),'NY East Load Projections'!$A$4:$EO$14,((MONTH($A122)-1)*12)+VLOOKUP(BW$4,$DE$6:$DF$17,2)+1))*(VLOOKUP($A122,SatSunCurve,8))*(INDEX(DailyScalarsTable,BW$5/100,MONTH($A122)))*$D122</f>
        <v>-12484.465125930843</v>
      </c>
      <c r="BX122" s="1021">
        <f>(VLOOKUP(YEAR($A122),'NY East Load Projections'!$A$4:$EO$14,((MONTH($A122)-1)*12)+VLOOKUP(BX$4,$DE$6:$DF$17,2)+1))*(VLOOKUP($A122,SatSunCurve,8))*(INDEX(DailyScalarsTable,BX$5/100,MONTH($A122)))*$D122</f>
        <v>-10225.528815256126</v>
      </c>
      <c r="BY122" s="1021">
        <f>(VLOOKUP(YEAR($A122),'NY East Load Projections'!$A$4:$EO$14,((MONTH($A122)-1)*12)+VLOOKUP(BY$4,$DE$6:$DF$17,2)+1))*(VLOOKUP($A122,SatSunCurve,8))*(INDEX(DailyScalarsTable,BY$5/100,MONTH($A122)))*$D122</f>
        <v>-13363.58298787594</v>
      </c>
      <c r="BZ122" s="1021">
        <f>(VLOOKUP(YEAR($A122),'NY East Load Projections'!$A$4:$EO$14,((MONTH($A122)-1)*12)+VLOOKUP(BZ$4,$DE$6:$DF$17,2)+1))*(VLOOKUP($A122,SatSunCurve,8))*(INDEX(DailyScalarsTable,BZ$5/100,MONTH($A122)))*$D122</f>
        <v>-13064.354919145011</v>
      </c>
      <c r="CA122" s="1021">
        <f>(VLOOKUP(YEAR($A122),'NY East Load Projections'!$A$4:$EO$14,((MONTH($A122)-1)*12)+VLOOKUP(CA$4,$DE$6:$DF$17,2)+1))*(VLOOKUP($A122,SatSunCurve,8))*(INDEX(DailyScalarsTable,CA$5/100,MONTH($A122)))*$D122</f>
        <v>-9943.2654682626817</v>
      </c>
      <c r="CB122" s="1021">
        <f>(VLOOKUP(YEAR($A122),'NY East Load Projections'!$A$4:$EO$14,((MONTH($A122)-1)*12)+VLOOKUP(CB$4,$DE$6:$DF$17,2)+1))*(VLOOKUP($A122,SatSunCurve,8))*(INDEX(DailyScalarsTable,CB$5/100,MONTH($A122)))*$D122</f>
        <v>-7879.6293220940861</v>
      </c>
      <c r="CC122" s="1021">
        <f>(VLOOKUP(YEAR($A122),'NY East Load Projections'!$A$4:$EO$14,((MONTH($A122)-1)*12)+VLOOKUP(CC$4,$DE$6:$DF$17,2)+1))*(VLOOKUP($A122,CURVES!$D$9:$T$261,8))*(INDEX(DailyScalarsTable,CC$5/100,MONTH($A122)))*$D122</f>
        <v>-8943.1419094694957</v>
      </c>
      <c r="CE122" s="1021">
        <f>(VLOOKUP(YEAR($A122),'NY East Load Projections'!$A$4:$EO$14,((MONTH($A122)-1)*12)+VLOOKUP(CE$4,$DE$6:$DF$17,2)+1))*(VLOOKUP($A122,CURVES!$D$9:$T$261,8))*(INDEX(DailyScalarsTable,CE$5/100,MONTH($A122)))*$E122</f>
        <v>-1904.5393004934506</v>
      </c>
      <c r="CF122" s="1021">
        <f>(VLOOKUP(YEAR($A122),'NY East Load Projections'!$A$4:$EO$14,((MONTH($A122)-1)*12)+VLOOKUP(CF$4,$DE$6:$DF$17,2)+1))*(VLOOKUP($A122,CURVES!$D$9:$T$261,8))*(INDEX(DailyScalarsTable,CF$5/100,MONTH($A122)))*$E122</f>
        <v>-1670.8861427239974</v>
      </c>
      <c r="CG122" s="1021">
        <f>(VLOOKUP(YEAR($A122),'NY East Load Projections'!$A$4:$EO$14,((MONTH($A122)-1)*12)+VLOOKUP(CG$4,$DE$6:$DF$17,2)+1))*(VLOOKUP($A122,CURVES!$D$9:$T$261,8))*(INDEX(DailyScalarsTable,CG$5/100,MONTH($A122)))*$E122</f>
        <v>-1566.879043509852</v>
      </c>
      <c r="CH122" s="1021">
        <f>(VLOOKUP(YEAR($A122),'NY East Load Projections'!$A$4:$EO$14,((MONTH($A122)-1)*12)+VLOOKUP(CH$4,$DE$6:$DF$17,2)+1))*(VLOOKUP($A122,CURVES!$D$9:$T$261,8))*(INDEX(DailyScalarsTable,CH$5/100,MONTH($A122)))*$E122</f>
        <v>-1590.0992331018476</v>
      </c>
      <c r="CI122" s="1021">
        <f>(VLOOKUP(YEAR($A122),'NY East Load Projections'!$A$4:$EO$14,((MONTH($A122)-1)*12)+VLOOKUP(CI$4,$DE$6:$DF$17,2)+1))*(VLOOKUP($A122,CURVES!$D$9:$T$261,8))*(INDEX(DailyScalarsTable,CI$5/100,MONTH($A122)))*$E122</f>
        <v>-1729.5156405848816</v>
      </c>
      <c r="CJ122" s="1021">
        <f>(VLOOKUP(YEAR($A122),'NY East Load Projections'!$A$4:$EO$14,((MONTH($A122)-1)*12)+VLOOKUP(CJ$4,$DE$6:$DF$17,2)+1))*(VLOOKUP($A122,CURVES!$D$9:$T$261,8))*(INDEX(DailyScalarsTable,CJ$5/100,MONTH($A122)))*$E122</f>
        <v>-2001.4428672533413</v>
      </c>
      <c r="CK122" s="1021">
        <f>(VLOOKUP(YEAR($A122),'NY East Load Projections'!$A$4:$EO$14,((MONTH($A122)-1)*12)+VLOOKUP(CK$4,$DE$6:$DF$17,2)+1))*(VLOOKUP($A122,CURVES!$D$9:$T$261,8))*(INDEX(DailyScalarsTable,CK$5/100,MONTH($A122)))*$E122</f>
        <v>-2721.7088905794767</v>
      </c>
      <c r="CL122" s="1021">
        <f>(VLOOKUP(YEAR($A122),'NY East Load Projections'!$A$4:$EO$14,((MONTH($A122)-1)*12)+VLOOKUP(CL$4,$DE$6:$DF$17,2)+1))*(VLOOKUP($A122,SatSunCurve,8))*(INDEX(DailyScalarsTable,CL$5/100,MONTH($A122)))*$E122</f>
        <v>-2058.2829382762288</v>
      </c>
      <c r="CM122" s="1021">
        <f>(VLOOKUP(YEAR($A122),'NY East Load Projections'!$A$4:$EO$14,((MONTH($A122)-1)*12)+VLOOKUP(CM$4,$DE$6:$DF$17,2)+1))*(VLOOKUP($A122,SatSunCurve,8))*(INDEX(DailyScalarsTable,CM$5/100,MONTH($A122)))*$E122</f>
        <v>-2153.2369666940385</v>
      </c>
      <c r="CN122" s="1021">
        <f>(VLOOKUP(YEAR($A122),'NY East Load Projections'!$A$4:$EO$14,((MONTH($A122)-1)*12)+VLOOKUP(CN$4,$DE$6:$DF$17,2)+1))*(VLOOKUP($A122,SatSunCurve,8))*(INDEX(DailyScalarsTable,CN$5/100,MONTH($A122)))*$E122</f>
        <v>-2687.9138922968759</v>
      </c>
      <c r="CO122" s="1021">
        <f>(VLOOKUP(YEAR($A122),'NY East Load Projections'!$A$4:$EO$14,((MONTH($A122)-1)*12)+VLOOKUP(CO$4,$DE$6:$DF$17,2)+1))*(VLOOKUP($A122,SatSunCurve,8))*(INDEX(DailyScalarsTable,CO$5/100,MONTH($A122)))*$E122</f>
        <v>-2870.5675004220689</v>
      </c>
      <c r="CP122" s="1021">
        <f>(VLOOKUP(YEAR($A122),'NY East Load Projections'!$A$4:$EO$14,((MONTH($A122)-1)*12)+VLOOKUP(CP$4,$DE$6:$DF$17,2)+1))*(VLOOKUP($A122,SatSunCurve,8))*(INDEX(DailyScalarsTable,CP$5/100,MONTH($A122)))*$E122</f>
        <v>-3058.6176924236884</v>
      </c>
      <c r="CQ122" s="1021">
        <f>(VLOOKUP(YEAR($A122),'NY East Load Projections'!$A$4:$EO$14,((MONTH($A122)-1)*12)+VLOOKUP(CQ$4,$DE$6:$DF$17,2)+1))*(VLOOKUP($A122,SatSunCurve,8))*(INDEX(DailyScalarsTable,CQ$5/100,MONTH($A122)))*$E122</f>
        <v>-2950.1106262696985</v>
      </c>
      <c r="CR122" s="1021">
        <f>(VLOOKUP(YEAR($A122),'NY East Load Projections'!$A$4:$EO$14,((MONTH($A122)-1)*12)+VLOOKUP(CR$4,$DE$6:$DF$17,2)+1))*(VLOOKUP($A122,SatSunCurve,8))*(INDEX(DailyScalarsTable,CR$5/100,MONTH($A122)))*$E122</f>
        <v>-3193.5889684693648</v>
      </c>
      <c r="CS122" s="1021">
        <f>(VLOOKUP(YEAR($A122),'NY East Load Projections'!$A$4:$EO$14,((MONTH($A122)-1)*12)+VLOOKUP(CS$4,$DE$6:$DF$17,2)+1))*(VLOOKUP($A122,SatSunCurve,8))*(INDEX(DailyScalarsTable,CS$5/100,MONTH($A122)))*$E122</f>
        <v>-3143.199537648914</v>
      </c>
      <c r="CT122" s="1021">
        <f>(VLOOKUP(YEAR($A122),'NY East Load Projections'!$A$4:$EO$14,((MONTH($A122)-1)*12)+VLOOKUP(CT$4,$DE$6:$DF$17,2)+1))*(VLOOKUP($A122,SatSunCurve,8))*(INDEX(DailyScalarsTable,CT$5/100,MONTH($A122)))*$E122</f>
        <v>-3044.961319578787</v>
      </c>
      <c r="CU122" s="1021">
        <f>(VLOOKUP(YEAR($A122),'NY East Load Projections'!$A$4:$EO$14,((MONTH($A122)-1)*12)+VLOOKUP(CU$4,$DE$6:$DF$17,2)+1))*(VLOOKUP($A122,SatSunCurve,8))*(INDEX(DailyScalarsTable,CU$5/100,MONTH($A122)))*$E122</f>
        <v>-3199.6089477278092</v>
      </c>
      <c r="CV122" s="1021">
        <f>(VLOOKUP(YEAR($A122),'NY East Load Projections'!$A$4:$EO$14,((MONTH($A122)-1)*12)+VLOOKUP(CV$4,$DE$6:$DF$17,2)+1))*(VLOOKUP($A122,SatSunCurve,8))*(INDEX(DailyScalarsTable,CV$5/100,MONTH($A122)))*$E122</f>
        <v>-3121.1162814827107</v>
      </c>
      <c r="CW122" s="1021">
        <f>(VLOOKUP(YEAR($A122),'NY East Load Projections'!$A$4:$EO$14,((MONTH($A122)-1)*12)+VLOOKUP(CW$4,$DE$6:$DF$17,2)+1))*(VLOOKUP($A122,SatSunCurve,8))*(INDEX(DailyScalarsTable,CW$5/100,MONTH($A122)))*$E122</f>
        <v>-2556.3822038140315</v>
      </c>
      <c r="CX122" s="1021">
        <f>(VLOOKUP(YEAR($A122),'NY East Load Projections'!$A$4:$EO$14,((MONTH($A122)-1)*12)+VLOOKUP(CX$4,$DE$6:$DF$17,2)+1))*(VLOOKUP($A122,SatSunCurve,8))*(INDEX(DailyScalarsTable,CX$5/100,MONTH($A122)))*$E122</f>
        <v>-3340.8957469689849</v>
      </c>
      <c r="CY122" s="1021">
        <f>(VLOOKUP(YEAR($A122),'NY East Load Projections'!$A$4:$EO$14,((MONTH($A122)-1)*12)+VLOOKUP(CY$4,$DE$6:$DF$17,2)+1))*(VLOOKUP($A122,SatSunCurve,8))*(INDEX(DailyScalarsTable,CY$5/100,MONTH($A122)))*$E122</f>
        <v>-3266.0887297862528</v>
      </c>
      <c r="CZ122" s="1021">
        <f>(VLOOKUP(YEAR($A122),'NY East Load Projections'!$A$4:$EO$14,((MONTH($A122)-1)*12)+VLOOKUP(CZ$4,$DE$6:$DF$17,2)+1))*(VLOOKUP($A122,SatSunCurve,8))*(INDEX(DailyScalarsTable,CZ$5/100,MONTH($A122)))*$E122</f>
        <v>-2485.8163670656704</v>
      </c>
      <c r="DA122" s="1021">
        <f>(VLOOKUP(YEAR($A122),'NY East Load Projections'!$A$4:$EO$14,((MONTH($A122)-1)*12)+VLOOKUP(DA$4,$DE$6:$DF$17,2)+1))*(VLOOKUP($A122,SatSunCurve,8))*(INDEX(DailyScalarsTable,DA$5/100,MONTH($A122)))*$E122</f>
        <v>-1969.9073305235215</v>
      </c>
      <c r="DB122" s="1021">
        <f>(VLOOKUP(YEAR($A122),'NY East Load Projections'!$A$4:$EO$14,((MONTH($A122)-1)*12)+VLOOKUP(DB$4,$DE$6:$DF$17,2)+1))*(VLOOKUP($A122,CURVES!$D$9:$T$261,8))*(INDEX(DailyScalarsTable,DB$5/100,MONTH($A122)))*$E122</f>
        <v>-2235.7854773673739</v>
      </c>
      <c r="DH122" s="1021">
        <f t="shared" si="2"/>
        <v>-1987190.1610514596</v>
      </c>
      <c r="DI122">
        <f ca="1">CALC!J142</f>
        <v>0.46080758483535578</v>
      </c>
      <c r="DJ122" s="1029">
        <f t="shared" ca="1" si="3"/>
        <v>-915712.29872270476</v>
      </c>
    </row>
    <row r="123" spans="1:114" x14ac:dyDescent="0.25">
      <c r="A123" s="244">
        <v>40452</v>
      </c>
      <c r="B123" s="13">
        <v>21</v>
      </c>
      <c r="C123" s="210">
        <v>5</v>
      </c>
      <c r="D123" s="210">
        <v>5</v>
      </c>
      <c r="E123" s="210">
        <v>0</v>
      </c>
      <c r="F123" s="13">
        <v>31</v>
      </c>
      <c r="H123" s="1021">
        <f>(VLOOKUP(YEAR($A123),'NY East Load Projections'!$A$4:$EO$14,((MONTH($A123)-1)*12)+VLOOKUP(H$4,$DE$6:$DF$17,2)+1))*(VLOOKUP($A123,CURVES!$D$9:$K$261,8))*(INDEX(DailyScalarsTable,H$5/100,MONTH($A123)))*$B123</f>
        <v>0</v>
      </c>
      <c r="I123" s="1021">
        <f>(VLOOKUP(YEAR($A123),'NY East Load Projections'!$A$4:$EO$14,((MONTH($A123)-1)*12)+VLOOKUP(I$4,$DE$6:$DF$17,2)+1))*(VLOOKUP($A123,CURVES!$D$9:$K$261,8))*(INDEX(DailyScalarsTable,I$5/100,MONTH($A123)))*$B123</f>
        <v>0</v>
      </c>
      <c r="J123" s="1021">
        <f>(VLOOKUP(YEAR($A123),'NY East Load Projections'!$A$4:$EO$14,((MONTH($A123)-1)*12)+VLOOKUP(J$4,$DE$6:$DF$17,2)+1))*(VLOOKUP($A123,CURVES!$D$9:$K$261,8))*(INDEX(DailyScalarsTable,J$5/100,MONTH($A123)))*$B123</f>
        <v>0</v>
      </c>
      <c r="K123" s="1021">
        <f>(VLOOKUP(YEAR($A123),'NY East Load Projections'!$A$4:$EO$14,((MONTH($A123)-1)*12)+VLOOKUP(K$4,$DE$6:$DF$17,2)+1))*(VLOOKUP($A123,CURVES!$D$9:$K$261,8))*(INDEX(DailyScalarsTable,K$5/100,MONTH($A123)))*$B123</f>
        <v>0</v>
      </c>
      <c r="L123" s="1021">
        <f>(VLOOKUP(YEAR($A123),'NY East Load Projections'!$A$4:$EO$14,((MONTH($A123)-1)*12)+VLOOKUP(L$4,$DE$6:$DF$17,2)+1))*(VLOOKUP($A123,CURVES!$D$9:$K$261,8))*(INDEX(DailyScalarsTable,L$5/100,MONTH($A123)))*$B123</f>
        <v>0</v>
      </c>
      <c r="M123" s="1021">
        <f>(VLOOKUP(YEAR($A123),'NY East Load Projections'!$A$4:$EO$14,((MONTH($A123)-1)*12)+VLOOKUP(M$4,$DE$6:$DF$17,2)+1))*(VLOOKUP($A123,CURVES!$D$9:$K$261,8))*(INDEX(DailyScalarsTable,M$5/100,MONTH($A123)))*$B123</f>
        <v>0</v>
      </c>
      <c r="N123" s="1021">
        <f>(VLOOKUP(YEAR($A123),'NY East Load Projections'!$A$4:$EO$14,((MONTH($A123)-1)*12)+VLOOKUP(N$4,$DE$6:$DF$17,2)+1))*(VLOOKUP($A123,CURVES!$D$9:$K$261,8))*(INDEX(DailyScalarsTable,N$5/100,MONTH($A123)))*$B123</f>
        <v>0</v>
      </c>
      <c r="O123" s="1021">
        <f>(VLOOKUP(YEAR($A123),'NY East Load Projections'!$A$4:$EO$14,((MONTH($A123)-1)*12)+VLOOKUP(O$4,$DE$6:$DF$17,2)+1))*(VLOOKUP($A123,CURVES!$D$9:$K$261,4))*(INDEX(DailyScalarsTable,O$5/100,MONTH($A123)))*$B123</f>
        <v>0</v>
      </c>
      <c r="P123" s="1021">
        <f>(VLOOKUP(YEAR($A123),'NY East Load Projections'!$A$4:$EO$14,((MONTH($A123)-1)*12)+VLOOKUP(P$4,$DE$6:$DF$17,2)+1))*(VLOOKUP($A123,CURVES!$D$9:$K$261,4))*(INDEX(DailyScalarsTable,P$5/100,MONTH($A123)))*$B123</f>
        <v>0</v>
      </c>
      <c r="Q123" s="1021">
        <f>(VLOOKUP(YEAR($A123),'NY East Load Projections'!$A$4:$EO$14,((MONTH($A123)-1)*12)+VLOOKUP(Q$4,$DE$6:$DF$17,2)+1))*(VLOOKUP($A123,CURVES!$D$9:$K$261,4))*(INDEX(DailyScalarsTable,Q$5/100,MONTH($A123)))*$B123</f>
        <v>0</v>
      </c>
      <c r="R123" s="1021">
        <f>(VLOOKUP(YEAR($A123),'NY East Load Projections'!$A$4:$EO$14,((MONTH($A123)-1)*12)+VLOOKUP(R$4,$DE$6:$DF$17,2)+1))*(VLOOKUP($A123,CURVES!$D$9:$K$261,4))*(INDEX(DailyScalarsTable,R$5/100,MONTH($A123)))*$B123</f>
        <v>0</v>
      </c>
      <c r="S123" s="1021">
        <f>(VLOOKUP(YEAR($A123),'NY East Load Projections'!$A$4:$EO$14,((MONTH($A123)-1)*12)+VLOOKUP(S$4,$DE$6:$DF$17,2)+1))*(VLOOKUP($A123,CURVES!$D$9:$K$261,4))*(INDEX(DailyScalarsTable,S$5/100,MONTH($A123)))*$B123</f>
        <v>0</v>
      </c>
      <c r="T123" s="1021">
        <f>(VLOOKUP(YEAR($A123),'NY East Load Projections'!$A$4:$EO$14,((MONTH($A123)-1)*12)+VLOOKUP(T$4,$DE$6:$DF$17,2)+1))*(VLOOKUP($A123,CURVES!$D$9:$K$261,4))*(INDEX(DailyScalarsTable,T$5/100,MONTH($A123)))*$B123</f>
        <v>0</v>
      </c>
      <c r="U123" s="1021">
        <f>(VLOOKUP(YEAR($A123),'NY East Load Projections'!$A$4:$EO$14,((MONTH($A123)-1)*12)+VLOOKUP(U$4,$DE$6:$DF$17,2)+1))*(VLOOKUP($A123,CURVES!$D$9:$K$261,4))*(INDEX(DailyScalarsTable,U$5/100,MONTH($A123)))*$B123</f>
        <v>0</v>
      </c>
      <c r="V123" s="1021">
        <f>(VLOOKUP(YEAR($A123),'NY East Load Projections'!$A$4:$EO$14,((MONTH($A123)-1)*12)+VLOOKUP(V$4,$DE$6:$DF$17,2)+1))*(VLOOKUP($A123,CURVES!$D$9:$K$261,4))*(INDEX(DailyScalarsTable,V$5/100,MONTH($A123)))*$B123</f>
        <v>0</v>
      </c>
      <c r="W123" s="1021">
        <f>(VLOOKUP(YEAR($A123),'NY East Load Projections'!$A$4:$EO$14,((MONTH($A123)-1)*12)+VLOOKUP(W$4,$DE$6:$DF$17,2)+1))*(VLOOKUP($A123,CURVES!$D$9:$K$261,4))*(INDEX(DailyScalarsTable,W$5/100,MONTH($A123)))*$B123</f>
        <v>0</v>
      </c>
      <c r="X123" s="1021">
        <f>(VLOOKUP(YEAR($A123),'NY East Load Projections'!$A$4:$EO$14,((MONTH($A123)-1)*12)+VLOOKUP(X$4,$DE$6:$DF$17,2)+1))*(VLOOKUP($A123,CURVES!$D$9:$K$261,4))*(INDEX(DailyScalarsTable,X$5/100,MONTH($A123)))*$B123</f>
        <v>0</v>
      </c>
      <c r="Y123" s="1021">
        <f>(VLOOKUP(YEAR($A123),'NY East Load Projections'!$A$4:$EO$14,((MONTH($A123)-1)*12)+VLOOKUP(Y$4,$DE$6:$DF$17,2)+1))*(VLOOKUP($A123,CURVES!$D$9:$K$261,4))*(INDEX(DailyScalarsTable,Y$5/100,MONTH($A123)))*$B123</f>
        <v>0</v>
      </c>
      <c r="Z123" s="1021">
        <f>(VLOOKUP(YEAR($A123),'NY East Load Projections'!$A$4:$EO$14,((MONTH($A123)-1)*12)+VLOOKUP(Z$4,$DE$6:$DF$17,2)+1))*(VLOOKUP($A123,CURVES!$D$9:$K$261,4))*(INDEX(DailyScalarsTable,Z$5/100,MONTH($A123)))*$B123</f>
        <v>0</v>
      </c>
      <c r="AA123" s="1021">
        <f>(VLOOKUP(YEAR($A123),'NY East Load Projections'!$A$4:$EO$14,((MONTH($A123)-1)*12)+VLOOKUP(AA$4,$DE$6:$DF$17,2)+1))*(VLOOKUP($A123,CURVES!$D$9:$K$261,4))*(INDEX(DailyScalarsTable,AA$5/100,MONTH($A123)))*$B123</f>
        <v>0</v>
      </c>
      <c r="AB123" s="1021">
        <f>(VLOOKUP(YEAR($A123),'NY East Load Projections'!$A$4:$EO$14,((MONTH($A123)-1)*12)+VLOOKUP(AB$4,$DE$6:$DF$17,2)+1))*(VLOOKUP($A123,CURVES!$D$9:$K$261,4))*(INDEX(DailyScalarsTable,AB$5/100,MONTH($A123)))*$B123</f>
        <v>0</v>
      </c>
      <c r="AC123" s="1021">
        <f>(VLOOKUP(YEAR($A123),'NY East Load Projections'!$A$4:$EO$14,((MONTH($A123)-1)*12)+VLOOKUP(AC$4,$DE$6:$DF$17,2)+1))*(VLOOKUP($A123,CURVES!$D$9:$K$261,4))*(INDEX(DailyScalarsTable,AC$5/100,MONTH($A123)))*$B123</f>
        <v>0</v>
      </c>
      <c r="AD123" s="1021">
        <f>(VLOOKUP(YEAR($A123),'NY East Load Projections'!$A$4:$EO$14,((MONTH($A123)-1)*12)+VLOOKUP(AD$4,$DE$6:$DF$17,2)+1))*(VLOOKUP($A123,CURVES!$D$9:$K$261,4))*(INDEX(DailyScalarsTable,AD$5/100,MONTH($A123)))*$B123</f>
        <v>0</v>
      </c>
      <c r="AE123" s="1021">
        <f>(VLOOKUP(YEAR($A123),'NY East Load Projections'!$A$4:$EO$14,((MONTH($A123)-1)*12)+VLOOKUP(AE$4,$DE$6:$DF$17,2)+1))*(VLOOKUP($A123,CURVES!$D$9:$K$261,8))*(INDEX(DailyScalarsTable,AE$5/100,MONTH($A123)))*$B123</f>
        <v>0</v>
      </c>
      <c r="AF123" s="1021"/>
      <c r="AG123" s="1021">
        <f>(VLOOKUP(YEAR($A123),'NY East Load Projections'!$A$4:$EO$14,((MONTH($A123)-1)*12)+VLOOKUP(AG$4,$DE$6:$DF$17,2)+1))*(VLOOKUP($A123,CURVES!$D$9:$T$261,8))*(INDEX(DailyScalarsTable,AG$5/100,MONTH($A123)))*$C123</f>
        <v>0</v>
      </c>
      <c r="AH123" s="1021">
        <f>(VLOOKUP(YEAR($A123),'NY East Load Projections'!$A$4:$EO$14,((MONTH($A123)-1)*12)+VLOOKUP(AH$4,$DE$6:$DF$17,2)+1))*(VLOOKUP($A123,CURVES!$D$9:$T$261,8))*(INDEX(DailyScalarsTable,AH$5/100,MONTH($A123)))*$C123</f>
        <v>0</v>
      </c>
      <c r="AI123" s="1021">
        <f>(VLOOKUP(YEAR($A123),'NY East Load Projections'!$A$4:$EO$14,((MONTH($A123)-1)*12)+VLOOKUP(AI$4,$DE$6:$DF$17,2)+1))*(VLOOKUP($A123,CURVES!$D$9:$T$261,8))*(INDEX(DailyScalarsTable,AI$5/100,MONTH($A123)))*$C123</f>
        <v>0</v>
      </c>
      <c r="AJ123" s="1021">
        <f>(VLOOKUP(YEAR($A123),'NY East Load Projections'!$A$4:$EO$14,((MONTH($A123)-1)*12)+VLOOKUP(AJ$4,$DE$6:$DF$17,2)+1))*(VLOOKUP($A123,CURVES!$D$9:$T$261,8))*(INDEX(DailyScalarsTable,AJ$5/100,MONTH($A123)))*$C123</f>
        <v>0</v>
      </c>
      <c r="AK123" s="1021">
        <f>(VLOOKUP(YEAR($A123),'NY East Load Projections'!$A$4:$EO$14,((MONTH($A123)-1)*12)+VLOOKUP(AK$4,$DE$6:$DF$17,2)+1))*(VLOOKUP($A123,CURVES!$D$9:$T$261,8))*(INDEX(DailyScalarsTable,AK$5/100,MONTH($A123)))*$C123</f>
        <v>0</v>
      </c>
      <c r="AL123" s="1021">
        <f>(VLOOKUP(YEAR($A123),'NY East Load Projections'!$A$4:$EO$14,((MONTH($A123)-1)*12)+VLOOKUP(AL$4,$DE$6:$DF$17,2)+1))*(VLOOKUP($A123,CURVES!$D$9:$T$261,8))*(INDEX(DailyScalarsTable,AL$5/100,MONTH($A123)))*$C123</f>
        <v>0</v>
      </c>
      <c r="AM123" s="1021">
        <f>(VLOOKUP(YEAR($A123),'NY East Load Projections'!$A$4:$EO$14,((MONTH($A123)-1)*12)+VLOOKUP(AM$4,$DE$6:$DF$17,2)+1))*(VLOOKUP($A123,CURVES!$D$9:$T$261,8))*(INDEX(DailyScalarsTable,AM$5/100,MONTH($A123)))*$C123</f>
        <v>0</v>
      </c>
      <c r="AN123" s="1021">
        <f>(VLOOKUP(YEAR($A123),'NY East Load Projections'!$A$4:$EO$14,((MONTH($A123)-1)*12)+VLOOKUP(AN$4,$DE$6:$DF$17,2)+1))*(VLOOKUP($A123,SatSunCurve,4))*(INDEX(DailyScalarsTable,AN$5/100,MONTH($A123)))*$C123</f>
        <v>0</v>
      </c>
      <c r="AO123" s="1021">
        <f>(VLOOKUP(YEAR($A123),'NY East Load Projections'!$A$4:$EO$14,((MONTH($A123)-1)*12)+VLOOKUP(AO$4,$DE$6:$DF$17,2)+1))*(VLOOKUP($A123,SatSunCurve,4))*(INDEX(DailyScalarsTable,AO$5/100,MONTH($A123)))*$C123</f>
        <v>0</v>
      </c>
      <c r="AP123" s="1021">
        <f>(VLOOKUP(YEAR($A123),'NY East Load Projections'!$A$4:$EO$14,((MONTH($A123)-1)*12)+VLOOKUP(AP$4,$DE$6:$DF$17,2)+1))*(VLOOKUP($A123,SatSunCurve,4))*(INDEX(DailyScalarsTable,AP$5/100,MONTH($A123)))*$C123</f>
        <v>0</v>
      </c>
      <c r="AQ123" s="1021">
        <f>(VLOOKUP(YEAR($A123),'NY East Load Projections'!$A$4:$EO$14,((MONTH($A123)-1)*12)+VLOOKUP(AQ$4,$DE$6:$DF$17,2)+1))*(VLOOKUP($A123,SatSunCurve,4))*(INDEX(DailyScalarsTable,AQ$5/100,MONTH($A123)))*$C123</f>
        <v>0</v>
      </c>
      <c r="AR123" s="1021">
        <f>(VLOOKUP(YEAR($A123),'NY East Load Projections'!$A$4:$EO$14,((MONTH($A123)-1)*12)+VLOOKUP(AR$4,$DE$6:$DF$17,2)+1))*(VLOOKUP($A123,SatSunCurve,4))*(INDEX(DailyScalarsTable,AR$5/100,MONTH($A123)))*$C123</f>
        <v>0</v>
      </c>
      <c r="AS123" s="1021">
        <f>(VLOOKUP(YEAR($A123),'NY East Load Projections'!$A$4:$EO$14,((MONTH($A123)-1)*12)+VLOOKUP(AS$4,$DE$6:$DF$17,2)+1))*(VLOOKUP($A123,SatSunCurve,4))*(INDEX(DailyScalarsTable,AS$5/100,MONTH($A123)))*$C123</f>
        <v>0</v>
      </c>
      <c r="AT123" s="1021">
        <f>(VLOOKUP(YEAR($A123),'NY East Load Projections'!$A$4:$EO$14,((MONTH($A123)-1)*12)+VLOOKUP(AT$4,$DE$6:$DF$17,2)+1))*(VLOOKUP($A123,SatSunCurve,4))*(INDEX(DailyScalarsTable,AT$5/100,MONTH($A123)))*$C123</f>
        <v>0</v>
      </c>
      <c r="AU123" s="1021">
        <f>(VLOOKUP(YEAR($A123),'NY East Load Projections'!$A$4:$EO$14,((MONTH($A123)-1)*12)+VLOOKUP(AU$4,$DE$6:$DF$17,2)+1))*(VLOOKUP($A123,SatSunCurve,4))*(INDEX(DailyScalarsTable,AU$5/100,MONTH($A123)))*$C123</f>
        <v>0</v>
      </c>
      <c r="AV123" s="1021">
        <f>(VLOOKUP(YEAR($A123),'NY East Load Projections'!$A$4:$EO$14,((MONTH($A123)-1)*12)+VLOOKUP(AV$4,$DE$6:$DF$17,2)+1))*(VLOOKUP($A123,SatSunCurve,4))*(INDEX(DailyScalarsTable,AV$5/100,MONTH($A123)))*$C123</f>
        <v>0</v>
      </c>
      <c r="AW123" s="1021">
        <f>(VLOOKUP(YEAR($A123),'NY East Load Projections'!$A$4:$EO$14,((MONTH($A123)-1)*12)+VLOOKUP(AW$4,$DE$6:$DF$17,2)+1))*(VLOOKUP($A123,SatSunCurve,4))*(INDEX(DailyScalarsTable,AW$5/100,MONTH($A123)))*$C123</f>
        <v>0</v>
      </c>
      <c r="AX123" s="1021">
        <f>(VLOOKUP(YEAR($A123),'NY East Load Projections'!$A$4:$EO$14,((MONTH($A123)-1)*12)+VLOOKUP(AX$4,$DE$6:$DF$17,2)+1))*(VLOOKUP($A123,SatSunCurve,4))*(INDEX(DailyScalarsTable,AX$5/100,MONTH($A123)))*$C123</f>
        <v>0</v>
      </c>
      <c r="AY123" s="1021">
        <f>(VLOOKUP(YEAR($A123),'NY East Load Projections'!$A$4:$EO$14,((MONTH($A123)-1)*12)+VLOOKUP(AY$4,$DE$6:$DF$17,2)+1))*(VLOOKUP($A123,SatSunCurve,4))*(INDEX(DailyScalarsTable,AY$5/100,MONTH($A123)))*$C123</f>
        <v>0</v>
      </c>
      <c r="AZ123" s="1021">
        <f>(VLOOKUP(YEAR($A123),'NY East Load Projections'!$A$4:$EO$14,((MONTH($A123)-1)*12)+VLOOKUP(AZ$4,$DE$6:$DF$17,2)+1))*(VLOOKUP($A123,SatSunCurve,4))*(INDEX(DailyScalarsTable,AZ$5/100,MONTH($A123)))*$C123</f>
        <v>0</v>
      </c>
      <c r="BA123" s="1021">
        <f>(VLOOKUP(YEAR($A123),'NY East Load Projections'!$A$4:$EO$14,((MONTH($A123)-1)*12)+VLOOKUP(BA$4,$DE$6:$DF$17,2)+1))*(VLOOKUP($A123,SatSunCurve,4))*(INDEX(DailyScalarsTable,BA$5/100,MONTH($A123)))*$C123</f>
        <v>0</v>
      </c>
      <c r="BB123" s="1021">
        <f>(VLOOKUP(YEAR($A123),'NY East Load Projections'!$A$4:$EO$14,((MONTH($A123)-1)*12)+VLOOKUP(BB$4,$DE$6:$DF$17,2)+1))*(VLOOKUP($A123,SatSunCurve,4))*(INDEX(DailyScalarsTable,BB$5/100,MONTH($A123)))*$C123</f>
        <v>0</v>
      </c>
      <c r="BC123" s="1021">
        <f>(VLOOKUP(YEAR($A123),'NY East Load Projections'!$A$4:$EO$14,((MONTH($A123)-1)*12)+VLOOKUP(BC$4,$DE$6:$DF$17,2)+1))*(VLOOKUP($A123,SatSunCurve,4))*(INDEX(DailyScalarsTable,BC$5/100,MONTH($A123)))*$C123</f>
        <v>0</v>
      </c>
      <c r="BD123" s="1021">
        <f>(VLOOKUP(YEAR($A123),'NY East Load Projections'!$A$4:$EO$14,((MONTH($A123)-1)*12)+VLOOKUP(BD$4,$DE$6:$DF$17,2)+1))*(VLOOKUP($A123,CURVES!$D$9:$T$261,8))*(INDEX(DailyScalarsTable,BD$5/100,MONTH($A123)))*$C123</f>
        <v>0</v>
      </c>
      <c r="BE123" s="1021"/>
      <c r="BF123" s="1021">
        <f>(VLOOKUP(YEAR($A123),'NY East Load Projections'!$A$4:$EO$14,((MONTH($A123)-1)*12)+VLOOKUP(BF$4,$DE$6:$DF$17,2)+1))*(VLOOKUP($A123,CURVES!$D$9:$T$261,8))*(INDEX(DailyScalarsTable,BF$5/100,MONTH($A123)))*$D123</f>
        <v>0</v>
      </c>
      <c r="BG123" s="1021">
        <f>(VLOOKUP(YEAR($A123),'NY East Load Projections'!$A$4:$EO$14,((MONTH($A123)-1)*12)+VLOOKUP(BG$4,$DE$6:$DF$17,2)+1))*(VLOOKUP($A123,CURVES!$D$9:$T$261,8))*(INDEX(DailyScalarsTable,BG$5/100,MONTH($A123)))*$D123</f>
        <v>0</v>
      </c>
      <c r="BH123" s="1021">
        <f>(VLOOKUP(YEAR($A123),'NY East Load Projections'!$A$4:$EO$14,((MONTH($A123)-1)*12)+VLOOKUP(BH$4,$DE$6:$DF$17,2)+1))*(VLOOKUP($A123,CURVES!$D$9:$T$261,8))*(INDEX(DailyScalarsTable,BH$5/100,MONTH($A123)))*$D123</f>
        <v>0</v>
      </c>
      <c r="BI123" s="1021">
        <f>(VLOOKUP(YEAR($A123),'NY East Load Projections'!$A$4:$EO$14,((MONTH($A123)-1)*12)+VLOOKUP(BI$4,$DE$6:$DF$17,2)+1))*(VLOOKUP($A123,CURVES!$D$9:$T$261,8))*(INDEX(DailyScalarsTable,BI$5/100,MONTH($A123)))*$D123</f>
        <v>0</v>
      </c>
      <c r="BJ123" s="1021">
        <f>(VLOOKUP(YEAR($A123),'NY East Load Projections'!$A$4:$EO$14,((MONTH($A123)-1)*12)+VLOOKUP(BJ$4,$DE$6:$DF$17,2)+1))*(VLOOKUP($A123,CURVES!$D$9:$T$261,8))*(INDEX(DailyScalarsTable,BJ$5/100,MONTH($A123)))*$D123</f>
        <v>0</v>
      </c>
      <c r="BK123" s="1021">
        <f>(VLOOKUP(YEAR($A123),'NY East Load Projections'!$A$4:$EO$14,((MONTH($A123)-1)*12)+VLOOKUP(BK$4,$DE$6:$DF$17,2)+1))*(VLOOKUP($A123,CURVES!$D$9:$T$261,8))*(INDEX(DailyScalarsTable,BK$5/100,MONTH($A123)))*$D123</f>
        <v>0</v>
      </c>
      <c r="BL123" s="1021">
        <f>(VLOOKUP(YEAR($A123),'NY East Load Projections'!$A$4:$EO$14,((MONTH($A123)-1)*12)+VLOOKUP(BL$4,$DE$6:$DF$17,2)+1))*(VLOOKUP($A123,CURVES!$D$9:$T$261,8))*(INDEX(DailyScalarsTable,BL$5/100,MONTH($A123)))*$D123</f>
        <v>0</v>
      </c>
      <c r="BM123" s="1021">
        <f>(VLOOKUP(YEAR($A123),'NY East Load Projections'!$A$4:$EO$14,((MONTH($A123)-1)*12)+VLOOKUP(BM$4,$DE$6:$DF$17,2)+1))*(VLOOKUP($A123,SatSunCurve,8))*(INDEX(DailyScalarsTable,BM$5/100,MONTH($A123)))*$D123</f>
        <v>0</v>
      </c>
      <c r="BN123" s="1021">
        <f>(VLOOKUP(YEAR($A123),'NY East Load Projections'!$A$4:$EO$14,((MONTH($A123)-1)*12)+VLOOKUP(BN$4,$DE$6:$DF$17,2)+1))*(VLOOKUP($A123,SatSunCurve,8))*(INDEX(DailyScalarsTable,BN$5/100,MONTH($A123)))*$D123</f>
        <v>0</v>
      </c>
      <c r="BO123" s="1021">
        <f>(VLOOKUP(YEAR($A123),'NY East Load Projections'!$A$4:$EO$14,((MONTH($A123)-1)*12)+VLOOKUP(BO$4,$DE$6:$DF$17,2)+1))*(VLOOKUP($A123,SatSunCurve,8))*(INDEX(DailyScalarsTable,BO$5/100,MONTH($A123)))*$D123</f>
        <v>0</v>
      </c>
      <c r="BP123" s="1021">
        <f>(VLOOKUP(YEAR($A123),'NY East Load Projections'!$A$4:$EO$14,((MONTH($A123)-1)*12)+VLOOKUP(BP$4,$DE$6:$DF$17,2)+1))*(VLOOKUP($A123,SatSunCurve,8))*(INDEX(DailyScalarsTable,BP$5/100,MONTH($A123)))*$D123</f>
        <v>0</v>
      </c>
      <c r="BQ123" s="1021">
        <f>(VLOOKUP(YEAR($A123),'NY East Load Projections'!$A$4:$EO$14,((MONTH($A123)-1)*12)+VLOOKUP(BQ$4,$DE$6:$DF$17,2)+1))*(VLOOKUP($A123,SatSunCurve,8))*(INDEX(DailyScalarsTable,BQ$5/100,MONTH($A123)))*$D123</f>
        <v>0</v>
      </c>
      <c r="BR123" s="1021">
        <f>(VLOOKUP(YEAR($A123),'NY East Load Projections'!$A$4:$EO$14,((MONTH($A123)-1)*12)+VLOOKUP(BR$4,$DE$6:$DF$17,2)+1))*(VLOOKUP($A123,SatSunCurve,8))*(INDEX(DailyScalarsTable,BR$5/100,MONTH($A123)))*$D123</f>
        <v>0</v>
      </c>
      <c r="BS123" s="1021">
        <f>(VLOOKUP(YEAR($A123),'NY East Load Projections'!$A$4:$EO$14,((MONTH($A123)-1)*12)+VLOOKUP(BS$4,$DE$6:$DF$17,2)+1))*(VLOOKUP($A123,SatSunCurve,8))*(INDEX(DailyScalarsTable,BS$5/100,MONTH($A123)))*$D123</f>
        <v>0</v>
      </c>
      <c r="BT123" s="1021">
        <f>(VLOOKUP(YEAR($A123),'NY East Load Projections'!$A$4:$EO$14,((MONTH($A123)-1)*12)+VLOOKUP(BT$4,$DE$6:$DF$17,2)+1))*(VLOOKUP($A123,SatSunCurve,8))*(INDEX(DailyScalarsTable,BT$5/100,MONTH($A123)))*$D123</f>
        <v>0</v>
      </c>
      <c r="BU123" s="1021">
        <f>(VLOOKUP(YEAR($A123),'NY East Load Projections'!$A$4:$EO$14,((MONTH($A123)-1)*12)+VLOOKUP(BU$4,$DE$6:$DF$17,2)+1))*(VLOOKUP($A123,SatSunCurve,8))*(INDEX(DailyScalarsTable,BU$5/100,MONTH($A123)))*$D123</f>
        <v>0</v>
      </c>
      <c r="BV123" s="1021">
        <f>(VLOOKUP(YEAR($A123),'NY East Load Projections'!$A$4:$EO$14,((MONTH($A123)-1)*12)+VLOOKUP(BV$4,$DE$6:$DF$17,2)+1))*(VLOOKUP($A123,SatSunCurve,8))*(INDEX(DailyScalarsTable,BV$5/100,MONTH($A123)))*$D123</f>
        <v>0</v>
      </c>
      <c r="BW123" s="1021">
        <f>(VLOOKUP(YEAR($A123),'NY East Load Projections'!$A$4:$EO$14,((MONTH($A123)-1)*12)+VLOOKUP(BW$4,$DE$6:$DF$17,2)+1))*(VLOOKUP($A123,SatSunCurve,8))*(INDEX(DailyScalarsTable,BW$5/100,MONTH($A123)))*$D123</f>
        <v>0</v>
      </c>
      <c r="BX123" s="1021">
        <f>(VLOOKUP(YEAR($A123),'NY East Load Projections'!$A$4:$EO$14,((MONTH($A123)-1)*12)+VLOOKUP(BX$4,$DE$6:$DF$17,2)+1))*(VLOOKUP($A123,SatSunCurve,8))*(INDEX(DailyScalarsTable,BX$5/100,MONTH($A123)))*$D123</f>
        <v>0</v>
      </c>
      <c r="BY123" s="1021">
        <f>(VLOOKUP(YEAR($A123),'NY East Load Projections'!$A$4:$EO$14,((MONTH($A123)-1)*12)+VLOOKUP(BY$4,$DE$6:$DF$17,2)+1))*(VLOOKUP($A123,SatSunCurve,8))*(INDEX(DailyScalarsTable,BY$5/100,MONTH($A123)))*$D123</f>
        <v>0</v>
      </c>
      <c r="BZ123" s="1021">
        <f>(VLOOKUP(YEAR($A123),'NY East Load Projections'!$A$4:$EO$14,((MONTH($A123)-1)*12)+VLOOKUP(BZ$4,$DE$6:$DF$17,2)+1))*(VLOOKUP($A123,SatSunCurve,8))*(INDEX(DailyScalarsTable,BZ$5/100,MONTH($A123)))*$D123</f>
        <v>0</v>
      </c>
      <c r="CA123" s="1021">
        <f>(VLOOKUP(YEAR($A123),'NY East Load Projections'!$A$4:$EO$14,((MONTH($A123)-1)*12)+VLOOKUP(CA$4,$DE$6:$DF$17,2)+1))*(VLOOKUP($A123,SatSunCurve,8))*(INDEX(DailyScalarsTable,CA$5/100,MONTH($A123)))*$D123</f>
        <v>0</v>
      </c>
      <c r="CB123" s="1021">
        <f>(VLOOKUP(YEAR($A123),'NY East Load Projections'!$A$4:$EO$14,((MONTH($A123)-1)*12)+VLOOKUP(CB$4,$DE$6:$DF$17,2)+1))*(VLOOKUP($A123,SatSunCurve,8))*(INDEX(DailyScalarsTable,CB$5/100,MONTH($A123)))*$D123</f>
        <v>0</v>
      </c>
      <c r="CC123" s="1021">
        <f>(VLOOKUP(YEAR($A123),'NY East Load Projections'!$A$4:$EO$14,((MONTH($A123)-1)*12)+VLOOKUP(CC$4,$DE$6:$DF$17,2)+1))*(VLOOKUP($A123,CURVES!$D$9:$T$261,8))*(INDEX(DailyScalarsTable,CC$5/100,MONTH($A123)))*$D123</f>
        <v>0</v>
      </c>
      <c r="CE123" s="1021">
        <f>(VLOOKUP(YEAR($A123),'NY East Load Projections'!$A$4:$EO$14,((MONTH($A123)-1)*12)+VLOOKUP(CE$4,$DE$6:$DF$17,2)+1))*(VLOOKUP($A123,CURVES!$D$9:$T$261,8))*(INDEX(DailyScalarsTable,CE$5/100,MONTH($A123)))*$E123</f>
        <v>0</v>
      </c>
      <c r="CF123" s="1021">
        <f>(VLOOKUP(YEAR($A123),'NY East Load Projections'!$A$4:$EO$14,((MONTH($A123)-1)*12)+VLOOKUP(CF$4,$DE$6:$DF$17,2)+1))*(VLOOKUP($A123,CURVES!$D$9:$T$261,8))*(INDEX(DailyScalarsTable,CF$5/100,MONTH($A123)))*$E123</f>
        <v>0</v>
      </c>
      <c r="CG123" s="1021">
        <f>(VLOOKUP(YEAR($A123),'NY East Load Projections'!$A$4:$EO$14,((MONTH($A123)-1)*12)+VLOOKUP(CG$4,$DE$6:$DF$17,2)+1))*(VLOOKUP($A123,CURVES!$D$9:$T$261,8))*(INDEX(DailyScalarsTable,CG$5/100,MONTH($A123)))*$E123</f>
        <v>0</v>
      </c>
      <c r="CH123" s="1021">
        <f>(VLOOKUP(YEAR($A123),'NY East Load Projections'!$A$4:$EO$14,((MONTH($A123)-1)*12)+VLOOKUP(CH$4,$DE$6:$DF$17,2)+1))*(VLOOKUP($A123,CURVES!$D$9:$T$261,8))*(INDEX(DailyScalarsTable,CH$5/100,MONTH($A123)))*$E123</f>
        <v>0</v>
      </c>
      <c r="CI123" s="1021">
        <f>(VLOOKUP(YEAR($A123),'NY East Load Projections'!$A$4:$EO$14,((MONTH($A123)-1)*12)+VLOOKUP(CI$4,$DE$6:$DF$17,2)+1))*(VLOOKUP($A123,CURVES!$D$9:$T$261,8))*(INDEX(DailyScalarsTable,CI$5/100,MONTH($A123)))*$E123</f>
        <v>0</v>
      </c>
      <c r="CJ123" s="1021">
        <f>(VLOOKUP(YEAR($A123),'NY East Load Projections'!$A$4:$EO$14,((MONTH($A123)-1)*12)+VLOOKUP(CJ$4,$DE$6:$DF$17,2)+1))*(VLOOKUP($A123,CURVES!$D$9:$T$261,8))*(INDEX(DailyScalarsTable,CJ$5/100,MONTH($A123)))*$E123</f>
        <v>0</v>
      </c>
      <c r="CK123" s="1021">
        <f>(VLOOKUP(YEAR($A123),'NY East Load Projections'!$A$4:$EO$14,((MONTH($A123)-1)*12)+VLOOKUP(CK$4,$DE$6:$DF$17,2)+1))*(VLOOKUP($A123,CURVES!$D$9:$T$261,8))*(INDEX(DailyScalarsTable,CK$5/100,MONTH($A123)))*$E123</f>
        <v>0</v>
      </c>
      <c r="CL123" s="1021">
        <f>(VLOOKUP(YEAR($A123),'NY East Load Projections'!$A$4:$EO$14,((MONTH($A123)-1)*12)+VLOOKUP(CL$4,$DE$6:$DF$17,2)+1))*(VLOOKUP($A123,SatSunCurve,8))*(INDEX(DailyScalarsTable,CL$5/100,MONTH($A123)))*$E123</f>
        <v>0</v>
      </c>
      <c r="CM123" s="1021">
        <f>(VLOOKUP(YEAR($A123),'NY East Load Projections'!$A$4:$EO$14,((MONTH($A123)-1)*12)+VLOOKUP(CM$4,$DE$6:$DF$17,2)+1))*(VLOOKUP($A123,SatSunCurve,8))*(INDEX(DailyScalarsTable,CM$5/100,MONTH($A123)))*$E123</f>
        <v>0</v>
      </c>
      <c r="CN123" s="1021">
        <f>(VLOOKUP(YEAR($A123),'NY East Load Projections'!$A$4:$EO$14,((MONTH($A123)-1)*12)+VLOOKUP(CN$4,$DE$6:$DF$17,2)+1))*(VLOOKUP($A123,SatSunCurve,8))*(INDEX(DailyScalarsTable,CN$5/100,MONTH($A123)))*$E123</f>
        <v>0</v>
      </c>
      <c r="CO123" s="1021">
        <f>(VLOOKUP(YEAR($A123),'NY East Load Projections'!$A$4:$EO$14,((MONTH($A123)-1)*12)+VLOOKUP(CO$4,$DE$6:$DF$17,2)+1))*(VLOOKUP($A123,SatSunCurve,8))*(INDEX(DailyScalarsTable,CO$5/100,MONTH($A123)))*$E123</f>
        <v>0</v>
      </c>
      <c r="CP123" s="1021">
        <f>(VLOOKUP(YEAR($A123),'NY East Load Projections'!$A$4:$EO$14,((MONTH($A123)-1)*12)+VLOOKUP(CP$4,$DE$6:$DF$17,2)+1))*(VLOOKUP($A123,SatSunCurve,8))*(INDEX(DailyScalarsTable,CP$5/100,MONTH($A123)))*$E123</f>
        <v>0</v>
      </c>
      <c r="CQ123" s="1021">
        <f>(VLOOKUP(YEAR($A123),'NY East Load Projections'!$A$4:$EO$14,((MONTH($A123)-1)*12)+VLOOKUP(CQ$4,$DE$6:$DF$17,2)+1))*(VLOOKUP($A123,SatSunCurve,8))*(INDEX(DailyScalarsTable,CQ$5/100,MONTH($A123)))*$E123</f>
        <v>0</v>
      </c>
      <c r="CR123" s="1021">
        <f>(VLOOKUP(YEAR($A123),'NY East Load Projections'!$A$4:$EO$14,((MONTH($A123)-1)*12)+VLOOKUP(CR$4,$DE$6:$DF$17,2)+1))*(VLOOKUP($A123,SatSunCurve,8))*(INDEX(DailyScalarsTable,CR$5/100,MONTH($A123)))*$E123</f>
        <v>0</v>
      </c>
      <c r="CS123" s="1021">
        <f>(VLOOKUP(YEAR($A123),'NY East Load Projections'!$A$4:$EO$14,((MONTH($A123)-1)*12)+VLOOKUP(CS$4,$DE$6:$DF$17,2)+1))*(VLOOKUP($A123,SatSunCurve,8))*(INDEX(DailyScalarsTable,CS$5/100,MONTH($A123)))*$E123</f>
        <v>0</v>
      </c>
      <c r="CT123" s="1021">
        <f>(VLOOKUP(YEAR($A123),'NY East Load Projections'!$A$4:$EO$14,((MONTH($A123)-1)*12)+VLOOKUP(CT$4,$DE$6:$DF$17,2)+1))*(VLOOKUP($A123,SatSunCurve,8))*(INDEX(DailyScalarsTable,CT$5/100,MONTH($A123)))*$E123</f>
        <v>0</v>
      </c>
      <c r="CU123" s="1021">
        <f>(VLOOKUP(YEAR($A123),'NY East Load Projections'!$A$4:$EO$14,((MONTH($A123)-1)*12)+VLOOKUP(CU$4,$DE$6:$DF$17,2)+1))*(VLOOKUP($A123,SatSunCurve,8))*(INDEX(DailyScalarsTable,CU$5/100,MONTH($A123)))*$E123</f>
        <v>0</v>
      </c>
      <c r="CV123" s="1021">
        <f>(VLOOKUP(YEAR($A123),'NY East Load Projections'!$A$4:$EO$14,((MONTH($A123)-1)*12)+VLOOKUP(CV$4,$DE$6:$DF$17,2)+1))*(VLOOKUP($A123,SatSunCurve,8))*(INDEX(DailyScalarsTable,CV$5/100,MONTH($A123)))*$E123</f>
        <v>0</v>
      </c>
      <c r="CW123" s="1021">
        <f>(VLOOKUP(YEAR($A123),'NY East Load Projections'!$A$4:$EO$14,((MONTH($A123)-1)*12)+VLOOKUP(CW$4,$DE$6:$DF$17,2)+1))*(VLOOKUP($A123,SatSunCurve,8))*(INDEX(DailyScalarsTable,CW$5/100,MONTH($A123)))*$E123</f>
        <v>0</v>
      </c>
      <c r="CX123" s="1021">
        <f>(VLOOKUP(YEAR($A123),'NY East Load Projections'!$A$4:$EO$14,((MONTH($A123)-1)*12)+VLOOKUP(CX$4,$DE$6:$DF$17,2)+1))*(VLOOKUP($A123,SatSunCurve,8))*(INDEX(DailyScalarsTable,CX$5/100,MONTH($A123)))*$E123</f>
        <v>0</v>
      </c>
      <c r="CY123" s="1021">
        <f>(VLOOKUP(YEAR($A123),'NY East Load Projections'!$A$4:$EO$14,((MONTH($A123)-1)*12)+VLOOKUP(CY$4,$DE$6:$DF$17,2)+1))*(VLOOKUP($A123,SatSunCurve,8))*(INDEX(DailyScalarsTable,CY$5/100,MONTH($A123)))*$E123</f>
        <v>0</v>
      </c>
      <c r="CZ123" s="1021">
        <f>(VLOOKUP(YEAR($A123),'NY East Load Projections'!$A$4:$EO$14,((MONTH($A123)-1)*12)+VLOOKUP(CZ$4,$DE$6:$DF$17,2)+1))*(VLOOKUP($A123,SatSunCurve,8))*(INDEX(DailyScalarsTable,CZ$5/100,MONTH($A123)))*$E123</f>
        <v>0</v>
      </c>
      <c r="DA123" s="1021">
        <f>(VLOOKUP(YEAR($A123),'NY East Load Projections'!$A$4:$EO$14,((MONTH($A123)-1)*12)+VLOOKUP(DA$4,$DE$6:$DF$17,2)+1))*(VLOOKUP($A123,SatSunCurve,8))*(INDEX(DailyScalarsTable,DA$5/100,MONTH($A123)))*$E123</f>
        <v>0</v>
      </c>
      <c r="DB123" s="1021">
        <f>(VLOOKUP(YEAR($A123),'NY East Load Projections'!$A$4:$EO$14,((MONTH($A123)-1)*12)+VLOOKUP(DB$4,$DE$6:$DF$17,2)+1))*(VLOOKUP($A123,CURVES!$D$9:$T$261,8))*(INDEX(DailyScalarsTable,DB$5/100,MONTH($A123)))*$E123</f>
        <v>0</v>
      </c>
      <c r="DH123" s="1021">
        <f t="shared" si="2"/>
        <v>0</v>
      </c>
      <c r="DI123">
        <f ca="1">CALC!J143</f>
        <v>0.45796816908869958</v>
      </c>
      <c r="DJ123" s="1029">
        <f t="shared" ca="1" si="3"/>
        <v>0</v>
      </c>
    </row>
    <row r="124" spans="1:114" x14ac:dyDescent="0.25">
      <c r="A124" s="244">
        <v>40483</v>
      </c>
      <c r="B124" s="13">
        <v>21</v>
      </c>
      <c r="C124" s="210">
        <v>4</v>
      </c>
      <c r="D124" s="210">
        <v>4</v>
      </c>
      <c r="E124" s="210">
        <v>1</v>
      </c>
      <c r="F124" s="13">
        <v>30</v>
      </c>
      <c r="H124" s="1021">
        <f>(VLOOKUP(YEAR($A124),'NY East Load Projections'!$A$4:$EO$14,((MONTH($A124)-1)*12)+VLOOKUP(H$4,$DE$6:$DF$17,2)+1))*(VLOOKUP($A124,CURVES!$D$9:$K$261,8))*(INDEX(DailyScalarsTable,H$5/100,MONTH($A124)))*$B124</f>
        <v>0</v>
      </c>
      <c r="I124" s="1021">
        <f>(VLOOKUP(YEAR($A124),'NY East Load Projections'!$A$4:$EO$14,((MONTH($A124)-1)*12)+VLOOKUP(I$4,$DE$6:$DF$17,2)+1))*(VLOOKUP($A124,CURVES!$D$9:$K$261,8))*(INDEX(DailyScalarsTable,I$5/100,MONTH($A124)))*$B124</f>
        <v>0</v>
      </c>
      <c r="J124" s="1021">
        <f>(VLOOKUP(YEAR($A124),'NY East Load Projections'!$A$4:$EO$14,((MONTH($A124)-1)*12)+VLOOKUP(J$4,$DE$6:$DF$17,2)+1))*(VLOOKUP($A124,CURVES!$D$9:$K$261,8))*(INDEX(DailyScalarsTable,J$5/100,MONTH($A124)))*$B124</f>
        <v>0</v>
      </c>
      <c r="K124" s="1021">
        <f>(VLOOKUP(YEAR($A124),'NY East Load Projections'!$A$4:$EO$14,((MONTH($A124)-1)*12)+VLOOKUP(K$4,$DE$6:$DF$17,2)+1))*(VLOOKUP($A124,CURVES!$D$9:$K$261,8))*(INDEX(DailyScalarsTable,K$5/100,MONTH($A124)))*$B124</f>
        <v>0</v>
      </c>
      <c r="L124" s="1021">
        <f>(VLOOKUP(YEAR($A124),'NY East Load Projections'!$A$4:$EO$14,((MONTH($A124)-1)*12)+VLOOKUP(L$4,$DE$6:$DF$17,2)+1))*(VLOOKUP($A124,CURVES!$D$9:$K$261,8))*(INDEX(DailyScalarsTable,L$5/100,MONTH($A124)))*$B124</f>
        <v>0</v>
      </c>
      <c r="M124" s="1021">
        <f>(VLOOKUP(YEAR($A124),'NY East Load Projections'!$A$4:$EO$14,((MONTH($A124)-1)*12)+VLOOKUP(M$4,$DE$6:$DF$17,2)+1))*(VLOOKUP($A124,CURVES!$D$9:$K$261,8))*(INDEX(DailyScalarsTable,M$5/100,MONTH($A124)))*$B124</f>
        <v>0</v>
      </c>
      <c r="N124" s="1021">
        <f>(VLOOKUP(YEAR($A124),'NY East Load Projections'!$A$4:$EO$14,((MONTH($A124)-1)*12)+VLOOKUP(N$4,$DE$6:$DF$17,2)+1))*(VLOOKUP($A124,CURVES!$D$9:$K$261,8))*(INDEX(DailyScalarsTable,N$5/100,MONTH($A124)))*$B124</f>
        <v>0</v>
      </c>
      <c r="O124" s="1021">
        <f>(VLOOKUP(YEAR($A124),'NY East Load Projections'!$A$4:$EO$14,((MONTH($A124)-1)*12)+VLOOKUP(O$4,$DE$6:$DF$17,2)+1))*(VLOOKUP($A124,CURVES!$D$9:$K$261,4))*(INDEX(DailyScalarsTable,O$5/100,MONTH($A124)))*$B124</f>
        <v>0</v>
      </c>
      <c r="P124" s="1021">
        <f>(VLOOKUP(YEAR($A124),'NY East Load Projections'!$A$4:$EO$14,((MONTH($A124)-1)*12)+VLOOKUP(P$4,$DE$6:$DF$17,2)+1))*(VLOOKUP($A124,CURVES!$D$9:$K$261,4))*(INDEX(DailyScalarsTable,P$5/100,MONTH($A124)))*$B124</f>
        <v>0</v>
      </c>
      <c r="Q124" s="1021">
        <f>(VLOOKUP(YEAR($A124),'NY East Load Projections'!$A$4:$EO$14,((MONTH($A124)-1)*12)+VLOOKUP(Q$4,$DE$6:$DF$17,2)+1))*(VLOOKUP($A124,CURVES!$D$9:$K$261,4))*(INDEX(DailyScalarsTable,Q$5/100,MONTH($A124)))*$B124</f>
        <v>0</v>
      </c>
      <c r="R124" s="1021">
        <f>(VLOOKUP(YEAR($A124),'NY East Load Projections'!$A$4:$EO$14,((MONTH($A124)-1)*12)+VLOOKUP(R$4,$DE$6:$DF$17,2)+1))*(VLOOKUP($A124,CURVES!$D$9:$K$261,4))*(INDEX(DailyScalarsTable,R$5/100,MONTH($A124)))*$B124</f>
        <v>0</v>
      </c>
      <c r="S124" s="1021">
        <f>(VLOOKUP(YEAR($A124),'NY East Load Projections'!$A$4:$EO$14,((MONTH($A124)-1)*12)+VLOOKUP(S$4,$DE$6:$DF$17,2)+1))*(VLOOKUP($A124,CURVES!$D$9:$K$261,4))*(INDEX(DailyScalarsTable,S$5/100,MONTH($A124)))*$B124</f>
        <v>0</v>
      </c>
      <c r="T124" s="1021">
        <f>(VLOOKUP(YEAR($A124),'NY East Load Projections'!$A$4:$EO$14,((MONTH($A124)-1)*12)+VLOOKUP(T$4,$DE$6:$DF$17,2)+1))*(VLOOKUP($A124,CURVES!$D$9:$K$261,4))*(INDEX(DailyScalarsTable,T$5/100,MONTH($A124)))*$B124</f>
        <v>0</v>
      </c>
      <c r="U124" s="1021">
        <f>(VLOOKUP(YEAR($A124),'NY East Load Projections'!$A$4:$EO$14,((MONTH($A124)-1)*12)+VLOOKUP(U$4,$DE$6:$DF$17,2)+1))*(VLOOKUP($A124,CURVES!$D$9:$K$261,4))*(INDEX(DailyScalarsTable,U$5/100,MONTH($A124)))*$B124</f>
        <v>0</v>
      </c>
      <c r="V124" s="1021">
        <f>(VLOOKUP(YEAR($A124),'NY East Load Projections'!$A$4:$EO$14,((MONTH($A124)-1)*12)+VLOOKUP(V$4,$DE$6:$DF$17,2)+1))*(VLOOKUP($A124,CURVES!$D$9:$K$261,4))*(INDEX(DailyScalarsTable,V$5/100,MONTH($A124)))*$B124</f>
        <v>0</v>
      </c>
      <c r="W124" s="1021">
        <f>(VLOOKUP(YEAR($A124),'NY East Load Projections'!$A$4:$EO$14,((MONTH($A124)-1)*12)+VLOOKUP(W$4,$DE$6:$DF$17,2)+1))*(VLOOKUP($A124,CURVES!$D$9:$K$261,4))*(INDEX(DailyScalarsTable,W$5/100,MONTH($A124)))*$B124</f>
        <v>0</v>
      </c>
      <c r="X124" s="1021">
        <f>(VLOOKUP(YEAR($A124),'NY East Load Projections'!$A$4:$EO$14,((MONTH($A124)-1)*12)+VLOOKUP(X$4,$DE$6:$DF$17,2)+1))*(VLOOKUP($A124,CURVES!$D$9:$K$261,4))*(INDEX(DailyScalarsTable,X$5/100,MONTH($A124)))*$B124</f>
        <v>0</v>
      </c>
      <c r="Y124" s="1021">
        <f>(VLOOKUP(YEAR($A124),'NY East Load Projections'!$A$4:$EO$14,((MONTH($A124)-1)*12)+VLOOKUP(Y$4,$DE$6:$DF$17,2)+1))*(VLOOKUP($A124,CURVES!$D$9:$K$261,4))*(INDEX(DailyScalarsTable,Y$5/100,MONTH($A124)))*$B124</f>
        <v>0</v>
      </c>
      <c r="Z124" s="1021">
        <f>(VLOOKUP(YEAR($A124),'NY East Load Projections'!$A$4:$EO$14,((MONTH($A124)-1)*12)+VLOOKUP(Z$4,$DE$6:$DF$17,2)+1))*(VLOOKUP($A124,CURVES!$D$9:$K$261,4))*(INDEX(DailyScalarsTable,Z$5/100,MONTH($A124)))*$B124</f>
        <v>0</v>
      </c>
      <c r="AA124" s="1021">
        <f>(VLOOKUP(YEAR($A124),'NY East Load Projections'!$A$4:$EO$14,((MONTH($A124)-1)*12)+VLOOKUP(AA$4,$DE$6:$DF$17,2)+1))*(VLOOKUP($A124,CURVES!$D$9:$K$261,4))*(INDEX(DailyScalarsTable,AA$5/100,MONTH($A124)))*$B124</f>
        <v>0</v>
      </c>
      <c r="AB124" s="1021">
        <f>(VLOOKUP(YEAR($A124),'NY East Load Projections'!$A$4:$EO$14,((MONTH($A124)-1)*12)+VLOOKUP(AB$4,$DE$6:$DF$17,2)+1))*(VLOOKUP($A124,CURVES!$D$9:$K$261,4))*(INDEX(DailyScalarsTable,AB$5/100,MONTH($A124)))*$B124</f>
        <v>0</v>
      </c>
      <c r="AC124" s="1021">
        <f>(VLOOKUP(YEAR($A124),'NY East Load Projections'!$A$4:$EO$14,((MONTH($A124)-1)*12)+VLOOKUP(AC$4,$DE$6:$DF$17,2)+1))*(VLOOKUP($A124,CURVES!$D$9:$K$261,4))*(INDEX(DailyScalarsTable,AC$5/100,MONTH($A124)))*$B124</f>
        <v>0</v>
      </c>
      <c r="AD124" s="1021">
        <f>(VLOOKUP(YEAR($A124),'NY East Load Projections'!$A$4:$EO$14,((MONTH($A124)-1)*12)+VLOOKUP(AD$4,$DE$6:$DF$17,2)+1))*(VLOOKUP($A124,CURVES!$D$9:$K$261,4))*(INDEX(DailyScalarsTable,AD$5/100,MONTH($A124)))*$B124</f>
        <v>0</v>
      </c>
      <c r="AE124" s="1021">
        <f>(VLOOKUP(YEAR($A124),'NY East Load Projections'!$A$4:$EO$14,((MONTH($A124)-1)*12)+VLOOKUP(AE$4,$DE$6:$DF$17,2)+1))*(VLOOKUP($A124,CURVES!$D$9:$K$261,8))*(INDEX(DailyScalarsTable,AE$5/100,MONTH($A124)))*$B124</f>
        <v>0</v>
      </c>
      <c r="AF124" s="1021"/>
      <c r="AG124" s="1021">
        <f>(VLOOKUP(YEAR($A124),'NY East Load Projections'!$A$4:$EO$14,((MONTH($A124)-1)*12)+VLOOKUP(AG$4,$DE$6:$DF$17,2)+1))*(VLOOKUP($A124,CURVES!$D$9:$T$261,8))*(INDEX(DailyScalarsTable,AG$5/100,MONTH($A124)))*$C124</f>
        <v>0</v>
      </c>
      <c r="AH124" s="1021">
        <f>(VLOOKUP(YEAR($A124),'NY East Load Projections'!$A$4:$EO$14,((MONTH($A124)-1)*12)+VLOOKUP(AH$4,$DE$6:$DF$17,2)+1))*(VLOOKUP($A124,CURVES!$D$9:$T$261,8))*(INDEX(DailyScalarsTable,AH$5/100,MONTH($A124)))*$C124</f>
        <v>0</v>
      </c>
      <c r="AI124" s="1021">
        <f>(VLOOKUP(YEAR($A124),'NY East Load Projections'!$A$4:$EO$14,((MONTH($A124)-1)*12)+VLOOKUP(AI$4,$DE$6:$DF$17,2)+1))*(VLOOKUP($A124,CURVES!$D$9:$T$261,8))*(INDEX(DailyScalarsTable,AI$5/100,MONTH($A124)))*$C124</f>
        <v>0</v>
      </c>
      <c r="AJ124" s="1021">
        <f>(VLOOKUP(YEAR($A124),'NY East Load Projections'!$A$4:$EO$14,((MONTH($A124)-1)*12)+VLOOKUP(AJ$4,$DE$6:$DF$17,2)+1))*(VLOOKUP($A124,CURVES!$D$9:$T$261,8))*(INDEX(DailyScalarsTable,AJ$5/100,MONTH($A124)))*$C124</f>
        <v>0</v>
      </c>
      <c r="AK124" s="1021">
        <f>(VLOOKUP(YEAR($A124),'NY East Load Projections'!$A$4:$EO$14,((MONTH($A124)-1)*12)+VLOOKUP(AK$4,$DE$6:$DF$17,2)+1))*(VLOOKUP($A124,CURVES!$D$9:$T$261,8))*(INDEX(DailyScalarsTable,AK$5/100,MONTH($A124)))*$C124</f>
        <v>0</v>
      </c>
      <c r="AL124" s="1021">
        <f>(VLOOKUP(YEAR($A124),'NY East Load Projections'!$A$4:$EO$14,((MONTH($A124)-1)*12)+VLOOKUP(AL$4,$DE$6:$DF$17,2)+1))*(VLOOKUP($A124,CURVES!$D$9:$T$261,8))*(INDEX(DailyScalarsTable,AL$5/100,MONTH($A124)))*$C124</f>
        <v>0</v>
      </c>
      <c r="AM124" s="1021">
        <f>(VLOOKUP(YEAR($A124),'NY East Load Projections'!$A$4:$EO$14,((MONTH($A124)-1)*12)+VLOOKUP(AM$4,$DE$6:$DF$17,2)+1))*(VLOOKUP($A124,CURVES!$D$9:$T$261,8))*(INDEX(DailyScalarsTable,AM$5/100,MONTH($A124)))*$C124</f>
        <v>0</v>
      </c>
      <c r="AN124" s="1021">
        <f>(VLOOKUP(YEAR($A124),'NY East Load Projections'!$A$4:$EO$14,((MONTH($A124)-1)*12)+VLOOKUP(AN$4,$DE$6:$DF$17,2)+1))*(VLOOKUP($A124,SatSunCurve,4))*(INDEX(DailyScalarsTable,AN$5/100,MONTH($A124)))*$C124</f>
        <v>0</v>
      </c>
      <c r="AO124" s="1021">
        <f>(VLOOKUP(YEAR($A124),'NY East Load Projections'!$A$4:$EO$14,((MONTH($A124)-1)*12)+VLOOKUP(AO$4,$DE$6:$DF$17,2)+1))*(VLOOKUP($A124,SatSunCurve,4))*(INDEX(DailyScalarsTable,AO$5/100,MONTH($A124)))*$C124</f>
        <v>0</v>
      </c>
      <c r="AP124" s="1021">
        <f>(VLOOKUP(YEAR($A124),'NY East Load Projections'!$A$4:$EO$14,((MONTH($A124)-1)*12)+VLOOKUP(AP$4,$DE$6:$DF$17,2)+1))*(VLOOKUP($A124,SatSunCurve,4))*(INDEX(DailyScalarsTable,AP$5/100,MONTH($A124)))*$C124</f>
        <v>0</v>
      </c>
      <c r="AQ124" s="1021">
        <f>(VLOOKUP(YEAR($A124),'NY East Load Projections'!$A$4:$EO$14,((MONTH($A124)-1)*12)+VLOOKUP(AQ$4,$DE$6:$DF$17,2)+1))*(VLOOKUP($A124,SatSunCurve,4))*(INDEX(DailyScalarsTable,AQ$5/100,MONTH($A124)))*$C124</f>
        <v>0</v>
      </c>
      <c r="AR124" s="1021">
        <f>(VLOOKUP(YEAR($A124),'NY East Load Projections'!$A$4:$EO$14,((MONTH($A124)-1)*12)+VLOOKUP(AR$4,$DE$6:$DF$17,2)+1))*(VLOOKUP($A124,SatSunCurve,4))*(INDEX(DailyScalarsTable,AR$5/100,MONTH($A124)))*$C124</f>
        <v>0</v>
      </c>
      <c r="AS124" s="1021">
        <f>(VLOOKUP(YEAR($A124),'NY East Load Projections'!$A$4:$EO$14,((MONTH($A124)-1)*12)+VLOOKUP(AS$4,$DE$6:$DF$17,2)+1))*(VLOOKUP($A124,SatSunCurve,4))*(INDEX(DailyScalarsTable,AS$5/100,MONTH($A124)))*$C124</f>
        <v>0</v>
      </c>
      <c r="AT124" s="1021">
        <f>(VLOOKUP(YEAR($A124),'NY East Load Projections'!$A$4:$EO$14,((MONTH($A124)-1)*12)+VLOOKUP(AT$4,$DE$6:$DF$17,2)+1))*(VLOOKUP($A124,SatSunCurve,4))*(INDEX(DailyScalarsTable,AT$5/100,MONTH($A124)))*$C124</f>
        <v>0</v>
      </c>
      <c r="AU124" s="1021">
        <f>(VLOOKUP(YEAR($A124),'NY East Load Projections'!$A$4:$EO$14,((MONTH($A124)-1)*12)+VLOOKUP(AU$4,$DE$6:$DF$17,2)+1))*(VLOOKUP($A124,SatSunCurve,4))*(INDEX(DailyScalarsTable,AU$5/100,MONTH($A124)))*$C124</f>
        <v>0</v>
      </c>
      <c r="AV124" s="1021">
        <f>(VLOOKUP(YEAR($A124),'NY East Load Projections'!$A$4:$EO$14,((MONTH($A124)-1)*12)+VLOOKUP(AV$4,$DE$6:$DF$17,2)+1))*(VLOOKUP($A124,SatSunCurve,4))*(INDEX(DailyScalarsTable,AV$5/100,MONTH($A124)))*$C124</f>
        <v>0</v>
      </c>
      <c r="AW124" s="1021">
        <f>(VLOOKUP(YEAR($A124),'NY East Load Projections'!$A$4:$EO$14,((MONTH($A124)-1)*12)+VLOOKUP(AW$4,$DE$6:$DF$17,2)+1))*(VLOOKUP($A124,SatSunCurve,4))*(INDEX(DailyScalarsTable,AW$5/100,MONTH($A124)))*$C124</f>
        <v>0</v>
      </c>
      <c r="AX124" s="1021">
        <f>(VLOOKUP(YEAR($A124),'NY East Load Projections'!$A$4:$EO$14,((MONTH($A124)-1)*12)+VLOOKUP(AX$4,$DE$6:$DF$17,2)+1))*(VLOOKUP($A124,SatSunCurve,4))*(INDEX(DailyScalarsTable,AX$5/100,MONTH($A124)))*$C124</f>
        <v>0</v>
      </c>
      <c r="AY124" s="1021">
        <f>(VLOOKUP(YEAR($A124),'NY East Load Projections'!$A$4:$EO$14,((MONTH($A124)-1)*12)+VLOOKUP(AY$4,$DE$6:$DF$17,2)+1))*(VLOOKUP($A124,SatSunCurve,4))*(INDEX(DailyScalarsTable,AY$5/100,MONTH($A124)))*$C124</f>
        <v>0</v>
      </c>
      <c r="AZ124" s="1021">
        <f>(VLOOKUP(YEAR($A124),'NY East Load Projections'!$A$4:$EO$14,((MONTH($A124)-1)*12)+VLOOKUP(AZ$4,$DE$6:$DF$17,2)+1))*(VLOOKUP($A124,SatSunCurve,4))*(INDEX(DailyScalarsTable,AZ$5/100,MONTH($A124)))*$C124</f>
        <v>0</v>
      </c>
      <c r="BA124" s="1021">
        <f>(VLOOKUP(YEAR($A124),'NY East Load Projections'!$A$4:$EO$14,((MONTH($A124)-1)*12)+VLOOKUP(BA$4,$DE$6:$DF$17,2)+1))*(VLOOKUP($A124,SatSunCurve,4))*(INDEX(DailyScalarsTable,BA$5/100,MONTH($A124)))*$C124</f>
        <v>0</v>
      </c>
      <c r="BB124" s="1021">
        <f>(VLOOKUP(YEAR($A124),'NY East Load Projections'!$A$4:$EO$14,((MONTH($A124)-1)*12)+VLOOKUP(BB$4,$DE$6:$DF$17,2)+1))*(VLOOKUP($A124,SatSunCurve,4))*(INDEX(DailyScalarsTable,BB$5/100,MONTH($A124)))*$C124</f>
        <v>0</v>
      </c>
      <c r="BC124" s="1021">
        <f>(VLOOKUP(YEAR($A124),'NY East Load Projections'!$A$4:$EO$14,((MONTH($A124)-1)*12)+VLOOKUP(BC$4,$DE$6:$DF$17,2)+1))*(VLOOKUP($A124,SatSunCurve,4))*(INDEX(DailyScalarsTable,BC$5/100,MONTH($A124)))*$C124</f>
        <v>0</v>
      </c>
      <c r="BD124" s="1021">
        <f>(VLOOKUP(YEAR($A124),'NY East Load Projections'!$A$4:$EO$14,((MONTH($A124)-1)*12)+VLOOKUP(BD$4,$DE$6:$DF$17,2)+1))*(VLOOKUP($A124,CURVES!$D$9:$T$261,8))*(INDEX(DailyScalarsTable,BD$5/100,MONTH($A124)))*$C124</f>
        <v>0</v>
      </c>
      <c r="BE124" s="1021"/>
      <c r="BF124" s="1021">
        <f>(VLOOKUP(YEAR($A124),'NY East Load Projections'!$A$4:$EO$14,((MONTH($A124)-1)*12)+VLOOKUP(BF$4,$DE$6:$DF$17,2)+1))*(VLOOKUP($A124,CURVES!$D$9:$T$261,8))*(INDEX(DailyScalarsTable,BF$5/100,MONTH($A124)))*$D124</f>
        <v>0</v>
      </c>
      <c r="BG124" s="1021">
        <f>(VLOOKUP(YEAR($A124),'NY East Load Projections'!$A$4:$EO$14,((MONTH($A124)-1)*12)+VLOOKUP(BG$4,$DE$6:$DF$17,2)+1))*(VLOOKUP($A124,CURVES!$D$9:$T$261,8))*(INDEX(DailyScalarsTable,BG$5/100,MONTH($A124)))*$D124</f>
        <v>0</v>
      </c>
      <c r="BH124" s="1021">
        <f>(VLOOKUP(YEAR($A124),'NY East Load Projections'!$A$4:$EO$14,((MONTH($A124)-1)*12)+VLOOKUP(BH$4,$DE$6:$DF$17,2)+1))*(VLOOKUP($A124,CURVES!$D$9:$T$261,8))*(INDEX(DailyScalarsTable,BH$5/100,MONTH($A124)))*$D124</f>
        <v>0</v>
      </c>
      <c r="BI124" s="1021">
        <f>(VLOOKUP(YEAR($A124),'NY East Load Projections'!$A$4:$EO$14,((MONTH($A124)-1)*12)+VLOOKUP(BI$4,$DE$6:$DF$17,2)+1))*(VLOOKUP($A124,CURVES!$D$9:$T$261,8))*(INDEX(DailyScalarsTable,BI$5/100,MONTH($A124)))*$D124</f>
        <v>0</v>
      </c>
      <c r="BJ124" s="1021">
        <f>(VLOOKUP(YEAR($A124),'NY East Load Projections'!$A$4:$EO$14,((MONTH($A124)-1)*12)+VLOOKUP(BJ$4,$DE$6:$DF$17,2)+1))*(VLOOKUP($A124,CURVES!$D$9:$T$261,8))*(INDEX(DailyScalarsTable,BJ$5/100,MONTH($A124)))*$D124</f>
        <v>0</v>
      </c>
      <c r="BK124" s="1021">
        <f>(VLOOKUP(YEAR($A124),'NY East Load Projections'!$A$4:$EO$14,((MONTH($A124)-1)*12)+VLOOKUP(BK$4,$DE$6:$DF$17,2)+1))*(VLOOKUP($A124,CURVES!$D$9:$T$261,8))*(INDEX(DailyScalarsTable,BK$5/100,MONTH($A124)))*$D124</f>
        <v>0</v>
      </c>
      <c r="BL124" s="1021">
        <f>(VLOOKUP(YEAR($A124),'NY East Load Projections'!$A$4:$EO$14,((MONTH($A124)-1)*12)+VLOOKUP(BL$4,$DE$6:$DF$17,2)+1))*(VLOOKUP($A124,CURVES!$D$9:$T$261,8))*(INDEX(DailyScalarsTable,BL$5/100,MONTH($A124)))*$D124</f>
        <v>0</v>
      </c>
      <c r="BM124" s="1021">
        <f>(VLOOKUP(YEAR($A124),'NY East Load Projections'!$A$4:$EO$14,((MONTH($A124)-1)*12)+VLOOKUP(BM$4,$DE$6:$DF$17,2)+1))*(VLOOKUP($A124,SatSunCurve,8))*(INDEX(DailyScalarsTable,BM$5/100,MONTH($A124)))*$D124</f>
        <v>0</v>
      </c>
      <c r="BN124" s="1021">
        <f>(VLOOKUP(YEAR($A124),'NY East Load Projections'!$A$4:$EO$14,((MONTH($A124)-1)*12)+VLOOKUP(BN$4,$DE$6:$DF$17,2)+1))*(VLOOKUP($A124,SatSunCurve,8))*(INDEX(DailyScalarsTable,BN$5/100,MONTH($A124)))*$D124</f>
        <v>0</v>
      </c>
      <c r="BO124" s="1021">
        <f>(VLOOKUP(YEAR($A124),'NY East Load Projections'!$A$4:$EO$14,((MONTH($A124)-1)*12)+VLOOKUP(BO$4,$DE$6:$DF$17,2)+1))*(VLOOKUP($A124,SatSunCurve,8))*(INDEX(DailyScalarsTable,BO$5/100,MONTH($A124)))*$D124</f>
        <v>0</v>
      </c>
      <c r="BP124" s="1021">
        <f>(VLOOKUP(YEAR($A124),'NY East Load Projections'!$A$4:$EO$14,((MONTH($A124)-1)*12)+VLOOKUP(BP$4,$DE$6:$DF$17,2)+1))*(VLOOKUP($A124,SatSunCurve,8))*(INDEX(DailyScalarsTable,BP$5/100,MONTH($A124)))*$D124</f>
        <v>0</v>
      </c>
      <c r="BQ124" s="1021">
        <f>(VLOOKUP(YEAR($A124),'NY East Load Projections'!$A$4:$EO$14,((MONTH($A124)-1)*12)+VLOOKUP(BQ$4,$DE$6:$DF$17,2)+1))*(VLOOKUP($A124,SatSunCurve,8))*(INDEX(DailyScalarsTable,BQ$5/100,MONTH($A124)))*$D124</f>
        <v>0</v>
      </c>
      <c r="BR124" s="1021">
        <f>(VLOOKUP(YEAR($A124),'NY East Load Projections'!$A$4:$EO$14,((MONTH($A124)-1)*12)+VLOOKUP(BR$4,$DE$6:$DF$17,2)+1))*(VLOOKUP($A124,SatSunCurve,8))*(INDEX(DailyScalarsTable,BR$5/100,MONTH($A124)))*$D124</f>
        <v>0</v>
      </c>
      <c r="BS124" s="1021">
        <f>(VLOOKUP(YEAR($A124),'NY East Load Projections'!$A$4:$EO$14,((MONTH($A124)-1)*12)+VLOOKUP(BS$4,$DE$6:$DF$17,2)+1))*(VLOOKUP($A124,SatSunCurve,8))*(INDEX(DailyScalarsTable,BS$5/100,MONTH($A124)))*$D124</f>
        <v>0</v>
      </c>
      <c r="BT124" s="1021">
        <f>(VLOOKUP(YEAR($A124),'NY East Load Projections'!$A$4:$EO$14,((MONTH($A124)-1)*12)+VLOOKUP(BT$4,$DE$6:$DF$17,2)+1))*(VLOOKUP($A124,SatSunCurve,8))*(INDEX(DailyScalarsTable,BT$5/100,MONTH($A124)))*$D124</f>
        <v>0</v>
      </c>
      <c r="BU124" s="1021">
        <f>(VLOOKUP(YEAR($A124),'NY East Load Projections'!$A$4:$EO$14,((MONTH($A124)-1)*12)+VLOOKUP(BU$4,$DE$6:$DF$17,2)+1))*(VLOOKUP($A124,SatSunCurve,8))*(INDEX(DailyScalarsTable,BU$5/100,MONTH($A124)))*$D124</f>
        <v>0</v>
      </c>
      <c r="BV124" s="1021">
        <f>(VLOOKUP(YEAR($A124),'NY East Load Projections'!$A$4:$EO$14,((MONTH($A124)-1)*12)+VLOOKUP(BV$4,$DE$6:$DF$17,2)+1))*(VLOOKUP($A124,SatSunCurve,8))*(INDEX(DailyScalarsTable,BV$5/100,MONTH($A124)))*$D124</f>
        <v>0</v>
      </c>
      <c r="BW124" s="1021">
        <f>(VLOOKUP(YEAR($A124),'NY East Load Projections'!$A$4:$EO$14,((MONTH($A124)-1)*12)+VLOOKUP(BW$4,$DE$6:$DF$17,2)+1))*(VLOOKUP($A124,SatSunCurve,8))*(INDEX(DailyScalarsTable,BW$5/100,MONTH($A124)))*$D124</f>
        <v>0</v>
      </c>
      <c r="BX124" s="1021">
        <f>(VLOOKUP(YEAR($A124),'NY East Load Projections'!$A$4:$EO$14,((MONTH($A124)-1)*12)+VLOOKUP(BX$4,$DE$6:$DF$17,2)+1))*(VLOOKUP($A124,SatSunCurve,8))*(INDEX(DailyScalarsTable,BX$5/100,MONTH($A124)))*$D124</f>
        <v>0</v>
      </c>
      <c r="BY124" s="1021">
        <f>(VLOOKUP(YEAR($A124),'NY East Load Projections'!$A$4:$EO$14,((MONTH($A124)-1)*12)+VLOOKUP(BY$4,$DE$6:$DF$17,2)+1))*(VLOOKUP($A124,SatSunCurve,8))*(INDEX(DailyScalarsTable,BY$5/100,MONTH($A124)))*$D124</f>
        <v>0</v>
      </c>
      <c r="BZ124" s="1021">
        <f>(VLOOKUP(YEAR($A124),'NY East Load Projections'!$A$4:$EO$14,((MONTH($A124)-1)*12)+VLOOKUP(BZ$4,$DE$6:$DF$17,2)+1))*(VLOOKUP($A124,SatSunCurve,8))*(INDEX(DailyScalarsTable,BZ$5/100,MONTH($A124)))*$D124</f>
        <v>0</v>
      </c>
      <c r="CA124" s="1021">
        <f>(VLOOKUP(YEAR($A124),'NY East Load Projections'!$A$4:$EO$14,((MONTH($A124)-1)*12)+VLOOKUP(CA$4,$DE$6:$DF$17,2)+1))*(VLOOKUP($A124,SatSunCurve,8))*(INDEX(DailyScalarsTable,CA$5/100,MONTH($A124)))*$D124</f>
        <v>0</v>
      </c>
      <c r="CB124" s="1021">
        <f>(VLOOKUP(YEAR($A124),'NY East Load Projections'!$A$4:$EO$14,((MONTH($A124)-1)*12)+VLOOKUP(CB$4,$DE$6:$DF$17,2)+1))*(VLOOKUP($A124,SatSunCurve,8))*(INDEX(DailyScalarsTable,CB$5/100,MONTH($A124)))*$D124</f>
        <v>0</v>
      </c>
      <c r="CC124" s="1021">
        <f>(VLOOKUP(YEAR($A124),'NY East Load Projections'!$A$4:$EO$14,((MONTH($A124)-1)*12)+VLOOKUP(CC$4,$DE$6:$DF$17,2)+1))*(VLOOKUP($A124,CURVES!$D$9:$T$261,8))*(INDEX(DailyScalarsTable,CC$5/100,MONTH($A124)))*$D124</f>
        <v>0</v>
      </c>
      <c r="CE124" s="1021">
        <f>(VLOOKUP(YEAR($A124),'NY East Load Projections'!$A$4:$EO$14,((MONTH($A124)-1)*12)+VLOOKUP(CE$4,$DE$6:$DF$17,2)+1))*(VLOOKUP($A124,CURVES!$D$9:$T$261,8))*(INDEX(DailyScalarsTable,CE$5/100,MONTH($A124)))*$E124</f>
        <v>0</v>
      </c>
      <c r="CF124" s="1021">
        <f>(VLOOKUP(YEAR($A124),'NY East Load Projections'!$A$4:$EO$14,((MONTH($A124)-1)*12)+VLOOKUP(CF$4,$DE$6:$DF$17,2)+1))*(VLOOKUP($A124,CURVES!$D$9:$T$261,8))*(INDEX(DailyScalarsTable,CF$5/100,MONTH($A124)))*$E124</f>
        <v>0</v>
      </c>
      <c r="CG124" s="1021">
        <f>(VLOOKUP(YEAR($A124),'NY East Load Projections'!$A$4:$EO$14,((MONTH($A124)-1)*12)+VLOOKUP(CG$4,$DE$6:$DF$17,2)+1))*(VLOOKUP($A124,CURVES!$D$9:$T$261,8))*(INDEX(DailyScalarsTable,CG$5/100,MONTH($A124)))*$E124</f>
        <v>0</v>
      </c>
      <c r="CH124" s="1021">
        <f>(VLOOKUP(YEAR($A124),'NY East Load Projections'!$A$4:$EO$14,((MONTH($A124)-1)*12)+VLOOKUP(CH$4,$DE$6:$DF$17,2)+1))*(VLOOKUP($A124,CURVES!$D$9:$T$261,8))*(INDEX(DailyScalarsTable,CH$5/100,MONTH($A124)))*$E124</f>
        <v>0</v>
      </c>
      <c r="CI124" s="1021">
        <f>(VLOOKUP(YEAR($A124),'NY East Load Projections'!$A$4:$EO$14,((MONTH($A124)-1)*12)+VLOOKUP(CI$4,$DE$6:$DF$17,2)+1))*(VLOOKUP($A124,CURVES!$D$9:$T$261,8))*(INDEX(DailyScalarsTable,CI$5/100,MONTH($A124)))*$E124</f>
        <v>0</v>
      </c>
      <c r="CJ124" s="1021">
        <f>(VLOOKUP(YEAR($A124),'NY East Load Projections'!$A$4:$EO$14,((MONTH($A124)-1)*12)+VLOOKUP(CJ$4,$DE$6:$DF$17,2)+1))*(VLOOKUP($A124,CURVES!$D$9:$T$261,8))*(INDEX(DailyScalarsTable,CJ$5/100,MONTH($A124)))*$E124</f>
        <v>0</v>
      </c>
      <c r="CK124" s="1021">
        <f>(VLOOKUP(YEAR($A124),'NY East Load Projections'!$A$4:$EO$14,((MONTH($A124)-1)*12)+VLOOKUP(CK$4,$DE$6:$DF$17,2)+1))*(VLOOKUP($A124,CURVES!$D$9:$T$261,8))*(INDEX(DailyScalarsTable,CK$5/100,MONTH($A124)))*$E124</f>
        <v>0</v>
      </c>
      <c r="CL124" s="1021">
        <f>(VLOOKUP(YEAR($A124),'NY East Load Projections'!$A$4:$EO$14,((MONTH($A124)-1)*12)+VLOOKUP(CL$4,$DE$6:$DF$17,2)+1))*(VLOOKUP($A124,SatSunCurve,8))*(INDEX(DailyScalarsTable,CL$5/100,MONTH($A124)))*$E124</f>
        <v>0</v>
      </c>
      <c r="CM124" s="1021">
        <f>(VLOOKUP(YEAR($A124),'NY East Load Projections'!$A$4:$EO$14,((MONTH($A124)-1)*12)+VLOOKUP(CM$4,$DE$6:$DF$17,2)+1))*(VLOOKUP($A124,SatSunCurve,8))*(INDEX(DailyScalarsTable,CM$5/100,MONTH($A124)))*$E124</f>
        <v>0</v>
      </c>
      <c r="CN124" s="1021">
        <f>(VLOOKUP(YEAR($A124),'NY East Load Projections'!$A$4:$EO$14,((MONTH($A124)-1)*12)+VLOOKUP(CN$4,$DE$6:$DF$17,2)+1))*(VLOOKUP($A124,SatSunCurve,8))*(INDEX(DailyScalarsTable,CN$5/100,MONTH($A124)))*$E124</f>
        <v>0</v>
      </c>
      <c r="CO124" s="1021">
        <f>(VLOOKUP(YEAR($A124),'NY East Load Projections'!$A$4:$EO$14,((MONTH($A124)-1)*12)+VLOOKUP(CO$4,$DE$6:$DF$17,2)+1))*(VLOOKUP($A124,SatSunCurve,8))*(INDEX(DailyScalarsTable,CO$5/100,MONTH($A124)))*$E124</f>
        <v>0</v>
      </c>
      <c r="CP124" s="1021">
        <f>(VLOOKUP(YEAR($A124),'NY East Load Projections'!$A$4:$EO$14,((MONTH($A124)-1)*12)+VLOOKUP(CP$4,$DE$6:$DF$17,2)+1))*(VLOOKUP($A124,SatSunCurve,8))*(INDEX(DailyScalarsTable,CP$5/100,MONTH($A124)))*$E124</f>
        <v>0</v>
      </c>
      <c r="CQ124" s="1021">
        <f>(VLOOKUP(YEAR($A124),'NY East Load Projections'!$A$4:$EO$14,((MONTH($A124)-1)*12)+VLOOKUP(CQ$4,$DE$6:$DF$17,2)+1))*(VLOOKUP($A124,SatSunCurve,8))*(INDEX(DailyScalarsTable,CQ$5/100,MONTH($A124)))*$E124</f>
        <v>0</v>
      </c>
      <c r="CR124" s="1021">
        <f>(VLOOKUP(YEAR($A124),'NY East Load Projections'!$A$4:$EO$14,((MONTH($A124)-1)*12)+VLOOKUP(CR$4,$DE$6:$DF$17,2)+1))*(VLOOKUP($A124,SatSunCurve,8))*(INDEX(DailyScalarsTable,CR$5/100,MONTH($A124)))*$E124</f>
        <v>0</v>
      </c>
      <c r="CS124" s="1021">
        <f>(VLOOKUP(YEAR($A124),'NY East Load Projections'!$A$4:$EO$14,((MONTH($A124)-1)*12)+VLOOKUP(CS$4,$DE$6:$DF$17,2)+1))*(VLOOKUP($A124,SatSunCurve,8))*(INDEX(DailyScalarsTable,CS$5/100,MONTH($A124)))*$E124</f>
        <v>0</v>
      </c>
      <c r="CT124" s="1021">
        <f>(VLOOKUP(YEAR($A124),'NY East Load Projections'!$A$4:$EO$14,((MONTH($A124)-1)*12)+VLOOKUP(CT$4,$DE$6:$DF$17,2)+1))*(VLOOKUP($A124,SatSunCurve,8))*(INDEX(DailyScalarsTable,CT$5/100,MONTH($A124)))*$E124</f>
        <v>0</v>
      </c>
      <c r="CU124" s="1021">
        <f>(VLOOKUP(YEAR($A124),'NY East Load Projections'!$A$4:$EO$14,((MONTH($A124)-1)*12)+VLOOKUP(CU$4,$DE$6:$DF$17,2)+1))*(VLOOKUP($A124,SatSunCurve,8))*(INDEX(DailyScalarsTable,CU$5/100,MONTH($A124)))*$E124</f>
        <v>0</v>
      </c>
      <c r="CV124" s="1021">
        <f>(VLOOKUP(YEAR($A124),'NY East Load Projections'!$A$4:$EO$14,((MONTH($A124)-1)*12)+VLOOKUP(CV$4,$DE$6:$DF$17,2)+1))*(VLOOKUP($A124,SatSunCurve,8))*(INDEX(DailyScalarsTable,CV$5/100,MONTH($A124)))*$E124</f>
        <v>0</v>
      </c>
      <c r="CW124" s="1021">
        <f>(VLOOKUP(YEAR($A124),'NY East Load Projections'!$A$4:$EO$14,((MONTH($A124)-1)*12)+VLOOKUP(CW$4,$DE$6:$DF$17,2)+1))*(VLOOKUP($A124,SatSunCurve,8))*(INDEX(DailyScalarsTable,CW$5/100,MONTH($A124)))*$E124</f>
        <v>0</v>
      </c>
      <c r="CX124" s="1021">
        <f>(VLOOKUP(YEAR($A124),'NY East Load Projections'!$A$4:$EO$14,((MONTH($A124)-1)*12)+VLOOKUP(CX$4,$DE$6:$DF$17,2)+1))*(VLOOKUP($A124,SatSunCurve,8))*(INDEX(DailyScalarsTable,CX$5/100,MONTH($A124)))*$E124</f>
        <v>0</v>
      </c>
      <c r="CY124" s="1021">
        <f>(VLOOKUP(YEAR($A124),'NY East Load Projections'!$A$4:$EO$14,((MONTH($A124)-1)*12)+VLOOKUP(CY$4,$DE$6:$DF$17,2)+1))*(VLOOKUP($A124,SatSunCurve,8))*(INDEX(DailyScalarsTable,CY$5/100,MONTH($A124)))*$E124</f>
        <v>0</v>
      </c>
      <c r="CZ124" s="1021">
        <f>(VLOOKUP(YEAR($A124),'NY East Load Projections'!$A$4:$EO$14,((MONTH($A124)-1)*12)+VLOOKUP(CZ$4,$DE$6:$DF$17,2)+1))*(VLOOKUP($A124,SatSunCurve,8))*(INDEX(DailyScalarsTable,CZ$5/100,MONTH($A124)))*$E124</f>
        <v>0</v>
      </c>
      <c r="DA124" s="1021">
        <f>(VLOOKUP(YEAR($A124),'NY East Load Projections'!$A$4:$EO$14,((MONTH($A124)-1)*12)+VLOOKUP(DA$4,$DE$6:$DF$17,2)+1))*(VLOOKUP($A124,SatSunCurve,8))*(INDEX(DailyScalarsTable,DA$5/100,MONTH($A124)))*$E124</f>
        <v>0</v>
      </c>
      <c r="DB124" s="1021">
        <f>(VLOOKUP(YEAR($A124),'NY East Load Projections'!$A$4:$EO$14,((MONTH($A124)-1)*12)+VLOOKUP(DB$4,$DE$6:$DF$17,2)+1))*(VLOOKUP($A124,CURVES!$D$9:$T$261,8))*(INDEX(DailyScalarsTable,DB$5/100,MONTH($A124)))*$E124</f>
        <v>0</v>
      </c>
      <c r="DH124" s="1021">
        <f t="shared" si="2"/>
        <v>0</v>
      </c>
      <c r="DI124">
        <f ca="1">CALC!J144</f>
        <v>0.45523711593682986</v>
      </c>
      <c r="DJ124" s="1029">
        <f t="shared" ca="1" si="3"/>
        <v>0</v>
      </c>
    </row>
    <row r="125" spans="1:114" x14ac:dyDescent="0.25">
      <c r="A125" s="244">
        <v>40513</v>
      </c>
      <c r="B125" s="13">
        <v>23</v>
      </c>
      <c r="C125" s="210">
        <v>3</v>
      </c>
      <c r="D125" s="210">
        <v>4</v>
      </c>
      <c r="E125" s="210">
        <v>1</v>
      </c>
      <c r="F125" s="13">
        <v>31</v>
      </c>
      <c r="H125" s="1021">
        <f>(VLOOKUP(YEAR($A125),'NY East Load Projections'!$A$4:$EO$14,((MONTH($A125)-1)*12)+VLOOKUP(H$4,$DE$6:$DF$17,2)+1))*(VLOOKUP($A125,CURVES!$D$9:$K$261,8))*(INDEX(DailyScalarsTable,H$5/100,MONTH($A125)))*$B125</f>
        <v>0</v>
      </c>
      <c r="I125" s="1021">
        <f>(VLOOKUP(YEAR($A125),'NY East Load Projections'!$A$4:$EO$14,((MONTH($A125)-1)*12)+VLOOKUP(I$4,$DE$6:$DF$17,2)+1))*(VLOOKUP($A125,CURVES!$D$9:$K$261,8))*(INDEX(DailyScalarsTable,I$5/100,MONTH($A125)))*$B125</f>
        <v>0</v>
      </c>
      <c r="J125" s="1021">
        <f>(VLOOKUP(YEAR($A125),'NY East Load Projections'!$A$4:$EO$14,((MONTH($A125)-1)*12)+VLOOKUP(J$4,$DE$6:$DF$17,2)+1))*(VLOOKUP($A125,CURVES!$D$9:$K$261,8))*(INDEX(DailyScalarsTable,J$5/100,MONTH($A125)))*$B125</f>
        <v>0</v>
      </c>
      <c r="K125" s="1021">
        <f>(VLOOKUP(YEAR($A125),'NY East Load Projections'!$A$4:$EO$14,((MONTH($A125)-1)*12)+VLOOKUP(K$4,$DE$6:$DF$17,2)+1))*(VLOOKUP($A125,CURVES!$D$9:$K$261,8))*(INDEX(DailyScalarsTable,K$5/100,MONTH($A125)))*$B125</f>
        <v>0</v>
      </c>
      <c r="L125" s="1021">
        <f>(VLOOKUP(YEAR($A125),'NY East Load Projections'!$A$4:$EO$14,((MONTH($A125)-1)*12)+VLOOKUP(L$4,$DE$6:$DF$17,2)+1))*(VLOOKUP($A125,CURVES!$D$9:$K$261,8))*(INDEX(DailyScalarsTable,L$5/100,MONTH($A125)))*$B125</f>
        <v>0</v>
      </c>
      <c r="M125" s="1021">
        <f>(VLOOKUP(YEAR($A125),'NY East Load Projections'!$A$4:$EO$14,((MONTH($A125)-1)*12)+VLOOKUP(M$4,$DE$6:$DF$17,2)+1))*(VLOOKUP($A125,CURVES!$D$9:$K$261,8))*(INDEX(DailyScalarsTable,M$5/100,MONTH($A125)))*$B125</f>
        <v>0</v>
      </c>
      <c r="N125" s="1021">
        <f>(VLOOKUP(YEAR($A125),'NY East Load Projections'!$A$4:$EO$14,((MONTH($A125)-1)*12)+VLOOKUP(N$4,$DE$6:$DF$17,2)+1))*(VLOOKUP($A125,CURVES!$D$9:$K$261,8))*(INDEX(DailyScalarsTable,N$5/100,MONTH($A125)))*$B125</f>
        <v>0</v>
      </c>
      <c r="O125" s="1021">
        <f>(VLOOKUP(YEAR($A125),'NY East Load Projections'!$A$4:$EO$14,((MONTH($A125)-1)*12)+VLOOKUP(O$4,$DE$6:$DF$17,2)+1))*(VLOOKUP($A125,CURVES!$D$9:$K$261,4))*(INDEX(DailyScalarsTable,O$5/100,MONTH($A125)))*$B125</f>
        <v>0</v>
      </c>
      <c r="P125" s="1021">
        <f>(VLOOKUP(YEAR($A125),'NY East Load Projections'!$A$4:$EO$14,((MONTH($A125)-1)*12)+VLOOKUP(P$4,$DE$6:$DF$17,2)+1))*(VLOOKUP($A125,CURVES!$D$9:$K$261,4))*(INDEX(DailyScalarsTable,P$5/100,MONTH($A125)))*$B125</f>
        <v>0</v>
      </c>
      <c r="Q125" s="1021">
        <f>(VLOOKUP(YEAR($A125),'NY East Load Projections'!$A$4:$EO$14,((MONTH($A125)-1)*12)+VLOOKUP(Q$4,$DE$6:$DF$17,2)+1))*(VLOOKUP($A125,CURVES!$D$9:$K$261,4))*(INDEX(DailyScalarsTable,Q$5/100,MONTH($A125)))*$B125</f>
        <v>0</v>
      </c>
      <c r="R125" s="1021">
        <f>(VLOOKUP(YEAR($A125),'NY East Load Projections'!$A$4:$EO$14,((MONTH($A125)-1)*12)+VLOOKUP(R$4,$DE$6:$DF$17,2)+1))*(VLOOKUP($A125,CURVES!$D$9:$K$261,4))*(INDEX(DailyScalarsTable,R$5/100,MONTH($A125)))*$B125</f>
        <v>0</v>
      </c>
      <c r="S125" s="1021">
        <f>(VLOOKUP(YEAR($A125),'NY East Load Projections'!$A$4:$EO$14,((MONTH($A125)-1)*12)+VLOOKUP(S$4,$DE$6:$DF$17,2)+1))*(VLOOKUP($A125,CURVES!$D$9:$K$261,4))*(INDEX(DailyScalarsTable,S$5/100,MONTH($A125)))*$B125</f>
        <v>0</v>
      </c>
      <c r="T125" s="1021">
        <f>(VLOOKUP(YEAR($A125),'NY East Load Projections'!$A$4:$EO$14,((MONTH($A125)-1)*12)+VLOOKUP(T$4,$DE$6:$DF$17,2)+1))*(VLOOKUP($A125,CURVES!$D$9:$K$261,4))*(INDEX(DailyScalarsTable,T$5/100,MONTH($A125)))*$B125</f>
        <v>0</v>
      </c>
      <c r="U125" s="1021">
        <f>(VLOOKUP(YEAR($A125),'NY East Load Projections'!$A$4:$EO$14,((MONTH($A125)-1)*12)+VLOOKUP(U$4,$DE$6:$DF$17,2)+1))*(VLOOKUP($A125,CURVES!$D$9:$K$261,4))*(INDEX(DailyScalarsTable,U$5/100,MONTH($A125)))*$B125</f>
        <v>0</v>
      </c>
      <c r="V125" s="1021">
        <f>(VLOOKUP(YEAR($A125),'NY East Load Projections'!$A$4:$EO$14,((MONTH($A125)-1)*12)+VLOOKUP(V$4,$DE$6:$DF$17,2)+1))*(VLOOKUP($A125,CURVES!$D$9:$K$261,4))*(INDEX(DailyScalarsTable,V$5/100,MONTH($A125)))*$B125</f>
        <v>0</v>
      </c>
      <c r="W125" s="1021">
        <f>(VLOOKUP(YEAR($A125),'NY East Load Projections'!$A$4:$EO$14,((MONTH($A125)-1)*12)+VLOOKUP(W$4,$DE$6:$DF$17,2)+1))*(VLOOKUP($A125,CURVES!$D$9:$K$261,4))*(INDEX(DailyScalarsTable,W$5/100,MONTH($A125)))*$B125</f>
        <v>0</v>
      </c>
      <c r="X125" s="1021">
        <f>(VLOOKUP(YEAR($A125),'NY East Load Projections'!$A$4:$EO$14,((MONTH($A125)-1)*12)+VLOOKUP(X$4,$DE$6:$DF$17,2)+1))*(VLOOKUP($A125,CURVES!$D$9:$K$261,4))*(INDEX(DailyScalarsTable,X$5/100,MONTH($A125)))*$B125</f>
        <v>0</v>
      </c>
      <c r="Y125" s="1021">
        <f>(VLOOKUP(YEAR($A125),'NY East Load Projections'!$A$4:$EO$14,((MONTH($A125)-1)*12)+VLOOKUP(Y$4,$DE$6:$DF$17,2)+1))*(VLOOKUP($A125,CURVES!$D$9:$K$261,4))*(INDEX(DailyScalarsTable,Y$5/100,MONTH($A125)))*$B125</f>
        <v>0</v>
      </c>
      <c r="Z125" s="1021">
        <f>(VLOOKUP(YEAR($A125),'NY East Load Projections'!$A$4:$EO$14,((MONTH($A125)-1)*12)+VLOOKUP(Z$4,$DE$6:$DF$17,2)+1))*(VLOOKUP($A125,CURVES!$D$9:$K$261,4))*(INDEX(DailyScalarsTable,Z$5/100,MONTH($A125)))*$B125</f>
        <v>0</v>
      </c>
      <c r="AA125" s="1021">
        <f>(VLOOKUP(YEAR($A125),'NY East Load Projections'!$A$4:$EO$14,((MONTH($A125)-1)*12)+VLOOKUP(AA$4,$DE$6:$DF$17,2)+1))*(VLOOKUP($A125,CURVES!$D$9:$K$261,4))*(INDEX(DailyScalarsTable,AA$5/100,MONTH($A125)))*$B125</f>
        <v>0</v>
      </c>
      <c r="AB125" s="1021">
        <f>(VLOOKUP(YEAR($A125),'NY East Load Projections'!$A$4:$EO$14,((MONTH($A125)-1)*12)+VLOOKUP(AB$4,$DE$6:$DF$17,2)+1))*(VLOOKUP($A125,CURVES!$D$9:$K$261,4))*(INDEX(DailyScalarsTable,AB$5/100,MONTH($A125)))*$B125</f>
        <v>0</v>
      </c>
      <c r="AC125" s="1021">
        <f>(VLOOKUP(YEAR($A125),'NY East Load Projections'!$A$4:$EO$14,((MONTH($A125)-1)*12)+VLOOKUP(AC$4,$DE$6:$DF$17,2)+1))*(VLOOKUP($A125,CURVES!$D$9:$K$261,4))*(INDEX(DailyScalarsTable,AC$5/100,MONTH($A125)))*$B125</f>
        <v>0</v>
      </c>
      <c r="AD125" s="1021">
        <f>(VLOOKUP(YEAR($A125),'NY East Load Projections'!$A$4:$EO$14,((MONTH($A125)-1)*12)+VLOOKUP(AD$4,$DE$6:$DF$17,2)+1))*(VLOOKUP($A125,CURVES!$D$9:$K$261,4))*(INDEX(DailyScalarsTable,AD$5/100,MONTH($A125)))*$B125</f>
        <v>0</v>
      </c>
      <c r="AE125" s="1021">
        <f>(VLOOKUP(YEAR($A125),'NY East Load Projections'!$A$4:$EO$14,((MONTH($A125)-1)*12)+VLOOKUP(AE$4,$DE$6:$DF$17,2)+1))*(VLOOKUP($A125,CURVES!$D$9:$K$261,8))*(INDEX(DailyScalarsTable,AE$5/100,MONTH($A125)))*$B125</f>
        <v>0</v>
      </c>
      <c r="AF125" s="1021"/>
      <c r="AG125" s="1021">
        <f>(VLOOKUP(YEAR($A125),'NY East Load Projections'!$A$4:$EO$14,((MONTH($A125)-1)*12)+VLOOKUP(AG$4,$DE$6:$DF$17,2)+1))*(VLOOKUP($A125,CURVES!$D$9:$T$261,8))*(INDEX(DailyScalarsTable,AG$5/100,MONTH($A125)))*$C125</f>
        <v>0</v>
      </c>
      <c r="AH125" s="1021">
        <f>(VLOOKUP(YEAR($A125),'NY East Load Projections'!$A$4:$EO$14,((MONTH($A125)-1)*12)+VLOOKUP(AH$4,$DE$6:$DF$17,2)+1))*(VLOOKUP($A125,CURVES!$D$9:$T$261,8))*(INDEX(DailyScalarsTable,AH$5/100,MONTH($A125)))*$C125</f>
        <v>0</v>
      </c>
      <c r="AI125" s="1021">
        <f>(VLOOKUP(YEAR($A125),'NY East Load Projections'!$A$4:$EO$14,((MONTH($A125)-1)*12)+VLOOKUP(AI$4,$DE$6:$DF$17,2)+1))*(VLOOKUP($A125,CURVES!$D$9:$T$261,8))*(INDEX(DailyScalarsTable,AI$5/100,MONTH($A125)))*$C125</f>
        <v>0</v>
      </c>
      <c r="AJ125" s="1021">
        <f>(VLOOKUP(YEAR($A125),'NY East Load Projections'!$A$4:$EO$14,((MONTH($A125)-1)*12)+VLOOKUP(AJ$4,$DE$6:$DF$17,2)+1))*(VLOOKUP($A125,CURVES!$D$9:$T$261,8))*(INDEX(DailyScalarsTable,AJ$5/100,MONTH($A125)))*$C125</f>
        <v>0</v>
      </c>
      <c r="AK125" s="1021">
        <f>(VLOOKUP(YEAR($A125),'NY East Load Projections'!$A$4:$EO$14,((MONTH($A125)-1)*12)+VLOOKUP(AK$4,$DE$6:$DF$17,2)+1))*(VLOOKUP($A125,CURVES!$D$9:$T$261,8))*(INDEX(DailyScalarsTable,AK$5/100,MONTH($A125)))*$C125</f>
        <v>0</v>
      </c>
      <c r="AL125" s="1021">
        <f>(VLOOKUP(YEAR($A125),'NY East Load Projections'!$A$4:$EO$14,((MONTH($A125)-1)*12)+VLOOKUP(AL$4,$DE$6:$DF$17,2)+1))*(VLOOKUP($A125,CURVES!$D$9:$T$261,8))*(INDEX(DailyScalarsTable,AL$5/100,MONTH($A125)))*$C125</f>
        <v>0</v>
      </c>
      <c r="AM125" s="1021">
        <f>(VLOOKUP(YEAR($A125),'NY East Load Projections'!$A$4:$EO$14,((MONTH($A125)-1)*12)+VLOOKUP(AM$4,$DE$6:$DF$17,2)+1))*(VLOOKUP($A125,CURVES!$D$9:$T$261,8))*(INDEX(DailyScalarsTable,AM$5/100,MONTH($A125)))*$C125</f>
        <v>0</v>
      </c>
      <c r="AN125" s="1021">
        <f>(VLOOKUP(YEAR($A125),'NY East Load Projections'!$A$4:$EO$14,((MONTH($A125)-1)*12)+VLOOKUP(AN$4,$DE$6:$DF$17,2)+1))*(VLOOKUP($A125,SatSunCurve,4))*(INDEX(DailyScalarsTable,AN$5/100,MONTH($A125)))*$C125</f>
        <v>0</v>
      </c>
      <c r="AO125" s="1021">
        <f>(VLOOKUP(YEAR($A125),'NY East Load Projections'!$A$4:$EO$14,((MONTH($A125)-1)*12)+VLOOKUP(AO$4,$DE$6:$DF$17,2)+1))*(VLOOKUP($A125,SatSunCurve,4))*(INDEX(DailyScalarsTable,AO$5/100,MONTH($A125)))*$C125</f>
        <v>0</v>
      </c>
      <c r="AP125" s="1021">
        <f>(VLOOKUP(YEAR($A125),'NY East Load Projections'!$A$4:$EO$14,((MONTH($A125)-1)*12)+VLOOKUP(AP$4,$DE$6:$DF$17,2)+1))*(VLOOKUP($A125,SatSunCurve,4))*(INDEX(DailyScalarsTable,AP$5/100,MONTH($A125)))*$C125</f>
        <v>0</v>
      </c>
      <c r="AQ125" s="1021">
        <f>(VLOOKUP(YEAR($A125),'NY East Load Projections'!$A$4:$EO$14,((MONTH($A125)-1)*12)+VLOOKUP(AQ$4,$DE$6:$DF$17,2)+1))*(VLOOKUP($A125,SatSunCurve,4))*(INDEX(DailyScalarsTable,AQ$5/100,MONTH($A125)))*$C125</f>
        <v>0</v>
      </c>
      <c r="AR125" s="1021">
        <f>(VLOOKUP(YEAR($A125),'NY East Load Projections'!$A$4:$EO$14,((MONTH($A125)-1)*12)+VLOOKUP(AR$4,$DE$6:$DF$17,2)+1))*(VLOOKUP($A125,SatSunCurve,4))*(INDEX(DailyScalarsTable,AR$5/100,MONTH($A125)))*$C125</f>
        <v>0</v>
      </c>
      <c r="AS125" s="1021">
        <f>(VLOOKUP(YEAR($A125),'NY East Load Projections'!$A$4:$EO$14,((MONTH($A125)-1)*12)+VLOOKUP(AS$4,$DE$6:$DF$17,2)+1))*(VLOOKUP($A125,SatSunCurve,4))*(INDEX(DailyScalarsTable,AS$5/100,MONTH($A125)))*$C125</f>
        <v>0</v>
      </c>
      <c r="AT125" s="1021">
        <f>(VLOOKUP(YEAR($A125),'NY East Load Projections'!$A$4:$EO$14,((MONTH($A125)-1)*12)+VLOOKUP(AT$4,$DE$6:$DF$17,2)+1))*(VLOOKUP($A125,SatSunCurve,4))*(INDEX(DailyScalarsTable,AT$5/100,MONTH($A125)))*$C125</f>
        <v>0</v>
      </c>
      <c r="AU125" s="1021">
        <f>(VLOOKUP(YEAR($A125),'NY East Load Projections'!$A$4:$EO$14,((MONTH($A125)-1)*12)+VLOOKUP(AU$4,$DE$6:$DF$17,2)+1))*(VLOOKUP($A125,SatSunCurve,4))*(INDEX(DailyScalarsTable,AU$5/100,MONTH($A125)))*$C125</f>
        <v>0</v>
      </c>
      <c r="AV125" s="1021">
        <f>(VLOOKUP(YEAR($A125),'NY East Load Projections'!$A$4:$EO$14,((MONTH($A125)-1)*12)+VLOOKUP(AV$4,$DE$6:$DF$17,2)+1))*(VLOOKUP($A125,SatSunCurve,4))*(INDEX(DailyScalarsTable,AV$5/100,MONTH($A125)))*$C125</f>
        <v>0</v>
      </c>
      <c r="AW125" s="1021">
        <f>(VLOOKUP(YEAR($A125),'NY East Load Projections'!$A$4:$EO$14,((MONTH($A125)-1)*12)+VLOOKUP(AW$4,$DE$6:$DF$17,2)+1))*(VLOOKUP($A125,SatSunCurve,4))*(INDEX(DailyScalarsTable,AW$5/100,MONTH($A125)))*$C125</f>
        <v>0</v>
      </c>
      <c r="AX125" s="1021">
        <f>(VLOOKUP(YEAR($A125),'NY East Load Projections'!$A$4:$EO$14,((MONTH($A125)-1)*12)+VLOOKUP(AX$4,$DE$6:$DF$17,2)+1))*(VLOOKUP($A125,SatSunCurve,4))*(INDEX(DailyScalarsTable,AX$5/100,MONTH($A125)))*$C125</f>
        <v>0</v>
      </c>
      <c r="AY125" s="1021">
        <f>(VLOOKUP(YEAR($A125),'NY East Load Projections'!$A$4:$EO$14,((MONTH($A125)-1)*12)+VLOOKUP(AY$4,$DE$6:$DF$17,2)+1))*(VLOOKUP($A125,SatSunCurve,4))*(INDEX(DailyScalarsTable,AY$5/100,MONTH($A125)))*$C125</f>
        <v>0</v>
      </c>
      <c r="AZ125" s="1021">
        <f>(VLOOKUP(YEAR($A125),'NY East Load Projections'!$A$4:$EO$14,((MONTH($A125)-1)*12)+VLOOKUP(AZ$4,$DE$6:$DF$17,2)+1))*(VLOOKUP($A125,SatSunCurve,4))*(INDEX(DailyScalarsTable,AZ$5/100,MONTH($A125)))*$C125</f>
        <v>0</v>
      </c>
      <c r="BA125" s="1021">
        <f>(VLOOKUP(YEAR($A125),'NY East Load Projections'!$A$4:$EO$14,((MONTH($A125)-1)*12)+VLOOKUP(BA$4,$DE$6:$DF$17,2)+1))*(VLOOKUP($A125,SatSunCurve,4))*(INDEX(DailyScalarsTable,BA$5/100,MONTH($A125)))*$C125</f>
        <v>0</v>
      </c>
      <c r="BB125" s="1021">
        <f>(VLOOKUP(YEAR($A125),'NY East Load Projections'!$A$4:$EO$14,((MONTH($A125)-1)*12)+VLOOKUP(BB$4,$DE$6:$DF$17,2)+1))*(VLOOKUP($A125,SatSunCurve,4))*(INDEX(DailyScalarsTable,BB$5/100,MONTH($A125)))*$C125</f>
        <v>0</v>
      </c>
      <c r="BC125" s="1021">
        <f>(VLOOKUP(YEAR($A125),'NY East Load Projections'!$A$4:$EO$14,((MONTH($A125)-1)*12)+VLOOKUP(BC$4,$DE$6:$DF$17,2)+1))*(VLOOKUP($A125,SatSunCurve,4))*(INDEX(DailyScalarsTable,BC$5/100,MONTH($A125)))*$C125</f>
        <v>0</v>
      </c>
      <c r="BD125" s="1021">
        <f>(VLOOKUP(YEAR($A125),'NY East Load Projections'!$A$4:$EO$14,((MONTH($A125)-1)*12)+VLOOKUP(BD$4,$DE$6:$DF$17,2)+1))*(VLOOKUP($A125,CURVES!$D$9:$T$261,8))*(INDEX(DailyScalarsTable,BD$5/100,MONTH($A125)))*$C125</f>
        <v>0</v>
      </c>
      <c r="BE125" s="1021"/>
      <c r="BF125" s="1021">
        <f>(VLOOKUP(YEAR($A125),'NY East Load Projections'!$A$4:$EO$14,((MONTH($A125)-1)*12)+VLOOKUP(BF$4,$DE$6:$DF$17,2)+1))*(VLOOKUP($A125,CURVES!$D$9:$T$261,8))*(INDEX(DailyScalarsTable,BF$5/100,MONTH($A125)))*$D125</f>
        <v>0</v>
      </c>
      <c r="BG125" s="1021">
        <f>(VLOOKUP(YEAR($A125),'NY East Load Projections'!$A$4:$EO$14,((MONTH($A125)-1)*12)+VLOOKUP(BG$4,$DE$6:$DF$17,2)+1))*(VLOOKUP($A125,CURVES!$D$9:$T$261,8))*(INDEX(DailyScalarsTable,BG$5/100,MONTH($A125)))*$D125</f>
        <v>0</v>
      </c>
      <c r="BH125" s="1021">
        <f>(VLOOKUP(YEAR($A125),'NY East Load Projections'!$A$4:$EO$14,((MONTH($A125)-1)*12)+VLOOKUP(BH$4,$DE$6:$DF$17,2)+1))*(VLOOKUP($A125,CURVES!$D$9:$T$261,8))*(INDEX(DailyScalarsTable,BH$5/100,MONTH($A125)))*$D125</f>
        <v>0</v>
      </c>
      <c r="BI125" s="1021">
        <f>(VLOOKUP(YEAR($A125),'NY East Load Projections'!$A$4:$EO$14,((MONTH($A125)-1)*12)+VLOOKUP(BI$4,$DE$6:$DF$17,2)+1))*(VLOOKUP($A125,CURVES!$D$9:$T$261,8))*(INDEX(DailyScalarsTable,BI$5/100,MONTH($A125)))*$D125</f>
        <v>0</v>
      </c>
      <c r="BJ125" s="1021">
        <f>(VLOOKUP(YEAR($A125),'NY East Load Projections'!$A$4:$EO$14,((MONTH($A125)-1)*12)+VLOOKUP(BJ$4,$DE$6:$DF$17,2)+1))*(VLOOKUP($A125,CURVES!$D$9:$T$261,8))*(INDEX(DailyScalarsTable,BJ$5/100,MONTH($A125)))*$D125</f>
        <v>0</v>
      </c>
      <c r="BK125" s="1021">
        <f>(VLOOKUP(YEAR($A125),'NY East Load Projections'!$A$4:$EO$14,((MONTH($A125)-1)*12)+VLOOKUP(BK$4,$DE$6:$DF$17,2)+1))*(VLOOKUP($A125,CURVES!$D$9:$T$261,8))*(INDEX(DailyScalarsTable,BK$5/100,MONTH($A125)))*$D125</f>
        <v>0</v>
      </c>
      <c r="BL125" s="1021">
        <f>(VLOOKUP(YEAR($A125),'NY East Load Projections'!$A$4:$EO$14,((MONTH($A125)-1)*12)+VLOOKUP(BL$4,$DE$6:$DF$17,2)+1))*(VLOOKUP($A125,CURVES!$D$9:$T$261,8))*(INDEX(DailyScalarsTable,BL$5/100,MONTH($A125)))*$D125</f>
        <v>0</v>
      </c>
      <c r="BM125" s="1021">
        <f>(VLOOKUP(YEAR($A125),'NY East Load Projections'!$A$4:$EO$14,((MONTH($A125)-1)*12)+VLOOKUP(BM$4,$DE$6:$DF$17,2)+1))*(VLOOKUP($A125,SatSunCurve,8))*(INDEX(DailyScalarsTable,BM$5/100,MONTH($A125)))*$D125</f>
        <v>0</v>
      </c>
      <c r="BN125" s="1021">
        <f>(VLOOKUP(YEAR($A125),'NY East Load Projections'!$A$4:$EO$14,((MONTH($A125)-1)*12)+VLOOKUP(BN$4,$DE$6:$DF$17,2)+1))*(VLOOKUP($A125,SatSunCurve,8))*(INDEX(DailyScalarsTable,BN$5/100,MONTH($A125)))*$D125</f>
        <v>0</v>
      </c>
      <c r="BO125" s="1021">
        <f>(VLOOKUP(YEAR($A125),'NY East Load Projections'!$A$4:$EO$14,((MONTH($A125)-1)*12)+VLOOKUP(BO$4,$DE$6:$DF$17,2)+1))*(VLOOKUP($A125,SatSunCurve,8))*(INDEX(DailyScalarsTable,BO$5/100,MONTH($A125)))*$D125</f>
        <v>0</v>
      </c>
      <c r="BP125" s="1021">
        <f>(VLOOKUP(YEAR($A125),'NY East Load Projections'!$A$4:$EO$14,((MONTH($A125)-1)*12)+VLOOKUP(BP$4,$DE$6:$DF$17,2)+1))*(VLOOKUP($A125,SatSunCurve,8))*(INDEX(DailyScalarsTable,BP$5/100,MONTH($A125)))*$D125</f>
        <v>0</v>
      </c>
      <c r="BQ125" s="1021">
        <f>(VLOOKUP(YEAR($A125),'NY East Load Projections'!$A$4:$EO$14,((MONTH($A125)-1)*12)+VLOOKUP(BQ$4,$DE$6:$DF$17,2)+1))*(VLOOKUP($A125,SatSunCurve,8))*(INDEX(DailyScalarsTable,BQ$5/100,MONTH($A125)))*$D125</f>
        <v>0</v>
      </c>
      <c r="BR125" s="1021">
        <f>(VLOOKUP(YEAR($A125),'NY East Load Projections'!$A$4:$EO$14,((MONTH($A125)-1)*12)+VLOOKUP(BR$4,$DE$6:$DF$17,2)+1))*(VLOOKUP($A125,SatSunCurve,8))*(INDEX(DailyScalarsTable,BR$5/100,MONTH($A125)))*$D125</f>
        <v>0</v>
      </c>
      <c r="BS125" s="1021">
        <f>(VLOOKUP(YEAR($A125),'NY East Load Projections'!$A$4:$EO$14,((MONTH($A125)-1)*12)+VLOOKUP(BS$4,$DE$6:$DF$17,2)+1))*(VLOOKUP($A125,SatSunCurve,8))*(INDEX(DailyScalarsTable,BS$5/100,MONTH($A125)))*$D125</f>
        <v>0</v>
      </c>
      <c r="BT125" s="1021">
        <f>(VLOOKUP(YEAR($A125),'NY East Load Projections'!$A$4:$EO$14,((MONTH($A125)-1)*12)+VLOOKUP(BT$4,$DE$6:$DF$17,2)+1))*(VLOOKUP($A125,SatSunCurve,8))*(INDEX(DailyScalarsTable,BT$5/100,MONTH($A125)))*$D125</f>
        <v>0</v>
      </c>
      <c r="BU125" s="1021">
        <f>(VLOOKUP(YEAR($A125),'NY East Load Projections'!$A$4:$EO$14,((MONTH($A125)-1)*12)+VLOOKUP(BU$4,$DE$6:$DF$17,2)+1))*(VLOOKUP($A125,SatSunCurve,8))*(INDEX(DailyScalarsTable,BU$5/100,MONTH($A125)))*$D125</f>
        <v>0</v>
      </c>
      <c r="BV125" s="1021">
        <f>(VLOOKUP(YEAR($A125),'NY East Load Projections'!$A$4:$EO$14,((MONTH($A125)-1)*12)+VLOOKUP(BV$4,$DE$6:$DF$17,2)+1))*(VLOOKUP($A125,SatSunCurve,8))*(INDEX(DailyScalarsTable,BV$5/100,MONTH($A125)))*$D125</f>
        <v>0</v>
      </c>
      <c r="BW125" s="1021">
        <f>(VLOOKUP(YEAR($A125),'NY East Load Projections'!$A$4:$EO$14,((MONTH($A125)-1)*12)+VLOOKUP(BW$4,$DE$6:$DF$17,2)+1))*(VLOOKUP($A125,SatSunCurve,8))*(INDEX(DailyScalarsTable,BW$5/100,MONTH($A125)))*$D125</f>
        <v>0</v>
      </c>
      <c r="BX125" s="1021">
        <f>(VLOOKUP(YEAR($A125),'NY East Load Projections'!$A$4:$EO$14,((MONTH($A125)-1)*12)+VLOOKUP(BX$4,$DE$6:$DF$17,2)+1))*(VLOOKUP($A125,SatSunCurve,8))*(INDEX(DailyScalarsTable,BX$5/100,MONTH($A125)))*$D125</f>
        <v>0</v>
      </c>
      <c r="BY125" s="1021">
        <f>(VLOOKUP(YEAR($A125),'NY East Load Projections'!$A$4:$EO$14,((MONTH($A125)-1)*12)+VLOOKUP(BY$4,$DE$6:$DF$17,2)+1))*(VLOOKUP($A125,SatSunCurve,8))*(INDEX(DailyScalarsTable,BY$5/100,MONTH($A125)))*$D125</f>
        <v>0</v>
      </c>
      <c r="BZ125" s="1021">
        <f>(VLOOKUP(YEAR($A125),'NY East Load Projections'!$A$4:$EO$14,((MONTH($A125)-1)*12)+VLOOKUP(BZ$4,$DE$6:$DF$17,2)+1))*(VLOOKUP($A125,SatSunCurve,8))*(INDEX(DailyScalarsTable,BZ$5/100,MONTH($A125)))*$D125</f>
        <v>0</v>
      </c>
      <c r="CA125" s="1021">
        <f>(VLOOKUP(YEAR($A125),'NY East Load Projections'!$A$4:$EO$14,((MONTH($A125)-1)*12)+VLOOKUP(CA$4,$DE$6:$DF$17,2)+1))*(VLOOKUP($A125,SatSunCurve,8))*(INDEX(DailyScalarsTable,CA$5/100,MONTH($A125)))*$D125</f>
        <v>0</v>
      </c>
      <c r="CB125" s="1021">
        <f>(VLOOKUP(YEAR($A125),'NY East Load Projections'!$A$4:$EO$14,((MONTH($A125)-1)*12)+VLOOKUP(CB$4,$DE$6:$DF$17,2)+1))*(VLOOKUP($A125,SatSunCurve,8))*(INDEX(DailyScalarsTable,CB$5/100,MONTH($A125)))*$D125</f>
        <v>0</v>
      </c>
      <c r="CC125" s="1021">
        <f>(VLOOKUP(YEAR($A125),'NY East Load Projections'!$A$4:$EO$14,((MONTH($A125)-1)*12)+VLOOKUP(CC$4,$DE$6:$DF$17,2)+1))*(VLOOKUP($A125,CURVES!$D$9:$T$261,8))*(INDEX(DailyScalarsTable,CC$5/100,MONTH($A125)))*$D125</f>
        <v>0</v>
      </c>
      <c r="CE125" s="1021">
        <f>(VLOOKUP(YEAR($A125),'NY East Load Projections'!$A$4:$EO$14,((MONTH($A125)-1)*12)+VLOOKUP(CE$4,$DE$6:$DF$17,2)+1))*(VLOOKUP($A125,CURVES!$D$9:$T$261,8))*(INDEX(DailyScalarsTable,CE$5/100,MONTH($A125)))*$E125</f>
        <v>0</v>
      </c>
      <c r="CF125" s="1021">
        <f>(VLOOKUP(YEAR($A125),'NY East Load Projections'!$A$4:$EO$14,((MONTH($A125)-1)*12)+VLOOKUP(CF$4,$DE$6:$DF$17,2)+1))*(VLOOKUP($A125,CURVES!$D$9:$T$261,8))*(INDEX(DailyScalarsTable,CF$5/100,MONTH($A125)))*$E125</f>
        <v>0</v>
      </c>
      <c r="CG125" s="1021">
        <f>(VLOOKUP(YEAR($A125),'NY East Load Projections'!$A$4:$EO$14,((MONTH($A125)-1)*12)+VLOOKUP(CG$4,$DE$6:$DF$17,2)+1))*(VLOOKUP($A125,CURVES!$D$9:$T$261,8))*(INDEX(DailyScalarsTable,CG$5/100,MONTH($A125)))*$E125</f>
        <v>0</v>
      </c>
      <c r="CH125" s="1021">
        <f>(VLOOKUP(YEAR($A125),'NY East Load Projections'!$A$4:$EO$14,((MONTH($A125)-1)*12)+VLOOKUP(CH$4,$DE$6:$DF$17,2)+1))*(VLOOKUP($A125,CURVES!$D$9:$T$261,8))*(INDEX(DailyScalarsTable,CH$5/100,MONTH($A125)))*$E125</f>
        <v>0</v>
      </c>
      <c r="CI125" s="1021">
        <f>(VLOOKUP(YEAR($A125),'NY East Load Projections'!$A$4:$EO$14,((MONTH($A125)-1)*12)+VLOOKUP(CI$4,$DE$6:$DF$17,2)+1))*(VLOOKUP($A125,CURVES!$D$9:$T$261,8))*(INDEX(DailyScalarsTable,CI$5/100,MONTH($A125)))*$E125</f>
        <v>0</v>
      </c>
      <c r="CJ125" s="1021">
        <f>(VLOOKUP(YEAR($A125),'NY East Load Projections'!$A$4:$EO$14,((MONTH($A125)-1)*12)+VLOOKUP(CJ$4,$DE$6:$DF$17,2)+1))*(VLOOKUP($A125,CURVES!$D$9:$T$261,8))*(INDEX(DailyScalarsTable,CJ$5/100,MONTH($A125)))*$E125</f>
        <v>0</v>
      </c>
      <c r="CK125" s="1021">
        <f>(VLOOKUP(YEAR($A125),'NY East Load Projections'!$A$4:$EO$14,((MONTH($A125)-1)*12)+VLOOKUP(CK$4,$DE$6:$DF$17,2)+1))*(VLOOKUP($A125,CURVES!$D$9:$T$261,8))*(INDEX(DailyScalarsTable,CK$5/100,MONTH($A125)))*$E125</f>
        <v>0</v>
      </c>
      <c r="CL125" s="1021">
        <f>(VLOOKUP(YEAR($A125),'NY East Load Projections'!$A$4:$EO$14,((MONTH($A125)-1)*12)+VLOOKUP(CL$4,$DE$6:$DF$17,2)+1))*(VLOOKUP($A125,SatSunCurve,8))*(INDEX(DailyScalarsTable,CL$5/100,MONTH($A125)))*$E125</f>
        <v>0</v>
      </c>
      <c r="CM125" s="1021">
        <f>(VLOOKUP(YEAR($A125),'NY East Load Projections'!$A$4:$EO$14,((MONTH($A125)-1)*12)+VLOOKUP(CM$4,$DE$6:$DF$17,2)+1))*(VLOOKUP($A125,SatSunCurve,8))*(INDEX(DailyScalarsTable,CM$5/100,MONTH($A125)))*$E125</f>
        <v>0</v>
      </c>
      <c r="CN125" s="1021">
        <f>(VLOOKUP(YEAR($A125),'NY East Load Projections'!$A$4:$EO$14,((MONTH($A125)-1)*12)+VLOOKUP(CN$4,$DE$6:$DF$17,2)+1))*(VLOOKUP($A125,SatSunCurve,8))*(INDEX(DailyScalarsTable,CN$5/100,MONTH($A125)))*$E125</f>
        <v>0</v>
      </c>
      <c r="CO125" s="1021">
        <f>(VLOOKUP(YEAR($A125),'NY East Load Projections'!$A$4:$EO$14,((MONTH($A125)-1)*12)+VLOOKUP(CO$4,$DE$6:$DF$17,2)+1))*(VLOOKUP($A125,SatSunCurve,8))*(INDEX(DailyScalarsTable,CO$5/100,MONTH($A125)))*$E125</f>
        <v>0</v>
      </c>
      <c r="CP125" s="1021">
        <f>(VLOOKUP(YEAR($A125),'NY East Load Projections'!$A$4:$EO$14,((MONTH($A125)-1)*12)+VLOOKUP(CP$4,$DE$6:$DF$17,2)+1))*(VLOOKUP($A125,SatSunCurve,8))*(INDEX(DailyScalarsTable,CP$5/100,MONTH($A125)))*$E125</f>
        <v>0</v>
      </c>
      <c r="CQ125" s="1021">
        <f>(VLOOKUP(YEAR($A125),'NY East Load Projections'!$A$4:$EO$14,((MONTH($A125)-1)*12)+VLOOKUP(CQ$4,$DE$6:$DF$17,2)+1))*(VLOOKUP($A125,SatSunCurve,8))*(INDEX(DailyScalarsTable,CQ$5/100,MONTH($A125)))*$E125</f>
        <v>0</v>
      </c>
      <c r="CR125" s="1021">
        <f>(VLOOKUP(YEAR($A125),'NY East Load Projections'!$A$4:$EO$14,((MONTH($A125)-1)*12)+VLOOKUP(CR$4,$DE$6:$DF$17,2)+1))*(VLOOKUP($A125,SatSunCurve,8))*(INDEX(DailyScalarsTable,CR$5/100,MONTH($A125)))*$E125</f>
        <v>0</v>
      </c>
      <c r="CS125" s="1021">
        <f>(VLOOKUP(YEAR($A125),'NY East Load Projections'!$A$4:$EO$14,((MONTH($A125)-1)*12)+VLOOKUP(CS$4,$DE$6:$DF$17,2)+1))*(VLOOKUP($A125,SatSunCurve,8))*(INDEX(DailyScalarsTable,CS$5/100,MONTH($A125)))*$E125</f>
        <v>0</v>
      </c>
      <c r="CT125" s="1021">
        <f>(VLOOKUP(YEAR($A125),'NY East Load Projections'!$A$4:$EO$14,((MONTH($A125)-1)*12)+VLOOKUP(CT$4,$DE$6:$DF$17,2)+1))*(VLOOKUP($A125,SatSunCurve,8))*(INDEX(DailyScalarsTable,CT$5/100,MONTH($A125)))*$E125</f>
        <v>0</v>
      </c>
      <c r="CU125" s="1021">
        <f>(VLOOKUP(YEAR($A125),'NY East Load Projections'!$A$4:$EO$14,((MONTH($A125)-1)*12)+VLOOKUP(CU$4,$DE$6:$DF$17,2)+1))*(VLOOKUP($A125,SatSunCurve,8))*(INDEX(DailyScalarsTable,CU$5/100,MONTH($A125)))*$E125</f>
        <v>0</v>
      </c>
      <c r="CV125" s="1021">
        <f>(VLOOKUP(YEAR($A125),'NY East Load Projections'!$A$4:$EO$14,((MONTH($A125)-1)*12)+VLOOKUP(CV$4,$DE$6:$DF$17,2)+1))*(VLOOKUP($A125,SatSunCurve,8))*(INDEX(DailyScalarsTable,CV$5/100,MONTH($A125)))*$E125</f>
        <v>0</v>
      </c>
      <c r="CW125" s="1021">
        <f>(VLOOKUP(YEAR($A125),'NY East Load Projections'!$A$4:$EO$14,((MONTH($A125)-1)*12)+VLOOKUP(CW$4,$DE$6:$DF$17,2)+1))*(VLOOKUP($A125,SatSunCurve,8))*(INDEX(DailyScalarsTable,CW$5/100,MONTH($A125)))*$E125</f>
        <v>0</v>
      </c>
      <c r="CX125" s="1021">
        <f>(VLOOKUP(YEAR($A125),'NY East Load Projections'!$A$4:$EO$14,((MONTH($A125)-1)*12)+VLOOKUP(CX$4,$DE$6:$DF$17,2)+1))*(VLOOKUP($A125,SatSunCurve,8))*(INDEX(DailyScalarsTable,CX$5/100,MONTH($A125)))*$E125</f>
        <v>0</v>
      </c>
      <c r="CY125" s="1021">
        <f>(VLOOKUP(YEAR($A125),'NY East Load Projections'!$A$4:$EO$14,((MONTH($A125)-1)*12)+VLOOKUP(CY$4,$DE$6:$DF$17,2)+1))*(VLOOKUP($A125,SatSunCurve,8))*(INDEX(DailyScalarsTable,CY$5/100,MONTH($A125)))*$E125</f>
        <v>0</v>
      </c>
      <c r="CZ125" s="1021">
        <f>(VLOOKUP(YEAR($A125),'NY East Load Projections'!$A$4:$EO$14,((MONTH($A125)-1)*12)+VLOOKUP(CZ$4,$DE$6:$DF$17,2)+1))*(VLOOKUP($A125,SatSunCurve,8))*(INDEX(DailyScalarsTable,CZ$5/100,MONTH($A125)))*$E125</f>
        <v>0</v>
      </c>
      <c r="DA125" s="1021">
        <f>(VLOOKUP(YEAR($A125),'NY East Load Projections'!$A$4:$EO$14,((MONTH($A125)-1)*12)+VLOOKUP(DA$4,$DE$6:$DF$17,2)+1))*(VLOOKUP($A125,SatSunCurve,8))*(INDEX(DailyScalarsTable,DA$5/100,MONTH($A125)))*$E125</f>
        <v>0</v>
      </c>
      <c r="DB125" s="1021">
        <f>(VLOOKUP(YEAR($A125),'NY East Load Projections'!$A$4:$EO$14,((MONTH($A125)-1)*12)+VLOOKUP(DB$4,$DE$6:$DF$17,2)+1))*(VLOOKUP($A125,CURVES!$D$9:$T$261,8))*(INDEX(DailyScalarsTable,DB$5/100,MONTH($A125)))*$E125</f>
        <v>0</v>
      </c>
      <c r="DH125" s="1021">
        <f t="shared" si="2"/>
        <v>0</v>
      </c>
      <c r="DI125">
        <f ca="1">CALC!J145</f>
        <v>0.45243206669760117</v>
      </c>
      <c r="DJ125" s="1029">
        <f t="shared" ca="1" si="3"/>
        <v>0</v>
      </c>
    </row>
    <row r="126" spans="1:114" x14ac:dyDescent="0.25">
      <c r="H126" s="1023"/>
      <c r="I126" s="1022"/>
      <c r="J126" s="1022"/>
      <c r="K126" s="1022"/>
      <c r="L126" s="1022"/>
      <c r="M126" s="1022"/>
      <c r="N126" s="1022"/>
      <c r="O126" s="1022"/>
      <c r="P126" s="1022"/>
      <c r="Q126" s="1022"/>
      <c r="R126" s="1022"/>
      <c r="S126" s="1022"/>
      <c r="T126" s="1022"/>
      <c r="U126" s="1022"/>
      <c r="V126" s="1022"/>
      <c r="W126" s="1022"/>
      <c r="X126" s="1022"/>
      <c r="Y126" s="1022"/>
      <c r="Z126" s="1022"/>
      <c r="AA126" s="1022"/>
      <c r="AB126" s="1022"/>
      <c r="AC126" s="1022"/>
      <c r="AD126" s="1022"/>
      <c r="AE126" s="1023"/>
      <c r="AF126" s="1021"/>
      <c r="AG126" s="1021"/>
      <c r="AH126" s="1021"/>
      <c r="AI126" s="1021"/>
      <c r="AJ126" s="1021"/>
      <c r="AK126" s="1021"/>
      <c r="AL126" s="1021"/>
      <c r="AM126" s="1021"/>
      <c r="AN126" s="1021"/>
      <c r="AO126" s="1021"/>
      <c r="AP126" s="1021"/>
      <c r="AQ126" s="1021"/>
      <c r="AR126" s="1021"/>
      <c r="AS126" s="1021"/>
      <c r="AT126" s="1021"/>
      <c r="AU126" s="1021"/>
      <c r="AV126" s="1021"/>
      <c r="AW126" s="1021"/>
      <c r="AX126" s="1021"/>
      <c r="AY126" s="1021"/>
      <c r="AZ126" s="1021"/>
      <c r="BA126" s="1021"/>
      <c r="BB126" s="1021"/>
      <c r="BC126" s="1021"/>
      <c r="BD126" s="1021"/>
      <c r="BE126" s="1021"/>
      <c r="BF126" s="1021"/>
      <c r="BG126" s="1021"/>
      <c r="BH126" s="1021"/>
      <c r="BI126" s="1021"/>
      <c r="BJ126" s="1021"/>
      <c r="BK126" s="1021"/>
      <c r="BL126" s="1021"/>
      <c r="BM126" s="1021"/>
      <c r="BN126" s="1021"/>
      <c r="BO126" s="1021"/>
      <c r="BP126" s="1021"/>
      <c r="BQ126" s="1021"/>
      <c r="BR126" s="1021"/>
      <c r="BS126" s="1021"/>
      <c r="BT126" s="1021"/>
      <c r="BU126" s="1021"/>
      <c r="BV126" s="1021"/>
      <c r="BW126" s="1021"/>
      <c r="BX126" s="1021"/>
      <c r="BY126" s="1021"/>
      <c r="BZ126" s="1021"/>
      <c r="CA126" s="1021"/>
      <c r="CB126" s="1021"/>
      <c r="CC126" s="1021"/>
      <c r="DB126" s="1021"/>
    </row>
    <row r="127" spans="1:114" x14ac:dyDescent="0.25">
      <c r="H127" s="1023"/>
      <c r="I127" s="1022"/>
      <c r="J127" s="1022"/>
      <c r="K127" s="1022"/>
      <c r="L127" s="1022"/>
      <c r="M127" s="1022"/>
      <c r="N127" s="1022"/>
      <c r="O127" s="1022"/>
      <c r="P127" s="1022"/>
      <c r="Q127" s="1022"/>
      <c r="R127" s="1022"/>
      <c r="S127" s="1022"/>
      <c r="T127" s="1022"/>
      <c r="U127" s="1022"/>
      <c r="V127" s="1022"/>
      <c r="W127" s="1022"/>
      <c r="X127" s="1022"/>
      <c r="Y127" s="1022"/>
      <c r="Z127" s="1022"/>
      <c r="AA127" s="1022"/>
      <c r="AB127" s="1022"/>
      <c r="AC127" s="1022"/>
      <c r="AD127" s="1022"/>
      <c r="AE127" s="1023"/>
      <c r="AF127" s="1021"/>
      <c r="AG127" s="1021"/>
      <c r="AH127" s="1021"/>
      <c r="AI127" s="1021"/>
      <c r="AJ127" s="1021"/>
      <c r="AK127" s="1021"/>
      <c r="AL127" s="1021"/>
      <c r="AM127" s="1021"/>
      <c r="AN127" s="1021"/>
      <c r="AO127" s="1021"/>
      <c r="AP127" s="1021"/>
      <c r="AQ127" s="1021"/>
      <c r="AR127" s="1021"/>
      <c r="AS127" s="1021"/>
      <c r="AT127" s="1021"/>
      <c r="AU127" s="1021"/>
      <c r="AV127" s="1021"/>
      <c r="AW127" s="1021"/>
      <c r="AX127" s="1021"/>
      <c r="AY127" s="1021"/>
      <c r="AZ127" s="1021"/>
      <c r="BA127" s="1021"/>
      <c r="BB127" s="1021"/>
      <c r="BC127" s="1021"/>
      <c r="BD127" s="1021"/>
      <c r="BE127" s="1021"/>
      <c r="BF127" s="1021"/>
      <c r="BG127" s="1021"/>
      <c r="BH127" s="1021"/>
      <c r="BI127" s="1021"/>
      <c r="BJ127" s="1021"/>
      <c r="BK127" s="1021"/>
      <c r="BL127" s="1021"/>
      <c r="BM127" s="1021"/>
      <c r="BN127" s="1021"/>
      <c r="BO127" s="1021"/>
      <c r="BP127" s="1021"/>
      <c r="BQ127" s="1021"/>
      <c r="BR127" s="1021"/>
      <c r="BS127" s="1021"/>
      <c r="BT127" s="1021"/>
      <c r="BU127" s="1021"/>
      <c r="BV127" s="1021"/>
      <c r="BW127" s="1021"/>
      <c r="BX127" s="1021"/>
      <c r="BY127" s="1021"/>
      <c r="BZ127" s="1021"/>
      <c r="CA127" s="1021"/>
      <c r="CB127" s="1021"/>
      <c r="CC127" s="1021"/>
    </row>
    <row r="128" spans="1:114" x14ac:dyDescent="0.25">
      <c r="H128" s="1023"/>
      <c r="I128" s="1022"/>
      <c r="J128" s="1022"/>
      <c r="K128" s="1022"/>
      <c r="L128" s="1022"/>
      <c r="M128" s="1022"/>
      <c r="N128" s="1022"/>
      <c r="O128" s="1022"/>
      <c r="P128" s="1022"/>
      <c r="Q128" s="1022"/>
      <c r="R128" s="1022"/>
      <c r="S128" s="1022"/>
      <c r="T128" s="1022"/>
      <c r="U128" s="1022"/>
      <c r="V128" s="1022"/>
      <c r="W128" s="1022"/>
      <c r="X128" s="1022"/>
      <c r="Y128" s="1022"/>
      <c r="Z128" s="1022"/>
      <c r="AA128" s="1022"/>
      <c r="AB128" s="1022"/>
      <c r="AC128" s="1022"/>
      <c r="AD128" s="1022"/>
      <c r="AE128" s="1023"/>
      <c r="AF128" s="1021"/>
      <c r="AG128" s="1021"/>
      <c r="AH128" s="1021"/>
      <c r="AI128" s="1021"/>
      <c r="AJ128" s="1021"/>
      <c r="AK128" s="1021"/>
      <c r="AL128" s="1021"/>
      <c r="AM128" s="1021"/>
      <c r="AN128" s="1021"/>
      <c r="AO128" s="1021"/>
      <c r="AP128" s="1021"/>
      <c r="AQ128" s="1021"/>
      <c r="AR128" s="1021"/>
      <c r="AS128" s="1021"/>
      <c r="AT128" s="1021"/>
      <c r="AU128" s="1021"/>
      <c r="AV128" s="1021"/>
      <c r="AW128" s="1021"/>
      <c r="AX128" s="1021"/>
      <c r="AY128" s="1021"/>
      <c r="AZ128" s="1021"/>
      <c r="BA128" s="1021"/>
      <c r="BB128" s="1021"/>
      <c r="BC128" s="1021"/>
      <c r="BD128" s="1021"/>
      <c r="BE128" s="1021"/>
      <c r="BF128" s="1021"/>
      <c r="BG128" s="1021"/>
      <c r="BH128" s="1021"/>
      <c r="BI128" s="1021"/>
      <c r="BJ128" s="1021"/>
      <c r="BK128" s="1021"/>
      <c r="BL128" s="1021"/>
      <c r="BM128" s="1021"/>
      <c r="BN128" s="1021"/>
      <c r="BO128" s="1021"/>
      <c r="BP128" s="1021"/>
      <c r="BQ128" s="1021"/>
      <c r="BR128" s="1021"/>
      <c r="BS128" s="1021"/>
      <c r="BT128" s="1021"/>
      <c r="BU128" s="1021"/>
      <c r="BV128" s="1021"/>
      <c r="BW128" s="1021"/>
      <c r="BX128" s="1021"/>
      <c r="BY128" s="1021"/>
      <c r="BZ128" s="1021"/>
      <c r="CA128" s="1021"/>
      <c r="CB128" s="1021"/>
      <c r="CC128" s="1021"/>
    </row>
    <row r="129" spans="1:114" ht="13.8" thickBot="1" x14ac:dyDescent="0.3">
      <c r="H129" s="1024"/>
      <c r="I129" s="1025"/>
      <c r="J129" s="1025"/>
      <c r="K129" s="1025"/>
      <c r="L129" s="1025"/>
      <c r="M129" s="1025"/>
      <c r="N129" s="1025"/>
      <c r="O129" s="1025"/>
      <c r="P129" s="1025"/>
      <c r="Q129" s="1025"/>
      <c r="R129" s="1025"/>
      <c r="S129" s="1025"/>
      <c r="T129" s="1025"/>
      <c r="U129" s="1025"/>
      <c r="V129" s="1025"/>
      <c r="W129" s="1025"/>
      <c r="X129" s="1025"/>
      <c r="Y129" s="1025"/>
      <c r="Z129" s="1025"/>
      <c r="AA129" s="1025"/>
      <c r="AB129" s="1025"/>
      <c r="AC129" s="1025"/>
      <c r="AD129" s="1025"/>
      <c r="AE129" s="1024"/>
      <c r="AF129" s="1021"/>
      <c r="AG129" s="1021"/>
      <c r="AH129" s="1021"/>
      <c r="AI129" s="1021"/>
      <c r="AJ129" s="1021"/>
      <c r="AK129" s="1021"/>
      <c r="AL129" s="1021"/>
      <c r="AM129" s="1021"/>
      <c r="AN129" s="1021"/>
      <c r="AO129" s="1021"/>
      <c r="AP129" s="1021"/>
      <c r="AQ129" s="1021"/>
      <c r="AR129" s="1021"/>
      <c r="AS129" s="1021"/>
      <c r="AT129" s="1021"/>
      <c r="AU129" s="1021"/>
      <c r="AV129" s="1021"/>
      <c r="AW129" s="1021"/>
      <c r="AX129" s="1021"/>
      <c r="AY129" s="1021"/>
      <c r="AZ129" s="1021"/>
      <c r="BA129" s="1021"/>
      <c r="BB129" s="1021"/>
      <c r="BC129" s="1021"/>
      <c r="BD129" s="1021"/>
      <c r="BE129" s="1021"/>
      <c r="BF129" s="1021"/>
      <c r="BG129" s="1021"/>
      <c r="BH129" s="1021"/>
      <c r="BI129" s="1021"/>
      <c r="BJ129" s="1021"/>
      <c r="BK129" s="1021"/>
      <c r="BL129" s="1021"/>
      <c r="BM129" s="1021"/>
      <c r="BN129" s="1021"/>
      <c r="BO129" s="1021"/>
      <c r="BP129" s="1021"/>
      <c r="BQ129" s="1021"/>
      <c r="BR129" s="1021"/>
      <c r="BS129" s="1021"/>
      <c r="BT129" s="1021"/>
      <c r="BU129" s="1021"/>
      <c r="BV129" s="1021"/>
      <c r="BW129" s="1021"/>
      <c r="BX129" s="1021"/>
      <c r="BY129" s="1021"/>
      <c r="BZ129" s="1021"/>
      <c r="CA129" s="1021"/>
      <c r="CB129" s="1021"/>
      <c r="CC129" s="1021"/>
    </row>
    <row r="130" spans="1:114" x14ac:dyDescent="0.25">
      <c r="H130" s="1021"/>
      <c r="I130" s="1021"/>
      <c r="J130" s="1021"/>
      <c r="K130" s="1021"/>
      <c r="L130" s="1021"/>
      <c r="M130" s="1021"/>
      <c r="N130" s="1021"/>
      <c r="O130" s="1021"/>
      <c r="P130" s="1021"/>
      <c r="Q130" s="1021"/>
      <c r="R130" s="1021"/>
      <c r="S130" s="1021"/>
      <c r="T130" s="1021"/>
      <c r="U130" s="1021"/>
      <c r="V130" s="1021"/>
      <c r="W130" s="1021"/>
      <c r="X130" s="1021"/>
      <c r="Y130" s="1021"/>
      <c r="Z130" s="1021"/>
      <c r="AA130" s="1021"/>
      <c r="AB130" s="1021"/>
      <c r="AC130" s="1021"/>
      <c r="AD130" s="1021"/>
      <c r="AE130" s="1021"/>
      <c r="AF130" s="1021"/>
      <c r="AG130" s="1021"/>
      <c r="AH130" s="1021"/>
      <c r="AI130" s="1021"/>
      <c r="AJ130" s="1021"/>
      <c r="AK130" s="1021"/>
      <c r="AL130" s="1021"/>
      <c r="AM130" s="1021"/>
      <c r="AN130" s="1021"/>
      <c r="AO130" s="1021"/>
      <c r="AP130" s="1021"/>
      <c r="AQ130" s="1021"/>
      <c r="AR130" s="1021"/>
      <c r="AS130" s="1021"/>
      <c r="AT130" s="1021"/>
      <c r="AU130" s="1021"/>
      <c r="AV130" s="1021"/>
      <c r="AW130" s="1021"/>
      <c r="AX130" s="1021"/>
      <c r="AY130" s="1021"/>
      <c r="AZ130" s="1021"/>
      <c r="BA130" s="1021"/>
      <c r="BB130" s="1021"/>
      <c r="BC130" s="1021"/>
      <c r="BD130" s="1021"/>
      <c r="BE130" s="1021"/>
      <c r="BF130" s="1021"/>
      <c r="BG130" s="1021"/>
      <c r="BH130" s="1021"/>
      <c r="BI130" s="1021"/>
      <c r="BJ130" s="1021"/>
      <c r="BK130" s="1021"/>
      <c r="BL130" s="1021"/>
      <c r="BM130" s="1021"/>
      <c r="BN130" s="1021"/>
      <c r="BO130" s="1021"/>
      <c r="BP130" s="1021"/>
      <c r="BQ130" s="1021"/>
      <c r="BR130" s="1021"/>
      <c r="BS130" s="1021"/>
      <c r="BT130" s="1021"/>
      <c r="BU130" s="1021"/>
      <c r="BV130" s="1021"/>
      <c r="BW130" s="1021"/>
      <c r="BX130" s="1021"/>
      <c r="BY130" s="1021"/>
      <c r="BZ130" s="1021"/>
      <c r="CA130" s="1021"/>
      <c r="CB130" s="1021"/>
      <c r="CC130" s="1021"/>
      <c r="CD130" s="1021"/>
      <c r="CE130" s="1021"/>
      <c r="CF130" s="1021"/>
      <c r="CG130" s="1021"/>
      <c r="CH130" s="1021"/>
      <c r="CI130" s="1021"/>
      <c r="CJ130" s="1021"/>
      <c r="CK130" s="1021"/>
      <c r="CL130" s="1021"/>
      <c r="CM130" s="1021"/>
      <c r="CN130" s="1021"/>
      <c r="CO130" s="1021"/>
      <c r="CP130" s="1021"/>
      <c r="CQ130" s="1021"/>
      <c r="CR130" s="1021"/>
      <c r="CS130" s="1021"/>
      <c r="CT130" s="1021"/>
      <c r="CU130" s="1021"/>
      <c r="CV130" s="1021"/>
      <c r="CW130" s="1021"/>
      <c r="CX130" s="1021"/>
      <c r="CY130" s="1021"/>
      <c r="CZ130" s="1021"/>
      <c r="DA130" s="1021"/>
      <c r="DB130" s="1021"/>
    </row>
    <row r="131" spans="1:114" x14ac:dyDescent="0.25">
      <c r="A131" s="1027">
        <f>SUM(H6:DB125)</f>
        <v>-264428203.41144046</v>
      </c>
      <c r="H131" s="1021"/>
      <c r="I131" s="1026"/>
      <c r="J131" s="1026"/>
      <c r="K131" s="1026"/>
      <c r="L131" s="1026"/>
      <c r="M131" s="1026"/>
      <c r="N131" s="1026"/>
      <c r="O131" s="1026"/>
      <c r="P131" s="1026"/>
      <c r="Q131" s="1026"/>
      <c r="R131" s="1026"/>
      <c r="S131" s="1026"/>
      <c r="T131" s="1026"/>
      <c r="U131" s="1026"/>
      <c r="V131" s="1026"/>
      <c r="W131" s="1026"/>
      <c r="X131" s="1026"/>
      <c r="Y131" s="1026"/>
      <c r="Z131" s="1026"/>
      <c r="AA131" s="1026"/>
      <c r="AB131" s="1026"/>
      <c r="AC131" s="1026"/>
      <c r="AD131" s="1026"/>
      <c r="AE131" s="1021"/>
      <c r="AF131" s="1021"/>
      <c r="AG131" s="1021"/>
      <c r="AH131" s="1021"/>
      <c r="AI131" s="1021"/>
      <c r="AJ131" s="1021"/>
      <c r="AK131" s="1021"/>
      <c r="AL131" s="1021"/>
      <c r="AM131" s="1021"/>
      <c r="AN131" s="1021"/>
      <c r="AO131" s="1021"/>
      <c r="AP131" s="1021"/>
      <c r="AQ131" s="1021"/>
      <c r="AR131" s="1021"/>
      <c r="AS131" s="1021"/>
      <c r="AT131" s="1021"/>
      <c r="AU131" s="1021"/>
      <c r="AV131" s="1021"/>
      <c r="AW131" s="1021"/>
      <c r="AX131" s="1021"/>
      <c r="AY131" s="1021"/>
      <c r="AZ131" s="1021"/>
      <c r="BA131" s="1021"/>
      <c r="BB131" s="1021"/>
      <c r="BC131" s="1021"/>
      <c r="BD131" s="1021"/>
      <c r="BE131" s="1021"/>
      <c r="BF131" s="1021"/>
      <c r="BG131" s="1021"/>
      <c r="BH131" s="1021"/>
      <c r="BI131" s="1021"/>
      <c r="BJ131" s="1021"/>
      <c r="BK131" s="1021"/>
      <c r="BL131" s="1021"/>
      <c r="BM131" s="1021"/>
      <c r="BN131" s="1021"/>
      <c r="BO131" s="1021"/>
      <c r="BP131" s="1021"/>
      <c r="BQ131" s="1021"/>
      <c r="BR131" s="1021"/>
      <c r="BS131" s="1021"/>
      <c r="BT131" s="1021"/>
      <c r="BU131" s="1021"/>
      <c r="BV131" s="1021"/>
      <c r="BW131" s="1021"/>
      <c r="BX131" s="1021"/>
      <c r="BY131" s="1021"/>
      <c r="BZ131" s="1021"/>
      <c r="CA131" s="1021"/>
      <c r="CB131" s="1021"/>
      <c r="CC131" s="1021"/>
      <c r="DJ131" s="1029">
        <f ca="1">SUM(DJ6:DJ130)</f>
        <v>-173986565.78594252</v>
      </c>
    </row>
    <row r="132" spans="1:114" x14ac:dyDescent="0.25">
      <c r="H132" s="1021"/>
      <c r="I132" s="1021"/>
      <c r="J132" s="1021"/>
      <c r="K132" s="1021"/>
      <c r="L132" s="1021"/>
      <c r="M132" s="1021"/>
      <c r="N132" s="1021"/>
      <c r="O132" s="1021"/>
      <c r="P132" s="1021"/>
      <c r="Q132" s="1021"/>
      <c r="R132" s="1021"/>
      <c r="S132" s="1026"/>
      <c r="T132" s="1026"/>
      <c r="U132" s="1026"/>
      <c r="V132" s="1026"/>
      <c r="W132" s="1026"/>
      <c r="X132" s="1026"/>
      <c r="Y132" s="1026"/>
      <c r="Z132" s="1026"/>
      <c r="AA132" s="1026"/>
      <c r="AB132" s="1026"/>
      <c r="AC132" s="1026"/>
      <c r="AD132" s="1026"/>
      <c r="AE132" s="1021"/>
      <c r="AF132" s="1021"/>
      <c r="AG132" s="1021"/>
      <c r="AH132" s="1021"/>
      <c r="AI132" s="1021"/>
      <c r="AJ132" s="1021"/>
      <c r="AK132" s="1021"/>
      <c r="AL132" s="1021"/>
      <c r="AM132" s="1021"/>
      <c r="AN132" s="1021"/>
      <c r="AO132" s="1021"/>
      <c r="AP132" s="1021"/>
      <c r="AQ132" s="1021"/>
      <c r="AR132" s="1021"/>
      <c r="AS132" s="1021"/>
      <c r="AT132" s="1021"/>
      <c r="AU132" s="1021"/>
      <c r="AV132" s="1021"/>
      <c r="AW132" s="1021"/>
      <c r="AX132" s="1021"/>
      <c r="AY132" s="1021"/>
      <c r="AZ132" s="1021"/>
      <c r="BA132" s="1021"/>
      <c r="BB132" s="1021"/>
      <c r="BC132" s="1021"/>
      <c r="BD132" s="1021"/>
      <c r="BE132" s="1021"/>
      <c r="BF132" s="1021"/>
      <c r="BG132" s="1021"/>
      <c r="BH132" s="1021"/>
      <c r="BI132" s="1021"/>
      <c r="BJ132" s="1021"/>
      <c r="BK132" s="1021"/>
      <c r="BL132" s="1021"/>
      <c r="BM132" s="1021"/>
      <c r="BN132" s="1021"/>
      <c r="BO132" s="1021"/>
      <c r="BP132" s="1021"/>
      <c r="BQ132" s="1021"/>
      <c r="BR132" s="1021"/>
      <c r="BS132" s="1021"/>
      <c r="BT132" s="1021"/>
      <c r="BU132" s="1021"/>
      <c r="BV132" s="1021"/>
      <c r="BW132" s="1021"/>
      <c r="BX132" s="1021"/>
      <c r="BY132" s="1021"/>
      <c r="BZ132" s="1021"/>
      <c r="CA132" s="1021"/>
      <c r="CB132" s="1021"/>
      <c r="CC132" s="1021"/>
    </row>
    <row r="133" spans="1:114" x14ac:dyDescent="0.25">
      <c r="H133" s="1021"/>
      <c r="I133" s="1026"/>
      <c r="J133" s="1026"/>
      <c r="K133" s="1026"/>
      <c r="L133" s="1026"/>
      <c r="M133" s="1026"/>
      <c r="N133" s="1026"/>
      <c r="O133" s="1026"/>
      <c r="P133" s="1026"/>
      <c r="Q133" s="1026"/>
      <c r="R133" s="1026"/>
      <c r="S133" s="1026"/>
      <c r="T133" s="1026"/>
      <c r="U133" s="1026"/>
      <c r="V133" s="1026"/>
      <c r="W133" s="1026"/>
      <c r="X133" s="1026"/>
      <c r="Y133" s="1026"/>
      <c r="Z133" s="1026"/>
      <c r="AA133" s="1026"/>
      <c r="AB133" s="1026"/>
      <c r="AC133" s="1026"/>
      <c r="AD133" s="1026"/>
      <c r="AE133" s="1021"/>
      <c r="AF133" s="1021"/>
      <c r="AG133" s="1021"/>
      <c r="AH133" s="1021"/>
      <c r="AI133" s="1021"/>
      <c r="AJ133" s="1021"/>
      <c r="AK133" s="1021"/>
      <c r="AL133" s="1021"/>
      <c r="AM133" s="1021"/>
      <c r="AN133" s="1021"/>
      <c r="AO133" s="1021"/>
      <c r="AP133" s="1021"/>
      <c r="AQ133" s="1021"/>
      <c r="AR133" s="1021"/>
      <c r="AS133" s="1021"/>
      <c r="AT133" s="1021"/>
      <c r="AU133" s="1021"/>
      <c r="AV133" s="1021"/>
      <c r="AW133" s="1021"/>
      <c r="AX133" s="1021"/>
      <c r="AY133" s="1021"/>
      <c r="AZ133" s="1021"/>
      <c r="BA133" s="1021"/>
      <c r="BB133" s="1021"/>
      <c r="BC133" s="1021"/>
      <c r="BD133" s="1021"/>
      <c r="BE133" s="1021"/>
      <c r="BF133" s="1021"/>
      <c r="BG133" s="1021"/>
      <c r="BH133" s="1021"/>
      <c r="BI133" s="1021"/>
      <c r="BJ133" s="1021"/>
      <c r="BK133" s="1021"/>
      <c r="BL133" s="1021"/>
      <c r="BM133" s="1021"/>
      <c r="BN133" s="1021"/>
      <c r="BO133" s="1021"/>
      <c r="BP133" s="1021"/>
      <c r="BQ133" s="1021"/>
      <c r="BR133" s="1021"/>
      <c r="BS133" s="1021"/>
      <c r="BT133" s="1021"/>
      <c r="BU133" s="1021"/>
      <c r="BV133" s="1021"/>
      <c r="BW133" s="1021"/>
      <c r="BX133" s="1021"/>
      <c r="BY133" s="1021"/>
      <c r="BZ133" s="1021"/>
      <c r="CA133" s="1021"/>
      <c r="CB133" s="1021"/>
      <c r="CC133" s="1021"/>
    </row>
    <row r="134" spans="1:114" x14ac:dyDescent="0.25">
      <c r="H134" s="1021"/>
      <c r="I134" s="1021"/>
      <c r="J134" s="1021"/>
      <c r="K134" s="1021"/>
      <c r="L134" s="1021"/>
      <c r="M134" s="1021"/>
      <c r="N134" s="1021"/>
      <c r="O134" s="1021"/>
      <c r="P134" s="1021"/>
      <c r="Q134" s="1021"/>
      <c r="R134" s="1021"/>
      <c r="S134" s="1026"/>
      <c r="T134" s="1026"/>
      <c r="U134" s="1026"/>
      <c r="V134" s="1026"/>
      <c r="W134" s="1026"/>
      <c r="X134" s="1026"/>
      <c r="Y134" s="1026"/>
      <c r="Z134" s="1026"/>
      <c r="AA134" s="1026"/>
      <c r="AB134" s="1026"/>
      <c r="AC134" s="1026"/>
      <c r="AD134" s="1026"/>
      <c r="AE134" s="1021"/>
      <c r="AF134" s="1021"/>
      <c r="AG134" s="1021"/>
      <c r="AH134" s="1021"/>
      <c r="AI134" s="1021"/>
      <c r="AJ134" s="1021"/>
      <c r="AK134" s="1021"/>
      <c r="AL134" s="1021"/>
      <c r="AM134" s="1021"/>
      <c r="AN134" s="1021"/>
      <c r="AO134" s="1021"/>
      <c r="AP134" s="1021"/>
      <c r="AQ134" s="1021"/>
      <c r="AR134" s="1021"/>
      <c r="AS134" s="1021"/>
      <c r="AT134" s="1021"/>
      <c r="AU134" s="1021"/>
      <c r="AV134" s="1021"/>
      <c r="AW134" s="1021"/>
      <c r="AX134" s="1021"/>
      <c r="AY134" s="1021"/>
      <c r="AZ134" s="1021"/>
      <c r="BA134" s="1021"/>
      <c r="BB134" s="1021"/>
      <c r="BC134" s="1021"/>
      <c r="BD134" s="1021"/>
      <c r="BE134" s="1021"/>
      <c r="BF134" s="1021"/>
      <c r="BG134" s="1021"/>
      <c r="BH134" s="1021"/>
      <c r="BI134" s="1021"/>
      <c r="BJ134" s="1021"/>
      <c r="BK134" s="1021"/>
      <c r="BL134" s="1021"/>
      <c r="BM134" s="1021"/>
      <c r="BN134" s="1021"/>
      <c r="BO134" s="1021"/>
      <c r="BP134" s="1021"/>
      <c r="BQ134" s="1021"/>
      <c r="BR134" s="1021"/>
      <c r="BS134" s="1021"/>
      <c r="BT134" s="1021"/>
      <c r="BU134" s="1021"/>
      <c r="BV134" s="1021"/>
      <c r="BW134" s="1021"/>
      <c r="BX134" s="1021"/>
      <c r="BY134" s="1021"/>
      <c r="BZ134" s="1021"/>
      <c r="CA134" s="1021"/>
      <c r="CB134" s="1021"/>
      <c r="CC134" s="1021"/>
    </row>
    <row r="135" spans="1:114" x14ac:dyDescent="0.25">
      <c r="H135" s="1021"/>
      <c r="I135" s="1026"/>
      <c r="J135" s="1026"/>
      <c r="K135" s="1026"/>
      <c r="L135" s="1026"/>
      <c r="M135" s="1026"/>
      <c r="N135" s="1026"/>
      <c r="O135" s="1026"/>
      <c r="P135" s="1026"/>
      <c r="Q135" s="1026"/>
      <c r="R135" s="1026"/>
      <c r="S135" s="1026"/>
      <c r="T135" s="1026"/>
      <c r="U135" s="1026"/>
      <c r="V135" s="1026"/>
      <c r="W135" s="1026"/>
      <c r="X135" s="1026"/>
      <c r="Y135" s="1026"/>
      <c r="Z135" s="1026"/>
      <c r="AA135" s="1026"/>
      <c r="AB135" s="1026"/>
      <c r="AC135" s="1026"/>
      <c r="AD135" s="1026"/>
      <c r="AE135" s="1021"/>
      <c r="AF135" s="1021"/>
      <c r="AG135" s="1021"/>
      <c r="AH135" s="1021"/>
      <c r="AI135" s="1021"/>
      <c r="AJ135" s="1021"/>
      <c r="AK135" s="1021"/>
      <c r="AL135" s="1021"/>
      <c r="AM135" s="1021"/>
      <c r="AN135" s="1021"/>
      <c r="AO135" s="1021"/>
      <c r="AP135" s="1021"/>
      <c r="AQ135" s="1021"/>
      <c r="AR135" s="1021"/>
      <c r="AS135" s="1021"/>
      <c r="AT135" s="1021"/>
      <c r="AU135" s="1021"/>
      <c r="AV135" s="1021"/>
      <c r="AW135" s="1021"/>
      <c r="AX135" s="1021"/>
      <c r="AY135" s="1021"/>
      <c r="AZ135" s="1021"/>
      <c r="BA135" s="1021"/>
      <c r="BB135" s="1021"/>
      <c r="BC135" s="1021"/>
      <c r="BD135" s="1021"/>
      <c r="BE135" s="1021"/>
      <c r="BF135" s="1021"/>
      <c r="BG135" s="1021"/>
      <c r="BH135" s="1021"/>
      <c r="BI135" s="1021"/>
      <c r="BJ135" s="1021"/>
      <c r="BK135" s="1021"/>
      <c r="BL135" s="1021"/>
      <c r="BM135" s="1021"/>
      <c r="BN135" s="1021"/>
      <c r="BO135" s="1021"/>
      <c r="BP135" s="1021"/>
      <c r="BQ135" s="1021"/>
      <c r="BR135" s="1021"/>
      <c r="BS135" s="1021"/>
      <c r="BT135" s="1021"/>
      <c r="BU135" s="1021"/>
      <c r="BV135" s="1021"/>
      <c r="BW135" s="1021"/>
      <c r="BX135" s="1021"/>
      <c r="BY135" s="1021"/>
      <c r="BZ135" s="1021"/>
      <c r="CA135" s="1021"/>
      <c r="CB135" s="1021"/>
      <c r="CC135" s="1021"/>
    </row>
    <row r="136" spans="1:114" x14ac:dyDescent="0.25">
      <c r="H136" s="1021"/>
      <c r="I136" s="1021"/>
      <c r="J136" s="1021"/>
      <c r="K136" s="1021"/>
      <c r="L136" s="1021"/>
      <c r="M136" s="1021"/>
      <c r="N136" s="1021"/>
      <c r="O136" s="1021"/>
      <c r="P136" s="1021"/>
      <c r="Q136" s="1021"/>
      <c r="R136" s="1021"/>
      <c r="S136" s="1026"/>
      <c r="T136" s="1026"/>
      <c r="U136" s="1026"/>
      <c r="V136" s="1026"/>
      <c r="W136" s="1026"/>
      <c r="X136" s="1026"/>
      <c r="Y136" s="1026"/>
      <c r="Z136" s="1026"/>
      <c r="AA136" s="1026"/>
      <c r="AB136" s="1026"/>
      <c r="AC136" s="1026"/>
      <c r="AD136" s="1026"/>
      <c r="AE136" s="1021"/>
      <c r="AF136" s="1021"/>
      <c r="AG136" s="1021"/>
      <c r="AH136" s="1021"/>
      <c r="AI136" s="1021"/>
      <c r="AJ136" s="1021"/>
      <c r="AK136" s="1021"/>
      <c r="AL136" s="1021"/>
      <c r="AM136" s="1021"/>
      <c r="AN136" s="1021"/>
      <c r="AO136" s="1021"/>
      <c r="AP136" s="1021"/>
      <c r="AQ136" s="1021"/>
      <c r="AR136" s="1021"/>
      <c r="AS136" s="1021"/>
      <c r="AT136" s="1021"/>
      <c r="AU136" s="1021"/>
      <c r="AV136" s="1021"/>
      <c r="AW136" s="1021"/>
      <c r="AX136" s="1021"/>
      <c r="AY136" s="1021"/>
      <c r="AZ136" s="1021"/>
      <c r="BA136" s="1021"/>
      <c r="BB136" s="1021"/>
      <c r="BC136" s="1021"/>
      <c r="BD136" s="1021"/>
      <c r="BE136" s="1021"/>
      <c r="BF136" s="1021"/>
      <c r="BG136" s="1021"/>
      <c r="BH136" s="1021"/>
      <c r="BI136" s="1021"/>
      <c r="BJ136" s="1021"/>
      <c r="BK136" s="1021"/>
      <c r="BL136" s="1021"/>
      <c r="BM136" s="1021"/>
      <c r="BN136" s="1021"/>
      <c r="BO136" s="1021"/>
      <c r="BP136" s="1021"/>
      <c r="BQ136" s="1021"/>
      <c r="BR136" s="1021"/>
      <c r="BS136" s="1021"/>
      <c r="BT136" s="1021"/>
      <c r="BU136" s="1021"/>
      <c r="BV136" s="1021"/>
      <c r="BW136" s="1021"/>
      <c r="BX136" s="1021"/>
      <c r="BY136" s="1021"/>
      <c r="BZ136" s="1021"/>
      <c r="CA136" s="1021"/>
      <c r="CB136" s="1021"/>
      <c r="CC136" s="1021"/>
    </row>
    <row r="137" spans="1:114" x14ac:dyDescent="0.25">
      <c r="H137" s="1021"/>
      <c r="I137" s="1026"/>
      <c r="J137" s="1026"/>
      <c r="K137" s="1026"/>
      <c r="L137" s="1026"/>
      <c r="M137" s="1026"/>
      <c r="N137" s="1026"/>
      <c r="O137" s="1026"/>
      <c r="P137" s="1026"/>
      <c r="Q137" s="1026"/>
      <c r="R137" s="1026"/>
      <c r="S137" s="1026"/>
      <c r="T137" s="1026"/>
      <c r="U137" s="1026"/>
      <c r="V137" s="1026"/>
      <c r="W137" s="1026"/>
      <c r="X137" s="1026"/>
      <c r="Y137" s="1026"/>
      <c r="Z137" s="1026"/>
      <c r="AA137" s="1026"/>
      <c r="AB137" s="1026"/>
      <c r="AC137" s="1026"/>
      <c r="AD137" s="1026"/>
      <c r="AE137" s="1021"/>
      <c r="AF137" s="1021"/>
      <c r="AG137" s="1021"/>
      <c r="AH137" s="1021"/>
      <c r="AI137" s="1021"/>
      <c r="AJ137" s="1021"/>
      <c r="AK137" s="1021"/>
      <c r="AL137" s="1021"/>
      <c r="AM137" s="1021"/>
      <c r="AN137" s="1021"/>
      <c r="AO137" s="1021"/>
      <c r="AP137" s="1021"/>
      <c r="AQ137" s="1021"/>
      <c r="AR137" s="1021"/>
      <c r="AS137" s="1021"/>
      <c r="AT137" s="1021"/>
      <c r="AU137" s="1021"/>
      <c r="AV137" s="1021"/>
      <c r="AW137" s="1021"/>
      <c r="AX137" s="1021"/>
      <c r="AY137" s="1021"/>
      <c r="AZ137" s="1021"/>
      <c r="BA137" s="1021"/>
      <c r="BB137" s="1021"/>
      <c r="BC137" s="1021"/>
      <c r="BD137" s="1021"/>
      <c r="BE137" s="1021"/>
      <c r="BF137" s="1021"/>
      <c r="BG137" s="1021"/>
      <c r="BH137" s="1021"/>
      <c r="BI137" s="1021"/>
      <c r="BJ137" s="1021"/>
      <c r="BK137" s="1021"/>
      <c r="BL137" s="1021"/>
      <c r="BM137" s="1021"/>
      <c r="BN137" s="1021"/>
      <c r="BO137" s="1021"/>
      <c r="BP137" s="1021"/>
      <c r="BQ137" s="1021"/>
      <c r="BR137" s="1021"/>
      <c r="BS137" s="1021"/>
      <c r="BT137" s="1021"/>
      <c r="BU137" s="1021"/>
      <c r="BV137" s="1021"/>
      <c r="BW137" s="1021"/>
      <c r="BX137" s="1021"/>
      <c r="BY137" s="1021"/>
      <c r="BZ137" s="1021"/>
      <c r="CA137" s="1021"/>
      <c r="CB137" s="1021"/>
      <c r="CC137" s="1021"/>
    </row>
    <row r="138" spans="1:114" x14ac:dyDescent="0.25">
      <c r="H138" s="1021"/>
      <c r="I138" s="1021"/>
      <c r="J138" s="1021"/>
      <c r="K138" s="1021"/>
      <c r="L138" s="1021"/>
      <c r="M138" s="1021"/>
      <c r="N138" s="1021"/>
      <c r="O138" s="1021"/>
      <c r="P138" s="1021"/>
      <c r="Q138" s="1021"/>
      <c r="R138" s="1021"/>
      <c r="S138" s="1026"/>
      <c r="T138" s="1026"/>
      <c r="U138" s="1026"/>
      <c r="V138" s="1026"/>
      <c r="W138" s="1026"/>
      <c r="X138" s="1026"/>
      <c r="Y138" s="1026"/>
      <c r="Z138" s="1026"/>
      <c r="AA138" s="1026"/>
      <c r="AB138" s="1026"/>
      <c r="AC138" s="1026"/>
      <c r="AD138" s="1026"/>
      <c r="AE138" s="1021"/>
      <c r="AF138" s="1021"/>
      <c r="AG138" s="1021"/>
      <c r="AH138" s="1021"/>
      <c r="AI138" s="1021"/>
      <c r="AJ138" s="1021"/>
      <c r="AK138" s="1021"/>
      <c r="AL138" s="1021"/>
      <c r="AM138" s="1021"/>
      <c r="AN138" s="1021"/>
      <c r="AO138" s="1021"/>
      <c r="AP138" s="1021"/>
      <c r="AQ138" s="1021"/>
      <c r="AR138" s="1021"/>
      <c r="AS138" s="1021"/>
      <c r="AT138" s="1021"/>
      <c r="AU138" s="1021"/>
      <c r="AV138" s="1021"/>
      <c r="AW138" s="1021"/>
      <c r="AX138" s="1021"/>
      <c r="AY138" s="1021"/>
      <c r="AZ138" s="1021"/>
      <c r="BA138" s="1021"/>
      <c r="BB138" s="1021"/>
      <c r="BC138" s="1021"/>
      <c r="BD138" s="1021"/>
      <c r="BE138" s="1021"/>
      <c r="BF138" s="1021"/>
      <c r="BG138" s="1021"/>
      <c r="BH138" s="1021"/>
      <c r="BI138" s="1021"/>
      <c r="BJ138" s="1021"/>
      <c r="BK138" s="1021"/>
      <c r="BL138" s="1021"/>
      <c r="BM138" s="1021"/>
      <c r="BN138" s="1021"/>
      <c r="BO138" s="1021"/>
      <c r="BP138" s="1021"/>
      <c r="BQ138" s="1021"/>
      <c r="BR138" s="1021"/>
      <c r="BS138" s="1021"/>
      <c r="BT138" s="1021"/>
      <c r="BU138" s="1021"/>
      <c r="BV138" s="1021"/>
      <c r="BW138" s="1021"/>
      <c r="BX138" s="1021"/>
      <c r="BY138" s="1021"/>
      <c r="BZ138" s="1021"/>
      <c r="CA138" s="1021"/>
      <c r="CB138" s="1021"/>
      <c r="CC138" s="1021"/>
    </row>
    <row r="139" spans="1:114" x14ac:dyDescent="0.25">
      <c r="H139" s="1021"/>
      <c r="I139" s="1026"/>
      <c r="J139" s="1026"/>
      <c r="K139" s="1026"/>
      <c r="L139" s="1026"/>
      <c r="M139" s="1026"/>
      <c r="N139" s="1026"/>
      <c r="O139" s="1026"/>
      <c r="P139" s="1026"/>
      <c r="Q139" s="1026"/>
      <c r="R139" s="1026"/>
      <c r="S139" s="1026"/>
      <c r="T139" s="1026"/>
      <c r="U139" s="1026"/>
      <c r="V139" s="1026"/>
      <c r="W139" s="1026"/>
      <c r="X139" s="1026"/>
      <c r="Y139" s="1026"/>
      <c r="Z139" s="1026"/>
      <c r="AA139" s="1026"/>
      <c r="AB139" s="1026"/>
      <c r="AC139" s="1026"/>
      <c r="AD139" s="1026"/>
      <c r="AE139" s="1021"/>
      <c r="AF139" s="1021"/>
      <c r="AG139" s="1021"/>
      <c r="AH139" s="1021"/>
      <c r="AI139" s="1021"/>
      <c r="AJ139" s="1021"/>
      <c r="AK139" s="1021"/>
      <c r="AL139" s="1021"/>
      <c r="AM139" s="1021"/>
      <c r="AN139" s="1021"/>
      <c r="AO139" s="1021"/>
      <c r="AP139" s="1021"/>
      <c r="AQ139" s="1021"/>
      <c r="AR139" s="1021"/>
      <c r="AS139" s="1021"/>
      <c r="AT139" s="1021"/>
      <c r="AU139" s="1021"/>
      <c r="AV139" s="1021"/>
      <c r="AW139" s="1021"/>
      <c r="AX139" s="1021"/>
      <c r="AY139" s="1021"/>
      <c r="AZ139" s="1021"/>
      <c r="BA139" s="1021"/>
      <c r="BB139" s="1021"/>
      <c r="BC139" s="1021"/>
      <c r="BD139" s="1021"/>
      <c r="BE139" s="1021"/>
      <c r="BF139" s="1021"/>
      <c r="BG139" s="1021"/>
      <c r="BH139" s="1021"/>
      <c r="BI139" s="1021"/>
      <c r="BJ139" s="1021"/>
      <c r="BK139" s="1021"/>
      <c r="BL139" s="1021"/>
      <c r="BM139" s="1021"/>
      <c r="BN139" s="1021"/>
      <c r="BO139" s="1021"/>
      <c r="BP139" s="1021"/>
      <c r="BQ139" s="1021"/>
      <c r="BR139" s="1021"/>
      <c r="BS139" s="1021"/>
      <c r="BT139" s="1021"/>
      <c r="BU139" s="1021"/>
      <c r="BV139" s="1021"/>
      <c r="BW139" s="1021"/>
      <c r="BX139" s="1021"/>
      <c r="BY139" s="1021"/>
      <c r="BZ139" s="1021"/>
      <c r="CA139" s="1021"/>
      <c r="CB139" s="1021"/>
      <c r="CC139" s="1021"/>
    </row>
    <row r="140" spans="1:114" x14ac:dyDescent="0.25">
      <c r="H140" s="1021"/>
      <c r="I140" s="1021"/>
      <c r="J140" s="1021"/>
      <c r="K140" s="1021"/>
      <c r="L140" s="1021"/>
      <c r="M140" s="1021"/>
      <c r="N140" s="1021"/>
      <c r="O140" s="1021"/>
      <c r="P140" s="1021"/>
      <c r="Q140" s="1021"/>
      <c r="R140" s="1021"/>
      <c r="S140" s="1026"/>
      <c r="T140" s="1026"/>
      <c r="U140" s="1026"/>
      <c r="V140" s="1026"/>
      <c r="W140" s="1026"/>
      <c r="X140" s="1026"/>
      <c r="Y140" s="1026"/>
      <c r="Z140" s="1026"/>
      <c r="AA140" s="1026"/>
      <c r="AB140" s="1026"/>
      <c r="AC140" s="1026"/>
      <c r="AD140" s="1026"/>
      <c r="AE140" s="1021"/>
      <c r="AF140" s="1021"/>
      <c r="AG140" s="1021"/>
      <c r="AH140" s="1021"/>
      <c r="AI140" s="1021"/>
      <c r="AJ140" s="1021"/>
      <c r="AK140" s="1021"/>
      <c r="AL140" s="1021"/>
      <c r="AM140" s="1021"/>
      <c r="AN140" s="1021"/>
      <c r="AO140" s="1021"/>
      <c r="AP140" s="1021"/>
      <c r="AQ140" s="1021"/>
      <c r="AR140" s="1021"/>
      <c r="AS140" s="1021"/>
      <c r="AT140" s="1021"/>
      <c r="AU140" s="1021"/>
      <c r="AV140" s="1021"/>
      <c r="AW140" s="1021"/>
      <c r="AX140" s="1021"/>
      <c r="AY140" s="1021"/>
      <c r="AZ140" s="1021"/>
      <c r="BA140" s="1021"/>
      <c r="BB140" s="1021"/>
      <c r="BC140" s="1021"/>
      <c r="BD140" s="1021"/>
      <c r="BE140" s="1021"/>
      <c r="BF140" s="1021"/>
      <c r="BG140" s="1021"/>
      <c r="BH140" s="1021"/>
      <c r="BI140" s="1021"/>
      <c r="BJ140" s="1021"/>
      <c r="BK140" s="1021"/>
      <c r="BL140" s="1021"/>
      <c r="BM140" s="1021"/>
      <c r="BN140" s="1021"/>
      <c r="BO140" s="1021"/>
      <c r="BP140" s="1021"/>
      <c r="BQ140" s="1021"/>
      <c r="BR140" s="1021"/>
      <c r="BS140" s="1021"/>
      <c r="BT140" s="1021"/>
      <c r="BU140" s="1021"/>
      <c r="BV140" s="1021"/>
      <c r="BW140" s="1021"/>
      <c r="BX140" s="1021"/>
      <c r="BY140" s="1021"/>
      <c r="BZ140" s="1021"/>
      <c r="CA140" s="1021"/>
      <c r="CB140" s="1021"/>
      <c r="CC140" s="1021"/>
    </row>
    <row r="141" spans="1:114" x14ac:dyDescent="0.25">
      <c r="H141" s="1021"/>
      <c r="I141" s="1026"/>
      <c r="J141" s="1026"/>
      <c r="K141" s="1026"/>
      <c r="L141" s="1026"/>
      <c r="M141" s="1026"/>
      <c r="N141" s="1026"/>
      <c r="O141" s="1026"/>
      <c r="P141" s="1026"/>
      <c r="Q141" s="1026"/>
      <c r="R141" s="1026"/>
      <c r="S141" s="1026"/>
      <c r="T141" s="1026"/>
      <c r="U141" s="1026"/>
      <c r="V141" s="1026"/>
      <c r="W141" s="1026"/>
      <c r="X141" s="1026"/>
      <c r="Y141" s="1026"/>
      <c r="Z141" s="1026"/>
      <c r="AA141" s="1026"/>
      <c r="AB141" s="1026"/>
      <c r="AC141" s="1026"/>
      <c r="AD141" s="1026"/>
      <c r="AE141" s="1021"/>
      <c r="AF141" s="1021"/>
      <c r="AG141" s="1021"/>
      <c r="AH141" s="1021"/>
      <c r="AI141" s="1021"/>
      <c r="AJ141" s="1021"/>
      <c r="AK141" s="1021"/>
      <c r="AL141" s="1021"/>
      <c r="AM141" s="1021"/>
      <c r="AN141" s="1021"/>
      <c r="AO141" s="1021"/>
      <c r="AP141" s="1021"/>
      <c r="AQ141" s="1021"/>
      <c r="AR141" s="1021"/>
      <c r="AS141" s="1021"/>
      <c r="AT141" s="1021"/>
      <c r="AU141" s="1021"/>
      <c r="AV141" s="1021"/>
      <c r="AW141" s="1021"/>
      <c r="AX141" s="1021"/>
      <c r="AY141" s="1021"/>
      <c r="AZ141" s="1021"/>
      <c r="BA141" s="1021"/>
      <c r="BB141" s="1021"/>
      <c r="BC141" s="1021"/>
      <c r="BD141" s="1021"/>
      <c r="BE141" s="1021"/>
      <c r="BF141" s="1021"/>
      <c r="BG141" s="1021"/>
      <c r="BH141" s="1021"/>
      <c r="BI141" s="1021"/>
      <c r="BJ141" s="1021"/>
      <c r="BK141" s="1021"/>
      <c r="BL141" s="1021"/>
      <c r="BM141" s="1021"/>
      <c r="BN141" s="1021"/>
      <c r="BO141" s="1021"/>
      <c r="BP141" s="1021"/>
      <c r="BQ141" s="1021"/>
      <c r="BR141" s="1021"/>
      <c r="BS141" s="1021"/>
      <c r="BT141" s="1021"/>
      <c r="BU141" s="1021"/>
      <c r="BV141" s="1021"/>
      <c r="BW141" s="1021"/>
      <c r="BX141" s="1021"/>
      <c r="BY141" s="1021"/>
      <c r="BZ141" s="1021"/>
      <c r="CA141" s="1021"/>
      <c r="CB141" s="1021"/>
      <c r="CC141" s="1021"/>
    </row>
    <row r="142" spans="1:114" x14ac:dyDescent="0.25">
      <c r="H142" s="1021"/>
      <c r="I142" s="1021"/>
      <c r="J142" s="1021"/>
      <c r="K142" s="1021"/>
      <c r="L142" s="1021"/>
      <c r="M142" s="1021"/>
      <c r="N142" s="1021"/>
      <c r="O142" s="1021"/>
      <c r="P142" s="1021"/>
      <c r="Q142" s="1021"/>
      <c r="R142" s="1021"/>
      <c r="S142" s="1026"/>
      <c r="T142" s="1026"/>
      <c r="U142" s="1026"/>
      <c r="V142" s="1026"/>
      <c r="W142" s="1026"/>
      <c r="X142" s="1026"/>
      <c r="Y142" s="1026"/>
      <c r="Z142" s="1026"/>
      <c r="AA142" s="1026"/>
      <c r="AB142" s="1026"/>
      <c r="AC142" s="1026"/>
      <c r="AD142" s="1026"/>
      <c r="AE142" s="1021"/>
      <c r="AF142" s="1021"/>
      <c r="AG142" s="1021"/>
      <c r="AH142" s="1021"/>
      <c r="AI142" s="1021"/>
      <c r="AJ142" s="1021"/>
      <c r="AK142" s="1021"/>
      <c r="AL142" s="1021"/>
      <c r="AM142" s="1021"/>
      <c r="AN142" s="1021"/>
      <c r="AO142" s="1021"/>
      <c r="AP142" s="1021"/>
      <c r="AQ142" s="1021"/>
      <c r="AR142" s="1021"/>
      <c r="AS142" s="1021"/>
      <c r="AT142" s="1021"/>
      <c r="AU142" s="1021"/>
      <c r="AV142" s="1021"/>
      <c r="AW142" s="1021"/>
      <c r="AX142" s="1021"/>
      <c r="AY142" s="1021"/>
      <c r="AZ142" s="1021"/>
      <c r="BA142" s="1021"/>
      <c r="BB142" s="1021"/>
      <c r="BC142" s="1021"/>
      <c r="BD142" s="1021"/>
      <c r="BE142" s="1021"/>
      <c r="BF142" s="1021"/>
      <c r="BG142" s="1021"/>
      <c r="BH142" s="1021"/>
      <c r="BI142" s="1021"/>
      <c r="BJ142" s="1021"/>
      <c r="BK142" s="1021"/>
      <c r="BL142" s="1021"/>
      <c r="BM142" s="1021"/>
      <c r="BN142" s="1021"/>
      <c r="BO142" s="1021"/>
      <c r="BP142" s="1021"/>
      <c r="BQ142" s="1021"/>
      <c r="BR142" s="1021"/>
      <c r="BS142" s="1021"/>
      <c r="BT142" s="1021"/>
      <c r="BU142" s="1021"/>
      <c r="BV142" s="1021"/>
      <c r="BW142" s="1021"/>
      <c r="BX142" s="1021"/>
      <c r="BY142" s="1021"/>
      <c r="BZ142" s="1021"/>
      <c r="CA142" s="1021"/>
      <c r="CB142" s="1021"/>
      <c r="CC142" s="1021"/>
    </row>
    <row r="143" spans="1:114" x14ac:dyDescent="0.25">
      <c r="H143" s="1021"/>
      <c r="I143" s="1026"/>
      <c r="J143" s="1026"/>
      <c r="K143" s="1026"/>
      <c r="L143" s="1026"/>
      <c r="M143" s="1026"/>
      <c r="N143" s="1026"/>
      <c r="O143" s="1026"/>
      <c r="P143" s="1026"/>
      <c r="Q143" s="1026"/>
      <c r="R143" s="1026"/>
      <c r="S143" s="1026"/>
      <c r="T143" s="1026"/>
      <c r="U143" s="1026"/>
      <c r="V143" s="1026"/>
      <c r="W143" s="1026"/>
      <c r="X143" s="1026"/>
      <c r="Y143" s="1026"/>
      <c r="Z143" s="1026"/>
      <c r="AA143" s="1026"/>
      <c r="AB143" s="1026"/>
      <c r="AC143" s="1026"/>
      <c r="AD143" s="1026"/>
      <c r="AE143" s="1021"/>
      <c r="AF143" s="1021"/>
      <c r="AG143" s="1021"/>
      <c r="AH143" s="1021"/>
      <c r="AI143" s="1021"/>
      <c r="AJ143" s="1021"/>
      <c r="AK143" s="1021"/>
      <c r="AL143" s="1021"/>
      <c r="AM143" s="1021"/>
      <c r="AN143" s="1021"/>
      <c r="AO143" s="1021"/>
      <c r="AP143" s="1021"/>
      <c r="AQ143" s="1021"/>
      <c r="AR143" s="1021"/>
      <c r="AS143" s="1021"/>
      <c r="AT143" s="1021"/>
      <c r="AU143" s="1021"/>
      <c r="AV143" s="1021"/>
      <c r="AW143" s="1021"/>
      <c r="AX143" s="1021"/>
      <c r="AY143" s="1021"/>
      <c r="AZ143" s="1021"/>
      <c r="BA143" s="1021"/>
      <c r="BB143" s="1021"/>
      <c r="BC143" s="1021"/>
      <c r="BD143" s="1021"/>
      <c r="BE143" s="1021"/>
      <c r="BF143" s="1021"/>
      <c r="BG143" s="1021"/>
      <c r="BH143" s="1021"/>
      <c r="BI143" s="1021"/>
      <c r="BJ143" s="1021"/>
      <c r="BK143" s="1021"/>
      <c r="BL143" s="1021"/>
      <c r="BM143" s="1021"/>
      <c r="BN143" s="1021"/>
      <c r="BO143" s="1021"/>
      <c r="BP143" s="1021"/>
      <c r="BQ143" s="1021"/>
      <c r="BR143" s="1021"/>
      <c r="BS143" s="1021"/>
      <c r="BT143" s="1021"/>
      <c r="BU143" s="1021"/>
      <c r="BV143" s="1021"/>
      <c r="BW143" s="1021"/>
      <c r="BX143" s="1021"/>
      <c r="BY143" s="1021"/>
      <c r="BZ143" s="1021"/>
      <c r="CA143" s="1021"/>
      <c r="CB143" s="1021"/>
      <c r="CC143" s="1021"/>
    </row>
    <row r="144" spans="1:114" x14ac:dyDescent="0.25">
      <c r="H144" s="1021"/>
      <c r="I144" s="1021"/>
      <c r="J144" s="1021"/>
      <c r="K144" s="1021"/>
      <c r="L144" s="1021"/>
      <c r="M144" s="1021"/>
      <c r="N144" s="1021"/>
      <c r="O144" s="1021"/>
      <c r="P144" s="1021"/>
      <c r="Q144" s="1021"/>
      <c r="R144" s="1021"/>
      <c r="S144" s="1026"/>
      <c r="T144" s="1026"/>
      <c r="U144" s="1026"/>
      <c r="V144" s="1026"/>
      <c r="W144" s="1026"/>
      <c r="X144" s="1026"/>
      <c r="Y144" s="1026"/>
      <c r="Z144" s="1026"/>
      <c r="AA144" s="1026"/>
      <c r="AB144" s="1026"/>
      <c r="AC144" s="1026"/>
      <c r="AD144" s="1026"/>
      <c r="AE144" s="1021"/>
      <c r="AF144" s="1021"/>
      <c r="AG144" s="1021"/>
      <c r="AH144" s="1021"/>
      <c r="AI144" s="1021"/>
      <c r="AJ144" s="1021"/>
      <c r="AK144" s="1021"/>
      <c r="AL144" s="1021"/>
      <c r="AM144" s="1021"/>
      <c r="AN144" s="1021"/>
      <c r="AO144" s="1021"/>
      <c r="AP144" s="1021"/>
      <c r="AQ144" s="1021"/>
      <c r="AR144" s="1021"/>
      <c r="AS144" s="1021"/>
      <c r="AT144" s="1021"/>
      <c r="AU144" s="1021"/>
      <c r="AV144" s="1021"/>
      <c r="AW144" s="1021"/>
      <c r="AX144" s="1021"/>
      <c r="AY144" s="1021"/>
      <c r="AZ144" s="1021"/>
      <c r="BA144" s="1021"/>
      <c r="BB144" s="1021"/>
      <c r="BC144" s="1021"/>
      <c r="BD144" s="1021"/>
      <c r="BE144" s="1021"/>
      <c r="BF144" s="1021"/>
      <c r="BG144" s="1021"/>
      <c r="BH144" s="1021"/>
      <c r="BI144" s="1021"/>
      <c r="BJ144" s="1021"/>
      <c r="BK144" s="1021"/>
      <c r="BL144" s="1021"/>
      <c r="BM144" s="1021"/>
      <c r="BN144" s="1021"/>
      <c r="BO144" s="1021"/>
      <c r="BP144" s="1021"/>
      <c r="BQ144" s="1021"/>
      <c r="BR144" s="1021"/>
      <c r="BS144" s="1021"/>
      <c r="BT144" s="1021"/>
      <c r="BU144" s="1021"/>
      <c r="BV144" s="1021"/>
      <c r="BW144" s="1021"/>
      <c r="BX144" s="1021"/>
      <c r="BY144" s="1021"/>
      <c r="BZ144" s="1021"/>
      <c r="CA144" s="1021"/>
      <c r="CB144" s="1021"/>
      <c r="CC144" s="1021"/>
    </row>
    <row r="145" spans="8:107" x14ac:dyDescent="0.25">
      <c r="H145" s="1021"/>
      <c r="I145" s="1026"/>
      <c r="J145" s="1026"/>
      <c r="K145" s="1026"/>
      <c r="L145" s="1026"/>
      <c r="M145" s="1026"/>
      <c r="N145" s="1026"/>
      <c r="O145" s="1026"/>
      <c r="P145" s="1026"/>
      <c r="Q145" s="1026"/>
      <c r="R145" s="1026"/>
      <c r="S145" s="1026"/>
      <c r="T145" s="1026"/>
      <c r="U145" s="1026"/>
      <c r="V145" s="1026"/>
      <c r="W145" s="1026"/>
      <c r="X145" s="1026"/>
      <c r="Y145" s="1026"/>
      <c r="Z145" s="1026"/>
      <c r="AA145" s="1026"/>
      <c r="AB145" s="1026"/>
      <c r="AC145" s="1026"/>
      <c r="AD145" s="1026"/>
      <c r="AE145" s="1021"/>
      <c r="AF145" s="1021"/>
      <c r="AG145" s="1021"/>
      <c r="AH145" s="1021"/>
      <c r="AI145" s="1021"/>
      <c r="AJ145" s="1021"/>
      <c r="AK145" s="1021"/>
      <c r="AL145" s="1021"/>
      <c r="AM145" s="1021"/>
      <c r="AN145" s="1021"/>
      <c r="AO145" s="1021"/>
      <c r="AP145" s="1021"/>
      <c r="AQ145" s="1021"/>
      <c r="AR145" s="1021"/>
      <c r="AS145" s="1021"/>
      <c r="AT145" s="1021"/>
      <c r="AU145" s="1021"/>
      <c r="AV145" s="1021"/>
      <c r="AW145" s="1021"/>
      <c r="AX145" s="1021"/>
      <c r="AY145" s="1021"/>
      <c r="AZ145" s="1021"/>
      <c r="BA145" s="1021"/>
      <c r="BB145" s="1021"/>
      <c r="BC145" s="1021"/>
      <c r="BD145" s="1021"/>
      <c r="BE145" s="1021"/>
      <c r="BF145" s="1021"/>
      <c r="BG145" s="1021"/>
      <c r="BH145" s="1021"/>
      <c r="BI145" s="1021"/>
      <c r="BJ145" s="1021"/>
      <c r="BK145" s="1021"/>
      <c r="BL145" s="1021"/>
      <c r="BM145" s="1021"/>
      <c r="BN145" s="1021"/>
      <c r="BO145" s="1021"/>
      <c r="BP145" s="1021"/>
      <c r="BQ145" s="1021"/>
      <c r="BR145" s="1021"/>
      <c r="BS145" s="1021"/>
      <c r="BT145" s="1021"/>
      <c r="BU145" s="1021"/>
      <c r="BV145" s="1021"/>
      <c r="BW145" s="1021"/>
      <c r="BX145" s="1021"/>
      <c r="BY145" s="1021"/>
      <c r="BZ145" s="1021"/>
      <c r="CA145" s="1021"/>
      <c r="CB145" s="1021"/>
      <c r="CC145" s="1021"/>
    </row>
    <row r="146" spans="8:107" x14ac:dyDescent="0.25">
      <c r="H146" s="1021"/>
      <c r="I146" s="1021"/>
      <c r="J146" s="1021"/>
      <c r="K146" s="1021"/>
      <c r="L146" s="1021"/>
      <c r="M146" s="1021"/>
      <c r="N146" s="1021"/>
      <c r="O146" s="1021"/>
      <c r="P146" s="1021"/>
      <c r="Q146" s="1021"/>
      <c r="R146" s="1021"/>
      <c r="S146" s="1026"/>
      <c r="T146" s="1026"/>
      <c r="U146" s="1026"/>
      <c r="V146" s="1026"/>
      <c r="W146" s="1026"/>
      <c r="X146" s="1026"/>
      <c r="Y146" s="1026"/>
      <c r="Z146" s="1026"/>
      <c r="AA146" s="1026"/>
      <c r="AB146" s="1026"/>
      <c r="AC146" s="1026"/>
      <c r="AD146" s="1026"/>
      <c r="AE146" s="1021"/>
      <c r="AF146" s="1021"/>
      <c r="AG146" s="1021"/>
      <c r="AH146" s="1021"/>
      <c r="AI146" s="1021"/>
      <c r="AJ146" s="1021"/>
      <c r="AK146" s="1021"/>
      <c r="AL146" s="1021"/>
      <c r="AM146" s="1021"/>
      <c r="AN146" s="1021"/>
      <c r="AO146" s="1021"/>
      <c r="AP146" s="1021"/>
      <c r="AQ146" s="1021"/>
      <c r="AR146" s="1021"/>
      <c r="AS146" s="1021"/>
      <c r="AT146" s="1021"/>
      <c r="AU146" s="1021"/>
      <c r="AV146" s="1021"/>
      <c r="AW146" s="1021"/>
      <c r="AX146" s="1021"/>
      <c r="AY146" s="1021"/>
      <c r="AZ146" s="1021"/>
      <c r="BA146" s="1021"/>
      <c r="BB146" s="1021"/>
      <c r="BC146" s="1021"/>
      <c r="BD146" s="1021"/>
      <c r="BE146" s="1021"/>
      <c r="BF146" s="1021"/>
      <c r="BG146" s="1021"/>
      <c r="BH146" s="1021"/>
      <c r="BI146" s="1021"/>
      <c r="BJ146" s="1021"/>
      <c r="BK146" s="1021"/>
      <c r="BL146" s="1021"/>
      <c r="BM146" s="1021"/>
      <c r="BN146" s="1021"/>
      <c r="BO146" s="1021"/>
      <c r="BP146" s="1021"/>
      <c r="BQ146" s="1021"/>
      <c r="BR146" s="1021"/>
      <c r="BS146" s="1021"/>
      <c r="BT146" s="1021"/>
      <c r="BU146" s="1021"/>
      <c r="BV146" s="1021"/>
      <c r="BW146" s="1021"/>
      <c r="BX146" s="1021"/>
      <c r="BY146" s="1021"/>
      <c r="BZ146" s="1021"/>
      <c r="CA146" s="1021"/>
      <c r="CB146" s="1021"/>
      <c r="CC146" s="1021"/>
    </row>
    <row r="147" spans="8:107" x14ac:dyDescent="0.25">
      <c r="H147" s="1021"/>
      <c r="I147" s="1026"/>
      <c r="J147" s="1026"/>
      <c r="K147" s="1026"/>
      <c r="L147" s="1026"/>
      <c r="M147" s="1026"/>
      <c r="N147" s="1026"/>
      <c r="O147" s="1026"/>
      <c r="P147" s="1026"/>
      <c r="Q147" s="1026"/>
      <c r="R147" s="1026"/>
      <c r="S147" s="1026"/>
      <c r="T147" s="1026"/>
      <c r="U147" s="1026"/>
      <c r="V147" s="1026"/>
      <c r="W147" s="1026"/>
      <c r="X147" s="1026"/>
      <c r="Y147" s="1026"/>
      <c r="Z147" s="1026"/>
      <c r="AA147" s="1026"/>
      <c r="AB147" s="1026"/>
      <c r="AC147" s="1026"/>
      <c r="AD147" s="1026"/>
      <c r="AE147" s="1021"/>
      <c r="AF147" s="1021"/>
      <c r="AG147" s="1021"/>
      <c r="AH147" s="1021"/>
      <c r="AI147" s="1021"/>
      <c r="AJ147" s="1021"/>
      <c r="AK147" s="1021"/>
      <c r="AL147" s="1021"/>
      <c r="AM147" s="1021"/>
      <c r="AN147" s="1021"/>
      <c r="AO147" s="1021"/>
      <c r="AP147" s="1021"/>
      <c r="AQ147" s="1021"/>
      <c r="AR147" s="1021"/>
      <c r="AS147" s="1021"/>
      <c r="AT147" s="1021"/>
      <c r="AU147" s="1021"/>
      <c r="AV147" s="1021"/>
      <c r="AW147" s="1021"/>
      <c r="AX147" s="1021"/>
      <c r="AY147" s="1021"/>
      <c r="AZ147" s="1021"/>
      <c r="BA147" s="1021"/>
      <c r="BB147" s="1021"/>
      <c r="BC147" s="1021"/>
      <c r="BD147" s="1021"/>
      <c r="BE147" s="1021"/>
      <c r="BF147" s="1021"/>
      <c r="BG147" s="1021"/>
      <c r="BH147" s="1021"/>
      <c r="BI147" s="1021"/>
      <c r="BJ147" s="1021"/>
      <c r="BK147" s="1021"/>
      <c r="BL147" s="1021"/>
      <c r="BM147" s="1021"/>
      <c r="BN147" s="1021"/>
      <c r="BO147" s="1021"/>
      <c r="BP147" s="1021"/>
      <c r="BQ147" s="1021"/>
      <c r="BR147" s="1021"/>
      <c r="BS147" s="1021"/>
      <c r="BT147" s="1021"/>
      <c r="BU147" s="1021"/>
      <c r="BV147" s="1021"/>
      <c r="BW147" s="1021"/>
      <c r="BX147" s="1021"/>
      <c r="BY147" s="1021"/>
      <c r="BZ147" s="1021"/>
      <c r="CA147" s="1021"/>
      <c r="CB147" s="1021"/>
      <c r="CC147" s="1021"/>
    </row>
    <row r="148" spans="8:107" x14ac:dyDescent="0.25">
      <c r="H148" s="1021"/>
      <c r="I148" s="1021"/>
      <c r="J148" s="1021"/>
      <c r="K148" s="1021"/>
      <c r="L148" s="1021"/>
      <c r="M148" s="1021"/>
      <c r="N148" s="1021"/>
      <c r="O148" s="1021"/>
      <c r="P148" s="1021"/>
      <c r="Q148" s="1021"/>
      <c r="R148" s="1021"/>
      <c r="S148" s="1026"/>
      <c r="T148" s="1026"/>
      <c r="U148" s="1026"/>
      <c r="V148" s="1026"/>
      <c r="W148" s="1026"/>
      <c r="X148" s="1026"/>
      <c r="Y148" s="1026"/>
      <c r="Z148" s="1026"/>
      <c r="AA148" s="1026"/>
      <c r="AB148" s="1026"/>
      <c r="AC148" s="1026"/>
      <c r="AD148" s="1026"/>
      <c r="AE148" s="1021"/>
      <c r="AF148" s="1021"/>
      <c r="AG148" s="1021"/>
      <c r="AH148" s="1021"/>
      <c r="AI148" s="1021"/>
      <c r="AJ148" s="1021"/>
      <c r="AK148" s="1021"/>
      <c r="AL148" s="1021"/>
      <c r="AM148" s="1021"/>
      <c r="AN148" s="1021"/>
      <c r="AO148" s="1021"/>
      <c r="AP148" s="1021"/>
      <c r="AQ148" s="1021"/>
      <c r="AR148" s="1021"/>
      <c r="AS148" s="1021"/>
      <c r="AT148" s="1021"/>
      <c r="AU148" s="1021"/>
      <c r="AV148" s="1021"/>
      <c r="AW148" s="1021"/>
      <c r="AX148" s="1021"/>
      <c r="AY148" s="1021"/>
      <c r="AZ148" s="1021"/>
      <c r="BA148" s="1021"/>
      <c r="BB148" s="1021"/>
      <c r="BC148" s="1021"/>
      <c r="BD148" s="1021"/>
      <c r="BE148" s="1021"/>
      <c r="BF148" s="1021"/>
      <c r="BG148" s="1021"/>
      <c r="BH148" s="1021"/>
      <c r="BI148" s="1021"/>
      <c r="BJ148" s="1021"/>
      <c r="BK148" s="1021"/>
      <c r="BL148" s="1021"/>
      <c r="BM148" s="1021"/>
      <c r="BN148" s="1021"/>
      <c r="BO148" s="1021"/>
      <c r="BP148" s="1021"/>
      <c r="BQ148" s="1021"/>
      <c r="BR148" s="1021"/>
      <c r="BS148" s="1021"/>
      <c r="BT148" s="1021"/>
      <c r="BU148" s="1021"/>
      <c r="BV148" s="1021"/>
      <c r="BW148" s="1021"/>
      <c r="BX148" s="1021"/>
      <c r="BY148" s="1021"/>
      <c r="BZ148" s="1021"/>
      <c r="CA148" s="1021"/>
      <c r="CB148" s="1021"/>
      <c r="CC148" s="1021"/>
    </row>
    <row r="149" spans="8:107" x14ac:dyDescent="0.25">
      <c r="H149" s="1021"/>
      <c r="I149" s="1026"/>
      <c r="J149" s="1026"/>
      <c r="K149" s="1026"/>
      <c r="L149" s="1026"/>
      <c r="M149" s="1026"/>
      <c r="N149" s="1026"/>
      <c r="O149" s="1026"/>
      <c r="P149" s="1026"/>
      <c r="Q149" s="1026"/>
      <c r="R149" s="1026"/>
      <c r="S149" s="1026"/>
      <c r="T149" s="1026"/>
      <c r="U149" s="1026"/>
      <c r="V149" s="1026"/>
      <c r="W149" s="1026"/>
      <c r="X149" s="1026"/>
      <c r="Y149" s="1026"/>
      <c r="Z149" s="1026"/>
      <c r="AA149" s="1026"/>
      <c r="AB149" s="1026"/>
      <c r="AC149" s="1026"/>
      <c r="AD149" s="1026"/>
      <c r="AE149" s="1021"/>
      <c r="AF149" s="1021"/>
      <c r="AG149" s="1021"/>
      <c r="AH149" s="1021"/>
      <c r="AI149" s="1021"/>
      <c r="AJ149" s="1021"/>
      <c r="AK149" s="1021"/>
      <c r="AL149" s="1021"/>
      <c r="AM149" s="1021"/>
      <c r="AN149" s="1021"/>
      <c r="AO149" s="1021"/>
      <c r="AP149" s="1021"/>
      <c r="AQ149" s="1021"/>
      <c r="AR149" s="1021"/>
      <c r="AS149" s="1021"/>
      <c r="AT149" s="1021"/>
      <c r="AU149" s="1021"/>
      <c r="AV149" s="1021"/>
      <c r="AW149" s="1021"/>
      <c r="AX149" s="1021"/>
      <c r="AY149" s="1021"/>
      <c r="AZ149" s="1021"/>
      <c r="BA149" s="1021"/>
      <c r="BB149" s="1021"/>
      <c r="BC149" s="1021"/>
      <c r="BD149" s="1021"/>
      <c r="BE149" s="1021"/>
      <c r="BF149" s="1021"/>
      <c r="BG149" s="1021"/>
      <c r="BH149" s="1021"/>
      <c r="BI149" s="1021"/>
      <c r="BJ149" s="1021"/>
      <c r="BK149" s="1021"/>
      <c r="BL149" s="1021"/>
      <c r="BM149" s="1021"/>
      <c r="BN149" s="1021"/>
      <c r="BO149" s="1021"/>
      <c r="BP149" s="1021"/>
      <c r="BQ149" s="1021"/>
      <c r="BR149" s="1021"/>
      <c r="BS149" s="1021"/>
      <c r="BT149" s="1021"/>
      <c r="BU149" s="1021"/>
      <c r="BV149" s="1021"/>
      <c r="BW149" s="1021"/>
      <c r="BX149" s="1021"/>
      <c r="BY149" s="1021"/>
      <c r="BZ149" s="1021"/>
      <c r="CA149" s="1021"/>
      <c r="CB149" s="1021"/>
      <c r="CC149" s="1021"/>
    </row>
    <row r="150" spans="8:107" x14ac:dyDescent="0.25">
      <c r="H150" s="1021"/>
      <c r="I150" s="1021"/>
      <c r="J150" s="1021"/>
      <c r="K150" s="1021"/>
      <c r="L150" s="1021"/>
      <c r="M150" s="1021"/>
      <c r="N150" s="1021"/>
      <c r="O150" s="1021"/>
      <c r="P150" s="1021"/>
      <c r="Q150" s="1021"/>
      <c r="R150" s="1021"/>
      <c r="S150" s="1021"/>
      <c r="T150" s="1021"/>
      <c r="U150" s="1021"/>
      <c r="V150" s="1021"/>
      <c r="W150" s="1021"/>
      <c r="X150" s="1021"/>
      <c r="Y150" s="1021"/>
      <c r="Z150" s="1021"/>
      <c r="AA150" s="1021"/>
      <c r="AB150" s="1021"/>
      <c r="AC150" s="1021"/>
      <c r="AD150" s="1021"/>
      <c r="AE150" s="1021"/>
      <c r="AF150" s="1021"/>
      <c r="AG150" s="1021"/>
      <c r="AH150" s="1021"/>
      <c r="AI150" s="1021"/>
      <c r="AJ150" s="1021"/>
      <c r="AK150" s="1021"/>
      <c r="AL150" s="1021"/>
      <c r="AM150" s="1021"/>
      <c r="AN150" s="1021"/>
      <c r="AO150" s="1021"/>
      <c r="AP150" s="1021"/>
      <c r="AQ150" s="1021"/>
      <c r="AR150" s="1021"/>
      <c r="AS150" s="1021"/>
      <c r="AT150" s="1021"/>
      <c r="AU150" s="1021"/>
      <c r="AV150" s="1021"/>
      <c r="AW150" s="1021"/>
      <c r="AX150" s="1021"/>
      <c r="AY150" s="1021"/>
      <c r="AZ150" s="1021"/>
      <c r="BA150" s="1021"/>
      <c r="BB150" s="1021"/>
      <c r="BC150" s="1021"/>
      <c r="BD150" s="1021"/>
      <c r="BE150" s="1021"/>
      <c r="BF150" s="1021"/>
      <c r="BG150" s="1021"/>
      <c r="BH150" s="1021"/>
      <c r="BI150" s="1021"/>
      <c r="BJ150" s="1021"/>
      <c r="BK150" s="1021"/>
      <c r="BL150" s="1021"/>
      <c r="BM150" s="1021"/>
      <c r="BN150" s="1021"/>
      <c r="BO150" s="1021"/>
      <c r="BP150" s="1021"/>
      <c r="BQ150" s="1021"/>
      <c r="BR150" s="1021"/>
      <c r="BS150" s="1021"/>
      <c r="BT150" s="1021"/>
      <c r="BU150" s="1021"/>
      <c r="BV150" s="1021"/>
      <c r="BW150" s="1021"/>
      <c r="BX150" s="1021"/>
      <c r="BY150" s="1021"/>
      <c r="BZ150" s="1021"/>
      <c r="CA150" s="1021"/>
      <c r="CB150" s="1021"/>
      <c r="CC150" s="1021"/>
      <c r="CD150" s="1021"/>
      <c r="CE150" s="1021"/>
      <c r="CF150" s="1021"/>
      <c r="CG150" s="1021"/>
      <c r="CH150" s="1021"/>
      <c r="CI150" s="1021"/>
      <c r="CJ150" s="1021"/>
      <c r="CK150" s="1021"/>
      <c r="CL150" s="1021"/>
      <c r="CM150" s="1021"/>
      <c r="CN150" s="1021"/>
      <c r="CO150" s="1021"/>
      <c r="CP150" s="1021"/>
      <c r="CQ150" s="1021"/>
      <c r="CR150" s="1021"/>
      <c r="CS150" s="1021"/>
      <c r="CT150" s="1021"/>
      <c r="CU150" s="1021"/>
      <c r="CV150" s="1021"/>
      <c r="CW150" s="1021"/>
      <c r="CX150" s="1021"/>
      <c r="CY150" s="1021"/>
      <c r="CZ150" s="1021"/>
      <c r="DA150" s="1021"/>
      <c r="DB150" s="1021"/>
      <c r="DC150" s="1021"/>
    </row>
    <row r="151" spans="8:107" x14ac:dyDescent="0.25">
      <c r="H151" s="1021"/>
      <c r="I151" s="1026"/>
      <c r="J151" s="1026"/>
      <c r="K151" s="1026"/>
      <c r="L151" s="1026"/>
      <c r="M151" s="1026"/>
      <c r="N151" s="1026"/>
      <c r="O151" s="1026"/>
      <c r="P151" s="1026"/>
      <c r="Q151" s="1026"/>
      <c r="R151" s="1026"/>
      <c r="S151" s="1026"/>
      <c r="T151" s="1026"/>
      <c r="U151" s="1026"/>
      <c r="V151" s="1026"/>
      <c r="W151" s="1026"/>
      <c r="X151" s="1026"/>
      <c r="Y151" s="1026"/>
      <c r="Z151" s="1026"/>
      <c r="AA151" s="1026"/>
      <c r="AB151" s="1026"/>
      <c r="AC151" s="1026"/>
      <c r="AD151" s="1026"/>
      <c r="AE151" s="1021"/>
      <c r="AF151" s="1021"/>
      <c r="AG151" s="1021"/>
      <c r="AH151" s="1021"/>
      <c r="AI151" s="1021"/>
      <c r="AJ151" s="1021"/>
      <c r="AK151" s="1021"/>
      <c r="AL151" s="1021"/>
      <c r="AM151" s="1021"/>
      <c r="AN151" s="1021"/>
      <c r="AO151" s="1021"/>
      <c r="AP151" s="1021"/>
      <c r="AQ151" s="1021"/>
      <c r="AR151" s="1021"/>
      <c r="AS151" s="1021"/>
      <c r="AT151" s="1021"/>
      <c r="AU151" s="1021"/>
      <c r="AV151" s="1021"/>
      <c r="AW151" s="1021"/>
      <c r="AX151" s="1021"/>
      <c r="AY151" s="1021"/>
      <c r="AZ151" s="1021"/>
      <c r="BA151" s="1021"/>
      <c r="BB151" s="1021"/>
      <c r="BC151" s="1021"/>
      <c r="BD151" s="1021"/>
      <c r="BE151" s="1021"/>
      <c r="BF151" s="1021"/>
      <c r="BG151" s="1021"/>
      <c r="BH151" s="1021"/>
      <c r="BI151" s="1021"/>
      <c r="BJ151" s="1021"/>
      <c r="BK151" s="1021"/>
      <c r="BL151" s="1021"/>
      <c r="BM151" s="1021"/>
      <c r="BN151" s="1021"/>
      <c r="BO151" s="1021"/>
      <c r="BP151" s="1021"/>
      <c r="BQ151" s="1021"/>
      <c r="BR151" s="1021"/>
      <c r="BS151" s="1021"/>
      <c r="BT151" s="1021"/>
      <c r="BU151" s="1021"/>
      <c r="BV151" s="1021"/>
      <c r="BW151" s="1021"/>
      <c r="BX151" s="1021"/>
      <c r="BY151" s="1021"/>
      <c r="BZ151" s="1021"/>
      <c r="CA151" s="1021"/>
      <c r="CB151" s="1021"/>
      <c r="CC151" s="1021"/>
    </row>
    <row r="152" spans="8:107" x14ac:dyDescent="0.25">
      <c r="H152" s="1021"/>
      <c r="I152" s="1026"/>
      <c r="J152" s="1026"/>
      <c r="K152" s="1026"/>
      <c r="L152" s="1026"/>
      <c r="M152" s="1026"/>
      <c r="N152" s="1026"/>
      <c r="O152" s="1026"/>
      <c r="P152" s="1026"/>
      <c r="Q152" s="1026"/>
      <c r="R152" s="1026"/>
      <c r="S152" s="1026"/>
      <c r="T152" s="1026"/>
      <c r="U152" s="1026"/>
      <c r="V152" s="1026"/>
      <c r="W152" s="1026"/>
      <c r="X152" s="1026"/>
      <c r="Y152" s="1026"/>
      <c r="Z152" s="1026"/>
      <c r="AA152" s="1026"/>
      <c r="AB152" s="1026"/>
      <c r="AC152" s="1026"/>
      <c r="AD152" s="1026"/>
      <c r="AE152" s="1021"/>
      <c r="AF152" s="1021"/>
      <c r="AG152" s="1021"/>
      <c r="AH152" s="1021"/>
      <c r="AI152" s="1021"/>
      <c r="AJ152" s="1021"/>
      <c r="AK152" s="1021"/>
      <c r="AL152" s="1021"/>
      <c r="AM152" s="1021"/>
      <c r="AN152" s="1021"/>
      <c r="AO152" s="1021"/>
      <c r="AP152" s="1021"/>
      <c r="AQ152" s="1021"/>
      <c r="AR152" s="1021"/>
      <c r="AS152" s="1021"/>
      <c r="AT152" s="1021"/>
      <c r="AU152" s="1021"/>
      <c r="AV152" s="1021"/>
      <c r="AW152" s="1021"/>
      <c r="AX152" s="1021"/>
      <c r="AY152" s="1021"/>
      <c r="AZ152" s="1021"/>
      <c r="BA152" s="1021"/>
      <c r="BB152" s="1021"/>
      <c r="BC152" s="1021"/>
      <c r="BD152" s="1021"/>
      <c r="BE152" s="1021"/>
      <c r="BF152" s="1021"/>
      <c r="BG152" s="1021"/>
      <c r="BH152" s="1021"/>
      <c r="BI152" s="1021"/>
      <c r="BJ152" s="1021"/>
      <c r="BK152" s="1021"/>
      <c r="BL152" s="1021"/>
      <c r="BM152" s="1021"/>
      <c r="BN152" s="1021"/>
      <c r="BO152" s="1021"/>
      <c r="BP152" s="1021"/>
      <c r="BQ152" s="1021"/>
      <c r="BR152" s="1021"/>
      <c r="BS152" s="1021"/>
      <c r="BT152" s="1021"/>
      <c r="BU152" s="1021"/>
      <c r="BV152" s="1021"/>
      <c r="BW152" s="1021"/>
      <c r="BX152" s="1021"/>
      <c r="BY152" s="1021"/>
      <c r="BZ152" s="1021"/>
      <c r="CA152" s="1021"/>
      <c r="CB152" s="1021"/>
      <c r="CC152" s="1021"/>
    </row>
    <row r="153" spans="8:107" x14ac:dyDescent="0.25">
      <c r="H153" s="1021"/>
      <c r="I153" s="1026"/>
      <c r="J153" s="1026"/>
      <c r="K153" s="1026"/>
      <c r="L153" s="1026"/>
      <c r="M153" s="1026"/>
      <c r="N153" s="1026"/>
      <c r="O153" s="1026"/>
      <c r="P153" s="1026"/>
      <c r="Q153" s="1026"/>
      <c r="R153" s="1026"/>
      <c r="S153" s="1026"/>
      <c r="T153" s="1026"/>
      <c r="U153" s="1026"/>
      <c r="V153" s="1026"/>
      <c r="W153" s="1026"/>
      <c r="X153" s="1026"/>
      <c r="Y153" s="1026"/>
      <c r="Z153" s="1026"/>
      <c r="AA153" s="1026"/>
      <c r="AB153" s="1026"/>
      <c r="AC153" s="1026"/>
      <c r="AD153" s="1026"/>
      <c r="AE153" s="1021"/>
      <c r="AF153" s="1021"/>
      <c r="AG153" s="1021"/>
      <c r="AH153" s="1021"/>
      <c r="AI153" s="1021"/>
      <c r="AJ153" s="1021"/>
      <c r="AK153" s="1021"/>
      <c r="AL153" s="1021"/>
      <c r="AM153" s="1021"/>
      <c r="AN153" s="1021"/>
      <c r="AO153" s="1021"/>
      <c r="AP153" s="1021"/>
      <c r="AQ153" s="1021"/>
      <c r="AR153" s="1021"/>
      <c r="AS153" s="1021"/>
      <c r="AT153" s="1021"/>
      <c r="AU153" s="1021"/>
      <c r="AV153" s="1021"/>
      <c r="AW153" s="1021"/>
      <c r="AX153" s="1021"/>
      <c r="AY153" s="1021"/>
      <c r="AZ153" s="1021"/>
      <c r="BA153" s="1021"/>
      <c r="BB153" s="1021"/>
      <c r="BC153" s="1021"/>
      <c r="BD153" s="1021"/>
      <c r="BE153" s="1021"/>
      <c r="BF153" s="1021"/>
      <c r="BG153" s="1021"/>
      <c r="BH153" s="1021"/>
      <c r="BI153" s="1021"/>
      <c r="BJ153" s="1021"/>
      <c r="BK153" s="1021"/>
      <c r="BL153" s="1021"/>
      <c r="BM153" s="1021"/>
      <c r="BN153" s="1021"/>
      <c r="BO153" s="1021"/>
      <c r="BP153" s="1021"/>
      <c r="BQ153" s="1021"/>
      <c r="BR153" s="1021"/>
      <c r="BS153" s="1021"/>
      <c r="BT153" s="1021"/>
      <c r="BU153" s="1021"/>
      <c r="BV153" s="1021"/>
      <c r="BW153" s="1021"/>
      <c r="BX153" s="1021"/>
      <c r="BY153" s="1021"/>
      <c r="BZ153" s="1021"/>
      <c r="CA153" s="1021"/>
      <c r="CB153" s="1021"/>
      <c r="CC153" s="1021"/>
    </row>
    <row r="154" spans="8:107" x14ac:dyDescent="0.25">
      <c r="H154" s="1021"/>
      <c r="I154" s="1021"/>
      <c r="J154" s="1021"/>
      <c r="K154" s="1021"/>
      <c r="L154" s="1021"/>
      <c r="M154" s="1021"/>
      <c r="N154" s="1021"/>
      <c r="O154" s="1021"/>
      <c r="P154" s="1021"/>
      <c r="Q154" s="1021"/>
      <c r="R154" s="1021"/>
      <c r="S154" s="1021"/>
      <c r="T154" s="1021"/>
      <c r="U154" s="1021"/>
      <c r="V154" s="1021"/>
      <c r="W154" s="1021"/>
      <c r="X154" s="1021"/>
      <c r="Y154" s="1021"/>
      <c r="Z154" s="1021"/>
      <c r="AA154" s="1021"/>
      <c r="AB154" s="1021"/>
      <c r="AC154" s="1021"/>
      <c r="AD154" s="1021"/>
      <c r="AE154" s="1021"/>
      <c r="AF154" s="1021"/>
      <c r="AG154" s="1021"/>
      <c r="AH154" s="1021"/>
      <c r="AI154" s="1021"/>
      <c r="AJ154" s="1021"/>
      <c r="AK154" s="1021"/>
      <c r="AL154" s="1021"/>
      <c r="AM154" s="1021"/>
      <c r="AN154" s="1021"/>
      <c r="AO154" s="1021"/>
      <c r="AP154" s="1021"/>
      <c r="AQ154" s="1021"/>
      <c r="AR154" s="1021"/>
      <c r="AS154" s="1021"/>
      <c r="AT154" s="1021"/>
      <c r="AU154" s="1021"/>
      <c r="AV154" s="1021"/>
      <c r="AW154" s="1021"/>
      <c r="AX154" s="1021"/>
      <c r="AY154" s="1021"/>
      <c r="AZ154" s="1021"/>
      <c r="BA154" s="1021"/>
      <c r="BB154" s="1021"/>
      <c r="BC154" s="1021"/>
      <c r="BD154" s="1021"/>
      <c r="BE154" s="1021"/>
      <c r="BF154" s="1021"/>
      <c r="BG154" s="1021"/>
      <c r="BH154" s="1021"/>
      <c r="BI154" s="1021"/>
      <c r="BJ154" s="1021"/>
      <c r="BK154" s="1021"/>
      <c r="BL154" s="1021"/>
      <c r="BM154" s="1021"/>
      <c r="BN154" s="1021"/>
      <c r="BO154" s="1021"/>
      <c r="BP154" s="1021"/>
      <c r="BQ154" s="1021"/>
      <c r="BR154" s="1021"/>
      <c r="BS154" s="1021"/>
      <c r="BT154" s="1021"/>
      <c r="BU154" s="1021"/>
      <c r="BV154" s="1021"/>
      <c r="BW154" s="1021"/>
      <c r="BX154" s="1021"/>
      <c r="BY154" s="1021"/>
      <c r="BZ154" s="1021"/>
      <c r="CA154" s="1021"/>
      <c r="CB154" s="1021"/>
      <c r="CC154" s="1021"/>
    </row>
    <row r="155" spans="8:107" x14ac:dyDescent="0.25">
      <c r="H155" s="1021"/>
      <c r="I155" s="1021"/>
      <c r="J155" s="1021"/>
      <c r="K155" s="1021"/>
      <c r="L155" s="1021"/>
      <c r="M155" s="1021"/>
      <c r="N155" s="1021"/>
      <c r="O155" s="1021"/>
      <c r="P155" s="1021"/>
      <c r="Q155" s="1021"/>
      <c r="R155" s="1021"/>
      <c r="S155" s="1021"/>
      <c r="T155" s="1021"/>
      <c r="U155" s="1021"/>
      <c r="V155" s="1021"/>
      <c r="W155" s="1021"/>
      <c r="X155" s="1021"/>
      <c r="Y155" s="1021"/>
      <c r="Z155" s="1021"/>
      <c r="AA155" s="1021"/>
      <c r="AB155" s="1021"/>
      <c r="AC155" s="1021"/>
      <c r="AD155" s="1021"/>
      <c r="AE155" s="1021"/>
      <c r="AF155" s="1021"/>
      <c r="AG155" s="1021"/>
      <c r="AH155" s="1021"/>
      <c r="AI155" s="1021"/>
      <c r="AJ155" s="1021"/>
      <c r="AK155" s="1021"/>
      <c r="AL155" s="1021"/>
      <c r="AM155" s="1021"/>
      <c r="AN155" s="1021"/>
      <c r="AO155" s="1021"/>
      <c r="AP155" s="1021"/>
      <c r="AQ155" s="1021"/>
      <c r="AR155" s="1021"/>
      <c r="AS155" s="1021"/>
      <c r="AT155" s="1021"/>
      <c r="AU155" s="1021"/>
      <c r="AV155" s="1021"/>
      <c r="AW155" s="1021"/>
      <c r="AX155" s="1021"/>
      <c r="AY155" s="1021"/>
      <c r="AZ155" s="1021"/>
      <c r="BA155" s="1021"/>
      <c r="BB155" s="1021"/>
      <c r="BC155" s="1021"/>
      <c r="BD155" s="1021"/>
      <c r="BE155" s="1021"/>
      <c r="BF155" s="1021"/>
      <c r="BG155" s="1021"/>
      <c r="BH155" s="1021"/>
      <c r="BI155" s="1021"/>
      <c r="BJ155" s="1021"/>
      <c r="BK155" s="1021"/>
      <c r="BL155" s="1021"/>
      <c r="BM155" s="1021"/>
      <c r="BN155" s="1021"/>
      <c r="BO155" s="1021"/>
      <c r="BP155" s="1021"/>
      <c r="BQ155" s="1021"/>
      <c r="BR155" s="1021"/>
      <c r="BS155" s="1021"/>
      <c r="BT155" s="1021"/>
      <c r="BU155" s="1021"/>
      <c r="BV155" s="1021"/>
      <c r="BW155" s="1021"/>
      <c r="BX155" s="1021"/>
      <c r="BY155" s="1021"/>
      <c r="BZ155" s="1021"/>
      <c r="CA155" s="1021"/>
      <c r="CB155" s="1021"/>
      <c r="CC155" s="1021"/>
    </row>
    <row r="156" spans="8:107" x14ac:dyDescent="0.25">
      <c r="H156" s="1021"/>
      <c r="I156" s="1021"/>
      <c r="J156" s="1021"/>
      <c r="K156" s="1021"/>
      <c r="L156" s="1021"/>
      <c r="M156" s="1021"/>
      <c r="N156" s="1021"/>
      <c r="O156" s="1021"/>
      <c r="P156" s="1021"/>
      <c r="Q156" s="1021"/>
      <c r="R156" s="1021"/>
      <c r="S156" s="1021"/>
      <c r="T156" s="1021"/>
      <c r="U156" s="1021"/>
      <c r="V156" s="1021"/>
      <c r="W156" s="1021"/>
      <c r="X156" s="1021"/>
      <c r="Y156" s="1021"/>
      <c r="Z156" s="1021"/>
      <c r="AA156" s="1021"/>
      <c r="AB156" s="1021"/>
      <c r="AC156" s="1021"/>
      <c r="AD156" s="1021"/>
      <c r="AE156" s="1021"/>
      <c r="AF156" s="1021"/>
      <c r="AG156" s="1021"/>
      <c r="AH156" s="1021"/>
      <c r="AI156" s="1021"/>
      <c r="AJ156" s="1021"/>
      <c r="AK156" s="1021"/>
      <c r="AL156" s="1021"/>
      <c r="AM156" s="1021"/>
      <c r="AN156" s="1021"/>
      <c r="AO156" s="1021"/>
      <c r="AP156" s="1021"/>
      <c r="AQ156" s="1021"/>
      <c r="AR156" s="1021"/>
      <c r="AS156" s="1021"/>
      <c r="AT156" s="1021"/>
      <c r="AU156" s="1021"/>
      <c r="AV156" s="1021"/>
      <c r="AW156" s="1021"/>
      <c r="AX156" s="1021"/>
      <c r="AY156" s="1021"/>
      <c r="AZ156" s="1021"/>
      <c r="BA156" s="1021"/>
      <c r="BB156" s="1021"/>
      <c r="BC156" s="1021"/>
      <c r="BD156" s="1021"/>
      <c r="BE156" s="1021"/>
      <c r="BF156" s="1021"/>
      <c r="BG156" s="1021"/>
      <c r="BH156" s="1021"/>
      <c r="BI156" s="1021"/>
      <c r="BJ156" s="1021"/>
      <c r="BK156" s="1021"/>
      <c r="BL156" s="1021"/>
      <c r="BM156" s="1021"/>
      <c r="BN156" s="1021"/>
      <c r="BO156" s="1021"/>
      <c r="BP156" s="1021"/>
      <c r="BQ156" s="1021"/>
      <c r="BR156" s="1021"/>
      <c r="BS156" s="1021"/>
      <c r="BT156" s="1021"/>
      <c r="BU156" s="1021"/>
      <c r="BV156" s="1021"/>
      <c r="BW156" s="1021"/>
      <c r="BX156" s="1021"/>
      <c r="BY156" s="1021"/>
      <c r="BZ156" s="1021"/>
      <c r="CA156" s="1021"/>
      <c r="CB156" s="1021"/>
      <c r="CC156" s="1021"/>
    </row>
    <row r="157" spans="8:107" x14ac:dyDescent="0.25">
      <c r="H157" s="1021"/>
      <c r="I157" s="1021"/>
      <c r="J157" s="1021"/>
      <c r="K157" s="1021"/>
      <c r="L157" s="1021"/>
      <c r="M157" s="1021"/>
      <c r="N157" s="1021"/>
      <c r="O157" s="1021"/>
      <c r="P157" s="1021"/>
      <c r="Q157" s="1021"/>
      <c r="R157" s="1021"/>
      <c r="S157" s="1021"/>
      <c r="T157" s="1021"/>
      <c r="U157" s="1021"/>
      <c r="V157" s="1021"/>
      <c r="W157" s="1021"/>
      <c r="X157" s="1021"/>
      <c r="Y157" s="1021"/>
      <c r="Z157" s="1021"/>
      <c r="AA157" s="1021"/>
      <c r="AB157" s="1021"/>
      <c r="AC157" s="1021"/>
      <c r="AD157" s="1021"/>
      <c r="AE157" s="1021"/>
      <c r="AF157" s="1021"/>
      <c r="AG157" s="1021"/>
      <c r="AH157" s="1021"/>
      <c r="AI157" s="1021"/>
      <c r="AJ157" s="1021"/>
      <c r="AK157" s="1021"/>
      <c r="AL157" s="1021"/>
      <c r="AM157" s="1021"/>
      <c r="AN157" s="1021"/>
      <c r="AO157" s="1021"/>
      <c r="AP157" s="1021"/>
      <c r="AQ157" s="1021"/>
      <c r="AR157" s="1021"/>
      <c r="AS157" s="1021"/>
      <c r="AT157" s="1021"/>
      <c r="AU157" s="1021"/>
      <c r="AV157" s="1021"/>
      <c r="AW157" s="1021"/>
      <c r="AX157" s="1021"/>
      <c r="AY157" s="1021"/>
      <c r="AZ157" s="1021"/>
      <c r="BA157" s="1021"/>
      <c r="BB157" s="1021"/>
      <c r="BC157" s="1021"/>
      <c r="BD157" s="1021"/>
      <c r="BE157" s="1021"/>
      <c r="BF157" s="1021"/>
      <c r="BG157" s="1021"/>
      <c r="BH157" s="1021"/>
      <c r="BI157" s="1021"/>
      <c r="BJ157" s="1021"/>
      <c r="BK157" s="1021"/>
      <c r="BL157" s="1021"/>
      <c r="BM157" s="1021"/>
      <c r="BN157" s="1021"/>
      <c r="BO157" s="1021"/>
      <c r="BP157" s="1021"/>
      <c r="BQ157" s="1021"/>
      <c r="BR157" s="1021"/>
      <c r="BS157" s="1021"/>
      <c r="BT157" s="1021"/>
      <c r="BU157" s="1021"/>
      <c r="BV157" s="1021"/>
      <c r="BW157" s="1021"/>
      <c r="BX157" s="1021"/>
      <c r="BY157" s="1021"/>
      <c r="BZ157" s="1021"/>
      <c r="CA157" s="1021"/>
      <c r="CB157" s="1021"/>
      <c r="CC157" s="1021"/>
    </row>
    <row r="158" spans="8:107" x14ac:dyDescent="0.25">
      <c r="H158" s="1021"/>
      <c r="I158" s="1021"/>
      <c r="J158" s="1021"/>
      <c r="K158" s="1021"/>
      <c r="L158" s="1021"/>
      <c r="M158" s="1021"/>
      <c r="N158" s="1021"/>
      <c r="O158" s="1021"/>
      <c r="P158" s="1021"/>
      <c r="Q158" s="1021"/>
      <c r="R158" s="1021"/>
      <c r="S158" s="1021"/>
      <c r="T158" s="1021"/>
      <c r="U158" s="1021"/>
      <c r="V158" s="1021"/>
      <c r="W158" s="1021"/>
      <c r="X158" s="1021"/>
      <c r="Y158" s="1021"/>
      <c r="Z158" s="1021"/>
      <c r="AA158" s="1021"/>
      <c r="AB158" s="1021"/>
      <c r="AC158" s="1021"/>
      <c r="AD158" s="1021"/>
      <c r="AE158" s="1021"/>
      <c r="AF158" s="1021"/>
      <c r="AG158" s="1021"/>
      <c r="AH158" s="1021"/>
      <c r="AI158" s="1021"/>
      <c r="AJ158" s="1021"/>
      <c r="AK158" s="1021"/>
      <c r="AL158" s="1021"/>
      <c r="AM158" s="1021"/>
      <c r="AN158" s="1021"/>
      <c r="AO158" s="1021"/>
      <c r="AP158" s="1021"/>
      <c r="AQ158" s="1021"/>
      <c r="AR158" s="1021"/>
      <c r="AS158" s="1021"/>
      <c r="AT158" s="1021"/>
      <c r="AU158" s="1021"/>
      <c r="AV158" s="1021"/>
      <c r="AW158" s="1021"/>
      <c r="AX158" s="1021"/>
      <c r="AY158" s="1021"/>
      <c r="AZ158" s="1021"/>
      <c r="BA158" s="1021"/>
      <c r="BB158" s="1021"/>
      <c r="BC158" s="1021"/>
      <c r="BD158" s="1021"/>
      <c r="BE158" s="1021"/>
      <c r="BF158" s="1021"/>
      <c r="BG158" s="1021"/>
      <c r="BH158" s="1021"/>
      <c r="BI158" s="1021"/>
      <c r="BJ158" s="1021"/>
      <c r="BK158" s="1021"/>
      <c r="BL158" s="1021"/>
      <c r="BM158" s="1021"/>
      <c r="BN158" s="1021"/>
      <c r="BO158" s="1021"/>
      <c r="BP158" s="1021"/>
      <c r="BQ158" s="1021"/>
      <c r="BR158" s="1021"/>
      <c r="BS158" s="1021"/>
      <c r="BT158" s="1021"/>
      <c r="BU158" s="1021"/>
      <c r="BV158" s="1021"/>
      <c r="BW158" s="1021"/>
      <c r="BX158" s="1021"/>
      <c r="BY158" s="1021"/>
      <c r="BZ158" s="1021"/>
      <c r="CA158" s="1021"/>
      <c r="CB158" s="1021"/>
      <c r="CC158" s="1021"/>
    </row>
    <row r="159" spans="8:107" x14ac:dyDescent="0.25">
      <c r="H159" s="1021"/>
      <c r="I159" s="1021"/>
      <c r="J159" s="1021"/>
      <c r="K159" s="1021"/>
      <c r="L159" s="1021"/>
      <c r="M159" s="1021"/>
      <c r="N159" s="1021"/>
      <c r="O159" s="1021"/>
      <c r="P159" s="1021"/>
      <c r="Q159" s="1021"/>
      <c r="R159" s="1021"/>
      <c r="S159" s="1021"/>
      <c r="T159" s="1021"/>
      <c r="U159" s="1021"/>
      <c r="V159" s="1021"/>
      <c r="W159" s="1021"/>
      <c r="X159" s="1021"/>
      <c r="Y159" s="1021"/>
      <c r="Z159" s="1021"/>
      <c r="AA159" s="1021"/>
      <c r="AB159" s="1021"/>
      <c r="AC159" s="1021"/>
      <c r="AD159" s="1021"/>
      <c r="AE159" s="1021"/>
      <c r="AF159" s="1021"/>
      <c r="AG159" s="1021"/>
      <c r="AH159" s="1021"/>
      <c r="AI159" s="1021"/>
      <c r="AJ159" s="1021"/>
      <c r="AK159" s="1021"/>
      <c r="AL159" s="1021"/>
      <c r="AM159" s="1021"/>
      <c r="AN159" s="1021"/>
      <c r="AO159" s="1021"/>
      <c r="AP159" s="1021"/>
      <c r="AQ159" s="1021"/>
      <c r="AR159" s="1021"/>
      <c r="AS159" s="1021"/>
      <c r="AT159" s="1021"/>
      <c r="AU159" s="1021"/>
      <c r="AV159" s="1021"/>
      <c r="AW159" s="1021"/>
      <c r="AX159" s="1021"/>
      <c r="AY159" s="1021"/>
      <c r="AZ159" s="1021"/>
      <c r="BA159" s="1021"/>
      <c r="BB159" s="1021"/>
      <c r="BC159" s="1021"/>
      <c r="BD159" s="1021"/>
      <c r="BE159" s="1021"/>
      <c r="BF159" s="1021"/>
      <c r="BG159" s="1021"/>
      <c r="BH159" s="1021"/>
      <c r="BI159" s="1021"/>
      <c r="BJ159" s="1021"/>
      <c r="BK159" s="1021"/>
      <c r="BL159" s="1021"/>
      <c r="BM159" s="1021"/>
      <c r="BN159" s="1021"/>
      <c r="BO159" s="1021"/>
      <c r="BP159" s="1021"/>
      <c r="BQ159" s="1021"/>
      <c r="BR159" s="1021"/>
      <c r="BS159" s="1021"/>
      <c r="BT159" s="1021"/>
      <c r="BU159" s="1021"/>
      <c r="BV159" s="1021"/>
      <c r="BW159" s="1021"/>
      <c r="BX159" s="1021"/>
      <c r="BY159" s="1021"/>
      <c r="BZ159" s="1021"/>
      <c r="CA159" s="1021"/>
      <c r="CB159" s="1021"/>
      <c r="CC159" s="1021"/>
    </row>
    <row r="160" spans="8:107" x14ac:dyDescent="0.25">
      <c r="H160" s="1021"/>
      <c r="I160" s="1021"/>
      <c r="J160" s="1021"/>
      <c r="K160" s="1021"/>
      <c r="L160" s="1021"/>
      <c r="M160" s="1021"/>
      <c r="N160" s="1021"/>
      <c r="O160" s="1021"/>
      <c r="P160" s="1021"/>
      <c r="Q160" s="1021"/>
      <c r="R160" s="1021"/>
      <c r="S160" s="1021"/>
      <c r="T160" s="1021"/>
      <c r="U160" s="1021"/>
      <c r="V160" s="1021"/>
      <c r="W160" s="1021"/>
      <c r="X160" s="1021"/>
      <c r="Y160" s="1021"/>
      <c r="Z160" s="1021"/>
      <c r="AA160" s="1021"/>
      <c r="AB160" s="1021"/>
      <c r="AC160" s="1021"/>
      <c r="AD160" s="1021"/>
      <c r="AE160" s="1021"/>
      <c r="AF160" s="1021"/>
      <c r="AG160" s="1021"/>
      <c r="AH160" s="1021"/>
      <c r="AI160" s="1021"/>
      <c r="AJ160" s="1021"/>
      <c r="AK160" s="1021"/>
      <c r="AL160" s="1021"/>
      <c r="AM160" s="1021"/>
      <c r="AN160" s="1021"/>
      <c r="AO160" s="1021"/>
      <c r="AP160" s="1021"/>
      <c r="AQ160" s="1021"/>
      <c r="AR160" s="1021"/>
      <c r="AS160" s="1021"/>
      <c r="AT160" s="1021"/>
      <c r="AU160" s="1021"/>
      <c r="AV160" s="1021"/>
      <c r="AW160" s="1021"/>
      <c r="AX160" s="1021"/>
      <c r="AY160" s="1021"/>
      <c r="AZ160" s="1021"/>
      <c r="BA160" s="1021"/>
      <c r="BB160" s="1021"/>
      <c r="BC160" s="1021"/>
      <c r="BD160" s="1021"/>
      <c r="BE160" s="1021"/>
      <c r="BF160" s="1021"/>
      <c r="BG160" s="1021"/>
      <c r="BH160" s="1021"/>
      <c r="BI160" s="1021"/>
      <c r="BJ160" s="1021"/>
      <c r="BK160" s="1021"/>
      <c r="BL160" s="1021"/>
      <c r="BM160" s="1021"/>
      <c r="BN160" s="1021"/>
      <c r="BO160" s="1021"/>
      <c r="BP160" s="1021"/>
      <c r="BQ160" s="1021"/>
      <c r="BR160" s="1021"/>
      <c r="BS160" s="1021"/>
      <c r="BT160" s="1021"/>
      <c r="BU160" s="1021"/>
      <c r="BV160" s="1021"/>
      <c r="BW160" s="1021"/>
      <c r="BX160" s="1021"/>
      <c r="BY160" s="1021"/>
      <c r="BZ160" s="1021"/>
      <c r="CA160" s="1021"/>
      <c r="CB160" s="1021"/>
      <c r="CC160" s="1021"/>
    </row>
    <row r="161" spans="8:81" x14ac:dyDescent="0.25">
      <c r="H161" s="1021"/>
      <c r="I161" s="1021"/>
      <c r="J161" s="1021"/>
      <c r="K161" s="1021"/>
      <c r="L161" s="1021"/>
      <c r="M161" s="1021"/>
      <c r="N161" s="1021"/>
      <c r="O161" s="1021"/>
      <c r="P161" s="1021"/>
      <c r="Q161" s="1021"/>
      <c r="R161" s="1021"/>
      <c r="S161" s="1021"/>
      <c r="T161" s="1021"/>
      <c r="U161" s="1021"/>
      <c r="V161" s="1021"/>
      <c r="W161" s="1021"/>
      <c r="X161" s="1021"/>
      <c r="Y161" s="1021"/>
      <c r="Z161" s="1021"/>
      <c r="AA161" s="1021"/>
      <c r="AB161" s="1021"/>
      <c r="AC161" s="1021"/>
      <c r="AD161" s="1021"/>
      <c r="AE161" s="1021"/>
      <c r="AF161" s="1021"/>
      <c r="AG161" s="1021"/>
      <c r="AH161" s="1021"/>
      <c r="AI161" s="1021"/>
      <c r="AJ161" s="1021"/>
      <c r="AK161" s="1021"/>
      <c r="AL161" s="1021"/>
      <c r="AM161" s="1021"/>
      <c r="AN161" s="1021"/>
      <c r="AO161" s="1021"/>
      <c r="AP161" s="1021"/>
      <c r="AQ161" s="1021"/>
      <c r="AR161" s="1021"/>
      <c r="AS161" s="1021"/>
      <c r="AT161" s="1021"/>
      <c r="AU161" s="1021"/>
      <c r="AV161" s="1021"/>
      <c r="AW161" s="1021"/>
      <c r="AX161" s="1021"/>
      <c r="AY161" s="1021"/>
      <c r="AZ161" s="1021"/>
      <c r="BA161" s="1021"/>
      <c r="BB161" s="1021"/>
      <c r="BC161" s="1021"/>
      <c r="BD161" s="1021"/>
      <c r="BE161" s="1021"/>
      <c r="BF161" s="1021"/>
      <c r="BG161" s="1021"/>
      <c r="BH161" s="1021"/>
      <c r="BI161" s="1021"/>
      <c r="BJ161" s="1021"/>
      <c r="BK161" s="1021"/>
      <c r="BL161" s="1021"/>
      <c r="BM161" s="1021"/>
      <c r="BN161" s="1021"/>
      <c r="BO161" s="1021"/>
      <c r="BP161" s="1021"/>
      <c r="BQ161" s="1021"/>
      <c r="BR161" s="1021"/>
      <c r="BS161" s="1021"/>
      <c r="BT161" s="1021"/>
      <c r="BU161" s="1021"/>
      <c r="BV161" s="1021"/>
      <c r="BW161" s="1021"/>
      <c r="BX161" s="1021"/>
      <c r="BY161" s="1021"/>
      <c r="BZ161" s="1021"/>
      <c r="CA161" s="1021"/>
      <c r="CB161" s="1021"/>
      <c r="CC161" s="1021"/>
    </row>
    <row r="162" spans="8:81" x14ac:dyDescent="0.25">
      <c r="H162" s="1021"/>
      <c r="I162" s="1021"/>
      <c r="J162" s="1021"/>
      <c r="K162" s="1021"/>
      <c r="L162" s="1021"/>
      <c r="M162" s="1021"/>
      <c r="N162" s="1021"/>
      <c r="O162" s="1021"/>
      <c r="P162" s="1021"/>
      <c r="Q162" s="1021"/>
      <c r="R162" s="1021"/>
      <c r="S162" s="1021"/>
      <c r="T162" s="1021"/>
      <c r="U162" s="1021"/>
      <c r="V162" s="1021"/>
      <c r="W162" s="1021"/>
      <c r="X162" s="1021"/>
      <c r="Y162" s="1021"/>
      <c r="Z162" s="1021"/>
      <c r="AA162" s="1021"/>
      <c r="AB162" s="1021"/>
      <c r="AC162" s="1021"/>
      <c r="AD162" s="1021"/>
      <c r="AE162" s="1021"/>
      <c r="AF162" s="1021"/>
      <c r="AG162" s="1021"/>
      <c r="AH162" s="1021"/>
      <c r="AI162" s="1021"/>
      <c r="AJ162" s="1021"/>
      <c r="AK162" s="1021"/>
      <c r="AL162" s="1021"/>
      <c r="AM162" s="1021"/>
      <c r="AN162" s="1021"/>
      <c r="AO162" s="1021"/>
      <c r="AP162" s="1021"/>
      <c r="AQ162" s="1021"/>
      <c r="AR162" s="1021"/>
      <c r="AS162" s="1021"/>
      <c r="AT162" s="1021"/>
      <c r="AU162" s="1021"/>
      <c r="AV162" s="1021"/>
      <c r="AW162" s="1021"/>
      <c r="AX162" s="1021"/>
      <c r="AY162" s="1021"/>
      <c r="AZ162" s="1021"/>
      <c r="BA162" s="1021"/>
      <c r="BB162" s="1021"/>
      <c r="BC162" s="1021"/>
      <c r="BD162" s="1021"/>
      <c r="BE162" s="1021"/>
      <c r="BF162" s="1021"/>
      <c r="BG162" s="1021"/>
      <c r="BH162" s="1021"/>
      <c r="BI162" s="1021"/>
      <c r="BJ162" s="1021"/>
      <c r="BK162" s="1021"/>
      <c r="BL162" s="1021"/>
      <c r="BM162" s="1021"/>
      <c r="BN162" s="1021"/>
      <c r="BO162" s="1021"/>
      <c r="BP162" s="1021"/>
      <c r="BQ162" s="1021"/>
      <c r="BR162" s="1021"/>
      <c r="BS162" s="1021"/>
      <c r="BT162" s="1021"/>
      <c r="BU162" s="1021"/>
      <c r="BV162" s="1021"/>
      <c r="BW162" s="1021"/>
      <c r="BX162" s="1021"/>
      <c r="BY162" s="1021"/>
      <c r="BZ162" s="1021"/>
      <c r="CA162" s="1021"/>
      <c r="CB162" s="1021"/>
      <c r="CC162" s="1021"/>
    </row>
    <row r="163" spans="8:81" x14ac:dyDescent="0.25">
      <c r="H163" s="1021"/>
      <c r="I163" s="1021"/>
      <c r="J163" s="1021"/>
      <c r="K163" s="1021"/>
      <c r="L163" s="1021"/>
      <c r="M163" s="1021"/>
      <c r="N163" s="1021"/>
      <c r="O163" s="1021"/>
      <c r="P163" s="1021"/>
      <c r="Q163" s="1021"/>
      <c r="R163" s="1021"/>
      <c r="S163" s="1021"/>
      <c r="T163" s="1021"/>
      <c r="U163" s="1021"/>
      <c r="V163" s="1021"/>
      <c r="W163" s="1021"/>
      <c r="X163" s="1021"/>
      <c r="Y163" s="1021"/>
      <c r="Z163" s="1021"/>
      <c r="AA163" s="1021"/>
      <c r="AB163" s="1021"/>
      <c r="AC163" s="1021"/>
      <c r="AD163" s="1021"/>
      <c r="AE163" s="1021"/>
      <c r="AF163" s="1021"/>
      <c r="AG163" s="1021"/>
      <c r="AH163" s="1021"/>
      <c r="AI163" s="1021"/>
      <c r="AJ163" s="1021"/>
      <c r="AK163" s="1021"/>
      <c r="AL163" s="1021"/>
      <c r="AM163" s="1021"/>
      <c r="AN163" s="1021"/>
      <c r="AO163" s="1021"/>
      <c r="AP163" s="1021"/>
      <c r="AQ163" s="1021"/>
      <c r="AR163" s="1021"/>
      <c r="AS163" s="1021"/>
      <c r="AT163" s="1021"/>
      <c r="AU163" s="1021"/>
      <c r="AV163" s="1021"/>
      <c r="AW163" s="1021"/>
      <c r="AX163" s="1021"/>
      <c r="AY163" s="1021"/>
      <c r="AZ163" s="1021"/>
      <c r="BA163" s="1021"/>
      <c r="BB163" s="1021"/>
      <c r="BC163" s="1021"/>
      <c r="BD163" s="1021"/>
      <c r="BE163" s="1021"/>
      <c r="BF163" s="1021"/>
      <c r="BG163" s="1021"/>
      <c r="BH163" s="1021"/>
      <c r="BI163" s="1021"/>
      <c r="BJ163" s="1021"/>
      <c r="BK163" s="1021"/>
      <c r="BL163" s="1021"/>
      <c r="BM163" s="1021"/>
      <c r="BN163" s="1021"/>
      <c r="BO163" s="1021"/>
      <c r="BP163" s="1021"/>
      <c r="BQ163" s="1021"/>
      <c r="BR163" s="1021"/>
      <c r="BS163" s="1021"/>
      <c r="BT163" s="1021"/>
      <c r="BU163" s="1021"/>
      <c r="BV163" s="1021"/>
      <c r="BW163" s="1021"/>
      <c r="BX163" s="1021"/>
      <c r="BY163" s="1021"/>
      <c r="BZ163" s="1021"/>
      <c r="CA163" s="1021"/>
      <c r="CB163" s="1021"/>
      <c r="CC163" s="1021"/>
    </row>
    <row r="164" spans="8:81" x14ac:dyDescent="0.25">
      <c r="H164" s="1021"/>
      <c r="I164" s="1021"/>
      <c r="J164" s="1021"/>
      <c r="K164" s="1021"/>
      <c r="L164" s="1021"/>
      <c r="M164" s="1021"/>
      <c r="N164" s="1021"/>
      <c r="O164" s="1021"/>
      <c r="P164" s="1021"/>
      <c r="Q164" s="1021"/>
      <c r="R164" s="1021"/>
      <c r="S164" s="1021"/>
      <c r="T164" s="1021"/>
      <c r="U164" s="1021"/>
      <c r="V164" s="1021"/>
      <c r="W164" s="1021"/>
      <c r="X164" s="1021"/>
      <c r="Y164" s="1021"/>
      <c r="Z164" s="1021"/>
      <c r="AA164" s="1021"/>
      <c r="AB164" s="1021"/>
      <c r="AC164" s="1021"/>
      <c r="AD164" s="1021"/>
      <c r="AE164" s="1021"/>
      <c r="AF164" s="1021"/>
      <c r="AG164" s="1021"/>
      <c r="AH164" s="1021"/>
      <c r="AI164" s="1021"/>
      <c r="AJ164" s="1021"/>
      <c r="AK164" s="1021"/>
      <c r="AL164" s="1021"/>
      <c r="AM164" s="1021"/>
      <c r="AN164" s="1021"/>
      <c r="AO164" s="1021"/>
      <c r="AP164" s="1021"/>
      <c r="AQ164" s="1021"/>
      <c r="AR164" s="1021"/>
      <c r="AS164" s="1021"/>
      <c r="AT164" s="1021"/>
      <c r="AU164" s="1021"/>
      <c r="AV164" s="1021"/>
      <c r="AW164" s="1021"/>
      <c r="AX164" s="1021"/>
      <c r="AY164" s="1021"/>
      <c r="AZ164" s="1021"/>
      <c r="BA164" s="1021"/>
      <c r="BB164" s="1021"/>
      <c r="BC164" s="1021"/>
      <c r="BD164" s="1021"/>
      <c r="BE164" s="1021"/>
      <c r="BF164" s="1021"/>
      <c r="BG164" s="1021"/>
      <c r="BH164" s="1021"/>
      <c r="BI164" s="1021"/>
      <c r="BJ164" s="1021"/>
      <c r="BK164" s="1021"/>
      <c r="BL164" s="1021"/>
      <c r="BM164" s="1021"/>
      <c r="BN164" s="1021"/>
      <c r="BO164" s="1021"/>
      <c r="BP164" s="1021"/>
      <c r="BQ164" s="1021"/>
      <c r="BR164" s="1021"/>
      <c r="BS164" s="1021"/>
      <c r="BT164" s="1021"/>
      <c r="BU164" s="1021"/>
      <c r="BV164" s="1021"/>
      <c r="BW164" s="1021"/>
      <c r="BX164" s="1021"/>
      <c r="BY164" s="1021"/>
      <c r="BZ164" s="1021"/>
      <c r="CA164" s="1021"/>
      <c r="CB164" s="1021"/>
      <c r="CC164" s="1021"/>
    </row>
    <row r="165" spans="8:81" x14ac:dyDescent="0.25">
      <c r="H165" s="1021"/>
      <c r="I165" s="1021"/>
      <c r="J165" s="1021"/>
      <c r="K165" s="1021"/>
      <c r="L165" s="1021"/>
      <c r="M165" s="1021"/>
      <c r="N165" s="1021"/>
      <c r="O165" s="1021"/>
      <c r="P165" s="1021"/>
      <c r="Q165" s="1021"/>
      <c r="R165" s="1021"/>
      <c r="S165" s="1021"/>
      <c r="T165" s="1021"/>
      <c r="U165" s="1021"/>
      <c r="V165" s="1021"/>
      <c r="W165" s="1021"/>
      <c r="X165" s="1021"/>
      <c r="Y165" s="1021"/>
      <c r="Z165" s="1021"/>
      <c r="AA165" s="1021"/>
      <c r="AB165" s="1021"/>
      <c r="AC165" s="1021"/>
      <c r="AD165" s="1021"/>
      <c r="AE165" s="1021"/>
      <c r="AF165" s="1021"/>
      <c r="AG165" s="1021"/>
      <c r="AH165" s="1021"/>
      <c r="AI165" s="1021"/>
      <c r="AJ165" s="1021"/>
      <c r="AK165" s="1021"/>
      <c r="AL165" s="1021"/>
      <c r="AM165" s="1021"/>
      <c r="AN165" s="1021"/>
      <c r="AO165" s="1021"/>
      <c r="AP165" s="1021"/>
      <c r="AQ165" s="1021"/>
      <c r="AR165" s="1021"/>
      <c r="AS165" s="1021"/>
      <c r="AT165" s="1021"/>
      <c r="AU165" s="1021"/>
      <c r="AV165" s="1021"/>
      <c r="AW165" s="1021"/>
      <c r="AX165" s="1021"/>
      <c r="AY165" s="1021"/>
      <c r="AZ165" s="1021"/>
      <c r="BA165" s="1021"/>
      <c r="BB165" s="1021"/>
      <c r="BC165" s="1021"/>
      <c r="BD165" s="1021"/>
      <c r="BE165" s="1021"/>
      <c r="BF165" s="1021"/>
      <c r="BG165" s="1021"/>
      <c r="BH165" s="1021"/>
      <c r="BI165" s="1021"/>
      <c r="BJ165" s="1021"/>
      <c r="BK165" s="1021"/>
      <c r="BL165" s="1021"/>
      <c r="BM165" s="1021"/>
      <c r="BN165" s="1021"/>
      <c r="BO165" s="1021"/>
      <c r="BP165" s="1021"/>
      <c r="BQ165" s="1021"/>
      <c r="BR165" s="1021"/>
      <c r="BS165" s="1021"/>
      <c r="BT165" s="1021"/>
      <c r="BU165" s="1021"/>
      <c r="BV165" s="1021"/>
      <c r="BW165" s="1021"/>
      <c r="BX165" s="1021"/>
      <c r="BY165" s="1021"/>
      <c r="BZ165" s="1021"/>
      <c r="CA165" s="1021"/>
      <c r="CB165" s="1021"/>
      <c r="CC165" s="1021"/>
    </row>
    <row r="166" spans="8:81" x14ac:dyDescent="0.25">
      <c r="H166" s="1021"/>
      <c r="I166" s="1021"/>
      <c r="J166" s="1021"/>
      <c r="K166" s="1021"/>
      <c r="L166" s="1021"/>
      <c r="M166" s="1021"/>
      <c r="N166" s="1021"/>
      <c r="O166" s="1021"/>
      <c r="P166" s="1021"/>
      <c r="Q166" s="1021"/>
      <c r="R166" s="1021"/>
      <c r="S166" s="1021"/>
      <c r="T166" s="1021"/>
      <c r="U166" s="1021"/>
      <c r="V166" s="1021"/>
      <c r="W166" s="1021"/>
      <c r="X166" s="1021"/>
      <c r="Y166" s="1021"/>
      <c r="Z166" s="1021"/>
      <c r="AA166" s="1021"/>
      <c r="AB166" s="1021"/>
      <c r="AC166" s="1021"/>
      <c r="AD166" s="1021"/>
      <c r="AE166" s="1021"/>
      <c r="AF166" s="1021"/>
      <c r="AG166" s="1021"/>
      <c r="AH166" s="1021"/>
      <c r="AI166" s="1021"/>
      <c r="AJ166" s="1021"/>
      <c r="AK166" s="1021"/>
      <c r="AL166" s="1021"/>
      <c r="AM166" s="1021"/>
      <c r="AN166" s="1021"/>
      <c r="AO166" s="1021"/>
      <c r="AP166" s="1021"/>
      <c r="AQ166" s="1021"/>
      <c r="AR166" s="1021"/>
      <c r="AS166" s="1021"/>
      <c r="AT166" s="1021"/>
      <c r="AU166" s="1021"/>
      <c r="AV166" s="1021"/>
      <c r="AW166" s="1021"/>
      <c r="AX166" s="1021"/>
      <c r="AY166" s="1021"/>
      <c r="AZ166" s="1021"/>
      <c r="BA166" s="1021"/>
      <c r="BB166" s="1021"/>
      <c r="BC166" s="1021"/>
      <c r="BD166" s="1021"/>
      <c r="BE166" s="1021"/>
      <c r="BF166" s="1021"/>
      <c r="BG166" s="1021"/>
      <c r="BH166" s="1021"/>
      <c r="BI166" s="1021"/>
      <c r="BJ166" s="1021"/>
      <c r="BK166" s="1021"/>
      <c r="BL166" s="1021"/>
      <c r="BM166" s="1021"/>
      <c r="BN166" s="1021"/>
      <c r="BO166" s="1021"/>
      <c r="BP166" s="1021"/>
      <c r="BQ166" s="1021"/>
      <c r="BR166" s="1021"/>
      <c r="BS166" s="1021"/>
      <c r="BT166" s="1021"/>
      <c r="BU166" s="1021"/>
      <c r="BV166" s="1021"/>
      <c r="BW166" s="1021"/>
      <c r="BX166" s="1021"/>
      <c r="BY166" s="1021"/>
      <c r="BZ166" s="1021"/>
      <c r="CA166" s="1021"/>
      <c r="CB166" s="1021"/>
      <c r="CC166" s="1021"/>
    </row>
    <row r="167" spans="8:81" x14ac:dyDescent="0.25">
      <c r="H167" s="1021"/>
      <c r="I167" s="1021"/>
      <c r="J167" s="1021"/>
      <c r="K167" s="1021"/>
      <c r="L167" s="1021"/>
      <c r="M167" s="1021"/>
      <c r="N167" s="1021"/>
      <c r="O167" s="1021"/>
      <c r="P167" s="1021"/>
      <c r="Q167" s="1021"/>
      <c r="R167" s="1021"/>
      <c r="S167" s="1021"/>
      <c r="T167" s="1021"/>
      <c r="U167" s="1021"/>
      <c r="V167" s="1021"/>
      <c r="W167" s="1021"/>
      <c r="X167" s="1021"/>
      <c r="Y167" s="1021"/>
      <c r="Z167" s="1021"/>
      <c r="AA167" s="1021"/>
      <c r="AB167" s="1021"/>
      <c r="AC167" s="1021"/>
      <c r="AD167" s="1021"/>
      <c r="AE167" s="1021"/>
      <c r="AF167" s="1021"/>
      <c r="AG167" s="1021"/>
      <c r="AH167" s="1021"/>
      <c r="AI167" s="1021"/>
      <c r="AJ167" s="1021"/>
      <c r="AK167" s="1021"/>
      <c r="AL167" s="1021"/>
      <c r="AM167" s="1021"/>
      <c r="AN167" s="1021"/>
      <c r="AO167" s="1021"/>
      <c r="AP167" s="1021"/>
      <c r="AQ167" s="1021"/>
      <c r="AR167" s="1021"/>
      <c r="AS167" s="1021"/>
      <c r="AT167" s="1021"/>
      <c r="AU167" s="1021"/>
      <c r="AV167" s="1021"/>
      <c r="AW167" s="1021"/>
      <c r="AX167" s="1021"/>
      <c r="AY167" s="1021"/>
      <c r="AZ167" s="1021"/>
      <c r="BA167" s="1021"/>
      <c r="BB167" s="1021"/>
      <c r="BC167" s="1021"/>
      <c r="BD167" s="1021"/>
      <c r="BE167" s="1021"/>
      <c r="BF167" s="1021"/>
      <c r="BG167" s="1021"/>
      <c r="BH167" s="1021"/>
      <c r="BI167" s="1021"/>
      <c r="BJ167" s="1021"/>
      <c r="BK167" s="1021"/>
      <c r="BL167" s="1021"/>
      <c r="BM167" s="1021"/>
      <c r="BN167" s="1021"/>
      <c r="BO167" s="1021"/>
      <c r="BP167" s="1021"/>
      <c r="BQ167" s="1021"/>
      <c r="BR167" s="1021"/>
      <c r="BS167" s="1021"/>
      <c r="BT167" s="1021"/>
      <c r="BU167" s="1021"/>
      <c r="BV167" s="1021"/>
      <c r="BW167" s="1021"/>
      <c r="BX167" s="1021"/>
      <c r="BY167" s="1021"/>
      <c r="BZ167" s="1021"/>
      <c r="CA167" s="1021"/>
      <c r="CB167" s="1021"/>
      <c r="CC167" s="1021"/>
    </row>
    <row r="168" spans="8:81" x14ac:dyDescent="0.25">
      <c r="H168" s="1021"/>
      <c r="I168" s="1021"/>
      <c r="J168" s="1021"/>
      <c r="K168" s="1021"/>
      <c r="L168" s="1021"/>
      <c r="M168" s="1021"/>
      <c r="N168" s="1021"/>
      <c r="O168" s="1021"/>
      <c r="P168" s="1021"/>
      <c r="Q168" s="1021"/>
      <c r="R168" s="1021"/>
      <c r="S168" s="1021"/>
      <c r="T168" s="1021"/>
      <c r="U168" s="1021"/>
      <c r="V168" s="1021"/>
      <c r="W168" s="1021"/>
      <c r="X168" s="1021"/>
      <c r="Y168" s="1021"/>
      <c r="Z168" s="1021"/>
      <c r="AA168" s="1021"/>
      <c r="AB168" s="1021"/>
      <c r="AC168" s="1021"/>
      <c r="AD168" s="1021"/>
      <c r="AE168" s="1021"/>
      <c r="AF168" s="1021"/>
      <c r="AG168" s="1021"/>
      <c r="AH168" s="1021"/>
      <c r="AI168" s="1021"/>
      <c r="AJ168" s="1021"/>
      <c r="AK168" s="1021"/>
      <c r="AL168" s="1021"/>
      <c r="AM168" s="1021"/>
      <c r="AN168" s="1021"/>
      <c r="AO168" s="1021"/>
      <c r="AP168" s="1021"/>
      <c r="AQ168" s="1021"/>
      <c r="AR168" s="1021"/>
      <c r="AS168" s="1021"/>
      <c r="AT168" s="1021"/>
      <c r="AU168" s="1021"/>
      <c r="AV168" s="1021"/>
      <c r="AW168" s="1021"/>
      <c r="AX168" s="1021"/>
      <c r="AY168" s="1021"/>
      <c r="AZ168" s="1021"/>
      <c r="BA168" s="1021"/>
      <c r="BB168" s="1021"/>
      <c r="BC168" s="1021"/>
      <c r="BD168" s="1021"/>
      <c r="BE168" s="1021"/>
      <c r="BF168" s="1021"/>
      <c r="BG168" s="1021"/>
      <c r="BH168" s="1021"/>
      <c r="BI168" s="1021"/>
      <c r="BJ168" s="1021"/>
      <c r="BK168" s="1021"/>
      <c r="BL168" s="1021"/>
      <c r="BM168" s="1021"/>
      <c r="BN168" s="1021"/>
      <c r="BO168" s="1021"/>
      <c r="BP168" s="1021"/>
      <c r="BQ168" s="1021"/>
      <c r="BR168" s="1021"/>
      <c r="BS168" s="1021"/>
      <c r="BT168" s="1021"/>
      <c r="BU168" s="1021"/>
      <c r="BV168" s="1021"/>
      <c r="BW168" s="1021"/>
      <c r="BX168" s="1021"/>
      <c r="BY168" s="1021"/>
      <c r="BZ168" s="1021"/>
      <c r="CA168" s="1021"/>
      <c r="CB168" s="1021"/>
      <c r="CC168" s="1021"/>
    </row>
    <row r="169" spans="8:81" x14ac:dyDescent="0.25">
      <c r="H169" s="1021"/>
      <c r="I169" s="1021"/>
      <c r="J169" s="1021"/>
      <c r="K169" s="1021"/>
      <c r="L169" s="1021"/>
      <c r="M169" s="1021"/>
      <c r="N169" s="1021"/>
      <c r="O169" s="1021"/>
      <c r="P169" s="1021"/>
      <c r="Q169" s="1021"/>
      <c r="R169" s="1021"/>
      <c r="S169" s="1021"/>
      <c r="T169" s="1021"/>
      <c r="U169" s="1021"/>
      <c r="V169" s="1021"/>
      <c r="W169" s="1021"/>
      <c r="X169" s="1021"/>
      <c r="Y169" s="1021"/>
      <c r="Z169" s="1021"/>
      <c r="AA169" s="1021"/>
      <c r="AB169" s="1021"/>
      <c r="AC169" s="1021"/>
      <c r="AD169" s="1021"/>
      <c r="AE169" s="1021"/>
      <c r="AF169" s="1021"/>
      <c r="AG169" s="1021"/>
      <c r="AH169" s="1021"/>
      <c r="AI169" s="1021"/>
      <c r="AJ169" s="1021"/>
      <c r="AK169" s="1021"/>
      <c r="AL169" s="1021"/>
      <c r="AM169" s="1021"/>
      <c r="AN169" s="1021"/>
      <c r="AO169" s="1021"/>
      <c r="AP169" s="1021"/>
      <c r="AQ169" s="1021"/>
      <c r="AR169" s="1021"/>
      <c r="AS169" s="1021"/>
      <c r="AT169" s="1021"/>
      <c r="AU169" s="1021"/>
      <c r="AV169" s="1021"/>
      <c r="AW169" s="1021"/>
      <c r="AX169" s="1021"/>
      <c r="AY169" s="1021"/>
      <c r="AZ169" s="1021"/>
      <c r="BA169" s="1021"/>
      <c r="BB169" s="1021"/>
      <c r="BC169" s="1021"/>
      <c r="BD169" s="1021"/>
      <c r="BE169" s="1021"/>
      <c r="BF169" s="1021"/>
      <c r="BG169" s="1021"/>
      <c r="BH169" s="1021"/>
      <c r="BI169" s="1021"/>
      <c r="BJ169" s="1021"/>
      <c r="BK169" s="1021"/>
      <c r="BL169" s="1021"/>
      <c r="BM169" s="1021"/>
      <c r="BN169" s="1021"/>
      <c r="BO169" s="1021"/>
      <c r="BP169" s="1021"/>
      <c r="BQ169" s="1021"/>
      <c r="BR169" s="1021"/>
      <c r="BS169" s="1021"/>
      <c r="BT169" s="1021"/>
      <c r="BU169" s="1021"/>
      <c r="BV169" s="1021"/>
      <c r="BW169" s="1021"/>
      <c r="BX169" s="1021"/>
      <c r="BY169" s="1021"/>
      <c r="BZ169" s="1021"/>
      <c r="CA169" s="1021"/>
      <c r="CB169" s="1021"/>
      <c r="CC169" s="1021"/>
    </row>
    <row r="170" spans="8:81" x14ac:dyDescent="0.25">
      <c r="H170" s="1021"/>
      <c r="I170" s="1021"/>
      <c r="J170" s="1021"/>
      <c r="K170" s="1021"/>
      <c r="L170" s="1021"/>
      <c r="M170" s="1021"/>
      <c r="N170" s="1021"/>
      <c r="O170" s="1021"/>
      <c r="P170" s="1021"/>
      <c r="Q170" s="1021"/>
      <c r="R170" s="1021"/>
      <c r="S170" s="1021"/>
      <c r="T170" s="1021"/>
      <c r="U170" s="1021"/>
      <c r="V170" s="1021"/>
      <c r="W170" s="1021"/>
      <c r="X170" s="1021"/>
      <c r="Y170" s="1021"/>
      <c r="Z170" s="1021"/>
      <c r="AA170" s="1021"/>
      <c r="AB170" s="1021"/>
      <c r="AC170" s="1021"/>
      <c r="AD170" s="1021"/>
      <c r="AE170" s="1021"/>
      <c r="AF170" s="1021"/>
      <c r="AG170" s="1021"/>
      <c r="AH170" s="1021"/>
      <c r="AI170" s="1021"/>
      <c r="AJ170" s="1021"/>
      <c r="AK170" s="1021"/>
      <c r="AL170" s="1021"/>
      <c r="AM170" s="1021"/>
      <c r="AN170" s="1021"/>
      <c r="AO170" s="1021"/>
      <c r="AP170" s="1021"/>
      <c r="AQ170" s="1021"/>
      <c r="AR170" s="1021"/>
      <c r="AS170" s="1021"/>
      <c r="AT170" s="1021"/>
      <c r="AU170" s="1021"/>
      <c r="AV170" s="1021"/>
      <c r="AW170" s="1021"/>
      <c r="AX170" s="1021"/>
      <c r="AY170" s="1021"/>
      <c r="AZ170" s="1021"/>
      <c r="BA170" s="1021"/>
      <c r="BB170" s="1021"/>
      <c r="BC170" s="1021"/>
      <c r="BD170" s="1021"/>
      <c r="BE170" s="1021"/>
      <c r="BF170" s="1021"/>
      <c r="BG170" s="1021"/>
      <c r="BH170" s="1021"/>
      <c r="BI170" s="1021"/>
      <c r="BJ170" s="1021"/>
      <c r="BK170" s="1021"/>
      <c r="BL170" s="1021"/>
      <c r="BM170" s="1021"/>
      <c r="BN170" s="1021"/>
      <c r="BO170" s="1021"/>
      <c r="BP170" s="1021"/>
      <c r="BQ170" s="1021"/>
      <c r="BR170" s="1021"/>
      <c r="BS170" s="1021"/>
      <c r="BT170" s="1021"/>
      <c r="BU170" s="1021"/>
      <c r="BV170" s="1021"/>
      <c r="BW170" s="1021"/>
      <c r="BX170" s="1021"/>
      <c r="BY170" s="1021"/>
      <c r="BZ170" s="1021"/>
      <c r="CA170" s="1021"/>
      <c r="CB170" s="1021"/>
      <c r="CC170" s="1021"/>
    </row>
    <row r="171" spans="8:81" x14ac:dyDescent="0.25">
      <c r="H171" s="1021"/>
      <c r="I171" s="1021"/>
      <c r="J171" s="1021"/>
      <c r="K171" s="1021"/>
      <c r="L171" s="1021"/>
      <c r="M171" s="1021"/>
      <c r="N171" s="1021"/>
      <c r="O171" s="1021"/>
      <c r="P171" s="1021"/>
      <c r="Q171" s="1021"/>
      <c r="R171" s="1021"/>
      <c r="S171" s="1021"/>
      <c r="T171" s="1021"/>
      <c r="U171" s="1021"/>
      <c r="V171" s="1021"/>
      <c r="W171" s="1021"/>
      <c r="X171" s="1021"/>
      <c r="Y171" s="1021"/>
      <c r="Z171" s="1021"/>
      <c r="AA171" s="1021"/>
      <c r="AB171" s="1021"/>
      <c r="AC171" s="1021"/>
      <c r="AD171" s="1021"/>
      <c r="AE171" s="1021"/>
      <c r="AF171" s="1021"/>
      <c r="AG171" s="1021"/>
      <c r="AH171" s="1021"/>
      <c r="AI171" s="1021"/>
      <c r="AJ171" s="1021"/>
      <c r="AK171" s="1021"/>
      <c r="AL171" s="1021"/>
      <c r="AM171" s="1021"/>
      <c r="AN171" s="1021"/>
      <c r="AO171" s="1021"/>
      <c r="AP171" s="1021"/>
      <c r="AQ171" s="1021"/>
      <c r="AR171" s="1021"/>
      <c r="AS171" s="1021"/>
      <c r="AT171" s="1021"/>
      <c r="AU171" s="1021"/>
      <c r="AV171" s="1021"/>
      <c r="AW171" s="1021"/>
      <c r="AX171" s="1021"/>
      <c r="AY171" s="1021"/>
      <c r="AZ171" s="1021"/>
      <c r="BA171" s="1021"/>
      <c r="BB171" s="1021"/>
      <c r="BC171" s="1021"/>
      <c r="BD171" s="1021"/>
      <c r="BE171" s="1021"/>
      <c r="BF171" s="1021"/>
      <c r="BG171" s="1021"/>
      <c r="BH171" s="1021"/>
      <c r="BI171" s="1021"/>
      <c r="BJ171" s="1021"/>
      <c r="BK171" s="1021"/>
      <c r="BL171" s="1021"/>
      <c r="BM171" s="1021"/>
      <c r="BN171" s="1021"/>
      <c r="BO171" s="1021"/>
      <c r="BP171" s="1021"/>
      <c r="BQ171" s="1021"/>
      <c r="BR171" s="1021"/>
      <c r="BS171" s="1021"/>
      <c r="BT171" s="1021"/>
      <c r="BU171" s="1021"/>
      <c r="BV171" s="1021"/>
      <c r="BW171" s="1021"/>
      <c r="BX171" s="1021"/>
      <c r="BY171" s="1021"/>
      <c r="BZ171" s="1021"/>
      <c r="CA171" s="1021"/>
      <c r="CB171" s="1021"/>
      <c r="CC171" s="1021"/>
    </row>
    <row r="172" spans="8:81" x14ac:dyDescent="0.25">
      <c r="H172" s="1021"/>
      <c r="I172" s="1021"/>
      <c r="J172" s="1021"/>
      <c r="K172" s="1021"/>
      <c r="L172" s="1021"/>
      <c r="M172" s="1021"/>
      <c r="N172" s="1021"/>
      <c r="O172" s="1021"/>
      <c r="P172" s="1021"/>
      <c r="Q172" s="1021"/>
      <c r="R172" s="1021"/>
      <c r="S172" s="1021"/>
      <c r="T172" s="1021"/>
      <c r="U172" s="1021"/>
      <c r="V172" s="1021"/>
      <c r="W172" s="1021"/>
      <c r="X172" s="1021"/>
      <c r="Y172" s="1021"/>
      <c r="Z172" s="1021"/>
      <c r="AA172" s="1021"/>
      <c r="AB172" s="1021"/>
      <c r="AC172" s="1021"/>
      <c r="AD172" s="1021"/>
      <c r="AE172" s="1021"/>
      <c r="AF172" s="1021"/>
      <c r="AG172" s="1021"/>
      <c r="AH172" s="1021"/>
      <c r="AI172" s="1021"/>
      <c r="AJ172" s="1021"/>
      <c r="AK172" s="1021"/>
      <c r="AL172" s="1021"/>
      <c r="AM172" s="1021"/>
      <c r="AN172" s="1021"/>
      <c r="AO172" s="1021"/>
      <c r="AP172" s="1021"/>
      <c r="AQ172" s="1021"/>
      <c r="AR172" s="1021"/>
      <c r="AS172" s="1021"/>
      <c r="AT172" s="1021"/>
      <c r="AU172" s="1021"/>
      <c r="AV172" s="1021"/>
      <c r="AW172" s="1021"/>
      <c r="AX172" s="1021"/>
      <c r="AY172" s="1021"/>
      <c r="AZ172" s="1021"/>
      <c r="BA172" s="1021"/>
      <c r="BB172" s="1021"/>
      <c r="BC172" s="1021"/>
      <c r="BD172" s="1021"/>
      <c r="BE172" s="1021"/>
      <c r="BF172" s="1021"/>
      <c r="BG172" s="1021"/>
      <c r="BH172" s="1021"/>
      <c r="BI172" s="1021"/>
      <c r="BJ172" s="1021"/>
      <c r="BK172" s="1021"/>
      <c r="BL172" s="1021"/>
      <c r="BM172" s="1021"/>
      <c r="BN172" s="1021"/>
      <c r="BO172" s="1021"/>
      <c r="BP172" s="1021"/>
      <c r="BQ172" s="1021"/>
      <c r="BR172" s="1021"/>
      <c r="BS172" s="1021"/>
      <c r="BT172" s="1021"/>
      <c r="BU172" s="1021"/>
      <c r="BV172" s="1021"/>
      <c r="BW172" s="1021"/>
      <c r="BX172" s="1021"/>
      <c r="BY172" s="1021"/>
      <c r="BZ172" s="1021"/>
      <c r="CA172" s="1021"/>
      <c r="CB172" s="1021"/>
      <c r="CC172" s="1021"/>
    </row>
    <row r="173" spans="8:81" x14ac:dyDescent="0.25">
      <c r="H173" s="1021"/>
      <c r="I173" s="1021"/>
      <c r="J173" s="1021"/>
      <c r="K173" s="1021"/>
      <c r="L173" s="1021"/>
      <c r="M173" s="1021"/>
      <c r="N173" s="1021"/>
      <c r="O173" s="1021"/>
      <c r="P173" s="1021"/>
      <c r="Q173" s="1021"/>
      <c r="R173" s="1021"/>
      <c r="S173" s="1021"/>
      <c r="T173" s="1021"/>
      <c r="U173" s="1021"/>
      <c r="V173" s="1021"/>
      <c r="W173" s="1021"/>
      <c r="X173" s="1021"/>
      <c r="Y173" s="1021"/>
      <c r="Z173" s="1021"/>
      <c r="AA173" s="1021"/>
      <c r="AB173" s="1021"/>
      <c r="AC173" s="1021"/>
      <c r="AD173" s="1021"/>
      <c r="AE173" s="1021"/>
      <c r="AF173" s="1021"/>
      <c r="AG173" s="1021"/>
      <c r="AH173" s="1021"/>
      <c r="AI173" s="1021"/>
      <c r="AJ173" s="1021"/>
      <c r="AK173" s="1021"/>
      <c r="AL173" s="1021"/>
      <c r="AM173" s="1021"/>
      <c r="AN173" s="1021"/>
      <c r="AO173" s="1021"/>
      <c r="AP173" s="1021"/>
      <c r="AQ173" s="1021"/>
      <c r="AR173" s="1021"/>
      <c r="AS173" s="1021"/>
      <c r="AT173" s="1021"/>
      <c r="AU173" s="1021"/>
      <c r="AV173" s="1021"/>
      <c r="AW173" s="1021"/>
      <c r="AX173" s="1021"/>
      <c r="AY173" s="1021"/>
      <c r="AZ173" s="1021"/>
      <c r="BA173" s="1021"/>
      <c r="BB173" s="1021"/>
      <c r="BC173" s="1021"/>
      <c r="BD173" s="1021"/>
      <c r="BE173" s="1021"/>
      <c r="BF173" s="1021"/>
      <c r="BG173" s="1021"/>
      <c r="BH173" s="1021"/>
      <c r="BI173" s="1021"/>
      <c r="BJ173" s="1021"/>
      <c r="BK173" s="1021"/>
      <c r="BL173" s="1021"/>
      <c r="BM173" s="1021"/>
      <c r="BN173" s="1021"/>
      <c r="BO173" s="1021"/>
      <c r="BP173" s="1021"/>
      <c r="BQ173" s="1021"/>
      <c r="BR173" s="1021"/>
      <c r="BS173" s="1021"/>
      <c r="BT173" s="1021"/>
      <c r="BU173" s="1021"/>
      <c r="BV173" s="1021"/>
      <c r="BW173" s="1021"/>
      <c r="BX173" s="1021"/>
      <c r="BY173" s="1021"/>
      <c r="BZ173" s="1021"/>
      <c r="CA173" s="1021"/>
      <c r="CB173" s="1021"/>
      <c r="CC173" s="1021"/>
    </row>
    <row r="174" spans="8:81" x14ac:dyDescent="0.25">
      <c r="H174" s="1021"/>
      <c r="I174" s="1021"/>
      <c r="J174" s="1021"/>
      <c r="K174" s="1021"/>
      <c r="L174" s="1021"/>
      <c r="M174" s="1021"/>
      <c r="N174" s="1021"/>
      <c r="O174" s="1021"/>
      <c r="P174" s="1021"/>
      <c r="Q174" s="1021"/>
      <c r="R174" s="1021"/>
      <c r="S174" s="1021"/>
      <c r="T174" s="1021"/>
      <c r="U174" s="1021"/>
      <c r="V174" s="1021"/>
      <c r="W174" s="1021"/>
      <c r="X174" s="1021"/>
      <c r="Y174" s="1021"/>
      <c r="Z174" s="1021"/>
      <c r="AA174" s="1021"/>
      <c r="AB174" s="1021"/>
      <c r="AC174" s="1021"/>
      <c r="AD174" s="1021"/>
      <c r="AE174" s="1021"/>
      <c r="AF174" s="1021"/>
      <c r="AG174" s="1021"/>
      <c r="AH174" s="1021"/>
      <c r="AI174" s="1021"/>
      <c r="AJ174" s="1021"/>
      <c r="AK174" s="1021"/>
      <c r="AL174" s="1021"/>
      <c r="AM174" s="1021"/>
      <c r="AN174" s="1021"/>
      <c r="AO174" s="1021"/>
      <c r="AP174" s="1021"/>
      <c r="AQ174" s="1021"/>
      <c r="AR174" s="1021"/>
      <c r="AS174" s="1021"/>
      <c r="AT174" s="1021"/>
      <c r="AU174" s="1021"/>
      <c r="AV174" s="1021"/>
      <c r="AW174" s="1021"/>
      <c r="AX174" s="1021"/>
      <c r="AY174" s="1021"/>
      <c r="AZ174" s="1021"/>
      <c r="BA174" s="1021"/>
      <c r="BB174" s="1021"/>
      <c r="BC174" s="1021"/>
      <c r="BD174" s="1021"/>
      <c r="BE174" s="1021"/>
      <c r="BF174" s="1021"/>
      <c r="BG174" s="1021"/>
      <c r="BH174" s="1021"/>
      <c r="BI174" s="1021"/>
      <c r="BJ174" s="1021"/>
      <c r="BK174" s="1021"/>
      <c r="BL174" s="1021"/>
      <c r="BM174" s="1021"/>
      <c r="BN174" s="1021"/>
      <c r="BO174" s="1021"/>
      <c r="BP174" s="1021"/>
      <c r="BQ174" s="1021"/>
      <c r="BR174" s="1021"/>
      <c r="BS174" s="1021"/>
      <c r="BT174" s="1021"/>
      <c r="BU174" s="1021"/>
      <c r="BV174" s="1021"/>
      <c r="BW174" s="1021"/>
      <c r="BX174" s="1021"/>
      <c r="BY174" s="1021"/>
      <c r="BZ174" s="1021"/>
      <c r="CA174" s="1021"/>
      <c r="CB174" s="1021"/>
      <c r="CC174" s="1021"/>
    </row>
    <row r="175" spans="8:81" x14ac:dyDescent="0.25">
      <c r="H175" s="1021"/>
      <c r="I175" s="1021"/>
      <c r="J175" s="1021"/>
      <c r="K175" s="1021"/>
      <c r="L175" s="1021"/>
      <c r="M175" s="1021"/>
      <c r="N175" s="1021"/>
      <c r="O175" s="1021"/>
      <c r="P175" s="1021"/>
      <c r="Q175" s="1021"/>
      <c r="R175" s="1021"/>
      <c r="S175" s="1021"/>
      <c r="T175" s="1021"/>
      <c r="U175" s="1021"/>
      <c r="V175" s="1021"/>
      <c r="W175" s="1021"/>
      <c r="X175" s="1021"/>
      <c r="Y175" s="1021"/>
      <c r="Z175" s="1021"/>
      <c r="AA175" s="1021"/>
      <c r="AB175" s="1021"/>
      <c r="AC175" s="1021"/>
      <c r="AD175" s="1021"/>
      <c r="AE175" s="1021"/>
      <c r="AF175" s="1021"/>
      <c r="AG175" s="1021"/>
      <c r="AH175" s="1021"/>
      <c r="AI175" s="1021"/>
      <c r="AJ175" s="1021"/>
      <c r="AK175" s="1021"/>
      <c r="AL175" s="1021"/>
      <c r="AM175" s="1021"/>
      <c r="AN175" s="1021"/>
      <c r="AO175" s="1021"/>
      <c r="AP175" s="1021"/>
      <c r="AQ175" s="1021"/>
      <c r="AR175" s="1021"/>
      <c r="AS175" s="1021"/>
      <c r="AT175" s="1021"/>
      <c r="AU175" s="1021"/>
      <c r="AV175" s="1021"/>
      <c r="AW175" s="1021"/>
      <c r="AX175" s="1021"/>
      <c r="AY175" s="1021"/>
      <c r="AZ175" s="1021"/>
      <c r="BA175" s="1021"/>
      <c r="BB175" s="1021"/>
      <c r="BC175" s="1021"/>
      <c r="BD175" s="1021"/>
      <c r="BE175" s="1021"/>
      <c r="BF175" s="1021"/>
      <c r="BG175" s="1021"/>
      <c r="BH175" s="1021"/>
      <c r="BI175" s="1021"/>
      <c r="BJ175" s="1021"/>
      <c r="BK175" s="1021"/>
      <c r="BL175" s="1021"/>
      <c r="BM175" s="1021"/>
      <c r="BN175" s="1021"/>
      <c r="BO175" s="1021"/>
      <c r="BP175" s="1021"/>
      <c r="BQ175" s="1021"/>
      <c r="BR175" s="1021"/>
      <c r="BS175" s="1021"/>
      <c r="BT175" s="1021"/>
      <c r="BU175" s="1021"/>
      <c r="BV175" s="1021"/>
      <c r="BW175" s="1021"/>
      <c r="BX175" s="1021"/>
      <c r="BY175" s="1021"/>
      <c r="BZ175" s="1021"/>
      <c r="CA175" s="1021"/>
      <c r="CB175" s="1021"/>
      <c r="CC175" s="1021"/>
    </row>
    <row r="176" spans="8:81" x14ac:dyDescent="0.25">
      <c r="H176" s="1021"/>
      <c r="I176" s="1021"/>
      <c r="J176" s="1021"/>
      <c r="K176" s="1021"/>
      <c r="L176" s="1021"/>
      <c r="M176" s="1021"/>
      <c r="N176" s="1021"/>
      <c r="O176" s="1021"/>
      <c r="P176" s="1021"/>
      <c r="Q176" s="1021"/>
      <c r="R176" s="1021"/>
      <c r="S176" s="1021"/>
      <c r="T176" s="1021"/>
      <c r="U176" s="1021"/>
      <c r="V176" s="1021"/>
      <c r="W176" s="1021"/>
      <c r="X176" s="1021"/>
      <c r="Y176" s="1021"/>
      <c r="Z176" s="1021"/>
      <c r="AA176" s="1021"/>
      <c r="AB176" s="1021"/>
      <c r="AC176" s="1021"/>
      <c r="AD176" s="1021"/>
      <c r="AE176" s="1021"/>
      <c r="AF176" s="1021"/>
      <c r="AG176" s="1021"/>
      <c r="AH176" s="1021"/>
      <c r="AI176" s="1021"/>
      <c r="AJ176" s="1021"/>
      <c r="AK176" s="1021"/>
      <c r="AL176" s="1021"/>
      <c r="AM176" s="1021"/>
      <c r="AN176" s="1021"/>
      <c r="AO176" s="1021"/>
      <c r="AP176" s="1021"/>
      <c r="AQ176" s="1021"/>
      <c r="AR176" s="1021"/>
      <c r="AS176" s="1021"/>
      <c r="AT176" s="1021"/>
      <c r="AU176" s="1021"/>
      <c r="AV176" s="1021"/>
      <c r="AW176" s="1021"/>
      <c r="AX176" s="1021"/>
      <c r="AY176" s="1021"/>
      <c r="AZ176" s="1021"/>
      <c r="BA176" s="1021"/>
      <c r="BB176" s="1021"/>
      <c r="BC176" s="1021"/>
      <c r="BD176" s="1021"/>
      <c r="BE176" s="1021"/>
      <c r="BF176" s="1021"/>
      <c r="BG176" s="1021"/>
      <c r="BH176" s="1021"/>
      <c r="BI176" s="1021"/>
      <c r="BJ176" s="1021"/>
      <c r="BK176" s="1021"/>
      <c r="BL176" s="1021"/>
      <c r="BM176" s="1021"/>
      <c r="BN176" s="1021"/>
      <c r="BO176" s="1021"/>
      <c r="BP176" s="1021"/>
      <c r="BQ176" s="1021"/>
      <c r="BR176" s="1021"/>
      <c r="BS176" s="1021"/>
      <c r="BT176" s="1021"/>
      <c r="BU176" s="1021"/>
      <c r="BV176" s="1021"/>
      <c r="BW176" s="1021"/>
      <c r="BX176" s="1021"/>
      <c r="BY176" s="1021"/>
      <c r="BZ176" s="1021"/>
      <c r="CA176" s="1021"/>
      <c r="CB176" s="1021"/>
      <c r="CC176" s="1021"/>
    </row>
    <row r="177" spans="8:81" x14ac:dyDescent="0.25">
      <c r="H177" s="1021"/>
      <c r="I177" s="1021"/>
      <c r="J177" s="1021"/>
      <c r="K177" s="1021"/>
      <c r="L177" s="1021"/>
      <c r="M177" s="1021"/>
      <c r="N177" s="1021"/>
      <c r="O177" s="1021"/>
      <c r="P177" s="1021"/>
      <c r="Q177" s="1021"/>
      <c r="R177" s="1021"/>
      <c r="S177" s="1021"/>
      <c r="T177" s="1021"/>
      <c r="U177" s="1021"/>
      <c r="V177" s="1021"/>
      <c r="W177" s="1021"/>
      <c r="X177" s="1021"/>
      <c r="Y177" s="1021"/>
      <c r="Z177" s="1021"/>
      <c r="AA177" s="1021"/>
      <c r="AB177" s="1021"/>
      <c r="AC177" s="1021"/>
      <c r="AD177" s="1021"/>
      <c r="AE177" s="1021"/>
      <c r="AF177" s="1021"/>
      <c r="AG177" s="1021"/>
      <c r="AH177" s="1021"/>
      <c r="AI177" s="1021"/>
      <c r="AJ177" s="1021"/>
      <c r="AK177" s="1021"/>
      <c r="AL177" s="1021"/>
      <c r="AM177" s="1021"/>
      <c r="AN177" s="1021"/>
      <c r="AO177" s="1021"/>
      <c r="AP177" s="1021"/>
      <c r="AQ177" s="1021"/>
      <c r="AR177" s="1021"/>
      <c r="AS177" s="1021"/>
      <c r="AT177" s="1021"/>
      <c r="AU177" s="1021"/>
      <c r="AV177" s="1021"/>
      <c r="AW177" s="1021"/>
      <c r="AX177" s="1021"/>
      <c r="AY177" s="1021"/>
      <c r="AZ177" s="1021"/>
      <c r="BA177" s="1021"/>
      <c r="BB177" s="1021"/>
      <c r="BC177" s="1021"/>
      <c r="BD177" s="1021"/>
      <c r="BE177" s="1021"/>
      <c r="BF177" s="1021"/>
      <c r="BG177" s="1021"/>
      <c r="BH177" s="1021"/>
      <c r="BI177" s="1021"/>
      <c r="BJ177" s="1021"/>
      <c r="BK177" s="1021"/>
      <c r="BL177" s="1021"/>
      <c r="BM177" s="1021"/>
      <c r="BN177" s="1021"/>
      <c r="BO177" s="1021"/>
      <c r="BP177" s="1021"/>
      <c r="BQ177" s="1021"/>
      <c r="BR177" s="1021"/>
      <c r="BS177" s="1021"/>
      <c r="BT177" s="1021"/>
      <c r="BU177" s="1021"/>
      <c r="BV177" s="1021"/>
      <c r="BW177" s="1021"/>
      <c r="BX177" s="1021"/>
      <c r="BY177" s="1021"/>
      <c r="BZ177" s="1021"/>
      <c r="CA177" s="1021"/>
      <c r="CB177" s="1021"/>
      <c r="CC177" s="1021"/>
    </row>
    <row r="178" spans="8:81" x14ac:dyDescent="0.25">
      <c r="H178" s="1021"/>
      <c r="I178" s="1021"/>
      <c r="J178" s="1021"/>
      <c r="K178" s="1021"/>
      <c r="L178" s="1021"/>
      <c r="M178" s="1021"/>
      <c r="N178" s="1021"/>
      <c r="O178" s="1021"/>
      <c r="P178" s="1021"/>
      <c r="Q178" s="1021"/>
      <c r="R178" s="1021"/>
      <c r="S178" s="1021"/>
      <c r="T178" s="1021"/>
      <c r="U178" s="1021"/>
      <c r="V178" s="1021"/>
      <c r="W178" s="1021"/>
      <c r="X178" s="1021"/>
      <c r="Y178" s="1021"/>
      <c r="Z178" s="1021"/>
      <c r="AA178" s="1021"/>
      <c r="AB178" s="1021"/>
      <c r="AC178" s="1021"/>
      <c r="AD178" s="1021"/>
      <c r="AE178" s="1021"/>
      <c r="AF178" s="1021"/>
      <c r="AG178" s="1021"/>
      <c r="AH178" s="1021"/>
      <c r="AI178" s="1021"/>
      <c r="AJ178" s="1021"/>
      <c r="AK178" s="1021"/>
      <c r="AL178" s="1021"/>
      <c r="AM178" s="1021"/>
      <c r="AN178" s="1021"/>
      <c r="AO178" s="1021"/>
      <c r="AP178" s="1021"/>
      <c r="AQ178" s="1021"/>
      <c r="AR178" s="1021"/>
      <c r="AS178" s="1021"/>
      <c r="AT178" s="1021"/>
      <c r="AU178" s="1021"/>
      <c r="AV178" s="1021"/>
      <c r="AW178" s="1021"/>
      <c r="AX178" s="1021"/>
      <c r="AY178" s="1021"/>
      <c r="AZ178" s="1021"/>
      <c r="BA178" s="1021"/>
      <c r="BB178" s="1021"/>
      <c r="BC178" s="1021"/>
      <c r="BD178" s="1021"/>
      <c r="BE178" s="1021"/>
      <c r="BF178" s="1021"/>
      <c r="BG178" s="1021"/>
      <c r="BH178" s="1021"/>
      <c r="BI178" s="1021"/>
      <c r="BJ178" s="1021"/>
      <c r="BK178" s="1021"/>
      <c r="BL178" s="1021"/>
      <c r="BM178" s="1021"/>
      <c r="BN178" s="1021"/>
      <c r="BO178" s="1021"/>
      <c r="BP178" s="1021"/>
      <c r="BQ178" s="1021"/>
      <c r="BR178" s="1021"/>
      <c r="BS178" s="1021"/>
      <c r="BT178" s="1021"/>
      <c r="BU178" s="1021"/>
      <c r="BV178" s="1021"/>
      <c r="BW178" s="1021"/>
      <c r="BX178" s="1021"/>
      <c r="BY178" s="1021"/>
      <c r="BZ178" s="1021"/>
      <c r="CA178" s="1021"/>
      <c r="CB178" s="1021"/>
      <c r="CC178" s="1021"/>
    </row>
    <row r="179" spans="8:81" x14ac:dyDescent="0.25">
      <c r="H179" s="1021"/>
      <c r="I179" s="1021"/>
      <c r="J179" s="1021"/>
      <c r="K179" s="1021"/>
      <c r="L179" s="1021"/>
      <c r="M179" s="1021"/>
      <c r="N179" s="1021"/>
      <c r="O179" s="1021"/>
      <c r="P179" s="1021"/>
      <c r="Q179" s="1021"/>
      <c r="R179" s="1021"/>
      <c r="S179" s="1021"/>
      <c r="T179" s="1021"/>
      <c r="U179" s="1021"/>
      <c r="V179" s="1021"/>
      <c r="W179" s="1021"/>
      <c r="X179" s="1021"/>
      <c r="Y179" s="1021"/>
      <c r="Z179" s="1021"/>
      <c r="AA179" s="1021"/>
      <c r="AB179" s="1021"/>
      <c r="AC179" s="1021"/>
      <c r="AD179" s="1021"/>
      <c r="AE179" s="1021"/>
      <c r="AF179" s="1021"/>
      <c r="AG179" s="1021"/>
      <c r="AH179" s="1021"/>
      <c r="AI179" s="1021"/>
      <c r="AJ179" s="1021"/>
      <c r="AK179" s="1021"/>
      <c r="AL179" s="1021"/>
      <c r="AM179" s="1021"/>
      <c r="AN179" s="1021"/>
      <c r="AO179" s="1021"/>
      <c r="AP179" s="1021"/>
      <c r="AQ179" s="1021"/>
      <c r="AR179" s="1021"/>
      <c r="AS179" s="1021"/>
      <c r="AT179" s="1021"/>
      <c r="AU179" s="1021"/>
      <c r="AV179" s="1021"/>
      <c r="AW179" s="1021"/>
      <c r="AX179" s="1021"/>
      <c r="AY179" s="1021"/>
      <c r="AZ179" s="1021"/>
      <c r="BA179" s="1021"/>
      <c r="BB179" s="1021"/>
      <c r="BC179" s="1021"/>
      <c r="BD179" s="1021"/>
      <c r="BE179" s="1021"/>
      <c r="BF179" s="1021"/>
      <c r="BG179" s="1021"/>
      <c r="BH179" s="1021"/>
      <c r="BI179" s="1021"/>
      <c r="BJ179" s="1021"/>
      <c r="BK179" s="1021"/>
      <c r="BL179" s="1021"/>
      <c r="BM179" s="1021"/>
      <c r="BN179" s="1021"/>
      <c r="BO179" s="1021"/>
      <c r="BP179" s="1021"/>
      <c r="BQ179" s="1021"/>
      <c r="BR179" s="1021"/>
      <c r="BS179" s="1021"/>
      <c r="BT179" s="1021"/>
      <c r="BU179" s="1021"/>
      <c r="BV179" s="1021"/>
      <c r="BW179" s="1021"/>
      <c r="BX179" s="1021"/>
      <c r="BY179" s="1021"/>
      <c r="BZ179" s="1021"/>
      <c r="CA179" s="1021"/>
      <c r="CB179" s="1021"/>
      <c r="CC179" s="1021"/>
    </row>
    <row r="180" spans="8:81" x14ac:dyDescent="0.25">
      <c r="H180" s="1021"/>
      <c r="I180" s="1021"/>
      <c r="J180" s="1021"/>
      <c r="K180" s="1021"/>
      <c r="L180" s="1021"/>
      <c r="M180" s="1021"/>
      <c r="N180" s="1021"/>
      <c r="O180" s="1021"/>
      <c r="P180" s="1021"/>
      <c r="Q180" s="1021"/>
      <c r="R180" s="1021"/>
      <c r="S180" s="1021"/>
      <c r="T180" s="1021"/>
      <c r="U180" s="1021"/>
      <c r="V180" s="1021"/>
      <c r="W180" s="1021"/>
      <c r="X180" s="1021"/>
      <c r="Y180" s="1021"/>
      <c r="Z180" s="1021"/>
      <c r="AA180" s="1021"/>
      <c r="AB180" s="1021"/>
      <c r="AC180" s="1021"/>
      <c r="AD180" s="1021"/>
      <c r="AE180" s="1021"/>
      <c r="AF180" s="1021"/>
      <c r="AG180" s="1021"/>
      <c r="AH180" s="1021"/>
      <c r="AI180" s="1021"/>
      <c r="AJ180" s="1021"/>
      <c r="AK180" s="1021"/>
      <c r="AL180" s="1021"/>
      <c r="AM180" s="1021"/>
      <c r="AN180" s="1021"/>
      <c r="AO180" s="1021"/>
      <c r="AP180" s="1021"/>
      <c r="AQ180" s="1021"/>
      <c r="AR180" s="1021"/>
      <c r="AS180" s="1021"/>
      <c r="AT180" s="1021"/>
      <c r="AU180" s="1021"/>
      <c r="AV180" s="1021"/>
      <c r="AW180" s="1021"/>
      <c r="AX180" s="1021"/>
      <c r="AY180" s="1021"/>
      <c r="AZ180" s="1021"/>
      <c r="BA180" s="1021"/>
      <c r="BB180" s="1021"/>
      <c r="BC180" s="1021"/>
      <c r="BD180" s="1021"/>
      <c r="BE180" s="1021"/>
      <c r="BF180" s="1021"/>
      <c r="BG180" s="1021"/>
      <c r="BH180" s="1021"/>
      <c r="BI180" s="1021"/>
      <c r="BJ180" s="1021"/>
      <c r="BK180" s="1021"/>
      <c r="BL180" s="1021"/>
      <c r="BM180" s="1021"/>
      <c r="BN180" s="1021"/>
      <c r="BO180" s="1021"/>
      <c r="BP180" s="1021"/>
      <c r="BQ180" s="1021"/>
      <c r="BR180" s="1021"/>
      <c r="BS180" s="1021"/>
      <c r="BT180" s="1021"/>
      <c r="BU180" s="1021"/>
      <c r="BV180" s="1021"/>
      <c r="BW180" s="1021"/>
      <c r="BX180" s="1021"/>
      <c r="BY180" s="1021"/>
      <c r="BZ180" s="1021"/>
      <c r="CA180" s="1021"/>
      <c r="CB180" s="1021"/>
      <c r="CC180" s="1021"/>
    </row>
    <row r="181" spans="8:81" x14ac:dyDescent="0.25">
      <c r="H181" s="1021"/>
      <c r="I181" s="1021"/>
      <c r="J181" s="1021"/>
      <c r="K181" s="1021"/>
      <c r="L181" s="1021"/>
      <c r="M181" s="1021"/>
      <c r="N181" s="1021"/>
      <c r="O181" s="1021"/>
      <c r="P181" s="1021"/>
      <c r="Q181" s="1021"/>
      <c r="R181" s="1021"/>
      <c r="S181" s="1021"/>
      <c r="T181" s="1021"/>
      <c r="U181" s="1021"/>
      <c r="V181" s="1021"/>
      <c r="W181" s="1021"/>
      <c r="X181" s="1021"/>
      <c r="Y181" s="1021"/>
      <c r="Z181" s="1021"/>
      <c r="AA181" s="1021"/>
      <c r="AB181" s="1021"/>
      <c r="AC181" s="1021"/>
      <c r="AD181" s="1021"/>
      <c r="AE181" s="1021"/>
      <c r="AF181" s="1021"/>
      <c r="AG181" s="1021"/>
      <c r="AH181" s="1021"/>
      <c r="AI181" s="1021"/>
      <c r="AJ181" s="1021"/>
      <c r="AK181" s="1021"/>
      <c r="AL181" s="1021"/>
      <c r="AM181" s="1021"/>
      <c r="AN181" s="1021"/>
      <c r="AO181" s="1021"/>
      <c r="AP181" s="1021"/>
      <c r="AQ181" s="1021"/>
      <c r="AR181" s="1021"/>
      <c r="AS181" s="1021"/>
      <c r="AT181" s="1021"/>
      <c r="AU181" s="1021"/>
      <c r="AV181" s="1021"/>
      <c r="AW181" s="1021"/>
      <c r="AX181" s="1021"/>
      <c r="AY181" s="1021"/>
      <c r="AZ181" s="1021"/>
      <c r="BA181" s="1021"/>
      <c r="BB181" s="1021"/>
      <c r="BC181" s="1021"/>
      <c r="BD181" s="1021"/>
      <c r="BE181" s="1021"/>
      <c r="BF181" s="1021"/>
      <c r="BG181" s="1021"/>
      <c r="BH181" s="1021"/>
      <c r="BI181" s="1021"/>
      <c r="BJ181" s="1021"/>
      <c r="BK181" s="1021"/>
      <c r="BL181" s="1021"/>
      <c r="BM181" s="1021"/>
      <c r="BN181" s="1021"/>
      <c r="BO181" s="1021"/>
      <c r="BP181" s="1021"/>
      <c r="BQ181" s="1021"/>
      <c r="BR181" s="1021"/>
      <c r="BS181" s="1021"/>
      <c r="BT181" s="1021"/>
      <c r="BU181" s="1021"/>
      <c r="BV181" s="1021"/>
      <c r="BW181" s="1021"/>
      <c r="BX181" s="1021"/>
      <c r="BY181" s="1021"/>
      <c r="BZ181" s="1021"/>
      <c r="CA181" s="1021"/>
      <c r="CB181" s="1021"/>
      <c r="CC181" s="1021"/>
    </row>
    <row r="182" spans="8:81" x14ac:dyDescent="0.25">
      <c r="H182" s="1021"/>
      <c r="I182" s="1021"/>
      <c r="J182" s="1021"/>
      <c r="K182" s="1021"/>
      <c r="L182" s="1021"/>
      <c r="M182" s="1021"/>
      <c r="N182" s="1021"/>
      <c r="O182" s="1021"/>
      <c r="P182" s="1021"/>
      <c r="Q182" s="1021"/>
      <c r="R182" s="1021"/>
      <c r="S182" s="1021"/>
      <c r="T182" s="1021"/>
      <c r="U182" s="1021"/>
      <c r="V182" s="1021"/>
      <c r="W182" s="1021"/>
      <c r="X182" s="1021"/>
      <c r="Y182" s="1021"/>
      <c r="Z182" s="1021"/>
      <c r="AA182" s="1021"/>
      <c r="AB182" s="1021"/>
      <c r="AC182" s="1021"/>
      <c r="AD182" s="1021"/>
      <c r="AE182" s="1021"/>
      <c r="AF182" s="1021"/>
      <c r="AG182" s="1021"/>
      <c r="AH182" s="1021"/>
      <c r="AI182" s="1021"/>
      <c r="AJ182" s="1021"/>
      <c r="AK182" s="1021"/>
      <c r="AL182" s="1021"/>
      <c r="AM182" s="1021"/>
      <c r="AN182" s="1021"/>
      <c r="AO182" s="1021"/>
      <c r="AP182" s="1021"/>
      <c r="AQ182" s="1021"/>
      <c r="AR182" s="1021"/>
      <c r="AS182" s="1021"/>
      <c r="AT182" s="1021"/>
      <c r="AU182" s="1021"/>
      <c r="AV182" s="1021"/>
      <c r="AW182" s="1021"/>
      <c r="AX182" s="1021"/>
      <c r="AY182" s="1021"/>
      <c r="AZ182" s="1021"/>
      <c r="BA182" s="1021"/>
      <c r="BB182" s="1021"/>
      <c r="BC182" s="1021"/>
      <c r="BD182" s="1021"/>
      <c r="BE182" s="1021"/>
      <c r="BF182" s="1021"/>
      <c r="BG182" s="1021"/>
      <c r="BH182" s="1021"/>
      <c r="BI182" s="1021"/>
      <c r="BJ182" s="1021"/>
      <c r="BK182" s="1021"/>
      <c r="BL182" s="1021"/>
      <c r="BM182" s="1021"/>
      <c r="BN182" s="1021"/>
      <c r="BO182" s="1021"/>
      <c r="BP182" s="1021"/>
      <c r="BQ182" s="1021"/>
      <c r="BR182" s="1021"/>
      <c r="BS182" s="1021"/>
      <c r="BT182" s="1021"/>
      <c r="BU182" s="1021"/>
      <c r="BV182" s="1021"/>
      <c r="BW182" s="1021"/>
      <c r="BX182" s="1021"/>
      <c r="BY182" s="1021"/>
      <c r="BZ182" s="1021"/>
      <c r="CA182" s="1021"/>
      <c r="CB182" s="1021"/>
      <c r="CC182" s="1021"/>
    </row>
    <row r="183" spans="8:81" x14ac:dyDescent="0.25">
      <c r="H183" s="1021"/>
      <c r="I183" s="1021"/>
      <c r="J183" s="1021"/>
      <c r="K183" s="1021"/>
      <c r="L183" s="1021"/>
      <c r="M183" s="1021"/>
      <c r="N183" s="1021"/>
      <c r="O183" s="1021"/>
      <c r="P183" s="1021"/>
      <c r="Q183" s="1021"/>
      <c r="R183" s="1021"/>
      <c r="S183" s="1021"/>
      <c r="T183" s="1021"/>
      <c r="U183" s="1021"/>
      <c r="V183" s="1021"/>
      <c r="W183" s="1021"/>
      <c r="X183" s="1021"/>
      <c r="Y183" s="1021"/>
      <c r="Z183" s="1021"/>
      <c r="AA183" s="1021"/>
      <c r="AB183" s="1021"/>
      <c r="AC183" s="1021"/>
      <c r="AD183" s="1021"/>
      <c r="AE183" s="1021"/>
      <c r="AF183" s="1021"/>
      <c r="AG183" s="1021"/>
      <c r="AH183" s="1021"/>
      <c r="AI183" s="1021"/>
      <c r="AJ183" s="1021"/>
      <c r="AK183" s="1021"/>
      <c r="AL183" s="1021"/>
      <c r="AM183" s="1021"/>
      <c r="AN183" s="1021"/>
      <c r="AO183" s="1021"/>
      <c r="AP183" s="1021"/>
      <c r="AQ183" s="1021"/>
      <c r="AR183" s="1021"/>
      <c r="AS183" s="1021"/>
      <c r="AT183" s="1021"/>
      <c r="AU183" s="1021"/>
      <c r="AV183" s="1021"/>
      <c r="AW183" s="1021"/>
      <c r="AX183" s="1021"/>
      <c r="AY183" s="1021"/>
      <c r="AZ183" s="1021"/>
      <c r="BA183" s="1021"/>
      <c r="BB183" s="1021"/>
      <c r="BC183" s="1021"/>
      <c r="BD183" s="1021"/>
      <c r="BE183" s="1021"/>
      <c r="BF183" s="1021"/>
      <c r="BG183" s="1021"/>
      <c r="BH183" s="1021"/>
      <c r="BI183" s="1021"/>
      <c r="BJ183" s="1021"/>
      <c r="BK183" s="1021"/>
      <c r="BL183" s="1021"/>
      <c r="BM183" s="1021"/>
      <c r="BN183" s="1021"/>
      <c r="BO183" s="1021"/>
      <c r="BP183" s="1021"/>
      <c r="BQ183" s="1021"/>
      <c r="BR183" s="1021"/>
      <c r="BS183" s="1021"/>
      <c r="BT183" s="1021"/>
      <c r="BU183" s="1021"/>
      <c r="BV183" s="1021"/>
      <c r="BW183" s="1021"/>
      <c r="BX183" s="1021"/>
      <c r="BY183" s="1021"/>
      <c r="BZ183" s="1021"/>
      <c r="CA183" s="1021"/>
      <c r="CB183" s="1021"/>
      <c r="CC183" s="1021"/>
    </row>
    <row r="184" spans="8:81" x14ac:dyDescent="0.25">
      <c r="H184" s="1021"/>
      <c r="I184" s="1021"/>
      <c r="J184" s="1021"/>
      <c r="K184" s="1021"/>
      <c r="L184" s="1021"/>
      <c r="M184" s="1021"/>
      <c r="N184" s="1021"/>
      <c r="O184" s="1021"/>
      <c r="P184" s="1021"/>
      <c r="Q184" s="1021"/>
      <c r="R184" s="1021"/>
      <c r="S184" s="1021"/>
      <c r="T184" s="1021"/>
      <c r="U184" s="1021"/>
      <c r="V184" s="1021"/>
      <c r="W184" s="1021"/>
      <c r="X184" s="1021"/>
      <c r="Y184" s="1021"/>
      <c r="Z184" s="1021"/>
      <c r="AA184" s="1021"/>
      <c r="AB184" s="1021"/>
      <c r="AC184" s="1021"/>
      <c r="AD184" s="1021"/>
      <c r="AE184" s="1021"/>
      <c r="AF184" s="1021"/>
      <c r="AG184" s="1021"/>
      <c r="AH184" s="1021"/>
      <c r="AI184" s="1021"/>
      <c r="AJ184" s="1021"/>
      <c r="AK184" s="1021"/>
      <c r="AL184" s="1021"/>
      <c r="AM184" s="1021"/>
      <c r="AN184" s="1021"/>
      <c r="AO184" s="1021"/>
      <c r="AP184" s="1021"/>
      <c r="AQ184" s="1021"/>
      <c r="AR184" s="1021"/>
      <c r="AS184" s="1021"/>
      <c r="AT184" s="1021"/>
      <c r="AU184" s="1021"/>
      <c r="AV184" s="1021"/>
      <c r="AW184" s="1021"/>
      <c r="AX184" s="1021"/>
      <c r="AY184" s="1021"/>
      <c r="AZ184" s="1021"/>
      <c r="BA184" s="1021"/>
      <c r="BB184" s="1021"/>
      <c r="BC184" s="1021"/>
      <c r="BD184" s="1021"/>
      <c r="BE184" s="1021"/>
      <c r="BF184" s="1021"/>
      <c r="BG184" s="1021"/>
      <c r="BH184" s="1021"/>
      <c r="BI184" s="1021"/>
      <c r="BJ184" s="1021"/>
      <c r="BK184" s="1021"/>
      <c r="BL184" s="1021"/>
      <c r="BM184" s="1021"/>
      <c r="BN184" s="1021"/>
      <c r="BO184" s="1021"/>
      <c r="BP184" s="1021"/>
      <c r="BQ184" s="1021"/>
      <c r="BR184" s="1021"/>
      <c r="BS184" s="1021"/>
      <c r="BT184" s="1021"/>
      <c r="BU184" s="1021"/>
      <c r="BV184" s="1021"/>
      <c r="BW184" s="1021"/>
      <c r="BX184" s="1021"/>
      <c r="BY184" s="1021"/>
      <c r="BZ184" s="1021"/>
      <c r="CA184" s="1021"/>
      <c r="CB184" s="1021"/>
      <c r="CC184" s="1021"/>
    </row>
    <row r="185" spans="8:81" x14ac:dyDescent="0.25">
      <c r="H185" s="1021"/>
      <c r="I185" s="1021"/>
      <c r="J185" s="1021"/>
      <c r="K185" s="1021"/>
      <c r="L185" s="1021"/>
      <c r="M185" s="1021"/>
      <c r="N185" s="1021"/>
      <c r="O185" s="1021"/>
      <c r="P185" s="1021"/>
      <c r="Q185" s="1021"/>
      <c r="R185" s="1021"/>
      <c r="S185" s="1021"/>
      <c r="T185" s="1021"/>
      <c r="U185" s="1021"/>
      <c r="V185" s="1021"/>
      <c r="W185" s="1021"/>
      <c r="X185" s="1021"/>
      <c r="Y185" s="1021"/>
      <c r="Z185" s="1021"/>
      <c r="AA185" s="1021"/>
      <c r="AB185" s="1021"/>
      <c r="AC185" s="1021"/>
      <c r="AD185" s="1021"/>
      <c r="AE185" s="1021"/>
      <c r="AF185" s="1021"/>
      <c r="AG185" s="1021"/>
      <c r="AH185" s="1021"/>
      <c r="AI185" s="1021"/>
      <c r="AJ185" s="1021"/>
      <c r="AK185" s="1021"/>
      <c r="AL185" s="1021"/>
      <c r="AM185" s="1021"/>
      <c r="AN185" s="1021"/>
      <c r="AO185" s="1021"/>
      <c r="AP185" s="1021"/>
      <c r="AQ185" s="1021"/>
      <c r="AR185" s="1021"/>
      <c r="AS185" s="1021"/>
      <c r="AT185" s="1021"/>
      <c r="AU185" s="1021"/>
      <c r="AV185" s="1021"/>
      <c r="AW185" s="1021"/>
      <c r="AX185" s="1021"/>
      <c r="AY185" s="1021"/>
      <c r="AZ185" s="1021"/>
      <c r="BA185" s="1021"/>
      <c r="BB185" s="1021"/>
      <c r="BC185" s="1021"/>
      <c r="BD185" s="1021"/>
      <c r="BE185" s="1021"/>
      <c r="BF185" s="1021"/>
      <c r="BG185" s="1021"/>
      <c r="BH185" s="1021"/>
      <c r="BI185" s="1021"/>
      <c r="BJ185" s="1021"/>
      <c r="BK185" s="1021"/>
      <c r="BL185" s="1021"/>
      <c r="BM185" s="1021"/>
      <c r="BN185" s="1021"/>
      <c r="BO185" s="1021"/>
      <c r="BP185" s="1021"/>
      <c r="BQ185" s="1021"/>
      <c r="BR185" s="1021"/>
      <c r="BS185" s="1021"/>
      <c r="BT185" s="1021"/>
      <c r="BU185" s="1021"/>
      <c r="BV185" s="1021"/>
      <c r="BW185" s="1021"/>
      <c r="BX185" s="1021"/>
      <c r="BY185" s="1021"/>
      <c r="BZ185" s="1021"/>
      <c r="CA185" s="1021"/>
      <c r="CB185" s="1021"/>
      <c r="CC185" s="1021"/>
    </row>
    <row r="186" spans="8:81" x14ac:dyDescent="0.25">
      <c r="H186" s="1021"/>
      <c r="I186" s="1021"/>
      <c r="J186" s="1021"/>
      <c r="K186" s="1021"/>
      <c r="L186" s="1021"/>
      <c r="M186" s="1021"/>
      <c r="N186" s="1021"/>
      <c r="O186" s="1021"/>
      <c r="P186" s="1021"/>
      <c r="Q186" s="1021"/>
      <c r="R186" s="1021"/>
      <c r="S186" s="1021"/>
      <c r="T186" s="1021"/>
      <c r="U186" s="1021"/>
      <c r="V186" s="1021"/>
      <c r="W186" s="1021"/>
      <c r="X186" s="1021"/>
      <c r="Y186" s="1021"/>
      <c r="Z186" s="1021"/>
      <c r="AA186" s="1021"/>
      <c r="AB186" s="1021"/>
      <c r="AC186" s="1021"/>
      <c r="AD186" s="1021"/>
      <c r="AE186" s="1021"/>
      <c r="AF186" s="1021"/>
      <c r="AG186" s="1021"/>
      <c r="AH186" s="1021"/>
      <c r="AI186" s="1021"/>
      <c r="AJ186" s="1021"/>
      <c r="AK186" s="1021"/>
      <c r="AL186" s="1021"/>
      <c r="AM186" s="1021"/>
      <c r="AN186" s="1021"/>
      <c r="AO186" s="1021"/>
      <c r="AP186" s="1021"/>
      <c r="AQ186" s="1021"/>
      <c r="AR186" s="1021"/>
      <c r="AS186" s="1021"/>
      <c r="AT186" s="1021"/>
      <c r="AU186" s="1021"/>
      <c r="AV186" s="1021"/>
      <c r="AW186" s="1021"/>
      <c r="AX186" s="1021"/>
      <c r="AY186" s="1021"/>
      <c r="AZ186" s="1021"/>
      <c r="BA186" s="1021"/>
      <c r="BB186" s="1021"/>
      <c r="BC186" s="1021"/>
      <c r="BD186" s="1021"/>
      <c r="BE186" s="1021"/>
      <c r="BF186" s="1021"/>
      <c r="BG186" s="1021"/>
      <c r="BH186" s="1021"/>
      <c r="BI186" s="1021"/>
      <c r="BJ186" s="1021"/>
      <c r="BK186" s="1021"/>
      <c r="BL186" s="1021"/>
      <c r="BM186" s="1021"/>
      <c r="BN186" s="1021"/>
      <c r="BO186" s="1021"/>
      <c r="BP186" s="1021"/>
      <c r="BQ186" s="1021"/>
      <c r="BR186" s="1021"/>
      <c r="BS186" s="1021"/>
      <c r="BT186" s="1021"/>
      <c r="BU186" s="1021"/>
      <c r="BV186" s="1021"/>
      <c r="BW186" s="1021"/>
      <c r="BX186" s="1021"/>
      <c r="BY186" s="1021"/>
      <c r="BZ186" s="1021"/>
      <c r="CA186" s="1021"/>
      <c r="CB186" s="1021"/>
      <c r="CC186" s="1021"/>
    </row>
    <row r="187" spans="8:81" x14ac:dyDescent="0.25">
      <c r="H187" s="1021"/>
      <c r="I187" s="1021"/>
      <c r="J187" s="1021"/>
      <c r="K187" s="1021"/>
      <c r="L187" s="1021"/>
      <c r="M187" s="1021"/>
      <c r="N187" s="1021"/>
      <c r="O187" s="1021"/>
      <c r="P187" s="1021"/>
      <c r="Q187" s="1021"/>
      <c r="R187" s="1021"/>
      <c r="S187" s="1021"/>
      <c r="T187" s="1021"/>
      <c r="U187" s="1021"/>
      <c r="V187" s="1021"/>
      <c r="W187" s="1021"/>
      <c r="X187" s="1021"/>
      <c r="Y187" s="1021"/>
      <c r="Z187" s="1021"/>
      <c r="AA187" s="1021"/>
      <c r="AB187" s="1021"/>
      <c r="AC187" s="1021"/>
      <c r="AD187" s="1021"/>
      <c r="AE187" s="1021"/>
      <c r="AF187" s="1021"/>
      <c r="AG187" s="1021"/>
      <c r="AH187" s="1021"/>
      <c r="AI187" s="1021"/>
      <c r="AJ187" s="1021"/>
      <c r="AK187" s="1021"/>
      <c r="AL187" s="1021"/>
      <c r="AM187" s="1021"/>
      <c r="AN187" s="1021"/>
      <c r="AO187" s="1021"/>
      <c r="AP187" s="1021"/>
      <c r="AQ187" s="1021"/>
      <c r="AR187" s="1021"/>
      <c r="AS187" s="1021"/>
      <c r="AT187" s="1021"/>
      <c r="AU187" s="1021"/>
      <c r="AV187" s="1021"/>
      <c r="AW187" s="1021"/>
      <c r="AX187" s="1021"/>
      <c r="AY187" s="1021"/>
      <c r="AZ187" s="1021"/>
      <c r="BA187" s="1021"/>
      <c r="BB187" s="1021"/>
      <c r="BC187" s="1021"/>
      <c r="BD187" s="1021"/>
      <c r="BE187" s="1021"/>
      <c r="BF187" s="1021"/>
      <c r="BG187" s="1021"/>
      <c r="BH187" s="1021"/>
      <c r="BI187" s="1021"/>
      <c r="BJ187" s="1021"/>
      <c r="BK187" s="1021"/>
      <c r="BL187" s="1021"/>
      <c r="BM187" s="1021"/>
      <c r="BN187" s="1021"/>
      <c r="BO187" s="1021"/>
      <c r="BP187" s="1021"/>
      <c r="BQ187" s="1021"/>
      <c r="BR187" s="1021"/>
      <c r="BS187" s="1021"/>
      <c r="BT187" s="1021"/>
      <c r="BU187" s="1021"/>
      <c r="BV187" s="1021"/>
      <c r="BW187" s="1021"/>
      <c r="BX187" s="1021"/>
      <c r="BY187" s="1021"/>
      <c r="BZ187" s="1021"/>
      <c r="CA187" s="1021"/>
      <c r="CB187" s="1021"/>
      <c r="CC187" s="1021"/>
    </row>
    <row r="188" spans="8:81" x14ac:dyDescent="0.25">
      <c r="H188" s="1021"/>
      <c r="I188" s="1021"/>
      <c r="J188" s="1021"/>
      <c r="K188" s="1021"/>
      <c r="L188" s="1021"/>
      <c r="M188" s="1021"/>
      <c r="N188" s="1021"/>
      <c r="O188" s="1021"/>
      <c r="P188" s="1021"/>
      <c r="Q188" s="1021"/>
      <c r="R188" s="1021"/>
      <c r="S188" s="1021"/>
      <c r="T188" s="1021"/>
      <c r="U188" s="1021"/>
      <c r="V188" s="1021"/>
      <c r="W188" s="1021"/>
      <c r="X188" s="1021"/>
      <c r="Y188" s="1021"/>
      <c r="Z188" s="1021"/>
      <c r="AA188" s="1021"/>
      <c r="AB188" s="1021"/>
      <c r="AC188" s="1021"/>
      <c r="AD188" s="1021"/>
      <c r="AE188" s="1021"/>
      <c r="AF188" s="1021"/>
      <c r="AG188" s="1021"/>
      <c r="AH188" s="1021"/>
      <c r="AI188" s="1021"/>
      <c r="AJ188" s="1021"/>
      <c r="AK188" s="1021"/>
      <c r="AL188" s="1021"/>
      <c r="AM188" s="1021"/>
      <c r="AN188" s="1021"/>
      <c r="AO188" s="1021"/>
      <c r="AP188" s="1021"/>
      <c r="AQ188" s="1021"/>
      <c r="AR188" s="1021"/>
      <c r="AS188" s="1021"/>
      <c r="AT188" s="1021"/>
      <c r="AU188" s="1021"/>
      <c r="AV188" s="1021"/>
      <c r="AW188" s="1021"/>
      <c r="AX188" s="1021"/>
      <c r="AY188" s="1021"/>
      <c r="AZ188" s="1021"/>
      <c r="BA188" s="1021"/>
      <c r="BB188" s="1021"/>
      <c r="BC188" s="1021"/>
      <c r="BD188" s="1021"/>
      <c r="BE188" s="1021"/>
      <c r="BF188" s="1021"/>
      <c r="BG188" s="1021"/>
      <c r="BH188" s="1021"/>
      <c r="BI188" s="1021"/>
      <c r="BJ188" s="1021"/>
      <c r="BK188" s="1021"/>
      <c r="BL188" s="1021"/>
      <c r="BM188" s="1021"/>
      <c r="BN188" s="1021"/>
      <c r="BO188" s="1021"/>
      <c r="BP188" s="1021"/>
      <c r="BQ188" s="1021"/>
      <c r="BR188" s="1021"/>
      <c r="BS188" s="1021"/>
      <c r="BT188" s="1021"/>
      <c r="BU188" s="1021"/>
      <c r="BV188" s="1021"/>
      <c r="BW188" s="1021"/>
      <c r="BX188" s="1021"/>
      <c r="BY188" s="1021"/>
      <c r="BZ188" s="1021"/>
      <c r="CA188" s="1021"/>
      <c r="CB188" s="1021"/>
      <c r="CC188" s="1021"/>
    </row>
    <row r="189" spans="8:81" x14ac:dyDescent="0.25">
      <c r="H189" s="1021"/>
      <c r="I189" s="1021"/>
      <c r="J189" s="1021"/>
      <c r="K189" s="1021"/>
      <c r="L189" s="1021"/>
      <c r="M189" s="1021"/>
      <c r="N189" s="1021"/>
      <c r="O189" s="1021"/>
      <c r="P189" s="1021"/>
      <c r="Q189" s="1021"/>
      <c r="R189" s="1021"/>
      <c r="S189" s="1021"/>
      <c r="T189" s="1021"/>
      <c r="U189" s="1021"/>
      <c r="V189" s="1021"/>
      <c r="W189" s="1021"/>
      <c r="X189" s="1021"/>
      <c r="Y189" s="1021"/>
      <c r="Z189" s="1021"/>
      <c r="AA189" s="1021"/>
      <c r="AB189" s="1021"/>
      <c r="AC189" s="1021"/>
      <c r="AD189" s="1021"/>
      <c r="AE189" s="1021"/>
      <c r="AF189" s="1021"/>
      <c r="AG189" s="1021"/>
      <c r="AH189" s="1021"/>
      <c r="AI189" s="1021"/>
      <c r="AJ189" s="1021"/>
      <c r="AK189" s="1021"/>
      <c r="AL189" s="1021"/>
      <c r="AM189" s="1021"/>
      <c r="AN189" s="1021"/>
      <c r="AO189" s="1021"/>
      <c r="AP189" s="1021"/>
      <c r="AQ189" s="1021"/>
      <c r="AR189" s="1021"/>
      <c r="AS189" s="1021"/>
      <c r="AT189" s="1021"/>
      <c r="AU189" s="1021"/>
      <c r="AV189" s="1021"/>
      <c r="AW189" s="1021"/>
      <c r="AX189" s="1021"/>
      <c r="AY189" s="1021"/>
      <c r="AZ189" s="1021"/>
      <c r="BA189" s="1021"/>
      <c r="BB189" s="1021"/>
      <c r="BC189" s="1021"/>
      <c r="BD189" s="1021"/>
      <c r="BE189" s="1021"/>
      <c r="BF189" s="1021"/>
      <c r="BG189" s="1021"/>
      <c r="BH189" s="1021"/>
      <c r="BI189" s="1021"/>
      <c r="BJ189" s="1021"/>
      <c r="BK189" s="1021"/>
      <c r="BL189" s="1021"/>
      <c r="BM189" s="1021"/>
      <c r="BN189" s="1021"/>
      <c r="BO189" s="1021"/>
      <c r="BP189" s="1021"/>
      <c r="BQ189" s="1021"/>
      <c r="BR189" s="1021"/>
      <c r="BS189" s="1021"/>
      <c r="BT189" s="1021"/>
      <c r="BU189" s="1021"/>
      <c r="BV189" s="1021"/>
      <c r="BW189" s="1021"/>
      <c r="BX189" s="1021"/>
      <c r="BY189" s="1021"/>
      <c r="BZ189" s="1021"/>
      <c r="CA189" s="1021"/>
      <c r="CB189" s="1021"/>
      <c r="CC189" s="1021"/>
    </row>
    <row r="190" spans="8:81" x14ac:dyDescent="0.25">
      <c r="H190" s="1021"/>
      <c r="I190" s="1021"/>
      <c r="J190" s="1021"/>
      <c r="K190" s="1021"/>
      <c r="L190" s="1021"/>
      <c r="M190" s="1021"/>
      <c r="N190" s="1021"/>
      <c r="O190" s="1021"/>
      <c r="P190" s="1021"/>
      <c r="Q190" s="1021"/>
      <c r="R190" s="1021"/>
      <c r="S190" s="1021"/>
      <c r="T190" s="1021"/>
      <c r="U190" s="1021"/>
      <c r="V190" s="1021"/>
      <c r="W190" s="1021"/>
      <c r="X190" s="1021"/>
      <c r="Y190" s="1021"/>
      <c r="Z190" s="1021"/>
      <c r="AA190" s="1021"/>
      <c r="AB190" s="1021"/>
      <c r="AC190" s="1021"/>
      <c r="AD190" s="1021"/>
      <c r="AE190" s="1021"/>
      <c r="AF190" s="1021"/>
      <c r="AG190" s="1021"/>
      <c r="AH190" s="1021"/>
      <c r="AI190" s="1021"/>
      <c r="AJ190" s="1021"/>
      <c r="AK190" s="1021"/>
      <c r="AL190" s="1021"/>
      <c r="AM190" s="1021"/>
      <c r="AN190" s="1021"/>
      <c r="AO190" s="1021"/>
      <c r="AP190" s="1021"/>
      <c r="AQ190" s="1021"/>
      <c r="AR190" s="1021"/>
      <c r="AS190" s="1021"/>
      <c r="AT190" s="1021"/>
      <c r="AU190" s="1021"/>
      <c r="AV190" s="1021"/>
      <c r="AW190" s="1021"/>
      <c r="AX190" s="1021"/>
      <c r="AY190" s="1021"/>
      <c r="AZ190" s="1021"/>
      <c r="BA190" s="1021"/>
      <c r="BB190" s="1021"/>
      <c r="BC190" s="1021"/>
      <c r="BD190" s="1021"/>
      <c r="BE190" s="1021"/>
      <c r="BF190" s="1021"/>
      <c r="BG190" s="1021"/>
      <c r="BH190" s="1021"/>
      <c r="BI190" s="1021"/>
      <c r="BJ190" s="1021"/>
      <c r="BK190" s="1021"/>
      <c r="BL190" s="1021"/>
      <c r="BM190" s="1021"/>
      <c r="BN190" s="1021"/>
      <c r="BO190" s="1021"/>
      <c r="BP190" s="1021"/>
      <c r="BQ190" s="1021"/>
      <c r="BR190" s="1021"/>
      <c r="BS190" s="1021"/>
      <c r="BT190" s="1021"/>
      <c r="BU190" s="1021"/>
      <c r="BV190" s="1021"/>
      <c r="BW190" s="1021"/>
      <c r="BX190" s="1021"/>
      <c r="BY190" s="1021"/>
      <c r="BZ190" s="1021"/>
      <c r="CA190" s="1021"/>
      <c r="CB190" s="1021"/>
      <c r="CC190" s="1021"/>
    </row>
    <row r="191" spans="8:81" x14ac:dyDescent="0.25">
      <c r="H191" s="1021"/>
      <c r="I191" s="1021"/>
      <c r="J191" s="1021"/>
      <c r="K191" s="1021"/>
      <c r="L191" s="1021"/>
      <c r="M191" s="1021"/>
      <c r="N191" s="1021"/>
      <c r="O191" s="1021"/>
      <c r="P191" s="1021"/>
      <c r="Q191" s="1021"/>
      <c r="R191" s="1021"/>
      <c r="S191" s="1021"/>
      <c r="T191" s="1021"/>
      <c r="U191" s="1021"/>
      <c r="V191" s="1021"/>
      <c r="W191" s="1021"/>
      <c r="X191" s="1021"/>
      <c r="Y191" s="1021"/>
      <c r="Z191" s="1021"/>
      <c r="AA191" s="1021"/>
      <c r="AB191" s="1021"/>
      <c r="AC191" s="1021"/>
      <c r="AD191" s="1021"/>
      <c r="AE191" s="1021"/>
      <c r="AF191" s="1021"/>
      <c r="AG191" s="1021"/>
      <c r="AH191" s="1021"/>
      <c r="AI191" s="1021"/>
      <c r="AJ191" s="1021"/>
      <c r="AK191" s="1021"/>
      <c r="AL191" s="1021"/>
      <c r="AM191" s="1021"/>
      <c r="AN191" s="1021"/>
      <c r="AO191" s="1021"/>
      <c r="AP191" s="1021"/>
      <c r="AQ191" s="1021"/>
      <c r="AR191" s="1021"/>
      <c r="AS191" s="1021"/>
      <c r="AT191" s="1021"/>
      <c r="AU191" s="1021"/>
      <c r="AV191" s="1021"/>
      <c r="AW191" s="1021"/>
      <c r="AX191" s="1021"/>
      <c r="AY191" s="1021"/>
      <c r="AZ191" s="1021"/>
      <c r="BA191" s="1021"/>
      <c r="BB191" s="1021"/>
      <c r="BC191" s="1021"/>
      <c r="BD191" s="1021"/>
      <c r="BE191" s="1021"/>
      <c r="BF191" s="1021"/>
      <c r="BG191" s="1021"/>
      <c r="BH191" s="1021"/>
      <c r="BI191" s="1021"/>
      <c r="BJ191" s="1021"/>
      <c r="BK191" s="1021"/>
      <c r="BL191" s="1021"/>
      <c r="BM191" s="1021"/>
      <c r="BN191" s="1021"/>
      <c r="BO191" s="1021"/>
      <c r="BP191" s="1021"/>
      <c r="BQ191" s="1021"/>
      <c r="BR191" s="1021"/>
      <c r="BS191" s="1021"/>
      <c r="BT191" s="1021"/>
      <c r="BU191" s="1021"/>
      <c r="BV191" s="1021"/>
      <c r="BW191" s="1021"/>
      <c r="BX191" s="1021"/>
      <c r="BY191" s="1021"/>
      <c r="BZ191" s="1021"/>
      <c r="CA191" s="1021"/>
      <c r="CB191" s="1021"/>
      <c r="CC191" s="1021"/>
    </row>
    <row r="192" spans="8:81" x14ac:dyDescent="0.25">
      <c r="H192" s="1021"/>
      <c r="I192" s="1021"/>
      <c r="J192" s="1021"/>
      <c r="K192" s="1021"/>
      <c r="L192" s="1021"/>
      <c r="M192" s="1021"/>
      <c r="N192" s="1021"/>
      <c r="O192" s="1021"/>
      <c r="P192" s="1021"/>
      <c r="Q192" s="1021"/>
      <c r="R192" s="1021"/>
      <c r="S192" s="1021"/>
      <c r="T192" s="1021"/>
      <c r="U192" s="1021"/>
      <c r="V192" s="1021"/>
      <c r="W192" s="1021"/>
      <c r="X192" s="1021"/>
      <c r="Y192" s="1021"/>
      <c r="Z192" s="1021"/>
      <c r="AA192" s="1021"/>
      <c r="AB192" s="1021"/>
      <c r="AC192" s="1021"/>
      <c r="AD192" s="1021"/>
      <c r="AE192" s="1021"/>
      <c r="AF192" s="1021"/>
      <c r="AG192" s="1021"/>
      <c r="AH192" s="1021"/>
      <c r="AI192" s="1021"/>
      <c r="AJ192" s="1021"/>
      <c r="AK192" s="1021"/>
      <c r="AL192" s="1021"/>
      <c r="AM192" s="1021"/>
      <c r="AN192" s="1021"/>
      <c r="AO192" s="1021"/>
      <c r="AP192" s="1021"/>
      <c r="AQ192" s="1021"/>
      <c r="AR192" s="1021"/>
      <c r="AS192" s="1021"/>
      <c r="AT192" s="1021"/>
      <c r="AU192" s="1021"/>
      <c r="AV192" s="1021"/>
      <c r="AW192" s="1021"/>
      <c r="AX192" s="1021"/>
      <c r="AY192" s="1021"/>
      <c r="AZ192" s="1021"/>
      <c r="BA192" s="1021"/>
      <c r="BB192" s="1021"/>
      <c r="BC192" s="1021"/>
      <c r="BD192" s="1021"/>
      <c r="BE192" s="1021"/>
      <c r="BF192" s="1021"/>
      <c r="BG192" s="1021"/>
      <c r="BH192" s="1021"/>
      <c r="BI192" s="1021"/>
      <c r="BJ192" s="1021"/>
      <c r="BK192" s="1021"/>
      <c r="BL192" s="1021"/>
      <c r="BM192" s="1021"/>
      <c r="BN192" s="1021"/>
      <c r="BO192" s="1021"/>
      <c r="BP192" s="1021"/>
      <c r="BQ192" s="1021"/>
      <c r="BR192" s="1021"/>
      <c r="BS192" s="1021"/>
      <c r="BT192" s="1021"/>
      <c r="BU192" s="1021"/>
      <c r="BV192" s="1021"/>
      <c r="BW192" s="1021"/>
      <c r="BX192" s="1021"/>
      <c r="BY192" s="1021"/>
      <c r="BZ192" s="1021"/>
      <c r="CA192" s="1021"/>
      <c r="CB192" s="1021"/>
      <c r="CC192" s="1021"/>
    </row>
    <row r="193" spans="8:81" x14ac:dyDescent="0.25">
      <c r="H193" s="1021"/>
      <c r="I193" s="1021"/>
      <c r="J193" s="1021"/>
      <c r="K193" s="1021"/>
      <c r="L193" s="1021"/>
      <c r="M193" s="1021"/>
      <c r="N193" s="1021"/>
      <c r="O193" s="1021"/>
      <c r="P193" s="1021"/>
      <c r="Q193" s="1021"/>
      <c r="R193" s="1021"/>
      <c r="S193" s="1021"/>
      <c r="T193" s="1021"/>
      <c r="U193" s="1021"/>
      <c r="V193" s="1021"/>
      <c r="W193" s="1021"/>
      <c r="X193" s="1021"/>
      <c r="Y193" s="1021"/>
      <c r="Z193" s="1021"/>
      <c r="AA193" s="1021"/>
      <c r="AB193" s="1021"/>
      <c r="AC193" s="1021"/>
      <c r="AD193" s="1021"/>
      <c r="AE193" s="1021"/>
      <c r="AF193" s="1021"/>
      <c r="AG193" s="1021"/>
      <c r="AH193" s="1021"/>
      <c r="AI193" s="1021"/>
      <c r="AJ193" s="1021"/>
      <c r="AK193" s="1021"/>
      <c r="AL193" s="1021"/>
      <c r="AM193" s="1021"/>
      <c r="AN193" s="1021"/>
      <c r="AO193" s="1021"/>
      <c r="AP193" s="1021"/>
      <c r="AQ193" s="1021"/>
      <c r="AR193" s="1021"/>
      <c r="AS193" s="1021"/>
      <c r="AT193" s="1021"/>
      <c r="AU193" s="1021"/>
      <c r="AV193" s="1021"/>
      <c r="AW193" s="1021"/>
      <c r="AX193" s="1021"/>
      <c r="AY193" s="1021"/>
      <c r="AZ193" s="1021"/>
      <c r="BA193" s="1021"/>
      <c r="BB193" s="1021"/>
      <c r="BC193" s="1021"/>
      <c r="BD193" s="1021"/>
      <c r="BE193" s="1021"/>
      <c r="BF193" s="1021"/>
      <c r="BG193" s="1021"/>
      <c r="BH193" s="1021"/>
      <c r="BI193" s="1021"/>
      <c r="BJ193" s="1021"/>
      <c r="BK193" s="1021"/>
      <c r="BL193" s="1021"/>
      <c r="BM193" s="1021"/>
      <c r="BN193" s="1021"/>
      <c r="BO193" s="1021"/>
      <c r="BP193" s="1021"/>
      <c r="BQ193" s="1021"/>
      <c r="BR193" s="1021"/>
      <c r="BS193" s="1021"/>
      <c r="BT193" s="1021"/>
      <c r="BU193" s="1021"/>
      <c r="BV193" s="1021"/>
      <c r="BW193" s="1021"/>
      <c r="BX193" s="1021"/>
      <c r="BY193" s="1021"/>
      <c r="BZ193" s="1021"/>
      <c r="CA193" s="1021"/>
      <c r="CB193" s="1021"/>
      <c r="CC193" s="1021"/>
    </row>
    <row r="194" spans="8:81" x14ac:dyDescent="0.25">
      <c r="H194" s="1021"/>
      <c r="I194" s="1021"/>
      <c r="J194" s="1021"/>
      <c r="K194" s="1021"/>
      <c r="L194" s="1021"/>
      <c r="M194" s="1021"/>
      <c r="N194" s="1021"/>
      <c r="O194" s="1021"/>
      <c r="P194" s="1021"/>
      <c r="Q194" s="1021"/>
      <c r="R194" s="1021"/>
      <c r="S194" s="1021"/>
      <c r="T194" s="1021"/>
      <c r="U194" s="1021"/>
      <c r="V194" s="1021"/>
      <c r="W194" s="1021"/>
      <c r="X194" s="1021"/>
      <c r="Y194" s="1021"/>
      <c r="Z194" s="1021"/>
      <c r="AA194" s="1021"/>
      <c r="AB194" s="1021"/>
      <c r="AC194" s="1021"/>
      <c r="AD194" s="1021"/>
      <c r="AE194" s="1021"/>
      <c r="AF194" s="1021"/>
      <c r="AG194" s="1021"/>
      <c r="AH194" s="1021"/>
      <c r="AI194" s="1021"/>
      <c r="AJ194" s="1021"/>
      <c r="AK194" s="1021"/>
      <c r="AL194" s="1021"/>
      <c r="AM194" s="1021"/>
      <c r="AN194" s="1021"/>
      <c r="AO194" s="1021"/>
      <c r="AP194" s="1021"/>
      <c r="AQ194" s="1021"/>
      <c r="AR194" s="1021"/>
      <c r="AS194" s="1021"/>
      <c r="AT194" s="1021"/>
      <c r="AU194" s="1021"/>
      <c r="AV194" s="1021"/>
      <c r="AW194" s="1021"/>
      <c r="AX194" s="1021"/>
      <c r="AY194" s="1021"/>
      <c r="AZ194" s="1021"/>
      <c r="BA194" s="1021"/>
      <c r="BB194" s="1021"/>
      <c r="BC194" s="1021"/>
      <c r="BD194" s="1021"/>
      <c r="BE194" s="1021"/>
      <c r="BF194" s="1021"/>
      <c r="BG194" s="1021"/>
      <c r="BH194" s="1021"/>
      <c r="BI194" s="1021"/>
      <c r="BJ194" s="1021"/>
      <c r="BK194" s="1021"/>
      <c r="BL194" s="1021"/>
      <c r="BM194" s="1021"/>
      <c r="BN194" s="1021"/>
      <c r="BO194" s="1021"/>
      <c r="BP194" s="1021"/>
      <c r="BQ194" s="1021"/>
      <c r="BR194" s="1021"/>
      <c r="BS194" s="1021"/>
      <c r="BT194" s="1021"/>
      <c r="BU194" s="1021"/>
      <c r="BV194" s="1021"/>
      <c r="BW194" s="1021"/>
      <c r="BX194" s="1021"/>
      <c r="BY194" s="1021"/>
      <c r="BZ194" s="1021"/>
      <c r="CA194" s="1021"/>
      <c r="CB194" s="1021"/>
      <c r="CC194" s="1021"/>
    </row>
    <row r="195" spans="8:81" x14ac:dyDescent="0.25">
      <c r="H195" s="1021"/>
      <c r="I195" s="1021"/>
      <c r="J195" s="1021"/>
      <c r="K195" s="1021"/>
      <c r="L195" s="1021"/>
      <c r="M195" s="1021"/>
      <c r="N195" s="1021"/>
      <c r="O195" s="1021"/>
      <c r="P195" s="1021"/>
      <c r="Q195" s="1021"/>
      <c r="R195" s="1021"/>
      <c r="S195" s="1021"/>
      <c r="T195" s="1021"/>
      <c r="U195" s="1021"/>
      <c r="V195" s="1021"/>
      <c r="W195" s="1021"/>
      <c r="X195" s="1021"/>
      <c r="Y195" s="1021"/>
      <c r="Z195" s="1021"/>
      <c r="AA195" s="1021"/>
      <c r="AB195" s="1021"/>
      <c r="AC195" s="1021"/>
      <c r="AD195" s="1021"/>
      <c r="AE195" s="1021"/>
      <c r="AF195" s="1021"/>
      <c r="AG195" s="1021"/>
      <c r="AH195" s="1021"/>
      <c r="AI195" s="1021"/>
      <c r="AJ195" s="1021"/>
      <c r="AK195" s="1021"/>
      <c r="AL195" s="1021"/>
      <c r="AM195" s="1021"/>
      <c r="AN195" s="1021"/>
      <c r="AO195" s="1021"/>
      <c r="AP195" s="1021"/>
      <c r="AQ195" s="1021"/>
      <c r="AR195" s="1021"/>
      <c r="AS195" s="1021"/>
      <c r="AT195" s="1021"/>
      <c r="AU195" s="1021"/>
      <c r="AV195" s="1021"/>
      <c r="AW195" s="1021"/>
      <c r="AX195" s="1021"/>
      <c r="AY195" s="1021"/>
      <c r="AZ195" s="1021"/>
      <c r="BA195" s="1021"/>
      <c r="BB195" s="1021"/>
      <c r="BC195" s="1021"/>
      <c r="BD195" s="1021"/>
      <c r="BE195" s="1021"/>
      <c r="BF195" s="1021"/>
      <c r="BG195" s="1021"/>
      <c r="BH195" s="1021"/>
      <c r="BI195" s="1021"/>
      <c r="BJ195" s="1021"/>
      <c r="BK195" s="1021"/>
      <c r="BL195" s="1021"/>
      <c r="BM195" s="1021"/>
      <c r="BN195" s="1021"/>
      <c r="BO195" s="1021"/>
      <c r="BP195" s="1021"/>
      <c r="BQ195" s="1021"/>
      <c r="BR195" s="1021"/>
      <c r="BS195" s="1021"/>
      <c r="BT195" s="1021"/>
      <c r="BU195" s="1021"/>
      <c r="BV195" s="1021"/>
      <c r="BW195" s="1021"/>
      <c r="BX195" s="1021"/>
      <c r="BY195" s="1021"/>
      <c r="BZ195" s="1021"/>
      <c r="CA195" s="1021"/>
      <c r="CB195" s="1021"/>
      <c r="CC195" s="1021"/>
    </row>
    <row r="196" spans="8:81" x14ac:dyDescent="0.25">
      <c r="H196" s="1021"/>
      <c r="I196" s="1021"/>
      <c r="J196" s="1021"/>
      <c r="K196" s="1021"/>
      <c r="L196" s="1021"/>
      <c r="M196" s="1021"/>
      <c r="N196" s="1021"/>
      <c r="O196" s="1021"/>
      <c r="P196" s="1021"/>
      <c r="Q196" s="1021"/>
      <c r="R196" s="1021"/>
      <c r="S196" s="1021"/>
      <c r="T196" s="1021"/>
      <c r="U196" s="1021"/>
      <c r="V196" s="1021"/>
      <c r="W196" s="1021"/>
      <c r="X196" s="1021"/>
      <c r="Y196" s="1021"/>
      <c r="Z196" s="1021"/>
      <c r="AA196" s="1021"/>
      <c r="AB196" s="1021"/>
      <c r="AC196" s="1021"/>
      <c r="AD196" s="1021"/>
      <c r="AE196" s="1021"/>
      <c r="AF196" s="1021"/>
      <c r="AG196" s="1021"/>
      <c r="AH196" s="1021"/>
      <c r="AI196" s="1021"/>
      <c r="AJ196" s="1021"/>
      <c r="AK196" s="1021"/>
      <c r="AL196" s="1021"/>
      <c r="AM196" s="1021"/>
      <c r="AN196" s="1021"/>
      <c r="AO196" s="1021"/>
      <c r="AP196" s="1021"/>
      <c r="AQ196" s="1021"/>
      <c r="AR196" s="1021"/>
      <c r="AS196" s="1021"/>
      <c r="AT196" s="1021"/>
      <c r="AU196" s="1021"/>
      <c r="AV196" s="1021"/>
      <c r="AW196" s="1021"/>
      <c r="AX196" s="1021"/>
      <c r="AY196" s="1021"/>
      <c r="AZ196" s="1021"/>
      <c r="BA196" s="1021"/>
      <c r="BB196" s="1021"/>
      <c r="BC196" s="1021"/>
      <c r="BD196" s="1021"/>
      <c r="BE196" s="1021"/>
      <c r="BF196" s="1021"/>
      <c r="BG196" s="1021"/>
      <c r="BH196" s="1021"/>
      <c r="BI196" s="1021"/>
      <c r="BJ196" s="1021"/>
      <c r="BK196" s="1021"/>
      <c r="BL196" s="1021"/>
      <c r="BM196" s="1021"/>
      <c r="BN196" s="1021"/>
      <c r="BO196" s="1021"/>
      <c r="BP196" s="1021"/>
      <c r="BQ196" s="1021"/>
      <c r="BR196" s="1021"/>
      <c r="BS196" s="1021"/>
      <c r="BT196" s="1021"/>
      <c r="BU196" s="1021"/>
      <c r="BV196" s="1021"/>
      <c r="BW196" s="1021"/>
      <c r="BX196" s="1021"/>
      <c r="BY196" s="1021"/>
      <c r="BZ196" s="1021"/>
      <c r="CA196" s="1021"/>
      <c r="CB196" s="1021"/>
      <c r="CC196" s="1021"/>
    </row>
    <row r="197" spans="8:81" x14ac:dyDescent="0.25">
      <c r="H197" s="1021"/>
      <c r="I197" s="1021"/>
      <c r="J197" s="1021"/>
      <c r="K197" s="1021"/>
      <c r="L197" s="1021"/>
      <c r="M197" s="1021"/>
      <c r="N197" s="1021"/>
      <c r="O197" s="1021"/>
      <c r="P197" s="1021"/>
      <c r="Q197" s="1021"/>
      <c r="R197" s="1021"/>
      <c r="S197" s="1021"/>
      <c r="T197" s="1021"/>
      <c r="U197" s="1021"/>
      <c r="V197" s="1021"/>
      <c r="W197" s="1021"/>
      <c r="X197" s="1021"/>
      <c r="Y197" s="1021"/>
      <c r="Z197" s="1021"/>
      <c r="AA197" s="1021"/>
      <c r="AB197" s="1021"/>
      <c r="AC197" s="1021"/>
      <c r="AD197" s="1021"/>
      <c r="AE197" s="1021"/>
      <c r="AF197" s="1021"/>
      <c r="AG197" s="1021"/>
      <c r="AH197" s="1021"/>
      <c r="AI197" s="1021"/>
      <c r="AJ197" s="1021"/>
      <c r="AK197" s="1021"/>
      <c r="AL197" s="1021"/>
      <c r="AM197" s="1021"/>
      <c r="AN197" s="1021"/>
      <c r="AO197" s="1021"/>
      <c r="AP197" s="1021"/>
      <c r="AQ197" s="1021"/>
      <c r="AR197" s="1021"/>
      <c r="AS197" s="1021"/>
      <c r="AT197" s="1021"/>
      <c r="AU197" s="1021"/>
      <c r="AV197" s="1021"/>
      <c r="AW197" s="1021"/>
      <c r="AX197" s="1021"/>
      <c r="AY197" s="1021"/>
      <c r="AZ197" s="1021"/>
      <c r="BA197" s="1021"/>
      <c r="BB197" s="1021"/>
      <c r="BC197" s="1021"/>
      <c r="BD197" s="1021"/>
      <c r="BE197" s="1021"/>
      <c r="BF197" s="1021"/>
      <c r="BG197" s="1021"/>
      <c r="BH197" s="1021"/>
      <c r="BI197" s="1021"/>
      <c r="BJ197" s="1021"/>
      <c r="BK197" s="1021"/>
      <c r="BL197" s="1021"/>
      <c r="BM197" s="1021"/>
      <c r="BN197" s="1021"/>
      <c r="BO197" s="1021"/>
      <c r="BP197" s="1021"/>
      <c r="BQ197" s="1021"/>
      <c r="BR197" s="1021"/>
      <c r="BS197" s="1021"/>
      <c r="BT197" s="1021"/>
      <c r="BU197" s="1021"/>
      <c r="BV197" s="1021"/>
      <c r="BW197" s="1021"/>
      <c r="BX197" s="1021"/>
      <c r="BY197" s="1021"/>
      <c r="BZ197" s="1021"/>
      <c r="CA197" s="1021"/>
      <c r="CB197" s="1021"/>
      <c r="CC197" s="1021"/>
    </row>
    <row r="198" spans="8:81" x14ac:dyDescent="0.25">
      <c r="H198" s="1021"/>
      <c r="I198" s="1021"/>
      <c r="J198" s="1021"/>
      <c r="K198" s="1021"/>
      <c r="L198" s="1021"/>
      <c r="M198" s="1021"/>
      <c r="N198" s="1021"/>
      <c r="O198" s="1021"/>
      <c r="P198" s="1021"/>
      <c r="Q198" s="1021"/>
      <c r="R198" s="1021"/>
      <c r="S198" s="1021"/>
      <c r="T198" s="1021"/>
      <c r="U198" s="1021"/>
      <c r="V198" s="1021"/>
      <c r="W198" s="1021"/>
      <c r="X198" s="1021"/>
      <c r="Y198" s="1021"/>
      <c r="Z198" s="1021"/>
      <c r="AA198" s="1021"/>
      <c r="AB198" s="1021"/>
      <c r="AC198" s="1021"/>
      <c r="AD198" s="1021"/>
      <c r="AE198" s="1021"/>
      <c r="AF198" s="1021"/>
      <c r="AG198" s="1021"/>
      <c r="AH198" s="1021"/>
      <c r="AI198" s="1021"/>
      <c r="AJ198" s="1021"/>
      <c r="AK198" s="1021"/>
      <c r="AL198" s="1021"/>
      <c r="AM198" s="1021"/>
      <c r="AN198" s="1021"/>
      <c r="AO198" s="1021"/>
      <c r="AP198" s="1021"/>
      <c r="AQ198" s="1021"/>
      <c r="AR198" s="1021"/>
      <c r="AS198" s="1021"/>
      <c r="AT198" s="1021"/>
      <c r="AU198" s="1021"/>
      <c r="AV198" s="1021"/>
      <c r="AW198" s="1021"/>
      <c r="AX198" s="1021"/>
      <c r="AY198" s="1021"/>
      <c r="AZ198" s="1021"/>
      <c r="BA198" s="1021"/>
      <c r="BB198" s="1021"/>
      <c r="BC198" s="1021"/>
      <c r="BD198" s="1021"/>
      <c r="BE198" s="1021"/>
      <c r="BF198" s="1021"/>
      <c r="BG198" s="1021"/>
      <c r="BH198" s="1021"/>
      <c r="BI198" s="1021"/>
      <c r="BJ198" s="1021"/>
      <c r="BK198" s="1021"/>
      <c r="BL198" s="1021"/>
      <c r="BM198" s="1021"/>
      <c r="BN198" s="1021"/>
      <c r="BO198" s="1021"/>
      <c r="BP198" s="1021"/>
      <c r="BQ198" s="1021"/>
      <c r="BR198" s="1021"/>
      <c r="BS198" s="1021"/>
      <c r="BT198" s="1021"/>
      <c r="BU198" s="1021"/>
      <c r="BV198" s="1021"/>
      <c r="BW198" s="1021"/>
      <c r="BX198" s="1021"/>
      <c r="BY198" s="1021"/>
      <c r="BZ198" s="1021"/>
      <c r="CA198" s="1021"/>
      <c r="CB198" s="1021"/>
      <c r="CC198" s="1021"/>
    </row>
    <row r="199" spans="8:81" x14ac:dyDescent="0.25">
      <c r="H199" s="1021"/>
      <c r="I199" s="1021"/>
      <c r="J199" s="1021"/>
      <c r="K199" s="1021"/>
      <c r="L199" s="1021"/>
      <c r="M199" s="1021"/>
      <c r="N199" s="1021"/>
      <c r="O199" s="1021"/>
      <c r="P199" s="1021"/>
      <c r="Q199" s="1021"/>
      <c r="R199" s="1021"/>
      <c r="S199" s="1021"/>
      <c r="T199" s="1021"/>
      <c r="U199" s="1021"/>
      <c r="V199" s="1021"/>
      <c r="W199" s="1021"/>
      <c r="X199" s="1021"/>
      <c r="Y199" s="1021"/>
      <c r="Z199" s="1021"/>
      <c r="AA199" s="1021"/>
      <c r="AB199" s="1021"/>
      <c r="AC199" s="1021"/>
      <c r="AD199" s="1021"/>
      <c r="AE199" s="1021"/>
      <c r="AF199" s="1021"/>
      <c r="AG199" s="1021"/>
      <c r="AH199" s="1021"/>
      <c r="AI199" s="1021"/>
      <c r="AJ199" s="1021"/>
      <c r="AK199" s="1021"/>
      <c r="AL199" s="1021"/>
      <c r="AM199" s="1021"/>
      <c r="AN199" s="1021"/>
      <c r="AO199" s="1021"/>
      <c r="AP199" s="1021"/>
      <c r="AQ199" s="1021"/>
      <c r="AR199" s="1021"/>
      <c r="AS199" s="1021"/>
      <c r="AT199" s="1021"/>
      <c r="AU199" s="1021"/>
      <c r="AV199" s="1021"/>
      <c r="AW199" s="1021"/>
      <c r="AX199" s="1021"/>
      <c r="AY199" s="1021"/>
      <c r="AZ199" s="1021"/>
      <c r="BA199" s="1021"/>
      <c r="BB199" s="1021"/>
      <c r="BC199" s="1021"/>
      <c r="BD199" s="1021"/>
      <c r="BE199" s="1021"/>
      <c r="BF199" s="1021"/>
      <c r="BG199" s="1021"/>
      <c r="BH199" s="1021"/>
      <c r="BI199" s="1021"/>
      <c r="BJ199" s="1021"/>
      <c r="BK199" s="1021"/>
      <c r="BL199" s="1021"/>
      <c r="BM199" s="1021"/>
      <c r="BN199" s="1021"/>
      <c r="BO199" s="1021"/>
      <c r="BP199" s="1021"/>
      <c r="BQ199" s="1021"/>
      <c r="BR199" s="1021"/>
      <c r="BS199" s="1021"/>
      <c r="BT199" s="1021"/>
      <c r="BU199" s="1021"/>
      <c r="BV199" s="1021"/>
      <c r="BW199" s="1021"/>
      <c r="BX199" s="1021"/>
      <c r="BY199" s="1021"/>
      <c r="BZ199" s="1021"/>
      <c r="CA199" s="1021"/>
      <c r="CB199" s="1021"/>
      <c r="CC199" s="1021"/>
    </row>
    <row r="200" spans="8:81" x14ac:dyDescent="0.25">
      <c r="H200" s="1021"/>
      <c r="I200" s="1021"/>
      <c r="J200" s="1021"/>
      <c r="K200" s="1021"/>
      <c r="L200" s="1021"/>
      <c r="M200" s="1021"/>
      <c r="N200" s="1021"/>
      <c r="O200" s="1021"/>
      <c r="P200" s="1021"/>
      <c r="Q200" s="1021"/>
      <c r="R200" s="1021"/>
      <c r="S200" s="1021"/>
      <c r="T200" s="1021"/>
      <c r="U200" s="1021"/>
      <c r="V200" s="1021"/>
      <c r="W200" s="1021"/>
      <c r="X200" s="1021"/>
      <c r="Y200" s="1021"/>
      <c r="Z200" s="1021"/>
      <c r="AA200" s="1021"/>
      <c r="AB200" s="1021"/>
      <c r="AC200" s="1021"/>
      <c r="AD200" s="1021"/>
      <c r="AE200" s="1021"/>
      <c r="AF200" s="1021"/>
      <c r="AG200" s="1021"/>
      <c r="AH200" s="1021"/>
      <c r="AI200" s="1021"/>
      <c r="AJ200" s="1021"/>
      <c r="AK200" s="1021"/>
      <c r="AL200" s="1021"/>
      <c r="AM200" s="1021"/>
      <c r="AN200" s="1021"/>
      <c r="AO200" s="1021"/>
      <c r="AP200" s="1021"/>
      <c r="AQ200" s="1021"/>
      <c r="AR200" s="1021"/>
      <c r="AS200" s="1021"/>
      <c r="AT200" s="1021"/>
      <c r="AU200" s="1021"/>
      <c r="AV200" s="1021"/>
      <c r="AW200" s="1021"/>
      <c r="AX200" s="1021"/>
      <c r="AY200" s="1021"/>
      <c r="AZ200" s="1021"/>
      <c r="BA200" s="1021"/>
      <c r="BB200" s="1021"/>
      <c r="BC200" s="1021"/>
      <c r="BD200" s="1021"/>
      <c r="BE200" s="1021"/>
      <c r="BF200" s="1021"/>
      <c r="BG200" s="1021"/>
      <c r="BH200" s="1021"/>
      <c r="BI200" s="1021"/>
      <c r="BJ200" s="1021"/>
      <c r="BK200" s="1021"/>
      <c r="BL200" s="1021"/>
      <c r="BM200" s="1021"/>
      <c r="BN200" s="1021"/>
      <c r="BO200" s="1021"/>
      <c r="BP200" s="1021"/>
      <c r="BQ200" s="1021"/>
      <c r="BR200" s="1021"/>
      <c r="BS200" s="1021"/>
      <c r="BT200" s="1021"/>
      <c r="BU200" s="1021"/>
      <c r="BV200" s="1021"/>
      <c r="BW200" s="1021"/>
      <c r="BX200" s="1021"/>
      <c r="BY200" s="1021"/>
      <c r="BZ200" s="1021"/>
      <c r="CA200" s="1021"/>
      <c r="CB200" s="1021"/>
      <c r="CC200" s="1021"/>
    </row>
    <row r="201" spans="8:81" x14ac:dyDescent="0.25">
      <c r="H201" s="1021"/>
      <c r="I201" s="1021"/>
      <c r="J201" s="1021"/>
      <c r="K201" s="1021"/>
      <c r="L201" s="1021"/>
      <c r="M201" s="1021"/>
      <c r="N201" s="1021"/>
      <c r="O201" s="1021"/>
      <c r="P201" s="1021"/>
      <c r="Q201" s="1021"/>
      <c r="R201" s="1021"/>
      <c r="S201" s="1021"/>
      <c r="T201" s="1021"/>
      <c r="U201" s="1021"/>
      <c r="V201" s="1021"/>
      <c r="W201" s="1021"/>
      <c r="X201" s="1021"/>
      <c r="Y201" s="1021"/>
      <c r="Z201" s="1021"/>
      <c r="AA201" s="1021"/>
      <c r="AB201" s="1021"/>
      <c r="AC201" s="1021"/>
      <c r="AD201" s="1021"/>
      <c r="AE201" s="1021"/>
      <c r="AF201" s="1021"/>
      <c r="AG201" s="1021"/>
      <c r="AH201" s="1021"/>
      <c r="AI201" s="1021"/>
      <c r="AJ201" s="1021"/>
      <c r="AK201" s="1021"/>
      <c r="AL201" s="1021"/>
      <c r="AM201" s="1021"/>
      <c r="AN201" s="1021"/>
      <c r="AO201" s="1021"/>
      <c r="AP201" s="1021"/>
      <c r="AQ201" s="1021"/>
      <c r="AR201" s="1021"/>
      <c r="AS201" s="1021"/>
      <c r="AT201" s="1021"/>
      <c r="AU201" s="1021"/>
      <c r="AV201" s="1021"/>
      <c r="AW201" s="1021"/>
      <c r="AX201" s="1021"/>
      <c r="AY201" s="1021"/>
      <c r="AZ201" s="1021"/>
      <c r="BA201" s="1021"/>
      <c r="BB201" s="1021"/>
      <c r="BC201" s="1021"/>
      <c r="BD201" s="1021"/>
      <c r="BE201" s="1021"/>
      <c r="BF201" s="1021"/>
      <c r="BG201" s="1021"/>
      <c r="BH201" s="1021"/>
      <c r="BI201" s="1021"/>
      <c r="BJ201" s="1021"/>
      <c r="BK201" s="1021"/>
      <c r="BL201" s="1021"/>
      <c r="BM201" s="1021"/>
      <c r="BN201" s="1021"/>
      <c r="BO201" s="1021"/>
      <c r="BP201" s="1021"/>
      <c r="BQ201" s="1021"/>
      <c r="BR201" s="1021"/>
      <c r="BS201" s="1021"/>
      <c r="BT201" s="1021"/>
      <c r="BU201" s="1021"/>
      <c r="BV201" s="1021"/>
      <c r="BW201" s="1021"/>
      <c r="BX201" s="1021"/>
      <c r="BY201" s="1021"/>
      <c r="BZ201" s="1021"/>
      <c r="CA201" s="1021"/>
      <c r="CB201" s="1021"/>
      <c r="CC201" s="1021"/>
    </row>
    <row r="202" spans="8:81" x14ac:dyDescent="0.25">
      <c r="H202" s="1021"/>
      <c r="I202" s="1021"/>
      <c r="J202" s="1021"/>
      <c r="K202" s="1021"/>
      <c r="L202" s="1021"/>
      <c r="M202" s="1021"/>
      <c r="N202" s="1021"/>
      <c r="O202" s="1021"/>
      <c r="P202" s="1021"/>
      <c r="Q202" s="1021"/>
      <c r="R202" s="1021"/>
      <c r="S202" s="1021"/>
      <c r="T202" s="1021"/>
      <c r="U202" s="1021"/>
      <c r="V202" s="1021"/>
      <c r="W202" s="1021"/>
      <c r="X202" s="1021"/>
      <c r="Y202" s="1021"/>
      <c r="Z202" s="1021"/>
      <c r="AA202" s="1021"/>
      <c r="AB202" s="1021"/>
      <c r="AC202" s="1021"/>
      <c r="AD202" s="1021"/>
      <c r="AE202" s="1021"/>
      <c r="AF202" s="1021"/>
      <c r="AG202" s="1021"/>
      <c r="AH202" s="1021"/>
      <c r="AI202" s="1021"/>
      <c r="AJ202" s="1021"/>
      <c r="AK202" s="1021"/>
      <c r="AL202" s="1021"/>
      <c r="AM202" s="1021"/>
      <c r="AN202" s="1021"/>
      <c r="AO202" s="1021"/>
      <c r="AP202" s="1021"/>
      <c r="AQ202" s="1021"/>
      <c r="AR202" s="1021"/>
      <c r="AS202" s="1021"/>
      <c r="AT202" s="1021"/>
      <c r="AU202" s="1021"/>
      <c r="AV202" s="1021"/>
      <c r="AW202" s="1021"/>
      <c r="AX202" s="1021"/>
      <c r="AY202" s="1021"/>
      <c r="AZ202" s="1021"/>
      <c r="BA202" s="1021"/>
      <c r="BB202" s="1021"/>
      <c r="BC202" s="1021"/>
      <c r="BD202" s="1021"/>
      <c r="BE202" s="1021"/>
      <c r="BF202" s="1021"/>
      <c r="BG202" s="1021"/>
      <c r="BH202" s="1021"/>
      <c r="BI202" s="1021"/>
      <c r="BJ202" s="1021"/>
      <c r="BK202" s="1021"/>
      <c r="BL202" s="1021"/>
      <c r="BM202" s="1021"/>
      <c r="BN202" s="1021"/>
      <c r="BO202" s="1021"/>
      <c r="BP202" s="1021"/>
      <c r="BQ202" s="1021"/>
      <c r="BR202" s="1021"/>
      <c r="BS202" s="1021"/>
      <c r="BT202" s="1021"/>
      <c r="BU202" s="1021"/>
      <c r="BV202" s="1021"/>
      <c r="BW202" s="1021"/>
      <c r="BX202" s="1021"/>
      <c r="BY202" s="1021"/>
      <c r="BZ202" s="1021"/>
      <c r="CA202" s="1021"/>
      <c r="CB202" s="1021"/>
      <c r="CC202" s="1021"/>
    </row>
    <row r="203" spans="8:81" x14ac:dyDescent="0.25">
      <c r="H203" s="1021"/>
      <c r="I203" s="1021"/>
      <c r="J203" s="1021"/>
      <c r="K203" s="1021"/>
      <c r="L203" s="1021"/>
      <c r="M203" s="1021"/>
      <c r="N203" s="1021"/>
      <c r="O203" s="1021"/>
      <c r="P203" s="1021"/>
      <c r="Q203" s="1021"/>
      <c r="R203" s="1021"/>
      <c r="S203" s="1021"/>
      <c r="T203" s="1021"/>
      <c r="U203" s="1021"/>
      <c r="V203" s="1021"/>
      <c r="W203" s="1021"/>
      <c r="X203" s="1021"/>
      <c r="Y203" s="1021"/>
      <c r="Z203" s="1021"/>
      <c r="AA203" s="1021"/>
      <c r="AB203" s="1021"/>
      <c r="AC203" s="1021"/>
      <c r="AD203" s="1021"/>
      <c r="AE203" s="1021"/>
      <c r="AF203" s="1021"/>
      <c r="AG203" s="1021"/>
      <c r="AH203" s="1021"/>
      <c r="AI203" s="1021"/>
      <c r="AJ203" s="1021"/>
      <c r="AK203" s="1021"/>
      <c r="AL203" s="1021"/>
      <c r="AM203" s="1021"/>
      <c r="AN203" s="1021"/>
      <c r="AO203" s="1021"/>
      <c r="AP203" s="1021"/>
      <c r="AQ203" s="1021"/>
      <c r="AR203" s="1021"/>
      <c r="AS203" s="1021"/>
      <c r="AT203" s="1021"/>
      <c r="AU203" s="1021"/>
      <c r="AV203" s="1021"/>
      <c r="AW203" s="1021"/>
      <c r="AX203" s="1021"/>
      <c r="AY203" s="1021"/>
      <c r="AZ203" s="1021"/>
      <c r="BA203" s="1021"/>
      <c r="BB203" s="1021"/>
      <c r="BC203" s="1021"/>
      <c r="BD203" s="1021"/>
      <c r="BE203" s="1021"/>
      <c r="BF203" s="1021"/>
      <c r="BG203" s="1021"/>
      <c r="BH203" s="1021"/>
      <c r="BI203" s="1021"/>
      <c r="BJ203" s="1021"/>
      <c r="BK203" s="1021"/>
      <c r="BL203" s="1021"/>
      <c r="BM203" s="1021"/>
      <c r="BN203" s="1021"/>
      <c r="BO203" s="1021"/>
      <c r="BP203" s="1021"/>
      <c r="BQ203" s="1021"/>
      <c r="BR203" s="1021"/>
      <c r="BS203" s="1021"/>
      <c r="BT203" s="1021"/>
      <c r="BU203" s="1021"/>
      <c r="BV203" s="1021"/>
      <c r="BW203" s="1021"/>
      <c r="BX203" s="1021"/>
      <c r="BY203" s="1021"/>
      <c r="BZ203" s="1021"/>
      <c r="CA203" s="1021"/>
      <c r="CB203" s="1021"/>
      <c r="CC203" s="1021"/>
    </row>
    <row r="204" spans="8:81" x14ac:dyDescent="0.25">
      <c r="H204" s="1021"/>
      <c r="I204" s="1021"/>
      <c r="J204" s="1021"/>
      <c r="K204" s="1021"/>
      <c r="L204" s="1021"/>
      <c r="M204" s="1021"/>
      <c r="N204" s="1021"/>
      <c r="O204" s="1021"/>
      <c r="P204" s="1021"/>
      <c r="Q204" s="1021"/>
      <c r="R204" s="1021"/>
      <c r="S204" s="1021"/>
      <c r="T204" s="1021"/>
      <c r="U204" s="1021"/>
      <c r="V204" s="1021"/>
      <c r="W204" s="1021"/>
      <c r="X204" s="1021"/>
      <c r="Y204" s="1021"/>
      <c r="Z204" s="1021"/>
      <c r="AA204" s="1021"/>
      <c r="AB204" s="1021"/>
      <c r="AC204" s="1021"/>
      <c r="AD204" s="1021"/>
      <c r="AE204" s="1021"/>
      <c r="AF204" s="1021"/>
      <c r="AG204" s="1021"/>
      <c r="AH204" s="1021"/>
      <c r="AI204" s="1021"/>
      <c r="AJ204" s="1021"/>
      <c r="AK204" s="1021"/>
      <c r="AL204" s="1021"/>
      <c r="AM204" s="1021"/>
      <c r="AN204" s="1021"/>
      <c r="AO204" s="1021"/>
      <c r="AP204" s="1021"/>
      <c r="AQ204" s="1021"/>
      <c r="AR204" s="1021"/>
      <c r="AS204" s="1021"/>
      <c r="AT204" s="1021"/>
      <c r="AU204" s="1021"/>
      <c r="AV204" s="1021"/>
      <c r="AW204" s="1021"/>
      <c r="AX204" s="1021"/>
      <c r="AY204" s="1021"/>
      <c r="AZ204" s="1021"/>
      <c r="BA204" s="1021"/>
      <c r="BB204" s="1021"/>
      <c r="BC204" s="1021"/>
      <c r="BD204" s="1021"/>
      <c r="BE204" s="1021"/>
      <c r="BF204" s="1021"/>
      <c r="BG204" s="1021"/>
      <c r="BH204" s="1021"/>
      <c r="BI204" s="1021"/>
      <c r="BJ204" s="1021"/>
      <c r="BK204" s="1021"/>
      <c r="BL204" s="1021"/>
      <c r="BM204" s="1021"/>
      <c r="BN204" s="1021"/>
      <c r="BO204" s="1021"/>
      <c r="BP204" s="1021"/>
      <c r="BQ204" s="1021"/>
      <c r="BR204" s="1021"/>
      <c r="BS204" s="1021"/>
      <c r="BT204" s="1021"/>
      <c r="BU204" s="1021"/>
      <c r="BV204" s="1021"/>
      <c r="BW204" s="1021"/>
      <c r="BX204" s="1021"/>
      <c r="BY204" s="1021"/>
      <c r="BZ204" s="1021"/>
      <c r="CA204" s="1021"/>
      <c r="CB204" s="1021"/>
      <c r="CC204" s="1021"/>
    </row>
    <row r="205" spans="8:81" x14ac:dyDescent="0.25">
      <c r="H205" s="1021"/>
      <c r="I205" s="1021"/>
      <c r="J205" s="1021"/>
      <c r="K205" s="1021"/>
      <c r="L205" s="1021"/>
      <c r="M205" s="1021"/>
      <c r="N205" s="1021"/>
      <c r="O205" s="1021"/>
      <c r="P205" s="1021"/>
      <c r="Q205" s="1021"/>
      <c r="R205" s="1021"/>
      <c r="S205" s="1021"/>
      <c r="T205" s="1021"/>
      <c r="U205" s="1021"/>
      <c r="V205" s="1021"/>
      <c r="W205" s="1021"/>
      <c r="X205" s="1021"/>
      <c r="Y205" s="1021"/>
      <c r="Z205" s="1021"/>
      <c r="AA205" s="1021"/>
      <c r="AB205" s="1021"/>
      <c r="AC205" s="1021"/>
      <c r="AD205" s="1021"/>
      <c r="AE205" s="1021"/>
      <c r="AF205" s="1021"/>
      <c r="AG205" s="1021"/>
      <c r="AH205" s="1021"/>
      <c r="AI205" s="1021"/>
      <c r="AJ205" s="1021"/>
      <c r="AK205" s="1021"/>
      <c r="AL205" s="1021"/>
      <c r="AM205" s="1021"/>
      <c r="AN205" s="1021"/>
      <c r="AO205" s="1021"/>
      <c r="AP205" s="1021"/>
      <c r="AQ205" s="1021"/>
      <c r="AR205" s="1021"/>
      <c r="AS205" s="1021"/>
      <c r="AT205" s="1021"/>
      <c r="AU205" s="1021"/>
      <c r="AV205" s="1021"/>
      <c r="AW205" s="1021"/>
      <c r="AX205" s="1021"/>
      <c r="AY205" s="1021"/>
      <c r="AZ205" s="1021"/>
      <c r="BA205" s="1021"/>
      <c r="BB205" s="1021"/>
      <c r="BC205" s="1021"/>
      <c r="BD205" s="1021"/>
      <c r="BE205" s="1021"/>
      <c r="BF205" s="1021"/>
      <c r="BG205" s="1021"/>
      <c r="BH205" s="1021"/>
      <c r="BI205" s="1021"/>
      <c r="BJ205" s="1021"/>
      <c r="BK205" s="1021"/>
      <c r="BL205" s="1021"/>
      <c r="BM205" s="1021"/>
      <c r="BN205" s="1021"/>
      <c r="BO205" s="1021"/>
      <c r="BP205" s="1021"/>
      <c r="BQ205" s="1021"/>
      <c r="BR205" s="1021"/>
      <c r="BS205" s="1021"/>
      <c r="BT205" s="1021"/>
      <c r="BU205" s="1021"/>
      <c r="BV205" s="1021"/>
      <c r="BW205" s="1021"/>
      <c r="BX205" s="1021"/>
      <c r="BY205" s="1021"/>
      <c r="BZ205" s="1021"/>
      <c r="CA205" s="1021"/>
      <c r="CB205" s="1021"/>
      <c r="CC205" s="1021"/>
    </row>
    <row r="206" spans="8:81" x14ac:dyDescent="0.25">
      <c r="H206" s="1021"/>
      <c r="I206" s="1021"/>
      <c r="J206" s="1021"/>
      <c r="K206" s="1021"/>
      <c r="L206" s="1021"/>
      <c r="M206" s="1021"/>
      <c r="N206" s="1021"/>
      <c r="O206" s="1021"/>
      <c r="P206" s="1021"/>
      <c r="Q206" s="1021"/>
      <c r="R206" s="1021"/>
      <c r="S206" s="1021"/>
      <c r="T206" s="1021"/>
      <c r="U206" s="1021"/>
      <c r="V206" s="1021"/>
      <c r="W206" s="1021"/>
      <c r="X206" s="1021"/>
      <c r="Y206" s="1021"/>
      <c r="Z206" s="1021"/>
      <c r="AA206" s="1021"/>
      <c r="AB206" s="1021"/>
      <c r="AC206" s="1021"/>
      <c r="AD206" s="1021"/>
      <c r="AE206" s="1021"/>
      <c r="AF206" s="1021"/>
      <c r="AG206" s="1021"/>
      <c r="AH206" s="1021"/>
      <c r="AI206" s="1021"/>
      <c r="AJ206" s="1021"/>
      <c r="AK206" s="1021"/>
      <c r="AL206" s="1021"/>
      <c r="AM206" s="1021"/>
      <c r="AN206" s="1021"/>
      <c r="AO206" s="1021"/>
      <c r="AP206" s="1021"/>
      <c r="AQ206" s="1021"/>
      <c r="AR206" s="1021"/>
      <c r="AS206" s="1021"/>
      <c r="AT206" s="1021"/>
      <c r="AU206" s="1021"/>
      <c r="AV206" s="1021"/>
      <c r="AW206" s="1021"/>
      <c r="AX206" s="1021"/>
      <c r="AY206" s="1021"/>
      <c r="AZ206" s="1021"/>
      <c r="BA206" s="1021"/>
      <c r="BB206" s="1021"/>
      <c r="BC206" s="1021"/>
      <c r="BD206" s="1021"/>
      <c r="BE206" s="1021"/>
      <c r="BF206" s="1021"/>
      <c r="BG206" s="1021"/>
      <c r="BH206" s="1021"/>
      <c r="BI206" s="1021"/>
      <c r="BJ206" s="1021"/>
      <c r="BK206" s="1021"/>
      <c r="BL206" s="1021"/>
      <c r="BM206" s="1021"/>
      <c r="BN206" s="1021"/>
      <c r="BO206" s="1021"/>
      <c r="BP206" s="1021"/>
      <c r="BQ206" s="1021"/>
      <c r="BR206" s="1021"/>
      <c r="BS206" s="1021"/>
      <c r="BT206" s="1021"/>
      <c r="BU206" s="1021"/>
      <c r="BV206" s="1021"/>
      <c r="BW206" s="1021"/>
      <c r="BX206" s="1021"/>
      <c r="BY206" s="1021"/>
      <c r="BZ206" s="1021"/>
      <c r="CA206" s="1021"/>
      <c r="CB206" s="1021"/>
      <c r="CC206" s="1021"/>
    </row>
    <row r="207" spans="8:81" x14ac:dyDescent="0.25">
      <c r="H207" s="1021"/>
      <c r="I207" s="1021"/>
      <c r="J207" s="1021"/>
      <c r="K207" s="1021"/>
      <c r="L207" s="1021"/>
      <c r="M207" s="1021"/>
      <c r="N207" s="1021"/>
      <c r="O207" s="1021"/>
      <c r="P207" s="1021"/>
      <c r="Q207" s="1021"/>
      <c r="R207" s="1021"/>
      <c r="S207" s="1021"/>
      <c r="T207" s="1021"/>
      <c r="U207" s="1021"/>
      <c r="V207" s="1021"/>
      <c r="W207" s="1021"/>
      <c r="X207" s="1021"/>
      <c r="Y207" s="1021"/>
      <c r="Z207" s="1021"/>
      <c r="AA207" s="1021"/>
      <c r="AB207" s="1021"/>
      <c r="AC207" s="1021"/>
      <c r="AD207" s="1021"/>
      <c r="AE207" s="1021"/>
      <c r="AF207" s="1021"/>
      <c r="AG207" s="1021"/>
      <c r="AH207" s="1021"/>
      <c r="AI207" s="1021"/>
      <c r="AJ207" s="1021"/>
      <c r="AK207" s="1021"/>
      <c r="AL207" s="1021"/>
      <c r="AM207" s="1021"/>
      <c r="AN207" s="1021"/>
      <c r="AO207" s="1021"/>
      <c r="AP207" s="1021"/>
      <c r="AQ207" s="1021"/>
      <c r="AR207" s="1021"/>
      <c r="AS207" s="1021"/>
      <c r="AT207" s="1021"/>
      <c r="AU207" s="1021"/>
      <c r="AV207" s="1021"/>
      <c r="AW207" s="1021"/>
      <c r="AX207" s="1021"/>
      <c r="AY207" s="1021"/>
      <c r="AZ207" s="1021"/>
      <c r="BA207" s="1021"/>
      <c r="BB207" s="1021"/>
      <c r="BC207" s="1021"/>
      <c r="BD207" s="1021"/>
      <c r="BE207" s="1021"/>
      <c r="BF207" s="1021"/>
      <c r="BG207" s="1021"/>
      <c r="BH207" s="1021"/>
      <c r="BI207" s="1021"/>
      <c r="BJ207" s="1021"/>
      <c r="BK207" s="1021"/>
      <c r="BL207" s="1021"/>
      <c r="BM207" s="1021"/>
      <c r="BN207" s="1021"/>
      <c r="BO207" s="1021"/>
      <c r="BP207" s="1021"/>
      <c r="BQ207" s="1021"/>
      <c r="BR207" s="1021"/>
      <c r="BS207" s="1021"/>
      <c r="BT207" s="1021"/>
      <c r="BU207" s="1021"/>
      <c r="BV207" s="1021"/>
      <c r="BW207" s="1021"/>
      <c r="BX207" s="1021"/>
      <c r="BY207" s="1021"/>
      <c r="BZ207" s="1021"/>
      <c r="CA207" s="1021"/>
      <c r="CB207" s="1021"/>
      <c r="CC207" s="1021"/>
    </row>
    <row r="208" spans="8:81" x14ac:dyDescent="0.25">
      <c r="H208" s="1021"/>
      <c r="I208" s="1021"/>
      <c r="J208" s="1021"/>
      <c r="K208" s="1021"/>
      <c r="L208" s="1021"/>
      <c r="M208" s="1021"/>
      <c r="N208" s="1021"/>
      <c r="O208" s="1021"/>
      <c r="P208" s="1021"/>
      <c r="Q208" s="1021"/>
      <c r="R208" s="1021"/>
      <c r="S208" s="1021"/>
      <c r="T208" s="1021"/>
      <c r="U208" s="1021"/>
      <c r="V208" s="1021"/>
      <c r="W208" s="1021"/>
      <c r="X208" s="1021"/>
      <c r="Y208" s="1021"/>
      <c r="Z208" s="1021"/>
      <c r="AA208" s="1021"/>
      <c r="AB208" s="1021"/>
      <c r="AC208" s="1021"/>
      <c r="AD208" s="1021"/>
      <c r="AE208" s="1021"/>
      <c r="AF208" s="1021"/>
      <c r="AG208" s="1021"/>
      <c r="AH208" s="1021"/>
      <c r="AI208" s="1021"/>
      <c r="AJ208" s="1021"/>
      <c r="AK208" s="1021"/>
      <c r="AL208" s="1021"/>
      <c r="AM208" s="1021"/>
      <c r="AN208" s="1021"/>
      <c r="AO208" s="1021"/>
      <c r="AP208" s="1021"/>
      <c r="AQ208" s="1021"/>
      <c r="AR208" s="1021"/>
      <c r="AS208" s="1021"/>
      <c r="AT208" s="1021"/>
      <c r="AU208" s="1021"/>
      <c r="AV208" s="1021"/>
      <c r="AW208" s="1021"/>
      <c r="AX208" s="1021"/>
      <c r="AY208" s="1021"/>
      <c r="AZ208" s="1021"/>
      <c r="BA208" s="1021"/>
      <c r="BB208" s="1021"/>
      <c r="BC208" s="1021"/>
      <c r="BD208" s="1021"/>
      <c r="BE208" s="1021"/>
      <c r="BF208" s="1021"/>
      <c r="BG208" s="1021"/>
      <c r="BH208" s="1021"/>
      <c r="BI208" s="1021"/>
      <c r="BJ208" s="1021"/>
      <c r="BK208" s="1021"/>
      <c r="BL208" s="1021"/>
      <c r="BM208" s="1021"/>
      <c r="BN208" s="1021"/>
      <c r="BO208" s="1021"/>
      <c r="BP208" s="1021"/>
      <c r="BQ208" s="1021"/>
      <c r="BR208" s="1021"/>
      <c r="BS208" s="1021"/>
      <c r="BT208" s="1021"/>
      <c r="BU208" s="1021"/>
      <c r="BV208" s="1021"/>
      <c r="BW208" s="1021"/>
      <c r="BX208" s="1021"/>
      <c r="BY208" s="1021"/>
      <c r="BZ208" s="1021"/>
      <c r="CA208" s="1021"/>
      <c r="CB208" s="1021"/>
      <c r="CC208" s="1021"/>
    </row>
    <row r="209" spans="8:81" x14ac:dyDescent="0.25">
      <c r="H209" s="1021"/>
      <c r="I209" s="1021"/>
      <c r="J209" s="1021"/>
      <c r="K209" s="1021"/>
      <c r="L209" s="1021"/>
      <c r="M209" s="1021"/>
      <c r="N209" s="1021"/>
      <c r="O209" s="1021"/>
      <c r="P209" s="1021"/>
      <c r="Q209" s="1021"/>
      <c r="R209" s="1021"/>
      <c r="S209" s="1021"/>
      <c r="T209" s="1021"/>
      <c r="U209" s="1021"/>
      <c r="V209" s="1021"/>
      <c r="W209" s="1021"/>
      <c r="X209" s="1021"/>
      <c r="Y209" s="1021"/>
      <c r="Z209" s="1021"/>
      <c r="AA209" s="1021"/>
      <c r="AB209" s="1021"/>
      <c r="AC209" s="1021"/>
      <c r="AD209" s="1021"/>
      <c r="AE209" s="1021"/>
      <c r="AF209" s="1021"/>
      <c r="AG209" s="1021"/>
      <c r="AH209" s="1021"/>
      <c r="AI209" s="1021"/>
      <c r="AJ209" s="1021"/>
      <c r="AK209" s="1021"/>
      <c r="AL209" s="1021"/>
      <c r="AM209" s="1021"/>
      <c r="AN209" s="1021"/>
      <c r="AO209" s="1021"/>
      <c r="AP209" s="1021"/>
      <c r="AQ209" s="1021"/>
      <c r="AR209" s="1021"/>
      <c r="AS209" s="1021"/>
      <c r="AT209" s="1021"/>
      <c r="AU209" s="1021"/>
      <c r="AV209" s="1021"/>
      <c r="AW209" s="1021"/>
      <c r="AX209" s="1021"/>
      <c r="AY209" s="1021"/>
      <c r="AZ209" s="1021"/>
      <c r="BA209" s="1021"/>
      <c r="BB209" s="1021"/>
      <c r="BC209" s="1021"/>
      <c r="BD209" s="1021"/>
      <c r="BE209" s="1021"/>
      <c r="BF209" s="1021"/>
      <c r="BG209" s="1021"/>
      <c r="BH209" s="1021"/>
      <c r="BI209" s="1021"/>
      <c r="BJ209" s="1021"/>
      <c r="BK209" s="1021"/>
      <c r="BL209" s="1021"/>
      <c r="BM209" s="1021"/>
      <c r="BN209" s="1021"/>
      <c r="BO209" s="1021"/>
      <c r="BP209" s="1021"/>
      <c r="BQ209" s="1021"/>
      <c r="BR209" s="1021"/>
      <c r="BS209" s="1021"/>
      <c r="BT209" s="1021"/>
      <c r="BU209" s="1021"/>
      <c r="BV209" s="1021"/>
      <c r="BW209" s="1021"/>
      <c r="BX209" s="1021"/>
      <c r="BY209" s="1021"/>
      <c r="BZ209" s="1021"/>
      <c r="CA209" s="1021"/>
      <c r="CB209" s="1021"/>
      <c r="CC209" s="1021"/>
    </row>
    <row r="210" spans="8:81" x14ac:dyDescent="0.25">
      <c r="H210" s="1021"/>
      <c r="I210" s="1021"/>
      <c r="J210" s="1021"/>
      <c r="K210" s="1021"/>
      <c r="L210" s="1021"/>
      <c r="M210" s="1021"/>
      <c r="N210" s="1021"/>
      <c r="O210" s="1021"/>
      <c r="P210" s="1021"/>
      <c r="Q210" s="1021"/>
      <c r="R210" s="1021"/>
      <c r="S210" s="1021"/>
      <c r="T210" s="1021"/>
      <c r="U210" s="1021"/>
      <c r="V210" s="1021"/>
      <c r="W210" s="1021"/>
      <c r="X210" s="1021"/>
      <c r="Y210" s="1021"/>
      <c r="Z210" s="1021"/>
      <c r="AA210" s="1021"/>
      <c r="AB210" s="1021"/>
      <c r="AC210" s="1021"/>
      <c r="AD210" s="1021"/>
      <c r="AE210" s="1021"/>
      <c r="AF210" s="1021"/>
      <c r="AG210" s="1021"/>
      <c r="AH210" s="1021"/>
      <c r="AI210" s="1021"/>
      <c r="AJ210" s="1021"/>
      <c r="AK210" s="1021"/>
      <c r="AL210" s="1021"/>
      <c r="AM210" s="1021"/>
      <c r="AN210" s="1021"/>
      <c r="AO210" s="1021"/>
      <c r="AP210" s="1021"/>
      <c r="AQ210" s="1021"/>
      <c r="AR210" s="1021"/>
      <c r="AS210" s="1021"/>
      <c r="AT210" s="1021"/>
      <c r="AU210" s="1021"/>
      <c r="AV210" s="1021"/>
      <c r="AW210" s="1021"/>
      <c r="AX210" s="1021"/>
      <c r="AY210" s="1021"/>
      <c r="AZ210" s="1021"/>
      <c r="BA210" s="1021"/>
      <c r="BB210" s="1021"/>
      <c r="BC210" s="1021"/>
      <c r="BD210" s="1021"/>
      <c r="BE210" s="1021"/>
      <c r="BF210" s="1021"/>
      <c r="BG210" s="1021"/>
      <c r="BH210" s="1021"/>
      <c r="BI210" s="1021"/>
      <c r="BJ210" s="1021"/>
      <c r="BK210" s="1021"/>
      <c r="BL210" s="1021"/>
      <c r="BM210" s="1021"/>
      <c r="BN210" s="1021"/>
      <c r="BO210" s="1021"/>
      <c r="BP210" s="1021"/>
      <c r="BQ210" s="1021"/>
      <c r="BR210" s="1021"/>
      <c r="BS210" s="1021"/>
      <c r="BT210" s="1021"/>
      <c r="BU210" s="1021"/>
      <c r="BV210" s="1021"/>
      <c r="BW210" s="1021"/>
      <c r="BX210" s="1021"/>
      <c r="BY210" s="1021"/>
      <c r="BZ210" s="1021"/>
      <c r="CA210" s="1021"/>
      <c r="CB210" s="1021"/>
      <c r="CC210" s="1021"/>
    </row>
    <row r="211" spans="8:81" x14ac:dyDescent="0.25">
      <c r="H211" s="1021"/>
      <c r="I211" s="1021"/>
      <c r="J211" s="1021"/>
      <c r="K211" s="1021"/>
      <c r="L211" s="1021"/>
      <c r="M211" s="1021"/>
      <c r="N211" s="1021"/>
      <c r="O211" s="1021"/>
      <c r="P211" s="1021"/>
      <c r="Q211" s="1021"/>
      <c r="R211" s="1021"/>
      <c r="S211" s="1021"/>
      <c r="T211" s="1021"/>
      <c r="U211" s="1021"/>
      <c r="V211" s="1021"/>
      <c r="W211" s="1021"/>
      <c r="X211" s="1021"/>
      <c r="Y211" s="1021"/>
      <c r="Z211" s="1021"/>
      <c r="AA211" s="1021"/>
      <c r="AB211" s="1021"/>
      <c r="AC211" s="1021"/>
      <c r="AD211" s="1021"/>
      <c r="AE211" s="1021"/>
      <c r="AF211" s="1021"/>
      <c r="AG211" s="1021"/>
      <c r="AH211" s="1021"/>
      <c r="AI211" s="1021"/>
      <c r="AJ211" s="1021"/>
      <c r="AK211" s="1021"/>
      <c r="AL211" s="1021"/>
      <c r="AM211" s="1021"/>
      <c r="AN211" s="1021"/>
      <c r="AO211" s="1021"/>
      <c r="AP211" s="1021"/>
      <c r="AQ211" s="1021"/>
      <c r="AR211" s="1021"/>
      <c r="AS211" s="1021"/>
      <c r="AT211" s="1021"/>
      <c r="AU211" s="1021"/>
      <c r="AV211" s="1021"/>
      <c r="AW211" s="1021"/>
      <c r="AX211" s="1021"/>
      <c r="AY211" s="1021"/>
      <c r="AZ211" s="1021"/>
      <c r="BA211" s="1021"/>
      <c r="BB211" s="1021"/>
      <c r="BC211" s="1021"/>
      <c r="BD211" s="1021"/>
      <c r="BE211" s="1021"/>
      <c r="BF211" s="1021"/>
      <c r="BG211" s="1021"/>
      <c r="BH211" s="1021"/>
      <c r="BI211" s="1021"/>
      <c r="BJ211" s="1021"/>
      <c r="BK211" s="1021"/>
      <c r="BL211" s="1021"/>
      <c r="BM211" s="1021"/>
      <c r="BN211" s="1021"/>
      <c r="BO211" s="1021"/>
      <c r="BP211" s="1021"/>
      <c r="BQ211" s="1021"/>
      <c r="BR211" s="1021"/>
      <c r="BS211" s="1021"/>
      <c r="BT211" s="1021"/>
      <c r="BU211" s="1021"/>
      <c r="BV211" s="1021"/>
      <c r="BW211" s="1021"/>
      <c r="BX211" s="1021"/>
      <c r="BY211" s="1021"/>
      <c r="BZ211" s="1021"/>
      <c r="CA211" s="1021"/>
      <c r="CB211" s="1021"/>
      <c r="CC211" s="1021"/>
    </row>
    <row r="212" spans="8:81" x14ac:dyDescent="0.25">
      <c r="H212" s="1021"/>
      <c r="I212" s="1021"/>
      <c r="J212" s="1021"/>
      <c r="K212" s="1021"/>
      <c r="L212" s="1021"/>
      <c r="M212" s="1021"/>
      <c r="N212" s="1021"/>
      <c r="O212" s="1021"/>
      <c r="P212" s="1021"/>
      <c r="Q212" s="1021"/>
      <c r="R212" s="1021"/>
      <c r="S212" s="1021"/>
      <c r="T212" s="1021"/>
      <c r="U212" s="1021"/>
      <c r="V212" s="1021"/>
      <c r="W212" s="1021"/>
      <c r="X212" s="1021"/>
      <c r="Y212" s="1021"/>
      <c r="Z212" s="1021"/>
      <c r="AA212" s="1021"/>
      <c r="AB212" s="1021"/>
      <c r="AC212" s="1021"/>
      <c r="AD212" s="1021"/>
      <c r="AE212" s="1021"/>
      <c r="AF212" s="1021"/>
      <c r="AG212" s="1021"/>
      <c r="AH212" s="1021"/>
      <c r="AI212" s="1021"/>
      <c r="AJ212" s="1021"/>
      <c r="AK212" s="1021"/>
      <c r="AL212" s="1021"/>
      <c r="AM212" s="1021"/>
      <c r="AN212" s="1021"/>
      <c r="AO212" s="1021"/>
      <c r="AP212" s="1021"/>
      <c r="AQ212" s="1021"/>
      <c r="AR212" s="1021"/>
      <c r="AS212" s="1021"/>
      <c r="AT212" s="1021"/>
      <c r="AU212" s="1021"/>
      <c r="AV212" s="1021"/>
      <c r="AW212" s="1021"/>
      <c r="AX212" s="1021"/>
      <c r="AY212" s="1021"/>
      <c r="AZ212" s="1021"/>
      <c r="BA212" s="1021"/>
      <c r="BB212" s="1021"/>
      <c r="BC212" s="1021"/>
      <c r="BD212" s="1021"/>
      <c r="BE212" s="1021"/>
      <c r="BF212" s="1021"/>
      <c r="BG212" s="1021"/>
      <c r="BH212" s="1021"/>
      <c r="BI212" s="1021"/>
      <c r="BJ212" s="1021"/>
      <c r="BK212" s="1021"/>
      <c r="BL212" s="1021"/>
      <c r="BM212" s="1021"/>
      <c r="BN212" s="1021"/>
      <c r="BO212" s="1021"/>
      <c r="BP212" s="1021"/>
      <c r="BQ212" s="1021"/>
      <c r="BR212" s="1021"/>
      <c r="BS212" s="1021"/>
      <c r="BT212" s="1021"/>
      <c r="BU212" s="1021"/>
      <c r="BV212" s="1021"/>
      <c r="BW212" s="1021"/>
      <c r="BX212" s="1021"/>
      <c r="BY212" s="1021"/>
      <c r="BZ212" s="1021"/>
      <c r="CA212" s="1021"/>
      <c r="CB212" s="1021"/>
      <c r="CC212" s="1021"/>
    </row>
    <row r="213" spans="8:81" x14ac:dyDescent="0.25">
      <c r="H213" s="1021"/>
      <c r="I213" s="1021"/>
      <c r="J213" s="1021"/>
      <c r="K213" s="1021"/>
      <c r="L213" s="1021"/>
      <c r="M213" s="1021"/>
      <c r="N213" s="1021"/>
      <c r="O213" s="1021"/>
      <c r="P213" s="1021"/>
      <c r="Q213" s="1021"/>
      <c r="R213" s="1021"/>
      <c r="S213" s="1021"/>
      <c r="T213" s="1021"/>
      <c r="U213" s="1021"/>
      <c r="V213" s="1021"/>
      <c r="W213" s="1021"/>
      <c r="X213" s="1021"/>
      <c r="Y213" s="1021"/>
      <c r="Z213" s="1021"/>
      <c r="AA213" s="1021"/>
      <c r="AB213" s="1021"/>
      <c r="AC213" s="1021"/>
      <c r="AD213" s="1021"/>
      <c r="AE213" s="1021"/>
      <c r="AF213" s="1021"/>
      <c r="AG213" s="1021"/>
      <c r="AH213" s="1021"/>
      <c r="AI213" s="1021"/>
      <c r="AJ213" s="1021"/>
      <c r="AK213" s="1021"/>
      <c r="AL213" s="1021"/>
      <c r="AM213" s="1021"/>
      <c r="AN213" s="1021"/>
      <c r="AO213" s="1021"/>
      <c r="AP213" s="1021"/>
      <c r="AQ213" s="1021"/>
      <c r="AR213" s="1021"/>
      <c r="AS213" s="1021"/>
      <c r="AT213" s="1021"/>
      <c r="AU213" s="1021"/>
      <c r="AV213" s="1021"/>
      <c r="AW213" s="1021"/>
      <c r="AX213" s="1021"/>
      <c r="AY213" s="1021"/>
      <c r="AZ213" s="1021"/>
      <c r="BA213" s="1021"/>
      <c r="BB213" s="1021"/>
      <c r="BC213" s="1021"/>
      <c r="BD213" s="1021"/>
      <c r="BE213" s="1021"/>
      <c r="BF213" s="1021"/>
      <c r="BG213" s="1021"/>
      <c r="BH213" s="1021"/>
      <c r="BI213" s="1021"/>
      <c r="BJ213" s="1021"/>
      <c r="BK213" s="1021"/>
      <c r="BL213" s="1021"/>
      <c r="BM213" s="1021"/>
      <c r="BN213" s="1021"/>
      <c r="BO213" s="1021"/>
      <c r="BP213" s="1021"/>
      <c r="BQ213" s="1021"/>
      <c r="BR213" s="1021"/>
      <c r="BS213" s="1021"/>
      <c r="BT213" s="1021"/>
      <c r="BU213" s="1021"/>
      <c r="BV213" s="1021"/>
      <c r="BW213" s="1021"/>
      <c r="BX213" s="1021"/>
      <c r="BY213" s="1021"/>
      <c r="BZ213" s="1021"/>
      <c r="CA213" s="1021"/>
      <c r="CB213" s="1021"/>
      <c r="CC213" s="1021"/>
    </row>
    <row r="214" spans="8:81" x14ac:dyDescent="0.25">
      <c r="H214" s="1021"/>
      <c r="I214" s="1021"/>
      <c r="J214" s="1021"/>
      <c r="K214" s="1021"/>
      <c r="L214" s="1021"/>
      <c r="M214" s="1021"/>
      <c r="N214" s="1021"/>
      <c r="O214" s="1021"/>
      <c r="P214" s="1021"/>
      <c r="Q214" s="1021"/>
      <c r="R214" s="1021"/>
      <c r="S214" s="1021"/>
      <c r="T214" s="1021"/>
      <c r="U214" s="1021"/>
      <c r="V214" s="1021"/>
      <c r="W214" s="1021"/>
      <c r="X214" s="1021"/>
      <c r="Y214" s="1021"/>
      <c r="Z214" s="1021"/>
      <c r="AA214" s="1021"/>
      <c r="AB214" s="1021"/>
      <c r="AC214" s="1021"/>
      <c r="AD214" s="1021"/>
      <c r="AE214" s="1021"/>
      <c r="AF214" s="1021"/>
      <c r="AG214" s="1021"/>
      <c r="AH214" s="1021"/>
      <c r="AI214" s="1021"/>
      <c r="AJ214" s="1021"/>
      <c r="AK214" s="1021"/>
      <c r="AL214" s="1021"/>
      <c r="AM214" s="1021"/>
      <c r="AN214" s="1021"/>
      <c r="AO214" s="1021"/>
      <c r="AP214" s="1021"/>
      <c r="AQ214" s="1021"/>
      <c r="AR214" s="1021"/>
      <c r="AS214" s="1021"/>
      <c r="AT214" s="1021"/>
      <c r="AU214" s="1021"/>
      <c r="AV214" s="1021"/>
      <c r="AW214" s="1021"/>
      <c r="AX214" s="1021"/>
      <c r="AY214" s="1021"/>
      <c r="AZ214" s="1021"/>
      <c r="BA214" s="1021"/>
      <c r="BB214" s="1021"/>
      <c r="BC214" s="1021"/>
      <c r="BD214" s="1021"/>
      <c r="BE214" s="1021"/>
      <c r="BF214" s="1021"/>
      <c r="BG214" s="1021"/>
      <c r="BH214" s="1021"/>
      <c r="BI214" s="1021"/>
      <c r="BJ214" s="1021"/>
      <c r="BK214" s="1021"/>
      <c r="BL214" s="1021"/>
      <c r="BM214" s="1021"/>
      <c r="BN214" s="1021"/>
      <c r="BO214" s="1021"/>
      <c r="BP214" s="1021"/>
      <c r="BQ214" s="1021"/>
      <c r="BR214" s="1021"/>
      <c r="BS214" s="1021"/>
      <c r="BT214" s="1021"/>
      <c r="BU214" s="1021"/>
      <c r="BV214" s="1021"/>
      <c r="BW214" s="1021"/>
      <c r="BX214" s="1021"/>
      <c r="BY214" s="1021"/>
      <c r="BZ214" s="1021"/>
      <c r="CA214" s="1021"/>
      <c r="CB214" s="1021"/>
      <c r="CC214" s="1021"/>
    </row>
    <row r="215" spans="8:81" x14ac:dyDescent="0.25">
      <c r="H215" s="1021"/>
      <c r="I215" s="1021"/>
      <c r="J215" s="1021"/>
      <c r="K215" s="1021"/>
      <c r="L215" s="1021"/>
      <c r="M215" s="1021"/>
      <c r="N215" s="1021"/>
      <c r="O215" s="1021"/>
      <c r="P215" s="1021"/>
      <c r="Q215" s="1021"/>
      <c r="R215" s="1021"/>
      <c r="S215" s="1021"/>
      <c r="T215" s="1021"/>
      <c r="U215" s="1021"/>
      <c r="V215" s="1021"/>
      <c r="W215" s="1021"/>
      <c r="X215" s="1021"/>
      <c r="Y215" s="1021"/>
      <c r="Z215" s="1021"/>
      <c r="AA215" s="1021"/>
      <c r="AB215" s="1021"/>
      <c r="AC215" s="1021"/>
      <c r="AD215" s="1021"/>
      <c r="AE215" s="1021"/>
      <c r="AF215" s="1021"/>
      <c r="AG215" s="1021"/>
      <c r="AH215" s="1021"/>
      <c r="AI215" s="1021"/>
      <c r="AJ215" s="1021"/>
      <c r="AK215" s="1021"/>
      <c r="AL215" s="1021"/>
      <c r="AM215" s="1021"/>
      <c r="AN215" s="1021"/>
      <c r="AO215" s="1021"/>
      <c r="AP215" s="1021"/>
      <c r="AQ215" s="1021"/>
      <c r="AR215" s="1021"/>
      <c r="AS215" s="1021"/>
      <c r="AT215" s="1021"/>
      <c r="AU215" s="1021"/>
      <c r="AV215" s="1021"/>
      <c r="AW215" s="1021"/>
      <c r="AX215" s="1021"/>
      <c r="AY215" s="1021"/>
      <c r="AZ215" s="1021"/>
      <c r="BA215" s="1021"/>
      <c r="BB215" s="1021"/>
      <c r="BC215" s="1021"/>
      <c r="BD215" s="1021"/>
      <c r="BE215" s="1021"/>
      <c r="BF215" s="1021"/>
      <c r="BG215" s="1021"/>
      <c r="BH215" s="1021"/>
      <c r="BI215" s="1021"/>
      <c r="BJ215" s="1021"/>
      <c r="BK215" s="1021"/>
      <c r="BL215" s="1021"/>
      <c r="BM215" s="1021"/>
      <c r="BN215" s="1021"/>
      <c r="BO215" s="1021"/>
      <c r="BP215" s="1021"/>
      <c r="BQ215" s="1021"/>
      <c r="BR215" s="1021"/>
      <c r="BS215" s="1021"/>
      <c r="BT215" s="1021"/>
      <c r="BU215" s="1021"/>
      <c r="BV215" s="1021"/>
      <c r="BW215" s="1021"/>
      <c r="BX215" s="1021"/>
      <c r="BY215" s="1021"/>
      <c r="BZ215" s="1021"/>
      <c r="CA215" s="1021"/>
      <c r="CB215" s="1021"/>
      <c r="CC215" s="1021"/>
    </row>
    <row r="216" spans="8:81" x14ac:dyDescent="0.25">
      <c r="H216" s="1021"/>
      <c r="I216" s="1021"/>
      <c r="J216" s="1021"/>
      <c r="K216" s="1021"/>
      <c r="L216" s="1021"/>
      <c r="M216" s="1021"/>
      <c r="N216" s="1021"/>
      <c r="O216" s="1021"/>
      <c r="P216" s="1021"/>
      <c r="Q216" s="1021"/>
      <c r="R216" s="1021"/>
      <c r="S216" s="1021"/>
      <c r="T216" s="1021"/>
      <c r="U216" s="1021"/>
      <c r="V216" s="1021"/>
      <c r="W216" s="1021"/>
      <c r="X216" s="1021"/>
      <c r="Y216" s="1021"/>
      <c r="Z216" s="1021"/>
      <c r="AA216" s="1021"/>
      <c r="AB216" s="1021"/>
      <c r="AC216" s="1021"/>
      <c r="AD216" s="1021"/>
      <c r="AE216" s="1021"/>
      <c r="AF216" s="1021"/>
      <c r="AG216" s="1021"/>
      <c r="AH216" s="1021"/>
      <c r="AI216" s="1021"/>
      <c r="AJ216" s="1021"/>
      <c r="AK216" s="1021"/>
      <c r="AL216" s="1021"/>
      <c r="AM216" s="1021"/>
      <c r="AN216" s="1021"/>
      <c r="AO216" s="1021"/>
      <c r="AP216" s="1021"/>
      <c r="AQ216" s="1021"/>
      <c r="AR216" s="1021"/>
      <c r="AS216" s="1021"/>
      <c r="AT216" s="1021"/>
      <c r="AU216" s="1021"/>
      <c r="AV216" s="1021"/>
      <c r="AW216" s="1021"/>
      <c r="AX216" s="1021"/>
      <c r="AY216" s="1021"/>
      <c r="AZ216" s="1021"/>
      <c r="BA216" s="1021"/>
      <c r="BB216" s="1021"/>
      <c r="BC216" s="1021"/>
      <c r="BD216" s="1021"/>
      <c r="BE216" s="1021"/>
      <c r="BF216" s="1021"/>
      <c r="BG216" s="1021"/>
      <c r="BH216" s="1021"/>
      <c r="BI216" s="1021"/>
      <c r="BJ216" s="1021"/>
      <c r="BK216" s="1021"/>
      <c r="BL216" s="1021"/>
      <c r="BM216" s="1021"/>
      <c r="BN216" s="1021"/>
      <c r="BO216" s="1021"/>
      <c r="BP216" s="1021"/>
      <c r="BQ216" s="1021"/>
      <c r="BR216" s="1021"/>
      <c r="BS216" s="1021"/>
      <c r="BT216" s="1021"/>
      <c r="BU216" s="1021"/>
      <c r="BV216" s="1021"/>
      <c r="BW216" s="1021"/>
      <c r="BX216" s="1021"/>
      <c r="BY216" s="1021"/>
      <c r="BZ216" s="1021"/>
      <c r="CA216" s="1021"/>
      <c r="CB216" s="1021"/>
      <c r="CC216" s="1021"/>
    </row>
    <row r="217" spans="8:81" x14ac:dyDescent="0.25">
      <c r="H217" s="1021"/>
      <c r="I217" s="1021"/>
      <c r="J217" s="1021"/>
      <c r="K217" s="1021"/>
      <c r="L217" s="1021"/>
      <c r="M217" s="1021"/>
      <c r="N217" s="1021"/>
      <c r="O217" s="1021"/>
      <c r="P217" s="1021"/>
      <c r="Q217" s="1021"/>
      <c r="R217" s="1021"/>
      <c r="S217" s="1021"/>
      <c r="T217" s="1021"/>
      <c r="U217" s="1021"/>
      <c r="V217" s="1021"/>
      <c r="W217" s="1021"/>
      <c r="X217" s="1021"/>
      <c r="Y217" s="1021"/>
      <c r="Z217" s="1021"/>
      <c r="AA217" s="1021"/>
      <c r="AB217" s="1021"/>
      <c r="AC217" s="1021"/>
      <c r="AD217" s="1021"/>
      <c r="AE217" s="1021"/>
      <c r="AF217" s="1021"/>
      <c r="AG217" s="1021"/>
      <c r="AH217" s="1021"/>
      <c r="AI217" s="1021"/>
      <c r="AJ217" s="1021"/>
      <c r="AK217" s="1021"/>
      <c r="AL217" s="1021"/>
      <c r="AM217" s="1021"/>
      <c r="AN217" s="1021"/>
      <c r="AO217" s="1021"/>
      <c r="AP217" s="1021"/>
      <c r="AQ217" s="1021"/>
      <c r="AR217" s="1021"/>
      <c r="AS217" s="1021"/>
      <c r="AT217" s="1021"/>
      <c r="AU217" s="1021"/>
      <c r="AV217" s="1021"/>
      <c r="AW217" s="1021"/>
      <c r="AX217" s="1021"/>
      <c r="AY217" s="1021"/>
      <c r="AZ217" s="1021"/>
      <c r="BA217" s="1021"/>
      <c r="BB217" s="1021"/>
      <c r="BC217" s="1021"/>
      <c r="BD217" s="1021"/>
      <c r="BE217" s="1021"/>
      <c r="BF217" s="1021"/>
      <c r="BG217" s="1021"/>
      <c r="BH217" s="1021"/>
      <c r="BI217" s="1021"/>
      <c r="BJ217" s="1021"/>
      <c r="BK217" s="1021"/>
      <c r="BL217" s="1021"/>
      <c r="BM217" s="1021"/>
      <c r="BN217" s="1021"/>
      <c r="BO217" s="1021"/>
      <c r="BP217" s="1021"/>
      <c r="BQ217" s="1021"/>
      <c r="BR217" s="1021"/>
      <c r="BS217" s="1021"/>
      <c r="BT217" s="1021"/>
      <c r="BU217" s="1021"/>
      <c r="BV217" s="1021"/>
      <c r="BW217" s="1021"/>
      <c r="BX217" s="1021"/>
      <c r="BY217" s="1021"/>
      <c r="BZ217" s="1021"/>
      <c r="CA217" s="1021"/>
      <c r="CB217" s="1021"/>
      <c r="CC217" s="1021"/>
    </row>
    <row r="218" spans="8:81" x14ac:dyDescent="0.25">
      <c r="H218" s="1021"/>
      <c r="I218" s="1021"/>
      <c r="J218" s="1021"/>
      <c r="K218" s="1021"/>
      <c r="L218" s="1021"/>
      <c r="M218" s="1021"/>
      <c r="N218" s="1021"/>
      <c r="O218" s="1021"/>
      <c r="P218" s="1021"/>
      <c r="Q218" s="1021"/>
      <c r="R218" s="1021"/>
      <c r="S218" s="1021"/>
      <c r="T218" s="1021"/>
      <c r="U218" s="1021"/>
      <c r="V218" s="1021"/>
      <c r="W218" s="1021"/>
      <c r="X218" s="1021"/>
      <c r="Y218" s="1021"/>
      <c r="Z218" s="1021"/>
      <c r="AA218" s="1021"/>
      <c r="AB218" s="1021"/>
      <c r="AC218" s="1021"/>
      <c r="AD218" s="1021"/>
      <c r="AE218" s="1021"/>
      <c r="AF218" s="1021"/>
      <c r="AG218" s="1021"/>
      <c r="AH218" s="1021"/>
      <c r="AI218" s="1021"/>
      <c r="AJ218" s="1021"/>
      <c r="AK218" s="1021"/>
      <c r="AL218" s="1021"/>
      <c r="AM218" s="1021"/>
      <c r="AN218" s="1021"/>
      <c r="AO218" s="1021"/>
      <c r="AP218" s="1021"/>
      <c r="AQ218" s="1021"/>
      <c r="AR218" s="1021"/>
      <c r="AS218" s="1021"/>
      <c r="AT218" s="1021"/>
      <c r="AU218" s="1021"/>
      <c r="AV218" s="1021"/>
      <c r="AW218" s="1021"/>
      <c r="AX218" s="1021"/>
      <c r="AY218" s="1021"/>
      <c r="AZ218" s="1021"/>
      <c r="BA218" s="1021"/>
      <c r="BB218" s="1021"/>
      <c r="BC218" s="1021"/>
      <c r="BD218" s="1021"/>
      <c r="BE218" s="1021"/>
      <c r="BF218" s="1021"/>
      <c r="BG218" s="1021"/>
      <c r="BH218" s="1021"/>
      <c r="BI218" s="1021"/>
      <c r="BJ218" s="1021"/>
      <c r="BK218" s="1021"/>
      <c r="BL218" s="1021"/>
      <c r="BM218" s="1021"/>
      <c r="BN218" s="1021"/>
      <c r="BO218" s="1021"/>
      <c r="BP218" s="1021"/>
      <c r="BQ218" s="1021"/>
      <c r="BR218" s="1021"/>
      <c r="BS218" s="1021"/>
      <c r="BT218" s="1021"/>
      <c r="BU218" s="1021"/>
      <c r="BV218" s="1021"/>
      <c r="BW218" s="1021"/>
      <c r="BX218" s="1021"/>
      <c r="BY218" s="1021"/>
      <c r="BZ218" s="1021"/>
      <c r="CA218" s="1021"/>
      <c r="CB218" s="1021"/>
      <c r="CC218" s="1021"/>
    </row>
    <row r="219" spans="8:81" x14ac:dyDescent="0.25">
      <c r="H219" s="1021"/>
      <c r="I219" s="1021"/>
      <c r="J219" s="1021"/>
      <c r="K219" s="1021"/>
      <c r="L219" s="1021"/>
      <c r="M219" s="1021"/>
      <c r="N219" s="1021"/>
      <c r="O219" s="1021"/>
      <c r="P219" s="1021"/>
      <c r="Q219" s="1021"/>
      <c r="R219" s="1021"/>
      <c r="S219" s="1021"/>
      <c r="T219" s="1021"/>
      <c r="U219" s="1021"/>
      <c r="V219" s="1021"/>
      <c r="W219" s="1021"/>
      <c r="X219" s="1021"/>
      <c r="Y219" s="1021"/>
      <c r="Z219" s="1021"/>
      <c r="AA219" s="1021"/>
      <c r="AB219" s="1021"/>
      <c r="AC219" s="1021"/>
      <c r="AD219" s="1021"/>
      <c r="AE219" s="1021"/>
      <c r="AF219" s="1021"/>
      <c r="AG219" s="1021"/>
      <c r="AH219" s="1021"/>
      <c r="AI219" s="1021"/>
      <c r="AJ219" s="1021"/>
      <c r="AK219" s="1021"/>
      <c r="AL219" s="1021"/>
      <c r="AM219" s="1021"/>
      <c r="AN219" s="1021"/>
      <c r="AO219" s="1021"/>
      <c r="AP219" s="1021"/>
      <c r="AQ219" s="1021"/>
      <c r="AR219" s="1021"/>
      <c r="AS219" s="1021"/>
      <c r="AT219" s="1021"/>
      <c r="AU219" s="1021"/>
      <c r="AV219" s="1021"/>
      <c r="AW219" s="1021"/>
      <c r="AX219" s="1021"/>
      <c r="AY219" s="1021"/>
      <c r="AZ219" s="1021"/>
      <c r="BA219" s="1021"/>
      <c r="BB219" s="1021"/>
      <c r="BC219" s="1021"/>
      <c r="BD219" s="1021"/>
      <c r="BE219" s="1021"/>
      <c r="BF219" s="1021"/>
      <c r="BG219" s="1021"/>
      <c r="BH219" s="1021"/>
      <c r="BI219" s="1021"/>
      <c r="BJ219" s="1021"/>
      <c r="BK219" s="1021"/>
      <c r="BL219" s="1021"/>
      <c r="BM219" s="1021"/>
      <c r="BN219" s="1021"/>
      <c r="BO219" s="1021"/>
      <c r="BP219" s="1021"/>
      <c r="BQ219" s="1021"/>
      <c r="BR219" s="1021"/>
      <c r="BS219" s="1021"/>
      <c r="BT219" s="1021"/>
      <c r="BU219" s="1021"/>
      <c r="BV219" s="1021"/>
      <c r="BW219" s="1021"/>
      <c r="BX219" s="1021"/>
      <c r="BY219" s="1021"/>
      <c r="BZ219" s="1021"/>
      <c r="CA219" s="1021"/>
      <c r="CB219" s="1021"/>
      <c r="CC219" s="1021"/>
    </row>
    <row r="220" spans="8:81" x14ac:dyDescent="0.25">
      <c r="H220" s="1021"/>
      <c r="I220" s="1021"/>
      <c r="J220" s="1021"/>
      <c r="K220" s="1021"/>
      <c r="L220" s="1021"/>
      <c r="M220" s="1021"/>
      <c r="N220" s="1021"/>
      <c r="O220" s="1021"/>
      <c r="P220" s="1021"/>
      <c r="Q220" s="1021"/>
      <c r="R220" s="1021"/>
      <c r="S220" s="1021"/>
      <c r="T220" s="1021"/>
      <c r="U220" s="1021"/>
      <c r="V220" s="1021"/>
      <c r="W220" s="1021"/>
      <c r="X220" s="1021"/>
      <c r="Y220" s="1021"/>
      <c r="Z220" s="1021"/>
      <c r="AA220" s="1021"/>
      <c r="AB220" s="1021"/>
      <c r="AC220" s="1021"/>
      <c r="AD220" s="1021"/>
      <c r="AE220" s="1021"/>
      <c r="AF220" s="1021"/>
      <c r="AG220" s="1021"/>
      <c r="AH220" s="1021"/>
      <c r="AI220" s="1021"/>
      <c r="AJ220" s="1021"/>
      <c r="AK220" s="1021"/>
      <c r="AL220" s="1021"/>
      <c r="AM220" s="1021"/>
      <c r="AN220" s="1021"/>
      <c r="AO220" s="1021"/>
      <c r="AP220" s="1021"/>
      <c r="AQ220" s="1021"/>
      <c r="AR220" s="1021"/>
      <c r="AS220" s="1021"/>
      <c r="AT220" s="1021"/>
      <c r="AU220" s="1021"/>
      <c r="AV220" s="1021"/>
      <c r="AW220" s="1021"/>
      <c r="AX220" s="1021"/>
      <c r="AY220" s="1021"/>
      <c r="AZ220" s="1021"/>
      <c r="BA220" s="1021"/>
      <c r="BB220" s="1021"/>
      <c r="BC220" s="1021"/>
      <c r="BD220" s="1021"/>
      <c r="BE220" s="1021"/>
      <c r="BF220" s="1021"/>
      <c r="BG220" s="1021"/>
      <c r="BH220" s="1021"/>
      <c r="BI220" s="1021"/>
      <c r="BJ220" s="1021"/>
      <c r="BK220" s="1021"/>
      <c r="BL220" s="1021"/>
      <c r="BM220" s="1021"/>
      <c r="BN220" s="1021"/>
      <c r="BO220" s="1021"/>
      <c r="BP220" s="1021"/>
      <c r="BQ220" s="1021"/>
      <c r="BR220" s="1021"/>
      <c r="BS220" s="1021"/>
      <c r="BT220" s="1021"/>
      <c r="BU220" s="1021"/>
      <c r="BV220" s="1021"/>
      <c r="BW220" s="1021"/>
      <c r="BX220" s="1021"/>
      <c r="BY220" s="1021"/>
      <c r="BZ220" s="1021"/>
      <c r="CA220" s="1021"/>
      <c r="CB220" s="1021"/>
      <c r="CC220" s="1021"/>
    </row>
    <row r="221" spans="8:81" x14ac:dyDescent="0.25">
      <c r="H221" s="1021"/>
      <c r="I221" s="1021"/>
      <c r="J221" s="1021"/>
      <c r="K221" s="1021"/>
      <c r="L221" s="1021"/>
      <c r="M221" s="1021"/>
      <c r="N221" s="1021"/>
      <c r="O221" s="1021"/>
      <c r="P221" s="1021"/>
      <c r="Q221" s="1021"/>
      <c r="R221" s="1021"/>
      <c r="S221" s="1021"/>
      <c r="T221" s="1021"/>
      <c r="U221" s="1021"/>
      <c r="V221" s="1021"/>
      <c r="W221" s="1021"/>
      <c r="X221" s="1021"/>
      <c r="Y221" s="1021"/>
      <c r="Z221" s="1021"/>
      <c r="AA221" s="1021"/>
      <c r="AB221" s="1021"/>
      <c r="AC221" s="1021"/>
      <c r="AD221" s="1021"/>
      <c r="AE221" s="1021"/>
      <c r="AF221" s="1021"/>
      <c r="AG221" s="1021"/>
      <c r="AH221" s="1021"/>
      <c r="AI221" s="1021"/>
      <c r="AJ221" s="1021"/>
      <c r="AK221" s="1021"/>
      <c r="AL221" s="1021"/>
      <c r="AM221" s="1021"/>
      <c r="AN221" s="1021"/>
      <c r="AO221" s="1021"/>
      <c r="AP221" s="1021"/>
      <c r="AQ221" s="1021"/>
      <c r="AR221" s="1021"/>
      <c r="AS221" s="1021"/>
      <c r="AT221" s="1021"/>
      <c r="AU221" s="1021"/>
      <c r="AV221" s="1021"/>
      <c r="AW221" s="1021"/>
      <c r="AX221" s="1021"/>
      <c r="AY221" s="1021"/>
      <c r="AZ221" s="1021"/>
      <c r="BA221" s="1021"/>
      <c r="BB221" s="1021"/>
      <c r="BC221" s="1021"/>
      <c r="BD221" s="1021"/>
      <c r="BE221" s="1021"/>
      <c r="BF221" s="1021"/>
      <c r="BG221" s="1021"/>
      <c r="BH221" s="1021"/>
      <c r="BI221" s="1021"/>
      <c r="BJ221" s="1021"/>
      <c r="BK221" s="1021"/>
      <c r="BL221" s="1021"/>
      <c r="BM221" s="1021"/>
      <c r="BN221" s="1021"/>
      <c r="BO221" s="1021"/>
      <c r="BP221" s="1021"/>
      <c r="BQ221" s="1021"/>
      <c r="BR221" s="1021"/>
      <c r="BS221" s="1021"/>
      <c r="BT221" s="1021"/>
      <c r="BU221" s="1021"/>
      <c r="BV221" s="1021"/>
      <c r="BW221" s="1021"/>
      <c r="BX221" s="1021"/>
      <c r="BY221" s="1021"/>
      <c r="BZ221" s="1021"/>
      <c r="CA221" s="1021"/>
      <c r="CB221" s="1021"/>
      <c r="CC221" s="1021"/>
    </row>
    <row r="222" spans="8:81" x14ac:dyDescent="0.25">
      <c r="H222" s="1021"/>
      <c r="I222" s="1021"/>
      <c r="J222" s="1021"/>
      <c r="K222" s="1021"/>
      <c r="L222" s="1021"/>
      <c r="M222" s="1021"/>
      <c r="N222" s="1021"/>
      <c r="O222" s="1021"/>
      <c r="P222" s="1021"/>
      <c r="Q222" s="1021"/>
      <c r="R222" s="1021"/>
      <c r="S222" s="1021"/>
      <c r="T222" s="1021"/>
      <c r="U222" s="1021"/>
      <c r="V222" s="1021"/>
      <c r="W222" s="1021"/>
      <c r="X222" s="1021"/>
      <c r="Y222" s="1021"/>
      <c r="Z222" s="1021"/>
      <c r="AA222" s="1021"/>
      <c r="AB222" s="1021"/>
      <c r="AC222" s="1021"/>
      <c r="AD222" s="1021"/>
      <c r="AE222" s="1021"/>
      <c r="AF222" s="1021"/>
      <c r="AG222" s="1021"/>
      <c r="AH222" s="1021"/>
      <c r="AI222" s="1021"/>
      <c r="AJ222" s="1021"/>
      <c r="AK222" s="1021"/>
      <c r="AL222" s="1021"/>
      <c r="AM222" s="1021"/>
      <c r="AN222" s="1021"/>
      <c r="AO222" s="1021"/>
      <c r="AP222" s="1021"/>
      <c r="AQ222" s="1021"/>
      <c r="AR222" s="1021"/>
      <c r="AS222" s="1021"/>
      <c r="AT222" s="1021"/>
      <c r="AU222" s="1021"/>
      <c r="AV222" s="1021"/>
      <c r="AW222" s="1021"/>
      <c r="AX222" s="1021"/>
      <c r="AY222" s="1021"/>
      <c r="AZ222" s="1021"/>
      <c r="BA222" s="1021"/>
      <c r="BB222" s="1021"/>
      <c r="BC222" s="1021"/>
      <c r="BD222" s="1021"/>
      <c r="BE222" s="1021"/>
      <c r="BF222" s="1021"/>
      <c r="BG222" s="1021"/>
      <c r="BH222" s="1021"/>
      <c r="BI222" s="1021"/>
      <c r="BJ222" s="1021"/>
      <c r="BK222" s="1021"/>
      <c r="BL222" s="1021"/>
      <c r="BM222" s="1021"/>
      <c r="BN222" s="1021"/>
      <c r="BO222" s="1021"/>
      <c r="BP222" s="1021"/>
      <c r="BQ222" s="1021"/>
      <c r="BR222" s="1021"/>
      <c r="BS222" s="1021"/>
      <c r="BT222" s="1021"/>
      <c r="BU222" s="1021"/>
      <c r="BV222" s="1021"/>
      <c r="BW222" s="1021"/>
      <c r="BX222" s="1021"/>
      <c r="BY222" s="1021"/>
      <c r="BZ222" s="1021"/>
      <c r="CA222" s="1021"/>
      <c r="CB222" s="1021"/>
      <c r="CC222" s="1021"/>
    </row>
    <row r="223" spans="8:81" x14ac:dyDescent="0.25">
      <c r="H223" s="1021"/>
      <c r="I223" s="1021"/>
      <c r="J223" s="1021"/>
      <c r="K223" s="1021"/>
      <c r="L223" s="1021"/>
      <c r="M223" s="1021"/>
      <c r="N223" s="1021"/>
      <c r="O223" s="1021"/>
      <c r="P223" s="1021"/>
      <c r="Q223" s="1021"/>
      <c r="R223" s="1021"/>
      <c r="S223" s="1021"/>
      <c r="T223" s="1021"/>
      <c r="U223" s="1021"/>
      <c r="V223" s="1021"/>
      <c r="W223" s="1021"/>
      <c r="X223" s="1021"/>
      <c r="Y223" s="1021"/>
      <c r="Z223" s="1021"/>
      <c r="AA223" s="1021"/>
      <c r="AB223" s="1021"/>
      <c r="AC223" s="1021"/>
      <c r="AD223" s="1021"/>
      <c r="AE223" s="1021"/>
      <c r="AF223" s="1021"/>
      <c r="AG223" s="1021"/>
      <c r="AH223" s="1021"/>
      <c r="AI223" s="1021"/>
      <c r="AJ223" s="1021"/>
      <c r="AK223" s="1021"/>
      <c r="AL223" s="1021"/>
      <c r="AM223" s="1021"/>
      <c r="AN223" s="1021"/>
      <c r="AO223" s="1021"/>
      <c r="AP223" s="1021"/>
      <c r="AQ223" s="1021"/>
      <c r="AR223" s="1021"/>
      <c r="AS223" s="1021"/>
      <c r="AT223" s="1021"/>
      <c r="AU223" s="1021"/>
      <c r="AV223" s="1021"/>
      <c r="AW223" s="1021"/>
      <c r="AX223" s="1021"/>
      <c r="AY223" s="1021"/>
      <c r="AZ223" s="1021"/>
      <c r="BA223" s="1021"/>
      <c r="BB223" s="1021"/>
      <c r="BC223" s="1021"/>
      <c r="BD223" s="1021"/>
      <c r="BE223" s="1021"/>
      <c r="BF223" s="1021"/>
      <c r="BG223" s="1021"/>
      <c r="BH223" s="1021"/>
      <c r="BI223" s="1021"/>
      <c r="BJ223" s="1021"/>
      <c r="BK223" s="1021"/>
      <c r="BL223" s="1021"/>
      <c r="BM223" s="1021"/>
      <c r="BN223" s="1021"/>
      <c r="BO223" s="1021"/>
      <c r="BP223" s="1021"/>
      <c r="BQ223" s="1021"/>
      <c r="BR223" s="1021"/>
      <c r="BS223" s="1021"/>
      <c r="BT223" s="1021"/>
      <c r="BU223" s="1021"/>
      <c r="BV223" s="1021"/>
      <c r="BW223" s="1021"/>
      <c r="BX223" s="1021"/>
      <c r="BY223" s="1021"/>
      <c r="BZ223" s="1021"/>
      <c r="CA223" s="1021"/>
      <c r="CB223" s="1021"/>
      <c r="CC223" s="1021"/>
    </row>
    <row r="224" spans="8:81" x14ac:dyDescent="0.25">
      <c r="H224" s="1021"/>
      <c r="I224" s="1021"/>
      <c r="J224" s="1021"/>
      <c r="K224" s="1021"/>
      <c r="L224" s="1021"/>
      <c r="M224" s="1021"/>
      <c r="N224" s="1021"/>
      <c r="O224" s="1021"/>
      <c r="P224" s="1021"/>
      <c r="Q224" s="1021"/>
      <c r="R224" s="1021"/>
      <c r="S224" s="1021"/>
      <c r="T224" s="1021"/>
      <c r="U224" s="1021"/>
      <c r="V224" s="1021"/>
      <c r="W224" s="1021"/>
      <c r="X224" s="1021"/>
      <c r="Y224" s="1021"/>
      <c r="Z224" s="1021"/>
      <c r="AA224" s="1021"/>
      <c r="AB224" s="1021"/>
      <c r="AC224" s="1021"/>
      <c r="AD224" s="1021"/>
      <c r="AE224" s="1021"/>
      <c r="AF224" s="1021"/>
      <c r="AG224" s="1021"/>
      <c r="AH224" s="1021"/>
      <c r="AI224" s="1021"/>
      <c r="AJ224" s="1021"/>
      <c r="AK224" s="1021"/>
      <c r="AL224" s="1021"/>
      <c r="AM224" s="1021"/>
      <c r="AN224" s="1021"/>
      <c r="AO224" s="1021"/>
      <c r="AP224" s="1021"/>
      <c r="AQ224" s="1021"/>
      <c r="AR224" s="1021"/>
      <c r="AS224" s="1021"/>
      <c r="AT224" s="1021"/>
      <c r="AU224" s="1021"/>
      <c r="AV224" s="1021"/>
      <c r="AW224" s="1021"/>
      <c r="AX224" s="1021"/>
      <c r="AY224" s="1021"/>
      <c r="AZ224" s="1021"/>
      <c r="BA224" s="1021"/>
      <c r="BB224" s="1021"/>
      <c r="BC224" s="1021"/>
      <c r="BD224" s="1021"/>
      <c r="BE224" s="1021"/>
      <c r="BF224" s="1021"/>
      <c r="BG224" s="1021"/>
      <c r="BH224" s="1021"/>
      <c r="BI224" s="1021"/>
      <c r="BJ224" s="1021"/>
      <c r="BK224" s="1021"/>
      <c r="BL224" s="1021"/>
      <c r="BM224" s="1021"/>
      <c r="BN224" s="1021"/>
      <c r="BO224" s="1021"/>
      <c r="BP224" s="1021"/>
      <c r="BQ224" s="1021"/>
      <c r="BR224" s="1021"/>
      <c r="BS224" s="1021"/>
      <c r="BT224" s="1021"/>
      <c r="BU224" s="1021"/>
      <c r="BV224" s="1021"/>
      <c r="BW224" s="1021"/>
      <c r="BX224" s="1021"/>
      <c r="BY224" s="1021"/>
      <c r="BZ224" s="1021"/>
      <c r="CA224" s="1021"/>
      <c r="CB224" s="1021"/>
      <c r="CC224" s="1021"/>
    </row>
    <row r="225" spans="8:81" x14ac:dyDescent="0.25">
      <c r="H225" s="1021"/>
      <c r="I225" s="1021"/>
      <c r="J225" s="1021"/>
      <c r="K225" s="1021"/>
      <c r="L225" s="1021"/>
      <c r="M225" s="1021"/>
      <c r="N225" s="1021"/>
      <c r="O225" s="1021"/>
      <c r="P225" s="1021"/>
      <c r="Q225" s="1021"/>
      <c r="R225" s="1021"/>
      <c r="S225" s="1021"/>
      <c r="T225" s="1021"/>
      <c r="U225" s="1021"/>
      <c r="V225" s="1021"/>
      <c r="W225" s="1021"/>
      <c r="X225" s="1021"/>
      <c r="Y225" s="1021"/>
      <c r="Z225" s="1021"/>
      <c r="AA225" s="1021"/>
      <c r="AB225" s="1021"/>
      <c r="AC225" s="1021"/>
      <c r="AD225" s="1021"/>
      <c r="AE225" s="1021"/>
      <c r="AF225" s="1021"/>
      <c r="AG225" s="1021"/>
      <c r="AH225" s="1021"/>
      <c r="AI225" s="1021"/>
      <c r="AJ225" s="1021"/>
      <c r="AK225" s="1021"/>
      <c r="AL225" s="1021"/>
      <c r="AM225" s="1021"/>
      <c r="AN225" s="1021"/>
      <c r="AO225" s="1021"/>
      <c r="AP225" s="1021"/>
      <c r="AQ225" s="1021"/>
      <c r="AR225" s="1021"/>
      <c r="AS225" s="1021"/>
      <c r="AT225" s="1021"/>
      <c r="AU225" s="1021"/>
      <c r="AV225" s="1021"/>
      <c r="AW225" s="1021"/>
      <c r="AX225" s="1021"/>
      <c r="AY225" s="1021"/>
      <c r="AZ225" s="1021"/>
      <c r="BA225" s="1021"/>
      <c r="BB225" s="1021"/>
      <c r="BC225" s="1021"/>
      <c r="BD225" s="1021"/>
      <c r="BE225" s="1021"/>
      <c r="BF225" s="1021"/>
      <c r="BG225" s="1021"/>
      <c r="BH225" s="1021"/>
      <c r="BI225" s="1021"/>
      <c r="BJ225" s="1021"/>
      <c r="BK225" s="1021"/>
      <c r="BL225" s="1021"/>
      <c r="BM225" s="1021"/>
      <c r="BN225" s="1021"/>
      <c r="BO225" s="1021"/>
      <c r="BP225" s="1021"/>
      <c r="BQ225" s="1021"/>
      <c r="BR225" s="1021"/>
      <c r="BS225" s="1021"/>
      <c r="BT225" s="1021"/>
      <c r="BU225" s="1021"/>
      <c r="BV225" s="1021"/>
      <c r="BW225" s="1021"/>
      <c r="BX225" s="1021"/>
      <c r="BY225" s="1021"/>
      <c r="BZ225" s="1021"/>
      <c r="CA225" s="1021"/>
      <c r="CB225" s="1021"/>
      <c r="CC225" s="1021"/>
    </row>
    <row r="226" spans="8:81" x14ac:dyDescent="0.25">
      <c r="H226" s="1021"/>
      <c r="I226" s="1021"/>
      <c r="J226" s="1021"/>
      <c r="K226" s="1021"/>
      <c r="L226" s="1021"/>
      <c r="M226" s="1021"/>
      <c r="N226" s="1021"/>
      <c r="O226" s="1021"/>
      <c r="P226" s="1021"/>
      <c r="Q226" s="1021"/>
      <c r="R226" s="1021"/>
      <c r="S226" s="1021"/>
      <c r="T226" s="1021"/>
      <c r="U226" s="1021"/>
      <c r="V226" s="1021"/>
      <c r="W226" s="1021"/>
      <c r="X226" s="1021"/>
      <c r="Y226" s="1021"/>
      <c r="Z226" s="1021"/>
      <c r="AA226" s="1021"/>
      <c r="AB226" s="1021"/>
      <c r="AC226" s="1021"/>
      <c r="AD226" s="1021"/>
      <c r="AE226" s="1021"/>
      <c r="AF226" s="1021"/>
      <c r="AG226" s="1021"/>
      <c r="AH226" s="1021"/>
      <c r="AI226" s="1021"/>
      <c r="AJ226" s="1021"/>
      <c r="AK226" s="1021"/>
      <c r="AL226" s="1021"/>
      <c r="AM226" s="1021"/>
      <c r="AN226" s="1021"/>
      <c r="AO226" s="1021"/>
      <c r="AP226" s="1021"/>
      <c r="AQ226" s="1021"/>
      <c r="AR226" s="1021"/>
      <c r="AS226" s="1021"/>
      <c r="AT226" s="1021"/>
      <c r="AU226" s="1021"/>
      <c r="AV226" s="1021"/>
      <c r="AW226" s="1021"/>
      <c r="AX226" s="1021"/>
      <c r="AY226" s="1021"/>
      <c r="AZ226" s="1021"/>
      <c r="BA226" s="1021"/>
      <c r="BB226" s="1021"/>
      <c r="BC226" s="1021"/>
      <c r="BD226" s="1021"/>
      <c r="BE226" s="1021"/>
      <c r="BF226" s="1021"/>
      <c r="BG226" s="1021"/>
      <c r="BH226" s="1021"/>
      <c r="BI226" s="1021"/>
      <c r="BJ226" s="1021"/>
      <c r="BK226" s="1021"/>
      <c r="BL226" s="1021"/>
      <c r="BM226" s="1021"/>
      <c r="BN226" s="1021"/>
      <c r="BO226" s="1021"/>
      <c r="BP226" s="1021"/>
      <c r="BQ226" s="1021"/>
      <c r="BR226" s="1021"/>
      <c r="BS226" s="1021"/>
      <c r="BT226" s="1021"/>
      <c r="BU226" s="1021"/>
      <c r="BV226" s="1021"/>
      <c r="BW226" s="1021"/>
      <c r="BX226" s="1021"/>
      <c r="BY226" s="1021"/>
      <c r="BZ226" s="1021"/>
      <c r="CA226" s="1021"/>
      <c r="CB226" s="1021"/>
      <c r="CC226" s="1021"/>
    </row>
    <row r="227" spans="8:81" x14ac:dyDescent="0.25">
      <c r="H227" s="1021"/>
      <c r="I227" s="1021"/>
      <c r="J227" s="1021"/>
      <c r="K227" s="1021"/>
      <c r="L227" s="1021"/>
      <c r="M227" s="1021"/>
      <c r="N227" s="1021"/>
      <c r="O227" s="1021"/>
      <c r="P227" s="1021"/>
      <c r="Q227" s="1021"/>
      <c r="R227" s="1021"/>
      <c r="S227" s="1021"/>
      <c r="T227" s="1021"/>
      <c r="U227" s="1021"/>
      <c r="V227" s="1021"/>
      <c r="W227" s="1021"/>
      <c r="X227" s="1021"/>
      <c r="Y227" s="1021"/>
      <c r="Z227" s="1021"/>
      <c r="AA227" s="1021"/>
      <c r="AB227" s="1021"/>
      <c r="AC227" s="1021"/>
      <c r="AD227" s="1021"/>
      <c r="AE227" s="1021"/>
      <c r="AF227" s="1021"/>
      <c r="AG227" s="1021"/>
      <c r="AH227" s="1021"/>
      <c r="AI227" s="1021"/>
      <c r="AJ227" s="1021"/>
      <c r="AK227" s="1021"/>
      <c r="AL227" s="1021"/>
      <c r="AM227" s="1021"/>
      <c r="AN227" s="1021"/>
      <c r="AO227" s="1021"/>
      <c r="AP227" s="1021"/>
      <c r="AQ227" s="1021"/>
      <c r="AR227" s="1021"/>
      <c r="AS227" s="1021"/>
      <c r="AT227" s="1021"/>
      <c r="AU227" s="1021"/>
      <c r="AV227" s="1021"/>
      <c r="AW227" s="1021"/>
      <c r="AX227" s="1021"/>
      <c r="AY227" s="1021"/>
      <c r="AZ227" s="1021"/>
      <c r="BA227" s="1021"/>
      <c r="BB227" s="1021"/>
      <c r="BC227" s="1021"/>
      <c r="BD227" s="1021"/>
      <c r="BE227" s="1021"/>
      <c r="BF227" s="1021"/>
      <c r="BG227" s="1021"/>
      <c r="BH227" s="1021"/>
      <c r="BI227" s="1021"/>
      <c r="BJ227" s="1021"/>
      <c r="BK227" s="1021"/>
      <c r="BL227" s="1021"/>
      <c r="BM227" s="1021"/>
      <c r="BN227" s="1021"/>
      <c r="BO227" s="1021"/>
      <c r="BP227" s="1021"/>
      <c r="BQ227" s="1021"/>
      <c r="BR227" s="1021"/>
      <c r="BS227" s="1021"/>
      <c r="BT227" s="1021"/>
      <c r="BU227" s="1021"/>
      <c r="BV227" s="1021"/>
      <c r="BW227" s="1021"/>
      <c r="BX227" s="1021"/>
      <c r="BY227" s="1021"/>
      <c r="BZ227" s="1021"/>
      <c r="CA227" s="1021"/>
      <c r="CB227" s="1021"/>
      <c r="CC227" s="1021"/>
    </row>
    <row r="228" spans="8:81" x14ac:dyDescent="0.25">
      <c r="H228" s="1021"/>
      <c r="I228" s="1021"/>
      <c r="J228" s="1021"/>
      <c r="K228" s="1021"/>
      <c r="L228" s="1021"/>
      <c r="M228" s="1021"/>
      <c r="N228" s="1021"/>
      <c r="O228" s="1021"/>
      <c r="P228" s="1021"/>
      <c r="Q228" s="1021"/>
      <c r="R228" s="1021"/>
      <c r="S228" s="1021"/>
      <c r="T228" s="1021"/>
      <c r="U228" s="1021"/>
      <c r="V228" s="1021"/>
      <c r="W228" s="1021"/>
      <c r="X228" s="1021"/>
      <c r="Y228" s="1021"/>
      <c r="Z228" s="1021"/>
      <c r="AA228" s="1021"/>
      <c r="AB228" s="1021"/>
      <c r="AC228" s="1021"/>
      <c r="AD228" s="1021"/>
      <c r="AE228" s="1021"/>
      <c r="AF228" s="1021"/>
      <c r="AG228" s="1021"/>
      <c r="AH228" s="1021"/>
      <c r="AI228" s="1021"/>
      <c r="AJ228" s="1021"/>
      <c r="AK228" s="1021"/>
      <c r="AL228" s="1021"/>
      <c r="AM228" s="1021"/>
      <c r="AN228" s="1021"/>
      <c r="AO228" s="1021"/>
      <c r="AP228" s="1021"/>
      <c r="AQ228" s="1021"/>
      <c r="AR228" s="1021"/>
      <c r="AS228" s="1021"/>
      <c r="AT228" s="1021"/>
      <c r="AU228" s="1021"/>
      <c r="AV228" s="1021"/>
      <c r="AW228" s="1021"/>
      <c r="AX228" s="1021"/>
      <c r="AY228" s="1021"/>
      <c r="AZ228" s="1021"/>
      <c r="BA228" s="1021"/>
      <c r="BB228" s="1021"/>
      <c r="BC228" s="1021"/>
      <c r="BD228" s="1021"/>
      <c r="BE228" s="1021"/>
      <c r="BF228" s="1021"/>
      <c r="BG228" s="1021"/>
      <c r="BH228" s="1021"/>
      <c r="BI228" s="1021"/>
      <c r="BJ228" s="1021"/>
      <c r="BK228" s="1021"/>
      <c r="BL228" s="1021"/>
      <c r="BM228" s="1021"/>
      <c r="BN228" s="1021"/>
      <c r="BO228" s="1021"/>
      <c r="BP228" s="1021"/>
      <c r="BQ228" s="1021"/>
      <c r="BR228" s="1021"/>
      <c r="BS228" s="1021"/>
      <c r="BT228" s="1021"/>
      <c r="BU228" s="1021"/>
      <c r="BV228" s="1021"/>
      <c r="BW228" s="1021"/>
      <c r="BX228" s="1021"/>
      <c r="BY228" s="1021"/>
      <c r="BZ228" s="1021"/>
      <c r="CA228" s="1021"/>
      <c r="CB228" s="1021"/>
      <c r="CC228" s="1021"/>
    </row>
    <row r="229" spans="8:81" x14ac:dyDescent="0.25">
      <c r="H229" s="1021"/>
      <c r="I229" s="1021"/>
      <c r="J229" s="1021"/>
      <c r="K229" s="1021"/>
      <c r="L229" s="1021"/>
      <c r="M229" s="1021"/>
      <c r="N229" s="1021"/>
      <c r="O229" s="1021"/>
      <c r="P229" s="1021"/>
      <c r="Q229" s="1021"/>
      <c r="R229" s="1021"/>
      <c r="S229" s="1021"/>
      <c r="T229" s="1021"/>
      <c r="U229" s="1021"/>
      <c r="V229" s="1021"/>
      <c r="W229" s="1021"/>
      <c r="X229" s="1021"/>
      <c r="Y229" s="1021"/>
      <c r="Z229" s="1021"/>
      <c r="AA229" s="1021"/>
      <c r="AB229" s="1021"/>
      <c r="AC229" s="1021"/>
      <c r="AD229" s="1021"/>
      <c r="AE229" s="1021"/>
      <c r="AF229" s="1021"/>
      <c r="AG229" s="1021"/>
      <c r="AH229" s="1021"/>
      <c r="AI229" s="1021"/>
      <c r="AJ229" s="1021"/>
      <c r="AK229" s="1021"/>
      <c r="AL229" s="1021"/>
      <c r="AM229" s="1021"/>
      <c r="AN229" s="1021"/>
      <c r="AO229" s="1021"/>
      <c r="AP229" s="1021"/>
      <c r="AQ229" s="1021"/>
      <c r="AR229" s="1021"/>
      <c r="AS229" s="1021"/>
      <c r="AT229" s="1021"/>
      <c r="AU229" s="1021"/>
      <c r="AV229" s="1021"/>
      <c r="AW229" s="1021"/>
      <c r="AX229" s="1021"/>
      <c r="AY229" s="1021"/>
      <c r="AZ229" s="1021"/>
      <c r="BA229" s="1021"/>
      <c r="BB229" s="1021"/>
      <c r="BC229" s="1021"/>
      <c r="BD229" s="1021"/>
      <c r="BE229" s="1021"/>
      <c r="BF229" s="1021"/>
      <c r="BG229" s="1021"/>
      <c r="BH229" s="1021"/>
      <c r="BI229" s="1021"/>
      <c r="BJ229" s="1021"/>
      <c r="BK229" s="1021"/>
      <c r="BL229" s="1021"/>
      <c r="BM229" s="1021"/>
      <c r="BN229" s="1021"/>
      <c r="BO229" s="1021"/>
      <c r="BP229" s="1021"/>
      <c r="BQ229" s="1021"/>
      <c r="BR229" s="1021"/>
      <c r="BS229" s="1021"/>
      <c r="BT229" s="1021"/>
      <c r="BU229" s="1021"/>
      <c r="BV229" s="1021"/>
      <c r="BW229" s="1021"/>
      <c r="BX229" s="1021"/>
      <c r="BY229" s="1021"/>
      <c r="BZ229" s="1021"/>
      <c r="CA229" s="1021"/>
      <c r="CB229" s="1021"/>
      <c r="CC229" s="1021"/>
    </row>
    <row r="230" spans="8:81" x14ac:dyDescent="0.25">
      <c r="H230" s="1021"/>
      <c r="I230" s="1021"/>
      <c r="J230" s="1021"/>
      <c r="K230" s="1021"/>
      <c r="L230" s="1021"/>
      <c r="M230" s="1021"/>
      <c r="N230" s="1021"/>
      <c r="O230" s="1021"/>
      <c r="P230" s="1021"/>
      <c r="Q230" s="1021"/>
      <c r="R230" s="1021"/>
      <c r="S230" s="1021"/>
      <c r="T230" s="1021"/>
      <c r="U230" s="1021"/>
      <c r="V230" s="1021"/>
      <c r="W230" s="1021"/>
      <c r="X230" s="1021"/>
      <c r="Y230" s="1021"/>
      <c r="Z230" s="1021"/>
      <c r="AA230" s="1021"/>
      <c r="AB230" s="1021"/>
      <c r="AC230" s="1021"/>
      <c r="AD230" s="1021"/>
      <c r="AE230" s="1021"/>
      <c r="AF230" s="1021"/>
      <c r="AG230" s="1021"/>
      <c r="AH230" s="1021"/>
      <c r="AI230" s="1021"/>
      <c r="AJ230" s="1021"/>
      <c r="AK230" s="1021"/>
      <c r="AL230" s="1021"/>
      <c r="AM230" s="1021"/>
      <c r="AN230" s="1021"/>
      <c r="AO230" s="1021"/>
      <c r="AP230" s="1021"/>
      <c r="AQ230" s="1021"/>
      <c r="AR230" s="1021"/>
      <c r="AS230" s="1021"/>
      <c r="AT230" s="1021"/>
      <c r="AU230" s="1021"/>
      <c r="AV230" s="1021"/>
      <c r="AW230" s="1021"/>
      <c r="AX230" s="1021"/>
      <c r="AY230" s="1021"/>
      <c r="AZ230" s="1021"/>
      <c r="BA230" s="1021"/>
      <c r="BB230" s="1021"/>
      <c r="BC230" s="1021"/>
      <c r="BD230" s="1021"/>
      <c r="BE230" s="1021"/>
      <c r="BF230" s="1021"/>
      <c r="BG230" s="1021"/>
      <c r="BH230" s="1021"/>
      <c r="BI230" s="1021"/>
      <c r="BJ230" s="1021"/>
      <c r="BK230" s="1021"/>
      <c r="BL230" s="1021"/>
      <c r="BM230" s="1021"/>
      <c r="BN230" s="1021"/>
      <c r="BO230" s="1021"/>
      <c r="BP230" s="1021"/>
      <c r="BQ230" s="1021"/>
      <c r="BR230" s="1021"/>
      <c r="BS230" s="1021"/>
      <c r="BT230" s="1021"/>
      <c r="BU230" s="1021"/>
      <c r="BV230" s="1021"/>
      <c r="BW230" s="1021"/>
      <c r="BX230" s="1021"/>
      <c r="BY230" s="1021"/>
      <c r="BZ230" s="1021"/>
      <c r="CA230" s="1021"/>
      <c r="CB230" s="1021"/>
      <c r="CC230" s="1021"/>
    </row>
    <row r="231" spans="8:81" x14ac:dyDescent="0.25">
      <c r="H231" s="1021"/>
      <c r="I231" s="1021"/>
      <c r="J231" s="1021"/>
      <c r="K231" s="1021"/>
      <c r="L231" s="1021"/>
      <c r="M231" s="1021"/>
      <c r="N231" s="1021"/>
      <c r="O231" s="1021"/>
      <c r="P231" s="1021"/>
      <c r="Q231" s="1021"/>
      <c r="R231" s="1021"/>
      <c r="S231" s="1021"/>
      <c r="T231" s="1021"/>
      <c r="U231" s="1021"/>
      <c r="V231" s="1021"/>
      <c r="W231" s="1021"/>
      <c r="X231" s="1021"/>
      <c r="Y231" s="1021"/>
      <c r="Z231" s="1021"/>
      <c r="AA231" s="1021"/>
      <c r="AB231" s="1021"/>
      <c r="AC231" s="1021"/>
      <c r="AD231" s="1021"/>
      <c r="AE231" s="1021"/>
      <c r="AF231" s="1021"/>
      <c r="AG231" s="1021"/>
      <c r="AH231" s="1021"/>
      <c r="AI231" s="1021"/>
      <c r="AJ231" s="1021"/>
      <c r="AK231" s="1021"/>
      <c r="AL231" s="1021"/>
      <c r="AM231" s="1021"/>
      <c r="AN231" s="1021"/>
      <c r="AO231" s="1021"/>
      <c r="AP231" s="1021"/>
      <c r="AQ231" s="1021"/>
      <c r="AR231" s="1021"/>
      <c r="AS231" s="1021"/>
      <c r="AT231" s="1021"/>
      <c r="AU231" s="1021"/>
      <c r="AV231" s="1021"/>
      <c r="AW231" s="1021"/>
      <c r="AX231" s="1021"/>
      <c r="AY231" s="1021"/>
      <c r="AZ231" s="1021"/>
      <c r="BA231" s="1021"/>
      <c r="BB231" s="1021"/>
      <c r="BC231" s="1021"/>
      <c r="BD231" s="1021"/>
      <c r="BE231" s="1021"/>
      <c r="BF231" s="1021"/>
      <c r="BG231" s="1021"/>
      <c r="BH231" s="1021"/>
      <c r="BI231" s="1021"/>
      <c r="BJ231" s="1021"/>
      <c r="BK231" s="1021"/>
      <c r="BL231" s="1021"/>
      <c r="BM231" s="1021"/>
      <c r="BN231" s="1021"/>
      <c r="BO231" s="1021"/>
      <c r="BP231" s="1021"/>
      <c r="BQ231" s="1021"/>
      <c r="BR231" s="1021"/>
      <c r="BS231" s="1021"/>
      <c r="BT231" s="1021"/>
      <c r="BU231" s="1021"/>
      <c r="BV231" s="1021"/>
      <c r="BW231" s="1021"/>
      <c r="BX231" s="1021"/>
      <c r="BY231" s="1021"/>
      <c r="BZ231" s="1021"/>
      <c r="CA231" s="1021"/>
      <c r="CB231" s="1021"/>
      <c r="CC231" s="1021"/>
    </row>
    <row r="232" spans="8:81" x14ac:dyDescent="0.25">
      <c r="H232" s="1021"/>
      <c r="I232" s="1021"/>
      <c r="J232" s="1021"/>
      <c r="K232" s="1021"/>
      <c r="L232" s="1021"/>
      <c r="M232" s="1021"/>
      <c r="N232" s="1021"/>
      <c r="O232" s="1021"/>
      <c r="P232" s="1021"/>
      <c r="Q232" s="1021"/>
      <c r="R232" s="1021"/>
      <c r="S232" s="1021"/>
      <c r="T232" s="1021"/>
      <c r="U232" s="1021"/>
      <c r="V232" s="1021"/>
      <c r="W232" s="1021"/>
      <c r="X232" s="1021"/>
      <c r="Y232" s="1021"/>
      <c r="Z232" s="1021"/>
      <c r="AA232" s="1021"/>
      <c r="AB232" s="1021"/>
      <c r="AC232" s="1021"/>
      <c r="AD232" s="1021"/>
      <c r="AE232" s="1021"/>
      <c r="AF232" s="1021"/>
      <c r="AG232" s="1021"/>
      <c r="AH232" s="1021"/>
      <c r="AI232" s="1021"/>
      <c r="AJ232" s="1021"/>
      <c r="AK232" s="1021"/>
      <c r="AL232" s="1021"/>
      <c r="AM232" s="1021"/>
      <c r="AN232" s="1021"/>
      <c r="AO232" s="1021"/>
      <c r="AP232" s="1021"/>
      <c r="AQ232" s="1021"/>
      <c r="AR232" s="1021"/>
      <c r="AS232" s="1021"/>
      <c r="AT232" s="1021"/>
      <c r="AU232" s="1021"/>
      <c r="AV232" s="1021"/>
      <c r="AW232" s="1021"/>
      <c r="AX232" s="1021"/>
      <c r="AY232" s="1021"/>
      <c r="AZ232" s="1021"/>
      <c r="BA232" s="1021"/>
      <c r="BB232" s="1021"/>
      <c r="BC232" s="1021"/>
      <c r="BD232" s="1021"/>
      <c r="BE232" s="1021"/>
      <c r="BF232" s="1021"/>
      <c r="BG232" s="1021"/>
      <c r="BH232" s="1021"/>
      <c r="BI232" s="1021"/>
      <c r="BJ232" s="1021"/>
      <c r="BK232" s="1021"/>
      <c r="BL232" s="1021"/>
      <c r="BM232" s="1021"/>
      <c r="BN232" s="1021"/>
      <c r="BO232" s="1021"/>
      <c r="BP232" s="1021"/>
      <c r="BQ232" s="1021"/>
      <c r="BR232" s="1021"/>
      <c r="BS232" s="1021"/>
      <c r="BT232" s="1021"/>
      <c r="BU232" s="1021"/>
      <c r="BV232" s="1021"/>
      <c r="BW232" s="1021"/>
      <c r="BX232" s="1021"/>
      <c r="BY232" s="1021"/>
      <c r="BZ232" s="1021"/>
      <c r="CA232" s="1021"/>
      <c r="CB232" s="1021"/>
      <c r="CC232" s="1021"/>
    </row>
    <row r="233" spans="8:81" x14ac:dyDescent="0.25">
      <c r="H233" s="1021"/>
      <c r="I233" s="1021"/>
      <c r="J233" s="1021"/>
      <c r="K233" s="1021"/>
      <c r="L233" s="1021"/>
      <c r="M233" s="1021"/>
      <c r="N233" s="1021"/>
      <c r="O233" s="1021"/>
      <c r="P233" s="1021"/>
      <c r="Q233" s="1021"/>
      <c r="R233" s="1021"/>
      <c r="S233" s="1021"/>
      <c r="T233" s="1021"/>
      <c r="U233" s="1021"/>
      <c r="V233" s="1021"/>
      <c r="W233" s="1021"/>
      <c r="X233" s="1021"/>
      <c r="Y233" s="1021"/>
      <c r="Z233" s="1021"/>
      <c r="AA233" s="1021"/>
      <c r="AB233" s="1021"/>
      <c r="AC233" s="1021"/>
      <c r="AD233" s="1021"/>
      <c r="AE233" s="1021"/>
      <c r="AF233" s="1021"/>
      <c r="AG233" s="1021"/>
      <c r="AH233" s="1021"/>
      <c r="AI233" s="1021"/>
      <c r="AJ233" s="1021"/>
      <c r="AK233" s="1021"/>
      <c r="AL233" s="1021"/>
      <c r="AM233" s="1021"/>
      <c r="AN233" s="1021"/>
      <c r="AO233" s="1021"/>
      <c r="AP233" s="1021"/>
      <c r="AQ233" s="1021"/>
      <c r="AR233" s="1021"/>
      <c r="AS233" s="1021"/>
      <c r="AT233" s="1021"/>
      <c r="AU233" s="1021"/>
      <c r="AV233" s="1021"/>
      <c r="AW233" s="1021"/>
      <c r="AX233" s="1021"/>
      <c r="AY233" s="1021"/>
      <c r="AZ233" s="1021"/>
      <c r="BA233" s="1021"/>
      <c r="BB233" s="1021"/>
      <c r="BC233" s="1021"/>
      <c r="BD233" s="1021"/>
      <c r="BE233" s="1021"/>
      <c r="BF233" s="1021"/>
      <c r="BG233" s="1021"/>
      <c r="BH233" s="1021"/>
      <c r="BI233" s="1021"/>
      <c r="BJ233" s="1021"/>
      <c r="BK233" s="1021"/>
      <c r="BL233" s="1021"/>
      <c r="BM233" s="1021"/>
      <c r="BN233" s="1021"/>
      <c r="BO233" s="1021"/>
      <c r="BP233" s="1021"/>
      <c r="BQ233" s="1021"/>
      <c r="BR233" s="1021"/>
      <c r="BS233" s="1021"/>
      <c r="BT233" s="1021"/>
      <c r="BU233" s="1021"/>
      <c r="BV233" s="1021"/>
      <c r="BW233" s="1021"/>
      <c r="BX233" s="1021"/>
      <c r="BY233" s="1021"/>
      <c r="BZ233" s="1021"/>
      <c r="CA233" s="1021"/>
      <c r="CB233" s="1021"/>
      <c r="CC233" s="1021"/>
    </row>
    <row r="234" spans="8:81" x14ac:dyDescent="0.25">
      <c r="H234" s="1021"/>
      <c r="I234" s="1021"/>
      <c r="J234" s="1021"/>
      <c r="K234" s="1021"/>
      <c r="L234" s="1021"/>
      <c r="M234" s="1021"/>
      <c r="N234" s="1021"/>
      <c r="O234" s="1021"/>
      <c r="P234" s="1021"/>
      <c r="Q234" s="1021"/>
      <c r="R234" s="1021"/>
      <c r="S234" s="1021"/>
      <c r="T234" s="1021"/>
      <c r="U234" s="1021"/>
      <c r="V234" s="1021"/>
      <c r="W234" s="1021"/>
      <c r="X234" s="1021"/>
      <c r="Y234" s="1021"/>
      <c r="Z234" s="1021"/>
      <c r="AA234" s="1021"/>
      <c r="AB234" s="1021"/>
      <c r="AC234" s="1021"/>
      <c r="AD234" s="1021"/>
      <c r="AE234" s="1021"/>
      <c r="AF234" s="1021"/>
      <c r="AG234" s="1021"/>
      <c r="AH234" s="1021"/>
      <c r="AI234" s="1021"/>
      <c r="AJ234" s="1021"/>
      <c r="AK234" s="1021"/>
      <c r="AL234" s="1021"/>
      <c r="AM234" s="1021"/>
      <c r="AN234" s="1021"/>
      <c r="AO234" s="1021"/>
      <c r="AP234" s="1021"/>
      <c r="AQ234" s="1021"/>
      <c r="AR234" s="1021"/>
      <c r="AS234" s="1021"/>
      <c r="AT234" s="1021"/>
      <c r="AU234" s="1021"/>
      <c r="AV234" s="1021"/>
      <c r="AW234" s="1021"/>
      <c r="AX234" s="1021"/>
      <c r="AY234" s="1021"/>
      <c r="AZ234" s="1021"/>
      <c r="BA234" s="1021"/>
      <c r="BB234" s="1021"/>
      <c r="BC234" s="1021"/>
      <c r="BD234" s="1021"/>
      <c r="BE234" s="1021"/>
      <c r="BF234" s="1021"/>
      <c r="BG234" s="1021"/>
      <c r="BH234" s="1021"/>
      <c r="BI234" s="1021"/>
      <c r="BJ234" s="1021"/>
      <c r="BK234" s="1021"/>
      <c r="BL234" s="1021"/>
      <c r="BM234" s="1021"/>
      <c r="BN234" s="1021"/>
      <c r="BO234" s="1021"/>
      <c r="BP234" s="1021"/>
      <c r="BQ234" s="1021"/>
      <c r="BR234" s="1021"/>
      <c r="BS234" s="1021"/>
      <c r="BT234" s="1021"/>
      <c r="BU234" s="1021"/>
      <c r="BV234" s="1021"/>
      <c r="BW234" s="1021"/>
      <c r="BX234" s="1021"/>
      <c r="BY234" s="1021"/>
      <c r="BZ234" s="1021"/>
      <c r="CA234" s="1021"/>
      <c r="CB234" s="1021"/>
      <c r="CC234" s="1021"/>
    </row>
    <row r="235" spans="8:81" x14ac:dyDescent="0.25">
      <c r="H235" s="1021"/>
      <c r="I235" s="1021"/>
      <c r="J235" s="1021"/>
      <c r="K235" s="1021"/>
      <c r="L235" s="1021"/>
      <c r="M235" s="1021"/>
      <c r="N235" s="1021"/>
      <c r="O235" s="1021"/>
      <c r="P235" s="1021"/>
      <c r="Q235" s="1021"/>
      <c r="R235" s="1021"/>
      <c r="S235" s="1021"/>
      <c r="T235" s="1021"/>
      <c r="U235" s="1021"/>
      <c r="V235" s="1021"/>
      <c r="W235" s="1021"/>
      <c r="X235" s="1021"/>
      <c r="Y235" s="1021"/>
      <c r="Z235" s="1021"/>
      <c r="AA235" s="1021"/>
      <c r="AB235" s="1021"/>
      <c r="AC235" s="1021"/>
      <c r="AD235" s="1021"/>
      <c r="AE235" s="1021"/>
      <c r="AF235" s="1021"/>
      <c r="AG235" s="1021"/>
      <c r="AH235" s="1021"/>
      <c r="AI235" s="1021"/>
      <c r="AJ235" s="1021"/>
      <c r="AK235" s="1021"/>
      <c r="AL235" s="1021"/>
      <c r="AM235" s="1021"/>
      <c r="AN235" s="1021"/>
      <c r="AO235" s="1021"/>
      <c r="AP235" s="1021"/>
      <c r="AQ235" s="1021"/>
      <c r="AR235" s="1021"/>
      <c r="AS235" s="1021"/>
      <c r="AT235" s="1021"/>
      <c r="AU235" s="1021"/>
      <c r="AV235" s="1021"/>
      <c r="AW235" s="1021"/>
      <c r="AX235" s="1021"/>
      <c r="AY235" s="1021"/>
      <c r="AZ235" s="1021"/>
      <c r="BA235" s="1021"/>
      <c r="BB235" s="1021"/>
      <c r="BC235" s="1021"/>
      <c r="BD235" s="1021"/>
      <c r="BE235" s="1021"/>
      <c r="BF235" s="1021"/>
      <c r="BG235" s="1021"/>
      <c r="BH235" s="1021"/>
      <c r="BI235" s="1021"/>
      <c r="BJ235" s="1021"/>
      <c r="BK235" s="1021"/>
      <c r="BL235" s="1021"/>
      <c r="BM235" s="1021"/>
      <c r="BN235" s="1021"/>
      <c r="BO235" s="1021"/>
      <c r="BP235" s="1021"/>
      <c r="BQ235" s="1021"/>
      <c r="BR235" s="1021"/>
      <c r="BS235" s="1021"/>
      <c r="BT235" s="1021"/>
      <c r="BU235" s="1021"/>
      <c r="BV235" s="1021"/>
      <c r="BW235" s="1021"/>
      <c r="BX235" s="1021"/>
      <c r="BY235" s="1021"/>
      <c r="BZ235" s="1021"/>
      <c r="CA235" s="1021"/>
      <c r="CB235" s="1021"/>
      <c r="CC235" s="1021"/>
    </row>
    <row r="236" spans="8:81" x14ac:dyDescent="0.25">
      <c r="H236" s="1021"/>
      <c r="I236" s="1021"/>
      <c r="J236" s="1021"/>
      <c r="K236" s="1021"/>
      <c r="L236" s="1021"/>
      <c r="M236" s="1021"/>
      <c r="N236" s="1021"/>
      <c r="O236" s="1021"/>
      <c r="P236" s="1021"/>
      <c r="Q236" s="1021"/>
      <c r="R236" s="1021"/>
      <c r="S236" s="1021"/>
      <c r="T236" s="1021"/>
      <c r="U236" s="1021"/>
      <c r="V236" s="1021"/>
      <c r="W236" s="1021"/>
      <c r="X236" s="1021"/>
      <c r="Y236" s="1021"/>
      <c r="Z236" s="1021"/>
      <c r="AA236" s="1021"/>
      <c r="AB236" s="1021"/>
      <c r="AC236" s="1021"/>
      <c r="AD236" s="1021"/>
      <c r="AE236" s="1021"/>
      <c r="AF236" s="1021"/>
      <c r="AG236" s="1021"/>
      <c r="AH236" s="1021"/>
      <c r="AI236" s="1021"/>
      <c r="AJ236" s="1021"/>
      <c r="AK236" s="1021"/>
      <c r="AL236" s="1021"/>
      <c r="AM236" s="1021"/>
      <c r="AN236" s="1021"/>
      <c r="AO236" s="1021"/>
      <c r="AP236" s="1021"/>
      <c r="AQ236" s="1021"/>
      <c r="AR236" s="1021"/>
      <c r="AS236" s="1021"/>
      <c r="AT236" s="1021"/>
      <c r="AU236" s="1021"/>
      <c r="AV236" s="1021"/>
      <c r="AW236" s="1021"/>
      <c r="AX236" s="1021"/>
      <c r="AY236" s="1021"/>
      <c r="AZ236" s="1021"/>
      <c r="BA236" s="1021"/>
      <c r="BB236" s="1021"/>
      <c r="BC236" s="1021"/>
      <c r="BD236" s="1021"/>
      <c r="BE236" s="1021"/>
      <c r="BF236" s="1021"/>
      <c r="BG236" s="1021"/>
      <c r="BH236" s="1021"/>
      <c r="BI236" s="1021"/>
      <c r="BJ236" s="1021"/>
      <c r="BK236" s="1021"/>
      <c r="BL236" s="1021"/>
      <c r="BM236" s="1021"/>
      <c r="BN236" s="1021"/>
      <c r="BO236" s="1021"/>
      <c r="BP236" s="1021"/>
      <c r="BQ236" s="1021"/>
      <c r="BR236" s="1021"/>
      <c r="BS236" s="1021"/>
      <c r="BT236" s="1021"/>
      <c r="BU236" s="1021"/>
      <c r="BV236" s="1021"/>
      <c r="BW236" s="1021"/>
      <c r="BX236" s="1021"/>
      <c r="BY236" s="1021"/>
      <c r="BZ236" s="1021"/>
      <c r="CA236" s="1021"/>
      <c r="CB236" s="1021"/>
      <c r="CC236" s="1021"/>
    </row>
    <row r="237" spans="8:81" x14ac:dyDescent="0.25">
      <c r="H237" s="1021"/>
      <c r="I237" s="1021"/>
      <c r="J237" s="1021"/>
      <c r="K237" s="1021"/>
      <c r="L237" s="1021"/>
      <c r="M237" s="1021"/>
      <c r="N237" s="1021"/>
      <c r="O237" s="1021"/>
      <c r="P237" s="1021"/>
      <c r="Q237" s="1021"/>
      <c r="R237" s="1021"/>
      <c r="S237" s="1021"/>
      <c r="T237" s="1021"/>
      <c r="U237" s="1021"/>
      <c r="V237" s="1021"/>
      <c r="W237" s="1021"/>
      <c r="X237" s="1021"/>
      <c r="Y237" s="1021"/>
      <c r="Z237" s="1021"/>
      <c r="AA237" s="1021"/>
      <c r="AB237" s="1021"/>
      <c r="AC237" s="1021"/>
      <c r="AD237" s="1021"/>
      <c r="AE237" s="1021"/>
      <c r="AF237" s="1021"/>
      <c r="AG237" s="1021"/>
      <c r="AH237" s="1021"/>
      <c r="AI237" s="1021"/>
      <c r="AJ237" s="1021"/>
      <c r="AK237" s="1021"/>
      <c r="AL237" s="1021"/>
      <c r="AM237" s="1021"/>
      <c r="AN237" s="1021"/>
      <c r="AO237" s="1021"/>
      <c r="AP237" s="1021"/>
      <c r="AQ237" s="1021"/>
      <c r="AR237" s="1021"/>
      <c r="AS237" s="1021"/>
      <c r="AT237" s="1021"/>
      <c r="AU237" s="1021"/>
      <c r="AV237" s="1021"/>
      <c r="AW237" s="1021"/>
      <c r="AX237" s="1021"/>
      <c r="AY237" s="1021"/>
      <c r="AZ237" s="1021"/>
      <c r="BA237" s="1021"/>
      <c r="BB237" s="1021"/>
      <c r="BC237" s="1021"/>
      <c r="BD237" s="1021"/>
      <c r="BE237" s="1021"/>
      <c r="BF237" s="1021"/>
      <c r="BG237" s="1021"/>
      <c r="BH237" s="1021"/>
      <c r="BI237" s="1021"/>
      <c r="BJ237" s="1021"/>
      <c r="BK237" s="1021"/>
      <c r="BL237" s="1021"/>
      <c r="BM237" s="1021"/>
      <c r="BN237" s="1021"/>
      <c r="BO237" s="1021"/>
      <c r="BP237" s="1021"/>
      <c r="BQ237" s="1021"/>
      <c r="BR237" s="1021"/>
      <c r="BS237" s="1021"/>
      <c r="BT237" s="1021"/>
      <c r="BU237" s="1021"/>
      <c r="BV237" s="1021"/>
      <c r="BW237" s="1021"/>
      <c r="BX237" s="1021"/>
      <c r="BY237" s="1021"/>
      <c r="BZ237" s="1021"/>
      <c r="CA237" s="1021"/>
      <c r="CB237" s="1021"/>
      <c r="CC237" s="1021"/>
    </row>
    <row r="238" spans="8:81" x14ac:dyDescent="0.25">
      <c r="H238" s="1021"/>
      <c r="I238" s="1021"/>
      <c r="J238" s="1021"/>
      <c r="K238" s="1021"/>
      <c r="L238" s="1021"/>
      <c r="M238" s="1021"/>
      <c r="N238" s="1021"/>
      <c r="O238" s="1021"/>
      <c r="P238" s="1021"/>
      <c r="Q238" s="1021"/>
      <c r="R238" s="1021"/>
      <c r="S238" s="1021"/>
      <c r="T238" s="1021"/>
      <c r="U238" s="1021"/>
      <c r="V238" s="1021"/>
      <c r="W238" s="1021"/>
      <c r="X238" s="1021"/>
      <c r="Y238" s="1021"/>
      <c r="Z238" s="1021"/>
      <c r="AA238" s="1021"/>
      <c r="AB238" s="1021"/>
      <c r="AC238" s="1021"/>
      <c r="AD238" s="1021"/>
      <c r="AE238" s="1021"/>
      <c r="AF238" s="1021"/>
      <c r="AG238" s="1021"/>
      <c r="AH238" s="1021"/>
      <c r="AI238" s="1021"/>
      <c r="AJ238" s="1021"/>
      <c r="AK238" s="1021"/>
      <c r="AL238" s="1021"/>
      <c r="AM238" s="1021"/>
      <c r="AN238" s="1021"/>
      <c r="AO238" s="1021"/>
      <c r="AP238" s="1021"/>
      <c r="AQ238" s="1021"/>
      <c r="AR238" s="1021"/>
      <c r="AS238" s="1021"/>
      <c r="AT238" s="1021"/>
      <c r="AU238" s="1021"/>
      <c r="AV238" s="1021"/>
      <c r="AW238" s="1021"/>
      <c r="AX238" s="1021"/>
      <c r="AY238" s="1021"/>
      <c r="AZ238" s="1021"/>
      <c r="BA238" s="1021"/>
      <c r="BB238" s="1021"/>
      <c r="BC238" s="1021"/>
      <c r="BD238" s="1021"/>
      <c r="BE238" s="1021"/>
      <c r="BF238" s="1021"/>
      <c r="BG238" s="1021"/>
      <c r="BH238" s="1021"/>
      <c r="BI238" s="1021"/>
      <c r="BJ238" s="1021"/>
      <c r="BK238" s="1021"/>
      <c r="BL238" s="1021"/>
      <c r="BM238" s="1021"/>
      <c r="BN238" s="1021"/>
      <c r="BO238" s="1021"/>
      <c r="BP238" s="1021"/>
      <c r="BQ238" s="1021"/>
      <c r="BR238" s="1021"/>
      <c r="BS238" s="1021"/>
      <c r="BT238" s="1021"/>
      <c r="BU238" s="1021"/>
      <c r="BV238" s="1021"/>
      <c r="BW238" s="1021"/>
      <c r="BX238" s="1021"/>
      <c r="BY238" s="1021"/>
      <c r="BZ238" s="1021"/>
      <c r="CA238" s="1021"/>
      <c r="CB238" s="1021"/>
      <c r="CC238" s="1021"/>
    </row>
    <row r="239" spans="8:81" x14ac:dyDescent="0.25">
      <c r="H239" s="1021"/>
      <c r="I239" s="1021"/>
      <c r="J239" s="1021"/>
      <c r="K239" s="1021"/>
      <c r="L239" s="1021"/>
      <c r="M239" s="1021"/>
      <c r="N239" s="1021"/>
      <c r="O239" s="1021"/>
      <c r="P239" s="1021"/>
      <c r="Q239" s="1021"/>
      <c r="R239" s="1021"/>
      <c r="S239" s="1021"/>
      <c r="T239" s="1021"/>
      <c r="U239" s="1021"/>
      <c r="V239" s="1021"/>
      <c r="W239" s="1021"/>
      <c r="X239" s="1021"/>
      <c r="Y239" s="1021"/>
      <c r="Z239" s="1021"/>
      <c r="AA239" s="1021"/>
      <c r="AB239" s="1021"/>
      <c r="AC239" s="1021"/>
      <c r="AD239" s="1021"/>
      <c r="AE239" s="1021"/>
      <c r="AF239" s="1021"/>
      <c r="AG239" s="1021"/>
      <c r="AH239" s="1021"/>
      <c r="AI239" s="1021"/>
      <c r="AJ239" s="1021"/>
      <c r="AK239" s="1021"/>
      <c r="AL239" s="1021"/>
      <c r="AM239" s="1021"/>
      <c r="AN239" s="1021"/>
      <c r="AO239" s="1021"/>
      <c r="AP239" s="1021"/>
      <c r="AQ239" s="1021"/>
      <c r="AR239" s="1021"/>
      <c r="AS239" s="1021"/>
      <c r="AT239" s="1021"/>
      <c r="AU239" s="1021"/>
      <c r="AV239" s="1021"/>
      <c r="AW239" s="1021"/>
      <c r="AX239" s="1021"/>
      <c r="AY239" s="1021"/>
      <c r="AZ239" s="1021"/>
      <c r="BA239" s="1021"/>
      <c r="BB239" s="1021"/>
      <c r="BC239" s="1021"/>
      <c r="BD239" s="1021"/>
      <c r="BE239" s="1021"/>
      <c r="BF239" s="1021"/>
      <c r="BG239" s="1021"/>
      <c r="BH239" s="1021"/>
      <c r="BI239" s="1021"/>
      <c r="BJ239" s="1021"/>
      <c r="BK239" s="1021"/>
      <c r="BL239" s="1021"/>
      <c r="BM239" s="1021"/>
      <c r="BN239" s="1021"/>
      <c r="BO239" s="1021"/>
      <c r="BP239" s="1021"/>
      <c r="BQ239" s="1021"/>
      <c r="BR239" s="1021"/>
      <c r="BS239" s="1021"/>
      <c r="BT239" s="1021"/>
      <c r="BU239" s="1021"/>
      <c r="BV239" s="1021"/>
      <c r="BW239" s="1021"/>
      <c r="BX239" s="1021"/>
      <c r="BY239" s="1021"/>
      <c r="BZ239" s="1021"/>
      <c r="CA239" s="1021"/>
      <c r="CB239" s="1021"/>
      <c r="CC239" s="1021"/>
    </row>
    <row r="240" spans="8:81" x14ac:dyDescent="0.25">
      <c r="H240" s="1021"/>
      <c r="I240" s="1021"/>
      <c r="J240" s="1021"/>
      <c r="K240" s="1021"/>
      <c r="L240" s="1021"/>
      <c r="M240" s="1021"/>
      <c r="N240" s="1021"/>
      <c r="O240" s="1021"/>
      <c r="P240" s="1021"/>
      <c r="Q240" s="1021"/>
      <c r="R240" s="1021"/>
      <c r="S240" s="1021"/>
      <c r="T240" s="1021"/>
      <c r="U240" s="1021"/>
      <c r="V240" s="1021"/>
      <c r="W240" s="1021"/>
      <c r="X240" s="1021"/>
      <c r="Y240" s="1021"/>
      <c r="Z240" s="1021"/>
      <c r="AA240" s="1021"/>
      <c r="AB240" s="1021"/>
      <c r="AC240" s="1021"/>
      <c r="AD240" s="1021"/>
      <c r="AE240" s="1021"/>
      <c r="AF240" s="1021"/>
      <c r="AG240" s="1021"/>
      <c r="AH240" s="1021"/>
      <c r="AI240" s="1021"/>
      <c r="AJ240" s="1021"/>
      <c r="AK240" s="1021"/>
      <c r="AL240" s="1021"/>
      <c r="AM240" s="1021"/>
      <c r="AN240" s="1021"/>
      <c r="AO240" s="1021"/>
      <c r="AP240" s="1021"/>
      <c r="AQ240" s="1021"/>
      <c r="AR240" s="1021"/>
      <c r="AS240" s="1021"/>
      <c r="AT240" s="1021"/>
      <c r="AU240" s="1021"/>
      <c r="AV240" s="1021"/>
      <c r="AW240" s="1021"/>
      <c r="AX240" s="1021"/>
      <c r="AY240" s="1021"/>
      <c r="AZ240" s="1021"/>
      <c r="BA240" s="1021"/>
      <c r="BB240" s="1021"/>
      <c r="BC240" s="1021"/>
      <c r="BD240" s="1021"/>
      <c r="BE240" s="1021"/>
      <c r="BF240" s="1021"/>
      <c r="BG240" s="1021"/>
      <c r="BH240" s="1021"/>
      <c r="BI240" s="1021"/>
      <c r="BJ240" s="1021"/>
      <c r="BK240" s="1021"/>
      <c r="BL240" s="1021"/>
      <c r="BM240" s="1021"/>
      <c r="BN240" s="1021"/>
      <c r="BO240" s="1021"/>
      <c r="BP240" s="1021"/>
      <c r="BQ240" s="1021"/>
      <c r="BR240" s="1021"/>
      <c r="BS240" s="1021"/>
      <c r="BT240" s="1021"/>
      <c r="BU240" s="1021"/>
      <c r="BV240" s="1021"/>
      <c r="BW240" s="1021"/>
      <c r="BX240" s="1021"/>
      <c r="BY240" s="1021"/>
      <c r="BZ240" s="1021"/>
      <c r="CA240" s="1021"/>
      <c r="CB240" s="1021"/>
      <c r="CC240" s="1021"/>
    </row>
    <row r="241" spans="8:81" x14ac:dyDescent="0.25">
      <c r="H241" s="1021"/>
      <c r="I241" s="1021"/>
      <c r="J241" s="1021"/>
      <c r="K241" s="1021"/>
      <c r="L241" s="1021"/>
      <c r="M241" s="1021"/>
      <c r="N241" s="1021"/>
      <c r="O241" s="1021"/>
      <c r="P241" s="1021"/>
      <c r="Q241" s="1021"/>
      <c r="R241" s="1021"/>
      <c r="S241" s="1021"/>
      <c r="T241" s="1021"/>
      <c r="U241" s="1021"/>
      <c r="V241" s="1021"/>
      <c r="W241" s="1021"/>
      <c r="X241" s="1021"/>
      <c r="Y241" s="1021"/>
      <c r="Z241" s="1021"/>
      <c r="AA241" s="1021"/>
      <c r="AB241" s="1021"/>
      <c r="AC241" s="1021"/>
      <c r="AD241" s="1021"/>
      <c r="AE241" s="1021"/>
      <c r="AF241" s="1021"/>
      <c r="AG241" s="1021"/>
      <c r="AH241" s="1021"/>
      <c r="AI241" s="1021"/>
      <c r="AJ241" s="1021"/>
      <c r="AK241" s="1021"/>
      <c r="AL241" s="1021"/>
      <c r="AM241" s="1021"/>
      <c r="AN241" s="1021"/>
      <c r="AO241" s="1021"/>
      <c r="AP241" s="1021"/>
      <c r="AQ241" s="1021"/>
      <c r="AR241" s="1021"/>
      <c r="AS241" s="1021"/>
      <c r="AT241" s="1021"/>
      <c r="AU241" s="1021"/>
      <c r="AV241" s="1021"/>
      <c r="AW241" s="1021"/>
      <c r="AX241" s="1021"/>
      <c r="AY241" s="1021"/>
      <c r="AZ241" s="1021"/>
      <c r="BA241" s="1021"/>
      <c r="BB241" s="1021"/>
      <c r="BC241" s="1021"/>
      <c r="BD241" s="1021"/>
      <c r="BE241" s="1021"/>
      <c r="BF241" s="1021"/>
      <c r="BG241" s="1021"/>
      <c r="BH241" s="1021"/>
      <c r="BI241" s="1021"/>
      <c r="BJ241" s="1021"/>
      <c r="BK241" s="1021"/>
      <c r="BL241" s="1021"/>
      <c r="BM241" s="1021"/>
      <c r="BN241" s="1021"/>
      <c r="BO241" s="1021"/>
      <c r="BP241" s="1021"/>
      <c r="BQ241" s="1021"/>
      <c r="BR241" s="1021"/>
      <c r="BS241" s="1021"/>
      <c r="BT241" s="1021"/>
      <c r="BU241" s="1021"/>
      <c r="BV241" s="1021"/>
      <c r="BW241" s="1021"/>
      <c r="BX241" s="1021"/>
      <c r="BY241" s="1021"/>
      <c r="BZ241" s="1021"/>
      <c r="CA241" s="1021"/>
      <c r="CB241" s="1021"/>
      <c r="CC241" s="1021"/>
    </row>
    <row r="242" spans="8:81" x14ac:dyDescent="0.25">
      <c r="H242" s="1021"/>
      <c r="I242" s="1021"/>
      <c r="J242" s="1021"/>
      <c r="K242" s="1021"/>
      <c r="L242" s="1021"/>
      <c r="M242" s="1021"/>
      <c r="N242" s="1021"/>
      <c r="O242" s="1021"/>
      <c r="P242" s="1021"/>
      <c r="Q242" s="1021"/>
      <c r="R242" s="1021"/>
      <c r="S242" s="1021"/>
      <c r="T242" s="1021"/>
      <c r="U242" s="1021"/>
      <c r="V242" s="1021"/>
      <c r="W242" s="1021"/>
      <c r="X242" s="1021"/>
      <c r="Y242" s="1021"/>
      <c r="Z242" s="1021"/>
      <c r="AA242" s="1021"/>
      <c r="AB242" s="1021"/>
      <c r="AC242" s="1021"/>
      <c r="AD242" s="1021"/>
      <c r="AE242" s="1021"/>
      <c r="AF242" s="1021"/>
      <c r="AG242" s="1021"/>
      <c r="AH242" s="1021"/>
      <c r="AI242" s="1021"/>
      <c r="AJ242" s="1021"/>
      <c r="AK242" s="1021"/>
      <c r="AL242" s="1021"/>
      <c r="AM242" s="1021"/>
      <c r="AN242" s="1021"/>
      <c r="AO242" s="1021"/>
      <c r="AP242" s="1021"/>
      <c r="AQ242" s="1021"/>
      <c r="AR242" s="1021"/>
      <c r="AS242" s="1021"/>
      <c r="AT242" s="1021"/>
      <c r="AU242" s="1021"/>
      <c r="AV242" s="1021"/>
      <c r="AW242" s="1021"/>
      <c r="AX242" s="1021"/>
      <c r="AY242" s="1021"/>
      <c r="AZ242" s="1021"/>
      <c r="BA242" s="1021"/>
      <c r="BB242" s="1021"/>
      <c r="BC242" s="1021"/>
      <c r="BD242" s="1021"/>
      <c r="BE242" s="1021"/>
      <c r="BF242" s="1021"/>
      <c r="BG242" s="1021"/>
      <c r="BH242" s="1021"/>
      <c r="BI242" s="1021"/>
      <c r="BJ242" s="1021"/>
      <c r="BK242" s="1021"/>
      <c r="BL242" s="1021"/>
      <c r="BM242" s="1021"/>
      <c r="BN242" s="1021"/>
      <c r="BO242" s="1021"/>
      <c r="BP242" s="1021"/>
      <c r="BQ242" s="1021"/>
      <c r="BR242" s="1021"/>
      <c r="BS242" s="1021"/>
      <c r="BT242" s="1021"/>
      <c r="BU242" s="1021"/>
      <c r="BV242" s="1021"/>
      <c r="BW242" s="1021"/>
      <c r="BX242" s="1021"/>
      <c r="BY242" s="1021"/>
      <c r="BZ242" s="1021"/>
      <c r="CA242" s="1021"/>
      <c r="CB242" s="1021"/>
      <c r="CC242" s="1021"/>
    </row>
    <row r="243" spans="8:81" x14ac:dyDescent="0.25">
      <c r="H243" s="1021"/>
      <c r="I243" s="1021"/>
      <c r="J243" s="1021"/>
      <c r="K243" s="1021"/>
      <c r="L243" s="1021"/>
      <c r="M243" s="1021"/>
      <c r="N243" s="1021"/>
      <c r="O243" s="1021"/>
      <c r="P243" s="1021"/>
      <c r="Q243" s="1021"/>
      <c r="R243" s="1021"/>
      <c r="S243" s="1021"/>
      <c r="T243" s="1021"/>
      <c r="U243" s="1021"/>
      <c r="V243" s="1021"/>
      <c r="W243" s="1021"/>
      <c r="X243" s="1021"/>
      <c r="Y243" s="1021"/>
      <c r="Z243" s="1021"/>
      <c r="AA243" s="1021"/>
      <c r="AB243" s="1021"/>
      <c r="AC243" s="1021"/>
      <c r="AD243" s="1021"/>
      <c r="AE243" s="1021"/>
      <c r="AF243" s="1021"/>
      <c r="AG243" s="1021"/>
      <c r="AH243" s="1021"/>
      <c r="AI243" s="1021"/>
      <c r="AJ243" s="1021"/>
      <c r="AK243" s="1021"/>
      <c r="AL243" s="1021"/>
      <c r="AM243" s="1021"/>
      <c r="AN243" s="1021"/>
      <c r="AO243" s="1021"/>
      <c r="AP243" s="1021"/>
      <c r="AQ243" s="1021"/>
      <c r="AR243" s="1021"/>
      <c r="AS243" s="1021"/>
      <c r="AT243" s="1021"/>
      <c r="AU243" s="1021"/>
      <c r="AV243" s="1021"/>
      <c r="AW243" s="1021"/>
      <c r="AX243" s="1021"/>
      <c r="AY243" s="1021"/>
      <c r="AZ243" s="1021"/>
      <c r="BA243" s="1021"/>
      <c r="BB243" s="1021"/>
      <c r="BC243" s="1021"/>
      <c r="BD243" s="1021"/>
      <c r="BE243" s="1021"/>
      <c r="BF243" s="1021"/>
      <c r="BG243" s="1021"/>
      <c r="BH243" s="1021"/>
      <c r="BI243" s="1021"/>
      <c r="BJ243" s="1021"/>
      <c r="BK243" s="1021"/>
      <c r="BL243" s="1021"/>
      <c r="BM243" s="1021"/>
      <c r="BN243" s="1021"/>
      <c r="BO243" s="1021"/>
      <c r="BP243" s="1021"/>
      <c r="BQ243" s="1021"/>
      <c r="BR243" s="1021"/>
      <c r="BS243" s="1021"/>
      <c r="BT243" s="1021"/>
      <c r="BU243" s="1021"/>
      <c r="BV243" s="1021"/>
      <c r="BW243" s="1021"/>
      <c r="BX243" s="1021"/>
      <c r="BY243" s="1021"/>
      <c r="BZ243" s="1021"/>
      <c r="CA243" s="1021"/>
      <c r="CB243" s="1021"/>
      <c r="CC243" s="1021"/>
    </row>
    <row r="244" spans="8:81" x14ac:dyDescent="0.25">
      <c r="H244" s="1021"/>
      <c r="I244" s="1021"/>
      <c r="J244" s="1021"/>
      <c r="K244" s="1021"/>
      <c r="L244" s="1021"/>
      <c r="M244" s="1021"/>
      <c r="N244" s="1021"/>
      <c r="O244" s="1021"/>
      <c r="P244" s="1021"/>
      <c r="Q244" s="1021"/>
      <c r="R244" s="1021"/>
      <c r="S244" s="1021"/>
      <c r="T244" s="1021"/>
      <c r="U244" s="1021"/>
      <c r="V244" s="1021"/>
      <c r="W244" s="1021"/>
      <c r="X244" s="1021"/>
      <c r="Y244" s="1021"/>
      <c r="Z244" s="1021"/>
      <c r="AA244" s="1021"/>
      <c r="AB244" s="1021"/>
      <c r="AC244" s="1021"/>
      <c r="AD244" s="1021"/>
      <c r="AE244" s="1021"/>
      <c r="AF244" s="1021"/>
      <c r="AG244" s="1021"/>
      <c r="AH244" s="1021"/>
      <c r="AI244" s="1021"/>
      <c r="AJ244" s="1021"/>
      <c r="AK244" s="1021"/>
      <c r="AL244" s="1021"/>
      <c r="AM244" s="1021"/>
      <c r="AN244" s="1021"/>
      <c r="AO244" s="1021"/>
      <c r="AP244" s="1021"/>
      <c r="AQ244" s="1021"/>
      <c r="AR244" s="1021"/>
      <c r="AS244" s="1021"/>
      <c r="AT244" s="1021"/>
      <c r="AU244" s="1021"/>
      <c r="AV244" s="1021"/>
      <c r="AW244" s="1021"/>
      <c r="AX244" s="1021"/>
      <c r="AY244" s="1021"/>
      <c r="AZ244" s="1021"/>
      <c r="BA244" s="1021"/>
      <c r="BB244" s="1021"/>
      <c r="BC244" s="1021"/>
      <c r="BD244" s="1021"/>
      <c r="BE244" s="1021"/>
      <c r="BF244" s="1021"/>
      <c r="BG244" s="1021"/>
      <c r="BH244" s="1021"/>
      <c r="BI244" s="1021"/>
      <c r="BJ244" s="1021"/>
      <c r="BK244" s="1021"/>
      <c r="BL244" s="1021"/>
      <c r="BM244" s="1021"/>
      <c r="BN244" s="1021"/>
      <c r="BO244" s="1021"/>
      <c r="BP244" s="1021"/>
      <c r="BQ244" s="1021"/>
      <c r="BR244" s="1021"/>
      <c r="BS244" s="1021"/>
      <c r="BT244" s="1021"/>
      <c r="BU244" s="1021"/>
      <c r="BV244" s="1021"/>
      <c r="BW244" s="1021"/>
      <c r="BX244" s="1021"/>
      <c r="BY244" s="1021"/>
      <c r="BZ244" s="1021"/>
      <c r="CA244" s="1021"/>
      <c r="CB244" s="1021"/>
      <c r="CC244" s="1021"/>
    </row>
    <row r="245" spans="8:81" x14ac:dyDescent="0.25">
      <c r="H245" s="1021"/>
      <c r="I245" s="1021"/>
      <c r="J245" s="1021"/>
      <c r="K245" s="1021"/>
      <c r="L245" s="1021"/>
      <c r="M245" s="1021"/>
      <c r="N245" s="1021"/>
      <c r="O245" s="1021"/>
      <c r="P245" s="1021"/>
      <c r="Q245" s="1021"/>
      <c r="R245" s="1021"/>
      <c r="S245" s="1021"/>
      <c r="T245" s="1021"/>
      <c r="U245" s="1021"/>
      <c r="V245" s="1021"/>
      <c r="W245" s="1021"/>
      <c r="X245" s="1021"/>
      <c r="Y245" s="1021"/>
      <c r="Z245" s="1021"/>
      <c r="AA245" s="1021"/>
      <c r="AB245" s="1021"/>
      <c r="AC245" s="1021"/>
      <c r="AD245" s="1021"/>
      <c r="AE245" s="1021"/>
      <c r="AF245" s="1021"/>
      <c r="AG245" s="1021"/>
      <c r="AH245" s="1021"/>
      <c r="AI245" s="1021"/>
      <c r="AJ245" s="1021"/>
      <c r="AK245" s="1021"/>
      <c r="AL245" s="1021"/>
      <c r="AM245" s="1021"/>
      <c r="AN245" s="1021"/>
      <c r="AO245" s="1021"/>
      <c r="AP245" s="1021"/>
      <c r="AQ245" s="1021"/>
      <c r="AR245" s="1021"/>
      <c r="AS245" s="1021"/>
      <c r="AT245" s="1021"/>
      <c r="AU245" s="1021"/>
      <c r="AV245" s="1021"/>
      <c r="AW245" s="1021"/>
      <c r="AX245" s="1021"/>
      <c r="AY245" s="1021"/>
      <c r="AZ245" s="1021"/>
      <c r="BA245" s="1021"/>
      <c r="BB245" s="1021"/>
      <c r="BC245" s="1021"/>
      <c r="BD245" s="1021"/>
      <c r="BE245" s="1021"/>
      <c r="BF245" s="1021"/>
      <c r="BG245" s="1021"/>
      <c r="BH245" s="1021"/>
      <c r="BI245" s="1021"/>
      <c r="BJ245" s="1021"/>
      <c r="BK245" s="1021"/>
      <c r="BL245" s="1021"/>
      <c r="BM245" s="1021"/>
      <c r="BN245" s="1021"/>
      <c r="BO245" s="1021"/>
      <c r="BP245" s="1021"/>
      <c r="BQ245" s="1021"/>
      <c r="BR245" s="1021"/>
      <c r="BS245" s="1021"/>
      <c r="BT245" s="1021"/>
      <c r="BU245" s="1021"/>
      <c r="BV245" s="1021"/>
      <c r="BW245" s="1021"/>
      <c r="BX245" s="1021"/>
      <c r="BY245" s="1021"/>
      <c r="BZ245" s="1021"/>
      <c r="CA245" s="1021"/>
      <c r="CB245" s="1021"/>
      <c r="CC245" s="1021"/>
    </row>
    <row r="246" spans="8:81" x14ac:dyDescent="0.25">
      <c r="H246" s="1021"/>
      <c r="I246" s="1021"/>
      <c r="J246" s="1021"/>
      <c r="K246" s="1021"/>
      <c r="L246" s="1021"/>
      <c r="M246" s="1021"/>
      <c r="N246" s="1021"/>
      <c r="O246" s="1021"/>
      <c r="P246" s="1021"/>
      <c r="Q246" s="1021"/>
      <c r="R246" s="1021"/>
      <c r="S246" s="1021"/>
      <c r="T246" s="1021"/>
      <c r="U246" s="1021"/>
      <c r="V246" s="1021"/>
      <c r="W246" s="1021"/>
      <c r="X246" s="1021"/>
      <c r="Y246" s="1021"/>
      <c r="Z246" s="1021"/>
      <c r="AA246" s="1021"/>
      <c r="AB246" s="1021"/>
      <c r="AC246" s="1021"/>
      <c r="AD246" s="1021"/>
      <c r="AE246" s="1021"/>
      <c r="AF246" s="1021"/>
      <c r="AG246" s="1021"/>
      <c r="AH246" s="1021"/>
      <c r="AI246" s="1021"/>
      <c r="AJ246" s="1021"/>
      <c r="AK246" s="1021"/>
      <c r="AL246" s="1021"/>
      <c r="AM246" s="1021"/>
      <c r="AN246" s="1021"/>
      <c r="AO246" s="1021"/>
      <c r="AP246" s="1021"/>
      <c r="AQ246" s="1021"/>
      <c r="AR246" s="1021"/>
      <c r="AS246" s="1021"/>
      <c r="AT246" s="1021"/>
      <c r="AU246" s="1021"/>
      <c r="AV246" s="1021"/>
      <c r="AW246" s="1021"/>
      <c r="AX246" s="1021"/>
      <c r="AY246" s="1021"/>
      <c r="AZ246" s="1021"/>
      <c r="BA246" s="1021"/>
      <c r="BB246" s="1021"/>
      <c r="BC246" s="1021"/>
      <c r="BD246" s="1021"/>
      <c r="BE246" s="1021"/>
      <c r="BF246" s="1021"/>
      <c r="BG246" s="1021"/>
      <c r="BH246" s="1021"/>
      <c r="BI246" s="1021"/>
      <c r="BJ246" s="1021"/>
      <c r="BK246" s="1021"/>
      <c r="BL246" s="1021"/>
      <c r="BM246" s="1021"/>
      <c r="BN246" s="1021"/>
      <c r="BO246" s="1021"/>
      <c r="BP246" s="1021"/>
      <c r="BQ246" s="1021"/>
      <c r="BR246" s="1021"/>
      <c r="BS246" s="1021"/>
      <c r="BT246" s="1021"/>
      <c r="BU246" s="1021"/>
      <c r="BV246" s="1021"/>
      <c r="BW246" s="1021"/>
      <c r="BX246" s="1021"/>
      <c r="BY246" s="1021"/>
      <c r="BZ246" s="1021"/>
      <c r="CA246" s="1021"/>
      <c r="CB246" s="1021"/>
      <c r="CC246" s="1021"/>
    </row>
    <row r="247" spans="8:81" x14ac:dyDescent="0.25">
      <c r="H247" s="1021"/>
      <c r="I247" s="1021"/>
      <c r="J247" s="1021"/>
      <c r="K247" s="1021"/>
      <c r="L247" s="1021"/>
      <c r="M247" s="1021"/>
      <c r="N247" s="1021"/>
      <c r="O247" s="1021"/>
      <c r="P247" s="1021"/>
      <c r="Q247" s="1021"/>
      <c r="R247" s="1021"/>
      <c r="S247" s="1021"/>
      <c r="T247" s="1021"/>
      <c r="U247" s="1021"/>
      <c r="V247" s="1021"/>
      <c r="W247" s="1021"/>
      <c r="X247" s="1021"/>
      <c r="Y247" s="1021"/>
      <c r="Z247" s="1021"/>
      <c r="AA247" s="1021"/>
      <c r="AB247" s="1021"/>
      <c r="AC247" s="1021"/>
      <c r="AD247" s="1021"/>
      <c r="AE247" s="1021"/>
      <c r="AF247" s="1021"/>
      <c r="AG247" s="1021"/>
      <c r="AH247" s="1021"/>
      <c r="AI247" s="1021"/>
      <c r="AJ247" s="1021"/>
      <c r="AK247" s="1021"/>
      <c r="AL247" s="1021"/>
      <c r="AM247" s="1021"/>
      <c r="AN247" s="1021"/>
      <c r="AO247" s="1021"/>
      <c r="AP247" s="1021"/>
      <c r="AQ247" s="1021"/>
      <c r="AR247" s="1021"/>
      <c r="AS247" s="1021"/>
      <c r="AT247" s="1021"/>
      <c r="AU247" s="1021"/>
      <c r="AV247" s="1021"/>
      <c r="AW247" s="1021"/>
      <c r="AX247" s="1021"/>
      <c r="AY247" s="1021"/>
      <c r="AZ247" s="1021"/>
      <c r="BA247" s="1021"/>
      <c r="BB247" s="1021"/>
      <c r="BC247" s="1021"/>
      <c r="BD247" s="1021"/>
      <c r="BE247" s="1021"/>
      <c r="BF247" s="1021"/>
      <c r="BG247" s="1021"/>
      <c r="BH247" s="1021"/>
      <c r="BI247" s="1021"/>
      <c r="BJ247" s="1021"/>
      <c r="BK247" s="1021"/>
      <c r="BL247" s="1021"/>
      <c r="BM247" s="1021"/>
      <c r="BN247" s="1021"/>
      <c r="BO247" s="1021"/>
      <c r="BP247" s="1021"/>
      <c r="BQ247" s="1021"/>
      <c r="BR247" s="1021"/>
      <c r="BS247" s="1021"/>
      <c r="BT247" s="1021"/>
      <c r="BU247" s="1021"/>
      <c r="BV247" s="1021"/>
      <c r="BW247" s="1021"/>
      <c r="BX247" s="1021"/>
      <c r="BY247" s="1021"/>
      <c r="BZ247" s="1021"/>
      <c r="CA247" s="1021"/>
      <c r="CB247" s="1021"/>
      <c r="CC247" s="1021"/>
    </row>
    <row r="248" spans="8:81" x14ac:dyDescent="0.25">
      <c r="H248" s="1021"/>
      <c r="I248" s="1021"/>
      <c r="J248" s="1021"/>
      <c r="K248" s="1021"/>
      <c r="L248" s="1021"/>
      <c r="M248" s="1021"/>
      <c r="N248" s="1021"/>
      <c r="O248" s="1021"/>
      <c r="P248" s="1021"/>
      <c r="Q248" s="1021"/>
      <c r="R248" s="1021"/>
      <c r="S248" s="1021"/>
      <c r="T248" s="1021"/>
      <c r="U248" s="1021"/>
      <c r="V248" s="1021"/>
      <c r="W248" s="1021"/>
      <c r="X248" s="1021"/>
      <c r="Y248" s="1021"/>
      <c r="Z248" s="1021"/>
      <c r="AA248" s="1021"/>
      <c r="AB248" s="1021"/>
      <c r="AC248" s="1021"/>
      <c r="AD248" s="1021"/>
      <c r="AE248" s="1021"/>
      <c r="AF248" s="1021"/>
      <c r="AG248" s="1021"/>
      <c r="AH248" s="1021"/>
      <c r="AI248" s="1021"/>
      <c r="AJ248" s="1021"/>
      <c r="AK248" s="1021"/>
      <c r="AL248" s="1021"/>
      <c r="AM248" s="1021"/>
      <c r="AN248" s="1021"/>
      <c r="AO248" s="1021"/>
      <c r="AP248" s="1021"/>
      <c r="AQ248" s="1021"/>
      <c r="AR248" s="1021"/>
      <c r="AS248" s="1021"/>
      <c r="AT248" s="1021"/>
      <c r="AU248" s="1021"/>
      <c r="AV248" s="1021"/>
      <c r="AW248" s="1021"/>
      <c r="AX248" s="1021"/>
      <c r="AY248" s="1021"/>
      <c r="AZ248" s="1021"/>
      <c r="BA248" s="1021"/>
      <c r="BB248" s="1021"/>
      <c r="BC248" s="1021"/>
      <c r="BD248" s="1021"/>
      <c r="BE248" s="1021"/>
      <c r="BF248" s="1021"/>
      <c r="BG248" s="1021"/>
      <c r="BH248" s="1021"/>
      <c r="BI248" s="1021"/>
      <c r="BJ248" s="1021"/>
      <c r="BK248" s="1021"/>
      <c r="BL248" s="1021"/>
      <c r="BM248" s="1021"/>
      <c r="BN248" s="1021"/>
      <c r="BO248" s="1021"/>
      <c r="BP248" s="1021"/>
      <c r="BQ248" s="1021"/>
      <c r="BR248" s="1021"/>
      <c r="BS248" s="1021"/>
      <c r="BT248" s="1021"/>
      <c r="BU248" s="1021"/>
      <c r="BV248" s="1021"/>
      <c r="BW248" s="1021"/>
      <c r="BX248" s="1021"/>
      <c r="BY248" s="1021"/>
      <c r="BZ248" s="1021"/>
      <c r="CA248" s="1021"/>
      <c r="CB248" s="1021"/>
      <c r="CC248" s="1021"/>
    </row>
    <row r="249" spans="8:81" x14ac:dyDescent="0.25">
      <c r="H249" s="1021"/>
      <c r="I249" s="1021"/>
      <c r="J249" s="1021"/>
      <c r="K249" s="1021"/>
      <c r="L249" s="1021"/>
      <c r="M249" s="1021"/>
      <c r="N249" s="1021"/>
      <c r="O249" s="1021"/>
      <c r="P249" s="1021"/>
      <c r="Q249" s="1021"/>
      <c r="R249" s="1021"/>
      <c r="S249" s="1021"/>
      <c r="T249" s="1021"/>
      <c r="U249" s="1021"/>
      <c r="V249" s="1021"/>
      <c r="W249" s="1021"/>
      <c r="X249" s="1021"/>
      <c r="Y249" s="1021"/>
      <c r="Z249" s="1021"/>
      <c r="AA249" s="1021"/>
      <c r="AB249" s="1021"/>
      <c r="AC249" s="1021"/>
      <c r="AD249" s="1021"/>
      <c r="AE249" s="1021"/>
      <c r="AF249" s="1021"/>
      <c r="AG249" s="1021"/>
      <c r="AH249" s="1021"/>
      <c r="AI249" s="1021"/>
      <c r="AJ249" s="1021"/>
      <c r="AK249" s="1021"/>
      <c r="AL249" s="1021"/>
      <c r="AM249" s="1021"/>
      <c r="AN249" s="1021"/>
      <c r="AO249" s="1021"/>
      <c r="AP249" s="1021"/>
      <c r="AQ249" s="1021"/>
      <c r="AR249" s="1021"/>
      <c r="AS249" s="1021"/>
      <c r="AT249" s="1021"/>
      <c r="AU249" s="1021"/>
      <c r="AV249" s="1021"/>
      <c r="AW249" s="1021"/>
      <c r="AX249" s="1021"/>
      <c r="AY249" s="1021"/>
      <c r="AZ249" s="1021"/>
      <c r="BA249" s="1021"/>
      <c r="BB249" s="1021"/>
      <c r="BC249" s="1021"/>
      <c r="BD249" s="1021"/>
      <c r="BE249" s="1021"/>
      <c r="BF249" s="1021"/>
      <c r="BG249" s="1021"/>
      <c r="BH249" s="1021"/>
      <c r="BI249" s="1021"/>
      <c r="BJ249" s="1021"/>
      <c r="BK249" s="1021"/>
      <c r="BL249" s="1021"/>
      <c r="BM249" s="1021"/>
      <c r="BN249" s="1021"/>
      <c r="BO249" s="1021"/>
      <c r="BP249" s="1021"/>
      <c r="BQ249" s="1021"/>
      <c r="BR249" s="1021"/>
      <c r="BS249" s="1021"/>
      <c r="BT249" s="1021"/>
      <c r="BU249" s="1021"/>
      <c r="BV249" s="1021"/>
      <c r="BW249" s="1021"/>
      <c r="BX249" s="1021"/>
      <c r="BY249" s="1021"/>
      <c r="BZ249" s="1021"/>
      <c r="CA249" s="1021"/>
      <c r="CB249" s="1021"/>
      <c r="CC249" s="1021"/>
    </row>
    <row r="250" spans="8:81" x14ac:dyDescent="0.25">
      <c r="H250" s="1021"/>
      <c r="I250" s="1021"/>
      <c r="J250" s="1021"/>
      <c r="K250" s="1021"/>
      <c r="L250" s="1021"/>
      <c r="M250" s="1021"/>
      <c r="N250" s="1021"/>
      <c r="O250" s="1021"/>
      <c r="P250" s="1021"/>
      <c r="Q250" s="1021"/>
      <c r="R250" s="1021"/>
      <c r="S250" s="1021"/>
      <c r="T250" s="1021"/>
      <c r="U250" s="1021"/>
      <c r="V250" s="1021"/>
      <c r="W250" s="1021"/>
      <c r="X250" s="1021"/>
      <c r="Y250" s="1021"/>
      <c r="Z250" s="1021"/>
      <c r="AA250" s="1021"/>
      <c r="AB250" s="1021"/>
      <c r="AC250" s="1021"/>
      <c r="AD250" s="1021"/>
      <c r="AE250" s="1021"/>
      <c r="AF250" s="1021"/>
      <c r="AG250" s="1021"/>
      <c r="AH250" s="1021"/>
      <c r="AI250" s="1021"/>
      <c r="AJ250" s="1021"/>
      <c r="AK250" s="1021"/>
      <c r="AL250" s="1021"/>
      <c r="AM250" s="1021"/>
      <c r="AN250" s="1021"/>
      <c r="AO250" s="1021"/>
      <c r="AP250" s="1021"/>
      <c r="AQ250" s="1021"/>
      <c r="AR250" s="1021"/>
      <c r="AS250" s="1021"/>
      <c r="AT250" s="1021"/>
      <c r="AU250" s="1021"/>
      <c r="AV250" s="1021"/>
      <c r="AW250" s="1021"/>
      <c r="AX250" s="1021"/>
      <c r="AY250" s="1021"/>
      <c r="AZ250" s="1021"/>
      <c r="BA250" s="1021"/>
      <c r="BB250" s="1021"/>
      <c r="BC250" s="1021"/>
      <c r="BD250" s="1021"/>
      <c r="BE250" s="1021"/>
      <c r="BF250" s="1021"/>
      <c r="BG250" s="1021"/>
      <c r="BH250" s="1021"/>
      <c r="BI250" s="1021"/>
      <c r="BJ250" s="1021"/>
      <c r="BK250" s="1021"/>
      <c r="BL250" s="1021"/>
      <c r="BM250" s="1021"/>
      <c r="BN250" s="1021"/>
      <c r="BO250" s="1021"/>
      <c r="BP250" s="1021"/>
      <c r="BQ250" s="1021"/>
      <c r="BR250" s="1021"/>
      <c r="BS250" s="1021"/>
      <c r="BT250" s="1021"/>
      <c r="BU250" s="1021"/>
      <c r="BV250" s="1021"/>
      <c r="BW250" s="1021"/>
      <c r="BX250" s="1021"/>
      <c r="BY250" s="1021"/>
      <c r="BZ250" s="1021"/>
      <c r="CA250" s="1021"/>
      <c r="CB250" s="1021"/>
      <c r="CC250" s="1021"/>
    </row>
    <row r="251" spans="8:81" x14ac:dyDescent="0.25">
      <c r="H251" s="1021"/>
      <c r="I251" s="1021"/>
      <c r="J251" s="1021"/>
      <c r="K251" s="1021"/>
      <c r="L251" s="1021"/>
      <c r="M251" s="1021"/>
      <c r="N251" s="1021"/>
      <c r="O251" s="1021"/>
      <c r="P251" s="1021"/>
      <c r="Q251" s="1021"/>
      <c r="R251" s="1021"/>
      <c r="S251" s="1021"/>
      <c r="T251" s="1021"/>
      <c r="U251" s="1021"/>
      <c r="V251" s="1021"/>
      <c r="W251" s="1021"/>
      <c r="X251" s="1021"/>
      <c r="Y251" s="1021"/>
      <c r="Z251" s="1021"/>
      <c r="AA251" s="1021"/>
      <c r="AB251" s="1021"/>
      <c r="AC251" s="1021"/>
      <c r="AD251" s="1021"/>
      <c r="AE251" s="1021"/>
      <c r="AF251" s="1021"/>
      <c r="AG251" s="1021"/>
      <c r="AH251" s="1021"/>
      <c r="AI251" s="1021"/>
      <c r="AJ251" s="1021"/>
      <c r="AK251" s="1021"/>
      <c r="AL251" s="1021"/>
      <c r="AM251" s="1021"/>
      <c r="AN251" s="1021"/>
      <c r="AO251" s="1021"/>
      <c r="AP251" s="1021"/>
      <c r="AQ251" s="1021"/>
      <c r="AR251" s="1021"/>
      <c r="AS251" s="1021"/>
      <c r="AT251" s="1021"/>
      <c r="AU251" s="1021"/>
      <c r="AV251" s="1021"/>
      <c r="AW251" s="1021"/>
      <c r="AX251" s="1021"/>
      <c r="AY251" s="1021"/>
      <c r="AZ251" s="1021"/>
      <c r="BA251" s="1021"/>
      <c r="BB251" s="1021"/>
      <c r="BC251" s="1021"/>
      <c r="BD251" s="1021"/>
      <c r="BE251" s="1021"/>
      <c r="BF251" s="1021"/>
      <c r="BG251" s="1021"/>
      <c r="BH251" s="1021"/>
      <c r="BI251" s="1021"/>
      <c r="BJ251" s="1021"/>
      <c r="BK251" s="1021"/>
      <c r="BL251" s="1021"/>
      <c r="BM251" s="1021"/>
      <c r="BN251" s="1021"/>
      <c r="BO251" s="1021"/>
      <c r="BP251" s="1021"/>
      <c r="BQ251" s="1021"/>
      <c r="BR251" s="1021"/>
      <c r="BS251" s="1021"/>
      <c r="BT251" s="1021"/>
      <c r="BU251" s="1021"/>
      <c r="BV251" s="1021"/>
      <c r="BW251" s="1021"/>
      <c r="BX251" s="1021"/>
      <c r="BY251" s="1021"/>
      <c r="BZ251" s="1021"/>
      <c r="CA251" s="1021"/>
      <c r="CB251" s="1021"/>
      <c r="CC251" s="1021"/>
    </row>
    <row r="252" spans="8:81" x14ac:dyDescent="0.25">
      <c r="H252" s="1021"/>
      <c r="I252" s="1021"/>
      <c r="J252" s="1021"/>
      <c r="K252" s="1021"/>
      <c r="L252" s="1021"/>
      <c r="M252" s="1021"/>
      <c r="N252" s="1021"/>
      <c r="O252" s="1021"/>
      <c r="P252" s="1021"/>
      <c r="Q252" s="1021"/>
      <c r="R252" s="1021"/>
      <c r="S252" s="1021"/>
      <c r="T252" s="1021"/>
      <c r="U252" s="1021"/>
      <c r="V252" s="1021"/>
      <c r="W252" s="1021"/>
      <c r="X252" s="1021"/>
      <c r="Y252" s="1021"/>
      <c r="Z252" s="1021"/>
      <c r="AA252" s="1021"/>
      <c r="AB252" s="1021"/>
      <c r="AC252" s="1021"/>
      <c r="AD252" s="1021"/>
      <c r="AE252" s="1021"/>
      <c r="AF252" s="1021"/>
      <c r="AG252" s="1021"/>
      <c r="AH252" s="1021"/>
      <c r="AI252" s="1021"/>
      <c r="AJ252" s="1021"/>
      <c r="AK252" s="1021"/>
      <c r="AL252" s="1021"/>
      <c r="AM252" s="1021"/>
      <c r="AN252" s="1021"/>
      <c r="AO252" s="1021"/>
      <c r="AP252" s="1021"/>
      <c r="AQ252" s="1021"/>
      <c r="AR252" s="1021"/>
      <c r="AS252" s="1021"/>
      <c r="AT252" s="1021"/>
      <c r="AU252" s="1021"/>
      <c r="AV252" s="1021"/>
      <c r="AW252" s="1021"/>
      <c r="AX252" s="1021"/>
      <c r="AY252" s="1021"/>
      <c r="AZ252" s="1021"/>
      <c r="BA252" s="1021"/>
      <c r="BB252" s="1021"/>
      <c r="BC252" s="1021"/>
      <c r="BD252" s="1021"/>
      <c r="BE252" s="1021"/>
      <c r="BF252" s="1021"/>
      <c r="BG252" s="1021"/>
      <c r="BH252" s="1021"/>
      <c r="BI252" s="1021"/>
      <c r="BJ252" s="1021"/>
      <c r="BK252" s="1021"/>
      <c r="BL252" s="1021"/>
      <c r="BM252" s="1021"/>
      <c r="BN252" s="1021"/>
      <c r="BO252" s="1021"/>
      <c r="BP252" s="1021"/>
      <c r="BQ252" s="1021"/>
      <c r="BR252" s="1021"/>
      <c r="BS252" s="1021"/>
      <c r="BT252" s="1021"/>
      <c r="BU252" s="1021"/>
      <c r="BV252" s="1021"/>
      <c r="BW252" s="1021"/>
      <c r="BX252" s="1021"/>
      <c r="BY252" s="1021"/>
      <c r="BZ252" s="1021"/>
      <c r="CA252" s="1021"/>
      <c r="CB252" s="1021"/>
      <c r="CC252" s="1021"/>
    </row>
    <row r="253" spans="8:81" x14ac:dyDescent="0.25">
      <c r="H253" s="1021"/>
      <c r="I253" s="1021"/>
      <c r="J253" s="1021"/>
      <c r="K253" s="1021"/>
      <c r="L253" s="1021"/>
      <c r="M253" s="1021"/>
      <c r="N253" s="1021"/>
      <c r="O253" s="1021"/>
      <c r="P253" s="1021"/>
      <c r="Q253" s="1021"/>
      <c r="R253" s="1021"/>
      <c r="S253" s="1021"/>
      <c r="T253" s="1021"/>
      <c r="U253" s="1021"/>
      <c r="V253" s="1021"/>
      <c r="W253" s="1021"/>
      <c r="X253" s="1021"/>
      <c r="Y253" s="1021"/>
      <c r="Z253" s="1021"/>
      <c r="AA253" s="1021"/>
      <c r="AB253" s="1021"/>
      <c r="AC253" s="1021"/>
      <c r="AD253" s="1021"/>
      <c r="AE253" s="1021"/>
      <c r="AF253" s="1021"/>
      <c r="AG253" s="1021"/>
      <c r="AH253" s="1021"/>
      <c r="AI253" s="1021"/>
      <c r="AJ253" s="1021"/>
      <c r="AK253" s="1021"/>
      <c r="AL253" s="1021"/>
      <c r="AM253" s="1021"/>
      <c r="AN253" s="1021"/>
      <c r="AO253" s="1021"/>
      <c r="AP253" s="1021"/>
      <c r="AQ253" s="1021"/>
      <c r="AR253" s="1021"/>
      <c r="AS253" s="1021"/>
      <c r="AT253" s="1021"/>
      <c r="AU253" s="1021"/>
      <c r="AV253" s="1021"/>
      <c r="AW253" s="1021"/>
      <c r="AX253" s="1021"/>
      <c r="AY253" s="1021"/>
      <c r="AZ253" s="1021"/>
      <c r="BA253" s="1021"/>
      <c r="BB253" s="1021"/>
      <c r="BC253" s="1021"/>
      <c r="BD253" s="1021"/>
      <c r="BE253" s="1021"/>
      <c r="BF253" s="1021"/>
      <c r="BG253" s="1021"/>
      <c r="BH253" s="1021"/>
      <c r="BI253" s="1021"/>
      <c r="BJ253" s="1021"/>
      <c r="BK253" s="1021"/>
      <c r="BL253" s="1021"/>
      <c r="BM253" s="1021"/>
      <c r="BN253" s="1021"/>
      <c r="BO253" s="1021"/>
      <c r="BP253" s="1021"/>
      <c r="BQ253" s="1021"/>
      <c r="BR253" s="1021"/>
      <c r="BS253" s="1021"/>
      <c r="BT253" s="1021"/>
      <c r="BU253" s="1021"/>
      <c r="BV253" s="1021"/>
      <c r="BW253" s="1021"/>
      <c r="BX253" s="1021"/>
      <c r="BY253" s="1021"/>
      <c r="BZ253" s="1021"/>
      <c r="CA253" s="1021"/>
      <c r="CB253" s="1021"/>
      <c r="CC253" s="1021"/>
    </row>
    <row r="254" spans="8:81" x14ac:dyDescent="0.25">
      <c r="H254" s="1021"/>
      <c r="I254" s="1021"/>
      <c r="J254" s="1021"/>
      <c r="K254" s="1021"/>
      <c r="L254" s="1021"/>
      <c r="M254" s="1021"/>
      <c r="N254" s="1021"/>
      <c r="O254" s="1021"/>
      <c r="P254" s="1021"/>
      <c r="Q254" s="1021"/>
      <c r="R254" s="1021"/>
      <c r="S254" s="1021"/>
      <c r="T254" s="1021"/>
      <c r="U254" s="1021"/>
      <c r="V254" s="1021"/>
      <c r="W254" s="1021"/>
      <c r="X254" s="1021"/>
      <c r="Y254" s="1021"/>
      <c r="Z254" s="1021"/>
      <c r="AA254" s="1021"/>
      <c r="AB254" s="1021"/>
      <c r="AC254" s="1021"/>
      <c r="AD254" s="1021"/>
      <c r="AE254" s="1021"/>
      <c r="AF254" s="1021"/>
      <c r="AG254" s="1021"/>
      <c r="AH254" s="1021"/>
      <c r="AI254" s="1021"/>
      <c r="AJ254" s="1021"/>
      <c r="AK254" s="1021"/>
      <c r="AL254" s="1021"/>
      <c r="AM254" s="1021"/>
      <c r="AN254" s="1021"/>
      <c r="AO254" s="1021"/>
      <c r="AP254" s="1021"/>
      <c r="AQ254" s="1021"/>
      <c r="AR254" s="1021"/>
      <c r="AS254" s="1021"/>
      <c r="AT254" s="1021"/>
      <c r="AU254" s="1021"/>
      <c r="AV254" s="1021"/>
      <c r="AW254" s="1021"/>
      <c r="AX254" s="1021"/>
      <c r="AY254" s="1021"/>
      <c r="AZ254" s="1021"/>
      <c r="BA254" s="1021"/>
      <c r="BB254" s="1021"/>
      <c r="BC254" s="1021"/>
      <c r="BD254" s="1021"/>
      <c r="BE254" s="1021"/>
      <c r="BF254" s="1021"/>
      <c r="BG254" s="1021"/>
      <c r="BH254" s="1021"/>
      <c r="BI254" s="1021"/>
      <c r="BJ254" s="1021"/>
      <c r="BK254" s="1021"/>
      <c r="BL254" s="1021"/>
      <c r="BM254" s="1021"/>
      <c r="BN254" s="1021"/>
      <c r="BO254" s="1021"/>
      <c r="BP254" s="1021"/>
      <c r="BQ254" s="1021"/>
      <c r="BR254" s="1021"/>
      <c r="BS254" s="1021"/>
      <c r="BT254" s="1021"/>
      <c r="BU254" s="1021"/>
      <c r="BV254" s="1021"/>
      <c r="BW254" s="1021"/>
      <c r="BX254" s="1021"/>
      <c r="BY254" s="1021"/>
      <c r="BZ254" s="1021"/>
      <c r="CA254" s="1021"/>
      <c r="CB254" s="1021"/>
      <c r="CC254" s="1021"/>
    </row>
    <row r="255" spans="8:81" x14ac:dyDescent="0.25">
      <c r="H255" s="1021"/>
      <c r="I255" s="1021"/>
      <c r="J255" s="1021"/>
      <c r="K255" s="1021"/>
      <c r="L255" s="1021"/>
      <c r="M255" s="1021"/>
      <c r="N255" s="1021"/>
      <c r="O255" s="1021"/>
      <c r="P255" s="1021"/>
      <c r="Q255" s="1021"/>
      <c r="R255" s="1021"/>
      <c r="S255" s="1021"/>
      <c r="T255" s="1021"/>
      <c r="U255" s="1021"/>
      <c r="V255" s="1021"/>
      <c r="W255" s="1021"/>
      <c r="X255" s="1021"/>
      <c r="Y255" s="1021"/>
      <c r="Z255" s="1021"/>
      <c r="AA255" s="1021"/>
      <c r="AB255" s="1021"/>
      <c r="AC255" s="1021"/>
      <c r="AD255" s="1021"/>
      <c r="AE255" s="1021"/>
      <c r="AF255" s="1021"/>
      <c r="AG255" s="1021"/>
      <c r="AH255" s="1021"/>
      <c r="AI255" s="1021"/>
      <c r="AJ255" s="1021"/>
      <c r="AK255" s="1021"/>
      <c r="AL255" s="1021"/>
      <c r="AM255" s="1021"/>
      <c r="AN255" s="1021"/>
      <c r="AO255" s="1021"/>
      <c r="AP255" s="1021"/>
      <c r="AQ255" s="1021"/>
      <c r="AR255" s="1021"/>
      <c r="AS255" s="1021"/>
      <c r="AT255" s="1021"/>
      <c r="AU255" s="1021"/>
      <c r="AV255" s="1021"/>
      <c r="AW255" s="1021"/>
      <c r="AX255" s="1021"/>
      <c r="AY255" s="1021"/>
      <c r="AZ255" s="1021"/>
      <c r="BA255" s="1021"/>
      <c r="BB255" s="1021"/>
      <c r="BC255" s="1021"/>
      <c r="BD255" s="1021"/>
      <c r="BE255" s="1021"/>
      <c r="BF255" s="1021"/>
      <c r="BG255" s="1021"/>
      <c r="BH255" s="1021"/>
      <c r="BI255" s="1021"/>
      <c r="BJ255" s="1021"/>
      <c r="BK255" s="1021"/>
      <c r="BL255" s="1021"/>
      <c r="BM255" s="1021"/>
      <c r="BN255" s="1021"/>
      <c r="BO255" s="1021"/>
      <c r="BP255" s="1021"/>
      <c r="BQ255" s="1021"/>
      <c r="BR255" s="1021"/>
      <c r="BS255" s="1021"/>
      <c r="BT255" s="1021"/>
      <c r="BU255" s="1021"/>
      <c r="BV255" s="1021"/>
      <c r="BW255" s="1021"/>
      <c r="BX255" s="1021"/>
      <c r="BY255" s="1021"/>
      <c r="BZ255" s="1021"/>
      <c r="CA255" s="1021"/>
      <c r="CB255" s="1021"/>
      <c r="CC255" s="1021"/>
    </row>
    <row r="256" spans="8:81" x14ac:dyDescent="0.25">
      <c r="H256" s="1021"/>
      <c r="I256" s="1021"/>
      <c r="J256" s="1021"/>
      <c r="K256" s="1021"/>
      <c r="L256" s="1021"/>
      <c r="M256" s="1021"/>
      <c r="N256" s="1021"/>
      <c r="O256" s="1021"/>
      <c r="P256" s="1021"/>
      <c r="Q256" s="1021"/>
      <c r="R256" s="1021"/>
      <c r="S256" s="1021"/>
      <c r="T256" s="1021"/>
      <c r="U256" s="1021"/>
      <c r="V256" s="1021"/>
      <c r="W256" s="1021"/>
      <c r="X256" s="1021"/>
      <c r="Y256" s="1021"/>
      <c r="Z256" s="1021"/>
      <c r="AA256" s="1021"/>
      <c r="AB256" s="1021"/>
      <c r="AC256" s="1021"/>
      <c r="AD256" s="1021"/>
      <c r="AE256" s="1021"/>
      <c r="AF256" s="1021"/>
      <c r="AG256" s="1021"/>
      <c r="AH256" s="1021"/>
      <c r="AI256" s="1021"/>
      <c r="AJ256" s="1021"/>
      <c r="AK256" s="1021"/>
      <c r="AL256" s="1021"/>
      <c r="AM256" s="1021"/>
      <c r="AN256" s="1021"/>
      <c r="AO256" s="1021"/>
      <c r="AP256" s="1021"/>
      <c r="AQ256" s="1021"/>
      <c r="AR256" s="1021"/>
      <c r="AS256" s="1021"/>
      <c r="AT256" s="1021"/>
      <c r="AU256" s="1021"/>
      <c r="AV256" s="1021"/>
      <c r="AW256" s="1021"/>
      <c r="AX256" s="1021"/>
      <c r="AY256" s="1021"/>
      <c r="AZ256" s="1021"/>
      <c r="BA256" s="1021"/>
      <c r="BB256" s="1021"/>
      <c r="BC256" s="1021"/>
      <c r="BD256" s="1021"/>
      <c r="BE256" s="1021"/>
      <c r="BF256" s="1021"/>
      <c r="BG256" s="1021"/>
      <c r="BH256" s="1021"/>
      <c r="BI256" s="1021"/>
      <c r="BJ256" s="1021"/>
      <c r="BK256" s="1021"/>
      <c r="BL256" s="1021"/>
      <c r="BM256" s="1021"/>
      <c r="BN256" s="1021"/>
      <c r="BO256" s="1021"/>
      <c r="BP256" s="1021"/>
      <c r="BQ256" s="1021"/>
      <c r="BR256" s="1021"/>
      <c r="BS256" s="1021"/>
      <c r="BT256" s="1021"/>
      <c r="BU256" s="1021"/>
      <c r="BV256" s="1021"/>
      <c r="BW256" s="1021"/>
      <c r="BX256" s="1021"/>
      <c r="BY256" s="1021"/>
      <c r="BZ256" s="1021"/>
      <c r="CA256" s="1021"/>
      <c r="CB256" s="1021"/>
      <c r="CC256" s="1021"/>
    </row>
    <row r="257" spans="8:81" x14ac:dyDescent="0.25">
      <c r="H257" s="1021"/>
      <c r="I257" s="1021"/>
      <c r="J257" s="1021"/>
      <c r="K257" s="1021"/>
      <c r="L257" s="1021"/>
      <c r="M257" s="1021"/>
      <c r="N257" s="1021"/>
      <c r="O257" s="1021"/>
      <c r="P257" s="1021"/>
      <c r="Q257" s="1021"/>
      <c r="R257" s="1021"/>
      <c r="S257" s="1021"/>
      <c r="T257" s="1021"/>
      <c r="U257" s="1021"/>
      <c r="V257" s="1021"/>
      <c r="W257" s="1021"/>
      <c r="X257" s="1021"/>
      <c r="Y257" s="1021"/>
      <c r="Z257" s="1021"/>
      <c r="AA257" s="1021"/>
      <c r="AB257" s="1021"/>
      <c r="AC257" s="1021"/>
      <c r="AD257" s="1021"/>
      <c r="AE257" s="1021"/>
      <c r="AF257" s="1021"/>
      <c r="AG257" s="1021"/>
      <c r="AH257" s="1021"/>
      <c r="AI257" s="1021"/>
      <c r="AJ257" s="1021"/>
      <c r="AK257" s="1021"/>
      <c r="AL257" s="1021"/>
      <c r="AM257" s="1021"/>
      <c r="AN257" s="1021"/>
      <c r="AO257" s="1021"/>
      <c r="AP257" s="1021"/>
      <c r="AQ257" s="1021"/>
      <c r="AR257" s="1021"/>
      <c r="AS257" s="1021"/>
      <c r="AT257" s="1021"/>
      <c r="AU257" s="1021"/>
      <c r="AV257" s="1021"/>
      <c r="AW257" s="1021"/>
      <c r="AX257" s="1021"/>
      <c r="AY257" s="1021"/>
      <c r="AZ257" s="1021"/>
      <c r="BA257" s="1021"/>
      <c r="BB257" s="1021"/>
      <c r="BC257" s="1021"/>
      <c r="BD257" s="1021"/>
      <c r="BE257" s="1021"/>
      <c r="BF257" s="1021"/>
      <c r="BG257" s="1021"/>
      <c r="BH257" s="1021"/>
      <c r="BI257" s="1021"/>
      <c r="BJ257" s="1021"/>
      <c r="BK257" s="1021"/>
      <c r="BL257" s="1021"/>
      <c r="BM257" s="1021"/>
      <c r="BN257" s="1021"/>
      <c r="BO257" s="1021"/>
      <c r="BP257" s="1021"/>
      <c r="BQ257" s="1021"/>
      <c r="BR257" s="1021"/>
      <c r="BS257" s="1021"/>
      <c r="BT257" s="1021"/>
      <c r="BU257" s="1021"/>
      <c r="BV257" s="1021"/>
      <c r="BW257" s="1021"/>
      <c r="BX257" s="1021"/>
      <c r="BY257" s="1021"/>
      <c r="BZ257" s="1021"/>
      <c r="CA257" s="1021"/>
      <c r="CB257" s="1021"/>
      <c r="CC257" s="1021"/>
    </row>
    <row r="258" spans="8:81" x14ac:dyDescent="0.25">
      <c r="H258" s="1021"/>
      <c r="I258" s="1021"/>
      <c r="J258" s="1021"/>
      <c r="K258" s="1021"/>
      <c r="L258" s="1021"/>
      <c r="M258" s="1021"/>
      <c r="N258" s="1021"/>
      <c r="O258" s="1021"/>
      <c r="P258" s="1021"/>
      <c r="Q258" s="1021"/>
      <c r="R258" s="1021"/>
      <c r="S258" s="1021"/>
      <c r="T258" s="1021"/>
      <c r="U258" s="1021"/>
      <c r="V258" s="1021"/>
      <c r="W258" s="1021"/>
      <c r="X258" s="1021"/>
      <c r="Y258" s="1021"/>
      <c r="Z258" s="1021"/>
      <c r="AA258" s="1021"/>
      <c r="AB258" s="1021"/>
      <c r="AC258" s="1021"/>
      <c r="AD258" s="1021"/>
      <c r="AE258" s="1021"/>
      <c r="AF258" s="1021"/>
      <c r="AG258" s="1021"/>
      <c r="AH258" s="1021"/>
      <c r="AI258" s="1021"/>
      <c r="AJ258" s="1021"/>
      <c r="AK258" s="1021"/>
      <c r="AL258" s="1021"/>
      <c r="AM258" s="1021"/>
      <c r="AN258" s="1021"/>
      <c r="AO258" s="1021"/>
      <c r="AP258" s="1021"/>
      <c r="AQ258" s="1021"/>
      <c r="AR258" s="1021"/>
      <c r="AS258" s="1021"/>
      <c r="AT258" s="1021"/>
      <c r="AU258" s="1021"/>
      <c r="AV258" s="1021"/>
      <c r="AW258" s="1021"/>
      <c r="AX258" s="1021"/>
      <c r="AY258" s="1021"/>
      <c r="AZ258" s="1021"/>
      <c r="BA258" s="1021"/>
      <c r="BB258" s="1021"/>
      <c r="BC258" s="1021"/>
      <c r="BD258" s="1021"/>
      <c r="BE258" s="1021"/>
      <c r="BF258" s="1021"/>
      <c r="BG258" s="1021"/>
      <c r="BH258" s="1021"/>
      <c r="BI258" s="1021"/>
      <c r="BJ258" s="1021"/>
      <c r="BK258" s="1021"/>
      <c r="BL258" s="1021"/>
      <c r="BM258" s="1021"/>
      <c r="BN258" s="1021"/>
      <c r="BO258" s="1021"/>
      <c r="BP258" s="1021"/>
      <c r="BQ258" s="1021"/>
      <c r="BR258" s="1021"/>
      <c r="BS258" s="1021"/>
      <c r="BT258" s="1021"/>
      <c r="BU258" s="1021"/>
      <c r="BV258" s="1021"/>
      <c r="BW258" s="1021"/>
      <c r="BX258" s="1021"/>
      <c r="BY258" s="1021"/>
      <c r="BZ258" s="1021"/>
      <c r="CA258" s="1021"/>
      <c r="CB258" s="1021"/>
      <c r="CC258" s="1021"/>
    </row>
    <row r="259" spans="8:81" x14ac:dyDescent="0.25">
      <c r="H259" s="1021"/>
      <c r="I259" s="1021"/>
      <c r="J259" s="1021"/>
      <c r="K259" s="1021"/>
      <c r="L259" s="1021"/>
      <c r="M259" s="1021"/>
      <c r="N259" s="1021"/>
      <c r="O259" s="1021"/>
      <c r="P259" s="1021"/>
      <c r="Q259" s="1021"/>
      <c r="R259" s="1021"/>
      <c r="S259" s="1021"/>
      <c r="T259" s="1021"/>
      <c r="U259" s="1021"/>
      <c r="V259" s="1021"/>
      <c r="W259" s="1021"/>
      <c r="X259" s="1021"/>
      <c r="Y259" s="1021"/>
      <c r="Z259" s="1021"/>
      <c r="AA259" s="1021"/>
      <c r="AB259" s="1021"/>
      <c r="AC259" s="1021"/>
      <c r="AD259" s="1021"/>
      <c r="AE259" s="1021"/>
      <c r="AF259" s="1021"/>
      <c r="AG259" s="1021"/>
      <c r="AH259" s="1021"/>
      <c r="AI259" s="1021"/>
      <c r="AJ259" s="1021"/>
      <c r="AK259" s="1021"/>
      <c r="AL259" s="1021"/>
      <c r="AM259" s="1021"/>
      <c r="AN259" s="1021"/>
      <c r="AO259" s="1021"/>
      <c r="AP259" s="1021"/>
      <c r="AQ259" s="1021"/>
      <c r="AR259" s="1021"/>
      <c r="AS259" s="1021"/>
      <c r="AT259" s="1021"/>
      <c r="AU259" s="1021"/>
      <c r="AV259" s="1021"/>
      <c r="AW259" s="1021"/>
      <c r="AX259" s="1021"/>
      <c r="AY259" s="1021"/>
      <c r="AZ259" s="1021"/>
      <c r="BA259" s="1021"/>
      <c r="BB259" s="1021"/>
      <c r="BC259" s="1021"/>
      <c r="BD259" s="1021"/>
      <c r="BE259" s="1021"/>
      <c r="BF259" s="1021"/>
      <c r="BG259" s="1021"/>
      <c r="BH259" s="1021"/>
      <c r="BI259" s="1021"/>
      <c r="BJ259" s="1021"/>
      <c r="BK259" s="1021"/>
      <c r="BL259" s="1021"/>
      <c r="BM259" s="1021"/>
      <c r="BN259" s="1021"/>
      <c r="BO259" s="1021"/>
      <c r="BP259" s="1021"/>
      <c r="BQ259" s="1021"/>
      <c r="BR259" s="1021"/>
      <c r="BS259" s="1021"/>
      <c r="BT259" s="1021"/>
      <c r="BU259" s="1021"/>
      <c r="BV259" s="1021"/>
      <c r="BW259" s="1021"/>
      <c r="BX259" s="1021"/>
      <c r="BY259" s="1021"/>
      <c r="BZ259" s="1021"/>
      <c r="CA259" s="1021"/>
      <c r="CB259" s="1021"/>
      <c r="CC259" s="1021"/>
    </row>
    <row r="260" spans="8:81" x14ac:dyDescent="0.25">
      <c r="H260" s="1021"/>
      <c r="I260" s="1021"/>
      <c r="J260" s="1021"/>
      <c r="K260" s="1021"/>
      <c r="L260" s="1021"/>
      <c r="M260" s="1021"/>
      <c r="N260" s="1021"/>
      <c r="O260" s="1021"/>
      <c r="P260" s="1021"/>
      <c r="Q260" s="1021"/>
      <c r="R260" s="1021"/>
      <c r="S260" s="1021"/>
      <c r="T260" s="1021"/>
      <c r="U260" s="1021"/>
      <c r="V260" s="1021"/>
      <c r="W260" s="1021"/>
      <c r="X260" s="1021"/>
      <c r="Y260" s="1021"/>
      <c r="Z260" s="1021"/>
      <c r="AA260" s="1021"/>
      <c r="AB260" s="1021"/>
      <c r="AC260" s="1021"/>
      <c r="AD260" s="1021"/>
      <c r="AE260" s="1021"/>
      <c r="AF260" s="1021"/>
      <c r="AG260" s="1021"/>
      <c r="AH260" s="1021"/>
      <c r="AI260" s="1021"/>
      <c r="AJ260" s="1021"/>
      <c r="AK260" s="1021"/>
      <c r="AL260" s="1021"/>
      <c r="AM260" s="1021"/>
      <c r="AN260" s="1021"/>
      <c r="AO260" s="1021"/>
      <c r="AP260" s="1021"/>
      <c r="AQ260" s="1021"/>
      <c r="AR260" s="1021"/>
      <c r="AS260" s="1021"/>
      <c r="AT260" s="1021"/>
      <c r="AU260" s="1021"/>
      <c r="AV260" s="1021"/>
      <c r="AW260" s="1021"/>
      <c r="AX260" s="1021"/>
      <c r="AY260" s="1021"/>
      <c r="AZ260" s="1021"/>
      <c r="BA260" s="1021"/>
      <c r="BB260" s="1021"/>
      <c r="BC260" s="1021"/>
      <c r="BD260" s="1021"/>
      <c r="BE260" s="1021"/>
      <c r="BF260" s="1021"/>
      <c r="BG260" s="1021"/>
      <c r="BH260" s="1021"/>
      <c r="BI260" s="1021"/>
      <c r="BJ260" s="1021"/>
      <c r="BK260" s="1021"/>
      <c r="BL260" s="1021"/>
      <c r="BM260" s="1021"/>
      <c r="BN260" s="1021"/>
      <c r="BO260" s="1021"/>
      <c r="BP260" s="1021"/>
      <c r="BQ260" s="1021"/>
      <c r="BR260" s="1021"/>
      <c r="BS260" s="1021"/>
      <c r="BT260" s="1021"/>
      <c r="BU260" s="1021"/>
      <c r="BV260" s="1021"/>
      <c r="BW260" s="1021"/>
      <c r="BX260" s="1021"/>
      <c r="BY260" s="1021"/>
      <c r="BZ260" s="1021"/>
      <c r="CA260" s="1021"/>
      <c r="CB260" s="1021"/>
      <c r="CC260" s="1021"/>
    </row>
    <row r="261" spans="8:81" x14ac:dyDescent="0.25">
      <c r="H261" s="1021"/>
      <c r="I261" s="1021"/>
      <c r="J261" s="1021"/>
      <c r="K261" s="1021"/>
      <c r="L261" s="1021"/>
      <c r="M261" s="1021"/>
      <c r="N261" s="1021"/>
      <c r="O261" s="1021"/>
      <c r="P261" s="1021"/>
      <c r="Q261" s="1021"/>
      <c r="R261" s="1021"/>
      <c r="S261" s="1021"/>
      <c r="T261" s="1021"/>
      <c r="U261" s="1021"/>
      <c r="V261" s="1021"/>
      <c r="W261" s="1021"/>
      <c r="X261" s="1021"/>
      <c r="Y261" s="1021"/>
      <c r="Z261" s="1021"/>
      <c r="AA261" s="1021"/>
      <c r="AB261" s="1021"/>
      <c r="AC261" s="1021"/>
      <c r="AD261" s="1021"/>
      <c r="AE261" s="1021"/>
      <c r="AF261" s="1021"/>
      <c r="AG261" s="1021"/>
      <c r="AH261" s="1021"/>
      <c r="AI261" s="1021"/>
      <c r="AJ261" s="1021"/>
      <c r="AK261" s="1021"/>
      <c r="AL261" s="1021"/>
      <c r="AM261" s="1021"/>
      <c r="AN261" s="1021"/>
      <c r="AO261" s="1021"/>
      <c r="AP261" s="1021"/>
      <c r="AQ261" s="1021"/>
      <c r="AR261" s="1021"/>
      <c r="AS261" s="1021"/>
      <c r="AT261" s="1021"/>
      <c r="AU261" s="1021"/>
      <c r="AV261" s="1021"/>
      <c r="AW261" s="1021"/>
      <c r="AX261" s="1021"/>
      <c r="AY261" s="1021"/>
      <c r="AZ261" s="1021"/>
      <c r="BA261" s="1021"/>
      <c r="BB261" s="1021"/>
      <c r="BC261" s="1021"/>
      <c r="BD261" s="1021"/>
      <c r="BE261" s="1021"/>
      <c r="BF261" s="1021"/>
      <c r="BG261" s="1021"/>
      <c r="BH261" s="1021"/>
      <c r="BI261" s="1021"/>
      <c r="BJ261" s="1021"/>
      <c r="BK261" s="1021"/>
      <c r="BL261" s="1021"/>
      <c r="BM261" s="1021"/>
      <c r="BN261" s="1021"/>
      <c r="BO261" s="1021"/>
      <c r="BP261" s="1021"/>
      <c r="BQ261" s="1021"/>
      <c r="BR261" s="1021"/>
      <c r="BS261" s="1021"/>
      <c r="BT261" s="1021"/>
      <c r="BU261" s="1021"/>
      <c r="BV261" s="1021"/>
      <c r="BW261" s="1021"/>
      <c r="BX261" s="1021"/>
      <c r="BY261" s="1021"/>
      <c r="BZ261" s="1021"/>
      <c r="CA261" s="1021"/>
      <c r="CB261" s="1021"/>
      <c r="CC261" s="1021"/>
    </row>
    <row r="262" spans="8:81" x14ac:dyDescent="0.25">
      <c r="H262" s="1021"/>
      <c r="I262" s="1021"/>
      <c r="J262" s="1021"/>
      <c r="K262" s="1021"/>
      <c r="L262" s="1021"/>
      <c r="M262" s="1021"/>
      <c r="N262" s="1021"/>
      <c r="O262" s="1021"/>
      <c r="P262" s="1021"/>
      <c r="Q262" s="1021"/>
      <c r="R262" s="1021"/>
      <c r="S262" s="1021"/>
      <c r="T262" s="1021"/>
      <c r="U262" s="1021"/>
      <c r="V262" s="1021"/>
      <c r="W262" s="1021"/>
      <c r="X262" s="1021"/>
      <c r="Y262" s="1021"/>
      <c r="Z262" s="1021"/>
      <c r="AA262" s="1021"/>
      <c r="AB262" s="1021"/>
      <c r="AC262" s="1021"/>
      <c r="AD262" s="1021"/>
      <c r="AE262" s="1021"/>
      <c r="AF262" s="1021"/>
      <c r="AG262" s="1021"/>
      <c r="AH262" s="1021"/>
      <c r="AI262" s="1021"/>
      <c r="AJ262" s="1021"/>
      <c r="AK262" s="1021"/>
      <c r="AL262" s="1021"/>
      <c r="AM262" s="1021"/>
      <c r="AN262" s="1021"/>
      <c r="AO262" s="1021"/>
      <c r="AP262" s="1021"/>
      <c r="AQ262" s="1021"/>
      <c r="AR262" s="1021"/>
      <c r="AS262" s="1021"/>
      <c r="AT262" s="1021"/>
      <c r="AU262" s="1021"/>
      <c r="AV262" s="1021"/>
      <c r="AW262" s="1021"/>
      <c r="AX262" s="1021"/>
      <c r="AY262" s="1021"/>
      <c r="AZ262" s="1021"/>
      <c r="BA262" s="1021"/>
      <c r="BB262" s="1021"/>
      <c r="BC262" s="1021"/>
      <c r="BD262" s="1021"/>
      <c r="BE262" s="1021"/>
      <c r="BF262" s="1021"/>
      <c r="BG262" s="1021"/>
      <c r="BH262" s="1021"/>
      <c r="BI262" s="1021"/>
      <c r="BJ262" s="1021"/>
      <c r="BK262" s="1021"/>
      <c r="BL262" s="1021"/>
      <c r="BM262" s="1021"/>
      <c r="BN262" s="1021"/>
      <c r="BO262" s="1021"/>
      <c r="BP262" s="1021"/>
      <c r="BQ262" s="1021"/>
      <c r="BR262" s="1021"/>
      <c r="BS262" s="1021"/>
      <c r="BT262" s="1021"/>
      <c r="BU262" s="1021"/>
      <c r="BV262" s="1021"/>
      <c r="BW262" s="1021"/>
      <c r="BX262" s="1021"/>
      <c r="BY262" s="1021"/>
      <c r="BZ262" s="1021"/>
      <c r="CA262" s="1021"/>
      <c r="CB262" s="1021"/>
      <c r="CC262" s="1021"/>
    </row>
    <row r="263" spans="8:81" x14ac:dyDescent="0.25">
      <c r="H263" s="1021"/>
      <c r="I263" s="1021"/>
      <c r="J263" s="1021"/>
      <c r="K263" s="1021"/>
      <c r="L263" s="1021"/>
      <c r="M263" s="1021"/>
      <c r="N263" s="1021"/>
      <c r="O263" s="1021"/>
      <c r="P263" s="1021"/>
      <c r="Q263" s="1021"/>
      <c r="R263" s="1021"/>
      <c r="S263" s="1021"/>
      <c r="T263" s="1021"/>
      <c r="U263" s="1021"/>
      <c r="V263" s="1021"/>
      <c r="W263" s="1021"/>
      <c r="X263" s="1021"/>
      <c r="Y263" s="1021"/>
      <c r="Z263" s="1021"/>
      <c r="AA263" s="1021"/>
      <c r="AB263" s="1021"/>
      <c r="AC263" s="1021"/>
      <c r="AD263" s="1021"/>
      <c r="AE263" s="1021"/>
      <c r="AF263" s="1021"/>
      <c r="AG263" s="1021"/>
      <c r="AH263" s="1021"/>
      <c r="AI263" s="1021"/>
      <c r="AJ263" s="1021"/>
      <c r="AK263" s="1021"/>
      <c r="AL263" s="1021"/>
      <c r="AM263" s="1021"/>
      <c r="AN263" s="1021"/>
      <c r="AO263" s="1021"/>
      <c r="AP263" s="1021"/>
      <c r="AQ263" s="1021"/>
      <c r="AR263" s="1021"/>
      <c r="AS263" s="1021"/>
      <c r="AT263" s="1021"/>
      <c r="AU263" s="1021"/>
      <c r="AV263" s="1021"/>
      <c r="AW263" s="1021"/>
      <c r="AX263" s="1021"/>
      <c r="AY263" s="1021"/>
      <c r="AZ263" s="1021"/>
      <c r="BA263" s="1021"/>
      <c r="BB263" s="1021"/>
      <c r="BC263" s="1021"/>
      <c r="BD263" s="1021"/>
      <c r="BE263" s="1021"/>
      <c r="BF263" s="1021"/>
      <c r="BG263" s="1021"/>
      <c r="BH263" s="1021"/>
      <c r="BI263" s="1021"/>
      <c r="BJ263" s="1021"/>
      <c r="BK263" s="1021"/>
      <c r="BL263" s="1021"/>
      <c r="BM263" s="1021"/>
      <c r="BN263" s="1021"/>
      <c r="BO263" s="1021"/>
      <c r="BP263" s="1021"/>
      <c r="BQ263" s="1021"/>
      <c r="BR263" s="1021"/>
      <c r="BS263" s="1021"/>
      <c r="BT263" s="1021"/>
      <c r="BU263" s="1021"/>
      <c r="BV263" s="1021"/>
      <c r="BW263" s="1021"/>
      <c r="BX263" s="1021"/>
      <c r="BY263" s="1021"/>
      <c r="BZ263" s="1021"/>
      <c r="CA263" s="1021"/>
      <c r="CB263" s="1021"/>
      <c r="CC263" s="1021"/>
    </row>
    <row r="264" spans="8:81" x14ac:dyDescent="0.25">
      <c r="H264" s="1021"/>
      <c r="I264" s="1021"/>
      <c r="J264" s="1021"/>
      <c r="K264" s="1021"/>
      <c r="L264" s="1021"/>
      <c r="M264" s="1021"/>
      <c r="N264" s="1021"/>
      <c r="O264" s="1021"/>
      <c r="P264" s="1021"/>
      <c r="Q264" s="1021"/>
      <c r="R264" s="1021"/>
      <c r="S264" s="1021"/>
      <c r="T264" s="1021"/>
      <c r="U264" s="1021"/>
      <c r="V264" s="1021"/>
      <c r="W264" s="1021"/>
      <c r="X264" s="1021"/>
      <c r="Y264" s="1021"/>
      <c r="Z264" s="1021"/>
      <c r="AA264" s="1021"/>
      <c r="AB264" s="1021"/>
      <c r="AC264" s="1021"/>
      <c r="AD264" s="1021"/>
      <c r="AE264" s="1021"/>
      <c r="AF264" s="1021"/>
      <c r="AG264" s="1021"/>
      <c r="AH264" s="1021"/>
      <c r="AI264" s="1021"/>
      <c r="AJ264" s="1021"/>
      <c r="AK264" s="1021"/>
      <c r="AL264" s="1021"/>
      <c r="AM264" s="1021"/>
      <c r="AN264" s="1021"/>
      <c r="AO264" s="1021"/>
      <c r="AP264" s="1021"/>
      <c r="AQ264" s="1021"/>
      <c r="AR264" s="1021"/>
      <c r="AS264" s="1021"/>
      <c r="AT264" s="1021"/>
      <c r="AU264" s="1021"/>
      <c r="AV264" s="1021"/>
      <c r="AW264" s="1021"/>
      <c r="AX264" s="1021"/>
      <c r="AY264" s="1021"/>
      <c r="AZ264" s="1021"/>
      <c r="BA264" s="1021"/>
      <c r="BB264" s="1021"/>
      <c r="BC264" s="1021"/>
      <c r="BD264" s="1021"/>
      <c r="BE264" s="1021"/>
      <c r="BF264" s="1021"/>
      <c r="BG264" s="1021"/>
      <c r="BH264" s="1021"/>
      <c r="BI264" s="1021"/>
      <c r="BJ264" s="1021"/>
      <c r="BK264" s="1021"/>
      <c r="BL264" s="1021"/>
      <c r="BM264" s="1021"/>
      <c r="BN264" s="1021"/>
      <c r="BO264" s="1021"/>
      <c r="BP264" s="1021"/>
      <c r="BQ264" s="1021"/>
      <c r="BR264" s="1021"/>
      <c r="BS264" s="1021"/>
      <c r="BT264" s="1021"/>
      <c r="BU264" s="1021"/>
      <c r="BV264" s="1021"/>
      <c r="BW264" s="1021"/>
      <c r="BX264" s="1021"/>
      <c r="BY264" s="1021"/>
      <c r="BZ264" s="1021"/>
      <c r="CA264" s="1021"/>
      <c r="CB264" s="1021"/>
      <c r="CC264" s="1021"/>
    </row>
    <row r="265" spans="8:81" x14ac:dyDescent="0.25">
      <c r="H265" s="1021"/>
      <c r="I265" s="1021"/>
      <c r="J265" s="1021"/>
      <c r="K265" s="1021"/>
      <c r="L265" s="1021"/>
      <c r="M265" s="1021"/>
      <c r="N265" s="1021"/>
      <c r="O265" s="1021"/>
      <c r="P265" s="1021"/>
      <c r="Q265" s="1021"/>
      <c r="R265" s="1021"/>
      <c r="S265" s="1021"/>
      <c r="T265" s="1021"/>
      <c r="U265" s="1021"/>
      <c r="V265" s="1021"/>
      <c r="W265" s="1021"/>
      <c r="X265" s="1021"/>
      <c r="Y265" s="1021"/>
      <c r="Z265" s="1021"/>
      <c r="AA265" s="1021"/>
      <c r="AB265" s="1021"/>
      <c r="AC265" s="1021"/>
      <c r="AD265" s="1021"/>
      <c r="AE265" s="1021"/>
      <c r="AF265" s="1021"/>
      <c r="AG265" s="1021"/>
      <c r="AH265" s="1021"/>
      <c r="AI265" s="1021"/>
      <c r="AJ265" s="1021"/>
      <c r="AK265" s="1021"/>
      <c r="AL265" s="1021"/>
      <c r="AM265" s="1021"/>
      <c r="AN265" s="1021"/>
      <c r="AO265" s="1021"/>
      <c r="AP265" s="1021"/>
      <c r="AQ265" s="1021"/>
      <c r="AR265" s="1021"/>
      <c r="AS265" s="1021"/>
      <c r="AT265" s="1021"/>
      <c r="AU265" s="1021"/>
      <c r="AV265" s="1021"/>
      <c r="AW265" s="1021"/>
      <c r="AX265" s="1021"/>
      <c r="AY265" s="1021"/>
      <c r="AZ265" s="1021"/>
      <c r="BA265" s="1021"/>
      <c r="BB265" s="1021"/>
      <c r="BC265" s="1021"/>
      <c r="BD265" s="1021"/>
      <c r="BE265" s="1021"/>
      <c r="BF265" s="1021"/>
      <c r="BG265" s="1021"/>
      <c r="BH265" s="1021"/>
      <c r="BI265" s="1021"/>
      <c r="BJ265" s="1021"/>
      <c r="BK265" s="1021"/>
      <c r="BL265" s="1021"/>
      <c r="BM265" s="1021"/>
      <c r="BN265" s="1021"/>
      <c r="BO265" s="1021"/>
      <c r="BP265" s="1021"/>
      <c r="BQ265" s="1021"/>
      <c r="BR265" s="1021"/>
      <c r="BS265" s="1021"/>
      <c r="BT265" s="1021"/>
      <c r="BU265" s="1021"/>
      <c r="BV265" s="1021"/>
      <c r="BW265" s="1021"/>
      <c r="BX265" s="1021"/>
      <c r="BY265" s="1021"/>
      <c r="BZ265" s="1021"/>
      <c r="CA265" s="1021"/>
      <c r="CB265" s="1021"/>
      <c r="CC265" s="1021"/>
    </row>
    <row r="266" spans="8:81" x14ac:dyDescent="0.25">
      <c r="H266" s="1021"/>
      <c r="I266" s="1021"/>
      <c r="J266" s="1021"/>
      <c r="K266" s="1021"/>
      <c r="L266" s="1021"/>
      <c r="M266" s="1021"/>
      <c r="N266" s="1021"/>
      <c r="O266" s="1021"/>
      <c r="P266" s="1021"/>
      <c r="Q266" s="1021"/>
      <c r="R266" s="1021"/>
      <c r="S266" s="1021"/>
      <c r="T266" s="1021"/>
      <c r="U266" s="1021"/>
      <c r="V266" s="1021"/>
      <c r="W266" s="1021"/>
      <c r="X266" s="1021"/>
      <c r="Y266" s="1021"/>
      <c r="Z266" s="1021"/>
      <c r="AA266" s="1021"/>
      <c r="AB266" s="1021"/>
      <c r="AC266" s="1021"/>
      <c r="AD266" s="1021"/>
      <c r="AE266" s="1021"/>
      <c r="AF266" s="1021"/>
      <c r="AG266" s="1021"/>
      <c r="AH266" s="1021"/>
      <c r="AI266" s="1021"/>
      <c r="AJ266" s="1021"/>
      <c r="AK266" s="1021"/>
      <c r="AL266" s="1021"/>
      <c r="AM266" s="1021"/>
      <c r="AN266" s="1021"/>
      <c r="AO266" s="1021"/>
      <c r="AP266" s="1021"/>
      <c r="AQ266" s="1021"/>
      <c r="AR266" s="1021"/>
      <c r="AS266" s="1021"/>
      <c r="AT266" s="1021"/>
      <c r="AU266" s="1021"/>
      <c r="AV266" s="1021"/>
      <c r="AW266" s="1021"/>
      <c r="AX266" s="1021"/>
      <c r="AY266" s="1021"/>
      <c r="AZ266" s="1021"/>
      <c r="BA266" s="1021"/>
      <c r="BB266" s="1021"/>
      <c r="BC266" s="1021"/>
      <c r="BD266" s="1021"/>
      <c r="BE266" s="1021"/>
      <c r="BF266" s="1021"/>
      <c r="BG266" s="1021"/>
      <c r="BH266" s="1021"/>
      <c r="BI266" s="1021"/>
      <c r="BJ266" s="1021"/>
      <c r="BK266" s="1021"/>
      <c r="BL266" s="1021"/>
      <c r="BM266" s="1021"/>
      <c r="BN266" s="1021"/>
      <c r="BO266" s="1021"/>
      <c r="BP266" s="1021"/>
      <c r="BQ266" s="1021"/>
      <c r="BR266" s="1021"/>
      <c r="BS266" s="1021"/>
      <c r="BT266" s="1021"/>
      <c r="BU266" s="1021"/>
      <c r="BV266" s="1021"/>
      <c r="BW266" s="1021"/>
      <c r="BX266" s="1021"/>
      <c r="BY266" s="1021"/>
      <c r="BZ266" s="1021"/>
      <c r="CA266" s="1021"/>
      <c r="CB266" s="1021"/>
      <c r="CC266" s="1021"/>
    </row>
    <row r="267" spans="8:81" x14ac:dyDescent="0.25">
      <c r="H267" s="1021"/>
      <c r="I267" s="1021"/>
      <c r="J267" s="1021"/>
      <c r="K267" s="1021"/>
      <c r="L267" s="1021"/>
      <c r="M267" s="1021"/>
      <c r="N267" s="1021"/>
      <c r="O267" s="1021"/>
      <c r="P267" s="1021"/>
      <c r="Q267" s="1021"/>
      <c r="R267" s="1021"/>
      <c r="S267" s="1021"/>
      <c r="T267" s="1021"/>
      <c r="U267" s="1021"/>
      <c r="V267" s="1021"/>
      <c r="W267" s="1021"/>
      <c r="X267" s="1021"/>
      <c r="Y267" s="1021"/>
      <c r="Z267" s="1021"/>
      <c r="AA267" s="1021"/>
      <c r="AB267" s="1021"/>
      <c r="AC267" s="1021"/>
      <c r="AD267" s="1021"/>
      <c r="AE267" s="1021"/>
      <c r="AF267" s="1021"/>
      <c r="AG267" s="1021"/>
      <c r="AH267" s="1021"/>
      <c r="AI267" s="1021"/>
      <c r="AJ267" s="1021"/>
      <c r="AK267" s="1021"/>
      <c r="AL267" s="1021"/>
      <c r="AM267" s="1021"/>
      <c r="AN267" s="1021"/>
      <c r="AO267" s="1021"/>
      <c r="AP267" s="1021"/>
      <c r="AQ267" s="1021"/>
      <c r="AR267" s="1021"/>
      <c r="AS267" s="1021"/>
      <c r="AT267" s="1021"/>
      <c r="AU267" s="1021"/>
      <c r="AV267" s="1021"/>
      <c r="AW267" s="1021"/>
      <c r="AX267" s="1021"/>
      <c r="AY267" s="1021"/>
      <c r="AZ267" s="1021"/>
      <c r="BA267" s="1021"/>
      <c r="BB267" s="1021"/>
      <c r="BC267" s="1021"/>
      <c r="BD267" s="1021"/>
      <c r="BE267" s="1021"/>
      <c r="BF267" s="1021"/>
      <c r="BG267" s="1021"/>
      <c r="BH267" s="1021"/>
      <c r="BI267" s="1021"/>
      <c r="BJ267" s="1021"/>
      <c r="BK267" s="1021"/>
      <c r="BL267" s="1021"/>
      <c r="BM267" s="1021"/>
      <c r="BN267" s="1021"/>
      <c r="BO267" s="1021"/>
      <c r="BP267" s="1021"/>
      <c r="BQ267" s="1021"/>
      <c r="BR267" s="1021"/>
      <c r="BS267" s="1021"/>
      <c r="BT267" s="1021"/>
      <c r="BU267" s="1021"/>
      <c r="BV267" s="1021"/>
      <c r="BW267" s="1021"/>
      <c r="BX267" s="1021"/>
      <c r="BY267" s="1021"/>
      <c r="BZ267" s="1021"/>
      <c r="CA267" s="1021"/>
      <c r="CB267" s="1021"/>
      <c r="CC267" s="1021"/>
    </row>
    <row r="268" spans="8:81" x14ac:dyDescent="0.25">
      <c r="H268" s="1021"/>
      <c r="I268" s="1021"/>
      <c r="J268" s="1021"/>
      <c r="K268" s="1021"/>
      <c r="L268" s="1021"/>
      <c r="M268" s="1021"/>
      <c r="N268" s="1021"/>
      <c r="O268" s="1021"/>
      <c r="P268" s="1021"/>
      <c r="Q268" s="1021"/>
      <c r="R268" s="1021"/>
      <c r="S268" s="1021"/>
      <c r="T268" s="1021"/>
      <c r="U268" s="1021"/>
      <c r="V268" s="1021"/>
      <c r="W268" s="1021"/>
      <c r="X268" s="1021"/>
      <c r="Y268" s="1021"/>
      <c r="Z268" s="1021"/>
      <c r="AA268" s="1021"/>
      <c r="AB268" s="1021"/>
      <c r="AC268" s="1021"/>
      <c r="AD268" s="1021"/>
      <c r="AE268" s="1021"/>
      <c r="AF268" s="1021"/>
      <c r="AG268" s="1021"/>
      <c r="AH268" s="1021"/>
      <c r="AI268" s="1021"/>
      <c r="AJ268" s="1021"/>
      <c r="AK268" s="1021"/>
      <c r="AL268" s="1021"/>
      <c r="AM268" s="1021"/>
      <c r="AN268" s="1021"/>
      <c r="AO268" s="1021"/>
      <c r="AP268" s="1021"/>
      <c r="AQ268" s="1021"/>
      <c r="AR268" s="1021"/>
      <c r="AS268" s="1021"/>
      <c r="AT268" s="1021"/>
      <c r="AU268" s="1021"/>
      <c r="AV268" s="1021"/>
      <c r="AW268" s="1021"/>
      <c r="AX268" s="1021"/>
      <c r="AY268" s="1021"/>
      <c r="AZ268" s="1021"/>
      <c r="BA268" s="1021"/>
      <c r="BB268" s="1021"/>
      <c r="BC268" s="1021"/>
      <c r="BD268" s="1021"/>
      <c r="BE268" s="1021"/>
      <c r="BF268" s="1021"/>
      <c r="BG268" s="1021"/>
      <c r="BH268" s="1021"/>
      <c r="BI268" s="1021"/>
      <c r="BJ268" s="1021"/>
      <c r="BK268" s="1021"/>
      <c r="BL268" s="1021"/>
      <c r="BM268" s="1021"/>
      <c r="BN268" s="1021"/>
      <c r="BO268" s="1021"/>
      <c r="BP268" s="1021"/>
      <c r="BQ268" s="1021"/>
      <c r="BR268" s="1021"/>
      <c r="BS268" s="1021"/>
      <c r="BT268" s="1021"/>
      <c r="BU268" s="1021"/>
      <c r="BV268" s="1021"/>
      <c r="BW268" s="1021"/>
      <c r="BX268" s="1021"/>
      <c r="BY268" s="1021"/>
      <c r="BZ268" s="1021"/>
      <c r="CA268" s="1021"/>
      <c r="CB268" s="1021"/>
      <c r="CC268" s="1021"/>
    </row>
    <row r="269" spans="8:81" x14ac:dyDescent="0.25">
      <c r="H269" s="1021"/>
      <c r="I269" s="1021"/>
      <c r="J269" s="1021"/>
      <c r="K269" s="1021"/>
      <c r="L269" s="1021"/>
      <c r="M269" s="1021"/>
      <c r="N269" s="1021"/>
      <c r="O269" s="1021"/>
      <c r="P269" s="1021"/>
      <c r="Q269" s="1021"/>
      <c r="R269" s="1021"/>
      <c r="S269" s="1021"/>
      <c r="T269" s="1021"/>
      <c r="U269" s="1021"/>
      <c r="V269" s="1021"/>
      <c r="W269" s="1021"/>
      <c r="X269" s="1021"/>
      <c r="Y269" s="1021"/>
      <c r="Z269" s="1021"/>
      <c r="AA269" s="1021"/>
      <c r="AB269" s="1021"/>
      <c r="AC269" s="1021"/>
      <c r="AD269" s="1021"/>
      <c r="AE269" s="1021"/>
      <c r="AF269" s="1021"/>
      <c r="AG269" s="1021"/>
      <c r="AH269" s="1021"/>
      <c r="AI269" s="1021"/>
      <c r="AJ269" s="1021"/>
      <c r="AK269" s="1021"/>
      <c r="AL269" s="1021"/>
      <c r="AM269" s="1021"/>
      <c r="AN269" s="1021"/>
      <c r="AO269" s="1021"/>
      <c r="AP269" s="1021"/>
      <c r="AQ269" s="1021"/>
      <c r="AR269" s="1021"/>
      <c r="AS269" s="1021"/>
      <c r="AT269" s="1021"/>
      <c r="AU269" s="1021"/>
      <c r="AV269" s="1021"/>
      <c r="AW269" s="1021"/>
      <c r="AX269" s="1021"/>
      <c r="AY269" s="1021"/>
      <c r="AZ269" s="1021"/>
      <c r="BA269" s="1021"/>
      <c r="BB269" s="1021"/>
      <c r="BC269" s="1021"/>
      <c r="BD269" s="1021"/>
      <c r="BE269" s="1021"/>
      <c r="BF269" s="1021"/>
      <c r="BG269" s="1021"/>
      <c r="BH269" s="1021"/>
      <c r="BI269" s="1021"/>
      <c r="BJ269" s="1021"/>
      <c r="BK269" s="1021"/>
      <c r="BL269" s="1021"/>
      <c r="BM269" s="1021"/>
      <c r="BN269" s="1021"/>
      <c r="BO269" s="1021"/>
      <c r="BP269" s="1021"/>
      <c r="BQ269" s="1021"/>
      <c r="BR269" s="1021"/>
      <c r="BS269" s="1021"/>
      <c r="BT269" s="1021"/>
      <c r="BU269" s="1021"/>
      <c r="BV269" s="1021"/>
      <c r="BW269" s="1021"/>
      <c r="BX269" s="1021"/>
      <c r="BY269" s="1021"/>
      <c r="BZ269" s="1021"/>
      <c r="CA269" s="1021"/>
      <c r="CB269" s="1021"/>
      <c r="CC269" s="1021"/>
    </row>
    <row r="270" spans="8:81" x14ac:dyDescent="0.25">
      <c r="H270" s="1021"/>
      <c r="I270" s="1021"/>
      <c r="J270" s="1021"/>
      <c r="K270" s="1021"/>
      <c r="L270" s="1021"/>
      <c r="M270" s="1021"/>
      <c r="N270" s="1021"/>
      <c r="O270" s="1021"/>
      <c r="P270" s="1021"/>
      <c r="Q270" s="1021"/>
      <c r="R270" s="1021"/>
      <c r="S270" s="1021"/>
      <c r="T270" s="1021"/>
      <c r="U270" s="1021"/>
      <c r="V270" s="1021"/>
      <c r="W270" s="1021"/>
      <c r="X270" s="1021"/>
      <c r="Y270" s="1021"/>
      <c r="Z270" s="1021"/>
      <c r="AA270" s="1021"/>
      <c r="AB270" s="1021"/>
      <c r="AC270" s="1021"/>
      <c r="AD270" s="1021"/>
      <c r="AE270" s="1021"/>
      <c r="AF270" s="1021"/>
      <c r="AG270" s="1021"/>
      <c r="AH270" s="1021"/>
      <c r="AI270" s="1021"/>
      <c r="AJ270" s="1021"/>
      <c r="AK270" s="1021"/>
      <c r="AL270" s="1021"/>
      <c r="AM270" s="1021"/>
      <c r="AN270" s="1021"/>
      <c r="AO270" s="1021"/>
      <c r="AP270" s="1021"/>
      <c r="AQ270" s="1021"/>
      <c r="AR270" s="1021"/>
      <c r="AS270" s="1021"/>
      <c r="AT270" s="1021"/>
      <c r="AU270" s="1021"/>
      <c r="AV270" s="1021"/>
      <c r="AW270" s="1021"/>
      <c r="AX270" s="1021"/>
      <c r="AY270" s="1021"/>
      <c r="AZ270" s="1021"/>
      <c r="BA270" s="1021"/>
      <c r="BB270" s="1021"/>
      <c r="BC270" s="1021"/>
      <c r="BD270" s="1021"/>
      <c r="BE270" s="1021"/>
      <c r="BF270" s="1021"/>
      <c r="BG270" s="1021"/>
      <c r="BH270" s="1021"/>
      <c r="BI270" s="1021"/>
      <c r="BJ270" s="1021"/>
      <c r="BK270" s="1021"/>
      <c r="BL270" s="1021"/>
      <c r="BM270" s="1021"/>
      <c r="BN270" s="1021"/>
      <c r="BO270" s="1021"/>
      <c r="BP270" s="1021"/>
      <c r="BQ270" s="1021"/>
      <c r="BR270" s="1021"/>
      <c r="BS270" s="1021"/>
      <c r="BT270" s="1021"/>
      <c r="BU270" s="1021"/>
      <c r="BV270" s="1021"/>
      <c r="BW270" s="1021"/>
      <c r="BX270" s="1021"/>
      <c r="BY270" s="1021"/>
      <c r="BZ270" s="1021"/>
      <c r="CA270" s="1021"/>
      <c r="CB270" s="1021"/>
      <c r="CC270" s="1021"/>
    </row>
    <row r="271" spans="8:81" x14ac:dyDescent="0.25">
      <c r="H271" s="1021"/>
      <c r="I271" s="1021"/>
      <c r="J271" s="1021"/>
      <c r="K271" s="1021"/>
      <c r="L271" s="1021"/>
      <c r="M271" s="1021"/>
      <c r="N271" s="1021"/>
      <c r="O271" s="1021"/>
      <c r="P271" s="1021"/>
      <c r="Q271" s="1021"/>
      <c r="R271" s="1021"/>
      <c r="S271" s="1021"/>
      <c r="T271" s="1021"/>
      <c r="U271" s="1021"/>
      <c r="V271" s="1021"/>
      <c r="W271" s="1021"/>
      <c r="X271" s="1021"/>
      <c r="Y271" s="1021"/>
      <c r="Z271" s="1021"/>
      <c r="AA271" s="1021"/>
      <c r="AB271" s="1021"/>
      <c r="AC271" s="1021"/>
      <c r="AD271" s="1021"/>
      <c r="AE271" s="1021"/>
      <c r="AF271" s="1021"/>
      <c r="AG271" s="1021"/>
      <c r="AH271" s="1021"/>
      <c r="AI271" s="1021"/>
      <c r="AJ271" s="1021"/>
      <c r="AK271" s="1021"/>
      <c r="AL271" s="1021"/>
      <c r="AM271" s="1021"/>
      <c r="AN271" s="1021"/>
      <c r="AO271" s="1021"/>
      <c r="AP271" s="1021"/>
      <c r="AQ271" s="1021"/>
      <c r="AR271" s="1021"/>
      <c r="AS271" s="1021"/>
      <c r="AT271" s="1021"/>
      <c r="AU271" s="1021"/>
      <c r="AV271" s="1021"/>
      <c r="AW271" s="1021"/>
      <c r="AX271" s="1021"/>
      <c r="AY271" s="1021"/>
      <c r="AZ271" s="1021"/>
      <c r="BA271" s="1021"/>
      <c r="BB271" s="1021"/>
      <c r="BC271" s="1021"/>
      <c r="BD271" s="1021"/>
      <c r="BE271" s="1021"/>
      <c r="BF271" s="1021"/>
      <c r="BG271" s="1021"/>
      <c r="BH271" s="1021"/>
      <c r="BI271" s="1021"/>
      <c r="BJ271" s="1021"/>
      <c r="BK271" s="1021"/>
      <c r="BL271" s="1021"/>
      <c r="BM271" s="1021"/>
      <c r="BN271" s="1021"/>
      <c r="BO271" s="1021"/>
      <c r="BP271" s="1021"/>
      <c r="BQ271" s="1021"/>
      <c r="BR271" s="1021"/>
      <c r="BS271" s="1021"/>
      <c r="BT271" s="1021"/>
      <c r="BU271" s="1021"/>
      <c r="BV271" s="1021"/>
      <c r="BW271" s="1021"/>
      <c r="BX271" s="1021"/>
      <c r="BY271" s="1021"/>
      <c r="BZ271" s="1021"/>
      <c r="CA271" s="1021"/>
      <c r="CB271" s="1021"/>
      <c r="CC271" s="1021"/>
    </row>
    <row r="272" spans="8:81" x14ac:dyDescent="0.25">
      <c r="H272" s="1021"/>
      <c r="I272" s="1021"/>
      <c r="J272" s="1021"/>
      <c r="K272" s="1021"/>
      <c r="L272" s="1021"/>
      <c r="M272" s="1021"/>
      <c r="N272" s="1021"/>
      <c r="O272" s="1021"/>
      <c r="P272" s="1021"/>
      <c r="Q272" s="1021"/>
      <c r="R272" s="1021"/>
      <c r="S272" s="1021"/>
      <c r="T272" s="1021"/>
      <c r="U272" s="1021"/>
      <c r="V272" s="1021"/>
      <c r="W272" s="1021"/>
      <c r="X272" s="1021"/>
      <c r="Y272" s="1021"/>
      <c r="Z272" s="1021"/>
      <c r="AA272" s="1021"/>
      <c r="AB272" s="1021"/>
      <c r="AC272" s="1021"/>
      <c r="AD272" s="1021"/>
      <c r="AE272" s="1021"/>
      <c r="AF272" s="1021"/>
      <c r="AG272" s="1021"/>
      <c r="AH272" s="1021"/>
      <c r="AI272" s="1021"/>
      <c r="AJ272" s="1021"/>
      <c r="AK272" s="1021"/>
      <c r="AL272" s="1021"/>
      <c r="AM272" s="1021"/>
      <c r="AN272" s="1021"/>
      <c r="AO272" s="1021"/>
      <c r="AP272" s="1021"/>
      <c r="AQ272" s="1021"/>
      <c r="AR272" s="1021"/>
      <c r="AS272" s="1021"/>
      <c r="AT272" s="1021"/>
      <c r="AU272" s="1021"/>
      <c r="AV272" s="1021"/>
      <c r="AW272" s="1021"/>
      <c r="AX272" s="1021"/>
      <c r="AY272" s="1021"/>
      <c r="AZ272" s="1021"/>
      <c r="BA272" s="1021"/>
      <c r="BB272" s="1021"/>
      <c r="BC272" s="1021"/>
      <c r="BD272" s="1021"/>
      <c r="BE272" s="1021"/>
      <c r="BF272" s="1021"/>
      <c r="BG272" s="1021"/>
      <c r="BH272" s="1021"/>
      <c r="BI272" s="1021"/>
      <c r="BJ272" s="1021"/>
      <c r="BK272" s="1021"/>
      <c r="BL272" s="1021"/>
      <c r="BM272" s="1021"/>
      <c r="BN272" s="1021"/>
      <c r="BO272" s="1021"/>
      <c r="BP272" s="1021"/>
      <c r="BQ272" s="1021"/>
      <c r="BR272" s="1021"/>
      <c r="BS272" s="1021"/>
      <c r="BT272" s="1021"/>
      <c r="BU272" s="1021"/>
      <c r="BV272" s="1021"/>
      <c r="BW272" s="1021"/>
      <c r="BX272" s="1021"/>
      <c r="BY272" s="1021"/>
      <c r="BZ272" s="1021"/>
      <c r="CA272" s="1021"/>
      <c r="CB272" s="1021"/>
      <c r="CC272" s="1021"/>
    </row>
    <row r="273" spans="8:81" x14ac:dyDescent="0.25">
      <c r="H273" s="1021"/>
      <c r="I273" s="1021"/>
      <c r="J273" s="1021"/>
      <c r="K273" s="1021"/>
      <c r="L273" s="1021"/>
      <c r="M273" s="1021"/>
      <c r="N273" s="1021"/>
      <c r="O273" s="1021"/>
      <c r="P273" s="1021"/>
      <c r="Q273" s="1021"/>
      <c r="R273" s="1021"/>
      <c r="S273" s="1021"/>
      <c r="T273" s="1021"/>
      <c r="U273" s="1021"/>
      <c r="V273" s="1021"/>
      <c r="W273" s="1021"/>
      <c r="X273" s="1021"/>
      <c r="Y273" s="1021"/>
      <c r="Z273" s="1021"/>
      <c r="AA273" s="1021"/>
      <c r="AB273" s="1021"/>
      <c r="AC273" s="1021"/>
      <c r="AD273" s="1021"/>
      <c r="AE273" s="1021"/>
      <c r="AF273" s="1021"/>
      <c r="AG273" s="1021"/>
      <c r="AH273" s="1021"/>
      <c r="AI273" s="1021"/>
      <c r="AJ273" s="1021"/>
      <c r="AK273" s="1021"/>
      <c r="AL273" s="1021"/>
      <c r="AM273" s="1021"/>
      <c r="AN273" s="1021"/>
      <c r="AO273" s="1021"/>
      <c r="AP273" s="1021"/>
      <c r="AQ273" s="1021"/>
      <c r="AR273" s="1021"/>
      <c r="AS273" s="1021"/>
      <c r="AT273" s="1021"/>
      <c r="AU273" s="1021"/>
      <c r="AV273" s="1021"/>
      <c r="AW273" s="1021"/>
      <c r="AX273" s="1021"/>
      <c r="AY273" s="1021"/>
      <c r="AZ273" s="1021"/>
      <c r="BA273" s="1021"/>
      <c r="BB273" s="1021"/>
      <c r="BC273" s="1021"/>
      <c r="BD273" s="1021"/>
      <c r="BE273" s="1021"/>
      <c r="BF273" s="1021"/>
      <c r="BG273" s="1021"/>
      <c r="BH273" s="1021"/>
      <c r="BI273" s="1021"/>
      <c r="BJ273" s="1021"/>
      <c r="BK273" s="1021"/>
      <c r="BL273" s="1021"/>
      <c r="BM273" s="1021"/>
      <c r="BN273" s="1021"/>
      <c r="BO273" s="1021"/>
      <c r="BP273" s="1021"/>
      <c r="BQ273" s="1021"/>
      <c r="BR273" s="1021"/>
      <c r="BS273" s="1021"/>
      <c r="BT273" s="1021"/>
      <c r="BU273" s="1021"/>
      <c r="BV273" s="1021"/>
      <c r="BW273" s="1021"/>
      <c r="BX273" s="1021"/>
      <c r="BY273" s="1021"/>
      <c r="BZ273" s="1021"/>
      <c r="CA273" s="1021"/>
      <c r="CB273" s="1021"/>
      <c r="CC273" s="1021"/>
    </row>
    <row r="274" spans="8:81" x14ac:dyDescent="0.25">
      <c r="H274" s="1021"/>
      <c r="I274" s="1021"/>
      <c r="J274" s="1021"/>
      <c r="K274" s="1021"/>
      <c r="L274" s="1021"/>
      <c r="M274" s="1021"/>
      <c r="N274" s="1021"/>
      <c r="O274" s="1021"/>
      <c r="P274" s="1021"/>
      <c r="Q274" s="1021"/>
      <c r="R274" s="1021"/>
      <c r="S274" s="1021"/>
      <c r="T274" s="1021"/>
      <c r="U274" s="1021"/>
      <c r="V274" s="1021"/>
      <c r="W274" s="1021"/>
      <c r="X274" s="1021"/>
      <c r="Y274" s="1021"/>
      <c r="Z274" s="1021"/>
      <c r="AA274" s="1021"/>
      <c r="AB274" s="1021"/>
      <c r="AC274" s="1021"/>
      <c r="AD274" s="1021"/>
      <c r="AE274" s="1021"/>
      <c r="AF274" s="1021"/>
      <c r="AG274" s="1021"/>
      <c r="AH274" s="1021"/>
      <c r="AI274" s="1021"/>
      <c r="AJ274" s="1021"/>
      <c r="AK274" s="1021"/>
      <c r="AL274" s="1021"/>
      <c r="AM274" s="1021"/>
      <c r="AN274" s="1021"/>
      <c r="AO274" s="1021"/>
      <c r="AP274" s="1021"/>
      <c r="AQ274" s="1021"/>
      <c r="AR274" s="1021"/>
      <c r="AS274" s="1021"/>
      <c r="AT274" s="1021"/>
      <c r="AU274" s="1021"/>
      <c r="AV274" s="1021"/>
      <c r="AW274" s="1021"/>
      <c r="AX274" s="1021"/>
      <c r="AY274" s="1021"/>
      <c r="AZ274" s="1021"/>
      <c r="BA274" s="1021"/>
      <c r="BB274" s="1021"/>
      <c r="BC274" s="1021"/>
      <c r="BD274" s="1021"/>
      <c r="BE274" s="1021"/>
      <c r="BF274" s="1021"/>
      <c r="BG274" s="1021"/>
      <c r="BH274" s="1021"/>
      <c r="BI274" s="1021"/>
      <c r="BJ274" s="1021"/>
      <c r="BK274" s="1021"/>
      <c r="BL274" s="1021"/>
      <c r="BM274" s="1021"/>
      <c r="BN274" s="1021"/>
      <c r="BO274" s="1021"/>
      <c r="BP274" s="1021"/>
      <c r="BQ274" s="1021"/>
      <c r="BR274" s="1021"/>
      <c r="BS274" s="1021"/>
      <c r="BT274" s="1021"/>
      <c r="BU274" s="1021"/>
      <c r="BV274" s="1021"/>
      <c r="BW274" s="1021"/>
      <c r="BX274" s="1021"/>
      <c r="BY274" s="1021"/>
      <c r="BZ274" s="1021"/>
      <c r="CA274" s="1021"/>
      <c r="CB274" s="1021"/>
      <c r="CC274" s="1021"/>
    </row>
    <row r="275" spans="8:81" x14ac:dyDescent="0.25">
      <c r="H275" s="1021"/>
      <c r="I275" s="1021"/>
      <c r="J275" s="1021"/>
      <c r="K275" s="1021"/>
      <c r="L275" s="1021"/>
      <c r="M275" s="1021"/>
      <c r="N275" s="1021"/>
      <c r="O275" s="1021"/>
      <c r="P275" s="1021"/>
      <c r="Q275" s="1021"/>
      <c r="R275" s="1021"/>
      <c r="S275" s="1021"/>
      <c r="T275" s="1021"/>
      <c r="U275" s="1021"/>
      <c r="V275" s="1021"/>
      <c r="W275" s="1021"/>
      <c r="X275" s="1021"/>
      <c r="Y275" s="1021"/>
      <c r="Z275" s="1021"/>
      <c r="AA275" s="1021"/>
      <c r="AB275" s="1021"/>
      <c r="AC275" s="1021"/>
      <c r="AD275" s="1021"/>
      <c r="AE275" s="1021"/>
      <c r="AF275" s="1021"/>
      <c r="AG275" s="1021"/>
      <c r="AH275" s="1021"/>
      <c r="AI275" s="1021"/>
      <c r="AJ275" s="1021"/>
      <c r="AK275" s="1021"/>
      <c r="AL275" s="1021"/>
      <c r="AM275" s="1021"/>
      <c r="AN275" s="1021"/>
      <c r="AO275" s="1021"/>
      <c r="AP275" s="1021"/>
      <c r="AQ275" s="1021"/>
      <c r="AR275" s="1021"/>
      <c r="AS275" s="1021"/>
      <c r="AT275" s="1021"/>
      <c r="AU275" s="1021"/>
      <c r="AV275" s="1021"/>
      <c r="AW275" s="1021"/>
      <c r="AX275" s="1021"/>
      <c r="AY275" s="1021"/>
      <c r="AZ275" s="1021"/>
      <c r="BA275" s="1021"/>
      <c r="BB275" s="1021"/>
      <c r="BC275" s="1021"/>
      <c r="BD275" s="1021"/>
      <c r="BE275" s="1021"/>
      <c r="BF275" s="1021"/>
      <c r="BG275" s="1021"/>
      <c r="BH275" s="1021"/>
      <c r="BI275" s="1021"/>
      <c r="BJ275" s="1021"/>
      <c r="BK275" s="1021"/>
      <c r="BL275" s="1021"/>
      <c r="BM275" s="1021"/>
      <c r="BN275" s="1021"/>
      <c r="BO275" s="1021"/>
      <c r="BP275" s="1021"/>
      <c r="BQ275" s="1021"/>
      <c r="BR275" s="1021"/>
      <c r="BS275" s="1021"/>
      <c r="BT275" s="1021"/>
      <c r="BU275" s="1021"/>
      <c r="BV275" s="1021"/>
      <c r="BW275" s="1021"/>
      <c r="BX275" s="1021"/>
      <c r="BY275" s="1021"/>
      <c r="BZ275" s="1021"/>
      <c r="CA275" s="1021"/>
      <c r="CB275" s="1021"/>
      <c r="CC275" s="1021"/>
    </row>
    <row r="276" spans="8:81" x14ac:dyDescent="0.25">
      <c r="H276" s="1021"/>
      <c r="I276" s="1021"/>
      <c r="J276" s="1021"/>
      <c r="K276" s="1021"/>
      <c r="L276" s="1021"/>
      <c r="M276" s="1021"/>
      <c r="N276" s="1021"/>
      <c r="O276" s="1021"/>
      <c r="P276" s="1021"/>
      <c r="Q276" s="1021"/>
      <c r="R276" s="1021"/>
      <c r="S276" s="1021"/>
      <c r="T276" s="1021"/>
      <c r="U276" s="1021"/>
      <c r="V276" s="1021"/>
      <c r="W276" s="1021"/>
      <c r="X276" s="1021"/>
      <c r="Y276" s="1021"/>
      <c r="Z276" s="1021"/>
      <c r="AA276" s="1021"/>
      <c r="AB276" s="1021"/>
      <c r="AC276" s="1021"/>
      <c r="AD276" s="1021"/>
      <c r="AE276" s="1021"/>
      <c r="AF276" s="1021"/>
      <c r="AG276" s="1021"/>
      <c r="AH276" s="1021"/>
      <c r="AI276" s="1021"/>
      <c r="AJ276" s="1021"/>
      <c r="AK276" s="1021"/>
      <c r="AL276" s="1021"/>
      <c r="AM276" s="1021"/>
      <c r="AN276" s="1021"/>
      <c r="AO276" s="1021"/>
      <c r="AP276" s="1021"/>
      <c r="AQ276" s="1021"/>
      <c r="AR276" s="1021"/>
      <c r="AS276" s="1021"/>
      <c r="AT276" s="1021"/>
      <c r="AU276" s="1021"/>
      <c r="AV276" s="1021"/>
      <c r="AW276" s="1021"/>
      <c r="AX276" s="1021"/>
      <c r="AY276" s="1021"/>
      <c r="AZ276" s="1021"/>
      <c r="BA276" s="1021"/>
      <c r="BB276" s="1021"/>
      <c r="BC276" s="1021"/>
      <c r="BD276" s="1021"/>
      <c r="BE276" s="1021"/>
      <c r="BF276" s="1021"/>
      <c r="BG276" s="1021"/>
      <c r="BH276" s="1021"/>
      <c r="BI276" s="1021"/>
      <c r="BJ276" s="1021"/>
      <c r="BK276" s="1021"/>
      <c r="BL276" s="1021"/>
      <c r="BM276" s="1021"/>
      <c r="BN276" s="1021"/>
      <c r="BO276" s="1021"/>
      <c r="BP276" s="1021"/>
      <c r="BQ276" s="1021"/>
      <c r="BR276" s="1021"/>
      <c r="BS276" s="1021"/>
      <c r="BT276" s="1021"/>
      <c r="BU276" s="1021"/>
      <c r="BV276" s="1021"/>
      <c r="BW276" s="1021"/>
      <c r="BX276" s="1021"/>
      <c r="BY276" s="1021"/>
      <c r="BZ276" s="1021"/>
      <c r="CA276" s="1021"/>
      <c r="CB276" s="1021"/>
      <c r="CC276" s="1021"/>
    </row>
    <row r="277" spans="8:81" x14ac:dyDescent="0.25">
      <c r="H277" s="1021"/>
      <c r="I277" s="1021"/>
      <c r="J277" s="1021"/>
      <c r="K277" s="1021"/>
      <c r="L277" s="1021"/>
      <c r="M277" s="1021"/>
      <c r="N277" s="1021"/>
      <c r="O277" s="1021"/>
      <c r="P277" s="1021"/>
      <c r="Q277" s="1021"/>
      <c r="R277" s="1021"/>
      <c r="S277" s="1021"/>
      <c r="T277" s="1021"/>
      <c r="U277" s="1021"/>
      <c r="V277" s="1021"/>
      <c r="W277" s="1021"/>
      <c r="X277" s="1021"/>
      <c r="Y277" s="1021"/>
      <c r="Z277" s="1021"/>
      <c r="AA277" s="1021"/>
      <c r="AB277" s="1021"/>
      <c r="AC277" s="1021"/>
      <c r="AD277" s="1021"/>
      <c r="AE277" s="1021"/>
      <c r="AF277" s="1021"/>
      <c r="AG277" s="1021"/>
      <c r="AH277" s="1021"/>
      <c r="AI277" s="1021"/>
      <c r="AJ277" s="1021"/>
      <c r="AK277" s="1021"/>
      <c r="AL277" s="1021"/>
      <c r="AM277" s="1021"/>
      <c r="AN277" s="1021"/>
      <c r="AO277" s="1021"/>
      <c r="AP277" s="1021"/>
      <c r="AQ277" s="1021"/>
      <c r="AR277" s="1021"/>
      <c r="AS277" s="1021"/>
      <c r="AT277" s="1021"/>
      <c r="AU277" s="1021"/>
      <c r="AV277" s="1021"/>
      <c r="AW277" s="1021"/>
      <c r="AX277" s="1021"/>
      <c r="AY277" s="1021"/>
      <c r="AZ277" s="1021"/>
      <c r="BA277" s="1021"/>
      <c r="BB277" s="1021"/>
      <c r="BC277" s="1021"/>
      <c r="BD277" s="1021"/>
      <c r="BE277" s="1021"/>
      <c r="BF277" s="1021"/>
      <c r="BG277" s="1021"/>
      <c r="BH277" s="1021"/>
      <c r="BI277" s="1021"/>
      <c r="BJ277" s="1021"/>
      <c r="BK277" s="1021"/>
      <c r="BL277" s="1021"/>
      <c r="BM277" s="1021"/>
      <c r="BN277" s="1021"/>
      <c r="BO277" s="1021"/>
      <c r="BP277" s="1021"/>
      <c r="BQ277" s="1021"/>
      <c r="BR277" s="1021"/>
      <c r="BS277" s="1021"/>
      <c r="BT277" s="1021"/>
      <c r="BU277" s="1021"/>
      <c r="BV277" s="1021"/>
      <c r="BW277" s="1021"/>
      <c r="BX277" s="1021"/>
      <c r="BY277" s="1021"/>
      <c r="BZ277" s="1021"/>
      <c r="CA277" s="1021"/>
      <c r="CB277" s="1021"/>
      <c r="CC277" s="1021"/>
    </row>
    <row r="278" spans="8:81" x14ac:dyDescent="0.25">
      <c r="H278" s="1021"/>
      <c r="I278" s="1021"/>
      <c r="J278" s="1021"/>
      <c r="K278" s="1021"/>
      <c r="L278" s="1021"/>
      <c r="M278" s="1021"/>
      <c r="N278" s="1021"/>
      <c r="O278" s="1021"/>
      <c r="P278" s="1021"/>
      <c r="Q278" s="1021"/>
      <c r="R278" s="1021"/>
      <c r="S278" s="1021"/>
      <c r="T278" s="1021"/>
      <c r="U278" s="1021"/>
      <c r="V278" s="1021"/>
      <c r="W278" s="1021"/>
      <c r="X278" s="1021"/>
      <c r="Y278" s="1021"/>
      <c r="Z278" s="1021"/>
      <c r="AA278" s="1021"/>
      <c r="AB278" s="1021"/>
      <c r="AC278" s="1021"/>
      <c r="AD278" s="1021"/>
      <c r="AE278" s="1021"/>
      <c r="AF278" s="1021"/>
      <c r="AG278" s="1021"/>
      <c r="AH278" s="1021"/>
      <c r="AI278" s="1021"/>
      <c r="AJ278" s="1021"/>
      <c r="AK278" s="1021"/>
      <c r="AL278" s="1021"/>
      <c r="AM278" s="1021"/>
      <c r="AN278" s="1021"/>
      <c r="AO278" s="1021"/>
      <c r="AP278" s="1021"/>
      <c r="AQ278" s="1021"/>
      <c r="AR278" s="1021"/>
      <c r="AS278" s="1021"/>
      <c r="AT278" s="1021"/>
      <c r="AU278" s="1021"/>
      <c r="AV278" s="1021"/>
      <c r="AW278" s="1021"/>
      <c r="AX278" s="1021"/>
      <c r="AY278" s="1021"/>
      <c r="AZ278" s="1021"/>
      <c r="BA278" s="1021"/>
      <c r="BB278" s="1021"/>
      <c r="BC278" s="1021"/>
      <c r="BD278" s="1021"/>
      <c r="BE278" s="1021"/>
      <c r="BF278" s="1021"/>
      <c r="BG278" s="1021"/>
      <c r="BH278" s="1021"/>
      <c r="BI278" s="1021"/>
      <c r="BJ278" s="1021"/>
      <c r="BK278" s="1021"/>
      <c r="BL278" s="1021"/>
      <c r="BM278" s="1021"/>
      <c r="BN278" s="1021"/>
      <c r="BO278" s="1021"/>
      <c r="BP278" s="1021"/>
      <c r="BQ278" s="1021"/>
      <c r="BR278" s="1021"/>
      <c r="BS278" s="1021"/>
      <c r="BT278" s="1021"/>
      <c r="BU278" s="1021"/>
      <c r="BV278" s="1021"/>
      <c r="BW278" s="1021"/>
      <c r="BX278" s="1021"/>
      <c r="BY278" s="1021"/>
      <c r="BZ278" s="1021"/>
      <c r="CA278" s="1021"/>
      <c r="CB278" s="1021"/>
      <c r="CC278" s="1021"/>
    </row>
    <row r="279" spans="8:81" x14ac:dyDescent="0.25">
      <c r="H279" s="1021"/>
      <c r="I279" s="1021"/>
      <c r="J279" s="1021"/>
      <c r="K279" s="1021"/>
      <c r="L279" s="1021"/>
      <c r="M279" s="1021"/>
      <c r="N279" s="1021"/>
      <c r="O279" s="1021"/>
      <c r="P279" s="1021"/>
      <c r="Q279" s="1021"/>
      <c r="R279" s="1021"/>
      <c r="S279" s="1021"/>
      <c r="T279" s="1021"/>
      <c r="U279" s="1021"/>
      <c r="V279" s="1021"/>
      <c r="W279" s="1021"/>
      <c r="X279" s="1021"/>
      <c r="Y279" s="1021"/>
      <c r="Z279" s="1021"/>
      <c r="AA279" s="1021"/>
      <c r="AB279" s="1021"/>
      <c r="AC279" s="1021"/>
      <c r="AD279" s="1021"/>
      <c r="AE279" s="1021"/>
      <c r="AF279" s="1021"/>
      <c r="AG279" s="1021"/>
      <c r="AH279" s="1021"/>
      <c r="AI279" s="1021"/>
      <c r="AJ279" s="1021"/>
      <c r="AK279" s="1021"/>
      <c r="AL279" s="1021"/>
      <c r="AM279" s="1021"/>
      <c r="AN279" s="1021"/>
      <c r="AO279" s="1021"/>
      <c r="AP279" s="1021"/>
      <c r="AQ279" s="1021"/>
      <c r="AR279" s="1021"/>
      <c r="AS279" s="1021"/>
      <c r="AT279" s="1021"/>
      <c r="AU279" s="1021"/>
      <c r="AV279" s="1021"/>
      <c r="AW279" s="1021"/>
      <c r="AX279" s="1021"/>
      <c r="AY279" s="1021"/>
      <c r="AZ279" s="1021"/>
      <c r="BA279" s="1021"/>
      <c r="BB279" s="1021"/>
      <c r="BC279" s="1021"/>
      <c r="BD279" s="1021"/>
      <c r="BE279" s="1021"/>
      <c r="BF279" s="1021"/>
      <c r="BG279" s="1021"/>
      <c r="BH279" s="1021"/>
      <c r="BI279" s="1021"/>
      <c r="BJ279" s="1021"/>
      <c r="BK279" s="1021"/>
      <c r="BL279" s="1021"/>
      <c r="BM279" s="1021"/>
      <c r="BN279" s="1021"/>
      <c r="BO279" s="1021"/>
      <c r="BP279" s="1021"/>
      <c r="BQ279" s="1021"/>
      <c r="BR279" s="1021"/>
      <c r="BS279" s="1021"/>
      <c r="BT279" s="1021"/>
      <c r="BU279" s="1021"/>
      <c r="BV279" s="1021"/>
      <c r="BW279" s="1021"/>
      <c r="BX279" s="1021"/>
      <c r="BY279" s="1021"/>
      <c r="BZ279" s="1021"/>
      <c r="CA279" s="1021"/>
      <c r="CB279" s="1021"/>
      <c r="CC279" s="1021"/>
    </row>
    <row r="280" spans="8:81" x14ac:dyDescent="0.25">
      <c r="H280" s="1021"/>
      <c r="I280" s="1021"/>
      <c r="J280" s="1021"/>
      <c r="K280" s="1021"/>
      <c r="L280" s="1021"/>
      <c r="M280" s="1021"/>
      <c r="N280" s="1021"/>
      <c r="O280" s="1021"/>
      <c r="P280" s="1021"/>
      <c r="Q280" s="1021"/>
      <c r="R280" s="1021"/>
      <c r="S280" s="1021"/>
      <c r="T280" s="1021"/>
      <c r="U280" s="1021"/>
      <c r="V280" s="1021"/>
      <c r="W280" s="1021"/>
      <c r="X280" s="1021"/>
      <c r="Y280" s="1021"/>
      <c r="Z280" s="1021"/>
      <c r="AA280" s="1021"/>
      <c r="AB280" s="1021"/>
      <c r="AC280" s="1021"/>
      <c r="AD280" s="1021"/>
      <c r="AE280" s="1021"/>
      <c r="AF280" s="1021"/>
      <c r="AG280" s="1021"/>
      <c r="AH280" s="1021"/>
      <c r="AI280" s="1021"/>
      <c r="AJ280" s="1021"/>
      <c r="AK280" s="1021"/>
      <c r="AL280" s="1021"/>
      <c r="AM280" s="1021"/>
      <c r="AN280" s="1021"/>
      <c r="AO280" s="1021"/>
      <c r="AP280" s="1021"/>
      <c r="AQ280" s="1021"/>
      <c r="AR280" s="1021"/>
      <c r="AS280" s="1021"/>
      <c r="AT280" s="1021"/>
      <c r="AU280" s="1021"/>
      <c r="AV280" s="1021"/>
      <c r="AW280" s="1021"/>
      <c r="AX280" s="1021"/>
      <c r="AY280" s="1021"/>
      <c r="AZ280" s="1021"/>
      <c r="BA280" s="1021"/>
      <c r="BB280" s="1021"/>
      <c r="BC280" s="1021"/>
      <c r="BD280" s="1021"/>
      <c r="BE280" s="1021"/>
      <c r="BF280" s="1021"/>
      <c r="BG280" s="1021"/>
      <c r="BH280" s="1021"/>
      <c r="BI280" s="1021"/>
      <c r="BJ280" s="1021"/>
      <c r="BK280" s="1021"/>
      <c r="BL280" s="1021"/>
      <c r="BM280" s="1021"/>
      <c r="BN280" s="1021"/>
      <c r="BO280" s="1021"/>
      <c r="BP280" s="1021"/>
      <c r="BQ280" s="1021"/>
      <c r="BR280" s="1021"/>
      <c r="BS280" s="1021"/>
      <c r="BT280" s="1021"/>
      <c r="BU280" s="1021"/>
      <c r="BV280" s="1021"/>
      <c r="BW280" s="1021"/>
      <c r="BX280" s="1021"/>
      <c r="BY280" s="1021"/>
      <c r="BZ280" s="1021"/>
      <c r="CA280" s="1021"/>
      <c r="CB280" s="1021"/>
      <c r="CC280" s="1021"/>
    </row>
    <row r="281" spans="8:81" x14ac:dyDescent="0.25">
      <c r="H281" s="1021"/>
      <c r="I281" s="1021"/>
      <c r="J281" s="1021"/>
      <c r="K281" s="1021"/>
      <c r="L281" s="1021"/>
      <c r="M281" s="1021"/>
      <c r="N281" s="1021"/>
      <c r="O281" s="1021"/>
      <c r="P281" s="1021"/>
      <c r="Q281" s="1021"/>
      <c r="R281" s="1021"/>
      <c r="S281" s="1021"/>
      <c r="T281" s="1021"/>
      <c r="U281" s="1021"/>
      <c r="V281" s="1021"/>
      <c r="W281" s="1021"/>
      <c r="X281" s="1021"/>
      <c r="Y281" s="1021"/>
      <c r="Z281" s="1021"/>
      <c r="AA281" s="1021"/>
      <c r="AB281" s="1021"/>
      <c r="AC281" s="1021"/>
      <c r="AD281" s="1021"/>
      <c r="AE281" s="1021"/>
      <c r="AF281" s="1021"/>
      <c r="AG281" s="1021"/>
      <c r="AH281" s="1021"/>
      <c r="AI281" s="1021"/>
      <c r="AJ281" s="1021"/>
      <c r="AK281" s="1021"/>
      <c r="AL281" s="1021"/>
      <c r="AM281" s="1021"/>
      <c r="AN281" s="1021"/>
      <c r="AO281" s="1021"/>
      <c r="AP281" s="1021"/>
      <c r="AQ281" s="1021"/>
      <c r="AR281" s="1021"/>
      <c r="AS281" s="1021"/>
      <c r="AT281" s="1021"/>
      <c r="AU281" s="1021"/>
      <c r="AV281" s="1021"/>
      <c r="AW281" s="1021"/>
      <c r="AX281" s="1021"/>
      <c r="AY281" s="1021"/>
      <c r="AZ281" s="1021"/>
      <c r="BA281" s="1021"/>
      <c r="BB281" s="1021"/>
      <c r="BC281" s="1021"/>
      <c r="BD281" s="1021"/>
      <c r="BE281" s="1021"/>
      <c r="BF281" s="1021"/>
      <c r="BG281" s="1021"/>
      <c r="BH281" s="1021"/>
      <c r="BI281" s="1021"/>
      <c r="BJ281" s="1021"/>
      <c r="BK281" s="1021"/>
      <c r="BL281" s="1021"/>
      <c r="BM281" s="1021"/>
      <c r="BN281" s="1021"/>
      <c r="BO281" s="1021"/>
      <c r="BP281" s="1021"/>
      <c r="BQ281" s="1021"/>
      <c r="BR281" s="1021"/>
      <c r="BS281" s="1021"/>
      <c r="BT281" s="1021"/>
      <c r="BU281" s="1021"/>
      <c r="BV281" s="1021"/>
      <c r="BW281" s="1021"/>
      <c r="BX281" s="1021"/>
      <c r="BY281" s="1021"/>
      <c r="BZ281" s="1021"/>
      <c r="CA281" s="1021"/>
      <c r="CB281" s="1021"/>
      <c r="CC281" s="1021"/>
    </row>
    <row r="282" spans="8:81" x14ac:dyDescent="0.25">
      <c r="H282" s="1021"/>
      <c r="I282" s="1021"/>
      <c r="J282" s="1021"/>
      <c r="K282" s="1021"/>
      <c r="L282" s="1021"/>
      <c r="M282" s="1021"/>
      <c r="N282" s="1021"/>
      <c r="O282" s="1021"/>
      <c r="P282" s="1021"/>
      <c r="Q282" s="1021"/>
      <c r="R282" s="1021"/>
      <c r="S282" s="1021"/>
      <c r="T282" s="1021"/>
      <c r="U282" s="1021"/>
      <c r="V282" s="1021"/>
      <c r="W282" s="1021"/>
      <c r="X282" s="1021"/>
      <c r="Y282" s="1021"/>
      <c r="Z282" s="1021"/>
      <c r="AA282" s="1021"/>
      <c r="AB282" s="1021"/>
      <c r="AC282" s="1021"/>
      <c r="AD282" s="1021"/>
      <c r="AE282" s="1021"/>
      <c r="AF282" s="1021"/>
      <c r="AG282" s="1021"/>
      <c r="AH282" s="1021"/>
      <c r="AI282" s="1021"/>
      <c r="AJ282" s="1021"/>
      <c r="AK282" s="1021"/>
      <c r="AL282" s="1021"/>
      <c r="AM282" s="1021"/>
      <c r="AN282" s="1021"/>
      <c r="AO282" s="1021"/>
      <c r="AP282" s="1021"/>
      <c r="AQ282" s="1021"/>
      <c r="AR282" s="1021"/>
      <c r="AS282" s="1021"/>
      <c r="AT282" s="1021"/>
      <c r="AU282" s="1021"/>
      <c r="AV282" s="1021"/>
      <c r="AW282" s="1021"/>
      <c r="AX282" s="1021"/>
      <c r="AY282" s="1021"/>
      <c r="AZ282" s="1021"/>
      <c r="BA282" s="1021"/>
      <c r="BB282" s="1021"/>
      <c r="BC282" s="1021"/>
      <c r="BD282" s="1021"/>
      <c r="BE282" s="1021"/>
      <c r="BF282" s="1021"/>
      <c r="BG282" s="1021"/>
      <c r="BH282" s="1021"/>
      <c r="BI282" s="1021"/>
      <c r="BJ282" s="1021"/>
      <c r="BK282" s="1021"/>
      <c r="BL282" s="1021"/>
      <c r="BM282" s="1021"/>
      <c r="BN282" s="1021"/>
      <c r="BO282" s="1021"/>
      <c r="BP282" s="1021"/>
      <c r="BQ282" s="1021"/>
      <c r="BR282" s="1021"/>
      <c r="BS282" s="1021"/>
      <c r="BT282" s="1021"/>
      <c r="BU282" s="1021"/>
      <c r="BV282" s="1021"/>
      <c r="BW282" s="1021"/>
      <c r="BX282" s="1021"/>
      <c r="BY282" s="1021"/>
      <c r="BZ282" s="1021"/>
      <c r="CA282" s="1021"/>
      <c r="CB282" s="1021"/>
      <c r="CC282" s="1021"/>
    </row>
    <row r="283" spans="8:81" x14ac:dyDescent="0.25">
      <c r="H283" s="1021"/>
      <c r="I283" s="1021"/>
      <c r="J283" s="1021"/>
      <c r="K283" s="1021"/>
      <c r="L283" s="1021"/>
      <c r="M283" s="1021"/>
      <c r="N283" s="1021"/>
      <c r="O283" s="1021"/>
      <c r="P283" s="1021"/>
      <c r="Q283" s="1021"/>
      <c r="R283" s="1021"/>
      <c r="S283" s="1021"/>
      <c r="T283" s="1021"/>
      <c r="U283" s="1021"/>
      <c r="V283" s="1021"/>
      <c r="W283" s="1021"/>
      <c r="X283" s="1021"/>
      <c r="Y283" s="1021"/>
      <c r="Z283" s="1021"/>
      <c r="AA283" s="1021"/>
      <c r="AB283" s="1021"/>
      <c r="AC283" s="1021"/>
      <c r="AD283" s="1021"/>
      <c r="AE283" s="1021"/>
      <c r="AF283" s="1021"/>
      <c r="AG283" s="1021"/>
      <c r="AH283" s="1021"/>
      <c r="AI283" s="1021"/>
      <c r="AJ283" s="1021"/>
      <c r="AK283" s="1021"/>
      <c r="AL283" s="1021"/>
      <c r="AM283" s="1021"/>
      <c r="AN283" s="1021"/>
      <c r="AO283" s="1021"/>
      <c r="AP283" s="1021"/>
      <c r="AQ283" s="1021"/>
      <c r="AR283" s="1021"/>
      <c r="AS283" s="1021"/>
      <c r="AT283" s="1021"/>
      <c r="AU283" s="1021"/>
      <c r="AV283" s="1021"/>
      <c r="AW283" s="1021"/>
      <c r="AX283" s="1021"/>
      <c r="AY283" s="1021"/>
      <c r="AZ283" s="1021"/>
      <c r="BA283" s="1021"/>
      <c r="BB283" s="1021"/>
      <c r="BC283" s="1021"/>
      <c r="BD283" s="1021"/>
      <c r="BE283" s="1021"/>
      <c r="BF283" s="1021"/>
      <c r="BG283" s="1021"/>
      <c r="BH283" s="1021"/>
      <c r="BI283" s="1021"/>
      <c r="BJ283" s="1021"/>
      <c r="BK283" s="1021"/>
      <c r="BL283" s="1021"/>
      <c r="BM283" s="1021"/>
      <c r="BN283" s="1021"/>
      <c r="BO283" s="1021"/>
      <c r="BP283" s="1021"/>
      <c r="BQ283" s="1021"/>
      <c r="BR283" s="1021"/>
      <c r="BS283" s="1021"/>
      <c r="BT283" s="1021"/>
      <c r="BU283" s="1021"/>
      <c r="BV283" s="1021"/>
      <c r="BW283" s="1021"/>
      <c r="BX283" s="1021"/>
      <c r="BY283" s="1021"/>
      <c r="BZ283" s="1021"/>
      <c r="CA283" s="1021"/>
      <c r="CB283" s="1021"/>
      <c r="CC283" s="1021"/>
    </row>
    <row r="284" spans="8:81" x14ac:dyDescent="0.25">
      <c r="H284" s="1021"/>
      <c r="I284" s="1021"/>
      <c r="J284" s="1021"/>
      <c r="K284" s="1021"/>
      <c r="L284" s="1021"/>
      <c r="M284" s="1021"/>
      <c r="N284" s="1021"/>
      <c r="O284" s="1021"/>
      <c r="P284" s="1021"/>
      <c r="Q284" s="1021"/>
      <c r="R284" s="1021"/>
      <c r="S284" s="1021"/>
      <c r="T284" s="1021"/>
      <c r="U284" s="1021"/>
      <c r="V284" s="1021"/>
      <c r="W284" s="1021"/>
      <c r="X284" s="1021"/>
      <c r="Y284" s="1021"/>
      <c r="Z284" s="1021"/>
      <c r="AA284" s="1021"/>
      <c r="AB284" s="1021"/>
      <c r="AC284" s="1021"/>
      <c r="AD284" s="1021"/>
      <c r="AE284" s="1021"/>
      <c r="AF284" s="1021"/>
      <c r="AG284" s="1021"/>
      <c r="AH284" s="1021"/>
      <c r="AI284" s="1021"/>
      <c r="AJ284" s="1021"/>
      <c r="AK284" s="1021"/>
      <c r="AL284" s="1021"/>
      <c r="AM284" s="1021"/>
      <c r="AN284" s="1021"/>
      <c r="AO284" s="1021"/>
      <c r="AP284" s="1021"/>
      <c r="AQ284" s="1021"/>
      <c r="AR284" s="1021"/>
      <c r="AS284" s="1021"/>
      <c r="AT284" s="1021"/>
      <c r="AU284" s="1021"/>
      <c r="AV284" s="1021"/>
      <c r="AW284" s="1021"/>
      <c r="AX284" s="1021"/>
      <c r="AY284" s="1021"/>
      <c r="AZ284" s="1021"/>
      <c r="BA284" s="1021"/>
      <c r="BB284" s="1021"/>
      <c r="BC284" s="1021"/>
      <c r="BD284" s="1021"/>
      <c r="BE284" s="1021"/>
      <c r="BF284" s="1021"/>
      <c r="BG284" s="1021"/>
      <c r="BH284" s="1021"/>
      <c r="BI284" s="1021"/>
      <c r="BJ284" s="1021"/>
      <c r="BK284" s="1021"/>
      <c r="BL284" s="1021"/>
      <c r="BM284" s="1021"/>
      <c r="BN284" s="1021"/>
      <c r="BO284" s="1021"/>
      <c r="BP284" s="1021"/>
      <c r="BQ284" s="1021"/>
      <c r="BR284" s="1021"/>
      <c r="BS284" s="1021"/>
      <c r="BT284" s="1021"/>
      <c r="BU284" s="1021"/>
      <c r="BV284" s="1021"/>
      <c r="BW284" s="1021"/>
      <c r="BX284" s="1021"/>
      <c r="BY284" s="1021"/>
      <c r="BZ284" s="1021"/>
      <c r="CA284" s="1021"/>
      <c r="CB284" s="1021"/>
      <c r="CC284" s="1021"/>
    </row>
    <row r="285" spans="8:81" x14ac:dyDescent="0.25">
      <c r="H285" s="1021"/>
      <c r="I285" s="1021"/>
      <c r="J285" s="1021"/>
      <c r="K285" s="1021"/>
      <c r="L285" s="1021"/>
      <c r="M285" s="1021"/>
      <c r="N285" s="1021"/>
      <c r="O285" s="1021"/>
      <c r="P285" s="1021"/>
      <c r="Q285" s="1021"/>
      <c r="R285" s="1021"/>
      <c r="S285" s="1021"/>
      <c r="T285" s="1021"/>
      <c r="U285" s="1021"/>
      <c r="V285" s="1021"/>
      <c r="W285" s="1021"/>
      <c r="X285" s="1021"/>
      <c r="Y285" s="1021"/>
      <c r="Z285" s="1021"/>
      <c r="AA285" s="1021"/>
      <c r="AB285" s="1021"/>
      <c r="AC285" s="1021"/>
      <c r="AD285" s="1021"/>
      <c r="AE285" s="1021"/>
      <c r="AF285" s="1021"/>
      <c r="AG285" s="1021"/>
      <c r="AH285" s="1021"/>
      <c r="AI285" s="1021"/>
      <c r="AJ285" s="1021"/>
      <c r="AK285" s="1021"/>
      <c r="AL285" s="1021"/>
      <c r="AM285" s="1021"/>
      <c r="AN285" s="1021"/>
      <c r="AO285" s="1021"/>
      <c r="AP285" s="1021"/>
      <c r="AQ285" s="1021"/>
      <c r="AR285" s="1021"/>
      <c r="AS285" s="1021"/>
      <c r="AT285" s="1021"/>
      <c r="AU285" s="1021"/>
      <c r="AV285" s="1021"/>
      <c r="AW285" s="1021"/>
      <c r="AX285" s="1021"/>
      <c r="AY285" s="1021"/>
      <c r="AZ285" s="1021"/>
      <c r="BA285" s="1021"/>
      <c r="BB285" s="1021"/>
      <c r="BC285" s="1021"/>
      <c r="BD285" s="1021"/>
      <c r="BE285" s="1021"/>
      <c r="BF285" s="1021"/>
      <c r="BG285" s="1021"/>
      <c r="BH285" s="1021"/>
      <c r="BI285" s="1021"/>
      <c r="BJ285" s="1021"/>
      <c r="BK285" s="1021"/>
      <c r="BL285" s="1021"/>
      <c r="BM285" s="1021"/>
      <c r="BN285" s="1021"/>
      <c r="BO285" s="1021"/>
      <c r="BP285" s="1021"/>
      <c r="BQ285" s="1021"/>
      <c r="BR285" s="1021"/>
      <c r="BS285" s="1021"/>
      <c r="BT285" s="1021"/>
      <c r="BU285" s="1021"/>
      <c r="BV285" s="1021"/>
      <c r="BW285" s="1021"/>
      <c r="BX285" s="1021"/>
      <c r="BY285" s="1021"/>
      <c r="BZ285" s="1021"/>
      <c r="CA285" s="1021"/>
      <c r="CB285" s="1021"/>
      <c r="CC285" s="1021"/>
    </row>
    <row r="286" spans="8:81" x14ac:dyDescent="0.25">
      <c r="H286" s="1021"/>
      <c r="I286" s="1021"/>
      <c r="J286" s="1021"/>
      <c r="K286" s="1021"/>
      <c r="L286" s="1021"/>
      <c r="M286" s="1021"/>
      <c r="N286" s="1021"/>
      <c r="O286" s="1021"/>
      <c r="P286" s="1021"/>
      <c r="Q286" s="1021"/>
      <c r="R286" s="1021"/>
      <c r="S286" s="1021"/>
      <c r="T286" s="1021"/>
      <c r="U286" s="1021"/>
      <c r="V286" s="1021"/>
      <c r="W286" s="1021"/>
      <c r="X286" s="1021"/>
      <c r="Y286" s="1021"/>
      <c r="Z286" s="1021"/>
      <c r="AA286" s="1021"/>
      <c r="AB286" s="1021"/>
      <c r="AC286" s="1021"/>
      <c r="AD286" s="1021"/>
      <c r="AE286" s="1021"/>
      <c r="AF286" s="1021"/>
      <c r="AG286" s="1021"/>
      <c r="AH286" s="1021"/>
      <c r="AI286" s="1021"/>
      <c r="AJ286" s="1021"/>
      <c r="AK286" s="1021"/>
      <c r="AL286" s="1021"/>
      <c r="AM286" s="1021"/>
      <c r="AN286" s="1021"/>
      <c r="AO286" s="1021"/>
      <c r="AP286" s="1021"/>
      <c r="AQ286" s="1021"/>
      <c r="AR286" s="1021"/>
      <c r="AS286" s="1021"/>
      <c r="AT286" s="1021"/>
      <c r="AU286" s="1021"/>
      <c r="AV286" s="1021"/>
      <c r="AW286" s="1021"/>
      <c r="AX286" s="1021"/>
      <c r="AY286" s="1021"/>
      <c r="AZ286" s="1021"/>
      <c r="BA286" s="1021"/>
      <c r="BB286" s="1021"/>
      <c r="BC286" s="1021"/>
      <c r="BD286" s="1021"/>
      <c r="BE286" s="1021"/>
      <c r="BF286" s="1021"/>
      <c r="BG286" s="1021"/>
      <c r="BH286" s="1021"/>
      <c r="BI286" s="1021"/>
      <c r="BJ286" s="1021"/>
      <c r="BK286" s="1021"/>
      <c r="BL286" s="1021"/>
      <c r="BM286" s="1021"/>
      <c r="BN286" s="1021"/>
      <c r="BO286" s="1021"/>
      <c r="BP286" s="1021"/>
      <c r="BQ286" s="1021"/>
      <c r="BR286" s="1021"/>
      <c r="BS286" s="1021"/>
      <c r="BT286" s="1021"/>
      <c r="BU286" s="1021"/>
      <c r="BV286" s="1021"/>
      <c r="BW286" s="1021"/>
      <c r="BX286" s="1021"/>
      <c r="BY286" s="1021"/>
      <c r="BZ286" s="1021"/>
      <c r="CA286" s="1021"/>
      <c r="CB286" s="1021"/>
      <c r="CC286" s="1021"/>
    </row>
    <row r="287" spans="8:81" x14ac:dyDescent="0.25">
      <c r="H287" s="1021"/>
      <c r="I287" s="1021"/>
      <c r="J287" s="1021"/>
      <c r="K287" s="1021"/>
      <c r="L287" s="1021"/>
      <c r="M287" s="1021"/>
      <c r="N287" s="1021"/>
      <c r="O287" s="1021"/>
      <c r="P287" s="1021"/>
      <c r="Q287" s="1021"/>
      <c r="R287" s="1021"/>
      <c r="S287" s="1021"/>
      <c r="T287" s="1021"/>
      <c r="U287" s="1021"/>
      <c r="V287" s="1021"/>
      <c r="W287" s="1021"/>
      <c r="X287" s="1021"/>
      <c r="Y287" s="1021"/>
      <c r="Z287" s="1021"/>
      <c r="AA287" s="1021"/>
      <c r="AB287" s="1021"/>
      <c r="AC287" s="1021"/>
      <c r="AD287" s="1021"/>
      <c r="AE287" s="1021"/>
      <c r="AF287" s="1021"/>
      <c r="AG287" s="1021"/>
      <c r="AH287" s="1021"/>
      <c r="AI287" s="1021"/>
      <c r="AJ287" s="1021"/>
      <c r="AK287" s="1021"/>
      <c r="AL287" s="1021"/>
      <c r="AM287" s="1021"/>
      <c r="AN287" s="1021"/>
      <c r="AO287" s="1021"/>
      <c r="AP287" s="1021"/>
      <c r="AQ287" s="1021"/>
      <c r="AR287" s="1021"/>
      <c r="AS287" s="1021"/>
      <c r="AT287" s="1021"/>
      <c r="AU287" s="1021"/>
      <c r="AV287" s="1021"/>
      <c r="AW287" s="1021"/>
      <c r="AX287" s="1021"/>
      <c r="AY287" s="1021"/>
      <c r="AZ287" s="1021"/>
      <c r="BA287" s="1021"/>
      <c r="BB287" s="1021"/>
      <c r="BC287" s="1021"/>
      <c r="BD287" s="1021"/>
      <c r="BE287" s="1021"/>
      <c r="BF287" s="1021"/>
      <c r="BG287" s="1021"/>
      <c r="BH287" s="1021"/>
      <c r="BI287" s="1021"/>
      <c r="BJ287" s="1021"/>
      <c r="BK287" s="1021"/>
      <c r="BL287" s="1021"/>
      <c r="BM287" s="1021"/>
      <c r="BN287" s="1021"/>
      <c r="BO287" s="1021"/>
      <c r="BP287" s="1021"/>
      <c r="BQ287" s="1021"/>
      <c r="BR287" s="1021"/>
      <c r="BS287" s="1021"/>
      <c r="BT287" s="1021"/>
      <c r="BU287" s="1021"/>
      <c r="BV287" s="1021"/>
      <c r="BW287" s="1021"/>
      <c r="BX287" s="1021"/>
      <c r="BY287" s="1021"/>
      <c r="BZ287" s="1021"/>
      <c r="CA287" s="1021"/>
      <c r="CB287" s="1021"/>
      <c r="CC287" s="1021"/>
    </row>
    <row r="288" spans="8:81" x14ac:dyDescent="0.25">
      <c r="H288" s="1021"/>
      <c r="I288" s="1021"/>
      <c r="J288" s="1021"/>
      <c r="K288" s="1021"/>
      <c r="L288" s="1021"/>
      <c r="M288" s="1021"/>
      <c r="N288" s="1021"/>
      <c r="O288" s="1021"/>
      <c r="P288" s="1021"/>
      <c r="Q288" s="1021"/>
      <c r="R288" s="1021"/>
      <c r="S288" s="1021"/>
      <c r="T288" s="1021"/>
      <c r="U288" s="1021"/>
      <c r="V288" s="1021"/>
      <c r="W288" s="1021"/>
      <c r="X288" s="1021"/>
      <c r="Y288" s="1021"/>
      <c r="Z288" s="1021"/>
      <c r="AA288" s="1021"/>
      <c r="AB288" s="1021"/>
      <c r="AC288" s="1021"/>
      <c r="AD288" s="1021"/>
      <c r="AE288" s="1021"/>
      <c r="AF288" s="1021"/>
      <c r="AG288" s="1021"/>
      <c r="AH288" s="1021"/>
      <c r="AI288" s="1021"/>
      <c r="AJ288" s="1021"/>
      <c r="AK288" s="1021"/>
      <c r="AL288" s="1021"/>
      <c r="AM288" s="1021"/>
      <c r="AN288" s="1021"/>
      <c r="AO288" s="1021"/>
      <c r="AP288" s="1021"/>
      <c r="AQ288" s="1021"/>
      <c r="AR288" s="1021"/>
      <c r="AS288" s="1021"/>
      <c r="AT288" s="1021"/>
      <c r="AU288" s="1021"/>
      <c r="AV288" s="1021"/>
      <c r="AW288" s="1021"/>
      <c r="AX288" s="1021"/>
      <c r="AY288" s="1021"/>
      <c r="AZ288" s="1021"/>
      <c r="BA288" s="1021"/>
      <c r="BB288" s="1021"/>
      <c r="BC288" s="1021"/>
      <c r="BD288" s="1021"/>
      <c r="BE288" s="1021"/>
      <c r="BF288" s="1021"/>
      <c r="BG288" s="1021"/>
      <c r="BH288" s="1021"/>
      <c r="BI288" s="1021"/>
      <c r="BJ288" s="1021"/>
      <c r="BK288" s="1021"/>
      <c r="BL288" s="1021"/>
      <c r="BM288" s="1021"/>
      <c r="BN288" s="1021"/>
      <c r="BO288" s="1021"/>
      <c r="BP288" s="1021"/>
      <c r="BQ288" s="1021"/>
      <c r="BR288" s="1021"/>
      <c r="BS288" s="1021"/>
      <c r="BT288" s="1021"/>
      <c r="BU288" s="1021"/>
      <c r="BV288" s="1021"/>
      <c r="BW288" s="1021"/>
      <c r="BX288" s="1021"/>
      <c r="BY288" s="1021"/>
      <c r="BZ288" s="1021"/>
      <c r="CA288" s="1021"/>
      <c r="CB288" s="1021"/>
      <c r="CC288" s="1021"/>
    </row>
    <row r="289" spans="8:81" x14ac:dyDescent="0.25">
      <c r="H289" s="1021"/>
      <c r="I289" s="1021"/>
      <c r="J289" s="1021"/>
      <c r="K289" s="1021"/>
      <c r="L289" s="1021"/>
      <c r="M289" s="1021"/>
      <c r="N289" s="1021"/>
      <c r="O289" s="1021"/>
      <c r="P289" s="1021"/>
      <c r="Q289" s="1021"/>
      <c r="R289" s="1021"/>
      <c r="S289" s="1021"/>
      <c r="T289" s="1021"/>
      <c r="U289" s="1021"/>
      <c r="V289" s="1021"/>
      <c r="W289" s="1021"/>
      <c r="X289" s="1021"/>
      <c r="Y289" s="1021"/>
      <c r="Z289" s="1021"/>
      <c r="AA289" s="1021"/>
      <c r="AB289" s="1021"/>
      <c r="AC289" s="1021"/>
      <c r="AD289" s="1021"/>
      <c r="AE289" s="1021"/>
      <c r="AF289" s="1021"/>
      <c r="AG289" s="1021"/>
      <c r="AH289" s="1021"/>
      <c r="AI289" s="1021"/>
      <c r="AJ289" s="1021"/>
      <c r="AK289" s="1021"/>
      <c r="AL289" s="1021"/>
      <c r="AM289" s="1021"/>
      <c r="AN289" s="1021"/>
      <c r="AO289" s="1021"/>
      <c r="AP289" s="1021"/>
      <c r="AQ289" s="1021"/>
      <c r="AR289" s="1021"/>
      <c r="AS289" s="1021"/>
      <c r="AT289" s="1021"/>
      <c r="AU289" s="1021"/>
      <c r="AV289" s="1021"/>
      <c r="AW289" s="1021"/>
      <c r="AX289" s="1021"/>
      <c r="AY289" s="1021"/>
      <c r="AZ289" s="1021"/>
      <c r="BA289" s="1021"/>
      <c r="BB289" s="1021"/>
      <c r="BC289" s="1021"/>
      <c r="BD289" s="1021"/>
      <c r="BE289" s="1021"/>
      <c r="BF289" s="1021"/>
      <c r="BG289" s="1021"/>
      <c r="BH289" s="1021"/>
      <c r="BI289" s="1021"/>
      <c r="BJ289" s="1021"/>
      <c r="BK289" s="1021"/>
      <c r="BL289" s="1021"/>
      <c r="BM289" s="1021"/>
      <c r="BN289" s="1021"/>
      <c r="BO289" s="1021"/>
      <c r="BP289" s="1021"/>
      <c r="BQ289" s="1021"/>
      <c r="BR289" s="1021"/>
      <c r="BS289" s="1021"/>
      <c r="BT289" s="1021"/>
      <c r="BU289" s="1021"/>
      <c r="BV289" s="1021"/>
      <c r="BW289" s="1021"/>
      <c r="BX289" s="1021"/>
      <c r="BY289" s="1021"/>
      <c r="BZ289" s="1021"/>
      <c r="CA289" s="1021"/>
      <c r="CB289" s="1021"/>
      <c r="CC289" s="1021"/>
    </row>
    <row r="290" spans="8:81" x14ac:dyDescent="0.25">
      <c r="H290" s="1021"/>
      <c r="I290" s="1021"/>
      <c r="J290" s="1021"/>
      <c r="K290" s="1021"/>
      <c r="L290" s="1021"/>
      <c r="M290" s="1021"/>
      <c r="N290" s="1021"/>
      <c r="O290" s="1021"/>
      <c r="P290" s="1021"/>
      <c r="Q290" s="1021"/>
      <c r="R290" s="1021"/>
      <c r="S290" s="1021"/>
      <c r="T290" s="1021"/>
      <c r="U290" s="1021"/>
      <c r="V290" s="1021"/>
      <c r="W290" s="1021"/>
      <c r="X290" s="1021"/>
      <c r="Y290" s="1021"/>
      <c r="Z290" s="1021"/>
      <c r="AA290" s="1021"/>
      <c r="AB290" s="1021"/>
      <c r="AC290" s="1021"/>
      <c r="AD290" s="1021"/>
      <c r="AE290" s="1021"/>
      <c r="AF290" s="1021"/>
      <c r="AG290" s="1021"/>
      <c r="AH290" s="1021"/>
      <c r="AI290" s="1021"/>
      <c r="AJ290" s="1021"/>
      <c r="AK290" s="1021"/>
      <c r="AL290" s="1021"/>
      <c r="AM290" s="1021"/>
      <c r="AN290" s="1021"/>
      <c r="AO290" s="1021"/>
      <c r="AP290" s="1021"/>
      <c r="AQ290" s="1021"/>
      <c r="AR290" s="1021"/>
      <c r="AS290" s="1021"/>
      <c r="AT290" s="1021"/>
      <c r="AU290" s="1021"/>
      <c r="AV290" s="1021"/>
      <c r="AW290" s="1021"/>
      <c r="AX290" s="1021"/>
      <c r="AY290" s="1021"/>
      <c r="AZ290" s="1021"/>
      <c r="BA290" s="1021"/>
      <c r="BB290" s="1021"/>
      <c r="BC290" s="1021"/>
      <c r="BD290" s="1021"/>
      <c r="BE290" s="1021"/>
      <c r="BF290" s="1021"/>
      <c r="BG290" s="1021"/>
      <c r="BH290" s="1021"/>
      <c r="BI290" s="1021"/>
      <c r="BJ290" s="1021"/>
      <c r="BK290" s="1021"/>
      <c r="BL290" s="1021"/>
      <c r="BM290" s="1021"/>
      <c r="BN290" s="1021"/>
      <c r="BO290" s="1021"/>
      <c r="BP290" s="1021"/>
      <c r="BQ290" s="1021"/>
      <c r="BR290" s="1021"/>
      <c r="BS290" s="1021"/>
      <c r="BT290" s="1021"/>
      <c r="BU290" s="1021"/>
      <c r="BV290" s="1021"/>
      <c r="BW290" s="1021"/>
      <c r="BX290" s="1021"/>
      <c r="BY290" s="1021"/>
      <c r="BZ290" s="1021"/>
      <c r="CA290" s="1021"/>
      <c r="CB290" s="1021"/>
      <c r="CC290" s="1021"/>
    </row>
    <row r="291" spans="8:81" x14ac:dyDescent="0.25">
      <c r="H291" s="1021"/>
      <c r="I291" s="1021"/>
      <c r="J291" s="1021"/>
      <c r="K291" s="1021"/>
      <c r="L291" s="1021"/>
      <c r="M291" s="1021"/>
      <c r="N291" s="1021"/>
      <c r="O291" s="1021"/>
      <c r="P291" s="1021"/>
      <c r="Q291" s="1021"/>
      <c r="R291" s="1021"/>
      <c r="S291" s="1021"/>
      <c r="T291" s="1021"/>
      <c r="U291" s="1021"/>
      <c r="V291" s="1021"/>
      <c r="W291" s="1021"/>
      <c r="X291" s="1021"/>
      <c r="Y291" s="1021"/>
      <c r="Z291" s="1021"/>
      <c r="AA291" s="1021"/>
      <c r="AB291" s="1021"/>
      <c r="AC291" s="1021"/>
      <c r="AD291" s="1021"/>
      <c r="AE291" s="1021"/>
      <c r="AF291" s="1021"/>
      <c r="AG291" s="1021"/>
      <c r="AH291" s="1021"/>
      <c r="AI291" s="1021"/>
      <c r="AJ291" s="1021"/>
      <c r="AK291" s="1021"/>
      <c r="AL291" s="1021"/>
      <c r="AM291" s="1021"/>
      <c r="AN291" s="1021"/>
      <c r="AO291" s="1021"/>
      <c r="AP291" s="1021"/>
      <c r="AQ291" s="1021"/>
      <c r="AR291" s="1021"/>
      <c r="AS291" s="1021"/>
      <c r="AT291" s="1021"/>
      <c r="AU291" s="1021"/>
      <c r="AV291" s="1021"/>
      <c r="AW291" s="1021"/>
      <c r="AX291" s="1021"/>
      <c r="AY291" s="1021"/>
      <c r="AZ291" s="1021"/>
      <c r="BA291" s="1021"/>
      <c r="BB291" s="1021"/>
      <c r="BC291" s="1021"/>
      <c r="BD291" s="1021"/>
      <c r="BE291" s="1021"/>
      <c r="BF291" s="1021"/>
      <c r="BG291" s="1021"/>
      <c r="BH291" s="1021"/>
      <c r="BI291" s="1021"/>
      <c r="BJ291" s="1021"/>
      <c r="BK291" s="1021"/>
      <c r="BL291" s="1021"/>
      <c r="BM291" s="1021"/>
      <c r="BN291" s="1021"/>
      <c r="BO291" s="1021"/>
      <c r="BP291" s="1021"/>
      <c r="BQ291" s="1021"/>
      <c r="BR291" s="1021"/>
      <c r="BS291" s="1021"/>
      <c r="BT291" s="1021"/>
      <c r="BU291" s="1021"/>
      <c r="BV291" s="1021"/>
      <c r="BW291" s="1021"/>
      <c r="BX291" s="1021"/>
      <c r="BY291" s="1021"/>
      <c r="BZ291" s="1021"/>
      <c r="CA291" s="1021"/>
      <c r="CB291" s="1021"/>
      <c r="CC291" s="1021"/>
    </row>
    <row r="292" spans="8:81" x14ac:dyDescent="0.25">
      <c r="H292" s="1021"/>
      <c r="I292" s="1021"/>
      <c r="J292" s="1021"/>
      <c r="K292" s="1021"/>
      <c r="L292" s="1021"/>
      <c r="M292" s="1021"/>
      <c r="N292" s="1021"/>
      <c r="O292" s="1021"/>
      <c r="P292" s="1021"/>
      <c r="Q292" s="1021"/>
      <c r="R292" s="1021"/>
      <c r="S292" s="1021"/>
      <c r="T292" s="1021"/>
      <c r="U292" s="1021"/>
      <c r="V292" s="1021"/>
      <c r="W292" s="1021"/>
      <c r="X292" s="1021"/>
      <c r="Y292" s="1021"/>
      <c r="Z292" s="1021"/>
      <c r="AA292" s="1021"/>
      <c r="AB292" s="1021"/>
      <c r="AC292" s="1021"/>
      <c r="AD292" s="1021"/>
      <c r="AE292" s="1021"/>
      <c r="AF292" s="1021"/>
      <c r="AG292" s="1021"/>
      <c r="AH292" s="1021"/>
      <c r="AI292" s="1021"/>
      <c r="AJ292" s="1021"/>
      <c r="AK292" s="1021"/>
      <c r="AL292" s="1021"/>
      <c r="AM292" s="1021"/>
      <c r="AN292" s="1021"/>
      <c r="AO292" s="1021"/>
      <c r="AP292" s="1021"/>
      <c r="AQ292" s="1021"/>
      <c r="AR292" s="1021"/>
      <c r="AS292" s="1021"/>
      <c r="AT292" s="1021"/>
      <c r="AU292" s="1021"/>
      <c r="AV292" s="1021"/>
      <c r="AW292" s="1021"/>
      <c r="AX292" s="1021"/>
      <c r="AY292" s="1021"/>
      <c r="AZ292" s="1021"/>
      <c r="BA292" s="1021"/>
      <c r="BB292" s="1021"/>
      <c r="BC292" s="1021"/>
      <c r="BD292" s="1021"/>
      <c r="BE292" s="1021"/>
      <c r="BF292" s="1021"/>
      <c r="BG292" s="1021"/>
      <c r="BH292" s="1021"/>
      <c r="BI292" s="1021"/>
      <c r="BJ292" s="1021"/>
      <c r="BK292" s="1021"/>
      <c r="BL292" s="1021"/>
      <c r="BM292" s="1021"/>
      <c r="BN292" s="1021"/>
      <c r="BO292" s="1021"/>
      <c r="BP292" s="1021"/>
      <c r="BQ292" s="1021"/>
      <c r="BR292" s="1021"/>
      <c r="BS292" s="1021"/>
      <c r="BT292" s="1021"/>
      <c r="BU292" s="1021"/>
      <c r="BV292" s="1021"/>
      <c r="BW292" s="1021"/>
      <c r="BX292" s="1021"/>
      <c r="BY292" s="1021"/>
      <c r="BZ292" s="1021"/>
      <c r="CA292" s="1021"/>
      <c r="CB292" s="1021"/>
      <c r="CC292" s="1021"/>
    </row>
    <row r="293" spans="8:81" x14ac:dyDescent="0.25">
      <c r="H293" s="1021"/>
      <c r="I293" s="1021"/>
      <c r="J293" s="1021"/>
      <c r="K293" s="1021"/>
      <c r="L293" s="1021"/>
      <c r="M293" s="1021"/>
      <c r="N293" s="1021"/>
      <c r="O293" s="1021"/>
      <c r="P293" s="1021"/>
      <c r="Q293" s="1021"/>
      <c r="R293" s="1021"/>
      <c r="S293" s="1021"/>
      <c r="T293" s="1021"/>
      <c r="U293" s="1021"/>
      <c r="V293" s="1021"/>
      <c r="W293" s="1021"/>
      <c r="X293" s="1021"/>
      <c r="Y293" s="1021"/>
      <c r="Z293" s="1021"/>
      <c r="AA293" s="1021"/>
      <c r="AB293" s="1021"/>
      <c r="AC293" s="1021"/>
      <c r="AD293" s="1021"/>
      <c r="AE293" s="1021"/>
      <c r="AF293" s="1021"/>
      <c r="AG293" s="1021"/>
      <c r="AH293" s="1021"/>
      <c r="AI293" s="1021"/>
      <c r="AJ293" s="1021"/>
      <c r="AK293" s="1021"/>
      <c r="AL293" s="1021"/>
      <c r="AM293" s="1021"/>
      <c r="AN293" s="1021"/>
      <c r="AO293" s="1021"/>
      <c r="AP293" s="1021"/>
      <c r="AQ293" s="1021"/>
      <c r="AR293" s="1021"/>
      <c r="AS293" s="1021"/>
      <c r="AT293" s="1021"/>
      <c r="AU293" s="1021"/>
      <c r="AV293" s="1021"/>
      <c r="AW293" s="1021"/>
      <c r="AX293" s="1021"/>
      <c r="AY293" s="1021"/>
      <c r="AZ293" s="1021"/>
      <c r="BA293" s="1021"/>
      <c r="BB293" s="1021"/>
      <c r="BC293" s="1021"/>
      <c r="BD293" s="1021"/>
      <c r="BE293" s="1021"/>
      <c r="BF293" s="1021"/>
      <c r="BG293" s="1021"/>
      <c r="BH293" s="1021"/>
      <c r="BI293" s="1021"/>
      <c r="BJ293" s="1021"/>
      <c r="BK293" s="1021"/>
      <c r="BL293" s="1021"/>
      <c r="BM293" s="1021"/>
      <c r="BN293" s="1021"/>
      <c r="BO293" s="1021"/>
      <c r="BP293" s="1021"/>
      <c r="BQ293" s="1021"/>
      <c r="BR293" s="1021"/>
      <c r="BS293" s="1021"/>
      <c r="BT293" s="1021"/>
      <c r="BU293" s="1021"/>
      <c r="BV293" s="1021"/>
      <c r="BW293" s="1021"/>
      <c r="BX293" s="1021"/>
      <c r="BY293" s="1021"/>
      <c r="BZ293" s="1021"/>
      <c r="CA293" s="1021"/>
      <c r="CB293" s="1021"/>
      <c r="CC293" s="1021"/>
    </row>
    <row r="294" spans="8:81" x14ac:dyDescent="0.25">
      <c r="H294" s="1021"/>
      <c r="I294" s="1021"/>
      <c r="J294" s="1021"/>
      <c r="K294" s="1021"/>
      <c r="L294" s="1021"/>
      <c r="M294" s="1021"/>
      <c r="N294" s="1021"/>
      <c r="O294" s="1021"/>
      <c r="P294" s="1021"/>
      <c r="Q294" s="1021"/>
      <c r="R294" s="1021"/>
      <c r="S294" s="1021"/>
      <c r="T294" s="1021"/>
      <c r="U294" s="1021"/>
      <c r="V294" s="1021"/>
      <c r="W294" s="1021"/>
      <c r="X294" s="1021"/>
      <c r="Y294" s="1021"/>
      <c r="Z294" s="1021"/>
      <c r="AA294" s="1021"/>
      <c r="AB294" s="1021"/>
      <c r="AC294" s="1021"/>
      <c r="AD294" s="1021"/>
      <c r="AE294" s="1021"/>
      <c r="AF294" s="1021"/>
      <c r="AG294" s="1021"/>
      <c r="AH294" s="1021"/>
      <c r="AI294" s="1021"/>
      <c r="AJ294" s="1021"/>
      <c r="AK294" s="1021"/>
      <c r="AL294" s="1021"/>
      <c r="AM294" s="1021"/>
      <c r="AN294" s="1021"/>
      <c r="AO294" s="1021"/>
      <c r="AP294" s="1021"/>
      <c r="AQ294" s="1021"/>
      <c r="AR294" s="1021"/>
      <c r="AS294" s="1021"/>
      <c r="AT294" s="1021"/>
      <c r="AU294" s="1021"/>
      <c r="AV294" s="1021"/>
      <c r="AW294" s="1021"/>
      <c r="AX294" s="1021"/>
      <c r="AY294" s="1021"/>
      <c r="AZ294" s="1021"/>
      <c r="BA294" s="1021"/>
      <c r="BB294" s="1021"/>
      <c r="BC294" s="1021"/>
      <c r="BD294" s="1021"/>
      <c r="BE294" s="1021"/>
      <c r="BF294" s="1021"/>
      <c r="BG294" s="1021"/>
      <c r="BH294" s="1021"/>
      <c r="BI294" s="1021"/>
      <c r="BJ294" s="1021"/>
      <c r="BK294" s="1021"/>
      <c r="BL294" s="1021"/>
      <c r="BM294" s="1021"/>
      <c r="BN294" s="1021"/>
      <c r="BO294" s="1021"/>
      <c r="BP294" s="1021"/>
      <c r="BQ294" s="1021"/>
      <c r="BR294" s="1021"/>
      <c r="BS294" s="1021"/>
      <c r="BT294" s="1021"/>
      <c r="BU294" s="1021"/>
      <c r="BV294" s="1021"/>
      <c r="BW294" s="1021"/>
      <c r="BX294" s="1021"/>
      <c r="BY294" s="1021"/>
      <c r="BZ294" s="1021"/>
      <c r="CA294" s="1021"/>
      <c r="CB294" s="1021"/>
      <c r="CC294" s="1021"/>
    </row>
    <row r="295" spans="8:81" x14ac:dyDescent="0.25">
      <c r="H295" s="1021"/>
      <c r="I295" s="1021"/>
      <c r="J295" s="1021"/>
      <c r="K295" s="1021"/>
      <c r="L295" s="1021"/>
      <c r="M295" s="1021"/>
      <c r="N295" s="1021"/>
      <c r="O295" s="1021"/>
      <c r="P295" s="1021"/>
      <c r="Q295" s="1021"/>
      <c r="R295" s="1021"/>
      <c r="S295" s="1021"/>
      <c r="T295" s="1021"/>
      <c r="U295" s="1021"/>
      <c r="V295" s="1021"/>
      <c r="W295" s="1021"/>
      <c r="X295" s="1021"/>
      <c r="Y295" s="1021"/>
      <c r="Z295" s="1021"/>
      <c r="AA295" s="1021"/>
      <c r="AB295" s="1021"/>
      <c r="AC295" s="1021"/>
      <c r="AD295" s="1021"/>
      <c r="AE295" s="1021"/>
      <c r="AF295" s="1021"/>
      <c r="AG295" s="1021"/>
      <c r="AH295" s="1021"/>
      <c r="AI295" s="1021"/>
      <c r="AJ295" s="1021"/>
      <c r="AK295" s="1021"/>
      <c r="AL295" s="1021"/>
      <c r="AM295" s="1021"/>
      <c r="AN295" s="1021"/>
      <c r="AO295" s="1021"/>
      <c r="AP295" s="1021"/>
      <c r="AQ295" s="1021"/>
      <c r="AR295" s="1021"/>
      <c r="AS295" s="1021"/>
      <c r="AT295" s="1021"/>
      <c r="AU295" s="1021"/>
      <c r="AV295" s="1021"/>
      <c r="AW295" s="1021"/>
      <c r="AX295" s="1021"/>
      <c r="AY295" s="1021"/>
      <c r="AZ295" s="1021"/>
      <c r="BA295" s="1021"/>
      <c r="BB295" s="1021"/>
      <c r="BC295" s="1021"/>
      <c r="BD295" s="1021"/>
      <c r="BE295" s="1021"/>
      <c r="BF295" s="1021"/>
      <c r="BG295" s="1021"/>
      <c r="BH295" s="1021"/>
      <c r="BI295" s="1021"/>
      <c r="BJ295" s="1021"/>
      <c r="BK295" s="1021"/>
      <c r="BL295" s="1021"/>
      <c r="BM295" s="1021"/>
      <c r="BN295" s="1021"/>
      <c r="BO295" s="1021"/>
      <c r="BP295" s="1021"/>
      <c r="BQ295" s="1021"/>
      <c r="BR295" s="1021"/>
      <c r="BS295" s="1021"/>
      <c r="BT295" s="1021"/>
      <c r="BU295" s="1021"/>
      <c r="BV295" s="1021"/>
      <c r="BW295" s="1021"/>
      <c r="BX295" s="1021"/>
      <c r="BY295" s="1021"/>
      <c r="BZ295" s="1021"/>
      <c r="CA295" s="1021"/>
      <c r="CB295" s="1021"/>
      <c r="CC295" s="1021"/>
    </row>
    <row r="296" spans="8:81" x14ac:dyDescent="0.25">
      <c r="H296" s="1021"/>
      <c r="I296" s="1021"/>
      <c r="J296" s="1021"/>
      <c r="K296" s="1021"/>
      <c r="L296" s="1021"/>
      <c r="M296" s="1021"/>
      <c r="N296" s="1021"/>
      <c r="O296" s="1021"/>
      <c r="P296" s="1021"/>
      <c r="Q296" s="1021"/>
      <c r="R296" s="1021"/>
      <c r="S296" s="1021"/>
      <c r="T296" s="1021"/>
      <c r="U296" s="1021"/>
      <c r="V296" s="1021"/>
      <c r="W296" s="1021"/>
      <c r="X296" s="1021"/>
      <c r="Y296" s="1021"/>
      <c r="Z296" s="1021"/>
      <c r="AA296" s="1021"/>
      <c r="AB296" s="1021"/>
      <c r="AC296" s="1021"/>
      <c r="AD296" s="1021"/>
      <c r="AE296" s="1021"/>
      <c r="AF296" s="1021"/>
      <c r="AG296" s="1021"/>
      <c r="AH296" s="1021"/>
      <c r="AI296" s="1021"/>
      <c r="AJ296" s="1021"/>
      <c r="AK296" s="1021"/>
      <c r="AL296" s="1021"/>
      <c r="AM296" s="1021"/>
      <c r="AN296" s="1021"/>
      <c r="AO296" s="1021"/>
      <c r="AP296" s="1021"/>
      <c r="AQ296" s="1021"/>
      <c r="AR296" s="1021"/>
      <c r="AS296" s="1021"/>
      <c r="AT296" s="1021"/>
      <c r="AU296" s="1021"/>
      <c r="AV296" s="1021"/>
      <c r="AW296" s="1021"/>
      <c r="AX296" s="1021"/>
      <c r="AY296" s="1021"/>
      <c r="AZ296" s="1021"/>
      <c r="BA296" s="1021"/>
      <c r="BB296" s="1021"/>
      <c r="BC296" s="1021"/>
      <c r="BD296" s="1021"/>
      <c r="BE296" s="1021"/>
      <c r="BF296" s="1021"/>
      <c r="BG296" s="1021"/>
      <c r="BH296" s="1021"/>
      <c r="BI296" s="1021"/>
      <c r="BJ296" s="1021"/>
      <c r="BK296" s="1021"/>
      <c r="BL296" s="1021"/>
      <c r="BM296" s="1021"/>
      <c r="BN296" s="1021"/>
      <c r="BO296" s="1021"/>
      <c r="BP296" s="1021"/>
      <c r="BQ296" s="1021"/>
      <c r="BR296" s="1021"/>
      <c r="BS296" s="1021"/>
      <c r="BT296" s="1021"/>
      <c r="BU296" s="1021"/>
      <c r="BV296" s="1021"/>
      <c r="BW296" s="1021"/>
      <c r="BX296" s="1021"/>
      <c r="BY296" s="1021"/>
      <c r="BZ296" s="1021"/>
      <c r="CA296" s="1021"/>
      <c r="CB296" s="1021"/>
      <c r="CC296" s="1021"/>
    </row>
    <row r="297" spans="8:81" x14ac:dyDescent="0.25">
      <c r="H297" s="1021"/>
      <c r="I297" s="1021"/>
      <c r="J297" s="1021"/>
      <c r="K297" s="1021"/>
      <c r="L297" s="1021"/>
      <c r="M297" s="1021"/>
      <c r="N297" s="1021"/>
      <c r="O297" s="1021"/>
      <c r="P297" s="1021"/>
      <c r="Q297" s="1021"/>
      <c r="R297" s="1021"/>
      <c r="S297" s="1021"/>
      <c r="T297" s="1021"/>
      <c r="U297" s="1021"/>
      <c r="V297" s="1021"/>
      <c r="W297" s="1021"/>
      <c r="X297" s="1021"/>
      <c r="Y297" s="1021"/>
      <c r="Z297" s="1021"/>
      <c r="AA297" s="1021"/>
      <c r="AB297" s="1021"/>
      <c r="AC297" s="1021"/>
      <c r="AD297" s="1021"/>
      <c r="AE297" s="1021"/>
      <c r="AF297" s="1021"/>
      <c r="AG297" s="1021"/>
      <c r="AH297" s="1021"/>
      <c r="AI297" s="1021"/>
      <c r="AJ297" s="1021"/>
      <c r="AK297" s="1021"/>
      <c r="AL297" s="1021"/>
      <c r="AM297" s="1021"/>
      <c r="AN297" s="1021"/>
      <c r="AO297" s="1021"/>
      <c r="AP297" s="1021"/>
      <c r="AQ297" s="1021"/>
      <c r="AR297" s="1021"/>
      <c r="AS297" s="1021"/>
      <c r="AT297" s="1021"/>
      <c r="AU297" s="1021"/>
      <c r="AV297" s="1021"/>
      <c r="AW297" s="1021"/>
      <c r="AX297" s="1021"/>
      <c r="AY297" s="1021"/>
      <c r="AZ297" s="1021"/>
      <c r="BA297" s="1021"/>
      <c r="BB297" s="1021"/>
      <c r="BC297" s="1021"/>
      <c r="BD297" s="1021"/>
      <c r="BE297" s="1021"/>
      <c r="BF297" s="1021"/>
      <c r="BG297" s="1021"/>
      <c r="BH297" s="1021"/>
      <c r="BI297" s="1021"/>
      <c r="BJ297" s="1021"/>
      <c r="BK297" s="1021"/>
      <c r="BL297" s="1021"/>
      <c r="BM297" s="1021"/>
      <c r="BN297" s="1021"/>
      <c r="BO297" s="1021"/>
      <c r="BP297" s="1021"/>
      <c r="BQ297" s="1021"/>
      <c r="BR297" s="1021"/>
      <c r="BS297" s="1021"/>
      <c r="BT297" s="1021"/>
      <c r="BU297" s="1021"/>
      <c r="BV297" s="1021"/>
      <c r="BW297" s="1021"/>
      <c r="BX297" s="1021"/>
      <c r="BY297" s="1021"/>
      <c r="BZ297" s="1021"/>
      <c r="CA297" s="1021"/>
      <c r="CB297" s="1021"/>
      <c r="CC297" s="1021"/>
    </row>
    <row r="298" spans="8:81" x14ac:dyDescent="0.25">
      <c r="H298" s="1021"/>
      <c r="I298" s="1021"/>
      <c r="J298" s="1021"/>
      <c r="K298" s="1021"/>
      <c r="L298" s="1021"/>
      <c r="M298" s="1021"/>
      <c r="N298" s="1021"/>
      <c r="O298" s="1021"/>
      <c r="P298" s="1021"/>
      <c r="Q298" s="1021"/>
      <c r="R298" s="1021"/>
      <c r="S298" s="1021"/>
      <c r="T298" s="1021"/>
      <c r="U298" s="1021"/>
      <c r="V298" s="1021"/>
      <c r="W298" s="1021"/>
      <c r="X298" s="1021"/>
      <c r="Y298" s="1021"/>
      <c r="Z298" s="1021"/>
      <c r="AA298" s="1021"/>
      <c r="AB298" s="1021"/>
      <c r="AC298" s="1021"/>
      <c r="AD298" s="1021"/>
      <c r="AE298" s="1021"/>
      <c r="AF298" s="1021"/>
      <c r="AG298" s="1021"/>
      <c r="AH298" s="1021"/>
      <c r="AI298" s="1021"/>
      <c r="AJ298" s="1021"/>
      <c r="AK298" s="1021"/>
      <c r="AL298" s="1021"/>
      <c r="AM298" s="1021"/>
      <c r="AN298" s="1021"/>
      <c r="AO298" s="1021"/>
      <c r="AP298" s="1021"/>
      <c r="AQ298" s="1021"/>
      <c r="AR298" s="1021"/>
      <c r="AS298" s="1021"/>
      <c r="AT298" s="1021"/>
      <c r="AU298" s="1021"/>
      <c r="AV298" s="1021"/>
      <c r="AW298" s="1021"/>
      <c r="AX298" s="1021"/>
      <c r="AY298" s="1021"/>
      <c r="AZ298" s="1021"/>
      <c r="BA298" s="1021"/>
      <c r="BB298" s="1021"/>
      <c r="BC298" s="1021"/>
      <c r="BD298" s="1021"/>
      <c r="BE298" s="1021"/>
      <c r="BF298" s="1021"/>
      <c r="BG298" s="1021"/>
      <c r="BH298" s="1021"/>
      <c r="BI298" s="1021"/>
      <c r="BJ298" s="1021"/>
      <c r="BK298" s="1021"/>
      <c r="BL298" s="1021"/>
      <c r="BM298" s="1021"/>
      <c r="BN298" s="1021"/>
      <c r="BO298" s="1021"/>
      <c r="BP298" s="1021"/>
      <c r="BQ298" s="1021"/>
      <c r="BR298" s="1021"/>
      <c r="BS298" s="1021"/>
      <c r="BT298" s="1021"/>
      <c r="BU298" s="1021"/>
      <c r="BV298" s="1021"/>
      <c r="BW298" s="1021"/>
      <c r="BX298" s="1021"/>
      <c r="BY298" s="1021"/>
      <c r="BZ298" s="1021"/>
      <c r="CA298" s="1021"/>
      <c r="CB298" s="1021"/>
      <c r="CC298" s="1021"/>
    </row>
    <row r="299" spans="8:81" x14ac:dyDescent="0.25">
      <c r="H299" s="1021"/>
      <c r="I299" s="1021"/>
      <c r="J299" s="1021"/>
      <c r="K299" s="1021"/>
      <c r="L299" s="1021"/>
      <c r="M299" s="1021"/>
      <c r="N299" s="1021"/>
      <c r="O299" s="1021"/>
      <c r="P299" s="1021"/>
      <c r="Q299" s="1021"/>
      <c r="R299" s="1021"/>
      <c r="S299" s="1021"/>
      <c r="T299" s="1021"/>
      <c r="U299" s="1021"/>
      <c r="V299" s="1021"/>
      <c r="W299" s="1021"/>
      <c r="X299" s="1021"/>
      <c r="Y299" s="1021"/>
      <c r="Z299" s="1021"/>
      <c r="AA299" s="1021"/>
      <c r="AB299" s="1021"/>
      <c r="AC299" s="1021"/>
      <c r="AD299" s="1021"/>
      <c r="AE299" s="1021"/>
      <c r="AF299" s="1021"/>
      <c r="AG299" s="1021"/>
      <c r="AH299" s="1021"/>
      <c r="AI299" s="1021"/>
      <c r="AJ299" s="1021"/>
      <c r="AK299" s="1021"/>
      <c r="AL299" s="1021"/>
      <c r="AM299" s="1021"/>
      <c r="AN299" s="1021"/>
      <c r="AO299" s="1021"/>
      <c r="AP299" s="1021"/>
      <c r="AQ299" s="1021"/>
      <c r="AR299" s="1021"/>
      <c r="AS299" s="1021"/>
      <c r="AT299" s="1021"/>
      <c r="AU299" s="1021"/>
      <c r="AV299" s="1021"/>
      <c r="AW299" s="1021"/>
      <c r="AX299" s="1021"/>
      <c r="AY299" s="1021"/>
      <c r="AZ299" s="1021"/>
      <c r="BA299" s="1021"/>
      <c r="BB299" s="1021"/>
      <c r="BC299" s="1021"/>
      <c r="BD299" s="1021"/>
      <c r="BE299" s="1021"/>
      <c r="BF299" s="1021"/>
      <c r="BG299" s="1021"/>
      <c r="BH299" s="1021"/>
      <c r="BI299" s="1021"/>
      <c r="BJ299" s="1021"/>
      <c r="BK299" s="1021"/>
      <c r="BL299" s="1021"/>
      <c r="BM299" s="1021"/>
      <c r="BN299" s="1021"/>
      <c r="BO299" s="1021"/>
      <c r="BP299" s="1021"/>
      <c r="BQ299" s="1021"/>
      <c r="BR299" s="1021"/>
      <c r="BS299" s="1021"/>
      <c r="BT299" s="1021"/>
      <c r="BU299" s="1021"/>
      <c r="BV299" s="1021"/>
      <c r="BW299" s="1021"/>
      <c r="BX299" s="1021"/>
      <c r="BY299" s="1021"/>
      <c r="BZ299" s="1021"/>
      <c r="CA299" s="1021"/>
      <c r="CB299" s="1021"/>
      <c r="CC299" s="1021"/>
    </row>
    <row r="300" spans="8:81" x14ac:dyDescent="0.25">
      <c r="H300" s="1021"/>
      <c r="I300" s="1021"/>
      <c r="J300" s="1021"/>
      <c r="K300" s="1021"/>
      <c r="L300" s="1021"/>
      <c r="M300" s="1021"/>
      <c r="N300" s="1021"/>
      <c r="O300" s="1021"/>
      <c r="P300" s="1021"/>
      <c r="Q300" s="1021"/>
      <c r="R300" s="1021"/>
      <c r="S300" s="1021"/>
      <c r="T300" s="1021"/>
      <c r="U300" s="1021"/>
      <c r="V300" s="1021"/>
      <c r="W300" s="1021"/>
      <c r="X300" s="1021"/>
      <c r="Y300" s="1021"/>
      <c r="Z300" s="1021"/>
      <c r="AA300" s="1021"/>
      <c r="AB300" s="1021"/>
      <c r="AC300" s="1021"/>
      <c r="AD300" s="1021"/>
      <c r="AE300" s="1021"/>
      <c r="AF300" s="1021"/>
      <c r="AG300" s="1021"/>
      <c r="AH300" s="1021"/>
      <c r="AI300" s="1021"/>
      <c r="AJ300" s="1021"/>
      <c r="AK300" s="1021"/>
      <c r="AL300" s="1021"/>
      <c r="AM300" s="1021"/>
      <c r="AN300" s="1021"/>
      <c r="AO300" s="1021"/>
      <c r="AP300" s="1021"/>
      <c r="AQ300" s="1021"/>
      <c r="AR300" s="1021"/>
      <c r="AS300" s="1021"/>
      <c r="AT300" s="1021"/>
      <c r="AU300" s="1021"/>
      <c r="AV300" s="1021"/>
      <c r="AW300" s="1021"/>
      <c r="AX300" s="1021"/>
      <c r="AY300" s="1021"/>
      <c r="AZ300" s="1021"/>
      <c r="BA300" s="1021"/>
      <c r="BB300" s="1021"/>
      <c r="BC300" s="1021"/>
      <c r="BD300" s="1021"/>
      <c r="BE300" s="1021"/>
      <c r="BF300" s="1021"/>
      <c r="BG300" s="1021"/>
      <c r="BH300" s="1021"/>
      <c r="BI300" s="1021"/>
      <c r="BJ300" s="1021"/>
      <c r="BK300" s="1021"/>
      <c r="BL300" s="1021"/>
      <c r="BM300" s="1021"/>
      <c r="BN300" s="1021"/>
      <c r="BO300" s="1021"/>
      <c r="BP300" s="1021"/>
      <c r="BQ300" s="1021"/>
      <c r="BR300" s="1021"/>
      <c r="BS300" s="1021"/>
      <c r="BT300" s="1021"/>
      <c r="BU300" s="1021"/>
      <c r="BV300" s="1021"/>
      <c r="BW300" s="1021"/>
      <c r="BX300" s="1021"/>
      <c r="BY300" s="1021"/>
      <c r="BZ300" s="1021"/>
      <c r="CA300" s="1021"/>
      <c r="CB300" s="1021"/>
      <c r="CC300" s="1021"/>
    </row>
    <row r="301" spans="8:81" x14ac:dyDescent="0.25">
      <c r="H301" s="1021"/>
      <c r="I301" s="1021"/>
      <c r="J301" s="1021"/>
      <c r="K301" s="1021"/>
      <c r="L301" s="1021"/>
      <c r="M301" s="1021"/>
      <c r="N301" s="1021"/>
      <c r="O301" s="1021"/>
      <c r="P301" s="1021"/>
      <c r="Q301" s="1021"/>
      <c r="R301" s="1021"/>
      <c r="S301" s="1021"/>
      <c r="T301" s="1021"/>
      <c r="U301" s="1021"/>
      <c r="V301" s="1021"/>
      <c r="W301" s="1021"/>
      <c r="X301" s="1021"/>
      <c r="Y301" s="1021"/>
      <c r="Z301" s="1021"/>
      <c r="AA301" s="1021"/>
      <c r="AB301" s="1021"/>
      <c r="AC301" s="1021"/>
      <c r="AD301" s="1021"/>
      <c r="AE301" s="1021"/>
      <c r="AF301" s="1021"/>
      <c r="AG301" s="1021"/>
      <c r="AH301" s="1021"/>
      <c r="AI301" s="1021"/>
      <c r="AJ301" s="1021"/>
      <c r="AK301" s="1021"/>
      <c r="AL301" s="1021"/>
      <c r="AM301" s="1021"/>
      <c r="AN301" s="1021"/>
      <c r="AO301" s="1021"/>
      <c r="AP301" s="1021"/>
      <c r="AQ301" s="1021"/>
      <c r="AR301" s="1021"/>
      <c r="AS301" s="1021"/>
      <c r="AT301" s="1021"/>
      <c r="AU301" s="1021"/>
      <c r="AV301" s="1021"/>
      <c r="AW301" s="1021"/>
      <c r="AX301" s="1021"/>
      <c r="AY301" s="1021"/>
      <c r="AZ301" s="1021"/>
      <c r="BA301" s="1021"/>
      <c r="BB301" s="1021"/>
      <c r="BC301" s="1021"/>
      <c r="BD301" s="1021"/>
      <c r="BE301" s="1021"/>
      <c r="BF301" s="1021"/>
      <c r="BG301" s="1021"/>
      <c r="BH301" s="1021"/>
      <c r="BI301" s="1021"/>
      <c r="BJ301" s="1021"/>
      <c r="BK301" s="1021"/>
      <c r="BL301" s="1021"/>
      <c r="BM301" s="1021"/>
      <c r="BN301" s="1021"/>
      <c r="BO301" s="1021"/>
      <c r="BP301" s="1021"/>
      <c r="BQ301" s="1021"/>
      <c r="BR301" s="1021"/>
      <c r="BS301" s="1021"/>
      <c r="BT301" s="1021"/>
      <c r="BU301" s="1021"/>
      <c r="BV301" s="1021"/>
      <c r="BW301" s="1021"/>
      <c r="BX301" s="1021"/>
      <c r="BY301" s="1021"/>
      <c r="BZ301" s="1021"/>
      <c r="CA301" s="1021"/>
      <c r="CB301" s="1021"/>
      <c r="CC301" s="1021"/>
    </row>
    <row r="302" spans="8:81" x14ac:dyDescent="0.25">
      <c r="H302" s="1021"/>
      <c r="I302" s="1021"/>
      <c r="J302" s="1021"/>
      <c r="K302" s="1021"/>
      <c r="L302" s="1021"/>
      <c r="M302" s="1021"/>
      <c r="N302" s="1021"/>
      <c r="O302" s="1021"/>
      <c r="P302" s="1021"/>
      <c r="Q302" s="1021"/>
      <c r="R302" s="1021"/>
      <c r="S302" s="1021"/>
      <c r="T302" s="1021"/>
      <c r="U302" s="1021"/>
      <c r="V302" s="1021"/>
      <c r="W302" s="1021"/>
      <c r="X302" s="1021"/>
      <c r="Y302" s="1021"/>
      <c r="Z302" s="1021"/>
      <c r="AA302" s="1021"/>
      <c r="AB302" s="1021"/>
      <c r="AC302" s="1021"/>
      <c r="AD302" s="1021"/>
      <c r="AE302" s="1021"/>
      <c r="AF302" s="1021"/>
      <c r="AG302" s="1021"/>
      <c r="AH302" s="1021"/>
      <c r="AI302" s="1021"/>
      <c r="AJ302" s="1021"/>
      <c r="AK302" s="1021"/>
      <c r="AL302" s="1021"/>
      <c r="AM302" s="1021"/>
      <c r="AN302" s="1021"/>
      <c r="AO302" s="1021"/>
      <c r="AP302" s="1021"/>
      <c r="AQ302" s="1021"/>
      <c r="AR302" s="1021"/>
      <c r="AS302" s="1021"/>
      <c r="AT302" s="1021"/>
      <c r="AU302" s="1021"/>
      <c r="AV302" s="1021"/>
      <c r="AW302" s="1021"/>
      <c r="AX302" s="1021"/>
      <c r="AY302" s="1021"/>
      <c r="AZ302" s="1021"/>
      <c r="BA302" s="1021"/>
      <c r="BB302" s="1021"/>
      <c r="BC302" s="1021"/>
      <c r="BD302" s="1021"/>
      <c r="BE302" s="1021"/>
      <c r="BF302" s="1021"/>
      <c r="BG302" s="1021"/>
      <c r="BH302" s="1021"/>
      <c r="BI302" s="1021"/>
      <c r="BJ302" s="1021"/>
      <c r="BK302" s="1021"/>
      <c r="BL302" s="1021"/>
      <c r="BM302" s="1021"/>
      <c r="BN302" s="1021"/>
      <c r="BO302" s="1021"/>
      <c r="BP302" s="1021"/>
      <c r="BQ302" s="1021"/>
      <c r="BR302" s="1021"/>
      <c r="BS302" s="1021"/>
      <c r="BT302" s="1021"/>
      <c r="BU302" s="1021"/>
      <c r="BV302" s="1021"/>
      <c r="BW302" s="1021"/>
      <c r="BX302" s="1021"/>
      <c r="BY302" s="1021"/>
      <c r="BZ302" s="1021"/>
      <c r="CA302" s="1021"/>
      <c r="CB302" s="1021"/>
      <c r="CC302" s="1021"/>
    </row>
    <row r="303" spans="8:81" x14ac:dyDescent="0.25">
      <c r="H303" s="1021"/>
      <c r="I303" s="1021"/>
      <c r="J303" s="1021"/>
      <c r="K303" s="1021"/>
      <c r="L303" s="1021"/>
      <c r="M303" s="1021"/>
      <c r="N303" s="1021"/>
      <c r="O303" s="1021"/>
      <c r="P303" s="1021"/>
      <c r="Q303" s="1021"/>
      <c r="R303" s="1021"/>
      <c r="S303" s="1021"/>
      <c r="T303" s="1021"/>
      <c r="U303" s="1021"/>
      <c r="V303" s="1021"/>
      <c r="W303" s="1021"/>
      <c r="X303" s="1021"/>
      <c r="Y303" s="1021"/>
      <c r="Z303" s="1021"/>
      <c r="AA303" s="1021"/>
      <c r="AB303" s="1021"/>
      <c r="AC303" s="1021"/>
      <c r="AD303" s="1021"/>
      <c r="AE303" s="1021"/>
      <c r="AF303" s="1021"/>
      <c r="AG303" s="1021"/>
      <c r="AH303" s="1021"/>
      <c r="AI303" s="1021"/>
      <c r="AJ303" s="1021"/>
      <c r="AK303" s="1021"/>
      <c r="AL303" s="1021"/>
      <c r="AM303" s="1021"/>
      <c r="AN303" s="1021"/>
      <c r="AO303" s="1021"/>
      <c r="AP303" s="1021"/>
      <c r="AQ303" s="1021"/>
      <c r="AR303" s="1021"/>
      <c r="AS303" s="1021"/>
      <c r="AT303" s="1021"/>
      <c r="AU303" s="1021"/>
      <c r="AV303" s="1021"/>
      <c r="AW303" s="1021"/>
      <c r="AX303" s="1021"/>
      <c r="AY303" s="1021"/>
      <c r="AZ303" s="1021"/>
      <c r="BA303" s="1021"/>
      <c r="BB303" s="1021"/>
      <c r="BC303" s="1021"/>
      <c r="BD303" s="1021"/>
      <c r="BE303" s="1021"/>
      <c r="BF303" s="1021"/>
      <c r="BG303" s="1021"/>
      <c r="BH303" s="1021"/>
      <c r="BI303" s="1021"/>
      <c r="BJ303" s="1021"/>
      <c r="BK303" s="1021"/>
      <c r="BL303" s="1021"/>
      <c r="BM303" s="1021"/>
      <c r="BN303" s="1021"/>
      <c r="BO303" s="1021"/>
      <c r="BP303" s="1021"/>
      <c r="BQ303" s="1021"/>
      <c r="BR303" s="1021"/>
      <c r="BS303" s="1021"/>
      <c r="BT303" s="1021"/>
      <c r="BU303" s="1021"/>
      <c r="BV303" s="1021"/>
      <c r="BW303" s="1021"/>
      <c r="BX303" s="1021"/>
      <c r="BY303" s="1021"/>
      <c r="BZ303" s="1021"/>
      <c r="CA303" s="1021"/>
      <c r="CB303" s="1021"/>
      <c r="CC303" s="1021"/>
    </row>
    <row r="304" spans="8:81" x14ac:dyDescent="0.25">
      <c r="H304" s="1021"/>
      <c r="I304" s="1021"/>
      <c r="J304" s="1021"/>
      <c r="K304" s="1021"/>
      <c r="L304" s="1021"/>
      <c r="M304" s="1021"/>
      <c r="N304" s="1021"/>
      <c r="O304" s="1021"/>
      <c r="P304" s="1021"/>
      <c r="Q304" s="1021"/>
      <c r="R304" s="1021"/>
      <c r="S304" s="1021"/>
      <c r="T304" s="1021"/>
      <c r="U304" s="1021"/>
      <c r="V304" s="1021"/>
      <c r="W304" s="1021"/>
      <c r="X304" s="1021"/>
      <c r="Y304" s="1021"/>
      <c r="Z304" s="1021"/>
      <c r="AA304" s="1021"/>
      <c r="AB304" s="1021"/>
      <c r="AC304" s="1021"/>
      <c r="AD304" s="1021"/>
      <c r="AE304" s="1021"/>
      <c r="AF304" s="1021"/>
      <c r="AG304" s="1021"/>
      <c r="AH304" s="1021"/>
      <c r="AI304" s="1021"/>
      <c r="AJ304" s="1021"/>
      <c r="AK304" s="1021"/>
      <c r="AL304" s="1021"/>
      <c r="AM304" s="1021"/>
      <c r="AN304" s="1021"/>
      <c r="AO304" s="1021"/>
      <c r="AP304" s="1021"/>
      <c r="AQ304" s="1021"/>
      <c r="AR304" s="1021"/>
      <c r="AS304" s="1021"/>
      <c r="AT304" s="1021"/>
      <c r="AU304" s="1021"/>
      <c r="AV304" s="1021"/>
      <c r="AW304" s="1021"/>
      <c r="AX304" s="1021"/>
      <c r="AY304" s="1021"/>
      <c r="AZ304" s="1021"/>
      <c r="BA304" s="1021"/>
      <c r="BB304" s="1021"/>
      <c r="BC304" s="1021"/>
      <c r="BD304" s="1021"/>
      <c r="BE304" s="1021"/>
      <c r="BF304" s="1021"/>
      <c r="BG304" s="1021"/>
      <c r="BH304" s="1021"/>
      <c r="BI304" s="1021"/>
      <c r="BJ304" s="1021"/>
      <c r="BK304" s="1021"/>
      <c r="BL304" s="1021"/>
      <c r="BM304" s="1021"/>
      <c r="BN304" s="1021"/>
      <c r="BO304" s="1021"/>
      <c r="BP304" s="1021"/>
      <c r="BQ304" s="1021"/>
      <c r="BR304" s="1021"/>
      <c r="BS304" s="1021"/>
      <c r="BT304" s="1021"/>
      <c r="BU304" s="1021"/>
      <c r="BV304" s="1021"/>
      <c r="BW304" s="1021"/>
      <c r="BX304" s="1021"/>
      <c r="BY304" s="1021"/>
      <c r="BZ304" s="1021"/>
      <c r="CA304" s="1021"/>
      <c r="CB304" s="1021"/>
      <c r="CC304" s="1021"/>
    </row>
    <row r="305" spans="8:81" x14ac:dyDescent="0.25">
      <c r="H305" s="1021"/>
      <c r="I305" s="1021"/>
      <c r="J305" s="1021"/>
      <c r="K305" s="1021"/>
      <c r="L305" s="1021"/>
      <c r="M305" s="1021"/>
      <c r="N305" s="1021"/>
      <c r="O305" s="1021"/>
      <c r="P305" s="1021"/>
      <c r="Q305" s="1021"/>
      <c r="R305" s="1021"/>
      <c r="S305" s="1021"/>
      <c r="T305" s="1021"/>
      <c r="U305" s="1021"/>
      <c r="V305" s="1021"/>
      <c r="W305" s="1021"/>
      <c r="X305" s="1021"/>
      <c r="Y305" s="1021"/>
      <c r="Z305" s="1021"/>
      <c r="AA305" s="1021"/>
      <c r="AB305" s="1021"/>
      <c r="AC305" s="1021"/>
      <c r="AD305" s="1021"/>
      <c r="AE305" s="1021"/>
      <c r="AF305" s="1021"/>
      <c r="AG305" s="1021"/>
      <c r="AH305" s="1021"/>
      <c r="AI305" s="1021"/>
      <c r="AJ305" s="1021"/>
      <c r="AK305" s="1021"/>
      <c r="AL305" s="1021"/>
      <c r="AM305" s="1021"/>
      <c r="AN305" s="1021"/>
      <c r="AO305" s="1021"/>
      <c r="AP305" s="1021"/>
      <c r="AQ305" s="1021"/>
      <c r="AR305" s="1021"/>
      <c r="AS305" s="1021"/>
      <c r="AT305" s="1021"/>
      <c r="AU305" s="1021"/>
      <c r="AV305" s="1021"/>
      <c r="AW305" s="1021"/>
      <c r="AX305" s="1021"/>
      <c r="AY305" s="1021"/>
      <c r="AZ305" s="1021"/>
      <c r="BA305" s="1021"/>
      <c r="BB305" s="1021"/>
      <c r="BC305" s="1021"/>
      <c r="BD305" s="1021"/>
      <c r="BE305" s="1021"/>
      <c r="BF305" s="1021"/>
      <c r="BG305" s="1021"/>
      <c r="BH305" s="1021"/>
      <c r="BI305" s="1021"/>
      <c r="BJ305" s="1021"/>
      <c r="BK305" s="1021"/>
      <c r="BL305" s="1021"/>
      <c r="BM305" s="1021"/>
      <c r="BN305" s="1021"/>
      <c r="BO305" s="1021"/>
      <c r="BP305" s="1021"/>
      <c r="BQ305" s="1021"/>
      <c r="BR305" s="1021"/>
      <c r="BS305" s="1021"/>
      <c r="BT305" s="1021"/>
      <c r="BU305" s="1021"/>
      <c r="BV305" s="1021"/>
      <c r="BW305" s="1021"/>
      <c r="BX305" s="1021"/>
      <c r="BY305" s="1021"/>
      <c r="BZ305" s="1021"/>
      <c r="CA305" s="1021"/>
      <c r="CB305" s="1021"/>
      <c r="CC305" s="1021"/>
    </row>
    <row r="306" spans="8:81" x14ac:dyDescent="0.25">
      <c r="H306" s="1021"/>
      <c r="I306" s="1021"/>
      <c r="J306" s="1021"/>
      <c r="K306" s="1021"/>
      <c r="L306" s="1021"/>
      <c r="M306" s="1021"/>
      <c r="N306" s="1021"/>
      <c r="O306" s="1021"/>
      <c r="P306" s="1021"/>
      <c r="Q306" s="1021"/>
      <c r="R306" s="1021"/>
      <c r="S306" s="1021"/>
      <c r="T306" s="1021"/>
      <c r="U306" s="1021"/>
      <c r="V306" s="1021"/>
      <c r="W306" s="1021"/>
      <c r="X306" s="1021"/>
      <c r="Y306" s="1021"/>
      <c r="Z306" s="1021"/>
      <c r="AA306" s="1021"/>
      <c r="AB306" s="1021"/>
      <c r="AC306" s="1021"/>
      <c r="AD306" s="1021"/>
      <c r="AE306" s="1021"/>
      <c r="AF306" s="1021"/>
      <c r="AG306" s="1021"/>
      <c r="AH306" s="1021"/>
      <c r="AI306" s="1021"/>
      <c r="AJ306" s="1021"/>
      <c r="AK306" s="1021"/>
      <c r="AL306" s="1021"/>
      <c r="AM306" s="1021"/>
      <c r="AN306" s="1021"/>
      <c r="AO306" s="1021"/>
      <c r="AP306" s="1021"/>
      <c r="AQ306" s="1021"/>
      <c r="AR306" s="1021"/>
      <c r="AS306" s="1021"/>
      <c r="AT306" s="1021"/>
      <c r="AU306" s="1021"/>
      <c r="AV306" s="1021"/>
      <c r="AW306" s="1021"/>
      <c r="AX306" s="1021"/>
      <c r="AY306" s="1021"/>
      <c r="AZ306" s="1021"/>
      <c r="BA306" s="1021"/>
      <c r="BB306" s="1021"/>
      <c r="BC306" s="1021"/>
      <c r="BD306" s="1021"/>
      <c r="BE306" s="1021"/>
      <c r="BF306" s="1021"/>
      <c r="BG306" s="1021"/>
      <c r="BH306" s="1021"/>
      <c r="BI306" s="1021"/>
      <c r="BJ306" s="1021"/>
      <c r="BK306" s="1021"/>
      <c r="BL306" s="1021"/>
      <c r="BM306" s="1021"/>
      <c r="BN306" s="1021"/>
      <c r="BO306" s="1021"/>
      <c r="BP306" s="1021"/>
      <c r="BQ306" s="1021"/>
      <c r="BR306" s="1021"/>
      <c r="BS306" s="1021"/>
      <c r="BT306" s="1021"/>
      <c r="BU306" s="1021"/>
      <c r="BV306" s="1021"/>
      <c r="BW306" s="1021"/>
      <c r="BX306" s="1021"/>
      <c r="BY306" s="1021"/>
      <c r="BZ306" s="1021"/>
      <c r="CA306" s="1021"/>
      <c r="CB306" s="1021"/>
      <c r="CC306" s="1021"/>
    </row>
    <row r="307" spans="8:81" x14ac:dyDescent="0.25">
      <c r="H307" s="1021"/>
      <c r="I307" s="1021"/>
      <c r="J307" s="1021"/>
      <c r="K307" s="1021"/>
      <c r="L307" s="1021"/>
      <c r="M307" s="1021"/>
      <c r="N307" s="1021"/>
      <c r="O307" s="1021"/>
      <c r="P307" s="1021"/>
      <c r="Q307" s="1021"/>
      <c r="R307" s="1021"/>
      <c r="S307" s="1021"/>
      <c r="T307" s="1021"/>
      <c r="U307" s="1021"/>
      <c r="V307" s="1021"/>
      <c r="W307" s="1021"/>
      <c r="X307" s="1021"/>
      <c r="Y307" s="1021"/>
      <c r="Z307" s="1021"/>
      <c r="AA307" s="1021"/>
      <c r="AB307" s="1021"/>
      <c r="AC307" s="1021"/>
      <c r="AD307" s="1021"/>
      <c r="AE307" s="1021"/>
      <c r="AF307" s="1021"/>
      <c r="AG307" s="1021"/>
      <c r="AH307" s="1021"/>
      <c r="AI307" s="1021"/>
      <c r="AJ307" s="1021"/>
      <c r="AK307" s="1021"/>
      <c r="AL307" s="1021"/>
      <c r="AM307" s="1021"/>
      <c r="AN307" s="1021"/>
      <c r="AO307" s="1021"/>
      <c r="AP307" s="1021"/>
      <c r="AQ307" s="1021"/>
      <c r="AR307" s="1021"/>
      <c r="AS307" s="1021"/>
      <c r="AT307" s="1021"/>
      <c r="AU307" s="1021"/>
      <c r="AV307" s="1021"/>
      <c r="AW307" s="1021"/>
      <c r="AX307" s="1021"/>
      <c r="AY307" s="1021"/>
      <c r="AZ307" s="1021"/>
      <c r="BA307" s="1021"/>
      <c r="BB307" s="1021"/>
      <c r="BC307" s="1021"/>
      <c r="BD307" s="1021"/>
      <c r="BE307" s="1021"/>
      <c r="BF307" s="1021"/>
      <c r="BG307" s="1021"/>
      <c r="BH307" s="1021"/>
      <c r="BI307" s="1021"/>
      <c r="BJ307" s="1021"/>
      <c r="BK307" s="1021"/>
      <c r="BL307" s="1021"/>
      <c r="BM307" s="1021"/>
      <c r="BN307" s="1021"/>
      <c r="BO307" s="1021"/>
      <c r="BP307" s="1021"/>
      <c r="BQ307" s="1021"/>
      <c r="BR307" s="1021"/>
      <c r="BS307" s="1021"/>
      <c r="BT307" s="1021"/>
      <c r="BU307" s="1021"/>
      <c r="BV307" s="1021"/>
      <c r="BW307" s="1021"/>
      <c r="BX307" s="1021"/>
      <c r="BY307" s="1021"/>
      <c r="BZ307" s="1021"/>
      <c r="CA307" s="1021"/>
      <c r="CB307" s="1021"/>
      <c r="CC307" s="1021"/>
    </row>
    <row r="308" spans="8:81" x14ac:dyDescent="0.25">
      <c r="H308" s="1021"/>
      <c r="I308" s="1021"/>
      <c r="J308" s="1021"/>
      <c r="K308" s="1021"/>
      <c r="L308" s="1021"/>
      <c r="M308" s="1021"/>
      <c r="N308" s="1021"/>
      <c r="O308" s="1021"/>
      <c r="P308" s="1021"/>
      <c r="Q308" s="1021"/>
      <c r="R308" s="1021"/>
      <c r="S308" s="1021"/>
      <c r="T308" s="1021"/>
      <c r="U308" s="1021"/>
      <c r="V308" s="1021"/>
      <c r="W308" s="1021"/>
      <c r="X308" s="1021"/>
      <c r="Y308" s="1021"/>
      <c r="Z308" s="1021"/>
      <c r="AA308" s="1021"/>
      <c r="AB308" s="1021"/>
      <c r="AC308" s="1021"/>
      <c r="AD308" s="1021"/>
      <c r="AE308" s="1021"/>
      <c r="AF308" s="1021"/>
      <c r="AG308" s="1021"/>
      <c r="AH308" s="1021"/>
      <c r="AI308" s="1021"/>
      <c r="AJ308" s="1021"/>
      <c r="AK308" s="1021"/>
      <c r="AL308" s="1021"/>
      <c r="AM308" s="1021"/>
      <c r="AN308" s="1021"/>
      <c r="AO308" s="1021"/>
      <c r="AP308" s="1021"/>
      <c r="AQ308" s="1021"/>
      <c r="AR308" s="1021"/>
      <c r="AS308" s="1021"/>
      <c r="AT308" s="1021"/>
      <c r="AU308" s="1021"/>
      <c r="AV308" s="1021"/>
      <c r="AW308" s="1021"/>
      <c r="AX308" s="1021"/>
      <c r="AY308" s="1021"/>
      <c r="AZ308" s="1021"/>
      <c r="BA308" s="1021"/>
      <c r="BB308" s="1021"/>
      <c r="BC308" s="1021"/>
      <c r="BD308" s="1021"/>
      <c r="BE308" s="1021"/>
      <c r="BF308" s="1021"/>
      <c r="BG308" s="1021"/>
      <c r="BH308" s="1021"/>
      <c r="BI308" s="1021"/>
      <c r="BJ308" s="1021"/>
      <c r="BK308" s="1021"/>
      <c r="BL308" s="1021"/>
      <c r="BM308" s="1021"/>
      <c r="BN308" s="1021"/>
      <c r="BO308" s="1021"/>
      <c r="BP308" s="1021"/>
      <c r="BQ308" s="1021"/>
      <c r="BR308" s="1021"/>
      <c r="BS308" s="1021"/>
      <c r="BT308" s="1021"/>
      <c r="BU308" s="1021"/>
      <c r="BV308" s="1021"/>
      <c r="BW308" s="1021"/>
      <c r="BX308" s="1021"/>
      <c r="BY308" s="1021"/>
      <c r="BZ308" s="1021"/>
      <c r="CA308" s="1021"/>
      <c r="CB308" s="1021"/>
      <c r="CC308" s="1021"/>
    </row>
    <row r="309" spans="8:81" x14ac:dyDescent="0.25">
      <c r="H309" s="1021"/>
      <c r="I309" s="1021"/>
      <c r="J309" s="1021"/>
      <c r="K309" s="1021"/>
      <c r="L309" s="1021"/>
      <c r="M309" s="1021"/>
      <c r="N309" s="1021"/>
      <c r="O309" s="1021"/>
      <c r="P309" s="1021"/>
      <c r="Q309" s="1021"/>
      <c r="R309" s="1021"/>
      <c r="S309" s="1021"/>
      <c r="T309" s="1021"/>
      <c r="U309" s="1021"/>
      <c r="V309" s="1021"/>
      <c r="W309" s="1021"/>
      <c r="X309" s="1021"/>
      <c r="Y309" s="1021"/>
      <c r="Z309" s="1021"/>
      <c r="AA309" s="1021"/>
      <c r="AB309" s="1021"/>
      <c r="AC309" s="1021"/>
      <c r="AD309" s="1021"/>
      <c r="AE309" s="1021"/>
      <c r="AF309" s="1021"/>
      <c r="AG309" s="1021"/>
      <c r="AH309" s="1021"/>
      <c r="AI309" s="1021"/>
      <c r="AJ309" s="1021"/>
      <c r="AK309" s="1021"/>
      <c r="AL309" s="1021"/>
      <c r="AM309" s="1021"/>
      <c r="AN309" s="1021"/>
      <c r="AO309" s="1021"/>
      <c r="AP309" s="1021"/>
      <c r="AQ309" s="1021"/>
      <c r="AR309" s="1021"/>
      <c r="AS309" s="1021"/>
      <c r="AT309" s="1021"/>
      <c r="AU309" s="1021"/>
      <c r="AV309" s="1021"/>
      <c r="AW309" s="1021"/>
      <c r="AX309" s="1021"/>
      <c r="AY309" s="1021"/>
      <c r="AZ309" s="1021"/>
      <c r="BA309" s="1021"/>
      <c r="BB309" s="1021"/>
      <c r="BC309" s="1021"/>
      <c r="BD309" s="1021"/>
      <c r="BE309" s="1021"/>
      <c r="BF309" s="1021"/>
      <c r="BG309" s="1021"/>
      <c r="BH309" s="1021"/>
      <c r="BI309" s="1021"/>
      <c r="BJ309" s="1021"/>
      <c r="BK309" s="1021"/>
      <c r="BL309" s="1021"/>
      <c r="BM309" s="1021"/>
      <c r="BN309" s="1021"/>
      <c r="BO309" s="1021"/>
      <c r="BP309" s="1021"/>
      <c r="BQ309" s="1021"/>
      <c r="BR309" s="1021"/>
      <c r="BS309" s="1021"/>
      <c r="BT309" s="1021"/>
      <c r="BU309" s="1021"/>
      <c r="BV309" s="1021"/>
      <c r="BW309" s="1021"/>
      <c r="BX309" s="1021"/>
      <c r="BY309" s="1021"/>
      <c r="BZ309" s="1021"/>
      <c r="CA309" s="1021"/>
      <c r="CB309" s="1021"/>
      <c r="CC309" s="1021"/>
    </row>
    <row r="310" spans="8:81" x14ac:dyDescent="0.25">
      <c r="H310" s="1021"/>
      <c r="I310" s="1021"/>
      <c r="J310" s="1021"/>
      <c r="K310" s="1021"/>
      <c r="L310" s="1021"/>
      <c r="M310" s="1021"/>
      <c r="N310" s="1021"/>
      <c r="O310" s="1021"/>
      <c r="P310" s="1021"/>
      <c r="Q310" s="1021"/>
      <c r="R310" s="1021"/>
      <c r="S310" s="1021"/>
      <c r="T310" s="1021"/>
      <c r="U310" s="1021"/>
      <c r="V310" s="1021"/>
      <c r="W310" s="1021"/>
      <c r="X310" s="1021"/>
      <c r="Y310" s="1021"/>
      <c r="Z310" s="1021"/>
      <c r="AA310" s="1021"/>
      <c r="AB310" s="1021"/>
      <c r="AC310" s="1021"/>
      <c r="AD310" s="1021"/>
      <c r="AE310" s="1021"/>
      <c r="AF310" s="1021"/>
      <c r="AG310" s="1021"/>
      <c r="AH310" s="1021"/>
      <c r="AI310" s="1021"/>
      <c r="AJ310" s="1021"/>
      <c r="AK310" s="1021"/>
      <c r="AL310" s="1021"/>
      <c r="AM310" s="1021"/>
      <c r="AN310" s="1021"/>
      <c r="AO310" s="1021"/>
      <c r="AP310" s="1021"/>
      <c r="AQ310" s="1021"/>
      <c r="AR310" s="1021"/>
      <c r="AS310" s="1021"/>
      <c r="AT310" s="1021"/>
      <c r="AU310" s="1021"/>
      <c r="AV310" s="1021"/>
      <c r="AW310" s="1021"/>
      <c r="AX310" s="1021"/>
      <c r="AY310" s="1021"/>
      <c r="AZ310" s="1021"/>
      <c r="BA310" s="1021"/>
      <c r="BB310" s="1021"/>
      <c r="BC310" s="1021"/>
      <c r="BD310" s="1021"/>
      <c r="BE310" s="1021"/>
      <c r="BF310" s="1021"/>
      <c r="BG310" s="1021"/>
      <c r="BH310" s="1021"/>
      <c r="BI310" s="1021"/>
      <c r="BJ310" s="1021"/>
      <c r="BK310" s="1021"/>
      <c r="BL310" s="1021"/>
      <c r="BM310" s="1021"/>
      <c r="BN310" s="1021"/>
      <c r="BO310" s="1021"/>
      <c r="BP310" s="1021"/>
      <c r="BQ310" s="1021"/>
      <c r="BR310" s="1021"/>
      <c r="BS310" s="1021"/>
      <c r="BT310" s="1021"/>
      <c r="BU310" s="1021"/>
      <c r="BV310" s="1021"/>
      <c r="BW310" s="1021"/>
      <c r="BX310" s="1021"/>
      <c r="BY310" s="1021"/>
      <c r="BZ310" s="1021"/>
      <c r="CA310" s="1021"/>
      <c r="CB310" s="1021"/>
      <c r="CC310" s="1021"/>
    </row>
    <row r="311" spans="8:81" x14ac:dyDescent="0.25">
      <c r="H311" s="1021"/>
      <c r="I311" s="1021"/>
      <c r="J311" s="1021"/>
      <c r="K311" s="1021"/>
      <c r="L311" s="1021"/>
      <c r="M311" s="1021"/>
      <c r="N311" s="1021"/>
      <c r="O311" s="1021"/>
      <c r="P311" s="1021"/>
      <c r="Q311" s="1021"/>
      <c r="R311" s="1021"/>
      <c r="S311" s="1021"/>
      <c r="T311" s="1021"/>
      <c r="U311" s="1021"/>
      <c r="V311" s="1021"/>
      <c r="W311" s="1021"/>
      <c r="X311" s="1021"/>
      <c r="Y311" s="1021"/>
      <c r="Z311" s="1021"/>
      <c r="AA311" s="1021"/>
      <c r="AB311" s="1021"/>
      <c r="AC311" s="1021"/>
      <c r="AD311" s="1021"/>
      <c r="AE311" s="1021"/>
      <c r="AF311" s="1021"/>
      <c r="AG311" s="1021"/>
      <c r="AH311" s="1021"/>
      <c r="AI311" s="1021"/>
      <c r="AJ311" s="1021"/>
      <c r="AK311" s="1021"/>
      <c r="AL311" s="1021"/>
      <c r="AM311" s="1021"/>
      <c r="AN311" s="1021"/>
      <c r="AO311" s="1021"/>
      <c r="AP311" s="1021"/>
      <c r="AQ311" s="1021"/>
      <c r="AR311" s="1021"/>
      <c r="AS311" s="1021"/>
      <c r="AT311" s="1021"/>
      <c r="AU311" s="1021"/>
      <c r="AV311" s="1021"/>
      <c r="AW311" s="1021"/>
      <c r="AX311" s="1021"/>
      <c r="AY311" s="1021"/>
      <c r="AZ311" s="1021"/>
      <c r="BA311" s="1021"/>
      <c r="BB311" s="1021"/>
      <c r="BC311" s="1021"/>
      <c r="BD311" s="1021"/>
      <c r="BE311" s="1021"/>
      <c r="BF311" s="1021"/>
      <c r="BG311" s="1021"/>
      <c r="BH311" s="1021"/>
      <c r="BI311" s="1021"/>
      <c r="BJ311" s="1021"/>
      <c r="BK311" s="1021"/>
      <c r="BL311" s="1021"/>
      <c r="BM311" s="1021"/>
      <c r="BN311" s="1021"/>
      <c r="BO311" s="1021"/>
      <c r="BP311" s="1021"/>
      <c r="BQ311" s="1021"/>
      <c r="BR311" s="1021"/>
      <c r="BS311" s="1021"/>
      <c r="BT311" s="1021"/>
      <c r="BU311" s="1021"/>
      <c r="BV311" s="1021"/>
      <c r="BW311" s="1021"/>
      <c r="BX311" s="1021"/>
      <c r="BY311" s="1021"/>
      <c r="BZ311" s="1021"/>
      <c r="CA311" s="1021"/>
      <c r="CB311" s="1021"/>
      <c r="CC311" s="1021"/>
    </row>
    <row r="312" spans="8:81" x14ac:dyDescent="0.25">
      <c r="H312" s="1021"/>
      <c r="I312" s="1021"/>
      <c r="J312" s="1021"/>
      <c r="K312" s="1021"/>
      <c r="L312" s="1021"/>
      <c r="M312" s="1021"/>
      <c r="N312" s="1021"/>
      <c r="O312" s="1021"/>
      <c r="P312" s="1021"/>
      <c r="Q312" s="1021"/>
      <c r="R312" s="1021"/>
      <c r="S312" s="1021"/>
      <c r="T312" s="1021"/>
      <c r="U312" s="1021"/>
      <c r="V312" s="1021"/>
      <c r="W312" s="1021"/>
      <c r="X312" s="1021"/>
      <c r="Y312" s="1021"/>
      <c r="Z312" s="1021"/>
      <c r="AA312" s="1021"/>
      <c r="AB312" s="1021"/>
      <c r="AC312" s="1021"/>
      <c r="AD312" s="1021"/>
      <c r="AE312" s="1021"/>
      <c r="AF312" s="1021"/>
      <c r="AG312" s="1021"/>
      <c r="AH312" s="1021"/>
      <c r="AI312" s="1021"/>
      <c r="AJ312" s="1021"/>
      <c r="AK312" s="1021"/>
      <c r="AL312" s="1021"/>
      <c r="AM312" s="1021"/>
      <c r="AN312" s="1021"/>
      <c r="AO312" s="1021"/>
      <c r="AP312" s="1021"/>
      <c r="AQ312" s="1021"/>
      <c r="AR312" s="1021"/>
      <c r="AS312" s="1021"/>
      <c r="AT312" s="1021"/>
      <c r="AU312" s="1021"/>
      <c r="AV312" s="1021"/>
      <c r="AW312" s="1021"/>
      <c r="AX312" s="1021"/>
      <c r="AY312" s="1021"/>
      <c r="AZ312" s="1021"/>
      <c r="BA312" s="1021"/>
      <c r="BB312" s="1021"/>
      <c r="BC312" s="1021"/>
      <c r="BD312" s="1021"/>
      <c r="BE312" s="1021"/>
      <c r="BF312" s="1021"/>
      <c r="BG312" s="1021"/>
      <c r="BH312" s="1021"/>
      <c r="BI312" s="1021"/>
      <c r="BJ312" s="1021"/>
      <c r="BK312" s="1021"/>
      <c r="BL312" s="1021"/>
      <c r="BM312" s="1021"/>
      <c r="BN312" s="1021"/>
      <c r="BO312" s="1021"/>
      <c r="BP312" s="1021"/>
      <c r="BQ312" s="1021"/>
      <c r="BR312" s="1021"/>
      <c r="BS312" s="1021"/>
      <c r="BT312" s="1021"/>
      <c r="BU312" s="1021"/>
      <c r="BV312" s="1021"/>
      <c r="BW312" s="1021"/>
      <c r="BX312" s="1021"/>
      <c r="BY312" s="1021"/>
      <c r="BZ312" s="1021"/>
      <c r="CA312" s="1021"/>
      <c r="CB312" s="1021"/>
      <c r="CC312" s="1021"/>
    </row>
    <row r="313" spans="8:81" x14ac:dyDescent="0.25">
      <c r="H313" s="1021"/>
      <c r="I313" s="1021"/>
      <c r="J313" s="1021"/>
      <c r="K313" s="1021"/>
      <c r="L313" s="1021"/>
      <c r="M313" s="1021"/>
      <c r="N313" s="1021"/>
      <c r="O313" s="1021"/>
      <c r="P313" s="1021"/>
      <c r="Q313" s="1021"/>
      <c r="R313" s="1021"/>
      <c r="S313" s="1021"/>
      <c r="T313" s="1021"/>
      <c r="U313" s="1021"/>
      <c r="V313" s="1021"/>
      <c r="W313" s="1021"/>
      <c r="X313" s="1021"/>
      <c r="Y313" s="1021"/>
      <c r="Z313" s="1021"/>
      <c r="AA313" s="1021"/>
      <c r="AB313" s="1021"/>
      <c r="AC313" s="1021"/>
      <c r="AD313" s="1021"/>
      <c r="AE313" s="1021"/>
      <c r="AF313" s="1021"/>
      <c r="AG313" s="1021"/>
      <c r="AH313" s="1021"/>
      <c r="AI313" s="1021"/>
      <c r="AJ313" s="1021"/>
      <c r="AK313" s="1021"/>
      <c r="AL313" s="1021"/>
      <c r="AM313" s="1021"/>
      <c r="AN313" s="1021"/>
      <c r="AO313" s="1021"/>
      <c r="AP313" s="1021"/>
      <c r="AQ313" s="1021"/>
      <c r="AR313" s="1021"/>
      <c r="AS313" s="1021"/>
      <c r="AT313" s="1021"/>
      <c r="AU313" s="1021"/>
      <c r="AV313" s="1021"/>
      <c r="AW313" s="1021"/>
      <c r="AX313" s="1021"/>
      <c r="AY313" s="1021"/>
      <c r="AZ313" s="1021"/>
      <c r="BA313" s="1021"/>
      <c r="BB313" s="1021"/>
      <c r="BC313" s="1021"/>
      <c r="BD313" s="1021"/>
      <c r="BE313" s="1021"/>
      <c r="BF313" s="1021"/>
      <c r="BG313" s="1021"/>
      <c r="BH313" s="1021"/>
      <c r="BI313" s="1021"/>
      <c r="BJ313" s="1021"/>
      <c r="BK313" s="1021"/>
      <c r="BL313" s="1021"/>
      <c r="BM313" s="1021"/>
      <c r="BN313" s="1021"/>
      <c r="BO313" s="1021"/>
      <c r="BP313" s="1021"/>
      <c r="BQ313" s="1021"/>
      <c r="BR313" s="1021"/>
      <c r="BS313" s="1021"/>
      <c r="BT313" s="1021"/>
      <c r="BU313" s="1021"/>
      <c r="BV313" s="1021"/>
      <c r="BW313" s="1021"/>
      <c r="BX313" s="1021"/>
      <c r="BY313" s="1021"/>
      <c r="BZ313" s="1021"/>
      <c r="CA313" s="1021"/>
      <c r="CB313" s="1021"/>
      <c r="CC313" s="1021"/>
    </row>
    <row r="314" spans="8:81" x14ac:dyDescent="0.25">
      <c r="H314" s="1021"/>
      <c r="I314" s="1021"/>
      <c r="J314" s="1021"/>
      <c r="K314" s="1021"/>
      <c r="L314" s="1021"/>
      <c r="M314" s="1021"/>
      <c r="N314" s="1021"/>
      <c r="O314" s="1021"/>
      <c r="P314" s="1021"/>
      <c r="Q314" s="1021"/>
      <c r="R314" s="1021"/>
      <c r="S314" s="1021"/>
      <c r="T314" s="1021"/>
      <c r="U314" s="1021"/>
      <c r="V314" s="1021"/>
      <c r="W314" s="1021"/>
      <c r="X314" s="1021"/>
      <c r="Y314" s="1021"/>
      <c r="Z314" s="1021"/>
      <c r="AA314" s="1021"/>
      <c r="AB314" s="1021"/>
      <c r="AC314" s="1021"/>
      <c r="AD314" s="1021"/>
      <c r="AE314" s="1021"/>
      <c r="AF314" s="1021"/>
      <c r="AG314" s="1021"/>
      <c r="AH314" s="1021"/>
      <c r="AI314" s="1021"/>
      <c r="AJ314" s="1021"/>
      <c r="AK314" s="1021"/>
      <c r="AL314" s="1021"/>
      <c r="AM314" s="1021"/>
      <c r="AN314" s="1021"/>
      <c r="AO314" s="1021"/>
      <c r="AP314" s="1021"/>
      <c r="AQ314" s="1021"/>
      <c r="AR314" s="1021"/>
      <c r="AS314" s="1021"/>
      <c r="AT314" s="1021"/>
      <c r="AU314" s="1021"/>
      <c r="AV314" s="1021"/>
      <c r="AW314" s="1021"/>
      <c r="AX314" s="1021"/>
      <c r="AY314" s="1021"/>
      <c r="AZ314" s="1021"/>
      <c r="BA314" s="1021"/>
      <c r="BB314" s="1021"/>
      <c r="BC314" s="1021"/>
      <c r="BD314" s="1021"/>
      <c r="BE314" s="1021"/>
      <c r="BF314" s="1021"/>
      <c r="BG314" s="1021"/>
      <c r="BH314" s="1021"/>
      <c r="BI314" s="1021"/>
      <c r="BJ314" s="1021"/>
      <c r="BK314" s="1021"/>
      <c r="BL314" s="1021"/>
      <c r="BM314" s="1021"/>
      <c r="BN314" s="1021"/>
      <c r="BO314" s="1021"/>
      <c r="BP314" s="1021"/>
      <c r="BQ314" s="1021"/>
      <c r="BR314" s="1021"/>
      <c r="BS314" s="1021"/>
      <c r="BT314" s="1021"/>
      <c r="BU314" s="1021"/>
      <c r="BV314" s="1021"/>
      <c r="BW314" s="1021"/>
      <c r="BX314" s="1021"/>
      <c r="BY314" s="1021"/>
      <c r="BZ314" s="1021"/>
      <c r="CA314" s="1021"/>
      <c r="CB314" s="1021"/>
      <c r="CC314" s="1021"/>
    </row>
    <row r="315" spans="8:81" x14ac:dyDescent="0.25">
      <c r="H315" s="1021"/>
      <c r="I315" s="1021"/>
      <c r="J315" s="1021"/>
      <c r="K315" s="1021"/>
      <c r="L315" s="1021"/>
      <c r="M315" s="1021"/>
      <c r="N315" s="1021"/>
      <c r="O315" s="1021"/>
      <c r="P315" s="1021"/>
      <c r="Q315" s="1021"/>
      <c r="R315" s="1021"/>
      <c r="S315" s="1021"/>
      <c r="T315" s="1021"/>
      <c r="U315" s="1021"/>
      <c r="V315" s="1021"/>
      <c r="W315" s="1021"/>
      <c r="X315" s="1021"/>
      <c r="Y315" s="1021"/>
      <c r="Z315" s="1021"/>
      <c r="AA315" s="1021"/>
      <c r="AB315" s="1021"/>
      <c r="AC315" s="1021"/>
      <c r="AD315" s="1021"/>
      <c r="AE315" s="1021"/>
      <c r="AF315" s="1021"/>
      <c r="AG315" s="1021"/>
      <c r="AH315" s="1021"/>
      <c r="AI315" s="1021"/>
      <c r="AJ315" s="1021"/>
      <c r="AK315" s="1021"/>
      <c r="AL315" s="1021"/>
      <c r="AM315" s="1021"/>
      <c r="AN315" s="1021"/>
      <c r="AO315" s="1021"/>
      <c r="AP315" s="1021"/>
      <c r="AQ315" s="1021"/>
      <c r="AR315" s="1021"/>
      <c r="AS315" s="1021"/>
      <c r="AT315" s="1021"/>
      <c r="AU315" s="1021"/>
      <c r="AV315" s="1021"/>
      <c r="AW315" s="1021"/>
      <c r="AX315" s="1021"/>
      <c r="AY315" s="1021"/>
      <c r="AZ315" s="1021"/>
      <c r="BA315" s="1021"/>
      <c r="BB315" s="1021"/>
      <c r="BC315" s="1021"/>
      <c r="BD315" s="1021"/>
      <c r="BE315" s="1021"/>
      <c r="BF315" s="1021"/>
      <c r="BG315" s="1021"/>
      <c r="BH315" s="1021"/>
      <c r="BI315" s="1021"/>
      <c r="BJ315" s="1021"/>
      <c r="BK315" s="1021"/>
      <c r="BL315" s="1021"/>
      <c r="BM315" s="1021"/>
      <c r="BN315" s="1021"/>
      <c r="BO315" s="1021"/>
      <c r="BP315" s="1021"/>
      <c r="BQ315" s="1021"/>
      <c r="BR315" s="1021"/>
      <c r="BS315" s="1021"/>
      <c r="BT315" s="1021"/>
      <c r="BU315" s="1021"/>
      <c r="BV315" s="1021"/>
      <c r="BW315" s="1021"/>
      <c r="BX315" s="1021"/>
      <c r="BY315" s="1021"/>
      <c r="BZ315" s="1021"/>
      <c r="CA315" s="1021"/>
      <c r="CB315" s="1021"/>
      <c r="CC315" s="1021"/>
    </row>
    <row r="316" spans="8:81" x14ac:dyDescent="0.25">
      <c r="H316" s="1021"/>
      <c r="I316" s="1021"/>
      <c r="J316" s="1021"/>
      <c r="K316" s="1021"/>
      <c r="L316" s="1021"/>
      <c r="M316" s="1021"/>
      <c r="N316" s="1021"/>
      <c r="O316" s="1021"/>
      <c r="P316" s="1021"/>
      <c r="Q316" s="1021"/>
      <c r="R316" s="1021"/>
      <c r="S316" s="1021"/>
      <c r="T316" s="1021"/>
      <c r="U316" s="1021"/>
      <c r="V316" s="1021"/>
      <c r="W316" s="1021"/>
      <c r="X316" s="1021"/>
      <c r="Y316" s="1021"/>
      <c r="Z316" s="1021"/>
      <c r="AA316" s="1021"/>
      <c r="AB316" s="1021"/>
      <c r="AC316" s="1021"/>
      <c r="AD316" s="1021"/>
      <c r="AE316" s="1021"/>
      <c r="AF316" s="1021"/>
      <c r="AG316" s="1021"/>
      <c r="AH316" s="1021"/>
      <c r="AI316" s="1021"/>
      <c r="AJ316" s="1021"/>
      <c r="AK316" s="1021"/>
      <c r="AL316" s="1021"/>
      <c r="AM316" s="1021"/>
      <c r="AN316" s="1021"/>
      <c r="AO316" s="1021"/>
      <c r="AP316" s="1021"/>
      <c r="AQ316" s="1021"/>
      <c r="AR316" s="1021"/>
      <c r="AS316" s="1021"/>
      <c r="AT316" s="1021"/>
      <c r="AU316" s="1021"/>
      <c r="AV316" s="1021"/>
      <c r="AW316" s="1021"/>
      <c r="AX316" s="1021"/>
      <c r="AY316" s="1021"/>
      <c r="AZ316" s="1021"/>
      <c r="BA316" s="1021"/>
      <c r="BB316" s="1021"/>
      <c r="BC316" s="1021"/>
      <c r="BD316" s="1021"/>
      <c r="BE316" s="1021"/>
      <c r="BF316" s="1021"/>
      <c r="BG316" s="1021"/>
      <c r="BH316" s="1021"/>
      <c r="BI316" s="1021"/>
      <c r="BJ316" s="1021"/>
      <c r="BK316" s="1021"/>
      <c r="BL316" s="1021"/>
      <c r="BM316" s="1021"/>
      <c r="BN316" s="1021"/>
      <c r="BO316" s="1021"/>
      <c r="BP316" s="1021"/>
      <c r="BQ316" s="1021"/>
      <c r="BR316" s="1021"/>
      <c r="BS316" s="1021"/>
      <c r="BT316" s="1021"/>
      <c r="BU316" s="1021"/>
      <c r="BV316" s="1021"/>
      <c r="BW316" s="1021"/>
      <c r="BX316" s="1021"/>
      <c r="BY316" s="1021"/>
      <c r="BZ316" s="1021"/>
      <c r="CA316" s="1021"/>
      <c r="CB316" s="1021"/>
      <c r="CC316" s="1021"/>
    </row>
    <row r="317" spans="8:81" x14ac:dyDescent="0.25">
      <c r="H317" s="1021"/>
      <c r="I317" s="1021"/>
      <c r="J317" s="1021"/>
      <c r="K317" s="1021"/>
      <c r="L317" s="1021"/>
      <c r="M317" s="1021"/>
      <c r="N317" s="1021"/>
      <c r="O317" s="1021"/>
      <c r="P317" s="1021"/>
      <c r="Q317" s="1021"/>
      <c r="R317" s="1021"/>
      <c r="S317" s="1021"/>
      <c r="T317" s="1021"/>
      <c r="U317" s="1021"/>
      <c r="V317" s="1021"/>
      <c r="W317" s="1021"/>
      <c r="X317" s="1021"/>
      <c r="Y317" s="1021"/>
      <c r="Z317" s="1021"/>
      <c r="AA317" s="1021"/>
      <c r="AB317" s="1021"/>
      <c r="AC317" s="1021"/>
      <c r="AD317" s="1021"/>
      <c r="AE317" s="1021"/>
      <c r="AF317" s="1021"/>
      <c r="AG317" s="1021"/>
      <c r="AH317" s="1021"/>
      <c r="AI317" s="1021"/>
      <c r="AJ317" s="1021"/>
      <c r="AK317" s="1021"/>
      <c r="AL317" s="1021"/>
      <c r="AM317" s="1021"/>
      <c r="AN317" s="1021"/>
      <c r="AO317" s="1021"/>
      <c r="AP317" s="1021"/>
      <c r="AQ317" s="1021"/>
      <c r="AR317" s="1021"/>
      <c r="AS317" s="1021"/>
      <c r="AT317" s="1021"/>
      <c r="AU317" s="1021"/>
      <c r="AV317" s="1021"/>
      <c r="AW317" s="1021"/>
      <c r="AX317" s="1021"/>
      <c r="AY317" s="1021"/>
      <c r="AZ317" s="1021"/>
      <c r="BA317" s="1021"/>
      <c r="BB317" s="1021"/>
      <c r="BC317" s="1021"/>
      <c r="BD317" s="1021"/>
      <c r="BE317" s="1021"/>
      <c r="BF317" s="1021"/>
      <c r="BG317" s="1021"/>
      <c r="BH317" s="1021"/>
      <c r="BI317" s="1021"/>
      <c r="BJ317" s="1021"/>
      <c r="BK317" s="1021"/>
      <c r="BL317" s="1021"/>
      <c r="BM317" s="1021"/>
      <c r="BN317" s="1021"/>
      <c r="BO317" s="1021"/>
      <c r="BP317" s="1021"/>
      <c r="BQ317" s="1021"/>
      <c r="BR317" s="1021"/>
      <c r="BS317" s="1021"/>
      <c r="BT317" s="1021"/>
      <c r="BU317" s="1021"/>
      <c r="BV317" s="1021"/>
      <c r="BW317" s="1021"/>
      <c r="BX317" s="1021"/>
      <c r="BY317" s="1021"/>
      <c r="BZ317" s="1021"/>
      <c r="CA317" s="1021"/>
      <c r="CB317" s="1021"/>
      <c r="CC317" s="1021"/>
    </row>
    <row r="318" spans="8:81" x14ac:dyDescent="0.25">
      <c r="H318" s="1021"/>
      <c r="I318" s="1021"/>
      <c r="J318" s="1021"/>
      <c r="K318" s="1021"/>
      <c r="L318" s="1021"/>
      <c r="M318" s="1021"/>
      <c r="N318" s="1021"/>
      <c r="O318" s="1021"/>
      <c r="P318" s="1021"/>
      <c r="Q318" s="1021"/>
      <c r="R318" s="1021"/>
      <c r="S318" s="1021"/>
      <c r="T318" s="1021"/>
      <c r="U318" s="1021"/>
      <c r="V318" s="1021"/>
      <c r="W318" s="1021"/>
      <c r="X318" s="1021"/>
      <c r="Y318" s="1021"/>
      <c r="Z318" s="1021"/>
      <c r="AA318" s="1021"/>
      <c r="AB318" s="1021"/>
      <c r="AC318" s="1021"/>
      <c r="AD318" s="1021"/>
      <c r="AE318" s="1021"/>
      <c r="AF318" s="1021"/>
      <c r="AG318" s="1021"/>
      <c r="AH318" s="1021"/>
      <c r="AI318" s="1021"/>
      <c r="AJ318" s="1021"/>
      <c r="AK318" s="1021"/>
      <c r="AL318" s="1021"/>
      <c r="AM318" s="1021"/>
      <c r="AN318" s="1021"/>
      <c r="AO318" s="1021"/>
      <c r="AP318" s="1021"/>
      <c r="AQ318" s="1021"/>
      <c r="AR318" s="1021"/>
      <c r="AS318" s="1021"/>
      <c r="AT318" s="1021"/>
      <c r="AU318" s="1021"/>
      <c r="AV318" s="1021"/>
      <c r="AW318" s="1021"/>
      <c r="AX318" s="1021"/>
      <c r="AY318" s="1021"/>
      <c r="AZ318" s="1021"/>
      <c r="BA318" s="1021"/>
      <c r="BB318" s="1021"/>
      <c r="BC318" s="1021"/>
      <c r="BD318" s="1021"/>
      <c r="BE318" s="1021"/>
      <c r="BF318" s="1021"/>
      <c r="BG318" s="1021"/>
      <c r="BH318" s="1021"/>
      <c r="BI318" s="1021"/>
      <c r="BJ318" s="1021"/>
      <c r="BK318" s="1021"/>
      <c r="BL318" s="1021"/>
      <c r="BM318" s="1021"/>
      <c r="BN318" s="1021"/>
      <c r="BO318" s="1021"/>
      <c r="BP318" s="1021"/>
      <c r="BQ318" s="1021"/>
      <c r="BR318" s="1021"/>
      <c r="BS318" s="1021"/>
      <c r="BT318" s="1021"/>
      <c r="BU318" s="1021"/>
      <c r="BV318" s="1021"/>
      <c r="BW318" s="1021"/>
      <c r="BX318" s="1021"/>
      <c r="BY318" s="1021"/>
      <c r="BZ318" s="1021"/>
      <c r="CA318" s="1021"/>
      <c r="CB318" s="1021"/>
      <c r="CC318" s="1021"/>
    </row>
    <row r="319" spans="8:81" x14ac:dyDescent="0.25">
      <c r="H319" s="1021"/>
      <c r="I319" s="1021"/>
      <c r="J319" s="1021"/>
      <c r="K319" s="1021"/>
      <c r="L319" s="1021"/>
      <c r="M319" s="1021"/>
      <c r="N319" s="1021"/>
      <c r="O319" s="1021"/>
      <c r="P319" s="1021"/>
      <c r="Q319" s="1021"/>
      <c r="R319" s="1021"/>
      <c r="S319" s="1021"/>
      <c r="T319" s="1021"/>
      <c r="U319" s="1021"/>
      <c r="V319" s="1021"/>
      <c r="W319" s="1021"/>
      <c r="X319" s="1021"/>
      <c r="Y319" s="1021"/>
      <c r="Z319" s="1021"/>
      <c r="AA319" s="1021"/>
      <c r="AB319" s="1021"/>
      <c r="AC319" s="1021"/>
      <c r="AD319" s="1021"/>
      <c r="AE319" s="1021"/>
      <c r="AF319" s="1021"/>
      <c r="AG319" s="1021"/>
      <c r="AH319" s="1021"/>
      <c r="AI319" s="1021"/>
      <c r="AJ319" s="1021"/>
      <c r="AK319" s="1021"/>
      <c r="AL319" s="1021"/>
      <c r="AM319" s="1021"/>
      <c r="AN319" s="1021"/>
      <c r="AO319" s="1021"/>
      <c r="AP319" s="1021"/>
      <c r="AQ319" s="1021"/>
      <c r="AR319" s="1021"/>
      <c r="AS319" s="1021"/>
      <c r="AT319" s="1021"/>
      <c r="AU319" s="1021"/>
      <c r="AV319" s="1021"/>
      <c r="AW319" s="1021"/>
      <c r="AX319" s="1021"/>
      <c r="AY319" s="1021"/>
      <c r="AZ319" s="1021"/>
      <c r="BA319" s="1021"/>
      <c r="BB319" s="1021"/>
      <c r="BC319" s="1021"/>
      <c r="BD319" s="1021"/>
      <c r="BE319" s="1021"/>
      <c r="BF319" s="1021"/>
      <c r="BG319" s="1021"/>
      <c r="BH319" s="1021"/>
      <c r="BI319" s="1021"/>
      <c r="BJ319" s="1021"/>
      <c r="BK319" s="1021"/>
      <c r="BL319" s="1021"/>
      <c r="BM319" s="1021"/>
      <c r="BN319" s="1021"/>
      <c r="BO319" s="1021"/>
      <c r="BP319" s="1021"/>
      <c r="BQ319" s="1021"/>
      <c r="BR319" s="1021"/>
      <c r="BS319" s="1021"/>
      <c r="BT319" s="1021"/>
      <c r="BU319" s="1021"/>
      <c r="BV319" s="1021"/>
      <c r="BW319" s="1021"/>
      <c r="BX319" s="1021"/>
      <c r="BY319" s="1021"/>
      <c r="BZ319" s="1021"/>
      <c r="CA319" s="1021"/>
      <c r="CB319" s="1021"/>
      <c r="CC319" s="1021"/>
    </row>
    <row r="320" spans="8:81" x14ac:dyDescent="0.25">
      <c r="H320" s="1021"/>
      <c r="I320" s="1021"/>
      <c r="J320" s="1021"/>
      <c r="K320" s="1021"/>
      <c r="L320" s="1021"/>
      <c r="M320" s="1021"/>
      <c r="N320" s="1021"/>
      <c r="O320" s="1021"/>
      <c r="P320" s="1021"/>
      <c r="Q320" s="1021"/>
      <c r="R320" s="1021"/>
      <c r="S320" s="1021"/>
      <c r="T320" s="1021"/>
      <c r="U320" s="1021"/>
      <c r="V320" s="1021"/>
      <c r="W320" s="1021"/>
      <c r="X320" s="1021"/>
      <c r="Y320" s="1021"/>
      <c r="Z320" s="1021"/>
      <c r="AA320" s="1021"/>
      <c r="AB320" s="1021"/>
      <c r="AC320" s="1021"/>
      <c r="AD320" s="1021"/>
      <c r="AE320" s="1021"/>
      <c r="AF320" s="1021"/>
      <c r="AG320" s="1021"/>
      <c r="AH320" s="1021"/>
      <c r="AI320" s="1021"/>
      <c r="AJ320" s="1021"/>
      <c r="AK320" s="1021"/>
      <c r="AL320" s="1021"/>
      <c r="AM320" s="1021"/>
      <c r="AN320" s="1021"/>
      <c r="AO320" s="1021"/>
      <c r="AP320" s="1021"/>
      <c r="AQ320" s="1021"/>
      <c r="AR320" s="1021"/>
      <c r="AS320" s="1021"/>
      <c r="AT320" s="1021"/>
      <c r="AU320" s="1021"/>
      <c r="AV320" s="1021"/>
      <c r="AW320" s="1021"/>
      <c r="AX320" s="1021"/>
      <c r="AY320" s="1021"/>
      <c r="AZ320" s="1021"/>
      <c r="BA320" s="1021"/>
      <c r="BB320" s="1021"/>
      <c r="BC320" s="1021"/>
      <c r="BD320" s="1021"/>
      <c r="BE320" s="1021"/>
      <c r="BF320" s="1021"/>
      <c r="BG320" s="1021"/>
      <c r="BH320" s="1021"/>
      <c r="BI320" s="1021"/>
      <c r="BJ320" s="1021"/>
      <c r="BK320" s="1021"/>
      <c r="BL320" s="1021"/>
      <c r="BM320" s="1021"/>
      <c r="BN320" s="1021"/>
      <c r="BO320" s="1021"/>
      <c r="BP320" s="1021"/>
      <c r="BQ320" s="1021"/>
      <c r="BR320" s="1021"/>
      <c r="BS320" s="1021"/>
      <c r="BT320" s="1021"/>
      <c r="BU320" s="1021"/>
      <c r="BV320" s="1021"/>
      <c r="BW320" s="1021"/>
      <c r="BX320" s="1021"/>
      <c r="BY320" s="1021"/>
      <c r="BZ320" s="1021"/>
      <c r="CA320" s="1021"/>
      <c r="CB320" s="1021"/>
      <c r="CC320" s="1021"/>
    </row>
    <row r="321" spans="8:81" x14ac:dyDescent="0.25">
      <c r="H321" s="1021"/>
      <c r="I321" s="1021"/>
      <c r="J321" s="1021"/>
      <c r="K321" s="1021"/>
      <c r="L321" s="1021"/>
      <c r="M321" s="1021"/>
      <c r="N321" s="1021"/>
      <c r="O321" s="1021"/>
      <c r="P321" s="1021"/>
      <c r="Q321" s="1021"/>
      <c r="R321" s="1021"/>
      <c r="S321" s="1021"/>
      <c r="T321" s="1021"/>
      <c r="U321" s="1021"/>
      <c r="V321" s="1021"/>
      <c r="W321" s="1021"/>
      <c r="X321" s="1021"/>
      <c r="Y321" s="1021"/>
      <c r="Z321" s="1021"/>
      <c r="AA321" s="1021"/>
      <c r="AB321" s="1021"/>
      <c r="AC321" s="1021"/>
      <c r="AD321" s="1021"/>
      <c r="AE321" s="1021"/>
      <c r="AF321" s="1021"/>
      <c r="AG321" s="1021"/>
      <c r="AH321" s="1021"/>
      <c r="AI321" s="1021"/>
      <c r="AJ321" s="1021"/>
      <c r="AK321" s="1021"/>
      <c r="AL321" s="1021"/>
      <c r="AM321" s="1021"/>
      <c r="AN321" s="1021"/>
      <c r="AO321" s="1021"/>
      <c r="AP321" s="1021"/>
      <c r="AQ321" s="1021"/>
      <c r="AR321" s="1021"/>
      <c r="AS321" s="1021"/>
      <c r="AT321" s="1021"/>
      <c r="AU321" s="1021"/>
      <c r="AV321" s="1021"/>
      <c r="AW321" s="1021"/>
      <c r="AX321" s="1021"/>
      <c r="AY321" s="1021"/>
      <c r="AZ321" s="1021"/>
      <c r="BA321" s="1021"/>
      <c r="BB321" s="1021"/>
      <c r="BC321" s="1021"/>
      <c r="BD321" s="1021"/>
      <c r="BE321" s="1021"/>
      <c r="BF321" s="1021"/>
      <c r="BG321" s="1021"/>
      <c r="BH321" s="1021"/>
      <c r="BI321" s="1021"/>
      <c r="BJ321" s="1021"/>
      <c r="BK321" s="1021"/>
      <c r="BL321" s="1021"/>
      <c r="BM321" s="1021"/>
      <c r="BN321" s="1021"/>
      <c r="BO321" s="1021"/>
      <c r="BP321" s="1021"/>
      <c r="BQ321" s="1021"/>
      <c r="BR321" s="1021"/>
      <c r="BS321" s="1021"/>
      <c r="BT321" s="1021"/>
      <c r="BU321" s="1021"/>
      <c r="BV321" s="1021"/>
      <c r="BW321" s="1021"/>
      <c r="BX321" s="1021"/>
      <c r="BY321" s="1021"/>
      <c r="BZ321" s="1021"/>
      <c r="CA321" s="1021"/>
      <c r="CB321" s="1021"/>
      <c r="CC321" s="1021"/>
    </row>
    <row r="322" spans="8:81" x14ac:dyDescent="0.25">
      <c r="H322" s="1021"/>
      <c r="I322" s="1021"/>
      <c r="J322" s="1021"/>
      <c r="K322" s="1021"/>
      <c r="L322" s="1021"/>
      <c r="M322" s="1021"/>
      <c r="N322" s="1021"/>
      <c r="O322" s="1021"/>
      <c r="P322" s="1021"/>
      <c r="Q322" s="1021"/>
      <c r="R322" s="1021"/>
      <c r="S322" s="1021"/>
      <c r="T322" s="1021"/>
      <c r="U322" s="1021"/>
      <c r="V322" s="1021"/>
      <c r="W322" s="1021"/>
      <c r="X322" s="1021"/>
      <c r="Y322" s="1021"/>
      <c r="Z322" s="1021"/>
      <c r="AA322" s="1021"/>
      <c r="AB322" s="1021"/>
      <c r="AC322" s="1021"/>
      <c r="AD322" s="1021"/>
      <c r="AE322" s="1021"/>
      <c r="AF322" s="1021"/>
      <c r="AG322" s="1021"/>
      <c r="AH322" s="1021"/>
      <c r="AI322" s="1021"/>
      <c r="AJ322" s="1021"/>
      <c r="AK322" s="1021"/>
      <c r="AL322" s="1021"/>
      <c r="AM322" s="1021"/>
      <c r="AN322" s="1021"/>
      <c r="AO322" s="1021"/>
      <c r="AP322" s="1021"/>
      <c r="AQ322" s="1021"/>
      <c r="AR322" s="1021"/>
      <c r="AS322" s="1021"/>
      <c r="AT322" s="1021"/>
      <c r="AU322" s="1021"/>
      <c r="AV322" s="1021"/>
      <c r="AW322" s="1021"/>
      <c r="AX322" s="1021"/>
      <c r="AY322" s="1021"/>
      <c r="AZ322" s="1021"/>
      <c r="BA322" s="1021"/>
      <c r="BB322" s="1021"/>
      <c r="BC322" s="1021"/>
      <c r="BD322" s="1021"/>
      <c r="BE322" s="1021"/>
      <c r="BF322" s="1021"/>
      <c r="BG322" s="1021"/>
      <c r="BH322" s="1021"/>
      <c r="BI322" s="1021"/>
      <c r="BJ322" s="1021"/>
      <c r="BK322" s="1021"/>
      <c r="BL322" s="1021"/>
      <c r="BM322" s="1021"/>
      <c r="BN322" s="1021"/>
      <c r="BO322" s="1021"/>
      <c r="BP322" s="1021"/>
      <c r="BQ322" s="1021"/>
      <c r="BR322" s="1021"/>
      <c r="BS322" s="1021"/>
      <c r="BT322" s="1021"/>
      <c r="BU322" s="1021"/>
      <c r="BV322" s="1021"/>
      <c r="BW322" s="1021"/>
      <c r="BX322" s="1021"/>
      <c r="BY322" s="1021"/>
      <c r="BZ322" s="1021"/>
      <c r="CA322" s="1021"/>
      <c r="CB322" s="1021"/>
      <c r="CC322" s="1021"/>
    </row>
    <row r="323" spans="8:81" x14ac:dyDescent="0.25">
      <c r="H323" s="1021"/>
      <c r="I323" s="1021"/>
      <c r="J323" s="1021"/>
      <c r="K323" s="1021"/>
      <c r="L323" s="1021"/>
      <c r="M323" s="1021"/>
      <c r="N323" s="1021"/>
      <c r="O323" s="1021"/>
      <c r="P323" s="1021"/>
      <c r="Q323" s="1021"/>
      <c r="R323" s="1021"/>
      <c r="S323" s="1021"/>
      <c r="T323" s="1021"/>
      <c r="U323" s="1021"/>
      <c r="V323" s="1021"/>
      <c r="W323" s="1021"/>
      <c r="X323" s="1021"/>
      <c r="Y323" s="1021"/>
      <c r="Z323" s="1021"/>
      <c r="AA323" s="1021"/>
      <c r="AB323" s="1021"/>
      <c r="AC323" s="1021"/>
      <c r="AD323" s="1021"/>
      <c r="AE323" s="1021"/>
      <c r="AF323" s="1021"/>
      <c r="AG323" s="1021"/>
      <c r="AH323" s="1021"/>
      <c r="AI323" s="1021"/>
      <c r="AJ323" s="1021"/>
      <c r="AK323" s="1021"/>
      <c r="AL323" s="1021"/>
      <c r="AM323" s="1021"/>
      <c r="AN323" s="1021"/>
      <c r="AO323" s="1021"/>
      <c r="AP323" s="1021"/>
      <c r="AQ323" s="1021"/>
      <c r="AR323" s="1021"/>
      <c r="AS323" s="1021"/>
      <c r="AT323" s="1021"/>
      <c r="AU323" s="1021"/>
      <c r="AV323" s="1021"/>
      <c r="AW323" s="1021"/>
      <c r="AX323" s="1021"/>
      <c r="AY323" s="1021"/>
      <c r="AZ323" s="1021"/>
      <c r="BA323" s="1021"/>
      <c r="BB323" s="1021"/>
      <c r="BC323" s="1021"/>
      <c r="BD323" s="1021"/>
      <c r="BE323" s="1021"/>
      <c r="BF323" s="1021"/>
      <c r="BG323" s="1021"/>
      <c r="BH323" s="1021"/>
      <c r="BI323" s="1021"/>
      <c r="BJ323" s="1021"/>
      <c r="BK323" s="1021"/>
      <c r="BL323" s="1021"/>
      <c r="BM323" s="1021"/>
      <c r="BN323" s="1021"/>
      <c r="BO323" s="1021"/>
      <c r="BP323" s="1021"/>
      <c r="BQ323" s="1021"/>
      <c r="BR323" s="1021"/>
      <c r="BS323" s="1021"/>
      <c r="BT323" s="1021"/>
      <c r="BU323" s="1021"/>
      <c r="BV323" s="1021"/>
      <c r="BW323" s="1021"/>
      <c r="BX323" s="1021"/>
      <c r="BY323" s="1021"/>
      <c r="BZ323" s="1021"/>
      <c r="CA323" s="1021"/>
      <c r="CB323" s="1021"/>
      <c r="CC323" s="1021"/>
    </row>
    <row r="324" spans="8:81" x14ac:dyDescent="0.25">
      <c r="H324" s="1021"/>
      <c r="I324" s="1021"/>
      <c r="J324" s="1021"/>
      <c r="K324" s="1021"/>
      <c r="L324" s="1021"/>
      <c r="M324" s="1021"/>
      <c r="N324" s="1021"/>
      <c r="O324" s="1021"/>
      <c r="P324" s="1021"/>
      <c r="Q324" s="1021"/>
      <c r="R324" s="1021"/>
      <c r="S324" s="1021"/>
      <c r="T324" s="1021"/>
      <c r="U324" s="1021"/>
      <c r="V324" s="1021"/>
      <c r="W324" s="1021"/>
      <c r="X324" s="1021"/>
      <c r="Y324" s="1021"/>
      <c r="Z324" s="1021"/>
      <c r="AA324" s="1021"/>
      <c r="AB324" s="1021"/>
      <c r="AC324" s="1021"/>
      <c r="AD324" s="1021"/>
      <c r="AE324" s="1021"/>
      <c r="AF324" s="1021"/>
      <c r="AG324" s="1021"/>
      <c r="AH324" s="1021"/>
      <c r="AI324" s="1021"/>
      <c r="AJ324" s="1021"/>
      <c r="AK324" s="1021"/>
      <c r="AL324" s="1021"/>
      <c r="AM324" s="1021"/>
      <c r="AN324" s="1021"/>
      <c r="AO324" s="1021"/>
      <c r="AP324" s="1021"/>
      <c r="AQ324" s="1021"/>
      <c r="AR324" s="1021"/>
      <c r="AS324" s="1021"/>
      <c r="AT324" s="1021"/>
      <c r="AU324" s="1021"/>
      <c r="AV324" s="1021"/>
      <c r="AW324" s="1021"/>
      <c r="AX324" s="1021"/>
      <c r="AY324" s="1021"/>
      <c r="AZ324" s="1021"/>
      <c r="BA324" s="1021"/>
      <c r="BB324" s="1021"/>
      <c r="BC324" s="1021"/>
      <c r="BD324" s="1021"/>
      <c r="BE324" s="1021"/>
      <c r="BF324" s="1021"/>
      <c r="BG324" s="1021"/>
      <c r="BH324" s="1021"/>
      <c r="BI324" s="1021"/>
      <c r="BJ324" s="1021"/>
      <c r="BK324" s="1021"/>
      <c r="BL324" s="1021"/>
      <c r="BM324" s="1021"/>
      <c r="BN324" s="1021"/>
      <c r="BO324" s="1021"/>
      <c r="BP324" s="1021"/>
      <c r="BQ324" s="1021"/>
      <c r="BR324" s="1021"/>
      <c r="BS324" s="1021"/>
      <c r="BT324" s="1021"/>
      <c r="BU324" s="1021"/>
      <c r="BV324" s="1021"/>
      <c r="BW324" s="1021"/>
      <c r="BX324" s="1021"/>
      <c r="BY324" s="1021"/>
      <c r="BZ324" s="1021"/>
      <c r="CA324" s="1021"/>
      <c r="CB324" s="1021"/>
      <c r="CC324" s="1021"/>
    </row>
    <row r="325" spans="8:81" x14ac:dyDescent="0.25">
      <c r="H325" s="1021"/>
      <c r="I325" s="1021"/>
      <c r="J325" s="1021"/>
      <c r="K325" s="1021"/>
      <c r="L325" s="1021"/>
      <c r="M325" s="1021"/>
      <c r="N325" s="1021"/>
      <c r="O325" s="1021"/>
      <c r="P325" s="1021"/>
      <c r="Q325" s="1021"/>
      <c r="R325" s="1021"/>
      <c r="S325" s="1021"/>
      <c r="T325" s="1021"/>
      <c r="U325" s="1021"/>
      <c r="V325" s="1021"/>
      <c r="W325" s="1021"/>
      <c r="X325" s="1021"/>
      <c r="Y325" s="1021"/>
      <c r="Z325" s="1021"/>
      <c r="AA325" s="1021"/>
      <c r="AB325" s="1021"/>
      <c r="AC325" s="1021"/>
      <c r="AD325" s="1021"/>
      <c r="AE325" s="1021"/>
      <c r="AF325" s="1021"/>
      <c r="AG325" s="1021"/>
      <c r="AH325" s="1021"/>
      <c r="AI325" s="1021"/>
      <c r="AJ325" s="1021"/>
      <c r="AK325" s="1021"/>
      <c r="AL325" s="1021"/>
      <c r="AM325" s="1021"/>
      <c r="AN325" s="1021"/>
      <c r="AO325" s="1021"/>
      <c r="AP325" s="1021"/>
      <c r="AQ325" s="1021"/>
      <c r="AR325" s="1021"/>
      <c r="AS325" s="1021"/>
      <c r="AT325" s="1021"/>
      <c r="AU325" s="1021"/>
      <c r="AV325" s="1021"/>
      <c r="AW325" s="1021"/>
      <c r="AX325" s="1021"/>
      <c r="AY325" s="1021"/>
      <c r="AZ325" s="1021"/>
      <c r="BA325" s="1021"/>
      <c r="BB325" s="1021"/>
      <c r="BC325" s="1021"/>
      <c r="BD325" s="1021"/>
      <c r="BE325" s="1021"/>
      <c r="BF325" s="1021"/>
      <c r="BG325" s="1021"/>
      <c r="BH325" s="1021"/>
      <c r="BI325" s="1021"/>
      <c r="BJ325" s="1021"/>
      <c r="BK325" s="1021"/>
      <c r="BL325" s="1021"/>
      <c r="BM325" s="1021"/>
      <c r="BN325" s="1021"/>
      <c r="BO325" s="1021"/>
      <c r="BP325" s="1021"/>
      <c r="BQ325" s="1021"/>
      <c r="BR325" s="1021"/>
      <c r="BS325" s="1021"/>
      <c r="BT325" s="1021"/>
      <c r="BU325" s="1021"/>
      <c r="BV325" s="1021"/>
      <c r="BW325" s="1021"/>
      <c r="BX325" s="1021"/>
      <c r="BY325" s="1021"/>
      <c r="BZ325" s="1021"/>
      <c r="CA325" s="1021"/>
      <c r="CB325" s="1021"/>
      <c r="CC325" s="1021"/>
    </row>
    <row r="326" spans="8:81" x14ac:dyDescent="0.25">
      <c r="H326" s="1021"/>
      <c r="I326" s="1021"/>
      <c r="J326" s="1021"/>
      <c r="K326" s="1021"/>
      <c r="L326" s="1021"/>
      <c r="M326" s="1021"/>
      <c r="N326" s="1021"/>
      <c r="O326" s="1021"/>
      <c r="P326" s="1021"/>
      <c r="Q326" s="1021"/>
      <c r="R326" s="1021"/>
      <c r="S326" s="1021"/>
      <c r="T326" s="1021"/>
      <c r="U326" s="1021"/>
      <c r="V326" s="1021"/>
      <c r="W326" s="1021"/>
      <c r="X326" s="1021"/>
      <c r="Y326" s="1021"/>
      <c r="Z326" s="1021"/>
      <c r="AA326" s="1021"/>
      <c r="AB326" s="1021"/>
      <c r="AC326" s="1021"/>
      <c r="AD326" s="1021"/>
      <c r="AE326" s="1021"/>
      <c r="AF326" s="1021"/>
      <c r="AG326" s="1021"/>
      <c r="AH326" s="1021"/>
      <c r="AI326" s="1021"/>
      <c r="AJ326" s="1021"/>
      <c r="AK326" s="1021"/>
      <c r="AL326" s="1021"/>
      <c r="AM326" s="1021"/>
      <c r="AN326" s="1021"/>
      <c r="AO326" s="1021"/>
      <c r="AP326" s="1021"/>
      <c r="AQ326" s="1021"/>
      <c r="AR326" s="1021"/>
      <c r="AS326" s="1021"/>
      <c r="AT326" s="1021"/>
      <c r="AU326" s="1021"/>
      <c r="AV326" s="1021"/>
      <c r="AW326" s="1021"/>
      <c r="AX326" s="1021"/>
      <c r="AY326" s="1021"/>
      <c r="AZ326" s="1021"/>
      <c r="BA326" s="1021"/>
      <c r="BB326" s="1021"/>
      <c r="BC326" s="1021"/>
      <c r="BD326" s="1021"/>
      <c r="BE326" s="1021"/>
      <c r="BF326" s="1021"/>
      <c r="BG326" s="1021"/>
      <c r="BH326" s="1021"/>
      <c r="BI326" s="1021"/>
      <c r="BJ326" s="1021"/>
      <c r="BK326" s="1021"/>
      <c r="BL326" s="1021"/>
      <c r="BM326" s="1021"/>
      <c r="BN326" s="1021"/>
      <c r="BO326" s="1021"/>
      <c r="BP326" s="1021"/>
      <c r="BQ326" s="1021"/>
      <c r="BR326" s="1021"/>
      <c r="BS326" s="1021"/>
      <c r="BT326" s="1021"/>
      <c r="BU326" s="1021"/>
      <c r="BV326" s="1021"/>
      <c r="BW326" s="1021"/>
      <c r="BX326" s="1021"/>
      <c r="BY326" s="1021"/>
      <c r="BZ326" s="1021"/>
      <c r="CA326" s="1021"/>
      <c r="CB326" s="1021"/>
      <c r="CC326" s="1021"/>
    </row>
    <row r="327" spans="8:81" x14ac:dyDescent="0.25">
      <c r="H327" s="1021"/>
      <c r="I327" s="1021"/>
      <c r="J327" s="1021"/>
      <c r="K327" s="1021"/>
      <c r="L327" s="1021"/>
      <c r="M327" s="1021"/>
      <c r="N327" s="1021"/>
      <c r="O327" s="1021"/>
      <c r="P327" s="1021"/>
      <c r="Q327" s="1021"/>
      <c r="R327" s="1021"/>
      <c r="S327" s="1021"/>
      <c r="T327" s="1021"/>
      <c r="U327" s="1021"/>
      <c r="V327" s="1021"/>
      <c r="W327" s="1021"/>
      <c r="X327" s="1021"/>
      <c r="Y327" s="1021"/>
      <c r="Z327" s="1021"/>
      <c r="AA327" s="1021"/>
      <c r="AB327" s="1021"/>
      <c r="AC327" s="1021"/>
      <c r="AD327" s="1021"/>
      <c r="AE327" s="1021"/>
      <c r="AF327" s="1021"/>
      <c r="AG327" s="1021"/>
      <c r="AH327" s="1021"/>
      <c r="AI327" s="1021"/>
      <c r="AJ327" s="1021"/>
      <c r="AK327" s="1021"/>
      <c r="AL327" s="1021"/>
      <c r="AM327" s="1021"/>
      <c r="AN327" s="1021"/>
      <c r="AO327" s="1021"/>
      <c r="AP327" s="1021"/>
      <c r="AQ327" s="1021"/>
      <c r="AR327" s="1021"/>
      <c r="AS327" s="1021"/>
      <c r="AT327" s="1021"/>
      <c r="AU327" s="1021"/>
      <c r="AV327" s="1021"/>
      <c r="AW327" s="1021"/>
      <c r="AX327" s="1021"/>
      <c r="AY327" s="1021"/>
      <c r="AZ327" s="1021"/>
      <c r="BA327" s="1021"/>
      <c r="BB327" s="1021"/>
      <c r="BC327" s="1021"/>
      <c r="BD327" s="1021"/>
      <c r="BE327" s="1021"/>
      <c r="BF327" s="1021"/>
      <c r="BG327" s="1021"/>
      <c r="BH327" s="1021"/>
      <c r="BI327" s="1021"/>
      <c r="BJ327" s="1021"/>
      <c r="BK327" s="1021"/>
      <c r="BL327" s="1021"/>
      <c r="BM327" s="1021"/>
      <c r="BN327" s="1021"/>
      <c r="BO327" s="1021"/>
      <c r="BP327" s="1021"/>
      <c r="BQ327" s="1021"/>
      <c r="BR327" s="1021"/>
      <c r="BS327" s="1021"/>
      <c r="BT327" s="1021"/>
      <c r="BU327" s="1021"/>
      <c r="BV327" s="1021"/>
      <c r="BW327" s="1021"/>
      <c r="BX327" s="1021"/>
      <c r="BY327" s="1021"/>
      <c r="BZ327" s="1021"/>
      <c r="CA327" s="1021"/>
      <c r="CB327" s="1021"/>
      <c r="CC327" s="1021"/>
    </row>
    <row r="328" spans="8:81" x14ac:dyDescent="0.25">
      <c r="H328" s="1021"/>
      <c r="I328" s="1021"/>
      <c r="J328" s="1021"/>
      <c r="K328" s="1021"/>
      <c r="L328" s="1021"/>
      <c r="M328" s="1021"/>
      <c r="N328" s="1021"/>
      <c r="O328" s="1021"/>
      <c r="P328" s="1021"/>
      <c r="Q328" s="1021"/>
      <c r="R328" s="1021"/>
      <c r="S328" s="1021"/>
      <c r="T328" s="1021"/>
      <c r="U328" s="1021"/>
      <c r="V328" s="1021"/>
      <c r="W328" s="1021"/>
      <c r="X328" s="1021"/>
      <c r="Y328" s="1021"/>
      <c r="Z328" s="1021"/>
      <c r="AA328" s="1021"/>
      <c r="AB328" s="1021"/>
      <c r="AC328" s="1021"/>
      <c r="AD328" s="1021"/>
      <c r="AE328" s="1021"/>
      <c r="AF328" s="1021"/>
      <c r="AG328" s="1021"/>
      <c r="AH328" s="1021"/>
      <c r="AI328" s="1021"/>
      <c r="AJ328" s="1021"/>
      <c r="AK328" s="1021"/>
      <c r="AL328" s="1021"/>
      <c r="AM328" s="1021"/>
      <c r="AN328" s="1021"/>
      <c r="AO328" s="1021"/>
      <c r="AP328" s="1021"/>
      <c r="AQ328" s="1021"/>
      <c r="AR328" s="1021"/>
      <c r="AS328" s="1021"/>
      <c r="AT328" s="1021"/>
      <c r="AU328" s="1021"/>
      <c r="AV328" s="1021"/>
      <c r="AW328" s="1021"/>
      <c r="AX328" s="1021"/>
      <c r="AY328" s="1021"/>
      <c r="AZ328" s="1021"/>
      <c r="BA328" s="1021"/>
      <c r="BB328" s="1021"/>
      <c r="BC328" s="1021"/>
      <c r="BD328" s="1021"/>
      <c r="BE328" s="1021"/>
      <c r="BF328" s="1021"/>
      <c r="BG328" s="1021"/>
      <c r="BH328" s="1021"/>
      <c r="BI328" s="1021"/>
      <c r="BJ328" s="1021"/>
      <c r="BK328" s="1021"/>
      <c r="BL328" s="1021"/>
      <c r="BM328" s="1021"/>
      <c r="BN328" s="1021"/>
      <c r="BO328" s="1021"/>
      <c r="BP328" s="1021"/>
      <c r="BQ328" s="1021"/>
      <c r="BR328" s="1021"/>
      <c r="BS328" s="1021"/>
      <c r="BT328" s="1021"/>
      <c r="BU328" s="1021"/>
      <c r="BV328" s="1021"/>
      <c r="BW328" s="1021"/>
      <c r="BX328" s="1021"/>
      <c r="BY328" s="1021"/>
      <c r="BZ328" s="1021"/>
      <c r="CA328" s="1021"/>
      <c r="CB328" s="1021"/>
      <c r="CC328" s="1021"/>
    </row>
    <row r="329" spans="8:81" x14ac:dyDescent="0.25">
      <c r="H329" s="1021"/>
      <c r="I329" s="1021"/>
      <c r="J329" s="1021"/>
      <c r="K329" s="1021"/>
      <c r="L329" s="1021"/>
      <c r="M329" s="1021"/>
      <c r="N329" s="1021"/>
      <c r="O329" s="1021"/>
      <c r="P329" s="1021"/>
      <c r="Q329" s="1021"/>
      <c r="R329" s="1021"/>
      <c r="S329" s="1021"/>
      <c r="T329" s="1021"/>
      <c r="U329" s="1021"/>
      <c r="V329" s="1021"/>
      <c r="W329" s="1021"/>
      <c r="X329" s="1021"/>
      <c r="Y329" s="1021"/>
      <c r="Z329" s="1021"/>
      <c r="AA329" s="1021"/>
      <c r="AB329" s="1021"/>
      <c r="AC329" s="1021"/>
      <c r="AD329" s="1021"/>
      <c r="AE329" s="1021"/>
      <c r="AF329" s="1021"/>
      <c r="AG329" s="1021"/>
      <c r="AH329" s="1021"/>
      <c r="AI329" s="1021"/>
      <c r="AJ329" s="1021"/>
      <c r="AK329" s="1021"/>
      <c r="AL329" s="1021"/>
      <c r="AM329" s="1021"/>
      <c r="AN329" s="1021"/>
      <c r="AO329" s="1021"/>
      <c r="AP329" s="1021"/>
      <c r="AQ329" s="1021"/>
      <c r="AR329" s="1021"/>
      <c r="AS329" s="1021"/>
      <c r="AT329" s="1021"/>
      <c r="AU329" s="1021"/>
      <c r="AV329" s="1021"/>
      <c r="AW329" s="1021"/>
      <c r="AX329" s="1021"/>
      <c r="AY329" s="1021"/>
      <c r="AZ329" s="1021"/>
      <c r="BA329" s="1021"/>
      <c r="BB329" s="1021"/>
      <c r="BC329" s="1021"/>
      <c r="BD329" s="1021"/>
      <c r="BE329" s="1021"/>
      <c r="BF329" s="1021"/>
      <c r="BG329" s="1021"/>
      <c r="BH329" s="1021"/>
      <c r="BI329" s="1021"/>
      <c r="BJ329" s="1021"/>
      <c r="BK329" s="1021"/>
      <c r="BL329" s="1021"/>
      <c r="BM329" s="1021"/>
      <c r="BN329" s="1021"/>
      <c r="BO329" s="1021"/>
      <c r="BP329" s="1021"/>
      <c r="BQ329" s="1021"/>
      <c r="BR329" s="1021"/>
      <c r="BS329" s="1021"/>
      <c r="BT329" s="1021"/>
      <c r="BU329" s="1021"/>
      <c r="BV329" s="1021"/>
      <c r="BW329" s="1021"/>
      <c r="BX329" s="1021"/>
      <c r="BY329" s="1021"/>
      <c r="BZ329" s="1021"/>
      <c r="CA329" s="1021"/>
      <c r="CB329" s="1021"/>
      <c r="CC329" s="1021"/>
    </row>
    <row r="330" spans="8:81" x14ac:dyDescent="0.25">
      <c r="H330" s="1021"/>
      <c r="I330" s="1021"/>
      <c r="J330" s="1021"/>
      <c r="K330" s="1021"/>
      <c r="L330" s="1021"/>
      <c r="M330" s="1021"/>
      <c r="N330" s="1021"/>
      <c r="O330" s="1021"/>
      <c r="P330" s="1021"/>
      <c r="Q330" s="1021"/>
      <c r="R330" s="1021"/>
      <c r="S330" s="1021"/>
      <c r="T330" s="1021"/>
      <c r="U330" s="1021"/>
      <c r="V330" s="1021"/>
      <c r="W330" s="1021"/>
      <c r="X330" s="1021"/>
      <c r="Y330" s="1021"/>
      <c r="Z330" s="1021"/>
      <c r="AA330" s="1021"/>
      <c r="AB330" s="1021"/>
      <c r="AC330" s="1021"/>
      <c r="AD330" s="1021"/>
      <c r="AE330" s="1021"/>
      <c r="AF330" s="1021"/>
      <c r="AG330" s="1021"/>
      <c r="AH330" s="1021"/>
      <c r="AI330" s="1021"/>
      <c r="AJ330" s="1021"/>
      <c r="AK330" s="1021"/>
      <c r="AL330" s="1021"/>
      <c r="AM330" s="1021"/>
      <c r="AN330" s="1021"/>
      <c r="AO330" s="1021"/>
      <c r="AP330" s="1021"/>
      <c r="AQ330" s="1021"/>
      <c r="AR330" s="1021"/>
      <c r="AS330" s="1021"/>
      <c r="AT330" s="1021"/>
      <c r="AU330" s="1021"/>
      <c r="AV330" s="1021"/>
      <c r="AW330" s="1021"/>
      <c r="AX330" s="1021"/>
      <c r="AY330" s="1021"/>
      <c r="AZ330" s="1021"/>
      <c r="BA330" s="1021"/>
      <c r="BB330" s="1021"/>
      <c r="BC330" s="1021"/>
      <c r="BD330" s="1021"/>
      <c r="BE330" s="1021"/>
      <c r="BF330" s="1021"/>
      <c r="BG330" s="1021"/>
      <c r="BH330" s="1021"/>
      <c r="BI330" s="1021"/>
      <c r="BJ330" s="1021"/>
      <c r="BK330" s="1021"/>
      <c r="BL330" s="1021"/>
      <c r="BM330" s="1021"/>
      <c r="BN330" s="1021"/>
      <c r="BO330" s="1021"/>
      <c r="BP330" s="1021"/>
      <c r="BQ330" s="1021"/>
      <c r="BR330" s="1021"/>
      <c r="BS330" s="1021"/>
      <c r="BT330" s="1021"/>
      <c r="BU330" s="1021"/>
      <c r="BV330" s="1021"/>
      <c r="BW330" s="1021"/>
      <c r="BX330" s="1021"/>
      <c r="BY330" s="1021"/>
      <c r="BZ330" s="1021"/>
      <c r="CA330" s="1021"/>
      <c r="CB330" s="1021"/>
      <c r="CC330" s="1021"/>
    </row>
    <row r="331" spans="8:81" x14ac:dyDescent="0.25">
      <c r="H331" s="1021"/>
      <c r="I331" s="1021"/>
      <c r="J331" s="1021"/>
      <c r="K331" s="1021"/>
      <c r="L331" s="1021"/>
      <c r="M331" s="1021"/>
      <c r="N331" s="1021"/>
      <c r="O331" s="1021"/>
      <c r="P331" s="1021"/>
      <c r="Q331" s="1021"/>
      <c r="R331" s="1021"/>
      <c r="S331" s="1021"/>
      <c r="T331" s="1021"/>
      <c r="U331" s="1021"/>
      <c r="V331" s="1021"/>
      <c r="W331" s="1021"/>
      <c r="X331" s="1021"/>
      <c r="Y331" s="1021"/>
      <c r="Z331" s="1021"/>
      <c r="AA331" s="1021"/>
      <c r="AB331" s="1021"/>
      <c r="AC331" s="1021"/>
      <c r="AD331" s="1021"/>
      <c r="AE331" s="1021"/>
      <c r="AF331" s="1021"/>
      <c r="AG331" s="1021"/>
      <c r="AH331" s="1021"/>
      <c r="AI331" s="1021"/>
      <c r="AJ331" s="1021"/>
      <c r="AK331" s="1021"/>
      <c r="AL331" s="1021"/>
      <c r="AM331" s="1021"/>
      <c r="AN331" s="1021"/>
      <c r="AO331" s="1021"/>
      <c r="AP331" s="1021"/>
      <c r="AQ331" s="1021"/>
      <c r="AR331" s="1021"/>
      <c r="AS331" s="1021"/>
      <c r="AT331" s="1021"/>
      <c r="AU331" s="1021"/>
      <c r="AV331" s="1021"/>
      <c r="AW331" s="1021"/>
      <c r="AX331" s="1021"/>
      <c r="AY331" s="1021"/>
      <c r="AZ331" s="1021"/>
      <c r="BA331" s="1021"/>
      <c r="BB331" s="1021"/>
      <c r="BC331" s="1021"/>
      <c r="BD331" s="1021"/>
      <c r="BE331" s="1021"/>
      <c r="BF331" s="1021"/>
      <c r="BG331" s="1021"/>
      <c r="BH331" s="1021"/>
      <c r="BI331" s="1021"/>
      <c r="BJ331" s="1021"/>
      <c r="BK331" s="1021"/>
      <c r="BL331" s="1021"/>
      <c r="BM331" s="1021"/>
      <c r="BN331" s="1021"/>
      <c r="BO331" s="1021"/>
      <c r="BP331" s="1021"/>
      <c r="BQ331" s="1021"/>
      <c r="BR331" s="1021"/>
      <c r="BS331" s="1021"/>
      <c r="BT331" s="1021"/>
      <c r="BU331" s="1021"/>
      <c r="BV331" s="1021"/>
      <c r="BW331" s="1021"/>
      <c r="BX331" s="1021"/>
      <c r="BY331" s="1021"/>
      <c r="BZ331" s="1021"/>
      <c r="CA331" s="1021"/>
      <c r="CB331" s="1021"/>
      <c r="CC331" s="1021"/>
    </row>
    <row r="332" spans="8:81" x14ac:dyDescent="0.25">
      <c r="H332" s="1021"/>
      <c r="I332" s="1021"/>
      <c r="J332" s="1021"/>
      <c r="K332" s="1021"/>
      <c r="L332" s="1021"/>
      <c r="M332" s="1021"/>
      <c r="N332" s="1021"/>
      <c r="O332" s="1021"/>
      <c r="P332" s="1021"/>
      <c r="Q332" s="1021"/>
      <c r="R332" s="1021"/>
      <c r="S332" s="1021"/>
      <c r="T332" s="1021"/>
      <c r="U332" s="1021"/>
      <c r="V332" s="1021"/>
      <c r="W332" s="1021"/>
      <c r="X332" s="1021"/>
      <c r="Y332" s="1021"/>
      <c r="Z332" s="1021"/>
      <c r="AA332" s="1021"/>
      <c r="AB332" s="1021"/>
      <c r="AC332" s="1021"/>
      <c r="AD332" s="1021"/>
      <c r="AE332" s="1021"/>
      <c r="AF332" s="1021"/>
      <c r="AG332" s="1021"/>
      <c r="AH332" s="1021"/>
      <c r="AI332" s="1021"/>
      <c r="AJ332" s="1021"/>
      <c r="AK332" s="1021"/>
      <c r="AL332" s="1021"/>
      <c r="AM332" s="1021"/>
      <c r="AN332" s="1021"/>
      <c r="AO332" s="1021"/>
      <c r="AP332" s="1021"/>
      <c r="AQ332" s="1021"/>
      <c r="AR332" s="1021"/>
      <c r="AS332" s="1021"/>
      <c r="AT332" s="1021"/>
      <c r="AU332" s="1021"/>
      <c r="AV332" s="1021"/>
      <c r="AW332" s="1021"/>
      <c r="AX332" s="1021"/>
      <c r="AY332" s="1021"/>
      <c r="AZ332" s="1021"/>
      <c r="BA332" s="1021"/>
      <c r="BB332" s="1021"/>
      <c r="BC332" s="1021"/>
      <c r="BD332" s="1021"/>
      <c r="BE332" s="1021"/>
      <c r="BF332" s="1021"/>
      <c r="BG332" s="1021"/>
      <c r="BH332" s="1021"/>
      <c r="BI332" s="1021"/>
      <c r="BJ332" s="1021"/>
      <c r="BK332" s="1021"/>
      <c r="BL332" s="1021"/>
      <c r="BM332" s="1021"/>
      <c r="BN332" s="1021"/>
      <c r="BO332" s="1021"/>
      <c r="BP332" s="1021"/>
      <c r="BQ332" s="1021"/>
      <c r="BR332" s="1021"/>
      <c r="BS332" s="1021"/>
      <c r="BT332" s="1021"/>
      <c r="BU332" s="1021"/>
      <c r="BV332" s="1021"/>
      <c r="BW332" s="1021"/>
      <c r="BX332" s="1021"/>
      <c r="BY332" s="1021"/>
      <c r="BZ332" s="1021"/>
      <c r="CA332" s="1021"/>
      <c r="CB332" s="1021"/>
      <c r="CC332" s="1021"/>
    </row>
    <row r="333" spans="8:81" x14ac:dyDescent="0.25">
      <c r="H333" s="1021"/>
      <c r="I333" s="1021"/>
      <c r="J333" s="1021"/>
      <c r="K333" s="1021"/>
      <c r="L333" s="1021"/>
      <c r="M333" s="1021"/>
      <c r="N333" s="1021"/>
      <c r="O333" s="1021"/>
      <c r="P333" s="1021"/>
      <c r="Q333" s="1021"/>
      <c r="R333" s="1021"/>
      <c r="S333" s="1021"/>
      <c r="T333" s="1021"/>
      <c r="U333" s="1021"/>
      <c r="V333" s="1021"/>
      <c r="W333" s="1021"/>
      <c r="X333" s="1021"/>
      <c r="Y333" s="1021"/>
      <c r="Z333" s="1021"/>
      <c r="AA333" s="1021"/>
      <c r="AB333" s="1021"/>
      <c r="AC333" s="1021"/>
      <c r="AD333" s="1021"/>
      <c r="AE333" s="1021"/>
      <c r="AF333" s="1021"/>
      <c r="AG333" s="1021"/>
      <c r="AH333" s="1021"/>
      <c r="AI333" s="1021"/>
      <c r="AJ333" s="1021"/>
      <c r="AK333" s="1021"/>
      <c r="AL333" s="1021"/>
      <c r="AM333" s="1021"/>
      <c r="AN333" s="1021"/>
      <c r="AO333" s="1021"/>
      <c r="AP333" s="1021"/>
      <c r="AQ333" s="1021"/>
      <c r="AR333" s="1021"/>
      <c r="AS333" s="1021"/>
      <c r="AT333" s="1021"/>
      <c r="AU333" s="1021"/>
      <c r="AV333" s="1021"/>
      <c r="AW333" s="1021"/>
      <c r="AX333" s="1021"/>
      <c r="AY333" s="1021"/>
      <c r="AZ333" s="1021"/>
      <c r="BA333" s="1021"/>
      <c r="BB333" s="1021"/>
      <c r="BC333" s="1021"/>
      <c r="BD333" s="1021"/>
      <c r="BE333" s="1021"/>
      <c r="BF333" s="1021"/>
      <c r="BG333" s="1021"/>
      <c r="BH333" s="1021"/>
      <c r="BI333" s="1021"/>
      <c r="BJ333" s="1021"/>
      <c r="BK333" s="1021"/>
      <c r="BL333" s="1021"/>
      <c r="BM333" s="1021"/>
      <c r="BN333" s="1021"/>
      <c r="BO333" s="1021"/>
      <c r="BP333" s="1021"/>
      <c r="BQ333" s="1021"/>
      <c r="BR333" s="1021"/>
      <c r="BS333" s="1021"/>
      <c r="BT333" s="1021"/>
      <c r="BU333" s="1021"/>
      <c r="BV333" s="1021"/>
      <c r="BW333" s="1021"/>
      <c r="BX333" s="1021"/>
      <c r="BY333" s="1021"/>
      <c r="BZ333" s="1021"/>
      <c r="CA333" s="1021"/>
      <c r="CB333" s="1021"/>
      <c r="CC333" s="1021"/>
    </row>
    <row r="334" spans="8:81" x14ac:dyDescent="0.25">
      <c r="H334" s="1021"/>
      <c r="I334" s="1021"/>
      <c r="J334" s="1021"/>
      <c r="K334" s="1021"/>
      <c r="L334" s="1021"/>
      <c r="M334" s="1021"/>
      <c r="N334" s="1021"/>
      <c r="O334" s="1021"/>
      <c r="P334" s="1021"/>
      <c r="Q334" s="1021"/>
      <c r="R334" s="1021"/>
      <c r="S334" s="1021"/>
      <c r="T334" s="1021"/>
      <c r="U334" s="1021"/>
      <c r="V334" s="1021"/>
      <c r="W334" s="1021"/>
      <c r="X334" s="1021"/>
      <c r="Y334" s="1021"/>
      <c r="Z334" s="1021"/>
      <c r="AA334" s="1021"/>
      <c r="AB334" s="1021"/>
      <c r="AC334" s="1021"/>
      <c r="AD334" s="1021"/>
      <c r="AE334" s="1021"/>
      <c r="AF334" s="1021"/>
      <c r="AG334" s="1021"/>
      <c r="AH334" s="1021"/>
      <c r="AI334" s="1021"/>
      <c r="AJ334" s="1021"/>
      <c r="AK334" s="1021"/>
      <c r="AL334" s="1021"/>
      <c r="AM334" s="1021"/>
      <c r="AN334" s="1021"/>
      <c r="AO334" s="1021"/>
      <c r="AP334" s="1021"/>
      <c r="AQ334" s="1021"/>
      <c r="AR334" s="1021"/>
      <c r="AS334" s="1021"/>
      <c r="AT334" s="1021"/>
      <c r="AU334" s="1021"/>
      <c r="AV334" s="1021"/>
      <c r="AW334" s="1021"/>
      <c r="AX334" s="1021"/>
      <c r="AY334" s="1021"/>
      <c r="AZ334" s="1021"/>
      <c r="BA334" s="1021"/>
      <c r="BB334" s="1021"/>
      <c r="BC334" s="1021"/>
      <c r="BD334" s="1021"/>
      <c r="BE334" s="1021"/>
      <c r="BF334" s="1021"/>
      <c r="BG334" s="1021"/>
      <c r="BH334" s="1021"/>
      <c r="BI334" s="1021"/>
      <c r="BJ334" s="1021"/>
      <c r="BK334" s="1021"/>
      <c r="BL334" s="1021"/>
      <c r="BM334" s="1021"/>
      <c r="BN334" s="1021"/>
      <c r="BO334" s="1021"/>
      <c r="BP334" s="1021"/>
      <c r="BQ334" s="1021"/>
      <c r="BR334" s="1021"/>
      <c r="BS334" s="1021"/>
      <c r="BT334" s="1021"/>
      <c r="BU334" s="1021"/>
      <c r="BV334" s="1021"/>
      <c r="BW334" s="1021"/>
      <c r="BX334" s="1021"/>
      <c r="BY334" s="1021"/>
      <c r="BZ334" s="1021"/>
      <c r="CA334" s="1021"/>
      <c r="CB334" s="1021"/>
      <c r="CC334" s="1021"/>
    </row>
    <row r="335" spans="8:81" x14ac:dyDescent="0.25">
      <c r="H335" s="1021"/>
      <c r="I335" s="1021"/>
      <c r="J335" s="1021"/>
      <c r="K335" s="1021"/>
      <c r="L335" s="1021"/>
      <c r="M335" s="1021"/>
      <c r="N335" s="1021"/>
      <c r="O335" s="1021"/>
      <c r="P335" s="1021"/>
      <c r="Q335" s="1021"/>
      <c r="R335" s="1021"/>
      <c r="S335" s="1021"/>
      <c r="T335" s="1021"/>
      <c r="U335" s="1021"/>
      <c r="V335" s="1021"/>
      <c r="W335" s="1021"/>
      <c r="X335" s="1021"/>
      <c r="Y335" s="1021"/>
      <c r="Z335" s="1021"/>
      <c r="AA335" s="1021"/>
      <c r="AB335" s="1021"/>
      <c r="AC335" s="1021"/>
      <c r="AD335" s="1021"/>
      <c r="AE335" s="1021"/>
      <c r="AF335" s="1021"/>
      <c r="AG335" s="1021"/>
      <c r="AH335" s="1021"/>
      <c r="AI335" s="1021"/>
      <c r="AJ335" s="1021"/>
      <c r="AK335" s="1021"/>
      <c r="AL335" s="1021"/>
      <c r="AM335" s="1021"/>
      <c r="AN335" s="1021"/>
      <c r="AO335" s="1021"/>
      <c r="AP335" s="1021"/>
      <c r="AQ335" s="1021"/>
      <c r="AR335" s="1021"/>
      <c r="AS335" s="1021"/>
      <c r="AT335" s="1021"/>
      <c r="AU335" s="1021"/>
      <c r="AV335" s="1021"/>
      <c r="AW335" s="1021"/>
      <c r="AX335" s="1021"/>
      <c r="AY335" s="1021"/>
      <c r="AZ335" s="1021"/>
      <c r="BA335" s="1021"/>
      <c r="BB335" s="1021"/>
      <c r="BC335" s="1021"/>
      <c r="BD335" s="1021"/>
      <c r="BE335" s="1021"/>
      <c r="BF335" s="1021"/>
      <c r="BG335" s="1021"/>
      <c r="BH335" s="1021"/>
      <c r="BI335" s="1021"/>
      <c r="BJ335" s="1021"/>
      <c r="BK335" s="1021"/>
      <c r="BL335" s="1021"/>
      <c r="BM335" s="1021"/>
      <c r="BN335" s="1021"/>
      <c r="BO335" s="1021"/>
      <c r="BP335" s="1021"/>
      <c r="BQ335" s="1021"/>
      <c r="BR335" s="1021"/>
      <c r="BS335" s="1021"/>
      <c r="BT335" s="1021"/>
      <c r="BU335" s="1021"/>
      <c r="BV335" s="1021"/>
      <c r="BW335" s="1021"/>
      <c r="BX335" s="1021"/>
      <c r="BY335" s="1021"/>
      <c r="BZ335" s="1021"/>
      <c r="CA335" s="1021"/>
      <c r="CB335" s="1021"/>
      <c r="CC335" s="1021"/>
    </row>
    <row r="336" spans="8:81" x14ac:dyDescent="0.25">
      <c r="H336" s="1021"/>
      <c r="I336" s="1021"/>
      <c r="J336" s="1021"/>
      <c r="K336" s="1021"/>
      <c r="L336" s="1021"/>
      <c r="M336" s="1021"/>
      <c r="N336" s="1021"/>
      <c r="O336" s="1021"/>
      <c r="P336" s="1021"/>
      <c r="Q336" s="1021"/>
      <c r="R336" s="1021"/>
      <c r="S336" s="1021"/>
      <c r="T336" s="1021"/>
      <c r="U336" s="1021"/>
      <c r="V336" s="1021"/>
      <c r="W336" s="1021"/>
      <c r="X336" s="1021"/>
      <c r="Y336" s="1021"/>
      <c r="Z336" s="1021"/>
      <c r="AA336" s="1021"/>
      <c r="AB336" s="1021"/>
      <c r="AC336" s="1021"/>
      <c r="AD336" s="1021"/>
      <c r="AE336" s="1021"/>
      <c r="AF336" s="1021"/>
      <c r="AG336" s="1021"/>
      <c r="AH336" s="1021"/>
      <c r="AI336" s="1021"/>
      <c r="AJ336" s="1021"/>
      <c r="AK336" s="1021"/>
      <c r="AL336" s="1021"/>
      <c r="AM336" s="1021"/>
      <c r="AN336" s="1021"/>
      <c r="AO336" s="1021"/>
      <c r="AP336" s="1021"/>
      <c r="AQ336" s="1021"/>
      <c r="AR336" s="1021"/>
      <c r="AS336" s="1021"/>
      <c r="AT336" s="1021"/>
      <c r="AU336" s="1021"/>
      <c r="AV336" s="1021"/>
      <c r="AW336" s="1021"/>
      <c r="AX336" s="1021"/>
      <c r="AY336" s="1021"/>
      <c r="AZ336" s="1021"/>
      <c r="BA336" s="1021"/>
      <c r="BB336" s="1021"/>
      <c r="BC336" s="1021"/>
      <c r="BD336" s="1021"/>
      <c r="BE336" s="1021"/>
      <c r="BF336" s="1021"/>
      <c r="BG336" s="1021"/>
      <c r="BH336" s="1021"/>
      <c r="BI336" s="1021"/>
      <c r="BJ336" s="1021"/>
      <c r="BK336" s="1021"/>
      <c r="BL336" s="1021"/>
      <c r="BM336" s="1021"/>
      <c r="BN336" s="1021"/>
      <c r="BO336" s="1021"/>
      <c r="BP336" s="1021"/>
      <c r="BQ336" s="1021"/>
      <c r="BR336" s="1021"/>
      <c r="BS336" s="1021"/>
      <c r="BT336" s="1021"/>
      <c r="BU336" s="1021"/>
      <c r="BV336" s="1021"/>
      <c r="BW336" s="1021"/>
      <c r="BX336" s="1021"/>
      <c r="BY336" s="1021"/>
      <c r="BZ336" s="1021"/>
      <c r="CA336" s="1021"/>
      <c r="CB336" s="1021"/>
      <c r="CC336" s="1021"/>
    </row>
    <row r="337" spans="8:81" x14ac:dyDescent="0.25">
      <c r="H337" s="1021"/>
      <c r="I337" s="1021"/>
      <c r="J337" s="1021"/>
      <c r="K337" s="1021"/>
      <c r="L337" s="1021"/>
      <c r="M337" s="1021"/>
      <c r="N337" s="1021"/>
      <c r="O337" s="1021"/>
      <c r="P337" s="1021"/>
      <c r="Q337" s="1021"/>
      <c r="R337" s="1021"/>
      <c r="S337" s="1021"/>
      <c r="T337" s="1021"/>
      <c r="U337" s="1021"/>
      <c r="V337" s="1021"/>
      <c r="W337" s="1021"/>
      <c r="X337" s="1021"/>
      <c r="Y337" s="1021"/>
      <c r="Z337" s="1021"/>
      <c r="AA337" s="1021"/>
      <c r="AB337" s="1021"/>
      <c r="AC337" s="1021"/>
      <c r="AD337" s="1021"/>
      <c r="AE337" s="1021"/>
      <c r="AF337" s="1021"/>
      <c r="AG337" s="1021"/>
      <c r="AH337" s="1021"/>
      <c r="AI337" s="1021"/>
      <c r="AJ337" s="1021"/>
      <c r="AK337" s="1021"/>
      <c r="AL337" s="1021"/>
      <c r="AM337" s="1021"/>
      <c r="AN337" s="1021"/>
      <c r="AO337" s="1021"/>
      <c r="AP337" s="1021"/>
      <c r="AQ337" s="1021"/>
      <c r="AR337" s="1021"/>
      <c r="AS337" s="1021"/>
      <c r="AT337" s="1021"/>
      <c r="AU337" s="1021"/>
      <c r="AV337" s="1021"/>
      <c r="AW337" s="1021"/>
      <c r="AX337" s="1021"/>
      <c r="AY337" s="1021"/>
      <c r="AZ337" s="1021"/>
      <c r="BA337" s="1021"/>
      <c r="BB337" s="1021"/>
      <c r="BC337" s="1021"/>
      <c r="BD337" s="1021"/>
      <c r="BE337" s="1021"/>
      <c r="BF337" s="1021"/>
      <c r="BG337" s="1021"/>
      <c r="BH337" s="1021"/>
      <c r="BI337" s="1021"/>
      <c r="BJ337" s="1021"/>
      <c r="BK337" s="1021"/>
      <c r="BL337" s="1021"/>
      <c r="BM337" s="1021"/>
      <c r="BN337" s="1021"/>
      <c r="BO337" s="1021"/>
      <c r="BP337" s="1021"/>
      <c r="BQ337" s="1021"/>
      <c r="BR337" s="1021"/>
      <c r="BS337" s="1021"/>
      <c r="BT337" s="1021"/>
      <c r="BU337" s="1021"/>
      <c r="BV337" s="1021"/>
      <c r="BW337" s="1021"/>
      <c r="BX337" s="1021"/>
      <c r="BY337" s="1021"/>
      <c r="BZ337" s="1021"/>
      <c r="CA337" s="1021"/>
      <c r="CB337" s="1021"/>
      <c r="CC337" s="1021"/>
    </row>
    <row r="338" spans="8:81" x14ac:dyDescent="0.25">
      <c r="H338" s="1021"/>
      <c r="I338" s="1021"/>
      <c r="J338" s="1021"/>
      <c r="K338" s="1021"/>
      <c r="L338" s="1021"/>
      <c r="M338" s="1021"/>
      <c r="N338" s="1021"/>
      <c r="O338" s="1021"/>
      <c r="P338" s="1021"/>
      <c r="Q338" s="1021"/>
      <c r="R338" s="1021"/>
      <c r="S338" s="1021"/>
      <c r="T338" s="1021"/>
      <c r="U338" s="1021"/>
      <c r="V338" s="1021"/>
      <c r="W338" s="1021"/>
      <c r="X338" s="1021"/>
      <c r="Y338" s="1021"/>
      <c r="Z338" s="1021"/>
      <c r="AA338" s="1021"/>
      <c r="AB338" s="1021"/>
      <c r="AC338" s="1021"/>
      <c r="AD338" s="1021"/>
      <c r="AE338" s="1021"/>
      <c r="AF338" s="1021"/>
      <c r="AG338" s="1021"/>
      <c r="AH338" s="1021"/>
      <c r="AI338" s="1021"/>
      <c r="AJ338" s="1021"/>
      <c r="AK338" s="1021"/>
      <c r="AL338" s="1021"/>
      <c r="AM338" s="1021"/>
      <c r="AN338" s="1021"/>
      <c r="AO338" s="1021"/>
      <c r="AP338" s="1021"/>
      <c r="AQ338" s="1021"/>
      <c r="AR338" s="1021"/>
      <c r="AS338" s="1021"/>
      <c r="AT338" s="1021"/>
      <c r="AU338" s="1021"/>
      <c r="AV338" s="1021"/>
      <c r="AW338" s="1021"/>
      <c r="AX338" s="1021"/>
      <c r="AY338" s="1021"/>
      <c r="AZ338" s="1021"/>
      <c r="BA338" s="1021"/>
      <c r="BB338" s="1021"/>
      <c r="BC338" s="1021"/>
      <c r="BD338" s="1021"/>
      <c r="BE338" s="1021"/>
      <c r="BF338" s="1021"/>
      <c r="BG338" s="1021"/>
      <c r="BH338" s="1021"/>
      <c r="BI338" s="1021"/>
      <c r="BJ338" s="1021"/>
      <c r="BK338" s="1021"/>
      <c r="BL338" s="1021"/>
      <c r="BM338" s="1021"/>
      <c r="BN338" s="1021"/>
      <c r="BO338" s="1021"/>
      <c r="BP338" s="1021"/>
      <c r="BQ338" s="1021"/>
      <c r="BR338" s="1021"/>
      <c r="BS338" s="1021"/>
      <c r="BT338" s="1021"/>
      <c r="BU338" s="1021"/>
      <c r="BV338" s="1021"/>
      <c r="BW338" s="1021"/>
      <c r="BX338" s="1021"/>
      <c r="BY338" s="1021"/>
      <c r="BZ338" s="1021"/>
      <c r="CA338" s="1021"/>
      <c r="CB338" s="1021"/>
      <c r="CC338" s="1021"/>
    </row>
    <row r="339" spans="8:81" x14ac:dyDescent="0.25">
      <c r="H339" s="1021"/>
      <c r="I339" s="1021"/>
      <c r="J339" s="1021"/>
      <c r="K339" s="1021"/>
      <c r="L339" s="1021"/>
      <c r="M339" s="1021"/>
      <c r="N339" s="1021"/>
      <c r="O339" s="1021"/>
      <c r="P339" s="1021"/>
      <c r="Q339" s="1021"/>
      <c r="R339" s="1021"/>
      <c r="S339" s="1021"/>
      <c r="T339" s="1021"/>
      <c r="U339" s="1021"/>
      <c r="V339" s="1021"/>
      <c r="W339" s="1021"/>
      <c r="X339" s="1021"/>
      <c r="Y339" s="1021"/>
      <c r="Z339" s="1021"/>
      <c r="AA339" s="1021"/>
      <c r="AB339" s="1021"/>
      <c r="AC339" s="1021"/>
      <c r="AD339" s="1021"/>
      <c r="AE339" s="1021"/>
      <c r="AF339" s="1021"/>
      <c r="AG339" s="1021"/>
      <c r="AH339" s="1021"/>
      <c r="AI339" s="1021"/>
      <c r="AJ339" s="1021"/>
      <c r="AK339" s="1021"/>
      <c r="AL339" s="1021"/>
      <c r="AM339" s="1021"/>
      <c r="AN339" s="1021"/>
      <c r="AO339" s="1021"/>
      <c r="AP339" s="1021"/>
      <c r="AQ339" s="1021"/>
      <c r="AR339" s="1021"/>
      <c r="AS339" s="1021"/>
      <c r="AT339" s="1021"/>
      <c r="AU339" s="1021"/>
      <c r="AV339" s="1021"/>
      <c r="AW339" s="1021"/>
      <c r="AX339" s="1021"/>
      <c r="AY339" s="1021"/>
      <c r="AZ339" s="1021"/>
      <c r="BA339" s="1021"/>
      <c r="BB339" s="1021"/>
      <c r="BC339" s="1021"/>
      <c r="BD339" s="1021"/>
      <c r="BE339" s="1021"/>
      <c r="BF339" s="1021"/>
      <c r="BG339" s="1021"/>
      <c r="BH339" s="1021"/>
      <c r="BI339" s="1021"/>
      <c r="BJ339" s="1021"/>
      <c r="BK339" s="1021"/>
      <c r="BL339" s="1021"/>
      <c r="BM339" s="1021"/>
      <c r="BN339" s="1021"/>
      <c r="BO339" s="1021"/>
      <c r="BP339" s="1021"/>
      <c r="BQ339" s="1021"/>
      <c r="BR339" s="1021"/>
      <c r="BS339" s="1021"/>
      <c r="BT339" s="1021"/>
      <c r="BU339" s="1021"/>
      <c r="BV339" s="1021"/>
      <c r="BW339" s="1021"/>
      <c r="BX339" s="1021"/>
      <c r="BY339" s="1021"/>
      <c r="BZ339" s="1021"/>
      <c r="CA339" s="1021"/>
      <c r="CB339" s="1021"/>
      <c r="CC339" s="1021"/>
    </row>
    <row r="340" spans="8:81" x14ac:dyDescent="0.25">
      <c r="H340" s="1021"/>
      <c r="I340" s="1021"/>
      <c r="J340" s="1021"/>
      <c r="K340" s="1021"/>
      <c r="L340" s="1021"/>
      <c r="M340" s="1021"/>
      <c r="N340" s="1021"/>
      <c r="O340" s="1021"/>
      <c r="P340" s="1021"/>
      <c r="Q340" s="1021"/>
      <c r="R340" s="1021"/>
      <c r="S340" s="1021"/>
      <c r="T340" s="1021"/>
      <c r="U340" s="1021"/>
      <c r="V340" s="1021"/>
      <c r="W340" s="1021"/>
      <c r="X340" s="1021"/>
      <c r="Y340" s="1021"/>
      <c r="Z340" s="1021"/>
      <c r="AA340" s="1021"/>
      <c r="AB340" s="1021"/>
      <c r="AC340" s="1021"/>
      <c r="AD340" s="1021"/>
      <c r="AE340" s="1021"/>
      <c r="AF340" s="1021"/>
      <c r="AG340" s="1021"/>
      <c r="AH340" s="1021"/>
      <c r="AI340" s="1021"/>
      <c r="AJ340" s="1021"/>
      <c r="AK340" s="1021"/>
      <c r="AL340" s="1021"/>
      <c r="AM340" s="1021"/>
      <c r="AN340" s="1021"/>
      <c r="AO340" s="1021"/>
      <c r="AP340" s="1021"/>
      <c r="AQ340" s="1021"/>
      <c r="AR340" s="1021"/>
      <c r="AS340" s="1021"/>
      <c r="AT340" s="1021"/>
      <c r="AU340" s="1021"/>
      <c r="AV340" s="1021"/>
      <c r="AW340" s="1021"/>
      <c r="AX340" s="1021"/>
      <c r="AY340" s="1021"/>
      <c r="AZ340" s="1021"/>
      <c r="BA340" s="1021"/>
      <c r="BB340" s="1021"/>
      <c r="BC340" s="1021"/>
      <c r="BD340" s="1021"/>
      <c r="BE340" s="1021"/>
      <c r="BF340" s="1021"/>
      <c r="BG340" s="1021"/>
      <c r="BH340" s="1021"/>
      <c r="BI340" s="1021"/>
      <c r="BJ340" s="1021"/>
      <c r="BK340" s="1021"/>
      <c r="BL340" s="1021"/>
      <c r="BM340" s="1021"/>
      <c r="BN340" s="1021"/>
      <c r="BO340" s="1021"/>
      <c r="BP340" s="1021"/>
      <c r="BQ340" s="1021"/>
      <c r="BR340" s="1021"/>
      <c r="BS340" s="1021"/>
      <c r="BT340" s="1021"/>
      <c r="BU340" s="1021"/>
      <c r="BV340" s="1021"/>
      <c r="BW340" s="1021"/>
      <c r="BX340" s="1021"/>
      <c r="BY340" s="1021"/>
      <c r="BZ340" s="1021"/>
      <c r="CA340" s="1021"/>
      <c r="CB340" s="1021"/>
      <c r="CC340" s="1021"/>
    </row>
    <row r="341" spans="8:81" x14ac:dyDescent="0.25">
      <c r="H341" s="1021"/>
      <c r="I341" s="1021"/>
      <c r="J341" s="1021"/>
      <c r="K341" s="1021"/>
      <c r="L341" s="1021"/>
      <c r="M341" s="1021"/>
      <c r="N341" s="1021"/>
      <c r="O341" s="1021"/>
      <c r="P341" s="1021"/>
      <c r="Q341" s="1021"/>
      <c r="R341" s="1021"/>
      <c r="S341" s="1021"/>
      <c r="T341" s="1021"/>
      <c r="U341" s="1021"/>
      <c r="V341" s="1021"/>
      <c r="W341" s="1021"/>
      <c r="X341" s="1021"/>
      <c r="Y341" s="1021"/>
      <c r="Z341" s="1021"/>
      <c r="AA341" s="1021"/>
      <c r="AB341" s="1021"/>
      <c r="AC341" s="1021"/>
      <c r="AD341" s="1021"/>
      <c r="AE341" s="1021"/>
      <c r="AF341" s="1021"/>
      <c r="AG341" s="1021"/>
      <c r="AH341" s="1021"/>
      <c r="AI341" s="1021"/>
      <c r="AJ341" s="1021"/>
      <c r="AK341" s="1021"/>
      <c r="AL341" s="1021"/>
      <c r="AM341" s="1021"/>
      <c r="AN341" s="1021"/>
      <c r="AO341" s="1021"/>
      <c r="AP341" s="1021"/>
      <c r="AQ341" s="1021"/>
      <c r="AR341" s="1021"/>
      <c r="AS341" s="1021"/>
      <c r="AT341" s="1021"/>
      <c r="AU341" s="1021"/>
      <c r="AV341" s="1021"/>
      <c r="AW341" s="1021"/>
      <c r="AX341" s="1021"/>
      <c r="AY341" s="1021"/>
      <c r="AZ341" s="1021"/>
      <c r="BA341" s="1021"/>
      <c r="BB341" s="1021"/>
      <c r="BC341" s="1021"/>
      <c r="BD341" s="1021"/>
      <c r="BE341" s="1021"/>
      <c r="BF341" s="1021"/>
      <c r="BG341" s="1021"/>
      <c r="BH341" s="1021"/>
      <c r="BI341" s="1021"/>
      <c r="BJ341" s="1021"/>
      <c r="BK341" s="1021"/>
      <c r="BL341" s="1021"/>
      <c r="BM341" s="1021"/>
      <c r="BN341" s="1021"/>
      <c r="BO341" s="1021"/>
      <c r="BP341" s="1021"/>
      <c r="BQ341" s="1021"/>
      <c r="BR341" s="1021"/>
      <c r="BS341" s="1021"/>
      <c r="BT341" s="1021"/>
      <c r="BU341" s="1021"/>
      <c r="BV341" s="1021"/>
      <c r="BW341" s="1021"/>
      <c r="BX341" s="1021"/>
      <c r="BY341" s="1021"/>
      <c r="BZ341" s="1021"/>
      <c r="CA341" s="1021"/>
      <c r="CB341" s="1021"/>
      <c r="CC341" s="1021"/>
    </row>
    <row r="342" spans="8:81" x14ac:dyDescent="0.25">
      <c r="H342" s="1021"/>
      <c r="I342" s="1021"/>
      <c r="J342" s="1021"/>
      <c r="K342" s="1021"/>
      <c r="L342" s="1021"/>
      <c r="M342" s="1021"/>
      <c r="N342" s="1021"/>
      <c r="O342" s="1021"/>
      <c r="P342" s="1021"/>
      <c r="Q342" s="1021"/>
      <c r="R342" s="1021"/>
      <c r="S342" s="1021"/>
      <c r="T342" s="1021"/>
      <c r="U342" s="1021"/>
      <c r="V342" s="1021"/>
      <c r="W342" s="1021"/>
      <c r="X342" s="1021"/>
      <c r="Y342" s="1021"/>
      <c r="Z342" s="1021"/>
      <c r="AA342" s="1021"/>
      <c r="AB342" s="1021"/>
      <c r="AC342" s="1021"/>
      <c r="AD342" s="1021"/>
      <c r="AE342" s="1021"/>
      <c r="AF342" s="1021"/>
      <c r="AG342" s="1021"/>
      <c r="AH342" s="1021"/>
      <c r="AI342" s="1021"/>
      <c r="AJ342" s="1021"/>
      <c r="AK342" s="1021"/>
      <c r="AL342" s="1021"/>
      <c r="AM342" s="1021"/>
      <c r="AN342" s="1021"/>
      <c r="AO342" s="1021"/>
      <c r="AP342" s="1021"/>
      <c r="AQ342" s="1021"/>
      <c r="AR342" s="1021"/>
      <c r="AS342" s="1021"/>
      <c r="AT342" s="1021"/>
      <c r="AU342" s="1021"/>
      <c r="AV342" s="1021"/>
      <c r="AW342" s="1021"/>
      <c r="AX342" s="1021"/>
      <c r="AY342" s="1021"/>
      <c r="AZ342" s="1021"/>
      <c r="BA342" s="1021"/>
      <c r="BB342" s="1021"/>
      <c r="BC342" s="1021"/>
      <c r="BD342" s="1021"/>
      <c r="BE342" s="1021"/>
      <c r="BF342" s="1021"/>
      <c r="BG342" s="1021"/>
      <c r="BH342" s="1021"/>
      <c r="BI342" s="1021"/>
      <c r="BJ342" s="1021"/>
      <c r="BK342" s="1021"/>
      <c r="BL342" s="1021"/>
      <c r="BM342" s="1021"/>
      <c r="BN342" s="1021"/>
      <c r="BO342" s="1021"/>
      <c r="BP342" s="1021"/>
      <c r="BQ342" s="1021"/>
      <c r="BR342" s="1021"/>
      <c r="BS342" s="1021"/>
      <c r="BT342" s="1021"/>
      <c r="BU342" s="1021"/>
      <c r="BV342" s="1021"/>
      <c r="BW342" s="1021"/>
      <c r="BX342" s="1021"/>
      <c r="BY342" s="1021"/>
      <c r="BZ342" s="1021"/>
      <c r="CA342" s="1021"/>
      <c r="CB342" s="1021"/>
      <c r="CC342" s="1021"/>
    </row>
    <row r="343" spans="8:81" x14ac:dyDescent="0.25">
      <c r="H343" s="1021"/>
      <c r="I343" s="1021"/>
      <c r="J343" s="1021"/>
      <c r="K343" s="1021"/>
      <c r="L343" s="1021"/>
      <c r="M343" s="1021"/>
      <c r="N343" s="1021"/>
      <c r="O343" s="1021"/>
      <c r="P343" s="1021"/>
      <c r="Q343" s="1021"/>
      <c r="R343" s="1021"/>
      <c r="S343" s="1021"/>
      <c r="T343" s="1021"/>
      <c r="U343" s="1021"/>
      <c r="V343" s="1021"/>
      <c r="W343" s="1021"/>
      <c r="X343" s="1021"/>
      <c r="Y343" s="1021"/>
      <c r="Z343" s="1021"/>
      <c r="AA343" s="1021"/>
      <c r="AB343" s="1021"/>
      <c r="AC343" s="1021"/>
      <c r="AD343" s="1021"/>
      <c r="AE343" s="1021"/>
      <c r="AF343" s="1021"/>
      <c r="AG343" s="1021"/>
      <c r="AH343" s="1021"/>
      <c r="AI343" s="1021"/>
      <c r="AJ343" s="1021"/>
      <c r="AK343" s="1021"/>
      <c r="AL343" s="1021"/>
      <c r="AM343" s="1021"/>
      <c r="AN343" s="1021"/>
      <c r="AO343" s="1021"/>
      <c r="AP343" s="1021"/>
      <c r="AQ343" s="1021"/>
      <c r="AR343" s="1021"/>
      <c r="AS343" s="1021"/>
      <c r="AT343" s="1021"/>
      <c r="AU343" s="1021"/>
      <c r="AV343" s="1021"/>
      <c r="AW343" s="1021"/>
      <c r="AX343" s="1021"/>
      <c r="AY343" s="1021"/>
      <c r="AZ343" s="1021"/>
      <c r="BA343" s="1021"/>
      <c r="BB343" s="1021"/>
      <c r="BC343" s="1021"/>
      <c r="BD343" s="1021"/>
      <c r="BE343" s="1021"/>
      <c r="BF343" s="1021"/>
      <c r="BG343" s="1021"/>
      <c r="BH343" s="1021"/>
      <c r="BI343" s="1021"/>
      <c r="BJ343" s="1021"/>
      <c r="BK343" s="1021"/>
      <c r="BL343" s="1021"/>
      <c r="BM343" s="1021"/>
      <c r="BN343" s="1021"/>
      <c r="BO343" s="1021"/>
      <c r="BP343" s="1021"/>
      <c r="BQ343" s="1021"/>
      <c r="BR343" s="1021"/>
      <c r="BS343" s="1021"/>
      <c r="BT343" s="1021"/>
      <c r="BU343" s="1021"/>
      <c r="BV343" s="1021"/>
      <c r="BW343" s="1021"/>
      <c r="BX343" s="1021"/>
      <c r="BY343" s="1021"/>
      <c r="BZ343" s="1021"/>
      <c r="CA343" s="1021"/>
      <c r="CB343" s="1021"/>
      <c r="CC343" s="1021"/>
    </row>
    <row r="344" spans="8:81" x14ac:dyDescent="0.25">
      <c r="H344" s="1021"/>
      <c r="I344" s="1021"/>
      <c r="J344" s="1021"/>
      <c r="K344" s="1021"/>
      <c r="L344" s="1021"/>
      <c r="M344" s="1021"/>
      <c r="N344" s="1021"/>
      <c r="O344" s="1021"/>
      <c r="P344" s="1021"/>
      <c r="Q344" s="1021"/>
      <c r="R344" s="1021"/>
      <c r="S344" s="1021"/>
      <c r="T344" s="1021"/>
      <c r="U344" s="1021"/>
      <c r="V344" s="1021"/>
      <c r="W344" s="1021"/>
      <c r="X344" s="1021"/>
      <c r="Y344" s="1021"/>
      <c r="Z344" s="1021"/>
      <c r="AA344" s="1021"/>
      <c r="AB344" s="1021"/>
      <c r="AC344" s="1021"/>
      <c r="AD344" s="1021"/>
      <c r="AE344" s="1021"/>
      <c r="AF344" s="1021"/>
      <c r="AG344" s="1021"/>
      <c r="AH344" s="1021"/>
      <c r="AI344" s="1021"/>
      <c r="AJ344" s="1021"/>
      <c r="AK344" s="1021"/>
      <c r="AL344" s="1021"/>
      <c r="AM344" s="1021"/>
      <c r="AN344" s="1021"/>
      <c r="AO344" s="1021"/>
      <c r="AP344" s="1021"/>
      <c r="AQ344" s="1021"/>
      <c r="AR344" s="1021"/>
      <c r="AS344" s="1021"/>
      <c r="AT344" s="1021"/>
      <c r="AU344" s="1021"/>
      <c r="AV344" s="1021"/>
      <c r="AW344" s="1021"/>
      <c r="AX344" s="1021"/>
      <c r="AY344" s="1021"/>
      <c r="AZ344" s="1021"/>
      <c r="BA344" s="1021"/>
      <c r="BB344" s="1021"/>
      <c r="BC344" s="1021"/>
      <c r="BD344" s="1021"/>
      <c r="BE344" s="1021"/>
      <c r="BF344" s="1021"/>
      <c r="BG344" s="1021"/>
      <c r="BH344" s="1021"/>
      <c r="BI344" s="1021"/>
      <c r="BJ344" s="1021"/>
      <c r="BK344" s="1021"/>
      <c r="BL344" s="1021"/>
      <c r="BM344" s="1021"/>
      <c r="BN344" s="1021"/>
      <c r="BO344" s="1021"/>
      <c r="BP344" s="1021"/>
      <c r="BQ344" s="1021"/>
      <c r="BR344" s="1021"/>
      <c r="BS344" s="1021"/>
      <c r="BT344" s="1021"/>
      <c r="BU344" s="1021"/>
      <c r="BV344" s="1021"/>
      <c r="BW344" s="1021"/>
      <c r="BX344" s="1021"/>
      <c r="BY344" s="1021"/>
      <c r="BZ344" s="1021"/>
      <c r="CA344" s="1021"/>
      <c r="CB344" s="1021"/>
      <c r="CC344" s="1021"/>
    </row>
    <row r="345" spans="8:81" x14ac:dyDescent="0.25">
      <c r="H345" s="1021"/>
      <c r="I345" s="1021"/>
      <c r="J345" s="1021"/>
      <c r="K345" s="1021"/>
      <c r="L345" s="1021"/>
      <c r="M345" s="1021"/>
      <c r="N345" s="1021"/>
      <c r="O345" s="1021"/>
      <c r="P345" s="1021"/>
      <c r="Q345" s="1021"/>
      <c r="R345" s="1021"/>
      <c r="S345" s="1021"/>
      <c r="T345" s="1021"/>
      <c r="U345" s="1021"/>
      <c r="V345" s="1021"/>
      <c r="W345" s="1021"/>
      <c r="X345" s="1021"/>
      <c r="Y345" s="1021"/>
      <c r="Z345" s="1021"/>
      <c r="AA345" s="1021"/>
      <c r="AB345" s="1021"/>
      <c r="AC345" s="1021"/>
      <c r="AD345" s="1021"/>
      <c r="AE345" s="1021"/>
      <c r="AF345" s="1021"/>
      <c r="AG345" s="1021"/>
      <c r="AH345" s="1021"/>
      <c r="AI345" s="1021"/>
      <c r="AJ345" s="1021"/>
      <c r="AK345" s="1021"/>
      <c r="AL345" s="1021"/>
      <c r="AM345" s="1021"/>
      <c r="AN345" s="1021"/>
      <c r="AO345" s="1021"/>
      <c r="AP345" s="1021"/>
      <c r="AQ345" s="1021"/>
      <c r="AR345" s="1021"/>
      <c r="AS345" s="1021"/>
      <c r="AT345" s="1021"/>
      <c r="AU345" s="1021"/>
      <c r="AV345" s="1021"/>
      <c r="AW345" s="1021"/>
      <c r="AX345" s="1021"/>
      <c r="AY345" s="1021"/>
      <c r="AZ345" s="1021"/>
      <c r="BA345" s="1021"/>
      <c r="BB345" s="1021"/>
      <c r="BC345" s="1021"/>
      <c r="BD345" s="1021"/>
      <c r="BE345" s="1021"/>
      <c r="BF345" s="1021"/>
      <c r="BG345" s="1021"/>
      <c r="BH345" s="1021"/>
      <c r="BI345" s="1021"/>
      <c r="BJ345" s="1021"/>
      <c r="BK345" s="1021"/>
      <c r="BL345" s="1021"/>
      <c r="BM345" s="1021"/>
      <c r="BN345" s="1021"/>
      <c r="BO345" s="1021"/>
      <c r="BP345" s="1021"/>
      <c r="BQ345" s="1021"/>
      <c r="BR345" s="1021"/>
      <c r="BS345" s="1021"/>
      <c r="BT345" s="1021"/>
      <c r="BU345" s="1021"/>
      <c r="BV345" s="1021"/>
      <c r="BW345" s="1021"/>
      <c r="BX345" s="1021"/>
      <c r="BY345" s="1021"/>
      <c r="BZ345" s="1021"/>
      <c r="CA345" s="1021"/>
      <c r="CB345" s="1021"/>
      <c r="CC345" s="1021"/>
    </row>
    <row r="346" spans="8:81" x14ac:dyDescent="0.25">
      <c r="H346" s="1021"/>
      <c r="I346" s="1021"/>
      <c r="J346" s="1021"/>
      <c r="K346" s="1021"/>
      <c r="L346" s="1021"/>
      <c r="M346" s="1021"/>
      <c r="N346" s="1021"/>
      <c r="O346" s="1021"/>
      <c r="P346" s="1021"/>
      <c r="Q346" s="1021"/>
      <c r="R346" s="1021"/>
      <c r="S346" s="1021"/>
      <c r="T346" s="1021"/>
      <c r="U346" s="1021"/>
      <c r="V346" s="1021"/>
      <c r="W346" s="1021"/>
      <c r="X346" s="1021"/>
      <c r="Y346" s="1021"/>
      <c r="Z346" s="1021"/>
      <c r="AA346" s="1021"/>
      <c r="AB346" s="1021"/>
      <c r="AC346" s="1021"/>
      <c r="AD346" s="1021"/>
      <c r="AE346" s="1021"/>
      <c r="AF346" s="1021"/>
      <c r="AG346" s="1021"/>
      <c r="AH346" s="1021"/>
      <c r="AI346" s="1021"/>
      <c r="AJ346" s="1021"/>
      <c r="AK346" s="1021"/>
      <c r="AL346" s="1021"/>
      <c r="AM346" s="1021"/>
      <c r="AN346" s="1021"/>
      <c r="AO346" s="1021"/>
      <c r="AP346" s="1021"/>
      <c r="AQ346" s="1021"/>
      <c r="AR346" s="1021"/>
      <c r="AS346" s="1021"/>
      <c r="AT346" s="1021"/>
      <c r="AU346" s="1021"/>
      <c r="AV346" s="1021"/>
      <c r="AW346" s="1021"/>
      <c r="AX346" s="1021"/>
      <c r="AY346" s="1021"/>
      <c r="AZ346" s="1021"/>
      <c r="BA346" s="1021"/>
      <c r="BB346" s="1021"/>
      <c r="BC346" s="1021"/>
      <c r="BD346" s="1021"/>
      <c r="BE346" s="1021"/>
      <c r="BF346" s="1021"/>
      <c r="BG346" s="1021"/>
      <c r="BH346" s="1021"/>
      <c r="BI346" s="1021"/>
      <c r="BJ346" s="1021"/>
      <c r="BK346" s="1021"/>
      <c r="BL346" s="1021"/>
      <c r="BM346" s="1021"/>
      <c r="BN346" s="1021"/>
      <c r="BO346" s="1021"/>
      <c r="BP346" s="1021"/>
      <c r="BQ346" s="1021"/>
      <c r="BR346" s="1021"/>
      <c r="BS346" s="1021"/>
      <c r="BT346" s="1021"/>
      <c r="BU346" s="1021"/>
      <c r="BV346" s="1021"/>
      <c r="BW346" s="1021"/>
      <c r="BX346" s="1021"/>
      <c r="BY346" s="1021"/>
      <c r="BZ346" s="1021"/>
      <c r="CA346" s="1021"/>
      <c r="CB346" s="1021"/>
      <c r="CC346" s="1021"/>
    </row>
    <row r="347" spans="8:81" x14ac:dyDescent="0.25">
      <c r="H347" s="1021"/>
      <c r="I347" s="1021"/>
      <c r="J347" s="1021"/>
      <c r="K347" s="1021"/>
      <c r="L347" s="1021"/>
      <c r="M347" s="1021"/>
      <c r="N347" s="1021"/>
      <c r="O347" s="1021"/>
      <c r="P347" s="1021"/>
      <c r="Q347" s="1021"/>
      <c r="R347" s="1021"/>
      <c r="S347" s="1021"/>
      <c r="T347" s="1021"/>
      <c r="U347" s="1021"/>
      <c r="V347" s="1021"/>
      <c r="W347" s="1021"/>
      <c r="X347" s="1021"/>
      <c r="Y347" s="1021"/>
      <c r="Z347" s="1021"/>
      <c r="AA347" s="1021"/>
      <c r="AB347" s="1021"/>
      <c r="AC347" s="1021"/>
      <c r="AD347" s="1021"/>
      <c r="AE347" s="1021"/>
      <c r="AF347" s="1021"/>
      <c r="AG347" s="1021"/>
      <c r="AH347" s="1021"/>
      <c r="AI347" s="1021"/>
      <c r="AJ347" s="1021"/>
      <c r="AK347" s="1021"/>
      <c r="AL347" s="1021"/>
      <c r="AM347" s="1021"/>
      <c r="AN347" s="1021"/>
      <c r="AO347" s="1021"/>
      <c r="AP347" s="1021"/>
      <c r="AQ347" s="1021"/>
      <c r="AR347" s="1021"/>
      <c r="AS347" s="1021"/>
      <c r="AT347" s="1021"/>
      <c r="AU347" s="1021"/>
      <c r="AV347" s="1021"/>
      <c r="AW347" s="1021"/>
      <c r="AX347" s="1021"/>
      <c r="AY347" s="1021"/>
      <c r="AZ347" s="1021"/>
      <c r="BA347" s="1021"/>
      <c r="BB347" s="1021"/>
      <c r="BC347" s="1021"/>
      <c r="BD347" s="1021"/>
      <c r="BE347" s="1021"/>
      <c r="BF347" s="1021"/>
      <c r="BG347" s="1021"/>
      <c r="BH347" s="1021"/>
      <c r="BI347" s="1021"/>
      <c r="BJ347" s="1021"/>
      <c r="BK347" s="1021"/>
      <c r="BL347" s="1021"/>
      <c r="BM347" s="1021"/>
      <c r="BN347" s="1021"/>
      <c r="BO347" s="1021"/>
      <c r="BP347" s="1021"/>
      <c r="BQ347" s="1021"/>
      <c r="BR347" s="1021"/>
      <c r="BS347" s="1021"/>
      <c r="BT347" s="1021"/>
      <c r="BU347" s="1021"/>
      <c r="BV347" s="1021"/>
      <c r="BW347" s="1021"/>
      <c r="BX347" s="1021"/>
      <c r="BY347" s="1021"/>
      <c r="BZ347" s="1021"/>
      <c r="CA347" s="1021"/>
      <c r="CB347" s="1021"/>
      <c r="CC347" s="1021"/>
    </row>
    <row r="348" spans="8:81" x14ac:dyDescent="0.25">
      <c r="H348" s="1021"/>
      <c r="I348" s="1021"/>
      <c r="J348" s="1021"/>
      <c r="K348" s="1021"/>
      <c r="L348" s="1021"/>
      <c r="M348" s="1021"/>
      <c r="N348" s="1021"/>
      <c r="O348" s="1021"/>
      <c r="P348" s="1021"/>
      <c r="Q348" s="1021"/>
      <c r="R348" s="1021"/>
      <c r="S348" s="1021"/>
      <c r="T348" s="1021"/>
      <c r="U348" s="1021"/>
      <c r="V348" s="1021"/>
      <c r="W348" s="1021"/>
      <c r="X348" s="1021"/>
      <c r="Y348" s="1021"/>
      <c r="Z348" s="1021"/>
      <c r="AA348" s="1021"/>
      <c r="AB348" s="1021"/>
      <c r="AC348" s="1021"/>
      <c r="AD348" s="1021"/>
      <c r="AE348" s="1021"/>
      <c r="AF348" s="1021"/>
      <c r="AG348" s="1021"/>
      <c r="AH348" s="1021"/>
      <c r="AI348" s="1021"/>
      <c r="AJ348" s="1021"/>
      <c r="AK348" s="1021"/>
      <c r="AL348" s="1021"/>
      <c r="AM348" s="1021"/>
      <c r="AN348" s="1021"/>
      <c r="AO348" s="1021"/>
      <c r="AP348" s="1021"/>
      <c r="AQ348" s="1021"/>
      <c r="AR348" s="1021"/>
      <c r="AS348" s="1021"/>
      <c r="AT348" s="1021"/>
      <c r="AU348" s="1021"/>
      <c r="AV348" s="1021"/>
      <c r="AW348" s="1021"/>
      <c r="AX348" s="1021"/>
      <c r="AY348" s="1021"/>
      <c r="AZ348" s="1021"/>
      <c r="BA348" s="1021"/>
      <c r="BB348" s="1021"/>
      <c r="BC348" s="1021"/>
      <c r="BD348" s="1021"/>
      <c r="BE348" s="1021"/>
      <c r="BF348" s="1021"/>
      <c r="BG348" s="1021"/>
      <c r="BH348" s="1021"/>
      <c r="BI348" s="1021"/>
      <c r="BJ348" s="1021"/>
      <c r="BK348" s="1021"/>
      <c r="BL348" s="1021"/>
      <c r="BM348" s="1021"/>
      <c r="BN348" s="1021"/>
      <c r="BO348" s="1021"/>
      <c r="BP348" s="1021"/>
      <c r="BQ348" s="1021"/>
      <c r="BR348" s="1021"/>
      <c r="BS348" s="1021"/>
      <c r="BT348" s="1021"/>
      <c r="BU348" s="1021"/>
      <c r="BV348" s="1021"/>
      <c r="BW348" s="1021"/>
      <c r="BX348" s="1021"/>
      <c r="BY348" s="1021"/>
      <c r="BZ348" s="1021"/>
      <c r="CA348" s="1021"/>
      <c r="CB348" s="1021"/>
      <c r="CC348" s="1021"/>
    </row>
    <row r="349" spans="8:81" x14ac:dyDescent="0.25">
      <c r="H349" s="1021"/>
      <c r="I349" s="1021"/>
      <c r="J349" s="1021"/>
      <c r="K349" s="1021"/>
      <c r="L349" s="1021"/>
      <c r="M349" s="1021"/>
      <c r="N349" s="1021"/>
      <c r="O349" s="1021"/>
      <c r="P349" s="1021"/>
      <c r="Q349" s="1021"/>
      <c r="R349" s="1021"/>
      <c r="S349" s="1021"/>
      <c r="T349" s="1021"/>
      <c r="U349" s="1021"/>
      <c r="V349" s="1021"/>
      <c r="W349" s="1021"/>
      <c r="X349" s="1021"/>
      <c r="Y349" s="1021"/>
      <c r="Z349" s="1021"/>
      <c r="AA349" s="1021"/>
      <c r="AB349" s="1021"/>
      <c r="AC349" s="1021"/>
      <c r="AD349" s="1021"/>
      <c r="AE349" s="1021"/>
      <c r="AF349" s="1021"/>
      <c r="AG349" s="1021"/>
      <c r="AH349" s="1021"/>
      <c r="AI349" s="1021"/>
      <c r="AJ349" s="1021"/>
      <c r="AK349" s="1021"/>
      <c r="AL349" s="1021"/>
      <c r="AM349" s="1021"/>
      <c r="AN349" s="1021"/>
      <c r="AO349" s="1021"/>
      <c r="AP349" s="1021"/>
      <c r="AQ349" s="1021"/>
      <c r="AR349" s="1021"/>
      <c r="AS349" s="1021"/>
      <c r="AT349" s="1021"/>
      <c r="AU349" s="1021"/>
      <c r="AV349" s="1021"/>
      <c r="AW349" s="1021"/>
      <c r="AX349" s="1021"/>
      <c r="AY349" s="1021"/>
      <c r="AZ349" s="1021"/>
      <c r="BA349" s="1021"/>
      <c r="BB349" s="1021"/>
      <c r="BC349" s="1021"/>
      <c r="BD349" s="1021"/>
      <c r="BE349" s="1021"/>
      <c r="BF349" s="1021"/>
      <c r="BG349" s="1021"/>
      <c r="BH349" s="1021"/>
      <c r="BI349" s="1021"/>
      <c r="BJ349" s="1021"/>
      <c r="BK349" s="1021"/>
      <c r="BL349" s="1021"/>
      <c r="BM349" s="1021"/>
      <c r="BN349" s="1021"/>
      <c r="BO349" s="1021"/>
      <c r="BP349" s="1021"/>
      <c r="BQ349" s="1021"/>
      <c r="BR349" s="1021"/>
      <c r="BS349" s="1021"/>
      <c r="BT349" s="1021"/>
      <c r="BU349" s="1021"/>
      <c r="BV349" s="1021"/>
      <c r="BW349" s="1021"/>
      <c r="BX349" s="1021"/>
      <c r="BY349" s="1021"/>
      <c r="BZ349" s="1021"/>
      <c r="CA349" s="1021"/>
      <c r="CB349" s="1021"/>
      <c r="CC349" s="1021"/>
    </row>
    <row r="350" spans="8:81" x14ac:dyDescent="0.25">
      <c r="H350" s="1021"/>
      <c r="I350" s="1021"/>
      <c r="J350" s="1021"/>
      <c r="K350" s="1021"/>
      <c r="L350" s="1021"/>
      <c r="M350" s="1021"/>
      <c r="N350" s="1021"/>
      <c r="O350" s="1021"/>
      <c r="P350" s="1021"/>
      <c r="Q350" s="1021"/>
      <c r="R350" s="1021"/>
      <c r="S350" s="1021"/>
      <c r="T350" s="1021"/>
      <c r="U350" s="1021"/>
      <c r="V350" s="1021"/>
      <c r="W350" s="1021"/>
      <c r="X350" s="1021"/>
      <c r="Y350" s="1021"/>
      <c r="Z350" s="1021"/>
      <c r="AA350" s="1021"/>
      <c r="AB350" s="1021"/>
      <c r="AC350" s="1021"/>
      <c r="AD350" s="1021"/>
      <c r="AE350" s="1021"/>
      <c r="AF350" s="1021"/>
      <c r="AG350" s="1021"/>
      <c r="AH350" s="1021"/>
      <c r="AI350" s="1021"/>
      <c r="AJ350" s="1021"/>
      <c r="AK350" s="1021"/>
      <c r="AL350" s="1021"/>
      <c r="AM350" s="1021"/>
      <c r="AN350" s="1021"/>
      <c r="AO350" s="1021"/>
      <c r="AP350" s="1021"/>
      <c r="AQ350" s="1021"/>
      <c r="AR350" s="1021"/>
      <c r="AS350" s="1021"/>
      <c r="AT350" s="1021"/>
      <c r="AU350" s="1021"/>
      <c r="AV350" s="1021"/>
      <c r="AW350" s="1021"/>
      <c r="AX350" s="1021"/>
      <c r="AY350" s="1021"/>
      <c r="AZ350" s="1021"/>
      <c r="BA350" s="1021"/>
      <c r="BB350" s="1021"/>
      <c r="BC350" s="1021"/>
      <c r="BD350" s="1021"/>
      <c r="BE350" s="1021"/>
      <c r="BF350" s="1021"/>
      <c r="BG350" s="1021"/>
      <c r="BH350" s="1021"/>
      <c r="BI350" s="1021"/>
      <c r="BJ350" s="1021"/>
      <c r="BK350" s="1021"/>
      <c r="BL350" s="1021"/>
      <c r="BM350" s="1021"/>
      <c r="BN350" s="1021"/>
      <c r="BO350" s="1021"/>
      <c r="BP350" s="1021"/>
      <c r="BQ350" s="1021"/>
      <c r="BR350" s="1021"/>
      <c r="BS350" s="1021"/>
      <c r="BT350" s="1021"/>
      <c r="BU350" s="1021"/>
      <c r="BV350" s="1021"/>
      <c r="BW350" s="1021"/>
      <c r="BX350" s="1021"/>
      <c r="BY350" s="1021"/>
      <c r="BZ350" s="1021"/>
      <c r="CA350" s="1021"/>
      <c r="CB350" s="1021"/>
      <c r="CC350" s="1021"/>
    </row>
    <row r="351" spans="8:81" x14ac:dyDescent="0.25">
      <c r="H351" s="1021"/>
      <c r="I351" s="1021"/>
      <c r="J351" s="1021"/>
      <c r="K351" s="1021"/>
      <c r="L351" s="1021"/>
      <c r="M351" s="1021"/>
      <c r="N351" s="1021"/>
      <c r="O351" s="1021"/>
      <c r="P351" s="1021"/>
      <c r="Q351" s="1021"/>
      <c r="R351" s="1021"/>
      <c r="S351" s="1021"/>
      <c r="T351" s="1021"/>
      <c r="U351" s="1021"/>
      <c r="V351" s="1021"/>
      <c r="W351" s="1021"/>
      <c r="X351" s="1021"/>
      <c r="Y351" s="1021"/>
      <c r="Z351" s="1021"/>
      <c r="AA351" s="1021"/>
      <c r="AB351" s="1021"/>
      <c r="AC351" s="1021"/>
      <c r="AD351" s="1021"/>
      <c r="AE351" s="1021"/>
      <c r="AF351" s="1021"/>
      <c r="AG351" s="1021"/>
      <c r="AH351" s="1021"/>
      <c r="AI351" s="1021"/>
      <c r="AJ351" s="1021"/>
      <c r="AK351" s="1021"/>
      <c r="AL351" s="1021"/>
      <c r="AM351" s="1021"/>
      <c r="AN351" s="1021"/>
      <c r="AO351" s="1021"/>
      <c r="AP351" s="1021"/>
      <c r="AQ351" s="1021"/>
      <c r="AR351" s="1021"/>
      <c r="AS351" s="1021"/>
      <c r="AT351" s="1021"/>
      <c r="AU351" s="1021"/>
      <c r="AV351" s="1021"/>
      <c r="AW351" s="1021"/>
      <c r="AX351" s="1021"/>
      <c r="AY351" s="1021"/>
      <c r="AZ351" s="1021"/>
      <c r="BA351" s="1021"/>
      <c r="BB351" s="1021"/>
      <c r="BC351" s="1021"/>
      <c r="BD351" s="1021"/>
      <c r="BE351" s="1021"/>
      <c r="BF351" s="1021"/>
      <c r="BG351" s="1021"/>
      <c r="BH351" s="1021"/>
      <c r="BI351" s="1021"/>
      <c r="BJ351" s="1021"/>
      <c r="BK351" s="1021"/>
      <c r="BL351" s="1021"/>
      <c r="BM351" s="1021"/>
      <c r="BN351" s="1021"/>
      <c r="BO351" s="1021"/>
      <c r="BP351" s="1021"/>
      <c r="BQ351" s="1021"/>
      <c r="BR351" s="1021"/>
      <c r="BS351" s="1021"/>
      <c r="BT351" s="1021"/>
      <c r="BU351" s="1021"/>
      <c r="BV351" s="1021"/>
      <c r="BW351" s="1021"/>
      <c r="BX351" s="1021"/>
      <c r="BY351" s="1021"/>
      <c r="BZ351" s="1021"/>
      <c r="CA351" s="1021"/>
      <c r="CB351" s="1021"/>
      <c r="CC351" s="1021"/>
    </row>
    <row r="352" spans="8:81" x14ac:dyDescent="0.25">
      <c r="H352" s="1021"/>
      <c r="I352" s="1021"/>
      <c r="J352" s="1021"/>
      <c r="K352" s="1021"/>
      <c r="L352" s="1021"/>
      <c r="M352" s="1021"/>
      <c r="N352" s="1021"/>
      <c r="O352" s="1021"/>
      <c r="P352" s="1021"/>
      <c r="Q352" s="1021"/>
      <c r="R352" s="1021"/>
      <c r="S352" s="1021"/>
      <c r="T352" s="1021"/>
      <c r="U352" s="1021"/>
      <c r="V352" s="1021"/>
      <c r="W352" s="1021"/>
      <c r="X352" s="1021"/>
      <c r="Y352" s="1021"/>
      <c r="Z352" s="1021"/>
      <c r="AA352" s="1021"/>
      <c r="AB352" s="1021"/>
      <c r="AC352" s="1021"/>
      <c r="AD352" s="1021"/>
      <c r="AE352" s="1021"/>
      <c r="AF352" s="1021"/>
      <c r="AG352" s="1021"/>
      <c r="AH352" s="1021"/>
      <c r="AI352" s="1021"/>
      <c r="AJ352" s="1021"/>
      <c r="AK352" s="1021"/>
      <c r="AL352" s="1021"/>
      <c r="AM352" s="1021"/>
      <c r="AN352" s="1021"/>
      <c r="AO352" s="1021"/>
      <c r="AP352" s="1021"/>
      <c r="AQ352" s="1021"/>
      <c r="AR352" s="1021"/>
      <c r="AS352" s="1021"/>
      <c r="AT352" s="1021"/>
      <c r="AU352" s="1021"/>
      <c r="AV352" s="1021"/>
      <c r="AW352" s="1021"/>
      <c r="AX352" s="1021"/>
      <c r="AY352" s="1021"/>
      <c r="AZ352" s="1021"/>
      <c r="BA352" s="1021"/>
      <c r="BB352" s="1021"/>
      <c r="BC352" s="1021"/>
      <c r="BD352" s="1021"/>
      <c r="BE352" s="1021"/>
      <c r="BF352" s="1021"/>
      <c r="BG352" s="1021"/>
      <c r="BH352" s="1021"/>
      <c r="BI352" s="1021"/>
      <c r="BJ352" s="1021"/>
      <c r="BK352" s="1021"/>
      <c r="BL352" s="1021"/>
      <c r="BM352" s="1021"/>
      <c r="BN352" s="1021"/>
      <c r="BO352" s="1021"/>
      <c r="BP352" s="1021"/>
      <c r="BQ352" s="1021"/>
      <c r="BR352" s="1021"/>
      <c r="BS352" s="1021"/>
      <c r="BT352" s="1021"/>
      <c r="BU352" s="1021"/>
      <c r="BV352" s="1021"/>
      <c r="BW352" s="1021"/>
      <c r="BX352" s="1021"/>
      <c r="BY352" s="1021"/>
      <c r="BZ352" s="1021"/>
      <c r="CA352" s="1021"/>
      <c r="CB352" s="1021"/>
      <c r="CC352" s="1021"/>
    </row>
    <row r="353" spans="8:81" x14ac:dyDescent="0.25">
      <c r="H353" s="1021"/>
      <c r="I353" s="1021"/>
      <c r="J353" s="1021"/>
      <c r="K353" s="1021"/>
      <c r="L353" s="1021"/>
      <c r="M353" s="1021"/>
      <c r="N353" s="1021"/>
      <c r="O353" s="1021"/>
      <c r="P353" s="1021"/>
      <c r="Q353" s="1021"/>
      <c r="R353" s="1021"/>
      <c r="S353" s="1021"/>
      <c r="T353" s="1021"/>
      <c r="U353" s="1021"/>
      <c r="V353" s="1021"/>
      <c r="W353" s="1021"/>
      <c r="X353" s="1021"/>
      <c r="Y353" s="1021"/>
      <c r="Z353" s="1021"/>
      <c r="AA353" s="1021"/>
      <c r="AB353" s="1021"/>
      <c r="AC353" s="1021"/>
      <c r="AD353" s="1021"/>
      <c r="AE353" s="1021"/>
      <c r="AF353" s="1021"/>
      <c r="AG353" s="1021"/>
      <c r="AH353" s="1021"/>
      <c r="AI353" s="1021"/>
      <c r="AJ353" s="1021"/>
      <c r="AK353" s="1021"/>
      <c r="AL353" s="1021"/>
      <c r="AM353" s="1021"/>
      <c r="AN353" s="1021"/>
      <c r="AO353" s="1021"/>
      <c r="AP353" s="1021"/>
      <c r="AQ353" s="1021"/>
      <c r="AR353" s="1021"/>
      <c r="AS353" s="1021"/>
      <c r="AT353" s="1021"/>
      <c r="AU353" s="1021"/>
      <c r="AV353" s="1021"/>
      <c r="AW353" s="1021"/>
      <c r="AX353" s="1021"/>
      <c r="AY353" s="1021"/>
      <c r="AZ353" s="1021"/>
      <c r="BA353" s="1021"/>
      <c r="BB353" s="1021"/>
      <c r="BC353" s="1021"/>
      <c r="BD353" s="1021"/>
      <c r="BE353" s="1021"/>
      <c r="BF353" s="1021"/>
      <c r="BG353" s="1021"/>
      <c r="BH353" s="1021"/>
      <c r="BI353" s="1021"/>
      <c r="BJ353" s="1021"/>
      <c r="BK353" s="1021"/>
      <c r="BL353" s="1021"/>
      <c r="BM353" s="1021"/>
      <c r="BN353" s="1021"/>
      <c r="BO353" s="1021"/>
      <c r="BP353" s="1021"/>
      <c r="BQ353" s="1021"/>
      <c r="BR353" s="1021"/>
      <c r="BS353" s="1021"/>
      <c r="BT353" s="1021"/>
      <c r="BU353" s="1021"/>
      <c r="BV353" s="1021"/>
      <c r="BW353" s="1021"/>
      <c r="BX353" s="1021"/>
      <c r="BY353" s="1021"/>
      <c r="BZ353" s="1021"/>
      <c r="CA353" s="1021"/>
      <c r="CB353" s="1021"/>
      <c r="CC353" s="1021"/>
    </row>
    <row r="354" spans="8:81" x14ac:dyDescent="0.25">
      <c r="H354" s="1021"/>
      <c r="I354" s="1021"/>
      <c r="J354" s="1021"/>
      <c r="K354" s="1021"/>
      <c r="L354" s="1021"/>
      <c r="M354" s="1021"/>
      <c r="N354" s="1021"/>
      <c r="O354" s="1021"/>
      <c r="P354" s="1021"/>
      <c r="Q354" s="1021"/>
      <c r="R354" s="1021"/>
      <c r="S354" s="1021"/>
      <c r="T354" s="1021"/>
      <c r="U354" s="1021"/>
      <c r="V354" s="1021"/>
      <c r="W354" s="1021"/>
      <c r="X354" s="1021"/>
      <c r="Y354" s="1021"/>
      <c r="Z354" s="1021"/>
      <c r="AA354" s="1021"/>
      <c r="AB354" s="1021"/>
      <c r="AC354" s="1021"/>
      <c r="AD354" s="1021"/>
      <c r="AE354" s="1021"/>
      <c r="AF354" s="1021"/>
      <c r="AG354" s="1021"/>
      <c r="AH354" s="1021"/>
      <c r="AI354" s="1021"/>
      <c r="AJ354" s="1021"/>
      <c r="AK354" s="1021"/>
      <c r="AL354" s="1021"/>
      <c r="AM354" s="1021"/>
      <c r="AN354" s="1021"/>
      <c r="AO354" s="1021"/>
      <c r="AP354" s="1021"/>
      <c r="AQ354" s="1021"/>
      <c r="AR354" s="1021"/>
      <c r="AS354" s="1021"/>
      <c r="AT354" s="1021"/>
      <c r="AU354" s="1021"/>
      <c r="AV354" s="1021"/>
      <c r="AW354" s="1021"/>
      <c r="AX354" s="1021"/>
      <c r="AY354" s="1021"/>
      <c r="AZ354" s="1021"/>
      <c r="BA354" s="1021"/>
      <c r="BB354" s="1021"/>
      <c r="BC354" s="1021"/>
      <c r="BD354" s="1021"/>
      <c r="BE354" s="1021"/>
      <c r="BF354" s="1021"/>
      <c r="BG354" s="1021"/>
      <c r="BH354" s="1021"/>
      <c r="BI354" s="1021"/>
      <c r="BJ354" s="1021"/>
      <c r="BK354" s="1021"/>
      <c r="BL354" s="1021"/>
      <c r="BM354" s="1021"/>
      <c r="BN354" s="1021"/>
      <c r="BO354" s="1021"/>
      <c r="BP354" s="1021"/>
      <c r="BQ354" s="1021"/>
      <c r="BR354" s="1021"/>
      <c r="BS354" s="1021"/>
      <c r="BT354" s="1021"/>
      <c r="BU354" s="1021"/>
      <c r="BV354" s="1021"/>
      <c r="BW354" s="1021"/>
      <c r="BX354" s="1021"/>
      <c r="BY354" s="1021"/>
      <c r="BZ354" s="1021"/>
      <c r="CA354" s="1021"/>
      <c r="CB354" s="1021"/>
      <c r="CC354" s="1021"/>
    </row>
    <row r="355" spans="8:81" x14ac:dyDescent="0.25">
      <c r="H355" s="1021"/>
      <c r="I355" s="1021"/>
      <c r="J355" s="1021"/>
      <c r="K355" s="1021"/>
      <c r="L355" s="1021"/>
      <c r="M355" s="1021"/>
      <c r="N355" s="1021"/>
      <c r="O355" s="1021"/>
      <c r="P355" s="1021"/>
      <c r="Q355" s="1021"/>
      <c r="R355" s="1021"/>
      <c r="S355" s="1021"/>
      <c r="T355" s="1021"/>
      <c r="U355" s="1021"/>
      <c r="V355" s="1021"/>
      <c r="W355" s="1021"/>
      <c r="X355" s="1021"/>
      <c r="Y355" s="1021"/>
      <c r="Z355" s="1021"/>
      <c r="AA355" s="1021"/>
      <c r="AB355" s="1021"/>
      <c r="AC355" s="1021"/>
      <c r="AD355" s="1021"/>
      <c r="AE355" s="1021"/>
      <c r="AF355" s="1021"/>
      <c r="AG355" s="1021"/>
      <c r="AH355" s="1021"/>
      <c r="AI355" s="1021"/>
      <c r="AJ355" s="1021"/>
      <c r="AK355" s="1021"/>
      <c r="AL355" s="1021"/>
      <c r="AM355" s="1021"/>
      <c r="AN355" s="1021"/>
      <c r="AO355" s="1021"/>
      <c r="AP355" s="1021"/>
      <c r="AQ355" s="1021"/>
      <c r="AR355" s="1021"/>
      <c r="AS355" s="1021"/>
      <c r="AT355" s="1021"/>
      <c r="AU355" s="1021"/>
      <c r="AV355" s="1021"/>
      <c r="AW355" s="1021"/>
      <c r="AX355" s="1021"/>
      <c r="AY355" s="1021"/>
      <c r="AZ355" s="1021"/>
      <c r="BA355" s="1021"/>
      <c r="BB355" s="1021"/>
      <c r="BC355" s="1021"/>
      <c r="BD355" s="1021"/>
      <c r="BE355" s="1021"/>
      <c r="BF355" s="1021"/>
      <c r="BG355" s="1021"/>
      <c r="BH355" s="1021"/>
      <c r="BI355" s="1021"/>
      <c r="BJ355" s="1021"/>
      <c r="BK355" s="1021"/>
      <c r="BL355" s="1021"/>
      <c r="BM355" s="1021"/>
      <c r="BN355" s="1021"/>
      <c r="BO355" s="1021"/>
      <c r="BP355" s="1021"/>
      <c r="BQ355" s="1021"/>
      <c r="BR355" s="1021"/>
      <c r="BS355" s="1021"/>
      <c r="BT355" s="1021"/>
      <c r="BU355" s="1021"/>
      <c r="BV355" s="1021"/>
      <c r="BW355" s="1021"/>
      <c r="BX355" s="1021"/>
      <c r="BY355" s="1021"/>
      <c r="BZ355" s="1021"/>
      <c r="CA355" s="1021"/>
      <c r="CB355" s="1021"/>
      <c r="CC355" s="1021"/>
    </row>
    <row r="356" spans="8:81" x14ac:dyDescent="0.25">
      <c r="H356" s="1021"/>
      <c r="I356" s="1021"/>
      <c r="J356" s="1021"/>
      <c r="K356" s="1021"/>
      <c r="L356" s="1021"/>
      <c r="M356" s="1021"/>
      <c r="N356" s="1021"/>
      <c r="O356" s="1021"/>
      <c r="P356" s="1021"/>
      <c r="Q356" s="1021"/>
      <c r="R356" s="1021"/>
      <c r="S356" s="1021"/>
      <c r="T356" s="1021"/>
      <c r="U356" s="1021"/>
      <c r="V356" s="1021"/>
      <c r="W356" s="1021"/>
      <c r="X356" s="1021"/>
      <c r="Y356" s="1021"/>
      <c r="Z356" s="1021"/>
      <c r="AA356" s="1021"/>
      <c r="AB356" s="1021"/>
      <c r="AC356" s="1021"/>
      <c r="AD356" s="1021"/>
      <c r="AE356" s="1021"/>
      <c r="AF356" s="1021"/>
      <c r="AG356" s="1021"/>
      <c r="AH356" s="1021"/>
      <c r="AI356" s="1021"/>
      <c r="AJ356" s="1021"/>
      <c r="AK356" s="1021"/>
      <c r="AL356" s="1021"/>
      <c r="AM356" s="1021"/>
      <c r="AN356" s="1021"/>
      <c r="AO356" s="1021"/>
      <c r="AP356" s="1021"/>
      <c r="AQ356" s="1021"/>
      <c r="AR356" s="1021"/>
      <c r="AS356" s="1021"/>
      <c r="AT356" s="1021"/>
      <c r="AU356" s="1021"/>
      <c r="AV356" s="1021"/>
      <c r="AW356" s="1021"/>
      <c r="AX356" s="1021"/>
      <c r="AY356" s="1021"/>
      <c r="AZ356" s="1021"/>
      <c r="BA356" s="1021"/>
      <c r="BB356" s="1021"/>
      <c r="BC356" s="1021"/>
      <c r="BD356" s="1021"/>
      <c r="BE356" s="1021"/>
      <c r="BF356" s="1021"/>
      <c r="BG356" s="1021"/>
      <c r="BH356" s="1021"/>
      <c r="BI356" s="1021"/>
      <c r="BJ356" s="1021"/>
      <c r="BK356" s="1021"/>
      <c r="BL356" s="1021"/>
      <c r="BM356" s="1021"/>
      <c r="BN356" s="1021"/>
      <c r="BO356" s="1021"/>
      <c r="BP356" s="1021"/>
      <c r="BQ356" s="1021"/>
      <c r="BR356" s="1021"/>
      <c r="BS356" s="1021"/>
      <c r="BT356" s="1021"/>
      <c r="BU356" s="1021"/>
      <c r="BV356" s="1021"/>
      <c r="BW356" s="1021"/>
      <c r="BX356" s="1021"/>
      <c r="BY356" s="1021"/>
      <c r="BZ356" s="1021"/>
      <c r="CA356" s="1021"/>
      <c r="CB356" s="1021"/>
      <c r="CC356" s="1021"/>
    </row>
    <row r="357" spans="8:81" x14ac:dyDescent="0.25">
      <c r="H357" s="1021"/>
      <c r="I357" s="1021"/>
      <c r="J357" s="1021"/>
      <c r="K357" s="1021"/>
      <c r="L357" s="1021"/>
      <c r="M357" s="1021"/>
      <c r="N357" s="1021"/>
      <c r="O357" s="1021"/>
      <c r="P357" s="1021"/>
      <c r="Q357" s="1021"/>
      <c r="R357" s="1021"/>
      <c r="S357" s="1021"/>
      <c r="T357" s="1021"/>
      <c r="U357" s="1021"/>
      <c r="V357" s="1021"/>
      <c r="W357" s="1021"/>
      <c r="X357" s="1021"/>
      <c r="Y357" s="1021"/>
      <c r="Z357" s="1021"/>
      <c r="AA357" s="1021"/>
      <c r="AB357" s="1021"/>
      <c r="AC357" s="1021"/>
      <c r="AD357" s="1021"/>
      <c r="AE357" s="1021"/>
      <c r="AF357" s="1021"/>
      <c r="AG357" s="1021"/>
      <c r="AH357" s="1021"/>
      <c r="AI357" s="1021"/>
      <c r="AJ357" s="1021"/>
      <c r="AK357" s="1021"/>
      <c r="AL357" s="1021"/>
      <c r="AM357" s="1021"/>
      <c r="AN357" s="1021"/>
      <c r="AO357" s="1021"/>
      <c r="AP357" s="1021"/>
      <c r="AQ357" s="1021"/>
      <c r="AR357" s="1021"/>
      <c r="AS357" s="1021"/>
      <c r="AT357" s="1021"/>
      <c r="AU357" s="1021"/>
      <c r="AV357" s="1021"/>
      <c r="AW357" s="1021"/>
      <c r="AX357" s="1021"/>
      <c r="AY357" s="1021"/>
      <c r="AZ357" s="1021"/>
      <c r="BA357" s="1021"/>
      <c r="BB357" s="1021"/>
      <c r="BC357" s="1021"/>
      <c r="BD357" s="1021"/>
      <c r="BE357" s="1021"/>
      <c r="BF357" s="1021"/>
      <c r="BG357" s="1021"/>
      <c r="BH357" s="1021"/>
      <c r="BI357" s="1021"/>
      <c r="BJ357" s="1021"/>
      <c r="BK357" s="1021"/>
      <c r="BL357" s="1021"/>
      <c r="BM357" s="1021"/>
      <c r="BN357" s="1021"/>
      <c r="BO357" s="1021"/>
      <c r="BP357" s="1021"/>
      <c r="BQ357" s="1021"/>
      <c r="BR357" s="1021"/>
      <c r="BS357" s="1021"/>
      <c r="BT357" s="1021"/>
      <c r="BU357" s="1021"/>
      <c r="BV357" s="1021"/>
      <c r="BW357" s="1021"/>
      <c r="BX357" s="1021"/>
      <c r="BY357" s="1021"/>
      <c r="BZ357" s="1021"/>
      <c r="CA357" s="1021"/>
      <c r="CB357" s="1021"/>
      <c r="CC357" s="1021"/>
    </row>
    <row r="358" spans="8:81" x14ac:dyDescent="0.25">
      <c r="H358" s="1021"/>
      <c r="I358" s="1021"/>
      <c r="J358" s="1021"/>
      <c r="K358" s="1021"/>
      <c r="L358" s="1021"/>
      <c r="M358" s="1021"/>
      <c r="N358" s="1021"/>
      <c r="O358" s="1021"/>
      <c r="P358" s="1021"/>
      <c r="Q358" s="1021"/>
      <c r="R358" s="1021"/>
      <c r="S358" s="1021"/>
      <c r="T358" s="1021"/>
      <c r="U358" s="1021"/>
      <c r="V358" s="1021"/>
      <c r="W358" s="1021"/>
      <c r="X358" s="1021"/>
      <c r="Y358" s="1021"/>
      <c r="Z358" s="1021"/>
      <c r="AA358" s="1021"/>
      <c r="AB358" s="1021"/>
      <c r="AC358" s="1021"/>
      <c r="AD358" s="1021"/>
      <c r="AE358" s="1021"/>
      <c r="AF358" s="1021"/>
      <c r="AG358" s="1021"/>
      <c r="AH358" s="1021"/>
      <c r="AI358" s="1021"/>
      <c r="AJ358" s="1021"/>
      <c r="AK358" s="1021"/>
      <c r="AL358" s="1021"/>
      <c r="AM358" s="1021"/>
      <c r="AN358" s="1021"/>
      <c r="AO358" s="1021"/>
      <c r="AP358" s="1021"/>
      <c r="AQ358" s="1021"/>
      <c r="AR358" s="1021"/>
      <c r="AS358" s="1021"/>
      <c r="AT358" s="1021"/>
      <c r="AU358" s="1021"/>
      <c r="AV358" s="1021"/>
      <c r="AW358" s="1021"/>
      <c r="AX358" s="1021"/>
      <c r="AY358" s="1021"/>
      <c r="AZ358" s="1021"/>
      <c r="BA358" s="1021"/>
      <c r="BB358" s="1021"/>
      <c r="BC358" s="1021"/>
      <c r="BD358" s="1021"/>
      <c r="BE358" s="1021"/>
      <c r="BF358" s="1021"/>
      <c r="BG358" s="1021"/>
      <c r="BH358" s="1021"/>
      <c r="BI358" s="1021"/>
      <c r="BJ358" s="1021"/>
      <c r="BK358" s="1021"/>
      <c r="BL358" s="1021"/>
      <c r="BM358" s="1021"/>
      <c r="BN358" s="1021"/>
      <c r="BO358" s="1021"/>
      <c r="BP358" s="1021"/>
      <c r="BQ358" s="1021"/>
      <c r="BR358" s="1021"/>
      <c r="BS358" s="1021"/>
      <c r="BT358" s="1021"/>
      <c r="BU358" s="1021"/>
      <c r="BV358" s="1021"/>
      <c r="BW358" s="1021"/>
      <c r="BX358" s="1021"/>
      <c r="BY358" s="1021"/>
      <c r="BZ358" s="1021"/>
      <c r="CA358" s="1021"/>
      <c r="CB358" s="1021"/>
      <c r="CC358" s="1021"/>
    </row>
    <row r="359" spans="8:81" x14ac:dyDescent="0.25">
      <c r="H359" s="1021"/>
      <c r="I359" s="1021"/>
      <c r="J359" s="1021"/>
      <c r="K359" s="1021"/>
      <c r="L359" s="1021"/>
      <c r="M359" s="1021"/>
      <c r="N359" s="1021"/>
      <c r="O359" s="1021"/>
      <c r="P359" s="1021"/>
      <c r="Q359" s="1021"/>
      <c r="R359" s="1021"/>
      <c r="S359" s="1021"/>
      <c r="T359" s="1021"/>
      <c r="U359" s="1021"/>
      <c r="V359" s="1021"/>
      <c r="W359" s="1021"/>
      <c r="X359" s="1021"/>
      <c r="Y359" s="1021"/>
      <c r="Z359" s="1021"/>
      <c r="AA359" s="1021"/>
      <c r="AB359" s="1021"/>
      <c r="AC359" s="1021"/>
      <c r="AD359" s="1021"/>
      <c r="AE359" s="1021"/>
      <c r="AF359" s="1021"/>
      <c r="AG359" s="1021"/>
      <c r="AH359" s="1021"/>
      <c r="AI359" s="1021"/>
      <c r="AJ359" s="1021"/>
      <c r="AK359" s="1021"/>
      <c r="AL359" s="1021"/>
      <c r="AM359" s="1021"/>
      <c r="AN359" s="1021"/>
      <c r="AO359" s="1021"/>
      <c r="AP359" s="1021"/>
      <c r="AQ359" s="1021"/>
      <c r="AR359" s="1021"/>
      <c r="AS359" s="1021"/>
      <c r="AT359" s="1021"/>
      <c r="AU359" s="1021"/>
      <c r="AV359" s="1021"/>
      <c r="AW359" s="1021"/>
      <c r="AX359" s="1021"/>
      <c r="AY359" s="1021"/>
      <c r="AZ359" s="1021"/>
      <c r="BA359" s="1021"/>
      <c r="BB359" s="1021"/>
      <c r="BC359" s="1021"/>
      <c r="BD359" s="1021"/>
      <c r="BE359" s="1021"/>
      <c r="BF359" s="1021"/>
      <c r="BG359" s="1021"/>
      <c r="BH359" s="1021"/>
      <c r="BI359" s="1021"/>
      <c r="BJ359" s="1021"/>
      <c r="BK359" s="1021"/>
      <c r="BL359" s="1021"/>
      <c r="BM359" s="1021"/>
      <c r="BN359" s="1021"/>
      <c r="BO359" s="1021"/>
      <c r="BP359" s="1021"/>
      <c r="BQ359" s="1021"/>
      <c r="BR359" s="1021"/>
      <c r="BS359" s="1021"/>
      <c r="BT359" s="1021"/>
      <c r="BU359" s="1021"/>
      <c r="BV359" s="1021"/>
      <c r="BW359" s="1021"/>
      <c r="BX359" s="1021"/>
      <c r="BY359" s="1021"/>
      <c r="BZ359" s="1021"/>
      <c r="CA359" s="1021"/>
      <c r="CB359" s="1021"/>
      <c r="CC359" s="1021"/>
    </row>
    <row r="360" spans="8:81" x14ac:dyDescent="0.25">
      <c r="H360" s="1021"/>
      <c r="I360" s="1021"/>
      <c r="J360" s="1021"/>
      <c r="K360" s="1021"/>
      <c r="L360" s="1021"/>
      <c r="M360" s="1021"/>
      <c r="N360" s="1021"/>
      <c r="O360" s="1021"/>
      <c r="P360" s="1021"/>
      <c r="Q360" s="1021"/>
      <c r="R360" s="1021"/>
      <c r="S360" s="1021"/>
      <c r="T360" s="1021"/>
      <c r="U360" s="1021"/>
      <c r="V360" s="1021"/>
      <c r="W360" s="1021"/>
      <c r="X360" s="1021"/>
      <c r="Y360" s="1021"/>
      <c r="Z360" s="1021"/>
      <c r="AA360" s="1021"/>
      <c r="AB360" s="1021"/>
      <c r="AC360" s="1021"/>
      <c r="AD360" s="1021"/>
      <c r="AE360" s="1021"/>
      <c r="AF360" s="1021"/>
      <c r="AG360" s="1021"/>
      <c r="AH360" s="1021"/>
      <c r="AI360" s="1021"/>
      <c r="AJ360" s="1021"/>
      <c r="AK360" s="1021"/>
      <c r="AL360" s="1021"/>
      <c r="AM360" s="1021"/>
      <c r="AN360" s="1021"/>
      <c r="AO360" s="1021"/>
      <c r="AP360" s="1021"/>
      <c r="AQ360" s="1021"/>
      <c r="AR360" s="1021"/>
      <c r="AS360" s="1021"/>
      <c r="AT360" s="1021"/>
      <c r="AU360" s="1021"/>
      <c r="AV360" s="1021"/>
      <c r="AW360" s="1021"/>
      <c r="AX360" s="1021"/>
      <c r="AY360" s="1021"/>
      <c r="AZ360" s="1021"/>
      <c r="BA360" s="1021"/>
      <c r="BB360" s="1021"/>
      <c r="BC360" s="1021"/>
      <c r="BD360" s="1021"/>
      <c r="BE360" s="1021"/>
      <c r="BF360" s="1021"/>
      <c r="BG360" s="1021"/>
      <c r="BH360" s="1021"/>
      <c r="BI360" s="1021"/>
      <c r="BJ360" s="1021"/>
      <c r="BK360" s="1021"/>
      <c r="BL360" s="1021"/>
      <c r="BM360" s="1021"/>
      <c r="BN360" s="1021"/>
      <c r="BO360" s="1021"/>
      <c r="BP360" s="1021"/>
      <c r="BQ360" s="1021"/>
      <c r="BR360" s="1021"/>
      <c r="BS360" s="1021"/>
      <c r="BT360" s="1021"/>
      <c r="BU360" s="1021"/>
      <c r="BV360" s="1021"/>
      <c r="BW360" s="1021"/>
      <c r="BX360" s="1021"/>
      <c r="BY360" s="1021"/>
      <c r="BZ360" s="1021"/>
      <c r="CA360" s="1021"/>
      <c r="CB360" s="1021"/>
      <c r="CC360" s="1021"/>
    </row>
    <row r="361" spans="8:81" x14ac:dyDescent="0.25">
      <c r="H361" s="1021"/>
      <c r="I361" s="1021"/>
      <c r="J361" s="1021"/>
      <c r="K361" s="1021"/>
      <c r="L361" s="1021"/>
      <c r="M361" s="1021"/>
      <c r="N361" s="1021"/>
      <c r="O361" s="1021"/>
      <c r="P361" s="1021"/>
      <c r="Q361" s="1021"/>
      <c r="R361" s="1021"/>
      <c r="S361" s="1021"/>
      <c r="T361" s="1021"/>
      <c r="U361" s="1021"/>
      <c r="V361" s="1021"/>
      <c r="W361" s="1021"/>
      <c r="X361" s="1021"/>
      <c r="Y361" s="1021"/>
      <c r="Z361" s="1021"/>
      <c r="AA361" s="1021"/>
      <c r="AB361" s="1021"/>
      <c r="AC361" s="1021"/>
      <c r="AD361" s="1021"/>
      <c r="AE361" s="1021"/>
      <c r="AF361" s="1021"/>
      <c r="AG361" s="1021"/>
      <c r="AH361" s="1021"/>
      <c r="AI361" s="1021"/>
      <c r="AJ361" s="1021"/>
      <c r="AK361" s="1021"/>
      <c r="AL361" s="1021"/>
      <c r="AM361" s="1021"/>
      <c r="AN361" s="1021"/>
      <c r="AO361" s="1021"/>
      <c r="AP361" s="1021"/>
      <c r="AQ361" s="1021"/>
      <c r="AR361" s="1021"/>
      <c r="AS361" s="1021"/>
      <c r="AT361" s="1021"/>
      <c r="AU361" s="1021"/>
      <c r="AV361" s="1021"/>
      <c r="AW361" s="1021"/>
      <c r="AX361" s="1021"/>
      <c r="AY361" s="1021"/>
      <c r="AZ361" s="1021"/>
      <c r="BA361" s="1021"/>
      <c r="BB361" s="1021"/>
      <c r="BC361" s="1021"/>
      <c r="BD361" s="1021"/>
      <c r="BE361" s="1021"/>
      <c r="BF361" s="1021"/>
      <c r="BG361" s="1021"/>
      <c r="BH361" s="1021"/>
      <c r="BI361" s="1021"/>
      <c r="BJ361" s="1021"/>
      <c r="BK361" s="1021"/>
      <c r="BL361" s="1021"/>
      <c r="BM361" s="1021"/>
      <c r="BN361" s="1021"/>
      <c r="BO361" s="1021"/>
      <c r="BP361" s="1021"/>
      <c r="BQ361" s="1021"/>
      <c r="BR361" s="1021"/>
      <c r="BS361" s="1021"/>
      <c r="BT361" s="1021"/>
      <c r="BU361" s="1021"/>
      <c r="BV361" s="1021"/>
      <c r="BW361" s="1021"/>
      <c r="BX361" s="1021"/>
      <c r="BY361" s="1021"/>
      <c r="BZ361" s="1021"/>
      <c r="CA361" s="1021"/>
      <c r="CB361" s="1021"/>
      <c r="CC361" s="1021"/>
    </row>
    <row r="362" spans="8:81" x14ac:dyDescent="0.25">
      <c r="H362" s="1021"/>
      <c r="I362" s="1021"/>
      <c r="J362" s="1021"/>
      <c r="K362" s="1021"/>
      <c r="L362" s="1021"/>
      <c r="M362" s="1021"/>
      <c r="N362" s="1021"/>
      <c r="O362" s="1021"/>
      <c r="P362" s="1021"/>
      <c r="Q362" s="1021"/>
      <c r="R362" s="1021"/>
      <c r="S362" s="1021"/>
      <c r="T362" s="1021"/>
      <c r="U362" s="1021"/>
      <c r="V362" s="1021"/>
      <c r="W362" s="1021"/>
      <c r="X362" s="1021"/>
      <c r="Y362" s="1021"/>
      <c r="Z362" s="1021"/>
      <c r="AA362" s="1021"/>
      <c r="AB362" s="1021"/>
      <c r="AC362" s="1021"/>
      <c r="AD362" s="1021"/>
      <c r="AE362" s="1021"/>
      <c r="AF362" s="1021"/>
      <c r="AG362" s="1021"/>
      <c r="AH362" s="1021"/>
      <c r="AI362" s="1021"/>
      <c r="AJ362" s="1021"/>
      <c r="AK362" s="1021"/>
      <c r="AL362" s="1021"/>
      <c r="AM362" s="1021"/>
      <c r="AN362" s="1021"/>
      <c r="AO362" s="1021"/>
      <c r="AP362" s="1021"/>
      <c r="AQ362" s="1021"/>
      <c r="AR362" s="1021"/>
      <c r="AS362" s="1021"/>
      <c r="AT362" s="1021"/>
      <c r="AU362" s="1021"/>
      <c r="AV362" s="1021"/>
      <c r="AW362" s="1021"/>
      <c r="AX362" s="1021"/>
      <c r="AY362" s="1021"/>
      <c r="AZ362" s="1021"/>
      <c r="BA362" s="1021"/>
      <c r="BB362" s="1021"/>
      <c r="BC362" s="1021"/>
      <c r="BD362" s="1021"/>
      <c r="BE362" s="1021"/>
      <c r="BF362" s="1021"/>
      <c r="BG362" s="1021"/>
      <c r="BH362" s="1021"/>
      <c r="BI362" s="1021"/>
      <c r="BJ362" s="1021"/>
      <c r="BK362" s="1021"/>
      <c r="BL362" s="1021"/>
      <c r="BM362" s="1021"/>
      <c r="BN362" s="1021"/>
      <c r="BO362" s="1021"/>
      <c r="BP362" s="1021"/>
      <c r="BQ362" s="1021"/>
      <c r="BR362" s="1021"/>
      <c r="BS362" s="1021"/>
      <c r="BT362" s="1021"/>
      <c r="BU362" s="1021"/>
      <c r="BV362" s="1021"/>
      <c r="BW362" s="1021"/>
      <c r="BX362" s="1021"/>
      <c r="BY362" s="1021"/>
      <c r="BZ362" s="1021"/>
      <c r="CA362" s="1021"/>
      <c r="CB362" s="1021"/>
      <c r="CC362" s="1021"/>
    </row>
    <row r="363" spans="8:81" x14ac:dyDescent="0.25">
      <c r="H363" s="1021"/>
      <c r="I363" s="1021"/>
      <c r="J363" s="1021"/>
      <c r="K363" s="1021"/>
      <c r="L363" s="1021"/>
      <c r="M363" s="1021"/>
      <c r="N363" s="1021"/>
      <c r="O363" s="1021"/>
      <c r="P363" s="1021"/>
      <c r="Q363" s="1021"/>
      <c r="R363" s="1021"/>
      <c r="S363" s="1021"/>
      <c r="T363" s="1021"/>
      <c r="U363" s="1021"/>
      <c r="V363" s="1021"/>
      <c r="W363" s="1021"/>
      <c r="X363" s="1021"/>
      <c r="Y363" s="1021"/>
      <c r="Z363" s="1021"/>
      <c r="AA363" s="1021"/>
      <c r="AB363" s="1021"/>
      <c r="AC363" s="1021"/>
      <c r="AD363" s="1021"/>
      <c r="AE363" s="1021"/>
      <c r="AF363" s="1021"/>
      <c r="AG363" s="1021"/>
      <c r="AH363" s="1021"/>
      <c r="AI363" s="1021"/>
      <c r="AJ363" s="1021"/>
      <c r="AK363" s="1021"/>
      <c r="AL363" s="1021"/>
      <c r="AM363" s="1021"/>
      <c r="AN363" s="1021"/>
      <c r="AO363" s="1021"/>
      <c r="AP363" s="1021"/>
      <c r="AQ363" s="1021"/>
      <c r="AR363" s="1021"/>
      <c r="AS363" s="1021"/>
      <c r="AT363" s="1021"/>
      <c r="AU363" s="1021"/>
      <c r="AV363" s="1021"/>
      <c r="AW363" s="1021"/>
      <c r="AX363" s="1021"/>
      <c r="AY363" s="1021"/>
      <c r="AZ363" s="1021"/>
      <c r="BA363" s="1021"/>
      <c r="BB363" s="1021"/>
      <c r="BC363" s="1021"/>
      <c r="BD363" s="1021"/>
      <c r="BE363" s="1021"/>
      <c r="BF363" s="1021"/>
      <c r="BG363" s="1021"/>
      <c r="BH363" s="1021"/>
      <c r="BI363" s="1021"/>
      <c r="BJ363" s="1021"/>
      <c r="BK363" s="1021"/>
      <c r="BL363" s="1021"/>
      <c r="BM363" s="1021"/>
      <c r="BN363" s="1021"/>
      <c r="BO363" s="1021"/>
      <c r="BP363" s="1021"/>
      <c r="BQ363" s="1021"/>
      <c r="BR363" s="1021"/>
      <c r="BS363" s="1021"/>
      <c r="BT363" s="1021"/>
      <c r="BU363" s="1021"/>
      <c r="BV363" s="1021"/>
      <c r="BW363" s="1021"/>
      <c r="BX363" s="1021"/>
      <c r="BY363" s="1021"/>
      <c r="BZ363" s="1021"/>
      <c r="CA363" s="1021"/>
      <c r="CB363" s="1021"/>
      <c r="CC363" s="1021"/>
    </row>
    <row r="364" spans="8:81" x14ac:dyDescent="0.25">
      <c r="H364" s="1021"/>
      <c r="I364" s="1021"/>
      <c r="J364" s="1021"/>
      <c r="K364" s="1021"/>
      <c r="L364" s="1021"/>
      <c r="M364" s="1021"/>
      <c r="N364" s="1021"/>
      <c r="O364" s="1021"/>
      <c r="P364" s="1021"/>
      <c r="Q364" s="1021"/>
      <c r="R364" s="1021"/>
      <c r="S364" s="1021"/>
      <c r="T364" s="1021"/>
      <c r="U364" s="1021"/>
      <c r="V364" s="1021"/>
      <c r="W364" s="1021"/>
      <c r="X364" s="1021"/>
      <c r="Y364" s="1021"/>
      <c r="Z364" s="1021"/>
      <c r="AA364" s="1021"/>
      <c r="AB364" s="1021"/>
      <c r="AC364" s="1021"/>
      <c r="AD364" s="1021"/>
      <c r="AE364" s="1021"/>
      <c r="AF364" s="1021"/>
      <c r="AG364" s="1021"/>
      <c r="AH364" s="1021"/>
      <c r="AI364" s="1021"/>
      <c r="AJ364" s="1021"/>
      <c r="AK364" s="1021"/>
      <c r="AL364" s="1021"/>
      <c r="AM364" s="1021"/>
      <c r="AN364" s="1021"/>
      <c r="AO364" s="1021"/>
      <c r="AP364" s="1021"/>
      <c r="AQ364" s="1021"/>
      <c r="AR364" s="1021"/>
      <c r="AS364" s="1021"/>
      <c r="AT364" s="1021"/>
      <c r="AU364" s="1021"/>
      <c r="AV364" s="1021"/>
      <c r="AW364" s="1021"/>
      <c r="AX364" s="1021"/>
      <c r="AY364" s="1021"/>
      <c r="AZ364" s="1021"/>
      <c r="BA364" s="1021"/>
      <c r="BB364" s="1021"/>
      <c r="BC364" s="1021"/>
      <c r="BD364" s="1021"/>
      <c r="BE364" s="1021"/>
      <c r="BF364" s="1021"/>
      <c r="BG364" s="1021"/>
      <c r="BH364" s="1021"/>
      <c r="BI364" s="1021"/>
      <c r="BJ364" s="1021"/>
      <c r="BK364" s="1021"/>
      <c r="BL364" s="1021"/>
      <c r="BM364" s="1021"/>
      <c r="BN364" s="1021"/>
      <c r="BO364" s="1021"/>
      <c r="BP364" s="1021"/>
      <c r="BQ364" s="1021"/>
      <c r="BR364" s="1021"/>
      <c r="BS364" s="1021"/>
      <c r="BT364" s="1021"/>
      <c r="BU364" s="1021"/>
      <c r="BV364" s="1021"/>
      <c r="BW364" s="1021"/>
      <c r="BX364" s="1021"/>
      <c r="BY364" s="1021"/>
      <c r="BZ364" s="1021"/>
      <c r="CA364" s="1021"/>
      <c r="CB364" s="1021"/>
      <c r="CC364" s="1021"/>
    </row>
    <row r="365" spans="8:81" x14ac:dyDescent="0.25">
      <c r="H365" s="1021"/>
      <c r="I365" s="1021"/>
      <c r="J365" s="1021"/>
      <c r="K365" s="1021"/>
      <c r="L365" s="1021"/>
      <c r="M365" s="1021"/>
      <c r="N365" s="1021"/>
      <c r="O365" s="1021"/>
      <c r="P365" s="1021"/>
      <c r="Q365" s="1021"/>
      <c r="R365" s="1021"/>
      <c r="S365" s="1021"/>
      <c r="T365" s="1021"/>
      <c r="U365" s="1021"/>
      <c r="V365" s="1021"/>
      <c r="W365" s="1021"/>
      <c r="X365" s="1021"/>
      <c r="Y365" s="1021"/>
      <c r="Z365" s="1021"/>
      <c r="AA365" s="1021"/>
      <c r="AB365" s="1021"/>
      <c r="AC365" s="1021"/>
      <c r="AD365" s="1021"/>
      <c r="AE365" s="1021"/>
      <c r="AF365" s="1021"/>
      <c r="AG365" s="1021"/>
      <c r="AH365" s="1021"/>
      <c r="AI365" s="1021"/>
      <c r="AJ365" s="1021"/>
      <c r="AK365" s="1021"/>
      <c r="AL365" s="1021"/>
      <c r="AM365" s="1021"/>
      <c r="AN365" s="1021"/>
      <c r="AO365" s="1021"/>
      <c r="AP365" s="1021"/>
      <c r="AQ365" s="1021"/>
      <c r="AR365" s="1021"/>
      <c r="AS365" s="1021"/>
      <c r="AT365" s="1021"/>
      <c r="AU365" s="1021"/>
      <c r="AV365" s="1021"/>
      <c r="AW365" s="1021"/>
      <c r="AX365" s="1021"/>
      <c r="AY365" s="1021"/>
      <c r="AZ365" s="1021"/>
      <c r="BA365" s="1021"/>
      <c r="BB365" s="1021"/>
      <c r="BC365" s="1021"/>
      <c r="BD365" s="1021"/>
      <c r="BE365" s="1021"/>
      <c r="BF365" s="1021"/>
      <c r="BG365" s="1021"/>
      <c r="BH365" s="1021"/>
      <c r="BI365" s="1021"/>
      <c r="BJ365" s="1021"/>
      <c r="BK365" s="1021"/>
      <c r="BL365" s="1021"/>
      <c r="BM365" s="1021"/>
      <c r="BN365" s="1021"/>
      <c r="BO365" s="1021"/>
      <c r="BP365" s="1021"/>
      <c r="BQ365" s="1021"/>
      <c r="BR365" s="1021"/>
      <c r="BS365" s="1021"/>
      <c r="BT365" s="1021"/>
      <c r="BU365" s="1021"/>
      <c r="BV365" s="1021"/>
      <c r="BW365" s="1021"/>
      <c r="BX365" s="1021"/>
      <c r="BY365" s="1021"/>
      <c r="BZ365" s="1021"/>
      <c r="CA365" s="1021"/>
      <c r="CB365" s="1021"/>
      <c r="CC365" s="1021"/>
    </row>
    <row r="366" spans="8:81" x14ac:dyDescent="0.25">
      <c r="H366" s="1021"/>
      <c r="I366" s="1021"/>
      <c r="J366" s="1021"/>
      <c r="K366" s="1021"/>
      <c r="L366" s="1021"/>
      <c r="M366" s="1021"/>
      <c r="N366" s="1021"/>
      <c r="O366" s="1021"/>
      <c r="P366" s="1021"/>
      <c r="Q366" s="1021"/>
      <c r="R366" s="1021"/>
      <c r="S366" s="1021"/>
      <c r="T366" s="1021"/>
      <c r="U366" s="1021"/>
      <c r="V366" s="1021"/>
      <c r="W366" s="1021"/>
      <c r="X366" s="1021"/>
      <c r="Y366" s="1021"/>
      <c r="Z366" s="1021"/>
      <c r="AA366" s="1021"/>
      <c r="AB366" s="1021"/>
      <c r="AC366" s="1021"/>
      <c r="AD366" s="1021"/>
      <c r="AE366" s="1021"/>
      <c r="AF366" s="1021"/>
      <c r="AG366" s="1021"/>
      <c r="AH366" s="1021"/>
      <c r="AI366" s="1021"/>
      <c r="AJ366" s="1021"/>
      <c r="AK366" s="1021"/>
      <c r="AL366" s="1021"/>
      <c r="AM366" s="1021"/>
      <c r="AN366" s="1021"/>
      <c r="AO366" s="1021"/>
      <c r="AP366" s="1021"/>
      <c r="AQ366" s="1021"/>
      <c r="AR366" s="1021"/>
      <c r="AS366" s="1021"/>
      <c r="AT366" s="1021"/>
      <c r="AU366" s="1021"/>
      <c r="AV366" s="1021"/>
      <c r="AW366" s="1021"/>
      <c r="AX366" s="1021"/>
      <c r="AY366" s="1021"/>
      <c r="AZ366" s="1021"/>
      <c r="BA366" s="1021"/>
      <c r="BB366" s="1021"/>
      <c r="BC366" s="1021"/>
      <c r="BD366" s="1021"/>
      <c r="BE366" s="1021"/>
      <c r="BF366" s="1021"/>
      <c r="BG366" s="1021"/>
      <c r="BH366" s="1021"/>
      <c r="BI366" s="1021"/>
      <c r="BJ366" s="1021"/>
      <c r="BK366" s="1021"/>
      <c r="BL366" s="1021"/>
      <c r="BM366" s="1021"/>
      <c r="BN366" s="1021"/>
      <c r="BO366" s="1021"/>
      <c r="BP366" s="1021"/>
      <c r="BQ366" s="1021"/>
      <c r="BR366" s="1021"/>
      <c r="BS366" s="1021"/>
      <c r="BT366" s="1021"/>
      <c r="BU366" s="1021"/>
      <c r="BV366" s="1021"/>
      <c r="BW366" s="1021"/>
      <c r="BX366" s="1021"/>
      <c r="BY366" s="1021"/>
      <c r="BZ366" s="1021"/>
      <c r="CA366" s="1021"/>
      <c r="CB366" s="1021"/>
      <c r="CC366" s="1021"/>
    </row>
    <row r="367" spans="8:81" x14ac:dyDescent="0.25">
      <c r="H367" s="1021"/>
      <c r="I367" s="1021"/>
      <c r="J367" s="1021"/>
      <c r="K367" s="1021"/>
      <c r="L367" s="1021"/>
      <c r="M367" s="1021"/>
      <c r="N367" s="1021"/>
      <c r="O367" s="1021"/>
      <c r="P367" s="1021"/>
      <c r="Q367" s="1021"/>
      <c r="R367" s="1021"/>
      <c r="S367" s="1021"/>
      <c r="T367" s="1021"/>
      <c r="U367" s="1021"/>
      <c r="V367" s="1021"/>
      <c r="W367" s="1021"/>
      <c r="X367" s="1021"/>
      <c r="Y367" s="1021"/>
      <c r="Z367" s="1021"/>
      <c r="AA367" s="1021"/>
      <c r="AB367" s="1021"/>
      <c r="AC367" s="1021"/>
      <c r="AD367" s="1021"/>
      <c r="AE367" s="1021"/>
      <c r="AF367" s="1021"/>
      <c r="AG367" s="1021"/>
      <c r="AH367" s="1021"/>
      <c r="AI367" s="1021"/>
      <c r="AJ367" s="1021"/>
      <c r="AK367" s="1021"/>
      <c r="AL367" s="1021"/>
      <c r="AM367" s="1021"/>
      <c r="AN367" s="1021"/>
      <c r="AO367" s="1021"/>
      <c r="AP367" s="1021"/>
      <c r="AQ367" s="1021"/>
      <c r="AR367" s="1021"/>
      <c r="AS367" s="1021"/>
      <c r="AT367" s="1021"/>
      <c r="AU367" s="1021"/>
      <c r="AV367" s="1021"/>
      <c r="AW367" s="1021"/>
      <c r="AX367" s="1021"/>
      <c r="AY367" s="1021"/>
      <c r="AZ367" s="1021"/>
      <c r="BA367" s="1021"/>
      <c r="BB367" s="1021"/>
      <c r="BC367" s="1021"/>
      <c r="BD367" s="1021"/>
      <c r="BE367" s="1021"/>
      <c r="BF367" s="1021"/>
      <c r="BG367" s="1021"/>
      <c r="BH367" s="1021"/>
      <c r="BI367" s="1021"/>
      <c r="BJ367" s="1021"/>
      <c r="BK367" s="1021"/>
      <c r="BL367" s="1021"/>
      <c r="BM367" s="1021"/>
      <c r="BN367" s="1021"/>
      <c r="BO367" s="1021"/>
      <c r="BP367" s="1021"/>
      <c r="BQ367" s="1021"/>
      <c r="BR367" s="1021"/>
      <c r="BS367" s="1021"/>
      <c r="BT367" s="1021"/>
      <c r="BU367" s="1021"/>
      <c r="BV367" s="1021"/>
      <c r="BW367" s="1021"/>
      <c r="BX367" s="1021"/>
      <c r="BY367" s="1021"/>
      <c r="BZ367" s="1021"/>
      <c r="CA367" s="1021"/>
      <c r="CB367" s="1021"/>
      <c r="CC367" s="1021"/>
    </row>
    <row r="368" spans="8:81" x14ac:dyDescent="0.25">
      <c r="H368" s="1021"/>
      <c r="I368" s="1021"/>
      <c r="J368" s="1021"/>
      <c r="K368" s="1021"/>
      <c r="L368" s="1021"/>
      <c r="M368" s="1021"/>
      <c r="N368" s="1021"/>
      <c r="O368" s="1021"/>
      <c r="P368" s="1021"/>
      <c r="Q368" s="1021"/>
      <c r="R368" s="1021"/>
      <c r="S368" s="1021"/>
      <c r="T368" s="1021"/>
      <c r="U368" s="1021"/>
      <c r="V368" s="1021"/>
      <c r="W368" s="1021"/>
      <c r="X368" s="1021"/>
      <c r="Y368" s="1021"/>
      <c r="Z368" s="1021"/>
      <c r="AA368" s="1021"/>
      <c r="AB368" s="1021"/>
      <c r="AC368" s="1021"/>
      <c r="AD368" s="1021"/>
      <c r="AE368" s="1021"/>
      <c r="AF368" s="1021"/>
      <c r="AG368" s="1021"/>
      <c r="AH368" s="1021"/>
      <c r="AI368" s="1021"/>
      <c r="AJ368" s="1021"/>
      <c r="AK368" s="1021"/>
      <c r="AL368" s="1021"/>
      <c r="AM368" s="1021"/>
      <c r="AN368" s="1021"/>
      <c r="AO368" s="1021"/>
      <c r="AP368" s="1021"/>
      <c r="AQ368" s="1021"/>
      <c r="AR368" s="1021"/>
      <c r="AS368" s="1021"/>
      <c r="AT368" s="1021"/>
      <c r="AU368" s="1021"/>
      <c r="AV368" s="1021"/>
      <c r="AW368" s="1021"/>
      <c r="AX368" s="1021"/>
      <c r="AY368" s="1021"/>
      <c r="AZ368" s="1021"/>
      <c r="BA368" s="1021"/>
      <c r="BB368" s="1021"/>
      <c r="BC368" s="1021"/>
      <c r="BD368" s="1021"/>
      <c r="BE368" s="1021"/>
      <c r="BF368" s="1021"/>
      <c r="BG368" s="1021"/>
      <c r="BH368" s="1021"/>
      <c r="BI368" s="1021"/>
      <c r="BJ368" s="1021"/>
      <c r="BK368" s="1021"/>
      <c r="BL368" s="1021"/>
      <c r="BM368" s="1021"/>
      <c r="BN368" s="1021"/>
      <c r="BO368" s="1021"/>
      <c r="BP368" s="1021"/>
      <c r="BQ368" s="1021"/>
      <c r="BR368" s="1021"/>
      <c r="BS368" s="1021"/>
      <c r="BT368" s="1021"/>
      <c r="BU368" s="1021"/>
      <c r="BV368" s="1021"/>
      <c r="BW368" s="1021"/>
      <c r="BX368" s="1021"/>
      <c r="BY368" s="1021"/>
      <c r="BZ368" s="1021"/>
      <c r="CA368" s="1021"/>
      <c r="CB368" s="1021"/>
      <c r="CC368" s="1021"/>
    </row>
    <row r="369" spans="8:81" x14ac:dyDescent="0.25">
      <c r="H369" s="1021"/>
      <c r="I369" s="1021"/>
      <c r="J369" s="1021"/>
      <c r="K369" s="1021"/>
      <c r="L369" s="1021"/>
      <c r="M369" s="1021"/>
      <c r="N369" s="1021"/>
      <c r="O369" s="1021"/>
      <c r="P369" s="1021"/>
      <c r="Q369" s="1021"/>
      <c r="R369" s="1021"/>
      <c r="S369" s="1021"/>
      <c r="T369" s="1021"/>
      <c r="U369" s="1021"/>
      <c r="V369" s="1021"/>
      <c r="W369" s="1021"/>
      <c r="X369" s="1021"/>
      <c r="Y369" s="1021"/>
      <c r="Z369" s="1021"/>
      <c r="AA369" s="1021"/>
      <c r="AB369" s="1021"/>
      <c r="AC369" s="1021"/>
      <c r="AD369" s="1021"/>
      <c r="AE369" s="1021"/>
      <c r="AF369" s="1021"/>
      <c r="AG369" s="1021"/>
      <c r="AH369" s="1021"/>
      <c r="AI369" s="1021"/>
      <c r="AJ369" s="1021"/>
      <c r="AK369" s="1021"/>
      <c r="AL369" s="1021"/>
      <c r="AM369" s="1021"/>
      <c r="AN369" s="1021"/>
      <c r="AO369" s="1021"/>
      <c r="AP369" s="1021"/>
      <c r="AQ369" s="1021"/>
      <c r="AR369" s="1021"/>
      <c r="AS369" s="1021"/>
      <c r="AT369" s="1021"/>
      <c r="AU369" s="1021"/>
      <c r="AV369" s="1021"/>
      <c r="AW369" s="1021"/>
      <c r="AX369" s="1021"/>
      <c r="AY369" s="1021"/>
      <c r="AZ369" s="1021"/>
      <c r="BA369" s="1021"/>
      <c r="BB369" s="1021"/>
      <c r="BC369" s="1021"/>
      <c r="BD369" s="1021"/>
      <c r="BE369" s="1021"/>
      <c r="BF369" s="1021"/>
      <c r="BG369" s="1021"/>
      <c r="BH369" s="1021"/>
      <c r="BI369" s="1021"/>
      <c r="BJ369" s="1021"/>
      <c r="BK369" s="1021"/>
      <c r="BL369" s="1021"/>
      <c r="BM369" s="1021"/>
      <c r="BN369" s="1021"/>
      <c r="BO369" s="1021"/>
      <c r="BP369" s="1021"/>
      <c r="BQ369" s="1021"/>
      <c r="BR369" s="1021"/>
      <c r="BS369" s="1021"/>
      <c r="BT369" s="1021"/>
      <c r="BU369" s="1021"/>
      <c r="BV369" s="1021"/>
      <c r="BW369" s="1021"/>
      <c r="BX369" s="1021"/>
      <c r="BY369" s="1021"/>
      <c r="BZ369" s="1021"/>
      <c r="CA369" s="1021"/>
      <c r="CB369" s="1021"/>
      <c r="CC369" s="1021"/>
    </row>
    <row r="370" spans="8:81" x14ac:dyDescent="0.25">
      <c r="H370" s="1021"/>
      <c r="I370" s="1021"/>
      <c r="J370" s="1021"/>
      <c r="K370" s="1021"/>
      <c r="L370" s="1021"/>
      <c r="M370" s="1021"/>
      <c r="N370" s="1021"/>
      <c r="O370" s="1021"/>
      <c r="P370" s="1021"/>
      <c r="Q370" s="1021"/>
      <c r="R370" s="1021"/>
      <c r="S370" s="1021"/>
      <c r="T370" s="1021"/>
      <c r="U370" s="1021"/>
      <c r="V370" s="1021"/>
      <c r="W370" s="1021"/>
      <c r="X370" s="1021"/>
      <c r="Y370" s="1021"/>
      <c r="Z370" s="1021"/>
      <c r="AA370" s="1021"/>
      <c r="AB370" s="1021"/>
      <c r="AC370" s="1021"/>
      <c r="AD370" s="1021"/>
      <c r="AE370" s="1021"/>
      <c r="AF370" s="1021"/>
      <c r="AG370" s="1021"/>
      <c r="AH370" s="1021"/>
      <c r="AI370" s="1021"/>
      <c r="AJ370" s="1021"/>
      <c r="AK370" s="1021"/>
      <c r="AL370" s="1021"/>
      <c r="AM370" s="1021"/>
      <c r="AN370" s="1021"/>
      <c r="AO370" s="1021"/>
      <c r="AP370" s="1021"/>
      <c r="AQ370" s="1021"/>
      <c r="AR370" s="1021"/>
      <c r="AS370" s="1021"/>
      <c r="AT370" s="1021"/>
      <c r="AU370" s="1021"/>
      <c r="AV370" s="1021"/>
      <c r="AW370" s="1021"/>
      <c r="AX370" s="1021"/>
      <c r="AY370" s="1021"/>
      <c r="AZ370" s="1021"/>
      <c r="BA370" s="1021"/>
      <c r="BB370" s="1021"/>
      <c r="BC370" s="1021"/>
      <c r="BD370" s="1021"/>
      <c r="BE370" s="1021"/>
      <c r="BF370" s="1021"/>
      <c r="BG370" s="1021"/>
      <c r="BH370" s="1021"/>
      <c r="BI370" s="1021"/>
      <c r="BJ370" s="1021"/>
      <c r="BK370" s="1021"/>
      <c r="BL370" s="1021"/>
      <c r="BM370" s="1021"/>
      <c r="BN370" s="1021"/>
      <c r="BO370" s="1021"/>
      <c r="BP370" s="1021"/>
      <c r="BQ370" s="1021"/>
      <c r="BR370" s="1021"/>
      <c r="BS370" s="1021"/>
      <c r="BT370" s="1021"/>
      <c r="BU370" s="1021"/>
      <c r="BV370" s="1021"/>
      <c r="BW370" s="1021"/>
      <c r="BX370" s="1021"/>
      <c r="BY370" s="1021"/>
      <c r="BZ370" s="1021"/>
      <c r="CA370" s="1021"/>
      <c r="CB370" s="1021"/>
      <c r="CC370" s="1021"/>
    </row>
    <row r="371" spans="8:81" x14ac:dyDescent="0.25">
      <c r="H371" s="1021"/>
      <c r="I371" s="1021"/>
      <c r="J371" s="1021"/>
      <c r="K371" s="1021"/>
      <c r="L371" s="1021"/>
      <c r="M371" s="1021"/>
      <c r="N371" s="1021"/>
      <c r="O371" s="1021"/>
      <c r="P371" s="1021"/>
      <c r="Q371" s="1021"/>
      <c r="R371" s="1021"/>
      <c r="S371" s="1021"/>
      <c r="T371" s="1021"/>
      <c r="U371" s="1021"/>
      <c r="V371" s="1021"/>
      <c r="W371" s="1021"/>
      <c r="X371" s="1021"/>
      <c r="Y371" s="1021"/>
      <c r="Z371" s="1021"/>
      <c r="AA371" s="1021"/>
      <c r="AB371" s="1021"/>
      <c r="AC371" s="1021"/>
      <c r="AD371" s="1021"/>
      <c r="AE371" s="1021"/>
      <c r="AF371" s="1021"/>
      <c r="AG371" s="1021"/>
      <c r="AH371" s="1021"/>
      <c r="AI371" s="1021"/>
      <c r="AJ371" s="1021"/>
      <c r="AK371" s="1021"/>
      <c r="AL371" s="1021"/>
      <c r="AM371" s="1021"/>
      <c r="AN371" s="1021"/>
      <c r="AO371" s="1021"/>
      <c r="AP371" s="1021"/>
      <c r="AQ371" s="1021"/>
      <c r="AR371" s="1021"/>
      <c r="AS371" s="1021"/>
      <c r="AT371" s="1021"/>
      <c r="AU371" s="1021"/>
      <c r="AV371" s="1021"/>
      <c r="AW371" s="1021"/>
      <c r="AX371" s="1021"/>
      <c r="AY371" s="1021"/>
      <c r="AZ371" s="1021"/>
      <c r="BA371" s="1021"/>
      <c r="BB371" s="1021"/>
      <c r="BC371" s="1021"/>
      <c r="BD371" s="1021"/>
      <c r="BE371" s="1021"/>
      <c r="BF371" s="1021"/>
      <c r="BG371" s="1021"/>
      <c r="BH371" s="1021"/>
      <c r="BI371" s="1021"/>
      <c r="BJ371" s="1021"/>
      <c r="BK371" s="1021"/>
      <c r="BL371" s="1021"/>
      <c r="BM371" s="1021"/>
      <c r="BN371" s="1021"/>
      <c r="BO371" s="1021"/>
      <c r="BP371" s="1021"/>
      <c r="BQ371" s="1021"/>
      <c r="BR371" s="1021"/>
      <c r="BS371" s="1021"/>
      <c r="BT371" s="1021"/>
      <c r="BU371" s="1021"/>
      <c r="BV371" s="1021"/>
      <c r="BW371" s="1021"/>
      <c r="BX371" s="1021"/>
      <c r="BY371" s="1021"/>
      <c r="BZ371" s="1021"/>
      <c r="CA371" s="1021"/>
      <c r="CB371" s="1021"/>
      <c r="CC371" s="1021"/>
    </row>
    <row r="372" spans="8:81" x14ac:dyDescent="0.25">
      <c r="H372" s="1021"/>
      <c r="I372" s="1021"/>
      <c r="J372" s="1021"/>
      <c r="K372" s="1021"/>
      <c r="L372" s="1021"/>
      <c r="M372" s="1021"/>
      <c r="N372" s="1021"/>
      <c r="O372" s="1021"/>
      <c r="P372" s="1021"/>
      <c r="Q372" s="1021"/>
      <c r="R372" s="1021"/>
      <c r="S372" s="1021"/>
      <c r="T372" s="1021"/>
      <c r="U372" s="1021"/>
      <c r="V372" s="1021"/>
      <c r="W372" s="1021"/>
      <c r="X372" s="1021"/>
      <c r="Y372" s="1021"/>
      <c r="Z372" s="1021"/>
      <c r="AA372" s="1021"/>
      <c r="AB372" s="1021"/>
      <c r="AC372" s="1021"/>
      <c r="AD372" s="1021"/>
      <c r="AE372" s="1021"/>
      <c r="AF372" s="1021"/>
      <c r="AG372" s="1021"/>
      <c r="AH372" s="1021"/>
      <c r="AI372" s="1021"/>
      <c r="AJ372" s="1021"/>
      <c r="AK372" s="1021"/>
      <c r="AL372" s="1021"/>
      <c r="AM372" s="1021"/>
      <c r="AN372" s="1021"/>
      <c r="AO372" s="1021"/>
      <c r="AP372" s="1021"/>
      <c r="AQ372" s="1021"/>
      <c r="AR372" s="1021"/>
      <c r="AS372" s="1021"/>
      <c r="AT372" s="1021"/>
      <c r="AU372" s="1021"/>
      <c r="AV372" s="1021"/>
      <c r="AW372" s="1021"/>
      <c r="AX372" s="1021"/>
      <c r="AY372" s="1021"/>
      <c r="AZ372" s="1021"/>
      <c r="BA372" s="1021"/>
      <c r="BB372" s="1021"/>
      <c r="BC372" s="1021"/>
      <c r="BD372" s="1021"/>
      <c r="BE372" s="1021"/>
      <c r="BF372" s="1021"/>
      <c r="BG372" s="1021"/>
      <c r="BH372" s="1021"/>
      <c r="BI372" s="1021"/>
      <c r="BJ372" s="1021"/>
      <c r="BK372" s="1021"/>
      <c r="BL372" s="1021"/>
      <c r="BM372" s="1021"/>
      <c r="BN372" s="1021"/>
      <c r="BO372" s="1021"/>
      <c r="BP372" s="1021"/>
      <c r="BQ372" s="1021"/>
      <c r="BR372" s="1021"/>
      <c r="BS372" s="1021"/>
      <c r="BT372" s="1021"/>
      <c r="BU372" s="1021"/>
      <c r="BV372" s="1021"/>
      <c r="BW372" s="1021"/>
      <c r="BX372" s="1021"/>
      <c r="BY372" s="1021"/>
      <c r="BZ372" s="1021"/>
      <c r="CA372" s="1021"/>
      <c r="CB372" s="1021"/>
      <c r="CC372" s="1021"/>
    </row>
    <row r="373" spans="8:81" x14ac:dyDescent="0.25">
      <c r="H373" s="1021"/>
      <c r="I373" s="1021"/>
      <c r="J373" s="1021"/>
      <c r="K373" s="1021"/>
      <c r="L373" s="1021"/>
      <c r="M373" s="1021"/>
      <c r="N373" s="1021"/>
      <c r="O373" s="1021"/>
      <c r="P373" s="1021"/>
      <c r="Q373" s="1021"/>
      <c r="R373" s="1021"/>
      <c r="S373" s="1021"/>
      <c r="T373" s="1021"/>
      <c r="U373" s="1021"/>
      <c r="V373" s="1021"/>
      <c r="W373" s="1021"/>
      <c r="X373" s="1021"/>
      <c r="Y373" s="1021"/>
      <c r="Z373" s="1021"/>
      <c r="AA373" s="1021"/>
      <c r="AB373" s="1021"/>
      <c r="AC373" s="1021"/>
      <c r="AD373" s="1021"/>
      <c r="AE373" s="1021"/>
      <c r="AF373" s="1021"/>
      <c r="AG373" s="1021"/>
      <c r="AH373" s="1021"/>
      <c r="AI373" s="1021"/>
      <c r="AJ373" s="1021"/>
      <c r="AK373" s="1021"/>
      <c r="AL373" s="1021"/>
      <c r="AM373" s="1021"/>
      <c r="AN373" s="1021"/>
      <c r="AO373" s="1021"/>
      <c r="AP373" s="1021"/>
      <c r="AQ373" s="1021"/>
      <c r="AR373" s="1021"/>
      <c r="AS373" s="1021"/>
      <c r="AT373" s="1021"/>
      <c r="AU373" s="1021"/>
      <c r="AV373" s="1021"/>
      <c r="AW373" s="1021"/>
      <c r="AX373" s="1021"/>
      <c r="AY373" s="1021"/>
      <c r="AZ373" s="1021"/>
      <c r="BA373" s="1021"/>
      <c r="BB373" s="1021"/>
      <c r="BC373" s="1021"/>
      <c r="BD373" s="1021"/>
      <c r="BE373" s="1021"/>
      <c r="BF373" s="1021"/>
      <c r="BG373" s="1021"/>
      <c r="BH373" s="1021"/>
      <c r="BI373" s="1021"/>
      <c r="BJ373" s="1021"/>
      <c r="BK373" s="1021"/>
      <c r="BL373" s="1021"/>
      <c r="BM373" s="1021"/>
      <c r="BN373" s="1021"/>
      <c r="BO373" s="1021"/>
      <c r="BP373" s="1021"/>
      <c r="BQ373" s="1021"/>
      <c r="BR373" s="1021"/>
      <c r="BS373" s="1021"/>
      <c r="BT373" s="1021"/>
      <c r="BU373" s="1021"/>
      <c r="BV373" s="1021"/>
      <c r="BW373" s="1021"/>
      <c r="BX373" s="1021"/>
      <c r="BY373" s="1021"/>
      <c r="BZ373" s="1021"/>
      <c r="CA373" s="1021"/>
      <c r="CB373" s="1021"/>
      <c r="CC373" s="1021"/>
    </row>
    <row r="374" spans="8:81" x14ac:dyDescent="0.25">
      <c r="H374" s="1021"/>
      <c r="I374" s="1021"/>
      <c r="J374" s="1021"/>
      <c r="K374" s="1021"/>
      <c r="L374" s="1021"/>
      <c r="M374" s="1021"/>
      <c r="N374" s="1021"/>
      <c r="O374" s="1021"/>
      <c r="P374" s="1021"/>
      <c r="Q374" s="1021"/>
      <c r="R374" s="1021"/>
      <c r="S374" s="1021"/>
      <c r="T374" s="1021"/>
      <c r="U374" s="1021"/>
      <c r="V374" s="1021"/>
      <c r="W374" s="1021"/>
      <c r="X374" s="1021"/>
      <c r="Y374" s="1021"/>
      <c r="Z374" s="1021"/>
      <c r="AA374" s="1021"/>
      <c r="AB374" s="1021"/>
      <c r="AC374" s="1021"/>
      <c r="AD374" s="1021"/>
      <c r="AE374" s="1021"/>
      <c r="AF374" s="1021"/>
      <c r="AG374" s="1021"/>
      <c r="AH374" s="1021"/>
      <c r="AI374" s="1021"/>
      <c r="AJ374" s="1021"/>
      <c r="AK374" s="1021"/>
      <c r="AL374" s="1021"/>
      <c r="AM374" s="1021"/>
      <c r="AN374" s="1021"/>
      <c r="AO374" s="1021"/>
      <c r="AP374" s="1021"/>
      <c r="AQ374" s="1021"/>
      <c r="AR374" s="1021"/>
      <c r="AS374" s="1021"/>
      <c r="AT374" s="1021"/>
      <c r="AU374" s="1021"/>
      <c r="AV374" s="1021"/>
      <c r="AW374" s="1021"/>
      <c r="AX374" s="1021"/>
      <c r="AY374" s="1021"/>
      <c r="AZ374" s="1021"/>
      <c r="BA374" s="1021"/>
      <c r="BB374" s="1021"/>
      <c r="BC374" s="1021"/>
      <c r="BD374" s="1021"/>
      <c r="BE374" s="1021"/>
      <c r="BF374" s="1021"/>
      <c r="BG374" s="1021"/>
      <c r="BH374" s="1021"/>
      <c r="BI374" s="1021"/>
      <c r="BJ374" s="1021"/>
      <c r="BK374" s="1021"/>
      <c r="BL374" s="1021"/>
      <c r="BM374" s="1021"/>
      <c r="BN374" s="1021"/>
      <c r="BO374" s="1021"/>
      <c r="BP374" s="1021"/>
      <c r="BQ374" s="1021"/>
      <c r="BR374" s="1021"/>
      <c r="BS374" s="1021"/>
      <c r="BT374" s="1021"/>
      <c r="BU374" s="1021"/>
      <c r="BV374" s="1021"/>
      <c r="BW374" s="1021"/>
      <c r="BX374" s="1021"/>
      <c r="BY374" s="1021"/>
      <c r="BZ374" s="1021"/>
      <c r="CA374" s="1021"/>
      <c r="CB374" s="1021"/>
      <c r="CC374" s="1021"/>
    </row>
    <row r="375" spans="8:81" x14ac:dyDescent="0.25">
      <c r="H375" s="1021"/>
      <c r="I375" s="1021"/>
      <c r="J375" s="1021"/>
      <c r="K375" s="1021"/>
      <c r="L375" s="1021"/>
      <c r="M375" s="1021"/>
      <c r="N375" s="1021"/>
      <c r="O375" s="1021"/>
      <c r="P375" s="1021"/>
      <c r="Q375" s="1021"/>
      <c r="R375" s="1021"/>
      <c r="S375" s="1021"/>
      <c r="T375" s="1021"/>
      <c r="U375" s="1021"/>
      <c r="V375" s="1021"/>
      <c r="W375" s="1021"/>
      <c r="X375" s="1021"/>
      <c r="Y375" s="1021"/>
      <c r="Z375" s="1021"/>
      <c r="AA375" s="1021"/>
      <c r="AB375" s="1021"/>
      <c r="AC375" s="1021"/>
      <c r="AD375" s="1021"/>
      <c r="AE375" s="1021"/>
      <c r="AF375" s="1021"/>
      <c r="AG375" s="1021"/>
      <c r="AH375" s="1021"/>
      <c r="AI375" s="1021"/>
      <c r="AJ375" s="1021"/>
      <c r="AK375" s="1021"/>
      <c r="AL375" s="1021"/>
      <c r="AM375" s="1021"/>
      <c r="AN375" s="1021"/>
      <c r="AO375" s="1021"/>
      <c r="AP375" s="1021"/>
      <c r="AQ375" s="1021"/>
      <c r="AR375" s="1021"/>
      <c r="AS375" s="1021"/>
      <c r="AT375" s="1021"/>
      <c r="AU375" s="1021"/>
      <c r="AV375" s="1021"/>
      <c r="AW375" s="1021"/>
      <c r="AX375" s="1021"/>
      <c r="AY375" s="1021"/>
      <c r="AZ375" s="1021"/>
      <c r="BA375" s="1021"/>
      <c r="BB375" s="1021"/>
      <c r="BC375" s="1021"/>
      <c r="BD375" s="1021"/>
      <c r="BE375" s="1021"/>
      <c r="BF375" s="1021"/>
      <c r="BG375" s="1021"/>
      <c r="BH375" s="1021"/>
      <c r="BI375" s="1021"/>
      <c r="BJ375" s="1021"/>
      <c r="BK375" s="1021"/>
      <c r="BL375" s="1021"/>
      <c r="BM375" s="1021"/>
      <c r="BN375" s="1021"/>
      <c r="BO375" s="1021"/>
      <c r="BP375" s="1021"/>
      <c r="BQ375" s="1021"/>
      <c r="BR375" s="1021"/>
      <c r="BS375" s="1021"/>
      <c r="BT375" s="1021"/>
      <c r="BU375" s="1021"/>
      <c r="BV375" s="1021"/>
      <c r="BW375" s="1021"/>
      <c r="BX375" s="1021"/>
      <c r="BY375" s="1021"/>
      <c r="BZ375" s="1021"/>
      <c r="CA375" s="1021"/>
      <c r="CB375" s="1021"/>
      <c r="CC375" s="1021"/>
    </row>
    <row r="376" spans="8:81" x14ac:dyDescent="0.25">
      <c r="H376" s="1021"/>
      <c r="I376" s="1021"/>
      <c r="J376" s="1021"/>
      <c r="K376" s="1021"/>
      <c r="L376" s="1021"/>
      <c r="M376" s="1021"/>
      <c r="N376" s="1021"/>
      <c r="O376" s="1021"/>
      <c r="P376" s="1021"/>
      <c r="Q376" s="1021"/>
      <c r="R376" s="1021"/>
      <c r="S376" s="1021"/>
      <c r="T376" s="1021"/>
      <c r="U376" s="1021"/>
      <c r="V376" s="1021"/>
      <c r="W376" s="1021"/>
      <c r="X376" s="1021"/>
      <c r="Y376" s="1021"/>
      <c r="Z376" s="1021"/>
      <c r="AA376" s="1021"/>
      <c r="AB376" s="1021"/>
      <c r="AC376" s="1021"/>
      <c r="AD376" s="1021"/>
      <c r="AE376" s="1021"/>
      <c r="AF376" s="1021"/>
      <c r="AG376" s="1021"/>
      <c r="AH376" s="1021"/>
      <c r="AI376" s="1021"/>
      <c r="AJ376" s="1021"/>
      <c r="AK376" s="1021"/>
      <c r="AL376" s="1021"/>
      <c r="AM376" s="1021"/>
      <c r="AN376" s="1021"/>
      <c r="AO376" s="1021"/>
      <c r="AP376" s="1021"/>
      <c r="AQ376" s="1021"/>
      <c r="AR376" s="1021"/>
      <c r="AS376" s="1021"/>
      <c r="AT376" s="1021"/>
      <c r="AU376" s="1021"/>
      <c r="AV376" s="1021"/>
      <c r="AW376" s="1021"/>
      <c r="AX376" s="1021"/>
      <c r="AY376" s="1021"/>
      <c r="AZ376" s="1021"/>
      <c r="BA376" s="1021"/>
      <c r="BB376" s="1021"/>
      <c r="BC376" s="1021"/>
      <c r="BD376" s="1021"/>
      <c r="BE376" s="1021"/>
      <c r="BF376" s="1021"/>
      <c r="BG376" s="1021"/>
      <c r="BH376" s="1021"/>
      <c r="BI376" s="1021"/>
      <c r="BJ376" s="1021"/>
      <c r="BK376" s="1021"/>
      <c r="BL376" s="1021"/>
      <c r="BM376" s="1021"/>
      <c r="BN376" s="1021"/>
      <c r="BO376" s="1021"/>
      <c r="BP376" s="1021"/>
      <c r="BQ376" s="1021"/>
      <c r="BR376" s="1021"/>
      <c r="BS376" s="1021"/>
      <c r="BT376" s="1021"/>
      <c r="BU376" s="1021"/>
      <c r="BV376" s="1021"/>
      <c r="BW376" s="1021"/>
      <c r="BX376" s="1021"/>
      <c r="BY376" s="1021"/>
      <c r="BZ376" s="1021"/>
      <c r="CA376" s="1021"/>
      <c r="CB376" s="1021"/>
      <c r="CC376" s="1021"/>
    </row>
    <row r="377" spans="8:81" x14ac:dyDescent="0.25">
      <c r="H377" s="1021"/>
      <c r="I377" s="1021"/>
      <c r="J377" s="1021"/>
      <c r="K377" s="1021"/>
      <c r="L377" s="1021"/>
      <c r="M377" s="1021"/>
      <c r="N377" s="1021"/>
      <c r="O377" s="1021"/>
      <c r="P377" s="1021"/>
      <c r="Q377" s="1021"/>
      <c r="R377" s="1021"/>
      <c r="S377" s="1021"/>
      <c r="T377" s="1021"/>
      <c r="U377" s="1021"/>
      <c r="V377" s="1021"/>
      <c r="W377" s="1021"/>
      <c r="X377" s="1021"/>
      <c r="Y377" s="1021"/>
      <c r="Z377" s="1021"/>
      <c r="AA377" s="1021"/>
      <c r="AB377" s="1021"/>
      <c r="AC377" s="1021"/>
      <c r="AD377" s="1021"/>
      <c r="AE377" s="1021"/>
      <c r="AF377" s="1021"/>
      <c r="AG377" s="1021"/>
      <c r="AH377" s="1021"/>
      <c r="AI377" s="1021"/>
      <c r="AJ377" s="1021"/>
      <c r="AK377" s="1021"/>
      <c r="AL377" s="1021"/>
      <c r="AM377" s="1021"/>
      <c r="AN377" s="1021"/>
      <c r="AO377" s="1021"/>
      <c r="AP377" s="1021"/>
      <c r="AQ377" s="1021"/>
      <c r="AR377" s="1021"/>
      <c r="AS377" s="1021"/>
      <c r="AT377" s="1021"/>
      <c r="AU377" s="1021"/>
      <c r="AV377" s="1021"/>
      <c r="AW377" s="1021"/>
      <c r="AX377" s="1021"/>
      <c r="AY377" s="1021"/>
      <c r="AZ377" s="1021"/>
      <c r="BA377" s="1021"/>
      <c r="BB377" s="1021"/>
      <c r="BC377" s="1021"/>
      <c r="BD377" s="1021"/>
      <c r="BE377" s="1021"/>
      <c r="BF377" s="1021"/>
      <c r="BG377" s="1021"/>
      <c r="BH377" s="1021"/>
      <c r="BI377" s="1021"/>
      <c r="BJ377" s="1021"/>
      <c r="BK377" s="1021"/>
      <c r="BL377" s="1021"/>
      <c r="BM377" s="1021"/>
      <c r="BN377" s="1021"/>
      <c r="BO377" s="1021"/>
      <c r="BP377" s="1021"/>
      <c r="BQ377" s="1021"/>
      <c r="BR377" s="1021"/>
      <c r="BS377" s="1021"/>
      <c r="BT377" s="1021"/>
      <c r="BU377" s="1021"/>
      <c r="BV377" s="1021"/>
      <c r="BW377" s="1021"/>
      <c r="BX377" s="1021"/>
      <c r="BY377" s="1021"/>
      <c r="BZ377" s="1021"/>
      <c r="CA377" s="1021"/>
      <c r="CB377" s="1021"/>
      <c r="CC377" s="1021"/>
    </row>
    <row r="378" spans="8:81" x14ac:dyDescent="0.25">
      <c r="H378" s="1021"/>
      <c r="I378" s="1021"/>
      <c r="J378" s="1021"/>
      <c r="K378" s="1021"/>
      <c r="L378" s="1021"/>
      <c r="M378" s="1021"/>
      <c r="N378" s="1021"/>
      <c r="O378" s="1021"/>
      <c r="P378" s="1021"/>
      <c r="Q378" s="1021"/>
      <c r="R378" s="1021"/>
      <c r="S378" s="1021"/>
      <c r="T378" s="1021"/>
      <c r="U378" s="1021"/>
      <c r="V378" s="1021"/>
      <c r="W378" s="1021"/>
      <c r="X378" s="1021"/>
      <c r="Y378" s="1021"/>
      <c r="Z378" s="1021"/>
      <c r="AA378" s="1021"/>
      <c r="AB378" s="1021"/>
      <c r="AC378" s="1021"/>
      <c r="AD378" s="1021"/>
      <c r="AE378" s="1021"/>
      <c r="AF378" s="1021"/>
      <c r="AG378" s="1021"/>
      <c r="AH378" s="1021"/>
      <c r="AI378" s="1021"/>
      <c r="AJ378" s="1021"/>
      <c r="AK378" s="1021"/>
      <c r="AL378" s="1021"/>
      <c r="AM378" s="1021"/>
      <c r="AN378" s="1021"/>
      <c r="AO378" s="1021"/>
      <c r="AP378" s="1021"/>
      <c r="AQ378" s="1021"/>
      <c r="AR378" s="1021"/>
      <c r="AS378" s="1021"/>
      <c r="AT378" s="1021"/>
      <c r="AU378" s="1021"/>
      <c r="AV378" s="1021"/>
      <c r="AW378" s="1021"/>
      <c r="AX378" s="1021"/>
      <c r="AY378" s="1021"/>
      <c r="AZ378" s="1021"/>
      <c r="BA378" s="1021"/>
      <c r="BB378" s="1021"/>
      <c r="BC378" s="1021"/>
      <c r="BD378" s="1021"/>
      <c r="BE378" s="1021"/>
      <c r="BF378" s="1021"/>
      <c r="BG378" s="1021"/>
      <c r="BH378" s="1021"/>
      <c r="BI378" s="1021"/>
      <c r="BJ378" s="1021"/>
      <c r="BK378" s="1021"/>
      <c r="BL378" s="1021"/>
      <c r="BM378" s="1021"/>
      <c r="BN378" s="1021"/>
      <c r="BO378" s="1021"/>
      <c r="BP378" s="1021"/>
      <c r="BQ378" s="1021"/>
      <c r="BR378" s="1021"/>
      <c r="BS378" s="1021"/>
      <c r="BT378" s="1021"/>
      <c r="BU378" s="1021"/>
      <c r="BV378" s="1021"/>
      <c r="BW378" s="1021"/>
      <c r="BX378" s="1021"/>
      <c r="BY378" s="1021"/>
      <c r="BZ378" s="1021"/>
      <c r="CA378" s="1021"/>
      <c r="CB378" s="1021"/>
      <c r="CC378" s="1021"/>
    </row>
    <row r="379" spans="8:81" x14ac:dyDescent="0.25">
      <c r="H379" s="1021"/>
      <c r="I379" s="1021"/>
      <c r="J379" s="1021"/>
      <c r="K379" s="1021"/>
      <c r="L379" s="1021"/>
      <c r="M379" s="1021"/>
      <c r="N379" s="1021"/>
      <c r="O379" s="1021"/>
      <c r="P379" s="1021"/>
      <c r="Q379" s="1021"/>
      <c r="R379" s="1021"/>
      <c r="S379" s="1021"/>
      <c r="T379" s="1021"/>
      <c r="U379" s="1021"/>
      <c r="V379" s="1021"/>
      <c r="W379" s="1021"/>
      <c r="X379" s="1021"/>
      <c r="Y379" s="1021"/>
      <c r="Z379" s="1021"/>
      <c r="AA379" s="1021"/>
      <c r="AB379" s="1021"/>
      <c r="AC379" s="1021"/>
      <c r="AD379" s="1021"/>
      <c r="AE379" s="1021"/>
      <c r="AF379" s="1021"/>
      <c r="AG379" s="1021"/>
      <c r="AH379" s="1021"/>
      <c r="AI379" s="1021"/>
      <c r="AJ379" s="1021"/>
      <c r="AK379" s="1021"/>
      <c r="AL379" s="1021"/>
      <c r="AM379" s="1021"/>
      <c r="AN379" s="1021"/>
      <c r="AO379" s="1021"/>
      <c r="AP379" s="1021"/>
      <c r="AQ379" s="1021"/>
      <c r="AR379" s="1021"/>
      <c r="AS379" s="1021"/>
      <c r="AT379" s="1021"/>
      <c r="AU379" s="1021"/>
      <c r="AV379" s="1021"/>
      <c r="AW379" s="1021"/>
      <c r="AX379" s="1021"/>
      <c r="AY379" s="1021"/>
      <c r="AZ379" s="1021"/>
      <c r="BA379" s="1021"/>
      <c r="BB379" s="1021"/>
      <c r="BC379" s="1021"/>
      <c r="BD379" s="1021"/>
      <c r="BE379" s="1021"/>
      <c r="BF379" s="1021"/>
      <c r="BG379" s="1021"/>
      <c r="BH379" s="1021"/>
      <c r="BI379" s="1021"/>
      <c r="BJ379" s="1021"/>
      <c r="BK379" s="1021"/>
      <c r="BL379" s="1021"/>
      <c r="BM379" s="1021"/>
      <c r="BN379" s="1021"/>
      <c r="BO379" s="1021"/>
      <c r="BP379" s="1021"/>
      <c r="BQ379" s="1021"/>
      <c r="BR379" s="1021"/>
      <c r="BS379" s="1021"/>
      <c r="BT379" s="1021"/>
      <c r="BU379" s="1021"/>
      <c r="BV379" s="1021"/>
      <c r="BW379" s="1021"/>
      <c r="BX379" s="1021"/>
      <c r="BY379" s="1021"/>
      <c r="BZ379" s="1021"/>
      <c r="CA379" s="1021"/>
      <c r="CB379" s="1021"/>
      <c r="CC379" s="1021"/>
    </row>
    <row r="380" spans="8:81" x14ac:dyDescent="0.25">
      <c r="H380" s="1021"/>
      <c r="I380" s="1021"/>
      <c r="J380" s="1021"/>
      <c r="K380" s="1021"/>
      <c r="L380" s="1021"/>
      <c r="M380" s="1021"/>
      <c r="N380" s="1021"/>
      <c r="O380" s="1021"/>
      <c r="P380" s="1021"/>
      <c r="Q380" s="1021"/>
      <c r="R380" s="1021"/>
      <c r="S380" s="1021"/>
      <c r="T380" s="1021"/>
      <c r="U380" s="1021"/>
      <c r="V380" s="1021"/>
      <c r="W380" s="1021"/>
      <c r="X380" s="1021"/>
      <c r="Y380" s="1021"/>
      <c r="Z380" s="1021"/>
      <c r="AA380" s="1021"/>
      <c r="AB380" s="1021"/>
      <c r="AC380" s="1021"/>
      <c r="AD380" s="1021"/>
      <c r="AE380" s="1021"/>
      <c r="AF380" s="1021"/>
      <c r="AG380" s="1021"/>
      <c r="AH380" s="1021"/>
      <c r="AI380" s="1021"/>
      <c r="AJ380" s="1021"/>
      <c r="AK380" s="1021"/>
      <c r="AL380" s="1021"/>
      <c r="AM380" s="1021"/>
      <c r="AN380" s="1021"/>
      <c r="AO380" s="1021"/>
      <c r="AP380" s="1021"/>
      <c r="AQ380" s="1021"/>
      <c r="AR380" s="1021"/>
      <c r="AS380" s="1021"/>
      <c r="AT380" s="1021"/>
      <c r="AU380" s="1021"/>
      <c r="AV380" s="1021"/>
      <c r="AW380" s="1021"/>
      <c r="AX380" s="1021"/>
      <c r="AY380" s="1021"/>
      <c r="AZ380" s="1021"/>
      <c r="BA380" s="1021"/>
      <c r="BB380" s="1021"/>
      <c r="BC380" s="1021"/>
      <c r="BD380" s="1021"/>
      <c r="BE380" s="1021"/>
      <c r="BF380" s="1021"/>
      <c r="BG380" s="1021"/>
      <c r="BH380" s="1021"/>
      <c r="BI380" s="1021"/>
      <c r="BJ380" s="1021"/>
      <c r="BK380" s="1021"/>
      <c r="BL380" s="1021"/>
      <c r="BM380" s="1021"/>
      <c r="BN380" s="1021"/>
      <c r="BO380" s="1021"/>
      <c r="BP380" s="1021"/>
      <c r="BQ380" s="1021"/>
      <c r="BR380" s="1021"/>
      <c r="BS380" s="1021"/>
      <c r="BT380" s="1021"/>
      <c r="BU380" s="1021"/>
      <c r="BV380" s="1021"/>
      <c r="BW380" s="1021"/>
      <c r="BX380" s="1021"/>
      <c r="BY380" s="1021"/>
      <c r="BZ380" s="1021"/>
      <c r="CA380" s="1021"/>
      <c r="CB380" s="1021"/>
      <c r="CC380" s="1021"/>
    </row>
    <row r="381" spans="8:81" x14ac:dyDescent="0.25">
      <c r="H381" s="1021"/>
      <c r="I381" s="1021"/>
      <c r="J381" s="1021"/>
      <c r="K381" s="1021"/>
      <c r="L381" s="1021"/>
      <c r="M381" s="1021"/>
      <c r="N381" s="1021"/>
      <c r="O381" s="1021"/>
      <c r="P381" s="1021"/>
      <c r="Q381" s="1021"/>
      <c r="R381" s="1021"/>
      <c r="S381" s="1021"/>
      <c r="T381" s="1021"/>
      <c r="U381" s="1021"/>
      <c r="V381" s="1021"/>
      <c r="W381" s="1021"/>
      <c r="X381" s="1021"/>
      <c r="Y381" s="1021"/>
      <c r="Z381" s="1021"/>
      <c r="AA381" s="1021"/>
      <c r="AB381" s="1021"/>
      <c r="AC381" s="1021"/>
      <c r="AD381" s="1021"/>
      <c r="AE381" s="1021"/>
      <c r="AF381" s="1021"/>
      <c r="AG381" s="1021"/>
      <c r="AH381" s="1021"/>
      <c r="AI381" s="1021"/>
      <c r="AJ381" s="1021"/>
      <c r="AK381" s="1021"/>
      <c r="AL381" s="1021"/>
      <c r="AM381" s="1021"/>
      <c r="AN381" s="1021"/>
      <c r="AO381" s="1021"/>
      <c r="AP381" s="1021"/>
      <c r="AQ381" s="1021"/>
      <c r="AR381" s="1021"/>
      <c r="AS381" s="1021"/>
      <c r="AT381" s="1021"/>
      <c r="AU381" s="1021"/>
      <c r="AV381" s="1021"/>
      <c r="AW381" s="1021"/>
      <c r="AX381" s="1021"/>
      <c r="AY381" s="1021"/>
      <c r="AZ381" s="1021"/>
      <c r="BA381" s="1021"/>
      <c r="BB381" s="1021"/>
      <c r="BC381" s="1021"/>
      <c r="BD381" s="1021"/>
      <c r="BE381" s="1021"/>
      <c r="BF381" s="1021"/>
      <c r="BG381" s="1021"/>
      <c r="BH381" s="1021"/>
      <c r="BI381" s="1021"/>
      <c r="BJ381" s="1021"/>
      <c r="BK381" s="1021"/>
      <c r="BL381" s="1021"/>
      <c r="BM381" s="1021"/>
      <c r="BN381" s="1021"/>
      <c r="BO381" s="1021"/>
      <c r="BP381" s="1021"/>
      <c r="BQ381" s="1021"/>
      <c r="BR381" s="1021"/>
      <c r="BS381" s="1021"/>
      <c r="BT381" s="1021"/>
      <c r="BU381" s="1021"/>
      <c r="BV381" s="1021"/>
      <c r="BW381" s="1021"/>
      <c r="BX381" s="1021"/>
      <c r="BY381" s="1021"/>
      <c r="BZ381" s="1021"/>
      <c r="CA381" s="1021"/>
      <c r="CB381" s="1021"/>
      <c r="CC381" s="1021"/>
    </row>
    <row r="382" spans="8:81" x14ac:dyDescent="0.25">
      <c r="H382" s="1021"/>
      <c r="I382" s="1021"/>
      <c r="J382" s="1021"/>
      <c r="K382" s="1021"/>
      <c r="L382" s="1021"/>
      <c r="M382" s="1021"/>
      <c r="N382" s="1021"/>
      <c r="O382" s="1021"/>
      <c r="P382" s="1021"/>
      <c r="Q382" s="1021"/>
      <c r="R382" s="1021"/>
      <c r="S382" s="1021"/>
      <c r="T382" s="1021"/>
      <c r="U382" s="1021"/>
      <c r="V382" s="1021"/>
      <c r="W382" s="1021"/>
      <c r="X382" s="1021"/>
      <c r="Y382" s="1021"/>
      <c r="Z382" s="1021"/>
      <c r="AA382" s="1021"/>
      <c r="AB382" s="1021"/>
      <c r="AC382" s="1021"/>
      <c r="AD382" s="1021"/>
      <c r="AE382" s="1021"/>
      <c r="AF382" s="1021"/>
      <c r="AG382" s="1021"/>
      <c r="AH382" s="1021"/>
      <c r="AI382" s="1021"/>
      <c r="AJ382" s="1021"/>
      <c r="AK382" s="1021"/>
      <c r="AL382" s="1021"/>
      <c r="AM382" s="1021"/>
      <c r="AN382" s="1021"/>
      <c r="AO382" s="1021"/>
      <c r="AP382" s="1021"/>
      <c r="AQ382" s="1021"/>
      <c r="AR382" s="1021"/>
      <c r="AS382" s="1021"/>
      <c r="AT382" s="1021"/>
      <c r="AU382" s="1021"/>
      <c r="AV382" s="1021"/>
      <c r="AW382" s="1021"/>
      <c r="AX382" s="1021"/>
      <c r="AY382" s="1021"/>
      <c r="AZ382" s="1021"/>
      <c r="BA382" s="1021"/>
      <c r="BB382" s="1021"/>
      <c r="BC382" s="1021"/>
      <c r="BD382" s="1021"/>
      <c r="BE382" s="1021"/>
      <c r="BF382" s="1021"/>
      <c r="BG382" s="1021"/>
      <c r="BH382" s="1021"/>
      <c r="BI382" s="1021"/>
      <c r="BJ382" s="1021"/>
      <c r="BK382" s="1021"/>
      <c r="BL382" s="1021"/>
      <c r="BM382" s="1021"/>
      <c r="BN382" s="1021"/>
      <c r="BO382" s="1021"/>
      <c r="BP382" s="1021"/>
      <c r="BQ382" s="1021"/>
      <c r="BR382" s="1021"/>
      <c r="BS382" s="1021"/>
      <c r="BT382" s="1021"/>
      <c r="BU382" s="1021"/>
      <c r="BV382" s="1021"/>
      <c r="BW382" s="1021"/>
      <c r="BX382" s="1021"/>
      <c r="BY382" s="1021"/>
      <c r="BZ382" s="1021"/>
      <c r="CA382" s="1021"/>
      <c r="CB382" s="1021"/>
      <c r="CC382" s="1021"/>
    </row>
    <row r="383" spans="8:81" x14ac:dyDescent="0.25">
      <c r="H383" s="1021"/>
      <c r="I383" s="1021"/>
      <c r="J383" s="1021"/>
      <c r="K383" s="1021"/>
      <c r="L383" s="1021"/>
      <c r="M383" s="1021"/>
      <c r="N383" s="1021"/>
      <c r="O383" s="1021"/>
      <c r="P383" s="1021"/>
      <c r="Q383" s="1021"/>
      <c r="R383" s="1021"/>
      <c r="S383" s="1021"/>
      <c r="T383" s="1021"/>
      <c r="U383" s="1021"/>
      <c r="V383" s="1021"/>
      <c r="W383" s="1021"/>
      <c r="X383" s="1021"/>
      <c r="Y383" s="1021"/>
      <c r="Z383" s="1021"/>
      <c r="AA383" s="1021"/>
      <c r="AB383" s="1021"/>
      <c r="AC383" s="1021"/>
      <c r="AD383" s="1021"/>
      <c r="AE383" s="1021"/>
      <c r="AF383" s="1021"/>
      <c r="AG383" s="1021"/>
      <c r="AH383" s="1021"/>
      <c r="AI383" s="1021"/>
      <c r="AJ383" s="1021"/>
      <c r="AK383" s="1021"/>
      <c r="AL383" s="1021"/>
      <c r="AM383" s="1021"/>
      <c r="AN383" s="1021"/>
      <c r="AO383" s="1021"/>
      <c r="AP383" s="1021"/>
      <c r="AQ383" s="1021"/>
      <c r="AR383" s="1021"/>
      <c r="AS383" s="1021"/>
      <c r="AT383" s="1021"/>
      <c r="AU383" s="1021"/>
      <c r="AV383" s="1021"/>
      <c r="AW383" s="1021"/>
      <c r="AX383" s="1021"/>
      <c r="AY383" s="1021"/>
      <c r="AZ383" s="1021"/>
      <c r="BA383" s="1021"/>
      <c r="BB383" s="1021"/>
      <c r="BC383" s="1021"/>
      <c r="BD383" s="1021"/>
      <c r="BE383" s="1021"/>
      <c r="BF383" s="1021"/>
      <c r="BG383" s="1021"/>
      <c r="BH383" s="1021"/>
      <c r="BI383" s="1021"/>
      <c r="BJ383" s="1021"/>
      <c r="BK383" s="1021"/>
      <c r="BL383" s="1021"/>
      <c r="BM383" s="1021"/>
      <c r="BN383" s="1021"/>
      <c r="BO383" s="1021"/>
      <c r="BP383" s="1021"/>
      <c r="BQ383" s="1021"/>
      <c r="BR383" s="1021"/>
      <c r="BS383" s="1021"/>
      <c r="BT383" s="1021"/>
      <c r="BU383" s="1021"/>
      <c r="BV383" s="1021"/>
      <c r="BW383" s="1021"/>
      <c r="BX383" s="1021"/>
      <c r="BY383" s="1021"/>
      <c r="BZ383" s="1021"/>
      <c r="CA383" s="1021"/>
      <c r="CB383" s="1021"/>
      <c r="CC383" s="1021"/>
    </row>
    <row r="384" spans="8:81" x14ac:dyDescent="0.25">
      <c r="H384" s="1021"/>
      <c r="I384" s="1021"/>
      <c r="J384" s="1021"/>
      <c r="K384" s="1021"/>
      <c r="L384" s="1021"/>
      <c r="M384" s="1021"/>
      <c r="N384" s="1021"/>
      <c r="O384" s="1021"/>
      <c r="P384" s="1021"/>
      <c r="Q384" s="1021"/>
      <c r="R384" s="1021"/>
      <c r="S384" s="1021"/>
      <c r="T384" s="1021"/>
      <c r="U384" s="1021"/>
      <c r="V384" s="1021"/>
      <c r="W384" s="1021"/>
      <c r="X384" s="1021"/>
      <c r="Y384" s="1021"/>
      <c r="Z384" s="1021"/>
      <c r="AA384" s="1021"/>
      <c r="AB384" s="1021"/>
      <c r="AC384" s="1021"/>
      <c r="AD384" s="1021"/>
      <c r="AE384" s="1021"/>
      <c r="AF384" s="1021"/>
      <c r="AG384" s="1021"/>
      <c r="AH384" s="1021"/>
      <c r="AI384" s="1021"/>
      <c r="AJ384" s="1021"/>
      <c r="AK384" s="1021"/>
      <c r="AL384" s="1021"/>
      <c r="AM384" s="1021"/>
      <c r="AN384" s="1021"/>
      <c r="AO384" s="1021"/>
      <c r="AP384" s="1021"/>
      <c r="AQ384" s="1021"/>
      <c r="AR384" s="1021"/>
      <c r="AS384" s="1021"/>
      <c r="AT384" s="1021"/>
      <c r="AU384" s="1021"/>
      <c r="AV384" s="1021"/>
      <c r="AW384" s="1021"/>
      <c r="AX384" s="1021"/>
      <c r="AY384" s="1021"/>
      <c r="AZ384" s="1021"/>
      <c r="BA384" s="1021"/>
      <c r="BB384" s="1021"/>
      <c r="BC384" s="1021"/>
      <c r="BD384" s="1021"/>
      <c r="BE384" s="1021"/>
      <c r="BF384" s="1021"/>
      <c r="BG384" s="1021"/>
      <c r="BH384" s="1021"/>
      <c r="BI384" s="1021"/>
      <c r="BJ384" s="1021"/>
      <c r="BK384" s="1021"/>
      <c r="BL384" s="1021"/>
      <c r="BM384" s="1021"/>
      <c r="BN384" s="1021"/>
      <c r="BO384" s="1021"/>
      <c r="BP384" s="1021"/>
      <c r="BQ384" s="1021"/>
      <c r="BR384" s="1021"/>
      <c r="BS384" s="1021"/>
      <c r="BT384" s="1021"/>
      <c r="BU384" s="1021"/>
      <c r="BV384" s="1021"/>
      <c r="BW384" s="1021"/>
      <c r="BX384" s="1021"/>
      <c r="BY384" s="1021"/>
      <c r="BZ384" s="1021"/>
      <c r="CA384" s="1021"/>
      <c r="CB384" s="1021"/>
      <c r="CC384" s="1021"/>
    </row>
    <row r="385" spans="8:81" x14ac:dyDescent="0.25">
      <c r="H385" s="1021"/>
      <c r="I385" s="1021"/>
      <c r="J385" s="1021"/>
      <c r="K385" s="1021"/>
      <c r="L385" s="1021"/>
      <c r="M385" s="1021"/>
      <c r="N385" s="1021"/>
      <c r="O385" s="1021"/>
      <c r="P385" s="1021"/>
      <c r="Q385" s="1021"/>
      <c r="R385" s="1021"/>
      <c r="S385" s="1021"/>
      <c r="T385" s="1021"/>
      <c r="U385" s="1021"/>
      <c r="V385" s="1021"/>
      <c r="W385" s="1021"/>
      <c r="X385" s="1021"/>
      <c r="Y385" s="1021"/>
      <c r="Z385" s="1021"/>
      <c r="AA385" s="1021"/>
      <c r="AB385" s="1021"/>
      <c r="AC385" s="1021"/>
      <c r="AD385" s="1021"/>
      <c r="AE385" s="1021"/>
      <c r="AF385" s="1021"/>
      <c r="AG385" s="1021"/>
      <c r="AH385" s="1021"/>
      <c r="AI385" s="1021"/>
      <c r="AJ385" s="1021"/>
      <c r="AK385" s="1021"/>
      <c r="AL385" s="1021"/>
      <c r="AM385" s="1021"/>
      <c r="AN385" s="1021"/>
      <c r="AO385" s="1021"/>
      <c r="AP385" s="1021"/>
      <c r="AQ385" s="1021"/>
      <c r="AR385" s="1021"/>
      <c r="AS385" s="1021"/>
      <c r="AT385" s="1021"/>
      <c r="AU385" s="1021"/>
      <c r="AV385" s="1021"/>
      <c r="AW385" s="1021"/>
      <c r="AX385" s="1021"/>
      <c r="AY385" s="1021"/>
      <c r="AZ385" s="1021"/>
      <c r="BA385" s="1021"/>
      <c r="BB385" s="1021"/>
      <c r="BC385" s="1021"/>
      <c r="BD385" s="1021"/>
      <c r="BE385" s="1021"/>
      <c r="BF385" s="1021"/>
      <c r="BG385" s="1021"/>
      <c r="BH385" s="1021"/>
      <c r="BI385" s="1021"/>
      <c r="BJ385" s="1021"/>
      <c r="BK385" s="1021"/>
      <c r="BL385" s="1021"/>
      <c r="BM385" s="1021"/>
      <c r="BN385" s="1021"/>
      <c r="BO385" s="1021"/>
      <c r="BP385" s="1021"/>
      <c r="BQ385" s="1021"/>
      <c r="BR385" s="1021"/>
      <c r="BS385" s="1021"/>
      <c r="BT385" s="1021"/>
      <c r="BU385" s="1021"/>
      <c r="BV385" s="1021"/>
      <c r="BW385" s="1021"/>
      <c r="BX385" s="1021"/>
      <c r="BY385" s="1021"/>
      <c r="BZ385" s="1021"/>
      <c r="CA385" s="1021"/>
      <c r="CB385" s="1021"/>
      <c r="CC385" s="1021"/>
    </row>
    <row r="386" spans="8:81" x14ac:dyDescent="0.25">
      <c r="H386" s="1021"/>
      <c r="I386" s="1021"/>
      <c r="J386" s="1021"/>
      <c r="K386" s="1021"/>
      <c r="L386" s="1021"/>
      <c r="M386" s="1021"/>
      <c r="N386" s="1021"/>
      <c r="O386" s="1021"/>
      <c r="P386" s="1021"/>
      <c r="Q386" s="1021"/>
      <c r="R386" s="1021"/>
      <c r="S386" s="1021"/>
      <c r="T386" s="1021"/>
      <c r="U386" s="1021"/>
      <c r="V386" s="1021"/>
      <c r="W386" s="1021"/>
      <c r="X386" s="1021"/>
      <c r="Y386" s="1021"/>
      <c r="Z386" s="1021"/>
      <c r="AA386" s="1021"/>
      <c r="AB386" s="1021"/>
      <c r="AC386" s="1021"/>
      <c r="AD386" s="1021"/>
      <c r="AE386" s="1021"/>
      <c r="AF386" s="1021"/>
      <c r="AG386" s="1021"/>
      <c r="AH386" s="1021"/>
      <c r="AI386" s="1021"/>
      <c r="AJ386" s="1021"/>
      <c r="AK386" s="1021"/>
      <c r="AL386" s="1021"/>
      <c r="AM386" s="1021"/>
      <c r="AN386" s="1021"/>
      <c r="AO386" s="1021"/>
      <c r="AP386" s="1021"/>
      <c r="AQ386" s="1021"/>
      <c r="AR386" s="1021"/>
      <c r="AS386" s="1021"/>
      <c r="AT386" s="1021"/>
      <c r="AU386" s="1021"/>
      <c r="AV386" s="1021"/>
      <c r="AW386" s="1021"/>
      <c r="AX386" s="1021"/>
      <c r="AY386" s="1021"/>
      <c r="AZ386" s="1021"/>
      <c r="BA386" s="1021"/>
      <c r="BB386" s="1021"/>
      <c r="BC386" s="1021"/>
      <c r="BD386" s="1021"/>
      <c r="BE386" s="1021"/>
      <c r="BF386" s="1021"/>
      <c r="BG386" s="1021"/>
      <c r="BH386" s="1021"/>
      <c r="BI386" s="1021"/>
      <c r="BJ386" s="1021"/>
      <c r="BK386" s="1021"/>
      <c r="BL386" s="1021"/>
      <c r="BM386" s="1021"/>
      <c r="BN386" s="1021"/>
      <c r="BO386" s="1021"/>
      <c r="BP386" s="1021"/>
      <c r="BQ386" s="1021"/>
      <c r="BR386" s="1021"/>
      <c r="BS386" s="1021"/>
      <c r="BT386" s="1021"/>
      <c r="BU386" s="1021"/>
      <c r="BV386" s="1021"/>
      <c r="BW386" s="1021"/>
      <c r="BX386" s="1021"/>
      <c r="BY386" s="1021"/>
      <c r="BZ386" s="1021"/>
      <c r="CA386" s="1021"/>
      <c r="CB386" s="1021"/>
      <c r="CC386" s="1021"/>
    </row>
    <row r="387" spans="8:81" x14ac:dyDescent="0.25">
      <c r="H387" s="1021"/>
      <c r="I387" s="1021"/>
      <c r="J387" s="1021"/>
      <c r="K387" s="1021"/>
      <c r="L387" s="1021"/>
      <c r="M387" s="1021"/>
      <c r="N387" s="1021"/>
      <c r="O387" s="1021"/>
      <c r="P387" s="1021"/>
      <c r="Q387" s="1021"/>
      <c r="R387" s="1021"/>
      <c r="S387" s="1021"/>
      <c r="T387" s="1021"/>
      <c r="U387" s="1021"/>
      <c r="V387" s="1021"/>
      <c r="W387" s="1021"/>
      <c r="X387" s="1021"/>
      <c r="Y387" s="1021"/>
      <c r="Z387" s="1021"/>
      <c r="AA387" s="1021"/>
      <c r="AB387" s="1021"/>
      <c r="AC387" s="1021"/>
      <c r="AD387" s="1021"/>
      <c r="AE387" s="1021"/>
      <c r="AF387" s="1021"/>
      <c r="AG387" s="1021"/>
      <c r="AH387" s="1021"/>
      <c r="AI387" s="1021"/>
      <c r="AJ387" s="1021"/>
      <c r="AK387" s="1021"/>
      <c r="AL387" s="1021"/>
      <c r="AM387" s="1021"/>
      <c r="AN387" s="1021"/>
      <c r="AO387" s="1021"/>
      <c r="AP387" s="1021"/>
      <c r="AQ387" s="1021"/>
      <c r="AR387" s="1021"/>
      <c r="AS387" s="1021"/>
      <c r="AT387" s="1021"/>
      <c r="AU387" s="1021"/>
      <c r="AV387" s="1021"/>
      <c r="AW387" s="1021"/>
      <c r="AX387" s="1021"/>
      <c r="AY387" s="1021"/>
      <c r="AZ387" s="1021"/>
      <c r="BA387" s="1021"/>
      <c r="BB387" s="1021"/>
      <c r="BC387" s="1021"/>
      <c r="BD387" s="1021"/>
      <c r="BE387" s="1021"/>
      <c r="BF387" s="1021"/>
      <c r="BG387" s="1021"/>
      <c r="BH387" s="1021"/>
      <c r="BI387" s="1021"/>
      <c r="BJ387" s="1021"/>
      <c r="BK387" s="1021"/>
      <c r="BL387" s="1021"/>
      <c r="BM387" s="1021"/>
      <c r="BN387" s="1021"/>
      <c r="BO387" s="1021"/>
      <c r="BP387" s="1021"/>
      <c r="BQ387" s="1021"/>
      <c r="BR387" s="1021"/>
      <c r="BS387" s="1021"/>
      <c r="BT387" s="1021"/>
      <c r="BU387" s="1021"/>
      <c r="BV387" s="1021"/>
      <c r="BW387" s="1021"/>
      <c r="BX387" s="1021"/>
      <c r="BY387" s="1021"/>
      <c r="BZ387" s="1021"/>
      <c r="CA387" s="1021"/>
      <c r="CB387" s="1021"/>
      <c r="CC387" s="1021"/>
    </row>
    <row r="388" spans="8:81" x14ac:dyDescent="0.25">
      <c r="H388" s="1021"/>
      <c r="I388" s="1021"/>
      <c r="J388" s="1021"/>
      <c r="K388" s="1021"/>
      <c r="L388" s="1021"/>
      <c r="M388" s="1021"/>
      <c r="N388" s="1021"/>
      <c r="O388" s="1021"/>
      <c r="P388" s="1021"/>
      <c r="Q388" s="1021"/>
      <c r="R388" s="1021"/>
      <c r="S388" s="1021"/>
      <c r="T388" s="1021"/>
      <c r="U388" s="1021"/>
      <c r="V388" s="1021"/>
      <c r="W388" s="1021"/>
      <c r="X388" s="1021"/>
      <c r="Y388" s="1021"/>
      <c r="Z388" s="1021"/>
      <c r="AA388" s="1021"/>
      <c r="AB388" s="1021"/>
      <c r="AC388" s="1021"/>
      <c r="AD388" s="1021"/>
      <c r="AE388" s="1021"/>
      <c r="AF388" s="1021"/>
      <c r="AG388" s="1021"/>
      <c r="AH388" s="1021"/>
      <c r="AI388" s="1021"/>
      <c r="AJ388" s="1021"/>
      <c r="AK388" s="1021"/>
      <c r="AL388" s="1021"/>
      <c r="AM388" s="1021"/>
      <c r="AN388" s="1021"/>
      <c r="AO388" s="1021"/>
      <c r="AP388" s="1021"/>
      <c r="AQ388" s="1021"/>
      <c r="AR388" s="1021"/>
      <c r="AS388" s="1021"/>
      <c r="AT388" s="1021"/>
      <c r="AU388" s="1021"/>
      <c r="AV388" s="1021"/>
      <c r="AW388" s="1021"/>
      <c r="AX388" s="1021"/>
      <c r="AY388" s="1021"/>
      <c r="AZ388" s="1021"/>
      <c r="BA388" s="1021"/>
      <c r="BB388" s="1021"/>
      <c r="BC388" s="1021"/>
      <c r="BD388" s="1021"/>
      <c r="BE388" s="1021"/>
      <c r="BF388" s="1021"/>
      <c r="BG388" s="1021"/>
      <c r="BH388" s="1021"/>
      <c r="BI388" s="1021"/>
      <c r="BJ388" s="1021"/>
      <c r="BK388" s="1021"/>
      <c r="BL388" s="1021"/>
      <c r="BM388" s="1021"/>
      <c r="BN388" s="1021"/>
      <c r="BO388" s="1021"/>
      <c r="BP388" s="1021"/>
      <c r="BQ388" s="1021"/>
      <c r="BR388" s="1021"/>
      <c r="BS388" s="1021"/>
      <c r="BT388" s="1021"/>
      <c r="BU388" s="1021"/>
      <c r="BV388" s="1021"/>
      <c r="BW388" s="1021"/>
      <c r="BX388" s="1021"/>
      <c r="BY388" s="1021"/>
      <c r="BZ388" s="1021"/>
      <c r="CA388" s="1021"/>
      <c r="CB388" s="1021"/>
      <c r="CC388" s="1021"/>
    </row>
    <row r="389" spans="8:81" x14ac:dyDescent="0.25">
      <c r="H389" s="1021"/>
      <c r="I389" s="1021"/>
      <c r="J389" s="1021"/>
      <c r="K389" s="1021"/>
      <c r="L389" s="1021"/>
      <c r="M389" s="1021"/>
      <c r="N389" s="1021"/>
      <c r="O389" s="1021"/>
      <c r="P389" s="1021"/>
      <c r="Q389" s="1021"/>
      <c r="R389" s="1021"/>
      <c r="S389" s="1021"/>
      <c r="T389" s="1021"/>
      <c r="U389" s="1021"/>
      <c r="V389" s="1021"/>
      <c r="W389" s="1021"/>
      <c r="X389" s="1021"/>
      <c r="Y389" s="1021"/>
      <c r="Z389" s="1021"/>
      <c r="AA389" s="1021"/>
      <c r="AB389" s="1021"/>
      <c r="AC389" s="1021"/>
      <c r="AD389" s="1021"/>
      <c r="AE389" s="1021"/>
      <c r="AF389" s="1021"/>
      <c r="AG389" s="1021"/>
      <c r="AH389" s="1021"/>
      <c r="AI389" s="1021"/>
      <c r="AJ389" s="1021"/>
      <c r="AK389" s="1021"/>
      <c r="AL389" s="1021"/>
      <c r="AM389" s="1021"/>
      <c r="AN389" s="1021"/>
      <c r="AO389" s="1021"/>
      <c r="AP389" s="1021"/>
      <c r="AQ389" s="1021"/>
      <c r="AR389" s="1021"/>
      <c r="AS389" s="1021"/>
      <c r="AT389" s="1021"/>
      <c r="AU389" s="1021"/>
      <c r="AV389" s="1021"/>
      <c r="AW389" s="1021"/>
      <c r="AX389" s="1021"/>
      <c r="AY389" s="1021"/>
      <c r="AZ389" s="1021"/>
      <c r="BA389" s="1021"/>
      <c r="BB389" s="1021"/>
      <c r="BC389" s="1021"/>
      <c r="BD389" s="1021"/>
      <c r="BE389" s="1021"/>
      <c r="BF389" s="1021"/>
      <c r="BG389" s="1021"/>
      <c r="BH389" s="1021"/>
      <c r="BI389" s="1021"/>
      <c r="BJ389" s="1021"/>
      <c r="BK389" s="1021"/>
      <c r="BL389" s="1021"/>
      <c r="BM389" s="1021"/>
      <c r="BN389" s="1021"/>
      <c r="BO389" s="1021"/>
      <c r="BP389" s="1021"/>
      <c r="BQ389" s="1021"/>
      <c r="BR389" s="1021"/>
      <c r="BS389" s="1021"/>
      <c r="BT389" s="1021"/>
      <c r="BU389" s="1021"/>
      <c r="BV389" s="1021"/>
      <c r="BW389" s="1021"/>
      <c r="BX389" s="1021"/>
      <c r="BY389" s="1021"/>
      <c r="BZ389" s="1021"/>
      <c r="CA389" s="1021"/>
      <c r="CB389" s="1021"/>
      <c r="CC389" s="1021"/>
    </row>
    <row r="390" spans="8:81" x14ac:dyDescent="0.25">
      <c r="H390" s="1021"/>
      <c r="I390" s="1021"/>
      <c r="J390" s="1021"/>
      <c r="K390" s="1021"/>
      <c r="L390" s="1021"/>
      <c r="M390" s="1021"/>
      <c r="N390" s="1021"/>
      <c r="O390" s="1021"/>
      <c r="P390" s="1021"/>
      <c r="Q390" s="1021"/>
      <c r="R390" s="1021"/>
      <c r="S390" s="1021"/>
      <c r="T390" s="1021"/>
      <c r="U390" s="1021"/>
      <c r="V390" s="1021"/>
      <c r="W390" s="1021"/>
      <c r="X390" s="1021"/>
      <c r="Y390" s="1021"/>
      <c r="Z390" s="1021"/>
      <c r="AA390" s="1021"/>
      <c r="AB390" s="1021"/>
      <c r="AC390" s="1021"/>
      <c r="AD390" s="1021"/>
      <c r="AE390" s="1021"/>
      <c r="AF390" s="1021"/>
      <c r="AG390" s="1021"/>
      <c r="AH390" s="1021"/>
      <c r="AI390" s="1021"/>
      <c r="AJ390" s="1021"/>
      <c r="AK390" s="1021"/>
      <c r="AL390" s="1021"/>
      <c r="AM390" s="1021"/>
      <c r="AN390" s="1021"/>
      <c r="AO390" s="1021"/>
      <c r="AP390" s="1021"/>
      <c r="AQ390" s="1021"/>
      <c r="AR390" s="1021"/>
      <c r="AS390" s="1021"/>
      <c r="AT390" s="1021"/>
      <c r="AU390" s="1021"/>
      <c r="AV390" s="1021"/>
      <c r="AW390" s="1021"/>
      <c r="AX390" s="1021"/>
      <c r="AY390" s="1021"/>
      <c r="AZ390" s="1021"/>
      <c r="BA390" s="1021"/>
      <c r="BB390" s="1021"/>
      <c r="BC390" s="1021"/>
      <c r="BD390" s="1021"/>
      <c r="BE390" s="1021"/>
      <c r="BF390" s="1021"/>
      <c r="BG390" s="1021"/>
      <c r="BH390" s="1021"/>
      <c r="BI390" s="1021"/>
      <c r="BJ390" s="1021"/>
      <c r="BK390" s="1021"/>
      <c r="BL390" s="1021"/>
      <c r="BM390" s="1021"/>
      <c r="BN390" s="1021"/>
      <c r="BO390" s="1021"/>
      <c r="BP390" s="1021"/>
      <c r="BQ390" s="1021"/>
      <c r="BR390" s="1021"/>
      <c r="BS390" s="1021"/>
      <c r="BT390" s="1021"/>
      <c r="BU390" s="1021"/>
      <c r="BV390" s="1021"/>
      <c r="BW390" s="1021"/>
      <c r="BX390" s="1021"/>
      <c r="BY390" s="1021"/>
      <c r="BZ390" s="1021"/>
      <c r="CA390" s="1021"/>
      <c r="CB390" s="1021"/>
      <c r="CC390" s="1021"/>
    </row>
    <row r="391" spans="8:81" x14ac:dyDescent="0.25">
      <c r="H391" s="1021"/>
      <c r="I391" s="1021"/>
      <c r="J391" s="1021"/>
      <c r="K391" s="1021"/>
      <c r="L391" s="1021"/>
      <c r="M391" s="1021"/>
      <c r="N391" s="1021"/>
      <c r="O391" s="1021"/>
      <c r="P391" s="1021"/>
      <c r="Q391" s="1021"/>
      <c r="R391" s="1021"/>
      <c r="S391" s="1021"/>
      <c r="T391" s="1021"/>
      <c r="U391" s="1021"/>
      <c r="V391" s="1021"/>
      <c r="W391" s="1021"/>
      <c r="X391" s="1021"/>
      <c r="Y391" s="1021"/>
      <c r="Z391" s="1021"/>
      <c r="AA391" s="1021"/>
      <c r="AB391" s="1021"/>
      <c r="AC391" s="1021"/>
      <c r="AD391" s="1021"/>
      <c r="AE391" s="1021"/>
      <c r="AF391" s="1021"/>
      <c r="AG391" s="1021"/>
      <c r="AH391" s="1021"/>
      <c r="AI391" s="1021"/>
      <c r="AJ391" s="1021"/>
      <c r="AK391" s="1021"/>
      <c r="AL391" s="1021"/>
      <c r="AM391" s="1021"/>
      <c r="AN391" s="1021"/>
      <c r="AO391" s="1021"/>
      <c r="AP391" s="1021"/>
      <c r="AQ391" s="1021"/>
      <c r="AR391" s="1021"/>
      <c r="AS391" s="1021"/>
      <c r="AT391" s="1021"/>
      <c r="AU391" s="1021"/>
      <c r="AV391" s="1021"/>
      <c r="AW391" s="1021"/>
      <c r="AX391" s="1021"/>
      <c r="AY391" s="1021"/>
      <c r="AZ391" s="1021"/>
      <c r="BA391" s="1021"/>
      <c r="BB391" s="1021"/>
      <c r="BC391" s="1021"/>
      <c r="BD391" s="1021"/>
      <c r="BE391" s="1021"/>
      <c r="BF391" s="1021"/>
      <c r="BG391" s="1021"/>
      <c r="BH391" s="1021"/>
      <c r="BI391" s="1021"/>
      <c r="BJ391" s="1021"/>
      <c r="BK391" s="1021"/>
      <c r="BL391" s="1021"/>
      <c r="BM391" s="1021"/>
      <c r="BN391" s="1021"/>
      <c r="BO391" s="1021"/>
      <c r="BP391" s="1021"/>
      <c r="BQ391" s="1021"/>
      <c r="BR391" s="1021"/>
      <c r="BS391" s="1021"/>
      <c r="BT391" s="1021"/>
      <c r="BU391" s="1021"/>
      <c r="BV391" s="1021"/>
      <c r="BW391" s="1021"/>
      <c r="BX391" s="1021"/>
      <c r="BY391" s="1021"/>
      <c r="BZ391" s="1021"/>
      <c r="CA391" s="1021"/>
      <c r="CB391" s="1021"/>
      <c r="CC391" s="1021"/>
    </row>
    <row r="392" spans="8:81" x14ac:dyDescent="0.25">
      <c r="H392" s="1021"/>
      <c r="I392" s="1021"/>
      <c r="J392" s="1021"/>
      <c r="K392" s="1021"/>
      <c r="L392" s="1021"/>
      <c r="M392" s="1021"/>
      <c r="N392" s="1021"/>
      <c r="O392" s="1021"/>
      <c r="P392" s="1021"/>
      <c r="Q392" s="1021"/>
      <c r="R392" s="1021"/>
      <c r="S392" s="1021"/>
      <c r="T392" s="1021"/>
      <c r="U392" s="1021"/>
      <c r="V392" s="1021"/>
      <c r="W392" s="1021"/>
      <c r="X392" s="1021"/>
      <c r="Y392" s="1021"/>
      <c r="Z392" s="1021"/>
      <c r="AA392" s="1021"/>
      <c r="AB392" s="1021"/>
      <c r="AC392" s="1021"/>
      <c r="AD392" s="1021"/>
      <c r="AE392" s="1021"/>
      <c r="AF392" s="1021"/>
      <c r="AG392" s="1021"/>
      <c r="AH392" s="1021"/>
      <c r="AI392" s="1021"/>
      <c r="AJ392" s="1021"/>
      <c r="AK392" s="1021"/>
      <c r="AL392" s="1021"/>
      <c r="AM392" s="1021"/>
      <c r="AN392" s="1021"/>
      <c r="AO392" s="1021"/>
      <c r="AP392" s="1021"/>
      <c r="AQ392" s="1021"/>
      <c r="AR392" s="1021"/>
      <c r="AS392" s="1021"/>
      <c r="AT392" s="1021"/>
      <c r="AU392" s="1021"/>
      <c r="AV392" s="1021"/>
      <c r="AW392" s="1021"/>
      <c r="AX392" s="1021"/>
      <c r="AY392" s="1021"/>
      <c r="AZ392" s="1021"/>
      <c r="BA392" s="1021"/>
      <c r="BB392" s="1021"/>
      <c r="BC392" s="1021"/>
      <c r="BD392" s="1021"/>
      <c r="BE392" s="1021"/>
      <c r="BF392" s="1021"/>
      <c r="BG392" s="1021"/>
      <c r="BH392" s="1021"/>
      <c r="BI392" s="1021"/>
      <c r="BJ392" s="1021"/>
      <c r="BK392" s="1021"/>
      <c r="BL392" s="1021"/>
      <c r="BM392" s="1021"/>
      <c r="BN392" s="1021"/>
      <c r="BO392" s="1021"/>
      <c r="BP392" s="1021"/>
      <c r="BQ392" s="1021"/>
      <c r="BR392" s="1021"/>
      <c r="BS392" s="1021"/>
      <c r="BT392" s="1021"/>
      <c r="BU392" s="1021"/>
      <c r="BV392" s="1021"/>
      <c r="BW392" s="1021"/>
      <c r="BX392" s="1021"/>
      <c r="BY392" s="1021"/>
      <c r="BZ392" s="1021"/>
      <c r="CA392" s="1021"/>
      <c r="CB392" s="1021"/>
      <c r="CC392" s="1021"/>
    </row>
    <row r="393" spans="8:81" x14ac:dyDescent="0.25">
      <c r="H393" s="1021"/>
      <c r="I393" s="1021"/>
      <c r="J393" s="1021"/>
      <c r="K393" s="1021"/>
      <c r="L393" s="1021"/>
      <c r="M393" s="1021"/>
      <c r="N393" s="1021"/>
      <c r="O393" s="1021"/>
      <c r="P393" s="1021"/>
      <c r="Q393" s="1021"/>
      <c r="R393" s="1021"/>
      <c r="S393" s="1021"/>
      <c r="T393" s="1021"/>
      <c r="U393" s="1021"/>
      <c r="V393" s="1021"/>
      <c r="W393" s="1021"/>
      <c r="X393" s="1021"/>
      <c r="Y393" s="1021"/>
      <c r="Z393" s="1021"/>
      <c r="AA393" s="1021"/>
      <c r="AB393" s="1021"/>
      <c r="AC393" s="1021"/>
      <c r="AD393" s="1021"/>
      <c r="AE393" s="1021"/>
      <c r="AF393" s="1021"/>
      <c r="AG393" s="1021"/>
      <c r="AH393" s="1021"/>
      <c r="AI393" s="1021"/>
      <c r="AJ393" s="1021"/>
      <c r="AK393" s="1021"/>
      <c r="AL393" s="1021"/>
      <c r="AM393" s="1021"/>
      <c r="AN393" s="1021"/>
      <c r="AO393" s="1021"/>
      <c r="AP393" s="1021"/>
      <c r="AQ393" s="1021"/>
      <c r="AR393" s="1021"/>
      <c r="AS393" s="1021"/>
      <c r="AT393" s="1021"/>
      <c r="AU393" s="1021"/>
      <c r="AV393" s="1021"/>
      <c r="AW393" s="1021"/>
      <c r="AX393" s="1021"/>
      <c r="AY393" s="1021"/>
      <c r="AZ393" s="1021"/>
      <c r="BA393" s="1021"/>
      <c r="BB393" s="1021"/>
      <c r="BC393" s="1021"/>
      <c r="BD393" s="1021"/>
      <c r="BE393" s="1021"/>
      <c r="BF393" s="1021"/>
      <c r="BG393" s="1021"/>
      <c r="BH393" s="1021"/>
      <c r="BI393" s="1021"/>
      <c r="BJ393" s="1021"/>
      <c r="BK393" s="1021"/>
      <c r="BL393" s="1021"/>
      <c r="BM393" s="1021"/>
      <c r="BN393" s="1021"/>
      <c r="BO393" s="1021"/>
      <c r="BP393" s="1021"/>
      <c r="BQ393" s="1021"/>
      <c r="BR393" s="1021"/>
      <c r="BS393" s="1021"/>
      <c r="BT393" s="1021"/>
      <c r="BU393" s="1021"/>
      <c r="BV393" s="1021"/>
      <c r="BW393" s="1021"/>
      <c r="BX393" s="1021"/>
      <c r="BY393" s="1021"/>
      <c r="BZ393" s="1021"/>
      <c r="CA393" s="1021"/>
      <c r="CB393" s="1021"/>
      <c r="CC393" s="1021"/>
    </row>
    <row r="394" spans="8:81" x14ac:dyDescent="0.25">
      <c r="H394" s="1021"/>
      <c r="I394" s="1021"/>
      <c r="J394" s="1021"/>
      <c r="K394" s="1021"/>
      <c r="L394" s="1021"/>
      <c r="M394" s="1021"/>
      <c r="N394" s="1021"/>
      <c r="O394" s="1021"/>
      <c r="P394" s="1021"/>
      <c r="Q394" s="1021"/>
      <c r="R394" s="1021"/>
      <c r="S394" s="1021"/>
      <c r="T394" s="1021"/>
      <c r="U394" s="1021"/>
      <c r="V394" s="1021"/>
      <c r="W394" s="1021"/>
      <c r="X394" s="1021"/>
      <c r="Y394" s="1021"/>
      <c r="Z394" s="1021"/>
      <c r="AA394" s="1021"/>
      <c r="AB394" s="1021"/>
      <c r="AC394" s="1021"/>
      <c r="AD394" s="1021"/>
      <c r="AE394" s="1021"/>
      <c r="AF394" s="1021"/>
      <c r="AG394" s="1021"/>
      <c r="AH394" s="1021"/>
      <c r="AI394" s="1021"/>
      <c r="AJ394" s="1021"/>
      <c r="AK394" s="1021"/>
      <c r="AL394" s="1021"/>
      <c r="AM394" s="1021"/>
      <c r="AN394" s="1021"/>
      <c r="AO394" s="1021"/>
      <c r="AP394" s="1021"/>
      <c r="AQ394" s="1021"/>
      <c r="AR394" s="1021"/>
      <c r="AS394" s="1021"/>
      <c r="AT394" s="1021"/>
      <c r="AU394" s="1021"/>
      <c r="AV394" s="1021"/>
      <c r="AW394" s="1021"/>
      <c r="AX394" s="1021"/>
      <c r="AY394" s="1021"/>
      <c r="AZ394" s="1021"/>
      <c r="BA394" s="1021"/>
      <c r="BB394" s="1021"/>
      <c r="BC394" s="1021"/>
      <c r="BD394" s="1021"/>
      <c r="BE394" s="1021"/>
      <c r="BF394" s="1021"/>
      <c r="BG394" s="1021"/>
      <c r="BH394" s="1021"/>
      <c r="BI394" s="1021"/>
      <c r="BJ394" s="1021"/>
      <c r="BK394" s="1021"/>
      <c r="BL394" s="1021"/>
      <c r="BM394" s="1021"/>
      <c r="BN394" s="1021"/>
      <c r="BO394" s="1021"/>
      <c r="BP394" s="1021"/>
      <c r="BQ394" s="1021"/>
      <c r="BR394" s="1021"/>
      <c r="BS394" s="1021"/>
      <c r="BT394" s="1021"/>
      <c r="BU394" s="1021"/>
      <c r="BV394" s="1021"/>
      <c r="BW394" s="1021"/>
      <c r="BX394" s="1021"/>
      <c r="BY394" s="1021"/>
      <c r="BZ394" s="1021"/>
      <c r="CA394" s="1021"/>
      <c r="CB394" s="1021"/>
      <c r="CC394" s="1021"/>
    </row>
    <row r="395" spans="8:81" x14ac:dyDescent="0.25">
      <c r="H395" s="1021"/>
      <c r="I395" s="1021"/>
      <c r="J395" s="1021"/>
      <c r="K395" s="1021"/>
      <c r="L395" s="1021"/>
      <c r="M395" s="1021"/>
      <c r="N395" s="1021"/>
      <c r="O395" s="1021"/>
      <c r="P395" s="1021"/>
      <c r="Q395" s="1021"/>
      <c r="R395" s="1021"/>
      <c r="S395" s="1021"/>
      <c r="T395" s="1021"/>
      <c r="U395" s="1021"/>
      <c r="V395" s="1021"/>
      <c r="W395" s="1021"/>
      <c r="X395" s="1021"/>
      <c r="Y395" s="1021"/>
      <c r="Z395" s="1021"/>
      <c r="AA395" s="1021"/>
      <c r="AB395" s="1021"/>
      <c r="AC395" s="1021"/>
      <c r="AD395" s="1021"/>
      <c r="AE395" s="1021"/>
      <c r="AF395" s="1021"/>
      <c r="AG395" s="1021"/>
      <c r="AH395" s="1021"/>
      <c r="AI395" s="1021"/>
      <c r="AJ395" s="1021"/>
      <c r="AK395" s="1021"/>
      <c r="AL395" s="1021"/>
      <c r="AM395" s="1021"/>
      <c r="AN395" s="1021"/>
      <c r="AO395" s="1021"/>
      <c r="AP395" s="1021"/>
      <c r="AQ395" s="1021"/>
      <c r="AR395" s="1021"/>
      <c r="AS395" s="1021"/>
      <c r="AT395" s="1021"/>
      <c r="AU395" s="1021"/>
      <c r="AV395" s="1021"/>
      <c r="AW395" s="1021"/>
      <c r="AX395" s="1021"/>
      <c r="AY395" s="1021"/>
      <c r="AZ395" s="1021"/>
      <c r="BA395" s="1021"/>
      <c r="BB395" s="1021"/>
      <c r="BC395" s="1021"/>
      <c r="BD395" s="1021"/>
      <c r="BE395" s="1021"/>
      <c r="BF395" s="1021"/>
      <c r="BG395" s="1021"/>
      <c r="BH395" s="1021"/>
      <c r="BI395" s="1021"/>
      <c r="BJ395" s="1021"/>
      <c r="BK395" s="1021"/>
      <c r="BL395" s="1021"/>
      <c r="BM395" s="1021"/>
      <c r="BN395" s="1021"/>
      <c r="BO395" s="1021"/>
      <c r="BP395" s="1021"/>
      <c r="BQ395" s="1021"/>
      <c r="BR395" s="1021"/>
      <c r="BS395" s="1021"/>
      <c r="BT395" s="1021"/>
      <c r="BU395" s="1021"/>
      <c r="BV395" s="1021"/>
      <c r="BW395" s="1021"/>
      <c r="BX395" s="1021"/>
      <c r="BY395" s="1021"/>
      <c r="BZ395" s="1021"/>
      <c r="CA395" s="1021"/>
      <c r="CB395" s="1021"/>
      <c r="CC395" s="1021"/>
    </row>
    <row r="396" spans="8:81" x14ac:dyDescent="0.25">
      <c r="H396" s="1021"/>
      <c r="I396" s="1021"/>
      <c r="J396" s="1021"/>
      <c r="K396" s="1021"/>
      <c r="L396" s="1021"/>
      <c r="M396" s="1021"/>
      <c r="N396" s="1021"/>
      <c r="O396" s="1021"/>
      <c r="P396" s="1021"/>
      <c r="Q396" s="1021"/>
      <c r="R396" s="1021"/>
      <c r="S396" s="1021"/>
      <c r="T396" s="1021"/>
      <c r="U396" s="1021"/>
      <c r="V396" s="1021"/>
      <c r="W396" s="1021"/>
      <c r="X396" s="1021"/>
      <c r="Y396" s="1021"/>
      <c r="Z396" s="1021"/>
      <c r="AA396" s="1021"/>
      <c r="AB396" s="1021"/>
      <c r="AC396" s="1021"/>
      <c r="AD396" s="1021"/>
      <c r="AE396" s="1021"/>
      <c r="AF396" s="1021"/>
      <c r="AG396" s="1021"/>
      <c r="AH396" s="1021"/>
      <c r="AI396" s="1021"/>
      <c r="AJ396" s="1021"/>
      <c r="AK396" s="1021"/>
      <c r="AL396" s="1021"/>
      <c r="AM396" s="1021"/>
      <c r="AN396" s="1021"/>
      <c r="AO396" s="1021"/>
      <c r="AP396" s="1021"/>
      <c r="AQ396" s="1021"/>
      <c r="AR396" s="1021"/>
      <c r="AS396" s="1021"/>
      <c r="AT396" s="1021"/>
      <c r="AU396" s="1021"/>
      <c r="AV396" s="1021"/>
      <c r="AW396" s="1021"/>
      <c r="AX396" s="1021"/>
      <c r="AY396" s="1021"/>
      <c r="AZ396" s="1021"/>
      <c r="BA396" s="1021"/>
      <c r="BB396" s="1021"/>
      <c r="BC396" s="1021"/>
      <c r="BD396" s="1021"/>
      <c r="BE396" s="1021"/>
      <c r="BF396" s="1021"/>
      <c r="BG396" s="1021"/>
      <c r="BH396" s="1021"/>
      <c r="BI396" s="1021"/>
      <c r="BJ396" s="1021"/>
      <c r="BK396" s="1021"/>
      <c r="BL396" s="1021"/>
      <c r="BM396" s="1021"/>
      <c r="BN396" s="1021"/>
      <c r="BO396" s="1021"/>
      <c r="BP396" s="1021"/>
      <c r="BQ396" s="1021"/>
      <c r="BR396" s="1021"/>
      <c r="BS396" s="1021"/>
      <c r="BT396" s="1021"/>
      <c r="BU396" s="1021"/>
      <c r="BV396" s="1021"/>
      <c r="BW396" s="1021"/>
      <c r="BX396" s="1021"/>
      <c r="BY396" s="1021"/>
      <c r="BZ396" s="1021"/>
      <c r="CA396" s="1021"/>
      <c r="CB396" s="1021"/>
      <c r="CC396" s="1021"/>
    </row>
    <row r="397" spans="8:81" x14ac:dyDescent="0.25">
      <c r="H397" s="1021"/>
      <c r="I397" s="1021"/>
      <c r="J397" s="1021"/>
      <c r="K397" s="1021"/>
      <c r="L397" s="1021"/>
      <c r="M397" s="1021"/>
      <c r="N397" s="1021"/>
      <c r="O397" s="1021"/>
      <c r="P397" s="1021"/>
      <c r="Q397" s="1021"/>
      <c r="R397" s="1021"/>
      <c r="S397" s="1021"/>
      <c r="T397" s="1021"/>
      <c r="U397" s="1021"/>
      <c r="V397" s="1021"/>
      <c r="W397" s="1021"/>
      <c r="X397" s="1021"/>
      <c r="Y397" s="1021"/>
      <c r="Z397" s="1021"/>
      <c r="AA397" s="1021"/>
      <c r="AB397" s="1021"/>
      <c r="AC397" s="1021"/>
      <c r="AD397" s="1021"/>
      <c r="AE397" s="1021"/>
      <c r="AF397" s="1021"/>
      <c r="AG397" s="1021"/>
      <c r="AH397" s="1021"/>
      <c r="AI397" s="1021"/>
      <c r="AJ397" s="1021"/>
      <c r="AK397" s="1021"/>
      <c r="AL397" s="1021"/>
      <c r="AM397" s="1021"/>
      <c r="AN397" s="1021"/>
      <c r="AO397" s="1021"/>
      <c r="AP397" s="1021"/>
      <c r="AQ397" s="1021"/>
      <c r="AR397" s="1021"/>
      <c r="AS397" s="1021"/>
      <c r="AT397" s="1021"/>
      <c r="AU397" s="1021"/>
      <c r="AV397" s="1021"/>
      <c r="AW397" s="1021"/>
      <c r="AX397" s="1021"/>
      <c r="AY397" s="1021"/>
      <c r="AZ397" s="1021"/>
      <c r="BA397" s="1021"/>
      <c r="BB397" s="1021"/>
      <c r="BC397" s="1021"/>
      <c r="BD397" s="1021"/>
      <c r="BE397" s="1021"/>
      <c r="BF397" s="1021"/>
      <c r="BG397" s="1021"/>
      <c r="BH397" s="1021"/>
      <c r="BI397" s="1021"/>
      <c r="BJ397" s="1021"/>
      <c r="BK397" s="1021"/>
      <c r="BL397" s="1021"/>
      <c r="BM397" s="1021"/>
      <c r="BN397" s="1021"/>
      <c r="BO397" s="1021"/>
      <c r="BP397" s="1021"/>
      <c r="BQ397" s="1021"/>
      <c r="BR397" s="1021"/>
      <c r="BS397" s="1021"/>
      <c r="BT397" s="1021"/>
      <c r="BU397" s="1021"/>
      <c r="BV397" s="1021"/>
      <c r="BW397" s="1021"/>
      <c r="BX397" s="1021"/>
      <c r="BY397" s="1021"/>
      <c r="BZ397" s="1021"/>
      <c r="CA397" s="1021"/>
      <c r="CB397" s="1021"/>
      <c r="CC397" s="1021"/>
    </row>
    <row r="398" spans="8:81" x14ac:dyDescent="0.25">
      <c r="H398" s="1021"/>
      <c r="I398" s="1021"/>
      <c r="J398" s="1021"/>
      <c r="K398" s="1021"/>
      <c r="L398" s="1021"/>
      <c r="M398" s="1021"/>
      <c r="N398" s="1021"/>
      <c r="O398" s="1021"/>
      <c r="P398" s="1021"/>
      <c r="Q398" s="1021"/>
      <c r="R398" s="1021"/>
      <c r="S398" s="1021"/>
      <c r="T398" s="1021"/>
      <c r="U398" s="1021"/>
      <c r="V398" s="1021"/>
      <c r="W398" s="1021"/>
      <c r="X398" s="1021"/>
      <c r="Y398" s="1021"/>
      <c r="Z398" s="1021"/>
      <c r="AA398" s="1021"/>
      <c r="AB398" s="1021"/>
      <c r="AC398" s="1021"/>
      <c r="AD398" s="1021"/>
      <c r="AE398" s="1021"/>
      <c r="AF398" s="1021"/>
      <c r="AG398" s="1021"/>
      <c r="AH398" s="1021"/>
      <c r="AI398" s="1021"/>
      <c r="AJ398" s="1021"/>
      <c r="AK398" s="1021"/>
      <c r="AL398" s="1021"/>
      <c r="AM398" s="1021"/>
      <c r="AN398" s="1021"/>
      <c r="AO398" s="1021"/>
      <c r="AP398" s="1021"/>
      <c r="AQ398" s="1021"/>
      <c r="AR398" s="1021"/>
      <c r="AS398" s="1021"/>
      <c r="AT398" s="1021"/>
      <c r="AU398" s="1021"/>
      <c r="AV398" s="1021"/>
      <c r="AW398" s="1021"/>
      <c r="AX398" s="1021"/>
      <c r="AY398" s="1021"/>
      <c r="AZ398" s="1021"/>
      <c r="BA398" s="1021"/>
      <c r="BB398" s="1021"/>
      <c r="BC398" s="1021"/>
      <c r="BD398" s="1021"/>
      <c r="BE398" s="1021"/>
      <c r="BF398" s="1021"/>
      <c r="BG398" s="1021"/>
      <c r="BH398" s="1021"/>
      <c r="BI398" s="1021"/>
      <c r="BJ398" s="1021"/>
      <c r="BK398" s="1021"/>
      <c r="BL398" s="1021"/>
      <c r="BM398" s="1021"/>
      <c r="BN398" s="1021"/>
      <c r="BO398" s="1021"/>
      <c r="BP398" s="1021"/>
      <c r="BQ398" s="1021"/>
      <c r="BR398" s="1021"/>
      <c r="BS398" s="1021"/>
      <c r="BT398" s="1021"/>
      <c r="BU398" s="1021"/>
      <c r="BV398" s="1021"/>
      <c r="BW398" s="1021"/>
      <c r="BX398" s="1021"/>
      <c r="BY398" s="1021"/>
      <c r="BZ398" s="1021"/>
      <c r="CA398" s="1021"/>
      <c r="CB398" s="1021"/>
      <c r="CC398" s="1021"/>
    </row>
    <row r="399" spans="8:81" x14ac:dyDescent="0.25">
      <c r="H399" s="1021"/>
      <c r="I399" s="1021"/>
      <c r="J399" s="1021"/>
      <c r="K399" s="1021"/>
      <c r="L399" s="1021"/>
      <c r="M399" s="1021"/>
      <c r="N399" s="1021"/>
      <c r="O399" s="1021"/>
      <c r="P399" s="1021"/>
      <c r="Q399" s="1021"/>
      <c r="R399" s="1021"/>
      <c r="S399" s="1021"/>
      <c r="T399" s="1021"/>
      <c r="U399" s="1021"/>
      <c r="V399" s="1021"/>
      <c r="W399" s="1021"/>
      <c r="X399" s="1021"/>
      <c r="Y399" s="1021"/>
      <c r="Z399" s="1021"/>
      <c r="AA399" s="1021"/>
      <c r="AB399" s="1021"/>
      <c r="AC399" s="1021"/>
      <c r="AD399" s="1021"/>
      <c r="AE399" s="1021"/>
      <c r="AF399" s="1021"/>
      <c r="AG399" s="1021"/>
      <c r="AH399" s="1021"/>
      <c r="AI399" s="1021"/>
      <c r="AJ399" s="1021"/>
      <c r="AK399" s="1021"/>
      <c r="AL399" s="1021"/>
      <c r="AM399" s="1021"/>
      <c r="AN399" s="1021"/>
      <c r="AO399" s="1021"/>
      <c r="AP399" s="1021"/>
      <c r="AQ399" s="1021"/>
      <c r="AR399" s="1021"/>
      <c r="AS399" s="1021"/>
      <c r="AT399" s="1021"/>
      <c r="AU399" s="1021"/>
      <c r="AV399" s="1021"/>
      <c r="AW399" s="1021"/>
      <c r="AX399" s="1021"/>
      <c r="AY399" s="1021"/>
      <c r="AZ399" s="1021"/>
      <c r="BA399" s="1021"/>
      <c r="BB399" s="1021"/>
      <c r="BC399" s="1021"/>
      <c r="BD399" s="1021"/>
      <c r="BE399" s="1021"/>
      <c r="BF399" s="1021"/>
      <c r="BG399" s="1021"/>
      <c r="BH399" s="1021"/>
      <c r="BI399" s="1021"/>
      <c r="BJ399" s="1021"/>
      <c r="BK399" s="1021"/>
      <c r="BL399" s="1021"/>
      <c r="BM399" s="1021"/>
      <c r="BN399" s="1021"/>
      <c r="BO399" s="1021"/>
      <c r="BP399" s="1021"/>
      <c r="BQ399" s="1021"/>
      <c r="BR399" s="1021"/>
      <c r="BS399" s="1021"/>
      <c r="BT399" s="1021"/>
      <c r="BU399" s="1021"/>
      <c r="BV399" s="1021"/>
      <c r="BW399" s="1021"/>
      <c r="BX399" s="1021"/>
      <c r="BY399" s="1021"/>
      <c r="BZ399" s="1021"/>
      <c r="CA399" s="1021"/>
      <c r="CB399" s="1021"/>
      <c r="CC399" s="1021"/>
    </row>
    <row r="400" spans="8:81" x14ac:dyDescent="0.25">
      <c r="H400" s="1021"/>
      <c r="I400" s="1021"/>
      <c r="J400" s="1021"/>
      <c r="K400" s="1021"/>
      <c r="L400" s="1021"/>
      <c r="M400" s="1021"/>
      <c r="N400" s="1021"/>
      <c r="O400" s="1021"/>
      <c r="P400" s="1021"/>
      <c r="Q400" s="1021"/>
      <c r="R400" s="1021"/>
      <c r="S400" s="1021"/>
      <c r="T400" s="1021"/>
      <c r="U400" s="1021"/>
      <c r="V400" s="1021"/>
      <c r="W400" s="1021"/>
      <c r="X400" s="1021"/>
      <c r="Y400" s="1021"/>
      <c r="Z400" s="1021"/>
      <c r="AA400" s="1021"/>
      <c r="AB400" s="1021"/>
      <c r="AC400" s="1021"/>
      <c r="AD400" s="1021"/>
      <c r="AE400" s="1021"/>
      <c r="AF400" s="1021"/>
      <c r="AG400" s="1021"/>
      <c r="AH400" s="1021"/>
      <c r="AI400" s="1021"/>
      <c r="AJ400" s="1021"/>
      <c r="AK400" s="1021"/>
      <c r="AL400" s="1021"/>
      <c r="AM400" s="1021"/>
      <c r="AN400" s="1021"/>
      <c r="AO400" s="1021"/>
      <c r="AP400" s="1021"/>
      <c r="AQ400" s="1021"/>
      <c r="AR400" s="1021"/>
      <c r="AS400" s="1021"/>
      <c r="AT400" s="1021"/>
      <c r="AU400" s="1021"/>
      <c r="AV400" s="1021"/>
      <c r="AW400" s="1021"/>
      <c r="AX400" s="1021"/>
      <c r="AY400" s="1021"/>
      <c r="AZ400" s="1021"/>
      <c r="BA400" s="1021"/>
      <c r="BB400" s="1021"/>
      <c r="BC400" s="1021"/>
      <c r="BD400" s="1021"/>
      <c r="BE400" s="1021"/>
      <c r="BF400" s="1021"/>
      <c r="BG400" s="1021"/>
      <c r="BH400" s="1021"/>
      <c r="BI400" s="1021"/>
      <c r="BJ400" s="1021"/>
      <c r="BK400" s="1021"/>
      <c r="BL400" s="1021"/>
      <c r="BM400" s="1021"/>
      <c r="BN400" s="1021"/>
      <c r="BO400" s="1021"/>
      <c r="BP400" s="1021"/>
      <c r="BQ400" s="1021"/>
      <c r="BR400" s="1021"/>
      <c r="BS400" s="1021"/>
      <c r="BT400" s="1021"/>
      <c r="BU400" s="1021"/>
      <c r="BV400" s="1021"/>
      <c r="BW400" s="1021"/>
      <c r="BX400" s="1021"/>
      <c r="BY400" s="1021"/>
      <c r="BZ400" s="1021"/>
      <c r="CA400" s="1021"/>
      <c r="CB400" s="1021"/>
      <c r="CC400" s="1021"/>
    </row>
    <row r="401" spans="8:81" x14ac:dyDescent="0.25">
      <c r="H401" s="1021"/>
      <c r="I401" s="1021"/>
      <c r="J401" s="1021"/>
      <c r="K401" s="1021"/>
      <c r="L401" s="1021"/>
      <c r="M401" s="1021"/>
      <c r="N401" s="1021"/>
      <c r="O401" s="1021"/>
      <c r="P401" s="1021"/>
      <c r="Q401" s="1021"/>
      <c r="R401" s="1021"/>
      <c r="S401" s="1021"/>
      <c r="T401" s="1021"/>
      <c r="U401" s="1021"/>
      <c r="V401" s="1021"/>
      <c r="W401" s="1021"/>
      <c r="X401" s="1021"/>
      <c r="Y401" s="1021"/>
      <c r="Z401" s="1021"/>
      <c r="AA401" s="1021"/>
      <c r="AB401" s="1021"/>
      <c r="AC401" s="1021"/>
      <c r="AD401" s="1021"/>
      <c r="AE401" s="1021"/>
      <c r="AF401" s="1021"/>
      <c r="AG401" s="1021"/>
      <c r="AH401" s="1021"/>
      <c r="AI401" s="1021"/>
      <c r="AJ401" s="1021"/>
      <c r="AK401" s="1021"/>
      <c r="AL401" s="1021"/>
      <c r="AM401" s="1021"/>
      <c r="AN401" s="1021"/>
      <c r="AO401" s="1021"/>
      <c r="AP401" s="1021"/>
      <c r="AQ401" s="1021"/>
      <c r="AR401" s="1021"/>
      <c r="AS401" s="1021"/>
      <c r="AT401" s="1021"/>
      <c r="AU401" s="1021"/>
      <c r="AV401" s="1021"/>
      <c r="AW401" s="1021"/>
      <c r="AX401" s="1021"/>
      <c r="AY401" s="1021"/>
      <c r="AZ401" s="1021"/>
      <c r="BA401" s="1021"/>
      <c r="BB401" s="1021"/>
      <c r="BC401" s="1021"/>
      <c r="BD401" s="1021"/>
      <c r="BE401" s="1021"/>
      <c r="BF401" s="1021"/>
      <c r="BG401" s="1021"/>
      <c r="BH401" s="1021"/>
      <c r="BI401" s="1021"/>
      <c r="BJ401" s="1021"/>
      <c r="BK401" s="1021"/>
      <c r="BL401" s="1021"/>
      <c r="BM401" s="1021"/>
      <c r="BN401" s="1021"/>
      <c r="BO401" s="1021"/>
      <c r="BP401" s="1021"/>
      <c r="BQ401" s="1021"/>
      <c r="BR401" s="1021"/>
      <c r="BS401" s="1021"/>
      <c r="BT401" s="1021"/>
      <c r="BU401" s="1021"/>
      <c r="BV401" s="1021"/>
      <c r="BW401" s="1021"/>
      <c r="BX401" s="1021"/>
      <c r="BY401" s="1021"/>
      <c r="BZ401" s="1021"/>
      <c r="CA401" s="1021"/>
      <c r="CB401" s="1021"/>
      <c r="CC401" s="1021"/>
    </row>
    <row r="402" spans="8:81" x14ac:dyDescent="0.25">
      <c r="H402" s="1021"/>
      <c r="I402" s="1021"/>
      <c r="J402" s="1021"/>
      <c r="K402" s="1021"/>
      <c r="L402" s="1021"/>
      <c r="M402" s="1021"/>
      <c r="N402" s="1021"/>
      <c r="O402" s="1021"/>
      <c r="P402" s="1021"/>
      <c r="Q402" s="1021"/>
      <c r="R402" s="1021"/>
      <c r="S402" s="1021"/>
      <c r="T402" s="1021"/>
      <c r="U402" s="1021"/>
      <c r="V402" s="1021"/>
      <c r="W402" s="1021"/>
      <c r="X402" s="1021"/>
      <c r="Y402" s="1021"/>
      <c r="Z402" s="1021"/>
      <c r="AA402" s="1021"/>
      <c r="AB402" s="1021"/>
      <c r="AC402" s="1021"/>
      <c r="AD402" s="1021"/>
      <c r="AE402" s="1021"/>
      <c r="AF402" s="1021"/>
      <c r="AG402" s="1021"/>
      <c r="AH402" s="1021"/>
      <c r="AI402" s="1021"/>
      <c r="AJ402" s="1021"/>
      <c r="AK402" s="1021"/>
      <c r="AL402" s="1021"/>
      <c r="AM402" s="1021"/>
      <c r="AN402" s="1021"/>
      <c r="AO402" s="1021"/>
      <c r="AP402" s="1021"/>
      <c r="AQ402" s="1021"/>
      <c r="AR402" s="1021"/>
      <c r="AS402" s="1021"/>
      <c r="AT402" s="1021"/>
      <c r="AU402" s="1021"/>
      <c r="AV402" s="1021"/>
      <c r="AW402" s="1021"/>
      <c r="AX402" s="1021"/>
      <c r="AY402" s="1021"/>
      <c r="AZ402" s="1021"/>
      <c r="BA402" s="1021"/>
      <c r="BB402" s="1021"/>
      <c r="BC402" s="1021"/>
      <c r="BD402" s="1021"/>
      <c r="BE402" s="1021"/>
      <c r="BF402" s="1021"/>
      <c r="BG402" s="1021"/>
      <c r="BH402" s="1021"/>
      <c r="BI402" s="1021"/>
      <c r="BJ402" s="1021"/>
      <c r="BK402" s="1021"/>
      <c r="BL402" s="1021"/>
      <c r="BM402" s="1021"/>
      <c r="BN402" s="1021"/>
      <c r="BO402" s="1021"/>
      <c r="BP402" s="1021"/>
      <c r="BQ402" s="1021"/>
      <c r="BR402" s="1021"/>
      <c r="BS402" s="1021"/>
      <c r="BT402" s="1021"/>
      <c r="BU402" s="1021"/>
      <c r="BV402" s="1021"/>
      <c r="BW402" s="1021"/>
      <c r="BX402" s="1021"/>
      <c r="BY402" s="1021"/>
      <c r="BZ402" s="1021"/>
      <c r="CA402" s="1021"/>
      <c r="CB402" s="1021"/>
      <c r="CC402" s="1021"/>
    </row>
    <row r="403" spans="8:81" x14ac:dyDescent="0.25">
      <c r="H403" s="1021"/>
      <c r="I403" s="1021"/>
      <c r="J403" s="1021"/>
      <c r="K403" s="1021"/>
      <c r="L403" s="1021"/>
      <c r="M403" s="1021"/>
      <c r="N403" s="1021"/>
      <c r="O403" s="1021"/>
      <c r="P403" s="1021"/>
      <c r="Q403" s="1021"/>
      <c r="R403" s="1021"/>
      <c r="S403" s="1021"/>
      <c r="T403" s="1021"/>
      <c r="U403" s="1021"/>
      <c r="V403" s="1021"/>
      <c r="W403" s="1021"/>
      <c r="X403" s="1021"/>
      <c r="Y403" s="1021"/>
      <c r="Z403" s="1021"/>
      <c r="AA403" s="1021"/>
      <c r="AB403" s="1021"/>
      <c r="AC403" s="1021"/>
      <c r="AD403" s="1021"/>
      <c r="AE403" s="1021"/>
      <c r="AF403" s="1021"/>
      <c r="AG403" s="1021"/>
      <c r="AH403" s="1021"/>
      <c r="AI403" s="1021"/>
      <c r="AJ403" s="1021"/>
      <c r="AK403" s="1021"/>
      <c r="AL403" s="1021"/>
      <c r="AM403" s="1021"/>
      <c r="AN403" s="1021"/>
      <c r="AO403" s="1021"/>
      <c r="AP403" s="1021"/>
      <c r="AQ403" s="1021"/>
      <c r="AR403" s="1021"/>
      <c r="AS403" s="1021"/>
      <c r="AT403" s="1021"/>
      <c r="AU403" s="1021"/>
      <c r="AV403" s="1021"/>
      <c r="AW403" s="1021"/>
      <c r="AX403" s="1021"/>
      <c r="AY403" s="1021"/>
      <c r="AZ403" s="1021"/>
      <c r="BA403" s="1021"/>
      <c r="BB403" s="1021"/>
      <c r="BC403" s="1021"/>
      <c r="BD403" s="1021"/>
      <c r="BE403" s="1021"/>
      <c r="BF403" s="1021"/>
      <c r="BG403" s="1021"/>
      <c r="BH403" s="1021"/>
      <c r="BI403" s="1021"/>
      <c r="BJ403" s="1021"/>
      <c r="BK403" s="1021"/>
      <c r="BL403" s="1021"/>
      <c r="BM403" s="1021"/>
      <c r="BN403" s="1021"/>
      <c r="BO403" s="1021"/>
      <c r="BP403" s="1021"/>
      <c r="BQ403" s="1021"/>
      <c r="BR403" s="1021"/>
      <c r="BS403" s="1021"/>
      <c r="BT403" s="1021"/>
      <c r="BU403" s="1021"/>
      <c r="BV403" s="1021"/>
      <c r="BW403" s="1021"/>
      <c r="BX403" s="1021"/>
      <c r="BY403" s="1021"/>
      <c r="BZ403" s="1021"/>
      <c r="CA403" s="1021"/>
      <c r="CB403" s="1021"/>
      <c r="CC403" s="1021"/>
    </row>
    <row r="404" spans="8:81" x14ac:dyDescent="0.25">
      <c r="H404" s="1021"/>
      <c r="I404" s="1021"/>
      <c r="J404" s="1021"/>
      <c r="K404" s="1021"/>
      <c r="L404" s="1021"/>
      <c r="M404" s="1021"/>
      <c r="N404" s="1021"/>
      <c r="O404" s="1021"/>
      <c r="P404" s="1021"/>
      <c r="Q404" s="1021"/>
      <c r="R404" s="1021"/>
      <c r="S404" s="1021"/>
      <c r="T404" s="1021"/>
      <c r="U404" s="1021"/>
      <c r="V404" s="1021"/>
      <c r="W404" s="1021"/>
      <c r="X404" s="1021"/>
      <c r="Y404" s="1021"/>
      <c r="Z404" s="1021"/>
      <c r="AA404" s="1021"/>
      <c r="AB404" s="1021"/>
      <c r="AC404" s="1021"/>
      <c r="AD404" s="1021"/>
      <c r="AE404" s="1021"/>
      <c r="AF404" s="1021"/>
      <c r="AG404" s="1021"/>
      <c r="AH404" s="1021"/>
      <c r="AI404" s="1021"/>
      <c r="AJ404" s="1021"/>
      <c r="AK404" s="1021"/>
      <c r="AL404" s="1021"/>
      <c r="AM404" s="1021"/>
      <c r="AN404" s="1021"/>
      <c r="AO404" s="1021"/>
      <c r="AP404" s="1021"/>
      <c r="AQ404" s="1021"/>
      <c r="AR404" s="1021"/>
      <c r="AS404" s="1021"/>
      <c r="AT404" s="1021"/>
      <c r="AU404" s="1021"/>
      <c r="AV404" s="1021"/>
      <c r="AW404" s="1021"/>
      <c r="AX404" s="1021"/>
      <c r="AY404" s="1021"/>
      <c r="AZ404" s="1021"/>
      <c r="BA404" s="1021"/>
      <c r="BB404" s="1021"/>
      <c r="BC404" s="1021"/>
      <c r="BD404" s="1021"/>
      <c r="BE404" s="1021"/>
      <c r="BF404" s="1021"/>
      <c r="BG404" s="1021"/>
      <c r="BH404" s="1021"/>
      <c r="BI404" s="1021"/>
      <c r="BJ404" s="1021"/>
      <c r="BK404" s="1021"/>
      <c r="BL404" s="1021"/>
      <c r="BM404" s="1021"/>
      <c r="BN404" s="1021"/>
      <c r="BO404" s="1021"/>
      <c r="BP404" s="1021"/>
      <c r="BQ404" s="1021"/>
      <c r="BR404" s="1021"/>
      <c r="BS404" s="1021"/>
      <c r="BT404" s="1021"/>
      <c r="BU404" s="1021"/>
      <c r="BV404" s="1021"/>
      <c r="BW404" s="1021"/>
      <c r="BX404" s="1021"/>
      <c r="BY404" s="1021"/>
      <c r="BZ404" s="1021"/>
      <c r="CA404" s="1021"/>
      <c r="CB404" s="1021"/>
      <c r="CC404" s="1021"/>
    </row>
    <row r="405" spans="8:81" x14ac:dyDescent="0.25">
      <c r="H405" s="1021"/>
      <c r="I405" s="1021"/>
      <c r="J405" s="1021"/>
      <c r="K405" s="1021"/>
      <c r="L405" s="1021"/>
      <c r="M405" s="1021"/>
      <c r="N405" s="1021"/>
      <c r="O405" s="1021"/>
      <c r="P405" s="1021"/>
      <c r="Q405" s="1021"/>
      <c r="R405" s="1021"/>
      <c r="S405" s="1021"/>
      <c r="T405" s="1021"/>
      <c r="U405" s="1021"/>
      <c r="V405" s="1021"/>
      <c r="W405" s="1021"/>
      <c r="X405" s="1021"/>
      <c r="Y405" s="1021"/>
      <c r="Z405" s="1021"/>
      <c r="AA405" s="1021"/>
      <c r="AB405" s="1021"/>
      <c r="AC405" s="1021"/>
      <c r="AD405" s="1021"/>
      <c r="AE405" s="1021"/>
      <c r="AF405" s="1021"/>
      <c r="AG405" s="1021"/>
      <c r="AH405" s="1021"/>
      <c r="AI405" s="1021"/>
      <c r="AJ405" s="1021"/>
      <c r="AK405" s="1021"/>
      <c r="AL405" s="1021"/>
      <c r="AM405" s="1021"/>
      <c r="AN405" s="1021"/>
      <c r="AO405" s="1021"/>
      <c r="AP405" s="1021"/>
      <c r="AQ405" s="1021"/>
      <c r="AR405" s="1021"/>
      <c r="AS405" s="1021"/>
      <c r="AT405" s="1021"/>
      <c r="AU405" s="1021"/>
      <c r="AV405" s="1021"/>
      <c r="AW405" s="1021"/>
      <c r="AX405" s="1021"/>
      <c r="AY405" s="1021"/>
      <c r="AZ405" s="1021"/>
      <c r="BA405" s="1021"/>
      <c r="BB405" s="1021"/>
      <c r="BC405" s="1021"/>
      <c r="BD405" s="1021"/>
      <c r="BE405" s="1021"/>
      <c r="BF405" s="1021"/>
      <c r="BG405" s="1021"/>
      <c r="BH405" s="1021"/>
      <c r="BI405" s="1021"/>
      <c r="BJ405" s="1021"/>
      <c r="BK405" s="1021"/>
      <c r="BL405" s="1021"/>
      <c r="BM405" s="1021"/>
      <c r="BN405" s="1021"/>
      <c r="BO405" s="1021"/>
      <c r="BP405" s="1021"/>
      <c r="BQ405" s="1021"/>
      <c r="BR405" s="1021"/>
      <c r="BS405" s="1021"/>
      <c r="BT405" s="1021"/>
      <c r="BU405" s="1021"/>
      <c r="BV405" s="1021"/>
      <c r="BW405" s="1021"/>
      <c r="BX405" s="1021"/>
      <c r="BY405" s="1021"/>
      <c r="BZ405" s="1021"/>
      <c r="CA405" s="1021"/>
      <c r="CB405" s="1021"/>
      <c r="CC405" s="1021"/>
    </row>
    <row r="406" spans="8:81" x14ac:dyDescent="0.25">
      <c r="H406" s="1021"/>
      <c r="I406" s="1021"/>
      <c r="J406" s="1021"/>
      <c r="K406" s="1021"/>
      <c r="L406" s="1021"/>
      <c r="M406" s="1021"/>
      <c r="N406" s="1021"/>
      <c r="O406" s="1021"/>
      <c r="P406" s="1021"/>
      <c r="Q406" s="1021"/>
      <c r="R406" s="1021"/>
      <c r="S406" s="1021"/>
      <c r="T406" s="1021"/>
      <c r="U406" s="1021"/>
      <c r="V406" s="1021"/>
      <c r="W406" s="1021"/>
      <c r="X406" s="1021"/>
      <c r="Y406" s="1021"/>
      <c r="Z406" s="1021"/>
      <c r="AA406" s="1021"/>
      <c r="AB406" s="1021"/>
      <c r="AC406" s="1021"/>
      <c r="AD406" s="1021"/>
      <c r="AE406" s="1021"/>
      <c r="AF406" s="1021"/>
      <c r="AG406" s="1021"/>
      <c r="AH406" s="1021"/>
      <c r="AI406" s="1021"/>
      <c r="AJ406" s="1021"/>
      <c r="AK406" s="1021"/>
      <c r="AL406" s="1021"/>
      <c r="AM406" s="1021"/>
      <c r="AN406" s="1021"/>
      <c r="AO406" s="1021"/>
      <c r="AP406" s="1021"/>
      <c r="AQ406" s="1021"/>
      <c r="AR406" s="1021"/>
      <c r="AS406" s="1021"/>
      <c r="AT406" s="1021"/>
      <c r="AU406" s="1021"/>
      <c r="AV406" s="1021"/>
      <c r="AW406" s="1021"/>
      <c r="AX406" s="1021"/>
      <c r="AY406" s="1021"/>
      <c r="AZ406" s="1021"/>
      <c r="BA406" s="1021"/>
      <c r="BB406" s="1021"/>
      <c r="BC406" s="1021"/>
      <c r="BD406" s="1021"/>
      <c r="BE406" s="1021"/>
      <c r="BF406" s="1021"/>
      <c r="BG406" s="1021"/>
      <c r="BH406" s="1021"/>
      <c r="BI406" s="1021"/>
      <c r="BJ406" s="1021"/>
      <c r="BK406" s="1021"/>
      <c r="BL406" s="1021"/>
      <c r="BM406" s="1021"/>
      <c r="BN406" s="1021"/>
      <c r="BO406" s="1021"/>
      <c r="BP406" s="1021"/>
      <c r="BQ406" s="1021"/>
      <c r="BR406" s="1021"/>
      <c r="BS406" s="1021"/>
      <c r="BT406" s="1021"/>
      <c r="BU406" s="1021"/>
      <c r="BV406" s="1021"/>
      <c r="BW406" s="1021"/>
      <c r="BX406" s="1021"/>
      <c r="BY406" s="1021"/>
      <c r="BZ406" s="1021"/>
      <c r="CA406" s="1021"/>
      <c r="CB406" s="1021"/>
      <c r="CC406" s="1021"/>
    </row>
    <row r="407" spans="8:81" x14ac:dyDescent="0.25">
      <c r="H407" s="1021"/>
      <c r="I407" s="1021"/>
      <c r="J407" s="1021"/>
      <c r="K407" s="1021"/>
      <c r="L407" s="1021"/>
      <c r="M407" s="1021"/>
      <c r="N407" s="1021"/>
      <c r="O407" s="1021"/>
      <c r="P407" s="1021"/>
      <c r="Q407" s="1021"/>
      <c r="R407" s="1021"/>
      <c r="S407" s="1021"/>
      <c r="T407" s="1021"/>
      <c r="U407" s="1021"/>
      <c r="V407" s="1021"/>
      <c r="W407" s="1021"/>
      <c r="X407" s="1021"/>
      <c r="Y407" s="1021"/>
      <c r="Z407" s="1021"/>
      <c r="AA407" s="1021"/>
      <c r="AB407" s="1021"/>
      <c r="AC407" s="1021"/>
      <c r="AD407" s="1021"/>
      <c r="AE407" s="1021"/>
      <c r="AF407" s="1021"/>
      <c r="AG407" s="1021"/>
      <c r="AH407" s="1021"/>
      <c r="AI407" s="1021"/>
      <c r="AJ407" s="1021"/>
      <c r="AK407" s="1021"/>
      <c r="AL407" s="1021"/>
      <c r="AM407" s="1021"/>
      <c r="AN407" s="1021"/>
      <c r="AO407" s="1021"/>
      <c r="AP407" s="1021"/>
      <c r="AQ407" s="1021"/>
      <c r="AR407" s="1021"/>
      <c r="AS407" s="1021"/>
      <c r="AT407" s="1021"/>
      <c r="AU407" s="1021"/>
      <c r="AV407" s="1021"/>
      <c r="AW407" s="1021"/>
      <c r="AX407" s="1021"/>
      <c r="AY407" s="1021"/>
      <c r="AZ407" s="1021"/>
      <c r="BA407" s="1021"/>
      <c r="BB407" s="1021"/>
      <c r="BC407" s="1021"/>
      <c r="BD407" s="1021"/>
      <c r="BE407" s="1021"/>
      <c r="BF407" s="1021"/>
      <c r="BG407" s="1021"/>
      <c r="BH407" s="1021"/>
      <c r="BI407" s="1021"/>
      <c r="BJ407" s="1021"/>
      <c r="BK407" s="1021"/>
      <c r="BL407" s="1021"/>
      <c r="BM407" s="1021"/>
      <c r="BN407" s="1021"/>
      <c r="BO407" s="1021"/>
      <c r="BP407" s="1021"/>
      <c r="BQ407" s="1021"/>
      <c r="BR407" s="1021"/>
      <c r="BS407" s="1021"/>
      <c r="BT407" s="1021"/>
      <c r="BU407" s="1021"/>
      <c r="BV407" s="1021"/>
      <c r="BW407" s="1021"/>
      <c r="BX407" s="1021"/>
      <c r="BY407" s="1021"/>
      <c r="BZ407" s="1021"/>
      <c r="CA407" s="1021"/>
      <c r="CB407" s="1021"/>
      <c r="CC407" s="1021"/>
    </row>
    <row r="408" spans="8:81" x14ac:dyDescent="0.25">
      <c r="H408" s="1021"/>
      <c r="I408" s="1021"/>
      <c r="J408" s="1021"/>
      <c r="K408" s="1021"/>
      <c r="L408" s="1021"/>
      <c r="M408" s="1021"/>
      <c r="N408" s="1021"/>
      <c r="O408" s="1021"/>
      <c r="P408" s="1021"/>
      <c r="Q408" s="1021"/>
      <c r="R408" s="1021"/>
      <c r="S408" s="1021"/>
      <c r="T408" s="1021"/>
      <c r="U408" s="1021"/>
      <c r="V408" s="1021"/>
      <c r="W408" s="1021"/>
      <c r="X408" s="1021"/>
      <c r="Y408" s="1021"/>
      <c r="Z408" s="1021"/>
      <c r="AA408" s="1021"/>
      <c r="AB408" s="1021"/>
      <c r="AC408" s="1021"/>
      <c r="AD408" s="1021"/>
      <c r="AE408" s="1021"/>
      <c r="AF408" s="1021"/>
      <c r="AG408" s="1021"/>
      <c r="AH408" s="1021"/>
      <c r="AI408" s="1021"/>
      <c r="AJ408" s="1021"/>
      <c r="AK408" s="1021"/>
      <c r="AL408" s="1021"/>
      <c r="AM408" s="1021"/>
      <c r="AN408" s="1021"/>
      <c r="AO408" s="1021"/>
      <c r="AP408" s="1021"/>
      <c r="AQ408" s="1021"/>
      <c r="AR408" s="1021"/>
      <c r="AS408" s="1021"/>
      <c r="AT408" s="1021"/>
      <c r="AU408" s="1021"/>
      <c r="AV408" s="1021"/>
      <c r="AW408" s="1021"/>
      <c r="AX408" s="1021"/>
      <c r="AY408" s="1021"/>
      <c r="AZ408" s="1021"/>
      <c r="BA408" s="1021"/>
      <c r="BB408" s="1021"/>
      <c r="BC408" s="1021"/>
      <c r="BD408" s="1021"/>
      <c r="BE408" s="1021"/>
      <c r="BF408" s="1021"/>
      <c r="BG408" s="1021"/>
      <c r="BH408" s="1021"/>
      <c r="BI408" s="1021"/>
      <c r="BJ408" s="1021"/>
      <c r="BK408" s="1021"/>
      <c r="BL408" s="1021"/>
      <c r="BM408" s="1021"/>
      <c r="BN408" s="1021"/>
      <c r="BO408" s="1021"/>
      <c r="BP408" s="1021"/>
      <c r="BQ408" s="1021"/>
      <c r="BR408" s="1021"/>
      <c r="BS408" s="1021"/>
      <c r="BT408" s="1021"/>
      <c r="BU408" s="1021"/>
      <c r="BV408" s="1021"/>
      <c r="BW408" s="1021"/>
      <c r="BX408" s="1021"/>
      <c r="BY408" s="1021"/>
      <c r="BZ408" s="1021"/>
      <c r="CA408" s="1021"/>
      <c r="CB408" s="1021"/>
      <c r="CC408" s="1021"/>
    </row>
    <row r="409" spans="8:81" x14ac:dyDescent="0.25">
      <c r="H409" s="1021"/>
      <c r="I409" s="1021"/>
      <c r="J409" s="1021"/>
      <c r="K409" s="1021"/>
      <c r="L409" s="1021"/>
      <c r="M409" s="1021"/>
      <c r="N409" s="1021"/>
      <c r="O409" s="1021"/>
      <c r="P409" s="1021"/>
      <c r="Q409" s="1021"/>
      <c r="R409" s="1021"/>
      <c r="S409" s="1021"/>
      <c r="T409" s="1021"/>
      <c r="U409" s="1021"/>
      <c r="V409" s="1021"/>
      <c r="W409" s="1021"/>
      <c r="X409" s="1021"/>
      <c r="Y409" s="1021"/>
      <c r="Z409" s="1021"/>
      <c r="AA409" s="1021"/>
      <c r="AB409" s="1021"/>
      <c r="AC409" s="1021"/>
      <c r="AD409" s="1021"/>
      <c r="AE409" s="1021"/>
      <c r="AF409" s="1021"/>
      <c r="AG409" s="1021"/>
      <c r="AH409" s="1021"/>
      <c r="AI409" s="1021"/>
      <c r="AJ409" s="1021"/>
      <c r="AK409" s="1021"/>
      <c r="AL409" s="1021"/>
      <c r="AM409" s="1021"/>
      <c r="AN409" s="1021"/>
      <c r="AO409" s="1021"/>
      <c r="AP409" s="1021"/>
      <c r="AQ409" s="1021"/>
      <c r="AR409" s="1021"/>
      <c r="AS409" s="1021"/>
      <c r="AT409" s="1021"/>
      <c r="AU409" s="1021"/>
      <c r="AV409" s="1021"/>
      <c r="AW409" s="1021"/>
      <c r="AX409" s="1021"/>
      <c r="AY409" s="1021"/>
      <c r="AZ409" s="1021"/>
      <c r="BA409" s="1021"/>
      <c r="BB409" s="1021"/>
      <c r="BC409" s="1021"/>
      <c r="BD409" s="1021"/>
      <c r="BE409" s="1021"/>
      <c r="BF409" s="1021"/>
      <c r="BG409" s="1021"/>
      <c r="BH409" s="1021"/>
      <c r="BI409" s="1021"/>
      <c r="BJ409" s="1021"/>
      <c r="BK409" s="1021"/>
      <c r="BL409" s="1021"/>
      <c r="BM409" s="1021"/>
      <c r="BN409" s="1021"/>
      <c r="BO409" s="1021"/>
      <c r="BP409" s="1021"/>
      <c r="BQ409" s="1021"/>
      <c r="BR409" s="1021"/>
      <c r="BS409" s="1021"/>
      <c r="BT409" s="1021"/>
      <c r="BU409" s="1021"/>
      <c r="BV409" s="1021"/>
      <c r="BW409" s="1021"/>
      <c r="BX409" s="1021"/>
      <c r="BY409" s="1021"/>
      <c r="BZ409" s="1021"/>
      <c r="CA409" s="1021"/>
      <c r="CB409" s="1021"/>
      <c r="CC409" s="1021"/>
    </row>
    <row r="410" spans="8:81" x14ac:dyDescent="0.25">
      <c r="H410" s="1021"/>
      <c r="I410" s="1021"/>
      <c r="J410" s="1021"/>
      <c r="K410" s="1021"/>
      <c r="L410" s="1021"/>
      <c r="M410" s="1021"/>
      <c r="N410" s="1021"/>
      <c r="O410" s="1021"/>
      <c r="P410" s="1021"/>
      <c r="Q410" s="1021"/>
      <c r="R410" s="1021"/>
      <c r="S410" s="1021"/>
      <c r="T410" s="1021"/>
      <c r="U410" s="1021"/>
      <c r="V410" s="1021"/>
      <c r="W410" s="1021"/>
      <c r="X410" s="1021"/>
      <c r="Y410" s="1021"/>
      <c r="Z410" s="1021"/>
      <c r="AA410" s="1021"/>
      <c r="AB410" s="1021"/>
      <c r="AC410" s="1021"/>
      <c r="AD410" s="1021"/>
      <c r="AE410" s="1021"/>
      <c r="AF410" s="1021"/>
      <c r="AG410" s="1021"/>
      <c r="AH410" s="1021"/>
      <c r="AI410" s="1021"/>
      <c r="AJ410" s="1021"/>
      <c r="AK410" s="1021"/>
      <c r="AL410" s="1021"/>
      <c r="AM410" s="1021"/>
      <c r="AN410" s="1021"/>
      <c r="AO410" s="1021"/>
      <c r="AP410" s="1021"/>
      <c r="AQ410" s="1021"/>
      <c r="AR410" s="1021"/>
      <c r="AS410" s="1021"/>
      <c r="AT410" s="1021"/>
      <c r="AU410" s="1021"/>
      <c r="AV410" s="1021"/>
      <c r="AW410" s="1021"/>
      <c r="AX410" s="1021"/>
      <c r="AY410" s="1021"/>
      <c r="AZ410" s="1021"/>
      <c r="BA410" s="1021"/>
      <c r="BB410" s="1021"/>
      <c r="BC410" s="1021"/>
      <c r="BD410" s="1021"/>
      <c r="BE410" s="1021"/>
      <c r="BF410" s="1021"/>
      <c r="BG410" s="1021"/>
      <c r="BH410" s="1021"/>
      <c r="BI410" s="1021"/>
      <c r="BJ410" s="1021"/>
      <c r="BK410" s="1021"/>
      <c r="BL410" s="1021"/>
      <c r="BM410" s="1021"/>
      <c r="BN410" s="1021"/>
      <c r="BO410" s="1021"/>
      <c r="BP410" s="1021"/>
      <c r="BQ410" s="1021"/>
      <c r="BR410" s="1021"/>
      <c r="BS410" s="1021"/>
      <c r="BT410" s="1021"/>
      <c r="BU410" s="1021"/>
      <c r="BV410" s="1021"/>
      <c r="BW410" s="1021"/>
      <c r="BX410" s="1021"/>
      <c r="BY410" s="1021"/>
      <c r="BZ410" s="1021"/>
      <c r="CA410" s="1021"/>
      <c r="CB410" s="1021"/>
      <c r="CC410" s="1021"/>
    </row>
    <row r="411" spans="8:81" x14ac:dyDescent="0.25">
      <c r="H411" s="1021"/>
      <c r="I411" s="1021"/>
      <c r="J411" s="1021"/>
      <c r="K411" s="1021"/>
      <c r="L411" s="1021"/>
      <c r="M411" s="1021"/>
      <c r="N411" s="1021"/>
      <c r="O411" s="1021"/>
      <c r="P411" s="1021"/>
      <c r="Q411" s="1021"/>
      <c r="R411" s="1021"/>
      <c r="S411" s="1021"/>
      <c r="T411" s="1021"/>
      <c r="U411" s="1021"/>
      <c r="V411" s="1021"/>
      <c r="W411" s="1021"/>
      <c r="X411" s="1021"/>
      <c r="Y411" s="1021"/>
      <c r="Z411" s="1021"/>
      <c r="AA411" s="1021"/>
      <c r="AB411" s="1021"/>
      <c r="AC411" s="1021"/>
      <c r="AD411" s="1021"/>
      <c r="AE411" s="1021"/>
      <c r="AF411" s="1021"/>
      <c r="AG411" s="1021"/>
      <c r="AH411" s="1021"/>
      <c r="AI411" s="1021"/>
      <c r="AJ411" s="1021"/>
      <c r="AK411" s="1021"/>
      <c r="AL411" s="1021"/>
      <c r="AM411" s="1021"/>
      <c r="AN411" s="1021"/>
      <c r="AO411" s="1021"/>
      <c r="AP411" s="1021"/>
      <c r="AQ411" s="1021"/>
      <c r="AR411" s="1021"/>
      <c r="AS411" s="1021"/>
      <c r="AT411" s="1021"/>
      <c r="AU411" s="1021"/>
      <c r="AV411" s="1021"/>
      <c r="AW411" s="1021"/>
      <c r="AX411" s="1021"/>
      <c r="AY411" s="1021"/>
      <c r="AZ411" s="1021"/>
      <c r="BA411" s="1021"/>
      <c r="BB411" s="1021"/>
      <c r="BC411" s="1021"/>
      <c r="BD411" s="1021"/>
      <c r="BE411" s="1021"/>
      <c r="BF411" s="1021"/>
      <c r="BG411" s="1021"/>
      <c r="BH411" s="1021"/>
      <c r="BI411" s="1021"/>
      <c r="BJ411" s="1021"/>
      <c r="BK411" s="1021"/>
      <c r="BL411" s="1021"/>
      <c r="BM411" s="1021"/>
      <c r="BN411" s="1021"/>
      <c r="BO411" s="1021"/>
      <c r="BP411" s="1021"/>
      <c r="BQ411" s="1021"/>
      <c r="BR411" s="1021"/>
      <c r="BS411" s="1021"/>
      <c r="BT411" s="1021"/>
      <c r="BU411" s="1021"/>
      <c r="BV411" s="1021"/>
      <c r="BW411" s="1021"/>
      <c r="BX411" s="1021"/>
      <c r="BY411" s="1021"/>
      <c r="BZ411" s="1021"/>
      <c r="CA411" s="1021"/>
      <c r="CB411" s="1021"/>
      <c r="CC411" s="1021"/>
    </row>
    <row r="412" spans="8:81" x14ac:dyDescent="0.25">
      <c r="H412" s="1021"/>
      <c r="I412" s="1021"/>
      <c r="J412" s="1021"/>
      <c r="K412" s="1021"/>
      <c r="L412" s="1021"/>
      <c r="M412" s="1021"/>
      <c r="N412" s="1021"/>
      <c r="O412" s="1021"/>
      <c r="P412" s="1021"/>
      <c r="Q412" s="1021"/>
      <c r="R412" s="1021"/>
      <c r="S412" s="1021"/>
      <c r="T412" s="1021"/>
      <c r="U412" s="1021"/>
      <c r="V412" s="1021"/>
      <c r="W412" s="1021"/>
      <c r="X412" s="1021"/>
      <c r="Y412" s="1021"/>
      <c r="Z412" s="1021"/>
      <c r="AA412" s="1021"/>
      <c r="AB412" s="1021"/>
      <c r="AC412" s="1021"/>
      <c r="AD412" s="1021"/>
      <c r="AE412" s="1021"/>
      <c r="AF412" s="1021"/>
      <c r="AG412" s="1021"/>
      <c r="AH412" s="1021"/>
      <c r="AI412" s="1021"/>
      <c r="AJ412" s="1021"/>
      <c r="AK412" s="1021"/>
      <c r="AL412" s="1021"/>
      <c r="AM412" s="1021"/>
      <c r="AN412" s="1021"/>
      <c r="AO412" s="1021"/>
      <c r="AP412" s="1021"/>
      <c r="AQ412" s="1021"/>
      <c r="AR412" s="1021"/>
      <c r="AS412" s="1021"/>
      <c r="AT412" s="1021"/>
      <c r="AU412" s="1021"/>
      <c r="AV412" s="1021"/>
      <c r="AW412" s="1021"/>
      <c r="AX412" s="1021"/>
      <c r="AY412" s="1021"/>
      <c r="AZ412" s="1021"/>
      <c r="BA412" s="1021"/>
      <c r="BB412" s="1021"/>
      <c r="BC412" s="1021"/>
      <c r="BD412" s="1021"/>
      <c r="BE412" s="1021"/>
      <c r="BF412" s="1021"/>
      <c r="BG412" s="1021"/>
      <c r="BH412" s="1021"/>
      <c r="BI412" s="1021"/>
      <c r="BJ412" s="1021"/>
      <c r="BK412" s="1021"/>
      <c r="BL412" s="1021"/>
      <c r="BM412" s="1021"/>
      <c r="BN412" s="1021"/>
      <c r="BO412" s="1021"/>
      <c r="BP412" s="1021"/>
      <c r="BQ412" s="1021"/>
      <c r="BR412" s="1021"/>
      <c r="BS412" s="1021"/>
      <c r="BT412" s="1021"/>
      <c r="BU412" s="1021"/>
      <c r="BV412" s="1021"/>
      <c r="BW412" s="1021"/>
      <c r="BX412" s="1021"/>
      <c r="BY412" s="1021"/>
      <c r="BZ412" s="1021"/>
      <c r="CA412" s="1021"/>
      <c r="CB412" s="1021"/>
      <c r="CC412" s="1021"/>
    </row>
    <row r="413" spans="8:81" x14ac:dyDescent="0.25">
      <c r="H413" s="1021"/>
      <c r="I413" s="1021"/>
      <c r="J413" s="1021"/>
      <c r="K413" s="1021"/>
      <c r="L413" s="1021"/>
      <c r="M413" s="1021"/>
      <c r="N413" s="1021"/>
      <c r="O413" s="1021"/>
      <c r="P413" s="1021"/>
      <c r="Q413" s="1021"/>
      <c r="R413" s="1021"/>
      <c r="S413" s="1021"/>
      <c r="T413" s="1021"/>
      <c r="U413" s="1021"/>
      <c r="V413" s="1021"/>
      <c r="W413" s="1021"/>
      <c r="X413" s="1021"/>
      <c r="Y413" s="1021"/>
      <c r="Z413" s="1021"/>
      <c r="AA413" s="1021"/>
      <c r="AB413" s="1021"/>
      <c r="AC413" s="1021"/>
      <c r="AD413" s="1021"/>
      <c r="AE413" s="1021"/>
      <c r="AF413" s="1021"/>
      <c r="AG413" s="1021"/>
      <c r="AH413" s="1021"/>
      <c r="AI413" s="1021"/>
      <c r="AJ413" s="1021"/>
      <c r="AK413" s="1021"/>
      <c r="AL413" s="1021"/>
      <c r="AM413" s="1021"/>
      <c r="AN413" s="1021"/>
      <c r="AO413" s="1021"/>
      <c r="AP413" s="1021"/>
      <c r="AQ413" s="1021"/>
      <c r="AR413" s="1021"/>
      <c r="AS413" s="1021"/>
      <c r="AT413" s="1021"/>
      <c r="AU413" s="1021"/>
      <c r="AV413" s="1021"/>
      <c r="AW413" s="1021"/>
      <c r="AX413" s="1021"/>
      <c r="AY413" s="1021"/>
      <c r="AZ413" s="1021"/>
      <c r="BA413" s="1021"/>
      <c r="BB413" s="1021"/>
      <c r="BC413" s="1021"/>
      <c r="BD413" s="1021"/>
      <c r="BE413" s="1021"/>
      <c r="BF413" s="1021"/>
      <c r="BG413" s="1021"/>
      <c r="BH413" s="1021"/>
      <c r="BI413" s="1021"/>
      <c r="BJ413" s="1021"/>
      <c r="BK413" s="1021"/>
      <c r="BL413" s="1021"/>
      <c r="BM413" s="1021"/>
      <c r="BN413" s="1021"/>
      <c r="BO413" s="1021"/>
      <c r="BP413" s="1021"/>
      <c r="BQ413" s="1021"/>
      <c r="BR413" s="1021"/>
      <c r="BS413" s="1021"/>
      <c r="BT413" s="1021"/>
      <c r="BU413" s="1021"/>
      <c r="BV413" s="1021"/>
      <c r="BW413" s="1021"/>
      <c r="BX413" s="1021"/>
      <c r="BY413" s="1021"/>
      <c r="BZ413" s="1021"/>
      <c r="CA413" s="1021"/>
      <c r="CB413" s="1021"/>
      <c r="CC413" s="1021"/>
    </row>
    <row r="414" spans="8:81" x14ac:dyDescent="0.25">
      <c r="H414" s="1021"/>
      <c r="I414" s="1021"/>
      <c r="J414" s="1021"/>
      <c r="K414" s="1021"/>
      <c r="L414" s="1021"/>
      <c r="M414" s="1021"/>
      <c r="N414" s="1021"/>
      <c r="O414" s="1021"/>
      <c r="P414" s="1021"/>
      <c r="Q414" s="1021"/>
      <c r="R414" s="1021"/>
      <c r="S414" s="1021"/>
      <c r="T414" s="1021"/>
      <c r="U414" s="1021"/>
      <c r="V414" s="1021"/>
      <c r="W414" s="1021"/>
      <c r="X414" s="1021"/>
      <c r="Y414" s="1021"/>
      <c r="Z414" s="1021"/>
      <c r="AA414" s="1021"/>
      <c r="AB414" s="1021"/>
      <c r="AC414" s="1021"/>
      <c r="AD414" s="1021"/>
      <c r="AE414" s="1021"/>
      <c r="AF414" s="1021"/>
      <c r="AG414" s="1021"/>
      <c r="AH414" s="1021"/>
      <c r="AI414" s="1021"/>
      <c r="AJ414" s="1021"/>
      <c r="AK414" s="1021"/>
      <c r="AL414" s="1021"/>
      <c r="AM414" s="1021"/>
      <c r="AN414" s="1021"/>
      <c r="AO414" s="1021"/>
      <c r="AP414" s="1021"/>
      <c r="AQ414" s="1021"/>
      <c r="AR414" s="1021"/>
      <c r="AS414" s="1021"/>
      <c r="AT414" s="1021"/>
      <c r="AU414" s="1021"/>
      <c r="AV414" s="1021"/>
      <c r="AW414" s="1021"/>
      <c r="AX414" s="1021"/>
      <c r="AY414" s="1021"/>
      <c r="AZ414" s="1021"/>
      <c r="BA414" s="1021"/>
      <c r="BB414" s="1021"/>
      <c r="BC414" s="1021"/>
      <c r="BD414" s="1021"/>
      <c r="BE414" s="1021"/>
      <c r="BF414" s="1021"/>
      <c r="BG414" s="1021"/>
      <c r="BH414" s="1021"/>
      <c r="BI414" s="1021"/>
      <c r="BJ414" s="1021"/>
      <c r="BK414" s="1021"/>
      <c r="BL414" s="1021"/>
      <c r="BM414" s="1021"/>
      <c r="BN414" s="1021"/>
      <c r="BO414" s="1021"/>
      <c r="BP414" s="1021"/>
      <c r="BQ414" s="1021"/>
      <c r="BR414" s="1021"/>
      <c r="BS414" s="1021"/>
      <c r="BT414" s="1021"/>
      <c r="BU414" s="1021"/>
      <c r="BV414" s="1021"/>
      <c r="BW414" s="1021"/>
      <c r="BX414" s="1021"/>
      <c r="BY414" s="1021"/>
      <c r="BZ414" s="1021"/>
      <c r="CA414" s="1021"/>
      <c r="CB414" s="1021"/>
      <c r="CC414" s="1021"/>
    </row>
    <row r="415" spans="8:81" x14ac:dyDescent="0.25">
      <c r="H415" s="1021"/>
      <c r="I415" s="1021"/>
      <c r="J415" s="1021"/>
      <c r="K415" s="1021"/>
      <c r="L415" s="1021"/>
      <c r="M415" s="1021"/>
      <c r="N415" s="1021"/>
      <c r="O415" s="1021"/>
      <c r="P415" s="1021"/>
      <c r="Q415" s="1021"/>
      <c r="R415" s="1021"/>
      <c r="S415" s="1021"/>
      <c r="T415" s="1021"/>
      <c r="U415" s="1021"/>
      <c r="V415" s="1021"/>
      <c r="W415" s="1021"/>
      <c r="X415" s="1021"/>
      <c r="Y415" s="1021"/>
      <c r="Z415" s="1021"/>
      <c r="AA415" s="1021"/>
      <c r="AB415" s="1021"/>
      <c r="AC415" s="1021"/>
      <c r="AD415" s="1021"/>
      <c r="AE415" s="1021"/>
      <c r="AF415" s="1021"/>
      <c r="AG415" s="1021"/>
      <c r="AH415" s="1021"/>
      <c r="AI415" s="1021"/>
      <c r="AJ415" s="1021"/>
      <c r="AK415" s="1021"/>
      <c r="AL415" s="1021"/>
      <c r="AM415" s="1021"/>
      <c r="AN415" s="1021"/>
      <c r="AO415" s="1021"/>
      <c r="AP415" s="1021"/>
      <c r="AQ415" s="1021"/>
      <c r="AR415" s="1021"/>
      <c r="AS415" s="1021"/>
      <c r="AT415" s="1021"/>
      <c r="AU415" s="1021"/>
      <c r="AV415" s="1021"/>
      <c r="AW415" s="1021"/>
      <c r="AX415" s="1021"/>
      <c r="AY415" s="1021"/>
      <c r="AZ415" s="1021"/>
      <c r="BA415" s="1021"/>
      <c r="BB415" s="1021"/>
      <c r="BC415" s="1021"/>
      <c r="BD415" s="1021"/>
      <c r="BE415" s="1021"/>
      <c r="BF415" s="1021"/>
      <c r="BG415" s="1021"/>
      <c r="BH415" s="1021"/>
      <c r="BI415" s="1021"/>
      <c r="BJ415" s="1021"/>
      <c r="BK415" s="1021"/>
      <c r="BL415" s="1021"/>
      <c r="BM415" s="1021"/>
      <c r="BN415" s="1021"/>
      <c r="BO415" s="1021"/>
      <c r="BP415" s="1021"/>
      <c r="BQ415" s="1021"/>
      <c r="BR415" s="1021"/>
      <c r="BS415" s="1021"/>
      <c r="BT415" s="1021"/>
      <c r="BU415" s="1021"/>
      <c r="BV415" s="1021"/>
      <c r="BW415" s="1021"/>
      <c r="BX415" s="1021"/>
      <c r="BY415" s="1021"/>
      <c r="BZ415" s="1021"/>
      <c r="CA415" s="1021"/>
      <c r="CB415" s="1021"/>
      <c r="CC415" s="1021"/>
    </row>
    <row r="416" spans="8:81" x14ac:dyDescent="0.25">
      <c r="H416" s="1021"/>
      <c r="I416" s="1021"/>
      <c r="J416" s="1021"/>
      <c r="K416" s="1021"/>
      <c r="L416" s="1021"/>
      <c r="M416" s="1021"/>
      <c r="N416" s="1021"/>
      <c r="O416" s="1021"/>
      <c r="P416" s="1021"/>
      <c r="Q416" s="1021"/>
      <c r="R416" s="1021"/>
      <c r="S416" s="1021"/>
      <c r="T416" s="1021"/>
      <c r="U416" s="1021"/>
      <c r="V416" s="1021"/>
      <c r="W416" s="1021"/>
      <c r="X416" s="1021"/>
      <c r="Y416" s="1021"/>
      <c r="Z416" s="1021"/>
      <c r="AA416" s="1021"/>
      <c r="AB416" s="1021"/>
      <c r="AC416" s="1021"/>
      <c r="AD416" s="1021"/>
      <c r="AE416" s="1021"/>
      <c r="AF416" s="1021"/>
      <c r="AG416" s="1021"/>
      <c r="AH416" s="1021"/>
      <c r="AI416" s="1021"/>
      <c r="AJ416" s="1021"/>
      <c r="AK416" s="1021"/>
      <c r="AL416" s="1021"/>
      <c r="AM416" s="1021"/>
      <c r="AN416" s="1021"/>
      <c r="AO416" s="1021"/>
      <c r="AP416" s="1021"/>
      <c r="AQ416" s="1021"/>
      <c r="AR416" s="1021"/>
      <c r="AS416" s="1021"/>
      <c r="AT416" s="1021"/>
      <c r="AU416" s="1021"/>
      <c r="AV416" s="1021"/>
      <c r="AW416" s="1021"/>
      <c r="AX416" s="1021"/>
      <c r="AY416" s="1021"/>
      <c r="AZ416" s="1021"/>
      <c r="BA416" s="1021"/>
      <c r="BB416" s="1021"/>
      <c r="BC416" s="1021"/>
      <c r="BD416" s="1021"/>
      <c r="BE416" s="1021"/>
      <c r="BF416" s="1021"/>
      <c r="BG416" s="1021"/>
      <c r="BH416" s="1021"/>
      <c r="BI416" s="1021"/>
      <c r="BJ416" s="1021"/>
      <c r="BK416" s="1021"/>
      <c r="BL416" s="1021"/>
      <c r="BM416" s="1021"/>
      <c r="BN416" s="1021"/>
      <c r="BO416" s="1021"/>
      <c r="BP416" s="1021"/>
      <c r="BQ416" s="1021"/>
      <c r="BR416" s="1021"/>
      <c r="BS416" s="1021"/>
      <c r="BT416" s="1021"/>
      <c r="BU416" s="1021"/>
      <c r="BV416" s="1021"/>
      <c r="BW416" s="1021"/>
      <c r="BX416" s="1021"/>
      <c r="BY416" s="1021"/>
      <c r="BZ416" s="1021"/>
      <c r="CA416" s="1021"/>
      <c r="CB416" s="1021"/>
      <c r="CC416" s="1021"/>
    </row>
    <row r="417" spans="8:81" x14ac:dyDescent="0.25">
      <c r="H417" s="1021"/>
      <c r="I417" s="1021"/>
      <c r="J417" s="1021"/>
      <c r="K417" s="1021"/>
      <c r="L417" s="1021"/>
      <c r="M417" s="1021"/>
      <c r="N417" s="1021"/>
      <c r="O417" s="1021"/>
      <c r="P417" s="1021"/>
      <c r="Q417" s="1021"/>
      <c r="R417" s="1021"/>
      <c r="S417" s="1021"/>
      <c r="T417" s="1021"/>
      <c r="U417" s="1021"/>
      <c r="V417" s="1021"/>
      <c r="W417" s="1021"/>
      <c r="X417" s="1021"/>
      <c r="Y417" s="1021"/>
      <c r="Z417" s="1021"/>
      <c r="AA417" s="1021"/>
      <c r="AB417" s="1021"/>
      <c r="AC417" s="1021"/>
      <c r="AD417" s="1021"/>
      <c r="AE417" s="1021"/>
      <c r="AF417" s="1021"/>
      <c r="AG417" s="1021"/>
      <c r="AH417" s="1021"/>
      <c r="AI417" s="1021"/>
      <c r="AJ417" s="1021"/>
      <c r="AK417" s="1021"/>
      <c r="AL417" s="1021"/>
      <c r="AM417" s="1021"/>
      <c r="AN417" s="1021"/>
      <c r="AO417" s="1021"/>
      <c r="AP417" s="1021"/>
      <c r="AQ417" s="1021"/>
      <c r="AR417" s="1021"/>
      <c r="AS417" s="1021"/>
      <c r="AT417" s="1021"/>
      <c r="AU417" s="1021"/>
      <c r="AV417" s="1021"/>
      <c r="AW417" s="1021"/>
      <c r="AX417" s="1021"/>
      <c r="AY417" s="1021"/>
      <c r="AZ417" s="1021"/>
      <c r="BA417" s="1021"/>
      <c r="BB417" s="1021"/>
      <c r="BC417" s="1021"/>
      <c r="BD417" s="1021"/>
      <c r="BE417" s="1021"/>
      <c r="BF417" s="1021"/>
      <c r="BG417" s="1021"/>
      <c r="BH417" s="1021"/>
      <c r="BI417" s="1021"/>
      <c r="BJ417" s="1021"/>
      <c r="BK417" s="1021"/>
      <c r="BL417" s="1021"/>
      <c r="BM417" s="1021"/>
      <c r="BN417" s="1021"/>
      <c r="BO417" s="1021"/>
      <c r="BP417" s="1021"/>
      <c r="BQ417" s="1021"/>
      <c r="BR417" s="1021"/>
      <c r="BS417" s="1021"/>
      <c r="BT417" s="1021"/>
      <c r="BU417" s="1021"/>
      <c r="BV417" s="1021"/>
      <c r="BW417" s="1021"/>
      <c r="BX417" s="1021"/>
      <c r="BY417" s="1021"/>
      <c r="BZ417" s="1021"/>
      <c r="CA417" s="1021"/>
      <c r="CB417" s="1021"/>
      <c r="CC417" s="1021"/>
    </row>
    <row r="418" spans="8:81" x14ac:dyDescent="0.25">
      <c r="H418" s="1021"/>
      <c r="I418" s="1021"/>
      <c r="J418" s="1021"/>
      <c r="K418" s="1021"/>
      <c r="L418" s="1021"/>
      <c r="M418" s="1021"/>
      <c r="N418" s="1021"/>
      <c r="O418" s="1021"/>
      <c r="P418" s="1021"/>
      <c r="Q418" s="1021"/>
      <c r="R418" s="1021"/>
      <c r="S418" s="1021"/>
      <c r="T418" s="1021"/>
      <c r="U418" s="1021"/>
      <c r="V418" s="1021"/>
      <c r="W418" s="1021"/>
      <c r="X418" s="1021"/>
      <c r="Y418" s="1021"/>
      <c r="Z418" s="1021"/>
      <c r="AA418" s="1021"/>
      <c r="AB418" s="1021"/>
      <c r="AC418" s="1021"/>
      <c r="AD418" s="1021"/>
      <c r="AE418" s="1021"/>
      <c r="AF418" s="1021"/>
      <c r="AG418" s="1021"/>
      <c r="AH418" s="1021"/>
      <c r="AI418" s="1021"/>
      <c r="AJ418" s="1021"/>
      <c r="AK418" s="1021"/>
      <c r="AL418" s="1021"/>
      <c r="AM418" s="1021"/>
      <c r="AN418" s="1021"/>
      <c r="AO418" s="1021"/>
      <c r="AP418" s="1021"/>
      <c r="AQ418" s="1021"/>
      <c r="AR418" s="1021"/>
      <c r="AS418" s="1021"/>
      <c r="AT418" s="1021"/>
      <c r="AU418" s="1021"/>
      <c r="AV418" s="1021"/>
      <c r="AW418" s="1021"/>
      <c r="AX418" s="1021"/>
      <c r="AY418" s="1021"/>
      <c r="AZ418" s="1021"/>
      <c r="BA418" s="1021"/>
      <c r="BB418" s="1021"/>
      <c r="BC418" s="1021"/>
      <c r="BD418" s="1021"/>
      <c r="BE418" s="1021"/>
      <c r="BF418" s="1021"/>
      <c r="BG418" s="1021"/>
      <c r="BH418" s="1021"/>
      <c r="BI418" s="1021"/>
      <c r="BJ418" s="1021"/>
      <c r="BK418" s="1021"/>
      <c r="BL418" s="1021"/>
      <c r="BM418" s="1021"/>
      <c r="BN418" s="1021"/>
      <c r="BO418" s="1021"/>
      <c r="BP418" s="1021"/>
      <c r="BQ418" s="1021"/>
      <c r="BR418" s="1021"/>
      <c r="BS418" s="1021"/>
      <c r="BT418" s="1021"/>
      <c r="BU418" s="1021"/>
      <c r="BV418" s="1021"/>
      <c r="BW418" s="1021"/>
      <c r="BX418" s="1021"/>
      <c r="BY418" s="1021"/>
      <c r="BZ418" s="1021"/>
      <c r="CA418" s="1021"/>
      <c r="CB418" s="1021"/>
      <c r="CC418" s="1021"/>
    </row>
    <row r="419" spans="8:81" x14ac:dyDescent="0.25">
      <c r="H419" s="1021"/>
      <c r="I419" s="1021"/>
      <c r="J419" s="1021"/>
      <c r="K419" s="1021"/>
      <c r="L419" s="1021"/>
      <c r="M419" s="1021"/>
      <c r="N419" s="1021"/>
      <c r="O419" s="1021"/>
      <c r="P419" s="1021"/>
      <c r="Q419" s="1021"/>
      <c r="R419" s="1021"/>
      <c r="S419" s="1021"/>
      <c r="T419" s="1021"/>
      <c r="U419" s="1021"/>
      <c r="V419" s="1021"/>
      <c r="W419" s="1021"/>
      <c r="X419" s="1021"/>
      <c r="Y419" s="1021"/>
      <c r="Z419" s="1021"/>
      <c r="AA419" s="1021"/>
      <c r="AB419" s="1021"/>
      <c r="AC419" s="1021"/>
      <c r="AD419" s="1021"/>
      <c r="AE419" s="1021"/>
      <c r="AF419" s="1021"/>
      <c r="AG419" s="1021"/>
      <c r="AH419" s="1021"/>
      <c r="AI419" s="1021"/>
      <c r="AJ419" s="1021"/>
      <c r="AK419" s="1021"/>
      <c r="AL419" s="1021"/>
      <c r="AM419" s="1021"/>
      <c r="AN419" s="1021"/>
      <c r="AO419" s="1021"/>
      <c r="AP419" s="1021"/>
      <c r="AQ419" s="1021"/>
      <c r="AR419" s="1021"/>
      <c r="AS419" s="1021"/>
      <c r="AT419" s="1021"/>
      <c r="AU419" s="1021"/>
      <c r="AV419" s="1021"/>
      <c r="AW419" s="1021"/>
      <c r="AX419" s="1021"/>
      <c r="AY419" s="1021"/>
      <c r="AZ419" s="1021"/>
      <c r="BA419" s="1021"/>
      <c r="BB419" s="1021"/>
      <c r="BC419" s="1021"/>
      <c r="BD419" s="1021"/>
      <c r="BE419" s="1021"/>
      <c r="BF419" s="1021"/>
      <c r="BG419" s="1021"/>
      <c r="BH419" s="1021"/>
      <c r="BI419" s="1021"/>
      <c r="BJ419" s="1021"/>
      <c r="BK419" s="1021"/>
      <c r="BL419" s="1021"/>
      <c r="BM419" s="1021"/>
      <c r="BN419" s="1021"/>
      <c r="BO419" s="1021"/>
      <c r="BP419" s="1021"/>
      <c r="BQ419" s="1021"/>
      <c r="BR419" s="1021"/>
      <c r="BS419" s="1021"/>
      <c r="BT419" s="1021"/>
      <c r="BU419" s="1021"/>
      <c r="BV419" s="1021"/>
      <c r="BW419" s="1021"/>
      <c r="BX419" s="1021"/>
      <c r="BY419" s="1021"/>
      <c r="BZ419" s="1021"/>
      <c r="CA419" s="1021"/>
      <c r="CB419" s="1021"/>
      <c r="CC419" s="1021"/>
    </row>
    <row r="420" spans="8:81" x14ac:dyDescent="0.25">
      <c r="H420" s="1021"/>
      <c r="I420" s="1021"/>
      <c r="J420" s="1021"/>
      <c r="K420" s="1021"/>
      <c r="L420" s="1021"/>
      <c r="M420" s="1021"/>
      <c r="N420" s="1021"/>
      <c r="O420" s="1021"/>
      <c r="P420" s="1021"/>
      <c r="Q420" s="1021"/>
      <c r="R420" s="1021"/>
      <c r="S420" s="1021"/>
      <c r="T420" s="1021"/>
      <c r="U420" s="1021"/>
      <c r="V420" s="1021"/>
      <c r="W420" s="1021"/>
      <c r="X420" s="1021"/>
      <c r="Y420" s="1021"/>
      <c r="Z420" s="1021"/>
      <c r="AA420" s="1021"/>
      <c r="AB420" s="1021"/>
      <c r="AC420" s="1021"/>
      <c r="AD420" s="1021"/>
      <c r="AE420" s="1021"/>
      <c r="AF420" s="1021"/>
      <c r="AG420" s="1021"/>
      <c r="AH420" s="1021"/>
      <c r="AI420" s="1021"/>
      <c r="AJ420" s="1021"/>
      <c r="AK420" s="1021"/>
      <c r="AL420" s="1021"/>
      <c r="AM420" s="1021"/>
      <c r="AN420" s="1021"/>
      <c r="AO420" s="1021"/>
      <c r="AP420" s="1021"/>
      <c r="AQ420" s="1021"/>
      <c r="AR420" s="1021"/>
      <c r="AS420" s="1021"/>
      <c r="AT420" s="1021"/>
      <c r="AU420" s="1021"/>
      <c r="AV420" s="1021"/>
      <c r="AW420" s="1021"/>
      <c r="AX420" s="1021"/>
      <c r="AY420" s="1021"/>
      <c r="AZ420" s="1021"/>
      <c r="BA420" s="1021"/>
      <c r="BB420" s="1021"/>
      <c r="BC420" s="1021"/>
      <c r="BD420" s="1021"/>
      <c r="BE420" s="1021"/>
      <c r="BF420" s="1021"/>
      <c r="BG420" s="1021"/>
      <c r="BH420" s="1021"/>
      <c r="BI420" s="1021"/>
      <c r="BJ420" s="1021"/>
      <c r="BK420" s="1021"/>
      <c r="BL420" s="1021"/>
      <c r="BM420" s="1021"/>
      <c r="BN420" s="1021"/>
      <c r="BO420" s="1021"/>
      <c r="BP420" s="1021"/>
      <c r="BQ420" s="1021"/>
      <c r="BR420" s="1021"/>
      <c r="BS420" s="1021"/>
      <c r="BT420" s="1021"/>
      <c r="BU420" s="1021"/>
      <c r="BV420" s="1021"/>
      <c r="BW420" s="1021"/>
      <c r="BX420" s="1021"/>
      <c r="BY420" s="1021"/>
      <c r="BZ420" s="1021"/>
      <c r="CA420" s="1021"/>
      <c r="CB420" s="1021"/>
      <c r="CC420" s="1021"/>
    </row>
    <row r="421" spans="8:81" x14ac:dyDescent="0.25">
      <c r="H421" s="1021"/>
      <c r="I421" s="1021"/>
      <c r="J421" s="1021"/>
      <c r="K421" s="1021"/>
      <c r="L421" s="1021"/>
      <c r="M421" s="1021"/>
      <c r="N421" s="1021"/>
      <c r="O421" s="1021"/>
      <c r="P421" s="1021"/>
      <c r="Q421" s="1021"/>
      <c r="R421" s="1021"/>
      <c r="S421" s="1021"/>
      <c r="T421" s="1021"/>
      <c r="U421" s="1021"/>
      <c r="V421" s="1021"/>
      <c r="W421" s="1021"/>
      <c r="X421" s="1021"/>
      <c r="Y421" s="1021"/>
      <c r="Z421" s="1021"/>
      <c r="AA421" s="1021"/>
      <c r="AB421" s="1021"/>
      <c r="AC421" s="1021"/>
      <c r="AD421" s="1021"/>
      <c r="AE421" s="1021"/>
      <c r="AF421" s="1021"/>
      <c r="AG421" s="1021"/>
      <c r="AH421" s="1021"/>
      <c r="AI421" s="1021"/>
      <c r="AJ421" s="1021"/>
      <c r="AK421" s="1021"/>
      <c r="AL421" s="1021"/>
      <c r="AM421" s="1021"/>
      <c r="AN421" s="1021"/>
      <c r="AO421" s="1021"/>
      <c r="AP421" s="1021"/>
      <c r="AQ421" s="1021"/>
      <c r="AR421" s="1021"/>
      <c r="AS421" s="1021"/>
      <c r="AT421" s="1021"/>
      <c r="AU421" s="1021"/>
      <c r="AV421" s="1021"/>
      <c r="AW421" s="1021"/>
      <c r="AX421" s="1021"/>
      <c r="AY421" s="1021"/>
      <c r="AZ421" s="1021"/>
      <c r="BA421" s="1021"/>
      <c r="BB421" s="1021"/>
      <c r="BC421" s="1021"/>
      <c r="BD421" s="1021"/>
      <c r="BE421" s="1021"/>
      <c r="BF421" s="1021"/>
      <c r="BG421" s="1021"/>
      <c r="BH421" s="1021"/>
      <c r="BI421" s="1021"/>
      <c r="BJ421" s="1021"/>
      <c r="BK421" s="1021"/>
      <c r="BL421" s="1021"/>
      <c r="BM421" s="1021"/>
      <c r="BN421" s="1021"/>
      <c r="BO421" s="1021"/>
      <c r="BP421" s="1021"/>
      <c r="BQ421" s="1021"/>
      <c r="BR421" s="1021"/>
      <c r="BS421" s="1021"/>
      <c r="BT421" s="1021"/>
      <c r="BU421" s="1021"/>
      <c r="BV421" s="1021"/>
      <c r="BW421" s="1021"/>
      <c r="BX421" s="1021"/>
      <c r="BY421" s="1021"/>
      <c r="BZ421" s="1021"/>
      <c r="CA421" s="1021"/>
      <c r="CB421" s="1021"/>
      <c r="CC421" s="1021"/>
    </row>
    <row r="422" spans="8:81" x14ac:dyDescent="0.25">
      <c r="H422" s="1021"/>
      <c r="I422" s="1021"/>
      <c r="J422" s="1021"/>
      <c r="K422" s="1021"/>
      <c r="L422" s="1021"/>
      <c r="M422" s="1021"/>
      <c r="N422" s="1021"/>
      <c r="O422" s="1021"/>
      <c r="P422" s="1021"/>
      <c r="Q422" s="1021"/>
      <c r="R422" s="1021"/>
      <c r="S422" s="1021"/>
      <c r="T422" s="1021"/>
      <c r="U422" s="1021"/>
      <c r="V422" s="1021"/>
      <c r="W422" s="1021"/>
      <c r="X422" s="1021"/>
      <c r="Y422" s="1021"/>
      <c r="Z422" s="1021"/>
      <c r="AA422" s="1021"/>
      <c r="AB422" s="1021"/>
      <c r="AC422" s="1021"/>
      <c r="AD422" s="1021"/>
      <c r="AE422" s="1021"/>
      <c r="AF422" s="1021"/>
      <c r="AG422" s="1021"/>
      <c r="AH422" s="1021"/>
      <c r="AI422" s="1021"/>
      <c r="AJ422" s="1021"/>
      <c r="AK422" s="1021"/>
      <c r="AL422" s="1021"/>
      <c r="AM422" s="1021"/>
      <c r="AN422" s="1021"/>
      <c r="AO422" s="1021"/>
      <c r="AP422" s="1021"/>
      <c r="AQ422" s="1021"/>
      <c r="AR422" s="1021"/>
      <c r="AS422" s="1021"/>
      <c r="AT422" s="1021"/>
      <c r="AU422" s="1021"/>
      <c r="AV422" s="1021"/>
      <c r="AW422" s="1021"/>
      <c r="AX422" s="1021"/>
      <c r="AY422" s="1021"/>
      <c r="AZ422" s="1021"/>
      <c r="BA422" s="1021"/>
      <c r="BB422" s="1021"/>
      <c r="BC422" s="1021"/>
      <c r="BD422" s="1021"/>
      <c r="BE422" s="1021"/>
      <c r="BF422" s="1021"/>
      <c r="BG422" s="1021"/>
      <c r="BH422" s="1021"/>
      <c r="BI422" s="1021"/>
      <c r="BJ422" s="1021"/>
      <c r="BK422" s="1021"/>
      <c r="BL422" s="1021"/>
      <c r="BM422" s="1021"/>
      <c r="BN422" s="1021"/>
      <c r="BO422" s="1021"/>
      <c r="BP422" s="1021"/>
      <c r="BQ422" s="1021"/>
      <c r="BR422" s="1021"/>
      <c r="BS422" s="1021"/>
      <c r="BT422" s="1021"/>
      <c r="BU422" s="1021"/>
      <c r="BV422" s="1021"/>
      <c r="BW422" s="1021"/>
      <c r="BX422" s="1021"/>
      <c r="BY422" s="1021"/>
      <c r="BZ422" s="1021"/>
      <c r="CA422" s="1021"/>
      <c r="CB422" s="1021"/>
      <c r="CC422" s="1021"/>
    </row>
    <row r="423" spans="8:81" x14ac:dyDescent="0.25">
      <c r="H423" s="1021"/>
      <c r="I423" s="1021"/>
      <c r="J423" s="1021"/>
      <c r="K423" s="1021"/>
      <c r="L423" s="1021"/>
      <c r="M423" s="1021"/>
      <c r="N423" s="1021"/>
      <c r="O423" s="1021"/>
      <c r="P423" s="1021"/>
      <c r="Q423" s="1021"/>
      <c r="R423" s="1021"/>
      <c r="S423" s="1021"/>
      <c r="T423" s="1021"/>
      <c r="U423" s="1021"/>
      <c r="V423" s="1021"/>
      <c r="W423" s="1021"/>
      <c r="X423" s="1021"/>
      <c r="Y423" s="1021"/>
      <c r="Z423" s="1021"/>
      <c r="AA423" s="1021"/>
      <c r="AB423" s="1021"/>
      <c r="AC423" s="1021"/>
      <c r="AD423" s="1021"/>
      <c r="AE423" s="1021"/>
      <c r="AF423" s="1021"/>
      <c r="AG423" s="1021"/>
      <c r="AH423" s="1021"/>
      <c r="AI423" s="1021"/>
      <c r="AJ423" s="1021"/>
      <c r="AK423" s="1021"/>
      <c r="AL423" s="1021"/>
      <c r="AM423" s="1021"/>
      <c r="AN423" s="1021"/>
      <c r="AO423" s="1021"/>
      <c r="AP423" s="1021"/>
      <c r="AQ423" s="1021"/>
      <c r="AR423" s="1021"/>
      <c r="AS423" s="1021"/>
      <c r="AT423" s="1021"/>
      <c r="AU423" s="1021"/>
      <c r="AV423" s="1021"/>
      <c r="AW423" s="1021"/>
      <c r="AX423" s="1021"/>
      <c r="AY423" s="1021"/>
      <c r="AZ423" s="1021"/>
      <c r="BA423" s="1021"/>
      <c r="BB423" s="1021"/>
      <c r="BC423" s="1021"/>
      <c r="BD423" s="1021"/>
      <c r="BE423" s="1021"/>
      <c r="BF423" s="1021"/>
      <c r="BG423" s="1021"/>
      <c r="BH423" s="1021"/>
      <c r="BI423" s="1021"/>
      <c r="BJ423" s="1021"/>
      <c r="BK423" s="1021"/>
      <c r="BL423" s="1021"/>
      <c r="BM423" s="1021"/>
      <c r="BN423" s="1021"/>
      <c r="BO423" s="1021"/>
      <c r="BP423" s="1021"/>
      <c r="BQ423" s="1021"/>
      <c r="BR423" s="1021"/>
      <c r="BS423" s="1021"/>
      <c r="BT423" s="1021"/>
      <c r="BU423" s="1021"/>
      <c r="BV423" s="1021"/>
      <c r="BW423" s="1021"/>
      <c r="BX423" s="1021"/>
      <c r="BY423" s="1021"/>
      <c r="BZ423" s="1021"/>
      <c r="CA423" s="1021"/>
      <c r="CB423" s="1021"/>
      <c r="CC423" s="1021"/>
    </row>
    <row r="424" spans="8:81" x14ac:dyDescent="0.25">
      <c r="H424" s="1021"/>
      <c r="I424" s="1021"/>
      <c r="J424" s="1021"/>
      <c r="K424" s="1021"/>
      <c r="L424" s="1021"/>
      <c r="M424" s="1021"/>
      <c r="N424" s="1021"/>
      <c r="O424" s="1021"/>
      <c r="P424" s="1021"/>
      <c r="Q424" s="1021"/>
      <c r="R424" s="1021"/>
      <c r="S424" s="1021"/>
      <c r="T424" s="1021"/>
      <c r="U424" s="1021"/>
      <c r="V424" s="1021"/>
      <c r="W424" s="1021"/>
      <c r="X424" s="1021"/>
      <c r="Y424" s="1021"/>
      <c r="Z424" s="1021"/>
      <c r="AA424" s="1021"/>
      <c r="AB424" s="1021"/>
      <c r="AC424" s="1021"/>
      <c r="AD424" s="1021"/>
      <c r="AE424" s="1021"/>
      <c r="AF424" s="1021"/>
      <c r="AG424" s="1021"/>
      <c r="AH424" s="1021"/>
      <c r="AI424" s="1021"/>
      <c r="AJ424" s="1021"/>
      <c r="AK424" s="1021"/>
      <c r="AL424" s="1021"/>
      <c r="AM424" s="1021"/>
      <c r="AN424" s="1021"/>
      <c r="AO424" s="1021"/>
      <c r="AP424" s="1021"/>
      <c r="AQ424" s="1021"/>
      <c r="AR424" s="1021"/>
      <c r="AS424" s="1021"/>
      <c r="AT424" s="1021"/>
      <c r="AU424" s="1021"/>
      <c r="AV424" s="1021"/>
      <c r="AW424" s="1021"/>
      <c r="AX424" s="1021"/>
      <c r="AY424" s="1021"/>
      <c r="AZ424" s="1021"/>
      <c r="BA424" s="1021"/>
      <c r="BB424" s="1021"/>
      <c r="BC424" s="1021"/>
      <c r="BD424" s="1021"/>
      <c r="BE424" s="1021"/>
      <c r="BF424" s="1021"/>
      <c r="BG424" s="1021"/>
      <c r="BH424" s="1021"/>
      <c r="BI424" s="1021"/>
      <c r="BJ424" s="1021"/>
      <c r="BK424" s="1021"/>
      <c r="BL424" s="1021"/>
      <c r="BM424" s="1021"/>
      <c r="BN424" s="1021"/>
      <c r="BO424" s="1021"/>
      <c r="BP424" s="1021"/>
      <c r="BQ424" s="1021"/>
      <c r="BR424" s="1021"/>
      <c r="BS424" s="1021"/>
      <c r="BT424" s="1021"/>
      <c r="BU424" s="1021"/>
      <c r="BV424" s="1021"/>
      <c r="BW424" s="1021"/>
      <c r="BX424" s="1021"/>
      <c r="BY424" s="1021"/>
      <c r="BZ424" s="1021"/>
      <c r="CA424" s="1021"/>
      <c r="CB424" s="1021"/>
      <c r="CC424" s="1021"/>
    </row>
    <row r="425" spans="8:81" x14ac:dyDescent="0.25">
      <c r="H425" s="1021"/>
      <c r="I425" s="1021"/>
      <c r="J425" s="1021"/>
      <c r="K425" s="1021"/>
      <c r="L425" s="1021"/>
      <c r="M425" s="1021"/>
      <c r="N425" s="1021"/>
      <c r="O425" s="1021"/>
      <c r="P425" s="1021"/>
      <c r="Q425" s="1021"/>
      <c r="R425" s="1021"/>
      <c r="S425" s="1021"/>
      <c r="T425" s="1021"/>
      <c r="U425" s="1021"/>
      <c r="V425" s="1021"/>
      <c r="W425" s="1021"/>
      <c r="X425" s="1021"/>
      <c r="Y425" s="1021"/>
      <c r="Z425" s="1021"/>
      <c r="AA425" s="1021"/>
      <c r="AB425" s="1021"/>
      <c r="AC425" s="1021"/>
      <c r="AD425" s="1021"/>
      <c r="AE425" s="1021"/>
      <c r="AF425" s="1021"/>
      <c r="AG425" s="1021"/>
      <c r="AH425" s="1021"/>
      <c r="AI425" s="1021"/>
      <c r="AJ425" s="1021"/>
      <c r="AK425" s="1021"/>
      <c r="AL425" s="1021"/>
      <c r="AM425" s="1021"/>
      <c r="AN425" s="1021"/>
      <c r="AO425" s="1021"/>
      <c r="AP425" s="1021"/>
      <c r="AQ425" s="1021"/>
      <c r="AR425" s="1021"/>
      <c r="AS425" s="1021"/>
      <c r="AT425" s="1021"/>
      <c r="AU425" s="1021"/>
      <c r="AV425" s="1021"/>
      <c r="AW425" s="1021"/>
      <c r="AX425" s="1021"/>
      <c r="AY425" s="1021"/>
      <c r="AZ425" s="1021"/>
      <c r="BA425" s="1021"/>
      <c r="BB425" s="1021"/>
      <c r="BC425" s="1021"/>
      <c r="BD425" s="1021"/>
      <c r="BE425" s="1021"/>
      <c r="BF425" s="1021"/>
      <c r="BG425" s="1021"/>
      <c r="BH425" s="1021"/>
      <c r="BI425" s="1021"/>
      <c r="BJ425" s="1021"/>
      <c r="BK425" s="1021"/>
      <c r="BL425" s="1021"/>
      <c r="BM425" s="1021"/>
      <c r="BN425" s="1021"/>
      <c r="BO425" s="1021"/>
      <c r="BP425" s="1021"/>
      <c r="BQ425" s="1021"/>
      <c r="BR425" s="1021"/>
      <c r="BS425" s="1021"/>
      <c r="BT425" s="1021"/>
      <c r="BU425" s="1021"/>
      <c r="BV425" s="1021"/>
      <c r="BW425" s="1021"/>
      <c r="BX425" s="1021"/>
      <c r="BY425" s="1021"/>
      <c r="BZ425" s="1021"/>
      <c r="CA425" s="1021"/>
      <c r="CB425" s="1021"/>
      <c r="CC425" s="1021"/>
    </row>
    <row r="426" spans="8:81" x14ac:dyDescent="0.25">
      <c r="H426" s="1021"/>
      <c r="I426" s="1021"/>
      <c r="J426" s="1021"/>
      <c r="K426" s="1021"/>
      <c r="L426" s="1021"/>
      <c r="M426" s="1021"/>
      <c r="N426" s="1021"/>
      <c r="O426" s="1021"/>
      <c r="P426" s="1021"/>
      <c r="Q426" s="1021"/>
      <c r="R426" s="1021"/>
      <c r="S426" s="1021"/>
      <c r="T426" s="1021"/>
      <c r="U426" s="1021"/>
      <c r="V426" s="1021"/>
      <c r="W426" s="1021"/>
      <c r="X426" s="1021"/>
      <c r="Y426" s="1021"/>
      <c r="Z426" s="1021"/>
      <c r="AA426" s="1021"/>
      <c r="AB426" s="1021"/>
      <c r="AC426" s="1021"/>
      <c r="AD426" s="1021"/>
      <c r="AE426" s="1021"/>
      <c r="AF426" s="1021"/>
      <c r="AG426" s="1021"/>
      <c r="AH426" s="1021"/>
      <c r="AI426" s="1021"/>
      <c r="AJ426" s="1021"/>
      <c r="AK426" s="1021"/>
      <c r="AL426" s="1021"/>
      <c r="AM426" s="1021"/>
      <c r="AN426" s="1021"/>
      <c r="AO426" s="1021"/>
      <c r="AP426" s="1021"/>
      <c r="AQ426" s="1021"/>
      <c r="AR426" s="1021"/>
      <c r="AS426" s="1021"/>
      <c r="AT426" s="1021"/>
      <c r="AU426" s="1021"/>
      <c r="AV426" s="1021"/>
      <c r="AW426" s="1021"/>
      <c r="AX426" s="1021"/>
      <c r="AY426" s="1021"/>
      <c r="AZ426" s="1021"/>
      <c r="BA426" s="1021"/>
      <c r="BB426" s="1021"/>
      <c r="BC426" s="1021"/>
      <c r="BD426" s="1021"/>
      <c r="BE426" s="1021"/>
      <c r="BF426" s="1021"/>
      <c r="BG426" s="1021"/>
      <c r="BH426" s="1021"/>
      <c r="BI426" s="1021"/>
      <c r="BJ426" s="1021"/>
      <c r="BK426" s="1021"/>
      <c r="BL426" s="1021"/>
      <c r="BM426" s="1021"/>
      <c r="BN426" s="1021"/>
      <c r="BO426" s="1021"/>
      <c r="BP426" s="1021"/>
      <c r="BQ426" s="1021"/>
      <c r="BR426" s="1021"/>
      <c r="BS426" s="1021"/>
      <c r="BT426" s="1021"/>
      <c r="BU426" s="1021"/>
      <c r="BV426" s="1021"/>
      <c r="BW426" s="1021"/>
      <c r="BX426" s="1021"/>
      <c r="BY426" s="1021"/>
      <c r="BZ426" s="1021"/>
      <c r="CA426" s="1021"/>
      <c r="CB426" s="1021"/>
      <c r="CC426" s="1021"/>
    </row>
    <row r="427" spans="8:81" x14ac:dyDescent="0.25">
      <c r="H427" s="1021"/>
      <c r="I427" s="1021"/>
      <c r="J427" s="1021"/>
      <c r="K427" s="1021"/>
      <c r="L427" s="1021"/>
      <c r="M427" s="1021"/>
      <c r="N427" s="1021"/>
      <c r="O427" s="1021"/>
      <c r="P427" s="1021"/>
      <c r="Q427" s="1021"/>
      <c r="R427" s="1021"/>
      <c r="S427" s="1021"/>
      <c r="T427" s="1021"/>
      <c r="U427" s="1021"/>
      <c r="V427" s="1021"/>
      <c r="W427" s="1021"/>
      <c r="X427" s="1021"/>
      <c r="Y427" s="1021"/>
      <c r="Z427" s="1021"/>
      <c r="AA427" s="1021"/>
      <c r="AB427" s="1021"/>
      <c r="AC427" s="1021"/>
      <c r="AD427" s="1021"/>
      <c r="AE427" s="1021"/>
      <c r="AF427" s="1021"/>
      <c r="AG427" s="1021"/>
      <c r="AH427" s="1021"/>
      <c r="AI427" s="1021"/>
      <c r="AJ427" s="1021"/>
      <c r="AK427" s="1021"/>
      <c r="AL427" s="1021"/>
      <c r="AM427" s="1021"/>
      <c r="AN427" s="1021"/>
      <c r="AO427" s="1021"/>
      <c r="AP427" s="1021"/>
      <c r="AQ427" s="1021"/>
      <c r="AR427" s="1021"/>
      <c r="AS427" s="1021"/>
      <c r="AT427" s="1021"/>
      <c r="AU427" s="1021"/>
      <c r="AV427" s="1021"/>
      <c r="AW427" s="1021"/>
      <c r="AX427" s="1021"/>
      <c r="AY427" s="1021"/>
      <c r="AZ427" s="1021"/>
      <c r="BA427" s="1021"/>
      <c r="BB427" s="1021"/>
      <c r="BC427" s="1021"/>
      <c r="BD427" s="1021"/>
      <c r="BE427" s="1021"/>
      <c r="BF427" s="1021"/>
      <c r="BG427" s="1021"/>
      <c r="BH427" s="1021"/>
      <c r="BI427" s="1021"/>
      <c r="BJ427" s="1021"/>
      <c r="BK427" s="1021"/>
      <c r="BL427" s="1021"/>
      <c r="BM427" s="1021"/>
      <c r="BN427" s="1021"/>
      <c r="BO427" s="1021"/>
      <c r="BP427" s="1021"/>
      <c r="BQ427" s="1021"/>
      <c r="BR427" s="1021"/>
      <c r="BS427" s="1021"/>
      <c r="BT427" s="1021"/>
      <c r="BU427" s="1021"/>
      <c r="BV427" s="1021"/>
      <c r="BW427" s="1021"/>
      <c r="BX427" s="1021"/>
      <c r="BY427" s="1021"/>
      <c r="BZ427" s="1021"/>
      <c r="CA427" s="1021"/>
      <c r="CB427" s="1021"/>
      <c r="CC427" s="1021"/>
    </row>
    <row r="428" spans="8:81" x14ac:dyDescent="0.25">
      <c r="H428" s="1021"/>
      <c r="I428" s="1021"/>
      <c r="J428" s="1021"/>
      <c r="K428" s="1021"/>
      <c r="L428" s="1021"/>
      <c r="M428" s="1021"/>
      <c r="N428" s="1021"/>
      <c r="O428" s="1021"/>
      <c r="P428" s="1021"/>
      <c r="Q428" s="1021"/>
      <c r="R428" s="1021"/>
      <c r="S428" s="1021"/>
      <c r="T428" s="1021"/>
      <c r="U428" s="1021"/>
      <c r="V428" s="1021"/>
      <c r="W428" s="1021"/>
      <c r="X428" s="1021"/>
      <c r="Y428" s="1021"/>
      <c r="Z428" s="1021"/>
      <c r="AA428" s="1021"/>
      <c r="AB428" s="1021"/>
      <c r="AC428" s="1021"/>
      <c r="AD428" s="1021"/>
      <c r="AE428" s="1021"/>
      <c r="AF428" s="1021"/>
      <c r="AG428" s="1021"/>
      <c r="AH428" s="1021"/>
      <c r="AI428" s="1021"/>
      <c r="AJ428" s="1021"/>
      <c r="AK428" s="1021"/>
      <c r="AL428" s="1021"/>
      <c r="AM428" s="1021"/>
      <c r="AN428" s="1021"/>
      <c r="AO428" s="1021"/>
      <c r="AP428" s="1021"/>
      <c r="AQ428" s="1021"/>
      <c r="AR428" s="1021"/>
      <c r="AS428" s="1021"/>
      <c r="AT428" s="1021"/>
      <c r="AU428" s="1021"/>
      <c r="AV428" s="1021"/>
      <c r="AW428" s="1021"/>
      <c r="AX428" s="1021"/>
      <c r="AY428" s="1021"/>
      <c r="AZ428" s="1021"/>
      <c r="BA428" s="1021"/>
      <c r="BB428" s="1021"/>
      <c r="BC428" s="1021"/>
      <c r="BD428" s="1021"/>
      <c r="BE428" s="1021"/>
      <c r="BF428" s="1021"/>
      <c r="BG428" s="1021"/>
      <c r="BH428" s="1021"/>
      <c r="BI428" s="1021"/>
      <c r="BJ428" s="1021"/>
      <c r="BK428" s="1021"/>
      <c r="BL428" s="1021"/>
      <c r="BM428" s="1021"/>
      <c r="BN428" s="1021"/>
      <c r="BO428" s="1021"/>
      <c r="BP428" s="1021"/>
      <c r="BQ428" s="1021"/>
      <c r="BR428" s="1021"/>
      <c r="BS428" s="1021"/>
      <c r="BT428" s="1021"/>
      <c r="BU428" s="1021"/>
      <c r="BV428" s="1021"/>
      <c r="BW428" s="1021"/>
      <c r="BX428" s="1021"/>
      <c r="BY428" s="1021"/>
      <c r="BZ428" s="1021"/>
      <c r="CA428" s="1021"/>
      <c r="CB428" s="1021"/>
      <c r="CC428" s="1021"/>
    </row>
    <row r="429" spans="8:81" x14ac:dyDescent="0.25">
      <c r="H429" s="1021"/>
      <c r="I429" s="1021"/>
      <c r="J429" s="1021"/>
      <c r="K429" s="1021"/>
      <c r="L429" s="1021"/>
      <c r="M429" s="1021"/>
      <c r="N429" s="1021"/>
      <c r="O429" s="1021"/>
      <c r="P429" s="1021"/>
      <c r="Q429" s="1021"/>
      <c r="R429" s="1021"/>
      <c r="S429" s="1021"/>
      <c r="T429" s="1021"/>
      <c r="U429" s="1021"/>
      <c r="V429" s="1021"/>
      <c r="W429" s="1021"/>
      <c r="X429" s="1021"/>
      <c r="Y429" s="1021"/>
      <c r="Z429" s="1021"/>
      <c r="AA429" s="1021"/>
      <c r="AB429" s="1021"/>
      <c r="AC429" s="1021"/>
      <c r="AD429" s="1021"/>
      <c r="AE429" s="1021"/>
      <c r="AF429" s="1021"/>
      <c r="AG429" s="1021"/>
      <c r="AH429" s="1021"/>
      <c r="AI429" s="1021"/>
      <c r="AJ429" s="1021"/>
      <c r="AK429" s="1021"/>
      <c r="AL429" s="1021"/>
      <c r="AM429" s="1021"/>
      <c r="AN429" s="1021"/>
      <c r="AO429" s="1021"/>
      <c r="AP429" s="1021"/>
      <c r="AQ429" s="1021"/>
      <c r="AR429" s="1021"/>
      <c r="AS429" s="1021"/>
      <c r="AT429" s="1021"/>
      <c r="AU429" s="1021"/>
      <c r="AV429" s="1021"/>
      <c r="AW429" s="1021"/>
      <c r="AX429" s="1021"/>
      <c r="AY429" s="1021"/>
      <c r="AZ429" s="1021"/>
      <c r="BA429" s="1021"/>
      <c r="BB429" s="1021"/>
      <c r="BC429" s="1021"/>
      <c r="BD429" s="1021"/>
      <c r="BE429" s="1021"/>
      <c r="BF429" s="1021"/>
      <c r="BG429" s="1021"/>
      <c r="BH429" s="1021"/>
      <c r="BI429" s="1021"/>
      <c r="BJ429" s="1021"/>
      <c r="BK429" s="1021"/>
      <c r="BL429" s="1021"/>
      <c r="BM429" s="1021"/>
      <c r="BN429" s="1021"/>
      <c r="BO429" s="1021"/>
      <c r="BP429" s="1021"/>
      <c r="BQ429" s="1021"/>
      <c r="BR429" s="1021"/>
      <c r="BS429" s="1021"/>
      <c r="BT429" s="1021"/>
      <c r="BU429" s="1021"/>
      <c r="BV429" s="1021"/>
      <c r="BW429" s="1021"/>
      <c r="BX429" s="1021"/>
      <c r="BY429" s="1021"/>
      <c r="BZ429" s="1021"/>
      <c r="CA429" s="1021"/>
      <c r="CB429" s="1021"/>
      <c r="CC429" s="1021"/>
    </row>
    <row r="430" spans="8:81" x14ac:dyDescent="0.25">
      <c r="H430" s="1021"/>
      <c r="I430" s="1021"/>
      <c r="J430" s="1021"/>
      <c r="K430" s="1021"/>
      <c r="L430" s="1021"/>
      <c r="M430" s="1021"/>
      <c r="N430" s="1021"/>
      <c r="O430" s="1021"/>
      <c r="P430" s="1021"/>
      <c r="Q430" s="1021"/>
      <c r="R430" s="1021"/>
      <c r="S430" s="1021"/>
      <c r="T430" s="1021"/>
      <c r="U430" s="1021"/>
      <c r="V430" s="1021"/>
      <c r="W430" s="1021"/>
      <c r="X430" s="1021"/>
      <c r="Y430" s="1021"/>
      <c r="Z430" s="1021"/>
      <c r="AA430" s="1021"/>
      <c r="AB430" s="1021"/>
      <c r="AC430" s="1021"/>
      <c r="AD430" s="1021"/>
      <c r="AE430" s="1021"/>
      <c r="AF430" s="1021"/>
      <c r="AG430" s="1021"/>
      <c r="AH430" s="1021"/>
      <c r="AI430" s="1021"/>
      <c r="AJ430" s="1021"/>
      <c r="AK430" s="1021"/>
      <c r="AL430" s="1021"/>
      <c r="AM430" s="1021"/>
      <c r="AN430" s="1021"/>
      <c r="AO430" s="1021"/>
      <c r="AP430" s="1021"/>
      <c r="AQ430" s="1021"/>
      <c r="AR430" s="1021"/>
      <c r="AS430" s="1021"/>
      <c r="AT430" s="1021"/>
      <c r="AU430" s="1021"/>
      <c r="AV430" s="1021"/>
      <c r="AW430" s="1021"/>
      <c r="AX430" s="1021"/>
      <c r="AY430" s="1021"/>
      <c r="AZ430" s="1021"/>
      <c r="BA430" s="1021"/>
      <c r="BB430" s="1021"/>
      <c r="BC430" s="1021"/>
      <c r="BD430" s="1021"/>
      <c r="BE430" s="1021"/>
      <c r="BF430" s="1021"/>
      <c r="BG430" s="1021"/>
      <c r="BH430" s="1021"/>
      <c r="BI430" s="1021"/>
      <c r="BJ430" s="1021"/>
      <c r="BK430" s="1021"/>
      <c r="BL430" s="1021"/>
      <c r="BM430" s="1021"/>
      <c r="BN430" s="1021"/>
      <c r="BO430" s="1021"/>
      <c r="BP430" s="1021"/>
      <c r="BQ430" s="1021"/>
      <c r="BR430" s="1021"/>
      <c r="BS430" s="1021"/>
      <c r="BT430" s="1021"/>
      <c r="BU430" s="1021"/>
      <c r="BV430" s="1021"/>
      <c r="BW430" s="1021"/>
      <c r="BX430" s="1021"/>
      <c r="BY430" s="1021"/>
      <c r="BZ430" s="1021"/>
      <c r="CA430" s="1021"/>
      <c r="CB430" s="1021"/>
      <c r="CC430" s="1021"/>
    </row>
    <row r="431" spans="8:81" x14ac:dyDescent="0.25">
      <c r="H431" s="1021"/>
      <c r="I431" s="1021"/>
      <c r="J431" s="1021"/>
      <c r="K431" s="1021"/>
      <c r="L431" s="1021"/>
      <c r="M431" s="1021"/>
      <c r="N431" s="1021"/>
      <c r="O431" s="1021"/>
      <c r="P431" s="1021"/>
      <c r="Q431" s="1021"/>
      <c r="R431" s="1021"/>
      <c r="S431" s="1021"/>
      <c r="T431" s="1021"/>
      <c r="U431" s="1021"/>
      <c r="V431" s="1021"/>
      <c r="W431" s="1021"/>
      <c r="X431" s="1021"/>
      <c r="Y431" s="1021"/>
      <c r="Z431" s="1021"/>
      <c r="AA431" s="1021"/>
      <c r="AB431" s="1021"/>
      <c r="AC431" s="1021"/>
      <c r="AD431" s="1021"/>
      <c r="AE431" s="1021"/>
      <c r="AF431" s="1021"/>
      <c r="AG431" s="1021"/>
      <c r="AH431" s="1021"/>
      <c r="AI431" s="1021"/>
      <c r="AJ431" s="1021"/>
      <c r="AK431" s="1021"/>
      <c r="AL431" s="1021"/>
      <c r="AM431" s="1021"/>
      <c r="AN431" s="1021"/>
      <c r="AO431" s="1021"/>
      <c r="AP431" s="1021"/>
      <c r="AQ431" s="1021"/>
      <c r="AR431" s="1021"/>
      <c r="AS431" s="1021"/>
      <c r="AT431" s="1021"/>
      <c r="AU431" s="1021"/>
      <c r="AV431" s="1021"/>
      <c r="AW431" s="1021"/>
      <c r="AX431" s="1021"/>
      <c r="AY431" s="1021"/>
      <c r="AZ431" s="1021"/>
      <c r="BA431" s="1021"/>
      <c r="BB431" s="1021"/>
      <c r="BC431" s="1021"/>
      <c r="BD431" s="1021"/>
      <c r="BE431" s="1021"/>
      <c r="BF431" s="1021"/>
      <c r="BG431" s="1021"/>
      <c r="BH431" s="1021"/>
      <c r="BI431" s="1021"/>
      <c r="BJ431" s="1021"/>
      <c r="BK431" s="1021"/>
      <c r="BL431" s="1021"/>
      <c r="BM431" s="1021"/>
      <c r="BN431" s="1021"/>
      <c r="BO431" s="1021"/>
      <c r="BP431" s="1021"/>
      <c r="BQ431" s="1021"/>
      <c r="BR431" s="1021"/>
      <c r="BS431" s="1021"/>
      <c r="BT431" s="1021"/>
      <c r="BU431" s="1021"/>
      <c r="BV431" s="1021"/>
      <c r="BW431" s="1021"/>
      <c r="BX431" s="1021"/>
      <c r="BY431" s="1021"/>
      <c r="BZ431" s="1021"/>
      <c r="CA431" s="1021"/>
      <c r="CB431" s="1021"/>
      <c r="CC431" s="1021"/>
    </row>
    <row r="432" spans="8:81" x14ac:dyDescent="0.25">
      <c r="H432" s="1021"/>
      <c r="I432" s="1021"/>
      <c r="J432" s="1021"/>
      <c r="K432" s="1021"/>
      <c r="L432" s="1021"/>
      <c r="M432" s="1021"/>
      <c r="N432" s="1021"/>
      <c r="O432" s="1021"/>
      <c r="P432" s="1021"/>
      <c r="Q432" s="1021"/>
      <c r="R432" s="1021"/>
      <c r="S432" s="1021"/>
      <c r="T432" s="1021"/>
      <c r="U432" s="1021"/>
      <c r="V432" s="1021"/>
      <c r="W432" s="1021"/>
      <c r="X432" s="1021"/>
      <c r="Y432" s="1021"/>
      <c r="Z432" s="1021"/>
      <c r="AA432" s="1021"/>
      <c r="AB432" s="1021"/>
      <c r="AC432" s="1021"/>
      <c r="AD432" s="1021"/>
      <c r="AE432" s="1021"/>
      <c r="AF432" s="1021"/>
      <c r="AG432" s="1021"/>
      <c r="AH432" s="1021"/>
      <c r="AI432" s="1021"/>
      <c r="AJ432" s="1021"/>
      <c r="AK432" s="1021"/>
      <c r="AL432" s="1021"/>
      <c r="AM432" s="1021"/>
      <c r="AN432" s="1021"/>
      <c r="AO432" s="1021"/>
      <c r="AP432" s="1021"/>
      <c r="AQ432" s="1021"/>
      <c r="AR432" s="1021"/>
      <c r="AS432" s="1021"/>
      <c r="AT432" s="1021"/>
      <c r="AU432" s="1021"/>
      <c r="AV432" s="1021"/>
      <c r="AW432" s="1021"/>
      <c r="AX432" s="1021"/>
      <c r="AY432" s="1021"/>
      <c r="AZ432" s="1021"/>
      <c r="BA432" s="1021"/>
      <c r="BB432" s="1021"/>
      <c r="BC432" s="1021"/>
      <c r="BD432" s="1021"/>
      <c r="BE432" s="1021"/>
      <c r="BF432" s="1021"/>
      <c r="BG432" s="1021"/>
      <c r="BH432" s="1021"/>
      <c r="BI432" s="1021"/>
      <c r="BJ432" s="1021"/>
      <c r="BK432" s="1021"/>
      <c r="BL432" s="1021"/>
      <c r="BM432" s="1021"/>
      <c r="BN432" s="1021"/>
      <c r="BO432" s="1021"/>
      <c r="BP432" s="1021"/>
      <c r="BQ432" s="1021"/>
      <c r="BR432" s="1021"/>
      <c r="BS432" s="1021"/>
      <c r="BT432" s="1021"/>
      <c r="BU432" s="1021"/>
      <c r="BV432" s="1021"/>
      <c r="BW432" s="1021"/>
      <c r="BX432" s="1021"/>
      <c r="BY432" s="1021"/>
      <c r="BZ432" s="1021"/>
      <c r="CA432" s="1021"/>
      <c r="CB432" s="1021"/>
      <c r="CC432" s="1021"/>
    </row>
    <row r="433" spans="8:81" x14ac:dyDescent="0.25">
      <c r="H433" s="1021"/>
      <c r="I433" s="1021"/>
      <c r="J433" s="1021"/>
      <c r="K433" s="1021"/>
      <c r="L433" s="1021"/>
      <c r="M433" s="1021"/>
      <c r="N433" s="1021"/>
      <c r="O433" s="1021"/>
      <c r="P433" s="1021"/>
      <c r="Q433" s="1021"/>
      <c r="R433" s="1021"/>
      <c r="S433" s="1021"/>
      <c r="T433" s="1021"/>
      <c r="U433" s="1021"/>
      <c r="V433" s="1021"/>
      <c r="W433" s="1021"/>
      <c r="X433" s="1021"/>
      <c r="Y433" s="1021"/>
      <c r="Z433" s="1021"/>
      <c r="AA433" s="1021"/>
      <c r="AB433" s="1021"/>
      <c r="AC433" s="1021"/>
      <c r="AD433" s="1021"/>
      <c r="AE433" s="1021"/>
      <c r="AF433" s="1021"/>
      <c r="AG433" s="1021"/>
      <c r="AH433" s="1021"/>
      <c r="AI433" s="1021"/>
      <c r="AJ433" s="1021"/>
      <c r="AK433" s="1021"/>
      <c r="AL433" s="1021"/>
      <c r="AM433" s="1021"/>
      <c r="AN433" s="1021"/>
      <c r="AO433" s="1021"/>
      <c r="AP433" s="1021"/>
      <c r="AQ433" s="1021"/>
      <c r="AR433" s="1021"/>
      <c r="AS433" s="1021"/>
      <c r="AT433" s="1021"/>
      <c r="AU433" s="1021"/>
      <c r="AV433" s="1021"/>
      <c r="AW433" s="1021"/>
      <c r="AX433" s="1021"/>
      <c r="AY433" s="1021"/>
      <c r="AZ433" s="1021"/>
      <c r="BA433" s="1021"/>
      <c r="BB433" s="1021"/>
      <c r="BC433" s="1021"/>
      <c r="BD433" s="1021"/>
      <c r="BE433" s="1021"/>
      <c r="BF433" s="1021"/>
      <c r="BG433" s="1021"/>
      <c r="BH433" s="1021"/>
      <c r="BI433" s="1021"/>
      <c r="BJ433" s="1021"/>
      <c r="BK433" s="1021"/>
      <c r="BL433" s="1021"/>
      <c r="BM433" s="1021"/>
      <c r="BN433" s="1021"/>
      <c r="BO433" s="1021"/>
      <c r="BP433" s="1021"/>
      <c r="BQ433" s="1021"/>
      <c r="BR433" s="1021"/>
      <c r="BS433" s="1021"/>
      <c r="BT433" s="1021"/>
      <c r="BU433" s="1021"/>
      <c r="BV433" s="1021"/>
      <c r="BW433" s="1021"/>
      <c r="BX433" s="1021"/>
      <c r="BY433" s="1021"/>
      <c r="BZ433" s="1021"/>
      <c r="CA433" s="1021"/>
      <c r="CB433" s="1021"/>
      <c r="CC433" s="1021"/>
    </row>
    <row r="434" spans="8:81" x14ac:dyDescent="0.25">
      <c r="H434" s="1021"/>
      <c r="I434" s="1021"/>
      <c r="J434" s="1021"/>
      <c r="K434" s="1021"/>
      <c r="L434" s="1021"/>
      <c r="M434" s="1021"/>
      <c r="N434" s="1021"/>
      <c r="O434" s="1021"/>
      <c r="P434" s="1021"/>
      <c r="Q434" s="1021"/>
      <c r="R434" s="1021"/>
      <c r="S434" s="1021"/>
      <c r="T434" s="1021"/>
      <c r="U434" s="1021"/>
      <c r="V434" s="1021"/>
      <c r="W434" s="1021"/>
      <c r="X434" s="1021"/>
      <c r="Y434" s="1021"/>
      <c r="Z434" s="1021"/>
      <c r="AA434" s="1021"/>
      <c r="AB434" s="1021"/>
      <c r="AC434" s="1021"/>
      <c r="AD434" s="1021"/>
      <c r="AE434" s="1021"/>
      <c r="AF434" s="1021"/>
      <c r="AG434" s="1021"/>
      <c r="AH434" s="1021"/>
      <c r="AI434" s="1021"/>
      <c r="AJ434" s="1021"/>
      <c r="AK434" s="1021"/>
      <c r="AL434" s="1021"/>
      <c r="AM434" s="1021"/>
      <c r="AN434" s="1021"/>
      <c r="AO434" s="1021"/>
      <c r="AP434" s="1021"/>
      <c r="AQ434" s="1021"/>
      <c r="AR434" s="1021"/>
      <c r="AS434" s="1021"/>
      <c r="AT434" s="1021"/>
      <c r="AU434" s="1021"/>
      <c r="AV434" s="1021"/>
      <c r="AW434" s="1021"/>
      <c r="AX434" s="1021"/>
      <c r="AY434" s="1021"/>
      <c r="AZ434" s="1021"/>
      <c r="BA434" s="1021"/>
      <c r="BB434" s="1021"/>
      <c r="BC434" s="1021"/>
      <c r="BD434" s="1021"/>
      <c r="BE434" s="1021"/>
      <c r="BF434" s="1021"/>
      <c r="BG434" s="1021"/>
      <c r="BH434" s="1021"/>
      <c r="BI434" s="1021"/>
      <c r="BJ434" s="1021"/>
      <c r="BK434" s="1021"/>
      <c r="BL434" s="1021"/>
      <c r="BM434" s="1021"/>
      <c r="BN434" s="1021"/>
      <c r="BO434" s="1021"/>
      <c r="BP434" s="1021"/>
      <c r="BQ434" s="1021"/>
      <c r="BR434" s="1021"/>
      <c r="BS434" s="1021"/>
      <c r="BT434" s="1021"/>
      <c r="BU434" s="1021"/>
      <c r="BV434" s="1021"/>
      <c r="BW434" s="1021"/>
      <c r="BX434" s="1021"/>
      <c r="BY434" s="1021"/>
      <c r="BZ434" s="1021"/>
      <c r="CA434" s="1021"/>
      <c r="CB434" s="1021"/>
      <c r="CC434" s="1021"/>
    </row>
    <row r="435" spans="8:81" x14ac:dyDescent="0.25">
      <c r="H435" s="1021"/>
      <c r="I435" s="1021"/>
      <c r="J435" s="1021"/>
      <c r="K435" s="1021"/>
      <c r="L435" s="1021"/>
      <c r="M435" s="1021"/>
      <c r="N435" s="1021"/>
      <c r="O435" s="1021"/>
      <c r="P435" s="1021"/>
      <c r="Q435" s="1021"/>
      <c r="R435" s="1021"/>
      <c r="S435" s="1021"/>
      <c r="T435" s="1021"/>
      <c r="U435" s="1021"/>
      <c r="V435" s="1021"/>
      <c r="W435" s="1021"/>
      <c r="X435" s="1021"/>
      <c r="Y435" s="1021"/>
      <c r="Z435" s="1021"/>
      <c r="AA435" s="1021"/>
      <c r="AB435" s="1021"/>
      <c r="AC435" s="1021"/>
      <c r="AD435" s="1021"/>
      <c r="AE435" s="1021"/>
      <c r="AF435" s="1021"/>
      <c r="AG435" s="1021"/>
      <c r="AH435" s="1021"/>
      <c r="AI435" s="1021"/>
      <c r="AJ435" s="1021"/>
      <c r="AK435" s="1021"/>
      <c r="AL435" s="1021"/>
      <c r="AM435" s="1021"/>
      <c r="AN435" s="1021"/>
      <c r="AO435" s="1021"/>
      <c r="AP435" s="1021"/>
      <c r="AQ435" s="1021"/>
      <c r="AR435" s="1021"/>
      <c r="AS435" s="1021"/>
      <c r="AT435" s="1021"/>
      <c r="AU435" s="1021"/>
      <c r="AV435" s="1021"/>
      <c r="AW435" s="1021"/>
      <c r="AX435" s="1021"/>
      <c r="AY435" s="1021"/>
      <c r="AZ435" s="1021"/>
      <c r="BA435" s="1021"/>
      <c r="BB435" s="1021"/>
      <c r="BC435" s="1021"/>
      <c r="BD435" s="1021"/>
      <c r="BE435" s="1021"/>
      <c r="BF435" s="1021"/>
      <c r="BG435" s="1021"/>
      <c r="BH435" s="1021"/>
      <c r="BI435" s="1021"/>
      <c r="BJ435" s="1021"/>
      <c r="BK435" s="1021"/>
      <c r="BL435" s="1021"/>
      <c r="BM435" s="1021"/>
      <c r="BN435" s="1021"/>
      <c r="BO435" s="1021"/>
      <c r="BP435" s="1021"/>
      <c r="BQ435" s="1021"/>
      <c r="BR435" s="1021"/>
      <c r="BS435" s="1021"/>
      <c r="BT435" s="1021"/>
      <c r="BU435" s="1021"/>
      <c r="BV435" s="1021"/>
      <c r="BW435" s="1021"/>
      <c r="BX435" s="1021"/>
      <c r="BY435" s="1021"/>
      <c r="BZ435" s="1021"/>
      <c r="CA435" s="1021"/>
      <c r="CB435" s="1021"/>
      <c r="CC435" s="1021"/>
    </row>
    <row r="436" spans="8:81" x14ac:dyDescent="0.25">
      <c r="H436" s="1021"/>
      <c r="I436" s="1021"/>
      <c r="J436" s="1021"/>
      <c r="K436" s="1021"/>
      <c r="L436" s="1021"/>
      <c r="M436" s="1021"/>
      <c r="N436" s="1021"/>
      <c r="O436" s="1021"/>
      <c r="P436" s="1021"/>
      <c r="Q436" s="1021"/>
      <c r="R436" s="1021"/>
      <c r="S436" s="1021"/>
      <c r="T436" s="1021"/>
      <c r="U436" s="1021"/>
      <c r="V436" s="1021"/>
      <c r="W436" s="1021"/>
      <c r="X436" s="1021"/>
      <c r="Y436" s="1021"/>
      <c r="Z436" s="1021"/>
      <c r="AA436" s="1021"/>
      <c r="AB436" s="1021"/>
      <c r="AC436" s="1021"/>
      <c r="AD436" s="1021"/>
      <c r="AE436" s="1021"/>
      <c r="AF436" s="1021"/>
      <c r="AG436" s="1021"/>
      <c r="AH436" s="1021"/>
      <c r="AI436" s="1021"/>
      <c r="AJ436" s="1021"/>
      <c r="AK436" s="1021"/>
      <c r="AL436" s="1021"/>
      <c r="AM436" s="1021"/>
      <c r="AN436" s="1021"/>
      <c r="AO436" s="1021"/>
      <c r="AP436" s="1021"/>
      <c r="AQ436" s="1021"/>
      <c r="AR436" s="1021"/>
      <c r="AS436" s="1021"/>
      <c r="AT436" s="1021"/>
      <c r="AU436" s="1021"/>
      <c r="AV436" s="1021"/>
      <c r="AW436" s="1021"/>
      <c r="AX436" s="1021"/>
      <c r="AY436" s="1021"/>
      <c r="AZ436" s="1021"/>
      <c r="BA436" s="1021"/>
      <c r="BB436" s="1021"/>
      <c r="BC436" s="1021"/>
      <c r="BD436" s="1021"/>
      <c r="BE436" s="1021"/>
      <c r="BF436" s="1021"/>
      <c r="BG436" s="1021"/>
      <c r="BH436" s="1021"/>
      <c r="BI436" s="1021"/>
      <c r="BJ436" s="1021"/>
      <c r="BK436" s="1021"/>
      <c r="BL436" s="1021"/>
      <c r="BM436" s="1021"/>
      <c r="BN436" s="1021"/>
      <c r="BO436" s="1021"/>
      <c r="BP436" s="1021"/>
      <c r="BQ436" s="1021"/>
      <c r="BR436" s="1021"/>
      <c r="BS436" s="1021"/>
      <c r="BT436" s="1021"/>
      <c r="BU436" s="1021"/>
      <c r="BV436" s="1021"/>
      <c r="BW436" s="1021"/>
      <c r="BX436" s="1021"/>
      <c r="BY436" s="1021"/>
      <c r="BZ436" s="1021"/>
      <c r="CA436" s="1021"/>
      <c r="CB436" s="1021"/>
      <c r="CC436" s="1021"/>
    </row>
    <row r="437" spans="8:81" x14ac:dyDescent="0.25">
      <c r="H437" s="1021"/>
      <c r="I437" s="1021"/>
      <c r="J437" s="1021"/>
      <c r="K437" s="1021"/>
      <c r="L437" s="1021"/>
      <c r="M437" s="1021"/>
      <c r="N437" s="1021"/>
      <c r="O437" s="1021"/>
      <c r="P437" s="1021"/>
      <c r="Q437" s="1021"/>
      <c r="R437" s="1021"/>
      <c r="S437" s="1021"/>
      <c r="T437" s="1021"/>
      <c r="U437" s="1021"/>
      <c r="V437" s="1021"/>
      <c r="W437" s="1021"/>
      <c r="X437" s="1021"/>
      <c r="Y437" s="1021"/>
      <c r="Z437" s="1021"/>
      <c r="AA437" s="1021"/>
      <c r="AB437" s="1021"/>
      <c r="AC437" s="1021"/>
      <c r="AD437" s="1021"/>
      <c r="AE437" s="1021"/>
      <c r="AF437" s="1021"/>
      <c r="AG437" s="1021"/>
      <c r="AH437" s="1021"/>
      <c r="AI437" s="1021"/>
      <c r="AJ437" s="1021"/>
      <c r="AK437" s="1021"/>
      <c r="AL437" s="1021"/>
      <c r="AM437" s="1021"/>
      <c r="AN437" s="1021"/>
      <c r="AO437" s="1021"/>
      <c r="AP437" s="1021"/>
      <c r="AQ437" s="1021"/>
      <c r="AR437" s="1021"/>
      <c r="AS437" s="1021"/>
      <c r="AT437" s="1021"/>
      <c r="AU437" s="1021"/>
      <c r="AV437" s="1021"/>
      <c r="AW437" s="1021"/>
      <c r="AX437" s="1021"/>
      <c r="AY437" s="1021"/>
      <c r="AZ437" s="1021"/>
      <c r="BA437" s="1021"/>
      <c r="BB437" s="1021"/>
      <c r="BC437" s="1021"/>
      <c r="BD437" s="1021"/>
      <c r="BE437" s="1021"/>
      <c r="BF437" s="1021"/>
      <c r="BG437" s="1021"/>
      <c r="BH437" s="1021"/>
      <c r="BI437" s="1021"/>
      <c r="BJ437" s="1021"/>
      <c r="BK437" s="1021"/>
      <c r="BL437" s="1021"/>
      <c r="BM437" s="1021"/>
      <c r="BN437" s="1021"/>
      <c r="BO437" s="1021"/>
      <c r="BP437" s="1021"/>
      <c r="BQ437" s="1021"/>
      <c r="BR437" s="1021"/>
      <c r="BS437" s="1021"/>
      <c r="BT437" s="1021"/>
      <c r="BU437" s="1021"/>
      <c r="BV437" s="1021"/>
      <c r="BW437" s="1021"/>
      <c r="BX437" s="1021"/>
      <c r="BY437" s="1021"/>
      <c r="BZ437" s="1021"/>
      <c r="CA437" s="1021"/>
      <c r="CB437" s="1021"/>
      <c r="CC437" s="1021"/>
    </row>
    <row r="438" spans="8:81" x14ac:dyDescent="0.25">
      <c r="H438" s="1021"/>
      <c r="I438" s="1021"/>
      <c r="J438" s="1021"/>
      <c r="K438" s="1021"/>
      <c r="L438" s="1021"/>
      <c r="M438" s="1021"/>
      <c r="N438" s="1021"/>
      <c r="O438" s="1021"/>
      <c r="P438" s="1021"/>
      <c r="Q438" s="1021"/>
      <c r="R438" s="1021"/>
      <c r="S438" s="1021"/>
      <c r="T438" s="1021"/>
      <c r="U438" s="1021"/>
      <c r="V438" s="1021"/>
      <c r="W438" s="1021"/>
      <c r="X438" s="1021"/>
      <c r="Y438" s="1021"/>
      <c r="Z438" s="1021"/>
      <c r="AA438" s="1021"/>
      <c r="AB438" s="1021"/>
      <c r="AC438" s="1021"/>
      <c r="AD438" s="1021"/>
      <c r="AE438" s="1021"/>
      <c r="AF438" s="1021"/>
      <c r="AG438" s="1021"/>
      <c r="AH438" s="1021"/>
      <c r="AI438" s="1021"/>
      <c r="AJ438" s="1021"/>
      <c r="AK438" s="1021"/>
      <c r="AL438" s="1021"/>
      <c r="AM438" s="1021"/>
      <c r="AN438" s="1021"/>
      <c r="AO438" s="1021"/>
      <c r="AP438" s="1021"/>
      <c r="AQ438" s="1021"/>
      <c r="AR438" s="1021"/>
      <c r="AS438" s="1021"/>
      <c r="AT438" s="1021"/>
      <c r="AU438" s="1021"/>
      <c r="AV438" s="1021"/>
      <c r="AW438" s="1021"/>
      <c r="AX438" s="1021"/>
      <c r="AY438" s="1021"/>
      <c r="AZ438" s="1021"/>
      <c r="BA438" s="1021"/>
      <c r="BB438" s="1021"/>
      <c r="BC438" s="1021"/>
      <c r="BD438" s="1021"/>
      <c r="BE438" s="1021"/>
      <c r="BF438" s="1021"/>
      <c r="BG438" s="1021"/>
      <c r="BH438" s="1021"/>
      <c r="BI438" s="1021"/>
      <c r="BJ438" s="1021"/>
      <c r="BK438" s="1021"/>
      <c r="BL438" s="1021"/>
      <c r="BM438" s="1021"/>
      <c r="BN438" s="1021"/>
      <c r="BO438" s="1021"/>
      <c r="BP438" s="1021"/>
      <c r="BQ438" s="1021"/>
      <c r="BR438" s="1021"/>
      <c r="BS438" s="1021"/>
      <c r="BT438" s="1021"/>
      <c r="BU438" s="1021"/>
      <c r="BV438" s="1021"/>
      <c r="BW438" s="1021"/>
      <c r="BX438" s="1021"/>
      <c r="BY438" s="1021"/>
      <c r="BZ438" s="1021"/>
      <c r="CA438" s="1021"/>
      <c r="CB438" s="1021"/>
      <c r="CC438" s="1021"/>
    </row>
    <row r="439" spans="8:81" x14ac:dyDescent="0.25">
      <c r="H439" s="1021"/>
      <c r="I439" s="1021"/>
      <c r="J439" s="1021"/>
      <c r="K439" s="1021"/>
      <c r="L439" s="1021"/>
      <c r="M439" s="1021"/>
      <c r="N439" s="1021"/>
      <c r="O439" s="1021"/>
      <c r="P439" s="1021"/>
      <c r="Q439" s="1021"/>
      <c r="R439" s="1021"/>
      <c r="S439" s="1021"/>
      <c r="T439" s="1021"/>
      <c r="U439" s="1021"/>
      <c r="V439" s="1021"/>
      <c r="W439" s="1021"/>
      <c r="X439" s="1021"/>
      <c r="Y439" s="1021"/>
      <c r="Z439" s="1021"/>
      <c r="AA439" s="1021"/>
      <c r="AB439" s="1021"/>
      <c r="AC439" s="1021"/>
      <c r="AD439" s="1021"/>
      <c r="AE439" s="1021"/>
      <c r="AF439" s="1021"/>
      <c r="AG439" s="1021"/>
      <c r="AH439" s="1021"/>
      <c r="AI439" s="1021"/>
      <c r="AJ439" s="1021"/>
      <c r="AK439" s="1021"/>
      <c r="AL439" s="1021"/>
      <c r="AM439" s="1021"/>
      <c r="AN439" s="1021"/>
      <c r="AO439" s="1021"/>
      <c r="AP439" s="1021"/>
      <c r="AQ439" s="1021"/>
      <c r="AR439" s="1021"/>
      <c r="AS439" s="1021"/>
      <c r="AT439" s="1021"/>
      <c r="AU439" s="1021"/>
      <c r="AV439" s="1021"/>
      <c r="AW439" s="1021"/>
      <c r="AX439" s="1021"/>
      <c r="AY439" s="1021"/>
      <c r="AZ439" s="1021"/>
      <c r="BA439" s="1021"/>
      <c r="BB439" s="1021"/>
      <c r="BC439" s="1021"/>
      <c r="BD439" s="1021"/>
      <c r="BE439" s="1021"/>
      <c r="BF439" s="1021"/>
      <c r="BG439" s="1021"/>
      <c r="BH439" s="1021"/>
      <c r="BI439" s="1021"/>
      <c r="BJ439" s="1021"/>
      <c r="BK439" s="1021"/>
      <c r="BL439" s="1021"/>
      <c r="BM439" s="1021"/>
      <c r="BN439" s="1021"/>
      <c r="BO439" s="1021"/>
      <c r="BP439" s="1021"/>
      <c r="BQ439" s="1021"/>
      <c r="BR439" s="1021"/>
      <c r="BS439" s="1021"/>
      <c r="BT439" s="1021"/>
      <c r="BU439" s="1021"/>
      <c r="BV439" s="1021"/>
      <c r="BW439" s="1021"/>
      <c r="BX439" s="1021"/>
      <c r="BY439" s="1021"/>
      <c r="BZ439" s="1021"/>
      <c r="CA439" s="1021"/>
      <c r="CB439" s="1021"/>
      <c r="CC439" s="1021"/>
    </row>
    <row r="440" spans="8:81" x14ac:dyDescent="0.25">
      <c r="H440" s="1021"/>
      <c r="I440" s="1021"/>
      <c r="J440" s="1021"/>
      <c r="K440" s="1021"/>
      <c r="L440" s="1021"/>
      <c r="M440" s="1021"/>
      <c r="N440" s="1021"/>
      <c r="O440" s="1021"/>
      <c r="P440" s="1021"/>
      <c r="Q440" s="1021"/>
      <c r="R440" s="1021"/>
      <c r="S440" s="1021"/>
      <c r="T440" s="1021"/>
      <c r="U440" s="1021"/>
      <c r="V440" s="1021"/>
      <c r="W440" s="1021"/>
      <c r="X440" s="1021"/>
      <c r="Y440" s="1021"/>
      <c r="Z440" s="1021"/>
      <c r="AA440" s="1021"/>
      <c r="AB440" s="1021"/>
      <c r="AC440" s="1021"/>
      <c r="AD440" s="1021"/>
      <c r="AE440" s="1021"/>
      <c r="AF440" s="1021"/>
      <c r="AG440" s="1021"/>
      <c r="AH440" s="1021"/>
      <c r="AI440" s="1021"/>
      <c r="AJ440" s="1021"/>
      <c r="AK440" s="1021"/>
      <c r="AL440" s="1021"/>
      <c r="AM440" s="1021"/>
      <c r="AN440" s="1021"/>
      <c r="AO440" s="1021"/>
      <c r="AP440" s="1021"/>
      <c r="AQ440" s="1021"/>
      <c r="AR440" s="1021"/>
      <c r="AS440" s="1021"/>
      <c r="AT440" s="1021"/>
      <c r="AU440" s="1021"/>
      <c r="AV440" s="1021"/>
      <c r="AW440" s="1021"/>
      <c r="AX440" s="1021"/>
      <c r="AY440" s="1021"/>
      <c r="AZ440" s="1021"/>
      <c r="BA440" s="1021"/>
      <c r="BB440" s="1021"/>
      <c r="BC440" s="1021"/>
      <c r="BD440" s="1021"/>
      <c r="BE440" s="1021"/>
      <c r="BF440" s="1021"/>
      <c r="BG440" s="1021"/>
      <c r="BH440" s="1021"/>
      <c r="BI440" s="1021"/>
      <c r="BJ440" s="1021"/>
      <c r="BK440" s="1021"/>
      <c r="BL440" s="1021"/>
      <c r="BM440" s="1021"/>
      <c r="BN440" s="1021"/>
      <c r="BO440" s="1021"/>
      <c r="BP440" s="1021"/>
      <c r="BQ440" s="1021"/>
      <c r="BR440" s="1021"/>
      <c r="BS440" s="1021"/>
      <c r="BT440" s="1021"/>
      <c r="BU440" s="1021"/>
      <c r="BV440" s="1021"/>
      <c r="BW440" s="1021"/>
      <c r="BX440" s="1021"/>
      <c r="BY440" s="1021"/>
      <c r="BZ440" s="1021"/>
      <c r="CA440" s="1021"/>
      <c r="CB440" s="1021"/>
      <c r="CC440" s="1021"/>
    </row>
    <row r="441" spans="8:81" x14ac:dyDescent="0.25">
      <c r="H441" s="1021"/>
      <c r="I441" s="1021"/>
      <c r="J441" s="1021"/>
      <c r="K441" s="1021"/>
      <c r="L441" s="1021"/>
      <c r="M441" s="1021"/>
      <c r="N441" s="1021"/>
      <c r="O441" s="1021"/>
      <c r="P441" s="1021"/>
      <c r="Q441" s="1021"/>
      <c r="R441" s="1021"/>
      <c r="S441" s="1021"/>
      <c r="T441" s="1021"/>
      <c r="U441" s="1021"/>
      <c r="V441" s="1021"/>
      <c r="W441" s="1021"/>
      <c r="X441" s="1021"/>
      <c r="Y441" s="1021"/>
      <c r="Z441" s="1021"/>
      <c r="AA441" s="1021"/>
      <c r="AB441" s="1021"/>
      <c r="AC441" s="1021"/>
      <c r="AD441" s="1021"/>
      <c r="AE441" s="1021"/>
      <c r="AF441" s="1021"/>
      <c r="AG441" s="1021"/>
      <c r="AH441" s="1021"/>
      <c r="AI441" s="1021"/>
      <c r="AJ441" s="1021"/>
      <c r="AK441" s="1021"/>
      <c r="AL441" s="1021"/>
      <c r="AM441" s="1021"/>
      <c r="AN441" s="1021"/>
      <c r="AO441" s="1021"/>
      <c r="AP441" s="1021"/>
      <c r="AQ441" s="1021"/>
      <c r="AR441" s="1021"/>
      <c r="AS441" s="1021"/>
      <c r="AT441" s="1021"/>
      <c r="AU441" s="1021"/>
      <c r="AV441" s="1021"/>
      <c r="AW441" s="1021"/>
      <c r="AX441" s="1021"/>
      <c r="AY441" s="1021"/>
      <c r="AZ441" s="1021"/>
      <c r="BA441" s="1021"/>
      <c r="BB441" s="1021"/>
      <c r="BC441" s="1021"/>
      <c r="BD441" s="1021"/>
      <c r="BE441" s="1021"/>
      <c r="BF441" s="1021"/>
      <c r="BG441" s="1021"/>
      <c r="BH441" s="1021"/>
      <c r="BI441" s="1021"/>
      <c r="BJ441" s="1021"/>
      <c r="BK441" s="1021"/>
      <c r="BL441" s="1021"/>
      <c r="BM441" s="1021"/>
      <c r="BN441" s="1021"/>
      <c r="BO441" s="1021"/>
      <c r="BP441" s="1021"/>
      <c r="BQ441" s="1021"/>
      <c r="BR441" s="1021"/>
      <c r="BS441" s="1021"/>
      <c r="BT441" s="1021"/>
      <c r="BU441" s="1021"/>
      <c r="BV441" s="1021"/>
      <c r="BW441" s="1021"/>
      <c r="BX441" s="1021"/>
      <c r="BY441" s="1021"/>
      <c r="BZ441" s="1021"/>
      <c r="CA441" s="1021"/>
      <c r="CB441" s="1021"/>
      <c r="CC441" s="1021"/>
    </row>
    <row r="442" spans="8:81" x14ac:dyDescent="0.25">
      <c r="H442" s="1021"/>
      <c r="I442" s="1021"/>
      <c r="J442" s="1021"/>
      <c r="K442" s="1021"/>
      <c r="L442" s="1021"/>
      <c r="M442" s="1021"/>
      <c r="N442" s="1021"/>
      <c r="O442" s="1021"/>
      <c r="P442" s="1021"/>
      <c r="Q442" s="1021"/>
      <c r="R442" s="1021"/>
      <c r="S442" s="1021"/>
      <c r="T442" s="1021"/>
      <c r="U442" s="1021"/>
      <c r="V442" s="1021"/>
      <c r="W442" s="1021"/>
      <c r="X442" s="1021"/>
      <c r="Y442" s="1021"/>
      <c r="Z442" s="1021"/>
      <c r="AA442" s="1021"/>
      <c r="AB442" s="1021"/>
      <c r="AC442" s="1021"/>
      <c r="AD442" s="1021"/>
      <c r="AE442" s="1021"/>
      <c r="AF442" s="1021"/>
      <c r="AG442" s="1021"/>
      <c r="AH442" s="1021"/>
      <c r="AI442" s="1021"/>
      <c r="AJ442" s="1021"/>
      <c r="AK442" s="1021"/>
      <c r="AL442" s="1021"/>
      <c r="AM442" s="1021"/>
      <c r="AN442" s="1021"/>
      <c r="AO442" s="1021"/>
      <c r="AP442" s="1021"/>
      <c r="AQ442" s="1021"/>
      <c r="AR442" s="1021"/>
      <c r="AS442" s="1021"/>
      <c r="AT442" s="1021"/>
      <c r="AU442" s="1021"/>
      <c r="AV442" s="1021"/>
      <c r="AW442" s="1021"/>
      <c r="AX442" s="1021"/>
      <c r="AY442" s="1021"/>
      <c r="AZ442" s="1021"/>
      <c r="BA442" s="1021"/>
      <c r="BB442" s="1021"/>
      <c r="BC442" s="1021"/>
      <c r="BD442" s="1021"/>
      <c r="BE442" s="1021"/>
      <c r="BF442" s="1021"/>
      <c r="BG442" s="1021"/>
      <c r="BH442" s="1021"/>
      <c r="BI442" s="1021"/>
      <c r="BJ442" s="1021"/>
      <c r="BK442" s="1021"/>
      <c r="BL442" s="1021"/>
      <c r="BM442" s="1021"/>
      <c r="BN442" s="1021"/>
      <c r="BO442" s="1021"/>
      <c r="BP442" s="1021"/>
      <c r="BQ442" s="1021"/>
      <c r="BR442" s="1021"/>
      <c r="BS442" s="1021"/>
      <c r="BT442" s="1021"/>
      <c r="BU442" s="1021"/>
      <c r="BV442" s="1021"/>
      <c r="BW442" s="1021"/>
      <c r="BX442" s="1021"/>
      <c r="BY442" s="1021"/>
      <c r="BZ442" s="1021"/>
      <c r="CA442" s="1021"/>
      <c r="CB442" s="1021"/>
      <c r="CC442" s="1021"/>
    </row>
    <row r="443" spans="8:81" x14ac:dyDescent="0.25">
      <c r="H443" s="1021"/>
      <c r="I443" s="1021"/>
      <c r="J443" s="1021"/>
      <c r="K443" s="1021"/>
      <c r="L443" s="1021"/>
      <c r="M443" s="1021"/>
      <c r="N443" s="1021"/>
      <c r="O443" s="1021"/>
      <c r="P443" s="1021"/>
      <c r="Q443" s="1021"/>
      <c r="R443" s="1021"/>
      <c r="S443" s="1021"/>
      <c r="T443" s="1021"/>
      <c r="U443" s="1021"/>
      <c r="V443" s="1021"/>
      <c r="W443" s="1021"/>
      <c r="X443" s="1021"/>
      <c r="Y443" s="1021"/>
      <c r="Z443" s="1021"/>
      <c r="AA443" s="1021"/>
      <c r="AB443" s="1021"/>
      <c r="AC443" s="1021"/>
      <c r="AD443" s="1021"/>
      <c r="AE443" s="1021"/>
      <c r="AF443" s="1021"/>
      <c r="AG443" s="1021"/>
      <c r="AH443" s="1021"/>
      <c r="AI443" s="1021"/>
      <c r="AJ443" s="1021"/>
      <c r="AK443" s="1021"/>
      <c r="AL443" s="1021"/>
      <c r="AM443" s="1021"/>
      <c r="AN443" s="1021"/>
      <c r="AO443" s="1021"/>
      <c r="AP443" s="1021"/>
      <c r="AQ443" s="1021"/>
      <c r="AR443" s="1021"/>
      <c r="AS443" s="1021"/>
      <c r="AT443" s="1021"/>
      <c r="AU443" s="1021"/>
      <c r="AV443" s="1021"/>
      <c r="AW443" s="1021"/>
      <c r="AX443" s="1021"/>
      <c r="AY443" s="1021"/>
      <c r="AZ443" s="1021"/>
      <c r="BA443" s="1021"/>
      <c r="BB443" s="1021"/>
      <c r="BC443" s="1021"/>
      <c r="BD443" s="1021"/>
      <c r="BE443" s="1021"/>
      <c r="BF443" s="1021"/>
      <c r="BG443" s="1021"/>
      <c r="BH443" s="1021"/>
      <c r="BI443" s="1021"/>
      <c r="BJ443" s="1021"/>
      <c r="BK443" s="1021"/>
      <c r="BL443" s="1021"/>
      <c r="BM443" s="1021"/>
      <c r="BN443" s="1021"/>
      <c r="BO443" s="1021"/>
      <c r="BP443" s="1021"/>
      <c r="BQ443" s="1021"/>
      <c r="BR443" s="1021"/>
      <c r="BS443" s="1021"/>
      <c r="BT443" s="1021"/>
      <c r="BU443" s="1021"/>
      <c r="BV443" s="1021"/>
      <c r="BW443" s="1021"/>
      <c r="BX443" s="1021"/>
      <c r="BY443" s="1021"/>
      <c r="BZ443" s="1021"/>
      <c r="CA443" s="1021"/>
      <c r="CB443" s="1021"/>
      <c r="CC443" s="1021"/>
    </row>
    <row r="444" spans="8:81" x14ac:dyDescent="0.25">
      <c r="H444" s="1021"/>
      <c r="I444" s="1021"/>
      <c r="J444" s="1021"/>
      <c r="K444" s="1021"/>
      <c r="L444" s="1021"/>
      <c r="M444" s="1021"/>
      <c r="N444" s="1021"/>
      <c r="O444" s="1021"/>
      <c r="P444" s="1021"/>
      <c r="Q444" s="1021"/>
      <c r="R444" s="1021"/>
      <c r="S444" s="1021"/>
      <c r="T444" s="1021"/>
      <c r="U444" s="1021"/>
      <c r="V444" s="1021"/>
      <c r="W444" s="1021"/>
      <c r="X444" s="1021"/>
      <c r="Y444" s="1021"/>
      <c r="Z444" s="1021"/>
      <c r="AA444" s="1021"/>
      <c r="AB444" s="1021"/>
      <c r="AC444" s="1021"/>
      <c r="AD444" s="1021"/>
      <c r="AE444" s="1021"/>
      <c r="AF444" s="1021"/>
      <c r="AG444" s="1021"/>
      <c r="AH444" s="1021"/>
      <c r="AI444" s="1021"/>
      <c r="AJ444" s="1021"/>
      <c r="AK444" s="1021"/>
      <c r="AL444" s="1021"/>
      <c r="AM444" s="1021"/>
      <c r="AN444" s="1021"/>
      <c r="AO444" s="1021"/>
      <c r="AP444" s="1021"/>
      <c r="AQ444" s="1021"/>
      <c r="AR444" s="1021"/>
      <c r="AS444" s="1021"/>
      <c r="AT444" s="1021"/>
      <c r="AU444" s="1021"/>
      <c r="AV444" s="1021"/>
      <c r="AW444" s="1021"/>
      <c r="AX444" s="1021"/>
      <c r="AY444" s="1021"/>
      <c r="AZ444" s="1021"/>
      <c r="BA444" s="1021"/>
      <c r="BB444" s="1021"/>
      <c r="BC444" s="1021"/>
      <c r="BD444" s="1021"/>
      <c r="BE444" s="1021"/>
      <c r="BF444" s="1021"/>
      <c r="BG444" s="1021"/>
      <c r="BH444" s="1021"/>
      <c r="BI444" s="1021"/>
      <c r="BJ444" s="1021"/>
      <c r="BK444" s="1021"/>
      <c r="BL444" s="1021"/>
      <c r="BM444" s="1021"/>
      <c r="BN444" s="1021"/>
      <c r="BO444" s="1021"/>
      <c r="BP444" s="1021"/>
      <c r="BQ444" s="1021"/>
      <c r="BR444" s="1021"/>
      <c r="BS444" s="1021"/>
      <c r="BT444" s="1021"/>
      <c r="BU444" s="1021"/>
      <c r="BV444" s="1021"/>
      <c r="BW444" s="1021"/>
      <c r="BX444" s="1021"/>
      <c r="BY444" s="1021"/>
      <c r="BZ444" s="1021"/>
      <c r="CA444" s="1021"/>
      <c r="CB444" s="1021"/>
      <c r="CC444" s="1021"/>
    </row>
    <row r="445" spans="8:81" x14ac:dyDescent="0.25">
      <c r="H445" s="1021"/>
      <c r="I445" s="1021"/>
      <c r="J445" s="1021"/>
      <c r="K445" s="1021"/>
      <c r="L445" s="1021"/>
      <c r="M445" s="1021"/>
      <c r="N445" s="1021"/>
      <c r="O445" s="1021"/>
      <c r="P445" s="1021"/>
      <c r="Q445" s="1021"/>
      <c r="R445" s="1021"/>
      <c r="S445" s="1021"/>
      <c r="T445" s="1021"/>
      <c r="U445" s="1021"/>
      <c r="V445" s="1021"/>
      <c r="W445" s="1021"/>
      <c r="X445" s="1021"/>
      <c r="Y445" s="1021"/>
      <c r="Z445" s="1021"/>
      <c r="AA445" s="1021"/>
      <c r="AB445" s="1021"/>
      <c r="AC445" s="1021"/>
      <c r="AD445" s="1021"/>
      <c r="AE445" s="1021"/>
      <c r="AF445" s="1021"/>
      <c r="AG445" s="1021"/>
      <c r="AH445" s="1021"/>
      <c r="AI445" s="1021"/>
      <c r="AJ445" s="1021"/>
      <c r="AK445" s="1021"/>
      <c r="AL445" s="1021"/>
      <c r="AM445" s="1021"/>
      <c r="AN445" s="1021"/>
      <c r="AO445" s="1021"/>
      <c r="AP445" s="1021"/>
      <c r="AQ445" s="1021"/>
      <c r="AR445" s="1021"/>
      <c r="AS445" s="1021"/>
      <c r="AT445" s="1021"/>
      <c r="AU445" s="1021"/>
      <c r="AV445" s="1021"/>
      <c r="AW445" s="1021"/>
      <c r="AX445" s="1021"/>
      <c r="AY445" s="1021"/>
      <c r="AZ445" s="1021"/>
      <c r="BA445" s="1021"/>
      <c r="BB445" s="1021"/>
      <c r="BC445" s="1021"/>
      <c r="BD445" s="1021"/>
      <c r="BE445" s="1021"/>
      <c r="BF445" s="1021"/>
      <c r="BG445" s="1021"/>
      <c r="BH445" s="1021"/>
      <c r="BI445" s="1021"/>
      <c r="BJ445" s="1021"/>
      <c r="BK445" s="1021"/>
      <c r="BL445" s="1021"/>
      <c r="BM445" s="1021"/>
      <c r="BN445" s="1021"/>
      <c r="BO445" s="1021"/>
      <c r="BP445" s="1021"/>
      <c r="BQ445" s="1021"/>
      <c r="BR445" s="1021"/>
      <c r="BS445" s="1021"/>
      <c r="BT445" s="1021"/>
      <c r="BU445" s="1021"/>
      <c r="BV445" s="1021"/>
      <c r="BW445" s="1021"/>
      <c r="BX445" s="1021"/>
      <c r="BY445" s="1021"/>
      <c r="BZ445" s="1021"/>
      <c r="CA445" s="1021"/>
      <c r="CB445" s="1021"/>
      <c r="CC445" s="1021"/>
    </row>
    <row r="446" spans="8:81" x14ac:dyDescent="0.25">
      <c r="H446" s="1021"/>
      <c r="I446" s="1021"/>
      <c r="J446" s="1021"/>
      <c r="K446" s="1021"/>
      <c r="L446" s="1021"/>
      <c r="M446" s="1021"/>
      <c r="N446" s="1021"/>
      <c r="O446" s="1021"/>
      <c r="P446" s="1021"/>
      <c r="Q446" s="1021"/>
      <c r="R446" s="1021"/>
      <c r="S446" s="1021"/>
      <c r="T446" s="1021"/>
      <c r="U446" s="1021"/>
      <c r="V446" s="1021"/>
      <c r="W446" s="1021"/>
      <c r="X446" s="1021"/>
      <c r="Y446" s="1021"/>
      <c r="Z446" s="1021"/>
      <c r="AA446" s="1021"/>
      <c r="AB446" s="1021"/>
      <c r="AC446" s="1021"/>
      <c r="AD446" s="1021"/>
      <c r="AE446" s="1021"/>
      <c r="AF446" s="1021"/>
      <c r="AG446" s="1021"/>
      <c r="AH446" s="1021"/>
      <c r="AI446" s="1021"/>
      <c r="AJ446" s="1021"/>
      <c r="AK446" s="1021"/>
      <c r="AL446" s="1021"/>
      <c r="AM446" s="1021"/>
      <c r="AN446" s="1021"/>
      <c r="AO446" s="1021"/>
      <c r="AP446" s="1021"/>
      <c r="AQ446" s="1021"/>
      <c r="AR446" s="1021"/>
      <c r="AS446" s="1021"/>
      <c r="AT446" s="1021"/>
      <c r="AU446" s="1021"/>
      <c r="AV446" s="1021"/>
      <c r="AW446" s="1021"/>
      <c r="AX446" s="1021"/>
      <c r="AY446" s="1021"/>
      <c r="AZ446" s="1021"/>
      <c r="BA446" s="1021"/>
      <c r="BB446" s="1021"/>
      <c r="BC446" s="1021"/>
      <c r="BD446" s="1021"/>
      <c r="BE446" s="1021"/>
      <c r="BF446" s="1021"/>
      <c r="BG446" s="1021"/>
      <c r="BH446" s="1021"/>
      <c r="BI446" s="1021"/>
      <c r="BJ446" s="1021"/>
      <c r="BK446" s="1021"/>
      <c r="BL446" s="1021"/>
      <c r="BM446" s="1021"/>
      <c r="BN446" s="1021"/>
      <c r="BO446" s="1021"/>
      <c r="BP446" s="1021"/>
      <c r="BQ446" s="1021"/>
      <c r="BR446" s="1021"/>
      <c r="BS446" s="1021"/>
      <c r="BT446" s="1021"/>
      <c r="BU446" s="1021"/>
      <c r="BV446" s="1021"/>
      <c r="BW446" s="1021"/>
      <c r="BX446" s="1021"/>
      <c r="BY446" s="1021"/>
      <c r="BZ446" s="1021"/>
      <c r="CA446" s="1021"/>
      <c r="CB446" s="1021"/>
      <c r="CC446" s="1021"/>
    </row>
    <row r="447" spans="8:81" x14ac:dyDescent="0.25">
      <c r="H447" s="1021"/>
      <c r="I447" s="1021"/>
      <c r="J447" s="1021"/>
      <c r="K447" s="1021"/>
      <c r="L447" s="1021"/>
      <c r="M447" s="1021"/>
      <c r="N447" s="1021"/>
      <c r="O447" s="1021"/>
      <c r="P447" s="1021"/>
      <c r="Q447" s="1021"/>
      <c r="R447" s="1021"/>
      <c r="S447" s="1021"/>
      <c r="T447" s="1021"/>
      <c r="U447" s="1021"/>
      <c r="V447" s="1021"/>
      <c r="W447" s="1021"/>
      <c r="X447" s="1021"/>
      <c r="Y447" s="1021"/>
      <c r="Z447" s="1021"/>
      <c r="AA447" s="1021"/>
      <c r="AB447" s="1021"/>
      <c r="AC447" s="1021"/>
      <c r="AD447" s="1021"/>
      <c r="AE447" s="1021"/>
      <c r="AF447" s="1021"/>
      <c r="AG447" s="1021"/>
      <c r="AH447" s="1021"/>
      <c r="AI447" s="1021"/>
      <c r="AJ447" s="1021"/>
      <c r="AK447" s="1021"/>
      <c r="AL447" s="1021"/>
      <c r="AM447" s="1021"/>
      <c r="AN447" s="1021"/>
      <c r="AO447" s="1021"/>
      <c r="AP447" s="1021"/>
      <c r="AQ447" s="1021"/>
      <c r="AR447" s="1021"/>
      <c r="AS447" s="1021"/>
      <c r="AT447" s="1021"/>
      <c r="AU447" s="1021"/>
      <c r="AV447" s="1021"/>
      <c r="AW447" s="1021"/>
      <c r="AX447" s="1021"/>
      <c r="AY447" s="1021"/>
      <c r="AZ447" s="1021"/>
      <c r="BA447" s="1021"/>
      <c r="BB447" s="1021"/>
      <c r="BC447" s="1021"/>
      <c r="BD447" s="1021"/>
      <c r="BE447" s="1021"/>
      <c r="BF447" s="1021"/>
      <c r="BG447" s="1021"/>
      <c r="BH447" s="1021"/>
      <c r="BI447" s="1021"/>
      <c r="BJ447" s="1021"/>
      <c r="BK447" s="1021"/>
      <c r="BL447" s="1021"/>
      <c r="BM447" s="1021"/>
      <c r="BN447" s="1021"/>
      <c r="BO447" s="1021"/>
      <c r="BP447" s="1021"/>
      <c r="BQ447" s="1021"/>
      <c r="BR447" s="1021"/>
      <c r="BS447" s="1021"/>
      <c r="BT447" s="1021"/>
      <c r="BU447" s="1021"/>
      <c r="BV447" s="1021"/>
      <c r="BW447" s="1021"/>
      <c r="BX447" s="1021"/>
      <c r="BY447" s="1021"/>
      <c r="BZ447" s="1021"/>
      <c r="CA447" s="1021"/>
      <c r="CB447" s="1021"/>
      <c r="CC447" s="1021"/>
    </row>
    <row r="448" spans="8:81" x14ac:dyDescent="0.25">
      <c r="H448" s="1021"/>
      <c r="I448" s="1021"/>
      <c r="J448" s="1021"/>
      <c r="K448" s="1021"/>
      <c r="L448" s="1021"/>
      <c r="M448" s="1021"/>
      <c r="N448" s="1021"/>
      <c r="O448" s="1021"/>
      <c r="P448" s="1021"/>
      <c r="Q448" s="1021"/>
      <c r="R448" s="1021"/>
      <c r="S448" s="1021"/>
      <c r="T448" s="1021"/>
      <c r="U448" s="1021"/>
      <c r="V448" s="1021"/>
      <c r="W448" s="1021"/>
      <c r="X448" s="1021"/>
      <c r="Y448" s="1021"/>
      <c r="Z448" s="1021"/>
      <c r="AA448" s="1021"/>
      <c r="AB448" s="1021"/>
      <c r="AC448" s="1021"/>
      <c r="AD448" s="1021"/>
      <c r="AE448" s="1021"/>
      <c r="AF448" s="1021"/>
      <c r="AG448" s="1021"/>
      <c r="AH448" s="1021"/>
      <c r="AI448" s="1021"/>
      <c r="AJ448" s="1021"/>
      <c r="AK448" s="1021"/>
      <c r="AL448" s="1021"/>
      <c r="AM448" s="1021"/>
      <c r="AN448" s="1021"/>
      <c r="AO448" s="1021"/>
      <c r="AP448" s="1021"/>
      <c r="AQ448" s="1021"/>
      <c r="AR448" s="1021"/>
      <c r="AS448" s="1021"/>
      <c r="AT448" s="1021"/>
      <c r="AU448" s="1021"/>
      <c r="AV448" s="1021"/>
      <c r="AW448" s="1021"/>
      <c r="AX448" s="1021"/>
      <c r="AY448" s="1021"/>
      <c r="AZ448" s="1021"/>
      <c r="BA448" s="1021"/>
      <c r="BB448" s="1021"/>
      <c r="BC448" s="1021"/>
      <c r="BD448" s="1021"/>
      <c r="BE448" s="1021"/>
      <c r="BF448" s="1021"/>
      <c r="BG448" s="1021"/>
      <c r="BH448" s="1021"/>
      <c r="BI448" s="1021"/>
      <c r="BJ448" s="1021"/>
      <c r="BK448" s="1021"/>
      <c r="BL448" s="1021"/>
      <c r="BM448" s="1021"/>
      <c r="BN448" s="1021"/>
      <c r="BO448" s="1021"/>
      <c r="BP448" s="1021"/>
      <c r="BQ448" s="1021"/>
      <c r="BR448" s="1021"/>
      <c r="BS448" s="1021"/>
      <c r="BT448" s="1021"/>
      <c r="BU448" s="1021"/>
      <c r="BV448" s="1021"/>
      <c r="BW448" s="1021"/>
      <c r="BX448" s="1021"/>
      <c r="BY448" s="1021"/>
      <c r="BZ448" s="1021"/>
      <c r="CA448" s="1021"/>
      <c r="CB448" s="1021"/>
      <c r="CC448" s="1021"/>
    </row>
    <row r="449" spans="8:81" x14ac:dyDescent="0.25">
      <c r="H449" s="1021"/>
      <c r="I449" s="1021"/>
      <c r="J449" s="1021"/>
      <c r="K449" s="1021"/>
      <c r="L449" s="1021"/>
      <c r="M449" s="1021"/>
      <c r="N449" s="1021"/>
      <c r="O449" s="1021"/>
      <c r="P449" s="1021"/>
      <c r="Q449" s="1021"/>
      <c r="R449" s="1021"/>
      <c r="S449" s="1021"/>
      <c r="T449" s="1021"/>
      <c r="U449" s="1021"/>
      <c r="V449" s="1021"/>
      <c r="W449" s="1021"/>
      <c r="X449" s="1021"/>
      <c r="Y449" s="1021"/>
      <c r="Z449" s="1021"/>
      <c r="AA449" s="1021"/>
      <c r="AB449" s="1021"/>
      <c r="AC449" s="1021"/>
      <c r="AD449" s="1021"/>
      <c r="AE449" s="1021"/>
      <c r="AF449" s="1021"/>
      <c r="AG449" s="1021"/>
      <c r="AH449" s="1021"/>
      <c r="AI449" s="1021"/>
      <c r="AJ449" s="1021"/>
      <c r="AK449" s="1021"/>
      <c r="AL449" s="1021"/>
      <c r="AM449" s="1021"/>
      <c r="AN449" s="1021"/>
      <c r="AO449" s="1021"/>
      <c r="AP449" s="1021"/>
      <c r="AQ449" s="1021"/>
      <c r="AR449" s="1021"/>
      <c r="AS449" s="1021"/>
      <c r="AT449" s="1021"/>
      <c r="AU449" s="1021"/>
      <c r="AV449" s="1021"/>
      <c r="AW449" s="1021"/>
      <c r="AX449" s="1021"/>
      <c r="AY449" s="1021"/>
      <c r="AZ449" s="1021"/>
      <c r="BA449" s="1021"/>
      <c r="BB449" s="1021"/>
      <c r="BC449" s="1021"/>
      <c r="BD449" s="1021"/>
      <c r="BE449" s="1021"/>
      <c r="BF449" s="1021"/>
      <c r="BG449" s="1021"/>
      <c r="BH449" s="1021"/>
      <c r="BI449" s="1021"/>
      <c r="BJ449" s="1021"/>
      <c r="BK449" s="1021"/>
      <c r="BL449" s="1021"/>
      <c r="BM449" s="1021"/>
      <c r="BN449" s="1021"/>
      <c r="BO449" s="1021"/>
      <c r="BP449" s="1021"/>
      <c r="BQ449" s="1021"/>
      <c r="BR449" s="1021"/>
      <c r="BS449" s="1021"/>
      <c r="BT449" s="1021"/>
      <c r="BU449" s="1021"/>
      <c r="BV449" s="1021"/>
      <c r="BW449" s="1021"/>
      <c r="BX449" s="1021"/>
      <c r="BY449" s="1021"/>
      <c r="BZ449" s="1021"/>
      <c r="CA449" s="1021"/>
      <c r="CB449" s="1021"/>
      <c r="CC449" s="1021"/>
    </row>
    <row r="450" spans="8:81" x14ac:dyDescent="0.25">
      <c r="H450" s="1021"/>
      <c r="I450" s="1021"/>
      <c r="J450" s="1021"/>
      <c r="K450" s="1021"/>
      <c r="L450" s="1021"/>
      <c r="M450" s="1021"/>
      <c r="N450" s="1021"/>
      <c r="O450" s="1021"/>
      <c r="P450" s="1021"/>
      <c r="Q450" s="1021"/>
      <c r="R450" s="1021"/>
      <c r="S450" s="1021"/>
      <c r="T450" s="1021"/>
      <c r="U450" s="1021"/>
      <c r="V450" s="1021"/>
      <c r="W450" s="1021"/>
      <c r="X450" s="1021"/>
      <c r="Y450" s="1021"/>
      <c r="Z450" s="1021"/>
      <c r="AA450" s="1021"/>
      <c r="AB450" s="1021"/>
      <c r="AC450" s="1021"/>
      <c r="AD450" s="1021"/>
      <c r="AE450" s="1021"/>
      <c r="AF450" s="1021"/>
      <c r="AG450" s="1021"/>
      <c r="AH450" s="1021"/>
      <c r="AI450" s="1021"/>
      <c r="AJ450" s="1021"/>
      <c r="AK450" s="1021"/>
      <c r="AL450" s="1021"/>
      <c r="AM450" s="1021"/>
      <c r="AN450" s="1021"/>
      <c r="AO450" s="1021"/>
      <c r="AP450" s="1021"/>
      <c r="AQ450" s="1021"/>
      <c r="AR450" s="1021"/>
      <c r="AS450" s="1021"/>
      <c r="AT450" s="1021"/>
      <c r="AU450" s="1021"/>
      <c r="AV450" s="1021"/>
      <c r="AW450" s="1021"/>
      <c r="AX450" s="1021"/>
      <c r="AY450" s="1021"/>
      <c r="AZ450" s="1021"/>
      <c r="BA450" s="1021"/>
      <c r="BB450" s="1021"/>
      <c r="BC450" s="1021"/>
      <c r="BD450" s="1021"/>
      <c r="BE450" s="1021"/>
      <c r="BF450" s="1021"/>
      <c r="BG450" s="1021"/>
      <c r="BH450" s="1021"/>
      <c r="BI450" s="1021"/>
      <c r="BJ450" s="1021"/>
      <c r="BK450" s="1021"/>
      <c r="BL450" s="1021"/>
      <c r="BM450" s="1021"/>
      <c r="BN450" s="1021"/>
      <c r="BO450" s="1021"/>
      <c r="BP450" s="1021"/>
      <c r="BQ450" s="1021"/>
      <c r="BR450" s="1021"/>
      <c r="BS450" s="1021"/>
      <c r="BT450" s="1021"/>
      <c r="BU450" s="1021"/>
      <c r="BV450" s="1021"/>
      <c r="BW450" s="1021"/>
      <c r="BX450" s="1021"/>
      <c r="BY450" s="1021"/>
      <c r="BZ450" s="1021"/>
      <c r="CA450" s="1021"/>
      <c r="CB450" s="1021"/>
      <c r="CC450" s="1021"/>
    </row>
    <row r="451" spans="8:81" x14ac:dyDescent="0.25">
      <c r="H451" s="1021"/>
      <c r="I451" s="1021"/>
      <c r="J451" s="1021"/>
      <c r="K451" s="1021"/>
      <c r="L451" s="1021"/>
      <c r="M451" s="1021"/>
      <c r="N451" s="1021"/>
      <c r="O451" s="1021"/>
      <c r="P451" s="1021"/>
      <c r="Q451" s="1021"/>
      <c r="R451" s="1021"/>
      <c r="S451" s="1021"/>
      <c r="T451" s="1021"/>
      <c r="U451" s="1021"/>
      <c r="V451" s="1021"/>
      <c r="W451" s="1021"/>
      <c r="X451" s="1021"/>
      <c r="Y451" s="1021"/>
      <c r="Z451" s="1021"/>
      <c r="AA451" s="1021"/>
      <c r="AB451" s="1021"/>
      <c r="AC451" s="1021"/>
      <c r="AD451" s="1021"/>
      <c r="AE451" s="1021"/>
      <c r="AF451" s="1021"/>
      <c r="AG451" s="1021"/>
      <c r="AH451" s="1021"/>
      <c r="AI451" s="1021"/>
      <c r="AJ451" s="1021"/>
      <c r="AK451" s="1021"/>
      <c r="AL451" s="1021"/>
      <c r="AM451" s="1021"/>
      <c r="AN451" s="1021"/>
      <c r="AO451" s="1021"/>
      <c r="AP451" s="1021"/>
      <c r="AQ451" s="1021"/>
      <c r="AR451" s="1021"/>
      <c r="AS451" s="1021"/>
      <c r="AT451" s="1021"/>
      <c r="AU451" s="1021"/>
      <c r="AV451" s="1021"/>
      <c r="AW451" s="1021"/>
      <c r="AX451" s="1021"/>
      <c r="AY451" s="1021"/>
      <c r="AZ451" s="1021"/>
      <c r="BA451" s="1021"/>
      <c r="BB451" s="1021"/>
      <c r="BC451" s="1021"/>
      <c r="BD451" s="1021"/>
      <c r="BE451" s="1021"/>
      <c r="BF451" s="1021"/>
      <c r="BG451" s="1021"/>
      <c r="BH451" s="1021"/>
      <c r="BI451" s="1021"/>
      <c r="BJ451" s="1021"/>
      <c r="BK451" s="1021"/>
      <c r="BL451" s="1021"/>
      <c r="BM451" s="1021"/>
      <c r="BN451" s="1021"/>
      <c r="BO451" s="1021"/>
      <c r="BP451" s="1021"/>
      <c r="BQ451" s="1021"/>
      <c r="BR451" s="1021"/>
      <c r="BS451" s="1021"/>
      <c r="BT451" s="1021"/>
      <c r="BU451" s="1021"/>
      <c r="BV451" s="1021"/>
      <c r="BW451" s="1021"/>
      <c r="BX451" s="1021"/>
      <c r="BY451" s="1021"/>
      <c r="BZ451" s="1021"/>
      <c r="CA451" s="1021"/>
      <c r="CB451" s="1021"/>
      <c r="CC451" s="1021"/>
    </row>
    <row r="452" spans="8:81" x14ac:dyDescent="0.25">
      <c r="H452" s="1021"/>
      <c r="I452" s="1021"/>
      <c r="J452" s="1021"/>
      <c r="K452" s="1021"/>
      <c r="L452" s="1021"/>
      <c r="M452" s="1021"/>
      <c r="N452" s="1021"/>
      <c r="O452" s="1021"/>
      <c r="P452" s="1021"/>
      <c r="Q452" s="1021"/>
      <c r="R452" s="1021"/>
      <c r="S452" s="1021"/>
      <c r="T452" s="1021"/>
      <c r="U452" s="1021"/>
      <c r="V452" s="1021"/>
      <c r="W452" s="1021"/>
      <c r="X452" s="1021"/>
      <c r="Y452" s="1021"/>
      <c r="Z452" s="1021"/>
      <c r="AA452" s="1021"/>
      <c r="AB452" s="1021"/>
      <c r="AC452" s="1021"/>
      <c r="AD452" s="1021"/>
      <c r="AE452" s="1021"/>
      <c r="AF452" s="1021"/>
      <c r="AG452" s="1021"/>
      <c r="AH452" s="1021"/>
      <c r="AI452" s="1021"/>
      <c r="AJ452" s="1021"/>
      <c r="AK452" s="1021"/>
      <c r="AL452" s="1021"/>
      <c r="AM452" s="1021"/>
      <c r="AN452" s="1021"/>
      <c r="AO452" s="1021"/>
      <c r="AP452" s="1021"/>
      <c r="AQ452" s="1021"/>
      <c r="AR452" s="1021"/>
      <c r="AS452" s="1021"/>
      <c r="AT452" s="1021"/>
      <c r="AU452" s="1021"/>
      <c r="AV452" s="1021"/>
      <c r="AW452" s="1021"/>
      <c r="AX452" s="1021"/>
      <c r="AY452" s="1021"/>
      <c r="AZ452" s="1021"/>
      <c r="BA452" s="1021"/>
      <c r="BB452" s="1021"/>
      <c r="BC452" s="1021"/>
      <c r="BD452" s="1021"/>
      <c r="BE452" s="1021"/>
      <c r="BF452" s="1021"/>
      <c r="BG452" s="1021"/>
      <c r="BH452" s="1021"/>
      <c r="BI452" s="1021"/>
      <c r="BJ452" s="1021"/>
      <c r="BK452" s="1021"/>
      <c r="BL452" s="1021"/>
      <c r="BM452" s="1021"/>
      <c r="BN452" s="1021"/>
      <c r="BO452" s="1021"/>
      <c r="BP452" s="1021"/>
      <c r="BQ452" s="1021"/>
      <c r="BR452" s="1021"/>
      <c r="BS452" s="1021"/>
      <c r="BT452" s="1021"/>
      <c r="BU452" s="1021"/>
      <c r="BV452" s="1021"/>
      <c r="BW452" s="1021"/>
      <c r="BX452" s="1021"/>
      <c r="BY452" s="1021"/>
      <c r="BZ452" s="1021"/>
      <c r="CA452" s="1021"/>
      <c r="CB452" s="1021"/>
      <c r="CC452" s="1021"/>
    </row>
    <row r="453" spans="8:81" x14ac:dyDescent="0.25">
      <c r="H453" s="1021"/>
      <c r="I453" s="1021"/>
      <c r="J453" s="1021"/>
      <c r="K453" s="1021"/>
      <c r="L453" s="1021"/>
      <c r="M453" s="1021"/>
      <c r="N453" s="1021"/>
      <c r="O453" s="1021"/>
      <c r="P453" s="1021"/>
      <c r="Q453" s="1021"/>
      <c r="R453" s="1021"/>
      <c r="S453" s="1021"/>
      <c r="T453" s="1021"/>
      <c r="U453" s="1021"/>
      <c r="V453" s="1021"/>
      <c r="W453" s="1021"/>
      <c r="X453" s="1021"/>
      <c r="Y453" s="1021"/>
      <c r="Z453" s="1021"/>
      <c r="AA453" s="1021"/>
      <c r="AB453" s="1021"/>
      <c r="AC453" s="1021"/>
      <c r="AD453" s="1021"/>
      <c r="AE453" s="1021"/>
      <c r="AF453" s="1021"/>
      <c r="AG453" s="1021"/>
      <c r="AH453" s="1021"/>
      <c r="AI453" s="1021"/>
      <c r="AJ453" s="1021"/>
      <c r="AK453" s="1021"/>
      <c r="AL453" s="1021"/>
      <c r="AM453" s="1021"/>
      <c r="AN453" s="1021"/>
      <c r="AO453" s="1021"/>
      <c r="AP453" s="1021"/>
      <c r="AQ453" s="1021"/>
      <c r="AR453" s="1021"/>
      <c r="AS453" s="1021"/>
      <c r="AT453" s="1021"/>
      <c r="AU453" s="1021"/>
      <c r="AV453" s="1021"/>
      <c r="AW453" s="1021"/>
      <c r="AX453" s="1021"/>
      <c r="AY453" s="1021"/>
      <c r="AZ453" s="1021"/>
      <c r="BA453" s="1021"/>
      <c r="BB453" s="1021"/>
      <c r="BC453" s="1021"/>
      <c r="BD453" s="1021"/>
      <c r="BE453" s="1021"/>
      <c r="BF453" s="1021"/>
      <c r="BG453" s="1021"/>
      <c r="BH453" s="1021"/>
      <c r="BI453" s="1021"/>
      <c r="BJ453" s="1021"/>
      <c r="BK453" s="1021"/>
      <c r="BL453" s="1021"/>
      <c r="BM453" s="1021"/>
      <c r="BN453" s="1021"/>
      <c r="BO453" s="1021"/>
      <c r="BP453" s="1021"/>
      <c r="BQ453" s="1021"/>
      <c r="BR453" s="1021"/>
      <c r="BS453" s="1021"/>
      <c r="BT453" s="1021"/>
      <c r="BU453" s="1021"/>
      <c r="BV453" s="1021"/>
      <c r="BW453" s="1021"/>
      <c r="BX453" s="1021"/>
      <c r="BY453" s="1021"/>
      <c r="BZ453" s="1021"/>
      <c r="CA453" s="1021"/>
      <c r="CB453" s="1021"/>
      <c r="CC453" s="1021"/>
    </row>
    <row r="454" spans="8:81" x14ac:dyDescent="0.25">
      <c r="H454" s="1021"/>
      <c r="I454" s="1021"/>
      <c r="J454" s="1021"/>
      <c r="K454" s="1021"/>
      <c r="L454" s="1021"/>
      <c r="M454" s="1021"/>
      <c r="N454" s="1021"/>
      <c r="O454" s="1021"/>
      <c r="P454" s="1021"/>
      <c r="Q454" s="1021"/>
      <c r="R454" s="1021"/>
      <c r="S454" s="1021"/>
      <c r="T454" s="1021"/>
      <c r="U454" s="1021"/>
      <c r="V454" s="1021"/>
      <c r="W454" s="1021"/>
      <c r="X454" s="1021"/>
      <c r="Y454" s="1021"/>
      <c r="Z454" s="1021"/>
      <c r="AA454" s="1021"/>
      <c r="AB454" s="1021"/>
      <c r="AC454" s="1021"/>
      <c r="AD454" s="1021"/>
      <c r="AE454" s="1021"/>
      <c r="AF454" s="1021"/>
      <c r="AG454" s="1021"/>
      <c r="AH454" s="1021"/>
      <c r="AI454" s="1021"/>
      <c r="AJ454" s="1021"/>
      <c r="AK454" s="1021"/>
      <c r="AL454" s="1021"/>
      <c r="AM454" s="1021"/>
      <c r="AN454" s="1021"/>
      <c r="AO454" s="1021"/>
      <c r="AP454" s="1021"/>
      <c r="AQ454" s="1021"/>
      <c r="AR454" s="1021"/>
      <c r="AS454" s="1021"/>
      <c r="AT454" s="1021"/>
      <c r="AU454" s="1021"/>
      <c r="AV454" s="1021"/>
      <c r="AW454" s="1021"/>
      <c r="AX454" s="1021"/>
      <c r="AY454" s="1021"/>
      <c r="AZ454" s="1021"/>
      <c r="BA454" s="1021"/>
      <c r="BB454" s="1021"/>
      <c r="BC454" s="1021"/>
      <c r="BD454" s="1021"/>
      <c r="BE454" s="1021"/>
      <c r="BF454" s="1021"/>
      <c r="BG454" s="1021"/>
      <c r="BH454" s="1021"/>
      <c r="BI454" s="1021"/>
      <c r="BJ454" s="1021"/>
      <c r="BK454" s="1021"/>
      <c r="BL454" s="1021"/>
      <c r="BM454" s="1021"/>
      <c r="BN454" s="1021"/>
      <c r="BO454" s="1021"/>
      <c r="BP454" s="1021"/>
      <c r="BQ454" s="1021"/>
      <c r="BR454" s="1021"/>
      <c r="BS454" s="1021"/>
      <c r="BT454" s="1021"/>
      <c r="BU454" s="1021"/>
      <c r="BV454" s="1021"/>
      <c r="BW454" s="1021"/>
      <c r="BX454" s="1021"/>
      <c r="BY454" s="1021"/>
      <c r="BZ454" s="1021"/>
      <c r="CA454" s="1021"/>
      <c r="CB454" s="1021"/>
      <c r="CC454" s="1021"/>
    </row>
    <row r="455" spans="8:81" x14ac:dyDescent="0.25">
      <c r="H455" s="1021"/>
      <c r="I455" s="1021"/>
      <c r="J455" s="1021"/>
      <c r="K455" s="1021"/>
      <c r="L455" s="1021"/>
      <c r="M455" s="1021"/>
      <c r="N455" s="1021"/>
      <c r="O455" s="1021"/>
      <c r="P455" s="1021"/>
      <c r="Q455" s="1021"/>
      <c r="R455" s="1021"/>
      <c r="S455" s="1021"/>
      <c r="T455" s="1021"/>
      <c r="U455" s="1021"/>
      <c r="V455" s="1021"/>
      <c r="W455" s="1021"/>
      <c r="X455" s="1021"/>
      <c r="Y455" s="1021"/>
      <c r="Z455" s="1021"/>
      <c r="AA455" s="1021"/>
      <c r="AB455" s="1021"/>
      <c r="AC455" s="1021"/>
      <c r="AD455" s="1021"/>
      <c r="AE455" s="1021"/>
      <c r="AF455" s="1021"/>
      <c r="AG455" s="1021"/>
      <c r="AH455" s="1021"/>
      <c r="AI455" s="1021"/>
      <c r="AJ455" s="1021"/>
      <c r="AK455" s="1021"/>
      <c r="AL455" s="1021"/>
      <c r="AM455" s="1021"/>
      <c r="AN455" s="1021"/>
      <c r="AO455" s="1021"/>
      <c r="AP455" s="1021"/>
      <c r="AQ455" s="1021"/>
      <c r="AR455" s="1021"/>
      <c r="AS455" s="1021"/>
      <c r="AT455" s="1021"/>
      <c r="AU455" s="1021"/>
      <c r="AV455" s="1021"/>
      <c r="AW455" s="1021"/>
      <c r="AX455" s="1021"/>
      <c r="AY455" s="1021"/>
      <c r="AZ455" s="1021"/>
      <c r="BA455" s="1021"/>
      <c r="BB455" s="1021"/>
      <c r="BC455" s="1021"/>
      <c r="BD455" s="1021"/>
      <c r="BE455" s="1021"/>
      <c r="BF455" s="1021"/>
      <c r="BG455" s="1021"/>
      <c r="BH455" s="1021"/>
      <c r="BI455" s="1021"/>
      <c r="BJ455" s="1021"/>
      <c r="BK455" s="1021"/>
      <c r="BL455" s="1021"/>
      <c r="BM455" s="1021"/>
      <c r="BN455" s="1021"/>
      <c r="BO455" s="1021"/>
      <c r="BP455" s="1021"/>
      <c r="BQ455" s="1021"/>
      <c r="BR455" s="1021"/>
      <c r="BS455" s="1021"/>
      <c r="BT455" s="1021"/>
      <c r="BU455" s="1021"/>
      <c r="BV455" s="1021"/>
      <c r="BW455" s="1021"/>
      <c r="BX455" s="1021"/>
      <c r="BY455" s="1021"/>
      <c r="BZ455" s="1021"/>
      <c r="CA455" s="1021"/>
      <c r="CB455" s="1021"/>
      <c r="CC455" s="1021"/>
    </row>
    <row r="456" spans="8:81" x14ac:dyDescent="0.25">
      <c r="H456" s="1021"/>
      <c r="I456" s="1021"/>
      <c r="J456" s="1021"/>
      <c r="K456" s="1021"/>
      <c r="L456" s="1021"/>
      <c r="M456" s="1021"/>
      <c r="N456" s="1021"/>
      <c r="O456" s="1021"/>
      <c r="P456" s="1021"/>
      <c r="Q456" s="1021"/>
      <c r="R456" s="1021"/>
      <c r="S456" s="1021"/>
      <c r="T456" s="1021"/>
      <c r="U456" s="1021"/>
      <c r="V456" s="1021"/>
      <c r="W456" s="1021"/>
      <c r="X456" s="1021"/>
      <c r="Y456" s="1021"/>
      <c r="Z456" s="1021"/>
      <c r="AA456" s="1021"/>
      <c r="AB456" s="1021"/>
      <c r="AC456" s="1021"/>
      <c r="AD456" s="1021"/>
      <c r="AE456" s="1021"/>
      <c r="AF456" s="1021"/>
      <c r="AG456" s="1021"/>
      <c r="AH456" s="1021"/>
      <c r="AI456" s="1021"/>
      <c r="AJ456" s="1021"/>
      <c r="AK456" s="1021"/>
      <c r="AL456" s="1021"/>
      <c r="AM456" s="1021"/>
      <c r="AN456" s="1021"/>
      <c r="AO456" s="1021"/>
      <c r="AP456" s="1021"/>
      <c r="AQ456" s="1021"/>
      <c r="AR456" s="1021"/>
      <c r="AS456" s="1021"/>
      <c r="AT456" s="1021"/>
      <c r="AU456" s="1021"/>
      <c r="AV456" s="1021"/>
      <c r="AW456" s="1021"/>
      <c r="AX456" s="1021"/>
      <c r="AY456" s="1021"/>
      <c r="AZ456" s="1021"/>
      <c r="BA456" s="1021"/>
      <c r="BB456" s="1021"/>
      <c r="BC456" s="1021"/>
      <c r="BD456" s="1021"/>
      <c r="BE456" s="1021"/>
      <c r="BF456" s="1021"/>
      <c r="BG456" s="1021"/>
      <c r="BH456" s="1021"/>
      <c r="BI456" s="1021"/>
      <c r="BJ456" s="1021"/>
      <c r="BK456" s="1021"/>
      <c r="BL456" s="1021"/>
      <c r="BM456" s="1021"/>
      <c r="BN456" s="1021"/>
      <c r="BO456" s="1021"/>
      <c r="BP456" s="1021"/>
      <c r="BQ456" s="1021"/>
      <c r="BR456" s="1021"/>
      <c r="BS456" s="1021"/>
      <c r="BT456" s="1021"/>
      <c r="BU456" s="1021"/>
      <c r="BV456" s="1021"/>
      <c r="BW456" s="1021"/>
      <c r="BX456" s="1021"/>
      <c r="BY456" s="1021"/>
      <c r="BZ456" s="1021"/>
      <c r="CA456" s="1021"/>
      <c r="CB456" s="1021"/>
      <c r="CC456" s="1021"/>
    </row>
    <row r="457" spans="8:81" x14ac:dyDescent="0.25">
      <c r="H457" s="1021"/>
      <c r="I457" s="1021"/>
      <c r="J457" s="1021"/>
      <c r="K457" s="1021"/>
      <c r="L457" s="1021"/>
      <c r="M457" s="1021"/>
      <c r="N457" s="1021"/>
      <c r="O457" s="1021"/>
      <c r="P457" s="1021"/>
      <c r="Q457" s="1021"/>
      <c r="R457" s="1021"/>
      <c r="S457" s="1021"/>
      <c r="T457" s="1021"/>
      <c r="U457" s="1021"/>
      <c r="V457" s="1021"/>
      <c r="W457" s="1021"/>
      <c r="X457" s="1021"/>
      <c r="Y457" s="1021"/>
      <c r="Z457" s="1021"/>
      <c r="AA457" s="1021"/>
      <c r="AB457" s="1021"/>
      <c r="AC457" s="1021"/>
      <c r="AD457" s="1021"/>
      <c r="AE457" s="1021"/>
      <c r="AF457" s="1021"/>
      <c r="AG457" s="1021"/>
      <c r="AH457" s="1021"/>
      <c r="AI457" s="1021"/>
      <c r="AJ457" s="1021"/>
      <c r="AK457" s="1021"/>
      <c r="AL457" s="1021"/>
      <c r="AM457" s="1021"/>
      <c r="AN457" s="1021"/>
      <c r="AO457" s="1021"/>
      <c r="AP457" s="1021"/>
      <c r="AQ457" s="1021"/>
      <c r="AR457" s="1021"/>
      <c r="AS457" s="1021"/>
      <c r="AT457" s="1021"/>
      <c r="AU457" s="1021"/>
      <c r="AV457" s="1021"/>
      <c r="AW457" s="1021"/>
      <c r="AX457" s="1021"/>
      <c r="AY457" s="1021"/>
      <c r="AZ457" s="1021"/>
      <c r="BA457" s="1021"/>
      <c r="BB457" s="1021"/>
      <c r="BC457" s="1021"/>
      <c r="BD457" s="1021"/>
      <c r="BE457" s="1021"/>
      <c r="BF457" s="1021"/>
      <c r="BG457" s="1021"/>
      <c r="BH457" s="1021"/>
      <c r="BI457" s="1021"/>
      <c r="BJ457" s="1021"/>
      <c r="BK457" s="1021"/>
      <c r="BL457" s="1021"/>
      <c r="BM457" s="1021"/>
      <c r="BN457" s="1021"/>
      <c r="BO457" s="1021"/>
      <c r="BP457" s="1021"/>
      <c r="BQ457" s="1021"/>
      <c r="BR457" s="1021"/>
      <c r="BS457" s="1021"/>
      <c r="BT457" s="1021"/>
      <c r="BU457" s="1021"/>
      <c r="BV457" s="1021"/>
      <c r="BW457" s="1021"/>
      <c r="BX457" s="1021"/>
      <c r="BY457" s="1021"/>
      <c r="BZ457" s="1021"/>
      <c r="CA457" s="1021"/>
      <c r="CB457" s="1021"/>
      <c r="CC457" s="1021"/>
    </row>
    <row r="458" spans="8:81" x14ac:dyDescent="0.25">
      <c r="H458" s="1021"/>
      <c r="I458" s="1021"/>
      <c r="J458" s="1021"/>
      <c r="K458" s="1021"/>
      <c r="L458" s="1021"/>
      <c r="M458" s="1021"/>
      <c r="N458" s="1021"/>
      <c r="O458" s="1021"/>
      <c r="P458" s="1021"/>
      <c r="Q458" s="1021"/>
      <c r="R458" s="1021"/>
      <c r="S458" s="1021"/>
      <c r="T458" s="1021"/>
      <c r="U458" s="1021"/>
      <c r="V458" s="1021"/>
      <c r="W458" s="1021"/>
      <c r="X458" s="1021"/>
      <c r="Y458" s="1021"/>
      <c r="Z458" s="1021"/>
      <c r="AA458" s="1021"/>
      <c r="AB458" s="1021"/>
      <c r="AC458" s="1021"/>
      <c r="AD458" s="1021"/>
      <c r="AE458" s="1021"/>
      <c r="AF458" s="1021"/>
      <c r="AG458" s="1021"/>
      <c r="AH458" s="1021"/>
      <c r="AI458" s="1021"/>
      <c r="AJ458" s="1021"/>
      <c r="AK458" s="1021"/>
      <c r="AL458" s="1021"/>
      <c r="AM458" s="1021"/>
      <c r="AN458" s="1021"/>
      <c r="AO458" s="1021"/>
      <c r="AP458" s="1021"/>
      <c r="AQ458" s="1021"/>
      <c r="AR458" s="1021"/>
      <c r="AS458" s="1021"/>
      <c r="AT458" s="1021"/>
      <c r="AU458" s="1021"/>
      <c r="AV458" s="1021"/>
      <c r="AW458" s="1021"/>
      <c r="AX458" s="1021"/>
      <c r="AY458" s="1021"/>
      <c r="AZ458" s="1021"/>
      <c r="BA458" s="1021"/>
      <c r="BB458" s="1021"/>
      <c r="BC458" s="1021"/>
      <c r="BD458" s="1021"/>
      <c r="BE458" s="1021"/>
      <c r="BF458" s="1021"/>
      <c r="BG458" s="1021"/>
      <c r="BH458" s="1021"/>
      <c r="BI458" s="1021"/>
      <c r="BJ458" s="1021"/>
      <c r="BK458" s="1021"/>
      <c r="BL458" s="1021"/>
      <c r="BM458" s="1021"/>
      <c r="BN458" s="1021"/>
      <c r="BO458" s="1021"/>
      <c r="BP458" s="1021"/>
      <c r="BQ458" s="1021"/>
      <c r="BR458" s="1021"/>
      <c r="BS458" s="1021"/>
      <c r="BT458" s="1021"/>
      <c r="BU458" s="1021"/>
      <c r="BV458" s="1021"/>
      <c r="BW458" s="1021"/>
      <c r="BX458" s="1021"/>
      <c r="BY458" s="1021"/>
      <c r="BZ458" s="1021"/>
      <c r="CA458" s="1021"/>
      <c r="CB458" s="1021"/>
      <c r="CC458" s="1021"/>
    </row>
    <row r="459" spans="8:81" x14ac:dyDescent="0.25">
      <c r="H459" s="1021"/>
      <c r="I459" s="1021"/>
      <c r="J459" s="1021"/>
      <c r="K459" s="1021"/>
      <c r="L459" s="1021"/>
      <c r="M459" s="1021"/>
      <c r="N459" s="1021"/>
      <c r="O459" s="1021"/>
      <c r="P459" s="1021"/>
      <c r="Q459" s="1021"/>
      <c r="R459" s="1021"/>
      <c r="S459" s="1021"/>
      <c r="T459" s="1021"/>
      <c r="U459" s="1021"/>
      <c r="V459" s="1021"/>
      <c r="W459" s="1021"/>
      <c r="X459" s="1021"/>
      <c r="Y459" s="1021"/>
      <c r="Z459" s="1021"/>
      <c r="AA459" s="1021"/>
      <c r="AB459" s="1021"/>
      <c r="AC459" s="1021"/>
      <c r="AD459" s="1021"/>
      <c r="AE459" s="1021"/>
      <c r="AF459" s="1021"/>
      <c r="AG459" s="1021"/>
      <c r="AH459" s="1021"/>
      <c r="AI459" s="1021"/>
      <c r="AJ459" s="1021"/>
      <c r="AK459" s="1021"/>
      <c r="AL459" s="1021"/>
      <c r="AM459" s="1021"/>
      <c r="AN459" s="1021"/>
      <c r="AO459" s="1021"/>
      <c r="AP459" s="1021"/>
      <c r="AQ459" s="1021"/>
      <c r="AR459" s="1021"/>
      <c r="AS459" s="1021"/>
      <c r="AT459" s="1021"/>
      <c r="AU459" s="1021"/>
      <c r="AV459" s="1021"/>
      <c r="AW459" s="1021"/>
      <c r="AX459" s="1021"/>
      <c r="AY459" s="1021"/>
      <c r="AZ459" s="1021"/>
      <c r="BA459" s="1021"/>
      <c r="BB459" s="1021"/>
      <c r="BC459" s="1021"/>
      <c r="BD459" s="1021"/>
      <c r="BE459" s="1021"/>
      <c r="BF459" s="1021"/>
      <c r="BG459" s="1021"/>
      <c r="BH459" s="1021"/>
      <c r="BI459" s="1021"/>
      <c r="BJ459" s="1021"/>
      <c r="BK459" s="1021"/>
      <c r="BL459" s="1021"/>
      <c r="BM459" s="1021"/>
      <c r="BN459" s="1021"/>
      <c r="BO459" s="1021"/>
      <c r="BP459" s="1021"/>
      <c r="BQ459" s="1021"/>
      <c r="BR459" s="1021"/>
      <c r="BS459" s="1021"/>
      <c r="BT459" s="1021"/>
      <c r="BU459" s="1021"/>
      <c r="BV459" s="1021"/>
      <c r="BW459" s="1021"/>
      <c r="BX459" s="1021"/>
      <c r="BY459" s="1021"/>
      <c r="BZ459" s="1021"/>
      <c r="CA459" s="1021"/>
      <c r="CB459" s="1021"/>
      <c r="CC459" s="1021"/>
    </row>
    <row r="460" spans="8:81" x14ac:dyDescent="0.25">
      <c r="H460" s="1021"/>
      <c r="I460" s="1021"/>
      <c r="J460" s="1021"/>
      <c r="K460" s="1021"/>
      <c r="L460" s="1021"/>
      <c r="M460" s="1021"/>
      <c r="N460" s="1021"/>
      <c r="O460" s="1021"/>
      <c r="P460" s="1021"/>
      <c r="Q460" s="1021"/>
      <c r="R460" s="1021"/>
      <c r="S460" s="1021"/>
      <c r="T460" s="1021"/>
      <c r="U460" s="1021"/>
      <c r="V460" s="1021"/>
      <c r="W460" s="1021"/>
      <c r="X460" s="1021"/>
      <c r="Y460" s="1021"/>
      <c r="Z460" s="1021"/>
      <c r="AA460" s="1021"/>
      <c r="AB460" s="1021"/>
      <c r="AC460" s="1021"/>
      <c r="AD460" s="1021"/>
      <c r="AE460" s="1021"/>
      <c r="AF460" s="1021"/>
      <c r="AG460" s="1021"/>
      <c r="AH460" s="1021"/>
      <c r="AI460" s="1021"/>
      <c r="AJ460" s="1021"/>
      <c r="AK460" s="1021"/>
      <c r="AL460" s="1021"/>
      <c r="AM460" s="1021"/>
      <c r="AN460" s="1021"/>
      <c r="AO460" s="1021"/>
      <c r="AP460" s="1021"/>
      <c r="AQ460" s="1021"/>
      <c r="AR460" s="1021"/>
      <c r="AS460" s="1021"/>
      <c r="AT460" s="1021"/>
      <c r="AU460" s="1021"/>
      <c r="AV460" s="1021"/>
      <c r="AW460" s="1021"/>
      <c r="AX460" s="1021"/>
      <c r="AY460" s="1021"/>
      <c r="AZ460" s="1021"/>
      <c r="BA460" s="1021"/>
      <c r="BB460" s="1021"/>
      <c r="BC460" s="1021"/>
      <c r="BD460" s="1021"/>
      <c r="BE460" s="1021"/>
      <c r="BF460" s="1021"/>
      <c r="BG460" s="1021"/>
      <c r="BH460" s="1021"/>
      <c r="BI460" s="1021"/>
      <c r="BJ460" s="1021"/>
      <c r="BK460" s="1021"/>
      <c r="BL460" s="1021"/>
      <c r="BM460" s="1021"/>
      <c r="BN460" s="1021"/>
      <c r="BO460" s="1021"/>
      <c r="BP460" s="1021"/>
      <c r="BQ460" s="1021"/>
      <c r="BR460" s="1021"/>
      <c r="BS460" s="1021"/>
      <c r="BT460" s="1021"/>
      <c r="BU460" s="1021"/>
      <c r="BV460" s="1021"/>
      <c r="BW460" s="1021"/>
      <c r="BX460" s="1021"/>
      <c r="BY460" s="1021"/>
      <c r="BZ460" s="1021"/>
      <c r="CA460" s="1021"/>
      <c r="CB460" s="1021"/>
      <c r="CC460" s="1021"/>
    </row>
    <row r="461" spans="8:81" x14ac:dyDescent="0.25">
      <c r="H461" s="1021"/>
      <c r="I461" s="1021"/>
      <c r="J461" s="1021"/>
      <c r="K461" s="1021"/>
      <c r="L461" s="1021"/>
      <c r="M461" s="1021"/>
      <c r="N461" s="1021"/>
      <c r="O461" s="1021"/>
      <c r="P461" s="1021"/>
      <c r="Q461" s="1021"/>
      <c r="R461" s="1021"/>
      <c r="S461" s="1021"/>
      <c r="T461" s="1021"/>
      <c r="U461" s="1021"/>
      <c r="V461" s="1021"/>
      <c r="W461" s="1021"/>
      <c r="X461" s="1021"/>
      <c r="Y461" s="1021"/>
      <c r="Z461" s="1021"/>
      <c r="AA461" s="1021"/>
      <c r="AB461" s="1021"/>
      <c r="AC461" s="1021"/>
      <c r="AD461" s="1021"/>
      <c r="AE461" s="1021"/>
      <c r="AF461" s="1021"/>
      <c r="AG461" s="1021"/>
      <c r="AH461" s="1021"/>
      <c r="AI461" s="1021"/>
      <c r="AJ461" s="1021"/>
      <c r="AK461" s="1021"/>
      <c r="AL461" s="1021"/>
      <c r="AM461" s="1021"/>
      <c r="AN461" s="1021"/>
      <c r="AO461" s="1021"/>
      <c r="AP461" s="1021"/>
      <c r="AQ461" s="1021"/>
      <c r="AR461" s="1021"/>
      <c r="AS461" s="1021"/>
      <c r="AT461" s="1021"/>
      <c r="AU461" s="1021"/>
      <c r="AV461" s="1021"/>
      <c r="AW461" s="1021"/>
      <c r="AX461" s="1021"/>
      <c r="AY461" s="1021"/>
      <c r="AZ461" s="1021"/>
      <c r="BA461" s="1021"/>
      <c r="BB461" s="1021"/>
      <c r="BC461" s="1021"/>
      <c r="BD461" s="1021"/>
      <c r="BE461" s="1021"/>
      <c r="BF461" s="1021"/>
      <c r="BG461" s="1021"/>
      <c r="BH461" s="1021"/>
      <c r="BI461" s="1021"/>
      <c r="BJ461" s="1021"/>
      <c r="BK461" s="1021"/>
      <c r="BL461" s="1021"/>
      <c r="BM461" s="1021"/>
      <c r="BN461" s="1021"/>
      <c r="BO461" s="1021"/>
      <c r="BP461" s="1021"/>
      <c r="BQ461" s="1021"/>
      <c r="BR461" s="1021"/>
      <c r="BS461" s="1021"/>
      <c r="BT461" s="1021"/>
      <c r="BU461" s="1021"/>
      <c r="BV461" s="1021"/>
      <c r="BW461" s="1021"/>
      <c r="BX461" s="1021"/>
      <c r="BY461" s="1021"/>
      <c r="BZ461" s="1021"/>
      <c r="CA461" s="1021"/>
      <c r="CB461" s="1021"/>
      <c r="CC461" s="1021"/>
    </row>
    <row r="462" spans="8:81" x14ac:dyDescent="0.25">
      <c r="H462" s="1021"/>
      <c r="I462" s="1021"/>
      <c r="J462" s="1021"/>
      <c r="K462" s="1021"/>
      <c r="L462" s="1021"/>
      <c r="M462" s="1021"/>
      <c r="N462" s="1021"/>
      <c r="O462" s="1021"/>
      <c r="P462" s="1021"/>
      <c r="Q462" s="1021"/>
      <c r="R462" s="1021"/>
      <c r="S462" s="1021"/>
      <c r="T462" s="1021"/>
      <c r="U462" s="1021"/>
      <c r="V462" s="1021"/>
      <c r="W462" s="1021"/>
      <c r="X462" s="1021"/>
      <c r="Y462" s="1021"/>
      <c r="Z462" s="1021"/>
      <c r="AA462" s="1021"/>
      <c r="AB462" s="1021"/>
      <c r="AC462" s="1021"/>
      <c r="AD462" s="1021"/>
      <c r="AE462" s="1021"/>
      <c r="AF462" s="1021"/>
      <c r="AG462" s="1021"/>
      <c r="AH462" s="1021"/>
      <c r="AI462" s="1021"/>
      <c r="AJ462" s="1021"/>
      <c r="AK462" s="1021"/>
      <c r="AL462" s="1021"/>
      <c r="AM462" s="1021"/>
      <c r="AN462" s="1021"/>
      <c r="AO462" s="1021"/>
      <c r="AP462" s="1021"/>
      <c r="AQ462" s="1021"/>
      <c r="AR462" s="1021"/>
      <c r="AS462" s="1021"/>
      <c r="AT462" s="1021"/>
      <c r="AU462" s="1021"/>
      <c r="AV462" s="1021"/>
      <c r="AW462" s="1021"/>
      <c r="AX462" s="1021"/>
      <c r="AY462" s="1021"/>
      <c r="AZ462" s="1021"/>
      <c r="BA462" s="1021"/>
      <c r="BB462" s="1021"/>
      <c r="BC462" s="1021"/>
      <c r="BD462" s="1021"/>
      <c r="BE462" s="1021"/>
      <c r="BF462" s="1021"/>
      <c r="BG462" s="1021"/>
      <c r="BH462" s="1021"/>
      <c r="BI462" s="1021"/>
      <c r="BJ462" s="1021"/>
      <c r="BK462" s="1021"/>
      <c r="BL462" s="1021"/>
      <c r="BM462" s="1021"/>
      <c r="BN462" s="1021"/>
      <c r="BO462" s="1021"/>
      <c r="BP462" s="1021"/>
      <c r="BQ462" s="1021"/>
      <c r="BR462" s="1021"/>
      <c r="BS462" s="1021"/>
      <c r="BT462" s="1021"/>
      <c r="BU462" s="1021"/>
      <c r="BV462" s="1021"/>
      <c r="BW462" s="1021"/>
      <c r="BX462" s="1021"/>
      <c r="BY462" s="1021"/>
      <c r="BZ462" s="1021"/>
      <c r="CA462" s="1021"/>
      <c r="CB462" s="1021"/>
      <c r="CC462" s="1021"/>
    </row>
    <row r="463" spans="8:81" x14ac:dyDescent="0.25">
      <c r="H463" s="1021"/>
      <c r="I463" s="1021"/>
      <c r="J463" s="1021"/>
      <c r="K463" s="1021"/>
      <c r="L463" s="1021"/>
      <c r="M463" s="1021"/>
      <c r="N463" s="1021"/>
      <c r="O463" s="1021"/>
      <c r="P463" s="1021"/>
      <c r="Q463" s="1021"/>
      <c r="R463" s="1021"/>
      <c r="S463" s="1021"/>
      <c r="T463" s="1021"/>
      <c r="U463" s="1021"/>
      <c r="V463" s="1021"/>
      <c r="W463" s="1021"/>
      <c r="X463" s="1021"/>
      <c r="Y463" s="1021"/>
      <c r="Z463" s="1021"/>
      <c r="AA463" s="1021"/>
      <c r="AB463" s="1021"/>
      <c r="AC463" s="1021"/>
      <c r="AD463" s="1021"/>
      <c r="AE463" s="1021"/>
      <c r="AF463" s="1021"/>
      <c r="AG463" s="1021"/>
      <c r="AH463" s="1021"/>
      <c r="AI463" s="1021"/>
      <c r="AJ463" s="1021"/>
      <c r="AK463" s="1021"/>
      <c r="AL463" s="1021"/>
      <c r="AM463" s="1021"/>
      <c r="AN463" s="1021"/>
      <c r="AO463" s="1021"/>
      <c r="AP463" s="1021"/>
      <c r="AQ463" s="1021"/>
      <c r="AR463" s="1021"/>
      <c r="AS463" s="1021"/>
      <c r="AT463" s="1021"/>
      <c r="AU463" s="1021"/>
      <c r="AV463" s="1021"/>
      <c r="AW463" s="1021"/>
      <c r="AX463" s="1021"/>
      <c r="AY463" s="1021"/>
      <c r="AZ463" s="1021"/>
      <c r="BA463" s="1021"/>
      <c r="BB463" s="1021"/>
      <c r="BC463" s="1021"/>
      <c r="BD463" s="1021"/>
      <c r="BE463" s="1021"/>
      <c r="BF463" s="1021"/>
      <c r="BG463" s="1021"/>
      <c r="BH463" s="1021"/>
      <c r="BI463" s="1021"/>
      <c r="BJ463" s="1021"/>
      <c r="BK463" s="1021"/>
      <c r="BL463" s="1021"/>
      <c r="BM463" s="1021"/>
      <c r="BN463" s="1021"/>
      <c r="BO463" s="1021"/>
      <c r="BP463" s="1021"/>
      <c r="BQ463" s="1021"/>
      <c r="BR463" s="1021"/>
      <c r="BS463" s="1021"/>
      <c r="BT463" s="1021"/>
      <c r="BU463" s="1021"/>
      <c r="BV463" s="1021"/>
      <c r="BW463" s="1021"/>
      <c r="BX463" s="1021"/>
      <c r="BY463" s="1021"/>
      <c r="BZ463" s="1021"/>
      <c r="CA463" s="1021"/>
      <c r="CB463" s="1021"/>
      <c r="CC463" s="1021"/>
    </row>
    <row r="464" spans="8:81" x14ac:dyDescent="0.25">
      <c r="H464" s="1021"/>
      <c r="I464" s="1021"/>
      <c r="J464" s="1021"/>
      <c r="K464" s="1021"/>
      <c r="L464" s="1021"/>
      <c r="M464" s="1021"/>
      <c r="N464" s="1021"/>
      <c r="O464" s="1021"/>
      <c r="P464" s="1021"/>
      <c r="Q464" s="1021"/>
      <c r="R464" s="1021"/>
      <c r="S464" s="1021"/>
      <c r="T464" s="1021"/>
      <c r="U464" s="1021"/>
      <c r="V464" s="1021"/>
      <c r="W464" s="1021"/>
      <c r="X464" s="1021"/>
      <c r="Y464" s="1021"/>
      <c r="Z464" s="1021"/>
      <c r="AA464" s="1021"/>
      <c r="AB464" s="1021"/>
      <c r="AC464" s="1021"/>
      <c r="AD464" s="1021"/>
      <c r="AE464" s="1021"/>
      <c r="AF464" s="1021"/>
      <c r="AG464" s="1021"/>
      <c r="AH464" s="1021"/>
      <c r="AI464" s="1021"/>
      <c r="AJ464" s="1021"/>
      <c r="AK464" s="1021"/>
      <c r="AL464" s="1021"/>
      <c r="AM464" s="1021"/>
      <c r="AN464" s="1021"/>
      <c r="AO464" s="1021"/>
      <c r="AP464" s="1021"/>
      <c r="AQ464" s="1021"/>
      <c r="AR464" s="1021"/>
      <c r="AS464" s="1021"/>
      <c r="AT464" s="1021"/>
      <c r="AU464" s="1021"/>
      <c r="AV464" s="1021"/>
      <c r="AW464" s="1021"/>
      <c r="AX464" s="1021"/>
      <c r="AY464" s="1021"/>
      <c r="AZ464" s="1021"/>
      <c r="BA464" s="1021"/>
      <c r="BB464" s="1021"/>
      <c r="BC464" s="1021"/>
      <c r="BD464" s="1021"/>
      <c r="BE464" s="1021"/>
      <c r="BF464" s="1021"/>
      <c r="BG464" s="1021"/>
      <c r="BH464" s="1021"/>
      <c r="BI464" s="1021"/>
      <c r="BJ464" s="1021"/>
      <c r="BK464" s="1021"/>
      <c r="BL464" s="1021"/>
      <c r="BM464" s="1021"/>
      <c r="BN464" s="1021"/>
      <c r="BO464" s="1021"/>
      <c r="BP464" s="1021"/>
      <c r="BQ464" s="1021"/>
      <c r="BR464" s="1021"/>
      <c r="BS464" s="1021"/>
      <c r="BT464" s="1021"/>
      <c r="BU464" s="1021"/>
      <c r="BV464" s="1021"/>
      <c r="BW464" s="1021"/>
      <c r="BX464" s="1021"/>
      <c r="BY464" s="1021"/>
      <c r="BZ464" s="1021"/>
      <c r="CA464" s="1021"/>
      <c r="CB464" s="1021"/>
      <c r="CC464" s="1021"/>
    </row>
    <row r="465" spans="8:81" x14ac:dyDescent="0.25">
      <c r="H465" s="1021"/>
      <c r="I465" s="1021"/>
      <c r="J465" s="1021"/>
      <c r="K465" s="1021"/>
      <c r="L465" s="1021"/>
      <c r="M465" s="1021"/>
      <c r="N465" s="1021"/>
      <c r="O465" s="1021"/>
      <c r="P465" s="1021"/>
      <c r="Q465" s="1021"/>
      <c r="R465" s="1021"/>
      <c r="S465" s="1021"/>
      <c r="T465" s="1021"/>
      <c r="U465" s="1021"/>
      <c r="V465" s="1021"/>
      <c r="W465" s="1021"/>
      <c r="X465" s="1021"/>
      <c r="Y465" s="1021"/>
      <c r="Z465" s="1021"/>
      <c r="AA465" s="1021"/>
      <c r="AB465" s="1021"/>
      <c r="AC465" s="1021"/>
      <c r="AD465" s="1021"/>
      <c r="AE465" s="1021"/>
      <c r="AF465" s="1021"/>
      <c r="AG465" s="1021"/>
      <c r="AH465" s="1021"/>
      <c r="AI465" s="1021"/>
      <c r="AJ465" s="1021"/>
      <c r="AK465" s="1021"/>
      <c r="AL465" s="1021"/>
      <c r="AM465" s="1021"/>
      <c r="AN465" s="1021"/>
      <c r="AO465" s="1021"/>
      <c r="AP465" s="1021"/>
      <c r="AQ465" s="1021"/>
      <c r="AR465" s="1021"/>
      <c r="AS465" s="1021"/>
      <c r="AT465" s="1021"/>
      <c r="AU465" s="1021"/>
      <c r="AV465" s="1021"/>
      <c r="AW465" s="1021"/>
      <c r="AX465" s="1021"/>
      <c r="AY465" s="1021"/>
      <c r="AZ465" s="1021"/>
      <c r="BA465" s="1021"/>
      <c r="BB465" s="1021"/>
      <c r="BC465" s="1021"/>
      <c r="BD465" s="1021"/>
      <c r="BE465" s="1021"/>
      <c r="BF465" s="1021"/>
      <c r="BG465" s="1021"/>
      <c r="BH465" s="1021"/>
      <c r="BI465" s="1021"/>
      <c r="BJ465" s="1021"/>
      <c r="BK465" s="1021"/>
      <c r="BL465" s="1021"/>
      <c r="BM465" s="1021"/>
      <c r="BN465" s="1021"/>
      <c r="BO465" s="1021"/>
      <c r="BP465" s="1021"/>
      <c r="BQ465" s="1021"/>
      <c r="BR465" s="1021"/>
      <c r="BS465" s="1021"/>
      <c r="BT465" s="1021"/>
      <c r="BU465" s="1021"/>
      <c r="BV465" s="1021"/>
      <c r="BW465" s="1021"/>
      <c r="BX465" s="1021"/>
      <c r="BY465" s="1021"/>
      <c r="BZ465" s="1021"/>
      <c r="CA465" s="1021"/>
      <c r="CB465" s="1021"/>
      <c r="CC465" s="1021"/>
    </row>
    <row r="466" spans="8:81" x14ac:dyDescent="0.25">
      <c r="H466" s="1021"/>
      <c r="I466" s="1021"/>
      <c r="J466" s="1021"/>
      <c r="K466" s="1021"/>
      <c r="L466" s="1021"/>
      <c r="M466" s="1021"/>
      <c r="N466" s="1021"/>
      <c r="O466" s="1021"/>
      <c r="P466" s="1021"/>
      <c r="Q466" s="1021"/>
      <c r="R466" s="1021"/>
      <c r="S466" s="1021"/>
      <c r="T466" s="1021"/>
      <c r="U466" s="1021"/>
      <c r="V466" s="1021"/>
      <c r="W466" s="1021"/>
      <c r="X466" s="1021"/>
      <c r="Y466" s="1021"/>
      <c r="Z466" s="1021"/>
      <c r="AA466" s="1021"/>
      <c r="AB466" s="1021"/>
      <c r="AC466" s="1021"/>
      <c r="AD466" s="1021"/>
      <c r="AE466" s="1021"/>
      <c r="AF466" s="1021"/>
      <c r="AG466" s="1021"/>
      <c r="AH466" s="1021"/>
      <c r="AI466" s="1021"/>
      <c r="AJ466" s="1021"/>
      <c r="AK466" s="1021"/>
      <c r="AL466" s="1021"/>
      <c r="AM466" s="1021"/>
      <c r="AN466" s="1021"/>
      <c r="AO466" s="1021"/>
      <c r="AP466" s="1021"/>
      <c r="AQ466" s="1021"/>
      <c r="AR466" s="1021"/>
      <c r="AS466" s="1021"/>
      <c r="AT466" s="1021"/>
      <c r="AU466" s="1021"/>
      <c r="AV466" s="1021"/>
      <c r="AW466" s="1021"/>
      <c r="AX466" s="1021"/>
      <c r="AY466" s="1021"/>
      <c r="AZ466" s="1021"/>
      <c r="BA466" s="1021"/>
      <c r="BB466" s="1021"/>
      <c r="BC466" s="1021"/>
      <c r="BD466" s="1021"/>
      <c r="BE466" s="1021"/>
      <c r="BF466" s="1021"/>
      <c r="BG466" s="1021"/>
      <c r="BH466" s="1021"/>
      <c r="BI466" s="1021"/>
      <c r="BJ466" s="1021"/>
      <c r="BK466" s="1021"/>
      <c r="BL466" s="1021"/>
      <c r="BM466" s="1021"/>
      <c r="BN466" s="1021"/>
      <c r="BO466" s="1021"/>
      <c r="BP466" s="1021"/>
      <c r="BQ466" s="1021"/>
      <c r="BR466" s="1021"/>
      <c r="BS466" s="1021"/>
      <c r="BT466" s="1021"/>
      <c r="BU466" s="1021"/>
      <c r="BV466" s="1021"/>
      <c r="BW466" s="1021"/>
      <c r="BX466" s="1021"/>
      <c r="BY466" s="1021"/>
      <c r="BZ466" s="1021"/>
      <c r="CA466" s="1021"/>
      <c r="CB466" s="1021"/>
      <c r="CC466" s="1021"/>
    </row>
    <row r="467" spans="8:81" x14ac:dyDescent="0.25">
      <c r="H467" s="1021"/>
      <c r="I467" s="1021"/>
      <c r="J467" s="1021"/>
      <c r="K467" s="1021"/>
      <c r="L467" s="1021"/>
      <c r="M467" s="1021"/>
      <c r="N467" s="1021"/>
      <c r="O467" s="1021"/>
      <c r="P467" s="1021"/>
      <c r="Q467" s="1021"/>
      <c r="R467" s="1021"/>
      <c r="S467" s="1021"/>
      <c r="T467" s="1021"/>
      <c r="U467" s="1021"/>
      <c r="V467" s="1021"/>
      <c r="W467" s="1021"/>
      <c r="X467" s="1021"/>
      <c r="Y467" s="1021"/>
      <c r="Z467" s="1021"/>
      <c r="AA467" s="1021"/>
      <c r="AB467" s="1021"/>
      <c r="AC467" s="1021"/>
      <c r="AD467" s="1021"/>
      <c r="AE467" s="1021"/>
      <c r="AF467" s="1021"/>
      <c r="AG467" s="1021"/>
      <c r="AH467" s="1021"/>
      <c r="AI467" s="1021"/>
      <c r="AJ467" s="1021"/>
      <c r="AK467" s="1021"/>
      <c r="AL467" s="1021"/>
      <c r="AM467" s="1021"/>
      <c r="AN467" s="1021"/>
      <c r="AO467" s="1021"/>
      <c r="AP467" s="1021"/>
      <c r="AQ467" s="1021"/>
      <c r="AR467" s="1021"/>
      <c r="AS467" s="1021"/>
      <c r="AT467" s="1021"/>
      <c r="AU467" s="1021"/>
      <c r="AV467" s="1021"/>
      <c r="AW467" s="1021"/>
      <c r="AX467" s="1021"/>
      <c r="AY467" s="1021"/>
      <c r="AZ467" s="1021"/>
      <c r="BA467" s="1021"/>
      <c r="BB467" s="1021"/>
      <c r="BC467" s="1021"/>
      <c r="BD467" s="1021"/>
      <c r="BE467" s="1021"/>
      <c r="BF467" s="1021"/>
      <c r="BG467" s="1021"/>
      <c r="BH467" s="1021"/>
      <c r="BI467" s="1021"/>
      <c r="BJ467" s="1021"/>
      <c r="BK467" s="1021"/>
      <c r="BL467" s="1021"/>
      <c r="BM467" s="1021"/>
      <c r="BN467" s="1021"/>
      <c r="BO467" s="1021"/>
      <c r="BP467" s="1021"/>
      <c r="BQ467" s="1021"/>
      <c r="BR467" s="1021"/>
      <c r="BS467" s="1021"/>
      <c r="BT467" s="1021"/>
      <c r="BU467" s="1021"/>
      <c r="BV467" s="1021"/>
      <c r="BW467" s="1021"/>
      <c r="BX467" s="1021"/>
      <c r="BY467" s="1021"/>
      <c r="BZ467" s="1021"/>
      <c r="CA467" s="1021"/>
      <c r="CB467" s="1021"/>
      <c r="CC467" s="1021"/>
    </row>
    <row r="468" spans="8:81" x14ac:dyDescent="0.25">
      <c r="H468" s="1021"/>
      <c r="I468" s="1021"/>
      <c r="J468" s="1021"/>
      <c r="K468" s="1021"/>
      <c r="L468" s="1021"/>
      <c r="M468" s="1021"/>
      <c r="N468" s="1021"/>
      <c r="O468" s="1021"/>
      <c r="P468" s="1021"/>
      <c r="Q468" s="1021"/>
      <c r="R468" s="1021"/>
      <c r="S468" s="1021"/>
      <c r="T468" s="1021"/>
      <c r="U468" s="1021"/>
      <c r="V468" s="1021"/>
      <c r="W468" s="1021"/>
      <c r="X468" s="1021"/>
      <c r="Y468" s="1021"/>
      <c r="Z468" s="1021"/>
      <c r="AA468" s="1021"/>
      <c r="AB468" s="1021"/>
      <c r="AC468" s="1021"/>
      <c r="AD468" s="1021"/>
      <c r="AE468" s="1021"/>
      <c r="AF468" s="1021"/>
      <c r="AG468" s="1021"/>
      <c r="AH468" s="1021"/>
      <c r="AI468" s="1021"/>
      <c r="AJ468" s="1021"/>
      <c r="AK468" s="1021"/>
      <c r="AL468" s="1021"/>
      <c r="AM468" s="1021"/>
      <c r="AN468" s="1021"/>
      <c r="AO468" s="1021"/>
      <c r="AP468" s="1021"/>
      <c r="AQ468" s="1021"/>
      <c r="AR468" s="1021"/>
      <c r="AS468" s="1021"/>
      <c r="AT468" s="1021"/>
      <c r="AU468" s="1021"/>
      <c r="AV468" s="1021"/>
      <c r="AW468" s="1021"/>
      <c r="AX468" s="1021"/>
      <c r="AY468" s="1021"/>
      <c r="AZ468" s="1021"/>
      <c r="BA468" s="1021"/>
      <c r="BB468" s="1021"/>
      <c r="BC468" s="1021"/>
      <c r="BD468" s="1021"/>
      <c r="BE468" s="1021"/>
      <c r="BF468" s="1021"/>
      <c r="BG468" s="1021"/>
      <c r="BH468" s="1021"/>
      <c r="BI468" s="1021"/>
      <c r="BJ468" s="1021"/>
      <c r="BK468" s="1021"/>
      <c r="BL468" s="1021"/>
      <c r="BM468" s="1021"/>
      <c r="BN468" s="1021"/>
      <c r="BO468" s="1021"/>
      <c r="BP468" s="1021"/>
      <c r="BQ468" s="1021"/>
      <c r="BR468" s="1021"/>
      <c r="BS468" s="1021"/>
      <c r="BT468" s="1021"/>
      <c r="BU468" s="1021"/>
      <c r="BV468" s="1021"/>
      <c r="BW468" s="1021"/>
      <c r="BX468" s="1021"/>
      <c r="BY468" s="1021"/>
      <c r="BZ468" s="1021"/>
      <c r="CA468" s="1021"/>
      <c r="CB468" s="1021"/>
      <c r="CC468" s="1021"/>
    </row>
    <row r="469" spans="8:81" x14ac:dyDescent="0.25">
      <c r="H469" s="1021"/>
      <c r="I469" s="1021"/>
      <c r="J469" s="1021"/>
      <c r="K469" s="1021"/>
      <c r="L469" s="1021"/>
      <c r="M469" s="1021"/>
      <c r="N469" s="1021"/>
      <c r="O469" s="1021"/>
      <c r="P469" s="1021"/>
      <c r="Q469" s="1021"/>
      <c r="R469" s="1021"/>
      <c r="S469" s="1021"/>
      <c r="T469" s="1021"/>
      <c r="U469" s="1021"/>
      <c r="V469" s="1021"/>
      <c r="W469" s="1021"/>
      <c r="X469" s="1021"/>
      <c r="Y469" s="1021"/>
      <c r="Z469" s="1021"/>
      <c r="AA469" s="1021"/>
      <c r="AB469" s="1021"/>
      <c r="AC469" s="1021"/>
      <c r="AD469" s="1021"/>
      <c r="AE469" s="1021"/>
      <c r="AF469" s="1021"/>
      <c r="AG469" s="1021"/>
      <c r="AH469" s="1021"/>
      <c r="AI469" s="1021"/>
      <c r="AJ469" s="1021"/>
      <c r="AK469" s="1021"/>
      <c r="AL469" s="1021"/>
      <c r="AM469" s="1021"/>
      <c r="AN469" s="1021"/>
      <c r="AO469" s="1021"/>
      <c r="AP469" s="1021"/>
      <c r="AQ469" s="1021"/>
      <c r="AR469" s="1021"/>
      <c r="AS469" s="1021"/>
      <c r="AT469" s="1021"/>
      <c r="AU469" s="1021"/>
      <c r="AV469" s="1021"/>
      <c r="AW469" s="1021"/>
      <c r="AX469" s="1021"/>
      <c r="AY469" s="1021"/>
      <c r="AZ469" s="1021"/>
      <c r="BA469" s="1021"/>
      <c r="BB469" s="1021"/>
      <c r="BC469" s="1021"/>
      <c r="BD469" s="1021"/>
      <c r="BE469" s="1021"/>
      <c r="BF469" s="1021"/>
      <c r="BG469" s="1021"/>
      <c r="BH469" s="1021"/>
      <c r="BI469" s="1021"/>
      <c r="BJ469" s="1021"/>
      <c r="BK469" s="1021"/>
      <c r="BL469" s="1021"/>
      <c r="BM469" s="1021"/>
      <c r="BN469" s="1021"/>
      <c r="BO469" s="1021"/>
      <c r="BP469" s="1021"/>
      <c r="BQ469" s="1021"/>
      <c r="BR469" s="1021"/>
      <c r="BS469" s="1021"/>
      <c r="BT469" s="1021"/>
      <c r="BU469" s="1021"/>
      <c r="BV469" s="1021"/>
      <c r="BW469" s="1021"/>
      <c r="BX469" s="1021"/>
      <c r="BY469" s="1021"/>
      <c r="BZ469" s="1021"/>
      <c r="CA469" s="1021"/>
      <c r="CB469" s="1021"/>
      <c r="CC469" s="1021"/>
    </row>
    <row r="470" spans="8:81" x14ac:dyDescent="0.25">
      <c r="H470" s="1021"/>
      <c r="I470" s="1021"/>
      <c r="J470" s="1021"/>
      <c r="K470" s="1021"/>
      <c r="L470" s="1021"/>
      <c r="M470" s="1021"/>
      <c r="N470" s="1021"/>
      <c r="O470" s="1021"/>
      <c r="P470" s="1021"/>
      <c r="Q470" s="1021"/>
      <c r="R470" s="1021"/>
      <c r="S470" s="1021"/>
      <c r="T470" s="1021"/>
      <c r="U470" s="1021"/>
      <c r="V470" s="1021"/>
      <c r="W470" s="1021"/>
      <c r="X470" s="1021"/>
      <c r="Y470" s="1021"/>
      <c r="Z470" s="1021"/>
      <c r="AA470" s="1021"/>
      <c r="AB470" s="1021"/>
      <c r="AC470" s="1021"/>
      <c r="AD470" s="1021"/>
      <c r="AE470" s="1021"/>
      <c r="AF470" s="1021"/>
      <c r="AG470" s="1021"/>
      <c r="AH470" s="1021"/>
      <c r="AI470" s="1021"/>
      <c r="AJ470" s="1021"/>
      <c r="AK470" s="1021"/>
      <c r="AL470" s="1021"/>
      <c r="AM470" s="1021"/>
      <c r="AN470" s="1021"/>
      <c r="AO470" s="1021"/>
      <c r="AP470" s="1021"/>
      <c r="AQ470" s="1021"/>
      <c r="AR470" s="1021"/>
      <c r="AS470" s="1021"/>
      <c r="AT470" s="1021"/>
      <c r="AU470" s="1021"/>
      <c r="AV470" s="1021"/>
      <c r="AW470" s="1021"/>
      <c r="AX470" s="1021"/>
      <c r="AY470" s="1021"/>
      <c r="AZ470" s="1021"/>
      <c r="BA470" s="1021"/>
      <c r="BB470" s="1021"/>
      <c r="BC470" s="1021"/>
      <c r="BD470" s="1021"/>
      <c r="BE470" s="1021"/>
      <c r="BF470" s="1021"/>
      <c r="BG470" s="1021"/>
      <c r="BH470" s="1021"/>
      <c r="BI470" s="1021"/>
      <c r="BJ470" s="1021"/>
      <c r="BK470" s="1021"/>
      <c r="BL470" s="1021"/>
      <c r="BM470" s="1021"/>
      <c r="BN470" s="1021"/>
      <c r="BO470" s="1021"/>
      <c r="BP470" s="1021"/>
      <c r="BQ470" s="1021"/>
      <c r="BR470" s="1021"/>
      <c r="BS470" s="1021"/>
      <c r="BT470" s="1021"/>
      <c r="BU470" s="1021"/>
      <c r="BV470" s="1021"/>
      <c r="BW470" s="1021"/>
      <c r="BX470" s="1021"/>
      <c r="BY470" s="1021"/>
      <c r="BZ470" s="1021"/>
      <c r="CA470" s="1021"/>
      <c r="CB470" s="1021"/>
      <c r="CC470" s="1021"/>
    </row>
    <row r="471" spans="8:81" x14ac:dyDescent="0.25">
      <c r="H471" s="1021"/>
      <c r="I471" s="1021"/>
      <c r="J471" s="1021"/>
      <c r="K471" s="1021"/>
      <c r="L471" s="1021"/>
      <c r="M471" s="1021"/>
      <c r="N471" s="1021"/>
      <c r="O471" s="1021"/>
      <c r="P471" s="1021"/>
      <c r="Q471" s="1021"/>
      <c r="R471" s="1021"/>
      <c r="S471" s="1021"/>
      <c r="T471" s="1021"/>
      <c r="U471" s="1021"/>
      <c r="V471" s="1021"/>
      <c r="W471" s="1021"/>
      <c r="X471" s="1021"/>
      <c r="Y471" s="1021"/>
      <c r="Z471" s="1021"/>
      <c r="AA471" s="1021"/>
      <c r="AB471" s="1021"/>
      <c r="AC471" s="1021"/>
      <c r="AD471" s="1021"/>
      <c r="AE471" s="1021"/>
      <c r="AF471" s="1021"/>
      <c r="AG471" s="1021"/>
      <c r="AH471" s="1021"/>
      <c r="AI471" s="1021"/>
      <c r="AJ471" s="1021"/>
      <c r="AK471" s="1021"/>
      <c r="AL471" s="1021"/>
      <c r="AM471" s="1021"/>
      <c r="AN471" s="1021"/>
      <c r="AO471" s="1021"/>
      <c r="AP471" s="1021"/>
      <c r="AQ471" s="1021"/>
      <c r="AR471" s="1021"/>
      <c r="AS471" s="1021"/>
      <c r="AT471" s="1021"/>
      <c r="AU471" s="1021"/>
      <c r="AV471" s="1021"/>
      <c r="AW471" s="1021"/>
      <c r="AX471" s="1021"/>
      <c r="AY471" s="1021"/>
      <c r="AZ471" s="1021"/>
      <c r="BA471" s="1021"/>
      <c r="BB471" s="1021"/>
      <c r="BC471" s="1021"/>
      <c r="BD471" s="1021"/>
      <c r="BE471" s="1021"/>
      <c r="BF471" s="1021"/>
      <c r="BG471" s="1021"/>
      <c r="BH471" s="1021"/>
      <c r="BI471" s="1021"/>
      <c r="BJ471" s="1021"/>
      <c r="BK471" s="1021"/>
      <c r="BL471" s="1021"/>
      <c r="BM471" s="1021"/>
      <c r="BN471" s="1021"/>
      <c r="BO471" s="1021"/>
      <c r="BP471" s="1021"/>
      <c r="BQ471" s="1021"/>
      <c r="BR471" s="1021"/>
      <c r="BS471" s="1021"/>
      <c r="BT471" s="1021"/>
      <c r="BU471" s="1021"/>
      <c r="BV471" s="1021"/>
      <c r="BW471" s="1021"/>
      <c r="BX471" s="1021"/>
      <c r="BY471" s="1021"/>
      <c r="BZ471" s="1021"/>
      <c r="CA471" s="1021"/>
      <c r="CB471" s="1021"/>
      <c r="CC471" s="1021"/>
    </row>
    <row r="472" spans="8:81" x14ac:dyDescent="0.25">
      <c r="H472" s="1021"/>
      <c r="I472" s="1021"/>
      <c r="J472" s="1021"/>
      <c r="K472" s="1021"/>
      <c r="L472" s="1021"/>
      <c r="M472" s="1021"/>
      <c r="N472" s="1021"/>
      <c r="O472" s="1021"/>
      <c r="P472" s="1021"/>
      <c r="Q472" s="1021"/>
      <c r="R472" s="1021"/>
      <c r="S472" s="1021"/>
      <c r="T472" s="1021"/>
      <c r="U472" s="1021"/>
      <c r="V472" s="1021"/>
      <c r="W472" s="1021"/>
      <c r="X472" s="1021"/>
      <c r="Y472" s="1021"/>
      <c r="Z472" s="1021"/>
      <c r="AA472" s="1021"/>
      <c r="AB472" s="1021"/>
      <c r="AC472" s="1021"/>
      <c r="AD472" s="1021"/>
      <c r="AE472" s="1021"/>
      <c r="AF472" s="1021"/>
      <c r="AG472" s="1021"/>
      <c r="AH472" s="1021"/>
      <c r="AI472" s="1021"/>
      <c r="AJ472" s="1021"/>
      <c r="AK472" s="1021"/>
      <c r="AL472" s="1021"/>
      <c r="AM472" s="1021"/>
      <c r="AN472" s="1021"/>
      <c r="AO472" s="1021"/>
      <c r="AP472" s="1021"/>
      <c r="AQ472" s="1021"/>
      <c r="AR472" s="1021"/>
      <c r="AS472" s="1021"/>
      <c r="AT472" s="1021"/>
      <c r="AU472" s="1021"/>
      <c r="AV472" s="1021"/>
      <c r="AW472" s="1021"/>
      <c r="AX472" s="1021"/>
      <c r="AY472" s="1021"/>
      <c r="AZ472" s="1021"/>
      <c r="BA472" s="1021"/>
      <c r="BB472" s="1021"/>
      <c r="BC472" s="1021"/>
      <c r="BD472" s="1021"/>
      <c r="BE472" s="1021"/>
      <c r="BF472" s="1021"/>
      <c r="BG472" s="1021"/>
      <c r="BH472" s="1021"/>
      <c r="BI472" s="1021"/>
      <c r="BJ472" s="1021"/>
      <c r="BK472" s="1021"/>
      <c r="BL472" s="1021"/>
      <c r="BM472" s="1021"/>
      <c r="BN472" s="1021"/>
      <c r="BO472" s="1021"/>
      <c r="BP472" s="1021"/>
      <c r="BQ472" s="1021"/>
      <c r="BR472" s="1021"/>
      <c r="BS472" s="1021"/>
      <c r="BT472" s="1021"/>
      <c r="BU472" s="1021"/>
      <c r="BV472" s="1021"/>
      <c r="BW472" s="1021"/>
      <c r="BX472" s="1021"/>
      <c r="BY472" s="1021"/>
      <c r="BZ472" s="1021"/>
      <c r="CA472" s="1021"/>
      <c r="CB472" s="1021"/>
      <c r="CC472" s="1021"/>
    </row>
    <row r="473" spans="8:81" x14ac:dyDescent="0.25">
      <c r="H473" s="1021"/>
      <c r="I473" s="1021"/>
      <c r="J473" s="1021"/>
      <c r="K473" s="1021"/>
      <c r="L473" s="1021"/>
      <c r="M473" s="1021"/>
      <c r="N473" s="1021"/>
      <c r="O473" s="1021"/>
      <c r="P473" s="1021"/>
      <c r="Q473" s="1021"/>
      <c r="R473" s="1021"/>
      <c r="S473" s="1021"/>
      <c r="T473" s="1021"/>
      <c r="U473" s="1021"/>
      <c r="V473" s="1021"/>
      <c r="W473" s="1021"/>
      <c r="X473" s="1021"/>
      <c r="Y473" s="1021"/>
      <c r="Z473" s="1021"/>
      <c r="AA473" s="1021"/>
      <c r="AB473" s="1021"/>
      <c r="AC473" s="1021"/>
      <c r="AD473" s="1021"/>
      <c r="AE473" s="1021"/>
      <c r="AF473" s="1021"/>
      <c r="AG473" s="1021"/>
      <c r="AH473" s="1021"/>
      <c r="AI473" s="1021"/>
      <c r="AJ473" s="1021"/>
      <c r="AK473" s="1021"/>
      <c r="AL473" s="1021"/>
      <c r="AM473" s="1021"/>
      <c r="AN473" s="1021"/>
      <c r="AO473" s="1021"/>
      <c r="AP473" s="1021"/>
      <c r="AQ473" s="1021"/>
      <c r="AR473" s="1021"/>
      <c r="AS473" s="1021"/>
      <c r="AT473" s="1021"/>
      <c r="AU473" s="1021"/>
      <c r="AV473" s="1021"/>
      <c r="AW473" s="1021"/>
      <c r="AX473" s="1021"/>
      <c r="AY473" s="1021"/>
      <c r="AZ473" s="1021"/>
      <c r="BA473" s="1021"/>
      <c r="BB473" s="1021"/>
      <c r="BC473" s="1021"/>
      <c r="BD473" s="1021"/>
      <c r="BE473" s="1021"/>
      <c r="BF473" s="1021"/>
      <c r="BG473" s="1021"/>
      <c r="BH473" s="1021"/>
      <c r="BI473" s="1021"/>
      <c r="BJ473" s="1021"/>
      <c r="BK473" s="1021"/>
      <c r="BL473" s="1021"/>
      <c r="BM473" s="1021"/>
      <c r="BN473" s="1021"/>
      <c r="BO473" s="1021"/>
      <c r="BP473" s="1021"/>
      <c r="BQ473" s="1021"/>
      <c r="BR473" s="1021"/>
      <c r="BS473" s="1021"/>
      <c r="BT473" s="1021"/>
      <c r="BU473" s="1021"/>
      <c r="BV473" s="1021"/>
      <c r="BW473" s="1021"/>
      <c r="BX473" s="1021"/>
      <c r="BY473" s="1021"/>
      <c r="BZ473" s="1021"/>
      <c r="CA473" s="1021"/>
      <c r="CB473" s="1021"/>
      <c r="CC473" s="1021"/>
    </row>
    <row r="474" spans="8:81" x14ac:dyDescent="0.25">
      <c r="H474" s="1021"/>
      <c r="I474" s="1021"/>
      <c r="J474" s="1021"/>
      <c r="K474" s="1021"/>
      <c r="L474" s="1021"/>
      <c r="M474" s="1021"/>
      <c r="N474" s="1021"/>
      <c r="O474" s="1021"/>
      <c r="P474" s="1021"/>
      <c r="Q474" s="1021"/>
      <c r="R474" s="1021"/>
      <c r="S474" s="1021"/>
      <c r="T474" s="1021"/>
      <c r="U474" s="1021"/>
      <c r="V474" s="1021"/>
      <c r="W474" s="1021"/>
      <c r="X474" s="1021"/>
      <c r="Y474" s="1021"/>
      <c r="Z474" s="1021"/>
      <c r="AA474" s="1021"/>
      <c r="AB474" s="1021"/>
      <c r="AC474" s="1021"/>
      <c r="AD474" s="1021"/>
      <c r="AE474" s="1021"/>
      <c r="AF474" s="1021"/>
      <c r="AG474" s="1021"/>
      <c r="AH474" s="1021"/>
      <c r="AI474" s="1021"/>
      <c r="AJ474" s="1021"/>
      <c r="AK474" s="1021"/>
      <c r="AL474" s="1021"/>
      <c r="AM474" s="1021"/>
      <c r="AN474" s="1021"/>
      <c r="AO474" s="1021"/>
      <c r="AP474" s="1021"/>
      <c r="AQ474" s="1021"/>
      <c r="AR474" s="1021"/>
      <c r="AS474" s="1021"/>
      <c r="AT474" s="1021"/>
      <c r="AU474" s="1021"/>
      <c r="AV474" s="1021"/>
      <c r="AW474" s="1021"/>
      <c r="AX474" s="1021"/>
      <c r="AY474" s="1021"/>
      <c r="AZ474" s="1021"/>
      <c r="BA474" s="1021"/>
      <c r="BB474" s="1021"/>
      <c r="BC474" s="1021"/>
      <c r="BD474" s="1021"/>
      <c r="BE474" s="1021"/>
      <c r="BF474" s="1021"/>
      <c r="BG474" s="1021"/>
      <c r="BH474" s="1021"/>
      <c r="BI474" s="1021"/>
      <c r="BJ474" s="1021"/>
      <c r="BK474" s="1021"/>
      <c r="BL474" s="1021"/>
      <c r="BM474" s="1021"/>
      <c r="BN474" s="1021"/>
      <c r="BO474" s="1021"/>
      <c r="BP474" s="1021"/>
      <c r="BQ474" s="1021"/>
      <c r="BR474" s="1021"/>
      <c r="BS474" s="1021"/>
      <c r="BT474" s="1021"/>
      <c r="BU474" s="1021"/>
      <c r="BV474" s="1021"/>
      <c r="BW474" s="1021"/>
      <c r="BX474" s="1021"/>
      <c r="BY474" s="1021"/>
      <c r="BZ474" s="1021"/>
      <c r="CA474" s="1021"/>
      <c r="CB474" s="1021"/>
      <c r="CC474" s="1021"/>
    </row>
    <row r="475" spans="8:81" x14ac:dyDescent="0.25">
      <c r="H475" s="1021"/>
      <c r="I475" s="1021"/>
      <c r="J475" s="1021"/>
      <c r="K475" s="1021"/>
      <c r="L475" s="1021"/>
      <c r="M475" s="1021"/>
      <c r="N475" s="1021"/>
      <c r="O475" s="1021"/>
      <c r="P475" s="1021"/>
      <c r="Q475" s="1021"/>
      <c r="R475" s="1021"/>
      <c r="S475" s="1021"/>
      <c r="T475" s="1021"/>
      <c r="U475" s="1021"/>
      <c r="V475" s="1021"/>
      <c r="W475" s="1021"/>
      <c r="X475" s="1021"/>
      <c r="Y475" s="1021"/>
      <c r="Z475" s="1021"/>
      <c r="AA475" s="1021"/>
      <c r="AB475" s="1021"/>
      <c r="AC475" s="1021"/>
      <c r="AD475" s="1021"/>
      <c r="AE475" s="1021"/>
      <c r="AF475" s="1021"/>
      <c r="AG475" s="1021"/>
      <c r="AH475" s="1021"/>
      <c r="AI475" s="1021"/>
      <c r="AJ475" s="1021"/>
      <c r="AK475" s="1021"/>
      <c r="AL475" s="1021"/>
      <c r="AM475" s="1021"/>
      <c r="AN475" s="1021"/>
      <c r="AO475" s="1021"/>
      <c r="AP475" s="1021"/>
      <c r="AQ475" s="1021"/>
      <c r="AR475" s="1021"/>
      <c r="AS475" s="1021"/>
      <c r="AT475" s="1021"/>
      <c r="AU475" s="1021"/>
      <c r="AV475" s="1021"/>
      <c r="AW475" s="1021"/>
      <c r="AX475" s="1021"/>
      <c r="AY475" s="1021"/>
      <c r="AZ475" s="1021"/>
      <c r="BA475" s="1021"/>
      <c r="BB475" s="1021"/>
      <c r="BC475" s="1021"/>
      <c r="BD475" s="1021"/>
      <c r="BE475" s="1021"/>
      <c r="BF475" s="1021"/>
      <c r="BG475" s="1021"/>
      <c r="BH475" s="1021"/>
      <c r="BI475" s="1021"/>
      <c r="BJ475" s="1021"/>
      <c r="BK475" s="1021"/>
      <c r="BL475" s="1021"/>
      <c r="BM475" s="1021"/>
      <c r="BN475" s="1021"/>
      <c r="BO475" s="1021"/>
      <c r="BP475" s="1021"/>
      <c r="BQ475" s="1021"/>
      <c r="BR475" s="1021"/>
      <c r="BS475" s="1021"/>
      <c r="BT475" s="1021"/>
      <c r="BU475" s="1021"/>
      <c r="BV475" s="1021"/>
      <c r="BW475" s="1021"/>
      <c r="BX475" s="1021"/>
      <c r="BY475" s="1021"/>
      <c r="BZ475" s="1021"/>
      <c r="CA475" s="1021"/>
      <c r="CB475" s="1021"/>
      <c r="CC475" s="1021"/>
    </row>
    <row r="476" spans="8:81" x14ac:dyDescent="0.25">
      <c r="H476" s="1021"/>
      <c r="I476" s="1021"/>
      <c r="J476" s="1021"/>
      <c r="K476" s="1021"/>
      <c r="L476" s="1021"/>
      <c r="M476" s="1021"/>
      <c r="N476" s="1021"/>
      <c r="O476" s="1021"/>
      <c r="P476" s="1021"/>
      <c r="Q476" s="1021"/>
      <c r="R476" s="1021"/>
      <c r="S476" s="1021"/>
      <c r="T476" s="1021"/>
      <c r="U476" s="1021"/>
      <c r="V476" s="1021"/>
      <c r="W476" s="1021"/>
      <c r="X476" s="1021"/>
      <c r="Y476" s="1021"/>
      <c r="Z476" s="1021"/>
      <c r="AA476" s="1021"/>
      <c r="AB476" s="1021"/>
      <c r="AC476" s="1021"/>
      <c r="AD476" s="1021"/>
      <c r="AE476" s="1021"/>
      <c r="AF476" s="1021"/>
      <c r="AG476" s="1021"/>
      <c r="AH476" s="1021"/>
      <c r="AI476" s="1021"/>
      <c r="AJ476" s="1021"/>
      <c r="AK476" s="1021"/>
      <c r="AL476" s="1021"/>
      <c r="AM476" s="1021"/>
      <c r="AN476" s="1021"/>
      <c r="AO476" s="1021"/>
      <c r="AP476" s="1021"/>
      <c r="AQ476" s="1021"/>
      <c r="AR476" s="1021"/>
      <c r="AS476" s="1021"/>
      <c r="AT476" s="1021"/>
      <c r="AU476" s="1021"/>
      <c r="AV476" s="1021"/>
      <c r="AW476" s="1021"/>
      <c r="AX476" s="1021"/>
      <c r="AY476" s="1021"/>
      <c r="AZ476" s="1021"/>
      <c r="BA476" s="1021"/>
      <c r="BB476" s="1021"/>
      <c r="BC476" s="1021"/>
      <c r="BD476" s="1021"/>
      <c r="BE476" s="1021"/>
      <c r="BF476" s="1021"/>
      <c r="BG476" s="1021"/>
      <c r="BH476" s="1021"/>
      <c r="BI476" s="1021"/>
      <c r="BJ476" s="1021"/>
      <c r="BK476" s="1021"/>
      <c r="BL476" s="1021"/>
      <c r="BM476" s="1021"/>
      <c r="BN476" s="1021"/>
      <c r="BO476" s="1021"/>
      <c r="BP476" s="1021"/>
      <c r="BQ476" s="1021"/>
      <c r="BR476" s="1021"/>
      <c r="BS476" s="1021"/>
      <c r="BT476" s="1021"/>
      <c r="BU476" s="1021"/>
      <c r="BV476" s="1021"/>
      <c r="BW476" s="1021"/>
      <c r="BX476" s="1021"/>
      <c r="BY476" s="1021"/>
      <c r="BZ476" s="1021"/>
      <c r="CA476" s="1021"/>
      <c r="CB476" s="1021"/>
      <c r="CC476" s="1021"/>
    </row>
    <row r="477" spans="8:81" x14ac:dyDescent="0.25">
      <c r="H477" s="1021"/>
      <c r="I477" s="1021"/>
      <c r="J477" s="1021"/>
      <c r="K477" s="1021"/>
      <c r="L477" s="1021"/>
      <c r="M477" s="1021"/>
      <c r="N477" s="1021"/>
      <c r="O477" s="1021"/>
      <c r="P477" s="1021"/>
      <c r="Q477" s="1021"/>
      <c r="R477" s="1021"/>
      <c r="S477" s="1021"/>
      <c r="T477" s="1021"/>
      <c r="U477" s="1021"/>
      <c r="V477" s="1021"/>
      <c r="W477" s="1021"/>
      <c r="X477" s="1021"/>
      <c r="Y477" s="1021"/>
      <c r="Z477" s="1021"/>
      <c r="AA477" s="1021"/>
      <c r="AB477" s="1021"/>
      <c r="AC477" s="1021"/>
      <c r="AD477" s="1021"/>
      <c r="AE477" s="1021"/>
      <c r="AF477" s="1021"/>
      <c r="AG477" s="1021"/>
      <c r="AH477" s="1021"/>
      <c r="AI477" s="1021"/>
      <c r="AJ477" s="1021"/>
      <c r="AK477" s="1021"/>
      <c r="AL477" s="1021"/>
      <c r="AM477" s="1021"/>
      <c r="AN477" s="1021"/>
      <c r="AO477" s="1021"/>
      <c r="AP477" s="1021"/>
      <c r="AQ477" s="1021"/>
      <c r="AR477" s="1021"/>
      <c r="AS477" s="1021"/>
      <c r="AT477" s="1021"/>
      <c r="AU477" s="1021"/>
      <c r="AV477" s="1021"/>
      <c r="AW477" s="1021"/>
      <c r="AX477" s="1021"/>
      <c r="AY477" s="1021"/>
      <c r="AZ477" s="1021"/>
      <c r="BA477" s="1021"/>
      <c r="BB477" s="1021"/>
      <c r="BC477" s="1021"/>
      <c r="BD477" s="1021"/>
      <c r="BE477" s="1021"/>
      <c r="BF477" s="1021"/>
      <c r="BG477" s="1021"/>
      <c r="BH477" s="1021"/>
      <c r="BI477" s="1021"/>
      <c r="BJ477" s="1021"/>
      <c r="BK477" s="1021"/>
      <c r="BL477" s="1021"/>
      <c r="BM477" s="1021"/>
      <c r="BN477" s="1021"/>
      <c r="BO477" s="1021"/>
      <c r="BP477" s="1021"/>
      <c r="BQ477" s="1021"/>
      <c r="BR477" s="1021"/>
      <c r="BS477" s="1021"/>
      <c r="BT477" s="1021"/>
      <c r="BU477" s="1021"/>
      <c r="BV477" s="1021"/>
      <c r="BW477" s="1021"/>
      <c r="BX477" s="1021"/>
      <c r="BY477" s="1021"/>
      <c r="BZ477" s="1021"/>
      <c r="CA477" s="1021"/>
      <c r="CB477" s="1021"/>
      <c r="CC477" s="1021"/>
    </row>
    <row r="478" spans="8:81" x14ac:dyDescent="0.25">
      <c r="H478" s="1021"/>
      <c r="I478" s="1021"/>
      <c r="J478" s="1021"/>
      <c r="K478" s="1021"/>
      <c r="L478" s="1021"/>
      <c r="M478" s="1021"/>
      <c r="N478" s="1021"/>
      <c r="O478" s="1021"/>
      <c r="P478" s="1021"/>
      <c r="Q478" s="1021"/>
      <c r="R478" s="1021"/>
      <c r="S478" s="1021"/>
      <c r="T478" s="1021"/>
      <c r="U478" s="1021"/>
      <c r="V478" s="1021"/>
      <c r="W478" s="1021"/>
      <c r="X478" s="1021"/>
      <c r="Y478" s="1021"/>
      <c r="Z478" s="1021"/>
      <c r="AA478" s="1021"/>
      <c r="AB478" s="1021"/>
      <c r="AC478" s="1021"/>
      <c r="AD478" s="1021"/>
      <c r="AE478" s="1021"/>
      <c r="AF478" s="1021"/>
      <c r="AG478" s="1021"/>
      <c r="AH478" s="1021"/>
      <c r="AI478" s="1021"/>
      <c r="AJ478" s="1021"/>
      <c r="AK478" s="1021"/>
      <c r="AL478" s="1021"/>
      <c r="AM478" s="1021"/>
      <c r="AN478" s="1021"/>
      <c r="AO478" s="1021"/>
      <c r="AP478" s="1021"/>
      <c r="AQ478" s="1021"/>
      <c r="AR478" s="1021"/>
      <c r="AS478" s="1021"/>
      <c r="AT478" s="1021"/>
      <c r="AU478" s="1021"/>
      <c r="AV478" s="1021"/>
      <c r="AW478" s="1021"/>
      <c r="AX478" s="1021"/>
      <c r="AY478" s="1021"/>
      <c r="AZ478" s="1021"/>
      <c r="BA478" s="1021"/>
      <c r="BB478" s="1021"/>
      <c r="BC478" s="1021"/>
      <c r="BD478" s="1021"/>
      <c r="BE478" s="1021"/>
      <c r="BF478" s="1021"/>
      <c r="BG478" s="1021"/>
      <c r="BH478" s="1021"/>
      <c r="BI478" s="1021"/>
      <c r="BJ478" s="1021"/>
      <c r="BK478" s="1021"/>
      <c r="BL478" s="1021"/>
      <c r="BM478" s="1021"/>
      <c r="BN478" s="1021"/>
      <c r="BO478" s="1021"/>
      <c r="BP478" s="1021"/>
      <c r="BQ478" s="1021"/>
      <c r="BR478" s="1021"/>
      <c r="BS478" s="1021"/>
      <c r="BT478" s="1021"/>
      <c r="BU478" s="1021"/>
      <c r="BV478" s="1021"/>
      <c r="BW478" s="1021"/>
      <c r="BX478" s="1021"/>
      <c r="BY478" s="1021"/>
      <c r="BZ478" s="1021"/>
      <c r="CA478" s="1021"/>
      <c r="CB478" s="1021"/>
      <c r="CC478" s="1021"/>
    </row>
    <row r="479" spans="8:81" x14ac:dyDescent="0.25">
      <c r="H479" s="1021"/>
      <c r="I479" s="1021"/>
      <c r="J479" s="1021"/>
      <c r="K479" s="1021"/>
      <c r="L479" s="1021"/>
      <c r="M479" s="1021"/>
      <c r="N479" s="1021"/>
      <c r="O479" s="1021"/>
      <c r="P479" s="1021"/>
      <c r="Q479" s="1021"/>
      <c r="R479" s="1021"/>
      <c r="S479" s="1021"/>
      <c r="T479" s="1021"/>
      <c r="U479" s="1021"/>
      <c r="V479" s="1021"/>
      <c r="W479" s="1021"/>
      <c r="X479" s="1021"/>
      <c r="Y479" s="1021"/>
      <c r="Z479" s="1021"/>
      <c r="AA479" s="1021"/>
      <c r="AB479" s="1021"/>
      <c r="AC479" s="1021"/>
      <c r="AD479" s="1021"/>
      <c r="AE479" s="1021"/>
      <c r="AF479" s="1021"/>
      <c r="AG479" s="1021"/>
      <c r="AH479" s="1021"/>
      <c r="AI479" s="1021"/>
      <c r="AJ479" s="1021"/>
      <c r="AK479" s="1021"/>
      <c r="AL479" s="1021"/>
      <c r="AM479" s="1021"/>
      <c r="AN479" s="1021"/>
      <c r="AO479" s="1021"/>
      <c r="AP479" s="1021"/>
      <c r="AQ479" s="1021"/>
      <c r="AR479" s="1021"/>
      <c r="AS479" s="1021"/>
      <c r="AT479" s="1021"/>
      <c r="AU479" s="1021"/>
      <c r="AV479" s="1021"/>
      <c r="AW479" s="1021"/>
      <c r="AX479" s="1021"/>
      <c r="AY479" s="1021"/>
      <c r="AZ479" s="1021"/>
      <c r="BA479" s="1021"/>
      <c r="BB479" s="1021"/>
      <c r="BC479" s="1021"/>
      <c r="BD479" s="1021"/>
      <c r="BE479" s="1021"/>
      <c r="BF479" s="1021"/>
      <c r="BG479" s="1021"/>
      <c r="BH479" s="1021"/>
      <c r="BI479" s="1021"/>
      <c r="BJ479" s="1021"/>
      <c r="BK479" s="1021"/>
      <c r="BL479" s="1021"/>
      <c r="BM479" s="1021"/>
      <c r="BN479" s="1021"/>
      <c r="BO479" s="1021"/>
      <c r="BP479" s="1021"/>
      <c r="BQ479" s="1021"/>
      <c r="BR479" s="1021"/>
      <c r="BS479" s="1021"/>
      <c r="BT479" s="1021"/>
      <c r="BU479" s="1021"/>
      <c r="BV479" s="1021"/>
      <c r="BW479" s="1021"/>
      <c r="BX479" s="1021"/>
      <c r="BY479" s="1021"/>
      <c r="BZ479" s="1021"/>
      <c r="CA479" s="1021"/>
      <c r="CB479" s="1021"/>
      <c r="CC479" s="1021"/>
    </row>
    <row r="480" spans="8:81" x14ac:dyDescent="0.25">
      <c r="H480" s="1021"/>
      <c r="I480" s="1021"/>
      <c r="J480" s="1021"/>
      <c r="K480" s="1021"/>
      <c r="L480" s="1021"/>
      <c r="M480" s="1021"/>
      <c r="N480" s="1021"/>
      <c r="O480" s="1021"/>
      <c r="P480" s="1021"/>
      <c r="Q480" s="1021"/>
      <c r="R480" s="1021"/>
      <c r="S480" s="1021"/>
      <c r="T480" s="1021"/>
      <c r="U480" s="1021"/>
      <c r="V480" s="1021"/>
      <c r="W480" s="1021"/>
      <c r="X480" s="1021"/>
      <c r="Y480" s="1021"/>
      <c r="Z480" s="1021"/>
      <c r="AA480" s="1021"/>
      <c r="AB480" s="1021"/>
      <c r="AC480" s="1021"/>
      <c r="AD480" s="1021"/>
      <c r="AE480" s="1021"/>
      <c r="AF480" s="1021"/>
      <c r="AG480" s="1021"/>
      <c r="AH480" s="1021"/>
      <c r="AI480" s="1021"/>
      <c r="AJ480" s="1021"/>
      <c r="AK480" s="1021"/>
      <c r="AL480" s="1021"/>
      <c r="AM480" s="1021"/>
      <c r="AN480" s="1021"/>
      <c r="AO480" s="1021"/>
      <c r="AP480" s="1021"/>
      <c r="AQ480" s="1021"/>
      <c r="AR480" s="1021"/>
      <c r="AS480" s="1021"/>
      <c r="AT480" s="1021"/>
      <c r="AU480" s="1021"/>
      <c r="AV480" s="1021"/>
      <c r="AW480" s="1021"/>
      <c r="AX480" s="1021"/>
      <c r="AY480" s="1021"/>
      <c r="AZ480" s="1021"/>
      <c r="BA480" s="1021"/>
      <c r="BB480" s="1021"/>
      <c r="BC480" s="1021"/>
      <c r="BD480" s="1021"/>
      <c r="BE480" s="1021"/>
      <c r="BF480" s="1021"/>
      <c r="BG480" s="1021"/>
      <c r="BH480" s="1021"/>
      <c r="BI480" s="1021"/>
      <c r="BJ480" s="1021"/>
      <c r="BK480" s="1021"/>
      <c r="BL480" s="1021"/>
      <c r="BM480" s="1021"/>
      <c r="BN480" s="1021"/>
      <c r="BO480" s="1021"/>
      <c r="BP480" s="1021"/>
      <c r="BQ480" s="1021"/>
      <c r="BR480" s="1021"/>
      <c r="BS480" s="1021"/>
      <c r="BT480" s="1021"/>
      <c r="BU480" s="1021"/>
      <c r="BV480" s="1021"/>
      <c r="BW480" s="1021"/>
      <c r="BX480" s="1021"/>
      <c r="BY480" s="1021"/>
      <c r="BZ480" s="1021"/>
      <c r="CA480" s="1021"/>
      <c r="CB480" s="1021"/>
      <c r="CC480" s="1021"/>
    </row>
    <row r="481" spans="8:81" x14ac:dyDescent="0.25">
      <c r="H481" s="1021"/>
      <c r="I481" s="1021"/>
      <c r="J481" s="1021"/>
      <c r="K481" s="1021"/>
      <c r="L481" s="1021"/>
      <c r="M481" s="1021"/>
      <c r="N481" s="1021"/>
      <c r="O481" s="1021"/>
      <c r="P481" s="1021"/>
      <c r="Q481" s="1021"/>
      <c r="R481" s="1021"/>
      <c r="S481" s="1021"/>
      <c r="T481" s="1021"/>
      <c r="U481" s="1021"/>
      <c r="V481" s="1021"/>
      <c r="W481" s="1021"/>
      <c r="X481" s="1021"/>
      <c r="Y481" s="1021"/>
      <c r="Z481" s="1021"/>
      <c r="AA481" s="1021"/>
      <c r="AB481" s="1021"/>
      <c r="AC481" s="1021"/>
      <c r="AD481" s="1021"/>
      <c r="AE481" s="1021"/>
      <c r="AF481" s="1021"/>
      <c r="AG481" s="1021"/>
      <c r="AH481" s="1021"/>
      <c r="AI481" s="1021"/>
      <c r="AJ481" s="1021"/>
      <c r="AK481" s="1021"/>
      <c r="AL481" s="1021"/>
      <c r="AM481" s="1021"/>
      <c r="AN481" s="1021"/>
      <c r="AO481" s="1021"/>
      <c r="AP481" s="1021"/>
      <c r="AQ481" s="1021"/>
      <c r="AR481" s="1021"/>
      <c r="AS481" s="1021"/>
      <c r="AT481" s="1021"/>
      <c r="AU481" s="1021"/>
      <c r="AV481" s="1021"/>
      <c r="AW481" s="1021"/>
      <c r="AX481" s="1021"/>
      <c r="AY481" s="1021"/>
      <c r="AZ481" s="1021"/>
      <c r="BA481" s="1021"/>
      <c r="BB481" s="1021"/>
      <c r="BC481" s="1021"/>
      <c r="BD481" s="1021"/>
      <c r="BE481" s="1021"/>
      <c r="BF481" s="1021"/>
      <c r="BG481" s="1021"/>
      <c r="BH481" s="1021"/>
      <c r="BI481" s="1021"/>
      <c r="BJ481" s="1021"/>
      <c r="BK481" s="1021"/>
      <c r="BL481" s="1021"/>
      <c r="BM481" s="1021"/>
      <c r="BN481" s="1021"/>
      <c r="BO481" s="1021"/>
      <c r="BP481" s="1021"/>
      <c r="BQ481" s="1021"/>
      <c r="BR481" s="1021"/>
      <c r="BS481" s="1021"/>
      <c r="BT481" s="1021"/>
      <c r="BU481" s="1021"/>
      <c r="BV481" s="1021"/>
      <c r="BW481" s="1021"/>
      <c r="BX481" s="1021"/>
      <c r="BY481" s="1021"/>
      <c r="BZ481" s="1021"/>
      <c r="CA481" s="1021"/>
      <c r="CB481" s="1021"/>
      <c r="CC481" s="1021"/>
    </row>
    <row r="482" spans="8:81" x14ac:dyDescent="0.25">
      <c r="H482" s="1021"/>
      <c r="I482" s="1021"/>
      <c r="J482" s="1021"/>
      <c r="K482" s="1021"/>
      <c r="L482" s="1021"/>
      <c r="M482" s="1021"/>
      <c r="N482" s="1021"/>
      <c r="O482" s="1021"/>
      <c r="P482" s="1021"/>
      <c r="Q482" s="1021"/>
      <c r="R482" s="1021"/>
      <c r="S482" s="1021"/>
      <c r="T482" s="1021"/>
      <c r="U482" s="1021"/>
      <c r="V482" s="1021"/>
      <c r="W482" s="1021"/>
      <c r="X482" s="1021"/>
      <c r="Y482" s="1021"/>
      <c r="Z482" s="1021"/>
      <c r="AA482" s="1021"/>
      <c r="AB482" s="1021"/>
      <c r="AC482" s="1021"/>
      <c r="AD482" s="1021"/>
      <c r="AE482" s="1021"/>
      <c r="AF482" s="1021"/>
      <c r="AG482" s="1021"/>
      <c r="AH482" s="1021"/>
      <c r="AI482" s="1021"/>
      <c r="AJ482" s="1021"/>
      <c r="AK482" s="1021"/>
      <c r="AL482" s="1021"/>
      <c r="AM482" s="1021"/>
      <c r="AN482" s="1021"/>
      <c r="AO482" s="1021"/>
      <c r="AP482" s="1021"/>
      <c r="AQ482" s="1021"/>
      <c r="AR482" s="1021"/>
      <c r="AS482" s="1021"/>
      <c r="AT482" s="1021"/>
      <c r="AU482" s="1021"/>
      <c r="AV482" s="1021"/>
      <c r="AW482" s="1021"/>
      <c r="AX482" s="1021"/>
      <c r="AY482" s="1021"/>
      <c r="AZ482" s="1021"/>
      <c r="BA482" s="1021"/>
      <c r="BB482" s="1021"/>
      <c r="BC482" s="1021"/>
      <c r="BD482" s="1021"/>
      <c r="BE482" s="1021"/>
      <c r="BF482" s="1021"/>
      <c r="BG482" s="1021"/>
      <c r="BH482" s="1021"/>
      <c r="BI482" s="1021"/>
      <c r="BJ482" s="1021"/>
      <c r="BK482" s="1021"/>
      <c r="BL482" s="1021"/>
      <c r="BM482" s="1021"/>
      <c r="BN482" s="1021"/>
      <c r="BO482" s="1021"/>
      <c r="BP482" s="1021"/>
      <c r="BQ482" s="1021"/>
      <c r="BR482" s="1021"/>
      <c r="BS482" s="1021"/>
      <c r="BT482" s="1021"/>
      <c r="BU482" s="1021"/>
      <c r="BV482" s="1021"/>
      <c r="BW482" s="1021"/>
      <c r="BX482" s="1021"/>
      <c r="BY482" s="1021"/>
      <c r="BZ482" s="1021"/>
      <c r="CA482" s="1021"/>
      <c r="CB482" s="1021"/>
      <c r="CC482" s="1021"/>
    </row>
    <row r="483" spans="8:81" x14ac:dyDescent="0.25">
      <c r="H483" s="1021"/>
      <c r="I483" s="1021"/>
      <c r="J483" s="1021"/>
      <c r="K483" s="1021"/>
      <c r="L483" s="1021"/>
      <c r="M483" s="1021"/>
      <c r="N483" s="1021"/>
      <c r="O483" s="1021"/>
      <c r="P483" s="1021"/>
      <c r="Q483" s="1021"/>
      <c r="R483" s="1021"/>
      <c r="S483" s="1021"/>
      <c r="T483" s="1021"/>
      <c r="U483" s="1021"/>
      <c r="V483" s="1021"/>
      <c r="W483" s="1021"/>
      <c r="X483" s="1021"/>
      <c r="Y483" s="1021"/>
      <c r="Z483" s="1021"/>
      <c r="AA483" s="1021"/>
      <c r="AB483" s="1021"/>
      <c r="AC483" s="1021"/>
      <c r="AD483" s="1021"/>
      <c r="AE483" s="1021"/>
      <c r="AF483" s="1021"/>
      <c r="AG483" s="1021"/>
      <c r="AH483" s="1021"/>
      <c r="AI483" s="1021"/>
      <c r="AJ483" s="1021"/>
      <c r="AK483" s="1021"/>
      <c r="AL483" s="1021"/>
      <c r="AM483" s="1021"/>
      <c r="AN483" s="1021"/>
      <c r="AO483" s="1021"/>
      <c r="AP483" s="1021"/>
      <c r="AQ483" s="1021"/>
      <c r="AR483" s="1021"/>
      <c r="AS483" s="1021"/>
      <c r="AT483" s="1021"/>
      <c r="AU483" s="1021"/>
      <c r="AV483" s="1021"/>
      <c r="AW483" s="1021"/>
      <c r="AX483" s="1021"/>
      <c r="AY483" s="1021"/>
      <c r="AZ483" s="1021"/>
      <c r="BA483" s="1021"/>
      <c r="BB483" s="1021"/>
      <c r="BC483" s="1021"/>
      <c r="BD483" s="1021"/>
      <c r="BE483" s="1021"/>
      <c r="BF483" s="1021"/>
      <c r="BG483" s="1021"/>
      <c r="BH483" s="1021"/>
      <c r="BI483" s="1021"/>
      <c r="BJ483" s="1021"/>
      <c r="BK483" s="1021"/>
      <c r="BL483" s="1021"/>
      <c r="BM483" s="1021"/>
      <c r="BN483" s="1021"/>
      <c r="BO483" s="1021"/>
      <c r="BP483" s="1021"/>
      <c r="BQ483" s="1021"/>
      <c r="BR483" s="1021"/>
      <c r="BS483" s="1021"/>
      <c r="BT483" s="1021"/>
      <c r="BU483" s="1021"/>
      <c r="BV483" s="1021"/>
      <c r="BW483" s="1021"/>
      <c r="BX483" s="1021"/>
      <c r="BY483" s="1021"/>
      <c r="BZ483" s="1021"/>
      <c r="CA483" s="1021"/>
      <c r="CB483" s="1021"/>
      <c r="CC483" s="1021"/>
    </row>
    <row r="484" spans="8:81" x14ac:dyDescent="0.25">
      <c r="H484" s="1021"/>
      <c r="I484" s="1021"/>
      <c r="J484" s="1021"/>
      <c r="K484" s="1021"/>
      <c r="L484" s="1021"/>
      <c r="M484" s="1021"/>
      <c r="N484" s="1021"/>
      <c r="O484" s="1021"/>
      <c r="P484" s="1021"/>
      <c r="Q484" s="1021"/>
      <c r="R484" s="1021"/>
      <c r="S484" s="1021"/>
      <c r="T484" s="1021"/>
      <c r="U484" s="1021"/>
      <c r="V484" s="1021"/>
      <c r="W484" s="1021"/>
      <c r="X484" s="1021"/>
      <c r="Y484" s="1021"/>
      <c r="Z484" s="1021"/>
      <c r="AA484" s="1021"/>
      <c r="AB484" s="1021"/>
      <c r="AC484" s="1021"/>
      <c r="AD484" s="1021"/>
      <c r="AE484" s="1021"/>
      <c r="AF484" s="1021"/>
      <c r="AG484" s="1021"/>
      <c r="AH484" s="1021"/>
      <c r="AI484" s="1021"/>
      <c r="AJ484" s="1021"/>
      <c r="AK484" s="1021"/>
      <c r="AL484" s="1021"/>
      <c r="AM484" s="1021"/>
      <c r="AN484" s="1021"/>
      <c r="AO484" s="1021"/>
      <c r="AP484" s="1021"/>
      <c r="AQ484" s="1021"/>
      <c r="AR484" s="1021"/>
      <c r="AS484" s="1021"/>
      <c r="AT484" s="1021"/>
      <c r="AU484" s="1021"/>
      <c r="AV484" s="1021"/>
      <c r="AW484" s="1021"/>
      <c r="AX484" s="1021"/>
      <c r="AY484" s="1021"/>
      <c r="AZ484" s="1021"/>
      <c r="BA484" s="1021"/>
      <c r="BB484" s="1021"/>
      <c r="BC484" s="1021"/>
      <c r="BD484" s="1021"/>
      <c r="BE484" s="1021"/>
      <c r="BF484" s="1021"/>
      <c r="BG484" s="1021"/>
      <c r="BH484" s="1021"/>
      <c r="BI484" s="1021"/>
      <c r="BJ484" s="1021"/>
      <c r="BK484" s="1021"/>
      <c r="BL484" s="1021"/>
      <c r="BM484" s="1021"/>
      <c r="BN484" s="1021"/>
      <c r="BO484" s="1021"/>
      <c r="BP484" s="1021"/>
      <c r="BQ484" s="1021"/>
      <c r="BR484" s="1021"/>
      <c r="BS484" s="1021"/>
      <c r="BT484" s="1021"/>
      <c r="BU484" s="1021"/>
      <c r="BV484" s="1021"/>
      <c r="BW484" s="1021"/>
      <c r="BX484" s="1021"/>
      <c r="BY484" s="1021"/>
      <c r="BZ484" s="1021"/>
      <c r="CA484" s="1021"/>
      <c r="CB484" s="1021"/>
      <c r="CC484" s="1021"/>
    </row>
    <row r="485" spans="8:81" x14ac:dyDescent="0.25">
      <c r="H485" s="1021"/>
      <c r="I485" s="1021"/>
      <c r="J485" s="1021"/>
      <c r="K485" s="1021"/>
      <c r="L485" s="1021"/>
      <c r="M485" s="1021"/>
      <c r="N485" s="1021"/>
      <c r="O485" s="1021"/>
      <c r="P485" s="1021"/>
      <c r="Q485" s="1021"/>
      <c r="R485" s="1021"/>
      <c r="S485" s="1021"/>
      <c r="T485" s="1021"/>
      <c r="U485" s="1021"/>
      <c r="V485" s="1021"/>
      <c r="W485" s="1021"/>
      <c r="X485" s="1021"/>
      <c r="Y485" s="1021"/>
      <c r="Z485" s="1021"/>
      <c r="AA485" s="1021"/>
      <c r="AB485" s="1021"/>
      <c r="AC485" s="1021"/>
      <c r="AD485" s="1021"/>
      <c r="AE485" s="1021"/>
      <c r="AF485" s="1021"/>
      <c r="AG485" s="1021"/>
      <c r="AH485" s="1021"/>
      <c r="AI485" s="1021"/>
      <c r="AJ485" s="1021"/>
      <c r="AK485" s="1021"/>
      <c r="AL485" s="1021"/>
      <c r="AM485" s="1021"/>
      <c r="AN485" s="1021"/>
      <c r="AO485" s="1021"/>
      <c r="AP485" s="1021"/>
      <c r="AQ485" s="1021"/>
      <c r="AR485" s="1021"/>
      <c r="AS485" s="1021"/>
      <c r="AT485" s="1021"/>
      <c r="AU485" s="1021"/>
      <c r="AV485" s="1021"/>
      <c r="AW485" s="1021"/>
      <c r="AX485" s="1021"/>
      <c r="AY485" s="1021"/>
      <c r="AZ485" s="1021"/>
      <c r="BA485" s="1021"/>
      <c r="BB485" s="1021"/>
      <c r="BC485" s="1021"/>
      <c r="BD485" s="1021"/>
      <c r="BE485" s="1021"/>
      <c r="BF485" s="1021"/>
      <c r="BG485" s="1021"/>
      <c r="BH485" s="1021"/>
      <c r="BI485" s="1021"/>
      <c r="BJ485" s="1021"/>
      <c r="BK485" s="1021"/>
      <c r="BL485" s="1021"/>
      <c r="BM485" s="1021"/>
      <c r="BN485" s="1021"/>
      <c r="BO485" s="1021"/>
      <c r="BP485" s="1021"/>
      <c r="BQ485" s="1021"/>
      <c r="BR485" s="1021"/>
      <c r="BS485" s="1021"/>
      <c r="BT485" s="1021"/>
      <c r="BU485" s="1021"/>
      <c r="BV485" s="1021"/>
      <c r="BW485" s="1021"/>
      <c r="BX485" s="1021"/>
      <c r="BY485" s="1021"/>
      <c r="BZ485" s="1021"/>
      <c r="CA485" s="1021"/>
      <c r="CB485" s="1021"/>
      <c r="CC485" s="1021"/>
    </row>
    <row r="486" spans="8:81" x14ac:dyDescent="0.25">
      <c r="H486" s="1021"/>
      <c r="I486" s="1021"/>
      <c r="J486" s="1021"/>
      <c r="K486" s="1021"/>
      <c r="L486" s="1021"/>
      <c r="M486" s="1021"/>
      <c r="N486" s="1021"/>
      <c r="O486" s="1021"/>
      <c r="P486" s="1021"/>
      <c r="Q486" s="1021"/>
      <c r="R486" s="1021"/>
      <c r="S486" s="1021"/>
      <c r="T486" s="1021"/>
      <c r="U486" s="1021"/>
      <c r="V486" s="1021"/>
      <c r="W486" s="1021"/>
      <c r="X486" s="1021"/>
      <c r="Y486" s="1021"/>
      <c r="Z486" s="1021"/>
      <c r="AA486" s="1021"/>
      <c r="AB486" s="1021"/>
      <c r="AC486" s="1021"/>
      <c r="AD486" s="1021"/>
      <c r="AE486" s="1021"/>
      <c r="AF486" s="1021"/>
      <c r="AG486" s="1021"/>
      <c r="AH486" s="1021"/>
      <c r="AI486" s="1021"/>
      <c r="AJ486" s="1021"/>
      <c r="AK486" s="1021"/>
      <c r="AL486" s="1021"/>
      <c r="AM486" s="1021"/>
      <c r="AN486" s="1021"/>
      <c r="AO486" s="1021"/>
      <c r="AP486" s="1021"/>
      <c r="AQ486" s="1021"/>
      <c r="AR486" s="1021"/>
      <c r="AS486" s="1021"/>
      <c r="AT486" s="1021"/>
      <c r="AU486" s="1021"/>
      <c r="AV486" s="1021"/>
      <c r="AW486" s="1021"/>
      <c r="AX486" s="1021"/>
      <c r="AY486" s="1021"/>
      <c r="AZ486" s="1021"/>
      <c r="BA486" s="1021"/>
      <c r="BB486" s="1021"/>
      <c r="BC486" s="1021"/>
      <c r="BD486" s="1021"/>
      <c r="BE486" s="1021"/>
      <c r="BF486" s="1021"/>
      <c r="BG486" s="1021"/>
      <c r="BH486" s="1021"/>
      <c r="BI486" s="1021"/>
      <c r="BJ486" s="1021"/>
      <c r="BK486" s="1021"/>
      <c r="BL486" s="1021"/>
      <c r="BM486" s="1021"/>
      <c r="BN486" s="1021"/>
      <c r="BO486" s="1021"/>
      <c r="BP486" s="1021"/>
      <c r="BQ486" s="1021"/>
      <c r="BR486" s="1021"/>
      <c r="BS486" s="1021"/>
      <c r="BT486" s="1021"/>
      <c r="BU486" s="1021"/>
      <c r="BV486" s="1021"/>
      <c r="BW486" s="1021"/>
      <c r="BX486" s="1021"/>
      <c r="BY486" s="1021"/>
      <c r="BZ486" s="1021"/>
      <c r="CA486" s="1021"/>
      <c r="CB486" s="1021"/>
      <c r="CC486" s="1021"/>
    </row>
    <row r="487" spans="8:81" x14ac:dyDescent="0.25">
      <c r="H487" s="1021"/>
      <c r="I487" s="1021"/>
      <c r="J487" s="1021"/>
      <c r="K487" s="1021"/>
      <c r="L487" s="1021"/>
      <c r="M487" s="1021"/>
      <c r="N487" s="1021"/>
      <c r="O487" s="1021"/>
      <c r="P487" s="1021"/>
      <c r="Q487" s="1021"/>
      <c r="R487" s="1021"/>
      <c r="S487" s="1021"/>
      <c r="T487" s="1021"/>
      <c r="U487" s="1021"/>
      <c r="V487" s="1021"/>
      <c r="W487" s="1021"/>
      <c r="X487" s="1021"/>
      <c r="Y487" s="1021"/>
      <c r="Z487" s="1021"/>
      <c r="AA487" s="1021"/>
      <c r="AB487" s="1021"/>
      <c r="AC487" s="1021"/>
      <c r="AD487" s="1021"/>
      <c r="AE487" s="1021"/>
      <c r="AF487" s="1021"/>
      <c r="AG487" s="1021"/>
      <c r="AH487" s="1021"/>
      <c r="AI487" s="1021"/>
      <c r="AJ487" s="1021"/>
      <c r="AK487" s="1021"/>
      <c r="AL487" s="1021"/>
      <c r="AM487" s="1021"/>
      <c r="AN487" s="1021"/>
      <c r="AO487" s="1021"/>
      <c r="AP487" s="1021"/>
      <c r="AQ487" s="1021"/>
      <c r="AR487" s="1021"/>
      <c r="AS487" s="1021"/>
      <c r="AT487" s="1021"/>
      <c r="AU487" s="1021"/>
      <c r="AV487" s="1021"/>
      <c r="AW487" s="1021"/>
      <c r="AX487" s="1021"/>
      <c r="AY487" s="1021"/>
      <c r="AZ487" s="1021"/>
      <c r="BA487" s="1021"/>
      <c r="BB487" s="1021"/>
      <c r="BC487" s="1021"/>
      <c r="BD487" s="1021"/>
      <c r="BE487" s="1021"/>
      <c r="BF487" s="1021"/>
      <c r="BG487" s="1021"/>
      <c r="BH487" s="1021"/>
      <c r="BI487" s="1021"/>
      <c r="BJ487" s="1021"/>
      <c r="BK487" s="1021"/>
      <c r="BL487" s="1021"/>
      <c r="BM487" s="1021"/>
      <c r="BN487" s="1021"/>
      <c r="BO487" s="1021"/>
      <c r="BP487" s="1021"/>
      <c r="BQ487" s="1021"/>
      <c r="BR487" s="1021"/>
      <c r="BS487" s="1021"/>
      <c r="BT487" s="1021"/>
      <c r="BU487" s="1021"/>
      <c r="BV487" s="1021"/>
      <c r="BW487" s="1021"/>
      <c r="BX487" s="1021"/>
      <c r="BY487" s="1021"/>
      <c r="BZ487" s="1021"/>
      <c r="CA487" s="1021"/>
      <c r="CB487" s="1021"/>
      <c r="CC487" s="1021"/>
    </row>
    <row r="488" spans="8:81" x14ac:dyDescent="0.25">
      <c r="H488" s="1021"/>
      <c r="I488" s="1021"/>
      <c r="J488" s="1021"/>
      <c r="K488" s="1021"/>
      <c r="L488" s="1021"/>
      <c r="M488" s="1021"/>
      <c r="N488" s="1021"/>
      <c r="O488" s="1021"/>
      <c r="P488" s="1021"/>
      <c r="Q488" s="1021"/>
      <c r="R488" s="1021"/>
      <c r="S488" s="1021"/>
      <c r="T488" s="1021"/>
      <c r="U488" s="1021"/>
      <c r="V488" s="1021"/>
      <c r="W488" s="1021"/>
      <c r="X488" s="1021"/>
      <c r="Y488" s="1021"/>
      <c r="Z488" s="1021"/>
      <c r="AA488" s="1021"/>
      <c r="AB488" s="1021"/>
      <c r="AC488" s="1021"/>
      <c r="AD488" s="1021"/>
      <c r="AE488" s="1021"/>
      <c r="AF488" s="1021"/>
      <c r="AG488" s="1021"/>
      <c r="AH488" s="1021"/>
      <c r="AI488" s="1021"/>
      <c r="AJ488" s="1021"/>
      <c r="AK488" s="1021"/>
      <c r="AL488" s="1021"/>
      <c r="AM488" s="1021"/>
      <c r="AN488" s="1021"/>
      <c r="AO488" s="1021"/>
      <c r="AP488" s="1021"/>
      <c r="AQ488" s="1021"/>
      <c r="AR488" s="1021"/>
      <c r="AS488" s="1021"/>
      <c r="AT488" s="1021"/>
      <c r="AU488" s="1021"/>
      <c r="AV488" s="1021"/>
      <c r="AW488" s="1021"/>
      <c r="AX488" s="1021"/>
      <c r="AY488" s="1021"/>
      <c r="AZ488" s="1021"/>
      <c r="BA488" s="1021"/>
      <c r="BB488" s="1021"/>
      <c r="BC488" s="1021"/>
      <c r="BD488" s="1021"/>
      <c r="BE488" s="1021"/>
      <c r="BF488" s="1021"/>
      <c r="BG488" s="1021"/>
      <c r="BH488" s="1021"/>
      <c r="BI488" s="1021"/>
      <c r="BJ488" s="1021"/>
      <c r="BK488" s="1021"/>
      <c r="BL488" s="1021"/>
      <c r="BM488" s="1021"/>
      <c r="BN488" s="1021"/>
      <c r="BO488" s="1021"/>
      <c r="BP488" s="1021"/>
      <c r="BQ488" s="1021"/>
      <c r="BR488" s="1021"/>
      <c r="BS488" s="1021"/>
      <c r="BT488" s="1021"/>
      <c r="BU488" s="1021"/>
      <c r="BV488" s="1021"/>
      <c r="BW488" s="1021"/>
      <c r="BX488" s="1021"/>
      <c r="BY488" s="1021"/>
      <c r="BZ488" s="1021"/>
      <c r="CA488" s="1021"/>
      <c r="CB488" s="1021"/>
      <c r="CC488" s="1021"/>
    </row>
    <row r="489" spans="8:81" x14ac:dyDescent="0.25">
      <c r="H489" s="1021"/>
      <c r="I489" s="1021"/>
      <c r="J489" s="1021"/>
      <c r="K489" s="1021"/>
      <c r="L489" s="1021"/>
      <c r="M489" s="1021"/>
      <c r="N489" s="1021"/>
      <c r="O489" s="1021"/>
      <c r="P489" s="1021"/>
      <c r="Q489" s="1021"/>
      <c r="R489" s="1021"/>
      <c r="S489" s="1021"/>
      <c r="T489" s="1021"/>
      <c r="U489" s="1021"/>
      <c r="V489" s="1021"/>
      <c r="W489" s="1021"/>
      <c r="X489" s="1021"/>
      <c r="Y489" s="1021"/>
      <c r="Z489" s="1021"/>
      <c r="AA489" s="1021"/>
      <c r="AB489" s="1021"/>
      <c r="AC489" s="1021"/>
      <c r="AD489" s="1021"/>
      <c r="AE489" s="1021"/>
      <c r="AF489" s="1021"/>
      <c r="AG489" s="1021"/>
      <c r="AH489" s="1021"/>
      <c r="AI489" s="1021"/>
      <c r="AJ489" s="1021"/>
      <c r="AK489" s="1021"/>
      <c r="AL489" s="1021"/>
      <c r="AM489" s="1021"/>
      <c r="AN489" s="1021"/>
      <c r="AO489" s="1021"/>
      <c r="AP489" s="1021"/>
      <c r="AQ489" s="1021"/>
      <c r="AR489" s="1021"/>
      <c r="AS489" s="1021"/>
      <c r="AT489" s="1021"/>
      <c r="AU489" s="1021"/>
      <c r="AV489" s="1021"/>
      <c r="AW489" s="1021"/>
      <c r="AX489" s="1021"/>
      <c r="AY489" s="1021"/>
      <c r="AZ489" s="1021"/>
      <c r="BA489" s="1021"/>
      <c r="BB489" s="1021"/>
      <c r="BC489" s="1021"/>
      <c r="BD489" s="1021"/>
      <c r="BE489" s="1021"/>
      <c r="BF489" s="1021"/>
      <c r="BG489" s="1021"/>
      <c r="BH489" s="1021"/>
      <c r="BI489" s="1021"/>
      <c r="BJ489" s="1021"/>
      <c r="BK489" s="1021"/>
      <c r="BL489" s="1021"/>
      <c r="BM489" s="1021"/>
      <c r="BN489" s="1021"/>
      <c r="BO489" s="1021"/>
      <c r="BP489" s="1021"/>
      <c r="BQ489" s="1021"/>
      <c r="BR489" s="1021"/>
      <c r="BS489" s="1021"/>
      <c r="BT489" s="1021"/>
      <c r="BU489" s="1021"/>
      <c r="BV489" s="1021"/>
      <c r="BW489" s="1021"/>
      <c r="BX489" s="1021"/>
      <c r="BY489" s="1021"/>
      <c r="BZ489" s="1021"/>
      <c r="CA489" s="1021"/>
      <c r="CB489" s="1021"/>
      <c r="CC489" s="1021"/>
    </row>
    <row r="490" spans="8:81" x14ac:dyDescent="0.25">
      <c r="H490" s="1021"/>
      <c r="I490" s="1021"/>
      <c r="J490" s="1021"/>
      <c r="K490" s="1021"/>
      <c r="L490" s="1021"/>
      <c r="M490" s="1021"/>
      <c r="N490" s="1021"/>
      <c r="O490" s="1021"/>
      <c r="P490" s="1021"/>
      <c r="Q490" s="1021"/>
      <c r="R490" s="1021"/>
      <c r="S490" s="1021"/>
      <c r="T490" s="1021"/>
      <c r="U490" s="1021"/>
      <c r="V490" s="1021"/>
      <c r="W490" s="1021"/>
      <c r="X490" s="1021"/>
      <c r="Y490" s="1021"/>
      <c r="Z490" s="1021"/>
      <c r="AA490" s="1021"/>
      <c r="AB490" s="1021"/>
      <c r="AC490" s="1021"/>
      <c r="AD490" s="1021"/>
      <c r="AE490" s="1021"/>
      <c r="AF490" s="1021"/>
      <c r="AG490" s="1021"/>
      <c r="AH490" s="1021"/>
      <c r="AI490" s="1021"/>
      <c r="AJ490" s="1021"/>
      <c r="AK490" s="1021"/>
      <c r="AL490" s="1021"/>
      <c r="AM490" s="1021"/>
      <c r="AN490" s="1021"/>
      <c r="AO490" s="1021"/>
      <c r="AP490" s="1021"/>
      <c r="AQ490" s="1021"/>
      <c r="AR490" s="1021"/>
      <c r="AS490" s="1021"/>
      <c r="AT490" s="1021"/>
      <c r="AU490" s="1021"/>
      <c r="AV490" s="1021"/>
      <c r="AW490" s="1021"/>
      <c r="AX490" s="1021"/>
      <c r="AY490" s="1021"/>
      <c r="AZ490" s="1021"/>
      <c r="BA490" s="1021"/>
      <c r="BB490" s="1021"/>
      <c r="BC490" s="1021"/>
      <c r="BD490" s="1021"/>
      <c r="BE490" s="1021"/>
      <c r="BF490" s="1021"/>
      <c r="BG490" s="1021"/>
      <c r="BH490" s="1021"/>
      <c r="BI490" s="1021"/>
      <c r="BJ490" s="1021"/>
      <c r="BK490" s="1021"/>
      <c r="BL490" s="1021"/>
      <c r="BM490" s="1021"/>
      <c r="BN490" s="1021"/>
      <c r="BO490" s="1021"/>
      <c r="BP490" s="1021"/>
      <c r="BQ490" s="1021"/>
      <c r="BR490" s="1021"/>
      <c r="BS490" s="1021"/>
      <c r="BT490" s="1021"/>
      <c r="BU490" s="1021"/>
      <c r="BV490" s="1021"/>
      <c r="BW490" s="1021"/>
      <c r="BX490" s="1021"/>
      <c r="BY490" s="1021"/>
      <c r="BZ490" s="1021"/>
      <c r="CA490" s="1021"/>
      <c r="CB490" s="1021"/>
      <c r="CC490" s="1021"/>
    </row>
    <row r="491" spans="8:81" x14ac:dyDescent="0.25">
      <c r="H491" s="1021"/>
      <c r="I491" s="1021"/>
      <c r="J491" s="1021"/>
      <c r="K491" s="1021"/>
      <c r="L491" s="1021"/>
      <c r="M491" s="1021"/>
      <c r="N491" s="1021"/>
      <c r="O491" s="1021"/>
      <c r="P491" s="1021"/>
      <c r="Q491" s="1021"/>
      <c r="R491" s="1021"/>
      <c r="S491" s="1021"/>
      <c r="T491" s="1021"/>
      <c r="U491" s="1021"/>
      <c r="V491" s="1021"/>
      <c r="W491" s="1021"/>
      <c r="X491" s="1021"/>
      <c r="Y491" s="1021"/>
      <c r="Z491" s="1021"/>
      <c r="AA491" s="1021"/>
      <c r="AB491" s="1021"/>
      <c r="AC491" s="1021"/>
      <c r="AD491" s="1021"/>
      <c r="AE491" s="1021"/>
      <c r="AF491" s="1021"/>
      <c r="AG491" s="1021"/>
      <c r="AH491" s="1021"/>
      <c r="AI491" s="1021"/>
      <c r="AJ491" s="1021"/>
      <c r="AK491" s="1021"/>
      <c r="AL491" s="1021"/>
      <c r="AM491" s="1021"/>
      <c r="AN491" s="1021"/>
      <c r="AO491" s="1021"/>
      <c r="AP491" s="1021"/>
      <c r="AQ491" s="1021"/>
      <c r="AR491" s="1021"/>
      <c r="AS491" s="1021"/>
      <c r="AT491" s="1021"/>
      <c r="AU491" s="1021"/>
      <c r="AV491" s="1021"/>
      <c r="AW491" s="1021"/>
      <c r="AX491" s="1021"/>
      <c r="AY491" s="1021"/>
      <c r="AZ491" s="1021"/>
      <c r="BA491" s="1021"/>
      <c r="BB491" s="1021"/>
      <c r="BC491" s="1021"/>
      <c r="BD491" s="1021"/>
      <c r="BE491" s="1021"/>
      <c r="BF491" s="1021"/>
      <c r="BG491" s="1021"/>
      <c r="BH491" s="1021"/>
      <c r="BI491" s="1021"/>
      <c r="BJ491" s="1021"/>
      <c r="BK491" s="1021"/>
      <c r="BL491" s="1021"/>
      <c r="BM491" s="1021"/>
      <c r="BN491" s="1021"/>
      <c r="BO491" s="1021"/>
      <c r="BP491" s="1021"/>
      <c r="BQ491" s="1021"/>
      <c r="BR491" s="1021"/>
      <c r="BS491" s="1021"/>
      <c r="BT491" s="1021"/>
      <c r="BU491" s="1021"/>
      <c r="BV491" s="1021"/>
      <c r="BW491" s="1021"/>
      <c r="BX491" s="1021"/>
      <c r="BY491" s="1021"/>
      <c r="BZ491" s="1021"/>
      <c r="CA491" s="1021"/>
      <c r="CB491" s="1021"/>
      <c r="CC491" s="1021"/>
    </row>
    <row r="492" spans="8:81" x14ac:dyDescent="0.25">
      <c r="H492" s="1021"/>
      <c r="I492" s="1021"/>
      <c r="J492" s="1021"/>
      <c r="K492" s="1021"/>
      <c r="L492" s="1021"/>
      <c r="M492" s="1021"/>
      <c r="N492" s="1021"/>
      <c r="O492" s="1021"/>
      <c r="P492" s="1021"/>
      <c r="Q492" s="1021"/>
      <c r="R492" s="1021"/>
      <c r="S492" s="1021"/>
      <c r="T492" s="1021"/>
      <c r="U492" s="1021"/>
      <c r="V492" s="1021"/>
      <c r="W492" s="1021"/>
      <c r="X492" s="1021"/>
      <c r="Y492" s="1021"/>
      <c r="Z492" s="1021"/>
      <c r="AA492" s="1021"/>
      <c r="AB492" s="1021"/>
      <c r="AC492" s="1021"/>
      <c r="AD492" s="1021"/>
      <c r="AE492" s="1021"/>
      <c r="AF492" s="1021"/>
      <c r="AG492" s="1021"/>
      <c r="AH492" s="1021"/>
      <c r="AI492" s="1021"/>
      <c r="AJ492" s="1021"/>
      <c r="AK492" s="1021"/>
      <c r="AL492" s="1021"/>
      <c r="AM492" s="1021"/>
      <c r="AN492" s="1021"/>
      <c r="AO492" s="1021"/>
      <c r="AP492" s="1021"/>
      <c r="AQ492" s="1021"/>
      <c r="AR492" s="1021"/>
      <c r="AS492" s="1021"/>
      <c r="AT492" s="1021"/>
      <c r="AU492" s="1021"/>
      <c r="AV492" s="1021"/>
      <c r="AW492" s="1021"/>
      <c r="AX492" s="1021"/>
      <c r="AY492" s="1021"/>
      <c r="AZ492" s="1021"/>
      <c r="BA492" s="1021"/>
      <c r="BB492" s="1021"/>
      <c r="BC492" s="1021"/>
      <c r="BD492" s="1021"/>
      <c r="BE492" s="1021"/>
      <c r="BF492" s="1021"/>
      <c r="BG492" s="1021"/>
      <c r="BH492" s="1021"/>
      <c r="BI492" s="1021"/>
      <c r="BJ492" s="1021"/>
      <c r="BK492" s="1021"/>
      <c r="BL492" s="1021"/>
      <c r="BM492" s="1021"/>
      <c r="BN492" s="1021"/>
      <c r="BO492" s="1021"/>
      <c r="BP492" s="1021"/>
      <c r="BQ492" s="1021"/>
      <c r="BR492" s="1021"/>
      <c r="BS492" s="1021"/>
      <c r="BT492" s="1021"/>
      <c r="BU492" s="1021"/>
      <c r="BV492" s="1021"/>
      <c r="BW492" s="1021"/>
      <c r="BX492" s="1021"/>
      <c r="BY492" s="1021"/>
      <c r="BZ492" s="1021"/>
      <c r="CA492" s="1021"/>
      <c r="CB492" s="1021"/>
      <c r="CC492" s="1021"/>
    </row>
    <row r="493" spans="8:81" x14ac:dyDescent="0.25">
      <c r="H493" s="1021"/>
      <c r="I493" s="1021"/>
      <c r="J493" s="1021"/>
      <c r="K493" s="1021"/>
      <c r="L493" s="1021"/>
      <c r="M493" s="1021"/>
      <c r="N493" s="1021"/>
      <c r="O493" s="1021"/>
      <c r="P493" s="1021"/>
      <c r="Q493" s="1021"/>
      <c r="R493" s="1021"/>
      <c r="S493" s="1021"/>
      <c r="T493" s="1021"/>
      <c r="U493" s="1021"/>
      <c r="V493" s="1021"/>
      <c r="W493" s="1021"/>
      <c r="X493" s="1021"/>
      <c r="Y493" s="1021"/>
      <c r="Z493" s="1021"/>
      <c r="AA493" s="1021"/>
      <c r="AB493" s="1021"/>
      <c r="AC493" s="1021"/>
      <c r="AD493" s="1021"/>
      <c r="AE493" s="1021"/>
      <c r="AF493" s="1021"/>
      <c r="AG493" s="1021"/>
      <c r="AH493" s="1021"/>
      <c r="AI493" s="1021"/>
      <c r="AJ493" s="1021"/>
      <c r="AK493" s="1021"/>
      <c r="AL493" s="1021"/>
      <c r="AM493" s="1021"/>
      <c r="AN493" s="1021"/>
      <c r="AO493" s="1021"/>
      <c r="AP493" s="1021"/>
      <c r="AQ493" s="1021"/>
      <c r="AR493" s="1021"/>
      <c r="AS493" s="1021"/>
      <c r="AT493" s="1021"/>
      <c r="AU493" s="1021"/>
      <c r="AV493" s="1021"/>
      <c r="AW493" s="1021"/>
      <c r="AX493" s="1021"/>
      <c r="AY493" s="1021"/>
      <c r="AZ493" s="1021"/>
      <c r="BA493" s="1021"/>
      <c r="BB493" s="1021"/>
      <c r="BC493" s="1021"/>
      <c r="BD493" s="1021"/>
      <c r="BE493" s="1021"/>
      <c r="BF493" s="1021"/>
      <c r="BG493" s="1021"/>
      <c r="BH493" s="1021"/>
      <c r="BI493" s="1021"/>
      <c r="BJ493" s="1021"/>
      <c r="BK493" s="1021"/>
      <c r="BL493" s="1021"/>
      <c r="BM493" s="1021"/>
      <c r="BN493" s="1021"/>
      <c r="BO493" s="1021"/>
      <c r="BP493" s="1021"/>
      <c r="BQ493" s="1021"/>
      <c r="BR493" s="1021"/>
      <c r="BS493" s="1021"/>
      <c r="BT493" s="1021"/>
      <c r="BU493" s="1021"/>
      <c r="BV493" s="1021"/>
      <c r="BW493" s="1021"/>
      <c r="BX493" s="1021"/>
      <c r="BY493" s="1021"/>
      <c r="BZ493" s="1021"/>
      <c r="CA493" s="1021"/>
      <c r="CB493" s="1021"/>
      <c r="CC493" s="1021"/>
    </row>
    <row r="494" spans="8:81" x14ac:dyDescent="0.25">
      <c r="H494" s="1021"/>
      <c r="I494" s="1021"/>
      <c r="J494" s="1021"/>
      <c r="K494" s="1021"/>
      <c r="L494" s="1021"/>
      <c r="M494" s="1021"/>
      <c r="N494" s="1021"/>
      <c r="O494" s="1021"/>
      <c r="P494" s="1021"/>
      <c r="Q494" s="1021"/>
      <c r="R494" s="1021"/>
      <c r="S494" s="1021"/>
      <c r="T494" s="1021"/>
      <c r="U494" s="1021"/>
      <c r="V494" s="1021"/>
      <c r="W494" s="1021"/>
      <c r="X494" s="1021"/>
      <c r="Y494" s="1021"/>
      <c r="Z494" s="1021"/>
      <c r="AA494" s="1021"/>
      <c r="AB494" s="1021"/>
      <c r="AC494" s="1021"/>
      <c r="AD494" s="1021"/>
      <c r="AE494" s="1021"/>
      <c r="AF494" s="1021"/>
      <c r="AG494" s="1021"/>
      <c r="AH494" s="1021"/>
      <c r="AI494" s="1021"/>
      <c r="AJ494" s="1021"/>
      <c r="AK494" s="1021"/>
      <c r="AL494" s="1021"/>
      <c r="AM494" s="1021"/>
      <c r="AN494" s="1021"/>
      <c r="AO494" s="1021"/>
      <c r="AP494" s="1021"/>
      <c r="AQ494" s="1021"/>
      <c r="AR494" s="1021"/>
      <c r="AS494" s="1021"/>
      <c r="AT494" s="1021"/>
      <c r="AU494" s="1021"/>
      <c r="AV494" s="1021"/>
      <c r="AW494" s="1021"/>
      <c r="AX494" s="1021"/>
      <c r="AY494" s="1021"/>
      <c r="AZ494" s="1021"/>
      <c r="BA494" s="1021"/>
      <c r="BB494" s="1021"/>
      <c r="BC494" s="1021"/>
      <c r="BD494" s="1021"/>
      <c r="BE494" s="1021"/>
      <c r="BF494" s="1021"/>
      <c r="BG494" s="1021"/>
      <c r="BH494" s="1021"/>
      <c r="BI494" s="1021"/>
      <c r="BJ494" s="1021"/>
      <c r="BK494" s="1021"/>
      <c r="BL494" s="1021"/>
      <c r="BM494" s="1021"/>
      <c r="BN494" s="1021"/>
      <c r="BO494" s="1021"/>
      <c r="BP494" s="1021"/>
      <c r="BQ494" s="1021"/>
      <c r="BR494" s="1021"/>
      <c r="BS494" s="1021"/>
      <c r="BT494" s="1021"/>
      <c r="BU494" s="1021"/>
      <c r="BV494" s="1021"/>
      <c r="BW494" s="1021"/>
      <c r="BX494" s="1021"/>
      <c r="BY494" s="1021"/>
      <c r="BZ494" s="1021"/>
      <c r="CA494" s="1021"/>
      <c r="CB494" s="1021"/>
      <c r="CC494" s="1021"/>
    </row>
    <row r="495" spans="8:81" x14ac:dyDescent="0.25">
      <c r="H495" s="1021"/>
      <c r="I495" s="1021"/>
      <c r="J495" s="1021"/>
      <c r="K495" s="1021"/>
      <c r="L495" s="1021"/>
      <c r="M495" s="1021"/>
      <c r="N495" s="1021"/>
      <c r="O495" s="1021"/>
      <c r="P495" s="1021"/>
      <c r="Q495" s="1021"/>
      <c r="R495" s="1021"/>
      <c r="S495" s="1021"/>
      <c r="T495" s="1021"/>
      <c r="U495" s="1021"/>
      <c r="V495" s="1021"/>
      <c r="W495" s="1021"/>
      <c r="X495" s="1021"/>
      <c r="Y495" s="1021"/>
      <c r="Z495" s="1021"/>
      <c r="AA495" s="1021"/>
      <c r="AB495" s="1021"/>
      <c r="AC495" s="1021"/>
      <c r="AD495" s="1021"/>
      <c r="AE495" s="1021"/>
      <c r="AF495" s="1021"/>
      <c r="AG495" s="1021"/>
      <c r="AH495" s="1021"/>
      <c r="AI495" s="1021"/>
      <c r="AJ495" s="1021"/>
      <c r="AK495" s="1021"/>
      <c r="AL495" s="1021"/>
      <c r="AM495" s="1021"/>
      <c r="AN495" s="1021"/>
      <c r="AO495" s="1021"/>
      <c r="AP495" s="1021"/>
      <c r="AQ495" s="1021"/>
      <c r="AR495" s="1021"/>
      <c r="AS495" s="1021"/>
      <c r="AT495" s="1021"/>
      <c r="AU495" s="1021"/>
      <c r="AV495" s="1021"/>
      <c r="AW495" s="1021"/>
      <c r="AX495" s="1021"/>
      <c r="AY495" s="1021"/>
      <c r="AZ495" s="1021"/>
      <c r="BA495" s="1021"/>
      <c r="BB495" s="1021"/>
      <c r="BC495" s="1021"/>
      <c r="BD495" s="1021"/>
      <c r="BE495" s="1021"/>
      <c r="BF495" s="1021"/>
      <c r="BG495" s="1021"/>
      <c r="BH495" s="1021"/>
      <c r="BI495" s="1021"/>
      <c r="BJ495" s="1021"/>
      <c r="BK495" s="1021"/>
      <c r="BL495" s="1021"/>
      <c r="BM495" s="1021"/>
      <c r="BN495" s="1021"/>
      <c r="BO495" s="1021"/>
      <c r="BP495" s="1021"/>
      <c r="BQ495" s="1021"/>
      <c r="BR495" s="1021"/>
      <c r="BS495" s="1021"/>
      <c r="BT495" s="1021"/>
      <c r="BU495" s="1021"/>
      <c r="BV495" s="1021"/>
      <c r="BW495" s="1021"/>
      <c r="BX495" s="1021"/>
      <c r="BY495" s="1021"/>
      <c r="BZ495" s="1021"/>
      <c r="CA495" s="1021"/>
      <c r="CB495" s="1021"/>
      <c r="CC495" s="1021"/>
    </row>
    <row r="496" spans="8:81" x14ac:dyDescent="0.25">
      <c r="H496" s="1021"/>
      <c r="I496" s="1021"/>
      <c r="J496" s="1021"/>
      <c r="K496" s="1021"/>
      <c r="L496" s="1021"/>
      <c r="M496" s="1021"/>
      <c r="N496" s="1021"/>
      <c r="O496" s="1021"/>
      <c r="P496" s="1021"/>
      <c r="Q496" s="1021"/>
      <c r="R496" s="1021"/>
      <c r="S496" s="1021"/>
      <c r="T496" s="1021"/>
      <c r="U496" s="1021"/>
      <c r="V496" s="1021"/>
      <c r="W496" s="1021"/>
      <c r="X496" s="1021"/>
      <c r="Y496" s="1021"/>
      <c r="Z496" s="1021"/>
      <c r="AA496" s="1021"/>
      <c r="AB496" s="1021"/>
      <c r="AC496" s="1021"/>
      <c r="AD496" s="1021"/>
      <c r="AE496" s="1021"/>
      <c r="AF496" s="1021"/>
      <c r="AG496" s="1021"/>
      <c r="AH496" s="1021"/>
      <c r="AI496" s="1021"/>
      <c r="AJ496" s="1021"/>
      <c r="AK496" s="1021"/>
      <c r="AL496" s="1021"/>
      <c r="AM496" s="1021"/>
      <c r="AN496" s="1021"/>
      <c r="AO496" s="1021"/>
      <c r="AP496" s="1021"/>
      <c r="AQ496" s="1021"/>
      <c r="AR496" s="1021"/>
      <c r="AS496" s="1021"/>
      <c r="AT496" s="1021"/>
      <c r="AU496" s="1021"/>
      <c r="AV496" s="1021"/>
      <c r="AW496" s="1021"/>
      <c r="AX496" s="1021"/>
      <c r="AY496" s="1021"/>
      <c r="AZ496" s="1021"/>
      <c r="BA496" s="1021"/>
      <c r="BB496" s="1021"/>
      <c r="BC496" s="1021"/>
      <c r="BD496" s="1021"/>
      <c r="BE496" s="1021"/>
      <c r="BF496" s="1021"/>
      <c r="BG496" s="1021"/>
      <c r="BH496" s="1021"/>
      <c r="BI496" s="1021"/>
      <c r="BJ496" s="1021"/>
      <c r="BK496" s="1021"/>
      <c r="BL496" s="1021"/>
      <c r="BM496" s="1021"/>
      <c r="BN496" s="1021"/>
      <c r="BO496" s="1021"/>
      <c r="BP496" s="1021"/>
      <c r="BQ496" s="1021"/>
      <c r="BR496" s="1021"/>
      <c r="BS496" s="1021"/>
      <c r="BT496" s="1021"/>
      <c r="BU496" s="1021"/>
      <c r="BV496" s="1021"/>
      <c r="BW496" s="1021"/>
      <c r="BX496" s="1021"/>
      <c r="BY496" s="1021"/>
      <c r="BZ496" s="1021"/>
      <c r="CA496" s="1021"/>
      <c r="CB496" s="1021"/>
      <c r="CC496" s="1021"/>
    </row>
    <row r="497" spans="8:81" x14ac:dyDescent="0.25">
      <c r="H497" s="1021"/>
      <c r="I497" s="1021"/>
      <c r="J497" s="1021"/>
      <c r="K497" s="1021"/>
      <c r="L497" s="1021"/>
      <c r="M497" s="1021"/>
      <c r="N497" s="1021"/>
      <c r="O497" s="1021"/>
      <c r="P497" s="1021"/>
      <c r="Q497" s="1021"/>
      <c r="R497" s="1021"/>
      <c r="S497" s="1021"/>
      <c r="T497" s="1021"/>
      <c r="U497" s="1021"/>
      <c r="V497" s="1021"/>
      <c r="W497" s="1021"/>
      <c r="X497" s="1021"/>
      <c r="Y497" s="1021"/>
      <c r="Z497" s="1021"/>
      <c r="AA497" s="1021"/>
      <c r="AB497" s="1021"/>
      <c r="AC497" s="1021"/>
      <c r="AD497" s="1021"/>
      <c r="AE497" s="1021"/>
      <c r="AF497" s="1021"/>
      <c r="AG497" s="1021"/>
      <c r="AH497" s="1021"/>
      <c r="AI497" s="1021"/>
      <c r="AJ497" s="1021"/>
      <c r="AK497" s="1021"/>
      <c r="AL497" s="1021"/>
      <c r="AM497" s="1021"/>
      <c r="AN497" s="1021"/>
      <c r="AO497" s="1021"/>
      <c r="AP497" s="1021"/>
      <c r="AQ497" s="1021"/>
      <c r="AR497" s="1021"/>
      <c r="AS497" s="1021"/>
      <c r="AT497" s="1021"/>
      <c r="AU497" s="1021"/>
      <c r="AV497" s="1021"/>
      <c r="AW497" s="1021"/>
      <c r="AX497" s="1021"/>
      <c r="AY497" s="1021"/>
      <c r="AZ497" s="1021"/>
      <c r="BA497" s="1021"/>
      <c r="BB497" s="1021"/>
      <c r="BC497" s="1021"/>
      <c r="BD497" s="1021"/>
      <c r="BE497" s="1021"/>
      <c r="BF497" s="1021"/>
      <c r="BG497" s="1021"/>
      <c r="BH497" s="1021"/>
      <c r="BI497" s="1021"/>
      <c r="BJ497" s="1021"/>
      <c r="BK497" s="1021"/>
      <c r="BL497" s="1021"/>
      <c r="BM497" s="1021"/>
      <c r="BN497" s="1021"/>
      <c r="BO497" s="1021"/>
      <c r="BP497" s="1021"/>
      <c r="BQ497" s="1021"/>
      <c r="BR497" s="1021"/>
      <c r="BS497" s="1021"/>
      <c r="BT497" s="1021"/>
      <c r="BU497" s="1021"/>
      <c r="BV497" s="1021"/>
      <c r="BW497" s="1021"/>
      <c r="BX497" s="1021"/>
      <c r="BY497" s="1021"/>
      <c r="BZ497" s="1021"/>
      <c r="CA497" s="1021"/>
      <c r="CB497" s="1021"/>
      <c r="CC497" s="1021"/>
    </row>
    <row r="498" spans="8:81" x14ac:dyDescent="0.25">
      <c r="H498" s="1021"/>
      <c r="I498" s="1021"/>
      <c r="J498" s="1021"/>
      <c r="K498" s="1021"/>
      <c r="L498" s="1021"/>
      <c r="M498" s="1021"/>
      <c r="N498" s="1021"/>
      <c r="O498" s="1021"/>
      <c r="P498" s="1021"/>
      <c r="Q498" s="1021"/>
      <c r="R498" s="1021"/>
      <c r="S498" s="1021"/>
      <c r="T498" s="1021"/>
      <c r="U498" s="1021"/>
      <c r="V498" s="1021"/>
      <c r="W498" s="1021"/>
      <c r="X498" s="1021"/>
      <c r="Y498" s="1021"/>
      <c r="Z498" s="1021"/>
      <c r="AA498" s="1021"/>
      <c r="AB498" s="1021"/>
      <c r="AC498" s="1021"/>
      <c r="AD498" s="1021"/>
      <c r="AE498" s="1021"/>
      <c r="AF498" s="1021"/>
      <c r="AG498" s="1021"/>
      <c r="AH498" s="1021"/>
      <c r="AI498" s="1021"/>
      <c r="AJ498" s="1021"/>
      <c r="AK498" s="1021"/>
      <c r="AL498" s="1021"/>
      <c r="AM498" s="1021"/>
      <c r="AN498" s="1021"/>
      <c r="AO498" s="1021"/>
      <c r="AP498" s="1021"/>
      <c r="AQ498" s="1021"/>
      <c r="AR498" s="1021"/>
      <c r="AS498" s="1021"/>
      <c r="AT498" s="1021"/>
      <c r="AU498" s="1021"/>
      <c r="AV498" s="1021"/>
      <c r="AW498" s="1021"/>
      <c r="AX498" s="1021"/>
      <c r="AY498" s="1021"/>
      <c r="AZ498" s="1021"/>
      <c r="BA498" s="1021"/>
      <c r="BB498" s="1021"/>
      <c r="BC498" s="1021"/>
      <c r="BD498" s="1021"/>
      <c r="BE498" s="1021"/>
      <c r="BF498" s="1021"/>
      <c r="BG498" s="1021"/>
      <c r="BH498" s="1021"/>
      <c r="BI498" s="1021"/>
      <c r="BJ498" s="1021"/>
      <c r="BK498" s="1021"/>
      <c r="BL498" s="1021"/>
      <c r="BM498" s="1021"/>
      <c r="BN498" s="1021"/>
      <c r="BO498" s="1021"/>
      <c r="BP498" s="1021"/>
      <c r="BQ498" s="1021"/>
      <c r="BR498" s="1021"/>
      <c r="BS498" s="1021"/>
      <c r="BT498" s="1021"/>
      <c r="BU498" s="1021"/>
      <c r="BV498" s="1021"/>
      <c r="BW498" s="1021"/>
      <c r="BX498" s="1021"/>
      <c r="BY498" s="1021"/>
      <c r="BZ498" s="1021"/>
      <c r="CA498" s="1021"/>
      <c r="CB498" s="1021"/>
      <c r="CC498" s="1021"/>
    </row>
    <row r="499" spans="8:81" x14ac:dyDescent="0.25">
      <c r="H499" s="1021"/>
      <c r="I499" s="1021"/>
      <c r="J499" s="1021"/>
      <c r="K499" s="1021"/>
      <c r="L499" s="1021"/>
      <c r="M499" s="1021"/>
      <c r="N499" s="1021"/>
      <c r="O499" s="1021"/>
      <c r="P499" s="1021"/>
      <c r="Q499" s="1021"/>
      <c r="R499" s="1021"/>
      <c r="S499" s="1021"/>
      <c r="T499" s="1021"/>
      <c r="U499" s="1021"/>
      <c r="V499" s="1021"/>
      <c r="W499" s="1021"/>
      <c r="X499" s="1021"/>
      <c r="Y499" s="1021"/>
      <c r="Z499" s="1021"/>
      <c r="AA499" s="1021"/>
      <c r="AB499" s="1021"/>
      <c r="AC499" s="1021"/>
      <c r="AD499" s="1021"/>
      <c r="AE499" s="1021"/>
      <c r="AF499" s="1021"/>
      <c r="AG499" s="1021"/>
      <c r="AH499" s="1021"/>
      <c r="AI499" s="1021"/>
      <c r="AJ499" s="1021"/>
      <c r="AK499" s="1021"/>
      <c r="AL499" s="1021"/>
      <c r="AM499" s="1021"/>
      <c r="AN499" s="1021"/>
      <c r="AO499" s="1021"/>
      <c r="AP499" s="1021"/>
      <c r="AQ499" s="1021"/>
      <c r="AR499" s="1021"/>
      <c r="AS499" s="1021"/>
      <c r="AT499" s="1021"/>
      <c r="AU499" s="1021"/>
      <c r="AV499" s="1021"/>
      <c r="AW499" s="1021"/>
      <c r="AX499" s="1021"/>
      <c r="AY499" s="1021"/>
      <c r="AZ499" s="1021"/>
      <c r="BA499" s="1021"/>
      <c r="BB499" s="1021"/>
      <c r="BC499" s="1021"/>
      <c r="BD499" s="1021"/>
      <c r="BE499" s="1021"/>
      <c r="BF499" s="1021"/>
      <c r="BG499" s="1021"/>
      <c r="BH499" s="1021"/>
      <c r="BI499" s="1021"/>
      <c r="BJ499" s="1021"/>
      <c r="BK499" s="1021"/>
      <c r="BL499" s="1021"/>
      <c r="BM499" s="1021"/>
      <c r="BN499" s="1021"/>
      <c r="BO499" s="1021"/>
      <c r="BP499" s="1021"/>
      <c r="BQ499" s="1021"/>
      <c r="BR499" s="1021"/>
      <c r="BS499" s="1021"/>
      <c r="BT499" s="1021"/>
      <c r="BU499" s="1021"/>
      <c r="BV499" s="1021"/>
      <c r="BW499" s="1021"/>
      <c r="BX499" s="1021"/>
      <c r="BY499" s="1021"/>
      <c r="BZ499" s="1021"/>
      <c r="CA499" s="1021"/>
      <c r="CB499" s="1021"/>
      <c r="CC499" s="1021"/>
    </row>
    <row r="500" spans="8:81" x14ac:dyDescent="0.25">
      <c r="H500" s="1021"/>
      <c r="I500" s="1021"/>
      <c r="J500" s="1021"/>
      <c r="K500" s="1021"/>
      <c r="L500" s="1021"/>
      <c r="M500" s="1021"/>
      <c r="N500" s="1021"/>
      <c r="O500" s="1021"/>
      <c r="P500" s="1021"/>
      <c r="Q500" s="1021"/>
      <c r="R500" s="1021"/>
      <c r="S500" s="1021"/>
      <c r="T500" s="1021"/>
      <c r="U500" s="1021"/>
      <c r="V500" s="1021"/>
      <c r="W500" s="1021"/>
      <c r="X500" s="1021"/>
      <c r="Y500" s="1021"/>
      <c r="Z500" s="1021"/>
      <c r="AA500" s="1021"/>
      <c r="AB500" s="1021"/>
      <c r="AC500" s="1021"/>
      <c r="AD500" s="1021"/>
      <c r="AE500" s="1021"/>
      <c r="AF500" s="1021"/>
      <c r="AG500" s="1021"/>
      <c r="AH500" s="1021"/>
      <c r="AI500" s="1021"/>
      <c r="AJ500" s="1021"/>
      <c r="AK500" s="1021"/>
      <c r="AL500" s="1021"/>
      <c r="AM500" s="1021"/>
      <c r="AN500" s="1021"/>
      <c r="AO500" s="1021"/>
      <c r="AP500" s="1021"/>
      <c r="AQ500" s="1021"/>
      <c r="AR500" s="1021"/>
      <c r="AS500" s="1021"/>
      <c r="AT500" s="1021"/>
      <c r="AU500" s="1021"/>
      <c r="AV500" s="1021"/>
      <c r="AW500" s="1021"/>
      <c r="AX500" s="1021"/>
      <c r="AY500" s="1021"/>
      <c r="AZ500" s="1021"/>
      <c r="BA500" s="1021"/>
      <c r="BB500" s="1021"/>
      <c r="BC500" s="1021"/>
      <c r="BD500" s="1021"/>
      <c r="BE500" s="1021"/>
      <c r="BF500" s="1021"/>
      <c r="BG500" s="1021"/>
      <c r="BH500" s="1021"/>
      <c r="BI500" s="1021"/>
      <c r="BJ500" s="1021"/>
      <c r="BK500" s="1021"/>
      <c r="BL500" s="1021"/>
      <c r="BM500" s="1021"/>
      <c r="BN500" s="1021"/>
      <c r="BO500" s="1021"/>
      <c r="BP500" s="1021"/>
      <c r="BQ500" s="1021"/>
      <c r="BR500" s="1021"/>
      <c r="BS500" s="1021"/>
      <c r="BT500" s="1021"/>
      <c r="BU500" s="1021"/>
      <c r="BV500" s="1021"/>
      <c r="BW500" s="1021"/>
      <c r="BX500" s="1021"/>
      <c r="BY500" s="1021"/>
      <c r="BZ500" s="1021"/>
      <c r="CA500" s="1021"/>
      <c r="CB500" s="1021"/>
      <c r="CC500" s="1021"/>
    </row>
  </sheetData>
  <pageMargins left="0.75" right="0.75" top="1" bottom="1" header="0.5" footer="0.5"/>
  <pageSetup orientation="portrait" horizontalDpi="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J500"/>
  <sheetViews>
    <sheetView showGridLines="0" zoomScale="70" workbookViewId="0">
      <pane xSplit="1" ySplit="5" topLeftCell="DA6" activePane="bottomRight" state="frozenSplit"/>
      <selection sqref="A1:IV65536"/>
      <selection pane="topRight" sqref="A1:IV65536"/>
      <selection pane="bottomLeft" sqref="A1:IV65536"/>
      <selection pane="bottomRight" activeCell="DJ6" sqref="DJ6"/>
    </sheetView>
  </sheetViews>
  <sheetFormatPr defaultRowHeight="13.2" x14ac:dyDescent="0.25"/>
  <cols>
    <col min="1" max="1" width="19" customWidth="1"/>
    <col min="2" max="6" width="5.44140625" customWidth="1"/>
    <col min="7" max="7" width="2.88671875" customWidth="1"/>
    <col min="8" max="106" width="11.88671875" customWidth="1"/>
    <col min="107" max="107" width="0" hidden="1" customWidth="1"/>
    <col min="111" max="111" width="0" hidden="1" customWidth="1"/>
    <col min="112" max="112" width="25.109375" style="1009" customWidth="1"/>
    <col min="113" max="113" width="17.44140625" customWidth="1"/>
    <col min="114" max="114" width="24" style="1032" customWidth="1"/>
  </cols>
  <sheetData>
    <row r="1" spans="1:114" x14ac:dyDescent="0.25">
      <c r="A1" s="1016" t="s">
        <v>363</v>
      </c>
      <c r="B1" s="192" t="s">
        <v>367</v>
      </c>
      <c r="C1" s="298"/>
      <c r="D1" s="298"/>
      <c r="E1" s="298"/>
      <c r="F1" s="242"/>
      <c r="H1" s="192" t="s">
        <v>601</v>
      </c>
      <c r="I1" s="298"/>
      <c r="J1" s="298"/>
      <c r="K1" s="298"/>
      <c r="L1" s="298"/>
      <c r="M1" s="298"/>
      <c r="N1" s="298"/>
      <c r="O1" s="298"/>
      <c r="P1" s="298"/>
      <c r="Q1" s="298"/>
      <c r="R1" s="298"/>
      <c r="S1" s="298"/>
      <c r="T1" s="298"/>
      <c r="U1" s="298"/>
      <c r="V1" s="298"/>
      <c r="W1" s="298"/>
      <c r="X1" s="298"/>
      <c r="Y1" s="298"/>
      <c r="Z1" s="298"/>
      <c r="AA1" s="298"/>
      <c r="AB1" s="298"/>
      <c r="AC1" s="298"/>
      <c r="AD1" s="298"/>
      <c r="AE1" s="242"/>
      <c r="AG1" s="192" t="s">
        <v>574</v>
      </c>
      <c r="AH1" s="298"/>
      <c r="AI1" s="298"/>
      <c r="AJ1" s="298"/>
      <c r="AK1" s="298"/>
      <c r="AL1" s="298"/>
      <c r="AM1" s="298"/>
      <c r="AN1" s="298"/>
      <c r="AO1" s="298"/>
      <c r="AP1" s="298"/>
      <c r="AQ1" s="298"/>
      <c r="AR1" s="298"/>
      <c r="AS1" s="298"/>
      <c r="AT1" s="298"/>
      <c r="AU1" s="298"/>
      <c r="AV1" s="298"/>
      <c r="AW1" s="298"/>
      <c r="AX1" s="298"/>
      <c r="AY1" s="298"/>
      <c r="AZ1" s="298"/>
      <c r="BA1" s="298"/>
      <c r="BB1" s="298"/>
      <c r="BC1" s="298"/>
      <c r="BD1" s="242"/>
      <c r="BF1" s="192" t="s">
        <v>575</v>
      </c>
      <c r="BG1" s="298"/>
      <c r="BH1" s="298"/>
      <c r="BI1" s="298"/>
      <c r="BJ1" s="298"/>
      <c r="BK1" s="298"/>
      <c r="BL1" s="298"/>
      <c r="BM1" s="298"/>
      <c r="BN1" s="298"/>
      <c r="BO1" s="298"/>
      <c r="BP1" s="298"/>
      <c r="BQ1" s="298"/>
      <c r="BR1" s="298"/>
      <c r="BS1" s="298"/>
      <c r="BT1" s="298"/>
      <c r="BU1" s="298"/>
      <c r="BV1" s="298"/>
      <c r="BW1" s="298"/>
      <c r="BX1" s="298"/>
      <c r="BY1" s="298"/>
      <c r="BZ1" s="298"/>
      <c r="CA1" s="298"/>
      <c r="CB1" s="298"/>
      <c r="CC1" s="242"/>
      <c r="CE1" s="192" t="s">
        <v>602</v>
      </c>
      <c r="CF1" s="298"/>
      <c r="CG1" s="298"/>
      <c r="CH1" s="298"/>
      <c r="CI1" s="298"/>
      <c r="CJ1" s="298"/>
      <c r="CK1" s="298"/>
      <c r="CL1" s="298"/>
      <c r="CM1" s="298"/>
      <c r="CN1" s="298"/>
      <c r="CO1" s="298"/>
      <c r="CP1" s="298"/>
      <c r="CQ1" s="298"/>
      <c r="CR1" s="298"/>
      <c r="CS1" s="298"/>
      <c r="CT1" s="298"/>
      <c r="CU1" s="298"/>
      <c r="CV1" s="298"/>
      <c r="CW1" s="298"/>
      <c r="CX1" s="298"/>
      <c r="CY1" s="298"/>
      <c r="CZ1" s="298"/>
      <c r="DA1" s="298"/>
      <c r="DB1" s="242"/>
    </row>
    <row r="2" spans="1:114" x14ac:dyDescent="0.25">
      <c r="A2" s="249"/>
      <c r="B2" s="257" t="s">
        <v>374</v>
      </c>
      <c r="C2" s="258"/>
      <c r="D2" s="258"/>
      <c r="E2" s="258"/>
      <c r="F2" s="259"/>
      <c r="H2" s="257" t="s">
        <v>600</v>
      </c>
      <c r="I2" s="258"/>
      <c r="J2" s="258"/>
      <c r="K2" s="258"/>
      <c r="L2" s="258"/>
      <c r="M2" s="258"/>
      <c r="N2" s="258"/>
      <c r="O2" s="258"/>
      <c r="P2" s="258"/>
      <c r="Q2" s="258"/>
      <c r="R2" s="258"/>
      <c r="S2" s="258"/>
      <c r="T2" s="258"/>
      <c r="U2" s="258"/>
      <c r="V2" s="258"/>
      <c r="W2" s="258"/>
      <c r="X2" s="258"/>
      <c r="Y2" s="258"/>
      <c r="Z2" s="258"/>
      <c r="AA2" s="258"/>
      <c r="AB2" s="258"/>
      <c r="AC2" s="258"/>
      <c r="AD2" s="258"/>
      <c r="AE2" s="259"/>
      <c r="AG2" s="257" t="s">
        <v>573</v>
      </c>
      <c r="AH2" s="258"/>
      <c r="AI2" s="258"/>
      <c r="AJ2" s="258"/>
      <c r="AK2" s="258"/>
      <c r="AL2" s="258"/>
      <c r="AM2" s="258"/>
      <c r="AN2" s="258"/>
      <c r="AO2" s="258"/>
      <c r="AP2" s="258"/>
      <c r="AQ2" s="258"/>
      <c r="AR2" s="258"/>
      <c r="AS2" s="258"/>
      <c r="AT2" s="258"/>
      <c r="AU2" s="258"/>
      <c r="AV2" s="258"/>
      <c r="AW2" s="258"/>
      <c r="AX2" s="258"/>
      <c r="AY2" s="258"/>
      <c r="AZ2" s="258"/>
      <c r="BA2" s="258"/>
      <c r="BB2" s="258"/>
      <c r="BC2" s="258"/>
      <c r="BD2" s="259"/>
      <c r="BF2" s="257" t="s">
        <v>573</v>
      </c>
      <c r="BG2" s="258"/>
      <c r="BH2" s="258"/>
      <c r="BI2" s="258"/>
      <c r="BJ2" s="258"/>
      <c r="BK2" s="258"/>
      <c r="BL2" s="258"/>
      <c r="BM2" s="258"/>
      <c r="BN2" s="258"/>
      <c r="BO2" s="258"/>
      <c r="BP2" s="258"/>
      <c r="BQ2" s="258"/>
      <c r="BR2" s="258"/>
      <c r="BS2" s="258"/>
      <c r="BT2" s="258"/>
      <c r="BU2" s="258"/>
      <c r="BV2" s="258"/>
      <c r="BW2" s="258"/>
      <c r="BX2" s="258"/>
      <c r="BY2" s="258"/>
      <c r="BZ2" s="258"/>
      <c r="CA2" s="258"/>
      <c r="CB2" s="258"/>
      <c r="CC2" s="259"/>
      <c r="CE2" s="257" t="s">
        <v>573</v>
      </c>
      <c r="CF2" s="258"/>
      <c r="CG2" s="258"/>
      <c r="CH2" s="258"/>
      <c r="CI2" s="258"/>
      <c r="CJ2" s="258"/>
      <c r="CK2" s="258"/>
      <c r="CL2" s="258"/>
      <c r="CM2" s="258"/>
      <c r="CN2" s="258"/>
      <c r="CO2" s="258"/>
      <c r="CP2" s="258"/>
      <c r="CQ2" s="258"/>
      <c r="CR2" s="258"/>
      <c r="CS2" s="258"/>
      <c r="CT2" s="258"/>
      <c r="CU2" s="258"/>
      <c r="CV2" s="258"/>
      <c r="CW2" s="258"/>
      <c r="CX2" s="258"/>
      <c r="CY2" s="258"/>
      <c r="CZ2" s="258"/>
      <c r="DA2" s="258"/>
      <c r="DB2" s="259"/>
      <c r="DH2" s="1034" t="s">
        <v>615</v>
      </c>
    </row>
    <row r="3" spans="1:114" x14ac:dyDescent="0.25">
      <c r="A3" s="262" t="s">
        <v>394</v>
      </c>
      <c r="B3" s="269" t="s">
        <v>400</v>
      </c>
      <c r="C3" s="267"/>
      <c r="D3" s="267"/>
      <c r="E3" s="267"/>
      <c r="F3" s="268"/>
      <c r="H3" s="269">
        <v>1</v>
      </c>
      <c r="I3" s="267">
        <v>1</v>
      </c>
      <c r="J3" s="267">
        <v>1</v>
      </c>
      <c r="K3" s="267">
        <v>1</v>
      </c>
      <c r="L3" s="267">
        <v>2</v>
      </c>
      <c r="M3" s="267">
        <v>2</v>
      </c>
      <c r="N3" s="267">
        <v>2</v>
      </c>
      <c r="O3" s="267">
        <v>2</v>
      </c>
      <c r="P3" s="267">
        <v>3</v>
      </c>
      <c r="Q3" s="267">
        <v>3</v>
      </c>
      <c r="R3" s="267">
        <v>3</v>
      </c>
      <c r="S3" s="267">
        <v>3</v>
      </c>
      <c r="T3" s="267">
        <v>4</v>
      </c>
      <c r="U3" s="267">
        <v>4</v>
      </c>
      <c r="V3" s="267">
        <v>4</v>
      </c>
      <c r="W3" s="267">
        <v>4</v>
      </c>
      <c r="X3" s="267">
        <v>5</v>
      </c>
      <c r="Y3" s="267">
        <v>5</v>
      </c>
      <c r="Z3" s="267">
        <v>5</v>
      </c>
      <c r="AA3" s="267">
        <v>5</v>
      </c>
      <c r="AB3" s="267">
        <v>6</v>
      </c>
      <c r="AC3" s="267">
        <v>6</v>
      </c>
      <c r="AD3" s="267">
        <v>6</v>
      </c>
      <c r="AE3" s="268">
        <v>6</v>
      </c>
      <c r="AG3" s="269">
        <v>1</v>
      </c>
      <c r="AH3" s="267">
        <v>1</v>
      </c>
      <c r="AI3" s="267">
        <v>1</v>
      </c>
      <c r="AJ3" s="267">
        <v>1</v>
      </c>
      <c r="AK3" s="267">
        <v>2</v>
      </c>
      <c r="AL3" s="267">
        <v>2</v>
      </c>
      <c r="AM3" s="267">
        <v>2</v>
      </c>
      <c r="AN3" s="267">
        <v>2</v>
      </c>
      <c r="AO3" s="267">
        <v>3</v>
      </c>
      <c r="AP3" s="267">
        <v>3</v>
      </c>
      <c r="AQ3" s="267">
        <v>3</v>
      </c>
      <c r="AR3" s="267">
        <v>3</v>
      </c>
      <c r="AS3" s="267">
        <v>4</v>
      </c>
      <c r="AT3" s="267">
        <v>4</v>
      </c>
      <c r="AU3" s="267">
        <v>4</v>
      </c>
      <c r="AV3" s="267">
        <v>4</v>
      </c>
      <c r="AW3" s="267">
        <v>5</v>
      </c>
      <c r="AX3" s="267">
        <v>5</v>
      </c>
      <c r="AY3" s="267">
        <v>5</v>
      </c>
      <c r="AZ3" s="267">
        <v>5</v>
      </c>
      <c r="BA3" s="267">
        <v>6</v>
      </c>
      <c r="BB3" s="267">
        <v>6</v>
      </c>
      <c r="BC3" s="267">
        <v>6</v>
      </c>
      <c r="BD3" s="268">
        <v>6</v>
      </c>
      <c r="BF3" s="269">
        <v>1</v>
      </c>
      <c r="BG3" s="267">
        <v>1</v>
      </c>
      <c r="BH3" s="267">
        <v>1</v>
      </c>
      <c r="BI3" s="267">
        <v>1</v>
      </c>
      <c r="BJ3" s="267">
        <v>2</v>
      </c>
      <c r="BK3" s="267">
        <v>2</v>
      </c>
      <c r="BL3" s="267">
        <v>2</v>
      </c>
      <c r="BM3" s="267">
        <v>2</v>
      </c>
      <c r="BN3" s="267">
        <v>3</v>
      </c>
      <c r="BO3" s="267">
        <v>3</v>
      </c>
      <c r="BP3" s="267">
        <v>3</v>
      </c>
      <c r="BQ3" s="267">
        <v>3</v>
      </c>
      <c r="BR3" s="267">
        <v>4</v>
      </c>
      <c r="BS3" s="267">
        <v>4</v>
      </c>
      <c r="BT3" s="267">
        <v>4</v>
      </c>
      <c r="BU3" s="267">
        <v>4</v>
      </c>
      <c r="BV3" s="267">
        <v>5</v>
      </c>
      <c r="BW3" s="267">
        <v>5</v>
      </c>
      <c r="BX3" s="267">
        <v>5</v>
      </c>
      <c r="BY3" s="267">
        <v>5</v>
      </c>
      <c r="BZ3" s="267">
        <v>6</v>
      </c>
      <c r="CA3" s="267">
        <v>6</v>
      </c>
      <c r="CB3" s="267">
        <v>6</v>
      </c>
      <c r="CC3" s="268">
        <v>6</v>
      </c>
      <c r="CE3" s="269">
        <v>1</v>
      </c>
      <c r="CF3" s="267">
        <v>1</v>
      </c>
      <c r="CG3" s="267">
        <v>1</v>
      </c>
      <c r="CH3" s="267">
        <v>1</v>
      </c>
      <c r="CI3" s="267">
        <v>2</v>
      </c>
      <c r="CJ3" s="267">
        <v>2</v>
      </c>
      <c r="CK3" s="267">
        <v>2</v>
      </c>
      <c r="CL3" s="267">
        <v>2</v>
      </c>
      <c r="CM3" s="267">
        <v>3</v>
      </c>
      <c r="CN3" s="267">
        <v>3</v>
      </c>
      <c r="CO3" s="267">
        <v>3</v>
      </c>
      <c r="CP3" s="267">
        <v>3</v>
      </c>
      <c r="CQ3" s="267">
        <v>4</v>
      </c>
      <c r="CR3" s="267">
        <v>4</v>
      </c>
      <c r="CS3" s="267">
        <v>4</v>
      </c>
      <c r="CT3" s="267">
        <v>4</v>
      </c>
      <c r="CU3" s="267">
        <v>5</v>
      </c>
      <c r="CV3" s="267">
        <v>5</v>
      </c>
      <c r="CW3" s="267">
        <v>5</v>
      </c>
      <c r="CX3" s="267">
        <v>5</v>
      </c>
      <c r="CY3" s="267">
        <v>6</v>
      </c>
      <c r="CZ3" s="267">
        <v>6</v>
      </c>
      <c r="DA3" s="267">
        <v>6</v>
      </c>
      <c r="DB3" s="268">
        <v>6</v>
      </c>
      <c r="DH3" s="1034" t="s">
        <v>604</v>
      </c>
      <c r="DI3" s="1015" t="s">
        <v>398</v>
      </c>
      <c r="DJ3" s="1033" t="s">
        <v>605</v>
      </c>
    </row>
    <row r="4" spans="1:114" x14ac:dyDescent="0.25">
      <c r="A4" s="262" t="s">
        <v>15</v>
      </c>
      <c r="B4" s="262" t="s">
        <v>420</v>
      </c>
      <c r="C4" s="246" t="s">
        <v>21</v>
      </c>
      <c r="D4" s="246" t="s">
        <v>22</v>
      </c>
      <c r="E4" s="246" t="s">
        <v>23</v>
      </c>
      <c r="F4" s="263" t="s">
        <v>257</v>
      </c>
      <c r="H4" s="262" t="s">
        <v>558</v>
      </c>
      <c r="I4" s="246" t="s">
        <v>558</v>
      </c>
      <c r="J4" s="246" t="s">
        <v>558</v>
      </c>
      <c r="K4" s="246" t="s">
        <v>558</v>
      </c>
      <c r="L4" s="246" t="s">
        <v>559</v>
      </c>
      <c r="M4" s="246" t="s">
        <v>559</v>
      </c>
      <c r="N4" s="246" t="s">
        <v>559</v>
      </c>
      <c r="O4" s="246" t="s">
        <v>559</v>
      </c>
      <c r="P4" s="246" t="s">
        <v>560</v>
      </c>
      <c r="Q4" s="246" t="s">
        <v>560</v>
      </c>
      <c r="R4" s="246" t="s">
        <v>560</v>
      </c>
      <c r="S4" s="246" t="s">
        <v>560</v>
      </c>
      <c r="T4" s="246" t="s">
        <v>561</v>
      </c>
      <c r="U4" s="246" t="s">
        <v>561</v>
      </c>
      <c r="V4" s="246" t="s">
        <v>561</v>
      </c>
      <c r="W4" s="246" t="s">
        <v>561</v>
      </c>
      <c r="X4" s="246" t="s">
        <v>562</v>
      </c>
      <c r="Y4" s="246" t="s">
        <v>562</v>
      </c>
      <c r="Z4" s="246" t="s">
        <v>562</v>
      </c>
      <c r="AA4" s="246" t="s">
        <v>562</v>
      </c>
      <c r="AB4" s="246" t="s">
        <v>563</v>
      </c>
      <c r="AC4" s="246" t="s">
        <v>563</v>
      </c>
      <c r="AD4" s="246" t="s">
        <v>563</v>
      </c>
      <c r="AE4" s="263" t="s">
        <v>563</v>
      </c>
      <c r="AG4" s="262" t="s">
        <v>564</v>
      </c>
      <c r="AH4" s="246" t="s">
        <v>564</v>
      </c>
      <c r="AI4" s="246" t="s">
        <v>564</v>
      </c>
      <c r="AJ4" s="246" t="s">
        <v>564</v>
      </c>
      <c r="AK4" s="246" t="s">
        <v>565</v>
      </c>
      <c r="AL4" s="246" t="s">
        <v>565</v>
      </c>
      <c r="AM4" s="246" t="s">
        <v>565</v>
      </c>
      <c r="AN4" s="246" t="s">
        <v>565</v>
      </c>
      <c r="AO4" s="246" t="s">
        <v>566</v>
      </c>
      <c r="AP4" s="246" t="s">
        <v>566</v>
      </c>
      <c r="AQ4" s="246" t="s">
        <v>566</v>
      </c>
      <c r="AR4" s="246" t="s">
        <v>566</v>
      </c>
      <c r="AS4" s="246" t="s">
        <v>567</v>
      </c>
      <c r="AT4" s="246" t="s">
        <v>567</v>
      </c>
      <c r="AU4" s="246" t="s">
        <v>567</v>
      </c>
      <c r="AV4" s="246" t="s">
        <v>567</v>
      </c>
      <c r="AW4" s="246" t="s">
        <v>568</v>
      </c>
      <c r="AX4" s="246" t="s">
        <v>568</v>
      </c>
      <c r="AY4" s="246" t="s">
        <v>568</v>
      </c>
      <c r="AZ4" s="246" t="s">
        <v>568</v>
      </c>
      <c r="BA4" s="246" t="s">
        <v>569</v>
      </c>
      <c r="BB4" s="246" t="s">
        <v>569</v>
      </c>
      <c r="BC4" s="246" t="s">
        <v>569</v>
      </c>
      <c r="BD4" s="263" t="s">
        <v>569</v>
      </c>
      <c r="BF4" s="262" t="s">
        <v>564</v>
      </c>
      <c r="BG4" s="246" t="s">
        <v>564</v>
      </c>
      <c r="BH4" s="246" t="s">
        <v>564</v>
      </c>
      <c r="BI4" s="246" t="s">
        <v>564</v>
      </c>
      <c r="BJ4" s="246" t="s">
        <v>565</v>
      </c>
      <c r="BK4" s="246" t="s">
        <v>565</v>
      </c>
      <c r="BL4" s="246" t="s">
        <v>565</v>
      </c>
      <c r="BM4" s="246" t="s">
        <v>565</v>
      </c>
      <c r="BN4" s="246" t="s">
        <v>566</v>
      </c>
      <c r="BO4" s="246" t="s">
        <v>566</v>
      </c>
      <c r="BP4" s="246" t="s">
        <v>566</v>
      </c>
      <c r="BQ4" s="246" t="s">
        <v>566</v>
      </c>
      <c r="BR4" s="246" t="s">
        <v>567</v>
      </c>
      <c r="BS4" s="246" t="s">
        <v>567</v>
      </c>
      <c r="BT4" s="246" t="s">
        <v>567</v>
      </c>
      <c r="BU4" s="246" t="s">
        <v>567</v>
      </c>
      <c r="BV4" s="246" t="s">
        <v>568</v>
      </c>
      <c r="BW4" s="246" t="s">
        <v>568</v>
      </c>
      <c r="BX4" s="246" t="s">
        <v>568</v>
      </c>
      <c r="BY4" s="246" t="s">
        <v>568</v>
      </c>
      <c r="BZ4" s="246" t="s">
        <v>569</v>
      </c>
      <c r="CA4" s="246" t="s">
        <v>569</v>
      </c>
      <c r="CB4" s="246" t="s">
        <v>569</v>
      </c>
      <c r="CC4" s="263" t="s">
        <v>569</v>
      </c>
      <c r="CE4" s="262" t="s">
        <v>564</v>
      </c>
      <c r="CF4" s="246" t="s">
        <v>564</v>
      </c>
      <c r="CG4" s="246" t="s">
        <v>564</v>
      </c>
      <c r="CH4" s="246" t="s">
        <v>564</v>
      </c>
      <c r="CI4" s="246" t="s">
        <v>565</v>
      </c>
      <c r="CJ4" s="246" t="s">
        <v>565</v>
      </c>
      <c r="CK4" s="246" t="s">
        <v>565</v>
      </c>
      <c r="CL4" s="246" t="s">
        <v>565</v>
      </c>
      <c r="CM4" s="246" t="s">
        <v>566</v>
      </c>
      <c r="CN4" s="246" t="s">
        <v>566</v>
      </c>
      <c r="CO4" s="246" t="s">
        <v>566</v>
      </c>
      <c r="CP4" s="246" t="s">
        <v>566</v>
      </c>
      <c r="CQ4" s="246" t="s">
        <v>567</v>
      </c>
      <c r="CR4" s="246" t="s">
        <v>567</v>
      </c>
      <c r="CS4" s="246" t="s">
        <v>567</v>
      </c>
      <c r="CT4" s="246" t="s">
        <v>567</v>
      </c>
      <c r="CU4" s="246" t="s">
        <v>568</v>
      </c>
      <c r="CV4" s="246" t="s">
        <v>568</v>
      </c>
      <c r="CW4" s="246" t="s">
        <v>568</v>
      </c>
      <c r="CX4" s="246" t="s">
        <v>568</v>
      </c>
      <c r="CY4" s="246" t="s">
        <v>569</v>
      </c>
      <c r="CZ4" s="246" t="s">
        <v>569</v>
      </c>
      <c r="DA4" s="246" t="s">
        <v>569</v>
      </c>
      <c r="DB4" s="263" t="s">
        <v>569</v>
      </c>
      <c r="DH4" s="1034" t="s">
        <v>614</v>
      </c>
      <c r="DI4" s="1015" t="s">
        <v>418</v>
      </c>
      <c r="DJ4" s="1033" t="s">
        <v>603</v>
      </c>
    </row>
    <row r="5" spans="1:114" ht="13.8" thickBot="1" x14ac:dyDescent="0.3">
      <c r="A5" s="277"/>
      <c r="B5" s="292" t="s">
        <v>426</v>
      </c>
      <c r="C5" s="291" t="s">
        <v>426</v>
      </c>
      <c r="D5" s="291" t="s">
        <v>426</v>
      </c>
      <c r="E5" s="291"/>
      <c r="F5" s="952"/>
      <c r="H5" s="292" t="s">
        <v>576</v>
      </c>
      <c r="I5" s="291" t="s">
        <v>577</v>
      </c>
      <c r="J5" s="291" t="s">
        <v>578</v>
      </c>
      <c r="K5" s="291" t="s">
        <v>579</v>
      </c>
      <c r="L5" s="291" t="s">
        <v>580</v>
      </c>
      <c r="M5" s="291" t="s">
        <v>581</v>
      </c>
      <c r="N5" s="291" t="s">
        <v>582</v>
      </c>
      <c r="O5" s="291" t="s">
        <v>583</v>
      </c>
      <c r="P5" s="291" t="s">
        <v>584</v>
      </c>
      <c r="Q5" s="291" t="s">
        <v>585</v>
      </c>
      <c r="R5" s="291" t="s">
        <v>586</v>
      </c>
      <c r="S5" s="291" t="s">
        <v>587</v>
      </c>
      <c r="T5" s="291" t="s">
        <v>588</v>
      </c>
      <c r="U5" s="291" t="s">
        <v>589</v>
      </c>
      <c r="V5" s="291" t="s">
        <v>590</v>
      </c>
      <c r="W5" s="291" t="s">
        <v>591</v>
      </c>
      <c r="X5" s="291" t="s">
        <v>592</v>
      </c>
      <c r="Y5" s="291" t="s">
        <v>593</v>
      </c>
      <c r="Z5" s="291" t="s">
        <v>594</v>
      </c>
      <c r="AA5" s="291" t="s">
        <v>595</v>
      </c>
      <c r="AB5" s="291" t="s">
        <v>596</v>
      </c>
      <c r="AC5" s="291" t="s">
        <v>597</v>
      </c>
      <c r="AD5" s="291" t="s">
        <v>598</v>
      </c>
      <c r="AE5" s="952" t="s">
        <v>599</v>
      </c>
      <c r="AG5" s="292" t="s">
        <v>576</v>
      </c>
      <c r="AH5" s="291" t="s">
        <v>577</v>
      </c>
      <c r="AI5" s="291" t="s">
        <v>578</v>
      </c>
      <c r="AJ5" s="291" t="s">
        <v>579</v>
      </c>
      <c r="AK5" s="291" t="s">
        <v>580</v>
      </c>
      <c r="AL5" s="291" t="s">
        <v>581</v>
      </c>
      <c r="AM5" s="291" t="s">
        <v>582</v>
      </c>
      <c r="AN5" s="291" t="s">
        <v>583</v>
      </c>
      <c r="AO5" s="291" t="s">
        <v>584</v>
      </c>
      <c r="AP5" s="291" t="s">
        <v>585</v>
      </c>
      <c r="AQ5" s="291" t="s">
        <v>586</v>
      </c>
      <c r="AR5" s="291" t="s">
        <v>587</v>
      </c>
      <c r="AS5" s="291" t="s">
        <v>588</v>
      </c>
      <c r="AT5" s="291" t="s">
        <v>589</v>
      </c>
      <c r="AU5" s="291" t="s">
        <v>590</v>
      </c>
      <c r="AV5" s="291" t="s">
        <v>591</v>
      </c>
      <c r="AW5" s="291" t="s">
        <v>592</v>
      </c>
      <c r="AX5" s="291" t="s">
        <v>593</v>
      </c>
      <c r="AY5" s="291" t="s">
        <v>594</v>
      </c>
      <c r="AZ5" s="291" t="s">
        <v>595</v>
      </c>
      <c r="BA5" s="291" t="s">
        <v>596</v>
      </c>
      <c r="BB5" s="291" t="s">
        <v>597</v>
      </c>
      <c r="BC5" s="291" t="s">
        <v>598</v>
      </c>
      <c r="BD5" s="952" t="s">
        <v>599</v>
      </c>
      <c r="BF5" s="292" t="s">
        <v>576</v>
      </c>
      <c r="BG5" s="291" t="s">
        <v>577</v>
      </c>
      <c r="BH5" s="291" t="s">
        <v>578</v>
      </c>
      <c r="BI5" s="291" t="s">
        <v>579</v>
      </c>
      <c r="BJ5" s="291" t="s">
        <v>580</v>
      </c>
      <c r="BK5" s="291" t="s">
        <v>581</v>
      </c>
      <c r="BL5" s="291" t="s">
        <v>582</v>
      </c>
      <c r="BM5" s="291" t="s">
        <v>583</v>
      </c>
      <c r="BN5" s="291" t="s">
        <v>584</v>
      </c>
      <c r="BO5" s="291" t="s">
        <v>585</v>
      </c>
      <c r="BP5" s="291" t="s">
        <v>586</v>
      </c>
      <c r="BQ5" s="291" t="s">
        <v>587</v>
      </c>
      <c r="BR5" s="291" t="s">
        <v>588</v>
      </c>
      <c r="BS5" s="291" t="s">
        <v>589</v>
      </c>
      <c r="BT5" s="291" t="s">
        <v>590</v>
      </c>
      <c r="BU5" s="291" t="s">
        <v>591</v>
      </c>
      <c r="BV5" s="291" t="s">
        <v>592</v>
      </c>
      <c r="BW5" s="291" t="s">
        <v>593</v>
      </c>
      <c r="BX5" s="291" t="s">
        <v>594</v>
      </c>
      <c r="BY5" s="291" t="s">
        <v>595</v>
      </c>
      <c r="BZ5" s="291" t="s">
        <v>596</v>
      </c>
      <c r="CA5" s="291" t="s">
        <v>597</v>
      </c>
      <c r="CB5" s="291" t="s">
        <v>598</v>
      </c>
      <c r="CC5" s="952" t="s">
        <v>599</v>
      </c>
      <c r="CE5" s="292" t="s">
        <v>576</v>
      </c>
      <c r="CF5" s="291" t="s">
        <v>577</v>
      </c>
      <c r="CG5" s="291" t="s">
        <v>578</v>
      </c>
      <c r="CH5" s="291" t="s">
        <v>579</v>
      </c>
      <c r="CI5" s="291" t="s">
        <v>580</v>
      </c>
      <c r="CJ5" s="291" t="s">
        <v>581</v>
      </c>
      <c r="CK5" s="291" t="s">
        <v>582</v>
      </c>
      <c r="CL5" s="291" t="s">
        <v>583</v>
      </c>
      <c r="CM5" s="291" t="s">
        <v>584</v>
      </c>
      <c r="CN5" s="291" t="s">
        <v>585</v>
      </c>
      <c r="CO5" s="291" t="s">
        <v>586</v>
      </c>
      <c r="CP5" s="291" t="s">
        <v>587</v>
      </c>
      <c r="CQ5" s="291" t="s">
        <v>588</v>
      </c>
      <c r="CR5" s="291" t="s">
        <v>589</v>
      </c>
      <c r="CS5" s="291" t="s">
        <v>590</v>
      </c>
      <c r="CT5" s="291" t="s">
        <v>591</v>
      </c>
      <c r="CU5" s="291" t="s">
        <v>592</v>
      </c>
      <c r="CV5" s="291" t="s">
        <v>593</v>
      </c>
      <c r="CW5" s="291" t="s">
        <v>594</v>
      </c>
      <c r="CX5" s="291" t="s">
        <v>595</v>
      </c>
      <c r="CY5" s="291" t="s">
        <v>596</v>
      </c>
      <c r="CZ5" s="291" t="s">
        <v>597</v>
      </c>
      <c r="DA5" s="291" t="s">
        <v>598</v>
      </c>
      <c r="DB5" s="952" t="s">
        <v>599</v>
      </c>
      <c r="DE5" t="s">
        <v>606</v>
      </c>
    </row>
    <row r="6" spans="1:114" x14ac:dyDescent="0.25">
      <c r="A6" s="244">
        <v>36892</v>
      </c>
      <c r="B6" s="13">
        <v>22</v>
      </c>
      <c r="C6" s="210">
        <v>4</v>
      </c>
      <c r="D6" s="210">
        <v>4</v>
      </c>
      <c r="E6" s="210">
        <v>1</v>
      </c>
      <c r="F6" s="13">
        <v>31</v>
      </c>
      <c r="H6" s="1021">
        <f>(VLOOKUP(YEAR($A6),'NY East Load Projections'!$A$4:$EO$14,((MONTH($A6)-1)*12)+VLOOKUP(H$4,$DE$6:$DF$17,2)+1))*$B6</f>
        <v>-118.50857569622939</v>
      </c>
      <c r="I6" s="1021">
        <f>(VLOOKUP(YEAR($A6),'NY East Load Projections'!$A$4:$EO$14,((MONTH($A6)-1)*12)+VLOOKUP(I$4,$DE$6:$DF$17,2)+1))*$B6</f>
        <v>-118.50857569622939</v>
      </c>
      <c r="J6" s="1021">
        <f>(VLOOKUP(YEAR($A6),'NY East Load Projections'!$A$4:$EO$14,((MONTH($A6)-1)*12)+VLOOKUP(J$4,$DE$6:$DF$17,2)+1))*$B6</f>
        <v>-118.50857569622939</v>
      </c>
      <c r="K6" s="1021">
        <f>(VLOOKUP(YEAR($A6),'NY East Load Projections'!$A$4:$EO$14,((MONTH($A6)-1)*12)+VLOOKUP(K$4,$DE$6:$DF$17,2)+1))*$B6</f>
        <v>-118.50857569622939</v>
      </c>
      <c r="L6" s="1021">
        <f>(VLOOKUP(YEAR($A6),'NY East Load Projections'!$A$4:$EO$14,((MONTH($A6)-1)*12)+VLOOKUP(L$4,$DE$6:$DF$17,2)+1))*$B6</f>
        <v>-235.86465968402146</v>
      </c>
      <c r="M6" s="1021">
        <f>(VLOOKUP(YEAR($A6),'NY East Load Projections'!$A$4:$EO$14,((MONTH($A6)-1)*12)+VLOOKUP(M$4,$DE$6:$DF$17,2)+1))*$B6</f>
        <v>-235.86465968402146</v>
      </c>
      <c r="N6" s="1021">
        <f>(VLOOKUP(YEAR($A6),'NY East Load Projections'!$A$4:$EO$14,((MONTH($A6)-1)*12)+VLOOKUP(N$4,$DE$6:$DF$17,2)+1))*$B6</f>
        <v>-235.86465968402146</v>
      </c>
      <c r="O6" s="1021">
        <f>(VLOOKUP(YEAR($A6),'NY East Load Projections'!$A$4:$EO$14,((MONTH($A6)-1)*12)+VLOOKUP(O$4,$DE$6:$DF$17,2)+1))*$B6</f>
        <v>-235.86465968402146</v>
      </c>
      <c r="P6" s="1021">
        <f>(VLOOKUP(YEAR($A6),'NY East Load Projections'!$A$4:$EO$14,((MONTH($A6)-1)*12)+VLOOKUP(P$4,$DE$6:$DF$17,2)+1))*$B6</f>
        <v>-237.59628381590983</v>
      </c>
      <c r="Q6" s="1021">
        <f>(VLOOKUP(YEAR($A6),'NY East Load Projections'!$A$4:$EO$14,((MONTH($A6)-1)*12)+VLOOKUP(Q$4,$DE$6:$DF$17,2)+1))*$B6</f>
        <v>-237.59628381590983</v>
      </c>
      <c r="R6" s="1021">
        <f>(VLOOKUP(YEAR($A6),'NY East Load Projections'!$A$4:$EO$14,((MONTH($A6)-1)*12)+VLOOKUP(R$4,$DE$6:$DF$17,2)+1))*$B6</f>
        <v>-237.59628381590983</v>
      </c>
      <c r="S6" s="1021">
        <f>(VLOOKUP(YEAR($A6),'NY East Load Projections'!$A$4:$EO$14,((MONTH($A6)-1)*12)+VLOOKUP(S$4,$DE$6:$DF$17,2)+1))*$B6</f>
        <v>-237.59628381590983</v>
      </c>
      <c r="T6" s="1021">
        <f>(VLOOKUP(YEAR($A6),'NY East Load Projections'!$A$4:$EO$14,((MONTH($A6)-1)*12)+VLOOKUP(T$4,$DE$6:$DF$17,2)+1))*$B6</f>
        <v>-235.22726686323236</v>
      </c>
      <c r="U6" s="1021">
        <f>(VLOOKUP(YEAR($A6),'NY East Load Projections'!$A$4:$EO$14,((MONTH($A6)-1)*12)+VLOOKUP(U$4,$DE$6:$DF$17,2)+1))*$B6</f>
        <v>-235.22726686323236</v>
      </c>
      <c r="V6" s="1021">
        <f>(VLOOKUP(YEAR($A6),'NY East Load Projections'!$A$4:$EO$14,((MONTH($A6)-1)*12)+VLOOKUP(V$4,$DE$6:$DF$17,2)+1))*$B6</f>
        <v>-235.22726686323236</v>
      </c>
      <c r="W6" s="1021">
        <f>(VLOOKUP(YEAR($A6),'NY East Load Projections'!$A$4:$EO$14,((MONTH($A6)-1)*12)+VLOOKUP(W$4,$DE$6:$DF$17,2)+1))*$B6</f>
        <v>-235.22726686323236</v>
      </c>
      <c r="X6" s="1021">
        <f>(VLOOKUP(YEAR($A6),'NY East Load Projections'!$A$4:$EO$14,((MONTH($A6)-1)*12)+VLOOKUP(X$4,$DE$6:$DF$17,2)+1))*$B6</f>
        <v>-207.6098032317278</v>
      </c>
      <c r="Y6" s="1021">
        <f>(VLOOKUP(YEAR($A6),'NY East Load Projections'!$A$4:$EO$14,((MONTH($A6)-1)*12)+VLOOKUP(Y$4,$DE$6:$DF$17,2)+1))*$B6</f>
        <v>-207.6098032317278</v>
      </c>
      <c r="Z6" s="1021">
        <f>(VLOOKUP(YEAR($A6),'NY East Load Projections'!$A$4:$EO$14,((MONTH($A6)-1)*12)+VLOOKUP(Z$4,$DE$6:$DF$17,2)+1))*$B6</f>
        <v>-207.6098032317278</v>
      </c>
      <c r="AA6" s="1021">
        <f>(VLOOKUP(YEAR($A6),'NY East Load Projections'!$A$4:$EO$14,((MONTH($A6)-1)*12)+VLOOKUP(AA$4,$DE$6:$DF$17,2)+1))*$B6</f>
        <v>-207.6098032317278</v>
      </c>
      <c r="AB6" s="1021">
        <f>(VLOOKUP(YEAR($A6),'NY East Load Projections'!$A$4:$EO$14,((MONTH($A6)-1)*12)+VLOOKUP(AB$4,$DE$6:$DF$17,2)+1))*$B6</f>
        <v>-153.28696220563009</v>
      </c>
      <c r="AC6" s="1021">
        <f>(VLOOKUP(YEAR($A6),'NY East Load Projections'!$A$4:$EO$14,((MONTH($A6)-1)*12)+VLOOKUP(AC$4,$DE$6:$DF$17,2)+1))*$B6</f>
        <v>-153.28696220563009</v>
      </c>
      <c r="AD6" s="1021">
        <f>(VLOOKUP(YEAR($A6),'NY East Load Projections'!$A$4:$EO$14,((MONTH($A6)-1)*12)+VLOOKUP(AD$4,$DE$6:$DF$17,2)+1))*$B6</f>
        <v>-153.28696220563009</v>
      </c>
      <c r="AE6" s="1021">
        <f>(VLOOKUP(YEAR($A6),'NY East Load Projections'!$A$4:$EO$14,((MONTH($A6)-1)*12)+VLOOKUP(AE$4,$DE$6:$DF$17,2)+1))*$B6</f>
        <v>-153.28696220563009</v>
      </c>
      <c r="AF6" s="1021"/>
      <c r="AG6" s="1021">
        <f>(VLOOKUP(YEAR($A6),'NY East Load Projections'!$A$4:$EO$14,((MONTH($A6)-1)*12)+VLOOKUP(AG$4,$DE$6:$DF$17,2)+1))*$C6</f>
        <v>-52.763581026399827</v>
      </c>
      <c r="AH6" s="1021">
        <f>(VLOOKUP(YEAR($A6),'NY East Load Projections'!$A$4:$EO$14,((MONTH($A6)-1)*12)+VLOOKUP(AH$4,$DE$6:$DF$17,2)+1))*$C6</f>
        <v>-52.763581026399827</v>
      </c>
      <c r="AI6" s="1021">
        <f>(VLOOKUP(YEAR($A6),'NY East Load Projections'!$A$4:$EO$14,((MONTH($A6)-1)*12)+VLOOKUP(AI$4,$DE$6:$DF$17,2)+1))*$C6</f>
        <v>-52.763581026399827</v>
      </c>
      <c r="AJ6" s="1021">
        <f>(VLOOKUP(YEAR($A6),'NY East Load Projections'!$A$4:$EO$14,((MONTH($A6)-1)*12)+VLOOKUP(AJ$4,$DE$6:$DF$17,2)+1))*$C6</f>
        <v>-52.763581026399827</v>
      </c>
      <c r="AK6" s="1021">
        <f>(VLOOKUP(YEAR($A6),'NY East Load Projections'!$A$4:$EO$14,((MONTH($A6)-1)*12)+VLOOKUP(AK$4,$DE$6:$DF$17,2)+1))*$C6</f>
        <v>-56.412486789965691</v>
      </c>
      <c r="AL6" s="1021">
        <f>(VLOOKUP(YEAR($A6),'NY East Load Projections'!$A$4:$EO$14,((MONTH($A6)-1)*12)+VLOOKUP(AL$4,$DE$6:$DF$17,2)+1))*$C6</f>
        <v>-56.412486789965691</v>
      </c>
      <c r="AM6" s="1021">
        <f>(VLOOKUP(YEAR($A6),'NY East Load Projections'!$A$4:$EO$14,((MONTH($A6)-1)*12)+VLOOKUP(AM$4,$DE$6:$DF$17,2)+1))*$C6</f>
        <v>-56.412486789965691</v>
      </c>
      <c r="AN6" s="1021">
        <f>(VLOOKUP(YEAR($A6),'NY East Load Projections'!$A$4:$EO$14,((MONTH($A6)-1)*12)+VLOOKUP(AN$4,$DE$6:$DF$17,2)+1))*$C6</f>
        <v>-56.412486789965691</v>
      </c>
      <c r="AO6" s="1021">
        <f>(VLOOKUP(YEAR($A6),'NY East Load Projections'!$A$4:$EO$14,((MONTH($A6)-1)*12)+VLOOKUP(AO$4,$DE$6:$DF$17,2)+1))*$C6</f>
        <v>-67.292131689259094</v>
      </c>
      <c r="AP6" s="1021">
        <f>(VLOOKUP(YEAR($A6),'NY East Load Projections'!$A$4:$EO$14,((MONTH($A6)-1)*12)+VLOOKUP(AP$4,$DE$6:$DF$17,2)+1))*$C6</f>
        <v>-67.292131689259094</v>
      </c>
      <c r="AQ6" s="1021">
        <f>(VLOOKUP(YEAR($A6),'NY East Load Projections'!$A$4:$EO$14,((MONTH($A6)-1)*12)+VLOOKUP(AQ$4,$DE$6:$DF$17,2)+1))*$C6</f>
        <v>-67.292131689259094</v>
      </c>
      <c r="AR6" s="1021">
        <f>(VLOOKUP(YEAR($A6),'NY East Load Projections'!$A$4:$EO$14,((MONTH($A6)-1)*12)+VLOOKUP(AR$4,$DE$6:$DF$17,2)+1))*$C6</f>
        <v>-67.292131689259094</v>
      </c>
      <c r="AS6" s="1021">
        <f>(VLOOKUP(YEAR($A6),'NY East Load Projections'!$A$4:$EO$14,((MONTH($A6)-1)*12)+VLOOKUP(AS$4,$DE$6:$DF$17,2)+1))*$C6</f>
        <v>-57.578583977808016</v>
      </c>
      <c r="AT6" s="1021">
        <f>(VLOOKUP(YEAR($A6),'NY East Load Projections'!$A$4:$EO$14,((MONTH($A6)-1)*12)+VLOOKUP(AT$4,$DE$6:$DF$17,2)+1))*$C6</f>
        <v>-57.578583977808016</v>
      </c>
      <c r="AU6" s="1021">
        <f>(VLOOKUP(YEAR($A6),'NY East Load Projections'!$A$4:$EO$14,((MONTH($A6)-1)*12)+VLOOKUP(AU$4,$DE$6:$DF$17,2)+1))*$C6</f>
        <v>-57.578583977808016</v>
      </c>
      <c r="AV6" s="1021">
        <f>(VLOOKUP(YEAR($A6),'NY East Load Projections'!$A$4:$EO$14,((MONTH($A6)-1)*12)+VLOOKUP(AV$4,$DE$6:$DF$17,2)+1))*$C6</f>
        <v>-57.578583977808016</v>
      </c>
      <c r="AW6" s="1021">
        <f>(VLOOKUP(YEAR($A6),'NY East Load Projections'!$A$4:$EO$14,((MONTH($A6)-1)*12)+VLOOKUP(AW$4,$DE$6:$DF$17,2)+1))*$C6</f>
        <v>-53.49399409797288</v>
      </c>
      <c r="AX6" s="1021">
        <f>(VLOOKUP(YEAR($A6),'NY East Load Projections'!$A$4:$EO$14,((MONTH($A6)-1)*12)+VLOOKUP(AX$4,$DE$6:$DF$17,2)+1))*$C6</f>
        <v>-53.49399409797288</v>
      </c>
      <c r="AY6" s="1021">
        <f>(VLOOKUP(YEAR($A6),'NY East Load Projections'!$A$4:$EO$14,((MONTH($A6)-1)*12)+VLOOKUP(AY$4,$DE$6:$DF$17,2)+1))*$C6</f>
        <v>-53.49399409797288</v>
      </c>
      <c r="AZ6" s="1021">
        <f>(VLOOKUP(YEAR($A6),'NY East Load Projections'!$A$4:$EO$14,((MONTH($A6)-1)*12)+VLOOKUP(AZ$4,$DE$6:$DF$17,2)+1))*$C6</f>
        <v>-53.49399409797288</v>
      </c>
      <c r="BA6" s="1021">
        <f>(VLOOKUP(YEAR($A6),'NY East Load Projections'!$A$4:$EO$14,((MONTH($A6)-1)*12)+VLOOKUP(BA$4,$DE$6:$DF$17,2)+1))*$C6</f>
        <v>-54.387264449646949</v>
      </c>
      <c r="BB6" s="1021">
        <f>(VLOOKUP(YEAR($A6),'NY East Load Projections'!$A$4:$EO$14,((MONTH($A6)-1)*12)+VLOOKUP(BB$4,$DE$6:$DF$17,2)+1))*$C6</f>
        <v>-54.387264449646949</v>
      </c>
      <c r="BC6" s="1021">
        <f>(VLOOKUP(YEAR($A6),'NY East Load Projections'!$A$4:$EO$14,((MONTH($A6)-1)*12)+VLOOKUP(BC$4,$DE$6:$DF$17,2)+1))*$C6</f>
        <v>-54.387264449646949</v>
      </c>
      <c r="BD6" s="1021">
        <f>(VLOOKUP(YEAR($A6),'NY East Load Projections'!$A$4:$EO$14,((MONTH($A6)-1)*12)+VLOOKUP(BD$4,$DE$6:$DF$17,2)+1))*$C6</f>
        <v>-54.387264449646949</v>
      </c>
      <c r="BE6" s="1021"/>
      <c r="BF6" s="1021">
        <f>(VLOOKUP(YEAR($A6),'NY East Load Projections'!$A$4:$EO$14,((MONTH($A6)-1)*12)+VLOOKUP(BF$4,$DE$6:$DF$17,2)+1))*$D6</f>
        <v>-52.763581026399827</v>
      </c>
      <c r="BG6" s="1021">
        <f>(VLOOKUP(YEAR($A6),'NY East Load Projections'!$A$4:$EO$14,((MONTH($A6)-1)*12)+VLOOKUP(BG$4,$DE$6:$DF$17,2)+1))*$D6</f>
        <v>-52.763581026399827</v>
      </c>
      <c r="BH6" s="1021">
        <f>(VLOOKUP(YEAR($A6),'NY East Load Projections'!$A$4:$EO$14,((MONTH($A6)-1)*12)+VLOOKUP(BH$4,$DE$6:$DF$17,2)+1))*$D6</f>
        <v>-52.763581026399827</v>
      </c>
      <c r="BI6" s="1021">
        <f>(VLOOKUP(YEAR($A6),'NY East Load Projections'!$A$4:$EO$14,((MONTH($A6)-1)*12)+VLOOKUP(BI$4,$DE$6:$DF$17,2)+1))*$D6</f>
        <v>-52.763581026399827</v>
      </c>
      <c r="BJ6" s="1021">
        <f>(VLOOKUP(YEAR($A6),'NY East Load Projections'!$A$4:$EO$14,((MONTH($A6)-1)*12)+VLOOKUP(BJ$4,$DE$6:$DF$17,2)+1))*$D6</f>
        <v>-56.412486789965691</v>
      </c>
      <c r="BK6" s="1021">
        <f>(VLOOKUP(YEAR($A6),'NY East Load Projections'!$A$4:$EO$14,((MONTH($A6)-1)*12)+VLOOKUP(BK$4,$DE$6:$DF$17,2)+1))*$D6</f>
        <v>-56.412486789965691</v>
      </c>
      <c r="BL6" s="1021">
        <f>(VLOOKUP(YEAR($A6),'NY East Load Projections'!$A$4:$EO$14,((MONTH($A6)-1)*12)+VLOOKUP(BL$4,$DE$6:$DF$17,2)+1))*$D6</f>
        <v>-56.412486789965691</v>
      </c>
      <c r="BM6" s="1021">
        <f>(VLOOKUP(YEAR($A6),'NY East Load Projections'!$A$4:$EO$14,((MONTH($A6)-1)*12)+VLOOKUP(BM$4,$DE$6:$DF$17,2)+1))*$D6</f>
        <v>-56.412486789965691</v>
      </c>
      <c r="BN6" s="1021">
        <f>(VLOOKUP(YEAR($A6),'NY East Load Projections'!$A$4:$EO$14,((MONTH($A6)-1)*12)+VLOOKUP(BN$4,$DE$6:$DF$17,2)+1))*$D6</f>
        <v>-67.292131689259094</v>
      </c>
      <c r="BO6" s="1021">
        <f>(VLOOKUP(YEAR($A6),'NY East Load Projections'!$A$4:$EO$14,((MONTH($A6)-1)*12)+VLOOKUP(BO$4,$DE$6:$DF$17,2)+1))*$D6</f>
        <v>-67.292131689259094</v>
      </c>
      <c r="BP6" s="1021">
        <f>(VLOOKUP(YEAR($A6),'NY East Load Projections'!$A$4:$EO$14,((MONTH($A6)-1)*12)+VLOOKUP(BP$4,$DE$6:$DF$17,2)+1))*$D6</f>
        <v>-67.292131689259094</v>
      </c>
      <c r="BQ6" s="1021">
        <f>(VLOOKUP(YEAR($A6),'NY East Load Projections'!$A$4:$EO$14,((MONTH($A6)-1)*12)+VLOOKUP(BQ$4,$DE$6:$DF$17,2)+1))*$D6</f>
        <v>-67.292131689259094</v>
      </c>
      <c r="BR6" s="1021">
        <f>(VLOOKUP(YEAR($A6),'NY East Load Projections'!$A$4:$EO$14,((MONTH($A6)-1)*12)+VLOOKUP(BR$4,$DE$6:$DF$17,2)+1))*$D6</f>
        <v>-57.578583977808016</v>
      </c>
      <c r="BS6" s="1021">
        <f>(VLOOKUP(YEAR($A6),'NY East Load Projections'!$A$4:$EO$14,((MONTH($A6)-1)*12)+VLOOKUP(BS$4,$DE$6:$DF$17,2)+1))*$D6</f>
        <v>-57.578583977808016</v>
      </c>
      <c r="BT6" s="1021">
        <f>(VLOOKUP(YEAR($A6),'NY East Load Projections'!$A$4:$EO$14,((MONTH($A6)-1)*12)+VLOOKUP(BT$4,$DE$6:$DF$17,2)+1))*$D6</f>
        <v>-57.578583977808016</v>
      </c>
      <c r="BU6" s="1021">
        <f>(VLOOKUP(YEAR($A6),'NY East Load Projections'!$A$4:$EO$14,((MONTH($A6)-1)*12)+VLOOKUP(BU$4,$DE$6:$DF$17,2)+1))*$D6</f>
        <v>-57.578583977808016</v>
      </c>
      <c r="BV6" s="1021">
        <f>(VLOOKUP(YEAR($A6),'NY East Load Projections'!$A$4:$EO$14,((MONTH($A6)-1)*12)+VLOOKUP(BV$4,$DE$6:$DF$17,2)+1))*$D6</f>
        <v>-53.49399409797288</v>
      </c>
      <c r="BW6" s="1021">
        <f>(VLOOKUP(YEAR($A6),'NY East Load Projections'!$A$4:$EO$14,((MONTH($A6)-1)*12)+VLOOKUP(BW$4,$DE$6:$DF$17,2)+1))*$D6</f>
        <v>-53.49399409797288</v>
      </c>
      <c r="BX6" s="1021">
        <f>(VLOOKUP(YEAR($A6),'NY East Load Projections'!$A$4:$EO$14,((MONTH($A6)-1)*12)+VLOOKUP(BX$4,$DE$6:$DF$17,2)+1))*$D6</f>
        <v>-53.49399409797288</v>
      </c>
      <c r="BY6" s="1021">
        <f>(VLOOKUP(YEAR($A6),'NY East Load Projections'!$A$4:$EO$14,((MONTH($A6)-1)*12)+VLOOKUP(BY$4,$DE$6:$DF$17,2)+1))*$D6</f>
        <v>-53.49399409797288</v>
      </c>
      <c r="BZ6" s="1021">
        <f>(VLOOKUP(YEAR($A6),'NY East Load Projections'!$A$4:$EO$14,((MONTH($A6)-1)*12)+VLOOKUP(BZ$4,$DE$6:$DF$17,2)+1))*$D6</f>
        <v>-54.387264449646949</v>
      </c>
      <c r="CA6" s="1021">
        <f>(VLOOKUP(YEAR($A6),'NY East Load Projections'!$A$4:$EO$14,((MONTH($A6)-1)*12)+VLOOKUP(CA$4,$DE$6:$DF$17,2)+1))*$D6</f>
        <v>-54.387264449646949</v>
      </c>
      <c r="CB6" s="1021">
        <f>(VLOOKUP(YEAR($A6),'NY East Load Projections'!$A$4:$EO$14,((MONTH($A6)-1)*12)+VLOOKUP(CB$4,$DE$6:$DF$17,2)+1))*$D6</f>
        <v>-54.387264449646949</v>
      </c>
      <c r="CC6" s="1021">
        <f>(VLOOKUP(YEAR($A6),'NY East Load Projections'!$A$4:$EO$14,((MONTH($A6)-1)*12)+VLOOKUP(CC$4,$DE$6:$DF$17,2)+1))*$D6</f>
        <v>-54.387264449646949</v>
      </c>
      <c r="CE6" s="1021">
        <f>(VLOOKUP(YEAR($A6),'NY East Load Projections'!$A$4:$EO$14,((MONTH($A6)-1)*12)+VLOOKUP(CE$4,$DE$6:$DF$17,2)+1))*$E6</f>
        <v>-13.190895256599957</v>
      </c>
      <c r="CF6" s="1021">
        <f>(VLOOKUP(YEAR($A6),'NY East Load Projections'!$A$4:$EO$14,((MONTH($A6)-1)*12)+VLOOKUP(CF$4,$DE$6:$DF$17,2)+1))*$E6</f>
        <v>-13.190895256599957</v>
      </c>
      <c r="CG6" s="1021">
        <f>(VLOOKUP(YEAR($A6),'NY East Load Projections'!$A$4:$EO$14,((MONTH($A6)-1)*12)+VLOOKUP(CG$4,$DE$6:$DF$17,2)+1))*$E6</f>
        <v>-13.190895256599957</v>
      </c>
      <c r="CH6" s="1021">
        <f>(VLOOKUP(YEAR($A6),'NY East Load Projections'!$A$4:$EO$14,((MONTH($A6)-1)*12)+VLOOKUP(CH$4,$DE$6:$DF$17,2)+1))*$E6</f>
        <v>-13.190895256599957</v>
      </c>
      <c r="CI6" s="1021">
        <f>(VLOOKUP(YEAR($A6),'NY East Load Projections'!$A$4:$EO$14,((MONTH($A6)-1)*12)+VLOOKUP(CI$4,$DE$6:$DF$17,2)+1))*$E6</f>
        <v>-14.103121697491423</v>
      </c>
      <c r="CJ6" s="1021">
        <f>(VLOOKUP(YEAR($A6),'NY East Load Projections'!$A$4:$EO$14,((MONTH($A6)-1)*12)+VLOOKUP(CJ$4,$DE$6:$DF$17,2)+1))*$E6</f>
        <v>-14.103121697491423</v>
      </c>
      <c r="CK6" s="1021">
        <f>(VLOOKUP(YEAR($A6),'NY East Load Projections'!$A$4:$EO$14,((MONTH($A6)-1)*12)+VLOOKUP(CK$4,$DE$6:$DF$17,2)+1))*$E6</f>
        <v>-14.103121697491423</v>
      </c>
      <c r="CL6" s="1021">
        <f>(VLOOKUP(YEAR($A6),'NY East Load Projections'!$A$4:$EO$14,((MONTH($A6)-1)*12)+VLOOKUP(CL$4,$DE$6:$DF$17,2)+1))*$E6</f>
        <v>-14.103121697491423</v>
      </c>
      <c r="CM6" s="1021">
        <f>(VLOOKUP(YEAR($A6),'NY East Load Projections'!$A$4:$EO$14,((MONTH($A6)-1)*12)+VLOOKUP(CM$4,$DE$6:$DF$17,2)+1))*$E6</f>
        <v>-16.823032922314773</v>
      </c>
      <c r="CN6" s="1021">
        <f>(VLOOKUP(YEAR($A6),'NY East Load Projections'!$A$4:$EO$14,((MONTH($A6)-1)*12)+VLOOKUP(CN$4,$DE$6:$DF$17,2)+1))*$E6</f>
        <v>-16.823032922314773</v>
      </c>
      <c r="CO6" s="1021">
        <f>(VLOOKUP(YEAR($A6),'NY East Load Projections'!$A$4:$EO$14,((MONTH($A6)-1)*12)+VLOOKUP(CO$4,$DE$6:$DF$17,2)+1))*$E6</f>
        <v>-16.823032922314773</v>
      </c>
      <c r="CP6" s="1021">
        <f>(VLOOKUP(YEAR($A6),'NY East Load Projections'!$A$4:$EO$14,((MONTH($A6)-1)*12)+VLOOKUP(CP$4,$DE$6:$DF$17,2)+1))*$E6</f>
        <v>-16.823032922314773</v>
      </c>
      <c r="CQ6" s="1021">
        <f>(VLOOKUP(YEAR($A6),'NY East Load Projections'!$A$4:$EO$14,((MONTH($A6)-1)*12)+VLOOKUP(CQ$4,$DE$6:$DF$17,2)+1))*$E6</f>
        <v>-14.394645994452004</v>
      </c>
      <c r="CR6" s="1021">
        <f>(VLOOKUP(YEAR($A6),'NY East Load Projections'!$A$4:$EO$14,((MONTH($A6)-1)*12)+VLOOKUP(CR$4,$DE$6:$DF$17,2)+1))*$E6</f>
        <v>-14.394645994452004</v>
      </c>
      <c r="CS6" s="1021">
        <f>(VLOOKUP(YEAR($A6),'NY East Load Projections'!$A$4:$EO$14,((MONTH($A6)-1)*12)+VLOOKUP(CS$4,$DE$6:$DF$17,2)+1))*$E6</f>
        <v>-14.394645994452004</v>
      </c>
      <c r="CT6" s="1021">
        <f>(VLOOKUP(YEAR($A6),'NY East Load Projections'!$A$4:$EO$14,((MONTH($A6)-1)*12)+VLOOKUP(CT$4,$DE$6:$DF$17,2)+1))*$E6</f>
        <v>-14.394645994452004</v>
      </c>
      <c r="CU6" s="1021">
        <f>(VLOOKUP(YEAR($A6),'NY East Load Projections'!$A$4:$EO$14,((MONTH($A6)-1)*12)+VLOOKUP(CU$4,$DE$6:$DF$17,2)+1))*$E6</f>
        <v>-13.37349852449322</v>
      </c>
      <c r="CV6" s="1021">
        <f>(VLOOKUP(YEAR($A6),'NY East Load Projections'!$A$4:$EO$14,((MONTH($A6)-1)*12)+VLOOKUP(CV$4,$DE$6:$DF$17,2)+1))*$E6</f>
        <v>-13.37349852449322</v>
      </c>
      <c r="CW6" s="1021">
        <f>(VLOOKUP(YEAR($A6),'NY East Load Projections'!$A$4:$EO$14,((MONTH($A6)-1)*12)+VLOOKUP(CW$4,$DE$6:$DF$17,2)+1))*$E6</f>
        <v>-13.37349852449322</v>
      </c>
      <c r="CX6" s="1021">
        <f>(VLOOKUP(YEAR($A6),'NY East Load Projections'!$A$4:$EO$14,((MONTH($A6)-1)*12)+VLOOKUP(CX$4,$DE$6:$DF$17,2)+1))*$E6</f>
        <v>-13.37349852449322</v>
      </c>
      <c r="CY6" s="1021">
        <f>(VLOOKUP(YEAR($A6),'NY East Load Projections'!$A$4:$EO$14,((MONTH($A6)-1)*12)+VLOOKUP(CY$4,$DE$6:$DF$17,2)+1))*$E6</f>
        <v>-13.596816112411737</v>
      </c>
      <c r="CZ6" s="1021">
        <f>(VLOOKUP(YEAR($A6),'NY East Load Projections'!$A$4:$EO$14,((MONTH($A6)-1)*12)+VLOOKUP(CZ$4,$DE$6:$DF$17,2)+1))*$E6</f>
        <v>-13.596816112411737</v>
      </c>
      <c r="DA6" s="1021">
        <f>(VLOOKUP(YEAR($A6),'NY East Load Projections'!$A$4:$EO$14,((MONTH($A6)-1)*12)+VLOOKUP(DA$4,$DE$6:$DF$17,2)+1))*$E6</f>
        <v>-13.596816112411737</v>
      </c>
      <c r="DB6" s="1021">
        <f>(VLOOKUP(YEAR($A6),'NY East Load Projections'!$A$4:$EO$14,((MONTH($A6)-1)*12)+VLOOKUP(DB$4,$DE$6:$DF$17,2)+1))*$E6</f>
        <v>-13.596816112411737</v>
      </c>
      <c r="DE6" s="1017" t="s">
        <v>558</v>
      </c>
      <c r="DF6" s="1018">
        <v>1</v>
      </c>
      <c r="DH6" s="1009">
        <f t="shared" ref="DH6:DH37" si="0">SUM(H6:DB6)</f>
        <v>-7829.7265842664774</v>
      </c>
      <c r="DI6">
        <f ca="1">CALC!J26</f>
        <v>0.93842508713442885</v>
      </c>
      <c r="DJ6" s="1032">
        <f ca="1">DH6*DI6</f>
        <v>-7347.6118520790233</v>
      </c>
    </row>
    <row r="7" spans="1:114" x14ac:dyDescent="0.25">
      <c r="A7" s="244">
        <v>36923</v>
      </c>
      <c r="B7" s="13">
        <v>20</v>
      </c>
      <c r="C7" s="210">
        <v>4</v>
      </c>
      <c r="D7" s="210">
        <v>4</v>
      </c>
      <c r="E7" s="210">
        <v>0</v>
      </c>
      <c r="F7" s="13">
        <v>28</v>
      </c>
      <c r="H7" s="1021">
        <f>(VLOOKUP(YEAR($A7),'NY East Load Projections'!$A$4:$EO$14,((MONTH($A7)-1)*12)+VLOOKUP(H$4,$DE$6:$DF$17,2)+1))*$B7</f>
        <v>-127.92696894197911</v>
      </c>
      <c r="I7" s="1021">
        <f>(VLOOKUP(YEAR($A7),'NY East Load Projections'!$A$4:$EO$14,((MONTH($A7)-1)*12)+VLOOKUP(I$4,$DE$6:$DF$17,2)+1))*$B7</f>
        <v>-127.92696894197911</v>
      </c>
      <c r="J7" s="1021">
        <f>(VLOOKUP(YEAR($A7),'NY East Load Projections'!$A$4:$EO$14,((MONTH($A7)-1)*12)+VLOOKUP(J$4,$DE$6:$DF$17,2)+1))*$B7</f>
        <v>-127.92696894197911</v>
      </c>
      <c r="K7" s="1021">
        <f>(VLOOKUP(YEAR($A7),'NY East Load Projections'!$A$4:$EO$14,((MONTH($A7)-1)*12)+VLOOKUP(K$4,$DE$6:$DF$17,2)+1))*$B7</f>
        <v>-127.92696894197911</v>
      </c>
      <c r="L7" s="1021">
        <f>(VLOOKUP(YEAR($A7),'NY East Load Projections'!$A$4:$EO$14,((MONTH($A7)-1)*12)+VLOOKUP(L$4,$DE$6:$DF$17,2)+1))*$B7</f>
        <v>-235.39639154439152</v>
      </c>
      <c r="M7" s="1021">
        <f>(VLOOKUP(YEAR($A7),'NY East Load Projections'!$A$4:$EO$14,((MONTH($A7)-1)*12)+VLOOKUP(M$4,$DE$6:$DF$17,2)+1))*$B7</f>
        <v>-235.39639154439152</v>
      </c>
      <c r="N7" s="1021">
        <f>(VLOOKUP(YEAR($A7),'NY East Load Projections'!$A$4:$EO$14,((MONTH($A7)-1)*12)+VLOOKUP(N$4,$DE$6:$DF$17,2)+1))*$B7</f>
        <v>-235.39639154439152</v>
      </c>
      <c r="O7" s="1021">
        <f>(VLOOKUP(YEAR($A7),'NY East Load Projections'!$A$4:$EO$14,((MONTH($A7)-1)*12)+VLOOKUP(O$4,$DE$6:$DF$17,2)+1))*$B7</f>
        <v>-235.39639154439152</v>
      </c>
      <c r="P7" s="1021">
        <f>(VLOOKUP(YEAR($A7),'NY East Load Projections'!$A$4:$EO$14,((MONTH($A7)-1)*12)+VLOOKUP(P$4,$DE$6:$DF$17,2)+1))*$B7</f>
        <v>-237.87342621675282</v>
      </c>
      <c r="Q7" s="1021">
        <f>(VLOOKUP(YEAR($A7),'NY East Load Projections'!$A$4:$EO$14,((MONTH($A7)-1)*12)+VLOOKUP(Q$4,$DE$6:$DF$17,2)+1))*$B7</f>
        <v>-237.87342621675282</v>
      </c>
      <c r="R7" s="1021">
        <f>(VLOOKUP(YEAR($A7),'NY East Load Projections'!$A$4:$EO$14,((MONTH($A7)-1)*12)+VLOOKUP(R$4,$DE$6:$DF$17,2)+1))*$B7</f>
        <v>-237.87342621675282</v>
      </c>
      <c r="S7" s="1021">
        <f>(VLOOKUP(YEAR($A7),'NY East Load Projections'!$A$4:$EO$14,((MONTH($A7)-1)*12)+VLOOKUP(S$4,$DE$6:$DF$17,2)+1))*$B7</f>
        <v>-237.87342621675282</v>
      </c>
      <c r="T7" s="1021">
        <f>(VLOOKUP(YEAR($A7),'NY East Load Projections'!$A$4:$EO$14,((MONTH($A7)-1)*12)+VLOOKUP(T$4,$DE$6:$DF$17,2)+1))*$B7</f>
        <v>-235.31036767979586</v>
      </c>
      <c r="U7" s="1021">
        <f>(VLOOKUP(YEAR($A7),'NY East Load Projections'!$A$4:$EO$14,((MONTH($A7)-1)*12)+VLOOKUP(U$4,$DE$6:$DF$17,2)+1))*$B7</f>
        <v>-235.31036767979586</v>
      </c>
      <c r="V7" s="1021">
        <f>(VLOOKUP(YEAR($A7),'NY East Load Projections'!$A$4:$EO$14,((MONTH($A7)-1)*12)+VLOOKUP(V$4,$DE$6:$DF$17,2)+1))*$B7</f>
        <v>-235.31036767979586</v>
      </c>
      <c r="W7" s="1021">
        <f>(VLOOKUP(YEAR($A7),'NY East Load Projections'!$A$4:$EO$14,((MONTH($A7)-1)*12)+VLOOKUP(W$4,$DE$6:$DF$17,2)+1))*$B7</f>
        <v>-235.31036767979586</v>
      </c>
      <c r="X7" s="1021">
        <f>(VLOOKUP(YEAR($A7),'NY East Load Projections'!$A$4:$EO$14,((MONTH($A7)-1)*12)+VLOOKUP(X$4,$DE$6:$DF$17,2)+1))*$B7</f>
        <v>-203.00016503717609</v>
      </c>
      <c r="Y7" s="1021">
        <f>(VLOOKUP(YEAR($A7),'NY East Load Projections'!$A$4:$EO$14,((MONTH($A7)-1)*12)+VLOOKUP(Y$4,$DE$6:$DF$17,2)+1))*$B7</f>
        <v>-203.00016503717609</v>
      </c>
      <c r="Z7" s="1021">
        <f>(VLOOKUP(YEAR($A7),'NY East Load Projections'!$A$4:$EO$14,((MONTH($A7)-1)*12)+VLOOKUP(Z$4,$DE$6:$DF$17,2)+1))*$B7</f>
        <v>-203.00016503717609</v>
      </c>
      <c r="AA7" s="1021">
        <f>(VLOOKUP(YEAR($A7),'NY East Load Projections'!$A$4:$EO$14,((MONTH($A7)-1)*12)+VLOOKUP(AA$4,$DE$6:$DF$17,2)+1))*$B7</f>
        <v>-203.00016503717609</v>
      </c>
      <c r="AB7" s="1021">
        <f>(VLOOKUP(YEAR($A7),'NY East Load Projections'!$A$4:$EO$14,((MONTH($A7)-1)*12)+VLOOKUP(AB$4,$DE$6:$DF$17,2)+1))*$B7</f>
        <v>-153.99945954227306</v>
      </c>
      <c r="AC7" s="1021">
        <f>(VLOOKUP(YEAR($A7),'NY East Load Projections'!$A$4:$EO$14,((MONTH($A7)-1)*12)+VLOOKUP(AC$4,$DE$6:$DF$17,2)+1))*$B7</f>
        <v>-153.99945954227306</v>
      </c>
      <c r="AD7" s="1021">
        <f>(VLOOKUP(YEAR($A7),'NY East Load Projections'!$A$4:$EO$14,((MONTH($A7)-1)*12)+VLOOKUP(AD$4,$DE$6:$DF$17,2)+1))*$B7</f>
        <v>-153.99945954227306</v>
      </c>
      <c r="AE7" s="1021">
        <f>(VLOOKUP(YEAR($A7),'NY East Load Projections'!$A$4:$EO$14,((MONTH($A7)-1)*12)+VLOOKUP(AE$4,$DE$6:$DF$17,2)+1))*$B7</f>
        <v>-153.99945954227306</v>
      </c>
      <c r="AF7" s="1021"/>
      <c r="AG7" s="1021">
        <f>(VLOOKUP(YEAR($A7),'NY East Load Projections'!$A$4:$EO$14,((MONTH($A7)-1)*12)+VLOOKUP(AG$4,$DE$6:$DF$17,2)+1))*$C7</f>
        <v>-63.313648675364725</v>
      </c>
      <c r="AH7" s="1021">
        <f>(VLOOKUP(YEAR($A7),'NY East Load Projections'!$A$4:$EO$14,((MONTH($A7)-1)*12)+VLOOKUP(AH$4,$DE$6:$DF$17,2)+1))*$C7</f>
        <v>-63.313648675364725</v>
      </c>
      <c r="AI7" s="1021">
        <f>(VLOOKUP(YEAR($A7),'NY East Load Projections'!$A$4:$EO$14,((MONTH($A7)-1)*12)+VLOOKUP(AI$4,$DE$6:$DF$17,2)+1))*$C7</f>
        <v>-63.313648675364725</v>
      </c>
      <c r="AJ7" s="1021">
        <f>(VLOOKUP(YEAR($A7),'NY East Load Projections'!$A$4:$EO$14,((MONTH($A7)-1)*12)+VLOOKUP(AJ$4,$DE$6:$DF$17,2)+1))*$C7</f>
        <v>-63.313648675364725</v>
      </c>
      <c r="AK7" s="1021">
        <f>(VLOOKUP(YEAR($A7),'NY East Load Projections'!$A$4:$EO$14,((MONTH($A7)-1)*12)+VLOOKUP(AK$4,$DE$6:$DF$17,2)+1))*$C7</f>
        <v>-65.220895639945311</v>
      </c>
      <c r="AL7" s="1021">
        <f>(VLOOKUP(YEAR($A7),'NY East Load Projections'!$A$4:$EO$14,((MONTH($A7)-1)*12)+VLOOKUP(AL$4,$DE$6:$DF$17,2)+1))*$C7</f>
        <v>-65.220895639945311</v>
      </c>
      <c r="AM7" s="1021">
        <f>(VLOOKUP(YEAR($A7),'NY East Load Projections'!$A$4:$EO$14,((MONTH($A7)-1)*12)+VLOOKUP(AM$4,$DE$6:$DF$17,2)+1))*$C7</f>
        <v>-65.220895639945311</v>
      </c>
      <c r="AN7" s="1021">
        <f>(VLOOKUP(YEAR($A7),'NY East Load Projections'!$A$4:$EO$14,((MONTH($A7)-1)*12)+VLOOKUP(AN$4,$DE$6:$DF$17,2)+1))*$C7</f>
        <v>-65.220895639945311</v>
      </c>
      <c r="AO7" s="1021">
        <f>(VLOOKUP(YEAR($A7),'NY East Load Projections'!$A$4:$EO$14,((MONTH($A7)-1)*12)+VLOOKUP(AO$4,$DE$6:$DF$17,2)+1))*$C7</f>
        <v>-77.739227501823436</v>
      </c>
      <c r="AP7" s="1021">
        <f>(VLOOKUP(YEAR($A7),'NY East Load Projections'!$A$4:$EO$14,((MONTH($A7)-1)*12)+VLOOKUP(AP$4,$DE$6:$DF$17,2)+1))*$C7</f>
        <v>-77.739227501823436</v>
      </c>
      <c r="AQ7" s="1021">
        <f>(VLOOKUP(YEAR($A7),'NY East Load Projections'!$A$4:$EO$14,((MONTH($A7)-1)*12)+VLOOKUP(AQ$4,$DE$6:$DF$17,2)+1))*$C7</f>
        <v>-77.739227501823436</v>
      </c>
      <c r="AR7" s="1021">
        <f>(VLOOKUP(YEAR($A7),'NY East Load Projections'!$A$4:$EO$14,((MONTH($A7)-1)*12)+VLOOKUP(AR$4,$DE$6:$DF$17,2)+1))*$C7</f>
        <v>-77.739227501823436</v>
      </c>
      <c r="AS7" s="1021">
        <f>(VLOOKUP(YEAR($A7),'NY East Load Projections'!$A$4:$EO$14,((MONTH($A7)-1)*12)+VLOOKUP(AS$4,$DE$6:$DF$17,2)+1))*$C7</f>
        <v>-66.909482974949725</v>
      </c>
      <c r="AT7" s="1021">
        <f>(VLOOKUP(YEAR($A7),'NY East Load Projections'!$A$4:$EO$14,((MONTH($A7)-1)*12)+VLOOKUP(AT$4,$DE$6:$DF$17,2)+1))*$C7</f>
        <v>-66.909482974949725</v>
      </c>
      <c r="AU7" s="1021">
        <f>(VLOOKUP(YEAR($A7),'NY East Load Projections'!$A$4:$EO$14,((MONTH($A7)-1)*12)+VLOOKUP(AU$4,$DE$6:$DF$17,2)+1))*$C7</f>
        <v>-66.909482974949725</v>
      </c>
      <c r="AV7" s="1021">
        <f>(VLOOKUP(YEAR($A7),'NY East Load Projections'!$A$4:$EO$14,((MONTH($A7)-1)*12)+VLOOKUP(AV$4,$DE$6:$DF$17,2)+1))*$C7</f>
        <v>-66.909482974949725</v>
      </c>
      <c r="AW7" s="1021">
        <f>(VLOOKUP(YEAR($A7),'NY East Load Projections'!$A$4:$EO$14,((MONTH($A7)-1)*12)+VLOOKUP(AW$4,$DE$6:$DF$17,2)+1))*$C7</f>
        <v>-61.49517125984341</v>
      </c>
      <c r="AX7" s="1021">
        <f>(VLOOKUP(YEAR($A7),'NY East Load Projections'!$A$4:$EO$14,((MONTH($A7)-1)*12)+VLOOKUP(AX$4,$DE$6:$DF$17,2)+1))*$C7</f>
        <v>-61.49517125984341</v>
      </c>
      <c r="AY7" s="1021">
        <f>(VLOOKUP(YEAR($A7),'NY East Load Projections'!$A$4:$EO$14,((MONTH($A7)-1)*12)+VLOOKUP(AY$4,$DE$6:$DF$17,2)+1))*$C7</f>
        <v>-61.49517125984341</v>
      </c>
      <c r="AZ7" s="1021">
        <f>(VLOOKUP(YEAR($A7),'NY East Load Projections'!$A$4:$EO$14,((MONTH($A7)-1)*12)+VLOOKUP(AZ$4,$DE$6:$DF$17,2)+1))*$C7</f>
        <v>-61.49517125984341</v>
      </c>
      <c r="BA7" s="1021">
        <f>(VLOOKUP(YEAR($A7),'NY East Load Projections'!$A$4:$EO$14,((MONTH($A7)-1)*12)+VLOOKUP(BA$4,$DE$6:$DF$17,2)+1))*$C7</f>
        <v>-64.608947970360575</v>
      </c>
      <c r="BB7" s="1021">
        <f>(VLOOKUP(YEAR($A7),'NY East Load Projections'!$A$4:$EO$14,((MONTH($A7)-1)*12)+VLOOKUP(BB$4,$DE$6:$DF$17,2)+1))*$C7</f>
        <v>-64.608947970360575</v>
      </c>
      <c r="BC7" s="1021">
        <f>(VLOOKUP(YEAR($A7),'NY East Load Projections'!$A$4:$EO$14,((MONTH($A7)-1)*12)+VLOOKUP(BC$4,$DE$6:$DF$17,2)+1))*$C7</f>
        <v>-64.608947970360575</v>
      </c>
      <c r="BD7" s="1021">
        <f>(VLOOKUP(YEAR($A7),'NY East Load Projections'!$A$4:$EO$14,((MONTH($A7)-1)*12)+VLOOKUP(BD$4,$DE$6:$DF$17,2)+1))*$C7</f>
        <v>-64.608947970360575</v>
      </c>
      <c r="BE7" s="1021"/>
      <c r="BF7" s="1021">
        <f>(VLOOKUP(YEAR($A7),'NY East Load Projections'!$A$4:$EO$14,((MONTH($A7)-1)*12)+VLOOKUP(BF$4,$DE$6:$DF$17,2)+1))*$D7</f>
        <v>-63.313648675364725</v>
      </c>
      <c r="BG7" s="1021">
        <f>(VLOOKUP(YEAR($A7),'NY East Load Projections'!$A$4:$EO$14,((MONTH($A7)-1)*12)+VLOOKUP(BG$4,$DE$6:$DF$17,2)+1))*$D7</f>
        <v>-63.313648675364725</v>
      </c>
      <c r="BH7" s="1021">
        <f>(VLOOKUP(YEAR($A7),'NY East Load Projections'!$A$4:$EO$14,((MONTH($A7)-1)*12)+VLOOKUP(BH$4,$DE$6:$DF$17,2)+1))*$D7</f>
        <v>-63.313648675364725</v>
      </c>
      <c r="BI7" s="1021">
        <f>(VLOOKUP(YEAR($A7),'NY East Load Projections'!$A$4:$EO$14,((MONTH($A7)-1)*12)+VLOOKUP(BI$4,$DE$6:$DF$17,2)+1))*$D7</f>
        <v>-63.313648675364725</v>
      </c>
      <c r="BJ7" s="1021">
        <f>(VLOOKUP(YEAR($A7),'NY East Load Projections'!$A$4:$EO$14,((MONTH($A7)-1)*12)+VLOOKUP(BJ$4,$DE$6:$DF$17,2)+1))*$D7</f>
        <v>-65.220895639945311</v>
      </c>
      <c r="BK7" s="1021">
        <f>(VLOOKUP(YEAR($A7),'NY East Load Projections'!$A$4:$EO$14,((MONTH($A7)-1)*12)+VLOOKUP(BK$4,$DE$6:$DF$17,2)+1))*$D7</f>
        <v>-65.220895639945311</v>
      </c>
      <c r="BL7" s="1021">
        <f>(VLOOKUP(YEAR($A7),'NY East Load Projections'!$A$4:$EO$14,((MONTH($A7)-1)*12)+VLOOKUP(BL$4,$DE$6:$DF$17,2)+1))*$D7</f>
        <v>-65.220895639945311</v>
      </c>
      <c r="BM7" s="1021">
        <f>(VLOOKUP(YEAR($A7),'NY East Load Projections'!$A$4:$EO$14,((MONTH($A7)-1)*12)+VLOOKUP(BM$4,$DE$6:$DF$17,2)+1))*$D7</f>
        <v>-65.220895639945311</v>
      </c>
      <c r="BN7" s="1021">
        <f>(VLOOKUP(YEAR($A7),'NY East Load Projections'!$A$4:$EO$14,((MONTH($A7)-1)*12)+VLOOKUP(BN$4,$DE$6:$DF$17,2)+1))*$D7</f>
        <v>-77.739227501823436</v>
      </c>
      <c r="BO7" s="1021">
        <f>(VLOOKUP(YEAR($A7),'NY East Load Projections'!$A$4:$EO$14,((MONTH($A7)-1)*12)+VLOOKUP(BO$4,$DE$6:$DF$17,2)+1))*$D7</f>
        <v>-77.739227501823436</v>
      </c>
      <c r="BP7" s="1021">
        <f>(VLOOKUP(YEAR($A7),'NY East Load Projections'!$A$4:$EO$14,((MONTH($A7)-1)*12)+VLOOKUP(BP$4,$DE$6:$DF$17,2)+1))*$D7</f>
        <v>-77.739227501823436</v>
      </c>
      <c r="BQ7" s="1021">
        <f>(VLOOKUP(YEAR($A7),'NY East Load Projections'!$A$4:$EO$14,((MONTH($A7)-1)*12)+VLOOKUP(BQ$4,$DE$6:$DF$17,2)+1))*$D7</f>
        <v>-77.739227501823436</v>
      </c>
      <c r="BR7" s="1021">
        <f>(VLOOKUP(YEAR($A7),'NY East Load Projections'!$A$4:$EO$14,((MONTH($A7)-1)*12)+VLOOKUP(BR$4,$DE$6:$DF$17,2)+1))*$D7</f>
        <v>-66.909482974949725</v>
      </c>
      <c r="BS7" s="1021">
        <f>(VLOOKUP(YEAR($A7),'NY East Load Projections'!$A$4:$EO$14,((MONTH($A7)-1)*12)+VLOOKUP(BS$4,$DE$6:$DF$17,2)+1))*$D7</f>
        <v>-66.909482974949725</v>
      </c>
      <c r="BT7" s="1021">
        <f>(VLOOKUP(YEAR($A7),'NY East Load Projections'!$A$4:$EO$14,((MONTH($A7)-1)*12)+VLOOKUP(BT$4,$DE$6:$DF$17,2)+1))*$D7</f>
        <v>-66.909482974949725</v>
      </c>
      <c r="BU7" s="1021">
        <f>(VLOOKUP(YEAR($A7),'NY East Load Projections'!$A$4:$EO$14,((MONTH($A7)-1)*12)+VLOOKUP(BU$4,$DE$6:$DF$17,2)+1))*$D7</f>
        <v>-66.909482974949725</v>
      </c>
      <c r="BV7" s="1021">
        <f>(VLOOKUP(YEAR($A7),'NY East Load Projections'!$A$4:$EO$14,((MONTH($A7)-1)*12)+VLOOKUP(BV$4,$DE$6:$DF$17,2)+1))*$D7</f>
        <v>-61.49517125984341</v>
      </c>
      <c r="BW7" s="1021">
        <f>(VLOOKUP(YEAR($A7),'NY East Load Projections'!$A$4:$EO$14,((MONTH($A7)-1)*12)+VLOOKUP(BW$4,$DE$6:$DF$17,2)+1))*$D7</f>
        <v>-61.49517125984341</v>
      </c>
      <c r="BX7" s="1021">
        <f>(VLOOKUP(YEAR($A7),'NY East Load Projections'!$A$4:$EO$14,((MONTH($A7)-1)*12)+VLOOKUP(BX$4,$DE$6:$DF$17,2)+1))*$D7</f>
        <v>-61.49517125984341</v>
      </c>
      <c r="BY7" s="1021">
        <f>(VLOOKUP(YEAR($A7),'NY East Load Projections'!$A$4:$EO$14,((MONTH($A7)-1)*12)+VLOOKUP(BY$4,$DE$6:$DF$17,2)+1))*$D7</f>
        <v>-61.49517125984341</v>
      </c>
      <c r="BZ7" s="1021">
        <f>(VLOOKUP(YEAR($A7),'NY East Load Projections'!$A$4:$EO$14,((MONTH($A7)-1)*12)+VLOOKUP(BZ$4,$DE$6:$DF$17,2)+1))*$D7</f>
        <v>-64.608947970360575</v>
      </c>
      <c r="CA7" s="1021">
        <f>(VLOOKUP(YEAR($A7),'NY East Load Projections'!$A$4:$EO$14,((MONTH($A7)-1)*12)+VLOOKUP(CA$4,$DE$6:$DF$17,2)+1))*$D7</f>
        <v>-64.608947970360575</v>
      </c>
      <c r="CB7" s="1021">
        <f>(VLOOKUP(YEAR($A7),'NY East Load Projections'!$A$4:$EO$14,((MONTH($A7)-1)*12)+VLOOKUP(CB$4,$DE$6:$DF$17,2)+1))*$D7</f>
        <v>-64.608947970360575</v>
      </c>
      <c r="CC7" s="1021">
        <f>(VLOOKUP(YEAR($A7),'NY East Load Projections'!$A$4:$EO$14,((MONTH($A7)-1)*12)+VLOOKUP(CC$4,$DE$6:$DF$17,2)+1))*$D7</f>
        <v>-64.608947970360575</v>
      </c>
      <c r="CE7" s="1021">
        <f>(VLOOKUP(YEAR($A7),'NY East Load Projections'!$A$4:$EO$14,((MONTH($A7)-1)*12)+VLOOKUP(CE$4,$DE$6:$DF$17,2)+1))*$E7</f>
        <v>0</v>
      </c>
      <c r="CF7" s="1021">
        <f>(VLOOKUP(YEAR($A7),'NY East Load Projections'!$A$4:$EO$14,((MONTH($A7)-1)*12)+VLOOKUP(CF$4,$DE$6:$DF$17,2)+1))*$E7</f>
        <v>0</v>
      </c>
      <c r="CG7" s="1021">
        <f>(VLOOKUP(YEAR($A7),'NY East Load Projections'!$A$4:$EO$14,((MONTH($A7)-1)*12)+VLOOKUP(CG$4,$DE$6:$DF$17,2)+1))*$E7</f>
        <v>0</v>
      </c>
      <c r="CH7" s="1021">
        <f>(VLOOKUP(YEAR($A7),'NY East Load Projections'!$A$4:$EO$14,((MONTH($A7)-1)*12)+VLOOKUP(CH$4,$DE$6:$DF$17,2)+1))*$E7</f>
        <v>0</v>
      </c>
      <c r="CI7" s="1021">
        <f>(VLOOKUP(YEAR($A7),'NY East Load Projections'!$A$4:$EO$14,((MONTH($A7)-1)*12)+VLOOKUP(CI$4,$DE$6:$DF$17,2)+1))*$E7</f>
        <v>0</v>
      </c>
      <c r="CJ7" s="1021">
        <f>(VLOOKUP(YEAR($A7),'NY East Load Projections'!$A$4:$EO$14,((MONTH($A7)-1)*12)+VLOOKUP(CJ$4,$DE$6:$DF$17,2)+1))*$E7</f>
        <v>0</v>
      </c>
      <c r="CK7" s="1021">
        <f>(VLOOKUP(YEAR($A7),'NY East Load Projections'!$A$4:$EO$14,((MONTH($A7)-1)*12)+VLOOKUP(CK$4,$DE$6:$DF$17,2)+1))*$E7</f>
        <v>0</v>
      </c>
      <c r="CL7" s="1021">
        <f>(VLOOKUP(YEAR($A7),'NY East Load Projections'!$A$4:$EO$14,((MONTH($A7)-1)*12)+VLOOKUP(CL$4,$DE$6:$DF$17,2)+1))*$E7</f>
        <v>0</v>
      </c>
      <c r="CM7" s="1021">
        <f>(VLOOKUP(YEAR($A7),'NY East Load Projections'!$A$4:$EO$14,((MONTH($A7)-1)*12)+VLOOKUP(CM$4,$DE$6:$DF$17,2)+1))*$E7</f>
        <v>0</v>
      </c>
      <c r="CN7" s="1021">
        <f>(VLOOKUP(YEAR($A7),'NY East Load Projections'!$A$4:$EO$14,((MONTH($A7)-1)*12)+VLOOKUP(CN$4,$DE$6:$DF$17,2)+1))*$E7</f>
        <v>0</v>
      </c>
      <c r="CO7" s="1021">
        <f>(VLOOKUP(YEAR($A7),'NY East Load Projections'!$A$4:$EO$14,((MONTH($A7)-1)*12)+VLOOKUP(CO$4,$DE$6:$DF$17,2)+1))*$E7</f>
        <v>0</v>
      </c>
      <c r="CP7" s="1021">
        <f>(VLOOKUP(YEAR($A7),'NY East Load Projections'!$A$4:$EO$14,((MONTH($A7)-1)*12)+VLOOKUP(CP$4,$DE$6:$DF$17,2)+1))*$E7</f>
        <v>0</v>
      </c>
      <c r="CQ7" s="1021">
        <f>(VLOOKUP(YEAR($A7),'NY East Load Projections'!$A$4:$EO$14,((MONTH($A7)-1)*12)+VLOOKUP(CQ$4,$DE$6:$DF$17,2)+1))*$E7</f>
        <v>0</v>
      </c>
      <c r="CR7" s="1021">
        <f>(VLOOKUP(YEAR($A7),'NY East Load Projections'!$A$4:$EO$14,((MONTH($A7)-1)*12)+VLOOKUP(CR$4,$DE$6:$DF$17,2)+1))*$E7</f>
        <v>0</v>
      </c>
      <c r="CS7" s="1021">
        <f>(VLOOKUP(YEAR($A7),'NY East Load Projections'!$A$4:$EO$14,((MONTH($A7)-1)*12)+VLOOKUP(CS$4,$DE$6:$DF$17,2)+1))*$E7</f>
        <v>0</v>
      </c>
      <c r="CT7" s="1021">
        <f>(VLOOKUP(YEAR($A7),'NY East Load Projections'!$A$4:$EO$14,((MONTH($A7)-1)*12)+VLOOKUP(CT$4,$DE$6:$DF$17,2)+1))*$E7</f>
        <v>0</v>
      </c>
      <c r="CU7" s="1021">
        <f>(VLOOKUP(YEAR($A7),'NY East Load Projections'!$A$4:$EO$14,((MONTH($A7)-1)*12)+VLOOKUP(CU$4,$DE$6:$DF$17,2)+1))*$E7</f>
        <v>0</v>
      </c>
      <c r="CV7" s="1021">
        <f>(VLOOKUP(YEAR($A7),'NY East Load Projections'!$A$4:$EO$14,((MONTH($A7)-1)*12)+VLOOKUP(CV$4,$DE$6:$DF$17,2)+1))*$E7</f>
        <v>0</v>
      </c>
      <c r="CW7" s="1021">
        <f>(VLOOKUP(YEAR($A7),'NY East Load Projections'!$A$4:$EO$14,((MONTH($A7)-1)*12)+VLOOKUP(CW$4,$DE$6:$DF$17,2)+1))*$E7</f>
        <v>0</v>
      </c>
      <c r="CX7" s="1021">
        <f>(VLOOKUP(YEAR($A7),'NY East Load Projections'!$A$4:$EO$14,((MONTH($A7)-1)*12)+VLOOKUP(CX$4,$DE$6:$DF$17,2)+1))*$E7</f>
        <v>0</v>
      </c>
      <c r="CY7" s="1021">
        <f>(VLOOKUP(YEAR($A7),'NY East Load Projections'!$A$4:$EO$14,((MONTH($A7)-1)*12)+VLOOKUP(CY$4,$DE$6:$DF$17,2)+1))*$E7</f>
        <v>0</v>
      </c>
      <c r="CZ7" s="1021">
        <f>(VLOOKUP(YEAR($A7),'NY East Load Projections'!$A$4:$EO$14,((MONTH($A7)-1)*12)+VLOOKUP(CZ$4,$DE$6:$DF$17,2)+1))*$E7</f>
        <v>0</v>
      </c>
      <c r="DA7" s="1021">
        <f>(VLOOKUP(YEAR($A7),'NY East Load Projections'!$A$4:$EO$14,((MONTH($A7)-1)*12)+VLOOKUP(DA$4,$DE$6:$DF$17,2)+1))*$E7</f>
        <v>0</v>
      </c>
      <c r="DB7" s="1021">
        <f>(VLOOKUP(YEAR($A7),'NY East Load Projections'!$A$4:$EO$14,((MONTH($A7)-1)*12)+VLOOKUP(DB$4,$DE$6:$DF$17,2)+1))*$E7</f>
        <v>0</v>
      </c>
      <c r="DE7" s="221" t="s">
        <v>559</v>
      </c>
      <c r="DF7" s="619">
        <v>2</v>
      </c>
      <c r="DH7" s="1009">
        <f t="shared" si="0"/>
        <v>-7968.3261080277744</v>
      </c>
      <c r="DI7">
        <f ca="1">CALC!J27</f>
        <v>0.93329821543014668</v>
      </c>
      <c r="DJ7" s="1032">
        <f t="shared" ref="DJ7:DJ70" ca="1" si="1">DH7*DI7</f>
        <v>-7436.8245365877683</v>
      </c>
    </row>
    <row r="8" spans="1:114" x14ac:dyDescent="0.25">
      <c r="A8" s="244">
        <v>36951</v>
      </c>
      <c r="B8" s="13">
        <v>22</v>
      </c>
      <c r="C8" s="210">
        <v>5</v>
      </c>
      <c r="D8" s="210">
        <v>4</v>
      </c>
      <c r="E8" s="210">
        <v>0</v>
      </c>
      <c r="F8" s="13">
        <v>31</v>
      </c>
      <c r="H8" s="1021">
        <f>(VLOOKUP(YEAR($A8),'NY East Load Projections'!$A$4:$EO$14,((MONTH($A8)-1)*12)+VLOOKUP(H$4,$DE$6:$DF$17,2)+1))*$B8</f>
        <v>-112.42973114046509</v>
      </c>
      <c r="I8" s="1021">
        <f>(VLOOKUP(YEAR($A8),'NY East Load Projections'!$A$4:$EO$14,((MONTH($A8)-1)*12)+VLOOKUP(I$4,$DE$6:$DF$17,2)+1))*$B8</f>
        <v>-112.42973114046509</v>
      </c>
      <c r="J8" s="1021">
        <f>(VLOOKUP(YEAR($A8),'NY East Load Projections'!$A$4:$EO$14,((MONTH($A8)-1)*12)+VLOOKUP(J$4,$DE$6:$DF$17,2)+1))*$B8</f>
        <v>-112.42973114046509</v>
      </c>
      <c r="K8" s="1021">
        <f>(VLOOKUP(YEAR($A8),'NY East Load Projections'!$A$4:$EO$14,((MONTH($A8)-1)*12)+VLOOKUP(K$4,$DE$6:$DF$17,2)+1))*$B8</f>
        <v>-112.42973114046509</v>
      </c>
      <c r="L8" s="1021">
        <f>(VLOOKUP(YEAR($A8),'NY East Load Projections'!$A$4:$EO$14,((MONTH($A8)-1)*12)+VLOOKUP(L$4,$DE$6:$DF$17,2)+1))*$B8</f>
        <v>-222.08837936820228</v>
      </c>
      <c r="M8" s="1021">
        <f>(VLOOKUP(YEAR($A8),'NY East Load Projections'!$A$4:$EO$14,((MONTH($A8)-1)*12)+VLOOKUP(M$4,$DE$6:$DF$17,2)+1))*$B8</f>
        <v>-222.08837936820228</v>
      </c>
      <c r="N8" s="1021">
        <f>(VLOOKUP(YEAR($A8),'NY East Load Projections'!$A$4:$EO$14,((MONTH($A8)-1)*12)+VLOOKUP(N$4,$DE$6:$DF$17,2)+1))*$B8</f>
        <v>-222.08837936820228</v>
      </c>
      <c r="O8" s="1021">
        <f>(VLOOKUP(YEAR($A8),'NY East Load Projections'!$A$4:$EO$14,((MONTH($A8)-1)*12)+VLOOKUP(O$4,$DE$6:$DF$17,2)+1))*$B8</f>
        <v>-222.08837936820228</v>
      </c>
      <c r="P8" s="1021">
        <f>(VLOOKUP(YEAR($A8),'NY East Load Projections'!$A$4:$EO$14,((MONTH($A8)-1)*12)+VLOOKUP(P$4,$DE$6:$DF$17,2)+1))*$B8</f>
        <v>-229.17800831014395</v>
      </c>
      <c r="Q8" s="1021">
        <f>(VLOOKUP(YEAR($A8),'NY East Load Projections'!$A$4:$EO$14,((MONTH($A8)-1)*12)+VLOOKUP(Q$4,$DE$6:$DF$17,2)+1))*$B8</f>
        <v>-229.17800831014395</v>
      </c>
      <c r="R8" s="1021">
        <f>(VLOOKUP(YEAR($A8),'NY East Load Projections'!$A$4:$EO$14,((MONTH($A8)-1)*12)+VLOOKUP(R$4,$DE$6:$DF$17,2)+1))*$B8</f>
        <v>-229.17800831014395</v>
      </c>
      <c r="S8" s="1021">
        <f>(VLOOKUP(YEAR($A8),'NY East Load Projections'!$A$4:$EO$14,((MONTH($A8)-1)*12)+VLOOKUP(S$4,$DE$6:$DF$17,2)+1))*$B8</f>
        <v>-229.17800831014395</v>
      </c>
      <c r="T8" s="1021">
        <f>(VLOOKUP(YEAR($A8),'NY East Load Projections'!$A$4:$EO$14,((MONTH($A8)-1)*12)+VLOOKUP(T$4,$DE$6:$DF$17,2)+1))*$B8</f>
        <v>-228.02240954706986</v>
      </c>
      <c r="U8" s="1021">
        <f>(VLOOKUP(YEAR($A8),'NY East Load Projections'!$A$4:$EO$14,((MONTH($A8)-1)*12)+VLOOKUP(U$4,$DE$6:$DF$17,2)+1))*$B8</f>
        <v>-228.02240954706986</v>
      </c>
      <c r="V8" s="1021">
        <f>(VLOOKUP(YEAR($A8),'NY East Load Projections'!$A$4:$EO$14,((MONTH($A8)-1)*12)+VLOOKUP(V$4,$DE$6:$DF$17,2)+1))*$B8</f>
        <v>-228.02240954706986</v>
      </c>
      <c r="W8" s="1021">
        <f>(VLOOKUP(YEAR($A8),'NY East Load Projections'!$A$4:$EO$14,((MONTH($A8)-1)*12)+VLOOKUP(W$4,$DE$6:$DF$17,2)+1))*$B8</f>
        <v>-228.02240954706986</v>
      </c>
      <c r="X8" s="1021">
        <f>(VLOOKUP(YEAR($A8),'NY East Load Projections'!$A$4:$EO$14,((MONTH($A8)-1)*12)+VLOOKUP(X$4,$DE$6:$DF$17,2)+1))*$B8</f>
        <v>-197.44103835403115</v>
      </c>
      <c r="Y8" s="1021">
        <f>(VLOOKUP(YEAR($A8),'NY East Load Projections'!$A$4:$EO$14,((MONTH($A8)-1)*12)+VLOOKUP(Y$4,$DE$6:$DF$17,2)+1))*$B8</f>
        <v>-197.44103835403115</v>
      </c>
      <c r="Z8" s="1021">
        <f>(VLOOKUP(YEAR($A8),'NY East Load Projections'!$A$4:$EO$14,((MONTH($A8)-1)*12)+VLOOKUP(Z$4,$DE$6:$DF$17,2)+1))*$B8</f>
        <v>-197.44103835403115</v>
      </c>
      <c r="AA8" s="1021">
        <f>(VLOOKUP(YEAR($A8),'NY East Load Projections'!$A$4:$EO$14,((MONTH($A8)-1)*12)+VLOOKUP(AA$4,$DE$6:$DF$17,2)+1))*$B8</f>
        <v>-197.44103835403115</v>
      </c>
      <c r="AB8" s="1021">
        <f>(VLOOKUP(YEAR($A8),'NY East Load Projections'!$A$4:$EO$14,((MONTH($A8)-1)*12)+VLOOKUP(AB$4,$DE$6:$DF$17,2)+1))*$B8</f>
        <v>-146.81585799099017</v>
      </c>
      <c r="AC8" s="1021">
        <f>(VLOOKUP(YEAR($A8),'NY East Load Projections'!$A$4:$EO$14,((MONTH($A8)-1)*12)+VLOOKUP(AC$4,$DE$6:$DF$17,2)+1))*$B8</f>
        <v>-146.81585799099017</v>
      </c>
      <c r="AD8" s="1021">
        <f>(VLOOKUP(YEAR($A8),'NY East Load Projections'!$A$4:$EO$14,((MONTH($A8)-1)*12)+VLOOKUP(AD$4,$DE$6:$DF$17,2)+1))*$B8</f>
        <v>-146.81585799099017</v>
      </c>
      <c r="AE8" s="1021">
        <f>(VLOOKUP(YEAR($A8),'NY East Load Projections'!$A$4:$EO$14,((MONTH($A8)-1)*12)+VLOOKUP(AE$4,$DE$6:$DF$17,2)+1))*$B8</f>
        <v>-146.81585799099017</v>
      </c>
      <c r="AF8" s="1021"/>
      <c r="AG8" s="1021">
        <f>(VLOOKUP(YEAR($A8),'NY East Load Projections'!$A$4:$EO$14,((MONTH($A8)-1)*12)+VLOOKUP(AG$4,$DE$6:$DF$17,2)+1))*$C8</f>
        <v>-64.913754130447956</v>
      </c>
      <c r="AH8" s="1021">
        <f>(VLOOKUP(YEAR($A8),'NY East Load Projections'!$A$4:$EO$14,((MONTH($A8)-1)*12)+VLOOKUP(AH$4,$DE$6:$DF$17,2)+1))*$C8</f>
        <v>-64.913754130447956</v>
      </c>
      <c r="AI8" s="1021">
        <f>(VLOOKUP(YEAR($A8),'NY East Load Projections'!$A$4:$EO$14,((MONTH($A8)-1)*12)+VLOOKUP(AI$4,$DE$6:$DF$17,2)+1))*$C8</f>
        <v>-64.913754130447956</v>
      </c>
      <c r="AJ8" s="1021">
        <f>(VLOOKUP(YEAR($A8),'NY East Load Projections'!$A$4:$EO$14,((MONTH($A8)-1)*12)+VLOOKUP(AJ$4,$DE$6:$DF$17,2)+1))*$C8</f>
        <v>-64.913754130447956</v>
      </c>
      <c r="AK8" s="1021">
        <f>(VLOOKUP(YEAR($A8),'NY East Load Projections'!$A$4:$EO$14,((MONTH($A8)-1)*12)+VLOOKUP(AK$4,$DE$6:$DF$17,2)+1))*$C8</f>
        <v>-65.184435713007346</v>
      </c>
      <c r="AL8" s="1021">
        <f>(VLOOKUP(YEAR($A8),'NY East Load Projections'!$A$4:$EO$14,((MONTH($A8)-1)*12)+VLOOKUP(AL$4,$DE$6:$DF$17,2)+1))*$C8</f>
        <v>-65.184435713007346</v>
      </c>
      <c r="AM8" s="1021">
        <f>(VLOOKUP(YEAR($A8),'NY East Load Projections'!$A$4:$EO$14,((MONTH($A8)-1)*12)+VLOOKUP(AM$4,$DE$6:$DF$17,2)+1))*$C8</f>
        <v>-65.184435713007346</v>
      </c>
      <c r="AN8" s="1021">
        <f>(VLOOKUP(YEAR($A8),'NY East Load Projections'!$A$4:$EO$14,((MONTH($A8)-1)*12)+VLOOKUP(AN$4,$DE$6:$DF$17,2)+1))*$C8</f>
        <v>-65.184435713007346</v>
      </c>
      <c r="AO8" s="1021">
        <f>(VLOOKUP(YEAR($A8),'NY East Load Projections'!$A$4:$EO$14,((MONTH($A8)-1)*12)+VLOOKUP(AO$4,$DE$6:$DF$17,2)+1))*$C8</f>
        <v>-77.347477547193606</v>
      </c>
      <c r="AP8" s="1021">
        <f>(VLOOKUP(YEAR($A8),'NY East Load Projections'!$A$4:$EO$14,((MONTH($A8)-1)*12)+VLOOKUP(AP$4,$DE$6:$DF$17,2)+1))*$C8</f>
        <v>-77.347477547193606</v>
      </c>
      <c r="AQ8" s="1021">
        <f>(VLOOKUP(YEAR($A8),'NY East Load Projections'!$A$4:$EO$14,((MONTH($A8)-1)*12)+VLOOKUP(AQ$4,$DE$6:$DF$17,2)+1))*$C8</f>
        <v>-77.347477547193606</v>
      </c>
      <c r="AR8" s="1021">
        <f>(VLOOKUP(YEAR($A8),'NY East Load Projections'!$A$4:$EO$14,((MONTH($A8)-1)*12)+VLOOKUP(AR$4,$DE$6:$DF$17,2)+1))*$C8</f>
        <v>-77.347477547193606</v>
      </c>
      <c r="AS8" s="1021">
        <f>(VLOOKUP(YEAR($A8),'NY East Load Projections'!$A$4:$EO$14,((MONTH($A8)-1)*12)+VLOOKUP(AS$4,$DE$6:$DF$17,2)+1))*$C8</f>
        <v>-67.230853189018148</v>
      </c>
      <c r="AT8" s="1021">
        <f>(VLOOKUP(YEAR($A8),'NY East Load Projections'!$A$4:$EO$14,((MONTH($A8)-1)*12)+VLOOKUP(AT$4,$DE$6:$DF$17,2)+1))*$C8</f>
        <v>-67.230853189018148</v>
      </c>
      <c r="AU8" s="1021">
        <f>(VLOOKUP(YEAR($A8),'NY East Load Projections'!$A$4:$EO$14,((MONTH($A8)-1)*12)+VLOOKUP(AU$4,$DE$6:$DF$17,2)+1))*$C8</f>
        <v>-67.230853189018148</v>
      </c>
      <c r="AV8" s="1021">
        <f>(VLOOKUP(YEAR($A8),'NY East Load Projections'!$A$4:$EO$14,((MONTH($A8)-1)*12)+VLOOKUP(AV$4,$DE$6:$DF$17,2)+1))*$C8</f>
        <v>-67.230853189018148</v>
      </c>
      <c r="AW8" s="1021">
        <f>(VLOOKUP(YEAR($A8),'NY East Load Projections'!$A$4:$EO$14,((MONTH($A8)-1)*12)+VLOOKUP(AW$4,$DE$6:$DF$17,2)+1))*$C8</f>
        <v>-63.557222550983454</v>
      </c>
      <c r="AX8" s="1021">
        <f>(VLOOKUP(YEAR($A8),'NY East Load Projections'!$A$4:$EO$14,((MONTH($A8)-1)*12)+VLOOKUP(AX$4,$DE$6:$DF$17,2)+1))*$C8</f>
        <v>-63.557222550983454</v>
      </c>
      <c r="AY8" s="1021">
        <f>(VLOOKUP(YEAR($A8),'NY East Load Projections'!$A$4:$EO$14,((MONTH($A8)-1)*12)+VLOOKUP(AY$4,$DE$6:$DF$17,2)+1))*$C8</f>
        <v>-63.557222550983454</v>
      </c>
      <c r="AZ8" s="1021">
        <f>(VLOOKUP(YEAR($A8),'NY East Load Projections'!$A$4:$EO$14,((MONTH($A8)-1)*12)+VLOOKUP(AZ$4,$DE$6:$DF$17,2)+1))*$C8</f>
        <v>-63.557222550983454</v>
      </c>
      <c r="BA8" s="1021">
        <f>(VLOOKUP(YEAR($A8),'NY East Load Projections'!$A$4:$EO$14,((MONTH($A8)-1)*12)+VLOOKUP(BA$4,$DE$6:$DF$17,2)+1))*$C8</f>
        <v>-66.496953269484735</v>
      </c>
      <c r="BB8" s="1021">
        <f>(VLOOKUP(YEAR($A8),'NY East Load Projections'!$A$4:$EO$14,((MONTH($A8)-1)*12)+VLOOKUP(BB$4,$DE$6:$DF$17,2)+1))*$C8</f>
        <v>-66.496953269484735</v>
      </c>
      <c r="BC8" s="1021">
        <f>(VLOOKUP(YEAR($A8),'NY East Load Projections'!$A$4:$EO$14,((MONTH($A8)-1)*12)+VLOOKUP(BC$4,$DE$6:$DF$17,2)+1))*$C8</f>
        <v>-66.496953269484735</v>
      </c>
      <c r="BD8" s="1021">
        <f>(VLOOKUP(YEAR($A8),'NY East Load Projections'!$A$4:$EO$14,((MONTH($A8)-1)*12)+VLOOKUP(BD$4,$DE$6:$DF$17,2)+1))*$C8</f>
        <v>-66.496953269484735</v>
      </c>
      <c r="BE8" s="1021"/>
      <c r="BF8" s="1021">
        <f>(VLOOKUP(YEAR($A8),'NY East Load Projections'!$A$4:$EO$14,((MONTH($A8)-1)*12)+VLOOKUP(BF$4,$DE$6:$DF$17,2)+1))*$D8</f>
        <v>-51.931003304358363</v>
      </c>
      <c r="BG8" s="1021">
        <f>(VLOOKUP(YEAR($A8),'NY East Load Projections'!$A$4:$EO$14,((MONTH($A8)-1)*12)+VLOOKUP(BG$4,$DE$6:$DF$17,2)+1))*$D8</f>
        <v>-51.931003304358363</v>
      </c>
      <c r="BH8" s="1021">
        <f>(VLOOKUP(YEAR($A8),'NY East Load Projections'!$A$4:$EO$14,((MONTH($A8)-1)*12)+VLOOKUP(BH$4,$DE$6:$DF$17,2)+1))*$D8</f>
        <v>-51.931003304358363</v>
      </c>
      <c r="BI8" s="1021">
        <f>(VLOOKUP(YEAR($A8),'NY East Load Projections'!$A$4:$EO$14,((MONTH($A8)-1)*12)+VLOOKUP(BI$4,$DE$6:$DF$17,2)+1))*$D8</f>
        <v>-51.931003304358363</v>
      </c>
      <c r="BJ8" s="1021">
        <f>(VLOOKUP(YEAR($A8),'NY East Load Projections'!$A$4:$EO$14,((MONTH($A8)-1)*12)+VLOOKUP(BJ$4,$DE$6:$DF$17,2)+1))*$D8</f>
        <v>-52.147548570405874</v>
      </c>
      <c r="BK8" s="1021">
        <f>(VLOOKUP(YEAR($A8),'NY East Load Projections'!$A$4:$EO$14,((MONTH($A8)-1)*12)+VLOOKUP(BK$4,$DE$6:$DF$17,2)+1))*$D8</f>
        <v>-52.147548570405874</v>
      </c>
      <c r="BL8" s="1021">
        <f>(VLOOKUP(YEAR($A8),'NY East Load Projections'!$A$4:$EO$14,((MONTH($A8)-1)*12)+VLOOKUP(BL$4,$DE$6:$DF$17,2)+1))*$D8</f>
        <v>-52.147548570405874</v>
      </c>
      <c r="BM8" s="1021">
        <f>(VLOOKUP(YEAR($A8),'NY East Load Projections'!$A$4:$EO$14,((MONTH($A8)-1)*12)+VLOOKUP(BM$4,$DE$6:$DF$17,2)+1))*$D8</f>
        <v>-52.147548570405874</v>
      </c>
      <c r="BN8" s="1021">
        <f>(VLOOKUP(YEAR($A8),'NY East Load Projections'!$A$4:$EO$14,((MONTH($A8)-1)*12)+VLOOKUP(BN$4,$DE$6:$DF$17,2)+1))*$D8</f>
        <v>-61.877982037754883</v>
      </c>
      <c r="BO8" s="1021">
        <f>(VLOOKUP(YEAR($A8),'NY East Load Projections'!$A$4:$EO$14,((MONTH($A8)-1)*12)+VLOOKUP(BO$4,$DE$6:$DF$17,2)+1))*$D8</f>
        <v>-61.877982037754883</v>
      </c>
      <c r="BP8" s="1021">
        <f>(VLOOKUP(YEAR($A8),'NY East Load Projections'!$A$4:$EO$14,((MONTH($A8)-1)*12)+VLOOKUP(BP$4,$DE$6:$DF$17,2)+1))*$D8</f>
        <v>-61.877982037754883</v>
      </c>
      <c r="BQ8" s="1021">
        <f>(VLOOKUP(YEAR($A8),'NY East Load Projections'!$A$4:$EO$14,((MONTH($A8)-1)*12)+VLOOKUP(BQ$4,$DE$6:$DF$17,2)+1))*$D8</f>
        <v>-61.877982037754883</v>
      </c>
      <c r="BR8" s="1021">
        <f>(VLOOKUP(YEAR($A8),'NY East Load Projections'!$A$4:$EO$14,((MONTH($A8)-1)*12)+VLOOKUP(BR$4,$DE$6:$DF$17,2)+1))*$D8</f>
        <v>-53.784682551214523</v>
      </c>
      <c r="BS8" s="1021">
        <f>(VLOOKUP(YEAR($A8),'NY East Load Projections'!$A$4:$EO$14,((MONTH($A8)-1)*12)+VLOOKUP(BS$4,$DE$6:$DF$17,2)+1))*$D8</f>
        <v>-53.784682551214523</v>
      </c>
      <c r="BT8" s="1021">
        <f>(VLOOKUP(YEAR($A8),'NY East Load Projections'!$A$4:$EO$14,((MONTH($A8)-1)*12)+VLOOKUP(BT$4,$DE$6:$DF$17,2)+1))*$D8</f>
        <v>-53.784682551214523</v>
      </c>
      <c r="BU8" s="1021">
        <f>(VLOOKUP(YEAR($A8),'NY East Load Projections'!$A$4:$EO$14,((MONTH($A8)-1)*12)+VLOOKUP(BU$4,$DE$6:$DF$17,2)+1))*$D8</f>
        <v>-53.784682551214523</v>
      </c>
      <c r="BV8" s="1021">
        <f>(VLOOKUP(YEAR($A8),'NY East Load Projections'!$A$4:$EO$14,((MONTH($A8)-1)*12)+VLOOKUP(BV$4,$DE$6:$DF$17,2)+1))*$D8</f>
        <v>-50.845778040786762</v>
      </c>
      <c r="BW8" s="1021">
        <f>(VLOOKUP(YEAR($A8),'NY East Load Projections'!$A$4:$EO$14,((MONTH($A8)-1)*12)+VLOOKUP(BW$4,$DE$6:$DF$17,2)+1))*$D8</f>
        <v>-50.845778040786762</v>
      </c>
      <c r="BX8" s="1021">
        <f>(VLOOKUP(YEAR($A8),'NY East Load Projections'!$A$4:$EO$14,((MONTH($A8)-1)*12)+VLOOKUP(BX$4,$DE$6:$DF$17,2)+1))*$D8</f>
        <v>-50.845778040786762</v>
      </c>
      <c r="BY8" s="1021">
        <f>(VLOOKUP(YEAR($A8),'NY East Load Projections'!$A$4:$EO$14,((MONTH($A8)-1)*12)+VLOOKUP(BY$4,$DE$6:$DF$17,2)+1))*$D8</f>
        <v>-50.845778040786762</v>
      </c>
      <c r="BZ8" s="1021">
        <f>(VLOOKUP(YEAR($A8),'NY East Load Projections'!$A$4:$EO$14,((MONTH($A8)-1)*12)+VLOOKUP(BZ$4,$DE$6:$DF$17,2)+1))*$D8</f>
        <v>-53.197562615587785</v>
      </c>
      <c r="CA8" s="1021">
        <f>(VLOOKUP(YEAR($A8),'NY East Load Projections'!$A$4:$EO$14,((MONTH($A8)-1)*12)+VLOOKUP(CA$4,$DE$6:$DF$17,2)+1))*$D8</f>
        <v>-53.197562615587785</v>
      </c>
      <c r="CB8" s="1021">
        <f>(VLOOKUP(YEAR($A8),'NY East Load Projections'!$A$4:$EO$14,((MONTH($A8)-1)*12)+VLOOKUP(CB$4,$DE$6:$DF$17,2)+1))*$D8</f>
        <v>-53.197562615587785</v>
      </c>
      <c r="CC8" s="1021">
        <f>(VLOOKUP(YEAR($A8),'NY East Load Projections'!$A$4:$EO$14,((MONTH($A8)-1)*12)+VLOOKUP(CC$4,$DE$6:$DF$17,2)+1))*$D8</f>
        <v>-53.197562615587785</v>
      </c>
      <c r="CE8" s="1021">
        <f>(VLOOKUP(YEAR($A8),'NY East Load Projections'!$A$4:$EO$14,((MONTH($A8)-1)*12)+VLOOKUP(CE$4,$DE$6:$DF$17,2)+1))*$E8</f>
        <v>0</v>
      </c>
      <c r="CF8" s="1021">
        <f>(VLOOKUP(YEAR($A8),'NY East Load Projections'!$A$4:$EO$14,((MONTH($A8)-1)*12)+VLOOKUP(CF$4,$DE$6:$DF$17,2)+1))*$E8</f>
        <v>0</v>
      </c>
      <c r="CG8" s="1021">
        <f>(VLOOKUP(YEAR($A8),'NY East Load Projections'!$A$4:$EO$14,((MONTH($A8)-1)*12)+VLOOKUP(CG$4,$DE$6:$DF$17,2)+1))*$E8</f>
        <v>0</v>
      </c>
      <c r="CH8" s="1021">
        <f>(VLOOKUP(YEAR($A8),'NY East Load Projections'!$A$4:$EO$14,((MONTH($A8)-1)*12)+VLOOKUP(CH$4,$DE$6:$DF$17,2)+1))*$E8</f>
        <v>0</v>
      </c>
      <c r="CI8" s="1021">
        <f>(VLOOKUP(YEAR($A8),'NY East Load Projections'!$A$4:$EO$14,((MONTH($A8)-1)*12)+VLOOKUP(CI$4,$DE$6:$DF$17,2)+1))*$E8</f>
        <v>0</v>
      </c>
      <c r="CJ8" s="1021">
        <f>(VLOOKUP(YEAR($A8),'NY East Load Projections'!$A$4:$EO$14,((MONTH($A8)-1)*12)+VLOOKUP(CJ$4,$DE$6:$DF$17,2)+1))*$E8</f>
        <v>0</v>
      </c>
      <c r="CK8" s="1021">
        <f>(VLOOKUP(YEAR($A8),'NY East Load Projections'!$A$4:$EO$14,((MONTH($A8)-1)*12)+VLOOKUP(CK$4,$DE$6:$DF$17,2)+1))*$E8</f>
        <v>0</v>
      </c>
      <c r="CL8" s="1021">
        <f>(VLOOKUP(YEAR($A8),'NY East Load Projections'!$A$4:$EO$14,((MONTH($A8)-1)*12)+VLOOKUP(CL$4,$DE$6:$DF$17,2)+1))*$E8</f>
        <v>0</v>
      </c>
      <c r="CM8" s="1021">
        <f>(VLOOKUP(YEAR($A8),'NY East Load Projections'!$A$4:$EO$14,((MONTH($A8)-1)*12)+VLOOKUP(CM$4,$DE$6:$DF$17,2)+1))*$E8</f>
        <v>0</v>
      </c>
      <c r="CN8" s="1021">
        <f>(VLOOKUP(YEAR($A8),'NY East Load Projections'!$A$4:$EO$14,((MONTH($A8)-1)*12)+VLOOKUP(CN$4,$DE$6:$DF$17,2)+1))*$E8</f>
        <v>0</v>
      </c>
      <c r="CO8" s="1021">
        <f>(VLOOKUP(YEAR($A8),'NY East Load Projections'!$A$4:$EO$14,((MONTH($A8)-1)*12)+VLOOKUP(CO$4,$DE$6:$DF$17,2)+1))*$E8</f>
        <v>0</v>
      </c>
      <c r="CP8" s="1021">
        <f>(VLOOKUP(YEAR($A8),'NY East Load Projections'!$A$4:$EO$14,((MONTH($A8)-1)*12)+VLOOKUP(CP$4,$DE$6:$DF$17,2)+1))*$E8</f>
        <v>0</v>
      </c>
      <c r="CQ8" s="1021">
        <f>(VLOOKUP(YEAR($A8),'NY East Load Projections'!$A$4:$EO$14,((MONTH($A8)-1)*12)+VLOOKUP(CQ$4,$DE$6:$DF$17,2)+1))*$E8</f>
        <v>0</v>
      </c>
      <c r="CR8" s="1021">
        <f>(VLOOKUP(YEAR($A8),'NY East Load Projections'!$A$4:$EO$14,((MONTH($A8)-1)*12)+VLOOKUP(CR$4,$DE$6:$DF$17,2)+1))*$E8</f>
        <v>0</v>
      </c>
      <c r="CS8" s="1021">
        <f>(VLOOKUP(YEAR($A8),'NY East Load Projections'!$A$4:$EO$14,((MONTH($A8)-1)*12)+VLOOKUP(CS$4,$DE$6:$DF$17,2)+1))*$E8</f>
        <v>0</v>
      </c>
      <c r="CT8" s="1021">
        <f>(VLOOKUP(YEAR($A8),'NY East Load Projections'!$A$4:$EO$14,((MONTH($A8)-1)*12)+VLOOKUP(CT$4,$DE$6:$DF$17,2)+1))*$E8</f>
        <v>0</v>
      </c>
      <c r="CU8" s="1021">
        <f>(VLOOKUP(YEAR($A8),'NY East Load Projections'!$A$4:$EO$14,((MONTH($A8)-1)*12)+VLOOKUP(CU$4,$DE$6:$DF$17,2)+1))*$E8</f>
        <v>0</v>
      </c>
      <c r="CV8" s="1021">
        <f>(VLOOKUP(YEAR($A8),'NY East Load Projections'!$A$4:$EO$14,((MONTH($A8)-1)*12)+VLOOKUP(CV$4,$DE$6:$DF$17,2)+1))*$E8</f>
        <v>0</v>
      </c>
      <c r="CW8" s="1021">
        <f>(VLOOKUP(YEAR($A8),'NY East Load Projections'!$A$4:$EO$14,((MONTH($A8)-1)*12)+VLOOKUP(CW$4,$DE$6:$DF$17,2)+1))*$E8</f>
        <v>0</v>
      </c>
      <c r="CX8" s="1021">
        <f>(VLOOKUP(YEAR($A8),'NY East Load Projections'!$A$4:$EO$14,((MONTH($A8)-1)*12)+VLOOKUP(CX$4,$DE$6:$DF$17,2)+1))*$E8</f>
        <v>0</v>
      </c>
      <c r="CY8" s="1021">
        <f>(VLOOKUP(YEAR($A8),'NY East Load Projections'!$A$4:$EO$14,((MONTH($A8)-1)*12)+VLOOKUP(CY$4,$DE$6:$DF$17,2)+1))*$E8</f>
        <v>0</v>
      </c>
      <c r="CZ8" s="1021">
        <f>(VLOOKUP(YEAR($A8),'NY East Load Projections'!$A$4:$EO$14,((MONTH($A8)-1)*12)+VLOOKUP(CZ$4,$DE$6:$DF$17,2)+1))*$E8</f>
        <v>0</v>
      </c>
      <c r="DA8" s="1021">
        <f>(VLOOKUP(YEAR($A8),'NY East Load Projections'!$A$4:$EO$14,((MONTH($A8)-1)*12)+VLOOKUP(DA$4,$DE$6:$DF$17,2)+1))*$E8</f>
        <v>0</v>
      </c>
      <c r="DB8" s="1021">
        <f>(VLOOKUP(YEAR($A8),'NY East Load Projections'!$A$4:$EO$14,((MONTH($A8)-1)*12)+VLOOKUP(DB$4,$DE$6:$DF$17,2)+1))*$E8</f>
        <v>0</v>
      </c>
      <c r="DE8" s="221" t="s">
        <v>560</v>
      </c>
      <c r="DF8" s="619">
        <v>3</v>
      </c>
      <c r="DH8" s="1009">
        <f t="shared" si="0"/>
        <v>-7457.9627129245882</v>
      </c>
      <c r="DI8">
        <f ca="1">CALC!J28</f>
        <v>0.92767633406505923</v>
      </c>
      <c r="DJ8" s="1032">
        <f t="shared" ca="1" si="1"/>
        <v>-6918.5755091197861</v>
      </c>
    </row>
    <row r="9" spans="1:114" x14ac:dyDescent="0.25">
      <c r="A9" s="244">
        <v>36982</v>
      </c>
      <c r="B9" s="13">
        <v>21</v>
      </c>
      <c r="C9" s="210">
        <v>4</v>
      </c>
      <c r="D9" s="210">
        <v>5</v>
      </c>
      <c r="E9" s="210">
        <v>0</v>
      </c>
      <c r="F9" s="13">
        <v>30</v>
      </c>
      <c r="H9" s="1021">
        <f>(VLOOKUP(YEAR($A9),'NY East Load Projections'!$A$4:$EO$14,((MONTH($A9)-1)*12)+VLOOKUP(H$4,$DE$6:$DF$17,2)+1))*$B9</f>
        <v>-85.357476383153909</v>
      </c>
      <c r="I9" s="1021">
        <f>(VLOOKUP(YEAR($A9),'NY East Load Projections'!$A$4:$EO$14,((MONTH($A9)-1)*12)+VLOOKUP(I$4,$DE$6:$DF$17,2)+1))*$B9</f>
        <v>-85.357476383153909</v>
      </c>
      <c r="J9" s="1021">
        <f>(VLOOKUP(YEAR($A9),'NY East Load Projections'!$A$4:$EO$14,((MONTH($A9)-1)*12)+VLOOKUP(J$4,$DE$6:$DF$17,2)+1))*$B9</f>
        <v>-85.357476383153909</v>
      </c>
      <c r="K9" s="1021">
        <f>(VLOOKUP(YEAR($A9),'NY East Load Projections'!$A$4:$EO$14,((MONTH($A9)-1)*12)+VLOOKUP(K$4,$DE$6:$DF$17,2)+1))*$B9</f>
        <v>-85.357476383153909</v>
      </c>
      <c r="L9" s="1021">
        <f>(VLOOKUP(YEAR($A9),'NY East Load Projections'!$A$4:$EO$14,((MONTH($A9)-1)*12)+VLOOKUP(L$4,$DE$6:$DF$17,2)+1))*$B9</f>
        <v>-160.93425862006251</v>
      </c>
      <c r="M9" s="1021">
        <f>(VLOOKUP(YEAR($A9),'NY East Load Projections'!$A$4:$EO$14,((MONTH($A9)-1)*12)+VLOOKUP(M$4,$DE$6:$DF$17,2)+1))*$B9</f>
        <v>-160.93425862006251</v>
      </c>
      <c r="N9" s="1021">
        <f>(VLOOKUP(YEAR($A9),'NY East Load Projections'!$A$4:$EO$14,((MONTH($A9)-1)*12)+VLOOKUP(N$4,$DE$6:$DF$17,2)+1))*$B9</f>
        <v>-160.93425862006251</v>
      </c>
      <c r="O9" s="1021">
        <f>(VLOOKUP(YEAR($A9),'NY East Load Projections'!$A$4:$EO$14,((MONTH($A9)-1)*12)+VLOOKUP(O$4,$DE$6:$DF$17,2)+1))*$B9</f>
        <v>-160.93425862006251</v>
      </c>
      <c r="P9" s="1021">
        <f>(VLOOKUP(YEAR($A9),'NY East Load Projections'!$A$4:$EO$14,((MONTH($A9)-1)*12)+VLOOKUP(P$4,$DE$6:$DF$17,2)+1))*$B9</f>
        <v>-175.42369658668193</v>
      </c>
      <c r="Q9" s="1021">
        <f>(VLOOKUP(YEAR($A9),'NY East Load Projections'!$A$4:$EO$14,((MONTH($A9)-1)*12)+VLOOKUP(Q$4,$DE$6:$DF$17,2)+1))*$B9</f>
        <v>-175.42369658668193</v>
      </c>
      <c r="R9" s="1021">
        <f>(VLOOKUP(YEAR($A9),'NY East Load Projections'!$A$4:$EO$14,((MONTH($A9)-1)*12)+VLOOKUP(R$4,$DE$6:$DF$17,2)+1))*$B9</f>
        <v>-175.42369658668193</v>
      </c>
      <c r="S9" s="1021">
        <f>(VLOOKUP(YEAR($A9),'NY East Load Projections'!$A$4:$EO$14,((MONTH($A9)-1)*12)+VLOOKUP(S$4,$DE$6:$DF$17,2)+1))*$B9</f>
        <v>-175.42369658668193</v>
      </c>
      <c r="T9" s="1021">
        <f>(VLOOKUP(YEAR($A9),'NY East Load Projections'!$A$4:$EO$14,((MONTH($A9)-1)*12)+VLOOKUP(T$4,$DE$6:$DF$17,2)+1))*$B9</f>
        <v>-180.86647537498129</v>
      </c>
      <c r="U9" s="1021">
        <f>(VLOOKUP(YEAR($A9),'NY East Load Projections'!$A$4:$EO$14,((MONTH($A9)-1)*12)+VLOOKUP(U$4,$DE$6:$DF$17,2)+1))*$B9</f>
        <v>-180.86647537498129</v>
      </c>
      <c r="V9" s="1021">
        <f>(VLOOKUP(YEAR($A9),'NY East Load Projections'!$A$4:$EO$14,((MONTH($A9)-1)*12)+VLOOKUP(V$4,$DE$6:$DF$17,2)+1))*$B9</f>
        <v>-180.86647537498129</v>
      </c>
      <c r="W9" s="1021">
        <f>(VLOOKUP(YEAR($A9),'NY East Load Projections'!$A$4:$EO$14,((MONTH($A9)-1)*12)+VLOOKUP(W$4,$DE$6:$DF$17,2)+1))*$B9</f>
        <v>-180.86647537498129</v>
      </c>
      <c r="X9" s="1021">
        <f>(VLOOKUP(YEAR($A9),'NY East Load Projections'!$A$4:$EO$14,((MONTH($A9)-1)*12)+VLOOKUP(X$4,$DE$6:$DF$17,2)+1))*$B9</f>
        <v>-150.33804110370045</v>
      </c>
      <c r="Y9" s="1021">
        <f>(VLOOKUP(YEAR($A9),'NY East Load Projections'!$A$4:$EO$14,((MONTH($A9)-1)*12)+VLOOKUP(Y$4,$DE$6:$DF$17,2)+1))*$B9</f>
        <v>-150.33804110370045</v>
      </c>
      <c r="Z9" s="1021">
        <f>(VLOOKUP(YEAR($A9),'NY East Load Projections'!$A$4:$EO$14,((MONTH($A9)-1)*12)+VLOOKUP(Z$4,$DE$6:$DF$17,2)+1))*$B9</f>
        <v>-150.33804110370045</v>
      </c>
      <c r="AA9" s="1021">
        <f>(VLOOKUP(YEAR($A9),'NY East Load Projections'!$A$4:$EO$14,((MONTH($A9)-1)*12)+VLOOKUP(AA$4,$DE$6:$DF$17,2)+1))*$B9</f>
        <v>-150.33804110370045</v>
      </c>
      <c r="AB9" s="1021">
        <f>(VLOOKUP(YEAR($A9),'NY East Load Projections'!$A$4:$EO$14,((MONTH($A9)-1)*12)+VLOOKUP(AB$4,$DE$6:$DF$17,2)+1))*$B9</f>
        <v>-108.17264923163776</v>
      </c>
      <c r="AC9" s="1021">
        <f>(VLOOKUP(YEAR($A9),'NY East Load Projections'!$A$4:$EO$14,((MONTH($A9)-1)*12)+VLOOKUP(AC$4,$DE$6:$DF$17,2)+1))*$B9</f>
        <v>-108.17264923163776</v>
      </c>
      <c r="AD9" s="1021">
        <f>(VLOOKUP(YEAR($A9),'NY East Load Projections'!$A$4:$EO$14,((MONTH($A9)-1)*12)+VLOOKUP(AD$4,$DE$6:$DF$17,2)+1))*$B9</f>
        <v>-108.17264923163776</v>
      </c>
      <c r="AE9" s="1021">
        <f>(VLOOKUP(YEAR($A9),'NY East Load Projections'!$A$4:$EO$14,((MONTH($A9)-1)*12)+VLOOKUP(AE$4,$DE$6:$DF$17,2)+1))*$B9</f>
        <v>-108.17264923163776</v>
      </c>
      <c r="AF9" s="1021"/>
      <c r="AG9" s="1021">
        <f>(VLOOKUP(YEAR($A9),'NY East Load Projections'!$A$4:$EO$14,((MONTH($A9)-1)*12)+VLOOKUP(AG$4,$DE$6:$DF$17,2)+1))*$C9</f>
        <v>-38.724319768313741</v>
      </c>
      <c r="AH9" s="1021">
        <f>(VLOOKUP(YEAR($A9),'NY East Load Projections'!$A$4:$EO$14,((MONTH($A9)-1)*12)+VLOOKUP(AH$4,$DE$6:$DF$17,2)+1))*$C9</f>
        <v>-38.724319768313741</v>
      </c>
      <c r="AI9" s="1021">
        <f>(VLOOKUP(YEAR($A9),'NY East Load Projections'!$A$4:$EO$14,((MONTH($A9)-1)*12)+VLOOKUP(AI$4,$DE$6:$DF$17,2)+1))*$C9</f>
        <v>-38.724319768313741</v>
      </c>
      <c r="AJ9" s="1021">
        <f>(VLOOKUP(YEAR($A9),'NY East Load Projections'!$A$4:$EO$14,((MONTH($A9)-1)*12)+VLOOKUP(AJ$4,$DE$6:$DF$17,2)+1))*$C9</f>
        <v>-38.724319768313741</v>
      </c>
      <c r="AK9" s="1021">
        <f>(VLOOKUP(YEAR($A9),'NY East Load Projections'!$A$4:$EO$14,((MONTH($A9)-1)*12)+VLOOKUP(AK$4,$DE$6:$DF$17,2)+1))*$C9</f>
        <v>-39.345661527319869</v>
      </c>
      <c r="AL9" s="1021">
        <f>(VLOOKUP(YEAR($A9),'NY East Load Projections'!$A$4:$EO$14,((MONTH($A9)-1)*12)+VLOOKUP(AL$4,$DE$6:$DF$17,2)+1))*$C9</f>
        <v>-39.345661527319869</v>
      </c>
      <c r="AM9" s="1021">
        <f>(VLOOKUP(YEAR($A9),'NY East Load Projections'!$A$4:$EO$14,((MONTH($A9)-1)*12)+VLOOKUP(AM$4,$DE$6:$DF$17,2)+1))*$C9</f>
        <v>-39.345661527319869</v>
      </c>
      <c r="AN9" s="1021">
        <f>(VLOOKUP(YEAR($A9),'NY East Load Projections'!$A$4:$EO$14,((MONTH($A9)-1)*12)+VLOOKUP(AN$4,$DE$6:$DF$17,2)+1))*$C9</f>
        <v>-39.345661527319869</v>
      </c>
      <c r="AO9" s="1021">
        <f>(VLOOKUP(YEAR($A9),'NY East Load Projections'!$A$4:$EO$14,((MONTH($A9)-1)*12)+VLOOKUP(AO$4,$DE$6:$DF$17,2)+1))*$C9</f>
        <v>-48.751953794490433</v>
      </c>
      <c r="AP9" s="1021">
        <f>(VLOOKUP(YEAR($A9),'NY East Load Projections'!$A$4:$EO$14,((MONTH($A9)-1)*12)+VLOOKUP(AP$4,$DE$6:$DF$17,2)+1))*$C9</f>
        <v>-48.751953794490433</v>
      </c>
      <c r="AQ9" s="1021">
        <f>(VLOOKUP(YEAR($A9),'NY East Load Projections'!$A$4:$EO$14,((MONTH($A9)-1)*12)+VLOOKUP(AQ$4,$DE$6:$DF$17,2)+1))*$C9</f>
        <v>-48.751953794490433</v>
      </c>
      <c r="AR9" s="1021">
        <f>(VLOOKUP(YEAR($A9),'NY East Load Projections'!$A$4:$EO$14,((MONTH($A9)-1)*12)+VLOOKUP(AR$4,$DE$6:$DF$17,2)+1))*$C9</f>
        <v>-48.751953794490433</v>
      </c>
      <c r="AS9" s="1021">
        <f>(VLOOKUP(YEAR($A9),'NY East Load Projections'!$A$4:$EO$14,((MONTH($A9)-1)*12)+VLOOKUP(AS$4,$DE$6:$DF$17,2)+1))*$C9</f>
        <v>-42.900963568455431</v>
      </c>
      <c r="AT9" s="1021">
        <f>(VLOOKUP(YEAR($A9),'NY East Load Projections'!$A$4:$EO$14,((MONTH($A9)-1)*12)+VLOOKUP(AT$4,$DE$6:$DF$17,2)+1))*$C9</f>
        <v>-42.900963568455431</v>
      </c>
      <c r="AU9" s="1021">
        <f>(VLOOKUP(YEAR($A9),'NY East Load Projections'!$A$4:$EO$14,((MONTH($A9)-1)*12)+VLOOKUP(AU$4,$DE$6:$DF$17,2)+1))*$C9</f>
        <v>-42.900963568455431</v>
      </c>
      <c r="AV9" s="1021">
        <f>(VLOOKUP(YEAR($A9),'NY East Load Projections'!$A$4:$EO$14,((MONTH($A9)-1)*12)+VLOOKUP(AV$4,$DE$6:$DF$17,2)+1))*$C9</f>
        <v>-42.900963568455431</v>
      </c>
      <c r="AW9" s="1021">
        <f>(VLOOKUP(YEAR($A9),'NY East Load Projections'!$A$4:$EO$14,((MONTH($A9)-1)*12)+VLOOKUP(AW$4,$DE$6:$DF$17,2)+1))*$C9</f>
        <v>-35.907494506958344</v>
      </c>
      <c r="AX9" s="1021">
        <f>(VLOOKUP(YEAR($A9),'NY East Load Projections'!$A$4:$EO$14,((MONTH($A9)-1)*12)+VLOOKUP(AX$4,$DE$6:$DF$17,2)+1))*$C9</f>
        <v>-35.907494506958344</v>
      </c>
      <c r="AY9" s="1021">
        <f>(VLOOKUP(YEAR($A9),'NY East Load Projections'!$A$4:$EO$14,((MONTH($A9)-1)*12)+VLOOKUP(AY$4,$DE$6:$DF$17,2)+1))*$C9</f>
        <v>-35.907494506958344</v>
      </c>
      <c r="AZ9" s="1021">
        <f>(VLOOKUP(YEAR($A9),'NY East Load Projections'!$A$4:$EO$14,((MONTH($A9)-1)*12)+VLOOKUP(AZ$4,$DE$6:$DF$17,2)+1))*$C9</f>
        <v>-35.907494506958344</v>
      </c>
      <c r="BA9" s="1021">
        <f>(VLOOKUP(YEAR($A9),'NY East Load Projections'!$A$4:$EO$14,((MONTH($A9)-1)*12)+VLOOKUP(BA$4,$DE$6:$DF$17,2)+1))*$C9</f>
        <v>-39.286548288297752</v>
      </c>
      <c r="BB9" s="1021">
        <f>(VLOOKUP(YEAR($A9),'NY East Load Projections'!$A$4:$EO$14,((MONTH($A9)-1)*12)+VLOOKUP(BB$4,$DE$6:$DF$17,2)+1))*$C9</f>
        <v>-39.286548288297752</v>
      </c>
      <c r="BC9" s="1021">
        <f>(VLOOKUP(YEAR($A9),'NY East Load Projections'!$A$4:$EO$14,((MONTH($A9)-1)*12)+VLOOKUP(BC$4,$DE$6:$DF$17,2)+1))*$C9</f>
        <v>-39.286548288297752</v>
      </c>
      <c r="BD9" s="1021">
        <f>(VLOOKUP(YEAR($A9),'NY East Load Projections'!$A$4:$EO$14,((MONTH($A9)-1)*12)+VLOOKUP(BD$4,$DE$6:$DF$17,2)+1))*$C9</f>
        <v>-39.286548288297752</v>
      </c>
      <c r="BE9" s="1021"/>
      <c r="BF9" s="1021">
        <f>(VLOOKUP(YEAR($A9),'NY East Load Projections'!$A$4:$EO$14,((MONTH($A9)-1)*12)+VLOOKUP(BF$4,$DE$6:$DF$17,2)+1))*$D9</f>
        <v>-48.405399710392174</v>
      </c>
      <c r="BG9" s="1021">
        <f>(VLOOKUP(YEAR($A9),'NY East Load Projections'!$A$4:$EO$14,((MONTH($A9)-1)*12)+VLOOKUP(BG$4,$DE$6:$DF$17,2)+1))*$D9</f>
        <v>-48.405399710392174</v>
      </c>
      <c r="BH9" s="1021">
        <f>(VLOOKUP(YEAR($A9),'NY East Load Projections'!$A$4:$EO$14,((MONTH($A9)-1)*12)+VLOOKUP(BH$4,$DE$6:$DF$17,2)+1))*$D9</f>
        <v>-48.405399710392174</v>
      </c>
      <c r="BI9" s="1021">
        <f>(VLOOKUP(YEAR($A9),'NY East Load Projections'!$A$4:$EO$14,((MONTH($A9)-1)*12)+VLOOKUP(BI$4,$DE$6:$DF$17,2)+1))*$D9</f>
        <v>-48.405399710392174</v>
      </c>
      <c r="BJ9" s="1021">
        <f>(VLOOKUP(YEAR($A9),'NY East Load Projections'!$A$4:$EO$14,((MONTH($A9)-1)*12)+VLOOKUP(BJ$4,$DE$6:$DF$17,2)+1))*$D9</f>
        <v>-49.182076909149835</v>
      </c>
      <c r="BK9" s="1021">
        <f>(VLOOKUP(YEAR($A9),'NY East Load Projections'!$A$4:$EO$14,((MONTH($A9)-1)*12)+VLOOKUP(BK$4,$DE$6:$DF$17,2)+1))*$D9</f>
        <v>-49.182076909149835</v>
      </c>
      <c r="BL9" s="1021">
        <f>(VLOOKUP(YEAR($A9),'NY East Load Projections'!$A$4:$EO$14,((MONTH($A9)-1)*12)+VLOOKUP(BL$4,$DE$6:$DF$17,2)+1))*$D9</f>
        <v>-49.182076909149835</v>
      </c>
      <c r="BM9" s="1021">
        <f>(VLOOKUP(YEAR($A9),'NY East Load Projections'!$A$4:$EO$14,((MONTH($A9)-1)*12)+VLOOKUP(BM$4,$DE$6:$DF$17,2)+1))*$D9</f>
        <v>-49.182076909149835</v>
      </c>
      <c r="BN9" s="1021">
        <f>(VLOOKUP(YEAR($A9),'NY East Load Projections'!$A$4:$EO$14,((MONTH($A9)-1)*12)+VLOOKUP(BN$4,$DE$6:$DF$17,2)+1))*$D9</f>
        <v>-60.939942243113038</v>
      </c>
      <c r="BO9" s="1021">
        <f>(VLOOKUP(YEAR($A9),'NY East Load Projections'!$A$4:$EO$14,((MONTH($A9)-1)*12)+VLOOKUP(BO$4,$DE$6:$DF$17,2)+1))*$D9</f>
        <v>-60.939942243113038</v>
      </c>
      <c r="BP9" s="1021">
        <f>(VLOOKUP(YEAR($A9),'NY East Load Projections'!$A$4:$EO$14,((MONTH($A9)-1)*12)+VLOOKUP(BP$4,$DE$6:$DF$17,2)+1))*$D9</f>
        <v>-60.939942243113038</v>
      </c>
      <c r="BQ9" s="1021">
        <f>(VLOOKUP(YEAR($A9),'NY East Load Projections'!$A$4:$EO$14,((MONTH($A9)-1)*12)+VLOOKUP(BQ$4,$DE$6:$DF$17,2)+1))*$D9</f>
        <v>-60.939942243113038</v>
      </c>
      <c r="BR9" s="1021">
        <f>(VLOOKUP(YEAR($A9),'NY East Load Projections'!$A$4:$EO$14,((MONTH($A9)-1)*12)+VLOOKUP(BR$4,$DE$6:$DF$17,2)+1))*$D9</f>
        <v>-53.626204460569291</v>
      </c>
      <c r="BS9" s="1021">
        <f>(VLOOKUP(YEAR($A9),'NY East Load Projections'!$A$4:$EO$14,((MONTH($A9)-1)*12)+VLOOKUP(BS$4,$DE$6:$DF$17,2)+1))*$D9</f>
        <v>-53.626204460569291</v>
      </c>
      <c r="BT9" s="1021">
        <f>(VLOOKUP(YEAR($A9),'NY East Load Projections'!$A$4:$EO$14,((MONTH($A9)-1)*12)+VLOOKUP(BT$4,$DE$6:$DF$17,2)+1))*$D9</f>
        <v>-53.626204460569291</v>
      </c>
      <c r="BU9" s="1021">
        <f>(VLOOKUP(YEAR($A9),'NY East Load Projections'!$A$4:$EO$14,((MONTH($A9)-1)*12)+VLOOKUP(BU$4,$DE$6:$DF$17,2)+1))*$D9</f>
        <v>-53.626204460569291</v>
      </c>
      <c r="BV9" s="1021">
        <f>(VLOOKUP(YEAR($A9),'NY East Load Projections'!$A$4:$EO$14,((MONTH($A9)-1)*12)+VLOOKUP(BV$4,$DE$6:$DF$17,2)+1))*$D9</f>
        <v>-44.884368133697933</v>
      </c>
      <c r="BW9" s="1021">
        <f>(VLOOKUP(YEAR($A9),'NY East Load Projections'!$A$4:$EO$14,((MONTH($A9)-1)*12)+VLOOKUP(BW$4,$DE$6:$DF$17,2)+1))*$D9</f>
        <v>-44.884368133697933</v>
      </c>
      <c r="BX9" s="1021">
        <f>(VLOOKUP(YEAR($A9),'NY East Load Projections'!$A$4:$EO$14,((MONTH($A9)-1)*12)+VLOOKUP(BX$4,$DE$6:$DF$17,2)+1))*$D9</f>
        <v>-44.884368133697933</v>
      </c>
      <c r="BY9" s="1021">
        <f>(VLOOKUP(YEAR($A9),'NY East Load Projections'!$A$4:$EO$14,((MONTH($A9)-1)*12)+VLOOKUP(BY$4,$DE$6:$DF$17,2)+1))*$D9</f>
        <v>-44.884368133697933</v>
      </c>
      <c r="BZ9" s="1021">
        <f>(VLOOKUP(YEAR($A9),'NY East Load Projections'!$A$4:$EO$14,((MONTH($A9)-1)*12)+VLOOKUP(BZ$4,$DE$6:$DF$17,2)+1))*$D9</f>
        <v>-49.10818536037219</v>
      </c>
      <c r="CA9" s="1021">
        <f>(VLOOKUP(YEAR($A9),'NY East Load Projections'!$A$4:$EO$14,((MONTH($A9)-1)*12)+VLOOKUP(CA$4,$DE$6:$DF$17,2)+1))*$D9</f>
        <v>-49.10818536037219</v>
      </c>
      <c r="CB9" s="1021">
        <f>(VLOOKUP(YEAR($A9),'NY East Load Projections'!$A$4:$EO$14,((MONTH($A9)-1)*12)+VLOOKUP(CB$4,$DE$6:$DF$17,2)+1))*$D9</f>
        <v>-49.10818536037219</v>
      </c>
      <c r="CC9" s="1021">
        <f>(VLOOKUP(YEAR($A9),'NY East Load Projections'!$A$4:$EO$14,((MONTH($A9)-1)*12)+VLOOKUP(CC$4,$DE$6:$DF$17,2)+1))*$D9</f>
        <v>-49.10818536037219</v>
      </c>
      <c r="CE9" s="1021">
        <f>(VLOOKUP(YEAR($A9),'NY East Load Projections'!$A$4:$EO$14,((MONTH($A9)-1)*12)+VLOOKUP(CE$4,$DE$6:$DF$17,2)+1))*$E9</f>
        <v>0</v>
      </c>
      <c r="CF9" s="1021">
        <f>(VLOOKUP(YEAR($A9),'NY East Load Projections'!$A$4:$EO$14,((MONTH($A9)-1)*12)+VLOOKUP(CF$4,$DE$6:$DF$17,2)+1))*$E9</f>
        <v>0</v>
      </c>
      <c r="CG9" s="1021">
        <f>(VLOOKUP(YEAR($A9),'NY East Load Projections'!$A$4:$EO$14,((MONTH($A9)-1)*12)+VLOOKUP(CG$4,$DE$6:$DF$17,2)+1))*$E9</f>
        <v>0</v>
      </c>
      <c r="CH9" s="1021">
        <f>(VLOOKUP(YEAR($A9),'NY East Load Projections'!$A$4:$EO$14,((MONTH($A9)-1)*12)+VLOOKUP(CH$4,$DE$6:$DF$17,2)+1))*$E9</f>
        <v>0</v>
      </c>
      <c r="CI9" s="1021">
        <f>(VLOOKUP(YEAR($A9),'NY East Load Projections'!$A$4:$EO$14,((MONTH($A9)-1)*12)+VLOOKUP(CI$4,$DE$6:$DF$17,2)+1))*$E9</f>
        <v>0</v>
      </c>
      <c r="CJ9" s="1021">
        <f>(VLOOKUP(YEAR($A9),'NY East Load Projections'!$A$4:$EO$14,((MONTH($A9)-1)*12)+VLOOKUP(CJ$4,$DE$6:$DF$17,2)+1))*$E9</f>
        <v>0</v>
      </c>
      <c r="CK9" s="1021">
        <f>(VLOOKUP(YEAR($A9),'NY East Load Projections'!$A$4:$EO$14,((MONTH($A9)-1)*12)+VLOOKUP(CK$4,$DE$6:$DF$17,2)+1))*$E9</f>
        <v>0</v>
      </c>
      <c r="CL9" s="1021">
        <f>(VLOOKUP(YEAR($A9),'NY East Load Projections'!$A$4:$EO$14,((MONTH($A9)-1)*12)+VLOOKUP(CL$4,$DE$6:$DF$17,2)+1))*$E9</f>
        <v>0</v>
      </c>
      <c r="CM9" s="1021">
        <f>(VLOOKUP(YEAR($A9),'NY East Load Projections'!$A$4:$EO$14,((MONTH($A9)-1)*12)+VLOOKUP(CM$4,$DE$6:$DF$17,2)+1))*$E9</f>
        <v>0</v>
      </c>
      <c r="CN9" s="1021">
        <f>(VLOOKUP(YEAR($A9),'NY East Load Projections'!$A$4:$EO$14,((MONTH($A9)-1)*12)+VLOOKUP(CN$4,$DE$6:$DF$17,2)+1))*$E9</f>
        <v>0</v>
      </c>
      <c r="CO9" s="1021">
        <f>(VLOOKUP(YEAR($A9),'NY East Load Projections'!$A$4:$EO$14,((MONTH($A9)-1)*12)+VLOOKUP(CO$4,$DE$6:$DF$17,2)+1))*$E9</f>
        <v>0</v>
      </c>
      <c r="CP9" s="1021">
        <f>(VLOOKUP(YEAR($A9),'NY East Load Projections'!$A$4:$EO$14,((MONTH($A9)-1)*12)+VLOOKUP(CP$4,$DE$6:$DF$17,2)+1))*$E9</f>
        <v>0</v>
      </c>
      <c r="CQ9" s="1021">
        <f>(VLOOKUP(YEAR($A9),'NY East Load Projections'!$A$4:$EO$14,((MONTH($A9)-1)*12)+VLOOKUP(CQ$4,$DE$6:$DF$17,2)+1))*$E9</f>
        <v>0</v>
      </c>
      <c r="CR9" s="1021">
        <f>(VLOOKUP(YEAR($A9),'NY East Load Projections'!$A$4:$EO$14,((MONTH($A9)-1)*12)+VLOOKUP(CR$4,$DE$6:$DF$17,2)+1))*$E9</f>
        <v>0</v>
      </c>
      <c r="CS9" s="1021">
        <f>(VLOOKUP(YEAR($A9),'NY East Load Projections'!$A$4:$EO$14,((MONTH($A9)-1)*12)+VLOOKUP(CS$4,$DE$6:$DF$17,2)+1))*$E9</f>
        <v>0</v>
      </c>
      <c r="CT9" s="1021">
        <f>(VLOOKUP(YEAR($A9),'NY East Load Projections'!$A$4:$EO$14,((MONTH($A9)-1)*12)+VLOOKUP(CT$4,$DE$6:$DF$17,2)+1))*$E9</f>
        <v>0</v>
      </c>
      <c r="CU9" s="1021">
        <f>(VLOOKUP(YEAR($A9),'NY East Load Projections'!$A$4:$EO$14,((MONTH($A9)-1)*12)+VLOOKUP(CU$4,$DE$6:$DF$17,2)+1))*$E9</f>
        <v>0</v>
      </c>
      <c r="CV9" s="1021">
        <f>(VLOOKUP(YEAR($A9),'NY East Load Projections'!$A$4:$EO$14,((MONTH($A9)-1)*12)+VLOOKUP(CV$4,$DE$6:$DF$17,2)+1))*$E9</f>
        <v>0</v>
      </c>
      <c r="CW9" s="1021">
        <f>(VLOOKUP(YEAR($A9),'NY East Load Projections'!$A$4:$EO$14,((MONTH($A9)-1)*12)+VLOOKUP(CW$4,$DE$6:$DF$17,2)+1))*$E9</f>
        <v>0</v>
      </c>
      <c r="CX9" s="1021">
        <f>(VLOOKUP(YEAR($A9),'NY East Load Projections'!$A$4:$EO$14,((MONTH($A9)-1)*12)+VLOOKUP(CX$4,$DE$6:$DF$17,2)+1))*$E9</f>
        <v>0</v>
      </c>
      <c r="CY9" s="1021">
        <f>(VLOOKUP(YEAR($A9),'NY East Load Projections'!$A$4:$EO$14,((MONTH($A9)-1)*12)+VLOOKUP(CY$4,$DE$6:$DF$17,2)+1))*$E9</f>
        <v>0</v>
      </c>
      <c r="CZ9" s="1021">
        <f>(VLOOKUP(YEAR($A9),'NY East Load Projections'!$A$4:$EO$14,((MONTH($A9)-1)*12)+VLOOKUP(CZ$4,$DE$6:$DF$17,2)+1))*$E9</f>
        <v>0</v>
      </c>
      <c r="DA9" s="1021">
        <f>(VLOOKUP(YEAR($A9),'NY East Load Projections'!$A$4:$EO$14,((MONTH($A9)-1)*12)+VLOOKUP(DA$4,$DE$6:$DF$17,2)+1))*$E9</f>
        <v>0</v>
      </c>
      <c r="DB9" s="1021">
        <f>(VLOOKUP(YEAR($A9),'NY East Load Projections'!$A$4:$EO$14,((MONTH($A9)-1)*12)+VLOOKUP(DB$4,$DE$6:$DF$17,2)+1))*$E9</f>
        <v>0</v>
      </c>
      <c r="DE9" s="221" t="s">
        <v>561</v>
      </c>
      <c r="DF9" s="619">
        <v>4</v>
      </c>
      <c r="DH9" s="1009">
        <f t="shared" si="0"/>
        <v>-5648.6228622853941</v>
      </c>
      <c r="DI9">
        <f ca="1">CALC!J29</f>
        <v>0.92218873460327666</v>
      </c>
      <c r="DJ9" s="1032">
        <f t="shared" ca="1" si="1"/>
        <v>-5209.0963696221061</v>
      </c>
    </row>
    <row r="10" spans="1:114" x14ac:dyDescent="0.25">
      <c r="A10" s="244">
        <v>37012</v>
      </c>
      <c r="B10" s="13">
        <v>22</v>
      </c>
      <c r="C10" s="210">
        <v>4</v>
      </c>
      <c r="D10" s="210">
        <v>4</v>
      </c>
      <c r="E10" s="210">
        <v>1</v>
      </c>
      <c r="F10" s="13">
        <v>31</v>
      </c>
      <c r="H10" s="1021">
        <f>(VLOOKUP(YEAR($A10),'NY East Load Projections'!$A$4:$EO$14,((MONTH($A10)-1)*12)+VLOOKUP(H$4,$DE$6:$DF$17,2)+1))*$B10</f>
        <v>-71.810120253957706</v>
      </c>
      <c r="I10" s="1021">
        <f>(VLOOKUP(YEAR($A10),'NY East Load Projections'!$A$4:$EO$14,((MONTH($A10)-1)*12)+VLOOKUP(I$4,$DE$6:$DF$17,2)+1))*$B10</f>
        <v>-71.810120253957706</v>
      </c>
      <c r="J10" s="1021">
        <f>(VLOOKUP(YEAR($A10),'NY East Load Projections'!$A$4:$EO$14,((MONTH($A10)-1)*12)+VLOOKUP(J$4,$DE$6:$DF$17,2)+1))*$B10</f>
        <v>-71.810120253957706</v>
      </c>
      <c r="K10" s="1021">
        <f>(VLOOKUP(YEAR($A10),'NY East Load Projections'!$A$4:$EO$14,((MONTH($A10)-1)*12)+VLOOKUP(K$4,$DE$6:$DF$17,2)+1))*$B10</f>
        <v>-71.810120253957706</v>
      </c>
      <c r="L10" s="1021">
        <f>(VLOOKUP(YEAR($A10),'NY East Load Projections'!$A$4:$EO$14,((MONTH($A10)-1)*12)+VLOOKUP(L$4,$DE$6:$DF$17,2)+1))*$B10</f>
        <v>-155.53093724955835</v>
      </c>
      <c r="M10" s="1021">
        <f>(VLOOKUP(YEAR($A10),'NY East Load Projections'!$A$4:$EO$14,((MONTH($A10)-1)*12)+VLOOKUP(M$4,$DE$6:$DF$17,2)+1))*$B10</f>
        <v>-155.53093724955835</v>
      </c>
      <c r="N10" s="1021">
        <f>(VLOOKUP(YEAR($A10),'NY East Load Projections'!$A$4:$EO$14,((MONTH($A10)-1)*12)+VLOOKUP(N$4,$DE$6:$DF$17,2)+1))*$B10</f>
        <v>-155.53093724955835</v>
      </c>
      <c r="O10" s="1021">
        <f>(VLOOKUP(YEAR($A10),'NY East Load Projections'!$A$4:$EO$14,((MONTH($A10)-1)*12)+VLOOKUP(O$4,$DE$6:$DF$17,2)+1))*$B10</f>
        <v>-155.53093724955835</v>
      </c>
      <c r="P10" s="1021">
        <f>(VLOOKUP(YEAR($A10),'NY East Load Projections'!$A$4:$EO$14,((MONTH($A10)-1)*12)+VLOOKUP(P$4,$DE$6:$DF$17,2)+1))*$B10</f>
        <v>-185.63071330704602</v>
      </c>
      <c r="Q10" s="1021">
        <f>(VLOOKUP(YEAR($A10),'NY East Load Projections'!$A$4:$EO$14,((MONTH($A10)-1)*12)+VLOOKUP(Q$4,$DE$6:$DF$17,2)+1))*$B10</f>
        <v>-185.63071330704602</v>
      </c>
      <c r="R10" s="1021">
        <f>(VLOOKUP(YEAR($A10),'NY East Load Projections'!$A$4:$EO$14,((MONTH($A10)-1)*12)+VLOOKUP(R$4,$DE$6:$DF$17,2)+1))*$B10</f>
        <v>-185.63071330704602</v>
      </c>
      <c r="S10" s="1021">
        <f>(VLOOKUP(YEAR($A10),'NY East Load Projections'!$A$4:$EO$14,((MONTH($A10)-1)*12)+VLOOKUP(S$4,$DE$6:$DF$17,2)+1))*$B10</f>
        <v>-185.63071330704602</v>
      </c>
      <c r="T10" s="1021">
        <f>(VLOOKUP(YEAR($A10),'NY East Load Projections'!$A$4:$EO$14,((MONTH($A10)-1)*12)+VLOOKUP(T$4,$DE$6:$DF$17,2)+1))*$B10</f>
        <v>-191.64239405235065</v>
      </c>
      <c r="U10" s="1021">
        <f>(VLOOKUP(YEAR($A10),'NY East Load Projections'!$A$4:$EO$14,((MONTH($A10)-1)*12)+VLOOKUP(U$4,$DE$6:$DF$17,2)+1))*$B10</f>
        <v>-191.64239405235065</v>
      </c>
      <c r="V10" s="1021">
        <f>(VLOOKUP(YEAR($A10),'NY East Load Projections'!$A$4:$EO$14,((MONTH($A10)-1)*12)+VLOOKUP(V$4,$DE$6:$DF$17,2)+1))*$B10</f>
        <v>-191.64239405235065</v>
      </c>
      <c r="W10" s="1021">
        <f>(VLOOKUP(YEAR($A10),'NY East Load Projections'!$A$4:$EO$14,((MONTH($A10)-1)*12)+VLOOKUP(W$4,$DE$6:$DF$17,2)+1))*$B10</f>
        <v>-191.64239405235065</v>
      </c>
      <c r="X10" s="1021">
        <f>(VLOOKUP(YEAR($A10),'NY East Load Projections'!$A$4:$EO$14,((MONTH($A10)-1)*12)+VLOOKUP(X$4,$DE$6:$DF$17,2)+1))*$B10</f>
        <v>-163.61948895166898</v>
      </c>
      <c r="Y10" s="1021">
        <f>(VLOOKUP(YEAR($A10),'NY East Load Projections'!$A$4:$EO$14,((MONTH($A10)-1)*12)+VLOOKUP(Y$4,$DE$6:$DF$17,2)+1))*$B10</f>
        <v>-163.61948895166898</v>
      </c>
      <c r="Z10" s="1021">
        <f>(VLOOKUP(YEAR($A10),'NY East Load Projections'!$A$4:$EO$14,((MONTH($A10)-1)*12)+VLOOKUP(Z$4,$DE$6:$DF$17,2)+1))*$B10</f>
        <v>-163.61948895166898</v>
      </c>
      <c r="AA10" s="1021">
        <f>(VLOOKUP(YEAR($A10),'NY East Load Projections'!$A$4:$EO$14,((MONTH($A10)-1)*12)+VLOOKUP(AA$4,$DE$6:$DF$17,2)+1))*$B10</f>
        <v>-163.61948895166898</v>
      </c>
      <c r="AB10" s="1021">
        <f>(VLOOKUP(YEAR($A10),'NY East Load Projections'!$A$4:$EO$14,((MONTH($A10)-1)*12)+VLOOKUP(AB$4,$DE$6:$DF$17,2)+1))*$B10</f>
        <v>-96.478161901585366</v>
      </c>
      <c r="AC10" s="1021">
        <f>(VLOOKUP(YEAR($A10),'NY East Load Projections'!$A$4:$EO$14,((MONTH($A10)-1)*12)+VLOOKUP(AC$4,$DE$6:$DF$17,2)+1))*$B10</f>
        <v>-96.478161901585366</v>
      </c>
      <c r="AD10" s="1021">
        <f>(VLOOKUP(YEAR($A10),'NY East Load Projections'!$A$4:$EO$14,((MONTH($A10)-1)*12)+VLOOKUP(AD$4,$DE$6:$DF$17,2)+1))*$B10</f>
        <v>-96.478161901585366</v>
      </c>
      <c r="AE10" s="1021">
        <f>(VLOOKUP(YEAR($A10),'NY East Load Projections'!$A$4:$EO$14,((MONTH($A10)-1)*12)+VLOOKUP(AE$4,$DE$6:$DF$17,2)+1))*$B10</f>
        <v>-96.478161901585366</v>
      </c>
      <c r="AF10" s="1021"/>
      <c r="AG10" s="1021">
        <f>(VLOOKUP(YEAR($A10),'NY East Load Projections'!$A$4:$EO$14,((MONTH($A10)-1)*12)+VLOOKUP(AG$4,$DE$6:$DF$17,2)+1))*$C10</f>
        <v>-35.231069667505686</v>
      </c>
      <c r="AH10" s="1021">
        <f>(VLOOKUP(YEAR($A10),'NY East Load Projections'!$A$4:$EO$14,((MONTH($A10)-1)*12)+VLOOKUP(AH$4,$DE$6:$DF$17,2)+1))*$C10</f>
        <v>-35.231069667505686</v>
      </c>
      <c r="AI10" s="1021">
        <f>(VLOOKUP(YEAR($A10),'NY East Load Projections'!$A$4:$EO$14,((MONTH($A10)-1)*12)+VLOOKUP(AI$4,$DE$6:$DF$17,2)+1))*$C10</f>
        <v>-35.231069667505686</v>
      </c>
      <c r="AJ10" s="1021">
        <f>(VLOOKUP(YEAR($A10),'NY East Load Projections'!$A$4:$EO$14,((MONTH($A10)-1)*12)+VLOOKUP(AJ$4,$DE$6:$DF$17,2)+1))*$C10</f>
        <v>-35.231069667505686</v>
      </c>
      <c r="AK10" s="1021">
        <f>(VLOOKUP(YEAR($A10),'NY East Load Projections'!$A$4:$EO$14,((MONTH($A10)-1)*12)+VLOOKUP(AK$4,$DE$6:$DF$17,2)+1))*$C10</f>
        <v>-35.613088488517192</v>
      </c>
      <c r="AL10" s="1021">
        <f>(VLOOKUP(YEAR($A10),'NY East Load Projections'!$A$4:$EO$14,((MONTH($A10)-1)*12)+VLOOKUP(AL$4,$DE$6:$DF$17,2)+1))*$C10</f>
        <v>-35.613088488517192</v>
      </c>
      <c r="AM10" s="1021">
        <f>(VLOOKUP(YEAR($A10),'NY East Load Projections'!$A$4:$EO$14,((MONTH($A10)-1)*12)+VLOOKUP(AM$4,$DE$6:$DF$17,2)+1))*$C10</f>
        <v>-35.613088488517192</v>
      </c>
      <c r="AN10" s="1021">
        <f>(VLOOKUP(YEAR($A10),'NY East Load Projections'!$A$4:$EO$14,((MONTH($A10)-1)*12)+VLOOKUP(AN$4,$DE$6:$DF$17,2)+1))*$C10</f>
        <v>-35.613088488517192</v>
      </c>
      <c r="AO10" s="1021">
        <f>(VLOOKUP(YEAR($A10),'NY East Load Projections'!$A$4:$EO$14,((MONTH($A10)-1)*12)+VLOOKUP(AO$4,$DE$6:$DF$17,2)+1))*$C10</f>
        <v>-57.42310592798507</v>
      </c>
      <c r="AP10" s="1021">
        <f>(VLOOKUP(YEAR($A10),'NY East Load Projections'!$A$4:$EO$14,((MONTH($A10)-1)*12)+VLOOKUP(AP$4,$DE$6:$DF$17,2)+1))*$C10</f>
        <v>-57.42310592798507</v>
      </c>
      <c r="AQ10" s="1021">
        <f>(VLOOKUP(YEAR($A10),'NY East Load Projections'!$A$4:$EO$14,((MONTH($A10)-1)*12)+VLOOKUP(AQ$4,$DE$6:$DF$17,2)+1))*$C10</f>
        <v>-57.42310592798507</v>
      </c>
      <c r="AR10" s="1021">
        <f>(VLOOKUP(YEAR($A10),'NY East Load Projections'!$A$4:$EO$14,((MONTH($A10)-1)*12)+VLOOKUP(AR$4,$DE$6:$DF$17,2)+1))*$C10</f>
        <v>-57.42310592798507</v>
      </c>
      <c r="AS10" s="1021">
        <f>(VLOOKUP(YEAR($A10),'NY East Load Projections'!$A$4:$EO$14,((MONTH($A10)-1)*12)+VLOOKUP(AS$4,$DE$6:$DF$17,2)+1))*$C10</f>
        <v>-47.828722187300336</v>
      </c>
      <c r="AT10" s="1021">
        <f>(VLOOKUP(YEAR($A10),'NY East Load Projections'!$A$4:$EO$14,((MONTH($A10)-1)*12)+VLOOKUP(AT$4,$DE$6:$DF$17,2)+1))*$C10</f>
        <v>-47.828722187300336</v>
      </c>
      <c r="AU10" s="1021">
        <f>(VLOOKUP(YEAR($A10),'NY East Load Projections'!$A$4:$EO$14,((MONTH($A10)-1)*12)+VLOOKUP(AU$4,$DE$6:$DF$17,2)+1))*$C10</f>
        <v>-47.828722187300336</v>
      </c>
      <c r="AV10" s="1021">
        <f>(VLOOKUP(YEAR($A10),'NY East Load Projections'!$A$4:$EO$14,((MONTH($A10)-1)*12)+VLOOKUP(AV$4,$DE$6:$DF$17,2)+1))*$C10</f>
        <v>-47.828722187300336</v>
      </c>
      <c r="AW10" s="1021">
        <f>(VLOOKUP(YEAR($A10),'NY East Load Projections'!$A$4:$EO$14,((MONTH($A10)-1)*12)+VLOOKUP(AW$4,$DE$6:$DF$17,2)+1))*$C10</f>
        <v>-32.059163727817094</v>
      </c>
      <c r="AX10" s="1021">
        <f>(VLOOKUP(YEAR($A10),'NY East Load Projections'!$A$4:$EO$14,((MONTH($A10)-1)*12)+VLOOKUP(AX$4,$DE$6:$DF$17,2)+1))*$C10</f>
        <v>-32.059163727817094</v>
      </c>
      <c r="AY10" s="1021">
        <f>(VLOOKUP(YEAR($A10),'NY East Load Projections'!$A$4:$EO$14,((MONTH($A10)-1)*12)+VLOOKUP(AY$4,$DE$6:$DF$17,2)+1))*$C10</f>
        <v>-32.059163727817094</v>
      </c>
      <c r="AZ10" s="1021">
        <f>(VLOOKUP(YEAR($A10),'NY East Load Projections'!$A$4:$EO$14,((MONTH($A10)-1)*12)+VLOOKUP(AZ$4,$DE$6:$DF$17,2)+1))*$C10</f>
        <v>-32.059163727817094</v>
      </c>
      <c r="BA10" s="1021">
        <f>(VLOOKUP(YEAR($A10),'NY East Load Projections'!$A$4:$EO$14,((MONTH($A10)-1)*12)+VLOOKUP(BA$4,$DE$6:$DF$17,2)+1))*$C10</f>
        <v>-35.872384097173175</v>
      </c>
      <c r="BB10" s="1021">
        <f>(VLOOKUP(YEAR($A10),'NY East Load Projections'!$A$4:$EO$14,((MONTH($A10)-1)*12)+VLOOKUP(BB$4,$DE$6:$DF$17,2)+1))*$C10</f>
        <v>-35.872384097173175</v>
      </c>
      <c r="BC10" s="1021">
        <f>(VLOOKUP(YEAR($A10),'NY East Load Projections'!$A$4:$EO$14,((MONTH($A10)-1)*12)+VLOOKUP(BC$4,$DE$6:$DF$17,2)+1))*$C10</f>
        <v>-35.872384097173175</v>
      </c>
      <c r="BD10" s="1021">
        <f>(VLOOKUP(YEAR($A10),'NY East Load Projections'!$A$4:$EO$14,((MONTH($A10)-1)*12)+VLOOKUP(BD$4,$DE$6:$DF$17,2)+1))*$C10</f>
        <v>-35.872384097173175</v>
      </c>
      <c r="BE10" s="1021"/>
      <c r="BF10" s="1021">
        <f>(VLOOKUP(YEAR($A10),'NY East Load Projections'!$A$4:$EO$14,((MONTH($A10)-1)*12)+VLOOKUP(BF$4,$DE$6:$DF$17,2)+1))*$D10</f>
        <v>-35.231069667505686</v>
      </c>
      <c r="BG10" s="1021">
        <f>(VLOOKUP(YEAR($A10),'NY East Load Projections'!$A$4:$EO$14,((MONTH($A10)-1)*12)+VLOOKUP(BG$4,$DE$6:$DF$17,2)+1))*$D10</f>
        <v>-35.231069667505686</v>
      </c>
      <c r="BH10" s="1021">
        <f>(VLOOKUP(YEAR($A10),'NY East Load Projections'!$A$4:$EO$14,((MONTH($A10)-1)*12)+VLOOKUP(BH$4,$DE$6:$DF$17,2)+1))*$D10</f>
        <v>-35.231069667505686</v>
      </c>
      <c r="BI10" s="1021">
        <f>(VLOOKUP(YEAR($A10),'NY East Load Projections'!$A$4:$EO$14,((MONTH($A10)-1)*12)+VLOOKUP(BI$4,$DE$6:$DF$17,2)+1))*$D10</f>
        <v>-35.231069667505686</v>
      </c>
      <c r="BJ10" s="1021">
        <f>(VLOOKUP(YEAR($A10),'NY East Load Projections'!$A$4:$EO$14,((MONTH($A10)-1)*12)+VLOOKUP(BJ$4,$DE$6:$DF$17,2)+1))*$D10</f>
        <v>-35.613088488517192</v>
      </c>
      <c r="BK10" s="1021">
        <f>(VLOOKUP(YEAR($A10),'NY East Load Projections'!$A$4:$EO$14,((MONTH($A10)-1)*12)+VLOOKUP(BK$4,$DE$6:$DF$17,2)+1))*$D10</f>
        <v>-35.613088488517192</v>
      </c>
      <c r="BL10" s="1021">
        <f>(VLOOKUP(YEAR($A10),'NY East Load Projections'!$A$4:$EO$14,((MONTH($A10)-1)*12)+VLOOKUP(BL$4,$DE$6:$DF$17,2)+1))*$D10</f>
        <v>-35.613088488517192</v>
      </c>
      <c r="BM10" s="1021">
        <f>(VLOOKUP(YEAR($A10),'NY East Load Projections'!$A$4:$EO$14,((MONTH($A10)-1)*12)+VLOOKUP(BM$4,$DE$6:$DF$17,2)+1))*$D10</f>
        <v>-35.613088488517192</v>
      </c>
      <c r="BN10" s="1021">
        <f>(VLOOKUP(YEAR($A10),'NY East Load Projections'!$A$4:$EO$14,((MONTH($A10)-1)*12)+VLOOKUP(BN$4,$DE$6:$DF$17,2)+1))*$D10</f>
        <v>-57.42310592798507</v>
      </c>
      <c r="BO10" s="1021">
        <f>(VLOOKUP(YEAR($A10),'NY East Load Projections'!$A$4:$EO$14,((MONTH($A10)-1)*12)+VLOOKUP(BO$4,$DE$6:$DF$17,2)+1))*$D10</f>
        <v>-57.42310592798507</v>
      </c>
      <c r="BP10" s="1021">
        <f>(VLOOKUP(YEAR($A10),'NY East Load Projections'!$A$4:$EO$14,((MONTH($A10)-1)*12)+VLOOKUP(BP$4,$DE$6:$DF$17,2)+1))*$D10</f>
        <v>-57.42310592798507</v>
      </c>
      <c r="BQ10" s="1021">
        <f>(VLOOKUP(YEAR($A10),'NY East Load Projections'!$A$4:$EO$14,((MONTH($A10)-1)*12)+VLOOKUP(BQ$4,$DE$6:$DF$17,2)+1))*$D10</f>
        <v>-57.42310592798507</v>
      </c>
      <c r="BR10" s="1021">
        <f>(VLOOKUP(YEAR($A10),'NY East Load Projections'!$A$4:$EO$14,((MONTH($A10)-1)*12)+VLOOKUP(BR$4,$DE$6:$DF$17,2)+1))*$D10</f>
        <v>-47.828722187300336</v>
      </c>
      <c r="BS10" s="1021">
        <f>(VLOOKUP(YEAR($A10),'NY East Load Projections'!$A$4:$EO$14,((MONTH($A10)-1)*12)+VLOOKUP(BS$4,$DE$6:$DF$17,2)+1))*$D10</f>
        <v>-47.828722187300336</v>
      </c>
      <c r="BT10" s="1021">
        <f>(VLOOKUP(YEAR($A10),'NY East Load Projections'!$A$4:$EO$14,((MONTH($A10)-1)*12)+VLOOKUP(BT$4,$DE$6:$DF$17,2)+1))*$D10</f>
        <v>-47.828722187300336</v>
      </c>
      <c r="BU10" s="1021">
        <f>(VLOOKUP(YEAR($A10),'NY East Load Projections'!$A$4:$EO$14,((MONTH($A10)-1)*12)+VLOOKUP(BU$4,$DE$6:$DF$17,2)+1))*$D10</f>
        <v>-47.828722187300336</v>
      </c>
      <c r="BV10" s="1021">
        <f>(VLOOKUP(YEAR($A10),'NY East Load Projections'!$A$4:$EO$14,((MONTH($A10)-1)*12)+VLOOKUP(BV$4,$DE$6:$DF$17,2)+1))*$D10</f>
        <v>-32.059163727817094</v>
      </c>
      <c r="BW10" s="1021">
        <f>(VLOOKUP(YEAR($A10),'NY East Load Projections'!$A$4:$EO$14,((MONTH($A10)-1)*12)+VLOOKUP(BW$4,$DE$6:$DF$17,2)+1))*$D10</f>
        <v>-32.059163727817094</v>
      </c>
      <c r="BX10" s="1021">
        <f>(VLOOKUP(YEAR($A10),'NY East Load Projections'!$A$4:$EO$14,((MONTH($A10)-1)*12)+VLOOKUP(BX$4,$DE$6:$DF$17,2)+1))*$D10</f>
        <v>-32.059163727817094</v>
      </c>
      <c r="BY10" s="1021">
        <f>(VLOOKUP(YEAR($A10),'NY East Load Projections'!$A$4:$EO$14,((MONTH($A10)-1)*12)+VLOOKUP(BY$4,$DE$6:$DF$17,2)+1))*$D10</f>
        <v>-32.059163727817094</v>
      </c>
      <c r="BZ10" s="1021">
        <f>(VLOOKUP(YEAR($A10),'NY East Load Projections'!$A$4:$EO$14,((MONTH($A10)-1)*12)+VLOOKUP(BZ$4,$DE$6:$DF$17,2)+1))*$D10</f>
        <v>-35.872384097173175</v>
      </c>
      <c r="CA10" s="1021">
        <f>(VLOOKUP(YEAR($A10),'NY East Load Projections'!$A$4:$EO$14,((MONTH($A10)-1)*12)+VLOOKUP(CA$4,$DE$6:$DF$17,2)+1))*$D10</f>
        <v>-35.872384097173175</v>
      </c>
      <c r="CB10" s="1021">
        <f>(VLOOKUP(YEAR($A10),'NY East Load Projections'!$A$4:$EO$14,((MONTH($A10)-1)*12)+VLOOKUP(CB$4,$DE$6:$DF$17,2)+1))*$D10</f>
        <v>-35.872384097173175</v>
      </c>
      <c r="CC10" s="1021">
        <f>(VLOOKUP(YEAR($A10),'NY East Load Projections'!$A$4:$EO$14,((MONTH($A10)-1)*12)+VLOOKUP(CC$4,$DE$6:$DF$17,2)+1))*$D10</f>
        <v>-35.872384097173175</v>
      </c>
      <c r="CE10" s="1021">
        <f>(VLOOKUP(YEAR($A10),'NY East Load Projections'!$A$4:$EO$14,((MONTH($A10)-1)*12)+VLOOKUP(CE$4,$DE$6:$DF$17,2)+1))*$E10</f>
        <v>-8.8077674168764215</v>
      </c>
      <c r="CF10" s="1021">
        <f>(VLOOKUP(YEAR($A10),'NY East Load Projections'!$A$4:$EO$14,((MONTH($A10)-1)*12)+VLOOKUP(CF$4,$DE$6:$DF$17,2)+1))*$E10</f>
        <v>-8.8077674168764215</v>
      </c>
      <c r="CG10" s="1021">
        <f>(VLOOKUP(YEAR($A10),'NY East Load Projections'!$A$4:$EO$14,((MONTH($A10)-1)*12)+VLOOKUP(CG$4,$DE$6:$DF$17,2)+1))*$E10</f>
        <v>-8.8077674168764215</v>
      </c>
      <c r="CH10" s="1021">
        <f>(VLOOKUP(YEAR($A10),'NY East Load Projections'!$A$4:$EO$14,((MONTH($A10)-1)*12)+VLOOKUP(CH$4,$DE$6:$DF$17,2)+1))*$E10</f>
        <v>-8.8077674168764215</v>
      </c>
      <c r="CI10" s="1021">
        <f>(VLOOKUP(YEAR($A10),'NY East Load Projections'!$A$4:$EO$14,((MONTH($A10)-1)*12)+VLOOKUP(CI$4,$DE$6:$DF$17,2)+1))*$E10</f>
        <v>-8.9032721221292981</v>
      </c>
      <c r="CJ10" s="1021">
        <f>(VLOOKUP(YEAR($A10),'NY East Load Projections'!$A$4:$EO$14,((MONTH($A10)-1)*12)+VLOOKUP(CJ$4,$DE$6:$DF$17,2)+1))*$E10</f>
        <v>-8.9032721221292981</v>
      </c>
      <c r="CK10" s="1021">
        <f>(VLOOKUP(YEAR($A10),'NY East Load Projections'!$A$4:$EO$14,((MONTH($A10)-1)*12)+VLOOKUP(CK$4,$DE$6:$DF$17,2)+1))*$E10</f>
        <v>-8.9032721221292981</v>
      </c>
      <c r="CL10" s="1021">
        <f>(VLOOKUP(YEAR($A10),'NY East Load Projections'!$A$4:$EO$14,((MONTH($A10)-1)*12)+VLOOKUP(CL$4,$DE$6:$DF$17,2)+1))*$E10</f>
        <v>-8.9032721221292981</v>
      </c>
      <c r="CM10" s="1021">
        <f>(VLOOKUP(YEAR($A10),'NY East Load Projections'!$A$4:$EO$14,((MONTH($A10)-1)*12)+VLOOKUP(CM$4,$DE$6:$DF$17,2)+1))*$E10</f>
        <v>-14.355776481996267</v>
      </c>
      <c r="CN10" s="1021">
        <f>(VLOOKUP(YEAR($A10),'NY East Load Projections'!$A$4:$EO$14,((MONTH($A10)-1)*12)+VLOOKUP(CN$4,$DE$6:$DF$17,2)+1))*$E10</f>
        <v>-14.355776481996267</v>
      </c>
      <c r="CO10" s="1021">
        <f>(VLOOKUP(YEAR($A10),'NY East Load Projections'!$A$4:$EO$14,((MONTH($A10)-1)*12)+VLOOKUP(CO$4,$DE$6:$DF$17,2)+1))*$E10</f>
        <v>-14.355776481996267</v>
      </c>
      <c r="CP10" s="1021">
        <f>(VLOOKUP(YEAR($A10),'NY East Load Projections'!$A$4:$EO$14,((MONTH($A10)-1)*12)+VLOOKUP(CP$4,$DE$6:$DF$17,2)+1))*$E10</f>
        <v>-14.355776481996267</v>
      </c>
      <c r="CQ10" s="1021">
        <f>(VLOOKUP(YEAR($A10),'NY East Load Projections'!$A$4:$EO$14,((MONTH($A10)-1)*12)+VLOOKUP(CQ$4,$DE$6:$DF$17,2)+1))*$E10</f>
        <v>-11.957180546825084</v>
      </c>
      <c r="CR10" s="1021">
        <f>(VLOOKUP(YEAR($A10),'NY East Load Projections'!$A$4:$EO$14,((MONTH($A10)-1)*12)+VLOOKUP(CR$4,$DE$6:$DF$17,2)+1))*$E10</f>
        <v>-11.957180546825084</v>
      </c>
      <c r="CS10" s="1021">
        <f>(VLOOKUP(YEAR($A10),'NY East Load Projections'!$A$4:$EO$14,((MONTH($A10)-1)*12)+VLOOKUP(CS$4,$DE$6:$DF$17,2)+1))*$E10</f>
        <v>-11.957180546825084</v>
      </c>
      <c r="CT10" s="1021">
        <f>(VLOOKUP(YEAR($A10),'NY East Load Projections'!$A$4:$EO$14,((MONTH($A10)-1)*12)+VLOOKUP(CT$4,$DE$6:$DF$17,2)+1))*$E10</f>
        <v>-11.957180546825084</v>
      </c>
      <c r="CU10" s="1021">
        <f>(VLOOKUP(YEAR($A10),'NY East Load Projections'!$A$4:$EO$14,((MONTH($A10)-1)*12)+VLOOKUP(CU$4,$DE$6:$DF$17,2)+1))*$E10</f>
        <v>-8.0147909319542734</v>
      </c>
      <c r="CV10" s="1021">
        <f>(VLOOKUP(YEAR($A10),'NY East Load Projections'!$A$4:$EO$14,((MONTH($A10)-1)*12)+VLOOKUP(CV$4,$DE$6:$DF$17,2)+1))*$E10</f>
        <v>-8.0147909319542734</v>
      </c>
      <c r="CW10" s="1021">
        <f>(VLOOKUP(YEAR($A10),'NY East Load Projections'!$A$4:$EO$14,((MONTH($A10)-1)*12)+VLOOKUP(CW$4,$DE$6:$DF$17,2)+1))*$E10</f>
        <v>-8.0147909319542734</v>
      </c>
      <c r="CX10" s="1021">
        <f>(VLOOKUP(YEAR($A10),'NY East Load Projections'!$A$4:$EO$14,((MONTH($A10)-1)*12)+VLOOKUP(CX$4,$DE$6:$DF$17,2)+1))*$E10</f>
        <v>-8.0147909319542734</v>
      </c>
      <c r="CY10" s="1021">
        <f>(VLOOKUP(YEAR($A10),'NY East Load Projections'!$A$4:$EO$14,((MONTH($A10)-1)*12)+VLOOKUP(CY$4,$DE$6:$DF$17,2)+1))*$E10</f>
        <v>-8.9680960242932937</v>
      </c>
      <c r="CZ10" s="1021">
        <f>(VLOOKUP(YEAR($A10),'NY East Load Projections'!$A$4:$EO$14,((MONTH($A10)-1)*12)+VLOOKUP(CZ$4,$DE$6:$DF$17,2)+1))*$E10</f>
        <v>-8.9680960242932937</v>
      </c>
      <c r="DA10" s="1021">
        <f>(VLOOKUP(YEAR($A10),'NY East Load Projections'!$A$4:$EO$14,((MONTH($A10)-1)*12)+VLOOKUP(DA$4,$DE$6:$DF$17,2)+1))*$E10</f>
        <v>-8.9680960242932937</v>
      </c>
      <c r="DB10" s="1021">
        <f>(VLOOKUP(YEAR($A10),'NY East Load Projections'!$A$4:$EO$14,((MONTH($A10)-1)*12)+VLOOKUP(DB$4,$DE$6:$DF$17,2)+1))*$E10</f>
        <v>-8.9680960242932937</v>
      </c>
      <c r="DE10" s="221" t="s">
        <v>562</v>
      </c>
      <c r="DF10" s="619">
        <v>5</v>
      </c>
      <c r="DH10" s="1009">
        <f t="shared" si="0"/>
        <v>-5655.0950697313538</v>
      </c>
      <c r="DI10">
        <f ca="1">CALC!J30</f>
        <v>0.91660266916426358</v>
      </c>
      <c r="DJ10" s="1032">
        <f t="shared" ca="1" si="1"/>
        <v>-5183.4752352934265</v>
      </c>
    </row>
    <row r="11" spans="1:114" x14ac:dyDescent="0.25">
      <c r="A11" s="244">
        <v>37043</v>
      </c>
      <c r="B11" s="13">
        <v>21</v>
      </c>
      <c r="C11" s="210">
        <v>5</v>
      </c>
      <c r="D11" s="210">
        <v>4</v>
      </c>
      <c r="E11" s="210">
        <v>0</v>
      </c>
      <c r="F11" s="13">
        <v>30</v>
      </c>
      <c r="H11" s="1021">
        <f>(VLOOKUP(YEAR($A11),'NY East Load Projections'!$A$4:$EO$14,((MONTH($A11)-1)*12)+VLOOKUP(H$4,$DE$6:$DF$17,2)+1))*$B11</f>
        <v>-39.278332229973508</v>
      </c>
      <c r="I11" s="1021">
        <f>(VLOOKUP(YEAR($A11),'NY East Load Projections'!$A$4:$EO$14,((MONTH($A11)-1)*12)+VLOOKUP(I$4,$DE$6:$DF$17,2)+1))*$B11</f>
        <v>-39.278332229973508</v>
      </c>
      <c r="J11" s="1021">
        <f>(VLOOKUP(YEAR($A11),'NY East Load Projections'!$A$4:$EO$14,((MONTH($A11)-1)*12)+VLOOKUP(J$4,$DE$6:$DF$17,2)+1))*$B11</f>
        <v>-39.278332229973508</v>
      </c>
      <c r="K11" s="1021">
        <f>(VLOOKUP(YEAR($A11),'NY East Load Projections'!$A$4:$EO$14,((MONTH($A11)-1)*12)+VLOOKUP(K$4,$DE$6:$DF$17,2)+1))*$B11</f>
        <v>-39.278332229973508</v>
      </c>
      <c r="L11" s="1021">
        <f>(VLOOKUP(YEAR($A11),'NY East Load Projections'!$A$4:$EO$14,((MONTH($A11)-1)*12)+VLOOKUP(L$4,$DE$6:$DF$17,2)+1))*$B11</f>
        <v>-57.370510134303942</v>
      </c>
      <c r="M11" s="1021">
        <f>(VLOOKUP(YEAR($A11),'NY East Load Projections'!$A$4:$EO$14,((MONTH($A11)-1)*12)+VLOOKUP(M$4,$DE$6:$DF$17,2)+1))*$B11</f>
        <v>-57.370510134303942</v>
      </c>
      <c r="N11" s="1021">
        <f>(VLOOKUP(YEAR($A11),'NY East Load Projections'!$A$4:$EO$14,((MONTH($A11)-1)*12)+VLOOKUP(N$4,$DE$6:$DF$17,2)+1))*$B11</f>
        <v>-57.370510134303942</v>
      </c>
      <c r="O11" s="1021">
        <f>(VLOOKUP(YEAR($A11),'NY East Load Projections'!$A$4:$EO$14,((MONTH($A11)-1)*12)+VLOOKUP(O$4,$DE$6:$DF$17,2)+1))*$B11</f>
        <v>-57.370510134303942</v>
      </c>
      <c r="P11" s="1021">
        <f>(VLOOKUP(YEAR($A11),'NY East Load Projections'!$A$4:$EO$14,((MONTH($A11)-1)*12)+VLOOKUP(P$4,$DE$6:$DF$17,2)+1))*$B11</f>
        <v>-64.264490720944963</v>
      </c>
      <c r="Q11" s="1021">
        <f>(VLOOKUP(YEAR($A11),'NY East Load Projections'!$A$4:$EO$14,((MONTH($A11)-1)*12)+VLOOKUP(Q$4,$DE$6:$DF$17,2)+1))*$B11</f>
        <v>-64.264490720944963</v>
      </c>
      <c r="R11" s="1021">
        <f>(VLOOKUP(YEAR($A11),'NY East Load Projections'!$A$4:$EO$14,((MONTH($A11)-1)*12)+VLOOKUP(R$4,$DE$6:$DF$17,2)+1))*$B11</f>
        <v>-64.264490720944963</v>
      </c>
      <c r="S11" s="1021">
        <f>(VLOOKUP(YEAR($A11),'NY East Load Projections'!$A$4:$EO$14,((MONTH($A11)-1)*12)+VLOOKUP(S$4,$DE$6:$DF$17,2)+1))*$B11</f>
        <v>-64.264490720944963</v>
      </c>
      <c r="T11" s="1021">
        <f>(VLOOKUP(YEAR($A11),'NY East Load Projections'!$A$4:$EO$14,((MONTH($A11)-1)*12)+VLOOKUP(T$4,$DE$6:$DF$17,2)+1))*$B11</f>
        <v>-67.671879763048764</v>
      </c>
      <c r="U11" s="1021">
        <f>(VLOOKUP(YEAR($A11),'NY East Load Projections'!$A$4:$EO$14,((MONTH($A11)-1)*12)+VLOOKUP(U$4,$DE$6:$DF$17,2)+1))*$B11</f>
        <v>-67.671879763048764</v>
      </c>
      <c r="V11" s="1021">
        <f>(VLOOKUP(YEAR($A11),'NY East Load Projections'!$A$4:$EO$14,((MONTH($A11)-1)*12)+VLOOKUP(V$4,$DE$6:$DF$17,2)+1))*$B11</f>
        <v>-67.671879763048764</v>
      </c>
      <c r="W11" s="1021">
        <f>(VLOOKUP(YEAR($A11),'NY East Load Projections'!$A$4:$EO$14,((MONTH($A11)-1)*12)+VLOOKUP(W$4,$DE$6:$DF$17,2)+1))*$B11</f>
        <v>-67.671879763048764</v>
      </c>
      <c r="X11" s="1021">
        <f>(VLOOKUP(YEAR($A11),'NY East Load Projections'!$A$4:$EO$14,((MONTH($A11)-1)*12)+VLOOKUP(X$4,$DE$6:$DF$17,2)+1))*$B11</f>
        <v>-64.610453726503877</v>
      </c>
      <c r="Y11" s="1021">
        <f>(VLOOKUP(YEAR($A11),'NY East Load Projections'!$A$4:$EO$14,((MONTH($A11)-1)*12)+VLOOKUP(Y$4,$DE$6:$DF$17,2)+1))*$B11</f>
        <v>-64.610453726503877</v>
      </c>
      <c r="Z11" s="1021">
        <f>(VLOOKUP(YEAR($A11),'NY East Load Projections'!$A$4:$EO$14,((MONTH($A11)-1)*12)+VLOOKUP(Z$4,$DE$6:$DF$17,2)+1))*$B11</f>
        <v>-64.610453726503877</v>
      </c>
      <c r="AA11" s="1021">
        <f>(VLOOKUP(YEAR($A11),'NY East Load Projections'!$A$4:$EO$14,((MONTH($A11)-1)*12)+VLOOKUP(AA$4,$DE$6:$DF$17,2)+1))*$B11</f>
        <v>-64.610453726503877</v>
      </c>
      <c r="AB11" s="1021">
        <f>(VLOOKUP(YEAR($A11),'NY East Load Projections'!$A$4:$EO$14,((MONTH($A11)-1)*12)+VLOOKUP(AB$4,$DE$6:$DF$17,2)+1))*$B11</f>
        <v>-51.854154296923262</v>
      </c>
      <c r="AC11" s="1021">
        <f>(VLOOKUP(YEAR($A11),'NY East Load Projections'!$A$4:$EO$14,((MONTH($A11)-1)*12)+VLOOKUP(AC$4,$DE$6:$DF$17,2)+1))*$B11</f>
        <v>-51.854154296923262</v>
      </c>
      <c r="AD11" s="1021">
        <f>(VLOOKUP(YEAR($A11),'NY East Load Projections'!$A$4:$EO$14,((MONTH($A11)-1)*12)+VLOOKUP(AD$4,$DE$6:$DF$17,2)+1))*$B11</f>
        <v>-51.854154296923262</v>
      </c>
      <c r="AE11" s="1021">
        <f>(VLOOKUP(YEAR($A11),'NY East Load Projections'!$A$4:$EO$14,((MONTH($A11)-1)*12)+VLOOKUP(AE$4,$DE$6:$DF$17,2)+1))*$B11</f>
        <v>-51.854154296923262</v>
      </c>
      <c r="AF11" s="1021"/>
      <c r="AG11" s="1021">
        <f>(VLOOKUP(YEAR($A11),'NY East Load Projections'!$A$4:$EO$14,((MONTH($A11)-1)*12)+VLOOKUP(AG$4,$DE$6:$DF$17,2)+1))*$C11</f>
        <v>-11.059944101486787</v>
      </c>
      <c r="AH11" s="1021">
        <f>(VLOOKUP(YEAR($A11),'NY East Load Projections'!$A$4:$EO$14,((MONTH($A11)-1)*12)+VLOOKUP(AH$4,$DE$6:$DF$17,2)+1))*$C11</f>
        <v>-11.059944101486787</v>
      </c>
      <c r="AI11" s="1021">
        <f>(VLOOKUP(YEAR($A11),'NY East Load Projections'!$A$4:$EO$14,((MONTH($A11)-1)*12)+VLOOKUP(AI$4,$DE$6:$DF$17,2)+1))*$C11</f>
        <v>-11.059944101486787</v>
      </c>
      <c r="AJ11" s="1021">
        <f>(VLOOKUP(YEAR($A11),'NY East Load Projections'!$A$4:$EO$14,((MONTH($A11)-1)*12)+VLOOKUP(AJ$4,$DE$6:$DF$17,2)+1))*$C11</f>
        <v>-11.059944101486787</v>
      </c>
      <c r="AK11" s="1021">
        <f>(VLOOKUP(YEAR($A11),'NY East Load Projections'!$A$4:$EO$14,((MONTH($A11)-1)*12)+VLOOKUP(AK$4,$DE$6:$DF$17,2)+1))*$C11</f>
        <v>-11.794793723614568</v>
      </c>
      <c r="AL11" s="1021">
        <f>(VLOOKUP(YEAR($A11),'NY East Load Projections'!$A$4:$EO$14,((MONTH($A11)-1)*12)+VLOOKUP(AL$4,$DE$6:$DF$17,2)+1))*$C11</f>
        <v>-11.794793723614568</v>
      </c>
      <c r="AM11" s="1021">
        <f>(VLOOKUP(YEAR($A11),'NY East Load Projections'!$A$4:$EO$14,((MONTH($A11)-1)*12)+VLOOKUP(AM$4,$DE$6:$DF$17,2)+1))*$C11</f>
        <v>-11.794793723614568</v>
      </c>
      <c r="AN11" s="1021">
        <f>(VLOOKUP(YEAR($A11),'NY East Load Projections'!$A$4:$EO$14,((MONTH($A11)-1)*12)+VLOOKUP(AN$4,$DE$6:$DF$17,2)+1))*$C11</f>
        <v>-11.794793723614568</v>
      </c>
      <c r="AO11" s="1021">
        <f>(VLOOKUP(YEAR($A11),'NY East Load Projections'!$A$4:$EO$14,((MONTH($A11)-1)*12)+VLOOKUP(AO$4,$DE$6:$DF$17,2)+1))*$C11</f>
        <v>-14.751526236172785</v>
      </c>
      <c r="AP11" s="1021">
        <f>(VLOOKUP(YEAR($A11),'NY East Load Projections'!$A$4:$EO$14,((MONTH($A11)-1)*12)+VLOOKUP(AP$4,$DE$6:$DF$17,2)+1))*$C11</f>
        <v>-14.751526236172785</v>
      </c>
      <c r="AQ11" s="1021">
        <f>(VLOOKUP(YEAR($A11),'NY East Load Projections'!$A$4:$EO$14,((MONTH($A11)-1)*12)+VLOOKUP(AQ$4,$DE$6:$DF$17,2)+1))*$C11</f>
        <v>-14.751526236172785</v>
      </c>
      <c r="AR11" s="1021">
        <f>(VLOOKUP(YEAR($A11),'NY East Load Projections'!$A$4:$EO$14,((MONTH($A11)-1)*12)+VLOOKUP(AR$4,$DE$6:$DF$17,2)+1))*$C11</f>
        <v>-14.751526236172785</v>
      </c>
      <c r="AS11" s="1021">
        <f>(VLOOKUP(YEAR($A11),'NY East Load Projections'!$A$4:$EO$14,((MONTH($A11)-1)*12)+VLOOKUP(AS$4,$DE$6:$DF$17,2)+1))*$C11</f>
        <v>-14.656859166466012</v>
      </c>
      <c r="AT11" s="1021">
        <f>(VLOOKUP(YEAR($A11),'NY East Load Projections'!$A$4:$EO$14,((MONTH($A11)-1)*12)+VLOOKUP(AT$4,$DE$6:$DF$17,2)+1))*$C11</f>
        <v>-14.656859166466012</v>
      </c>
      <c r="AU11" s="1021">
        <f>(VLOOKUP(YEAR($A11),'NY East Load Projections'!$A$4:$EO$14,((MONTH($A11)-1)*12)+VLOOKUP(AU$4,$DE$6:$DF$17,2)+1))*$C11</f>
        <v>-14.656859166466012</v>
      </c>
      <c r="AV11" s="1021">
        <f>(VLOOKUP(YEAR($A11),'NY East Load Projections'!$A$4:$EO$14,((MONTH($A11)-1)*12)+VLOOKUP(AV$4,$DE$6:$DF$17,2)+1))*$C11</f>
        <v>-14.656859166466012</v>
      </c>
      <c r="AW11" s="1021">
        <f>(VLOOKUP(YEAR($A11),'NY East Load Projections'!$A$4:$EO$14,((MONTH($A11)-1)*12)+VLOOKUP(AW$4,$DE$6:$DF$17,2)+1))*$C11</f>
        <v>-12.49776770370055</v>
      </c>
      <c r="AX11" s="1021">
        <f>(VLOOKUP(YEAR($A11),'NY East Load Projections'!$A$4:$EO$14,((MONTH($A11)-1)*12)+VLOOKUP(AX$4,$DE$6:$DF$17,2)+1))*$C11</f>
        <v>-12.49776770370055</v>
      </c>
      <c r="AY11" s="1021">
        <f>(VLOOKUP(YEAR($A11),'NY East Load Projections'!$A$4:$EO$14,((MONTH($A11)-1)*12)+VLOOKUP(AY$4,$DE$6:$DF$17,2)+1))*$C11</f>
        <v>-12.49776770370055</v>
      </c>
      <c r="AZ11" s="1021">
        <f>(VLOOKUP(YEAR($A11),'NY East Load Projections'!$A$4:$EO$14,((MONTH($A11)-1)*12)+VLOOKUP(AZ$4,$DE$6:$DF$17,2)+1))*$C11</f>
        <v>-12.49776770370055</v>
      </c>
      <c r="BA11" s="1021">
        <f>(VLOOKUP(YEAR($A11),'NY East Load Projections'!$A$4:$EO$14,((MONTH($A11)-1)*12)+VLOOKUP(BA$4,$DE$6:$DF$17,2)+1))*$C11</f>
        <v>-11.817669307496795</v>
      </c>
      <c r="BB11" s="1021">
        <f>(VLOOKUP(YEAR($A11),'NY East Load Projections'!$A$4:$EO$14,((MONTH($A11)-1)*12)+VLOOKUP(BB$4,$DE$6:$DF$17,2)+1))*$C11</f>
        <v>-11.817669307496795</v>
      </c>
      <c r="BC11" s="1021">
        <f>(VLOOKUP(YEAR($A11),'NY East Load Projections'!$A$4:$EO$14,((MONTH($A11)-1)*12)+VLOOKUP(BC$4,$DE$6:$DF$17,2)+1))*$C11</f>
        <v>-11.817669307496795</v>
      </c>
      <c r="BD11" s="1021">
        <f>(VLOOKUP(YEAR($A11),'NY East Load Projections'!$A$4:$EO$14,((MONTH($A11)-1)*12)+VLOOKUP(BD$4,$DE$6:$DF$17,2)+1))*$C11</f>
        <v>-11.817669307496795</v>
      </c>
      <c r="BE11" s="1021"/>
      <c r="BF11" s="1021">
        <f>(VLOOKUP(YEAR($A11),'NY East Load Projections'!$A$4:$EO$14,((MONTH($A11)-1)*12)+VLOOKUP(BF$4,$DE$6:$DF$17,2)+1))*$D11</f>
        <v>-8.8479552811894298</v>
      </c>
      <c r="BG11" s="1021">
        <f>(VLOOKUP(YEAR($A11),'NY East Load Projections'!$A$4:$EO$14,((MONTH($A11)-1)*12)+VLOOKUP(BG$4,$DE$6:$DF$17,2)+1))*$D11</f>
        <v>-8.8479552811894298</v>
      </c>
      <c r="BH11" s="1021">
        <f>(VLOOKUP(YEAR($A11),'NY East Load Projections'!$A$4:$EO$14,((MONTH($A11)-1)*12)+VLOOKUP(BH$4,$DE$6:$DF$17,2)+1))*$D11</f>
        <v>-8.8479552811894298</v>
      </c>
      <c r="BI11" s="1021">
        <f>(VLOOKUP(YEAR($A11),'NY East Load Projections'!$A$4:$EO$14,((MONTH($A11)-1)*12)+VLOOKUP(BI$4,$DE$6:$DF$17,2)+1))*$D11</f>
        <v>-8.8479552811894298</v>
      </c>
      <c r="BJ11" s="1021">
        <f>(VLOOKUP(YEAR($A11),'NY East Load Projections'!$A$4:$EO$14,((MONTH($A11)-1)*12)+VLOOKUP(BJ$4,$DE$6:$DF$17,2)+1))*$D11</f>
        <v>-9.4358349788916538</v>
      </c>
      <c r="BK11" s="1021">
        <f>(VLOOKUP(YEAR($A11),'NY East Load Projections'!$A$4:$EO$14,((MONTH($A11)-1)*12)+VLOOKUP(BK$4,$DE$6:$DF$17,2)+1))*$D11</f>
        <v>-9.4358349788916538</v>
      </c>
      <c r="BL11" s="1021">
        <f>(VLOOKUP(YEAR($A11),'NY East Load Projections'!$A$4:$EO$14,((MONTH($A11)-1)*12)+VLOOKUP(BL$4,$DE$6:$DF$17,2)+1))*$D11</f>
        <v>-9.4358349788916538</v>
      </c>
      <c r="BM11" s="1021">
        <f>(VLOOKUP(YEAR($A11),'NY East Load Projections'!$A$4:$EO$14,((MONTH($A11)-1)*12)+VLOOKUP(BM$4,$DE$6:$DF$17,2)+1))*$D11</f>
        <v>-9.4358349788916538</v>
      </c>
      <c r="BN11" s="1021">
        <f>(VLOOKUP(YEAR($A11),'NY East Load Projections'!$A$4:$EO$14,((MONTH($A11)-1)*12)+VLOOKUP(BN$4,$DE$6:$DF$17,2)+1))*$D11</f>
        <v>-11.801220988938228</v>
      </c>
      <c r="BO11" s="1021">
        <f>(VLOOKUP(YEAR($A11),'NY East Load Projections'!$A$4:$EO$14,((MONTH($A11)-1)*12)+VLOOKUP(BO$4,$DE$6:$DF$17,2)+1))*$D11</f>
        <v>-11.801220988938228</v>
      </c>
      <c r="BP11" s="1021">
        <f>(VLOOKUP(YEAR($A11),'NY East Load Projections'!$A$4:$EO$14,((MONTH($A11)-1)*12)+VLOOKUP(BP$4,$DE$6:$DF$17,2)+1))*$D11</f>
        <v>-11.801220988938228</v>
      </c>
      <c r="BQ11" s="1021">
        <f>(VLOOKUP(YEAR($A11),'NY East Load Projections'!$A$4:$EO$14,((MONTH($A11)-1)*12)+VLOOKUP(BQ$4,$DE$6:$DF$17,2)+1))*$D11</f>
        <v>-11.801220988938228</v>
      </c>
      <c r="BR11" s="1021">
        <f>(VLOOKUP(YEAR($A11),'NY East Load Projections'!$A$4:$EO$14,((MONTH($A11)-1)*12)+VLOOKUP(BR$4,$DE$6:$DF$17,2)+1))*$D11</f>
        <v>-11.72548733317281</v>
      </c>
      <c r="BS11" s="1021">
        <f>(VLOOKUP(YEAR($A11),'NY East Load Projections'!$A$4:$EO$14,((MONTH($A11)-1)*12)+VLOOKUP(BS$4,$DE$6:$DF$17,2)+1))*$D11</f>
        <v>-11.72548733317281</v>
      </c>
      <c r="BT11" s="1021">
        <f>(VLOOKUP(YEAR($A11),'NY East Load Projections'!$A$4:$EO$14,((MONTH($A11)-1)*12)+VLOOKUP(BT$4,$DE$6:$DF$17,2)+1))*$D11</f>
        <v>-11.72548733317281</v>
      </c>
      <c r="BU11" s="1021">
        <f>(VLOOKUP(YEAR($A11),'NY East Load Projections'!$A$4:$EO$14,((MONTH($A11)-1)*12)+VLOOKUP(BU$4,$DE$6:$DF$17,2)+1))*$D11</f>
        <v>-11.72548733317281</v>
      </c>
      <c r="BV11" s="1021">
        <f>(VLOOKUP(YEAR($A11),'NY East Load Projections'!$A$4:$EO$14,((MONTH($A11)-1)*12)+VLOOKUP(BV$4,$DE$6:$DF$17,2)+1))*$D11</f>
        <v>-9.9982141629604406</v>
      </c>
      <c r="BW11" s="1021">
        <f>(VLOOKUP(YEAR($A11),'NY East Load Projections'!$A$4:$EO$14,((MONTH($A11)-1)*12)+VLOOKUP(BW$4,$DE$6:$DF$17,2)+1))*$D11</f>
        <v>-9.9982141629604406</v>
      </c>
      <c r="BX11" s="1021">
        <f>(VLOOKUP(YEAR($A11),'NY East Load Projections'!$A$4:$EO$14,((MONTH($A11)-1)*12)+VLOOKUP(BX$4,$DE$6:$DF$17,2)+1))*$D11</f>
        <v>-9.9982141629604406</v>
      </c>
      <c r="BY11" s="1021">
        <f>(VLOOKUP(YEAR($A11),'NY East Load Projections'!$A$4:$EO$14,((MONTH($A11)-1)*12)+VLOOKUP(BY$4,$DE$6:$DF$17,2)+1))*$D11</f>
        <v>-9.9982141629604406</v>
      </c>
      <c r="BZ11" s="1021">
        <f>(VLOOKUP(YEAR($A11),'NY East Load Projections'!$A$4:$EO$14,((MONTH($A11)-1)*12)+VLOOKUP(BZ$4,$DE$6:$DF$17,2)+1))*$D11</f>
        <v>-9.4541354459974354</v>
      </c>
      <c r="CA11" s="1021">
        <f>(VLOOKUP(YEAR($A11),'NY East Load Projections'!$A$4:$EO$14,((MONTH($A11)-1)*12)+VLOOKUP(CA$4,$DE$6:$DF$17,2)+1))*$D11</f>
        <v>-9.4541354459974354</v>
      </c>
      <c r="CB11" s="1021">
        <f>(VLOOKUP(YEAR($A11),'NY East Load Projections'!$A$4:$EO$14,((MONTH($A11)-1)*12)+VLOOKUP(CB$4,$DE$6:$DF$17,2)+1))*$D11</f>
        <v>-9.4541354459974354</v>
      </c>
      <c r="CC11" s="1021">
        <f>(VLOOKUP(YEAR($A11),'NY East Load Projections'!$A$4:$EO$14,((MONTH($A11)-1)*12)+VLOOKUP(CC$4,$DE$6:$DF$17,2)+1))*$D11</f>
        <v>-9.4541354459974354</v>
      </c>
      <c r="CE11" s="1021">
        <f>(VLOOKUP(YEAR($A11),'NY East Load Projections'!$A$4:$EO$14,((MONTH($A11)-1)*12)+VLOOKUP(CE$4,$DE$6:$DF$17,2)+1))*$E11</f>
        <v>0</v>
      </c>
      <c r="CF11" s="1021">
        <f>(VLOOKUP(YEAR($A11),'NY East Load Projections'!$A$4:$EO$14,((MONTH($A11)-1)*12)+VLOOKUP(CF$4,$DE$6:$DF$17,2)+1))*$E11</f>
        <v>0</v>
      </c>
      <c r="CG11" s="1021">
        <f>(VLOOKUP(YEAR($A11),'NY East Load Projections'!$A$4:$EO$14,((MONTH($A11)-1)*12)+VLOOKUP(CG$4,$DE$6:$DF$17,2)+1))*$E11</f>
        <v>0</v>
      </c>
      <c r="CH11" s="1021">
        <f>(VLOOKUP(YEAR($A11),'NY East Load Projections'!$A$4:$EO$14,((MONTH($A11)-1)*12)+VLOOKUP(CH$4,$DE$6:$DF$17,2)+1))*$E11</f>
        <v>0</v>
      </c>
      <c r="CI11" s="1021">
        <f>(VLOOKUP(YEAR($A11),'NY East Load Projections'!$A$4:$EO$14,((MONTH($A11)-1)*12)+VLOOKUP(CI$4,$DE$6:$DF$17,2)+1))*$E11</f>
        <v>0</v>
      </c>
      <c r="CJ11" s="1021">
        <f>(VLOOKUP(YEAR($A11),'NY East Load Projections'!$A$4:$EO$14,((MONTH($A11)-1)*12)+VLOOKUP(CJ$4,$DE$6:$DF$17,2)+1))*$E11</f>
        <v>0</v>
      </c>
      <c r="CK11" s="1021">
        <f>(VLOOKUP(YEAR($A11),'NY East Load Projections'!$A$4:$EO$14,((MONTH($A11)-1)*12)+VLOOKUP(CK$4,$DE$6:$DF$17,2)+1))*$E11</f>
        <v>0</v>
      </c>
      <c r="CL11" s="1021">
        <f>(VLOOKUP(YEAR($A11),'NY East Load Projections'!$A$4:$EO$14,((MONTH($A11)-1)*12)+VLOOKUP(CL$4,$DE$6:$DF$17,2)+1))*$E11</f>
        <v>0</v>
      </c>
      <c r="CM11" s="1021">
        <f>(VLOOKUP(YEAR($A11),'NY East Load Projections'!$A$4:$EO$14,((MONTH($A11)-1)*12)+VLOOKUP(CM$4,$DE$6:$DF$17,2)+1))*$E11</f>
        <v>0</v>
      </c>
      <c r="CN11" s="1021">
        <f>(VLOOKUP(YEAR($A11),'NY East Load Projections'!$A$4:$EO$14,((MONTH($A11)-1)*12)+VLOOKUP(CN$4,$DE$6:$DF$17,2)+1))*$E11</f>
        <v>0</v>
      </c>
      <c r="CO11" s="1021">
        <f>(VLOOKUP(YEAR($A11),'NY East Load Projections'!$A$4:$EO$14,((MONTH($A11)-1)*12)+VLOOKUP(CO$4,$DE$6:$DF$17,2)+1))*$E11</f>
        <v>0</v>
      </c>
      <c r="CP11" s="1021">
        <f>(VLOOKUP(YEAR($A11),'NY East Load Projections'!$A$4:$EO$14,((MONTH($A11)-1)*12)+VLOOKUP(CP$4,$DE$6:$DF$17,2)+1))*$E11</f>
        <v>0</v>
      </c>
      <c r="CQ11" s="1021">
        <f>(VLOOKUP(YEAR($A11),'NY East Load Projections'!$A$4:$EO$14,((MONTH($A11)-1)*12)+VLOOKUP(CQ$4,$DE$6:$DF$17,2)+1))*$E11</f>
        <v>0</v>
      </c>
      <c r="CR11" s="1021">
        <f>(VLOOKUP(YEAR($A11),'NY East Load Projections'!$A$4:$EO$14,((MONTH($A11)-1)*12)+VLOOKUP(CR$4,$DE$6:$DF$17,2)+1))*$E11</f>
        <v>0</v>
      </c>
      <c r="CS11" s="1021">
        <f>(VLOOKUP(YEAR($A11),'NY East Load Projections'!$A$4:$EO$14,((MONTH($A11)-1)*12)+VLOOKUP(CS$4,$DE$6:$DF$17,2)+1))*$E11</f>
        <v>0</v>
      </c>
      <c r="CT11" s="1021">
        <f>(VLOOKUP(YEAR($A11),'NY East Load Projections'!$A$4:$EO$14,((MONTH($A11)-1)*12)+VLOOKUP(CT$4,$DE$6:$DF$17,2)+1))*$E11</f>
        <v>0</v>
      </c>
      <c r="CU11" s="1021">
        <f>(VLOOKUP(YEAR($A11),'NY East Load Projections'!$A$4:$EO$14,((MONTH($A11)-1)*12)+VLOOKUP(CU$4,$DE$6:$DF$17,2)+1))*$E11</f>
        <v>0</v>
      </c>
      <c r="CV11" s="1021">
        <f>(VLOOKUP(YEAR($A11),'NY East Load Projections'!$A$4:$EO$14,((MONTH($A11)-1)*12)+VLOOKUP(CV$4,$DE$6:$DF$17,2)+1))*$E11</f>
        <v>0</v>
      </c>
      <c r="CW11" s="1021">
        <f>(VLOOKUP(YEAR($A11),'NY East Load Projections'!$A$4:$EO$14,((MONTH($A11)-1)*12)+VLOOKUP(CW$4,$DE$6:$DF$17,2)+1))*$E11</f>
        <v>0</v>
      </c>
      <c r="CX11" s="1021">
        <f>(VLOOKUP(YEAR($A11),'NY East Load Projections'!$A$4:$EO$14,((MONTH($A11)-1)*12)+VLOOKUP(CX$4,$DE$6:$DF$17,2)+1))*$E11</f>
        <v>0</v>
      </c>
      <c r="CY11" s="1021">
        <f>(VLOOKUP(YEAR($A11),'NY East Load Projections'!$A$4:$EO$14,((MONTH($A11)-1)*12)+VLOOKUP(CY$4,$DE$6:$DF$17,2)+1))*$E11</f>
        <v>0</v>
      </c>
      <c r="CZ11" s="1021">
        <f>(VLOOKUP(YEAR($A11),'NY East Load Projections'!$A$4:$EO$14,((MONTH($A11)-1)*12)+VLOOKUP(CZ$4,$DE$6:$DF$17,2)+1))*$E11</f>
        <v>0</v>
      </c>
      <c r="DA11" s="1021">
        <f>(VLOOKUP(YEAR($A11),'NY East Load Projections'!$A$4:$EO$14,((MONTH($A11)-1)*12)+VLOOKUP(DA$4,$DE$6:$DF$17,2)+1))*$E11</f>
        <v>0</v>
      </c>
      <c r="DB11" s="1021">
        <f>(VLOOKUP(YEAR($A11),'NY East Load Projections'!$A$4:$EO$14,((MONTH($A11)-1)*12)+VLOOKUP(DB$4,$DE$6:$DF$17,2)+1))*$E11</f>
        <v>0</v>
      </c>
      <c r="DE11" s="221" t="s">
        <v>563</v>
      </c>
      <c r="DF11" s="619">
        <v>6</v>
      </c>
      <c r="DH11" s="1009">
        <f t="shared" si="0"/>
        <v>-1931.5649172071437</v>
      </c>
      <c r="DI11">
        <f ca="1">CALC!J31</f>
        <v>0.91115483222267024</v>
      </c>
      <c r="DJ11" s="1032">
        <f t="shared" ca="1" si="1"/>
        <v>-1759.9547080650709</v>
      </c>
    </row>
    <row r="12" spans="1:114" x14ac:dyDescent="0.25">
      <c r="A12" s="244">
        <v>37073</v>
      </c>
      <c r="B12" s="13">
        <v>21</v>
      </c>
      <c r="C12" s="210">
        <v>4</v>
      </c>
      <c r="D12" s="210">
        <v>5</v>
      </c>
      <c r="E12" s="210">
        <v>1</v>
      </c>
      <c r="F12" s="13">
        <v>31</v>
      </c>
      <c r="H12" s="1021">
        <f>(VLOOKUP(YEAR($A12),'NY East Load Projections'!$A$4:$EO$14,((MONTH($A12)-1)*12)+VLOOKUP(H$4,$DE$6:$DF$17,2)+1))*$B12</f>
        <v>-1863.7423561276341</v>
      </c>
      <c r="I12" s="1021">
        <f>(VLOOKUP(YEAR($A12),'NY East Load Projections'!$A$4:$EO$14,((MONTH($A12)-1)*12)+VLOOKUP(I$4,$DE$6:$DF$17,2)+1))*$B12</f>
        <v>-1863.7423561276341</v>
      </c>
      <c r="J12" s="1021">
        <f>(VLOOKUP(YEAR($A12),'NY East Load Projections'!$A$4:$EO$14,((MONTH($A12)-1)*12)+VLOOKUP(J$4,$DE$6:$DF$17,2)+1))*$B12</f>
        <v>-1863.7423561276341</v>
      </c>
      <c r="K12" s="1021">
        <f>(VLOOKUP(YEAR($A12),'NY East Load Projections'!$A$4:$EO$14,((MONTH($A12)-1)*12)+VLOOKUP(K$4,$DE$6:$DF$17,2)+1))*$B12</f>
        <v>-1863.7423561276341</v>
      </c>
      <c r="L12" s="1021">
        <f>(VLOOKUP(YEAR($A12),'NY East Load Projections'!$A$4:$EO$14,((MONTH($A12)-1)*12)+VLOOKUP(L$4,$DE$6:$DF$17,2)+1))*$B12</f>
        <v>-1928.1496876868543</v>
      </c>
      <c r="M12" s="1021">
        <f>(VLOOKUP(YEAR($A12),'NY East Load Projections'!$A$4:$EO$14,((MONTH($A12)-1)*12)+VLOOKUP(M$4,$DE$6:$DF$17,2)+1))*$B12</f>
        <v>-1928.1496876868543</v>
      </c>
      <c r="N12" s="1021">
        <f>(VLOOKUP(YEAR($A12),'NY East Load Projections'!$A$4:$EO$14,((MONTH($A12)-1)*12)+VLOOKUP(N$4,$DE$6:$DF$17,2)+1))*$B12</f>
        <v>-1928.1496876868543</v>
      </c>
      <c r="O12" s="1021">
        <f>(VLOOKUP(YEAR($A12),'NY East Load Projections'!$A$4:$EO$14,((MONTH($A12)-1)*12)+VLOOKUP(O$4,$DE$6:$DF$17,2)+1))*$B12</f>
        <v>-1928.1496876868543</v>
      </c>
      <c r="P12" s="1021">
        <f>(VLOOKUP(YEAR($A12),'NY East Load Projections'!$A$4:$EO$14,((MONTH($A12)-1)*12)+VLOOKUP(P$4,$DE$6:$DF$17,2)+1))*$B12</f>
        <v>-2047.5616874609418</v>
      </c>
      <c r="Q12" s="1021">
        <f>(VLOOKUP(YEAR($A12),'NY East Load Projections'!$A$4:$EO$14,((MONTH($A12)-1)*12)+VLOOKUP(Q$4,$DE$6:$DF$17,2)+1))*$B12</f>
        <v>-2047.5616874609418</v>
      </c>
      <c r="R12" s="1021">
        <f>(VLOOKUP(YEAR($A12),'NY East Load Projections'!$A$4:$EO$14,((MONTH($A12)-1)*12)+VLOOKUP(R$4,$DE$6:$DF$17,2)+1))*$B12</f>
        <v>-2047.5616874609418</v>
      </c>
      <c r="S12" s="1021">
        <f>(VLOOKUP(YEAR($A12),'NY East Load Projections'!$A$4:$EO$14,((MONTH($A12)-1)*12)+VLOOKUP(S$4,$DE$6:$DF$17,2)+1))*$B12</f>
        <v>-2047.5616874609418</v>
      </c>
      <c r="T12" s="1021">
        <f>(VLOOKUP(YEAR($A12),'NY East Load Projections'!$A$4:$EO$14,((MONTH($A12)-1)*12)+VLOOKUP(T$4,$DE$6:$DF$17,2)+1))*$B12</f>
        <v>-2055.1135345979255</v>
      </c>
      <c r="U12" s="1021">
        <f>(VLOOKUP(YEAR($A12),'NY East Load Projections'!$A$4:$EO$14,((MONTH($A12)-1)*12)+VLOOKUP(U$4,$DE$6:$DF$17,2)+1))*$B12</f>
        <v>-2055.1135345979255</v>
      </c>
      <c r="V12" s="1021">
        <f>(VLOOKUP(YEAR($A12),'NY East Load Projections'!$A$4:$EO$14,((MONTH($A12)-1)*12)+VLOOKUP(V$4,$DE$6:$DF$17,2)+1))*$B12</f>
        <v>-2055.1135345979255</v>
      </c>
      <c r="W12" s="1021">
        <f>(VLOOKUP(YEAR($A12),'NY East Load Projections'!$A$4:$EO$14,((MONTH($A12)-1)*12)+VLOOKUP(W$4,$DE$6:$DF$17,2)+1))*$B12</f>
        <v>-2055.1135345979255</v>
      </c>
      <c r="X12" s="1021">
        <f>(VLOOKUP(YEAR($A12),'NY East Load Projections'!$A$4:$EO$14,((MONTH($A12)-1)*12)+VLOOKUP(X$4,$DE$6:$DF$17,2)+1))*$B12</f>
        <v>-1999.15936126776</v>
      </c>
      <c r="Y12" s="1021">
        <f>(VLOOKUP(YEAR($A12),'NY East Load Projections'!$A$4:$EO$14,((MONTH($A12)-1)*12)+VLOOKUP(Y$4,$DE$6:$DF$17,2)+1))*$B12</f>
        <v>-1999.15936126776</v>
      </c>
      <c r="Z12" s="1021">
        <f>(VLOOKUP(YEAR($A12),'NY East Load Projections'!$A$4:$EO$14,((MONTH($A12)-1)*12)+VLOOKUP(Z$4,$DE$6:$DF$17,2)+1))*$B12</f>
        <v>-1999.15936126776</v>
      </c>
      <c r="AA12" s="1021">
        <f>(VLOOKUP(YEAR($A12),'NY East Load Projections'!$A$4:$EO$14,((MONTH($A12)-1)*12)+VLOOKUP(AA$4,$DE$6:$DF$17,2)+1))*$B12</f>
        <v>-1999.15936126776</v>
      </c>
      <c r="AB12" s="1021">
        <f>(VLOOKUP(YEAR($A12),'NY East Load Projections'!$A$4:$EO$14,((MONTH($A12)-1)*12)+VLOOKUP(AB$4,$DE$6:$DF$17,2)+1))*$B12</f>
        <v>-1917.4101717467365</v>
      </c>
      <c r="AC12" s="1021">
        <f>(VLOOKUP(YEAR($A12),'NY East Load Projections'!$A$4:$EO$14,((MONTH($A12)-1)*12)+VLOOKUP(AC$4,$DE$6:$DF$17,2)+1))*$B12</f>
        <v>-1917.4101717467365</v>
      </c>
      <c r="AD12" s="1021">
        <f>(VLOOKUP(YEAR($A12),'NY East Load Projections'!$A$4:$EO$14,((MONTH($A12)-1)*12)+VLOOKUP(AD$4,$DE$6:$DF$17,2)+1))*$B12</f>
        <v>-1917.4101717467365</v>
      </c>
      <c r="AE12" s="1021">
        <f>(VLOOKUP(YEAR($A12),'NY East Load Projections'!$A$4:$EO$14,((MONTH($A12)-1)*12)+VLOOKUP(AE$4,$DE$6:$DF$17,2)+1))*$B12</f>
        <v>-1917.4101717467365</v>
      </c>
      <c r="AF12" s="1021"/>
      <c r="AG12" s="1021">
        <f>(VLOOKUP(YEAR($A12),'NY East Load Projections'!$A$4:$EO$14,((MONTH($A12)-1)*12)+VLOOKUP(AG$4,$DE$6:$DF$17,2)+1))*$C12</f>
        <v>-343.24319857701562</v>
      </c>
      <c r="AH12" s="1021">
        <f>(VLOOKUP(YEAR($A12),'NY East Load Projections'!$A$4:$EO$14,((MONTH($A12)-1)*12)+VLOOKUP(AH$4,$DE$6:$DF$17,2)+1))*$C12</f>
        <v>-343.24319857701562</v>
      </c>
      <c r="AI12" s="1021">
        <f>(VLOOKUP(YEAR($A12),'NY East Load Projections'!$A$4:$EO$14,((MONTH($A12)-1)*12)+VLOOKUP(AI$4,$DE$6:$DF$17,2)+1))*$C12</f>
        <v>-343.24319857701562</v>
      </c>
      <c r="AJ12" s="1021">
        <f>(VLOOKUP(YEAR($A12),'NY East Load Projections'!$A$4:$EO$14,((MONTH($A12)-1)*12)+VLOOKUP(AJ$4,$DE$6:$DF$17,2)+1))*$C12</f>
        <v>-343.24319857701562</v>
      </c>
      <c r="AK12" s="1021">
        <f>(VLOOKUP(YEAR($A12),'NY East Load Projections'!$A$4:$EO$14,((MONTH($A12)-1)*12)+VLOOKUP(AK$4,$DE$6:$DF$17,2)+1))*$C12</f>
        <v>-348.46086645495859</v>
      </c>
      <c r="AL12" s="1021">
        <f>(VLOOKUP(YEAR($A12),'NY East Load Projections'!$A$4:$EO$14,((MONTH($A12)-1)*12)+VLOOKUP(AL$4,$DE$6:$DF$17,2)+1))*$C12</f>
        <v>-348.46086645495859</v>
      </c>
      <c r="AM12" s="1021">
        <f>(VLOOKUP(YEAR($A12),'NY East Load Projections'!$A$4:$EO$14,((MONTH($A12)-1)*12)+VLOOKUP(AM$4,$DE$6:$DF$17,2)+1))*$C12</f>
        <v>-348.46086645495859</v>
      </c>
      <c r="AN12" s="1021">
        <f>(VLOOKUP(YEAR($A12),'NY East Load Projections'!$A$4:$EO$14,((MONTH($A12)-1)*12)+VLOOKUP(AN$4,$DE$6:$DF$17,2)+1))*$C12</f>
        <v>-348.46086645495859</v>
      </c>
      <c r="AO12" s="1021">
        <f>(VLOOKUP(YEAR($A12),'NY East Load Projections'!$A$4:$EO$14,((MONTH($A12)-1)*12)+VLOOKUP(AO$4,$DE$6:$DF$17,2)+1))*$C12</f>
        <v>-372.4735840137098</v>
      </c>
      <c r="AP12" s="1021">
        <f>(VLOOKUP(YEAR($A12),'NY East Load Projections'!$A$4:$EO$14,((MONTH($A12)-1)*12)+VLOOKUP(AP$4,$DE$6:$DF$17,2)+1))*$C12</f>
        <v>-372.4735840137098</v>
      </c>
      <c r="AQ12" s="1021">
        <f>(VLOOKUP(YEAR($A12),'NY East Load Projections'!$A$4:$EO$14,((MONTH($A12)-1)*12)+VLOOKUP(AQ$4,$DE$6:$DF$17,2)+1))*$C12</f>
        <v>-372.4735840137098</v>
      </c>
      <c r="AR12" s="1021">
        <f>(VLOOKUP(YEAR($A12),'NY East Load Projections'!$A$4:$EO$14,((MONTH($A12)-1)*12)+VLOOKUP(AR$4,$DE$6:$DF$17,2)+1))*$C12</f>
        <v>-372.4735840137098</v>
      </c>
      <c r="AS12" s="1021">
        <f>(VLOOKUP(YEAR($A12),'NY East Load Projections'!$A$4:$EO$14,((MONTH($A12)-1)*12)+VLOOKUP(AS$4,$DE$6:$DF$17,2)+1))*$C12</f>
        <v>-376.59124954091965</v>
      </c>
      <c r="AT12" s="1021">
        <f>(VLOOKUP(YEAR($A12),'NY East Load Projections'!$A$4:$EO$14,((MONTH($A12)-1)*12)+VLOOKUP(AT$4,$DE$6:$DF$17,2)+1))*$C12</f>
        <v>-376.59124954091965</v>
      </c>
      <c r="AU12" s="1021">
        <f>(VLOOKUP(YEAR($A12),'NY East Load Projections'!$A$4:$EO$14,((MONTH($A12)-1)*12)+VLOOKUP(AU$4,$DE$6:$DF$17,2)+1))*$C12</f>
        <v>-376.59124954091965</v>
      </c>
      <c r="AV12" s="1021">
        <f>(VLOOKUP(YEAR($A12),'NY East Load Projections'!$A$4:$EO$14,((MONTH($A12)-1)*12)+VLOOKUP(AV$4,$DE$6:$DF$17,2)+1))*$C12</f>
        <v>-376.59124954091965</v>
      </c>
      <c r="AW12" s="1021">
        <f>(VLOOKUP(YEAR($A12),'NY East Load Projections'!$A$4:$EO$14,((MONTH($A12)-1)*12)+VLOOKUP(AW$4,$DE$6:$DF$17,2)+1))*$C12</f>
        <v>-365.98963725924858</v>
      </c>
      <c r="AX12" s="1021">
        <f>(VLOOKUP(YEAR($A12),'NY East Load Projections'!$A$4:$EO$14,((MONTH($A12)-1)*12)+VLOOKUP(AX$4,$DE$6:$DF$17,2)+1))*$C12</f>
        <v>-365.98963725924858</v>
      </c>
      <c r="AY12" s="1021">
        <f>(VLOOKUP(YEAR($A12),'NY East Load Projections'!$A$4:$EO$14,((MONTH($A12)-1)*12)+VLOOKUP(AY$4,$DE$6:$DF$17,2)+1))*$C12</f>
        <v>-365.98963725924858</v>
      </c>
      <c r="AZ12" s="1021">
        <f>(VLOOKUP(YEAR($A12),'NY East Load Projections'!$A$4:$EO$14,((MONTH($A12)-1)*12)+VLOOKUP(AZ$4,$DE$6:$DF$17,2)+1))*$C12</f>
        <v>-365.98963725924858</v>
      </c>
      <c r="BA12" s="1021">
        <f>(VLOOKUP(YEAR($A12),'NY East Load Projections'!$A$4:$EO$14,((MONTH($A12)-1)*12)+VLOOKUP(BA$4,$DE$6:$DF$17,2)+1))*$C12</f>
        <v>-354.35258302377804</v>
      </c>
      <c r="BB12" s="1021">
        <f>(VLOOKUP(YEAR($A12),'NY East Load Projections'!$A$4:$EO$14,((MONTH($A12)-1)*12)+VLOOKUP(BB$4,$DE$6:$DF$17,2)+1))*$C12</f>
        <v>-354.35258302377804</v>
      </c>
      <c r="BC12" s="1021">
        <f>(VLOOKUP(YEAR($A12),'NY East Load Projections'!$A$4:$EO$14,((MONTH($A12)-1)*12)+VLOOKUP(BC$4,$DE$6:$DF$17,2)+1))*$C12</f>
        <v>-354.35258302377804</v>
      </c>
      <c r="BD12" s="1021">
        <f>(VLOOKUP(YEAR($A12),'NY East Load Projections'!$A$4:$EO$14,((MONTH($A12)-1)*12)+VLOOKUP(BD$4,$DE$6:$DF$17,2)+1))*$C12</f>
        <v>-354.35258302377804</v>
      </c>
      <c r="BE12" s="1021"/>
      <c r="BF12" s="1021">
        <f>(VLOOKUP(YEAR($A12),'NY East Load Projections'!$A$4:$EO$14,((MONTH($A12)-1)*12)+VLOOKUP(BF$4,$DE$6:$DF$17,2)+1))*$D12</f>
        <v>-429.05399822126952</v>
      </c>
      <c r="BG12" s="1021">
        <f>(VLOOKUP(YEAR($A12),'NY East Load Projections'!$A$4:$EO$14,((MONTH($A12)-1)*12)+VLOOKUP(BG$4,$DE$6:$DF$17,2)+1))*$D12</f>
        <v>-429.05399822126952</v>
      </c>
      <c r="BH12" s="1021">
        <f>(VLOOKUP(YEAR($A12),'NY East Load Projections'!$A$4:$EO$14,((MONTH($A12)-1)*12)+VLOOKUP(BH$4,$DE$6:$DF$17,2)+1))*$D12</f>
        <v>-429.05399822126952</v>
      </c>
      <c r="BI12" s="1021">
        <f>(VLOOKUP(YEAR($A12),'NY East Load Projections'!$A$4:$EO$14,((MONTH($A12)-1)*12)+VLOOKUP(BI$4,$DE$6:$DF$17,2)+1))*$D12</f>
        <v>-429.05399822126952</v>
      </c>
      <c r="BJ12" s="1021">
        <f>(VLOOKUP(YEAR($A12),'NY East Load Projections'!$A$4:$EO$14,((MONTH($A12)-1)*12)+VLOOKUP(BJ$4,$DE$6:$DF$17,2)+1))*$D12</f>
        <v>-435.57608306869827</v>
      </c>
      <c r="BK12" s="1021">
        <f>(VLOOKUP(YEAR($A12),'NY East Load Projections'!$A$4:$EO$14,((MONTH($A12)-1)*12)+VLOOKUP(BK$4,$DE$6:$DF$17,2)+1))*$D12</f>
        <v>-435.57608306869827</v>
      </c>
      <c r="BL12" s="1021">
        <f>(VLOOKUP(YEAR($A12),'NY East Load Projections'!$A$4:$EO$14,((MONTH($A12)-1)*12)+VLOOKUP(BL$4,$DE$6:$DF$17,2)+1))*$D12</f>
        <v>-435.57608306869827</v>
      </c>
      <c r="BM12" s="1021">
        <f>(VLOOKUP(YEAR($A12),'NY East Load Projections'!$A$4:$EO$14,((MONTH($A12)-1)*12)+VLOOKUP(BM$4,$DE$6:$DF$17,2)+1))*$D12</f>
        <v>-435.57608306869827</v>
      </c>
      <c r="BN12" s="1021">
        <f>(VLOOKUP(YEAR($A12),'NY East Load Projections'!$A$4:$EO$14,((MONTH($A12)-1)*12)+VLOOKUP(BN$4,$DE$6:$DF$17,2)+1))*$D12</f>
        <v>-465.59198001713725</v>
      </c>
      <c r="BO12" s="1021">
        <f>(VLOOKUP(YEAR($A12),'NY East Load Projections'!$A$4:$EO$14,((MONTH($A12)-1)*12)+VLOOKUP(BO$4,$DE$6:$DF$17,2)+1))*$D12</f>
        <v>-465.59198001713725</v>
      </c>
      <c r="BP12" s="1021">
        <f>(VLOOKUP(YEAR($A12),'NY East Load Projections'!$A$4:$EO$14,((MONTH($A12)-1)*12)+VLOOKUP(BP$4,$DE$6:$DF$17,2)+1))*$D12</f>
        <v>-465.59198001713725</v>
      </c>
      <c r="BQ12" s="1021">
        <f>(VLOOKUP(YEAR($A12),'NY East Load Projections'!$A$4:$EO$14,((MONTH($A12)-1)*12)+VLOOKUP(BQ$4,$DE$6:$DF$17,2)+1))*$D12</f>
        <v>-465.59198001713725</v>
      </c>
      <c r="BR12" s="1021">
        <f>(VLOOKUP(YEAR($A12),'NY East Load Projections'!$A$4:$EO$14,((MONTH($A12)-1)*12)+VLOOKUP(BR$4,$DE$6:$DF$17,2)+1))*$D12</f>
        <v>-470.73906192614959</v>
      </c>
      <c r="BS12" s="1021">
        <f>(VLOOKUP(YEAR($A12),'NY East Load Projections'!$A$4:$EO$14,((MONTH($A12)-1)*12)+VLOOKUP(BS$4,$DE$6:$DF$17,2)+1))*$D12</f>
        <v>-470.73906192614959</v>
      </c>
      <c r="BT12" s="1021">
        <f>(VLOOKUP(YEAR($A12),'NY East Load Projections'!$A$4:$EO$14,((MONTH($A12)-1)*12)+VLOOKUP(BT$4,$DE$6:$DF$17,2)+1))*$D12</f>
        <v>-470.73906192614959</v>
      </c>
      <c r="BU12" s="1021">
        <f>(VLOOKUP(YEAR($A12),'NY East Load Projections'!$A$4:$EO$14,((MONTH($A12)-1)*12)+VLOOKUP(BU$4,$DE$6:$DF$17,2)+1))*$D12</f>
        <v>-470.73906192614959</v>
      </c>
      <c r="BV12" s="1021">
        <f>(VLOOKUP(YEAR($A12),'NY East Load Projections'!$A$4:$EO$14,((MONTH($A12)-1)*12)+VLOOKUP(BV$4,$DE$6:$DF$17,2)+1))*$D12</f>
        <v>-457.48704657406074</v>
      </c>
      <c r="BW12" s="1021">
        <f>(VLOOKUP(YEAR($A12),'NY East Load Projections'!$A$4:$EO$14,((MONTH($A12)-1)*12)+VLOOKUP(BW$4,$DE$6:$DF$17,2)+1))*$D12</f>
        <v>-457.48704657406074</v>
      </c>
      <c r="BX12" s="1021">
        <f>(VLOOKUP(YEAR($A12),'NY East Load Projections'!$A$4:$EO$14,((MONTH($A12)-1)*12)+VLOOKUP(BX$4,$DE$6:$DF$17,2)+1))*$D12</f>
        <v>-457.48704657406074</v>
      </c>
      <c r="BY12" s="1021">
        <f>(VLOOKUP(YEAR($A12),'NY East Load Projections'!$A$4:$EO$14,((MONTH($A12)-1)*12)+VLOOKUP(BY$4,$DE$6:$DF$17,2)+1))*$D12</f>
        <v>-457.48704657406074</v>
      </c>
      <c r="BZ12" s="1021">
        <f>(VLOOKUP(YEAR($A12),'NY East Load Projections'!$A$4:$EO$14,((MONTH($A12)-1)*12)+VLOOKUP(BZ$4,$DE$6:$DF$17,2)+1))*$D12</f>
        <v>-442.94072877972258</v>
      </c>
      <c r="CA12" s="1021">
        <f>(VLOOKUP(YEAR($A12),'NY East Load Projections'!$A$4:$EO$14,((MONTH($A12)-1)*12)+VLOOKUP(CA$4,$DE$6:$DF$17,2)+1))*$D12</f>
        <v>-442.94072877972258</v>
      </c>
      <c r="CB12" s="1021">
        <f>(VLOOKUP(YEAR($A12),'NY East Load Projections'!$A$4:$EO$14,((MONTH($A12)-1)*12)+VLOOKUP(CB$4,$DE$6:$DF$17,2)+1))*$D12</f>
        <v>-442.94072877972258</v>
      </c>
      <c r="CC12" s="1021">
        <f>(VLOOKUP(YEAR($A12),'NY East Load Projections'!$A$4:$EO$14,((MONTH($A12)-1)*12)+VLOOKUP(CC$4,$DE$6:$DF$17,2)+1))*$D12</f>
        <v>-442.94072877972258</v>
      </c>
      <c r="CE12" s="1021">
        <f>(VLOOKUP(YEAR($A12),'NY East Load Projections'!$A$4:$EO$14,((MONTH($A12)-1)*12)+VLOOKUP(CE$4,$DE$6:$DF$17,2)+1))*$E12</f>
        <v>-85.810799644253905</v>
      </c>
      <c r="CF12" s="1021">
        <f>(VLOOKUP(YEAR($A12),'NY East Load Projections'!$A$4:$EO$14,((MONTH($A12)-1)*12)+VLOOKUP(CF$4,$DE$6:$DF$17,2)+1))*$E12</f>
        <v>-85.810799644253905</v>
      </c>
      <c r="CG12" s="1021">
        <f>(VLOOKUP(YEAR($A12),'NY East Load Projections'!$A$4:$EO$14,((MONTH($A12)-1)*12)+VLOOKUP(CG$4,$DE$6:$DF$17,2)+1))*$E12</f>
        <v>-85.810799644253905</v>
      </c>
      <c r="CH12" s="1021">
        <f>(VLOOKUP(YEAR($A12),'NY East Load Projections'!$A$4:$EO$14,((MONTH($A12)-1)*12)+VLOOKUP(CH$4,$DE$6:$DF$17,2)+1))*$E12</f>
        <v>-85.810799644253905</v>
      </c>
      <c r="CI12" s="1021">
        <f>(VLOOKUP(YEAR($A12),'NY East Load Projections'!$A$4:$EO$14,((MONTH($A12)-1)*12)+VLOOKUP(CI$4,$DE$6:$DF$17,2)+1))*$E12</f>
        <v>-87.115216613739648</v>
      </c>
      <c r="CJ12" s="1021">
        <f>(VLOOKUP(YEAR($A12),'NY East Load Projections'!$A$4:$EO$14,((MONTH($A12)-1)*12)+VLOOKUP(CJ$4,$DE$6:$DF$17,2)+1))*$E12</f>
        <v>-87.115216613739648</v>
      </c>
      <c r="CK12" s="1021">
        <f>(VLOOKUP(YEAR($A12),'NY East Load Projections'!$A$4:$EO$14,((MONTH($A12)-1)*12)+VLOOKUP(CK$4,$DE$6:$DF$17,2)+1))*$E12</f>
        <v>-87.115216613739648</v>
      </c>
      <c r="CL12" s="1021">
        <f>(VLOOKUP(YEAR($A12),'NY East Load Projections'!$A$4:$EO$14,((MONTH($A12)-1)*12)+VLOOKUP(CL$4,$DE$6:$DF$17,2)+1))*$E12</f>
        <v>-87.115216613739648</v>
      </c>
      <c r="CM12" s="1021">
        <f>(VLOOKUP(YEAR($A12),'NY East Load Projections'!$A$4:$EO$14,((MONTH($A12)-1)*12)+VLOOKUP(CM$4,$DE$6:$DF$17,2)+1))*$E12</f>
        <v>-93.118396003427449</v>
      </c>
      <c r="CN12" s="1021">
        <f>(VLOOKUP(YEAR($A12),'NY East Load Projections'!$A$4:$EO$14,((MONTH($A12)-1)*12)+VLOOKUP(CN$4,$DE$6:$DF$17,2)+1))*$E12</f>
        <v>-93.118396003427449</v>
      </c>
      <c r="CO12" s="1021">
        <f>(VLOOKUP(YEAR($A12),'NY East Load Projections'!$A$4:$EO$14,((MONTH($A12)-1)*12)+VLOOKUP(CO$4,$DE$6:$DF$17,2)+1))*$E12</f>
        <v>-93.118396003427449</v>
      </c>
      <c r="CP12" s="1021">
        <f>(VLOOKUP(YEAR($A12),'NY East Load Projections'!$A$4:$EO$14,((MONTH($A12)-1)*12)+VLOOKUP(CP$4,$DE$6:$DF$17,2)+1))*$E12</f>
        <v>-93.118396003427449</v>
      </c>
      <c r="CQ12" s="1021">
        <f>(VLOOKUP(YEAR($A12),'NY East Load Projections'!$A$4:$EO$14,((MONTH($A12)-1)*12)+VLOOKUP(CQ$4,$DE$6:$DF$17,2)+1))*$E12</f>
        <v>-94.147812385229912</v>
      </c>
      <c r="CR12" s="1021">
        <f>(VLOOKUP(YEAR($A12),'NY East Load Projections'!$A$4:$EO$14,((MONTH($A12)-1)*12)+VLOOKUP(CR$4,$DE$6:$DF$17,2)+1))*$E12</f>
        <v>-94.147812385229912</v>
      </c>
      <c r="CS12" s="1021">
        <f>(VLOOKUP(YEAR($A12),'NY East Load Projections'!$A$4:$EO$14,((MONTH($A12)-1)*12)+VLOOKUP(CS$4,$DE$6:$DF$17,2)+1))*$E12</f>
        <v>-94.147812385229912</v>
      </c>
      <c r="CT12" s="1021">
        <f>(VLOOKUP(YEAR($A12),'NY East Load Projections'!$A$4:$EO$14,((MONTH($A12)-1)*12)+VLOOKUP(CT$4,$DE$6:$DF$17,2)+1))*$E12</f>
        <v>-94.147812385229912</v>
      </c>
      <c r="CU12" s="1021">
        <f>(VLOOKUP(YEAR($A12),'NY East Load Projections'!$A$4:$EO$14,((MONTH($A12)-1)*12)+VLOOKUP(CU$4,$DE$6:$DF$17,2)+1))*$E12</f>
        <v>-91.497409314812145</v>
      </c>
      <c r="CV12" s="1021">
        <f>(VLOOKUP(YEAR($A12),'NY East Load Projections'!$A$4:$EO$14,((MONTH($A12)-1)*12)+VLOOKUP(CV$4,$DE$6:$DF$17,2)+1))*$E12</f>
        <v>-91.497409314812145</v>
      </c>
      <c r="CW12" s="1021">
        <f>(VLOOKUP(YEAR($A12),'NY East Load Projections'!$A$4:$EO$14,((MONTH($A12)-1)*12)+VLOOKUP(CW$4,$DE$6:$DF$17,2)+1))*$E12</f>
        <v>-91.497409314812145</v>
      </c>
      <c r="CX12" s="1021">
        <f>(VLOOKUP(YEAR($A12),'NY East Load Projections'!$A$4:$EO$14,((MONTH($A12)-1)*12)+VLOOKUP(CX$4,$DE$6:$DF$17,2)+1))*$E12</f>
        <v>-91.497409314812145</v>
      </c>
      <c r="CY12" s="1021">
        <f>(VLOOKUP(YEAR($A12),'NY East Load Projections'!$A$4:$EO$14,((MONTH($A12)-1)*12)+VLOOKUP(CY$4,$DE$6:$DF$17,2)+1))*$E12</f>
        <v>-88.58814575594451</v>
      </c>
      <c r="CZ12" s="1021">
        <f>(VLOOKUP(YEAR($A12),'NY East Load Projections'!$A$4:$EO$14,((MONTH($A12)-1)*12)+VLOOKUP(CZ$4,$DE$6:$DF$17,2)+1))*$E12</f>
        <v>-88.58814575594451</v>
      </c>
      <c r="DA12" s="1021">
        <f>(VLOOKUP(YEAR($A12),'NY East Load Projections'!$A$4:$EO$14,((MONTH($A12)-1)*12)+VLOOKUP(DA$4,$DE$6:$DF$17,2)+1))*$E12</f>
        <v>-88.58814575594451</v>
      </c>
      <c r="DB12" s="1021">
        <f>(VLOOKUP(YEAR($A12),'NY East Load Projections'!$A$4:$EO$14,((MONTH($A12)-1)*12)+VLOOKUP(DB$4,$DE$6:$DF$17,2)+1))*$E12</f>
        <v>-88.58814575594451</v>
      </c>
      <c r="DE12" s="221" t="s">
        <v>564</v>
      </c>
      <c r="DF12" s="619">
        <v>7</v>
      </c>
      <c r="DH12" s="1009">
        <f t="shared" si="0"/>
        <v>-68855.658384247727</v>
      </c>
      <c r="DI12">
        <f ca="1">CALC!J32</f>
        <v>0.90556180920885243</v>
      </c>
      <c r="DJ12" s="1032">
        <f t="shared" ca="1" si="1"/>
        <v>-62353.054580706063</v>
      </c>
    </row>
    <row r="13" spans="1:114" x14ac:dyDescent="0.25">
      <c r="A13" s="244">
        <v>37104</v>
      </c>
      <c r="B13" s="13">
        <v>23</v>
      </c>
      <c r="C13" s="210">
        <v>4</v>
      </c>
      <c r="D13" s="210">
        <v>4</v>
      </c>
      <c r="E13" s="210">
        <v>0</v>
      </c>
      <c r="F13" s="13">
        <v>31</v>
      </c>
      <c r="H13" s="1021">
        <f>(VLOOKUP(YEAR($A13),'NY East Load Projections'!$A$4:$EO$14,((MONTH($A13)-1)*12)+VLOOKUP(H$4,$DE$6:$DF$17,2)+1))*$B13</f>
        <v>-2086.9234420587372</v>
      </c>
      <c r="I13" s="1021">
        <f>(VLOOKUP(YEAR($A13),'NY East Load Projections'!$A$4:$EO$14,((MONTH($A13)-1)*12)+VLOOKUP(I$4,$DE$6:$DF$17,2)+1))*$B13</f>
        <v>-2086.9234420587372</v>
      </c>
      <c r="J13" s="1021">
        <f>(VLOOKUP(YEAR($A13),'NY East Load Projections'!$A$4:$EO$14,((MONTH($A13)-1)*12)+VLOOKUP(J$4,$DE$6:$DF$17,2)+1))*$B13</f>
        <v>-2086.9234420587372</v>
      </c>
      <c r="K13" s="1021">
        <f>(VLOOKUP(YEAR($A13),'NY East Load Projections'!$A$4:$EO$14,((MONTH($A13)-1)*12)+VLOOKUP(K$4,$DE$6:$DF$17,2)+1))*$B13</f>
        <v>-2086.9234420587372</v>
      </c>
      <c r="L13" s="1021">
        <f>(VLOOKUP(YEAR($A13),'NY East Load Projections'!$A$4:$EO$14,((MONTH($A13)-1)*12)+VLOOKUP(L$4,$DE$6:$DF$17,2)+1))*$B13</f>
        <v>-2160.9915263996922</v>
      </c>
      <c r="M13" s="1021">
        <f>(VLOOKUP(YEAR($A13),'NY East Load Projections'!$A$4:$EO$14,((MONTH($A13)-1)*12)+VLOOKUP(M$4,$DE$6:$DF$17,2)+1))*$B13</f>
        <v>-2160.9915263996922</v>
      </c>
      <c r="N13" s="1021">
        <f>(VLOOKUP(YEAR($A13),'NY East Load Projections'!$A$4:$EO$14,((MONTH($A13)-1)*12)+VLOOKUP(N$4,$DE$6:$DF$17,2)+1))*$B13</f>
        <v>-2160.9915263996922</v>
      </c>
      <c r="O13" s="1021">
        <f>(VLOOKUP(YEAR($A13),'NY East Load Projections'!$A$4:$EO$14,((MONTH($A13)-1)*12)+VLOOKUP(O$4,$DE$6:$DF$17,2)+1))*$B13</f>
        <v>-2160.9915263996922</v>
      </c>
      <c r="P13" s="1021">
        <f>(VLOOKUP(YEAR($A13),'NY East Load Projections'!$A$4:$EO$14,((MONTH($A13)-1)*12)+VLOOKUP(P$4,$DE$6:$DF$17,2)+1))*$B13</f>
        <v>-2307.6132835218209</v>
      </c>
      <c r="Q13" s="1021">
        <f>(VLOOKUP(YEAR($A13),'NY East Load Projections'!$A$4:$EO$14,((MONTH($A13)-1)*12)+VLOOKUP(Q$4,$DE$6:$DF$17,2)+1))*$B13</f>
        <v>-2307.6132835218209</v>
      </c>
      <c r="R13" s="1021">
        <f>(VLOOKUP(YEAR($A13),'NY East Load Projections'!$A$4:$EO$14,((MONTH($A13)-1)*12)+VLOOKUP(R$4,$DE$6:$DF$17,2)+1))*$B13</f>
        <v>-2307.6132835218209</v>
      </c>
      <c r="S13" s="1021">
        <f>(VLOOKUP(YEAR($A13),'NY East Load Projections'!$A$4:$EO$14,((MONTH($A13)-1)*12)+VLOOKUP(S$4,$DE$6:$DF$17,2)+1))*$B13</f>
        <v>-2307.6132835218209</v>
      </c>
      <c r="T13" s="1021">
        <f>(VLOOKUP(YEAR($A13),'NY East Load Projections'!$A$4:$EO$14,((MONTH($A13)-1)*12)+VLOOKUP(T$4,$DE$6:$DF$17,2)+1))*$B13</f>
        <v>-2334.8855467692979</v>
      </c>
      <c r="U13" s="1021">
        <f>(VLOOKUP(YEAR($A13),'NY East Load Projections'!$A$4:$EO$14,((MONTH($A13)-1)*12)+VLOOKUP(U$4,$DE$6:$DF$17,2)+1))*$B13</f>
        <v>-2334.8855467692979</v>
      </c>
      <c r="V13" s="1021">
        <f>(VLOOKUP(YEAR($A13),'NY East Load Projections'!$A$4:$EO$14,((MONTH($A13)-1)*12)+VLOOKUP(V$4,$DE$6:$DF$17,2)+1))*$B13</f>
        <v>-2334.8855467692979</v>
      </c>
      <c r="W13" s="1021">
        <f>(VLOOKUP(YEAR($A13),'NY East Load Projections'!$A$4:$EO$14,((MONTH($A13)-1)*12)+VLOOKUP(W$4,$DE$6:$DF$17,2)+1))*$B13</f>
        <v>-2334.8855467692979</v>
      </c>
      <c r="X13" s="1021">
        <f>(VLOOKUP(YEAR($A13),'NY East Load Projections'!$A$4:$EO$14,((MONTH($A13)-1)*12)+VLOOKUP(X$4,$DE$6:$DF$17,2)+1))*$B13</f>
        <v>-2257.2284621924287</v>
      </c>
      <c r="Y13" s="1021">
        <f>(VLOOKUP(YEAR($A13),'NY East Load Projections'!$A$4:$EO$14,((MONTH($A13)-1)*12)+VLOOKUP(Y$4,$DE$6:$DF$17,2)+1))*$B13</f>
        <v>-2257.2284621924287</v>
      </c>
      <c r="Z13" s="1021">
        <f>(VLOOKUP(YEAR($A13),'NY East Load Projections'!$A$4:$EO$14,((MONTH($A13)-1)*12)+VLOOKUP(Z$4,$DE$6:$DF$17,2)+1))*$B13</f>
        <v>-2257.2284621924287</v>
      </c>
      <c r="AA13" s="1021">
        <f>(VLOOKUP(YEAR($A13),'NY East Load Projections'!$A$4:$EO$14,((MONTH($A13)-1)*12)+VLOOKUP(AA$4,$DE$6:$DF$17,2)+1))*$B13</f>
        <v>-2257.2284621924287</v>
      </c>
      <c r="AB13" s="1021">
        <f>(VLOOKUP(YEAR($A13),'NY East Load Projections'!$A$4:$EO$14,((MONTH($A13)-1)*12)+VLOOKUP(AB$4,$DE$6:$DF$17,2)+1))*$B13</f>
        <v>-2149.7327278623375</v>
      </c>
      <c r="AC13" s="1021">
        <f>(VLOOKUP(YEAR($A13),'NY East Load Projections'!$A$4:$EO$14,((MONTH($A13)-1)*12)+VLOOKUP(AC$4,$DE$6:$DF$17,2)+1))*$B13</f>
        <v>-2149.7327278623375</v>
      </c>
      <c r="AD13" s="1021">
        <f>(VLOOKUP(YEAR($A13),'NY East Load Projections'!$A$4:$EO$14,((MONTH($A13)-1)*12)+VLOOKUP(AD$4,$DE$6:$DF$17,2)+1))*$B13</f>
        <v>-2149.7327278623375</v>
      </c>
      <c r="AE13" s="1021">
        <f>(VLOOKUP(YEAR($A13),'NY East Load Projections'!$A$4:$EO$14,((MONTH($A13)-1)*12)+VLOOKUP(AE$4,$DE$6:$DF$17,2)+1))*$B13</f>
        <v>-2149.7327278623375</v>
      </c>
      <c r="AF13" s="1021"/>
      <c r="AG13" s="1021">
        <f>(VLOOKUP(YEAR($A13),'NY East Load Projections'!$A$4:$EO$14,((MONTH($A13)-1)*12)+VLOOKUP(AG$4,$DE$6:$DF$17,2)+1))*$C13</f>
        <v>-361.27593329899503</v>
      </c>
      <c r="AH13" s="1021">
        <f>(VLOOKUP(YEAR($A13),'NY East Load Projections'!$A$4:$EO$14,((MONTH($A13)-1)*12)+VLOOKUP(AH$4,$DE$6:$DF$17,2)+1))*$C13</f>
        <v>-361.27593329899503</v>
      </c>
      <c r="AI13" s="1021">
        <f>(VLOOKUP(YEAR($A13),'NY East Load Projections'!$A$4:$EO$14,((MONTH($A13)-1)*12)+VLOOKUP(AI$4,$DE$6:$DF$17,2)+1))*$C13</f>
        <v>-361.27593329899503</v>
      </c>
      <c r="AJ13" s="1021">
        <f>(VLOOKUP(YEAR($A13),'NY East Load Projections'!$A$4:$EO$14,((MONTH($A13)-1)*12)+VLOOKUP(AJ$4,$DE$6:$DF$17,2)+1))*$C13</f>
        <v>-361.27593329899503</v>
      </c>
      <c r="AK13" s="1021">
        <f>(VLOOKUP(YEAR($A13),'NY East Load Projections'!$A$4:$EO$14,((MONTH($A13)-1)*12)+VLOOKUP(AK$4,$DE$6:$DF$17,2)+1))*$C13</f>
        <v>-367.67538304560549</v>
      </c>
      <c r="AL13" s="1021">
        <f>(VLOOKUP(YEAR($A13),'NY East Load Projections'!$A$4:$EO$14,((MONTH($A13)-1)*12)+VLOOKUP(AL$4,$DE$6:$DF$17,2)+1))*$C13</f>
        <v>-367.67538304560549</v>
      </c>
      <c r="AM13" s="1021">
        <f>(VLOOKUP(YEAR($A13),'NY East Load Projections'!$A$4:$EO$14,((MONTH($A13)-1)*12)+VLOOKUP(AM$4,$DE$6:$DF$17,2)+1))*$C13</f>
        <v>-367.67538304560549</v>
      </c>
      <c r="AN13" s="1021">
        <f>(VLOOKUP(YEAR($A13),'NY East Load Projections'!$A$4:$EO$14,((MONTH($A13)-1)*12)+VLOOKUP(AN$4,$DE$6:$DF$17,2)+1))*$C13</f>
        <v>-367.67538304560549</v>
      </c>
      <c r="AO13" s="1021">
        <f>(VLOOKUP(YEAR($A13),'NY East Load Projections'!$A$4:$EO$14,((MONTH($A13)-1)*12)+VLOOKUP(AO$4,$DE$6:$DF$17,2)+1))*$C13</f>
        <v>-399.12974427548716</v>
      </c>
      <c r="AP13" s="1021">
        <f>(VLOOKUP(YEAR($A13),'NY East Load Projections'!$A$4:$EO$14,((MONTH($A13)-1)*12)+VLOOKUP(AP$4,$DE$6:$DF$17,2)+1))*$C13</f>
        <v>-399.12974427548716</v>
      </c>
      <c r="AQ13" s="1021">
        <f>(VLOOKUP(YEAR($A13),'NY East Load Projections'!$A$4:$EO$14,((MONTH($A13)-1)*12)+VLOOKUP(AQ$4,$DE$6:$DF$17,2)+1))*$C13</f>
        <v>-399.12974427548716</v>
      </c>
      <c r="AR13" s="1021">
        <f>(VLOOKUP(YEAR($A13),'NY East Load Projections'!$A$4:$EO$14,((MONTH($A13)-1)*12)+VLOOKUP(AR$4,$DE$6:$DF$17,2)+1))*$C13</f>
        <v>-399.12974427548716</v>
      </c>
      <c r="AS13" s="1021">
        <f>(VLOOKUP(YEAR($A13),'NY East Load Projections'!$A$4:$EO$14,((MONTH($A13)-1)*12)+VLOOKUP(AS$4,$DE$6:$DF$17,2)+1))*$C13</f>
        <v>-404.47185670638811</v>
      </c>
      <c r="AT13" s="1021">
        <f>(VLOOKUP(YEAR($A13),'NY East Load Projections'!$A$4:$EO$14,((MONTH($A13)-1)*12)+VLOOKUP(AT$4,$DE$6:$DF$17,2)+1))*$C13</f>
        <v>-404.47185670638811</v>
      </c>
      <c r="AU13" s="1021">
        <f>(VLOOKUP(YEAR($A13),'NY East Load Projections'!$A$4:$EO$14,((MONTH($A13)-1)*12)+VLOOKUP(AU$4,$DE$6:$DF$17,2)+1))*$C13</f>
        <v>-404.47185670638811</v>
      </c>
      <c r="AV13" s="1021">
        <f>(VLOOKUP(YEAR($A13),'NY East Load Projections'!$A$4:$EO$14,((MONTH($A13)-1)*12)+VLOOKUP(AV$4,$DE$6:$DF$17,2)+1))*$C13</f>
        <v>-404.47185670638811</v>
      </c>
      <c r="AW13" s="1021">
        <f>(VLOOKUP(YEAR($A13),'NY East Load Projections'!$A$4:$EO$14,((MONTH($A13)-1)*12)+VLOOKUP(AW$4,$DE$6:$DF$17,2)+1))*$C13</f>
        <v>-390.55071937337345</v>
      </c>
      <c r="AX13" s="1021">
        <f>(VLOOKUP(YEAR($A13),'NY East Load Projections'!$A$4:$EO$14,((MONTH($A13)-1)*12)+VLOOKUP(AX$4,$DE$6:$DF$17,2)+1))*$C13</f>
        <v>-390.55071937337345</v>
      </c>
      <c r="AY13" s="1021">
        <f>(VLOOKUP(YEAR($A13),'NY East Load Projections'!$A$4:$EO$14,((MONTH($A13)-1)*12)+VLOOKUP(AY$4,$DE$6:$DF$17,2)+1))*$C13</f>
        <v>-390.55071937337345</v>
      </c>
      <c r="AZ13" s="1021">
        <f>(VLOOKUP(YEAR($A13),'NY East Load Projections'!$A$4:$EO$14,((MONTH($A13)-1)*12)+VLOOKUP(AZ$4,$DE$6:$DF$17,2)+1))*$C13</f>
        <v>-390.55071937337345</v>
      </c>
      <c r="BA13" s="1021">
        <f>(VLOOKUP(YEAR($A13),'NY East Load Projections'!$A$4:$EO$14,((MONTH($A13)-1)*12)+VLOOKUP(BA$4,$DE$6:$DF$17,2)+1))*$C13</f>
        <v>-375.89903190910013</v>
      </c>
      <c r="BB13" s="1021">
        <f>(VLOOKUP(YEAR($A13),'NY East Load Projections'!$A$4:$EO$14,((MONTH($A13)-1)*12)+VLOOKUP(BB$4,$DE$6:$DF$17,2)+1))*$C13</f>
        <v>-375.89903190910013</v>
      </c>
      <c r="BC13" s="1021">
        <f>(VLOOKUP(YEAR($A13),'NY East Load Projections'!$A$4:$EO$14,((MONTH($A13)-1)*12)+VLOOKUP(BC$4,$DE$6:$DF$17,2)+1))*$C13</f>
        <v>-375.89903190910013</v>
      </c>
      <c r="BD13" s="1021">
        <f>(VLOOKUP(YEAR($A13),'NY East Load Projections'!$A$4:$EO$14,((MONTH($A13)-1)*12)+VLOOKUP(BD$4,$DE$6:$DF$17,2)+1))*$C13</f>
        <v>-375.89903190910013</v>
      </c>
      <c r="BE13" s="1021"/>
      <c r="BF13" s="1021">
        <f>(VLOOKUP(YEAR($A13),'NY East Load Projections'!$A$4:$EO$14,((MONTH($A13)-1)*12)+VLOOKUP(BF$4,$DE$6:$DF$17,2)+1))*$D13</f>
        <v>-361.27593329899503</v>
      </c>
      <c r="BG13" s="1021">
        <f>(VLOOKUP(YEAR($A13),'NY East Load Projections'!$A$4:$EO$14,((MONTH($A13)-1)*12)+VLOOKUP(BG$4,$DE$6:$DF$17,2)+1))*$D13</f>
        <v>-361.27593329899503</v>
      </c>
      <c r="BH13" s="1021">
        <f>(VLOOKUP(YEAR($A13),'NY East Load Projections'!$A$4:$EO$14,((MONTH($A13)-1)*12)+VLOOKUP(BH$4,$DE$6:$DF$17,2)+1))*$D13</f>
        <v>-361.27593329899503</v>
      </c>
      <c r="BI13" s="1021">
        <f>(VLOOKUP(YEAR($A13),'NY East Load Projections'!$A$4:$EO$14,((MONTH($A13)-1)*12)+VLOOKUP(BI$4,$DE$6:$DF$17,2)+1))*$D13</f>
        <v>-361.27593329899503</v>
      </c>
      <c r="BJ13" s="1021">
        <f>(VLOOKUP(YEAR($A13),'NY East Load Projections'!$A$4:$EO$14,((MONTH($A13)-1)*12)+VLOOKUP(BJ$4,$DE$6:$DF$17,2)+1))*$D13</f>
        <v>-367.67538304560549</v>
      </c>
      <c r="BK13" s="1021">
        <f>(VLOOKUP(YEAR($A13),'NY East Load Projections'!$A$4:$EO$14,((MONTH($A13)-1)*12)+VLOOKUP(BK$4,$DE$6:$DF$17,2)+1))*$D13</f>
        <v>-367.67538304560549</v>
      </c>
      <c r="BL13" s="1021">
        <f>(VLOOKUP(YEAR($A13),'NY East Load Projections'!$A$4:$EO$14,((MONTH($A13)-1)*12)+VLOOKUP(BL$4,$DE$6:$DF$17,2)+1))*$D13</f>
        <v>-367.67538304560549</v>
      </c>
      <c r="BM13" s="1021">
        <f>(VLOOKUP(YEAR($A13),'NY East Load Projections'!$A$4:$EO$14,((MONTH($A13)-1)*12)+VLOOKUP(BM$4,$DE$6:$DF$17,2)+1))*$D13</f>
        <v>-367.67538304560549</v>
      </c>
      <c r="BN13" s="1021">
        <f>(VLOOKUP(YEAR($A13),'NY East Load Projections'!$A$4:$EO$14,((MONTH($A13)-1)*12)+VLOOKUP(BN$4,$DE$6:$DF$17,2)+1))*$D13</f>
        <v>-399.12974427548716</v>
      </c>
      <c r="BO13" s="1021">
        <f>(VLOOKUP(YEAR($A13),'NY East Load Projections'!$A$4:$EO$14,((MONTH($A13)-1)*12)+VLOOKUP(BO$4,$DE$6:$DF$17,2)+1))*$D13</f>
        <v>-399.12974427548716</v>
      </c>
      <c r="BP13" s="1021">
        <f>(VLOOKUP(YEAR($A13),'NY East Load Projections'!$A$4:$EO$14,((MONTH($A13)-1)*12)+VLOOKUP(BP$4,$DE$6:$DF$17,2)+1))*$D13</f>
        <v>-399.12974427548716</v>
      </c>
      <c r="BQ13" s="1021">
        <f>(VLOOKUP(YEAR($A13),'NY East Load Projections'!$A$4:$EO$14,((MONTH($A13)-1)*12)+VLOOKUP(BQ$4,$DE$6:$DF$17,2)+1))*$D13</f>
        <v>-399.12974427548716</v>
      </c>
      <c r="BR13" s="1021">
        <f>(VLOOKUP(YEAR($A13),'NY East Load Projections'!$A$4:$EO$14,((MONTH($A13)-1)*12)+VLOOKUP(BR$4,$DE$6:$DF$17,2)+1))*$D13</f>
        <v>-404.47185670638811</v>
      </c>
      <c r="BS13" s="1021">
        <f>(VLOOKUP(YEAR($A13),'NY East Load Projections'!$A$4:$EO$14,((MONTH($A13)-1)*12)+VLOOKUP(BS$4,$DE$6:$DF$17,2)+1))*$D13</f>
        <v>-404.47185670638811</v>
      </c>
      <c r="BT13" s="1021">
        <f>(VLOOKUP(YEAR($A13),'NY East Load Projections'!$A$4:$EO$14,((MONTH($A13)-1)*12)+VLOOKUP(BT$4,$DE$6:$DF$17,2)+1))*$D13</f>
        <v>-404.47185670638811</v>
      </c>
      <c r="BU13" s="1021">
        <f>(VLOOKUP(YEAR($A13),'NY East Load Projections'!$A$4:$EO$14,((MONTH($A13)-1)*12)+VLOOKUP(BU$4,$DE$6:$DF$17,2)+1))*$D13</f>
        <v>-404.47185670638811</v>
      </c>
      <c r="BV13" s="1021">
        <f>(VLOOKUP(YEAR($A13),'NY East Load Projections'!$A$4:$EO$14,((MONTH($A13)-1)*12)+VLOOKUP(BV$4,$DE$6:$DF$17,2)+1))*$D13</f>
        <v>-390.55071937337345</v>
      </c>
      <c r="BW13" s="1021">
        <f>(VLOOKUP(YEAR($A13),'NY East Load Projections'!$A$4:$EO$14,((MONTH($A13)-1)*12)+VLOOKUP(BW$4,$DE$6:$DF$17,2)+1))*$D13</f>
        <v>-390.55071937337345</v>
      </c>
      <c r="BX13" s="1021">
        <f>(VLOOKUP(YEAR($A13),'NY East Load Projections'!$A$4:$EO$14,((MONTH($A13)-1)*12)+VLOOKUP(BX$4,$DE$6:$DF$17,2)+1))*$D13</f>
        <v>-390.55071937337345</v>
      </c>
      <c r="BY13" s="1021">
        <f>(VLOOKUP(YEAR($A13),'NY East Load Projections'!$A$4:$EO$14,((MONTH($A13)-1)*12)+VLOOKUP(BY$4,$DE$6:$DF$17,2)+1))*$D13</f>
        <v>-390.55071937337345</v>
      </c>
      <c r="BZ13" s="1021">
        <f>(VLOOKUP(YEAR($A13),'NY East Load Projections'!$A$4:$EO$14,((MONTH($A13)-1)*12)+VLOOKUP(BZ$4,$DE$6:$DF$17,2)+1))*$D13</f>
        <v>-375.89903190910013</v>
      </c>
      <c r="CA13" s="1021">
        <f>(VLOOKUP(YEAR($A13),'NY East Load Projections'!$A$4:$EO$14,((MONTH($A13)-1)*12)+VLOOKUP(CA$4,$DE$6:$DF$17,2)+1))*$D13</f>
        <v>-375.89903190910013</v>
      </c>
      <c r="CB13" s="1021">
        <f>(VLOOKUP(YEAR($A13),'NY East Load Projections'!$A$4:$EO$14,((MONTH($A13)-1)*12)+VLOOKUP(CB$4,$DE$6:$DF$17,2)+1))*$D13</f>
        <v>-375.89903190910013</v>
      </c>
      <c r="CC13" s="1021">
        <f>(VLOOKUP(YEAR($A13),'NY East Load Projections'!$A$4:$EO$14,((MONTH($A13)-1)*12)+VLOOKUP(CC$4,$DE$6:$DF$17,2)+1))*$D13</f>
        <v>-375.89903190910013</v>
      </c>
      <c r="CE13" s="1021">
        <f>(VLOOKUP(YEAR($A13),'NY East Load Projections'!$A$4:$EO$14,((MONTH($A13)-1)*12)+VLOOKUP(CE$4,$DE$6:$DF$17,2)+1))*$E13</f>
        <v>0</v>
      </c>
      <c r="CF13" s="1021">
        <f>(VLOOKUP(YEAR($A13),'NY East Load Projections'!$A$4:$EO$14,((MONTH($A13)-1)*12)+VLOOKUP(CF$4,$DE$6:$DF$17,2)+1))*$E13</f>
        <v>0</v>
      </c>
      <c r="CG13" s="1021">
        <f>(VLOOKUP(YEAR($A13),'NY East Load Projections'!$A$4:$EO$14,((MONTH($A13)-1)*12)+VLOOKUP(CG$4,$DE$6:$DF$17,2)+1))*$E13</f>
        <v>0</v>
      </c>
      <c r="CH13" s="1021">
        <f>(VLOOKUP(YEAR($A13),'NY East Load Projections'!$A$4:$EO$14,((MONTH($A13)-1)*12)+VLOOKUP(CH$4,$DE$6:$DF$17,2)+1))*$E13</f>
        <v>0</v>
      </c>
      <c r="CI13" s="1021">
        <f>(VLOOKUP(YEAR($A13),'NY East Load Projections'!$A$4:$EO$14,((MONTH($A13)-1)*12)+VLOOKUP(CI$4,$DE$6:$DF$17,2)+1))*$E13</f>
        <v>0</v>
      </c>
      <c r="CJ13" s="1021">
        <f>(VLOOKUP(YEAR($A13),'NY East Load Projections'!$A$4:$EO$14,((MONTH($A13)-1)*12)+VLOOKUP(CJ$4,$DE$6:$DF$17,2)+1))*$E13</f>
        <v>0</v>
      </c>
      <c r="CK13" s="1021">
        <f>(VLOOKUP(YEAR($A13),'NY East Load Projections'!$A$4:$EO$14,((MONTH($A13)-1)*12)+VLOOKUP(CK$4,$DE$6:$DF$17,2)+1))*$E13</f>
        <v>0</v>
      </c>
      <c r="CL13" s="1021">
        <f>(VLOOKUP(YEAR($A13),'NY East Load Projections'!$A$4:$EO$14,((MONTH($A13)-1)*12)+VLOOKUP(CL$4,$DE$6:$DF$17,2)+1))*$E13</f>
        <v>0</v>
      </c>
      <c r="CM13" s="1021">
        <f>(VLOOKUP(YEAR($A13),'NY East Load Projections'!$A$4:$EO$14,((MONTH($A13)-1)*12)+VLOOKUP(CM$4,$DE$6:$DF$17,2)+1))*$E13</f>
        <v>0</v>
      </c>
      <c r="CN13" s="1021">
        <f>(VLOOKUP(YEAR($A13),'NY East Load Projections'!$A$4:$EO$14,((MONTH($A13)-1)*12)+VLOOKUP(CN$4,$DE$6:$DF$17,2)+1))*$E13</f>
        <v>0</v>
      </c>
      <c r="CO13" s="1021">
        <f>(VLOOKUP(YEAR($A13),'NY East Load Projections'!$A$4:$EO$14,((MONTH($A13)-1)*12)+VLOOKUP(CO$4,$DE$6:$DF$17,2)+1))*$E13</f>
        <v>0</v>
      </c>
      <c r="CP13" s="1021">
        <f>(VLOOKUP(YEAR($A13),'NY East Load Projections'!$A$4:$EO$14,((MONTH($A13)-1)*12)+VLOOKUP(CP$4,$DE$6:$DF$17,2)+1))*$E13</f>
        <v>0</v>
      </c>
      <c r="CQ13" s="1021">
        <f>(VLOOKUP(YEAR($A13),'NY East Load Projections'!$A$4:$EO$14,((MONTH($A13)-1)*12)+VLOOKUP(CQ$4,$DE$6:$DF$17,2)+1))*$E13</f>
        <v>0</v>
      </c>
      <c r="CR13" s="1021">
        <f>(VLOOKUP(YEAR($A13),'NY East Load Projections'!$A$4:$EO$14,((MONTH($A13)-1)*12)+VLOOKUP(CR$4,$DE$6:$DF$17,2)+1))*$E13</f>
        <v>0</v>
      </c>
      <c r="CS13" s="1021">
        <f>(VLOOKUP(YEAR($A13),'NY East Load Projections'!$A$4:$EO$14,((MONTH($A13)-1)*12)+VLOOKUP(CS$4,$DE$6:$DF$17,2)+1))*$E13</f>
        <v>0</v>
      </c>
      <c r="CT13" s="1021">
        <f>(VLOOKUP(YEAR($A13),'NY East Load Projections'!$A$4:$EO$14,((MONTH($A13)-1)*12)+VLOOKUP(CT$4,$DE$6:$DF$17,2)+1))*$E13</f>
        <v>0</v>
      </c>
      <c r="CU13" s="1021">
        <f>(VLOOKUP(YEAR($A13),'NY East Load Projections'!$A$4:$EO$14,((MONTH($A13)-1)*12)+VLOOKUP(CU$4,$DE$6:$DF$17,2)+1))*$E13</f>
        <v>0</v>
      </c>
      <c r="CV13" s="1021">
        <f>(VLOOKUP(YEAR($A13),'NY East Load Projections'!$A$4:$EO$14,((MONTH($A13)-1)*12)+VLOOKUP(CV$4,$DE$6:$DF$17,2)+1))*$E13</f>
        <v>0</v>
      </c>
      <c r="CW13" s="1021">
        <f>(VLOOKUP(YEAR($A13),'NY East Load Projections'!$A$4:$EO$14,((MONTH($A13)-1)*12)+VLOOKUP(CW$4,$DE$6:$DF$17,2)+1))*$E13</f>
        <v>0</v>
      </c>
      <c r="CX13" s="1021">
        <f>(VLOOKUP(YEAR($A13),'NY East Load Projections'!$A$4:$EO$14,((MONTH($A13)-1)*12)+VLOOKUP(CX$4,$DE$6:$DF$17,2)+1))*$E13</f>
        <v>0</v>
      </c>
      <c r="CY13" s="1021">
        <f>(VLOOKUP(YEAR($A13),'NY East Load Projections'!$A$4:$EO$14,((MONTH($A13)-1)*12)+VLOOKUP(CY$4,$DE$6:$DF$17,2)+1))*$E13</f>
        <v>0</v>
      </c>
      <c r="CZ13" s="1021">
        <f>(VLOOKUP(YEAR($A13),'NY East Load Projections'!$A$4:$EO$14,((MONTH($A13)-1)*12)+VLOOKUP(CZ$4,$DE$6:$DF$17,2)+1))*$E13</f>
        <v>0</v>
      </c>
      <c r="DA13" s="1021">
        <f>(VLOOKUP(YEAR($A13),'NY East Load Projections'!$A$4:$EO$14,((MONTH($A13)-1)*12)+VLOOKUP(DA$4,$DE$6:$DF$17,2)+1))*$E13</f>
        <v>0</v>
      </c>
      <c r="DB13" s="1021">
        <f>(VLOOKUP(YEAR($A13),'NY East Load Projections'!$A$4:$EO$14,((MONTH($A13)-1)*12)+VLOOKUP(DB$4,$DE$6:$DF$17,2)+1))*$E13</f>
        <v>0</v>
      </c>
      <c r="DE13" s="221" t="s">
        <v>565</v>
      </c>
      <c r="DF13" s="619">
        <v>8</v>
      </c>
      <c r="DH13" s="1009">
        <f t="shared" si="0"/>
        <v>-71581.521304088834</v>
      </c>
      <c r="DI13">
        <f ca="1">CALC!J33</f>
        <v>0.89999310122749387</v>
      </c>
      <c r="DJ13" s="1032">
        <f t="shared" ca="1" si="1"/>
        <v>-64422.875349048831</v>
      </c>
    </row>
    <row r="14" spans="1:114" x14ac:dyDescent="0.25">
      <c r="A14" s="244">
        <v>37135</v>
      </c>
      <c r="B14" s="13">
        <v>19</v>
      </c>
      <c r="C14" s="210">
        <v>5</v>
      </c>
      <c r="D14" s="210">
        <v>5</v>
      </c>
      <c r="E14" s="210">
        <v>1</v>
      </c>
      <c r="F14" s="13">
        <v>30</v>
      </c>
      <c r="H14" s="1021">
        <f>(VLOOKUP(YEAR($A14),'NY East Load Projections'!$A$4:$EO$14,((MONTH($A14)-1)*12)+VLOOKUP(H$4,$DE$6:$DF$17,2)+1))*$B14</f>
        <v>-1716.8393448808808</v>
      </c>
      <c r="I14" s="1021">
        <f>(VLOOKUP(YEAR($A14),'NY East Load Projections'!$A$4:$EO$14,((MONTH($A14)-1)*12)+VLOOKUP(I$4,$DE$6:$DF$17,2)+1))*$B14</f>
        <v>-1716.8393448808808</v>
      </c>
      <c r="J14" s="1021">
        <f>(VLOOKUP(YEAR($A14),'NY East Load Projections'!$A$4:$EO$14,((MONTH($A14)-1)*12)+VLOOKUP(J$4,$DE$6:$DF$17,2)+1))*$B14</f>
        <v>-1716.8393448808808</v>
      </c>
      <c r="K14" s="1021">
        <f>(VLOOKUP(YEAR($A14),'NY East Load Projections'!$A$4:$EO$14,((MONTH($A14)-1)*12)+VLOOKUP(K$4,$DE$6:$DF$17,2)+1))*$B14</f>
        <v>-1716.8393448808808</v>
      </c>
      <c r="L14" s="1021">
        <f>(VLOOKUP(YEAR($A14),'NY East Load Projections'!$A$4:$EO$14,((MONTH($A14)-1)*12)+VLOOKUP(L$4,$DE$6:$DF$17,2)+1))*$B14</f>
        <v>-1773.0187473968233</v>
      </c>
      <c r="M14" s="1021">
        <f>(VLOOKUP(YEAR($A14),'NY East Load Projections'!$A$4:$EO$14,((MONTH($A14)-1)*12)+VLOOKUP(M$4,$DE$6:$DF$17,2)+1))*$B14</f>
        <v>-1773.0187473968233</v>
      </c>
      <c r="N14" s="1021">
        <f>(VLOOKUP(YEAR($A14),'NY East Load Projections'!$A$4:$EO$14,((MONTH($A14)-1)*12)+VLOOKUP(N$4,$DE$6:$DF$17,2)+1))*$B14</f>
        <v>-1773.0187473968233</v>
      </c>
      <c r="O14" s="1021">
        <f>(VLOOKUP(YEAR($A14),'NY East Load Projections'!$A$4:$EO$14,((MONTH($A14)-1)*12)+VLOOKUP(O$4,$DE$6:$DF$17,2)+1))*$B14</f>
        <v>-1773.0187473968233</v>
      </c>
      <c r="P14" s="1021">
        <f>(VLOOKUP(YEAR($A14),'NY East Load Projections'!$A$4:$EO$14,((MONTH($A14)-1)*12)+VLOOKUP(P$4,$DE$6:$DF$17,2)+1))*$B14</f>
        <v>-1875.9004815129381</v>
      </c>
      <c r="Q14" s="1021">
        <f>(VLOOKUP(YEAR($A14),'NY East Load Projections'!$A$4:$EO$14,((MONTH($A14)-1)*12)+VLOOKUP(Q$4,$DE$6:$DF$17,2)+1))*$B14</f>
        <v>-1875.9004815129381</v>
      </c>
      <c r="R14" s="1021">
        <f>(VLOOKUP(YEAR($A14),'NY East Load Projections'!$A$4:$EO$14,((MONTH($A14)-1)*12)+VLOOKUP(R$4,$DE$6:$DF$17,2)+1))*$B14</f>
        <v>-1875.9004815129381</v>
      </c>
      <c r="S14" s="1021">
        <f>(VLOOKUP(YEAR($A14),'NY East Load Projections'!$A$4:$EO$14,((MONTH($A14)-1)*12)+VLOOKUP(S$4,$DE$6:$DF$17,2)+1))*$B14</f>
        <v>-1875.9004815129381</v>
      </c>
      <c r="T14" s="1021">
        <f>(VLOOKUP(YEAR($A14),'NY East Load Projections'!$A$4:$EO$14,((MONTH($A14)-1)*12)+VLOOKUP(T$4,$DE$6:$DF$17,2)+1))*$B14</f>
        <v>-1891.5067843225459</v>
      </c>
      <c r="U14" s="1021">
        <f>(VLOOKUP(YEAR($A14),'NY East Load Projections'!$A$4:$EO$14,((MONTH($A14)-1)*12)+VLOOKUP(U$4,$DE$6:$DF$17,2)+1))*$B14</f>
        <v>-1891.5067843225459</v>
      </c>
      <c r="V14" s="1021">
        <f>(VLOOKUP(YEAR($A14),'NY East Load Projections'!$A$4:$EO$14,((MONTH($A14)-1)*12)+VLOOKUP(V$4,$DE$6:$DF$17,2)+1))*$B14</f>
        <v>-1891.5067843225459</v>
      </c>
      <c r="W14" s="1021">
        <f>(VLOOKUP(YEAR($A14),'NY East Load Projections'!$A$4:$EO$14,((MONTH($A14)-1)*12)+VLOOKUP(W$4,$DE$6:$DF$17,2)+1))*$B14</f>
        <v>-1891.5067843225459</v>
      </c>
      <c r="X14" s="1021">
        <f>(VLOOKUP(YEAR($A14),'NY East Load Projections'!$A$4:$EO$14,((MONTH($A14)-1)*12)+VLOOKUP(X$4,$DE$6:$DF$17,2)+1))*$B14</f>
        <v>-1826.5874536809265</v>
      </c>
      <c r="Y14" s="1021">
        <f>(VLOOKUP(YEAR($A14),'NY East Load Projections'!$A$4:$EO$14,((MONTH($A14)-1)*12)+VLOOKUP(Y$4,$DE$6:$DF$17,2)+1))*$B14</f>
        <v>-1826.5874536809265</v>
      </c>
      <c r="Z14" s="1021">
        <f>(VLOOKUP(YEAR($A14),'NY East Load Projections'!$A$4:$EO$14,((MONTH($A14)-1)*12)+VLOOKUP(Z$4,$DE$6:$DF$17,2)+1))*$B14</f>
        <v>-1826.5874536809265</v>
      </c>
      <c r="AA14" s="1021">
        <f>(VLOOKUP(YEAR($A14),'NY East Load Projections'!$A$4:$EO$14,((MONTH($A14)-1)*12)+VLOOKUP(AA$4,$DE$6:$DF$17,2)+1))*$B14</f>
        <v>-1826.5874536809265</v>
      </c>
      <c r="AB14" s="1021">
        <f>(VLOOKUP(YEAR($A14),'NY East Load Projections'!$A$4:$EO$14,((MONTH($A14)-1)*12)+VLOOKUP(AB$4,$DE$6:$DF$17,2)+1))*$B14</f>
        <v>-1744.3166509774258</v>
      </c>
      <c r="AC14" s="1021">
        <f>(VLOOKUP(YEAR($A14),'NY East Load Projections'!$A$4:$EO$14,((MONTH($A14)-1)*12)+VLOOKUP(AC$4,$DE$6:$DF$17,2)+1))*$B14</f>
        <v>-1744.3166509774258</v>
      </c>
      <c r="AD14" s="1021">
        <f>(VLOOKUP(YEAR($A14),'NY East Load Projections'!$A$4:$EO$14,((MONTH($A14)-1)*12)+VLOOKUP(AD$4,$DE$6:$DF$17,2)+1))*$B14</f>
        <v>-1744.3166509774258</v>
      </c>
      <c r="AE14" s="1021">
        <f>(VLOOKUP(YEAR($A14),'NY East Load Projections'!$A$4:$EO$14,((MONTH($A14)-1)*12)+VLOOKUP(AE$4,$DE$6:$DF$17,2)+1))*$B14</f>
        <v>-1744.3166509774258</v>
      </c>
      <c r="AF14" s="1021"/>
      <c r="AG14" s="1021">
        <f>(VLOOKUP(YEAR($A14),'NY East Load Projections'!$A$4:$EO$14,((MONTH($A14)-1)*12)+VLOOKUP(AG$4,$DE$6:$DF$17,2)+1))*$C14</f>
        <v>-458.30659703961879</v>
      </c>
      <c r="AH14" s="1021">
        <f>(VLOOKUP(YEAR($A14),'NY East Load Projections'!$A$4:$EO$14,((MONTH($A14)-1)*12)+VLOOKUP(AH$4,$DE$6:$DF$17,2)+1))*$C14</f>
        <v>-458.30659703961879</v>
      </c>
      <c r="AI14" s="1021">
        <f>(VLOOKUP(YEAR($A14),'NY East Load Projections'!$A$4:$EO$14,((MONTH($A14)-1)*12)+VLOOKUP(AI$4,$DE$6:$DF$17,2)+1))*$C14</f>
        <v>-458.30659703961879</v>
      </c>
      <c r="AJ14" s="1021">
        <f>(VLOOKUP(YEAR($A14),'NY East Load Projections'!$A$4:$EO$14,((MONTH($A14)-1)*12)+VLOOKUP(AJ$4,$DE$6:$DF$17,2)+1))*$C14</f>
        <v>-458.30659703961879</v>
      </c>
      <c r="AK14" s="1021">
        <f>(VLOOKUP(YEAR($A14),'NY East Load Projections'!$A$4:$EO$14,((MONTH($A14)-1)*12)+VLOOKUP(AK$4,$DE$6:$DF$17,2)+1))*$C14</f>
        <v>-462.59868743513334</v>
      </c>
      <c r="AL14" s="1021">
        <f>(VLOOKUP(YEAR($A14),'NY East Load Projections'!$A$4:$EO$14,((MONTH($A14)-1)*12)+VLOOKUP(AL$4,$DE$6:$DF$17,2)+1))*$C14</f>
        <v>-462.59868743513334</v>
      </c>
      <c r="AM14" s="1021">
        <f>(VLOOKUP(YEAR($A14),'NY East Load Projections'!$A$4:$EO$14,((MONTH($A14)-1)*12)+VLOOKUP(AM$4,$DE$6:$DF$17,2)+1))*$C14</f>
        <v>-462.59868743513334</v>
      </c>
      <c r="AN14" s="1021">
        <f>(VLOOKUP(YEAR($A14),'NY East Load Projections'!$A$4:$EO$14,((MONTH($A14)-1)*12)+VLOOKUP(AN$4,$DE$6:$DF$17,2)+1))*$C14</f>
        <v>-462.59868743513334</v>
      </c>
      <c r="AO14" s="1021">
        <f>(VLOOKUP(YEAR($A14),'NY East Load Projections'!$A$4:$EO$14,((MONTH($A14)-1)*12)+VLOOKUP(AO$4,$DE$6:$DF$17,2)+1))*$C14</f>
        <v>-499.3427660095744</v>
      </c>
      <c r="AP14" s="1021">
        <f>(VLOOKUP(YEAR($A14),'NY East Load Projections'!$A$4:$EO$14,((MONTH($A14)-1)*12)+VLOOKUP(AP$4,$DE$6:$DF$17,2)+1))*$C14</f>
        <v>-499.3427660095744</v>
      </c>
      <c r="AQ14" s="1021">
        <f>(VLOOKUP(YEAR($A14),'NY East Load Projections'!$A$4:$EO$14,((MONTH($A14)-1)*12)+VLOOKUP(AQ$4,$DE$6:$DF$17,2)+1))*$C14</f>
        <v>-499.3427660095744</v>
      </c>
      <c r="AR14" s="1021">
        <f>(VLOOKUP(YEAR($A14),'NY East Load Projections'!$A$4:$EO$14,((MONTH($A14)-1)*12)+VLOOKUP(AR$4,$DE$6:$DF$17,2)+1))*$C14</f>
        <v>-499.3427660095744</v>
      </c>
      <c r="AS14" s="1021">
        <f>(VLOOKUP(YEAR($A14),'NY East Load Projections'!$A$4:$EO$14,((MONTH($A14)-1)*12)+VLOOKUP(AS$4,$DE$6:$DF$17,2)+1))*$C14</f>
        <v>-508.24349012753964</v>
      </c>
      <c r="AT14" s="1021">
        <f>(VLOOKUP(YEAR($A14),'NY East Load Projections'!$A$4:$EO$14,((MONTH($A14)-1)*12)+VLOOKUP(AT$4,$DE$6:$DF$17,2)+1))*$C14</f>
        <v>-508.24349012753964</v>
      </c>
      <c r="AU14" s="1021">
        <f>(VLOOKUP(YEAR($A14),'NY East Load Projections'!$A$4:$EO$14,((MONTH($A14)-1)*12)+VLOOKUP(AU$4,$DE$6:$DF$17,2)+1))*$C14</f>
        <v>-508.24349012753964</v>
      </c>
      <c r="AV14" s="1021">
        <f>(VLOOKUP(YEAR($A14),'NY East Load Projections'!$A$4:$EO$14,((MONTH($A14)-1)*12)+VLOOKUP(AV$4,$DE$6:$DF$17,2)+1))*$C14</f>
        <v>-508.24349012753964</v>
      </c>
      <c r="AW14" s="1021">
        <f>(VLOOKUP(YEAR($A14),'NY East Load Projections'!$A$4:$EO$14,((MONTH($A14)-1)*12)+VLOOKUP(AW$4,$DE$6:$DF$17,2)+1))*$C14</f>
        <v>-492.28108527599284</v>
      </c>
      <c r="AX14" s="1021">
        <f>(VLOOKUP(YEAR($A14),'NY East Load Projections'!$A$4:$EO$14,((MONTH($A14)-1)*12)+VLOOKUP(AX$4,$DE$6:$DF$17,2)+1))*$C14</f>
        <v>-492.28108527599284</v>
      </c>
      <c r="AY14" s="1021">
        <f>(VLOOKUP(YEAR($A14),'NY East Load Projections'!$A$4:$EO$14,((MONTH($A14)-1)*12)+VLOOKUP(AY$4,$DE$6:$DF$17,2)+1))*$C14</f>
        <v>-492.28108527599284</v>
      </c>
      <c r="AZ14" s="1021">
        <f>(VLOOKUP(YEAR($A14),'NY East Load Projections'!$A$4:$EO$14,((MONTH($A14)-1)*12)+VLOOKUP(AZ$4,$DE$6:$DF$17,2)+1))*$C14</f>
        <v>-492.28108527599284</v>
      </c>
      <c r="BA14" s="1021">
        <f>(VLOOKUP(YEAR($A14),'NY East Load Projections'!$A$4:$EO$14,((MONTH($A14)-1)*12)+VLOOKUP(BA$4,$DE$6:$DF$17,2)+1))*$C14</f>
        <v>-477.21028973895307</v>
      </c>
      <c r="BB14" s="1021">
        <f>(VLOOKUP(YEAR($A14),'NY East Load Projections'!$A$4:$EO$14,((MONTH($A14)-1)*12)+VLOOKUP(BB$4,$DE$6:$DF$17,2)+1))*$C14</f>
        <v>-477.21028973895307</v>
      </c>
      <c r="BC14" s="1021">
        <f>(VLOOKUP(YEAR($A14),'NY East Load Projections'!$A$4:$EO$14,((MONTH($A14)-1)*12)+VLOOKUP(BC$4,$DE$6:$DF$17,2)+1))*$C14</f>
        <v>-477.21028973895307</v>
      </c>
      <c r="BD14" s="1021">
        <f>(VLOOKUP(YEAR($A14),'NY East Load Projections'!$A$4:$EO$14,((MONTH($A14)-1)*12)+VLOOKUP(BD$4,$DE$6:$DF$17,2)+1))*$C14</f>
        <v>-477.21028973895307</v>
      </c>
      <c r="BE14" s="1021"/>
      <c r="BF14" s="1021">
        <f>(VLOOKUP(YEAR($A14),'NY East Load Projections'!$A$4:$EO$14,((MONTH($A14)-1)*12)+VLOOKUP(BF$4,$DE$6:$DF$17,2)+1))*$D14</f>
        <v>-458.30659703961879</v>
      </c>
      <c r="BG14" s="1021">
        <f>(VLOOKUP(YEAR($A14),'NY East Load Projections'!$A$4:$EO$14,((MONTH($A14)-1)*12)+VLOOKUP(BG$4,$DE$6:$DF$17,2)+1))*$D14</f>
        <v>-458.30659703961879</v>
      </c>
      <c r="BH14" s="1021">
        <f>(VLOOKUP(YEAR($A14),'NY East Load Projections'!$A$4:$EO$14,((MONTH($A14)-1)*12)+VLOOKUP(BH$4,$DE$6:$DF$17,2)+1))*$D14</f>
        <v>-458.30659703961879</v>
      </c>
      <c r="BI14" s="1021">
        <f>(VLOOKUP(YEAR($A14),'NY East Load Projections'!$A$4:$EO$14,((MONTH($A14)-1)*12)+VLOOKUP(BI$4,$DE$6:$DF$17,2)+1))*$D14</f>
        <v>-458.30659703961879</v>
      </c>
      <c r="BJ14" s="1021">
        <f>(VLOOKUP(YEAR($A14),'NY East Load Projections'!$A$4:$EO$14,((MONTH($A14)-1)*12)+VLOOKUP(BJ$4,$DE$6:$DF$17,2)+1))*$D14</f>
        <v>-462.59868743513334</v>
      </c>
      <c r="BK14" s="1021">
        <f>(VLOOKUP(YEAR($A14),'NY East Load Projections'!$A$4:$EO$14,((MONTH($A14)-1)*12)+VLOOKUP(BK$4,$DE$6:$DF$17,2)+1))*$D14</f>
        <v>-462.59868743513334</v>
      </c>
      <c r="BL14" s="1021">
        <f>(VLOOKUP(YEAR($A14),'NY East Load Projections'!$A$4:$EO$14,((MONTH($A14)-1)*12)+VLOOKUP(BL$4,$DE$6:$DF$17,2)+1))*$D14</f>
        <v>-462.59868743513334</v>
      </c>
      <c r="BM14" s="1021">
        <f>(VLOOKUP(YEAR($A14),'NY East Load Projections'!$A$4:$EO$14,((MONTH($A14)-1)*12)+VLOOKUP(BM$4,$DE$6:$DF$17,2)+1))*$D14</f>
        <v>-462.59868743513334</v>
      </c>
      <c r="BN14" s="1021">
        <f>(VLOOKUP(YEAR($A14),'NY East Load Projections'!$A$4:$EO$14,((MONTH($A14)-1)*12)+VLOOKUP(BN$4,$DE$6:$DF$17,2)+1))*$D14</f>
        <v>-499.3427660095744</v>
      </c>
      <c r="BO14" s="1021">
        <f>(VLOOKUP(YEAR($A14),'NY East Load Projections'!$A$4:$EO$14,((MONTH($A14)-1)*12)+VLOOKUP(BO$4,$DE$6:$DF$17,2)+1))*$D14</f>
        <v>-499.3427660095744</v>
      </c>
      <c r="BP14" s="1021">
        <f>(VLOOKUP(YEAR($A14),'NY East Load Projections'!$A$4:$EO$14,((MONTH($A14)-1)*12)+VLOOKUP(BP$4,$DE$6:$DF$17,2)+1))*$D14</f>
        <v>-499.3427660095744</v>
      </c>
      <c r="BQ14" s="1021">
        <f>(VLOOKUP(YEAR($A14),'NY East Load Projections'!$A$4:$EO$14,((MONTH($A14)-1)*12)+VLOOKUP(BQ$4,$DE$6:$DF$17,2)+1))*$D14</f>
        <v>-499.3427660095744</v>
      </c>
      <c r="BR14" s="1021">
        <f>(VLOOKUP(YEAR($A14),'NY East Load Projections'!$A$4:$EO$14,((MONTH($A14)-1)*12)+VLOOKUP(BR$4,$DE$6:$DF$17,2)+1))*$D14</f>
        <v>-508.24349012753964</v>
      </c>
      <c r="BS14" s="1021">
        <f>(VLOOKUP(YEAR($A14),'NY East Load Projections'!$A$4:$EO$14,((MONTH($A14)-1)*12)+VLOOKUP(BS$4,$DE$6:$DF$17,2)+1))*$D14</f>
        <v>-508.24349012753964</v>
      </c>
      <c r="BT14" s="1021">
        <f>(VLOOKUP(YEAR($A14),'NY East Load Projections'!$A$4:$EO$14,((MONTH($A14)-1)*12)+VLOOKUP(BT$4,$DE$6:$DF$17,2)+1))*$D14</f>
        <v>-508.24349012753964</v>
      </c>
      <c r="BU14" s="1021">
        <f>(VLOOKUP(YEAR($A14),'NY East Load Projections'!$A$4:$EO$14,((MONTH($A14)-1)*12)+VLOOKUP(BU$4,$DE$6:$DF$17,2)+1))*$D14</f>
        <v>-508.24349012753964</v>
      </c>
      <c r="BV14" s="1021">
        <f>(VLOOKUP(YEAR($A14),'NY East Load Projections'!$A$4:$EO$14,((MONTH($A14)-1)*12)+VLOOKUP(BV$4,$DE$6:$DF$17,2)+1))*$D14</f>
        <v>-492.28108527599284</v>
      </c>
      <c r="BW14" s="1021">
        <f>(VLOOKUP(YEAR($A14),'NY East Load Projections'!$A$4:$EO$14,((MONTH($A14)-1)*12)+VLOOKUP(BW$4,$DE$6:$DF$17,2)+1))*$D14</f>
        <v>-492.28108527599284</v>
      </c>
      <c r="BX14" s="1021">
        <f>(VLOOKUP(YEAR($A14),'NY East Load Projections'!$A$4:$EO$14,((MONTH($A14)-1)*12)+VLOOKUP(BX$4,$DE$6:$DF$17,2)+1))*$D14</f>
        <v>-492.28108527599284</v>
      </c>
      <c r="BY14" s="1021">
        <f>(VLOOKUP(YEAR($A14),'NY East Load Projections'!$A$4:$EO$14,((MONTH($A14)-1)*12)+VLOOKUP(BY$4,$DE$6:$DF$17,2)+1))*$D14</f>
        <v>-492.28108527599284</v>
      </c>
      <c r="BZ14" s="1021">
        <f>(VLOOKUP(YEAR($A14),'NY East Load Projections'!$A$4:$EO$14,((MONTH($A14)-1)*12)+VLOOKUP(BZ$4,$DE$6:$DF$17,2)+1))*$D14</f>
        <v>-477.21028973895307</v>
      </c>
      <c r="CA14" s="1021">
        <f>(VLOOKUP(YEAR($A14),'NY East Load Projections'!$A$4:$EO$14,((MONTH($A14)-1)*12)+VLOOKUP(CA$4,$DE$6:$DF$17,2)+1))*$D14</f>
        <v>-477.21028973895307</v>
      </c>
      <c r="CB14" s="1021">
        <f>(VLOOKUP(YEAR($A14),'NY East Load Projections'!$A$4:$EO$14,((MONTH($A14)-1)*12)+VLOOKUP(CB$4,$DE$6:$DF$17,2)+1))*$D14</f>
        <v>-477.21028973895307</v>
      </c>
      <c r="CC14" s="1021">
        <f>(VLOOKUP(YEAR($A14),'NY East Load Projections'!$A$4:$EO$14,((MONTH($A14)-1)*12)+VLOOKUP(CC$4,$DE$6:$DF$17,2)+1))*$D14</f>
        <v>-477.21028973895307</v>
      </c>
      <c r="CE14" s="1021">
        <f>(VLOOKUP(YEAR($A14),'NY East Load Projections'!$A$4:$EO$14,((MONTH($A14)-1)*12)+VLOOKUP(CE$4,$DE$6:$DF$17,2)+1))*$E14</f>
        <v>-91.661319407923756</v>
      </c>
      <c r="CF14" s="1021">
        <f>(VLOOKUP(YEAR($A14),'NY East Load Projections'!$A$4:$EO$14,((MONTH($A14)-1)*12)+VLOOKUP(CF$4,$DE$6:$DF$17,2)+1))*$E14</f>
        <v>-91.661319407923756</v>
      </c>
      <c r="CG14" s="1021">
        <f>(VLOOKUP(YEAR($A14),'NY East Load Projections'!$A$4:$EO$14,((MONTH($A14)-1)*12)+VLOOKUP(CG$4,$DE$6:$DF$17,2)+1))*$E14</f>
        <v>-91.661319407923756</v>
      </c>
      <c r="CH14" s="1021">
        <f>(VLOOKUP(YEAR($A14),'NY East Load Projections'!$A$4:$EO$14,((MONTH($A14)-1)*12)+VLOOKUP(CH$4,$DE$6:$DF$17,2)+1))*$E14</f>
        <v>-91.661319407923756</v>
      </c>
      <c r="CI14" s="1021">
        <f>(VLOOKUP(YEAR($A14),'NY East Load Projections'!$A$4:$EO$14,((MONTH($A14)-1)*12)+VLOOKUP(CI$4,$DE$6:$DF$17,2)+1))*$E14</f>
        <v>-92.519737487026674</v>
      </c>
      <c r="CJ14" s="1021">
        <f>(VLOOKUP(YEAR($A14),'NY East Load Projections'!$A$4:$EO$14,((MONTH($A14)-1)*12)+VLOOKUP(CJ$4,$DE$6:$DF$17,2)+1))*$E14</f>
        <v>-92.519737487026674</v>
      </c>
      <c r="CK14" s="1021">
        <f>(VLOOKUP(YEAR($A14),'NY East Load Projections'!$A$4:$EO$14,((MONTH($A14)-1)*12)+VLOOKUP(CK$4,$DE$6:$DF$17,2)+1))*$E14</f>
        <v>-92.519737487026674</v>
      </c>
      <c r="CL14" s="1021">
        <f>(VLOOKUP(YEAR($A14),'NY East Load Projections'!$A$4:$EO$14,((MONTH($A14)-1)*12)+VLOOKUP(CL$4,$DE$6:$DF$17,2)+1))*$E14</f>
        <v>-92.519737487026674</v>
      </c>
      <c r="CM14" s="1021">
        <f>(VLOOKUP(YEAR($A14),'NY East Load Projections'!$A$4:$EO$14,((MONTH($A14)-1)*12)+VLOOKUP(CM$4,$DE$6:$DF$17,2)+1))*$E14</f>
        <v>-99.868553201914878</v>
      </c>
      <c r="CN14" s="1021">
        <f>(VLOOKUP(YEAR($A14),'NY East Load Projections'!$A$4:$EO$14,((MONTH($A14)-1)*12)+VLOOKUP(CN$4,$DE$6:$DF$17,2)+1))*$E14</f>
        <v>-99.868553201914878</v>
      </c>
      <c r="CO14" s="1021">
        <f>(VLOOKUP(YEAR($A14),'NY East Load Projections'!$A$4:$EO$14,((MONTH($A14)-1)*12)+VLOOKUP(CO$4,$DE$6:$DF$17,2)+1))*$E14</f>
        <v>-99.868553201914878</v>
      </c>
      <c r="CP14" s="1021">
        <f>(VLOOKUP(YEAR($A14),'NY East Load Projections'!$A$4:$EO$14,((MONTH($A14)-1)*12)+VLOOKUP(CP$4,$DE$6:$DF$17,2)+1))*$E14</f>
        <v>-99.868553201914878</v>
      </c>
      <c r="CQ14" s="1021">
        <f>(VLOOKUP(YEAR($A14),'NY East Load Projections'!$A$4:$EO$14,((MONTH($A14)-1)*12)+VLOOKUP(CQ$4,$DE$6:$DF$17,2)+1))*$E14</f>
        <v>-101.64869802550793</v>
      </c>
      <c r="CR14" s="1021">
        <f>(VLOOKUP(YEAR($A14),'NY East Load Projections'!$A$4:$EO$14,((MONTH($A14)-1)*12)+VLOOKUP(CR$4,$DE$6:$DF$17,2)+1))*$E14</f>
        <v>-101.64869802550793</v>
      </c>
      <c r="CS14" s="1021">
        <f>(VLOOKUP(YEAR($A14),'NY East Load Projections'!$A$4:$EO$14,((MONTH($A14)-1)*12)+VLOOKUP(CS$4,$DE$6:$DF$17,2)+1))*$E14</f>
        <v>-101.64869802550793</v>
      </c>
      <c r="CT14" s="1021">
        <f>(VLOOKUP(YEAR($A14),'NY East Load Projections'!$A$4:$EO$14,((MONTH($A14)-1)*12)+VLOOKUP(CT$4,$DE$6:$DF$17,2)+1))*$E14</f>
        <v>-101.64869802550793</v>
      </c>
      <c r="CU14" s="1021">
        <f>(VLOOKUP(YEAR($A14),'NY East Load Projections'!$A$4:$EO$14,((MONTH($A14)-1)*12)+VLOOKUP(CU$4,$DE$6:$DF$17,2)+1))*$E14</f>
        <v>-98.456217055198564</v>
      </c>
      <c r="CV14" s="1021">
        <f>(VLOOKUP(YEAR($A14),'NY East Load Projections'!$A$4:$EO$14,((MONTH($A14)-1)*12)+VLOOKUP(CV$4,$DE$6:$DF$17,2)+1))*$E14</f>
        <v>-98.456217055198564</v>
      </c>
      <c r="CW14" s="1021">
        <f>(VLOOKUP(YEAR($A14),'NY East Load Projections'!$A$4:$EO$14,((MONTH($A14)-1)*12)+VLOOKUP(CW$4,$DE$6:$DF$17,2)+1))*$E14</f>
        <v>-98.456217055198564</v>
      </c>
      <c r="CX14" s="1021">
        <f>(VLOOKUP(YEAR($A14),'NY East Load Projections'!$A$4:$EO$14,((MONTH($A14)-1)*12)+VLOOKUP(CX$4,$DE$6:$DF$17,2)+1))*$E14</f>
        <v>-98.456217055198564</v>
      </c>
      <c r="CY14" s="1021">
        <f>(VLOOKUP(YEAR($A14),'NY East Load Projections'!$A$4:$EO$14,((MONTH($A14)-1)*12)+VLOOKUP(CY$4,$DE$6:$DF$17,2)+1))*$E14</f>
        <v>-95.442057947790616</v>
      </c>
      <c r="CZ14" s="1021">
        <f>(VLOOKUP(YEAR($A14),'NY East Load Projections'!$A$4:$EO$14,((MONTH($A14)-1)*12)+VLOOKUP(CZ$4,$DE$6:$DF$17,2)+1))*$E14</f>
        <v>-95.442057947790616</v>
      </c>
      <c r="DA14" s="1021">
        <f>(VLOOKUP(YEAR($A14),'NY East Load Projections'!$A$4:$EO$14,((MONTH($A14)-1)*12)+VLOOKUP(DA$4,$DE$6:$DF$17,2)+1))*$E14</f>
        <v>-95.442057947790616</v>
      </c>
      <c r="DB14" s="1021">
        <f>(VLOOKUP(YEAR($A14),'NY East Load Projections'!$A$4:$EO$14,((MONTH($A14)-1)*12)+VLOOKUP(DB$4,$DE$6:$DF$17,2)+1))*$E14</f>
        <v>-95.442057947790616</v>
      </c>
      <c r="DE14" s="221" t="s">
        <v>566</v>
      </c>
      <c r="DF14" s="619">
        <v>9</v>
      </c>
      <c r="DH14" s="1009">
        <f t="shared" si="0"/>
        <v>-68814.927508602224</v>
      </c>
      <c r="DI14">
        <f ca="1">CALC!J34</f>
        <v>0.89458343599949186</v>
      </c>
      <c r="DJ14" s="1032">
        <f t="shared" ca="1" si="1"/>
        <v>-61560.694298701332</v>
      </c>
    </row>
    <row r="15" spans="1:114" x14ac:dyDescent="0.25">
      <c r="A15" s="244">
        <v>37165</v>
      </c>
      <c r="B15" s="13">
        <v>23</v>
      </c>
      <c r="C15" s="210">
        <v>4</v>
      </c>
      <c r="D15" s="210">
        <v>4</v>
      </c>
      <c r="E15" s="210">
        <v>0</v>
      </c>
      <c r="F15" s="13">
        <v>31</v>
      </c>
      <c r="H15" s="1021">
        <f>(VLOOKUP(YEAR($A15),'NY East Load Projections'!$A$4:$EO$14,((MONTH($A15)-1)*12)+VLOOKUP(H$4,$DE$6:$DF$17,2)+1))*$B15</f>
        <v>-1992.9532351801317</v>
      </c>
      <c r="I15" s="1021">
        <f>(VLOOKUP(YEAR($A15),'NY East Load Projections'!$A$4:$EO$14,((MONTH($A15)-1)*12)+VLOOKUP(I$4,$DE$6:$DF$17,2)+1))*$B15</f>
        <v>-1992.9532351801317</v>
      </c>
      <c r="J15" s="1021">
        <f>(VLOOKUP(YEAR($A15),'NY East Load Projections'!$A$4:$EO$14,((MONTH($A15)-1)*12)+VLOOKUP(J$4,$DE$6:$DF$17,2)+1))*$B15</f>
        <v>-1992.9532351801317</v>
      </c>
      <c r="K15" s="1021">
        <f>(VLOOKUP(YEAR($A15),'NY East Load Projections'!$A$4:$EO$14,((MONTH($A15)-1)*12)+VLOOKUP(K$4,$DE$6:$DF$17,2)+1))*$B15</f>
        <v>-1992.9532351801317</v>
      </c>
      <c r="L15" s="1021">
        <f>(VLOOKUP(YEAR($A15),'NY East Load Projections'!$A$4:$EO$14,((MONTH($A15)-1)*12)+VLOOKUP(L$4,$DE$6:$DF$17,2)+1))*$B15</f>
        <v>-2140.0604993184352</v>
      </c>
      <c r="M15" s="1021">
        <f>(VLOOKUP(YEAR($A15),'NY East Load Projections'!$A$4:$EO$14,((MONTH($A15)-1)*12)+VLOOKUP(M$4,$DE$6:$DF$17,2)+1))*$B15</f>
        <v>-2140.0604993184352</v>
      </c>
      <c r="N15" s="1021">
        <f>(VLOOKUP(YEAR($A15),'NY East Load Projections'!$A$4:$EO$14,((MONTH($A15)-1)*12)+VLOOKUP(N$4,$DE$6:$DF$17,2)+1))*$B15</f>
        <v>-2140.0604993184352</v>
      </c>
      <c r="O15" s="1021">
        <f>(VLOOKUP(YEAR($A15),'NY East Load Projections'!$A$4:$EO$14,((MONTH($A15)-1)*12)+VLOOKUP(O$4,$DE$6:$DF$17,2)+1))*$B15</f>
        <v>-2140.0604993184352</v>
      </c>
      <c r="P15" s="1021">
        <f>(VLOOKUP(YEAR($A15),'NY East Load Projections'!$A$4:$EO$14,((MONTH($A15)-1)*12)+VLOOKUP(P$4,$DE$6:$DF$17,2)+1))*$B15</f>
        <v>-2261.6385653684265</v>
      </c>
      <c r="Q15" s="1021">
        <f>(VLOOKUP(YEAR($A15),'NY East Load Projections'!$A$4:$EO$14,((MONTH($A15)-1)*12)+VLOOKUP(Q$4,$DE$6:$DF$17,2)+1))*$B15</f>
        <v>-2261.6385653684265</v>
      </c>
      <c r="R15" s="1021">
        <f>(VLOOKUP(YEAR($A15),'NY East Load Projections'!$A$4:$EO$14,((MONTH($A15)-1)*12)+VLOOKUP(R$4,$DE$6:$DF$17,2)+1))*$B15</f>
        <v>-2261.6385653684265</v>
      </c>
      <c r="S15" s="1021">
        <f>(VLOOKUP(YEAR($A15),'NY East Load Projections'!$A$4:$EO$14,((MONTH($A15)-1)*12)+VLOOKUP(S$4,$DE$6:$DF$17,2)+1))*$B15</f>
        <v>-2261.6385653684265</v>
      </c>
      <c r="T15" s="1021">
        <f>(VLOOKUP(YEAR($A15),'NY East Load Projections'!$A$4:$EO$14,((MONTH($A15)-1)*12)+VLOOKUP(T$4,$DE$6:$DF$17,2)+1))*$B15</f>
        <v>-2279.1793503111917</v>
      </c>
      <c r="U15" s="1021">
        <f>(VLOOKUP(YEAR($A15),'NY East Load Projections'!$A$4:$EO$14,((MONTH($A15)-1)*12)+VLOOKUP(U$4,$DE$6:$DF$17,2)+1))*$B15</f>
        <v>-2279.1793503111917</v>
      </c>
      <c r="V15" s="1021">
        <f>(VLOOKUP(YEAR($A15),'NY East Load Projections'!$A$4:$EO$14,((MONTH($A15)-1)*12)+VLOOKUP(V$4,$DE$6:$DF$17,2)+1))*$B15</f>
        <v>-2279.1793503111917</v>
      </c>
      <c r="W15" s="1021">
        <f>(VLOOKUP(YEAR($A15),'NY East Load Projections'!$A$4:$EO$14,((MONTH($A15)-1)*12)+VLOOKUP(W$4,$DE$6:$DF$17,2)+1))*$B15</f>
        <v>-2279.1793503111917</v>
      </c>
      <c r="X15" s="1021">
        <f>(VLOOKUP(YEAR($A15),'NY East Load Projections'!$A$4:$EO$14,((MONTH($A15)-1)*12)+VLOOKUP(X$4,$DE$6:$DF$17,2)+1))*$B15</f>
        <v>-2178.5634232703819</v>
      </c>
      <c r="Y15" s="1021">
        <f>(VLOOKUP(YEAR($A15),'NY East Load Projections'!$A$4:$EO$14,((MONTH($A15)-1)*12)+VLOOKUP(Y$4,$DE$6:$DF$17,2)+1))*$B15</f>
        <v>-2178.5634232703819</v>
      </c>
      <c r="Z15" s="1021">
        <f>(VLOOKUP(YEAR($A15),'NY East Load Projections'!$A$4:$EO$14,((MONTH($A15)-1)*12)+VLOOKUP(Z$4,$DE$6:$DF$17,2)+1))*$B15</f>
        <v>-2178.5634232703819</v>
      </c>
      <c r="AA15" s="1021">
        <f>(VLOOKUP(YEAR($A15),'NY East Load Projections'!$A$4:$EO$14,((MONTH($A15)-1)*12)+VLOOKUP(AA$4,$DE$6:$DF$17,2)+1))*$B15</f>
        <v>-2178.5634232703819</v>
      </c>
      <c r="AB15" s="1021">
        <f>(VLOOKUP(YEAR($A15),'NY East Load Projections'!$A$4:$EO$14,((MONTH($A15)-1)*12)+VLOOKUP(AB$4,$DE$6:$DF$17,2)+1))*$B15</f>
        <v>-2043.657031111449</v>
      </c>
      <c r="AC15" s="1021">
        <f>(VLOOKUP(YEAR($A15),'NY East Load Projections'!$A$4:$EO$14,((MONTH($A15)-1)*12)+VLOOKUP(AC$4,$DE$6:$DF$17,2)+1))*$B15</f>
        <v>-2043.657031111449</v>
      </c>
      <c r="AD15" s="1021">
        <f>(VLOOKUP(YEAR($A15),'NY East Load Projections'!$A$4:$EO$14,((MONTH($A15)-1)*12)+VLOOKUP(AD$4,$DE$6:$DF$17,2)+1))*$B15</f>
        <v>-2043.657031111449</v>
      </c>
      <c r="AE15" s="1021">
        <f>(VLOOKUP(YEAR($A15),'NY East Load Projections'!$A$4:$EO$14,((MONTH($A15)-1)*12)+VLOOKUP(AE$4,$DE$6:$DF$17,2)+1))*$B15</f>
        <v>-2043.657031111449</v>
      </c>
      <c r="AF15" s="1021"/>
      <c r="AG15" s="1021">
        <f>(VLOOKUP(YEAR($A15),'NY East Load Projections'!$A$4:$EO$14,((MONTH($A15)-1)*12)+VLOOKUP(AG$4,$DE$6:$DF$17,2)+1))*$C15</f>
        <v>-380.37408654885746</v>
      </c>
      <c r="AH15" s="1021">
        <f>(VLOOKUP(YEAR($A15),'NY East Load Projections'!$A$4:$EO$14,((MONTH($A15)-1)*12)+VLOOKUP(AH$4,$DE$6:$DF$17,2)+1))*$C15</f>
        <v>-380.37408654885746</v>
      </c>
      <c r="AI15" s="1021">
        <f>(VLOOKUP(YEAR($A15),'NY East Load Projections'!$A$4:$EO$14,((MONTH($A15)-1)*12)+VLOOKUP(AI$4,$DE$6:$DF$17,2)+1))*$C15</f>
        <v>-380.37408654885746</v>
      </c>
      <c r="AJ15" s="1021">
        <f>(VLOOKUP(YEAR($A15),'NY East Load Projections'!$A$4:$EO$14,((MONTH($A15)-1)*12)+VLOOKUP(AJ$4,$DE$6:$DF$17,2)+1))*$C15</f>
        <v>-380.37408654885746</v>
      </c>
      <c r="AK15" s="1021">
        <f>(VLOOKUP(YEAR($A15),'NY East Load Projections'!$A$4:$EO$14,((MONTH($A15)-1)*12)+VLOOKUP(AK$4,$DE$6:$DF$17,2)+1))*$C15</f>
        <v>-386.83340861886575</v>
      </c>
      <c r="AL15" s="1021">
        <f>(VLOOKUP(YEAR($A15),'NY East Load Projections'!$A$4:$EO$14,((MONTH($A15)-1)*12)+VLOOKUP(AL$4,$DE$6:$DF$17,2)+1))*$C15</f>
        <v>-386.83340861886575</v>
      </c>
      <c r="AM15" s="1021">
        <f>(VLOOKUP(YEAR($A15),'NY East Load Projections'!$A$4:$EO$14,((MONTH($A15)-1)*12)+VLOOKUP(AM$4,$DE$6:$DF$17,2)+1))*$C15</f>
        <v>-386.83340861886575</v>
      </c>
      <c r="AN15" s="1021">
        <f>(VLOOKUP(YEAR($A15),'NY East Load Projections'!$A$4:$EO$14,((MONTH($A15)-1)*12)+VLOOKUP(AN$4,$DE$6:$DF$17,2)+1))*$C15</f>
        <v>-386.83340861886575</v>
      </c>
      <c r="AO15" s="1021">
        <f>(VLOOKUP(YEAR($A15),'NY East Load Projections'!$A$4:$EO$14,((MONTH($A15)-1)*12)+VLOOKUP(AO$4,$DE$6:$DF$17,2)+1))*$C15</f>
        <v>-430.83617937595807</v>
      </c>
      <c r="AP15" s="1021">
        <f>(VLOOKUP(YEAR($A15),'NY East Load Projections'!$A$4:$EO$14,((MONTH($A15)-1)*12)+VLOOKUP(AP$4,$DE$6:$DF$17,2)+1))*$C15</f>
        <v>-430.83617937595807</v>
      </c>
      <c r="AQ15" s="1021">
        <f>(VLOOKUP(YEAR($A15),'NY East Load Projections'!$A$4:$EO$14,((MONTH($A15)-1)*12)+VLOOKUP(AQ$4,$DE$6:$DF$17,2)+1))*$C15</f>
        <v>-430.83617937595807</v>
      </c>
      <c r="AR15" s="1021">
        <f>(VLOOKUP(YEAR($A15),'NY East Load Projections'!$A$4:$EO$14,((MONTH($A15)-1)*12)+VLOOKUP(AR$4,$DE$6:$DF$17,2)+1))*$C15</f>
        <v>-430.83617937595807</v>
      </c>
      <c r="AS15" s="1021">
        <f>(VLOOKUP(YEAR($A15),'NY East Load Projections'!$A$4:$EO$14,((MONTH($A15)-1)*12)+VLOOKUP(AS$4,$DE$6:$DF$17,2)+1))*$C15</f>
        <v>-426.21896333640842</v>
      </c>
      <c r="AT15" s="1021">
        <f>(VLOOKUP(YEAR($A15),'NY East Load Projections'!$A$4:$EO$14,((MONTH($A15)-1)*12)+VLOOKUP(AT$4,$DE$6:$DF$17,2)+1))*$C15</f>
        <v>-426.21896333640842</v>
      </c>
      <c r="AU15" s="1021">
        <f>(VLOOKUP(YEAR($A15),'NY East Load Projections'!$A$4:$EO$14,((MONTH($A15)-1)*12)+VLOOKUP(AU$4,$DE$6:$DF$17,2)+1))*$C15</f>
        <v>-426.21896333640842</v>
      </c>
      <c r="AV15" s="1021">
        <f>(VLOOKUP(YEAR($A15),'NY East Load Projections'!$A$4:$EO$14,((MONTH($A15)-1)*12)+VLOOKUP(AV$4,$DE$6:$DF$17,2)+1))*$C15</f>
        <v>-426.21896333640842</v>
      </c>
      <c r="AW15" s="1021">
        <f>(VLOOKUP(YEAR($A15),'NY East Load Projections'!$A$4:$EO$14,((MONTH($A15)-1)*12)+VLOOKUP(AW$4,$DE$6:$DF$17,2)+1))*$C15</f>
        <v>-398.09239681830576</v>
      </c>
      <c r="AX15" s="1021">
        <f>(VLOOKUP(YEAR($A15),'NY East Load Projections'!$A$4:$EO$14,((MONTH($A15)-1)*12)+VLOOKUP(AX$4,$DE$6:$DF$17,2)+1))*$C15</f>
        <v>-398.09239681830576</v>
      </c>
      <c r="AY15" s="1021">
        <f>(VLOOKUP(YEAR($A15),'NY East Load Projections'!$A$4:$EO$14,((MONTH($A15)-1)*12)+VLOOKUP(AY$4,$DE$6:$DF$17,2)+1))*$C15</f>
        <v>-398.09239681830576</v>
      </c>
      <c r="AZ15" s="1021">
        <f>(VLOOKUP(YEAR($A15),'NY East Load Projections'!$A$4:$EO$14,((MONTH($A15)-1)*12)+VLOOKUP(AZ$4,$DE$6:$DF$17,2)+1))*$C15</f>
        <v>-398.09239681830576</v>
      </c>
      <c r="BA15" s="1021">
        <f>(VLOOKUP(YEAR($A15),'NY East Load Projections'!$A$4:$EO$14,((MONTH($A15)-1)*12)+VLOOKUP(BA$4,$DE$6:$DF$17,2)+1))*$C15</f>
        <v>-388.24324880687402</v>
      </c>
      <c r="BB15" s="1021">
        <f>(VLOOKUP(YEAR($A15),'NY East Load Projections'!$A$4:$EO$14,((MONTH($A15)-1)*12)+VLOOKUP(BB$4,$DE$6:$DF$17,2)+1))*$C15</f>
        <v>-388.24324880687402</v>
      </c>
      <c r="BC15" s="1021">
        <f>(VLOOKUP(YEAR($A15),'NY East Load Projections'!$A$4:$EO$14,((MONTH($A15)-1)*12)+VLOOKUP(BC$4,$DE$6:$DF$17,2)+1))*$C15</f>
        <v>-388.24324880687402</v>
      </c>
      <c r="BD15" s="1021">
        <f>(VLOOKUP(YEAR($A15),'NY East Load Projections'!$A$4:$EO$14,((MONTH($A15)-1)*12)+VLOOKUP(BD$4,$DE$6:$DF$17,2)+1))*$C15</f>
        <v>-388.24324880687402</v>
      </c>
      <c r="BE15" s="1021"/>
      <c r="BF15" s="1021">
        <f>(VLOOKUP(YEAR($A15),'NY East Load Projections'!$A$4:$EO$14,((MONTH($A15)-1)*12)+VLOOKUP(BF$4,$DE$6:$DF$17,2)+1))*$D15</f>
        <v>-380.37408654885746</v>
      </c>
      <c r="BG15" s="1021">
        <f>(VLOOKUP(YEAR($A15),'NY East Load Projections'!$A$4:$EO$14,((MONTH($A15)-1)*12)+VLOOKUP(BG$4,$DE$6:$DF$17,2)+1))*$D15</f>
        <v>-380.37408654885746</v>
      </c>
      <c r="BH15" s="1021">
        <f>(VLOOKUP(YEAR($A15),'NY East Load Projections'!$A$4:$EO$14,((MONTH($A15)-1)*12)+VLOOKUP(BH$4,$DE$6:$DF$17,2)+1))*$D15</f>
        <v>-380.37408654885746</v>
      </c>
      <c r="BI15" s="1021">
        <f>(VLOOKUP(YEAR($A15),'NY East Load Projections'!$A$4:$EO$14,((MONTH($A15)-1)*12)+VLOOKUP(BI$4,$DE$6:$DF$17,2)+1))*$D15</f>
        <v>-380.37408654885746</v>
      </c>
      <c r="BJ15" s="1021">
        <f>(VLOOKUP(YEAR($A15),'NY East Load Projections'!$A$4:$EO$14,((MONTH($A15)-1)*12)+VLOOKUP(BJ$4,$DE$6:$DF$17,2)+1))*$D15</f>
        <v>-386.83340861886575</v>
      </c>
      <c r="BK15" s="1021">
        <f>(VLOOKUP(YEAR($A15),'NY East Load Projections'!$A$4:$EO$14,((MONTH($A15)-1)*12)+VLOOKUP(BK$4,$DE$6:$DF$17,2)+1))*$D15</f>
        <v>-386.83340861886575</v>
      </c>
      <c r="BL15" s="1021">
        <f>(VLOOKUP(YEAR($A15),'NY East Load Projections'!$A$4:$EO$14,((MONTH($A15)-1)*12)+VLOOKUP(BL$4,$DE$6:$DF$17,2)+1))*$D15</f>
        <v>-386.83340861886575</v>
      </c>
      <c r="BM15" s="1021">
        <f>(VLOOKUP(YEAR($A15),'NY East Load Projections'!$A$4:$EO$14,((MONTH($A15)-1)*12)+VLOOKUP(BM$4,$DE$6:$DF$17,2)+1))*$D15</f>
        <v>-386.83340861886575</v>
      </c>
      <c r="BN15" s="1021">
        <f>(VLOOKUP(YEAR($A15),'NY East Load Projections'!$A$4:$EO$14,((MONTH($A15)-1)*12)+VLOOKUP(BN$4,$DE$6:$DF$17,2)+1))*$D15</f>
        <v>-430.83617937595807</v>
      </c>
      <c r="BO15" s="1021">
        <f>(VLOOKUP(YEAR($A15),'NY East Load Projections'!$A$4:$EO$14,((MONTH($A15)-1)*12)+VLOOKUP(BO$4,$DE$6:$DF$17,2)+1))*$D15</f>
        <v>-430.83617937595807</v>
      </c>
      <c r="BP15" s="1021">
        <f>(VLOOKUP(YEAR($A15),'NY East Load Projections'!$A$4:$EO$14,((MONTH($A15)-1)*12)+VLOOKUP(BP$4,$DE$6:$DF$17,2)+1))*$D15</f>
        <v>-430.83617937595807</v>
      </c>
      <c r="BQ15" s="1021">
        <f>(VLOOKUP(YEAR($A15),'NY East Load Projections'!$A$4:$EO$14,((MONTH($A15)-1)*12)+VLOOKUP(BQ$4,$DE$6:$DF$17,2)+1))*$D15</f>
        <v>-430.83617937595807</v>
      </c>
      <c r="BR15" s="1021">
        <f>(VLOOKUP(YEAR($A15),'NY East Load Projections'!$A$4:$EO$14,((MONTH($A15)-1)*12)+VLOOKUP(BR$4,$DE$6:$DF$17,2)+1))*$D15</f>
        <v>-426.21896333640842</v>
      </c>
      <c r="BS15" s="1021">
        <f>(VLOOKUP(YEAR($A15),'NY East Load Projections'!$A$4:$EO$14,((MONTH($A15)-1)*12)+VLOOKUP(BS$4,$DE$6:$DF$17,2)+1))*$D15</f>
        <v>-426.21896333640842</v>
      </c>
      <c r="BT15" s="1021">
        <f>(VLOOKUP(YEAR($A15),'NY East Load Projections'!$A$4:$EO$14,((MONTH($A15)-1)*12)+VLOOKUP(BT$4,$DE$6:$DF$17,2)+1))*$D15</f>
        <v>-426.21896333640842</v>
      </c>
      <c r="BU15" s="1021">
        <f>(VLOOKUP(YEAR($A15),'NY East Load Projections'!$A$4:$EO$14,((MONTH($A15)-1)*12)+VLOOKUP(BU$4,$DE$6:$DF$17,2)+1))*$D15</f>
        <v>-426.21896333640842</v>
      </c>
      <c r="BV15" s="1021">
        <f>(VLOOKUP(YEAR($A15),'NY East Load Projections'!$A$4:$EO$14,((MONTH($A15)-1)*12)+VLOOKUP(BV$4,$DE$6:$DF$17,2)+1))*$D15</f>
        <v>-398.09239681830576</v>
      </c>
      <c r="BW15" s="1021">
        <f>(VLOOKUP(YEAR($A15),'NY East Load Projections'!$A$4:$EO$14,((MONTH($A15)-1)*12)+VLOOKUP(BW$4,$DE$6:$DF$17,2)+1))*$D15</f>
        <v>-398.09239681830576</v>
      </c>
      <c r="BX15" s="1021">
        <f>(VLOOKUP(YEAR($A15),'NY East Load Projections'!$A$4:$EO$14,((MONTH($A15)-1)*12)+VLOOKUP(BX$4,$DE$6:$DF$17,2)+1))*$D15</f>
        <v>-398.09239681830576</v>
      </c>
      <c r="BY15" s="1021">
        <f>(VLOOKUP(YEAR($A15),'NY East Load Projections'!$A$4:$EO$14,((MONTH($A15)-1)*12)+VLOOKUP(BY$4,$DE$6:$DF$17,2)+1))*$D15</f>
        <v>-398.09239681830576</v>
      </c>
      <c r="BZ15" s="1021">
        <f>(VLOOKUP(YEAR($A15),'NY East Load Projections'!$A$4:$EO$14,((MONTH($A15)-1)*12)+VLOOKUP(BZ$4,$DE$6:$DF$17,2)+1))*$D15</f>
        <v>-388.24324880687402</v>
      </c>
      <c r="CA15" s="1021">
        <f>(VLOOKUP(YEAR($A15),'NY East Load Projections'!$A$4:$EO$14,((MONTH($A15)-1)*12)+VLOOKUP(CA$4,$DE$6:$DF$17,2)+1))*$D15</f>
        <v>-388.24324880687402</v>
      </c>
      <c r="CB15" s="1021">
        <f>(VLOOKUP(YEAR($A15),'NY East Load Projections'!$A$4:$EO$14,((MONTH($A15)-1)*12)+VLOOKUP(CB$4,$DE$6:$DF$17,2)+1))*$D15</f>
        <v>-388.24324880687402</v>
      </c>
      <c r="CC15" s="1021">
        <f>(VLOOKUP(YEAR($A15),'NY East Load Projections'!$A$4:$EO$14,((MONTH($A15)-1)*12)+VLOOKUP(CC$4,$DE$6:$DF$17,2)+1))*$D15</f>
        <v>-388.24324880687402</v>
      </c>
      <c r="CE15" s="1021">
        <f>(VLOOKUP(YEAR($A15),'NY East Load Projections'!$A$4:$EO$14,((MONTH($A15)-1)*12)+VLOOKUP(CE$4,$DE$6:$DF$17,2)+1))*$E15</f>
        <v>0</v>
      </c>
      <c r="CF15" s="1021">
        <f>(VLOOKUP(YEAR($A15),'NY East Load Projections'!$A$4:$EO$14,((MONTH($A15)-1)*12)+VLOOKUP(CF$4,$DE$6:$DF$17,2)+1))*$E15</f>
        <v>0</v>
      </c>
      <c r="CG15" s="1021">
        <f>(VLOOKUP(YEAR($A15),'NY East Load Projections'!$A$4:$EO$14,((MONTH($A15)-1)*12)+VLOOKUP(CG$4,$DE$6:$DF$17,2)+1))*$E15</f>
        <v>0</v>
      </c>
      <c r="CH15" s="1021">
        <f>(VLOOKUP(YEAR($A15),'NY East Load Projections'!$A$4:$EO$14,((MONTH($A15)-1)*12)+VLOOKUP(CH$4,$DE$6:$DF$17,2)+1))*$E15</f>
        <v>0</v>
      </c>
      <c r="CI15" s="1021">
        <f>(VLOOKUP(YEAR($A15),'NY East Load Projections'!$A$4:$EO$14,((MONTH($A15)-1)*12)+VLOOKUP(CI$4,$DE$6:$DF$17,2)+1))*$E15</f>
        <v>0</v>
      </c>
      <c r="CJ15" s="1021">
        <f>(VLOOKUP(YEAR($A15),'NY East Load Projections'!$A$4:$EO$14,((MONTH($A15)-1)*12)+VLOOKUP(CJ$4,$DE$6:$DF$17,2)+1))*$E15</f>
        <v>0</v>
      </c>
      <c r="CK15" s="1021">
        <f>(VLOOKUP(YEAR($A15),'NY East Load Projections'!$A$4:$EO$14,((MONTH($A15)-1)*12)+VLOOKUP(CK$4,$DE$6:$DF$17,2)+1))*$E15</f>
        <v>0</v>
      </c>
      <c r="CL15" s="1021">
        <f>(VLOOKUP(YEAR($A15),'NY East Load Projections'!$A$4:$EO$14,((MONTH($A15)-1)*12)+VLOOKUP(CL$4,$DE$6:$DF$17,2)+1))*$E15</f>
        <v>0</v>
      </c>
      <c r="CM15" s="1021">
        <f>(VLOOKUP(YEAR($A15),'NY East Load Projections'!$A$4:$EO$14,((MONTH($A15)-1)*12)+VLOOKUP(CM$4,$DE$6:$DF$17,2)+1))*$E15</f>
        <v>0</v>
      </c>
      <c r="CN15" s="1021">
        <f>(VLOOKUP(YEAR($A15),'NY East Load Projections'!$A$4:$EO$14,((MONTH($A15)-1)*12)+VLOOKUP(CN$4,$DE$6:$DF$17,2)+1))*$E15</f>
        <v>0</v>
      </c>
      <c r="CO15" s="1021">
        <f>(VLOOKUP(YEAR($A15),'NY East Load Projections'!$A$4:$EO$14,((MONTH($A15)-1)*12)+VLOOKUP(CO$4,$DE$6:$DF$17,2)+1))*$E15</f>
        <v>0</v>
      </c>
      <c r="CP15" s="1021">
        <f>(VLOOKUP(YEAR($A15),'NY East Load Projections'!$A$4:$EO$14,((MONTH($A15)-1)*12)+VLOOKUP(CP$4,$DE$6:$DF$17,2)+1))*$E15</f>
        <v>0</v>
      </c>
      <c r="CQ15" s="1021">
        <f>(VLOOKUP(YEAR($A15),'NY East Load Projections'!$A$4:$EO$14,((MONTH($A15)-1)*12)+VLOOKUP(CQ$4,$DE$6:$DF$17,2)+1))*$E15</f>
        <v>0</v>
      </c>
      <c r="CR15" s="1021">
        <f>(VLOOKUP(YEAR($A15),'NY East Load Projections'!$A$4:$EO$14,((MONTH($A15)-1)*12)+VLOOKUP(CR$4,$DE$6:$DF$17,2)+1))*$E15</f>
        <v>0</v>
      </c>
      <c r="CS15" s="1021">
        <f>(VLOOKUP(YEAR($A15),'NY East Load Projections'!$A$4:$EO$14,((MONTH($A15)-1)*12)+VLOOKUP(CS$4,$DE$6:$DF$17,2)+1))*$E15</f>
        <v>0</v>
      </c>
      <c r="CT15" s="1021">
        <f>(VLOOKUP(YEAR($A15),'NY East Load Projections'!$A$4:$EO$14,((MONTH($A15)-1)*12)+VLOOKUP(CT$4,$DE$6:$DF$17,2)+1))*$E15</f>
        <v>0</v>
      </c>
      <c r="CU15" s="1021">
        <f>(VLOOKUP(YEAR($A15),'NY East Load Projections'!$A$4:$EO$14,((MONTH($A15)-1)*12)+VLOOKUP(CU$4,$DE$6:$DF$17,2)+1))*$E15</f>
        <v>0</v>
      </c>
      <c r="CV15" s="1021">
        <f>(VLOOKUP(YEAR($A15),'NY East Load Projections'!$A$4:$EO$14,((MONTH($A15)-1)*12)+VLOOKUP(CV$4,$DE$6:$DF$17,2)+1))*$E15</f>
        <v>0</v>
      </c>
      <c r="CW15" s="1021">
        <f>(VLOOKUP(YEAR($A15),'NY East Load Projections'!$A$4:$EO$14,((MONTH($A15)-1)*12)+VLOOKUP(CW$4,$DE$6:$DF$17,2)+1))*$E15</f>
        <v>0</v>
      </c>
      <c r="CX15" s="1021">
        <f>(VLOOKUP(YEAR($A15),'NY East Load Projections'!$A$4:$EO$14,((MONTH($A15)-1)*12)+VLOOKUP(CX$4,$DE$6:$DF$17,2)+1))*$E15</f>
        <v>0</v>
      </c>
      <c r="CY15" s="1021">
        <f>(VLOOKUP(YEAR($A15),'NY East Load Projections'!$A$4:$EO$14,((MONTH($A15)-1)*12)+VLOOKUP(CY$4,$DE$6:$DF$17,2)+1))*$E15</f>
        <v>0</v>
      </c>
      <c r="CZ15" s="1021">
        <f>(VLOOKUP(YEAR($A15),'NY East Load Projections'!$A$4:$EO$14,((MONTH($A15)-1)*12)+VLOOKUP(CZ$4,$DE$6:$DF$17,2)+1))*$E15</f>
        <v>0</v>
      </c>
      <c r="DA15" s="1021">
        <f>(VLOOKUP(YEAR($A15),'NY East Load Projections'!$A$4:$EO$14,((MONTH($A15)-1)*12)+VLOOKUP(DA$4,$DE$6:$DF$17,2)+1))*$E15</f>
        <v>0</v>
      </c>
      <c r="DB15" s="1021">
        <f>(VLOOKUP(YEAR($A15),'NY East Load Projections'!$A$4:$EO$14,((MONTH($A15)-1)*12)+VLOOKUP(DB$4,$DE$6:$DF$17,2)+1))*$E15</f>
        <v>0</v>
      </c>
      <c r="DE15" s="221" t="s">
        <v>567</v>
      </c>
      <c r="DF15" s="619">
        <v>10</v>
      </c>
      <c r="DH15" s="1009">
        <f t="shared" si="0"/>
        <v>-70868.994686282182</v>
      </c>
      <c r="DI15">
        <f ca="1">CALC!J35</f>
        <v>0.88904496730260629</v>
      </c>
      <c r="DJ15" s="1032">
        <f t="shared" ca="1" si="1"/>
        <v>-63005.723063634323</v>
      </c>
    </row>
    <row r="16" spans="1:114" x14ac:dyDescent="0.25">
      <c r="A16" s="244">
        <v>37196</v>
      </c>
      <c r="B16" s="13">
        <v>21</v>
      </c>
      <c r="C16" s="210">
        <v>4</v>
      </c>
      <c r="D16" s="210">
        <v>4</v>
      </c>
      <c r="E16" s="210">
        <v>1</v>
      </c>
      <c r="F16" s="13">
        <v>30</v>
      </c>
      <c r="H16" s="1021">
        <f>(VLOOKUP(YEAR($A16),'NY East Load Projections'!$A$4:$EO$14,((MONTH($A16)-1)*12)+VLOOKUP(H$4,$DE$6:$DF$17,2)+1))*$B16</f>
        <v>-1746.9265161737667</v>
      </c>
      <c r="I16" s="1021">
        <f>(VLOOKUP(YEAR($A16),'NY East Load Projections'!$A$4:$EO$14,((MONTH($A16)-1)*12)+VLOOKUP(I$4,$DE$6:$DF$17,2)+1))*$B16</f>
        <v>-1746.9265161737667</v>
      </c>
      <c r="J16" s="1021">
        <f>(VLOOKUP(YEAR($A16),'NY East Load Projections'!$A$4:$EO$14,((MONTH($A16)-1)*12)+VLOOKUP(J$4,$DE$6:$DF$17,2)+1))*$B16</f>
        <v>-1746.9265161737667</v>
      </c>
      <c r="K16" s="1021">
        <f>(VLOOKUP(YEAR($A16),'NY East Load Projections'!$A$4:$EO$14,((MONTH($A16)-1)*12)+VLOOKUP(K$4,$DE$6:$DF$17,2)+1))*$B16</f>
        <v>-1746.9265161737667</v>
      </c>
      <c r="L16" s="1021">
        <f>(VLOOKUP(YEAR($A16),'NY East Load Projections'!$A$4:$EO$14,((MONTH($A16)-1)*12)+VLOOKUP(L$4,$DE$6:$DF$17,2)+1))*$B16</f>
        <v>-1848.7217093462286</v>
      </c>
      <c r="M16" s="1021">
        <f>(VLOOKUP(YEAR($A16),'NY East Load Projections'!$A$4:$EO$14,((MONTH($A16)-1)*12)+VLOOKUP(M$4,$DE$6:$DF$17,2)+1))*$B16</f>
        <v>-1848.7217093462286</v>
      </c>
      <c r="N16" s="1021">
        <f>(VLOOKUP(YEAR($A16),'NY East Load Projections'!$A$4:$EO$14,((MONTH($A16)-1)*12)+VLOOKUP(N$4,$DE$6:$DF$17,2)+1))*$B16</f>
        <v>-1848.7217093462286</v>
      </c>
      <c r="O16" s="1021">
        <f>(VLOOKUP(YEAR($A16),'NY East Load Projections'!$A$4:$EO$14,((MONTH($A16)-1)*12)+VLOOKUP(O$4,$DE$6:$DF$17,2)+1))*$B16</f>
        <v>-1848.7217093462286</v>
      </c>
      <c r="P16" s="1021">
        <f>(VLOOKUP(YEAR($A16),'NY East Load Projections'!$A$4:$EO$14,((MONTH($A16)-1)*12)+VLOOKUP(P$4,$DE$6:$DF$17,2)+1))*$B16</f>
        <v>-1923.4232431665323</v>
      </c>
      <c r="Q16" s="1021">
        <f>(VLOOKUP(YEAR($A16),'NY East Load Projections'!$A$4:$EO$14,((MONTH($A16)-1)*12)+VLOOKUP(Q$4,$DE$6:$DF$17,2)+1))*$B16</f>
        <v>-1923.4232431665323</v>
      </c>
      <c r="R16" s="1021">
        <f>(VLOOKUP(YEAR($A16),'NY East Load Projections'!$A$4:$EO$14,((MONTH($A16)-1)*12)+VLOOKUP(R$4,$DE$6:$DF$17,2)+1))*$B16</f>
        <v>-1923.4232431665323</v>
      </c>
      <c r="S16" s="1021">
        <f>(VLOOKUP(YEAR($A16),'NY East Load Projections'!$A$4:$EO$14,((MONTH($A16)-1)*12)+VLOOKUP(S$4,$DE$6:$DF$17,2)+1))*$B16</f>
        <v>-1923.4232431665323</v>
      </c>
      <c r="T16" s="1021">
        <f>(VLOOKUP(YEAR($A16),'NY East Load Projections'!$A$4:$EO$14,((MONTH($A16)-1)*12)+VLOOKUP(T$4,$DE$6:$DF$17,2)+1))*$B16</f>
        <v>-1937.3880363959529</v>
      </c>
      <c r="U16" s="1021">
        <f>(VLOOKUP(YEAR($A16),'NY East Load Projections'!$A$4:$EO$14,((MONTH($A16)-1)*12)+VLOOKUP(U$4,$DE$6:$DF$17,2)+1))*$B16</f>
        <v>-1937.3880363959529</v>
      </c>
      <c r="V16" s="1021">
        <f>(VLOOKUP(YEAR($A16),'NY East Load Projections'!$A$4:$EO$14,((MONTH($A16)-1)*12)+VLOOKUP(V$4,$DE$6:$DF$17,2)+1))*$B16</f>
        <v>-1937.3880363959529</v>
      </c>
      <c r="W16" s="1021">
        <f>(VLOOKUP(YEAR($A16),'NY East Load Projections'!$A$4:$EO$14,((MONTH($A16)-1)*12)+VLOOKUP(W$4,$DE$6:$DF$17,2)+1))*$B16</f>
        <v>-1937.3880363959529</v>
      </c>
      <c r="X16" s="1021">
        <f>(VLOOKUP(YEAR($A16),'NY East Load Projections'!$A$4:$EO$14,((MONTH($A16)-1)*12)+VLOOKUP(X$4,$DE$6:$DF$17,2)+1))*$B16</f>
        <v>-1874.2055523173635</v>
      </c>
      <c r="Y16" s="1021">
        <f>(VLOOKUP(YEAR($A16),'NY East Load Projections'!$A$4:$EO$14,((MONTH($A16)-1)*12)+VLOOKUP(Y$4,$DE$6:$DF$17,2)+1))*$B16</f>
        <v>-1874.2055523173635</v>
      </c>
      <c r="Z16" s="1021">
        <f>(VLOOKUP(YEAR($A16),'NY East Load Projections'!$A$4:$EO$14,((MONTH($A16)-1)*12)+VLOOKUP(Z$4,$DE$6:$DF$17,2)+1))*$B16</f>
        <v>-1874.2055523173635</v>
      </c>
      <c r="AA16" s="1021">
        <f>(VLOOKUP(YEAR($A16),'NY East Load Projections'!$A$4:$EO$14,((MONTH($A16)-1)*12)+VLOOKUP(AA$4,$DE$6:$DF$17,2)+1))*$B16</f>
        <v>-1874.2055523173635</v>
      </c>
      <c r="AB16" s="1021">
        <f>(VLOOKUP(YEAR($A16),'NY East Load Projections'!$A$4:$EO$14,((MONTH($A16)-1)*12)+VLOOKUP(AB$4,$DE$6:$DF$17,2)+1))*$B16</f>
        <v>-1787.3665721446562</v>
      </c>
      <c r="AC16" s="1021">
        <f>(VLOOKUP(YEAR($A16),'NY East Load Projections'!$A$4:$EO$14,((MONTH($A16)-1)*12)+VLOOKUP(AC$4,$DE$6:$DF$17,2)+1))*$B16</f>
        <v>-1787.3665721446562</v>
      </c>
      <c r="AD16" s="1021">
        <f>(VLOOKUP(YEAR($A16),'NY East Load Projections'!$A$4:$EO$14,((MONTH($A16)-1)*12)+VLOOKUP(AD$4,$DE$6:$DF$17,2)+1))*$B16</f>
        <v>-1787.3665721446562</v>
      </c>
      <c r="AE16" s="1021">
        <f>(VLOOKUP(YEAR($A16),'NY East Load Projections'!$A$4:$EO$14,((MONTH($A16)-1)*12)+VLOOKUP(AE$4,$DE$6:$DF$17,2)+1))*$B16</f>
        <v>-1787.3665721446562</v>
      </c>
      <c r="AF16" s="1021"/>
      <c r="AG16" s="1021">
        <f>(VLOOKUP(YEAR($A16),'NY East Load Projections'!$A$4:$EO$14,((MONTH($A16)-1)*12)+VLOOKUP(AG$4,$DE$6:$DF$17,2)+1))*$C16</f>
        <v>-351.77924942507775</v>
      </c>
      <c r="AH16" s="1021">
        <f>(VLOOKUP(YEAR($A16),'NY East Load Projections'!$A$4:$EO$14,((MONTH($A16)-1)*12)+VLOOKUP(AH$4,$DE$6:$DF$17,2)+1))*$C16</f>
        <v>-351.77924942507775</v>
      </c>
      <c r="AI16" s="1021">
        <f>(VLOOKUP(YEAR($A16),'NY East Load Projections'!$A$4:$EO$14,((MONTH($A16)-1)*12)+VLOOKUP(AI$4,$DE$6:$DF$17,2)+1))*$C16</f>
        <v>-351.77924942507775</v>
      </c>
      <c r="AJ16" s="1021">
        <f>(VLOOKUP(YEAR($A16),'NY East Load Projections'!$A$4:$EO$14,((MONTH($A16)-1)*12)+VLOOKUP(AJ$4,$DE$6:$DF$17,2)+1))*$C16</f>
        <v>-351.77924942507775</v>
      </c>
      <c r="AK16" s="1021">
        <f>(VLOOKUP(YEAR($A16),'NY East Load Projections'!$A$4:$EO$14,((MONTH($A16)-1)*12)+VLOOKUP(AK$4,$DE$6:$DF$17,2)+1))*$C16</f>
        <v>-357.47461297767734</v>
      </c>
      <c r="AL16" s="1021">
        <f>(VLOOKUP(YEAR($A16),'NY East Load Projections'!$A$4:$EO$14,((MONTH($A16)-1)*12)+VLOOKUP(AL$4,$DE$6:$DF$17,2)+1))*$C16</f>
        <v>-357.47461297767734</v>
      </c>
      <c r="AM16" s="1021">
        <f>(VLOOKUP(YEAR($A16),'NY East Load Projections'!$A$4:$EO$14,((MONTH($A16)-1)*12)+VLOOKUP(AM$4,$DE$6:$DF$17,2)+1))*$C16</f>
        <v>-357.47461297767734</v>
      </c>
      <c r="AN16" s="1021">
        <f>(VLOOKUP(YEAR($A16),'NY East Load Projections'!$A$4:$EO$14,((MONTH($A16)-1)*12)+VLOOKUP(AN$4,$DE$6:$DF$17,2)+1))*$C16</f>
        <v>-357.47461297767734</v>
      </c>
      <c r="AO16" s="1021">
        <f>(VLOOKUP(YEAR($A16),'NY East Load Projections'!$A$4:$EO$14,((MONTH($A16)-1)*12)+VLOOKUP(AO$4,$DE$6:$DF$17,2)+1))*$C16</f>
        <v>-376.34018474197751</v>
      </c>
      <c r="AP16" s="1021">
        <f>(VLOOKUP(YEAR($A16),'NY East Load Projections'!$A$4:$EO$14,((MONTH($A16)-1)*12)+VLOOKUP(AP$4,$DE$6:$DF$17,2)+1))*$C16</f>
        <v>-376.34018474197751</v>
      </c>
      <c r="AQ16" s="1021">
        <f>(VLOOKUP(YEAR($A16),'NY East Load Projections'!$A$4:$EO$14,((MONTH($A16)-1)*12)+VLOOKUP(AQ$4,$DE$6:$DF$17,2)+1))*$C16</f>
        <v>-376.34018474197751</v>
      </c>
      <c r="AR16" s="1021">
        <f>(VLOOKUP(YEAR($A16),'NY East Load Projections'!$A$4:$EO$14,((MONTH($A16)-1)*12)+VLOOKUP(AR$4,$DE$6:$DF$17,2)+1))*$C16</f>
        <v>-376.34018474197751</v>
      </c>
      <c r="AS16" s="1021">
        <f>(VLOOKUP(YEAR($A16),'NY East Load Projections'!$A$4:$EO$14,((MONTH($A16)-1)*12)+VLOOKUP(AS$4,$DE$6:$DF$17,2)+1))*$C16</f>
        <v>-378.13448271017</v>
      </c>
      <c r="AT16" s="1021">
        <f>(VLOOKUP(YEAR($A16),'NY East Load Projections'!$A$4:$EO$14,((MONTH($A16)-1)*12)+VLOOKUP(AT$4,$DE$6:$DF$17,2)+1))*$C16</f>
        <v>-378.13448271017</v>
      </c>
      <c r="AU16" s="1021">
        <f>(VLOOKUP(YEAR($A16),'NY East Load Projections'!$A$4:$EO$14,((MONTH($A16)-1)*12)+VLOOKUP(AU$4,$DE$6:$DF$17,2)+1))*$C16</f>
        <v>-378.13448271017</v>
      </c>
      <c r="AV16" s="1021">
        <f>(VLOOKUP(YEAR($A16),'NY East Load Projections'!$A$4:$EO$14,((MONTH($A16)-1)*12)+VLOOKUP(AV$4,$DE$6:$DF$17,2)+1))*$C16</f>
        <v>-378.13448271017</v>
      </c>
      <c r="AW16" s="1021">
        <f>(VLOOKUP(YEAR($A16),'NY East Load Projections'!$A$4:$EO$14,((MONTH($A16)-1)*12)+VLOOKUP(AW$4,$DE$6:$DF$17,2)+1))*$C16</f>
        <v>-366.3872742116252</v>
      </c>
      <c r="AX16" s="1021">
        <f>(VLOOKUP(YEAR($A16),'NY East Load Projections'!$A$4:$EO$14,((MONTH($A16)-1)*12)+VLOOKUP(AX$4,$DE$6:$DF$17,2)+1))*$C16</f>
        <v>-366.3872742116252</v>
      </c>
      <c r="AY16" s="1021">
        <f>(VLOOKUP(YEAR($A16),'NY East Load Projections'!$A$4:$EO$14,((MONTH($A16)-1)*12)+VLOOKUP(AY$4,$DE$6:$DF$17,2)+1))*$C16</f>
        <v>-366.3872742116252</v>
      </c>
      <c r="AZ16" s="1021">
        <f>(VLOOKUP(YEAR($A16),'NY East Load Projections'!$A$4:$EO$14,((MONTH($A16)-1)*12)+VLOOKUP(AZ$4,$DE$6:$DF$17,2)+1))*$C16</f>
        <v>-366.3872742116252</v>
      </c>
      <c r="BA16" s="1021">
        <f>(VLOOKUP(YEAR($A16),'NY East Load Projections'!$A$4:$EO$14,((MONTH($A16)-1)*12)+VLOOKUP(BA$4,$DE$6:$DF$17,2)+1))*$C16</f>
        <v>-356.81550490813004</v>
      </c>
      <c r="BB16" s="1021">
        <f>(VLOOKUP(YEAR($A16),'NY East Load Projections'!$A$4:$EO$14,((MONTH($A16)-1)*12)+VLOOKUP(BB$4,$DE$6:$DF$17,2)+1))*$C16</f>
        <v>-356.81550490813004</v>
      </c>
      <c r="BC16" s="1021">
        <f>(VLOOKUP(YEAR($A16),'NY East Load Projections'!$A$4:$EO$14,((MONTH($A16)-1)*12)+VLOOKUP(BC$4,$DE$6:$DF$17,2)+1))*$C16</f>
        <v>-356.81550490813004</v>
      </c>
      <c r="BD16" s="1021">
        <f>(VLOOKUP(YEAR($A16),'NY East Load Projections'!$A$4:$EO$14,((MONTH($A16)-1)*12)+VLOOKUP(BD$4,$DE$6:$DF$17,2)+1))*$C16</f>
        <v>-356.81550490813004</v>
      </c>
      <c r="BE16" s="1021"/>
      <c r="BF16" s="1021">
        <f>(VLOOKUP(YEAR($A16),'NY East Load Projections'!$A$4:$EO$14,((MONTH($A16)-1)*12)+VLOOKUP(BF$4,$DE$6:$DF$17,2)+1))*$D16</f>
        <v>-351.77924942507775</v>
      </c>
      <c r="BG16" s="1021">
        <f>(VLOOKUP(YEAR($A16),'NY East Load Projections'!$A$4:$EO$14,((MONTH($A16)-1)*12)+VLOOKUP(BG$4,$DE$6:$DF$17,2)+1))*$D16</f>
        <v>-351.77924942507775</v>
      </c>
      <c r="BH16" s="1021">
        <f>(VLOOKUP(YEAR($A16),'NY East Load Projections'!$A$4:$EO$14,((MONTH($A16)-1)*12)+VLOOKUP(BH$4,$DE$6:$DF$17,2)+1))*$D16</f>
        <v>-351.77924942507775</v>
      </c>
      <c r="BI16" s="1021">
        <f>(VLOOKUP(YEAR($A16),'NY East Load Projections'!$A$4:$EO$14,((MONTH($A16)-1)*12)+VLOOKUP(BI$4,$DE$6:$DF$17,2)+1))*$D16</f>
        <v>-351.77924942507775</v>
      </c>
      <c r="BJ16" s="1021">
        <f>(VLOOKUP(YEAR($A16),'NY East Load Projections'!$A$4:$EO$14,((MONTH($A16)-1)*12)+VLOOKUP(BJ$4,$DE$6:$DF$17,2)+1))*$D16</f>
        <v>-357.47461297767734</v>
      </c>
      <c r="BK16" s="1021">
        <f>(VLOOKUP(YEAR($A16),'NY East Load Projections'!$A$4:$EO$14,((MONTH($A16)-1)*12)+VLOOKUP(BK$4,$DE$6:$DF$17,2)+1))*$D16</f>
        <v>-357.47461297767734</v>
      </c>
      <c r="BL16" s="1021">
        <f>(VLOOKUP(YEAR($A16),'NY East Load Projections'!$A$4:$EO$14,((MONTH($A16)-1)*12)+VLOOKUP(BL$4,$DE$6:$DF$17,2)+1))*$D16</f>
        <v>-357.47461297767734</v>
      </c>
      <c r="BM16" s="1021">
        <f>(VLOOKUP(YEAR($A16),'NY East Load Projections'!$A$4:$EO$14,((MONTH($A16)-1)*12)+VLOOKUP(BM$4,$DE$6:$DF$17,2)+1))*$D16</f>
        <v>-357.47461297767734</v>
      </c>
      <c r="BN16" s="1021">
        <f>(VLOOKUP(YEAR($A16),'NY East Load Projections'!$A$4:$EO$14,((MONTH($A16)-1)*12)+VLOOKUP(BN$4,$DE$6:$DF$17,2)+1))*$D16</f>
        <v>-376.34018474197751</v>
      </c>
      <c r="BO16" s="1021">
        <f>(VLOOKUP(YEAR($A16),'NY East Load Projections'!$A$4:$EO$14,((MONTH($A16)-1)*12)+VLOOKUP(BO$4,$DE$6:$DF$17,2)+1))*$D16</f>
        <v>-376.34018474197751</v>
      </c>
      <c r="BP16" s="1021">
        <f>(VLOOKUP(YEAR($A16),'NY East Load Projections'!$A$4:$EO$14,((MONTH($A16)-1)*12)+VLOOKUP(BP$4,$DE$6:$DF$17,2)+1))*$D16</f>
        <v>-376.34018474197751</v>
      </c>
      <c r="BQ16" s="1021">
        <f>(VLOOKUP(YEAR($A16),'NY East Load Projections'!$A$4:$EO$14,((MONTH($A16)-1)*12)+VLOOKUP(BQ$4,$DE$6:$DF$17,2)+1))*$D16</f>
        <v>-376.34018474197751</v>
      </c>
      <c r="BR16" s="1021">
        <f>(VLOOKUP(YEAR($A16),'NY East Load Projections'!$A$4:$EO$14,((MONTH($A16)-1)*12)+VLOOKUP(BR$4,$DE$6:$DF$17,2)+1))*$D16</f>
        <v>-378.13448271017</v>
      </c>
      <c r="BS16" s="1021">
        <f>(VLOOKUP(YEAR($A16),'NY East Load Projections'!$A$4:$EO$14,((MONTH($A16)-1)*12)+VLOOKUP(BS$4,$DE$6:$DF$17,2)+1))*$D16</f>
        <v>-378.13448271017</v>
      </c>
      <c r="BT16" s="1021">
        <f>(VLOOKUP(YEAR($A16),'NY East Load Projections'!$A$4:$EO$14,((MONTH($A16)-1)*12)+VLOOKUP(BT$4,$DE$6:$DF$17,2)+1))*$D16</f>
        <v>-378.13448271017</v>
      </c>
      <c r="BU16" s="1021">
        <f>(VLOOKUP(YEAR($A16),'NY East Load Projections'!$A$4:$EO$14,((MONTH($A16)-1)*12)+VLOOKUP(BU$4,$DE$6:$DF$17,2)+1))*$D16</f>
        <v>-378.13448271017</v>
      </c>
      <c r="BV16" s="1021">
        <f>(VLOOKUP(YEAR($A16),'NY East Load Projections'!$A$4:$EO$14,((MONTH($A16)-1)*12)+VLOOKUP(BV$4,$DE$6:$DF$17,2)+1))*$D16</f>
        <v>-366.3872742116252</v>
      </c>
      <c r="BW16" s="1021">
        <f>(VLOOKUP(YEAR($A16),'NY East Load Projections'!$A$4:$EO$14,((MONTH($A16)-1)*12)+VLOOKUP(BW$4,$DE$6:$DF$17,2)+1))*$D16</f>
        <v>-366.3872742116252</v>
      </c>
      <c r="BX16" s="1021">
        <f>(VLOOKUP(YEAR($A16),'NY East Load Projections'!$A$4:$EO$14,((MONTH($A16)-1)*12)+VLOOKUP(BX$4,$DE$6:$DF$17,2)+1))*$D16</f>
        <v>-366.3872742116252</v>
      </c>
      <c r="BY16" s="1021">
        <f>(VLOOKUP(YEAR($A16),'NY East Load Projections'!$A$4:$EO$14,((MONTH($A16)-1)*12)+VLOOKUP(BY$4,$DE$6:$DF$17,2)+1))*$D16</f>
        <v>-366.3872742116252</v>
      </c>
      <c r="BZ16" s="1021">
        <f>(VLOOKUP(YEAR($A16),'NY East Load Projections'!$A$4:$EO$14,((MONTH($A16)-1)*12)+VLOOKUP(BZ$4,$DE$6:$DF$17,2)+1))*$D16</f>
        <v>-356.81550490813004</v>
      </c>
      <c r="CA16" s="1021">
        <f>(VLOOKUP(YEAR($A16),'NY East Load Projections'!$A$4:$EO$14,((MONTH($A16)-1)*12)+VLOOKUP(CA$4,$DE$6:$DF$17,2)+1))*$D16</f>
        <v>-356.81550490813004</v>
      </c>
      <c r="CB16" s="1021">
        <f>(VLOOKUP(YEAR($A16),'NY East Load Projections'!$A$4:$EO$14,((MONTH($A16)-1)*12)+VLOOKUP(CB$4,$DE$6:$DF$17,2)+1))*$D16</f>
        <v>-356.81550490813004</v>
      </c>
      <c r="CC16" s="1021">
        <f>(VLOOKUP(YEAR($A16),'NY East Load Projections'!$A$4:$EO$14,((MONTH($A16)-1)*12)+VLOOKUP(CC$4,$DE$6:$DF$17,2)+1))*$D16</f>
        <v>-356.81550490813004</v>
      </c>
      <c r="CE16" s="1021">
        <f>(VLOOKUP(YEAR($A16),'NY East Load Projections'!$A$4:$EO$14,((MONTH($A16)-1)*12)+VLOOKUP(CE$4,$DE$6:$DF$17,2)+1))*$E16</f>
        <v>-87.944812356269438</v>
      </c>
      <c r="CF16" s="1021">
        <f>(VLOOKUP(YEAR($A16),'NY East Load Projections'!$A$4:$EO$14,((MONTH($A16)-1)*12)+VLOOKUP(CF$4,$DE$6:$DF$17,2)+1))*$E16</f>
        <v>-87.944812356269438</v>
      </c>
      <c r="CG16" s="1021">
        <f>(VLOOKUP(YEAR($A16),'NY East Load Projections'!$A$4:$EO$14,((MONTH($A16)-1)*12)+VLOOKUP(CG$4,$DE$6:$DF$17,2)+1))*$E16</f>
        <v>-87.944812356269438</v>
      </c>
      <c r="CH16" s="1021">
        <f>(VLOOKUP(YEAR($A16),'NY East Load Projections'!$A$4:$EO$14,((MONTH($A16)-1)*12)+VLOOKUP(CH$4,$DE$6:$DF$17,2)+1))*$E16</f>
        <v>-87.944812356269438</v>
      </c>
      <c r="CI16" s="1021">
        <f>(VLOOKUP(YEAR($A16),'NY East Load Projections'!$A$4:$EO$14,((MONTH($A16)-1)*12)+VLOOKUP(CI$4,$DE$6:$DF$17,2)+1))*$E16</f>
        <v>-89.368653244419335</v>
      </c>
      <c r="CJ16" s="1021">
        <f>(VLOOKUP(YEAR($A16),'NY East Load Projections'!$A$4:$EO$14,((MONTH($A16)-1)*12)+VLOOKUP(CJ$4,$DE$6:$DF$17,2)+1))*$E16</f>
        <v>-89.368653244419335</v>
      </c>
      <c r="CK16" s="1021">
        <f>(VLOOKUP(YEAR($A16),'NY East Load Projections'!$A$4:$EO$14,((MONTH($A16)-1)*12)+VLOOKUP(CK$4,$DE$6:$DF$17,2)+1))*$E16</f>
        <v>-89.368653244419335</v>
      </c>
      <c r="CL16" s="1021">
        <f>(VLOOKUP(YEAR($A16),'NY East Load Projections'!$A$4:$EO$14,((MONTH($A16)-1)*12)+VLOOKUP(CL$4,$DE$6:$DF$17,2)+1))*$E16</f>
        <v>-89.368653244419335</v>
      </c>
      <c r="CM16" s="1021">
        <f>(VLOOKUP(YEAR($A16),'NY East Load Projections'!$A$4:$EO$14,((MONTH($A16)-1)*12)+VLOOKUP(CM$4,$DE$6:$DF$17,2)+1))*$E16</f>
        <v>-94.085046185494377</v>
      </c>
      <c r="CN16" s="1021">
        <f>(VLOOKUP(YEAR($A16),'NY East Load Projections'!$A$4:$EO$14,((MONTH($A16)-1)*12)+VLOOKUP(CN$4,$DE$6:$DF$17,2)+1))*$E16</f>
        <v>-94.085046185494377</v>
      </c>
      <c r="CO16" s="1021">
        <f>(VLOOKUP(YEAR($A16),'NY East Load Projections'!$A$4:$EO$14,((MONTH($A16)-1)*12)+VLOOKUP(CO$4,$DE$6:$DF$17,2)+1))*$E16</f>
        <v>-94.085046185494377</v>
      </c>
      <c r="CP16" s="1021">
        <f>(VLOOKUP(YEAR($A16),'NY East Load Projections'!$A$4:$EO$14,((MONTH($A16)-1)*12)+VLOOKUP(CP$4,$DE$6:$DF$17,2)+1))*$E16</f>
        <v>-94.085046185494377</v>
      </c>
      <c r="CQ16" s="1021">
        <f>(VLOOKUP(YEAR($A16),'NY East Load Projections'!$A$4:$EO$14,((MONTH($A16)-1)*12)+VLOOKUP(CQ$4,$DE$6:$DF$17,2)+1))*$E16</f>
        <v>-94.533620677542501</v>
      </c>
      <c r="CR16" s="1021">
        <f>(VLOOKUP(YEAR($A16),'NY East Load Projections'!$A$4:$EO$14,((MONTH($A16)-1)*12)+VLOOKUP(CR$4,$DE$6:$DF$17,2)+1))*$E16</f>
        <v>-94.533620677542501</v>
      </c>
      <c r="CS16" s="1021">
        <f>(VLOOKUP(YEAR($A16),'NY East Load Projections'!$A$4:$EO$14,((MONTH($A16)-1)*12)+VLOOKUP(CS$4,$DE$6:$DF$17,2)+1))*$E16</f>
        <v>-94.533620677542501</v>
      </c>
      <c r="CT16" s="1021">
        <f>(VLOOKUP(YEAR($A16),'NY East Load Projections'!$A$4:$EO$14,((MONTH($A16)-1)*12)+VLOOKUP(CT$4,$DE$6:$DF$17,2)+1))*$E16</f>
        <v>-94.533620677542501</v>
      </c>
      <c r="CU16" s="1021">
        <f>(VLOOKUP(YEAR($A16),'NY East Load Projections'!$A$4:$EO$14,((MONTH($A16)-1)*12)+VLOOKUP(CU$4,$DE$6:$DF$17,2)+1))*$E16</f>
        <v>-91.596818552906299</v>
      </c>
      <c r="CV16" s="1021">
        <f>(VLOOKUP(YEAR($A16),'NY East Load Projections'!$A$4:$EO$14,((MONTH($A16)-1)*12)+VLOOKUP(CV$4,$DE$6:$DF$17,2)+1))*$E16</f>
        <v>-91.596818552906299</v>
      </c>
      <c r="CW16" s="1021">
        <f>(VLOOKUP(YEAR($A16),'NY East Load Projections'!$A$4:$EO$14,((MONTH($A16)-1)*12)+VLOOKUP(CW$4,$DE$6:$DF$17,2)+1))*$E16</f>
        <v>-91.596818552906299</v>
      </c>
      <c r="CX16" s="1021">
        <f>(VLOOKUP(YEAR($A16),'NY East Load Projections'!$A$4:$EO$14,((MONTH($A16)-1)*12)+VLOOKUP(CX$4,$DE$6:$DF$17,2)+1))*$E16</f>
        <v>-91.596818552906299</v>
      </c>
      <c r="CY16" s="1021">
        <f>(VLOOKUP(YEAR($A16),'NY East Load Projections'!$A$4:$EO$14,((MONTH($A16)-1)*12)+VLOOKUP(CY$4,$DE$6:$DF$17,2)+1))*$E16</f>
        <v>-89.203876227032509</v>
      </c>
      <c r="CZ16" s="1021">
        <f>(VLOOKUP(YEAR($A16),'NY East Load Projections'!$A$4:$EO$14,((MONTH($A16)-1)*12)+VLOOKUP(CZ$4,$DE$6:$DF$17,2)+1))*$E16</f>
        <v>-89.203876227032509</v>
      </c>
      <c r="DA16" s="1021">
        <f>(VLOOKUP(YEAR($A16),'NY East Load Projections'!$A$4:$EO$14,((MONTH($A16)-1)*12)+VLOOKUP(DA$4,$DE$6:$DF$17,2)+1))*$E16</f>
        <v>-89.203876227032509</v>
      </c>
      <c r="DB16" s="1021">
        <f>(VLOOKUP(YEAR($A16),'NY East Load Projections'!$A$4:$EO$14,((MONTH($A16)-1)*12)+VLOOKUP(DB$4,$DE$6:$DF$17,2)+1))*$E16</f>
        <v>-89.203876227032509</v>
      </c>
      <c r="DE16" s="221" t="s">
        <v>568</v>
      </c>
      <c r="DF16" s="619">
        <v>11</v>
      </c>
      <c r="DH16" s="1009">
        <f t="shared" si="0"/>
        <v>-64154.508298949906</v>
      </c>
      <c r="DI16">
        <f ca="1">CALC!J36</f>
        <v>0.88371150556546374</v>
      </c>
      <c r="DJ16" s="1032">
        <f t="shared" ca="1" si="1"/>
        <v>-56694.077117677058</v>
      </c>
    </row>
    <row r="17" spans="1:114" x14ac:dyDescent="0.25">
      <c r="A17" s="244">
        <v>37226</v>
      </c>
      <c r="B17" s="13">
        <v>20</v>
      </c>
      <c r="C17" s="210">
        <v>5</v>
      </c>
      <c r="D17" s="210">
        <v>5</v>
      </c>
      <c r="E17" s="210">
        <v>1</v>
      </c>
      <c r="F17" s="13">
        <v>31</v>
      </c>
      <c r="H17" s="1021">
        <f>(VLOOKUP(YEAR($A17),'NY East Load Projections'!$A$4:$EO$14,((MONTH($A17)-1)*12)+VLOOKUP(H$4,$DE$6:$DF$17,2)+1))*$B17</f>
        <v>-1612.9034169342983</v>
      </c>
      <c r="I17" s="1021">
        <f>(VLOOKUP(YEAR($A17),'NY East Load Projections'!$A$4:$EO$14,((MONTH($A17)-1)*12)+VLOOKUP(I$4,$DE$6:$DF$17,2)+1))*$B17</f>
        <v>-1612.9034169342983</v>
      </c>
      <c r="J17" s="1021">
        <f>(VLOOKUP(YEAR($A17),'NY East Load Projections'!$A$4:$EO$14,((MONTH($A17)-1)*12)+VLOOKUP(J$4,$DE$6:$DF$17,2)+1))*$B17</f>
        <v>-1612.9034169342983</v>
      </c>
      <c r="K17" s="1021">
        <f>(VLOOKUP(YEAR($A17),'NY East Load Projections'!$A$4:$EO$14,((MONTH($A17)-1)*12)+VLOOKUP(K$4,$DE$6:$DF$17,2)+1))*$B17</f>
        <v>-1612.9034169342983</v>
      </c>
      <c r="L17" s="1021">
        <f>(VLOOKUP(YEAR($A17),'NY East Load Projections'!$A$4:$EO$14,((MONTH($A17)-1)*12)+VLOOKUP(L$4,$DE$6:$DF$17,2)+1))*$B17</f>
        <v>-1719.3296792369374</v>
      </c>
      <c r="M17" s="1021">
        <f>(VLOOKUP(YEAR($A17),'NY East Load Projections'!$A$4:$EO$14,((MONTH($A17)-1)*12)+VLOOKUP(M$4,$DE$6:$DF$17,2)+1))*$B17</f>
        <v>-1719.3296792369374</v>
      </c>
      <c r="N17" s="1021">
        <f>(VLOOKUP(YEAR($A17),'NY East Load Projections'!$A$4:$EO$14,((MONTH($A17)-1)*12)+VLOOKUP(N$4,$DE$6:$DF$17,2)+1))*$B17</f>
        <v>-1719.3296792369374</v>
      </c>
      <c r="O17" s="1021">
        <f>(VLOOKUP(YEAR($A17),'NY East Load Projections'!$A$4:$EO$14,((MONTH($A17)-1)*12)+VLOOKUP(O$4,$DE$6:$DF$17,2)+1))*$B17</f>
        <v>-1719.3296792369374</v>
      </c>
      <c r="P17" s="1021">
        <f>(VLOOKUP(YEAR($A17),'NY East Load Projections'!$A$4:$EO$14,((MONTH($A17)-1)*12)+VLOOKUP(P$4,$DE$6:$DF$17,2)+1))*$B17</f>
        <v>-1789.8273327783004</v>
      </c>
      <c r="Q17" s="1021">
        <f>(VLOOKUP(YEAR($A17),'NY East Load Projections'!$A$4:$EO$14,((MONTH($A17)-1)*12)+VLOOKUP(Q$4,$DE$6:$DF$17,2)+1))*$B17</f>
        <v>-1789.8273327783004</v>
      </c>
      <c r="R17" s="1021">
        <f>(VLOOKUP(YEAR($A17),'NY East Load Projections'!$A$4:$EO$14,((MONTH($A17)-1)*12)+VLOOKUP(R$4,$DE$6:$DF$17,2)+1))*$B17</f>
        <v>-1789.8273327783004</v>
      </c>
      <c r="S17" s="1021">
        <f>(VLOOKUP(YEAR($A17),'NY East Load Projections'!$A$4:$EO$14,((MONTH($A17)-1)*12)+VLOOKUP(S$4,$DE$6:$DF$17,2)+1))*$B17</f>
        <v>-1789.8273327783004</v>
      </c>
      <c r="T17" s="1021">
        <f>(VLOOKUP(YEAR($A17),'NY East Load Projections'!$A$4:$EO$14,((MONTH($A17)-1)*12)+VLOOKUP(T$4,$DE$6:$DF$17,2)+1))*$B17</f>
        <v>-1785.9654981883489</v>
      </c>
      <c r="U17" s="1021">
        <f>(VLOOKUP(YEAR($A17),'NY East Load Projections'!$A$4:$EO$14,((MONTH($A17)-1)*12)+VLOOKUP(U$4,$DE$6:$DF$17,2)+1))*$B17</f>
        <v>-1785.9654981883489</v>
      </c>
      <c r="V17" s="1021">
        <f>(VLOOKUP(YEAR($A17),'NY East Load Projections'!$A$4:$EO$14,((MONTH($A17)-1)*12)+VLOOKUP(V$4,$DE$6:$DF$17,2)+1))*$B17</f>
        <v>-1785.9654981883489</v>
      </c>
      <c r="W17" s="1021">
        <f>(VLOOKUP(YEAR($A17),'NY East Load Projections'!$A$4:$EO$14,((MONTH($A17)-1)*12)+VLOOKUP(W$4,$DE$6:$DF$17,2)+1))*$B17</f>
        <v>-1785.9654981883489</v>
      </c>
      <c r="X17" s="1021">
        <f>(VLOOKUP(YEAR($A17),'NY East Load Projections'!$A$4:$EO$14,((MONTH($A17)-1)*12)+VLOOKUP(X$4,$DE$6:$DF$17,2)+1))*$B17</f>
        <v>-1726.4469871110384</v>
      </c>
      <c r="Y17" s="1021">
        <f>(VLOOKUP(YEAR($A17),'NY East Load Projections'!$A$4:$EO$14,((MONTH($A17)-1)*12)+VLOOKUP(Y$4,$DE$6:$DF$17,2)+1))*$B17</f>
        <v>-1726.4469871110384</v>
      </c>
      <c r="Z17" s="1021">
        <f>(VLOOKUP(YEAR($A17),'NY East Load Projections'!$A$4:$EO$14,((MONTH($A17)-1)*12)+VLOOKUP(Z$4,$DE$6:$DF$17,2)+1))*$B17</f>
        <v>-1726.4469871110384</v>
      </c>
      <c r="AA17" s="1021">
        <f>(VLOOKUP(YEAR($A17),'NY East Load Projections'!$A$4:$EO$14,((MONTH($A17)-1)*12)+VLOOKUP(AA$4,$DE$6:$DF$17,2)+1))*$B17</f>
        <v>-1726.4469871110384</v>
      </c>
      <c r="AB17" s="1021">
        <f>(VLOOKUP(YEAR($A17),'NY East Load Projections'!$A$4:$EO$14,((MONTH($A17)-1)*12)+VLOOKUP(AB$4,$DE$6:$DF$17,2)+1))*$B17</f>
        <v>-1656.5066022978608</v>
      </c>
      <c r="AC17" s="1021">
        <f>(VLOOKUP(YEAR($A17),'NY East Load Projections'!$A$4:$EO$14,((MONTH($A17)-1)*12)+VLOOKUP(AC$4,$DE$6:$DF$17,2)+1))*$B17</f>
        <v>-1656.5066022978608</v>
      </c>
      <c r="AD17" s="1021">
        <f>(VLOOKUP(YEAR($A17),'NY East Load Projections'!$A$4:$EO$14,((MONTH($A17)-1)*12)+VLOOKUP(AD$4,$DE$6:$DF$17,2)+1))*$B17</f>
        <v>-1656.5066022978608</v>
      </c>
      <c r="AE17" s="1021">
        <f>(VLOOKUP(YEAR($A17),'NY East Load Projections'!$A$4:$EO$14,((MONTH($A17)-1)*12)+VLOOKUP(AE$4,$DE$6:$DF$17,2)+1))*$B17</f>
        <v>-1656.5066022978608</v>
      </c>
      <c r="AF17" s="1021"/>
      <c r="AG17" s="1021">
        <f>(VLOOKUP(YEAR($A17),'NY East Load Projections'!$A$4:$EO$14,((MONTH($A17)-1)*12)+VLOOKUP(AG$4,$DE$6:$DF$17,2)+1))*$C17</f>
        <v>-411.58074905979703</v>
      </c>
      <c r="AH17" s="1021">
        <f>(VLOOKUP(YEAR($A17),'NY East Load Projections'!$A$4:$EO$14,((MONTH($A17)-1)*12)+VLOOKUP(AH$4,$DE$6:$DF$17,2)+1))*$C17</f>
        <v>-411.58074905979703</v>
      </c>
      <c r="AI17" s="1021">
        <f>(VLOOKUP(YEAR($A17),'NY East Load Projections'!$A$4:$EO$14,((MONTH($A17)-1)*12)+VLOOKUP(AI$4,$DE$6:$DF$17,2)+1))*$C17</f>
        <v>-411.58074905979703</v>
      </c>
      <c r="AJ17" s="1021">
        <f>(VLOOKUP(YEAR($A17),'NY East Load Projections'!$A$4:$EO$14,((MONTH($A17)-1)*12)+VLOOKUP(AJ$4,$DE$6:$DF$17,2)+1))*$C17</f>
        <v>-411.58074905979703</v>
      </c>
      <c r="AK17" s="1021">
        <f>(VLOOKUP(YEAR($A17),'NY East Load Projections'!$A$4:$EO$14,((MONTH($A17)-1)*12)+VLOOKUP(AK$4,$DE$6:$DF$17,2)+1))*$C17</f>
        <v>-420.99278863890879</v>
      </c>
      <c r="AL17" s="1021">
        <f>(VLOOKUP(YEAR($A17),'NY East Load Projections'!$A$4:$EO$14,((MONTH($A17)-1)*12)+VLOOKUP(AL$4,$DE$6:$DF$17,2)+1))*$C17</f>
        <v>-420.99278863890879</v>
      </c>
      <c r="AM17" s="1021">
        <f>(VLOOKUP(YEAR($A17),'NY East Load Projections'!$A$4:$EO$14,((MONTH($A17)-1)*12)+VLOOKUP(AM$4,$DE$6:$DF$17,2)+1))*$C17</f>
        <v>-420.99278863890879</v>
      </c>
      <c r="AN17" s="1021">
        <f>(VLOOKUP(YEAR($A17),'NY East Load Projections'!$A$4:$EO$14,((MONTH($A17)-1)*12)+VLOOKUP(AN$4,$DE$6:$DF$17,2)+1))*$C17</f>
        <v>-420.99278863890879</v>
      </c>
      <c r="AO17" s="1021">
        <f>(VLOOKUP(YEAR($A17),'NY East Load Projections'!$A$4:$EO$14,((MONTH($A17)-1)*12)+VLOOKUP(AO$4,$DE$6:$DF$17,2)+1))*$C17</f>
        <v>-440.02276432728252</v>
      </c>
      <c r="AP17" s="1021">
        <f>(VLOOKUP(YEAR($A17),'NY East Load Projections'!$A$4:$EO$14,((MONTH($A17)-1)*12)+VLOOKUP(AP$4,$DE$6:$DF$17,2)+1))*$C17</f>
        <v>-440.02276432728252</v>
      </c>
      <c r="AQ17" s="1021">
        <f>(VLOOKUP(YEAR($A17),'NY East Load Projections'!$A$4:$EO$14,((MONTH($A17)-1)*12)+VLOOKUP(AQ$4,$DE$6:$DF$17,2)+1))*$C17</f>
        <v>-440.02276432728252</v>
      </c>
      <c r="AR17" s="1021">
        <f>(VLOOKUP(YEAR($A17),'NY East Load Projections'!$A$4:$EO$14,((MONTH($A17)-1)*12)+VLOOKUP(AR$4,$DE$6:$DF$17,2)+1))*$C17</f>
        <v>-440.02276432728252</v>
      </c>
      <c r="AS17" s="1021">
        <f>(VLOOKUP(YEAR($A17),'NY East Load Projections'!$A$4:$EO$14,((MONTH($A17)-1)*12)+VLOOKUP(AS$4,$DE$6:$DF$17,2)+1))*$C17</f>
        <v>-438.18514270227615</v>
      </c>
      <c r="AT17" s="1021">
        <f>(VLOOKUP(YEAR($A17),'NY East Load Projections'!$A$4:$EO$14,((MONTH($A17)-1)*12)+VLOOKUP(AT$4,$DE$6:$DF$17,2)+1))*$C17</f>
        <v>-438.18514270227615</v>
      </c>
      <c r="AU17" s="1021">
        <f>(VLOOKUP(YEAR($A17),'NY East Load Projections'!$A$4:$EO$14,((MONTH($A17)-1)*12)+VLOOKUP(AU$4,$DE$6:$DF$17,2)+1))*$C17</f>
        <v>-438.18514270227615</v>
      </c>
      <c r="AV17" s="1021">
        <f>(VLOOKUP(YEAR($A17),'NY East Load Projections'!$A$4:$EO$14,((MONTH($A17)-1)*12)+VLOOKUP(AV$4,$DE$6:$DF$17,2)+1))*$C17</f>
        <v>-438.18514270227615</v>
      </c>
      <c r="AW17" s="1021">
        <f>(VLOOKUP(YEAR($A17),'NY East Load Projections'!$A$4:$EO$14,((MONTH($A17)-1)*12)+VLOOKUP(AW$4,$DE$6:$DF$17,2)+1))*$C17</f>
        <v>-428.35865672941031</v>
      </c>
      <c r="AX17" s="1021">
        <f>(VLOOKUP(YEAR($A17),'NY East Load Projections'!$A$4:$EO$14,((MONTH($A17)-1)*12)+VLOOKUP(AX$4,$DE$6:$DF$17,2)+1))*$C17</f>
        <v>-428.35865672941031</v>
      </c>
      <c r="AY17" s="1021">
        <f>(VLOOKUP(YEAR($A17),'NY East Load Projections'!$A$4:$EO$14,((MONTH($A17)-1)*12)+VLOOKUP(AY$4,$DE$6:$DF$17,2)+1))*$C17</f>
        <v>-428.35865672941031</v>
      </c>
      <c r="AZ17" s="1021">
        <f>(VLOOKUP(YEAR($A17),'NY East Load Projections'!$A$4:$EO$14,((MONTH($A17)-1)*12)+VLOOKUP(AZ$4,$DE$6:$DF$17,2)+1))*$C17</f>
        <v>-428.35865672941031</v>
      </c>
      <c r="BA17" s="1021">
        <f>(VLOOKUP(YEAR($A17),'NY East Load Projections'!$A$4:$EO$14,((MONTH($A17)-1)*12)+VLOOKUP(BA$4,$DE$6:$DF$17,2)+1))*$C17</f>
        <v>-420.3323213236032</v>
      </c>
      <c r="BB17" s="1021">
        <f>(VLOOKUP(YEAR($A17),'NY East Load Projections'!$A$4:$EO$14,((MONTH($A17)-1)*12)+VLOOKUP(BB$4,$DE$6:$DF$17,2)+1))*$C17</f>
        <v>-420.3323213236032</v>
      </c>
      <c r="BC17" s="1021">
        <f>(VLOOKUP(YEAR($A17),'NY East Load Projections'!$A$4:$EO$14,((MONTH($A17)-1)*12)+VLOOKUP(BC$4,$DE$6:$DF$17,2)+1))*$C17</f>
        <v>-420.3323213236032</v>
      </c>
      <c r="BD17" s="1021">
        <f>(VLOOKUP(YEAR($A17),'NY East Load Projections'!$A$4:$EO$14,((MONTH($A17)-1)*12)+VLOOKUP(BD$4,$DE$6:$DF$17,2)+1))*$C17</f>
        <v>-420.3323213236032</v>
      </c>
      <c r="BE17" s="1021"/>
      <c r="BF17" s="1021">
        <f>(VLOOKUP(YEAR($A17),'NY East Load Projections'!$A$4:$EO$14,((MONTH($A17)-1)*12)+VLOOKUP(BF$4,$DE$6:$DF$17,2)+1))*$D17</f>
        <v>-411.58074905979703</v>
      </c>
      <c r="BG17" s="1021">
        <f>(VLOOKUP(YEAR($A17),'NY East Load Projections'!$A$4:$EO$14,((MONTH($A17)-1)*12)+VLOOKUP(BG$4,$DE$6:$DF$17,2)+1))*$D17</f>
        <v>-411.58074905979703</v>
      </c>
      <c r="BH17" s="1021">
        <f>(VLOOKUP(YEAR($A17),'NY East Load Projections'!$A$4:$EO$14,((MONTH($A17)-1)*12)+VLOOKUP(BH$4,$DE$6:$DF$17,2)+1))*$D17</f>
        <v>-411.58074905979703</v>
      </c>
      <c r="BI17" s="1021">
        <f>(VLOOKUP(YEAR($A17),'NY East Load Projections'!$A$4:$EO$14,((MONTH($A17)-1)*12)+VLOOKUP(BI$4,$DE$6:$DF$17,2)+1))*$D17</f>
        <v>-411.58074905979703</v>
      </c>
      <c r="BJ17" s="1021">
        <f>(VLOOKUP(YEAR($A17),'NY East Load Projections'!$A$4:$EO$14,((MONTH($A17)-1)*12)+VLOOKUP(BJ$4,$DE$6:$DF$17,2)+1))*$D17</f>
        <v>-420.99278863890879</v>
      </c>
      <c r="BK17" s="1021">
        <f>(VLOOKUP(YEAR($A17),'NY East Load Projections'!$A$4:$EO$14,((MONTH($A17)-1)*12)+VLOOKUP(BK$4,$DE$6:$DF$17,2)+1))*$D17</f>
        <v>-420.99278863890879</v>
      </c>
      <c r="BL17" s="1021">
        <f>(VLOOKUP(YEAR($A17),'NY East Load Projections'!$A$4:$EO$14,((MONTH($A17)-1)*12)+VLOOKUP(BL$4,$DE$6:$DF$17,2)+1))*$D17</f>
        <v>-420.99278863890879</v>
      </c>
      <c r="BM17" s="1021">
        <f>(VLOOKUP(YEAR($A17),'NY East Load Projections'!$A$4:$EO$14,((MONTH($A17)-1)*12)+VLOOKUP(BM$4,$DE$6:$DF$17,2)+1))*$D17</f>
        <v>-420.99278863890879</v>
      </c>
      <c r="BN17" s="1021">
        <f>(VLOOKUP(YEAR($A17),'NY East Load Projections'!$A$4:$EO$14,((MONTH($A17)-1)*12)+VLOOKUP(BN$4,$DE$6:$DF$17,2)+1))*$D17</f>
        <v>-440.02276432728252</v>
      </c>
      <c r="BO17" s="1021">
        <f>(VLOOKUP(YEAR($A17),'NY East Load Projections'!$A$4:$EO$14,((MONTH($A17)-1)*12)+VLOOKUP(BO$4,$DE$6:$DF$17,2)+1))*$D17</f>
        <v>-440.02276432728252</v>
      </c>
      <c r="BP17" s="1021">
        <f>(VLOOKUP(YEAR($A17),'NY East Load Projections'!$A$4:$EO$14,((MONTH($A17)-1)*12)+VLOOKUP(BP$4,$DE$6:$DF$17,2)+1))*$D17</f>
        <v>-440.02276432728252</v>
      </c>
      <c r="BQ17" s="1021">
        <f>(VLOOKUP(YEAR($A17),'NY East Load Projections'!$A$4:$EO$14,((MONTH($A17)-1)*12)+VLOOKUP(BQ$4,$DE$6:$DF$17,2)+1))*$D17</f>
        <v>-440.02276432728252</v>
      </c>
      <c r="BR17" s="1021">
        <f>(VLOOKUP(YEAR($A17),'NY East Load Projections'!$A$4:$EO$14,((MONTH($A17)-1)*12)+VLOOKUP(BR$4,$DE$6:$DF$17,2)+1))*$D17</f>
        <v>-438.18514270227615</v>
      </c>
      <c r="BS17" s="1021">
        <f>(VLOOKUP(YEAR($A17),'NY East Load Projections'!$A$4:$EO$14,((MONTH($A17)-1)*12)+VLOOKUP(BS$4,$DE$6:$DF$17,2)+1))*$D17</f>
        <v>-438.18514270227615</v>
      </c>
      <c r="BT17" s="1021">
        <f>(VLOOKUP(YEAR($A17),'NY East Load Projections'!$A$4:$EO$14,((MONTH($A17)-1)*12)+VLOOKUP(BT$4,$DE$6:$DF$17,2)+1))*$D17</f>
        <v>-438.18514270227615</v>
      </c>
      <c r="BU17" s="1021">
        <f>(VLOOKUP(YEAR($A17),'NY East Load Projections'!$A$4:$EO$14,((MONTH($A17)-1)*12)+VLOOKUP(BU$4,$DE$6:$DF$17,2)+1))*$D17</f>
        <v>-438.18514270227615</v>
      </c>
      <c r="BV17" s="1021">
        <f>(VLOOKUP(YEAR($A17),'NY East Load Projections'!$A$4:$EO$14,((MONTH($A17)-1)*12)+VLOOKUP(BV$4,$DE$6:$DF$17,2)+1))*$D17</f>
        <v>-428.35865672941031</v>
      </c>
      <c r="BW17" s="1021">
        <f>(VLOOKUP(YEAR($A17),'NY East Load Projections'!$A$4:$EO$14,((MONTH($A17)-1)*12)+VLOOKUP(BW$4,$DE$6:$DF$17,2)+1))*$D17</f>
        <v>-428.35865672941031</v>
      </c>
      <c r="BX17" s="1021">
        <f>(VLOOKUP(YEAR($A17),'NY East Load Projections'!$A$4:$EO$14,((MONTH($A17)-1)*12)+VLOOKUP(BX$4,$DE$6:$DF$17,2)+1))*$D17</f>
        <v>-428.35865672941031</v>
      </c>
      <c r="BY17" s="1021">
        <f>(VLOOKUP(YEAR($A17),'NY East Load Projections'!$A$4:$EO$14,((MONTH($A17)-1)*12)+VLOOKUP(BY$4,$DE$6:$DF$17,2)+1))*$D17</f>
        <v>-428.35865672941031</v>
      </c>
      <c r="BZ17" s="1021">
        <f>(VLOOKUP(YEAR($A17),'NY East Load Projections'!$A$4:$EO$14,((MONTH($A17)-1)*12)+VLOOKUP(BZ$4,$DE$6:$DF$17,2)+1))*$D17</f>
        <v>-420.3323213236032</v>
      </c>
      <c r="CA17" s="1021">
        <f>(VLOOKUP(YEAR($A17),'NY East Load Projections'!$A$4:$EO$14,((MONTH($A17)-1)*12)+VLOOKUP(CA$4,$DE$6:$DF$17,2)+1))*$D17</f>
        <v>-420.3323213236032</v>
      </c>
      <c r="CB17" s="1021">
        <f>(VLOOKUP(YEAR($A17),'NY East Load Projections'!$A$4:$EO$14,((MONTH($A17)-1)*12)+VLOOKUP(CB$4,$DE$6:$DF$17,2)+1))*$D17</f>
        <v>-420.3323213236032</v>
      </c>
      <c r="CC17" s="1021">
        <f>(VLOOKUP(YEAR($A17),'NY East Load Projections'!$A$4:$EO$14,((MONTH($A17)-1)*12)+VLOOKUP(CC$4,$DE$6:$DF$17,2)+1))*$D17</f>
        <v>-420.3323213236032</v>
      </c>
      <c r="CE17" s="1021">
        <f>(VLOOKUP(YEAR($A17),'NY East Load Projections'!$A$4:$EO$14,((MONTH($A17)-1)*12)+VLOOKUP(CE$4,$DE$6:$DF$17,2)+1))*$E17</f>
        <v>-82.316149811959406</v>
      </c>
      <c r="CF17" s="1021">
        <f>(VLOOKUP(YEAR($A17),'NY East Load Projections'!$A$4:$EO$14,((MONTH($A17)-1)*12)+VLOOKUP(CF$4,$DE$6:$DF$17,2)+1))*$E17</f>
        <v>-82.316149811959406</v>
      </c>
      <c r="CG17" s="1021">
        <f>(VLOOKUP(YEAR($A17),'NY East Load Projections'!$A$4:$EO$14,((MONTH($A17)-1)*12)+VLOOKUP(CG$4,$DE$6:$DF$17,2)+1))*$E17</f>
        <v>-82.316149811959406</v>
      </c>
      <c r="CH17" s="1021">
        <f>(VLOOKUP(YEAR($A17),'NY East Load Projections'!$A$4:$EO$14,((MONTH($A17)-1)*12)+VLOOKUP(CH$4,$DE$6:$DF$17,2)+1))*$E17</f>
        <v>-82.316149811959406</v>
      </c>
      <c r="CI17" s="1021">
        <f>(VLOOKUP(YEAR($A17),'NY East Load Projections'!$A$4:$EO$14,((MONTH($A17)-1)*12)+VLOOKUP(CI$4,$DE$6:$DF$17,2)+1))*$E17</f>
        <v>-84.198557727781761</v>
      </c>
      <c r="CJ17" s="1021">
        <f>(VLOOKUP(YEAR($A17),'NY East Load Projections'!$A$4:$EO$14,((MONTH($A17)-1)*12)+VLOOKUP(CJ$4,$DE$6:$DF$17,2)+1))*$E17</f>
        <v>-84.198557727781761</v>
      </c>
      <c r="CK17" s="1021">
        <f>(VLOOKUP(YEAR($A17),'NY East Load Projections'!$A$4:$EO$14,((MONTH($A17)-1)*12)+VLOOKUP(CK$4,$DE$6:$DF$17,2)+1))*$E17</f>
        <v>-84.198557727781761</v>
      </c>
      <c r="CL17" s="1021">
        <f>(VLOOKUP(YEAR($A17),'NY East Load Projections'!$A$4:$EO$14,((MONTH($A17)-1)*12)+VLOOKUP(CL$4,$DE$6:$DF$17,2)+1))*$E17</f>
        <v>-84.198557727781761</v>
      </c>
      <c r="CM17" s="1021">
        <f>(VLOOKUP(YEAR($A17),'NY East Load Projections'!$A$4:$EO$14,((MONTH($A17)-1)*12)+VLOOKUP(CM$4,$DE$6:$DF$17,2)+1))*$E17</f>
        <v>-88.004552865456503</v>
      </c>
      <c r="CN17" s="1021">
        <f>(VLOOKUP(YEAR($A17),'NY East Load Projections'!$A$4:$EO$14,((MONTH($A17)-1)*12)+VLOOKUP(CN$4,$DE$6:$DF$17,2)+1))*$E17</f>
        <v>-88.004552865456503</v>
      </c>
      <c r="CO17" s="1021">
        <f>(VLOOKUP(YEAR($A17),'NY East Load Projections'!$A$4:$EO$14,((MONTH($A17)-1)*12)+VLOOKUP(CO$4,$DE$6:$DF$17,2)+1))*$E17</f>
        <v>-88.004552865456503</v>
      </c>
      <c r="CP17" s="1021">
        <f>(VLOOKUP(YEAR($A17),'NY East Load Projections'!$A$4:$EO$14,((MONTH($A17)-1)*12)+VLOOKUP(CP$4,$DE$6:$DF$17,2)+1))*$E17</f>
        <v>-88.004552865456503</v>
      </c>
      <c r="CQ17" s="1021">
        <f>(VLOOKUP(YEAR($A17),'NY East Load Projections'!$A$4:$EO$14,((MONTH($A17)-1)*12)+VLOOKUP(CQ$4,$DE$6:$DF$17,2)+1))*$E17</f>
        <v>-87.637028540455233</v>
      </c>
      <c r="CR17" s="1021">
        <f>(VLOOKUP(YEAR($A17),'NY East Load Projections'!$A$4:$EO$14,((MONTH($A17)-1)*12)+VLOOKUP(CR$4,$DE$6:$DF$17,2)+1))*$E17</f>
        <v>-87.637028540455233</v>
      </c>
      <c r="CS17" s="1021">
        <f>(VLOOKUP(YEAR($A17),'NY East Load Projections'!$A$4:$EO$14,((MONTH($A17)-1)*12)+VLOOKUP(CS$4,$DE$6:$DF$17,2)+1))*$E17</f>
        <v>-87.637028540455233</v>
      </c>
      <c r="CT17" s="1021">
        <f>(VLOOKUP(YEAR($A17),'NY East Load Projections'!$A$4:$EO$14,((MONTH($A17)-1)*12)+VLOOKUP(CT$4,$DE$6:$DF$17,2)+1))*$E17</f>
        <v>-87.637028540455233</v>
      </c>
      <c r="CU17" s="1021">
        <f>(VLOOKUP(YEAR($A17),'NY East Load Projections'!$A$4:$EO$14,((MONTH($A17)-1)*12)+VLOOKUP(CU$4,$DE$6:$DF$17,2)+1))*$E17</f>
        <v>-85.671731345882066</v>
      </c>
      <c r="CV17" s="1021">
        <f>(VLOOKUP(YEAR($A17),'NY East Load Projections'!$A$4:$EO$14,((MONTH($A17)-1)*12)+VLOOKUP(CV$4,$DE$6:$DF$17,2)+1))*$E17</f>
        <v>-85.671731345882066</v>
      </c>
      <c r="CW17" s="1021">
        <f>(VLOOKUP(YEAR($A17),'NY East Load Projections'!$A$4:$EO$14,((MONTH($A17)-1)*12)+VLOOKUP(CW$4,$DE$6:$DF$17,2)+1))*$E17</f>
        <v>-85.671731345882066</v>
      </c>
      <c r="CX17" s="1021">
        <f>(VLOOKUP(YEAR($A17),'NY East Load Projections'!$A$4:$EO$14,((MONTH($A17)-1)*12)+VLOOKUP(CX$4,$DE$6:$DF$17,2)+1))*$E17</f>
        <v>-85.671731345882066</v>
      </c>
      <c r="CY17" s="1021">
        <f>(VLOOKUP(YEAR($A17),'NY East Load Projections'!$A$4:$EO$14,((MONTH($A17)-1)*12)+VLOOKUP(CY$4,$DE$6:$DF$17,2)+1))*$E17</f>
        <v>-84.066464264720636</v>
      </c>
      <c r="CZ17" s="1021">
        <f>(VLOOKUP(YEAR($A17),'NY East Load Projections'!$A$4:$EO$14,((MONTH($A17)-1)*12)+VLOOKUP(CZ$4,$DE$6:$DF$17,2)+1))*$E17</f>
        <v>-84.066464264720636</v>
      </c>
      <c r="DA17" s="1021">
        <f>(VLOOKUP(YEAR($A17),'NY East Load Projections'!$A$4:$EO$14,((MONTH($A17)-1)*12)+VLOOKUP(DA$4,$DE$6:$DF$17,2)+1))*$E17</f>
        <v>-84.066464264720636</v>
      </c>
      <c r="DB17" s="1021">
        <f>(VLOOKUP(YEAR($A17),'NY East Load Projections'!$A$4:$EO$14,((MONTH($A17)-1)*12)+VLOOKUP(DB$4,$DE$6:$DF$17,2)+1))*$E17</f>
        <v>-84.066464264720636</v>
      </c>
      <c r="DE17" s="1019" t="s">
        <v>569</v>
      </c>
      <c r="DF17" s="1020">
        <v>12</v>
      </c>
      <c r="DH17" s="1009">
        <f t="shared" si="0"/>
        <v>-63687.275386662353</v>
      </c>
      <c r="DI17">
        <f ca="1">CALC!J37</f>
        <v>0.87822441142858754</v>
      </c>
      <c r="DJ17" s="1032">
        <f t="shared" ca="1" si="1"/>
        <v>-55931.719941941912</v>
      </c>
    </row>
    <row r="18" spans="1:114" x14ac:dyDescent="0.25">
      <c r="A18" s="244">
        <v>37257</v>
      </c>
      <c r="B18" s="13">
        <v>22</v>
      </c>
      <c r="C18" s="210">
        <v>4</v>
      </c>
      <c r="D18" s="210">
        <v>4</v>
      </c>
      <c r="E18" s="210">
        <v>1</v>
      </c>
      <c r="F18" s="13">
        <v>31</v>
      </c>
      <c r="H18" s="1021">
        <f>(VLOOKUP(YEAR($A18),'NY East Load Projections'!$A$4:$EO$14,((MONTH($A18)-1)*12)+VLOOKUP(H$4,$DE$6:$DF$17,2)+1))*$B18</f>
        <v>-1676.0182873896379</v>
      </c>
      <c r="I18" s="1021">
        <f>(VLOOKUP(YEAR($A18),'NY East Load Projections'!$A$4:$EO$14,((MONTH($A18)-1)*12)+VLOOKUP(I$4,$DE$6:$DF$17,2)+1))*$B18</f>
        <v>-1676.0182873896379</v>
      </c>
      <c r="J18" s="1021">
        <f>(VLOOKUP(YEAR($A18),'NY East Load Projections'!$A$4:$EO$14,((MONTH($A18)-1)*12)+VLOOKUP(J$4,$DE$6:$DF$17,2)+1))*$B18</f>
        <v>-1676.0182873896379</v>
      </c>
      <c r="K18" s="1021">
        <f>(VLOOKUP(YEAR($A18),'NY East Load Projections'!$A$4:$EO$14,((MONTH($A18)-1)*12)+VLOOKUP(K$4,$DE$6:$DF$17,2)+1))*$B18</f>
        <v>-1676.0182873896379</v>
      </c>
      <c r="L18" s="1021">
        <f>(VLOOKUP(YEAR($A18),'NY East Load Projections'!$A$4:$EO$14,((MONTH($A18)-1)*12)+VLOOKUP(L$4,$DE$6:$DF$17,2)+1))*$B18</f>
        <v>-1818.3691886591503</v>
      </c>
      <c r="M18" s="1021">
        <f>(VLOOKUP(YEAR($A18),'NY East Load Projections'!$A$4:$EO$14,((MONTH($A18)-1)*12)+VLOOKUP(M$4,$DE$6:$DF$17,2)+1))*$B18</f>
        <v>-1818.3691886591503</v>
      </c>
      <c r="N18" s="1021">
        <f>(VLOOKUP(YEAR($A18),'NY East Load Projections'!$A$4:$EO$14,((MONTH($A18)-1)*12)+VLOOKUP(N$4,$DE$6:$DF$17,2)+1))*$B18</f>
        <v>-1818.3691886591503</v>
      </c>
      <c r="O18" s="1021">
        <f>(VLOOKUP(YEAR($A18),'NY East Load Projections'!$A$4:$EO$14,((MONTH($A18)-1)*12)+VLOOKUP(O$4,$DE$6:$DF$17,2)+1))*$B18</f>
        <v>-1818.3691886591503</v>
      </c>
      <c r="P18" s="1021">
        <f>(VLOOKUP(YEAR($A18),'NY East Load Projections'!$A$4:$EO$14,((MONTH($A18)-1)*12)+VLOOKUP(P$4,$DE$6:$DF$17,2)+1))*$B18</f>
        <v>-1892.5256628681057</v>
      </c>
      <c r="Q18" s="1021">
        <f>(VLOOKUP(YEAR($A18),'NY East Load Projections'!$A$4:$EO$14,((MONTH($A18)-1)*12)+VLOOKUP(Q$4,$DE$6:$DF$17,2)+1))*$B18</f>
        <v>-1892.5256628681057</v>
      </c>
      <c r="R18" s="1021">
        <f>(VLOOKUP(YEAR($A18),'NY East Load Projections'!$A$4:$EO$14,((MONTH($A18)-1)*12)+VLOOKUP(R$4,$DE$6:$DF$17,2)+1))*$B18</f>
        <v>-1892.5256628681057</v>
      </c>
      <c r="S18" s="1021">
        <f>(VLOOKUP(YEAR($A18),'NY East Load Projections'!$A$4:$EO$14,((MONTH($A18)-1)*12)+VLOOKUP(S$4,$DE$6:$DF$17,2)+1))*$B18</f>
        <v>-1892.5256628681057</v>
      </c>
      <c r="T18" s="1021">
        <f>(VLOOKUP(YEAR($A18),'NY East Load Projections'!$A$4:$EO$14,((MONTH($A18)-1)*12)+VLOOKUP(T$4,$DE$6:$DF$17,2)+1))*$B18</f>
        <v>-1889.6576069608204</v>
      </c>
      <c r="U18" s="1021">
        <f>(VLOOKUP(YEAR($A18),'NY East Load Projections'!$A$4:$EO$14,((MONTH($A18)-1)*12)+VLOOKUP(U$4,$DE$6:$DF$17,2)+1))*$B18</f>
        <v>-1889.6576069608204</v>
      </c>
      <c r="V18" s="1021">
        <f>(VLOOKUP(YEAR($A18),'NY East Load Projections'!$A$4:$EO$14,((MONTH($A18)-1)*12)+VLOOKUP(V$4,$DE$6:$DF$17,2)+1))*$B18</f>
        <v>-1889.6576069608204</v>
      </c>
      <c r="W18" s="1021">
        <f>(VLOOKUP(YEAR($A18),'NY East Load Projections'!$A$4:$EO$14,((MONTH($A18)-1)*12)+VLOOKUP(W$4,$DE$6:$DF$17,2)+1))*$B18</f>
        <v>-1889.6576069608204</v>
      </c>
      <c r="X18" s="1021">
        <f>(VLOOKUP(YEAR($A18),'NY East Load Projections'!$A$4:$EO$14,((MONTH($A18)-1)*12)+VLOOKUP(X$4,$DE$6:$DF$17,2)+1))*$B18</f>
        <v>-1814.792447211853</v>
      </c>
      <c r="Y18" s="1021">
        <f>(VLOOKUP(YEAR($A18),'NY East Load Projections'!$A$4:$EO$14,((MONTH($A18)-1)*12)+VLOOKUP(Y$4,$DE$6:$DF$17,2)+1))*$B18</f>
        <v>-1814.792447211853</v>
      </c>
      <c r="Z18" s="1021">
        <f>(VLOOKUP(YEAR($A18),'NY East Load Projections'!$A$4:$EO$14,((MONTH($A18)-1)*12)+VLOOKUP(Z$4,$DE$6:$DF$17,2)+1))*$B18</f>
        <v>-1814.792447211853</v>
      </c>
      <c r="AA18" s="1021">
        <f>(VLOOKUP(YEAR($A18),'NY East Load Projections'!$A$4:$EO$14,((MONTH($A18)-1)*12)+VLOOKUP(AA$4,$DE$6:$DF$17,2)+1))*$B18</f>
        <v>-1814.792447211853</v>
      </c>
      <c r="AB18" s="1021">
        <f>(VLOOKUP(YEAR($A18),'NY East Load Projections'!$A$4:$EO$14,((MONTH($A18)-1)*12)+VLOOKUP(AB$4,$DE$6:$DF$17,2)+1))*$B18</f>
        <v>-1726.3124782823754</v>
      </c>
      <c r="AC18" s="1021">
        <f>(VLOOKUP(YEAR($A18),'NY East Load Projections'!$A$4:$EO$14,((MONTH($A18)-1)*12)+VLOOKUP(AC$4,$DE$6:$DF$17,2)+1))*$B18</f>
        <v>-1726.3124782823754</v>
      </c>
      <c r="AD18" s="1021">
        <f>(VLOOKUP(YEAR($A18),'NY East Load Projections'!$A$4:$EO$14,((MONTH($A18)-1)*12)+VLOOKUP(AD$4,$DE$6:$DF$17,2)+1))*$B18</f>
        <v>-1726.3124782823754</v>
      </c>
      <c r="AE18" s="1021">
        <f>(VLOOKUP(YEAR($A18),'NY East Load Projections'!$A$4:$EO$14,((MONTH($A18)-1)*12)+VLOOKUP(AE$4,$DE$6:$DF$17,2)+1))*$B18</f>
        <v>-1726.3124782823754</v>
      </c>
      <c r="AF18" s="1021"/>
      <c r="AG18" s="1021">
        <f>(VLOOKUP(YEAR($A18),'NY East Load Projections'!$A$4:$EO$14,((MONTH($A18)-1)*12)+VLOOKUP(AG$4,$DE$6:$DF$17,2)+1))*$C18</f>
        <v>-330.48425473597581</v>
      </c>
      <c r="AH18" s="1021">
        <f>(VLOOKUP(YEAR($A18),'NY East Load Projections'!$A$4:$EO$14,((MONTH($A18)-1)*12)+VLOOKUP(AH$4,$DE$6:$DF$17,2)+1))*$C18</f>
        <v>-330.48425473597581</v>
      </c>
      <c r="AI18" s="1021">
        <f>(VLOOKUP(YEAR($A18),'NY East Load Projections'!$A$4:$EO$14,((MONTH($A18)-1)*12)+VLOOKUP(AI$4,$DE$6:$DF$17,2)+1))*$C18</f>
        <v>-330.48425473597581</v>
      </c>
      <c r="AJ18" s="1021">
        <f>(VLOOKUP(YEAR($A18),'NY East Load Projections'!$A$4:$EO$14,((MONTH($A18)-1)*12)+VLOOKUP(AJ$4,$DE$6:$DF$17,2)+1))*$C18</f>
        <v>-330.48425473597581</v>
      </c>
      <c r="AK18" s="1021">
        <f>(VLOOKUP(YEAR($A18),'NY East Load Projections'!$A$4:$EO$14,((MONTH($A18)-1)*12)+VLOOKUP(AK$4,$DE$6:$DF$17,2)+1))*$C18</f>
        <v>-339.70895974179024</v>
      </c>
      <c r="AL18" s="1021">
        <f>(VLOOKUP(YEAR($A18),'NY East Load Projections'!$A$4:$EO$14,((MONTH($A18)-1)*12)+VLOOKUP(AL$4,$DE$6:$DF$17,2)+1))*$C18</f>
        <v>-339.70895974179024</v>
      </c>
      <c r="AM18" s="1021">
        <f>(VLOOKUP(YEAR($A18),'NY East Load Projections'!$A$4:$EO$14,((MONTH($A18)-1)*12)+VLOOKUP(AM$4,$DE$6:$DF$17,2)+1))*$C18</f>
        <v>-339.70895974179024</v>
      </c>
      <c r="AN18" s="1021">
        <f>(VLOOKUP(YEAR($A18),'NY East Load Projections'!$A$4:$EO$14,((MONTH($A18)-1)*12)+VLOOKUP(AN$4,$DE$6:$DF$17,2)+1))*$C18</f>
        <v>-339.70895974179024</v>
      </c>
      <c r="AO18" s="1021">
        <f>(VLOOKUP(YEAR($A18),'NY East Load Projections'!$A$4:$EO$14,((MONTH($A18)-1)*12)+VLOOKUP(AO$4,$DE$6:$DF$17,2)+1))*$C18</f>
        <v>-361.0746955718958</v>
      </c>
      <c r="AP18" s="1021">
        <f>(VLOOKUP(YEAR($A18),'NY East Load Projections'!$A$4:$EO$14,((MONTH($A18)-1)*12)+VLOOKUP(AP$4,$DE$6:$DF$17,2)+1))*$C18</f>
        <v>-361.0746955718958</v>
      </c>
      <c r="AQ18" s="1021">
        <f>(VLOOKUP(YEAR($A18),'NY East Load Projections'!$A$4:$EO$14,((MONTH($A18)-1)*12)+VLOOKUP(AQ$4,$DE$6:$DF$17,2)+1))*$C18</f>
        <v>-361.0746955718958</v>
      </c>
      <c r="AR18" s="1021">
        <f>(VLOOKUP(YEAR($A18),'NY East Load Projections'!$A$4:$EO$14,((MONTH($A18)-1)*12)+VLOOKUP(AR$4,$DE$6:$DF$17,2)+1))*$C18</f>
        <v>-361.0746955718958</v>
      </c>
      <c r="AS18" s="1021">
        <f>(VLOOKUP(YEAR($A18),'NY East Load Projections'!$A$4:$EO$14,((MONTH($A18)-1)*12)+VLOOKUP(AS$4,$DE$6:$DF$17,2)+1))*$C18</f>
        <v>-353.86908558394396</v>
      </c>
      <c r="AT18" s="1021">
        <f>(VLOOKUP(YEAR($A18),'NY East Load Projections'!$A$4:$EO$14,((MONTH($A18)-1)*12)+VLOOKUP(AT$4,$DE$6:$DF$17,2)+1))*$C18</f>
        <v>-353.86908558394396</v>
      </c>
      <c r="AU18" s="1021">
        <f>(VLOOKUP(YEAR($A18),'NY East Load Projections'!$A$4:$EO$14,((MONTH($A18)-1)*12)+VLOOKUP(AU$4,$DE$6:$DF$17,2)+1))*$C18</f>
        <v>-353.86908558394396</v>
      </c>
      <c r="AV18" s="1021">
        <f>(VLOOKUP(YEAR($A18),'NY East Load Projections'!$A$4:$EO$14,((MONTH($A18)-1)*12)+VLOOKUP(AV$4,$DE$6:$DF$17,2)+1))*$C18</f>
        <v>-353.86908558394396</v>
      </c>
      <c r="AW18" s="1021">
        <f>(VLOOKUP(YEAR($A18),'NY East Load Projections'!$A$4:$EO$14,((MONTH($A18)-1)*12)+VLOOKUP(AW$4,$DE$6:$DF$17,2)+1))*$C18</f>
        <v>-341.24426891109016</v>
      </c>
      <c r="AX18" s="1021">
        <f>(VLOOKUP(YEAR($A18),'NY East Load Projections'!$A$4:$EO$14,((MONTH($A18)-1)*12)+VLOOKUP(AX$4,$DE$6:$DF$17,2)+1))*$C18</f>
        <v>-341.24426891109016</v>
      </c>
      <c r="AY18" s="1021">
        <f>(VLOOKUP(YEAR($A18),'NY East Load Projections'!$A$4:$EO$14,((MONTH($A18)-1)*12)+VLOOKUP(AY$4,$DE$6:$DF$17,2)+1))*$C18</f>
        <v>-341.24426891109016</v>
      </c>
      <c r="AZ18" s="1021">
        <f>(VLOOKUP(YEAR($A18),'NY East Load Projections'!$A$4:$EO$14,((MONTH($A18)-1)*12)+VLOOKUP(AZ$4,$DE$6:$DF$17,2)+1))*$C18</f>
        <v>-341.24426891109016</v>
      </c>
      <c r="BA18" s="1021">
        <f>(VLOOKUP(YEAR($A18),'NY East Load Projections'!$A$4:$EO$14,((MONTH($A18)-1)*12)+VLOOKUP(BA$4,$DE$6:$DF$17,2)+1))*$C18</f>
        <v>-334.16859846091467</v>
      </c>
      <c r="BB18" s="1021">
        <f>(VLOOKUP(YEAR($A18),'NY East Load Projections'!$A$4:$EO$14,((MONTH($A18)-1)*12)+VLOOKUP(BB$4,$DE$6:$DF$17,2)+1))*$C18</f>
        <v>-334.16859846091467</v>
      </c>
      <c r="BC18" s="1021">
        <f>(VLOOKUP(YEAR($A18),'NY East Load Projections'!$A$4:$EO$14,((MONTH($A18)-1)*12)+VLOOKUP(BC$4,$DE$6:$DF$17,2)+1))*$C18</f>
        <v>-334.16859846091467</v>
      </c>
      <c r="BD18" s="1021">
        <f>(VLOOKUP(YEAR($A18),'NY East Load Projections'!$A$4:$EO$14,((MONTH($A18)-1)*12)+VLOOKUP(BD$4,$DE$6:$DF$17,2)+1))*$C18</f>
        <v>-334.16859846091467</v>
      </c>
      <c r="BE18" s="1021"/>
      <c r="BF18" s="1021">
        <f>(VLOOKUP(YEAR($A18),'NY East Load Projections'!$A$4:$EO$14,((MONTH($A18)-1)*12)+VLOOKUP(BF$4,$DE$6:$DF$17,2)+1))*$D18</f>
        <v>-330.48425473597581</v>
      </c>
      <c r="BG18" s="1021">
        <f>(VLOOKUP(YEAR($A18),'NY East Load Projections'!$A$4:$EO$14,((MONTH($A18)-1)*12)+VLOOKUP(BG$4,$DE$6:$DF$17,2)+1))*$D18</f>
        <v>-330.48425473597581</v>
      </c>
      <c r="BH18" s="1021">
        <f>(VLOOKUP(YEAR($A18),'NY East Load Projections'!$A$4:$EO$14,((MONTH($A18)-1)*12)+VLOOKUP(BH$4,$DE$6:$DF$17,2)+1))*$D18</f>
        <v>-330.48425473597581</v>
      </c>
      <c r="BI18" s="1021">
        <f>(VLOOKUP(YEAR($A18),'NY East Load Projections'!$A$4:$EO$14,((MONTH($A18)-1)*12)+VLOOKUP(BI$4,$DE$6:$DF$17,2)+1))*$D18</f>
        <v>-330.48425473597581</v>
      </c>
      <c r="BJ18" s="1021">
        <f>(VLOOKUP(YEAR($A18),'NY East Load Projections'!$A$4:$EO$14,((MONTH($A18)-1)*12)+VLOOKUP(BJ$4,$DE$6:$DF$17,2)+1))*$D18</f>
        <v>-339.70895974179024</v>
      </c>
      <c r="BK18" s="1021">
        <f>(VLOOKUP(YEAR($A18),'NY East Load Projections'!$A$4:$EO$14,((MONTH($A18)-1)*12)+VLOOKUP(BK$4,$DE$6:$DF$17,2)+1))*$D18</f>
        <v>-339.70895974179024</v>
      </c>
      <c r="BL18" s="1021">
        <f>(VLOOKUP(YEAR($A18),'NY East Load Projections'!$A$4:$EO$14,((MONTH($A18)-1)*12)+VLOOKUP(BL$4,$DE$6:$DF$17,2)+1))*$D18</f>
        <v>-339.70895974179024</v>
      </c>
      <c r="BM18" s="1021">
        <f>(VLOOKUP(YEAR($A18),'NY East Load Projections'!$A$4:$EO$14,((MONTH($A18)-1)*12)+VLOOKUP(BM$4,$DE$6:$DF$17,2)+1))*$D18</f>
        <v>-339.70895974179024</v>
      </c>
      <c r="BN18" s="1021">
        <f>(VLOOKUP(YEAR($A18),'NY East Load Projections'!$A$4:$EO$14,((MONTH($A18)-1)*12)+VLOOKUP(BN$4,$DE$6:$DF$17,2)+1))*$D18</f>
        <v>-361.0746955718958</v>
      </c>
      <c r="BO18" s="1021">
        <f>(VLOOKUP(YEAR($A18),'NY East Load Projections'!$A$4:$EO$14,((MONTH($A18)-1)*12)+VLOOKUP(BO$4,$DE$6:$DF$17,2)+1))*$D18</f>
        <v>-361.0746955718958</v>
      </c>
      <c r="BP18" s="1021">
        <f>(VLOOKUP(YEAR($A18),'NY East Load Projections'!$A$4:$EO$14,((MONTH($A18)-1)*12)+VLOOKUP(BP$4,$DE$6:$DF$17,2)+1))*$D18</f>
        <v>-361.0746955718958</v>
      </c>
      <c r="BQ18" s="1021">
        <f>(VLOOKUP(YEAR($A18),'NY East Load Projections'!$A$4:$EO$14,((MONTH($A18)-1)*12)+VLOOKUP(BQ$4,$DE$6:$DF$17,2)+1))*$D18</f>
        <v>-361.0746955718958</v>
      </c>
      <c r="BR18" s="1021">
        <f>(VLOOKUP(YEAR($A18),'NY East Load Projections'!$A$4:$EO$14,((MONTH($A18)-1)*12)+VLOOKUP(BR$4,$DE$6:$DF$17,2)+1))*$D18</f>
        <v>-353.86908558394396</v>
      </c>
      <c r="BS18" s="1021">
        <f>(VLOOKUP(YEAR($A18),'NY East Load Projections'!$A$4:$EO$14,((MONTH($A18)-1)*12)+VLOOKUP(BS$4,$DE$6:$DF$17,2)+1))*$D18</f>
        <v>-353.86908558394396</v>
      </c>
      <c r="BT18" s="1021">
        <f>(VLOOKUP(YEAR($A18),'NY East Load Projections'!$A$4:$EO$14,((MONTH($A18)-1)*12)+VLOOKUP(BT$4,$DE$6:$DF$17,2)+1))*$D18</f>
        <v>-353.86908558394396</v>
      </c>
      <c r="BU18" s="1021">
        <f>(VLOOKUP(YEAR($A18),'NY East Load Projections'!$A$4:$EO$14,((MONTH($A18)-1)*12)+VLOOKUP(BU$4,$DE$6:$DF$17,2)+1))*$D18</f>
        <v>-353.86908558394396</v>
      </c>
      <c r="BV18" s="1021">
        <f>(VLOOKUP(YEAR($A18),'NY East Load Projections'!$A$4:$EO$14,((MONTH($A18)-1)*12)+VLOOKUP(BV$4,$DE$6:$DF$17,2)+1))*$D18</f>
        <v>-341.24426891109016</v>
      </c>
      <c r="BW18" s="1021">
        <f>(VLOOKUP(YEAR($A18),'NY East Load Projections'!$A$4:$EO$14,((MONTH($A18)-1)*12)+VLOOKUP(BW$4,$DE$6:$DF$17,2)+1))*$D18</f>
        <v>-341.24426891109016</v>
      </c>
      <c r="BX18" s="1021">
        <f>(VLOOKUP(YEAR($A18),'NY East Load Projections'!$A$4:$EO$14,((MONTH($A18)-1)*12)+VLOOKUP(BX$4,$DE$6:$DF$17,2)+1))*$D18</f>
        <v>-341.24426891109016</v>
      </c>
      <c r="BY18" s="1021">
        <f>(VLOOKUP(YEAR($A18),'NY East Load Projections'!$A$4:$EO$14,((MONTH($A18)-1)*12)+VLOOKUP(BY$4,$DE$6:$DF$17,2)+1))*$D18</f>
        <v>-341.24426891109016</v>
      </c>
      <c r="BZ18" s="1021">
        <f>(VLOOKUP(YEAR($A18),'NY East Load Projections'!$A$4:$EO$14,((MONTH($A18)-1)*12)+VLOOKUP(BZ$4,$DE$6:$DF$17,2)+1))*$D18</f>
        <v>-334.16859846091467</v>
      </c>
      <c r="CA18" s="1021">
        <f>(VLOOKUP(YEAR($A18),'NY East Load Projections'!$A$4:$EO$14,((MONTH($A18)-1)*12)+VLOOKUP(CA$4,$DE$6:$DF$17,2)+1))*$D18</f>
        <v>-334.16859846091467</v>
      </c>
      <c r="CB18" s="1021">
        <f>(VLOOKUP(YEAR($A18),'NY East Load Projections'!$A$4:$EO$14,((MONTH($A18)-1)*12)+VLOOKUP(CB$4,$DE$6:$DF$17,2)+1))*$D18</f>
        <v>-334.16859846091467</v>
      </c>
      <c r="CC18" s="1021">
        <f>(VLOOKUP(YEAR($A18),'NY East Load Projections'!$A$4:$EO$14,((MONTH($A18)-1)*12)+VLOOKUP(CC$4,$DE$6:$DF$17,2)+1))*$D18</f>
        <v>-334.16859846091467</v>
      </c>
      <c r="CE18" s="1021">
        <f>(VLOOKUP(YEAR($A18),'NY East Load Projections'!$A$4:$EO$14,((MONTH($A18)-1)*12)+VLOOKUP(CE$4,$DE$6:$DF$17,2)+1))*$E18</f>
        <v>-82.621063683993953</v>
      </c>
      <c r="CF18" s="1021">
        <f>(VLOOKUP(YEAR($A18),'NY East Load Projections'!$A$4:$EO$14,((MONTH($A18)-1)*12)+VLOOKUP(CF$4,$DE$6:$DF$17,2)+1))*$E18</f>
        <v>-82.621063683993953</v>
      </c>
      <c r="CG18" s="1021">
        <f>(VLOOKUP(YEAR($A18),'NY East Load Projections'!$A$4:$EO$14,((MONTH($A18)-1)*12)+VLOOKUP(CG$4,$DE$6:$DF$17,2)+1))*$E18</f>
        <v>-82.621063683993953</v>
      </c>
      <c r="CH18" s="1021">
        <f>(VLOOKUP(YEAR($A18),'NY East Load Projections'!$A$4:$EO$14,((MONTH($A18)-1)*12)+VLOOKUP(CH$4,$DE$6:$DF$17,2)+1))*$E18</f>
        <v>-82.621063683993953</v>
      </c>
      <c r="CI18" s="1021">
        <f>(VLOOKUP(YEAR($A18),'NY East Load Projections'!$A$4:$EO$14,((MONTH($A18)-1)*12)+VLOOKUP(CI$4,$DE$6:$DF$17,2)+1))*$E18</f>
        <v>-84.92723993544756</v>
      </c>
      <c r="CJ18" s="1021">
        <f>(VLOOKUP(YEAR($A18),'NY East Load Projections'!$A$4:$EO$14,((MONTH($A18)-1)*12)+VLOOKUP(CJ$4,$DE$6:$DF$17,2)+1))*$E18</f>
        <v>-84.92723993544756</v>
      </c>
      <c r="CK18" s="1021">
        <f>(VLOOKUP(YEAR($A18),'NY East Load Projections'!$A$4:$EO$14,((MONTH($A18)-1)*12)+VLOOKUP(CK$4,$DE$6:$DF$17,2)+1))*$E18</f>
        <v>-84.92723993544756</v>
      </c>
      <c r="CL18" s="1021">
        <f>(VLOOKUP(YEAR($A18),'NY East Load Projections'!$A$4:$EO$14,((MONTH($A18)-1)*12)+VLOOKUP(CL$4,$DE$6:$DF$17,2)+1))*$E18</f>
        <v>-84.92723993544756</v>
      </c>
      <c r="CM18" s="1021">
        <f>(VLOOKUP(YEAR($A18),'NY East Load Projections'!$A$4:$EO$14,((MONTH($A18)-1)*12)+VLOOKUP(CM$4,$DE$6:$DF$17,2)+1))*$E18</f>
        <v>-90.268673892973951</v>
      </c>
      <c r="CN18" s="1021">
        <f>(VLOOKUP(YEAR($A18),'NY East Load Projections'!$A$4:$EO$14,((MONTH($A18)-1)*12)+VLOOKUP(CN$4,$DE$6:$DF$17,2)+1))*$E18</f>
        <v>-90.268673892973951</v>
      </c>
      <c r="CO18" s="1021">
        <f>(VLOOKUP(YEAR($A18),'NY East Load Projections'!$A$4:$EO$14,((MONTH($A18)-1)*12)+VLOOKUP(CO$4,$DE$6:$DF$17,2)+1))*$E18</f>
        <v>-90.268673892973951</v>
      </c>
      <c r="CP18" s="1021">
        <f>(VLOOKUP(YEAR($A18),'NY East Load Projections'!$A$4:$EO$14,((MONTH($A18)-1)*12)+VLOOKUP(CP$4,$DE$6:$DF$17,2)+1))*$E18</f>
        <v>-90.268673892973951</v>
      </c>
      <c r="CQ18" s="1021">
        <f>(VLOOKUP(YEAR($A18),'NY East Load Projections'!$A$4:$EO$14,((MONTH($A18)-1)*12)+VLOOKUP(CQ$4,$DE$6:$DF$17,2)+1))*$E18</f>
        <v>-88.467271395985989</v>
      </c>
      <c r="CR18" s="1021">
        <f>(VLOOKUP(YEAR($A18),'NY East Load Projections'!$A$4:$EO$14,((MONTH($A18)-1)*12)+VLOOKUP(CR$4,$DE$6:$DF$17,2)+1))*$E18</f>
        <v>-88.467271395985989</v>
      </c>
      <c r="CS18" s="1021">
        <f>(VLOOKUP(YEAR($A18),'NY East Load Projections'!$A$4:$EO$14,((MONTH($A18)-1)*12)+VLOOKUP(CS$4,$DE$6:$DF$17,2)+1))*$E18</f>
        <v>-88.467271395985989</v>
      </c>
      <c r="CT18" s="1021">
        <f>(VLOOKUP(YEAR($A18),'NY East Load Projections'!$A$4:$EO$14,((MONTH($A18)-1)*12)+VLOOKUP(CT$4,$DE$6:$DF$17,2)+1))*$E18</f>
        <v>-88.467271395985989</v>
      </c>
      <c r="CU18" s="1021">
        <f>(VLOOKUP(YEAR($A18),'NY East Load Projections'!$A$4:$EO$14,((MONTH($A18)-1)*12)+VLOOKUP(CU$4,$DE$6:$DF$17,2)+1))*$E18</f>
        <v>-85.31106722777254</v>
      </c>
      <c r="CV18" s="1021">
        <f>(VLOOKUP(YEAR($A18),'NY East Load Projections'!$A$4:$EO$14,((MONTH($A18)-1)*12)+VLOOKUP(CV$4,$DE$6:$DF$17,2)+1))*$E18</f>
        <v>-85.31106722777254</v>
      </c>
      <c r="CW18" s="1021">
        <f>(VLOOKUP(YEAR($A18),'NY East Load Projections'!$A$4:$EO$14,((MONTH($A18)-1)*12)+VLOOKUP(CW$4,$DE$6:$DF$17,2)+1))*$E18</f>
        <v>-85.31106722777254</v>
      </c>
      <c r="CX18" s="1021">
        <f>(VLOOKUP(YEAR($A18),'NY East Load Projections'!$A$4:$EO$14,((MONTH($A18)-1)*12)+VLOOKUP(CX$4,$DE$6:$DF$17,2)+1))*$E18</f>
        <v>-85.31106722777254</v>
      </c>
      <c r="CY18" s="1021">
        <f>(VLOOKUP(YEAR($A18),'NY East Load Projections'!$A$4:$EO$14,((MONTH($A18)-1)*12)+VLOOKUP(CY$4,$DE$6:$DF$17,2)+1))*$E18</f>
        <v>-83.542149615228666</v>
      </c>
      <c r="CZ18" s="1021">
        <f>(VLOOKUP(YEAR($A18),'NY East Load Projections'!$A$4:$EO$14,((MONTH($A18)-1)*12)+VLOOKUP(CZ$4,$DE$6:$DF$17,2)+1))*$E18</f>
        <v>-83.542149615228666</v>
      </c>
      <c r="DA18" s="1021">
        <f>(VLOOKUP(YEAR($A18),'NY East Load Projections'!$A$4:$EO$14,((MONTH($A18)-1)*12)+VLOOKUP(DA$4,$DE$6:$DF$17,2)+1))*$E18</f>
        <v>-83.542149615228666</v>
      </c>
      <c r="DB18" s="1021">
        <f>(VLOOKUP(YEAR($A18),'NY East Load Projections'!$A$4:$EO$14,((MONTH($A18)-1)*12)+VLOOKUP(DB$4,$DE$6:$DF$17,2)+1))*$E18</f>
        <v>-83.542149615228666</v>
      </c>
      <c r="DH18" s="1009">
        <f t="shared" si="0"/>
        <v>-61815.651452538186</v>
      </c>
      <c r="DI18">
        <f ca="1">CALC!J38</f>
        <v>0.87274717553579284</v>
      </c>
      <c r="DJ18" s="1032">
        <f t="shared" ca="1" si="1"/>
        <v>-53949.435209107731</v>
      </c>
    </row>
    <row r="19" spans="1:114" x14ac:dyDescent="0.25">
      <c r="A19" s="244">
        <v>37288</v>
      </c>
      <c r="B19" s="13">
        <v>20</v>
      </c>
      <c r="C19" s="210">
        <v>4</v>
      </c>
      <c r="D19" s="210">
        <v>4</v>
      </c>
      <c r="E19" s="210">
        <v>0</v>
      </c>
      <c r="F19" s="13">
        <v>28</v>
      </c>
      <c r="H19" s="1021">
        <f>(VLOOKUP(YEAR($A19),'NY East Load Projections'!$A$4:$EO$14,((MONTH($A19)-1)*12)+VLOOKUP(H$4,$DE$6:$DF$17,2)+1))*$B19</f>
        <v>-1504.8726670953272</v>
      </c>
      <c r="I19" s="1021">
        <f>(VLOOKUP(YEAR($A19),'NY East Load Projections'!$A$4:$EO$14,((MONTH($A19)-1)*12)+VLOOKUP(I$4,$DE$6:$DF$17,2)+1))*$B19</f>
        <v>-1504.8726670953272</v>
      </c>
      <c r="J19" s="1021">
        <f>(VLOOKUP(YEAR($A19),'NY East Load Projections'!$A$4:$EO$14,((MONTH($A19)-1)*12)+VLOOKUP(J$4,$DE$6:$DF$17,2)+1))*$B19</f>
        <v>-1504.8726670953272</v>
      </c>
      <c r="K19" s="1021">
        <f>(VLOOKUP(YEAR($A19),'NY East Load Projections'!$A$4:$EO$14,((MONTH($A19)-1)*12)+VLOOKUP(K$4,$DE$6:$DF$17,2)+1))*$B19</f>
        <v>-1504.8726670953272</v>
      </c>
      <c r="L19" s="1021">
        <f>(VLOOKUP(YEAR($A19),'NY East Load Projections'!$A$4:$EO$14,((MONTH($A19)-1)*12)+VLOOKUP(L$4,$DE$6:$DF$17,2)+1))*$B19</f>
        <v>-1629.7622850309051</v>
      </c>
      <c r="M19" s="1021">
        <f>(VLOOKUP(YEAR($A19),'NY East Load Projections'!$A$4:$EO$14,((MONTH($A19)-1)*12)+VLOOKUP(M$4,$DE$6:$DF$17,2)+1))*$B19</f>
        <v>-1629.7622850309051</v>
      </c>
      <c r="N19" s="1021">
        <f>(VLOOKUP(YEAR($A19),'NY East Load Projections'!$A$4:$EO$14,((MONTH($A19)-1)*12)+VLOOKUP(N$4,$DE$6:$DF$17,2)+1))*$B19</f>
        <v>-1629.7622850309051</v>
      </c>
      <c r="O19" s="1021">
        <f>(VLOOKUP(YEAR($A19),'NY East Load Projections'!$A$4:$EO$14,((MONTH($A19)-1)*12)+VLOOKUP(O$4,$DE$6:$DF$17,2)+1))*$B19</f>
        <v>-1629.7622850309051</v>
      </c>
      <c r="P19" s="1021">
        <f>(VLOOKUP(YEAR($A19),'NY East Load Projections'!$A$4:$EO$14,((MONTH($A19)-1)*12)+VLOOKUP(P$4,$DE$6:$DF$17,2)+1))*$B19</f>
        <v>-1689.697407153224</v>
      </c>
      <c r="Q19" s="1021">
        <f>(VLOOKUP(YEAR($A19),'NY East Load Projections'!$A$4:$EO$14,((MONTH($A19)-1)*12)+VLOOKUP(Q$4,$DE$6:$DF$17,2)+1))*$B19</f>
        <v>-1689.697407153224</v>
      </c>
      <c r="R19" s="1021">
        <f>(VLOOKUP(YEAR($A19),'NY East Load Projections'!$A$4:$EO$14,((MONTH($A19)-1)*12)+VLOOKUP(R$4,$DE$6:$DF$17,2)+1))*$B19</f>
        <v>-1689.697407153224</v>
      </c>
      <c r="S19" s="1021">
        <f>(VLOOKUP(YEAR($A19),'NY East Load Projections'!$A$4:$EO$14,((MONTH($A19)-1)*12)+VLOOKUP(S$4,$DE$6:$DF$17,2)+1))*$B19</f>
        <v>-1689.697407153224</v>
      </c>
      <c r="T19" s="1021">
        <f>(VLOOKUP(YEAR($A19),'NY East Load Projections'!$A$4:$EO$14,((MONTH($A19)-1)*12)+VLOOKUP(T$4,$DE$6:$DF$17,2)+1))*$B19</f>
        <v>-1679.6807312984445</v>
      </c>
      <c r="U19" s="1021">
        <f>(VLOOKUP(YEAR($A19),'NY East Load Projections'!$A$4:$EO$14,((MONTH($A19)-1)*12)+VLOOKUP(U$4,$DE$6:$DF$17,2)+1))*$B19</f>
        <v>-1679.6807312984445</v>
      </c>
      <c r="V19" s="1021">
        <f>(VLOOKUP(YEAR($A19),'NY East Load Projections'!$A$4:$EO$14,((MONTH($A19)-1)*12)+VLOOKUP(V$4,$DE$6:$DF$17,2)+1))*$B19</f>
        <v>-1679.6807312984445</v>
      </c>
      <c r="W19" s="1021">
        <f>(VLOOKUP(YEAR($A19),'NY East Load Projections'!$A$4:$EO$14,((MONTH($A19)-1)*12)+VLOOKUP(W$4,$DE$6:$DF$17,2)+1))*$B19</f>
        <v>-1679.6807312984445</v>
      </c>
      <c r="X19" s="1021">
        <f>(VLOOKUP(YEAR($A19),'NY East Load Projections'!$A$4:$EO$14,((MONTH($A19)-1)*12)+VLOOKUP(X$4,$DE$6:$DF$17,2)+1))*$B19</f>
        <v>-1610.4160240993131</v>
      </c>
      <c r="Y19" s="1021">
        <f>(VLOOKUP(YEAR($A19),'NY East Load Projections'!$A$4:$EO$14,((MONTH($A19)-1)*12)+VLOOKUP(Y$4,$DE$6:$DF$17,2)+1))*$B19</f>
        <v>-1610.4160240993131</v>
      </c>
      <c r="Z19" s="1021">
        <f>(VLOOKUP(YEAR($A19),'NY East Load Projections'!$A$4:$EO$14,((MONTH($A19)-1)*12)+VLOOKUP(Z$4,$DE$6:$DF$17,2)+1))*$B19</f>
        <v>-1610.4160240993131</v>
      </c>
      <c r="AA19" s="1021">
        <f>(VLOOKUP(YEAR($A19),'NY East Load Projections'!$A$4:$EO$14,((MONTH($A19)-1)*12)+VLOOKUP(AA$4,$DE$6:$DF$17,2)+1))*$B19</f>
        <v>-1610.4160240993131</v>
      </c>
      <c r="AB19" s="1021">
        <f>(VLOOKUP(YEAR($A19),'NY East Load Projections'!$A$4:$EO$14,((MONTH($A19)-1)*12)+VLOOKUP(AB$4,$DE$6:$DF$17,2)+1))*$B19</f>
        <v>-1534.9572813372138</v>
      </c>
      <c r="AC19" s="1021">
        <f>(VLOOKUP(YEAR($A19),'NY East Load Projections'!$A$4:$EO$14,((MONTH($A19)-1)*12)+VLOOKUP(AC$4,$DE$6:$DF$17,2)+1))*$B19</f>
        <v>-1534.9572813372138</v>
      </c>
      <c r="AD19" s="1021">
        <f>(VLOOKUP(YEAR($A19),'NY East Load Projections'!$A$4:$EO$14,((MONTH($A19)-1)*12)+VLOOKUP(AD$4,$DE$6:$DF$17,2)+1))*$B19</f>
        <v>-1534.9572813372138</v>
      </c>
      <c r="AE19" s="1021">
        <f>(VLOOKUP(YEAR($A19),'NY East Load Projections'!$A$4:$EO$14,((MONTH($A19)-1)*12)+VLOOKUP(AE$4,$DE$6:$DF$17,2)+1))*$B19</f>
        <v>-1534.9572813372138</v>
      </c>
      <c r="AF19" s="1021"/>
      <c r="AG19" s="1021">
        <f>(VLOOKUP(YEAR($A19),'NY East Load Projections'!$A$4:$EO$14,((MONTH($A19)-1)*12)+VLOOKUP(AG$4,$DE$6:$DF$17,2)+1))*$C19</f>
        <v>-330.04472786155509</v>
      </c>
      <c r="AH19" s="1021">
        <f>(VLOOKUP(YEAR($A19),'NY East Load Projections'!$A$4:$EO$14,((MONTH($A19)-1)*12)+VLOOKUP(AH$4,$DE$6:$DF$17,2)+1))*$C19</f>
        <v>-330.04472786155509</v>
      </c>
      <c r="AI19" s="1021">
        <f>(VLOOKUP(YEAR($A19),'NY East Load Projections'!$A$4:$EO$14,((MONTH($A19)-1)*12)+VLOOKUP(AI$4,$DE$6:$DF$17,2)+1))*$C19</f>
        <v>-330.04472786155509</v>
      </c>
      <c r="AJ19" s="1021">
        <f>(VLOOKUP(YEAR($A19),'NY East Load Projections'!$A$4:$EO$14,((MONTH($A19)-1)*12)+VLOOKUP(AJ$4,$DE$6:$DF$17,2)+1))*$C19</f>
        <v>-330.04472786155509</v>
      </c>
      <c r="AK19" s="1021">
        <f>(VLOOKUP(YEAR($A19),'NY East Load Projections'!$A$4:$EO$14,((MONTH($A19)-1)*12)+VLOOKUP(AK$4,$DE$6:$DF$17,2)+1))*$C19</f>
        <v>-336.62186097510852</v>
      </c>
      <c r="AL19" s="1021">
        <f>(VLOOKUP(YEAR($A19),'NY East Load Projections'!$A$4:$EO$14,((MONTH($A19)-1)*12)+VLOOKUP(AL$4,$DE$6:$DF$17,2)+1))*$C19</f>
        <v>-336.62186097510852</v>
      </c>
      <c r="AM19" s="1021">
        <f>(VLOOKUP(YEAR($A19),'NY East Load Projections'!$A$4:$EO$14,((MONTH($A19)-1)*12)+VLOOKUP(AM$4,$DE$6:$DF$17,2)+1))*$C19</f>
        <v>-336.62186097510852</v>
      </c>
      <c r="AN19" s="1021">
        <f>(VLOOKUP(YEAR($A19),'NY East Load Projections'!$A$4:$EO$14,((MONTH($A19)-1)*12)+VLOOKUP(AN$4,$DE$6:$DF$17,2)+1))*$C19</f>
        <v>-336.62186097510852</v>
      </c>
      <c r="AO19" s="1021">
        <f>(VLOOKUP(YEAR($A19),'NY East Load Projections'!$A$4:$EO$14,((MONTH($A19)-1)*12)+VLOOKUP(AO$4,$DE$6:$DF$17,2)+1))*$C19</f>
        <v>-357.26034894036536</v>
      </c>
      <c r="AP19" s="1021">
        <f>(VLOOKUP(YEAR($A19),'NY East Load Projections'!$A$4:$EO$14,((MONTH($A19)-1)*12)+VLOOKUP(AP$4,$DE$6:$DF$17,2)+1))*$C19</f>
        <v>-357.26034894036536</v>
      </c>
      <c r="AQ19" s="1021">
        <f>(VLOOKUP(YEAR($A19),'NY East Load Projections'!$A$4:$EO$14,((MONTH($A19)-1)*12)+VLOOKUP(AQ$4,$DE$6:$DF$17,2)+1))*$C19</f>
        <v>-357.26034894036536</v>
      </c>
      <c r="AR19" s="1021">
        <f>(VLOOKUP(YEAR($A19),'NY East Load Projections'!$A$4:$EO$14,((MONTH($A19)-1)*12)+VLOOKUP(AR$4,$DE$6:$DF$17,2)+1))*$C19</f>
        <v>-357.26034894036536</v>
      </c>
      <c r="AS19" s="1021">
        <f>(VLOOKUP(YEAR($A19),'NY East Load Projections'!$A$4:$EO$14,((MONTH($A19)-1)*12)+VLOOKUP(AS$4,$DE$6:$DF$17,2)+1))*$C19</f>
        <v>-347.85840869759403</v>
      </c>
      <c r="AT19" s="1021">
        <f>(VLOOKUP(YEAR($A19),'NY East Load Projections'!$A$4:$EO$14,((MONTH($A19)-1)*12)+VLOOKUP(AT$4,$DE$6:$DF$17,2)+1))*$C19</f>
        <v>-347.85840869759403</v>
      </c>
      <c r="AU19" s="1021">
        <f>(VLOOKUP(YEAR($A19),'NY East Load Projections'!$A$4:$EO$14,((MONTH($A19)-1)*12)+VLOOKUP(AU$4,$DE$6:$DF$17,2)+1))*$C19</f>
        <v>-347.85840869759403</v>
      </c>
      <c r="AV19" s="1021">
        <f>(VLOOKUP(YEAR($A19),'NY East Load Projections'!$A$4:$EO$14,((MONTH($A19)-1)*12)+VLOOKUP(AV$4,$DE$6:$DF$17,2)+1))*$C19</f>
        <v>-347.85840869759403</v>
      </c>
      <c r="AW19" s="1021">
        <f>(VLOOKUP(YEAR($A19),'NY East Load Projections'!$A$4:$EO$14,((MONTH($A19)-1)*12)+VLOOKUP(AW$4,$DE$6:$DF$17,2)+1))*$C19</f>
        <v>-337.34707228680713</v>
      </c>
      <c r="AX19" s="1021">
        <f>(VLOOKUP(YEAR($A19),'NY East Load Projections'!$A$4:$EO$14,((MONTH($A19)-1)*12)+VLOOKUP(AX$4,$DE$6:$DF$17,2)+1))*$C19</f>
        <v>-337.34707228680713</v>
      </c>
      <c r="AY19" s="1021">
        <f>(VLOOKUP(YEAR($A19),'NY East Load Projections'!$A$4:$EO$14,((MONTH($A19)-1)*12)+VLOOKUP(AY$4,$DE$6:$DF$17,2)+1))*$C19</f>
        <v>-337.34707228680713</v>
      </c>
      <c r="AZ19" s="1021">
        <f>(VLOOKUP(YEAR($A19),'NY East Load Projections'!$A$4:$EO$14,((MONTH($A19)-1)*12)+VLOOKUP(AZ$4,$DE$6:$DF$17,2)+1))*$C19</f>
        <v>-337.34707228680713</v>
      </c>
      <c r="BA19" s="1021">
        <f>(VLOOKUP(YEAR($A19),'NY East Load Projections'!$A$4:$EO$14,((MONTH($A19)-1)*12)+VLOOKUP(BA$4,$DE$6:$DF$17,2)+1))*$C19</f>
        <v>-333.667529117774</v>
      </c>
      <c r="BB19" s="1021">
        <f>(VLOOKUP(YEAR($A19),'NY East Load Projections'!$A$4:$EO$14,((MONTH($A19)-1)*12)+VLOOKUP(BB$4,$DE$6:$DF$17,2)+1))*$C19</f>
        <v>-333.667529117774</v>
      </c>
      <c r="BC19" s="1021">
        <f>(VLOOKUP(YEAR($A19),'NY East Load Projections'!$A$4:$EO$14,((MONTH($A19)-1)*12)+VLOOKUP(BC$4,$DE$6:$DF$17,2)+1))*$C19</f>
        <v>-333.667529117774</v>
      </c>
      <c r="BD19" s="1021">
        <f>(VLOOKUP(YEAR($A19),'NY East Load Projections'!$A$4:$EO$14,((MONTH($A19)-1)*12)+VLOOKUP(BD$4,$DE$6:$DF$17,2)+1))*$C19</f>
        <v>-333.667529117774</v>
      </c>
      <c r="BE19" s="1021"/>
      <c r="BF19" s="1021">
        <f>(VLOOKUP(YEAR($A19),'NY East Load Projections'!$A$4:$EO$14,((MONTH($A19)-1)*12)+VLOOKUP(BF$4,$DE$6:$DF$17,2)+1))*$D19</f>
        <v>-330.04472786155509</v>
      </c>
      <c r="BG19" s="1021">
        <f>(VLOOKUP(YEAR($A19),'NY East Load Projections'!$A$4:$EO$14,((MONTH($A19)-1)*12)+VLOOKUP(BG$4,$DE$6:$DF$17,2)+1))*$D19</f>
        <v>-330.04472786155509</v>
      </c>
      <c r="BH19" s="1021">
        <f>(VLOOKUP(YEAR($A19),'NY East Load Projections'!$A$4:$EO$14,((MONTH($A19)-1)*12)+VLOOKUP(BH$4,$DE$6:$DF$17,2)+1))*$D19</f>
        <v>-330.04472786155509</v>
      </c>
      <c r="BI19" s="1021">
        <f>(VLOOKUP(YEAR($A19),'NY East Load Projections'!$A$4:$EO$14,((MONTH($A19)-1)*12)+VLOOKUP(BI$4,$DE$6:$DF$17,2)+1))*$D19</f>
        <v>-330.04472786155509</v>
      </c>
      <c r="BJ19" s="1021">
        <f>(VLOOKUP(YEAR($A19),'NY East Load Projections'!$A$4:$EO$14,((MONTH($A19)-1)*12)+VLOOKUP(BJ$4,$DE$6:$DF$17,2)+1))*$D19</f>
        <v>-336.62186097510852</v>
      </c>
      <c r="BK19" s="1021">
        <f>(VLOOKUP(YEAR($A19),'NY East Load Projections'!$A$4:$EO$14,((MONTH($A19)-1)*12)+VLOOKUP(BK$4,$DE$6:$DF$17,2)+1))*$D19</f>
        <v>-336.62186097510852</v>
      </c>
      <c r="BL19" s="1021">
        <f>(VLOOKUP(YEAR($A19),'NY East Load Projections'!$A$4:$EO$14,((MONTH($A19)-1)*12)+VLOOKUP(BL$4,$DE$6:$DF$17,2)+1))*$D19</f>
        <v>-336.62186097510852</v>
      </c>
      <c r="BM19" s="1021">
        <f>(VLOOKUP(YEAR($A19),'NY East Load Projections'!$A$4:$EO$14,((MONTH($A19)-1)*12)+VLOOKUP(BM$4,$DE$6:$DF$17,2)+1))*$D19</f>
        <v>-336.62186097510852</v>
      </c>
      <c r="BN19" s="1021">
        <f>(VLOOKUP(YEAR($A19),'NY East Load Projections'!$A$4:$EO$14,((MONTH($A19)-1)*12)+VLOOKUP(BN$4,$DE$6:$DF$17,2)+1))*$D19</f>
        <v>-357.26034894036536</v>
      </c>
      <c r="BO19" s="1021">
        <f>(VLOOKUP(YEAR($A19),'NY East Load Projections'!$A$4:$EO$14,((MONTH($A19)-1)*12)+VLOOKUP(BO$4,$DE$6:$DF$17,2)+1))*$D19</f>
        <v>-357.26034894036536</v>
      </c>
      <c r="BP19" s="1021">
        <f>(VLOOKUP(YEAR($A19),'NY East Load Projections'!$A$4:$EO$14,((MONTH($A19)-1)*12)+VLOOKUP(BP$4,$DE$6:$DF$17,2)+1))*$D19</f>
        <v>-357.26034894036536</v>
      </c>
      <c r="BQ19" s="1021">
        <f>(VLOOKUP(YEAR($A19),'NY East Load Projections'!$A$4:$EO$14,((MONTH($A19)-1)*12)+VLOOKUP(BQ$4,$DE$6:$DF$17,2)+1))*$D19</f>
        <v>-357.26034894036536</v>
      </c>
      <c r="BR19" s="1021">
        <f>(VLOOKUP(YEAR($A19),'NY East Load Projections'!$A$4:$EO$14,((MONTH($A19)-1)*12)+VLOOKUP(BR$4,$DE$6:$DF$17,2)+1))*$D19</f>
        <v>-347.85840869759403</v>
      </c>
      <c r="BS19" s="1021">
        <f>(VLOOKUP(YEAR($A19),'NY East Load Projections'!$A$4:$EO$14,((MONTH($A19)-1)*12)+VLOOKUP(BS$4,$DE$6:$DF$17,2)+1))*$D19</f>
        <v>-347.85840869759403</v>
      </c>
      <c r="BT19" s="1021">
        <f>(VLOOKUP(YEAR($A19),'NY East Load Projections'!$A$4:$EO$14,((MONTH($A19)-1)*12)+VLOOKUP(BT$4,$DE$6:$DF$17,2)+1))*$D19</f>
        <v>-347.85840869759403</v>
      </c>
      <c r="BU19" s="1021">
        <f>(VLOOKUP(YEAR($A19),'NY East Load Projections'!$A$4:$EO$14,((MONTH($A19)-1)*12)+VLOOKUP(BU$4,$DE$6:$DF$17,2)+1))*$D19</f>
        <v>-347.85840869759403</v>
      </c>
      <c r="BV19" s="1021">
        <f>(VLOOKUP(YEAR($A19),'NY East Load Projections'!$A$4:$EO$14,((MONTH($A19)-1)*12)+VLOOKUP(BV$4,$DE$6:$DF$17,2)+1))*$D19</f>
        <v>-337.34707228680713</v>
      </c>
      <c r="BW19" s="1021">
        <f>(VLOOKUP(YEAR($A19),'NY East Load Projections'!$A$4:$EO$14,((MONTH($A19)-1)*12)+VLOOKUP(BW$4,$DE$6:$DF$17,2)+1))*$D19</f>
        <v>-337.34707228680713</v>
      </c>
      <c r="BX19" s="1021">
        <f>(VLOOKUP(YEAR($A19),'NY East Load Projections'!$A$4:$EO$14,((MONTH($A19)-1)*12)+VLOOKUP(BX$4,$DE$6:$DF$17,2)+1))*$D19</f>
        <v>-337.34707228680713</v>
      </c>
      <c r="BY19" s="1021">
        <f>(VLOOKUP(YEAR($A19),'NY East Load Projections'!$A$4:$EO$14,((MONTH($A19)-1)*12)+VLOOKUP(BY$4,$DE$6:$DF$17,2)+1))*$D19</f>
        <v>-337.34707228680713</v>
      </c>
      <c r="BZ19" s="1021">
        <f>(VLOOKUP(YEAR($A19),'NY East Load Projections'!$A$4:$EO$14,((MONTH($A19)-1)*12)+VLOOKUP(BZ$4,$DE$6:$DF$17,2)+1))*$D19</f>
        <v>-333.667529117774</v>
      </c>
      <c r="CA19" s="1021">
        <f>(VLOOKUP(YEAR($A19),'NY East Load Projections'!$A$4:$EO$14,((MONTH($A19)-1)*12)+VLOOKUP(CA$4,$DE$6:$DF$17,2)+1))*$D19</f>
        <v>-333.667529117774</v>
      </c>
      <c r="CB19" s="1021">
        <f>(VLOOKUP(YEAR($A19),'NY East Load Projections'!$A$4:$EO$14,((MONTH($A19)-1)*12)+VLOOKUP(CB$4,$DE$6:$DF$17,2)+1))*$D19</f>
        <v>-333.667529117774</v>
      </c>
      <c r="CC19" s="1021">
        <f>(VLOOKUP(YEAR($A19),'NY East Load Projections'!$A$4:$EO$14,((MONTH($A19)-1)*12)+VLOOKUP(CC$4,$DE$6:$DF$17,2)+1))*$D19</f>
        <v>-333.667529117774</v>
      </c>
      <c r="CE19" s="1021">
        <f>(VLOOKUP(YEAR($A19),'NY East Load Projections'!$A$4:$EO$14,((MONTH($A19)-1)*12)+VLOOKUP(CE$4,$DE$6:$DF$17,2)+1))*$E19</f>
        <v>0</v>
      </c>
      <c r="CF19" s="1021">
        <f>(VLOOKUP(YEAR($A19),'NY East Load Projections'!$A$4:$EO$14,((MONTH($A19)-1)*12)+VLOOKUP(CF$4,$DE$6:$DF$17,2)+1))*$E19</f>
        <v>0</v>
      </c>
      <c r="CG19" s="1021">
        <f>(VLOOKUP(YEAR($A19),'NY East Load Projections'!$A$4:$EO$14,((MONTH($A19)-1)*12)+VLOOKUP(CG$4,$DE$6:$DF$17,2)+1))*$E19</f>
        <v>0</v>
      </c>
      <c r="CH19" s="1021">
        <f>(VLOOKUP(YEAR($A19),'NY East Load Projections'!$A$4:$EO$14,((MONTH($A19)-1)*12)+VLOOKUP(CH$4,$DE$6:$DF$17,2)+1))*$E19</f>
        <v>0</v>
      </c>
      <c r="CI19" s="1021">
        <f>(VLOOKUP(YEAR($A19),'NY East Load Projections'!$A$4:$EO$14,((MONTH($A19)-1)*12)+VLOOKUP(CI$4,$DE$6:$DF$17,2)+1))*$E19</f>
        <v>0</v>
      </c>
      <c r="CJ19" s="1021">
        <f>(VLOOKUP(YEAR($A19),'NY East Load Projections'!$A$4:$EO$14,((MONTH($A19)-1)*12)+VLOOKUP(CJ$4,$DE$6:$DF$17,2)+1))*$E19</f>
        <v>0</v>
      </c>
      <c r="CK19" s="1021">
        <f>(VLOOKUP(YEAR($A19),'NY East Load Projections'!$A$4:$EO$14,((MONTH($A19)-1)*12)+VLOOKUP(CK$4,$DE$6:$DF$17,2)+1))*$E19</f>
        <v>0</v>
      </c>
      <c r="CL19" s="1021">
        <f>(VLOOKUP(YEAR($A19),'NY East Load Projections'!$A$4:$EO$14,((MONTH($A19)-1)*12)+VLOOKUP(CL$4,$DE$6:$DF$17,2)+1))*$E19</f>
        <v>0</v>
      </c>
      <c r="CM19" s="1021">
        <f>(VLOOKUP(YEAR($A19),'NY East Load Projections'!$A$4:$EO$14,((MONTH($A19)-1)*12)+VLOOKUP(CM$4,$DE$6:$DF$17,2)+1))*$E19</f>
        <v>0</v>
      </c>
      <c r="CN19" s="1021">
        <f>(VLOOKUP(YEAR($A19),'NY East Load Projections'!$A$4:$EO$14,((MONTH($A19)-1)*12)+VLOOKUP(CN$4,$DE$6:$DF$17,2)+1))*$E19</f>
        <v>0</v>
      </c>
      <c r="CO19" s="1021">
        <f>(VLOOKUP(YEAR($A19),'NY East Load Projections'!$A$4:$EO$14,((MONTH($A19)-1)*12)+VLOOKUP(CO$4,$DE$6:$DF$17,2)+1))*$E19</f>
        <v>0</v>
      </c>
      <c r="CP19" s="1021">
        <f>(VLOOKUP(YEAR($A19),'NY East Load Projections'!$A$4:$EO$14,((MONTH($A19)-1)*12)+VLOOKUP(CP$4,$DE$6:$DF$17,2)+1))*$E19</f>
        <v>0</v>
      </c>
      <c r="CQ19" s="1021">
        <f>(VLOOKUP(YEAR($A19),'NY East Load Projections'!$A$4:$EO$14,((MONTH($A19)-1)*12)+VLOOKUP(CQ$4,$DE$6:$DF$17,2)+1))*$E19</f>
        <v>0</v>
      </c>
      <c r="CR19" s="1021">
        <f>(VLOOKUP(YEAR($A19),'NY East Load Projections'!$A$4:$EO$14,((MONTH($A19)-1)*12)+VLOOKUP(CR$4,$DE$6:$DF$17,2)+1))*$E19</f>
        <v>0</v>
      </c>
      <c r="CS19" s="1021">
        <f>(VLOOKUP(YEAR($A19),'NY East Load Projections'!$A$4:$EO$14,((MONTH($A19)-1)*12)+VLOOKUP(CS$4,$DE$6:$DF$17,2)+1))*$E19</f>
        <v>0</v>
      </c>
      <c r="CT19" s="1021">
        <f>(VLOOKUP(YEAR($A19),'NY East Load Projections'!$A$4:$EO$14,((MONTH($A19)-1)*12)+VLOOKUP(CT$4,$DE$6:$DF$17,2)+1))*$E19</f>
        <v>0</v>
      </c>
      <c r="CU19" s="1021">
        <f>(VLOOKUP(YEAR($A19),'NY East Load Projections'!$A$4:$EO$14,((MONTH($A19)-1)*12)+VLOOKUP(CU$4,$DE$6:$DF$17,2)+1))*$E19</f>
        <v>0</v>
      </c>
      <c r="CV19" s="1021">
        <f>(VLOOKUP(YEAR($A19),'NY East Load Projections'!$A$4:$EO$14,((MONTH($A19)-1)*12)+VLOOKUP(CV$4,$DE$6:$DF$17,2)+1))*$E19</f>
        <v>0</v>
      </c>
      <c r="CW19" s="1021">
        <f>(VLOOKUP(YEAR($A19),'NY East Load Projections'!$A$4:$EO$14,((MONTH($A19)-1)*12)+VLOOKUP(CW$4,$DE$6:$DF$17,2)+1))*$E19</f>
        <v>0</v>
      </c>
      <c r="CX19" s="1021">
        <f>(VLOOKUP(YEAR($A19),'NY East Load Projections'!$A$4:$EO$14,((MONTH($A19)-1)*12)+VLOOKUP(CX$4,$DE$6:$DF$17,2)+1))*$E19</f>
        <v>0</v>
      </c>
      <c r="CY19" s="1021">
        <f>(VLOOKUP(YEAR($A19),'NY East Load Projections'!$A$4:$EO$14,((MONTH($A19)-1)*12)+VLOOKUP(CY$4,$DE$6:$DF$17,2)+1))*$E19</f>
        <v>0</v>
      </c>
      <c r="CZ19" s="1021">
        <f>(VLOOKUP(YEAR($A19),'NY East Load Projections'!$A$4:$EO$14,((MONTH($A19)-1)*12)+VLOOKUP(CZ$4,$DE$6:$DF$17,2)+1))*$E19</f>
        <v>0</v>
      </c>
      <c r="DA19" s="1021">
        <f>(VLOOKUP(YEAR($A19),'NY East Load Projections'!$A$4:$EO$14,((MONTH($A19)-1)*12)+VLOOKUP(DA$4,$DE$6:$DF$17,2)+1))*$E19</f>
        <v>0</v>
      </c>
      <c r="DB19" s="1021">
        <f>(VLOOKUP(YEAR($A19),'NY East Load Projections'!$A$4:$EO$14,((MONTH($A19)-1)*12)+VLOOKUP(DB$4,$DE$6:$DF$17,2)+1))*$E19</f>
        <v>0</v>
      </c>
      <c r="DH19" s="1009">
        <f t="shared" si="0"/>
        <v>-54939.945167091348</v>
      </c>
      <c r="DI19">
        <f ca="1">CALC!J39</f>
        <v>0.86779501339320064</v>
      </c>
      <c r="DJ19" s="1032">
        <f t="shared" ca="1" si="1"/>
        <v>-47676.610452097746</v>
      </c>
    </row>
    <row r="20" spans="1:114" x14ac:dyDescent="0.25">
      <c r="A20" s="244">
        <v>37316</v>
      </c>
      <c r="B20" s="13">
        <v>21</v>
      </c>
      <c r="C20" s="210">
        <v>5</v>
      </c>
      <c r="D20" s="210">
        <v>5</v>
      </c>
      <c r="E20" s="210">
        <v>0</v>
      </c>
      <c r="F20" s="13">
        <v>31</v>
      </c>
      <c r="H20" s="1021">
        <f>(VLOOKUP(YEAR($A20),'NY East Load Projections'!$A$4:$EO$14,((MONTH($A20)-1)*12)+VLOOKUP(H$4,$DE$6:$DF$17,2)+1))*$B20</f>
        <v>-1481.7351132799524</v>
      </c>
      <c r="I20" s="1021">
        <f>(VLOOKUP(YEAR($A20),'NY East Load Projections'!$A$4:$EO$14,((MONTH($A20)-1)*12)+VLOOKUP(I$4,$DE$6:$DF$17,2)+1))*$B20</f>
        <v>-1481.7351132799524</v>
      </c>
      <c r="J20" s="1021">
        <f>(VLOOKUP(YEAR($A20),'NY East Load Projections'!$A$4:$EO$14,((MONTH($A20)-1)*12)+VLOOKUP(J$4,$DE$6:$DF$17,2)+1))*$B20</f>
        <v>-1481.7351132799524</v>
      </c>
      <c r="K20" s="1021">
        <f>(VLOOKUP(YEAR($A20),'NY East Load Projections'!$A$4:$EO$14,((MONTH($A20)-1)*12)+VLOOKUP(K$4,$DE$6:$DF$17,2)+1))*$B20</f>
        <v>-1481.7351132799524</v>
      </c>
      <c r="L20" s="1021">
        <f>(VLOOKUP(YEAR($A20),'NY East Load Projections'!$A$4:$EO$14,((MONTH($A20)-1)*12)+VLOOKUP(L$4,$DE$6:$DF$17,2)+1))*$B20</f>
        <v>-1595.9541183007589</v>
      </c>
      <c r="M20" s="1021">
        <f>(VLOOKUP(YEAR($A20),'NY East Load Projections'!$A$4:$EO$14,((MONTH($A20)-1)*12)+VLOOKUP(M$4,$DE$6:$DF$17,2)+1))*$B20</f>
        <v>-1595.9541183007589</v>
      </c>
      <c r="N20" s="1021">
        <f>(VLOOKUP(YEAR($A20),'NY East Load Projections'!$A$4:$EO$14,((MONTH($A20)-1)*12)+VLOOKUP(N$4,$DE$6:$DF$17,2)+1))*$B20</f>
        <v>-1595.9541183007589</v>
      </c>
      <c r="O20" s="1021">
        <f>(VLOOKUP(YEAR($A20),'NY East Load Projections'!$A$4:$EO$14,((MONTH($A20)-1)*12)+VLOOKUP(O$4,$DE$6:$DF$17,2)+1))*$B20</f>
        <v>-1595.9541183007589</v>
      </c>
      <c r="P20" s="1021">
        <f>(VLOOKUP(YEAR($A20),'NY East Load Projections'!$A$4:$EO$14,((MONTH($A20)-1)*12)+VLOOKUP(P$4,$DE$6:$DF$17,2)+1))*$B20</f>
        <v>-1681.4515535478727</v>
      </c>
      <c r="Q20" s="1021">
        <f>(VLOOKUP(YEAR($A20),'NY East Load Projections'!$A$4:$EO$14,((MONTH($A20)-1)*12)+VLOOKUP(Q$4,$DE$6:$DF$17,2)+1))*$B20</f>
        <v>-1681.4515535478727</v>
      </c>
      <c r="R20" s="1021">
        <f>(VLOOKUP(YEAR($A20),'NY East Load Projections'!$A$4:$EO$14,((MONTH($A20)-1)*12)+VLOOKUP(R$4,$DE$6:$DF$17,2)+1))*$B20</f>
        <v>-1681.4515535478727</v>
      </c>
      <c r="S20" s="1021">
        <f>(VLOOKUP(YEAR($A20),'NY East Load Projections'!$A$4:$EO$14,((MONTH($A20)-1)*12)+VLOOKUP(S$4,$DE$6:$DF$17,2)+1))*$B20</f>
        <v>-1681.4515535478727</v>
      </c>
      <c r="T20" s="1021">
        <f>(VLOOKUP(YEAR($A20),'NY East Load Projections'!$A$4:$EO$14,((MONTH($A20)-1)*12)+VLOOKUP(T$4,$DE$6:$DF$17,2)+1))*$B20</f>
        <v>-1702.0143561167265</v>
      </c>
      <c r="U20" s="1021">
        <f>(VLOOKUP(YEAR($A20),'NY East Load Projections'!$A$4:$EO$14,((MONTH($A20)-1)*12)+VLOOKUP(U$4,$DE$6:$DF$17,2)+1))*$B20</f>
        <v>-1702.0143561167265</v>
      </c>
      <c r="V20" s="1021">
        <f>(VLOOKUP(YEAR($A20),'NY East Load Projections'!$A$4:$EO$14,((MONTH($A20)-1)*12)+VLOOKUP(V$4,$DE$6:$DF$17,2)+1))*$B20</f>
        <v>-1702.0143561167265</v>
      </c>
      <c r="W20" s="1021">
        <f>(VLOOKUP(YEAR($A20),'NY East Load Projections'!$A$4:$EO$14,((MONTH($A20)-1)*12)+VLOOKUP(W$4,$DE$6:$DF$17,2)+1))*$B20</f>
        <v>-1702.0143561167265</v>
      </c>
      <c r="X20" s="1021">
        <f>(VLOOKUP(YEAR($A20),'NY East Load Projections'!$A$4:$EO$14,((MONTH($A20)-1)*12)+VLOOKUP(X$4,$DE$6:$DF$17,2)+1))*$B20</f>
        <v>-1636.4898897598498</v>
      </c>
      <c r="Y20" s="1021">
        <f>(VLOOKUP(YEAR($A20),'NY East Load Projections'!$A$4:$EO$14,((MONTH($A20)-1)*12)+VLOOKUP(Y$4,$DE$6:$DF$17,2)+1))*$B20</f>
        <v>-1636.4898897598498</v>
      </c>
      <c r="Z20" s="1021">
        <f>(VLOOKUP(YEAR($A20),'NY East Load Projections'!$A$4:$EO$14,((MONTH($A20)-1)*12)+VLOOKUP(Z$4,$DE$6:$DF$17,2)+1))*$B20</f>
        <v>-1636.4898897598498</v>
      </c>
      <c r="AA20" s="1021">
        <f>(VLOOKUP(YEAR($A20),'NY East Load Projections'!$A$4:$EO$14,((MONTH($A20)-1)*12)+VLOOKUP(AA$4,$DE$6:$DF$17,2)+1))*$B20</f>
        <v>-1636.4898897598498</v>
      </c>
      <c r="AB20" s="1021">
        <f>(VLOOKUP(YEAR($A20),'NY East Load Projections'!$A$4:$EO$14,((MONTH($A20)-1)*12)+VLOOKUP(AB$4,$DE$6:$DF$17,2)+1))*$B20</f>
        <v>-1557.8453842658118</v>
      </c>
      <c r="AC20" s="1021">
        <f>(VLOOKUP(YEAR($A20),'NY East Load Projections'!$A$4:$EO$14,((MONTH($A20)-1)*12)+VLOOKUP(AC$4,$DE$6:$DF$17,2)+1))*$B20</f>
        <v>-1557.8453842658118</v>
      </c>
      <c r="AD20" s="1021">
        <f>(VLOOKUP(YEAR($A20),'NY East Load Projections'!$A$4:$EO$14,((MONTH($A20)-1)*12)+VLOOKUP(AD$4,$DE$6:$DF$17,2)+1))*$B20</f>
        <v>-1557.8453842658118</v>
      </c>
      <c r="AE20" s="1021">
        <f>(VLOOKUP(YEAR($A20),'NY East Load Projections'!$A$4:$EO$14,((MONTH($A20)-1)*12)+VLOOKUP(AE$4,$DE$6:$DF$17,2)+1))*$B20</f>
        <v>-1557.8453842658118</v>
      </c>
      <c r="AF20" s="1021"/>
      <c r="AG20" s="1021">
        <f>(VLOOKUP(YEAR($A20),'NY East Load Projections'!$A$4:$EO$14,((MONTH($A20)-1)*12)+VLOOKUP(AG$4,$DE$6:$DF$17,2)+1))*$C20</f>
        <v>-389.36972345835045</v>
      </c>
      <c r="AH20" s="1021">
        <f>(VLOOKUP(YEAR($A20),'NY East Load Projections'!$A$4:$EO$14,((MONTH($A20)-1)*12)+VLOOKUP(AH$4,$DE$6:$DF$17,2)+1))*$C20</f>
        <v>-389.36972345835045</v>
      </c>
      <c r="AI20" s="1021">
        <f>(VLOOKUP(YEAR($A20),'NY East Load Projections'!$A$4:$EO$14,((MONTH($A20)-1)*12)+VLOOKUP(AI$4,$DE$6:$DF$17,2)+1))*$C20</f>
        <v>-389.36972345835045</v>
      </c>
      <c r="AJ20" s="1021">
        <f>(VLOOKUP(YEAR($A20),'NY East Load Projections'!$A$4:$EO$14,((MONTH($A20)-1)*12)+VLOOKUP(AJ$4,$DE$6:$DF$17,2)+1))*$C20</f>
        <v>-389.36972345835045</v>
      </c>
      <c r="AK20" s="1021">
        <f>(VLOOKUP(YEAR($A20),'NY East Load Projections'!$A$4:$EO$14,((MONTH($A20)-1)*12)+VLOOKUP(AK$4,$DE$6:$DF$17,2)+1))*$C20</f>
        <v>-394.68726121827365</v>
      </c>
      <c r="AL20" s="1021">
        <f>(VLOOKUP(YEAR($A20),'NY East Load Projections'!$A$4:$EO$14,((MONTH($A20)-1)*12)+VLOOKUP(AL$4,$DE$6:$DF$17,2)+1))*$C20</f>
        <v>-394.68726121827365</v>
      </c>
      <c r="AM20" s="1021">
        <f>(VLOOKUP(YEAR($A20),'NY East Load Projections'!$A$4:$EO$14,((MONTH($A20)-1)*12)+VLOOKUP(AM$4,$DE$6:$DF$17,2)+1))*$C20</f>
        <v>-394.68726121827365</v>
      </c>
      <c r="AN20" s="1021">
        <f>(VLOOKUP(YEAR($A20),'NY East Load Projections'!$A$4:$EO$14,((MONTH($A20)-1)*12)+VLOOKUP(AN$4,$DE$6:$DF$17,2)+1))*$C20</f>
        <v>-394.68726121827365</v>
      </c>
      <c r="AO20" s="1021">
        <f>(VLOOKUP(YEAR($A20),'NY East Load Projections'!$A$4:$EO$14,((MONTH($A20)-1)*12)+VLOOKUP(AO$4,$DE$6:$DF$17,2)+1))*$C20</f>
        <v>-415.77098538821065</v>
      </c>
      <c r="AP20" s="1021">
        <f>(VLOOKUP(YEAR($A20),'NY East Load Projections'!$A$4:$EO$14,((MONTH($A20)-1)*12)+VLOOKUP(AP$4,$DE$6:$DF$17,2)+1))*$C20</f>
        <v>-415.77098538821065</v>
      </c>
      <c r="AQ20" s="1021">
        <f>(VLOOKUP(YEAR($A20),'NY East Load Projections'!$A$4:$EO$14,((MONTH($A20)-1)*12)+VLOOKUP(AQ$4,$DE$6:$DF$17,2)+1))*$C20</f>
        <v>-415.77098538821065</v>
      </c>
      <c r="AR20" s="1021">
        <f>(VLOOKUP(YEAR($A20),'NY East Load Projections'!$A$4:$EO$14,((MONTH($A20)-1)*12)+VLOOKUP(AR$4,$DE$6:$DF$17,2)+1))*$C20</f>
        <v>-415.77098538821065</v>
      </c>
      <c r="AS20" s="1021">
        <f>(VLOOKUP(YEAR($A20),'NY East Load Projections'!$A$4:$EO$14,((MONTH($A20)-1)*12)+VLOOKUP(AS$4,$DE$6:$DF$17,2)+1))*$C20</f>
        <v>-409.19712900609909</v>
      </c>
      <c r="AT20" s="1021">
        <f>(VLOOKUP(YEAR($A20),'NY East Load Projections'!$A$4:$EO$14,((MONTH($A20)-1)*12)+VLOOKUP(AT$4,$DE$6:$DF$17,2)+1))*$C20</f>
        <v>-409.19712900609909</v>
      </c>
      <c r="AU20" s="1021">
        <f>(VLOOKUP(YEAR($A20),'NY East Load Projections'!$A$4:$EO$14,((MONTH($A20)-1)*12)+VLOOKUP(AU$4,$DE$6:$DF$17,2)+1))*$C20</f>
        <v>-409.19712900609909</v>
      </c>
      <c r="AV20" s="1021">
        <f>(VLOOKUP(YEAR($A20),'NY East Load Projections'!$A$4:$EO$14,((MONTH($A20)-1)*12)+VLOOKUP(AV$4,$DE$6:$DF$17,2)+1))*$C20</f>
        <v>-409.19712900609909</v>
      </c>
      <c r="AW20" s="1021">
        <f>(VLOOKUP(YEAR($A20),'NY East Load Projections'!$A$4:$EO$14,((MONTH($A20)-1)*12)+VLOOKUP(AW$4,$DE$6:$DF$17,2)+1))*$C20</f>
        <v>-399.41484671564933</v>
      </c>
      <c r="AX20" s="1021">
        <f>(VLOOKUP(YEAR($A20),'NY East Load Projections'!$A$4:$EO$14,((MONTH($A20)-1)*12)+VLOOKUP(AX$4,$DE$6:$DF$17,2)+1))*$C20</f>
        <v>-399.41484671564933</v>
      </c>
      <c r="AY20" s="1021">
        <f>(VLOOKUP(YEAR($A20),'NY East Load Projections'!$A$4:$EO$14,((MONTH($A20)-1)*12)+VLOOKUP(AY$4,$DE$6:$DF$17,2)+1))*$C20</f>
        <v>-399.41484671564933</v>
      </c>
      <c r="AZ20" s="1021">
        <f>(VLOOKUP(YEAR($A20),'NY East Load Projections'!$A$4:$EO$14,((MONTH($A20)-1)*12)+VLOOKUP(AZ$4,$DE$6:$DF$17,2)+1))*$C20</f>
        <v>-399.41484671564933</v>
      </c>
      <c r="BA20" s="1021">
        <f>(VLOOKUP(YEAR($A20),'NY East Load Projections'!$A$4:$EO$14,((MONTH($A20)-1)*12)+VLOOKUP(BA$4,$DE$6:$DF$17,2)+1))*$C20</f>
        <v>-392.37133993413227</v>
      </c>
      <c r="BB20" s="1021">
        <f>(VLOOKUP(YEAR($A20),'NY East Load Projections'!$A$4:$EO$14,((MONTH($A20)-1)*12)+VLOOKUP(BB$4,$DE$6:$DF$17,2)+1))*$C20</f>
        <v>-392.37133993413227</v>
      </c>
      <c r="BC20" s="1021">
        <f>(VLOOKUP(YEAR($A20),'NY East Load Projections'!$A$4:$EO$14,((MONTH($A20)-1)*12)+VLOOKUP(BC$4,$DE$6:$DF$17,2)+1))*$C20</f>
        <v>-392.37133993413227</v>
      </c>
      <c r="BD20" s="1021">
        <f>(VLOOKUP(YEAR($A20),'NY East Load Projections'!$A$4:$EO$14,((MONTH($A20)-1)*12)+VLOOKUP(BD$4,$DE$6:$DF$17,2)+1))*$C20</f>
        <v>-392.37133993413227</v>
      </c>
      <c r="BE20" s="1021"/>
      <c r="BF20" s="1021">
        <f>(VLOOKUP(YEAR($A20),'NY East Load Projections'!$A$4:$EO$14,((MONTH($A20)-1)*12)+VLOOKUP(BF$4,$DE$6:$DF$17,2)+1))*$D20</f>
        <v>-389.36972345835045</v>
      </c>
      <c r="BG20" s="1021">
        <f>(VLOOKUP(YEAR($A20),'NY East Load Projections'!$A$4:$EO$14,((MONTH($A20)-1)*12)+VLOOKUP(BG$4,$DE$6:$DF$17,2)+1))*$D20</f>
        <v>-389.36972345835045</v>
      </c>
      <c r="BH20" s="1021">
        <f>(VLOOKUP(YEAR($A20),'NY East Load Projections'!$A$4:$EO$14,((MONTH($A20)-1)*12)+VLOOKUP(BH$4,$DE$6:$DF$17,2)+1))*$D20</f>
        <v>-389.36972345835045</v>
      </c>
      <c r="BI20" s="1021">
        <f>(VLOOKUP(YEAR($A20),'NY East Load Projections'!$A$4:$EO$14,((MONTH($A20)-1)*12)+VLOOKUP(BI$4,$DE$6:$DF$17,2)+1))*$D20</f>
        <v>-389.36972345835045</v>
      </c>
      <c r="BJ20" s="1021">
        <f>(VLOOKUP(YEAR($A20),'NY East Load Projections'!$A$4:$EO$14,((MONTH($A20)-1)*12)+VLOOKUP(BJ$4,$DE$6:$DF$17,2)+1))*$D20</f>
        <v>-394.68726121827365</v>
      </c>
      <c r="BK20" s="1021">
        <f>(VLOOKUP(YEAR($A20),'NY East Load Projections'!$A$4:$EO$14,((MONTH($A20)-1)*12)+VLOOKUP(BK$4,$DE$6:$DF$17,2)+1))*$D20</f>
        <v>-394.68726121827365</v>
      </c>
      <c r="BL20" s="1021">
        <f>(VLOOKUP(YEAR($A20),'NY East Load Projections'!$A$4:$EO$14,((MONTH($A20)-1)*12)+VLOOKUP(BL$4,$DE$6:$DF$17,2)+1))*$D20</f>
        <v>-394.68726121827365</v>
      </c>
      <c r="BM20" s="1021">
        <f>(VLOOKUP(YEAR($A20),'NY East Load Projections'!$A$4:$EO$14,((MONTH($A20)-1)*12)+VLOOKUP(BM$4,$DE$6:$DF$17,2)+1))*$D20</f>
        <v>-394.68726121827365</v>
      </c>
      <c r="BN20" s="1021">
        <f>(VLOOKUP(YEAR($A20),'NY East Load Projections'!$A$4:$EO$14,((MONTH($A20)-1)*12)+VLOOKUP(BN$4,$DE$6:$DF$17,2)+1))*$D20</f>
        <v>-415.77098538821065</v>
      </c>
      <c r="BO20" s="1021">
        <f>(VLOOKUP(YEAR($A20),'NY East Load Projections'!$A$4:$EO$14,((MONTH($A20)-1)*12)+VLOOKUP(BO$4,$DE$6:$DF$17,2)+1))*$D20</f>
        <v>-415.77098538821065</v>
      </c>
      <c r="BP20" s="1021">
        <f>(VLOOKUP(YEAR($A20),'NY East Load Projections'!$A$4:$EO$14,((MONTH($A20)-1)*12)+VLOOKUP(BP$4,$DE$6:$DF$17,2)+1))*$D20</f>
        <v>-415.77098538821065</v>
      </c>
      <c r="BQ20" s="1021">
        <f>(VLOOKUP(YEAR($A20),'NY East Load Projections'!$A$4:$EO$14,((MONTH($A20)-1)*12)+VLOOKUP(BQ$4,$DE$6:$DF$17,2)+1))*$D20</f>
        <v>-415.77098538821065</v>
      </c>
      <c r="BR20" s="1021">
        <f>(VLOOKUP(YEAR($A20),'NY East Load Projections'!$A$4:$EO$14,((MONTH($A20)-1)*12)+VLOOKUP(BR$4,$DE$6:$DF$17,2)+1))*$D20</f>
        <v>-409.19712900609909</v>
      </c>
      <c r="BS20" s="1021">
        <f>(VLOOKUP(YEAR($A20),'NY East Load Projections'!$A$4:$EO$14,((MONTH($A20)-1)*12)+VLOOKUP(BS$4,$DE$6:$DF$17,2)+1))*$D20</f>
        <v>-409.19712900609909</v>
      </c>
      <c r="BT20" s="1021">
        <f>(VLOOKUP(YEAR($A20),'NY East Load Projections'!$A$4:$EO$14,((MONTH($A20)-1)*12)+VLOOKUP(BT$4,$DE$6:$DF$17,2)+1))*$D20</f>
        <v>-409.19712900609909</v>
      </c>
      <c r="BU20" s="1021">
        <f>(VLOOKUP(YEAR($A20),'NY East Load Projections'!$A$4:$EO$14,((MONTH($A20)-1)*12)+VLOOKUP(BU$4,$DE$6:$DF$17,2)+1))*$D20</f>
        <v>-409.19712900609909</v>
      </c>
      <c r="BV20" s="1021">
        <f>(VLOOKUP(YEAR($A20),'NY East Load Projections'!$A$4:$EO$14,((MONTH($A20)-1)*12)+VLOOKUP(BV$4,$DE$6:$DF$17,2)+1))*$D20</f>
        <v>-399.41484671564933</v>
      </c>
      <c r="BW20" s="1021">
        <f>(VLOOKUP(YEAR($A20),'NY East Load Projections'!$A$4:$EO$14,((MONTH($A20)-1)*12)+VLOOKUP(BW$4,$DE$6:$DF$17,2)+1))*$D20</f>
        <v>-399.41484671564933</v>
      </c>
      <c r="BX20" s="1021">
        <f>(VLOOKUP(YEAR($A20),'NY East Load Projections'!$A$4:$EO$14,((MONTH($A20)-1)*12)+VLOOKUP(BX$4,$DE$6:$DF$17,2)+1))*$D20</f>
        <v>-399.41484671564933</v>
      </c>
      <c r="BY20" s="1021">
        <f>(VLOOKUP(YEAR($A20),'NY East Load Projections'!$A$4:$EO$14,((MONTH($A20)-1)*12)+VLOOKUP(BY$4,$DE$6:$DF$17,2)+1))*$D20</f>
        <v>-399.41484671564933</v>
      </c>
      <c r="BZ20" s="1021">
        <f>(VLOOKUP(YEAR($A20),'NY East Load Projections'!$A$4:$EO$14,((MONTH($A20)-1)*12)+VLOOKUP(BZ$4,$DE$6:$DF$17,2)+1))*$D20</f>
        <v>-392.37133993413227</v>
      </c>
      <c r="CA20" s="1021">
        <f>(VLOOKUP(YEAR($A20),'NY East Load Projections'!$A$4:$EO$14,((MONTH($A20)-1)*12)+VLOOKUP(CA$4,$DE$6:$DF$17,2)+1))*$D20</f>
        <v>-392.37133993413227</v>
      </c>
      <c r="CB20" s="1021">
        <f>(VLOOKUP(YEAR($A20),'NY East Load Projections'!$A$4:$EO$14,((MONTH($A20)-1)*12)+VLOOKUP(CB$4,$DE$6:$DF$17,2)+1))*$D20</f>
        <v>-392.37133993413227</v>
      </c>
      <c r="CC20" s="1021">
        <f>(VLOOKUP(YEAR($A20),'NY East Load Projections'!$A$4:$EO$14,((MONTH($A20)-1)*12)+VLOOKUP(CC$4,$DE$6:$DF$17,2)+1))*$D20</f>
        <v>-392.37133993413227</v>
      </c>
      <c r="CE20" s="1021">
        <f>(VLOOKUP(YEAR($A20),'NY East Load Projections'!$A$4:$EO$14,((MONTH($A20)-1)*12)+VLOOKUP(CE$4,$DE$6:$DF$17,2)+1))*$E20</f>
        <v>0</v>
      </c>
      <c r="CF20" s="1021">
        <f>(VLOOKUP(YEAR($A20),'NY East Load Projections'!$A$4:$EO$14,((MONTH($A20)-1)*12)+VLOOKUP(CF$4,$DE$6:$DF$17,2)+1))*$E20</f>
        <v>0</v>
      </c>
      <c r="CG20" s="1021">
        <f>(VLOOKUP(YEAR($A20),'NY East Load Projections'!$A$4:$EO$14,((MONTH($A20)-1)*12)+VLOOKUP(CG$4,$DE$6:$DF$17,2)+1))*$E20</f>
        <v>0</v>
      </c>
      <c r="CH20" s="1021">
        <f>(VLOOKUP(YEAR($A20),'NY East Load Projections'!$A$4:$EO$14,((MONTH($A20)-1)*12)+VLOOKUP(CH$4,$DE$6:$DF$17,2)+1))*$E20</f>
        <v>0</v>
      </c>
      <c r="CI20" s="1021">
        <f>(VLOOKUP(YEAR($A20),'NY East Load Projections'!$A$4:$EO$14,((MONTH($A20)-1)*12)+VLOOKUP(CI$4,$DE$6:$DF$17,2)+1))*$E20</f>
        <v>0</v>
      </c>
      <c r="CJ20" s="1021">
        <f>(VLOOKUP(YEAR($A20),'NY East Load Projections'!$A$4:$EO$14,((MONTH($A20)-1)*12)+VLOOKUP(CJ$4,$DE$6:$DF$17,2)+1))*$E20</f>
        <v>0</v>
      </c>
      <c r="CK20" s="1021">
        <f>(VLOOKUP(YEAR($A20),'NY East Load Projections'!$A$4:$EO$14,((MONTH($A20)-1)*12)+VLOOKUP(CK$4,$DE$6:$DF$17,2)+1))*$E20</f>
        <v>0</v>
      </c>
      <c r="CL20" s="1021">
        <f>(VLOOKUP(YEAR($A20),'NY East Load Projections'!$A$4:$EO$14,((MONTH($A20)-1)*12)+VLOOKUP(CL$4,$DE$6:$DF$17,2)+1))*$E20</f>
        <v>0</v>
      </c>
      <c r="CM20" s="1021">
        <f>(VLOOKUP(YEAR($A20),'NY East Load Projections'!$A$4:$EO$14,((MONTH($A20)-1)*12)+VLOOKUP(CM$4,$DE$6:$DF$17,2)+1))*$E20</f>
        <v>0</v>
      </c>
      <c r="CN20" s="1021">
        <f>(VLOOKUP(YEAR($A20),'NY East Load Projections'!$A$4:$EO$14,((MONTH($A20)-1)*12)+VLOOKUP(CN$4,$DE$6:$DF$17,2)+1))*$E20</f>
        <v>0</v>
      </c>
      <c r="CO20" s="1021">
        <f>(VLOOKUP(YEAR($A20),'NY East Load Projections'!$A$4:$EO$14,((MONTH($A20)-1)*12)+VLOOKUP(CO$4,$DE$6:$DF$17,2)+1))*$E20</f>
        <v>0</v>
      </c>
      <c r="CP20" s="1021">
        <f>(VLOOKUP(YEAR($A20),'NY East Load Projections'!$A$4:$EO$14,((MONTH($A20)-1)*12)+VLOOKUP(CP$4,$DE$6:$DF$17,2)+1))*$E20</f>
        <v>0</v>
      </c>
      <c r="CQ20" s="1021">
        <f>(VLOOKUP(YEAR($A20),'NY East Load Projections'!$A$4:$EO$14,((MONTH($A20)-1)*12)+VLOOKUP(CQ$4,$DE$6:$DF$17,2)+1))*$E20</f>
        <v>0</v>
      </c>
      <c r="CR20" s="1021">
        <f>(VLOOKUP(YEAR($A20),'NY East Load Projections'!$A$4:$EO$14,((MONTH($A20)-1)*12)+VLOOKUP(CR$4,$DE$6:$DF$17,2)+1))*$E20</f>
        <v>0</v>
      </c>
      <c r="CS20" s="1021">
        <f>(VLOOKUP(YEAR($A20),'NY East Load Projections'!$A$4:$EO$14,((MONTH($A20)-1)*12)+VLOOKUP(CS$4,$DE$6:$DF$17,2)+1))*$E20</f>
        <v>0</v>
      </c>
      <c r="CT20" s="1021">
        <f>(VLOOKUP(YEAR($A20),'NY East Load Projections'!$A$4:$EO$14,((MONTH($A20)-1)*12)+VLOOKUP(CT$4,$DE$6:$DF$17,2)+1))*$E20</f>
        <v>0</v>
      </c>
      <c r="CU20" s="1021">
        <f>(VLOOKUP(YEAR($A20),'NY East Load Projections'!$A$4:$EO$14,((MONTH($A20)-1)*12)+VLOOKUP(CU$4,$DE$6:$DF$17,2)+1))*$E20</f>
        <v>0</v>
      </c>
      <c r="CV20" s="1021">
        <f>(VLOOKUP(YEAR($A20),'NY East Load Projections'!$A$4:$EO$14,((MONTH($A20)-1)*12)+VLOOKUP(CV$4,$DE$6:$DF$17,2)+1))*$E20</f>
        <v>0</v>
      </c>
      <c r="CW20" s="1021">
        <f>(VLOOKUP(YEAR($A20),'NY East Load Projections'!$A$4:$EO$14,((MONTH($A20)-1)*12)+VLOOKUP(CW$4,$DE$6:$DF$17,2)+1))*$E20</f>
        <v>0</v>
      </c>
      <c r="CX20" s="1021">
        <f>(VLOOKUP(YEAR($A20),'NY East Load Projections'!$A$4:$EO$14,((MONTH($A20)-1)*12)+VLOOKUP(CX$4,$DE$6:$DF$17,2)+1))*$E20</f>
        <v>0</v>
      </c>
      <c r="CY20" s="1021">
        <f>(VLOOKUP(YEAR($A20),'NY East Load Projections'!$A$4:$EO$14,((MONTH($A20)-1)*12)+VLOOKUP(CY$4,$DE$6:$DF$17,2)+1))*$E20</f>
        <v>0</v>
      </c>
      <c r="CZ20" s="1021">
        <f>(VLOOKUP(YEAR($A20),'NY East Load Projections'!$A$4:$EO$14,((MONTH($A20)-1)*12)+VLOOKUP(CZ$4,$DE$6:$DF$17,2)+1))*$E20</f>
        <v>0</v>
      </c>
      <c r="DA20" s="1021">
        <f>(VLOOKUP(YEAR($A20),'NY East Load Projections'!$A$4:$EO$14,((MONTH($A20)-1)*12)+VLOOKUP(DA$4,$DE$6:$DF$17,2)+1))*$E20</f>
        <v>0</v>
      </c>
      <c r="DB20" s="1021">
        <f>(VLOOKUP(YEAR($A20),'NY East Load Projections'!$A$4:$EO$14,((MONTH($A20)-1)*12)+VLOOKUP(DB$4,$DE$6:$DF$17,2)+1))*$E20</f>
        <v>0</v>
      </c>
      <c r="DH20" s="1009">
        <f t="shared" si="0"/>
        <v>-57828.451946849629</v>
      </c>
      <c r="DI20">
        <f ca="1">CALC!J40</f>
        <v>0.86238789707049279</v>
      </c>
      <c r="DJ20" s="1032">
        <f t="shared" ca="1" si="1"/>
        <v>-49870.557065285699</v>
      </c>
    </row>
    <row r="21" spans="1:114" x14ac:dyDescent="0.25">
      <c r="A21" s="244">
        <v>37347</v>
      </c>
      <c r="B21" s="13">
        <v>22</v>
      </c>
      <c r="C21" s="210">
        <v>4</v>
      </c>
      <c r="D21" s="210">
        <v>4</v>
      </c>
      <c r="E21" s="210">
        <v>0</v>
      </c>
      <c r="F21" s="13">
        <v>30</v>
      </c>
      <c r="H21" s="1021">
        <f>(VLOOKUP(YEAR($A21),'NY East Load Projections'!$A$4:$EO$14,((MONTH($A21)-1)*12)+VLOOKUP(H$4,$DE$6:$DF$17,2)+1))*$B21</f>
        <v>-1725.051697987177</v>
      </c>
      <c r="I21" s="1021">
        <f>(VLOOKUP(YEAR($A21),'NY East Load Projections'!$A$4:$EO$14,((MONTH($A21)-1)*12)+VLOOKUP(I$4,$DE$6:$DF$17,2)+1))*$B21</f>
        <v>-1725.051697987177</v>
      </c>
      <c r="J21" s="1021">
        <f>(VLOOKUP(YEAR($A21),'NY East Load Projections'!$A$4:$EO$14,((MONTH($A21)-1)*12)+VLOOKUP(J$4,$DE$6:$DF$17,2)+1))*$B21</f>
        <v>-1725.051697987177</v>
      </c>
      <c r="K21" s="1021">
        <f>(VLOOKUP(YEAR($A21),'NY East Load Projections'!$A$4:$EO$14,((MONTH($A21)-1)*12)+VLOOKUP(K$4,$DE$6:$DF$17,2)+1))*$B21</f>
        <v>-1725.051697987177</v>
      </c>
      <c r="L21" s="1021">
        <f>(VLOOKUP(YEAR($A21),'NY East Load Projections'!$A$4:$EO$14,((MONTH($A21)-1)*12)+VLOOKUP(L$4,$DE$6:$DF$17,2)+1))*$B21</f>
        <v>-1851.0613657058734</v>
      </c>
      <c r="M21" s="1021">
        <f>(VLOOKUP(YEAR($A21),'NY East Load Projections'!$A$4:$EO$14,((MONTH($A21)-1)*12)+VLOOKUP(M$4,$DE$6:$DF$17,2)+1))*$B21</f>
        <v>-1851.0613657058734</v>
      </c>
      <c r="N21" s="1021">
        <f>(VLOOKUP(YEAR($A21),'NY East Load Projections'!$A$4:$EO$14,((MONTH($A21)-1)*12)+VLOOKUP(N$4,$DE$6:$DF$17,2)+1))*$B21</f>
        <v>-1851.0613657058734</v>
      </c>
      <c r="O21" s="1021">
        <f>(VLOOKUP(YEAR($A21),'NY East Load Projections'!$A$4:$EO$14,((MONTH($A21)-1)*12)+VLOOKUP(O$4,$DE$6:$DF$17,2)+1))*$B21</f>
        <v>-1851.0613657058734</v>
      </c>
      <c r="P21" s="1021">
        <f>(VLOOKUP(YEAR($A21),'NY East Load Projections'!$A$4:$EO$14,((MONTH($A21)-1)*12)+VLOOKUP(P$4,$DE$6:$DF$17,2)+1))*$B21</f>
        <v>-1956.7441257048113</v>
      </c>
      <c r="Q21" s="1021">
        <f>(VLOOKUP(YEAR($A21),'NY East Load Projections'!$A$4:$EO$14,((MONTH($A21)-1)*12)+VLOOKUP(Q$4,$DE$6:$DF$17,2)+1))*$B21</f>
        <v>-1956.7441257048113</v>
      </c>
      <c r="R21" s="1021">
        <f>(VLOOKUP(YEAR($A21),'NY East Load Projections'!$A$4:$EO$14,((MONTH($A21)-1)*12)+VLOOKUP(R$4,$DE$6:$DF$17,2)+1))*$B21</f>
        <v>-1956.7441257048113</v>
      </c>
      <c r="S21" s="1021">
        <f>(VLOOKUP(YEAR($A21),'NY East Load Projections'!$A$4:$EO$14,((MONTH($A21)-1)*12)+VLOOKUP(S$4,$DE$6:$DF$17,2)+1))*$B21</f>
        <v>-1956.7441257048113</v>
      </c>
      <c r="T21" s="1021">
        <f>(VLOOKUP(YEAR($A21),'NY East Load Projections'!$A$4:$EO$14,((MONTH($A21)-1)*12)+VLOOKUP(T$4,$DE$6:$DF$17,2)+1))*$B21</f>
        <v>-1985.7921373928789</v>
      </c>
      <c r="U21" s="1021">
        <f>(VLOOKUP(YEAR($A21),'NY East Load Projections'!$A$4:$EO$14,((MONTH($A21)-1)*12)+VLOOKUP(U$4,$DE$6:$DF$17,2)+1))*$B21</f>
        <v>-1985.7921373928789</v>
      </c>
      <c r="V21" s="1021">
        <f>(VLOOKUP(YEAR($A21),'NY East Load Projections'!$A$4:$EO$14,((MONTH($A21)-1)*12)+VLOOKUP(V$4,$DE$6:$DF$17,2)+1))*$B21</f>
        <v>-1985.7921373928789</v>
      </c>
      <c r="W21" s="1021">
        <f>(VLOOKUP(YEAR($A21),'NY East Load Projections'!$A$4:$EO$14,((MONTH($A21)-1)*12)+VLOOKUP(W$4,$DE$6:$DF$17,2)+1))*$B21</f>
        <v>-1985.7921373928789</v>
      </c>
      <c r="X21" s="1021">
        <f>(VLOOKUP(YEAR($A21),'NY East Load Projections'!$A$4:$EO$14,((MONTH($A21)-1)*12)+VLOOKUP(X$4,$DE$6:$DF$17,2)+1))*$B21</f>
        <v>-1893.7695923947163</v>
      </c>
      <c r="Y21" s="1021">
        <f>(VLOOKUP(YEAR($A21),'NY East Load Projections'!$A$4:$EO$14,((MONTH($A21)-1)*12)+VLOOKUP(Y$4,$DE$6:$DF$17,2)+1))*$B21</f>
        <v>-1893.7695923947163</v>
      </c>
      <c r="Z21" s="1021">
        <f>(VLOOKUP(YEAR($A21),'NY East Load Projections'!$A$4:$EO$14,((MONTH($A21)-1)*12)+VLOOKUP(Z$4,$DE$6:$DF$17,2)+1))*$B21</f>
        <v>-1893.7695923947163</v>
      </c>
      <c r="AA21" s="1021">
        <f>(VLOOKUP(YEAR($A21),'NY East Load Projections'!$A$4:$EO$14,((MONTH($A21)-1)*12)+VLOOKUP(AA$4,$DE$6:$DF$17,2)+1))*$B21</f>
        <v>-1893.7695923947163</v>
      </c>
      <c r="AB21" s="1021">
        <f>(VLOOKUP(YEAR($A21),'NY East Load Projections'!$A$4:$EO$14,((MONTH($A21)-1)*12)+VLOOKUP(AB$4,$DE$6:$DF$17,2)+1))*$B21</f>
        <v>-1781.468210275709</v>
      </c>
      <c r="AC21" s="1021">
        <f>(VLOOKUP(YEAR($A21),'NY East Load Projections'!$A$4:$EO$14,((MONTH($A21)-1)*12)+VLOOKUP(AC$4,$DE$6:$DF$17,2)+1))*$B21</f>
        <v>-1781.468210275709</v>
      </c>
      <c r="AD21" s="1021">
        <f>(VLOOKUP(YEAR($A21),'NY East Load Projections'!$A$4:$EO$14,((MONTH($A21)-1)*12)+VLOOKUP(AD$4,$DE$6:$DF$17,2)+1))*$B21</f>
        <v>-1781.468210275709</v>
      </c>
      <c r="AE21" s="1021">
        <f>(VLOOKUP(YEAR($A21),'NY East Load Projections'!$A$4:$EO$14,((MONTH($A21)-1)*12)+VLOOKUP(AE$4,$DE$6:$DF$17,2)+1))*$B21</f>
        <v>-1781.468210275709</v>
      </c>
      <c r="AF21" s="1021"/>
      <c r="AG21" s="1021">
        <f>(VLOOKUP(YEAR($A21),'NY East Load Projections'!$A$4:$EO$14,((MONTH($A21)-1)*12)+VLOOKUP(AG$4,$DE$6:$DF$17,2)+1))*$C21</f>
        <v>-342.20902918489128</v>
      </c>
      <c r="AH21" s="1021">
        <f>(VLOOKUP(YEAR($A21),'NY East Load Projections'!$A$4:$EO$14,((MONTH($A21)-1)*12)+VLOOKUP(AH$4,$DE$6:$DF$17,2)+1))*$C21</f>
        <v>-342.20902918489128</v>
      </c>
      <c r="AI21" s="1021">
        <f>(VLOOKUP(YEAR($A21),'NY East Load Projections'!$A$4:$EO$14,((MONTH($A21)-1)*12)+VLOOKUP(AI$4,$DE$6:$DF$17,2)+1))*$C21</f>
        <v>-342.20902918489128</v>
      </c>
      <c r="AJ21" s="1021">
        <f>(VLOOKUP(YEAR($A21),'NY East Load Projections'!$A$4:$EO$14,((MONTH($A21)-1)*12)+VLOOKUP(AJ$4,$DE$6:$DF$17,2)+1))*$C21</f>
        <v>-342.20902918489128</v>
      </c>
      <c r="AK21" s="1021">
        <f>(VLOOKUP(YEAR($A21),'NY East Load Projections'!$A$4:$EO$14,((MONTH($A21)-1)*12)+VLOOKUP(AK$4,$DE$6:$DF$17,2)+1))*$C21</f>
        <v>-347.3448634943806</v>
      </c>
      <c r="AL21" s="1021">
        <f>(VLOOKUP(YEAR($A21),'NY East Load Projections'!$A$4:$EO$14,((MONTH($A21)-1)*12)+VLOOKUP(AL$4,$DE$6:$DF$17,2)+1))*$C21</f>
        <v>-347.3448634943806</v>
      </c>
      <c r="AM21" s="1021">
        <f>(VLOOKUP(YEAR($A21),'NY East Load Projections'!$A$4:$EO$14,((MONTH($A21)-1)*12)+VLOOKUP(AM$4,$DE$6:$DF$17,2)+1))*$C21</f>
        <v>-347.3448634943806</v>
      </c>
      <c r="AN21" s="1021">
        <f>(VLOOKUP(YEAR($A21),'NY East Load Projections'!$A$4:$EO$14,((MONTH($A21)-1)*12)+VLOOKUP(AN$4,$DE$6:$DF$17,2)+1))*$C21</f>
        <v>-347.3448634943806</v>
      </c>
      <c r="AO21" s="1021">
        <f>(VLOOKUP(YEAR($A21),'NY East Load Projections'!$A$4:$EO$14,((MONTH($A21)-1)*12)+VLOOKUP(AO$4,$DE$6:$DF$17,2)+1))*$C21</f>
        <v>-371.7234418374228</v>
      </c>
      <c r="AP21" s="1021">
        <f>(VLOOKUP(YEAR($A21),'NY East Load Projections'!$A$4:$EO$14,((MONTH($A21)-1)*12)+VLOOKUP(AP$4,$DE$6:$DF$17,2)+1))*$C21</f>
        <v>-371.7234418374228</v>
      </c>
      <c r="AQ21" s="1021">
        <f>(VLOOKUP(YEAR($A21),'NY East Load Projections'!$A$4:$EO$14,((MONTH($A21)-1)*12)+VLOOKUP(AQ$4,$DE$6:$DF$17,2)+1))*$C21</f>
        <v>-371.7234418374228</v>
      </c>
      <c r="AR21" s="1021">
        <f>(VLOOKUP(YEAR($A21),'NY East Load Projections'!$A$4:$EO$14,((MONTH($A21)-1)*12)+VLOOKUP(AR$4,$DE$6:$DF$17,2)+1))*$C21</f>
        <v>-371.7234418374228</v>
      </c>
      <c r="AS21" s="1021">
        <f>(VLOOKUP(YEAR($A21),'NY East Load Projections'!$A$4:$EO$14,((MONTH($A21)-1)*12)+VLOOKUP(AS$4,$DE$6:$DF$17,2)+1))*$C21</f>
        <v>-364.17793806329371</v>
      </c>
      <c r="AT21" s="1021">
        <f>(VLOOKUP(YEAR($A21),'NY East Load Projections'!$A$4:$EO$14,((MONTH($A21)-1)*12)+VLOOKUP(AT$4,$DE$6:$DF$17,2)+1))*$C21</f>
        <v>-364.17793806329371</v>
      </c>
      <c r="AU21" s="1021">
        <f>(VLOOKUP(YEAR($A21),'NY East Load Projections'!$A$4:$EO$14,((MONTH($A21)-1)*12)+VLOOKUP(AU$4,$DE$6:$DF$17,2)+1))*$C21</f>
        <v>-364.17793806329371</v>
      </c>
      <c r="AV21" s="1021">
        <f>(VLOOKUP(YEAR($A21),'NY East Load Projections'!$A$4:$EO$14,((MONTH($A21)-1)*12)+VLOOKUP(AV$4,$DE$6:$DF$17,2)+1))*$C21</f>
        <v>-364.17793806329371</v>
      </c>
      <c r="AW21" s="1021">
        <f>(VLOOKUP(YEAR($A21),'NY East Load Projections'!$A$4:$EO$14,((MONTH($A21)-1)*12)+VLOOKUP(AW$4,$DE$6:$DF$17,2)+1))*$C21</f>
        <v>-348.82623974893067</v>
      </c>
      <c r="AX21" s="1021">
        <f>(VLOOKUP(YEAR($A21),'NY East Load Projections'!$A$4:$EO$14,((MONTH($A21)-1)*12)+VLOOKUP(AX$4,$DE$6:$DF$17,2)+1))*$C21</f>
        <v>-348.82623974893067</v>
      </c>
      <c r="AY21" s="1021">
        <f>(VLOOKUP(YEAR($A21),'NY East Load Projections'!$A$4:$EO$14,((MONTH($A21)-1)*12)+VLOOKUP(AY$4,$DE$6:$DF$17,2)+1))*$C21</f>
        <v>-348.82623974893067</v>
      </c>
      <c r="AZ21" s="1021">
        <f>(VLOOKUP(YEAR($A21),'NY East Load Projections'!$A$4:$EO$14,((MONTH($A21)-1)*12)+VLOOKUP(AZ$4,$DE$6:$DF$17,2)+1))*$C21</f>
        <v>-348.82623974893067</v>
      </c>
      <c r="BA21" s="1021">
        <f>(VLOOKUP(YEAR($A21),'NY East Load Projections'!$A$4:$EO$14,((MONTH($A21)-1)*12)+VLOOKUP(BA$4,$DE$6:$DF$17,2)+1))*$C21</f>
        <v>-344.32618016682193</v>
      </c>
      <c r="BB21" s="1021">
        <f>(VLOOKUP(YEAR($A21),'NY East Load Projections'!$A$4:$EO$14,((MONTH($A21)-1)*12)+VLOOKUP(BB$4,$DE$6:$DF$17,2)+1))*$C21</f>
        <v>-344.32618016682193</v>
      </c>
      <c r="BC21" s="1021">
        <f>(VLOOKUP(YEAR($A21),'NY East Load Projections'!$A$4:$EO$14,((MONTH($A21)-1)*12)+VLOOKUP(BC$4,$DE$6:$DF$17,2)+1))*$C21</f>
        <v>-344.32618016682193</v>
      </c>
      <c r="BD21" s="1021">
        <f>(VLOOKUP(YEAR($A21),'NY East Load Projections'!$A$4:$EO$14,((MONTH($A21)-1)*12)+VLOOKUP(BD$4,$DE$6:$DF$17,2)+1))*$C21</f>
        <v>-344.32618016682193</v>
      </c>
      <c r="BE21" s="1021"/>
      <c r="BF21" s="1021">
        <f>(VLOOKUP(YEAR($A21),'NY East Load Projections'!$A$4:$EO$14,((MONTH($A21)-1)*12)+VLOOKUP(BF$4,$DE$6:$DF$17,2)+1))*$D21</f>
        <v>-342.20902918489128</v>
      </c>
      <c r="BG21" s="1021">
        <f>(VLOOKUP(YEAR($A21),'NY East Load Projections'!$A$4:$EO$14,((MONTH($A21)-1)*12)+VLOOKUP(BG$4,$DE$6:$DF$17,2)+1))*$D21</f>
        <v>-342.20902918489128</v>
      </c>
      <c r="BH21" s="1021">
        <f>(VLOOKUP(YEAR($A21),'NY East Load Projections'!$A$4:$EO$14,((MONTH($A21)-1)*12)+VLOOKUP(BH$4,$DE$6:$DF$17,2)+1))*$D21</f>
        <v>-342.20902918489128</v>
      </c>
      <c r="BI21" s="1021">
        <f>(VLOOKUP(YEAR($A21),'NY East Load Projections'!$A$4:$EO$14,((MONTH($A21)-1)*12)+VLOOKUP(BI$4,$DE$6:$DF$17,2)+1))*$D21</f>
        <v>-342.20902918489128</v>
      </c>
      <c r="BJ21" s="1021">
        <f>(VLOOKUP(YEAR($A21),'NY East Load Projections'!$A$4:$EO$14,((MONTH($A21)-1)*12)+VLOOKUP(BJ$4,$DE$6:$DF$17,2)+1))*$D21</f>
        <v>-347.3448634943806</v>
      </c>
      <c r="BK21" s="1021">
        <f>(VLOOKUP(YEAR($A21),'NY East Load Projections'!$A$4:$EO$14,((MONTH($A21)-1)*12)+VLOOKUP(BK$4,$DE$6:$DF$17,2)+1))*$D21</f>
        <v>-347.3448634943806</v>
      </c>
      <c r="BL21" s="1021">
        <f>(VLOOKUP(YEAR($A21),'NY East Load Projections'!$A$4:$EO$14,((MONTH($A21)-1)*12)+VLOOKUP(BL$4,$DE$6:$DF$17,2)+1))*$D21</f>
        <v>-347.3448634943806</v>
      </c>
      <c r="BM21" s="1021">
        <f>(VLOOKUP(YEAR($A21),'NY East Load Projections'!$A$4:$EO$14,((MONTH($A21)-1)*12)+VLOOKUP(BM$4,$DE$6:$DF$17,2)+1))*$D21</f>
        <v>-347.3448634943806</v>
      </c>
      <c r="BN21" s="1021">
        <f>(VLOOKUP(YEAR($A21),'NY East Load Projections'!$A$4:$EO$14,((MONTH($A21)-1)*12)+VLOOKUP(BN$4,$DE$6:$DF$17,2)+1))*$D21</f>
        <v>-371.7234418374228</v>
      </c>
      <c r="BO21" s="1021">
        <f>(VLOOKUP(YEAR($A21),'NY East Load Projections'!$A$4:$EO$14,((MONTH($A21)-1)*12)+VLOOKUP(BO$4,$DE$6:$DF$17,2)+1))*$D21</f>
        <v>-371.7234418374228</v>
      </c>
      <c r="BP21" s="1021">
        <f>(VLOOKUP(YEAR($A21),'NY East Load Projections'!$A$4:$EO$14,((MONTH($A21)-1)*12)+VLOOKUP(BP$4,$DE$6:$DF$17,2)+1))*$D21</f>
        <v>-371.7234418374228</v>
      </c>
      <c r="BQ21" s="1021">
        <f>(VLOOKUP(YEAR($A21),'NY East Load Projections'!$A$4:$EO$14,((MONTH($A21)-1)*12)+VLOOKUP(BQ$4,$DE$6:$DF$17,2)+1))*$D21</f>
        <v>-371.7234418374228</v>
      </c>
      <c r="BR21" s="1021">
        <f>(VLOOKUP(YEAR($A21),'NY East Load Projections'!$A$4:$EO$14,((MONTH($A21)-1)*12)+VLOOKUP(BR$4,$DE$6:$DF$17,2)+1))*$D21</f>
        <v>-364.17793806329371</v>
      </c>
      <c r="BS21" s="1021">
        <f>(VLOOKUP(YEAR($A21),'NY East Load Projections'!$A$4:$EO$14,((MONTH($A21)-1)*12)+VLOOKUP(BS$4,$DE$6:$DF$17,2)+1))*$D21</f>
        <v>-364.17793806329371</v>
      </c>
      <c r="BT21" s="1021">
        <f>(VLOOKUP(YEAR($A21),'NY East Load Projections'!$A$4:$EO$14,((MONTH($A21)-1)*12)+VLOOKUP(BT$4,$DE$6:$DF$17,2)+1))*$D21</f>
        <v>-364.17793806329371</v>
      </c>
      <c r="BU21" s="1021">
        <f>(VLOOKUP(YEAR($A21),'NY East Load Projections'!$A$4:$EO$14,((MONTH($A21)-1)*12)+VLOOKUP(BU$4,$DE$6:$DF$17,2)+1))*$D21</f>
        <v>-364.17793806329371</v>
      </c>
      <c r="BV21" s="1021">
        <f>(VLOOKUP(YEAR($A21),'NY East Load Projections'!$A$4:$EO$14,((MONTH($A21)-1)*12)+VLOOKUP(BV$4,$DE$6:$DF$17,2)+1))*$D21</f>
        <v>-348.82623974893067</v>
      </c>
      <c r="BW21" s="1021">
        <f>(VLOOKUP(YEAR($A21),'NY East Load Projections'!$A$4:$EO$14,((MONTH($A21)-1)*12)+VLOOKUP(BW$4,$DE$6:$DF$17,2)+1))*$D21</f>
        <v>-348.82623974893067</v>
      </c>
      <c r="BX21" s="1021">
        <f>(VLOOKUP(YEAR($A21),'NY East Load Projections'!$A$4:$EO$14,((MONTH($A21)-1)*12)+VLOOKUP(BX$4,$DE$6:$DF$17,2)+1))*$D21</f>
        <v>-348.82623974893067</v>
      </c>
      <c r="BY21" s="1021">
        <f>(VLOOKUP(YEAR($A21),'NY East Load Projections'!$A$4:$EO$14,((MONTH($A21)-1)*12)+VLOOKUP(BY$4,$DE$6:$DF$17,2)+1))*$D21</f>
        <v>-348.82623974893067</v>
      </c>
      <c r="BZ21" s="1021">
        <f>(VLOOKUP(YEAR($A21),'NY East Load Projections'!$A$4:$EO$14,((MONTH($A21)-1)*12)+VLOOKUP(BZ$4,$DE$6:$DF$17,2)+1))*$D21</f>
        <v>-344.32618016682193</v>
      </c>
      <c r="CA21" s="1021">
        <f>(VLOOKUP(YEAR($A21),'NY East Load Projections'!$A$4:$EO$14,((MONTH($A21)-1)*12)+VLOOKUP(CA$4,$DE$6:$DF$17,2)+1))*$D21</f>
        <v>-344.32618016682193</v>
      </c>
      <c r="CB21" s="1021">
        <f>(VLOOKUP(YEAR($A21),'NY East Load Projections'!$A$4:$EO$14,((MONTH($A21)-1)*12)+VLOOKUP(CB$4,$DE$6:$DF$17,2)+1))*$D21</f>
        <v>-344.32618016682193</v>
      </c>
      <c r="CC21" s="1021">
        <f>(VLOOKUP(YEAR($A21),'NY East Load Projections'!$A$4:$EO$14,((MONTH($A21)-1)*12)+VLOOKUP(CC$4,$DE$6:$DF$17,2)+1))*$D21</f>
        <v>-344.32618016682193</v>
      </c>
      <c r="CE21" s="1021">
        <f>(VLOOKUP(YEAR($A21),'NY East Load Projections'!$A$4:$EO$14,((MONTH($A21)-1)*12)+VLOOKUP(CE$4,$DE$6:$DF$17,2)+1))*$E21</f>
        <v>0</v>
      </c>
      <c r="CF21" s="1021">
        <f>(VLOOKUP(YEAR($A21),'NY East Load Projections'!$A$4:$EO$14,((MONTH($A21)-1)*12)+VLOOKUP(CF$4,$DE$6:$DF$17,2)+1))*$E21</f>
        <v>0</v>
      </c>
      <c r="CG21" s="1021">
        <f>(VLOOKUP(YEAR($A21),'NY East Load Projections'!$A$4:$EO$14,((MONTH($A21)-1)*12)+VLOOKUP(CG$4,$DE$6:$DF$17,2)+1))*$E21</f>
        <v>0</v>
      </c>
      <c r="CH21" s="1021">
        <f>(VLOOKUP(YEAR($A21),'NY East Load Projections'!$A$4:$EO$14,((MONTH($A21)-1)*12)+VLOOKUP(CH$4,$DE$6:$DF$17,2)+1))*$E21</f>
        <v>0</v>
      </c>
      <c r="CI21" s="1021">
        <f>(VLOOKUP(YEAR($A21),'NY East Load Projections'!$A$4:$EO$14,((MONTH($A21)-1)*12)+VLOOKUP(CI$4,$DE$6:$DF$17,2)+1))*$E21</f>
        <v>0</v>
      </c>
      <c r="CJ21" s="1021">
        <f>(VLOOKUP(YEAR($A21),'NY East Load Projections'!$A$4:$EO$14,((MONTH($A21)-1)*12)+VLOOKUP(CJ$4,$DE$6:$DF$17,2)+1))*$E21</f>
        <v>0</v>
      </c>
      <c r="CK21" s="1021">
        <f>(VLOOKUP(YEAR($A21),'NY East Load Projections'!$A$4:$EO$14,((MONTH($A21)-1)*12)+VLOOKUP(CK$4,$DE$6:$DF$17,2)+1))*$E21</f>
        <v>0</v>
      </c>
      <c r="CL21" s="1021">
        <f>(VLOOKUP(YEAR($A21),'NY East Load Projections'!$A$4:$EO$14,((MONTH($A21)-1)*12)+VLOOKUP(CL$4,$DE$6:$DF$17,2)+1))*$E21</f>
        <v>0</v>
      </c>
      <c r="CM21" s="1021">
        <f>(VLOOKUP(YEAR($A21),'NY East Load Projections'!$A$4:$EO$14,((MONTH($A21)-1)*12)+VLOOKUP(CM$4,$DE$6:$DF$17,2)+1))*$E21</f>
        <v>0</v>
      </c>
      <c r="CN21" s="1021">
        <f>(VLOOKUP(YEAR($A21),'NY East Load Projections'!$A$4:$EO$14,((MONTH($A21)-1)*12)+VLOOKUP(CN$4,$DE$6:$DF$17,2)+1))*$E21</f>
        <v>0</v>
      </c>
      <c r="CO21" s="1021">
        <f>(VLOOKUP(YEAR($A21),'NY East Load Projections'!$A$4:$EO$14,((MONTH($A21)-1)*12)+VLOOKUP(CO$4,$DE$6:$DF$17,2)+1))*$E21</f>
        <v>0</v>
      </c>
      <c r="CP21" s="1021">
        <f>(VLOOKUP(YEAR($A21),'NY East Load Projections'!$A$4:$EO$14,((MONTH($A21)-1)*12)+VLOOKUP(CP$4,$DE$6:$DF$17,2)+1))*$E21</f>
        <v>0</v>
      </c>
      <c r="CQ21" s="1021">
        <f>(VLOOKUP(YEAR($A21),'NY East Load Projections'!$A$4:$EO$14,((MONTH($A21)-1)*12)+VLOOKUP(CQ$4,$DE$6:$DF$17,2)+1))*$E21</f>
        <v>0</v>
      </c>
      <c r="CR21" s="1021">
        <f>(VLOOKUP(YEAR($A21),'NY East Load Projections'!$A$4:$EO$14,((MONTH($A21)-1)*12)+VLOOKUP(CR$4,$DE$6:$DF$17,2)+1))*$E21</f>
        <v>0</v>
      </c>
      <c r="CS21" s="1021">
        <f>(VLOOKUP(YEAR($A21),'NY East Load Projections'!$A$4:$EO$14,((MONTH($A21)-1)*12)+VLOOKUP(CS$4,$DE$6:$DF$17,2)+1))*$E21</f>
        <v>0</v>
      </c>
      <c r="CT21" s="1021">
        <f>(VLOOKUP(YEAR($A21),'NY East Load Projections'!$A$4:$EO$14,((MONTH($A21)-1)*12)+VLOOKUP(CT$4,$DE$6:$DF$17,2)+1))*$E21</f>
        <v>0</v>
      </c>
      <c r="CU21" s="1021">
        <f>(VLOOKUP(YEAR($A21),'NY East Load Projections'!$A$4:$EO$14,((MONTH($A21)-1)*12)+VLOOKUP(CU$4,$DE$6:$DF$17,2)+1))*$E21</f>
        <v>0</v>
      </c>
      <c r="CV21" s="1021">
        <f>(VLOOKUP(YEAR($A21),'NY East Load Projections'!$A$4:$EO$14,((MONTH($A21)-1)*12)+VLOOKUP(CV$4,$DE$6:$DF$17,2)+1))*$E21</f>
        <v>0</v>
      </c>
      <c r="CW21" s="1021">
        <f>(VLOOKUP(YEAR($A21),'NY East Load Projections'!$A$4:$EO$14,((MONTH($A21)-1)*12)+VLOOKUP(CW$4,$DE$6:$DF$17,2)+1))*$E21</f>
        <v>0</v>
      </c>
      <c r="CX21" s="1021">
        <f>(VLOOKUP(YEAR($A21),'NY East Load Projections'!$A$4:$EO$14,((MONTH($A21)-1)*12)+VLOOKUP(CX$4,$DE$6:$DF$17,2)+1))*$E21</f>
        <v>0</v>
      </c>
      <c r="CY21" s="1021">
        <f>(VLOOKUP(YEAR($A21),'NY East Load Projections'!$A$4:$EO$14,((MONTH($A21)-1)*12)+VLOOKUP(CY$4,$DE$6:$DF$17,2)+1))*$E21</f>
        <v>0</v>
      </c>
      <c r="CZ21" s="1021">
        <f>(VLOOKUP(YEAR($A21),'NY East Load Projections'!$A$4:$EO$14,((MONTH($A21)-1)*12)+VLOOKUP(CZ$4,$DE$6:$DF$17,2)+1))*$E21</f>
        <v>0</v>
      </c>
      <c r="DA21" s="1021">
        <f>(VLOOKUP(YEAR($A21),'NY East Load Projections'!$A$4:$EO$14,((MONTH($A21)-1)*12)+VLOOKUP(DA$4,$DE$6:$DF$17,2)+1))*$E21</f>
        <v>0</v>
      </c>
      <c r="DB21" s="1021">
        <f>(VLOOKUP(YEAR($A21),'NY East Load Projections'!$A$4:$EO$14,((MONTH($A21)-1)*12)+VLOOKUP(DB$4,$DE$6:$DF$17,2)+1))*$E21</f>
        <v>0</v>
      </c>
      <c r="DH21" s="1009">
        <f t="shared" si="0"/>
        <v>-61724.410057810572</v>
      </c>
      <c r="DI21">
        <f ca="1">CALC!J41</f>
        <v>0.85715940312422123</v>
      </c>
      <c r="DJ21" s="1032">
        <f t="shared" ca="1" si="1"/>
        <v>-52907.658483347586</v>
      </c>
    </row>
    <row r="22" spans="1:114" x14ac:dyDescent="0.25">
      <c r="A22" s="244">
        <v>37377</v>
      </c>
      <c r="B22" s="13">
        <v>22</v>
      </c>
      <c r="C22" s="210">
        <v>4</v>
      </c>
      <c r="D22" s="210">
        <v>4</v>
      </c>
      <c r="E22" s="210">
        <v>1</v>
      </c>
      <c r="F22" s="13">
        <v>31</v>
      </c>
      <c r="H22" s="1021">
        <f>(VLOOKUP(YEAR($A22),'NY East Load Projections'!$A$4:$EO$14,((MONTH($A22)-1)*12)+VLOOKUP(H$4,$DE$6:$DF$17,2)+1))*$B22</f>
        <v>-1849.1328003393521</v>
      </c>
      <c r="I22" s="1021">
        <f>(VLOOKUP(YEAR($A22),'NY East Load Projections'!$A$4:$EO$14,((MONTH($A22)-1)*12)+VLOOKUP(I$4,$DE$6:$DF$17,2)+1))*$B22</f>
        <v>-1849.1328003393521</v>
      </c>
      <c r="J22" s="1021">
        <f>(VLOOKUP(YEAR($A22),'NY East Load Projections'!$A$4:$EO$14,((MONTH($A22)-1)*12)+VLOOKUP(J$4,$DE$6:$DF$17,2)+1))*$B22</f>
        <v>-1849.1328003393521</v>
      </c>
      <c r="K22" s="1021">
        <f>(VLOOKUP(YEAR($A22),'NY East Load Projections'!$A$4:$EO$14,((MONTH($A22)-1)*12)+VLOOKUP(K$4,$DE$6:$DF$17,2)+1))*$B22</f>
        <v>-1849.1328003393521</v>
      </c>
      <c r="L22" s="1021">
        <f>(VLOOKUP(YEAR($A22),'NY East Load Projections'!$A$4:$EO$14,((MONTH($A22)-1)*12)+VLOOKUP(L$4,$DE$6:$DF$17,2)+1))*$B22</f>
        <v>-1990.4068614991727</v>
      </c>
      <c r="M22" s="1021">
        <f>(VLOOKUP(YEAR($A22),'NY East Load Projections'!$A$4:$EO$14,((MONTH($A22)-1)*12)+VLOOKUP(M$4,$DE$6:$DF$17,2)+1))*$B22</f>
        <v>-1990.4068614991727</v>
      </c>
      <c r="N22" s="1021">
        <f>(VLOOKUP(YEAR($A22),'NY East Load Projections'!$A$4:$EO$14,((MONTH($A22)-1)*12)+VLOOKUP(N$4,$DE$6:$DF$17,2)+1))*$B22</f>
        <v>-1990.4068614991727</v>
      </c>
      <c r="O22" s="1021">
        <f>(VLOOKUP(YEAR($A22),'NY East Load Projections'!$A$4:$EO$14,((MONTH($A22)-1)*12)+VLOOKUP(O$4,$DE$6:$DF$17,2)+1))*$B22</f>
        <v>-1990.4068614991727</v>
      </c>
      <c r="P22" s="1021">
        <f>(VLOOKUP(YEAR($A22),'NY East Load Projections'!$A$4:$EO$14,((MONTH($A22)-1)*12)+VLOOKUP(P$4,$DE$6:$DF$17,2)+1))*$B22</f>
        <v>-2129.9110634244016</v>
      </c>
      <c r="Q22" s="1021">
        <f>(VLOOKUP(YEAR($A22),'NY East Load Projections'!$A$4:$EO$14,((MONTH($A22)-1)*12)+VLOOKUP(Q$4,$DE$6:$DF$17,2)+1))*$B22</f>
        <v>-2129.9110634244016</v>
      </c>
      <c r="R22" s="1021">
        <f>(VLOOKUP(YEAR($A22),'NY East Load Projections'!$A$4:$EO$14,((MONTH($A22)-1)*12)+VLOOKUP(R$4,$DE$6:$DF$17,2)+1))*$B22</f>
        <v>-2129.9110634244016</v>
      </c>
      <c r="S22" s="1021">
        <f>(VLOOKUP(YEAR($A22),'NY East Load Projections'!$A$4:$EO$14,((MONTH($A22)-1)*12)+VLOOKUP(S$4,$DE$6:$DF$17,2)+1))*$B22</f>
        <v>-2129.9110634244016</v>
      </c>
      <c r="T22" s="1021">
        <f>(VLOOKUP(YEAR($A22),'NY East Load Projections'!$A$4:$EO$14,((MONTH($A22)-1)*12)+VLOOKUP(T$4,$DE$6:$DF$17,2)+1))*$B22</f>
        <v>-2156.6043256842295</v>
      </c>
      <c r="U22" s="1021">
        <f>(VLOOKUP(YEAR($A22),'NY East Load Projections'!$A$4:$EO$14,((MONTH($A22)-1)*12)+VLOOKUP(U$4,$DE$6:$DF$17,2)+1))*$B22</f>
        <v>-2156.6043256842295</v>
      </c>
      <c r="V22" s="1021">
        <f>(VLOOKUP(YEAR($A22),'NY East Load Projections'!$A$4:$EO$14,((MONTH($A22)-1)*12)+VLOOKUP(V$4,$DE$6:$DF$17,2)+1))*$B22</f>
        <v>-2156.6043256842295</v>
      </c>
      <c r="W22" s="1021">
        <f>(VLOOKUP(YEAR($A22),'NY East Load Projections'!$A$4:$EO$14,((MONTH($A22)-1)*12)+VLOOKUP(W$4,$DE$6:$DF$17,2)+1))*$B22</f>
        <v>-2156.6043256842295</v>
      </c>
      <c r="X22" s="1021">
        <f>(VLOOKUP(YEAR($A22),'NY East Load Projections'!$A$4:$EO$14,((MONTH($A22)-1)*12)+VLOOKUP(X$4,$DE$6:$DF$17,2)+1))*$B22</f>
        <v>-2061.8431593191449</v>
      </c>
      <c r="Y22" s="1021">
        <f>(VLOOKUP(YEAR($A22),'NY East Load Projections'!$A$4:$EO$14,((MONTH($A22)-1)*12)+VLOOKUP(Y$4,$DE$6:$DF$17,2)+1))*$B22</f>
        <v>-2061.8431593191449</v>
      </c>
      <c r="Z22" s="1021">
        <f>(VLOOKUP(YEAR($A22),'NY East Load Projections'!$A$4:$EO$14,((MONTH($A22)-1)*12)+VLOOKUP(Z$4,$DE$6:$DF$17,2)+1))*$B22</f>
        <v>-2061.8431593191449</v>
      </c>
      <c r="AA22" s="1021">
        <f>(VLOOKUP(YEAR($A22),'NY East Load Projections'!$A$4:$EO$14,((MONTH($A22)-1)*12)+VLOOKUP(AA$4,$DE$6:$DF$17,2)+1))*$B22</f>
        <v>-2061.8431593191449</v>
      </c>
      <c r="AB22" s="1021">
        <f>(VLOOKUP(YEAR($A22),'NY East Load Projections'!$A$4:$EO$14,((MONTH($A22)-1)*12)+VLOOKUP(AB$4,$DE$6:$DF$17,2)+1))*$B22</f>
        <v>-1918.2257450503919</v>
      </c>
      <c r="AC22" s="1021">
        <f>(VLOOKUP(YEAR($A22),'NY East Load Projections'!$A$4:$EO$14,((MONTH($A22)-1)*12)+VLOOKUP(AC$4,$DE$6:$DF$17,2)+1))*$B22</f>
        <v>-1918.2257450503919</v>
      </c>
      <c r="AD22" s="1021">
        <f>(VLOOKUP(YEAR($A22),'NY East Load Projections'!$A$4:$EO$14,((MONTH($A22)-1)*12)+VLOOKUP(AD$4,$DE$6:$DF$17,2)+1))*$B22</f>
        <v>-1918.2257450503919</v>
      </c>
      <c r="AE22" s="1021">
        <f>(VLOOKUP(YEAR($A22),'NY East Load Projections'!$A$4:$EO$14,((MONTH($A22)-1)*12)+VLOOKUP(AE$4,$DE$6:$DF$17,2)+1))*$B22</f>
        <v>-1918.2257450503919</v>
      </c>
      <c r="AF22" s="1021"/>
      <c r="AG22" s="1021">
        <f>(VLOOKUP(YEAR($A22),'NY East Load Projections'!$A$4:$EO$14,((MONTH($A22)-1)*12)+VLOOKUP(AG$4,$DE$6:$DF$17,2)+1))*$C22</f>
        <v>-368.36520187383815</v>
      </c>
      <c r="AH22" s="1021">
        <f>(VLOOKUP(YEAR($A22),'NY East Load Projections'!$A$4:$EO$14,((MONTH($A22)-1)*12)+VLOOKUP(AH$4,$DE$6:$DF$17,2)+1))*$C22</f>
        <v>-368.36520187383815</v>
      </c>
      <c r="AI22" s="1021">
        <f>(VLOOKUP(YEAR($A22),'NY East Load Projections'!$A$4:$EO$14,((MONTH($A22)-1)*12)+VLOOKUP(AI$4,$DE$6:$DF$17,2)+1))*$C22</f>
        <v>-368.36520187383815</v>
      </c>
      <c r="AJ22" s="1021">
        <f>(VLOOKUP(YEAR($A22),'NY East Load Projections'!$A$4:$EO$14,((MONTH($A22)-1)*12)+VLOOKUP(AJ$4,$DE$6:$DF$17,2)+1))*$C22</f>
        <v>-368.36520187383815</v>
      </c>
      <c r="AK22" s="1021">
        <f>(VLOOKUP(YEAR($A22),'NY East Load Projections'!$A$4:$EO$14,((MONTH($A22)-1)*12)+VLOOKUP(AK$4,$DE$6:$DF$17,2)+1))*$C22</f>
        <v>-373.96351574199082</v>
      </c>
      <c r="AL22" s="1021">
        <f>(VLOOKUP(YEAR($A22),'NY East Load Projections'!$A$4:$EO$14,((MONTH($A22)-1)*12)+VLOOKUP(AL$4,$DE$6:$DF$17,2)+1))*$C22</f>
        <v>-373.96351574199082</v>
      </c>
      <c r="AM22" s="1021">
        <f>(VLOOKUP(YEAR($A22),'NY East Load Projections'!$A$4:$EO$14,((MONTH($A22)-1)*12)+VLOOKUP(AM$4,$DE$6:$DF$17,2)+1))*$C22</f>
        <v>-373.96351574199082</v>
      </c>
      <c r="AN22" s="1021">
        <f>(VLOOKUP(YEAR($A22),'NY East Load Projections'!$A$4:$EO$14,((MONTH($A22)-1)*12)+VLOOKUP(AN$4,$DE$6:$DF$17,2)+1))*$C22</f>
        <v>-373.96351574199082</v>
      </c>
      <c r="AO22" s="1021">
        <f>(VLOOKUP(YEAR($A22),'NY East Load Projections'!$A$4:$EO$14,((MONTH($A22)-1)*12)+VLOOKUP(AO$4,$DE$6:$DF$17,2)+1))*$C22</f>
        <v>-418.54431241628373</v>
      </c>
      <c r="AP22" s="1021">
        <f>(VLOOKUP(YEAR($A22),'NY East Load Projections'!$A$4:$EO$14,((MONTH($A22)-1)*12)+VLOOKUP(AP$4,$DE$6:$DF$17,2)+1))*$C22</f>
        <v>-418.54431241628373</v>
      </c>
      <c r="AQ22" s="1021">
        <f>(VLOOKUP(YEAR($A22),'NY East Load Projections'!$A$4:$EO$14,((MONTH($A22)-1)*12)+VLOOKUP(AQ$4,$DE$6:$DF$17,2)+1))*$C22</f>
        <v>-418.54431241628373</v>
      </c>
      <c r="AR22" s="1021">
        <f>(VLOOKUP(YEAR($A22),'NY East Load Projections'!$A$4:$EO$14,((MONTH($A22)-1)*12)+VLOOKUP(AR$4,$DE$6:$DF$17,2)+1))*$C22</f>
        <v>-418.54431241628373</v>
      </c>
      <c r="AS22" s="1021">
        <f>(VLOOKUP(YEAR($A22),'NY East Load Projections'!$A$4:$EO$14,((MONTH($A22)-1)*12)+VLOOKUP(AS$4,$DE$6:$DF$17,2)+1))*$C22</f>
        <v>-409.53717144882387</v>
      </c>
      <c r="AT22" s="1021">
        <f>(VLOOKUP(YEAR($A22),'NY East Load Projections'!$A$4:$EO$14,((MONTH($A22)-1)*12)+VLOOKUP(AT$4,$DE$6:$DF$17,2)+1))*$C22</f>
        <v>-409.53717144882387</v>
      </c>
      <c r="AU22" s="1021">
        <f>(VLOOKUP(YEAR($A22),'NY East Load Projections'!$A$4:$EO$14,((MONTH($A22)-1)*12)+VLOOKUP(AU$4,$DE$6:$DF$17,2)+1))*$C22</f>
        <v>-409.53717144882387</v>
      </c>
      <c r="AV22" s="1021">
        <f>(VLOOKUP(YEAR($A22),'NY East Load Projections'!$A$4:$EO$14,((MONTH($A22)-1)*12)+VLOOKUP(AV$4,$DE$6:$DF$17,2)+1))*$C22</f>
        <v>-409.53717144882387</v>
      </c>
      <c r="AW22" s="1021">
        <f>(VLOOKUP(YEAR($A22),'NY East Load Projections'!$A$4:$EO$14,((MONTH($A22)-1)*12)+VLOOKUP(AW$4,$DE$6:$DF$17,2)+1))*$C22</f>
        <v>-382.33165815896996</v>
      </c>
      <c r="AX22" s="1021">
        <f>(VLOOKUP(YEAR($A22),'NY East Load Projections'!$A$4:$EO$14,((MONTH($A22)-1)*12)+VLOOKUP(AX$4,$DE$6:$DF$17,2)+1))*$C22</f>
        <v>-382.33165815896996</v>
      </c>
      <c r="AY22" s="1021">
        <f>(VLOOKUP(YEAR($A22),'NY East Load Projections'!$A$4:$EO$14,((MONTH($A22)-1)*12)+VLOOKUP(AY$4,$DE$6:$DF$17,2)+1))*$C22</f>
        <v>-382.33165815896996</v>
      </c>
      <c r="AZ22" s="1021">
        <f>(VLOOKUP(YEAR($A22),'NY East Load Projections'!$A$4:$EO$14,((MONTH($A22)-1)*12)+VLOOKUP(AZ$4,$DE$6:$DF$17,2)+1))*$C22</f>
        <v>-382.33165815896996</v>
      </c>
      <c r="BA22" s="1021">
        <f>(VLOOKUP(YEAR($A22),'NY East Load Projections'!$A$4:$EO$14,((MONTH($A22)-1)*12)+VLOOKUP(BA$4,$DE$6:$DF$17,2)+1))*$C22</f>
        <v>-375.90764229370825</v>
      </c>
      <c r="BB22" s="1021">
        <f>(VLOOKUP(YEAR($A22),'NY East Load Projections'!$A$4:$EO$14,((MONTH($A22)-1)*12)+VLOOKUP(BB$4,$DE$6:$DF$17,2)+1))*$C22</f>
        <v>-375.90764229370825</v>
      </c>
      <c r="BC22" s="1021">
        <f>(VLOOKUP(YEAR($A22),'NY East Load Projections'!$A$4:$EO$14,((MONTH($A22)-1)*12)+VLOOKUP(BC$4,$DE$6:$DF$17,2)+1))*$C22</f>
        <v>-375.90764229370825</v>
      </c>
      <c r="BD22" s="1021">
        <f>(VLOOKUP(YEAR($A22),'NY East Load Projections'!$A$4:$EO$14,((MONTH($A22)-1)*12)+VLOOKUP(BD$4,$DE$6:$DF$17,2)+1))*$C22</f>
        <v>-375.90764229370825</v>
      </c>
      <c r="BE22" s="1021"/>
      <c r="BF22" s="1021">
        <f>(VLOOKUP(YEAR($A22),'NY East Load Projections'!$A$4:$EO$14,((MONTH($A22)-1)*12)+VLOOKUP(BF$4,$DE$6:$DF$17,2)+1))*$D22</f>
        <v>-368.36520187383815</v>
      </c>
      <c r="BG22" s="1021">
        <f>(VLOOKUP(YEAR($A22),'NY East Load Projections'!$A$4:$EO$14,((MONTH($A22)-1)*12)+VLOOKUP(BG$4,$DE$6:$DF$17,2)+1))*$D22</f>
        <v>-368.36520187383815</v>
      </c>
      <c r="BH22" s="1021">
        <f>(VLOOKUP(YEAR($A22),'NY East Load Projections'!$A$4:$EO$14,((MONTH($A22)-1)*12)+VLOOKUP(BH$4,$DE$6:$DF$17,2)+1))*$D22</f>
        <v>-368.36520187383815</v>
      </c>
      <c r="BI22" s="1021">
        <f>(VLOOKUP(YEAR($A22),'NY East Load Projections'!$A$4:$EO$14,((MONTH($A22)-1)*12)+VLOOKUP(BI$4,$DE$6:$DF$17,2)+1))*$D22</f>
        <v>-368.36520187383815</v>
      </c>
      <c r="BJ22" s="1021">
        <f>(VLOOKUP(YEAR($A22),'NY East Load Projections'!$A$4:$EO$14,((MONTH($A22)-1)*12)+VLOOKUP(BJ$4,$DE$6:$DF$17,2)+1))*$D22</f>
        <v>-373.96351574199082</v>
      </c>
      <c r="BK22" s="1021">
        <f>(VLOOKUP(YEAR($A22),'NY East Load Projections'!$A$4:$EO$14,((MONTH($A22)-1)*12)+VLOOKUP(BK$4,$DE$6:$DF$17,2)+1))*$D22</f>
        <v>-373.96351574199082</v>
      </c>
      <c r="BL22" s="1021">
        <f>(VLOOKUP(YEAR($A22),'NY East Load Projections'!$A$4:$EO$14,((MONTH($A22)-1)*12)+VLOOKUP(BL$4,$DE$6:$DF$17,2)+1))*$D22</f>
        <v>-373.96351574199082</v>
      </c>
      <c r="BM22" s="1021">
        <f>(VLOOKUP(YEAR($A22),'NY East Load Projections'!$A$4:$EO$14,((MONTH($A22)-1)*12)+VLOOKUP(BM$4,$DE$6:$DF$17,2)+1))*$D22</f>
        <v>-373.96351574199082</v>
      </c>
      <c r="BN22" s="1021">
        <f>(VLOOKUP(YEAR($A22),'NY East Load Projections'!$A$4:$EO$14,((MONTH($A22)-1)*12)+VLOOKUP(BN$4,$DE$6:$DF$17,2)+1))*$D22</f>
        <v>-418.54431241628373</v>
      </c>
      <c r="BO22" s="1021">
        <f>(VLOOKUP(YEAR($A22),'NY East Load Projections'!$A$4:$EO$14,((MONTH($A22)-1)*12)+VLOOKUP(BO$4,$DE$6:$DF$17,2)+1))*$D22</f>
        <v>-418.54431241628373</v>
      </c>
      <c r="BP22" s="1021">
        <f>(VLOOKUP(YEAR($A22),'NY East Load Projections'!$A$4:$EO$14,((MONTH($A22)-1)*12)+VLOOKUP(BP$4,$DE$6:$DF$17,2)+1))*$D22</f>
        <v>-418.54431241628373</v>
      </c>
      <c r="BQ22" s="1021">
        <f>(VLOOKUP(YEAR($A22),'NY East Load Projections'!$A$4:$EO$14,((MONTH($A22)-1)*12)+VLOOKUP(BQ$4,$DE$6:$DF$17,2)+1))*$D22</f>
        <v>-418.54431241628373</v>
      </c>
      <c r="BR22" s="1021">
        <f>(VLOOKUP(YEAR($A22),'NY East Load Projections'!$A$4:$EO$14,((MONTH($A22)-1)*12)+VLOOKUP(BR$4,$DE$6:$DF$17,2)+1))*$D22</f>
        <v>-409.53717144882387</v>
      </c>
      <c r="BS22" s="1021">
        <f>(VLOOKUP(YEAR($A22),'NY East Load Projections'!$A$4:$EO$14,((MONTH($A22)-1)*12)+VLOOKUP(BS$4,$DE$6:$DF$17,2)+1))*$D22</f>
        <v>-409.53717144882387</v>
      </c>
      <c r="BT22" s="1021">
        <f>(VLOOKUP(YEAR($A22),'NY East Load Projections'!$A$4:$EO$14,((MONTH($A22)-1)*12)+VLOOKUP(BT$4,$DE$6:$DF$17,2)+1))*$D22</f>
        <v>-409.53717144882387</v>
      </c>
      <c r="BU22" s="1021">
        <f>(VLOOKUP(YEAR($A22),'NY East Load Projections'!$A$4:$EO$14,((MONTH($A22)-1)*12)+VLOOKUP(BU$4,$DE$6:$DF$17,2)+1))*$D22</f>
        <v>-409.53717144882387</v>
      </c>
      <c r="BV22" s="1021">
        <f>(VLOOKUP(YEAR($A22),'NY East Load Projections'!$A$4:$EO$14,((MONTH($A22)-1)*12)+VLOOKUP(BV$4,$DE$6:$DF$17,2)+1))*$D22</f>
        <v>-382.33165815896996</v>
      </c>
      <c r="BW22" s="1021">
        <f>(VLOOKUP(YEAR($A22),'NY East Load Projections'!$A$4:$EO$14,((MONTH($A22)-1)*12)+VLOOKUP(BW$4,$DE$6:$DF$17,2)+1))*$D22</f>
        <v>-382.33165815896996</v>
      </c>
      <c r="BX22" s="1021">
        <f>(VLOOKUP(YEAR($A22),'NY East Load Projections'!$A$4:$EO$14,((MONTH($A22)-1)*12)+VLOOKUP(BX$4,$DE$6:$DF$17,2)+1))*$D22</f>
        <v>-382.33165815896996</v>
      </c>
      <c r="BY22" s="1021">
        <f>(VLOOKUP(YEAR($A22),'NY East Load Projections'!$A$4:$EO$14,((MONTH($A22)-1)*12)+VLOOKUP(BY$4,$DE$6:$DF$17,2)+1))*$D22</f>
        <v>-382.33165815896996</v>
      </c>
      <c r="BZ22" s="1021">
        <f>(VLOOKUP(YEAR($A22),'NY East Load Projections'!$A$4:$EO$14,((MONTH($A22)-1)*12)+VLOOKUP(BZ$4,$DE$6:$DF$17,2)+1))*$D22</f>
        <v>-375.90764229370825</v>
      </c>
      <c r="CA22" s="1021">
        <f>(VLOOKUP(YEAR($A22),'NY East Load Projections'!$A$4:$EO$14,((MONTH($A22)-1)*12)+VLOOKUP(CA$4,$DE$6:$DF$17,2)+1))*$D22</f>
        <v>-375.90764229370825</v>
      </c>
      <c r="CB22" s="1021">
        <f>(VLOOKUP(YEAR($A22),'NY East Load Projections'!$A$4:$EO$14,((MONTH($A22)-1)*12)+VLOOKUP(CB$4,$DE$6:$DF$17,2)+1))*$D22</f>
        <v>-375.90764229370825</v>
      </c>
      <c r="CC22" s="1021">
        <f>(VLOOKUP(YEAR($A22),'NY East Load Projections'!$A$4:$EO$14,((MONTH($A22)-1)*12)+VLOOKUP(CC$4,$DE$6:$DF$17,2)+1))*$D22</f>
        <v>-375.90764229370825</v>
      </c>
      <c r="CE22" s="1021">
        <f>(VLOOKUP(YEAR($A22),'NY East Load Projections'!$A$4:$EO$14,((MONTH($A22)-1)*12)+VLOOKUP(CE$4,$DE$6:$DF$17,2)+1))*$E22</f>
        <v>-92.091300468459536</v>
      </c>
      <c r="CF22" s="1021">
        <f>(VLOOKUP(YEAR($A22),'NY East Load Projections'!$A$4:$EO$14,((MONTH($A22)-1)*12)+VLOOKUP(CF$4,$DE$6:$DF$17,2)+1))*$E22</f>
        <v>-92.091300468459536</v>
      </c>
      <c r="CG22" s="1021">
        <f>(VLOOKUP(YEAR($A22),'NY East Load Projections'!$A$4:$EO$14,((MONTH($A22)-1)*12)+VLOOKUP(CG$4,$DE$6:$DF$17,2)+1))*$E22</f>
        <v>-92.091300468459536</v>
      </c>
      <c r="CH22" s="1021">
        <f>(VLOOKUP(YEAR($A22),'NY East Load Projections'!$A$4:$EO$14,((MONTH($A22)-1)*12)+VLOOKUP(CH$4,$DE$6:$DF$17,2)+1))*$E22</f>
        <v>-92.091300468459536</v>
      </c>
      <c r="CI22" s="1021">
        <f>(VLOOKUP(YEAR($A22),'NY East Load Projections'!$A$4:$EO$14,((MONTH($A22)-1)*12)+VLOOKUP(CI$4,$DE$6:$DF$17,2)+1))*$E22</f>
        <v>-93.490878935497705</v>
      </c>
      <c r="CJ22" s="1021">
        <f>(VLOOKUP(YEAR($A22),'NY East Load Projections'!$A$4:$EO$14,((MONTH($A22)-1)*12)+VLOOKUP(CJ$4,$DE$6:$DF$17,2)+1))*$E22</f>
        <v>-93.490878935497705</v>
      </c>
      <c r="CK22" s="1021">
        <f>(VLOOKUP(YEAR($A22),'NY East Load Projections'!$A$4:$EO$14,((MONTH($A22)-1)*12)+VLOOKUP(CK$4,$DE$6:$DF$17,2)+1))*$E22</f>
        <v>-93.490878935497705</v>
      </c>
      <c r="CL22" s="1021">
        <f>(VLOOKUP(YEAR($A22),'NY East Load Projections'!$A$4:$EO$14,((MONTH($A22)-1)*12)+VLOOKUP(CL$4,$DE$6:$DF$17,2)+1))*$E22</f>
        <v>-93.490878935497705</v>
      </c>
      <c r="CM22" s="1021">
        <f>(VLOOKUP(YEAR($A22),'NY East Load Projections'!$A$4:$EO$14,((MONTH($A22)-1)*12)+VLOOKUP(CM$4,$DE$6:$DF$17,2)+1))*$E22</f>
        <v>-104.63607810407093</v>
      </c>
      <c r="CN22" s="1021">
        <f>(VLOOKUP(YEAR($A22),'NY East Load Projections'!$A$4:$EO$14,((MONTH($A22)-1)*12)+VLOOKUP(CN$4,$DE$6:$DF$17,2)+1))*$E22</f>
        <v>-104.63607810407093</v>
      </c>
      <c r="CO22" s="1021">
        <f>(VLOOKUP(YEAR($A22),'NY East Load Projections'!$A$4:$EO$14,((MONTH($A22)-1)*12)+VLOOKUP(CO$4,$DE$6:$DF$17,2)+1))*$E22</f>
        <v>-104.63607810407093</v>
      </c>
      <c r="CP22" s="1021">
        <f>(VLOOKUP(YEAR($A22),'NY East Load Projections'!$A$4:$EO$14,((MONTH($A22)-1)*12)+VLOOKUP(CP$4,$DE$6:$DF$17,2)+1))*$E22</f>
        <v>-104.63607810407093</v>
      </c>
      <c r="CQ22" s="1021">
        <f>(VLOOKUP(YEAR($A22),'NY East Load Projections'!$A$4:$EO$14,((MONTH($A22)-1)*12)+VLOOKUP(CQ$4,$DE$6:$DF$17,2)+1))*$E22</f>
        <v>-102.38429286220597</v>
      </c>
      <c r="CR22" s="1021">
        <f>(VLOOKUP(YEAR($A22),'NY East Load Projections'!$A$4:$EO$14,((MONTH($A22)-1)*12)+VLOOKUP(CR$4,$DE$6:$DF$17,2)+1))*$E22</f>
        <v>-102.38429286220597</v>
      </c>
      <c r="CS22" s="1021">
        <f>(VLOOKUP(YEAR($A22),'NY East Load Projections'!$A$4:$EO$14,((MONTH($A22)-1)*12)+VLOOKUP(CS$4,$DE$6:$DF$17,2)+1))*$E22</f>
        <v>-102.38429286220597</v>
      </c>
      <c r="CT22" s="1021">
        <f>(VLOOKUP(YEAR($A22),'NY East Load Projections'!$A$4:$EO$14,((MONTH($A22)-1)*12)+VLOOKUP(CT$4,$DE$6:$DF$17,2)+1))*$E22</f>
        <v>-102.38429286220597</v>
      </c>
      <c r="CU22" s="1021">
        <f>(VLOOKUP(YEAR($A22),'NY East Load Projections'!$A$4:$EO$14,((MONTH($A22)-1)*12)+VLOOKUP(CU$4,$DE$6:$DF$17,2)+1))*$E22</f>
        <v>-95.58291453974249</v>
      </c>
      <c r="CV22" s="1021">
        <f>(VLOOKUP(YEAR($A22),'NY East Load Projections'!$A$4:$EO$14,((MONTH($A22)-1)*12)+VLOOKUP(CV$4,$DE$6:$DF$17,2)+1))*$E22</f>
        <v>-95.58291453974249</v>
      </c>
      <c r="CW22" s="1021">
        <f>(VLOOKUP(YEAR($A22),'NY East Load Projections'!$A$4:$EO$14,((MONTH($A22)-1)*12)+VLOOKUP(CW$4,$DE$6:$DF$17,2)+1))*$E22</f>
        <v>-95.58291453974249</v>
      </c>
      <c r="CX22" s="1021">
        <f>(VLOOKUP(YEAR($A22),'NY East Load Projections'!$A$4:$EO$14,((MONTH($A22)-1)*12)+VLOOKUP(CX$4,$DE$6:$DF$17,2)+1))*$E22</f>
        <v>-95.58291453974249</v>
      </c>
      <c r="CY22" s="1021">
        <f>(VLOOKUP(YEAR($A22),'NY East Load Projections'!$A$4:$EO$14,((MONTH($A22)-1)*12)+VLOOKUP(CY$4,$DE$6:$DF$17,2)+1))*$E22</f>
        <v>-93.976910573427062</v>
      </c>
      <c r="CZ22" s="1021">
        <f>(VLOOKUP(YEAR($A22),'NY East Load Projections'!$A$4:$EO$14,((MONTH($A22)-1)*12)+VLOOKUP(CZ$4,$DE$6:$DF$17,2)+1))*$E22</f>
        <v>-93.976910573427062</v>
      </c>
      <c r="DA22" s="1021">
        <f>(VLOOKUP(YEAR($A22),'NY East Load Projections'!$A$4:$EO$14,((MONTH($A22)-1)*12)+VLOOKUP(DA$4,$DE$6:$DF$17,2)+1))*$E22</f>
        <v>-93.976910573427062</v>
      </c>
      <c r="DB22" s="1021">
        <f>(VLOOKUP(YEAR($A22),'NY East Load Projections'!$A$4:$EO$14,((MONTH($A22)-1)*12)+VLOOKUP(DB$4,$DE$6:$DF$17,2)+1))*$E22</f>
        <v>-93.976910573427062</v>
      </c>
      <c r="DH22" s="1009">
        <f t="shared" si="0"/>
        <v>-69382.341338669212</v>
      </c>
      <c r="DI22">
        <f ca="1">CALC!J42</f>
        <v>0.85185231085675739</v>
      </c>
      <c r="DJ22" s="1032">
        <f t="shared" ca="1" si="1"/>
        <v>-59103.507801997694</v>
      </c>
    </row>
    <row r="23" spans="1:114" x14ac:dyDescent="0.25">
      <c r="A23" s="244">
        <v>37408</v>
      </c>
      <c r="B23" s="13">
        <v>20</v>
      </c>
      <c r="C23" s="210">
        <v>5</v>
      </c>
      <c r="D23" s="210">
        <v>5</v>
      </c>
      <c r="E23" s="210">
        <v>0</v>
      </c>
      <c r="F23" s="13">
        <v>30</v>
      </c>
      <c r="H23" s="1021">
        <f>(VLOOKUP(YEAR($A23),'NY East Load Projections'!$A$4:$EO$14,((MONTH($A23)-1)*12)+VLOOKUP(H$4,$DE$6:$DF$17,2)+1))*$B23</f>
        <v>-1738.8516782628499</v>
      </c>
      <c r="I23" s="1021">
        <f>(VLOOKUP(YEAR($A23),'NY East Load Projections'!$A$4:$EO$14,((MONTH($A23)-1)*12)+VLOOKUP(I$4,$DE$6:$DF$17,2)+1))*$B23</f>
        <v>-1738.8516782628499</v>
      </c>
      <c r="J23" s="1021">
        <f>(VLOOKUP(YEAR($A23),'NY East Load Projections'!$A$4:$EO$14,((MONTH($A23)-1)*12)+VLOOKUP(J$4,$DE$6:$DF$17,2)+1))*$B23</f>
        <v>-1738.8516782628499</v>
      </c>
      <c r="K23" s="1021">
        <f>(VLOOKUP(YEAR($A23),'NY East Load Projections'!$A$4:$EO$14,((MONTH($A23)-1)*12)+VLOOKUP(K$4,$DE$6:$DF$17,2)+1))*$B23</f>
        <v>-1738.8516782628499</v>
      </c>
      <c r="L23" s="1021">
        <f>(VLOOKUP(YEAR($A23),'NY East Load Projections'!$A$4:$EO$14,((MONTH($A23)-1)*12)+VLOOKUP(L$4,$DE$6:$DF$17,2)+1))*$B23</f>
        <v>-1799.8136705168952</v>
      </c>
      <c r="M23" s="1021">
        <f>(VLOOKUP(YEAR($A23),'NY East Load Projections'!$A$4:$EO$14,((MONTH($A23)-1)*12)+VLOOKUP(M$4,$DE$6:$DF$17,2)+1))*$B23</f>
        <v>-1799.8136705168952</v>
      </c>
      <c r="N23" s="1021">
        <f>(VLOOKUP(YEAR($A23),'NY East Load Projections'!$A$4:$EO$14,((MONTH($A23)-1)*12)+VLOOKUP(N$4,$DE$6:$DF$17,2)+1))*$B23</f>
        <v>-1799.8136705168952</v>
      </c>
      <c r="O23" s="1021">
        <f>(VLOOKUP(YEAR($A23),'NY East Load Projections'!$A$4:$EO$14,((MONTH($A23)-1)*12)+VLOOKUP(O$4,$DE$6:$DF$17,2)+1))*$B23</f>
        <v>-1799.8136705168952</v>
      </c>
      <c r="P23" s="1021">
        <f>(VLOOKUP(YEAR($A23),'NY East Load Projections'!$A$4:$EO$14,((MONTH($A23)-1)*12)+VLOOKUP(P$4,$DE$6:$DF$17,2)+1))*$B23</f>
        <v>-1898.9337181777096</v>
      </c>
      <c r="Q23" s="1021">
        <f>(VLOOKUP(YEAR($A23),'NY East Load Projections'!$A$4:$EO$14,((MONTH($A23)-1)*12)+VLOOKUP(Q$4,$DE$6:$DF$17,2)+1))*$B23</f>
        <v>-1898.9337181777096</v>
      </c>
      <c r="R23" s="1021">
        <f>(VLOOKUP(YEAR($A23),'NY East Load Projections'!$A$4:$EO$14,((MONTH($A23)-1)*12)+VLOOKUP(R$4,$DE$6:$DF$17,2)+1))*$B23</f>
        <v>-1898.9337181777096</v>
      </c>
      <c r="S23" s="1021">
        <f>(VLOOKUP(YEAR($A23),'NY East Load Projections'!$A$4:$EO$14,((MONTH($A23)-1)*12)+VLOOKUP(S$4,$DE$6:$DF$17,2)+1))*$B23</f>
        <v>-1898.9337181777096</v>
      </c>
      <c r="T23" s="1021">
        <f>(VLOOKUP(YEAR($A23),'NY East Load Projections'!$A$4:$EO$14,((MONTH($A23)-1)*12)+VLOOKUP(T$4,$DE$6:$DF$17,2)+1))*$B23</f>
        <v>-1910.0068623538705</v>
      </c>
      <c r="U23" s="1021">
        <f>(VLOOKUP(YEAR($A23),'NY East Load Projections'!$A$4:$EO$14,((MONTH($A23)-1)*12)+VLOOKUP(U$4,$DE$6:$DF$17,2)+1))*$B23</f>
        <v>-1910.0068623538705</v>
      </c>
      <c r="V23" s="1021">
        <f>(VLOOKUP(YEAR($A23),'NY East Load Projections'!$A$4:$EO$14,((MONTH($A23)-1)*12)+VLOOKUP(V$4,$DE$6:$DF$17,2)+1))*$B23</f>
        <v>-1910.0068623538705</v>
      </c>
      <c r="W23" s="1021">
        <f>(VLOOKUP(YEAR($A23),'NY East Load Projections'!$A$4:$EO$14,((MONTH($A23)-1)*12)+VLOOKUP(W$4,$DE$6:$DF$17,2)+1))*$B23</f>
        <v>-1910.0068623538705</v>
      </c>
      <c r="X23" s="1021">
        <f>(VLOOKUP(YEAR($A23),'NY East Load Projections'!$A$4:$EO$14,((MONTH($A23)-1)*12)+VLOOKUP(X$4,$DE$6:$DF$17,2)+1))*$B23</f>
        <v>-1855.2680677249643</v>
      </c>
      <c r="Y23" s="1021">
        <f>(VLOOKUP(YEAR($A23),'NY East Load Projections'!$A$4:$EO$14,((MONTH($A23)-1)*12)+VLOOKUP(Y$4,$DE$6:$DF$17,2)+1))*$B23</f>
        <v>-1855.2680677249643</v>
      </c>
      <c r="Z23" s="1021">
        <f>(VLOOKUP(YEAR($A23),'NY East Load Projections'!$A$4:$EO$14,((MONTH($A23)-1)*12)+VLOOKUP(Z$4,$DE$6:$DF$17,2)+1))*$B23</f>
        <v>-1855.2680677249643</v>
      </c>
      <c r="AA23" s="1021">
        <f>(VLOOKUP(YEAR($A23),'NY East Load Projections'!$A$4:$EO$14,((MONTH($A23)-1)*12)+VLOOKUP(AA$4,$DE$6:$DF$17,2)+1))*$B23</f>
        <v>-1855.2680677249643</v>
      </c>
      <c r="AB23" s="1021">
        <f>(VLOOKUP(YEAR($A23),'NY East Load Projections'!$A$4:$EO$14,((MONTH($A23)-1)*12)+VLOOKUP(AB$4,$DE$6:$DF$17,2)+1))*$B23</f>
        <v>-1791.0635881498538</v>
      </c>
      <c r="AC23" s="1021">
        <f>(VLOOKUP(YEAR($A23),'NY East Load Projections'!$A$4:$EO$14,((MONTH($A23)-1)*12)+VLOOKUP(AC$4,$DE$6:$DF$17,2)+1))*$B23</f>
        <v>-1791.0635881498538</v>
      </c>
      <c r="AD23" s="1021">
        <f>(VLOOKUP(YEAR($A23),'NY East Load Projections'!$A$4:$EO$14,((MONTH($A23)-1)*12)+VLOOKUP(AD$4,$DE$6:$DF$17,2)+1))*$B23</f>
        <v>-1791.0635881498538</v>
      </c>
      <c r="AE23" s="1021">
        <f>(VLOOKUP(YEAR($A23),'NY East Load Projections'!$A$4:$EO$14,((MONTH($A23)-1)*12)+VLOOKUP(AE$4,$DE$6:$DF$17,2)+1))*$B23</f>
        <v>-1791.0635881498538</v>
      </c>
      <c r="AF23" s="1021"/>
      <c r="AG23" s="1021">
        <f>(VLOOKUP(YEAR($A23),'NY East Load Projections'!$A$4:$EO$14,((MONTH($A23)-1)*12)+VLOOKUP(AG$4,$DE$6:$DF$17,2)+1))*$C23</f>
        <v>-442.29300166018504</v>
      </c>
      <c r="AH23" s="1021">
        <f>(VLOOKUP(YEAR($A23),'NY East Load Projections'!$A$4:$EO$14,((MONTH($A23)-1)*12)+VLOOKUP(AH$4,$DE$6:$DF$17,2)+1))*$C23</f>
        <v>-442.29300166018504</v>
      </c>
      <c r="AI23" s="1021">
        <f>(VLOOKUP(YEAR($A23),'NY East Load Projections'!$A$4:$EO$14,((MONTH($A23)-1)*12)+VLOOKUP(AI$4,$DE$6:$DF$17,2)+1))*$C23</f>
        <v>-442.29300166018504</v>
      </c>
      <c r="AJ23" s="1021">
        <f>(VLOOKUP(YEAR($A23),'NY East Load Projections'!$A$4:$EO$14,((MONTH($A23)-1)*12)+VLOOKUP(AJ$4,$DE$6:$DF$17,2)+1))*$C23</f>
        <v>-442.29300166018504</v>
      </c>
      <c r="AK23" s="1021">
        <f>(VLOOKUP(YEAR($A23),'NY East Load Projections'!$A$4:$EO$14,((MONTH($A23)-1)*12)+VLOOKUP(AK$4,$DE$6:$DF$17,2)+1))*$C23</f>
        <v>-447.08273135454391</v>
      </c>
      <c r="AL23" s="1021">
        <f>(VLOOKUP(YEAR($A23),'NY East Load Projections'!$A$4:$EO$14,((MONTH($A23)-1)*12)+VLOOKUP(AL$4,$DE$6:$DF$17,2)+1))*$C23</f>
        <v>-447.08273135454391</v>
      </c>
      <c r="AM23" s="1021">
        <f>(VLOOKUP(YEAR($A23),'NY East Load Projections'!$A$4:$EO$14,((MONTH($A23)-1)*12)+VLOOKUP(AM$4,$DE$6:$DF$17,2)+1))*$C23</f>
        <v>-447.08273135454391</v>
      </c>
      <c r="AN23" s="1021">
        <f>(VLOOKUP(YEAR($A23),'NY East Load Projections'!$A$4:$EO$14,((MONTH($A23)-1)*12)+VLOOKUP(AN$4,$DE$6:$DF$17,2)+1))*$C23</f>
        <v>-447.08273135454391</v>
      </c>
      <c r="AO23" s="1021">
        <f>(VLOOKUP(YEAR($A23),'NY East Load Projections'!$A$4:$EO$14,((MONTH($A23)-1)*12)+VLOOKUP(AO$4,$DE$6:$DF$17,2)+1))*$C23</f>
        <v>-470.05701568537086</v>
      </c>
      <c r="AP23" s="1021">
        <f>(VLOOKUP(YEAR($A23),'NY East Load Projections'!$A$4:$EO$14,((MONTH($A23)-1)*12)+VLOOKUP(AP$4,$DE$6:$DF$17,2)+1))*$C23</f>
        <v>-470.05701568537086</v>
      </c>
      <c r="AQ23" s="1021">
        <f>(VLOOKUP(YEAR($A23),'NY East Load Projections'!$A$4:$EO$14,((MONTH($A23)-1)*12)+VLOOKUP(AQ$4,$DE$6:$DF$17,2)+1))*$C23</f>
        <v>-470.05701568537086</v>
      </c>
      <c r="AR23" s="1021">
        <f>(VLOOKUP(YEAR($A23),'NY East Load Projections'!$A$4:$EO$14,((MONTH($A23)-1)*12)+VLOOKUP(AR$4,$DE$6:$DF$17,2)+1))*$C23</f>
        <v>-470.05701568537086</v>
      </c>
      <c r="AS23" s="1021">
        <f>(VLOOKUP(YEAR($A23),'NY East Load Projections'!$A$4:$EO$14,((MONTH($A23)-1)*12)+VLOOKUP(AS$4,$DE$6:$DF$17,2)+1))*$C23</f>
        <v>-474.27203659030681</v>
      </c>
      <c r="AT23" s="1021">
        <f>(VLOOKUP(YEAR($A23),'NY East Load Projections'!$A$4:$EO$14,((MONTH($A23)-1)*12)+VLOOKUP(AT$4,$DE$6:$DF$17,2)+1))*$C23</f>
        <v>-474.27203659030681</v>
      </c>
      <c r="AU23" s="1021">
        <f>(VLOOKUP(YEAR($A23),'NY East Load Projections'!$A$4:$EO$14,((MONTH($A23)-1)*12)+VLOOKUP(AU$4,$DE$6:$DF$17,2)+1))*$C23</f>
        <v>-474.27203659030681</v>
      </c>
      <c r="AV23" s="1021">
        <f>(VLOOKUP(YEAR($A23),'NY East Load Projections'!$A$4:$EO$14,((MONTH($A23)-1)*12)+VLOOKUP(AV$4,$DE$6:$DF$17,2)+1))*$C23</f>
        <v>-474.27203659030681</v>
      </c>
      <c r="AW23" s="1021">
        <f>(VLOOKUP(YEAR($A23),'NY East Load Projections'!$A$4:$EO$14,((MONTH($A23)-1)*12)+VLOOKUP(AW$4,$DE$6:$DF$17,2)+1))*$C23</f>
        <v>-463.16586189667163</v>
      </c>
      <c r="AX23" s="1021">
        <f>(VLOOKUP(YEAR($A23),'NY East Load Projections'!$A$4:$EO$14,((MONTH($A23)-1)*12)+VLOOKUP(AX$4,$DE$6:$DF$17,2)+1))*$C23</f>
        <v>-463.16586189667163</v>
      </c>
      <c r="AY23" s="1021">
        <f>(VLOOKUP(YEAR($A23),'NY East Load Projections'!$A$4:$EO$14,((MONTH($A23)-1)*12)+VLOOKUP(AY$4,$DE$6:$DF$17,2)+1))*$C23</f>
        <v>-463.16586189667163</v>
      </c>
      <c r="AZ23" s="1021">
        <f>(VLOOKUP(YEAR($A23),'NY East Load Projections'!$A$4:$EO$14,((MONTH($A23)-1)*12)+VLOOKUP(AZ$4,$DE$6:$DF$17,2)+1))*$C23</f>
        <v>-463.16586189667163</v>
      </c>
      <c r="BA23" s="1021">
        <f>(VLOOKUP(YEAR($A23),'NY East Load Projections'!$A$4:$EO$14,((MONTH($A23)-1)*12)+VLOOKUP(BA$4,$DE$6:$DF$17,2)+1))*$C23</f>
        <v>-448.52118500035385</v>
      </c>
      <c r="BB23" s="1021">
        <f>(VLOOKUP(YEAR($A23),'NY East Load Projections'!$A$4:$EO$14,((MONTH($A23)-1)*12)+VLOOKUP(BB$4,$DE$6:$DF$17,2)+1))*$C23</f>
        <v>-448.52118500035385</v>
      </c>
      <c r="BC23" s="1021">
        <f>(VLOOKUP(YEAR($A23),'NY East Load Projections'!$A$4:$EO$14,((MONTH($A23)-1)*12)+VLOOKUP(BC$4,$DE$6:$DF$17,2)+1))*$C23</f>
        <v>-448.52118500035385</v>
      </c>
      <c r="BD23" s="1021">
        <f>(VLOOKUP(YEAR($A23),'NY East Load Projections'!$A$4:$EO$14,((MONTH($A23)-1)*12)+VLOOKUP(BD$4,$DE$6:$DF$17,2)+1))*$C23</f>
        <v>-448.52118500035385</v>
      </c>
      <c r="BE23" s="1021"/>
      <c r="BF23" s="1021">
        <f>(VLOOKUP(YEAR($A23),'NY East Load Projections'!$A$4:$EO$14,((MONTH($A23)-1)*12)+VLOOKUP(BF$4,$DE$6:$DF$17,2)+1))*$D23</f>
        <v>-442.29300166018504</v>
      </c>
      <c r="BG23" s="1021">
        <f>(VLOOKUP(YEAR($A23),'NY East Load Projections'!$A$4:$EO$14,((MONTH($A23)-1)*12)+VLOOKUP(BG$4,$DE$6:$DF$17,2)+1))*$D23</f>
        <v>-442.29300166018504</v>
      </c>
      <c r="BH23" s="1021">
        <f>(VLOOKUP(YEAR($A23),'NY East Load Projections'!$A$4:$EO$14,((MONTH($A23)-1)*12)+VLOOKUP(BH$4,$DE$6:$DF$17,2)+1))*$D23</f>
        <v>-442.29300166018504</v>
      </c>
      <c r="BI23" s="1021">
        <f>(VLOOKUP(YEAR($A23),'NY East Load Projections'!$A$4:$EO$14,((MONTH($A23)-1)*12)+VLOOKUP(BI$4,$DE$6:$DF$17,2)+1))*$D23</f>
        <v>-442.29300166018504</v>
      </c>
      <c r="BJ23" s="1021">
        <f>(VLOOKUP(YEAR($A23),'NY East Load Projections'!$A$4:$EO$14,((MONTH($A23)-1)*12)+VLOOKUP(BJ$4,$DE$6:$DF$17,2)+1))*$D23</f>
        <v>-447.08273135454391</v>
      </c>
      <c r="BK23" s="1021">
        <f>(VLOOKUP(YEAR($A23),'NY East Load Projections'!$A$4:$EO$14,((MONTH($A23)-1)*12)+VLOOKUP(BK$4,$DE$6:$DF$17,2)+1))*$D23</f>
        <v>-447.08273135454391</v>
      </c>
      <c r="BL23" s="1021">
        <f>(VLOOKUP(YEAR($A23),'NY East Load Projections'!$A$4:$EO$14,((MONTH($A23)-1)*12)+VLOOKUP(BL$4,$DE$6:$DF$17,2)+1))*$D23</f>
        <v>-447.08273135454391</v>
      </c>
      <c r="BM23" s="1021">
        <f>(VLOOKUP(YEAR($A23),'NY East Load Projections'!$A$4:$EO$14,((MONTH($A23)-1)*12)+VLOOKUP(BM$4,$DE$6:$DF$17,2)+1))*$D23</f>
        <v>-447.08273135454391</v>
      </c>
      <c r="BN23" s="1021">
        <f>(VLOOKUP(YEAR($A23),'NY East Load Projections'!$A$4:$EO$14,((MONTH($A23)-1)*12)+VLOOKUP(BN$4,$DE$6:$DF$17,2)+1))*$D23</f>
        <v>-470.05701568537086</v>
      </c>
      <c r="BO23" s="1021">
        <f>(VLOOKUP(YEAR($A23),'NY East Load Projections'!$A$4:$EO$14,((MONTH($A23)-1)*12)+VLOOKUP(BO$4,$DE$6:$DF$17,2)+1))*$D23</f>
        <v>-470.05701568537086</v>
      </c>
      <c r="BP23" s="1021">
        <f>(VLOOKUP(YEAR($A23),'NY East Load Projections'!$A$4:$EO$14,((MONTH($A23)-1)*12)+VLOOKUP(BP$4,$DE$6:$DF$17,2)+1))*$D23</f>
        <v>-470.05701568537086</v>
      </c>
      <c r="BQ23" s="1021">
        <f>(VLOOKUP(YEAR($A23),'NY East Load Projections'!$A$4:$EO$14,((MONTH($A23)-1)*12)+VLOOKUP(BQ$4,$DE$6:$DF$17,2)+1))*$D23</f>
        <v>-470.05701568537086</v>
      </c>
      <c r="BR23" s="1021">
        <f>(VLOOKUP(YEAR($A23),'NY East Load Projections'!$A$4:$EO$14,((MONTH($A23)-1)*12)+VLOOKUP(BR$4,$DE$6:$DF$17,2)+1))*$D23</f>
        <v>-474.27203659030681</v>
      </c>
      <c r="BS23" s="1021">
        <f>(VLOOKUP(YEAR($A23),'NY East Load Projections'!$A$4:$EO$14,((MONTH($A23)-1)*12)+VLOOKUP(BS$4,$DE$6:$DF$17,2)+1))*$D23</f>
        <v>-474.27203659030681</v>
      </c>
      <c r="BT23" s="1021">
        <f>(VLOOKUP(YEAR($A23),'NY East Load Projections'!$A$4:$EO$14,((MONTH($A23)-1)*12)+VLOOKUP(BT$4,$DE$6:$DF$17,2)+1))*$D23</f>
        <v>-474.27203659030681</v>
      </c>
      <c r="BU23" s="1021">
        <f>(VLOOKUP(YEAR($A23),'NY East Load Projections'!$A$4:$EO$14,((MONTH($A23)-1)*12)+VLOOKUP(BU$4,$DE$6:$DF$17,2)+1))*$D23</f>
        <v>-474.27203659030681</v>
      </c>
      <c r="BV23" s="1021">
        <f>(VLOOKUP(YEAR($A23),'NY East Load Projections'!$A$4:$EO$14,((MONTH($A23)-1)*12)+VLOOKUP(BV$4,$DE$6:$DF$17,2)+1))*$D23</f>
        <v>-463.16586189667163</v>
      </c>
      <c r="BW23" s="1021">
        <f>(VLOOKUP(YEAR($A23),'NY East Load Projections'!$A$4:$EO$14,((MONTH($A23)-1)*12)+VLOOKUP(BW$4,$DE$6:$DF$17,2)+1))*$D23</f>
        <v>-463.16586189667163</v>
      </c>
      <c r="BX23" s="1021">
        <f>(VLOOKUP(YEAR($A23),'NY East Load Projections'!$A$4:$EO$14,((MONTH($A23)-1)*12)+VLOOKUP(BX$4,$DE$6:$DF$17,2)+1))*$D23</f>
        <v>-463.16586189667163</v>
      </c>
      <c r="BY23" s="1021">
        <f>(VLOOKUP(YEAR($A23),'NY East Load Projections'!$A$4:$EO$14,((MONTH($A23)-1)*12)+VLOOKUP(BY$4,$DE$6:$DF$17,2)+1))*$D23</f>
        <v>-463.16586189667163</v>
      </c>
      <c r="BZ23" s="1021">
        <f>(VLOOKUP(YEAR($A23),'NY East Load Projections'!$A$4:$EO$14,((MONTH($A23)-1)*12)+VLOOKUP(BZ$4,$DE$6:$DF$17,2)+1))*$D23</f>
        <v>-448.52118500035385</v>
      </c>
      <c r="CA23" s="1021">
        <f>(VLOOKUP(YEAR($A23),'NY East Load Projections'!$A$4:$EO$14,((MONTH($A23)-1)*12)+VLOOKUP(CA$4,$DE$6:$DF$17,2)+1))*$D23</f>
        <v>-448.52118500035385</v>
      </c>
      <c r="CB23" s="1021">
        <f>(VLOOKUP(YEAR($A23),'NY East Load Projections'!$A$4:$EO$14,((MONTH($A23)-1)*12)+VLOOKUP(CB$4,$DE$6:$DF$17,2)+1))*$D23</f>
        <v>-448.52118500035385</v>
      </c>
      <c r="CC23" s="1021">
        <f>(VLOOKUP(YEAR($A23),'NY East Load Projections'!$A$4:$EO$14,((MONTH($A23)-1)*12)+VLOOKUP(CC$4,$DE$6:$DF$17,2)+1))*$D23</f>
        <v>-448.52118500035385</v>
      </c>
      <c r="CE23" s="1021">
        <f>(VLOOKUP(YEAR($A23),'NY East Load Projections'!$A$4:$EO$14,((MONTH($A23)-1)*12)+VLOOKUP(CE$4,$DE$6:$DF$17,2)+1))*$E23</f>
        <v>0</v>
      </c>
      <c r="CF23" s="1021">
        <f>(VLOOKUP(YEAR($A23),'NY East Load Projections'!$A$4:$EO$14,((MONTH($A23)-1)*12)+VLOOKUP(CF$4,$DE$6:$DF$17,2)+1))*$E23</f>
        <v>0</v>
      </c>
      <c r="CG23" s="1021">
        <f>(VLOOKUP(YEAR($A23),'NY East Load Projections'!$A$4:$EO$14,((MONTH($A23)-1)*12)+VLOOKUP(CG$4,$DE$6:$DF$17,2)+1))*$E23</f>
        <v>0</v>
      </c>
      <c r="CH23" s="1021">
        <f>(VLOOKUP(YEAR($A23),'NY East Load Projections'!$A$4:$EO$14,((MONTH($A23)-1)*12)+VLOOKUP(CH$4,$DE$6:$DF$17,2)+1))*$E23</f>
        <v>0</v>
      </c>
      <c r="CI23" s="1021">
        <f>(VLOOKUP(YEAR($A23),'NY East Load Projections'!$A$4:$EO$14,((MONTH($A23)-1)*12)+VLOOKUP(CI$4,$DE$6:$DF$17,2)+1))*$E23</f>
        <v>0</v>
      </c>
      <c r="CJ23" s="1021">
        <f>(VLOOKUP(YEAR($A23),'NY East Load Projections'!$A$4:$EO$14,((MONTH($A23)-1)*12)+VLOOKUP(CJ$4,$DE$6:$DF$17,2)+1))*$E23</f>
        <v>0</v>
      </c>
      <c r="CK23" s="1021">
        <f>(VLOOKUP(YEAR($A23),'NY East Load Projections'!$A$4:$EO$14,((MONTH($A23)-1)*12)+VLOOKUP(CK$4,$DE$6:$DF$17,2)+1))*$E23</f>
        <v>0</v>
      </c>
      <c r="CL23" s="1021">
        <f>(VLOOKUP(YEAR($A23),'NY East Load Projections'!$A$4:$EO$14,((MONTH($A23)-1)*12)+VLOOKUP(CL$4,$DE$6:$DF$17,2)+1))*$E23</f>
        <v>0</v>
      </c>
      <c r="CM23" s="1021">
        <f>(VLOOKUP(YEAR($A23),'NY East Load Projections'!$A$4:$EO$14,((MONTH($A23)-1)*12)+VLOOKUP(CM$4,$DE$6:$DF$17,2)+1))*$E23</f>
        <v>0</v>
      </c>
      <c r="CN23" s="1021">
        <f>(VLOOKUP(YEAR($A23),'NY East Load Projections'!$A$4:$EO$14,((MONTH($A23)-1)*12)+VLOOKUP(CN$4,$DE$6:$DF$17,2)+1))*$E23</f>
        <v>0</v>
      </c>
      <c r="CO23" s="1021">
        <f>(VLOOKUP(YEAR($A23),'NY East Load Projections'!$A$4:$EO$14,((MONTH($A23)-1)*12)+VLOOKUP(CO$4,$DE$6:$DF$17,2)+1))*$E23</f>
        <v>0</v>
      </c>
      <c r="CP23" s="1021">
        <f>(VLOOKUP(YEAR($A23),'NY East Load Projections'!$A$4:$EO$14,((MONTH($A23)-1)*12)+VLOOKUP(CP$4,$DE$6:$DF$17,2)+1))*$E23</f>
        <v>0</v>
      </c>
      <c r="CQ23" s="1021">
        <f>(VLOOKUP(YEAR($A23),'NY East Load Projections'!$A$4:$EO$14,((MONTH($A23)-1)*12)+VLOOKUP(CQ$4,$DE$6:$DF$17,2)+1))*$E23</f>
        <v>0</v>
      </c>
      <c r="CR23" s="1021">
        <f>(VLOOKUP(YEAR($A23),'NY East Load Projections'!$A$4:$EO$14,((MONTH($A23)-1)*12)+VLOOKUP(CR$4,$DE$6:$DF$17,2)+1))*$E23</f>
        <v>0</v>
      </c>
      <c r="CS23" s="1021">
        <f>(VLOOKUP(YEAR($A23),'NY East Load Projections'!$A$4:$EO$14,((MONTH($A23)-1)*12)+VLOOKUP(CS$4,$DE$6:$DF$17,2)+1))*$E23</f>
        <v>0</v>
      </c>
      <c r="CT23" s="1021">
        <f>(VLOOKUP(YEAR($A23),'NY East Load Projections'!$A$4:$EO$14,((MONTH($A23)-1)*12)+VLOOKUP(CT$4,$DE$6:$DF$17,2)+1))*$E23</f>
        <v>0</v>
      </c>
      <c r="CU23" s="1021">
        <f>(VLOOKUP(YEAR($A23),'NY East Load Projections'!$A$4:$EO$14,((MONTH($A23)-1)*12)+VLOOKUP(CU$4,$DE$6:$DF$17,2)+1))*$E23</f>
        <v>0</v>
      </c>
      <c r="CV23" s="1021">
        <f>(VLOOKUP(YEAR($A23),'NY East Load Projections'!$A$4:$EO$14,((MONTH($A23)-1)*12)+VLOOKUP(CV$4,$DE$6:$DF$17,2)+1))*$E23</f>
        <v>0</v>
      </c>
      <c r="CW23" s="1021">
        <f>(VLOOKUP(YEAR($A23),'NY East Load Projections'!$A$4:$EO$14,((MONTH($A23)-1)*12)+VLOOKUP(CW$4,$DE$6:$DF$17,2)+1))*$E23</f>
        <v>0</v>
      </c>
      <c r="CX23" s="1021">
        <f>(VLOOKUP(YEAR($A23),'NY East Load Projections'!$A$4:$EO$14,((MONTH($A23)-1)*12)+VLOOKUP(CX$4,$DE$6:$DF$17,2)+1))*$E23</f>
        <v>0</v>
      </c>
      <c r="CY23" s="1021">
        <f>(VLOOKUP(YEAR($A23),'NY East Load Projections'!$A$4:$EO$14,((MONTH($A23)-1)*12)+VLOOKUP(CY$4,$DE$6:$DF$17,2)+1))*$E23</f>
        <v>0</v>
      </c>
      <c r="CZ23" s="1021">
        <f>(VLOOKUP(YEAR($A23),'NY East Load Projections'!$A$4:$EO$14,((MONTH($A23)-1)*12)+VLOOKUP(CZ$4,$DE$6:$DF$17,2)+1))*$E23</f>
        <v>0</v>
      </c>
      <c r="DA23" s="1021">
        <f>(VLOOKUP(YEAR($A23),'NY East Load Projections'!$A$4:$EO$14,((MONTH($A23)-1)*12)+VLOOKUP(DA$4,$DE$6:$DF$17,2)+1))*$E23</f>
        <v>0</v>
      </c>
      <c r="DB23" s="1021">
        <f>(VLOOKUP(YEAR($A23),'NY East Load Projections'!$A$4:$EO$14,((MONTH($A23)-1)*12)+VLOOKUP(DB$4,$DE$6:$DF$17,2)+1))*$E23</f>
        <v>0</v>
      </c>
      <c r="DH23" s="1009">
        <f t="shared" si="0"/>
        <v>-65938.884998244001</v>
      </c>
      <c r="DI23">
        <f ca="1">CALC!J43</f>
        <v>0.84671207670571935</v>
      </c>
      <c r="DJ23" s="1032">
        <f t="shared" ca="1" si="1"/>
        <v>-55831.250252522783</v>
      </c>
    </row>
    <row r="24" spans="1:114" x14ac:dyDescent="0.25">
      <c r="A24" s="244">
        <v>37438</v>
      </c>
      <c r="B24" s="13">
        <v>22</v>
      </c>
      <c r="C24" s="210">
        <v>4</v>
      </c>
      <c r="D24" s="210">
        <v>4</v>
      </c>
      <c r="E24" s="210">
        <v>1</v>
      </c>
      <c r="F24" s="13">
        <v>31</v>
      </c>
      <c r="H24" s="1021">
        <f>(VLOOKUP(YEAR($A24),'NY East Load Projections'!$A$4:$EO$14,((MONTH($A24)-1)*12)+VLOOKUP(H$4,$DE$6:$DF$17,2)+1))*$B24</f>
        <v>-1953.413302152805</v>
      </c>
      <c r="I24" s="1021">
        <f>(VLOOKUP(YEAR($A24),'NY East Load Projections'!$A$4:$EO$14,((MONTH($A24)-1)*12)+VLOOKUP(I$4,$DE$6:$DF$17,2)+1))*$B24</f>
        <v>-1953.413302152805</v>
      </c>
      <c r="J24" s="1021">
        <f>(VLOOKUP(YEAR($A24),'NY East Load Projections'!$A$4:$EO$14,((MONTH($A24)-1)*12)+VLOOKUP(J$4,$DE$6:$DF$17,2)+1))*$B24</f>
        <v>-1953.413302152805</v>
      </c>
      <c r="K24" s="1021">
        <f>(VLOOKUP(YEAR($A24),'NY East Load Projections'!$A$4:$EO$14,((MONTH($A24)-1)*12)+VLOOKUP(K$4,$DE$6:$DF$17,2)+1))*$B24</f>
        <v>-1953.413302152805</v>
      </c>
      <c r="L24" s="1021">
        <f>(VLOOKUP(YEAR($A24),'NY East Load Projections'!$A$4:$EO$14,((MONTH($A24)-1)*12)+VLOOKUP(L$4,$DE$6:$DF$17,2)+1))*$B24</f>
        <v>-2023.2230642375921</v>
      </c>
      <c r="M24" s="1021">
        <f>(VLOOKUP(YEAR($A24),'NY East Load Projections'!$A$4:$EO$14,((MONTH($A24)-1)*12)+VLOOKUP(M$4,$DE$6:$DF$17,2)+1))*$B24</f>
        <v>-2023.2230642375921</v>
      </c>
      <c r="N24" s="1021">
        <f>(VLOOKUP(YEAR($A24),'NY East Load Projections'!$A$4:$EO$14,((MONTH($A24)-1)*12)+VLOOKUP(N$4,$DE$6:$DF$17,2)+1))*$B24</f>
        <v>-2023.2230642375921</v>
      </c>
      <c r="O24" s="1021">
        <f>(VLOOKUP(YEAR($A24),'NY East Load Projections'!$A$4:$EO$14,((MONTH($A24)-1)*12)+VLOOKUP(O$4,$DE$6:$DF$17,2)+1))*$B24</f>
        <v>-2023.2230642375921</v>
      </c>
      <c r="P24" s="1021">
        <f>(VLOOKUP(YEAR($A24),'NY East Load Projections'!$A$4:$EO$14,((MONTH($A24)-1)*12)+VLOOKUP(P$4,$DE$6:$DF$17,2)+1))*$B24</f>
        <v>-2149.2906170763022</v>
      </c>
      <c r="Q24" s="1021">
        <f>(VLOOKUP(YEAR($A24),'NY East Load Projections'!$A$4:$EO$14,((MONTH($A24)-1)*12)+VLOOKUP(Q$4,$DE$6:$DF$17,2)+1))*$B24</f>
        <v>-2149.2906170763022</v>
      </c>
      <c r="R24" s="1021">
        <f>(VLOOKUP(YEAR($A24),'NY East Load Projections'!$A$4:$EO$14,((MONTH($A24)-1)*12)+VLOOKUP(R$4,$DE$6:$DF$17,2)+1))*$B24</f>
        <v>-2149.2906170763022</v>
      </c>
      <c r="S24" s="1021">
        <f>(VLOOKUP(YEAR($A24),'NY East Load Projections'!$A$4:$EO$14,((MONTH($A24)-1)*12)+VLOOKUP(S$4,$DE$6:$DF$17,2)+1))*$B24</f>
        <v>-2149.2906170763022</v>
      </c>
      <c r="T24" s="1021">
        <f>(VLOOKUP(YEAR($A24),'NY East Load Projections'!$A$4:$EO$14,((MONTH($A24)-1)*12)+VLOOKUP(T$4,$DE$6:$DF$17,2)+1))*$B24</f>
        <v>-2157.3335028287315</v>
      </c>
      <c r="U24" s="1021">
        <f>(VLOOKUP(YEAR($A24),'NY East Load Projections'!$A$4:$EO$14,((MONTH($A24)-1)*12)+VLOOKUP(U$4,$DE$6:$DF$17,2)+1))*$B24</f>
        <v>-2157.3335028287315</v>
      </c>
      <c r="V24" s="1021">
        <f>(VLOOKUP(YEAR($A24),'NY East Load Projections'!$A$4:$EO$14,((MONTH($A24)-1)*12)+VLOOKUP(V$4,$DE$6:$DF$17,2)+1))*$B24</f>
        <v>-2157.3335028287315</v>
      </c>
      <c r="W24" s="1021">
        <f>(VLOOKUP(YEAR($A24),'NY East Load Projections'!$A$4:$EO$14,((MONTH($A24)-1)*12)+VLOOKUP(W$4,$DE$6:$DF$17,2)+1))*$B24</f>
        <v>-2157.3335028287315</v>
      </c>
      <c r="X24" s="1021">
        <f>(VLOOKUP(YEAR($A24),'NY East Load Projections'!$A$4:$EO$14,((MONTH($A24)-1)*12)+VLOOKUP(X$4,$DE$6:$DF$17,2)+1))*$B24</f>
        <v>-2097.9118444571914</v>
      </c>
      <c r="Y24" s="1021">
        <f>(VLOOKUP(YEAR($A24),'NY East Load Projections'!$A$4:$EO$14,((MONTH($A24)-1)*12)+VLOOKUP(Y$4,$DE$6:$DF$17,2)+1))*$B24</f>
        <v>-2097.9118444571914</v>
      </c>
      <c r="Z24" s="1021">
        <f>(VLOOKUP(YEAR($A24),'NY East Load Projections'!$A$4:$EO$14,((MONTH($A24)-1)*12)+VLOOKUP(Z$4,$DE$6:$DF$17,2)+1))*$B24</f>
        <v>-2097.9118444571914</v>
      </c>
      <c r="AA24" s="1021">
        <f>(VLOOKUP(YEAR($A24),'NY East Load Projections'!$A$4:$EO$14,((MONTH($A24)-1)*12)+VLOOKUP(AA$4,$DE$6:$DF$17,2)+1))*$B24</f>
        <v>-2097.9118444571914</v>
      </c>
      <c r="AB24" s="1021">
        <f>(VLOOKUP(YEAR($A24),'NY East Load Projections'!$A$4:$EO$14,((MONTH($A24)-1)*12)+VLOOKUP(AB$4,$DE$6:$DF$17,2)+1))*$B24</f>
        <v>-2009.9376807572644</v>
      </c>
      <c r="AC24" s="1021">
        <f>(VLOOKUP(YEAR($A24),'NY East Load Projections'!$A$4:$EO$14,((MONTH($A24)-1)*12)+VLOOKUP(AC$4,$DE$6:$DF$17,2)+1))*$B24</f>
        <v>-2009.9376807572644</v>
      </c>
      <c r="AD24" s="1021">
        <f>(VLOOKUP(YEAR($A24),'NY East Load Projections'!$A$4:$EO$14,((MONTH($A24)-1)*12)+VLOOKUP(AD$4,$DE$6:$DF$17,2)+1))*$B24</f>
        <v>-2009.9376807572644</v>
      </c>
      <c r="AE24" s="1021">
        <f>(VLOOKUP(YEAR($A24),'NY East Load Projections'!$A$4:$EO$14,((MONTH($A24)-1)*12)+VLOOKUP(AE$4,$DE$6:$DF$17,2)+1))*$B24</f>
        <v>-2009.9376807572644</v>
      </c>
      <c r="AF24" s="1021"/>
      <c r="AG24" s="1021">
        <f>(VLOOKUP(YEAR($A24),'NY East Load Projections'!$A$4:$EO$14,((MONTH($A24)-1)*12)+VLOOKUP(AG$4,$DE$6:$DF$17,2)+1))*$C24</f>
        <v>-344.70934918690278</v>
      </c>
      <c r="AH24" s="1021">
        <f>(VLOOKUP(YEAR($A24),'NY East Load Projections'!$A$4:$EO$14,((MONTH($A24)-1)*12)+VLOOKUP(AH$4,$DE$6:$DF$17,2)+1))*$C24</f>
        <v>-344.70934918690278</v>
      </c>
      <c r="AI24" s="1021">
        <f>(VLOOKUP(YEAR($A24),'NY East Load Projections'!$A$4:$EO$14,((MONTH($A24)-1)*12)+VLOOKUP(AI$4,$DE$6:$DF$17,2)+1))*$C24</f>
        <v>-344.70934918690278</v>
      </c>
      <c r="AJ24" s="1021">
        <f>(VLOOKUP(YEAR($A24),'NY East Load Projections'!$A$4:$EO$14,((MONTH($A24)-1)*12)+VLOOKUP(AJ$4,$DE$6:$DF$17,2)+1))*$C24</f>
        <v>-344.70934918690278</v>
      </c>
      <c r="AK24" s="1021">
        <f>(VLOOKUP(YEAR($A24),'NY East Load Projections'!$A$4:$EO$14,((MONTH($A24)-1)*12)+VLOOKUP(AK$4,$DE$6:$DF$17,2)+1))*$C24</f>
        <v>-349.89847492427009</v>
      </c>
      <c r="AL24" s="1021">
        <f>(VLOOKUP(YEAR($A24),'NY East Load Projections'!$A$4:$EO$14,((MONTH($A24)-1)*12)+VLOOKUP(AL$4,$DE$6:$DF$17,2)+1))*$C24</f>
        <v>-349.89847492427009</v>
      </c>
      <c r="AM24" s="1021">
        <f>(VLOOKUP(YEAR($A24),'NY East Load Projections'!$A$4:$EO$14,((MONTH($A24)-1)*12)+VLOOKUP(AM$4,$DE$6:$DF$17,2)+1))*$C24</f>
        <v>-349.89847492427009</v>
      </c>
      <c r="AN24" s="1021">
        <f>(VLOOKUP(YEAR($A24),'NY East Load Projections'!$A$4:$EO$14,((MONTH($A24)-1)*12)+VLOOKUP(AN$4,$DE$6:$DF$17,2)+1))*$C24</f>
        <v>-349.89847492427009</v>
      </c>
      <c r="AO24" s="1021">
        <f>(VLOOKUP(YEAR($A24),'NY East Load Projections'!$A$4:$EO$14,((MONTH($A24)-1)*12)+VLOOKUP(AO$4,$DE$6:$DF$17,2)+1))*$C24</f>
        <v>-375.71605762153837</v>
      </c>
      <c r="AP24" s="1021">
        <f>(VLOOKUP(YEAR($A24),'NY East Load Projections'!$A$4:$EO$14,((MONTH($A24)-1)*12)+VLOOKUP(AP$4,$DE$6:$DF$17,2)+1))*$C24</f>
        <v>-375.71605762153837</v>
      </c>
      <c r="AQ24" s="1021">
        <f>(VLOOKUP(YEAR($A24),'NY East Load Projections'!$A$4:$EO$14,((MONTH($A24)-1)*12)+VLOOKUP(AQ$4,$DE$6:$DF$17,2)+1))*$C24</f>
        <v>-375.71605762153837</v>
      </c>
      <c r="AR24" s="1021">
        <f>(VLOOKUP(YEAR($A24),'NY East Load Projections'!$A$4:$EO$14,((MONTH($A24)-1)*12)+VLOOKUP(AR$4,$DE$6:$DF$17,2)+1))*$C24</f>
        <v>-375.71605762153837</v>
      </c>
      <c r="AS24" s="1021">
        <f>(VLOOKUP(YEAR($A24),'NY East Load Projections'!$A$4:$EO$14,((MONTH($A24)-1)*12)+VLOOKUP(AS$4,$DE$6:$DF$17,2)+1))*$C24</f>
        <v>-379.05536710929329</v>
      </c>
      <c r="AT24" s="1021">
        <f>(VLOOKUP(YEAR($A24),'NY East Load Projections'!$A$4:$EO$14,((MONTH($A24)-1)*12)+VLOOKUP(AT$4,$DE$6:$DF$17,2)+1))*$C24</f>
        <v>-379.05536710929329</v>
      </c>
      <c r="AU24" s="1021">
        <f>(VLOOKUP(YEAR($A24),'NY East Load Projections'!$A$4:$EO$14,((MONTH($A24)-1)*12)+VLOOKUP(AU$4,$DE$6:$DF$17,2)+1))*$C24</f>
        <v>-379.05536710929329</v>
      </c>
      <c r="AV24" s="1021">
        <f>(VLOOKUP(YEAR($A24),'NY East Load Projections'!$A$4:$EO$14,((MONTH($A24)-1)*12)+VLOOKUP(AV$4,$DE$6:$DF$17,2)+1))*$C24</f>
        <v>-379.05536710929329</v>
      </c>
      <c r="AW24" s="1021">
        <f>(VLOOKUP(YEAR($A24),'NY East Load Projections'!$A$4:$EO$14,((MONTH($A24)-1)*12)+VLOOKUP(AW$4,$DE$6:$DF$17,2)+1))*$C24</f>
        <v>-367.19863085445189</v>
      </c>
      <c r="AX24" s="1021">
        <f>(VLOOKUP(YEAR($A24),'NY East Load Projections'!$A$4:$EO$14,((MONTH($A24)-1)*12)+VLOOKUP(AX$4,$DE$6:$DF$17,2)+1))*$C24</f>
        <v>-367.19863085445189</v>
      </c>
      <c r="AY24" s="1021">
        <f>(VLOOKUP(YEAR($A24),'NY East Load Projections'!$A$4:$EO$14,((MONTH($A24)-1)*12)+VLOOKUP(AY$4,$DE$6:$DF$17,2)+1))*$C24</f>
        <v>-367.19863085445189</v>
      </c>
      <c r="AZ24" s="1021">
        <f>(VLOOKUP(YEAR($A24),'NY East Load Projections'!$A$4:$EO$14,((MONTH($A24)-1)*12)+VLOOKUP(AZ$4,$DE$6:$DF$17,2)+1))*$C24</f>
        <v>-367.19863085445189</v>
      </c>
      <c r="BA24" s="1021">
        <f>(VLOOKUP(YEAR($A24),'NY East Load Projections'!$A$4:$EO$14,((MONTH($A24)-1)*12)+VLOOKUP(BA$4,$DE$6:$DF$17,2)+1))*$C24</f>
        <v>-355.80959438925152</v>
      </c>
      <c r="BB24" s="1021">
        <f>(VLOOKUP(YEAR($A24),'NY East Load Projections'!$A$4:$EO$14,((MONTH($A24)-1)*12)+VLOOKUP(BB$4,$DE$6:$DF$17,2)+1))*$C24</f>
        <v>-355.80959438925152</v>
      </c>
      <c r="BC24" s="1021">
        <f>(VLOOKUP(YEAR($A24),'NY East Load Projections'!$A$4:$EO$14,((MONTH($A24)-1)*12)+VLOOKUP(BC$4,$DE$6:$DF$17,2)+1))*$C24</f>
        <v>-355.80959438925152</v>
      </c>
      <c r="BD24" s="1021">
        <f>(VLOOKUP(YEAR($A24),'NY East Load Projections'!$A$4:$EO$14,((MONTH($A24)-1)*12)+VLOOKUP(BD$4,$DE$6:$DF$17,2)+1))*$C24</f>
        <v>-355.80959438925152</v>
      </c>
      <c r="BE24" s="1021"/>
      <c r="BF24" s="1021">
        <f>(VLOOKUP(YEAR($A24),'NY East Load Projections'!$A$4:$EO$14,((MONTH($A24)-1)*12)+VLOOKUP(BF$4,$DE$6:$DF$17,2)+1))*$D24</f>
        <v>-344.70934918690278</v>
      </c>
      <c r="BG24" s="1021">
        <f>(VLOOKUP(YEAR($A24),'NY East Load Projections'!$A$4:$EO$14,((MONTH($A24)-1)*12)+VLOOKUP(BG$4,$DE$6:$DF$17,2)+1))*$D24</f>
        <v>-344.70934918690278</v>
      </c>
      <c r="BH24" s="1021">
        <f>(VLOOKUP(YEAR($A24),'NY East Load Projections'!$A$4:$EO$14,((MONTH($A24)-1)*12)+VLOOKUP(BH$4,$DE$6:$DF$17,2)+1))*$D24</f>
        <v>-344.70934918690278</v>
      </c>
      <c r="BI24" s="1021">
        <f>(VLOOKUP(YEAR($A24),'NY East Load Projections'!$A$4:$EO$14,((MONTH($A24)-1)*12)+VLOOKUP(BI$4,$DE$6:$DF$17,2)+1))*$D24</f>
        <v>-344.70934918690278</v>
      </c>
      <c r="BJ24" s="1021">
        <f>(VLOOKUP(YEAR($A24),'NY East Load Projections'!$A$4:$EO$14,((MONTH($A24)-1)*12)+VLOOKUP(BJ$4,$DE$6:$DF$17,2)+1))*$D24</f>
        <v>-349.89847492427009</v>
      </c>
      <c r="BK24" s="1021">
        <f>(VLOOKUP(YEAR($A24),'NY East Load Projections'!$A$4:$EO$14,((MONTH($A24)-1)*12)+VLOOKUP(BK$4,$DE$6:$DF$17,2)+1))*$D24</f>
        <v>-349.89847492427009</v>
      </c>
      <c r="BL24" s="1021">
        <f>(VLOOKUP(YEAR($A24),'NY East Load Projections'!$A$4:$EO$14,((MONTH($A24)-1)*12)+VLOOKUP(BL$4,$DE$6:$DF$17,2)+1))*$D24</f>
        <v>-349.89847492427009</v>
      </c>
      <c r="BM24" s="1021">
        <f>(VLOOKUP(YEAR($A24),'NY East Load Projections'!$A$4:$EO$14,((MONTH($A24)-1)*12)+VLOOKUP(BM$4,$DE$6:$DF$17,2)+1))*$D24</f>
        <v>-349.89847492427009</v>
      </c>
      <c r="BN24" s="1021">
        <f>(VLOOKUP(YEAR($A24),'NY East Load Projections'!$A$4:$EO$14,((MONTH($A24)-1)*12)+VLOOKUP(BN$4,$DE$6:$DF$17,2)+1))*$D24</f>
        <v>-375.71605762153837</v>
      </c>
      <c r="BO24" s="1021">
        <f>(VLOOKUP(YEAR($A24),'NY East Load Projections'!$A$4:$EO$14,((MONTH($A24)-1)*12)+VLOOKUP(BO$4,$DE$6:$DF$17,2)+1))*$D24</f>
        <v>-375.71605762153837</v>
      </c>
      <c r="BP24" s="1021">
        <f>(VLOOKUP(YEAR($A24),'NY East Load Projections'!$A$4:$EO$14,((MONTH($A24)-1)*12)+VLOOKUP(BP$4,$DE$6:$DF$17,2)+1))*$D24</f>
        <v>-375.71605762153837</v>
      </c>
      <c r="BQ24" s="1021">
        <f>(VLOOKUP(YEAR($A24),'NY East Load Projections'!$A$4:$EO$14,((MONTH($A24)-1)*12)+VLOOKUP(BQ$4,$DE$6:$DF$17,2)+1))*$D24</f>
        <v>-375.71605762153837</v>
      </c>
      <c r="BR24" s="1021">
        <f>(VLOOKUP(YEAR($A24),'NY East Load Projections'!$A$4:$EO$14,((MONTH($A24)-1)*12)+VLOOKUP(BR$4,$DE$6:$DF$17,2)+1))*$D24</f>
        <v>-379.05536710929329</v>
      </c>
      <c r="BS24" s="1021">
        <f>(VLOOKUP(YEAR($A24),'NY East Load Projections'!$A$4:$EO$14,((MONTH($A24)-1)*12)+VLOOKUP(BS$4,$DE$6:$DF$17,2)+1))*$D24</f>
        <v>-379.05536710929329</v>
      </c>
      <c r="BT24" s="1021">
        <f>(VLOOKUP(YEAR($A24),'NY East Load Projections'!$A$4:$EO$14,((MONTH($A24)-1)*12)+VLOOKUP(BT$4,$DE$6:$DF$17,2)+1))*$D24</f>
        <v>-379.05536710929329</v>
      </c>
      <c r="BU24" s="1021">
        <f>(VLOOKUP(YEAR($A24),'NY East Load Projections'!$A$4:$EO$14,((MONTH($A24)-1)*12)+VLOOKUP(BU$4,$DE$6:$DF$17,2)+1))*$D24</f>
        <v>-379.05536710929329</v>
      </c>
      <c r="BV24" s="1021">
        <f>(VLOOKUP(YEAR($A24),'NY East Load Projections'!$A$4:$EO$14,((MONTH($A24)-1)*12)+VLOOKUP(BV$4,$DE$6:$DF$17,2)+1))*$D24</f>
        <v>-367.19863085445189</v>
      </c>
      <c r="BW24" s="1021">
        <f>(VLOOKUP(YEAR($A24),'NY East Load Projections'!$A$4:$EO$14,((MONTH($A24)-1)*12)+VLOOKUP(BW$4,$DE$6:$DF$17,2)+1))*$D24</f>
        <v>-367.19863085445189</v>
      </c>
      <c r="BX24" s="1021">
        <f>(VLOOKUP(YEAR($A24),'NY East Load Projections'!$A$4:$EO$14,((MONTH($A24)-1)*12)+VLOOKUP(BX$4,$DE$6:$DF$17,2)+1))*$D24</f>
        <v>-367.19863085445189</v>
      </c>
      <c r="BY24" s="1021">
        <f>(VLOOKUP(YEAR($A24),'NY East Load Projections'!$A$4:$EO$14,((MONTH($A24)-1)*12)+VLOOKUP(BY$4,$DE$6:$DF$17,2)+1))*$D24</f>
        <v>-367.19863085445189</v>
      </c>
      <c r="BZ24" s="1021">
        <f>(VLOOKUP(YEAR($A24),'NY East Load Projections'!$A$4:$EO$14,((MONTH($A24)-1)*12)+VLOOKUP(BZ$4,$DE$6:$DF$17,2)+1))*$D24</f>
        <v>-355.80959438925152</v>
      </c>
      <c r="CA24" s="1021">
        <f>(VLOOKUP(YEAR($A24),'NY East Load Projections'!$A$4:$EO$14,((MONTH($A24)-1)*12)+VLOOKUP(CA$4,$DE$6:$DF$17,2)+1))*$D24</f>
        <v>-355.80959438925152</v>
      </c>
      <c r="CB24" s="1021">
        <f>(VLOOKUP(YEAR($A24),'NY East Load Projections'!$A$4:$EO$14,((MONTH($A24)-1)*12)+VLOOKUP(CB$4,$DE$6:$DF$17,2)+1))*$D24</f>
        <v>-355.80959438925152</v>
      </c>
      <c r="CC24" s="1021">
        <f>(VLOOKUP(YEAR($A24),'NY East Load Projections'!$A$4:$EO$14,((MONTH($A24)-1)*12)+VLOOKUP(CC$4,$DE$6:$DF$17,2)+1))*$D24</f>
        <v>-355.80959438925152</v>
      </c>
      <c r="CE24" s="1021">
        <f>(VLOOKUP(YEAR($A24),'NY East Load Projections'!$A$4:$EO$14,((MONTH($A24)-1)*12)+VLOOKUP(CE$4,$DE$6:$DF$17,2)+1))*$E24</f>
        <v>-86.177337296725696</v>
      </c>
      <c r="CF24" s="1021">
        <f>(VLOOKUP(YEAR($A24),'NY East Load Projections'!$A$4:$EO$14,((MONTH($A24)-1)*12)+VLOOKUP(CF$4,$DE$6:$DF$17,2)+1))*$E24</f>
        <v>-86.177337296725696</v>
      </c>
      <c r="CG24" s="1021">
        <f>(VLOOKUP(YEAR($A24),'NY East Load Projections'!$A$4:$EO$14,((MONTH($A24)-1)*12)+VLOOKUP(CG$4,$DE$6:$DF$17,2)+1))*$E24</f>
        <v>-86.177337296725696</v>
      </c>
      <c r="CH24" s="1021">
        <f>(VLOOKUP(YEAR($A24),'NY East Load Projections'!$A$4:$EO$14,((MONTH($A24)-1)*12)+VLOOKUP(CH$4,$DE$6:$DF$17,2)+1))*$E24</f>
        <v>-86.177337296725696</v>
      </c>
      <c r="CI24" s="1021">
        <f>(VLOOKUP(YEAR($A24),'NY East Load Projections'!$A$4:$EO$14,((MONTH($A24)-1)*12)+VLOOKUP(CI$4,$DE$6:$DF$17,2)+1))*$E24</f>
        <v>-87.474618731067523</v>
      </c>
      <c r="CJ24" s="1021">
        <f>(VLOOKUP(YEAR($A24),'NY East Load Projections'!$A$4:$EO$14,((MONTH($A24)-1)*12)+VLOOKUP(CJ$4,$DE$6:$DF$17,2)+1))*$E24</f>
        <v>-87.474618731067523</v>
      </c>
      <c r="CK24" s="1021">
        <f>(VLOOKUP(YEAR($A24),'NY East Load Projections'!$A$4:$EO$14,((MONTH($A24)-1)*12)+VLOOKUP(CK$4,$DE$6:$DF$17,2)+1))*$E24</f>
        <v>-87.474618731067523</v>
      </c>
      <c r="CL24" s="1021">
        <f>(VLOOKUP(YEAR($A24),'NY East Load Projections'!$A$4:$EO$14,((MONTH($A24)-1)*12)+VLOOKUP(CL$4,$DE$6:$DF$17,2)+1))*$E24</f>
        <v>-87.474618731067523</v>
      </c>
      <c r="CM24" s="1021">
        <f>(VLOOKUP(YEAR($A24),'NY East Load Projections'!$A$4:$EO$14,((MONTH($A24)-1)*12)+VLOOKUP(CM$4,$DE$6:$DF$17,2)+1))*$E24</f>
        <v>-93.929014405384592</v>
      </c>
      <c r="CN24" s="1021">
        <f>(VLOOKUP(YEAR($A24),'NY East Load Projections'!$A$4:$EO$14,((MONTH($A24)-1)*12)+VLOOKUP(CN$4,$DE$6:$DF$17,2)+1))*$E24</f>
        <v>-93.929014405384592</v>
      </c>
      <c r="CO24" s="1021">
        <f>(VLOOKUP(YEAR($A24),'NY East Load Projections'!$A$4:$EO$14,((MONTH($A24)-1)*12)+VLOOKUP(CO$4,$DE$6:$DF$17,2)+1))*$E24</f>
        <v>-93.929014405384592</v>
      </c>
      <c r="CP24" s="1021">
        <f>(VLOOKUP(YEAR($A24),'NY East Load Projections'!$A$4:$EO$14,((MONTH($A24)-1)*12)+VLOOKUP(CP$4,$DE$6:$DF$17,2)+1))*$E24</f>
        <v>-93.929014405384592</v>
      </c>
      <c r="CQ24" s="1021">
        <f>(VLOOKUP(YEAR($A24),'NY East Load Projections'!$A$4:$EO$14,((MONTH($A24)-1)*12)+VLOOKUP(CQ$4,$DE$6:$DF$17,2)+1))*$E24</f>
        <v>-94.763841777323321</v>
      </c>
      <c r="CR24" s="1021">
        <f>(VLOOKUP(YEAR($A24),'NY East Load Projections'!$A$4:$EO$14,((MONTH($A24)-1)*12)+VLOOKUP(CR$4,$DE$6:$DF$17,2)+1))*$E24</f>
        <v>-94.763841777323321</v>
      </c>
      <c r="CS24" s="1021">
        <f>(VLOOKUP(YEAR($A24),'NY East Load Projections'!$A$4:$EO$14,((MONTH($A24)-1)*12)+VLOOKUP(CS$4,$DE$6:$DF$17,2)+1))*$E24</f>
        <v>-94.763841777323321</v>
      </c>
      <c r="CT24" s="1021">
        <f>(VLOOKUP(YEAR($A24),'NY East Load Projections'!$A$4:$EO$14,((MONTH($A24)-1)*12)+VLOOKUP(CT$4,$DE$6:$DF$17,2)+1))*$E24</f>
        <v>-94.763841777323321</v>
      </c>
      <c r="CU24" s="1021">
        <f>(VLOOKUP(YEAR($A24),'NY East Load Projections'!$A$4:$EO$14,((MONTH($A24)-1)*12)+VLOOKUP(CU$4,$DE$6:$DF$17,2)+1))*$E24</f>
        <v>-91.799657713612973</v>
      </c>
      <c r="CV24" s="1021">
        <f>(VLOOKUP(YEAR($A24),'NY East Load Projections'!$A$4:$EO$14,((MONTH($A24)-1)*12)+VLOOKUP(CV$4,$DE$6:$DF$17,2)+1))*$E24</f>
        <v>-91.799657713612973</v>
      </c>
      <c r="CW24" s="1021">
        <f>(VLOOKUP(YEAR($A24),'NY East Load Projections'!$A$4:$EO$14,((MONTH($A24)-1)*12)+VLOOKUP(CW$4,$DE$6:$DF$17,2)+1))*$E24</f>
        <v>-91.799657713612973</v>
      </c>
      <c r="CX24" s="1021">
        <f>(VLOOKUP(YEAR($A24),'NY East Load Projections'!$A$4:$EO$14,((MONTH($A24)-1)*12)+VLOOKUP(CX$4,$DE$6:$DF$17,2)+1))*$E24</f>
        <v>-91.799657713612973</v>
      </c>
      <c r="CY24" s="1021">
        <f>(VLOOKUP(YEAR($A24),'NY East Load Projections'!$A$4:$EO$14,((MONTH($A24)-1)*12)+VLOOKUP(CY$4,$DE$6:$DF$17,2)+1))*$E24</f>
        <v>-88.952398597312879</v>
      </c>
      <c r="CZ24" s="1021">
        <f>(VLOOKUP(YEAR($A24),'NY East Load Projections'!$A$4:$EO$14,((MONTH($A24)-1)*12)+VLOOKUP(CZ$4,$DE$6:$DF$17,2)+1))*$E24</f>
        <v>-88.952398597312879</v>
      </c>
      <c r="DA24" s="1021">
        <f>(VLOOKUP(YEAR($A24),'NY East Load Projections'!$A$4:$EO$14,((MONTH($A24)-1)*12)+VLOOKUP(DA$4,$DE$6:$DF$17,2)+1))*$E24</f>
        <v>-88.952398597312879</v>
      </c>
      <c r="DB24" s="1021">
        <f>(VLOOKUP(YEAR($A24),'NY East Load Projections'!$A$4:$EO$14,((MONTH($A24)-1)*12)+VLOOKUP(DB$4,$DE$6:$DF$17,2)+1))*$E24</f>
        <v>-88.952398597312879</v>
      </c>
      <c r="DH24" s="1009">
        <f t="shared" si="0"/>
        <v>-69115.927312810934</v>
      </c>
      <c r="DI24">
        <f ca="1">CALC!J44</f>
        <v>0.84145367162451279</v>
      </c>
      <c r="DJ24" s="1032">
        <f t="shared" ca="1" si="1"/>
        <v>-58157.850805097703</v>
      </c>
    </row>
    <row r="25" spans="1:114" x14ac:dyDescent="0.25">
      <c r="A25" s="244">
        <v>37469</v>
      </c>
      <c r="B25" s="13">
        <v>22</v>
      </c>
      <c r="C25" s="210">
        <v>5</v>
      </c>
      <c r="D25" s="210">
        <v>4</v>
      </c>
      <c r="E25" s="210">
        <v>0</v>
      </c>
      <c r="F25" s="13">
        <v>31</v>
      </c>
      <c r="H25" s="1021">
        <f>(VLOOKUP(YEAR($A25),'NY East Load Projections'!$A$4:$EO$14,((MONTH($A25)-1)*12)+VLOOKUP(H$4,$DE$6:$DF$17,2)+1))*$B25</f>
        <v>-1996.1466566549686</v>
      </c>
      <c r="I25" s="1021">
        <f>(VLOOKUP(YEAR($A25),'NY East Load Projections'!$A$4:$EO$14,((MONTH($A25)-1)*12)+VLOOKUP(I$4,$DE$6:$DF$17,2)+1))*$B25</f>
        <v>-1996.1466566549686</v>
      </c>
      <c r="J25" s="1021">
        <f>(VLOOKUP(YEAR($A25),'NY East Load Projections'!$A$4:$EO$14,((MONTH($A25)-1)*12)+VLOOKUP(J$4,$DE$6:$DF$17,2)+1))*$B25</f>
        <v>-1996.1466566549686</v>
      </c>
      <c r="K25" s="1021">
        <f>(VLOOKUP(YEAR($A25),'NY East Load Projections'!$A$4:$EO$14,((MONTH($A25)-1)*12)+VLOOKUP(K$4,$DE$6:$DF$17,2)+1))*$B25</f>
        <v>-1996.1466566549686</v>
      </c>
      <c r="L25" s="1021">
        <f>(VLOOKUP(YEAR($A25),'NY East Load Projections'!$A$4:$EO$14,((MONTH($A25)-1)*12)+VLOOKUP(L$4,$DE$6:$DF$17,2)+1))*$B25</f>
        <v>-2067.0886868586235</v>
      </c>
      <c r="M25" s="1021">
        <f>(VLOOKUP(YEAR($A25),'NY East Load Projections'!$A$4:$EO$14,((MONTH($A25)-1)*12)+VLOOKUP(M$4,$DE$6:$DF$17,2)+1))*$B25</f>
        <v>-2067.0886868586235</v>
      </c>
      <c r="N25" s="1021">
        <f>(VLOOKUP(YEAR($A25),'NY East Load Projections'!$A$4:$EO$14,((MONTH($A25)-1)*12)+VLOOKUP(N$4,$DE$6:$DF$17,2)+1))*$B25</f>
        <v>-2067.0886868586235</v>
      </c>
      <c r="O25" s="1021">
        <f>(VLOOKUP(YEAR($A25),'NY East Load Projections'!$A$4:$EO$14,((MONTH($A25)-1)*12)+VLOOKUP(O$4,$DE$6:$DF$17,2)+1))*$B25</f>
        <v>-2067.0886868586235</v>
      </c>
      <c r="P25" s="1021">
        <f>(VLOOKUP(YEAR($A25),'NY East Load Projections'!$A$4:$EO$14,((MONTH($A25)-1)*12)+VLOOKUP(P$4,$DE$6:$DF$17,2)+1))*$B25</f>
        <v>-2207.3082832753503</v>
      </c>
      <c r="Q25" s="1021">
        <f>(VLOOKUP(YEAR($A25),'NY East Load Projections'!$A$4:$EO$14,((MONTH($A25)-1)*12)+VLOOKUP(Q$4,$DE$6:$DF$17,2)+1))*$B25</f>
        <v>-2207.3082832753503</v>
      </c>
      <c r="R25" s="1021">
        <f>(VLOOKUP(YEAR($A25),'NY East Load Projections'!$A$4:$EO$14,((MONTH($A25)-1)*12)+VLOOKUP(R$4,$DE$6:$DF$17,2)+1))*$B25</f>
        <v>-2207.3082832753503</v>
      </c>
      <c r="S25" s="1021">
        <f>(VLOOKUP(YEAR($A25),'NY East Load Projections'!$A$4:$EO$14,((MONTH($A25)-1)*12)+VLOOKUP(S$4,$DE$6:$DF$17,2)+1))*$B25</f>
        <v>-2207.3082832753503</v>
      </c>
      <c r="T25" s="1021">
        <f>(VLOOKUP(YEAR($A25),'NY East Load Projections'!$A$4:$EO$14,((MONTH($A25)-1)*12)+VLOOKUP(T$4,$DE$6:$DF$17,2)+1))*$B25</f>
        <v>-2233.3773067404668</v>
      </c>
      <c r="U25" s="1021">
        <f>(VLOOKUP(YEAR($A25),'NY East Load Projections'!$A$4:$EO$14,((MONTH($A25)-1)*12)+VLOOKUP(U$4,$DE$6:$DF$17,2)+1))*$B25</f>
        <v>-2233.3773067404668</v>
      </c>
      <c r="V25" s="1021">
        <f>(VLOOKUP(YEAR($A25),'NY East Load Projections'!$A$4:$EO$14,((MONTH($A25)-1)*12)+VLOOKUP(V$4,$DE$6:$DF$17,2)+1))*$B25</f>
        <v>-2233.3773067404668</v>
      </c>
      <c r="W25" s="1021">
        <f>(VLOOKUP(YEAR($A25),'NY East Load Projections'!$A$4:$EO$14,((MONTH($A25)-1)*12)+VLOOKUP(W$4,$DE$6:$DF$17,2)+1))*$B25</f>
        <v>-2233.3773067404668</v>
      </c>
      <c r="X25" s="1021">
        <f>(VLOOKUP(YEAR($A25),'NY East Load Projections'!$A$4:$EO$14,((MONTH($A25)-1)*12)+VLOOKUP(X$4,$DE$6:$DF$17,2)+1))*$B25</f>
        <v>-2159.0691280303645</v>
      </c>
      <c r="Y25" s="1021">
        <f>(VLOOKUP(YEAR($A25),'NY East Load Projections'!$A$4:$EO$14,((MONTH($A25)-1)*12)+VLOOKUP(Y$4,$DE$6:$DF$17,2)+1))*$B25</f>
        <v>-2159.0691280303645</v>
      </c>
      <c r="Z25" s="1021">
        <f>(VLOOKUP(YEAR($A25),'NY East Load Projections'!$A$4:$EO$14,((MONTH($A25)-1)*12)+VLOOKUP(Z$4,$DE$6:$DF$17,2)+1))*$B25</f>
        <v>-2159.0691280303645</v>
      </c>
      <c r="AA25" s="1021">
        <f>(VLOOKUP(YEAR($A25),'NY East Load Projections'!$A$4:$EO$14,((MONTH($A25)-1)*12)+VLOOKUP(AA$4,$DE$6:$DF$17,2)+1))*$B25</f>
        <v>-2159.0691280303645</v>
      </c>
      <c r="AB25" s="1021">
        <f>(VLOOKUP(YEAR($A25),'NY East Load Projections'!$A$4:$EO$14,((MONTH($A25)-1)*12)+VLOOKUP(AB$4,$DE$6:$DF$17,2)+1))*$B25</f>
        <v>-2056.2206356933712</v>
      </c>
      <c r="AC25" s="1021">
        <f>(VLOOKUP(YEAR($A25),'NY East Load Projections'!$A$4:$EO$14,((MONTH($A25)-1)*12)+VLOOKUP(AC$4,$DE$6:$DF$17,2)+1))*$B25</f>
        <v>-2056.2206356933712</v>
      </c>
      <c r="AD25" s="1021">
        <f>(VLOOKUP(YEAR($A25),'NY East Load Projections'!$A$4:$EO$14,((MONTH($A25)-1)*12)+VLOOKUP(AD$4,$DE$6:$DF$17,2)+1))*$B25</f>
        <v>-2056.2206356933712</v>
      </c>
      <c r="AE25" s="1021">
        <f>(VLOOKUP(YEAR($A25),'NY East Load Projections'!$A$4:$EO$14,((MONTH($A25)-1)*12)+VLOOKUP(AE$4,$DE$6:$DF$17,2)+1))*$B25</f>
        <v>-2056.2206356933712</v>
      </c>
      <c r="AF25" s="1021"/>
      <c r="AG25" s="1021">
        <f>(VLOOKUP(YEAR($A25),'NY East Load Projections'!$A$4:$EO$14,((MONTH($A25)-1)*12)+VLOOKUP(AG$4,$DE$6:$DF$17,2)+1))*$C25</f>
        <v>-450.47687309480557</v>
      </c>
      <c r="AH25" s="1021">
        <f>(VLOOKUP(YEAR($A25),'NY East Load Projections'!$A$4:$EO$14,((MONTH($A25)-1)*12)+VLOOKUP(AH$4,$DE$6:$DF$17,2)+1))*$C25</f>
        <v>-450.47687309480557</v>
      </c>
      <c r="AI25" s="1021">
        <f>(VLOOKUP(YEAR($A25),'NY East Load Projections'!$A$4:$EO$14,((MONTH($A25)-1)*12)+VLOOKUP(AI$4,$DE$6:$DF$17,2)+1))*$C25</f>
        <v>-450.47687309480557</v>
      </c>
      <c r="AJ25" s="1021">
        <f>(VLOOKUP(YEAR($A25),'NY East Load Projections'!$A$4:$EO$14,((MONTH($A25)-1)*12)+VLOOKUP(AJ$4,$DE$6:$DF$17,2)+1))*$C25</f>
        <v>-450.47687309480557</v>
      </c>
      <c r="AK25" s="1021">
        <f>(VLOOKUP(YEAR($A25),'NY East Load Projections'!$A$4:$EO$14,((MONTH($A25)-1)*12)+VLOOKUP(AK$4,$DE$6:$DF$17,2)+1))*$C25</f>
        <v>-458.49541027662644</v>
      </c>
      <c r="AL25" s="1021">
        <f>(VLOOKUP(YEAR($A25),'NY East Load Projections'!$A$4:$EO$14,((MONTH($A25)-1)*12)+VLOOKUP(AL$4,$DE$6:$DF$17,2)+1))*$C25</f>
        <v>-458.49541027662644</v>
      </c>
      <c r="AM25" s="1021">
        <f>(VLOOKUP(YEAR($A25),'NY East Load Projections'!$A$4:$EO$14,((MONTH($A25)-1)*12)+VLOOKUP(AM$4,$DE$6:$DF$17,2)+1))*$C25</f>
        <v>-458.49541027662644</v>
      </c>
      <c r="AN25" s="1021">
        <f>(VLOOKUP(YEAR($A25),'NY East Load Projections'!$A$4:$EO$14,((MONTH($A25)-1)*12)+VLOOKUP(AN$4,$DE$6:$DF$17,2)+1))*$C25</f>
        <v>-458.49541027662644</v>
      </c>
      <c r="AO25" s="1021">
        <f>(VLOOKUP(YEAR($A25),'NY East Load Projections'!$A$4:$EO$14,((MONTH($A25)-1)*12)+VLOOKUP(AO$4,$DE$6:$DF$17,2)+1))*$C25</f>
        <v>-496.76111364752586</v>
      </c>
      <c r="AP25" s="1021">
        <f>(VLOOKUP(YEAR($A25),'NY East Load Projections'!$A$4:$EO$14,((MONTH($A25)-1)*12)+VLOOKUP(AP$4,$DE$6:$DF$17,2)+1))*$C25</f>
        <v>-496.76111364752586</v>
      </c>
      <c r="AQ25" s="1021">
        <f>(VLOOKUP(YEAR($A25),'NY East Load Projections'!$A$4:$EO$14,((MONTH($A25)-1)*12)+VLOOKUP(AQ$4,$DE$6:$DF$17,2)+1))*$C25</f>
        <v>-496.76111364752586</v>
      </c>
      <c r="AR25" s="1021">
        <f>(VLOOKUP(YEAR($A25),'NY East Load Projections'!$A$4:$EO$14,((MONTH($A25)-1)*12)+VLOOKUP(AR$4,$DE$6:$DF$17,2)+1))*$C25</f>
        <v>-496.76111364752586</v>
      </c>
      <c r="AS25" s="1021">
        <f>(VLOOKUP(YEAR($A25),'NY East Load Projections'!$A$4:$EO$14,((MONTH($A25)-1)*12)+VLOOKUP(AS$4,$DE$6:$DF$17,2)+1))*$C25</f>
        <v>-503.8391644730176</v>
      </c>
      <c r="AT25" s="1021">
        <f>(VLOOKUP(YEAR($A25),'NY East Load Projections'!$A$4:$EO$14,((MONTH($A25)-1)*12)+VLOOKUP(AT$4,$DE$6:$DF$17,2)+1))*$C25</f>
        <v>-503.8391644730176</v>
      </c>
      <c r="AU25" s="1021">
        <f>(VLOOKUP(YEAR($A25),'NY East Load Projections'!$A$4:$EO$14,((MONTH($A25)-1)*12)+VLOOKUP(AU$4,$DE$6:$DF$17,2)+1))*$C25</f>
        <v>-503.8391644730176</v>
      </c>
      <c r="AV25" s="1021">
        <f>(VLOOKUP(YEAR($A25),'NY East Load Projections'!$A$4:$EO$14,((MONTH($A25)-1)*12)+VLOOKUP(AV$4,$DE$6:$DF$17,2)+1))*$C25</f>
        <v>-503.8391644730176</v>
      </c>
      <c r="AW25" s="1021">
        <f>(VLOOKUP(YEAR($A25),'NY East Load Projections'!$A$4:$EO$14,((MONTH($A25)-1)*12)+VLOOKUP(AW$4,$DE$6:$DF$17,2)+1))*$C25</f>
        <v>-487.24556159402084</v>
      </c>
      <c r="AX25" s="1021">
        <f>(VLOOKUP(YEAR($A25),'NY East Load Projections'!$A$4:$EO$14,((MONTH($A25)-1)*12)+VLOOKUP(AX$4,$DE$6:$DF$17,2)+1))*$C25</f>
        <v>-487.24556159402084</v>
      </c>
      <c r="AY25" s="1021">
        <f>(VLOOKUP(YEAR($A25),'NY East Load Projections'!$A$4:$EO$14,((MONTH($A25)-1)*12)+VLOOKUP(AY$4,$DE$6:$DF$17,2)+1))*$C25</f>
        <v>-487.24556159402084</v>
      </c>
      <c r="AZ25" s="1021">
        <f>(VLOOKUP(YEAR($A25),'NY East Load Projections'!$A$4:$EO$14,((MONTH($A25)-1)*12)+VLOOKUP(AZ$4,$DE$6:$DF$17,2)+1))*$C25</f>
        <v>-487.24556159402084</v>
      </c>
      <c r="BA25" s="1021">
        <f>(VLOOKUP(YEAR($A25),'NY East Load Projections'!$A$4:$EO$14,((MONTH($A25)-1)*12)+VLOOKUP(BA$4,$DE$6:$DF$17,2)+1))*$C25</f>
        <v>-468.75944360238299</v>
      </c>
      <c r="BB25" s="1021">
        <f>(VLOOKUP(YEAR($A25),'NY East Load Projections'!$A$4:$EO$14,((MONTH($A25)-1)*12)+VLOOKUP(BB$4,$DE$6:$DF$17,2)+1))*$C25</f>
        <v>-468.75944360238299</v>
      </c>
      <c r="BC25" s="1021">
        <f>(VLOOKUP(YEAR($A25),'NY East Load Projections'!$A$4:$EO$14,((MONTH($A25)-1)*12)+VLOOKUP(BC$4,$DE$6:$DF$17,2)+1))*$C25</f>
        <v>-468.75944360238299</v>
      </c>
      <c r="BD25" s="1021">
        <f>(VLOOKUP(YEAR($A25),'NY East Load Projections'!$A$4:$EO$14,((MONTH($A25)-1)*12)+VLOOKUP(BD$4,$DE$6:$DF$17,2)+1))*$C25</f>
        <v>-468.75944360238299</v>
      </c>
      <c r="BE25" s="1021"/>
      <c r="BF25" s="1021">
        <f>(VLOOKUP(YEAR($A25),'NY East Load Projections'!$A$4:$EO$14,((MONTH($A25)-1)*12)+VLOOKUP(BF$4,$DE$6:$DF$17,2)+1))*$D25</f>
        <v>-360.38149847584447</v>
      </c>
      <c r="BG25" s="1021">
        <f>(VLOOKUP(YEAR($A25),'NY East Load Projections'!$A$4:$EO$14,((MONTH($A25)-1)*12)+VLOOKUP(BG$4,$DE$6:$DF$17,2)+1))*$D25</f>
        <v>-360.38149847584447</v>
      </c>
      <c r="BH25" s="1021">
        <f>(VLOOKUP(YEAR($A25),'NY East Load Projections'!$A$4:$EO$14,((MONTH($A25)-1)*12)+VLOOKUP(BH$4,$DE$6:$DF$17,2)+1))*$D25</f>
        <v>-360.38149847584447</v>
      </c>
      <c r="BI25" s="1021">
        <f>(VLOOKUP(YEAR($A25),'NY East Load Projections'!$A$4:$EO$14,((MONTH($A25)-1)*12)+VLOOKUP(BI$4,$DE$6:$DF$17,2)+1))*$D25</f>
        <v>-360.38149847584447</v>
      </c>
      <c r="BJ25" s="1021">
        <f>(VLOOKUP(YEAR($A25),'NY East Load Projections'!$A$4:$EO$14,((MONTH($A25)-1)*12)+VLOOKUP(BJ$4,$DE$6:$DF$17,2)+1))*$D25</f>
        <v>-366.79632822130117</v>
      </c>
      <c r="BK25" s="1021">
        <f>(VLOOKUP(YEAR($A25),'NY East Load Projections'!$A$4:$EO$14,((MONTH($A25)-1)*12)+VLOOKUP(BK$4,$DE$6:$DF$17,2)+1))*$D25</f>
        <v>-366.79632822130117</v>
      </c>
      <c r="BL25" s="1021">
        <f>(VLOOKUP(YEAR($A25),'NY East Load Projections'!$A$4:$EO$14,((MONTH($A25)-1)*12)+VLOOKUP(BL$4,$DE$6:$DF$17,2)+1))*$D25</f>
        <v>-366.79632822130117</v>
      </c>
      <c r="BM25" s="1021">
        <f>(VLOOKUP(YEAR($A25),'NY East Load Projections'!$A$4:$EO$14,((MONTH($A25)-1)*12)+VLOOKUP(BM$4,$DE$6:$DF$17,2)+1))*$D25</f>
        <v>-366.79632822130117</v>
      </c>
      <c r="BN25" s="1021">
        <f>(VLOOKUP(YEAR($A25),'NY East Load Projections'!$A$4:$EO$14,((MONTH($A25)-1)*12)+VLOOKUP(BN$4,$DE$6:$DF$17,2)+1))*$D25</f>
        <v>-397.40889091802069</v>
      </c>
      <c r="BO25" s="1021">
        <f>(VLOOKUP(YEAR($A25),'NY East Load Projections'!$A$4:$EO$14,((MONTH($A25)-1)*12)+VLOOKUP(BO$4,$DE$6:$DF$17,2)+1))*$D25</f>
        <v>-397.40889091802069</v>
      </c>
      <c r="BP25" s="1021">
        <f>(VLOOKUP(YEAR($A25),'NY East Load Projections'!$A$4:$EO$14,((MONTH($A25)-1)*12)+VLOOKUP(BP$4,$DE$6:$DF$17,2)+1))*$D25</f>
        <v>-397.40889091802069</v>
      </c>
      <c r="BQ25" s="1021">
        <f>(VLOOKUP(YEAR($A25),'NY East Load Projections'!$A$4:$EO$14,((MONTH($A25)-1)*12)+VLOOKUP(BQ$4,$DE$6:$DF$17,2)+1))*$D25</f>
        <v>-397.40889091802069</v>
      </c>
      <c r="BR25" s="1021">
        <f>(VLOOKUP(YEAR($A25),'NY East Load Projections'!$A$4:$EO$14,((MONTH($A25)-1)*12)+VLOOKUP(BR$4,$DE$6:$DF$17,2)+1))*$D25</f>
        <v>-403.07133157841406</v>
      </c>
      <c r="BS25" s="1021">
        <f>(VLOOKUP(YEAR($A25),'NY East Load Projections'!$A$4:$EO$14,((MONTH($A25)-1)*12)+VLOOKUP(BS$4,$DE$6:$DF$17,2)+1))*$D25</f>
        <v>-403.07133157841406</v>
      </c>
      <c r="BT25" s="1021">
        <f>(VLOOKUP(YEAR($A25),'NY East Load Projections'!$A$4:$EO$14,((MONTH($A25)-1)*12)+VLOOKUP(BT$4,$DE$6:$DF$17,2)+1))*$D25</f>
        <v>-403.07133157841406</v>
      </c>
      <c r="BU25" s="1021">
        <f>(VLOOKUP(YEAR($A25),'NY East Load Projections'!$A$4:$EO$14,((MONTH($A25)-1)*12)+VLOOKUP(BU$4,$DE$6:$DF$17,2)+1))*$D25</f>
        <v>-403.07133157841406</v>
      </c>
      <c r="BV25" s="1021">
        <f>(VLOOKUP(YEAR($A25),'NY East Load Projections'!$A$4:$EO$14,((MONTH($A25)-1)*12)+VLOOKUP(BV$4,$DE$6:$DF$17,2)+1))*$D25</f>
        <v>-389.79644927521667</v>
      </c>
      <c r="BW25" s="1021">
        <f>(VLOOKUP(YEAR($A25),'NY East Load Projections'!$A$4:$EO$14,((MONTH($A25)-1)*12)+VLOOKUP(BW$4,$DE$6:$DF$17,2)+1))*$D25</f>
        <v>-389.79644927521667</v>
      </c>
      <c r="BX25" s="1021">
        <f>(VLOOKUP(YEAR($A25),'NY East Load Projections'!$A$4:$EO$14,((MONTH($A25)-1)*12)+VLOOKUP(BX$4,$DE$6:$DF$17,2)+1))*$D25</f>
        <v>-389.79644927521667</v>
      </c>
      <c r="BY25" s="1021">
        <f>(VLOOKUP(YEAR($A25),'NY East Load Projections'!$A$4:$EO$14,((MONTH($A25)-1)*12)+VLOOKUP(BY$4,$DE$6:$DF$17,2)+1))*$D25</f>
        <v>-389.79644927521667</v>
      </c>
      <c r="BZ25" s="1021">
        <f>(VLOOKUP(YEAR($A25),'NY East Load Projections'!$A$4:$EO$14,((MONTH($A25)-1)*12)+VLOOKUP(BZ$4,$DE$6:$DF$17,2)+1))*$D25</f>
        <v>-375.0075548819064</v>
      </c>
      <c r="CA25" s="1021">
        <f>(VLOOKUP(YEAR($A25),'NY East Load Projections'!$A$4:$EO$14,((MONTH($A25)-1)*12)+VLOOKUP(CA$4,$DE$6:$DF$17,2)+1))*$D25</f>
        <v>-375.0075548819064</v>
      </c>
      <c r="CB25" s="1021">
        <f>(VLOOKUP(YEAR($A25),'NY East Load Projections'!$A$4:$EO$14,((MONTH($A25)-1)*12)+VLOOKUP(CB$4,$DE$6:$DF$17,2)+1))*$D25</f>
        <v>-375.0075548819064</v>
      </c>
      <c r="CC25" s="1021">
        <f>(VLOOKUP(YEAR($A25),'NY East Load Projections'!$A$4:$EO$14,((MONTH($A25)-1)*12)+VLOOKUP(CC$4,$DE$6:$DF$17,2)+1))*$D25</f>
        <v>-375.0075548819064</v>
      </c>
      <c r="CE25" s="1021">
        <f>(VLOOKUP(YEAR($A25),'NY East Load Projections'!$A$4:$EO$14,((MONTH($A25)-1)*12)+VLOOKUP(CE$4,$DE$6:$DF$17,2)+1))*$E25</f>
        <v>0</v>
      </c>
      <c r="CF25" s="1021">
        <f>(VLOOKUP(YEAR($A25),'NY East Load Projections'!$A$4:$EO$14,((MONTH($A25)-1)*12)+VLOOKUP(CF$4,$DE$6:$DF$17,2)+1))*$E25</f>
        <v>0</v>
      </c>
      <c r="CG25" s="1021">
        <f>(VLOOKUP(YEAR($A25),'NY East Load Projections'!$A$4:$EO$14,((MONTH($A25)-1)*12)+VLOOKUP(CG$4,$DE$6:$DF$17,2)+1))*$E25</f>
        <v>0</v>
      </c>
      <c r="CH25" s="1021">
        <f>(VLOOKUP(YEAR($A25),'NY East Load Projections'!$A$4:$EO$14,((MONTH($A25)-1)*12)+VLOOKUP(CH$4,$DE$6:$DF$17,2)+1))*$E25</f>
        <v>0</v>
      </c>
      <c r="CI25" s="1021">
        <f>(VLOOKUP(YEAR($A25),'NY East Load Projections'!$A$4:$EO$14,((MONTH($A25)-1)*12)+VLOOKUP(CI$4,$DE$6:$DF$17,2)+1))*$E25</f>
        <v>0</v>
      </c>
      <c r="CJ25" s="1021">
        <f>(VLOOKUP(YEAR($A25),'NY East Load Projections'!$A$4:$EO$14,((MONTH($A25)-1)*12)+VLOOKUP(CJ$4,$DE$6:$DF$17,2)+1))*$E25</f>
        <v>0</v>
      </c>
      <c r="CK25" s="1021">
        <f>(VLOOKUP(YEAR($A25),'NY East Load Projections'!$A$4:$EO$14,((MONTH($A25)-1)*12)+VLOOKUP(CK$4,$DE$6:$DF$17,2)+1))*$E25</f>
        <v>0</v>
      </c>
      <c r="CL25" s="1021">
        <f>(VLOOKUP(YEAR($A25),'NY East Load Projections'!$A$4:$EO$14,((MONTH($A25)-1)*12)+VLOOKUP(CL$4,$DE$6:$DF$17,2)+1))*$E25</f>
        <v>0</v>
      </c>
      <c r="CM25" s="1021">
        <f>(VLOOKUP(YEAR($A25),'NY East Load Projections'!$A$4:$EO$14,((MONTH($A25)-1)*12)+VLOOKUP(CM$4,$DE$6:$DF$17,2)+1))*$E25</f>
        <v>0</v>
      </c>
      <c r="CN25" s="1021">
        <f>(VLOOKUP(YEAR($A25),'NY East Load Projections'!$A$4:$EO$14,((MONTH($A25)-1)*12)+VLOOKUP(CN$4,$DE$6:$DF$17,2)+1))*$E25</f>
        <v>0</v>
      </c>
      <c r="CO25" s="1021">
        <f>(VLOOKUP(YEAR($A25),'NY East Load Projections'!$A$4:$EO$14,((MONTH($A25)-1)*12)+VLOOKUP(CO$4,$DE$6:$DF$17,2)+1))*$E25</f>
        <v>0</v>
      </c>
      <c r="CP25" s="1021">
        <f>(VLOOKUP(YEAR($A25),'NY East Load Projections'!$A$4:$EO$14,((MONTH($A25)-1)*12)+VLOOKUP(CP$4,$DE$6:$DF$17,2)+1))*$E25</f>
        <v>0</v>
      </c>
      <c r="CQ25" s="1021">
        <f>(VLOOKUP(YEAR($A25),'NY East Load Projections'!$A$4:$EO$14,((MONTH($A25)-1)*12)+VLOOKUP(CQ$4,$DE$6:$DF$17,2)+1))*$E25</f>
        <v>0</v>
      </c>
      <c r="CR25" s="1021">
        <f>(VLOOKUP(YEAR($A25),'NY East Load Projections'!$A$4:$EO$14,((MONTH($A25)-1)*12)+VLOOKUP(CR$4,$DE$6:$DF$17,2)+1))*$E25</f>
        <v>0</v>
      </c>
      <c r="CS25" s="1021">
        <f>(VLOOKUP(YEAR($A25),'NY East Load Projections'!$A$4:$EO$14,((MONTH($A25)-1)*12)+VLOOKUP(CS$4,$DE$6:$DF$17,2)+1))*$E25</f>
        <v>0</v>
      </c>
      <c r="CT25" s="1021">
        <f>(VLOOKUP(YEAR($A25),'NY East Load Projections'!$A$4:$EO$14,((MONTH($A25)-1)*12)+VLOOKUP(CT$4,$DE$6:$DF$17,2)+1))*$E25</f>
        <v>0</v>
      </c>
      <c r="CU25" s="1021">
        <f>(VLOOKUP(YEAR($A25),'NY East Load Projections'!$A$4:$EO$14,((MONTH($A25)-1)*12)+VLOOKUP(CU$4,$DE$6:$DF$17,2)+1))*$E25</f>
        <v>0</v>
      </c>
      <c r="CV25" s="1021">
        <f>(VLOOKUP(YEAR($A25),'NY East Load Projections'!$A$4:$EO$14,((MONTH($A25)-1)*12)+VLOOKUP(CV$4,$DE$6:$DF$17,2)+1))*$E25</f>
        <v>0</v>
      </c>
      <c r="CW25" s="1021">
        <f>(VLOOKUP(YEAR($A25),'NY East Load Projections'!$A$4:$EO$14,((MONTH($A25)-1)*12)+VLOOKUP(CW$4,$DE$6:$DF$17,2)+1))*$E25</f>
        <v>0</v>
      </c>
      <c r="CX25" s="1021">
        <f>(VLOOKUP(YEAR($A25),'NY East Load Projections'!$A$4:$EO$14,((MONTH($A25)-1)*12)+VLOOKUP(CX$4,$DE$6:$DF$17,2)+1))*$E25</f>
        <v>0</v>
      </c>
      <c r="CY25" s="1021">
        <f>(VLOOKUP(YEAR($A25),'NY East Load Projections'!$A$4:$EO$14,((MONTH($A25)-1)*12)+VLOOKUP(CY$4,$DE$6:$DF$17,2)+1))*$E25</f>
        <v>0</v>
      </c>
      <c r="CZ25" s="1021">
        <f>(VLOOKUP(YEAR($A25),'NY East Load Projections'!$A$4:$EO$14,((MONTH($A25)-1)*12)+VLOOKUP(CZ$4,$DE$6:$DF$17,2)+1))*$E25</f>
        <v>0</v>
      </c>
      <c r="DA25" s="1021">
        <f>(VLOOKUP(YEAR($A25),'NY East Load Projections'!$A$4:$EO$14,((MONTH($A25)-1)*12)+VLOOKUP(DA$4,$DE$6:$DF$17,2)+1))*$E25</f>
        <v>0</v>
      </c>
      <c r="DB25" s="1021">
        <f>(VLOOKUP(YEAR($A25),'NY East Load Projections'!$A$4:$EO$14,((MONTH($A25)-1)*12)+VLOOKUP(DB$4,$DE$6:$DF$17,2)+1))*$E25</f>
        <v>0</v>
      </c>
      <c r="DH25" s="1009">
        <f t="shared" si="0"/>
        <v>-71509.001269168861</v>
      </c>
      <c r="DI25">
        <f ca="1">CALC!J45</f>
        <v>0.83623893173036756</v>
      </c>
      <c r="DJ25" s="1032">
        <f t="shared" ca="1" si="1"/>
        <v>-59798.610830435267</v>
      </c>
    </row>
    <row r="26" spans="1:114" x14ac:dyDescent="0.25">
      <c r="A26" s="244">
        <v>37500</v>
      </c>
      <c r="B26" s="13">
        <v>20</v>
      </c>
      <c r="C26" s="210">
        <v>4</v>
      </c>
      <c r="D26" s="210">
        <v>5</v>
      </c>
      <c r="E26" s="210">
        <v>1</v>
      </c>
      <c r="F26" s="13">
        <v>30</v>
      </c>
      <c r="H26" s="1021">
        <f>(VLOOKUP(YEAR($A26),'NY East Load Projections'!$A$4:$EO$14,((MONTH($A26)-1)*12)+VLOOKUP(H$4,$DE$6:$DF$17,2)+1))*$B26</f>
        <v>-1813.2262528331644</v>
      </c>
      <c r="I26" s="1021">
        <f>(VLOOKUP(YEAR($A26),'NY East Load Projections'!$A$4:$EO$14,((MONTH($A26)-1)*12)+VLOOKUP(I$4,$DE$6:$DF$17,2)+1))*$B26</f>
        <v>-1813.2262528331644</v>
      </c>
      <c r="J26" s="1021">
        <f>(VLOOKUP(YEAR($A26),'NY East Load Projections'!$A$4:$EO$14,((MONTH($A26)-1)*12)+VLOOKUP(J$4,$DE$6:$DF$17,2)+1))*$B26</f>
        <v>-1813.2262528331644</v>
      </c>
      <c r="K26" s="1021">
        <f>(VLOOKUP(YEAR($A26),'NY East Load Projections'!$A$4:$EO$14,((MONTH($A26)-1)*12)+VLOOKUP(K$4,$DE$6:$DF$17,2)+1))*$B26</f>
        <v>-1813.2262528331644</v>
      </c>
      <c r="L26" s="1021">
        <f>(VLOOKUP(YEAR($A26),'NY East Load Projections'!$A$4:$EO$14,((MONTH($A26)-1)*12)+VLOOKUP(L$4,$DE$6:$DF$17,2)+1))*$B26</f>
        <v>-1884.5291390463271</v>
      </c>
      <c r="M26" s="1021">
        <f>(VLOOKUP(YEAR($A26),'NY East Load Projections'!$A$4:$EO$14,((MONTH($A26)-1)*12)+VLOOKUP(M$4,$DE$6:$DF$17,2)+1))*$B26</f>
        <v>-1884.5291390463271</v>
      </c>
      <c r="N26" s="1021">
        <f>(VLOOKUP(YEAR($A26),'NY East Load Projections'!$A$4:$EO$14,((MONTH($A26)-1)*12)+VLOOKUP(N$4,$DE$6:$DF$17,2)+1))*$B26</f>
        <v>-1884.5291390463271</v>
      </c>
      <c r="O26" s="1021">
        <f>(VLOOKUP(YEAR($A26),'NY East Load Projections'!$A$4:$EO$14,((MONTH($A26)-1)*12)+VLOOKUP(O$4,$DE$6:$DF$17,2)+1))*$B26</f>
        <v>-1884.5291390463271</v>
      </c>
      <c r="P26" s="1021">
        <f>(VLOOKUP(YEAR($A26),'NY East Load Projections'!$A$4:$EO$14,((MONTH($A26)-1)*12)+VLOOKUP(P$4,$DE$6:$DF$17,2)+1))*$B26</f>
        <v>-1996.5722201048188</v>
      </c>
      <c r="Q26" s="1021">
        <f>(VLOOKUP(YEAR($A26),'NY East Load Projections'!$A$4:$EO$14,((MONTH($A26)-1)*12)+VLOOKUP(Q$4,$DE$6:$DF$17,2)+1))*$B26</f>
        <v>-1996.5722201048188</v>
      </c>
      <c r="R26" s="1021">
        <f>(VLOOKUP(YEAR($A26),'NY East Load Projections'!$A$4:$EO$14,((MONTH($A26)-1)*12)+VLOOKUP(R$4,$DE$6:$DF$17,2)+1))*$B26</f>
        <v>-1996.5722201048188</v>
      </c>
      <c r="S26" s="1021">
        <f>(VLOOKUP(YEAR($A26),'NY East Load Projections'!$A$4:$EO$14,((MONTH($A26)-1)*12)+VLOOKUP(S$4,$DE$6:$DF$17,2)+1))*$B26</f>
        <v>-1996.5722201048188</v>
      </c>
      <c r="T26" s="1021">
        <f>(VLOOKUP(YEAR($A26),'NY East Load Projections'!$A$4:$EO$14,((MONTH($A26)-1)*12)+VLOOKUP(T$4,$DE$6:$DF$17,2)+1))*$B26</f>
        <v>-2013.7630566625876</v>
      </c>
      <c r="U26" s="1021">
        <f>(VLOOKUP(YEAR($A26),'NY East Load Projections'!$A$4:$EO$14,((MONTH($A26)-1)*12)+VLOOKUP(U$4,$DE$6:$DF$17,2)+1))*$B26</f>
        <v>-2013.7630566625876</v>
      </c>
      <c r="V26" s="1021">
        <f>(VLOOKUP(YEAR($A26),'NY East Load Projections'!$A$4:$EO$14,((MONTH($A26)-1)*12)+VLOOKUP(V$4,$DE$6:$DF$17,2)+1))*$B26</f>
        <v>-2013.7630566625876</v>
      </c>
      <c r="W26" s="1021">
        <f>(VLOOKUP(YEAR($A26),'NY East Load Projections'!$A$4:$EO$14,((MONTH($A26)-1)*12)+VLOOKUP(W$4,$DE$6:$DF$17,2)+1))*$B26</f>
        <v>-2013.7630566625876</v>
      </c>
      <c r="X26" s="1021">
        <f>(VLOOKUP(YEAR($A26),'NY East Load Projections'!$A$4:$EO$14,((MONTH($A26)-1)*12)+VLOOKUP(X$4,$DE$6:$DF$17,2)+1))*$B26</f>
        <v>-1941.4019947730028</v>
      </c>
      <c r="Y26" s="1021">
        <f>(VLOOKUP(YEAR($A26),'NY East Load Projections'!$A$4:$EO$14,((MONTH($A26)-1)*12)+VLOOKUP(Y$4,$DE$6:$DF$17,2)+1))*$B26</f>
        <v>-1941.4019947730028</v>
      </c>
      <c r="Z26" s="1021">
        <f>(VLOOKUP(YEAR($A26),'NY East Load Projections'!$A$4:$EO$14,((MONTH($A26)-1)*12)+VLOOKUP(Z$4,$DE$6:$DF$17,2)+1))*$B26</f>
        <v>-1941.4019947730028</v>
      </c>
      <c r="AA26" s="1021">
        <f>(VLOOKUP(YEAR($A26),'NY East Load Projections'!$A$4:$EO$14,((MONTH($A26)-1)*12)+VLOOKUP(AA$4,$DE$6:$DF$17,2)+1))*$B26</f>
        <v>-1941.4019947730028</v>
      </c>
      <c r="AB26" s="1021">
        <f>(VLOOKUP(YEAR($A26),'NY East Load Projections'!$A$4:$EO$14,((MONTH($A26)-1)*12)+VLOOKUP(AB$4,$DE$6:$DF$17,2)+1))*$B26</f>
        <v>-1843.8230089638669</v>
      </c>
      <c r="AC26" s="1021">
        <f>(VLOOKUP(YEAR($A26),'NY East Load Projections'!$A$4:$EO$14,((MONTH($A26)-1)*12)+VLOOKUP(AC$4,$DE$6:$DF$17,2)+1))*$B26</f>
        <v>-1843.8230089638669</v>
      </c>
      <c r="AD26" s="1021">
        <f>(VLOOKUP(YEAR($A26),'NY East Load Projections'!$A$4:$EO$14,((MONTH($A26)-1)*12)+VLOOKUP(AD$4,$DE$6:$DF$17,2)+1))*$B26</f>
        <v>-1843.8230089638669</v>
      </c>
      <c r="AE26" s="1021">
        <f>(VLOOKUP(YEAR($A26),'NY East Load Projections'!$A$4:$EO$14,((MONTH($A26)-1)*12)+VLOOKUP(AE$4,$DE$6:$DF$17,2)+1))*$B26</f>
        <v>-1843.8230089638669</v>
      </c>
      <c r="AF26" s="1021"/>
      <c r="AG26" s="1021">
        <f>(VLOOKUP(YEAR($A26),'NY East Load Projections'!$A$4:$EO$14,((MONTH($A26)-1)*12)+VLOOKUP(AG$4,$DE$6:$DF$17,2)+1))*$C26</f>
        <v>-372.3116887671581</v>
      </c>
      <c r="AH26" s="1021">
        <f>(VLOOKUP(YEAR($A26),'NY East Load Projections'!$A$4:$EO$14,((MONTH($A26)-1)*12)+VLOOKUP(AH$4,$DE$6:$DF$17,2)+1))*$C26</f>
        <v>-372.3116887671581</v>
      </c>
      <c r="AI26" s="1021">
        <f>(VLOOKUP(YEAR($A26),'NY East Load Projections'!$A$4:$EO$14,((MONTH($A26)-1)*12)+VLOOKUP(AI$4,$DE$6:$DF$17,2)+1))*$C26</f>
        <v>-372.3116887671581</v>
      </c>
      <c r="AJ26" s="1021">
        <f>(VLOOKUP(YEAR($A26),'NY East Load Projections'!$A$4:$EO$14,((MONTH($A26)-1)*12)+VLOOKUP(AJ$4,$DE$6:$DF$17,2)+1))*$C26</f>
        <v>-372.3116887671581</v>
      </c>
      <c r="AK26" s="1021">
        <f>(VLOOKUP(YEAR($A26),'NY East Load Projections'!$A$4:$EO$14,((MONTH($A26)-1)*12)+VLOOKUP(AK$4,$DE$6:$DF$17,2)+1))*$C26</f>
        <v>-375.83940563507537</v>
      </c>
      <c r="AL26" s="1021">
        <f>(VLOOKUP(YEAR($A26),'NY East Load Projections'!$A$4:$EO$14,((MONTH($A26)-1)*12)+VLOOKUP(AL$4,$DE$6:$DF$17,2)+1))*$C26</f>
        <v>-375.83940563507537</v>
      </c>
      <c r="AM26" s="1021">
        <f>(VLOOKUP(YEAR($A26),'NY East Load Projections'!$A$4:$EO$14,((MONTH($A26)-1)*12)+VLOOKUP(AM$4,$DE$6:$DF$17,2)+1))*$C26</f>
        <v>-375.83940563507537</v>
      </c>
      <c r="AN26" s="1021">
        <f>(VLOOKUP(YEAR($A26),'NY East Load Projections'!$A$4:$EO$14,((MONTH($A26)-1)*12)+VLOOKUP(AN$4,$DE$6:$DF$17,2)+1))*$C26</f>
        <v>-375.83940563507537</v>
      </c>
      <c r="AO26" s="1021">
        <f>(VLOOKUP(YEAR($A26),'NY East Load Projections'!$A$4:$EO$14,((MONTH($A26)-1)*12)+VLOOKUP(AO$4,$DE$6:$DF$17,2)+1))*$C26</f>
        <v>-409.88387117860395</v>
      </c>
      <c r="AP26" s="1021">
        <f>(VLOOKUP(YEAR($A26),'NY East Load Projections'!$A$4:$EO$14,((MONTH($A26)-1)*12)+VLOOKUP(AP$4,$DE$6:$DF$17,2)+1))*$C26</f>
        <v>-409.88387117860395</v>
      </c>
      <c r="AQ26" s="1021">
        <f>(VLOOKUP(YEAR($A26),'NY East Load Projections'!$A$4:$EO$14,((MONTH($A26)-1)*12)+VLOOKUP(AQ$4,$DE$6:$DF$17,2)+1))*$C26</f>
        <v>-409.88387117860395</v>
      </c>
      <c r="AR26" s="1021">
        <f>(VLOOKUP(YEAR($A26),'NY East Load Projections'!$A$4:$EO$14,((MONTH($A26)-1)*12)+VLOOKUP(AR$4,$DE$6:$DF$17,2)+1))*$C26</f>
        <v>-409.88387117860395</v>
      </c>
      <c r="AS26" s="1021">
        <f>(VLOOKUP(YEAR($A26),'NY East Load Projections'!$A$4:$EO$14,((MONTH($A26)-1)*12)+VLOOKUP(AS$4,$DE$6:$DF$17,2)+1))*$C26</f>
        <v>-414.77533793177491</v>
      </c>
      <c r="AT26" s="1021">
        <f>(VLOOKUP(YEAR($A26),'NY East Load Projections'!$A$4:$EO$14,((MONTH($A26)-1)*12)+VLOOKUP(AT$4,$DE$6:$DF$17,2)+1))*$C26</f>
        <v>-414.77533793177491</v>
      </c>
      <c r="AU26" s="1021">
        <f>(VLOOKUP(YEAR($A26),'NY East Load Projections'!$A$4:$EO$14,((MONTH($A26)-1)*12)+VLOOKUP(AU$4,$DE$6:$DF$17,2)+1))*$C26</f>
        <v>-414.77533793177491</v>
      </c>
      <c r="AV26" s="1021">
        <f>(VLOOKUP(YEAR($A26),'NY East Load Projections'!$A$4:$EO$14,((MONTH($A26)-1)*12)+VLOOKUP(AV$4,$DE$6:$DF$17,2)+1))*$C26</f>
        <v>-414.77533793177491</v>
      </c>
      <c r="AW26" s="1021">
        <f>(VLOOKUP(YEAR($A26),'NY East Load Projections'!$A$4:$EO$14,((MONTH($A26)-1)*12)+VLOOKUP(AW$4,$DE$6:$DF$17,2)+1))*$C26</f>
        <v>-398.72739494058453</v>
      </c>
      <c r="AX26" s="1021">
        <f>(VLOOKUP(YEAR($A26),'NY East Load Projections'!$A$4:$EO$14,((MONTH($A26)-1)*12)+VLOOKUP(AX$4,$DE$6:$DF$17,2)+1))*$C26</f>
        <v>-398.72739494058453</v>
      </c>
      <c r="AY26" s="1021">
        <f>(VLOOKUP(YEAR($A26),'NY East Load Projections'!$A$4:$EO$14,((MONTH($A26)-1)*12)+VLOOKUP(AY$4,$DE$6:$DF$17,2)+1))*$C26</f>
        <v>-398.72739494058453</v>
      </c>
      <c r="AZ26" s="1021">
        <f>(VLOOKUP(YEAR($A26),'NY East Load Projections'!$A$4:$EO$14,((MONTH($A26)-1)*12)+VLOOKUP(AZ$4,$DE$6:$DF$17,2)+1))*$C26</f>
        <v>-398.72739494058453</v>
      </c>
      <c r="BA26" s="1021">
        <f>(VLOOKUP(YEAR($A26),'NY East Load Projections'!$A$4:$EO$14,((MONTH($A26)-1)*12)+VLOOKUP(BA$4,$DE$6:$DF$17,2)+1))*$C26</f>
        <v>-387.42938044909926</v>
      </c>
      <c r="BB26" s="1021">
        <f>(VLOOKUP(YEAR($A26),'NY East Load Projections'!$A$4:$EO$14,((MONTH($A26)-1)*12)+VLOOKUP(BB$4,$DE$6:$DF$17,2)+1))*$C26</f>
        <v>-387.42938044909926</v>
      </c>
      <c r="BC26" s="1021">
        <f>(VLOOKUP(YEAR($A26),'NY East Load Projections'!$A$4:$EO$14,((MONTH($A26)-1)*12)+VLOOKUP(BC$4,$DE$6:$DF$17,2)+1))*$C26</f>
        <v>-387.42938044909926</v>
      </c>
      <c r="BD26" s="1021">
        <f>(VLOOKUP(YEAR($A26),'NY East Load Projections'!$A$4:$EO$14,((MONTH($A26)-1)*12)+VLOOKUP(BD$4,$DE$6:$DF$17,2)+1))*$C26</f>
        <v>-387.42938044909926</v>
      </c>
      <c r="BE26" s="1021"/>
      <c r="BF26" s="1021">
        <f>(VLOOKUP(YEAR($A26),'NY East Load Projections'!$A$4:$EO$14,((MONTH($A26)-1)*12)+VLOOKUP(BF$4,$DE$6:$DF$17,2)+1))*$D26</f>
        <v>-465.38961095894763</v>
      </c>
      <c r="BG26" s="1021">
        <f>(VLOOKUP(YEAR($A26),'NY East Load Projections'!$A$4:$EO$14,((MONTH($A26)-1)*12)+VLOOKUP(BG$4,$DE$6:$DF$17,2)+1))*$D26</f>
        <v>-465.38961095894763</v>
      </c>
      <c r="BH26" s="1021">
        <f>(VLOOKUP(YEAR($A26),'NY East Load Projections'!$A$4:$EO$14,((MONTH($A26)-1)*12)+VLOOKUP(BH$4,$DE$6:$DF$17,2)+1))*$D26</f>
        <v>-465.38961095894763</v>
      </c>
      <c r="BI26" s="1021">
        <f>(VLOOKUP(YEAR($A26),'NY East Load Projections'!$A$4:$EO$14,((MONTH($A26)-1)*12)+VLOOKUP(BI$4,$DE$6:$DF$17,2)+1))*$D26</f>
        <v>-465.38961095894763</v>
      </c>
      <c r="BJ26" s="1021">
        <f>(VLOOKUP(YEAR($A26),'NY East Load Projections'!$A$4:$EO$14,((MONTH($A26)-1)*12)+VLOOKUP(BJ$4,$DE$6:$DF$17,2)+1))*$D26</f>
        <v>-469.79925704384419</v>
      </c>
      <c r="BK26" s="1021">
        <f>(VLOOKUP(YEAR($A26),'NY East Load Projections'!$A$4:$EO$14,((MONTH($A26)-1)*12)+VLOOKUP(BK$4,$DE$6:$DF$17,2)+1))*$D26</f>
        <v>-469.79925704384419</v>
      </c>
      <c r="BL26" s="1021">
        <f>(VLOOKUP(YEAR($A26),'NY East Load Projections'!$A$4:$EO$14,((MONTH($A26)-1)*12)+VLOOKUP(BL$4,$DE$6:$DF$17,2)+1))*$D26</f>
        <v>-469.79925704384419</v>
      </c>
      <c r="BM26" s="1021">
        <f>(VLOOKUP(YEAR($A26),'NY East Load Projections'!$A$4:$EO$14,((MONTH($A26)-1)*12)+VLOOKUP(BM$4,$DE$6:$DF$17,2)+1))*$D26</f>
        <v>-469.79925704384419</v>
      </c>
      <c r="BN26" s="1021">
        <f>(VLOOKUP(YEAR($A26),'NY East Load Projections'!$A$4:$EO$14,((MONTH($A26)-1)*12)+VLOOKUP(BN$4,$DE$6:$DF$17,2)+1))*$D26</f>
        <v>-512.35483897325491</v>
      </c>
      <c r="BO26" s="1021">
        <f>(VLOOKUP(YEAR($A26),'NY East Load Projections'!$A$4:$EO$14,((MONTH($A26)-1)*12)+VLOOKUP(BO$4,$DE$6:$DF$17,2)+1))*$D26</f>
        <v>-512.35483897325491</v>
      </c>
      <c r="BP26" s="1021">
        <f>(VLOOKUP(YEAR($A26),'NY East Load Projections'!$A$4:$EO$14,((MONTH($A26)-1)*12)+VLOOKUP(BP$4,$DE$6:$DF$17,2)+1))*$D26</f>
        <v>-512.35483897325491</v>
      </c>
      <c r="BQ26" s="1021">
        <f>(VLOOKUP(YEAR($A26),'NY East Load Projections'!$A$4:$EO$14,((MONTH($A26)-1)*12)+VLOOKUP(BQ$4,$DE$6:$DF$17,2)+1))*$D26</f>
        <v>-512.35483897325491</v>
      </c>
      <c r="BR26" s="1021">
        <f>(VLOOKUP(YEAR($A26),'NY East Load Projections'!$A$4:$EO$14,((MONTH($A26)-1)*12)+VLOOKUP(BR$4,$DE$6:$DF$17,2)+1))*$D26</f>
        <v>-518.46917241471863</v>
      </c>
      <c r="BS26" s="1021">
        <f>(VLOOKUP(YEAR($A26),'NY East Load Projections'!$A$4:$EO$14,((MONTH($A26)-1)*12)+VLOOKUP(BS$4,$DE$6:$DF$17,2)+1))*$D26</f>
        <v>-518.46917241471863</v>
      </c>
      <c r="BT26" s="1021">
        <f>(VLOOKUP(YEAR($A26),'NY East Load Projections'!$A$4:$EO$14,((MONTH($A26)-1)*12)+VLOOKUP(BT$4,$DE$6:$DF$17,2)+1))*$D26</f>
        <v>-518.46917241471863</v>
      </c>
      <c r="BU26" s="1021">
        <f>(VLOOKUP(YEAR($A26),'NY East Load Projections'!$A$4:$EO$14,((MONTH($A26)-1)*12)+VLOOKUP(BU$4,$DE$6:$DF$17,2)+1))*$D26</f>
        <v>-518.46917241471863</v>
      </c>
      <c r="BV26" s="1021">
        <f>(VLOOKUP(YEAR($A26),'NY East Load Projections'!$A$4:$EO$14,((MONTH($A26)-1)*12)+VLOOKUP(BV$4,$DE$6:$DF$17,2)+1))*$D26</f>
        <v>-498.40924367573064</v>
      </c>
      <c r="BW26" s="1021">
        <f>(VLOOKUP(YEAR($A26),'NY East Load Projections'!$A$4:$EO$14,((MONTH($A26)-1)*12)+VLOOKUP(BW$4,$DE$6:$DF$17,2)+1))*$D26</f>
        <v>-498.40924367573064</v>
      </c>
      <c r="BX26" s="1021">
        <f>(VLOOKUP(YEAR($A26),'NY East Load Projections'!$A$4:$EO$14,((MONTH($A26)-1)*12)+VLOOKUP(BX$4,$DE$6:$DF$17,2)+1))*$D26</f>
        <v>-498.40924367573064</v>
      </c>
      <c r="BY26" s="1021">
        <f>(VLOOKUP(YEAR($A26),'NY East Load Projections'!$A$4:$EO$14,((MONTH($A26)-1)*12)+VLOOKUP(BY$4,$DE$6:$DF$17,2)+1))*$D26</f>
        <v>-498.40924367573064</v>
      </c>
      <c r="BZ26" s="1021">
        <f>(VLOOKUP(YEAR($A26),'NY East Load Projections'!$A$4:$EO$14,((MONTH($A26)-1)*12)+VLOOKUP(BZ$4,$DE$6:$DF$17,2)+1))*$D26</f>
        <v>-484.28672556137406</v>
      </c>
      <c r="CA26" s="1021">
        <f>(VLOOKUP(YEAR($A26),'NY East Load Projections'!$A$4:$EO$14,((MONTH($A26)-1)*12)+VLOOKUP(CA$4,$DE$6:$DF$17,2)+1))*$D26</f>
        <v>-484.28672556137406</v>
      </c>
      <c r="CB26" s="1021">
        <f>(VLOOKUP(YEAR($A26),'NY East Load Projections'!$A$4:$EO$14,((MONTH($A26)-1)*12)+VLOOKUP(CB$4,$DE$6:$DF$17,2)+1))*$D26</f>
        <v>-484.28672556137406</v>
      </c>
      <c r="CC26" s="1021">
        <f>(VLOOKUP(YEAR($A26),'NY East Load Projections'!$A$4:$EO$14,((MONTH($A26)-1)*12)+VLOOKUP(CC$4,$DE$6:$DF$17,2)+1))*$D26</f>
        <v>-484.28672556137406</v>
      </c>
      <c r="CE26" s="1021">
        <f>(VLOOKUP(YEAR($A26),'NY East Load Projections'!$A$4:$EO$14,((MONTH($A26)-1)*12)+VLOOKUP(CE$4,$DE$6:$DF$17,2)+1))*$E26</f>
        <v>-93.077922191789526</v>
      </c>
      <c r="CF26" s="1021">
        <f>(VLOOKUP(YEAR($A26),'NY East Load Projections'!$A$4:$EO$14,((MONTH($A26)-1)*12)+VLOOKUP(CF$4,$DE$6:$DF$17,2)+1))*$E26</f>
        <v>-93.077922191789526</v>
      </c>
      <c r="CG26" s="1021">
        <f>(VLOOKUP(YEAR($A26),'NY East Load Projections'!$A$4:$EO$14,((MONTH($A26)-1)*12)+VLOOKUP(CG$4,$DE$6:$DF$17,2)+1))*$E26</f>
        <v>-93.077922191789526</v>
      </c>
      <c r="CH26" s="1021">
        <f>(VLOOKUP(YEAR($A26),'NY East Load Projections'!$A$4:$EO$14,((MONTH($A26)-1)*12)+VLOOKUP(CH$4,$DE$6:$DF$17,2)+1))*$E26</f>
        <v>-93.077922191789526</v>
      </c>
      <c r="CI26" s="1021">
        <f>(VLOOKUP(YEAR($A26),'NY East Load Projections'!$A$4:$EO$14,((MONTH($A26)-1)*12)+VLOOKUP(CI$4,$DE$6:$DF$17,2)+1))*$E26</f>
        <v>-93.959851408768841</v>
      </c>
      <c r="CJ26" s="1021">
        <f>(VLOOKUP(YEAR($A26),'NY East Load Projections'!$A$4:$EO$14,((MONTH($A26)-1)*12)+VLOOKUP(CJ$4,$DE$6:$DF$17,2)+1))*$E26</f>
        <v>-93.959851408768841</v>
      </c>
      <c r="CK26" s="1021">
        <f>(VLOOKUP(YEAR($A26),'NY East Load Projections'!$A$4:$EO$14,((MONTH($A26)-1)*12)+VLOOKUP(CK$4,$DE$6:$DF$17,2)+1))*$E26</f>
        <v>-93.959851408768841</v>
      </c>
      <c r="CL26" s="1021">
        <f>(VLOOKUP(YEAR($A26),'NY East Load Projections'!$A$4:$EO$14,((MONTH($A26)-1)*12)+VLOOKUP(CL$4,$DE$6:$DF$17,2)+1))*$E26</f>
        <v>-93.959851408768841</v>
      </c>
      <c r="CM26" s="1021">
        <f>(VLOOKUP(YEAR($A26),'NY East Load Projections'!$A$4:$EO$14,((MONTH($A26)-1)*12)+VLOOKUP(CM$4,$DE$6:$DF$17,2)+1))*$E26</f>
        <v>-102.47096779465099</v>
      </c>
      <c r="CN26" s="1021">
        <f>(VLOOKUP(YEAR($A26),'NY East Load Projections'!$A$4:$EO$14,((MONTH($A26)-1)*12)+VLOOKUP(CN$4,$DE$6:$DF$17,2)+1))*$E26</f>
        <v>-102.47096779465099</v>
      </c>
      <c r="CO26" s="1021">
        <f>(VLOOKUP(YEAR($A26),'NY East Load Projections'!$A$4:$EO$14,((MONTH($A26)-1)*12)+VLOOKUP(CO$4,$DE$6:$DF$17,2)+1))*$E26</f>
        <v>-102.47096779465099</v>
      </c>
      <c r="CP26" s="1021">
        <f>(VLOOKUP(YEAR($A26),'NY East Load Projections'!$A$4:$EO$14,((MONTH($A26)-1)*12)+VLOOKUP(CP$4,$DE$6:$DF$17,2)+1))*$E26</f>
        <v>-102.47096779465099</v>
      </c>
      <c r="CQ26" s="1021">
        <f>(VLOOKUP(YEAR($A26),'NY East Load Projections'!$A$4:$EO$14,((MONTH($A26)-1)*12)+VLOOKUP(CQ$4,$DE$6:$DF$17,2)+1))*$E26</f>
        <v>-103.69383448294373</v>
      </c>
      <c r="CR26" s="1021">
        <f>(VLOOKUP(YEAR($A26),'NY East Load Projections'!$A$4:$EO$14,((MONTH($A26)-1)*12)+VLOOKUP(CR$4,$DE$6:$DF$17,2)+1))*$E26</f>
        <v>-103.69383448294373</v>
      </c>
      <c r="CS26" s="1021">
        <f>(VLOOKUP(YEAR($A26),'NY East Load Projections'!$A$4:$EO$14,((MONTH($A26)-1)*12)+VLOOKUP(CS$4,$DE$6:$DF$17,2)+1))*$E26</f>
        <v>-103.69383448294373</v>
      </c>
      <c r="CT26" s="1021">
        <f>(VLOOKUP(YEAR($A26),'NY East Load Projections'!$A$4:$EO$14,((MONTH($A26)-1)*12)+VLOOKUP(CT$4,$DE$6:$DF$17,2)+1))*$E26</f>
        <v>-103.69383448294373</v>
      </c>
      <c r="CU26" s="1021">
        <f>(VLOOKUP(YEAR($A26),'NY East Load Projections'!$A$4:$EO$14,((MONTH($A26)-1)*12)+VLOOKUP(CU$4,$DE$6:$DF$17,2)+1))*$E26</f>
        <v>-99.681848735146133</v>
      </c>
      <c r="CV26" s="1021">
        <f>(VLOOKUP(YEAR($A26),'NY East Load Projections'!$A$4:$EO$14,((MONTH($A26)-1)*12)+VLOOKUP(CV$4,$DE$6:$DF$17,2)+1))*$E26</f>
        <v>-99.681848735146133</v>
      </c>
      <c r="CW26" s="1021">
        <f>(VLOOKUP(YEAR($A26),'NY East Load Projections'!$A$4:$EO$14,((MONTH($A26)-1)*12)+VLOOKUP(CW$4,$DE$6:$DF$17,2)+1))*$E26</f>
        <v>-99.681848735146133</v>
      </c>
      <c r="CX26" s="1021">
        <f>(VLOOKUP(YEAR($A26),'NY East Load Projections'!$A$4:$EO$14,((MONTH($A26)-1)*12)+VLOOKUP(CX$4,$DE$6:$DF$17,2)+1))*$E26</f>
        <v>-99.681848735146133</v>
      </c>
      <c r="CY26" s="1021">
        <f>(VLOOKUP(YEAR($A26),'NY East Load Projections'!$A$4:$EO$14,((MONTH($A26)-1)*12)+VLOOKUP(CY$4,$DE$6:$DF$17,2)+1))*$E26</f>
        <v>-96.857345112274814</v>
      </c>
      <c r="CZ26" s="1021">
        <f>(VLOOKUP(YEAR($A26),'NY East Load Projections'!$A$4:$EO$14,((MONTH($A26)-1)*12)+VLOOKUP(CZ$4,$DE$6:$DF$17,2)+1))*$E26</f>
        <v>-96.857345112274814</v>
      </c>
      <c r="DA26" s="1021">
        <f>(VLOOKUP(YEAR($A26),'NY East Load Projections'!$A$4:$EO$14,((MONTH($A26)-1)*12)+VLOOKUP(DA$4,$DE$6:$DF$17,2)+1))*$E26</f>
        <v>-96.857345112274814</v>
      </c>
      <c r="DB26" s="1021">
        <f>(VLOOKUP(YEAR($A26),'NY East Load Projections'!$A$4:$EO$14,((MONTH($A26)-1)*12)+VLOOKUP(DB$4,$DE$6:$DF$17,2)+1))*$E26</f>
        <v>-96.857345112274814</v>
      </c>
      <c r="DH26" s="1009">
        <f t="shared" si="0"/>
        <v>-69562.933478557985</v>
      </c>
      <c r="DI26">
        <f ca="1">CALC!J46</f>
        <v>0.8312009259670522</v>
      </c>
      <c r="DJ26" s="1032">
        <f t="shared" ca="1" si="1"/>
        <v>-57820.774720361849</v>
      </c>
    </row>
    <row r="27" spans="1:114" x14ac:dyDescent="0.25">
      <c r="A27" s="244">
        <v>37530</v>
      </c>
      <c r="B27" s="13">
        <v>23</v>
      </c>
      <c r="C27" s="210">
        <v>4</v>
      </c>
      <c r="D27" s="210">
        <v>4</v>
      </c>
      <c r="E27" s="210">
        <v>0</v>
      </c>
      <c r="F27" s="13">
        <v>31</v>
      </c>
      <c r="H27" s="1021">
        <f>(VLOOKUP(YEAR($A27),'NY East Load Projections'!$A$4:$EO$14,((MONTH($A27)-1)*12)+VLOOKUP(H$4,$DE$6:$DF$17,2)+1))*$B27</f>
        <v>-1982.8869212147727</v>
      </c>
      <c r="I27" s="1021">
        <f>(VLOOKUP(YEAR($A27),'NY East Load Projections'!$A$4:$EO$14,((MONTH($A27)-1)*12)+VLOOKUP(I$4,$DE$6:$DF$17,2)+1))*$B27</f>
        <v>-1982.8869212147727</v>
      </c>
      <c r="J27" s="1021">
        <f>(VLOOKUP(YEAR($A27),'NY East Load Projections'!$A$4:$EO$14,((MONTH($A27)-1)*12)+VLOOKUP(J$4,$DE$6:$DF$17,2)+1))*$B27</f>
        <v>-1982.8869212147727</v>
      </c>
      <c r="K27" s="1021">
        <f>(VLOOKUP(YEAR($A27),'NY East Load Projections'!$A$4:$EO$14,((MONTH($A27)-1)*12)+VLOOKUP(K$4,$DE$6:$DF$17,2)+1))*$B27</f>
        <v>-1982.8869212147727</v>
      </c>
      <c r="L27" s="1021">
        <f>(VLOOKUP(YEAR($A27),'NY East Load Projections'!$A$4:$EO$14,((MONTH($A27)-1)*12)+VLOOKUP(L$4,$DE$6:$DF$17,2)+1))*$B27</f>
        <v>-2113.3276681543402</v>
      </c>
      <c r="M27" s="1021">
        <f>(VLOOKUP(YEAR($A27),'NY East Load Projections'!$A$4:$EO$14,((MONTH($A27)-1)*12)+VLOOKUP(M$4,$DE$6:$DF$17,2)+1))*$B27</f>
        <v>-2113.3276681543402</v>
      </c>
      <c r="N27" s="1021">
        <f>(VLOOKUP(YEAR($A27),'NY East Load Projections'!$A$4:$EO$14,((MONTH($A27)-1)*12)+VLOOKUP(N$4,$DE$6:$DF$17,2)+1))*$B27</f>
        <v>-2113.3276681543402</v>
      </c>
      <c r="O27" s="1021">
        <f>(VLOOKUP(YEAR($A27),'NY East Load Projections'!$A$4:$EO$14,((MONTH($A27)-1)*12)+VLOOKUP(O$4,$DE$6:$DF$17,2)+1))*$B27</f>
        <v>-2113.3276681543402</v>
      </c>
      <c r="P27" s="1021">
        <f>(VLOOKUP(YEAR($A27),'NY East Load Projections'!$A$4:$EO$14,((MONTH($A27)-1)*12)+VLOOKUP(P$4,$DE$6:$DF$17,2)+1))*$B27</f>
        <v>-2231.4756247424511</v>
      </c>
      <c r="Q27" s="1021">
        <f>(VLOOKUP(YEAR($A27),'NY East Load Projections'!$A$4:$EO$14,((MONTH($A27)-1)*12)+VLOOKUP(Q$4,$DE$6:$DF$17,2)+1))*$B27</f>
        <v>-2231.4756247424511</v>
      </c>
      <c r="R27" s="1021">
        <f>(VLOOKUP(YEAR($A27),'NY East Load Projections'!$A$4:$EO$14,((MONTH($A27)-1)*12)+VLOOKUP(R$4,$DE$6:$DF$17,2)+1))*$B27</f>
        <v>-2231.4756247424511</v>
      </c>
      <c r="S27" s="1021">
        <f>(VLOOKUP(YEAR($A27),'NY East Load Projections'!$A$4:$EO$14,((MONTH($A27)-1)*12)+VLOOKUP(S$4,$DE$6:$DF$17,2)+1))*$B27</f>
        <v>-2231.4756247424511</v>
      </c>
      <c r="T27" s="1021">
        <f>(VLOOKUP(YEAR($A27),'NY East Load Projections'!$A$4:$EO$14,((MONTH($A27)-1)*12)+VLOOKUP(T$4,$DE$6:$DF$17,2)+1))*$B27</f>
        <v>-2248.4296968677904</v>
      </c>
      <c r="U27" s="1021">
        <f>(VLOOKUP(YEAR($A27),'NY East Load Projections'!$A$4:$EO$14,((MONTH($A27)-1)*12)+VLOOKUP(U$4,$DE$6:$DF$17,2)+1))*$B27</f>
        <v>-2248.4296968677904</v>
      </c>
      <c r="V27" s="1021">
        <f>(VLOOKUP(YEAR($A27),'NY East Load Projections'!$A$4:$EO$14,((MONTH($A27)-1)*12)+VLOOKUP(V$4,$DE$6:$DF$17,2)+1))*$B27</f>
        <v>-2248.4296968677904</v>
      </c>
      <c r="W27" s="1021">
        <f>(VLOOKUP(YEAR($A27),'NY East Load Projections'!$A$4:$EO$14,((MONTH($A27)-1)*12)+VLOOKUP(W$4,$DE$6:$DF$17,2)+1))*$B27</f>
        <v>-2248.4296968677904</v>
      </c>
      <c r="X27" s="1021">
        <f>(VLOOKUP(YEAR($A27),'NY East Load Projections'!$A$4:$EO$14,((MONTH($A27)-1)*12)+VLOOKUP(X$4,$DE$6:$DF$17,2)+1))*$B27</f>
        <v>-2153.9389326302617</v>
      </c>
      <c r="Y27" s="1021">
        <f>(VLOOKUP(YEAR($A27),'NY East Load Projections'!$A$4:$EO$14,((MONTH($A27)-1)*12)+VLOOKUP(Y$4,$DE$6:$DF$17,2)+1))*$B27</f>
        <v>-2153.9389326302617</v>
      </c>
      <c r="Z27" s="1021">
        <f>(VLOOKUP(YEAR($A27),'NY East Load Projections'!$A$4:$EO$14,((MONTH($A27)-1)*12)+VLOOKUP(Z$4,$DE$6:$DF$17,2)+1))*$B27</f>
        <v>-2153.9389326302617</v>
      </c>
      <c r="AA27" s="1021">
        <f>(VLOOKUP(YEAR($A27),'NY East Load Projections'!$A$4:$EO$14,((MONTH($A27)-1)*12)+VLOOKUP(AA$4,$DE$6:$DF$17,2)+1))*$B27</f>
        <v>-2153.9389326302617</v>
      </c>
      <c r="AB27" s="1021">
        <f>(VLOOKUP(YEAR($A27),'NY East Load Projections'!$A$4:$EO$14,((MONTH($A27)-1)*12)+VLOOKUP(AB$4,$DE$6:$DF$17,2)+1))*$B27</f>
        <v>-2031.3175000119058</v>
      </c>
      <c r="AC27" s="1021">
        <f>(VLOOKUP(YEAR($A27),'NY East Load Projections'!$A$4:$EO$14,((MONTH($A27)-1)*12)+VLOOKUP(AC$4,$DE$6:$DF$17,2)+1))*$B27</f>
        <v>-2031.3175000119058</v>
      </c>
      <c r="AD27" s="1021">
        <f>(VLOOKUP(YEAR($A27),'NY East Load Projections'!$A$4:$EO$14,((MONTH($A27)-1)*12)+VLOOKUP(AD$4,$DE$6:$DF$17,2)+1))*$B27</f>
        <v>-2031.3175000119058</v>
      </c>
      <c r="AE27" s="1021">
        <f>(VLOOKUP(YEAR($A27),'NY East Load Projections'!$A$4:$EO$14,((MONTH($A27)-1)*12)+VLOOKUP(AE$4,$DE$6:$DF$17,2)+1))*$B27</f>
        <v>-2031.3175000119058</v>
      </c>
      <c r="AF27" s="1021"/>
      <c r="AG27" s="1021">
        <f>(VLOOKUP(YEAR($A27),'NY East Load Projections'!$A$4:$EO$14,((MONTH($A27)-1)*12)+VLOOKUP(AG$4,$DE$6:$DF$17,2)+1))*$C27</f>
        <v>-372.39235204860796</v>
      </c>
      <c r="AH27" s="1021">
        <f>(VLOOKUP(YEAR($A27),'NY East Load Projections'!$A$4:$EO$14,((MONTH($A27)-1)*12)+VLOOKUP(AH$4,$DE$6:$DF$17,2)+1))*$C27</f>
        <v>-372.39235204860796</v>
      </c>
      <c r="AI27" s="1021">
        <f>(VLOOKUP(YEAR($A27),'NY East Load Projections'!$A$4:$EO$14,((MONTH($A27)-1)*12)+VLOOKUP(AI$4,$DE$6:$DF$17,2)+1))*$C27</f>
        <v>-372.39235204860796</v>
      </c>
      <c r="AJ27" s="1021">
        <f>(VLOOKUP(YEAR($A27),'NY East Load Projections'!$A$4:$EO$14,((MONTH($A27)-1)*12)+VLOOKUP(AJ$4,$DE$6:$DF$17,2)+1))*$C27</f>
        <v>-372.39235204860796</v>
      </c>
      <c r="AK27" s="1021">
        <f>(VLOOKUP(YEAR($A27),'NY East Load Projections'!$A$4:$EO$14,((MONTH($A27)-1)*12)+VLOOKUP(AK$4,$DE$6:$DF$17,2)+1))*$C27</f>
        <v>-378.42282858258784</v>
      </c>
      <c r="AL27" s="1021">
        <f>(VLOOKUP(YEAR($A27),'NY East Load Projections'!$A$4:$EO$14,((MONTH($A27)-1)*12)+VLOOKUP(AL$4,$DE$6:$DF$17,2)+1))*$C27</f>
        <v>-378.42282858258784</v>
      </c>
      <c r="AM27" s="1021">
        <f>(VLOOKUP(YEAR($A27),'NY East Load Projections'!$A$4:$EO$14,((MONTH($A27)-1)*12)+VLOOKUP(AM$4,$DE$6:$DF$17,2)+1))*$C27</f>
        <v>-378.42282858258784</v>
      </c>
      <c r="AN27" s="1021">
        <f>(VLOOKUP(YEAR($A27),'NY East Load Projections'!$A$4:$EO$14,((MONTH($A27)-1)*12)+VLOOKUP(AN$4,$DE$6:$DF$17,2)+1))*$C27</f>
        <v>-378.42282858258784</v>
      </c>
      <c r="AO27" s="1021">
        <f>(VLOOKUP(YEAR($A27),'NY East Load Projections'!$A$4:$EO$14,((MONTH($A27)-1)*12)+VLOOKUP(AO$4,$DE$6:$DF$17,2)+1))*$C27</f>
        <v>-417.66987422478104</v>
      </c>
      <c r="AP27" s="1021">
        <f>(VLOOKUP(YEAR($A27),'NY East Load Projections'!$A$4:$EO$14,((MONTH($A27)-1)*12)+VLOOKUP(AP$4,$DE$6:$DF$17,2)+1))*$C27</f>
        <v>-417.66987422478104</v>
      </c>
      <c r="AQ27" s="1021">
        <f>(VLOOKUP(YEAR($A27),'NY East Load Projections'!$A$4:$EO$14,((MONTH($A27)-1)*12)+VLOOKUP(AQ$4,$DE$6:$DF$17,2)+1))*$C27</f>
        <v>-417.66987422478104</v>
      </c>
      <c r="AR27" s="1021">
        <f>(VLOOKUP(YEAR($A27),'NY East Load Projections'!$A$4:$EO$14,((MONTH($A27)-1)*12)+VLOOKUP(AR$4,$DE$6:$DF$17,2)+1))*$C27</f>
        <v>-417.66987422478104</v>
      </c>
      <c r="AS27" s="1021">
        <f>(VLOOKUP(YEAR($A27),'NY East Load Projections'!$A$4:$EO$14,((MONTH($A27)-1)*12)+VLOOKUP(AS$4,$DE$6:$DF$17,2)+1))*$C27</f>
        <v>-415.57882256935909</v>
      </c>
      <c r="AT27" s="1021">
        <f>(VLOOKUP(YEAR($A27),'NY East Load Projections'!$A$4:$EO$14,((MONTH($A27)-1)*12)+VLOOKUP(AT$4,$DE$6:$DF$17,2)+1))*$C27</f>
        <v>-415.57882256935909</v>
      </c>
      <c r="AU27" s="1021">
        <f>(VLOOKUP(YEAR($A27),'NY East Load Projections'!$A$4:$EO$14,((MONTH($A27)-1)*12)+VLOOKUP(AU$4,$DE$6:$DF$17,2)+1))*$C27</f>
        <v>-415.57882256935909</v>
      </c>
      <c r="AV27" s="1021">
        <f>(VLOOKUP(YEAR($A27),'NY East Load Projections'!$A$4:$EO$14,((MONTH($A27)-1)*12)+VLOOKUP(AV$4,$DE$6:$DF$17,2)+1))*$C27</f>
        <v>-415.57882256935909</v>
      </c>
      <c r="AW27" s="1021">
        <f>(VLOOKUP(YEAR($A27),'NY East Load Projections'!$A$4:$EO$14,((MONTH($A27)-1)*12)+VLOOKUP(AW$4,$DE$6:$DF$17,2)+1))*$C27</f>
        <v>-390.8650377576941</v>
      </c>
      <c r="AX27" s="1021">
        <f>(VLOOKUP(YEAR($A27),'NY East Load Projections'!$A$4:$EO$14,((MONTH($A27)-1)*12)+VLOOKUP(AX$4,$DE$6:$DF$17,2)+1))*$C27</f>
        <v>-390.8650377576941</v>
      </c>
      <c r="AY27" s="1021">
        <f>(VLOOKUP(YEAR($A27),'NY East Load Projections'!$A$4:$EO$14,((MONTH($A27)-1)*12)+VLOOKUP(AY$4,$DE$6:$DF$17,2)+1))*$C27</f>
        <v>-390.8650377576941</v>
      </c>
      <c r="AZ27" s="1021">
        <f>(VLOOKUP(YEAR($A27),'NY East Load Projections'!$A$4:$EO$14,((MONTH($A27)-1)*12)+VLOOKUP(AZ$4,$DE$6:$DF$17,2)+1))*$C27</f>
        <v>-390.8650377576941</v>
      </c>
      <c r="BA27" s="1021">
        <f>(VLOOKUP(YEAR($A27),'NY East Load Projections'!$A$4:$EO$14,((MONTH($A27)-1)*12)+VLOOKUP(BA$4,$DE$6:$DF$17,2)+1))*$C27</f>
        <v>-380.23084374459103</v>
      </c>
      <c r="BB27" s="1021">
        <f>(VLOOKUP(YEAR($A27),'NY East Load Projections'!$A$4:$EO$14,((MONTH($A27)-1)*12)+VLOOKUP(BB$4,$DE$6:$DF$17,2)+1))*$C27</f>
        <v>-380.23084374459103</v>
      </c>
      <c r="BC27" s="1021">
        <f>(VLOOKUP(YEAR($A27),'NY East Load Projections'!$A$4:$EO$14,((MONTH($A27)-1)*12)+VLOOKUP(BC$4,$DE$6:$DF$17,2)+1))*$C27</f>
        <v>-380.23084374459103</v>
      </c>
      <c r="BD27" s="1021">
        <f>(VLOOKUP(YEAR($A27),'NY East Load Projections'!$A$4:$EO$14,((MONTH($A27)-1)*12)+VLOOKUP(BD$4,$DE$6:$DF$17,2)+1))*$C27</f>
        <v>-380.23084374459103</v>
      </c>
      <c r="BE27" s="1021"/>
      <c r="BF27" s="1021">
        <f>(VLOOKUP(YEAR($A27),'NY East Load Projections'!$A$4:$EO$14,((MONTH($A27)-1)*12)+VLOOKUP(BF$4,$DE$6:$DF$17,2)+1))*$D27</f>
        <v>-372.39235204860796</v>
      </c>
      <c r="BG27" s="1021">
        <f>(VLOOKUP(YEAR($A27),'NY East Load Projections'!$A$4:$EO$14,((MONTH($A27)-1)*12)+VLOOKUP(BG$4,$DE$6:$DF$17,2)+1))*$D27</f>
        <v>-372.39235204860796</v>
      </c>
      <c r="BH27" s="1021">
        <f>(VLOOKUP(YEAR($A27),'NY East Load Projections'!$A$4:$EO$14,((MONTH($A27)-1)*12)+VLOOKUP(BH$4,$DE$6:$DF$17,2)+1))*$D27</f>
        <v>-372.39235204860796</v>
      </c>
      <c r="BI27" s="1021">
        <f>(VLOOKUP(YEAR($A27),'NY East Load Projections'!$A$4:$EO$14,((MONTH($A27)-1)*12)+VLOOKUP(BI$4,$DE$6:$DF$17,2)+1))*$D27</f>
        <v>-372.39235204860796</v>
      </c>
      <c r="BJ27" s="1021">
        <f>(VLOOKUP(YEAR($A27),'NY East Load Projections'!$A$4:$EO$14,((MONTH($A27)-1)*12)+VLOOKUP(BJ$4,$DE$6:$DF$17,2)+1))*$D27</f>
        <v>-378.42282858258784</v>
      </c>
      <c r="BK27" s="1021">
        <f>(VLOOKUP(YEAR($A27),'NY East Load Projections'!$A$4:$EO$14,((MONTH($A27)-1)*12)+VLOOKUP(BK$4,$DE$6:$DF$17,2)+1))*$D27</f>
        <v>-378.42282858258784</v>
      </c>
      <c r="BL27" s="1021">
        <f>(VLOOKUP(YEAR($A27),'NY East Load Projections'!$A$4:$EO$14,((MONTH($A27)-1)*12)+VLOOKUP(BL$4,$DE$6:$DF$17,2)+1))*$D27</f>
        <v>-378.42282858258784</v>
      </c>
      <c r="BM27" s="1021">
        <f>(VLOOKUP(YEAR($A27),'NY East Load Projections'!$A$4:$EO$14,((MONTH($A27)-1)*12)+VLOOKUP(BM$4,$DE$6:$DF$17,2)+1))*$D27</f>
        <v>-378.42282858258784</v>
      </c>
      <c r="BN27" s="1021">
        <f>(VLOOKUP(YEAR($A27),'NY East Load Projections'!$A$4:$EO$14,((MONTH($A27)-1)*12)+VLOOKUP(BN$4,$DE$6:$DF$17,2)+1))*$D27</f>
        <v>-417.66987422478104</v>
      </c>
      <c r="BO27" s="1021">
        <f>(VLOOKUP(YEAR($A27),'NY East Load Projections'!$A$4:$EO$14,((MONTH($A27)-1)*12)+VLOOKUP(BO$4,$DE$6:$DF$17,2)+1))*$D27</f>
        <v>-417.66987422478104</v>
      </c>
      <c r="BP27" s="1021">
        <f>(VLOOKUP(YEAR($A27),'NY East Load Projections'!$A$4:$EO$14,((MONTH($A27)-1)*12)+VLOOKUP(BP$4,$DE$6:$DF$17,2)+1))*$D27</f>
        <v>-417.66987422478104</v>
      </c>
      <c r="BQ27" s="1021">
        <f>(VLOOKUP(YEAR($A27),'NY East Load Projections'!$A$4:$EO$14,((MONTH($A27)-1)*12)+VLOOKUP(BQ$4,$DE$6:$DF$17,2)+1))*$D27</f>
        <v>-417.66987422478104</v>
      </c>
      <c r="BR27" s="1021">
        <f>(VLOOKUP(YEAR($A27),'NY East Load Projections'!$A$4:$EO$14,((MONTH($A27)-1)*12)+VLOOKUP(BR$4,$DE$6:$DF$17,2)+1))*$D27</f>
        <v>-415.57882256935909</v>
      </c>
      <c r="BS27" s="1021">
        <f>(VLOOKUP(YEAR($A27),'NY East Load Projections'!$A$4:$EO$14,((MONTH($A27)-1)*12)+VLOOKUP(BS$4,$DE$6:$DF$17,2)+1))*$D27</f>
        <v>-415.57882256935909</v>
      </c>
      <c r="BT27" s="1021">
        <f>(VLOOKUP(YEAR($A27),'NY East Load Projections'!$A$4:$EO$14,((MONTH($A27)-1)*12)+VLOOKUP(BT$4,$DE$6:$DF$17,2)+1))*$D27</f>
        <v>-415.57882256935909</v>
      </c>
      <c r="BU27" s="1021">
        <f>(VLOOKUP(YEAR($A27),'NY East Load Projections'!$A$4:$EO$14,((MONTH($A27)-1)*12)+VLOOKUP(BU$4,$DE$6:$DF$17,2)+1))*$D27</f>
        <v>-415.57882256935909</v>
      </c>
      <c r="BV27" s="1021">
        <f>(VLOOKUP(YEAR($A27),'NY East Load Projections'!$A$4:$EO$14,((MONTH($A27)-1)*12)+VLOOKUP(BV$4,$DE$6:$DF$17,2)+1))*$D27</f>
        <v>-390.8650377576941</v>
      </c>
      <c r="BW27" s="1021">
        <f>(VLOOKUP(YEAR($A27),'NY East Load Projections'!$A$4:$EO$14,((MONTH($A27)-1)*12)+VLOOKUP(BW$4,$DE$6:$DF$17,2)+1))*$D27</f>
        <v>-390.8650377576941</v>
      </c>
      <c r="BX27" s="1021">
        <f>(VLOOKUP(YEAR($A27),'NY East Load Projections'!$A$4:$EO$14,((MONTH($A27)-1)*12)+VLOOKUP(BX$4,$DE$6:$DF$17,2)+1))*$D27</f>
        <v>-390.8650377576941</v>
      </c>
      <c r="BY27" s="1021">
        <f>(VLOOKUP(YEAR($A27),'NY East Load Projections'!$A$4:$EO$14,((MONTH($A27)-1)*12)+VLOOKUP(BY$4,$DE$6:$DF$17,2)+1))*$D27</f>
        <v>-390.8650377576941</v>
      </c>
      <c r="BZ27" s="1021">
        <f>(VLOOKUP(YEAR($A27),'NY East Load Projections'!$A$4:$EO$14,((MONTH($A27)-1)*12)+VLOOKUP(BZ$4,$DE$6:$DF$17,2)+1))*$D27</f>
        <v>-380.23084374459103</v>
      </c>
      <c r="CA27" s="1021">
        <f>(VLOOKUP(YEAR($A27),'NY East Load Projections'!$A$4:$EO$14,((MONTH($A27)-1)*12)+VLOOKUP(CA$4,$DE$6:$DF$17,2)+1))*$D27</f>
        <v>-380.23084374459103</v>
      </c>
      <c r="CB27" s="1021">
        <f>(VLOOKUP(YEAR($A27),'NY East Load Projections'!$A$4:$EO$14,((MONTH($A27)-1)*12)+VLOOKUP(CB$4,$DE$6:$DF$17,2)+1))*$D27</f>
        <v>-380.23084374459103</v>
      </c>
      <c r="CC27" s="1021">
        <f>(VLOOKUP(YEAR($A27),'NY East Load Projections'!$A$4:$EO$14,((MONTH($A27)-1)*12)+VLOOKUP(CC$4,$DE$6:$DF$17,2)+1))*$D27</f>
        <v>-380.23084374459103</v>
      </c>
      <c r="CE27" s="1021">
        <f>(VLOOKUP(YEAR($A27),'NY East Load Projections'!$A$4:$EO$14,((MONTH($A27)-1)*12)+VLOOKUP(CE$4,$DE$6:$DF$17,2)+1))*$E27</f>
        <v>0</v>
      </c>
      <c r="CF27" s="1021">
        <f>(VLOOKUP(YEAR($A27),'NY East Load Projections'!$A$4:$EO$14,((MONTH($A27)-1)*12)+VLOOKUP(CF$4,$DE$6:$DF$17,2)+1))*$E27</f>
        <v>0</v>
      </c>
      <c r="CG27" s="1021">
        <f>(VLOOKUP(YEAR($A27),'NY East Load Projections'!$A$4:$EO$14,((MONTH($A27)-1)*12)+VLOOKUP(CG$4,$DE$6:$DF$17,2)+1))*$E27</f>
        <v>0</v>
      </c>
      <c r="CH27" s="1021">
        <f>(VLOOKUP(YEAR($A27),'NY East Load Projections'!$A$4:$EO$14,((MONTH($A27)-1)*12)+VLOOKUP(CH$4,$DE$6:$DF$17,2)+1))*$E27</f>
        <v>0</v>
      </c>
      <c r="CI27" s="1021">
        <f>(VLOOKUP(YEAR($A27),'NY East Load Projections'!$A$4:$EO$14,((MONTH($A27)-1)*12)+VLOOKUP(CI$4,$DE$6:$DF$17,2)+1))*$E27</f>
        <v>0</v>
      </c>
      <c r="CJ27" s="1021">
        <f>(VLOOKUP(YEAR($A27),'NY East Load Projections'!$A$4:$EO$14,((MONTH($A27)-1)*12)+VLOOKUP(CJ$4,$DE$6:$DF$17,2)+1))*$E27</f>
        <v>0</v>
      </c>
      <c r="CK27" s="1021">
        <f>(VLOOKUP(YEAR($A27),'NY East Load Projections'!$A$4:$EO$14,((MONTH($A27)-1)*12)+VLOOKUP(CK$4,$DE$6:$DF$17,2)+1))*$E27</f>
        <v>0</v>
      </c>
      <c r="CL27" s="1021">
        <f>(VLOOKUP(YEAR($A27),'NY East Load Projections'!$A$4:$EO$14,((MONTH($A27)-1)*12)+VLOOKUP(CL$4,$DE$6:$DF$17,2)+1))*$E27</f>
        <v>0</v>
      </c>
      <c r="CM27" s="1021">
        <f>(VLOOKUP(YEAR($A27),'NY East Load Projections'!$A$4:$EO$14,((MONTH($A27)-1)*12)+VLOOKUP(CM$4,$DE$6:$DF$17,2)+1))*$E27</f>
        <v>0</v>
      </c>
      <c r="CN27" s="1021">
        <f>(VLOOKUP(YEAR($A27),'NY East Load Projections'!$A$4:$EO$14,((MONTH($A27)-1)*12)+VLOOKUP(CN$4,$DE$6:$DF$17,2)+1))*$E27</f>
        <v>0</v>
      </c>
      <c r="CO27" s="1021">
        <f>(VLOOKUP(YEAR($A27),'NY East Load Projections'!$A$4:$EO$14,((MONTH($A27)-1)*12)+VLOOKUP(CO$4,$DE$6:$DF$17,2)+1))*$E27</f>
        <v>0</v>
      </c>
      <c r="CP27" s="1021">
        <f>(VLOOKUP(YEAR($A27),'NY East Load Projections'!$A$4:$EO$14,((MONTH($A27)-1)*12)+VLOOKUP(CP$4,$DE$6:$DF$17,2)+1))*$E27</f>
        <v>0</v>
      </c>
      <c r="CQ27" s="1021">
        <f>(VLOOKUP(YEAR($A27),'NY East Load Projections'!$A$4:$EO$14,((MONTH($A27)-1)*12)+VLOOKUP(CQ$4,$DE$6:$DF$17,2)+1))*$E27</f>
        <v>0</v>
      </c>
      <c r="CR27" s="1021">
        <f>(VLOOKUP(YEAR($A27),'NY East Load Projections'!$A$4:$EO$14,((MONTH($A27)-1)*12)+VLOOKUP(CR$4,$DE$6:$DF$17,2)+1))*$E27</f>
        <v>0</v>
      </c>
      <c r="CS27" s="1021">
        <f>(VLOOKUP(YEAR($A27),'NY East Load Projections'!$A$4:$EO$14,((MONTH($A27)-1)*12)+VLOOKUP(CS$4,$DE$6:$DF$17,2)+1))*$E27</f>
        <v>0</v>
      </c>
      <c r="CT27" s="1021">
        <f>(VLOOKUP(YEAR($A27),'NY East Load Projections'!$A$4:$EO$14,((MONTH($A27)-1)*12)+VLOOKUP(CT$4,$DE$6:$DF$17,2)+1))*$E27</f>
        <v>0</v>
      </c>
      <c r="CU27" s="1021">
        <f>(VLOOKUP(YEAR($A27),'NY East Load Projections'!$A$4:$EO$14,((MONTH($A27)-1)*12)+VLOOKUP(CU$4,$DE$6:$DF$17,2)+1))*$E27</f>
        <v>0</v>
      </c>
      <c r="CV27" s="1021">
        <f>(VLOOKUP(YEAR($A27),'NY East Load Projections'!$A$4:$EO$14,((MONTH($A27)-1)*12)+VLOOKUP(CV$4,$DE$6:$DF$17,2)+1))*$E27</f>
        <v>0</v>
      </c>
      <c r="CW27" s="1021">
        <f>(VLOOKUP(YEAR($A27),'NY East Load Projections'!$A$4:$EO$14,((MONTH($A27)-1)*12)+VLOOKUP(CW$4,$DE$6:$DF$17,2)+1))*$E27</f>
        <v>0</v>
      </c>
      <c r="CX27" s="1021">
        <f>(VLOOKUP(YEAR($A27),'NY East Load Projections'!$A$4:$EO$14,((MONTH($A27)-1)*12)+VLOOKUP(CX$4,$DE$6:$DF$17,2)+1))*$E27</f>
        <v>0</v>
      </c>
      <c r="CY27" s="1021">
        <f>(VLOOKUP(YEAR($A27),'NY East Load Projections'!$A$4:$EO$14,((MONTH($A27)-1)*12)+VLOOKUP(CY$4,$DE$6:$DF$17,2)+1))*$E27</f>
        <v>0</v>
      </c>
      <c r="CZ27" s="1021">
        <f>(VLOOKUP(YEAR($A27),'NY East Load Projections'!$A$4:$EO$14,((MONTH($A27)-1)*12)+VLOOKUP(CZ$4,$DE$6:$DF$17,2)+1))*$E27</f>
        <v>0</v>
      </c>
      <c r="DA27" s="1021">
        <f>(VLOOKUP(YEAR($A27),'NY East Load Projections'!$A$4:$EO$14,((MONTH($A27)-1)*12)+VLOOKUP(DA$4,$DE$6:$DF$17,2)+1))*$E27</f>
        <v>0</v>
      </c>
      <c r="DB27" s="1021">
        <f>(VLOOKUP(YEAR($A27),'NY East Load Projections'!$A$4:$EO$14,((MONTH($A27)-1)*12)+VLOOKUP(DB$4,$DE$6:$DF$17,2)+1))*$E27</f>
        <v>0</v>
      </c>
      <c r="DH27" s="1009">
        <f t="shared" si="0"/>
        <v>-69886.783445907073</v>
      </c>
      <c r="DI27">
        <f ca="1">CALC!J47</f>
        <v>0.8260475313611404</v>
      </c>
      <c r="DJ27" s="1032">
        <f t="shared" ca="1" si="1"/>
        <v>-57729.804940262147</v>
      </c>
    </row>
    <row r="28" spans="1:114" x14ac:dyDescent="0.25">
      <c r="A28" s="244">
        <v>37561</v>
      </c>
      <c r="B28" s="13">
        <v>20</v>
      </c>
      <c r="C28" s="210">
        <v>5</v>
      </c>
      <c r="D28" s="210">
        <v>4</v>
      </c>
      <c r="E28" s="210">
        <v>1</v>
      </c>
      <c r="F28" s="13">
        <v>30</v>
      </c>
      <c r="H28" s="1021">
        <f>(VLOOKUP(YEAR($A28),'NY East Load Projections'!$A$4:$EO$14,((MONTH($A28)-1)*12)+VLOOKUP(H$4,$DE$6:$DF$17,2)+1))*$B28</f>
        <v>-1663.7969693395571</v>
      </c>
      <c r="I28" s="1021">
        <f>(VLOOKUP(YEAR($A28),'NY East Load Projections'!$A$4:$EO$14,((MONTH($A28)-1)*12)+VLOOKUP(I$4,$DE$6:$DF$17,2)+1))*$B28</f>
        <v>-1663.7969693395571</v>
      </c>
      <c r="J28" s="1021">
        <f>(VLOOKUP(YEAR($A28),'NY East Load Projections'!$A$4:$EO$14,((MONTH($A28)-1)*12)+VLOOKUP(J$4,$DE$6:$DF$17,2)+1))*$B28</f>
        <v>-1663.7969693395571</v>
      </c>
      <c r="K28" s="1021">
        <f>(VLOOKUP(YEAR($A28),'NY East Load Projections'!$A$4:$EO$14,((MONTH($A28)-1)*12)+VLOOKUP(K$4,$DE$6:$DF$17,2)+1))*$B28</f>
        <v>-1663.7969693395571</v>
      </c>
      <c r="L28" s="1021">
        <f>(VLOOKUP(YEAR($A28),'NY East Load Projections'!$A$4:$EO$14,((MONTH($A28)-1)*12)+VLOOKUP(L$4,$DE$6:$DF$17,2)+1))*$B28</f>
        <v>-1760.8431516129331</v>
      </c>
      <c r="M28" s="1021">
        <f>(VLOOKUP(YEAR($A28),'NY East Load Projections'!$A$4:$EO$14,((MONTH($A28)-1)*12)+VLOOKUP(M$4,$DE$6:$DF$17,2)+1))*$B28</f>
        <v>-1760.8431516129331</v>
      </c>
      <c r="N28" s="1021">
        <f>(VLOOKUP(YEAR($A28),'NY East Load Projections'!$A$4:$EO$14,((MONTH($A28)-1)*12)+VLOOKUP(N$4,$DE$6:$DF$17,2)+1))*$B28</f>
        <v>-1760.8431516129331</v>
      </c>
      <c r="O28" s="1021">
        <f>(VLOOKUP(YEAR($A28),'NY East Load Projections'!$A$4:$EO$14,((MONTH($A28)-1)*12)+VLOOKUP(O$4,$DE$6:$DF$17,2)+1))*$B28</f>
        <v>-1760.8431516129331</v>
      </c>
      <c r="P28" s="1021">
        <f>(VLOOKUP(YEAR($A28),'NY East Load Projections'!$A$4:$EO$14,((MONTH($A28)-1)*12)+VLOOKUP(P$4,$DE$6:$DF$17,2)+1))*$B28</f>
        <v>-1831.9127602931662</v>
      </c>
      <c r="Q28" s="1021">
        <f>(VLOOKUP(YEAR($A28),'NY East Load Projections'!$A$4:$EO$14,((MONTH($A28)-1)*12)+VLOOKUP(Q$4,$DE$6:$DF$17,2)+1))*$B28</f>
        <v>-1831.9127602931662</v>
      </c>
      <c r="R28" s="1021">
        <f>(VLOOKUP(YEAR($A28),'NY East Load Projections'!$A$4:$EO$14,((MONTH($A28)-1)*12)+VLOOKUP(R$4,$DE$6:$DF$17,2)+1))*$B28</f>
        <v>-1831.9127602931662</v>
      </c>
      <c r="S28" s="1021">
        <f>(VLOOKUP(YEAR($A28),'NY East Load Projections'!$A$4:$EO$14,((MONTH($A28)-1)*12)+VLOOKUP(S$4,$DE$6:$DF$17,2)+1))*$B28</f>
        <v>-1831.9127602931662</v>
      </c>
      <c r="T28" s="1021">
        <f>(VLOOKUP(YEAR($A28),'NY East Load Projections'!$A$4:$EO$14,((MONTH($A28)-1)*12)+VLOOKUP(T$4,$DE$6:$DF$17,2)+1))*$B28</f>
        <v>-1845.181219975764</v>
      </c>
      <c r="U28" s="1021">
        <f>(VLOOKUP(YEAR($A28),'NY East Load Projections'!$A$4:$EO$14,((MONTH($A28)-1)*12)+VLOOKUP(U$4,$DE$6:$DF$17,2)+1))*$B28</f>
        <v>-1845.181219975764</v>
      </c>
      <c r="V28" s="1021">
        <f>(VLOOKUP(YEAR($A28),'NY East Load Projections'!$A$4:$EO$14,((MONTH($A28)-1)*12)+VLOOKUP(V$4,$DE$6:$DF$17,2)+1))*$B28</f>
        <v>-1845.181219975764</v>
      </c>
      <c r="W28" s="1021">
        <f>(VLOOKUP(YEAR($A28),'NY East Load Projections'!$A$4:$EO$14,((MONTH($A28)-1)*12)+VLOOKUP(W$4,$DE$6:$DF$17,2)+1))*$B28</f>
        <v>-1845.181219975764</v>
      </c>
      <c r="X28" s="1021">
        <f>(VLOOKUP(YEAR($A28),'NY East Load Projections'!$A$4:$EO$14,((MONTH($A28)-1)*12)+VLOOKUP(X$4,$DE$6:$DF$17,2)+1))*$B28</f>
        <v>-1784.982446874378</v>
      </c>
      <c r="Y28" s="1021">
        <f>(VLOOKUP(YEAR($A28),'NY East Load Projections'!$A$4:$EO$14,((MONTH($A28)-1)*12)+VLOOKUP(Y$4,$DE$6:$DF$17,2)+1))*$B28</f>
        <v>-1784.982446874378</v>
      </c>
      <c r="Z28" s="1021">
        <f>(VLOOKUP(YEAR($A28),'NY East Load Projections'!$A$4:$EO$14,((MONTH($A28)-1)*12)+VLOOKUP(Z$4,$DE$6:$DF$17,2)+1))*$B28</f>
        <v>-1784.982446874378</v>
      </c>
      <c r="AA28" s="1021">
        <f>(VLOOKUP(YEAR($A28),'NY East Load Projections'!$A$4:$EO$14,((MONTH($A28)-1)*12)+VLOOKUP(AA$4,$DE$6:$DF$17,2)+1))*$B28</f>
        <v>-1784.982446874378</v>
      </c>
      <c r="AB28" s="1021">
        <f>(VLOOKUP(YEAR($A28),'NY East Load Projections'!$A$4:$EO$14,((MONTH($A28)-1)*12)+VLOOKUP(AB$4,$DE$6:$DF$17,2)+1))*$B28</f>
        <v>-1702.3140799827361</v>
      </c>
      <c r="AC28" s="1021">
        <f>(VLOOKUP(YEAR($A28),'NY East Load Projections'!$A$4:$EO$14,((MONTH($A28)-1)*12)+VLOOKUP(AC$4,$DE$6:$DF$17,2)+1))*$B28</f>
        <v>-1702.3140799827361</v>
      </c>
      <c r="AD28" s="1021">
        <f>(VLOOKUP(YEAR($A28),'NY East Load Projections'!$A$4:$EO$14,((MONTH($A28)-1)*12)+VLOOKUP(AD$4,$DE$6:$DF$17,2)+1))*$B28</f>
        <v>-1702.3140799827361</v>
      </c>
      <c r="AE28" s="1021">
        <f>(VLOOKUP(YEAR($A28),'NY East Load Projections'!$A$4:$EO$14,((MONTH($A28)-1)*12)+VLOOKUP(AE$4,$DE$6:$DF$17,2)+1))*$B28</f>
        <v>-1702.3140799827361</v>
      </c>
      <c r="AF28" s="1021"/>
      <c r="AG28" s="1021">
        <f>(VLOOKUP(YEAR($A28),'NY East Load Projections'!$A$4:$EO$14,((MONTH($A28)-1)*12)+VLOOKUP(AG$4,$DE$6:$DF$17,2)+1))*$C28</f>
        <v>-434.46814924212629</v>
      </c>
      <c r="AH28" s="1021">
        <f>(VLOOKUP(YEAR($A28),'NY East Load Projections'!$A$4:$EO$14,((MONTH($A28)-1)*12)+VLOOKUP(AH$4,$DE$6:$DF$17,2)+1))*$C28</f>
        <v>-434.46814924212629</v>
      </c>
      <c r="AI28" s="1021">
        <f>(VLOOKUP(YEAR($A28),'NY East Load Projections'!$A$4:$EO$14,((MONTH($A28)-1)*12)+VLOOKUP(AI$4,$DE$6:$DF$17,2)+1))*$C28</f>
        <v>-434.46814924212629</v>
      </c>
      <c r="AJ28" s="1021">
        <f>(VLOOKUP(YEAR($A28),'NY East Load Projections'!$A$4:$EO$14,((MONTH($A28)-1)*12)+VLOOKUP(AJ$4,$DE$6:$DF$17,2)+1))*$C28</f>
        <v>-434.46814924212629</v>
      </c>
      <c r="AK28" s="1021">
        <f>(VLOOKUP(YEAR($A28),'NY East Load Projections'!$A$4:$EO$14,((MONTH($A28)-1)*12)+VLOOKUP(AK$4,$DE$6:$DF$17,2)+1))*$C28</f>
        <v>-441.56622562864186</v>
      </c>
      <c r="AL28" s="1021">
        <f>(VLOOKUP(YEAR($A28),'NY East Load Projections'!$A$4:$EO$14,((MONTH($A28)-1)*12)+VLOOKUP(AL$4,$DE$6:$DF$17,2)+1))*$C28</f>
        <v>-441.56622562864186</v>
      </c>
      <c r="AM28" s="1021">
        <f>(VLOOKUP(YEAR($A28),'NY East Load Projections'!$A$4:$EO$14,((MONTH($A28)-1)*12)+VLOOKUP(AM$4,$DE$6:$DF$17,2)+1))*$C28</f>
        <v>-441.56622562864186</v>
      </c>
      <c r="AN28" s="1021">
        <f>(VLOOKUP(YEAR($A28),'NY East Load Projections'!$A$4:$EO$14,((MONTH($A28)-1)*12)+VLOOKUP(AN$4,$DE$6:$DF$17,2)+1))*$C28</f>
        <v>-441.56622562864186</v>
      </c>
      <c r="AO28" s="1021">
        <f>(VLOOKUP(YEAR($A28),'NY East Load Projections'!$A$4:$EO$14,((MONTH($A28)-1)*12)+VLOOKUP(AO$4,$DE$6:$DF$17,2)+1))*$C28</f>
        <v>-464.28557807611855</v>
      </c>
      <c r="AP28" s="1021">
        <f>(VLOOKUP(YEAR($A28),'NY East Load Projections'!$A$4:$EO$14,((MONTH($A28)-1)*12)+VLOOKUP(AP$4,$DE$6:$DF$17,2)+1))*$C28</f>
        <v>-464.28557807611855</v>
      </c>
      <c r="AQ28" s="1021">
        <f>(VLOOKUP(YEAR($A28),'NY East Load Projections'!$A$4:$EO$14,((MONTH($A28)-1)*12)+VLOOKUP(AQ$4,$DE$6:$DF$17,2)+1))*$C28</f>
        <v>-464.28557807611855</v>
      </c>
      <c r="AR28" s="1021">
        <f>(VLOOKUP(YEAR($A28),'NY East Load Projections'!$A$4:$EO$14,((MONTH($A28)-1)*12)+VLOOKUP(AR$4,$DE$6:$DF$17,2)+1))*$C28</f>
        <v>-464.28557807611855</v>
      </c>
      <c r="AS28" s="1021">
        <f>(VLOOKUP(YEAR($A28),'NY East Load Projections'!$A$4:$EO$14,((MONTH($A28)-1)*12)+VLOOKUP(AS$4,$DE$6:$DF$17,2)+1))*$C28</f>
        <v>-467.40555410837914</v>
      </c>
      <c r="AT28" s="1021">
        <f>(VLOOKUP(YEAR($A28),'NY East Load Projections'!$A$4:$EO$14,((MONTH($A28)-1)*12)+VLOOKUP(AT$4,$DE$6:$DF$17,2)+1))*$C28</f>
        <v>-467.40555410837914</v>
      </c>
      <c r="AU28" s="1021">
        <f>(VLOOKUP(YEAR($A28),'NY East Load Projections'!$A$4:$EO$14,((MONTH($A28)-1)*12)+VLOOKUP(AU$4,$DE$6:$DF$17,2)+1))*$C28</f>
        <v>-467.40555410837914</v>
      </c>
      <c r="AV28" s="1021">
        <f>(VLOOKUP(YEAR($A28),'NY East Load Projections'!$A$4:$EO$14,((MONTH($A28)-1)*12)+VLOOKUP(AV$4,$DE$6:$DF$17,2)+1))*$C28</f>
        <v>-467.40555410837914</v>
      </c>
      <c r="AW28" s="1021">
        <f>(VLOOKUP(YEAR($A28),'NY East Load Projections'!$A$4:$EO$14,((MONTH($A28)-1)*12)+VLOOKUP(AW$4,$DE$6:$DF$17,2)+1))*$C28</f>
        <v>-452.91048376811841</v>
      </c>
      <c r="AX28" s="1021">
        <f>(VLOOKUP(YEAR($A28),'NY East Load Projections'!$A$4:$EO$14,((MONTH($A28)-1)*12)+VLOOKUP(AX$4,$DE$6:$DF$17,2)+1))*$C28</f>
        <v>-452.91048376811841</v>
      </c>
      <c r="AY28" s="1021">
        <f>(VLOOKUP(YEAR($A28),'NY East Load Projections'!$A$4:$EO$14,((MONTH($A28)-1)*12)+VLOOKUP(AY$4,$DE$6:$DF$17,2)+1))*$C28</f>
        <v>-452.91048376811841</v>
      </c>
      <c r="AZ28" s="1021">
        <f>(VLOOKUP(YEAR($A28),'NY East Load Projections'!$A$4:$EO$14,((MONTH($A28)-1)*12)+VLOOKUP(AZ$4,$DE$6:$DF$17,2)+1))*$C28</f>
        <v>-452.91048376811841</v>
      </c>
      <c r="BA28" s="1021">
        <f>(VLOOKUP(YEAR($A28),'NY East Load Projections'!$A$4:$EO$14,((MONTH($A28)-1)*12)+VLOOKUP(BA$4,$DE$6:$DF$17,2)+1))*$C28</f>
        <v>-440.74827902260699</v>
      </c>
      <c r="BB28" s="1021">
        <f>(VLOOKUP(YEAR($A28),'NY East Load Projections'!$A$4:$EO$14,((MONTH($A28)-1)*12)+VLOOKUP(BB$4,$DE$6:$DF$17,2)+1))*$C28</f>
        <v>-440.74827902260699</v>
      </c>
      <c r="BC28" s="1021">
        <f>(VLOOKUP(YEAR($A28),'NY East Load Projections'!$A$4:$EO$14,((MONTH($A28)-1)*12)+VLOOKUP(BC$4,$DE$6:$DF$17,2)+1))*$C28</f>
        <v>-440.74827902260699</v>
      </c>
      <c r="BD28" s="1021">
        <f>(VLOOKUP(YEAR($A28),'NY East Load Projections'!$A$4:$EO$14,((MONTH($A28)-1)*12)+VLOOKUP(BD$4,$DE$6:$DF$17,2)+1))*$C28</f>
        <v>-440.74827902260699</v>
      </c>
      <c r="BE28" s="1021"/>
      <c r="BF28" s="1021">
        <f>(VLOOKUP(YEAR($A28),'NY East Load Projections'!$A$4:$EO$14,((MONTH($A28)-1)*12)+VLOOKUP(BF$4,$DE$6:$DF$17,2)+1))*$D28</f>
        <v>-347.57451939370105</v>
      </c>
      <c r="BG28" s="1021">
        <f>(VLOOKUP(YEAR($A28),'NY East Load Projections'!$A$4:$EO$14,((MONTH($A28)-1)*12)+VLOOKUP(BG$4,$DE$6:$DF$17,2)+1))*$D28</f>
        <v>-347.57451939370105</v>
      </c>
      <c r="BH28" s="1021">
        <f>(VLOOKUP(YEAR($A28),'NY East Load Projections'!$A$4:$EO$14,((MONTH($A28)-1)*12)+VLOOKUP(BH$4,$DE$6:$DF$17,2)+1))*$D28</f>
        <v>-347.57451939370105</v>
      </c>
      <c r="BI28" s="1021">
        <f>(VLOOKUP(YEAR($A28),'NY East Load Projections'!$A$4:$EO$14,((MONTH($A28)-1)*12)+VLOOKUP(BI$4,$DE$6:$DF$17,2)+1))*$D28</f>
        <v>-347.57451939370105</v>
      </c>
      <c r="BJ28" s="1021">
        <f>(VLOOKUP(YEAR($A28),'NY East Load Projections'!$A$4:$EO$14,((MONTH($A28)-1)*12)+VLOOKUP(BJ$4,$DE$6:$DF$17,2)+1))*$D28</f>
        <v>-353.25298050291349</v>
      </c>
      <c r="BK28" s="1021">
        <f>(VLOOKUP(YEAR($A28),'NY East Load Projections'!$A$4:$EO$14,((MONTH($A28)-1)*12)+VLOOKUP(BK$4,$DE$6:$DF$17,2)+1))*$D28</f>
        <v>-353.25298050291349</v>
      </c>
      <c r="BL28" s="1021">
        <f>(VLOOKUP(YEAR($A28),'NY East Load Projections'!$A$4:$EO$14,((MONTH($A28)-1)*12)+VLOOKUP(BL$4,$DE$6:$DF$17,2)+1))*$D28</f>
        <v>-353.25298050291349</v>
      </c>
      <c r="BM28" s="1021">
        <f>(VLOOKUP(YEAR($A28),'NY East Load Projections'!$A$4:$EO$14,((MONTH($A28)-1)*12)+VLOOKUP(BM$4,$DE$6:$DF$17,2)+1))*$D28</f>
        <v>-353.25298050291349</v>
      </c>
      <c r="BN28" s="1021">
        <f>(VLOOKUP(YEAR($A28),'NY East Load Projections'!$A$4:$EO$14,((MONTH($A28)-1)*12)+VLOOKUP(BN$4,$DE$6:$DF$17,2)+1))*$D28</f>
        <v>-371.42846246089482</v>
      </c>
      <c r="BO28" s="1021">
        <f>(VLOOKUP(YEAR($A28),'NY East Load Projections'!$A$4:$EO$14,((MONTH($A28)-1)*12)+VLOOKUP(BO$4,$DE$6:$DF$17,2)+1))*$D28</f>
        <v>-371.42846246089482</v>
      </c>
      <c r="BP28" s="1021">
        <f>(VLOOKUP(YEAR($A28),'NY East Load Projections'!$A$4:$EO$14,((MONTH($A28)-1)*12)+VLOOKUP(BP$4,$DE$6:$DF$17,2)+1))*$D28</f>
        <v>-371.42846246089482</v>
      </c>
      <c r="BQ28" s="1021">
        <f>(VLOOKUP(YEAR($A28),'NY East Load Projections'!$A$4:$EO$14,((MONTH($A28)-1)*12)+VLOOKUP(BQ$4,$DE$6:$DF$17,2)+1))*$D28</f>
        <v>-371.42846246089482</v>
      </c>
      <c r="BR28" s="1021">
        <f>(VLOOKUP(YEAR($A28),'NY East Load Projections'!$A$4:$EO$14,((MONTH($A28)-1)*12)+VLOOKUP(BR$4,$DE$6:$DF$17,2)+1))*$D28</f>
        <v>-373.92444328670331</v>
      </c>
      <c r="BS28" s="1021">
        <f>(VLOOKUP(YEAR($A28),'NY East Load Projections'!$A$4:$EO$14,((MONTH($A28)-1)*12)+VLOOKUP(BS$4,$DE$6:$DF$17,2)+1))*$D28</f>
        <v>-373.92444328670331</v>
      </c>
      <c r="BT28" s="1021">
        <f>(VLOOKUP(YEAR($A28),'NY East Load Projections'!$A$4:$EO$14,((MONTH($A28)-1)*12)+VLOOKUP(BT$4,$DE$6:$DF$17,2)+1))*$D28</f>
        <v>-373.92444328670331</v>
      </c>
      <c r="BU28" s="1021">
        <f>(VLOOKUP(YEAR($A28),'NY East Load Projections'!$A$4:$EO$14,((MONTH($A28)-1)*12)+VLOOKUP(BU$4,$DE$6:$DF$17,2)+1))*$D28</f>
        <v>-373.92444328670331</v>
      </c>
      <c r="BV28" s="1021">
        <f>(VLOOKUP(YEAR($A28),'NY East Load Projections'!$A$4:$EO$14,((MONTH($A28)-1)*12)+VLOOKUP(BV$4,$DE$6:$DF$17,2)+1))*$D28</f>
        <v>-362.32838701449475</v>
      </c>
      <c r="BW28" s="1021">
        <f>(VLOOKUP(YEAR($A28),'NY East Load Projections'!$A$4:$EO$14,((MONTH($A28)-1)*12)+VLOOKUP(BW$4,$DE$6:$DF$17,2)+1))*$D28</f>
        <v>-362.32838701449475</v>
      </c>
      <c r="BX28" s="1021">
        <f>(VLOOKUP(YEAR($A28),'NY East Load Projections'!$A$4:$EO$14,((MONTH($A28)-1)*12)+VLOOKUP(BX$4,$DE$6:$DF$17,2)+1))*$D28</f>
        <v>-362.32838701449475</v>
      </c>
      <c r="BY28" s="1021">
        <f>(VLOOKUP(YEAR($A28),'NY East Load Projections'!$A$4:$EO$14,((MONTH($A28)-1)*12)+VLOOKUP(BY$4,$DE$6:$DF$17,2)+1))*$D28</f>
        <v>-362.32838701449475</v>
      </c>
      <c r="BZ28" s="1021">
        <f>(VLOOKUP(YEAR($A28),'NY East Load Projections'!$A$4:$EO$14,((MONTH($A28)-1)*12)+VLOOKUP(BZ$4,$DE$6:$DF$17,2)+1))*$D28</f>
        <v>-352.59862321808561</v>
      </c>
      <c r="CA28" s="1021">
        <f>(VLOOKUP(YEAR($A28),'NY East Load Projections'!$A$4:$EO$14,((MONTH($A28)-1)*12)+VLOOKUP(CA$4,$DE$6:$DF$17,2)+1))*$D28</f>
        <v>-352.59862321808561</v>
      </c>
      <c r="CB28" s="1021">
        <f>(VLOOKUP(YEAR($A28),'NY East Load Projections'!$A$4:$EO$14,((MONTH($A28)-1)*12)+VLOOKUP(CB$4,$DE$6:$DF$17,2)+1))*$D28</f>
        <v>-352.59862321808561</v>
      </c>
      <c r="CC28" s="1021">
        <f>(VLOOKUP(YEAR($A28),'NY East Load Projections'!$A$4:$EO$14,((MONTH($A28)-1)*12)+VLOOKUP(CC$4,$DE$6:$DF$17,2)+1))*$D28</f>
        <v>-352.59862321808561</v>
      </c>
      <c r="CE28" s="1021">
        <f>(VLOOKUP(YEAR($A28),'NY East Load Projections'!$A$4:$EO$14,((MONTH($A28)-1)*12)+VLOOKUP(CE$4,$DE$6:$DF$17,2)+1))*$E28</f>
        <v>-86.893629848425263</v>
      </c>
      <c r="CF28" s="1021">
        <f>(VLOOKUP(YEAR($A28),'NY East Load Projections'!$A$4:$EO$14,((MONTH($A28)-1)*12)+VLOOKUP(CF$4,$DE$6:$DF$17,2)+1))*$E28</f>
        <v>-86.893629848425263</v>
      </c>
      <c r="CG28" s="1021">
        <f>(VLOOKUP(YEAR($A28),'NY East Load Projections'!$A$4:$EO$14,((MONTH($A28)-1)*12)+VLOOKUP(CG$4,$DE$6:$DF$17,2)+1))*$E28</f>
        <v>-86.893629848425263</v>
      </c>
      <c r="CH28" s="1021">
        <f>(VLOOKUP(YEAR($A28),'NY East Load Projections'!$A$4:$EO$14,((MONTH($A28)-1)*12)+VLOOKUP(CH$4,$DE$6:$DF$17,2)+1))*$E28</f>
        <v>-86.893629848425263</v>
      </c>
      <c r="CI28" s="1021">
        <f>(VLOOKUP(YEAR($A28),'NY East Load Projections'!$A$4:$EO$14,((MONTH($A28)-1)*12)+VLOOKUP(CI$4,$DE$6:$DF$17,2)+1))*$E28</f>
        <v>-88.313245125728372</v>
      </c>
      <c r="CJ28" s="1021">
        <f>(VLOOKUP(YEAR($A28),'NY East Load Projections'!$A$4:$EO$14,((MONTH($A28)-1)*12)+VLOOKUP(CJ$4,$DE$6:$DF$17,2)+1))*$E28</f>
        <v>-88.313245125728372</v>
      </c>
      <c r="CK28" s="1021">
        <f>(VLOOKUP(YEAR($A28),'NY East Load Projections'!$A$4:$EO$14,((MONTH($A28)-1)*12)+VLOOKUP(CK$4,$DE$6:$DF$17,2)+1))*$E28</f>
        <v>-88.313245125728372</v>
      </c>
      <c r="CL28" s="1021">
        <f>(VLOOKUP(YEAR($A28),'NY East Load Projections'!$A$4:$EO$14,((MONTH($A28)-1)*12)+VLOOKUP(CL$4,$DE$6:$DF$17,2)+1))*$E28</f>
        <v>-88.313245125728372</v>
      </c>
      <c r="CM28" s="1021">
        <f>(VLOOKUP(YEAR($A28),'NY East Load Projections'!$A$4:$EO$14,((MONTH($A28)-1)*12)+VLOOKUP(CM$4,$DE$6:$DF$17,2)+1))*$E28</f>
        <v>-92.857115615223705</v>
      </c>
      <c r="CN28" s="1021">
        <f>(VLOOKUP(YEAR($A28),'NY East Load Projections'!$A$4:$EO$14,((MONTH($A28)-1)*12)+VLOOKUP(CN$4,$DE$6:$DF$17,2)+1))*$E28</f>
        <v>-92.857115615223705</v>
      </c>
      <c r="CO28" s="1021">
        <f>(VLOOKUP(YEAR($A28),'NY East Load Projections'!$A$4:$EO$14,((MONTH($A28)-1)*12)+VLOOKUP(CO$4,$DE$6:$DF$17,2)+1))*$E28</f>
        <v>-92.857115615223705</v>
      </c>
      <c r="CP28" s="1021">
        <f>(VLOOKUP(YEAR($A28),'NY East Load Projections'!$A$4:$EO$14,((MONTH($A28)-1)*12)+VLOOKUP(CP$4,$DE$6:$DF$17,2)+1))*$E28</f>
        <v>-92.857115615223705</v>
      </c>
      <c r="CQ28" s="1021">
        <f>(VLOOKUP(YEAR($A28),'NY East Load Projections'!$A$4:$EO$14,((MONTH($A28)-1)*12)+VLOOKUP(CQ$4,$DE$6:$DF$17,2)+1))*$E28</f>
        <v>-93.481110821675827</v>
      </c>
      <c r="CR28" s="1021">
        <f>(VLOOKUP(YEAR($A28),'NY East Load Projections'!$A$4:$EO$14,((MONTH($A28)-1)*12)+VLOOKUP(CR$4,$DE$6:$DF$17,2)+1))*$E28</f>
        <v>-93.481110821675827</v>
      </c>
      <c r="CS28" s="1021">
        <f>(VLOOKUP(YEAR($A28),'NY East Load Projections'!$A$4:$EO$14,((MONTH($A28)-1)*12)+VLOOKUP(CS$4,$DE$6:$DF$17,2)+1))*$E28</f>
        <v>-93.481110821675827</v>
      </c>
      <c r="CT28" s="1021">
        <f>(VLOOKUP(YEAR($A28),'NY East Load Projections'!$A$4:$EO$14,((MONTH($A28)-1)*12)+VLOOKUP(CT$4,$DE$6:$DF$17,2)+1))*$E28</f>
        <v>-93.481110821675827</v>
      </c>
      <c r="CU28" s="1021">
        <f>(VLOOKUP(YEAR($A28),'NY East Load Projections'!$A$4:$EO$14,((MONTH($A28)-1)*12)+VLOOKUP(CU$4,$DE$6:$DF$17,2)+1))*$E28</f>
        <v>-90.582096753623688</v>
      </c>
      <c r="CV28" s="1021">
        <f>(VLOOKUP(YEAR($A28),'NY East Load Projections'!$A$4:$EO$14,((MONTH($A28)-1)*12)+VLOOKUP(CV$4,$DE$6:$DF$17,2)+1))*$E28</f>
        <v>-90.582096753623688</v>
      </c>
      <c r="CW28" s="1021">
        <f>(VLOOKUP(YEAR($A28),'NY East Load Projections'!$A$4:$EO$14,((MONTH($A28)-1)*12)+VLOOKUP(CW$4,$DE$6:$DF$17,2)+1))*$E28</f>
        <v>-90.582096753623688</v>
      </c>
      <c r="CX28" s="1021">
        <f>(VLOOKUP(YEAR($A28),'NY East Load Projections'!$A$4:$EO$14,((MONTH($A28)-1)*12)+VLOOKUP(CX$4,$DE$6:$DF$17,2)+1))*$E28</f>
        <v>-90.582096753623688</v>
      </c>
      <c r="CY28" s="1021">
        <f>(VLOOKUP(YEAR($A28),'NY East Load Projections'!$A$4:$EO$14,((MONTH($A28)-1)*12)+VLOOKUP(CY$4,$DE$6:$DF$17,2)+1))*$E28</f>
        <v>-88.149655804521402</v>
      </c>
      <c r="CZ28" s="1021">
        <f>(VLOOKUP(YEAR($A28),'NY East Load Projections'!$A$4:$EO$14,((MONTH($A28)-1)*12)+VLOOKUP(CZ$4,$DE$6:$DF$17,2)+1))*$E28</f>
        <v>-88.149655804521402</v>
      </c>
      <c r="DA28" s="1021">
        <f>(VLOOKUP(YEAR($A28),'NY East Load Projections'!$A$4:$EO$14,((MONTH($A28)-1)*12)+VLOOKUP(DA$4,$DE$6:$DF$17,2)+1))*$E28</f>
        <v>-88.149655804521402</v>
      </c>
      <c r="DB28" s="1021">
        <f>(VLOOKUP(YEAR($A28),'NY East Load Projections'!$A$4:$EO$14,((MONTH($A28)-1)*12)+VLOOKUP(DB$4,$DE$6:$DF$17,2)+1))*$E28</f>
        <v>-88.149655804521402</v>
      </c>
      <c r="DH28" s="1009">
        <f t="shared" si="0"/>
        <v>-63967.196671082042</v>
      </c>
      <c r="DI28">
        <f ca="1">CALC!J48</f>
        <v>0.82109316755121442</v>
      </c>
      <c r="DJ28" s="1032">
        <f t="shared" ca="1" si="1"/>
        <v>-52523.028134030254</v>
      </c>
    </row>
    <row r="29" spans="1:114" x14ac:dyDescent="0.25">
      <c r="A29" s="244">
        <v>37591</v>
      </c>
      <c r="B29" s="13">
        <v>21</v>
      </c>
      <c r="C29" s="210">
        <v>4</v>
      </c>
      <c r="D29" s="210">
        <v>5</v>
      </c>
      <c r="E29" s="210">
        <v>1</v>
      </c>
      <c r="F29" s="13">
        <v>31</v>
      </c>
      <c r="H29" s="1021">
        <f>(VLOOKUP(YEAR($A29),'NY East Load Projections'!$A$4:$EO$14,((MONTH($A29)-1)*12)+VLOOKUP(H$4,$DE$6:$DF$17,2)+1))*$B29</f>
        <v>-1700.9047831650423</v>
      </c>
      <c r="I29" s="1021">
        <f>(VLOOKUP(YEAR($A29),'NY East Load Projections'!$A$4:$EO$14,((MONTH($A29)-1)*12)+VLOOKUP(I$4,$DE$6:$DF$17,2)+1))*$B29</f>
        <v>-1700.9047831650423</v>
      </c>
      <c r="J29" s="1021">
        <f>(VLOOKUP(YEAR($A29),'NY East Load Projections'!$A$4:$EO$14,((MONTH($A29)-1)*12)+VLOOKUP(J$4,$DE$6:$DF$17,2)+1))*$B29</f>
        <v>-1700.9047831650423</v>
      </c>
      <c r="K29" s="1021">
        <f>(VLOOKUP(YEAR($A29),'NY East Load Projections'!$A$4:$EO$14,((MONTH($A29)-1)*12)+VLOOKUP(K$4,$DE$6:$DF$17,2)+1))*$B29</f>
        <v>-1700.9047831650423</v>
      </c>
      <c r="L29" s="1021">
        <f>(VLOOKUP(YEAR($A29),'NY East Load Projections'!$A$4:$EO$14,((MONTH($A29)-1)*12)+VLOOKUP(L$4,$DE$6:$DF$17,2)+1))*$B29</f>
        <v>-1820.1568306875802</v>
      </c>
      <c r="M29" s="1021">
        <f>(VLOOKUP(YEAR($A29),'NY East Load Projections'!$A$4:$EO$14,((MONTH($A29)-1)*12)+VLOOKUP(M$4,$DE$6:$DF$17,2)+1))*$B29</f>
        <v>-1820.1568306875802</v>
      </c>
      <c r="N29" s="1021">
        <f>(VLOOKUP(YEAR($A29),'NY East Load Projections'!$A$4:$EO$14,((MONTH($A29)-1)*12)+VLOOKUP(N$4,$DE$6:$DF$17,2)+1))*$B29</f>
        <v>-1820.1568306875802</v>
      </c>
      <c r="O29" s="1021">
        <f>(VLOOKUP(YEAR($A29),'NY East Load Projections'!$A$4:$EO$14,((MONTH($A29)-1)*12)+VLOOKUP(O$4,$DE$6:$DF$17,2)+1))*$B29</f>
        <v>-1820.1568306875802</v>
      </c>
      <c r="P29" s="1021">
        <f>(VLOOKUP(YEAR($A29),'NY East Load Projections'!$A$4:$EO$14,((MONTH($A29)-1)*12)+VLOOKUP(P$4,$DE$6:$DF$17,2)+1))*$B29</f>
        <v>-1893.9250403513399</v>
      </c>
      <c r="Q29" s="1021">
        <f>(VLOOKUP(YEAR($A29),'NY East Load Projections'!$A$4:$EO$14,((MONTH($A29)-1)*12)+VLOOKUP(Q$4,$DE$6:$DF$17,2)+1))*$B29</f>
        <v>-1893.9250403513399</v>
      </c>
      <c r="R29" s="1021">
        <f>(VLOOKUP(YEAR($A29),'NY East Load Projections'!$A$4:$EO$14,((MONTH($A29)-1)*12)+VLOOKUP(R$4,$DE$6:$DF$17,2)+1))*$B29</f>
        <v>-1893.9250403513399</v>
      </c>
      <c r="S29" s="1021">
        <f>(VLOOKUP(YEAR($A29),'NY East Load Projections'!$A$4:$EO$14,((MONTH($A29)-1)*12)+VLOOKUP(S$4,$DE$6:$DF$17,2)+1))*$B29</f>
        <v>-1893.9250403513399</v>
      </c>
      <c r="T29" s="1021">
        <f>(VLOOKUP(YEAR($A29),'NY East Load Projections'!$A$4:$EO$14,((MONTH($A29)-1)*12)+VLOOKUP(T$4,$DE$6:$DF$17,2)+1))*$B29</f>
        <v>-1889.4196689536309</v>
      </c>
      <c r="U29" s="1021">
        <f>(VLOOKUP(YEAR($A29),'NY East Load Projections'!$A$4:$EO$14,((MONTH($A29)-1)*12)+VLOOKUP(U$4,$DE$6:$DF$17,2)+1))*$B29</f>
        <v>-1889.4196689536309</v>
      </c>
      <c r="V29" s="1021">
        <f>(VLOOKUP(YEAR($A29),'NY East Load Projections'!$A$4:$EO$14,((MONTH($A29)-1)*12)+VLOOKUP(V$4,$DE$6:$DF$17,2)+1))*$B29</f>
        <v>-1889.4196689536309</v>
      </c>
      <c r="W29" s="1021">
        <f>(VLOOKUP(YEAR($A29),'NY East Load Projections'!$A$4:$EO$14,((MONTH($A29)-1)*12)+VLOOKUP(W$4,$DE$6:$DF$17,2)+1))*$B29</f>
        <v>-1889.4196689536309</v>
      </c>
      <c r="X29" s="1021">
        <f>(VLOOKUP(YEAR($A29),'NY East Load Projections'!$A$4:$EO$14,((MONTH($A29)-1)*12)+VLOOKUP(X$4,$DE$6:$DF$17,2)+1))*$B29</f>
        <v>-1824.6178251485583</v>
      </c>
      <c r="Y29" s="1021">
        <f>(VLOOKUP(YEAR($A29),'NY East Load Projections'!$A$4:$EO$14,((MONTH($A29)-1)*12)+VLOOKUP(Y$4,$DE$6:$DF$17,2)+1))*$B29</f>
        <v>-1824.6178251485583</v>
      </c>
      <c r="Z29" s="1021">
        <f>(VLOOKUP(YEAR($A29),'NY East Load Projections'!$A$4:$EO$14,((MONTH($A29)-1)*12)+VLOOKUP(Z$4,$DE$6:$DF$17,2)+1))*$B29</f>
        <v>-1824.6178251485583</v>
      </c>
      <c r="AA29" s="1021">
        <f>(VLOOKUP(YEAR($A29),'NY East Load Projections'!$A$4:$EO$14,((MONTH($A29)-1)*12)+VLOOKUP(AA$4,$DE$6:$DF$17,2)+1))*$B29</f>
        <v>-1824.6178251485583</v>
      </c>
      <c r="AB29" s="1021">
        <f>(VLOOKUP(YEAR($A29),'NY East Load Projections'!$A$4:$EO$14,((MONTH($A29)-1)*12)+VLOOKUP(AB$4,$DE$6:$DF$17,2)+1))*$B29</f>
        <v>-1747.5554752506644</v>
      </c>
      <c r="AC29" s="1021">
        <f>(VLOOKUP(YEAR($A29),'NY East Load Projections'!$A$4:$EO$14,((MONTH($A29)-1)*12)+VLOOKUP(AC$4,$DE$6:$DF$17,2)+1))*$B29</f>
        <v>-1747.5554752506644</v>
      </c>
      <c r="AD29" s="1021">
        <f>(VLOOKUP(YEAR($A29),'NY East Load Projections'!$A$4:$EO$14,((MONTH($A29)-1)*12)+VLOOKUP(AD$4,$DE$6:$DF$17,2)+1))*$B29</f>
        <v>-1747.5554752506644</v>
      </c>
      <c r="AE29" s="1021">
        <f>(VLOOKUP(YEAR($A29),'NY East Load Projections'!$A$4:$EO$14,((MONTH($A29)-1)*12)+VLOOKUP(AE$4,$DE$6:$DF$17,2)+1))*$B29</f>
        <v>-1747.5554752506644</v>
      </c>
      <c r="AF29" s="1021"/>
      <c r="AG29" s="1021">
        <f>(VLOOKUP(YEAR($A29),'NY East Load Projections'!$A$4:$EO$14,((MONTH($A29)-1)*12)+VLOOKUP(AG$4,$DE$6:$DF$17,2)+1))*$C29</f>
        <v>-335.77247103134209</v>
      </c>
      <c r="AH29" s="1021">
        <f>(VLOOKUP(YEAR($A29),'NY East Load Projections'!$A$4:$EO$14,((MONTH($A29)-1)*12)+VLOOKUP(AH$4,$DE$6:$DF$17,2)+1))*$C29</f>
        <v>-335.77247103134209</v>
      </c>
      <c r="AI29" s="1021">
        <f>(VLOOKUP(YEAR($A29),'NY East Load Projections'!$A$4:$EO$14,((MONTH($A29)-1)*12)+VLOOKUP(AI$4,$DE$6:$DF$17,2)+1))*$C29</f>
        <v>-335.77247103134209</v>
      </c>
      <c r="AJ29" s="1021">
        <f>(VLOOKUP(YEAR($A29),'NY East Load Projections'!$A$4:$EO$14,((MONTH($A29)-1)*12)+VLOOKUP(AJ$4,$DE$6:$DF$17,2)+1))*$C29</f>
        <v>-335.77247103134209</v>
      </c>
      <c r="AK29" s="1021">
        <f>(VLOOKUP(YEAR($A29),'NY East Load Projections'!$A$4:$EO$14,((MONTH($A29)-1)*12)+VLOOKUP(AK$4,$DE$6:$DF$17,2)+1))*$C29</f>
        <v>-343.47983420456524</v>
      </c>
      <c r="AL29" s="1021">
        <f>(VLOOKUP(YEAR($A29),'NY East Load Projections'!$A$4:$EO$14,((MONTH($A29)-1)*12)+VLOOKUP(AL$4,$DE$6:$DF$17,2)+1))*$C29</f>
        <v>-343.47983420456524</v>
      </c>
      <c r="AM29" s="1021">
        <f>(VLOOKUP(YEAR($A29),'NY East Load Projections'!$A$4:$EO$14,((MONTH($A29)-1)*12)+VLOOKUP(AM$4,$DE$6:$DF$17,2)+1))*$C29</f>
        <v>-343.47983420456524</v>
      </c>
      <c r="AN29" s="1021">
        <f>(VLOOKUP(YEAR($A29),'NY East Load Projections'!$A$4:$EO$14,((MONTH($A29)-1)*12)+VLOOKUP(AN$4,$DE$6:$DF$17,2)+1))*$C29</f>
        <v>-343.47983420456524</v>
      </c>
      <c r="AO29" s="1021">
        <f>(VLOOKUP(YEAR($A29),'NY East Load Projections'!$A$4:$EO$14,((MONTH($A29)-1)*12)+VLOOKUP(AO$4,$DE$6:$DF$17,2)+1))*$C29</f>
        <v>-359.96207543002737</v>
      </c>
      <c r="AP29" s="1021">
        <f>(VLOOKUP(YEAR($A29),'NY East Load Projections'!$A$4:$EO$14,((MONTH($A29)-1)*12)+VLOOKUP(AP$4,$DE$6:$DF$17,2)+1))*$C29</f>
        <v>-359.96207543002737</v>
      </c>
      <c r="AQ29" s="1021">
        <f>(VLOOKUP(YEAR($A29),'NY East Load Projections'!$A$4:$EO$14,((MONTH($A29)-1)*12)+VLOOKUP(AQ$4,$DE$6:$DF$17,2)+1))*$C29</f>
        <v>-359.96207543002737</v>
      </c>
      <c r="AR29" s="1021">
        <f>(VLOOKUP(YEAR($A29),'NY East Load Projections'!$A$4:$EO$14,((MONTH($A29)-1)*12)+VLOOKUP(AR$4,$DE$6:$DF$17,2)+1))*$C29</f>
        <v>-359.96207543002737</v>
      </c>
      <c r="AS29" s="1021">
        <f>(VLOOKUP(YEAR($A29),'NY East Load Projections'!$A$4:$EO$14,((MONTH($A29)-1)*12)+VLOOKUP(AS$4,$DE$6:$DF$17,2)+1))*$C29</f>
        <v>-357.20402745123079</v>
      </c>
      <c r="AT29" s="1021">
        <f>(VLOOKUP(YEAR($A29),'NY East Load Projections'!$A$4:$EO$14,((MONTH($A29)-1)*12)+VLOOKUP(AT$4,$DE$6:$DF$17,2)+1))*$C29</f>
        <v>-357.20402745123079</v>
      </c>
      <c r="AU29" s="1021">
        <f>(VLOOKUP(YEAR($A29),'NY East Load Projections'!$A$4:$EO$14,((MONTH($A29)-1)*12)+VLOOKUP(AU$4,$DE$6:$DF$17,2)+1))*$C29</f>
        <v>-357.20402745123079</v>
      </c>
      <c r="AV29" s="1021">
        <f>(VLOOKUP(YEAR($A29),'NY East Load Projections'!$A$4:$EO$14,((MONTH($A29)-1)*12)+VLOOKUP(AV$4,$DE$6:$DF$17,2)+1))*$C29</f>
        <v>-357.20402745123079</v>
      </c>
      <c r="AW29" s="1021">
        <f>(VLOOKUP(YEAR($A29),'NY East Load Projections'!$A$4:$EO$14,((MONTH($A29)-1)*12)+VLOOKUP(AW$4,$DE$6:$DF$17,2)+1))*$C29</f>
        <v>-348.92284125955666</v>
      </c>
      <c r="AX29" s="1021">
        <f>(VLOOKUP(YEAR($A29),'NY East Load Projections'!$A$4:$EO$14,((MONTH($A29)-1)*12)+VLOOKUP(AX$4,$DE$6:$DF$17,2)+1))*$C29</f>
        <v>-348.92284125955666</v>
      </c>
      <c r="AY29" s="1021">
        <f>(VLOOKUP(YEAR($A29),'NY East Load Projections'!$A$4:$EO$14,((MONTH($A29)-1)*12)+VLOOKUP(AY$4,$DE$6:$DF$17,2)+1))*$C29</f>
        <v>-348.92284125955666</v>
      </c>
      <c r="AZ29" s="1021">
        <f>(VLOOKUP(YEAR($A29),'NY East Load Projections'!$A$4:$EO$14,((MONTH($A29)-1)*12)+VLOOKUP(AZ$4,$DE$6:$DF$17,2)+1))*$C29</f>
        <v>-348.92284125955666</v>
      </c>
      <c r="BA29" s="1021">
        <f>(VLOOKUP(YEAR($A29),'NY East Load Projections'!$A$4:$EO$14,((MONTH($A29)-1)*12)+VLOOKUP(BA$4,$DE$6:$DF$17,2)+1))*$C29</f>
        <v>-342.77213434341269</v>
      </c>
      <c r="BB29" s="1021">
        <f>(VLOOKUP(YEAR($A29),'NY East Load Projections'!$A$4:$EO$14,((MONTH($A29)-1)*12)+VLOOKUP(BB$4,$DE$6:$DF$17,2)+1))*$C29</f>
        <v>-342.77213434341269</v>
      </c>
      <c r="BC29" s="1021">
        <f>(VLOOKUP(YEAR($A29),'NY East Load Projections'!$A$4:$EO$14,((MONTH($A29)-1)*12)+VLOOKUP(BC$4,$DE$6:$DF$17,2)+1))*$C29</f>
        <v>-342.77213434341269</v>
      </c>
      <c r="BD29" s="1021">
        <f>(VLOOKUP(YEAR($A29),'NY East Load Projections'!$A$4:$EO$14,((MONTH($A29)-1)*12)+VLOOKUP(BD$4,$DE$6:$DF$17,2)+1))*$C29</f>
        <v>-342.77213434341269</v>
      </c>
      <c r="BE29" s="1021"/>
      <c r="BF29" s="1021">
        <f>(VLOOKUP(YEAR($A29),'NY East Load Projections'!$A$4:$EO$14,((MONTH($A29)-1)*12)+VLOOKUP(BF$4,$DE$6:$DF$17,2)+1))*$D29</f>
        <v>-419.71558878917762</v>
      </c>
      <c r="BG29" s="1021">
        <f>(VLOOKUP(YEAR($A29),'NY East Load Projections'!$A$4:$EO$14,((MONTH($A29)-1)*12)+VLOOKUP(BG$4,$DE$6:$DF$17,2)+1))*$D29</f>
        <v>-419.71558878917762</v>
      </c>
      <c r="BH29" s="1021">
        <f>(VLOOKUP(YEAR($A29),'NY East Load Projections'!$A$4:$EO$14,((MONTH($A29)-1)*12)+VLOOKUP(BH$4,$DE$6:$DF$17,2)+1))*$D29</f>
        <v>-419.71558878917762</v>
      </c>
      <c r="BI29" s="1021">
        <f>(VLOOKUP(YEAR($A29),'NY East Load Projections'!$A$4:$EO$14,((MONTH($A29)-1)*12)+VLOOKUP(BI$4,$DE$6:$DF$17,2)+1))*$D29</f>
        <v>-419.71558878917762</v>
      </c>
      <c r="BJ29" s="1021">
        <f>(VLOOKUP(YEAR($A29),'NY East Load Projections'!$A$4:$EO$14,((MONTH($A29)-1)*12)+VLOOKUP(BJ$4,$DE$6:$DF$17,2)+1))*$D29</f>
        <v>-429.34979275570652</v>
      </c>
      <c r="BK29" s="1021">
        <f>(VLOOKUP(YEAR($A29),'NY East Load Projections'!$A$4:$EO$14,((MONTH($A29)-1)*12)+VLOOKUP(BK$4,$DE$6:$DF$17,2)+1))*$D29</f>
        <v>-429.34979275570652</v>
      </c>
      <c r="BL29" s="1021">
        <f>(VLOOKUP(YEAR($A29),'NY East Load Projections'!$A$4:$EO$14,((MONTH($A29)-1)*12)+VLOOKUP(BL$4,$DE$6:$DF$17,2)+1))*$D29</f>
        <v>-429.34979275570652</v>
      </c>
      <c r="BM29" s="1021">
        <f>(VLOOKUP(YEAR($A29),'NY East Load Projections'!$A$4:$EO$14,((MONTH($A29)-1)*12)+VLOOKUP(BM$4,$DE$6:$DF$17,2)+1))*$D29</f>
        <v>-429.34979275570652</v>
      </c>
      <c r="BN29" s="1021">
        <f>(VLOOKUP(YEAR($A29),'NY East Load Projections'!$A$4:$EO$14,((MONTH($A29)-1)*12)+VLOOKUP(BN$4,$DE$6:$DF$17,2)+1))*$D29</f>
        <v>-449.95259428753423</v>
      </c>
      <c r="BO29" s="1021">
        <f>(VLOOKUP(YEAR($A29),'NY East Load Projections'!$A$4:$EO$14,((MONTH($A29)-1)*12)+VLOOKUP(BO$4,$DE$6:$DF$17,2)+1))*$D29</f>
        <v>-449.95259428753423</v>
      </c>
      <c r="BP29" s="1021">
        <f>(VLOOKUP(YEAR($A29),'NY East Load Projections'!$A$4:$EO$14,((MONTH($A29)-1)*12)+VLOOKUP(BP$4,$DE$6:$DF$17,2)+1))*$D29</f>
        <v>-449.95259428753423</v>
      </c>
      <c r="BQ29" s="1021">
        <f>(VLOOKUP(YEAR($A29),'NY East Load Projections'!$A$4:$EO$14,((MONTH($A29)-1)*12)+VLOOKUP(BQ$4,$DE$6:$DF$17,2)+1))*$D29</f>
        <v>-449.95259428753423</v>
      </c>
      <c r="BR29" s="1021">
        <f>(VLOOKUP(YEAR($A29),'NY East Load Projections'!$A$4:$EO$14,((MONTH($A29)-1)*12)+VLOOKUP(BR$4,$DE$6:$DF$17,2)+1))*$D29</f>
        <v>-446.50503431403848</v>
      </c>
      <c r="BS29" s="1021">
        <f>(VLOOKUP(YEAR($A29),'NY East Load Projections'!$A$4:$EO$14,((MONTH($A29)-1)*12)+VLOOKUP(BS$4,$DE$6:$DF$17,2)+1))*$D29</f>
        <v>-446.50503431403848</v>
      </c>
      <c r="BT29" s="1021">
        <f>(VLOOKUP(YEAR($A29),'NY East Load Projections'!$A$4:$EO$14,((MONTH($A29)-1)*12)+VLOOKUP(BT$4,$DE$6:$DF$17,2)+1))*$D29</f>
        <v>-446.50503431403848</v>
      </c>
      <c r="BU29" s="1021">
        <f>(VLOOKUP(YEAR($A29),'NY East Load Projections'!$A$4:$EO$14,((MONTH($A29)-1)*12)+VLOOKUP(BU$4,$DE$6:$DF$17,2)+1))*$D29</f>
        <v>-446.50503431403848</v>
      </c>
      <c r="BV29" s="1021">
        <f>(VLOOKUP(YEAR($A29),'NY East Load Projections'!$A$4:$EO$14,((MONTH($A29)-1)*12)+VLOOKUP(BV$4,$DE$6:$DF$17,2)+1))*$D29</f>
        <v>-436.15355157444583</v>
      </c>
      <c r="BW29" s="1021">
        <f>(VLOOKUP(YEAR($A29),'NY East Load Projections'!$A$4:$EO$14,((MONTH($A29)-1)*12)+VLOOKUP(BW$4,$DE$6:$DF$17,2)+1))*$D29</f>
        <v>-436.15355157444583</v>
      </c>
      <c r="BX29" s="1021">
        <f>(VLOOKUP(YEAR($A29),'NY East Load Projections'!$A$4:$EO$14,((MONTH($A29)-1)*12)+VLOOKUP(BX$4,$DE$6:$DF$17,2)+1))*$D29</f>
        <v>-436.15355157444583</v>
      </c>
      <c r="BY29" s="1021">
        <f>(VLOOKUP(YEAR($A29),'NY East Load Projections'!$A$4:$EO$14,((MONTH($A29)-1)*12)+VLOOKUP(BY$4,$DE$6:$DF$17,2)+1))*$D29</f>
        <v>-436.15355157444583</v>
      </c>
      <c r="BZ29" s="1021">
        <f>(VLOOKUP(YEAR($A29),'NY East Load Projections'!$A$4:$EO$14,((MONTH($A29)-1)*12)+VLOOKUP(BZ$4,$DE$6:$DF$17,2)+1))*$D29</f>
        <v>-428.46516792926587</v>
      </c>
      <c r="CA29" s="1021">
        <f>(VLOOKUP(YEAR($A29),'NY East Load Projections'!$A$4:$EO$14,((MONTH($A29)-1)*12)+VLOOKUP(CA$4,$DE$6:$DF$17,2)+1))*$D29</f>
        <v>-428.46516792926587</v>
      </c>
      <c r="CB29" s="1021">
        <f>(VLOOKUP(YEAR($A29),'NY East Load Projections'!$A$4:$EO$14,((MONTH($A29)-1)*12)+VLOOKUP(CB$4,$DE$6:$DF$17,2)+1))*$D29</f>
        <v>-428.46516792926587</v>
      </c>
      <c r="CC29" s="1021">
        <f>(VLOOKUP(YEAR($A29),'NY East Load Projections'!$A$4:$EO$14,((MONTH($A29)-1)*12)+VLOOKUP(CC$4,$DE$6:$DF$17,2)+1))*$D29</f>
        <v>-428.46516792926587</v>
      </c>
      <c r="CE29" s="1021">
        <f>(VLOOKUP(YEAR($A29),'NY East Load Projections'!$A$4:$EO$14,((MONTH($A29)-1)*12)+VLOOKUP(CE$4,$DE$6:$DF$17,2)+1))*$E29</f>
        <v>-83.943117757835523</v>
      </c>
      <c r="CF29" s="1021">
        <f>(VLOOKUP(YEAR($A29),'NY East Load Projections'!$A$4:$EO$14,((MONTH($A29)-1)*12)+VLOOKUP(CF$4,$DE$6:$DF$17,2)+1))*$E29</f>
        <v>-83.943117757835523</v>
      </c>
      <c r="CG29" s="1021">
        <f>(VLOOKUP(YEAR($A29),'NY East Load Projections'!$A$4:$EO$14,((MONTH($A29)-1)*12)+VLOOKUP(CG$4,$DE$6:$DF$17,2)+1))*$E29</f>
        <v>-83.943117757835523</v>
      </c>
      <c r="CH29" s="1021">
        <f>(VLOOKUP(YEAR($A29),'NY East Load Projections'!$A$4:$EO$14,((MONTH($A29)-1)*12)+VLOOKUP(CH$4,$DE$6:$DF$17,2)+1))*$E29</f>
        <v>-83.943117757835523</v>
      </c>
      <c r="CI29" s="1021">
        <f>(VLOOKUP(YEAR($A29),'NY East Load Projections'!$A$4:$EO$14,((MONTH($A29)-1)*12)+VLOOKUP(CI$4,$DE$6:$DF$17,2)+1))*$E29</f>
        <v>-85.869958551141309</v>
      </c>
      <c r="CJ29" s="1021">
        <f>(VLOOKUP(YEAR($A29),'NY East Load Projections'!$A$4:$EO$14,((MONTH($A29)-1)*12)+VLOOKUP(CJ$4,$DE$6:$DF$17,2)+1))*$E29</f>
        <v>-85.869958551141309</v>
      </c>
      <c r="CK29" s="1021">
        <f>(VLOOKUP(YEAR($A29),'NY East Load Projections'!$A$4:$EO$14,((MONTH($A29)-1)*12)+VLOOKUP(CK$4,$DE$6:$DF$17,2)+1))*$E29</f>
        <v>-85.869958551141309</v>
      </c>
      <c r="CL29" s="1021">
        <f>(VLOOKUP(YEAR($A29),'NY East Load Projections'!$A$4:$EO$14,((MONTH($A29)-1)*12)+VLOOKUP(CL$4,$DE$6:$DF$17,2)+1))*$E29</f>
        <v>-85.869958551141309</v>
      </c>
      <c r="CM29" s="1021">
        <f>(VLOOKUP(YEAR($A29),'NY East Load Projections'!$A$4:$EO$14,((MONTH($A29)-1)*12)+VLOOKUP(CM$4,$DE$6:$DF$17,2)+1))*$E29</f>
        <v>-89.990518857506842</v>
      </c>
      <c r="CN29" s="1021">
        <f>(VLOOKUP(YEAR($A29),'NY East Load Projections'!$A$4:$EO$14,((MONTH($A29)-1)*12)+VLOOKUP(CN$4,$DE$6:$DF$17,2)+1))*$E29</f>
        <v>-89.990518857506842</v>
      </c>
      <c r="CO29" s="1021">
        <f>(VLOOKUP(YEAR($A29),'NY East Load Projections'!$A$4:$EO$14,((MONTH($A29)-1)*12)+VLOOKUP(CO$4,$DE$6:$DF$17,2)+1))*$E29</f>
        <v>-89.990518857506842</v>
      </c>
      <c r="CP29" s="1021">
        <f>(VLOOKUP(YEAR($A29),'NY East Load Projections'!$A$4:$EO$14,((MONTH($A29)-1)*12)+VLOOKUP(CP$4,$DE$6:$DF$17,2)+1))*$E29</f>
        <v>-89.990518857506842</v>
      </c>
      <c r="CQ29" s="1021">
        <f>(VLOOKUP(YEAR($A29),'NY East Load Projections'!$A$4:$EO$14,((MONTH($A29)-1)*12)+VLOOKUP(CQ$4,$DE$6:$DF$17,2)+1))*$E29</f>
        <v>-89.301006862807697</v>
      </c>
      <c r="CR29" s="1021">
        <f>(VLOOKUP(YEAR($A29),'NY East Load Projections'!$A$4:$EO$14,((MONTH($A29)-1)*12)+VLOOKUP(CR$4,$DE$6:$DF$17,2)+1))*$E29</f>
        <v>-89.301006862807697</v>
      </c>
      <c r="CS29" s="1021">
        <f>(VLOOKUP(YEAR($A29),'NY East Load Projections'!$A$4:$EO$14,((MONTH($A29)-1)*12)+VLOOKUP(CS$4,$DE$6:$DF$17,2)+1))*$E29</f>
        <v>-89.301006862807697</v>
      </c>
      <c r="CT29" s="1021">
        <f>(VLOOKUP(YEAR($A29),'NY East Load Projections'!$A$4:$EO$14,((MONTH($A29)-1)*12)+VLOOKUP(CT$4,$DE$6:$DF$17,2)+1))*$E29</f>
        <v>-89.301006862807697</v>
      </c>
      <c r="CU29" s="1021">
        <f>(VLOOKUP(YEAR($A29),'NY East Load Projections'!$A$4:$EO$14,((MONTH($A29)-1)*12)+VLOOKUP(CU$4,$DE$6:$DF$17,2)+1))*$E29</f>
        <v>-87.230710314889166</v>
      </c>
      <c r="CV29" s="1021">
        <f>(VLOOKUP(YEAR($A29),'NY East Load Projections'!$A$4:$EO$14,((MONTH($A29)-1)*12)+VLOOKUP(CV$4,$DE$6:$DF$17,2)+1))*$E29</f>
        <v>-87.230710314889166</v>
      </c>
      <c r="CW29" s="1021">
        <f>(VLOOKUP(YEAR($A29),'NY East Load Projections'!$A$4:$EO$14,((MONTH($A29)-1)*12)+VLOOKUP(CW$4,$DE$6:$DF$17,2)+1))*$E29</f>
        <v>-87.230710314889166</v>
      </c>
      <c r="CX29" s="1021">
        <f>(VLOOKUP(YEAR($A29),'NY East Load Projections'!$A$4:$EO$14,((MONTH($A29)-1)*12)+VLOOKUP(CX$4,$DE$6:$DF$17,2)+1))*$E29</f>
        <v>-87.230710314889166</v>
      </c>
      <c r="CY29" s="1021">
        <f>(VLOOKUP(YEAR($A29),'NY East Load Projections'!$A$4:$EO$14,((MONTH($A29)-1)*12)+VLOOKUP(CY$4,$DE$6:$DF$17,2)+1))*$E29</f>
        <v>-85.693033585853172</v>
      </c>
      <c r="CZ29" s="1021">
        <f>(VLOOKUP(YEAR($A29),'NY East Load Projections'!$A$4:$EO$14,((MONTH($A29)-1)*12)+VLOOKUP(CZ$4,$DE$6:$DF$17,2)+1))*$E29</f>
        <v>-85.693033585853172</v>
      </c>
      <c r="DA29" s="1021">
        <f>(VLOOKUP(YEAR($A29),'NY East Load Projections'!$A$4:$EO$14,((MONTH($A29)-1)*12)+VLOOKUP(DA$4,$DE$6:$DF$17,2)+1))*$E29</f>
        <v>-85.693033585853172</v>
      </c>
      <c r="DB29" s="1021">
        <f>(VLOOKUP(YEAR($A29),'NY East Load Projections'!$A$4:$EO$14,((MONTH($A29)-1)*12)+VLOOKUP(DB$4,$DE$6:$DF$17,2)+1))*$E29</f>
        <v>-85.693033585853172</v>
      </c>
      <c r="DH29" s="1009">
        <f t="shared" si="0"/>
        <v>-64387.452331428634</v>
      </c>
      <c r="DI29">
        <f ca="1">CALC!J49</f>
        <v>0.8160060600948037</v>
      </c>
      <c r="DJ29" s="1032">
        <f t="shared" ca="1" si="1"/>
        <v>-52540.551296511061</v>
      </c>
    </row>
    <row r="30" spans="1:114" x14ac:dyDescent="0.25">
      <c r="A30" s="244">
        <v>37622</v>
      </c>
      <c r="B30" s="13">
        <v>22</v>
      </c>
      <c r="C30" s="210">
        <v>4</v>
      </c>
      <c r="D30" s="210">
        <v>4</v>
      </c>
      <c r="E30" s="210">
        <v>1</v>
      </c>
      <c r="F30" s="13">
        <v>31</v>
      </c>
      <c r="H30" s="1021">
        <f>(VLOOKUP(YEAR($A30),'NY East Load Projections'!$A$4:$EO$14,((MONTH($A30)-1)*12)+VLOOKUP(H$4,$DE$6:$DF$17,2)+1))*$B30</f>
        <v>-1666.3898186374822</v>
      </c>
      <c r="I30" s="1021">
        <f>(VLOOKUP(YEAR($A30),'NY East Load Projections'!$A$4:$EO$14,((MONTH($A30)-1)*12)+VLOOKUP(I$4,$DE$6:$DF$17,2)+1))*$B30</f>
        <v>-1666.3898186374822</v>
      </c>
      <c r="J30" s="1021">
        <f>(VLOOKUP(YEAR($A30),'NY East Load Projections'!$A$4:$EO$14,((MONTH($A30)-1)*12)+VLOOKUP(J$4,$DE$6:$DF$17,2)+1))*$B30</f>
        <v>-1666.3898186374822</v>
      </c>
      <c r="K30" s="1021">
        <f>(VLOOKUP(YEAR($A30),'NY East Load Projections'!$A$4:$EO$14,((MONTH($A30)-1)*12)+VLOOKUP(K$4,$DE$6:$DF$17,2)+1))*$B30</f>
        <v>-1666.3898186374822</v>
      </c>
      <c r="L30" s="1021">
        <f>(VLOOKUP(YEAR($A30),'NY East Load Projections'!$A$4:$EO$14,((MONTH($A30)-1)*12)+VLOOKUP(L$4,$DE$6:$DF$17,2)+1))*$B30</f>
        <v>-1798.5702376411955</v>
      </c>
      <c r="M30" s="1021">
        <f>(VLOOKUP(YEAR($A30),'NY East Load Projections'!$A$4:$EO$14,((MONTH($A30)-1)*12)+VLOOKUP(M$4,$DE$6:$DF$17,2)+1))*$B30</f>
        <v>-1798.5702376411955</v>
      </c>
      <c r="N30" s="1021">
        <f>(VLOOKUP(YEAR($A30),'NY East Load Projections'!$A$4:$EO$14,((MONTH($A30)-1)*12)+VLOOKUP(N$4,$DE$6:$DF$17,2)+1))*$B30</f>
        <v>-1798.5702376411955</v>
      </c>
      <c r="O30" s="1021">
        <f>(VLOOKUP(YEAR($A30),'NY East Load Projections'!$A$4:$EO$14,((MONTH($A30)-1)*12)+VLOOKUP(O$4,$DE$6:$DF$17,2)+1))*$B30</f>
        <v>-1798.5702376411955</v>
      </c>
      <c r="P30" s="1021">
        <f>(VLOOKUP(YEAR($A30),'NY East Load Projections'!$A$4:$EO$14,((MONTH($A30)-1)*12)+VLOOKUP(P$4,$DE$6:$DF$17,2)+1))*$B30</f>
        <v>-1873.0238243255055</v>
      </c>
      <c r="Q30" s="1021">
        <f>(VLOOKUP(YEAR($A30),'NY East Load Projections'!$A$4:$EO$14,((MONTH($A30)-1)*12)+VLOOKUP(Q$4,$DE$6:$DF$17,2)+1))*$B30</f>
        <v>-1873.0238243255055</v>
      </c>
      <c r="R30" s="1021">
        <f>(VLOOKUP(YEAR($A30),'NY East Load Projections'!$A$4:$EO$14,((MONTH($A30)-1)*12)+VLOOKUP(R$4,$DE$6:$DF$17,2)+1))*$B30</f>
        <v>-1873.0238243255055</v>
      </c>
      <c r="S30" s="1021">
        <f>(VLOOKUP(YEAR($A30),'NY East Load Projections'!$A$4:$EO$14,((MONTH($A30)-1)*12)+VLOOKUP(S$4,$DE$6:$DF$17,2)+1))*$B30</f>
        <v>-1873.0238243255055</v>
      </c>
      <c r="T30" s="1021">
        <f>(VLOOKUP(YEAR($A30),'NY East Load Projections'!$A$4:$EO$14,((MONTH($A30)-1)*12)+VLOOKUP(T$4,$DE$6:$DF$17,2)+1))*$B30</f>
        <v>-1870.6599839959849</v>
      </c>
      <c r="U30" s="1021">
        <f>(VLOOKUP(YEAR($A30),'NY East Load Projections'!$A$4:$EO$14,((MONTH($A30)-1)*12)+VLOOKUP(U$4,$DE$6:$DF$17,2)+1))*$B30</f>
        <v>-1870.6599839959849</v>
      </c>
      <c r="V30" s="1021">
        <f>(VLOOKUP(YEAR($A30),'NY East Load Projections'!$A$4:$EO$14,((MONTH($A30)-1)*12)+VLOOKUP(V$4,$DE$6:$DF$17,2)+1))*$B30</f>
        <v>-1870.6599839959849</v>
      </c>
      <c r="W30" s="1021">
        <f>(VLOOKUP(YEAR($A30),'NY East Load Projections'!$A$4:$EO$14,((MONTH($A30)-1)*12)+VLOOKUP(W$4,$DE$6:$DF$17,2)+1))*$B30</f>
        <v>-1870.6599839959849</v>
      </c>
      <c r="X30" s="1021">
        <f>(VLOOKUP(YEAR($A30),'NY East Load Projections'!$A$4:$EO$14,((MONTH($A30)-1)*12)+VLOOKUP(X$4,$DE$6:$DF$17,2)+1))*$B30</f>
        <v>-1799.094571069118</v>
      </c>
      <c r="Y30" s="1021">
        <f>(VLOOKUP(YEAR($A30),'NY East Load Projections'!$A$4:$EO$14,((MONTH($A30)-1)*12)+VLOOKUP(Y$4,$DE$6:$DF$17,2)+1))*$B30</f>
        <v>-1799.094571069118</v>
      </c>
      <c r="Z30" s="1021">
        <f>(VLOOKUP(YEAR($A30),'NY East Load Projections'!$A$4:$EO$14,((MONTH($A30)-1)*12)+VLOOKUP(Z$4,$DE$6:$DF$17,2)+1))*$B30</f>
        <v>-1799.094571069118</v>
      </c>
      <c r="AA30" s="1021">
        <f>(VLOOKUP(YEAR($A30),'NY East Load Projections'!$A$4:$EO$14,((MONTH($A30)-1)*12)+VLOOKUP(AA$4,$DE$6:$DF$17,2)+1))*$B30</f>
        <v>-1799.094571069118</v>
      </c>
      <c r="AB30" s="1021">
        <f>(VLOOKUP(YEAR($A30),'NY East Load Projections'!$A$4:$EO$14,((MONTH($A30)-1)*12)+VLOOKUP(AB$4,$DE$6:$DF$17,2)+1))*$B30</f>
        <v>-1715.5523287921312</v>
      </c>
      <c r="AC30" s="1021">
        <f>(VLOOKUP(YEAR($A30),'NY East Load Projections'!$A$4:$EO$14,((MONTH($A30)-1)*12)+VLOOKUP(AC$4,$DE$6:$DF$17,2)+1))*$B30</f>
        <v>-1715.5523287921312</v>
      </c>
      <c r="AD30" s="1021">
        <f>(VLOOKUP(YEAR($A30),'NY East Load Projections'!$A$4:$EO$14,((MONTH($A30)-1)*12)+VLOOKUP(AD$4,$DE$6:$DF$17,2)+1))*$B30</f>
        <v>-1715.5523287921312</v>
      </c>
      <c r="AE30" s="1021">
        <f>(VLOOKUP(YEAR($A30),'NY East Load Projections'!$A$4:$EO$14,((MONTH($A30)-1)*12)+VLOOKUP(AE$4,$DE$6:$DF$17,2)+1))*$B30</f>
        <v>-1715.5523287921312</v>
      </c>
      <c r="AF30" s="1021"/>
      <c r="AG30" s="1021">
        <f>(VLOOKUP(YEAR($A30),'NY East Load Projections'!$A$4:$EO$14,((MONTH($A30)-1)*12)+VLOOKUP(AG$4,$DE$6:$DF$17,2)+1))*$C30</f>
        <v>-324.99024405967498</v>
      </c>
      <c r="AH30" s="1021">
        <f>(VLOOKUP(YEAR($A30),'NY East Load Projections'!$A$4:$EO$14,((MONTH($A30)-1)*12)+VLOOKUP(AH$4,$DE$6:$DF$17,2)+1))*$C30</f>
        <v>-324.99024405967498</v>
      </c>
      <c r="AI30" s="1021">
        <f>(VLOOKUP(YEAR($A30),'NY East Load Projections'!$A$4:$EO$14,((MONTH($A30)-1)*12)+VLOOKUP(AI$4,$DE$6:$DF$17,2)+1))*$C30</f>
        <v>-324.99024405967498</v>
      </c>
      <c r="AJ30" s="1021">
        <f>(VLOOKUP(YEAR($A30),'NY East Load Projections'!$A$4:$EO$14,((MONTH($A30)-1)*12)+VLOOKUP(AJ$4,$DE$6:$DF$17,2)+1))*$C30</f>
        <v>-324.99024405967498</v>
      </c>
      <c r="AK30" s="1021">
        <f>(VLOOKUP(YEAR($A30),'NY East Load Projections'!$A$4:$EO$14,((MONTH($A30)-1)*12)+VLOOKUP(AK$4,$DE$6:$DF$17,2)+1))*$C30</f>
        <v>-333.99777718745548</v>
      </c>
      <c r="AL30" s="1021">
        <f>(VLOOKUP(YEAR($A30),'NY East Load Projections'!$A$4:$EO$14,((MONTH($A30)-1)*12)+VLOOKUP(AL$4,$DE$6:$DF$17,2)+1))*$C30</f>
        <v>-333.99777718745548</v>
      </c>
      <c r="AM30" s="1021">
        <f>(VLOOKUP(YEAR($A30),'NY East Load Projections'!$A$4:$EO$14,((MONTH($A30)-1)*12)+VLOOKUP(AM$4,$DE$6:$DF$17,2)+1))*$C30</f>
        <v>-333.99777718745548</v>
      </c>
      <c r="AN30" s="1021">
        <f>(VLOOKUP(YEAR($A30),'NY East Load Projections'!$A$4:$EO$14,((MONTH($A30)-1)*12)+VLOOKUP(AN$4,$DE$6:$DF$17,2)+1))*$C30</f>
        <v>-333.99777718745548</v>
      </c>
      <c r="AO30" s="1021">
        <f>(VLOOKUP(YEAR($A30),'NY East Load Projections'!$A$4:$EO$14,((MONTH($A30)-1)*12)+VLOOKUP(AO$4,$DE$6:$DF$17,2)+1))*$C30</f>
        <v>-354.17778492396127</v>
      </c>
      <c r="AP30" s="1021">
        <f>(VLOOKUP(YEAR($A30),'NY East Load Projections'!$A$4:$EO$14,((MONTH($A30)-1)*12)+VLOOKUP(AP$4,$DE$6:$DF$17,2)+1))*$C30</f>
        <v>-354.17778492396127</v>
      </c>
      <c r="AQ30" s="1021">
        <f>(VLOOKUP(YEAR($A30),'NY East Load Projections'!$A$4:$EO$14,((MONTH($A30)-1)*12)+VLOOKUP(AQ$4,$DE$6:$DF$17,2)+1))*$C30</f>
        <v>-354.17778492396127</v>
      </c>
      <c r="AR30" s="1021">
        <f>(VLOOKUP(YEAR($A30),'NY East Load Projections'!$A$4:$EO$14,((MONTH($A30)-1)*12)+VLOOKUP(AR$4,$DE$6:$DF$17,2)+1))*$C30</f>
        <v>-354.17778492396127</v>
      </c>
      <c r="AS30" s="1021">
        <f>(VLOOKUP(YEAR($A30),'NY East Load Projections'!$A$4:$EO$14,((MONTH($A30)-1)*12)+VLOOKUP(AS$4,$DE$6:$DF$17,2)+1))*$C30</f>
        <v>-348.15232463174033</v>
      </c>
      <c r="AT30" s="1021">
        <f>(VLOOKUP(YEAR($A30),'NY East Load Projections'!$A$4:$EO$14,((MONTH($A30)-1)*12)+VLOOKUP(AT$4,$DE$6:$DF$17,2)+1))*$C30</f>
        <v>-348.15232463174033</v>
      </c>
      <c r="AU30" s="1021">
        <f>(VLOOKUP(YEAR($A30),'NY East Load Projections'!$A$4:$EO$14,((MONTH($A30)-1)*12)+VLOOKUP(AU$4,$DE$6:$DF$17,2)+1))*$C30</f>
        <v>-348.15232463174033</v>
      </c>
      <c r="AV30" s="1021">
        <f>(VLOOKUP(YEAR($A30),'NY East Load Projections'!$A$4:$EO$14,((MONTH($A30)-1)*12)+VLOOKUP(AV$4,$DE$6:$DF$17,2)+1))*$C30</f>
        <v>-348.15232463174033</v>
      </c>
      <c r="AW30" s="1021">
        <f>(VLOOKUP(YEAR($A30),'NY East Load Projections'!$A$4:$EO$14,((MONTH($A30)-1)*12)+VLOOKUP(AW$4,$DE$6:$DF$17,2)+1))*$C30</f>
        <v>-335.95039288152105</v>
      </c>
      <c r="AX30" s="1021">
        <f>(VLOOKUP(YEAR($A30),'NY East Load Projections'!$A$4:$EO$14,((MONTH($A30)-1)*12)+VLOOKUP(AX$4,$DE$6:$DF$17,2)+1))*$C30</f>
        <v>-335.95039288152105</v>
      </c>
      <c r="AY30" s="1021">
        <f>(VLOOKUP(YEAR($A30),'NY East Load Projections'!$A$4:$EO$14,((MONTH($A30)-1)*12)+VLOOKUP(AY$4,$DE$6:$DF$17,2)+1))*$C30</f>
        <v>-335.95039288152105</v>
      </c>
      <c r="AZ30" s="1021">
        <f>(VLOOKUP(YEAR($A30),'NY East Load Projections'!$A$4:$EO$14,((MONTH($A30)-1)*12)+VLOOKUP(AZ$4,$DE$6:$DF$17,2)+1))*$C30</f>
        <v>-335.95039288152105</v>
      </c>
      <c r="BA30" s="1021">
        <f>(VLOOKUP(YEAR($A30),'NY East Load Projections'!$A$4:$EO$14,((MONTH($A30)-1)*12)+VLOOKUP(BA$4,$DE$6:$DF$17,2)+1))*$C30</f>
        <v>-328.63932495463291</v>
      </c>
      <c r="BB30" s="1021">
        <f>(VLOOKUP(YEAR($A30),'NY East Load Projections'!$A$4:$EO$14,((MONTH($A30)-1)*12)+VLOOKUP(BB$4,$DE$6:$DF$17,2)+1))*$C30</f>
        <v>-328.63932495463291</v>
      </c>
      <c r="BC30" s="1021">
        <f>(VLOOKUP(YEAR($A30),'NY East Load Projections'!$A$4:$EO$14,((MONTH($A30)-1)*12)+VLOOKUP(BC$4,$DE$6:$DF$17,2)+1))*$C30</f>
        <v>-328.63932495463291</v>
      </c>
      <c r="BD30" s="1021">
        <f>(VLOOKUP(YEAR($A30),'NY East Load Projections'!$A$4:$EO$14,((MONTH($A30)-1)*12)+VLOOKUP(BD$4,$DE$6:$DF$17,2)+1))*$C30</f>
        <v>-328.63932495463291</v>
      </c>
      <c r="BE30" s="1021"/>
      <c r="BF30" s="1021">
        <f>(VLOOKUP(YEAR($A30),'NY East Load Projections'!$A$4:$EO$14,((MONTH($A30)-1)*12)+VLOOKUP(BF$4,$DE$6:$DF$17,2)+1))*$D30</f>
        <v>-324.99024405967498</v>
      </c>
      <c r="BG30" s="1021">
        <f>(VLOOKUP(YEAR($A30),'NY East Load Projections'!$A$4:$EO$14,((MONTH($A30)-1)*12)+VLOOKUP(BG$4,$DE$6:$DF$17,2)+1))*$D30</f>
        <v>-324.99024405967498</v>
      </c>
      <c r="BH30" s="1021">
        <f>(VLOOKUP(YEAR($A30),'NY East Load Projections'!$A$4:$EO$14,((MONTH($A30)-1)*12)+VLOOKUP(BH$4,$DE$6:$DF$17,2)+1))*$D30</f>
        <v>-324.99024405967498</v>
      </c>
      <c r="BI30" s="1021">
        <f>(VLOOKUP(YEAR($A30),'NY East Load Projections'!$A$4:$EO$14,((MONTH($A30)-1)*12)+VLOOKUP(BI$4,$DE$6:$DF$17,2)+1))*$D30</f>
        <v>-324.99024405967498</v>
      </c>
      <c r="BJ30" s="1021">
        <f>(VLOOKUP(YEAR($A30),'NY East Load Projections'!$A$4:$EO$14,((MONTH($A30)-1)*12)+VLOOKUP(BJ$4,$DE$6:$DF$17,2)+1))*$D30</f>
        <v>-333.99777718745548</v>
      </c>
      <c r="BK30" s="1021">
        <f>(VLOOKUP(YEAR($A30),'NY East Load Projections'!$A$4:$EO$14,((MONTH($A30)-1)*12)+VLOOKUP(BK$4,$DE$6:$DF$17,2)+1))*$D30</f>
        <v>-333.99777718745548</v>
      </c>
      <c r="BL30" s="1021">
        <f>(VLOOKUP(YEAR($A30),'NY East Load Projections'!$A$4:$EO$14,((MONTH($A30)-1)*12)+VLOOKUP(BL$4,$DE$6:$DF$17,2)+1))*$D30</f>
        <v>-333.99777718745548</v>
      </c>
      <c r="BM30" s="1021">
        <f>(VLOOKUP(YEAR($A30),'NY East Load Projections'!$A$4:$EO$14,((MONTH($A30)-1)*12)+VLOOKUP(BM$4,$DE$6:$DF$17,2)+1))*$D30</f>
        <v>-333.99777718745548</v>
      </c>
      <c r="BN30" s="1021">
        <f>(VLOOKUP(YEAR($A30),'NY East Load Projections'!$A$4:$EO$14,((MONTH($A30)-1)*12)+VLOOKUP(BN$4,$DE$6:$DF$17,2)+1))*$D30</f>
        <v>-354.17778492396127</v>
      </c>
      <c r="BO30" s="1021">
        <f>(VLOOKUP(YEAR($A30),'NY East Load Projections'!$A$4:$EO$14,((MONTH($A30)-1)*12)+VLOOKUP(BO$4,$DE$6:$DF$17,2)+1))*$D30</f>
        <v>-354.17778492396127</v>
      </c>
      <c r="BP30" s="1021">
        <f>(VLOOKUP(YEAR($A30),'NY East Load Projections'!$A$4:$EO$14,((MONTH($A30)-1)*12)+VLOOKUP(BP$4,$DE$6:$DF$17,2)+1))*$D30</f>
        <v>-354.17778492396127</v>
      </c>
      <c r="BQ30" s="1021">
        <f>(VLOOKUP(YEAR($A30),'NY East Load Projections'!$A$4:$EO$14,((MONTH($A30)-1)*12)+VLOOKUP(BQ$4,$DE$6:$DF$17,2)+1))*$D30</f>
        <v>-354.17778492396127</v>
      </c>
      <c r="BR30" s="1021">
        <f>(VLOOKUP(YEAR($A30),'NY East Load Projections'!$A$4:$EO$14,((MONTH($A30)-1)*12)+VLOOKUP(BR$4,$DE$6:$DF$17,2)+1))*$D30</f>
        <v>-348.15232463174033</v>
      </c>
      <c r="BS30" s="1021">
        <f>(VLOOKUP(YEAR($A30),'NY East Load Projections'!$A$4:$EO$14,((MONTH($A30)-1)*12)+VLOOKUP(BS$4,$DE$6:$DF$17,2)+1))*$D30</f>
        <v>-348.15232463174033</v>
      </c>
      <c r="BT30" s="1021">
        <f>(VLOOKUP(YEAR($A30),'NY East Load Projections'!$A$4:$EO$14,((MONTH($A30)-1)*12)+VLOOKUP(BT$4,$DE$6:$DF$17,2)+1))*$D30</f>
        <v>-348.15232463174033</v>
      </c>
      <c r="BU30" s="1021">
        <f>(VLOOKUP(YEAR($A30),'NY East Load Projections'!$A$4:$EO$14,((MONTH($A30)-1)*12)+VLOOKUP(BU$4,$DE$6:$DF$17,2)+1))*$D30</f>
        <v>-348.15232463174033</v>
      </c>
      <c r="BV30" s="1021">
        <f>(VLOOKUP(YEAR($A30),'NY East Load Projections'!$A$4:$EO$14,((MONTH($A30)-1)*12)+VLOOKUP(BV$4,$DE$6:$DF$17,2)+1))*$D30</f>
        <v>-335.95039288152105</v>
      </c>
      <c r="BW30" s="1021">
        <f>(VLOOKUP(YEAR($A30),'NY East Load Projections'!$A$4:$EO$14,((MONTH($A30)-1)*12)+VLOOKUP(BW$4,$DE$6:$DF$17,2)+1))*$D30</f>
        <v>-335.95039288152105</v>
      </c>
      <c r="BX30" s="1021">
        <f>(VLOOKUP(YEAR($A30),'NY East Load Projections'!$A$4:$EO$14,((MONTH($A30)-1)*12)+VLOOKUP(BX$4,$DE$6:$DF$17,2)+1))*$D30</f>
        <v>-335.95039288152105</v>
      </c>
      <c r="BY30" s="1021">
        <f>(VLOOKUP(YEAR($A30),'NY East Load Projections'!$A$4:$EO$14,((MONTH($A30)-1)*12)+VLOOKUP(BY$4,$DE$6:$DF$17,2)+1))*$D30</f>
        <v>-335.95039288152105</v>
      </c>
      <c r="BZ30" s="1021">
        <f>(VLOOKUP(YEAR($A30),'NY East Load Projections'!$A$4:$EO$14,((MONTH($A30)-1)*12)+VLOOKUP(BZ$4,$DE$6:$DF$17,2)+1))*$D30</f>
        <v>-328.63932495463291</v>
      </c>
      <c r="CA30" s="1021">
        <f>(VLOOKUP(YEAR($A30),'NY East Load Projections'!$A$4:$EO$14,((MONTH($A30)-1)*12)+VLOOKUP(CA$4,$DE$6:$DF$17,2)+1))*$D30</f>
        <v>-328.63932495463291</v>
      </c>
      <c r="CB30" s="1021">
        <f>(VLOOKUP(YEAR($A30),'NY East Load Projections'!$A$4:$EO$14,((MONTH($A30)-1)*12)+VLOOKUP(CB$4,$DE$6:$DF$17,2)+1))*$D30</f>
        <v>-328.63932495463291</v>
      </c>
      <c r="CC30" s="1021">
        <f>(VLOOKUP(YEAR($A30),'NY East Load Projections'!$A$4:$EO$14,((MONTH($A30)-1)*12)+VLOOKUP(CC$4,$DE$6:$DF$17,2)+1))*$D30</f>
        <v>-328.63932495463291</v>
      </c>
      <c r="CE30" s="1021">
        <f>(VLOOKUP(YEAR($A30),'NY East Load Projections'!$A$4:$EO$14,((MONTH($A30)-1)*12)+VLOOKUP(CE$4,$DE$6:$DF$17,2)+1))*$E30</f>
        <v>-81.247561014918745</v>
      </c>
      <c r="CF30" s="1021">
        <f>(VLOOKUP(YEAR($A30),'NY East Load Projections'!$A$4:$EO$14,((MONTH($A30)-1)*12)+VLOOKUP(CF$4,$DE$6:$DF$17,2)+1))*$E30</f>
        <v>-81.247561014918745</v>
      </c>
      <c r="CG30" s="1021">
        <f>(VLOOKUP(YEAR($A30),'NY East Load Projections'!$A$4:$EO$14,((MONTH($A30)-1)*12)+VLOOKUP(CG$4,$DE$6:$DF$17,2)+1))*$E30</f>
        <v>-81.247561014918745</v>
      </c>
      <c r="CH30" s="1021">
        <f>(VLOOKUP(YEAR($A30),'NY East Load Projections'!$A$4:$EO$14,((MONTH($A30)-1)*12)+VLOOKUP(CH$4,$DE$6:$DF$17,2)+1))*$E30</f>
        <v>-81.247561014918745</v>
      </c>
      <c r="CI30" s="1021">
        <f>(VLOOKUP(YEAR($A30),'NY East Load Projections'!$A$4:$EO$14,((MONTH($A30)-1)*12)+VLOOKUP(CI$4,$DE$6:$DF$17,2)+1))*$E30</f>
        <v>-83.499444296863871</v>
      </c>
      <c r="CJ30" s="1021">
        <f>(VLOOKUP(YEAR($A30),'NY East Load Projections'!$A$4:$EO$14,((MONTH($A30)-1)*12)+VLOOKUP(CJ$4,$DE$6:$DF$17,2)+1))*$E30</f>
        <v>-83.499444296863871</v>
      </c>
      <c r="CK30" s="1021">
        <f>(VLOOKUP(YEAR($A30),'NY East Load Projections'!$A$4:$EO$14,((MONTH($A30)-1)*12)+VLOOKUP(CK$4,$DE$6:$DF$17,2)+1))*$E30</f>
        <v>-83.499444296863871</v>
      </c>
      <c r="CL30" s="1021">
        <f>(VLOOKUP(YEAR($A30),'NY East Load Projections'!$A$4:$EO$14,((MONTH($A30)-1)*12)+VLOOKUP(CL$4,$DE$6:$DF$17,2)+1))*$E30</f>
        <v>-83.499444296863871</v>
      </c>
      <c r="CM30" s="1021">
        <f>(VLOOKUP(YEAR($A30),'NY East Load Projections'!$A$4:$EO$14,((MONTH($A30)-1)*12)+VLOOKUP(CM$4,$DE$6:$DF$17,2)+1))*$E30</f>
        <v>-88.544446230990317</v>
      </c>
      <c r="CN30" s="1021">
        <f>(VLOOKUP(YEAR($A30),'NY East Load Projections'!$A$4:$EO$14,((MONTH($A30)-1)*12)+VLOOKUP(CN$4,$DE$6:$DF$17,2)+1))*$E30</f>
        <v>-88.544446230990317</v>
      </c>
      <c r="CO30" s="1021">
        <f>(VLOOKUP(YEAR($A30),'NY East Load Projections'!$A$4:$EO$14,((MONTH($A30)-1)*12)+VLOOKUP(CO$4,$DE$6:$DF$17,2)+1))*$E30</f>
        <v>-88.544446230990317</v>
      </c>
      <c r="CP30" s="1021">
        <f>(VLOOKUP(YEAR($A30),'NY East Load Projections'!$A$4:$EO$14,((MONTH($A30)-1)*12)+VLOOKUP(CP$4,$DE$6:$DF$17,2)+1))*$E30</f>
        <v>-88.544446230990317</v>
      </c>
      <c r="CQ30" s="1021">
        <f>(VLOOKUP(YEAR($A30),'NY East Load Projections'!$A$4:$EO$14,((MONTH($A30)-1)*12)+VLOOKUP(CQ$4,$DE$6:$DF$17,2)+1))*$E30</f>
        <v>-87.038081157935082</v>
      </c>
      <c r="CR30" s="1021">
        <f>(VLOOKUP(YEAR($A30),'NY East Load Projections'!$A$4:$EO$14,((MONTH($A30)-1)*12)+VLOOKUP(CR$4,$DE$6:$DF$17,2)+1))*$E30</f>
        <v>-87.038081157935082</v>
      </c>
      <c r="CS30" s="1021">
        <f>(VLOOKUP(YEAR($A30),'NY East Load Projections'!$A$4:$EO$14,((MONTH($A30)-1)*12)+VLOOKUP(CS$4,$DE$6:$DF$17,2)+1))*$E30</f>
        <v>-87.038081157935082</v>
      </c>
      <c r="CT30" s="1021">
        <f>(VLOOKUP(YEAR($A30),'NY East Load Projections'!$A$4:$EO$14,((MONTH($A30)-1)*12)+VLOOKUP(CT$4,$DE$6:$DF$17,2)+1))*$E30</f>
        <v>-87.038081157935082</v>
      </c>
      <c r="CU30" s="1021">
        <f>(VLOOKUP(YEAR($A30),'NY East Load Projections'!$A$4:$EO$14,((MONTH($A30)-1)*12)+VLOOKUP(CU$4,$DE$6:$DF$17,2)+1))*$E30</f>
        <v>-83.987598220380264</v>
      </c>
      <c r="CV30" s="1021">
        <f>(VLOOKUP(YEAR($A30),'NY East Load Projections'!$A$4:$EO$14,((MONTH($A30)-1)*12)+VLOOKUP(CV$4,$DE$6:$DF$17,2)+1))*$E30</f>
        <v>-83.987598220380264</v>
      </c>
      <c r="CW30" s="1021">
        <f>(VLOOKUP(YEAR($A30),'NY East Load Projections'!$A$4:$EO$14,((MONTH($A30)-1)*12)+VLOOKUP(CW$4,$DE$6:$DF$17,2)+1))*$E30</f>
        <v>-83.987598220380264</v>
      </c>
      <c r="CX30" s="1021">
        <f>(VLOOKUP(YEAR($A30),'NY East Load Projections'!$A$4:$EO$14,((MONTH($A30)-1)*12)+VLOOKUP(CX$4,$DE$6:$DF$17,2)+1))*$E30</f>
        <v>-83.987598220380264</v>
      </c>
      <c r="CY30" s="1021">
        <f>(VLOOKUP(YEAR($A30),'NY East Load Projections'!$A$4:$EO$14,((MONTH($A30)-1)*12)+VLOOKUP(CY$4,$DE$6:$DF$17,2)+1))*$E30</f>
        <v>-82.159831238658228</v>
      </c>
      <c r="CZ30" s="1021">
        <f>(VLOOKUP(YEAR($A30),'NY East Load Projections'!$A$4:$EO$14,((MONTH($A30)-1)*12)+VLOOKUP(CZ$4,$DE$6:$DF$17,2)+1))*$E30</f>
        <v>-82.159831238658228</v>
      </c>
      <c r="DA30" s="1021">
        <f>(VLOOKUP(YEAR($A30),'NY East Load Projections'!$A$4:$EO$14,((MONTH($A30)-1)*12)+VLOOKUP(DA$4,$DE$6:$DF$17,2)+1))*$E30</f>
        <v>-82.159831238658228</v>
      </c>
      <c r="DB30" s="1021">
        <f>(VLOOKUP(YEAR($A30),'NY East Load Projections'!$A$4:$EO$14,((MONTH($A30)-1)*12)+VLOOKUP(DB$4,$DE$6:$DF$17,2)+1))*$E30</f>
        <v>-82.159831238658228</v>
      </c>
      <c r="DH30" s="1009">
        <f t="shared" si="0"/>
        <v>-61126.333695596491</v>
      </c>
      <c r="DI30">
        <f ca="1">CALC!J50</f>
        <v>0.81093241220215584</v>
      </c>
      <c r="DJ30" s="1032">
        <f t="shared" ca="1" si="1"/>
        <v>-49569.325232843985</v>
      </c>
    </row>
    <row r="31" spans="1:114" x14ac:dyDescent="0.25">
      <c r="A31" s="244">
        <v>37653</v>
      </c>
      <c r="B31" s="13">
        <v>20</v>
      </c>
      <c r="C31" s="210">
        <v>4</v>
      </c>
      <c r="D31" s="210">
        <v>4</v>
      </c>
      <c r="E31" s="210">
        <v>0</v>
      </c>
      <c r="F31" s="13">
        <v>28</v>
      </c>
      <c r="H31" s="1021">
        <f>(VLOOKUP(YEAR($A31),'NY East Load Projections'!$A$4:$EO$14,((MONTH($A31)-1)*12)+VLOOKUP(H$4,$DE$6:$DF$17,2)+1))*$B31</f>
        <v>-1487.9867039038049</v>
      </c>
      <c r="I31" s="1021">
        <f>(VLOOKUP(YEAR($A31),'NY East Load Projections'!$A$4:$EO$14,((MONTH($A31)-1)*12)+VLOOKUP(I$4,$DE$6:$DF$17,2)+1))*$B31</f>
        <v>-1487.9867039038049</v>
      </c>
      <c r="J31" s="1021">
        <f>(VLOOKUP(YEAR($A31),'NY East Load Projections'!$A$4:$EO$14,((MONTH($A31)-1)*12)+VLOOKUP(J$4,$DE$6:$DF$17,2)+1))*$B31</f>
        <v>-1487.9867039038049</v>
      </c>
      <c r="K31" s="1021">
        <f>(VLOOKUP(YEAR($A31),'NY East Load Projections'!$A$4:$EO$14,((MONTH($A31)-1)*12)+VLOOKUP(K$4,$DE$6:$DF$17,2)+1))*$B31</f>
        <v>-1487.9867039038049</v>
      </c>
      <c r="L31" s="1021">
        <f>(VLOOKUP(YEAR($A31),'NY East Load Projections'!$A$4:$EO$14,((MONTH($A31)-1)*12)+VLOOKUP(L$4,$DE$6:$DF$17,2)+1))*$B31</f>
        <v>-1595.4827099642398</v>
      </c>
      <c r="M31" s="1021">
        <f>(VLOOKUP(YEAR($A31),'NY East Load Projections'!$A$4:$EO$14,((MONTH($A31)-1)*12)+VLOOKUP(M$4,$DE$6:$DF$17,2)+1))*$B31</f>
        <v>-1595.4827099642398</v>
      </c>
      <c r="N31" s="1021">
        <f>(VLOOKUP(YEAR($A31),'NY East Load Projections'!$A$4:$EO$14,((MONTH($A31)-1)*12)+VLOOKUP(N$4,$DE$6:$DF$17,2)+1))*$B31</f>
        <v>-1595.4827099642398</v>
      </c>
      <c r="O31" s="1021">
        <f>(VLOOKUP(YEAR($A31),'NY East Load Projections'!$A$4:$EO$14,((MONTH($A31)-1)*12)+VLOOKUP(O$4,$DE$6:$DF$17,2)+1))*$B31</f>
        <v>-1595.4827099642398</v>
      </c>
      <c r="P31" s="1021">
        <f>(VLOOKUP(YEAR($A31),'NY East Load Projections'!$A$4:$EO$14,((MONTH($A31)-1)*12)+VLOOKUP(P$4,$DE$6:$DF$17,2)+1))*$B31</f>
        <v>-1655.6394724577879</v>
      </c>
      <c r="Q31" s="1021">
        <f>(VLOOKUP(YEAR($A31),'NY East Load Projections'!$A$4:$EO$14,((MONTH($A31)-1)*12)+VLOOKUP(Q$4,$DE$6:$DF$17,2)+1))*$B31</f>
        <v>-1655.6394724577879</v>
      </c>
      <c r="R31" s="1021">
        <f>(VLOOKUP(YEAR($A31),'NY East Load Projections'!$A$4:$EO$14,((MONTH($A31)-1)*12)+VLOOKUP(R$4,$DE$6:$DF$17,2)+1))*$B31</f>
        <v>-1655.6394724577879</v>
      </c>
      <c r="S31" s="1021">
        <f>(VLOOKUP(YEAR($A31),'NY East Load Projections'!$A$4:$EO$14,((MONTH($A31)-1)*12)+VLOOKUP(S$4,$DE$6:$DF$17,2)+1))*$B31</f>
        <v>-1655.6394724577879</v>
      </c>
      <c r="T31" s="1021">
        <f>(VLOOKUP(YEAR($A31),'NY East Load Projections'!$A$4:$EO$14,((MONTH($A31)-1)*12)+VLOOKUP(T$4,$DE$6:$DF$17,2)+1))*$B31</f>
        <v>-1646.3817871628883</v>
      </c>
      <c r="U31" s="1021">
        <f>(VLOOKUP(YEAR($A31),'NY East Load Projections'!$A$4:$EO$14,((MONTH($A31)-1)*12)+VLOOKUP(U$4,$DE$6:$DF$17,2)+1))*$B31</f>
        <v>-1646.3817871628883</v>
      </c>
      <c r="V31" s="1021">
        <f>(VLOOKUP(YEAR($A31),'NY East Load Projections'!$A$4:$EO$14,((MONTH($A31)-1)*12)+VLOOKUP(V$4,$DE$6:$DF$17,2)+1))*$B31</f>
        <v>-1646.3817871628883</v>
      </c>
      <c r="W31" s="1021">
        <f>(VLOOKUP(YEAR($A31),'NY East Load Projections'!$A$4:$EO$14,((MONTH($A31)-1)*12)+VLOOKUP(W$4,$DE$6:$DF$17,2)+1))*$B31</f>
        <v>-1646.3817871628883</v>
      </c>
      <c r="X31" s="1021">
        <f>(VLOOKUP(YEAR($A31),'NY East Load Projections'!$A$4:$EO$14,((MONTH($A31)-1)*12)+VLOOKUP(X$4,$DE$6:$DF$17,2)+1))*$B31</f>
        <v>-1583.5700024881592</v>
      </c>
      <c r="Y31" s="1021">
        <f>(VLOOKUP(YEAR($A31),'NY East Load Projections'!$A$4:$EO$14,((MONTH($A31)-1)*12)+VLOOKUP(Y$4,$DE$6:$DF$17,2)+1))*$B31</f>
        <v>-1583.5700024881592</v>
      </c>
      <c r="Z31" s="1021">
        <f>(VLOOKUP(YEAR($A31),'NY East Load Projections'!$A$4:$EO$14,((MONTH($A31)-1)*12)+VLOOKUP(Z$4,$DE$6:$DF$17,2)+1))*$B31</f>
        <v>-1583.5700024881592</v>
      </c>
      <c r="AA31" s="1021">
        <f>(VLOOKUP(YEAR($A31),'NY East Load Projections'!$A$4:$EO$14,((MONTH($A31)-1)*12)+VLOOKUP(AA$4,$DE$6:$DF$17,2)+1))*$B31</f>
        <v>-1583.5700024881592</v>
      </c>
      <c r="AB31" s="1021">
        <f>(VLOOKUP(YEAR($A31),'NY East Load Projections'!$A$4:$EO$14,((MONTH($A31)-1)*12)+VLOOKUP(AB$4,$DE$6:$DF$17,2)+1))*$B31</f>
        <v>-1516.0956482325921</v>
      </c>
      <c r="AC31" s="1021">
        <f>(VLOOKUP(YEAR($A31),'NY East Load Projections'!$A$4:$EO$14,((MONTH($A31)-1)*12)+VLOOKUP(AC$4,$DE$6:$DF$17,2)+1))*$B31</f>
        <v>-1516.0956482325921</v>
      </c>
      <c r="AD31" s="1021">
        <f>(VLOOKUP(YEAR($A31),'NY East Load Projections'!$A$4:$EO$14,((MONTH($A31)-1)*12)+VLOOKUP(AD$4,$DE$6:$DF$17,2)+1))*$B31</f>
        <v>-1516.0956482325921</v>
      </c>
      <c r="AE31" s="1021">
        <f>(VLOOKUP(YEAR($A31),'NY East Load Projections'!$A$4:$EO$14,((MONTH($A31)-1)*12)+VLOOKUP(AE$4,$DE$6:$DF$17,2)+1))*$B31</f>
        <v>-1516.0956482325921</v>
      </c>
      <c r="AF31" s="1021"/>
      <c r="AG31" s="1021">
        <f>(VLOOKUP(YEAR($A31),'NY East Load Projections'!$A$4:$EO$14,((MONTH($A31)-1)*12)+VLOOKUP(AG$4,$DE$6:$DF$17,2)+1))*$C31</f>
        <v>-319.13113957097073</v>
      </c>
      <c r="AH31" s="1021">
        <f>(VLOOKUP(YEAR($A31),'NY East Load Projections'!$A$4:$EO$14,((MONTH($A31)-1)*12)+VLOOKUP(AH$4,$DE$6:$DF$17,2)+1))*$C31</f>
        <v>-319.13113957097073</v>
      </c>
      <c r="AI31" s="1021">
        <f>(VLOOKUP(YEAR($A31),'NY East Load Projections'!$A$4:$EO$14,((MONTH($A31)-1)*12)+VLOOKUP(AI$4,$DE$6:$DF$17,2)+1))*$C31</f>
        <v>-319.13113957097073</v>
      </c>
      <c r="AJ31" s="1021">
        <f>(VLOOKUP(YEAR($A31),'NY East Load Projections'!$A$4:$EO$14,((MONTH($A31)-1)*12)+VLOOKUP(AJ$4,$DE$6:$DF$17,2)+1))*$C31</f>
        <v>-319.13113957097073</v>
      </c>
      <c r="AK31" s="1021">
        <f>(VLOOKUP(YEAR($A31),'NY East Load Projections'!$A$4:$EO$14,((MONTH($A31)-1)*12)+VLOOKUP(AK$4,$DE$6:$DF$17,2)+1))*$C31</f>
        <v>-325.55570061706618</v>
      </c>
      <c r="AL31" s="1021">
        <f>(VLOOKUP(YEAR($A31),'NY East Load Projections'!$A$4:$EO$14,((MONTH($A31)-1)*12)+VLOOKUP(AL$4,$DE$6:$DF$17,2)+1))*$C31</f>
        <v>-325.55570061706618</v>
      </c>
      <c r="AM31" s="1021">
        <f>(VLOOKUP(YEAR($A31),'NY East Load Projections'!$A$4:$EO$14,((MONTH($A31)-1)*12)+VLOOKUP(AM$4,$DE$6:$DF$17,2)+1))*$C31</f>
        <v>-325.55570061706618</v>
      </c>
      <c r="AN31" s="1021">
        <f>(VLOOKUP(YEAR($A31),'NY East Load Projections'!$A$4:$EO$14,((MONTH($A31)-1)*12)+VLOOKUP(AN$4,$DE$6:$DF$17,2)+1))*$C31</f>
        <v>-325.55570061706618</v>
      </c>
      <c r="AO31" s="1021">
        <f>(VLOOKUP(YEAR($A31),'NY East Load Projections'!$A$4:$EO$14,((MONTH($A31)-1)*12)+VLOOKUP(AO$4,$DE$6:$DF$17,2)+1))*$C31</f>
        <v>-343.85585526144729</v>
      </c>
      <c r="AP31" s="1021">
        <f>(VLOOKUP(YEAR($A31),'NY East Load Projections'!$A$4:$EO$14,((MONTH($A31)-1)*12)+VLOOKUP(AP$4,$DE$6:$DF$17,2)+1))*$C31</f>
        <v>-343.85585526144729</v>
      </c>
      <c r="AQ31" s="1021">
        <f>(VLOOKUP(YEAR($A31),'NY East Load Projections'!$A$4:$EO$14,((MONTH($A31)-1)*12)+VLOOKUP(AQ$4,$DE$6:$DF$17,2)+1))*$C31</f>
        <v>-343.85585526144729</v>
      </c>
      <c r="AR31" s="1021">
        <f>(VLOOKUP(YEAR($A31),'NY East Load Projections'!$A$4:$EO$14,((MONTH($A31)-1)*12)+VLOOKUP(AR$4,$DE$6:$DF$17,2)+1))*$C31</f>
        <v>-343.85585526144729</v>
      </c>
      <c r="AS31" s="1021">
        <f>(VLOOKUP(YEAR($A31),'NY East Load Projections'!$A$4:$EO$14,((MONTH($A31)-1)*12)+VLOOKUP(AS$4,$DE$6:$DF$17,2)+1))*$C31</f>
        <v>-336.65206919350385</v>
      </c>
      <c r="AT31" s="1021">
        <f>(VLOOKUP(YEAR($A31),'NY East Load Projections'!$A$4:$EO$14,((MONTH($A31)-1)*12)+VLOOKUP(AT$4,$DE$6:$DF$17,2)+1))*$C31</f>
        <v>-336.65206919350385</v>
      </c>
      <c r="AU31" s="1021">
        <f>(VLOOKUP(YEAR($A31),'NY East Load Projections'!$A$4:$EO$14,((MONTH($A31)-1)*12)+VLOOKUP(AU$4,$DE$6:$DF$17,2)+1))*$C31</f>
        <v>-336.65206919350385</v>
      </c>
      <c r="AV31" s="1021">
        <f>(VLOOKUP(YEAR($A31),'NY East Load Projections'!$A$4:$EO$14,((MONTH($A31)-1)*12)+VLOOKUP(AV$4,$DE$6:$DF$17,2)+1))*$C31</f>
        <v>-336.65206919350385</v>
      </c>
      <c r="AW31" s="1021">
        <f>(VLOOKUP(YEAR($A31),'NY East Load Projections'!$A$4:$EO$14,((MONTH($A31)-1)*12)+VLOOKUP(AW$4,$DE$6:$DF$17,2)+1))*$C31</f>
        <v>-327.11739143460977</v>
      </c>
      <c r="AX31" s="1021">
        <f>(VLOOKUP(YEAR($A31),'NY East Load Projections'!$A$4:$EO$14,((MONTH($A31)-1)*12)+VLOOKUP(AX$4,$DE$6:$DF$17,2)+1))*$C31</f>
        <v>-327.11739143460977</v>
      </c>
      <c r="AY31" s="1021">
        <f>(VLOOKUP(YEAR($A31),'NY East Load Projections'!$A$4:$EO$14,((MONTH($A31)-1)*12)+VLOOKUP(AY$4,$DE$6:$DF$17,2)+1))*$C31</f>
        <v>-327.11739143460977</v>
      </c>
      <c r="AZ31" s="1021">
        <f>(VLOOKUP(YEAR($A31),'NY East Load Projections'!$A$4:$EO$14,((MONTH($A31)-1)*12)+VLOOKUP(AZ$4,$DE$6:$DF$17,2)+1))*$C31</f>
        <v>-327.11739143460977</v>
      </c>
      <c r="BA31" s="1021">
        <f>(VLOOKUP(YEAR($A31),'NY East Load Projections'!$A$4:$EO$14,((MONTH($A31)-1)*12)+VLOOKUP(BA$4,$DE$6:$DF$17,2)+1))*$C31</f>
        <v>-322.67585622027957</v>
      </c>
      <c r="BB31" s="1021">
        <f>(VLOOKUP(YEAR($A31),'NY East Load Projections'!$A$4:$EO$14,((MONTH($A31)-1)*12)+VLOOKUP(BB$4,$DE$6:$DF$17,2)+1))*$C31</f>
        <v>-322.67585622027957</v>
      </c>
      <c r="BC31" s="1021">
        <f>(VLOOKUP(YEAR($A31),'NY East Load Projections'!$A$4:$EO$14,((MONTH($A31)-1)*12)+VLOOKUP(BC$4,$DE$6:$DF$17,2)+1))*$C31</f>
        <v>-322.67585622027957</v>
      </c>
      <c r="BD31" s="1021">
        <f>(VLOOKUP(YEAR($A31),'NY East Load Projections'!$A$4:$EO$14,((MONTH($A31)-1)*12)+VLOOKUP(BD$4,$DE$6:$DF$17,2)+1))*$C31</f>
        <v>-322.67585622027957</v>
      </c>
      <c r="BE31" s="1021"/>
      <c r="BF31" s="1021">
        <f>(VLOOKUP(YEAR($A31),'NY East Load Projections'!$A$4:$EO$14,((MONTH($A31)-1)*12)+VLOOKUP(BF$4,$DE$6:$DF$17,2)+1))*$D31</f>
        <v>-319.13113957097073</v>
      </c>
      <c r="BG31" s="1021">
        <f>(VLOOKUP(YEAR($A31),'NY East Load Projections'!$A$4:$EO$14,((MONTH($A31)-1)*12)+VLOOKUP(BG$4,$DE$6:$DF$17,2)+1))*$D31</f>
        <v>-319.13113957097073</v>
      </c>
      <c r="BH31" s="1021">
        <f>(VLOOKUP(YEAR($A31),'NY East Load Projections'!$A$4:$EO$14,((MONTH($A31)-1)*12)+VLOOKUP(BH$4,$DE$6:$DF$17,2)+1))*$D31</f>
        <v>-319.13113957097073</v>
      </c>
      <c r="BI31" s="1021">
        <f>(VLOOKUP(YEAR($A31),'NY East Load Projections'!$A$4:$EO$14,((MONTH($A31)-1)*12)+VLOOKUP(BI$4,$DE$6:$DF$17,2)+1))*$D31</f>
        <v>-319.13113957097073</v>
      </c>
      <c r="BJ31" s="1021">
        <f>(VLOOKUP(YEAR($A31),'NY East Load Projections'!$A$4:$EO$14,((MONTH($A31)-1)*12)+VLOOKUP(BJ$4,$DE$6:$DF$17,2)+1))*$D31</f>
        <v>-325.55570061706618</v>
      </c>
      <c r="BK31" s="1021">
        <f>(VLOOKUP(YEAR($A31),'NY East Load Projections'!$A$4:$EO$14,((MONTH($A31)-1)*12)+VLOOKUP(BK$4,$DE$6:$DF$17,2)+1))*$D31</f>
        <v>-325.55570061706618</v>
      </c>
      <c r="BL31" s="1021">
        <f>(VLOOKUP(YEAR($A31),'NY East Load Projections'!$A$4:$EO$14,((MONTH($A31)-1)*12)+VLOOKUP(BL$4,$DE$6:$DF$17,2)+1))*$D31</f>
        <v>-325.55570061706618</v>
      </c>
      <c r="BM31" s="1021">
        <f>(VLOOKUP(YEAR($A31),'NY East Load Projections'!$A$4:$EO$14,((MONTH($A31)-1)*12)+VLOOKUP(BM$4,$DE$6:$DF$17,2)+1))*$D31</f>
        <v>-325.55570061706618</v>
      </c>
      <c r="BN31" s="1021">
        <f>(VLOOKUP(YEAR($A31),'NY East Load Projections'!$A$4:$EO$14,((MONTH($A31)-1)*12)+VLOOKUP(BN$4,$DE$6:$DF$17,2)+1))*$D31</f>
        <v>-343.85585526144729</v>
      </c>
      <c r="BO31" s="1021">
        <f>(VLOOKUP(YEAR($A31),'NY East Load Projections'!$A$4:$EO$14,((MONTH($A31)-1)*12)+VLOOKUP(BO$4,$DE$6:$DF$17,2)+1))*$D31</f>
        <v>-343.85585526144729</v>
      </c>
      <c r="BP31" s="1021">
        <f>(VLOOKUP(YEAR($A31),'NY East Load Projections'!$A$4:$EO$14,((MONTH($A31)-1)*12)+VLOOKUP(BP$4,$DE$6:$DF$17,2)+1))*$D31</f>
        <v>-343.85585526144729</v>
      </c>
      <c r="BQ31" s="1021">
        <f>(VLOOKUP(YEAR($A31),'NY East Load Projections'!$A$4:$EO$14,((MONTH($A31)-1)*12)+VLOOKUP(BQ$4,$DE$6:$DF$17,2)+1))*$D31</f>
        <v>-343.85585526144729</v>
      </c>
      <c r="BR31" s="1021">
        <f>(VLOOKUP(YEAR($A31),'NY East Load Projections'!$A$4:$EO$14,((MONTH($A31)-1)*12)+VLOOKUP(BR$4,$DE$6:$DF$17,2)+1))*$D31</f>
        <v>-336.65206919350385</v>
      </c>
      <c r="BS31" s="1021">
        <f>(VLOOKUP(YEAR($A31),'NY East Load Projections'!$A$4:$EO$14,((MONTH($A31)-1)*12)+VLOOKUP(BS$4,$DE$6:$DF$17,2)+1))*$D31</f>
        <v>-336.65206919350385</v>
      </c>
      <c r="BT31" s="1021">
        <f>(VLOOKUP(YEAR($A31),'NY East Load Projections'!$A$4:$EO$14,((MONTH($A31)-1)*12)+VLOOKUP(BT$4,$DE$6:$DF$17,2)+1))*$D31</f>
        <v>-336.65206919350385</v>
      </c>
      <c r="BU31" s="1021">
        <f>(VLOOKUP(YEAR($A31),'NY East Load Projections'!$A$4:$EO$14,((MONTH($A31)-1)*12)+VLOOKUP(BU$4,$DE$6:$DF$17,2)+1))*$D31</f>
        <v>-336.65206919350385</v>
      </c>
      <c r="BV31" s="1021">
        <f>(VLOOKUP(YEAR($A31),'NY East Load Projections'!$A$4:$EO$14,((MONTH($A31)-1)*12)+VLOOKUP(BV$4,$DE$6:$DF$17,2)+1))*$D31</f>
        <v>-327.11739143460977</v>
      </c>
      <c r="BW31" s="1021">
        <f>(VLOOKUP(YEAR($A31),'NY East Load Projections'!$A$4:$EO$14,((MONTH($A31)-1)*12)+VLOOKUP(BW$4,$DE$6:$DF$17,2)+1))*$D31</f>
        <v>-327.11739143460977</v>
      </c>
      <c r="BX31" s="1021">
        <f>(VLOOKUP(YEAR($A31),'NY East Load Projections'!$A$4:$EO$14,((MONTH($A31)-1)*12)+VLOOKUP(BX$4,$DE$6:$DF$17,2)+1))*$D31</f>
        <v>-327.11739143460977</v>
      </c>
      <c r="BY31" s="1021">
        <f>(VLOOKUP(YEAR($A31),'NY East Load Projections'!$A$4:$EO$14,((MONTH($A31)-1)*12)+VLOOKUP(BY$4,$DE$6:$DF$17,2)+1))*$D31</f>
        <v>-327.11739143460977</v>
      </c>
      <c r="BZ31" s="1021">
        <f>(VLOOKUP(YEAR($A31),'NY East Load Projections'!$A$4:$EO$14,((MONTH($A31)-1)*12)+VLOOKUP(BZ$4,$DE$6:$DF$17,2)+1))*$D31</f>
        <v>-322.67585622027957</v>
      </c>
      <c r="CA31" s="1021">
        <f>(VLOOKUP(YEAR($A31),'NY East Load Projections'!$A$4:$EO$14,((MONTH($A31)-1)*12)+VLOOKUP(CA$4,$DE$6:$DF$17,2)+1))*$D31</f>
        <v>-322.67585622027957</v>
      </c>
      <c r="CB31" s="1021">
        <f>(VLOOKUP(YEAR($A31),'NY East Load Projections'!$A$4:$EO$14,((MONTH($A31)-1)*12)+VLOOKUP(CB$4,$DE$6:$DF$17,2)+1))*$D31</f>
        <v>-322.67585622027957</v>
      </c>
      <c r="CC31" s="1021">
        <f>(VLOOKUP(YEAR($A31),'NY East Load Projections'!$A$4:$EO$14,((MONTH($A31)-1)*12)+VLOOKUP(CC$4,$DE$6:$DF$17,2)+1))*$D31</f>
        <v>-322.67585622027957</v>
      </c>
      <c r="CE31" s="1021">
        <f>(VLOOKUP(YEAR($A31),'NY East Load Projections'!$A$4:$EO$14,((MONTH($A31)-1)*12)+VLOOKUP(CE$4,$DE$6:$DF$17,2)+1))*$E31</f>
        <v>0</v>
      </c>
      <c r="CF31" s="1021">
        <f>(VLOOKUP(YEAR($A31),'NY East Load Projections'!$A$4:$EO$14,((MONTH($A31)-1)*12)+VLOOKUP(CF$4,$DE$6:$DF$17,2)+1))*$E31</f>
        <v>0</v>
      </c>
      <c r="CG31" s="1021">
        <f>(VLOOKUP(YEAR($A31),'NY East Load Projections'!$A$4:$EO$14,((MONTH($A31)-1)*12)+VLOOKUP(CG$4,$DE$6:$DF$17,2)+1))*$E31</f>
        <v>0</v>
      </c>
      <c r="CH31" s="1021">
        <f>(VLOOKUP(YEAR($A31),'NY East Load Projections'!$A$4:$EO$14,((MONTH($A31)-1)*12)+VLOOKUP(CH$4,$DE$6:$DF$17,2)+1))*$E31</f>
        <v>0</v>
      </c>
      <c r="CI31" s="1021">
        <f>(VLOOKUP(YEAR($A31),'NY East Load Projections'!$A$4:$EO$14,((MONTH($A31)-1)*12)+VLOOKUP(CI$4,$DE$6:$DF$17,2)+1))*$E31</f>
        <v>0</v>
      </c>
      <c r="CJ31" s="1021">
        <f>(VLOOKUP(YEAR($A31),'NY East Load Projections'!$A$4:$EO$14,((MONTH($A31)-1)*12)+VLOOKUP(CJ$4,$DE$6:$DF$17,2)+1))*$E31</f>
        <v>0</v>
      </c>
      <c r="CK31" s="1021">
        <f>(VLOOKUP(YEAR($A31),'NY East Load Projections'!$A$4:$EO$14,((MONTH($A31)-1)*12)+VLOOKUP(CK$4,$DE$6:$DF$17,2)+1))*$E31</f>
        <v>0</v>
      </c>
      <c r="CL31" s="1021">
        <f>(VLOOKUP(YEAR($A31),'NY East Load Projections'!$A$4:$EO$14,((MONTH($A31)-1)*12)+VLOOKUP(CL$4,$DE$6:$DF$17,2)+1))*$E31</f>
        <v>0</v>
      </c>
      <c r="CM31" s="1021">
        <f>(VLOOKUP(YEAR($A31),'NY East Load Projections'!$A$4:$EO$14,((MONTH($A31)-1)*12)+VLOOKUP(CM$4,$DE$6:$DF$17,2)+1))*$E31</f>
        <v>0</v>
      </c>
      <c r="CN31" s="1021">
        <f>(VLOOKUP(YEAR($A31),'NY East Load Projections'!$A$4:$EO$14,((MONTH($A31)-1)*12)+VLOOKUP(CN$4,$DE$6:$DF$17,2)+1))*$E31</f>
        <v>0</v>
      </c>
      <c r="CO31" s="1021">
        <f>(VLOOKUP(YEAR($A31),'NY East Load Projections'!$A$4:$EO$14,((MONTH($A31)-1)*12)+VLOOKUP(CO$4,$DE$6:$DF$17,2)+1))*$E31</f>
        <v>0</v>
      </c>
      <c r="CP31" s="1021">
        <f>(VLOOKUP(YEAR($A31),'NY East Load Projections'!$A$4:$EO$14,((MONTH($A31)-1)*12)+VLOOKUP(CP$4,$DE$6:$DF$17,2)+1))*$E31</f>
        <v>0</v>
      </c>
      <c r="CQ31" s="1021">
        <f>(VLOOKUP(YEAR($A31),'NY East Load Projections'!$A$4:$EO$14,((MONTH($A31)-1)*12)+VLOOKUP(CQ$4,$DE$6:$DF$17,2)+1))*$E31</f>
        <v>0</v>
      </c>
      <c r="CR31" s="1021">
        <f>(VLOOKUP(YEAR($A31),'NY East Load Projections'!$A$4:$EO$14,((MONTH($A31)-1)*12)+VLOOKUP(CR$4,$DE$6:$DF$17,2)+1))*$E31</f>
        <v>0</v>
      </c>
      <c r="CS31" s="1021">
        <f>(VLOOKUP(YEAR($A31),'NY East Load Projections'!$A$4:$EO$14,((MONTH($A31)-1)*12)+VLOOKUP(CS$4,$DE$6:$DF$17,2)+1))*$E31</f>
        <v>0</v>
      </c>
      <c r="CT31" s="1021">
        <f>(VLOOKUP(YEAR($A31),'NY East Load Projections'!$A$4:$EO$14,((MONTH($A31)-1)*12)+VLOOKUP(CT$4,$DE$6:$DF$17,2)+1))*$E31</f>
        <v>0</v>
      </c>
      <c r="CU31" s="1021">
        <f>(VLOOKUP(YEAR($A31),'NY East Load Projections'!$A$4:$EO$14,((MONTH($A31)-1)*12)+VLOOKUP(CU$4,$DE$6:$DF$17,2)+1))*$E31</f>
        <v>0</v>
      </c>
      <c r="CV31" s="1021">
        <f>(VLOOKUP(YEAR($A31),'NY East Load Projections'!$A$4:$EO$14,((MONTH($A31)-1)*12)+VLOOKUP(CV$4,$DE$6:$DF$17,2)+1))*$E31</f>
        <v>0</v>
      </c>
      <c r="CW31" s="1021">
        <f>(VLOOKUP(YEAR($A31),'NY East Load Projections'!$A$4:$EO$14,((MONTH($A31)-1)*12)+VLOOKUP(CW$4,$DE$6:$DF$17,2)+1))*$E31</f>
        <v>0</v>
      </c>
      <c r="CX31" s="1021">
        <f>(VLOOKUP(YEAR($A31),'NY East Load Projections'!$A$4:$EO$14,((MONTH($A31)-1)*12)+VLOOKUP(CX$4,$DE$6:$DF$17,2)+1))*$E31</f>
        <v>0</v>
      </c>
      <c r="CY31" s="1021">
        <f>(VLOOKUP(YEAR($A31),'NY East Load Projections'!$A$4:$EO$14,((MONTH($A31)-1)*12)+VLOOKUP(CY$4,$DE$6:$DF$17,2)+1))*$E31</f>
        <v>0</v>
      </c>
      <c r="CZ31" s="1021">
        <f>(VLOOKUP(YEAR($A31),'NY East Load Projections'!$A$4:$EO$14,((MONTH($A31)-1)*12)+VLOOKUP(CZ$4,$DE$6:$DF$17,2)+1))*$E31</f>
        <v>0</v>
      </c>
      <c r="DA31" s="1021">
        <f>(VLOOKUP(YEAR($A31),'NY East Load Projections'!$A$4:$EO$14,((MONTH($A31)-1)*12)+VLOOKUP(DA$4,$DE$6:$DF$17,2)+1))*$E31</f>
        <v>0</v>
      </c>
      <c r="DB31" s="1021">
        <f>(VLOOKUP(YEAR($A31),'NY East Load Projections'!$A$4:$EO$14,((MONTH($A31)-1)*12)+VLOOKUP(DB$4,$DE$6:$DF$17,2)+1))*$E31</f>
        <v>0</v>
      </c>
      <c r="DH31" s="1009">
        <f t="shared" si="0"/>
        <v>-53740.529395220874</v>
      </c>
      <c r="DI31">
        <f ca="1">CALC!J51</f>
        <v>0.80634639570016642</v>
      </c>
      <c r="DJ31" s="1032">
        <f t="shared" ca="1" si="1"/>
        <v>-43333.482180855193</v>
      </c>
    </row>
    <row r="32" spans="1:114" x14ac:dyDescent="0.25">
      <c r="A32" s="244">
        <v>37681</v>
      </c>
      <c r="B32" s="13">
        <v>21</v>
      </c>
      <c r="C32" s="210">
        <v>5</v>
      </c>
      <c r="D32" s="210">
        <v>5</v>
      </c>
      <c r="E32" s="210">
        <v>0</v>
      </c>
      <c r="F32" s="13">
        <v>31</v>
      </c>
      <c r="H32" s="1021">
        <f>(VLOOKUP(YEAR($A32),'NY East Load Projections'!$A$4:$EO$14,((MONTH($A32)-1)*12)+VLOOKUP(H$4,$DE$6:$DF$17,2)+1))*$B32</f>
        <v>-1472.7381495144193</v>
      </c>
      <c r="I32" s="1021">
        <f>(VLOOKUP(YEAR($A32),'NY East Load Projections'!$A$4:$EO$14,((MONTH($A32)-1)*12)+VLOOKUP(I$4,$DE$6:$DF$17,2)+1))*$B32</f>
        <v>-1472.7381495144193</v>
      </c>
      <c r="J32" s="1021">
        <f>(VLOOKUP(YEAR($A32),'NY East Load Projections'!$A$4:$EO$14,((MONTH($A32)-1)*12)+VLOOKUP(J$4,$DE$6:$DF$17,2)+1))*$B32</f>
        <v>-1472.7381495144193</v>
      </c>
      <c r="K32" s="1021">
        <f>(VLOOKUP(YEAR($A32),'NY East Load Projections'!$A$4:$EO$14,((MONTH($A32)-1)*12)+VLOOKUP(K$4,$DE$6:$DF$17,2)+1))*$B32</f>
        <v>-1472.7381495144193</v>
      </c>
      <c r="L32" s="1021">
        <f>(VLOOKUP(YEAR($A32),'NY East Load Projections'!$A$4:$EO$14,((MONTH($A32)-1)*12)+VLOOKUP(L$4,$DE$6:$DF$17,2)+1))*$B32</f>
        <v>-1577.4904218814931</v>
      </c>
      <c r="M32" s="1021">
        <f>(VLOOKUP(YEAR($A32),'NY East Load Projections'!$A$4:$EO$14,((MONTH($A32)-1)*12)+VLOOKUP(M$4,$DE$6:$DF$17,2)+1))*$B32</f>
        <v>-1577.4904218814931</v>
      </c>
      <c r="N32" s="1021">
        <f>(VLOOKUP(YEAR($A32),'NY East Load Projections'!$A$4:$EO$14,((MONTH($A32)-1)*12)+VLOOKUP(N$4,$DE$6:$DF$17,2)+1))*$B32</f>
        <v>-1577.4904218814931</v>
      </c>
      <c r="O32" s="1021">
        <f>(VLOOKUP(YEAR($A32),'NY East Load Projections'!$A$4:$EO$14,((MONTH($A32)-1)*12)+VLOOKUP(O$4,$DE$6:$DF$17,2)+1))*$B32</f>
        <v>-1577.4904218814931</v>
      </c>
      <c r="P32" s="1021">
        <f>(VLOOKUP(YEAR($A32),'NY East Load Projections'!$A$4:$EO$14,((MONTH($A32)-1)*12)+VLOOKUP(P$4,$DE$6:$DF$17,2)+1))*$B32</f>
        <v>-1662.725565664032</v>
      </c>
      <c r="Q32" s="1021">
        <f>(VLOOKUP(YEAR($A32),'NY East Load Projections'!$A$4:$EO$14,((MONTH($A32)-1)*12)+VLOOKUP(Q$4,$DE$6:$DF$17,2)+1))*$B32</f>
        <v>-1662.725565664032</v>
      </c>
      <c r="R32" s="1021">
        <f>(VLOOKUP(YEAR($A32),'NY East Load Projections'!$A$4:$EO$14,((MONTH($A32)-1)*12)+VLOOKUP(R$4,$DE$6:$DF$17,2)+1))*$B32</f>
        <v>-1662.725565664032</v>
      </c>
      <c r="S32" s="1021">
        <f>(VLOOKUP(YEAR($A32),'NY East Load Projections'!$A$4:$EO$14,((MONTH($A32)-1)*12)+VLOOKUP(S$4,$DE$6:$DF$17,2)+1))*$B32</f>
        <v>-1662.725565664032</v>
      </c>
      <c r="T32" s="1021">
        <f>(VLOOKUP(YEAR($A32),'NY East Load Projections'!$A$4:$EO$14,((MONTH($A32)-1)*12)+VLOOKUP(T$4,$DE$6:$DF$17,2)+1))*$B32</f>
        <v>-1683.6658409874067</v>
      </c>
      <c r="U32" s="1021">
        <f>(VLOOKUP(YEAR($A32),'NY East Load Projections'!$A$4:$EO$14,((MONTH($A32)-1)*12)+VLOOKUP(U$4,$DE$6:$DF$17,2)+1))*$B32</f>
        <v>-1683.6658409874067</v>
      </c>
      <c r="V32" s="1021">
        <f>(VLOOKUP(YEAR($A32),'NY East Load Projections'!$A$4:$EO$14,((MONTH($A32)-1)*12)+VLOOKUP(V$4,$DE$6:$DF$17,2)+1))*$B32</f>
        <v>-1683.6658409874067</v>
      </c>
      <c r="W32" s="1021">
        <f>(VLOOKUP(YEAR($A32),'NY East Load Projections'!$A$4:$EO$14,((MONTH($A32)-1)*12)+VLOOKUP(W$4,$DE$6:$DF$17,2)+1))*$B32</f>
        <v>-1683.6658409874067</v>
      </c>
      <c r="X32" s="1021">
        <f>(VLOOKUP(YEAR($A32),'NY East Load Projections'!$A$4:$EO$14,((MONTH($A32)-1)*12)+VLOOKUP(X$4,$DE$6:$DF$17,2)+1))*$B32</f>
        <v>-1621.7453925734405</v>
      </c>
      <c r="Y32" s="1021">
        <f>(VLOOKUP(YEAR($A32),'NY East Load Projections'!$A$4:$EO$14,((MONTH($A32)-1)*12)+VLOOKUP(Y$4,$DE$6:$DF$17,2)+1))*$B32</f>
        <v>-1621.7453925734405</v>
      </c>
      <c r="Z32" s="1021">
        <f>(VLOOKUP(YEAR($A32),'NY East Load Projections'!$A$4:$EO$14,((MONTH($A32)-1)*12)+VLOOKUP(Z$4,$DE$6:$DF$17,2)+1))*$B32</f>
        <v>-1621.7453925734405</v>
      </c>
      <c r="AA32" s="1021">
        <f>(VLOOKUP(YEAR($A32),'NY East Load Projections'!$A$4:$EO$14,((MONTH($A32)-1)*12)+VLOOKUP(AA$4,$DE$6:$DF$17,2)+1))*$B32</f>
        <v>-1621.7453925734405</v>
      </c>
      <c r="AB32" s="1021">
        <f>(VLOOKUP(YEAR($A32),'NY East Load Projections'!$A$4:$EO$14,((MONTH($A32)-1)*12)+VLOOKUP(AB$4,$DE$6:$DF$17,2)+1))*$B32</f>
        <v>-1547.6977399209281</v>
      </c>
      <c r="AC32" s="1021">
        <f>(VLOOKUP(YEAR($A32),'NY East Load Projections'!$A$4:$EO$14,((MONTH($A32)-1)*12)+VLOOKUP(AC$4,$DE$6:$DF$17,2)+1))*$B32</f>
        <v>-1547.6977399209281</v>
      </c>
      <c r="AD32" s="1021">
        <f>(VLOOKUP(YEAR($A32),'NY East Load Projections'!$A$4:$EO$14,((MONTH($A32)-1)*12)+VLOOKUP(AD$4,$DE$6:$DF$17,2)+1))*$B32</f>
        <v>-1547.6977399209281</v>
      </c>
      <c r="AE32" s="1021">
        <f>(VLOOKUP(YEAR($A32),'NY East Load Projections'!$A$4:$EO$14,((MONTH($A32)-1)*12)+VLOOKUP(AE$4,$DE$6:$DF$17,2)+1))*$B32</f>
        <v>-1547.6977399209281</v>
      </c>
      <c r="AF32" s="1021"/>
      <c r="AG32" s="1021">
        <f>(VLOOKUP(YEAR($A32),'NY East Load Projections'!$A$4:$EO$14,((MONTH($A32)-1)*12)+VLOOKUP(AG$4,$DE$6:$DF$17,2)+1))*$C32</f>
        <v>-383.27754322908936</v>
      </c>
      <c r="AH32" s="1021">
        <f>(VLOOKUP(YEAR($A32),'NY East Load Projections'!$A$4:$EO$14,((MONTH($A32)-1)*12)+VLOOKUP(AH$4,$DE$6:$DF$17,2)+1))*$C32</f>
        <v>-383.27754322908936</v>
      </c>
      <c r="AI32" s="1021">
        <f>(VLOOKUP(YEAR($A32),'NY East Load Projections'!$A$4:$EO$14,((MONTH($A32)-1)*12)+VLOOKUP(AI$4,$DE$6:$DF$17,2)+1))*$C32</f>
        <v>-383.27754322908936</v>
      </c>
      <c r="AJ32" s="1021">
        <f>(VLOOKUP(YEAR($A32),'NY East Load Projections'!$A$4:$EO$14,((MONTH($A32)-1)*12)+VLOOKUP(AJ$4,$DE$6:$DF$17,2)+1))*$C32</f>
        <v>-383.27754322908936</v>
      </c>
      <c r="AK32" s="1021">
        <f>(VLOOKUP(YEAR($A32),'NY East Load Projections'!$A$4:$EO$14,((MONTH($A32)-1)*12)+VLOOKUP(AK$4,$DE$6:$DF$17,2)+1))*$C32</f>
        <v>-388.74578813135395</v>
      </c>
      <c r="AL32" s="1021">
        <f>(VLOOKUP(YEAR($A32),'NY East Load Projections'!$A$4:$EO$14,((MONTH($A32)-1)*12)+VLOOKUP(AL$4,$DE$6:$DF$17,2)+1))*$C32</f>
        <v>-388.74578813135395</v>
      </c>
      <c r="AM32" s="1021">
        <f>(VLOOKUP(YEAR($A32),'NY East Load Projections'!$A$4:$EO$14,((MONTH($A32)-1)*12)+VLOOKUP(AM$4,$DE$6:$DF$17,2)+1))*$C32</f>
        <v>-388.74578813135395</v>
      </c>
      <c r="AN32" s="1021">
        <f>(VLOOKUP(YEAR($A32),'NY East Load Projections'!$A$4:$EO$14,((MONTH($A32)-1)*12)+VLOOKUP(AN$4,$DE$6:$DF$17,2)+1))*$C32</f>
        <v>-388.74578813135395</v>
      </c>
      <c r="AO32" s="1021">
        <f>(VLOOKUP(YEAR($A32),'NY East Load Projections'!$A$4:$EO$14,((MONTH($A32)-1)*12)+VLOOKUP(AO$4,$DE$6:$DF$17,2)+1))*$C32</f>
        <v>-408.65361363754488</v>
      </c>
      <c r="AP32" s="1021">
        <f>(VLOOKUP(YEAR($A32),'NY East Load Projections'!$A$4:$EO$14,((MONTH($A32)-1)*12)+VLOOKUP(AP$4,$DE$6:$DF$17,2)+1))*$C32</f>
        <v>-408.65361363754488</v>
      </c>
      <c r="AQ32" s="1021">
        <f>(VLOOKUP(YEAR($A32),'NY East Load Projections'!$A$4:$EO$14,((MONTH($A32)-1)*12)+VLOOKUP(AQ$4,$DE$6:$DF$17,2)+1))*$C32</f>
        <v>-408.65361363754488</v>
      </c>
      <c r="AR32" s="1021">
        <f>(VLOOKUP(YEAR($A32),'NY East Load Projections'!$A$4:$EO$14,((MONTH($A32)-1)*12)+VLOOKUP(AR$4,$DE$6:$DF$17,2)+1))*$C32</f>
        <v>-408.65361363754488</v>
      </c>
      <c r="AS32" s="1021">
        <f>(VLOOKUP(YEAR($A32),'NY East Load Projections'!$A$4:$EO$14,((MONTH($A32)-1)*12)+VLOOKUP(AS$4,$DE$6:$DF$17,2)+1))*$C32</f>
        <v>-403.1968250110084</v>
      </c>
      <c r="AT32" s="1021">
        <f>(VLOOKUP(YEAR($A32),'NY East Load Projections'!$A$4:$EO$14,((MONTH($A32)-1)*12)+VLOOKUP(AT$4,$DE$6:$DF$17,2)+1))*$C32</f>
        <v>-403.1968250110084</v>
      </c>
      <c r="AU32" s="1021">
        <f>(VLOOKUP(YEAR($A32),'NY East Load Projections'!$A$4:$EO$14,((MONTH($A32)-1)*12)+VLOOKUP(AU$4,$DE$6:$DF$17,2)+1))*$C32</f>
        <v>-403.1968250110084</v>
      </c>
      <c r="AV32" s="1021">
        <f>(VLOOKUP(YEAR($A32),'NY East Load Projections'!$A$4:$EO$14,((MONTH($A32)-1)*12)+VLOOKUP(AV$4,$DE$6:$DF$17,2)+1))*$C32</f>
        <v>-403.1968250110084</v>
      </c>
      <c r="AW32" s="1021">
        <f>(VLOOKUP(YEAR($A32),'NY East Load Projections'!$A$4:$EO$14,((MONTH($A32)-1)*12)+VLOOKUP(AW$4,$DE$6:$DF$17,2)+1))*$C32</f>
        <v>-393.73972417802145</v>
      </c>
      <c r="AX32" s="1021">
        <f>(VLOOKUP(YEAR($A32),'NY East Load Projections'!$A$4:$EO$14,((MONTH($A32)-1)*12)+VLOOKUP(AX$4,$DE$6:$DF$17,2)+1))*$C32</f>
        <v>-393.73972417802145</v>
      </c>
      <c r="AY32" s="1021">
        <f>(VLOOKUP(YEAR($A32),'NY East Load Projections'!$A$4:$EO$14,((MONTH($A32)-1)*12)+VLOOKUP(AY$4,$DE$6:$DF$17,2)+1))*$C32</f>
        <v>-393.73972417802145</v>
      </c>
      <c r="AZ32" s="1021">
        <f>(VLOOKUP(YEAR($A32),'NY East Load Projections'!$A$4:$EO$14,((MONTH($A32)-1)*12)+VLOOKUP(AZ$4,$DE$6:$DF$17,2)+1))*$C32</f>
        <v>-393.73972417802145</v>
      </c>
      <c r="BA32" s="1021">
        <f>(VLOOKUP(YEAR($A32),'NY East Load Projections'!$A$4:$EO$14,((MONTH($A32)-1)*12)+VLOOKUP(BA$4,$DE$6:$DF$17,2)+1))*$C32</f>
        <v>-386.27260430852357</v>
      </c>
      <c r="BB32" s="1021">
        <f>(VLOOKUP(YEAR($A32),'NY East Load Projections'!$A$4:$EO$14,((MONTH($A32)-1)*12)+VLOOKUP(BB$4,$DE$6:$DF$17,2)+1))*$C32</f>
        <v>-386.27260430852357</v>
      </c>
      <c r="BC32" s="1021">
        <f>(VLOOKUP(YEAR($A32),'NY East Load Projections'!$A$4:$EO$14,((MONTH($A32)-1)*12)+VLOOKUP(BC$4,$DE$6:$DF$17,2)+1))*$C32</f>
        <v>-386.27260430852357</v>
      </c>
      <c r="BD32" s="1021">
        <f>(VLOOKUP(YEAR($A32),'NY East Load Projections'!$A$4:$EO$14,((MONTH($A32)-1)*12)+VLOOKUP(BD$4,$DE$6:$DF$17,2)+1))*$C32</f>
        <v>-386.27260430852357</v>
      </c>
      <c r="BE32" s="1021"/>
      <c r="BF32" s="1021">
        <f>(VLOOKUP(YEAR($A32),'NY East Load Projections'!$A$4:$EO$14,((MONTH($A32)-1)*12)+VLOOKUP(BF$4,$DE$6:$DF$17,2)+1))*$D32</f>
        <v>-383.27754322908936</v>
      </c>
      <c r="BG32" s="1021">
        <f>(VLOOKUP(YEAR($A32),'NY East Load Projections'!$A$4:$EO$14,((MONTH($A32)-1)*12)+VLOOKUP(BG$4,$DE$6:$DF$17,2)+1))*$D32</f>
        <v>-383.27754322908936</v>
      </c>
      <c r="BH32" s="1021">
        <f>(VLOOKUP(YEAR($A32),'NY East Load Projections'!$A$4:$EO$14,((MONTH($A32)-1)*12)+VLOOKUP(BH$4,$DE$6:$DF$17,2)+1))*$D32</f>
        <v>-383.27754322908936</v>
      </c>
      <c r="BI32" s="1021">
        <f>(VLOOKUP(YEAR($A32),'NY East Load Projections'!$A$4:$EO$14,((MONTH($A32)-1)*12)+VLOOKUP(BI$4,$DE$6:$DF$17,2)+1))*$D32</f>
        <v>-383.27754322908936</v>
      </c>
      <c r="BJ32" s="1021">
        <f>(VLOOKUP(YEAR($A32),'NY East Load Projections'!$A$4:$EO$14,((MONTH($A32)-1)*12)+VLOOKUP(BJ$4,$DE$6:$DF$17,2)+1))*$D32</f>
        <v>-388.74578813135395</v>
      </c>
      <c r="BK32" s="1021">
        <f>(VLOOKUP(YEAR($A32),'NY East Load Projections'!$A$4:$EO$14,((MONTH($A32)-1)*12)+VLOOKUP(BK$4,$DE$6:$DF$17,2)+1))*$D32</f>
        <v>-388.74578813135395</v>
      </c>
      <c r="BL32" s="1021">
        <f>(VLOOKUP(YEAR($A32),'NY East Load Projections'!$A$4:$EO$14,((MONTH($A32)-1)*12)+VLOOKUP(BL$4,$DE$6:$DF$17,2)+1))*$D32</f>
        <v>-388.74578813135395</v>
      </c>
      <c r="BM32" s="1021">
        <f>(VLOOKUP(YEAR($A32),'NY East Load Projections'!$A$4:$EO$14,((MONTH($A32)-1)*12)+VLOOKUP(BM$4,$DE$6:$DF$17,2)+1))*$D32</f>
        <v>-388.74578813135395</v>
      </c>
      <c r="BN32" s="1021">
        <f>(VLOOKUP(YEAR($A32),'NY East Load Projections'!$A$4:$EO$14,((MONTH($A32)-1)*12)+VLOOKUP(BN$4,$DE$6:$DF$17,2)+1))*$D32</f>
        <v>-408.65361363754488</v>
      </c>
      <c r="BO32" s="1021">
        <f>(VLOOKUP(YEAR($A32),'NY East Load Projections'!$A$4:$EO$14,((MONTH($A32)-1)*12)+VLOOKUP(BO$4,$DE$6:$DF$17,2)+1))*$D32</f>
        <v>-408.65361363754488</v>
      </c>
      <c r="BP32" s="1021">
        <f>(VLOOKUP(YEAR($A32),'NY East Load Projections'!$A$4:$EO$14,((MONTH($A32)-1)*12)+VLOOKUP(BP$4,$DE$6:$DF$17,2)+1))*$D32</f>
        <v>-408.65361363754488</v>
      </c>
      <c r="BQ32" s="1021">
        <f>(VLOOKUP(YEAR($A32),'NY East Load Projections'!$A$4:$EO$14,((MONTH($A32)-1)*12)+VLOOKUP(BQ$4,$DE$6:$DF$17,2)+1))*$D32</f>
        <v>-408.65361363754488</v>
      </c>
      <c r="BR32" s="1021">
        <f>(VLOOKUP(YEAR($A32),'NY East Load Projections'!$A$4:$EO$14,((MONTH($A32)-1)*12)+VLOOKUP(BR$4,$DE$6:$DF$17,2)+1))*$D32</f>
        <v>-403.1968250110084</v>
      </c>
      <c r="BS32" s="1021">
        <f>(VLOOKUP(YEAR($A32),'NY East Load Projections'!$A$4:$EO$14,((MONTH($A32)-1)*12)+VLOOKUP(BS$4,$DE$6:$DF$17,2)+1))*$D32</f>
        <v>-403.1968250110084</v>
      </c>
      <c r="BT32" s="1021">
        <f>(VLOOKUP(YEAR($A32),'NY East Load Projections'!$A$4:$EO$14,((MONTH($A32)-1)*12)+VLOOKUP(BT$4,$DE$6:$DF$17,2)+1))*$D32</f>
        <v>-403.1968250110084</v>
      </c>
      <c r="BU32" s="1021">
        <f>(VLOOKUP(YEAR($A32),'NY East Load Projections'!$A$4:$EO$14,((MONTH($A32)-1)*12)+VLOOKUP(BU$4,$DE$6:$DF$17,2)+1))*$D32</f>
        <v>-403.1968250110084</v>
      </c>
      <c r="BV32" s="1021">
        <f>(VLOOKUP(YEAR($A32),'NY East Load Projections'!$A$4:$EO$14,((MONTH($A32)-1)*12)+VLOOKUP(BV$4,$DE$6:$DF$17,2)+1))*$D32</f>
        <v>-393.73972417802145</v>
      </c>
      <c r="BW32" s="1021">
        <f>(VLOOKUP(YEAR($A32),'NY East Load Projections'!$A$4:$EO$14,((MONTH($A32)-1)*12)+VLOOKUP(BW$4,$DE$6:$DF$17,2)+1))*$D32</f>
        <v>-393.73972417802145</v>
      </c>
      <c r="BX32" s="1021">
        <f>(VLOOKUP(YEAR($A32),'NY East Load Projections'!$A$4:$EO$14,((MONTH($A32)-1)*12)+VLOOKUP(BX$4,$DE$6:$DF$17,2)+1))*$D32</f>
        <v>-393.73972417802145</v>
      </c>
      <c r="BY32" s="1021">
        <f>(VLOOKUP(YEAR($A32),'NY East Load Projections'!$A$4:$EO$14,((MONTH($A32)-1)*12)+VLOOKUP(BY$4,$DE$6:$DF$17,2)+1))*$D32</f>
        <v>-393.73972417802145</v>
      </c>
      <c r="BZ32" s="1021">
        <f>(VLOOKUP(YEAR($A32),'NY East Load Projections'!$A$4:$EO$14,((MONTH($A32)-1)*12)+VLOOKUP(BZ$4,$DE$6:$DF$17,2)+1))*$D32</f>
        <v>-386.27260430852357</v>
      </c>
      <c r="CA32" s="1021">
        <f>(VLOOKUP(YEAR($A32),'NY East Load Projections'!$A$4:$EO$14,((MONTH($A32)-1)*12)+VLOOKUP(CA$4,$DE$6:$DF$17,2)+1))*$D32</f>
        <v>-386.27260430852357</v>
      </c>
      <c r="CB32" s="1021">
        <f>(VLOOKUP(YEAR($A32),'NY East Load Projections'!$A$4:$EO$14,((MONTH($A32)-1)*12)+VLOOKUP(CB$4,$DE$6:$DF$17,2)+1))*$D32</f>
        <v>-386.27260430852357</v>
      </c>
      <c r="CC32" s="1021">
        <f>(VLOOKUP(YEAR($A32),'NY East Load Projections'!$A$4:$EO$14,((MONTH($A32)-1)*12)+VLOOKUP(CC$4,$DE$6:$DF$17,2)+1))*$D32</f>
        <v>-386.27260430852357</v>
      </c>
      <c r="CE32" s="1021">
        <f>(VLOOKUP(YEAR($A32),'NY East Load Projections'!$A$4:$EO$14,((MONTH($A32)-1)*12)+VLOOKUP(CE$4,$DE$6:$DF$17,2)+1))*$E32</f>
        <v>0</v>
      </c>
      <c r="CF32" s="1021">
        <f>(VLOOKUP(YEAR($A32),'NY East Load Projections'!$A$4:$EO$14,((MONTH($A32)-1)*12)+VLOOKUP(CF$4,$DE$6:$DF$17,2)+1))*$E32</f>
        <v>0</v>
      </c>
      <c r="CG32" s="1021">
        <f>(VLOOKUP(YEAR($A32),'NY East Load Projections'!$A$4:$EO$14,((MONTH($A32)-1)*12)+VLOOKUP(CG$4,$DE$6:$DF$17,2)+1))*$E32</f>
        <v>0</v>
      </c>
      <c r="CH32" s="1021">
        <f>(VLOOKUP(YEAR($A32),'NY East Load Projections'!$A$4:$EO$14,((MONTH($A32)-1)*12)+VLOOKUP(CH$4,$DE$6:$DF$17,2)+1))*$E32</f>
        <v>0</v>
      </c>
      <c r="CI32" s="1021">
        <f>(VLOOKUP(YEAR($A32),'NY East Load Projections'!$A$4:$EO$14,((MONTH($A32)-1)*12)+VLOOKUP(CI$4,$DE$6:$DF$17,2)+1))*$E32</f>
        <v>0</v>
      </c>
      <c r="CJ32" s="1021">
        <f>(VLOOKUP(YEAR($A32),'NY East Load Projections'!$A$4:$EO$14,((MONTH($A32)-1)*12)+VLOOKUP(CJ$4,$DE$6:$DF$17,2)+1))*$E32</f>
        <v>0</v>
      </c>
      <c r="CK32" s="1021">
        <f>(VLOOKUP(YEAR($A32),'NY East Load Projections'!$A$4:$EO$14,((MONTH($A32)-1)*12)+VLOOKUP(CK$4,$DE$6:$DF$17,2)+1))*$E32</f>
        <v>0</v>
      </c>
      <c r="CL32" s="1021">
        <f>(VLOOKUP(YEAR($A32),'NY East Load Projections'!$A$4:$EO$14,((MONTH($A32)-1)*12)+VLOOKUP(CL$4,$DE$6:$DF$17,2)+1))*$E32</f>
        <v>0</v>
      </c>
      <c r="CM32" s="1021">
        <f>(VLOOKUP(YEAR($A32),'NY East Load Projections'!$A$4:$EO$14,((MONTH($A32)-1)*12)+VLOOKUP(CM$4,$DE$6:$DF$17,2)+1))*$E32</f>
        <v>0</v>
      </c>
      <c r="CN32" s="1021">
        <f>(VLOOKUP(YEAR($A32),'NY East Load Projections'!$A$4:$EO$14,((MONTH($A32)-1)*12)+VLOOKUP(CN$4,$DE$6:$DF$17,2)+1))*$E32</f>
        <v>0</v>
      </c>
      <c r="CO32" s="1021">
        <f>(VLOOKUP(YEAR($A32),'NY East Load Projections'!$A$4:$EO$14,((MONTH($A32)-1)*12)+VLOOKUP(CO$4,$DE$6:$DF$17,2)+1))*$E32</f>
        <v>0</v>
      </c>
      <c r="CP32" s="1021">
        <f>(VLOOKUP(YEAR($A32),'NY East Load Projections'!$A$4:$EO$14,((MONTH($A32)-1)*12)+VLOOKUP(CP$4,$DE$6:$DF$17,2)+1))*$E32</f>
        <v>0</v>
      </c>
      <c r="CQ32" s="1021">
        <f>(VLOOKUP(YEAR($A32),'NY East Load Projections'!$A$4:$EO$14,((MONTH($A32)-1)*12)+VLOOKUP(CQ$4,$DE$6:$DF$17,2)+1))*$E32</f>
        <v>0</v>
      </c>
      <c r="CR32" s="1021">
        <f>(VLOOKUP(YEAR($A32),'NY East Load Projections'!$A$4:$EO$14,((MONTH($A32)-1)*12)+VLOOKUP(CR$4,$DE$6:$DF$17,2)+1))*$E32</f>
        <v>0</v>
      </c>
      <c r="CS32" s="1021">
        <f>(VLOOKUP(YEAR($A32),'NY East Load Projections'!$A$4:$EO$14,((MONTH($A32)-1)*12)+VLOOKUP(CS$4,$DE$6:$DF$17,2)+1))*$E32</f>
        <v>0</v>
      </c>
      <c r="CT32" s="1021">
        <f>(VLOOKUP(YEAR($A32),'NY East Load Projections'!$A$4:$EO$14,((MONTH($A32)-1)*12)+VLOOKUP(CT$4,$DE$6:$DF$17,2)+1))*$E32</f>
        <v>0</v>
      </c>
      <c r="CU32" s="1021">
        <f>(VLOOKUP(YEAR($A32),'NY East Load Projections'!$A$4:$EO$14,((MONTH($A32)-1)*12)+VLOOKUP(CU$4,$DE$6:$DF$17,2)+1))*$E32</f>
        <v>0</v>
      </c>
      <c r="CV32" s="1021">
        <f>(VLOOKUP(YEAR($A32),'NY East Load Projections'!$A$4:$EO$14,((MONTH($A32)-1)*12)+VLOOKUP(CV$4,$DE$6:$DF$17,2)+1))*$E32</f>
        <v>0</v>
      </c>
      <c r="CW32" s="1021">
        <f>(VLOOKUP(YEAR($A32),'NY East Load Projections'!$A$4:$EO$14,((MONTH($A32)-1)*12)+VLOOKUP(CW$4,$DE$6:$DF$17,2)+1))*$E32</f>
        <v>0</v>
      </c>
      <c r="CX32" s="1021">
        <f>(VLOOKUP(YEAR($A32),'NY East Load Projections'!$A$4:$EO$14,((MONTH($A32)-1)*12)+VLOOKUP(CX$4,$DE$6:$DF$17,2)+1))*$E32</f>
        <v>0</v>
      </c>
      <c r="CY32" s="1021">
        <f>(VLOOKUP(YEAR($A32),'NY East Load Projections'!$A$4:$EO$14,((MONTH($A32)-1)*12)+VLOOKUP(CY$4,$DE$6:$DF$17,2)+1))*$E32</f>
        <v>0</v>
      </c>
      <c r="CZ32" s="1021">
        <f>(VLOOKUP(YEAR($A32),'NY East Load Projections'!$A$4:$EO$14,((MONTH($A32)-1)*12)+VLOOKUP(CZ$4,$DE$6:$DF$17,2)+1))*$E32</f>
        <v>0</v>
      </c>
      <c r="DA32" s="1021">
        <f>(VLOOKUP(YEAR($A32),'NY East Load Projections'!$A$4:$EO$14,((MONTH($A32)-1)*12)+VLOOKUP(DA$4,$DE$6:$DF$17,2)+1))*$E32</f>
        <v>0</v>
      </c>
      <c r="DB32" s="1021">
        <f>(VLOOKUP(YEAR($A32),'NY East Load Projections'!$A$4:$EO$14,((MONTH($A32)-1)*12)+VLOOKUP(DB$4,$DE$6:$DF$17,2)+1))*$E32</f>
        <v>0</v>
      </c>
      <c r="DH32" s="1009">
        <f t="shared" si="0"/>
        <v>-57175.34123013114</v>
      </c>
      <c r="DI32">
        <f ca="1">CALC!J52</f>
        <v>0.8013310793992765</v>
      </c>
      <c r="DJ32" s="1032">
        <f t="shared" ca="1" si="1"/>
        <v>-45816.377902962944</v>
      </c>
    </row>
    <row r="33" spans="1:114" x14ac:dyDescent="0.25">
      <c r="A33" s="244">
        <v>37712</v>
      </c>
      <c r="B33" s="13">
        <v>22</v>
      </c>
      <c r="C33" s="210">
        <v>4</v>
      </c>
      <c r="D33" s="210">
        <v>4</v>
      </c>
      <c r="E33" s="210">
        <v>0</v>
      </c>
      <c r="F33" s="13">
        <v>30</v>
      </c>
      <c r="H33" s="1021">
        <f>(VLOOKUP(YEAR($A33),'NY East Load Projections'!$A$4:$EO$14,((MONTH($A33)-1)*12)+VLOOKUP(H$4,$DE$6:$DF$17,2)+1))*$B33</f>
        <v>-1859.6123143198774</v>
      </c>
      <c r="I33" s="1021">
        <f>(VLOOKUP(YEAR($A33),'NY East Load Projections'!$A$4:$EO$14,((MONTH($A33)-1)*12)+VLOOKUP(I$4,$DE$6:$DF$17,2)+1))*$B33</f>
        <v>-1859.6123143198774</v>
      </c>
      <c r="J33" s="1021">
        <f>(VLOOKUP(YEAR($A33),'NY East Load Projections'!$A$4:$EO$14,((MONTH($A33)-1)*12)+VLOOKUP(J$4,$DE$6:$DF$17,2)+1))*$B33</f>
        <v>-1859.6123143198774</v>
      </c>
      <c r="K33" s="1021">
        <f>(VLOOKUP(YEAR($A33),'NY East Load Projections'!$A$4:$EO$14,((MONTH($A33)-1)*12)+VLOOKUP(K$4,$DE$6:$DF$17,2)+1))*$B33</f>
        <v>-1859.6123143198774</v>
      </c>
      <c r="L33" s="1021">
        <f>(VLOOKUP(YEAR($A33),'NY East Load Projections'!$A$4:$EO$14,((MONTH($A33)-1)*12)+VLOOKUP(L$4,$DE$6:$DF$17,2)+1))*$B33</f>
        <v>-2040.9933245228278</v>
      </c>
      <c r="M33" s="1021">
        <f>(VLOOKUP(YEAR($A33),'NY East Load Projections'!$A$4:$EO$14,((MONTH($A33)-1)*12)+VLOOKUP(M$4,$DE$6:$DF$17,2)+1))*$B33</f>
        <v>-2040.9933245228278</v>
      </c>
      <c r="N33" s="1021">
        <f>(VLOOKUP(YEAR($A33),'NY East Load Projections'!$A$4:$EO$14,((MONTH($A33)-1)*12)+VLOOKUP(N$4,$DE$6:$DF$17,2)+1))*$B33</f>
        <v>-2040.9933245228278</v>
      </c>
      <c r="O33" s="1021">
        <f>(VLOOKUP(YEAR($A33),'NY East Load Projections'!$A$4:$EO$14,((MONTH($A33)-1)*12)+VLOOKUP(O$4,$DE$6:$DF$17,2)+1))*$B33</f>
        <v>-2040.9933245228278</v>
      </c>
      <c r="P33" s="1021">
        <f>(VLOOKUP(YEAR($A33),'NY East Load Projections'!$A$4:$EO$14,((MONTH($A33)-1)*12)+VLOOKUP(P$4,$DE$6:$DF$17,2)+1))*$B33</f>
        <v>-2259.5224839530156</v>
      </c>
      <c r="Q33" s="1021">
        <f>(VLOOKUP(YEAR($A33),'NY East Load Projections'!$A$4:$EO$14,((MONTH($A33)-1)*12)+VLOOKUP(Q$4,$DE$6:$DF$17,2)+1))*$B33</f>
        <v>-2259.5224839530156</v>
      </c>
      <c r="R33" s="1021">
        <f>(VLOOKUP(YEAR($A33),'NY East Load Projections'!$A$4:$EO$14,((MONTH($A33)-1)*12)+VLOOKUP(R$4,$DE$6:$DF$17,2)+1))*$B33</f>
        <v>-2259.5224839530156</v>
      </c>
      <c r="S33" s="1021">
        <f>(VLOOKUP(YEAR($A33),'NY East Load Projections'!$A$4:$EO$14,((MONTH($A33)-1)*12)+VLOOKUP(S$4,$DE$6:$DF$17,2)+1))*$B33</f>
        <v>-2259.5224839530156</v>
      </c>
      <c r="T33" s="1021">
        <f>(VLOOKUP(YEAR($A33),'NY East Load Projections'!$A$4:$EO$14,((MONTH($A33)-1)*12)+VLOOKUP(T$4,$DE$6:$DF$17,2)+1))*$B33</f>
        <v>-2313.943595827202</v>
      </c>
      <c r="U33" s="1021">
        <f>(VLOOKUP(YEAR($A33),'NY East Load Projections'!$A$4:$EO$14,((MONTH($A33)-1)*12)+VLOOKUP(U$4,$DE$6:$DF$17,2)+1))*$B33</f>
        <v>-2313.943595827202</v>
      </c>
      <c r="V33" s="1021">
        <f>(VLOOKUP(YEAR($A33),'NY East Load Projections'!$A$4:$EO$14,((MONTH($A33)-1)*12)+VLOOKUP(V$4,$DE$6:$DF$17,2)+1))*$B33</f>
        <v>-2313.943595827202</v>
      </c>
      <c r="W33" s="1021">
        <f>(VLOOKUP(YEAR($A33),'NY East Load Projections'!$A$4:$EO$14,((MONTH($A33)-1)*12)+VLOOKUP(W$4,$DE$6:$DF$17,2)+1))*$B33</f>
        <v>-2313.943595827202</v>
      </c>
      <c r="X33" s="1021">
        <f>(VLOOKUP(YEAR($A33),'NY East Load Projections'!$A$4:$EO$14,((MONTH($A33)-1)*12)+VLOOKUP(X$4,$DE$6:$DF$17,2)+1))*$B33</f>
        <v>-2163.8966233027809</v>
      </c>
      <c r="Y33" s="1021">
        <f>(VLOOKUP(YEAR($A33),'NY East Load Projections'!$A$4:$EO$14,((MONTH($A33)-1)*12)+VLOOKUP(Y$4,$DE$6:$DF$17,2)+1))*$B33</f>
        <v>-2163.8966233027809</v>
      </c>
      <c r="Z33" s="1021">
        <f>(VLOOKUP(YEAR($A33),'NY East Load Projections'!$A$4:$EO$14,((MONTH($A33)-1)*12)+VLOOKUP(Z$4,$DE$6:$DF$17,2)+1))*$B33</f>
        <v>-2163.8966233027809</v>
      </c>
      <c r="AA33" s="1021">
        <f>(VLOOKUP(YEAR($A33),'NY East Load Projections'!$A$4:$EO$14,((MONTH($A33)-1)*12)+VLOOKUP(AA$4,$DE$6:$DF$17,2)+1))*$B33</f>
        <v>-2163.8966233027809</v>
      </c>
      <c r="AB33" s="1021">
        <f>(VLOOKUP(YEAR($A33),'NY East Load Projections'!$A$4:$EO$14,((MONTH($A33)-1)*12)+VLOOKUP(AB$4,$DE$6:$DF$17,2)+1))*$B33</f>
        <v>-1946.2762037985308</v>
      </c>
      <c r="AC33" s="1021">
        <f>(VLOOKUP(YEAR($A33),'NY East Load Projections'!$A$4:$EO$14,((MONTH($A33)-1)*12)+VLOOKUP(AC$4,$DE$6:$DF$17,2)+1))*$B33</f>
        <v>-1946.2762037985308</v>
      </c>
      <c r="AD33" s="1021">
        <f>(VLOOKUP(YEAR($A33),'NY East Load Projections'!$A$4:$EO$14,((MONTH($A33)-1)*12)+VLOOKUP(AD$4,$DE$6:$DF$17,2)+1))*$B33</f>
        <v>-1946.2762037985308</v>
      </c>
      <c r="AE33" s="1021">
        <f>(VLOOKUP(YEAR($A33),'NY East Load Projections'!$A$4:$EO$14,((MONTH($A33)-1)*12)+VLOOKUP(AE$4,$DE$6:$DF$17,2)+1))*$B33</f>
        <v>-1946.2762037985308</v>
      </c>
      <c r="AF33" s="1021"/>
      <c r="AG33" s="1021">
        <f>(VLOOKUP(YEAR($A33),'NY East Load Projections'!$A$4:$EO$14,((MONTH($A33)-1)*12)+VLOOKUP(AG$4,$DE$6:$DF$17,2)+1))*$C33</f>
        <v>-358.36129399584155</v>
      </c>
      <c r="AH33" s="1021">
        <f>(VLOOKUP(YEAR($A33),'NY East Load Projections'!$A$4:$EO$14,((MONTH($A33)-1)*12)+VLOOKUP(AH$4,$DE$6:$DF$17,2)+1))*$C33</f>
        <v>-358.36129399584155</v>
      </c>
      <c r="AI33" s="1021">
        <f>(VLOOKUP(YEAR($A33),'NY East Load Projections'!$A$4:$EO$14,((MONTH($A33)-1)*12)+VLOOKUP(AI$4,$DE$6:$DF$17,2)+1))*$C33</f>
        <v>-358.36129399584155</v>
      </c>
      <c r="AJ33" s="1021">
        <f>(VLOOKUP(YEAR($A33),'NY East Load Projections'!$A$4:$EO$14,((MONTH($A33)-1)*12)+VLOOKUP(AJ$4,$DE$6:$DF$17,2)+1))*$C33</f>
        <v>-358.36129399584155</v>
      </c>
      <c r="AK33" s="1021">
        <f>(VLOOKUP(YEAR($A33),'NY East Load Projections'!$A$4:$EO$14,((MONTH($A33)-1)*12)+VLOOKUP(AK$4,$DE$6:$DF$17,2)+1))*$C33</f>
        <v>-364.19004746412998</v>
      </c>
      <c r="AL33" s="1021">
        <f>(VLOOKUP(YEAR($A33),'NY East Load Projections'!$A$4:$EO$14,((MONTH($A33)-1)*12)+VLOOKUP(AL$4,$DE$6:$DF$17,2)+1))*$C33</f>
        <v>-364.19004746412998</v>
      </c>
      <c r="AM33" s="1021">
        <f>(VLOOKUP(YEAR($A33),'NY East Load Projections'!$A$4:$EO$14,((MONTH($A33)-1)*12)+VLOOKUP(AM$4,$DE$6:$DF$17,2)+1))*$C33</f>
        <v>-364.19004746412998</v>
      </c>
      <c r="AN33" s="1021">
        <f>(VLOOKUP(YEAR($A33),'NY East Load Projections'!$A$4:$EO$14,((MONTH($A33)-1)*12)+VLOOKUP(AN$4,$DE$6:$DF$17,2)+1))*$C33</f>
        <v>-364.19004746412998</v>
      </c>
      <c r="AO33" s="1021">
        <f>(VLOOKUP(YEAR($A33),'NY East Load Projections'!$A$4:$EO$14,((MONTH($A33)-1)*12)+VLOOKUP(AO$4,$DE$6:$DF$17,2)+1))*$C33</f>
        <v>-391.16730007236185</v>
      </c>
      <c r="AP33" s="1021">
        <f>(VLOOKUP(YEAR($A33),'NY East Load Projections'!$A$4:$EO$14,((MONTH($A33)-1)*12)+VLOOKUP(AP$4,$DE$6:$DF$17,2)+1))*$C33</f>
        <v>-391.16730007236185</v>
      </c>
      <c r="AQ33" s="1021">
        <f>(VLOOKUP(YEAR($A33),'NY East Load Projections'!$A$4:$EO$14,((MONTH($A33)-1)*12)+VLOOKUP(AQ$4,$DE$6:$DF$17,2)+1))*$C33</f>
        <v>-391.16730007236185</v>
      </c>
      <c r="AR33" s="1021">
        <f>(VLOOKUP(YEAR($A33),'NY East Load Projections'!$A$4:$EO$14,((MONTH($A33)-1)*12)+VLOOKUP(AR$4,$DE$6:$DF$17,2)+1))*$C33</f>
        <v>-391.16730007236185</v>
      </c>
      <c r="AS33" s="1021">
        <f>(VLOOKUP(YEAR($A33),'NY East Load Projections'!$A$4:$EO$14,((MONTH($A33)-1)*12)+VLOOKUP(AS$4,$DE$6:$DF$17,2)+1))*$C33</f>
        <v>-387.52094156947584</v>
      </c>
      <c r="AT33" s="1021">
        <f>(VLOOKUP(YEAR($A33),'NY East Load Projections'!$A$4:$EO$14,((MONTH($A33)-1)*12)+VLOOKUP(AT$4,$DE$6:$DF$17,2)+1))*$C33</f>
        <v>-387.52094156947584</v>
      </c>
      <c r="AU33" s="1021">
        <f>(VLOOKUP(YEAR($A33),'NY East Load Projections'!$A$4:$EO$14,((MONTH($A33)-1)*12)+VLOOKUP(AU$4,$DE$6:$DF$17,2)+1))*$C33</f>
        <v>-387.52094156947584</v>
      </c>
      <c r="AV33" s="1021">
        <f>(VLOOKUP(YEAR($A33),'NY East Load Projections'!$A$4:$EO$14,((MONTH($A33)-1)*12)+VLOOKUP(AV$4,$DE$6:$DF$17,2)+1))*$C33</f>
        <v>-387.52094156947584</v>
      </c>
      <c r="AW33" s="1021">
        <f>(VLOOKUP(YEAR($A33),'NY East Load Projections'!$A$4:$EO$14,((MONTH($A33)-1)*12)+VLOOKUP(AW$4,$DE$6:$DF$17,2)+1))*$C33</f>
        <v>-368.2887850391707</v>
      </c>
      <c r="AX33" s="1021">
        <f>(VLOOKUP(YEAR($A33),'NY East Load Projections'!$A$4:$EO$14,((MONTH($A33)-1)*12)+VLOOKUP(AX$4,$DE$6:$DF$17,2)+1))*$C33</f>
        <v>-368.2887850391707</v>
      </c>
      <c r="AY33" s="1021">
        <f>(VLOOKUP(YEAR($A33),'NY East Load Projections'!$A$4:$EO$14,((MONTH($A33)-1)*12)+VLOOKUP(AY$4,$DE$6:$DF$17,2)+1))*$C33</f>
        <v>-368.2887850391707</v>
      </c>
      <c r="AZ33" s="1021">
        <f>(VLOOKUP(YEAR($A33),'NY East Load Projections'!$A$4:$EO$14,((MONTH($A33)-1)*12)+VLOOKUP(AZ$4,$DE$6:$DF$17,2)+1))*$C33</f>
        <v>-368.2887850391707</v>
      </c>
      <c r="BA33" s="1021">
        <f>(VLOOKUP(YEAR($A33),'NY East Load Projections'!$A$4:$EO$14,((MONTH($A33)-1)*12)+VLOOKUP(BA$4,$DE$6:$DF$17,2)+1))*$C33</f>
        <v>-361.32922480036319</v>
      </c>
      <c r="BB33" s="1021">
        <f>(VLOOKUP(YEAR($A33),'NY East Load Projections'!$A$4:$EO$14,((MONTH($A33)-1)*12)+VLOOKUP(BB$4,$DE$6:$DF$17,2)+1))*$C33</f>
        <v>-361.32922480036319</v>
      </c>
      <c r="BC33" s="1021">
        <f>(VLOOKUP(YEAR($A33),'NY East Load Projections'!$A$4:$EO$14,((MONTH($A33)-1)*12)+VLOOKUP(BC$4,$DE$6:$DF$17,2)+1))*$C33</f>
        <v>-361.32922480036319</v>
      </c>
      <c r="BD33" s="1021">
        <f>(VLOOKUP(YEAR($A33),'NY East Load Projections'!$A$4:$EO$14,((MONTH($A33)-1)*12)+VLOOKUP(BD$4,$DE$6:$DF$17,2)+1))*$C33</f>
        <v>-361.32922480036319</v>
      </c>
      <c r="BE33" s="1021"/>
      <c r="BF33" s="1021">
        <f>(VLOOKUP(YEAR($A33),'NY East Load Projections'!$A$4:$EO$14,((MONTH($A33)-1)*12)+VLOOKUP(BF$4,$DE$6:$DF$17,2)+1))*$D33</f>
        <v>-358.36129399584155</v>
      </c>
      <c r="BG33" s="1021">
        <f>(VLOOKUP(YEAR($A33),'NY East Load Projections'!$A$4:$EO$14,((MONTH($A33)-1)*12)+VLOOKUP(BG$4,$DE$6:$DF$17,2)+1))*$D33</f>
        <v>-358.36129399584155</v>
      </c>
      <c r="BH33" s="1021">
        <f>(VLOOKUP(YEAR($A33),'NY East Load Projections'!$A$4:$EO$14,((MONTH($A33)-1)*12)+VLOOKUP(BH$4,$DE$6:$DF$17,2)+1))*$D33</f>
        <v>-358.36129399584155</v>
      </c>
      <c r="BI33" s="1021">
        <f>(VLOOKUP(YEAR($A33),'NY East Load Projections'!$A$4:$EO$14,((MONTH($A33)-1)*12)+VLOOKUP(BI$4,$DE$6:$DF$17,2)+1))*$D33</f>
        <v>-358.36129399584155</v>
      </c>
      <c r="BJ33" s="1021">
        <f>(VLOOKUP(YEAR($A33),'NY East Load Projections'!$A$4:$EO$14,((MONTH($A33)-1)*12)+VLOOKUP(BJ$4,$DE$6:$DF$17,2)+1))*$D33</f>
        <v>-364.19004746412998</v>
      </c>
      <c r="BK33" s="1021">
        <f>(VLOOKUP(YEAR($A33),'NY East Load Projections'!$A$4:$EO$14,((MONTH($A33)-1)*12)+VLOOKUP(BK$4,$DE$6:$DF$17,2)+1))*$D33</f>
        <v>-364.19004746412998</v>
      </c>
      <c r="BL33" s="1021">
        <f>(VLOOKUP(YEAR($A33),'NY East Load Projections'!$A$4:$EO$14,((MONTH($A33)-1)*12)+VLOOKUP(BL$4,$DE$6:$DF$17,2)+1))*$D33</f>
        <v>-364.19004746412998</v>
      </c>
      <c r="BM33" s="1021">
        <f>(VLOOKUP(YEAR($A33),'NY East Load Projections'!$A$4:$EO$14,((MONTH($A33)-1)*12)+VLOOKUP(BM$4,$DE$6:$DF$17,2)+1))*$D33</f>
        <v>-364.19004746412998</v>
      </c>
      <c r="BN33" s="1021">
        <f>(VLOOKUP(YEAR($A33),'NY East Load Projections'!$A$4:$EO$14,((MONTH($A33)-1)*12)+VLOOKUP(BN$4,$DE$6:$DF$17,2)+1))*$D33</f>
        <v>-391.16730007236185</v>
      </c>
      <c r="BO33" s="1021">
        <f>(VLOOKUP(YEAR($A33),'NY East Load Projections'!$A$4:$EO$14,((MONTH($A33)-1)*12)+VLOOKUP(BO$4,$DE$6:$DF$17,2)+1))*$D33</f>
        <v>-391.16730007236185</v>
      </c>
      <c r="BP33" s="1021">
        <f>(VLOOKUP(YEAR($A33),'NY East Load Projections'!$A$4:$EO$14,((MONTH($A33)-1)*12)+VLOOKUP(BP$4,$DE$6:$DF$17,2)+1))*$D33</f>
        <v>-391.16730007236185</v>
      </c>
      <c r="BQ33" s="1021">
        <f>(VLOOKUP(YEAR($A33),'NY East Load Projections'!$A$4:$EO$14,((MONTH($A33)-1)*12)+VLOOKUP(BQ$4,$DE$6:$DF$17,2)+1))*$D33</f>
        <v>-391.16730007236185</v>
      </c>
      <c r="BR33" s="1021">
        <f>(VLOOKUP(YEAR($A33),'NY East Load Projections'!$A$4:$EO$14,((MONTH($A33)-1)*12)+VLOOKUP(BR$4,$DE$6:$DF$17,2)+1))*$D33</f>
        <v>-387.52094156947584</v>
      </c>
      <c r="BS33" s="1021">
        <f>(VLOOKUP(YEAR($A33),'NY East Load Projections'!$A$4:$EO$14,((MONTH($A33)-1)*12)+VLOOKUP(BS$4,$DE$6:$DF$17,2)+1))*$D33</f>
        <v>-387.52094156947584</v>
      </c>
      <c r="BT33" s="1021">
        <f>(VLOOKUP(YEAR($A33),'NY East Load Projections'!$A$4:$EO$14,((MONTH($A33)-1)*12)+VLOOKUP(BT$4,$DE$6:$DF$17,2)+1))*$D33</f>
        <v>-387.52094156947584</v>
      </c>
      <c r="BU33" s="1021">
        <f>(VLOOKUP(YEAR($A33),'NY East Load Projections'!$A$4:$EO$14,((MONTH($A33)-1)*12)+VLOOKUP(BU$4,$DE$6:$DF$17,2)+1))*$D33</f>
        <v>-387.52094156947584</v>
      </c>
      <c r="BV33" s="1021">
        <f>(VLOOKUP(YEAR($A33),'NY East Load Projections'!$A$4:$EO$14,((MONTH($A33)-1)*12)+VLOOKUP(BV$4,$DE$6:$DF$17,2)+1))*$D33</f>
        <v>-368.2887850391707</v>
      </c>
      <c r="BW33" s="1021">
        <f>(VLOOKUP(YEAR($A33),'NY East Load Projections'!$A$4:$EO$14,((MONTH($A33)-1)*12)+VLOOKUP(BW$4,$DE$6:$DF$17,2)+1))*$D33</f>
        <v>-368.2887850391707</v>
      </c>
      <c r="BX33" s="1021">
        <f>(VLOOKUP(YEAR($A33),'NY East Load Projections'!$A$4:$EO$14,((MONTH($A33)-1)*12)+VLOOKUP(BX$4,$DE$6:$DF$17,2)+1))*$D33</f>
        <v>-368.2887850391707</v>
      </c>
      <c r="BY33" s="1021">
        <f>(VLOOKUP(YEAR($A33),'NY East Load Projections'!$A$4:$EO$14,((MONTH($A33)-1)*12)+VLOOKUP(BY$4,$DE$6:$DF$17,2)+1))*$D33</f>
        <v>-368.2887850391707</v>
      </c>
      <c r="BZ33" s="1021">
        <f>(VLOOKUP(YEAR($A33),'NY East Load Projections'!$A$4:$EO$14,((MONTH($A33)-1)*12)+VLOOKUP(BZ$4,$DE$6:$DF$17,2)+1))*$D33</f>
        <v>-361.32922480036319</v>
      </c>
      <c r="CA33" s="1021">
        <f>(VLOOKUP(YEAR($A33),'NY East Load Projections'!$A$4:$EO$14,((MONTH($A33)-1)*12)+VLOOKUP(CA$4,$DE$6:$DF$17,2)+1))*$D33</f>
        <v>-361.32922480036319</v>
      </c>
      <c r="CB33" s="1021">
        <f>(VLOOKUP(YEAR($A33),'NY East Load Projections'!$A$4:$EO$14,((MONTH($A33)-1)*12)+VLOOKUP(CB$4,$DE$6:$DF$17,2)+1))*$D33</f>
        <v>-361.32922480036319</v>
      </c>
      <c r="CC33" s="1021">
        <f>(VLOOKUP(YEAR($A33),'NY East Load Projections'!$A$4:$EO$14,((MONTH($A33)-1)*12)+VLOOKUP(CC$4,$DE$6:$DF$17,2)+1))*$D33</f>
        <v>-361.32922480036319</v>
      </c>
      <c r="CE33" s="1021">
        <f>(VLOOKUP(YEAR($A33),'NY East Load Projections'!$A$4:$EO$14,((MONTH($A33)-1)*12)+VLOOKUP(CE$4,$DE$6:$DF$17,2)+1))*$E33</f>
        <v>0</v>
      </c>
      <c r="CF33" s="1021">
        <f>(VLOOKUP(YEAR($A33),'NY East Load Projections'!$A$4:$EO$14,((MONTH($A33)-1)*12)+VLOOKUP(CF$4,$DE$6:$DF$17,2)+1))*$E33</f>
        <v>0</v>
      </c>
      <c r="CG33" s="1021">
        <f>(VLOOKUP(YEAR($A33),'NY East Load Projections'!$A$4:$EO$14,((MONTH($A33)-1)*12)+VLOOKUP(CG$4,$DE$6:$DF$17,2)+1))*$E33</f>
        <v>0</v>
      </c>
      <c r="CH33" s="1021">
        <f>(VLOOKUP(YEAR($A33),'NY East Load Projections'!$A$4:$EO$14,((MONTH($A33)-1)*12)+VLOOKUP(CH$4,$DE$6:$DF$17,2)+1))*$E33</f>
        <v>0</v>
      </c>
      <c r="CI33" s="1021">
        <f>(VLOOKUP(YEAR($A33),'NY East Load Projections'!$A$4:$EO$14,((MONTH($A33)-1)*12)+VLOOKUP(CI$4,$DE$6:$DF$17,2)+1))*$E33</f>
        <v>0</v>
      </c>
      <c r="CJ33" s="1021">
        <f>(VLOOKUP(YEAR($A33),'NY East Load Projections'!$A$4:$EO$14,((MONTH($A33)-1)*12)+VLOOKUP(CJ$4,$DE$6:$DF$17,2)+1))*$E33</f>
        <v>0</v>
      </c>
      <c r="CK33" s="1021">
        <f>(VLOOKUP(YEAR($A33),'NY East Load Projections'!$A$4:$EO$14,((MONTH($A33)-1)*12)+VLOOKUP(CK$4,$DE$6:$DF$17,2)+1))*$E33</f>
        <v>0</v>
      </c>
      <c r="CL33" s="1021">
        <f>(VLOOKUP(YEAR($A33),'NY East Load Projections'!$A$4:$EO$14,((MONTH($A33)-1)*12)+VLOOKUP(CL$4,$DE$6:$DF$17,2)+1))*$E33</f>
        <v>0</v>
      </c>
      <c r="CM33" s="1021">
        <f>(VLOOKUP(YEAR($A33),'NY East Load Projections'!$A$4:$EO$14,((MONTH($A33)-1)*12)+VLOOKUP(CM$4,$DE$6:$DF$17,2)+1))*$E33</f>
        <v>0</v>
      </c>
      <c r="CN33" s="1021">
        <f>(VLOOKUP(YEAR($A33),'NY East Load Projections'!$A$4:$EO$14,((MONTH($A33)-1)*12)+VLOOKUP(CN$4,$DE$6:$DF$17,2)+1))*$E33</f>
        <v>0</v>
      </c>
      <c r="CO33" s="1021">
        <f>(VLOOKUP(YEAR($A33),'NY East Load Projections'!$A$4:$EO$14,((MONTH($A33)-1)*12)+VLOOKUP(CO$4,$DE$6:$DF$17,2)+1))*$E33</f>
        <v>0</v>
      </c>
      <c r="CP33" s="1021">
        <f>(VLOOKUP(YEAR($A33),'NY East Load Projections'!$A$4:$EO$14,((MONTH($A33)-1)*12)+VLOOKUP(CP$4,$DE$6:$DF$17,2)+1))*$E33</f>
        <v>0</v>
      </c>
      <c r="CQ33" s="1021">
        <f>(VLOOKUP(YEAR($A33),'NY East Load Projections'!$A$4:$EO$14,((MONTH($A33)-1)*12)+VLOOKUP(CQ$4,$DE$6:$DF$17,2)+1))*$E33</f>
        <v>0</v>
      </c>
      <c r="CR33" s="1021">
        <f>(VLOOKUP(YEAR($A33),'NY East Load Projections'!$A$4:$EO$14,((MONTH($A33)-1)*12)+VLOOKUP(CR$4,$DE$6:$DF$17,2)+1))*$E33</f>
        <v>0</v>
      </c>
      <c r="CS33" s="1021">
        <f>(VLOOKUP(YEAR($A33),'NY East Load Projections'!$A$4:$EO$14,((MONTH($A33)-1)*12)+VLOOKUP(CS$4,$DE$6:$DF$17,2)+1))*$E33</f>
        <v>0</v>
      </c>
      <c r="CT33" s="1021">
        <f>(VLOOKUP(YEAR($A33),'NY East Load Projections'!$A$4:$EO$14,((MONTH($A33)-1)*12)+VLOOKUP(CT$4,$DE$6:$DF$17,2)+1))*$E33</f>
        <v>0</v>
      </c>
      <c r="CU33" s="1021">
        <f>(VLOOKUP(YEAR($A33),'NY East Load Projections'!$A$4:$EO$14,((MONTH($A33)-1)*12)+VLOOKUP(CU$4,$DE$6:$DF$17,2)+1))*$E33</f>
        <v>0</v>
      </c>
      <c r="CV33" s="1021">
        <f>(VLOOKUP(YEAR($A33),'NY East Load Projections'!$A$4:$EO$14,((MONTH($A33)-1)*12)+VLOOKUP(CV$4,$DE$6:$DF$17,2)+1))*$E33</f>
        <v>0</v>
      </c>
      <c r="CW33" s="1021">
        <f>(VLOOKUP(YEAR($A33),'NY East Load Projections'!$A$4:$EO$14,((MONTH($A33)-1)*12)+VLOOKUP(CW$4,$DE$6:$DF$17,2)+1))*$E33</f>
        <v>0</v>
      </c>
      <c r="CX33" s="1021">
        <f>(VLOOKUP(YEAR($A33),'NY East Load Projections'!$A$4:$EO$14,((MONTH($A33)-1)*12)+VLOOKUP(CX$4,$DE$6:$DF$17,2)+1))*$E33</f>
        <v>0</v>
      </c>
      <c r="CY33" s="1021">
        <f>(VLOOKUP(YEAR($A33),'NY East Load Projections'!$A$4:$EO$14,((MONTH($A33)-1)*12)+VLOOKUP(CY$4,$DE$6:$DF$17,2)+1))*$E33</f>
        <v>0</v>
      </c>
      <c r="CZ33" s="1021">
        <f>(VLOOKUP(YEAR($A33),'NY East Load Projections'!$A$4:$EO$14,((MONTH($A33)-1)*12)+VLOOKUP(CZ$4,$DE$6:$DF$17,2)+1))*$E33</f>
        <v>0</v>
      </c>
      <c r="DA33" s="1021">
        <f>(VLOOKUP(YEAR($A33),'NY East Load Projections'!$A$4:$EO$14,((MONTH($A33)-1)*12)+VLOOKUP(DA$4,$DE$6:$DF$17,2)+1))*$E33</f>
        <v>0</v>
      </c>
      <c r="DB33" s="1021">
        <f>(VLOOKUP(YEAR($A33),'NY East Load Projections'!$A$4:$EO$14,((MONTH($A33)-1)*12)+VLOOKUP(DB$4,$DE$6:$DF$17,2)+1))*$E33</f>
        <v>0</v>
      </c>
      <c r="DH33" s="1009">
        <f t="shared" si="0"/>
        <v>-68183.838926427648</v>
      </c>
      <c r="DI33">
        <f ca="1">CALC!J53</f>
        <v>0.79649788221559004</v>
      </c>
      <c r="DJ33" s="1032">
        <f t="shared" ca="1" si="1"/>
        <v>-54308.283306228535</v>
      </c>
    </row>
    <row r="34" spans="1:114" x14ac:dyDescent="0.25">
      <c r="A34" s="244">
        <v>37742</v>
      </c>
      <c r="B34" s="13">
        <v>21</v>
      </c>
      <c r="C34" s="210">
        <v>5</v>
      </c>
      <c r="D34" s="210">
        <v>4</v>
      </c>
      <c r="E34" s="210">
        <v>1</v>
      </c>
      <c r="F34" s="13">
        <v>31</v>
      </c>
      <c r="H34" s="1021">
        <f>(VLOOKUP(YEAR($A34),'NY East Load Projections'!$A$4:$EO$14,((MONTH($A34)-1)*12)+VLOOKUP(H$4,$DE$6:$DF$17,2)+1))*$B34</f>
        <v>-1897.516875878774</v>
      </c>
      <c r="I34" s="1021">
        <f>(VLOOKUP(YEAR($A34),'NY East Load Projections'!$A$4:$EO$14,((MONTH($A34)-1)*12)+VLOOKUP(I$4,$DE$6:$DF$17,2)+1))*$B34</f>
        <v>-1897.516875878774</v>
      </c>
      <c r="J34" s="1021">
        <f>(VLOOKUP(YEAR($A34),'NY East Load Projections'!$A$4:$EO$14,((MONTH($A34)-1)*12)+VLOOKUP(J$4,$DE$6:$DF$17,2)+1))*$B34</f>
        <v>-1897.516875878774</v>
      </c>
      <c r="K34" s="1021">
        <f>(VLOOKUP(YEAR($A34),'NY East Load Projections'!$A$4:$EO$14,((MONTH($A34)-1)*12)+VLOOKUP(K$4,$DE$6:$DF$17,2)+1))*$B34</f>
        <v>-1897.516875878774</v>
      </c>
      <c r="L34" s="1021">
        <f>(VLOOKUP(YEAR($A34),'NY East Load Projections'!$A$4:$EO$14,((MONTH($A34)-1)*12)+VLOOKUP(L$4,$DE$6:$DF$17,2)+1))*$B34</f>
        <v>-2105.686967649799</v>
      </c>
      <c r="M34" s="1021">
        <f>(VLOOKUP(YEAR($A34),'NY East Load Projections'!$A$4:$EO$14,((MONTH($A34)-1)*12)+VLOOKUP(M$4,$DE$6:$DF$17,2)+1))*$B34</f>
        <v>-2105.686967649799</v>
      </c>
      <c r="N34" s="1021">
        <f>(VLOOKUP(YEAR($A34),'NY East Load Projections'!$A$4:$EO$14,((MONTH($A34)-1)*12)+VLOOKUP(N$4,$DE$6:$DF$17,2)+1))*$B34</f>
        <v>-2105.686967649799</v>
      </c>
      <c r="O34" s="1021">
        <f>(VLOOKUP(YEAR($A34),'NY East Load Projections'!$A$4:$EO$14,((MONTH($A34)-1)*12)+VLOOKUP(O$4,$DE$6:$DF$17,2)+1))*$B34</f>
        <v>-2105.686967649799</v>
      </c>
      <c r="P34" s="1021">
        <f>(VLOOKUP(YEAR($A34),'NY East Load Projections'!$A$4:$EO$14,((MONTH($A34)-1)*12)+VLOOKUP(P$4,$DE$6:$DF$17,2)+1))*$B34</f>
        <v>-2363.8482418392664</v>
      </c>
      <c r="Q34" s="1021">
        <f>(VLOOKUP(YEAR($A34),'NY East Load Projections'!$A$4:$EO$14,((MONTH($A34)-1)*12)+VLOOKUP(Q$4,$DE$6:$DF$17,2)+1))*$B34</f>
        <v>-2363.8482418392664</v>
      </c>
      <c r="R34" s="1021">
        <f>(VLOOKUP(YEAR($A34),'NY East Load Projections'!$A$4:$EO$14,((MONTH($A34)-1)*12)+VLOOKUP(R$4,$DE$6:$DF$17,2)+1))*$B34</f>
        <v>-2363.8482418392664</v>
      </c>
      <c r="S34" s="1021">
        <f>(VLOOKUP(YEAR($A34),'NY East Load Projections'!$A$4:$EO$14,((MONTH($A34)-1)*12)+VLOOKUP(S$4,$DE$6:$DF$17,2)+1))*$B34</f>
        <v>-2363.8482418392664</v>
      </c>
      <c r="T34" s="1021">
        <f>(VLOOKUP(YEAR($A34),'NY East Load Projections'!$A$4:$EO$14,((MONTH($A34)-1)*12)+VLOOKUP(T$4,$DE$6:$DF$17,2)+1))*$B34</f>
        <v>-2417.9189928178535</v>
      </c>
      <c r="U34" s="1021">
        <f>(VLOOKUP(YEAR($A34),'NY East Load Projections'!$A$4:$EO$14,((MONTH($A34)-1)*12)+VLOOKUP(U$4,$DE$6:$DF$17,2)+1))*$B34</f>
        <v>-2417.9189928178535</v>
      </c>
      <c r="V34" s="1021">
        <f>(VLOOKUP(YEAR($A34),'NY East Load Projections'!$A$4:$EO$14,((MONTH($A34)-1)*12)+VLOOKUP(V$4,$DE$6:$DF$17,2)+1))*$B34</f>
        <v>-2417.9189928178535</v>
      </c>
      <c r="W34" s="1021">
        <f>(VLOOKUP(YEAR($A34),'NY East Load Projections'!$A$4:$EO$14,((MONTH($A34)-1)*12)+VLOOKUP(W$4,$DE$6:$DF$17,2)+1))*$B34</f>
        <v>-2417.9189928178535</v>
      </c>
      <c r="X34" s="1021">
        <f>(VLOOKUP(YEAR($A34),'NY East Load Projections'!$A$4:$EO$14,((MONTH($A34)-1)*12)+VLOOKUP(X$4,$DE$6:$DF$17,2)+1))*$B34</f>
        <v>-2261.6776012557684</v>
      </c>
      <c r="Y34" s="1021">
        <f>(VLOOKUP(YEAR($A34),'NY East Load Projections'!$A$4:$EO$14,((MONTH($A34)-1)*12)+VLOOKUP(Y$4,$DE$6:$DF$17,2)+1))*$B34</f>
        <v>-2261.6776012557684</v>
      </c>
      <c r="Z34" s="1021">
        <f>(VLOOKUP(YEAR($A34),'NY East Load Projections'!$A$4:$EO$14,((MONTH($A34)-1)*12)+VLOOKUP(Z$4,$DE$6:$DF$17,2)+1))*$B34</f>
        <v>-2261.6776012557684</v>
      </c>
      <c r="AA34" s="1021">
        <f>(VLOOKUP(YEAR($A34),'NY East Load Projections'!$A$4:$EO$14,((MONTH($A34)-1)*12)+VLOOKUP(AA$4,$DE$6:$DF$17,2)+1))*$B34</f>
        <v>-2261.6776012557684</v>
      </c>
      <c r="AB34" s="1021">
        <f>(VLOOKUP(YEAR($A34),'NY East Load Projections'!$A$4:$EO$14,((MONTH($A34)-1)*12)+VLOOKUP(AB$4,$DE$6:$DF$17,2)+1))*$B34</f>
        <v>-1996.4232921442697</v>
      </c>
      <c r="AC34" s="1021">
        <f>(VLOOKUP(YEAR($A34),'NY East Load Projections'!$A$4:$EO$14,((MONTH($A34)-1)*12)+VLOOKUP(AC$4,$DE$6:$DF$17,2)+1))*$B34</f>
        <v>-1996.4232921442697</v>
      </c>
      <c r="AD34" s="1021">
        <f>(VLOOKUP(YEAR($A34),'NY East Load Projections'!$A$4:$EO$14,((MONTH($A34)-1)*12)+VLOOKUP(AD$4,$DE$6:$DF$17,2)+1))*$B34</f>
        <v>-1996.4232921442697</v>
      </c>
      <c r="AE34" s="1021">
        <f>(VLOOKUP(YEAR($A34),'NY East Load Projections'!$A$4:$EO$14,((MONTH($A34)-1)*12)+VLOOKUP(AE$4,$DE$6:$DF$17,2)+1))*$B34</f>
        <v>-1996.4232921442697</v>
      </c>
      <c r="AF34" s="1021"/>
      <c r="AG34" s="1021">
        <f>(VLOOKUP(YEAR($A34),'NY East Load Projections'!$A$4:$EO$14,((MONTH($A34)-1)*12)+VLOOKUP(AG$4,$DE$6:$DF$17,2)+1))*$C34</f>
        <v>-480.93793409015689</v>
      </c>
      <c r="AH34" s="1021">
        <f>(VLOOKUP(YEAR($A34),'NY East Load Projections'!$A$4:$EO$14,((MONTH($A34)-1)*12)+VLOOKUP(AH$4,$DE$6:$DF$17,2)+1))*$C34</f>
        <v>-480.93793409015689</v>
      </c>
      <c r="AI34" s="1021">
        <f>(VLOOKUP(YEAR($A34),'NY East Load Projections'!$A$4:$EO$14,((MONTH($A34)-1)*12)+VLOOKUP(AI$4,$DE$6:$DF$17,2)+1))*$C34</f>
        <v>-480.93793409015689</v>
      </c>
      <c r="AJ34" s="1021">
        <f>(VLOOKUP(YEAR($A34),'NY East Load Projections'!$A$4:$EO$14,((MONTH($A34)-1)*12)+VLOOKUP(AJ$4,$DE$6:$DF$17,2)+1))*$C34</f>
        <v>-480.93793409015689</v>
      </c>
      <c r="AK34" s="1021">
        <f>(VLOOKUP(YEAR($A34),'NY East Load Projections'!$A$4:$EO$14,((MONTH($A34)-1)*12)+VLOOKUP(AK$4,$DE$6:$DF$17,2)+1))*$C34</f>
        <v>-488.1878260900919</v>
      </c>
      <c r="AL34" s="1021">
        <f>(VLOOKUP(YEAR($A34),'NY East Load Projections'!$A$4:$EO$14,((MONTH($A34)-1)*12)+VLOOKUP(AL$4,$DE$6:$DF$17,2)+1))*$C34</f>
        <v>-488.1878260900919</v>
      </c>
      <c r="AM34" s="1021">
        <f>(VLOOKUP(YEAR($A34),'NY East Load Projections'!$A$4:$EO$14,((MONTH($A34)-1)*12)+VLOOKUP(AM$4,$DE$6:$DF$17,2)+1))*$C34</f>
        <v>-488.1878260900919</v>
      </c>
      <c r="AN34" s="1021">
        <f>(VLOOKUP(YEAR($A34),'NY East Load Projections'!$A$4:$EO$14,((MONTH($A34)-1)*12)+VLOOKUP(AN$4,$DE$6:$DF$17,2)+1))*$C34</f>
        <v>-488.1878260900919</v>
      </c>
      <c r="AO34" s="1021">
        <f>(VLOOKUP(YEAR($A34),'NY East Load Projections'!$A$4:$EO$14,((MONTH($A34)-1)*12)+VLOOKUP(AO$4,$DE$6:$DF$17,2)+1))*$C34</f>
        <v>-547.17171464295325</v>
      </c>
      <c r="AP34" s="1021">
        <f>(VLOOKUP(YEAR($A34),'NY East Load Projections'!$A$4:$EO$14,((MONTH($A34)-1)*12)+VLOOKUP(AP$4,$DE$6:$DF$17,2)+1))*$C34</f>
        <v>-547.17171464295325</v>
      </c>
      <c r="AQ34" s="1021">
        <f>(VLOOKUP(YEAR($A34),'NY East Load Projections'!$A$4:$EO$14,((MONTH($A34)-1)*12)+VLOOKUP(AQ$4,$DE$6:$DF$17,2)+1))*$C34</f>
        <v>-547.17171464295325</v>
      </c>
      <c r="AR34" s="1021">
        <f>(VLOOKUP(YEAR($A34),'NY East Load Projections'!$A$4:$EO$14,((MONTH($A34)-1)*12)+VLOOKUP(AR$4,$DE$6:$DF$17,2)+1))*$C34</f>
        <v>-547.17171464295325</v>
      </c>
      <c r="AS34" s="1021">
        <f>(VLOOKUP(YEAR($A34),'NY East Load Projections'!$A$4:$EO$14,((MONTH($A34)-1)*12)+VLOOKUP(AS$4,$DE$6:$DF$17,2)+1))*$C34</f>
        <v>-543.24503249048587</v>
      </c>
      <c r="AT34" s="1021">
        <f>(VLOOKUP(YEAR($A34),'NY East Load Projections'!$A$4:$EO$14,((MONTH($A34)-1)*12)+VLOOKUP(AT$4,$DE$6:$DF$17,2)+1))*$C34</f>
        <v>-543.24503249048587</v>
      </c>
      <c r="AU34" s="1021">
        <f>(VLOOKUP(YEAR($A34),'NY East Load Projections'!$A$4:$EO$14,((MONTH($A34)-1)*12)+VLOOKUP(AU$4,$DE$6:$DF$17,2)+1))*$C34</f>
        <v>-543.24503249048587</v>
      </c>
      <c r="AV34" s="1021">
        <f>(VLOOKUP(YEAR($A34),'NY East Load Projections'!$A$4:$EO$14,((MONTH($A34)-1)*12)+VLOOKUP(AV$4,$DE$6:$DF$17,2)+1))*$C34</f>
        <v>-543.24503249048587</v>
      </c>
      <c r="AW34" s="1021">
        <f>(VLOOKUP(YEAR($A34),'NY East Load Projections'!$A$4:$EO$14,((MONTH($A34)-1)*12)+VLOOKUP(AW$4,$DE$6:$DF$17,2)+1))*$C34</f>
        <v>-503.63039133610641</v>
      </c>
      <c r="AX34" s="1021">
        <f>(VLOOKUP(YEAR($A34),'NY East Load Projections'!$A$4:$EO$14,((MONTH($A34)-1)*12)+VLOOKUP(AX$4,$DE$6:$DF$17,2)+1))*$C34</f>
        <v>-503.63039133610641</v>
      </c>
      <c r="AY34" s="1021">
        <f>(VLOOKUP(YEAR($A34),'NY East Load Projections'!$A$4:$EO$14,((MONTH($A34)-1)*12)+VLOOKUP(AY$4,$DE$6:$DF$17,2)+1))*$C34</f>
        <v>-503.63039133610641</v>
      </c>
      <c r="AZ34" s="1021">
        <f>(VLOOKUP(YEAR($A34),'NY East Load Projections'!$A$4:$EO$14,((MONTH($A34)-1)*12)+VLOOKUP(AZ$4,$DE$6:$DF$17,2)+1))*$C34</f>
        <v>-503.63039133610641</v>
      </c>
      <c r="BA34" s="1021">
        <f>(VLOOKUP(YEAR($A34),'NY East Load Projections'!$A$4:$EO$14,((MONTH($A34)-1)*12)+VLOOKUP(BA$4,$DE$6:$DF$17,2)+1))*$C34</f>
        <v>-491.39712673590191</v>
      </c>
      <c r="BB34" s="1021">
        <f>(VLOOKUP(YEAR($A34),'NY East Load Projections'!$A$4:$EO$14,((MONTH($A34)-1)*12)+VLOOKUP(BB$4,$DE$6:$DF$17,2)+1))*$C34</f>
        <v>-491.39712673590191</v>
      </c>
      <c r="BC34" s="1021">
        <f>(VLOOKUP(YEAR($A34),'NY East Load Projections'!$A$4:$EO$14,((MONTH($A34)-1)*12)+VLOOKUP(BC$4,$DE$6:$DF$17,2)+1))*$C34</f>
        <v>-491.39712673590191</v>
      </c>
      <c r="BD34" s="1021">
        <f>(VLOOKUP(YEAR($A34),'NY East Load Projections'!$A$4:$EO$14,((MONTH($A34)-1)*12)+VLOOKUP(BD$4,$DE$6:$DF$17,2)+1))*$C34</f>
        <v>-491.39712673590191</v>
      </c>
      <c r="BE34" s="1021"/>
      <c r="BF34" s="1021">
        <f>(VLOOKUP(YEAR($A34),'NY East Load Projections'!$A$4:$EO$14,((MONTH($A34)-1)*12)+VLOOKUP(BF$4,$DE$6:$DF$17,2)+1))*$D34</f>
        <v>-384.75034727212551</v>
      </c>
      <c r="BG34" s="1021">
        <f>(VLOOKUP(YEAR($A34),'NY East Load Projections'!$A$4:$EO$14,((MONTH($A34)-1)*12)+VLOOKUP(BG$4,$DE$6:$DF$17,2)+1))*$D34</f>
        <v>-384.75034727212551</v>
      </c>
      <c r="BH34" s="1021">
        <f>(VLOOKUP(YEAR($A34),'NY East Load Projections'!$A$4:$EO$14,((MONTH($A34)-1)*12)+VLOOKUP(BH$4,$DE$6:$DF$17,2)+1))*$D34</f>
        <v>-384.75034727212551</v>
      </c>
      <c r="BI34" s="1021">
        <f>(VLOOKUP(YEAR($A34),'NY East Load Projections'!$A$4:$EO$14,((MONTH($A34)-1)*12)+VLOOKUP(BI$4,$DE$6:$DF$17,2)+1))*$D34</f>
        <v>-384.75034727212551</v>
      </c>
      <c r="BJ34" s="1021">
        <f>(VLOOKUP(YEAR($A34),'NY East Load Projections'!$A$4:$EO$14,((MONTH($A34)-1)*12)+VLOOKUP(BJ$4,$DE$6:$DF$17,2)+1))*$D34</f>
        <v>-390.55026087207352</v>
      </c>
      <c r="BK34" s="1021">
        <f>(VLOOKUP(YEAR($A34),'NY East Load Projections'!$A$4:$EO$14,((MONTH($A34)-1)*12)+VLOOKUP(BK$4,$DE$6:$DF$17,2)+1))*$D34</f>
        <v>-390.55026087207352</v>
      </c>
      <c r="BL34" s="1021">
        <f>(VLOOKUP(YEAR($A34),'NY East Load Projections'!$A$4:$EO$14,((MONTH($A34)-1)*12)+VLOOKUP(BL$4,$DE$6:$DF$17,2)+1))*$D34</f>
        <v>-390.55026087207352</v>
      </c>
      <c r="BM34" s="1021">
        <f>(VLOOKUP(YEAR($A34),'NY East Load Projections'!$A$4:$EO$14,((MONTH($A34)-1)*12)+VLOOKUP(BM$4,$DE$6:$DF$17,2)+1))*$D34</f>
        <v>-390.55026087207352</v>
      </c>
      <c r="BN34" s="1021">
        <f>(VLOOKUP(YEAR($A34),'NY East Load Projections'!$A$4:$EO$14,((MONTH($A34)-1)*12)+VLOOKUP(BN$4,$DE$6:$DF$17,2)+1))*$D34</f>
        <v>-437.73737171436255</v>
      </c>
      <c r="BO34" s="1021">
        <f>(VLOOKUP(YEAR($A34),'NY East Load Projections'!$A$4:$EO$14,((MONTH($A34)-1)*12)+VLOOKUP(BO$4,$DE$6:$DF$17,2)+1))*$D34</f>
        <v>-437.73737171436255</v>
      </c>
      <c r="BP34" s="1021">
        <f>(VLOOKUP(YEAR($A34),'NY East Load Projections'!$A$4:$EO$14,((MONTH($A34)-1)*12)+VLOOKUP(BP$4,$DE$6:$DF$17,2)+1))*$D34</f>
        <v>-437.73737171436255</v>
      </c>
      <c r="BQ34" s="1021">
        <f>(VLOOKUP(YEAR($A34),'NY East Load Projections'!$A$4:$EO$14,((MONTH($A34)-1)*12)+VLOOKUP(BQ$4,$DE$6:$DF$17,2)+1))*$D34</f>
        <v>-437.73737171436255</v>
      </c>
      <c r="BR34" s="1021">
        <f>(VLOOKUP(YEAR($A34),'NY East Load Projections'!$A$4:$EO$14,((MONTH($A34)-1)*12)+VLOOKUP(BR$4,$DE$6:$DF$17,2)+1))*$D34</f>
        <v>-434.59602599238872</v>
      </c>
      <c r="BS34" s="1021">
        <f>(VLOOKUP(YEAR($A34),'NY East Load Projections'!$A$4:$EO$14,((MONTH($A34)-1)*12)+VLOOKUP(BS$4,$DE$6:$DF$17,2)+1))*$D34</f>
        <v>-434.59602599238872</v>
      </c>
      <c r="BT34" s="1021">
        <f>(VLOOKUP(YEAR($A34),'NY East Load Projections'!$A$4:$EO$14,((MONTH($A34)-1)*12)+VLOOKUP(BT$4,$DE$6:$DF$17,2)+1))*$D34</f>
        <v>-434.59602599238872</v>
      </c>
      <c r="BU34" s="1021">
        <f>(VLOOKUP(YEAR($A34),'NY East Load Projections'!$A$4:$EO$14,((MONTH($A34)-1)*12)+VLOOKUP(BU$4,$DE$6:$DF$17,2)+1))*$D34</f>
        <v>-434.59602599238872</v>
      </c>
      <c r="BV34" s="1021">
        <f>(VLOOKUP(YEAR($A34),'NY East Load Projections'!$A$4:$EO$14,((MONTH($A34)-1)*12)+VLOOKUP(BV$4,$DE$6:$DF$17,2)+1))*$D34</f>
        <v>-402.90431306888513</v>
      </c>
      <c r="BW34" s="1021">
        <f>(VLOOKUP(YEAR($A34),'NY East Load Projections'!$A$4:$EO$14,((MONTH($A34)-1)*12)+VLOOKUP(BW$4,$DE$6:$DF$17,2)+1))*$D34</f>
        <v>-402.90431306888513</v>
      </c>
      <c r="BX34" s="1021">
        <f>(VLOOKUP(YEAR($A34),'NY East Load Projections'!$A$4:$EO$14,((MONTH($A34)-1)*12)+VLOOKUP(BX$4,$DE$6:$DF$17,2)+1))*$D34</f>
        <v>-402.90431306888513</v>
      </c>
      <c r="BY34" s="1021">
        <f>(VLOOKUP(YEAR($A34),'NY East Load Projections'!$A$4:$EO$14,((MONTH($A34)-1)*12)+VLOOKUP(BY$4,$DE$6:$DF$17,2)+1))*$D34</f>
        <v>-402.90431306888513</v>
      </c>
      <c r="BZ34" s="1021">
        <f>(VLOOKUP(YEAR($A34),'NY East Load Projections'!$A$4:$EO$14,((MONTH($A34)-1)*12)+VLOOKUP(BZ$4,$DE$6:$DF$17,2)+1))*$D34</f>
        <v>-393.11770138872151</v>
      </c>
      <c r="CA34" s="1021">
        <f>(VLOOKUP(YEAR($A34),'NY East Load Projections'!$A$4:$EO$14,((MONTH($A34)-1)*12)+VLOOKUP(CA$4,$DE$6:$DF$17,2)+1))*$D34</f>
        <v>-393.11770138872151</v>
      </c>
      <c r="CB34" s="1021">
        <f>(VLOOKUP(YEAR($A34),'NY East Load Projections'!$A$4:$EO$14,((MONTH($A34)-1)*12)+VLOOKUP(CB$4,$DE$6:$DF$17,2)+1))*$D34</f>
        <v>-393.11770138872151</v>
      </c>
      <c r="CC34" s="1021">
        <f>(VLOOKUP(YEAR($A34),'NY East Load Projections'!$A$4:$EO$14,((MONTH($A34)-1)*12)+VLOOKUP(CC$4,$DE$6:$DF$17,2)+1))*$D34</f>
        <v>-393.11770138872151</v>
      </c>
      <c r="CE34" s="1021">
        <f>(VLOOKUP(YEAR($A34),'NY East Load Projections'!$A$4:$EO$14,((MONTH($A34)-1)*12)+VLOOKUP(CE$4,$DE$6:$DF$17,2)+1))*$E34</f>
        <v>-96.187586818031377</v>
      </c>
      <c r="CF34" s="1021">
        <f>(VLOOKUP(YEAR($A34),'NY East Load Projections'!$A$4:$EO$14,((MONTH($A34)-1)*12)+VLOOKUP(CF$4,$DE$6:$DF$17,2)+1))*$E34</f>
        <v>-96.187586818031377</v>
      </c>
      <c r="CG34" s="1021">
        <f>(VLOOKUP(YEAR($A34),'NY East Load Projections'!$A$4:$EO$14,((MONTH($A34)-1)*12)+VLOOKUP(CG$4,$DE$6:$DF$17,2)+1))*$E34</f>
        <v>-96.187586818031377</v>
      </c>
      <c r="CH34" s="1021">
        <f>(VLOOKUP(YEAR($A34),'NY East Load Projections'!$A$4:$EO$14,((MONTH($A34)-1)*12)+VLOOKUP(CH$4,$DE$6:$DF$17,2)+1))*$E34</f>
        <v>-96.187586818031377</v>
      </c>
      <c r="CI34" s="1021">
        <f>(VLOOKUP(YEAR($A34),'NY East Load Projections'!$A$4:$EO$14,((MONTH($A34)-1)*12)+VLOOKUP(CI$4,$DE$6:$DF$17,2)+1))*$E34</f>
        <v>-97.637565218018381</v>
      </c>
      <c r="CJ34" s="1021">
        <f>(VLOOKUP(YEAR($A34),'NY East Load Projections'!$A$4:$EO$14,((MONTH($A34)-1)*12)+VLOOKUP(CJ$4,$DE$6:$DF$17,2)+1))*$E34</f>
        <v>-97.637565218018381</v>
      </c>
      <c r="CK34" s="1021">
        <f>(VLOOKUP(YEAR($A34),'NY East Load Projections'!$A$4:$EO$14,((MONTH($A34)-1)*12)+VLOOKUP(CK$4,$DE$6:$DF$17,2)+1))*$E34</f>
        <v>-97.637565218018381</v>
      </c>
      <c r="CL34" s="1021">
        <f>(VLOOKUP(YEAR($A34),'NY East Load Projections'!$A$4:$EO$14,((MONTH($A34)-1)*12)+VLOOKUP(CL$4,$DE$6:$DF$17,2)+1))*$E34</f>
        <v>-97.637565218018381</v>
      </c>
      <c r="CM34" s="1021">
        <f>(VLOOKUP(YEAR($A34),'NY East Load Projections'!$A$4:$EO$14,((MONTH($A34)-1)*12)+VLOOKUP(CM$4,$DE$6:$DF$17,2)+1))*$E34</f>
        <v>-109.43434292859064</v>
      </c>
      <c r="CN34" s="1021">
        <f>(VLOOKUP(YEAR($A34),'NY East Load Projections'!$A$4:$EO$14,((MONTH($A34)-1)*12)+VLOOKUP(CN$4,$DE$6:$DF$17,2)+1))*$E34</f>
        <v>-109.43434292859064</v>
      </c>
      <c r="CO34" s="1021">
        <f>(VLOOKUP(YEAR($A34),'NY East Load Projections'!$A$4:$EO$14,((MONTH($A34)-1)*12)+VLOOKUP(CO$4,$DE$6:$DF$17,2)+1))*$E34</f>
        <v>-109.43434292859064</v>
      </c>
      <c r="CP34" s="1021">
        <f>(VLOOKUP(YEAR($A34),'NY East Load Projections'!$A$4:$EO$14,((MONTH($A34)-1)*12)+VLOOKUP(CP$4,$DE$6:$DF$17,2)+1))*$E34</f>
        <v>-109.43434292859064</v>
      </c>
      <c r="CQ34" s="1021">
        <f>(VLOOKUP(YEAR($A34),'NY East Load Projections'!$A$4:$EO$14,((MONTH($A34)-1)*12)+VLOOKUP(CQ$4,$DE$6:$DF$17,2)+1))*$E34</f>
        <v>-108.64900649809718</v>
      </c>
      <c r="CR34" s="1021">
        <f>(VLOOKUP(YEAR($A34),'NY East Load Projections'!$A$4:$EO$14,((MONTH($A34)-1)*12)+VLOOKUP(CR$4,$DE$6:$DF$17,2)+1))*$E34</f>
        <v>-108.64900649809718</v>
      </c>
      <c r="CS34" s="1021">
        <f>(VLOOKUP(YEAR($A34),'NY East Load Projections'!$A$4:$EO$14,((MONTH($A34)-1)*12)+VLOOKUP(CS$4,$DE$6:$DF$17,2)+1))*$E34</f>
        <v>-108.64900649809718</v>
      </c>
      <c r="CT34" s="1021">
        <f>(VLOOKUP(YEAR($A34),'NY East Load Projections'!$A$4:$EO$14,((MONTH($A34)-1)*12)+VLOOKUP(CT$4,$DE$6:$DF$17,2)+1))*$E34</f>
        <v>-108.64900649809718</v>
      </c>
      <c r="CU34" s="1021">
        <f>(VLOOKUP(YEAR($A34),'NY East Load Projections'!$A$4:$EO$14,((MONTH($A34)-1)*12)+VLOOKUP(CU$4,$DE$6:$DF$17,2)+1))*$E34</f>
        <v>-100.72607826722128</v>
      </c>
      <c r="CV34" s="1021">
        <f>(VLOOKUP(YEAR($A34),'NY East Load Projections'!$A$4:$EO$14,((MONTH($A34)-1)*12)+VLOOKUP(CV$4,$DE$6:$DF$17,2)+1))*$E34</f>
        <v>-100.72607826722128</v>
      </c>
      <c r="CW34" s="1021">
        <f>(VLOOKUP(YEAR($A34),'NY East Load Projections'!$A$4:$EO$14,((MONTH($A34)-1)*12)+VLOOKUP(CW$4,$DE$6:$DF$17,2)+1))*$E34</f>
        <v>-100.72607826722128</v>
      </c>
      <c r="CX34" s="1021">
        <f>(VLOOKUP(YEAR($A34),'NY East Load Projections'!$A$4:$EO$14,((MONTH($A34)-1)*12)+VLOOKUP(CX$4,$DE$6:$DF$17,2)+1))*$E34</f>
        <v>-100.72607826722128</v>
      </c>
      <c r="CY34" s="1021">
        <f>(VLOOKUP(YEAR($A34),'NY East Load Projections'!$A$4:$EO$14,((MONTH($A34)-1)*12)+VLOOKUP(CY$4,$DE$6:$DF$17,2)+1))*$E34</f>
        <v>-98.279425347180378</v>
      </c>
      <c r="CZ34" s="1021">
        <f>(VLOOKUP(YEAR($A34),'NY East Load Projections'!$A$4:$EO$14,((MONTH($A34)-1)*12)+VLOOKUP(CZ$4,$DE$6:$DF$17,2)+1))*$E34</f>
        <v>-98.279425347180378</v>
      </c>
      <c r="DA34" s="1021">
        <f>(VLOOKUP(YEAR($A34),'NY East Load Projections'!$A$4:$EO$14,((MONTH($A34)-1)*12)+VLOOKUP(DA$4,$DE$6:$DF$17,2)+1))*$E34</f>
        <v>-98.279425347180378</v>
      </c>
      <c r="DB34" s="1021">
        <f>(VLOOKUP(YEAR($A34),'NY East Load Projections'!$A$4:$EO$14,((MONTH($A34)-1)*12)+VLOOKUP(DB$4,$DE$6:$DF$17,2)+1))*$E34</f>
        <v>-98.279425347180378</v>
      </c>
      <c r="DH34" s="1009">
        <f t="shared" si="0"/>
        <v>-76608.848089428502</v>
      </c>
      <c r="DI34">
        <f ca="1">CALC!J54</f>
        <v>0.79157518043313924</v>
      </c>
      <c r="DJ34" s="1032">
        <f t="shared" ca="1" si="1"/>
        <v>-60641.662749164323</v>
      </c>
    </row>
    <row r="35" spans="1:114" x14ac:dyDescent="0.25">
      <c r="A35" s="244">
        <v>37773</v>
      </c>
      <c r="B35" s="13">
        <v>21</v>
      </c>
      <c r="C35" s="210">
        <v>4</v>
      </c>
      <c r="D35" s="210">
        <v>5</v>
      </c>
      <c r="E35" s="210">
        <v>0</v>
      </c>
      <c r="F35" s="13">
        <v>30</v>
      </c>
      <c r="H35" s="1021">
        <f>(VLOOKUP(YEAR($A35),'NY East Load Projections'!$A$4:$EO$14,((MONTH($A35)-1)*12)+VLOOKUP(H$4,$DE$6:$DF$17,2)+1))*$B35</f>
        <v>-1959.2758837199704</v>
      </c>
      <c r="I35" s="1021">
        <f>(VLOOKUP(YEAR($A35),'NY East Load Projections'!$A$4:$EO$14,((MONTH($A35)-1)*12)+VLOOKUP(I$4,$DE$6:$DF$17,2)+1))*$B35</f>
        <v>-1959.2758837199704</v>
      </c>
      <c r="J35" s="1021">
        <f>(VLOOKUP(YEAR($A35),'NY East Load Projections'!$A$4:$EO$14,((MONTH($A35)-1)*12)+VLOOKUP(J$4,$DE$6:$DF$17,2)+1))*$B35</f>
        <v>-1959.2758837199704</v>
      </c>
      <c r="K35" s="1021">
        <f>(VLOOKUP(YEAR($A35),'NY East Load Projections'!$A$4:$EO$14,((MONTH($A35)-1)*12)+VLOOKUP(K$4,$DE$6:$DF$17,2)+1))*$B35</f>
        <v>-1959.2758837199704</v>
      </c>
      <c r="L35" s="1021">
        <f>(VLOOKUP(YEAR($A35),'NY East Load Projections'!$A$4:$EO$14,((MONTH($A35)-1)*12)+VLOOKUP(L$4,$DE$6:$DF$17,2)+1))*$B35</f>
        <v>-2151.4334955597114</v>
      </c>
      <c r="M35" s="1021">
        <f>(VLOOKUP(YEAR($A35),'NY East Load Projections'!$A$4:$EO$14,((MONTH($A35)-1)*12)+VLOOKUP(M$4,$DE$6:$DF$17,2)+1))*$B35</f>
        <v>-2151.4334955597114</v>
      </c>
      <c r="N35" s="1021">
        <f>(VLOOKUP(YEAR($A35),'NY East Load Projections'!$A$4:$EO$14,((MONTH($A35)-1)*12)+VLOOKUP(N$4,$DE$6:$DF$17,2)+1))*$B35</f>
        <v>-2151.4334955597114</v>
      </c>
      <c r="O35" s="1021">
        <f>(VLOOKUP(YEAR($A35),'NY East Load Projections'!$A$4:$EO$14,((MONTH($A35)-1)*12)+VLOOKUP(O$4,$DE$6:$DF$17,2)+1))*$B35</f>
        <v>-2151.4334955597114</v>
      </c>
      <c r="P35" s="1021">
        <f>(VLOOKUP(YEAR($A35),'NY East Load Projections'!$A$4:$EO$14,((MONTH($A35)-1)*12)+VLOOKUP(P$4,$DE$6:$DF$17,2)+1))*$B35</f>
        <v>-2416.2116198848084</v>
      </c>
      <c r="Q35" s="1021">
        <f>(VLOOKUP(YEAR($A35),'NY East Load Projections'!$A$4:$EO$14,((MONTH($A35)-1)*12)+VLOOKUP(Q$4,$DE$6:$DF$17,2)+1))*$B35</f>
        <v>-2416.2116198848084</v>
      </c>
      <c r="R35" s="1021">
        <f>(VLOOKUP(YEAR($A35),'NY East Load Projections'!$A$4:$EO$14,((MONTH($A35)-1)*12)+VLOOKUP(R$4,$DE$6:$DF$17,2)+1))*$B35</f>
        <v>-2416.2116198848084</v>
      </c>
      <c r="S35" s="1021">
        <f>(VLOOKUP(YEAR($A35),'NY East Load Projections'!$A$4:$EO$14,((MONTH($A35)-1)*12)+VLOOKUP(S$4,$DE$6:$DF$17,2)+1))*$B35</f>
        <v>-2416.2116198848084</v>
      </c>
      <c r="T35" s="1021">
        <f>(VLOOKUP(YEAR($A35),'NY East Load Projections'!$A$4:$EO$14,((MONTH($A35)-1)*12)+VLOOKUP(T$4,$DE$6:$DF$17,2)+1))*$B35</f>
        <v>-2452.1277227834753</v>
      </c>
      <c r="U35" s="1021">
        <f>(VLOOKUP(YEAR($A35),'NY East Load Projections'!$A$4:$EO$14,((MONTH($A35)-1)*12)+VLOOKUP(U$4,$DE$6:$DF$17,2)+1))*$B35</f>
        <v>-2452.1277227834753</v>
      </c>
      <c r="V35" s="1021">
        <f>(VLOOKUP(YEAR($A35),'NY East Load Projections'!$A$4:$EO$14,((MONTH($A35)-1)*12)+VLOOKUP(V$4,$DE$6:$DF$17,2)+1))*$B35</f>
        <v>-2452.1277227834753</v>
      </c>
      <c r="W35" s="1021">
        <f>(VLOOKUP(YEAR($A35),'NY East Load Projections'!$A$4:$EO$14,((MONTH($A35)-1)*12)+VLOOKUP(W$4,$DE$6:$DF$17,2)+1))*$B35</f>
        <v>-2452.1277227834753</v>
      </c>
      <c r="X35" s="1021">
        <f>(VLOOKUP(YEAR($A35),'NY East Load Projections'!$A$4:$EO$14,((MONTH($A35)-1)*12)+VLOOKUP(X$4,$DE$6:$DF$17,2)+1))*$B35</f>
        <v>-2307.0669344165103</v>
      </c>
      <c r="Y35" s="1021">
        <f>(VLOOKUP(YEAR($A35),'NY East Load Projections'!$A$4:$EO$14,((MONTH($A35)-1)*12)+VLOOKUP(Y$4,$DE$6:$DF$17,2)+1))*$B35</f>
        <v>-2307.0669344165103</v>
      </c>
      <c r="Z35" s="1021">
        <f>(VLOOKUP(YEAR($A35),'NY East Load Projections'!$A$4:$EO$14,((MONTH($A35)-1)*12)+VLOOKUP(Z$4,$DE$6:$DF$17,2)+1))*$B35</f>
        <v>-2307.0669344165103</v>
      </c>
      <c r="AA35" s="1021">
        <f>(VLOOKUP(YEAR($A35),'NY East Load Projections'!$A$4:$EO$14,((MONTH($A35)-1)*12)+VLOOKUP(AA$4,$DE$6:$DF$17,2)+1))*$B35</f>
        <v>-2307.0669344165103</v>
      </c>
      <c r="AB35" s="1021">
        <f>(VLOOKUP(YEAR($A35),'NY East Load Projections'!$A$4:$EO$14,((MONTH($A35)-1)*12)+VLOOKUP(AB$4,$DE$6:$DF$17,2)+1))*$B35</f>
        <v>-2056.1456748152041</v>
      </c>
      <c r="AC35" s="1021">
        <f>(VLOOKUP(YEAR($A35),'NY East Load Projections'!$A$4:$EO$14,((MONTH($A35)-1)*12)+VLOOKUP(AC$4,$DE$6:$DF$17,2)+1))*$B35</f>
        <v>-2056.1456748152041</v>
      </c>
      <c r="AD35" s="1021">
        <f>(VLOOKUP(YEAR($A35),'NY East Load Projections'!$A$4:$EO$14,((MONTH($A35)-1)*12)+VLOOKUP(AD$4,$DE$6:$DF$17,2)+1))*$B35</f>
        <v>-2056.1456748152041</v>
      </c>
      <c r="AE35" s="1021">
        <f>(VLOOKUP(YEAR($A35),'NY East Load Projections'!$A$4:$EO$14,((MONTH($A35)-1)*12)+VLOOKUP(AE$4,$DE$6:$DF$17,2)+1))*$B35</f>
        <v>-2056.1456748152041</v>
      </c>
      <c r="AF35" s="1021"/>
      <c r="AG35" s="1021">
        <f>(VLOOKUP(YEAR($A35),'NY East Load Projections'!$A$4:$EO$14,((MONTH($A35)-1)*12)+VLOOKUP(AG$4,$DE$6:$DF$17,2)+1))*$C35</f>
        <v>-379.4227899085833</v>
      </c>
      <c r="AH35" s="1021">
        <f>(VLOOKUP(YEAR($A35),'NY East Load Projections'!$A$4:$EO$14,((MONTH($A35)-1)*12)+VLOOKUP(AH$4,$DE$6:$DF$17,2)+1))*$C35</f>
        <v>-379.4227899085833</v>
      </c>
      <c r="AI35" s="1021">
        <f>(VLOOKUP(YEAR($A35),'NY East Load Projections'!$A$4:$EO$14,((MONTH($A35)-1)*12)+VLOOKUP(AI$4,$DE$6:$DF$17,2)+1))*$C35</f>
        <v>-379.4227899085833</v>
      </c>
      <c r="AJ35" s="1021">
        <f>(VLOOKUP(YEAR($A35),'NY East Load Projections'!$A$4:$EO$14,((MONTH($A35)-1)*12)+VLOOKUP(AJ$4,$DE$6:$DF$17,2)+1))*$C35</f>
        <v>-379.4227899085833</v>
      </c>
      <c r="AK35" s="1021">
        <f>(VLOOKUP(YEAR($A35),'NY East Load Projections'!$A$4:$EO$14,((MONTH($A35)-1)*12)+VLOOKUP(AK$4,$DE$6:$DF$17,2)+1))*$C35</f>
        <v>-383.09609934691946</v>
      </c>
      <c r="AL35" s="1021">
        <f>(VLOOKUP(YEAR($A35),'NY East Load Projections'!$A$4:$EO$14,((MONTH($A35)-1)*12)+VLOOKUP(AL$4,$DE$6:$DF$17,2)+1))*$C35</f>
        <v>-383.09609934691946</v>
      </c>
      <c r="AM35" s="1021">
        <f>(VLOOKUP(YEAR($A35),'NY East Load Projections'!$A$4:$EO$14,((MONTH($A35)-1)*12)+VLOOKUP(AM$4,$DE$6:$DF$17,2)+1))*$C35</f>
        <v>-383.09609934691946</v>
      </c>
      <c r="AN35" s="1021">
        <f>(VLOOKUP(YEAR($A35),'NY East Load Projections'!$A$4:$EO$14,((MONTH($A35)-1)*12)+VLOOKUP(AN$4,$DE$6:$DF$17,2)+1))*$C35</f>
        <v>-383.09609934691946</v>
      </c>
      <c r="AO35" s="1021">
        <f>(VLOOKUP(YEAR($A35),'NY East Load Projections'!$A$4:$EO$14,((MONTH($A35)-1)*12)+VLOOKUP(AO$4,$DE$6:$DF$17,2)+1))*$C35</f>
        <v>-413.8113079879779</v>
      </c>
      <c r="AP35" s="1021">
        <f>(VLOOKUP(YEAR($A35),'NY East Load Projections'!$A$4:$EO$14,((MONTH($A35)-1)*12)+VLOOKUP(AP$4,$DE$6:$DF$17,2)+1))*$C35</f>
        <v>-413.8113079879779</v>
      </c>
      <c r="AQ35" s="1021">
        <f>(VLOOKUP(YEAR($A35),'NY East Load Projections'!$A$4:$EO$14,((MONTH($A35)-1)*12)+VLOOKUP(AQ$4,$DE$6:$DF$17,2)+1))*$C35</f>
        <v>-413.8113079879779</v>
      </c>
      <c r="AR35" s="1021">
        <f>(VLOOKUP(YEAR($A35),'NY East Load Projections'!$A$4:$EO$14,((MONTH($A35)-1)*12)+VLOOKUP(AR$4,$DE$6:$DF$17,2)+1))*$C35</f>
        <v>-413.8113079879779</v>
      </c>
      <c r="AS35" s="1021">
        <f>(VLOOKUP(YEAR($A35),'NY East Load Projections'!$A$4:$EO$14,((MONTH($A35)-1)*12)+VLOOKUP(AS$4,$DE$6:$DF$17,2)+1))*$C35</f>
        <v>-418.58052599695719</v>
      </c>
      <c r="AT35" s="1021">
        <f>(VLOOKUP(YEAR($A35),'NY East Load Projections'!$A$4:$EO$14,((MONTH($A35)-1)*12)+VLOOKUP(AT$4,$DE$6:$DF$17,2)+1))*$C35</f>
        <v>-418.58052599695719</v>
      </c>
      <c r="AU35" s="1021">
        <f>(VLOOKUP(YEAR($A35),'NY East Load Projections'!$A$4:$EO$14,((MONTH($A35)-1)*12)+VLOOKUP(AU$4,$DE$6:$DF$17,2)+1))*$C35</f>
        <v>-418.58052599695719</v>
      </c>
      <c r="AV35" s="1021">
        <f>(VLOOKUP(YEAR($A35),'NY East Load Projections'!$A$4:$EO$14,((MONTH($A35)-1)*12)+VLOOKUP(AV$4,$DE$6:$DF$17,2)+1))*$C35</f>
        <v>-418.58052599695719</v>
      </c>
      <c r="AW35" s="1021">
        <f>(VLOOKUP(YEAR($A35),'NY East Load Projections'!$A$4:$EO$14,((MONTH($A35)-1)*12)+VLOOKUP(AW$4,$DE$6:$DF$17,2)+1))*$C35</f>
        <v>-399.87697562979764</v>
      </c>
      <c r="AX35" s="1021">
        <f>(VLOOKUP(YEAR($A35),'NY East Load Projections'!$A$4:$EO$14,((MONTH($A35)-1)*12)+VLOOKUP(AX$4,$DE$6:$DF$17,2)+1))*$C35</f>
        <v>-399.87697562979764</v>
      </c>
      <c r="AY35" s="1021">
        <f>(VLOOKUP(YEAR($A35),'NY East Load Projections'!$A$4:$EO$14,((MONTH($A35)-1)*12)+VLOOKUP(AY$4,$DE$6:$DF$17,2)+1))*$C35</f>
        <v>-399.87697562979764</v>
      </c>
      <c r="AZ35" s="1021">
        <f>(VLOOKUP(YEAR($A35),'NY East Load Projections'!$A$4:$EO$14,((MONTH($A35)-1)*12)+VLOOKUP(AZ$4,$DE$6:$DF$17,2)+1))*$C35</f>
        <v>-399.87697562979764</v>
      </c>
      <c r="BA35" s="1021">
        <f>(VLOOKUP(YEAR($A35),'NY East Load Projections'!$A$4:$EO$14,((MONTH($A35)-1)*12)+VLOOKUP(BA$4,$DE$6:$DF$17,2)+1))*$C35</f>
        <v>-385.79246512897339</v>
      </c>
      <c r="BB35" s="1021">
        <f>(VLOOKUP(YEAR($A35),'NY East Load Projections'!$A$4:$EO$14,((MONTH($A35)-1)*12)+VLOOKUP(BB$4,$DE$6:$DF$17,2)+1))*$C35</f>
        <v>-385.79246512897339</v>
      </c>
      <c r="BC35" s="1021">
        <f>(VLOOKUP(YEAR($A35),'NY East Load Projections'!$A$4:$EO$14,((MONTH($A35)-1)*12)+VLOOKUP(BC$4,$DE$6:$DF$17,2)+1))*$C35</f>
        <v>-385.79246512897339</v>
      </c>
      <c r="BD35" s="1021">
        <f>(VLOOKUP(YEAR($A35),'NY East Load Projections'!$A$4:$EO$14,((MONTH($A35)-1)*12)+VLOOKUP(BD$4,$DE$6:$DF$17,2)+1))*$C35</f>
        <v>-385.79246512897339</v>
      </c>
      <c r="BE35" s="1021"/>
      <c r="BF35" s="1021">
        <f>(VLOOKUP(YEAR($A35),'NY East Load Projections'!$A$4:$EO$14,((MONTH($A35)-1)*12)+VLOOKUP(BF$4,$DE$6:$DF$17,2)+1))*$D35</f>
        <v>-474.27848738572914</v>
      </c>
      <c r="BG35" s="1021">
        <f>(VLOOKUP(YEAR($A35),'NY East Load Projections'!$A$4:$EO$14,((MONTH($A35)-1)*12)+VLOOKUP(BG$4,$DE$6:$DF$17,2)+1))*$D35</f>
        <v>-474.27848738572914</v>
      </c>
      <c r="BH35" s="1021">
        <f>(VLOOKUP(YEAR($A35),'NY East Load Projections'!$A$4:$EO$14,((MONTH($A35)-1)*12)+VLOOKUP(BH$4,$DE$6:$DF$17,2)+1))*$D35</f>
        <v>-474.27848738572914</v>
      </c>
      <c r="BI35" s="1021">
        <f>(VLOOKUP(YEAR($A35),'NY East Load Projections'!$A$4:$EO$14,((MONTH($A35)-1)*12)+VLOOKUP(BI$4,$DE$6:$DF$17,2)+1))*$D35</f>
        <v>-474.27848738572914</v>
      </c>
      <c r="BJ35" s="1021">
        <f>(VLOOKUP(YEAR($A35),'NY East Load Projections'!$A$4:$EO$14,((MONTH($A35)-1)*12)+VLOOKUP(BJ$4,$DE$6:$DF$17,2)+1))*$D35</f>
        <v>-478.8701241836493</v>
      </c>
      <c r="BK35" s="1021">
        <f>(VLOOKUP(YEAR($A35),'NY East Load Projections'!$A$4:$EO$14,((MONTH($A35)-1)*12)+VLOOKUP(BK$4,$DE$6:$DF$17,2)+1))*$D35</f>
        <v>-478.8701241836493</v>
      </c>
      <c r="BL35" s="1021">
        <f>(VLOOKUP(YEAR($A35),'NY East Load Projections'!$A$4:$EO$14,((MONTH($A35)-1)*12)+VLOOKUP(BL$4,$DE$6:$DF$17,2)+1))*$D35</f>
        <v>-478.8701241836493</v>
      </c>
      <c r="BM35" s="1021">
        <f>(VLOOKUP(YEAR($A35),'NY East Load Projections'!$A$4:$EO$14,((MONTH($A35)-1)*12)+VLOOKUP(BM$4,$DE$6:$DF$17,2)+1))*$D35</f>
        <v>-478.8701241836493</v>
      </c>
      <c r="BN35" s="1021">
        <f>(VLOOKUP(YEAR($A35),'NY East Load Projections'!$A$4:$EO$14,((MONTH($A35)-1)*12)+VLOOKUP(BN$4,$DE$6:$DF$17,2)+1))*$D35</f>
        <v>-517.26413498497232</v>
      </c>
      <c r="BO35" s="1021">
        <f>(VLOOKUP(YEAR($A35),'NY East Load Projections'!$A$4:$EO$14,((MONTH($A35)-1)*12)+VLOOKUP(BO$4,$DE$6:$DF$17,2)+1))*$D35</f>
        <v>-517.26413498497232</v>
      </c>
      <c r="BP35" s="1021">
        <f>(VLOOKUP(YEAR($A35),'NY East Load Projections'!$A$4:$EO$14,((MONTH($A35)-1)*12)+VLOOKUP(BP$4,$DE$6:$DF$17,2)+1))*$D35</f>
        <v>-517.26413498497232</v>
      </c>
      <c r="BQ35" s="1021">
        <f>(VLOOKUP(YEAR($A35),'NY East Load Projections'!$A$4:$EO$14,((MONTH($A35)-1)*12)+VLOOKUP(BQ$4,$DE$6:$DF$17,2)+1))*$D35</f>
        <v>-517.26413498497232</v>
      </c>
      <c r="BR35" s="1021">
        <f>(VLOOKUP(YEAR($A35),'NY East Load Projections'!$A$4:$EO$14,((MONTH($A35)-1)*12)+VLOOKUP(BR$4,$DE$6:$DF$17,2)+1))*$D35</f>
        <v>-523.2256574961965</v>
      </c>
      <c r="BS35" s="1021">
        <f>(VLOOKUP(YEAR($A35),'NY East Load Projections'!$A$4:$EO$14,((MONTH($A35)-1)*12)+VLOOKUP(BS$4,$DE$6:$DF$17,2)+1))*$D35</f>
        <v>-523.2256574961965</v>
      </c>
      <c r="BT35" s="1021">
        <f>(VLOOKUP(YEAR($A35),'NY East Load Projections'!$A$4:$EO$14,((MONTH($A35)-1)*12)+VLOOKUP(BT$4,$DE$6:$DF$17,2)+1))*$D35</f>
        <v>-523.2256574961965</v>
      </c>
      <c r="BU35" s="1021">
        <f>(VLOOKUP(YEAR($A35),'NY East Load Projections'!$A$4:$EO$14,((MONTH($A35)-1)*12)+VLOOKUP(BU$4,$DE$6:$DF$17,2)+1))*$D35</f>
        <v>-523.2256574961965</v>
      </c>
      <c r="BV35" s="1021">
        <f>(VLOOKUP(YEAR($A35),'NY East Load Projections'!$A$4:$EO$14,((MONTH($A35)-1)*12)+VLOOKUP(BV$4,$DE$6:$DF$17,2)+1))*$D35</f>
        <v>-499.84621953724707</v>
      </c>
      <c r="BW35" s="1021">
        <f>(VLOOKUP(YEAR($A35),'NY East Load Projections'!$A$4:$EO$14,((MONTH($A35)-1)*12)+VLOOKUP(BW$4,$DE$6:$DF$17,2)+1))*$D35</f>
        <v>-499.84621953724707</v>
      </c>
      <c r="BX35" s="1021">
        <f>(VLOOKUP(YEAR($A35),'NY East Load Projections'!$A$4:$EO$14,((MONTH($A35)-1)*12)+VLOOKUP(BX$4,$DE$6:$DF$17,2)+1))*$D35</f>
        <v>-499.84621953724707</v>
      </c>
      <c r="BY35" s="1021">
        <f>(VLOOKUP(YEAR($A35),'NY East Load Projections'!$A$4:$EO$14,((MONTH($A35)-1)*12)+VLOOKUP(BY$4,$DE$6:$DF$17,2)+1))*$D35</f>
        <v>-499.84621953724707</v>
      </c>
      <c r="BZ35" s="1021">
        <f>(VLOOKUP(YEAR($A35),'NY East Load Projections'!$A$4:$EO$14,((MONTH($A35)-1)*12)+VLOOKUP(BZ$4,$DE$6:$DF$17,2)+1))*$D35</f>
        <v>-482.24058141121674</v>
      </c>
      <c r="CA35" s="1021">
        <f>(VLOOKUP(YEAR($A35),'NY East Load Projections'!$A$4:$EO$14,((MONTH($A35)-1)*12)+VLOOKUP(CA$4,$DE$6:$DF$17,2)+1))*$D35</f>
        <v>-482.24058141121674</v>
      </c>
      <c r="CB35" s="1021">
        <f>(VLOOKUP(YEAR($A35),'NY East Load Projections'!$A$4:$EO$14,((MONTH($A35)-1)*12)+VLOOKUP(CB$4,$DE$6:$DF$17,2)+1))*$D35</f>
        <v>-482.24058141121674</v>
      </c>
      <c r="CC35" s="1021">
        <f>(VLOOKUP(YEAR($A35),'NY East Load Projections'!$A$4:$EO$14,((MONTH($A35)-1)*12)+VLOOKUP(CC$4,$DE$6:$DF$17,2)+1))*$D35</f>
        <v>-482.24058141121674</v>
      </c>
      <c r="CE35" s="1021">
        <f>(VLOOKUP(YEAR($A35),'NY East Load Projections'!$A$4:$EO$14,((MONTH($A35)-1)*12)+VLOOKUP(CE$4,$DE$6:$DF$17,2)+1))*$E35</f>
        <v>0</v>
      </c>
      <c r="CF35" s="1021">
        <f>(VLOOKUP(YEAR($A35),'NY East Load Projections'!$A$4:$EO$14,((MONTH($A35)-1)*12)+VLOOKUP(CF$4,$DE$6:$DF$17,2)+1))*$E35</f>
        <v>0</v>
      </c>
      <c r="CG35" s="1021">
        <f>(VLOOKUP(YEAR($A35),'NY East Load Projections'!$A$4:$EO$14,((MONTH($A35)-1)*12)+VLOOKUP(CG$4,$DE$6:$DF$17,2)+1))*$E35</f>
        <v>0</v>
      </c>
      <c r="CH35" s="1021">
        <f>(VLOOKUP(YEAR($A35),'NY East Load Projections'!$A$4:$EO$14,((MONTH($A35)-1)*12)+VLOOKUP(CH$4,$DE$6:$DF$17,2)+1))*$E35</f>
        <v>0</v>
      </c>
      <c r="CI35" s="1021">
        <f>(VLOOKUP(YEAR($A35),'NY East Load Projections'!$A$4:$EO$14,((MONTH($A35)-1)*12)+VLOOKUP(CI$4,$DE$6:$DF$17,2)+1))*$E35</f>
        <v>0</v>
      </c>
      <c r="CJ35" s="1021">
        <f>(VLOOKUP(YEAR($A35),'NY East Load Projections'!$A$4:$EO$14,((MONTH($A35)-1)*12)+VLOOKUP(CJ$4,$DE$6:$DF$17,2)+1))*$E35</f>
        <v>0</v>
      </c>
      <c r="CK35" s="1021">
        <f>(VLOOKUP(YEAR($A35),'NY East Load Projections'!$A$4:$EO$14,((MONTH($A35)-1)*12)+VLOOKUP(CK$4,$DE$6:$DF$17,2)+1))*$E35</f>
        <v>0</v>
      </c>
      <c r="CL35" s="1021">
        <f>(VLOOKUP(YEAR($A35),'NY East Load Projections'!$A$4:$EO$14,((MONTH($A35)-1)*12)+VLOOKUP(CL$4,$DE$6:$DF$17,2)+1))*$E35</f>
        <v>0</v>
      </c>
      <c r="CM35" s="1021">
        <f>(VLOOKUP(YEAR($A35),'NY East Load Projections'!$A$4:$EO$14,((MONTH($A35)-1)*12)+VLOOKUP(CM$4,$DE$6:$DF$17,2)+1))*$E35</f>
        <v>0</v>
      </c>
      <c r="CN35" s="1021">
        <f>(VLOOKUP(YEAR($A35),'NY East Load Projections'!$A$4:$EO$14,((MONTH($A35)-1)*12)+VLOOKUP(CN$4,$DE$6:$DF$17,2)+1))*$E35</f>
        <v>0</v>
      </c>
      <c r="CO35" s="1021">
        <f>(VLOOKUP(YEAR($A35),'NY East Load Projections'!$A$4:$EO$14,((MONTH($A35)-1)*12)+VLOOKUP(CO$4,$DE$6:$DF$17,2)+1))*$E35</f>
        <v>0</v>
      </c>
      <c r="CP35" s="1021">
        <f>(VLOOKUP(YEAR($A35),'NY East Load Projections'!$A$4:$EO$14,((MONTH($A35)-1)*12)+VLOOKUP(CP$4,$DE$6:$DF$17,2)+1))*$E35</f>
        <v>0</v>
      </c>
      <c r="CQ35" s="1021">
        <f>(VLOOKUP(YEAR($A35),'NY East Load Projections'!$A$4:$EO$14,((MONTH($A35)-1)*12)+VLOOKUP(CQ$4,$DE$6:$DF$17,2)+1))*$E35</f>
        <v>0</v>
      </c>
      <c r="CR35" s="1021">
        <f>(VLOOKUP(YEAR($A35),'NY East Load Projections'!$A$4:$EO$14,((MONTH($A35)-1)*12)+VLOOKUP(CR$4,$DE$6:$DF$17,2)+1))*$E35</f>
        <v>0</v>
      </c>
      <c r="CS35" s="1021">
        <f>(VLOOKUP(YEAR($A35),'NY East Load Projections'!$A$4:$EO$14,((MONTH($A35)-1)*12)+VLOOKUP(CS$4,$DE$6:$DF$17,2)+1))*$E35</f>
        <v>0</v>
      </c>
      <c r="CT35" s="1021">
        <f>(VLOOKUP(YEAR($A35),'NY East Load Projections'!$A$4:$EO$14,((MONTH($A35)-1)*12)+VLOOKUP(CT$4,$DE$6:$DF$17,2)+1))*$E35</f>
        <v>0</v>
      </c>
      <c r="CU35" s="1021">
        <f>(VLOOKUP(YEAR($A35),'NY East Load Projections'!$A$4:$EO$14,((MONTH($A35)-1)*12)+VLOOKUP(CU$4,$DE$6:$DF$17,2)+1))*$E35</f>
        <v>0</v>
      </c>
      <c r="CV35" s="1021">
        <f>(VLOOKUP(YEAR($A35),'NY East Load Projections'!$A$4:$EO$14,((MONTH($A35)-1)*12)+VLOOKUP(CV$4,$DE$6:$DF$17,2)+1))*$E35</f>
        <v>0</v>
      </c>
      <c r="CW35" s="1021">
        <f>(VLOOKUP(YEAR($A35),'NY East Load Projections'!$A$4:$EO$14,((MONTH($A35)-1)*12)+VLOOKUP(CW$4,$DE$6:$DF$17,2)+1))*$E35</f>
        <v>0</v>
      </c>
      <c r="CX35" s="1021">
        <f>(VLOOKUP(YEAR($A35),'NY East Load Projections'!$A$4:$EO$14,((MONTH($A35)-1)*12)+VLOOKUP(CX$4,$DE$6:$DF$17,2)+1))*$E35</f>
        <v>0</v>
      </c>
      <c r="CY35" s="1021">
        <f>(VLOOKUP(YEAR($A35),'NY East Load Projections'!$A$4:$EO$14,((MONTH($A35)-1)*12)+VLOOKUP(CY$4,$DE$6:$DF$17,2)+1))*$E35</f>
        <v>0</v>
      </c>
      <c r="CZ35" s="1021">
        <f>(VLOOKUP(YEAR($A35),'NY East Load Projections'!$A$4:$EO$14,((MONTH($A35)-1)*12)+VLOOKUP(CZ$4,$DE$6:$DF$17,2)+1))*$E35</f>
        <v>0</v>
      </c>
      <c r="DA35" s="1021">
        <f>(VLOOKUP(YEAR($A35),'NY East Load Projections'!$A$4:$EO$14,((MONTH($A35)-1)*12)+VLOOKUP(DA$4,$DE$6:$DF$17,2)+1))*$E35</f>
        <v>0</v>
      </c>
      <c r="DB35" s="1021">
        <f>(VLOOKUP(YEAR($A35),'NY East Load Projections'!$A$4:$EO$14,((MONTH($A35)-1)*12)+VLOOKUP(DB$4,$DE$6:$DF$17,2)+1))*$E35</f>
        <v>0</v>
      </c>
      <c r="DH35" s="1009">
        <f t="shared" si="0"/>
        <v>-74794.266800711543</v>
      </c>
      <c r="DI35">
        <f ca="1">CALC!J55</f>
        <v>0.78682273410589021</v>
      </c>
      <c r="DJ35" s="1032">
        <f t="shared" ca="1" si="1"/>
        <v>-58849.829499581268</v>
      </c>
    </row>
    <row r="36" spans="1:114" x14ac:dyDescent="0.25">
      <c r="A36" s="244">
        <v>37803</v>
      </c>
      <c r="B36" s="13">
        <v>22</v>
      </c>
      <c r="C36" s="210">
        <v>4</v>
      </c>
      <c r="D36" s="210">
        <v>4</v>
      </c>
      <c r="E36" s="210">
        <v>1</v>
      </c>
      <c r="F36" s="13">
        <v>31</v>
      </c>
      <c r="H36" s="1021">
        <f>(VLOOKUP(YEAR($A36),'NY East Load Projections'!$A$4:$EO$14,((MONTH($A36)-1)*12)+VLOOKUP(H$4,$DE$6:$DF$17,2)+1))*$B36</f>
        <v>-2105.0287476013664</v>
      </c>
      <c r="I36" s="1021">
        <f>(VLOOKUP(YEAR($A36),'NY East Load Projections'!$A$4:$EO$14,((MONTH($A36)-1)*12)+VLOOKUP(I$4,$DE$6:$DF$17,2)+1))*$B36</f>
        <v>-2105.0287476013664</v>
      </c>
      <c r="J36" s="1021">
        <f>(VLOOKUP(YEAR($A36),'NY East Load Projections'!$A$4:$EO$14,((MONTH($A36)-1)*12)+VLOOKUP(J$4,$DE$6:$DF$17,2)+1))*$B36</f>
        <v>-2105.0287476013664</v>
      </c>
      <c r="K36" s="1021">
        <f>(VLOOKUP(YEAR($A36),'NY East Load Projections'!$A$4:$EO$14,((MONTH($A36)-1)*12)+VLOOKUP(K$4,$DE$6:$DF$17,2)+1))*$B36</f>
        <v>-2105.0287476013664</v>
      </c>
      <c r="L36" s="1021">
        <f>(VLOOKUP(YEAR($A36),'NY East Load Projections'!$A$4:$EO$14,((MONTH($A36)-1)*12)+VLOOKUP(L$4,$DE$6:$DF$17,2)+1))*$B36</f>
        <v>-2310.0053567634495</v>
      </c>
      <c r="M36" s="1021">
        <f>(VLOOKUP(YEAR($A36),'NY East Load Projections'!$A$4:$EO$14,((MONTH($A36)-1)*12)+VLOOKUP(M$4,$DE$6:$DF$17,2)+1))*$B36</f>
        <v>-2310.0053567634495</v>
      </c>
      <c r="N36" s="1021">
        <f>(VLOOKUP(YEAR($A36),'NY East Load Projections'!$A$4:$EO$14,((MONTH($A36)-1)*12)+VLOOKUP(N$4,$DE$6:$DF$17,2)+1))*$B36</f>
        <v>-2310.0053567634495</v>
      </c>
      <c r="O36" s="1021">
        <f>(VLOOKUP(YEAR($A36),'NY East Load Projections'!$A$4:$EO$14,((MONTH($A36)-1)*12)+VLOOKUP(O$4,$DE$6:$DF$17,2)+1))*$B36</f>
        <v>-2310.0053567634495</v>
      </c>
      <c r="P36" s="1021">
        <f>(VLOOKUP(YEAR($A36),'NY East Load Projections'!$A$4:$EO$14,((MONTH($A36)-1)*12)+VLOOKUP(P$4,$DE$6:$DF$17,2)+1))*$B36</f>
        <v>-2591.8145988054216</v>
      </c>
      <c r="Q36" s="1021">
        <f>(VLOOKUP(YEAR($A36),'NY East Load Projections'!$A$4:$EO$14,((MONTH($A36)-1)*12)+VLOOKUP(Q$4,$DE$6:$DF$17,2)+1))*$B36</f>
        <v>-2591.8145988054216</v>
      </c>
      <c r="R36" s="1021">
        <f>(VLOOKUP(YEAR($A36),'NY East Load Projections'!$A$4:$EO$14,((MONTH($A36)-1)*12)+VLOOKUP(R$4,$DE$6:$DF$17,2)+1))*$B36</f>
        <v>-2591.8145988054216</v>
      </c>
      <c r="S36" s="1021">
        <f>(VLOOKUP(YEAR($A36),'NY East Load Projections'!$A$4:$EO$14,((MONTH($A36)-1)*12)+VLOOKUP(S$4,$DE$6:$DF$17,2)+1))*$B36</f>
        <v>-2591.8145988054216</v>
      </c>
      <c r="T36" s="1021">
        <f>(VLOOKUP(YEAR($A36),'NY East Load Projections'!$A$4:$EO$14,((MONTH($A36)-1)*12)+VLOOKUP(T$4,$DE$6:$DF$17,2)+1))*$B36</f>
        <v>-2618.2979776760299</v>
      </c>
      <c r="U36" s="1021">
        <f>(VLOOKUP(YEAR($A36),'NY East Load Projections'!$A$4:$EO$14,((MONTH($A36)-1)*12)+VLOOKUP(U$4,$DE$6:$DF$17,2)+1))*$B36</f>
        <v>-2618.2979776760299</v>
      </c>
      <c r="V36" s="1021">
        <f>(VLOOKUP(YEAR($A36),'NY East Load Projections'!$A$4:$EO$14,((MONTH($A36)-1)*12)+VLOOKUP(V$4,$DE$6:$DF$17,2)+1))*$B36</f>
        <v>-2618.2979776760299</v>
      </c>
      <c r="W36" s="1021">
        <f>(VLOOKUP(YEAR($A36),'NY East Load Projections'!$A$4:$EO$14,((MONTH($A36)-1)*12)+VLOOKUP(W$4,$DE$6:$DF$17,2)+1))*$B36</f>
        <v>-2618.2979776760299</v>
      </c>
      <c r="X36" s="1021">
        <f>(VLOOKUP(YEAR($A36),'NY East Load Projections'!$A$4:$EO$14,((MONTH($A36)-1)*12)+VLOOKUP(X$4,$DE$6:$DF$17,2)+1))*$B36</f>
        <v>-2473.3875732852325</v>
      </c>
      <c r="Y36" s="1021">
        <f>(VLOOKUP(YEAR($A36),'NY East Load Projections'!$A$4:$EO$14,((MONTH($A36)-1)*12)+VLOOKUP(Y$4,$DE$6:$DF$17,2)+1))*$B36</f>
        <v>-2473.3875732852325</v>
      </c>
      <c r="Z36" s="1021">
        <f>(VLOOKUP(YEAR($A36),'NY East Load Projections'!$A$4:$EO$14,((MONTH($A36)-1)*12)+VLOOKUP(Z$4,$DE$6:$DF$17,2)+1))*$B36</f>
        <v>-2473.3875732852325</v>
      </c>
      <c r="AA36" s="1021">
        <f>(VLOOKUP(YEAR($A36),'NY East Load Projections'!$A$4:$EO$14,((MONTH($A36)-1)*12)+VLOOKUP(AA$4,$DE$6:$DF$17,2)+1))*$B36</f>
        <v>-2473.3875732852325</v>
      </c>
      <c r="AB36" s="1021">
        <f>(VLOOKUP(YEAR($A36),'NY East Load Projections'!$A$4:$EO$14,((MONTH($A36)-1)*12)+VLOOKUP(AB$4,$DE$6:$DF$17,2)+1))*$B36</f>
        <v>-2202.3651248529395</v>
      </c>
      <c r="AC36" s="1021">
        <f>(VLOOKUP(YEAR($A36),'NY East Load Projections'!$A$4:$EO$14,((MONTH($A36)-1)*12)+VLOOKUP(AC$4,$DE$6:$DF$17,2)+1))*$B36</f>
        <v>-2202.3651248529395</v>
      </c>
      <c r="AD36" s="1021">
        <f>(VLOOKUP(YEAR($A36),'NY East Load Projections'!$A$4:$EO$14,((MONTH($A36)-1)*12)+VLOOKUP(AD$4,$DE$6:$DF$17,2)+1))*$B36</f>
        <v>-2202.3651248529395</v>
      </c>
      <c r="AE36" s="1021">
        <f>(VLOOKUP(YEAR($A36),'NY East Load Projections'!$A$4:$EO$14,((MONTH($A36)-1)*12)+VLOOKUP(AE$4,$DE$6:$DF$17,2)+1))*$B36</f>
        <v>-2202.3651248529395</v>
      </c>
      <c r="AF36" s="1021"/>
      <c r="AG36" s="1021">
        <f>(VLOOKUP(YEAR($A36),'NY East Load Projections'!$A$4:$EO$14,((MONTH($A36)-1)*12)+VLOOKUP(AG$4,$DE$6:$DF$17,2)+1))*$C36</f>
        <v>-368.24378988094776</v>
      </c>
      <c r="AH36" s="1021">
        <f>(VLOOKUP(YEAR($A36),'NY East Load Projections'!$A$4:$EO$14,((MONTH($A36)-1)*12)+VLOOKUP(AH$4,$DE$6:$DF$17,2)+1))*$C36</f>
        <v>-368.24378988094776</v>
      </c>
      <c r="AI36" s="1021">
        <f>(VLOOKUP(YEAR($A36),'NY East Load Projections'!$A$4:$EO$14,((MONTH($A36)-1)*12)+VLOOKUP(AI$4,$DE$6:$DF$17,2)+1))*$C36</f>
        <v>-368.24378988094776</v>
      </c>
      <c r="AJ36" s="1021">
        <f>(VLOOKUP(YEAR($A36),'NY East Load Projections'!$A$4:$EO$14,((MONTH($A36)-1)*12)+VLOOKUP(AJ$4,$DE$6:$DF$17,2)+1))*$C36</f>
        <v>-368.24378988094776</v>
      </c>
      <c r="AK36" s="1021">
        <f>(VLOOKUP(YEAR($A36),'NY East Load Projections'!$A$4:$EO$14,((MONTH($A36)-1)*12)+VLOOKUP(AK$4,$DE$6:$DF$17,2)+1))*$C36</f>
        <v>-373.39932615169784</v>
      </c>
      <c r="AL36" s="1021">
        <f>(VLOOKUP(YEAR($A36),'NY East Load Projections'!$A$4:$EO$14,((MONTH($A36)-1)*12)+VLOOKUP(AL$4,$DE$6:$DF$17,2)+1))*$C36</f>
        <v>-373.39932615169784</v>
      </c>
      <c r="AM36" s="1021">
        <f>(VLOOKUP(YEAR($A36),'NY East Load Projections'!$A$4:$EO$14,((MONTH($A36)-1)*12)+VLOOKUP(AM$4,$DE$6:$DF$17,2)+1))*$C36</f>
        <v>-373.39932615169784</v>
      </c>
      <c r="AN36" s="1021">
        <f>(VLOOKUP(YEAR($A36),'NY East Load Projections'!$A$4:$EO$14,((MONTH($A36)-1)*12)+VLOOKUP(AN$4,$DE$6:$DF$17,2)+1))*$C36</f>
        <v>-373.39932615169784</v>
      </c>
      <c r="AO36" s="1021">
        <f>(VLOOKUP(YEAR($A36),'NY East Load Projections'!$A$4:$EO$14,((MONTH($A36)-1)*12)+VLOOKUP(AO$4,$DE$6:$DF$17,2)+1))*$C36</f>
        <v>-408.22172561739671</v>
      </c>
      <c r="AP36" s="1021">
        <f>(VLOOKUP(YEAR($A36),'NY East Load Projections'!$A$4:$EO$14,((MONTH($A36)-1)*12)+VLOOKUP(AP$4,$DE$6:$DF$17,2)+1))*$C36</f>
        <v>-408.22172561739671</v>
      </c>
      <c r="AQ36" s="1021">
        <f>(VLOOKUP(YEAR($A36),'NY East Load Projections'!$A$4:$EO$14,((MONTH($A36)-1)*12)+VLOOKUP(AQ$4,$DE$6:$DF$17,2)+1))*$C36</f>
        <v>-408.22172561739671</v>
      </c>
      <c r="AR36" s="1021">
        <f>(VLOOKUP(YEAR($A36),'NY East Load Projections'!$A$4:$EO$14,((MONTH($A36)-1)*12)+VLOOKUP(AR$4,$DE$6:$DF$17,2)+1))*$C36</f>
        <v>-408.22172561739671</v>
      </c>
      <c r="AS36" s="1021">
        <f>(VLOOKUP(YEAR($A36),'NY East Load Projections'!$A$4:$EO$14,((MONTH($A36)-1)*12)+VLOOKUP(AS$4,$DE$6:$DF$17,2)+1))*$C36</f>
        <v>-414.45624400163797</v>
      </c>
      <c r="AT36" s="1021">
        <f>(VLOOKUP(YEAR($A36),'NY East Load Projections'!$A$4:$EO$14,((MONTH($A36)-1)*12)+VLOOKUP(AT$4,$DE$6:$DF$17,2)+1))*$C36</f>
        <v>-414.45624400163797</v>
      </c>
      <c r="AU36" s="1021">
        <f>(VLOOKUP(YEAR($A36),'NY East Load Projections'!$A$4:$EO$14,((MONTH($A36)-1)*12)+VLOOKUP(AU$4,$DE$6:$DF$17,2)+1))*$C36</f>
        <v>-414.45624400163797</v>
      </c>
      <c r="AV36" s="1021">
        <f>(VLOOKUP(YEAR($A36),'NY East Load Projections'!$A$4:$EO$14,((MONTH($A36)-1)*12)+VLOOKUP(AV$4,$DE$6:$DF$17,2)+1))*$C36</f>
        <v>-414.45624400163797</v>
      </c>
      <c r="AW36" s="1021">
        <f>(VLOOKUP(YEAR($A36),'NY East Load Projections'!$A$4:$EO$14,((MONTH($A36)-1)*12)+VLOOKUP(AW$4,$DE$6:$DF$17,2)+1))*$C36</f>
        <v>-394.06570389742086</v>
      </c>
      <c r="AX36" s="1021">
        <f>(VLOOKUP(YEAR($A36),'NY East Load Projections'!$A$4:$EO$14,((MONTH($A36)-1)*12)+VLOOKUP(AX$4,$DE$6:$DF$17,2)+1))*$C36</f>
        <v>-394.06570389742086</v>
      </c>
      <c r="AY36" s="1021">
        <f>(VLOOKUP(YEAR($A36),'NY East Load Projections'!$A$4:$EO$14,((MONTH($A36)-1)*12)+VLOOKUP(AY$4,$DE$6:$DF$17,2)+1))*$C36</f>
        <v>-394.06570389742086</v>
      </c>
      <c r="AZ36" s="1021">
        <f>(VLOOKUP(YEAR($A36),'NY East Load Projections'!$A$4:$EO$14,((MONTH($A36)-1)*12)+VLOOKUP(AZ$4,$DE$6:$DF$17,2)+1))*$C36</f>
        <v>-394.06570389742086</v>
      </c>
      <c r="BA36" s="1021">
        <f>(VLOOKUP(YEAR($A36),'NY East Load Projections'!$A$4:$EO$14,((MONTH($A36)-1)*12)+VLOOKUP(BA$4,$DE$6:$DF$17,2)+1))*$C36</f>
        <v>-380.13543002440252</v>
      </c>
      <c r="BB36" s="1021">
        <f>(VLOOKUP(YEAR($A36),'NY East Load Projections'!$A$4:$EO$14,((MONTH($A36)-1)*12)+VLOOKUP(BB$4,$DE$6:$DF$17,2)+1))*$C36</f>
        <v>-380.13543002440252</v>
      </c>
      <c r="BC36" s="1021">
        <f>(VLOOKUP(YEAR($A36),'NY East Load Projections'!$A$4:$EO$14,((MONTH($A36)-1)*12)+VLOOKUP(BC$4,$DE$6:$DF$17,2)+1))*$C36</f>
        <v>-380.13543002440252</v>
      </c>
      <c r="BD36" s="1021">
        <f>(VLOOKUP(YEAR($A36),'NY East Load Projections'!$A$4:$EO$14,((MONTH($A36)-1)*12)+VLOOKUP(BD$4,$DE$6:$DF$17,2)+1))*$C36</f>
        <v>-380.13543002440252</v>
      </c>
      <c r="BE36" s="1021"/>
      <c r="BF36" s="1021">
        <f>(VLOOKUP(YEAR($A36),'NY East Load Projections'!$A$4:$EO$14,((MONTH($A36)-1)*12)+VLOOKUP(BF$4,$DE$6:$DF$17,2)+1))*$D36</f>
        <v>-368.24378988094776</v>
      </c>
      <c r="BG36" s="1021">
        <f>(VLOOKUP(YEAR($A36),'NY East Load Projections'!$A$4:$EO$14,((MONTH($A36)-1)*12)+VLOOKUP(BG$4,$DE$6:$DF$17,2)+1))*$D36</f>
        <v>-368.24378988094776</v>
      </c>
      <c r="BH36" s="1021">
        <f>(VLOOKUP(YEAR($A36),'NY East Load Projections'!$A$4:$EO$14,((MONTH($A36)-1)*12)+VLOOKUP(BH$4,$DE$6:$DF$17,2)+1))*$D36</f>
        <v>-368.24378988094776</v>
      </c>
      <c r="BI36" s="1021">
        <f>(VLOOKUP(YEAR($A36),'NY East Load Projections'!$A$4:$EO$14,((MONTH($A36)-1)*12)+VLOOKUP(BI$4,$DE$6:$DF$17,2)+1))*$D36</f>
        <v>-368.24378988094776</v>
      </c>
      <c r="BJ36" s="1021">
        <f>(VLOOKUP(YEAR($A36),'NY East Load Projections'!$A$4:$EO$14,((MONTH($A36)-1)*12)+VLOOKUP(BJ$4,$DE$6:$DF$17,2)+1))*$D36</f>
        <v>-373.39932615169784</v>
      </c>
      <c r="BK36" s="1021">
        <f>(VLOOKUP(YEAR($A36),'NY East Load Projections'!$A$4:$EO$14,((MONTH($A36)-1)*12)+VLOOKUP(BK$4,$DE$6:$DF$17,2)+1))*$D36</f>
        <v>-373.39932615169784</v>
      </c>
      <c r="BL36" s="1021">
        <f>(VLOOKUP(YEAR($A36),'NY East Load Projections'!$A$4:$EO$14,((MONTH($A36)-1)*12)+VLOOKUP(BL$4,$DE$6:$DF$17,2)+1))*$D36</f>
        <v>-373.39932615169784</v>
      </c>
      <c r="BM36" s="1021">
        <f>(VLOOKUP(YEAR($A36),'NY East Load Projections'!$A$4:$EO$14,((MONTH($A36)-1)*12)+VLOOKUP(BM$4,$DE$6:$DF$17,2)+1))*$D36</f>
        <v>-373.39932615169784</v>
      </c>
      <c r="BN36" s="1021">
        <f>(VLOOKUP(YEAR($A36),'NY East Load Projections'!$A$4:$EO$14,((MONTH($A36)-1)*12)+VLOOKUP(BN$4,$DE$6:$DF$17,2)+1))*$D36</f>
        <v>-408.22172561739671</v>
      </c>
      <c r="BO36" s="1021">
        <f>(VLOOKUP(YEAR($A36),'NY East Load Projections'!$A$4:$EO$14,((MONTH($A36)-1)*12)+VLOOKUP(BO$4,$DE$6:$DF$17,2)+1))*$D36</f>
        <v>-408.22172561739671</v>
      </c>
      <c r="BP36" s="1021">
        <f>(VLOOKUP(YEAR($A36),'NY East Load Projections'!$A$4:$EO$14,((MONTH($A36)-1)*12)+VLOOKUP(BP$4,$DE$6:$DF$17,2)+1))*$D36</f>
        <v>-408.22172561739671</v>
      </c>
      <c r="BQ36" s="1021">
        <f>(VLOOKUP(YEAR($A36),'NY East Load Projections'!$A$4:$EO$14,((MONTH($A36)-1)*12)+VLOOKUP(BQ$4,$DE$6:$DF$17,2)+1))*$D36</f>
        <v>-408.22172561739671</v>
      </c>
      <c r="BR36" s="1021">
        <f>(VLOOKUP(YEAR($A36),'NY East Load Projections'!$A$4:$EO$14,((MONTH($A36)-1)*12)+VLOOKUP(BR$4,$DE$6:$DF$17,2)+1))*$D36</f>
        <v>-414.45624400163797</v>
      </c>
      <c r="BS36" s="1021">
        <f>(VLOOKUP(YEAR($A36),'NY East Load Projections'!$A$4:$EO$14,((MONTH($A36)-1)*12)+VLOOKUP(BS$4,$DE$6:$DF$17,2)+1))*$D36</f>
        <v>-414.45624400163797</v>
      </c>
      <c r="BT36" s="1021">
        <f>(VLOOKUP(YEAR($A36),'NY East Load Projections'!$A$4:$EO$14,((MONTH($A36)-1)*12)+VLOOKUP(BT$4,$DE$6:$DF$17,2)+1))*$D36</f>
        <v>-414.45624400163797</v>
      </c>
      <c r="BU36" s="1021">
        <f>(VLOOKUP(YEAR($A36),'NY East Load Projections'!$A$4:$EO$14,((MONTH($A36)-1)*12)+VLOOKUP(BU$4,$DE$6:$DF$17,2)+1))*$D36</f>
        <v>-414.45624400163797</v>
      </c>
      <c r="BV36" s="1021">
        <f>(VLOOKUP(YEAR($A36),'NY East Load Projections'!$A$4:$EO$14,((MONTH($A36)-1)*12)+VLOOKUP(BV$4,$DE$6:$DF$17,2)+1))*$D36</f>
        <v>-394.06570389742086</v>
      </c>
      <c r="BW36" s="1021">
        <f>(VLOOKUP(YEAR($A36),'NY East Load Projections'!$A$4:$EO$14,((MONTH($A36)-1)*12)+VLOOKUP(BW$4,$DE$6:$DF$17,2)+1))*$D36</f>
        <v>-394.06570389742086</v>
      </c>
      <c r="BX36" s="1021">
        <f>(VLOOKUP(YEAR($A36),'NY East Load Projections'!$A$4:$EO$14,((MONTH($A36)-1)*12)+VLOOKUP(BX$4,$DE$6:$DF$17,2)+1))*$D36</f>
        <v>-394.06570389742086</v>
      </c>
      <c r="BY36" s="1021">
        <f>(VLOOKUP(YEAR($A36),'NY East Load Projections'!$A$4:$EO$14,((MONTH($A36)-1)*12)+VLOOKUP(BY$4,$DE$6:$DF$17,2)+1))*$D36</f>
        <v>-394.06570389742086</v>
      </c>
      <c r="BZ36" s="1021">
        <f>(VLOOKUP(YEAR($A36),'NY East Load Projections'!$A$4:$EO$14,((MONTH($A36)-1)*12)+VLOOKUP(BZ$4,$DE$6:$DF$17,2)+1))*$D36</f>
        <v>-380.13543002440252</v>
      </c>
      <c r="CA36" s="1021">
        <f>(VLOOKUP(YEAR($A36),'NY East Load Projections'!$A$4:$EO$14,((MONTH($A36)-1)*12)+VLOOKUP(CA$4,$DE$6:$DF$17,2)+1))*$D36</f>
        <v>-380.13543002440252</v>
      </c>
      <c r="CB36" s="1021">
        <f>(VLOOKUP(YEAR($A36),'NY East Load Projections'!$A$4:$EO$14,((MONTH($A36)-1)*12)+VLOOKUP(CB$4,$DE$6:$DF$17,2)+1))*$D36</f>
        <v>-380.13543002440252</v>
      </c>
      <c r="CC36" s="1021">
        <f>(VLOOKUP(YEAR($A36),'NY East Load Projections'!$A$4:$EO$14,((MONTH($A36)-1)*12)+VLOOKUP(CC$4,$DE$6:$DF$17,2)+1))*$D36</f>
        <v>-380.13543002440252</v>
      </c>
      <c r="CE36" s="1021">
        <f>(VLOOKUP(YEAR($A36),'NY East Load Projections'!$A$4:$EO$14,((MONTH($A36)-1)*12)+VLOOKUP(CE$4,$DE$6:$DF$17,2)+1))*$E36</f>
        <v>-92.06094747023694</v>
      </c>
      <c r="CF36" s="1021">
        <f>(VLOOKUP(YEAR($A36),'NY East Load Projections'!$A$4:$EO$14,((MONTH($A36)-1)*12)+VLOOKUP(CF$4,$DE$6:$DF$17,2)+1))*$E36</f>
        <v>-92.06094747023694</v>
      </c>
      <c r="CG36" s="1021">
        <f>(VLOOKUP(YEAR($A36),'NY East Load Projections'!$A$4:$EO$14,((MONTH($A36)-1)*12)+VLOOKUP(CG$4,$DE$6:$DF$17,2)+1))*$E36</f>
        <v>-92.06094747023694</v>
      </c>
      <c r="CH36" s="1021">
        <f>(VLOOKUP(YEAR($A36),'NY East Load Projections'!$A$4:$EO$14,((MONTH($A36)-1)*12)+VLOOKUP(CH$4,$DE$6:$DF$17,2)+1))*$E36</f>
        <v>-92.06094747023694</v>
      </c>
      <c r="CI36" s="1021">
        <f>(VLOOKUP(YEAR($A36),'NY East Load Projections'!$A$4:$EO$14,((MONTH($A36)-1)*12)+VLOOKUP(CI$4,$DE$6:$DF$17,2)+1))*$E36</f>
        <v>-93.349831537924459</v>
      </c>
      <c r="CJ36" s="1021">
        <f>(VLOOKUP(YEAR($A36),'NY East Load Projections'!$A$4:$EO$14,((MONTH($A36)-1)*12)+VLOOKUP(CJ$4,$DE$6:$DF$17,2)+1))*$E36</f>
        <v>-93.349831537924459</v>
      </c>
      <c r="CK36" s="1021">
        <f>(VLOOKUP(YEAR($A36),'NY East Load Projections'!$A$4:$EO$14,((MONTH($A36)-1)*12)+VLOOKUP(CK$4,$DE$6:$DF$17,2)+1))*$E36</f>
        <v>-93.349831537924459</v>
      </c>
      <c r="CL36" s="1021">
        <f>(VLOOKUP(YEAR($A36),'NY East Load Projections'!$A$4:$EO$14,((MONTH($A36)-1)*12)+VLOOKUP(CL$4,$DE$6:$DF$17,2)+1))*$E36</f>
        <v>-93.349831537924459</v>
      </c>
      <c r="CM36" s="1021">
        <f>(VLOOKUP(YEAR($A36),'NY East Load Projections'!$A$4:$EO$14,((MONTH($A36)-1)*12)+VLOOKUP(CM$4,$DE$6:$DF$17,2)+1))*$E36</f>
        <v>-102.05543140434918</v>
      </c>
      <c r="CN36" s="1021">
        <f>(VLOOKUP(YEAR($A36),'NY East Load Projections'!$A$4:$EO$14,((MONTH($A36)-1)*12)+VLOOKUP(CN$4,$DE$6:$DF$17,2)+1))*$E36</f>
        <v>-102.05543140434918</v>
      </c>
      <c r="CO36" s="1021">
        <f>(VLOOKUP(YEAR($A36),'NY East Load Projections'!$A$4:$EO$14,((MONTH($A36)-1)*12)+VLOOKUP(CO$4,$DE$6:$DF$17,2)+1))*$E36</f>
        <v>-102.05543140434918</v>
      </c>
      <c r="CP36" s="1021">
        <f>(VLOOKUP(YEAR($A36),'NY East Load Projections'!$A$4:$EO$14,((MONTH($A36)-1)*12)+VLOOKUP(CP$4,$DE$6:$DF$17,2)+1))*$E36</f>
        <v>-102.05543140434918</v>
      </c>
      <c r="CQ36" s="1021">
        <f>(VLOOKUP(YEAR($A36),'NY East Load Projections'!$A$4:$EO$14,((MONTH($A36)-1)*12)+VLOOKUP(CQ$4,$DE$6:$DF$17,2)+1))*$E36</f>
        <v>-103.61406100040949</v>
      </c>
      <c r="CR36" s="1021">
        <f>(VLOOKUP(YEAR($A36),'NY East Load Projections'!$A$4:$EO$14,((MONTH($A36)-1)*12)+VLOOKUP(CR$4,$DE$6:$DF$17,2)+1))*$E36</f>
        <v>-103.61406100040949</v>
      </c>
      <c r="CS36" s="1021">
        <f>(VLOOKUP(YEAR($A36),'NY East Load Projections'!$A$4:$EO$14,((MONTH($A36)-1)*12)+VLOOKUP(CS$4,$DE$6:$DF$17,2)+1))*$E36</f>
        <v>-103.61406100040949</v>
      </c>
      <c r="CT36" s="1021">
        <f>(VLOOKUP(YEAR($A36),'NY East Load Projections'!$A$4:$EO$14,((MONTH($A36)-1)*12)+VLOOKUP(CT$4,$DE$6:$DF$17,2)+1))*$E36</f>
        <v>-103.61406100040949</v>
      </c>
      <c r="CU36" s="1021">
        <f>(VLOOKUP(YEAR($A36),'NY East Load Projections'!$A$4:$EO$14,((MONTH($A36)-1)*12)+VLOOKUP(CU$4,$DE$6:$DF$17,2)+1))*$E36</f>
        <v>-98.516425974355215</v>
      </c>
      <c r="CV36" s="1021">
        <f>(VLOOKUP(YEAR($A36),'NY East Load Projections'!$A$4:$EO$14,((MONTH($A36)-1)*12)+VLOOKUP(CV$4,$DE$6:$DF$17,2)+1))*$E36</f>
        <v>-98.516425974355215</v>
      </c>
      <c r="CW36" s="1021">
        <f>(VLOOKUP(YEAR($A36),'NY East Load Projections'!$A$4:$EO$14,((MONTH($A36)-1)*12)+VLOOKUP(CW$4,$DE$6:$DF$17,2)+1))*$E36</f>
        <v>-98.516425974355215</v>
      </c>
      <c r="CX36" s="1021">
        <f>(VLOOKUP(YEAR($A36),'NY East Load Projections'!$A$4:$EO$14,((MONTH($A36)-1)*12)+VLOOKUP(CX$4,$DE$6:$DF$17,2)+1))*$E36</f>
        <v>-98.516425974355215</v>
      </c>
      <c r="CY36" s="1021">
        <f>(VLOOKUP(YEAR($A36),'NY East Load Projections'!$A$4:$EO$14,((MONTH($A36)-1)*12)+VLOOKUP(CY$4,$DE$6:$DF$17,2)+1))*$E36</f>
        <v>-95.033857506100631</v>
      </c>
      <c r="CZ36" s="1021">
        <f>(VLOOKUP(YEAR($A36),'NY East Load Projections'!$A$4:$EO$14,((MONTH($A36)-1)*12)+VLOOKUP(CZ$4,$DE$6:$DF$17,2)+1))*$E36</f>
        <v>-95.033857506100631</v>
      </c>
      <c r="DA36" s="1021">
        <f>(VLOOKUP(YEAR($A36),'NY East Load Projections'!$A$4:$EO$14,((MONTH($A36)-1)*12)+VLOOKUP(DA$4,$DE$6:$DF$17,2)+1))*$E36</f>
        <v>-95.033857506100631</v>
      </c>
      <c r="DB36" s="1021">
        <f>(VLOOKUP(YEAR($A36),'NY East Load Projections'!$A$4:$EO$14,((MONTH($A36)-1)*12)+VLOOKUP(DB$4,$DE$6:$DF$17,2)+1))*$E36</f>
        <v>-95.033857506100631</v>
      </c>
      <c r="DH36" s="1009">
        <f t="shared" si="0"/>
        <v>-78250.297492099286</v>
      </c>
      <c r="DI36">
        <f ca="1">CALC!J56</f>
        <v>0.78195449781268733</v>
      </c>
      <c r="DJ36" s="1032">
        <f t="shared" ca="1" si="1"/>
        <v>-61188.172079127886</v>
      </c>
    </row>
    <row r="37" spans="1:114" x14ac:dyDescent="0.25">
      <c r="A37" s="244">
        <v>37834</v>
      </c>
      <c r="B37" s="13">
        <v>21</v>
      </c>
      <c r="C37" s="210">
        <v>5</v>
      </c>
      <c r="D37" s="210">
        <v>5</v>
      </c>
      <c r="E37" s="210">
        <v>0</v>
      </c>
      <c r="F37" s="13">
        <v>31</v>
      </c>
      <c r="H37" s="1021">
        <f>(VLOOKUP(YEAR($A37),'NY East Load Projections'!$A$4:$EO$14,((MONTH($A37)-1)*12)+VLOOKUP(H$4,$DE$6:$DF$17,2)+1))*$B37</f>
        <v>-2049.9502999832562</v>
      </c>
      <c r="I37" s="1021">
        <f>(VLOOKUP(YEAR($A37),'NY East Load Projections'!$A$4:$EO$14,((MONTH($A37)-1)*12)+VLOOKUP(I$4,$DE$6:$DF$17,2)+1))*$B37</f>
        <v>-2049.9502999832562</v>
      </c>
      <c r="J37" s="1021">
        <f>(VLOOKUP(YEAR($A37),'NY East Load Projections'!$A$4:$EO$14,((MONTH($A37)-1)*12)+VLOOKUP(J$4,$DE$6:$DF$17,2)+1))*$B37</f>
        <v>-2049.9502999832562</v>
      </c>
      <c r="K37" s="1021">
        <f>(VLOOKUP(YEAR($A37),'NY East Load Projections'!$A$4:$EO$14,((MONTH($A37)-1)*12)+VLOOKUP(K$4,$DE$6:$DF$17,2)+1))*$B37</f>
        <v>-2049.9502999832562</v>
      </c>
      <c r="L37" s="1021">
        <f>(VLOOKUP(YEAR($A37),'NY East Load Projections'!$A$4:$EO$14,((MONTH($A37)-1)*12)+VLOOKUP(L$4,$DE$6:$DF$17,2)+1))*$B37</f>
        <v>-2243.1476894107918</v>
      </c>
      <c r="M37" s="1021">
        <f>(VLOOKUP(YEAR($A37),'NY East Load Projections'!$A$4:$EO$14,((MONTH($A37)-1)*12)+VLOOKUP(M$4,$DE$6:$DF$17,2)+1))*$B37</f>
        <v>-2243.1476894107918</v>
      </c>
      <c r="N37" s="1021">
        <f>(VLOOKUP(YEAR($A37),'NY East Load Projections'!$A$4:$EO$14,((MONTH($A37)-1)*12)+VLOOKUP(N$4,$DE$6:$DF$17,2)+1))*$B37</f>
        <v>-2243.1476894107918</v>
      </c>
      <c r="O37" s="1021">
        <f>(VLOOKUP(YEAR($A37),'NY East Load Projections'!$A$4:$EO$14,((MONTH($A37)-1)*12)+VLOOKUP(O$4,$DE$6:$DF$17,2)+1))*$B37</f>
        <v>-2243.1476894107918</v>
      </c>
      <c r="P37" s="1021">
        <f>(VLOOKUP(YEAR($A37),'NY East Load Projections'!$A$4:$EO$14,((MONTH($A37)-1)*12)+VLOOKUP(P$4,$DE$6:$DF$17,2)+1))*$B37</f>
        <v>-2532.0328007451139</v>
      </c>
      <c r="Q37" s="1021">
        <f>(VLOOKUP(YEAR($A37),'NY East Load Projections'!$A$4:$EO$14,((MONTH($A37)-1)*12)+VLOOKUP(Q$4,$DE$6:$DF$17,2)+1))*$B37</f>
        <v>-2532.0328007451139</v>
      </c>
      <c r="R37" s="1021">
        <f>(VLOOKUP(YEAR($A37),'NY East Load Projections'!$A$4:$EO$14,((MONTH($A37)-1)*12)+VLOOKUP(R$4,$DE$6:$DF$17,2)+1))*$B37</f>
        <v>-2532.0328007451139</v>
      </c>
      <c r="S37" s="1021">
        <f>(VLOOKUP(YEAR($A37),'NY East Load Projections'!$A$4:$EO$14,((MONTH($A37)-1)*12)+VLOOKUP(S$4,$DE$6:$DF$17,2)+1))*$B37</f>
        <v>-2532.0328007451139</v>
      </c>
      <c r="T37" s="1021">
        <f>(VLOOKUP(YEAR($A37),'NY East Load Projections'!$A$4:$EO$14,((MONTH($A37)-1)*12)+VLOOKUP(T$4,$DE$6:$DF$17,2)+1))*$B37</f>
        <v>-2576.8092100357558</v>
      </c>
      <c r="U37" s="1021">
        <f>(VLOOKUP(YEAR($A37),'NY East Load Projections'!$A$4:$EO$14,((MONTH($A37)-1)*12)+VLOOKUP(U$4,$DE$6:$DF$17,2)+1))*$B37</f>
        <v>-2576.8092100357558</v>
      </c>
      <c r="V37" s="1021">
        <f>(VLOOKUP(YEAR($A37),'NY East Load Projections'!$A$4:$EO$14,((MONTH($A37)-1)*12)+VLOOKUP(V$4,$DE$6:$DF$17,2)+1))*$B37</f>
        <v>-2576.8092100357558</v>
      </c>
      <c r="W37" s="1021">
        <f>(VLOOKUP(YEAR($A37),'NY East Load Projections'!$A$4:$EO$14,((MONTH($A37)-1)*12)+VLOOKUP(W$4,$DE$6:$DF$17,2)+1))*$B37</f>
        <v>-2576.8092100357558</v>
      </c>
      <c r="X37" s="1021">
        <f>(VLOOKUP(YEAR($A37),'NY East Load Projections'!$A$4:$EO$14,((MONTH($A37)-1)*12)+VLOOKUP(X$4,$DE$6:$DF$17,2)+1))*$B37</f>
        <v>-2420.4901742344509</v>
      </c>
      <c r="Y37" s="1021">
        <f>(VLOOKUP(YEAR($A37),'NY East Load Projections'!$A$4:$EO$14,((MONTH($A37)-1)*12)+VLOOKUP(Y$4,$DE$6:$DF$17,2)+1))*$B37</f>
        <v>-2420.4901742344509</v>
      </c>
      <c r="Z37" s="1021">
        <f>(VLOOKUP(YEAR($A37),'NY East Load Projections'!$A$4:$EO$14,((MONTH($A37)-1)*12)+VLOOKUP(Z$4,$DE$6:$DF$17,2)+1))*$B37</f>
        <v>-2420.4901742344509</v>
      </c>
      <c r="AA37" s="1021">
        <f>(VLOOKUP(YEAR($A37),'NY East Load Projections'!$A$4:$EO$14,((MONTH($A37)-1)*12)+VLOOKUP(AA$4,$DE$6:$DF$17,2)+1))*$B37</f>
        <v>-2420.4901742344509</v>
      </c>
      <c r="AB37" s="1021">
        <f>(VLOOKUP(YEAR($A37),'NY East Load Projections'!$A$4:$EO$14,((MONTH($A37)-1)*12)+VLOOKUP(AB$4,$DE$6:$DF$17,2)+1))*$B37</f>
        <v>-2146.8270355345699</v>
      </c>
      <c r="AC37" s="1021">
        <f>(VLOOKUP(YEAR($A37),'NY East Load Projections'!$A$4:$EO$14,((MONTH($A37)-1)*12)+VLOOKUP(AC$4,$DE$6:$DF$17,2)+1))*$B37</f>
        <v>-2146.8270355345699</v>
      </c>
      <c r="AD37" s="1021">
        <f>(VLOOKUP(YEAR($A37),'NY East Load Projections'!$A$4:$EO$14,((MONTH($A37)-1)*12)+VLOOKUP(AD$4,$DE$6:$DF$17,2)+1))*$B37</f>
        <v>-2146.8270355345699</v>
      </c>
      <c r="AE37" s="1021">
        <f>(VLOOKUP(YEAR($A37),'NY East Load Projections'!$A$4:$EO$14,((MONTH($A37)-1)*12)+VLOOKUP(AE$4,$DE$6:$DF$17,2)+1))*$B37</f>
        <v>-2146.8270355345699</v>
      </c>
      <c r="AF37" s="1021"/>
      <c r="AG37" s="1021">
        <f>(VLOOKUP(YEAR($A37),'NY East Load Projections'!$A$4:$EO$14,((MONTH($A37)-1)*12)+VLOOKUP(AG$4,$DE$6:$DF$17,2)+1))*$C37</f>
        <v>-480.08539874130815</v>
      </c>
      <c r="AH37" s="1021">
        <f>(VLOOKUP(YEAR($A37),'NY East Load Projections'!$A$4:$EO$14,((MONTH($A37)-1)*12)+VLOOKUP(AH$4,$DE$6:$DF$17,2)+1))*$C37</f>
        <v>-480.08539874130815</v>
      </c>
      <c r="AI37" s="1021">
        <f>(VLOOKUP(YEAR($A37),'NY East Load Projections'!$A$4:$EO$14,((MONTH($A37)-1)*12)+VLOOKUP(AI$4,$DE$6:$DF$17,2)+1))*$C37</f>
        <v>-480.08539874130815</v>
      </c>
      <c r="AJ37" s="1021">
        <f>(VLOOKUP(YEAR($A37),'NY East Load Projections'!$A$4:$EO$14,((MONTH($A37)-1)*12)+VLOOKUP(AJ$4,$DE$6:$DF$17,2)+1))*$C37</f>
        <v>-480.08539874130815</v>
      </c>
      <c r="AK37" s="1021">
        <f>(VLOOKUP(YEAR($A37),'NY East Load Projections'!$A$4:$EO$14,((MONTH($A37)-1)*12)+VLOOKUP(AK$4,$DE$6:$DF$17,2)+1))*$C37</f>
        <v>-488.3078391832529</v>
      </c>
      <c r="AL37" s="1021">
        <f>(VLOOKUP(YEAR($A37),'NY East Load Projections'!$A$4:$EO$14,((MONTH($A37)-1)*12)+VLOOKUP(AL$4,$DE$6:$DF$17,2)+1))*$C37</f>
        <v>-488.3078391832529</v>
      </c>
      <c r="AM37" s="1021">
        <f>(VLOOKUP(YEAR($A37),'NY East Load Projections'!$A$4:$EO$14,((MONTH($A37)-1)*12)+VLOOKUP(AM$4,$DE$6:$DF$17,2)+1))*$C37</f>
        <v>-488.3078391832529</v>
      </c>
      <c r="AN37" s="1021">
        <f>(VLOOKUP(YEAR($A37),'NY East Load Projections'!$A$4:$EO$14,((MONTH($A37)-1)*12)+VLOOKUP(AN$4,$DE$6:$DF$17,2)+1))*$C37</f>
        <v>-488.3078391832529</v>
      </c>
      <c r="AO37" s="1021">
        <f>(VLOOKUP(YEAR($A37),'NY East Load Projections'!$A$4:$EO$14,((MONTH($A37)-1)*12)+VLOOKUP(AO$4,$DE$6:$DF$17,2)+1))*$C37</f>
        <v>-537.87893047352202</v>
      </c>
      <c r="AP37" s="1021">
        <f>(VLOOKUP(YEAR($A37),'NY East Load Projections'!$A$4:$EO$14,((MONTH($A37)-1)*12)+VLOOKUP(AP$4,$DE$6:$DF$17,2)+1))*$C37</f>
        <v>-537.87893047352202</v>
      </c>
      <c r="AQ37" s="1021">
        <f>(VLOOKUP(YEAR($A37),'NY East Load Projections'!$A$4:$EO$14,((MONTH($A37)-1)*12)+VLOOKUP(AQ$4,$DE$6:$DF$17,2)+1))*$C37</f>
        <v>-537.87893047352202</v>
      </c>
      <c r="AR37" s="1021">
        <f>(VLOOKUP(YEAR($A37),'NY East Load Projections'!$A$4:$EO$14,((MONTH($A37)-1)*12)+VLOOKUP(AR$4,$DE$6:$DF$17,2)+1))*$C37</f>
        <v>-537.87893047352202</v>
      </c>
      <c r="AS37" s="1021">
        <f>(VLOOKUP(YEAR($A37),'NY East Load Projections'!$A$4:$EO$14,((MONTH($A37)-1)*12)+VLOOKUP(AS$4,$DE$6:$DF$17,2)+1))*$C37</f>
        <v>-548.19828710906177</v>
      </c>
      <c r="AT37" s="1021">
        <f>(VLOOKUP(YEAR($A37),'NY East Load Projections'!$A$4:$EO$14,((MONTH($A37)-1)*12)+VLOOKUP(AT$4,$DE$6:$DF$17,2)+1))*$C37</f>
        <v>-548.19828710906177</v>
      </c>
      <c r="AU37" s="1021">
        <f>(VLOOKUP(YEAR($A37),'NY East Load Projections'!$A$4:$EO$14,((MONTH($A37)-1)*12)+VLOOKUP(AU$4,$DE$6:$DF$17,2)+1))*$C37</f>
        <v>-548.19828710906177</v>
      </c>
      <c r="AV37" s="1021">
        <f>(VLOOKUP(YEAR($A37),'NY East Load Projections'!$A$4:$EO$14,((MONTH($A37)-1)*12)+VLOOKUP(AV$4,$DE$6:$DF$17,2)+1))*$C37</f>
        <v>-548.19828710906177</v>
      </c>
      <c r="AW37" s="1021">
        <f>(VLOOKUP(YEAR($A37),'NY East Load Projections'!$A$4:$EO$14,((MONTH($A37)-1)*12)+VLOOKUP(AW$4,$DE$6:$DF$17,2)+1))*$C37</f>
        <v>-521.21193668060482</v>
      </c>
      <c r="AX37" s="1021">
        <f>(VLOOKUP(YEAR($A37),'NY East Load Projections'!$A$4:$EO$14,((MONTH($A37)-1)*12)+VLOOKUP(AX$4,$DE$6:$DF$17,2)+1))*$C37</f>
        <v>-521.21193668060482</v>
      </c>
      <c r="AY37" s="1021">
        <f>(VLOOKUP(YEAR($A37),'NY East Load Projections'!$A$4:$EO$14,((MONTH($A37)-1)*12)+VLOOKUP(AY$4,$DE$6:$DF$17,2)+1))*$C37</f>
        <v>-521.21193668060482</v>
      </c>
      <c r="AZ37" s="1021">
        <f>(VLOOKUP(YEAR($A37),'NY East Load Projections'!$A$4:$EO$14,((MONTH($A37)-1)*12)+VLOOKUP(AZ$4,$DE$6:$DF$17,2)+1))*$C37</f>
        <v>-521.21193668060482</v>
      </c>
      <c r="BA37" s="1021">
        <f>(VLOOKUP(YEAR($A37),'NY East Load Projections'!$A$4:$EO$14,((MONTH($A37)-1)*12)+VLOOKUP(BA$4,$DE$6:$DF$17,2)+1))*$C37</f>
        <v>-500.01820134802324</v>
      </c>
      <c r="BB37" s="1021">
        <f>(VLOOKUP(YEAR($A37),'NY East Load Projections'!$A$4:$EO$14,((MONTH($A37)-1)*12)+VLOOKUP(BB$4,$DE$6:$DF$17,2)+1))*$C37</f>
        <v>-500.01820134802324</v>
      </c>
      <c r="BC37" s="1021">
        <f>(VLOOKUP(YEAR($A37),'NY East Load Projections'!$A$4:$EO$14,((MONTH($A37)-1)*12)+VLOOKUP(BC$4,$DE$6:$DF$17,2)+1))*$C37</f>
        <v>-500.01820134802324</v>
      </c>
      <c r="BD37" s="1021">
        <f>(VLOOKUP(YEAR($A37),'NY East Load Projections'!$A$4:$EO$14,((MONTH($A37)-1)*12)+VLOOKUP(BD$4,$DE$6:$DF$17,2)+1))*$C37</f>
        <v>-500.01820134802324</v>
      </c>
      <c r="BE37" s="1021"/>
      <c r="BF37" s="1021">
        <f>(VLOOKUP(YEAR($A37),'NY East Load Projections'!$A$4:$EO$14,((MONTH($A37)-1)*12)+VLOOKUP(BF$4,$DE$6:$DF$17,2)+1))*$D37</f>
        <v>-480.08539874130815</v>
      </c>
      <c r="BG37" s="1021">
        <f>(VLOOKUP(YEAR($A37),'NY East Load Projections'!$A$4:$EO$14,((MONTH($A37)-1)*12)+VLOOKUP(BG$4,$DE$6:$DF$17,2)+1))*$D37</f>
        <v>-480.08539874130815</v>
      </c>
      <c r="BH37" s="1021">
        <f>(VLOOKUP(YEAR($A37),'NY East Load Projections'!$A$4:$EO$14,((MONTH($A37)-1)*12)+VLOOKUP(BH$4,$DE$6:$DF$17,2)+1))*$D37</f>
        <v>-480.08539874130815</v>
      </c>
      <c r="BI37" s="1021">
        <f>(VLOOKUP(YEAR($A37),'NY East Load Projections'!$A$4:$EO$14,((MONTH($A37)-1)*12)+VLOOKUP(BI$4,$DE$6:$DF$17,2)+1))*$D37</f>
        <v>-480.08539874130815</v>
      </c>
      <c r="BJ37" s="1021">
        <f>(VLOOKUP(YEAR($A37),'NY East Load Projections'!$A$4:$EO$14,((MONTH($A37)-1)*12)+VLOOKUP(BJ$4,$DE$6:$DF$17,2)+1))*$D37</f>
        <v>-488.3078391832529</v>
      </c>
      <c r="BK37" s="1021">
        <f>(VLOOKUP(YEAR($A37),'NY East Load Projections'!$A$4:$EO$14,((MONTH($A37)-1)*12)+VLOOKUP(BK$4,$DE$6:$DF$17,2)+1))*$D37</f>
        <v>-488.3078391832529</v>
      </c>
      <c r="BL37" s="1021">
        <f>(VLOOKUP(YEAR($A37),'NY East Load Projections'!$A$4:$EO$14,((MONTH($A37)-1)*12)+VLOOKUP(BL$4,$DE$6:$DF$17,2)+1))*$D37</f>
        <v>-488.3078391832529</v>
      </c>
      <c r="BM37" s="1021">
        <f>(VLOOKUP(YEAR($A37),'NY East Load Projections'!$A$4:$EO$14,((MONTH($A37)-1)*12)+VLOOKUP(BM$4,$DE$6:$DF$17,2)+1))*$D37</f>
        <v>-488.3078391832529</v>
      </c>
      <c r="BN37" s="1021">
        <f>(VLOOKUP(YEAR($A37),'NY East Load Projections'!$A$4:$EO$14,((MONTH($A37)-1)*12)+VLOOKUP(BN$4,$DE$6:$DF$17,2)+1))*$D37</f>
        <v>-537.87893047352202</v>
      </c>
      <c r="BO37" s="1021">
        <f>(VLOOKUP(YEAR($A37),'NY East Load Projections'!$A$4:$EO$14,((MONTH($A37)-1)*12)+VLOOKUP(BO$4,$DE$6:$DF$17,2)+1))*$D37</f>
        <v>-537.87893047352202</v>
      </c>
      <c r="BP37" s="1021">
        <f>(VLOOKUP(YEAR($A37),'NY East Load Projections'!$A$4:$EO$14,((MONTH($A37)-1)*12)+VLOOKUP(BP$4,$DE$6:$DF$17,2)+1))*$D37</f>
        <v>-537.87893047352202</v>
      </c>
      <c r="BQ37" s="1021">
        <f>(VLOOKUP(YEAR($A37),'NY East Load Projections'!$A$4:$EO$14,((MONTH($A37)-1)*12)+VLOOKUP(BQ$4,$DE$6:$DF$17,2)+1))*$D37</f>
        <v>-537.87893047352202</v>
      </c>
      <c r="BR37" s="1021">
        <f>(VLOOKUP(YEAR($A37),'NY East Load Projections'!$A$4:$EO$14,((MONTH($A37)-1)*12)+VLOOKUP(BR$4,$DE$6:$DF$17,2)+1))*$D37</f>
        <v>-548.19828710906177</v>
      </c>
      <c r="BS37" s="1021">
        <f>(VLOOKUP(YEAR($A37),'NY East Load Projections'!$A$4:$EO$14,((MONTH($A37)-1)*12)+VLOOKUP(BS$4,$DE$6:$DF$17,2)+1))*$D37</f>
        <v>-548.19828710906177</v>
      </c>
      <c r="BT37" s="1021">
        <f>(VLOOKUP(YEAR($A37),'NY East Load Projections'!$A$4:$EO$14,((MONTH($A37)-1)*12)+VLOOKUP(BT$4,$DE$6:$DF$17,2)+1))*$D37</f>
        <v>-548.19828710906177</v>
      </c>
      <c r="BU37" s="1021">
        <f>(VLOOKUP(YEAR($A37),'NY East Load Projections'!$A$4:$EO$14,((MONTH($A37)-1)*12)+VLOOKUP(BU$4,$DE$6:$DF$17,2)+1))*$D37</f>
        <v>-548.19828710906177</v>
      </c>
      <c r="BV37" s="1021">
        <f>(VLOOKUP(YEAR($A37),'NY East Load Projections'!$A$4:$EO$14,((MONTH($A37)-1)*12)+VLOOKUP(BV$4,$DE$6:$DF$17,2)+1))*$D37</f>
        <v>-521.21193668060482</v>
      </c>
      <c r="BW37" s="1021">
        <f>(VLOOKUP(YEAR($A37),'NY East Load Projections'!$A$4:$EO$14,((MONTH($A37)-1)*12)+VLOOKUP(BW$4,$DE$6:$DF$17,2)+1))*$D37</f>
        <v>-521.21193668060482</v>
      </c>
      <c r="BX37" s="1021">
        <f>(VLOOKUP(YEAR($A37),'NY East Load Projections'!$A$4:$EO$14,((MONTH($A37)-1)*12)+VLOOKUP(BX$4,$DE$6:$DF$17,2)+1))*$D37</f>
        <v>-521.21193668060482</v>
      </c>
      <c r="BY37" s="1021">
        <f>(VLOOKUP(YEAR($A37),'NY East Load Projections'!$A$4:$EO$14,((MONTH($A37)-1)*12)+VLOOKUP(BY$4,$DE$6:$DF$17,2)+1))*$D37</f>
        <v>-521.21193668060482</v>
      </c>
      <c r="BZ37" s="1021">
        <f>(VLOOKUP(YEAR($A37),'NY East Load Projections'!$A$4:$EO$14,((MONTH($A37)-1)*12)+VLOOKUP(BZ$4,$DE$6:$DF$17,2)+1))*$D37</f>
        <v>-500.01820134802324</v>
      </c>
      <c r="CA37" s="1021">
        <f>(VLOOKUP(YEAR($A37),'NY East Load Projections'!$A$4:$EO$14,((MONTH($A37)-1)*12)+VLOOKUP(CA$4,$DE$6:$DF$17,2)+1))*$D37</f>
        <v>-500.01820134802324</v>
      </c>
      <c r="CB37" s="1021">
        <f>(VLOOKUP(YEAR($A37),'NY East Load Projections'!$A$4:$EO$14,((MONTH($A37)-1)*12)+VLOOKUP(CB$4,$DE$6:$DF$17,2)+1))*$D37</f>
        <v>-500.01820134802324</v>
      </c>
      <c r="CC37" s="1021">
        <f>(VLOOKUP(YEAR($A37),'NY East Load Projections'!$A$4:$EO$14,((MONTH($A37)-1)*12)+VLOOKUP(CC$4,$DE$6:$DF$17,2)+1))*$D37</f>
        <v>-500.01820134802324</v>
      </c>
      <c r="CE37" s="1021">
        <f>(VLOOKUP(YEAR($A37),'NY East Load Projections'!$A$4:$EO$14,((MONTH($A37)-1)*12)+VLOOKUP(CE$4,$DE$6:$DF$17,2)+1))*$E37</f>
        <v>0</v>
      </c>
      <c r="CF37" s="1021">
        <f>(VLOOKUP(YEAR($A37),'NY East Load Projections'!$A$4:$EO$14,((MONTH($A37)-1)*12)+VLOOKUP(CF$4,$DE$6:$DF$17,2)+1))*$E37</f>
        <v>0</v>
      </c>
      <c r="CG37" s="1021">
        <f>(VLOOKUP(YEAR($A37),'NY East Load Projections'!$A$4:$EO$14,((MONTH($A37)-1)*12)+VLOOKUP(CG$4,$DE$6:$DF$17,2)+1))*$E37</f>
        <v>0</v>
      </c>
      <c r="CH37" s="1021">
        <f>(VLOOKUP(YEAR($A37),'NY East Load Projections'!$A$4:$EO$14,((MONTH($A37)-1)*12)+VLOOKUP(CH$4,$DE$6:$DF$17,2)+1))*$E37</f>
        <v>0</v>
      </c>
      <c r="CI37" s="1021">
        <f>(VLOOKUP(YEAR($A37),'NY East Load Projections'!$A$4:$EO$14,((MONTH($A37)-1)*12)+VLOOKUP(CI$4,$DE$6:$DF$17,2)+1))*$E37</f>
        <v>0</v>
      </c>
      <c r="CJ37" s="1021">
        <f>(VLOOKUP(YEAR($A37),'NY East Load Projections'!$A$4:$EO$14,((MONTH($A37)-1)*12)+VLOOKUP(CJ$4,$DE$6:$DF$17,2)+1))*$E37</f>
        <v>0</v>
      </c>
      <c r="CK37" s="1021">
        <f>(VLOOKUP(YEAR($A37),'NY East Load Projections'!$A$4:$EO$14,((MONTH($A37)-1)*12)+VLOOKUP(CK$4,$DE$6:$DF$17,2)+1))*$E37</f>
        <v>0</v>
      </c>
      <c r="CL37" s="1021">
        <f>(VLOOKUP(YEAR($A37),'NY East Load Projections'!$A$4:$EO$14,((MONTH($A37)-1)*12)+VLOOKUP(CL$4,$DE$6:$DF$17,2)+1))*$E37</f>
        <v>0</v>
      </c>
      <c r="CM37" s="1021">
        <f>(VLOOKUP(YEAR($A37),'NY East Load Projections'!$A$4:$EO$14,((MONTH($A37)-1)*12)+VLOOKUP(CM$4,$DE$6:$DF$17,2)+1))*$E37</f>
        <v>0</v>
      </c>
      <c r="CN37" s="1021">
        <f>(VLOOKUP(YEAR($A37),'NY East Load Projections'!$A$4:$EO$14,((MONTH($A37)-1)*12)+VLOOKUP(CN$4,$DE$6:$DF$17,2)+1))*$E37</f>
        <v>0</v>
      </c>
      <c r="CO37" s="1021">
        <f>(VLOOKUP(YEAR($A37),'NY East Load Projections'!$A$4:$EO$14,((MONTH($A37)-1)*12)+VLOOKUP(CO$4,$DE$6:$DF$17,2)+1))*$E37</f>
        <v>0</v>
      </c>
      <c r="CP37" s="1021">
        <f>(VLOOKUP(YEAR($A37),'NY East Load Projections'!$A$4:$EO$14,((MONTH($A37)-1)*12)+VLOOKUP(CP$4,$DE$6:$DF$17,2)+1))*$E37</f>
        <v>0</v>
      </c>
      <c r="CQ37" s="1021">
        <f>(VLOOKUP(YEAR($A37),'NY East Load Projections'!$A$4:$EO$14,((MONTH($A37)-1)*12)+VLOOKUP(CQ$4,$DE$6:$DF$17,2)+1))*$E37</f>
        <v>0</v>
      </c>
      <c r="CR37" s="1021">
        <f>(VLOOKUP(YEAR($A37),'NY East Load Projections'!$A$4:$EO$14,((MONTH($A37)-1)*12)+VLOOKUP(CR$4,$DE$6:$DF$17,2)+1))*$E37</f>
        <v>0</v>
      </c>
      <c r="CS37" s="1021">
        <f>(VLOOKUP(YEAR($A37),'NY East Load Projections'!$A$4:$EO$14,((MONTH($A37)-1)*12)+VLOOKUP(CS$4,$DE$6:$DF$17,2)+1))*$E37</f>
        <v>0</v>
      </c>
      <c r="CT37" s="1021">
        <f>(VLOOKUP(YEAR($A37),'NY East Load Projections'!$A$4:$EO$14,((MONTH($A37)-1)*12)+VLOOKUP(CT$4,$DE$6:$DF$17,2)+1))*$E37</f>
        <v>0</v>
      </c>
      <c r="CU37" s="1021">
        <f>(VLOOKUP(YEAR($A37),'NY East Load Projections'!$A$4:$EO$14,((MONTH($A37)-1)*12)+VLOOKUP(CU$4,$DE$6:$DF$17,2)+1))*$E37</f>
        <v>0</v>
      </c>
      <c r="CV37" s="1021">
        <f>(VLOOKUP(YEAR($A37),'NY East Load Projections'!$A$4:$EO$14,((MONTH($A37)-1)*12)+VLOOKUP(CV$4,$DE$6:$DF$17,2)+1))*$E37</f>
        <v>0</v>
      </c>
      <c r="CW37" s="1021">
        <f>(VLOOKUP(YEAR($A37),'NY East Load Projections'!$A$4:$EO$14,((MONTH($A37)-1)*12)+VLOOKUP(CW$4,$DE$6:$DF$17,2)+1))*$E37</f>
        <v>0</v>
      </c>
      <c r="CX37" s="1021">
        <f>(VLOOKUP(YEAR($A37),'NY East Load Projections'!$A$4:$EO$14,((MONTH($A37)-1)*12)+VLOOKUP(CX$4,$DE$6:$DF$17,2)+1))*$E37</f>
        <v>0</v>
      </c>
      <c r="CY37" s="1021">
        <f>(VLOOKUP(YEAR($A37),'NY East Load Projections'!$A$4:$EO$14,((MONTH($A37)-1)*12)+VLOOKUP(CY$4,$DE$6:$DF$17,2)+1))*$E37</f>
        <v>0</v>
      </c>
      <c r="CZ37" s="1021">
        <f>(VLOOKUP(YEAR($A37),'NY East Load Projections'!$A$4:$EO$14,((MONTH($A37)-1)*12)+VLOOKUP(CZ$4,$DE$6:$DF$17,2)+1))*$E37</f>
        <v>0</v>
      </c>
      <c r="DA37" s="1021">
        <f>(VLOOKUP(YEAR($A37),'NY East Load Projections'!$A$4:$EO$14,((MONTH($A37)-1)*12)+VLOOKUP(DA$4,$DE$6:$DF$17,2)+1))*$E37</f>
        <v>0</v>
      </c>
      <c r="DB37" s="1021">
        <f>(VLOOKUP(YEAR($A37),'NY East Load Projections'!$A$4:$EO$14,((MONTH($A37)-1)*12)+VLOOKUP(DB$4,$DE$6:$DF$17,2)+1))*$E37</f>
        <v>0</v>
      </c>
      <c r="DH37" s="1009">
        <f t="shared" si="0"/>
        <v>-80482.633588061915</v>
      </c>
      <c r="DI37">
        <f ca="1">CALC!J57</f>
        <v>0.77711898090809006</v>
      </c>
      <c r="DJ37" s="1032">
        <f t="shared" ca="1" si="1"/>
        <v>-62544.582194753893</v>
      </c>
    </row>
    <row r="38" spans="1:114" x14ac:dyDescent="0.25">
      <c r="A38" s="244">
        <v>37865</v>
      </c>
      <c r="B38" s="13">
        <v>21</v>
      </c>
      <c r="C38" s="210">
        <v>4</v>
      </c>
      <c r="D38" s="210">
        <v>4</v>
      </c>
      <c r="E38" s="210">
        <v>1</v>
      </c>
      <c r="F38" s="13">
        <v>30</v>
      </c>
      <c r="H38" s="1021">
        <f>(VLOOKUP(YEAR($A38),'NY East Load Projections'!$A$4:$EO$14,((MONTH($A38)-1)*12)+VLOOKUP(H$4,$DE$6:$DF$17,2)+1))*$B38</f>
        <v>-2076.8262952165187</v>
      </c>
      <c r="I38" s="1021">
        <f>(VLOOKUP(YEAR($A38),'NY East Load Projections'!$A$4:$EO$14,((MONTH($A38)-1)*12)+VLOOKUP(I$4,$DE$6:$DF$17,2)+1))*$B38</f>
        <v>-2076.8262952165187</v>
      </c>
      <c r="J38" s="1021">
        <f>(VLOOKUP(YEAR($A38),'NY East Load Projections'!$A$4:$EO$14,((MONTH($A38)-1)*12)+VLOOKUP(J$4,$DE$6:$DF$17,2)+1))*$B38</f>
        <v>-2076.8262952165187</v>
      </c>
      <c r="K38" s="1021">
        <f>(VLOOKUP(YEAR($A38),'NY East Load Projections'!$A$4:$EO$14,((MONTH($A38)-1)*12)+VLOOKUP(K$4,$DE$6:$DF$17,2)+1))*$B38</f>
        <v>-2076.8262952165187</v>
      </c>
      <c r="L38" s="1021">
        <f>(VLOOKUP(YEAR($A38),'NY East Load Projections'!$A$4:$EO$14,((MONTH($A38)-1)*12)+VLOOKUP(L$4,$DE$6:$DF$17,2)+1))*$B38</f>
        <v>-2273.9527784021861</v>
      </c>
      <c r="M38" s="1021">
        <f>(VLOOKUP(YEAR($A38),'NY East Load Projections'!$A$4:$EO$14,((MONTH($A38)-1)*12)+VLOOKUP(M$4,$DE$6:$DF$17,2)+1))*$B38</f>
        <v>-2273.9527784021861</v>
      </c>
      <c r="N38" s="1021">
        <f>(VLOOKUP(YEAR($A38),'NY East Load Projections'!$A$4:$EO$14,((MONTH($A38)-1)*12)+VLOOKUP(N$4,$DE$6:$DF$17,2)+1))*$B38</f>
        <v>-2273.9527784021861</v>
      </c>
      <c r="O38" s="1021">
        <f>(VLOOKUP(YEAR($A38),'NY East Load Projections'!$A$4:$EO$14,((MONTH($A38)-1)*12)+VLOOKUP(O$4,$DE$6:$DF$17,2)+1))*$B38</f>
        <v>-2273.9527784021861</v>
      </c>
      <c r="P38" s="1021">
        <f>(VLOOKUP(YEAR($A38),'NY East Load Projections'!$A$4:$EO$14,((MONTH($A38)-1)*12)+VLOOKUP(P$4,$DE$6:$DF$17,2)+1))*$B38</f>
        <v>-2537.2614859000983</v>
      </c>
      <c r="Q38" s="1021">
        <f>(VLOOKUP(YEAR($A38),'NY East Load Projections'!$A$4:$EO$14,((MONTH($A38)-1)*12)+VLOOKUP(Q$4,$DE$6:$DF$17,2)+1))*$B38</f>
        <v>-2537.2614859000983</v>
      </c>
      <c r="R38" s="1021">
        <f>(VLOOKUP(YEAR($A38),'NY East Load Projections'!$A$4:$EO$14,((MONTH($A38)-1)*12)+VLOOKUP(R$4,$DE$6:$DF$17,2)+1))*$B38</f>
        <v>-2537.2614859000983</v>
      </c>
      <c r="S38" s="1021">
        <f>(VLOOKUP(YEAR($A38),'NY East Load Projections'!$A$4:$EO$14,((MONTH($A38)-1)*12)+VLOOKUP(S$4,$DE$6:$DF$17,2)+1))*$B38</f>
        <v>-2537.2614859000983</v>
      </c>
      <c r="T38" s="1021">
        <f>(VLOOKUP(YEAR($A38),'NY East Load Projections'!$A$4:$EO$14,((MONTH($A38)-1)*12)+VLOOKUP(T$4,$DE$6:$DF$17,2)+1))*$B38</f>
        <v>-2580.8175978503864</v>
      </c>
      <c r="U38" s="1021">
        <f>(VLOOKUP(YEAR($A38),'NY East Load Projections'!$A$4:$EO$14,((MONTH($A38)-1)*12)+VLOOKUP(U$4,$DE$6:$DF$17,2)+1))*$B38</f>
        <v>-2580.8175978503864</v>
      </c>
      <c r="V38" s="1021">
        <f>(VLOOKUP(YEAR($A38),'NY East Load Projections'!$A$4:$EO$14,((MONTH($A38)-1)*12)+VLOOKUP(V$4,$DE$6:$DF$17,2)+1))*$B38</f>
        <v>-2580.8175978503864</v>
      </c>
      <c r="W38" s="1021">
        <f>(VLOOKUP(YEAR($A38),'NY East Load Projections'!$A$4:$EO$14,((MONTH($A38)-1)*12)+VLOOKUP(W$4,$DE$6:$DF$17,2)+1))*$B38</f>
        <v>-2580.8175978503864</v>
      </c>
      <c r="X38" s="1021">
        <f>(VLOOKUP(YEAR($A38),'NY East Load Projections'!$A$4:$EO$14,((MONTH($A38)-1)*12)+VLOOKUP(X$4,$DE$6:$DF$17,2)+1))*$B38</f>
        <v>-2421.6090936424025</v>
      </c>
      <c r="Y38" s="1021">
        <f>(VLOOKUP(YEAR($A38),'NY East Load Projections'!$A$4:$EO$14,((MONTH($A38)-1)*12)+VLOOKUP(Y$4,$DE$6:$DF$17,2)+1))*$B38</f>
        <v>-2421.6090936424025</v>
      </c>
      <c r="Z38" s="1021">
        <f>(VLOOKUP(YEAR($A38),'NY East Load Projections'!$A$4:$EO$14,((MONTH($A38)-1)*12)+VLOOKUP(Z$4,$DE$6:$DF$17,2)+1))*$B38</f>
        <v>-2421.6090936424025</v>
      </c>
      <c r="AA38" s="1021">
        <f>(VLOOKUP(YEAR($A38),'NY East Load Projections'!$A$4:$EO$14,((MONTH($A38)-1)*12)+VLOOKUP(AA$4,$DE$6:$DF$17,2)+1))*$B38</f>
        <v>-2421.6090936424025</v>
      </c>
      <c r="AB38" s="1021">
        <f>(VLOOKUP(YEAR($A38),'NY East Load Projections'!$A$4:$EO$14,((MONTH($A38)-1)*12)+VLOOKUP(AB$4,$DE$6:$DF$17,2)+1))*$B38</f>
        <v>-2150.1268083640043</v>
      </c>
      <c r="AC38" s="1021">
        <f>(VLOOKUP(YEAR($A38),'NY East Load Projections'!$A$4:$EO$14,((MONTH($A38)-1)*12)+VLOOKUP(AC$4,$DE$6:$DF$17,2)+1))*$B38</f>
        <v>-2150.1268083640043</v>
      </c>
      <c r="AD38" s="1021">
        <f>(VLOOKUP(YEAR($A38),'NY East Load Projections'!$A$4:$EO$14,((MONTH($A38)-1)*12)+VLOOKUP(AD$4,$DE$6:$DF$17,2)+1))*$B38</f>
        <v>-2150.1268083640043</v>
      </c>
      <c r="AE38" s="1021">
        <f>(VLOOKUP(YEAR($A38),'NY East Load Projections'!$A$4:$EO$14,((MONTH($A38)-1)*12)+VLOOKUP(AE$4,$DE$6:$DF$17,2)+1))*$B38</f>
        <v>-2150.1268083640043</v>
      </c>
      <c r="AF38" s="1021"/>
      <c r="AG38" s="1021">
        <f>(VLOOKUP(YEAR($A38),'NY East Load Projections'!$A$4:$EO$14,((MONTH($A38)-1)*12)+VLOOKUP(AG$4,$DE$6:$DF$17,2)+1))*$C38</f>
        <v>-416.09129720058769</v>
      </c>
      <c r="AH38" s="1021">
        <f>(VLOOKUP(YEAR($A38),'NY East Load Projections'!$A$4:$EO$14,((MONTH($A38)-1)*12)+VLOOKUP(AH$4,$DE$6:$DF$17,2)+1))*$C38</f>
        <v>-416.09129720058769</v>
      </c>
      <c r="AI38" s="1021">
        <f>(VLOOKUP(YEAR($A38),'NY East Load Projections'!$A$4:$EO$14,((MONTH($A38)-1)*12)+VLOOKUP(AI$4,$DE$6:$DF$17,2)+1))*$C38</f>
        <v>-416.09129720058769</v>
      </c>
      <c r="AJ38" s="1021">
        <f>(VLOOKUP(YEAR($A38),'NY East Load Projections'!$A$4:$EO$14,((MONTH($A38)-1)*12)+VLOOKUP(AJ$4,$DE$6:$DF$17,2)+1))*$C38</f>
        <v>-416.09129720058769</v>
      </c>
      <c r="AK38" s="1021">
        <f>(VLOOKUP(YEAR($A38),'NY East Load Projections'!$A$4:$EO$14,((MONTH($A38)-1)*12)+VLOOKUP(AK$4,$DE$6:$DF$17,2)+1))*$C38</f>
        <v>-419.63482421209619</v>
      </c>
      <c r="AL38" s="1021">
        <f>(VLOOKUP(YEAR($A38),'NY East Load Projections'!$A$4:$EO$14,((MONTH($A38)-1)*12)+VLOOKUP(AL$4,$DE$6:$DF$17,2)+1))*$C38</f>
        <v>-419.63482421209619</v>
      </c>
      <c r="AM38" s="1021">
        <f>(VLOOKUP(YEAR($A38),'NY East Load Projections'!$A$4:$EO$14,((MONTH($A38)-1)*12)+VLOOKUP(AM$4,$DE$6:$DF$17,2)+1))*$C38</f>
        <v>-419.63482421209619</v>
      </c>
      <c r="AN38" s="1021">
        <f>(VLOOKUP(YEAR($A38),'NY East Load Projections'!$A$4:$EO$14,((MONTH($A38)-1)*12)+VLOOKUP(AN$4,$DE$6:$DF$17,2)+1))*$C38</f>
        <v>-419.63482421209619</v>
      </c>
      <c r="AO38" s="1021">
        <f>(VLOOKUP(YEAR($A38),'NY East Load Projections'!$A$4:$EO$14,((MONTH($A38)-1)*12)+VLOOKUP(AO$4,$DE$6:$DF$17,2)+1))*$C38</f>
        <v>-474.27115343734124</v>
      </c>
      <c r="AP38" s="1021">
        <f>(VLOOKUP(YEAR($A38),'NY East Load Projections'!$A$4:$EO$14,((MONTH($A38)-1)*12)+VLOOKUP(AP$4,$DE$6:$DF$17,2)+1))*$C38</f>
        <v>-474.27115343734124</v>
      </c>
      <c r="AQ38" s="1021">
        <f>(VLOOKUP(YEAR($A38),'NY East Load Projections'!$A$4:$EO$14,((MONTH($A38)-1)*12)+VLOOKUP(AQ$4,$DE$6:$DF$17,2)+1))*$C38</f>
        <v>-474.27115343734124</v>
      </c>
      <c r="AR38" s="1021">
        <f>(VLOOKUP(YEAR($A38),'NY East Load Projections'!$A$4:$EO$14,((MONTH($A38)-1)*12)+VLOOKUP(AR$4,$DE$6:$DF$17,2)+1))*$C38</f>
        <v>-474.27115343734124</v>
      </c>
      <c r="AS38" s="1021">
        <f>(VLOOKUP(YEAR($A38),'NY East Load Projections'!$A$4:$EO$14,((MONTH($A38)-1)*12)+VLOOKUP(AS$4,$DE$6:$DF$17,2)+1))*$C38</f>
        <v>-476.35249519177381</v>
      </c>
      <c r="AT38" s="1021">
        <f>(VLOOKUP(YEAR($A38),'NY East Load Projections'!$A$4:$EO$14,((MONTH($A38)-1)*12)+VLOOKUP(AT$4,$DE$6:$DF$17,2)+1))*$C38</f>
        <v>-476.35249519177381</v>
      </c>
      <c r="AU38" s="1021">
        <f>(VLOOKUP(YEAR($A38),'NY East Load Projections'!$A$4:$EO$14,((MONTH($A38)-1)*12)+VLOOKUP(AU$4,$DE$6:$DF$17,2)+1))*$C38</f>
        <v>-476.35249519177381</v>
      </c>
      <c r="AV38" s="1021">
        <f>(VLOOKUP(YEAR($A38),'NY East Load Projections'!$A$4:$EO$14,((MONTH($A38)-1)*12)+VLOOKUP(AV$4,$DE$6:$DF$17,2)+1))*$C38</f>
        <v>-476.35249519177381</v>
      </c>
      <c r="AW38" s="1021">
        <f>(VLOOKUP(YEAR($A38),'NY East Load Projections'!$A$4:$EO$14,((MONTH($A38)-1)*12)+VLOOKUP(AW$4,$DE$6:$DF$17,2)+1))*$C38</f>
        <v>-443.56703294993565</v>
      </c>
      <c r="AX38" s="1021">
        <f>(VLOOKUP(YEAR($A38),'NY East Load Projections'!$A$4:$EO$14,((MONTH($A38)-1)*12)+VLOOKUP(AX$4,$DE$6:$DF$17,2)+1))*$C38</f>
        <v>-443.56703294993565</v>
      </c>
      <c r="AY38" s="1021">
        <f>(VLOOKUP(YEAR($A38),'NY East Load Projections'!$A$4:$EO$14,((MONTH($A38)-1)*12)+VLOOKUP(AY$4,$DE$6:$DF$17,2)+1))*$C38</f>
        <v>-443.56703294993565</v>
      </c>
      <c r="AZ38" s="1021">
        <f>(VLOOKUP(YEAR($A38),'NY East Load Projections'!$A$4:$EO$14,((MONTH($A38)-1)*12)+VLOOKUP(AZ$4,$DE$6:$DF$17,2)+1))*$C38</f>
        <v>-443.56703294993565</v>
      </c>
      <c r="BA38" s="1021">
        <f>(VLOOKUP(YEAR($A38),'NY East Load Projections'!$A$4:$EO$14,((MONTH($A38)-1)*12)+VLOOKUP(BA$4,$DE$6:$DF$17,2)+1))*$C38</f>
        <v>-432.08928818368133</v>
      </c>
      <c r="BB38" s="1021">
        <f>(VLOOKUP(YEAR($A38),'NY East Load Projections'!$A$4:$EO$14,((MONTH($A38)-1)*12)+VLOOKUP(BB$4,$DE$6:$DF$17,2)+1))*$C38</f>
        <v>-432.08928818368133</v>
      </c>
      <c r="BC38" s="1021">
        <f>(VLOOKUP(YEAR($A38),'NY East Load Projections'!$A$4:$EO$14,((MONTH($A38)-1)*12)+VLOOKUP(BC$4,$DE$6:$DF$17,2)+1))*$C38</f>
        <v>-432.08928818368133</v>
      </c>
      <c r="BD38" s="1021">
        <f>(VLOOKUP(YEAR($A38),'NY East Load Projections'!$A$4:$EO$14,((MONTH($A38)-1)*12)+VLOOKUP(BD$4,$DE$6:$DF$17,2)+1))*$C38</f>
        <v>-432.08928818368133</v>
      </c>
      <c r="BE38" s="1021"/>
      <c r="BF38" s="1021">
        <f>(VLOOKUP(YEAR($A38),'NY East Load Projections'!$A$4:$EO$14,((MONTH($A38)-1)*12)+VLOOKUP(BF$4,$DE$6:$DF$17,2)+1))*$D38</f>
        <v>-416.09129720058769</v>
      </c>
      <c r="BG38" s="1021">
        <f>(VLOOKUP(YEAR($A38),'NY East Load Projections'!$A$4:$EO$14,((MONTH($A38)-1)*12)+VLOOKUP(BG$4,$DE$6:$DF$17,2)+1))*$D38</f>
        <v>-416.09129720058769</v>
      </c>
      <c r="BH38" s="1021">
        <f>(VLOOKUP(YEAR($A38),'NY East Load Projections'!$A$4:$EO$14,((MONTH($A38)-1)*12)+VLOOKUP(BH$4,$DE$6:$DF$17,2)+1))*$D38</f>
        <v>-416.09129720058769</v>
      </c>
      <c r="BI38" s="1021">
        <f>(VLOOKUP(YEAR($A38),'NY East Load Projections'!$A$4:$EO$14,((MONTH($A38)-1)*12)+VLOOKUP(BI$4,$DE$6:$DF$17,2)+1))*$D38</f>
        <v>-416.09129720058769</v>
      </c>
      <c r="BJ38" s="1021">
        <f>(VLOOKUP(YEAR($A38),'NY East Load Projections'!$A$4:$EO$14,((MONTH($A38)-1)*12)+VLOOKUP(BJ$4,$DE$6:$DF$17,2)+1))*$D38</f>
        <v>-419.63482421209619</v>
      </c>
      <c r="BK38" s="1021">
        <f>(VLOOKUP(YEAR($A38),'NY East Load Projections'!$A$4:$EO$14,((MONTH($A38)-1)*12)+VLOOKUP(BK$4,$DE$6:$DF$17,2)+1))*$D38</f>
        <v>-419.63482421209619</v>
      </c>
      <c r="BL38" s="1021">
        <f>(VLOOKUP(YEAR($A38),'NY East Load Projections'!$A$4:$EO$14,((MONTH($A38)-1)*12)+VLOOKUP(BL$4,$DE$6:$DF$17,2)+1))*$D38</f>
        <v>-419.63482421209619</v>
      </c>
      <c r="BM38" s="1021">
        <f>(VLOOKUP(YEAR($A38),'NY East Load Projections'!$A$4:$EO$14,((MONTH($A38)-1)*12)+VLOOKUP(BM$4,$DE$6:$DF$17,2)+1))*$D38</f>
        <v>-419.63482421209619</v>
      </c>
      <c r="BN38" s="1021">
        <f>(VLOOKUP(YEAR($A38),'NY East Load Projections'!$A$4:$EO$14,((MONTH($A38)-1)*12)+VLOOKUP(BN$4,$DE$6:$DF$17,2)+1))*$D38</f>
        <v>-474.27115343734124</v>
      </c>
      <c r="BO38" s="1021">
        <f>(VLOOKUP(YEAR($A38),'NY East Load Projections'!$A$4:$EO$14,((MONTH($A38)-1)*12)+VLOOKUP(BO$4,$DE$6:$DF$17,2)+1))*$D38</f>
        <v>-474.27115343734124</v>
      </c>
      <c r="BP38" s="1021">
        <f>(VLOOKUP(YEAR($A38),'NY East Load Projections'!$A$4:$EO$14,((MONTH($A38)-1)*12)+VLOOKUP(BP$4,$DE$6:$DF$17,2)+1))*$D38</f>
        <v>-474.27115343734124</v>
      </c>
      <c r="BQ38" s="1021">
        <f>(VLOOKUP(YEAR($A38),'NY East Load Projections'!$A$4:$EO$14,((MONTH($A38)-1)*12)+VLOOKUP(BQ$4,$DE$6:$DF$17,2)+1))*$D38</f>
        <v>-474.27115343734124</v>
      </c>
      <c r="BR38" s="1021">
        <f>(VLOOKUP(YEAR($A38),'NY East Load Projections'!$A$4:$EO$14,((MONTH($A38)-1)*12)+VLOOKUP(BR$4,$DE$6:$DF$17,2)+1))*$D38</f>
        <v>-476.35249519177381</v>
      </c>
      <c r="BS38" s="1021">
        <f>(VLOOKUP(YEAR($A38),'NY East Load Projections'!$A$4:$EO$14,((MONTH($A38)-1)*12)+VLOOKUP(BS$4,$DE$6:$DF$17,2)+1))*$D38</f>
        <v>-476.35249519177381</v>
      </c>
      <c r="BT38" s="1021">
        <f>(VLOOKUP(YEAR($A38),'NY East Load Projections'!$A$4:$EO$14,((MONTH($A38)-1)*12)+VLOOKUP(BT$4,$DE$6:$DF$17,2)+1))*$D38</f>
        <v>-476.35249519177381</v>
      </c>
      <c r="BU38" s="1021">
        <f>(VLOOKUP(YEAR($A38),'NY East Load Projections'!$A$4:$EO$14,((MONTH($A38)-1)*12)+VLOOKUP(BU$4,$DE$6:$DF$17,2)+1))*$D38</f>
        <v>-476.35249519177381</v>
      </c>
      <c r="BV38" s="1021">
        <f>(VLOOKUP(YEAR($A38),'NY East Load Projections'!$A$4:$EO$14,((MONTH($A38)-1)*12)+VLOOKUP(BV$4,$DE$6:$DF$17,2)+1))*$D38</f>
        <v>-443.56703294993565</v>
      </c>
      <c r="BW38" s="1021">
        <f>(VLOOKUP(YEAR($A38),'NY East Load Projections'!$A$4:$EO$14,((MONTH($A38)-1)*12)+VLOOKUP(BW$4,$DE$6:$DF$17,2)+1))*$D38</f>
        <v>-443.56703294993565</v>
      </c>
      <c r="BX38" s="1021">
        <f>(VLOOKUP(YEAR($A38),'NY East Load Projections'!$A$4:$EO$14,((MONTH($A38)-1)*12)+VLOOKUP(BX$4,$DE$6:$DF$17,2)+1))*$D38</f>
        <v>-443.56703294993565</v>
      </c>
      <c r="BY38" s="1021">
        <f>(VLOOKUP(YEAR($A38),'NY East Load Projections'!$A$4:$EO$14,((MONTH($A38)-1)*12)+VLOOKUP(BY$4,$DE$6:$DF$17,2)+1))*$D38</f>
        <v>-443.56703294993565</v>
      </c>
      <c r="BZ38" s="1021">
        <f>(VLOOKUP(YEAR($A38),'NY East Load Projections'!$A$4:$EO$14,((MONTH($A38)-1)*12)+VLOOKUP(BZ$4,$DE$6:$DF$17,2)+1))*$D38</f>
        <v>-432.08928818368133</v>
      </c>
      <c r="CA38" s="1021">
        <f>(VLOOKUP(YEAR($A38),'NY East Load Projections'!$A$4:$EO$14,((MONTH($A38)-1)*12)+VLOOKUP(CA$4,$DE$6:$DF$17,2)+1))*$D38</f>
        <v>-432.08928818368133</v>
      </c>
      <c r="CB38" s="1021">
        <f>(VLOOKUP(YEAR($A38),'NY East Load Projections'!$A$4:$EO$14,((MONTH($A38)-1)*12)+VLOOKUP(CB$4,$DE$6:$DF$17,2)+1))*$D38</f>
        <v>-432.08928818368133</v>
      </c>
      <c r="CC38" s="1021">
        <f>(VLOOKUP(YEAR($A38),'NY East Load Projections'!$A$4:$EO$14,((MONTH($A38)-1)*12)+VLOOKUP(CC$4,$DE$6:$DF$17,2)+1))*$D38</f>
        <v>-432.08928818368133</v>
      </c>
      <c r="CE38" s="1021">
        <f>(VLOOKUP(YEAR($A38),'NY East Load Projections'!$A$4:$EO$14,((MONTH($A38)-1)*12)+VLOOKUP(CE$4,$DE$6:$DF$17,2)+1))*$E38</f>
        <v>-104.02282430014692</v>
      </c>
      <c r="CF38" s="1021">
        <f>(VLOOKUP(YEAR($A38),'NY East Load Projections'!$A$4:$EO$14,((MONTH($A38)-1)*12)+VLOOKUP(CF$4,$DE$6:$DF$17,2)+1))*$E38</f>
        <v>-104.02282430014692</v>
      </c>
      <c r="CG38" s="1021">
        <f>(VLOOKUP(YEAR($A38),'NY East Load Projections'!$A$4:$EO$14,((MONTH($A38)-1)*12)+VLOOKUP(CG$4,$DE$6:$DF$17,2)+1))*$E38</f>
        <v>-104.02282430014692</v>
      </c>
      <c r="CH38" s="1021">
        <f>(VLOOKUP(YEAR($A38),'NY East Load Projections'!$A$4:$EO$14,((MONTH($A38)-1)*12)+VLOOKUP(CH$4,$DE$6:$DF$17,2)+1))*$E38</f>
        <v>-104.02282430014692</v>
      </c>
      <c r="CI38" s="1021">
        <f>(VLOOKUP(YEAR($A38),'NY East Load Projections'!$A$4:$EO$14,((MONTH($A38)-1)*12)+VLOOKUP(CI$4,$DE$6:$DF$17,2)+1))*$E38</f>
        <v>-104.90870605302405</v>
      </c>
      <c r="CJ38" s="1021">
        <f>(VLOOKUP(YEAR($A38),'NY East Load Projections'!$A$4:$EO$14,((MONTH($A38)-1)*12)+VLOOKUP(CJ$4,$DE$6:$DF$17,2)+1))*$E38</f>
        <v>-104.90870605302405</v>
      </c>
      <c r="CK38" s="1021">
        <f>(VLOOKUP(YEAR($A38),'NY East Load Projections'!$A$4:$EO$14,((MONTH($A38)-1)*12)+VLOOKUP(CK$4,$DE$6:$DF$17,2)+1))*$E38</f>
        <v>-104.90870605302405</v>
      </c>
      <c r="CL38" s="1021">
        <f>(VLOOKUP(YEAR($A38),'NY East Load Projections'!$A$4:$EO$14,((MONTH($A38)-1)*12)+VLOOKUP(CL$4,$DE$6:$DF$17,2)+1))*$E38</f>
        <v>-104.90870605302405</v>
      </c>
      <c r="CM38" s="1021">
        <f>(VLOOKUP(YEAR($A38),'NY East Load Projections'!$A$4:$EO$14,((MONTH($A38)-1)*12)+VLOOKUP(CM$4,$DE$6:$DF$17,2)+1))*$E38</f>
        <v>-118.56778835933531</v>
      </c>
      <c r="CN38" s="1021">
        <f>(VLOOKUP(YEAR($A38),'NY East Load Projections'!$A$4:$EO$14,((MONTH($A38)-1)*12)+VLOOKUP(CN$4,$DE$6:$DF$17,2)+1))*$E38</f>
        <v>-118.56778835933531</v>
      </c>
      <c r="CO38" s="1021">
        <f>(VLOOKUP(YEAR($A38),'NY East Load Projections'!$A$4:$EO$14,((MONTH($A38)-1)*12)+VLOOKUP(CO$4,$DE$6:$DF$17,2)+1))*$E38</f>
        <v>-118.56778835933531</v>
      </c>
      <c r="CP38" s="1021">
        <f>(VLOOKUP(YEAR($A38),'NY East Load Projections'!$A$4:$EO$14,((MONTH($A38)-1)*12)+VLOOKUP(CP$4,$DE$6:$DF$17,2)+1))*$E38</f>
        <v>-118.56778835933531</v>
      </c>
      <c r="CQ38" s="1021">
        <f>(VLOOKUP(YEAR($A38),'NY East Load Projections'!$A$4:$EO$14,((MONTH($A38)-1)*12)+VLOOKUP(CQ$4,$DE$6:$DF$17,2)+1))*$E38</f>
        <v>-119.08812379794345</v>
      </c>
      <c r="CR38" s="1021">
        <f>(VLOOKUP(YEAR($A38),'NY East Load Projections'!$A$4:$EO$14,((MONTH($A38)-1)*12)+VLOOKUP(CR$4,$DE$6:$DF$17,2)+1))*$E38</f>
        <v>-119.08812379794345</v>
      </c>
      <c r="CS38" s="1021">
        <f>(VLOOKUP(YEAR($A38),'NY East Load Projections'!$A$4:$EO$14,((MONTH($A38)-1)*12)+VLOOKUP(CS$4,$DE$6:$DF$17,2)+1))*$E38</f>
        <v>-119.08812379794345</v>
      </c>
      <c r="CT38" s="1021">
        <f>(VLOOKUP(YEAR($A38),'NY East Load Projections'!$A$4:$EO$14,((MONTH($A38)-1)*12)+VLOOKUP(CT$4,$DE$6:$DF$17,2)+1))*$E38</f>
        <v>-119.08812379794345</v>
      </c>
      <c r="CU38" s="1021">
        <f>(VLOOKUP(YEAR($A38),'NY East Load Projections'!$A$4:$EO$14,((MONTH($A38)-1)*12)+VLOOKUP(CU$4,$DE$6:$DF$17,2)+1))*$E38</f>
        <v>-110.89175823748391</v>
      </c>
      <c r="CV38" s="1021">
        <f>(VLOOKUP(YEAR($A38),'NY East Load Projections'!$A$4:$EO$14,((MONTH($A38)-1)*12)+VLOOKUP(CV$4,$DE$6:$DF$17,2)+1))*$E38</f>
        <v>-110.89175823748391</v>
      </c>
      <c r="CW38" s="1021">
        <f>(VLOOKUP(YEAR($A38),'NY East Load Projections'!$A$4:$EO$14,((MONTH($A38)-1)*12)+VLOOKUP(CW$4,$DE$6:$DF$17,2)+1))*$E38</f>
        <v>-110.89175823748391</v>
      </c>
      <c r="CX38" s="1021">
        <f>(VLOOKUP(YEAR($A38),'NY East Load Projections'!$A$4:$EO$14,((MONTH($A38)-1)*12)+VLOOKUP(CX$4,$DE$6:$DF$17,2)+1))*$E38</f>
        <v>-110.89175823748391</v>
      </c>
      <c r="CY38" s="1021">
        <f>(VLOOKUP(YEAR($A38),'NY East Load Projections'!$A$4:$EO$14,((MONTH($A38)-1)*12)+VLOOKUP(CY$4,$DE$6:$DF$17,2)+1))*$E38</f>
        <v>-108.02232204592033</v>
      </c>
      <c r="CZ38" s="1021">
        <f>(VLOOKUP(YEAR($A38),'NY East Load Projections'!$A$4:$EO$14,((MONTH($A38)-1)*12)+VLOOKUP(CZ$4,$DE$6:$DF$17,2)+1))*$E38</f>
        <v>-108.02232204592033</v>
      </c>
      <c r="DA38" s="1021">
        <f>(VLOOKUP(YEAR($A38),'NY East Load Projections'!$A$4:$EO$14,((MONTH($A38)-1)*12)+VLOOKUP(DA$4,$DE$6:$DF$17,2)+1))*$E38</f>
        <v>-108.02232204592033</v>
      </c>
      <c r="DB38" s="1021">
        <f>(VLOOKUP(YEAR($A38),'NY East Load Projections'!$A$4:$EO$14,((MONTH($A38)-1)*12)+VLOOKUP(DB$4,$DE$6:$DF$17,2)+1))*$E38</f>
        <v>-108.02232204592033</v>
      </c>
      <c r="DH38" s="1009">
        <f t="shared" ref="DH38:DH69" si="2">SUM(H38:DB38)</f>
        <v>-80120.431058081158</v>
      </c>
      <c r="DI38">
        <f ca="1">CALC!J58</f>
        <v>0.77245698322183542</v>
      </c>
      <c r="DJ38" s="1032">
        <f t="shared" ca="1" si="1"/>
        <v>-61889.586469558417</v>
      </c>
    </row>
    <row r="39" spans="1:114" x14ac:dyDescent="0.25">
      <c r="A39" s="244">
        <v>37895</v>
      </c>
      <c r="B39" s="13">
        <v>23</v>
      </c>
      <c r="C39" s="210">
        <v>4</v>
      </c>
      <c r="D39" s="210">
        <v>4</v>
      </c>
      <c r="E39" s="210">
        <v>0</v>
      </c>
      <c r="F39" s="13">
        <v>31</v>
      </c>
      <c r="H39" s="1021">
        <f>(VLOOKUP(YEAR($A39),'NY East Load Projections'!$A$4:$EO$14,((MONTH($A39)-1)*12)+VLOOKUP(H$4,$DE$6:$DF$17,2)+1))*$B39</f>
        <v>-2124.2957148314608</v>
      </c>
      <c r="I39" s="1021">
        <f>(VLOOKUP(YEAR($A39),'NY East Load Projections'!$A$4:$EO$14,((MONTH($A39)-1)*12)+VLOOKUP(I$4,$DE$6:$DF$17,2)+1))*$B39</f>
        <v>-2124.2957148314608</v>
      </c>
      <c r="J39" s="1021">
        <f>(VLOOKUP(YEAR($A39),'NY East Load Projections'!$A$4:$EO$14,((MONTH($A39)-1)*12)+VLOOKUP(J$4,$DE$6:$DF$17,2)+1))*$B39</f>
        <v>-2124.2957148314608</v>
      </c>
      <c r="K39" s="1021">
        <f>(VLOOKUP(YEAR($A39),'NY East Load Projections'!$A$4:$EO$14,((MONTH($A39)-1)*12)+VLOOKUP(K$4,$DE$6:$DF$17,2)+1))*$B39</f>
        <v>-2124.2957148314608</v>
      </c>
      <c r="L39" s="1021">
        <f>(VLOOKUP(YEAR($A39),'NY East Load Projections'!$A$4:$EO$14,((MONTH($A39)-1)*12)+VLOOKUP(L$4,$DE$6:$DF$17,2)+1))*$B39</f>
        <v>-2351.1994480782878</v>
      </c>
      <c r="M39" s="1021">
        <f>(VLOOKUP(YEAR($A39),'NY East Load Projections'!$A$4:$EO$14,((MONTH($A39)-1)*12)+VLOOKUP(M$4,$DE$6:$DF$17,2)+1))*$B39</f>
        <v>-2351.1994480782878</v>
      </c>
      <c r="N39" s="1021">
        <f>(VLOOKUP(YEAR($A39),'NY East Load Projections'!$A$4:$EO$14,((MONTH($A39)-1)*12)+VLOOKUP(N$4,$DE$6:$DF$17,2)+1))*$B39</f>
        <v>-2351.1994480782878</v>
      </c>
      <c r="O39" s="1021">
        <f>(VLOOKUP(YEAR($A39),'NY East Load Projections'!$A$4:$EO$14,((MONTH($A39)-1)*12)+VLOOKUP(O$4,$DE$6:$DF$17,2)+1))*$B39</f>
        <v>-2351.1994480782878</v>
      </c>
      <c r="P39" s="1021">
        <f>(VLOOKUP(YEAR($A39),'NY East Load Projections'!$A$4:$EO$14,((MONTH($A39)-1)*12)+VLOOKUP(P$4,$DE$6:$DF$17,2)+1))*$B39</f>
        <v>-2611.6596918196169</v>
      </c>
      <c r="Q39" s="1021">
        <f>(VLOOKUP(YEAR($A39),'NY East Load Projections'!$A$4:$EO$14,((MONTH($A39)-1)*12)+VLOOKUP(Q$4,$DE$6:$DF$17,2)+1))*$B39</f>
        <v>-2611.6596918196169</v>
      </c>
      <c r="R39" s="1021">
        <f>(VLOOKUP(YEAR($A39),'NY East Load Projections'!$A$4:$EO$14,((MONTH($A39)-1)*12)+VLOOKUP(R$4,$DE$6:$DF$17,2)+1))*$B39</f>
        <v>-2611.6596918196169</v>
      </c>
      <c r="S39" s="1021">
        <f>(VLOOKUP(YEAR($A39),'NY East Load Projections'!$A$4:$EO$14,((MONTH($A39)-1)*12)+VLOOKUP(S$4,$DE$6:$DF$17,2)+1))*$B39</f>
        <v>-2611.6596918196169</v>
      </c>
      <c r="T39" s="1021">
        <f>(VLOOKUP(YEAR($A39),'NY East Load Projections'!$A$4:$EO$14,((MONTH($A39)-1)*12)+VLOOKUP(T$4,$DE$6:$DF$17,2)+1))*$B39</f>
        <v>-2659.1604029799059</v>
      </c>
      <c r="U39" s="1021">
        <f>(VLOOKUP(YEAR($A39),'NY East Load Projections'!$A$4:$EO$14,((MONTH($A39)-1)*12)+VLOOKUP(U$4,$DE$6:$DF$17,2)+1))*$B39</f>
        <v>-2659.1604029799059</v>
      </c>
      <c r="V39" s="1021">
        <f>(VLOOKUP(YEAR($A39),'NY East Load Projections'!$A$4:$EO$14,((MONTH($A39)-1)*12)+VLOOKUP(V$4,$DE$6:$DF$17,2)+1))*$B39</f>
        <v>-2659.1604029799059</v>
      </c>
      <c r="W39" s="1021">
        <f>(VLOOKUP(YEAR($A39),'NY East Load Projections'!$A$4:$EO$14,((MONTH($A39)-1)*12)+VLOOKUP(W$4,$DE$6:$DF$17,2)+1))*$B39</f>
        <v>-2659.1604029799059</v>
      </c>
      <c r="X39" s="1021">
        <f>(VLOOKUP(YEAR($A39),'NY East Load Projections'!$A$4:$EO$14,((MONTH($A39)-1)*12)+VLOOKUP(X$4,$DE$6:$DF$17,2)+1))*$B39</f>
        <v>-2487.3654837223103</v>
      </c>
      <c r="Y39" s="1021">
        <f>(VLOOKUP(YEAR($A39),'NY East Load Projections'!$A$4:$EO$14,((MONTH($A39)-1)*12)+VLOOKUP(Y$4,$DE$6:$DF$17,2)+1))*$B39</f>
        <v>-2487.3654837223103</v>
      </c>
      <c r="Z39" s="1021">
        <f>(VLOOKUP(YEAR($A39),'NY East Load Projections'!$A$4:$EO$14,((MONTH($A39)-1)*12)+VLOOKUP(Z$4,$DE$6:$DF$17,2)+1))*$B39</f>
        <v>-2487.3654837223103</v>
      </c>
      <c r="AA39" s="1021">
        <f>(VLOOKUP(YEAR($A39),'NY East Load Projections'!$A$4:$EO$14,((MONTH($A39)-1)*12)+VLOOKUP(AA$4,$DE$6:$DF$17,2)+1))*$B39</f>
        <v>-2487.3654837223103</v>
      </c>
      <c r="AB39" s="1021">
        <f>(VLOOKUP(YEAR($A39),'NY East Load Projections'!$A$4:$EO$14,((MONTH($A39)-1)*12)+VLOOKUP(AB$4,$DE$6:$DF$17,2)+1))*$B39</f>
        <v>-2213.1440152801724</v>
      </c>
      <c r="AC39" s="1021">
        <f>(VLOOKUP(YEAR($A39),'NY East Load Projections'!$A$4:$EO$14,((MONTH($A39)-1)*12)+VLOOKUP(AC$4,$DE$6:$DF$17,2)+1))*$B39</f>
        <v>-2213.1440152801724</v>
      </c>
      <c r="AD39" s="1021">
        <f>(VLOOKUP(YEAR($A39),'NY East Load Projections'!$A$4:$EO$14,((MONTH($A39)-1)*12)+VLOOKUP(AD$4,$DE$6:$DF$17,2)+1))*$B39</f>
        <v>-2213.1440152801724</v>
      </c>
      <c r="AE39" s="1021">
        <f>(VLOOKUP(YEAR($A39),'NY East Load Projections'!$A$4:$EO$14,((MONTH($A39)-1)*12)+VLOOKUP(AE$4,$DE$6:$DF$17,2)+1))*$B39</f>
        <v>-2213.1440152801724</v>
      </c>
      <c r="AF39" s="1021"/>
      <c r="AG39" s="1021">
        <f>(VLOOKUP(YEAR($A39),'NY East Load Projections'!$A$4:$EO$14,((MONTH($A39)-1)*12)+VLOOKUP(AG$4,$DE$6:$DF$17,2)+1))*$C39</f>
        <v>-394.64309536395717</v>
      </c>
      <c r="AH39" s="1021">
        <f>(VLOOKUP(YEAR($A39),'NY East Load Projections'!$A$4:$EO$14,((MONTH($A39)-1)*12)+VLOOKUP(AH$4,$DE$6:$DF$17,2)+1))*$C39</f>
        <v>-394.64309536395717</v>
      </c>
      <c r="AI39" s="1021">
        <f>(VLOOKUP(YEAR($A39),'NY East Load Projections'!$A$4:$EO$14,((MONTH($A39)-1)*12)+VLOOKUP(AI$4,$DE$6:$DF$17,2)+1))*$C39</f>
        <v>-394.64309536395717</v>
      </c>
      <c r="AJ39" s="1021">
        <f>(VLOOKUP(YEAR($A39),'NY East Load Projections'!$A$4:$EO$14,((MONTH($A39)-1)*12)+VLOOKUP(AJ$4,$DE$6:$DF$17,2)+1))*$C39</f>
        <v>-394.64309536395717</v>
      </c>
      <c r="AK39" s="1021">
        <f>(VLOOKUP(YEAR($A39),'NY East Load Projections'!$A$4:$EO$14,((MONTH($A39)-1)*12)+VLOOKUP(AK$4,$DE$6:$DF$17,2)+1))*$C39</f>
        <v>-400.68901101910916</v>
      </c>
      <c r="AL39" s="1021">
        <f>(VLOOKUP(YEAR($A39),'NY East Load Projections'!$A$4:$EO$14,((MONTH($A39)-1)*12)+VLOOKUP(AL$4,$DE$6:$DF$17,2)+1))*$C39</f>
        <v>-400.68901101910916</v>
      </c>
      <c r="AM39" s="1021">
        <f>(VLOOKUP(YEAR($A39),'NY East Load Projections'!$A$4:$EO$14,((MONTH($A39)-1)*12)+VLOOKUP(AM$4,$DE$6:$DF$17,2)+1))*$C39</f>
        <v>-400.68901101910916</v>
      </c>
      <c r="AN39" s="1021">
        <f>(VLOOKUP(YEAR($A39),'NY East Load Projections'!$A$4:$EO$14,((MONTH($A39)-1)*12)+VLOOKUP(AN$4,$DE$6:$DF$17,2)+1))*$C39</f>
        <v>-400.68901101910916</v>
      </c>
      <c r="AO39" s="1021">
        <f>(VLOOKUP(YEAR($A39),'NY East Load Projections'!$A$4:$EO$14,((MONTH($A39)-1)*12)+VLOOKUP(AO$4,$DE$6:$DF$17,2)+1))*$C39</f>
        <v>-446.96371702902854</v>
      </c>
      <c r="AP39" s="1021">
        <f>(VLOOKUP(YEAR($A39),'NY East Load Projections'!$A$4:$EO$14,((MONTH($A39)-1)*12)+VLOOKUP(AP$4,$DE$6:$DF$17,2)+1))*$C39</f>
        <v>-446.96371702902854</v>
      </c>
      <c r="AQ39" s="1021">
        <f>(VLOOKUP(YEAR($A39),'NY East Load Projections'!$A$4:$EO$14,((MONTH($A39)-1)*12)+VLOOKUP(AQ$4,$DE$6:$DF$17,2)+1))*$C39</f>
        <v>-446.96371702902854</v>
      </c>
      <c r="AR39" s="1021">
        <f>(VLOOKUP(YEAR($A39),'NY East Load Projections'!$A$4:$EO$14,((MONTH($A39)-1)*12)+VLOOKUP(AR$4,$DE$6:$DF$17,2)+1))*$C39</f>
        <v>-446.96371702902854</v>
      </c>
      <c r="AS39" s="1021">
        <f>(VLOOKUP(YEAR($A39),'NY East Load Projections'!$A$4:$EO$14,((MONTH($A39)-1)*12)+VLOOKUP(AS$4,$DE$6:$DF$17,2)+1))*$C39</f>
        <v>-447.52058555513429</v>
      </c>
      <c r="AT39" s="1021">
        <f>(VLOOKUP(YEAR($A39),'NY East Load Projections'!$A$4:$EO$14,((MONTH($A39)-1)*12)+VLOOKUP(AT$4,$DE$6:$DF$17,2)+1))*$C39</f>
        <v>-447.52058555513429</v>
      </c>
      <c r="AU39" s="1021">
        <f>(VLOOKUP(YEAR($A39),'NY East Load Projections'!$A$4:$EO$14,((MONTH($A39)-1)*12)+VLOOKUP(AU$4,$DE$6:$DF$17,2)+1))*$C39</f>
        <v>-447.52058555513429</v>
      </c>
      <c r="AV39" s="1021">
        <f>(VLOOKUP(YEAR($A39),'NY East Load Projections'!$A$4:$EO$14,((MONTH($A39)-1)*12)+VLOOKUP(AV$4,$DE$6:$DF$17,2)+1))*$C39</f>
        <v>-447.52058555513429</v>
      </c>
      <c r="AW39" s="1021">
        <f>(VLOOKUP(YEAR($A39),'NY East Load Projections'!$A$4:$EO$14,((MONTH($A39)-1)*12)+VLOOKUP(AW$4,$DE$6:$DF$17,2)+1))*$C39</f>
        <v>-416.04644488118026</v>
      </c>
      <c r="AX39" s="1021">
        <f>(VLOOKUP(YEAR($A39),'NY East Load Projections'!$A$4:$EO$14,((MONTH($A39)-1)*12)+VLOOKUP(AX$4,$DE$6:$DF$17,2)+1))*$C39</f>
        <v>-416.04644488118026</v>
      </c>
      <c r="AY39" s="1021">
        <f>(VLOOKUP(YEAR($A39),'NY East Load Projections'!$A$4:$EO$14,((MONTH($A39)-1)*12)+VLOOKUP(AY$4,$DE$6:$DF$17,2)+1))*$C39</f>
        <v>-416.04644488118026</v>
      </c>
      <c r="AZ39" s="1021">
        <f>(VLOOKUP(YEAR($A39),'NY East Load Projections'!$A$4:$EO$14,((MONTH($A39)-1)*12)+VLOOKUP(AZ$4,$DE$6:$DF$17,2)+1))*$C39</f>
        <v>-416.04644488118026</v>
      </c>
      <c r="BA39" s="1021">
        <f>(VLOOKUP(YEAR($A39),'NY East Load Projections'!$A$4:$EO$14,((MONTH($A39)-1)*12)+VLOOKUP(BA$4,$DE$6:$DF$17,2)+1))*$C39</f>
        <v>-403.35728344697708</v>
      </c>
      <c r="BB39" s="1021">
        <f>(VLOOKUP(YEAR($A39),'NY East Load Projections'!$A$4:$EO$14,((MONTH($A39)-1)*12)+VLOOKUP(BB$4,$DE$6:$DF$17,2)+1))*$C39</f>
        <v>-403.35728344697708</v>
      </c>
      <c r="BC39" s="1021">
        <f>(VLOOKUP(YEAR($A39),'NY East Load Projections'!$A$4:$EO$14,((MONTH($A39)-1)*12)+VLOOKUP(BC$4,$DE$6:$DF$17,2)+1))*$C39</f>
        <v>-403.35728344697708</v>
      </c>
      <c r="BD39" s="1021">
        <f>(VLOOKUP(YEAR($A39),'NY East Load Projections'!$A$4:$EO$14,((MONTH($A39)-1)*12)+VLOOKUP(BD$4,$DE$6:$DF$17,2)+1))*$C39</f>
        <v>-403.35728344697708</v>
      </c>
      <c r="BE39" s="1021"/>
      <c r="BF39" s="1021">
        <f>(VLOOKUP(YEAR($A39),'NY East Load Projections'!$A$4:$EO$14,((MONTH($A39)-1)*12)+VLOOKUP(BF$4,$DE$6:$DF$17,2)+1))*$D39</f>
        <v>-394.64309536395717</v>
      </c>
      <c r="BG39" s="1021">
        <f>(VLOOKUP(YEAR($A39),'NY East Load Projections'!$A$4:$EO$14,((MONTH($A39)-1)*12)+VLOOKUP(BG$4,$DE$6:$DF$17,2)+1))*$D39</f>
        <v>-394.64309536395717</v>
      </c>
      <c r="BH39" s="1021">
        <f>(VLOOKUP(YEAR($A39),'NY East Load Projections'!$A$4:$EO$14,((MONTH($A39)-1)*12)+VLOOKUP(BH$4,$DE$6:$DF$17,2)+1))*$D39</f>
        <v>-394.64309536395717</v>
      </c>
      <c r="BI39" s="1021">
        <f>(VLOOKUP(YEAR($A39),'NY East Load Projections'!$A$4:$EO$14,((MONTH($A39)-1)*12)+VLOOKUP(BI$4,$DE$6:$DF$17,2)+1))*$D39</f>
        <v>-394.64309536395717</v>
      </c>
      <c r="BJ39" s="1021">
        <f>(VLOOKUP(YEAR($A39),'NY East Load Projections'!$A$4:$EO$14,((MONTH($A39)-1)*12)+VLOOKUP(BJ$4,$DE$6:$DF$17,2)+1))*$D39</f>
        <v>-400.68901101910916</v>
      </c>
      <c r="BK39" s="1021">
        <f>(VLOOKUP(YEAR($A39),'NY East Load Projections'!$A$4:$EO$14,((MONTH($A39)-1)*12)+VLOOKUP(BK$4,$DE$6:$DF$17,2)+1))*$D39</f>
        <v>-400.68901101910916</v>
      </c>
      <c r="BL39" s="1021">
        <f>(VLOOKUP(YEAR($A39),'NY East Load Projections'!$A$4:$EO$14,((MONTH($A39)-1)*12)+VLOOKUP(BL$4,$DE$6:$DF$17,2)+1))*$D39</f>
        <v>-400.68901101910916</v>
      </c>
      <c r="BM39" s="1021">
        <f>(VLOOKUP(YEAR($A39),'NY East Load Projections'!$A$4:$EO$14,((MONTH($A39)-1)*12)+VLOOKUP(BM$4,$DE$6:$DF$17,2)+1))*$D39</f>
        <v>-400.68901101910916</v>
      </c>
      <c r="BN39" s="1021">
        <f>(VLOOKUP(YEAR($A39),'NY East Load Projections'!$A$4:$EO$14,((MONTH($A39)-1)*12)+VLOOKUP(BN$4,$DE$6:$DF$17,2)+1))*$D39</f>
        <v>-446.96371702902854</v>
      </c>
      <c r="BO39" s="1021">
        <f>(VLOOKUP(YEAR($A39),'NY East Load Projections'!$A$4:$EO$14,((MONTH($A39)-1)*12)+VLOOKUP(BO$4,$DE$6:$DF$17,2)+1))*$D39</f>
        <v>-446.96371702902854</v>
      </c>
      <c r="BP39" s="1021">
        <f>(VLOOKUP(YEAR($A39),'NY East Load Projections'!$A$4:$EO$14,((MONTH($A39)-1)*12)+VLOOKUP(BP$4,$DE$6:$DF$17,2)+1))*$D39</f>
        <v>-446.96371702902854</v>
      </c>
      <c r="BQ39" s="1021">
        <f>(VLOOKUP(YEAR($A39),'NY East Load Projections'!$A$4:$EO$14,((MONTH($A39)-1)*12)+VLOOKUP(BQ$4,$DE$6:$DF$17,2)+1))*$D39</f>
        <v>-446.96371702902854</v>
      </c>
      <c r="BR39" s="1021">
        <f>(VLOOKUP(YEAR($A39),'NY East Load Projections'!$A$4:$EO$14,((MONTH($A39)-1)*12)+VLOOKUP(BR$4,$DE$6:$DF$17,2)+1))*$D39</f>
        <v>-447.52058555513429</v>
      </c>
      <c r="BS39" s="1021">
        <f>(VLOOKUP(YEAR($A39),'NY East Load Projections'!$A$4:$EO$14,((MONTH($A39)-1)*12)+VLOOKUP(BS$4,$DE$6:$DF$17,2)+1))*$D39</f>
        <v>-447.52058555513429</v>
      </c>
      <c r="BT39" s="1021">
        <f>(VLOOKUP(YEAR($A39),'NY East Load Projections'!$A$4:$EO$14,((MONTH($A39)-1)*12)+VLOOKUP(BT$4,$DE$6:$DF$17,2)+1))*$D39</f>
        <v>-447.52058555513429</v>
      </c>
      <c r="BU39" s="1021">
        <f>(VLOOKUP(YEAR($A39),'NY East Load Projections'!$A$4:$EO$14,((MONTH($A39)-1)*12)+VLOOKUP(BU$4,$DE$6:$DF$17,2)+1))*$D39</f>
        <v>-447.52058555513429</v>
      </c>
      <c r="BV39" s="1021">
        <f>(VLOOKUP(YEAR($A39),'NY East Load Projections'!$A$4:$EO$14,((MONTH($A39)-1)*12)+VLOOKUP(BV$4,$DE$6:$DF$17,2)+1))*$D39</f>
        <v>-416.04644488118026</v>
      </c>
      <c r="BW39" s="1021">
        <f>(VLOOKUP(YEAR($A39),'NY East Load Projections'!$A$4:$EO$14,((MONTH($A39)-1)*12)+VLOOKUP(BW$4,$DE$6:$DF$17,2)+1))*$D39</f>
        <v>-416.04644488118026</v>
      </c>
      <c r="BX39" s="1021">
        <f>(VLOOKUP(YEAR($A39),'NY East Load Projections'!$A$4:$EO$14,((MONTH($A39)-1)*12)+VLOOKUP(BX$4,$DE$6:$DF$17,2)+1))*$D39</f>
        <v>-416.04644488118026</v>
      </c>
      <c r="BY39" s="1021">
        <f>(VLOOKUP(YEAR($A39),'NY East Load Projections'!$A$4:$EO$14,((MONTH($A39)-1)*12)+VLOOKUP(BY$4,$DE$6:$DF$17,2)+1))*$D39</f>
        <v>-416.04644488118026</v>
      </c>
      <c r="BZ39" s="1021">
        <f>(VLOOKUP(YEAR($A39),'NY East Load Projections'!$A$4:$EO$14,((MONTH($A39)-1)*12)+VLOOKUP(BZ$4,$DE$6:$DF$17,2)+1))*$D39</f>
        <v>-403.35728344697708</v>
      </c>
      <c r="CA39" s="1021">
        <f>(VLOOKUP(YEAR($A39),'NY East Load Projections'!$A$4:$EO$14,((MONTH($A39)-1)*12)+VLOOKUP(CA$4,$DE$6:$DF$17,2)+1))*$D39</f>
        <v>-403.35728344697708</v>
      </c>
      <c r="CB39" s="1021">
        <f>(VLOOKUP(YEAR($A39),'NY East Load Projections'!$A$4:$EO$14,((MONTH($A39)-1)*12)+VLOOKUP(CB$4,$DE$6:$DF$17,2)+1))*$D39</f>
        <v>-403.35728344697708</v>
      </c>
      <c r="CC39" s="1021">
        <f>(VLOOKUP(YEAR($A39),'NY East Load Projections'!$A$4:$EO$14,((MONTH($A39)-1)*12)+VLOOKUP(CC$4,$DE$6:$DF$17,2)+1))*$D39</f>
        <v>-403.35728344697708</v>
      </c>
      <c r="CE39" s="1021">
        <f>(VLOOKUP(YEAR($A39),'NY East Load Projections'!$A$4:$EO$14,((MONTH($A39)-1)*12)+VLOOKUP(CE$4,$DE$6:$DF$17,2)+1))*$E39</f>
        <v>0</v>
      </c>
      <c r="CF39" s="1021">
        <f>(VLOOKUP(YEAR($A39),'NY East Load Projections'!$A$4:$EO$14,((MONTH($A39)-1)*12)+VLOOKUP(CF$4,$DE$6:$DF$17,2)+1))*$E39</f>
        <v>0</v>
      </c>
      <c r="CG39" s="1021">
        <f>(VLOOKUP(YEAR($A39),'NY East Load Projections'!$A$4:$EO$14,((MONTH($A39)-1)*12)+VLOOKUP(CG$4,$DE$6:$DF$17,2)+1))*$E39</f>
        <v>0</v>
      </c>
      <c r="CH39" s="1021">
        <f>(VLOOKUP(YEAR($A39),'NY East Load Projections'!$A$4:$EO$14,((MONTH($A39)-1)*12)+VLOOKUP(CH$4,$DE$6:$DF$17,2)+1))*$E39</f>
        <v>0</v>
      </c>
      <c r="CI39" s="1021">
        <f>(VLOOKUP(YEAR($A39),'NY East Load Projections'!$A$4:$EO$14,((MONTH($A39)-1)*12)+VLOOKUP(CI$4,$DE$6:$DF$17,2)+1))*$E39</f>
        <v>0</v>
      </c>
      <c r="CJ39" s="1021">
        <f>(VLOOKUP(YEAR($A39),'NY East Load Projections'!$A$4:$EO$14,((MONTH($A39)-1)*12)+VLOOKUP(CJ$4,$DE$6:$DF$17,2)+1))*$E39</f>
        <v>0</v>
      </c>
      <c r="CK39" s="1021">
        <f>(VLOOKUP(YEAR($A39),'NY East Load Projections'!$A$4:$EO$14,((MONTH($A39)-1)*12)+VLOOKUP(CK$4,$DE$6:$DF$17,2)+1))*$E39</f>
        <v>0</v>
      </c>
      <c r="CL39" s="1021">
        <f>(VLOOKUP(YEAR($A39),'NY East Load Projections'!$A$4:$EO$14,((MONTH($A39)-1)*12)+VLOOKUP(CL$4,$DE$6:$DF$17,2)+1))*$E39</f>
        <v>0</v>
      </c>
      <c r="CM39" s="1021">
        <f>(VLOOKUP(YEAR($A39),'NY East Load Projections'!$A$4:$EO$14,((MONTH($A39)-1)*12)+VLOOKUP(CM$4,$DE$6:$DF$17,2)+1))*$E39</f>
        <v>0</v>
      </c>
      <c r="CN39" s="1021">
        <f>(VLOOKUP(YEAR($A39),'NY East Load Projections'!$A$4:$EO$14,((MONTH($A39)-1)*12)+VLOOKUP(CN$4,$DE$6:$DF$17,2)+1))*$E39</f>
        <v>0</v>
      </c>
      <c r="CO39" s="1021">
        <f>(VLOOKUP(YEAR($A39),'NY East Load Projections'!$A$4:$EO$14,((MONTH($A39)-1)*12)+VLOOKUP(CO$4,$DE$6:$DF$17,2)+1))*$E39</f>
        <v>0</v>
      </c>
      <c r="CP39" s="1021">
        <f>(VLOOKUP(YEAR($A39),'NY East Load Projections'!$A$4:$EO$14,((MONTH($A39)-1)*12)+VLOOKUP(CP$4,$DE$6:$DF$17,2)+1))*$E39</f>
        <v>0</v>
      </c>
      <c r="CQ39" s="1021">
        <f>(VLOOKUP(YEAR($A39),'NY East Load Projections'!$A$4:$EO$14,((MONTH($A39)-1)*12)+VLOOKUP(CQ$4,$DE$6:$DF$17,2)+1))*$E39</f>
        <v>0</v>
      </c>
      <c r="CR39" s="1021">
        <f>(VLOOKUP(YEAR($A39),'NY East Load Projections'!$A$4:$EO$14,((MONTH($A39)-1)*12)+VLOOKUP(CR$4,$DE$6:$DF$17,2)+1))*$E39</f>
        <v>0</v>
      </c>
      <c r="CS39" s="1021">
        <f>(VLOOKUP(YEAR($A39),'NY East Load Projections'!$A$4:$EO$14,((MONTH($A39)-1)*12)+VLOOKUP(CS$4,$DE$6:$DF$17,2)+1))*$E39</f>
        <v>0</v>
      </c>
      <c r="CT39" s="1021">
        <f>(VLOOKUP(YEAR($A39),'NY East Load Projections'!$A$4:$EO$14,((MONTH($A39)-1)*12)+VLOOKUP(CT$4,$DE$6:$DF$17,2)+1))*$E39</f>
        <v>0</v>
      </c>
      <c r="CU39" s="1021">
        <f>(VLOOKUP(YEAR($A39),'NY East Load Projections'!$A$4:$EO$14,((MONTH($A39)-1)*12)+VLOOKUP(CU$4,$DE$6:$DF$17,2)+1))*$E39</f>
        <v>0</v>
      </c>
      <c r="CV39" s="1021">
        <f>(VLOOKUP(YEAR($A39),'NY East Load Projections'!$A$4:$EO$14,((MONTH($A39)-1)*12)+VLOOKUP(CV$4,$DE$6:$DF$17,2)+1))*$E39</f>
        <v>0</v>
      </c>
      <c r="CW39" s="1021">
        <f>(VLOOKUP(YEAR($A39),'NY East Load Projections'!$A$4:$EO$14,((MONTH($A39)-1)*12)+VLOOKUP(CW$4,$DE$6:$DF$17,2)+1))*$E39</f>
        <v>0</v>
      </c>
      <c r="CX39" s="1021">
        <f>(VLOOKUP(YEAR($A39),'NY East Load Projections'!$A$4:$EO$14,((MONTH($A39)-1)*12)+VLOOKUP(CX$4,$DE$6:$DF$17,2)+1))*$E39</f>
        <v>0</v>
      </c>
      <c r="CY39" s="1021">
        <f>(VLOOKUP(YEAR($A39),'NY East Load Projections'!$A$4:$EO$14,((MONTH($A39)-1)*12)+VLOOKUP(CY$4,$DE$6:$DF$17,2)+1))*$E39</f>
        <v>0</v>
      </c>
      <c r="CZ39" s="1021">
        <f>(VLOOKUP(YEAR($A39),'NY East Load Projections'!$A$4:$EO$14,((MONTH($A39)-1)*12)+VLOOKUP(CZ$4,$DE$6:$DF$17,2)+1))*$E39</f>
        <v>0</v>
      </c>
      <c r="DA39" s="1021">
        <f>(VLOOKUP(YEAR($A39),'NY East Load Projections'!$A$4:$EO$14,((MONTH($A39)-1)*12)+VLOOKUP(DA$4,$DE$6:$DF$17,2)+1))*$E39</f>
        <v>0</v>
      </c>
      <c r="DB39" s="1021">
        <f>(VLOOKUP(YEAR($A39),'NY East Load Projections'!$A$4:$EO$14,((MONTH($A39)-1)*12)+VLOOKUP(DB$4,$DE$6:$DF$17,2)+1))*$E39</f>
        <v>0</v>
      </c>
      <c r="DH39" s="1009">
        <f t="shared" si="2"/>
        <v>-77861.060125210119</v>
      </c>
      <c r="DI39">
        <f ca="1">CALC!J59</f>
        <v>0.7676804069152684</v>
      </c>
      <c r="DJ39" s="1032">
        <f t="shared" ca="1" si="1"/>
        <v>-59772.410319775481</v>
      </c>
    </row>
    <row r="40" spans="1:114" x14ac:dyDescent="0.25">
      <c r="A40" s="244">
        <v>37926</v>
      </c>
      <c r="B40" s="13">
        <v>19</v>
      </c>
      <c r="C40" s="210">
        <v>5</v>
      </c>
      <c r="D40" s="210">
        <v>5</v>
      </c>
      <c r="E40" s="210">
        <v>1</v>
      </c>
      <c r="F40" s="13">
        <v>30</v>
      </c>
      <c r="H40" s="1021">
        <f>(VLOOKUP(YEAR($A40),'NY East Load Projections'!$A$4:$EO$14,((MONTH($A40)-1)*12)+VLOOKUP(H$4,$DE$6:$DF$17,2)+1))*$B40</f>
        <v>-1726.3914578876334</v>
      </c>
      <c r="I40" s="1021">
        <f>(VLOOKUP(YEAR($A40),'NY East Load Projections'!$A$4:$EO$14,((MONTH($A40)-1)*12)+VLOOKUP(I$4,$DE$6:$DF$17,2)+1))*$B40</f>
        <v>-1726.3914578876334</v>
      </c>
      <c r="J40" s="1021">
        <f>(VLOOKUP(YEAR($A40),'NY East Load Projections'!$A$4:$EO$14,((MONTH($A40)-1)*12)+VLOOKUP(J$4,$DE$6:$DF$17,2)+1))*$B40</f>
        <v>-1726.3914578876334</v>
      </c>
      <c r="K40" s="1021">
        <f>(VLOOKUP(YEAR($A40),'NY East Load Projections'!$A$4:$EO$14,((MONTH($A40)-1)*12)+VLOOKUP(K$4,$DE$6:$DF$17,2)+1))*$B40</f>
        <v>-1726.3914578876334</v>
      </c>
      <c r="L40" s="1021">
        <f>(VLOOKUP(YEAR($A40),'NY East Load Projections'!$A$4:$EO$14,((MONTH($A40)-1)*12)+VLOOKUP(L$4,$DE$6:$DF$17,2)+1))*$B40</f>
        <v>-1898.5380936153385</v>
      </c>
      <c r="M40" s="1021">
        <f>(VLOOKUP(YEAR($A40),'NY East Load Projections'!$A$4:$EO$14,((MONTH($A40)-1)*12)+VLOOKUP(M$4,$DE$6:$DF$17,2)+1))*$B40</f>
        <v>-1898.5380936153385</v>
      </c>
      <c r="N40" s="1021">
        <f>(VLOOKUP(YEAR($A40),'NY East Load Projections'!$A$4:$EO$14,((MONTH($A40)-1)*12)+VLOOKUP(N$4,$DE$6:$DF$17,2)+1))*$B40</f>
        <v>-1898.5380936153385</v>
      </c>
      <c r="O40" s="1021">
        <f>(VLOOKUP(YEAR($A40),'NY East Load Projections'!$A$4:$EO$14,((MONTH($A40)-1)*12)+VLOOKUP(O$4,$DE$6:$DF$17,2)+1))*$B40</f>
        <v>-1898.5380936153385</v>
      </c>
      <c r="P40" s="1021">
        <f>(VLOOKUP(YEAR($A40),'NY East Load Projections'!$A$4:$EO$14,((MONTH($A40)-1)*12)+VLOOKUP(P$4,$DE$6:$DF$17,2)+1))*$B40</f>
        <v>-2058.8868189359491</v>
      </c>
      <c r="Q40" s="1021">
        <f>(VLOOKUP(YEAR($A40),'NY East Load Projections'!$A$4:$EO$14,((MONTH($A40)-1)*12)+VLOOKUP(Q$4,$DE$6:$DF$17,2)+1))*$B40</f>
        <v>-2058.8868189359491</v>
      </c>
      <c r="R40" s="1021">
        <f>(VLOOKUP(YEAR($A40),'NY East Load Projections'!$A$4:$EO$14,((MONTH($A40)-1)*12)+VLOOKUP(R$4,$DE$6:$DF$17,2)+1))*$B40</f>
        <v>-2058.8868189359491</v>
      </c>
      <c r="S40" s="1021">
        <f>(VLOOKUP(YEAR($A40),'NY East Load Projections'!$A$4:$EO$14,((MONTH($A40)-1)*12)+VLOOKUP(S$4,$DE$6:$DF$17,2)+1))*$B40</f>
        <v>-2058.8868189359491</v>
      </c>
      <c r="T40" s="1021">
        <f>(VLOOKUP(YEAR($A40),'NY East Load Projections'!$A$4:$EO$14,((MONTH($A40)-1)*12)+VLOOKUP(T$4,$DE$6:$DF$17,2)+1))*$B40</f>
        <v>-2085.8595634684539</v>
      </c>
      <c r="U40" s="1021">
        <f>(VLOOKUP(YEAR($A40),'NY East Load Projections'!$A$4:$EO$14,((MONTH($A40)-1)*12)+VLOOKUP(U$4,$DE$6:$DF$17,2)+1))*$B40</f>
        <v>-2085.8595634684539</v>
      </c>
      <c r="V40" s="1021">
        <f>(VLOOKUP(YEAR($A40),'NY East Load Projections'!$A$4:$EO$14,((MONTH($A40)-1)*12)+VLOOKUP(V$4,$DE$6:$DF$17,2)+1))*$B40</f>
        <v>-2085.8595634684539</v>
      </c>
      <c r="W40" s="1021">
        <f>(VLOOKUP(YEAR($A40),'NY East Load Projections'!$A$4:$EO$14,((MONTH($A40)-1)*12)+VLOOKUP(W$4,$DE$6:$DF$17,2)+1))*$B40</f>
        <v>-2085.8595634684539</v>
      </c>
      <c r="X40" s="1021">
        <f>(VLOOKUP(YEAR($A40),'NY East Load Projections'!$A$4:$EO$14,((MONTH($A40)-1)*12)+VLOOKUP(X$4,$DE$6:$DF$17,2)+1))*$B40</f>
        <v>-1970.480943892255</v>
      </c>
      <c r="Y40" s="1021">
        <f>(VLOOKUP(YEAR($A40),'NY East Load Projections'!$A$4:$EO$14,((MONTH($A40)-1)*12)+VLOOKUP(Y$4,$DE$6:$DF$17,2)+1))*$B40</f>
        <v>-1970.480943892255</v>
      </c>
      <c r="Z40" s="1021">
        <f>(VLOOKUP(YEAR($A40),'NY East Load Projections'!$A$4:$EO$14,((MONTH($A40)-1)*12)+VLOOKUP(Z$4,$DE$6:$DF$17,2)+1))*$B40</f>
        <v>-1970.480943892255</v>
      </c>
      <c r="AA40" s="1021">
        <f>(VLOOKUP(YEAR($A40),'NY East Load Projections'!$A$4:$EO$14,((MONTH($A40)-1)*12)+VLOOKUP(AA$4,$DE$6:$DF$17,2)+1))*$B40</f>
        <v>-1970.480943892255</v>
      </c>
      <c r="AB40" s="1021">
        <f>(VLOOKUP(YEAR($A40),'NY East Load Projections'!$A$4:$EO$14,((MONTH($A40)-1)*12)+VLOOKUP(AB$4,$DE$6:$DF$17,2)+1))*$B40</f>
        <v>-1793.0407366218419</v>
      </c>
      <c r="AC40" s="1021">
        <f>(VLOOKUP(YEAR($A40),'NY East Load Projections'!$A$4:$EO$14,((MONTH($A40)-1)*12)+VLOOKUP(AC$4,$DE$6:$DF$17,2)+1))*$B40</f>
        <v>-1793.0407366218419</v>
      </c>
      <c r="AD40" s="1021">
        <f>(VLOOKUP(YEAR($A40),'NY East Load Projections'!$A$4:$EO$14,((MONTH($A40)-1)*12)+VLOOKUP(AD$4,$DE$6:$DF$17,2)+1))*$B40</f>
        <v>-1793.0407366218419</v>
      </c>
      <c r="AE40" s="1021">
        <f>(VLOOKUP(YEAR($A40),'NY East Load Projections'!$A$4:$EO$14,((MONTH($A40)-1)*12)+VLOOKUP(AE$4,$DE$6:$DF$17,2)+1))*$B40</f>
        <v>-1793.0407366218419</v>
      </c>
      <c r="AF40" s="1021"/>
      <c r="AG40" s="1021">
        <f>(VLOOKUP(YEAR($A40),'NY East Load Projections'!$A$4:$EO$14,((MONTH($A40)-1)*12)+VLOOKUP(AG$4,$DE$6:$DF$17,2)+1))*$C40</f>
        <v>-470.94693521486238</v>
      </c>
      <c r="AH40" s="1021">
        <f>(VLOOKUP(YEAR($A40),'NY East Load Projections'!$A$4:$EO$14,((MONTH($A40)-1)*12)+VLOOKUP(AH$4,$DE$6:$DF$17,2)+1))*$C40</f>
        <v>-470.94693521486238</v>
      </c>
      <c r="AI40" s="1021">
        <f>(VLOOKUP(YEAR($A40),'NY East Load Projections'!$A$4:$EO$14,((MONTH($A40)-1)*12)+VLOOKUP(AI$4,$DE$6:$DF$17,2)+1))*$C40</f>
        <v>-470.94693521486238</v>
      </c>
      <c r="AJ40" s="1021">
        <f>(VLOOKUP(YEAR($A40),'NY East Load Projections'!$A$4:$EO$14,((MONTH($A40)-1)*12)+VLOOKUP(AJ$4,$DE$6:$DF$17,2)+1))*$C40</f>
        <v>-470.94693521486238</v>
      </c>
      <c r="AK40" s="1021">
        <f>(VLOOKUP(YEAR($A40),'NY East Load Projections'!$A$4:$EO$14,((MONTH($A40)-1)*12)+VLOOKUP(AK$4,$DE$6:$DF$17,2)+1))*$C40</f>
        <v>-478.02548889292831</v>
      </c>
      <c r="AL40" s="1021">
        <f>(VLOOKUP(YEAR($A40),'NY East Load Projections'!$A$4:$EO$14,((MONTH($A40)-1)*12)+VLOOKUP(AL$4,$DE$6:$DF$17,2)+1))*$C40</f>
        <v>-478.02548889292831</v>
      </c>
      <c r="AM40" s="1021">
        <f>(VLOOKUP(YEAR($A40),'NY East Load Projections'!$A$4:$EO$14,((MONTH($A40)-1)*12)+VLOOKUP(AM$4,$DE$6:$DF$17,2)+1))*$C40</f>
        <v>-478.02548889292831</v>
      </c>
      <c r="AN40" s="1021">
        <f>(VLOOKUP(YEAR($A40),'NY East Load Projections'!$A$4:$EO$14,((MONTH($A40)-1)*12)+VLOOKUP(AN$4,$DE$6:$DF$17,2)+1))*$C40</f>
        <v>-478.02548889292831</v>
      </c>
      <c r="AO40" s="1021">
        <f>(VLOOKUP(YEAR($A40),'NY East Load Projections'!$A$4:$EO$14,((MONTH($A40)-1)*12)+VLOOKUP(AO$4,$DE$6:$DF$17,2)+1))*$C40</f>
        <v>-508.25956168973624</v>
      </c>
      <c r="AP40" s="1021">
        <f>(VLOOKUP(YEAR($A40),'NY East Load Projections'!$A$4:$EO$14,((MONTH($A40)-1)*12)+VLOOKUP(AP$4,$DE$6:$DF$17,2)+1))*$C40</f>
        <v>-508.25956168973624</v>
      </c>
      <c r="AQ40" s="1021">
        <f>(VLOOKUP(YEAR($A40),'NY East Load Projections'!$A$4:$EO$14,((MONTH($A40)-1)*12)+VLOOKUP(AQ$4,$DE$6:$DF$17,2)+1))*$C40</f>
        <v>-508.25956168973624</v>
      </c>
      <c r="AR40" s="1021">
        <f>(VLOOKUP(YEAR($A40),'NY East Load Projections'!$A$4:$EO$14,((MONTH($A40)-1)*12)+VLOOKUP(AR$4,$DE$6:$DF$17,2)+1))*$C40</f>
        <v>-508.25956168973624</v>
      </c>
      <c r="AS40" s="1021">
        <f>(VLOOKUP(YEAR($A40),'NY East Load Projections'!$A$4:$EO$14,((MONTH($A40)-1)*12)+VLOOKUP(AS$4,$DE$6:$DF$17,2)+1))*$C40</f>
        <v>-512.93320737927627</v>
      </c>
      <c r="AT40" s="1021">
        <f>(VLOOKUP(YEAR($A40),'NY East Load Projections'!$A$4:$EO$14,((MONTH($A40)-1)*12)+VLOOKUP(AT$4,$DE$6:$DF$17,2)+1))*$C40</f>
        <v>-512.93320737927627</v>
      </c>
      <c r="AU40" s="1021">
        <f>(VLOOKUP(YEAR($A40),'NY East Load Projections'!$A$4:$EO$14,((MONTH($A40)-1)*12)+VLOOKUP(AU$4,$DE$6:$DF$17,2)+1))*$C40</f>
        <v>-512.93320737927627</v>
      </c>
      <c r="AV40" s="1021">
        <f>(VLOOKUP(YEAR($A40),'NY East Load Projections'!$A$4:$EO$14,((MONTH($A40)-1)*12)+VLOOKUP(AV$4,$DE$6:$DF$17,2)+1))*$C40</f>
        <v>-512.93320737927627</v>
      </c>
      <c r="AW40" s="1021">
        <f>(VLOOKUP(YEAR($A40),'NY East Load Projections'!$A$4:$EO$14,((MONTH($A40)-1)*12)+VLOOKUP(AW$4,$DE$6:$DF$17,2)+1))*$C40</f>
        <v>-492.02202060605271</v>
      </c>
      <c r="AX40" s="1021">
        <f>(VLOOKUP(YEAR($A40),'NY East Load Projections'!$A$4:$EO$14,((MONTH($A40)-1)*12)+VLOOKUP(AX$4,$DE$6:$DF$17,2)+1))*$C40</f>
        <v>-492.02202060605271</v>
      </c>
      <c r="AY40" s="1021">
        <f>(VLOOKUP(YEAR($A40),'NY East Load Projections'!$A$4:$EO$14,((MONTH($A40)-1)*12)+VLOOKUP(AY$4,$DE$6:$DF$17,2)+1))*$C40</f>
        <v>-492.02202060605271</v>
      </c>
      <c r="AZ40" s="1021">
        <f>(VLOOKUP(YEAR($A40),'NY East Load Projections'!$A$4:$EO$14,((MONTH($A40)-1)*12)+VLOOKUP(AZ$4,$DE$6:$DF$17,2)+1))*$C40</f>
        <v>-492.02202060605271</v>
      </c>
      <c r="BA40" s="1021">
        <f>(VLOOKUP(YEAR($A40),'NY East Load Projections'!$A$4:$EO$14,((MONTH($A40)-1)*12)+VLOOKUP(BA$4,$DE$6:$DF$17,2)+1))*$C40</f>
        <v>-477.84668034447475</v>
      </c>
      <c r="BB40" s="1021">
        <f>(VLOOKUP(YEAR($A40),'NY East Load Projections'!$A$4:$EO$14,((MONTH($A40)-1)*12)+VLOOKUP(BB$4,$DE$6:$DF$17,2)+1))*$C40</f>
        <v>-477.84668034447475</v>
      </c>
      <c r="BC40" s="1021">
        <f>(VLOOKUP(YEAR($A40),'NY East Load Projections'!$A$4:$EO$14,((MONTH($A40)-1)*12)+VLOOKUP(BC$4,$DE$6:$DF$17,2)+1))*$C40</f>
        <v>-477.84668034447475</v>
      </c>
      <c r="BD40" s="1021">
        <f>(VLOOKUP(YEAR($A40),'NY East Load Projections'!$A$4:$EO$14,((MONTH($A40)-1)*12)+VLOOKUP(BD$4,$DE$6:$DF$17,2)+1))*$C40</f>
        <v>-477.84668034447475</v>
      </c>
      <c r="BE40" s="1021"/>
      <c r="BF40" s="1021">
        <f>(VLOOKUP(YEAR($A40),'NY East Load Projections'!$A$4:$EO$14,((MONTH($A40)-1)*12)+VLOOKUP(BF$4,$DE$6:$DF$17,2)+1))*$D40</f>
        <v>-470.94693521486238</v>
      </c>
      <c r="BG40" s="1021">
        <f>(VLOOKUP(YEAR($A40),'NY East Load Projections'!$A$4:$EO$14,((MONTH($A40)-1)*12)+VLOOKUP(BG$4,$DE$6:$DF$17,2)+1))*$D40</f>
        <v>-470.94693521486238</v>
      </c>
      <c r="BH40" s="1021">
        <f>(VLOOKUP(YEAR($A40),'NY East Load Projections'!$A$4:$EO$14,((MONTH($A40)-1)*12)+VLOOKUP(BH$4,$DE$6:$DF$17,2)+1))*$D40</f>
        <v>-470.94693521486238</v>
      </c>
      <c r="BI40" s="1021">
        <f>(VLOOKUP(YEAR($A40),'NY East Load Projections'!$A$4:$EO$14,((MONTH($A40)-1)*12)+VLOOKUP(BI$4,$DE$6:$DF$17,2)+1))*$D40</f>
        <v>-470.94693521486238</v>
      </c>
      <c r="BJ40" s="1021">
        <f>(VLOOKUP(YEAR($A40),'NY East Load Projections'!$A$4:$EO$14,((MONTH($A40)-1)*12)+VLOOKUP(BJ$4,$DE$6:$DF$17,2)+1))*$D40</f>
        <v>-478.02548889292831</v>
      </c>
      <c r="BK40" s="1021">
        <f>(VLOOKUP(YEAR($A40),'NY East Load Projections'!$A$4:$EO$14,((MONTH($A40)-1)*12)+VLOOKUP(BK$4,$DE$6:$DF$17,2)+1))*$D40</f>
        <v>-478.02548889292831</v>
      </c>
      <c r="BL40" s="1021">
        <f>(VLOOKUP(YEAR($A40),'NY East Load Projections'!$A$4:$EO$14,((MONTH($A40)-1)*12)+VLOOKUP(BL$4,$DE$6:$DF$17,2)+1))*$D40</f>
        <v>-478.02548889292831</v>
      </c>
      <c r="BM40" s="1021">
        <f>(VLOOKUP(YEAR($A40),'NY East Load Projections'!$A$4:$EO$14,((MONTH($A40)-1)*12)+VLOOKUP(BM$4,$DE$6:$DF$17,2)+1))*$D40</f>
        <v>-478.02548889292831</v>
      </c>
      <c r="BN40" s="1021">
        <f>(VLOOKUP(YEAR($A40),'NY East Load Projections'!$A$4:$EO$14,((MONTH($A40)-1)*12)+VLOOKUP(BN$4,$DE$6:$DF$17,2)+1))*$D40</f>
        <v>-508.25956168973624</v>
      </c>
      <c r="BO40" s="1021">
        <f>(VLOOKUP(YEAR($A40),'NY East Load Projections'!$A$4:$EO$14,((MONTH($A40)-1)*12)+VLOOKUP(BO$4,$DE$6:$DF$17,2)+1))*$D40</f>
        <v>-508.25956168973624</v>
      </c>
      <c r="BP40" s="1021">
        <f>(VLOOKUP(YEAR($A40),'NY East Load Projections'!$A$4:$EO$14,((MONTH($A40)-1)*12)+VLOOKUP(BP$4,$DE$6:$DF$17,2)+1))*$D40</f>
        <v>-508.25956168973624</v>
      </c>
      <c r="BQ40" s="1021">
        <f>(VLOOKUP(YEAR($A40),'NY East Load Projections'!$A$4:$EO$14,((MONTH($A40)-1)*12)+VLOOKUP(BQ$4,$DE$6:$DF$17,2)+1))*$D40</f>
        <v>-508.25956168973624</v>
      </c>
      <c r="BR40" s="1021">
        <f>(VLOOKUP(YEAR($A40),'NY East Load Projections'!$A$4:$EO$14,((MONTH($A40)-1)*12)+VLOOKUP(BR$4,$DE$6:$DF$17,2)+1))*$D40</f>
        <v>-512.93320737927627</v>
      </c>
      <c r="BS40" s="1021">
        <f>(VLOOKUP(YEAR($A40),'NY East Load Projections'!$A$4:$EO$14,((MONTH($A40)-1)*12)+VLOOKUP(BS$4,$DE$6:$DF$17,2)+1))*$D40</f>
        <v>-512.93320737927627</v>
      </c>
      <c r="BT40" s="1021">
        <f>(VLOOKUP(YEAR($A40),'NY East Load Projections'!$A$4:$EO$14,((MONTH($A40)-1)*12)+VLOOKUP(BT$4,$DE$6:$DF$17,2)+1))*$D40</f>
        <v>-512.93320737927627</v>
      </c>
      <c r="BU40" s="1021">
        <f>(VLOOKUP(YEAR($A40),'NY East Load Projections'!$A$4:$EO$14,((MONTH($A40)-1)*12)+VLOOKUP(BU$4,$DE$6:$DF$17,2)+1))*$D40</f>
        <v>-512.93320737927627</v>
      </c>
      <c r="BV40" s="1021">
        <f>(VLOOKUP(YEAR($A40),'NY East Load Projections'!$A$4:$EO$14,((MONTH($A40)-1)*12)+VLOOKUP(BV$4,$DE$6:$DF$17,2)+1))*$D40</f>
        <v>-492.02202060605271</v>
      </c>
      <c r="BW40" s="1021">
        <f>(VLOOKUP(YEAR($A40),'NY East Load Projections'!$A$4:$EO$14,((MONTH($A40)-1)*12)+VLOOKUP(BW$4,$DE$6:$DF$17,2)+1))*$D40</f>
        <v>-492.02202060605271</v>
      </c>
      <c r="BX40" s="1021">
        <f>(VLOOKUP(YEAR($A40),'NY East Load Projections'!$A$4:$EO$14,((MONTH($A40)-1)*12)+VLOOKUP(BX$4,$DE$6:$DF$17,2)+1))*$D40</f>
        <v>-492.02202060605271</v>
      </c>
      <c r="BY40" s="1021">
        <f>(VLOOKUP(YEAR($A40),'NY East Load Projections'!$A$4:$EO$14,((MONTH($A40)-1)*12)+VLOOKUP(BY$4,$DE$6:$DF$17,2)+1))*$D40</f>
        <v>-492.02202060605271</v>
      </c>
      <c r="BZ40" s="1021">
        <f>(VLOOKUP(YEAR($A40),'NY East Load Projections'!$A$4:$EO$14,((MONTH($A40)-1)*12)+VLOOKUP(BZ$4,$DE$6:$DF$17,2)+1))*$D40</f>
        <v>-477.84668034447475</v>
      </c>
      <c r="CA40" s="1021">
        <f>(VLOOKUP(YEAR($A40),'NY East Load Projections'!$A$4:$EO$14,((MONTH($A40)-1)*12)+VLOOKUP(CA$4,$DE$6:$DF$17,2)+1))*$D40</f>
        <v>-477.84668034447475</v>
      </c>
      <c r="CB40" s="1021">
        <f>(VLOOKUP(YEAR($A40),'NY East Load Projections'!$A$4:$EO$14,((MONTH($A40)-1)*12)+VLOOKUP(CB$4,$DE$6:$DF$17,2)+1))*$D40</f>
        <v>-477.84668034447475</v>
      </c>
      <c r="CC40" s="1021">
        <f>(VLOOKUP(YEAR($A40),'NY East Load Projections'!$A$4:$EO$14,((MONTH($A40)-1)*12)+VLOOKUP(CC$4,$DE$6:$DF$17,2)+1))*$D40</f>
        <v>-477.84668034447475</v>
      </c>
      <c r="CE40" s="1021">
        <f>(VLOOKUP(YEAR($A40),'NY East Load Projections'!$A$4:$EO$14,((MONTH($A40)-1)*12)+VLOOKUP(CE$4,$DE$6:$DF$17,2)+1))*$E40</f>
        <v>-94.18938704297247</v>
      </c>
      <c r="CF40" s="1021">
        <f>(VLOOKUP(YEAR($A40),'NY East Load Projections'!$A$4:$EO$14,((MONTH($A40)-1)*12)+VLOOKUP(CF$4,$DE$6:$DF$17,2)+1))*$E40</f>
        <v>-94.18938704297247</v>
      </c>
      <c r="CG40" s="1021">
        <f>(VLOOKUP(YEAR($A40),'NY East Load Projections'!$A$4:$EO$14,((MONTH($A40)-1)*12)+VLOOKUP(CG$4,$DE$6:$DF$17,2)+1))*$E40</f>
        <v>-94.18938704297247</v>
      </c>
      <c r="CH40" s="1021">
        <f>(VLOOKUP(YEAR($A40),'NY East Load Projections'!$A$4:$EO$14,((MONTH($A40)-1)*12)+VLOOKUP(CH$4,$DE$6:$DF$17,2)+1))*$E40</f>
        <v>-94.18938704297247</v>
      </c>
      <c r="CI40" s="1021">
        <f>(VLOOKUP(YEAR($A40),'NY East Load Projections'!$A$4:$EO$14,((MONTH($A40)-1)*12)+VLOOKUP(CI$4,$DE$6:$DF$17,2)+1))*$E40</f>
        <v>-95.605097778585659</v>
      </c>
      <c r="CJ40" s="1021">
        <f>(VLOOKUP(YEAR($A40),'NY East Load Projections'!$A$4:$EO$14,((MONTH($A40)-1)*12)+VLOOKUP(CJ$4,$DE$6:$DF$17,2)+1))*$E40</f>
        <v>-95.605097778585659</v>
      </c>
      <c r="CK40" s="1021">
        <f>(VLOOKUP(YEAR($A40),'NY East Load Projections'!$A$4:$EO$14,((MONTH($A40)-1)*12)+VLOOKUP(CK$4,$DE$6:$DF$17,2)+1))*$E40</f>
        <v>-95.605097778585659</v>
      </c>
      <c r="CL40" s="1021">
        <f>(VLOOKUP(YEAR($A40),'NY East Load Projections'!$A$4:$EO$14,((MONTH($A40)-1)*12)+VLOOKUP(CL$4,$DE$6:$DF$17,2)+1))*$E40</f>
        <v>-95.605097778585659</v>
      </c>
      <c r="CM40" s="1021">
        <f>(VLOOKUP(YEAR($A40),'NY East Load Projections'!$A$4:$EO$14,((MONTH($A40)-1)*12)+VLOOKUP(CM$4,$DE$6:$DF$17,2)+1))*$E40</f>
        <v>-101.65191233794725</v>
      </c>
      <c r="CN40" s="1021">
        <f>(VLOOKUP(YEAR($A40),'NY East Load Projections'!$A$4:$EO$14,((MONTH($A40)-1)*12)+VLOOKUP(CN$4,$DE$6:$DF$17,2)+1))*$E40</f>
        <v>-101.65191233794725</v>
      </c>
      <c r="CO40" s="1021">
        <f>(VLOOKUP(YEAR($A40),'NY East Load Projections'!$A$4:$EO$14,((MONTH($A40)-1)*12)+VLOOKUP(CO$4,$DE$6:$DF$17,2)+1))*$E40</f>
        <v>-101.65191233794725</v>
      </c>
      <c r="CP40" s="1021">
        <f>(VLOOKUP(YEAR($A40),'NY East Load Projections'!$A$4:$EO$14,((MONTH($A40)-1)*12)+VLOOKUP(CP$4,$DE$6:$DF$17,2)+1))*$E40</f>
        <v>-101.65191233794725</v>
      </c>
      <c r="CQ40" s="1021">
        <f>(VLOOKUP(YEAR($A40),'NY East Load Projections'!$A$4:$EO$14,((MONTH($A40)-1)*12)+VLOOKUP(CQ$4,$DE$6:$DF$17,2)+1))*$E40</f>
        <v>-102.58664147585526</v>
      </c>
      <c r="CR40" s="1021">
        <f>(VLOOKUP(YEAR($A40),'NY East Load Projections'!$A$4:$EO$14,((MONTH($A40)-1)*12)+VLOOKUP(CR$4,$DE$6:$DF$17,2)+1))*$E40</f>
        <v>-102.58664147585526</v>
      </c>
      <c r="CS40" s="1021">
        <f>(VLOOKUP(YEAR($A40),'NY East Load Projections'!$A$4:$EO$14,((MONTH($A40)-1)*12)+VLOOKUP(CS$4,$DE$6:$DF$17,2)+1))*$E40</f>
        <v>-102.58664147585526</v>
      </c>
      <c r="CT40" s="1021">
        <f>(VLOOKUP(YEAR($A40),'NY East Load Projections'!$A$4:$EO$14,((MONTH($A40)-1)*12)+VLOOKUP(CT$4,$DE$6:$DF$17,2)+1))*$E40</f>
        <v>-102.58664147585526</v>
      </c>
      <c r="CU40" s="1021">
        <f>(VLOOKUP(YEAR($A40),'NY East Load Projections'!$A$4:$EO$14,((MONTH($A40)-1)*12)+VLOOKUP(CU$4,$DE$6:$DF$17,2)+1))*$E40</f>
        <v>-98.404404121210547</v>
      </c>
      <c r="CV40" s="1021">
        <f>(VLOOKUP(YEAR($A40),'NY East Load Projections'!$A$4:$EO$14,((MONTH($A40)-1)*12)+VLOOKUP(CV$4,$DE$6:$DF$17,2)+1))*$E40</f>
        <v>-98.404404121210547</v>
      </c>
      <c r="CW40" s="1021">
        <f>(VLOOKUP(YEAR($A40),'NY East Load Projections'!$A$4:$EO$14,((MONTH($A40)-1)*12)+VLOOKUP(CW$4,$DE$6:$DF$17,2)+1))*$E40</f>
        <v>-98.404404121210547</v>
      </c>
      <c r="CX40" s="1021">
        <f>(VLOOKUP(YEAR($A40),'NY East Load Projections'!$A$4:$EO$14,((MONTH($A40)-1)*12)+VLOOKUP(CX$4,$DE$6:$DF$17,2)+1))*$E40</f>
        <v>-98.404404121210547</v>
      </c>
      <c r="CY40" s="1021">
        <f>(VLOOKUP(YEAR($A40),'NY East Load Projections'!$A$4:$EO$14,((MONTH($A40)-1)*12)+VLOOKUP(CY$4,$DE$6:$DF$17,2)+1))*$E40</f>
        <v>-95.569336068894955</v>
      </c>
      <c r="CZ40" s="1021">
        <f>(VLOOKUP(YEAR($A40),'NY East Load Projections'!$A$4:$EO$14,((MONTH($A40)-1)*12)+VLOOKUP(CZ$4,$DE$6:$DF$17,2)+1))*$E40</f>
        <v>-95.569336068894955</v>
      </c>
      <c r="DA40" s="1021">
        <f>(VLOOKUP(YEAR($A40),'NY East Load Projections'!$A$4:$EO$14,((MONTH($A40)-1)*12)+VLOOKUP(DA$4,$DE$6:$DF$17,2)+1))*$E40</f>
        <v>-95.569336068894955</v>
      </c>
      <c r="DB40" s="1021">
        <f>(VLOOKUP(YEAR($A40),'NY East Load Projections'!$A$4:$EO$14,((MONTH($A40)-1)*12)+VLOOKUP(DB$4,$DE$6:$DF$17,2)+1))*$E40</f>
        <v>-95.569336068894955</v>
      </c>
      <c r="DH40" s="1009">
        <f t="shared" si="2"/>
        <v>-72005.088726006303</v>
      </c>
      <c r="DI40">
        <f ca="1">CALC!J60</f>
        <v>0.76308263577695024</v>
      </c>
      <c r="DJ40" s="1032">
        <f t="shared" ca="1" si="1"/>
        <v>-54945.832894394051</v>
      </c>
    </row>
    <row r="41" spans="1:114" x14ac:dyDescent="0.25">
      <c r="A41" s="244">
        <v>37956</v>
      </c>
      <c r="B41" s="13">
        <v>22</v>
      </c>
      <c r="C41" s="210">
        <v>4</v>
      </c>
      <c r="D41" s="210">
        <v>4</v>
      </c>
      <c r="E41" s="210">
        <v>1</v>
      </c>
      <c r="F41" s="13">
        <v>31</v>
      </c>
      <c r="H41" s="1021">
        <f>(VLOOKUP(YEAR($A41),'NY East Load Projections'!$A$4:$EO$14,((MONTH($A41)-1)*12)+VLOOKUP(H$4,$DE$6:$DF$17,2)+1))*$B41</f>
        <v>-1932.9499627171651</v>
      </c>
      <c r="I41" s="1021">
        <f>(VLOOKUP(YEAR($A41),'NY East Load Projections'!$A$4:$EO$14,((MONTH($A41)-1)*12)+VLOOKUP(I$4,$DE$6:$DF$17,2)+1))*$B41</f>
        <v>-1932.9499627171651</v>
      </c>
      <c r="J41" s="1021">
        <f>(VLOOKUP(YEAR($A41),'NY East Load Projections'!$A$4:$EO$14,((MONTH($A41)-1)*12)+VLOOKUP(J$4,$DE$6:$DF$17,2)+1))*$B41</f>
        <v>-1932.9499627171651</v>
      </c>
      <c r="K41" s="1021">
        <f>(VLOOKUP(YEAR($A41),'NY East Load Projections'!$A$4:$EO$14,((MONTH($A41)-1)*12)+VLOOKUP(K$4,$DE$6:$DF$17,2)+1))*$B41</f>
        <v>-1932.9499627171651</v>
      </c>
      <c r="L41" s="1021">
        <f>(VLOOKUP(YEAR($A41),'NY East Load Projections'!$A$4:$EO$14,((MONTH($A41)-1)*12)+VLOOKUP(L$4,$DE$6:$DF$17,2)+1))*$B41</f>
        <v>-2154.7190504576133</v>
      </c>
      <c r="M41" s="1021">
        <f>(VLOOKUP(YEAR($A41),'NY East Load Projections'!$A$4:$EO$14,((MONTH($A41)-1)*12)+VLOOKUP(M$4,$DE$6:$DF$17,2)+1))*$B41</f>
        <v>-2154.7190504576133</v>
      </c>
      <c r="N41" s="1021">
        <f>(VLOOKUP(YEAR($A41),'NY East Load Projections'!$A$4:$EO$14,((MONTH($A41)-1)*12)+VLOOKUP(N$4,$DE$6:$DF$17,2)+1))*$B41</f>
        <v>-2154.7190504576133</v>
      </c>
      <c r="O41" s="1021">
        <f>(VLOOKUP(YEAR($A41),'NY East Load Projections'!$A$4:$EO$14,((MONTH($A41)-1)*12)+VLOOKUP(O$4,$DE$6:$DF$17,2)+1))*$B41</f>
        <v>-2154.7190504576133</v>
      </c>
      <c r="P41" s="1021">
        <f>(VLOOKUP(YEAR($A41),'NY East Load Projections'!$A$4:$EO$14,((MONTH($A41)-1)*12)+VLOOKUP(P$4,$DE$6:$DF$17,2)+1))*$B41</f>
        <v>-2338.0401561875369</v>
      </c>
      <c r="Q41" s="1021">
        <f>(VLOOKUP(YEAR($A41),'NY East Load Projections'!$A$4:$EO$14,((MONTH($A41)-1)*12)+VLOOKUP(Q$4,$DE$6:$DF$17,2)+1))*$B41</f>
        <v>-2338.0401561875369</v>
      </c>
      <c r="R41" s="1021">
        <f>(VLOOKUP(YEAR($A41),'NY East Load Projections'!$A$4:$EO$14,((MONTH($A41)-1)*12)+VLOOKUP(R$4,$DE$6:$DF$17,2)+1))*$B41</f>
        <v>-2338.0401561875369</v>
      </c>
      <c r="S41" s="1021">
        <f>(VLOOKUP(YEAR($A41),'NY East Load Projections'!$A$4:$EO$14,((MONTH($A41)-1)*12)+VLOOKUP(S$4,$DE$6:$DF$17,2)+1))*$B41</f>
        <v>-2338.0401561875369</v>
      </c>
      <c r="T41" s="1021">
        <f>(VLOOKUP(YEAR($A41),'NY East Load Projections'!$A$4:$EO$14,((MONTH($A41)-1)*12)+VLOOKUP(T$4,$DE$6:$DF$17,2)+1))*$B41</f>
        <v>-2346.3902208974177</v>
      </c>
      <c r="U41" s="1021">
        <f>(VLOOKUP(YEAR($A41),'NY East Load Projections'!$A$4:$EO$14,((MONTH($A41)-1)*12)+VLOOKUP(U$4,$DE$6:$DF$17,2)+1))*$B41</f>
        <v>-2346.3902208974177</v>
      </c>
      <c r="V41" s="1021">
        <f>(VLOOKUP(YEAR($A41),'NY East Load Projections'!$A$4:$EO$14,((MONTH($A41)-1)*12)+VLOOKUP(V$4,$DE$6:$DF$17,2)+1))*$B41</f>
        <v>-2346.3902208974177</v>
      </c>
      <c r="W41" s="1021">
        <f>(VLOOKUP(YEAR($A41),'NY East Load Projections'!$A$4:$EO$14,((MONTH($A41)-1)*12)+VLOOKUP(W$4,$DE$6:$DF$17,2)+1))*$B41</f>
        <v>-2346.3902208974177</v>
      </c>
      <c r="X41" s="1021">
        <f>(VLOOKUP(YEAR($A41),'NY East Load Projections'!$A$4:$EO$14,((MONTH($A41)-1)*12)+VLOOKUP(X$4,$DE$6:$DF$17,2)+1))*$B41</f>
        <v>-2212.5029681492488</v>
      </c>
      <c r="Y41" s="1021">
        <f>(VLOOKUP(YEAR($A41),'NY East Load Projections'!$A$4:$EO$14,((MONTH($A41)-1)*12)+VLOOKUP(Y$4,$DE$6:$DF$17,2)+1))*$B41</f>
        <v>-2212.5029681492488</v>
      </c>
      <c r="Z41" s="1021">
        <f>(VLOOKUP(YEAR($A41),'NY East Load Projections'!$A$4:$EO$14,((MONTH($A41)-1)*12)+VLOOKUP(Z$4,$DE$6:$DF$17,2)+1))*$B41</f>
        <v>-2212.5029681492488</v>
      </c>
      <c r="AA41" s="1021">
        <f>(VLOOKUP(YEAR($A41),'NY East Load Projections'!$A$4:$EO$14,((MONTH($A41)-1)*12)+VLOOKUP(AA$4,$DE$6:$DF$17,2)+1))*$B41</f>
        <v>-2212.5029681492488</v>
      </c>
      <c r="AB41" s="1021">
        <f>(VLOOKUP(YEAR($A41),'NY East Load Projections'!$A$4:$EO$14,((MONTH($A41)-1)*12)+VLOOKUP(AB$4,$DE$6:$DF$17,2)+1))*$B41</f>
        <v>-2017.4831714811021</v>
      </c>
      <c r="AC41" s="1021">
        <f>(VLOOKUP(YEAR($A41),'NY East Load Projections'!$A$4:$EO$14,((MONTH($A41)-1)*12)+VLOOKUP(AC$4,$DE$6:$DF$17,2)+1))*$B41</f>
        <v>-2017.4831714811021</v>
      </c>
      <c r="AD41" s="1021">
        <f>(VLOOKUP(YEAR($A41),'NY East Load Projections'!$A$4:$EO$14,((MONTH($A41)-1)*12)+VLOOKUP(AD$4,$DE$6:$DF$17,2)+1))*$B41</f>
        <v>-2017.4831714811021</v>
      </c>
      <c r="AE41" s="1021">
        <f>(VLOOKUP(YEAR($A41),'NY East Load Projections'!$A$4:$EO$14,((MONTH($A41)-1)*12)+VLOOKUP(AE$4,$DE$6:$DF$17,2)+1))*$B41</f>
        <v>-2017.4831714811021</v>
      </c>
      <c r="AF41" s="1021"/>
      <c r="AG41" s="1021">
        <f>(VLOOKUP(YEAR($A41),'NY East Load Projections'!$A$4:$EO$14,((MONTH($A41)-1)*12)+VLOOKUP(AG$4,$DE$6:$DF$17,2)+1))*$C41</f>
        <v>-368.82166071111868</v>
      </c>
      <c r="AH41" s="1021">
        <f>(VLOOKUP(YEAR($A41),'NY East Load Projections'!$A$4:$EO$14,((MONTH($A41)-1)*12)+VLOOKUP(AH$4,$DE$6:$DF$17,2)+1))*$C41</f>
        <v>-368.82166071111868</v>
      </c>
      <c r="AI41" s="1021">
        <f>(VLOOKUP(YEAR($A41),'NY East Load Projections'!$A$4:$EO$14,((MONTH($A41)-1)*12)+VLOOKUP(AI$4,$DE$6:$DF$17,2)+1))*$C41</f>
        <v>-368.82166071111868</v>
      </c>
      <c r="AJ41" s="1021">
        <f>(VLOOKUP(YEAR($A41),'NY East Load Projections'!$A$4:$EO$14,((MONTH($A41)-1)*12)+VLOOKUP(AJ$4,$DE$6:$DF$17,2)+1))*$C41</f>
        <v>-368.82166071111868</v>
      </c>
      <c r="AK41" s="1021">
        <f>(VLOOKUP(YEAR($A41),'NY East Load Projections'!$A$4:$EO$14,((MONTH($A41)-1)*12)+VLOOKUP(AK$4,$DE$6:$DF$17,2)+1))*$C41</f>
        <v>-377.02689367868777</v>
      </c>
      <c r="AL41" s="1021">
        <f>(VLOOKUP(YEAR($A41),'NY East Load Projections'!$A$4:$EO$14,((MONTH($A41)-1)*12)+VLOOKUP(AL$4,$DE$6:$DF$17,2)+1))*$C41</f>
        <v>-377.02689367868777</v>
      </c>
      <c r="AM41" s="1021">
        <f>(VLOOKUP(YEAR($A41),'NY East Load Projections'!$A$4:$EO$14,((MONTH($A41)-1)*12)+VLOOKUP(AM$4,$DE$6:$DF$17,2)+1))*$C41</f>
        <v>-377.02689367868777</v>
      </c>
      <c r="AN41" s="1021">
        <f>(VLOOKUP(YEAR($A41),'NY East Load Projections'!$A$4:$EO$14,((MONTH($A41)-1)*12)+VLOOKUP(AN$4,$DE$6:$DF$17,2)+1))*$C41</f>
        <v>-377.02689367868777</v>
      </c>
      <c r="AO41" s="1021">
        <f>(VLOOKUP(YEAR($A41),'NY East Load Projections'!$A$4:$EO$14,((MONTH($A41)-1)*12)+VLOOKUP(AO$4,$DE$6:$DF$17,2)+1))*$C41</f>
        <v>-401.3882882309199</v>
      </c>
      <c r="AP41" s="1021">
        <f>(VLOOKUP(YEAR($A41),'NY East Load Projections'!$A$4:$EO$14,((MONTH($A41)-1)*12)+VLOOKUP(AP$4,$DE$6:$DF$17,2)+1))*$C41</f>
        <v>-401.3882882309199</v>
      </c>
      <c r="AQ41" s="1021">
        <f>(VLOOKUP(YEAR($A41),'NY East Load Projections'!$A$4:$EO$14,((MONTH($A41)-1)*12)+VLOOKUP(AQ$4,$DE$6:$DF$17,2)+1))*$C41</f>
        <v>-401.3882882309199</v>
      </c>
      <c r="AR41" s="1021">
        <f>(VLOOKUP(YEAR($A41),'NY East Load Projections'!$A$4:$EO$14,((MONTH($A41)-1)*12)+VLOOKUP(AR$4,$DE$6:$DF$17,2)+1))*$C41</f>
        <v>-401.3882882309199</v>
      </c>
      <c r="AS41" s="1021">
        <f>(VLOOKUP(YEAR($A41),'NY East Load Projections'!$A$4:$EO$14,((MONTH($A41)-1)*12)+VLOOKUP(AS$4,$DE$6:$DF$17,2)+1))*$C41</f>
        <v>-397.51350915545891</v>
      </c>
      <c r="AT41" s="1021">
        <f>(VLOOKUP(YEAR($A41),'NY East Load Projections'!$A$4:$EO$14,((MONTH($A41)-1)*12)+VLOOKUP(AT$4,$DE$6:$DF$17,2)+1))*$C41</f>
        <v>-397.51350915545891</v>
      </c>
      <c r="AU41" s="1021">
        <f>(VLOOKUP(YEAR($A41),'NY East Load Projections'!$A$4:$EO$14,((MONTH($A41)-1)*12)+VLOOKUP(AU$4,$DE$6:$DF$17,2)+1))*$C41</f>
        <v>-397.51350915545891</v>
      </c>
      <c r="AV41" s="1021">
        <f>(VLOOKUP(YEAR($A41),'NY East Load Projections'!$A$4:$EO$14,((MONTH($A41)-1)*12)+VLOOKUP(AV$4,$DE$6:$DF$17,2)+1))*$C41</f>
        <v>-397.51350915545891</v>
      </c>
      <c r="AW41" s="1021">
        <f>(VLOOKUP(YEAR($A41),'NY East Load Projections'!$A$4:$EO$14,((MONTH($A41)-1)*12)+VLOOKUP(AW$4,$DE$6:$DF$17,2)+1))*$C41</f>
        <v>-383.60688208950273</v>
      </c>
      <c r="AX41" s="1021">
        <f>(VLOOKUP(YEAR($A41),'NY East Load Projections'!$A$4:$EO$14,((MONTH($A41)-1)*12)+VLOOKUP(AX$4,$DE$6:$DF$17,2)+1))*$C41</f>
        <v>-383.60688208950273</v>
      </c>
      <c r="AY41" s="1021">
        <f>(VLOOKUP(YEAR($A41),'NY East Load Projections'!$A$4:$EO$14,((MONTH($A41)-1)*12)+VLOOKUP(AY$4,$DE$6:$DF$17,2)+1))*$C41</f>
        <v>-383.60688208950273</v>
      </c>
      <c r="AZ41" s="1021">
        <f>(VLOOKUP(YEAR($A41),'NY East Load Projections'!$A$4:$EO$14,((MONTH($A41)-1)*12)+VLOOKUP(AZ$4,$DE$6:$DF$17,2)+1))*$C41</f>
        <v>-383.60688208950273</v>
      </c>
      <c r="BA41" s="1021">
        <f>(VLOOKUP(YEAR($A41),'NY East Load Projections'!$A$4:$EO$14,((MONTH($A41)-1)*12)+VLOOKUP(BA$4,$DE$6:$DF$17,2)+1))*$C41</f>
        <v>-376.2547691783505</v>
      </c>
      <c r="BB41" s="1021">
        <f>(VLOOKUP(YEAR($A41),'NY East Load Projections'!$A$4:$EO$14,((MONTH($A41)-1)*12)+VLOOKUP(BB$4,$DE$6:$DF$17,2)+1))*$C41</f>
        <v>-376.2547691783505</v>
      </c>
      <c r="BC41" s="1021">
        <f>(VLOOKUP(YEAR($A41),'NY East Load Projections'!$A$4:$EO$14,((MONTH($A41)-1)*12)+VLOOKUP(BC$4,$DE$6:$DF$17,2)+1))*$C41</f>
        <v>-376.2547691783505</v>
      </c>
      <c r="BD41" s="1021">
        <f>(VLOOKUP(YEAR($A41),'NY East Load Projections'!$A$4:$EO$14,((MONTH($A41)-1)*12)+VLOOKUP(BD$4,$DE$6:$DF$17,2)+1))*$C41</f>
        <v>-376.2547691783505</v>
      </c>
      <c r="BE41" s="1021"/>
      <c r="BF41" s="1021">
        <f>(VLOOKUP(YEAR($A41),'NY East Load Projections'!$A$4:$EO$14,((MONTH($A41)-1)*12)+VLOOKUP(BF$4,$DE$6:$DF$17,2)+1))*$D41</f>
        <v>-368.82166071111868</v>
      </c>
      <c r="BG41" s="1021">
        <f>(VLOOKUP(YEAR($A41),'NY East Load Projections'!$A$4:$EO$14,((MONTH($A41)-1)*12)+VLOOKUP(BG$4,$DE$6:$DF$17,2)+1))*$D41</f>
        <v>-368.82166071111868</v>
      </c>
      <c r="BH41" s="1021">
        <f>(VLOOKUP(YEAR($A41),'NY East Load Projections'!$A$4:$EO$14,((MONTH($A41)-1)*12)+VLOOKUP(BH$4,$DE$6:$DF$17,2)+1))*$D41</f>
        <v>-368.82166071111868</v>
      </c>
      <c r="BI41" s="1021">
        <f>(VLOOKUP(YEAR($A41),'NY East Load Projections'!$A$4:$EO$14,((MONTH($A41)-1)*12)+VLOOKUP(BI$4,$DE$6:$DF$17,2)+1))*$D41</f>
        <v>-368.82166071111868</v>
      </c>
      <c r="BJ41" s="1021">
        <f>(VLOOKUP(YEAR($A41),'NY East Load Projections'!$A$4:$EO$14,((MONTH($A41)-1)*12)+VLOOKUP(BJ$4,$DE$6:$DF$17,2)+1))*$D41</f>
        <v>-377.02689367868777</v>
      </c>
      <c r="BK41" s="1021">
        <f>(VLOOKUP(YEAR($A41),'NY East Load Projections'!$A$4:$EO$14,((MONTH($A41)-1)*12)+VLOOKUP(BK$4,$DE$6:$DF$17,2)+1))*$D41</f>
        <v>-377.02689367868777</v>
      </c>
      <c r="BL41" s="1021">
        <f>(VLOOKUP(YEAR($A41),'NY East Load Projections'!$A$4:$EO$14,((MONTH($A41)-1)*12)+VLOOKUP(BL$4,$DE$6:$DF$17,2)+1))*$D41</f>
        <v>-377.02689367868777</v>
      </c>
      <c r="BM41" s="1021">
        <f>(VLOOKUP(YEAR($A41),'NY East Load Projections'!$A$4:$EO$14,((MONTH($A41)-1)*12)+VLOOKUP(BM$4,$DE$6:$DF$17,2)+1))*$D41</f>
        <v>-377.02689367868777</v>
      </c>
      <c r="BN41" s="1021">
        <f>(VLOOKUP(YEAR($A41),'NY East Load Projections'!$A$4:$EO$14,((MONTH($A41)-1)*12)+VLOOKUP(BN$4,$DE$6:$DF$17,2)+1))*$D41</f>
        <v>-401.3882882309199</v>
      </c>
      <c r="BO41" s="1021">
        <f>(VLOOKUP(YEAR($A41),'NY East Load Projections'!$A$4:$EO$14,((MONTH($A41)-1)*12)+VLOOKUP(BO$4,$DE$6:$DF$17,2)+1))*$D41</f>
        <v>-401.3882882309199</v>
      </c>
      <c r="BP41" s="1021">
        <f>(VLOOKUP(YEAR($A41),'NY East Load Projections'!$A$4:$EO$14,((MONTH($A41)-1)*12)+VLOOKUP(BP$4,$DE$6:$DF$17,2)+1))*$D41</f>
        <v>-401.3882882309199</v>
      </c>
      <c r="BQ41" s="1021">
        <f>(VLOOKUP(YEAR($A41),'NY East Load Projections'!$A$4:$EO$14,((MONTH($A41)-1)*12)+VLOOKUP(BQ$4,$DE$6:$DF$17,2)+1))*$D41</f>
        <v>-401.3882882309199</v>
      </c>
      <c r="BR41" s="1021">
        <f>(VLOOKUP(YEAR($A41),'NY East Load Projections'!$A$4:$EO$14,((MONTH($A41)-1)*12)+VLOOKUP(BR$4,$DE$6:$DF$17,2)+1))*$D41</f>
        <v>-397.51350915545891</v>
      </c>
      <c r="BS41" s="1021">
        <f>(VLOOKUP(YEAR($A41),'NY East Load Projections'!$A$4:$EO$14,((MONTH($A41)-1)*12)+VLOOKUP(BS$4,$DE$6:$DF$17,2)+1))*$D41</f>
        <v>-397.51350915545891</v>
      </c>
      <c r="BT41" s="1021">
        <f>(VLOOKUP(YEAR($A41),'NY East Load Projections'!$A$4:$EO$14,((MONTH($A41)-1)*12)+VLOOKUP(BT$4,$DE$6:$DF$17,2)+1))*$D41</f>
        <v>-397.51350915545891</v>
      </c>
      <c r="BU41" s="1021">
        <f>(VLOOKUP(YEAR($A41),'NY East Load Projections'!$A$4:$EO$14,((MONTH($A41)-1)*12)+VLOOKUP(BU$4,$DE$6:$DF$17,2)+1))*$D41</f>
        <v>-397.51350915545891</v>
      </c>
      <c r="BV41" s="1021">
        <f>(VLOOKUP(YEAR($A41),'NY East Load Projections'!$A$4:$EO$14,((MONTH($A41)-1)*12)+VLOOKUP(BV$4,$DE$6:$DF$17,2)+1))*$D41</f>
        <v>-383.60688208950273</v>
      </c>
      <c r="BW41" s="1021">
        <f>(VLOOKUP(YEAR($A41),'NY East Load Projections'!$A$4:$EO$14,((MONTH($A41)-1)*12)+VLOOKUP(BW$4,$DE$6:$DF$17,2)+1))*$D41</f>
        <v>-383.60688208950273</v>
      </c>
      <c r="BX41" s="1021">
        <f>(VLOOKUP(YEAR($A41),'NY East Load Projections'!$A$4:$EO$14,((MONTH($A41)-1)*12)+VLOOKUP(BX$4,$DE$6:$DF$17,2)+1))*$D41</f>
        <v>-383.60688208950273</v>
      </c>
      <c r="BY41" s="1021">
        <f>(VLOOKUP(YEAR($A41),'NY East Load Projections'!$A$4:$EO$14,((MONTH($A41)-1)*12)+VLOOKUP(BY$4,$DE$6:$DF$17,2)+1))*$D41</f>
        <v>-383.60688208950273</v>
      </c>
      <c r="BZ41" s="1021">
        <f>(VLOOKUP(YEAR($A41),'NY East Load Projections'!$A$4:$EO$14,((MONTH($A41)-1)*12)+VLOOKUP(BZ$4,$DE$6:$DF$17,2)+1))*$D41</f>
        <v>-376.2547691783505</v>
      </c>
      <c r="CA41" s="1021">
        <f>(VLOOKUP(YEAR($A41),'NY East Load Projections'!$A$4:$EO$14,((MONTH($A41)-1)*12)+VLOOKUP(CA$4,$DE$6:$DF$17,2)+1))*$D41</f>
        <v>-376.2547691783505</v>
      </c>
      <c r="CB41" s="1021">
        <f>(VLOOKUP(YEAR($A41),'NY East Load Projections'!$A$4:$EO$14,((MONTH($A41)-1)*12)+VLOOKUP(CB$4,$DE$6:$DF$17,2)+1))*$D41</f>
        <v>-376.2547691783505</v>
      </c>
      <c r="CC41" s="1021">
        <f>(VLOOKUP(YEAR($A41),'NY East Load Projections'!$A$4:$EO$14,((MONTH($A41)-1)*12)+VLOOKUP(CC$4,$DE$6:$DF$17,2)+1))*$D41</f>
        <v>-376.2547691783505</v>
      </c>
      <c r="CE41" s="1021">
        <f>(VLOOKUP(YEAR($A41),'NY East Load Projections'!$A$4:$EO$14,((MONTH($A41)-1)*12)+VLOOKUP(CE$4,$DE$6:$DF$17,2)+1))*$E41</f>
        <v>-92.20541517777967</v>
      </c>
      <c r="CF41" s="1021">
        <f>(VLOOKUP(YEAR($A41),'NY East Load Projections'!$A$4:$EO$14,((MONTH($A41)-1)*12)+VLOOKUP(CF$4,$DE$6:$DF$17,2)+1))*$E41</f>
        <v>-92.20541517777967</v>
      </c>
      <c r="CG41" s="1021">
        <f>(VLOOKUP(YEAR($A41),'NY East Load Projections'!$A$4:$EO$14,((MONTH($A41)-1)*12)+VLOOKUP(CG$4,$DE$6:$DF$17,2)+1))*$E41</f>
        <v>-92.20541517777967</v>
      </c>
      <c r="CH41" s="1021">
        <f>(VLOOKUP(YEAR($A41),'NY East Load Projections'!$A$4:$EO$14,((MONTH($A41)-1)*12)+VLOOKUP(CH$4,$DE$6:$DF$17,2)+1))*$E41</f>
        <v>-92.20541517777967</v>
      </c>
      <c r="CI41" s="1021">
        <f>(VLOOKUP(YEAR($A41),'NY East Load Projections'!$A$4:$EO$14,((MONTH($A41)-1)*12)+VLOOKUP(CI$4,$DE$6:$DF$17,2)+1))*$E41</f>
        <v>-94.256723419671943</v>
      </c>
      <c r="CJ41" s="1021">
        <f>(VLOOKUP(YEAR($A41),'NY East Load Projections'!$A$4:$EO$14,((MONTH($A41)-1)*12)+VLOOKUP(CJ$4,$DE$6:$DF$17,2)+1))*$E41</f>
        <v>-94.256723419671943</v>
      </c>
      <c r="CK41" s="1021">
        <f>(VLOOKUP(YEAR($A41),'NY East Load Projections'!$A$4:$EO$14,((MONTH($A41)-1)*12)+VLOOKUP(CK$4,$DE$6:$DF$17,2)+1))*$E41</f>
        <v>-94.256723419671943</v>
      </c>
      <c r="CL41" s="1021">
        <f>(VLOOKUP(YEAR($A41),'NY East Load Projections'!$A$4:$EO$14,((MONTH($A41)-1)*12)+VLOOKUP(CL$4,$DE$6:$DF$17,2)+1))*$E41</f>
        <v>-94.256723419671943</v>
      </c>
      <c r="CM41" s="1021">
        <f>(VLOOKUP(YEAR($A41),'NY East Load Projections'!$A$4:$EO$14,((MONTH($A41)-1)*12)+VLOOKUP(CM$4,$DE$6:$DF$17,2)+1))*$E41</f>
        <v>-100.34707205772997</v>
      </c>
      <c r="CN41" s="1021">
        <f>(VLOOKUP(YEAR($A41),'NY East Load Projections'!$A$4:$EO$14,((MONTH($A41)-1)*12)+VLOOKUP(CN$4,$DE$6:$DF$17,2)+1))*$E41</f>
        <v>-100.34707205772997</v>
      </c>
      <c r="CO41" s="1021">
        <f>(VLOOKUP(YEAR($A41),'NY East Load Projections'!$A$4:$EO$14,((MONTH($A41)-1)*12)+VLOOKUP(CO$4,$DE$6:$DF$17,2)+1))*$E41</f>
        <v>-100.34707205772997</v>
      </c>
      <c r="CP41" s="1021">
        <f>(VLOOKUP(YEAR($A41),'NY East Load Projections'!$A$4:$EO$14,((MONTH($A41)-1)*12)+VLOOKUP(CP$4,$DE$6:$DF$17,2)+1))*$E41</f>
        <v>-100.34707205772997</v>
      </c>
      <c r="CQ41" s="1021">
        <f>(VLOOKUP(YEAR($A41),'NY East Load Projections'!$A$4:$EO$14,((MONTH($A41)-1)*12)+VLOOKUP(CQ$4,$DE$6:$DF$17,2)+1))*$E41</f>
        <v>-99.378377288864726</v>
      </c>
      <c r="CR41" s="1021">
        <f>(VLOOKUP(YEAR($A41),'NY East Load Projections'!$A$4:$EO$14,((MONTH($A41)-1)*12)+VLOOKUP(CR$4,$DE$6:$DF$17,2)+1))*$E41</f>
        <v>-99.378377288864726</v>
      </c>
      <c r="CS41" s="1021">
        <f>(VLOOKUP(YEAR($A41),'NY East Load Projections'!$A$4:$EO$14,((MONTH($A41)-1)*12)+VLOOKUP(CS$4,$DE$6:$DF$17,2)+1))*$E41</f>
        <v>-99.378377288864726</v>
      </c>
      <c r="CT41" s="1021">
        <f>(VLOOKUP(YEAR($A41),'NY East Load Projections'!$A$4:$EO$14,((MONTH($A41)-1)*12)+VLOOKUP(CT$4,$DE$6:$DF$17,2)+1))*$E41</f>
        <v>-99.378377288864726</v>
      </c>
      <c r="CU41" s="1021">
        <f>(VLOOKUP(YEAR($A41),'NY East Load Projections'!$A$4:$EO$14,((MONTH($A41)-1)*12)+VLOOKUP(CU$4,$DE$6:$DF$17,2)+1))*$E41</f>
        <v>-95.901720522375683</v>
      </c>
      <c r="CV41" s="1021">
        <f>(VLOOKUP(YEAR($A41),'NY East Load Projections'!$A$4:$EO$14,((MONTH($A41)-1)*12)+VLOOKUP(CV$4,$DE$6:$DF$17,2)+1))*$E41</f>
        <v>-95.901720522375683</v>
      </c>
      <c r="CW41" s="1021">
        <f>(VLOOKUP(YEAR($A41),'NY East Load Projections'!$A$4:$EO$14,((MONTH($A41)-1)*12)+VLOOKUP(CW$4,$DE$6:$DF$17,2)+1))*$E41</f>
        <v>-95.901720522375683</v>
      </c>
      <c r="CX41" s="1021">
        <f>(VLOOKUP(YEAR($A41),'NY East Load Projections'!$A$4:$EO$14,((MONTH($A41)-1)*12)+VLOOKUP(CX$4,$DE$6:$DF$17,2)+1))*$E41</f>
        <v>-95.901720522375683</v>
      </c>
      <c r="CY41" s="1021">
        <f>(VLOOKUP(YEAR($A41),'NY East Load Projections'!$A$4:$EO$14,((MONTH($A41)-1)*12)+VLOOKUP(CY$4,$DE$6:$DF$17,2)+1))*$E41</f>
        <v>-94.063692294587625</v>
      </c>
      <c r="CZ41" s="1021">
        <f>(VLOOKUP(YEAR($A41),'NY East Load Projections'!$A$4:$EO$14,((MONTH($A41)-1)*12)+VLOOKUP(CZ$4,$DE$6:$DF$17,2)+1))*$E41</f>
        <v>-94.063692294587625</v>
      </c>
      <c r="DA41" s="1021">
        <f>(VLOOKUP(YEAR($A41),'NY East Load Projections'!$A$4:$EO$14,((MONTH($A41)-1)*12)+VLOOKUP(DA$4,$DE$6:$DF$17,2)+1))*$E41</f>
        <v>-94.063692294587625</v>
      </c>
      <c r="DB41" s="1021">
        <f>(VLOOKUP(YEAR($A41),'NY East Load Projections'!$A$4:$EO$14,((MONTH($A41)-1)*12)+VLOOKUP(DB$4,$DE$6:$DF$17,2)+1))*$E41</f>
        <v>-94.063692294587625</v>
      </c>
      <c r="DH41" s="1009">
        <f t="shared" si="2"/>
        <v>-72749.850146956713</v>
      </c>
      <c r="DI41">
        <f ca="1">CALC!J61</f>
        <v>0.7583632705034653</v>
      </c>
      <c r="DJ41" s="1032">
        <f t="shared" ca="1" si="1"/>
        <v>-55170.814286083099</v>
      </c>
    </row>
    <row r="42" spans="1:114" x14ac:dyDescent="0.25">
      <c r="A42" s="244">
        <v>37987</v>
      </c>
      <c r="B42" s="13">
        <v>21</v>
      </c>
      <c r="C42" s="210">
        <v>5</v>
      </c>
      <c r="D42" s="210">
        <v>4</v>
      </c>
      <c r="E42" s="210">
        <v>1</v>
      </c>
      <c r="F42" s="13">
        <v>31</v>
      </c>
      <c r="H42" s="1021">
        <f>(VLOOKUP(YEAR($A42),'NY East Load Projections'!$A$4:$EO$14,((MONTH($A42)-1)*12)+VLOOKUP(H$4,$DE$6:$DF$17,2)+1))*$B42</f>
        <v>-1763.0138638775607</v>
      </c>
      <c r="I42" s="1021">
        <f>(VLOOKUP(YEAR($A42),'NY East Load Projections'!$A$4:$EO$14,((MONTH($A42)-1)*12)+VLOOKUP(I$4,$DE$6:$DF$17,2)+1))*$B42</f>
        <v>-1763.0138638775607</v>
      </c>
      <c r="J42" s="1021">
        <f>(VLOOKUP(YEAR($A42),'NY East Load Projections'!$A$4:$EO$14,((MONTH($A42)-1)*12)+VLOOKUP(J$4,$DE$6:$DF$17,2)+1))*$B42</f>
        <v>-1763.0138638775607</v>
      </c>
      <c r="K42" s="1021">
        <f>(VLOOKUP(YEAR($A42),'NY East Load Projections'!$A$4:$EO$14,((MONTH($A42)-1)*12)+VLOOKUP(K$4,$DE$6:$DF$17,2)+1))*$B42</f>
        <v>-1763.0138638775607</v>
      </c>
      <c r="L42" s="1021">
        <f>(VLOOKUP(YEAR($A42),'NY East Load Projections'!$A$4:$EO$14,((MONTH($A42)-1)*12)+VLOOKUP(L$4,$DE$6:$DF$17,2)+1))*$B42</f>
        <v>-1979.1216761244232</v>
      </c>
      <c r="M42" s="1021">
        <f>(VLOOKUP(YEAR($A42),'NY East Load Projections'!$A$4:$EO$14,((MONTH($A42)-1)*12)+VLOOKUP(M$4,$DE$6:$DF$17,2)+1))*$B42</f>
        <v>-1979.1216761244232</v>
      </c>
      <c r="N42" s="1021">
        <f>(VLOOKUP(YEAR($A42),'NY East Load Projections'!$A$4:$EO$14,((MONTH($A42)-1)*12)+VLOOKUP(N$4,$DE$6:$DF$17,2)+1))*$B42</f>
        <v>-1979.1216761244232</v>
      </c>
      <c r="O42" s="1021">
        <f>(VLOOKUP(YEAR($A42),'NY East Load Projections'!$A$4:$EO$14,((MONTH($A42)-1)*12)+VLOOKUP(O$4,$DE$6:$DF$17,2)+1))*$B42</f>
        <v>-1979.1216761244232</v>
      </c>
      <c r="P42" s="1021">
        <f>(VLOOKUP(YEAR($A42),'NY East Load Projections'!$A$4:$EO$14,((MONTH($A42)-1)*12)+VLOOKUP(P$4,$DE$6:$DF$17,2)+1))*$B42</f>
        <v>-2163.4178525921229</v>
      </c>
      <c r="Q42" s="1021">
        <f>(VLOOKUP(YEAR($A42),'NY East Load Projections'!$A$4:$EO$14,((MONTH($A42)-1)*12)+VLOOKUP(Q$4,$DE$6:$DF$17,2)+1))*$B42</f>
        <v>-2163.4178525921229</v>
      </c>
      <c r="R42" s="1021">
        <f>(VLOOKUP(YEAR($A42),'NY East Load Projections'!$A$4:$EO$14,((MONTH($A42)-1)*12)+VLOOKUP(R$4,$DE$6:$DF$17,2)+1))*$B42</f>
        <v>-2163.4178525921229</v>
      </c>
      <c r="S42" s="1021">
        <f>(VLOOKUP(YEAR($A42),'NY East Load Projections'!$A$4:$EO$14,((MONTH($A42)-1)*12)+VLOOKUP(S$4,$DE$6:$DF$17,2)+1))*$B42</f>
        <v>-2163.4178525921229</v>
      </c>
      <c r="T42" s="1021">
        <f>(VLOOKUP(YEAR($A42),'NY East Load Projections'!$A$4:$EO$14,((MONTH($A42)-1)*12)+VLOOKUP(T$4,$DE$6:$DF$17,2)+1))*$B42</f>
        <v>-2198.877053008971</v>
      </c>
      <c r="U42" s="1021">
        <f>(VLOOKUP(YEAR($A42),'NY East Load Projections'!$A$4:$EO$14,((MONTH($A42)-1)*12)+VLOOKUP(U$4,$DE$6:$DF$17,2)+1))*$B42</f>
        <v>-2198.877053008971</v>
      </c>
      <c r="V42" s="1021">
        <f>(VLOOKUP(YEAR($A42),'NY East Load Projections'!$A$4:$EO$14,((MONTH($A42)-1)*12)+VLOOKUP(V$4,$DE$6:$DF$17,2)+1))*$B42</f>
        <v>-2198.877053008971</v>
      </c>
      <c r="W42" s="1021">
        <f>(VLOOKUP(YEAR($A42),'NY East Load Projections'!$A$4:$EO$14,((MONTH($A42)-1)*12)+VLOOKUP(W$4,$DE$6:$DF$17,2)+1))*$B42</f>
        <v>-2198.877053008971</v>
      </c>
      <c r="X42" s="1021">
        <f>(VLOOKUP(YEAR($A42),'NY East Load Projections'!$A$4:$EO$14,((MONTH($A42)-1)*12)+VLOOKUP(X$4,$DE$6:$DF$17,2)+1))*$B42</f>
        <v>-2067.9528666426522</v>
      </c>
      <c r="Y42" s="1021">
        <f>(VLOOKUP(YEAR($A42),'NY East Load Projections'!$A$4:$EO$14,((MONTH($A42)-1)*12)+VLOOKUP(Y$4,$DE$6:$DF$17,2)+1))*$B42</f>
        <v>-2067.9528666426522</v>
      </c>
      <c r="Z42" s="1021">
        <f>(VLOOKUP(YEAR($A42),'NY East Load Projections'!$A$4:$EO$14,((MONTH($A42)-1)*12)+VLOOKUP(Z$4,$DE$6:$DF$17,2)+1))*$B42</f>
        <v>-2067.9528666426522</v>
      </c>
      <c r="AA42" s="1021">
        <f>(VLOOKUP(YEAR($A42),'NY East Load Projections'!$A$4:$EO$14,((MONTH($A42)-1)*12)+VLOOKUP(AA$4,$DE$6:$DF$17,2)+1))*$B42</f>
        <v>-2067.9528666426522</v>
      </c>
      <c r="AB42" s="1021">
        <f>(VLOOKUP(YEAR($A42),'NY East Load Projections'!$A$4:$EO$14,((MONTH($A42)-1)*12)+VLOOKUP(AB$4,$DE$6:$DF$17,2)+1))*$B42</f>
        <v>-1856.2799538771039</v>
      </c>
      <c r="AC42" s="1021">
        <f>(VLOOKUP(YEAR($A42),'NY East Load Projections'!$A$4:$EO$14,((MONTH($A42)-1)*12)+VLOOKUP(AC$4,$DE$6:$DF$17,2)+1))*$B42</f>
        <v>-1856.2799538771039</v>
      </c>
      <c r="AD42" s="1021">
        <f>(VLOOKUP(YEAR($A42),'NY East Load Projections'!$A$4:$EO$14,((MONTH($A42)-1)*12)+VLOOKUP(AD$4,$DE$6:$DF$17,2)+1))*$B42</f>
        <v>-1856.2799538771039</v>
      </c>
      <c r="AE42" s="1021">
        <f>(VLOOKUP(YEAR($A42),'NY East Load Projections'!$A$4:$EO$14,((MONTH($A42)-1)*12)+VLOOKUP(AE$4,$DE$6:$DF$17,2)+1))*$B42</f>
        <v>-1856.2799538771039</v>
      </c>
      <c r="AF42" s="1021"/>
      <c r="AG42" s="1021">
        <f>(VLOOKUP(YEAR($A42),'NY East Load Projections'!$A$4:$EO$14,((MONTH($A42)-1)*12)+VLOOKUP(AG$4,$DE$6:$DF$17,2)+1))*$C42</f>
        <v>-440.81609917666975</v>
      </c>
      <c r="AH42" s="1021">
        <f>(VLOOKUP(YEAR($A42),'NY East Load Projections'!$A$4:$EO$14,((MONTH($A42)-1)*12)+VLOOKUP(AH$4,$DE$6:$DF$17,2)+1))*$C42</f>
        <v>-440.81609917666975</v>
      </c>
      <c r="AI42" s="1021">
        <f>(VLOOKUP(YEAR($A42),'NY East Load Projections'!$A$4:$EO$14,((MONTH($A42)-1)*12)+VLOOKUP(AI$4,$DE$6:$DF$17,2)+1))*$C42</f>
        <v>-440.81609917666975</v>
      </c>
      <c r="AJ42" s="1021">
        <f>(VLOOKUP(YEAR($A42),'NY East Load Projections'!$A$4:$EO$14,((MONTH($A42)-1)*12)+VLOOKUP(AJ$4,$DE$6:$DF$17,2)+1))*$C42</f>
        <v>-440.81609917666975</v>
      </c>
      <c r="AK42" s="1021">
        <f>(VLOOKUP(YEAR($A42),'NY East Load Projections'!$A$4:$EO$14,((MONTH($A42)-1)*12)+VLOOKUP(AK$4,$DE$6:$DF$17,2)+1))*$C42</f>
        <v>-452.28001918316056</v>
      </c>
      <c r="AL42" s="1021">
        <f>(VLOOKUP(YEAR($A42),'NY East Load Projections'!$A$4:$EO$14,((MONTH($A42)-1)*12)+VLOOKUP(AL$4,$DE$6:$DF$17,2)+1))*$C42</f>
        <v>-452.28001918316056</v>
      </c>
      <c r="AM42" s="1021">
        <f>(VLOOKUP(YEAR($A42),'NY East Load Projections'!$A$4:$EO$14,((MONTH($A42)-1)*12)+VLOOKUP(AM$4,$DE$6:$DF$17,2)+1))*$C42</f>
        <v>-452.28001918316056</v>
      </c>
      <c r="AN42" s="1021">
        <f>(VLOOKUP(YEAR($A42),'NY East Load Projections'!$A$4:$EO$14,((MONTH($A42)-1)*12)+VLOOKUP(AN$4,$DE$6:$DF$17,2)+1))*$C42</f>
        <v>-452.28001918316056</v>
      </c>
      <c r="AO42" s="1021">
        <f>(VLOOKUP(YEAR($A42),'NY East Load Projections'!$A$4:$EO$14,((MONTH($A42)-1)*12)+VLOOKUP(AO$4,$DE$6:$DF$17,2)+1))*$C42</f>
        <v>-486.99565833594585</v>
      </c>
      <c r="AP42" s="1021">
        <f>(VLOOKUP(YEAR($A42),'NY East Load Projections'!$A$4:$EO$14,((MONTH($A42)-1)*12)+VLOOKUP(AP$4,$DE$6:$DF$17,2)+1))*$C42</f>
        <v>-486.99565833594585</v>
      </c>
      <c r="AQ42" s="1021">
        <f>(VLOOKUP(YEAR($A42),'NY East Load Projections'!$A$4:$EO$14,((MONTH($A42)-1)*12)+VLOOKUP(AQ$4,$DE$6:$DF$17,2)+1))*$C42</f>
        <v>-486.99565833594585</v>
      </c>
      <c r="AR42" s="1021">
        <f>(VLOOKUP(YEAR($A42),'NY East Load Projections'!$A$4:$EO$14,((MONTH($A42)-1)*12)+VLOOKUP(AR$4,$DE$6:$DF$17,2)+1))*$C42</f>
        <v>-486.99565833594585</v>
      </c>
      <c r="AS42" s="1021">
        <f>(VLOOKUP(YEAR($A42),'NY East Load Projections'!$A$4:$EO$14,((MONTH($A42)-1)*12)+VLOOKUP(AS$4,$DE$6:$DF$17,2)+1))*$C42</f>
        <v>-489.1471180242695</v>
      </c>
      <c r="AT42" s="1021">
        <f>(VLOOKUP(YEAR($A42),'NY East Load Projections'!$A$4:$EO$14,((MONTH($A42)-1)*12)+VLOOKUP(AT$4,$DE$6:$DF$17,2)+1))*$C42</f>
        <v>-489.1471180242695</v>
      </c>
      <c r="AU42" s="1021">
        <f>(VLOOKUP(YEAR($A42),'NY East Load Projections'!$A$4:$EO$14,((MONTH($A42)-1)*12)+VLOOKUP(AU$4,$DE$6:$DF$17,2)+1))*$C42</f>
        <v>-489.1471180242695</v>
      </c>
      <c r="AV42" s="1021">
        <f>(VLOOKUP(YEAR($A42),'NY East Load Projections'!$A$4:$EO$14,((MONTH($A42)-1)*12)+VLOOKUP(AV$4,$DE$6:$DF$17,2)+1))*$C42</f>
        <v>-489.1471180242695</v>
      </c>
      <c r="AW42" s="1021">
        <f>(VLOOKUP(YEAR($A42),'NY East Load Projections'!$A$4:$EO$14,((MONTH($A42)-1)*12)+VLOOKUP(AW$4,$DE$6:$DF$17,2)+1))*$C42</f>
        <v>-463.90882853888542</v>
      </c>
      <c r="AX42" s="1021">
        <f>(VLOOKUP(YEAR($A42),'NY East Load Projections'!$A$4:$EO$14,((MONTH($A42)-1)*12)+VLOOKUP(AX$4,$DE$6:$DF$17,2)+1))*$C42</f>
        <v>-463.90882853888542</v>
      </c>
      <c r="AY42" s="1021">
        <f>(VLOOKUP(YEAR($A42),'NY East Load Projections'!$A$4:$EO$14,((MONTH($A42)-1)*12)+VLOOKUP(AY$4,$DE$6:$DF$17,2)+1))*$C42</f>
        <v>-463.90882853888542</v>
      </c>
      <c r="AZ42" s="1021">
        <f>(VLOOKUP(YEAR($A42),'NY East Load Projections'!$A$4:$EO$14,((MONTH($A42)-1)*12)+VLOOKUP(AZ$4,$DE$6:$DF$17,2)+1))*$C42</f>
        <v>-463.90882853888542</v>
      </c>
      <c r="BA42" s="1021">
        <f>(VLOOKUP(YEAR($A42),'NY East Load Projections'!$A$4:$EO$14,((MONTH($A42)-1)*12)+VLOOKUP(BA$4,$DE$6:$DF$17,2)+1))*$C42</f>
        <v>-446.15142197049016</v>
      </c>
      <c r="BB42" s="1021">
        <f>(VLOOKUP(YEAR($A42),'NY East Load Projections'!$A$4:$EO$14,((MONTH($A42)-1)*12)+VLOOKUP(BB$4,$DE$6:$DF$17,2)+1))*$C42</f>
        <v>-446.15142197049016</v>
      </c>
      <c r="BC42" s="1021">
        <f>(VLOOKUP(YEAR($A42),'NY East Load Projections'!$A$4:$EO$14,((MONTH($A42)-1)*12)+VLOOKUP(BC$4,$DE$6:$DF$17,2)+1))*$C42</f>
        <v>-446.15142197049016</v>
      </c>
      <c r="BD42" s="1021">
        <f>(VLOOKUP(YEAR($A42),'NY East Load Projections'!$A$4:$EO$14,((MONTH($A42)-1)*12)+VLOOKUP(BD$4,$DE$6:$DF$17,2)+1))*$C42</f>
        <v>-446.15142197049016</v>
      </c>
      <c r="BE42" s="1021"/>
      <c r="BF42" s="1021">
        <f>(VLOOKUP(YEAR($A42),'NY East Load Projections'!$A$4:$EO$14,((MONTH($A42)-1)*12)+VLOOKUP(BF$4,$DE$6:$DF$17,2)+1))*$D42</f>
        <v>-352.65287934133579</v>
      </c>
      <c r="BG42" s="1021">
        <f>(VLOOKUP(YEAR($A42),'NY East Load Projections'!$A$4:$EO$14,((MONTH($A42)-1)*12)+VLOOKUP(BG$4,$DE$6:$DF$17,2)+1))*$D42</f>
        <v>-352.65287934133579</v>
      </c>
      <c r="BH42" s="1021">
        <f>(VLOOKUP(YEAR($A42),'NY East Load Projections'!$A$4:$EO$14,((MONTH($A42)-1)*12)+VLOOKUP(BH$4,$DE$6:$DF$17,2)+1))*$D42</f>
        <v>-352.65287934133579</v>
      </c>
      <c r="BI42" s="1021">
        <f>(VLOOKUP(YEAR($A42),'NY East Load Projections'!$A$4:$EO$14,((MONTH($A42)-1)*12)+VLOOKUP(BI$4,$DE$6:$DF$17,2)+1))*$D42</f>
        <v>-352.65287934133579</v>
      </c>
      <c r="BJ42" s="1021">
        <f>(VLOOKUP(YEAR($A42),'NY East Load Projections'!$A$4:$EO$14,((MONTH($A42)-1)*12)+VLOOKUP(BJ$4,$DE$6:$DF$17,2)+1))*$D42</f>
        <v>-361.82401534652843</v>
      </c>
      <c r="BK42" s="1021">
        <f>(VLOOKUP(YEAR($A42),'NY East Load Projections'!$A$4:$EO$14,((MONTH($A42)-1)*12)+VLOOKUP(BK$4,$DE$6:$DF$17,2)+1))*$D42</f>
        <v>-361.82401534652843</v>
      </c>
      <c r="BL42" s="1021">
        <f>(VLOOKUP(YEAR($A42),'NY East Load Projections'!$A$4:$EO$14,((MONTH($A42)-1)*12)+VLOOKUP(BL$4,$DE$6:$DF$17,2)+1))*$D42</f>
        <v>-361.82401534652843</v>
      </c>
      <c r="BM42" s="1021">
        <f>(VLOOKUP(YEAR($A42),'NY East Load Projections'!$A$4:$EO$14,((MONTH($A42)-1)*12)+VLOOKUP(BM$4,$DE$6:$DF$17,2)+1))*$D42</f>
        <v>-361.82401534652843</v>
      </c>
      <c r="BN42" s="1021">
        <f>(VLOOKUP(YEAR($A42),'NY East Load Projections'!$A$4:$EO$14,((MONTH($A42)-1)*12)+VLOOKUP(BN$4,$DE$6:$DF$17,2)+1))*$D42</f>
        <v>-389.59652666875667</v>
      </c>
      <c r="BO42" s="1021">
        <f>(VLOOKUP(YEAR($A42),'NY East Load Projections'!$A$4:$EO$14,((MONTH($A42)-1)*12)+VLOOKUP(BO$4,$DE$6:$DF$17,2)+1))*$D42</f>
        <v>-389.59652666875667</v>
      </c>
      <c r="BP42" s="1021">
        <f>(VLOOKUP(YEAR($A42),'NY East Load Projections'!$A$4:$EO$14,((MONTH($A42)-1)*12)+VLOOKUP(BP$4,$DE$6:$DF$17,2)+1))*$D42</f>
        <v>-389.59652666875667</v>
      </c>
      <c r="BQ42" s="1021">
        <f>(VLOOKUP(YEAR($A42),'NY East Load Projections'!$A$4:$EO$14,((MONTH($A42)-1)*12)+VLOOKUP(BQ$4,$DE$6:$DF$17,2)+1))*$D42</f>
        <v>-389.59652666875667</v>
      </c>
      <c r="BR42" s="1021">
        <f>(VLOOKUP(YEAR($A42),'NY East Load Projections'!$A$4:$EO$14,((MONTH($A42)-1)*12)+VLOOKUP(BR$4,$DE$6:$DF$17,2)+1))*$D42</f>
        <v>-391.3176944194156</v>
      </c>
      <c r="BS42" s="1021">
        <f>(VLOOKUP(YEAR($A42),'NY East Load Projections'!$A$4:$EO$14,((MONTH($A42)-1)*12)+VLOOKUP(BS$4,$DE$6:$DF$17,2)+1))*$D42</f>
        <v>-391.3176944194156</v>
      </c>
      <c r="BT42" s="1021">
        <f>(VLOOKUP(YEAR($A42),'NY East Load Projections'!$A$4:$EO$14,((MONTH($A42)-1)*12)+VLOOKUP(BT$4,$DE$6:$DF$17,2)+1))*$D42</f>
        <v>-391.3176944194156</v>
      </c>
      <c r="BU42" s="1021">
        <f>(VLOOKUP(YEAR($A42),'NY East Load Projections'!$A$4:$EO$14,((MONTH($A42)-1)*12)+VLOOKUP(BU$4,$DE$6:$DF$17,2)+1))*$D42</f>
        <v>-391.3176944194156</v>
      </c>
      <c r="BV42" s="1021">
        <f>(VLOOKUP(YEAR($A42),'NY East Load Projections'!$A$4:$EO$14,((MONTH($A42)-1)*12)+VLOOKUP(BV$4,$DE$6:$DF$17,2)+1))*$D42</f>
        <v>-371.12706283110833</v>
      </c>
      <c r="BW42" s="1021">
        <f>(VLOOKUP(YEAR($A42),'NY East Load Projections'!$A$4:$EO$14,((MONTH($A42)-1)*12)+VLOOKUP(BW$4,$DE$6:$DF$17,2)+1))*$D42</f>
        <v>-371.12706283110833</v>
      </c>
      <c r="BX42" s="1021">
        <f>(VLOOKUP(YEAR($A42),'NY East Load Projections'!$A$4:$EO$14,((MONTH($A42)-1)*12)+VLOOKUP(BX$4,$DE$6:$DF$17,2)+1))*$D42</f>
        <v>-371.12706283110833</v>
      </c>
      <c r="BY42" s="1021">
        <f>(VLOOKUP(YEAR($A42),'NY East Load Projections'!$A$4:$EO$14,((MONTH($A42)-1)*12)+VLOOKUP(BY$4,$DE$6:$DF$17,2)+1))*$D42</f>
        <v>-371.12706283110833</v>
      </c>
      <c r="BZ42" s="1021">
        <f>(VLOOKUP(YEAR($A42),'NY East Load Projections'!$A$4:$EO$14,((MONTH($A42)-1)*12)+VLOOKUP(BZ$4,$DE$6:$DF$17,2)+1))*$D42</f>
        <v>-356.92113757639214</v>
      </c>
      <c r="CA42" s="1021">
        <f>(VLOOKUP(YEAR($A42),'NY East Load Projections'!$A$4:$EO$14,((MONTH($A42)-1)*12)+VLOOKUP(CA$4,$DE$6:$DF$17,2)+1))*$D42</f>
        <v>-356.92113757639214</v>
      </c>
      <c r="CB42" s="1021">
        <f>(VLOOKUP(YEAR($A42),'NY East Load Projections'!$A$4:$EO$14,((MONTH($A42)-1)*12)+VLOOKUP(CB$4,$DE$6:$DF$17,2)+1))*$D42</f>
        <v>-356.92113757639214</v>
      </c>
      <c r="CC42" s="1021">
        <f>(VLOOKUP(YEAR($A42),'NY East Load Projections'!$A$4:$EO$14,((MONTH($A42)-1)*12)+VLOOKUP(CC$4,$DE$6:$DF$17,2)+1))*$D42</f>
        <v>-356.92113757639214</v>
      </c>
      <c r="CE42" s="1021">
        <f>(VLOOKUP(YEAR($A42),'NY East Load Projections'!$A$4:$EO$14,((MONTH($A42)-1)*12)+VLOOKUP(CE$4,$DE$6:$DF$17,2)+1))*$E42</f>
        <v>-88.163219835333948</v>
      </c>
      <c r="CF42" s="1021">
        <f>(VLOOKUP(YEAR($A42),'NY East Load Projections'!$A$4:$EO$14,((MONTH($A42)-1)*12)+VLOOKUP(CF$4,$DE$6:$DF$17,2)+1))*$E42</f>
        <v>-88.163219835333948</v>
      </c>
      <c r="CG42" s="1021">
        <f>(VLOOKUP(YEAR($A42),'NY East Load Projections'!$A$4:$EO$14,((MONTH($A42)-1)*12)+VLOOKUP(CG$4,$DE$6:$DF$17,2)+1))*$E42</f>
        <v>-88.163219835333948</v>
      </c>
      <c r="CH42" s="1021">
        <f>(VLOOKUP(YEAR($A42),'NY East Load Projections'!$A$4:$EO$14,((MONTH($A42)-1)*12)+VLOOKUP(CH$4,$DE$6:$DF$17,2)+1))*$E42</f>
        <v>-88.163219835333948</v>
      </c>
      <c r="CI42" s="1021">
        <f>(VLOOKUP(YEAR($A42),'NY East Load Projections'!$A$4:$EO$14,((MONTH($A42)-1)*12)+VLOOKUP(CI$4,$DE$6:$DF$17,2)+1))*$E42</f>
        <v>-90.456003836632107</v>
      </c>
      <c r="CJ42" s="1021">
        <f>(VLOOKUP(YEAR($A42),'NY East Load Projections'!$A$4:$EO$14,((MONTH($A42)-1)*12)+VLOOKUP(CJ$4,$DE$6:$DF$17,2)+1))*$E42</f>
        <v>-90.456003836632107</v>
      </c>
      <c r="CK42" s="1021">
        <f>(VLOOKUP(YEAR($A42),'NY East Load Projections'!$A$4:$EO$14,((MONTH($A42)-1)*12)+VLOOKUP(CK$4,$DE$6:$DF$17,2)+1))*$E42</f>
        <v>-90.456003836632107</v>
      </c>
      <c r="CL42" s="1021">
        <f>(VLOOKUP(YEAR($A42),'NY East Load Projections'!$A$4:$EO$14,((MONTH($A42)-1)*12)+VLOOKUP(CL$4,$DE$6:$DF$17,2)+1))*$E42</f>
        <v>-90.456003836632107</v>
      </c>
      <c r="CM42" s="1021">
        <f>(VLOOKUP(YEAR($A42),'NY East Load Projections'!$A$4:$EO$14,((MONTH($A42)-1)*12)+VLOOKUP(CM$4,$DE$6:$DF$17,2)+1))*$E42</f>
        <v>-97.399131667189167</v>
      </c>
      <c r="CN42" s="1021">
        <f>(VLOOKUP(YEAR($A42),'NY East Load Projections'!$A$4:$EO$14,((MONTH($A42)-1)*12)+VLOOKUP(CN$4,$DE$6:$DF$17,2)+1))*$E42</f>
        <v>-97.399131667189167</v>
      </c>
      <c r="CO42" s="1021">
        <f>(VLOOKUP(YEAR($A42),'NY East Load Projections'!$A$4:$EO$14,((MONTH($A42)-1)*12)+VLOOKUP(CO$4,$DE$6:$DF$17,2)+1))*$E42</f>
        <v>-97.399131667189167</v>
      </c>
      <c r="CP42" s="1021">
        <f>(VLOOKUP(YEAR($A42),'NY East Load Projections'!$A$4:$EO$14,((MONTH($A42)-1)*12)+VLOOKUP(CP$4,$DE$6:$DF$17,2)+1))*$E42</f>
        <v>-97.399131667189167</v>
      </c>
      <c r="CQ42" s="1021">
        <f>(VLOOKUP(YEAR($A42),'NY East Load Projections'!$A$4:$EO$14,((MONTH($A42)-1)*12)+VLOOKUP(CQ$4,$DE$6:$DF$17,2)+1))*$E42</f>
        <v>-97.829423604853901</v>
      </c>
      <c r="CR42" s="1021">
        <f>(VLOOKUP(YEAR($A42),'NY East Load Projections'!$A$4:$EO$14,((MONTH($A42)-1)*12)+VLOOKUP(CR$4,$DE$6:$DF$17,2)+1))*$E42</f>
        <v>-97.829423604853901</v>
      </c>
      <c r="CS42" s="1021">
        <f>(VLOOKUP(YEAR($A42),'NY East Load Projections'!$A$4:$EO$14,((MONTH($A42)-1)*12)+VLOOKUP(CS$4,$DE$6:$DF$17,2)+1))*$E42</f>
        <v>-97.829423604853901</v>
      </c>
      <c r="CT42" s="1021">
        <f>(VLOOKUP(YEAR($A42),'NY East Load Projections'!$A$4:$EO$14,((MONTH($A42)-1)*12)+VLOOKUP(CT$4,$DE$6:$DF$17,2)+1))*$E42</f>
        <v>-97.829423604853901</v>
      </c>
      <c r="CU42" s="1021">
        <f>(VLOOKUP(YEAR($A42),'NY East Load Projections'!$A$4:$EO$14,((MONTH($A42)-1)*12)+VLOOKUP(CU$4,$DE$6:$DF$17,2)+1))*$E42</f>
        <v>-92.781765707777083</v>
      </c>
      <c r="CV42" s="1021">
        <f>(VLOOKUP(YEAR($A42),'NY East Load Projections'!$A$4:$EO$14,((MONTH($A42)-1)*12)+VLOOKUP(CV$4,$DE$6:$DF$17,2)+1))*$E42</f>
        <v>-92.781765707777083</v>
      </c>
      <c r="CW42" s="1021">
        <f>(VLOOKUP(YEAR($A42),'NY East Load Projections'!$A$4:$EO$14,((MONTH($A42)-1)*12)+VLOOKUP(CW$4,$DE$6:$DF$17,2)+1))*$E42</f>
        <v>-92.781765707777083</v>
      </c>
      <c r="CX42" s="1021">
        <f>(VLOOKUP(YEAR($A42),'NY East Load Projections'!$A$4:$EO$14,((MONTH($A42)-1)*12)+VLOOKUP(CX$4,$DE$6:$DF$17,2)+1))*$E42</f>
        <v>-92.781765707777083</v>
      </c>
      <c r="CY42" s="1021">
        <f>(VLOOKUP(YEAR($A42),'NY East Load Projections'!$A$4:$EO$14,((MONTH($A42)-1)*12)+VLOOKUP(CY$4,$DE$6:$DF$17,2)+1))*$E42</f>
        <v>-89.230284394098035</v>
      </c>
      <c r="CZ42" s="1021">
        <f>(VLOOKUP(YEAR($A42),'NY East Load Projections'!$A$4:$EO$14,((MONTH($A42)-1)*12)+VLOOKUP(CZ$4,$DE$6:$DF$17,2)+1))*$E42</f>
        <v>-89.230284394098035</v>
      </c>
      <c r="DA42" s="1021">
        <f>(VLOOKUP(YEAR($A42),'NY East Load Projections'!$A$4:$EO$14,((MONTH($A42)-1)*12)+VLOOKUP(DA$4,$DE$6:$DF$17,2)+1))*$E42</f>
        <v>-89.230284394098035</v>
      </c>
      <c r="DB42" s="1021">
        <f>(VLOOKUP(YEAR($A42),'NY East Load Projections'!$A$4:$EO$14,((MONTH($A42)-1)*12)+VLOOKUP(DB$4,$DE$6:$DF$17,2)+1))*$E42</f>
        <v>-89.230284394098035</v>
      </c>
      <c r="DH42" s="1009">
        <f t="shared" si="2"/>
        <v>-70349.046226326755</v>
      </c>
      <c r="DI42">
        <f ca="1">CALC!J62</f>
        <v>0.75365243967713424</v>
      </c>
      <c r="DJ42" s="1032">
        <f t="shared" ca="1" si="1"/>
        <v>-53018.730317430651</v>
      </c>
    </row>
    <row r="43" spans="1:114" x14ac:dyDescent="0.25">
      <c r="A43" s="244">
        <v>38018</v>
      </c>
      <c r="B43" s="13">
        <v>20</v>
      </c>
      <c r="C43" s="210">
        <v>4</v>
      </c>
      <c r="D43" s="210">
        <v>5</v>
      </c>
      <c r="E43" s="210">
        <v>0</v>
      </c>
      <c r="F43" s="13">
        <v>29</v>
      </c>
      <c r="H43" s="1021">
        <f>(VLOOKUP(YEAR($A43),'NY East Load Projections'!$A$4:$EO$14,((MONTH($A43)-1)*12)+VLOOKUP(H$4,$DE$6:$DF$17,2)+1))*$B43</f>
        <v>-1651.5749960908331</v>
      </c>
      <c r="I43" s="1021">
        <f>(VLOOKUP(YEAR($A43),'NY East Load Projections'!$A$4:$EO$14,((MONTH($A43)-1)*12)+VLOOKUP(I$4,$DE$6:$DF$17,2)+1))*$B43</f>
        <v>-1651.5749960908331</v>
      </c>
      <c r="J43" s="1021">
        <f>(VLOOKUP(YEAR($A43),'NY East Load Projections'!$A$4:$EO$14,((MONTH($A43)-1)*12)+VLOOKUP(J$4,$DE$6:$DF$17,2)+1))*$B43</f>
        <v>-1651.5749960908331</v>
      </c>
      <c r="K43" s="1021">
        <f>(VLOOKUP(YEAR($A43),'NY East Load Projections'!$A$4:$EO$14,((MONTH($A43)-1)*12)+VLOOKUP(K$4,$DE$6:$DF$17,2)+1))*$B43</f>
        <v>-1651.5749960908331</v>
      </c>
      <c r="L43" s="1021">
        <f>(VLOOKUP(YEAR($A43),'NY East Load Projections'!$A$4:$EO$14,((MONTH($A43)-1)*12)+VLOOKUP(L$4,$DE$6:$DF$17,2)+1))*$B43</f>
        <v>-1848.3629020118976</v>
      </c>
      <c r="M43" s="1021">
        <f>(VLOOKUP(YEAR($A43),'NY East Load Projections'!$A$4:$EO$14,((MONTH($A43)-1)*12)+VLOOKUP(M$4,$DE$6:$DF$17,2)+1))*$B43</f>
        <v>-1848.3629020118976</v>
      </c>
      <c r="N43" s="1021">
        <f>(VLOOKUP(YEAR($A43),'NY East Load Projections'!$A$4:$EO$14,((MONTH($A43)-1)*12)+VLOOKUP(N$4,$DE$6:$DF$17,2)+1))*$B43</f>
        <v>-1848.3629020118976</v>
      </c>
      <c r="O43" s="1021">
        <f>(VLOOKUP(YEAR($A43),'NY East Load Projections'!$A$4:$EO$14,((MONTH($A43)-1)*12)+VLOOKUP(O$4,$DE$6:$DF$17,2)+1))*$B43</f>
        <v>-1848.3629020118976</v>
      </c>
      <c r="P43" s="1021">
        <f>(VLOOKUP(YEAR($A43),'NY East Load Projections'!$A$4:$EO$14,((MONTH($A43)-1)*12)+VLOOKUP(P$4,$DE$6:$DF$17,2)+1))*$B43</f>
        <v>-2020.7558004282005</v>
      </c>
      <c r="Q43" s="1021">
        <f>(VLOOKUP(YEAR($A43),'NY East Load Projections'!$A$4:$EO$14,((MONTH($A43)-1)*12)+VLOOKUP(Q$4,$DE$6:$DF$17,2)+1))*$B43</f>
        <v>-2020.7558004282005</v>
      </c>
      <c r="R43" s="1021">
        <f>(VLOOKUP(YEAR($A43),'NY East Load Projections'!$A$4:$EO$14,((MONTH($A43)-1)*12)+VLOOKUP(R$4,$DE$6:$DF$17,2)+1))*$B43</f>
        <v>-2020.7558004282005</v>
      </c>
      <c r="S43" s="1021">
        <f>(VLOOKUP(YEAR($A43),'NY East Load Projections'!$A$4:$EO$14,((MONTH($A43)-1)*12)+VLOOKUP(S$4,$DE$6:$DF$17,2)+1))*$B43</f>
        <v>-2020.7558004282005</v>
      </c>
      <c r="T43" s="1021">
        <f>(VLOOKUP(YEAR($A43),'NY East Load Projections'!$A$4:$EO$14,((MONTH($A43)-1)*12)+VLOOKUP(T$4,$DE$6:$DF$17,2)+1))*$B43</f>
        <v>-2048.3263620291873</v>
      </c>
      <c r="U43" s="1021">
        <f>(VLOOKUP(YEAR($A43),'NY East Load Projections'!$A$4:$EO$14,((MONTH($A43)-1)*12)+VLOOKUP(U$4,$DE$6:$DF$17,2)+1))*$B43</f>
        <v>-2048.3263620291873</v>
      </c>
      <c r="V43" s="1021">
        <f>(VLOOKUP(YEAR($A43),'NY East Load Projections'!$A$4:$EO$14,((MONTH($A43)-1)*12)+VLOOKUP(V$4,$DE$6:$DF$17,2)+1))*$B43</f>
        <v>-2048.3263620291873</v>
      </c>
      <c r="W43" s="1021">
        <f>(VLOOKUP(YEAR($A43),'NY East Load Projections'!$A$4:$EO$14,((MONTH($A43)-1)*12)+VLOOKUP(W$4,$DE$6:$DF$17,2)+1))*$B43</f>
        <v>-2048.3263620291873</v>
      </c>
      <c r="X43" s="1021">
        <f>(VLOOKUP(YEAR($A43),'NY East Load Projections'!$A$4:$EO$14,((MONTH($A43)-1)*12)+VLOOKUP(X$4,$DE$6:$DF$17,2)+1))*$B43</f>
        <v>-1925.9986605417319</v>
      </c>
      <c r="Y43" s="1021">
        <f>(VLOOKUP(YEAR($A43),'NY East Load Projections'!$A$4:$EO$14,((MONTH($A43)-1)*12)+VLOOKUP(Y$4,$DE$6:$DF$17,2)+1))*$B43</f>
        <v>-1925.9986605417319</v>
      </c>
      <c r="Z43" s="1021">
        <f>(VLOOKUP(YEAR($A43),'NY East Load Projections'!$A$4:$EO$14,((MONTH($A43)-1)*12)+VLOOKUP(Z$4,$DE$6:$DF$17,2)+1))*$B43</f>
        <v>-1925.9986605417319</v>
      </c>
      <c r="AA43" s="1021">
        <f>(VLOOKUP(YEAR($A43),'NY East Load Projections'!$A$4:$EO$14,((MONTH($A43)-1)*12)+VLOOKUP(AA$4,$DE$6:$DF$17,2)+1))*$B43</f>
        <v>-1925.9986605417319</v>
      </c>
      <c r="AB43" s="1021">
        <f>(VLOOKUP(YEAR($A43),'NY East Load Projections'!$A$4:$EO$14,((MONTH($A43)-1)*12)+VLOOKUP(AB$4,$DE$6:$DF$17,2)+1))*$B43</f>
        <v>-1726.4687504760516</v>
      </c>
      <c r="AC43" s="1021">
        <f>(VLOOKUP(YEAR($A43),'NY East Load Projections'!$A$4:$EO$14,((MONTH($A43)-1)*12)+VLOOKUP(AC$4,$DE$6:$DF$17,2)+1))*$B43</f>
        <v>-1726.4687504760516</v>
      </c>
      <c r="AD43" s="1021">
        <f>(VLOOKUP(YEAR($A43),'NY East Load Projections'!$A$4:$EO$14,((MONTH($A43)-1)*12)+VLOOKUP(AD$4,$DE$6:$DF$17,2)+1))*$B43</f>
        <v>-1726.4687504760516</v>
      </c>
      <c r="AE43" s="1021">
        <f>(VLOOKUP(YEAR($A43),'NY East Load Projections'!$A$4:$EO$14,((MONTH($A43)-1)*12)+VLOOKUP(AE$4,$DE$6:$DF$17,2)+1))*$B43</f>
        <v>-1726.4687504760516</v>
      </c>
      <c r="AF43" s="1021"/>
      <c r="AG43" s="1021">
        <f>(VLOOKUP(YEAR($A43),'NY East Load Projections'!$A$4:$EO$14,((MONTH($A43)-1)*12)+VLOOKUP(AG$4,$DE$6:$DF$17,2)+1))*$C43</f>
        <v>-348.48991082044029</v>
      </c>
      <c r="AH43" s="1021">
        <f>(VLOOKUP(YEAR($A43),'NY East Load Projections'!$A$4:$EO$14,((MONTH($A43)-1)*12)+VLOOKUP(AH$4,$DE$6:$DF$17,2)+1))*$C43</f>
        <v>-348.48991082044029</v>
      </c>
      <c r="AI43" s="1021">
        <f>(VLOOKUP(YEAR($A43),'NY East Load Projections'!$A$4:$EO$14,((MONTH($A43)-1)*12)+VLOOKUP(AI$4,$DE$6:$DF$17,2)+1))*$C43</f>
        <v>-348.48991082044029</v>
      </c>
      <c r="AJ43" s="1021">
        <f>(VLOOKUP(YEAR($A43),'NY East Load Projections'!$A$4:$EO$14,((MONTH($A43)-1)*12)+VLOOKUP(AJ$4,$DE$6:$DF$17,2)+1))*$C43</f>
        <v>-348.48991082044029</v>
      </c>
      <c r="AK43" s="1021">
        <f>(VLOOKUP(YEAR($A43),'NY East Load Projections'!$A$4:$EO$14,((MONTH($A43)-1)*12)+VLOOKUP(AK$4,$DE$6:$DF$17,2)+1))*$C43</f>
        <v>-354.98638265547521</v>
      </c>
      <c r="AL43" s="1021">
        <f>(VLOOKUP(YEAR($A43),'NY East Load Projections'!$A$4:$EO$14,((MONTH($A43)-1)*12)+VLOOKUP(AL$4,$DE$6:$DF$17,2)+1))*$C43</f>
        <v>-354.98638265547521</v>
      </c>
      <c r="AM43" s="1021">
        <f>(VLOOKUP(YEAR($A43),'NY East Load Projections'!$A$4:$EO$14,((MONTH($A43)-1)*12)+VLOOKUP(AM$4,$DE$6:$DF$17,2)+1))*$C43</f>
        <v>-354.98638265547521</v>
      </c>
      <c r="AN43" s="1021">
        <f>(VLOOKUP(YEAR($A43),'NY East Load Projections'!$A$4:$EO$14,((MONTH($A43)-1)*12)+VLOOKUP(AN$4,$DE$6:$DF$17,2)+1))*$C43</f>
        <v>-354.98638265547521</v>
      </c>
      <c r="AO43" s="1021">
        <f>(VLOOKUP(YEAR($A43),'NY East Load Projections'!$A$4:$EO$14,((MONTH($A43)-1)*12)+VLOOKUP(AO$4,$DE$6:$DF$17,2)+1))*$C43</f>
        <v>-380.80581891989914</v>
      </c>
      <c r="AP43" s="1021">
        <f>(VLOOKUP(YEAR($A43),'NY East Load Projections'!$A$4:$EO$14,((MONTH($A43)-1)*12)+VLOOKUP(AP$4,$DE$6:$DF$17,2)+1))*$C43</f>
        <v>-380.80581891989914</v>
      </c>
      <c r="AQ43" s="1021">
        <f>(VLOOKUP(YEAR($A43),'NY East Load Projections'!$A$4:$EO$14,((MONTH($A43)-1)*12)+VLOOKUP(AQ$4,$DE$6:$DF$17,2)+1))*$C43</f>
        <v>-380.80581891989914</v>
      </c>
      <c r="AR43" s="1021">
        <f>(VLOOKUP(YEAR($A43),'NY East Load Projections'!$A$4:$EO$14,((MONTH($A43)-1)*12)+VLOOKUP(AR$4,$DE$6:$DF$17,2)+1))*$C43</f>
        <v>-380.80581891989914</v>
      </c>
      <c r="AS43" s="1021">
        <f>(VLOOKUP(YEAR($A43),'NY East Load Projections'!$A$4:$EO$14,((MONTH($A43)-1)*12)+VLOOKUP(AS$4,$DE$6:$DF$17,2)+1))*$C43</f>
        <v>-381.55493569949078</v>
      </c>
      <c r="AT43" s="1021">
        <f>(VLOOKUP(YEAR($A43),'NY East Load Projections'!$A$4:$EO$14,((MONTH($A43)-1)*12)+VLOOKUP(AT$4,$DE$6:$DF$17,2)+1))*$C43</f>
        <v>-381.55493569949078</v>
      </c>
      <c r="AU43" s="1021">
        <f>(VLOOKUP(YEAR($A43),'NY East Load Projections'!$A$4:$EO$14,((MONTH($A43)-1)*12)+VLOOKUP(AU$4,$DE$6:$DF$17,2)+1))*$C43</f>
        <v>-381.55493569949078</v>
      </c>
      <c r="AV43" s="1021">
        <f>(VLOOKUP(YEAR($A43),'NY East Load Projections'!$A$4:$EO$14,((MONTH($A43)-1)*12)+VLOOKUP(AV$4,$DE$6:$DF$17,2)+1))*$C43</f>
        <v>-381.55493569949078</v>
      </c>
      <c r="AW43" s="1021">
        <f>(VLOOKUP(YEAR($A43),'NY East Load Projections'!$A$4:$EO$14,((MONTH($A43)-1)*12)+VLOOKUP(AW$4,$DE$6:$DF$17,2)+1))*$C43</f>
        <v>-364.22141914758748</v>
      </c>
      <c r="AX43" s="1021">
        <f>(VLOOKUP(YEAR($A43),'NY East Load Projections'!$A$4:$EO$14,((MONTH($A43)-1)*12)+VLOOKUP(AX$4,$DE$6:$DF$17,2)+1))*$C43</f>
        <v>-364.22141914758748</v>
      </c>
      <c r="AY43" s="1021">
        <f>(VLOOKUP(YEAR($A43),'NY East Load Projections'!$A$4:$EO$14,((MONTH($A43)-1)*12)+VLOOKUP(AY$4,$DE$6:$DF$17,2)+1))*$C43</f>
        <v>-364.22141914758748</v>
      </c>
      <c r="AZ43" s="1021">
        <f>(VLOOKUP(YEAR($A43),'NY East Load Projections'!$A$4:$EO$14,((MONTH($A43)-1)*12)+VLOOKUP(AZ$4,$DE$6:$DF$17,2)+1))*$C43</f>
        <v>-364.22141914758748</v>
      </c>
      <c r="BA43" s="1021">
        <f>(VLOOKUP(YEAR($A43),'NY East Load Projections'!$A$4:$EO$14,((MONTH($A43)-1)*12)+VLOOKUP(BA$4,$DE$6:$DF$17,2)+1))*$C43</f>
        <v>-352.35406802453849</v>
      </c>
      <c r="BB43" s="1021">
        <f>(VLOOKUP(YEAR($A43),'NY East Load Projections'!$A$4:$EO$14,((MONTH($A43)-1)*12)+VLOOKUP(BB$4,$DE$6:$DF$17,2)+1))*$C43</f>
        <v>-352.35406802453849</v>
      </c>
      <c r="BC43" s="1021">
        <f>(VLOOKUP(YEAR($A43),'NY East Load Projections'!$A$4:$EO$14,((MONTH($A43)-1)*12)+VLOOKUP(BC$4,$DE$6:$DF$17,2)+1))*$C43</f>
        <v>-352.35406802453849</v>
      </c>
      <c r="BD43" s="1021">
        <f>(VLOOKUP(YEAR($A43),'NY East Load Projections'!$A$4:$EO$14,((MONTH($A43)-1)*12)+VLOOKUP(BD$4,$DE$6:$DF$17,2)+1))*$C43</f>
        <v>-352.35406802453849</v>
      </c>
      <c r="BE43" s="1021"/>
      <c r="BF43" s="1021">
        <f>(VLOOKUP(YEAR($A43),'NY East Load Projections'!$A$4:$EO$14,((MONTH($A43)-1)*12)+VLOOKUP(BF$4,$DE$6:$DF$17,2)+1))*$D43</f>
        <v>-435.61238852555039</v>
      </c>
      <c r="BG43" s="1021">
        <f>(VLOOKUP(YEAR($A43),'NY East Load Projections'!$A$4:$EO$14,((MONTH($A43)-1)*12)+VLOOKUP(BG$4,$DE$6:$DF$17,2)+1))*$D43</f>
        <v>-435.61238852555039</v>
      </c>
      <c r="BH43" s="1021">
        <f>(VLOOKUP(YEAR($A43),'NY East Load Projections'!$A$4:$EO$14,((MONTH($A43)-1)*12)+VLOOKUP(BH$4,$DE$6:$DF$17,2)+1))*$D43</f>
        <v>-435.61238852555039</v>
      </c>
      <c r="BI43" s="1021">
        <f>(VLOOKUP(YEAR($A43),'NY East Load Projections'!$A$4:$EO$14,((MONTH($A43)-1)*12)+VLOOKUP(BI$4,$DE$6:$DF$17,2)+1))*$D43</f>
        <v>-435.61238852555039</v>
      </c>
      <c r="BJ43" s="1021">
        <f>(VLOOKUP(YEAR($A43),'NY East Load Projections'!$A$4:$EO$14,((MONTH($A43)-1)*12)+VLOOKUP(BJ$4,$DE$6:$DF$17,2)+1))*$D43</f>
        <v>-443.732978319344</v>
      </c>
      <c r="BK43" s="1021">
        <f>(VLOOKUP(YEAR($A43),'NY East Load Projections'!$A$4:$EO$14,((MONTH($A43)-1)*12)+VLOOKUP(BK$4,$DE$6:$DF$17,2)+1))*$D43</f>
        <v>-443.732978319344</v>
      </c>
      <c r="BL43" s="1021">
        <f>(VLOOKUP(YEAR($A43),'NY East Load Projections'!$A$4:$EO$14,((MONTH($A43)-1)*12)+VLOOKUP(BL$4,$DE$6:$DF$17,2)+1))*$D43</f>
        <v>-443.732978319344</v>
      </c>
      <c r="BM43" s="1021">
        <f>(VLOOKUP(YEAR($A43),'NY East Load Projections'!$A$4:$EO$14,((MONTH($A43)-1)*12)+VLOOKUP(BM$4,$DE$6:$DF$17,2)+1))*$D43</f>
        <v>-443.732978319344</v>
      </c>
      <c r="BN43" s="1021">
        <f>(VLOOKUP(YEAR($A43),'NY East Load Projections'!$A$4:$EO$14,((MONTH($A43)-1)*12)+VLOOKUP(BN$4,$DE$6:$DF$17,2)+1))*$D43</f>
        <v>-476.00727364987392</v>
      </c>
      <c r="BO43" s="1021">
        <f>(VLOOKUP(YEAR($A43),'NY East Load Projections'!$A$4:$EO$14,((MONTH($A43)-1)*12)+VLOOKUP(BO$4,$DE$6:$DF$17,2)+1))*$D43</f>
        <v>-476.00727364987392</v>
      </c>
      <c r="BP43" s="1021">
        <f>(VLOOKUP(YEAR($A43),'NY East Load Projections'!$A$4:$EO$14,((MONTH($A43)-1)*12)+VLOOKUP(BP$4,$DE$6:$DF$17,2)+1))*$D43</f>
        <v>-476.00727364987392</v>
      </c>
      <c r="BQ43" s="1021">
        <f>(VLOOKUP(YEAR($A43),'NY East Load Projections'!$A$4:$EO$14,((MONTH($A43)-1)*12)+VLOOKUP(BQ$4,$DE$6:$DF$17,2)+1))*$D43</f>
        <v>-476.00727364987392</v>
      </c>
      <c r="BR43" s="1021">
        <f>(VLOOKUP(YEAR($A43),'NY East Load Projections'!$A$4:$EO$14,((MONTH($A43)-1)*12)+VLOOKUP(BR$4,$DE$6:$DF$17,2)+1))*$D43</f>
        <v>-476.94366962436345</v>
      </c>
      <c r="BS43" s="1021">
        <f>(VLOOKUP(YEAR($A43),'NY East Load Projections'!$A$4:$EO$14,((MONTH($A43)-1)*12)+VLOOKUP(BS$4,$DE$6:$DF$17,2)+1))*$D43</f>
        <v>-476.94366962436345</v>
      </c>
      <c r="BT43" s="1021">
        <f>(VLOOKUP(YEAR($A43),'NY East Load Projections'!$A$4:$EO$14,((MONTH($A43)-1)*12)+VLOOKUP(BT$4,$DE$6:$DF$17,2)+1))*$D43</f>
        <v>-476.94366962436345</v>
      </c>
      <c r="BU43" s="1021">
        <f>(VLOOKUP(YEAR($A43),'NY East Load Projections'!$A$4:$EO$14,((MONTH($A43)-1)*12)+VLOOKUP(BU$4,$DE$6:$DF$17,2)+1))*$D43</f>
        <v>-476.94366962436345</v>
      </c>
      <c r="BV43" s="1021">
        <f>(VLOOKUP(YEAR($A43),'NY East Load Projections'!$A$4:$EO$14,((MONTH($A43)-1)*12)+VLOOKUP(BV$4,$DE$6:$DF$17,2)+1))*$D43</f>
        <v>-455.27677393448437</v>
      </c>
      <c r="BW43" s="1021">
        <f>(VLOOKUP(YEAR($A43),'NY East Load Projections'!$A$4:$EO$14,((MONTH($A43)-1)*12)+VLOOKUP(BW$4,$DE$6:$DF$17,2)+1))*$D43</f>
        <v>-455.27677393448437</v>
      </c>
      <c r="BX43" s="1021">
        <f>(VLOOKUP(YEAR($A43),'NY East Load Projections'!$A$4:$EO$14,((MONTH($A43)-1)*12)+VLOOKUP(BX$4,$DE$6:$DF$17,2)+1))*$D43</f>
        <v>-455.27677393448437</v>
      </c>
      <c r="BY43" s="1021">
        <f>(VLOOKUP(YEAR($A43),'NY East Load Projections'!$A$4:$EO$14,((MONTH($A43)-1)*12)+VLOOKUP(BY$4,$DE$6:$DF$17,2)+1))*$D43</f>
        <v>-455.27677393448437</v>
      </c>
      <c r="BZ43" s="1021">
        <f>(VLOOKUP(YEAR($A43),'NY East Load Projections'!$A$4:$EO$14,((MONTH($A43)-1)*12)+VLOOKUP(BZ$4,$DE$6:$DF$17,2)+1))*$D43</f>
        <v>-440.44258503067311</v>
      </c>
      <c r="CA43" s="1021">
        <f>(VLOOKUP(YEAR($A43),'NY East Load Projections'!$A$4:$EO$14,((MONTH($A43)-1)*12)+VLOOKUP(CA$4,$DE$6:$DF$17,2)+1))*$D43</f>
        <v>-440.44258503067311</v>
      </c>
      <c r="CB43" s="1021">
        <f>(VLOOKUP(YEAR($A43),'NY East Load Projections'!$A$4:$EO$14,((MONTH($A43)-1)*12)+VLOOKUP(CB$4,$DE$6:$DF$17,2)+1))*$D43</f>
        <v>-440.44258503067311</v>
      </c>
      <c r="CC43" s="1021">
        <f>(VLOOKUP(YEAR($A43),'NY East Load Projections'!$A$4:$EO$14,((MONTH($A43)-1)*12)+VLOOKUP(CC$4,$DE$6:$DF$17,2)+1))*$D43</f>
        <v>-440.44258503067311</v>
      </c>
      <c r="CE43" s="1021">
        <f>(VLOOKUP(YEAR($A43),'NY East Load Projections'!$A$4:$EO$14,((MONTH($A43)-1)*12)+VLOOKUP(CE$4,$DE$6:$DF$17,2)+1))*$E43</f>
        <v>0</v>
      </c>
      <c r="CF43" s="1021">
        <f>(VLOOKUP(YEAR($A43),'NY East Load Projections'!$A$4:$EO$14,((MONTH($A43)-1)*12)+VLOOKUP(CF$4,$DE$6:$DF$17,2)+1))*$E43</f>
        <v>0</v>
      </c>
      <c r="CG43" s="1021">
        <f>(VLOOKUP(YEAR($A43),'NY East Load Projections'!$A$4:$EO$14,((MONTH($A43)-1)*12)+VLOOKUP(CG$4,$DE$6:$DF$17,2)+1))*$E43</f>
        <v>0</v>
      </c>
      <c r="CH43" s="1021">
        <f>(VLOOKUP(YEAR($A43),'NY East Load Projections'!$A$4:$EO$14,((MONTH($A43)-1)*12)+VLOOKUP(CH$4,$DE$6:$DF$17,2)+1))*$E43</f>
        <v>0</v>
      </c>
      <c r="CI43" s="1021">
        <f>(VLOOKUP(YEAR($A43),'NY East Load Projections'!$A$4:$EO$14,((MONTH($A43)-1)*12)+VLOOKUP(CI$4,$DE$6:$DF$17,2)+1))*$E43</f>
        <v>0</v>
      </c>
      <c r="CJ43" s="1021">
        <f>(VLOOKUP(YEAR($A43),'NY East Load Projections'!$A$4:$EO$14,((MONTH($A43)-1)*12)+VLOOKUP(CJ$4,$DE$6:$DF$17,2)+1))*$E43</f>
        <v>0</v>
      </c>
      <c r="CK43" s="1021">
        <f>(VLOOKUP(YEAR($A43),'NY East Load Projections'!$A$4:$EO$14,((MONTH($A43)-1)*12)+VLOOKUP(CK$4,$DE$6:$DF$17,2)+1))*$E43</f>
        <v>0</v>
      </c>
      <c r="CL43" s="1021">
        <f>(VLOOKUP(YEAR($A43),'NY East Load Projections'!$A$4:$EO$14,((MONTH($A43)-1)*12)+VLOOKUP(CL$4,$DE$6:$DF$17,2)+1))*$E43</f>
        <v>0</v>
      </c>
      <c r="CM43" s="1021">
        <f>(VLOOKUP(YEAR($A43),'NY East Load Projections'!$A$4:$EO$14,((MONTH($A43)-1)*12)+VLOOKUP(CM$4,$DE$6:$DF$17,2)+1))*$E43</f>
        <v>0</v>
      </c>
      <c r="CN43" s="1021">
        <f>(VLOOKUP(YEAR($A43),'NY East Load Projections'!$A$4:$EO$14,((MONTH($A43)-1)*12)+VLOOKUP(CN$4,$DE$6:$DF$17,2)+1))*$E43</f>
        <v>0</v>
      </c>
      <c r="CO43" s="1021">
        <f>(VLOOKUP(YEAR($A43),'NY East Load Projections'!$A$4:$EO$14,((MONTH($A43)-1)*12)+VLOOKUP(CO$4,$DE$6:$DF$17,2)+1))*$E43</f>
        <v>0</v>
      </c>
      <c r="CP43" s="1021">
        <f>(VLOOKUP(YEAR($A43),'NY East Load Projections'!$A$4:$EO$14,((MONTH($A43)-1)*12)+VLOOKUP(CP$4,$DE$6:$DF$17,2)+1))*$E43</f>
        <v>0</v>
      </c>
      <c r="CQ43" s="1021">
        <f>(VLOOKUP(YEAR($A43),'NY East Load Projections'!$A$4:$EO$14,((MONTH($A43)-1)*12)+VLOOKUP(CQ$4,$DE$6:$DF$17,2)+1))*$E43</f>
        <v>0</v>
      </c>
      <c r="CR43" s="1021">
        <f>(VLOOKUP(YEAR($A43),'NY East Load Projections'!$A$4:$EO$14,((MONTH($A43)-1)*12)+VLOOKUP(CR$4,$DE$6:$DF$17,2)+1))*$E43</f>
        <v>0</v>
      </c>
      <c r="CS43" s="1021">
        <f>(VLOOKUP(YEAR($A43),'NY East Load Projections'!$A$4:$EO$14,((MONTH($A43)-1)*12)+VLOOKUP(CS$4,$DE$6:$DF$17,2)+1))*$E43</f>
        <v>0</v>
      </c>
      <c r="CT43" s="1021">
        <f>(VLOOKUP(YEAR($A43),'NY East Load Projections'!$A$4:$EO$14,((MONTH($A43)-1)*12)+VLOOKUP(CT$4,$DE$6:$DF$17,2)+1))*$E43</f>
        <v>0</v>
      </c>
      <c r="CU43" s="1021">
        <f>(VLOOKUP(YEAR($A43),'NY East Load Projections'!$A$4:$EO$14,((MONTH($A43)-1)*12)+VLOOKUP(CU$4,$DE$6:$DF$17,2)+1))*$E43</f>
        <v>0</v>
      </c>
      <c r="CV43" s="1021">
        <f>(VLOOKUP(YEAR($A43),'NY East Load Projections'!$A$4:$EO$14,((MONTH($A43)-1)*12)+VLOOKUP(CV$4,$DE$6:$DF$17,2)+1))*$E43</f>
        <v>0</v>
      </c>
      <c r="CW43" s="1021">
        <f>(VLOOKUP(YEAR($A43),'NY East Load Projections'!$A$4:$EO$14,((MONTH($A43)-1)*12)+VLOOKUP(CW$4,$DE$6:$DF$17,2)+1))*$E43</f>
        <v>0</v>
      </c>
      <c r="CX43" s="1021">
        <f>(VLOOKUP(YEAR($A43),'NY East Load Projections'!$A$4:$EO$14,((MONTH($A43)-1)*12)+VLOOKUP(CX$4,$DE$6:$DF$17,2)+1))*$E43</f>
        <v>0</v>
      </c>
      <c r="CY43" s="1021">
        <f>(VLOOKUP(YEAR($A43),'NY East Load Projections'!$A$4:$EO$14,((MONTH($A43)-1)*12)+VLOOKUP(CY$4,$DE$6:$DF$17,2)+1))*$E43</f>
        <v>0</v>
      </c>
      <c r="CZ43" s="1021">
        <f>(VLOOKUP(YEAR($A43),'NY East Load Projections'!$A$4:$EO$14,((MONTH($A43)-1)*12)+VLOOKUP(CZ$4,$DE$6:$DF$17,2)+1))*$E43</f>
        <v>0</v>
      </c>
      <c r="DA43" s="1021">
        <f>(VLOOKUP(YEAR($A43),'NY East Load Projections'!$A$4:$EO$14,((MONTH($A43)-1)*12)+VLOOKUP(DA$4,$DE$6:$DF$17,2)+1))*$E43</f>
        <v>0</v>
      </c>
      <c r="DB43" s="1021">
        <f>(VLOOKUP(YEAR($A43),'NY East Load Projections'!$A$4:$EO$14,((MONTH($A43)-1)*12)+VLOOKUP(DB$4,$DE$6:$DF$17,2)+1))*$E43</f>
        <v>0</v>
      </c>
      <c r="DH43" s="1009">
        <f t="shared" si="2"/>
        <v>-64527.662703718459</v>
      </c>
      <c r="DI43">
        <f ca="1">CALC!J63</f>
        <v>0.74924536597621894</v>
      </c>
      <c r="DJ43" s="1032">
        <f t="shared" ca="1" si="1"/>
        <v>-48347.052258037547</v>
      </c>
    </row>
    <row r="44" spans="1:114" x14ac:dyDescent="0.25">
      <c r="A44" s="244">
        <v>38047</v>
      </c>
      <c r="B44" s="13">
        <v>23</v>
      </c>
      <c r="C44" s="210">
        <v>4</v>
      </c>
      <c r="D44" s="210">
        <v>4</v>
      </c>
      <c r="E44" s="210">
        <v>0</v>
      </c>
      <c r="F44" s="13">
        <v>31</v>
      </c>
      <c r="H44" s="1021">
        <f>(VLOOKUP(YEAR($A44),'NY East Load Projections'!$A$4:$EO$14,((MONTH($A44)-1)*12)+VLOOKUP(H$4,$DE$6:$DF$17,2)+1))*$B44</f>
        <v>-1799.1239733521056</v>
      </c>
      <c r="I44" s="1021">
        <f>(VLOOKUP(YEAR($A44),'NY East Load Projections'!$A$4:$EO$14,((MONTH($A44)-1)*12)+VLOOKUP(I$4,$DE$6:$DF$17,2)+1))*$B44</f>
        <v>-1799.1239733521056</v>
      </c>
      <c r="J44" s="1021">
        <f>(VLOOKUP(YEAR($A44),'NY East Load Projections'!$A$4:$EO$14,((MONTH($A44)-1)*12)+VLOOKUP(J$4,$DE$6:$DF$17,2)+1))*$B44</f>
        <v>-1799.1239733521056</v>
      </c>
      <c r="K44" s="1021">
        <f>(VLOOKUP(YEAR($A44),'NY East Load Projections'!$A$4:$EO$14,((MONTH($A44)-1)*12)+VLOOKUP(K$4,$DE$6:$DF$17,2)+1))*$B44</f>
        <v>-1799.1239733521056</v>
      </c>
      <c r="L44" s="1021">
        <f>(VLOOKUP(YEAR($A44),'NY East Load Projections'!$A$4:$EO$14,((MONTH($A44)-1)*12)+VLOOKUP(L$4,$DE$6:$DF$17,2)+1))*$B44</f>
        <v>-1990.8217642746097</v>
      </c>
      <c r="M44" s="1021">
        <f>(VLOOKUP(YEAR($A44),'NY East Load Projections'!$A$4:$EO$14,((MONTH($A44)-1)*12)+VLOOKUP(M$4,$DE$6:$DF$17,2)+1))*$B44</f>
        <v>-1990.8217642746097</v>
      </c>
      <c r="N44" s="1021">
        <f>(VLOOKUP(YEAR($A44),'NY East Load Projections'!$A$4:$EO$14,((MONTH($A44)-1)*12)+VLOOKUP(N$4,$DE$6:$DF$17,2)+1))*$B44</f>
        <v>-1990.8217642746097</v>
      </c>
      <c r="O44" s="1021">
        <f>(VLOOKUP(YEAR($A44),'NY East Load Projections'!$A$4:$EO$14,((MONTH($A44)-1)*12)+VLOOKUP(O$4,$DE$6:$DF$17,2)+1))*$B44</f>
        <v>-1990.8217642746097</v>
      </c>
      <c r="P44" s="1021">
        <f>(VLOOKUP(YEAR($A44),'NY East Load Projections'!$A$4:$EO$14,((MONTH($A44)-1)*12)+VLOOKUP(P$4,$DE$6:$DF$17,2)+1))*$B44</f>
        <v>-2220.5682316334096</v>
      </c>
      <c r="Q44" s="1021">
        <f>(VLOOKUP(YEAR($A44),'NY East Load Projections'!$A$4:$EO$14,((MONTH($A44)-1)*12)+VLOOKUP(Q$4,$DE$6:$DF$17,2)+1))*$B44</f>
        <v>-2220.5682316334096</v>
      </c>
      <c r="R44" s="1021">
        <f>(VLOOKUP(YEAR($A44),'NY East Load Projections'!$A$4:$EO$14,((MONTH($A44)-1)*12)+VLOOKUP(R$4,$DE$6:$DF$17,2)+1))*$B44</f>
        <v>-2220.5682316334096</v>
      </c>
      <c r="S44" s="1021">
        <f>(VLOOKUP(YEAR($A44),'NY East Load Projections'!$A$4:$EO$14,((MONTH($A44)-1)*12)+VLOOKUP(S$4,$DE$6:$DF$17,2)+1))*$B44</f>
        <v>-2220.5682316334096</v>
      </c>
      <c r="T44" s="1021">
        <f>(VLOOKUP(YEAR($A44),'NY East Load Projections'!$A$4:$EO$14,((MONTH($A44)-1)*12)+VLOOKUP(T$4,$DE$6:$DF$17,2)+1))*$B44</f>
        <v>-2292.9465954239845</v>
      </c>
      <c r="U44" s="1021">
        <f>(VLOOKUP(YEAR($A44),'NY East Load Projections'!$A$4:$EO$14,((MONTH($A44)-1)*12)+VLOOKUP(U$4,$DE$6:$DF$17,2)+1))*$B44</f>
        <v>-2292.9465954239845</v>
      </c>
      <c r="V44" s="1021">
        <f>(VLOOKUP(YEAR($A44),'NY East Load Projections'!$A$4:$EO$14,((MONTH($A44)-1)*12)+VLOOKUP(V$4,$DE$6:$DF$17,2)+1))*$B44</f>
        <v>-2292.9465954239845</v>
      </c>
      <c r="W44" s="1021">
        <f>(VLOOKUP(YEAR($A44),'NY East Load Projections'!$A$4:$EO$14,((MONTH($A44)-1)*12)+VLOOKUP(W$4,$DE$6:$DF$17,2)+1))*$B44</f>
        <v>-2292.9465954239845</v>
      </c>
      <c r="X44" s="1021">
        <f>(VLOOKUP(YEAR($A44),'NY East Load Projections'!$A$4:$EO$14,((MONTH($A44)-1)*12)+VLOOKUP(X$4,$DE$6:$DF$17,2)+1))*$B44</f>
        <v>-2162.9903943498539</v>
      </c>
      <c r="Y44" s="1021">
        <f>(VLOOKUP(YEAR($A44),'NY East Load Projections'!$A$4:$EO$14,((MONTH($A44)-1)*12)+VLOOKUP(Y$4,$DE$6:$DF$17,2)+1))*$B44</f>
        <v>-2162.9903943498539</v>
      </c>
      <c r="Z44" s="1021">
        <f>(VLOOKUP(YEAR($A44),'NY East Load Projections'!$A$4:$EO$14,((MONTH($A44)-1)*12)+VLOOKUP(Z$4,$DE$6:$DF$17,2)+1))*$B44</f>
        <v>-2162.9903943498539</v>
      </c>
      <c r="AA44" s="1021">
        <f>(VLOOKUP(YEAR($A44),'NY East Load Projections'!$A$4:$EO$14,((MONTH($A44)-1)*12)+VLOOKUP(AA$4,$DE$6:$DF$17,2)+1))*$B44</f>
        <v>-2162.9903943498539</v>
      </c>
      <c r="AB44" s="1021">
        <f>(VLOOKUP(YEAR($A44),'NY East Load Projections'!$A$4:$EO$14,((MONTH($A44)-1)*12)+VLOOKUP(AB$4,$DE$6:$DF$17,2)+1))*$B44</f>
        <v>-1933.2081557338283</v>
      </c>
      <c r="AC44" s="1021">
        <f>(VLOOKUP(YEAR($A44),'NY East Load Projections'!$A$4:$EO$14,((MONTH($A44)-1)*12)+VLOOKUP(AC$4,$DE$6:$DF$17,2)+1))*$B44</f>
        <v>-1933.2081557338283</v>
      </c>
      <c r="AD44" s="1021">
        <f>(VLOOKUP(YEAR($A44),'NY East Load Projections'!$A$4:$EO$14,((MONTH($A44)-1)*12)+VLOOKUP(AD$4,$DE$6:$DF$17,2)+1))*$B44</f>
        <v>-1933.2081557338283</v>
      </c>
      <c r="AE44" s="1021">
        <f>(VLOOKUP(YEAR($A44),'NY East Load Projections'!$A$4:$EO$14,((MONTH($A44)-1)*12)+VLOOKUP(AE$4,$DE$6:$DF$17,2)+1))*$B44</f>
        <v>-1933.2081557338283</v>
      </c>
      <c r="AF44" s="1021"/>
      <c r="AG44" s="1021">
        <f>(VLOOKUP(YEAR($A44),'NY East Load Projections'!$A$4:$EO$14,((MONTH($A44)-1)*12)+VLOOKUP(AG$4,$DE$6:$DF$17,2)+1))*$C44</f>
        <v>-349.98426630181871</v>
      </c>
      <c r="AH44" s="1021">
        <f>(VLOOKUP(YEAR($A44),'NY East Load Projections'!$A$4:$EO$14,((MONTH($A44)-1)*12)+VLOOKUP(AH$4,$DE$6:$DF$17,2)+1))*$C44</f>
        <v>-349.98426630181871</v>
      </c>
      <c r="AI44" s="1021">
        <f>(VLOOKUP(YEAR($A44),'NY East Load Projections'!$A$4:$EO$14,((MONTH($A44)-1)*12)+VLOOKUP(AI$4,$DE$6:$DF$17,2)+1))*$C44</f>
        <v>-349.98426630181871</v>
      </c>
      <c r="AJ44" s="1021">
        <f>(VLOOKUP(YEAR($A44),'NY East Load Projections'!$A$4:$EO$14,((MONTH($A44)-1)*12)+VLOOKUP(AJ$4,$DE$6:$DF$17,2)+1))*$C44</f>
        <v>-349.98426630181871</v>
      </c>
      <c r="AK44" s="1021">
        <f>(VLOOKUP(YEAR($A44),'NY East Load Projections'!$A$4:$EO$14,((MONTH($A44)-1)*12)+VLOOKUP(AK$4,$DE$6:$DF$17,2)+1))*$C44</f>
        <v>-354.26254729271795</v>
      </c>
      <c r="AL44" s="1021">
        <f>(VLOOKUP(YEAR($A44),'NY East Load Projections'!$A$4:$EO$14,((MONTH($A44)-1)*12)+VLOOKUP(AL$4,$DE$6:$DF$17,2)+1))*$C44</f>
        <v>-354.26254729271795</v>
      </c>
      <c r="AM44" s="1021">
        <f>(VLOOKUP(YEAR($A44),'NY East Load Projections'!$A$4:$EO$14,((MONTH($A44)-1)*12)+VLOOKUP(AM$4,$DE$6:$DF$17,2)+1))*$C44</f>
        <v>-354.26254729271795</v>
      </c>
      <c r="AN44" s="1021">
        <f>(VLOOKUP(YEAR($A44),'NY East Load Projections'!$A$4:$EO$14,((MONTH($A44)-1)*12)+VLOOKUP(AN$4,$DE$6:$DF$17,2)+1))*$C44</f>
        <v>-354.26254729271795</v>
      </c>
      <c r="AO44" s="1021">
        <f>(VLOOKUP(YEAR($A44),'NY East Load Projections'!$A$4:$EO$14,((MONTH($A44)-1)*12)+VLOOKUP(AO$4,$DE$6:$DF$17,2)+1))*$C44</f>
        <v>-379.72568232279934</v>
      </c>
      <c r="AP44" s="1021">
        <f>(VLOOKUP(YEAR($A44),'NY East Load Projections'!$A$4:$EO$14,((MONTH($A44)-1)*12)+VLOOKUP(AP$4,$DE$6:$DF$17,2)+1))*$C44</f>
        <v>-379.72568232279934</v>
      </c>
      <c r="AQ44" s="1021">
        <f>(VLOOKUP(YEAR($A44),'NY East Load Projections'!$A$4:$EO$14,((MONTH($A44)-1)*12)+VLOOKUP(AQ$4,$DE$6:$DF$17,2)+1))*$C44</f>
        <v>-379.72568232279934</v>
      </c>
      <c r="AR44" s="1021">
        <f>(VLOOKUP(YEAR($A44),'NY East Load Projections'!$A$4:$EO$14,((MONTH($A44)-1)*12)+VLOOKUP(AR$4,$DE$6:$DF$17,2)+1))*$C44</f>
        <v>-379.72568232279934</v>
      </c>
      <c r="AS44" s="1021">
        <f>(VLOOKUP(YEAR($A44),'NY East Load Projections'!$A$4:$EO$14,((MONTH($A44)-1)*12)+VLOOKUP(AS$4,$DE$6:$DF$17,2)+1))*$C44</f>
        <v>-381.70473616977546</v>
      </c>
      <c r="AT44" s="1021">
        <f>(VLOOKUP(YEAR($A44),'NY East Load Projections'!$A$4:$EO$14,((MONTH($A44)-1)*12)+VLOOKUP(AT$4,$DE$6:$DF$17,2)+1))*$C44</f>
        <v>-381.70473616977546</v>
      </c>
      <c r="AU44" s="1021">
        <f>(VLOOKUP(YEAR($A44),'NY East Load Projections'!$A$4:$EO$14,((MONTH($A44)-1)*12)+VLOOKUP(AU$4,$DE$6:$DF$17,2)+1))*$C44</f>
        <v>-381.70473616977546</v>
      </c>
      <c r="AV44" s="1021">
        <f>(VLOOKUP(YEAR($A44),'NY East Load Projections'!$A$4:$EO$14,((MONTH($A44)-1)*12)+VLOOKUP(AV$4,$DE$6:$DF$17,2)+1))*$C44</f>
        <v>-381.70473616977546</v>
      </c>
      <c r="AW44" s="1021">
        <f>(VLOOKUP(YEAR($A44),'NY East Load Projections'!$A$4:$EO$14,((MONTH($A44)-1)*12)+VLOOKUP(AW$4,$DE$6:$DF$17,2)+1))*$C44</f>
        <v>-365.45048288546081</v>
      </c>
      <c r="AX44" s="1021">
        <f>(VLOOKUP(YEAR($A44),'NY East Load Projections'!$A$4:$EO$14,((MONTH($A44)-1)*12)+VLOOKUP(AX$4,$DE$6:$DF$17,2)+1))*$C44</f>
        <v>-365.45048288546081</v>
      </c>
      <c r="AY44" s="1021">
        <f>(VLOOKUP(YEAR($A44),'NY East Load Projections'!$A$4:$EO$14,((MONTH($A44)-1)*12)+VLOOKUP(AY$4,$DE$6:$DF$17,2)+1))*$C44</f>
        <v>-365.45048288546081</v>
      </c>
      <c r="AZ44" s="1021">
        <f>(VLOOKUP(YEAR($A44),'NY East Load Projections'!$A$4:$EO$14,((MONTH($A44)-1)*12)+VLOOKUP(AZ$4,$DE$6:$DF$17,2)+1))*$C44</f>
        <v>-365.45048288546081</v>
      </c>
      <c r="BA44" s="1021">
        <f>(VLOOKUP(YEAR($A44),'NY East Load Projections'!$A$4:$EO$14,((MONTH($A44)-1)*12)+VLOOKUP(BA$4,$DE$6:$DF$17,2)+1))*$C44</f>
        <v>-353.03077305228942</v>
      </c>
      <c r="BB44" s="1021">
        <f>(VLOOKUP(YEAR($A44),'NY East Load Projections'!$A$4:$EO$14,((MONTH($A44)-1)*12)+VLOOKUP(BB$4,$DE$6:$DF$17,2)+1))*$C44</f>
        <v>-353.03077305228942</v>
      </c>
      <c r="BC44" s="1021">
        <f>(VLOOKUP(YEAR($A44),'NY East Load Projections'!$A$4:$EO$14,((MONTH($A44)-1)*12)+VLOOKUP(BC$4,$DE$6:$DF$17,2)+1))*$C44</f>
        <v>-353.03077305228942</v>
      </c>
      <c r="BD44" s="1021">
        <f>(VLOOKUP(YEAR($A44),'NY East Load Projections'!$A$4:$EO$14,((MONTH($A44)-1)*12)+VLOOKUP(BD$4,$DE$6:$DF$17,2)+1))*$C44</f>
        <v>-353.03077305228942</v>
      </c>
      <c r="BE44" s="1021"/>
      <c r="BF44" s="1021">
        <f>(VLOOKUP(YEAR($A44),'NY East Load Projections'!$A$4:$EO$14,((MONTH($A44)-1)*12)+VLOOKUP(BF$4,$DE$6:$DF$17,2)+1))*$D44</f>
        <v>-349.98426630181871</v>
      </c>
      <c r="BG44" s="1021">
        <f>(VLOOKUP(YEAR($A44),'NY East Load Projections'!$A$4:$EO$14,((MONTH($A44)-1)*12)+VLOOKUP(BG$4,$DE$6:$DF$17,2)+1))*$D44</f>
        <v>-349.98426630181871</v>
      </c>
      <c r="BH44" s="1021">
        <f>(VLOOKUP(YEAR($A44),'NY East Load Projections'!$A$4:$EO$14,((MONTH($A44)-1)*12)+VLOOKUP(BH$4,$DE$6:$DF$17,2)+1))*$D44</f>
        <v>-349.98426630181871</v>
      </c>
      <c r="BI44" s="1021">
        <f>(VLOOKUP(YEAR($A44),'NY East Load Projections'!$A$4:$EO$14,((MONTH($A44)-1)*12)+VLOOKUP(BI$4,$DE$6:$DF$17,2)+1))*$D44</f>
        <v>-349.98426630181871</v>
      </c>
      <c r="BJ44" s="1021">
        <f>(VLOOKUP(YEAR($A44),'NY East Load Projections'!$A$4:$EO$14,((MONTH($A44)-1)*12)+VLOOKUP(BJ$4,$DE$6:$DF$17,2)+1))*$D44</f>
        <v>-354.26254729271795</v>
      </c>
      <c r="BK44" s="1021">
        <f>(VLOOKUP(YEAR($A44),'NY East Load Projections'!$A$4:$EO$14,((MONTH($A44)-1)*12)+VLOOKUP(BK$4,$DE$6:$DF$17,2)+1))*$D44</f>
        <v>-354.26254729271795</v>
      </c>
      <c r="BL44" s="1021">
        <f>(VLOOKUP(YEAR($A44),'NY East Load Projections'!$A$4:$EO$14,((MONTH($A44)-1)*12)+VLOOKUP(BL$4,$DE$6:$DF$17,2)+1))*$D44</f>
        <v>-354.26254729271795</v>
      </c>
      <c r="BM44" s="1021">
        <f>(VLOOKUP(YEAR($A44),'NY East Load Projections'!$A$4:$EO$14,((MONTH($A44)-1)*12)+VLOOKUP(BM$4,$DE$6:$DF$17,2)+1))*$D44</f>
        <v>-354.26254729271795</v>
      </c>
      <c r="BN44" s="1021">
        <f>(VLOOKUP(YEAR($A44),'NY East Load Projections'!$A$4:$EO$14,((MONTH($A44)-1)*12)+VLOOKUP(BN$4,$DE$6:$DF$17,2)+1))*$D44</f>
        <v>-379.72568232279934</v>
      </c>
      <c r="BO44" s="1021">
        <f>(VLOOKUP(YEAR($A44),'NY East Load Projections'!$A$4:$EO$14,((MONTH($A44)-1)*12)+VLOOKUP(BO$4,$DE$6:$DF$17,2)+1))*$D44</f>
        <v>-379.72568232279934</v>
      </c>
      <c r="BP44" s="1021">
        <f>(VLOOKUP(YEAR($A44),'NY East Load Projections'!$A$4:$EO$14,((MONTH($A44)-1)*12)+VLOOKUP(BP$4,$DE$6:$DF$17,2)+1))*$D44</f>
        <v>-379.72568232279934</v>
      </c>
      <c r="BQ44" s="1021">
        <f>(VLOOKUP(YEAR($A44),'NY East Load Projections'!$A$4:$EO$14,((MONTH($A44)-1)*12)+VLOOKUP(BQ$4,$DE$6:$DF$17,2)+1))*$D44</f>
        <v>-379.72568232279934</v>
      </c>
      <c r="BR44" s="1021">
        <f>(VLOOKUP(YEAR($A44),'NY East Load Projections'!$A$4:$EO$14,((MONTH($A44)-1)*12)+VLOOKUP(BR$4,$DE$6:$DF$17,2)+1))*$D44</f>
        <v>-381.70473616977546</v>
      </c>
      <c r="BS44" s="1021">
        <f>(VLOOKUP(YEAR($A44),'NY East Load Projections'!$A$4:$EO$14,((MONTH($A44)-1)*12)+VLOOKUP(BS$4,$DE$6:$DF$17,2)+1))*$D44</f>
        <v>-381.70473616977546</v>
      </c>
      <c r="BT44" s="1021">
        <f>(VLOOKUP(YEAR($A44),'NY East Load Projections'!$A$4:$EO$14,((MONTH($A44)-1)*12)+VLOOKUP(BT$4,$DE$6:$DF$17,2)+1))*$D44</f>
        <v>-381.70473616977546</v>
      </c>
      <c r="BU44" s="1021">
        <f>(VLOOKUP(YEAR($A44),'NY East Load Projections'!$A$4:$EO$14,((MONTH($A44)-1)*12)+VLOOKUP(BU$4,$DE$6:$DF$17,2)+1))*$D44</f>
        <v>-381.70473616977546</v>
      </c>
      <c r="BV44" s="1021">
        <f>(VLOOKUP(YEAR($A44),'NY East Load Projections'!$A$4:$EO$14,((MONTH($A44)-1)*12)+VLOOKUP(BV$4,$DE$6:$DF$17,2)+1))*$D44</f>
        <v>-365.45048288546081</v>
      </c>
      <c r="BW44" s="1021">
        <f>(VLOOKUP(YEAR($A44),'NY East Load Projections'!$A$4:$EO$14,((MONTH($A44)-1)*12)+VLOOKUP(BW$4,$DE$6:$DF$17,2)+1))*$D44</f>
        <v>-365.45048288546081</v>
      </c>
      <c r="BX44" s="1021">
        <f>(VLOOKUP(YEAR($A44),'NY East Load Projections'!$A$4:$EO$14,((MONTH($A44)-1)*12)+VLOOKUP(BX$4,$DE$6:$DF$17,2)+1))*$D44</f>
        <v>-365.45048288546081</v>
      </c>
      <c r="BY44" s="1021">
        <f>(VLOOKUP(YEAR($A44),'NY East Load Projections'!$A$4:$EO$14,((MONTH($A44)-1)*12)+VLOOKUP(BY$4,$DE$6:$DF$17,2)+1))*$D44</f>
        <v>-365.45048288546081</v>
      </c>
      <c r="BZ44" s="1021">
        <f>(VLOOKUP(YEAR($A44),'NY East Load Projections'!$A$4:$EO$14,((MONTH($A44)-1)*12)+VLOOKUP(BZ$4,$DE$6:$DF$17,2)+1))*$D44</f>
        <v>-353.03077305228942</v>
      </c>
      <c r="CA44" s="1021">
        <f>(VLOOKUP(YEAR($A44),'NY East Load Projections'!$A$4:$EO$14,((MONTH($A44)-1)*12)+VLOOKUP(CA$4,$DE$6:$DF$17,2)+1))*$D44</f>
        <v>-353.03077305228942</v>
      </c>
      <c r="CB44" s="1021">
        <f>(VLOOKUP(YEAR($A44),'NY East Load Projections'!$A$4:$EO$14,((MONTH($A44)-1)*12)+VLOOKUP(CB$4,$DE$6:$DF$17,2)+1))*$D44</f>
        <v>-353.03077305228942</v>
      </c>
      <c r="CC44" s="1021">
        <f>(VLOOKUP(YEAR($A44),'NY East Load Projections'!$A$4:$EO$14,((MONTH($A44)-1)*12)+VLOOKUP(CC$4,$DE$6:$DF$17,2)+1))*$D44</f>
        <v>-353.03077305228942</v>
      </c>
      <c r="CE44" s="1021">
        <f>(VLOOKUP(YEAR($A44),'NY East Load Projections'!$A$4:$EO$14,((MONTH($A44)-1)*12)+VLOOKUP(CE$4,$DE$6:$DF$17,2)+1))*$E44</f>
        <v>0</v>
      </c>
      <c r="CF44" s="1021">
        <f>(VLOOKUP(YEAR($A44),'NY East Load Projections'!$A$4:$EO$14,((MONTH($A44)-1)*12)+VLOOKUP(CF$4,$DE$6:$DF$17,2)+1))*$E44</f>
        <v>0</v>
      </c>
      <c r="CG44" s="1021">
        <f>(VLOOKUP(YEAR($A44),'NY East Load Projections'!$A$4:$EO$14,((MONTH($A44)-1)*12)+VLOOKUP(CG$4,$DE$6:$DF$17,2)+1))*$E44</f>
        <v>0</v>
      </c>
      <c r="CH44" s="1021">
        <f>(VLOOKUP(YEAR($A44),'NY East Load Projections'!$A$4:$EO$14,((MONTH($A44)-1)*12)+VLOOKUP(CH$4,$DE$6:$DF$17,2)+1))*$E44</f>
        <v>0</v>
      </c>
      <c r="CI44" s="1021">
        <f>(VLOOKUP(YEAR($A44),'NY East Load Projections'!$A$4:$EO$14,((MONTH($A44)-1)*12)+VLOOKUP(CI$4,$DE$6:$DF$17,2)+1))*$E44</f>
        <v>0</v>
      </c>
      <c r="CJ44" s="1021">
        <f>(VLOOKUP(YEAR($A44),'NY East Load Projections'!$A$4:$EO$14,((MONTH($A44)-1)*12)+VLOOKUP(CJ$4,$DE$6:$DF$17,2)+1))*$E44</f>
        <v>0</v>
      </c>
      <c r="CK44" s="1021">
        <f>(VLOOKUP(YEAR($A44),'NY East Load Projections'!$A$4:$EO$14,((MONTH($A44)-1)*12)+VLOOKUP(CK$4,$DE$6:$DF$17,2)+1))*$E44</f>
        <v>0</v>
      </c>
      <c r="CL44" s="1021">
        <f>(VLOOKUP(YEAR($A44),'NY East Load Projections'!$A$4:$EO$14,((MONTH($A44)-1)*12)+VLOOKUP(CL$4,$DE$6:$DF$17,2)+1))*$E44</f>
        <v>0</v>
      </c>
      <c r="CM44" s="1021">
        <f>(VLOOKUP(YEAR($A44),'NY East Load Projections'!$A$4:$EO$14,((MONTH($A44)-1)*12)+VLOOKUP(CM$4,$DE$6:$DF$17,2)+1))*$E44</f>
        <v>0</v>
      </c>
      <c r="CN44" s="1021">
        <f>(VLOOKUP(YEAR($A44),'NY East Load Projections'!$A$4:$EO$14,((MONTH($A44)-1)*12)+VLOOKUP(CN$4,$DE$6:$DF$17,2)+1))*$E44</f>
        <v>0</v>
      </c>
      <c r="CO44" s="1021">
        <f>(VLOOKUP(YEAR($A44),'NY East Load Projections'!$A$4:$EO$14,((MONTH($A44)-1)*12)+VLOOKUP(CO$4,$DE$6:$DF$17,2)+1))*$E44</f>
        <v>0</v>
      </c>
      <c r="CP44" s="1021">
        <f>(VLOOKUP(YEAR($A44),'NY East Load Projections'!$A$4:$EO$14,((MONTH($A44)-1)*12)+VLOOKUP(CP$4,$DE$6:$DF$17,2)+1))*$E44</f>
        <v>0</v>
      </c>
      <c r="CQ44" s="1021">
        <f>(VLOOKUP(YEAR($A44),'NY East Load Projections'!$A$4:$EO$14,((MONTH($A44)-1)*12)+VLOOKUP(CQ$4,$DE$6:$DF$17,2)+1))*$E44</f>
        <v>0</v>
      </c>
      <c r="CR44" s="1021">
        <f>(VLOOKUP(YEAR($A44),'NY East Load Projections'!$A$4:$EO$14,((MONTH($A44)-1)*12)+VLOOKUP(CR$4,$DE$6:$DF$17,2)+1))*$E44</f>
        <v>0</v>
      </c>
      <c r="CS44" s="1021">
        <f>(VLOOKUP(YEAR($A44),'NY East Load Projections'!$A$4:$EO$14,((MONTH($A44)-1)*12)+VLOOKUP(CS$4,$DE$6:$DF$17,2)+1))*$E44</f>
        <v>0</v>
      </c>
      <c r="CT44" s="1021">
        <f>(VLOOKUP(YEAR($A44),'NY East Load Projections'!$A$4:$EO$14,((MONTH($A44)-1)*12)+VLOOKUP(CT$4,$DE$6:$DF$17,2)+1))*$E44</f>
        <v>0</v>
      </c>
      <c r="CU44" s="1021">
        <f>(VLOOKUP(YEAR($A44),'NY East Load Projections'!$A$4:$EO$14,((MONTH($A44)-1)*12)+VLOOKUP(CU$4,$DE$6:$DF$17,2)+1))*$E44</f>
        <v>0</v>
      </c>
      <c r="CV44" s="1021">
        <f>(VLOOKUP(YEAR($A44),'NY East Load Projections'!$A$4:$EO$14,((MONTH($A44)-1)*12)+VLOOKUP(CV$4,$DE$6:$DF$17,2)+1))*$E44</f>
        <v>0</v>
      </c>
      <c r="CW44" s="1021">
        <f>(VLOOKUP(YEAR($A44),'NY East Load Projections'!$A$4:$EO$14,((MONTH($A44)-1)*12)+VLOOKUP(CW$4,$DE$6:$DF$17,2)+1))*$E44</f>
        <v>0</v>
      </c>
      <c r="CX44" s="1021">
        <f>(VLOOKUP(YEAR($A44),'NY East Load Projections'!$A$4:$EO$14,((MONTH($A44)-1)*12)+VLOOKUP(CX$4,$DE$6:$DF$17,2)+1))*$E44</f>
        <v>0</v>
      </c>
      <c r="CY44" s="1021">
        <f>(VLOOKUP(YEAR($A44),'NY East Load Projections'!$A$4:$EO$14,((MONTH($A44)-1)*12)+VLOOKUP(CY$4,$DE$6:$DF$17,2)+1))*$E44</f>
        <v>0</v>
      </c>
      <c r="CZ44" s="1021">
        <f>(VLOOKUP(YEAR($A44),'NY East Load Projections'!$A$4:$EO$14,((MONTH($A44)-1)*12)+VLOOKUP(CZ$4,$DE$6:$DF$17,2)+1))*$E44</f>
        <v>0</v>
      </c>
      <c r="DA44" s="1021">
        <f>(VLOOKUP(YEAR($A44),'NY East Load Projections'!$A$4:$EO$14,((MONTH($A44)-1)*12)+VLOOKUP(DA$4,$DE$6:$DF$17,2)+1))*$E44</f>
        <v>0</v>
      </c>
      <c r="DB44" s="1021">
        <f>(VLOOKUP(YEAR($A44),'NY East Load Projections'!$A$4:$EO$14,((MONTH($A44)-1)*12)+VLOOKUP(DB$4,$DE$6:$DF$17,2)+1))*$E44</f>
        <v>0</v>
      </c>
      <c r="DH44" s="1009">
        <f t="shared" si="2"/>
        <v>-67071.904363270136</v>
      </c>
      <c r="DI44">
        <f ca="1">CALC!J64</f>
        <v>0.74457726488595455</v>
      </c>
      <c r="DJ44" s="1032">
        <f t="shared" ca="1" si="1"/>
        <v>-49940.215101495996</v>
      </c>
    </row>
    <row r="45" spans="1:114" x14ac:dyDescent="0.25">
      <c r="A45" s="244">
        <v>38078</v>
      </c>
      <c r="B45" s="13">
        <v>22</v>
      </c>
      <c r="C45" s="210">
        <v>4</v>
      </c>
      <c r="D45" s="210">
        <v>4</v>
      </c>
      <c r="E45" s="210">
        <v>0</v>
      </c>
      <c r="F45" s="13">
        <v>30</v>
      </c>
      <c r="H45" s="1021">
        <f>(VLOOKUP(YEAR($A45),'NY East Load Projections'!$A$4:$EO$14,((MONTH($A45)-1)*12)+VLOOKUP(H$4,$DE$6:$DF$17,2)+1))*$B45</f>
        <v>-1875.790681883868</v>
      </c>
      <c r="I45" s="1021">
        <f>(VLOOKUP(YEAR($A45),'NY East Load Projections'!$A$4:$EO$14,((MONTH($A45)-1)*12)+VLOOKUP(I$4,$DE$6:$DF$17,2)+1))*$B45</f>
        <v>-1875.790681883868</v>
      </c>
      <c r="J45" s="1021">
        <f>(VLOOKUP(YEAR($A45),'NY East Load Projections'!$A$4:$EO$14,((MONTH($A45)-1)*12)+VLOOKUP(J$4,$DE$6:$DF$17,2)+1))*$B45</f>
        <v>-1875.790681883868</v>
      </c>
      <c r="K45" s="1021">
        <f>(VLOOKUP(YEAR($A45),'NY East Load Projections'!$A$4:$EO$14,((MONTH($A45)-1)*12)+VLOOKUP(K$4,$DE$6:$DF$17,2)+1))*$B45</f>
        <v>-1875.790681883868</v>
      </c>
      <c r="L45" s="1021">
        <f>(VLOOKUP(YEAR($A45),'NY East Load Projections'!$A$4:$EO$14,((MONTH($A45)-1)*12)+VLOOKUP(L$4,$DE$6:$DF$17,2)+1))*$B45</f>
        <v>-2052.6644553209685</v>
      </c>
      <c r="M45" s="1021">
        <f>(VLOOKUP(YEAR($A45),'NY East Load Projections'!$A$4:$EO$14,((MONTH($A45)-1)*12)+VLOOKUP(M$4,$DE$6:$DF$17,2)+1))*$B45</f>
        <v>-2052.6644553209685</v>
      </c>
      <c r="N45" s="1021">
        <f>(VLOOKUP(YEAR($A45),'NY East Load Projections'!$A$4:$EO$14,((MONTH($A45)-1)*12)+VLOOKUP(N$4,$DE$6:$DF$17,2)+1))*$B45</f>
        <v>-2052.6644553209685</v>
      </c>
      <c r="O45" s="1021">
        <f>(VLOOKUP(YEAR($A45),'NY East Load Projections'!$A$4:$EO$14,((MONTH($A45)-1)*12)+VLOOKUP(O$4,$DE$6:$DF$17,2)+1))*$B45</f>
        <v>-2052.6644553209685</v>
      </c>
      <c r="P45" s="1021">
        <f>(VLOOKUP(YEAR($A45),'NY East Load Projections'!$A$4:$EO$14,((MONTH($A45)-1)*12)+VLOOKUP(P$4,$DE$6:$DF$17,2)+1))*$B45</f>
        <v>-2286.7107466184148</v>
      </c>
      <c r="Q45" s="1021">
        <f>(VLOOKUP(YEAR($A45),'NY East Load Projections'!$A$4:$EO$14,((MONTH($A45)-1)*12)+VLOOKUP(Q$4,$DE$6:$DF$17,2)+1))*$B45</f>
        <v>-2286.7107466184148</v>
      </c>
      <c r="R45" s="1021">
        <f>(VLOOKUP(YEAR($A45),'NY East Load Projections'!$A$4:$EO$14,((MONTH($A45)-1)*12)+VLOOKUP(R$4,$DE$6:$DF$17,2)+1))*$B45</f>
        <v>-2286.7107466184148</v>
      </c>
      <c r="S45" s="1021">
        <f>(VLOOKUP(YEAR($A45),'NY East Load Projections'!$A$4:$EO$14,((MONTH($A45)-1)*12)+VLOOKUP(S$4,$DE$6:$DF$17,2)+1))*$B45</f>
        <v>-2286.7107466184148</v>
      </c>
      <c r="T45" s="1021">
        <f>(VLOOKUP(YEAR($A45),'NY East Load Projections'!$A$4:$EO$14,((MONTH($A45)-1)*12)+VLOOKUP(T$4,$DE$6:$DF$17,2)+1))*$B45</f>
        <v>-2372.2159431605442</v>
      </c>
      <c r="U45" s="1021">
        <f>(VLOOKUP(YEAR($A45),'NY East Load Projections'!$A$4:$EO$14,((MONTH($A45)-1)*12)+VLOOKUP(U$4,$DE$6:$DF$17,2)+1))*$B45</f>
        <v>-2372.2159431605442</v>
      </c>
      <c r="V45" s="1021">
        <f>(VLOOKUP(YEAR($A45),'NY East Load Projections'!$A$4:$EO$14,((MONTH($A45)-1)*12)+VLOOKUP(V$4,$DE$6:$DF$17,2)+1))*$B45</f>
        <v>-2372.2159431605442</v>
      </c>
      <c r="W45" s="1021">
        <f>(VLOOKUP(YEAR($A45),'NY East Load Projections'!$A$4:$EO$14,((MONTH($A45)-1)*12)+VLOOKUP(W$4,$DE$6:$DF$17,2)+1))*$B45</f>
        <v>-2372.2159431605442</v>
      </c>
      <c r="X45" s="1021">
        <f>(VLOOKUP(YEAR($A45),'NY East Load Projections'!$A$4:$EO$14,((MONTH($A45)-1)*12)+VLOOKUP(X$4,$DE$6:$DF$17,2)+1))*$B45</f>
        <v>-2224.9331016351398</v>
      </c>
      <c r="Y45" s="1021">
        <f>(VLOOKUP(YEAR($A45),'NY East Load Projections'!$A$4:$EO$14,((MONTH($A45)-1)*12)+VLOOKUP(Y$4,$DE$6:$DF$17,2)+1))*$B45</f>
        <v>-2224.9331016351398</v>
      </c>
      <c r="Z45" s="1021">
        <f>(VLOOKUP(YEAR($A45),'NY East Load Projections'!$A$4:$EO$14,((MONTH($A45)-1)*12)+VLOOKUP(Z$4,$DE$6:$DF$17,2)+1))*$B45</f>
        <v>-2224.9331016351398</v>
      </c>
      <c r="AA45" s="1021">
        <f>(VLOOKUP(YEAR($A45),'NY East Load Projections'!$A$4:$EO$14,((MONTH($A45)-1)*12)+VLOOKUP(AA$4,$DE$6:$DF$17,2)+1))*$B45</f>
        <v>-2224.9331016351398</v>
      </c>
      <c r="AB45" s="1021">
        <f>(VLOOKUP(YEAR($A45),'NY East Load Projections'!$A$4:$EO$14,((MONTH($A45)-1)*12)+VLOOKUP(AB$4,$DE$6:$DF$17,2)+1))*$B45</f>
        <v>-1978.8862901022858</v>
      </c>
      <c r="AC45" s="1021">
        <f>(VLOOKUP(YEAR($A45),'NY East Load Projections'!$A$4:$EO$14,((MONTH($A45)-1)*12)+VLOOKUP(AC$4,$DE$6:$DF$17,2)+1))*$B45</f>
        <v>-1978.8862901022858</v>
      </c>
      <c r="AD45" s="1021">
        <f>(VLOOKUP(YEAR($A45),'NY East Load Projections'!$A$4:$EO$14,((MONTH($A45)-1)*12)+VLOOKUP(AD$4,$DE$6:$DF$17,2)+1))*$B45</f>
        <v>-1978.8862901022858</v>
      </c>
      <c r="AE45" s="1021">
        <f>(VLOOKUP(YEAR($A45),'NY East Load Projections'!$A$4:$EO$14,((MONTH($A45)-1)*12)+VLOOKUP(AE$4,$DE$6:$DF$17,2)+1))*$B45</f>
        <v>-1978.8862901022858</v>
      </c>
      <c r="AF45" s="1021"/>
      <c r="AG45" s="1021">
        <f>(VLOOKUP(YEAR($A45),'NY East Load Projections'!$A$4:$EO$14,((MONTH($A45)-1)*12)+VLOOKUP(AG$4,$DE$6:$DF$17,2)+1))*$C45</f>
        <v>-359.02575235904214</v>
      </c>
      <c r="AH45" s="1021">
        <f>(VLOOKUP(YEAR($A45),'NY East Load Projections'!$A$4:$EO$14,((MONTH($A45)-1)*12)+VLOOKUP(AH$4,$DE$6:$DF$17,2)+1))*$C45</f>
        <v>-359.02575235904214</v>
      </c>
      <c r="AI45" s="1021">
        <f>(VLOOKUP(YEAR($A45),'NY East Load Projections'!$A$4:$EO$14,((MONTH($A45)-1)*12)+VLOOKUP(AI$4,$DE$6:$DF$17,2)+1))*$C45</f>
        <v>-359.02575235904214</v>
      </c>
      <c r="AJ45" s="1021">
        <f>(VLOOKUP(YEAR($A45),'NY East Load Projections'!$A$4:$EO$14,((MONTH($A45)-1)*12)+VLOOKUP(AJ$4,$DE$6:$DF$17,2)+1))*$C45</f>
        <v>-359.02575235904214</v>
      </c>
      <c r="AK45" s="1021">
        <f>(VLOOKUP(YEAR($A45),'NY East Load Projections'!$A$4:$EO$14,((MONTH($A45)-1)*12)+VLOOKUP(AK$4,$DE$6:$DF$17,2)+1))*$C45</f>
        <v>-365.00942768390763</v>
      </c>
      <c r="AL45" s="1021">
        <f>(VLOOKUP(YEAR($A45),'NY East Load Projections'!$A$4:$EO$14,((MONTH($A45)-1)*12)+VLOOKUP(AL$4,$DE$6:$DF$17,2)+1))*$C45</f>
        <v>-365.00942768390763</v>
      </c>
      <c r="AM45" s="1021">
        <f>(VLOOKUP(YEAR($A45),'NY East Load Projections'!$A$4:$EO$14,((MONTH($A45)-1)*12)+VLOOKUP(AM$4,$DE$6:$DF$17,2)+1))*$C45</f>
        <v>-365.00942768390763</v>
      </c>
      <c r="AN45" s="1021">
        <f>(VLOOKUP(YEAR($A45),'NY East Load Projections'!$A$4:$EO$14,((MONTH($A45)-1)*12)+VLOOKUP(AN$4,$DE$6:$DF$17,2)+1))*$C45</f>
        <v>-365.00942768390763</v>
      </c>
      <c r="AO45" s="1021">
        <f>(VLOOKUP(YEAR($A45),'NY East Load Projections'!$A$4:$EO$14,((MONTH($A45)-1)*12)+VLOOKUP(AO$4,$DE$6:$DF$17,2)+1))*$C45</f>
        <v>-392.64484553594821</v>
      </c>
      <c r="AP45" s="1021">
        <f>(VLOOKUP(YEAR($A45),'NY East Load Projections'!$A$4:$EO$14,((MONTH($A45)-1)*12)+VLOOKUP(AP$4,$DE$6:$DF$17,2)+1))*$C45</f>
        <v>-392.64484553594821</v>
      </c>
      <c r="AQ45" s="1021">
        <f>(VLOOKUP(YEAR($A45),'NY East Load Projections'!$A$4:$EO$14,((MONTH($A45)-1)*12)+VLOOKUP(AQ$4,$DE$6:$DF$17,2)+1))*$C45</f>
        <v>-392.64484553594821</v>
      </c>
      <c r="AR45" s="1021">
        <f>(VLOOKUP(YEAR($A45),'NY East Load Projections'!$A$4:$EO$14,((MONTH($A45)-1)*12)+VLOOKUP(AR$4,$DE$6:$DF$17,2)+1))*$C45</f>
        <v>-392.64484553594821</v>
      </c>
      <c r="AS45" s="1021">
        <f>(VLOOKUP(YEAR($A45),'NY East Load Projections'!$A$4:$EO$14,((MONTH($A45)-1)*12)+VLOOKUP(AS$4,$DE$6:$DF$17,2)+1))*$C45</f>
        <v>-396.68287163345622</v>
      </c>
      <c r="AT45" s="1021">
        <f>(VLOOKUP(YEAR($A45),'NY East Load Projections'!$A$4:$EO$14,((MONTH($A45)-1)*12)+VLOOKUP(AT$4,$DE$6:$DF$17,2)+1))*$C45</f>
        <v>-396.68287163345622</v>
      </c>
      <c r="AU45" s="1021">
        <f>(VLOOKUP(YEAR($A45),'NY East Load Projections'!$A$4:$EO$14,((MONTH($A45)-1)*12)+VLOOKUP(AU$4,$DE$6:$DF$17,2)+1))*$C45</f>
        <v>-396.68287163345622</v>
      </c>
      <c r="AV45" s="1021">
        <f>(VLOOKUP(YEAR($A45),'NY East Load Projections'!$A$4:$EO$14,((MONTH($A45)-1)*12)+VLOOKUP(AV$4,$DE$6:$DF$17,2)+1))*$C45</f>
        <v>-396.68287163345622</v>
      </c>
      <c r="AW45" s="1021">
        <f>(VLOOKUP(YEAR($A45),'NY East Load Projections'!$A$4:$EO$14,((MONTH($A45)-1)*12)+VLOOKUP(AW$4,$DE$6:$DF$17,2)+1))*$C45</f>
        <v>-375.52493820333854</v>
      </c>
      <c r="AX45" s="1021">
        <f>(VLOOKUP(YEAR($A45),'NY East Load Projections'!$A$4:$EO$14,((MONTH($A45)-1)*12)+VLOOKUP(AX$4,$DE$6:$DF$17,2)+1))*$C45</f>
        <v>-375.52493820333854</v>
      </c>
      <c r="AY45" s="1021">
        <f>(VLOOKUP(YEAR($A45),'NY East Load Projections'!$A$4:$EO$14,((MONTH($A45)-1)*12)+VLOOKUP(AY$4,$DE$6:$DF$17,2)+1))*$C45</f>
        <v>-375.52493820333854</v>
      </c>
      <c r="AZ45" s="1021">
        <f>(VLOOKUP(YEAR($A45),'NY East Load Projections'!$A$4:$EO$14,((MONTH($A45)-1)*12)+VLOOKUP(AZ$4,$DE$6:$DF$17,2)+1))*$C45</f>
        <v>-375.52493820333854</v>
      </c>
      <c r="BA45" s="1021">
        <f>(VLOOKUP(YEAR($A45),'NY East Load Projections'!$A$4:$EO$14,((MONTH($A45)-1)*12)+VLOOKUP(BA$4,$DE$6:$DF$17,2)+1))*$C45</f>
        <v>-361.91435758044304</v>
      </c>
      <c r="BB45" s="1021">
        <f>(VLOOKUP(YEAR($A45),'NY East Load Projections'!$A$4:$EO$14,((MONTH($A45)-1)*12)+VLOOKUP(BB$4,$DE$6:$DF$17,2)+1))*$C45</f>
        <v>-361.91435758044304</v>
      </c>
      <c r="BC45" s="1021">
        <f>(VLOOKUP(YEAR($A45),'NY East Load Projections'!$A$4:$EO$14,((MONTH($A45)-1)*12)+VLOOKUP(BC$4,$DE$6:$DF$17,2)+1))*$C45</f>
        <v>-361.91435758044304</v>
      </c>
      <c r="BD45" s="1021">
        <f>(VLOOKUP(YEAR($A45),'NY East Load Projections'!$A$4:$EO$14,((MONTH($A45)-1)*12)+VLOOKUP(BD$4,$DE$6:$DF$17,2)+1))*$C45</f>
        <v>-361.91435758044304</v>
      </c>
      <c r="BE45" s="1021"/>
      <c r="BF45" s="1021">
        <f>(VLOOKUP(YEAR($A45),'NY East Load Projections'!$A$4:$EO$14,((MONTH($A45)-1)*12)+VLOOKUP(BF$4,$DE$6:$DF$17,2)+1))*$D45</f>
        <v>-359.02575235904214</v>
      </c>
      <c r="BG45" s="1021">
        <f>(VLOOKUP(YEAR($A45),'NY East Load Projections'!$A$4:$EO$14,((MONTH($A45)-1)*12)+VLOOKUP(BG$4,$DE$6:$DF$17,2)+1))*$D45</f>
        <v>-359.02575235904214</v>
      </c>
      <c r="BH45" s="1021">
        <f>(VLOOKUP(YEAR($A45),'NY East Load Projections'!$A$4:$EO$14,((MONTH($A45)-1)*12)+VLOOKUP(BH$4,$DE$6:$DF$17,2)+1))*$D45</f>
        <v>-359.02575235904214</v>
      </c>
      <c r="BI45" s="1021">
        <f>(VLOOKUP(YEAR($A45),'NY East Load Projections'!$A$4:$EO$14,((MONTH($A45)-1)*12)+VLOOKUP(BI$4,$DE$6:$DF$17,2)+1))*$D45</f>
        <v>-359.02575235904214</v>
      </c>
      <c r="BJ45" s="1021">
        <f>(VLOOKUP(YEAR($A45),'NY East Load Projections'!$A$4:$EO$14,((MONTH($A45)-1)*12)+VLOOKUP(BJ$4,$DE$6:$DF$17,2)+1))*$D45</f>
        <v>-365.00942768390763</v>
      </c>
      <c r="BK45" s="1021">
        <f>(VLOOKUP(YEAR($A45),'NY East Load Projections'!$A$4:$EO$14,((MONTH($A45)-1)*12)+VLOOKUP(BK$4,$DE$6:$DF$17,2)+1))*$D45</f>
        <v>-365.00942768390763</v>
      </c>
      <c r="BL45" s="1021">
        <f>(VLOOKUP(YEAR($A45),'NY East Load Projections'!$A$4:$EO$14,((MONTH($A45)-1)*12)+VLOOKUP(BL$4,$DE$6:$DF$17,2)+1))*$D45</f>
        <v>-365.00942768390763</v>
      </c>
      <c r="BM45" s="1021">
        <f>(VLOOKUP(YEAR($A45),'NY East Load Projections'!$A$4:$EO$14,((MONTH($A45)-1)*12)+VLOOKUP(BM$4,$DE$6:$DF$17,2)+1))*$D45</f>
        <v>-365.00942768390763</v>
      </c>
      <c r="BN45" s="1021">
        <f>(VLOOKUP(YEAR($A45),'NY East Load Projections'!$A$4:$EO$14,((MONTH($A45)-1)*12)+VLOOKUP(BN$4,$DE$6:$DF$17,2)+1))*$D45</f>
        <v>-392.64484553594821</v>
      </c>
      <c r="BO45" s="1021">
        <f>(VLOOKUP(YEAR($A45),'NY East Load Projections'!$A$4:$EO$14,((MONTH($A45)-1)*12)+VLOOKUP(BO$4,$DE$6:$DF$17,2)+1))*$D45</f>
        <v>-392.64484553594821</v>
      </c>
      <c r="BP45" s="1021">
        <f>(VLOOKUP(YEAR($A45),'NY East Load Projections'!$A$4:$EO$14,((MONTH($A45)-1)*12)+VLOOKUP(BP$4,$DE$6:$DF$17,2)+1))*$D45</f>
        <v>-392.64484553594821</v>
      </c>
      <c r="BQ45" s="1021">
        <f>(VLOOKUP(YEAR($A45),'NY East Load Projections'!$A$4:$EO$14,((MONTH($A45)-1)*12)+VLOOKUP(BQ$4,$DE$6:$DF$17,2)+1))*$D45</f>
        <v>-392.64484553594821</v>
      </c>
      <c r="BR45" s="1021">
        <f>(VLOOKUP(YEAR($A45),'NY East Load Projections'!$A$4:$EO$14,((MONTH($A45)-1)*12)+VLOOKUP(BR$4,$DE$6:$DF$17,2)+1))*$D45</f>
        <v>-396.68287163345622</v>
      </c>
      <c r="BS45" s="1021">
        <f>(VLOOKUP(YEAR($A45),'NY East Load Projections'!$A$4:$EO$14,((MONTH($A45)-1)*12)+VLOOKUP(BS$4,$DE$6:$DF$17,2)+1))*$D45</f>
        <v>-396.68287163345622</v>
      </c>
      <c r="BT45" s="1021">
        <f>(VLOOKUP(YEAR($A45),'NY East Load Projections'!$A$4:$EO$14,((MONTH($A45)-1)*12)+VLOOKUP(BT$4,$DE$6:$DF$17,2)+1))*$D45</f>
        <v>-396.68287163345622</v>
      </c>
      <c r="BU45" s="1021">
        <f>(VLOOKUP(YEAR($A45),'NY East Load Projections'!$A$4:$EO$14,((MONTH($A45)-1)*12)+VLOOKUP(BU$4,$DE$6:$DF$17,2)+1))*$D45</f>
        <v>-396.68287163345622</v>
      </c>
      <c r="BV45" s="1021">
        <f>(VLOOKUP(YEAR($A45),'NY East Load Projections'!$A$4:$EO$14,((MONTH($A45)-1)*12)+VLOOKUP(BV$4,$DE$6:$DF$17,2)+1))*$D45</f>
        <v>-375.52493820333854</v>
      </c>
      <c r="BW45" s="1021">
        <f>(VLOOKUP(YEAR($A45),'NY East Load Projections'!$A$4:$EO$14,((MONTH($A45)-1)*12)+VLOOKUP(BW$4,$DE$6:$DF$17,2)+1))*$D45</f>
        <v>-375.52493820333854</v>
      </c>
      <c r="BX45" s="1021">
        <f>(VLOOKUP(YEAR($A45),'NY East Load Projections'!$A$4:$EO$14,((MONTH($A45)-1)*12)+VLOOKUP(BX$4,$DE$6:$DF$17,2)+1))*$D45</f>
        <v>-375.52493820333854</v>
      </c>
      <c r="BY45" s="1021">
        <f>(VLOOKUP(YEAR($A45),'NY East Load Projections'!$A$4:$EO$14,((MONTH($A45)-1)*12)+VLOOKUP(BY$4,$DE$6:$DF$17,2)+1))*$D45</f>
        <v>-375.52493820333854</v>
      </c>
      <c r="BZ45" s="1021">
        <f>(VLOOKUP(YEAR($A45),'NY East Load Projections'!$A$4:$EO$14,((MONTH($A45)-1)*12)+VLOOKUP(BZ$4,$DE$6:$DF$17,2)+1))*$D45</f>
        <v>-361.91435758044304</v>
      </c>
      <c r="CA45" s="1021">
        <f>(VLOOKUP(YEAR($A45),'NY East Load Projections'!$A$4:$EO$14,((MONTH($A45)-1)*12)+VLOOKUP(CA$4,$DE$6:$DF$17,2)+1))*$D45</f>
        <v>-361.91435758044304</v>
      </c>
      <c r="CB45" s="1021">
        <f>(VLOOKUP(YEAR($A45),'NY East Load Projections'!$A$4:$EO$14,((MONTH($A45)-1)*12)+VLOOKUP(CB$4,$DE$6:$DF$17,2)+1))*$D45</f>
        <v>-361.91435758044304</v>
      </c>
      <c r="CC45" s="1021">
        <f>(VLOOKUP(YEAR($A45),'NY East Load Projections'!$A$4:$EO$14,((MONTH($A45)-1)*12)+VLOOKUP(CC$4,$DE$6:$DF$17,2)+1))*$D45</f>
        <v>-361.91435758044304</v>
      </c>
      <c r="CE45" s="1021">
        <f>(VLOOKUP(YEAR($A45),'NY East Load Projections'!$A$4:$EO$14,((MONTH($A45)-1)*12)+VLOOKUP(CE$4,$DE$6:$DF$17,2)+1))*$E45</f>
        <v>0</v>
      </c>
      <c r="CF45" s="1021">
        <f>(VLOOKUP(YEAR($A45),'NY East Load Projections'!$A$4:$EO$14,((MONTH($A45)-1)*12)+VLOOKUP(CF$4,$DE$6:$DF$17,2)+1))*$E45</f>
        <v>0</v>
      </c>
      <c r="CG45" s="1021">
        <f>(VLOOKUP(YEAR($A45),'NY East Load Projections'!$A$4:$EO$14,((MONTH($A45)-1)*12)+VLOOKUP(CG$4,$DE$6:$DF$17,2)+1))*$E45</f>
        <v>0</v>
      </c>
      <c r="CH45" s="1021">
        <f>(VLOOKUP(YEAR($A45),'NY East Load Projections'!$A$4:$EO$14,((MONTH($A45)-1)*12)+VLOOKUP(CH$4,$DE$6:$DF$17,2)+1))*$E45</f>
        <v>0</v>
      </c>
      <c r="CI45" s="1021">
        <f>(VLOOKUP(YEAR($A45),'NY East Load Projections'!$A$4:$EO$14,((MONTH($A45)-1)*12)+VLOOKUP(CI$4,$DE$6:$DF$17,2)+1))*$E45</f>
        <v>0</v>
      </c>
      <c r="CJ45" s="1021">
        <f>(VLOOKUP(YEAR($A45),'NY East Load Projections'!$A$4:$EO$14,((MONTH($A45)-1)*12)+VLOOKUP(CJ$4,$DE$6:$DF$17,2)+1))*$E45</f>
        <v>0</v>
      </c>
      <c r="CK45" s="1021">
        <f>(VLOOKUP(YEAR($A45),'NY East Load Projections'!$A$4:$EO$14,((MONTH($A45)-1)*12)+VLOOKUP(CK$4,$DE$6:$DF$17,2)+1))*$E45</f>
        <v>0</v>
      </c>
      <c r="CL45" s="1021">
        <f>(VLOOKUP(YEAR($A45),'NY East Load Projections'!$A$4:$EO$14,((MONTH($A45)-1)*12)+VLOOKUP(CL$4,$DE$6:$DF$17,2)+1))*$E45</f>
        <v>0</v>
      </c>
      <c r="CM45" s="1021">
        <f>(VLOOKUP(YEAR($A45),'NY East Load Projections'!$A$4:$EO$14,((MONTH($A45)-1)*12)+VLOOKUP(CM$4,$DE$6:$DF$17,2)+1))*$E45</f>
        <v>0</v>
      </c>
      <c r="CN45" s="1021">
        <f>(VLOOKUP(YEAR($A45),'NY East Load Projections'!$A$4:$EO$14,((MONTH($A45)-1)*12)+VLOOKUP(CN$4,$DE$6:$DF$17,2)+1))*$E45</f>
        <v>0</v>
      </c>
      <c r="CO45" s="1021">
        <f>(VLOOKUP(YEAR($A45),'NY East Load Projections'!$A$4:$EO$14,((MONTH($A45)-1)*12)+VLOOKUP(CO$4,$DE$6:$DF$17,2)+1))*$E45</f>
        <v>0</v>
      </c>
      <c r="CP45" s="1021">
        <f>(VLOOKUP(YEAR($A45),'NY East Load Projections'!$A$4:$EO$14,((MONTH($A45)-1)*12)+VLOOKUP(CP$4,$DE$6:$DF$17,2)+1))*$E45</f>
        <v>0</v>
      </c>
      <c r="CQ45" s="1021">
        <f>(VLOOKUP(YEAR($A45),'NY East Load Projections'!$A$4:$EO$14,((MONTH($A45)-1)*12)+VLOOKUP(CQ$4,$DE$6:$DF$17,2)+1))*$E45</f>
        <v>0</v>
      </c>
      <c r="CR45" s="1021">
        <f>(VLOOKUP(YEAR($A45),'NY East Load Projections'!$A$4:$EO$14,((MONTH($A45)-1)*12)+VLOOKUP(CR$4,$DE$6:$DF$17,2)+1))*$E45</f>
        <v>0</v>
      </c>
      <c r="CS45" s="1021">
        <f>(VLOOKUP(YEAR($A45),'NY East Load Projections'!$A$4:$EO$14,((MONTH($A45)-1)*12)+VLOOKUP(CS$4,$DE$6:$DF$17,2)+1))*$E45</f>
        <v>0</v>
      </c>
      <c r="CT45" s="1021">
        <f>(VLOOKUP(YEAR($A45),'NY East Load Projections'!$A$4:$EO$14,((MONTH($A45)-1)*12)+VLOOKUP(CT$4,$DE$6:$DF$17,2)+1))*$E45</f>
        <v>0</v>
      </c>
      <c r="CU45" s="1021">
        <f>(VLOOKUP(YEAR($A45),'NY East Load Projections'!$A$4:$EO$14,((MONTH($A45)-1)*12)+VLOOKUP(CU$4,$DE$6:$DF$17,2)+1))*$E45</f>
        <v>0</v>
      </c>
      <c r="CV45" s="1021">
        <f>(VLOOKUP(YEAR($A45),'NY East Load Projections'!$A$4:$EO$14,((MONTH($A45)-1)*12)+VLOOKUP(CV$4,$DE$6:$DF$17,2)+1))*$E45</f>
        <v>0</v>
      </c>
      <c r="CW45" s="1021">
        <f>(VLOOKUP(YEAR($A45),'NY East Load Projections'!$A$4:$EO$14,((MONTH($A45)-1)*12)+VLOOKUP(CW$4,$DE$6:$DF$17,2)+1))*$E45</f>
        <v>0</v>
      </c>
      <c r="CX45" s="1021">
        <f>(VLOOKUP(YEAR($A45),'NY East Load Projections'!$A$4:$EO$14,((MONTH($A45)-1)*12)+VLOOKUP(CX$4,$DE$6:$DF$17,2)+1))*$E45</f>
        <v>0</v>
      </c>
      <c r="CY45" s="1021">
        <f>(VLOOKUP(YEAR($A45),'NY East Load Projections'!$A$4:$EO$14,((MONTH($A45)-1)*12)+VLOOKUP(CY$4,$DE$6:$DF$17,2)+1))*$E45</f>
        <v>0</v>
      </c>
      <c r="CZ45" s="1021">
        <f>(VLOOKUP(YEAR($A45),'NY East Load Projections'!$A$4:$EO$14,((MONTH($A45)-1)*12)+VLOOKUP(CZ$4,$DE$6:$DF$17,2)+1))*$E45</f>
        <v>0</v>
      </c>
      <c r="DA45" s="1021">
        <f>(VLOOKUP(YEAR($A45),'NY East Load Projections'!$A$4:$EO$14,((MONTH($A45)-1)*12)+VLOOKUP(DA$4,$DE$6:$DF$17,2)+1))*$E45</f>
        <v>0</v>
      </c>
      <c r="DB45" s="1021">
        <f>(VLOOKUP(YEAR($A45),'NY East Load Projections'!$A$4:$EO$14,((MONTH($A45)-1)*12)+VLOOKUP(DB$4,$DE$6:$DF$17,2)+1))*$E45</f>
        <v>0</v>
      </c>
      <c r="DH45" s="1009">
        <f t="shared" si="2"/>
        <v>-69171.222418853984</v>
      </c>
      <c r="DI45">
        <f ca="1">CALC!J65</f>
        <v>0.7400899550175809</v>
      </c>
      <c r="DJ45" s="1032">
        <f t="shared" ca="1" si="1"/>
        <v>-51192.926888480732</v>
      </c>
    </row>
    <row r="46" spans="1:114" x14ac:dyDescent="0.25">
      <c r="A46" s="244">
        <v>38108</v>
      </c>
      <c r="B46" s="13">
        <v>20</v>
      </c>
      <c r="C46" s="210">
        <v>5</v>
      </c>
      <c r="D46" s="210">
        <v>5</v>
      </c>
      <c r="E46" s="210">
        <v>1</v>
      </c>
      <c r="F46" s="13">
        <v>31</v>
      </c>
      <c r="H46" s="1021">
        <f>(VLOOKUP(YEAR($A46),'NY East Load Projections'!$A$4:$EO$14,((MONTH($A46)-1)*12)+VLOOKUP(H$4,$DE$6:$DF$17,2)+1))*$B46</f>
        <v>-1823.9966839570027</v>
      </c>
      <c r="I46" s="1021">
        <f>(VLOOKUP(YEAR($A46),'NY East Load Projections'!$A$4:$EO$14,((MONTH($A46)-1)*12)+VLOOKUP(I$4,$DE$6:$DF$17,2)+1))*$B46</f>
        <v>-1823.9966839570027</v>
      </c>
      <c r="J46" s="1021">
        <f>(VLOOKUP(YEAR($A46),'NY East Load Projections'!$A$4:$EO$14,((MONTH($A46)-1)*12)+VLOOKUP(J$4,$DE$6:$DF$17,2)+1))*$B46</f>
        <v>-1823.9966839570027</v>
      </c>
      <c r="K46" s="1021">
        <f>(VLOOKUP(YEAR($A46),'NY East Load Projections'!$A$4:$EO$14,((MONTH($A46)-1)*12)+VLOOKUP(K$4,$DE$6:$DF$17,2)+1))*$B46</f>
        <v>-1823.9966839570027</v>
      </c>
      <c r="L46" s="1021">
        <f>(VLOOKUP(YEAR($A46),'NY East Load Projections'!$A$4:$EO$14,((MONTH($A46)-1)*12)+VLOOKUP(L$4,$DE$6:$DF$17,2)+1))*$B46</f>
        <v>-2013.376342070035</v>
      </c>
      <c r="M46" s="1021">
        <f>(VLOOKUP(YEAR($A46),'NY East Load Projections'!$A$4:$EO$14,((MONTH($A46)-1)*12)+VLOOKUP(M$4,$DE$6:$DF$17,2)+1))*$B46</f>
        <v>-2013.376342070035</v>
      </c>
      <c r="N46" s="1021">
        <f>(VLOOKUP(YEAR($A46),'NY East Load Projections'!$A$4:$EO$14,((MONTH($A46)-1)*12)+VLOOKUP(N$4,$DE$6:$DF$17,2)+1))*$B46</f>
        <v>-2013.376342070035</v>
      </c>
      <c r="O46" s="1021">
        <f>(VLOOKUP(YEAR($A46),'NY East Load Projections'!$A$4:$EO$14,((MONTH($A46)-1)*12)+VLOOKUP(O$4,$DE$6:$DF$17,2)+1))*$B46</f>
        <v>-2013.376342070035</v>
      </c>
      <c r="P46" s="1021">
        <f>(VLOOKUP(YEAR($A46),'NY East Load Projections'!$A$4:$EO$14,((MONTH($A46)-1)*12)+VLOOKUP(P$4,$DE$6:$DF$17,2)+1))*$B46</f>
        <v>-2272.5672602757691</v>
      </c>
      <c r="Q46" s="1021">
        <f>(VLOOKUP(YEAR($A46),'NY East Load Projections'!$A$4:$EO$14,((MONTH($A46)-1)*12)+VLOOKUP(Q$4,$DE$6:$DF$17,2)+1))*$B46</f>
        <v>-2272.5672602757691</v>
      </c>
      <c r="R46" s="1021">
        <f>(VLOOKUP(YEAR($A46),'NY East Load Projections'!$A$4:$EO$14,((MONTH($A46)-1)*12)+VLOOKUP(R$4,$DE$6:$DF$17,2)+1))*$B46</f>
        <v>-2272.5672602757691</v>
      </c>
      <c r="S46" s="1021">
        <f>(VLOOKUP(YEAR($A46),'NY East Load Projections'!$A$4:$EO$14,((MONTH($A46)-1)*12)+VLOOKUP(S$4,$DE$6:$DF$17,2)+1))*$B46</f>
        <v>-2272.5672602757691</v>
      </c>
      <c r="T46" s="1021">
        <f>(VLOOKUP(YEAR($A46),'NY East Load Projections'!$A$4:$EO$14,((MONTH($A46)-1)*12)+VLOOKUP(T$4,$DE$6:$DF$17,2)+1))*$B46</f>
        <v>-2354.1439939353477</v>
      </c>
      <c r="U46" s="1021">
        <f>(VLOOKUP(YEAR($A46),'NY East Load Projections'!$A$4:$EO$14,((MONTH($A46)-1)*12)+VLOOKUP(U$4,$DE$6:$DF$17,2)+1))*$B46</f>
        <v>-2354.1439939353477</v>
      </c>
      <c r="V46" s="1021">
        <f>(VLOOKUP(YEAR($A46),'NY East Load Projections'!$A$4:$EO$14,((MONTH($A46)-1)*12)+VLOOKUP(V$4,$DE$6:$DF$17,2)+1))*$B46</f>
        <v>-2354.1439939353477</v>
      </c>
      <c r="W46" s="1021">
        <f>(VLOOKUP(YEAR($A46),'NY East Load Projections'!$A$4:$EO$14,((MONTH($A46)-1)*12)+VLOOKUP(W$4,$DE$6:$DF$17,2)+1))*$B46</f>
        <v>-2354.1439939353477</v>
      </c>
      <c r="X46" s="1021">
        <f>(VLOOKUP(YEAR($A46),'NY East Load Projections'!$A$4:$EO$14,((MONTH($A46)-1)*12)+VLOOKUP(X$4,$DE$6:$DF$17,2)+1))*$B46</f>
        <v>-2208.844194114135</v>
      </c>
      <c r="Y46" s="1021">
        <f>(VLOOKUP(YEAR($A46),'NY East Load Projections'!$A$4:$EO$14,((MONTH($A46)-1)*12)+VLOOKUP(Y$4,$DE$6:$DF$17,2)+1))*$B46</f>
        <v>-2208.844194114135</v>
      </c>
      <c r="Z46" s="1021">
        <f>(VLOOKUP(YEAR($A46),'NY East Load Projections'!$A$4:$EO$14,((MONTH($A46)-1)*12)+VLOOKUP(Z$4,$DE$6:$DF$17,2)+1))*$B46</f>
        <v>-2208.844194114135</v>
      </c>
      <c r="AA46" s="1021">
        <f>(VLOOKUP(YEAR($A46),'NY East Load Projections'!$A$4:$EO$14,((MONTH($A46)-1)*12)+VLOOKUP(AA$4,$DE$6:$DF$17,2)+1))*$B46</f>
        <v>-2208.844194114135</v>
      </c>
      <c r="AB46" s="1021">
        <f>(VLOOKUP(YEAR($A46),'NY East Load Projections'!$A$4:$EO$14,((MONTH($A46)-1)*12)+VLOOKUP(AB$4,$DE$6:$DF$17,2)+1))*$B46</f>
        <v>-1934.2910656317003</v>
      </c>
      <c r="AC46" s="1021">
        <f>(VLOOKUP(YEAR($A46),'NY East Load Projections'!$A$4:$EO$14,((MONTH($A46)-1)*12)+VLOOKUP(AC$4,$DE$6:$DF$17,2)+1))*$B46</f>
        <v>-1934.2910656317003</v>
      </c>
      <c r="AD46" s="1021">
        <f>(VLOOKUP(YEAR($A46),'NY East Load Projections'!$A$4:$EO$14,((MONTH($A46)-1)*12)+VLOOKUP(AD$4,$DE$6:$DF$17,2)+1))*$B46</f>
        <v>-1934.2910656317003</v>
      </c>
      <c r="AE46" s="1021">
        <f>(VLOOKUP(YEAR($A46),'NY East Load Projections'!$A$4:$EO$14,((MONTH($A46)-1)*12)+VLOOKUP(AE$4,$DE$6:$DF$17,2)+1))*$B46</f>
        <v>-1934.2910656317003</v>
      </c>
      <c r="AF46" s="1021"/>
      <c r="AG46" s="1021">
        <f>(VLOOKUP(YEAR($A46),'NY East Load Projections'!$A$4:$EO$14,((MONTH($A46)-1)*12)+VLOOKUP(AG$4,$DE$6:$DF$17,2)+1))*$C46</f>
        <v>-477.99487096057123</v>
      </c>
      <c r="AH46" s="1021">
        <f>(VLOOKUP(YEAR($A46),'NY East Load Projections'!$A$4:$EO$14,((MONTH($A46)-1)*12)+VLOOKUP(AH$4,$DE$6:$DF$17,2)+1))*$C46</f>
        <v>-477.99487096057123</v>
      </c>
      <c r="AI46" s="1021">
        <f>(VLOOKUP(YEAR($A46),'NY East Load Projections'!$A$4:$EO$14,((MONTH($A46)-1)*12)+VLOOKUP(AI$4,$DE$6:$DF$17,2)+1))*$C46</f>
        <v>-477.99487096057123</v>
      </c>
      <c r="AJ46" s="1021">
        <f>(VLOOKUP(YEAR($A46),'NY East Load Projections'!$A$4:$EO$14,((MONTH($A46)-1)*12)+VLOOKUP(AJ$4,$DE$6:$DF$17,2)+1))*$C46</f>
        <v>-477.99487096057123</v>
      </c>
      <c r="AK46" s="1021">
        <f>(VLOOKUP(YEAR($A46),'NY East Load Projections'!$A$4:$EO$14,((MONTH($A46)-1)*12)+VLOOKUP(AK$4,$DE$6:$DF$17,2)+1))*$C46</f>
        <v>-485.21997104124353</v>
      </c>
      <c r="AL46" s="1021">
        <f>(VLOOKUP(YEAR($A46),'NY East Load Projections'!$A$4:$EO$14,((MONTH($A46)-1)*12)+VLOOKUP(AL$4,$DE$6:$DF$17,2)+1))*$C46</f>
        <v>-485.21997104124353</v>
      </c>
      <c r="AM46" s="1021">
        <f>(VLOOKUP(YEAR($A46),'NY East Load Projections'!$A$4:$EO$14,((MONTH($A46)-1)*12)+VLOOKUP(AM$4,$DE$6:$DF$17,2)+1))*$C46</f>
        <v>-485.21997104124353</v>
      </c>
      <c r="AN46" s="1021">
        <f>(VLOOKUP(YEAR($A46),'NY East Load Projections'!$A$4:$EO$14,((MONTH($A46)-1)*12)+VLOOKUP(AN$4,$DE$6:$DF$17,2)+1))*$C46</f>
        <v>-485.21997104124353</v>
      </c>
      <c r="AO46" s="1021">
        <f>(VLOOKUP(YEAR($A46),'NY East Load Projections'!$A$4:$EO$14,((MONTH($A46)-1)*12)+VLOOKUP(AO$4,$DE$6:$DF$17,2)+1))*$C46</f>
        <v>-540.48991473733281</v>
      </c>
      <c r="AP46" s="1021">
        <f>(VLOOKUP(YEAR($A46),'NY East Load Projections'!$A$4:$EO$14,((MONTH($A46)-1)*12)+VLOOKUP(AP$4,$DE$6:$DF$17,2)+1))*$C46</f>
        <v>-540.48991473733281</v>
      </c>
      <c r="AQ46" s="1021">
        <f>(VLOOKUP(YEAR($A46),'NY East Load Projections'!$A$4:$EO$14,((MONTH($A46)-1)*12)+VLOOKUP(AQ$4,$DE$6:$DF$17,2)+1))*$C46</f>
        <v>-540.48991473733281</v>
      </c>
      <c r="AR46" s="1021">
        <f>(VLOOKUP(YEAR($A46),'NY East Load Projections'!$A$4:$EO$14,((MONTH($A46)-1)*12)+VLOOKUP(AR$4,$DE$6:$DF$17,2)+1))*$C46</f>
        <v>-540.48991473733281</v>
      </c>
      <c r="AS46" s="1021">
        <f>(VLOOKUP(YEAR($A46),'NY East Load Projections'!$A$4:$EO$14,((MONTH($A46)-1)*12)+VLOOKUP(AS$4,$DE$6:$DF$17,2)+1))*$C46</f>
        <v>-548.57437556503567</v>
      </c>
      <c r="AT46" s="1021">
        <f>(VLOOKUP(YEAR($A46),'NY East Load Projections'!$A$4:$EO$14,((MONTH($A46)-1)*12)+VLOOKUP(AT$4,$DE$6:$DF$17,2)+1))*$C46</f>
        <v>-548.57437556503567</v>
      </c>
      <c r="AU46" s="1021">
        <f>(VLOOKUP(YEAR($A46),'NY East Load Projections'!$A$4:$EO$14,((MONTH($A46)-1)*12)+VLOOKUP(AU$4,$DE$6:$DF$17,2)+1))*$C46</f>
        <v>-548.57437556503567</v>
      </c>
      <c r="AV46" s="1021">
        <f>(VLOOKUP(YEAR($A46),'NY East Load Projections'!$A$4:$EO$14,((MONTH($A46)-1)*12)+VLOOKUP(AV$4,$DE$6:$DF$17,2)+1))*$C46</f>
        <v>-548.57437556503567</v>
      </c>
      <c r="AW46" s="1021">
        <f>(VLOOKUP(YEAR($A46),'NY East Load Projections'!$A$4:$EO$14,((MONTH($A46)-1)*12)+VLOOKUP(AW$4,$DE$6:$DF$17,2)+1))*$C46</f>
        <v>-510.95176388318089</v>
      </c>
      <c r="AX46" s="1021">
        <f>(VLOOKUP(YEAR($A46),'NY East Load Projections'!$A$4:$EO$14,((MONTH($A46)-1)*12)+VLOOKUP(AX$4,$DE$6:$DF$17,2)+1))*$C46</f>
        <v>-510.95176388318089</v>
      </c>
      <c r="AY46" s="1021">
        <f>(VLOOKUP(YEAR($A46),'NY East Load Projections'!$A$4:$EO$14,((MONTH($A46)-1)*12)+VLOOKUP(AY$4,$DE$6:$DF$17,2)+1))*$C46</f>
        <v>-510.95176388318089</v>
      </c>
      <c r="AZ46" s="1021">
        <f>(VLOOKUP(YEAR($A46),'NY East Load Projections'!$A$4:$EO$14,((MONTH($A46)-1)*12)+VLOOKUP(AZ$4,$DE$6:$DF$17,2)+1))*$C46</f>
        <v>-510.95176388318089</v>
      </c>
      <c r="BA46" s="1021">
        <f>(VLOOKUP(YEAR($A46),'NY East Load Projections'!$A$4:$EO$14,((MONTH($A46)-1)*12)+VLOOKUP(BA$4,$DE$6:$DF$17,2)+1))*$C46</f>
        <v>-489.24595170068818</v>
      </c>
      <c r="BB46" s="1021">
        <f>(VLOOKUP(YEAR($A46),'NY East Load Projections'!$A$4:$EO$14,((MONTH($A46)-1)*12)+VLOOKUP(BB$4,$DE$6:$DF$17,2)+1))*$C46</f>
        <v>-489.24595170068818</v>
      </c>
      <c r="BC46" s="1021">
        <f>(VLOOKUP(YEAR($A46),'NY East Load Projections'!$A$4:$EO$14,((MONTH($A46)-1)*12)+VLOOKUP(BC$4,$DE$6:$DF$17,2)+1))*$C46</f>
        <v>-489.24595170068818</v>
      </c>
      <c r="BD46" s="1021">
        <f>(VLOOKUP(YEAR($A46),'NY East Load Projections'!$A$4:$EO$14,((MONTH($A46)-1)*12)+VLOOKUP(BD$4,$DE$6:$DF$17,2)+1))*$C46</f>
        <v>-489.24595170068818</v>
      </c>
      <c r="BE46" s="1021"/>
      <c r="BF46" s="1021">
        <f>(VLOOKUP(YEAR($A46),'NY East Load Projections'!$A$4:$EO$14,((MONTH($A46)-1)*12)+VLOOKUP(BF$4,$DE$6:$DF$17,2)+1))*$D46</f>
        <v>-477.99487096057123</v>
      </c>
      <c r="BG46" s="1021">
        <f>(VLOOKUP(YEAR($A46),'NY East Load Projections'!$A$4:$EO$14,((MONTH($A46)-1)*12)+VLOOKUP(BG$4,$DE$6:$DF$17,2)+1))*$D46</f>
        <v>-477.99487096057123</v>
      </c>
      <c r="BH46" s="1021">
        <f>(VLOOKUP(YEAR($A46),'NY East Load Projections'!$A$4:$EO$14,((MONTH($A46)-1)*12)+VLOOKUP(BH$4,$DE$6:$DF$17,2)+1))*$D46</f>
        <v>-477.99487096057123</v>
      </c>
      <c r="BI46" s="1021">
        <f>(VLOOKUP(YEAR($A46),'NY East Load Projections'!$A$4:$EO$14,((MONTH($A46)-1)*12)+VLOOKUP(BI$4,$DE$6:$DF$17,2)+1))*$D46</f>
        <v>-477.99487096057123</v>
      </c>
      <c r="BJ46" s="1021">
        <f>(VLOOKUP(YEAR($A46),'NY East Load Projections'!$A$4:$EO$14,((MONTH($A46)-1)*12)+VLOOKUP(BJ$4,$DE$6:$DF$17,2)+1))*$D46</f>
        <v>-485.21997104124353</v>
      </c>
      <c r="BK46" s="1021">
        <f>(VLOOKUP(YEAR($A46),'NY East Load Projections'!$A$4:$EO$14,((MONTH($A46)-1)*12)+VLOOKUP(BK$4,$DE$6:$DF$17,2)+1))*$D46</f>
        <v>-485.21997104124353</v>
      </c>
      <c r="BL46" s="1021">
        <f>(VLOOKUP(YEAR($A46),'NY East Load Projections'!$A$4:$EO$14,((MONTH($A46)-1)*12)+VLOOKUP(BL$4,$DE$6:$DF$17,2)+1))*$D46</f>
        <v>-485.21997104124353</v>
      </c>
      <c r="BM46" s="1021">
        <f>(VLOOKUP(YEAR($A46),'NY East Load Projections'!$A$4:$EO$14,((MONTH($A46)-1)*12)+VLOOKUP(BM$4,$DE$6:$DF$17,2)+1))*$D46</f>
        <v>-485.21997104124353</v>
      </c>
      <c r="BN46" s="1021">
        <f>(VLOOKUP(YEAR($A46),'NY East Load Projections'!$A$4:$EO$14,((MONTH($A46)-1)*12)+VLOOKUP(BN$4,$DE$6:$DF$17,2)+1))*$D46</f>
        <v>-540.48991473733281</v>
      </c>
      <c r="BO46" s="1021">
        <f>(VLOOKUP(YEAR($A46),'NY East Load Projections'!$A$4:$EO$14,((MONTH($A46)-1)*12)+VLOOKUP(BO$4,$DE$6:$DF$17,2)+1))*$D46</f>
        <v>-540.48991473733281</v>
      </c>
      <c r="BP46" s="1021">
        <f>(VLOOKUP(YEAR($A46),'NY East Load Projections'!$A$4:$EO$14,((MONTH($A46)-1)*12)+VLOOKUP(BP$4,$DE$6:$DF$17,2)+1))*$D46</f>
        <v>-540.48991473733281</v>
      </c>
      <c r="BQ46" s="1021">
        <f>(VLOOKUP(YEAR($A46),'NY East Load Projections'!$A$4:$EO$14,((MONTH($A46)-1)*12)+VLOOKUP(BQ$4,$DE$6:$DF$17,2)+1))*$D46</f>
        <v>-540.48991473733281</v>
      </c>
      <c r="BR46" s="1021">
        <f>(VLOOKUP(YEAR($A46),'NY East Load Projections'!$A$4:$EO$14,((MONTH($A46)-1)*12)+VLOOKUP(BR$4,$DE$6:$DF$17,2)+1))*$D46</f>
        <v>-548.57437556503567</v>
      </c>
      <c r="BS46" s="1021">
        <f>(VLOOKUP(YEAR($A46),'NY East Load Projections'!$A$4:$EO$14,((MONTH($A46)-1)*12)+VLOOKUP(BS$4,$DE$6:$DF$17,2)+1))*$D46</f>
        <v>-548.57437556503567</v>
      </c>
      <c r="BT46" s="1021">
        <f>(VLOOKUP(YEAR($A46),'NY East Load Projections'!$A$4:$EO$14,((MONTH($A46)-1)*12)+VLOOKUP(BT$4,$DE$6:$DF$17,2)+1))*$D46</f>
        <v>-548.57437556503567</v>
      </c>
      <c r="BU46" s="1021">
        <f>(VLOOKUP(YEAR($A46),'NY East Load Projections'!$A$4:$EO$14,((MONTH($A46)-1)*12)+VLOOKUP(BU$4,$DE$6:$DF$17,2)+1))*$D46</f>
        <v>-548.57437556503567</v>
      </c>
      <c r="BV46" s="1021">
        <f>(VLOOKUP(YEAR($A46),'NY East Load Projections'!$A$4:$EO$14,((MONTH($A46)-1)*12)+VLOOKUP(BV$4,$DE$6:$DF$17,2)+1))*$D46</f>
        <v>-510.95176388318089</v>
      </c>
      <c r="BW46" s="1021">
        <f>(VLOOKUP(YEAR($A46),'NY East Load Projections'!$A$4:$EO$14,((MONTH($A46)-1)*12)+VLOOKUP(BW$4,$DE$6:$DF$17,2)+1))*$D46</f>
        <v>-510.95176388318089</v>
      </c>
      <c r="BX46" s="1021">
        <f>(VLOOKUP(YEAR($A46),'NY East Load Projections'!$A$4:$EO$14,((MONTH($A46)-1)*12)+VLOOKUP(BX$4,$DE$6:$DF$17,2)+1))*$D46</f>
        <v>-510.95176388318089</v>
      </c>
      <c r="BY46" s="1021">
        <f>(VLOOKUP(YEAR($A46),'NY East Load Projections'!$A$4:$EO$14,((MONTH($A46)-1)*12)+VLOOKUP(BY$4,$DE$6:$DF$17,2)+1))*$D46</f>
        <v>-510.95176388318089</v>
      </c>
      <c r="BZ46" s="1021">
        <f>(VLOOKUP(YEAR($A46),'NY East Load Projections'!$A$4:$EO$14,((MONTH($A46)-1)*12)+VLOOKUP(BZ$4,$DE$6:$DF$17,2)+1))*$D46</f>
        <v>-489.24595170068818</v>
      </c>
      <c r="CA46" s="1021">
        <f>(VLOOKUP(YEAR($A46),'NY East Load Projections'!$A$4:$EO$14,((MONTH($A46)-1)*12)+VLOOKUP(CA$4,$DE$6:$DF$17,2)+1))*$D46</f>
        <v>-489.24595170068818</v>
      </c>
      <c r="CB46" s="1021">
        <f>(VLOOKUP(YEAR($A46),'NY East Load Projections'!$A$4:$EO$14,((MONTH($A46)-1)*12)+VLOOKUP(CB$4,$DE$6:$DF$17,2)+1))*$D46</f>
        <v>-489.24595170068818</v>
      </c>
      <c r="CC46" s="1021">
        <f>(VLOOKUP(YEAR($A46),'NY East Load Projections'!$A$4:$EO$14,((MONTH($A46)-1)*12)+VLOOKUP(CC$4,$DE$6:$DF$17,2)+1))*$D46</f>
        <v>-489.24595170068818</v>
      </c>
      <c r="CE46" s="1021">
        <f>(VLOOKUP(YEAR($A46),'NY East Load Projections'!$A$4:$EO$14,((MONTH($A46)-1)*12)+VLOOKUP(CE$4,$DE$6:$DF$17,2)+1))*$E46</f>
        <v>-95.598974192114241</v>
      </c>
      <c r="CF46" s="1021">
        <f>(VLOOKUP(YEAR($A46),'NY East Load Projections'!$A$4:$EO$14,((MONTH($A46)-1)*12)+VLOOKUP(CF$4,$DE$6:$DF$17,2)+1))*$E46</f>
        <v>-95.598974192114241</v>
      </c>
      <c r="CG46" s="1021">
        <f>(VLOOKUP(YEAR($A46),'NY East Load Projections'!$A$4:$EO$14,((MONTH($A46)-1)*12)+VLOOKUP(CG$4,$DE$6:$DF$17,2)+1))*$E46</f>
        <v>-95.598974192114241</v>
      </c>
      <c r="CH46" s="1021">
        <f>(VLOOKUP(YEAR($A46),'NY East Load Projections'!$A$4:$EO$14,((MONTH($A46)-1)*12)+VLOOKUP(CH$4,$DE$6:$DF$17,2)+1))*$E46</f>
        <v>-95.598974192114241</v>
      </c>
      <c r="CI46" s="1021">
        <f>(VLOOKUP(YEAR($A46),'NY East Load Projections'!$A$4:$EO$14,((MONTH($A46)-1)*12)+VLOOKUP(CI$4,$DE$6:$DF$17,2)+1))*$E46</f>
        <v>-97.043994208248705</v>
      </c>
      <c r="CJ46" s="1021">
        <f>(VLOOKUP(YEAR($A46),'NY East Load Projections'!$A$4:$EO$14,((MONTH($A46)-1)*12)+VLOOKUP(CJ$4,$DE$6:$DF$17,2)+1))*$E46</f>
        <v>-97.043994208248705</v>
      </c>
      <c r="CK46" s="1021">
        <f>(VLOOKUP(YEAR($A46),'NY East Load Projections'!$A$4:$EO$14,((MONTH($A46)-1)*12)+VLOOKUP(CK$4,$DE$6:$DF$17,2)+1))*$E46</f>
        <v>-97.043994208248705</v>
      </c>
      <c r="CL46" s="1021">
        <f>(VLOOKUP(YEAR($A46),'NY East Load Projections'!$A$4:$EO$14,((MONTH($A46)-1)*12)+VLOOKUP(CL$4,$DE$6:$DF$17,2)+1))*$E46</f>
        <v>-97.043994208248705</v>
      </c>
      <c r="CM46" s="1021">
        <f>(VLOOKUP(YEAR($A46),'NY East Load Projections'!$A$4:$EO$14,((MONTH($A46)-1)*12)+VLOOKUP(CM$4,$DE$6:$DF$17,2)+1))*$E46</f>
        <v>-108.09798294746656</v>
      </c>
      <c r="CN46" s="1021">
        <f>(VLOOKUP(YEAR($A46),'NY East Load Projections'!$A$4:$EO$14,((MONTH($A46)-1)*12)+VLOOKUP(CN$4,$DE$6:$DF$17,2)+1))*$E46</f>
        <v>-108.09798294746656</v>
      </c>
      <c r="CO46" s="1021">
        <f>(VLOOKUP(YEAR($A46),'NY East Load Projections'!$A$4:$EO$14,((MONTH($A46)-1)*12)+VLOOKUP(CO$4,$DE$6:$DF$17,2)+1))*$E46</f>
        <v>-108.09798294746656</v>
      </c>
      <c r="CP46" s="1021">
        <f>(VLOOKUP(YEAR($A46),'NY East Load Projections'!$A$4:$EO$14,((MONTH($A46)-1)*12)+VLOOKUP(CP$4,$DE$6:$DF$17,2)+1))*$E46</f>
        <v>-108.09798294746656</v>
      </c>
      <c r="CQ46" s="1021">
        <f>(VLOOKUP(YEAR($A46),'NY East Load Projections'!$A$4:$EO$14,((MONTH($A46)-1)*12)+VLOOKUP(CQ$4,$DE$6:$DF$17,2)+1))*$E46</f>
        <v>-109.71487511300714</v>
      </c>
      <c r="CR46" s="1021">
        <f>(VLOOKUP(YEAR($A46),'NY East Load Projections'!$A$4:$EO$14,((MONTH($A46)-1)*12)+VLOOKUP(CR$4,$DE$6:$DF$17,2)+1))*$E46</f>
        <v>-109.71487511300714</v>
      </c>
      <c r="CS46" s="1021">
        <f>(VLOOKUP(YEAR($A46),'NY East Load Projections'!$A$4:$EO$14,((MONTH($A46)-1)*12)+VLOOKUP(CS$4,$DE$6:$DF$17,2)+1))*$E46</f>
        <v>-109.71487511300714</v>
      </c>
      <c r="CT46" s="1021">
        <f>(VLOOKUP(YEAR($A46),'NY East Load Projections'!$A$4:$EO$14,((MONTH($A46)-1)*12)+VLOOKUP(CT$4,$DE$6:$DF$17,2)+1))*$E46</f>
        <v>-109.71487511300714</v>
      </c>
      <c r="CU46" s="1021">
        <f>(VLOOKUP(YEAR($A46),'NY East Load Projections'!$A$4:$EO$14,((MONTH($A46)-1)*12)+VLOOKUP(CU$4,$DE$6:$DF$17,2)+1))*$E46</f>
        <v>-102.19035277663617</v>
      </c>
      <c r="CV46" s="1021">
        <f>(VLOOKUP(YEAR($A46),'NY East Load Projections'!$A$4:$EO$14,((MONTH($A46)-1)*12)+VLOOKUP(CV$4,$DE$6:$DF$17,2)+1))*$E46</f>
        <v>-102.19035277663617</v>
      </c>
      <c r="CW46" s="1021">
        <f>(VLOOKUP(YEAR($A46),'NY East Load Projections'!$A$4:$EO$14,((MONTH($A46)-1)*12)+VLOOKUP(CW$4,$DE$6:$DF$17,2)+1))*$E46</f>
        <v>-102.19035277663617</v>
      </c>
      <c r="CX46" s="1021">
        <f>(VLOOKUP(YEAR($A46),'NY East Load Projections'!$A$4:$EO$14,((MONTH($A46)-1)*12)+VLOOKUP(CX$4,$DE$6:$DF$17,2)+1))*$E46</f>
        <v>-102.19035277663617</v>
      </c>
      <c r="CY46" s="1021">
        <f>(VLOOKUP(YEAR($A46),'NY East Load Projections'!$A$4:$EO$14,((MONTH($A46)-1)*12)+VLOOKUP(CY$4,$DE$6:$DF$17,2)+1))*$E46</f>
        <v>-97.849190340137639</v>
      </c>
      <c r="CZ46" s="1021">
        <f>(VLOOKUP(YEAR($A46),'NY East Load Projections'!$A$4:$EO$14,((MONTH($A46)-1)*12)+VLOOKUP(CZ$4,$DE$6:$DF$17,2)+1))*$E46</f>
        <v>-97.849190340137639</v>
      </c>
      <c r="DA46" s="1021">
        <f>(VLOOKUP(YEAR($A46),'NY East Load Projections'!$A$4:$EO$14,((MONTH($A46)-1)*12)+VLOOKUP(DA$4,$DE$6:$DF$17,2)+1))*$E46</f>
        <v>-97.849190340137639</v>
      </c>
      <c r="DB46" s="1021">
        <f>(VLOOKUP(YEAR($A46),'NY East Load Projections'!$A$4:$EO$14,((MONTH($A46)-1)*12)+VLOOKUP(DB$4,$DE$6:$DF$17,2)+1))*$E46</f>
        <v>-97.849190340137639</v>
      </c>
      <c r="DH46" s="1009">
        <f t="shared" si="2"/>
        <v>-77290.67442135085</v>
      </c>
      <c r="DI46">
        <f ca="1">CALC!J66</f>
        <v>0.73550957482072366</v>
      </c>
      <c r="DJ46" s="1032">
        <f t="shared" ca="1" si="1"/>
        <v>-56848.031081254747</v>
      </c>
    </row>
    <row r="47" spans="1:114" x14ac:dyDescent="0.25">
      <c r="A47" s="244">
        <v>38139</v>
      </c>
      <c r="B47" s="13">
        <v>22</v>
      </c>
      <c r="C47" s="210">
        <v>4</v>
      </c>
      <c r="D47" s="210">
        <v>4</v>
      </c>
      <c r="E47" s="210">
        <v>0</v>
      </c>
      <c r="F47" s="13">
        <v>30</v>
      </c>
      <c r="H47" s="1021">
        <f>(VLOOKUP(YEAR($A47),'NY East Load Projections'!$A$4:$EO$14,((MONTH($A47)-1)*12)+VLOOKUP(H$4,$DE$6:$DF$17,2)+1))*$B47</f>
        <v>-2086.9485990309718</v>
      </c>
      <c r="I47" s="1021">
        <f>(VLOOKUP(YEAR($A47),'NY East Load Projections'!$A$4:$EO$14,((MONTH($A47)-1)*12)+VLOOKUP(I$4,$DE$6:$DF$17,2)+1))*$B47</f>
        <v>-2086.9485990309718</v>
      </c>
      <c r="J47" s="1021">
        <f>(VLOOKUP(YEAR($A47),'NY East Load Projections'!$A$4:$EO$14,((MONTH($A47)-1)*12)+VLOOKUP(J$4,$DE$6:$DF$17,2)+1))*$B47</f>
        <v>-2086.9485990309718</v>
      </c>
      <c r="K47" s="1021">
        <f>(VLOOKUP(YEAR($A47),'NY East Load Projections'!$A$4:$EO$14,((MONTH($A47)-1)*12)+VLOOKUP(K$4,$DE$6:$DF$17,2)+1))*$B47</f>
        <v>-2086.9485990309718</v>
      </c>
      <c r="L47" s="1021">
        <f>(VLOOKUP(YEAR($A47),'NY East Load Projections'!$A$4:$EO$14,((MONTH($A47)-1)*12)+VLOOKUP(L$4,$DE$6:$DF$17,2)+1))*$B47</f>
        <v>-2288.2112425653427</v>
      </c>
      <c r="M47" s="1021">
        <f>(VLOOKUP(YEAR($A47),'NY East Load Projections'!$A$4:$EO$14,((MONTH($A47)-1)*12)+VLOOKUP(M$4,$DE$6:$DF$17,2)+1))*$B47</f>
        <v>-2288.2112425653427</v>
      </c>
      <c r="N47" s="1021">
        <f>(VLOOKUP(YEAR($A47),'NY East Load Projections'!$A$4:$EO$14,((MONTH($A47)-1)*12)+VLOOKUP(N$4,$DE$6:$DF$17,2)+1))*$B47</f>
        <v>-2288.2112425653427</v>
      </c>
      <c r="O47" s="1021">
        <f>(VLOOKUP(YEAR($A47),'NY East Load Projections'!$A$4:$EO$14,((MONTH($A47)-1)*12)+VLOOKUP(O$4,$DE$6:$DF$17,2)+1))*$B47</f>
        <v>-2288.2112425653427</v>
      </c>
      <c r="P47" s="1021">
        <f>(VLOOKUP(YEAR($A47),'NY East Load Projections'!$A$4:$EO$14,((MONTH($A47)-1)*12)+VLOOKUP(P$4,$DE$6:$DF$17,2)+1))*$B47</f>
        <v>-2584.6680171825305</v>
      </c>
      <c r="Q47" s="1021">
        <f>(VLOOKUP(YEAR($A47),'NY East Load Projections'!$A$4:$EO$14,((MONTH($A47)-1)*12)+VLOOKUP(Q$4,$DE$6:$DF$17,2)+1))*$B47</f>
        <v>-2584.6680171825305</v>
      </c>
      <c r="R47" s="1021">
        <f>(VLOOKUP(YEAR($A47),'NY East Load Projections'!$A$4:$EO$14,((MONTH($A47)-1)*12)+VLOOKUP(R$4,$DE$6:$DF$17,2)+1))*$B47</f>
        <v>-2584.6680171825305</v>
      </c>
      <c r="S47" s="1021">
        <f>(VLOOKUP(YEAR($A47),'NY East Load Projections'!$A$4:$EO$14,((MONTH($A47)-1)*12)+VLOOKUP(S$4,$DE$6:$DF$17,2)+1))*$B47</f>
        <v>-2584.6680171825305</v>
      </c>
      <c r="T47" s="1021">
        <f>(VLOOKUP(YEAR($A47),'NY East Load Projections'!$A$4:$EO$14,((MONTH($A47)-1)*12)+VLOOKUP(T$4,$DE$6:$DF$17,2)+1))*$B47</f>
        <v>-2650.7831034130313</v>
      </c>
      <c r="U47" s="1021">
        <f>(VLOOKUP(YEAR($A47),'NY East Load Projections'!$A$4:$EO$14,((MONTH($A47)-1)*12)+VLOOKUP(U$4,$DE$6:$DF$17,2)+1))*$B47</f>
        <v>-2650.7831034130313</v>
      </c>
      <c r="V47" s="1021">
        <f>(VLOOKUP(YEAR($A47),'NY East Load Projections'!$A$4:$EO$14,((MONTH($A47)-1)*12)+VLOOKUP(V$4,$DE$6:$DF$17,2)+1))*$B47</f>
        <v>-2650.7831034130313</v>
      </c>
      <c r="W47" s="1021">
        <f>(VLOOKUP(YEAR($A47),'NY East Load Projections'!$A$4:$EO$14,((MONTH($A47)-1)*12)+VLOOKUP(W$4,$DE$6:$DF$17,2)+1))*$B47</f>
        <v>-2650.7831034130313</v>
      </c>
      <c r="X47" s="1021">
        <f>(VLOOKUP(YEAR($A47),'NY East Load Projections'!$A$4:$EO$14,((MONTH($A47)-1)*12)+VLOOKUP(X$4,$DE$6:$DF$17,2)+1))*$B47</f>
        <v>-2500.7436573237446</v>
      </c>
      <c r="Y47" s="1021">
        <f>(VLOOKUP(YEAR($A47),'NY East Load Projections'!$A$4:$EO$14,((MONTH($A47)-1)*12)+VLOOKUP(Y$4,$DE$6:$DF$17,2)+1))*$B47</f>
        <v>-2500.7436573237446</v>
      </c>
      <c r="Z47" s="1021">
        <f>(VLOOKUP(YEAR($A47),'NY East Load Projections'!$A$4:$EO$14,((MONTH($A47)-1)*12)+VLOOKUP(Z$4,$DE$6:$DF$17,2)+1))*$B47</f>
        <v>-2500.7436573237446</v>
      </c>
      <c r="AA47" s="1021">
        <f>(VLOOKUP(YEAR($A47),'NY East Load Projections'!$A$4:$EO$14,((MONTH($A47)-1)*12)+VLOOKUP(AA$4,$DE$6:$DF$17,2)+1))*$B47</f>
        <v>-2500.7436573237446</v>
      </c>
      <c r="AB47" s="1021">
        <f>(VLOOKUP(YEAR($A47),'NY East Load Projections'!$A$4:$EO$14,((MONTH($A47)-1)*12)+VLOOKUP(AB$4,$DE$6:$DF$17,2)+1))*$B47</f>
        <v>-2208.4677644957587</v>
      </c>
      <c r="AC47" s="1021">
        <f>(VLOOKUP(YEAR($A47),'NY East Load Projections'!$A$4:$EO$14,((MONTH($A47)-1)*12)+VLOOKUP(AC$4,$DE$6:$DF$17,2)+1))*$B47</f>
        <v>-2208.4677644957587</v>
      </c>
      <c r="AD47" s="1021">
        <f>(VLOOKUP(YEAR($A47),'NY East Load Projections'!$A$4:$EO$14,((MONTH($A47)-1)*12)+VLOOKUP(AD$4,$DE$6:$DF$17,2)+1))*$B47</f>
        <v>-2208.4677644957587</v>
      </c>
      <c r="AE47" s="1021">
        <f>(VLOOKUP(YEAR($A47),'NY East Load Projections'!$A$4:$EO$14,((MONTH($A47)-1)*12)+VLOOKUP(AE$4,$DE$6:$DF$17,2)+1))*$B47</f>
        <v>-2208.4677644957587</v>
      </c>
      <c r="AF47" s="1021"/>
      <c r="AG47" s="1021">
        <f>(VLOOKUP(YEAR($A47),'NY East Load Projections'!$A$4:$EO$14,((MONTH($A47)-1)*12)+VLOOKUP(AG$4,$DE$6:$DF$17,2)+1))*$C47</f>
        <v>-386.27968782041427</v>
      </c>
      <c r="AH47" s="1021">
        <f>(VLOOKUP(YEAR($A47),'NY East Load Projections'!$A$4:$EO$14,((MONTH($A47)-1)*12)+VLOOKUP(AH$4,$DE$6:$DF$17,2)+1))*$C47</f>
        <v>-386.27968782041427</v>
      </c>
      <c r="AI47" s="1021">
        <f>(VLOOKUP(YEAR($A47),'NY East Load Projections'!$A$4:$EO$14,((MONTH($A47)-1)*12)+VLOOKUP(AI$4,$DE$6:$DF$17,2)+1))*$C47</f>
        <v>-386.27968782041427</v>
      </c>
      <c r="AJ47" s="1021">
        <f>(VLOOKUP(YEAR($A47),'NY East Load Projections'!$A$4:$EO$14,((MONTH($A47)-1)*12)+VLOOKUP(AJ$4,$DE$6:$DF$17,2)+1))*$C47</f>
        <v>-386.27968782041427</v>
      </c>
      <c r="AK47" s="1021">
        <f>(VLOOKUP(YEAR($A47),'NY East Load Projections'!$A$4:$EO$14,((MONTH($A47)-1)*12)+VLOOKUP(AK$4,$DE$6:$DF$17,2)+1))*$C47</f>
        <v>-389.8539153560904</v>
      </c>
      <c r="AL47" s="1021">
        <f>(VLOOKUP(YEAR($A47),'NY East Load Projections'!$A$4:$EO$14,((MONTH($A47)-1)*12)+VLOOKUP(AL$4,$DE$6:$DF$17,2)+1))*$C47</f>
        <v>-389.8539153560904</v>
      </c>
      <c r="AM47" s="1021">
        <f>(VLOOKUP(YEAR($A47),'NY East Load Projections'!$A$4:$EO$14,((MONTH($A47)-1)*12)+VLOOKUP(AM$4,$DE$6:$DF$17,2)+1))*$C47</f>
        <v>-389.8539153560904</v>
      </c>
      <c r="AN47" s="1021">
        <f>(VLOOKUP(YEAR($A47),'NY East Load Projections'!$A$4:$EO$14,((MONTH($A47)-1)*12)+VLOOKUP(AN$4,$DE$6:$DF$17,2)+1))*$C47</f>
        <v>-389.8539153560904</v>
      </c>
      <c r="AO47" s="1021">
        <f>(VLOOKUP(YEAR($A47),'NY East Load Projections'!$A$4:$EO$14,((MONTH($A47)-1)*12)+VLOOKUP(AO$4,$DE$6:$DF$17,2)+1))*$C47</f>
        <v>-423.84367421757617</v>
      </c>
      <c r="AP47" s="1021">
        <f>(VLOOKUP(YEAR($A47),'NY East Load Projections'!$A$4:$EO$14,((MONTH($A47)-1)*12)+VLOOKUP(AP$4,$DE$6:$DF$17,2)+1))*$C47</f>
        <v>-423.84367421757617</v>
      </c>
      <c r="AQ47" s="1021">
        <f>(VLOOKUP(YEAR($A47),'NY East Load Projections'!$A$4:$EO$14,((MONTH($A47)-1)*12)+VLOOKUP(AQ$4,$DE$6:$DF$17,2)+1))*$C47</f>
        <v>-423.84367421757617</v>
      </c>
      <c r="AR47" s="1021">
        <f>(VLOOKUP(YEAR($A47),'NY East Load Projections'!$A$4:$EO$14,((MONTH($A47)-1)*12)+VLOOKUP(AR$4,$DE$6:$DF$17,2)+1))*$C47</f>
        <v>-423.84367421757617</v>
      </c>
      <c r="AS47" s="1021">
        <f>(VLOOKUP(YEAR($A47),'NY East Load Projections'!$A$4:$EO$14,((MONTH($A47)-1)*12)+VLOOKUP(AS$4,$DE$6:$DF$17,2)+1))*$C47</f>
        <v>-435.15215633802461</v>
      </c>
      <c r="AT47" s="1021">
        <f>(VLOOKUP(YEAR($A47),'NY East Load Projections'!$A$4:$EO$14,((MONTH($A47)-1)*12)+VLOOKUP(AT$4,$DE$6:$DF$17,2)+1))*$C47</f>
        <v>-435.15215633802461</v>
      </c>
      <c r="AU47" s="1021">
        <f>(VLOOKUP(YEAR($A47),'NY East Load Projections'!$A$4:$EO$14,((MONTH($A47)-1)*12)+VLOOKUP(AU$4,$DE$6:$DF$17,2)+1))*$C47</f>
        <v>-435.15215633802461</v>
      </c>
      <c r="AV47" s="1021">
        <f>(VLOOKUP(YEAR($A47),'NY East Load Projections'!$A$4:$EO$14,((MONTH($A47)-1)*12)+VLOOKUP(AV$4,$DE$6:$DF$17,2)+1))*$C47</f>
        <v>-435.15215633802461</v>
      </c>
      <c r="AW47" s="1021">
        <f>(VLOOKUP(YEAR($A47),'NY East Load Projections'!$A$4:$EO$14,((MONTH($A47)-1)*12)+VLOOKUP(AW$4,$DE$6:$DF$17,2)+1))*$C47</f>
        <v>-414.57897247285308</v>
      </c>
      <c r="AX47" s="1021">
        <f>(VLOOKUP(YEAR($A47),'NY East Load Projections'!$A$4:$EO$14,((MONTH($A47)-1)*12)+VLOOKUP(AX$4,$DE$6:$DF$17,2)+1))*$C47</f>
        <v>-414.57897247285308</v>
      </c>
      <c r="AY47" s="1021">
        <f>(VLOOKUP(YEAR($A47),'NY East Load Projections'!$A$4:$EO$14,((MONTH($A47)-1)*12)+VLOOKUP(AY$4,$DE$6:$DF$17,2)+1))*$C47</f>
        <v>-414.57897247285308</v>
      </c>
      <c r="AZ47" s="1021">
        <f>(VLOOKUP(YEAR($A47),'NY East Load Projections'!$A$4:$EO$14,((MONTH($A47)-1)*12)+VLOOKUP(AZ$4,$DE$6:$DF$17,2)+1))*$C47</f>
        <v>-414.57897247285308</v>
      </c>
      <c r="BA47" s="1021">
        <f>(VLOOKUP(YEAR($A47),'NY East Load Projections'!$A$4:$EO$14,((MONTH($A47)-1)*12)+VLOOKUP(BA$4,$DE$6:$DF$17,2)+1))*$C47</f>
        <v>-394.35229545658382</v>
      </c>
      <c r="BB47" s="1021">
        <f>(VLOOKUP(YEAR($A47),'NY East Load Projections'!$A$4:$EO$14,((MONTH($A47)-1)*12)+VLOOKUP(BB$4,$DE$6:$DF$17,2)+1))*$C47</f>
        <v>-394.35229545658382</v>
      </c>
      <c r="BC47" s="1021">
        <f>(VLOOKUP(YEAR($A47),'NY East Load Projections'!$A$4:$EO$14,((MONTH($A47)-1)*12)+VLOOKUP(BC$4,$DE$6:$DF$17,2)+1))*$C47</f>
        <v>-394.35229545658382</v>
      </c>
      <c r="BD47" s="1021">
        <f>(VLOOKUP(YEAR($A47),'NY East Load Projections'!$A$4:$EO$14,((MONTH($A47)-1)*12)+VLOOKUP(BD$4,$DE$6:$DF$17,2)+1))*$C47</f>
        <v>-394.35229545658382</v>
      </c>
      <c r="BE47" s="1021"/>
      <c r="BF47" s="1021">
        <f>(VLOOKUP(YEAR($A47),'NY East Load Projections'!$A$4:$EO$14,((MONTH($A47)-1)*12)+VLOOKUP(BF$4,$DE$6:$DF$17,2)+1))*$D47</f>
        <v>-386.27968782041427</v>
      </c>
      <c r="BG47" s="1021">
        <f>(VLOOKUP(YEAR($A47),'NY East Load Projections'!$A$4:$EO$14,((MONTH($A47)-1)*12)+VLOOKUP(BG$4,$DE$6:$DF$17,2)+1))*$D47</f>
        <v>-386.27968782041427</v>
      </c>
      <c r="BH47" s="1021">
        <f>(VLOOKUP(YEAR($A47),'NY East Load Projections'!$A$4:$EO$14,((MONTH($A47)-1)*12)+VLOOKUP(BH$4,$DE$6:$DF$17,2)+1))*$D47</f>
        <v>-386.27968782041427</v>
      </c>
      <c r="BI47" s="1021">
        <f>(VLOOKUP(YEAR($A47),'NY East Load Projections'!$A$4:$EO$14,((MONTH($A47)-1)*12)+VLOOKUP(BI$4,$DE$6:$DF$17,2)+1))*$D47</f>
        <v>-386.27968782041427</v>
      </c>
      <c r="BJ47" s="1021">
        <f>(VLOOKUP(YEAR($A47),'NY East Load Projections'!$A$4:$EO$14,((MONTH($A47)-1)*12)+VLOOKUP(BJ$4,$DE$6:$DF$17,2)+1))*$D47</f>
        <v>-389.8539153560904</v>
      </c>
      <c r="BK47" s="1021">
        <f>(VLOOKUP(YEAR($A47),'NY East Load Projections'!$A$4:$EO$14,((MONTH($A47)-1)*12)+VLOOKUP(BK$4,$DE$6:$DF$17,2)+1))*$D47</f>
        <v>-389.8539153560904</v>
      </c>
      <c r="BL47" s="1021">
        <f>(VLOOKUP(YEAR($A47),'NY East Load Projections'!$A$4:$EO$14,((MONTH($A47)-1)*12)+VLOOKUP(BL$4,$DE$6:$DF$17,2)+1))*$D47</f>
        <v>-389.8539153560904</v>
      </c>
      <c r="BM47" s="1021">
        <f>(VLOOKUP(YEAR($A47),'NY East Load Projections'!$A$4:$EO$14,((MONTH($A47)-1)*12)+VLOOKUP(BM$4,$DE$6:$DF$17,2)+1))*$D47</f>
        <v>-389.8539153560904</v>
      </c>
      <c r="BN47" s="1021">
        <f>(VLOOKUP(YEAR($A47),'NY East Load Projections'!$A$4:$EO$14,((MONTH($A47)-1)*12)+VLOOKUP(BN$4,$DE$6:$DF$17,2)+1))*$D47</f>
        <v>-423.84367421757617</v>
      </c>
      <c r="BO47" s="1021">
        <f>(VLOOKUP(YEAR($A47),'NY East Load Projections'!$A$4:$EO$14,((MONTH($A47)-1)*12)+VLOOKUP(BO$4,$DE$6:$DF$17,2)+1))*$D47</f>
        <v>-423.84367421757617</v>
      </c>
      <c r="BP47" s="1021">
        <f>(VLOOKUP(YEAR($A47),'NY East Load Projections'!$A$4:$EO$14,((MONTH($A47)-1)*12)+VLOOKUP(BP$4,$DE$6:$DF$17,2)+1))*$D47</f>
        <v>-423.84367421757617</v>
      </c>
      <c r="BQ47" s="1021">
        <f>(VLOOKUP(YEAR($A47),'NY East Load Projections'!$A$4:$EO$14,((MONTH($A47)-1)*12)+VLOOKUP(BQ$4,$DE$6:$DF$17,2)+1))*$D47</f>
        <v>-423.84367421757617</v>
      </c>
      <c r="BR47" s="1021">
        <f>(VLOOKUP(YEAR($A47),'NY East Load Projections'!$A$4:$EO$14,((MONTH($A47)-1)*12)+VLOOKUP(BR$4,$DE$6:$DF$17,2)+1))*$D47</f>
        <v>-435.15215633802461</v>
      </c>
      <c r="BS47" s="1021">
        <f>(VLOOKUP(YEAR($A47),'NY East Load Projections'!$A$4:$EO$14,((MONTH($A47)-1)*12)+VLOOKUP(BS$4,$DE$6:$DF$17,2)+1))*$D47</f>
        <v>-435.15215633802461</v>
      </c>
      <c r="BT47" s="1021">
        <f>(VLOOKUP(YEAR($A47),'NY East Load Projections'!$A$4:$EO$14,((MONTH($A47)-1)*12)+VLOOKUP(BT$4,$DE$6:$DF$17,2)+1))*$D47</f>
        <v>-435.15215633802461</v>
      </c>
      <c r="BU47" s="1021">
        <f>(VLOOKUP(YEAR($A47),'NY East Load Projections'!$A$4:$EO$14,((MONTH($A47)-1)*12)+VLOOKUP(BU$4,$DE$6:$DF$17,2)+1))*$D47</f>
        <v>-435.15215633802461</v>
      </c>
      <c r="BV47" s="1021">
        <f>(VLOOKUP(YEAR($A47),'NY East Load Projections'!$A$4:$EO$14,((MONTH($A47)-1)*12)+VLOOKUP(BV$4,$DE$6:$DF$17,2)+1))*$D47</f>
        <v>-414.57897247285308</v>
      </c>
      <c r="BW47" s="1021">
        <f>(VLOOKUP(YEAR($A47),'NY East Load Projections'!$A$4:$EO$14,((MONTH($A47)-1)*12)+VLOOKUP(BW$4,$DE$6:$DF$17,2)+1))*$D47</f>
        <v>-414.57897247285308</v>
      </c>
      <c r="BX47" s="1021">
        <f>(VLOOKUP(YEAR($A47),'NY East Load Projections'!$A$4:$EO$14,((MONTH($A47)-1)*12)+VLOOKUP(BX$4,$DE$6:$DF$17,2)+1))*$D47</f>
        <v>-414.57897247285308</v>
      </c>
      <c r="BY47" s="1021">
        <f>(VLOOKUP(YEAR($A47),'NY East Load Projections'!$A$4:$EO$14,((MONTH($A47)-1)*12)+VLOOKUP(BY$4,$DE$6:$DF$17,2)+1))*$D47</f>
        <v>-414.57897247285308</v>
      </c>
      <c r="BZ47" s="1021">
        <f>(VLOOKUP(YEAR($A47),'NY East Load Projections'!$A$4:$EO$14,((MONTH($A47)-1)*12)+VLOOKUP(BZ$4,$DE$6:$DF$17,2)+1))*$D47</f>
        <v>-394.35229545658382</v>
      </c>
      <c r="CA47" s="1021">
        <f>(VLOOKUP(YEAR($A47),'NY East Load Projections'!$A$4:$EO$14,((MONTH($A47)-1)*12)+VLOOKUP(CA$4,$DE$6:$DF$17,2)+1))*$D47</f>
        <v>-394.35229545658382</v>
      </c>
      <c r="CB47" s="1021">
        <f>(VLOOKUP(YEAR($A47),'NY East Load Projections'!$A$4:$EO$14,((MONTH($A47)-1)*12)+VLOOKUP(CB$4,$DE$6:$DF$17,2)+1))*$D47</f>
        <v>-394.35229545658382</v>
      </c>
      <c r="CC47" s="1021">
        <f>(VLOOKUP(YEAR($A47),'NY East Load Projections'!$A$4:$EO$14,((MONTH($A47)-1)*12)+VLOOKUP(CC$4,$DE$6:$DF$17,2)+1))*$D47</f>
        <v>-394.35229545658382</v>
      </c>
      <c r="CE47" s="1021">
        <f>(VLOOKUP(YEAR($A47),'NY East Load Projections'!$A$4:$EO$14,((MONTH($A47)-1)*12)+VLOOKUP(CE$4,$DE$6:$DF$17,2)+1))*$E47</f>
        <v>0</v>
      </c>
      <c r="CF47" s="1021">
        <f>(VLOOKUP(YEAR($A47),'NY East Load Projections'!$A$4:$EO$14,((MONTH($A47)-1)*12)+VLOOKUP(CF$4,$DE$6:$DF$17,2)+1))*$E47</f>
        <v>0</v>
      </c>
      <c r="CG47" s="1021">
        <f>(VLOOKUP(YEAR($A47),'NY East Load Projections'!$A$4:$EO$14,((MONTH($A47)-1)*12)+VLOOKUP(CG$4,$DE$6:$DF$17,2)+1))*$E47</f>
        <v>0</v>
      </c>
      <c r="CH47" s="1021">
        <f>(VLOOKUP(YEAR($A47),'NY East Load Projections'!$A$4:$EO$14,((MONTH($A47)-1)*12)+VLOOKUP(CH$4,$DE$6:$DF$17,2)+1))*$E47</f>
        <v>0</v>
      </c>
      <c r="CI47" s="1021">
        <f>(VLOOKUP(YEAR($A47),'NY East Load Projections'!$A$4:$EO$14,((MONTH($A47)-1)*12)+VLOOKUP(CI$4,$DE$6:$DF$17,2)+1))*$E47</f>
        <v>0</v>
      </c>
      <c r="CJ47" s="1021">
        <f>(VLOOKUP(YEAR($A47),'NY East Load Projections'!$A$4:$EO$14,((MONTH($A47)-1)*12)+VLOOKUP(CJ$4,$DE$6:$DF$17,2)+1))*$E47</f>
        <v>0</v>
      </c>
      <c r="CK47" s="1021">
        <f>(VLOOKUP(YEAR($A47),'NY East Load Projections'!$A$4:$EO$14,((MONTH($A47)-1)*12)+VLOOKUP(CK$4,$DE$6:$DF$17,2)+1))*$E47</f>
        <v>0</v>
      </c>
      <c r="CL47" s="1021">
        <f>(VLOOKUP(YEAR($A47),'NY East Load Projections'!$A$4:$EO$14,((MONTH($A47)-1)*12)+VLOOKUP(CL$4,$DE$6:$DF$17,2)+1))*$E47</f>
        <v>0</v>
      </c>
      <c r="CM47" s="1021">
        <f>(VLOOKUP(YEAR($A47),'NY East Load Projections'!$A$4:$EO$14,((MONTH($A47)-1)*12)+VLOOKUP(CM$4,$DE$6:$DF$17,2)+1))*$E47</f>
        <v>0</v>
      </c>
      <c r="CN47" s="1021">
        <f>(VLOOKUP(YEAR($A47),'NY East Load Projections'!$A$4:$EO$14,((MONTH($A47)-1)*12)+VLOOKUP(CN$4,$DE$6:$DF$17,2)+1))*$E47</f>
        <v>0</v>
      </c>
      <c r="CO47" s="1021">
        <f>(VLOOKUP(YEAR($A47),'NY East Load Projections'!$A$4:$EO$14,((MONTH($A47)-1)*12)+VLOOKUP(CO$4,$DE$6:$DF$17,2)+1))*$E47</f>
        <v>0</v>
      </c>
      <c r="CP47" s="1021">
        <f>(VLOOKUP(YEAR($A47),'NY East Load Projections'!$A$4:$EO$14,((MONTH($A47)-1)*12)+VLOOKUP(CP$4,$DE$6:$DF$17,2)+1))*$E47</f>
        <v>0</v>
      </c>
      <c r="CQ47" s="1021">
        <f>(VLOOKUP(YEAR($A47),'NY East Load Projections'!$A$4:$EO$14,((MONTH($A47)-1)*12)+VLOOKUP(CQ$4,$DE$6:$DF$17,2)+1))*$E47</f>
        <v>0</v>
      </c>
      <c r="CR47" s="1021">
        <f>(VLOOKUP(YEAR($A47),'NY East Load Projections'!$A$4:$EO$14,((MONTH($A47)-1)*12)+VLOOKUP(CR$4,$DE$6:$DF$17,2)+1))*$E47</f>
        <v>0</v>
      </c>
      <c r="CS47" s="1021">
        <f>(VLOOKUP(YEAR($A47),'NY East Load Projections'!$A$4:$EO$14,((MONTH($A47)-1)*12)+VLOOKUP(CS$4,$DE$6:$DF$17,2)+1))*$E47</f>
        <v>0</v>
      </c>
      <c r="CT47" s="1021">
        <f>(VLOOKUP(YEAR($A47),'NY East Load Projections'!$A$4:$EO$14,((MONTH($A47)-1)*12)+VLOOKUP(CT$4,$DE$6:$DF$17,2)+1))*$E47</f>
        <v>0</v>
      </c>
      <c r="CU47" s="1021">
        <f>(VLOOKUP(YEAR($A47),'NY East Load Projections'!$A$4:$EO$14,((MONTH($A47)-1)*12)+VLOOKUP(CU$4,$DE$6:$DF$17,2)+1))*$E47</f>
        <v>0</v>
      </c>
      <c r="CV47" s="1021">
        <f>(VLOOKUP(YEAR($A47),'NY East Load Projections'!$A$4:$EO$14,((MONTH($A47)-1)*12)+VLOOKUP(CV$4,$DE$6:$DF$17,2)+1))*$E47</f>
        <v>0</v>
      </c>
      <c r="CW47" s="1021">
        <f>(VLOOKUP(YEAR($A47),'NY East Load Projections'!$A$4:$EO$14,((MONTH($A47)-1)*12)+VLOOKUP(CW$4,$DE$6:$DF$17,2)+1))*$E47</f>
        <v>0</v>
      </c>
      <c r="CX47" s="1021">
        <f>(VLOOKUP(YEAR($A47),'NY East Load Projections'!$A$4:$EO$14,((MONTH($A47)-1)*12)+VLOOKUP(CX$4,$DE$6:$DF$17,2)+1))*$E47</f>
        <v>0</v>
      </c>
      <c r="CY47" s="1021">
        <f>(VLOOKUP(YEAR($A47),'NY East Load Projections'!$A$4:$EO$14,((MONTH($A47)-1)*12)+VLOOKUP(CY$4,$DE$6:$DF$17,2)+1))*$E47</f>
        <v>0</v>
      </c>
      <c r="CZ47" s="1021">
        <f>(VLOOKUP(YEAR($A47),'NY East Load Projections'!$A$4:$EO$14,((MONTH($A47)-1)*12)+VLOOKUP(CZ$4,$DE$6:$DF$17,2)+1))*$E47</f>
        <v>0</v>
      </c>
      <c r="DA47" s="1021">
        <f>(VLOOKUP(YEAR($A47),'NY East Load Projections'!$A$4:$EO$14,((MONTH($A47)-1)*12)+VLOOKUP(DA$4,$DE$6:$DF$17,2)+1))*$E47</f>
        <v>0</v>
      </c>
      <c r="DB47" s="1021">
        <f>(VLOOKUP(YEAR($A47),'NY East Load Projections'!$A$4:$EO$14,((MONTH($A47)-1)*12)+VLOOKUP(DB$4,$DE$6:$DF$17,2)+1))*$E47</f>
        <v>0</v>
      </c>
      <c r="DH47" s="1009">
        <f t="shared" si="2"/>
        <v>-76831.775149337787</v>
      </c>
      <c r="DI47">
        <f ca="1">CALC!J67</f>
        <v>0.73109253639737004</v>
      </c>
      <c r="DJ47" s="1032">
        <f t="shared" ca="1" si="1"/>
        <v>-56171.137369841788</v>
      </c>
    </row>
    <row r="48" spans="1:114" x14ac:dyDescent="0.25">
      <c r="A48" s="244">
        <v>38169</v>
      </c>
      <c r="B48" s="13">
        <v>21</v>
      </c>
      <c r="C48" s="210">
        <v>5</v>
      </c>
      <c r="D48" s="210">
        <v>4</v>
      </c>
      <c r="E48" s="210">
        <v>1</v>
      </c>
      <c r="F48" s="13">
        <v>31</v>
      </c>
      <c r="H48" s="1021">
        <f>(VLOOKUP(YEAR($A48),'NY East Load Projections'!$A$4:$EO$14,((MONTH($A48)-1)*12)+VLOOKUP(H$4,$DE$6:$DF$17,2)+1))*$B48</f>
        <v>-2050.9451552781779</v>
      </c>
      <c r="I48" s="1021">
        <f>(VLOOKUP(YEAR($A48),'NY East Load Projections'!$A$4:$EO$14,((MONTH($A48)-1)*12)+VLOOKUP(I$4,$DE$6:$DF$17,2)+1))*$B48</f>
        <v>-2050.9451552781779</v>
      </c>
      <c r="J48" s="1021">
        <f>(VLOOKUP(YEAR($A48),'NY East Load Projections'!$A$4:$EO$14,((MONTH($A48)-1)*12)+VLOOKUP(J$4,$DE$6:$DF$17,2)+1))*$B48</f>
        <v>-2050.9451552781779</v>
      </c>
      <c r="K48" s="1021">
        <f>(VLOOKUP(YEAR($A48),'NY East Load Projections'!$A$4:$EO$14,((MONTH($A48)-1)*12)+VLOOKUP(K$4,$DE$6:$DF$17,2)+1))*$B48</f>
        <v>-2050.9451552781779</v>
      </c>
      <c r="L48" s="1021">
        <f>(VLOOKUP(YEAR($A48),'NY East Load Projections'!$A$4:$EO$14,((MONTH($A48)-1)*12)+VLOOKUP(L$4,$DE$6:$DF$17,2)+1))*$B48</f>
        <v>-2247.0391741616713</v>
      </c>
      <c r="M48" s="1021">
        <f>(VLOOKUP(YEAR($A48),'NY East Load Projections'!$A$4:$EO$14,((MONTH($A48)-1)*12)+VLOOKUP(M$4,$DE$6:$DF$17,2)+1))*$B48</f>
        <v>-2247.0391741616713</v>
      </c>
      <c r="N48" s="1021">
        <f>(VLOOKUP(YEAR($A48),'NY East Load Projections'!$A$4:$EO$14,((MONTH($A48)-1)*12)+VLOOKUP(N$4,$DE$6:$DF$17,2)+1))*$B48</f>
        <v>-2247.0391741616713</v>
      </c>
      <c r="O48" s="1021">
        <f>(VLOOKUP(YEAR($A48),'NY East Load Projections'!$A$4:$EO$14,((MONTH($A48)-1)*12)+VLOOKUP(O$4,$DE$6:$DF$17,2)+1))*$B48</f>
        <v>-2247.0391741616713</v>
      </c>
      <c r="P48" s="1021">
        <f>(VLOOKUP(YEAR($A48),'NY East Load Projections'!$A$4:$EO$14,((MONTH($A48)-1)*12)+VLOOKUP(P$4,$DE$6:$DF$17,2)+1))*$B48</f>
        <v>-2533.9667439016703</v>
      </c>
      <c r="Q48" s="1021">
        <f>(VLOOKUP(YEAR($A48),'NY East Load Projections'!$A$4:$EO$14,((MONTH($A48)-1)*12)+VLOOKUP(Q$4,$DE$6:$DF$17,2)+1))*$B48</f>
        <v>-2533.9667439016703</v>
      </c>
      <c r="R48" s="1021">
        <f>(VLOOKUP(YEAR($A48),'NY East Load Projections'!$A$4:$EO$14,((MONTH($A48)-1)*12)+VLOOKUP(R$4,$DE$6:$DF$17,2)+1))*$B48</f>
        <v>-2533.9667439016703</v>
      </c>
      <c r="S48" s="1021">
        <f>(VLOOKUP(YEAR($A48),'NY East Load Projections'!$A$4:$EO$14,((MONTH($A48)-1)*12)+VLOOKUP(S$4,$DE$6:$DF$17,2)+1))*$B48</f>
        <v>-2533.9667439016703</v>
      </c>
      <c r="T48" s="1021">
        <f>(VLOOKUP(YEAR($A48),'NY East Load Projections'!$A$4:$EO$14,((MONTH($A48)-1)*12)+VLOOKUP(T$4,$DE$6:$DF$17,2)+1))*$B48</f>
        <v>-2582.6364805689263</v>
      </c>
      <c r="U48" s="1021">
        <f>(VLOOKUP(YEAR($A48),'NY East Load Projections'!$A$4:$EO$14,((MONTH($A48)-1)*12)+VLOOKUP(U$4,$DE$6:$DF$17,2)+1))*$B48</f>
        <v>-2582.6364805689263</v>
      </c>
      <c r="V48" s="1021">
        <f>(VLOOKUP(YEAR($A48),'NY East Load Projections'!$A$4:$EO$14,((MONTH($A48)-1)*12)+VLOOKUP(V$4,$DE$6:$DF$17,2)+1))*$B48</f>
        <v>-2582.6364805689263</v>
      </c>
      <c r="W48" s="1021">
        <f>(VLOOKUP(YEAR($A48),'NY East Load Projections'!$A$4:$EO$14,((MONTH($A48)-1)*12)+VLOOKUP(W$4,$DE$6:$DF$17,2)+1))*$B48</f>
        <v>-2582.6364805689263</v>
      </c>
      <c r="X48" s="1021">
        <f>(VLOOKUP(YEAR($A48),'NY East Load Projections'!$A$4:$EO$14,((MONTH($A48)-1)*12)+VLOOKUP(X$4,$DE$6:$DF$17,2)+1))*$B48</f>
        <v>-2447.1713190627538</v>
      </c>
      <c r="Y48" s="1021">
        <f>(VLOOKUP(YEAR($A48),'NY East Load Projections'!$A$4:$EO$14,((MONTH($A48)-1)*12)+VLOOKUP(Y$4,$DE$6:$DF$17,2)+1))*$B48</f>
        <v>-2447.1713190627538</v>
      </c>
      <c r="Z48" s="1021">
        <f>(VLOOKUP(YEAR($A48),'NY East Load Projections'!$A$4:$EO$14,((MONTH($A48)-1)*12)+VLOOKUP(Z$4,$DE$6:$DF$17,2)+1))*$B48</f>
        <v>-2447.1713190627538</v>
      </c>
      <c r="AA48" s="1021">
        <f>(VLOOKUP(YEAR($A48),'NY East Load Projections'!$A$4:$EO$14,((MONTH($A48)-1)*12)+VLOOKUP(AA$4,$DE$6:$DF$17,2)+1))*$B48</f>
        <v>-2447.1713190627538</v>
      </c>
      <c r="AB48" s="1021">
        <f>(VLOOKUP(YEAR($A48),'NY East Load Projections'!$A$4:$EO$14,((MONTH($A48)-1)*12)+VLOOKUP(AB$4,$DE$6:$DF$17,2)+1))*$B48</f>
        <v>-2162.6574100166954</v>
      </c>
      <c r="AC48" s="1021">
        <f>(VLOOKUP(YEAR($A48),'NY East Load Projections'!$A$4:$EO$14,((MONTH($A48)-1)*12)+VLOOKUP(AC$4,$DE$6:$DF$17,2)+1))*$B48</f>
        <v>-2162.6574100166954</v>
      </c>
      <c r="AD48" s="1021">
        <f>(VLOOKUP(YEAR($A48),'NY East Load Projections'!$A$4:$EO$14,((MONTH($A48)-1)*12)+VLOOKUP(AD$4,$DE$6:$DF$17,2)+1))*$B48</f>
        <v>-2162.6574100166954</v>
      </c>
      <c r="AE48" s="1021">
        <f>(VLOOKUP(YEAR($A48),'NY East Load Projections'!$A$4:$EO$14,((MONTH($A48)-1)*12)+VLOOKUP(AE$4,$DE$6:$DF$17,2)+1))*$B48</f>
        <v>-2162.6574100166954</v>
      </c>
      <c r="AF48" s="1021"/>
      <c r="AG48" s="1021">
        <f>(VLOOKUP(YEAR($A48),'NY East Load Projections'!$A$4:$EO$14,((MONTH($A48)-1)*12)+VLOOKUP(AG$4,$DE$6:$DF$17,2)+1))*$C48</f>
        <v>-468.61302205635661</v>
      </c>
      <c r="AH48" s="1021">
        <f>(VLOOKUP(YEAR($A48),'NY East Load Projections'!$A$4:$EO$14,((MONTH($A48)-1)*12)+VLOOKUP(AH$4,$DE$6:$DF$17,2)+1))*$C48</f>
        <v>-468.61302205635661</v>
      </c>
      <c r="AI48" s="1021">
        <f>(VLOOKUP(YEAR($A48),'NY East Load Projections'!$A$4:$EO$14,((MONTH($A48)-1)*12)+VLOOKUP(AI$4,$DE$6:$DF$17,2)+1))*$C48</f>
        <v>-468.61302205635661</v>
      </c>
      <c r="AJ48" s="1021">
        <f>(VLOOKUP(YEAR($A48),'NY East Load Projections'!$A$4:$EO$14,((MONTH($A48)-1)*12)+VLOOKUP(AJ$4,$DE$6:$DF$17,2)+1))*$C48</f>
        <v>-468.61302205635661</v>
      </c>
      <c r="AK48" s="1021">
        <f>(VLOOKUP(YEAR($A48),'NY East Load Projections'!$A$4:$EO$14,((MONTH($A48)-1)*12)+VLOOKUP(AK$4,$DE$6:$DF$17,2)+1))*$C48</f>
        <v>-475.03130432900292</v>
      </c>
      <c r="AL48" s="1021">
        <f>(VLOOKUP(YEAR($A48),'NY East Load Projections'!$A$4:$EO$14,((MONTH($A48)-1)*12)+VLOOKUP(AL$4,$DE$6:$DF$17,2)+1))*$C48</f>
        <v>-475.03130432900292</v>
      </c>
      <c r="AM48" s="1021">
        <f>(VLOOKUP(YEAR($A48),'NY East Load Projections'!$A$4:$EO$14,((MONTH($A48)-1)*12)+VLOOKUP(AM$4,$DE$6:$DF$17,2)+1))*$C48</f>
        <v>-475.03130432900292</v>
      </c>
      <c r="AN48" s="1021">
        <f>(VLOOKUP(YEAR($A48),'NY East Load Projections'!$A$4:$EO$14,((MONTH($A48)-1)*12)+VLOOKUP(AN$4,$DE$6:$DF$17,2)+1))*$C48</f>
        <v>-475.03130432900292</v>
      </c>
      <c r="AO48" s="1021">
        <f>(VLOOKUP(YEAR($A48),'NY East Load Projections'!$A$4:$EO$14,((MONTH($A48)-1)*12)+VLOOKUP(AO$4,$DE$6:$DF$17,2)+1))*$C48</f>
        <v>-521.53123043604728</v>
      </c>
      <c r="AP48" s="1021">
        <f>(VLOOKUP(YEAR($A48),'NY East Load Projections'!$A$4:$EO$14,((MONTH($A48)-1)*12)+VLOOKUP(AP$4,$DE$6:$DF$17,2)+1))*$C48</f>
        <v>-521.53123043604728</v>
      </c>
      <c r="AQ48" s="1021">
        <f>(VLOOKUP(YEAR($A48),'NY East Load Projections'!$A$4:$EO$14,((MONTH($A48)-1)*12)+VLOOKUP(AQ$4,$DE$6:$DF$17,2)+1))*$C48</f>
        <v>-521.53123043604728</v>
      </c>
      <c r="AR48" s="1021">
        <f>(VLOOKUP(YEAR($A48),'NY East Load Projections'!$A$4:$EO$14,((MONTH($A48)-1)*12)+VLOOKUP(AR$4,$DE$6:$DF$17,2)+1))*$C48</f>
        <v>-521.53123043604728</v>
      </c>
      <c r="AS48" s="1021">
        <f>(VLOOKUP(YEAR($A48),'NY East Load Projections'!$A$4:$EO$14,((MONTH($A48)-1)*12)+VLOOKUP(AS$4,$DE$6:$DF$17,2)+1))*$C48</f>
        <v>-537.08825801730325</v>
      </c>
      <c r="AT48" s="1021">
        <f>(VLOOKUP(YEAR($A48),'NY East Load Projections'!$A$4:$EO$14,((MONTH($A48)-1)*12)+VLOOKUP(AT$4,$DE$6:$DF$17,2)+1))*$C48</f>
        <v>-537.08825801730325</v>
      </c>
      <c r="AU48" s="1021">
        <f>(VLOOKUP(YEAR($A48),'NY East Load Projections'!$A$4:$EO$14,((MONTH($A48)-1)*12)+VLOOKUP(AU$4,$DE$6:$DF$17,2)+1))*$C48</f>
        <v>-537.08825801730325</v>
      </c>
      <c r="AV48" s="1021">
        <f>(VLOOKUP(YEAR($A48),'NY East Load Projections'!$A$4:$EO$14,((MONTH($A48)-1)*12)+VLOOKUP(AV$4,$DE$6:$DF$17,2)+1))*$C48</f>
        <v>-537.08825801730325</v>
      </c>
      <c r="AW48" s="1021">
        <f>(VLOOKUP(YEAR($A48),'NY East Load Projections'!$A$4:$EO$14,((MONTH($A48)-1)*12)+VLOOKUP(AW$4,$DE$6:$DF$17,2)+1))*$C48</f>
        <v>-509.74438156062502</v>
      </c>
      <c r="AX48" s="1021">
        <f>(VLOOKUP(YEAR($A48),'NY East Load Projections'!$A$4:$EO$14,((MONTH($A48)-1)*12)+VLOOKUP(AX$4,$DE$6:$DF$17,2)+1))*$C48</f>
        <v>-509.74438156062502</v>
      </c>
      <c r="AY48" s="1021">
        <f>(VLOOKUP(YEAR($A48),'NY East Load Projections'!$A$4:$EO$14,((MONTH($A48)-1)*12)+VLOOKUP(AY$4,$DE$6:$DF$17,2)+1))*$C48</f>
        <v>-509.74438156062502</v>
      </c>
      <c r="AZ48" s="1021">
        <f>(VLOOKUP(YEAR($A48),'NY East Load Projections'!$A$4:$EO$14,((MONTH($A48)-1)*12)+VLOOKUP(AZ$4,$DE$6:$DF$17,2)+1))*$C48</f>
        <v>-509.74438156062502</v>
      </c>
      <c r="BA48" s="1021">
        <f>(VLOOKUP(YEAR($A48),'NY East Load Projections'!$A$4:$EO$14,((MONTH($A48)-1)*12)+VLOOKUP(BA$4,$DE$6:$DF$17,2)+1))*$C48</f>
        <v>-484.42559589535739</v>
      </c>
      <c r="BB48" s="1021">
        <f>(VLOOKUP(YEAR($A48),'NY East Load Projections'!$A$4:$EO$14,((MONTH($A48)-1)*12)+VLOOKUP(BB$4,$DE$6:$DF$17,2)+1))*$C48</f>
        <v>-484.42559589535739</v>
      </c>
      <c r="BC48" s="1021">
        <f>(VLOOKUP(YEAR($A48),'NY East Load Projections'!$A$4:$EO$14,((MONTH($A48)-1)*12)+VLOOKUP(BC$4,$DE$6:$DF$17,2)+1))*$C48</f>
        <v>-484.42559589535739</v>
      </c>
      <c r="BD48" s="1021">
        <f>(VLOOKUP(YEAR($A48),'NY East Load Projections'!$A$4:$EO$14,((MONTH($A48)-1)*12)+VLOOKUP(BD$4,$DE$6:$DF$17,2)+1))*$C48</f>
        <v>-484.42559589535739</v>
      </c>
      <c r="BE48" s="1021"/>
      <c r="BF48" s="1021">
        <f>(VLOOKUP(YEAR($A48),'NY East Load Projections'!$A$4:$EO$14,((MONTH($A48)-1)*12)+VLOOKUP(BF$4,$DE$6:$DF$17,2)+1))*$D48</f>
        <v>-374.89041764508528</v>
      </c>
      <c r="BG48" s="1021">
        <f>(VLOOKUP(YEAR($A48),'NY East Load Projections'!$A$4:$EO$14,((MONTH($A48)-1)*12)+VLOOKUP(BG$4,$DE$6:$DF$17,2)+1))*$D48</f>
        <v>-374.89041764508528</v>
      </c>
      <c r="BH48" s="1021">
        <f>(VLOOKUP(YEAR($A48),'NY East Load Projections'!$A$4:$EO$14,((MONTH($A48)-1)*12)+VLOOKUP(BH$4,$DE$6:$DF$17,2)+1))*$D48</f>
        <v>-374.89041764508528</v>
      </c>
      <c r="BI48" s="1021">
        <f>(VLOOKUP(YEAR($A48),'NY East Load Projections'!$A$4:$EO$14,((MONTH($A48)-1)*12)+VLOOKUP(BI$4,$DE$6:$DF$17,2)+1))*$D48</f>
        <v>-374.89041764508528</v>
      </c>
      <c r="BJ48" s="1021">
        <f>(VLOOKUP(YEAR($A48),'NY East Load Projections'!$A$4:$EO$14,((MONTH($A48)-1)*12)+VLOOKUP(BJ$4,$DE$6:$DF$17,2)+1))*$D48</f>
        <v>-380.02504346320234</v>
      </c>
      <c r="BK48" s="1021">
        <f>(VLOOKUP(YEAR($A48),'NY East Load Projections'!$A$4:$EO$14,((MONTH($A48)-1)*12)+VLOOKUP(BK$4,$DE$6:$DF$17,2)+1))*$D48</f>
        <v>-380.02504346320234</v>
      </c>
      <c r="BL48" s="1021">
        <f>(VLOOKUP(YEAR($A48),'NY East Load Projections'!$A$4:$EO$14,((MONTH($A48)-1)*12)+VLOOKUP(BL$4,$DE$6:$DF$17,2)+1))*$D48</f>
        <v>-380.02504346320234</v>
      </c>
      <c r="BM48" s="1021">
        <f>(VLOOKUP(YEAR($A48),'NY East Load Projections'!$A$4:$EO$14,((MONTH($A48)-1)*12)+VLOOKUP(BM$4,$DE$6:$DF$17,2)+1))*$D48</f>
        <v>-380.02504346320234</v>
      </c>
      <c r="BN48" s="1021">
        <f>(VLOOKUP(YEAR($A48),'NY East Load Projections'!$A$4:$EO$14,((MONTH($A48)-1)*12)+VLOOKUP(BN$4,$DE$6:$DF$17,2)+1))*$D48</f>
        <v>-417.22498434883778</v>
      </c>
      <c r="BO48" s="1021">
        <f>(VLOOKUP(YEAR($A48),'NY East Load Projections'!$A$4:$EO$14,((MONTH($A48)-1)*12)+VLOOKUP(BO$4,$DE$6:$DF$17,2)+1))*$D48</f>
        <v>-417.22498434883778</v>
      </c>
      <c r="BP48" s="1021">
        <f>(VLOOKUP(YEAR($A48),'NY East Load Projections'!$A$4:$EO$14,((MONTH($A48)-1)*12)+VLOOKUP(BP$4,$DE$6:$DF$17,2)+1))*$D48</f>
        <v>-417.22498434883778</v>
      </c>
      <c r="BQ48" s="1021">
        <f>(VLOOKUP(YEAR($A48),'NY East Load Projections'!$A$4:$EO$14,((MONTH($A48)-1)*12)+VLOOKUP(BQ$4,$DE$6:$DF$17,2)+1))*$D48</f>
        <v>-417.22498434883778</v>
      </c>
      <c r="BR48" s="1021">
        <f>(VLOOKUP(YEAR($A48),'NY East Load Projections'!$A$4:$EO$14,((MONTH($A48)-1)*12)+VLOOKUP(BR$4,$DE$6:$DF$17,2)+1))*$D48</f>
        <v>-429.67060641384256</v>
      </c>
      <c r="BS48" s="1021">
        <f>(VLOOKUP(YEAR($A48),'NY East Load Projections'!$A$4:$EO$14,((MONTH($A48)-1)*12)+VLOOKUP(BS$4,$DE$6:$DF$17,2)+1))*$D48</f>
        <v>-429.67060641384256</v>
      </c>
      <c r="BT48" s="1021">
        <f>(VLOOKUP(YEAR($A48),'NY East Load Projections'!$A$4:$EO$14,((MONTH($A48)-1)*12)+VLOOKUP(BT$4,$DE$6:$DF$17,2)+1))*$D48</f>
        <v>-429.67060641384256</v>
      </c>
      <c r="BU48" s="1021">
        <f>(VLOOKUP(YEAR($A48),'NY East Load Projections'!$A$4:$EO$14,((MONTH($A48)-1)*12)+VLOOKUP(BU$4,$DE$6:$DF$17,2)+1))*$D48</f>
        <v>-429.67060641384256</v>
      </c>
      <c r="BV48" s="1021">
        <f>(VLOOKUP(YEAR($A48),'NY East Load Projections'!$A$4:$EO$14,((MONTH($A48)-1)*12)+VLOOKUP(BV$4,$DE$6:$DF$17,2)+1))*$D48</f>
        <v>-407.79550524850004</v>
      </c>
      <c r="BW48" s="1021">
        <f>(VLOOKUP(YEAR($A48),'NY East Load Projections'!$A$4:$EO$14,((MONTH($A48)-1)*12)+VLOOKUP(BW$4,$DE$6:$DF$17,2)+1))*$D48</f>
        <v>-407.79550524850004</v>
      </c>
      <c r="BX48" s="1021">
        <f>(VLOOKUP(YEAR($A48),'NY East Load Projections'!$A$4:$EO$14,((MONTH($A48)-1)*12)+VLOOKUP(BX$4,$DE$6:$DF$17,2)+1))*$D48</f>
        <v>-407.79550524850004</v>
      </c>
      <c r="BY48" s="1021">
        <f>(VLOOKUP(YEAR($A48),'NY East Load Projections'!$A$4:$EO$14,((MONTH($A48)-1)*12)+VLOOKUP(BY$4,$DE$6:$DF$17,2)+1))*$D48</f>
        <v>-407.79550524850004</v>
      </c>
      <c r="BZ48" s="1021">
        <f>(VLOOKUP(YEAR($A48),'NY East Load Projections'!$A$4:$EO$14,((MONTH($A48)-1)*12)+VLOOKUP(BZ$4,$DE$6:$DF$17,2)+1))*$D48</f>
        <v>-387.54047671628592</v>
      </c>
      <c r="CA48" s="1021">
        <f>(VLOOKUP(YEAR($A48),'NY East Load Projections'!$A$4:$EO$14,((MONTH($A48)-1)*12)+VLOOKUP(CA$4,$DE$6:$DF$17,2)+1))*$D48</f>
        <v>-387.54047671628592</v>
      </c>
      <c r="CB48" s="1021">
        <f>(VLOOKUP(YEAR($A48),'NY East Load Projections'!$A$4:$EO$14,((MONTH($A48)-1)*12)+VLOOKUP(CB$4,$DE$6:$DF$17,2)+1))*$D48</f>
        <v>-387.54047671628592</v>
      </c>
      <c r="CC48" s="1021">
        <f>(VLOOKUP(YEAR($A48),'NY East Load Projections'!$A$4:$EO$14,((MONTH($A48)-1)*12)+VLOOKUP(CC$4,$DE$6:$DF$17,2)+1))*$D48</f>
        <v>-387.54047671628592</v>
      </c>
      <c r="CE48" s="1021">
        <f>(VLOOKUP(YEAR($A48),'NY East Load Projections'!$A$4:$EO$14,((MONTH($A48)-1)*12)+VLOOKUP(CE$4,$DE$6:$DF$17,2)+1))*$E48</f>
        <v>-93.72260441127132</v>
      </c>
      <c r="CF48" s="1021">
        <f>(VLOOKUP(YEAR($A48),'NY East Load Projections'!$A$4:$EO$14,((MONTH($A48)-1)*12)+VLOOKUP(CF$4,$DE$6:$DF$17,2)+1))*$E48</f>
        <v>-93.72260441127132</v>
      </c>
      <c r="CG48" s="1021">
        <f>(VLOOKUP(YEAR($A48),'NY East Load Projections'!$A$4:$EO$14,((MONTH($A48)-1)*12)+VLOOKUP(CG$4,$DE$6:$DF$17,2)+1))*$E48</f>
        <v>-93.72260441127132</v>
      </c>
      <c r="CH48" s="1021">
        <f>(VLOOKUP(YEAR($A48),'NY East Load Projections'!$A$4:$EO$14,((MONTH($A48)-1)*12)+VLOOKUP(CH$4,$DE$6:$DF$17,2)+1))*$E48</f>
        <v>-93.72260441127132</v>
      </c>
      <c r="CI48" s="1021">
        <f>(VLOOKUP(YEAR($A48),'NY East Load Projections'!$A$4:$EO$14,((MONTH($A48)-1)*12)+VLOOKUP(CI$4,$DE$6:$DF$17,2)+1))*$E48</f>
        <v>-95.006260865800584</v>
      </c>
      <c r="CJ48" s="1021">
        <f>(VLOOKUP(YEAR($A48),'NY East Load Projections'!$A$4:$EO$14,((MONTH($A48)-1)*12)+VLOOKUP(CJ$4,$DE$6:$DF$17,2)+1))*$E48</f>
        <v>-95.006260865800584</v>
      </c>
      <c r="CK48" s="1021">
        <f>(VLOOKUP(YEAR($A48),'NY East Load Projections'!$A$4:$EO$14,((MONTH($A48)-1)*12)+VLOOKUP(CK$4,$DE$6:$DF$17,2)+1))*$E48</f>
        <v>-95.006260865800584</v>
      </c>
      <c r="CL48" s="1021">
        <f>(VLOOKUP(YEAR($A48),'NY East Load Projections'!$A$4:$EO$14,((MONTH($A48)-1)*12)+VLOOKUP(CL$4,$DE$6:$DF$17,2)+1))*$E48</f>
        <v>-95.006260865800584</v>
      </c>
      <c r="CM48" s="1021">
        <f>(VLOOKUP(YEAR($A48),'NY East Load Projections'!$A$4:$EO$14,((MONTH($A48)-1)*12)+VLOOKUP(CM$4,$DE$6:$DF$17,2)+1))*$E48</f>
        <v>-104.30624608720944</v>
      </c>
      <c r="CN48" s="1021">
        <f>(VLOOKUP(YEAR($A48),'NY East Load Projections'!$A$4:$EO$14,((MONTH($A48)-1)*12)+VLOOKUP(CN$4,$DE$6:$DF$17,2)+1))*$E48</f>
        <v>-104.30624608720944</v>
      </c>
      <c r="CO48" s="1021">
        <f>(VLOOKUP(YEAR($A48),'NY East Load Projections'!$A$4:$EO$14,((MONTH($A48)-1)*12)+VLOOKUP(CO$4,$DE$6:$DF$17,2)+1))*$E48</f>
        <v>-104.30624608720944</v>
      </c>
      <c r="CP48" s="1021">
        <f>(VLOOKUP(YEAR($A48),'NY East Load Projections'!$A$4:$EO$14,((MONTH($A48)-1)*12)+VLOOKUP(CP$4,$DE$6:$DF$17,2)+1))*$E48</f>
        <v>-104.30624608720944</v>
      </c>
      <c r="CQ48" s="1021">
        <f>(VLOOKUP(YEAR($A48),'NY East Load Projections'!$A$4:$EO$14,((MONTH($A48)-1)*12)+VLOOKUP(CQ$4,$DE$6:$DF$17,2)+1))*$E48</f>
        <v>-107.41765160346064</v>
      </c>
      <c r="CR48" s="1021">
        <f>(VLOOKUP(YEAR($A48),'NY East Load Projections'!$A$4:$EO$14,((MONTH($A48)-1)*12)+VLOOKUP(CR$4,$DE$6:$DF$17,2)+1))*$E48</f>
        <v>-107.41765160346064</v>
      </c>
      <c r="CS48" s="1021">
        <f>(VLOOKUP(YEAR($A48),'NY East Load Projections'!$A$4:$EO$14,((MONTH($A48)-1)*12)+VLOOKUP(CS$4,$DE$6:$DF$17,2)+1))*$E48</f>
        <v>-107.41765160346064</v>
      </c>
      <c r="CT48" s="1021">
        <f>(VLOOKUP(YEAR($A48),'NY East Load Projections'!$A$4:$EO$14,((MONTH($A48)-1)*12)+VLOOKUP(CT$4,$DE$6:$DF$17,2)+1))*$E48</f>
        <v>-107.41765160346064</v>
      </c>
      <c r="CU48" s="1021">
        <f>(VLOOKUP(YEAR($A48),'NY East Load Projections'!$A$4:$EO$14,((MONTH($A48)-1)*12)+VLOOKUP(CU$4,$DE$6:$DF$17,2)+1))*$E48</f>
        <v>-101.94887631212501</v>
      </c>
      <c r="CV48" s="1021">
        <f>(VLOOKUP(YEAR($A48),'NY East Load Projections'!$A$4:$EO$14,((MONTH($A48)-1)*12)+VLOOKUP(CV$4,$DE$6:$DF$17,2)+1))*$E48</f>
        <v>-101.94887631212501</v>
      </c>
      <c r="CW48" s="1021">
        <f>(VLOOKUP(YEAR($A48),'NY East Load Projections'!$A$4:$EO$14,((MONTH($A48)-1)*12)+VLOOKUP(CW$4,$DE$6:$DF$17,2)+1))*$E48</f>
        <v>-101.94887631212501</v>
      </c>
      <c r="CX48" s="1021">
        <f>(VLOOKUP(YEAR($A48),'NY East Load Projections'!$A$4:$EO$14,((MONTH($A48)-1)*12)+VLOOKUP(CX$4,$DE$6:$DF$17,2)+1))*$E48</f>
        <v>-101.94887631212501</v>
      </c>
      <c r="CY48" s="1021">
        <f>(VLOOKUP(YEAR($A48),'NY East Load Projections'!$A$4:$EO$14,((MONTH($A48)-1)*12)+VLOOKUP(CY$4,$DE$6:$DF$17,2)+1))*$E48</f>
        <v>-96.885119179071481</v>
      </c>
      <c r="CZ48" s="1021">
        <f>(VLOOKUP(YEAR($A48),'NY East Load Projections'!$A$4:$EO$14,((MONTH($A48)-1)*12)+VLOOKUP(CZ$4,$DE$6:$DF$17,2)+1))*$E48</f>
        <v>-96.885119179071481</v>
      </c>
      <c r="DA48" s="1021">
        <f>(VLOOKUP(YEAR($A48),'NY East Load Projections'!$A$4:$EO$14,((MONTH($A48)-1)*12)+VLOOKUP(DA$4,$DE$6:$DF$17,2)+1))*$E48</f>
        <v>-96.885119179071481</v>
      </c>
      <c r="DB48" s="1021">
        <f>(VLOOKUP(YEAR($A48),'NY East Load Projections'!$A$4:$EO$14,((MONTH($A48)-1)*12)+VLOOKUP(DB$4,$DE$6:$DF$17,2)+1))*$E48</f>
        <v>-96.885119179071481</v>
      </c>
      <c r="DH48" s="1009">
        <f t="shared" si="2"/>
        <v>-80069.135470317182</v>
      </c>
      <c r="DI48">
        <f ca="1">CALC!J68</f>
        <v>0.72655927342574345</v>
      </c>
      <c r="DJ48" s="1032">
        <f t="shared" ca="1" si="1"/>
        <v>-58174.972891141071</v>
      </c>
    </row>
    <row r="49" spans="1:114" x14ac:dyDescent="0.25">
      <c r="A49" s="244">
        <v>38200</v>
      </c>
      <c r="B49" s="13">
        <v>22</v>
      </c>
      <c r="C49" s="210">
        <v>4</v>
      </c>
      <c r="D49" s="210">
        <v>5</v>
      </c>
      <c r="E49" s="210">
        <v>0</v>
      </c>
      <c r="F49" s="13">
        <v>31</v>
      </c>
      <c r="H49" s="1021">
        <f>(VLOOKUP(YEAR($A49),'NY East Load Projections'!$A$4:$EO$14,((MONTH($A49)-1)*12)+VLOOKUP(H$4,$DE$6:$DF$17,2)+1))*$B49</f>
        <v>-2187.8421264156013</v>
      </c>
      <c r="I49" s="1021">
        <f>(VLOOKUP(YEAR($A49),'NY East Load Projections'!$A$4:$EO$14,((MONTH($A49)-1)*12)+VLOOKUP(I$4,$DE$6:$DF$17,2)+1))*$B49</f>
        <v>-2187.8421264156013</v>
      </c>
      <c r="J49" s="1021">
        <f>(VLOOKUP(YEAR($A49),'NY East Load Projections'!$A$4:$EO$14,((MONTH($A49)-1)*12)+VLOOKUP(J$4,$DE$6:$DF$17,2)+1))*$B49</f>
        <v>-2187.8421264156013</v>
      </c>
      <c r="K49" s="1021">
        <f>(VLOOKUP(YEAR($A49),'NY East Load Projections'!$A$4:$EO$14,((MONTH($A49)-1)*12)+VLOOKUP(K$4,$DE$6:$DF$17,2)+1))*$B49</f>
        <v>-2187.8421264156013</v>
      </c>
      <c r="L49" s="1021">
        <f>(VLOOKUP(YEAR($A49),'NY East Load Projections'!$A$4:$EO$14,((MONTH($A49)-1)*12)+VLOOKUP(L$4,$DE$6:$DF$17,2)+1))*$B49</f>
        <v>-2389.7894903733331</v>
      </c>
      <c r="M49" s="1021">
        <f>(VLOOKUP(YEAR($A49),'NY East Load Projections'!$A$4:$EO$14,((MONTH($A49)-1)*12)+VLOOKUP(M$4,$DE$6:$DF$17,2)+1))*$B49</f>
        <v>-2389.7894903733331</v>
      </c>
      <c r="N49" s="1021">
        <f>(VLOOKUP(YEAR($A49),'NY East Load Projections'!$A$4:$EO$14,((MONTH($A49)-1)*12)+VLOOKUP(N$4,$DE$6:$DF$17,2)+1))*$B49</f>
        <v>-2389.7894903733331</v>
      </c>
      <c r="O49" s="1021">
        <f>(VLOOKUP(YEAR($A49),'NY East Load Projections'!$A$4:$EO$14,((MONTH($A49)-1)*12)+VLOOKUP(O$4,$DE$6:$DF$17,2)+1))*$B49</f>
        <v>-2389.7894903733331</v>
      </c>
      <c r="P49" s="1021">
        <f>(VLOOKUP(YEAR($A49),'NY East Load Projections'!$A$4:$EO$14,((MONTH($A49)-1)*12)+VLOOKUP(P$4,$DE$6:$DF$17,2)+1))*$B49</f>
        <v>-2713.3573302084128</v>
      </c>
      <c r="Q49" s="1021">
        <f>(VLOOKUP(YEAR($A49),'NY East Load Projections'!$A$4:$EO$14,((MONTH($A49)-1)*12)+VLOOKUP(Q$4,$DE$6:$DF$17,2)+1))*$B49</f>
        <v>-2713.3573302084128</v>
      </c>
      <c r="R49" s="1021">
        <f>(VLOOKUP(YEAR($A49),'NY East Load Projections'!$A$4:$EO$14,((MONTH($A49)-1)*12)+VLOOKUP(R$4,$DE$6:$DF$17,2)+1))*$B49</f>
        <v>-2713.3573302084128</v>
      </c>
      <c r="S49" s="1021">
        <f>(VLOOKUP(YEAR($A49),'NY East Load Projections'!$A$4:$EO$14,((MONTH($A49)-1)*12)+VLOOKUP(S$4,$DE$6:$DF$17,2)+1))*$B49</f>
        <v>-2713.3573302084128</v>
      </c>
      <c r="T49" s="1021">
        <f>(VLOOKUP(YEAR($A49),'NY East Load Projections'!$A$4:$EO$14,((MONTH($A49)-1)*12)+VLOOKUP(T$4,$DE$6:$DF$17,2)+1))*$B49</f>
        <v>-2786.3741578649069</v>
      </c>
      <c r="U49" s="1021">
        <f>(VLOOKUP(YEAR($A49),'NY East Load Projections'!$A$4:$EO$14,((MONTH($A49)-1)*12)+VLOOKUP(U$4,$DE$6:$DF$17,2)+1))*$B49</f>
        <v>-2786.3741578649069</v>
      </c>
      <c r="V49" s="1021">
        <f>(VLOOKUP(YEAR($A49),'NY East Load Projections'!$A$4:$EO$14,((MONTH($A49)-1)*12)+VLOOKUP(V$4,$DE$6:$DF$17,2)+1))*$B49</f>
        <v>-2786.3741578649069</v>
      </c>
      <c r="W49" s="1021">
        <f>(VLOOKUP(YEAR($A49),'NY East Load Projections'!$A$4:$EO$14,((MONTH($A49)-1)*12)+VLOOKUP(W$4,$DE$6:$DF$17,2)+1))*$B49</f>
        <v>-2786.3741578649069</v>
      </c>
      <c r="X49" s="1021">
        <f>(VLOOKUP(YEAR($A49),'NY East Load Projections'!$A$4:$EO$14,((MONTH($A49)-1)*12)+VLOOKUP(X$4,$DE$6:$DF$17,2)+1))*$B49</f>
        <v>-2624.7251533469885</v>
      </c>
      <c r="Y49" s="1021">
        <f>(VLOOKUP(YEAR($A49),'NY East Load Projections'!$A$4:$EO$14,((MONTH($A49)-1)*12)+VLOOKUP(Y$4,$DE$6:$DF$17,2)+1))*$B49</f>
        <v>-2624.7251533469885</v>
      </c>
      <c r="Z49" s="1021">
        <f>(VLOOKUP(YEAR($A49),'NY East Load Projections'!$A$4:$EO$14,((MONTH($A49)-1)*12)+VLOOKUP(Z$4,$DE$6:$DF$17,2)+1))*$B49</f>
        <v>-2624.7251533469885</v>
      </c>
      <c r="AA49" s="1021">
        <f>(VLOOKUP(YEAR($A49),'NY East Load Projections'!$A$4:$EO$14,((MONTH($A49)-1)*12)+VLOOKUP(AA$4,$DE$6:$DF$17,2)+1))*$B49</f>
        <v>-2624.7251533469885</v>
      </c>
      <c r="AB49" s="1021">
        <f>(VLOOKUP(YEAR($A49),'NY East Load Projections'!$A$4:$EO$14,((MONTH($A49)-1)*12)+VLOOKUP(AB$4,$DE$6:$DF$17,2)+1))*$B49</f>
        <v>-2309.2342328787072</v>
      </c>
      <c r="AC49" s="1021">
        <f>(VLOOKUP(YEAR($A49),'NY East Load Projections'!$A$4:$EO$14,((MONTH($A49)-1)*12)+VLOOKUP(AC$4,$DE$6:$DF$17,2)+1))*$B49</f>
        <v>-2309.2342328787072</v>
      </c>
      <c r="AD49" s="1021">
        <f>(VLOOKUP(YEAR($A49),'NY East Load Projections'!$A$4:$EO$14,((MONTH($A49)-1)*12)+VLOOKUP(AD$4,$DE$6:$DF$17,2)+1))*$B49</f>
        <v>-2309.2342328787072</v>
      </c>
      <c r="AE49" s="1021">
        <f>(VLOOKUP(YEAR($A49),'NY East Load Projections'!$A$4:$EO$14,((MONTH($A49)-1)*12)+VLOOKUP(AE$4,$DE$6:$DF$17,2)+1))*$B49</f>
        <v>-2309.2342328787072</v>
      </c>
      <c r="AF49" s="1021"/>
      <c r="AG49" s="1021">
        <f>(VLOOKUP(YEAR($A49),'NY East Load Projections'!$A$4:$EO$14,((MONTH($A49)-1)*12)+VLOOKUP(AG$4,$DE$6:$DF$17,2)+1))*$C49</f>
        <v>-391.32951610739417</v>
      </c>
      <c r="AH49" s="1021">
        <f>(VLOOKUP(YEAR($A49),'NY East Load Projections'!$A$4:$EO$14,((MONTH($A49)-1)*12)+VLOOKUP(AH$4,$DE$6:$DF$17,2)+1))*$C49</f>
        <v>-391.32951610739417</v>
      </c>
      <c r="AI49" s="1021">
        <f>(VLOOKUP(YEAR($A49),'NY East Load Projections'!$A$4:$EO$14,((MONTH($A49)-1)*12)+VLOOKUP(AI$4,$DE$6:$DF$17,2)+1))*$C49</f>
        <v>-391.32951610739417</v>
      </c>
      <c r="AJ49" s="1021">
        <f>(VLOOKUP(YEAR($A49),'NY East Load Projections'!$A$4:$EO$14,((MONTH($A49)-1)*12)+VLOOKUP(AJ$4,$DE$6:$DF$17,2)+1))*$C49</f>
        <v>-391.32951610739417</v>
      </c>
      <c r="AK49" s="1021">
        <f>(VLOOKUP(YEAR($A49),'NY East Load Projections'!$A$4:$EO$14,((MONTH($A49)-1)*12)+VLOOKUP(AK$4,$DE$6:$DF$17,2)+1))*$C49</f>
        <v>-397.53966637395507</v>
      </c>
      <c r="AL49" s="1021">
        <f>(VLOOKUP(YEAR($A49),'NY East Load Projections'!$A$4:$EO$14,((MONTH($A49)-1)*12)+VLOOKUP(AL$4,$DE$6:$DF$17,2)+1))*$C49</f>
        <v>-397.53966637395507</v>
      </c>
      <c r="AM49" s="1021">
        <f>(VLOOKUP(YEAR($A49),'NY East Load Projections'!$A$4:$EO$14,((MONTH($A49)-1)*12)+VLOOKUP(AM$4,$DE$6:$DF$17,2)+1))*$C49</f>
        <v>-397.53966637395507</v>
      </c>
      <c r="AN49" s="1021">
        <f>(VLOOKUP(YEAR($A49),'NY East Load Projections'!$A$4:$EO$14,((MONTH($A49)-1)*12)+VLOOKUP(AN$4,$DE$6:$DF$17,2)+1))*$C49</f>
        <v>-397.53966637395507</v>
      </c>
      <c r="AO49" s="1021">
        <f>(VLOOKUP(YEAR($A49),'NY East Load Projections'!$A$4:$EO$14,((MONTH($A49)-1)*12)+VLOOKUP(AO$4,$DE$6:$DF$17,2)+1))*$C49</f>
        <v>-439.97598926497756</v>
      </c>
      <c r="AP49" s="1021">
        <f>(VLOOKUP(YEAR($A49),'NY East Load Projections'!$A$4:$EO$14,((MONTH($A49)-1)*12)+VLOOKUP(AP$4,$DE$6:$DF$17,2)+1))*$C49</f>
        <v>-439.97598926497756</v>
      </c>
      <c r="AQ49" s="1021">
        <f>(VLOOKUP(YEAR($A49),'NY East Load Projections'!$A$4:$EO$14,((MONTH($A49)-1)*12)+VLOOKUP(AQ$4,$DE$6:$DF$17,2)+1))*$C49</f>
        <v>-439.97598926497756</v>
      </c>
      <c r="AR49" s="1021">
        <f>(VLOOKUP(YEAR($A49),'NY East Load Projections'!$A$4:$EO$14,((MONTH($A49)-1)*12)+VLOOKUP(AR$4,$DE$6:$DF$17,2)+1))*$C49</f>
        <v>-439.97598926497756</v>
      </c>
      <c r="AS49" s="1021">
        <f>(VLOOKUP(YEAR($A49),'NY East Load Projections'!$A$4:$EO$14,((MONTH($A49)-1)*12)+VLOOKUP(AS$4,$DE$6:$DF$17,2)+1))*$C49</f>
        <v>-454.33627418593198</v>
      </c>
      <c r="AT49" s="1021">
        <f>(VLOOKUP(YEAR($A49),'NY East Load Projections'!$A$4:$EO$14,((MONTH($A49)-1)*12)+VLOOKUP(AT$4,$DE$6:$DF$17,2)+1))*$C49</f>
        <v>-454.33627418593198</v>
      </c>
      <c r="AU49" s="1021">
        <f>(VLOOKUP(YEAR($A49),'NY East Load Projections'!$A$4:$EO$14,((MONTH($A49)-1)*12)+VLOOKUP(AU$4,$DE$6:$DF$17,2)+1))*$C49</f>
        <v>-454.33627418593198</v>
      </c>
      <c r="AV49" s="1021">
        <f>(VLOOKUP(YEAR($A49),'NY East Load Projections'!$A$4:$EO$14,((MONTH($A49)-1)*12)+VLOOKUP(AV$4,$DE$6:$DF$17,2)+1))*$C49</f>
        <v>-454.33627418593198</v>
      </c>
      <c r="AW49" s="1021">
        <f>(VLOOKUP(YEAR($A49),'NY East Load Projections'!$A$4:$EO$14,((MONTH($A49)-1)*12)+VLOOKUP(AW$4,$DE$6:$DF$17,2)+1))*$C49</f>
        <v>-430.71131389870095</v>
      </c>
      <c r="AX49" s="1021">
        <f>(VLOOKUP(YEAR($A49),'NY East Load Projections'!$A$4:$EO$14,((MONTH($A49)-1)*12)+VLOOKUP(AX$4,$DE$6:$DF$17,2)+1))*$C49</f>
        <v>-430.71131389870095</v>
      </c>
      <c r="AY49" s="1021">
        <f>(VLOOKUP(YEAR($A49),'NY East Load Projections'!$A$4:$EO$14,((MONTH($A49)-1)*12)+VLOOKUP(AY$4,$DE$6:$DF$17,2)+1))*$C49</f>
        <v>-430.71131389870095</v>
      </c>
      <c r="AZ49" s="1021">
        <f>(VLOOKUP(YEAR($A49),'NY East Load Projections'!$A$4:$EO$14,((MONTH($A49)-1)*12)+VLOOKUP(AZ$4,$DE$6:$DF$17,2)+1))*$C49</f>
        <v>-430.71131389870095</v>
      </c>
      <c r="BA49" s="1021">
        <f>(VLOOKUP(YEAR($A49),'NY East Load Projections'!$A$4:$EO$14,((MONTH($A49)-1)*12)+VLOOKUP(BA$4,$DE$6:$DF$17,2)+1))*$C49</f>
        <v>-408.26207195536955</v>
      </c>
      <c r="BB49" s="1021">
        <f>(VLOOKUP(YEAR($A49),'NY East Load Projections'!$A$4:$EO$14,((MONTH($A49)-1)*12)+VLOOKUP(BB$4,$DE$6:$DF$17,2)+1))*$C49</f>
        <v>-408.26207195536955</v>
      </c>
      <c r="BC49" s="1021">
        <f>(VLOOKUP(YEAR($A49),'NY East Load Projections'!$A$4:$EO$14,((MONTH($A49)-1)*12)+VLOOKUP(BC$4,$DE$6:$DF$17,2)+1))*$C49</f>
        <v>-408.26207195536955</v>
      </c>
      <c r="BD49" s="1021">
        <f>(VLOOKUP(YEAR($A49),'NY East Load Projections'!$A$4:$EO$14,((MONTH($A49)-1)*12)+VLOOKUP(BD$4,$DE$6:$DF$17,2)+1))*$C49</f>
        <v>-408.26207195536955</v>
      </c>
      <c r="BE49" s="1021"/>
      <c r="BF49" s="1021">
        <f>(VLOOKUP(YEAR($A49),'NY East Load Projections'!$A$4:$EO$14,((MONTH($A49)-1)*12)+VLOOKUP(BF$4,$DE$6:$DF$17,2)+1))*$D49</f>
        <v>-489.16189513424274</v>
      </c>
      <c r="BG49" s="1021">
        <f>(VLOOKUP(YEAR($A49),'NY East Load Projections'!$A$4:$EO$14,((MONTH($A49)-1)*12)+VLOOKUP(BG$4,$DE$6:$DF$17,2)+1))*$D49</f>
        <v>-489.16189513424274</v>
      </c>
      <c r="BH49" s="1021">
        <f>(VLOOKUP(YEAR($A49),'NY East Load Projections'!$A$4:$EO$14,((MONTH($A49)-1)*12)+VLOOKUP(BH$4,$DE$6:$DF$17,2)+1))*$D49</f>
        <v>-489.16189513424274</v>
      </c>
      <c r="BI49" s="1021">
        <f>(VLOOKUP(YEAR($A49),'NY East Load Projections'!$A$4:$EO$14,((MONTH($A49)-1)*12)+VLOOKUP(BI$4,$DE$6:$DF$17,2)+1))*$D49</f>
        <v>-489.16189513424274</v>
      </c>
      <c r="BJ49" s="1021">
        <f>(VLOOKUP(YEAR($A49),'NY East Load Projections'!$A$4:$EO$14,((MONTH($A49)-1)*12)+VLOOKUP(BJ$4,$DE$6:$DF$17,2)+1))*$D49</f>
        <v>-496.92458296744383</v>
      </c>
      <c r="BK49" s="1021">
        <f>(VLOOKUP(YEAR($A49),'NY East Load Projections'!$A$4:$EO$14,((MONTH($A49)-1)*12)+VLOOKUP(BK$4,$DE$6:$DF$17,2)+1))*$D49</f>
        <v>-496.92458296744383</v>
      </c>
      <c r="BL49" s="1021">
        <f>(VLOOKUP(YEAR($A49),'NY East Load Projections'!$A$4:$EO$14,((MONTH($A49)-1)*12)+VLOOKUP(BL$4,$DE$6:$DF$17,2)+1))*$D49</f>
        <v>-496.92458296744383</v>
      </c>
      <c r="BM49" s="1021">
        <f>(VLOOKUP(YEAR($A49),'NY East Load Projections'!$A$4:$EO$14,((MONTH($A49)-1)*12)+VLOOKUP(BM$4,$DE$6:$DF$17,2)+1))*$D49</f>
        <v>-496.92458296744383</v>
      </c>
      <c r="BN49" s="1021">
        <f>(VLOOKUP(YEAR($A49),'NY East Load Projections'!$A$4:$EO$14,((MONTH($A49)-1)*12)+VLOOKUP(BN$4,$DE$6:$DF$17,2)+1))*$D49</f>
        <v>-549.96998658122197</v>
      </c>
      <c r="BO49" s="1021">
        <f>(VLOOKUP(YEAR($A49),'NY East Load Projections'!$A$4:$EO$14,((MONTH($A49)-1)*12)+VLOOKUP(BO$4,$DE$6:$DF$17,2)+1))*$D49</f>
        <v>-549.96998658122197</v>
      </c>
      <c r="BP49" s="1021">
        <f>(VLOOKUP(YEAR($A49),'NY East Load Projections'!$A$4:$EO$14,((MONTH($A49)-1)*12)+VLOOKUP(BP$4,$DE$6:$DF$17,2)+1))*$D49</f>
        <v>-549.96998658122197</v>
      </c>
      <c r="BQ49" s="1021">
        <f>(VLOOKUP(YEAR($A49),'NY East Load Projections'!$A$4:$EO$14,((MONTH($A49)-1)*12)+VLOOKUP(BQ$4,$DE$6:$DF$17,2)+1))*$D49</f>
        <v>-549.96998658122197</v>
      </c>
      <c r="BR49" s="1021">
        <f>(VLOOKUP(YEAR($A49),'NY East Load Projections'!$A$4:$EO$14,((MONTH($A49)-1)*12)+VLOOKUP(BR$4,$DE$6:$DF$17,2)+1))*$D49</f>
        <v>-567.92034273241495</v>
      </c>
      <c r="BS49" s="1021">
        <f>(VLOOKUP(YEAR($A49),'NY East Load Projections'!$A$4:$EO$14,((MONTH($A49)-1)*12)+VLOOKUP(BS$4,$DE$6:$DF$17,2)+1))*$D49</f>
        <v>-567.92034273241495</v>
      </c>
      <c r="BT49" s="1021">
        <f>(VLOOKUP(YEAR($A49),'NY East Load Projections'!$A$4:$EO$14,((MONTH($A49)-1)*12)+VLOOKUP(BT$4,$DE$6:$DF$17,2)+1))*$D49</f>
        <v>-567.92034273241495</v>
      </c>
      <c r="BU49" s="1021">
        <f>(VLOOKUP(YEAR($A49),'NY East Load Projections'!$A$4:$EO$14,((MONTH($A49)-1)*12)+VLOOKUP(BU$4,$DE$6:$DF$17,2)+1))*$D49</f>
        <v>-567.92034273241495</v>
      </c>
      <c r="BV49" s="1021">
        <f>(VLOOKUP(YEAR($A49),'NY East Load Projections'!$A$4:$EO$14,((MONTH($A49)-1)*12)+VLOOKUP(BV$4,$DE$6:$DF$17,2)+1))*$D49</f>
        <v>-538.38914237337622</v>
      </c>
      <c r="BW49" s="1021">
        <f>(VLOOKUP(YEAR($A49),'NY East Load Projections'!$A$4:$EO$14,((MONTH($A49)-1)*12)+VLOOKUP(BW$4,$DE$6:$DF$17,2)+1))*$D49</f>
        <v>-538.38914237337622</v>
      </c>
      <c r="BX49" s="1021">
        <f>(VLOOKUP(YEAR($A49),'NY East Load Projections'!$A$4:$EO$14,((MONTH($A49)-1)*12)+VLOOKUP(BX$4,$DE$6:$DF$17,2)+1))*$D49</f>
        <v>-538.38914237337622</v>
      </c>
      <c r="BY49" s="1021">
        <f>(VLOOKUP(YEAR($A49),'NY East Load Projections'!$A$4:$EO$14,((MONTH($A49)-1)*12)+VLOOKUP(BY$4,$DE$6:$DF$17,2)+1))*$D49</f>
        <v>-538.38914237337622</v>
      </c>
      <c r="BZ49" s="1021">
        <f>(VLOOKUP(YEAR($A49),'NY East Load Projections'!$A$4:$EO$14,((MONTH($A49)-1)*12)+VLOOKUP(BZ$4,$DE$6:$DF$17,2)+1))*$D49</f>
        <v>-510.32758994421192</v>
      </c>
      <c r="CA49" s="1021">
        <f>(VLOOKUP(YEAR($A49),'NY East Load Projections'!$A$4:$EO$14,((MONTH($A49)-1)*12)+VLOOKUP(CA$4,$DE$6:$DF$17,2)+1))*$D49</f>
        <v>-510.32758994421192</v>
      </c>
      <c r="CB49" s="1021">
        <f>(VLOOKUP(YEAR($A49),'NY East Load Projections'!$A$4:$EO$14,((MONTH($A49)-1)*12)+VLOOKUP(CB$4,$DE$6:$DF$17,2)+1))*$D49</f>
        <v>-510.32758994421192</v>
      </c>
      <c r="CC49" s="1021">
        <f>(VLOOKUP(YEAR($A49),'NY East Load Projections'!$A$4:$EO$14,((MONTH($A49)-1)*12)+VLOOKUP(CC$4,$DE$6:$DF$17,2)+1))*$D49</f>
        <v>-510.32758994421192</v>
      </c>
      <c r="CE49" s="1021">
        <f>(VLOOKUP(YEAR($A49),'NY East Load Projections'!$A$4:$EO$14,((MONTH($A49)-1)*12)+VLOOKUP(CE$4,$DE$6:$DF$17,2)+1))*$E49</f>
        <v>0</v>
      </c>
      <c r="CF49" s="1021">
        <f>(VLOOKUP(YEAR($A49),'NY East Load Projections'!$A$4:$EO$14,((MONTH($A49)-1)*12)+VLOOKUP(CF$4,$DE$6:$DF$17,2)+1))*$E49</f>
        <v>0</v>
      </c>
      <c r="CG49" s="1021">
        <f>(VLOOKUP(YEAR($A49),'NY East Load Projections'!$A$4:$EO$14,((MONTH($A49)-1)*12)+VLOOKUP(CG$4,$DE$6:$DF$17,2)+1))*$E49</f>
        <v>0</v>
      </c>
      <c r="CH49" s="1021">
        <f>(VLOOKUP(YEAR($A49),'NY East Load Projections'!$A$4:$EO$14,((MONTH($A49)-1)*12)+VLOOKUP(CH$4,$DE$6:$DF$17,2)+1))*$E49</f>
        <v>0</v>
      </c>
      <c r="CI49" s="1021">
        <f>(VLOOKUP(YEAR($A49),'NY East Load Projections'!$A$4:$EO$14,((MONTH($A49)-1)*12)+VLOOKUP(CI$4,$DE$6:$DF$17,2)+1))*$E49</f>
        <v>0</v>
      </c>
      <c r="CJ49" s="1021">
        <f>(VLOOKUP(YEAR($A49),'NY East Load Projections'!$A$4:$EO$14,((MONTH($A49)-1)*12)+VLOOKUP(CJ$4,$DE$6:$DF$17,2)+1))*$E49</f>
        <v>0</v>
      </c>
      <c r="CK49" s="1021">
        <f>(VLOOKUP(YEAR($A49),'NY East Load Projections'!$A$4:$EO$14,((MONTH($A49)-1)*12)+VLOOKUP(CK$4,$DE$6:$DF$17,2)+1))*$E49</f>
        <v>0</v>
      </c>
      <c r="CL49" s="1021">
        <f>(VLOOKUP(YEAR($A49),'NY East Load Projections'!$A$4:$EO$14,((MONTH($A49)-1)*12)+VLOOKUP(CL$4,$DE$6:$DF$17,2)+1))*$E49</f>
        <v>0</v>
      </c>
      <c r="CM49" s="1021">
        <f>(VLOOKUP(YEAR($A49),'NY East Load Projections'!$A$4:$EO$14,((MONTH($A49)-1)*12)+VLOOKUP(CM$4,$DE$6:$DF$17,2)+1))*$E49</f>
        <v>0</v>
      </c>
      <c r="CN49" s="1021">
        <f>(VLOOKUP(YEAR($A49),'NY East Load Projections'!$A$4:$EO$14,((MONTH($A49)-1)*12)+VLOOKUP(CN$4,$DE$6:$DF$17,2)+1))*$E49</f>
        <v>0</v>
      </c>
      <c r="CO49" s="1021">
        <f>(VLOOKUP(YEAR($A49),'NY East Load Projections'!$A$4:$EO$14,((MONTH($A49)-1)*12)+VLOOKUP(CO$4,$DE$6:$DF$17,2)+1))*$E49</f>
        <v>0</v>
      </c>
      <c r="CP49" s="1021">
        <f>(VLOOKUP(YEAR($A49),'NY East Load Projections'!$A$4:$EO$14,((MONTH($A49)-1)*12)+VLOOKUP(CP$4,$DE$6:$DF$17,2)+1))*$E49</f>
        <v>0</v>
      </c>
      <c r="CQ49" s="1021">
        <f>(VLOOKUP(YEAR($A49),'NY East Load Projections'!$A$4:$EO$14,((MONTH($A49)-1)*12)+VLOOKUP(CQ$4,$DE$6:$DF$17,2)+1))*$E49</f>
        <v>0</v>
      </c>
      <c r="CR49" s="1021">
        <f>(VLOOKUP(YEAR($A49),'NY East Load Projections'!$A$4:$EO$14,((MONTH($A49)-1)*12)+VLOOKUP(CR$4,$DE$6:$DF$17,2)+1))*$E49</f>
        <v>0</v>
      </c>
      <c r="CS49" s="1021">
        <f>(VLOOKUP(YEAR($A49),'NY East Load Projections'!$A$4:$EO$14,((MONTH($A49)-1)*12)+VLOOKUP(CS$4,$DE$6:$DF$17,2)+1))*$E49</f>
        <v>0</v>
      </c>
      <c r="CT49" s="1021">
        <f>(VLOOKUP(YEAR($A49),'NY East Load Projections'!$A$4:$EO$14,((MONTH($A49)-1)*12)+VLOOKUP(CT$4,$DE$6:$DF$17,2)+1))*$E49</f>
        <v>0</v>
      </c>
      <c r="CU49" s="1021">
        <f>(VLOOKUP(YEAR($A49),'NY East Load Projections'!$A$4:$EO$14,((MONTH($A49)-1)*12)+VLOOKUP(CU$4,$DE$6:$DF$17,2)+1))*$E49</f>
        <v>0</v>
      </c>
      <c r="CV49" s="1021">
        <f>(VLOOKUP(YEAR($A49),'NY East Load Projections'!$A$4:$EO$14,((MONTH($A49)-1)*12)+VLOOKUP(CV$4,$DE$6:$DF$17,2)+1))*$E49</f>
        <v>0</v>
      </c>
      <c r="CW49" s="1021">
        <f>(VLOOKUP(YEAR($A49),'NY East Load Projections'!$A$4:$EO$14,((MONTH($A49)-1)*12)+VLOOKUP(CW$4,$DE$6:$DF$17,2)+1))*$E49</f>
        <v>0</v>
      </c>
      <c r="CX49" s="1021">
        <f>(VLOOKUP(YEAR($A49),'NY East Load Projections'!$A$4:$EO$14,((MONTH($A49)-1)*12)+VLOOKUP(CX$4,$DE$6:$DF$17,2)+1))*$E49</f>
        <v>0</v>
      </c>
      <c r="CY49" s="1021">
        <f>(VLOOKUP(YEAR($A49),'NY East Load Projections'!$A$4:$EO$14,((MONTH($A49)-1)*12)+VLOOKUP(CY$4,$DE$6:$DF$17,2)+1))*$E49</f>
        <v>0</v>
      </c>
      <c r="CZ49" s="1021">
        <f>(VLOOKUP(YEAR($A49),'NY East Load Projections'!$A$4:$EO$14,((MONTH($A49)-1)*12)+VLOOKUP(CZ$4,$DE$6:$DF$17,2)+1))*$E49</f>
        <v>0</v>
      </c>
      <c r="DA49" s="1021">
        <f>(VLOOKUP(YEAR($A49),'NY East Load Projections'!$A$4:$EO$14,((MONTH($A49)-1)*12)+VLOOKUP(DA$4,$DE$6:$DF$17,2)+1))*$E49</f>
        <v>0</v>
      </c>
      <c r="DB49" s="1021">
        <f>(VLOOKUP(YEAR($A49),'NY East Load Projections'!$A$4:$EO$14,((MONTH($A49)-1)*12)+VLOOKUP(DB$4,$DE$6:$DF$17,2)+1))*$E49</f>
        <v>0</v>
      </c>
      <c r="DH49" s="1009">
        <f t="shared" si="2"/>
        <v>-82744.683450428696</v>
      </c>
      <c r="DI49">
        <f ca="1">CALC!J69</f>
        <v>0.72204605721980342</v>
      </c>
      <c r="DJ49" s="1032">
        <f t="shared" ca="1" si="1"/>
        <v>-59745.472441282756</v>
      </c>
    </row>
    <row r="50" spans="1:114" x14ac:dyDescent="0.25">
      <c r="A50" s="244">
        <v>38231</v>
      </c>
      <c r="B50" s="13">
        <v>21</v>
      </c>
      <c r="C50" s="210">
        <v>4</v>
      </c>
      <c r="D50" s="210">
        <v>4</v>
      </c>
      <c r="E50" s="210">
        <v>1</v>
      </c>
      <c r="F50" s="13">
        <v>30</v>
      </c>
      <c r="H50" s="1021">
        <f>(VLOOKUP(YEAR($A50),'NY East Load Projections'!$A$4:$EO$14,((MONTH($A50)-1)*12)+VLOOKUP(H$4,$DE$6:$DF$17,2)+1))*$B50</f>
        <v>-2102.3066852972188</v>
      </c>
      <c r="I50" s="1021">
        <f>(VLOOKUP(YEAR($A50),'NY East Load Projections'!$A$4:$EO$14,((MONTH($A50)-1)*12)+VLOOKUP(I$4,$DE$6:$DF$17,2)+1))*$B50</f>
        <v>-2102.3066852972188</v>
      </c>
      <c r="J50" s="1021">
        <f>(VLOOKUP(YEAR($A50),'NY East Load Projections'!$A$4:$EO$14,((MONTH($A50)-1)*12)+VLOOKUP(J$4,$DE$6:$DF$17,2)+1))*$B50</f>
        <v>-2102.3066852972188</v>
      </c>
      <c r="K50" s="1021">
        <f>(VLOOKUP(YEAR($A50),'NY East Load Projections'!$A$4:$EO$14,((MONTH($A50)-1)*12)+VLOOKUP(K$4,$DE$6:$DF$17,2)+1))*$B50</f>
        <v>-2102.3066852972188</v>
      </c>
      <c r="L50" s="1021">
        <f>(VLOOKUP(YEAR($A50),'NY East Load Projections'!$A$4:$EO$14,((MONTH($A50)-1)*12)+VLOOKUP(L$4,$DE$6:$DF$17,2)+1))*$B50</f>
        <v>-2292.0685690657574</v>
      </c>
      <c r="M50" s="1021">
        <f>(VLOOKUP(YEAR($A50),'NY East Load Projections'!$A$4:$EO$14,((MONTH($A50)-1)*12)+VLOOKUP(M$4,$DE$6:$DF$17,2)+1))*$B50</f>
        <v>-2292.0685690657574</v>
      </c>
      <c r="N50" s="1021">
        <f>(VLOOKUP(YEAR($A50),'NY East Load Projections'!$A$4:$EO$14,((MONTH($A50)-1)*12)+VLOOKUP(N$4,$DE$6:$DF$17,2)+1))*$B50</f>
        <v>-2292.0685690657574</v>
      </c>
      <c r="O50" s="1021">
        <f>(VLOOKUP(YEAR($A50),'NY East Load Projections'!$A$4:$EO$14,((MONTH($A50)-1)*12)+VLOOKUP(O$4,$DE$6:$DF$17,2)+1))*$B50</f>
        <v>-2292.0685690657574</v>
      </c>
      <c r="P50" s="1021">
        <f>(VLOOKUP(YEAR($A50),'NY East Load Projections'!$A$4:$EO$14,((MONTH($A50)-1)*12)+VLOOKUP(P$4,$DE$6:$DF$17,2)+1))*$B50</f>
        <v>-2570.2657362866444</v>
      </c>
      <c r="Q50" s="1021">
        <f>(VLOOKUP(YEAR($A50),'NY East Load Projections'!$A$4:$EO$14,((MONTH($A50)-1)*12)+VLOOKUP(Q$4,$DE$6:$DF$17,2)+1))*$B50</f>
        <v>-2570.2657362866444</v>
      </c>
      <c r="R50" s="1021">
        <f>(VLOOKUP(YEAR($A50),'NY East Load Projections'!$A$4:$EO$14,((MONTH($A50)-1)*12)+VLOOKUP(R$4,$DE$6:$DF$17,2)+1))*$B50</f>
        <v>-2570.2657362866444</v>
      </c>
      <c r="S50" s="1021">
        <f>(VLOOKUP(YEAR($A50),'NY East Load Projections'!$A$4:$EO$14,((MONTH($A50)-1)*12)+VLOOKUP(S$4,$DE$6:$DF$17,2)+1))*$B50</f>
        <v>-2570.2657362866444</v>
      </c>
      <c r="T50" s="1021">
        <f>(VLOOKUP(YEAR($A50),'NY East Load Projections'!$A$4:$EO$14,((MONTH($A50)-1)*12)+VLOOKUP(T$4,$DE$6:$DF$17,2)+1))*$B50</f>
        <v>-2645.8526419104032</v>
      </c>
      <c r="U50" s="1021">
        <f>(VLOOKUP(YEAR($A50),'NY East Load Projections'!$A$4:$EO$14,((MONTH($A50)-1)*12)+VLOOKUP(U$4,$DE$6:$DF$17,2)+1))*$B50</f>
        <v>-2645.8526419104032</v>
      </c>
      <c r="V50" s="1021">
        <f>(VLOOKUP(YEAR($A50),'NY East Load Projections'!$A$4:$EO$14,((MONTH($A50)-1)*12)+VLOOKUP(V$4,$DE$6:$DF$17,2)+1))*$B50</f>
        <v>-2645.8526419104032</v>
      </c>
      <c r="W50" s="1021">
        <f>(VLOOKUP(YEAR($A50),'NY East Load Projections'!$A$4:$EO$14,((MONTH($A50)-1)*12)+VLOOKUP(W$4,$DE$6:$DF$17,2)+1))*$B50</f>
        <v>-2645.8526419104032</v>
      </c>
      <c r="X50" s="1021">
        <f>(VLOOKUP(YEAR($A50),'NY East Load Projections'!$A$4:$EO$14,((MONTH($A50)-1)*12)+VLOOKUP(X$4,$DE$6:$DF$17,2)+1))*$B50</f>
        <v>-2489.0306220281782</v>
      </c>
      <c r="Y50" s="1021">
        <f>(VLOOKUP(YEAR($A50),'NY East Load Projections'!$A$4:$EO$14,((MONTH($A50)-1)*12)+VLOOKUP(Y$4,$DE$6:$DF$17,2)+1))*$B50</f>
        <v>-2489.0306220281782</v>
      </c>
      <c r="Z50" s="1021">
        <f>(VLOOKUP(YEAR($A50),'NY East Load Projections'!$A$4:$EO$14,((MONTH($A50)-1)*12)+VLOOKUP(Z$4,$DE$6:$DF$17,2)+1))*$B50</f>
        <v>-2489.0306220281782</v>
      </c>
      <c r="AA50" s="1021">
        <f>(VLOOKUP(YEAR($A50),'NY East Load Projections'!$A$4:$EO$14,((MONTH($A50)-1)*12)+VLOOKUP(AA$4,$DE$6:$DF$17,2)+1))*$B50</f>
        <v>-2489.0306220281782</v>
      </c>
      <c r="AB50" s="1021">
        <f>(VLOOKUP(YEAR($A50),'NY East Load Projections'!$A$4:$EO$14,((MONTH($A50)-1)*12)+VLOOKUP(AB$4,$DE$6:$DF$17,2)+1))*$B50</f>
        <v>-2194.2210315962425</v>
      </c>
      <c r="AC50" s="1021">
        <f>(VLOOKUP(YEAR($A50),'NY East Load Projections'!$A$4:$EO$14,((MONTH($A50)-1)*12)+VLOOKUP(AC$4,$DE$6:$DF$17,2)+1))*$B50</f>
        <v>-2194.2210315962425</v>
      </c>
      <c r="AD50" s="1021">
        <f>(VLOOKUP(YEAR($A50),'NY East Load Projections'!$A$4:$EO$14,((MONTH($A50)-1)*12)+VLOOKUP(AD$4,$DE$6:$DF$17,2)+1))*$B50</f>
        <v>-2194.2210315962425</v>
      </c>
      <c r="AE50" s="1021">
        <f>(VLOOKUP(YEAR($A50),'NY East Load Projections'!$A$4:$EO$14,((MONTH($A50)-1)*12)+VLOOKUP(AE$4,$DE$6:$DF$17,2)+1))*$B50</f>
        <v>-2194.2210315962425</v>
      </c>
      <c r="AF50" s="1021"/>
      <c r="AG50" s="1021">
        <f>(VLOOKUP(YEAR($A50),'NY East Load Projections'!$A$4:$EO$14,((MONTH($A50)-1)*12)+VLOOKUP(AG$4,$DE$6:$DF$17,2)+1))*$C50</f>
        <v>-418.75798646918958</v>
      </c>
      <c r="AH50" s="1021">
        <f>(VLOOKUP(YEAR($A50),'NY East Load Projections'!$A$4:$EO$14,((MONTH($A50)-1)*12)+VLOOKUP(AH$4,$DE$6:$DF$17,2)+1))*$C50</f>
        <v>-418.75798646918958</v>
      </c>
      <c r="AI50" s="1021">
        <f>(VLOOKUP(YEAR($A50),'NY East Load Projections'!$A$4:$EO$14,((MONTH($A50)-1)*12)+VLOOKUP(AI$4,$DE$6:$DF$17,2)+1))*$C50</f>
        <v>-418.75798646918958</v>
      </c>
      <c r="AJ50" s="1021">
        <f>(VLOOKUP(YEAR($A50),'NY East Load Projections'!$A$4:$EO$14,((MONTH($A50)-1)*12)+VLOOKUP(AJ$4,$DE$6:$DF$17,2)+1))*$C50</f>
        <v>-418.75798646918958</v>
      </c>
      <c r="AK50" s="1021">
        <f>(VLOOKUP(YEAR($A50),'NY East Load Projections'!$A$4:$EO$14,((MONTH($A50)-1)*12)+VLOOKUP(AK$4,$DE$6:$DF$17,2)+1))*$C50</f>
        <v>-421.80895519946199</v>
      </c>
      <c r="AL50" s="1021">
        <f>(VLOOKUP(YEAR($A50),'NY East Load Projections'!$A$4:$EO$14,((MONTH($A50)-1)*12)+VLOOKUP(AL$4,$DE$6:$DF$17,2)+1))*$C50</f>
        <v>-421.80895519946199</v>
      </c>
      <c r="AM50" s="1021">
        <f>(VLOOKUP(YEAR($A50),'NY East Load Projections'!$A$4:$EO$14,((MONTH($A50)-1)*12)+VLOOKUP(AM$4,$DE$6:$DF$17,2)+1))*$C50</f>
        <v>-421.80895519946199</v>
      </c>
      <c r="AN50" s="1021">
        <f>(VLOOKUP(YEAR($A50),'NY East Load Projections'!$A$4:$EO$14,((MONTH($A50)-1)*12)+VLOOKUP(AN$4,$DE$6:$DF$17,2)+1))*$C50</f>
        <v>-421.80895519946199</v>
      </c>
      <c r="AO50" s="1021">
        <f>(VLOOKUP(YEAR($A50),'NY East Load Projections'!$A$4:$EO$14,((MONTH($A50)-1)*12)+VLOOKUP(AO$4,$DE$6:$DF$17,2)+1))*$C50</f>
        <v>-475.96009287497975</v>
      </c>
      <c r="AP50" s="1021">
        <f>(VLOOKUP(YEAR($A50),'NY East Load Projections'!$A$4:$EO$14,((MONTH($A50)-1)*12)+VLOOKUP(AP$4,$DE$6:$DF$17,2)+1))*$C50</f>
        <v>-475.96009287497975</v>
      </c>
      <c r="AQ50" s="1021">
        <f>(VLOOKUP(YEAR($A50),'NY East Load Projections'!$A$4:$EO$14,((MONTH($A50)-1)*12)+VLOOKUP(AQ$4,$DE$6:$DF$17,2)+1))*$C50</f>
        <v>-475.96009287497975</v>
      </c>
      <c r="AR50" s="1021">
        <f>(VLOOKUP(YEAR($A50),'NY East Load Projections'!$A$4:$EO$14,((MONTH($A50)-1)*12)+VLOOKUP(AR$4,$DE$6:$DF$17,2)+1))*$C50</f>
        <v>-475.96009287497975</v>
      </c>
      <c r="AS50" s="1021">
        <f>(VLOOKUP(YEAR($A50),'NY East Load Projections'!$A$4:$EO$14,((MONTH($A50)-1)*12)+VLOOKUP(AS$4,$DE$6:$DF$17,2)+1))*$C50</f>
        <v>-486.49249115955877</v>
      </c>
      <c r="AT50" s="1021">
        <f>(VLOOKUP(YEAR($A50),'NY East Load Projections'!$A$4:$EO$14,((MONTH($A50)-1)*12)+VLOOKUP(AT$4,$DE$6:$DF$17,2)+1))*$C50</f>
        <v>-486.49249115955877</v>
      </c>
      <c r="AU50" s="1021">
        <f>(VLOOKUP(YEAR($A50),'NY East Load Projections'!$A$4:$EO$14,((MONTH($A50)-1)*12)+VLOOKUP(AU$4,$DE$6:$DF$17,2)+1))*$C50</f>
        <v>-486.49249115955877</v>
      </c>
      <c r="AV50" s="1021">
        <f>(VLOOKUP(YEAR($A50),'NY East Load Projections'!$A$4:$EO$14,((MONTH($A50)-1)*12)+VLOOKUP(AV$4,$DE$6:$DF$17,2)+1))*$C50</f>
        <v>-486.49249115955877</v>
      </c>
      <c r="AW50" s="1021">
        <f>(VLOOKUP(YEAR($A50),'NY East Load Projections'!$A$4:$EO$14,((MONTH($A50)-1)*12)+VLOOKUP(AW$4,$DE$6:$DF$17,2)+1))*$C50</f>
        <v>-453.03728216138819</v>
      </c>
      <c r="AX50" s="1021">
        <f>(VLOOKUP(YEAR($A50),'NY East Load Projections'!$A$4:$EO$14,((MONTH($A50)-1)*12)+VLOOKUP(AX$4,$DE$6:$DF$17,2)+1))*$C50</f>
        <v>-453.03728216138819</v>
      </c>
      <c r="AY50" s="1021">
        <f>(VLOOKUP(YEAR($A50),'NY East Load Projections'!$A$4:$EO$14,((MONTH($A50)-1)*12)+VLOOKUP(AY$4,$DE$6:$DF$17,2)+1))*$C50</f>
        <v>-453.03728216138819</v>
      </c>
      <c r="AZ50" s="1021">
        <f>(VLOOKUP(YEAR($A50),'NY East Load Projections'!$A$4:$EO$14,((MONTH($A50)-1)*12)+VLOOKUP(AZ$4,$DE$6:$DF$17,2)+1))*$C50</f>
        <v>-453.03728216138819</v>
      </c>
      <c r="BA50" s="1021">
        <f>(VLOOKUP(YEAR($A50),'NY East Load Projections'!$A$4:$EO$14,((MONTH($A50)-1)*12)+VLOOKUP(BA$4,$DE$6:$DF$17,2)+1))*$C50</f>
        <v>-435.06604982752953</v>
      </c>
      <c r="BB50" s="1021">
        <f>(VLOOKUP(YEAR($A50),'NY East Load Projections'!$A$4:$EO$14,((MONTH($A50)-1)*12)+VLOOKUP(BB$4,$DE$6:$DF$17,2)+1))*$C50</f>
        <v>-435.06604982752953</v>
      </c>
      <c r="BC50" s="1021">
        <f>(VLOOKUP(YEAR($A50),'NY East Load Projections'!$A$4:$EO$14,((MONTH($A50)-1)*12)+VLOOKUP(BC$4,$DE$6:$DF$17,2)+1))*$C50</f>
        <v>-435.06604982752953</v>
      </c>
      <c r="BD50" s="1021">
        <f>(VLOOKUP(YEAR($A50),'NY East Load Projections'!$A$4:$EO$14,((MONTH($A50)-1)*12)+VLOOKUP(BD$4,$DE$6:$DF$17,2)+1))*$C50</f>
        <v>-435.06604982752953</v>
      </c>
      <c r="BE50" s="1021"/>
      <c r="BF50" s="1021">
        <f>(VLOOKUP(YEAR($A50),'NY East Load Projections'!$A$4:$EO$14,((MONTH($A50)-1)*12)+VLOOKUP(BF$4,$DE$6:$DF$17,2)+1))*$D50</f>
        <v>-418.75798646918958</v>
      </c>
      <c r="BG50" s="1021">
        <f>(VLOOKUP(YEAR($A50),'NY East Load Projections'!$A$4:$EO$14,((MONTH($A50)-1)*12)+VLOOKUP(BG$4,$DE$6:$DF$17,2)+1))*$D50</f>
        <v>-418.75798646918958</v>
      </c>
      <c r="BH50" s="1021">
        <f>(VLOOKUP(YEAR($A50),'NY East Load Projections'!$A$4:$EO$14,((MONTH($A50)-1)*12)+VLOOKUP(BH$4,$DE$6:$DF$17,2)+1))*$D50</f>
        <v>-418.75798646918958</v>
      </c>
      <c r="BI50" s="1021">
        <f>(VLOOKUP(YEAR($A50),'NY East Load Projections'!$A$4:$EO$14,((MONTH($A50)-1)*12)+VLOOKUP(BI$4,$DE$6:$DF$17,2)+1))*$D50</f>
        <v>-418.75798646918958</v>
      </c>
      <c r="BJ50" s="1021">
        <f>(VLOOKUP(YEAR($A50),'NY East Load Projections'!$A$4:$EO$14,((MONTH($A50)-1)*12)+VLOOKUP(BJ$4,$DE$6:$DF$17,2)+1))*$D50</f>
        <v>-421.80895519946199</v>
      </c>
      <c r="BK50" s="1021">
        <f>(VLOOKUP(YEAR($A50),'NY East Load Projections'!$A$4:$EO$14,((MONTH($A50)-1)*12)+VLOOKUP(BK$4,$DE$6:$DF$17,2)+1))*$D50</f>
        <v>-421.80895519946199</v>
      </c>
      <c r="BL50" s="1021">
        <f>(VLOOKUP(YEAR($A50),'NY East Load Projections'!$A$4:$EO$14,((MONTH($A50)-1)*12)+VLOOKUP(BL$4,$DE$6:$DF$17,2)+1))*$D50</f>
        <v>-421.80895519946199</v>
      </c>
      <c r="BM50" s="1021">
        <f>(VLOOKUP(YEAR($A50),'NY East Load Projections'!$A$4:$EO$14,((MONTH($A50)-1)*12)+VLOOKUP(BM$4,$DE$6:$DF$17,2)+1))*$D50</f>
        <v>-421.80895519946199</v>
      </c>
      <c r="BN50" s="1021">
        <f>(VLOOKUP(YEAR($A50),'NY East Load Projections'!$A$4:$EO$14,((MONTH($A50)-1)*12)+VLOOKUP(BN$4,$DE$6:$DF$17,2)+1))*$D50</f>
        <v>-475.96009287497975</v>
      </c>
      <c r="BO50" s="1021">
        <f>(VLOOKUP(YEAR($A50),'NY East Load Projections'!$A$4:$EO$14,((MONTH($A50)-1)*12)+VLOOKUP(BO$4,$DE$6:$DF$17,2)+1))*$D50</f>
        <v>-475.96009287497975</v>
      </c>
      <c r="BP50" s="1021">
        <f>(VLOOKUP(YEAR($A50),'NY East Load Projections'!$A$4:$EO$14,((MONTH($A50)-1)*12)+VLOOKUP(BP$4,$DE$6:$DF$17,2)+1))*$D50</f>
        <v>-475.96009287497975</v>
      </c>
      <c r="BQ50" s="1021">
        <f>(VLOOKUP(YEAR($A50),'NY East Load Projections'!$A$4:$EO$14,((MONTH($A50)-1)*12)+VLOOKUP(BQ$4,$DE$6:$DF$17,2)+1))*$D50</f>
        <v>-475.96009287497975</v>
      </c>
      <c r="BR50" s="1021">
        <f>(VLOOKUP(YEAR($A50),'NY East Load Projections'!$A$4:$EO$14,((MONTH($A50)-1)*12)+VLOOKUP(BR$4,$DE$6:$DF$17,2)+1))*$D50</f>
        <v>-486.49249115955877</v>
      </c>
      <c r="BS50" s="1021">
        <f>(VLOOKUP(YEAR($A50),'NY East Load Projections'!$A$4:$EO$14,((MONTH($A50)-1)*12)+VLOOKUP(BS$4,$DE$6:$DF$17,2)+1))*$D50</f>
        <v>-486.49249115955877</v>
      </c>
      <c r="BT50" s="1021">
        <f>(VLOOKUP(YEAR($A50),'NY East Load Projections'!$A$4:$EO$14,((MONTH($A50)-1)*12)+VLOOKUP(BT$4,$DE$6:$DF$17,2)+1))*$D50</f>
        <v>-486.49249115955877</v>
      </c>
      <c r="BU50" s="1021">
        <f>(VLOOKUP(YEAR($A50),'NY East Load Projections'!$A$4:$EO$14,((MONTH($A50)-1)*12)+VLOOKUP(BU$4,$DE$6:$DF$17,2)+1))*$D50</f>
        <v>-486.49249115955877</v>
      </c>
      <c r="BV50" s="1021">
        <f>(VLOOKUP(YEAR($A50),'NY East Load Projections'!$A$4:$EO$14,((MONTH($A50)-1)*12)+VLOOKUP(BV$4,$DE$6:$DF$17,2)+1))*$D50</f>
        <v>-453.03728216138819</v>
      </c>
      <c r="BW50" s="1021">
        <f>(VLOOKUP(YEAR($A50),'NY East Load Projections'!$A$4:$EO$14,((MONTH($A50)-1)*12)+VLOOKUP(BW$4,$DE$6:$DF$17,2)+1))*$D50</f>
        <v>-453.03728216138819</v>
      </c>
      <c r="BX50" s="1021">
        <f>(VLOOKUP(YEAR($A50),'NY East Load Projections'!$A$4:$EO$14,((MONTH($A50)-1)*12)+VLOOKUP(BX$4,$DE$6:$DF$17,2)+1))*$D50</f>
        <v>-453.03728216138819</v>
      </c>
      <c r="BY50" s="1021">
        <f>(VLOOKUP(YEAR($A50),'NY East Load Projections'!$A$4:$EO$14,((MONTH($A50)-1)*12)+VLOOKUP(BY$4,$DE$6:$DF$17,2)+1))*$D50</f>
        <v>-453.03728216138819</v>
      </c>
      <c r="BZ50" s="1021">
        <f>(VLOOKUP(YEAR($A50),'NY East Load Projections'!$A$4:$EO$14,((MONTH($A50)-1)*12)+VLOOKUP(BZ$4,$DE$6:$DF$17,2)+1))*$D50</f>
        <v>-435.06604982752953</v>
      </c>
      <c r="CA50" s="1021">
        <f>(VLOOKUP(YEAR($A50),'NY East Load Projections'!$A$4:$EO$14,((MONTH($A50)-1)*12)+VLOOKUP(CA$4,$DE$6:$DF$17,2)+1))*$D50</f>
        <v>-435.06604982752953</v>
      </c>
      <c r="CB50" s="1021">
        <f>(VLOOKUP(YEAR($A50),'NY East Load Projections'!$A$4:$EO$14,((MONTH($A50)-1)*12)+VLOOKUP(CB$4,$DE$6:$DF$17,2)+1))*$D50</f>
        <v>-435.06604982752953</v>
      </c>
      <c r="CC50" s="1021">
        <f>(VLOOKUP(YEAR($A50),'NY East Load Projections'!$A$4:$EO$14,((MONTH($A50)-1)*12)+VLOOKUP(CC$4,$DE$6:$DF$17,2)+1))*$D50</f>
        <v>-435.06604982752953</v>
      </c>
      <c r="CE50" s="1021">
        <f>(VLOOKUP(YEAR($A50),'NY East Load Projections'!$A$4:$EO$14,((MONTH($A50)-1)*12)+VLOOKUP(CE$4,$DE$6:$DF$17,2)+1))*$E50</f>
        <v>-104.68949661729739</v>
      </c>
      <c r="CF50" s="1021">
        <f>(VLOOKUP(YEAR($A50),'NY East Load Projections'!$A$4:$EO$14,((MONTH($A50)-1)*12)+VLOOKUP(CF$4,$DE$6:$DF$17,2)+1))*$E50</f>
        <v>-104.68949661729739</v>
      </c>
      <c r="CG50" s="1021">
        <f>(VLOOKUP(YEAR($A50),'NY East Load Projections'!$A$4:$EO$14,((MONTH($A50)-1)*12)+VLOOKUP(CG$4,$DE$6:$DF$17,2)+1))*$E50</f>
        <v>-104.68949661729739</v>
      </c>
      <c r="CH50" s="1021">
        <f>(VLOOKUP(YEAR($A50),'NY East Load Projections'!$A$4:$EO$14,((MONTH($A50)-1)*12)+VLOOKUP(CH$4,$DE$6:$DF$17,2)+1))*$E50</f>
        <v>-104.68949661729739</v>
      </c>
      <c r="CI50" s="1021">
        <f>(VLOOKUP(YEAR($A50),'NY East Load Projections'!$A$4:$EO$14,((MONTH($A50)-1)*12)+VLOOKUP(CI$4,$DE$6:$DF$17,2)+1))*$E50</f>
        <v>-105.4522387998655</v>
      </c>
      <c r="CJ50" s="1021">
        <f>(VLOOKUP(YEAR($A50),'NY East Load Projections'!$A$4:$EO$14,((MONTH($A50)-1)*12)+VLOOKUP(CJ$4,$DE$6:$DF$17,2)+1))*$E50</f>
        <v>-105.4522387998655</v>
      </c>
      <c r="CK50" s="1021">
        <f>(VLOOKUP(YEAR($A50),'NY East Load Projections'!$A$4:$EO$14,((MONTH($A50)-1)*12)+VLOOKUP(CK$4,$DE$6:$DF$17,2)+1))*$E50</f>
        <v>-105.4522387998655</v>
      </c>
      <c r="CL50" s="1021">
        <f>(VLOOKUP(YEAR($A50),'NY East Load Projections'!$A$4:$EO$14,((MONTH($A50)-1)*12)+VLOOKUP(CL$4,$DE$6:$DF$17,2)+1))*$E50</f>
        <v>-105.4522387998655</v>
      </c>
      <c r="CM50" s="1021">
        <f>(VLOOKUP(YEAR($A50),'NY East Load Projections'!$A$4:$EO$14,((MONTH($A50)-1)*12)+VLOOKUP(CM$4,$DE$6:$DF$17,2)+1))*$E50</f>
        <v>-118.99002321874494</v>
      </c>
      <c r="CN50" s="1021">
        <f>(VLOOKUP(YEAR($A50),'NY East Load Projections'!$A$4:$EO$14,((MONTH($A50)-1)*12)+VLOOKUP(CN$4,$DE$6:$DF$17,2)+1))*$E50</f>
        <v>-118.99002321874494</v>
      </c>
      <c r="CO50" s="1021">
        <f>(VLOOKUP(YEAR($A50),'NY East Load Projections'!$A$4:$EO$14,((MONTH($A50)-1)*12)+VLOOKUP(CO$4,$DE$6:$DF$17,2)+1))*$E50</f>
        <v>-118.99002321874494</v>
      </c>
      <c r="CP50" s="1021">
        <f>(VLOOKUP(YEAR($A50),'NY East Load Projections'!$A$4:$EO$14,((MONTH($A50)-1)*12)+VLOOKUP(CP$4,$DE$6:$DF$17,2)+1))*$E50</f>
        <v>-118.99002321874494</v>
      </c>
      <c r="CQ50" s="1021">
        <f>(VLOOKUP(YEAR($A50),'NY East Load Projections'!$A$4:$EO$14,((MONTH($A50)-1)*12)+VLOOKUP(CQ$4,$DE$6:$DF$17,2)+1))*$E50</f>
        <v>-121.62312278988969</v>
      </c>
      <c r="CR50" s="1021">
        <f>(VLOOKUP(YEAR($A50),'NY East Load Projections'!$A$4:$EO$14,((MONTH($A50)-1)*12)+VLOOKUP(CR$4,$DE$6:$DF$17,2)+1))*$E50</f>
        <v>-121.62312278988969</v>
      </c>
      <c r="CS50" s="1021">
        <f>(VLOOKUP(YEAR($A50),'NY East Load Projections'!$A$4:$EO$14,((MONTH($A50)-1)*12)+VLOOKUP(CS$4,$DE$6:$DF$17,2)+1))*$E50</f>
        <v>-121.62312278988969</v>
      </c>
      <c r="CT50" s="1021">
        <f>(VLOOKUP(YEAR($A50),'NY East Load Projections'!$A$4:$EO$14,((MONTH($A50)-1)*12)+VLOOKUP(CT$4,$DE$6:$DF$17,2)+1))*$E50</f>
        <v>-121.62312278988969</v>
      </c>
      <c r="CU50" s="1021">
        <f>(VLOOKUP(YEAR($A50),'NY East Load Projections'!$A$4:$EO$14,((MONTH($A50)-1)*12)+VLOOKUP(CU$4,$DE$6:$DF$17,2)+1))*$E50</f>
        <v>-113.25932054034705</v>
      </c>
      <c r="CV50" s="1021">
        <f>(VLOOKUP(YEAR($A50),'NY East Load Projections'!$A$4:$EO$14,((MONTH($A50)-1)*12)+VLOOKUP(CV$4,$DE$6:$DF$17,2)+1))*$E50</f>
        <v>-113.25932054034705</v>
      </c>
      <c r="CW50" s="1021">
        <f>(VLOOKUP(YEAR($A50),'NY East Load Projections'!$A$4:$EO$14,((MONTH($A50)-1)*12)+VLOOKUP(CW$4,$DE$6:$DF$17,2)+1))*$E50</f>
        <v>-113.25932054034705</v>
      </c>
      <c r="CX50" s="1021">
        <f>(VLOOKUP(YEAR($A50),'NY East Load Projections'!$A$4:$EO$14,((MONTH($A50)-1)*12)+VLOOKUP(CX$4,$DE$6:$DF$17,2)+1))*$E50</f>
        <v>-113.25932054034705</v>
      </c>
      <c r="CY50" s="1021">
        <f>(VLOOKUP(YEAR($A50),'NY East Load Projections'!$A$4:$EO$14,((MONTH($A50)-1)*12)+VLOOKUP(CY$4,$DE$6:$DF$17,2)+1))*$E50</f>
        <v>-108.76651245688238</v>
      </c>
      <c r="CZ50" s="1021">
        <f>(VLOOKUP(YEAR($A50),'NY East Load Projections'!$A$4:$EO$14,((MONTH($A50)-1)*12)+VLOOKUP(CZ$4,$DE$6:$DF$17,2)+1))*$E50</f>
        <v>-108.76651245688238</v>
      </c>
      <c r="DA50" s="1021">
        <f>(VLOOKUP(YEAR($A50),'NY East Load Projections'!$A$4:$EO$14,((MONTH($A50)-1)*12)+VLOOKUP(DA$4,$DE$6:$DF$17,2)+1))*$E50</f>
        <v>-108.76651245688238</v>
      </c>
      <c r="DB50" s="1021">
        <f>(VLOOKUP(YEAR($A50),'NY East Load Projections'!$A$4:$EO$14,((MONTH($A50)-1)*12)+VLOOKUP(DB$4,$DE$6:$DF$17,2)+1))*$E50</f>
        <v>-108.76651245688238</v>
      </c>
      <c r="DH50" s="1009">
        <f t="shared" si="2"/>
        <v>-81395.086863966761</v>
      </c>
      <c r="DI50">
        <f ca="1">CALC!J70</f>
        <v>0.71769710979032808</v>
      </c>
      <c r="DJ50" s="1032">
        <f t="shared" ca="1" si="1"/>
        <v>-58417.018593401641</v>
      </c>
    </row>
    <row r="51" spans="1:114" x14ac:dyDescent="0.25">
      <c r="A51" s="244">
        <v>38261</v>
      </c>
      <c r="B51" s="13">
        <v>21</v>
      </c>
      <c r="C51" s="210">
        <v>5</v>
      </c>
      <c r="D51" s="210">
        <v>5</v>
      </c>
      <c r="E51" s="210">
        <v>0</v>
      </c>
      <c r="F51" s="13">
        <v>31</v>
      </c>
      <c r="H51" s="1021">
        <f>(VLOOKUP(YEAR($A51),'NY East Load Projections'!$A$4:$EO$14,((MONTH($A51)-1)*12)+VLOOKUP(H$4,$DE$6:$DF$17,2)+1))*$B51</f>
        <v>-1960.0505738160109</v>
      </c>
      <c r="I51" s="1021">
        <f>(VLOOKUP(YEAR($A51),'NY East Load Projections'!$A$4:$EO$14,((MONTH($A51)-1)*12)+VLOOKUP(I$4,$DE$6:$DF$17,2)+1))*$B51</f>
        <v>-1960.0505738160109</v>
      </c>
      <c r="J51" s="1021">
        <f>(VLOOKUP(YEAR($A51),'NY East Load Projections'!$A$4:$EO$14,((MONTH($A51)-1)*12)+VLOOKUP(J$4,$DE$6:$DF$17,2)+1))*$B51</f>
        <v>-1960.0505738160109</v>
      </c>
      <c r="K51" s="1021">
        <f>(VLOOKUP(YEAR($A51),'NY East Load Projections'!$A$4:$EO$14,((MONTH($A51)-1)*12)+VLOOKUP(K$4,$DE$6:$DF$17,2)+1))*$B51</f>
        <v>-1960.0505738160109</v>
      </c>
      <c r="L51" s="1021">
        <f>(VLOOKUP(YEAR($A51),'NY East Load Projections'!$A$4:$EO$14,((MONTH($A51)-1)*12)+VLOOKUP(L$4,$DE$6:$DF$17,2)+1))*$B51</f>
        <v>-2168.4763167283941</v>
      </c>
      <c r="M51" s="1021">
        <f>(VLOOKUP(YEAR($A51),'NY East Load Projections'!$A$4:$EO$14,((MONTH($A51)-1)*12)+VLOOKUP(M$4,$DE$6:$DF$17,2)+1))*$B51</f>
        <v>-2168.4763167283941</v>
      </c>
      <c r="N51" s="1021">
        <f>(VLOOKUP(YEAR($A51),'NY East Load Projections'!$A$4:$EO$14,((MONTH($A51)-1)*12)+VLOOKUP(N$4,$DE$6:$DF$17,2)+1))*$B51</f>
        <v>-2168.4763167283941</v>
      </c>
      <c r="O51" s="1021">
        <f>(VLOOKUP(YEAR($A51),'NY East Load Projections'!$A$4:$EO$14,((MONTH($A51)-1)*12)+VLOOKUP(O$4,$DE$6:$DF$17,2)+1))*$B51</f>
        <v>-2168.4763167283941</v>
      </c>
      <c r="P51" s="1021">
        <f>(VLOOKUP(YEAR($A51),'NY East Load Projections'!$A$4:$EO$14,((MONTH($A51)-1)*12)+VLOOKUP(P$4,$DE$6:$DF$17,2)+1))*$B51</f>
        <v>-2423.1819073223469</v>
      </c>
      <c r="Q51" s="1021">
        <f>(VLOOKUP(YEAR($A51),'NY East Load Projections'!$A$4:$EO$14,((MONTH($A51)-1)*12)+VLOOKUP(Q$4,$DE$6:$DF$17,2)+1))*$B51</f>
        <v>-2423.1819073223469</v>
      </c>
      <c r="R51" s="1021">
        <f>(VLOOKUP(YEAR($A51),'NY East Load Projections'!$A$4:$EO$14,((MONTH($A51)-1)*12)+VLOOKUP(R$4,$DE$6:$DF$17,2)+1))*$B51</f>
        <v>-2423.1819073223469</v>
      </c>
      <c r="S51" s="1021">
        <f>(VLOOKUP(YEAR($A51),'NY East Load Projections'!$A$4:$EO$14,((MONTH($A51)-1)*12)+VLOOKUP(S$4,$DE$6:$DF$17,2)+1))*$B51</f>
        <v>-2423.1819073223469</v>
      </c>
      <c r="T51" s="1021">
        <f>(VLOOKUP(YEAR($A51),'NY East Load Projections'!$A$4:$EO$14,((MONTH($A51)-1)*12)+VLOOKUP(T$4,$DE$6:$DF$17,2)+1))*$B51</f>
        <v>-2498.7558448972627</v>
      </c>
      <c r="U51" s="1021">
        <f>(VLOOKUP(YEAR($A51),'NY East Load Projections'!$A$4:$EO$14,((MONTH($A51)-1)*12)+VLOOKUP(U$4,$DE$6:$DF$17,2)+1))*$B51</f>
        <v>-2498.7558448972627</v>
      </c>
      <c r="V51" s="1021">
        <f>(VLOOKUP(YEAR($A51),'NY East Load Projections'!$A$4:$EO$14,((MONTH($A51)-1)*12)+VLOOKUP(V$4,$DE$6:$DF$17,2)+1))*$B51</f>
        <v>-2498.7558448972627</v>
      </c>
      <c r="W51" s="1021">
        <f>(VLOOKUP(YEAR($A51),'NY East Load Projections'!$A$4:$EO$14,((MONTH($A51)-1)*12)+VLOOKUP(W$4,$DE$6:$DF$17,2)+1))*$B51</f>
        <v>-2498.7558448972627</v>
      </c>
      <c r="X51" s="1021">
        <f>(VLOOKUP(YEAR($A51),'NY East Load Projections'!$A$4:$EO$14,((MONTH($A51)-1)*12)+VLOOKUP(X$4,$DE$6:$DF$17,2)+1))*$B51</f>
        <v>-2341.4108589976372</v>
      </c>
      <c r="Y51" s="1021">
        <f>(VLOOKUP(YEAR($A51),'NY East Load Projections'!$A$4:$EO$14,((MONTH($A51)-1)*12)+VLOOKUP(Y$4,$DE$6:$DF$17,2)+1))*$B51</f>
        <v>-2341.4108589976372</v>
      </c>
      <c r="Z51" s="1021">
        <f>(VLOOKUP(YEAR($A51),'NY East Load Projections'!$A$4:$EO$14,((MONTH($A51)-1)*12)+VLOOKUP(Z$4,$DE$6:$DF$17,2)+1))*$B51</f>
        <v>-2341.4108589976372</v>
      </c>
      <c r="AA51" s="1021">
        <f>(VLOOKUP(YEAR($A51),'NY East Load Projections'!$A$4:$EO$14,((MONTH($A51)-1)*12)+VLOOKUP(AA$4,$DE$6:$DF$17,2)+1))*$B51</f>
        <v>-2341.4108589976372</v>
      </c>
      <c r="AB51" s="1021">
        <f>(VLOOKUP(YEAR($A51),'NY East Load Projections'!$A$4:$EO$14,((MONTH($A51)-1)*12)+VLOOKUP(AB$4,$DE$6:$DF$17,2)+1))*$B51</f>
        <v>-2060.6489723506093</v>
      </c>
      <c r="AC51" s="1021">
        <f>(VLOOKUP(YEAR($A51),'NY East Load Projections'!$A$4:$EO$14,((MONTH($A51)-1)*12)+VLOOKUP(AC$4,$DE$6:$DF$17,2)+1))*$B51</f>
        <v>-2060.6489723506093</v>
      </c>
      <c r="AD51" s="1021">
        <f>(VLOOKUP(YEAR($A51),'NY East Load Projections'!$A$4:$EO$14,((MONTH($A51)-1)*12)+VLOOKUP(AD$4,$DE$6:$DF$17,2)+1))*$B51</f>
        <v>-2060.6489723506093</v>
      </c>
      <c r="AE51" s="1021">
        <f>(VLOOKUP(YEAR($A51),'NY East Load Projections'!$A$4:$EO$14,((MONTH($A51)-1)*12)+VLOOKUP(AE$4,$DE$6:$DF$17,2)+1))*$B51</f>
        <v>-2060.6489723506093</v>
      </c>
      <c r="AF51" s="1021"/>
      <c r="AG51" s="1021">
        <f>(VLOOKUP(YEAR($A51),'NY East Load Projections'!$A$4:$EO$14,((MONTH($A51)-1)*12)+VLOOKUP(AG$4,$DE$6:$DF$17,2)+1))*$C51</f>
        <v>-487.23680492264805</v>
      </c>
      <c r="AH51" s="1021">
        <f>(VLOOKUP(YEAR($A51),'NY East Load Projections'!$A$4:$EO$14,((MONTH($A51)-1)*12)+VLOOKUP(AH$4,$DE$6:$DF$17,2)+1))*$C51</f>
        <v>-487.23680492264805</v>
      </c>
      <c r="AI51" s="1021">
        <f>(VLOOKUP(YEAR($A51),'NY East Load Projections'!$A$4:$EO$14,((MONTH($A51)-1)*12)+VLOOKUP(AI$4,$DE$6:$DF$17,2)+1))*$C51</f>
        <v>-487.23680492264805</v>
      </c>
      <c r="AJ51" s="1021">
        <f>(VLOOKUP(YEAR($A51),'NY East Load Projections'!$A$4:$EO$14,((MONTH($A51)-1)*12)+VLOOKUP(AJ$4,$DE$6:$DF$17,2)+1))*$C51</f>
        <v>-487.23680492264805</v>
      </c>
      <c r="AK51" s="1021">
        <f>(VLOOKUP(YEAR($A51),'NY East Load Projections'!$A$4:$EO$14,((MONTH($A51)-1)*12)+VLOOKUP(AK$4,$DE$6:$DF$17,2)+1))*$C51</f>
        <v>-494.046073168058</v>
      </c>
      <c r="AL51" s="1021">
        <f>(VLOOKUP(YEAR($A51),'NY East Load Projections'!$A$4:$EO$14,((MONTH($A51)-1)*12)+VLOOKUP(AL$4,$DE$6:$DF$17,2)+1))*$C51</f>
        <v>-494.046073168058</v>
      </c>
      <c r="AM51" s="1021">
        <f>(VLOOKUP(YEAR($A51),'NY East Load Projections'!$A$4:$EO$14,((MONTH($A51)-1)*12)+VLOOKUP(AM$4,$DE$6:$DF$17,2)+1))*$C51</f>
        <v>-494.046073168058</v>
      </c>
      <c r="AN51" s="1021">
        <f>(VLOOKUP(YEAR($A51),'NY East Load Projections'!$A$4:$EO$14,((MONTH($A51)-1)*12)+VLOOKUP(AN$4,$DE$6:$DF$17,2)+1))*$C51</f>
        <v>-494.046073168058</v>
      </c>
      <c r="AO51" s="1021">
        <f>(VLOOKUP(YEAR($A51),'NY East Load Projections'!$A$4:$EO$14,((MONTH($A51)-1)*12)+VLOOKUP(AO$4,$DE$6:$DF$17,2)+1))*$C51</f>
        <v>-547.34126359436527</v>
      </c>
      <c r="AP51" s="1021">
        <f>(VLOOKUP(YEAR($A51),'NY East Load Projections'!$A$4:$EO$14,((MONTH($A51)-1)*12)+VLOOKUP(AP$4,$DE$6:$DF$17,2)+1))*$C51</f>
        <v>-547.34126359436527</v>
      </c>
      <c r="AQ51" s="1021">
        <f>(VLOOKUP(YEAR($A51),'NY East Load Projections'!$A$4:$EO$14,((MONTH($A51)-1)*12)+VLOOKUP(AQ$4,$DE$6:$DF$17,2)+1))*$C51</f>
        <v>-547.34126359436527</v>
      </c>
      <c r="AR51" s="1021">
        <f>(VLOOKUP(YEAR($A51),'NY East Load Projections'!$A$4:$EO$14,((MONTH($A51)-1)*12)+VLOOKUP(AR$4,$DE$6:$DF$17,2)+1))*$C51</f>
        <v>-547.34126359436527</v>
      </c>
      <c r="AS51" s="1021">
        <f>(VLOOKUP(YEAR($A51),'NY East Load Projections'!$A$4:$EO$14,((MONTH($A51)-1)*12)+VLOOKUP(AS$4,$DE$6:$DF$17,2)+1))*$C51</f>
        <v>-560.93887489871543</v>
      </c>
      <c r="AT51" s="1021">
        <f>(VLOOKUP(YEAR($A51),'NY East Load Projections'!$A$4:$EO$14,((MONTH($A51)-1)*12)+VLOOKUP(AT$4,$DE$6:$DF$17,2)+1))*$C51</f>
        <v>-560.93887489871543</v>
      </c>
      <c r="AU51" s="1021">
        <f>(VLOOKUP(YEAR($A51),'NY East Load Projections'!$A$4:$EO$14,((MONTH($A51)-1)*12)+VLOOKUP(AU$4,$DE$6:$DF$17,2)+1))*$C51</f>
        <v>-560.93887489871543</v>
      </c>
      <c r="AV51" s="1021">
        <f>(VLOOKUP(YEAR($A51),'NY East Load Projections'!$A$4:$EO$14,((MONTH($A51)-1)*12)+VLOOKUP(AV$4,$DE$6:$DF$17,2)+1))*$C51</f>
        <v>-560.93887489871543</v>
      </c>
      <c r="AW51" s="1021">
        <f>(VLOOKUP(YEAR($A51),'NY East Load Projections'!$A$4:$EO$14,((MONTH($A51)-1)*12)+VLOOKUP(AW$4,$DE$6:$DF$17,2)+1))*$C51</f>
        <v>-523.36567083663044</v>
      </c>
      <c r="AX51" s="1021">
        <f>(VLOOKUP(YEAR($A51),'NY East Load Projections'!$A$4:$EO$14,((MONTH($A51)-1)*12)+VLOOKUP(AX$4,$DE$6:$DF$17,2)+1))*$C51</f>
        <v>-523.36567083663044</v>
      </c>
      <c r="AY51" s="1021">
        <f>(VLOOKUP(YEAR($A51),'NY East Load Projections'!$A$4:$EO$14,((MONTH($A51)-1)*12)+VLOOKUP(AY$4,$DE$6:$DF$17,2)+1))*$C51</f>
        <v>-523.36567083663044</v>
      </c>
      <c r="AZ51" s="1021">
        <f>(VLOOKUP(YEAR($A51),'NY East Load Projections'!$A$4:$EO$14,((MONTH($A51)-1)*12)+VLOOKUP(AZ$4,$DE$6:$DF$17,2)+1))*$C51</f>
        <v>-523.36567083663044</v>
      </c>
      <c r="BA51" s="1021">
        <f>(VLOOKUP(YEAR($A51),'NY East Load Projections'!$A$4:$EO$14,((MONTH($A51)-1)*12)+VLOOKUP(BA$4,$DE$6:$DF$17,2)+1))*$C51</f>
        <v>-498.75601480371557</v>
      </c>
      <c r="BB51" s="1021">
        <f>(VLOOKUP(YEAR($A51),'NY East Load Projections'!$A$4:$EO$14,((MONTH($A51)-1)*12)+VLOOKUP(BB$4,$DE$6:$DF$17,2)+1))*$C51</f>
        <v>-498.75601480371557</v>
      </c>
      <c r="BC51" s="1021">
        <f>(VLOOKUP(YEAR($A51),'NY East Load Projections'!$A$4:$EO$14,((MONTH($A51)-1)*12)+VLOOKUP(BC$4,$DE$6:$DF$17,2)+1))*$C51</f>
        <v>-498.75601480371557</v>
      </c>
      <c r="BD51" s="1021">
        <f>(VLOOKUP(YEAR($A51),'NY East Load Projections'!$A$4:$EO$14,((MONTH($A51)-1)*12)+VLOOKUP(BD$4,$DE$6:$DF$17,2)+1))*$C51</f>
        <v>-498.75601480371557</v>
      </c>
      <c r="BE51" s="1021"/>
      <c r="BF51" s="1021">
        <f>(VLOOKUP(YEAR($A51),'NY East Load Projections'!$A$4:$EO$14,((MONTH($A51)-1)*12)+VLOOKUP(BF$4,$DE$6:$DF$17,2)+1))*$D51</f>
        <v>-487.23680492264805</v>
      </c>
      <c r="BG51" s="1021">
        <f>(VLOOKUP(YEAR($A51),'NY East Load Projections'!$A$4:$EO$14,((MONTH($A51)-1)*12)+VLOOKUP(BG$4,$DE$6:$DF$17,2)+1))*$D51</f>
        <v>-487.23680492264805</v>
      </c>
      <c r="BH51" s="1021">
        <f>(VLOOKUP(YEAR($A51),'NY East Load Projections'!$A$4:$EO$14,((MONTH($A51)-1)*12)+VLOOKUP(BH$4,$DE$6:$DF$17,2)+1))*$D51</f>
        <v>-487.23680492264805</v>
      </c>
      <c r="BI51" s="1021">
        <f>(VLOOKUP(YEAR($A51),'NY East Load Projections'!$A$4:$EO$14,((MONTH($A51)-1)*12)+VLOOKUP(BI$4,$DE$6:$DF$17,2)+1))*$D51</f>
        <v>-487.23680492264805</v>
      </c>
      <c r="BJ51" s="1021">
        <f>(VLOOKUP(YEAR($A51),'NY East Load Projections'!$A$4:$EO$14,((MONTH($A51)-1)*12)+VLOOKUP(BJ$4,$DE$6:$DF$17,2)+1))*$D51</f>
        <v>-494.046073168058</v>
      </c>
      <c r="BK51" s="1021">
        <f>(VLOOKUP(YEAR($A51),'NY East Load Projections'!$A$4:$EO$14,((MONTH($A51)-1)*12)+VLOOKUP(BK$4,$DE$6:$DF$17,2)+1))*$D51</f>
        <v>-494.046073168058</v>
      </c>
      <c r="BL51" s="1021">
        <f>(VLOOKUP(YEAR($A51),'NY East Load Projections'!$A$4:$EO$14,((MONTH($A51)-1)*12)+VLOOKUP(BL$4,$DE$6:$DF$17,2)+1))*$D51</f>
        <v>-494.046073168058</v>
      </c>
      <c r="BM51" s="1021">
        <f>(VLOOKUP(YEAR($A51),'NY East Load Projections'!$A$4:$EO$14,((MONTH($A51)-1)*12)+VLOOKUP(BM$4,$DE$6:$DF$17,2)+1))*$D51</f>
        <v>-494.046073168058</v>
      </c>
      <c r="BN51" s="1021">
        <f>(VLOOKUP(YEAR($A51),'NY East Load Projections'!$A$4:$EO$14,((MONTH($A51)-1)*12)+VLOOKUP(BN$4,$DE$6:$DF$17,2)+1))*$D51</f>
        <v>-547.34126359436527</v>
      </c>
      <c r="BO51" s="1021">
        <f>(VLOOKUP(YEAR($A51),'NY East Load Projections'!$A$4:$EO$14,((MONTH($A51)-1)*12)+VLOOKUP(BO$4,$DE$6:$DF$17,2)+1))*$D51</f>
        <v>-547.34126359436527</v>
      </c>
      <c r="BP51" s="1021">
        <f>(VLOOKUP(YEAR($A51),'NY East Load Projections'!$A$4:$EO$14,((MONTH($A51)-1)*12)+VLOOKUP(BP$4,$DE$6:$DF$17,2)+1))*$D51</f>
        <v>-547.34126359436527</v>
      </c>
      <c r="BQ51" s="1021">
        <f>(VLOOKUP(YEAR($A51),'NY East Load Projections'!$A$4:$EO$14,((MONTH($A51)-1)*12)+VLOOKUP(BQ$4,$DE$6:$DF$17,2)+1))*$D51</f>
        <v>-547.34126359436527</v>
      </c>
      <c r="BR51" s="1021">
        <f>(VLOOKUP(YEAR($A51),'NY East Load Projections'!$A$4:$EO$14,((MONTH($A51)-1)*12)+VLOOKUP(BR$4,$DE$6:$DF$17,2)+1))*$D51</f>
        <v>-560.93887489871543</v>
      </c>
      <c r="BS51" s="1021">
        <f>(VLOOKUP(YEAR($A51),'NY East Load Projections'!$A$4:$EO$14,((MONTH($A51)-1)*12)+VLOOKUP(BS$4,$DE$6:$DF$17,2)+1))*$D51</f>
        <v>-560.93887489871543</v>
      </c>
      <c r="BT51" s="1021">
        <f>(VLOOKUP(YEAR($A51),'NY East Load Projections'!$A$4:$EO$14,((MONTH($A51)-1)*12)+VLOOKUP(BT$4,$DE$6:$DF$17,2)+1))*$D51</f>
        <v>-560.93887489871543</v>
      </c>
      <c r="BU51" s="1021">
        <f>(VLOOKUP(YEAR($A51),'NY East Load Projections'!$A$4:$EO$14,((MONTH($A51)-1)*12)+VLOOKUP(BU$4,$DE$6:$DF$17,2)+1))*$D51</f>
        <v>-560.93887489871543</v>
      </c>
      <c r="BV51" s="1021">
        <f>(VLOOKUP(YEAR($A51),'NY East Load Projections'!$A$4:$EO$14,((MONTH($A51)-1)*12)+VLOOKUP(BV$4,$DE$6:$DF$17,2)+1))*$D51</f>
        <v>-523.36567083663044</v>
      </c>
      <c r="BW51" s="1021">
        <f>(VLOOKUP(YEAR($A51),'NY East Load Projections'!$A$4:$EO$14,((MONTH($A51)-1)*12)+VLOOKUP(BW$4,$DE$6:$DF$17,2)+1))*$D51</f>
        <v>-523.36567083663044</v>
      </c>
      <c r="BX51" s="1021">
        <f>(VLOOKUP(YEAR($A51),'NY East Load Projections'!$A$4:$EO$14,((MONTH($A51)-1)*12)+VLOOKUP(BX$4,$DE$6:$DF$17,2)+1))*$D51</f>
        <v>-523.36567083663044</v>
      </c>
      <c r="BY51" s="1021">
        <f>(VLOOKUP(YEAR($A51),'NY East Load Projections'!$A$4:$EO$14,((MONTH($A51)-1)*12)+VLOOKUP(BY$4,$DE$6:$DF$17,2)+1))*$D51</f>
        <v>-523.36567083663044</v>
      </c>
      <c r="BZ51" s="1021">
        <f>(VLOOKUP(YEAR($A51),'NY East Load Projections'!$A$4:$EO$14,((MONTH($A51)-1)*12)+VLOOKUP(BZ$4,$DE$6:$DF$17,2)+1))*$D51</f>
        <v>-498.75601480371557</v>
      </c>
      <c r="CA51" s="1021">
        <f>(VLOOKUP(YEAR($A51),'NY East Load Projections'!$A$4:$EO$14,((MONTH($A51)-1)*12)+VLOOKUP(CA$4,$DE$6:$DF$17,2)+1))*$D51</f>
        <v>-498.75601480371557</v>
      </c>
      <c r="CB51" s="1021">
        <f>(VLOOKUP(YEAR($A51),'NY East Load Projections'!$A$4:$EO$14,((MONTH($A51)-1)*12)+VLOOKUP(CB$4,$DE$6:$DF$17,2)+1))*$D51</f>
        <v>-498.75601480371557</v>
      </c>
      <c r="CC51" s="1021">
        <f>(VLOOKUP(YEAR($A51),'NY East Load Projections'!$A$4:$EO$14,((MONTH($A51)-1)*12)+VLOOKUP(CC$4,$DE$6:$DF$17,2)+1))*$D51</f>
        <v>-498.75601480371557</v>
      </c>
      <c r="CE51" s="1021">
        <f>(VLOOKUP(YEAR($A51),'NY East Load Projections'!$A$4:$EO$14,((MONTH($A51)-1)*12)+VLOOKUP(CE$4,$DE$6:$DF$17,2)+1))*$E51</f>
        <v>0</v>
      </c>
      <c r="CF51" s="1021">
        <f>(VLOOKUP(YEAR($A51),'NY East Load Projections'!$A$4:$EO$14,((MONTH($A51)-1)*12)+VLOOKUP(CF$4,$DE$6:$DF$17,2)+1))*$E51</f>
        <v>0</v>
      </c>
      <c r="CG51" s="1021">
        <f>(VLOOKUP(YEAR($A51),'NY East Load Projections'!$A$4:$EO$14,((MONTH($A51)-1)*12)+VLOOKUP(CG$4,$DE$6:$DF$17,2)+1))*$E51</f>
        <v>0</v>
      </c>
      <c r="CH51" s="1021">
        <f>(VLOOKUP(YEAR($A51),'NY East Load Projections'!$A$4:$EO$14,((MONTH($A51)-1)*12)+VLOOKUP(CH$4,$DE$6:$DF$17,2)+1))*$E51</f>
        <v>0</v>
      </c>
      <c r="CI51" s="1021">
        <f>(VLOOKUP(YEAR($A51),'NY East Load Projections'!$A$4:$EO$14,((MONTH($A51)-1)*12)+VLOOKUP(CI$4,$DE$6:$DF$17,2)+1))*$E51</f>
        <v>0</v>
      </c>
      <c r="CJ51" s="1021">
        <f>(VLOOKUP(YEAR($A51),'NY East Load Projections'!$A$4:$EO$14,((MONTH($A51)-1)*12)+VLOOKUP(CJ$4,$DE$6:$DF$17,2)+1))*$E51</f>
        <v>0</v>
      </c>
      <c r="CK51" s="1021">
        <f>(VLOOKUP(YEAR($A51),'NY East Load Projections'!$A$4:$EO$14,((MONTH($A51)-1)*12)+VLOOKUP(CK$4,$DE$6:$DF$17,2)+1))*$E51</f>
        <v>0</v>
      </c>
      <c r="CL51" s="1021">
        <f>(VLOOKUP(YEAR($A51),'NY East Load Projections'!$A$4:$EO$14,((MONTH($A51)-1)*12)+VLOOKUP(CL$4,$DE$6:$DF$17,2)+1))*$E51</f>
        <v>0</v>
      </c>
      <c r="CM51" s="1021">
        <f>(VLOOKUP(YEAR($A51),'NY East Load Projections'!$A$4:$EO$14,((MONTH($A51)-1)*12)+VLOOKUP(CM$4,$DE$6:$DF$17,2)+1))*$E51</f>
        <v>0</v>
      </c>
      <c r="CN51" s="1021">
        <f>(VLOOKUP(YEAR($A51),'NY East Load Projections'!$A$4:$EO$14,((MONTH($A51)-1)*12)+VLOOKUP(CN$4,$DE$6:$DF$17,2)+1))*$E51</f>
        <v>0</v>
      </c>
      <c r="CO51" s="1021">
        <f>(VLOOKUP(YEAR($A51),'NY East Load Projections'!$A$4:$EO$14,((MONTH($A51)-1)*12)+VLOOKUP(CO$4,$DE$6:$DF$17,2)+1))*$E51</f>
        <v>0</v>
      </c>
      <c r="CP51" s="1021">
        <f>(VLOOKUP(YEAR($A51),'NY East Load Projections'!$A$4:$EO$14,((MONTH($A51)-1)*12)+VLOOKUP(CP$4,$DE$6:$DF$17,2)+1))*$E51</f>
        <v>0</v>
      </c>
      <c r="CQ51" s="1021">
        <f>(VLOOKUP(YEAR($A51),'NY East Load Projections'!$A$4:$EO$14,((MONTH($A51)-1)*12)+VLOOKUP(CQ$4,$DE$6:$DF$17,2)+1))*$E51</f>
        <v>0</v>
      </c>
      <c r="CR51" s="1021">
        <f>(VLOOKUP(YEAR($A51),'NY East Load Projections'!$A$4:$EO$14,((MONTH($A51)-1)*12)+VLOOKUP(CR$4,$DE$6:$DF$17,2)+1))*$E51</f>
        <v>0</v>
      </c>
      <c r="CS51" s="1021">
        <f>(VLOOKUP(YEAR($A51),'NY East Load Projections'!$A$4:$EO$14,((MONTH($A51)-1)*12)+VLOOKUP(CS$4,$DE$6:$DF$17,2)+1))*$E51</f>
        <v>0</v>
      </c>
      <c r="CT51" s="1021">
        <f>(VLOOKUP(YEAR($A51),'NY East Load Projections'!$A$4:$EO$14,((MONTH($A51)-1)*12)+VLOOKUP(CT$4,$DE$6:$DF$17,2)+1))*$E51</f>
        <v>0</v>
      </c>
      <c r="CU51" s="1021">
        <f>(VLOOKUP(YEAR($A51),'NY East Load Projections'!$A$4:$EO$14,((MONTH($A51)-1)*12)+VLOOKUP(CU$4,$DE$6:$DF$17,2)+1))*$E51</f>
        <v>0</v>
      </c>
      <c r="CV51" s="1021">
        <f>(VLOOKUP(YEAR($A51),'NY East Load Projections'!$A$4:$EO$14,((MONTH($A51)-1)*12)+VLOOKUP(CV$4,$DE$6:$DF$17,2)+1))*$E51</f>
        <v>0</v>
      </c>
      <c r="CW51" s="1021">
        <f>(VLOOKUP(YEAR($A51),'NY East Load Projections'!$A$4:$EO$14,((MONTH($A51)-1)*12)+VLOOKUP(CW$4,$DE$6:$DF$17,2)+1))*$E51</f>
        <v>0</v>
      </c>
      <c r="CX51" s="1021">
        <f>(VLOOKUP(YEAR($A51),'NY East Load Projections'!$A$4:$EO$14,((MONTH($A51)-1)*12)+VLOOKUP(CX$4,$DE$6:$DF$17,2)+1))*$E51</f>
        <v>0</v>
      </c>
      <c r="CY51" s="1021">
        <f>(VLOOKUP(YEAR($A51),'NY East Load Projections'!$A$4:$EO$14,((MONTH($A51)-1)*12)+VLOOKUP(CY$4,$DE$6:$DF$17,2)+1))*$E51</f>
        <v>0</v>
      </c>
      <c r="CZ51" s="1021">
        <f>(VLOOKUP(YEAR($A51),'NY East Load Projections'!$A$4:$EO$14,((MONTH($A51)-1)*12)+VLOOKUP(CZ$4,$DE$6:$DF$17,2)+1))*$E51</f>
        <v>0</v>
      </c>
      <c r="DA51" s="1021">
        <f>(VLOOKUP(YEAR($A51),'NY East Load Projections'!$A$4:$EO$14,((MONTH($A51)-1)*12)+VLOOKUP(DA$4,$DE$6:$DF$17,2)+1))*$E51</f>
        <v>0</v>
      </c>
      <c r="DB51" s="1021">
        <f>(VLOOKUP(YEAR($A51),'NY East Load Projections'!$A$4:$EO$14,((MONTH($A51)-1)*12)+VLOOKUP(DB$4,$DE$6:$DF$17,2)+1))*$E51</f>
        <v>0</v>
      </c>
      <c r="DH51" s="1009">
        <f t="shared" si="2"/>
        <v>-78703.575514242184</v>
      </c>
      <c r="DI51">
        <f ca="1">CALC!J71</f>
        <v>0.71323422394632896</v>
      </c>
      <c r="DJ51" s="1032">
        <f t="shared" ca="1" si="1"/>
        <v>-56134.083603701823</v>
      </c>
    </row>
    <row r="52" spans="1:114" x14ac:dyDescent="0.25">
      <c r="A52" s="244">
        <v>38292</v>
      </c>
      <c r="B52" s="13">
        <v>21</v>
      </c>
      <c r="C52" s="210">
        <v>4</v>
      </c>
      <c r="D52" s="210">
        <v>4</v>
      </c>
      <c r="E52" s="210">
        <v>1</v>
      </c>
      <c r="F52" s="13">
        <v>30</v>
      </c>
      <c r="H52" s="1021">
        <f>(VLOOKUP(YEAR($A52),'NY East Load Projections'!$A$4:$EO$14,((MONTH($A52)-1)*12)+VLOOKUP(H$4,$DE$6:$DF$17,2)+1))*$B52</f>
        <v>-1920.0743775257536</v>
      </c>
      <c r="I52" s="1021">
        <f>(VLOOKUP(YEAR($A52),'NY East Load Projections'!$A$4:$EO$14,((MONTH($A52)-1)*12)+VLOOKUP(I$4,$DE$6:$DF$17,2)+1))*$B52</f>
        <v>-1920.0743775257536</v>
      </c>
      <c r="J52" s="1021">
        <f>(VLOOKUP(YEAR($A52),'NY East Load Projections'!$A$4:$EO$14,((MONTH($A52)-1)*12)+VLOOKUP(J$4,$DE$6:$DF$17,2)+1))*$B52</f>
        <v>-1920.0743775257536</v>
      </c>
      <c r="K52" s="1021">
        <f>(VLOOKUP(YEAR($A52),'NY East Load Projections'!$A$4:$EO$14,((MONTH($A52)-1)*12)+VLOOKUP(K$4,$DE$6:$DF$17,2)+1))*$B52</f>
        <v>-1920.0743775257536</v>
      </c>
      <c r="L52" s="1021">
        <f>(VLOOKUP(YEAR($A52),'NY East Load Projections'!$A$4:$EO$14,((MONTH($A52)-1)*12)+VLOOKUP(L$4,$DE$6:$DF$17,2)+1))*$B52</f>
        <v>-2101.9804645521149</v>
      </c>
      <c r="M52" s="1021">
        <f>(VLOOKUP(YEAR($A52),'NY East Load Projections'!$A$4:$EO$14,((MONTH($A52)-1)*12)+VLOOKUP(M$4,$DE$6:$DF$17,2)+1))*$B52</f>
        <v>-2101.9804645521149</v>
      </c>
      <c r="N52" s="1021">
        <f>(VLOOKUP(YEAR($A52),'NY East Load Projections'!$A$4:$EO$14,((MONTH($A52)-1)*12)+VLOOKUP(N$4,$DE$6:$DF$17,2)+1))*$B52</f>
        <v>-2101.9804645521149</v>
      </c>
      <c r="O52" s="1021">
        <f>(VLOOKUP(YEAR($A52),'NY East Load Projections'!$A$4:$EO$14,((MONTH($A52)-1)*12)+VLOOKUP(O$4,$DE$6:$DF$17,2)+1))*$B52</f>
        <v>-2101.9804645521149</v>
      </c>
      <c r="P52" s="1021">
        <f>(VLOOKUP(YEAR($A52),'NY East Load Projections'!$A$4:$EO$14,((MONTH($A52)-1)*12)+VLOOKUP(P$4,$DE$6:$DF$17,2)+1))*$B52</f>
        <v>-2294.6276557665415</v>
      </c>
      <c r="Q52" s="1021">
        <f>(VLOOKUP(YEAR($A52),'NY East Load Projections'!$A$4:$EO$14,((MONTH($A52)-1)*12)+VLOOKUP(Q$4,$DE$6:$DF$17,2)+1))*$B52</f>
        <v>-2294.6276557665415</v>
      </c>
      <c r="R52" s="1021">
        <f>(VLOOKUP(YEAR($A52),'NY East Load Projections'!$A$4:$EO$14,((MONTH($A52)-1)*12)+VLOOKUP(R$4,$DE$6:$DF$17,2)+1))*$B52</f>
        <v>-2294.6276557665415</v>
      </c>
      <c r="S52" s="1021">
        <f>(VLOOKUP(YEAR($A52),'NY East Load Projections'!$A$4:$EO$14,((MONTH($A52)-1)*12)+VLOOKUP(S$4,$DE$6:$DF$17,2)+1))*$B52</f>
        <v>-2294.6276557665415</v>
      </c>
      <c r="T52" s="1021">
        <f>(VLOOKUP(YEAR($A52),'NY East Load Projections'!$A$4:$EO$14,((MONTH($A52)-1)*12)+VLOOKUP(T$4,$DE$6:$DF$17,2)+1))*$B52</f>
        <v>-2354.0303038273469</v>
      </c>
      <c r="U52" s="1021">
        <f>(VLOOKUP(YEAR($A52),'NY East Load Projections'!$A$4:$EO$14,((MONTH($A52)-1)*12)+VLOOKUP(U$4,$DE$6:$DF$17,2)+1))*$B52</f>
        <v>-2354.0303038273469</v>
      </c>
      <c r="V52" s="1021">
        <f>(VLOOKUP(YEAR($A52),'NY East Load Projections'!$A$4:$EO$14,((MONTH($A52)-1)*12)+VLOOKUP(V$4,$DE$6:$DF$17,2)+1))*$B52</f>
        <v>-2354.0303038273469</v>
      </c>
      <c r="W52" s="1021">
        <f>(VLOOKUP(YEAR($A52),'NY East Load Projections'!$A$4:$EO$14,((MONTH($A52)-1)*12)+VLOOKUP(W$4,$DE$6:$DF$17,2)+1))*$B52</f>
        <v>-2354.0303038273469</v>
      </c>
      <c r="X52" s="1021">
        <f>(VLOOKUP(YEAR($A52),'NY East Load Projections'!$A$4:$EO$14,((MONTH($A52)-1)*12)+VLOOKUP(X$4,$DE$6:$DF$17,2)+1))*$B52</f>
        <v>-2231.0812699493772</v>
      </c>
      <c r="Y52" s="1021">
        <f>(VLOOKUP(YEAR($A52),'NY East Load Projections'!$A$4:$EO$14,((MONTH($A52)-1)*12)+VLOOKUP(Y$4,$DE$6:$DF$17,2)+1))*$B52</f>
        <v>-2231.0812699493772</v>
      </c>
      <c r="Z52" s="1021">
        <f>(VLOOKUP(YEAR($A52),'NY East Load Projections'!$A$4:$EO$14,((MONTH($A52)-1)*12)+VLOOKUP(Z$4,$DE$6:$DF$17,2)+1))*$B52</f>
        <v>-2231.0812699493772</v>
      </c>
      <c r="AA52" s="1021">
        <f>(VLOOKUP(YEAR($A52),'NY East Load Projections'!$A$4:$EO$14,((MONTH($A52)-1)*12)+VLOOKUP(AA$4,$DE$6:$DF$17,2)+1))*$B52</f>
        <v>-2231.0812699493772</v>
      </c>
      <c r="AB52" s="1021">
        <f>(VLOOKUP(YEAR($A52),'NY East Load Projections'!$A$4:$EO$14,((MONTH($A52)-1)*12)+VLOOKUP(AB$4,$DE$6:$DF$17,2)+1))*$B52</f>
        <v>-2009.7776723902009</v>
      </c>
      <c r="AC52" s="1021">
        <f>(VLOOKUP(YEAR($A52),'NY East Load Projections'!$A$4:$EO$14,((MONTH($A52)-1)*12)+VLOOKUP(AC$4,$DE$6:$DF$17,2)+1))*$B52</f>
        <v>-2009.7776723902009</v>
      </c>
      <c r="AD52" s="1021">
        <f>(VLOOKUP(YEAR($A52),'NY East Load Projections'!$A$4:$EO$14,((MONTH($A52)-1)*12)+VLOOKUP(AD$4,$DE$6:$DF$17,2)+1))*$B52</f>
        <v>-2009.7776723902009</v>
      </c>
      <c r="AE52" s="1021">
        <f>(VLOOKUP(YEAR($A52),'NY East Load Projections'!$A$4:$EO$14,((MONTH($A52)-1)*12)+VLOOKUP(AE$4,$DE$6:$DF$17,2)+1))*$B52</f>
        <v>-2009.7776723902009</v>
      </c>
      <c r="AF52" s="1021"/>
      <c r="AG52" s="1021">
        <f>(VLOOKUP(YEAR($A52),'NY East Load Projections'!$A$4:$EO$14,((MONTH($A52)-1)*12)+VLOOKUP(AG$4,$DE$6:$DF$17,2)+1))*$C52</f>
        <v>-385.22392351851994</v>
      </c>
      <c r="AH52" s="1021">
        <f>(VLOOKUP(YEAR($A52),'NY East Load Projections'!$A$4:$EO$14,((MONTH($A52)-1)*12)+VLOOKUP(AH$4,$DE$6:$DF$17,2)+1))*$C52</f>
        <v>-385.22392351851994</v>
      </c>
      <c r="AI52" s="1021">
        <f>(VLOOKUP(YEAR($A52),'NY East Load Projections'!$A$4:$EO$14,((MONTH($A52)-1)*12)+VLOOKUP(AI$4,$DE$6:$DF$17,2)+1))*$C52</f>
        <v>-385.22392351851994</v>
      </c>
      <c r="AJ52" s="1021">
        <f>(VLOOKUP(YEAR($A52),'NY East Load Projections'!$A$4:$EO$14,((MONTH($A52)-1)*12)+VLOOKUP(AJ$4,$DE$6:$DF$17,2)+1))*$C52</f>
        <v>-385.22392351851994</v>
      </c>
      <c r="AK52" s="1021">
        <f>(VLOOKUP(YEAR($A52),'NY East Load Projections'!$A$4:$EO$14,((MONTH($A52)-1)*12)+VLOOKUP(AK$4,$DE$6:$DF$17,2)+1))*$C52</f>
        <v>-390.88966214870629</v>
      </c>
      <c r="AL52" s="1021">
        <f>(VLOOKUP(YEAR($A52),'NY East Load Projections'!$A$4:$EO$14,((MONTH($A52)-1)*12)+VLOOKUP(AL$4,$DE$6:$DF$17,2)+1))*$C52</f>
        <v>-390.88966214870629</v>
      </c>
      <c r="AM52" s="1021">
        <f>(VLOOKUP(YEAR($A52),'NY East Load Projections'!$A$4:$EO$14,((MONTH($A52)-1)*12)+VLOOKUP(AM$4,$DE$6:$DF$17,2)+1))*$C52</f>
        <v>-390.88966214870629</v>
      </c>
      <c r="AN52" s="1021">
        <f>(VLOOKUP(YEAR($A52),'NY East Load Projections'!$A$4:$EO$14,((MONTH($A52)-1)*12)+VLOOKUP(AN$4,$DE$6:$DF$17,2)+1))*$C52</f>
        <v>-390.88966214870629</v>
      </c>
      <c r="AO52" s="1021">
        <f>(VLOOKUP(YEAR($A52),'NY East Load Projections'!$A$4:$EO$14,((MONTH($A52)-1)*12)+VLOOKUP(AO$4,$DE$6:$DF$17,2)+1))*$C52</f>
        <v>-417.06508232782147</v>
      </c>
      <c r="AP52" s="1021">
        <f>(VLOOKUP(YEAR($A52),'NY East Load Projections'!$A$4:$EO$14,((MONTH($A52)-1)*12)+VLOOKUP(AP$4,$DE$6:$DF$17,2)+1))*$C52</f>
        <v>-417.06508232782147</v>
      </c>
      <c r="AQ52" s="1021">
        <f>(VLOOKUP(YEAR($A52),'NY East Load Projections'!$A$4:$EO$14,((MONTH($A52)-1)*12)+VLOOKUP(AQ$4,$DE$6:$DF$17,2)+1))*$C52</f>
        <v>-417.06508232782147</v>
      </c>
      <c r="AR52" s="1021">
        <f>(VLOOKUP(YEAR($A52),'NY East Load Projections'!$A$4:$EO$14,((MONTH($A52)-1)*12)+VLOOKUP(AR$4,$DE$6:$DF$17,2)+1))*$C52</f>
        <v>-417.06508232782147</v>
      </c>
      <c r="AS52" s="1021">
        <f>(VLOOKUP(YEAR($A52),'NY East Load Projections'!$A$4:$EO$14,((MONTH($A52)-1)*12)+VLOOKUP(AS$4,$DE$6:$DF$17,2)+1))*$C52</f>
        <v>-427.02985767604633</v>
      </c>
      <c r="AT52" s="1021">
        <f>(VLOOKUP(YEAR($A52),'NY East Load Projections'!$A$4:$EO$14,((MONTH($A52)-1)*12)+VLOOKUP(AT$4,$DE$6:$DF$17,2)+1))*$C52</f>
        <v>-427.02985767604633</v>
      </c>
      <c r="AU52" s="1021">
        <f>(VLOOKUP(YEAR($A52),'NY East Load Projections'!$A$4:$EO$14,((MONTH($A52)-1)*12)+VLOOKUP(AU$4,$DE$6:$DF$17,2)+1))*$C52</f>
        <v>-427.02985767604633</v>
      </c>
      <c r="AV52" s="1021">
        <f>(VLOOKUP(YEAR($A52),'NY East Load Projections'!$A$4:$EO$14,((MONTH($A52)-1)*12)+VLOOKUP(AV$4,$DE$6:$DF$17,2)+1))*$C52</f>
        <v>-427.02985767604633</v>
      </c>
      <c r="AW52" s="1021">
        <f>(VLOOKUP(YEAR($A52),'NY East Load Projections'!$A$4:$EO$14,((MONTH($A52)-1)*12)+VLOOKUP(AW$4,$DE$6:$DF$17,2)+1))*$C52</f>
        <v>-407.84186673212594</v>
      </c>
      <c r="AX52" s="1021">
        <f>(VLOOKUP(YEAR($A52),'NY East Load Projections'!$A$4:$EO$14,((MONTH($A52)-1)*12)+VLOOKUP(AX$4,$DE$6:$DF$17,2)+1))*$C52</f>
        <v>-407.84186673212594</v>
      </c>
      <c r="AY52" s="1021">
        <f>(VLOOKUP(YEAR($A52),'NY East Load Projections'!$A$4:$EO$14,((MONTH($A52)-1)*12)+VLOOKUP(AY$4,$DE$6:$DF$17,2)+1))*$C52</f>
        <v>-407.84186673212594</v>
      </c>
      <c r="AZ52" s="1021">
        <f>(VLOOKUP(YEAR($A52),'NY East Load Projections'!$A$4:$EO$14,((MONTH($A52)-1)*12)+VLOOKUP(AZ$4,$DE$6:$DF$17,2)+1))*$C52</f>
        <v>-407.84186673212594</v>
      </c>
      <c r="BA52" s="1021">
        <f>(VLOOKUP(YEAR($A52),'NY East Load Projections'!$A$4:$EO$14,((MONTH($A52)-1)*12)+VLOOKUP(BA$4,$DE$6:$DF$17,2)+1))*$C52</f>
        <v>-390.84475770321893</v>
      </c>
      <c r="BB52" s="1021">
        <f>(VLOOKUP(YEAR($A52),'NY East Load Projections'!$A$4:$EO$14,((MONTH($A52)-1)*12)+VLOOKUP(BB$4,$DE$6:$DF$17,2)+1))*$C52</f>
        <v>-390.84475770321893</v>
      </c>
      <c r="BC52" s="1021">
        <f>(VLOOKUP(YEAR($A52),'NY East Load Projections'!$A$4:$EO$14,((MONTH($A52)-1)*12)+VLOOKUP(BC$4,$DE$6:$DF$17,2)+1))*$C52</f>
        <v>-390.84475770321893</v>
      </c>
      <c r="BD52" s="1021">
        <f>(VLOOKUP(YEAR($A52),'NY East Load Projections'!$A$4:$EO$14,((MONTH($A52)-1)*12)+VLOOKUP(BD$4,$DE$6:$DF$17,2)+1))*$C52</f>
        <v>-390.84475770321893</v>
      </c>
      <c r="BE52" s="1021"/>
      <c r="BF52" s="1021">
        <f>(VLOOKUP(YEAR($A52),'NY East Load Projections'!$A$4:$EO$14,((MONTH($A52)-1)*12)+VLOOKUP(BF$4,$DE$6:$DF$17,2)+1))*$D52</f>
        <v>-385.22392351851994</v>
      </c>
      <c r="BG52" s="1021">
        <f>(VLOOKUP(YEAR($A52),'NY East Load Projections'!$A$4:$EO$14,((MONTH($A52)-1)*12)+VLOOKUP(BG$4,$DE$6:$DF$17,2)+1))*$D52</f>
        <v>-385.22392351851994</v>
      </c>
      <c r="BH52" s="1021">
        <f>(VLOOKUP(YEAR($A52),'NY East Load Projections'!$A$4:$EO$14,((MONTH($A52)-1)*12)+VLOOKUP(BH$4,$DE$6:$DF$17,2)+1))*$D52</f>
        <v>-385.22392351851994</v>
      </c>
      <c r="BI52" s="1021">
        <f>(VLOOKUP(YEAR($A52),'NY East Load Projections'!$A$4:$EO$14,((MONTH($A52)-1)*12)+VLOOKUP(BI$4,$DE$6:$DF$17,2)+1))*$D52</f>
        <v>-385.22392351851994</v>
      </c>
      <c r="BJ52" s="1021">
        <f>(VLOOKUP(YEAR($A52),'NY East Load Projections'!$A$4:$EO$14,((MONTH($A52)-1)*12)+VLOOKUP(BJ$4,$DE$6:$DF$17,2)+1))*$D52</f>
        <v>-390.88966214870629</v>
      </c>
      <c r="BK52" s="1021">
        <f>(VLOOKUP(YEAR($A52),'NY East Load Projections'!$A$4:$EO$14,((MONTH($A52)-1)*12)+VLOOKUP(BK$4,$DE$6:$DF$17,2)+1))*$D52</f>
        <v>-390.88966214870629</v>
      </c>
      <c r="BL52" s="1021">
        <f>(VLOOKUP(YEAR($A52),'NY East Load Projections'!$A$4:$EO$14,((MONTH($A52)-1)*12)+VLOOKUP(BL$4,$DE$6:$DF$17,2)+1))*$D52</f>
        <v>-390.88966214870629</v>
      </c>
      <c r="BM52" s="1021">
        <f>(VLOOKUP(YEAR($A52),'NY East Load Projections'!$A$4:$EO$14,((MONTH($A52)-1)*12)+VLOOKUP(BM$4,$DE$6:$DF$17,2)+1))*$D52</f>
        <v>-390.88966214870629</v>
      </c>
      <c r="BN52" s="1021">
        <f>(VLOOKUP(YEAR($A52),'NY East Load Projections'!$A$4:$EO$14,((MONTH($A52)-1)*12)+VLOOKUP(BN$4,$DE$6:$DF$17,2)+1))*$D52</f>
        <v>-417.06508232782147</v>
      </c>
      <c r="BO52" s="1021">
        <f>(VLOOKUP(YEAR($A52),'NY East Load Projections'!$A$4:$EO$14,((MONTH($A52)-1)*12)+VLOOKUP(BO$4,$DE$6:$DF$17,2)+1))*$D52</f>
        <v>-417.06508232782147</v>
      </c>
      <c r="BP52" s="1021">
        <f>(VLOOKUP(YEAR($A52),'NY East Load Projections'!$A$4:$EO$14,((MONTH($A52)-1)*12)+VLOOKUP(BP$4,$DE$6:$DF$17,2)+1))*$D52</f>
        <v>-417.06508232782147</v>
      </c>
      <c r="BQ52" s="1021">
        <f>(VLOOKUP(YEAR($A52),'NY East Load Projections'!$A$4:$EO$14,((MONTH($A52)-1)*12)+VLOOKUP(BQ$4,$DE$6:$DF$17,2)+1))*$D52</f>
        <v>-417.06508232782147</v>
      </c>
      <c r="BR52" s="1021">
        <f>(VLOOKUP(YEAR($A52),'NY East Load Projections'!$A$4:$EO$14,((MONTH($A52)-1)*12)+VLOOKUP(BR$4,$DE$6:$DF$17,2)+1))*$D52</f>
        <v>-427.02985767604633</v>
      </c>
      <c r="BS52" s="1021">
        <f>(VLOOKUP(YEAR($A52),'NY East Load Projections'!$A$4:$EO$14,((MONTH($A52)-1)*12)+VLOOKUP(BS$4,$DE$6:$DF$17,2)+1))*$D52</f>
        <v>-427.02985767604633</v>
      </c>
      <c r="BT52" s="1021">
        <f>(VLOOKUP(YEAR($A52),'NY East Load Projections'!$A$4:$EO$14,((MONTH($A52)-1)*12)+VLOOKUP(BT$4,$DE$6:$DF$17,2)+1))*$D52</f>
        <v>-427.02985767604633</v>
      </c>
      <c r="BU52" s="1021">
        <f>(VLOOKUP(YEAR($A52),'NY East Load Projections'!$A$4:$EO$14,((MONTH($A52)-1)*12)+VLOOKUP(BU$4,$DE$6:$DF$17,2)+1))*$D52</f>
        <v>-427.02985767604633</v>
      </c>
      <c r="BV52" s="1021">
        <f>(VLOOKUP(YEAR($A52),'NY East Load Projections'!$A$4:$EO$14,((MONTH($A52)-1)*12)+VLOOKUP(BV$4,$DE$6:$DF$17,2)+1))*$D52</f>
        <v>-407.84186673212594</v>
      </c>
      <c r="BW52" s="1021">
        <f>(VLOOKUP(YEAR($A52),'NY East Load Projections'!$A$4:$EO$14,((MONTH($A52)-1)*12)+VLOOKUP(BW$4,$DE$6:$DF$17,2)+1))*$D52</f>
        <v>-407.84186673212594</v>
      </c>
      <c r="BX52" s="1021">
        <f>(VLOOKUP(YEAR($A52),'NY East Load Projections'!$A$4:$EO$14,((MONTH($A52)-1)*12)+VLOOKUP(BX$4,$DE$6:$DF$17,2)+1))*$D52</f>
        <v>-407.84186673212594</v>
      </c>
      <c r="BY52" s="1021">
        <f>(VLOOKUP(YEAR($A52),'NY East Load Projections'!$A$4:$EO$14,((MONTH($A52)-1)*12)+VLOOKUP(BY$4,$DE$6:$DF$17,2)+1))*$D52</f>
        <v>-407.84186673212594</v>
      </c>
      <c r="BZ52" s="1021">
        <f>(VLOOKUP(YEAR($A52),'NY East Load Projections'!$A$4:$EO$14,((MONTH($A52)-1)*12)+VLOOKUP(BZ$4,$DE$6:$DF$17,2)+1))*$D52</f>
        <v>-390.84475770321893</v>
      </c>
      <c r="CA52" s="1021">
        <f>(VLOOKUP(YEAR($A52),'NY East Load Projections'!$A$4:$EO$14,((MONTH($A52)-1)*12)+VLOOKUP(CA$4,$DE$6:$DF$17,2)+1))*$D52</f>
        <v>-390.84475770321893</v>
      </c>
      <c r="CB52" s="1021">
        <f>(VLOOKUP(YEAR($A52),'NY East Load Projections'!$A$4:$EO$14,((MONTH($A52)-1)*12)+VLOOKUP(CB$4,$DE$6:$DF$17,2)+1))*$D52</f>
        <v>-390.84475770321893</v>
      </c>
      <c r="CC52" s="1021">
        <f>(VLOOKUP(YEAR($A52),'NY East Load Projections'!$A$4:$EO$14,((MONTH($A52)-1)*12)+VLOOKUP(CC$4,$DE$6:$DF$17,2)+1))*$D52</f>
        <v>-390.84475770321893</v>
      </c>
      <c r="CE52" s="1021">
        <f>(VLOOKUP(YEAR($A52),'NY East Load Projections'!$A$4:$EO$14,((MONTH($A52)-1)*12)+VLOOKUP(CE$4,$DE$6:$DF$17,2)+1))*$E52</f>
        <v>-96.305980879629985</v>
      </c>
      <c r="CF52" s="1021">
        <f>(VLOOKUP(YEAR($A52),'NY East Load Projections'!$A$4:$EO$14,((MONTH($A52)-1)*12)+VLOOKUP(CF$4,$DE$6:$DF$17,2)+1))*$E52</f>
        <v>-96.305980879629985</v>
      </c>
      <c r="CG52" s="1021">
        <f>(VLOOKUP(YEAR($A52),'NY East Load Projections'!$A$4:$EO$14,((MONTH($A52)-1)*12)+VLOOKUP(CG$4,$DE$6:$DF$17,2)+1))*$E52</f>
        <v>-96.305980879629985</v>
      </c>
      <c r="CH52" s="1021">
        <f>(VLOOKUP(YEAR($A52),'NY East Load Projections'!$A$4:$EO$14,((MONTH($A52)-1)*12)+VLOOKUP(CH$4,$DE$6:$DF$17,2)+1))*$E52</f>
        <v>-96.305980879629985</v>
      </c>
      <c r="CI52" s="1021">
        <f>(VLOOKUP(YEAR($A52),'NY East Load Projections'!$A$4:$EO$14,((MONTH($A52)-1)*12)+VLOOKUP(CI$4,$DE$6:$DF$17,2)+1))*$E52</f>
        <v>-97.722415537176573</v>
      </c>
      <c r="CJ52" s="1021">
        <f>(VLOOKUP(YEAR($A52),'NY East Load Projections'!$A$4:$EO$14,((MONTH($A52)-1)*12)+VLOOKUP(CJ$4,$DE$6:$DF$17,2)+1))*$E52</f>
        <v>-97.722415537176573</v>
      </c>
      <c r="CK52" s="1021">
        <f>(VLOOKUP(YEAR($A52),'NY East Load Projections'!$A$4:$EO$14,((MONTH($A52)-1)*12)+VLOOKUP(CK$4,$DE$6:$DF$17,2)+1))*$E52</f>
        <v>-97.722415537176573</v>
      </c>
      <c r="CL52" s="1021">
        <f>(VLOOKUP(YEAR($A52),'NY East Load Projections'!$A$4:$EO$14,((MONTH($A52)-1)*12)+VLOOKUP(CL$4,$DE$6:$DF$17,2)+1))*$E52</f>
        <v>-97.722415537176573</v>
      </c>
      <c r="CM52" s="1021">
        <f>(VLOOKUP(YEAR($A52),'NY East Load Projections'!$A$4:$EO$14,((MONTH($A52)-1)*12)+VLOOKUP(CM$4,$DE$6:$DF$17,2)+1))*$E52</f>
        <v>-104.26627058195537</v>
      </c>
      <c r="CN52" s="1021">
        <f>(VLOOKUP(YEAR($A52),'NY East Load Projections'!$A$4:$EO$14,((MONTH($A52)-1)*12)+VLOOKUP(CN$4,$DE$6:$DF$17,2)+1))*$E52</f>
        <v>-104.26627058195537</v>
      </c>
      <c r="CO52" s="1021">
        <f>(VLOOKUP(YEAR($A52),'NY East Load Projections'!$A$4:$EO$14,((MONTH($A52)-1)*12)+VLOOKUP(CO$4,$DE$6:$DF$17,2)+1))*$E52</f>
        <v>-104.26627058195537</v>
      </c>
      <c r="CP52" s="1021">
        <f>(VLOOKUP(YEAR($A52),'NY East Load Projections'!$A$4:$EO$14,((MONTH($A52)-1)*12)+VLOOKUP(CP$4,$DE$6:$DF$17,2)+1))*$E52</f>
        <v>-104.26627058195537</v>
      </c>
      <c r="CQ52" s="1021">
        <f>(VLOOKUP(YEAR($A52),'NY East Load Projections'!$A$4:$EO$14,((MONTH($A52)-1)*12)+VLOOKUP(CQ$4,$DE$6:$DF$17,2)+1))*$E52</f>
        <v>-106.75746441901158</v>
      </c>
      <c r="CR52" s="1021">
        <f>(VLOOKUP(YEAR($A52),'NY East Load Projections'!$A$4:$EO$14,((MONTH($A52)-1)*12)+VLOOKUP(CR$4,$DE$6:$DF$17,2)+1))*$E52</f>
        <v>-106.75746441901158</v>
      </c>
      <c r="CS52" s="1021">
        <f>(VLOOKUP(YEAR($A52),'NY East Load Projections'!$A$4:$EO$14,((MONTH($A52)-1)*12)+VLOOKUP(CS$4,$DE$6:$DF$17,2)+1))*$E52</f>
        <v>-106.75746441901158</v>
      </c>
      <c r="CT52" s="1021">
        <f>(VLOOKUP(YEAR($A52),'NY East Load Projections'!$A$4:$EO$14,((MONTH($A52)-1)*12)+VLOOKUP(CT$4,$DE$6:$DF$17,2)+1))*$E52</f>
        <v>-106.75746441901158</v>
      </c>
      <c r="CU52" s="1021">
        <f>(VLOOKUP(YEAR($A52),'NY East Load Projections'!$A$4:$EO$14,((MONTH($A52)-1)*12)+VLOOKUP(CU$4,$DE$6:$DF$17,2)+1))*$E52</f>
        <v>-101.96046668303148</v>
      </c>
      <c r="CV52" s="1021">
        <f>(VLOOKUP(YEAR($A52),'NY East Load Projections'!$A$4:$EO$14,((MONTH($A52)-1)*12)+VLOOKUP(CV$4,$DE$6:$DF$17,2)+1))*$E52</f>
        <v>-101.96046668303148</v>
      </c>
      <c r="CW52" s="1021">
        <f>(VLOOKUP(YEAR($A52),'NY East Load Projections'!$A$4:$EO$14,((MONTH($A52)-1)*12)+VLOOKUP(CW$4,$DE$6:$DF$17,2)+1))*$E52</f>
        <v>-101.96046668303148</v>
      </c>
      <c r="CX52" s="1021">
        <f>(VLOOKUP(YEAR($A52),'NY East Load Projections'!$A$4:$EO$14,((MONTH($A52)-1)*12)+VLOOKUP(CX$4,$DE$6:$DF$17,2)+1))*$E52</f>
        <v>-101.96046668303148</v>
      </c>
      <c r="CY52" s="1021">
        <f>(VLOOKUP(YEAR($A52),'NY East Load Projections'!$A$4:$EO$14,((MONTH($A52)-1)*12)+VLOOKUP(CY$4,$DE$6:$DF$17,2)+1))*$E52</f>
        <v>-97.711189425804733</v>
      </c>
      <c r="CZ52" s="1021">
        <f>(VLOOKUP(YEAR($A52),'NY East Load Projections'!$A$4:$EO$14,((MONTH($A52)-1)*12)+VLOOKUP(CZ$4,$DE$6:$DF$17,2)+1))*$E52</f>
        <v>-97.711189425804733</v>
      </c>
      <c r="DA52" s="1021">
        <f>(VLOOKUP(YEAR($A52),'NY East Load Projections'!$A$4:$EO$14,((MONTH($A52)-1)*12)+VLOOKUP(DA$4,$DE$6:$DF$17,2)+1))*$E52</f>
        <v>-97.711189425804733</v>
      </c>
      <c r="DB52" s="1021">
        <f>(VLOOKUP(YEAR($A52),'NY East Load Projections'!$A$4:$EO$14,((MONTH($A52)-1)*12)+VLOOKUP(DB$4,$DE$6:$DF$17,2)+1))*$E52</f>
        <v>-97.711189425804733</v>
      </c>
      <c r="DH52" s="1009">
        <f t="shared" si="2"/>
        <v>-73416.343327003211</v>
      </c>
      <c r="DI52">
        <f ca="1">CALC!J72</f>
        <v>0.70892999251362265</v>
      </c>
      <c r="DJ52" s="1032">
        <f t="shared" ca="1" si="1"/>
        <v>-52047.047725189936</v>
      </c>
    </row>
    <row r="53" spans="1:114" x14ac:dyDescent="0.25">
      <c r="A53" s="244">
        <v>38322</v>
      </c>
      <c r="B53" s="13">
        <v>23</v>
      </c>
      <c r="C53" s="210">
        <v>3</v>
      </c>
      <c r="D53" s="210">
        <v>4</v>
      </c>
      <c r="E53" s="210">
        <v>1</v>
      </c>
      <c r="F53" s="13">
        <v>31</v>
      </c>
      <c r="H53" s="1021">
        <f>(VLOOKUP(YEAR($A53),'NY East Load Projections'!$A$4:$EO$14,((MONTH($A53)-1)*12)+VLOOKUP(H$4,$DE$6:$DF$17,2)+1))*$B53</f>
        <v>-2036.457219119869</v>
      </c>
      <c r="I53" s="1021">
        <f>(VLOOKUP(YEAR($A53),'NY East Load Projections'!$A$4:$EO$14,((MONTH($A53)-1)*12)+VLOOKUP(I$4,$DE$6:$DF$17,2)+1))*$B53</f>
        <v>-2036.457219119869</v>
      </c>
      <c r="J53" s="1021">
        <f>(VLOOKUP(YEAR($A53),'NY East Load Projections'!$A$4:$EO$14,((MONTH($A53)-1)*12)+VLOOKUP(J$4,$DE$6:$DF$17,2)+1))*$B53</f>
        <v>-2036.457219119869</v>
      </c>
      <c r="K53" s="1021">
        <f>(VLOOKUP(YEAR($A53),'NY East Load Projections'!$A$4:$EO$14,((MONTH($A53)-1)*12)+VLOOKUP(K$4,$DE$6:$DF$17,2)+1))*$B53</f>
        <v>-2036.457219119869</v>
      </c>
      <c r="L53" s="1021">
        <f>(VLOOKUP(YEAR($A53),'NY East Load Projections'!$A$4:$EO$14,((MONTH($A53)-1)*12)+VLOOKUP(L$4,$DE$6:$DF$17,2)+1))*$B53</f>
        <v>-2262.7620183594945</v>
      </c>
      <c r="M53" s="1021">
        <f>(VLOOKUP(YEAR($A53),'NY East Load Projections'!$A$4:$EO$14,((MONTH($A53)-1)*12)+VLOOKUP(M$4,$DE$6:$DF$17,2)+1))*$B53</f>
        <v>-2262.7620183594945</v>
      </c>
      <c r="N53" s="1021">
        <f>(VLOOKUP(YEAR($A53),'NY East Load Projections'!$A$4:$EO$14,((MONTH($A53)-1)*12)+VLOOKUP(N$4,$DE$6:$DF$17,2)+1))*$B53</f>
        <v>-2262.7620183594945</v>
      </c>
      <c r="O53" s="1021">
        <f>(VLOOKUP(YEAR($A53),'NY East Load Projections'!$A$4:$EO$14,((MONTH($A53)-1)*12)+VLOOKUP(O$4,$DE$6:$DF$17,2)+1))*$B53</f>
        <v>-2262.7620183594945</v>
      </c>
      <c r="P53" s="1021">
        <f>(VLOOKUP(YEAR($A53),'NY East Load Projections'!$A$4:$EO$14,((MONTH($A53)-1)*12)+VLOOKUP(P$4,$DE$6:$DF$17,2)+1))*$B53</f>
        <v>-2471.7864495254653</v>
      </c>
      <c r="Q53" s="1021">
        <f>(VLOOKUP(YEAR($A53),'NY East Load Projections'!$A$4:$EO$14,((MONTH($A53)-1)*12)+VLOOKUP(Q$4,$DE$6:$DF$17,2)+1))*$B53</f>
        <v>-2471.7864495254653</v>
      </c>
      <c r="R53" s="1021">
        <f>(VLOOKUP(YEAR($A53),'NY East Load Projections'!$A$4:$EO$14,((MONTH($A53)-1)*12)+VLOOKUP(R$4,$DE$6:$DF$17,2)+1))*$B53</f>
        <v>-2471.7864495254653</v>
      </c>
      <c r="S53" s="1021">
        <f>(VLOOKUP(YEAR($A53),'NY East Load Projections'!$A$4:$EO$14,((MONTH($A53)-1)*12)+VLOOKUP(S$4,$DE$6:$DF$17,2)+1))*$B53</f>
        <v>-2471.7864495254653</v>
      </c>
      <c r="T53" s="1021">
        <f>(VLOOKUP(YEAR($A53),'NY East Load Projections'!$A$4:$EO$14,((MONTH($A53)-1)*12)+VLOOKUP(T$4,$DE$6:$DF$17,2)+1))*$B53</f>
        <v>-2508.1546458283929</v>
      </c>
      <c r="U53" s="1021">
        <f>(VLOOKUP(YEAR($A53),'NY East Load Projections'!$A$4:$EO$14,((MONTH($A53)-1)*12)+VLOOKUP(U$4,$DE$6:$DF$17,2)+1))*$B53</f>
        <v>-2508.1546458283929</v>
      </c>
      <c r="V53" s="1021">
        <f>(VLOOKUP(YEAR($A53),'NY East Load Projections'!$A$4:$EO$14,((MONTH($A53)-1)*12)+VLOOKUP(V$4,$DE$6:$DF$17,2)+1))*$B53</f>
        <v>-2508.1546458283929</v>
      </c>
      <c r="W53" s="1021">
        <f>(VLOOKUP(YEAR($A53),'NY East Load Projections'!$A$4:$EO$14,((MONTH($A53)-1)*12)+VLOOKUP(W$4,$DE$6:$DF$17,2)+1))*$B53</f>
        <v>-2508.1546458283929</v>
      </c>
      <c r="X53" s="1021">
        <f>(VLOOKUP(YEAR($A53),'NY East Load Projections'!$A$4:$EO$14,((MONTH($A53)-1)*12)+VLOOKUP(X$4,$DE$6:$DF$17,2)+1))*$B53</f>
        <v>-2372.3511521851397</v>
      </c>
      <c r="Y53" s="1021">
        <f>(VLOOKUP(YEAR($A53),'NY East Load Projections'!$A$4:$EO$14,((MONTH($A53)-1)*12)+VLOOKUP(Y$4,$DE$6:$DF$17,2)+1))*$B53</f>
        <v>-2372.3511521851397</v>
      </c>
      <c r="Z53" s="1021">
        <f>(VLOOKUP(YEAR($A53),'NY East Load Projections'!$A$4:$EO$14,((MONTH($A53)-1)*12)+VLOOKUP(Z$4,$DE$6:$DF$17,2)+1))*$B53</f>
        <v>-2372.3511521851397</v>
      </c>
      <c r="AA53" s="1021">
        <f>(VLOOKUP(YEAR($A53),'NY East Load Projections'!$A$4:$EO$14,((MONTH($A53)-1)*12)+VLOOKUP(AA$4,$DE$6:$DF$17,2)+1))*$B53</f>
        <v>-2372.3511521851397</v>
      </c>
      <c r="AB53" s="1021">
        <f>(VLOOKUP(YEAR($A53),'NY East Load Projections'!$A$4:$EO$14,((MONTH($A53)-1)*12)+VLOOKUP(AB$4,$DE$6:$DF$17,2)+1))*$B53</f>
        <v>-2143.0587781269996</v>
      </c>
      <c r="AC53" s="1021">
        <f>(VLOOKUP(YEAR($A53),'NY East Load Projections'!$A$4:$EO$14,((MONTH($A53)-1)*12)+VLOOKUP(AC$4,$DE$6:$DF$17,2)+1))*$B53</f>
        <v>-2143.0587781269996</v>
      </c>
      <c r="AD53" s="1021">
        <f>(VLOOKUP(YEAR($A53),'NY East Load Projections'!$A$4:$EO$14,((MONTH($A53)-1)*12)+VLOOKUP(AD$4,$DE$6:$DF$17,2)+1))*$B53</f>
        <v>-2143.0587781269996</v>
      </c>
      <c r="AE53" s="1021">
        <f>(VLOOKUP(YEAR($A53),'NY East Load Projections'!$A$4:$EO$14,((MONTH($A53)-1)*12)+VLOOKUP(AE$4,$DE$6:$DF$17,2)+1))*$B53</f>
        <v>-2143.0587781269996</v>
      </c>
      <c r="AF53" s="1021"/>
      <c r="AG53" s="1021">
        <f>(VLOOKUP(YEAR($A53),'NY East Load Projections'!$A$4:$EO$14,((MONTH($A53)-1)*12)+VLOOKUP(AG$4,$DE$6:$DF$17,2)+1))*$C53</f>
        <v>-280.83350871523714</v>
      </c>
      <c r="AH53" s="1021">
        <f>(VLOOKUP(YEAR($A53),'NY East Load Projections'!$A$4:$EO$14,((MONTH($A53)-1)*12)+VLOOKUP(AH$4,$DE$6:$DF$17,2)+1))*$C53</f>
        <v>-280.83350871523714</v>
      </c>
      <c r="AI53" s="1021">
        <f>(VLOOKUP(YEAR($A53),'NY East Load Projections'!$A$4:$EO$14,((MONTH($A53)-1)*12)+VLOOKUP(AI$4,$DE$6:$DF$17,2)+1))*$C53</f>
        <v>-280.83350871523714</v>
      </c>
      <c r="AJ53" s="1021">
        <f>(VLOOKUP(YEAR($A53),'NY East Load Projections'!$A$4:$EO$14,((MONTH($A53)-1)*12)+VLOOKUP(AJ$4,$DE$6:$DF$17,2)+1))*$C53</f>
        <v>-280.83350871523714</v>
      </c>
      <c r="AK53" s="1021">
        <f>(VLOOKUP(YEAR($A53),'NY East Load Projections'!$A$4:$EO$14,((MONTH($A53)-1)*12)+VLOOKUP(AK$4,$DE$6:$DF$17,2)+1))*$C53</f>
        <v>-287.05278418301089</v>
      </c>
      <c r="AL53" s="1021">
        <f>(VLOOKUP(YEAR($A53),'NY East Load Projections'!$A$4:$EO$14,((MONTH($A53)-1)*12)+VLOOKUP(AL$4,$DE$6:$DF$17,2)+1))*$C53</f>
        <v>-287.05278418301089</v>
      </c>
      <c r="AM53" s="1021">
        <f>(VLOOKUP(YEAR($A53),'NY East Load Projections'!$A$4:$EO$14,((MONTH($A53)-1)*12)+VLOOKUP(AM$4,$DE$6:$DF$17,2)+1))*$C53</f>
        <v>-287.05278418301089</v>
      </c>
      <c r="AN53" s="1021">
        <f>(VLOOKUP(YEAR($A53),'NY East Load Projections'!$A$4:$EO$14,((MONTH($A53)-1)*12)+VLOOKUP(AN$4,$DE$6:$DF$17,2)+1))*$C53</f>
        <v>-287.05278418301089</v>
      </c>
      <c r="AO53" s="1021">
        <f>(VLOOKUP(YEAR($A53),'NY East Load Projections'!$A$4:$EO$14,((MONTH($A53)-1)*12)+VLOOKUP(AO$4,$DE$6:$DF$17,2)+1))*$C53</f>
        <v>-306.52782388058898</v>
      </c>
      <c r="AP53" s="1021">
        <f>(VLOOKUP(YEAR($A53),'NY East Load Projections'!$A$4:$EO$14,((MONTH($A53)-1)*12)+VLOOKUP(AP$4,$DE$6:$DF$17,2)+1))*$C53</f>
        <v>-306.52782388058898</v>
      </c>
      <c r="AQ53" s="1021">
        <f>(VLOOKUP(YEAR($A53),'NY East Load Projections'!$A$4:$EO$14,((MONTH($A53)-1)*12)+VLOOKUP(AQ$4,$DE$6:$DF$17,2)+1))*$C53</f>
        <v>-306.52782388058898</v>
      </c>
      <c r="AR53" s="1021">
        <f>(VLOOKUP(YEAR($A53),'NY East Load Projections'!$A$4:$EO$14,((MONTH($A53)-1)*12)+VLOOKUP(AR$4,$DE$6:$DF$17,2)+1))*$C53</f>
        <v>-306.52782388058898</v>
      </c>
      <c r="AS53" s="1021">
        <f>(VLOOKUP(YEAR($A53),'NY East Load Projections'!$A$4:$EO$14,((MONTH($A53)-1)*12)+VLOOKUP(AS$4,$DE$6:$DF$17,2)+1))*$C53</f>
        <v>-308.30089507325573</v>
      </c>
      <c r="AT53" s="1021">
        <f>(VLOOKUP(YEAR($A53),'NY East Load Projections'!$A$4:$EO$14,((MONTH($A53)-1)*12)+VLOOKUP(AT$4,$DE$6:$DF$17,2)+1))*$C53</f>
        <v>-308.30089507325573</v>
      </c>
      <c r="AU53" s="1021">
        <f>(VLOOKUP(YEAR($A53),'NY East Load Projections'!$A$4:$EO$14,((MONTH($A53)-1)*12)+VLOOKUP(AU$4,$DE$6:$DF$17,2)+1))*$C53</f>
        <v>-308.30089507325573</v>
      </c>
      <c r="AV53" s="1021">
        <f>(VLOOKUP(YEAR($A53),'NY East Load Projections'!$A$4:$EO$14,((MONTH($A53)-1)*12)+VLOOKUP(AV$4,$DE$6:$DF$17,2)+1))*$C53</f>
        <v>-308.30089507325573</v>
      </c>
      <c r="AW53" s="1021">
        <f>(VLOOKUP(YEAR($A53),'NY East Load Projections'!$A$4:$EO$14,((MONTH($A53)-1)*12)+VLOOKUP(AW$4,$DE$6:$DF$17,2)+1))*$C53</f>
        <v>-295.91108197747064</v>
      </c>
      <c r="AX53" s="1021">
        <f>(VLOOKUP(YEAR($A53),'NY East Load Projections'!$A$4:$EO$14,((MONTH($A53)-1)*12)+VLOOKUP(AX$4,$DE$6:$DF$17,2)+1))*$C53</f>
        <v>-295.91108197747064</v>
      </c>
      <c r="AY53" s="1021">
        <f>(VLOOKUP(YEAR($A53),'NY East Load Projections'!$A$4:$EO$14,((MONTH($A53)-1)*12)+VLOOKUP(AY$4,$DE$6:$DF$17,2)+1))*$C53</f>
        <v>-295.91108197747064</v>
      </c>
      <c r="AZ53" s="1021">
        <f>(VLOOKUP(YEAR($A53),'NY East Load Projections'!$A$4:$EO$14,((MONTH($A53)-1)*12)+VLOOKUP(AZ$4,$DE$6:$DF$17,2)+1))*$C53</f>
        <v>-295.91108197747064</v>
      </c>
      <c r="BA53" s="1021">
        <f>(VLOOKUP(YEAR($A53),'NY East Load Projections'!$A$4:$EO$14,((MONTH($A53)-1)*12)+VLOOKUP(BA$4,$DE$6:$DF$17,2)+1))*$C53</f>
        <v>-286.45742844817443</v>
      </c>
      <c r="BB53" s="1021">
        <f>(VLOOKUP(YEAR($A53),'NY East Load Projections'!$A$4:$EO$14,((MONTH($A53)-1)*12)+VLOOKUP(BB$4,$DE$6:$DF$17,2)+1))*$C53</f>
        <v>-286.45742844817443</v>
      </c>
      <c r="BC53" s="1021">
        <f>(VLOOKUP(YEAR($A53),'NY East Load Projections'!$A$4:$EO$14,((MONTH($A53)-1)*12)+VLOOKUP(BC$4,$DE$6:$DF$17,2)+1))*$C53</f>
        <v>-286.45742844817443</v>
      </c>
      <c r="BD53" s="1021">
        <f>(VLOOKUP(YEAR($A53),'NY East Load Projections'!$A$4:$EO$14,((MONTH($A53)-1)*12)+VLOOKUP(BD$4,$DE$6:$DF$17,2)+1))*$C53</f>
        <v>-286.45742844817443</v>
      </c>
      <c r="BE53" s="1021"/>
      <c r="BF53" s="1021">
        <f>(VLOOKUP(YEAR($A53),'NY East Load Projections'!$A$4:$EO$14,((MONTH($A53)-1)*12)+VLOOKUP(BF$4,$DE$6:$DF$17,2)+1))*$D53</f>
        <v>-374.44467828698288</v>
      </c>
      <c r="BG53" s="1021">
        <f>(VLOOKUP(YEAR($A53),'NY East Load Projections'!$A$4:$EO$14,((MONTH($A53)-1)*12)+VLOOKUP(BG$4,$DE$6:$DF$17,2)+1))*$D53</f>
        <v>-374.44467828698288</v>
      </c>
      <c r="BH53" s="1021">
        <f>(VLOOKUP(YEAR($A53),'NY East Load Projections'!$A$4:$EO$14,((MONTH($A53)-1)*12)+VLOOKUP(BH$4,$DE$6:$DF$17,2)+1))*$D53</f>
        <v>-374.44467828698288</v>
      </c>
      <c r="BI53" s="1021">
        <f>(VLOOKUP(YEAR($A53),'NY East Load Projections'!$A$4:$EO$14,((MONTH($A53)-1)*12)+VLOOKUP(BI$4,$DE$6:$DF$17,2)+1))*$D53</f>
        <v>-374.44467828698288</v>
      </c>
      <c r="BJ53" s="1021">
        <f>(VLOOKUP(YEAR($A53),'NY East Load Projections'!$A$4:$EO$14,((MONTH($A53)-1)*12)+VLOOKUP(BJ$4,$DE$6:$DF$17,2)+1))*$D53</f>
        <v>-382.73704557734783</v>
      </c>
      <c r="BK53" s="1021">
        <f>(VLOOKUP(YEAR($A53),'NY East Load Projections'!$A$4:$EO$14,((MONTH($A53)-1)*12)+VLOOKUP(BK$4,$DE$6:$DF$17,2)+1))*$D53</f>
        <v>-382.73704557734783</v>
      </c>
      <c r="BL53" s="1021">
        <f>(VLOOKUP(YEAR($A53),'NY East Load Projections'!$A$4:$EO$14,((MONTH($A53)-1)*12)+VLOOKUP(BL$4,$DE$6:$DF$17,2)+1))*$D53</f>
        <v>-382.73704557734783</v>
      </c>
      <c r="BM53" s="1021">
        <f>(VLOOKUP(YEAR($A53),'NY East Load Projections'!$A$4:$EO$14,((MONTH($A53)-1)*12)+VLOOKUP(BM$4,$DE$6:$DF$17,2)+1))*$D53</f>
        <v>-382.73704557734783</v>
      </c>
      <c r="BN53" s="1021">
        <f>(VLOOKUP(YEAR($A53),'NY East Load Projections'!$A$4:$EO$14,((MONTH($A53)-1)*12)+VLOOKUP(BN$4,$DE$6:$DF$17,2)+1))*$D53</f>
        <v>-408.70376517411864</v>
      </c>
      <c r="BO53" s="1021">
        <f>(VLOOKUP(YEAR($A53),'NY East Load Projections'!$A$4:$EO$14,((MONTH($A53)-1)*12)+VLOOKUP(BO$4,$DE$6:$DF$17,2)+1))*$D53</f>
        <v>-408.70376517411864</v>
      </c>
      <c r="BP53" s="1021">
        <f>(VLOOKUP(YEAR($A53),'NY East Load Projections'!$A$4:$EO$14,((MONTH($A53)-1)*12)+VLOOKUP(BP$4,$DE$6:$DF$17,2)+1))*$D53</f>
        <v>-408.70376517411864</v>
      </c>
      <c r="BQ53" s="1021">
        <f>(VLOOKUP(YEAR($A53),'NY East Load Projections'!$A$4:$EO$14,((MONTH($A53)-1)*12)+VLOOKUP(BQ$4,$DE$6:$DF$17,2)+1))*$D53</f>
        <v>-408.70376517411864</v>
      </c>
      <c r="BR53" s="1021">
        <f>(VLOOKUP(YEAR($A53),'NY East Load Projections'!$A$4:$EO$14,((MONTH($A53)-1)*12)+VLOOKUP(BR$4,$DE$6:$DF$17,2)+1))*$D53</f>
        <v>-411.06786009767433</v>
      </c>
      <c r="BS53" s="1021">
        <f>(VLOOKUP(YEAR($A53),'NY East Load Projections'!$A$4:$EO$14,((MONTH($A53)-1)*12)+VLOOKUP(BS$4,$DE$6:$DF$17,2)+1))*$D53</f>
        <v>-411.06786009767433</v>
      </c>
      <c r="BT53" s="1021">
        <f>(VLOOKUP(YEAR($A53),'NY East Load Projections'!$A$4:$EO$14,((MONTH($A53)-1)*12)+VLOOKUP(BT$4,$DE$6:$DF$17,2)+1))*$D53</f>
        <v>-411.06786009767433</v>
      </c>
      <c r="BU53" s="1021">
        <f>(VLOOKUP(YEAR($A53),'NY East Load Projections'!$A$4:$EO$14,((MONTH($A53)-1)*12)+VLOOKUP(BU$4,$DE$6:$DF$17,2)+1))*$D53</f>
        <v>-411.06786009767433</v>
      </c>
      <c r="BV53" s="1021">
        <f>(VLOOKUP(YEAR($A53),'NY East Load Projections'!$A$4:$EO$14,((MONTH($A53)-1)*12)+VLOOKUP(BV$4,$DE$6:$DF$17,2)+1))*$D53</f>
        <v>-394.54810930329415</v>
      </c>
      <c r="BW53" s="1021">
        <f>(VLOOKUP(YEAR($A53),'NY East Load Projections'!$A$4:$EO$14,((MONTH($A53)-1)*12)+VLOOKUP(BW$4,$DE$6:$DF$17,2)+1))*$D53</f>
        <v>-394.54810930329415</v>
      </c>
      <c r="BX53" s="1021">
        <f>(VLOOKUP(YEAR($A53),'NY East Load Projections'!$A$4:$EO$14,((MONTH($A53)-1)*12)+VLOOKUP(BX$4,$DE$6:$DF$17,2)+1))*$D53</f>
        <v>-394.54810930329415</v>
      </c>
      <c r="BY53" s="1021">
        <f>(VLOOKUP(YEAR($A53),'NY East Load Projections'!$A$4:$EO$14,((MONTH($A53)-1)*12)+VLOOKUP(BY$4,$DE$6:$DF$17,2)+1))*$D53</f>
        <v>-394.54810930329415</v>
      </c>
      <c r="BZ53" s="1021">
        <f>(VLOOKUP(YEAR($A53),'NY East Load Projections'!$A$4:$EO$14,((MONTH($A53)-1)*12)+VLOOKUP(BZ$4,$DE$6:$DF$17,2)+1))*$D53</f>
        <v>-381.94323793089922</v>
      </c>
      <c r="CA53" s="1021">
        <f>(VLOOKUP(YEAR($A53),'NY East Load Projections'!$A$4:$EO$14,((MONTH($A53)-1)*12)+VLOOKUP(CA$4,$DE$6:$DF$17,2)+1))*$D53</f>
        <v>-381.94323793089922</v>
      </c>
      <c r="CB53" s="1021">
        <f>(VLOOKUP(YEAR($A53),'NY East Load Projections'!$A$4:$EO$14,((MONTH($A53)-1)*12)+VLOOKUP(CB$4,$DE$6:$DF$17,2)+1))*$D53</f>
        <v>-381.94323793089922</v>
      </c>
      <c r="CC53" s="1021">
        <f>(VLOOKUP(YEAR($A53),'NY East Load Projections'!$A$4:$EO$14,((MONTH($A53)-1)*12)+VLOOKUP(CC$4,$DE$6:$DF$17,2)+1))*$D53</f>
        <v>-381.94323793089922</v>
      </c>
      <c r="CE53" s="1021">
        <f>(VLOOKUP(YEAR($A53),'NY East Load Projections'!$A$4:$EO$14,((MONTH($A53)-1)*12)+VLOOKUP(CE$4,$DE$6:$DF$17,2)+1))*$E53</f>
        <v>-93.61116957174572</v>
      </c>
      <c r="CF53" s="1021">
        <f>(VLOOKUP(YEAR($A53),'NY East Load Projections'!$A$4:$EO$14,((MONTH($A53)-1)*12)+VLOOKUP(CF$4,$DE$6:$DF$17,2)+1))*$E53</f>
        <v>-93.61116957174572</v>
      </c>
      <c r="CG53" s="1021">
        <f>(VLOOKUP(YEAR($A53),'NY East Load Projections'!$A$4:$EO$14,((MONTH($A53)-1)*12)+VLOOKUP(CG$4,$DE$6:$DF$17,2)+1))*$E53</f>
        <v>-93.61116957174572</v>
      </c>
      <c r="CH53" s="1021">
        <f>(VLOOKUP(YEAR($A53),'NY East Load Projections'!$A$4:$EO$14,((MONTH($A53)-1)*12)+VLOOKUP(CH$4,$DE$6:$DF$17,2)+1))*$E53</f>
        <v>-93.61116957174572</v>
      </c>
      <c r="CI53" s="1021">
        <f>(VLOOKUP(YEAR($A53),'NY East Load Projections'!$A$4:$EO$14,((MONTH($A53)-1)*12)+VLOOKUP(CI$4,$DE$6:$DF$17,2)+1))*$E53</f>
        <v>-95.684261394336957</v>
      </c>
      <c r="CJ53" s="1021">
        <f>(VLOOKUP(YEAR($A53),'NY East Load Projections'!$A$4:$EO$14,((MONTH($A53)-1)*12)+VLOOKUP(CJ$4,$DE$6:$DF$17,2)+1))*$E53</f>
        <v>-95.684261394336957</v>
      </c>
      <c r="CK53" s="1021">
        <f>(VLOOKUP(YEAR($A53),'NY East Load Projections'!$A$4:$EO$14,((MONTH($A53)-1)*12)+VLOOKUP(CK$4,$DE$6:$DF$17,2)+1))*$E53</f>
        <v>-95.684261394336957</v>
      </c>
      <c r="CL53" s="1021">
        <f>(VLOOKUP(YEAR($A53),'NY East Load Projections'!$A$4:$EO$14,((MONTH($A53)-1)*12)+VLOOKUP(CL$4,$DE$6:$DF$17,2)+1))*$E53</f>
        <v>-95.684261394336957</v>
      </c>
      <c r="CM53" s="1021">
        <f>(VLOOKUP(YEAR($A53),'NY East Load Projections'!$A$4:$EO$14,((MONTH($A53)-1)*12)+VLOOKUP(CM$4,$DE$6:$DF$17,2)+1))*$E53</f>
        <v>-102.17594129352966</v>
      </c>
      <c r="CN53" s="1021">
        <f>(VLOOKUP(YEAR($A53),'NY East Load Projections'!$A$4:$EO$14,((MONTH($A53)-1)*12)+VLOOKUP(CN$4,$DE$6:$DF$17,2)+1))*$E53</f>
        <v>-102.17594129352966</v>
      </c>
      <c r="CO53" s="1021">
        <f>(VLOOKUP(YEAR($A53),'NY East Load Projections'!$A$4:$EO$14,((MONTH($A53)-1)*12)+VLOOKUP(CO$4,$DE$6:$DF$17,2)+1))*$E53</f>
        <v>-102.17594129352966</v>
      </c>
      <c r="CP53" s="1021">
        <f>(VLOOKUP(YEAR($A53),'NY East Load Projections'!$A$4:$EO$14,((MONTH($A53)-1)*12)+VLOOKUP(CP$4,$DE$6:$DF$17,2)+1))*$E53</f>
        <v>-102.17594129352966</v>
      </c>
      <c r="CQ53" s="1021">
        <f>(VLOOKUP(YEAR($A53),'NY East Load Projections'!$A$4:$EO$14,((MONTH($A53)-1)*12)+VLOOKUP(CQ$4,$DE$6:$DF$17,2)+1))*$E53</f>
        <v>-102.76696502441858</v>
      </c>
      <c r="CR53" s="1021">
        <f>(VLOOKUP(YEAR($A53),'NY East Load Projections'!$A$4:$EO$14,((MONTH($A53)-1)*12)+VLOOKUP(CR$4,$DE$6:$DF$17,2)+1))*$E53</f>
        <v>-102.76696502441858</v>
      </c>
      <c r="CS53" s="1021">
        <f>(VLOOKUP(YEAR($A53),'NY East Load Projections'!$A$4:$EO$14,((MONTH($A53)-1)*12)+VLOOKUP(CS$4,$DE$6:$DF$17,2)+1))*$E53</f>
        <v>-102.76696502441858</v>
      </c>
      <c r="CT53" s="1021">
        <f>(VLOOKUP(YEAR($A53),'NY East Load Projections'!$A$4:$EO$14,((MONTH($A53)-1)*12)+VLOOKUP(CT$4,$DE$6:$DF$17,2)+1))*$E53</f>
        <v>-102.76696502441858</v>
      </c>
      <c r="CU53" s="1021">
        <f>(VLOOKUP(YEAR($A53),'NY East Load Projections'!$A$4:$EO$14,((MONTH($A53)-1)*12)+VLOOKUP(CU$4,$DE$6:$DF$17,2)+1))*$E53</f>
        <v>-98.637027325823539</v>
      </c>
      <c r="CV53" s="1021">
        <f>(VLOOKUP(YEAR($A53),'NY East Load Projections'!$A$4:$EO$14,((MONTH($A53)-1)*12)+VLOOKUP(CV$4,$DE$6:$DF$17,2)+1))*$E53</f>
        <v>-98.637027325823539</v>
      </c>
      <c r="CW53" s="1021">
        <f>(VLOOKUP(YEAR($A53),'NY East Load Projections'!$A$4:$EO$14,((MONTH($A53)-1)*12)+VLOOKUP(CW$4,$DE$6:$DF$17,2)+1))*$E53</f>
        <v>-98.637027325823539</v>
      </c>
      <c r="CX53" s="1021">
        <f>(VLOOKUP(YEAR($A53),'NY East Load Projections'!$A$4:$EO$14,((MONTH($A53)-1)*12)+VLOOKUP(CX$4,$DE$6:$DF$17,2)+1))*$E53</f>
        <v>-98.637027325823539</v>
      </c>
      <c r="CY53" s="1021">
        <f>(VLOOKUP(YEAR($A53),'NY East Load Projections'!$A$4:$EO$14,((MONTH($A53)-1)*12)+VLOOKUP(CY$4,$DE$6:$DF$17,2)+1))*$E53</f>
        <v>-95.485809482724804</v>
      </c>
      <c r="CZ53" s="1021">
        <f>(VLOOKUP(YEAR($A53),'NY East Load Projections'!$A$4:$EO$14,((MONTH($A53)-1)*12)+VLOOKUP(CZ$4,$DE$6:$DF$17,2)+1))*$E53</f>
        <v>-95.485809482724804</v>
      </c>
      <c r="DA53" s="1021">
        <f>(VLOOKUP(YEAR($A53),'NY East Load Projections'!$A$4:$EO$14,((MONTH($A53)-1)*12)+VLOOKUP(DA$4,$DE$6:$DF$17,2)+1))*$E53</f>
        <v>-95.485809482724804</v>
      </c>
      <c r="DB53" s="1021">
        <f>(VLOOKUP(YEAR($A53),'NY East Load Projections'!$A$4:$EO$14,((MONTH($A53)-1)*12)+VLOOKUP(DB$4,$DE$6:$DF$17,2)+1))*$E53</f>
        <v>-95.485809482724804</v>
      </c>
      <c r="DH53" s="1009">
        <f t="shared" si="2"/>
        <v>-74005.838623543954</v>
      </c>
      <c r="DI53">
        <f ca="1">CALC!J73</f>
        <v>0.70451331730150835</v>
      </c>
      <c r="DJ53" s="1032">
        <f t="shared" ca="1" si="1"/>
        <v>-52138.098868353045</v>
      </c>
    </row>
    <row r="54" spans="1:114" x14ac:dyDescent="0.25">
      <c r="A54" s="244">
        <v>38353</v>
      </c>
      <c r="B54" s="13">
        <v>21</v>
      </c>
      <c r="C54" s="210">
        <v>4</v>
      </c>
      <c r="D54" s="210">
        <v>5</v>
      </c>
      <c r="E54" s="210">
        <v>1</v>
      </c>
      <c r="F54" s="13">
        <v>31</v>
      </c>
      <c r="H54" s="1021">
        <f>(VLOOKUP(YEAR($A54),'NY East Load Projections'!$A$4:$EO$14,((MONTH($A54)-1)*12)+VLOOKUP(H$4,$DE$6:$DF$17,2)+1))*$B54</f>
        <v>-1762.7528389539257</v>
      </c>
      <c r="I54" s="1021">
        <f>(VLOOKUP(YEAR($A54),'NY East Load Projections'!$A$4:$EO$14,((MONTH($A54)-1)*12)+VLOOKUP(I$4,$DE$6:$DF$17,2)+1))*$B54</f>
        <v>-1762.7528389539257</v>
      </c>
      <c r="J54" s="1021">
        <f>(VLOOKUP(YEAR($A54),'NY East Load Projections'!$A$4:$EO$14,((MONTH($A54)-1)*12)+VLOOKUP(J$4,$DE$6:$DF$17,2)+1))*$B54</f>
        <v>-1762.7528389539257</v>
      </c>
      <c r="K54" s="1021">
        <f>(VLOOKUP(YEAR($A54),'NY East Load Projections'!$A$4:$EO$14,((MONTH($A54)-1)*12)+VLOOKUP(K$4,$DE$6:$DF$17,2)+1))*$B54</f>
        <v>-1762.7528389539257</v>
      </c>
      <c r="L54" s="1021">
        <f>(VLOOKUP(YEAR($A54),'NY East Load Projections'!$A$4:$EO$14,((MONTH($A54)-1)*12)+VLOOKUP(L$4,$DE$6:$DF$17,2)+1))*$B54</f>
        <v>-1978.5849650484977</v>
      </c>
      <c r="M54" s="1021">
        <f>(VLOOKUP(YEAR($A54),'NY East Load Projections'!$A$4:$EO$14,((MONTH($A54)-1)*12)+VLOOKUP(M$4,$DE$6:$DF$17,2)+1))*$B54</f>
        <v>-1978.5849650484977</v>
      </c>
      <c r="N54" s="1021">
        <f>(VLOOKUP(YEAR($A54),'NY East Load Projections'!$A$4:$EO$14,((MONTH($A54)-1)*12)+VLOOKUP(N$4,$DE$6:$DF$17,2)+1))*$B54</f>
        <v>-1978.5849650484977</v>
      </c>
      <c r="O54" s="1021">
        <f>(VLOOKUP(YEAR($A54),'NY East Load Projections'!$A$4:$EO$14,((MONTH($A54)-1)*12)+VLOOKUP(O$4,$DE$6:$DF$17,2)+1))*$B54</f>
        <v>-1978.5849650484977</v>
      </c>
      <c r="P54" s="1021">
        <f>(VLOOKUP(YEAR($A54),'NY East Load Projections'!$A$4:$EO$14,((MONTH($A54)-1)*12)+VLOOKUP(P$4,$DE$6:$DF$17,2)+1))*$B54</f>
        <v>-2162.8891844019499</v>
      </c>
      <c r="Q54" s="1021">
        <f>(VLOOKUP(YEAR($A54),'NY East Load Projections'!$A$4:$EO$14,((MONTH($A54)-1)*12)+VLOOKUP(Q$4,$DE$6:$DF$17,2)+1))*$B54</f>
        <v>-2162.8891844019499</v>
      </c>
      <c r="R54" s="1021">
        <f>(VLOOKUP(YEAR($A54),'NY East Load Projections'!$A$4:$EO$14,((MONTH($A54)-1)*12)+VLOOKUP(R$4,$DE$6:$DF$17,2)+1))*$B54</f>
        <v>-2162.8891844019499</v>
      </c>
      <c r="S54" s="1021">
        <f>(VLOOKUP(YEAR($A54),'NY East Load Projections'!$A$4:$EO$14,((MONTH($A54)-1)*12)+VLOOKUP(S$4,$DE$6:$DF$17,2)+1))*$B54</f>
        <v>-2162.8891844019499</v>
      </c>
      <c r="T54" s="1021">
        <f>(VLOOKUP(YEAR($A54),'NY East Load Projections'!$A$4:$EO$14,((MONTH($A54)-1)*12)+VLOOKUP(T$4,$DE$6:$DF$17,2)+1))*$B54</f>
        <v>-2198.3622013251361</v>
      </c>
      <c r="U54" s="1021">
        <f>(VLOOKUP(YEAR($A54),'NY East Load Projections'!$A$4:$EO$14,((MONTH($A54)-1)*12)+VLOOKUP(U$4,$DE$6:$DF$17,2)+1))*$B54</f>
        <v>-2198.3622013251361</v>
      </c>
      <c r="V54" s="1021">
        <f>(VLOOKUP(YEAR($A54),'NY East Load Projections'!$A$4:$EO$14,((MONTH($A54)-1)*12)+VLOOKUP(V$4,$DE$6:$DF$17,2)+1))*$B54</f>
        <v>-2198.3622013251361</v>
      </c>
      <c r="W54" s="1021">
        <f>(VLOOKUP(YEAR($A54),'NY East Load Projections'!$A$4:$EO$14,((MONTH($A54)-1)*12)+VLOOKUP(W$4,$DE$6:$DF$17,2)+1))*$B54</f>
        <v>-2198.3622013251361</v>
      </c>
      <c r="X54" s="1021">
        <f>(VLOOKUP(YEAR($A54),'NY East Load Projections'!$A$4:$EO$14,((MONTH($A54)-1)*12)+VLOOKUP(X$4,$DE$6:$DF$17,2)+1))*$B54</f>
        <v>-2067.5274269998831</v>
      </c>
      <c r="Y54" s="1021">
        <f>(VLOOKUP(YEAR($A54),'NY East Load Projections'!$A$4:$EO$14,((MONTH($A54)-1)*12)+VLOOKUP(Y$4,$DE$6:$DF$17,2)+1))*$B54</f>
        <v>-2067.5274269998831</v>
      </c>
      <c r="Z54" s="1021">
        <f>(VLOOKUP(YEAR($A54),'NY East Load Projections'!$A$4:$EO$14,((MONTH($A54)-1)*12)+VLOOKUP(Z$4,$DE$6:$DF$17,2)+1))*$B54</f>
        <v>-2067.5274269998831</v>
      </c>
      <c r="AA54" s="1021">
        <f>(VLOOKUP(YEAR($A54),'NY East Load Projections'!$A$4:$EO$14,((MONTH($A54)-1)*12)+VLOOKUP(AA$4,$DE$6:$DF$17,2)+1))*$B54</f>
        <v>-2067.5274269998831</v>
      </c>
      <c r="AB54" s="1021">
        <f>(VLOOKUP(YEAR($A54),'NY East Load Projections'!$A$4:$EO$14,((MONTH($A54)-1)*12)+VLOOKUP(AB$4,$DE$6:$DF$17,2)+1))*$B54</f>
        <v>-1855.988286298691</v>
      </c>
      <c r="AC54" s="1021">
        <f>(VLOOKUP(YEAR($A54),'NY East Load Projections'!$A$4:$EO$14,((MONTH($A54)-1)*12)+VLOOKUP(AC$4,$DE$6:$DF$17,2)+1))*$B54</f>
        <v>-1855.988286298691</v>
      </c>
      <c r="AD54" s="1021">
        <f>(VLOOKUP(YEAR($A54),'NY East Load Projections'!$A$4:$EO$14,((MONTH($A54)-1)*12)+VLOOKUP(AD$4,$DE$6:$DF$17,2)+1))*$B54</f>
        <v>-1855.988286298691</v>
      </c>
      <c r="AE54" s="1021">
        <f>(VLOOKUP(YEAR($A54),'NY East Load Projections'!$A$4:$EO$14,((MONTH($A54)-1)*12)+VLOOKUP(AE$4,$DE$6:$DF$17,2)+1))*$B54</f>
        <v>-1855.988286298691</v>
      </c>
      <c r="AF54" s="1021"/>
      <c r="AG54" s="1021">
        <f>(VLOOKUP(YEAR($A54),'NY East Load Projections'!$A$4:$EO$14,((MONTH($A54)-1)*12)+VLOOKUP(AG$4,$DE$6:$DF$17,2)+1))*$C54</f>
        <v>-352.51886783374255</v>
      </c>
      <c r="AH54" s="1021">
        <f>(VLOOKUP(YEAR($A54),'NY East Load Projections'!$A$4:$EO$14,((MONTH($A54)-1)*12)+VLOOKUP(AH$4,$DE$6:$DF$17,2)+1))*$C54</f>
        <v>-352.51886783374255</v>
      </c>
      <c r="AI54" s="1021">
        <f>(VLOOKUP(YEAR($A54),'NY East Load Projections'!$A$4:$EO$14,((MONTH($A54)-1)*12)+VLOOKUP(AI$4,$DE$6:$DF$17,2)+1))*$C54</f>
        <v>-352.51886783374255</v>
      </c>
      <c r="AJ54" s="1021">
        <f>(VLOOKUP(YEAR($A54),'NY East Load Projections'!$A$4:$EO$14,((MONTH($A54)-1)*12)+VLOOKUP(AJ$4,$DE$6:$DF$17,2)+1))*$C54</f>
        <v>-352.51886783374255</v>
      </c>
      <c r="AK54" s="1021">
        <f>(VLOOKUP(YEAR($A54),'NY East Load Projections'!$A$4:$EO$14,((MONTH($A54)-1)*12)+VLOOKUP(AK$4,$DE$6:$DF$17,2)+1))*$C54</f>
        <v>-361.68469239983904</v>
      </c>
      <c r="AL54" s="1021">
        <f>(VLOOKUP(YEAR($A54),'NY East Load Projections'!$A$4:$EO$14,((MONTH($A54)-1)*12)+VLOOKUP(AL$4,$DE$6:$DF$17,2)+1))*$C54</f>
        <v>-361.68469239983904</v>
      </c>
      <c r="AM54" s="1021">
        <f>(VLOOKUP(YEAR($A54),'NY East Load Projections'!$A$4:$EO$14,((MONTH($A54)-1)*12)+VLOOKUP(AM$4,$DE$6:$DF$17,2)+1))*$C54</f>
        <v>-361.68469239983904</v>
      </c>
      <c r="AN54" s="1021">
        <f>(VLOOKUP(YEAR($A54),'NY East Load Projections'!$A$4:$EO$14,((MONTH($A54)-1)*12)+VLOOKUP(AN$4,$DE$6:$DF$17,2)+1))*$C54</f>
        <v>-361.68469239983904</v>
      </c>
      <c r="AO54" s="1021">
        <f>(VLOOKUP(YEAR($A54),'NY East Load Projections'!$A$4:$EO$14,((MONTH($A54)-1)*12)+VLOOKUP(AO$4,$DE$6:$DF$17,2)+1))*$C54</f>
        <v>-389.42828993128074</v>
      </c>
      <c r="AP54" s="1021">
        <f>(VLOOKUP(YEAR($A54),'NY East Load Projections'!$A$4:$EO$14,((MONTH($A54)-1)*12)+VLOOKUP(AP$4,$DE$6:$DF$17,2)+1))*$C54</f>
        <v>-389.42828993128074</v>
      </c>
      <c r="AQ54" s="1021">
        <f>(VLOOKUP(YEAR($A54),'NY East Load Projections'!$A$4:$EO$14,((MONTH($A54)-1)*12)+VLOOKUP(AQ$4,$DE$6:$DF$17,2)+1))*$C54</f>
        <v>-389.42828993128074</v>
      </c>
      <c r="AR54" s="1021">
        <f>(VLOOKUP(YEAR($A54),'NY East Load Projections'!$A$4:$EO$14,((MONTH($A54)-1)*12)+VLOOKUP(AR$4,$DE$6:$DF$17,2)+1))*$C54</f>
        <v>-389.42828993128074</v>
      </c>
      <c r="AS54" s="1021">
        <f>(VLOOKUP(YEAR($A54),'NY East Load Projections'!$A$4:$EO$14,((MONTH($A54)-1)*12)+VLOOKUP(AS$4,$DE$6:$DF$17,2)+1))*$C54</f>
        <v>-391.17823654909108</v>
      </c>
      <c r="AT54" s="1021">
        <f>(VLOOKUP(YEAR($A54),'NY East Load Projections'!$A$4:$EO$14,((MONTH($A54)-1)*12)+VLOOKUP(AT$4,$DE$6:$DF$17,2)+1))*$C54</f>
        <v>-391.17823654909108</v>
      </c>
      <c r="AU54" s="1021">
        <f>(VLOOKUP(YEAR($A54),'NY East Load Projections'!$A$4:$EO$14,((MONTH($A54)-1)*12)+VLOOKUP(AU$4,$DE$6:$DF$17,2)+1))*$C54</f>
        <v>-391.17823654909108</v>
      </c>
      <c r="AV54" s="1021">
        <f>(VLOOKUP(YEAR($A54),'NY East Load Projections'!$A$4:$EO$14,((MONTH($A54)-1)*12)+VLOOKUP(AV$4,$DE$6:$DF$17,2)+1))*$C54</f>
        <v>-391.17823654909108</v>
      </c>
      <c r="AW54" s="1021">
        <f>(VLOOKUP(YEAR($A54),'NY East Load Projections'!$A$4:$EO$14,((MONTH($A54)-1)*12)+VLOOKUP(AW$4,$DE$6:$DF$17,2)+1))*$C54</f>
        <v>-370.99789489830425</v>
      </c>
      <c r="AX54" s="1021">
        <f>(VLOOKUP(YEAR($A54),'NY East Load Projections'!$A$4:$EO$14,((MONTH($A54)-1)*12)+VLOOKUP(AX$4,$DE$6:$DF$17,2)+1))*$C54</f>
        <v>-370.99789489830425</v>
      </c>
      <c r="AY54" s="1021">
        <f>(VLOOKUP(YEAR($A54),'NY East Load Projections'!$A$4:$EO$14,((MONTH($A54)-1)*12)+VLOOKUP(AY$4,$DE$6:$DF$17,2)+1))*$C54</f>
        <v>-370.99789489830425</v>
      </c>
      <c r="AZ54" s="1021">
        <f>(VLOOKUP(YEAR($A54),'NY East Load Projections'!$A$4:$EO$14,((MONTH($A54)-1)*12)+VLOOKUP(AZ$4,$DE$6:$DF$17,2)+1))*$C54</f>
        <v>-370.99789489830425</v>
      </c>
      <c r="BA54" s="1021">
        <f>(VLOOKUP(YEAR($A54),'NY East Load Projections'!$A$4:$EO$14,((MONTH($A54)-1)*12)+VLOOKUP(BA$4,$DE$6:$DF$17,2)+1))*$C54</f>
        <v>-356.78625334754997</v>
      </c>
      <c r="BB54" s="1021">
        <f>(VLOOKUP(YEAR($A54),'NY East Load Projections'!$A$4:$EO$14,((MONTH($A54)-1)*12)+VLOOKUP(BB$4,$DE$6:$DF$17,2)+1))*$C54</f>
        <v>-356.78625334754997</v>
      </c>
      <c r="BC54" s="1021">
        <f>(VLOOKUP(YEAR($A54),'NY East Load Projections'!$A$4:$EO$14,((MONTH($A54)-1)*12)+VLOOKUP(BC$4,$DE$6:$DF$17,2)+1))*$C54</f>
        <v>-356.78625334754997</v>
      </c>
      <c r="BD54" s="1021">
        <f>(VLOOKUP(YEAR($A54),'NY East Load Projections'!$A$4:$EO$14,((MONTH($A54)-1)*12)+VLOOKUP(BD$4,$DE$6:$DF$17,2)+1))*$C54</f>
        <v>-356.78625334754997</v>
      </c>
      <c r="BE54" s="1021"/>
      <c r="BF54" s="1021">
        <f>(VLOOKUP(YEAR($A54),'NY East Load Projections'!$A$4:$EO$14,((MONTH($A54)-1)*12)+VLOOKUP(BF$4,$DE$6:$DF$17,2)+1))*$D54</f>
        <v>-440.64858479217821</v>
      </c>
      <c r="BG54" s="1021">
        <f>(VLOOKUP(YEAR($A54),'NY East Load Projections'!$A$4:$EO$14,((MONTH($A54)-1)*12)+VLOOKUP(BG$4,$DE$6:$DF$17,2)+1))*$D54</f>
        <v>-440.64858479217821</v>
      </c>
      <c r="BH54" s="1021">
        <f>(VLOOKUP(YEAR($A54),'NY East Load Projections'!$A$4:$EO$14,((MONTH($A54)-1)*12)+VLOOKUP(BH$4,$DE$6:$DF$17,2)+1))*$D54</f>
        <v>-440.64858479217821</v>
      </c>
      <c r="BI54" s="1021">
        <f>(VLOOKUP(YEAR($A54),'NY East Load Projections'!$A$4:$EO$14,((MONTH($A54)-1)*12)+VLOOKUP(BI$4,$DE$6:$DF$17,2)+1))*$D54</f>
        <v>-440.64858479217821</v>
      </c>
      <c r="BJ54" s="1021">
        <f>(VLOOKUP(YEAR($A54),'NY East Load Projections'!$A$4:$EO$14,((MONTH($A54)-1)*12)+VLOOKUP(BJ$4,$DE$6:$DF$17,2)+1))*$D54</f>
        <v>-452.10586549979882</v>
      </c>
      <c r="BK54" s="1021">
        <f>(VLOOKUP(YEAR($A54),'NY East Load Projections'!$A$4:$EO$14,((MONTH($A54)-1)*12)+VLOOKUP(BK$4,$DE$6:$DF$17,2)+1))*$D54</f>
        <v>-452.10586549979882</v>
      </c>
      <c r="BL54" s="1021">
        <f>(VLOOKUP(YEAR($A54),'NY East Load Projections'!$A$4:$EO$14,((MONTH($A54)-1)*12)+VLOOKUP(BL$4,$DE$6:$DF$17,2)+1))*$D54</f>
        <v>-452.10586549979882</v>
      </c>
      <c r="BM54" s="1021">
        <f>(VLOOKUP(YEAR($A54),'NY East Load Projections'!$A$4:$EO$14,((MONTH($A54)-1)*12)+VLOOKUP(BM$4,$DE$6:$DF$17,2)+1))*$D54</f>
        <v>-452.10586549979882</v>
      </c>
      <c r="BN54" s="1021">
        <f>(VLOOKUP(YEAR($A54),'NY East Load Projections'!$A$4:$EO$14,((MONTH($A54)-1)*12)+VLOOKUP(BN$4,$DE$6:$DF$17,2)+1))*$D54</f>
        <v>-486.78536241410092</v>
      </c>
      <c r="BO54" s="1021">
        <f>(VLOOKUP(YEAR($A54),'NY East Load Projections'!$A$4:$EO$14,((MONTH($A54)-1)*12)+VLOOKUP(BO$4,$DE$6:$DF$17,2)+1))*$D54</f>
        <v>-486.78536241410092</v>
      </c>
      <c r="BP54" s="1021">
        <f>(VLOOKUP(YEAR($A54),'NY East Load Projections'!$A$4:$EO$14,((MONTH($A54)-1)*12)+VLOOKUP(BP$4,$DE$6:$DF$17,2)+1))*$D54</f>
        <v>-486.78536241410092</v>
      </c>
      <c r="BQ54" s="1021">
        <f>(VLOOKUP(YEAR($A54),'NY East Load Projections'!$A$4:$EO$14,((MONTH($A54)-1)*12)+VLOOKUP(BQ$4,$DE$6:$DF$17,2)+1))*$D54</f>
        <v>-486.78536241410092</v>
      </c>
      <c r="BR54" s="1021">
        <f>(VLOOKUP(YEAR($A54),'NY East Load Projections'!$A$4:$EO$14,((MONTH($A54)-1)*12)+VLOOKUP(BR$4,$DE$6:$DF$17,2)+1))*$D54</f>
        <v>-488.97279568636384</v>
      </c>
      <c r="BS54" s="1021">
        <f>(VLOOKUP(YEAR($A54),'NY East Load Projections'!$A$4:$EO$14,((MONTH($A54)-1)*12)+VLOOKUP(BS$4,$DE$6:$DF$17,2)+1))*$D54</f>
        <v>-488.97279568636384</v>
      </c>
      <c r="BT54" s="1021">
        <f>(VLOOKUP(YEAR($A54),'NY East Load Projections'!$A$4:$EO$14,((MONTH($A54)-1)*12)+VLOOKUP(BT$4,$DE$6:$DF$17,2)+1))*$D54</f>
        <v>-488.97279568636384</v>
      </c>
      <c r="BU54" s="1021">
        <f>(VLOOKUP(YEAR($A54),'NY East Load Projections'!$A$4:$EO$14,((MONTH($A54)-1)*12)+VLOOKUP(BU$4,$DE$6:$DF$17,2)+1))*$D54</f>
        <v>-488.97279568636384</v>
      </c>
      <c r="BV54" s="1021">
        <f>(VLOOKUP(YEAR($A54),'NY East Load Projections'!$A$4:$EO$14,((MONTH($A54)-1)*12)+VLOOKUP(BV$4,$DE$6:$DF$17,2)+1))*$D54</f>
        <v>-463.74736862288034</v>
      </c>
      <c r="BW54" s="1021">
        <f>(VLOOKUP(YEAR($A54),'NY East Load Projections'!$A$4:$EO$14,((MONTH($A54)-1)*12)+VLOOKUP(BW$4,$DE$6:$DF$17,2)+1))*$D54</f>
        <v>-463.74736862288034</v>
      </c>
      <c r="BX54" s="1021">
        <f>(VLOOKUP(YEAR($A54),'NY East Load Projections'!$A$4:$EO$14,((MONTH($A54)-1)*12)+VLOOKUP(BX$4,$DE$6:$DF$17,2)+1))*$D54</f>
        <v>-463.74736862288034</v>
      </c>
      <c r="BY54" s="1021">
        <f>(VLOOKUP(YEAR($A54),'NY East Load Projections'!$A$4:$EO$14,((MONTH($A54)-1)*12)+VLOOKUP(BY$4,$DE$6:$DF$17,2)+1))*$D54</f>
        <v>-463.74736862288034</v>
      </c>
      <c r="BZ54" s="1021">
        <f>(VLOOKUP(YEAR($A54),'NY East Load Projections'!$A$4:$EO$14,((MONTH($A54)-1)*12)+VLOOKUP(BZ$4,$DE$6:$DF$17,2)+1))*$D54</f>
        <v>-445.98281668443747</v>
      </c>
      <c r="CA54" s="1021">
        <f>(VLOOKUP(YEAR($A54),'NY East Load Projections'!$A$4:$EO$14,((MONTH($A54)-1)*12)+VLOOKUP(CA$4,$DE$6:$DF$17,2)+1))*$D54</f>
        <v>-445.98281668443747</v>
      </c>
      <c r="CB54" s="1021">
        <f>(VLOOKUP(YEAR($A54),'NY East Load Projections'!$A$4:$EO$14,((MONTH($A54)-1)*12)+VLOOKUP(CB$4,$DE$6:$DF$17,2)+1))*$D54</f>
        <v>-445.98281668443747</v>
      </c>
      <c r="CC54" s="1021">
        <f>(VLOOKUP(YEAR($A54),'NY East Load Projections'!$A$4:$EO$14,((MONTH($A54)-1)*12)+VLOOKUP(CC$4,$DE$6:$DF$17,2)+1))*$D54</f>
        <v>-445.98281668443747</v>
      </c>
      <c r="CE54" s="1021">
        <f>(VLOOKUP(YEAR($A54),'NY East Load Projections'!$A$4:$EO$14,((MONTH($A54)-1)*12)+VLOOKUP(CE$4,$DE$6:$DF$17,2)+1))*$E54</f>
        <v>-88.129716958435637</v>
      </c>
      <c r="CF54" s="1021">
        <f>(VLOOKUP(YEAR($A54),'NY East Load Projections'!$A$4:$EO$14,((MONTH($A54)-1)*12)+VLOOKUP(CF$4,$DE$6:$DF$17,2)+1))*$E54</f>
        <v>-88.129716958435637</v>
      </c>
      <c r="CG54" s="1021">
        <f>(VLOOKUP(YEAR($A54),'NY East Load Projections'!$A$4:$EO$14,((MONTH($A54)-1)*12)+VLOOKUP(CG$4,$DE$6:$DF$17,2)+1))*$E54</f>
        <v>-88.129716958435637</v>
      </c>
      <c r="CH54" s="1021">
        <f>(VLOOKUP(YEAR($A54),'NY East Load Projections'!$A$4:$EO$14,((MONTH($A54)-1)*12)+VLOOKUP(CH$4,$DE$6:$DF$17,2)+1))*$E54</f>
        <v>-88.129716958435637</v>
      </c>
      <c r="CI54" s="1021">
        <f>(VLOOKUP(YEAR($A54),'NY East Load Projections'!$A$4:$EO$14,((MONTH($A54)-1)*12)+VLOOKUP(CI$4,$DE$6:$DF$17,2)+1))*$E54</f>
        <v>-90.421173099959759</v>
      </c>
      <c r="CJ54" s="1021">
        <f>(VLOOKUP(YEAR($A54),'NY East Load Projections'!$A$4:$EO$14,((MONTH($A54)-1)*12)+VLOOKUP(CJ$4,$DE$6:$DF$17,2)+1))*$E54</f>
        <v>-90.421173099959759</v>
      </c>
      <c r="CK54" s="1021">
        <f>(VLOOKUP(YEAR($A54),'NY East Load Projections'!$A$4:$EO$14,((MONTH($A54)-1)*12)+VLOOKUP(CK$4,$DE$6:$DF$17,2)+1))*$E54</f>
        <v>-90.421173099959759</v>
      </c>
      <c r="CL54" s="1021">
        <f>(VLOOKUP(YEAR($A54),'NY East Load Projections'!$A$4:$EO$14,((MONTH($A54)-1)*12)+VLOOKUP(CL$4,$DE$6:$DF$17,2)+1))*$E54</f>
        <v>-90.421173099959759</v>
      </c>
      <c r="CM54" s="1021">
        <f>(VLOOKUP(YEAR($A54),'NY East Load Projections'!$A$4:$EO$14,((MONTH($A54)-1)*12)+VLOOKUP(CM$4,$DE$6:$DF$17,2)+1))*$E54</f>
        <v>-97.357072482820186</v>
      </c>
      <c r="CN54" s="1021">
        <f>(VLOOKUP(YEAR($A54),'NY East Load Projections'!$A$4:$EO$14,((MONTH($A54)-1)*12)+VLOOKUP(CN$4,$DE$6:$DF$17,2)+1))*$E54</f>
        <v>-97.357072482820186</v>
      </c>
      <c r="CO54" s="1021">
        <f>(VLOOKUP(YEAR($A54),'NY East Load Projections'!$A$4:$EO$14,((MONTH($A54)-1)*12)+VLOOKUP(CO$4,$DE$6:$DF$17,2)+1))*$E54</f>
        <v>-97.357072482820186</v>
      </c>
      <c r="CP54" s="1021">
        <f>(VLOOKUP(YEAR($A54),'NY East Load Projections'!$A$4:$EO$14,((MONTH($A54)-1)*12)+VLOOKUP(CP$4,$DE$6:$DF$17,2)+1))*$E54</f>
        <v>-97.357072482820186</v>
      </c>
      <c r="CQ54" s="1021">
        <f>(VLOOKUP(YEAR($A54),'NY East Load Projections'!$A$4:$EO$14,((MONTH($A54)-1)*12)+VLOOKUP(CQ$4,$DE$6:$DF$17,2)+1))*$E54</f>
        <v>-97.79455913727277</v>
      </c>
      <c r="CR54" s="1021">
        <f>(VLOOKUP(YEAR($A54),'NY East Load Projections'!$A$4:$EO$14,((MONTH($A54)-1)*12)+VLOOKUP(CR$4,$DE$6:$DF$17,2)+1))*$E54</f>
        <v>-97.79455913727277</v>
      </c>
      <c r="CS54" s="1021">
        <f>(VLOOKUP(YEAR($A54),'NY East Load Projections'!$A$4:$EO$14,((MONTH($A54)-1)*12)+VLOOKUP(CS$4,$DE$6:$DF$17,2)+1))*$E54</f>
        <v>-97.79455913727277</v>
      </c>
      <c r="CT54" s="1021">
        <f>(VLOOKUP(YEAR($A54),'NY East Load Projections'!$A$4:$EO$14,((MONTH($A54)-1)*12)+VLOOKUP(CT$4,$DE$6:$DF$17,2)+1))*$E54</f>
        <v>-97.79455913727277</v>
      </c>
      <c r="CU54" s="1021">
        <f>(VLOOKUP(YEAR($A54),'NY East Load Projections'!$A$4:$EO$14,((MONTH($A54)-1)*12)+VLOOKUP(CU$4,$DE$6:$DF$17,2)+1))*$E54</f>
        <v>-92.749473724576063</v>
      </c>
      <c r="CV54" s="1021">
        <f>(VLOOKUP(YEAR($A54),'NY East Load Projections'!$A$4:$EO$14,((MONTH($A54)-1)*12)+VLOOKUP(CV$4,$DE$6:$DF$17,2)+1))*$E54</f>
        <v>-92.749473724576063</v>
      </c>
      <c r="CW54" s="1021">
        <f>(VLOOKUP(YEAR($A54),'NY East Load Projections'!$A$4:$EO$14,((MONTH($A54)-1)*12)+VLOOKUP(CW$4,$DE$6:$DF$17,2)+1))*$E54</f>
        <v>-92.749473724576063</v>
      </c>
      <c r="CX54" s="1021">
        <f>(VLOOKUP(YEAR($A54),'NY East Load Projections'!$A$4:$EO$14,((MONTH($A54)-1)*12)+VLOOKUP(CX$4,$DE$6:$DF$17,2)+1))*$E54</f>
        <v>-92.749473724576063</v>
      </c>
      <c r="CY54" s="1021">
        <f>(VLOOKUP(YEAR($A54),'NY East Load Projections'!$A$4:$EO$14,((MONTH($A54)-1)*12)+VLOOKUP(CY$4,$DE$6:$DF$17,2)+1))*$E54</f>
        <v>-89.196563336887493</v>
      </c>
      <c r="CZ54" s="1021">
        <f>(VLOOKUP(YEAR($A54),'NY East Load Projections'!$A$4:$EO$14,((MONTH($A54)-1)*12)+VLOOKUP(CZ$4,$DE$6:$DF$17,2)+1))*$E54</f>
        <v>-89.196563336887493</v>
      </c>
      <c r="DA54" s="1021">
        <f>(VLOOKUP(YEAR($A54),'NY East Load Projections'!$A$4:$EO$14,((MONTH($A54)-1)*12)+VLOOKUP(DA$4,$DE$6:$DF$17,2)+1))*$E54</f>
        <v>-89.196563336887493</v>
      </c>
      <c r="DB54" s="1021">
        <f>(VLOOKUP(YEAR($A54),'NY East Load Projections'!$A$4:$EO$14,((MONTH($A54)-1)*12)+VLOOKUP(DB$4,$DE$6:$DF$17,2)+1))*$E54</f>
        <v>-89.196563336887493</v>
      </c>
      <c r="DH54" s="1009">
        <f t="shared" si="2"/>
        <v>-70330.361961710369</v>
      </c>
      <c r="DI54">
        <f ca="1">CALC!J74</f>
        <v>0.70011600191744161</v>
      </c>
      <c r="DJ54" s="1032">
        <f t="shared" ca="1" si="1"/>
        <v>-49239.411830039178</v>
      </c>
    </row>
    <row r="55" spans="1:114" x14ac:dyDescent="0.25">
      <c r="A55" s="244">
        <v>38384</v>
      </c>
      <c r="B55" s="13">
        <v>20</v>
      </c>
      <c r="C55" s="210">
        <v>4</v>
      </c>
      <c r="D55" s="210">
        <v>4</v>
      </c>
      <c r="E55" s="210">
        <v>0</v>
      </c>
      <c r="F55" s="13">
        <v>28</v>
      </c>
      <c r="H55" s="1021">
        <f>(VLOOKUP(YEAR($A55),'NY East Load Projections'!$A$4:$EO$14,((MONTH($A55)-1)*12)+VLOOKUP(H$4,$DE$6:$DF$17,2)+1))*$B55</f>
        <v>-1646.7197593610836</v>
      </c>
      <c r="I55" s="1021">
        <f>(VLOOKUP(YEAR($A55),'NY East Load Projections'!$A$4:$EO$14,((MONTH($A55)-1)*12)+VLOOKUP(I$4,$DE$6:$DF$17,2)+1))*$B55</f>
        <v>-1646.7197593610836</v>
      </c>
      <c r="J55" s="1021">
        <f>(VLOOKUP(YEAR($A55),'NY East Load Projections'!$A$4:$EO$14,((MONTH($A55)-1)*12)+VLOOKUP(J$4,$DE$6:$DF$17,2)+1))*$B55</f>
        <v>-1646.7197593610836</v>
      </c>
      <c r="K55" s="1021">
        <f>(VLOOKUP(YEAR($A55),'NY East Load Projections'!$A$4:$EO$14,((MONTH($A55)-1)*12)+VLOOKUP(K$4,$DE$6:$DF$17,2)+1))*$B55</f>
        <v>-1646.7197593610836</v>
      </c>
      <c r="L55" s="1021">
        <f>(VLOOKUP(YEAR($A55),'NY East Load Projections'!$A$4:$EO$14,((MONTH($A55)-1)*12)+VLOOKUP(L$4,$DE$6:$DF$17,2)+1))*$B55</f>
        <v>-1838.8064470975341</v>
      </c>
      <c r="M55" s="1021">
        <f>(VLOOKUP(YEAR($A55),'NY East Load Projections'!$A$4:$EO$14,((MONTH($A55)-1)*12)+VLOOKUP(M$4,$DE$6:$DF$17,2)+1))*$B55</f>
        <v>-1838.8064470975341</v>
      </c>
      <c r="N55" s="1021">
        <f>(VLOOKUP(YEAR($A55),'NY East Load Projections'!$A$4:$EO$14,((MONTH($A55)-1)*12)+VLOOKUP(N$4,$DE$6:$DF$17,2)+1))*$B55</f>
        <v>-1838.8064470975341</v>
      </c>
      <c r="O55" s="1021">
        <f>(VLOOKUP(YEAR($A55),'NY East Load Projections'!$A$4:$EO$14,((MONTH($A55)-1)*12)+VLOOKUP(O$4,$DE$6:$DF$17,2)+1))*$B55</f>
        <v>-1838.8064470975341</v>
      </c>
      <c r="P55" s="1021">
        <f>(VLOOKUP(YEAR($A55),'NY East Load Projections'!$A$4:$EO$14,((MONTH($A55)-1)*12)+VLOOKUP(P$4,$DE$6:$DF$17,2)+1))*$B55</f>
        <v>-2011.2244307106694</v>
      </c>
      <c r="Q55" s="1021">
        <f>(VLOOKUP(YEAR($A55),'NY East Load Projections'!$A$4:$EO$14,((MONTH($A55)-1)*12)+VLOOKUP(Q$4,$DE$6:$DF$17,2)+1))*$B55</f>
        <v>-2011.2244307106694</v>
      </c>
      <c r="R55" s="1021">
        <f>(VLOOKUP(YEAR($A55),'NY East Load Projections'!$A$4:$EO$14,((MONTH($A55)-1)*12)+VLOOKUP(R$4,$DE$6:$DF$17,2)+1))*$B55</f>
        <v>-2011.2244307106694</v>
      </c>
      <c r="S55" s="1021">
        <f>(VLOOKUP(YEAR($A55),'NY East Load Projections'!$A$4:$EO$14,((MONTH($A55)-1)*12)+VLOOKUP(S$4,$DE$6:$DF$17,2)+1))*$B55</f>
        <v>-2011.2244307106694</v>
      </c>
      <c r="T55" s="1021">
        <f>(VLOOKUP(YEAR($A55),'NY East Load Projections'!$A$4:$EO$14,((MONTH($A55)-1)*12)+VLOOKUP(T$4,$DE$6:$DF$17,2)+1))*$B55</f>
        <v>-2038.9928702182697</v>
      </c>
      <c r="U55" s="1021">
        <f>(VLOOKUP(YEAR($A55),'NY East Load Projections'!$A$4:$EO$14,((MONTH($A55)-1)*12)+VLOOKUP(U$4,$DE$6:$DF$17,2)+1))*$B55</f>
        <v>-2038.9928702182697</v>
      </c>
      <c r="V55" s="1021">
        <f>(VLOOKUP(YEAR($A55),'NY East Load Projections'!$A$4:$EO$14,((MONTH($A55)-1)*12)+VLOOKUP(V$4,$DE$6:$DF$17,2)+1))*$B55</f>
        <v>-2038.9928702182697</v>
      </c>
      <c r="W55" s="1021">
        <f>(VLOOKUP(YEAR($A55),'NY East Load Projections'!$A$4:$EO$14,((MONTH($A55)-1)*12)+VLOOKUP(W$4,$DE$6:$DF$17,2)+1))*$B55</f>
        <v>-2038.9928702182697</v>
      </c>
      <c r="X55" s="1021">
        <f>(VLOOKUP(YEAR($A55),'NY East Load Projections'!$A$4:$EO$14,((MONTH($A55)-1)*12)+VLOOKUP(X$4,$DE$6:$DF$17,2)+1))*$B55</f>
        <v>-1918.419171154535</v>
      </c>
      <c r="Y55" s="1021">
        <f>(VLOOKUP(YEAR($A55),'NY East Load Projections'!$A$4:$EO$14,((MONTH($A55)-1)*12)+VLOOKUP(Y$4,$DE$6:$DF$17,2)+1))*$B55</f>
        <v>-1918.419171154535</v>
      </c>
      <c r="Z55" s="1021">
        <f>(VLOOKUP(YEAR($A55),'NY East Load Projections'!$A$4:$EO$14,((MONTH($A55)-1)*12)+VLOOKUP(Z$4,$DE$6:$DF$17,2)+1))*$B55</f>
        <v>-1918.419171154535</v>
      </c>
      <c r="AA55" s="1021">
        <f>(VLOOKUP(YEAR($A55),'NY East Load Projections'!$A$4:$EO$14,((MONTH($A55)-1)*12)+VLOOKUP(AA$4,$DE$6:$DF$17,2)+1))*$B55</f>
        <v>-1918.419171154535</v>
      </c>
      <c r="AB55" s="1021">
        <f>(VLOOKUP(YEAR($A55),'NY East Load Projections'!$A$4:$EO$14,((MONTH($A55)-1)*12)+VLOOKUP(AB$4,$DE$6:$DF$17,2)+1))*$B55</f>
        <v>-1721.0690522924569</v>
      </c>
      <c r="AC55" s="1021">
        <f>(VLOOKUP(YEAR($A55),'NY East Load Projections'!$A$4:$EO$14,((MONTH($A55)-1)*12)+VLOOKUP(AC$4,$DE$6:$DF$17,2)+1))*$B55</f>
        <v>-1721.0690522924569</v>
      </c>
      <c r="AD55" s="1021">
        <f>(VLOOKUP(YEAR($A55),'NY East Load Projections'!$A$4:$EO$14,((MONTH($A55)-1)*12)+VLOOKUP(AD$4,$DE$6:$DF$17,2)+1))*$B55</f>
        <v>-1721.0690522924569</v>
      </c>
      <c r="AE55" s="1021">
        <f>(VLOOKUP(YEAR($A55),'NY East Load Projections'!$A$4:$EO$14,((MONTH($A55)-1)*12)+VLOOKUP(AE$4,$DE$6:$DF$17,2)+1))*$B55</f>
        <v>-1721.0690522924569</v>
      </c>
      <c r="AF55" s="1021"/>
      <c r="AG55" s="1021">
        <f>(VLOOKUP(YEAR($A55),'NY East Load Projections'!$A$4:$EO$14,((MONTH($A55)-1)*12)+VLOOKUP(AG$4,$DE$6:$DF$17,2)+1))*$C55</f>
        <v>-350.02562703025956</v>
      </c>
      <c r="AH55" s="1021">
        <f>(VLOOKUP(YEAR($A55),'NY East Load Projections'!$A$4:$EO$14,((MONTH($A55)-1)*12)+VLOOKUP(AH$4,$DE$6:$DF$17,2)+1))*$C55</f>
        <v>-350.02562703025956</v>
      </c>
      <c r="AI55" s="1021">
        <f>(VLOOKUP(YEAR($A55),'NY East Load Projections'!$A$4:$EO$14,((MONTH($A55)-1)*12)+VLOOKUP(AI$4,$DE$6:$DF$17,2)+1))*$C55</f>
        <v>-350.02562703025956</v>
      </c>
      <c r="AJ55" s="1021">
        <f>(VLOOKUP(YEAR($A55),'NY East Load Projections'!$A$4:$EO$14,((MONTH($A55)-1)*12)+VLOOKUP(AJ$4,$DE$6:$DF$17,2)+1))*$C55</f>
        <v>-350.02562703025956</v>
      </c>
      <c r="AK55" s="1021">
        <f>(VLOOKUP(YEAR($A55),'NY East Load Projections'!$A$4:$EO$14,((MONTH($A55)-1)*12)+VLOOKUP(AK$4,$DE$6:$DF$17,2)+1))*$C55</f>
        <v>-356.54324225559986</v>
      </c>
      <c r="AL55" s="1021">
        <f>(VLOOKUP(YEAR($A55),'NY East Load Projections'!$A$4:$EO$14,((MONTH($A55)-1)*12)+VLOOKUP(AL$4,$DE$6:$DF$17,2)+1))*$C55</f>
        <v>-356.54324225559986</v>
      </c>
      <c r="AM55" s="1021">
        <f>(VLOOKUP(YEAR($A55),'NY East Load Projections'!$A$4:$EO$14,((MONTH($A55)-1)*12)+VLOOKUP(AM$4,$DE$6:$DF$17,2)+1))*$C55</f>
        <v>-356.54324225559986</v>
      </c>
      <c r="AN55" s="1021">
        <f>(VLOOKUP(YEAR($A55),'NY East Load Projections'!$A$4:$EO$14,((MONTH($A55)-1)*12)+VLOOKUP(AN$4,$DE$6:$DF$17,2)+1))*$C55</f>
        <v>-356.54324225559986</v>
      </c>
      <c r="AO55" s="1021">
        <f>(VLOOKUP(YEAR($A55),'NY East Load Projections'!$A$4:$EO$14,((MONTH($A55)-1)*12)+VLOOKUP(AO$4,$DE$6:$DF$17,2)+1))*$C55</f>
        <v>-382.70147738841882</v>
      </c>
      <c r="AP55" s="1021">
        <f>(VLOOKUP(YEAR($A55),'NY East Load Projections'!$A$4:$EO$14,((MONTH($A55)-1)*12)+VLOOKUP(AP$4,$DE$6:$DF$17,2)+1))*$C55</f>
        <v>-382.70147738841882</v>
      </c>
      <c r="AQ55" s="1021">
        <f>(VLOOKUP(YEAR($A55),'NY East Load Projections'!$A$4:$EO$14,((MONTH($A55)-1)*12)+VLOOKUP(AQ$4,$DE$6:$DF$17,2)+1))*$C55</f>
        <v>-382.70147738841882</v>
      </c>
      <c r="AR55" s="1021">
        <f>(VLOOKUP(YEAR($A55),'NY East Load Projections'!$A$4:$EO$14,((MONTH($A55)-1)*12)+VLOOKUP(AR$4,$DE$6:$DF$17,2)+1))*$C55</f>
        <v>-382.70147738841882</v>
      </c>
      <c r="AS55" s="1021">
        <f>(VLOOKUP(YEAR($A55),'NY East Load Projections'!$A$4:$EO$14,((MONTH($A55)-1)*12)+VLOOKUP(AS$4,$DE$6:$DF$17,2)+1))*$C55</f>
        <v>-383.12712456782862</v>
      </c>
      <c r="AT55" s="1021">
        <f>(VLOOKUP(YEAR($A55),'NY East Load Projections'!$A$4:$EO$14,((MONTH($A55)-1)*12)+VLOOKUP(AT$4,$DE$6:$DF$17,2)+1))*$C55</f>
        <v>-383.12712456782862</v>
      </c>
      <c r="AU55" s="1021">
        <f>(VLOOKUP(YEAR($A55),'NY East Load Projections'!$A$4:$EO$14,((MONTH($A55)-1)*12)+VLOOKUP(AU$4,$DE$6:$DF$17,2)+1))*$C55</f>
        <v>-383.12712456782862</v>
      </c>
      <c r="AV55" s="1021">
        <f>(VLOOKUP(YEAR($A55),'NY East Load Projections'!$A$4:$EO$14,((MONTH($A55)-1)*12)+VLOOKUP(AV$4,$DE$6:$DF$17,2)+1))*$C55</f>
        <v>-383.12712456782862</v>
      </c>
      <c r="AW55" s="1021">
        <f>(VLOOKUP(YEAR($A55),'NY East Load Projections'!$A$4:$EO$14,((MONTH($A55)-1)*12)+VLOOKUP(AW$4,$DE$6:$DF$17,2)+1))*$C55</f>
        <v>-365.65339420807322</v>
      </c>
      <c r="AX55" s="1021">
        <f>(VLOOKUP(YEAR($A55),'NY East Load Projections'!$A$4:$EO$14,((MONTH($A55)-1)*12)+VLOOKUP(AX$4,$DE$6:$DF$17,2)+1))*$C55</f>
        <v>-365.65339420807322</v>
      </c>
      <c r="AY55" s="1021">
        <f>(VLOOKUP(YEAR($A55),'NY East Load Projections'!$A$4:$EO$14,((MONTH($A55)-1)*12)+VLOOKUP(AY$4,$DE$6:$DF$17,2)+1))*$C55</f>
        <v>-365.65339420807322</v>
      </c>
      <c r="AZ55" s="1021">
        <f>(VLOOKUP(YEAR($A55),'NY East Load Projections'!$A$4:$EO$14,((MONTH($A55)-1)*12)+VLOOKUP(AZ$4,$DE$6:$DF$17,2)+1))*$C55</f>
        <v>-365.65339420807322</v>
      </c>
      <c r="BA55" s="1021">
        <f>(VLOOKUP(YEAR($A55),'NY East Load Projections'!$A$4:$EO$14,((MONTH($A55)-1)*12)+VLOOKUP(BA$4,$DE$6:$DF$17,2)+1))*$C55</f>
        <v>-353.90050474550338</v>
      </c>
      <c r="BB55" s="1021">
        <f>(VLOOKUP(YEAR($A55),'NY East Load Projections'!$A$4:$EO$14,((MONTH($A55)-1)*12)+VLOOKUP(BB$4,$DE$6:$DF$17,2)+1))*$C55</f>
        <v>-353.90050474550338</v>
      </c>
      <c r="BC55" s="1021">
        <f>(VLOOKUP(YEAR($A55),'NY East Load Projections'!$A$4:$EO$14,((MONTH($A55)-1)*12)+VLOOKUP(BC$4,$DE$6:$DF$17,2)+1))*$C55</f>
        <v>-353.90050474550338</v>
      </c>
      <c r="BD55" s="1021">
        <f>(VLOOKUP(YEAR($A55),'NY East Load Projections'!$A$4:$EO$14,((MONTH($A55)-1)*12)+VLOOKUP(BD$4,$DE$6:$DF$17,2)+1))*$C55</f>
        <v>-353.90050474550338</v>
      </c>
      <c r="BE55" s="1021"/>
      <c r="BF55" s="1021">
        <f>(VLOOKUP(YEAR($A55),'NY East Load Projections'!$A$4:$EO$14,((MONTH($A55)-1)*12)+VLOOKUP(BF$4,$DE$6:$DF$17,2)+1))*$D55</f>
        <v>-350.02562703025956</v>
      </c>
      <c r="BG55" s="1021">
        <f>(VLOOKUP(YEAR($A55),'NY East Load Projections'!$A$4:$EO$14,((MONTH($A55)-1)*12)+VLOOKUP(BG$4,$DE$6:$DF$17,2)+1))*$D55</f>
        <v>-350.02562703025956</v>
      </c>
      <c r="BH55" s="1021">
        <f>(VLOOKUP(YEAR($A55),'NY East Load Projections'!$A$4:$EO$14,((MONTH($A55)-1)*12)+VLOOKUP(BH$4,$DE$6:$DF$17,2)+1))*$D55</f>
        <v>-350.02562703025956</v>
      </c>
      <c r="BI55" s="1021">
        <f>(VLOOKUP(YEAR($A55),'NY East Load Projections'!$A$4:$EO$14,((MONTH($A55)-1)*12)+VLOOKUP(BI$4,$DE$6:$DF$17,2)+1))*$D55</f>
        <v>-350.02562703025956</v>
      </c>
      <c r="BJ55" s="1021">
        <f>(VLOOKUP(YEAR($A55),'NY East Load Projections'!$A$4:$EO$14,((MONTH($A55)-1)*12)+VLOOKUP(BJ$4,$DE$6:$DF$17,2)+1))*$D55</f>
        <v>-356.54324225559986</v>
      </c>
      <c r="BK55" s="1021">
        <f>(VLOOKUP(YEAR($A55),'NY East Load Projections'!$A$4:$EO$14,((MONTH($A55)-1)*12)+VLOOKUP(BK$4,$DE$6:$DF$17,2)+1))*$D55</f>
        <v>-356.54324225559986</v>
      </c>
      <c r="BL55" s="1021">
        <f>(VLOOKUP(YEAR($A55),'NY East Load Projections'!$A$4:$EO$14,((MONTH($A55)-1)*12)+VLOOKUP(BL$4,$DE$6:$DF$17,2)+1))*$D55</f>
        <v>-356.54324225559986</v>
      </c>
      <c r="BM55" s="1021">
        <f>(VLOOKUP(YEAR($A55),'NY East Load Projections'!$A$4:$EO$14,((MONTH($A55)-1)*12)+VLOOKUP(BM$4,$DE$6:$DF$17,2)+1))*$D55</f>
        <v>-356.54324225559986</v>
      </c>
      <c r="BN55" s="1021">
        <f>(VLOOKUP(YEAR($A55),'NY East Load Projections'!$A$4:$EO$14,((MONTH($A55)-1)*12)+VLOOKUP(BN$4,$DE$6:$DF$17,2)+1))*$D55</f>
        <v>-382.70147738841882</v>
      </c>
      <c r="BO55" s="1021">
        <f>(VLOOKUP(YEAR($A55),'NY East Load Projections'!$A$4:$EO$14,((MONTH($A55)-1)*12)+VLOOKUP(BO$4,$DE$6:$DF$17,2)+1))*$D55</f>
        <v>-382.70147738841882</v>
      </c>
      <c r="BP55" s="1021">
        <f>(VLOOKUP(YEAR($A55),'NY East Load Projections'!$A$4:$EO$14,((MONTH($A55)-1)*12)+VLOOKUP(BP$4,$DE$6:$DF$17,2)+1))*$D55</f>
        <v>-382.70147738841882</v>
      </c>
      <c r="BQ55" s="1021">
        <f>(VLOOKUP(YEAR($A55),'NY East Load Projections'!$A$4:$EO$14,((MONTH($A55)-1)*12)+VLOOKUP(BQ$4,$DE$6:$DF$17,2)+1))*$D55</f>
        <v>-382.70147738841882</v>
      </c>
      <c r="BR55" s="1021">
        <f>(VLOOKUP(YEAR($A55),'NY East Load Projections'!$A$4:$EO$14,((MONTH($A55)-1)*12)+VLOOKUP(BR$4,$DE$6:$DF$17,2)+1))*$D55</f>
        <v>-383.12712456782862</v>
      </c>
      <c r="BS55" s="1021">
        <f>(VLOOKUP(YEAR($A55),'NY East Load Projections'!$A$4:$EO$14,((MONTH($A55)-1)*12)+VLOOKUP(BS$4,$DE$6:$DF$17,2)+1))*$D55</f>
        <v>-383.12712456782862</v>
      </c>
      <c r="BT55" s="1021">
        <f>(VLOOKUP(YEAR($A55),'NY East Load Projections'!$A$4:$EO$14,((MONTH($A55)-1)*12)+VLOOKUP(BT$4,$DE$6:$DF$17,2)+1))*$D55</f>
        <v>-383.12712456782862</v>
      </c>
      <c r="BU55" s="1021">
        <f>(VLOOKUP(YEAR($A55),'NY East Load Projections'!$A$4:$EO$14,((MONTH($A55)-1)*12)+VLOOKUP(BU$4,$DE$6:$DF$17,2)+1))*$D55</f>
        <v>-383.12712456782862</v>
      </c>
      <c r="BV55" s="1021">
        <f>(VLOOKUP(YEAR($A55),'NY East Load Projections'!$A$4:$EO$14,((MONTH($A55)-1)*12)+VLOOKUP(BV$4,$DE$6:$DF$17,2)+1))*$D55</f>
        <v>-365.65339420807322</v>
      </c>
      <c r="BW55" s="1021">
        <f>(VLOOKUP(YEAR($A55),'NY East Load Projections'!$A$4:$EO$14,((MONTH($A55)-1)*12)+VLOOKUP(BW$4,$DE$6:$DF$17,2)+1))*$D55</f>
        <v>-365.65339420807322</v>
      </c>
      <c r="BX55" s="1021">
        <f>(VLOOKUP(YEAR($A55),'NY East Load Projections'!$A$4:$EO$14,((MONTH($A55)-1)*12)+VLOOKUP(BX$4,$DE$6:$DF$17,2)+1))*$D55</f>
        <v>-365.65339420807322</v>
      </c>
      <c r="BY55" s="1021">
        <f>(VLOOKUP(YEAR($A55),'NY East Load Projections'!$A$4:$EO$14,((MONTH($A55)-1)*12)+VLOOKUP(BY$4,$DE$6:$DF$17,2)+1))*$D55</f>
        <v>-365.65339420807322</v>
      </c>
      <c r="BZ55" s="1021">
        <f>(VLOOKUP(YEAR($A55),'NY East Load Projections'!$A$4:$EO$14,((MONTH($A55)-1)*12)+VLOOKUP(BZ$4,$DE$6:$DF$17,2)+1))*$D55</f>
        <v>-353.90050474550338</v>
      </c>
      <c r="CA55" s="1021">
        <f>(VLOOKUP(YEAR($A55),'NY East Load Projections'!$A$4:$EO$14,((MONTH($A55)-1)*12)+VLOOKUP(CA$4,$DE$6:$DF$17,2)+1))*$D55</f>
        <v>-353.90050474550338</v>
      </c>
      <c r="CB55" s="1021">
        <f>(VLOOKUP(YEAR($A55),'NY East Load Projections'!$A$4:$EO$14,((MONTH($A55)-1)*12)+VLOOKUP(CB$4,$DE$6:$DF$17,2)+1))*$D55</f>
        <v>-353.90050474550338</v>
      </c>
      <c r="CC55" s="1021">
        <f>(VLOOKUP(YEAR($A55),'NY East Load Projections'!$A$4:$EO$14,((MONTH($A55)-1)*12)+VLOOKUP(CC$4,$DE$6:$DF$17,2)+1))*$D55</f>
        <v>-353.90050474550338</v>
      </c>
      <c r="CE55" s="1021">
        <f>(VLOOKUP(YEAR($A55),'NY East Load Projections'!$A$4:$EO$14,((MONTH($A55)-1)*12)+VLOOKUP(CE$4,$DE$6:$DF$17,2)+1))*$E55</f>
        <v>0</v>
      </c>
      <c r="CF55" s="1021">
        <f>(VLOOKUP(YEAR($A55),'NY East Load Projections'!$A$4:$EO$14,((MONTH($A55)-1)*12)+VLOOKUP(CF$4,$DE$6:$DF$17,2)+1))*$E55</f>
        <v>0</v>
      </c>
      <c r="CG55" s="1021">
        <f>(VLOOKUP(YEAR($A55),'NY East Load Projections'!$A$4:$EO$14,((MONTH($A55)-1)*12)+VLOOKUP(CG$4,$DE$6:$DF$17,2)+1))*$E55</f>
        <v>0</v>
      </c>
      <c r="CH55" s="1021">
        <f>(VLOOKUP(YEAR($A55),'NY East Load Projections'!$A$4:$EO$14,((MONTH($A55)-1)*12)+VLOOKUP(CH$4,$DE$6:$DF$17,2)+1))*$E55</f>
        <v>0</v>
      </c>
      <c r="CI55" s="1021">
        <f>(VLOOKUP(YEAR($A55),'NY East Load Projections'!$A$4:$EO$14,((MONTH($A55)-1)*12)+VLOOKUP(CI$4,$DE$6:$DF$17,2)+1))*$E55</f>
        <v>0</v>
      </c>
      <c r="CJ55" s="1021">
        <f>(VLOOKUP(YEAR($A55),'NY East Load Projections'!$A$4:$EO$14,((MONTH($A55)-1)*12)+VLOOKUP(CJ$4,$DE$6:$DF$17,2)+1))*$E55</f>
        <v>0</v>
      </c>
      <c r="CK55" s="1021">
        <f>(VLOOKUP(YEAR($A55),'NY East Load Projections'!$A$4:$EO$14,((MONTH($A55)-1)*12)+VLOOKUP(CK$4,$DE$6:$DF$17,2)+1))*$E55</f>
        <v>0</v>
      </c>
      <c r="CL55" s="1021">
        <f>(VLOOKUP(YEAR($A55),'NY East Load Projections'!$A$4:$EO$14,((MONTH($A55)-1)*12)+VLOOKUP(CL$4,$DE$6:$DF$17,2)+1))*$E55</f>
        <v>0</v>
      </c>
      <c r="CM55" s="1021">
        <f>(VLOOKUP(YEAR($A55),'NY East Load Projections'!$A$4:$EO$14,((MONTH($A55)-1)*12)+VLOOKUP(CM$4,$DE$6:$DF$17,2)+1))*$E55</f>
        <v>0</v>
      </c>
      <c r="CN55" s="1021">
        <f>(VLOOKUP(YEAR($A55),'NY East Load Projections'!$A$4:$EO$14,((MONTH($A55)-1)*12)+VLOOKUP(CN$4,$DE$6:$DF$17,2)+1))*$E55</f>
        <v>0</v>
      </c>
      <c r="CO55" s="1021">
        <f>(VLOOKUP(YEAR($A55),'NY East Load Projections'!$A$4:$EO$14,((MONTH($A55)-1)*12)+VLOOKUP(CO$4,$DE$6:$DF$17,2)+1))*$E55</f>
        <v>0</v>
      </c>
      <c r="CP55" s="1021">
        <f>(VLOOKUP(YEAR($A55),'NY East Load Projections'!$A$4:$EO$14,((MONTH($A55)-1)*12)+VLOOKUP(CP$4,$DE$6:$DF$17,2)+1))*$E55</f>
        <v>0</v>
      </c>
      <c r="CQ55" s="1021">
        <f>(VLOOKUP(YEAR($A55),'NY East Load Projections'!$A$4:$EO$14,((MONTH($A55)-1)*12)+VLOOKUP(CQ$4,$DE$6:$DF$17,2)+1))*$E55</f>
        <v>0</v>
      </c>
      <c r="CR55" s="1021">
        <f>(VLOOKUP(YEAR($A55),'NY East Load Projections'!$A$4:$EO$14,((MONTH($A55)-1)*12)+VLOOKUP(CR$4,$DE$6:$DF$17,2)+1))*$E55</f>
        <v>0</v>
      </c>
      <c r="CS55" s="1021">
        <f>(VLOOKUP(YEAR($A55),'NY East Load Projections'!$A$4:$EO$14,((MONTH($A55)-1)*12)+VLOOKUP(CS$4,$DE$6:$DF$17,2)+1))*$E55</f>
        <v>0</v>
      </c>
      <c r="CT55" s="1021">
        <f>(VLOOKUP(YEAR($A55),'NY East Load Projections'!$A$4:$EO$14,((MONTH($A55)-1)*12)+VLOOKUP(CT$4,$DE$6:$DF$17,2)+1))*$E55</f>
        <v>0</v>
      </c>
      <c r="CU55" s="1021">
        <f>(VLOOKUP(YEAR($A55),'NY East Load Projections'!$A$4:$EO$14,((MONTH($A55)-1)*12)+VLOOKUP(CU$4,$DE$6:$DF$17,2)+1))*$E55</f>
        <v>0</v>
      </c>
      <c r="CV55" s="1021">
        <f>(VLOOKUP(YEAR($A55),'NY East Load Projections'!$A$4:$EO$14,((MONTH($A55)-1)*12)+VLOOKUP(CV$4,$DE$6:$DF$17,2)+1))*$E55</f>
        <v>0</v>
      </c>
      <c r="CW55" s="1021">
        <f>(VLOOKUP(YEAR($A55),'NY East Load Projections'!$A$4:$EO$14,((MONTH($A55)-1)*12)+VLOOKUP(CW$4,$DE$6:$DF$17,2)+1))*$E55</f>
        <v>0</v>
      </c>
      <c r="CX55" s="1021">
        <f>(VLOOKUP(YEAR($A55),'NY East Load Projections'!$A$4:$EO$14,((MONTH($A55)-1)*12)+VLOOKUP(CX$4,$DE$6:$DF$17,2)+1))*$E55</f>
        <v>0</v>
      </c>
      <c r="CY55" s="1021">
        <f>(VLOOKUP(YEAR($A55),'NY East Load Projections'!$A$4:$EO$14,((MONTH($A55)-1)*12)+VLOOKUP(CY$4,$DE$6:$DF$17,2)+1))*$E55</f>
        <v>0</v>
      </c>
      <c r="CZ55" s="1021">
        <f>(VLOOKUP(YEAR($A55),'NY East Load Projections'!$A$4:$EO$14,((MONTH($A55)-1)*12)+VLOOKUP(CZ$4,$DE$6:$DF$17,2)+1))*$E55</f>
        <v>0</v>
      </c>
      <c r="DA55" s="1021">
        <f>(VLOOKUP(YEAR($A55),'NY East Load Projections'!$A$4:$EO$14,((MONTH($A55)-1)*12)+VLOOKUP(DA$4,$DE$6:$DF$17,2)+1))*$E55</f>
        <v>0</v>
      </c>
      <c r="DB55" s="1021">
        <f>(VLOOKUP(YEAR($A55),'NY East Load Projections'!$A$4:$EO$14,((MONTH($A55)-1)*12)+VLOOKUP(DB$4,$DE$6:$DF$17,2)+1))*$E55</f>
        <v>0</v>
      </c>
      <c r="DH55" s="1009">
        <f t="shared" si="2"/>
        <v>-62236.53788490365</v>
      </c>
      <c r="DI55">
        <f ca="1">CALC!J75</f>
        <v>0.69615197728927514</v>
      </c>
      <c r="DJ55" s="1032">
        <f t="shared" ca="1" si="1"/>
        <v>-43326.088908214559</v>
      </c>
    </row>
    <row r="56" spans="1:114" x14ac:dyDescent="0.25">
      <c r="A56" s="244">
        <v>38412</v>
      </c>
      <c r="B56" s="13">
        <v>23</v>
      </c>
      <c r="C56" s="210">
        <v>4</v>
      </c>
      <c r="D56" s="210">
        <v>4</v>
      </c>
      <c r="E56" s="210">
        <v>0</v>
      </c>
      <c r="F56" s="13">
        <v>31</v>
      </c>
      <c r="H56" s="1021">
        <f>(VLOOKUP(YEAR($A56),'NY East Load Projections'!$A$4:$EO$14,((MONTH($A56)-1)*12)+VLOOKUP(H$4,$DE$6:$DF$17,2)+1))*$B56</f>
        <v>-1799.5958090697568</v>
      </c>
      <c r="I56" s="1021">
        <f>(VLOOKUP(YEAR($A56),'NY East Load Projections'!$A$4:$EO$14,((MONTH($A56)-1)*12)+VLOOKUP(I$4,$DE$6:$DF$17,2)+1))*$B56</f>
        <v>-1799.5958090697568</v>
      </c>
      <c r="J56" s="1021">
        <f>(VLOOKUP(YEAR($A56),'NY East Load Projections'!$A$4:$EO$14,((MONTH($A56)-1)*12)+VLOOKUP(J$4,$DE$6:$DF$17,2)+1))*$B56</f>
        <v>-1799.5958090697568</v>
      </c>
      <c r="K56" s="1021">
        <f>(VLOOKUP(YEAR($A56),'NY East Load Projections'!$A$4:$EO$14,((MONTH($A56)-1)*12)+VLOOKUP(K$4,$DE$6:$DF$17,2)+1))*$B56</f>
        <v>-1799.5958090697568</v>
      </c>
      <c r="L56" s="1021">
        <f>(VLOOKUP(YEAR($A56),'NY East Load Projections'!$A$4:$EO$14,((MONTH($A56)-1)*12)+VLOOKUP(L$4,$DE$6:$DF$17,2)+1))*$B56</f>
        <v>-1991.7899787737124</v>
      </c>
      <c r="M56" s="1021">
        <f>(VLOOKUP(YEAR($A56),'NY East Load Projections'!$A$4:$EO$14,((MONTH($A56)-1)*12)+VLOOKUP(M$4,$DE$6:$DF$17,2)+1))*$B56</f>
        <v>-1991.7899787737124</v>
      </c>
      <c r="N56" s="1021">
        <f>(VLOOKUP(YEAR($A56),'NY East Load Projections'!$A$4:$EO$14,((MONTH($A56)-1)*12)+VLOOKUP(N$4,$DE$6:$DF$17,2)+1))*$B56</f>
        <v>-1991.7899787737124</v>
      </c>
      <c r="O56" s="1021">
        <f>(VLOOKUP(YEAR($A56),'NY East Load Projections'!$A$4:$EO$14,((MONTH($A56)-1)*12)+VLOOKUP(O$4,$DE$6:$DF$17,2)+1))*$B56</f>
        <v>-1991.7899787737124</v>
      </c>
      <c r="P56" s="1021">
        <f>(VLOOKUP(YEAR($A56),'NY East Load Projections'!$A$4:$EO$14,((MONTH($A56)-1)*12)+VLOOKUP(P$4,$DE$6:$DF$17,2)+1))*$B56</f>
        <v>-2221.5502411538937</v>
      </c>
      <c r="Q56" s="1021">
        <f>(VLOOKUP(YEAR($A56),'NY East Load Projections'!$A$4:$EO$14,((MONTH($A56)-1)*12)+VLOOKUP(Q$4,$DE$6:$DF$17,2)+1))*$B56</f>
        <v>-2221.5502411538937</v>
      </c>
      <c r="R56" s="1021">
        <f>(VLOOKUP(YEAR($A56),'NY East Load Projections'!$A$4:$EO$14,((MONTH($A56)-1)*12)+VLOOKUP(R$4,$DE$6:$DF$17,2)+1))*$B56</f>
        <v>-2221.5502411538937</v>
      </c>
      <c r="S56" s="1021">
        <f>(VLOOKUP(YEAR($A56),'NY East Load Projections'!$A$4:$EO$14,((MONTH($A56)-1)*12)+VLOOKUP(S$4,$DE$6:$DF$17,2)+1))*$B56</f>
        <v>-2221.5502411538937</v>
      </c>
      <c r="T56" s="1021">
        <f>(VLOOKUP(YEAR($A56),'NY East Load Projections'!$A$4:$EO$14,((MONTH($A56)-1)*12)+VLOOKUP(T$4,$DE$6:$DF$17,2)+1))*$B56</f>
        <v>-2293.9087070755727</v>
      </c>
      <c r="U56" s="1021">
        <f>(VLOOKUP(YEAR($A56),'NY East Load Projections'!$A$4:$EO$14,((MONTH($A56)-1)*12)+VLOOKUP(U$4,$DE$6:$DF$17,2)+1))*$B56</f>
        <v>-2293.9087070755727</v>
      </c>
      <c r="V56" s="1021">
        <f>(VLOOKUP(YEAR($A56),'NY East Load Projections'!$A$4:$EO$14,((MONTH($A56)-1)*12)+VLOOKUP(V$4,$DE$6:$DF$17,2)+1))*$B56</f>
        <v>-2293.9087070755727</v>
      </c>
      <c r="W56" s="1021">
        <f>(VLOOKUP(YEAR($A56),'NY East Load Projections'!$A$4:$EO$14,((MONTH($A56)-1)*12)+VLOOKUP(W$4,$DE$6:$DF$17,2)+1))*$B56</f>
        <v>-2293.9087070755727</v>
      </c>
      <c r="X56" s="1021">
        <f>(VLOOKUP(YEAR($A56),'NY East Load Projections'!$A$4:$EO$14,((MONTH($A56)-1)*12)+VLOOKUP(X$4,$DE$6:$DF$17,2)+1))*$B56</f>
        <v>-2163.7636231186175</v>
      </c>
      <c r="Y56" s="1021">
        <f>(VLOOKUP(YEAR($A56),'NY East Load Projections'!$A$4:$EO$14,((MONTH($A56)-1)*12)+VLOOKUP(Y$4,$DE$6:$DF$17,2)+1))*$B56</f>
        <v>-2163.7636231186175</v>
      </c>
      <c r="Z56" s="1021">
        <f>(VLOOKUP(YEAR($A56),'NY East Load Projections'!$A$4:$EO$14,((MONTH($A56)-1)*12)+VLOOKUP(Z$4,$DE$6:$DF$17,2)+1))*$B56</f>
        <v>-2163.7636231186175</v>
      </c>
      <c r="AA56" s="1021">
        <f>(VLOOKUP(YEAR($A56),'NY East Load Projections'!$A$4:$EO$14,((MONTH($A56)-1)*12)+VLOOKUP(AA$4,$DE$6:$DF$17,2)+1))*$B56</f>
        <v>-2163.7636231186175</v>
      </c>
      <c r="AB56" s="1021">
        <f>(VLOOKUP(YEAR($A56),'NY East Load Projections'!$A$4:$EO$14,((MONTH($A56)-1)*12)+VLOOKUP(AB$4,$DE$6:$DF$17,2)+1))*$B56</f>
        <v>-1933.7404189015097</v>
      </c>
      <c r="AC56" s="1021">
        <f>(VLOOKUP(YEAR($A56),'NY East Load Projections'!$A$4:$EO$14,((MONTH($A56)-1)*12)+VLOOKUP(AC$4,$DE$6:$DF$17,2)+1))*$B56</f>
        <v>-1933.7404189015097</v>
      </c>
      <c r="AD56" s="1021">
        <f>(VLOOKUP(YEAR($A56),'NY East Load Projections'!$A$4:$EO$14,((MONTH($A56)-1)*12)+VLOOKUP(AD$4,$DE$6:$DF$17,2)+1))*$B56</f>
        <v>-1933.7404189015097</v>
      </c>
      <c r="AE56" s="1021">
        <f>(VLOOKUP(YEAR($A56),'NY East Load Projections'!$A$4:$EO$14,((MONTH($A56)-1)*12)+VLOOKUP(AE$4,$DE$6:$DF$17,2)+1))*$B56</f>
        <v>-1933.7404189015097</v>
      </c>
      <c r="AF56" s="1021"/>
      <c r="AG56" s="1021">
        <f>(VLOOKUP(YEAR($A56),'NY East Load Projections'!$A$4:$EO$14,((MONTH($A56)-1)*12)+VLOOKUP(AG$4,$DE$6:$DF$17,2)+1))*$C56</f>
        <v>-350.30377050319089</v>
      </c>
      <c r="AH56" s="1021">
        <f>(VLOOKUP(YEAR($A56),'NY East Load Projections'!$A$4:$EO$14,((MONTH($A56)-1)*12)+VLOOKUP(AH$4,$DE$6:$DF$17,2)+1))*$C56</f>
        <v>-350.30377050319089</v>
      </c>
      <c r="AI56" s="1021">
        <f>(VLOOKUP(YEAR($A56),'NY East Load Projections'!$A$4:$EO$14,((MONTH($A56)-1)*12)+VLOOKUP(AI$4,$DE$6:$DF$17,2)+1))*$C56</f>
        <v>-350.30377050319089</v>
      </c>
      <c r="AJ56" s="1021">
        <f>(VLOOKUP(YEAR($A56),'NY East Load Projections'!$A$4:$EO$14,((MONTH($A56)-1)*12)+VLOOKUP(AJ$4,$DE$6:$DF$17,2)+1))*$C56</f>
        <v>-350.30377050319089</v>
      </c>
      <c r="AK56" s="1021">
        <f>(VLOOKUP(YEAR($A56),'NY East Load Projections'!$A$4:$EO$14,((MONTH($A56)-1)*12)+VLOOKUP(AK$4,$DE$6:$DF$17,2)+1))*$C56</f>
        <v>-354.57414526704201</v>
      </c>
      <c r="AL56" s="1021">
        <f>(VLOOKUP(YEAR($A56),'NY East Load Projections'!$A$4:$EO$14,((MONTH($A56)-1)*12)+VLOOKUP(AL$4,$DE$6:$DF$17,2)+1))*$C56</f>
        <v>-354.57414526704201</v>
      </c>
      <c r="AM56" s="1021">
        <f>(VLOOKUP(YEAR($A56),'NY East Load Projections'!$A$4:$EO$14,((MONTH($A56)-1)*12)+VLOOKUP(AM$4,$DE$6:$DF$17,2)+1))*$C56</f>
        <v>-354.57414526704201</v>
      </c>
      <c r="AN56" s="1021">
        <f>(VLOOKUP(YEAR($A56),'NY East Load Projections'!$A$4:$EO$14,((MONTH($A56)-1)*12)+VLOOKUP(AN$4,$DE$6:$DF$17,2)+1))*$C56</f>
        <v>-354.57414526704201</v>
      </c>
      <c r="AO56" s="1021">
        <f>(VLOOKUP(YEAR($A56),'NY East Load Projections'!$A$4:$EO$14,((MONTH($A56)-1)*12)+VLOOKUP(AO$4,$DE$6:$DF$17,2)+1))*$C56</f>
        <v>-380.09894204412149</v>
      </c>
      <c r="AP56" s="1021">
        <f>(VLOOKUP(YEAR($A56),'NY East Load Projections'!$A$4:$EO$14,((MONTH($A56)-1)*12)+VLOOKUP(AP$4,$DE$6:$DF$17,2)+1))*$C56</f>
        <v>-380.09894204412149</v>
      </c>
      <c r="AQ56" s="1021">
        <f>(VLOOKUP(YEAR($A56),'NY East Load Projections'!$A$4:$EO$14,((MONTH($A56)-1)*12)+VLOOKUP(AQ$4,$DE$6:$DF$17,2)+1))*$C56</f>
        <v>-380.09894204412149</v>
      </c>
      <c r="AR56" s="1021">
        <f>(VLOOKUP(YEAR($A56),'NY East Load Projections'!$A$4:$EO$14,((MONTH($A56)-1)*12)+VLOOKUP(AR$4,$DE$6:$DF$17,2)+1))*$C56</f>
        <v>-380.09894204412149</v>
      </c>
      <c r="AS56" s="1021">
        <f>(VLOOKUP(YEAR($A56),'NY East Load Projections'!$A$4:$EO$14,((MONTH($A56)-1)*12)+VLOOKUP(AS$4,$DE$6:$DF$17,2)+1))*$C56</f>
        <v>-382.0194089658545</v>
      </c>
      <c r="AT56" s="1021">
        <f>(VLOOKUP(YEAR($A56),'NY East Load Projections'!$A$4:$EO$14,((MONTH($A56)-1)*12)+VLOOKUP(AT$4,$DE$6:$DF$17,2)+1))*$C56</f>
        <v>-382.0194089658545</v>
      </c>
      <c r="AU56" s="1021">
        <f>(VLOOKUP(YEAR($A56),'NY East Load Projections'!$A$4:$EO$14,((MONTH($A56)-1)*12)+VLOOKUP(AU$4,$DE$6:$DF$17,2)+1))*$C56</f>
        <v>-382.0194089658545</v>
      </c>
      <c r="AV56" s="1021">
        <f>(VLOOKUP(YEAR($A56),'NY East Load Projections'!$A$4:$EO$14,((MONTH($A56)-1)*12)+VLOOKUP(AV$4,$DE$6:$DF$17,2)+1))*$C56</f>
        <v>-382.0194089658545</v>
      </c>
      <c r="AW56" s="1021">
        <f>(VLOOKUP(YEAR($A56),'NY East Load Projections'!$A$4:$EO$14,((MONTH($A56)-1)*12)+VLOOKUP(AW$4,$DE$6:$DF$17,2)+1))*$C56</f>
        <v>-365.74810415782241</v>
      </c>
      <c r="AX56" s="1021">
        <f>(VLOOKUP(YEAR($A56),'NY East Load Projections'!$A$4:$EO$14,((MONTH($A56)-1)*12)+VLOOKUP(AX$4,$DE$6:$DF$17,2)+1))*$C56</f>
        <v>-365.74810415782241</v>
      </c>
      <c r="AY56" s="1021">
        <f>(VLOOKUP(YEAR($A56),'NY East Load Projections'!$A$4:$EO$14,((MONTH($A56)-1)*12)+VLOOKUP(AY$4,$DE$6:$DF$17,2)+1))*$C56</f>
        <v>-365.74810415782241</v>
      </c>
      <c r="AZ56" s="1021">
        <f>(VLOOKUP(YEAR($A56),'NY East Load Projections'!$A$4:$EO$14,((MONTH($A56)-1)*12)+VLOOKUP(AZ$4,$DE$6:$DF$17,2)+1))*$C56</f>
        <v>-365.74810415782241</v>
      </c>
      <c r="BA56" s="1021">
        <f>(VLOOKUP(YEAR($A56),'NY East Load Projections'!$A$4:$EO$14,((MONTH($A56)-1)*12)+VLOOKUP(BA$4,$DE$6:$DF$17,2)+1))*$C56</f>
        <v>-353.35061540896584</v>
      </c>
      <c r="BB56" s="1021">
        <f>(VLOOKUP(YEAR($A56),'NY East Load Projections'!$A$4:$EO$14,((MONTH($A56)-1)*12)+VLOOKUP(BB$4,$DE$6:$DF$17,2)+1))*$C56</f>
        <v>-353.35061540896584</v>
      </c>
      <c r="BC56" s="1021">
        <f>(VLOOKUP(YEAR($A56),'NY East Load Projections'!$A$4:$EO$14,((MONTH($A56)-1)*12)+VLOOKUP(BC$4,$DE$6:$DF$17,2)+1))*$C56</f>
        <v>-353.35061540896584</v>
      </c>
      <c r="BD56" s="1021">
        <f>(VLOOKUP(YEAR($A56),'NY East Load Projections'!$A$4:$EO$14,((MONTH($A56)-1)*12)+VLOOKUP(BD$4,$DE$6:$DF$17,2)+1))*$C56</f>
        <v>-353.35061540896584</v>
      </c>
      <c r="BE56" s="1021"/>
      <c r="BF56" s="1021">
        <f>(VLOOKUP(YEAR($A56),'NY East Load Projections'!$A$4:$EO$14,((MONTH($A56)-1)*12)+VLOOKUP(BF$4,$DE$6:$DF$17,2)+1))*$D56</f>
        <v>-350.30377050319089</v>
      </c>
      <c r="BG56" s="1021">
        <f>(VLOOKUP(YEAR($A56),'NY East Load Projections'!$A$4:$EO$14,((MONTH($A56)-1)*12)+VLOOKUP(BG$4,$DE$6:$DF$17,2)+1))*$D56</f>
        <v>-350.30377050319089</v>
      </c>
      <c r="BH56" s="1021">
        <f>(VLOOKUP(YEAR($A56),'NY East Load Projections'!$A$4:$EO$14,((MONTH($A56)-1)*12)+VLOOKUP(BH$4,$DE$6:$DF$17,2)+1))*$D56</f>
        <v>-350.30377050319089</v>
      </c>
      <c r="BI56" s="1021">
        <f>(VLOOKUP(YEAR($A56),'NY East Load Projections'!$A$4:$EO$14,((MONTH($A56)-1)*12)+VLOOKUP(BI$4,$DE$6:$DF$17,2)+1))*$D56</f>
        <v>-350.30377050319089</v>
      </c>
      <c r="BJ56" s="1021">
        <f>(VLOOKUP(YEAR($A56),'NY East Load Projections'!$A$4:$EO$14,((MONTH($A56)-1)*12)+VLOOKUP(BJ$4,$DE$6:$DF$17,2)+1))*$D56</f>
        <v>-354.57414526704201</v>
      </c>
      <c r="BK56" s="1021">
        <f>(VLOOKUP(YEAR($A56),'NY East Load Projections'!$A$4:$EO$14,((MONTH($A56)-1)*12)+VLOOKUP(BK$4,$DE$6:$DF$17,2)+1))*$D56</f>
        <v>-354.57414526704201</v>
      </c>
      <c r="BL56" s="1021">
        <f>(VLOOKUP(YEAR($A56),'NY East Load Projections'!$A$4:$EO$14,((MONTH($A56)-1)*12)+VLOOKUP(BL$4,$DE$6:$DF$17,2)+1))*$D56</f>
        <v>-354.57414526704201</v>
      </c>
      <c r="BM56" s="1021">
        <f>(VLOOKUP(YEAR($A56),'NY East Load Projections'!$A$4:$EO$14,((MONTH($A56)-1)*12)+VLOOKUP(BM$4,$DE$6:$DF$17,2)+1))*$D56</f>
        <v>-354.57414526704201</v>
      </c>
      <c r="BN56" s="1021">
        <f>(VLOOKUP(YEAR($A56),'NY East Load Projections'!$A$4:$EO$14,((MONTH($A56)-1)*12)+VLOOKUP(BN$4,$DE$6:$DF$17,2)+1))*$D56</f>
        <v>-380.09894204412149</v>
      </c>
      <c r="BO56" s="1021">
        <f>(VLOOKUP(YEAR($A56),'NY East Load Projections'!$A$4:$EO$14,((MONTH($A56)-1)*12)+VLOOKUP(BO$4,$DE$6:$DF$17,2)+1))*$D56</f>
        <v>-380.09894204412149</v>
      </c>
      <c r="BP56" s="1021">
        <f>(VLOOKUP(YEAR($A56),'NY East Load Projections'!$A$4:$EO$14,((MONTH($A56)-1)*12)+VLOOKUP(BP$4,$DE$6:$DF$17,2)+1))*$D56</f>
        <v>-380.09894204412149</v>
      </c>
      <c r="BQ56" s="1021">
        <f>(VLOOKUP(YEAR($A56),'NY East Load Projections'!$A$4:$EO$14,((MONTH($A56)-1)*12)+VLOOKUP(BQ$4,$DE$6:$DF$17,2)+1))*$D56</f>
        <v>-380.09894204412149</v>
      </c>
      <c r="BR56" s="1021">
        <f>(VLOOKUP(YEAR($A56),'NY East Load Projections'!$A$4:$EO$14,((MONTH($A56)-1)*12)+VLOOKUP(BR$4,$DE$6:$DF$17,2)+1))*$D56</f>
        <v>-382.0194089658545</v>
      </c>
      <c r="BS56" s="1021">
        <f>(VLOOKUP(YEAR($A56),'NY East Load Projections'!$A$4:$EO$14,((MONTH($A56)-1)*12)+VLOOKUP(BS$4,$DE$6:$DF$17,2)+1))*$D56</f>
        <v>-382.0194089658545</v>
      </c>
      <c r="BT56" s="1021">
        <f>(VLOOKUP(YEAR($A56),'NY East Load Projections'!$A$4:$EO$14,((MONTH($A56)-1)*12)+VLOOKUP(BT$4,$DE$6:$DF$17,2)+1))*$D56</f>
        <v>-382.0194089658545</v>
      </c>
      <c r="BU56" s="1021">
        <f>(VLOOKUP(YEAR($A56),'NY East Load Projections'!$A$4:$EO$14,((MONTH($A56)-1)*12)+VLOOKUP(BU$4,$DE$6:$DF$17,2)+1))*$D56</f>
        <v>-382.0194089658545</v>
      </c>
      <c r="BV56" s="1021">
        <f>(VLOOKUP(YEAR($A56),'NY East Load Projections'!$A$4:$EO$14,((MONTH($A56)-1)*12)+VLOOKUP(BV$4,$DE$6:$DF$17,2)+1))*$D56</f>
        <v>-365.74810415782241</v>
      </c>
      <c r="BW56" s="1021">
        <f>(VLOOKUP(YEAR($A56),'NY East Load Projections'!$A$4:$EO$14,((MONTH($A56)-1)*12)+VLOOKUP(BW$4,$DE$6:$DF$17,2)+1))*$D56</f>
        <v>-365.74810415782241</v>
      </c>
      <c r="BX56" s="1021">
        <f>(VLOOKUP(YEAR($A56),'NY East Load Projections'!$A$4:$EO$14,((MONTH($A56)-1)*12)+VLOOKUP(BX$4,$DE$6:$DF$17,2)+1))*$D56</f>
        <v>-365.74810415782241</v>
      </c>
      <c r="BY56" s="1021">
        <f>(VLOOKUP(YEAR($A56),'NY East Load Projections'!$A$4:$EO$14,((MONTH($A56)-1)*12)+VLOOKUP(BY$4,$DE$6:$DF$17,2)+1))*$D56</f>
        <v>-365.74810415782241</v>
      </c>
      <c r="BZ56" s="1021">
        <f>(VLOOKUP(YEAR($A56),'NY East Load Projections'!$A$4:$EO$14,((MONTH($A56)-1)*12)+VLOOKUP(BZ$4,$DE$6:$DF$17,2)+1))*$D56</f>
        <v>-353.35061540896584</v>
      </c>
      <c r="CA56" s="1021">
        <f>(VLOOKUP(YEAR($A56),'NY East Load Projections'!$A$4:$EO$14,((MONTH($A56)-1)*12)+VLOOKUP(CA$4,$DE$6:$DF$17,2)+1))*$D56</f>
        <v>-353.35061540896584</v>
      </c>
      <c r="CB56" s="1021">
        <f>(VLOOKUP(YEAR($A56),'NY East Load Projections'!$A$4:$EO$14,((MONTH($A56)-1)*12)+VLOOKUP(CB$4,$DE$6:$DF$17,2)+1))*$D56</f>
        <v>-353.35061540896584</v>
      </c>
      <c r="CC56" s="1021">
        <f>(VLOOKUP(YEAR($A56),'NY East Load Projections'!$A$4:$EO$14,((MONTH($A56)-1)*12)+VLOOKUP(CC$4,$DE$6:$DF$17,2)+1))*$D56</f>
        <v>-353.35061540896584</v>
      </c>
      <c r="CE56" s="1021">
        <f>(VLOOKUP(YEAR($A56),'NY East Load Projections'!$A$4:$EO$14,((MONTH($A56)-1)*12)+VLOOKUP(CE$4,$DE$6:$DF$17,2)+1))*$E56</f>
        <v>0</v>
      </c>
      <c r="CF56" s="1021">
        <f>(VLOOKUP(YEAR($A56),'NY East Load Projections'!$A$4:$EO$14,((MONTH($A56)-1)*12)+VLOOKUP(CF$4,$DE$6:$DF$17,2)+1))*$E56</f>
        <v>0</v>
      </c>
      <c r="CG56" s="1021">
        <f>(VLOOKUP(YEAR($A56),'NY East Load Projections'!$A$4:$EO$14,((MONTH($A56)-1)*12)+VLOOKUP(CG$4,$DE$6:$DF$17,2)+1))*$E56</f>
        <v>0</v>
      </c>
      <c r="CH56" s="1021">
        <f>(VLOOKUP(YEAR($A56),'NY East Load Projections'!$A$4:$EO$14,((MONTH($A56)-1)*12)+VLOOKUP(CH$4,$DE$6:$DF$17,2)+1))*$E56</f>
        <v>0</v>
      </c>
      <c r="CI56" s="1021">
        <f>(VLOOKUP(YEAR($A56),'NY East Load Projections'!$A$4:$EO$14,((MONTH($A56)-1)*12)+VLOOKUP(CI$4,$DE$6:$DF$17,2)+1))*$E56</f>
        <v>0</v>
      </c>
      <c r="CJ56" s="1021">
        <f>(VLOOKUP(YEAR($A56),'NY East Load Projections'!$A$4:$EO$14,((MONTH($A56)-1)*12)+VLOOKUP(CJ$4,$DE$6:$DF$17,2)+1))*$E56</f>
        <v>0</v>
      </c>
      <c r="CK56" s="1021">
        <f>(VLOOKUP(YEAR($A56),'NY East Load Projections'!$A$4:$EO$14,((MONTH($A56)-1)*12)+VLOOKUP(CK$4,$DE$6:$DF$17,2)+1))*$E56</f>
        <v>0</v>
      </c>
      <c r="CL56" s="1021">
        <f>(VLOOKUP(YEAR($A56),'NY East Load Projections'!$A$4:$EO$14,((MONTH($A56)-1)*12)+VLOOKUP(CL$4,$DE$6:$DF$17,2)+1))*$E56</f>
        <v>0</v>
      </c>
      <c r="CM56" s="1021">
        <f>(VLOOKUP(YEAR($A56),'NY East Load Projections'!$A$4:$EO$14,((MONTH($A56)-1)*12)+VLOOKUP(CM$4,$DE$6:$DF$17,2)+1))*$E56</f>
        <v>0</v>
      </c>
      <c r="CN56" s="1021">
        <f>(VLOOKUP(YEAR($A56),'NY East Load Projections'!$A$4:$EO$14,((MONTH($A56)-1)*12)+VLOOKUP(CN$4,$DE$6:$DF$17,2)+1))*$E56</f>
        <v>0</v>
      </c>
      <c r="CO56" s="1021">
        <f>(VLOOKUP(YEAR($A56),'NY East Load Projections'!$A$4:$EO$14,((MONTH($A56)-1)*12)+VLOOKUP(CO$4,$DE$6:$DF$17,2)+1))*$E56</f>
        <v>0</v>
      </c>
      <c r="CP56" s="1021">
        <f>(VLOOKUP(YEAR($A56),'NY East Load Projections'!$A$4:$EO$14,((MONTH($A56)-1)*12)+VLOOKUP(CP$4,$DE$6:$DF$17,2)+1))*$E56</f>
        <v>0</v>
      </c>
      <c r="CQ56" s="1021">
        <f>(VLOOKUP(YEAR($A56),'NY East Load Projections'!$A$4:$EO$14,((MONTH($A56)-1)*12)+VLOOKUP(CQ$4,$DE$6:$DF$17,2)+1))*$E56</f>
        <v>0</v>
      </c>
      <c r="CR56" s="1021">
        <f>(VLOOKUP(YEAR($A56),'NY East Load Projections'!$A$4:$EO$14,((MONTH($A56)-1)*12)+VLOOKUP(CR$4,$DE$6:$DF$17,2)+1))*$E56</f>
        <v>0</v>
      </c>
      <c r="CS56" s="1021">
        <f>(VLOOKUP(YEAR($A56),'NY East Load Projections'!$A$4:$EO$14,((MONTH($A56)-1)*12)+VLOOKUP(CS$4,$DE$6:$DF$17,2)+1))*$E56</f>
        <v>0</v>
      </c>
      <c r="CT56" s="1021">
        <f>(VLOOKUP(YEAR($A56),'NY East Load Projections'!$A$4:$EO$14,((MONTH($A56)-1)*12)+VLOOKUP(CT$4,$DE$6:$DF$17,2)+1))*$E56</f>
        <v>0</v>
      </c>
      <c r="CU56" s="1021">
        <f>(VLOOKUP(YEAR($A56),'NY East Load Projections'!$A$4:$EO$14,((MONTH($A56)-1)*12)+VLOOKUP(CU$4,$DE$6:$DF$17,2)+1))*$E56</f>
        <v>0</v>
      </c>
      <c r="CV56" s="1021">
        <f>(VLOOKUP(YEAR($A56),'NY East Load Projections'!$A$4:$EO$14,((MONTH($A56)-1)*12)+VLOOKUP(CV$4,$DE$6:$DF$17,2)+1))*$E56</f>
        <v>0</v>
      </c>
      <c r="CW56" s="1021">
        <f>(VLOOKUP(YEAR($A56),'NY East Load Projections'!$A$4:$EO$14,((MONTH($A56)-1)*12)+VLOOKUP(CW$4,$DE$6:$DF$17,2)+1))*$E56</f>
        <v>0</v>
      </c>
      <c r="CX56" s="1021">
        <f>(VLOOKUP(YEAR($A56),'NY East Load Projections'!$A$4:$EO$14,((MONTH($A56)-1)*12)+VLOOKUP(CX$4,$DE$6:$DF$17,2)+1))*$E56</f>
        <v>0</v>
      </c>
      <c r="CY56" s="1021">
        <f>(VLOOKUP(YEAR($A56),'NY East Load Projections'!$A$4:$EO$14,((MONTH($A56)-1)*12)+VLOOKUP(CY$4,$DE$6:$DF$17,2)+1))*$E56</f>
        <v>0</v>
      </c>
      <c r="CZ56" s="1021">
        <f>(VLOOKUP(YEAR($A56),'NY East Load Projections'!$A$4:$EO$14,((MONTH($A56)-1)*12)+VLOOKUP(CZ$4,$DE$6:$DF$17,2)+1))*$E56</f>
        <v>0</v>
      </c>
      <c r="DA56" s="1021">
        <f>(VLOOKUP(YEAR($A56),'NY East Load Projections'!$A$4:$EO$14,((MONTH($A56)-1)*12)+VLOOKUP(DA$4,$DE$6:$DF$17,2)+1))*$E56</f>
        <v>0</v>
      </c>
      <c r="DB56" s="1021">
        <f>(VLOOKUP(YEAR($A56),'NY East Load Projections'!$A$4:$EO$14,((MONTH($A56)-1)*12)+VLOOKUP(DB$4,$DE$6:$DF$17,2)+1))*$E56</f>
        <v>0</v>
      </c>
      <c r="DH56" s="1009">
        <f t="shared" si="2"/>
        <v>-67106.155003148175</v>
      </c>
      <c r="DI56">
        <f ca="1">CALC!J76</f>
        <v>0.69181096412255072</v>
      </c>
      <c r="DJ56" s="1032">
        <f t="shared" ca="1" si="1"/>
        <v>-46424.773791285268</v>
      </c>
    </row>
    <row r="57" spans="1:114" x14ac:dyDescent="0.25">
      <c r="A57" s="244">
        <v>38443</v>
      </c>
      <c r="B57" s="13">
        <v>21</v>
      </c>
      <c r="C57" s="210">
        <v>5</v>
      </c>
      <c r="D57" s="210">
        <v>4</v>
      </c>
      <c r="E57" s="210">
        <v>0</v>
      </c>
      <c r="F57" s="13">
        <v>30</v>
      </c>
      <c r="H57" s="1021">
        <f>(VLOOKUP(YEAR($A57),'NY East Load Projections'!$A$4:$EO$14,((MONTH($A57)-1)*12)+VLOOKUP(H$4,$DE$6:$DF$17,2)+1))*$B57</f>
        <v>-1789.4716785849105</v>
      </c>
      <c r="I57" s="1021">
        <f>(VLOOKUP(YEAR($A57),'NY East Load Projections'!$A$4:$EO$14,((MONTH($A57)-1)*12)+VLOOKUP(I$4,$DE$6:$DF$17,2)+1))*$B57</f>
        <v>-1789.4716785849105</v>
      </c>
      <c r="J57" s="1021">
        <f>(VLOOKUP(YEAR($A57),'NY East Load Projections'!$A$4:$EO$14,((MONTH($A57)-1)*12)+VLOOKUP(J$4,$DE$6:$DF$17,2)+1))*$B57</f>
        <v>-1789.4716785849105</v>
      </c>
      <c r="K57" s="1021">
        <f>(VLOOKUP(YEAR($A57),'NY East Load Projections'!$A$4:$EO$14,((MONTH($A57)-1)*12)+VLOOKUP(K$4,$DE$6:$DF$17,2)+1))*$B57</f>
        <v>-1789.4716785849105</v>
      </c>
      <c r="L57" s="1021">
        <f>(VLOOKUP(YEAR($A57),'NY East Load Projections'!$A$4:$EO$14,((MONTH($A57)-1)*12)+VLOOKUP(L$4,$DE$6:$DF$17,2)+1))*$B57</f>
        <v>-1957.1607426444325</v>
      </c>
      <c r="M57" s="1021">
        <f>(VLOOKUP(YEAR($A57),'NY East Load Projections'!$A$4:$EO$14,((MONTH($A57)-1)*12)+VLOOKUP(M$4,$DE$6:$DF$17,2)+1))*$B57</f>
        <v>-1957.1607426444325</v>
      </c>
      <c r="N57" s="1021">
        <f>(VLOOKUP(YEAR($A57),'NY East Load Projections'!$A$4:$EO$14,((MONTH($A57)-1)*12)+VLOOKUP(N$4,$DE$6:$DF$17,2)+1))*$B57</f>
        <v>-1957.1607426444325</v>
      </c>
      <c r="O57" s="1021">
        <f>(VLOOKUP(YEAR($A57),'NY East Load Projections'!$A$4:$EO$14,((MONTH($A57)-1)*12)+VLOOKUP(O$4,$DE$6:$DF$17,2)+1))*$B57</f>
        <v>-1957.1607426444325</v>
      </c>
      <c r="P57" s="1021">
        <f>(VLOOKUP(YEAR($A57),'NY East Load Projections'!$A$4:$EO$14,((MONTH($A57)-1)*12)+VLOOKUP(P$4,$DE$6:$DF$17,2)+1))*$B57</f>
        <v>-2180.3594143727137</v>
      </c>
      <c r="Q57" s="1021">
        <f>(VLOOKUP(YEAR($A57),'NY East Load Projections'!$A$4:$EO$14,((MONTH($A57)-1)*12)+VLOOKUP(Q$4,$DE$6:$DF$17,2)+1))*$B57</f>
        <v>-2180.3594143727137</v>
      </c>
      <c r="R57" s="1021">
        <f>(VLOOKUP(YEAR($A57),'NY East Load Projections'!$A$4:$EO$14,((MONTH($A57)-1)*12)+VLOOKUP(R$4,$DE$6:$DF$17,2)+1))*$B57</f>
        <v>-2180.3594143727137</v>
      </c>
      <c r="S57" s="1021">
        <f>(VLOOKUP(YEAR($A57),'NY East Load Projections'!$A$4:$EO$14,((MONTH($A57)-1)*12)+VLOOKUP(S$4,$DE$6:$DF$17,2)+1))*$B57</f>
        <v>-2180.3594143727137</v>
      </c>
      <c r="T57" s="1021">
        <f>(VLOOKUP(YEAR($A57),'NY East Load Projections'!$A$4:$EO$14,((MONTH($A57)-1)*12)+VLOOKUP(T$4,$DE$6:$DF$17,2)+1))*$B57</f>
        <v>-2261.9184339812841</v>
      </c>
      <c r="U57" s="1021">
        <f>(VLOOKUP(YEAR($A57),'NY East Load Projections'!$A$4:$EO$14,((MONTH($A57)-1)*12)+VLOOKUP(U$4,$DE$6:$DF$17,2)+1))*$B57</f>
        <v>-2261.9184339812841</v>
      </c>
      <c r="V57" s="1021">
        <f>(VLOOKUP(YEAR($A57),'NY East Load Projections'!$A$4:$EO$14,((MONTH($A57)-1)*12)+VLOOKUP(V$4,$DE$6:$DF$17,2)+1))*$B57</f>
        <v>-2261.9184339812841</v>
      </c>
      <c r="W57" s="1021">
        <f>(VLOOKUP(YEAR($A57),'NY East Load Projections'!$A$4:$EO$14,((MONTH($A57)-1)*12)+VLOOKUP(W$4,$DE$6:$DF$17,2)+1))*$B57</f>
        <v>-2261.9184339812841</v>
      </c>
      <c r="X57" s="1021">
        <f>(VLOOKUP(YEAR($A57),'NY East Load Projections'!$A$4:$EO$14,((MONTH($A57)-1)*12)+VLOOKUP(X$4,$DE$6:$DF$17,2)+1))*$B57</f>
        <v>-2121.9203796021493</v>
      </c>
      <c r="Y57" s="1021">
        <f>(VLOOKUP(YEAR($A57),'NY East Load Projections'!$A$4:$EO$14,((MONTH($A57)-1)*12)+VLOOKUP(Y$4,$DE$6:$DF$17,2)+1))*$B57</f>
        <v>-2121.9203796021493</v>
      </c>
      <c r="Z57" s="1021">
        <f>(VLOOKUP(YEAR($A57),'NY East Load Projections'!$A$4:$EO$14,((MONTH($A57)-1)*12)+VLOOKUP(Z$4,$DE$6:$DF$17,2)+1))*$B57</f>
        <v>-2121.9203796021493</v>
      </c>
      <c r="AA57" s="1021">
        <f>(VLOOKUP(YEAR($A57),'NY East Load Projections'!$A$4:$EO$14,((MONTH($A57)-1)*12)+VLOOKUP(AA$4,$DE$6:$DF$17,2)+1))*$B57</f>
        <v>-2121.9203796021493</v>
      </c>
      <c r="AB57" s="1021">
        <f>(VLOOKUP(YEAR($A57),'NY East Load Projections'!$A$4:$EO$14,((MONTH($A57)-1)*12)+VLOOKUP(AB$4,$DE$6:$DF$17,2)+1))*$B57</f>
        <v>-1887.7344061656449</v>
      </c>
      <c r="AC57" s="1021">
        <f>(VLOOKUP(YEAR($A57),'NY East Load Projections'!$A$4:$EO$14,((MONTH($A57)-1)*12)+VLOOKUP(AC$4,$DE$6:$DF$17,2)+1))*$B57</f>
        <v>-1887.7344061656449</v>
      </c>
      <c r="AD57" s="1021">
        <f>(VLOOKUP(YEAR($A57),'NY East Load Projections'!$A$4:$EO$14,((MONTH($A57)-1)*12)+VLOOKUP(AD$4,$DE$6:$DF$17,2)+1))*$B57</f>
        <v>-1887.7344061656449</v>
      </c>
      <c r="AE57" s="1021">
        <f>(VLOOKUP(YEAR($A57),'NY East Load Projections'!$A$4:$EO$14,((MONTH($A57)-1)*12)+VLOOKUP(AE$4,$DE$6:$DF$17,2)+1))*$B57</f>
        <v>-1887.7344061656449</v>
      </c>
      <c r="AF57" s="1021"/>
      <c r="AG57" s="1021">
        <f>(VLOOKUP(YEAR($A57),'NY East Load Projections'!$A$4:$EO$14,((MONTH($A57)-1)*12)+VLOOKUP(AG$4,$DE$6:$DF$17,2)+1))*$C57</f>
        <v>-441.14417936048551</v>
      </c>
      <c r="AH57" s="1021">
        <f>(VLOOKUP(YEAR($A57),'NY East Load Projections'!$A$4:$EO$14,((MONTH($A57)-1)*12)+VLOOKUP(AH$4,$DE$6:$DF$17,2)+1))*$C57</f>
        <v>-441.14417936048551</v>
      </c>
      <c r="AI57" s="1021">
        <f>(VLOOKUP(YEAR($A57),'NY East Load Projections'!$A$4:$EO$14,((MONTH($A57)-1)*12)+VLOOKUP(AI$4,$DE$6:$DF$17,2)+1))*$C57</f>
        <v>-441.14417936048551</v>
      </c>
      <c r="AJ57" s="1021">
        <f>(VLOOKUP(YEAR($A57),'NY East Load Projections'!$A$4:$EO$14,((MONTH($A57)-1)*12)+VLOOKUP(AJ$4,$DE$6:$DF$17,2)+1))*$C57</f>
        <v>-441.14417936048551</v>
      </c>
      <c r="AK57" s="1021">
        <f>(VLOOKUP(YEAR($A57),'NY East Load Projections'!$A$4:$EO$14,((MONTH($A57)-1)*12)+VLOOKUP(AK$4,$DE$6:$DF$17,2)+1))*$C57</f>
        <v>-448.71418808928155</v>
      </c>
      <c r="AL57" s="1021">
        <f>(VLOOKUP(YEAR($A57),'NY East Load Projections'!$A$4:$EO$14,((MONTH($A57)-1)*12)+VLOOKUP(AL$4,$DE$6:$DF$17,2)+1))*$C57</f>
        <v>-448.71418808928155</v>
      </c>
      <c r="AM57" s="1021">
        <f>(VLOOKUP(YEAR($A57),'NY East Load Projections'!$A$4:$EO$14,((MONTH($A57)-1)*12)+VLOOKUP(AM$4,$DE$6:$DF$17,2)+1))*$C57</f>
        <v>-448.71418808928155</v>
      </c>
      <c r="AN57" s="1021">
        <f>(VLOOKUP(YEAR($A57),'NY East Load Projections'!$A$4:$EO$14,((MONTH($A57)-1)*12)+VLOOKUP(AN$4,$DE$6:$DF$17,2)+1))*$C57</f>
        <v>-448.71418808928155</v>
      </c>
      <c r="AO57" s="1021">
        <f>(VLOOKUP(YEAR($A57),'NY East Load Projections'!$A$4:$EO$14,((MONTH($A57)-1)*12)+VLOOKUP(AO$4,$DE$6:$DF$17,2)+1))*$C57</f>
        <v>-481.23412988912685</v>
      </c>
      <c r="AP57" s="1021">
        <f>(VLOOKUP(YEAR($A57),'NY East Load Projections'!$A$4:$EO$14,((MONTH($A57)-1)*12)+VLOOKUP(AP$4,$DE$6:$DF$17,2)+1))*$C57</f>
        <v>-481.23412988912685</v>
      </c>
      <c r="AQ57" s="1021">
        <f>(VLOOKUP(YEAR($A57),'NY East Load Projections'!$A$4:$EO$14,((MONTH($A57)-1)*12)+VLOOKUP(AQ$4,$DE$6:$DF$17,2)+1))*$C57</f>
        <v>-481.23412988912685</v>
      </c>
      <c r="AR57" s="1021">
        <f>(VLOOKUP(YEAR($A57),'NY East Load Projections'!$A$4:$EO$14,((MONTH($A57)-1)*12)+VLOOKUP(AR$4,$DE$6:$DF$17,2)+1))*$C57</f>
        <v>-481.23412988912685</v>
      </c>
      <c r="AS57" s="1021">
        <f>(VLOOKUP(YEAR($A57),'NY East Load Projections'!$A$4:$EO$14,((MONTH($A57)-1)*12)+VLOOKUP(AS$4,$DE$6:$DF$17,2)+1))*$C57</f>
        <v>-487.75356414843458</v>
      </c>
      <c r="AT57" s="1021">
        <f>(VLOOKUP(YEAR($A57),'NY East Load Projections'!$A$4:$EO$14,((MONTH($A57)-1)*12)+VLOOKUP(AT$4,$DE$6:$DF$17,2)+1))*$C57</f>
        <v>-487.75356414843458</v>
      </c>
      <c r="AU57" s="1021">
        <f>(VLOOKUP(YEAR($A57),'NY East Load Projections'!$A$4:$EO$14,((MONTH($A57)-1)*12)+VLOOKUP(AU$4,$DE$6:$DF$17,2)+1))*$C57</f>
        <v>-487.75356414843458</v>
      </c>
      <c r="AV57" s="1021">
        <f>(VLOOKUP(YEAR($A57),'NY East Load Projections'!$A$4:$EO$14,((MONTH($A57)-1)*12)+VLOOKUP(AV$4,$DE$6:$DF$17,2)+1))*$C57</f>
        <v>-487.75356414843458</v>
      </c>
      <c r="AW57" s="1021">
        <f>(VLOOKUP(YEAR($A57),'NY East Load Projections'!$A$4:$EO$14,((MONTH($A57)-1)*12)+VLOOKUP(AW$4,$DE$6:$DF$17,2)+1))*$C57</f>
        <v>-462.74021857290626</v>
      </c>
      <c r="AX57" s="1021">
        <f>(VLOOKUP(YEAR($A57),'NY East Load Projections'!$A$4:$EO$14,((MONTH($A57)-1)*12)+VLOOKUP(AX$4,$DE$6:$DF$17,2)+1))*$C57</f>
        <v>-462.74021857290626</v>
      </c>
      <c r="AY57" s="1021">
        <f>(VLOOKUP(YEAR($A57),'NY East Load Projections'!$A$4:$EO$14,((MONTH($A57)-1)*12)+VLOOKUP(AY$4,$DE$6:$DF$17,2)+1))*$C57</f>
        <v>-462.74021857290626</v>
      </c>
      <c r="AZ57" s="1021">
        <f>(VLOOKUP(YEAR($A57),'NY East Load Projections'!$A$4:$EO$14,((MONTH($A57)-1)*12)+VLOOKUP(AZ$4,$DE$6:$DF$17,2)+1))*$C57</f>
        <v>-462.74021857290626</v>
      </c>
      <c r="BA57" s="1021">
        <f>(VLOOKUP(YEAR($A57),'NY East Load Projections'!$A$4:$EO$14,((MONTH($A57)-1)*12)+VLOOKUP(BA$4,$DE$6:$DF$17,2)+1))*$C57</f>
        <v>-444.78252267660207</v>
      </c>
      <c r="BB57" s="1021">
        <f>(VLOOKUP(YEAR($A57),'NY East Load Projections'!$A$4:$EO$14,((MONTH($A57)-1)*12)+VLOOKUP(BB$4,$DE$6:$DF$17,2)+1))*$C57</f>
        <v>-444.78252267660207</v>
      </c>
      <c r="BC57" s="1021">
        <f>(VLOOKUP(YEAR($A57),'NY East Load Projections'!$A$4:$EO$14,((MONTH($A57)-1)*12)+VLOOKUP(BC$4,$DE$6:$DF$17,2)+1))*$C57</f>
        <v>-444.78252267660207</v>
      </c>
      <c r="BD57" s="1021">
        <f>(VLOOKUP(YEAR($A57),'NY East Load Projections'!$A$4:$EO$14,((MONTH($A57)-1)*12)+VLOOKUP(BD$4,$DE$6:$DF$17,2)+1))*$C57</f>
        <v>-444.78252267660207</v>
      </c>
      <c r="BE57" s="1021"/>
      <c r="BF57" s="1021">
        <f>(VLOOKUP(YEAR($A57),'NY East Load Projections'!$A$4:$EO$14,((MONTH($A57)-1)*12)+VLOOKUP(BF$4,$DE$6:$DF$17,2)+1))*$D57</f>
        <v>-352.91534348838843</v>
      </c>
      <c r="BG57" s="1021">
        <f>(VLOOKUP(YEAR($A57),'NY East Load Projections'!$A$4:$EO$14,((MONTH($A57)-1)*12)+VLOOKUP(BG$4,$DE$6:$DF$17,2)+1))*$D57</f>
        <v>-352.91534348838843</v>
      </c>
      <c r="BH57" s="1021">
        <f>(VLOOKUP(YEAR($A57),'NY East Load Projections'!$A$4:$EO$14,((MONTH($A57)-1)*12)+VLOOKUP(BH$4,$DE$6:$DF$17,2)+1))*$D57</f>
        <v>-352.91534348838843</v>
      </c>
      <c r="BI57" s="1021">
        <f>(VLOOKUP(YEAR($A57),'NY East Load Projections'!$A$4:$EO$14,((MONTH($A57)-1)*12)+VLOOKUP(BI$4,$DE$6:$DF$17,2)+1))*$D57</f>
        <v>-352.91534348838843</v>
      </c>
      <c r="BJ57" s="1021">
        <f>(VLOOKUP(YEAR($A57),'NY East Load Projections'!$A$4:$EO$14,((MONTH($A57)-1)*12)+VLOOKUP(BJ$4,$DE$6:$DF$17,2)+1))*$D57</f>
        <v>-358.97135047142524</v>
      </c>
      <c r="BK57" s="1021">
        <f>(VLOOKUP(YEAR($A57),'NY East Load Projections'!$A$4:$EO$14,((MONTH($A57)-1)*12)+VLOOKUP(BK$4,$DE$6:$DF$17,2)+1))*$D57</f>
        <v>-358.97135047142524</v>
      </c>
      <c r="BL57" s="1021">
        <f>(VLOOKUP(YEAR($A57),'NY East Load Projections'!$A$4:$EO$14,((MONTH($A57)-1)*12)+VLOOKUP(BL$4,$DE$6:$DF$17,2)+1))*$D57</f>
        <v>-358.97135047142524</v>
      </c>
      <c r="BM57" s="1021">
        <f>(VLOOKUP(YEAR($A57),'NY East Load Projections'!$A$4:$EO$14,((MONTH($A57)-1)*12)+VLOOKUP(BM$4,$DE$6:$DF$17,2)+1))*$D57</f>
        <v>-358.97135047142524</v>
      </c>
      <c r="BN57" s="1021">
        <f>(VLOOKUP(YEAR($A57),'NY East Load Projections'!$A$4:$EO$14,((MONTH($A57)-1)*12)+VLOOKUP(BN$4,$DE$6:$DF$17,2)+1))*$D57</f>
        <v>-384.98730391130147</v>
      </c>
      <c r="BO57" s="1021">
        <f>(VLOOKUP(YEAR($A57),'NY East Load Projections'!$A$4:$EO$14,((MONTH($A57)-1)*12)+VLOOKUP(BO$4,$DE$6:$DF$17,2)+1))*$D57</f>
        <v>-384.98730391130147</v>
      </c>
      <c r="BP57" s="1021">
        <f>(VLOOKUP(YEAR($A57),'NY East Load Projections'!$A$4:$EO$14,((MONTH($A57)-1)*12)+VLOOKUP(BP$4,$DE$6:$DF$17,2)+1))*$D57</f>
        <v>-384.98730391130147</v>
      </c>
      <c r="BQ57" s="1021">
        <f>(VLOOKUP(YEAR($A57),'NY East Load Projections'!$A$4:$EO$14,((MONTH($A57)-1)*12)+VLOOKUP(BQ$4,$DE$6:$DF$17,2)+1))*$D57</f>
        <v>-384.98730391130147</v>
      </c>
      <c r="BR57" s="1021">
        <f>(VLOOKUP(YEAR($A57),'NY East Load Projections'!$A$4:$EO$14,((MONTH($A57)-1)*12)+VLOOKUP(BR$4,$DE$6:$DF$17,2)+1))*$D57</f>
        <v>-390.20285131874766</v>
      </c>
      <c r="BS57" s="1021">
        <f>(VLOOKUP(YEAR($A57),'NY East Load Projections'!$A$4:$EO$14,((MONTH($A57)-1)*12)+VLOOKUP(BS$4,$DE$6:$DF$17,2)+1))*$D57</f>
        <v>-390.20285131874766</v>
      </c>
      <c r="BT57" s="1021">
        <f>(VLOOKUP(YEAR($A57),'NY East Load Projections'!$A$4:$EO$14,((MONTH($A57)-1)*12)+VLOOKUP(BT$4,$DE$6:$DF$17,2)+1))*$D57</f>
        <v>-390.20285131874766</v>
      </c>
      <c r="BU57" s="1021">
        <f>(VLOOKUP(YEAR($A57),'NY East Load Projections'!$A$4:$EO$14,((MONTH($A57)-1)*12)+VLOOKUP(BU$4,$DE$6:$DF$17,2)+1))*$D57</f>
        <v>-390.20285131874766</v>
      </c>
      <c r="BV57" s="1021">
        <f>(VLOOKUP(YEAR($A57),'NY East Load Projections'!$A$4:$EO$14,((MONTH($A57)-1)*12)+VLOOKUP(BV$4,$DE$6:$DF$17,2)+1))*$D57</f>
        <v>-370.19217485832502</v>
      </c>
      <c r="BW57" s="1021">
        <f>(VLOOKUP(YEAR($A57),'NY East Load Projections'!$A$4:$EO$14,((MONTH($A57)-1)*12)+VLOOKUP(BW$4,$DE$6:$DF$17,2)+1))*$D57</f>
        <v>-370.19217485832502</v>
      </c>
      <c r="BX57" s="1021">
        <f>(VLOOKUP(YEAR($A57),'NY East Load Projections'!$A$4:$EO$14,((MONTH($A57)-1)*12)+VLOOKUP(BX$4,$DE$6:$DF$17,2)+1))*$D57</f>
        <v>-370.19217485832502</v>
      </c>
      <c r="BY57" s="1021">
        <f>(VLOOKUP(YEAR($A57),'NY East Load Projections'!$A$4:$EO$14,((MONTH($A57)-1)*12)+VLOOKUP(BY$4,$DE$6:$DF$17,2)+1))*$D57</f>
        <v>-370.19217485832502</v>
      </c>
      <c r="BZ57" s="1021">
        <f>(VLOOKUP(YEAR($A57),'NY East Load Projections'!$A$4:$EO$14,((MONTH($A57)-1)*12)+VLOOKUP(BZ$4,$DE$6:$DF$17,2)+1))*$D57</f>
        <v>-355.82601814128168</v>
      </c>
      <c r="CA57" s="1021">
        <f>(VLOOKUP(YEAR($A57),'NY East Load Projections'!$A$4:$EO$14,((MONTH($A57)-1)*12)+VLOOKUP(CA$4,$DE$6:$DF$17,2)+1))*$D57</f>
        <v>-355.82601814128168</v>
      </c>
      <c r="CB57" s="1021">
        <f>(VLOOKUP(YEAR($A57),'NY East Load Projections'!$A$4:$EO$14,((MONTH($A57)-1)*12)+VLOOKUP(CB$4,$DE$6:$DF$17,2)+1))*$D57</f>
        <v>-355.82601814128168</v>
      </c>
      <c r="CC57" s="1021">
        <f>(VLOOKUP(YEAR($A57),'NY East Load Projections'!$A$4:$EO$14,((MONTH($A57)-1)*12)+VLOOKUP(CC$4,$DE$6:$DF$17,2)+1))*$D57</f>
        <v>-355.82601814128168</v>
      </c>
      <c r="CE57" s="1021">
        <f>(VLOOKUP(YEAR($A57),'NY East Load Projections'!$A$4:$EO$14,((MONTH($A57)-1)*12)+VLOOKUP(CE$4,$DE$6:$DF$17,2)+1))*$E57</f>
        <v>0</v>
      </c>
      <c r="CF57" s="1021">
        <f>(VLOOKUP(YEAR($A57),'NY East Load Projections'!$A$4:$EO$14,((MONTH($A57)-1)*12)+VLOOKUP(CF$4,$DE$6:$DF$17,2)+1))*$E57</f>
        <v>0</v>
      </c>
      <c r="CG57" s="1021">
        <f>(VLOOKUP(YEAR($A57),'NY East Load Projections'!$A$4:$EO$14,((MONTH($A57)-1)*12)+VLOOKUP(CG$4,$DE$6:$DF$17,2)+1))*$E57</f>
        <v>0</v>
      </c>
      <c r="CH57" s="1021">
        <f>(VLOOKUP(YEAR($A57),'NY East Load Projections'!$A$4:$EO$14,((MONTH($A57)-1)*12)+VLOOKUP(CH$4,$DE$6:$DF$17,2)+1))*$E57</f>
        <v>0</v>
      </c>
      <c r="CI57" s="1021">
        <f>(VLOOKUP(YEAR($A57),'NY East Load Projections'!$A$4:$EO$14,((MONTH($A57)-1)*12)+VLOOKUP(CI$4,$DE$6:$DF$17,2)+1))*$E57</f>
        <v>0</v>
      </c>
      <c r="CJ57" s="1021">
        <f>(VLOOKUP(YEAR($A57),'NY East Load Projections'!$A$4:$EO$14,((MONTH($A57)-1)*12)+VLOOKUP(CJ$4,$DE$6:$DF$17,2)+1))*$E57</f>
        <v>0</v>
      </c>
      <c r="CK57" s="1021">
        <f>(VLOOKUP(YEAR($A57),'NY East Load Projections'!$A$4:$EO$14,((MONTH($A57)-1)*12)+VLOOKUP(CK$4,$DE$6:$DF$17,2)+1))*$E57</f>
        <v>0</v>
      </c>
      <c r="CL57" s="1021">
        <f>(VLOOKUP(YEAR($A57),'NY East Load Projections'!$A$4:$EO$14,((MONTH($A57)-1)*12)+VLOOKUP(CL$4,$DE$6:$DF$17,2)+1))*$E57</f>
        <v>0</v>
      </c>
      <c r="CM57" s="1021">
        <f>(VLOOKUP(YEAR($A57),'NY East Load Projections'!$A$4:$EO$14,((MONTH($A57)-1)*12)+VLOOKUP(CM$4,$DE$6:$DF$17,2)+1))*$E57</f>
        <v>0</v>
      </c>
      <c r="CN57" s="1021">
        <f>(VLOOKUP(YEAR($A57),'NY East Load Projections'!$A$4:$EO$14,((MONTH($A57)-1)*12)+VLOOKUP(CN$4,$DE$6:$DF$17,2)+1))*$E57</f>
        <v>0</v>
      </c>
      <c r="CO57" s="1021">
        <f>(VLOOKUP(YEAR($A57),'NY East Load Projections'!$A$4:$EO$14,((MONTH($A57)-1)*12)+VLOOKUP(CO$4,$DE$6:$DF$17,2)+1))*$E57</f>
        <v>0</v>
      </c>
      <c r="CP57" s="1021">
        <f>(VLOOKUP(YEAR($A57),'NY East Load Projections'!$A$4:$EO$14,((MONTH($A57)-1)*12)+VLOOKUP(CP$4,$DE$6:$DF$17,2)+1))*$E57</f>
        <v>0</v>
      </c>
      <c r="CQ57" s="1021">
        <f>(VLOOKUP(YEAR($A57),'NY East Load Projections'!$A$4:$EO$14,((MONTH($A57)-1)*12)+VLOOKUP(CQ$4,$DE$6:$DF$17,2)+1))*$E57</f>
        <v>0</v>
      </c>
      <c r="CR57" s="1021">
        <f>(VLOOKUP(YEAR($A57),'NY East Load Projections'!$A$4:$EO$14,((MONTH($A57)-1)*12)+VLOOKUP(CR$4,$DE$6:$DF$17,2)+1))*$E57</f>
        <v>0</v>
      </c>
      <c r="CS57" s="1021">
        <f>(VLOOKUP(YEAR($A57),'NY East Load Projections'!$A$4:$EO$14,((MONTH($A57)-1)*12)+VLOOKUP(CS$4,$DE$6:$DF$17,2)+1))*$E57</f>
        <v>0</v>
      </c>
      <c r="CT57" s="1021">
        <f>(VLOOKUP(YEAR($A57),'NY East Load Projections'!$A$4:$EO$14,((MONTH($A57)-1)*12)+VLOOKUP(CT$4,$DE$6:$DF$17,2)+1))*$E57</f>
        <v>0</v>
      </c>
      <c r="CU57" s="1021">
        <f>(VLOOKUP(YEAR($A57),'NY East Load Projections'!$A$4:$EO$14,((MONTH($A57)-1)*12)+VLOOKUP(CU$4,$DE$6:$DF$17,2)+1))*$E57</f>
        <v>0</v>
      </c>
      <c r="CV57" s="1021">
        <f>(VLOOKUP(YEAR($A57),'NY East Load Projections'!$A$4:$EO$14,((MONTH($A57)-1)*12)+VLOOKUP(CV$4,$DE$6:$DF$17,2)+1))*$E57</f>
        <v>0</v>
      </c>
      <c r="CW57" s="1021">
        <f>(VLOOKUP(YEAR($A57),'NY East Load Projections'!$A$4:$EO$14,((MONTH($A57)-1)*12)+VLOOKUP(CW$4,$DE$6:$DF$17,2)+1))*$E57</f>
        <v>0</v>
      </c>
      <c r="CX57" s="1021">
        <f>(VLOOKUP(YEAR($A57),'NY East Load Projections'!$A$4:$EO$14,((MONTH($A57)-1)*12)+VLOOKUP(CX$4,$DE$6:$DF$17,2)+1))*$E57</f>
        <v>0</v>
      </c>
      <c r="CY57" s="1021">
        <f>(VLOOKUP(YEAR($A57),'NY East Load Projections'!$A$4:$EO$14,((MONTH($A57)-1)*12)+VLOOKUP(CY$4,$DE$6:$DF$17,2)+1))*$E57</f>
        <v>0</v>
      </c>
      <c r="CZ57" s="1021">
        <f>(VLOOKUP(YEAR($A57),'NY East Load Projections'!$A$4:$EO$14,((MONTH($A57)-1)*12)+VLOOKUP(CZ$4,$DE$6:$DF$17,2)+1))*$E57</f>
        <v>0</v>
      </c>
      <c r="DA57" s="1021">
        <f>(VLOOKUP(YEAR($A57),'NY East Load Projections'!$A$4:$EO$14,((MONTH($A57)-1)*12)+VLOOKUP(DA$4,$DE$6:$DF$17,2)+1))*$E57</f>
        <v>0</v>
      </c>
      <c r="DB57" s="1021">
        <f>(VLOOKUP(YEAR($A57),'NY East Load Projections'!$A$4:$EO$14,((MONTH($A57)-1)*12)+VLOOKUP(DB$4,$DE$6:$DF$17,2)+1))*$E57</f>
        <v>0</v>
      </c>
      <c r="DH57" s="1009">
        <f t="shared" si="2"/>
        <v>-68712.115601109748</v>
      </c>
      <c r="DI57">
        <f ca="1">CALC!J77</f>
        <v>0.68765592276002041</v>
      </c>
      <c r="DJ57" s="1032">
        <f t="shared" ca="1" si="1"/>
        <v>-47250.293258474318</v>
      </c>
    </row>
    <row r="58" spans="1:114" x14ac:dyDescent="0.25">
      <c r="A58" s="244">
        <v>38473</v>
      </c>
      <c r="B58" s="13">
        <v>21</v>
      </c>
      <c r="C58" s="210">
        <v>4</v>
      </c>
      <c r="D58" s="210">
        <v>5</v>
      </c>
      <c r="E58" s="210">
        <v>1</v>
      </c>
      <c r="F58" s="13">
        <v>31</v>
      </c>
      <c r="H58" s="1021">
        <f>(VLOOKUP(YEAR($A58),'NY East Load Projections'!$A$4:$EO$14,((MONTH($A58)-1)*12)+VLOOKUP(H$4,$DE$6:$DF$17,2)+1))*$B58</f>
        <v>-1910.482967357927</v>
      </c>
      <c r="I58" s="1021">
        <f>(VLOOKUP(YEAR($A58),'NY East Load Projections'!$A$4:$EO$14,((MONTH($A58)-1)*12)+VLOOKUP(I$4,$DE$6:$DF$17,2)+1))*$B58</f>
        <v>-1910.482967357927</v>
      </c>
      <c r="J58" s="1021">
        <f>(VLOOKUP(YEAR($A58),'NY East Load Projections'!$A$4:$EO$14,((MONTH($A58)-1)*12)+VLOOKUP(J$4,$DE$6:$DF$17,2)+1))*$B58</f>
        <v>-1910.482967357927</v>
      </c>
      <c r="K58" s="1021">
        <f>(VLOOKUP(YEAR($A58),'NY East Load Projections'!$A$4:$EO$14,((MONTH($A58)-1)*12)+VLOOKUP(K$4,$DE$6:$DF$17,2)+1))*$B58</f>
        <v>-1910.482967357927</v>
      </c>
      <c r="L58" s="1021">
        <f>(VLOOKUP(YEAR($A58),'NY East Load Projections'!$A$4:$EO$14,((MONTH($A58)-1)*12)+VLOOKUP(L$4,$DE$6:$DF$17,2)+1))*$B58</f>
        <v>-2101.0521073944165</v>
      </c>
      <c r="M58" s="1021">
        <f>(VLOOKUP(YEAR($A58),'NY East Load Projections'!$A$4:$EO$14,((MONTH($A58)-1)*12)+VLOOKUP(M$4,$DE$6:$DF$17,2)+1))*$B58</f>
        <v>-2101.0521073944165</v>
      </c>
      <c r="N58" s="1021">
        <f>(VLOOKUP(YEAR($A58),'NY East Load Projections'!$A$4:$EO$14,((MONTH($A58)-1)*12)+VLOOKUP(N$4,$DE$6:$DF$17,2)+1))*$B58</f>
        <v>-2101.0521073944165</v>
      </c>
      <c r="O58" s="1021">
        <f>(VLOOKUP(YEAR($A58),'NY East Load Projections'!$A$4:$EO$14,((MONTH($A58)-1)*12)+VLOOKUP(O$4,$DE$6:$DF$17,2)+1))*$B58</f>
        <v>-2101.0521073944165</v>
      </c>
      <c r="P58" s="1021">
        <f>(VLOOKUP(YEAR($A58),'NY East Load Projections'!$A$4:$EO$14,((MONTH($A58)-1)*12)+VLOOKUP(P$4,$DE$6:$DF$17,2)+1))*$B58</f>
        <v>-2370.0166870266835</v>
      </c>
      <c r="Q58" s="1021">
        <f>(VLOOKUP(YEAR($A58),'NY East Load Projections'!$A$4:$EO$14,((MONTH($A58)-1)*12)+VLOOKUP(Q$4,$DE$6:$DF$17,2)+1))*$B58</f>
        <v>-2370.0166870266835</v>
      </c>
      <c r="R58" s="1021">
        <f>(VLOOKUP(YEAR($A58),'NY East Load Projections'!$A$4:$EO$14,((MONTH($A58)-1)*12)+VLOOKUP(R$4,$DE$6:$DF$17,2)+1))*$B58</f>
        <v>-2370.0166870266835</v>
      </c>
      <c r="S58" s="1021">
        <f>(VLOOKUP(YEAR($A58),'NY East Load Projections'!$A$4:$EO$14,((MONTH($A58)-1)*12)+VLOOKUP(S$4,$DE$6:$DF$17,2)+1))*$B58</f>
        <v>-2370.0166870266835</v>
      </c>
      <c r="T58" s="1021">
        <f>(VLOOKUP(YEAR($A58),'NY East Load Projections'!$A$4:$EO$14,((MONTH($A58)-1)*12)+VLOOKUP(T$4,$DE$6:$DF$17,2)+1))*$B58</f>
        <v>-2455.3295690145137</v>
      </c>
      <c r="U58" s="1021">
        <f>(VLOOKUP(YEAR($A58),'NY East Load Projections'!$A$4:$EO$14,((MONTH($A58)-1)*12)+VLOOKUP(U$4,$DE$6:$DF$17,2)+1))*$B58</f>
        <v>-2455.3295690145137</v>
      </c>
      <c r="V58" s="1021">
        <f>(VLOOKUP(YEAR($A58),'NY East Load Projections'!$A$4:$EO$14,((MONTH($A58)-1)*12)+VLOOKUP(V$4,$DE$6:$DF$17,2)+1))*$B58</f>
        <v>-2455.3295690145137</v>
      </c>
      <c r="W58" s="1021">
        <f>(VLOOKUP(YEAR($A58),'NY East Load Projections'!$A$4:$EO$14,((MONTH($A58)-1)*12)+VLOOKUP(W$4,$DE$6:$DF$17,2)+1))*$B58</f>
        <v>-2455.3295690145137</v>
      </c>
      <c r="X58" s="1021">
        <f>(VLOOKUP(YEAR($A58),'NY East Load Projections'!$A$4:$EO$14,((MONTH($A58)-1)*12)+VLOOKUP(X$4,$DE$6:$DF$17,2)+1))*$B58</f>
        <v>-2306.1314777478146</v>
      </c>
      <c r="Y58" s="1021">
        <f>(VLOOKUP(YEAR($A58),'NY East Load Projections'!$A$4:$EO$14,((MONTH($A58)-1)*12)+VLOOKUP(Y$4,$DE$6:$DF$17,2)+1))*$B58</f>
        <v>-2306.1314777478146</v>
      </c>
      <c r="Z58" s="1021">
        <f>(VLOOKUP(YEAR($A58),'NY East Load Projections'!$A$4:$EO$14,((MONTH($A58)-1)*12)+VLOOKUP(Z$4,$DE$6:$DF$17,2)+1))*$B58</f>
        <v>-2306.1314777478146</v>
      </c>
      <c r="AA58" s="1021">
        <f>(VLOOKUP(YEAR($A58),'NY East Load Projections'!$A$4:$EO$14,((MONTH($A58)-1)*12)+VLOOKUP(AA$4,$DE$6:$DF$17,2)+1))*$B58</f>
        <v>-2306.1314777478146</v>
      </c>
      <c r="AB58" s="1021">
        <f>(VLOOKUP(YEAR($A58),'NY East Load Projections'!$A$4:$EO$14,((MONTH($A58)-1)*12)+VLOOKUP(AB$4,$DE$6:$DF$17,2)+1))*$B58</f>
        <v>-2025.1339861507322</v>
      </c>
      <c r="AC58" s="1021">
        <f>(VLOOKUP(YEAR($A58),'NY East Load Projections'!$A$4:$EO$14,((MONTH($A58)-1)*12)+VLOOKUP(AC$4,$DE$6:$DF$17,2)+1))*$B58</f>
        <v>-2025.1339861507322</v>
      </c>
      <c r="AD58" s="1021">
        <f>(VLOOKUP(YEAR($A58),'NY East Load Projections'!$A$4:$EO$14,((MONTH($A58)-1)*12)+VLOOKUP(AD$4,$DE$6:$DF$17,2)+1))*$B58</f>
        <v>-2025.1339861507322</v>
      </c>
      <c r="AE58" s="1021">
        <f>(VLOOKUP(YEAR($A58),'NY East Load Projections'!$A$4:$EO$14,((MONTH($A58)-1)*12)+VLOOKUP(AE$4,$DE$6:$DF$17,2)+1))*$B58</f>
        <v>-2025.1339861507322</v>
      </c>
      <c r="AF58" s="1021"/>
      <c r="AG58" s="1021">
        <f>(VLOOKUP(YEAR($A58),'NY East Load Projections'!$A$4:$EO$14,((MONTH($A58)-1)*12)+VLOOKUP(AG$4,$DE$6:$DF$17,2)+1))*$C58</f>
        <v>-382.59440225765934</v>
      </c>
      <c r="AH58" s="1021">
        <f>(VLOOKUP(YEAR($A58),'NY East Load Projections'!$A$4:$EO$14,((MONTH($A58)-1)*12)+VLOOKUP(AH$4,$DE$6:$DF$17,2)+1))*$C58</f>
        <v>-382.59440225765934</v>
      </c>
      <c r="AI58" s="1021">
        <f>(VLOOKUP(YEAR($A58),'NY East Load Projections'!$A$4:$EO$14,((MONTH($A58)-1)*12)+VLOOKUP(AI$4,$DE$6:$DF$17,2)+1))*$C58</f>
        <v>-382.59440225765934</v>
      </c>
      <c r="AJ58" s="1021">
        <f>(VLOOKUP(YEAR($A58),'NY East Load Projections'!$A$4:$EO$14,((MONTH($A58)-1)*12)+VLOOKUP(AJ$4,$DE$6:$DF$17,2)+1))*$C58</f>
        <v>-382.59440225765934</v>
      </c>
      <c r="AK58" s="1021">
        <f>(VLOOKUP(YEAR($A58),'NY East Load Projections'!$A$4:$EO$14,((MONTH($A58)-1)*12)+VLOOKUP(AK$4,$DE$6:$DF$17,2)+1))*$C58</f>
        <v>-388.37086086230551</v>
      </c>
      <c r="AL58" s="1021">
        <f>(VLOOKUP(YEAR($A58),'NY East Load Projections'!$A$4:$EO$14,((MONTH($A58)-1)*12)+VLOOKUP(AL$4,$DE$6:$DF$17,2)+1))*$C58</f>
        <v>-388.37086086230551</v>
      </c>
      <c r="AM58" s="1021">
        <f>(VLOOKUP(YEAR($A58),'NY East Load Projections'!$A$4:$EO$14,((MONTH($A58)-1)*12)+VLOOKUP(AM$4,$DE$6:$DF$17,2)+1))*$C58</f>
        <v>-388.37086086230551</v>
      </c>
      <c r="AN58" s="1021">
        <f>(VLOOKUP(YEAR($A58),'NY East Load Projections'!$A$4:$EO$14,((MONTH($A58)-1)*12)+VLOOKUP(AN$4,$DE$6:$DF$17,2)+1))*$C58</f>
        <v>-388.37086086230551</v>
      </c>
      <c r="AO58" s="1021">
        <f>(VLOOKUP(YEAR($A58),'NY East Load Projections'!$A$4:$EO$14,((MONTH($A58)-1)*12)+VLOOKUP(AO$4,$DE$6:$DF$17,2)+1))*$C58</f>
        <v>-432.7275451952089</v>
      </c>
      <c r="AP58" s="1021">
        <f>(VLOOKUP(YEAR($A58),'NY East Load Projections'!$A$4:$EO$14,((MONTH($A58)-1)*12)+VLOOKUP(AP$4,$DE$6:$DF$17,2)+1))*$C58</f>
        <v>-432.7275451952089</v>
      </c>
      <c r="AQ58" s="1021">
        <f>(VLOOKUP(YEAR($A58),'NY East Load Projections'!$A$4:$EO$14,((MONTH($A58)-1)*12)+VLOOKUP(AQ$4,$DE$6:$DF$17,2)+1))*$C58</f>
        <v>-432.7275451952089</v>
      </c>
      <c r="AR58" s="1021">
        <f>(VLOOKUP(YEAR($A58),'NY East Load Projections'!$A$4:$EO$14,((MONTH($A58)-1)*12)+VLOOKUP(AR$4,$DE$6:$DF$17,2)+1))*$C58</f>
        <v>-432.7275451952089</v>
      </c>
      <c r="AS58" s="1021">
        <f>(VLOOKUP(YEAR($A58),'NY East Load Projections'!$A$4:$EO$14,((MONTH($A58)-1)*12)+VLOOKUP(AS$4,$DE$6:$DF$17,2)+1))*$C58</f>
        <v>-439.1255903373056</v>
      </c>
      <c r="AT58" s="1021">
        <f>(VLOOKUP(YEAR($A58),'NY East Load Projections'!$A$4:$EO$14,((MONTH($A58)-1)*12)+VLOOKUP(AT$4,$DE$6:$DF$17,2)+1))*$C58</f>
        <v>-439.1255903373056</v>
      </c>
      <c r="AU58" s="1021">
        <f>(VLOOKUP(YEAR($A58),'NY East Load Projections'!$A$4:$EO$14,((MONTH($A58)-1)*12)+VLOOKUP(AU$4,$DE$6:$DF$17,2)+1))*$C58</f>
        <v>-439.1255903373056</v>
      </c>
      <c r="AV58" s="1021">
        <f>(VLOOKUP(YEAR($A58),'NY East Load Projections'!$A$4:$EO$14,((MONTH($A58)-1)*12)+VLOOKUP(AV$4,$DE$6:$DF$17,2)+1))*$C58</f>
        <v>-439.1255903373056</v>
      </c>
      <c r="AW58" s="1021">
        <f>(VLOOKUP(YEAR($A58),'NY East Load Projections'!$A$4:$EO$14,((MONTH($A58)-1)*12)+VLOOKUP(AW$4,$DE$6:$DF$17,2)+1))*$C58</f>
        <v>-408.92651706466614</v>
      </c>
      <c r="AX58" s="1021">
        <f>(VLOOKUP(YEAR($A58),'NY East Load Projections'!$A$4:$EO$14,((MONTH($A58)-1)*12)+VLOOKUP(AX$4,$DE$6:$DF$17,2)+1))*$C58</f>
        <v>-408.92651706466614</v>
      </c>
      <c r="AY58" s="1021">
        <f>(VLOOKUP(YEAR($A58),'NY East Load Projections'!$A$4:$EO$14,((MONTH($A58)-1)*12)+VLOOKUP(AY$4,$DE$6:$DF$17,2)+1))*$C58</f>
        <v>-408.92651706466614</v>
      </c>
      <c r="AZ58" s="1021">
        <f>(VLOOKUP(YEAR($A58),'NY East Load Projections'!$A$4:$EO$14,((MONTH($A58)-1)*12)+VLOOKUP(AZ$4,$DE$6:$DF$17,2)+1))*$C58</f>
        <v>-408.92651706466614</v>
      </c>
      <c r="BA58" s="1021">
        <f>(VLOOKUP(YEAR($A58),'NY East Load Projections'!$A$4:$EO$14,((MONTH($A58)-1)*12)+VLOOKUP(BA$4,$DE$6:$DF$17,2)+1))*$C58</f>
        <v>-391.59415822855931</v>
      </c>
      <c r="BB58" s="1021">
        <f>(VLOOKUP(YEAR($A58),'NY East Load Projections'!$A$4:$EO$14,((MONTH($A58)-1)*12)+VLOOKUP(BB$4,$DE$6:$DF$17,2)+1))*$C58</f>
        <v>-391.59415822855931</v>
      </c>
      <c r="BC58" s="1021">
        <f>(VLOOKUP(YEAR($A58),'NY East Load Projections'!$A$4:$EO$14,((MONTH($A58)-1)*12)+VLOOKUP(BC$4,$DE$6:$DF$17,2)+1))*$C58</f>
        <v>-391.59415822855931</v>
      </c>
      <c r="BD58" s="1021">
        <f>(VLOOKUP(YEAR($A58),'NY East Load Projections'!$A$4:$EO$14,((MONTH($A58)-1)*12)+VLOOKUP(BD$4,$DE$6:$DF$17,2)+1))*$C58</f>
        <v>-391.59415822855931</v>
      </c>
      <c r="BE58" s="1021"/>
      <c r="BF58" s="1021">
        <f>(VLOOKUP(YEAR($A58),'NY East Load Projections'!$A$4:$EO$14,((MONTH($A58)-1)*12)+VLOOKUP(BF$4,$DE$6:$DF$17,2)+1))*$D58</f>
        <v>-478.24300282207417</v>
      </c>
      <c r="BG58" s="1021">
        <f>(VLOOKUP(YEAR($A58),'NY East Load Projections'!$A$4:$EO$14,((MONTH($A58)-1)*12)+VLOOKUP(BG$4,$DE$6:$DF$17,2)+1))*$D58</f>
        <v>-478.24300282207417</v>
      </c>
      <c r="BH58" s="1021">
        <f>(VLOOKUP(YEAR($A58),'NY East Load Projections'!$A$4:$EO$14,((MONTH($A58)-1)*12)+VLOOKUP(BH$4,$DE$6:$DF$17,2)+1))*$D58</f>
        <v>-478.24300282207417</v>
      </c>
      <c r="BI58" s="1021">
        <f>(VLOOKUP(YEAR($A58),'NY East Load Projections'!$A$4:$EO$14,((MONTH($A58)-1)*12)+VLOOKUP(BI$4,$DE$6:$DF$17,2)+1))*$D58</f>
        <v>-478.24300282207417</v>
      </c>
      <c r="BJ58" s="1021">
        <f>(VLOOKUP(YEAR($A58),'NY East Load Projections'!$A$4:$EO$14,((MONTH($A58)-1)*12)+VLOOKUP(BJ$4,$DE$6:$DF$17,2)+1))*$D58</f>
        <v>-485.4635760778819</v>
      </c>
      <c r="BK58" s="1021">
        <f>(VLOOKUP(YEAR($A58),'NY East Load Projections'!$A$4:$EO$14,((MONTH($A58)-1)*12)+VLOOKUP(BK$4,$DE$6:$DF$17,2)+1))*$D58</f>
        <v>-485.4635760778819</v>
      </c>
      <c r="BL58" s="1021">
        <f>(VLOOKUP(YEAR($A58),'NY East Load Projections'!$A$4:$EO$14,((MONTH($A58)-1)*12)+VLOOKUP(BL$4,$DE$6:$DF$17,2)+1))*$D58</f>
        <v>-485.4635760778819</v>
      </c>
      <c r="BM58" s="1021">
        <f>(VLOOKUP(YEAR($A58),'NY East Load Projections'!$A$4:$EO$14,((MONTH($A58)-1)*12)+VLOOKUP(BM$4,$DE$6:$DF$17,2)+1))*$D58</f>
        <v>-485.4635760778819</v>
      </c>
      <c r="BN58" s="1021">
        <f>(VLOOKUP(YEAR($A58),'NY East Load Projections'!$A$4:$EO$14,((MONTH($A58)-1)*12)+VLOOKUP(BN$4,$DE$6:$DF$17,2)+1))*$D58</f>
        <v>-540.90943149401119</v>
      </c>
      <c r="BO58" s="1021">
        <f>(VLOOKUP(YEAR($A58),'NY East Load Projections'!$A$4:$EO$14,((MONTH($A58)-1)*12)+VLOOKUP(BO$4,$DE$6:$DF$17,2)+1))*$D58</f>
        <v>-540.90943149401119</v>
      </c>
      <c r="BP58" s="1021">
        <f>(VLOOKUP(YEAR($A58),'NY East Load Projections'!$A$4:$EO$14,((MONTH($A58)-1)*12)+VLOOKUP(BP$4,$DE$6:$DF$17,2)+1))*$D58</f>
        <v>-540.90943149401119</v>
      </c>
      <c r="BQ58" s="1021">
        <f>(VLOOKUP(YEAR($A58),'NY East Load Projections'!$A$4:$EO$14,((MONTH($A58)-1)*12)+VLOOKUP(BQ$4,$DE$6:$DF$17,2)+1))*$D58</f>
        <v>-540.90943149401119</v>
      </c>
      <c r="BR58" s="1021">
        <f>(VLOOKUP(YEAR($A58),'NY East Load Projections'!$A$4:$EO$14,((MONTH($A58)-1)*12)+VLOOKUP(BR$4,$DE$6:$DF$17,2)+1))*$D58</f>
        <v>-548.90698792163198</v>
      </c>
      <c r="BS58" s="1021">
        <f>(VLOOKUP(YEAR($A58),'NY East Load Projections'!$A$4:$EO$14,((MONTH($A58)-1)*12)+VLOOKUP(BS$4,$DE$6:$DF$17,2)+1))*$D58</f>
        <v>-548.90698792163198</v>
      </c>
      <c r="BT58" s="1021">
        <f>(VLOOKUP(YEAR($A58),'NY East Load Projections'!$A$4:$EO$14,((MONTH($A58)-1)*12)+VLOOKUP(BT$4,$DE$6:$DF$17,2)+1))*$D58</f>
        <v>-548.90698792163198</v>
      </c>
      <c r="BU58" s="1021">
        <f>(VLOOKUP(YEAR($A58),'NY East Load Projections'!$A$4:$EO$14,((MONTH($A58)-1)*12)+VLOOKUP(BU$4,$DE$6:$DF$17,2)+1))*$D58</f>
        <v>-548.90698792163198</v>
      </c>
      <c r="BV58" s="1021">
        <f>(VLOOKUP(YEAR($A58),'NY East Load Projections'!$A$4:$EO$14,((MONTH($A58)-1)*12)+VLOOKUP(BV$4,$DE$6:$DF$17,2)+1))*$D58</f>
        <v>-511.15814633083266</v>
      </c>
      <c r="BW58" s="1021">
        <f>(VLOOKUP(YEAR($A58),'NY East Load Projections'!$A$4:$EO$14,((MONTH($A58)-1)*12)+VLOOKUP(BW$4,$DE$6:$DF$17,2)+1))*$D58</f>
        <v>-511.15814633083266</v>
      </c>
      <c r="BX58" s="1021">
        <f>(VLOOKUP(YEAR($A58),'NY East Load Projections'!$A$4:$EO$14,((MONTH($A58)-1)*12)+VLOOKUP(BX$4,$DE$6:$DF$17,2)+1))*$D58</f>
        <v>-511.15814633083266</v>
      </c>
      <c r="BY58" s="1021">
        <f>(VLOOKUP(YEAR($A58),'NY East Load Projections'!$A$4:$EO$14,((MONTH($A58)-1)*12)+VLOOKUP(BY$4,$DE$6:$DF$17,2)+1))*$D58</f>
        <v>-511.15814633083266</v>
      </c>
      <c r="BZ58" s="1021">
        <f>(VLOOKUP(YEAR($A58),'NY East Load Projections'!$A$4:$EO$14,((MONTH($A58)-1)*12)+VLOOKUP(BZ$4,$DE$6:$DF$17,2)+1))*$D58</f>
        <v>-489.49269778569914</v>
      </c>
      <c r="CA58" s="1021">
        <f>(VLOOKUP(YEAR($A58),'NY East Load Projections'!$A$4:$EO$14,((MONTH($A58)-1)*12)+VLOOKUP(CA$4,$DE$6:$DF$17,2)+1))*$D58</f>
        <v>-489.49269778569914</v>
      </c>
      <c r="CB58" s="1021">
        <f>(VLOOKUP(YEAR($A58),'NY East Load Projections'!$A$4:$EO$14,((MONTH($A58)-1)*12)+VLOOKUP(CB$4,$DE$6:$DF$17,2)+1))*$D58</f>
        <v>-489.49269778569914</v>
      </c>
      <c r="CC58" s="1021">
        <f>(VLOOKUP(YEAR($A58),'NY East Load Projections'!$A$4:$EO$14,((MONTH($A58)-1)*12)+VLOOKUP(CC$4,$DE$6:$DF$17,2)+1))*$D58</f>
        <v>-489.49269778569914</v>
      </c>
      <c r="CE58" s="1021">
        <f>(VLOOKUP(YEAR($A58),'NY East Load Projections'!$A$4:$EO$14,((MONTH($A58)-1)*12)+VLOOKUP(CE$4,$DE$6:$DF$17,2)+1))*$E58</f>
        <v>-95.648600564414835</v>
      </c>
      <c r="CF58" s="1021">
        <f>(VLOOKUP(YEAR($A58),'NY East Load Projections'!$A$4:$EO$14,((MONTH($A58)-1)*12)+VLOOKUP(CF$4,$DE$6:$DF$17,2)+1))*$E58</f>
        <v>-95.648600564414835</v>
      </c>
      <c r="CG58" s="1021">
        <f>(VLOOKUP(YEAR($A58),'NY East Load Projections'!$A$4:$EO$14,((MONTH($A58)-1)*12)+VLOOKUP(CG$4,$DE$6:$DF$17,2)+1))*$E58</f>
        <v>-95.648600564414835</v>
      </c>
      <c r="CH58" s="1021">
        <f>(VLOOKUP(YEAR($A58),'NY East Load Projections'!$A$4:$EO$14,((MONTH($A58)-1)*12)+VLOOKUP(CH$4,$DE$6:$DF$17,2)+1))*$E58</f>
        <v>-95.648600564414835</v>
      </c>
      <c r="CI58" s="1021">
        <f>(VLOOKUP(YEAR($A58),'NY East Load Projections'!$A$4:$EO$14,((MONTH($A58)-1)*12)+VLOOKUP(CI$4,$DE$6:$DF$17,2)+1))*$E58</f>
        <v>-97.092715215576376</v>
      </c>
      <c r="CJ58" s="1021">
        <f>(VLOOKUP(YEAR($A58),'NY East Load Projections'!$A$4:$EO$14,((MONTH($A58)-1)*12)+VLOOKUP(CJ$4,$DE$6:$DF$17,2)+1))*$E58</f>
        <v>-97.092715215576376</v>
      </c>
      <c r="CK58" s="1021">
        <f>(VLOOKUP(YEAR($A58),'NY East Load Projections'!$A$4:$EO$14,((MONTH($A58)-1)*12)+VLOOKUP(CK$4,$DE$6:$DF$17,2)+1))*$E58</f>
        <v>-97.092715215576376</v>
      </c>
      <c r="CL58" s="1021">
        <f>(VLOOKUP(YEAR($A58),'NY East Load Projections'!$A$4:$EO$14,((MONTH($A58)-1)*12)+VLOOKUP(CL$4,$DE$6:$DF$17,2)+1))*$E58</f>
        <v>-97.092715215576376</v>
      </c>
      <c r="CM58" s="1021">
        <f>(VLOOKUP(YEAR($A58),'NY East Load Projections'!$A$4:$EO$14,((MONTH($A58)-1)*12)+VLOOKUP(CM$4,$DE$6:$DF$17,2)+1))*$E58</f>
        <v>-108.18188629880223</v>
      </c>
      <c r="CN58" s="1021">
        <f>(VLOOKUP(YEAR($A58),'NY East Load Projections'!$A$4:$EO$14,((MONTH($A58)-1)*12)+VLOOKUP(CN$4,$DE$6:$DF$17,2)+1))*$E58</f>
        <v>-108.18188629880223</v>
      </c>
      <c r="CO58" s="1021">
        <f>(VLOOKUP(YEAR($A58),'NY East Load Projections'!$A$4:$EO$14,((MONTH($A58)-1)*12)+VLOOKUP(CO$4,$DE$6:$DF$17,2)+1))*$E58</f>
        <v>-108.18188629880223</v>
      </c>
      <c r="CP58" s="1021">
        <f>(VLOOKUP(YEAR($A58),'NY East Load Projections'!$A$4:$EO$14,((MONTH($A58)-1)*12)+VLOOKUP(CP$4,$DE$6:$DF$17,2)+1))*$E58</f>
        <v>-108.18188629880223</v>
      </c>
      <c r="CQ58" s="1021">
        <f>(VLOOKUP(YEAR($A58),'NY East Load Projections'!$A$4:$EO$14,((MONTH($A58)-1)*12)+VLOOKUP(CQ$4,$DE$6:$DF$17,2)+1))*$E58</f>
        <v>-109.7813975843264</v>
      </c>
      <c r="CR58" s="1021">
        <f>(VLOOKUP(YEAR($A58),'NY East Load Projections'!$A$4:$EO$14,((MONTH($A58)-1)*12)+VLOOKUP(CR$4,$DE$6:$DF$17,2)+1))*$E58</f>
        <v>-109.7813975843264</v>
      </c>
      <c r="CS58" s="1021">
        <f>(VLOOKUP(YEAR($A58),'NY East Load Projections'!$A$4:$EO$14,((MONTH($A58)-1)*12)+VLOOKUP(CS$4,$DE$6:$DF$17,2)+1))*$E58</f>
        <v>-109.7813975843264</v>
      </c>
      <c r="CT58" s="1021">
        <f>(VLOOKUP(YEAR($A58),'NY East Load Projections'!$A$4:$EO$14,((MONTH($A58)-1)*12)+VLOOKUP(CT$4,$DE$6:$DF$17,2)+1))*$E58</f>
        <v>-109.7813975843264</v>
      </c>
      <c r="CU58" s="1021">
        <f>(VLOOKUP(YEAR($A58),'NY East Load Projections'!$A$4:$EO$14,((MONTH($A58)-1)*12)+VLOOKUP(CU$4,$DE$6:$DF$17,2)+1))*$E58</f>
        <v>-102.23162926616654</v>
      </c>
      <c r="CV58" s="1021">
        <f>(VLOOKUP(YEAR($A58),'NY East Load Projections'!$A$4:$EO$14,((MONTH($A58)-1)*12)+VLOOKUP(CV$4,$DE$6:$DF$17,2)+1))*$E58</f>
        <v>-102.23162926616654</v>
      </c>
      <c r="CW58" s="1021">
        <f>(VLOOKUP(YEAR($A58),'NY East Load Projections'!$A$4:$EO$14,((MONTH($A58)-1)*12)+VLOOKUP(CW$4,$DE$6:$DF$17,2)+1))*$E58</f>
        <v>-102.23162926616654</v>
      </c>
      <c r="CX58" s="1021">
        <f>(VLOOKUP(YEAR($A58),'NY East Load Projections'!$A$4:$EO$14,((MONTH($A58)-1)*12)+VLOOKUP(CX$4,$DE$6:$DF$17,2)+1))*$E58</f>
        <v>-102.23162926616654</v>
      </c>
      <c r="CY58" s="1021">
        <f>(VLOOKUP(YEAR($A58),'NY East Load Projections'!$A$4:$EO$14,((MONTH($A58)-1)*12)+VLOOKUP(CY$4,$DE$6:$DF$17,2)+1))*$E58</f>
        <v>-97.898539557139827</v>
      </c>
      <c r="CZ58" s="1021">
        <f>(VLOOKUP(YEAR($A58),'NY East Load Projections'!$A$4:$EO$14,((MONTH($A58)-1)*12)+VLOOKUP(CZ$4,$DE$6:$DF$17,2)+1))*$E58</f>
        <v>-97.898539557139827</v>
      </c>
      <c r="DA58" s="1021">
        <f>(VLOOKUP(YEAR($A58),'NY East Load Projections'!$A$4:$EO$14,((MONTH($A58)-1)*12)+VLOOKUP(DA$4,$DE$6:$DF$17,2)+1))*$E58</f>
        <v>-97.898539557139827</v>
      </c>
      <c r="DB58" s="1021">
        <f>(VLOOKUP(YEAR($A58),'NY East Load Projections'!$A$4:$EO$14,((MONTH($A58)-1)*12)+VLOOKUP(DB$4,$DE$6:$DF$17,2)+1))*$E58</f>
        <v>-97.898539557139827</v>
      </c>
      <c r="DH58" s="1009">
        <f t="shared" si="2"/>
        <v>-77105.977918225384</v>
      </c>
      <c r="DI58">
        <f ca="1">CALC!J78</f>
        <v>0.68339425162413847</v>
      </c>
      <c r="DJ58" s="1032">
        <f t="shared" ca="1" si="1"/>
        <v>-52693.782075172981</v>
      </c>
    </row>
    <row r="59" spans="1:114" x14ac:dyDescent="0.25">
      <c r="A59" s="244">
        <v>38504</v>
      </c>
      <c r="B59" s="13">
        <v>22</v>
      </c>
      <c r="C59" s="210">
        <v>4</v>
      </c>
      <c r="D59" s="210">
        <v>4</v>
      </c>
      <c r="E59" s="210">
        <v>0</v>
      </c>
      <c r="F59" s="13">
        <v>30</v>
      </c>
      <c r="H59" s="1021">
        <f>(VLOOKUP(YEAR($A59),'NY East Load Projections'!$A$4:$EO$14,((MONTH($A59)-1)*12)+VLOOKUP(H$4,$DE$6:$DF$17,2)+1))*$B59</f>
        <v>-2086.6764586828231</v>
      </c>
      <c r="I59" s="1021">
        <f>(VLOOKUP(YEAR($A59),'NY East Load Projections'!$A$4:$EO$14,((MONTH($A59)-1)*12)+VLOOKUP(I$4,$DE$6:$DF$17,2)+1))*$B59</f>
        <v>-2086.6764586828231</v>
      </c>
      <c r="J59" s="1021">
        <f>(VLOOKUP(YEAR($A59),'NY East Load Projections'!$A$4:$EO$14,((MONTH($A59)-1)*12)+VLOOKUP(J$4,$DE$6:$DF$17,2)+1))*$B59</f>
        <v>-2086.6764586828231</v>
      </c>
      <c r="K59" s="1021">
        <f>(VLOOKUP(YEAR($A59),'NY East Load Projections'!$A$4:$EO$14,((MONTH($A59)-1)*12)+VLOOKUP(K$4,$DE$6:$DF$17,2)+1))*$B59</f>
        <v>-2086.6764586828231</v>
      </c>
      <c r="L59" s="1021">
        <f>(VLOOKUP(YEAR($A59),'NY East Load Projections'!$A$4:$EO$14,((MONTH($A59)-1)*12)+VLOOKUP(L$4,$DE$6:$DF$17,2)+1))*$B59</f>
        <v>-2287.2972411639053</v>
      </c>
      <c r="M59" s="1021">
        <f>(VLOOKUP(YEAR($A59),'NY East Load Projections'!$A$4:$EO$14,((MONTH($A59)-1)*12)+VLOOKUP(M$4,$DE$6:$DF$17,2)+1))*$B59</f>
        <v>-2287.2972411639053</v>
      </c>
      <c r="N59" s="1021">
        <f>(VLOOKUP(YEAR($A59),'NY East Load Projections'!$A$4:$EO$14,((MONTH($A59)-1)*12)+VLOOKUP(N$4,$DE$6:$DF$17,2)+1))*$B59</f>
        <v>-2287.2972411639053</v>
      </c>
      <c r="O59" s="1021">
        <f>(VLOOKUP(YEAR($A59),'NY East Load Projections'!$A$4:$EO$14,((MONTH($A59)-1)*12)+VLOOKUP(O$4,$DE$6:$DF$17,2)+1))*$B59</f>
        <v>-2287.2972411639053</v>
      </c>
      <c r="P59" s="1021">
        <f>(VLOOKUP(YEAR($A59),'NY East Load Projections'!$A$4:$EO$14,((MONTH($A59)-1)*12)+VLOOKUP(P$4,$DE$6:$DF$17,2)+1))*$B59</f>
        <v>-2583.466223076186</v>
      </c>
      <c r="Q59" s="1021">
        <f>(VLOOKUP(YEAR($A59),'NY East Load Projections'!$A$4:$EO$14,((MONTH($A59)-1)*12)+VLOOKUP(Q$4,$DE$6:$DF$17,2)+1))*$B59</f>
        <v>-2583.466223076186</v>
      </c>
      <c r="R59" s="1021">
        <f>(VLOOKUP(YEAR($A59),'NY East Load Projections'!$A$4:$EO$14,((MONTH($A59)-1)*12)+VLOOKUP(R$4,$DE$6:$DF$17,2)+1))*$B59</f>
        <v>-2583.466223076186</v>
      </c>
      <c r="S59" s="1021">
        <f>(VLOOKUP(YEAR($A59),'NY East Load Projections'!$A$4:$EO$14,((MONTH($A59)-1)*12)+VLOOKUP(S$4,$DE$6:$DF$17,2)+1))*$B59</f>
        <v>-2583.466223076186</v>
      </c>
      <c r="T59" s="1021">
        <f>(VLOOKUP(YEAR($A59),'NY East Load Projections'!$A$4:$EO$14,((MONTH($A59)-1)*12)+VLOOKUP(T$4,$DE$6:$DF$17,2)+1))*$B59</f>
        <v>-2649.5230977559454</v>
      </c>
      <c r="U59" s="1021">
        <f>(VLOOKUP(YEAR($A59),'NY East Load Projections'!$A$4:$EO$14,((MONTH($A59)-1)*12)+VLOOKUP(U$4,$DE$6:$DF$17,2)+1))*$B59</f>
        <v>-2649.5230977559454</v>
      </c>
      <c r="V59" s="1021">
        <f>(VLOOKUP(YEAR($A59),'NY East Load Projections'!$A$4:$EO$14,((MONTH($A59)-1)*12)+VLOOKUP(V$4,$DE$6:$DF$17,2)+1))*$B59</f>
        <v>-2649.5230977559454</v>
      </c>
      <c r="W59" s="1021">
        <f>(VLOOKUP(YEAR($A59),'NY East Load Projections'!$A$4:$EO$14,((MONTH($A59)-1)*12)+VLOOKUP(W$4,$DE$6:$DF$17,2)+1))*$B59</f>
        <v>-2649.5230977559454</v>
      </c>
      <c r="X59" s="1021">
        <f>(VLOOKUP(YEAR($A59),'NY East Load Projections'!$A$4:$EO$14,((MONTH($A59)-1)*12)+VLOOKUP(X$4,$DE$6:$DF$17,2)+1))*$B59</f>
        <v>-2499.7209957597038</v>
      </c>
      <c r="Y59" s="1021">
        <f>(VLOOKUP(YEAR($A59),'NY East Load Projections'!$A$4:$EO$14,((MONTH($A59)-1)*12)+VLOOKUP(Y$4,$DE$6:$DF$17,2)+1))*$B59</f>
        <v>-2499.7209957597038</v>
      </c>
      <c r="Z59" s="1021">
        <f>(VLOOKUP(YEAR($A59),'NY East Load Projections'!$A$4:$EO$14,((MONTH($A59)-1)*12)+VLOOKUP(Z$4,$DE$6:$DF$17,2)+1))*$B59</f>
        <v>-2499.7209957597038</v>
      </c>
      <c r="AA59" s="1021">
        <f>(VLOOKUP(YEAR($A59),'NY East Load Projections'!$A$4:$EO$14,((MONTH($A59)-1)*12)+VLOOKUP(AA$4,$DE$6:$DF$17,2)+1))*$B59</f>
        <v>-2499.7209957597038</v>
      </c>
      <c r="AB59" s="1021">
        <f>(VLOOKUP(YEAR($A59),'NY East Load Projections'!$A$4:$EO$14,((MONTH($A59)-1)*12)+VLOOKUP(AB$4,$DE$6:$DF$17,2)+1))*$B59</f>
        <v>-2208.114741076633</v>
      </c>
      <c r="AC59" s="1021">
        <f>(VLOOKUP(YEAR($A59),'NY East Load Projections'!$A$4:$EO$14,((MONTH($A59)-1)*12)+VLOOKUP(AC$4,$DE$6:$DF$17,2)+1))*$B59</f>
        <v>-2208.114741076633</v>
      </c>
      <c r="AD59" s="1021">
        <f>(VLOOKUP(YEAR($A59),'NY East Load Projections'!$A$4:$EO$14,((MONTH($A59)-1)*12)+VLOOKUP(AD$4,$DE$6:$DF$17,2)+1))*$B59</f>
        <v>-2208.114741076633</v>
      </c>
      <c r="AE59" s="1021">
        <f>(VLOOKUP(YEAR($A59),'NY East Load Projections'!$A$4:$EO$14,((MONTH($A59)-1)*12)+VLOOKUP(AE$4,$DE$6:$DF$17,2)+1))*$B59</f>
        <v>-2208.114741076633</v>
      </c>
      <c r="AF59" s="1021"/>
      <c r="AG59" s="1021">
        <f>(VLOOKUP(YEAR($A59),'NY East Load Projections'!$A$4:$EO$14,((MONTH($A59)-1)*12)+VLOOKUP(AG$4,$DE$6:$DF$17,2)+1))*$C59</f>
        <v>-385.96890504601174</v>
      </c>
      <c r="AH59" s="1021">
        <f>(VLOOKUP(YEAR($A59),'NY East Load Projections'!$A$4:$EO$14,((MONTH($A59)-1)*12)+VLOOKUP(AH$4,$DE$6:$DF$17,2)+1))*$C59</f>
        <v>-385.96890504601174</v>
      </c>
      <c r="AI59" s="1021">
        <f>(VLOOKUP(YEAR($A59),'NY East Load Projections'!$A$4:$EO$14,((MONTH($A59)-1)*12)+VLOOKUP(AI$4,$DE$6:$DF$17,2)+1))*$C59</f>
        <v>-385.96890504601174</v>
      </c>
      <c r="AJ59" s="1021">
        <f>(VLOOKUP(YEAR($A59),'NY East Load Projections'!$A$4:$EO$14,((MONTH($A59)-1)*12)+VLOOKUP(AJ$4,$DE$6:$DF$17,2)+1))*$C59</f>
        <v>-385.96890504601174</v>
      </c>
      <c r="AK59" s="1021">
        <f>(VLOOKUP(YEAR($A59),'NY East Load Projections'!$A$4:$EO$14,((MONTH($A59)-1)*12)+VLOOKUP(AK$4,$DE$6:$DF$17,2)+1))*$C59</f>
        <v>-389.56092079211038</v>
      </c>
      <c r="AL59" s="1021">
        <f>(VLOOKUP(YEAR($A59),'NY East Load Projections'!$A$4:$EO$14,((MONTH($A59)-1)*12)+VLOOKUP(AL$4,$DE$6:$DF$17,2)+1))*$C59</f>
        <v>-389.56092079211038</v>
      </c>
      <c r="AM59" s="1021">
        <f>(VLOOKUP(YEAR($A59),'NY East Load Projections'!$A$4:$EO$14,((MONTH($A59)-1)*12)+VLOOKUP(AM$4,$DE$6:$DF$17,2)+1))*$C59</f>
        <v>-389.56092079211038</v>
      </c>
      <c r="AN59" s="1021">
        <f>(VLOOKUP(YEAR($A59),'NY East Load Projections'!$A$4:$EO$14,((MONTH($A59)-1)*12)+VLOOKUP(AN$4,$DE$6:$DF$17,2)+1))*$C59</f>
        <v>-389.56092079211038</v>
      </c>
      <c r="AO59" s="1021">
        <f>(VLOOKUP(YEAR($A59),'NY East Load Projections'!$A$4:$EO$14,((MONTH($A59)-1)*12)+VLOOKUP(AO$4,$DE$6:$DF$17,2)+1))*$C59</f>
        <v>-423.34045129629021</v>
      </c>
      <c r="AP59" s="1021">
        <f>(VLOOKUP(YEAR($A59),'NY East Load Projections'!$A$4:$EO$14,((MONTH($A59)-1)*12)+VLOOKUP(AP$4,$DE$6:$DF$17,2)+1))*$C59</f>
        <v>-423.34045129629021</v>
      </c>
      <c r="AQ59" s="1021">
        <f>(VLOOKUP(YEAR($A59),'NY East Load Projections'!$A$4:$EO$14,((MONTH($A59)-1)*12)+VLOOKUP(AQ$4,$DE$6:$DF$17,2)+1))*$C59</f>
        <v>-423.34045129629021</v>
      </c>
      <c r="AR59" s="1021">
        <f>(VLOOKUP(YEAR($A59),'NY East Load Projections'!$A$4:$EO$14,((MONTH($A59)-1)*12)+VLOOKUP(AR$4,$DE$6:$DF$17,2)+1))*$C59</f>
        <v>-423.34045129629021</v>
      </c>
      <c r="AS59" s="1021">
        <f>(VLOOKUP(YEAR($A59),'NY East Load Projections'!$A$4:$EO$14,((MONTH($A59)-1)*12)+VLOOKUP(AS$4,$DE$6:$DF$17,2)+1))*$C59</f>
        <v>-434.74113787175207</v>
      </c>
      <c r="AT59" s="1021">
        <f>(VLOOKUP(YEAR($A59),'NY East Load Projections'!$A$4:$EO$14,((MONTH($A59)-1)*12)+VLOOKUP(AT$4,$DE$6:$DF$17,2)+1))*$C59</f>
        <v>-434.74113787175207</v>
      </c>
      <c r="AU59" s="1021">
        <f>(VLOOKUP(YEAR($A59),'NY East Load Projections'!$A$4:$EO$14,((MONTH($A59)-1)*12)+VLOOKUP(AU$4,$DE$6:$DF$17,2)+1))*$C59</f>
        <v>-434.74113787175207</v>
      </c>
      <c r="AV59" s="1021">
        <f>(VLOOKUP(YEAR($A59),'NY East Load Projections'!$A$4:$EO$14,((MONTH($A59)-1)*12)+VLOOKUP(AV$4,$DE$6:$DF$17,2)+1))*$C59</f>
        <v>-434.74113787175207</v>
      </c>
      <c r="AW59" s="1021">
        <f>(VLOOKUP(YEAR($A59),'NY East Load Projections'!$A$4:$EO$14,((MONTH($A59)-1)*12)+VLOOKUP(AW$4,$DE$6:$DF$17,2)+1))*$C59</f>
        <v>-414.32198021839531</v>
      </c>
      <c r="AX59" s="1021">
        <f>(VLOOKUP(YEAR($A59),'NY East Load Projections'!$A$4:$EO$14,((MONTH($A59)-1)*12)+VLOOKUP(AX$4,$DE$6:$DF$17,2)+1))*$C59</f>
        <v>-414.32198021839531</v>
      </c>
      <c r="AY59" s="1021">
        <f>(VLOOKUP(YEAR($A59),'NY East Load Projections'!$A$4:$EO$14,((MONTH($A59)-1)*12)+VLOOKUP(AY$4,$DE$6:$DF$17,2)+1))*$C59</f>
        <v>-414.32198021839531</v>
      </c>
      <c r="AZ59" s="1021">
        <f>(VLOOKUP(YEAR($A59),'NY East Load Projections'!$A$4:$EO$14,((MONTH($A59)-1)*12)+VLOOKUP(AZ$4,$DE$6:$DF$17,2)+1))*$C59</f>
        <v>-414.32198021839531</v>
      </c>
      <c r="BA59" s="1021">
        <f>(VLOOKUP(YEAR($A59),'NY East Load Projections'!$A$4:$EO$14,((MONTH($A59)-1)*12)+VLOOKUP(BA$4,$DE$6:$DF$17,2)+1))*$C59</f>
        <v>-394.05315944084293</v>
      </c>
      <c r="BB59" s="1021">
        <f>(VLOOKUP(YEAR($A59),'NY East Load Projections'!$A$4:$EO$14,((MONTH($A59)-1)*12)+VLOOKUP(BB$4,$DE$6:$DF$17,2)+1))*$C59</f>
        <v>-394.05315944084293</v>
      </c>
      <c r="BC59" s="1021">
        <f>(VLOOKUP(YEAR($A59),'NY East Load Projections'!$A$4:$EO$14,((MONTH($A59)-1)*12)+VLOOKUP(BC$4,$DE$6:$DF$17,2)+1))*$C59</f>
        <v>-394.05315944084293</v>
      </c>
      <c r="BD59" s="1021">
        <f>(VLOOKUP(YEAR($A59),'NY East Load Projections'!$A$4:$EO$14,((MONTH($A59)-1)*12)+VLOOKUP(BD$4,$DE$6:$DF$17,2)+1))*$C59</f>
        <v>-394.05315944084293</v>
      </c>
      <c r="BE59" s="1021"/>
      <c r="BF59" s="1021">
        <f>(VLOOKUP(YEAR($A59),'NY East Load Projections'!$A$4:$EO$14,((MONTH($A59)-1)*12)+VLOOKUP(BF$4,$DE$6:$DF$17,2)+1))*$D59</f>
        <v>-385.96890504601174</v>
      </c>
      <c r="BG59" s="1021">
        <f>(VLOOKUP(YEAR($A59),'NY East Load Projections'!$A$4:$EO$14,((MONTH($A59)-1)*12)+VLOOKUP(BG$4,$DE$6:$DF$17,2)+1))*$D59</f>
        <v>-385.96890504601174</v>
      </c>
      <c r="BH59" s="1021">
        <f>(VLOOKUP(YEAR($A59),'NY East Load Projections'!$A$4:$EO$14,((MONTH($A59)-1)*12)+VLOOKUP(BH$4,$DE$6:$DF$17,2)+1))*$D59</f>
        <v>-385.96890504601174</v>
      </c>
      <c r="BI59" s="1021">
        <f>(VLOOKUP(YEAR($A59),'NY East Load Projections'!$A$4:$EO$14,((MONTH($A59)-1)*12)+VLOOKUP(BI$4,$DE$6:$DF$17,2)+1))*$D59</f>
        <v>-385.96890504601174</v>
      </c>
      <c r="BJ59" s="1021">
        <f>(VLOOKUP(YEAR($A59),'NY East Load Projections'!$A$4:$EO$14,((MONTH($A59)-1)*12)+VLOOKUP(BJ$4,$DE$6:$DF$17,2)+1))*$D59</f>
        <v>-389.56092079211038</v>
      </c>
      <c r="BK59" s="1021">
        <f>(VLOOKUP(YEAR($A59),'NY East Load Projections'!$A$4:$EO$14,((MONTH($A59)-1)*12)+VLOOKUP(BK$4,$DE$6:$DF$17,2)+1))*$D59</f>
        <v>-389.56092079211038</v>
      </c>
      <c r="BL59" s="1021">
        <f>(VLOOKUP(YEAR($A59),'NY East Load Projections'!$A$4:$EO$14,((MONTH($A59)-1)*12)+VLOOKUP(BL$4,$DE$6:$DF$17,2)+1))*$D59</f>
        <v>-389.56092079211038</v>
      </c>
      <c r="BM59" s="1021">
        <f>(VLOOKUP(YEAR($A59),'NY East Load Projections'!$A$4:$EO$14,((MONTH($A59)-1)*12)+VLOOKUP(BM$4,$DE$6:$DF$17,2)+1))*$D59</f>
        <v>-389.56092079211038</v>
      </c>
      <c r="BN59" s="1021">
        <f>(VLOOKUP(YEAR($A59),'NY East Load Projections'!$A$4:$EO$14,((MONTH($A59)-1)*12)+VLOOKUP(BN$4,$DE$6:$DF$17,2)+1))*$D59</f>
        <v>-423.34045129629021</v>
      </c>
      <c r="BO59" s="1021">
        <f>(VLOOKUP(YEAR($A59),'NY East Load Projections'!$A$4:$EO$14,((MONTH($A59)-1)*12)+VLOOKUP(BO$4,$DE$6:$DF$17,2)+1))*$D59</f>
        <v>-423.34045129629021</v>
      </c>
      <c r="BP59" s="1021">
        <f>(VLOOKUP(YEAR($A59),'NY East Load Projections'!$A$4:$EO$14,((MONTH($A59)-1)*12)+VLOOKUP(BP$4,$DE$6:$DF$17,2)+1))*$D59</f>
        <v>-423.34045129629021</v>
      </c>
      <c r="BQ59" s="1021">
        <f>(VLOOKUP(YEAR($A59),'NY East Load Projections'!$A$4:$EO$14,((MONTH($A59)-1)*12)+VLOOKUP(BQ$4,$DE$6:$DF$17,2)+1))*$D59</f>
        <v>-423.34045129629021</v>
      </c>
      <c r="BR59" s="1021">
        <f>(VLOOKUP(YEAR($A59),'NY East Load Projections'!$A$4:$EO$14,((MONTH($A59)-1)*12)+VLOOKUP(BR$4,$DE$6:$DF$17,2)+1))*$D59</f>
        <v>-434.74113787175207</v>
      </c>
      <c r="BS59" s="1021">
        <f>(VLOOKUP(YEAR($A59),'NY East Load Projections'!$A$4:$EO$14,((MONTH($A59)-1)*12)+VLOOKUP(BS$4,$DE$6:$DF$17,2)+1))*$D59</f>
        <v>-434.74113787175207</v>
      </c>
      <c r="BT59" s="1021">
        <f>(VLOOKUP(YEAR($A59),'NY East Load Projections'!$A$4:$EO$14,((MONTH($A59)-1)*12)+VLOOKUP(BT$4,$DE$6:$DF$17,2)+1))*$D59</f>
        <v>-434.74113787175207</v>
      </c>
      <c r="BU59" s="1021">
        <f>(VLOOKUP(YEAR($A59),'NY East Load Projections'!$A$4:$EO$14,((MONTH($A59)-1)*12)+VLOOKUP(BU$4,$DE$6:$DF$17,2)+1))*$D59</f>
        <v>-434.74113787175207</v>
      </c>
      <c r="BV59" s="1021">
        <f>(VLOOKUP(YEAR($A59),'NY East Load Projections'!$A$4:$EO$14,((MONTH($A59)-1)*12)+VLOOKUP(BV$4,$DE$6:$DF$17,2)+1))*$D59</f>
        <v>-414.32198021839531</v>
      </c>
      <c r="BW59" s="1021">
        <f>(VLOOKUP(YEAR($A59),'NY East Load Projections'!$A$4:$EO$14,((MONTH($A59)-1)*12)+VLOOKUP(BW$4,$DE$6:$DF$17,2)+1))*$D59</f>
        <v>-414.32198021839531</v>
      </c>
      <c r="BX59" s="1021">
        <f>(VLOOKUP(YEAR($A59),'NY East Load Projections'!$A$4:$EO$14,((MONTH($A59)-1)*12)+VLOOKUP(BX$4,$DE$6:$DF$17,2)+1))*$D59</f>
        <v>-414.32198021839531</v>
      </c>
      <c r="BY59" s="1021">
        <f>(VLOOKUP(YEAR($A59),'NY East Load Projections'!$A$4:$EO$14,((MONTH($A59)-1)*12)+VLOOKUP(BY$4,$DE$6:$DF$17,2)+1))*$D59</f>
        <v>-414.32198021839531</v>
      </c>
      <c r="BZ59" s="1021">
        <f>(VLOOKUP(YEAR($A59),'NY East Load Projections'!$A$4:$EO$14,((MONTH($A59)-1)*12)+VLOOKUP(BZ$4,$DE$6:$DF$17,2)+1))*$D59</f>
        <v>-394.05315944084293</v>
      </c>
      <c r="CA59" s="1021">
        <f>(VLOOKUP(YEAR($A59),'NY East Load Projections'!$A$4:$EO$14,((MONTH($A59)-1)*12)+VLOOKUP(CA$4,$DE$6:$DF$17,2)+1))*$D59</f>
        <v>-394.05315944084293</v>
      </c>
      <c r="CB59" s="1021">
        <f>(VLOOKUP(YEAR($A59),'NY East Load Projections'!$A$4:$EO$14,((MONTH($A59)-1)*12)+VLOOKUP(CB$4,$DE$6:$DF$17,2)+1))*$D59</f>
        <v>-394.05315944084293</v>
      </c>
      <c r="CC59" s="1021">
        <f>(VLOOKUP(YEAR($A59),'NY East Load Projections'!$A$4:$EO$14,((MONTH($A59)-1)*12)+VLOOKUP(CC$4,$DE$6:$DF$17,2)+1))*$D59</f>
        <v>-394.05315944084293</v>
      </c>
      <c r="CE59" s="1021">
        <f>(VLOOKUP(YEAR($A59),'NY East Load Projections'!$A$4:$EO$14,((MONTH($A59)-1)*12)+VLOOKUP(CE$4,$DE$6:$DF$17,2)+1))*$E59</f>
        <v>0</v>
      </c>
      <c r="CF59" s="1021">
        <f>(VLOOKUP(YEAR($A59),'NY East Load Projections'!$A$4:$EO$14,((MONTH($A59)-1)*12)+VLOOKUP(CF$4,$DE$6:$DF$17,2)+1))*$E59</f>
        <v>0</v>
      </c>
      <c r="CG59" s="1021">
        <f>(VLOOKUP(YEAR($A59),'NY East Load Projections'!$A$4:$EO$14,((MONTH($A59)-1)*12)+VLOOKUP(CG$4,$DE$6:$DF$17,2)+1))*$E59</f>
        <v>0</v>
      </c>
      <c r="CH59" s="1021">
        <f>(VLOOKUP(YEAR($A59),'NY East Load Projections'!$A$4:$EO$14,((MONTH($A59)-1)*12)+VLOOKUP(CH$4,$DE$6:$DF$17,2)+1))*$E59</f>
        <v>0</v>
      </c>
      <c r="CI59" s="1021">
        <f>(VLOOKUP(YEAR($A59),'NY East Load Projections'!$A$4:$EO$14,((MONTH($A59)-1)*12)+VLOOKUP(CI$4,$DE$6:$DF$17,2)+1))*$E59</f>
        <v>0</v>
      </c>
      <c r="CJ59" s="1021">
        <f>(VLOOKUP(YEAR($A59),'NY East Load Projections'!$A$4:$EO$14,((MONTH($A59)-1)*12)+VLOOKUP(CJ$4,$DE$6:$DF$17,2)+1))*$E59</f>
        <v>0</v>
      </c>
      <c r="CK59" s="1021">
        <f>(VLOOKUP(YEAR($A59),'NY East Load Projections'!$A$4:$EO$14,((MONTH($A59)-1)*12)+VLOOKUP(CK$4,$DE$6:$DF$17,2)+1))*$E59</f>
        <v>0</v>
      </c>
      <c r="CL59" s="1021">
        <f>(VLOOKUP(YEAR($A59),'NY East Load Projections'!$A$4:$EO$14,((MONTH($A59)-1)*12)+VLOOKUP(CL$4,$DE$6:$DF$17,2)+1))*$E59</f>
        <v>0</v>
      </c>
      <c r="CM59" s="1021">
        <f>(VLOOKUP(YEAR($A59),'NY East Load Projections'!$A$4:$EO$14,((MONTH($A59)-1)*12)+VLOOKUP(CM$4,$DE$6:$DF$17,2)+1))*$E59</f>
        <v>0</v>
      </c>
      <c r="CN59" s="1021">
        <f>(VLOOKUP(YEAR($A59),'NY East Load Projections'!$A$4:$EO$14,((MONTH($A59)-1)*12)+VLOOKUP(CN$4,$DE$6:$DF$17,2)+1))*$E59</f>
        <v>0</v>
      </c>
      <c r="CO59" s="1021">
        <f>(VLOOKUP(YEAR($A59),'NY East Load Projections'!$A$4:$EO$14,((MONTH($A59)-1)*12)+VLOOKUP(CO$4,$DE$6:$DF$17,2)+1))*$E59</f>
        <v>0</v>
      </c>
      <c r="CP59" s="1021">
        <f>(VLOOKUP(YEAR($A59),'NY East Load Projections'!$A$4:$EO$14,((MONTH($A59)-1)*12)+VLOOKUP(CP$4,$DE$6:$DF$17,2)+1))*$E59</f>
        <v>0</v>
      </c>
      <c r="CQ59" s="1021">
        <f>(VLOOKUP(YEAR($A59),'NY East Load Projections'!$A$4:$EO$14,((MONTH($A59)-1)*12)+VLOOKUP(CQ$4,$DE$6:$DF$17,2)+1))*$E59</f>
        <v>0</v>
      </c>
      <c r="CR59" s="1021">
        <f>(VLOOKUP(YEAR($A59),'NY East Load Projections'!$A$4:$EO$14,((MONTH($A59)-1)*12)+VLOOKUP(CR$4,$DE$6:$DF$17,2)+1))*$E59</f>
        <v>0</v>
      </c>
      <c r="CS59" s="1021">
        <f>(VLOOKUP(YEAR($A59),'NY East Load Projections'!$A$4:$EO$14,((MONTH($A59)-1)*12)+VLOOKUP(CS$4,$DE$6:$DF$17,2)+1))*$E59</f>
        <v>0</v>
      </c>
      <c r="CT59" s="1021">
        <f>(VLOOKUP(YEAR($A59),'NY East Load Projections'!$A$4:$EO$14,((MONTH($A59)-1)*12)+VLOOKUP(CT$4,$DE$6:$DF$17,2)+1))*$E59</f>
        <v>0</v>
      </c>
      <c r="CU59" s="1021">
        <f>(VLOOKUP(YEAR($A59),'NY East Load Projections'!$A$4:$EO$14,((MONTH($A59)-1)*12)+VLOOKUP(CU$4,$DE$6:$DF$17,2)+1))*$E59</f>
        <v>0</v>
      </c>
      <c r="CV59" s="1021">
        <f>(VLOOKUP(YEAR($A59),'NY East Load Projections'!$A$4:$EO$14,((MONTH($A59)-1)*12)+VLOOKUP(CV$4,$DE$6:$DF$17,2)+1))*$E59</f>
        <v>0</v>
      </c>
      <c r="CW59" s="1021">
        <f>(VLOOKUP(YEAR($A59),'NY East Load Projections'!$A$4:$EO$14,((MONTH($A59)-1)*12)+VLOOKUP(CW$4,$DE$6:$DF$17,2)+1))*$E59</f>
        <v>0</v>
      </c>
      <c r="CX59" s="1021">
        <f>(VLOOKUP(YEAR($A59),'NY East Load Projections'!$A$4:$EO$14,((MONTH($A59)-1)*12)+VLOOKUP(CX$4,$DE$6:$DF$17,2)+1))*$E59</f>
        <v>0</v>
      </c>
      <c r="CY59" s="1021">
        <f>(VLOOKUP(YEAR($A59),'NY East Load Projections'!$A$4:$EO$14,((MONTH($A59)-1)*12)+VLOOKUP(CY$4,$DE$6:$DF$17,2)+1))*$E59</f>
        <v>0</v>
      </c>
      <c r="CZ59" s="1021">
        <f>(VLOOKUP(YEAR($A59),'NY East Load Projections'!$A$4:$EO$14,((MONTH($A59)-1)*12)+VLOOKUP(CZ$4,$DE$6:$DF$17,2)+1))*$E59</f>
        <v>0</v>
      </c>
      <c r="DA59" s="1021">
        <f>(VLOOKUP(YEAR($A59),'NY East Load Projections'!$A$4:$EO$14,((MONTH($A59)-1)*12)+VLOOKUP(DA$4,$DE$6:$DF$17,2)+1))*$E59</f>
        <v>0</v>
      </c>
      <c r="DB59" s="1021">
        <f>(VLOOKUP(YEAR($A59),'NY East Load Projections'!$A$4:$EO$14,((MONTH($A59)-1)*12)+VLOOKUP(DB$4,$DE$6:$DF$17,2)+1))*$E59</f>
        <v>0</v>
      </c>
      <c r="DH59" s="1009">
        <f t="shared" si="2"/>
        <v>-76795.087467383928</v>
      </c>
      <c r="DI59">
        <f ca="1">CALC!J79</f>
        <v>0.67928709125806674</v>
      </c>
      <c r="DJ59" s="1032">
        <f t="shared" ca="1" si="1"/>
        <v>-52165.911588628041</v>
      </c>
    </row>
    <row r="60" spans="1:114" x14ac:dyDescent="0.25">
      <c r="A60" s="244">
        <v>38534</v>
      </c>
      <c r="B60" s="13">
        <v>20</v>
      </c>
      <c r="C60" s="210">
        <v>5</v>
      </c>
      <c r="D60" s="210">
        <v>5</v>
      </c>
      <c r="E60" s="210">
        <v>1</v>
      </c>
      <c r="F60" s="13">
        <v>31</v>
      </c>
      <c r="H60" s="1021">
        <f>(VLOOKUP(YEAR($A60),'NY East Load Projections'!$A$4:$EO$14,((MONTH($A60)-1)*12)+VLOOKUP(H$4,$DE$6:$DF$17,2)+1))*$B60</f>
        <v>-1952.6084997575249</v>
      </c>
      <c r="I60" s="1021">
        <f>(VLOOKUP(YEAR($A60),'NY East Load Projections'!$A$4:$EO$14,((MONTH($A60)-1)*12)+VLOOKUP(I$4,$DE$6:$DF$17,2)+1))*$B60</f>
        <v>-1952.6084997575249</v>
      </c>
      <c r="J60" s="1021">
        <f>(VLOOKUP(YEAR($A60),'NY East Load Projections'!$A$4:$EO$14,((MONTH($A60)-1)*12)+VLOOKUP(J$4,$DE$6:$DF$17,2)+1))*$B60</f>
        <v>-1952.6084997575249</v>
      </c>
      <c r="K60" s="1021">
        <f>(VLOOKUP(YEAR($A60),'NY East Load Projections'!$A$4:$EO$14,((MONTH($A60)-1)*12)+VLOOKUP(K$4,$DE$6:$DF$17,2)+1))*$B60</f>
        <v>-1952.6084997575249</v>
      </c>
      <c r="L60" s="1021">
        <f>(VLOOKUP(YEAR($A60),'NY East Load Projections'!$A$4:$EO$14,((MONTH($A60)-1)*12)+VLOOKUP(L$4,$DE$6:$DF$17,2)+1))*$B60</f>
        <v>-2137.8059672802156</v>
      </c>
      <c r="M60" s="1021">
        <f>(VLOOKUP(YEAR($A60),'NY East Load Projections'!$A$4:$EO$14,((MONTH($A60)-1)*12)+VLOOKUP(M$4,$DE$6:$DF$17,2)+1))*$B60</f>
        <v>-2137.8059672802156</v>
      </c>
      <c r="N60" s="1021">
        <f>(VLOOKUP(YEAR($A60),'NY East Load Projections'!$A$4:$EO$14,((MONTH($A60)-1)*12)+VLOOKUP(N$4,$DE$6:$DF$17,2)+1))*$B60</f>
        <v>-2137.8059672802156</v>
      </c>
      <c r="O60" s="1021">
        <f>(VLOOKUP(YEAR($A60),'NY East Load Projections'!$A$4:$EO$14,((MONTH($A60)-1)*12)+VLOOKUP(O$4,$DE$6:$DF$17,2)+1))*$B60</f>
        <v>-2137.8059672802156</v>
      </c>
      <c r="P60" s="1021">
        <f>(VLOOKUP(YEAR($A60),'NY East Load Projections'!$A$4:$EO$14,((MONTH($A60)-1)*12)+VLOOKUP(P$4,$DE$6:$DF$17,2)+1))*$B60</f>
        <v>-2410.3809694339188</v>
      </c>
      <c r="Q60" s="1021">
        <f>(VLOOKUP(YEAR($A60),'NY East Load Projections'!$A$4:$EO$14,((MONTH($A60)-1)*12)+VLOOKUP(Q$4,$DE$6:$DF$17,2)+1))*$B60</f>
        <v>-2410.3809694339188</v>
      </c>
      <c r="R60" s="1021">
        <f>(VLOOKUP(YEAR($A60),'NY East Load Projections'!$A$4:$EO$14,((MONTH($A60)-1)*12)+VLOOKUP(R$4,$DE$6:$DF$17,2)+1))*$B60</f>
        <v>-2410.3809694339188</v>
      </c>
      <c r="S60" s="1021">
        <f>(VLOOKUP(YEAR($A60),'NY East Load Projections'!$A$4:$EO$14,((MONTH($A60)-1)*12)+VLOOKUP(S$4,$DE$6:$DF$17,2)+1))*$B60</f>
        <v>-2410.3809694339188</v>
      </c>
      <c r="T60" s="1021">
        <f>(VLOOKUP(YEAR($A60),'NY East Load Projections'!$A$4:$EO$14,((MONTH($A60)-1)*12)+VLOOKUP(T$4,$DE$6:$DF$17,2)+1))*$B60</f>
        <v>-2456.6299215387539</v>
      </c>
      <c r="U60" s="1021">
        <f>(VLOOKUP(YEAR($A60),'NY East Load Projections'!$A$4:$EO$14,((MONTH($A60)-1)*12)+VLOOKUP(U$4,$DE$6:$DF$17,2)+1))*$B60</f>
        <v>-2456.6299215387539</v>
      </c>
      <c r="V60" s="1021">
        <f>(VLOOKUP(YEAR($A60),'NY East Load Projections'!$A$4:$EO$14,((MONTH($A60)-1)*12)+VLOOKUP(V$4,$DE$6:$DF$17,2)+1))*$B60</f>
        <v>-2456.6299215387539</v>
      </c>
      <c r="W60" s="1021">
        <f>(VLOOKUP(YEAR($A60),'NY East Load Projections'!$A$4:$EO$14,((MONTH($A60)-1)*12)+VLOOKUP(W$4,$DE$6:$DF$17,2)+1))*$B60</f>
        <v>-2456.6299215387539</v>
      </c>
      <c r="X60" s="1021">
        <f>(VLOOKUP(YEAR($A60),'NY East Load Projections'!$A$4:$EO$14,((MONTH($A60)-1)*12)+VLOOKUP(X$4,$DE$6:$DF$17,2)+1))*$B60</f>
        <v>-2328.1538190559086</v>
      </c>
      <c r="Y60" s="1021">
        <f>(VLOOKUP(YEAR($A60),'NY East Load Projections'!$A$4:$EO$14,((MONTH($A60)-1)*12)+VLOOKUP(Y$4,$DE$6:$DF$17,2)+1))*$B60</f>
        <v>-2328.1538190559086</v>
      </c>
      <c r="Z60" s="1021">
        <f>(VLOOKUP(YEAR($A60),'NY East Load Projections'!$A$4:$EO$14,((MONTH($A60)-1)*12)+VLOOKUP(Z$4,$DE$6:$DF$17,2)+1))*$B60</f>
        <v>-2328.1538190559086</v>
      </c>
      <c r="AA60" s="1021">
        <f>(VLOOKUP(YEAR($A60),'NY East Load Projections'!$A$4:$EO$14,((MONTH($A60)-1)*12)+VLOOKUP(AA$4,$DE$6:$DF$17,2)+1))*$B60</f>
        <v>-2328.1538190559086</v>
      </c>
      <c r="AB60" s="1021">
        <f>(VLOOKUP(YEAR($A60),'NY East Load Projections'!$A$4:$EO$14,((MONTH($A60)-1)*12)+VLOOKUP(AB$4,$DE$6:$DF$17,2)+1))*$B60</f>
        <v>-2058.789307234179</v>
      </c>
      <c r="AC60" s="1021">
        <f>(VLOOKUP(YEAR($A60),'NY East Load Projections'!$A$4:$EO$14,((MONTH($A60)-1)*12)+VLOOKUP(AC$4,$DE$6:$DF$17,2)+1))*$B60</f>
        <v>-2058.789307234179</v>
      </c>
      <c r="AD60" s="1021">
        <f>(VLOOKUP(YEAR($A60),'NY East Load Projections'!$A$4:$EO$14,((MONTH($A60)-1)*12)+VLOOKUP(AD$4,$DE$6:$DF$17,2)+1))*$B60</f>
        <v>-2058.789307234179</v>
      </c>
      <c r="AE60" s="1021">
        <f>(VLOOKUP(YEAR($A60),'NY East Load Projections'!$A$4:$EO$14,((MONTH($A60)-1)*12)+VLOOKUP(AE$4,$DE$6:$DF$17,2)+1))*$B60</f>
        <v>-2058.789307234179</v>
      </c>
      <c r="AF60" s="1021"/>
      <c r="AG60" s="1021">
        <f>(VLOOKUP(YEAR($A60),'NY East Load Projections'!$A$4:$EO$14,((MONTH($A60)-1)*12)+VLOOKUP(AG$4,$DE$6:$DF$17,2)+1))*$C60</f>
        <v>-467.65256898705877</v>
      </c>
      <c r="AH60" s="1021">
        <f>(VLOOKUP(YEAR($A60),'NY East Load Projections'!$A$4:$EO$14,((MONTH($A60)-1)*12)+VLOOKUP(AH$4,$DE$6:$DF$17,2)+1))*$C60</f>
        <v>-467.65256898705877</v>
      </c>
      <c r="AI60" s="1021">
        <f>(VLOOKUP(YEAR($A60),'NY East Load Projections'!$A$4:$EO$14,((MONTH($A60)-1)*12)+VLOOKUP(AI$4,$DE$6:$DF$17,2)+1))*$C60</f>
        <v>-467.65256898705877</v>
      </c>
      <c r="AJ60" s="1021">
        <f>(VLOOKUP(YEAR($A60),'NY East Load Projections'!$A$4:$EO$14,((MONTH($A60)-1)*12)+VLOOKUP(AJ$4,$DE$6:$DF$17,2)+1))*$C60</f>
        <v>-467.65256898705877</v>
      </c>
      <c r="AK60" s="1021">
        <f>(VLOOKUP(YEAR($A60),'NY East Load Projections'!$A$4:$EO$14,((MONTH($A60)-1)*12)+VLOOKUP(AK$4,$DE$6:$DF$17,2)+1))*$C60</f>
        <v>-474.08850196203923</v>
      </c>
      <c r="AL60" s="1021">
        <f>(VLOOKUP(YEAR($A60),'NY East Load Projections'!$A$4:$EO$14,((MONTH($A60)-1)*12)+VLOOKUP(AL$4,$DE$6:$DF$17,2)+1))*$C60</f>
        <v>-474.08850196203923</v>
      </c>
      <c r="AM60" s="1021">
        <f>(VLOOKUP(YEAR($A60),'NY East Load Projections'!$A$4:$EO$14,((MONTH($A60)-1)*12)+VLOOKUP(AM$4,$DE$6:$DF$17,2)+1))*$C60</f>
        <v>-474.08850196203923</v>
      </c>
      <c r="AN60" s="1021">
        <f>(VLOOKUP(YEAR($A60),'NY East Load Projections'!$A$4:$EO$14,((MONTH($A60)-1)*12)+VLOOKUP(AN$4,$DE$6:$DF$17,2)+1))*$C60</f>
        <v>-474.08850196203923</v>
      </c>
      <c r="AO60" s="1021">
        <f>(VLOOKUP(YEAR($A60),'NY East Load Projections'!$A$4:$EO$14,((MONTH($A60)-1)*12)+VLOOKUP(AO$4,$DE$6:$DF$17,2)+1))*$C60</f>
        <v>-519.41006361700965</v>
      </c>
      <c r="AP60" s="1021">
        <f>(VLOOKUP(YEAR($A60),'NY East Load Projections'!$A$4:$EO$14,((MONTH($A60)-1)*12)+VLOOKUP(AP$4,$DE$6:$DF$17,2)+1))*$C60</f>
        <v>-519.41006361700965</v>
      </c>
      <c r="AQ60" s="1021">
        <f>(VLOOKUP(YEAR($A60),'NY East Load Projections'!$A$4:$EO$14,((MONTH($A60)-1)*12)+VLOOKUP(AQ$4,$DE$6:$DF$17,2)+1))*$C60</f>
        <v>-519.41006361700965</v>
      </c>
      <c r="AR60" s="1021">
        <f>(VLOOKUP(YEAR($A60),'NY East Load Projections'!$A$4:$EO$14,((MONTH($A60)-1)*12)+VLOOKUP(AR$4,$DE$6:$DF$17,2)+1))*$C60</f>
        <v>-519.41006361700965</v>
      </c>
      <c r="AS60" s="1021">
        <f>(VLOOKUP(YEAR($A60),'NY East Load Projections'!$A$4:$EO$14,((MONTH($A60)-1)*12)+VLOOKUP(AS$4,$DE$6:$DF$17,2)+1))*$C60</f>
        <v>-535.46788609739906</v>
      </c>
      <c r="AT60" s="1021">
        <f>(VLOOKUP(YEAR($A60),'NY East Load Projections'!$A$4:$EO$14,((MONTH($A60)-1)*12)+VLOOKUP(AT$4,$DE$6:$DF$17,2)+1))*$C60</f>
        <v>-535.46788609739906</v>
      </c>
      <c r="AU60" s="1021">
        <f>(VLOOKUP(YEAR($A60),'NY East Load Projections'!$A$4:$EO$14,((MONTH($A60)-1)*12)+VLOOKUP(AU$4,$DE$6:$DF$17,2)+1))*$C60</f>
        <v>-535.46788609739906</v>
      </c>
      <c r="AV60" s="1021">
        <f>(VLOOKUP(YEAR($A60),'NY East Load Projections'!$A$4:$EO$14,((MONTH($A60)-1)*12)+VLOOKUP(AV$4,$DE$6:$DF$17,2)+1))*$C60</f>
        <v>-535.46788609739906</v>
      </c>
      <c r="AW60" s="1021">
        <f>(VLOOKUP(YEAR($A60),'NY East Load Projections'!$A$4:$EO$14,((MONTH($A60)-1)*12)+VLOOKUP(AW$4,$DE$6:$DF$17,2)+1))*$C60</f>
        <v>-508.94553782614565</v>
      </c>
      <c r="AX60" s="1021">
        <f>(VLOOKUP(YEAR($A60),'NY East Load Projections'!$A$4:$EO$14,((MONTH($A60)-1)*12)+VLOOKUP(AX$4,$DE$6:$DF$17,2)+1))*$C60</f>
        <v>-508.94553782614565</v>
      </c>
      <c r="AY60" s="1021">
        <f>(VLOOKUP(YEAR($A60),'NY East Load Projections'!$A$4:$EO$14,((MONTH($A60)-1)*12)+VLOOKUP(AY$4,$DE$6:$DF$17,2)+1))*$C60</f>
        <v>-508.94553782614565</v>
      </c>
      <c r="AZ60" s="1021">
        <f>(VLOOKUP(YEAR($A60),'NY East Load Projections'!$A$4:$EO$14,((MONTH($A60)-1)*12)+VLOOKUP(AZ$4,$DE$6:$DF$17,2)+1))*$C60</f>
        <v>-508.94553782614565</v>
      </c>
      <c r="BA60" s="1021">
        <f>(VLOOKUP(YEAR($A60),'NY East Load Projections'!$A$4:$EO$14,((MONTH($A60)-1)*12)+VLOOKUP(BA$4,$DE$6:$DF$17,2)+1))*$C60</f>
        <v>-483.47047248548557</v>
      </c>
      <c r="BB60" s="1021">
        <f>(VLOOKUP(YEAR($A60),'NY East Load Projections'!$A$4:$EO$14,((MONTH($A60)-1)*12)+VLOOKUP(BB$4,$DE$6:$DF$17,2)+1))*$C60</f>
        <v>-483.47047248548557</v>
      </c>
      <c r="BC60" s="1021">
        <f>(VLOOKUP(YEAR($A60),'NY East Load Projections'!$A$4:$EO$14,((MONTH($A60)-1)*12)+VLOOKUP(BC$4,$DE$6:$DF$17,2)+1))*$C60</f>
        <v>-483.47047248548557</v>
      </c>
      <c r="BD60" s="1021">
        <f>(VLOOKUP(YEAR($A60),'NY East Load Projections'!$A$4:$EO$14,((MONTH($A60)-1)*12)+VLOOKUP(BD$4,$DE$6:$DF$17,2)+1))*$C60</f>
        <v>-483.47047248548557</v>
      </c>
      <c r="BE60" s="1021"/>
      <c r="BF60" s="1021">
        <f>(VLOOKUP(YEAR($A60),'NY East Load Projections'!$A$4:$EO$14,((MONTH($A60)-1)*12)+VLOOKUP(BF$4,$DE$6:$DF$17,2)+1))*$D60</f>
        <v>-467.65256898705877</v>
      </c>
      <c r="BG60" s="1021">
        <f>(VLOOKUP(YEAR($A60),'NY East Load Projections'!$A$4:$EO$14,((MONTH($A60)-1)*12)+VLOOKUP(BG$4,$DE$6:$DF$17,2)+1))*$D60</f>
        <v>-467.65256898705877</v>
      </c>
      <c r="BH60" s="1021">
        <f>(VLOOKUP(YEAR($A60),'NY East Load Projections'!$A$4:$EO$14,((MONTH($A60)-1)*12)+VLOOKUP(BH$4,$DE$6:$DF$17,2)+1))*$D60</f>
        <v>-467.65256898705877</v>
      </c>
      <c r="BI60" s="1021">
        <f>(VLOOKUP(YEAR($A60),'NY East Load Projections'!$A$4:$EO$14,((MONTH($A60)-1)*12)+VLOOKUP(BI$4,$DE$6:$DF$17,2)+1))*$D60</f>
        <v>-467.65256898705877</v>
      </c>
      <c r="BJ60" s="1021">
        <f>(VLOOKUP(YEAR($A60),'NY East Load Projections'!$A$4:$EO$14,((MONTH($A60)-1)*12)+VLOOKUP(BJ$4,$DE$6:$DF$17,2)+1))*$D60</f>
        <v>-474.08850196203923</v>
      </c>
      <c r="BK60" s="1021">
        <f>(VLOOKUP(YEAR($A60),'NY East Load Projections'!$A$4:$EO$14,((MONTH($A60)-1)*12)+VLOOKUP(BK$4,$DE$6:$DF$17,2)+1))*$D60</f>
        <v>-474.08850196203923</v>
      </c>
      <c r="BL60" s="1021">
        <f>(VLOOKUP(YEAR($A60),'NY East Load Projections'!$A$4:$EO$14,((MONTH($A60)-1)*12)+VLOOKUP(BL$4,$DE$6:$DF$17,2)+1))*$D60</f>
        <v>-474.08850196203923</v>
      </c>
      <c r="BM60" s="1021">
        <f>(VLOOKUP(YEAR($A60),'NY East Load Projections'!$A$4:$EO$14,((MONTH($A60)-1)*12)+VLOOKUP(BM$4,$DE$6:$DF$17,2)+1))*$D60</f>
        <v>-474.08850196203923</v>
      </c>
      <c r="BN60" s="1021">
        <f>(VLOOKUP(YEAR($A60),'NY East Load Projections'!$A$4:$EO$14,((MONTH($A60)-1)*12)+VLOOKUP(BN$4,$DE$6:$DF$17,2)+1))*$D60</f>
        <v>-519.41006361700965</v>
      </c>
      <c r="BO60" s="1021">
        <f>(VLOOKUP(YEAR($A60),'NY East Load Projections'!$A$4:$EO$14,((MONTH($A60)-1)*12)+VLOOKUP(BO$4,$DE$6:$DF$17,2)+1))*$D60</f>
        <v>-519.41006361700965</v>
      </c>
      <c r="BP60" s="1021">
        <f>(VLOOKUP(YEAR($A60),'NY East Load Projections'!$A$4:$EO$14,((MONTH($A60)-1)*12)+VLOOKUP(BP$4,$DE$6:$DF$17,2)+1))*$D60</f>
        <v>-519.41006361700965</v>
      </c>
      <c r="BQ60" s="1021">
        <f>(VLOOKUP(YEAR($A60),'NY East Load Projections'!$A$4:$EO$14,((MONTH($A60)-1)*12)+VLOOKUP(BQ$4,$DE$6:$DF$17,2)+1))*$D60</f>
        <v>-519.41006361700965</v>
      </c>
      <c r="BR60" s="1021">
        <f>(VLOOKUP(YEAR($A60),'NY East Load Projections'!$A$4:$EO$14,((MONTH($A60)-1)*12)+VLOOKUP(BR$4,$DE$6:$DF$17,2)+1))*$D60</f>
        <v>-535.46788609739906</v>
      </c>
      <c r="BS60" s="1021">
        <f>(VLOOKUP(YEAR($A60),'NY East Load Projections'!$A$4:$EO$14,((MONTH($A60)-1)*12)+VLOOKUP(BS$4,$DE$6:$DF$17,2)+1))*$D60</f>
        <v>-535.46788609739906</v>
      </c>
      <c r="BT60" s="1021">
        <f>(VLOOKUP(YEAR($A60),'NY East Load Projections'!$A$4:$EO$14,((MONTH($A60)-1)*12)+VLOOKUP(BT$4,$DE$6:$DF$17,2)+1))*$D60</f>
        <v>-535.46788609739906</v>
      </c>
      <c r="BU60" s="1021">
        <f>(VLOOKUP(YEAR($A60),'NY East Load Projections'!$A$4:$EO$14,((MONTH($A60)-1)*12)+VLOOKUP(BU$4,$DE$6:$DF$17,2)+1))*$D60</f>
        <v>-535.46788609739906</v>
      </c>
      <c r="BV60" s="1021">
        <f>(VLOOKUP(YEAR($A60),'NY East Load Projections'!$A$4:$EO$14,((MONTH($A60)-1)*12)+VLOOKUP(BV$4,$DE$6:$DF$17,2)+1))*$D60</f>
        <v>-508.94553782614565</v>
      </c>
      <c r="BW60" s="1021">
        <f>(VLOOKUP(YEAR($A60),'NY East Load Projections'!$A$4:$EO$14,((MONTH($A60)-1)*12)+VLOOKUP(BW$4,$DE$6:$DF$17,2)+1))*$D60</f>
        <v>-508.94553782614565</v>
      </c>
      <c r="BX60" s="1021">
        <f>(VLOOKUP(YEAR($A60),'NY East Load Projections'!$A$4:$EO$14,((MONTH($A60)-1)*12)+VLOOKUP(BX$4,$DE$6:$DF$17,2)+1))*$D60</f>
        <v>-508.94553782614565</v>
      </c>
      <c r="BY60" s="1021">
        <f>(VLOOKUP(YEAR($A60),'NY East Load Projections'!$A$4:$EO$14,((MONTH($A60)-1)*12)+VLOOKUP(BY$4,$DE$6:$DF$17,2)+1))*$D60</f>
        <v>-508.94553782614565</v>
      </c>
      <c r="BZ60" s="1021">
        <f>(VLOOKUP(YEAR($A60),'NY East Load Projections'!$A$4:$EO$14,((MONTH($A60)-1)*12)+VLOOKUP(BZ$4,$DE$6:$DF$17,2)+1))*$D60</f>
        <v>-483.47047248548557</v>
      </c>
      <c r="CA60" s="1021">
        <f>(VLOOKUP(YEAR($A60),'NY East Load Projections'!$A$4:$EO$14,((MONTH($A60)-1)*12)+VLOOKUP(CA$4,$DE$6:$DF$17,2)+1))*$D60</f>
        <v>-483.47047248548557</v>
      </c>
      <c r="CB60" s="1021">
        <f>(VLOOKUP(YEAR($A60),'NY East Load Projections'!$A$4:$EO$14,((MONTH($A60)-1)*12)+VLOOKUP(CB$4,$DE$6:$DF$17,2)+1))*$D60</f>
        <v>-483.47047248548557</v>
      </c>
      <c r="CC60" s="1021">
        <f>(VLOOKUP(YEAR($A60),'NY East Load Projections'!$A$4:$EO$14,((MONTH($A60)-1)*12)+VLOOKUP(CC$4,$DE$6:$DF$17,2)+1))*$D60</f>
        <v>-483.47047248548557</v>
      </c>
      <c r="CE60" s="1021">
        <f>(VLOOKUP(YEAR($A60),'NY East Load Projections'!$A$4:$EO$14,((MONTH($A60)-1)*12)+VLOOKUP(CE$4,$DE$6:$DF$17,2)+1))*$E60</f>
        <v>-93.530513797411757</v>
      </c>
      <c r="CF60" s="1021">
        <f>(VLOOKUP(YEAR($A60),'NY East Load Projections'!$A$4:$EO$14,((MONTH($A60)-1)*12)+VLOOKUP(CF$4,$DE$6:$DF$17,2)+1))*$E60</f>
        <v>-93.530513797411757</v>
      </c>
      <c r="CG60" s="1021">
        <f>(VLOOKUP(YEAR($A60),'NY East Load Projections'!$A$4:$EO$14,((MONTH($A60)-1)*12)+VLOOKUP(CG$4,$DE$6:$DF$17,2)+1))*$E60</f>
        <v>-93.530513797411757</v>
      </c>
      <c r="CH60" s="1021">
        <f>(VLOOKUP(YEAR($A60),'NY East Load Projections'!$A$4:$EO$14,((MONTH($A60)-1)*12)+VLOOKUP(CH$4,$DE$6:$DF$17,2)+1))*$E60</f>
        <v>-93.530513797411757</v>
      </c>
      <c r="CI60" s="1021">
        <f>(VLOOKUP(YEAR($A60),'NY East Load Projections'!$A$4:$EO$14,((MONTH($A60)-1)*12)+VLOOKUP(CI$4,$DE$6:$DF$17,2)+1))*$E60</f>
        <v>-94.817700392407843</v>
      </c>
      <c r="CJ60" s="1021">
        <f>(VLOOKUP(YEAR($A60),'NY East Load Projections'!$A$4:$EO$14,((MONTH($A60)-1)*12)+VLOOKUP(CJ$4,$DE$6:$DF$17,2)+1))*$E60</f>
        <v>-94.817700392407843</v>
      </c>
      <c r="CK60" s="1021">
        <f>(VLOOKUP(YEAR($A60),'NY East Load Projections'!$A$4:$EO$14,((MONTH($A60)-1)*12)+VLOOKUP(CK$4,$DE$6:$DF$17,2)+1))*$E60</f>
        <v>-94.817700392407843</v>
      </c>
      <c r="CL60" s="1021">
        <f>(VLOOKUP(YEAR($A60),'NY East Load Projections'!$A$4:$EO$14,((MONTH($A60)-1)*12)+VLOOKUP(CL$4,$DE$6:$DF$17,2)+1))*$E60</f>
        <v>-94.817700392407843</v>
      </c>
      <c r="CM60" s="1021">
        <f>(VLOOKUP(YEAR($A60),'NY East Load Projections'!$A$4:$EO$14,((MONTH($A60)-1)*12)+VLOOKUP(CM$4,$DE$6:$DF$17,2)+1))*$E60</f>
        <v>-103.88201272340194</v>
      </c>
      <c r="CN60" s="1021">
        <f>(VLOOKUP(YEAR($A60),'NY East Load Projections'!$A$4:$EO$14,((MONTH($A60)-1)*12)+VLOOKUP(CN$4,$DE$6:$DF$17,2)+1))*$E60</f>
        <v>-103.88201272340194</v>
      </c>
      <c r="CO60" s="1021">
        <f>(VLOOKUP(YEAR($A60),'NY East Load Projections'!$A$4:$EO$14,((MONTH($A60)-1)*12)+VLOOKUP(CO$4,$DE$6:$DF$17,2)+1))*$E60</f>
        <v>-103.88201272340194</v>
      </c>
      <c r="CP60" s="1021">
        <f>(VLOOKUP(YEAR($A60),'NY East Load Projections'!$A$4:$EO$14,((MONTH($A60)-1)*12)+VLOOKUP(CP$4,$DE$6:$DF$17,2)+1))*$E60</f>
        <v>-103.88201272340194</v>
      </c>
      <c r="CQ60" s="1021">
        <f>(VLOOKUP(YEAR($A60),'NY East Load Projections'!$A$4:$EO$14,((MONTH($A60)-1)*12)+VLOOKUP(CQ$4,$DE$6:$DF$17,2)+1))*$E60</f>
        <v>-107.09357721947981</v>
      </c>
      <c r="CR60" s="1021">
        <f>(VLOOKUP(YEAR($A60),'NY East Load Projections'!$A$4:$EO$14,((MONTH($A60)-1)*12)+VLOOKUP(CR$4,$DE$6:$DF$17,2)+1))*$E60</f>
        <v>-107.09357721947981</v>
      </c>
      <c r="CS60" s="1021">
        <f>(VLOOKUP(YEAR($A60),'NY East Load Projections'!$A$4:$EO$14,((MONTH($A60)-1)*12)+VLOOKUP(CS$4,$DE$6:$DF$17,2)+1))*$E60</f>
        <v>-107.09357721947981</v>
      </c>
      <c r="CT60" s="1021">
        <f>(VLOOKUP(YEAR($A60),'NY East Load Projections'!$A$4:$EO$14,((MONTH($A60)-1)*12)+VLOOKUP(CT$4,$DE$6:$DF$17,2)+1))*$E60</f>
        <v>-107.09357721947981</v>
      </c>
      <c r="CU60" s="1021">
        <f>(VLOOKUP(YEAR($A60),'NY East Load Projections'!$A$4:$EO$14,((MONTH($A60)-1)*12)+VLOOKUP(CU$4,$DE$6:$DF$17,2)+1))*$E60</f>
        <v>-101.78910756522913</v>
      </c>
      <c r="CV60" s="1021">
        <f>(VLOOKUP(YEAR($A60),'NY East Load Projections'!$A$4:$EO$14,((MONTH($A60)-1)*12)+VLOOKUP(CV$4,$DE$6:$DF$17,2)+1))*$E60</f>
        <v>-101.78910756522913</v>
      </c>
      <c r="CW60" s="1021">
        <f>(VLOOKUP(YEAR($A60),'NY East Load Projections'!$A$4:$EO$14,((MONTH($A60)-1)*12)+VLOOKUP(CW$4,$DE$6:$DF$17,2)+1))*$E60</f>
        <v>-101.78910756522913</v>
      </c>
      <c r="CX60" s="1021">
        <f>(VLOOKUP(YEAR($A60),'NY East Load Projections'!$A$4:$EO$14,((MONTH($A60)-1)*12)+VLOOKUP(CX$4,$DE$6:$DF$17,2)+1))*$E60</f>
        <v>-101.78910756522913</v>
      </c>
      <c r="CY60" s="1021">
        <f>(VLOOKUP(YEAR($A60),'NY East Load Projections'!$A$4:$EO$14,((MONTH($A60)-1)*12)+VLOOKUP(CY$4,$DE$6:$DF$17,2)+1))*$E60</f>
        <v>-96.694094497097112</v>
      </c>
      <c r="CZ60" s="1021">
        <f>(VLOOKUP(YEAR($A60),'NY East Load Projections'!$A$4:$EO$14,((MONTH($A60)-1)*12)+VLOOKUP(CZ$4,$DE$6:$DF$17,2)+1))*$E60</f>
        <v>-96.694094497097112</v>
      </c>
      <c r="DA60" s="1021">
        <f>(VLOOKUP(YEAR($A60),'NY East Load Projections'!$A$4:$EO$14,((MONTH($A60)-1)*12)+VLOOKUP(DA$4,$DE$6:$DF$17,2)+1))*$E60</f>
        <v>-96.694094497097112</v>
      </c>
      <c r="DB60" s="1021">
        <f>(VLOOKUP(YEAR($A60),'NY East Load Projections'!$A$4:$EO$14,((MONTH($A60)-1)*12)+VLOOKUP(DB$4,$DE$6:$DF$17,2)+1))*$E60</f>
        <v>-96.694094497097112</v>
      </c>
      <c r="DH60" s="1009">
        <f t="shared" si="2"/>
        <v>-79680.982209783193</v>
      </c>
      <c r="DI60">
        <f ca="1">CALC!J80</f>
        <v>0.67507196780665579</v>
      </c>
      <c r="DJ60" s="1032">
        <f t="shared" ca="1" si="1"/>
        <v>-53790.397457125473</v>
      </c>
    </row>
    <row r="61" spans="1:114" x14ac:dyDescent="0.25">
      <c r="A61" s="244">
        <v>38565</v>
      </c>
      <c r="B61" s="13">
        <v>23</v>
      </c>
      <c r="C61" s="210">
        <v>4</v>
      </c>
      <c r="D61" s="210">
        <v>4</v>
      </c>
      <c r="E61" s="210">
        <v>0</v>
      </c>
      <c r="F61" s="13">
        <v>31</v>
      </c>
      <c r="H61" s="1021">
        <f>(VLOOKUP(YEAR($A61),'NY East Load Projections'!$A$4:$EO$14,((MONTH($A61)-1)*12)+VLOOKUP(H$4,$DE$6:$DF$17,2)+1))*$B61</f>
        <v>-2286.2996012857679</v>
      </c>
      <c r="I61" s="1021">
        <f>(VLOOKUP(YEAR($A61),'NY East Load Projections'!$A$4:$EO$14,((MONTH($A61)-1)*12)+VLOOKUP(I$4,$DE$6:$DF$17,2)+1))*$B61</f>
        <v>-2286.2996012857679</v>
      </c>
      <c r="J61" s="1021">
        <f>(VLOOKUP(YEAR($A61),'NY East Load Projections'!$A$4:$EO$14,((MONTH($A61)-1)*12)+VLOOKUP(J$4,$DE$6:$DF$17,2)+1))*$B61</f>
        <v>-2286.2996012857679</v>
      </c>
      <c r="K61" s="1021">
        <f>(VLOOKUP(YEAR($A61),'NY East Load Projections'!$A$4:$EO$14,((MONTH($A61)-1)*12)+VLOOKUP(K$4,$DE$6:$DF$17,2)+1))*$B61</f>
        <v>-2286.2996012857679</v>
      </c>
      <c r="L61" s="1021">
        <f>(VLOOKUP(YEAR($A61),'NY East Load Projections'!$A$4:$EO$14,((MONTH($A61)-1)*12)+VLOOKUP(L$4,$DE$6:$DF$17,2)+1))*$B61</f>
        <v>-2495.0613350835438</v>
      </c>
      <c r="M61" s="1021">
        <f>(VLOOKUP(YEAR($A61),'NY East Load Projections'!$A$4:$EO$14,((MONTH($A61)-1)*12)+VLOOKUP(M$4,$DE$6:$DF$17,2)+1))*$B61</f>
        <v>-2495.0613350835438</v>
      </c>
      <c r="N61" s="1021">
        <f>(VLOOKUP(YEAR($A61),'NY East Load Projections'!$A$4:$EO$14,((MONTH($A61)-1)*12)+VLOOKUP(N$4,$DE$6:$DF$17,2)+1))*$B61</f>
        <v>-2495.0613350835438</v>
      </c>
      <c r="O61" s="1021">
        <f>(VLOOKUP(YEAR($A61),'NY East Load Projections'!$A$4:$EO$14,((MONTH($A61)-1)*12)+VLOOKUP(O$4,$DE$6:$DF$17,2)+1))*$B61</f>
        <v>-2495.0613350835438</v>
      </c>
      <c r="P61" s="1021">
        <f>(VLOOKUP(YEAR($A61),'NY East Load Projections'!$A$4:$EO$14,((MONTH($A61)-1)*12)+VLOOKUP(P$4,$DE$6:$DF$17,2)+1))*$B61</f>
        <v>-2832.2359586974294</v>
      </c>
      <c r="Q61" s="1021">
        <f>(VLOOKUP(YEAR($A61),'NY East Load Projections'!$A$4:$EO$14,((MONTH($A61)-1)*12)+VLOOKUP(Q$4,$DE$6:$DF$17,2)+1))*$B61</f>
        <v>-2832.2359586974294</v>
      </c>
      <c r="R61" s="1021">
        <f>(VLOOKUP(YEAR($A61),'NY East Load Projections'!$A$4:$EO$14,((MONTH($A61)-1)*12)+VLOOKUP(R$4,$DE$6:$DF$17,2)+1))*$B61</f>
        <v>-2832.2359586974294</v>
      </c>
      <c r="S61" s="1021">
        <f>(VLOOKUP(YEAR($A61),'NY East Load Projections'!$A$4:$EO$14,((MONTH($A61)-1)*12)+VLOOKUP(S$4,$DE$6:$DF$17,2)+1))*$B61</f>
        <v>-2832.2359586974294</v>
      </c>
      <c r="T61" s="1021">
        <f>(VLOOKUP(YEAR($A61),'NY East Load Projections'!$A$4:$EO$14,((MONTH($A61)-1)*12)+VLOOKUP(T$4,$DE$6:$DF$17,2)+1))*$B61</f>
        <v>-2908.4029654561709</v>
      </c>
      <c r="U61" s="1021">
        <f>(VLOOKUP(YEAR($A61),'NY East Load Projections'!$A$4:$EO$14,((MONTH($A61)-1)*12)+VLOOKUP(U$4,$DE$6:$DF$17,2)+1))*$B61</f>
        <v>-2908.4029654561709</v>
      </c>
      <c r="V61" s="1021">
        <f>(VLOOKUP(YEAR($A61),'NY East Load Projections'!$A$4:$EO$14,((MONTH($A61)-1)*12)+VLOOKUP(V$4,$DE$6:$DF$17,2)+1))*$B61</f>
        <v>-2908.4029654561709</v>
      </c>
      <c r="W61" s="1021">
        <f>(VLOOKUP(YEAR($A61),'NY East Load Projections'!$A$4:$EO$14,((MONTH($A61)-1)*12)+VLOOKUP(W$4,$DE$6:$DF$17,2)+1))*$B61</f>
        <v>-2908.4029654561709</v>
      </c>
      <c r="X61" s="1021">
        <f>(VLOOKUP(YEAR($A61),'NY East Load Projections'!$A$4:$EO$14,((MONTH($A61)-1)*12)+VLOOKUP(X$4,$DE$6:$DF$17,2)+1))*$B61</f>
        <v>-2740.2901635773596</v>
      </c>
      <c r="Y61" s="1021">
        <f>(VLOOKUP(YEAR($A61),'NY East Load Projections'!$A$4:$EO$14,((MONTH($A61)-1)*12)+VLOOKUP(Y$4,$DE$6:$DF$17,2)+1))*$B61</f>
        <v>-2740.2901635773596</v>
      </c>
      <c r="Z61" s="1021">
        <f>(VLOOKUP(YEAR($A61),'NY East Load Projections'!$A$4:$EO$14,((MONTH($A61)-1)*12)+VLOOKUP(Z$4,$DE$6:$DF$17,2)+1))*$B61</f>
        <v>-2740.2901635773596</v>
      </c>
      <c r="AA61" s="1021">
        <f>(VLOOKUP(YEAR($A61),'NY East Load Projections'!$A$4:$EO$14,((MONTH($A61)-1)*12)+VLOOKUP(AA$4,$DE$6:$DF$17,2)+1))*$B61</f>
        <v>-2740.2901635773596</v>
      </c>
      <c r="AB61" s="1021">
        <f>(VLOOKUP(YEAR($A61),'NY East Load Projections'!$A$4:$EO$14,((MONTH($A61)-1)*12)+VLOOKUP(AB$4,$DE$6:$DF$17,2)+1))*$B61</f>
        <v>-2412.885031168883</v>
      </c>
      <c r="AC61" s="1021">
        <f>(VLOOKUP(YEAR($A61),'NY East Load Projections'!$A$4:$EO$14,((MONTH($A61)-1)*12)+VLOOKUP(AC$4,$DE$6:$DF$17,2)+1))*$B61</f>
        <v>-2412.885031168883</v>
      </c>
      <c r="AD61" s="1021">
        <f>(VLOOKUP(YEAR($A61),'NY East Load Projections'!$A$4:$EO$14,((MONTH($A61)-1)*12)+VLOOKUP(AD$4,$DE$6:$DF$17,2)+1))*$B61</f>
        <v>-2412.885031168883</v>
      </c>
      <c r="AE61" s="1021">
        <f>(VLOOKUP(YEAR($A61),'NY East Load Projections'!$A$4:$EO$14,((MONTH($A61)-1)*12)+VLOOKUP(AE$4,$DE$6:$DF$17,2)+1))*$B61</f>
        <v>-2412.885031168883</v>
      </c>
      <c r="AF61" s="1021"/>
      <c r="AG61" s="1021">
        <f>(VLOOKUP(YEAR($A61),'NY East Load Projections'!$A$4:$EO$14,((MONTH($A61)-1)*12)+VLOOKUP(AG$4,$DE$6:$DF$17,2)+1))*$C61</f>
        <v>-390.76312472325634</v>
      </c>
      <c r="AH61" s="1021">
        <f>(VLOOKUP(YEAR($A61),'NY East Load Projections'!$A$4:$EO$14,((MONTH($A61)-1)*12)+VLOOKUP(AH$4,$DE$6:$DF$17,2)+1))*$C61</f>
        <v>-390.76312472325634</v>
      </c>
      <c r="AI61" s="1021">
        <f>(VLOOKUP(YEAR($A61),'NY East Load Projections'!$A$4:$EO$14,((MONTH($A61)-1)*12)+VLOOKUP(AI$4,$DE$6:$DF$17,2)+1))*$C61</f>
        <v>-390.76312472325634</v>
      </c>
      <c r="AJ61" s="1021">
        <f>(VLOOKUP(YEAR($A61),'NY East Load Projections'!$A$4:$EO$14,((MONTH($A61)-1)*12)+VLOOKUP(AJ$4,$DE$6:$DF$17,2)+1))*$C61</f>
        <v>-390.76312472325634</v>
      </c>
      <c r="AK61" s="1021">
        <f>(VLOOKUP(YEAR($A61),'NY East Load Projections'!$A$4:$EO$14,((MONTH($A61)-1)*12)+VLOOKUP(AK$4,$DE$6:$DF$17,2)+1))*$C61</f>
        <v>-396.98366589452638</v>
      </c>
      <c r="AL61" s="1021">
        <f>(VLOOKUP(YEAR($A61),'NY East Load Projections'!$A$4:$EO$14,((MONTH($A61)-1)*12)+VLOOKUP(AL$4,$DE$6:$DF$17,2)+1))*$C61</f>
        <v>-396.98366589452638</v>
      </c>
      <c r="AM61" s="1021">
        <f>(VLOOKUP(YEAR($A61),'NY East Load Projections'!$A$4:$EO$14,((MONTH($A61)-1)*12)+VLOOKUP(AM$4,$DE$6:$DF$17,2)+1))*$C61</f>
        <v>-396.98366589452638</v>
      </c>
      <c r="AN61" s="1021">
        <f>(VLOOKUP(YEAR($A61),'NY East Load Projections'!$A$4:$EO$14,((MONTH($A61)-1)*12)+VLOOKUP(AN$4,$DE$6:$DF$17,2)+1))*$C61</f>
        <v>-396.98366589452638</v>
      </c>
      <c r="AO61" s="1021">
        <f>(VLOOKUP(YEAR($A61),'NY East Load Projections'!$A$4:$EO$14,((MONTH($A61)-1)*12)+VLOOKUP(AO$4,$DE$6:$DF$17,2)+1))*$C61</f>
        <v>-438.88558954015298</v>
      </c>
      <c r="AP61" s="1021">
        <f>(VLOOKUP(YEAR($A61),'NY East Load Projections'!$A$4:$EO$14,((MONTH($A61)-1)*12)+VLOOKUP(AP$4,$DE$6:$DF$17,2)+1))*$C61</f>
        <v>-438.88558954015298</v>
      </c>
      <c r="AQ61" s="1021">
        <f>(VLOOKUP(YEAR($A61),'NY East Load Projections'!$A$4:$EO$14,((MONTH($A61)-1)*12)+VLOOKUP(AQ$4,$DE$6:$DF$17,2)+1))*$C61</f>
        <v>-438.88558954015298</v>
      </c>
      <c r="AR61" s="1021">
        <f>(VLOOKUP(YEAR($A61),'NY East Load Projections'!$A$4:$EO$14,((MONTH($A61)-1)*12)+VLOOKUP(AR$4,$DE$6:$DF$17,2)+1))*$C61</f>
        <v>-438.88558954015298</v>
      </c>
      <c r="AS61" s="1021">
        <f>(VLOOKUP(YEAR($A61),'NY East Load Projections'!$A$4:$EO$14,((MONTH($A61)-1)*12)+VLOOKUP(AS$4,$DE$6:$DF$17,2)+1))*$C61</f>
        <v>-453.45650342490967</v>
      </c>
      <c r="AT61" s="1021">
        <f>(VLOOKUP(YEAR($A61),'NY East Load Projections'!$A$4:$EO$14,((MONTH($A61)-1)*12)+VLOOKUP(AT$4,$DE$6:$DF$17,2)+1))*$C61</f>
        <v>-453.45650342490967</v>
      </c>
      <c r="AU61" s="1021">
        <f>(VLOOKUP(YEAR($A61),'NY East Load Projections'!$A$4:$EO$14,((MONTH($A61)-1)*12)+VLOOKUP(AU$4,$DE$6:$DF$17,2)+1))*$C61</f>
        <v>-453.45650342490967</v>
      </c>
      <c r="AV61" s="1021">
        <f>(VLOOKUP(YEAR($A61),'NY East Load Projections'!$A$4:$EO$14,((MONTH($A61)-1)*12)+VLOOKUP(AV$4,$DE$6:$DF$17,2)+1))*$C61</f>
        <v>-453.45650342490967</v>
      </c>
      <c r="AW61" s="1021">
        <f>(VLOOKUP(YEAR($A61),'NY East Load Projections'!$A$4:$EO$14,((MONTH($A61)-1)*12)+VLOOKUP(AW$4,$DE$6:$DF$17,2)+1))*$C61</f>
        <v>-430.24022124978313</v>
      </c>
      <c r="AX61" s="1021">
        <f>(VLOOKUP(YEAR($A61),'NY East Load Projections'!$A$4:$EO$14,((MONTH($A61)-1)*12)+VLOOKUP(AX$4,$DE$6:$DF$17,2)+1))*$C61</f>
        <v>-430.24022124978313</v>
      </c>
      <c r="AY61" s="1021">
        <f>(VLOOKUP(YEAR($A61),'NY East Load Projections'!$A$4:$EO$14,((MONTH($A61)-1)*12)+VLOOKUP(AY$4,$DE$6:$DF$17,2)+1))*$C61</f>
        <v>-430.24022124978313</v>
      </c>
      <c r="AZ61" s="1021">
        <f>(VLOOKUP(YEAR($A61),'NY East Load Projections'!$A$4:$EO$14,((MONTH($A61)-1)*12)+VLOOKUP(AZ$4,$DE$6:$DF$17,2)+1))*$C61</f>
        <v>-430.24022124978313</v>
      </c>
      <c r="BA61" s="1021">
        <f>(VLOOKUP(YEAR($A61),'NY East Load Projections'!$A$4:$EO$14,((MONTH($A61)-1)*12)+VLOOKUP(BA$4,$DE$6:$DF$17,2)+1))*$C61</f>
        <v>-407.6988124660067</v>
      </c>
      <c r="BB61" s="1021">
        <f>(VLOOKUP(YEAR($A61),'NY East Load Projections'!$A$4:$EO$14,((MONTH($A61)-1)*12)+VLOOKUP(BB$4,$DE$6:$DF$17,2)+1))*$C61</f>
        <v>-407.6988124660067</v>
      </c>
      <c r="BC61" s="1021">
        <f>(VLOOKUP(YEAR($A61),'NY East Load Projections'!$A$4:$EO$14,((MONTH($A61)-1)*12)+VLOOKUP(BC$4,$DE$6:$DF$17,2)+1))*$C61</f>
        <v>-407.6988124660067</v>
      </c>
      <c r="BD61" s="1021">
        <f>(VLOOKUP(YEAR($A61),'NY East Load Projections'!$A$4:$EO$14,((MONTH($A61)-1)*12)+VLOOKUP(BD$4,$DE$6:$DF$17,2)+1))*$C61</f>
        <v>-407.6988124660067</v>
      </c>
      <c r="BE61" s="1021"/>
      <c r="BF61" s="1021">
        <f>(VLOOKUP(YEAR($A61),'NY East Load Projections'!$A$4:$EO$14,((MONTH($A61)-1)*12)+VLOOKUP(BF$4,$DE$6:$DF$17,2)+1))*$D61</f>
        <v>-390.76312472325634</v>
      </c>
      <c r="BG61" s="1021">
        <f>(VLOOKUP(YEAR($A61),'NY East Load Projections'!$A$4:$EO$14,((MONTH($A61)-1)*12)+VLOOKUP(BG$4,$DE$6:$DF$17,2)+1))*$D61</f>
        <v>-390.76312472325634</v>
      </c>
      <c r="BH61" s="1021">
        <f>(VLOOKUP(YEAR($A61),'NY East Load Projections'!$A$4:$EO$14,((MONTH($A61)-1)*12)+VLOOKUP(BH$4,$DE$6:$DF$17,2)+1))*$D61</f>
        <v>-390.76312472325634</v>
      </c>
      <c r="BI61" s="1021">
        <f>(VLOOKUP(YEAR($A61),'NY East Load Projections'!$A$4:$EO$14,((MONTH($A61)-1)*12)+VLOOKUP(BI$4,$DE$6:$DF$17,2)+1))*$D61</f>
        <v>-390.76312472325634</v>
      </c>
      <c r="BJ61" s="1021">
        <f>(VLOOKUP(YEAR($A61),'NY East Load Projections'!$A$4:$EO$14,((MONTH($A61)-1)*12)+VLOOKUP(BJ$4,$DE$6:$DF$17,2)+1))*$D61</f>
        <v>-396.98366589452638</v>
      </c>
      <c r="BK61" s="1021">
        <f>(VLOOKUP(YEAR($A61),'NY East Load Projections'!$A$4:$EO$14,((MONTH($A61)-1)*12)+VLOOKUP(BK$4,$DE$6:$DF$17,2)+1))*$D61</f>
        <v>-396.98366589452638</v>
      </c>
      <c r="BL61" s="1021">
        <f>(VLOOKUP(YEAR($A61),'NY East Load Projections'!$A$4:$EO$14,((MONTH($A61)-1)*12)+VLOOKUP(BL$4,$DE$6:$DF$17,2)+1))*$D61</f>
        <v>-396.98366589452638</v>
      </c>
      <c r="BM61" s="1021">
        <f>(VLOOKUP(YEAR($A61),'NY East Load Projections'!$A$4:$EO$14,((MONTH($A61)-1)*12)+VLOOKUP(BM$4,$DE$6:$DF$17,2)+1))*$D61</f>
        <v>-396.98366589452638</v>
      </c>
      <c r="BN61" s="1021">
        <f>(VLOOKUP(YEAR($A61),'NY East Load Projections'!$A$4:$EO$14,((MONTH($A61)-1)*12)+VLOOKUP(BN$4,$DE$6:$DF$17,2)+1))*$D61</f>
        <v>-438.88558954015298</v>
      </c>
      <c r="BO61" s="1021">
        <f>(VLOOKUP(YEAR($A61),'NY East Load Projections'!$A$4:$EO$14,((MONTH($A61)-1)*12)+VLOOKUP(BO$4,$DE$6:$DF$17,2)+1))*$D61</f>
        <v>-438.88558954015298</v>
      </c>
      <c r="BP61" s="1021">
        <f>(VLOOKUP(YEAR($A61),'NY East Load Projections'!$A$4:$EO$14,((MONTH($A61)-1)*12)+VLOOKUP(BP$4,$DE$6:$DF$17,2)+1))*$D61</f>
        <v>-438.88558954015298</v>
      </c>
      <c r="BQ61" s="1021">
        <f>(VLOOKUP(YEAR($A61),'NY East Load Projections'!$A$4:$EO$14,((MONTH($A61)-1)*12)+VLOOKUP(BQ$4,$DE$6:$DF$17,2)+1))*$D61</f>
        <v>-438.88558954015298</v>
      </c>
      <c r="BR61" s="1021">
        <f>(VLOOKUP(YEAR($A61),'NY East Load Projections'!$A$4:$EO$14,((MONTH($A61)-1)*12)+VLOOKUP(BR$4,$DE$6:$DF$17,2)+1))*$D61</f>
        <v>-453.45650342490967</v>
      </c>
      <c r="BS61" s="1021">
        <f>(VLOOKUP(YEAR($A61),'NY East Load Projections'!$A$4:$EO$14,((MONTH($A61)-1)*12)+VLOOKUP(BS$4,$DE$6:$DF$17,2)+1))*$D61</f>
        <v>-453.45650342490967</v>
      </c>
      <c r="BT61" s="1021">
        <f>(VLOOKUP(YEAR($A61),'NY East Load Projections'!$A$4:$EO$14,((MONTH($A61)-1)*12)+VLOOKUP(BT$4,$DE$6:$DF$17,2)+1))*$D61</f>
        <v>-453.45650342490967</v>
      </c>
      <c r="BU61" s="1021">
        <f>(VLOOKUP(YEAR($A61),'NY East Load Projections'!$A$4:$EO$14,((MONTH($A61)-1)*12)+VLOOKUP(BU$4,$DE$6:$DF$17,2)+1))*$D61</f>
        <v>-453.45650342490967</v>
      </c>
      <c r="BV61" s="1021">
        <f>(VLOOKUP(YEAR($A61),'NY East Load Projections'!$A$4:$EO$14,((MONTH($A61)-1)*12)+VLOOKUP(BV$4,$DE$6:$DF$17,2)+1))*$D61</f>
        <v>-430.24022124978313</v>
      </c>
      <c r="BW61" s="1021">
        <f>(VLOOKUP(YEAR($A61),'NY East Load Projections'!$A$4:$EO$14,((MONTH($A61)-1)*12)+VLOOKUP(BW$4,$DE$6:$DF$17,2)+1))*$D61</f>
        <v>-430.24022124978313</v>
      </c>
      <c r="BX61" s="1021">
        <f>(VLOOKUP(YEAR($A61),'NY East Load Projections'!$A$4:$EO$14,((MONTH($A61)-1)*12)+VLOOKUP(BX$4,$DE$6:$DF$17,2)+1))*$D61</f>
        <v>-430.24022124978313</v>
      </c>
      <c r="BY61" s="1021">
        <f>(VLOOKUP(YEAR($A61),'NY East Load Projections'!$A$4:$EO$14,((MONTH($A61)-1)*12)+VLOOKUP(BY$4,$DE$6:$DF$17,2)+1))*$D61</f>
        <v>-430.24022124978313</v>
      </c>
      <c r="BZ61" s="1021">
        <f>(VLOOKUP(YEAR($A61),'NY East Load Projections'!$A$4:$EO$14,((MONTH($A61)-1)*12)+VLOOKUP(BZ$4,$DE$6:$DF$17,2)+1))*$D61</f>
        <v>-407.6988124660067</v>
      </c>
      <c r="CA61" s="1021">
        <f>(VLOOKUP(YEAR($A61),'NY East Load Projections'!$A$4:$EO$14,((MONTH($A61)-1)*12)+VLOOKUP(CA$4,$DE$6:$DF$17,2)+1))*$D61</f>
        <v>-407.6988124660067</v>
      </c>
      <c r="CB61" s="1021">
        <f>(VLOOKUP(YEAR($A61),'NY East Load Projections'!$A$4:$EO$14,((MONTH($A61)-1)*12)+VLOOKUP(CB$4,$DE$6:$DF$17,2)+1))*$D61</f>
        <v>-407.6988124660067</v>
      </c>
      <c r="CC61" s="1021">
        <f>(VLOOKUP(YEAR($A61),'NY East Load Projections'!$A$4:$EO$14,((MONTH($A61)-1)*12)+VLOOKUP(CC$4,$DE$6:$DF$17,2)+1))*$D61</f>
        <v>-407.6988124660067</v>
      </c>
      <c r="CE61" s="1021">
        <f>(VLOOKUP(YEAR($A61),'NY East Load Projections'!$A$4:$EO$14,((MONTH($A61)-1)*12)+VLOOKUP(CE$4,$DE$6:$DF$17,2)+1))*$E61</f>
        <v>0</v>
      </c>
      <c r="CF61" s="1021">
        <f>(VLOOKUP(YEAR($A61),'NY East Load Projections'!$A$4:$EO$14,((MONTH($A61)-1)*12)+VLOOKUP(CF$4,$DE$6:$DF$17,2)+1))*$E61</f>
        <v>0</v>
      </c>
      <c r="CG61" s="1021">
        <f>(VLOOKUP(YEAR($A61),'NY East Load Projections'!$A$4:$EO$14,((MONTH($A61)-1)*12)+VLOOKUP(CG$4,$DE$6:$DF$17,2)+1))*$E61</f>
        <v>0</v>
      </c>
      <c r="CH61" s="1021">
        <f>(VLOOKUP(YEAR($A61),'NY East Load Projections'!$A$4:$EO$14,((MONTH($A61)-1)*12)+VLOOKUP(CH$4,$DE$6:$DF$17,2)+1))*$E61</f>
        <v>0</v>
      </c>
      <c r="CI61" s="1021">
        <f>(VLOOKUP(YEAR($A61),'NY East Load Projections'!$A$4:$EO$14,((MONTH($A61)-1)*12)+VLOOKUP(CI$4,$DE$6:$DF$17,2)+1))*$E61</f>
        <v>0</v>
      </c>
      <c r="CJ61" s="1021">
        <f>(VLOOKUP(YEAR($A61),'NY East Load Projections'!$A$4:$EO$14,((MONTH($A61)-1)*12)+VLOOKUP(CJ$4,$DE$6:$DF$17,2)+1))*$E61</f>
        <v>0</v>
      </c>
      <c r="CK61" s="1021">
        <f>(VLOOKUP(YEAR($A61),'NY East Load Projections'!$A$4:$EO$14,((MONTH($A61)-1)*12)+VLOOKUP(CK$4,$DE$6:$DF$17,2)+1))*$E61</f>
        <v>0</v>
      </c>
      <c r="CL61" s="1021">
        <f>(VLOOKUP(YEAR($A61),'NY East Load Projections'!$A$4:$EO$14,((MONTH($A61)-1)*12)+VLOOKUP(CL$4,$DE$6:$DF$17,2)+1))*$E61</f>
        <v>0</v>
      </c>
      <c r="CM61" s="1021">
        <f>(VLOOKUP(YEAR($A61),'NY East Load Projections'!$A$4:$EO$14,((MONTH($A61)-1)*12)+VLOOKUP(CM$4,$DE$6:$DF$17,2)+1))*$E61</f>
        <v>0</v>
      </c>
      <c r="CN61" s="1021">
        <f>(VLOOKUP(YEAR($A61),'NY East Load Projections'!$A$4:$EO$14,((MONTH($A61)-1)*12)+VLOOKUP(CN$4,$DE$6:$DF$17,2)+1))*$E61</f>
        <v>0</v>
      </c>
      <c r="CO61" s="1021">
        <f>(VLOOKUP(YEAR($A61),'NY East Load Projections'!$A$4:$EO$14,((MONTH($A61)-1)*12)+VLOOKUP(CO$4,$DE$6:$DF$17,2)+1))*$E61</f>
        <v>0</v>
      </c>
      <c r="CP61" s="1021">
        <f>(VLOOKUP(YEAR($A61),'NY East Load Projections'!$A$4:$EO$14,((MONTH($A61)-1)*12)+VLOOKUP(CP$4,$DE$6:$DF$17,2)+1))*$E61</f>
        <v>0</v>
      </c>
      <c r="CQ61" s="1021">
        <f>(VLOOKUP(YEAR($A61),'NY East Load Projections'!$A$4:$EO$14,((MONTH($A61)-1)*12)+VLOOKUP(CQ$4,$DE$6:$DF$17,2)+1))*$E61</f>
        <v>0</v>
      </c>
      <c r="CR61" s="1021">
        <f>(VLOOKUP(YEAR($A61),'NY East Load Projections'!$A$4:$EO$14,((MONTH($A61)-1)*12)+VLOOKUP(CR$4,$DE$6:$DF$17,2)+1))*$E61</f>
        <v>0</v>
      </c>
      <c r="CS61" s="1021">
        <f>(VLOOKUP(YEAR($A61),'NY East Load Projections'!$A$4:$EO$14,((MONTH($A61)-1)*12)+VLOOKUP(CS$4,$DE$6:$DF$17,2)+1))*$E61</f>
        <v>0</v>
      </c>
      <c r="CT61" s="1021">
        <f>(VLOOKUP(YEAR($A61),'NY East Load Projections'!$A$4:$EO$14,((MONTH($A61)-1)*12)+VLOOKUP(CT$4,$DE$6:$DF$17,2)+1))*$E61</f>
        <v>0</v>
      </c>
      <c r="CU61" s="1021">
        <f>(VLOOKUP(YEAR($A61),'NY East Load Projections'!$A$4:$EO$14,((MONTH($A61)-1)*12)+VLOOKUP(CU$4,$DE$6:$DF$17,2)+1))*$E61</f>
        <v>0</v>
      </c>
      <c r="CV61" s="1021">
        <f>(VLOOKUP(YEAR($A61),'NY East Load Projections'!$A$4:$EO$14,((MONTH($A61)-1)*12)+VLOOKUP(CV$4,$DE$6:$DF$17,2)+1))*$E61</f>
        <v>0</v>
      </c>
      <c r="CW61" s="1021">
        <f>(VLOOKUP(YEAR($A61),'NY East Load Projections'!$A$4:$EO$14,((MONTH($A61)-1)*12)+VLOOKUP(CW$4,$DE$6:$DF$17,2)+1))*$E61</f>
        <v>0</v>
      </c>
      <c r="CX61" s="1021">
        <f>(VLOOKUP(YEAR($A61),'NY East Load Projections'!$A$4:$EO$14,((MONTH($A61)-1)*12)+VLOOKUP(CX$4,$DE$6:$DF$17,2)+1))*$E61</f>
        <v>0</v>
      </c>
      <c r="CY61" s="1021">
        <f>(VLOOKUP(YEAR($A61),'NY East Load Projections'!$A$4:$EO$14,((MONTH($A61)-1)*12)+VLOOKUP(CY$4,$DE$6:$DF$17,2)+1))*$E61</f>
        <v>0</v>
      </c>
      <c r="CZ61" s="1021">
        <f>(VLOOKUP(YEAR($A61),'NY East Load Projections'!$A$4:$EO$14,((MONTH($A61)-1)*12)+VLOOKUP(CZ$4,$DE$6:$DF$17,2)+1))*$E61</f>
        <v>0</v>
      </c>
      <c r="DA61" s="1021">
        <f>(VLOOKUP(YEAR($A61),'NY East Load Projections'!$A$4:$EO$14,((MONTH($A61)-1)*12)+VLOOKUP(DA$4,$DE$6:$DF$17,2)+1))*$E61</f>
        <v>0</v>
      </c>
      <c r="DB61" s="1021">
        <f>(VLOOKUP(YEAR($A61),'NY East Load Projections'!$A$4:$EO$14,((MONTH($A61)-1)*12)+VLOOKUP(DB$4,$DE$6:$DF$17,2)+1))*$E61</f>
        <v>0</v>
      </c>
      <c r="DH61" s="1009">
        <f t="shared" si="2"/>
        <v>-82844.923559465722</v>
      </c>
      <c r="DI61">
        <f ca="1">CALC!J81</f>
        <v>0.67087747784082374</v>
      </c>
      <c r="DJ61" s="1032">
        <f t="shared" ca="1" si="1"/>
        <v>-55578.793369490202</v>
      </c>
    </row>
    <row r="62" spans="1:114" x14ac:dyDescent="0.25">
      <c r="A62" s="244">
        <v>38596</v>
      </c>
      <c r="B62" s="13">
        <v>21</v>
      </c>
      <c r="C62" s="210">
        <v>4</v>
      </c>
      <c r="D62" s="210">
        <v>4</v>
      </c>
      <c r="E62" s="210">
        <v>1</v>
      </c>
      <c r="F62" s="13">
        <v>30</v>
      </c>
      <c r="H62" s="1021">
        <f>(VLOOKUP(YEAR($A62),'NY East Load Projections'!$A$4:$EO$14,((MONTH($A62)-1)*12)+VLOOKUP(H$4,$DE$6:$DF$17,2)+1))*$B62</f>
        <v>-2100.7215252743144</v>
      </c>
      <c r="I62" s="1021">
        <f>(VLOOKUP(YEAR($A62),'NY East Load Projections'!$A$4:$EO$14,((MONTH($A62)-1)*12)+VLOOKUP(I$4,$DE$6:$DF$17,2)+1))*$B62</f>
        <v>-2100.7215252743144</v>
      </c>
      <c r="J62" s="1021">
        <f>(VLOOKUP(YEAR($A62),'NY East Load Projections'!$A$4:$EO$14,((MONTH($A62)-1)*12)+VLOOKUP(J$4,$DE$6:$DF$17,2)+1))*$B62</f>
        <v>-2100.7215252743144</v>
      </c>
      <c r="K62" s="1021">
        <f>(VLOOKUP(YEAR($A62),'NY East Load Projections'!$A$4:$EO$14,((MONTH($A62)-1)*12)+VLOOKUP(K$4,$DE$6:$DF$17,2)+1))*$B62</f>
        <v>-2100.7215252743144</v>
      </c>
      <c r="L62" s="1021">
        <f>(VLOOKUP(YEAR($A62),'NY East Load Projections'!$A$4:$EO$14,((MONTH($A62)-1)*12)+VLOOKUP(L$4,$DE$6:$DF$17,2)+1))*$B62</f>
        <v>-2287.314576021417</v>
      </c>
      <c r="M62" s="1021">
        <f>(VLOOKUP(YEAR($A62),'NY East Load Projections'!$A$4:$EO$14,((MONTH($A62)-1)*12)+VLOOKUP(M$4,$DE$6:$DF$17,2)+1))*$B62</f>
        <v>-2287.314576021417</v>
      </c>
      <c r="N62" s="1021">
        <f>(VLOOKUP(YEAR($A62),'NY East Load Projections'!$A$4:$EO$14,((MONTH($A62)-1)*12)+VLOOKUP(N$4,$DE$6:$DF$17,2)+1))*$B62</f>
        <v>-2287.314576021417</v>
      </c>
      <c r="O62" s="1021">
        <f>(VLOOKUP(YEAR($A62),'NY East Load Projections'!$A$4:$EO$14,((MONTH($A62)-1)*12)+VLOOKUP(O$4,$DE$6:$DF$17,2)+1))*$B62</f>
        <v>-2287.314576021417</v>
      </c>
      <c r="P62" s="1021">
        <f>(VLOOKUP(YEAR($A62),'NY East Load Projections'!$A$4:$EO$14,((MONTH($A62)-1)*12)+VLOOKUP(P$4,$DE$6:$DF$17,2)+1))*$B62</f>
        <v>-2564.5160807106404</v>
      </c>
      <c r="Q62" s="1021">
        <f>(VLOOKUP(YEAR($A62),'NY East Load Projections'!$A$4:$EO$14,((MONTH($A62)-1)*12)+VLOOKUP(Q$4,$DE$6:$DF$17,2)+1))*$B62</f>
        <v>-2564.5160807106404</v>
      </c>
      <c r="R62" s="1021">
        <f>(VLOOKUP(YEAR($A62),'NY East Load Projections'!$A$4:$EO$14,((MONTH($A62)-1)*12)+VLOOKUP(R$4,$DE$6:$DF$17,2)+1))*$B62</f>
        <v>-2564.5160807106404</v>
      </c>
      <c r="S62" s="1021">
        <f>(VLOOKUP(YEAR($A62),'NY East Load Projections'!$A$4:$EO$14,((MONTH($A62)-1)*12)+VLOOKUP(S$4,$DE$6:$DF$17,2)+1))*$B62</f>
        <v>-2564.5160807106404</v>
      </c>
      <c r="T62" s="1021">
        <f>(VLOOKUP(YEAR($A62),'NY East Load Projections'!$A$4:$EO$14,((MONTH($A62)-1)*12)+VLOOKUP(T$4,$DE$6:$DF$17,2)+1))*$B62</f>
        <v>-2639.8956882719835</v>
      </c>
      <c r="U62" s="1021">
        <f>(VLOOKUP(YEAR($A62),'NY East Load Projections'!$A$4:$EO$14,((MONTH($A62)-1)*12)+VLOOKUP(U$4,$DE$6:$DF$17,2)+1))*$B62</f>
        <v>-2639.8956882719835</v>
      </c>
      <c r="V62" s="1021">
        <f>(VLOOKUP(YEAR($A62),'NY East Load Projections'!$A$4:$EO$14,((MONTH($A62)-1)*12)+VLOOKUP(V$4,$DE$6:$DF$17,2)+1))*$B62</f>
        <v>-2639.8956882719835</v>
      </c>
      <c r="W62" s="1021">
        <f>(VLOOKUP(YEAR($A62),'NY East Load Projections'!$A$4:$EO$14,((MONTH($A62)-1)*12)+VLOOKUP(W$4,$DE$6:$DF$17,2)+1))*$B62</f>
        <v>-2639.8956882719835</v>
      </c>
      <c r="X62" s="1021">
        <f>(VLOOKUP(YEAR($A62),'NY East Load Projections'!$A$4:$EO$14,((MONTH($A62)-1)*12)+VLOOKUP(X$4,$DE$6:$DF$17,2)+1))*$B62</f>
        <v>-2484.1255350614683</v>
      </c>
      <c r="Y62" s="1021">
        <f>(VLOOKUP(YEAR($A62),'NY East Load Projections'!$A$4:$EO$14,((MONTH($A62)-1)*12)+VLOOKUP(Y$4,$DE$6:$DF$17,2)+1))*$B62</f>
        <v>-2484.1255350614683</v>
      </c>
      <c r="Z62" s="1021">
        <f>(VLOOKUP(YEAR($A62),'NY East Load Projections'!$A$4:$EO$14,((MONTH($A62)-1)*12)+VLOOKUP(Z$4,$DE$6:$DF$17,2)+1))*$B62</f>
        <v>-2484.1255350614683</v>
      </c>
      <c r="AA62" s="1021">
        <f>(VLOOKUP(YEAR($A62),'NY East Load Projections'!$A$4:$EO$14,((MONTH($A62)-1)*12)+VLOOKUP(AA$4,$DE$6:$DF$17,2)+1))*$B62</f>
        <v>-2484.1255350614683</v>
      </c>
      <c r="AB62" s="1021">
        <f>(VLOOKUP(YEAR($A62),'NY East Load Projections'!$A$4:$EO$14,((MONTH($A62)-1)*12)+VLOOKUP(AB$4,$DE$6:$DF$17,2)+1))*$B62</f>
        <v>-2192.1958355386728</v>
      </c>
      <c r="AC62" s="1021">
        <f>(VLOOKUP(YEAR($A62),'NY East Load Projections'!$A$4:$EO$14,((MONTH($A62)-1)*12)+VLOOKUP(AC$4,$DE$6:$DF$17,2)+1))*$B62</f>
        <v>-2192.1958355386728</v>
      </c>
      <c r="AD62" s="1021">
        <f>(VLOOKUP(YEAR($A62),'NY East Load Projections'!$A$4:$EO$14,((MONTH($A62)-1)*12)+VLOOKUP(AD$4,$DE$6:$DF$17,2)+1))*$B62</f>
        <v>-2192.1958355386728</v>
      </c>
      <c r="AE62" s="1021">
        <f>(VLOOKUP(YEAR($A62),'NY East Load Projections'!$A$4:$EO$14,((MONTH($A62)-1)*12)+VLOOKUP(AE$4,$DE$6:$DF$17,2)+1))*$B62</f>
        <v>-2192.1958355386728</v>
      </c>
      <c r="AF62" s="1021"/>
      <c r="AG62" s="1021">
        <f>(VLOOKUP(YEAR($A62),'NY East Load Projections'!$A$4:$EO$14,((MONTH($A62)-1)*12)+VLOOKUP(AG$4,$DE$6:$DF$17,2)+1))*$C62</f>
        <v>-417.47877273125482</v>
      </c>
      <c r="AH62" s="1021">
        <f>(VLOOKUP(YEAR($A62),'NY East Load Projections'!$A$4:$EO$14,((MONTH($A62)-1)*12)+VLOOKUP(AH$4,$DE$6:$DF$17,2)+1))*$C62</f>
        <v>-417.47877273125482</v>
      </c>
      <c r="AI62" s="1021">
        <f>(VLOOKUP(YEAR($A62),'NY East Load Projections'!$A$4:$EO$14,((MONTH($A62)-1)*12)+VLOOKUP(AI$4,$DE$6:$DF$17,2)+1))*$C62</f>
        <v>-417.47877273125482</v>
      </c>
      <c r="AJ62" s="1021">
        <f>(VLOOKUP(YEAR($A62),'NY East Load Projections'!$A$4:$EO$14,((MONTH($A62)-1)*12)+VLOOKUP(AJ$4,$DE$6:$DF$17,2)+1))*$C62</f>
        <v>-417.47877273125482</v>
      </c>
      <c r="AK62" s="1021">
        <f>(VLOOKUP(YEAR($A62),'NY East Load Projections'!$A$4:$EO$14,((MONTH($A62)-1)*12)+VLOOKUP(AK$4,$DE$6:$DF$17,2)+1))*$C62</f>
        <v>-420.50867592772261</v>
      </c>
      <c r="AL62" s="1021">
        <f>(VLOOKUP(YEAR($A62),'NY East Load Projections'!$A$4:$EO$14,((MONTH($A62)-1)*12)+VLOOKUP(AL$4,$DE$6:$DF$17,2)+1))*$C62</f>
        <v>-420.50867592772261</v>
      </c>
      <c r="AM62" s="1021">
        <f>(VLOOKUP(YEAR($A62),'NY East Load Projections'!$A$4:$EO$14,((MONTH($A62)-1)*12)+VLOOKUP(AM$4,$DE$6:$DF$17,2)+1))*$C62</f>
        <v>-420.50867592772261</v>
      </c>
      <c r="AN62" s="1021">
        <f>(VLOOKUP(YEAR($A62),'NY East Load Projections'!$A$4:$EO$14,((MONTH($A62)-1)*12)+VLOOKUP(AN$4,$DE$6:$DF$17,2)+1))*$C62</f>
        <v>-420.50867592772261</v>
      </c>
      <c r="AO62" s="1021">
        <f>(VLOOKUP(YEAR($A62),'NY East Load Projections'!$A$4:$EO$14,((MONTH($A62)-1)*12)+VLOOKUP(AO$4,$DE$6:$DF$17,2)+1))*$C62</f>
        <v>-473.60974687694085</v>
      </c>
      <c r="AP62" s="1021">
        <f>(VLOOKUP(YEAR($A62),'NY East Load Projections'!$A$4:$EO$14,((MONTH($A62)-1)*12)+VLOOKUP(AP$4,$DE$6:$DF$17,2)+1))*$C62</f>
        <v>-473.60974687694085</v>
      </c>
      <c r="AQ62" s="1021">
        <f>(VLOOKUP(YEAR($A62),'NY East Load Projections'!$A$4:$EO$14,((MONTH($A62)-1)*12)+VLOOKUP(AQ$4,$DE$6:$DF$17,2)+1))*$C62</f>
        <v>-473.60974687694085</v>
      </c>
      <c r="AR62" s="1021">
        <f>(VLOOKUP(YEAR($A62),'NY East Load Projections'!$A$4:$EO$14,((MONTH($A62)-1)*12)+VLOOKUP(AR$4,$DE$6:$DF$17,2)+1))*$C62</f>
        <v>-473.60974687694085</v>
      </c>
      <c r="AS62" s="1021">
        <f>(VLOOKUP(YEAR($A62),'NY East Load Projections'!$A$4:$EO$14,((MONTH($A62)-1)*12)+VLOOKUP(AS$4,$DE$6:$DF$17,2)+1))*$C62</f>
        <v>-484.64211727513612</v>
      </c>
      <c r="AT62" s="1021">
        <f>(VLOOKUP(YEAR($A62),'NY East Load Projections'!$A$4:$EO$14,((MONTH($A62)-1)*12)+VLOOKUP(AT$4,$DE$6:$DF$17,2)+1))*$C62</f>
        <v>-484.64211727513612</v>
      </c>
      <c r="AU62" s="1021">
        <f>(VLOOKUP(YEAR($A62),'NY East Load Projections'!$A$4:$EO$14,((MONTH($A62)-1)*12)+VLOOKUP(AU$4,$DE$6:$DF$17,2)+1))*$C62</f>
        <v>-484.64211727513612</v>
      </c>
      <c r="AV62" s="1021">
        <f>(VLOOKUP(YEAR($A62),'NY East Load Projections'!$A$4:$EO$14,((MONTH($A62)-1)*12)+VLOOKUP(AV$4,$DE$6:$DF$17,2)+1))*$C62</f>
        <v>-484.64211727513612</v>
      </c>
      <c r="AW62" s="1021">
        <f>(VLOOKUP(YEAR($A62),'NY East Load Projections'!$A$4:$EO$14,((MONTH($A62)-1)*12)+VLOOKUP(AW$4,$DE$6:$DF$17,2)+1))*$C62</f>
        <v>-451.92865322925826</v>
      </c>
      <c r="AX62" s="1021">
        <f>(VLOOKUP(YEAR($A62),'NY East Load Projections'!$A$4:$EO$14,((MONTH($A62)-1)*12)+VLOOKUP(AX$4,$DE$6:$DF$17,2)+1))*$C62</f>
        <v>-451.92865322925826</v>
      </c>
      <c r="AY62" s="1021">
        <f>(VLOOKUP(YEAR($A62),'NY East Load Projections'!$A$4:$EO$14,((MONTH($A62)-1)*12)+VLOOKUP(AY$4,$DE$6:$DF$17,2)+1))*$C62</f>
        <v>-451.92865322925826</v>
      </c>
      <c r="AZ62" s="1021">
        <f>(VLOOKUP(YEAR($A62),'NY East Load Projections'!$A$4:$EO$14,((MONTH($A62)-1)*12)+VLOOKUP(AZ$4,$DE$6:$DF$17,2)+1))*$C62</f>
        <v>-451.92865322925826</v>
      </c>
      <c r="BA62" s="1021">
        <f>(VLOOKUP(YEAR($A62),'NY East Load Projections'!$A$4:$EO$14,((MONTH($A62)-1)*12)+VLOOKUP(BA$4,$DE$6:$DF$17,2)+1))*$C62</f>
        <v>-433.78791894100993</v>
      </c>
      <c r="BB62" s="1021">
        <f>(VLOOKUP(YEAR($A62),'NY East Load Projections'!$A$4:$EO$14,((MONTH($A62)-1)*12)+VLOOKUP(BB$4,$DE$6:$DF$17,2)+1))*$C62</f>
        <v>-433.78791894100993</v>
      </c>
      <c r="BC62" s="1021">
        <f>(VLOOKUP(YEAR($A62),'NY East Load Projections'!$A$4:$EO$14,((MONTH($A62)-1)*12)+VLOOKUP(BC$4,$DE$6:$DF$17,2)+1))*$C62</f>
        <v>-433.78791894100993</v>
      </c>
      <c r="BD62" s="1021">
        <f>(VLOOKUP(YEAR($A62),'NY East Load Projections'!$A$4:$EO$14,((MONTH($A62)-1)*12)+VLOOKUP(BD$4,$DE$6:$DF$17,2)+1))*$C62</f>
        <v>-433.78791894100993</v>
      </c>
      <c r="BE62" s="1021"/>
      <c r="BF62" s="1021">
        <f>(VLOOKUP(YEAR($A62),'NY East Load Projections'!$A$4:$EO$14,((MONTH($A62)-1)*12)+VLOOKUP(BF$4,$DE$6:$DF$17,2)+1))*$D62</f>
        <v>-417.47877273125482</v>
      </c>
      <c r="BG62" s="1021">
        <f>(VLOOKUP(YEAR($A62),'NY East Load Projections'!$A$4:$EO$14,((MONTH($A62)-1)*12)+VLOOKUP(BG$4,$DE$6:$DF$17,2)+1))*$D62</f>
        <v>-417.47877273125482</v>
      </c>
      <c r="BH62" s="1021">
        <f>(VLOOKUP(YEAR($A62),'NY East Load Projections'!$A$4:$EO$14,((MONTH($A62)-1)*12)+VLOOKUP(BH$4,$DE$6:$DF$17,2)+1))*$D62</f>
        <v>-417.47877273125482</v>
      </c>
      <c r="BI62" s="1021">
        <f>(VLOOKUP(YEAR($A62),'NY East Load Projections'!$A$4:$EO$14,((MONTH($A62)-1)*12)+VLOOKUP(BI$4,$DE$6:$DF$17,2)+1))*$D62</f>
        <v>-417.47877273125482</v>
      </c>
      <c r="BJ62" s="1021">
        <f>(VLOOKUP(YEAR($A62),'NY East Load Projections'!$A$4:$EO$14,((MONTH($A62)-1)*12)+VLOOKUP(BJ$4,$DE$6:$DF$17,2)+1))*$D62</f>
        <v>-420.50867592772261</v>
      </c>
      <c r="BK62" s="1021">
        <f>(VLOOKUP(YEAR($A62),'NY East Load Projections'!$A$4:$EO$14,((MONTH($A62)-1)*12)+VLOOKUP(BK$4,$DE$6:$DF$17,2)+1))*$D62</f>
        <v>-420.50867592772261</v>
      </c>
      <c r="BL62" s="1021">
        <f>(VLOOKUP(YEAR($A62),'NY East Load Projections'!$A$4:$EO$14,((MONTH($A62)-1)*12)+VLOOKUP(BL$4,$DE$6:$DF$17,2)+1))*$D62</f>
        <v>-420.50867592772261</v>
      </c>
      <c r="BM62" s="1021">
        <f>(VLOOKUP(YEAR($A62),'NY East Load Projections'!$A$4:$EO$14,((MONTH($A62)-1)*12)+VLOOKUP(BM$4,$DE$6:$DF$17,2)+1))*$D62</f>
        <v>-420.50867592772261</v>
      </c>
      <c r="BN62" s="1021">
        <f>(VLOOKUP(YEAR($A62),'NY East Load Projections'!$A$4:$EO$14,((MONTH($A62)-1)*12)+VLOOKUP(BN$4,$DE$6:$DF$17,2)+1))*$D62</f>
        <v>-473.60974687694085</v>
      </c>
      <c r="BO62" s="1021">
        <f>(VLOOKUP(YEAR($A62),'NY East Load Projections'!$A$4:$EO$14,((MONTH($A62)-1)*12)+VLOOKUP(BO$4,$DE$6:$DF$17,2)+1))*$D62</f>
        <v>-473.60974687694085</v>
      </c>
      <c r="BP62" s="1021">
        <f>(VLOOKUP(YEAR($A62),'NY East Load Projections'!$A$4:$EO$14,((MONTH($A62)-1)*12)+VLOOKUP(BP$4,$DE$6:$DF$17,2)+1))*$D62</f>
        <v>-473.60974687694085</v>
      </c>
      <c r="BQ62" s="1021">
        <f>(VLOOKUP(YEAR($A62),'NY East Load Projections'!$A$4:$EO$14,((MONTH($A62)-1)*12)+VLOOKUP(BQ$4,$DE$6:$DF$17,2)+1))*$D62</f>
        <v>-473.60974687694085</v>
      </c>
      <c r="BR62" s="1021">
        <f>(VLOOKUP(YEAR($A62),'NY East Load Projections'!$A$4:$EO$14,((MONTH($A62)-1)*12)+VLOOKUP(BR$4,$DE$6:$DF$17,2)+1))*$D62</f>
        <v>-484.64211727513612</v>
      </c>
      <c r="BS62" s="1021">
        <f>(VLOOKUP(YEAR($A62),'NY East Load Projections'!$A$4:$EO$14,((MONTH($A62)-1)*12)+VLOOKUP(BS$4,$DE$6:$DF$17,2)+1))*$D62</f>
        <v>-484.64211727513612</v>
      </c>
      <c r="BT62" s="1021">
        <f>(VLOOKUP(YEAR($A62),'NY East Load Projections'!$A$4:$EO$14,((MONTH($A62)-1)*12)+VLOOKUP(BT$4,$DE$6:$DF$17,2)+1))*$D62</f>
        <v>-484.64211727513612</v>
      </c>
      <c r="BU62" s="1021">
        <f>(VLOOKUP(YEAR($A62),'NY East Load Projections'!$A$4:$EO$14,((MONTH($A62)-1)*12)+VLOOKUP(BU$4,$DE$6:$DF$17,2)+1))*$D62</f>
        <v>-484.64211727513612</v>
      </c>
      <c r="BV62" s="1021">
        <f>(VLOOKUP(YEAR($A62),'NY East Load Projections'!$A$4:$EO$14,((MONTH($A62)-1)*12)+VLOOKUP(BV$4,$DE$6:$DF$17,2)+1))*$D62</f>
        <v>-451.92865322925826</v>
      </c>
      <c r="BW62" s="1021">
        <f>(VLOOKUP(YEAR($A62),'NY East Load Projections'!$A$4:$EO$14,((MONTH($A62)-1)*12)+VLOOKUP(BW$4,$DE$6:$DF$17,2)+1))*$D62</f>
        <v>-451.92865322925826</v>
      </c>
      <c r="BX62" s="1021">
        <f>(VLOOKUP(YEAR($A62),'NY East Load Projections'!$A$4:$EO$14,((MONTH($A62)-1)*12)+VLOOKUP(BX$4,$DE$6:$DF$17,2)+1))*$D62</f>
        <v>-451.92865322925826</v>
      </c>
      <c r="BY62" s="1021">
        <f>(VLOOKUP(YEAR($A62),'NY East Load Projections'!$A$4:$EO$14,((MONTH($A62)-1)*12)+VLOOKUP(BY$4,$DE$6:$DF$17,2)+1))*$D62</f>
        <v>-451.92865322925826</v>
      </c>
      <c r="BZ62" s="1021">
        <f>(VLOOKUP(YEAR($A62),'NY East Load Projections'!$A$4:$EO$14,((MONTH($A62)-1)*12)+VLOOKUP(BZ$4,$DE$6:$DF$17,2)+1))*$D62</f>
        <v>-433.78791894100993</v>
      </c>
      <c r="CA62" s="1021">
        <f>(VLOOKUP(YEAR($A62),'NY East Load Projections'!$A$4:$EO$14,((MONTH($A62)-1)*12)+VLOOKUP(CA$4,$DE$6:$DF$17,2)+1))*$D62</f>
        <v>-433.78791894100993</v>
      </c>
      <c r="CB62" s="1021">
        <f>(VLOOKUP(YEAR($A62),'NY East Load Projections'!$A$4:$EO$14,((MONTH($A62)-1)*12)+VLOOKUP(CB$4,$DE$6:$DF$17,2)+1))*$D62</f>
        <v>-433.78791894100993</v>
      </c>
      <c r="CC62" s="1021">
        <f>(VLOOKUP(YEAR($A62),'NY East Load Projections'!$A$4:$EO$14,((MONTH($A62)-1)*12)+VLOOKUP(CC$4,$DE$6:$DF$17,2)+1))*$D62</f>
        <v>-433.78791894100993</v>
      </c>
      <c r="CE62" s="1021">
        <f>(VLOOKUP(YEAR($A62),'NY East Load Projections'!$A$4:$EO$14,((MONTH($A62)-1)*12)+VLOOKUP(CE$4,$DE$6:$DF$17,2)+1))*$E62</f>
        <v>-104.36969318281371</v>
      </c>
      <c r="CF62" s="1021">
        <f>(VLOOKUP(YEAR($A62),'NY East Load Projections'!$A$4:$EO$14,((MONTH($A62)-1)*12)+VLOOKUP(CF$4,$DE$6:$DF$17,2)+1))*$E62</f>
        <v>-104.36969318281371</v>
      </c>
      <c r="CG62" s="1021">
        <f>(VLOOKUP(YEAR($A62),'NY East Load Projections'!$A$4:$EO$14,((MONTH($A62)-1)*12)+VLOOKUP(CG$4,$DE$6:$DF$17,2)+1))*$E62</f>
        <v>-104.36969318281371</v>
      </c>
      <c r="CH62" s="1021">
        <f>(VLOOKUP(YEAR($A62),'NY East Load Projections'!$A$4:$EO$14,((MONTH($A62)-1)*12)+VLOOKUP(CH$4,$DE$6:$DF$17,2)+1))*$E62</f>
        <v>-104.36969318281371</v>
      </c>
      <c r="CI62" s="1021">
        <f>(VLOOKUP(YEAR($A62),'NY East Load Projections'!$A$4:$EO$14,((MONTH($A62)-1)*12)+VLOOKUP(CI$4,$DE$6:$DF$17,2)+1))*$E62</f>
        <v>-105.12716898193065</v>
      </c>
      <c r="CJ62" s="1021">
        <f>(VLOOKUP(YEAR($A62),'NY East Load Projections'!$A$4:$EO$14,((MONTH($A62)-1)*12)+VLOOKUP(CJ$4,$DE$6:$DF$17,2)+1))*$E62</f>
        <v>-105.12716898193065</v>
      </c>
      <c r="CK62" s="1021">
        <f>(VLOOKUP(YEAR($A62),'NY East Load Projections'!$A$4:$EO$14,((MONTH($A62)-1)*12)+VLOOKUP(CK$4,$DE$6:$DF$17,2)+1))*$E62</f>
        <v>-105.12716898193065</v>
      </c>
      <c r="CL62" s="1021">
        <f>(VLOOKUP(YEAR($A62),'NY East Load Projections'!$A$4:$EO$14,((MONTH($A62)-1)*12)+VLOOKUP(CL$4,$DE$6:$DF$17,2)+1))*$E62</f>
        <v>-105.12716898193065</v>
      </c>
      <c r="CM62" s="1021">
        <f>(VLOOKUP(YEAR($A62),'NY East Load Projections'!$A$4:$EO$14,((MONTH($A62)-1)*12)+VLOOKUP(CM$4,$DE$6:$DF$17,2)+1))*$E62</f>
        <v>-118.40243671923521</v>
      </c>
      <c r="CN62" s="1021">
        <f>(VLOOKUP(YEAR($A62),'NY East Load Projections'!$A$4:$EO$14,((MONTH($A62)-1)*12)+VLOOKUP(CN$4,$DE$6:$DF$17,2)+1))*$E62</f>
        <v>-118.40243671923521</v>
      </c>
      <c r="CO62" s="1021">
        <f>(VLOOKUP(YEAR($A62),'NY East Load Projections'!$A$4:$EO$14,((MONTH($A62)-1)*12)+VLOOKUP(CO$4,$DE$6:$DF$17,2)+1))*$E62</f>
        <v>-118.40243671923521</v>
      </c>
      <c r="CP62" s="1021">
        <f>(VLOOKUP(YEAR($A62),'NY East Load Projections'!$A$4:$EO$14,((MONTH($A62)-1)*12)+VLOOKUP(CP$4,$DE$6:$DF$17,2)+1))*$E62</f>
        <v>-118.40243671923521</v>
      </c>
      <c r="CQ62" s="1021">
        <f>(VLOOKUP(YEAR($A62),'NY East Load Projections'!$A$4:$EO$14,((MONTH($A62)-1)*12)+VLOOKUP(CQ$4,$DE$6:$DF$17,2)+1))*$E62</f>
        <v>-121.16052931878403</v>
      </c>
      <c r="CR62" s="1021">
        <f>(VLOOKUP(YEAR($A62),'NY East Load Projections'!$A$4:$EO$14,((MONTH($A62)-1)*12)+VLOOKUP(CR$4,$DE$6:$DF$17,2)+1))*$E62</f>
        <v>-121.16052931878403</v>
      </c>
      <c r="CS62" s="1021">
        <f>(VLOOKUP(YEAR($A62),'NY East Load Projections'!$A$4:$EO$14,((MONTH($A62)-1)*12)+VLOOKUP(CS$4,$DE$6:$DF$17,2)+1))*$E62</f>
        <v>-121.16052931878403</v>
      </c>
      <c r="CT62" s="1021">
        <f>(VLOOKUP(YEAR($A62),'NY East Load Projections'!$A$4:$EO$14,((MONTH($A62)-1)*12)+VLOOKUP(CT$4,$DE$6:$DF$17,2)+1))*$E62</f>
        <v>-121.16052931878403</v>
      </c>
      <c r="CU62" s="1021">
        <f>(VLOOKUP(YEAR($A62),'NY East Load Projections'!$A$4:$EO$14,((MONTH($A62)-1)*12)+VLOOKUP(CU$4,$DE$6:$DF$17,2)+1))*$E62</f>
        <v>-112.98216330731456</v>
      </c>
      <c r="CV62" s="1021">
        <f>(VLOOKUP(YEAR($A62),'NY East Load Projections'!$A$4:$EO$14,((MONTH($A62)-1)*12)+VLOOKUP(CV$4,$DE$6:$DF$17,2)+1))*$E62</f>
        <v>-112.98216330731456</v>
      </c>
      <c r="CW62" s="1021">
        <f>(VLOOKUP(YEAR($A62),'NY East Load Projections'!$A$4:$EO$14,((MONTH($A62)-1)*12)+VLOOKUP(CW$4,$DE$6:$DF$17,2)+1))*$E62</f>
        <v>-112.98216330731456</v>
      </c>
      <c r="CX62" s="1021">
        <f>(VLOOKUP(YEAR($A62),'NY East Load Projections'!$A$4:$EO$14,((MONTH($A62)-1)*12)+VLOOKUP(CX$4,$DE$6:$DF$17,2)+1))*$E62</f>
        <v>-112.98216330731456</v>
      </c>
      <c r="CY62" s="1021">
        <f>(VLOOKUP(YEAR($A62),'NY East Load Projections'!$A$4:$EO$14,((MONTH($A62)-1)*12)+VLOOKUP(CY$4,$DE$6:$DF$17,2)+1))*$E62</f>
        <v>-108.44697973525248</v>
      </c>
      <c r="CZ62" s="1021">
        <f>(VLOOKUP(YEAR($A62),'NY East Load Projections'!$A$4:$EO$14,((MONTH($A62)-1)*12)+VLOOKUP(CZ$4,$DE$6:$DF$17,2)+1))*$E62</f>
        <v>-108.44697973525248</v>
      </c>
      <c r="DA62" s="1021">
        <f>(VLOOKUP(YEAR($A62),'NY East Load Projections'!$A$4:$EO$14,((MONTH($A62)-1)*12)+VLOOKUP(DA$4,$DE$6:$DF$17,2)+1))*$E62</f>
        <v>-108.44697973525248</v>
      </c>
      <c r="DB62" s="1021">
        <f>(VLOOKUP(YEAR($A62),'NY East Load Projections'!$A$4:$EO$14,((MONTH($A62)-1)*12)+VLOOKUP(DB$4,$DE$6:$DF$17,2)+1))*$E62</f>
        <v>-108.44697973525248</v>
      </c>
      <c r="DH62" s="1009">
        <f t="shared" si="2"/>
        <v>-81212.679928345955</v>
      </c>
      <c r="DI62">
        <f ca="1">CALC!J82</f>
        <v>0.66683762127099377</v>
      </c>
      <c r="DJ62" s="1032">
        <f t="shared" ca="1" si="1"/>
        <v>-54155.670300460799</v>
      </c>
    </row>
    <row r="63" spans="1:114" x14ac:dyDescent="0.25">
      <c r="A63" s="244">
        <v>38626</v>
      </c>
      <c r="B63" s="13">
        <v>21</v>
      </c>
      <c r="C63" s="210">
        <v>5</v>
      </c>
      <c r="D63" s="210">
        <v>5</v>
      </c>
      <c r="E63" s="210">
        <v>0</v>
      </c>
      <c r="F63" s="13">
        <v>31</v>
      </c>
      <c r="H63" s="1021">
        <f>(VLOOKUP(YEAR($A63),'NY East Load Projections'!$A$4:$EO$14,((MONTH($A63)-1)*12)+VLOOKUP(H$4,$DE$6:$DF$17,2)+1))*$B63</f>
        <v>-1958.273941543318</v>
      </c>
      <c r="I63" s="1021">
        <f>(VLOOKUP(YEAR($A63),'NY East Load Projections'!$A$4:$EO$14,((MONTH($A63)-1)*12)+VLOOKUP(I$4,$DE$6:$DF$17,2)+1))*$B63</f>
        <v>-1958.273941543318</v>
      </c>
      <c r="J63" s="1021">
        <f>(VLOOKUP(YEAR($A63),'NY East Load Projections'!$A$4:$EO$14,((MONTH($A63)-1)*12)+VLOOKUP(J$4,$DE$6:$DF$17,2)+1))*$B63</f>
        <v>-1958.273941543318</v>
      </c>
      <c r="K63" s="1021">
        <f>(VLOOKUP(YEAR($A63),'NY East Load Projections'!$A$4:$EO$14,((MONTH($A63)-1)*12)+VLOOKUP(K$4,$DE$6:$DF$17,2)+1))*$B63</f>
        <v>-1958.273941543318</v>
      </c>
      <c r="L63" s="1021">
        <f>(VLOOKUP(YEAR($A63),'NY East Load Projections'!$A$4:$EO$14,((MONTH($A63)-1)*12)+VLOOKUP(L$4,$DE$6:$DF$17,2)+1))*$B63</f>
        <v>-2163.7443720549077</v>
      </c>
      <c r="M63" s="1021">
        <f>(VLOOKUP(YEAR($A63),'NY East Load Projections'!$A$4:$EO$14,((MONTH($A63)-1)*12)+VLOOKUP(M$4,$DE$6:$DF$17,2)+1))*$B63</f>
        <v>-2163.7443720549077</v>
      </c>
      <c r="N63" s="1021">
        <f>(VLOOKUP(YEAR($A63),'NY East Load Projections'!$A$4:$EO$14,((MONTH($A63)-1)*12)+VLOOKUP(N$4,$DE$6:$DF$17,2)+1))*$B63</f>
        <v>-2163.7443720549077</v>
      </c>
      <c r="O63" s="1021">
        <f>(VLOOKUP(YEAR($A63),'NY East Load Projections'!$A$4:$EO$14,((MONTH($A63)-1)*12)+VLOOKUP(O$4,$DE$6:$DF$17,2)+1))*$B63</f>
        <v>-2163.7443720549077</v>
      </c>
      <c r="P63" s="1021">
        <f>(VLOOKUP(YEAR($A63),'NY East Load Projections'!$A$4:$EO$14,((MONTH($A63)-1)*12)+VLOOKUP(P$4,$DE$6:$DF$17,2)+1))*$B63</f>
        <v>-2417.8572151999283</v>
      </c>
      <c r="Q63" s="1021">
        <f>(VLOOKUP(YEAR($A63),'NY East Load Projections'!$A$4:$EO$14,((MONTH($A63)-1)*12)+VLOOKUP(Q$4,$DE$6:$DF$17,2)+1))*$B63</f>
        <v>-2417.8572151999283</v>
      </c>
      <c r="R63" s="1021">
        <f>(VLOOKUP(YEAR($A63),'NY East Load Projections'!$A$4:$EO$14,((MONTH($A63)-1)*12)+VLOOKUP(R$4,$DE$6:$DF$17,2)+1))*$B63</f>
        <v>-2417.8572151999283</v>
      </c>
      <c r="S63" s="1021">
        <f>(VLOOKUP(YEAR($A63),'NY East Load Projections'!$A$4:$EO$14,((MONTH($A63)-1)*12)+VLOOKUP(S$4,$DE$6:$DF$17,2)+1))*$B63</f>
        <v>-2417.8572151999283</v>
      </c>
      <c r="T63" s="1021">
        <f>(VLOOKUP(YEAR($A63),'NY East Load Projections'!$A$4:$EO$14,((MONTH($A63)-1)*12)+VLOOKUP(T$4,$DE$6:$DF$17,2)+1))*$B63</f>
        <v>-2493.3332919719683</v>
      </c>
      <c r="U63" s="1021">
        <f>(VLOOKUP(YEAR($A63),'NY East Load Projections'!$A$4:$EO$14,((MONTH($A63)-1)*12)+VLOOKUP(U$4,$DE$6:$DF$17,2)+1))*$B63</f>
        <v>-2493.3332919719683</v>
      </c>
      <c r="V63" s="1021">
        <f>(VLOOKUP(YEAR($A63),'NY East Load Projections'!$A$4:$EO$14,((MONTH($A63)-1)*12)+VLOOKUP(V$4,$DE$6:$DF$17,2)+1))*$B63</f>
        <v>-2493.3332919719683</v>
      </c>
      <c r="W63" s="1021">
        <f>(VLOOKUP(YEAR($A63),'NY East Load Projections'!$A$4:$EO$14,((MONTH($A63)-1)*12)+VLOOKUP(W$4,$DE$6:$DF$17,2)+1))*$B63</f>
        <v>-2493.3332919719683</v>
      </c>
      <c r="X63" s="1021">
        <f>(VLOOKUP(YEAR($A63),'NY East Load Projections'!$A$4:$EO$14,((MONTH($A63)-1)*12)+VLOOKUP(X$4,$DE$6:$DF$17,2)+1))*$B63</f>
        <v>-2337.0720907292507</v>
      </c>
      <c r="Y63" s="1021">
        <f>(VLOOKUP(YEAR($A63),'NY East Load Projections'!$A$4:$EO$14,((MONTH($A63)-1)*12)+VLOOKUP(Y$4,$DE$6:$DF$17,2)+1))*$B63</f>
        <v>-2337.0720907292507</v>
      </c>
      <c r="Z63" s="1021">
        <f>(VLOOKUP(YEAR($A63),'NY East Load Projections'!$A$4:$EO$14,((MONTH($A63)-1)*12)+VLOOKUP(Z$4,$DE$6:$DF$17,2)+1))*$B63</f>
        <v>-2337.0720907292507</v>
      </c>
      <c r="AA63" s="1021">
        <f>(VLOOKUP(YEAR($A63),'NY East Load Projections'!$A$4:$EO$14,((MONTH($A63)-1)*12)+VLOOKUP(AA$4,$DE$6:$DF$17,2)+1))*$B63</f>
        <v>-2337.0720907292507</v>
      </c>
      <c r="AB63" s="1021">
        <f>(VLOOKUP(YEAR($A63),'NY East Load Projections'!$A$4:$EO$14,((MONTH($A63)-1)*12)+VLOOKUP(AB$4,$DE$6:$DF$17,2)+1))*$B63</f>
        <v>-2058.4715784477003</v>
      </c>
      <c r="AC63" s="1021">
        <f>(VLOOKUP(YEAR($A63),'NY East Load Projections'!$A$4:$EO$14,((MONTH($A63)-1)*12)+VLOOKUP(AC$4,$DE$6:$DF$17,2)+1))*$B63</f>
        <v>-2058.4715784477003</v>
      </c>
      <c r="AD63" s="1021">
        <f>(VLOOKUP(YEAR($A63),'NY East Load Projections'!$A$4:$EO$14,((MONTH($A63)-1)*12)+VLOOKUP(AD$4,$DE$6:$DF$17,2)+1))*$B63</f>
        <v>-2058.4715784477003</v>
      </c>
      <c r="AE63" s="1021">
        <f>(VLOOKUP(YEAR($A63),'NY East Load Projections'!$A$4:$EO$14,((MONTH($A63)-1)*12)+VLOOKUP(AE$4,$DE$6:$DF$17,2)+1))*$B63</f>
        <v>-2058.4715784477003</v>
      </c>
      <c r="AF63" s="1021"/>
      <c r="AG63" s="1021">
        <f>(VLOOKUP(YEAR($A63),'NY East Load Projections'!$A$4:$EO$14,((MONTH($A63)-1)*12)+VLOOKUP(AG$4,$DE$6:$DF$17,2)+1))*$C63</f>
        <v>-485.82274869995354</v>
      </c>
      <c r="AH63" s="1021">
        <f>(VLOOKUP(YEAR($A63),'NY East Load Projections'!$A$4:$EO$14,((MONTH($A63)-1)*12)+VLOOKUP(AH$4,$DE$6:$DF$17,2)+1))*$C63</f>
        <v>-485.82274869995354</v>
      </c>
      <c r="AI63" s="1021">
        <f>(VLOOKUP(YEAR($A63),'NY East Load Projections'!$A$4:$EO$14,((MONTH($A63)-1)*12)+VLOOKUP(AI$4,$DE$6:$DF$17,2)+1))*$C63</f>
        <v>-485.82274869995354</v>
      </c>
      <c r="AJ63" s="1021">
        <f>(VLOOKUP(YEAR($A63),'NY East Load Projections'!$A$4:$EO$14,((MONTH($A63)-1)*12)+VLOOKUP(AJ$4,$DE$6:$DF$17,2)+1))*$C63</f>
        <v>-485.82274869995354</v>
      </c>
      <c r="AK63" s="1021">
        <f>(VLOOKUP(YEAR($A63),'NY East Load Projections'!$A$4:$EO$14,((MONTH($A63)-1)*12)+VLOOKUP(AK$4,$DE$6:$DF$17,2)+1))*$C63</f>
        <v>-492.55597769406558</v>
      </c>
      <c r="AL63" s="1021">
        <f>(VLOOKUP(YEAR($A63),'NY East Load Projections'!$A$4:$EO$14,((MONTH($A63)-1)*12)+VLOOKUP(AL$4,$DE$6:$DF$17,2)+1))*$C63</f>
        <v>-492.55597769406558</v>
      </c>
      <c r="AM63" s="1021">
        <f>(VLOOKUP(YEAR($A63),'NY East Load Projections'!$A$4:$EO$14,((MONTH($A63)-1)*12)+VLOOKUP(AM$4,$DE$6:$DF$17,2)+1))*$C63</f>
        <v>-492.55597769406558</v>
      </c>
      <c r="AN63" s="1021">
        <f>(VLOOKUP(YEAR($A63),'NY East Load Projections'!$A$4:$EO$14,((MONTH($A63)-1)*12)+VLOOKUP(AN$4,$DE$6:$DF$17,2)+1))*$C63</f>
        <v>-492.55597769406558</v>
      </c>
      <c r="AO63" s="1021">
        <f>(VLOOKUP(YEAR($A63),'NY East Load Projections'!$A$4:$EO$14,((MONTH($A63)-1)*12)+VLOOKUP(AO$4,$DE$6:$DF$17,2)+1))*$C63</f>
        <v>-545.00970867575688</v>
      </c>
      <c r="AP63" s="1021">
        <f>(VLOOKUP(YEAR($A63),'NY East Load Projections'!$A$4:$EO$14,((MONTH($A63)-1)*12)+VLOOKUP(AP$4,$DE$6:$DF$17,2)+1))*$C63</f>
        <v>-545.00970867575688</v>
      </c>
      <c r="AQ63" s="1021">
        <f>(VLOOKUP(YEAR($A63),'NY East Load Projections'!$A$4:$EO$14,((MONTH($A63)-1)*12)+VLOOKUP(AQ$4,$DE$6:$DF$17,2)+1))*$C63</f>
        <v>-545.00970867575688</v>
      </c>
      <c r="AR63" s="1021">
        <f>(VLOOKUP(YEAR($A63),'NY East Load Projections'!$A$4:$EO$14,((MONTH($A63)-1)*12)+VLOOKUP(AR$4,$DE$6:$DF$17,2)+1))*$C63</f>
        <v>-545.00970867575688</v>
      </c>
      <c r="AS63" s="1021">
        <f>(VLOOKUP(YEAR($A63),'NY East Load Projections'!$A$4:$EO$14,((MONTH($A63)-1)*12)+VLOOKUP(AS$4,$DE$6:$DF$17,2)+1))*$C63</f>
        <v>-559.05716796410638</v>
      </c>
      <c r="AT63" s="1021">
        <f>(VLOOKUP(YEAR($A63),'NY East Load Projections'!$A$4:$EO$14,((MONTH($A63)-1)*12)+VLOOKUP(AT$4,$DE$6:$DF$17,2)+1))*$C63</f>
        <v>-559.05716796410638</v>
      </c>
      <c r="AU63" s="1021">
        <f>(VLOOKUP(YEAR($A63),'NY East Load Projections'!$A$4:$EO$14,((MONTH($A63)-1)*12)+VLOOKUP(AU$4,$DE$6:$DF$17,2)+1))*$C63</f>
        <v>-559.05716796410638</v>
      </c>
      <c r="AV63" s="1021">
        <f>(VLOOKUP(YEAR($A63),'NY East Load Projections'!$A$4:$EO$14,((MONTH($A63)-1)*12)+VLOOKUP(AV$4,$DE$6:$DF$17,2)+1))*$C63</f>
        <v>-559.05716796410638</v>
      </c>
      <c r="AW63" s="1021">
        <f>(VLOOKUP(YEAR($A63),'NY East Load Projections'!$A$4:$EO$14,((MONTH($A63)-1)*12)+VLOOKUP(AW$4,$DE$6:$DF$17,2)+1))*$C63</f>
        <v>-522.08664970751568</v>
      </c>
      <c r="AX63" s="1021">
        <f>(VLOOKUP(YEAR($A63),'NY East Load Projections'!$A$4:$EO$14,((MONTH($A63)-1)*12)+VLOOKUP(AX$4,$DE$6:$DF$17,2)+1))*$C63</f>
        <v>-522.08664970751568</v>
      </c>
      <c r="AY63" s="1021">
        <f>(VLOOKUP(YEAR($A63),'NY East Load Projections'!$A$4:$EO$14,((MONTH($A63)-1)*12)+VLOOKUP(AY$4,$DE$6:$DF$17,2)+1))*$C63</f>
        <v>-522.08664970751568</v>
      </c>
      <c r="AZ63" s="1021">
        <f>(VLOOKUP(YEAR($A63),'NY East Load Projections'!$A$4:$EO$14,((MONTH($A63)-1)*12)+VLOOKUP(AZ$4,$DE$6:$DF$17,2)+1))*$C63</f>
        <v>-522.08664970751568</v>
      </c>
      <c r="BA63" s="1021">
        <f>(VLOOKUP(YEAR($A63),'NY East Load Projections'!$A$4:$EO$14,((MONTH($A63)-1)*12)+VLOOKUP(BA$4,$DE$6:$DF$17,2)+1))*$C63</f>
        <v>-497.33663588268342</v>
      </c>
      <c r="BB63" s="1021">
        <f>(VLOOKUP(YEAR($A63),'NY East Load Projections'!$A$4:$EO$14,((MONTH($A63)-1)*12)+VLOOKUP(BB$4,$DE$6:$DF$17,2)+1))*$C63</f>
        <v>-497.33663588268342</v>
      </c>
      <c r="BC63" s="1021">
        <f>(VLOOKUP(YEAR($A63),'NY East Load Projections'!$A$4:$EO$14,((MONTH($A63)-1)*12)+VLOOKUP(BC$4,$DE$6:$DF$17,2)+1))*$C63</f>
        <v>-497.33663588268342</v>
      </c>
      <c r="BD63" s="1021">
        <f>(VLOOKUP(YEAR($A63),'NY East Load Projections'!$A$4:$EO$14,((MONTH($A63)-1)*12)+VLOOKUP(BD$4,$DE$6:$DF$17,2)+1))*$C63</f>
        <v>-497.33663588268342</v>
      </c>
      <c r="BE63" s="1021"/>
      <c r="BF63" s="1021">
        <f>(VLOOKUP(YEAR($A63),'NY East Load Projections'!$A$4:$EO$14,((MONTH($A63)-1)*12)+VLOOKUP(BF$4,$DE$6:$DF$17,2)+1))*$D63</f>
        <v>-485.82274869995354</v>
      </c>
      <c r="BG63" s="1021">
        <f>(VLOOKUP(YEAR($A63),'NY East Load Projections'!$A$4:$EO$14,((MONTH($A63)-1)*12)+VLOOKUP(BG$4,$DE$6:$DF$17,2)+1))*$D63</f>
        <v>-485.82274869995354</v>
      </c>
      <c r="BH63" s="1021">
        <f>(VLOOKUP(YEAR($A63),'NY East Load Projections'!$A$4:$EO$14,((MONTH($A63)-1)*12)+VLOOKUP(BH$4,$DE$6:$DF$17,2)+1))*$D63</f>
        <v>-485.82274869995354</v>
      </c>
      <c r="BI63" s="1021">
        <f>(VLOOKUP(YEAR($A63),'NY East Load Projections'!$A$4:$EO$14,((MONTH($A63)-1)*12)+VLOOKUP(BI$4,$DE$6:$DF$17,2)+1))*$D63</f>
        <v>-485.82274869995354</v>
      </c>
      <c r="BJ63" s="1021">
        <f>(VLOOKUP(YEAR($A63),'NY East Load Projections'!$A$4:$EO$14,((MONTH($A63)-1)*12)+VLOOKUP(BJ$4,$DE$6:$DF$17,2)+1))*$D63</f>
        <v>-492.55597769406558</v>
      </c>
      <c r="BK63" s="1021">
        <f>(VLOOKUP(YEAR($A63),'NY East Load Projections'!$A$4:$EO$14,((MONTH($A63)-1)*12)+VLOOKUP(BK$4,$DE$6:$DF$17,2)+1))*$D63</f>
        <v>-492.55597769406558</v>
      </c>
      <c r="BL63" s="1021">
        <f>(VLOOKUP(YEAR($A63),'NY East Load Projections'!$A$4:$EO$14,((MONTH($A63)-1)*12)+VLOOKUP(BL$4,$DE$6:$DF$17,2)+1))*$D63</f>
        <v>-492.55597769406558</v>
      </c>
      <c r="BM63" s="1021">
        <f>(VLOOKUP(YEAR($A63),'NY East Load Projections'!$A$4:$EO$14,((MONTH($A63)-1)*12)+VLOOKUP(BM$4,$DE$6:$DF$17,2)+1))*$D63</f>
        <v>-492.55597769406558</v>
      </c>
      <c r="BN63" s="1021">
        <f>(VLOOKUP(YEAR($A63),'NY East Load Projections'!$A$4:$EO$14,((MONTH($A63)-1)*12)+VLOOKUP(BN$4,$DE$6:$DF$17,2)+1))*$D63</f>
        <v>-545.00970867575688</v>
      </c>
      <c r="BO63" s="1021">
        <f>(VLOOKUP(YEAR($A63),'NY East Load Projections'!$A$4:$EO$14,((MONTH($A63)-1)*12)+VLOOKUP(BO$4,$DE$6:$DF$17,2)+1))*$D63</f>
        <v>-545.00970867575688</v>
      </c>
      <c r="BP63" s="1021">
        <f>(VLOOKUP(YEAR($A63),'NY East Load Projections'!$A$4:$EO$14,((MONTH($A63)-1)*12)+VLOOKUP(BP$4,$DE$6:$DF$17,2)+1))*$D63</f>
        <v>-545.00970867575688</v>
      </c>
      <c r="BQ63" s="1021">
        <f>(VLOOKUP(YEAR($A63),'NY East Load Projections'!$A$4:$EO$14,((MONTH($A63)-1)*12)+VLOOKUP(BQ$4,$DE$6:$DF$17,2)+1))*$D63</f>
        <v>-545.00970867575688</v>
      </c>
      <c r="BR63" s="1021">
        <f>(VLOOKUP(YEAR($A63),'NY East Load Projections'!$A$4:$EO$14,((MONTH($A63)-1)*12)+VLOOKUP(BR$4,$DE$6:$DF$17,2)+1))*$D63</f>
        <v>-559.05716796410638</v>
      </c>
      <c r="BS63" s="1021">
        <f>(VLOOKUP(YEAR($A63),'NY East Load Projections'!$A$4:$EO$14,((MONTH($A63)-1)*12)+VLOOKUP(BS$4,$DE$6:$DF$17,2)+1))*$D63</f>
        <v>-559.05716796410638</v>
      </c>
      <c r="BT63" s="1021">
        <f>(VLOOKUP(YEAR($A63),'NY East Load Projections'!$A$4:$EO$14,((MONTH($A63)-1)*12)+VLOOKUP(BT$4,$DE$6:$DF$17,2)+1))*$D63</f>
        <v>-559.05716796410638</v>
      </c>
      <c r="BU63" s="1021">
        <f>(VLOOKUP(YEAR($A63),'NY East Load Projections'!$A$4:$EO$14,((MONTH($A63)-1)*12)+VLOOKUP(BU$4,$DE$6:$DF$17,2)+1))*$D63</f>
        <v>-559.05716796410638</v>
      </c>
      <c r="BV63" s="1021">
        <f>(VLOOKUP(YEAR($A63),'NY East Load Projections'!$A$4:$EO$14,((MONTH($A63)-1)*12)+VLOOKUP(BV$4,$DE$6:$DF$17,2)+1))*$D63</f>
        <v>-522.08664970751568</v>
      </c>
      <c r="BW63" s="1021">
        <f>(VLOOKUP(YEAR($A63),'NY East Load Projections'!$A$4:$EO$14,((MONTH($A63)-1)*12)+VLOOKUP(BW$4,$DE$6:$DF$17,2)+1))*$D63</f>
        <v>-522.08664970751568</v>
      </c>
      <c r="BX63" s="1021">
        <f>(VLOOKUP(YEAR($A63),'NY East Load Projections'!$A$4:$EO$14,((MONTH($A63)-1)*12)+VLOOKUP(BX$4,$DE$6:$DF$17,2)+1))*$D63</f>
        <v>-522.08664970751568</v>
      </c>
      <c r="BY63" s="1021">
        <f>(VLOOKUP(YEAR($A63),'NY East Load Projections'!$A$4:$EO$14,((MONTH($A63)-1)*12)+VLOOKUP(BY$4,$DE$6:$DF$17,2)+1))*$D63</f>
        <v>-522.08664970751568</v>
      </c>
      <c r="BZ63" s="1021">
        <f>(VLOOKUP(YEAR($A63),'NY East Load Projections'!$A$4:$EO$14,((MONTH($A63)-1)*12)+VLOOKUP(BZ$4,$DE$6:$DF$17,2)+1))*$D63</f>
        <v>-497.33663588268342</v>
      </c>
      <c r="CA63" s="1021">
        <f>(VLOOKUP(YEAR($A63),'NY East Load Projections'!$A$4:$EO$14,((MONTH($A63)-1)*12)+VLOOKUP(CA$4,$DE$6:$DF$17,2)+1))*$D63</f>
        <v>-497.33663588268342</v>
      </c>
      <c r="CB63" s="1021">
        <f>(VLOOKUP(YEAR($A63),'NY East Load Projections'!$A$4:$EO$14,((MONTH($A63)-1)*12)+VLOOKUP(CB$4,$DE$6:$DF$17,2)+1))*$D63</f>
        <v>-497.33663588268342</v>
      </c>
      <c r="CC63" s="1021">
        <f>(VLOOKUP(YEAR($A63),'NY East Load Projections'!$A$4:$EO$14,((MONTH($A63)-1)*12)+VLOOKUP(CC$4,$DE$6:$DF$17,2)+1))*$D63</f>
        <v>-497.33663588268342</v>
      </c>
      <c r="CE63" s="1021">
        <f>(VLOOKUP(YEAR($A63),'NY East Load Projections'!$A$4:$EO$14,((MONTH($A63)-1)*12)+VLOOKUP(CE$4,$DE$6:$DF$17,2)+1))*$E63</f>
        <v>0</v>
      </c>
      <c r="CF63" s="1021">
        <f>(VLOOKUP(YEAR($A63),'NY East Load Projections'!$A$4:$EO$14,((MONTH($A63)-1)*12)+VLOOKUP(CF$4,$DE$6:$DF$17,2)+1))*$E63</f>
        <v>0</v>
      </c>
      <c r="CG63" s="1021">
        <f>(VLOOKUP(YEAR($A63),'NY East Load Projections'!$A$4:$EO$14,((MONTH($A63)-1)*12)+VLOOKUP(CG$4,$DE$6:$DF$17,2)+1))*$E63</f>
        <v>0</v>
      </c>
      <c r="CH63" s="1021">
        <f>(VLOOKUP(YEAR($A63),'NY East Load Projections'!$A$4:$EO$14,((MONTH($A63)-1)*12)+VLOOKUP(CH$4,$DE$6:$DF$17,2)+1))*$E63</f>
        <v>0</v>
      </c>
      <c r="CI63" s="1021">
        <f>(VLOOKUP(YEAR($A63),'NY East Load Projections'!$A$4:$EO$14,((MONTH($A63)-1)*12)+VLOOKUP(CI$4,$DE$6:$DF$17,2)+1))*$E63</f>
        <v>0</v>
      </c>
      <c r="CJ63" s="1021">
        <f>(VLOOKUP(YEAR($A63),'NY East Load Projections'!$A$4:$EO$14,((MONTH($A63)-1)*12)+VLOOKUP(CJ$4,$DE$6:$DF$17,2)+1))*$E63</f>
        <v>0</v>
      </c>
      <c r="CK63" s="1021">
        <f>(VLOOKUP(YEAR($A63),'NY East Load Projections'!$A$4:$EO$14,((MONTH($A63)-1)*12)+VLOOKUP(CK$4,$DE$6:$DF$17,2)+1))*$E63</f>
        <v>0</v>
      </c>
      <c r="CL63" s="1021">
        <f>(VLOOKUP(YEAR($A63),'NY East Load Projections'!$A$4:$EO$14,((MONTH($A63)-1)*12)+VLOOKUP(CL$4,$DE$6:$DF$17,2)+1))*$E63</f>
        <v>0</v>
      </c>
      <c r="CM63" s="1021">
        <f>(VLOOKUP(YEAR($A63),'NY East Load Projections'!$A$4:$EO$14,((MONTH($A63)-1)*12)+VLOOKUP(CM$4,$DE$6:$DF$17,2)+1))*$E63</f>
        <v>0</v>
      </c>
      <c r="CN63" s="1021">
        <f>(VLOOKUP(YEAR($A63),'NY East Load Projections'!$A$4:$EO$14,((MONTH($A63)-1)*12)+VLOOKUP(CN$4,$DE$6:$DF$17,2)+1))*$E63</f>
        <v>0</v>
      </c>
      <c r="CO63" s="1021">
        <f>(VLOOKUP(YEAR($A63),'NY East Load Projections'!$A$4:$EO$14,((MONTH($A63)-1)*12)+VLOOKUP(CO$4,$DE$6:$DF$17,2)+1))*$E63</f>
        <v>0</v>
      </c>
      <c r="CP63" s="1021">
        <f>(VLOOKUP(YEAR($A63),'NY East Load Projections'!$A$4:$EO$14,((MONTH($A63)-1)*12)+VLOOKUP(CP$4,$DE$6:$DF$17,2)+1))*$E63</f>
        <v>0</v>
      </c>
      <c r="CQ63" s="1021">
        <f>(VLOOKUP(YEAR($A63),'NY East Load Projections'!$A$4:$EO$14,((MONTH($A63)-1)*12)+VLOOKUP(CQ$4,$DE$6:$DF$17,2)+1))*$E63</f>
        <v>0</v>
      </c>
      <c r="CR63" s="1021">
        <f>(VLOOKUP(YEAR($A63),'NY East Load Projections'!$A$4:$EO$14,((MONTH($A63)-1)*12)+VLOOKUP(CR$4,$DE$6:$DF$17,2)+1))*$E63</f>
        <v>0</v>
      </c>
      <c r="CS63" s="1021">
        <f>(VLOOKUP(YEAR($A63),'NY East Load Projections'!$A$4:$EO$14,((MONTH($A63)-1)*12)+VLOOKUP(CS$4,$DE$6:$DF$17,2)+1))*$E63</f>
        <v>0</v>
      </c>
      <c r="CT63" s="1021">
        <f>(VLOOKUP(YEAR($A63),'NY East Load Projections'!$A$4:$EO$14,((MONTH($A63)-1)*12)+VLOOKUP(CT$4,$DE$6:$DF$17,2)+1))*$E63</f>
        <v>0</v>
      </c>
      <c r="CU63" s="1021">
        <f>(VLOOKUP(YEAR($A63),'NY East Load Projections'!$A$4:$EO$14,((MONTH($A63)-1)*12)+VLOOKUP(CU$4,$DE$6:$DF$17,2)+1))*$E63</f>
        <v>0</v>
      </c>
      <c r="CV63" s="1021">
        <f>(VLOOKUP(YEAR($A63),'NY East Load Projections'!$A$4:$EO$14,((MONTH($A63)-1)*12)+VLOOKUP(CV$4,$DE$6:$DF$17,2)+1))*$E63</f>
        <v>0</v>
      </c>
      <c r="CW63" s="1021">
        <f>(VLOOKUP(YEAR($A63),'NY East Load Projections'!$A$4:$EO$14,((MONTH($A63)-1)*12)+VLOOKUP(CW$4,$DE$6:$DF$17,2)+1))*$E63</f>
        <v>0</v>
      </c>
      <c r="CX63" s="1021">
        <f>(VLOOKUP(YEAR($A63),'NY East Load Projections'!$A$4:$EO$14,((MONTH($A63)-1)*12)+VLOOKUP(CX$4,$DE$6:$DF$17,2)+1))*$E63</f>
        <v>0</v>
      </c>
      <c r="CY63" s="1021">
        <f>(VLOOKUP(YEAR($A63),'NY East Load Projections'!$A$4:$EO$14,((MONTH($A63)-1)*12)+VLOOKUP(CY$4,$DE$6:$DF$17,2)+1))*$E63</f>
        <v>0</v>
      </c>
      <c r="CZ63" s="1021">
        <f>(VLOOKUP(YEAR($A63),'NY East Load Projections'!$A$4:$EO$14,((MONTH($A63)-1)*12)+VLOOKUP(CZ$4,$DE$6:$DF$17,2)+1))*$E63</f>
        <v>0</v>
      </c>
      <c r="DA63" s="1021">
        <f>(VLOOKUP(YEAR($A63),'NY East Load Projections'!$A$4:$EO$14,((MONTH($A63)-1)*12)+VLOOKUP(DA$4,$DE$6:$DF$17,2)+1))*$E63</f>
        <v>0</v>
      </c>
      <c r="DB63" s="1021">
        <f>(VLOOKUP(YEAR($A63),'NY East Load Projections'!$A$4:$EO$14,((MONTH($A63)-1)*12)+VLOOKUP(DB$4,$DE$6:$DF$17,2)+1))*$E63</f>
        <v>0</v>
      </c>
      <c r="DH63" s="1009">
        <f t="shared" si="2"/>
        <v>-78529.961068780976</v>
      </c>
      <c r="DI63">
        <f ca="1">CALC!J83</f>
        <v>0.66269187746322022</v>
      </c>
      <c r="DJ63" s="1032">
        <f t="shared" ca="1" si="1"/>
        <v>-52041.167337784056</v>
      </c>
    </row>
    <row r="64" spans="1:114" x14ac:dyDescent="0.25">
      <c r="A64" s="244">
        <v>38657</v>
      </c>
      <c r="B64" s="13">
        <v>21</v>
      </c>
      <c r="C64" s="210">
        <v>4</v>
      </c>
      <c r="D64" s="210">
        <v>4</v>
      </c>
      <c r="E64" s="210">
        <v>1</v>
      </c>
      <c r="F64" s="13">
        <v>30</v>
      </c>
      <c r="H64" s="1021">
        <f>(VLOOKUP(YEAR($A64),'NY East Load Projections'!$A$4:$EO$14,((MONTH($A64)-1)*12)+VLOOKUP(H$4,$DE$6:$DF$17,2)+1))*$B64</f>
        <v>-1916.7559543460247</v>
      </c>
      <c r="I64" s="1021">
        <f>(VLOOKUP(YEAR($A64),'NY East Load Projections'!$A$4:$EO$14,((MONTH($A64)-1)*12)+VLOOKUP(I$4,$DE$6:$DF$17,2)+1))*$B64</f>
        <v>-1916.7559543460247</v>
      </c>
      <c r="J64" s="1021">
        <f>(VLOOKUP(YEAR($A64),'NY East Load Projections'!$A$4:$EO$14,((MONTH($A64)-1)*12)+VLOOKUP(J$4,$DE$6:$DF$17,2)+1))*$B64</f>
        <v>-1916.7559543460247</v>
      </c>
      <c r="K64" s="1021">
        <f>(VLOOKUP(YEAR($A64),'NY East Load Projections'!$A$4:$EO$14,((MONTH($A64)-1)*12)+VLOOKUP(K$4,$DE$6:$DF$17,2)+1))*$B64</f>
        <v>-1916.7559543460247</v>
      </c>
      <c r="L64" s="1021">
        <f>(VLOOKUP(YEAR($A64),'NY East Load Projections'!$A$4:$EO$14,((MONTH($A64)-1)*12)+VLOOKUP(L$4,$DE$6:$DF$17,2)+1))*$B64</f>
        <v>-2095.435153140173</v>
      </c>
      <c r="M64" s="1021">
        <f>(VLOOKUP(YEAR($A64),'NY East Load Projections'!$A$4:$EO$14,((MONTH($A64)-1)*12)+VLOOKUP(M$4,$DE$6:$DF$17,2)+1))*$B64</f>
        <v>-2095.435153140173</v>
      </c>
      <c r="N64" s="1021">
        <f>(VLOOKUP(YEAR($A64),'NY East Load Projections'!$A$4:$EO$14,((MONTH($A64)-1)*12)+VLOOKUP(N$4,$DE$6:$DF$17,2)+1))*$B64</f>
        <v>-2095.435153140173</v>
      </c>
      <c r="O64" s="1021">
        <f>(VLOOKUP(YEAR($A64),'NY East Load Projections'!$A$4:$EO$14,((MONTH($A64)-1)*12)+VLOOKUP(O$4,$DE$6:$DF$17,2)+1))*$B64</f>
        <v>-2095.435153140173</v>
      </c>
      <c r="P64" s="1021">
        <f>(VLOOKUP(YEAR($A64),'NY East Load Projections'!$A$4:$EO$14,((MONTH($A64)-1)*12)+VLOOKUP(P$4,$DE$6:$DF$17,2)+1))*$B64</f>
        <v>-2288.0735910720186</v>
      </c>
      <c r="Q64" s="1021">
        <f>(VLOOKUP(YEAR($A64),'NY East Load Projections'!$A$4:$EO$14,((MONTH($A64)-1)*12)+VLOOKUP(Q$4,$DE$6:$DF$17,2)+1))*$B64</f>
        <v>-2288.0735910720186</v>
      </c>
      <c r="R64" s="1021">
        <f>(VLOOKUP(YEAR($A64),'NY East Load Projections'!$A$4:$EO$14,((MONTH($A64)-1)*12)+VLOOKUP(R$4,$DE$6:$DF$17,2)+1))*$B64</f>
        <v>-2288.0735910720186</v>
      </c>
      <c r="S64" s="1021">
        <f>(VLOOKUP(YEAR($A64),'NY East Load Projections'!$A$4:$EO$14,((MONTH($A64)-1)*12)+VLOOKUP(S$4,$DE$6:$DF$17,2)+1))*$B64</f>
        <v>-2288.0735910720186</v>
      </c>
      <c r="T64" s="1021">
        <f>(VLOOKUP(YEAR($A64),'NY East Load Projections'!$A$4:$EO$14,((MONTH($A64)-1)*12)+VLOOKUP(T$4,$DE$6:$DF$17,2)+1))*$B64</f>
        <v>-2347.6712026741852</v>
      </c>
      <c r="U64" s="1021">
        <f>(VLOOKUP(YEAR($A64),'NY East Load Projections'!$A$4:$EO$14,((MONTH($A64)-1)*12)+VLOOKUP(U$4,$DE$6:$DF$17,2)+1))*$B64</f>
        <v>-2347.6712026741852</v>
      </c>
      <c r="V64" s="1021">
        <f>(VLOOKUP(YEAR($A64),'NY East Load Projections'!$A$4:$EO$14,((MONTH($A64)-1)*12)+VLOOKUP(V$4,$DE$6:$DF$17,2)+1))*$B64</f>
        <v>-2347.6712026741852</v>
      </c>
      <c r="W64" s="1021">
        <f>(VLOOKUP(YEAR($A64),'NY East Load Projections'!$A$4:$EO$14,((MONTH($A64)-1)*12)+VLOOKUP(W$4,$DE$6:$DF$17,2)+1))*$B64</f>
        <v>-2347.6712026741852</v>
      </c>
      <c r="X64" s="1021">
        <f>(VLOOKUP(YEAR($A64),'NY East Load Projections'!$A$4:$EO$14,((MONTH($A64)-1)*12)+VLOOKUP(X$4,$DE$6:$DF$17,2)+1))*$B64</f>
        <v>-2225.800766662835</v>
      </c>
      <c r="Y64" s="1021">
        <f>(VLOOKUP(YEAR($A64),'NY East Load Projections'!$A$4:$EO$14,((MONTH($A64)-1)*12)+VLOOKUP(Y$4,$DE$6:$DF$17,2)+1))*$B64</f>
        <v>-2225.800766662835</v>
      </c>
      <c r="Z64" s="1021">
        <f>(VLOOKUP(YEAR($A64),'NY East Load Projections'!$A$4:$EO$14,((MONTH($A64)-1)*12)+VLOOKUP(Z$4,$DE$6:$DF$17,2)+1))*$B64</f>
        <v>-2225.800766662835</v>
      </c>
      <c r="AA64" s="1021">
        <f>(VLOOKUP(YEAR($A64),'NY East Load Projections'!$A$4:$EO$14,((MONTH($A64)-1)*12)+VLOOKUP(AA$4,$DE$6:$DF$17,2)+1))*$B64</f>
        <v>-2225.800766662835</v>
      </c>
      <c r="AB64" s="1021">
        <f>(VLOOKUP(YEAR($A64),'NY East Load Projections'!$A$4:$EO$14,((MONTH($A64)-1)*12)+VLOOKUP(AB$4,$DE$6:$DF$17,2)+1))*$B64</f>
        <v>-2006.0644238183579</v>
      </c>
      <c r="AC64" s="1021">
        <f>(VLOOKUP(YEAR($A64),'NY East Load Projections'!$A$4:$EO$14,((MONTH($A64)-1)*12)+VLOOKUP(AC$4,$DE$6:$DF$17,2)+1))*$B64</f>
        <v>-2006.0644238183579</v>
      </c>
      <c r="AD64" s="1021">
        <f>(VLOOKUP(YEAR($A64),'NY East Load Projections'!$A$4:$EO$14,((MONTH($A64)-1)*12)+VLOOKUP(AD$4,$DE$6:$DF$17,2)+1))*$B64</f>
        <v>-2006.0644238183579</v>
      </c>
      <c r="AE64" s="1021">
        <f>(VLOOKUP(YEAR($A64),'NY East Load Projections'!$A$4:$EO$14,((MONTH($A64)-1)*12)+VLOOKUP(AE$4,$DE$6:$DF$17,2)+1))*$B64</f>
        <v>-2006.0644238183579</v>
      </c>
      <c r="AF64" s="1021"/>
      <c r="AG64" s="1021">
        <f>(VLOOKUP(YEAR($A64),'NY East Load Projections'!$A$4:$EO$14,((MONTH($A64)-1)*12)+VLOOKUP(AG$4,$DE$6:$DF$17,2)+1))*$C64</f>
        <v>-383.32274625849402</v>
      </c>
      <c r="AH64" s="1021">
        <f>(VLOOKUP(YEAR($A64),'NY East Load Projections'!$A$4:$EO$14,((MONTH($A64)-1)*12)+VLOOKUP(AH$4,$DE$6:$DF$17,2)+1))*$C64</f>
        <v>-383.32274625849402</v>
      </c>
      <c r="AI64" s="1021">
        <f>(VLOOKUP(YEAR($A64),'NY East Load Projections'!$A$4:$EO$14,((MONTH($A64)-1)*12)+VLOOKUP(AI$4,$DE$6:$DF$17,2)+1))*$C64</f>
        <v>-383.32274625849402</v>
      </c>
      <c r="AJ64" s="1021">
        <f>(VLOOKUP(YEAR($A64),'NY East Load Projections'!$A$4:$EO$14,((MONTH($A64)-1)*12)+VLOOKUP(AJ$4,$DE$6:$DF$17,2)+1))*$C64</f>
        <v>-383.32274625849402</v>
      </c>
      <c r="AK64" s="1021">
        <f>(VLOOKUP(YEAR($A64),'NY East Load Projections'!$A$4:$EO$14,((MONTH($A64)-1)*12)+VLOOKUP(AK$4,$DE$6:$DF$17,2)+1))*$C64</f>
        <v>-388.9807624035289</v>
      </c>
      <c r="AL64" s="1021">
        <f>(VLOOKUP(YEAR($A64),'NY East Load Projections'!$A$4:$EO$14,((MONTH($A64)-1)*12)+VLOOKUP(AL$4,$DE$6:$DF$17,2)+1))*$C64</f>
        <v>-388.9807624035289</v>
      </c>
      <c r="AM64" s="1021">
        <f>(VLOOKUP(YEAR($A64),'NY East Load Projections'!$A$4:$EO$14,((MONTH($A64)-1)*12)+VLOOKUP(AM$4,$DE$6:$DF$17,2)+1))*$C64</f>
        <v>-388.9807624035289</v>
      </c>
      <c r="AN64" s="1021">
        <f>(VLOOKUP(YEAR($A64),'NY East Load Projections'!$A$4:$EO$14,((MONTH($A64)-1)*12)+VLOOKUP(AN$4,$DE$6:$DF$17,2)+1))*$C64</f>
        <v>-388.9807624035289</v>
      </c>
      <c r="AO64" s="1021">
        <f>(VLOOKUP(YEAR($A64),'NY East Load Projections'!$A$4:$EO$14,((MONTH($A64)-1)*12)+VLOOKUP(AO$4,$DE$6:$DF$17,2)+1))*$C64</f>
        <v>-414.84863654137507</v>
      </c>
      <c r="AP64" s="1021">
        <f>(VLOOKUP(YEAR($A64),'NY East Load Projections'!$A$4:$EO$14,((MONTH($A64)-1)*12)+VLOOKUP(AP$4,$DE$6:$DF$17,2)+1))*$C64</f>
        <v>-414.84863654137507</v>
      </c>
      <c r="AQ64" s="1021">
        <f>(VLOOKUP(YEAR($A64),'NY East Load Projections'!$A$4:$EO$14,((MONTH($A64)-1)*12)+VLOOKUP(AQ$4,$DE$6:$DF$17,2)+1))*$C64</f>
        <v>-414.84863654137507</v>
      </c>
      <c r="AR64" s="1021">
        <f>(VLOOKUP(YEAR($A64),'NY East Load Projections'!$A$4:$EO$14,((MONTH($A64)-1)*12)+VLOOKUP(AR$4,$DE$6:$DF$17,2)+1))*$C64</f>
        <v>-414.84863654137507</v>
      </c>
      <c r="AS64" s="1021">
        <f>(VLOOKUP(YEAR($A64),'NY East Load Projections'!$A$4:$EO$14,((MONTH($A64)-1)*12)+VLOOKUP(AS$4,$DE$6:$DF$17,2)+1))*$C64</f>
        <v>-425.13487933070371</v>
      </c>
      <c r="AT64" s="1021">
        <f>(VLOOKUP(YEAR($A64),'NY East Load Projections'!$A$4:$EO$14,((MONTH($A64)-1)*12)+VLOOKUP(AT$4,$DE$6:$DF$17,2)+1))*$C64</f>
        <v>-425.13487933070371</v>
      </c>
      <c r="AU64" s="1021">
        <f>(VLOOKUP(YEAR($A64),'NY East Load Projections'!$A$4:$EO$14,((MONTH($A64)-1)*12)+VLOOKUP(AU$4,$DE$6:$DF$17,2)+1))*$C64</f>
        <v>-425.13487933070371</v>
      </c>
      <c r="AV64" s="1021">
        <f>(VLOOKUP(YEAR($A64),'NY East Load Projections'!$A$4:$EO$14,((MONTH($A64)-1)*12)+VLOOKUP(AV$4,$DE$6:$DF$17,2)+1))*$C64</f>
        <v>-425.13487933070371</v>
      </c>
      <c r="AW64" s="1021">
        <f>(VLOOKUP(YEAR($A64),'NY East Load Projections'!$A$4:$EO$14,((MONTH($A64)-1)*12)+VLOOKUP(AW$4,$DE$6:$DF$17,2)+1))*$C64</f>
        <v>-406.00925575026724</v>
      </c>
      <c r="AX64" s="1021">
        <f>(VLOOKUP(YEAR($A64),'NY East Load Projections'!$A$4:$EO$14,((MONTH($A64)-1)*12)+VLOOKUP(AX$4,$DE$6:$DF$17,2)+1))*$C64</f>
        <v>-406.00925575026724</v>
      </c>
      <c r="AY64" s="1021">
        <f>(VLOOKUP(YEAR($A64),'NY East Load Projections'!$A$4:$EO$14,((MONTH($A64)-1)*12)+VLOOKUP(AY$4,$DE$6:$DF$17,2)+1))*$C64</f>
        <v>-406.00925575026724</v>
      </c>
      <c r="AZ64" s="1021">
        <f>(VLOOKUP(YEAR($A64),'NY East Load Projections'!$A$4:$EO$14,((MONTH($A64)-1)*12)+VLOOKUP(AZ$4,$DE$6:$DF$17,2)+1))*$C64</f>
        <v>-406.00925575026724</v>
      </c>
      <c r="BA64" s="1021">
        <f>(VLOOKUP(YEAR($A64),'NY East Load Projections'!$A$4:$EO$14,((MONTH($A64)-1)*12)+VLOOKUP(BA$4,$DE$6:$DF$17,2)+1))*$C64</f>
        <v>-388.93809794793759</v>
      </c>
      <c r="BB64" s="1021">
        <f>(VLOOKUP(YEAR($A64),'NY East Load Projections'!$A$4:$EO$14,((MONTH($A64)-1)*12)+VLOOKUP(BB$4,$DE$6:$DF$17,2)+1))*$C64</f>
        <v>-388.93809794793759</v>
      </c>
      <c r="BC64" s="1021">
        <f>(VLOOKUP(YEAR($A64),'NY East Load Projections'!$A$4:$EO$14,((MONTH($A64)-1)*12)+VLOOKUP(BC$4,$DE$6:$DF$17,2)+1))*$C64</f>
        <v>-388.93809794793759</v>
      </c>
      <c r="BD64" s="1021">
        <f>(VLOOKUP(YEAR($A64),'NY East Load Projections'!$A$4:$EO$14,((MONTH($A64)-1)*12)+VLOOKUP(BD$4,$DE$6:$DF$17,2)+1))*$C64</f>
        <v>-388.93809794793759</v>
      </c>
      <c r="BE64" s="1021"/>
      <c r="BF64" s="1021">
        <f>(VLOOKUP(YEAR($A64),'NY East Load Projections'!$A$4:$EO$14,((MONTH($A64)-1)*12)+VLOOKUP(BF$4,$DE$6:$DF$17,2)+1))*$D64</f>
        <v>-383.32274625849402</v>
      </c>
      <c r="BG64" s="1021">
        <f>(VLOOKUP(YEAR($A64),'NY East Load Projections'!$A$4:$EO$14,((MONTH($A64)-1)*12)+VLOOKUP(BG$4,$DE$6:$DF$17,2)+1))*$D64</f>
        <v>-383.32274625849402</v>
      </c>
      <c r="BH64" s="1021">
        <f>(VLOOKUP(YEAR($A64),'NY East Load Projections'!$A$4:$EO$14,((MONTH($A64)-1)*12)+VLOOKUP(BH$4,$DE$6:$DF$17,2)+1))*$D64</f>
        <v>-383.32274625849402</v>
      </c>
      <c r="BI64" s="1021">
        <f>(VLOOKUP(YEAR($A64),'NY East Load Projections'!$A$4:$EO$14,((MONTH($A64)-1)*12)+VLOOKUP(BI$4,$DE$6:$DF$17,2)+1))*$D64</f>
        <v>-383.32274625849402</v>
      </c>
      <c r="BJ64" s="1021">
        <f>(VLOOKUP(YEAR($A64),'NY East Load Projections'!$A$4:$EO$14,((MONTH($A64)-1)*12)+VLOOKUP(BJ$4,$DE$6:$DF$17,2)+1))*$D64</f>
        <v>-388.9807624035289</v>
      </c>
      <c r="BK64" s="1021">
        <f>(VLOOKUP(YEAR($A64),'NY East Load Projections'!$A$4:$EO$14,((MONTH($A64)-1)*12)+VLOOKUP(BK$4,$DE$6:$DF$17,2)+1))*$D64</f>
        <v>-388.9807624035289</v>
      </c>
      <c r="BL64" s="1021">
        <f>(VLOOKUP(YEAR($A64),'NY East Load Projections'!$A$4:$EO$14,((MONTH($A64)-1)*12)+VLOOKUP(BL$4,$DE$6:$DF$17,2)+1))*$D64</f>
        <v>-388.9807624035289</v>
      </c>
      <c r="BM64" s="1021">
        <f>(VLOOKUP(YEAR($A64),'NY East Load Projections'!$A$4:$EO$14,((MONTH($A64)-1)*12)+VLOOKUP(BM$4,$DE$6:$DF$17,2)+1))*$D64</f>
        <v>-388.9807624035289</v>
      </c>
      <c r="BN64" s="1021">
        <f>(VLOOKUP(YEAR($A64),'NY East Load Projections'!$A$4:$EO$14,((MONTH($A64)-1)*12)+VLOOKUP(BN$4,$DE$6:$DF$17,2)+1))*$D64</f>
        <v>-414.84863654137507</v>
      </c>
      <c r="BO64" s="1021">
        <f>(VLOOKUP(YEAR($A64),'NY East Load Projections'!$A$4:$EO$14,((MONTH($A64)-1)*12)+VLOOKUP(BO$4,$DE$6:$DF$17,2)+1))*$D64</f>
        <v>-414.84863654137507</v>
      </c>
      <c r="BP64" s="1021">
        <f>(VLOOKUP(YEAR($A64),'NY East Load Projections'!$A$4:$EO$14,((MONTH($A64)-1)*12)+VLOOKUP(BP$4,$DE$6:$DF$17,2)+1))*$D64</f>
        <v>-414.84863654137507</v>
      </c>
      <c r="BQ64" s="1021">
        <f>(VLOOKUP(YEAR($A64),'NY East Load Projections'!$A$4:$EO$14,((MONTH($A64)-1)*12)+VLOOKUP(BQ$4,$DE$6:$DF$17,2)+1))*$D64</f>
        <v>-414.84863654137507</v>
      </c>
      <c r="BR64" s="1021">
        <f>(VLOOKUP(YEAR($A64),'NY East Load Projections'!$A$4:$EO$14,((MONTH($A64)-1)*12)+VLOOKUP(BR$4,$DE$6:$DF$17,2)+1))*$D64</f>
        <v>-425.13487933070371</v>
      </c>
      <c r="BS64" s="1021">
        <f>(VLOOKUP(YEAR($A64),'NY East Load Projections'!$A$4:$EO$14,((MONTH($A64)-1)*12)+VLOOKUP(BS$4,$DE$6:$DF$17,2)+1))*$D64</f>
        <v>-425.13487933070371</v>
      </c>
      <c r="BT64" s="1021">
        <f>(VLOOKUP(YEAR($A64),'NY East Load Projections'!$A$4:$EO$14,((MONTH($A64)-1)*12)+VLOOKUP(BT$4,$DE$6:$DF$17,2)+1))*$D64</f>
        <v>-425.13487933070371</v>
      </c>
      <c r="BU64" s="1021">
        <f>(VLOOKUP(YEAR($A64),'NY East Load Projections'!$A$4:$EO$14,((MONTH($A64)-1)*12)+VLOOKUP(BU$4,$DE$6:$DF$17,2)+1))*$D64</f>
        <v>-425.13487933070371</v>
      </c>
      <c r="BV64" s="1021">
        <f>(VLOOKUP(YEAR($A64),'NY East Load Projections'!$A$4:$EO$14,((MONTH($A64)-1)*12)+VLOOKUP(BV$4,$DE$6:$DF$17,2)+1))*$D64</f>
        <v>-406.00925575026724</v>
      </c>
      <c r="BW64" s="1021">
        <f>(VLOOKUP(YEAR($A64),'NY East Load Projections'!$A$4:$EO$14,((MONTH($A64)-1)*12)+VLOOKUP(BW$4,$DE$6:$DF$17,2)+1))*$D64</f>
        <v>-406.00925575026724</v>
      </c>
      <c r="BX64" s="1021">
        <f>(VLOOKUP(YEAR($A64),'NY East Load Projections'!$A$4:$EO$14,((MONTH($A64)-1)*12)+VLOOKUP(BX$4,$DE$6:$DF$17,2)+1))*$D64</f>
        <v>-406.00925575026724</v>
      </c>
      <c r="BY64" s="1021">
        <f>(VLOOKUP(YEAR($A64),'NY East Load Projections'!$A$4:$EO$14,((MONTH($A64)-1)*12)+VLOOKUP(BY$4,$DE$6:$DF$17,2)+1))*$D64</f>
        <v>-406.00925575026724</v>
      </c>
      <c r="BZ64" s="1021">
        <f>(VLOOKUP(YEAR($A64),'NY East Load Projections'!$A$4:$EO$14,((MONTH($A64)-1)*12)+VLOOKUP(BZ$4,$DE$6:$DF$17,2)+1))*$D64</f>
        <v>-388.93809794793759</v>
      </c>
      <c r="CA64" s="1021">
        <f>(VLOOKUP(YEAR($A64),'NY East Load Projections'!$A$4:$EO$14,((MONTH($A64)-1)*12)+VLOOKUP(CA$4,$DE$6:$DF$17,2)+1))*$D64</f>
        <v>-388.93809794793759</v>
      </c>
      <c r="CB64" s="1021">
        <f>(VLOOKUP(YEAR($A64),'NY East Load Projections'!$A$4:$EO$14,((MONTH($A64)-1)*12)+VLOOKUP(CB$4,$DE$6:$DF$17,2)+1))*$D64</f>
        <v>-388.93809794793759</v>
      </c>
      <c r="CC64" s="1021">
        <f>(VLOOKUP(YEAR($A64),'NY East Load Projections'!$A$4:$EO$14,((MONTH($A64)-1)*12)+VLOOKUP(CC$4,$DE$6:$DF$17,2)+1))*$D64</f>
        <v>-388.93809794793759</v>
      </c>
      <c r="CE64" s="1021">
        <f>(VLOOKUP(YEAR($A64),'NY East Load Projections'!$A$4:$EO$14,((MONTH($A64)-1)*12)+VLOOKUP(CE$4,$DE$6:$DF$17,2)+1))*$E64</f>
        <v>-95.830686564623505</v>
      </c>
      <c r="CF64" s="1021">
        <f>(VLOOKUP(YEAR($A64),'NY East Load Projections'!$A$4:$EO$14,((MONTH($A64)-1)*12)+VLOOKUP(CF$4,$DE$6:$DF$17,2)+1))*$E64</f>
        <v>-95.830686564623505</v>
      </c>
      <c r="CG64" s="1021">
        <f>(VLOOKUP(YEAR($A64),'NY East Load Projections'!$A$4:$EO$14,((MONTH($A64)-1)*12)+VLOOKUP(CG$4,$DE$6:$DF$17,2)+1))*$E64</f>
        <v>-95.830686564623505</v>
      </c>
      <c r="CH64" s="1021">
        <f>(VLOOKUP(YEAR($A64),'NY East Load Projections'!$A$4:$EO$14,((MONTH($A64)-1)*12)+VLOOKUP(CH$4,$DE$6:$DF$17,2)+1))*$E64</f>
        <v>-95.830686564623505</v>
      </c>
      <c r="CI64" s="1021">
        <f>(VLOOKUP(YEAR($A64),'NY East Load Projections'!$A$4:$EO$14,((MONTH($A64)-1)*12)+VLOOKUP(CI$4,$DE$6:$DF$17,2)+1))*$E64</f>
        <v>-97.245190600882225</v>
      </c>
      <c r="CJ64" s="1021">
        <f>(VLOOKUP(YEAR($A64),'NY East Load Projections'!$A$4:$EO$14,((MONTH($A64)-1)*12)+VLOOKUP(CJ$4,$DE$6:$DF$17,2)+1))*$E64</f>
        <v>-97.245190600882225</v>
      </c>
      <c r="CK64" s="1021">
        <f>(VLOOKUP(YEAR($A64),'NY East Load Projections'!$A$4:$EO$14,((MONTH($A64)-1)*12)+VLOOKUP(CK$4,$DE$6:$DF$17,2)+1))*$E64</f>
        <v>-97.245190600882225</v>
      </c>
      <c r="CL64" s="1021">
        <f>(VLOOKUP(YEAR($A64),'NY East Load Projections'!$A$4:$EO$14,((MONTH($A64)-1)*12)+VLOOKUP(CL$4,$DE$6:$DF$17,2)+1))*$E64</f>
        <v>-97.245190600882225</v>
      </c>
      <c r="CM64" s="1021">
        <f>(VLOOKUP(YEAR($A64),'NY East Load Projections'!$A$4:$EO$14,((MONTH($A64)-1)*12)+VLOOKUP(CM$4,$DE$6:$DF$17,2)+1))*$E64</f>
        <v>-103.71215913534377</v>
      </c>
      <c r="CN64" s="1021">
        <f>(VLOOKUP(YEAR($A64),'NY East Load Projections'!$A$4:$EO$14,((MONTH($A64)-1)*12)+VLOOKUP(CN$4,$DE$6:$DF$17,2)+1))*$E64</f>
        <v>-103.71215913534377</v>
      </c>
      <c r="CO64" s="1021">
        <f>(VLOOKUP(YEAR($A64),'NY East Load Projections'!$A$4:$EO$14,((MONTH($A64)-1)*12)+VLOOKUP(CO$4,$DE$6:$DF$17,2)+1))*$E64</f>
        <v>-103.71215913534377</v>
      </c>
      <c r="CP64" s="1021">
        <f>(VLOOKUP(YEAR($A64),'NY East Load Projections'!$A$4:$EO$14,((MONTH($A64)-1)*12)+VLOOKUP(CP$4,$DE$6:$DF$17,2)+1))*$E64</f>
        <v>-103.71215913534377</v>
      </c>
      <c r="CQ64" s="1021">
        <f>(VLOOKUP(YEAR($A64),'NY East Load Projections'!$A$4:$EO$14,((MONTH($A64)-1)*12)+VLOOKUP(CQ$4,$DE$6:$DF$17,2)+1))*$E64</f>
        <v>-106.28371983267593</v>
      </c>
      <c r="CR64" s="1021">
        <f>(VLOOKUP(YEAR($A64),'NY East Load Projections'!$A$4:$EO$14,((MONTH($A64)-1)*12)+VLOOKUP(CR$4,$DE$6:$DF$17,2)+1))*$E64</f>
        <v>-106.28371983267593</v>
      </c>
      <c r="CS64" s="1021">
        <f>(VLOOKUP(YEAR($A64),'NY East Load Projections'!$A$4:$EO$14,((MONTH($A64)-1)*12)+VLOOKUP(CS$4,$DE$6:$DF$17,2)+1))*$E64</f>
        <v>-106.28371983267593</v>
      </c>
      <c r="CT64" s="1021">
        <f>(VLOOKUP(YEAR($A64),'NY East Load Projections'!$A$4:$EO$14,((MONTH($A64)-1)*12)+VLOOKUP(CT$4,$DE$6:$DF$17,2)+1))*$E64</f>
        <v>-106.28371983267593</v>
      </c>
      <c r="CU64" s="1021">
        <f>(VLOOKUP(YEAR($A64),'NY East Load Projections'!$A$4:$EO$14,((MONTH($A64)-1)*12)+VLOOKUP(CU$4,$DE$6:$DF$17,2)+1))*$E64</f>
        <v>-101.50231393756681</v>
      </c>
      <c r="CV64" s="1021">
        <f>(VLOOKUP(YEAR($A64),'NY East Load Projections'!$A$4:$EO$14,((MONTH($A64)-1)*12)+VLOOKUP(CV$4,$DE$6:$DF$17,2)+1))*$E64</f>
        <v>-101.50231393756681</v>
      </c>
      <c r="CW64" s="1021">
        <f>(VLOOKUP(YEAR($A64),'NY East Load Projections'!$A$4:$EO$14,((MONTH($A64)-1)*12)+VLOOKUP(CW$4,$DE$6:$DF$17,2)+1))*$E64</f>
        <v>-101.50231393756681</v>
      </c>
      <c r="CX64" s="1021">
        <f>(VLOOKUP(YEAR($A64),'NY East Load Projections'!$A$4:$EO$14,((MONTH($A64)-1)*12)+VLOOKUP(CX$4,$DE$6:$DF$17,2)+1))*$E64</f>
        <v>-101.50231393756681</v>
      </c>
      <c r="CY64" s="1021">
        <f>(VLOOKUP(YEAR($A64),'NY East Load Projections'!$A$4:$EO$14,((MONTH($A64)-1)*12)+VLOOKUP(CY$4,$DE$6:$DF$17,2)+1))*$E64</f>
        <v>-97.234524486984398</v>
      </c>
      <c r="CZ64" s="1021">
        <f>(VLOOKUP(YEAR($A64),'NY East Load Projections'!$A$4:$EO$14,((MONTH($A64)-1)*12)+VLOOKUP(CZ$4,$DE$6:$DF$17,2)+1))*$E64</f>
        <v>-97.234524486984398</v>
      </c>
      <c r="DA64" s="1021">
        <f>(VLOOKUP(YEAR($A64),'NY East Load Projections'!$A$4:$EO$14,((MONTH($A64)-1)*12)+VLOOKUP(DA$4,$DE$6:$DF$17,2)+1))*$E64</f>
        <v>-97.234524486984398</v>
      </c>
      <c r="DB64" s="1021">
        <f>(VLOOKUP(YEAR($A64),'NY East Load Projections'!$A$4:$EO$14,((MONTH($A64)-1)*12)+VLOOKUP(DB$4,$DE$6:$DF$17,2)+1))*$E64</f>
        <v>-97.234524486984398</v>
      </c>
      <c r="DH64" s="1009">
        <f t="shared" si="2"/>
        <v>-73184.313770945097</v>
      </c>
      <c r="DI64">
        <f ca="1">CALC!J84</f>
        <v>0.65869612473466754</v>
      </c>
      <c r="DJ64" s="1032">
        <f t="shared" ca="1" si="1"/>
        <v>-48206.223872287497</v>
      </c>
    </row>
    <row r="65" spans="1:114" x14ac:dyDescent="0.25">
      <c r="A65" s="244">
        <v>38687</v>
      </c>
      <c r="B65" s="13">
        <v>21</v>
      </c>
      <c r="C65" s="210">
        <v>5</v>
      </c>
      <c r="D65" s="210">
        <v>4</v>
      </c>
      <c r="E65" s="210">
        <v>1</v>
      </c>
      <c r="F65" s="13">
        <v>31</v>
      </c>
      <c r="H65" s="1021">
        <f>(VLOOKUP(YEAR($A65),'NY East Load Projections'!$A$4:$EO$14,((MONTH($A65)-1)*12)+VLOOKUP(H$4,$DE$6:$DF$17,2)+1))*$B65</f>
        <v>-1857.7942733603668</v>
      </c>
      <c r="I65" s="1021">
        <f>(VLOOKUP(YEAR($A65),'NY East Load Projections'!$A$4:$EO$14,((MONTH($A65)-1)*12)+VLOOKUP(I$4,$DE$6:$DF$17,2)+1))*$B65</f>
        <v>-1857.7942733603668</v>
      </c>
      <c r="J65" s="1021">
        <f>(VLOOKUP(YEAR($A65),'NY East Load Projections'!$A$4:$EO$14,((MONTH($A65)-1)*12)+VLOOKUP(J$4,$DE$6:$DF$17,2)+1))*$B65</f>
        <v>-1857.7942733603668</v>
      </c>
      <c r="K65" s="1021">
        <f>(VLOOKUP(YEAR($A65),'NY East Load Projections'!$A$4:$EO$14,((MONTH($A65)-1)*12)+VLOOKUP(K$4,$DE$6:$DF$17,2)+1))*$B65</f>
        <v>-1857.7942733603668</v>
      </c>
      <c r="L65" s="1021">
        <f>(VLOOKUP(YEAR($A65),'NY East Load Projections'!$A$4:$EO$14,((MONTH($A65)-1)*12)+VLOOKUP(L$4,$DE$6:$DF$17,2)+1))*$B65</f>
        <v>-2062.8179518576949</v>
      </c>
      <c r="M65" s="1021">
        <f>(VLOOKUP(YEAR($A65),'NY East Load Projections'!$A$4:$EO$14,((MONTH($A65)-1)*12)+VLOOKUP(M$4,$DE$6:$DF$17,2)+1))*$B65</f>
        <v>-2062.8179518576949</v>
      </c>
      <c r="N65" s="1021">
        <f>(VLOOKUP(YEAR($A65),'NY East Load Projections'!$A$4:$EO$14,((MONTH($A65)-1)*12)+VLOOKUP(N$4,$DE$6:$DF$17,2)+1))*$B65</f>
        <v>-2062.8179518576949</v>
      </c>
      <c r="O65" s="1021">
        <f>(VLOOKUP(YEAR($A65),'NY East Load Projections'!$A$4:$EO$14,((MONTH($A65)-1)*12)+VLOOKUP(O$4,$DE$6:$DF$17,2)+1))*$B65</f>
        <v>-2062.8179518576949</v>
      </c>
      <c r="P65" s="1021">
        <f>(VLOOKUP(YEAR($A65),'NY East Load Projections'!$A$4:$EO$14,((MONTH($A65)-1)*12)+VLOOKUP(P$4,$DE$6:$DF$17,2)+1))*$B65</f>
        <v>-2253.7044058944916</v>
      </c>
      <c r="Q65" s="1021">
        <f>(VLOOKUP(YEAR($A65),'NY East Load Projections'!$A$4:$EO$14,((MONTH($A65)-1)*12)+VLOOKUP(Q$4,$DE$6:$DF$17,2)+1))*$B65</f>
        <v>-2253.7044058944916</v>
      </c>
      <c r="R65" s="1021">
        <f>(VLOOKUP(YEAR($A65),'NY East Load Projections'!$A$4:$EO$14,((MONTH($A65)-1)*12)+VLOOKUP(R$4,$DE$6:$DF$17,2)+1))*$B65</f>
        <v>-2253.7044058944916</v>
      </c>
      <c r="S65" s="1021">
        <f>(VLOOKUP(YEAR($A65),'NY East Load Projections'!$A$4:$EO$14,((MONTH($A65)-1)*12)+VLOOKUP(S$4,$DE$6:$DF$17,2)+1))*$B65</f>
        <v>-2253.7044058944916</v>
      </c>
      <c r="T65" s="1021">
        <f>(VLOOKUP(YEAR($A65),'NY East Load Projections'!$A$4:$EO$14,((MONTH($A65)-1)*12)+VLOOKUP(T$4,$DE$6:$DF$17,2)+1))*$B65</f>
        <v>-2287.0033778011953</v>
      </c>
      <c r="U65" s="1021">
        <f>(VLOOKUP(YEAR($A65),'NY East Load Projections'!$A$4:$EO$14,((MONTH($A65)-1)*12)+VLOOKUP(U$4,$DE$6:$DF$17,2)+1))*$B65</f>
        <v>-2287.0033778011953</v>
      </c>
      <c r="V65" s="1021">
        <f>(VLOOKUP(YEAR($A65),'NY East Load Projections'!$A$4:$EO$14,((MONTH($A65)-1)*12)+VLOOKUP(V$4,$DE$6:$DF$17,2)+1))*$B65</f>
        <v>-2287.0033778011953</v>
      </c>
      <c r="W65" s="1021">
        <f>(VLOOKUP(YEAR($A65),'NY East Load Projections'!$A$4:$EO$14,((MONTH($A65)-1)*12)+VLOOKUP(W$4,$DE$6:$DF$17,2)+1))*$B65</f>
        <v>-2287.0033778011953</v>
      </c>
      <c r="X65" s="1021">
        <f>(VLOOKUP(YEAR($A65),'NY East Load Projections'!$A$4:$EO$14,((MONTH($A65)-1)*12)+VLOOKUP(X$4,$DE$6:$DF$17,2)+1))*$B65</f>
        <v>-2163.5004352793899</v>
      </c>
      <c r="Y65" s="1021">
        <f>(VLOOKUP(YEAR($A65),'NY East Load Projections'!$A$4:$EO$14,((MONTH($A65)-1)*12)+VLOOKUP(Y$4,$DE$6:$DF$17,2)+1))*$B65</f>
        <v>-2163.5004352793899</v>
      </c>
      <c r="Z65" s="1021">
        <f>(VLOOKUP(YEAR($A65),'NY East Load Projections'!$A$4:$EO$14,((MONTH($A65)-1)*12)+VLOOKUP(Z$4,$DE$6:$DF$17,2)+1))*$B65</f>
        <v>-2163.5004352793899</v>
      </c>
      <c r="AA65" s="1021">
        <f>(VLOOKUP(YEAR($A65),'NY East Load Projections'!$A$4:$EO$14,((MONTH($A65)-1)*12)+VLOOKUP(AA$4,$DE$6:$DF$17,2)+1))*$B65</f>
        <v>-2163.5004352793899</v>
      </c>
      <c r="AB65" s="1021">
        <f>(VLOOKUP(YEAR($A65),'NY East Load Projections'!$A$4:$EO$14,((MONTH($A65)-1)*12)+VLOOKUP(AB$4,$DE$6:$DF$17,2)+1))*$B65</f>
        <v>-1954.9390374040011</v>
      </c>
      <c r="AC65" s="1021">
        <f>(VLOOKUP(YEAR($A65),'NY East Load Projections'!$A$4:$EO$14,((MONTH($A65)-1)*12)+VLOOKUP(AC$4,$DE$6:$DF$17,2)+1))*$B65</f>
        <v>-1954.9390374040011</v>
      </c>
      <c r="AD65" s="1021">
        <f>(VLOOKUP(YEAR($A65),'NY East Load Projections'!$A$4:$EO$14,((MONTH($A65)-1)*12)+VLOOKUP(AD$4,$DE$6:$DF$17,2)+1))*$B65</f>
        <v>-1954.9390374040011</v>
      </c>
      <c r="AE65" s="1021">
        <f>(VLOOKUP(YEAR($A65),'NY East Load Projections'!$A$4:$EO$14,((MONTH($A65)-1)*12)+VLOOKUP(AE$4,$DE$6:$DF$17,2)+1))*$B65</f>
        <v>-1954.9390374040011</v>
      </c>
      <c r="AF65" s="1021"/>
      <c r="AG65" s="1021">
        <f>(VLOOKUP(YEAR($A65),'NY East Load Projections'!$A$4:$EO$14,((MONTH($A65)-1)*12)+VLOOKUP(AG$4,$DE$6:$DF$17,2)+1))*$C65</f>
        <v>-455.74886799028513</v>
      </c>
      <c r="AH65" s="1021">
        <f>(VLOOKUP(YEAR($A65),'NY East Load Projections'!$A$4:$EO$14,((MONTH($A65)-1)*12)+VLOOKUP(AH$4,$DE$6:$DF$17,2)+1))*$C65</f>
        <v>-455.74886799028513</v>
      </c>
      <c r="AI65" s="1021">
        <f>(VLOOKUP(YEAR($A65),'NY East Load Projections'!$A$4:$EO$14,((MONTH($A65)-1)*12)+VLOOKUP(AI$4,$DE$6:$DF$17,2)+1))*$C65</f>
        <v>-455.74886799028513</v>
      </c>
      <c r="AJ65" s="1021">
        <f>(VLOOKUP(YEAR($A65),'NY East Load Projections'!$A$4:$EO$14,((MONTH($A65)-1)*12)+VLOOKUP(AJ$4,$DE$6:$DF$17,2)+1))*$C65</f>
        <v>-455.74886799028513</v>
      </c>
      <c r="AK65" s="1021">
        <f>(VLOOKUP(YEAR($A65),'NY East Load Projections'!$A$4:$EO$14,((MONTH($A65)-1)*12)+VLOOKUP(AK$4,$DE$6:$DF$17,2)+1))*$C65</f>
        <v>-465.77841571554131</v>
      </c>
      <c r="AL65" s="1021">
        <f>(VLOOKUP(YEAR($A65),'NY East Load Projections'!$A$4:$EO$14,((MONTH($A65)-1)*12)+VLOOKUP(AL$4,$DE$6:$DF$17,2)+1))*$C65</f>
        <v>-465.77841571554131</v>
      </c>
      <c r="AM65" s="1021">
        <f>(VLOOKUP(YEAR($A65),'NY East Load Projections'!$A$4:$EO$14,((MONTH($A65)-1)*12)+VLOOKUP(AM$4,$DE$6:$DF$17,2)+1))*$C65</f>
        <v>-465.77841571554131</v>
      </c>
      <c r="AN65" s="1021">
        <f>(VLOOKUP(YEAR($A65),'NY East Load Projections'!$A$4:$EO$14,((MONTH($A65)-1)*12)+VLOOKUP(AN$4,$DE$6:$DF$17,2)+1))*$C65</f>
        <v>-465.77841571554131</v>
      </c>
      <c r="AO65" s="1021">
        <f>(VLOOKUP(YEAR($A65),'NY East Load Projections'!$A$4:$EO$14,((MONTH($A65)-1)*12)+VLOOKUP(AO$4,$DE$6:$DF$17,2)+1))*$C65</f>
        <v>-495.84001693577449</v>
      </c>
      <c r="AP65" s="1021">
        <f>(VLOOKUP(YEAR($A65),'NY East Load Projections'!$A$4:$EO$14,((MONTH($A65)-1)*12)+VLOOKUP(AP$4,$DE$6:$DF$17,2)+1))*$C65</f>
        <v>-495.84001693577449</v>
      </c>
      <c r="AQ65" s="1021">
        <f>(VLOOKUP(YEAR($A65),'NY East Load Projections'!$A$4:$EO$14,((MONTH($A65)-1)*12)+VLOOKUP(AQ$4,$DE$6:$DF$17,2)+1))*$C65</f>
        <v>-495.84001693577449</v>
      </c>
      <c r="AR65" s="1021">
        <f>(VLOOKUP(YEAR($A65),'NY East Load Projections'!$A$4:$EO$14,((MONTH($A65)-1)*12)+VLOOKUP(AR$4,$DE$6:$DF$17,2)+1))*$C65</f>
        <v>-495.84001693577449</v>
      </c>
      <c r="AS65" s="1021">
        <f>(VLOOKUP(YEAR($A65),'NY East Load Projections'!$A$4:$EO$14,((MONTH($A65)-1)*12)+VLOOKUP(AS$4,$DE$6:$DF$17,2)+1))*$C65</f>
        <v>-501.21559246409799</v>
      </c>
      <c r="AT65" s="1021">
        <f>(VLOOKUP(YEAR($A65),'NY East Load Projections'!$A$4:$EO$14,((MONTH($A65)-1)*12)+VLOOKUP(AT$4,$DE$6:$DF$17,2)+1))*$C65</f>
        <v>-501.21559246409799</v>
      </c>
      <c r="AU65" s="1021">
        <f>(VLOOKUP(YEAR($A65),'NY East Load Projections'!$A$4:$EO$14,((MONTH($A65)-1)*12)+VLOOKUP(AU$4,$DE$6:$DF$17,2)+1))*$C65</f>
        <v>-501.21559246409799</v>
      </c>
      <c r="AV65" s="1021">
        <f>(VLOOKUP(YEAR($A65),'NY East Load Projections'!$A$4:$EO$14,((MONTH($A65)-1)*12)+VLOOKUP(AV$4,$DE$6:$DF$17,2)+1))*$C65</f>
        <v>-501.21559246409799</v>
      </c>
      <c r="AW65" s="1021">
        <f>(VLOOKUP(YEAR($A65),'NY East Load Projections'!$A$4:$EO$14,((MONTH($A65)-1)*12)+VLOOKUP(AW$4,$DE$6:$DF$17,2)+1))*$C65</f>
        <v>-481.3822028983821</v>
      </c>
      <c r="AX65" s="1021">
        <f>(VLOOKUP(YEAR($A65),'NY East Load Projections'!$A$4:$EO$14,((MONTH($A65)-1)*12)+VLOOKUP(AX$4,$DE$6:$DF$17,2)+1))*$C65</f>
        <v>-481.3822028983821</v>
      </c>
      <c r="AY65" s="1021">
        <f>(VLOOKUP(YEAR($A65),'NY East Load Projections'!$A$4:$EO$14,((MONTH($A65)-1)*12)+VLOOKUP(AY$4,$DE$6:$DF$17,2)+1))*$C65</f>
        <v>-481.3822028983821</v>
      </c>
      <c r="AZ65" s="1021">
        <f>(VLOOKUP(YEAR($A65),'NY East Load Projections'!$A$4:$EO$14,((MONTH($A65)-1)*12)+VLOOKUP(AZ$4,$DE$6:$DF$17,2)+1))*$C65</f>
        <v>-481.3822028983821</v>
      </c>
      <c r="BA65" s="1021">
        <f>(VLOOKUP(YEAR($A65),'NY East Load Projections'!$A$4:$EO$14,((MONTH($A65)-1)*12)+VLOOKUP(BA$4,$DE$6:$DF$17,2)+1))*$C65</f>
        <v>-465.12517780493255</v>
      </c>
      <c r="BB65" s="1021">
        <f>(VLOOKUP(YEAR($A65),'NY East Load Projections'!$A$4:$EO$14,((MONTH($A65)-1)*12)+VLOOKUP(BB$4,$DE$6:$DF$17,2)+1))*$C65</f>
        <v>-465.12517780493255</v>
      </c>
      <c r="BC65" s="1021">
        <f>(VLOOKUP(YEAR($A65),'NY East Load Projections'!$A$4:$EO$14,((MONTH($A65)-1)*12)+VLOOKUP(BC$4,$DE$6:$DF$17,2)+1))*$C65</f>
        <v>-465.12517780493255</v>
      </c>
      <c r="BD65" s="1021">
        <f>(VLOOKUP(YEAR($A65),'NY East Load Projections'!$A$4:$EO$14,((MONTH($A65)-1)*12)+VLOOKUP(BD$4,$DE$6:$DF$17,2)+1))*$C65</f>
        <v>-465.12517780493255</v>
      </c>
      <c r="BE65" s="1021"/>
      <c r="BF65" s="1021">
        <f>(VLOOKUP(YEAR($A65),'NY East Load Projections'!$A$4:$EO$14,((MONTH($A65)-1)*12)+VLOOKUP(BF$4,$DE$6:$DF$17,2)+1))*$D65</f>
        <v>-364.5990943922281</v>
      </c>
      <c r="BG65" s="1021">
        <f>(VLOOKUP(YEAR($A65),'NY East Load Projections'!$A$4:$EO$14,((MONTH($A65)-1)*12)+VLOOKUP(BG$4,$DE$6:$DF$17,2)+1))*$D65</f>
        <v>-364.5990943922281</v>
      </c>
      <c r="BH65" s="1021">
        <f>(VLOOKUP(YEAR($A65),'NY East Load Projections'!$A$4:$EO$14,((MONTH($A65)-1)*12)+VLOOKUP(BH$4,$DE$6:$DF$17,2)+1))*$D65</f>
        <v>-364.5990943922281</v>
      </c>
      <c r="BI65" s="1021">
        <f>(VLOOKUP(YEAR($A65),'NY East Load Projections'!$A$4:$EO$14,((MONTH($A65)-1)*12)+VLOOKUP(BI$4,$DE$6:$DF$17,2)+1))*$D65</f>
        <v>-364.5990943922281</v>
      </c>
      <c r="BJ65" s="1021">
        <f>(VLOOKUP(YEAR($A65),'NY East Load Projections'!$A$4:$EO$14,((MONTH($A65)-1)*12)+VLOOKUP(BJ$4,$DE$6:$DF$17,2)+1))*$D65</f>
        <v>-372.62273257243305</v>
      </c>
      <c r="BK65" s="1021">
        <f>(VLOOKUP(YEAR($A65),'NY East Load Projections'!$A$4:$EO$14,((MONTH($A65)-1)*12)+VLOOKUP(BK$4,$DE$6:$DF$17,2)+1))*$D65</f>
        <v>-372.62273257243305</v>
      </c>
      <c r="BL65" s="1021">
        <f>(VLOOKUP(YEAR($A65),'NY East Load Projections'!$A$4:$EO$14,((MONTH($A65)-1)*12)+VLOOKUP(BL$4,$DE$6:$DF$17,2)+1))*$D65</f>
        <v>-372.62273257243305</v>
      </c>
      <c r="BM65" s="1021">
        <f>(VLOOKUP(YEAR($A65),'NY East Load Projections'!$A$4:$EO$14,((MONTH($A65)-1)*12)+VLOOKUP(BM$4,$DE$6:$DF$17,2)+1))*$D65</f>
        <v>-372.62273257243305</v>
      </c>
      <c r="BN65" s="1021">
        <f>(VLOOKUP(YEAR($A65),'NY East Load Projections'!$A$4:$EO$14,((MONTH($A65)-1)*12)+VLOOKUP(BN$4,$DE$6:$DF$17,2)+1))*$D65</f>
        <v>-396.67201354861959</v>
      </c>
      <c r="BO65" s="1021">
        <f>(VLOOKUP(YEAR($A65),'NY East Load Projections'!$A$4:$EO$14,((MONTH($A65)-1)*12)+VLOOKUP(BO$4,$DE$6:$DF$17,2)+1))*$D65</f>
        <v>-396.67201354861959</v>
      </c>
      <c r="BP65" s="1021">
        <f>(VLOOKUP(YEAR($A65),'NY East Load Projections'!$A$4:$EO$14,((MONTH($A65)-1)*12)+VLOOKUP(BP$4,$DE$6:$DF$17,2)+1))*$D65</f>
        <v>-396.67201354861959</v>
      </c>
      <c r="BQ65" s="1021">
        <f>(VLOOKUP(YEAR($A65),'NY East Load Projections'!$A$4:$EO$14,((MONTH($A65)-1)*12)+VLOOKUP(BQ$4,$DE$6:$DF$17,2)+1))*$D65</f>
        <v>-396.67201354861959</v>
      </c>
      <c r="BR65" s="1021">
        <f>(VLOOKUP(YEAR($A65),'NY East Load Projections'!$A$4:$EO$14,((MONTH($A65)-1)*12)+VLOOKUP(BR$4,$DE$6:$DF$17,2)+1))*$D65</f>
        <v>-400.97247397127842</v>
      </c>
      <c r="BS65" s="1021">
        <f>(VLOOKUP(YEAR($A65),'NY East Load Projections'!$A$4:$EO$14,((MONTH($A65)-1)*12)+VLOOKUP(BS$4,$DE$6:$DF$17,2)+1))*$D65</f>
        <v>-400.97247397127842</v>
      </c>
      <c r="BT65" s="1021">
        <f>(VLOOKUP(YEAR($A65),'NY East Load Projections'!$A$4:$EO$14,((MONTH($A65)-1)*12)+VLOOKUP(BT$4,$DE$6:$DF$17,2)+1))*$D65</f>
        <v>-400.97247397127842</v>
      </c>
      <c r="BU65" s="1021">
        <f>(VLOOKUP(YEAR($A65),'NY East Load Projections'!$A$4:$EO$14,((MONTH($A65)-1)*12)+VLOOKUP(BU$4,$DE$6:$DF$17,2)+1))*$D65</f>
        <v>-400.97247397127842</v>
      </c>
      <c r="BV65" s="1021">
        <f>(VLOOKUP(YEAR($A65),'NY East Load Projections'!$A$4:$EO$14,((MONTH($A65)-1)*12)+VLOOKUP(BV$4,$DE$6:$DF$17,2)+1))*$D65</f>
        <v>-385.10576231870567</v>
      </c>
      <c r="BW65" s="1021">
        <f>(VLOOKUP(YEAR($A65),'NY East Load Projections'!$A$4:$EO$14,((MONTH($A65)-1)*12)+VLOOKUP(BW$4,$DE$6:$DF$17,2)+1))*$D65</f>
        <v>-385.10576231870567</v>
      </c>
      <c r="BX65" s="1021">
        <f>(VLOOKUP(YEAR($A65),'NY East Load Projections'!$A$4:$EO$14,((MONTH($A65)-1)*12)+VLOOKUP(BX$4,$DE$6:$DF$17,2)+1))*$D65</f>
        <v>-385.10576231870567</v>
      </c>
      <c r="BY65" s="1021">
        <f>(VLOOKUP(YEAR($A65),'NY East Load Projections'!$A$4:$EO$14,((MONTH($A65)-1)*12)+VLOOKUP(BY$4,$DE$6:$DF$17,2)+1))*$D65</f>
        <v>-385.10576231870567</v>
      </c>
      <c r="BZ65" s="1021">
        <f>(VLOOKUP(YEAR($A65),'NY East Load Projections'!$A$4:$EO$14,((MONTH($A65)-1)*12)+VLOOKUP(BZ$4,$DE$6:$DF$17,2)+1))*$D65</f>
        <v>-372.10014224394604</v>
      </c>
      <c r="CA65" s="1021">
        <f>(VLOOKUP(YEAR($A65),'NY East Load Projections'!$A$4:$EO$14,((MONTH($A65)-1)*12)+VLOOKUP(CA$4,$DE$6:$DF$17,2)+1))*$D65</f>
        <v>-372.10014224394604</v>
      </c>
      <c r="CB65" s="1021">
        <f>(VLOOKUP(YEAR($A65),'NY East Load Projections'!$A$4:$EO$14,((MONTH($A65)-1)*12)+VLOOKUP(CB$4,$DE$6:$DF$17,2)+1))*$D65</f>
        <v>-372.10014224394604</v>
      </c>
      <c r="CC65" s="1021">
        <f>(VLOOKUP(YEAR($A65),'NY East Load Projections'!$A$4:$EO$14,((MONTH($A65)-1)*12)+VLOOKUP(CC$4,$DE$6:$DF$17,2)+1))*$D65</f>
        <v>-372.10014224394604</v>
      </c>
      <c r="CE65" s="1021">
        <f>(VLOOKUP(YEAR($A65),'NY East Load Projections'!$A$4:$EO$14,((MONTH($A65)-1)*12)+VLOOKUP(CE$4,$DE$6:$DF$17,2)+1))*$E65</f>
        <v>-91.149773598057024</v>
      </c>
      <c r="CF65" s="1021">
        <f>(VLOOKUP(YEAR($A65),'NY East Load Projections'!$A$4:$EO$14,((MONTH($A65)-1)*12)+VLOOKUP(CF$4,$DE$6:$DF$17,2)+1))*$E65</f>
        <v>-91.149773598057024</v>
      </c>
      <c r="CG65" s="1021">
        <f>(VLOOKUP(YEAR($A65),'NY East Load Projections'!$A$4:$EO$14,((MONTH($A65)-1)*12)+VLOOKUP(CG$4,$DE$6:$DF$17,2)+1))*$E65</f>
        <v>-91.149773598057024</v>
      </c>
      <c r="CH65" s="1021">
        <f>(VLOOKUP(YEAR($A65),'NY East Load Projections'!$A$4:$EO$14,((MONTH($A65)-1)*12)+VLOOKUP(CH$4,$DE$6:$DF$17,2)+1))*$E65</f>
        <v>-91.149773598057024</v>
      </c>
      <c r="CI65" s="1021">
        <f>(VLOOKUP(YEAR($A65),'NY East Load Projections'!$A$4:$EO$14,((MONTH($A65)-1)*12)+VLOOKUP(CI$4,$DE$6:$DF$17,2)+1))*$E65</f>
        <v>-93.155683143108263</v>
      </c>
      <c r="CJ65" s="1021">
        <f>(VLOOKUP(YEAR($A65),'NY East Load Projections'!$A$4:$EO$14,((MONTH($A65)-1)*12)+VLOOKUP(CJ$4,$DE$6:$DF$17,2)+1))*$E65</f>
        <v>-93.155683143108263</v>
      </c>
      <c r="CK65" s="1021">
        <f>(VLOOKUP(YEAR($A65),'NY East Load Projections'!$A$4:$EO$14,((MONTH($A65)-1)*12)+VLOOKUP(CK$4,$DE$6:$DF$17,2)+1))*$E65</f>
        <v>-93.155683143108263</v>
      </c>
      <c r="CL65" s="1021">
        <f>(VLOOKUP(YEAR($A65),'NY East Load Projections'!$A$4:$EO$14,((MONTH($A65)-1)*12)+VLOOKUP(CL$4,$DE$6:$DF$17,2)+1))*$E65</f>
        <v>-93.155683143108263</v>
      </c>
      <c r="CM65" s="1021">
        <f>(VLOOKUP(YEAR($A65),'NY East Load Projections'!$A$4:$EO$14,((MONTH($A65)-1)*12)+VLOOKUP(CM$4,$DE$6:$DF$17,2)+1))*$E65</f>
        <v>-99.168003387154897</v>
      </c>
      <c r="CN65" s="1021">
        <f>(VLOOKUP(YEAR($A65),'NY East Load Projections'!$A$4:$EO$14,((MONTH($A65)-1)*12)+VLOOKUP(CN$4,$DE$6:$DF$17,2)+1))*$E65</f>
        <v>-99.168003387154897</v>
      </c>
      <c r="CO65" s="1021">
        <f>(VLOOKUP(YEAR($A65),'NY East Load Projections'!$A$4:$EO$14,((MONTH($A65)-1)*12)+VLOOKUP(CO$4,$DE$6:$DF$17,2)+1))*$E65</f>
        <v>-99.168003387154897</v>
      </c>
      <c r="CP65" s="1021">
        <f>(VLOOKUP(YEAR($A65),'NY East Load Projections'!$A$4:$EO$14,((MONTH($A65)-1)*12)+VLOOKUP(CP$4,$DE$6:$DF$17,2)+1))*$E65</f>
        <v>-99.168003387154897</v>
      </c>
      <c r="CQ65" s="1021">
        <f>(VLOOKUP(YEAR($A65),'NY East Load Projections'!$A$4:$EO$14,((MONTH($A65)-1)*12)+VLOOKUP(CQ$4,$DE$6:$DF$17,2)+1))*$E65</f>
        <v>-100.2431184928196</v>
      </c>
      <c r="CR65" s="1021">
        <f>(VLOOKUP(YEAR($A65),'NY East Load Projections'!$A$4:$EO$14,((MONTH($A65)-1)*12)+VLOOKUP(CR$4,$DE$6:$DF$17,2)+1))*$E65</f>
        <v>-100.2431184928196</v>
      </c>
      <c r="CS65" s="1021">
        <f>(VLOOKUP(YEAR($A65),'NY East Load Projections'!$A$4:$EO$14,((MONTH($A65)-1)*12)+VLOOKUP(CS$4,$DE$6:$DF$17,2)+1))*$E65</f>
        <v>-100.2431184928196</v>
      </c>
      <c r="CT65" s="1021">
        <f>(VLOOKUP(YEAR($A65),'NY East Load Projections'!$A$4:$EO$14,((MONTH($A65)-1)*12)+VLOOKUP(CT$4,$DE$6:$DF$17,2)+1))*$E65</f>
        <v>-100.2431184928196</v>
      </c>
      <c r="CU65" s="1021">
        <f>(VLOOKUP(YEAR($A65),'NY East Load Projections'!$A$4:$EO$14,((MONTH($A65)-1)*12)+VLOOKUP(CU$4,$DE$6:$DF$17,2)+1))*$E65</f>
        <v>-96.276440579676418</v>
      </c>
      <c r="CV65" s="1021">
        <f>(VLOOKUP(YEAR($A65),'NY East Load Projections'!$A$4:$EO$14,((MONTH($A65)-1)*12)+VLOOKUP(CV$4,$DE$6:$DF$17,2)+1))*$E65</f>
        <v>-96.276440579676418</v>
      </c>
      <c r="CW65" s="1021">
        <f>(VLOOKUP(YEAR($A65),'NY East Load Projections'!$A$4:$EO$14,((MONTH($A65)-1)*12)+VLOOKUP(CW$4,$DE$6:$DF$17,2)+1))*$E65</f>
        <v>-96.276440579676418</v>
      </c>
      <c r="CX65" s="1021">
        <f>(VLOOKUP(YEAR($A65),'NY East Load Projections'!$A$4:$EO$14,((MONTH($A65)-1)*12)+VLOOKUP(CX$4,$DE$6:$DF$17,2)+1))*$E65</f>
        <v>-96.276440579676418</v>
      </c>
      <c r="CY65" s="1021">
        <f>(VLOOKUP(YEAR($A65),'NY East Load Projections'!$A$4:$EO$14,((MONTH($A65)-1)*12)+VLOOKUP(CY$4,$DE$6:$DF$17,2)+1))*$E65</f>
        <v>-93.02503556098651</v>
      </c>
      <c r="CZ65" s="1021">
        <f>(VLOOKUP(YEAR($A65),'NY East Load Projections'!$A$4:$EO$14,((MONTH($A65)-1)*12)+VLOOKUP(CZ$4,$DE$6:$DF$17,2)+1))*$E65</f>
        <v>-93.02503556098651</v>
      </c>
      <c r="DA65" s="1021">
        <f>(VLOOKUP(YEAR($A65),'NY East Load Projections'!$A$4:$EO$14,((MONTH($A65)-1)*12)+VLOOKUP(DA$4,$DE$6:$DF$17,2)+1))*$E65</f>
        <v>-93.02503556098651</v>
      </c>
      <c r="DB65" s="1021">
        <f>(VLOOKUP(YEAR($A65),'NY East Load Projections'!$A$4:$EO$14,((MONTH($A65)-1)*12)+VLOOKUP(DB$4,$DE$6:$DF$17,2)+1))*$E65</f>
        <v>-93.02503556098651</v>
      </c>
      <c r="DH65" s="1009">
        <f t="shared" si="2"/>
        <v>-73239.760116860678</v>
      </c>
      <c r="DI65">
        <f ca="1">CALC!J85</f>
        <v>0.65459584130256854</v>
      </c>
      <c r="DJ65" s="1032">
        <f t="shared" ca="1" si="1"/>
        <v>-47942.442390494718</v>
      </c>
    </row>
    <row r="66" spans="1:114" x14ac:dyDescent="0.25">
      <c r="A66" s="244">
        <v>38718</v>
      </c>
      <c r="B66" s="13">
        <v>21</v>
      </c>
      <c r="C66" s="210">
        <v>4</v>
      </c>
      <c r="D66" s="210">
        <v>5</v>
      </c>
      <c r="E66" s="210">
        <v>1</v>
      </c>
      <c r="F66" s="13">
        <v>31</v>
      </c>
      <c r="H66" s="1021">
        <f>(VLOOKUP(YEAR($A66),'NY East Load Projections'!$A$4:$EO$14,((MONTH($A66)-1)*12)+VLOOKUP(H$4,$DE$6:$DF$17,2)+1))*$B66</f>
        <v>-1761.4350638271439</v>
      </c>
      <c r="I66" s="1021">
        <f>(VLOOKUP(YEAR($A66),'NY East Load Projections'!$A$4:$EO$14,((MONTH($A66)-1)*12)+VLOOKUP(I$4,$DE$6:$DF$17,2)+1))*$B66</f>
        <v>-1761.4350638271439</v>
      </c>
      <c r="J66" s="1021">
        <f>(VLOOKUP(YEAR($A66),'NY East Load Projections'!$A$4:$EO$14,((MONTH($A66)-1)*12)+VLOOKUP(J$4,$DE$6:$DF$17,2)+1))*$B66</f>
        <v>-1761.4350638271439</v>
      </c>
      <c r="K66" s="1021">
        <f>(VLOOKUP(YEAR($A66),'NY East Load Projections'!$A$4:$EO$14,((MONTH($A66)-1)*12)+VLOOKUP(K$4,$DE$6:$DF$17,2)+1))*$B66</f>
        <v>-1761.4350638271439</v>
      </c>
      <c r="L66" s="1021">
        <f>(VLOOKUP(YEAR($A66),'NY East Load Projections'!$A$4:$EO$14,((MONTH($A66)-1)*12)+VLOOKUP(L$4,$DE$6:$DF$17,2)+1))*$B66</f>
        <v>-1975.8750529946465</v>
      </c>
      <c r="M66" s="1021">
        <f>(VLOOKUP(YEAR($A66),'NY East Load Projections'!$A$4:$EO$14,((MONTH($A66)-1)*12)+VLOOKUP(M$4,$DE$6:$DF$17,2)+1))*$B66</f>
        <v>-1975.8750529946465</v>
      </c>
      <c r="N66" s="1021">
        <f>(VLOOKUP(YEAR($A66),'NY East Load Projections'!$A$4:$EO$14,((MONTH($A66)-1)*12)+VLOOKUP(N$4,$DE$6:$DF$17,2)+1))*$B66</f>
        <v>-1975.8750529946465</v>
      </c>
      <c r="O66" s="1021">
        <f>(VLOOKUP(YEAR($A66),'NY East Load Projections'!$A$4:$EO$14,((MONTH($A66)-1)*12)+VLOOKUP(O$4,$DE$6:$DF$17,2)+1))*$B66</f>
        <v>-1975.8750529946465</v>
      </c>
      <c r="P66" s="1021">
        <f>(VLOOKUP(YEAR($A66),'NY East Load Projections'!$A$4:$EO$14,((MONTH($A66)-1)*12)+VLOOKUP(P$4,$DE$6:$DF$17,2)+1))*$B66</f>
        <v>-2160.2200501916241</v>
      </c>
      <c r="Q66" s="1021">
        <f>(VLOOKUP(YEAR($A66),'NY East Load Projections'!$A$4:$EO$14,((MONTH($A66)-1)*12)+VLOOKUP(Q$4,$DE$6:$DF$17,2)+1))*$B66</f>
        <v>-2160.2200501916241</v>
      </c>
      <c r="R66" s="1021">
        <f>(VLOOKUP(YEAR($A66),'NY East Load Projections'!$A$4:$EO$14,((MONTH($A66)-1)*12)+VLOOKUP(R$4,$DE$6:$DF$17,2)+1))*$B66</f>
        <v>-2160.2200501916241</v>
      </c>
      <c r="S66" s="1021">
        <f>(VLOOKUP(YEAR($A66),'NY East Load Projections'!$A$4:$EO$14,((MONTH($A66)-1)*12)+VLOOKUP(S$4,$DE$6:$DF$17,2)+1))*$B66</f>
        <v>-2160.2200501916241</v>
      </c>
      <c r="T66" s="1021">
        <f>(VLOOKUP(YEAR($A66),'NY East Load Projections'!$A$4:$EO$14,((MONTH($A66)-1)*12)+VLOOKUP(T$4,$DE$6:$DF$17,2)+1))*$B66</f>
        <v>-2195.7620536844797</v>
      </c>
      <c r="U66" s="1021">
        <f>(VLOOKUP(YEAR($A66),'NY East Load Projections'!$A$4:$EO$14,((MONTH($A66)-1)*12)+VLOOKUP(U$4,$DE$6:$DF$17,2)+1))*$B66</f>
        <v>-2195.7620536844797</v>
      </c>
      <c r="V66" s="1021">
        <f>(VLOOKUP(YEAR($A66),'NY East Load Projections'!$A$4:$EO$14,((MONTH($A66)-1)*12)+VLOOKUP(V$4,$DE$6:$DF$17,2)+1))*$B66</f>
        <v>-2195.7620536844797</v>
      </c>
      <c r="W66" s="1021">
        <f>(VLOOKUP(YEAR($A66),'NY East Load Projections'!$A$4:$EO$14,((MONTH($A66)-1)*12)+VLOOKUP(W$4,$DE$6:$DF$17,2)+1))*$B66</f>
        <v>-2195.7620536844797</v>
      </c>
      <c r="X66" s="1021">
        <f>(VLOOKUP(YEAR($A66),'NY East Load Projections'!$A$4:$EO$14,((MONTH($A66)-1)*12)+VLOOKUP(X$4,$DE$6:$DF$17,2)+1))*$B66</f>
        <v>-2065.378982117124</v>
      </c>
      <c r="Y66" s="1021">
        <f>(VLOOKUP(YEAR($A66),'NY East Load Projections'!$A$4:$EO$14,((MONTH($A66)-1)*12)+VLOOKUP(Y$4,$DE$6:$DF$17,2)+1))*$B66</f>
        <v>-2065.378982117124</v>
      </c>
      <c r="Z66" s="1021">
        <f>(VLOOKUP(YEAR($A66),'NY East Load Projections'!$A$4:$EO$14,((MONTH($A66)-1)*12)+VLOOKUP(Z$4,$DE$6:$DF$17,2)+1))*$B66</f>
        <v>-2065.378982117124</v>
      </c>
      <c r="AA66" s="1021">
        <f>(VLOOKUP(YEAR($A66),'NY East Load Projections'!$A$4:$EO$14,((MONTH($A66)-1)*12)+VLOOKUP(AA$4,$DE$6:$DF$17,2)+1))*$B66</f>
        <v>-2065.378982117124</v>
      </c>
      <c r="AB66" s="1021">
        <f>(VLOOKUP(YEAR($A66),'NY East Load Projections'!$A$4:$EO$14,((MONTH($A66)-1)*12)+VLOOKUP(AB$4,$DE$6:$DF$17,2)+1))*$B66</f>
        <v>-1854.5154711831424</v>
      </c>
      <c r="AC66" s="1021">
        <f>(VLOOKUP(YEAR($A66),'NY East Load Projections'!$A$4:$EO$14,((MONTH($A66)-1)*12)+VLOOKUP(AC$4,$DE$6:$DF$17,2)+1))*$B66</f>
        <v>-1854.5154711831424</v>
      </c>
      <c r="AD66" s="1021">
        <f>(VLOOKUP(YEAR($A66),'NY East Load Projections'!$A$4:$EO$14,((MONTH($A66)-1)*12)+VLOOKUP(AD$4,$DE$6:$DF$17,2)+1))*$B66</f>
        <v>-1854.5154711831424</v>
      </c>
      <c r="AE66" s="1021">
        <f>(VLOOKUP(YEAR($A66),'NY East Load Projections'!$A$4:$EO$14,((MONTH($A66)-1)*12)+VLOOKUP(AE$4,$DE$6:$DF$17,2)+1))*$B66</f>
        <v>-1854.5154711831424</v>
      </c>
      <c r="AF66" s="1021"/>
      <c r="AG66" s="1021">
        <f>(VLOOKUP(YEAR($A66),'NY East Load Projections'!$A$4:$EO$14,((MONTH($A66)-1)*12)+VLOOKUP(AG$4,$DE$6:$DF$17,2)+1))*$C66</f>
        <v>-351.84210265646993</v>
      </c>
      <c r="AH66" s="1021">
        <f>(VLOOKUP(YEAR($A66),'NY East Load Projections'!$A$4:$EO$14,((MONTH($A66)-1)*12)+VLOOKUP(AH$4,$DE$6:$DF$17,2)+1))*$C66</f>
        <v>-351.84210265646993</v>
      </c>
      <c r="AI66" s="1021">
        <f>(VLOOKUP(YEAR($A66),'NY East Load Projections'!$A$4:$EO$14,((MONTH($A66)-1)*12)+VLOOKUP(AI$4,$DE$6:$DF$17,2)+1))*$C66</f>
        <v>-351.84210265646993</v>
      </c>
      <c r="AJ66" s="1021">
        <f>(VLOOKUP(YEAR($A66),'NY East Load Projections'!$A$4:$EO$14,((MONTH($A66)-1)*12)+VLOOKUP(AJ$4,$DE$6:$DF$17,2)+1))*$C66</f>
        <v>-351.84210265646993</v>
      </c>
      <c r="AK66" s="1021">
        <f>(VLOOKUP(YEAR($A66),'NY East Load Projections'!$A$4:$EO$14,((MONTH($A66)-1)*12)+VLOOKUP(AK$4,$DE$6:$DF$17,2)+1))*$C66</f>
        <v>-360.98119798105319</v>
      </c>
      <c r="AL66" s="1021">
        <f>(VLOOKUP(YEAR($A66),'NY East Load Projections'!$A$4:$EO$14,((MONTH($A66)-1)*12)+VLOOKUP(AL$4,$DE$6:$DF$17,2)+1))*$C66</f>
        <v>-360.98119798105319</v>
      </c>
      <c r="AM66" s="1021">
        <f>(VLOOKUP(YEAR($A66),'NY East Load Projections'!$A$4:$EO$14,((MONTH($A66)-1)*12)+VLOOKUP(AM$4,$DE$6:$DF$17,2)+1))*$C66</f>
        <v>-360.98119798105319</v>
      </c>
      <c r="AN66" s="1021">
        <f>(VLOOKUP(YEAR($A66),'NY East Load Projections'!$A$4:$EO$14,((MONTH($A66)-1)*12)+VLOOKUP(AN$4,$DE$6:$DF$17,2)+1))*$C66</f>
        <v>-360.98119798105319</v>
      </c>
      <c r="AO66" s="1021">
        <f>(VLOOKUP(YEAR($A66),'NY East Load Projections'!$A$4:$EO$14,((MONTH($A66)-1)*12)+VLOOKUP(AO$4,$DE$6:$DF$17,2)+1))*$C66</f>
        <v>-388.57869920407558</v>
      </c>
      <c r="AP66" s="1021">
        <f>(VLOOKUP(YEAR($A66),'NY East Load Projections'!$A$4:$EO$14,((MONTH($A66)-1)*12)+VLOOKUP(AP$4,$DE$6:$DF$17,2)+1))*$C66</f>
        <v>-388.57869920407558</v>
      </c>
      <c r="AQ66" s="1021">
        <f>(VLOOKUP(YEAR($A66),'NY East Load Projections'!$A$4:$EO$14,((MONTH($A66)-1)*12)+VLOOKUP(AQ$4,$DE$6:$DF$17,2)+1))*$C66</f>
        <v>-388.57869920407558</v>
      </c>
      <c r="AR66" s="1021">
        <f>(VLOOKUP(YEAR($A66),'NY East Load Projections'!$A$4:$EO$14,((MONTH($A66)-1)*12)+VLOOKUP(AR$4,$DE$6:$DF$17,2)+1))*$C66</f>
        <v>-388.57869920407558</v>
      </c>
      <c r="AS66" s="1021">
        <f>(VLOOKUP(YEAR($A66),'NY East Load Projections'!$A$4:$EO$14,((MONTH($A66)-1)*12)+VLOOKUP(AS$4,$DE$6:$DF$17,2)+1))*$C66</f>
        <v>-390.47404529258256</v>
      </c>
      <c r="AT66" s="1021">
        <f>(VLOOKUP(YEAR($A66),'NY East Load Projections'!$A$4:$EO$14,((MONTH($A66)-1)*12)+VLOOKUP(AT$4,$DE$6:$DF$17,2)+1))*$C66</f>
        <v>-390.47404529258256</v>
      </c>
      <c r="AU66" s="1021">
        <f>(VLOOKUP(YEAR($A66),'NY East Load Projections'!$A$4:$EO$14,((MONTH($A66)-1)*12)+VLOOKUP(AU$4,$DE$6:$DF$17,2)+1))*$C66</f>
        <v>-390.47404529258256</v>
      </c>
      <c r="AV66" s="1021">
        <f>(VLOOKUP(YEAR($A66),'NY East Load Projections'!$A$4:$EO$14,((MONTH($A66)-1)*12)+VLOOKUP(AV$4,$DE$6:$DF$17,2)+1))*$C66</f>
        <v>-390.47404529258256</v>
      </c>
      <c r="AW66" s="1021">
        <f>(VLOOKUP(YEAR($A66),'NY East Load Projections'!$A$4:$EO$14,((MONTH($A66)-1)*12)+VLOOKUP(AW$4,$DE$6:$DF$17,2)+1))*$C66</f>
        <v>-370.3457987672885</v>
      </c>
      <c r="AX66" s="1021">
        <f>(VLOOKUP(YEAR($A66),'NY East Load Projections'!$A$4:$EO$14,((MONTH($A66)-1)*12)+VLOOKUP(AX$4,$DE$6:$DF$17,2)+1))*$C66</f>
        <v>-370.3457987672885</v>
      </c>
      <c r="AY66" s="1021">
        <f>(VLOOKUP(YEAR($A66),'NY East Load Projections'!$A$4:$EO$14,((MONTH($A66)-1)*12)+VLOOKUP(AY$4,$DE$6:$DF$17,2)+1))*$C66</f>
        <v>-370.3457987672885</v>
      </c>
      <c r="AZ66" s="1021">
        <f>(VLOOKUP(YEAR($A66),'NY East Load Projections'!$A$4:$EO$14,((MONTH($A66)-1)*12)+VLOOKUP(AZ$4,$DE$6:$DF$17,2)+1))*$C66</f>
        <v>-370.3457987672885</v>
      </c>
      <c r="BA66" s="1021">
        <f>(VLOOKUP(YEAR($A66),'NY East Load Projections'!$A$4:$EO$14,((MONTH($A66)-1)*12)+VLOOKUP(BA$4,$DE$6:$DF$17,2)+1))*$C66</f>
        <v>-356.10515526591854</v>
      </c>
      <c r="BB66" s="1021">
        <f>(VLOOKUP(YEAR($A66),'NY East Load Projections'!$A$4:$EO$14,((MONTH($A66)-1)*12)+VLOOKUP(BB$4,$DE$6:$DF$17,2)+1))*$C66</f>
        <v>-356.10515526591854</v>
      </c>
      <c r="BC66" s="1021">
        <f>(VLOOKUP(YEAR($A66),'NY East Load Projections'!$A$4:$EO$14,((MONTH($A66)-1)*12)+VLOOKUP(BC$4,$DE$6:$DF$17,2)+1))*$C66</f>
        <v>-356.10515526591854</v>
      </c>
      <c r="BD66" s="1021">
        <f>(VLOOKUP(YEAR($A66),'NY East Load Projections'!$A$4:$EO$14,((MONTH($A66)-1)*12)+VLOOKUP(BD$4,$DE$6:$DF$17,2)+1))*$C66</f>
        <v>-356.10515526591854</v>
      </c>
      <c r="BE66" s="1021"/>
      <c r="BF66" s="1021">
        <f>(VLOOKUP(YEAR($A66),'NY East Load Projections'!$A$4:$EO$14,((MONTH($A66)-1)*12)+VLOOKUP(BF$4,$DE$6:$DF$17,2)+1))*$D66</f>
        <v>-439.80262832058742</v>
      </c>
      <c r="BG66" s="1021">
        <f>(VLOOKUP(YEAR($A66),'NY East Load Projections'!$A$4:$EO$14,((MONTH($A66)-1)*12)+VLOOKUP(BG$4,$DE$6:$DF$17,2)+1))*$D66</f>
        <v>-439.80262832058742</v>
      </c>
      <c r="BH66" s="1021">
        <f>(VLOOKUP(YEAR($A66),'NY East Load Projections'!$A$4:$EO$14,((MONTH($A66)-1)*12)+VLOOKUP(BH$4,$DE$6:$DF$17,2)+1))*$D66</f>
        <v>-439.80262832058742</v>
      </c>
      <c r="BI66" s="1021">
        <f>(VLOOKUP(YEAR($A66),'NY East Load Projections'!$A$4:$EO$14,((MONTH($A66)-1)*12)+VLOOKUP(BI$4,$DE$6:$DF$17,2)+1))*$D66</f>
        <v>-439.80262832058742</v>
      </c>
      <c r="BJ66" s="1021">
        <f>(VLOOKUP(YEAR($A66),'NY East Load Projections'!$A$4:$EO$14,((MONTH($A66)-1)*12)+VLOOKUP(BJ$4,$DE$6:$DF$17,2)+1))*$D66</f>
        <v>-451.22649747631647</v>
      </c>
      <c r="BK66" s="1021">
        <f>(VLOOKUP(YEAR($A66),'NY East Load Projections'!$A$4:$EO$14,((MONTH($A66)-1)*12)+VLOOKUP(BK$4,$DE$6:$DF$17,2)+1))*$D66</f>
        <v>-451.22649747631647</v>
      </c>
      <c r="BL66" s="1021">
        <f>(VLOOKUP(YEAR($A66),'NY East Load Projections'!$A$4:$EO$14,((MONTH($A66)-1)*12)+VLOOKUP(BL$4,$DE$6:$DF$17,2)+1))*$D66</f>
        <v>-451.22649747631647</v>
      </c>
      <c r="BM66" s="1021">
        <f>(VLOOKUP(YEAR($A66),'NY East Load Projections'!$A$4:$EO$14,((MONTH($A66)-1)*12)+VLOOKUP(BM$4,$DE$6:$DF$17,2)+1))*$D66</f>
        <v>-451.22649747631647</v>
      </c>
      <c r="BN66" s="1021">
        <f>(VLOOKUP(YEAR($A66),'NY East Load Projections'!$A$4:$EO$14,((MONTH($A66)-1)*12)+VLOOKUP(BN$4,$DE$6:$DF$17,2)+1))*$D66</f>
        <v>-485.72337400509446</v>
      </c>
      <c r="BO66" s="1021">
        <f>(VLOOKUP(YEAR($A66),'NY East Load Projections'!$A$4:$EO$14,((MONTH($A66)-1)*12)+VLOOKUP(BO$4,$DE$6:$DF$17,2)+1))*$D66</f>
        <v>-485.72337400509446</v>
      </c>
      <c r="BP66" s="1021">
        <f>(VLOOKUP(YEAR($A66),'NY East Load Projections'!$A$4:$EO$14,((MONTH($A66)-1)*12)+VLOOKUP(BP$4,$DE$6:$DF$17,2)+1))*$D66</f>
        <v>-485.72337400509446</v>
      </c>
      <c r="BQ66" s="1021">
        <f>(VLOOKUP(YEAR($A66),'NY East Load Projections'!$A$4:$EO$14,((MONTH($A66)-1)*12)+VLOOKUP(BQ$4,$DE$6:$DF$17,2)+1))*$D66</f>
        <v>-485.72337400509446</v>
      </c>
      <c r="BR66" s="1021">
        <f>(VLOOKUP(YEAR($A66),'NY East Load Projections'!$A$4:$EO$14,((MONTH($A66)-1)*12)+VLOOKUP(BR$4,$DE$6:$DF$17,2)+1))*$D66</f>
        <v>-488.0925566157282</v>
      </c>
      <c r="BS66" s="1021">
        <f>(VLOOKUP(YEAR($A66),'NY East Load Projections'!$A$4:$EO$14,((MONTH($A66)-1)*12)+VLOOKUP(BS$4,$DE$6:$DF$17,2)+1))*$D66</f>
        <v>-488.0925566157282</v>
      </c>
      <c r="BT66" s="1021">
        <f>(VLOOKUP(YEAR($A66),'NY East Load Projections'!$A$4:$EO$14,((MONTH($A66)-1)*12)+VLOOKUP(BT$4,$DE$6:$DF$17,2)+1))*$D66</f>
        <v>-488.0925566157282</v>
      </c>
      <c r="BU66" s="1021">
        <f>(VLOOKUP(YEAR($A66),'NY East Load Projections'!$A$4:$EO$14,((MONTH($A66)-1)*12)+VLOOKUP(BU$4,$DE$6:$DF$17,2)+1))*$D66</f>
        <v>-488.0925566157282</v>
      </c>
      <c r="BV66" s="1021">
        <f>(VLOOKUP(YEAR($A66),'NY East Load Projections'!$A$4:$EO$14,((MONTH($A66)-1)*12)+VLOOKUP(BV$4,$DE$6:$DF$17,2)+1))*$D66</f>
        <v>-462.93224845911061</v>
      </c>
      <c r="BW66" s="1021">
        <f>(VLOOKUP(YEAR($A66),'NY East Load Projections'!$A$4:$EO$14,((MONTH($A66)-1)*12)+VLOOKUP(BW$4,$DE$6:$DF$17,2)+1))*$D66</f>
        <v>-462.93224845911061</v>
      </c>
      <c r="BX66" s="1021">
        <f>(VLOOKUP(YEAR($A66),'NY East Load Projections'!$A$4:$EO$14,((MONTH($A66)-1)*12)+VLOOKUP(BX$4,$DE$6:$DF$17,2)+1))*$D66</f>
        <v>-462.93224845911061</v>
      </c>
      <c r="BY66" s="1021">
        <f>(VLOOKUP(YEAR($A66),'NY East Load Projections'!$A$4:$EO$14,((MONTH($A66)-1)*12)+VLOOKUP(BY$4,$DE$6:$DF$17,2)+1))*$D66</f>
        <v>-462.93224845911061</v>
      </c>
      <c r="BZ66" s="1021">
        <f>(VLOOKUP(YEAR($A66),'NY East Load Projections'!$A$4:$EO$14,((MONTH($A66)-1)*12)+VLOOKUP(BZ$4,$DE$6:$DF$17,2)+1))*$D66</f>
        <v>-445.13144408239816</v>
      </c>
      <c r="CA66" s="1021">
        <f>(VLOOKUP(YEAR($A66),'NY East Load Projections'!$A$4:$EO$14,((MONTH($A66)-1)*12)+VLOOKUP(CA$4,$DE$6:$DF$17,2)+1))*$D66</f>
        <v>-445.13144408239816</v>
      </c>
      <c r="CB66" s="1021">
        <f>(VLOOKUP(YEAR($A66),'NY East Load Projections'!$A$4:$EO$14,((MONTH($A66)-1)*12)+VLOOKUP(CB$4,$DE$6:$DF$17,2)+1))*$D66</f>
        <v>-445.13144408239816</v>
      </c>
      <c r="CC66" s="1021">
        <f>(VLOOKUP(YEAR($A66),'NY East Load Projections'!$A$4:$EO$14,((MONTH($A66)-1)*12)+VLOOKUP(CC$4,$DE$6:$DF$17,2)+1))*$D66</f>
        <v>-445.13144408239816</v>
      </c>
      <c r="CE66" s="1021">
        <f>(VLOOKUP(YEAR($A66),'NY East Load Projections'!$A$4:$EO$14,((MONTH($A66)-1)*12)+VLOOKUP(CE$4,$DE$6:$DF$17,2)+1))*$E66</f>
        <v>-87.960525664117483</v>
      </c>
      <c r="CF66" s="1021">
        <f>(VLOOKUP(YEAR($A66),'NY East Load Projections'!$A$4:$EO$14,((MONTH($A66)-1)*12)+VLOOKUP(CF$4,$DE$6:$DF$17,2)+1))*$E66</f>
        <v>-87.960525664117483</v>
      </c>
      <c r="CG66" s="1021">
        <f>(VLOOKUP(YEAR($A66),'NY East Load Projections'!$A$4:$EO$14,((MONTH($A66)-1)*12)+VLOOKUP(CG$4,$DE$6:$DF$17,2)+1))*$E66</f>
        <v>-87.960525664117483</v>
      </c>
      <c r="CH66" s="1021">
        <f>(VLOOKUP(YEAR($A66),'NY East Load Projections'!$A$4:$EO$14,((MONTH($A66)-1)*12)+VLOOKUP(CH$4,$DE$6:$DF$17,2)+1))*$E66</f>
        <v>-87.960525664117483</v>
      </c>
      <c r="CI66" s="1021">
        <f>(VLOOKUP(YEAR($A66),'NY East Load Projections'!$A$4:$EO$14,((MONTH($A66)-1)*12)+VLOOKUP(CI$4,$DE$6:$DF$17,2)+1))*$E66</f>
        <v>-90.245299495263296</v>
      </c>
      <c r="CJ66" s="1021">
        <f>(VLOOKUP(YEAR($A66),'NY East Load Projections'!$A$4:$EO$14,((MONTH($A66)-1)*12)+VLOOKUP(CJ$4,$DE$6:$DF$17,2)+1))*$E66</f>
        <v>-90.245299495263296</v>
      </c>
      <c r="CK66" s="1021">
        <f>(VLOOKUP(YEAR($A66),'NY East Load Projections'!$A$4:$EO$14,((MONTH($A66)-1)*12)+VLOOKUP(CK$4,$DE$6:$DF$17,2)+1))*$E66</f>
        <v>-90.245299495263296</v>
      </c>
      <c r="CL66" s="1021">
        <f>(VLOOKUP(YEAR($A66),'NY East Load Projections'!$A$4:$EO$14,((MONTH($A66)-1)*12)+VLOOKUP(CL$4,$DE$6:$DF$17,2)+1))*$E66</f>
        <v>-90.245299495263296</v>
      </c>
      <c r="CM66" s="1021">
        <f>(VLOOKUP(YEAR($A66),'NY East Load Projections'!$A$4:$EO$14,((MONTH($A66)-1)*12)+VLOOKUP(CM$4,$DE$6:$DF$17,2)+1))*$E66</f>
        <v>-97.144674801018894</v>
      </c>
      <c r="CN66" s="1021">
        <f>(VLOOKUP(YEAR($A66),'NY East Load Projections'!$A$4:$EO$14,((MONTH($A66)-1)*12)+VLOOKUP(CN$4,$DE$6:$DF$17,2)+1))*$E66</f>
        <v>-97.144674801018894</v>
      </c>
      <c r="CO66" s="1021">
        <f>(VLOOKUP(YEAR($A66),'NY East Load Projections'!$A$4:$EO$14,((MONTH($A66)-1)*12)+VLOOKUP(CO$4,$DE$6:$DF$17,2)+1))*$E66</f>
        <v>-97.144674801018894</v>
      </c>
      <c r="CP66" s="1021">
        <f>(VLOOKUP(YEAR($A66),'NY East Load Projections'!$A$4:$EO$14,((MONTH($A66)-1)*12)+VLOOKUP(CP$4,$DE$6:$DF$17,2)+1))*$E66</f>
        <v>-97.144674801018894</v>
      </c>
      <c r="CQ66" s="1021">
        <f>(VLOOKUP(YEAR($A66),'NY East Load Projections'!$A$4:$EO$14,((MONTH($A66)-1)*12)+VLOOKUP(CQ$4,$DE$6:$DF$17,2)+1))*$E66</f>
        <v>-97.61851132314564</v>
      </c>
      <c r="CR66" s="1021">
        <f>(VLOOKUP(YEAR($A66),'NY East Load Projections'!$A$4:$EO$14,((MONTH($A66)-1)*12)+VLOOKUP(CR$4,$DE$6:$DF$17,2)+1))*$E66</f>
        <v>-97.61851132314564</v>
      </c>
      <c r="CS66" s="1021">
        <f>(VLOOKUP(YEAR($A66),'NY East Load Projections'!$A$4:$EO$14,((MONTH($A66)-1)*12)+VLOOKUP(CS$4,$DE$6:$DF$17,2)+1))*$E66</f>
        <v>-97.61851132314564</v>
      </c>
      <c r="CT66" s="1021">
        <f>(VLOOKUP(YEAR($A66),'NY East Load Projections'!$A$4:$EO$14,((MONTH($A66)-1)*12)+VLOOKUP(CT$4,$DE$6:$DF$17,2)+1))*$E66</f>
        <v>-97.61851132314564</v>
      </c>
      <c r="CU66" s="1021">
        <f>(VLOOKUP(YEAR($A66),'NY East Load Projections'!$A$4:$EO$14,((MONTH($A66)-1)*12)+VLOOKUP(CU$4,$DE$6:$DF$17,2)+1))*$E66</f>
        <v>-92.586449691822125</v>
      </c>
      <c r="CV66" s="1021">
        <f>(VLOOKUP(YEAR($A66),'NY East Load Projections'!$A$4:$EO$14,((MONTH($A66)-1)*12)+VLOOKUP(CV$4,$DE$6:$DF$17,2)+1))*$E66</f>
        <v>-92.586449691822125</v>
      </c>
      <c r="CW66" s="1021">
        <f>(VLOOKUP(YEAR($A66),'NY East Load Projections'!$A$4:$EO$14,((MONTH($A66)-1)*12)+VLOOKUP(CW$4,$DE$6:$DF$17,2)+1))*$E66</f>
        <v>-92.586449691822125</v>
      </c>
      <c r="CX66" s="1021">
        <f>(VLOOKUP(YEAR($A66),'NY East Load Projections'!$A$4:$EO$14,((MONTH($A66)-1)*12)+VLOOKUP(CX$4,$DE$6:$DF$17,2)+1))*$E66</f>
        <v>-92.586449691822125</v>
      </c>
      <c r="CY66" s="1021">
        <f>(VLOOKUP(YEAR($A66),'NY East Load Projections'!$A$4:$EO$14,((MONTH($A66)-1)*12)+VLOOKUP(CY$4,$DE$6:$DF$17,2)+1))*$E66</f>
        <v>-89.026288816479635</v>
      </c>
      <c r="CZ66" s="1021">
        <f>(VLOOKUP(YEAR($A66),'NY East Load Projections'!$A$4:$EO$14,((MONTH($A66)-1)*12)+VLOOKUP(CZ$4,$DE$6:$DF$17,2)+1))*$E66</f>
        <v>-89.026288816479635</v>
      </c>
      <c r="DA66" s="1021">
        <f>(VLOOKUP(YEAR($A66),'NY East Load Projections'!$A$4:$EO$14,((MONTH($A66)-1)*12)+VLOOKUP(DA$4,$DE$6:$DF$17,2)+1))*$E66</f>
        <v>-89.026288816479635</v>
      </c>
      <c r="DB66" s="1021">
        <f>(VLOOKUP(YEAR($A66),'NY East Load Projections'!$A$4:$EO$14,((MONTH($A66)-1)*12)+VLOOKUP(DB$4,$DE$6:$DF$17,2)+1))*$E66</f>
        <v>-89.026288816479635</v>
      </c>
      <c r="DH66" s="1009">
        <f t="shared" si="2"/>
        <v>-70236.016687666517</v>
      </c>
      <c r="DI66">
        <f ca="1">CALC!J86</f>
        <v>0.65051551650156136</v>
      </c>
      <c r="DJ66" s="1032">
        <f t="shared" ca="1" si="1"/>
        <v>-45689.61867258967</v>
      </c>
    </row>
    <row r="67" spans="1:114" x14ac:dyDescent="0.25">
      <c r="A67" s="244">
        <v>38749</v>
      </c>
      <c r="B67" s="13">
        <v>20</v>
      </c>
      <c r="C67" s="210">
        <v>4</v>
      </c>
      <c r="D67" s="210">
        <v>4</v>
      </c>
      <c r="E67" s="210">
        <v>0</v>
      </c>
      <c r="F67" s="13">
        <v>28</v>
      </c>
      <c r="H67" s="1021">
        <f>(VLOOKUP(YEAR($A67),'NY East Load Projections'!$A$4:$EO$14,((MONTH($A67)-1)*12)+VLOOKUP(H$4,$DE$6:$DF$17,2)+1))*$B67</f>
        <v>-1644.5283534914861</v>
      </c>
      <c r="I67" s="1021">
        <f>(VLOOKUP(YEAR($A67),'NY East Load Projections'!$A$4:$EO$14,((MONTH($A67)-1)*12)+VLOOKUP(I$4,$DE$6:$DF$17,2)+1))*$B67</f>
        <v>-1644.5283534914861</v>
      </c>
      <c r="J67" s="1021">
        <f>(VLOOKUP(YEAR($A67),'NY East Load Projections'!$A$4:$EO$14,((MONTH($A67)-1)*12)+VLOOKUP(J$4,$DE$6:$DF$17,2)+1))*$B67</f>
        <v>-1644.5283534914861</v>
      </c>
      <c r="K67" s="1021">
        <f>(VLOOKUP(YEAR($A67),'NY East Load Projections'!$A$4:$EO$14,((MONTH($A67)-1)*12)+VLOOKUP(K$4,$DE$6:$DF$17,2)+1))*$B67</f>
        <v>-1644.5283534914861</v>
      </c>
      <c r="L67" s="1021">
        <f>(VLOOKUP(YEAR($A67),'NY East Load Projections'!$A$4:$EO$14,((MONTH($A67)-1)*12)+VLOOKUP(L$4,$DE$6:$DF$17,2)+1))*$B67</f>
        <v>-1834.3576269481737</v>
      </c>
      <c r="M67" s="1021">
        <f>(VLOOKUP(YEAR($A67),'NY East Load Projections'!$A$4:$EO$14,((MONTH($A67)-1)*12)+VLOOKUP(M$4,$DE$6:$DF$17,2)+1))*$B67</f>
        <v>-1834.3576269481737</v>
      </c>
      <c r="N67" s="1021">
        <f>(VLOOKUP(YEAR($A67),'NY East Load Projections'!$A$4:$EO$14,((MONTH($A67)-1)*12)+VLOOKUP(N$4,$DE$6:$DF$17,2)+1))*$B67</f>
        <v>-1834.3576269481737</v>
      </c>
      <c r="O67" s="1021">
        <f>(VLOOKUP(YEAR($A67),'NY East Load Projections'!$A$4:$EO$14,((MONTH($A67)-1)*12)+VLOOKUP(O$4,$DE$6:$DF$17,2)+1))*$B67</f>
        <v>-1834.3576269481737</v>
      </c>
      <c r="P67" s="1021">
        <f>(VLOOKUP(YEAR($A67),'NY East Load Projections'!$A$4:$EO$14,((MONTH($A67)-1)*12)+VLOOKUP(P$4,$DE$6:$DF$17,2)+1))*$B67</f>
        <v>-2006.8044540399414</v>
      </c>
      <c r="Q67" s="1021">
        <f>(VLOOKUP(YEAR($A67),'NY East Load Projections'!$A$4:$EO$14,((MONTH($A67)-1)*12)+VLOOKUP(Q$4,$DE$6:$DF$17,2)+1))*$B67</f>
        <v>-2006.8044540399414</v>
      </c>
      <c r="R67" s="1021">
        <f>(VLOOKUP(YEAR($A67),'NY East Load Projections'!$A$4:$EO$14,((MONTH($A67)-1)*12)+VLOOKUP(R$4,$DE$6:$DF$17,2)+1))*$B67</f>
        <v>-2006.8044540399414</v>
      </c>
      <c r="S67" s="1021">
        <f>(VLOOKUP(YEAR($A67),'NY East Load Projections'!$A$4:$EO$14,((MONTH($A67)-1)*12)+VLOOKUP(S$4,$DE$6:$DF$17,2)+1))*$B67</f>
        <v>-2006.8044540399414</v>
      </c>
      <c r="T67" s="1021">
        <f>(VLOOKUP(YEAR($A67),'NY East Load Projections'!$A$4:$EO$14,((MONTH($A67)-1)*12)+VLOOKUP(T$4,$DE$6:$DF$17,2)+1))*$B67</f>
        <v>-2034.671447672421</v>
      </c>
      <c r="U67" s="1021">
        <f>(VLOOKUP(YEAR($A67),'NY East Load Projections'!$A$4:$EO$14,((MONTH($A67)-1)*12)+VLOOKUP(U$4,$DE$6:$DF$17,2)+1))*$B67</f>
        <v>-2034.671447672421</v>
      </c>
      <c r="V67" s="1021">
        <f>(VLOOKUP(YEAR($A67),'NY East Load Projections'!$A$4:$EO$14,((MONTH($A67)-1)*12)+VLOOKUP(V$4,$DE$6:$DF$17,2)+1))*$B67</f>
        <v>-2034.671447672421</v>
      </c>
      <c r="W67" s="1021">
        <f>(VLOOKUP(YEAR($A67),'NY East Load Projections'!$A$4:$EO$14,((MONTH($A67)-1)*12)+VLOOKUP(W$4,$DE$6:$DF$17,2)+1))*$B67</f>
        <v>-2034.671447672421</v>
      </c>
      <c r="X67" s="1021">
        <f>(VLOOKUP(YEAR($A67),'NY East Load Projections'!$A$4:$EO$14,((MONTH($A67)-1)*12)+VLOOKUP(X$4,$DE$6:$DF$17,2)+1))*$B67</f>
        <v>-1914.935083041014</v>
      </c>
      <c r="Y67" s="1021">
        <f>(VLOOKUP(YEAR($A67),'NY East Load Projections'!$A$4:$EO$14,((MONTH($A67)-1)*12)+VLOOKUP(Y$4,$DE$6:$DF$17,2)+1))*$B67</f>
        <v>-1914.935083041014</v>
      </c>
      <c r="Z67" s="1021">
        <f>(VLOOKUP(YEAR($A67),'NY East Load Projections'!$A$4:$EO$14,((MONTH($A67)-1)*12)+VLOOKUP(Z$4,$DE$6:$DF$17,2)+1))*$B67</f>
        <v>-1914.935083041014</v>
      </c>
      <c r="AA67" s="1021">
        <f>(VLOOKUP(YEAR($A67),'NY East Load Projections'!$A$4:$EO$14,((MONTH($A67)-1)*12)+VLOOKUP(AA$4,$DE$6:$DF$17,2)+1))*$B67</f>
        <v>-1914.935083041014</v>
      </c>
      <c r="AB67" s="1021">
        <f>(VLOOKUP(YEAR($A67),'NY East Load Projections'!$A$4:$EO$14,((MONTH($A67)-1)*12)+VLOOKUP(AB$4,$DE$6:$DF$17,2)+1))*$B67</f>
        <v>-1718.6211482172139</v>
      </c>
      <c r="AC67" s="1021">
        <f>(VLOOKUP(YEAR($A67),'NY East Load Projections'!$A$4:$EO$14,((MONTH($A67)-1)*12)+VLOOKUP(AC$4,$DE$6:$DF$17,2)+1))*$B67</f>
        <v>-1718.6211482172139</v>
      </c>
      <c r="AD67" s="1021">
        <f>(VLOOKUP(YEAR($A67),'NY East Load Projections'!$A$4:$EO$14,((MONTH($A67)-1)*12)+VLOOKUP(AD$4,$DE$6:$DF$17,2)+1))*$B67</f>
        <v>-1718.6211482172139</v>
      </c>
      <c r="AE67" s="1021">
        <f>(VLOOKUP(YEAR($A67),'NY East Load Projections'!$A$4:$EO$14,((MONTH($A67)-1)*12)+VLOOKUP(AE$4,$DE$6:$DF$17,2)+1))*$B67</f>
        <v>-1718.6211482172139</v>
      </c>
      <c r="AF67" s="1021"/>
      <c r="AG67" s="1021">
        <f>(VLOOKUP(YEAR($A67),'NY East Load Projections'!$A$4:$EO$14,((MONTH($A67)-1)*12)+VLOOKUP(AG$4,$DE$6:$DF$17,2)+1))*$C67</f>
        <v>-348.60927828547472</v>
      </c>
      <c r="AH67" s="1021">
        <f>(VLOOKUP(YEAR($A67),'NY East Load Projections'!$A$4:$EO$14,((MONTH($A67)-1)*12)+VLOOKUP(AH$4,$DE$6:$DF$17,2)+1))*$C67</f>
        <v>-348.60927828547472</v>
      </c>
      <c r="AI67" s="1021">
        <f>(VLOOKUP(YEAR($A67),'NY East Load Projections'!$A$4:$EO$14,((MONTH($A67)-1)*12)+VLOOKUP(AI$4,$DE$6:$DF$17,2)+1))*$C67</f>
        <v>-348.60927828547472</v>
      </c>
      <c r="AJ67" s="1021">
        <f>(VLOOKUP(YEAR($A67),'NY East Load Projections'!$A$4:$EO$14,((MONTH($A67)-1)*12)+VLOOKUP(AJ$4,$DE$6:$DF$17,2)+1))*$C67</f>
        <v>-348.60927828547472</v>
      </c>
      <c r="AK67" s="1021">
        <f>(VLOOKUP(YEAR($A67),'NY East Load Projections'!$A$4:$EO$14,((MONTH($A67)-1)*12)+VLOOKUP(AK$4,$DE$6:$DF$17,2)+1))*$C67</f>
        <v>-355.10708668679678</v>
      </c>
      <c r="AL67" s="1021">
        <f>(VLOOKUP(YEAR($A67),'NY East Load Projections'!$A$4:$EO$14,((MONTH($A67)-1)*12)+VLOOKUP(AL$4,$DE$6:$DF$17,2)+1))*$C67</f>
        <v>-355.10708668679678</v>
      </c>
      <c r="AM67" s="1021">
        <f>(VLOOKUP(YEAR($A67),'NY East Load Projections'!$A$4:$EO$14,((MONTH($A67)-1)*12)+VLOOKUP(AM$4,$DE$6:$DF$17,2)+1))*$C67</f>
        <v>-355.10708668679678</v>
      </c>
      <c r="AN67" s="1021">
        <f>(VLOOKUP(YEAR($A67),'NY East Load Projections'!$A$4:$EO$14,((MONTH($A67)-1)*12)+VLOOKUP(AN$4,$DE$6:$DF$17,2)+1))*$C67</f>
        <v>-355.10708668679678</v>
      </c>
      <c r="AO67" s="1021">
        <f>(VLOOKUP(YEAR($A67),'NY East Load Projections'!$A$4:$EO$14,((MONTH($A67)-1)*12)+VLOOKUP(AO$4,$DE$6:$DF$17,2)+1))*$C67</f>
        <v>-380.96186112915825</v>
      </c>
      <c r="AP67" s="1021">
        <f>(VLOOKUP(YEAR($A67),'NY East Load Projections'!$A$4:$EO$14,((MONTH($A67)-1)*12)+VLOOKUP(AP$4,$DE$6:$DF$17,2)+1))*$C67</f>
        <v>-380.96186112915825</v>
      </c>
      <c r="AQ67" s="1021">
        <f>(VLOOKUP(YEAR($A67),'NY East Load Projections'!$A$4:$EO$14,((MONTH($A67)-1)*12)+VLOOKUP(AQ$4,$DE$6:$DF$17,2)+1))*$C67</f>
        <v>-380.96186112915825</v>
      </c>
      <c r="AR67" s="1021">
        <f>(VLOOKUP(YEAR($A67),'NY East Load Projections'!$A$4:$EO$14,((MONTH($A67)-1)*12)+VLOOKUP(AR$4,$DE$6:$DF$17,2)+1))*$C67</f>
        <v>-380.96186112915825</v>
      </c>
      <c r="AS67" s="1021">
        <f>(VLOOKUP(YEAR($A67),'NY East Load Projections'!$A$4:$EO$14,((MONTH($A67)-1)*12)+VLOOKUP(AS$4,$DE$6:$DF$17,2)+1))*$C67</f>
        <v>-381.67276230380816</v>
      </c>
      <c r="AT67" s="1021">
        <f>(VLOOKUP(YEAR($A67),'NY East Load Projections'!$A$4:$EO$14,((MONTH($A67)-1)*12)+VLOOKUP(AT$4,$DE$6:$DF$17,2)+1))*$C67</f>
        <v>-381.67276230380816</v>
      </c>
      <c r="AU67" s="1021">
        <f>(VLOOKUP(YEAR($A67),'NY East Load Projections'!$A$4:$EO$14,((MONTH($A67)-1)*12)+VLOOKUP(AU$4,$DE$6:$DF$17,2)+1))*$C67</f>
        <v>-381.67276230380816</v>
      </c>
      <c r="AV67" s="1021">
        <f>(VLOOKUP(YEAR($A67),'NY East Load Projections'!$A$4:$EO$14,((MONTH($A67)-1)*12)+VLOOKUP(AV$4,$DE$6:$DF$17,2)+1))*$C67</f>
        <v>-381.67276230380816</v>
      </c>
      <c r="AW67" s="1021">
        <f>(VLOOKUP(YEAR($A67),'NY East Load Projections'!$A$4:$EO$14,((MONTH($A67)-1)*12)+VLOOKUP(AW$4,$DE$6:$DF$17,2)+1))*$C67</f>
        <v>-364.32578405411863</v>
      </c>
      <c r="AX67" s="1021">
        <f>(VLOOKUP(YEAR($A67),'NY East Load Projections'!$A$4:$EO$14,((MONTH($A67)-1)*12)+VLOOKUP(AX$4,$DE$6:$DF$17,2)+1))*$C67</f>
        <v>-364.32578405411863</v>
      </c>
      <c r="AY67" s="1021">
        <f>(VLOOKUP(YEAR($A67),'NY East Load Projections'!$A$4:$EO$14,((MONTH($A67)-1)*12)+VLOOKUP(AY$4,$DE$6:$DF$17,2)+1))*$C67</f>
        <v>-364.32578405411863</v>
      </c>
      <c r="AZ67" s="1021">
        <f>(VLOOKUP(YEAR($A67),'NY East Load Projections'!$A$4:$EO$14,((MONTH($A67)-1)*12)+VLOOKUP(AZ$4,$DE$6:$DF$17,2)+1))*$C67</f>
        <v>-364.32578405411863</v>
      </c>
      <c r="BA67" s="1021">
        <f>(VLOOKUP(YEAR($A67),'NY East Load Projections'!$A$4:$EO$14,((MONTH($A67)-1)*12)+VLOOKUP(BA$4,$DE$6:$DF$17,2)+1))*$C67</f>
        <v>-352.47399730789914</v>
      </c>
      <c r="BB67" s="1021">
        <f>(VLOOKUP(YEAR($A67),'NY East Load Projections'!$A$4:$EO$14,((MONTH($A67)-1)*12)+VLOOKUP(BB$4,$DE$6:$DF$17,2)+1))*$C67</f>
        <v>-352.47399730789914</v>
      </c>
      <c r="BC67" s="1021">
        <f>(VLOOKUP(YEAR($A67),'NY East Load Projections'!$A$4:$EO$14,((MONTH($A67)-1)*12)+VLOOKUP(BC$4,$DE$6:$DF$17,2)+1))*$C67</f>
        <v>-352.47399730789914</v>
      </c>
      <c r="BD67" s="1021">
        <f>(VLOOKUP(YEAR($A67),'NY East Load Projections'!$A$4:$EO$14,((MONTH($A67)-1)*12)+VLOOKUP(BD$4,$DE$6:$DF$17,2)+1))*$C67</f>
        <v>-352.47399730789914</v>
      </c>
      <c r="BE67" s="1021"/>
      <c r="BF67" s="1021">
        <f>(VLOOKUP(YEAR($A67),'NY East Load Projections'!$A$4:$EO$14,((MONTH($A67)-1)*12)+VLOOKUP(BF$4,$DE$6:$DF$17,2)+1))*$D67</f>
        <v>-348.60927828547472</v>
      </c>
      <c r="BG67" s="1021">
        <f>(VLOOKUP(YEAR($A67),'NY East Load Projections'!$A$4:$EO$14,((MONTH($A67)-1)*12)+VLOOKUP(BG$4,$DE$6:$DF$17,2)+1))*$D67</f>
        <v>-348.60927828547472</v>
      </c>
      <c r="BH67" s="1021">
        <f>(VLOOKUP(YEAR($A67),'NY East Load Projections'!$A$4:$EO$14,((MONTH($A67)-1)*12)+VLOOKUP(BH$4,$DE$6:$DF$17,2)+1))*$D67</f>
        <v>-348.60927828547472</v>
      </c>
      <c r="BI67" s="1021">
        <f>(VLOOKUP(YEAR($A67),'NY East Load Projections'!$A$4:$EO$14,((MONTH($A67)-1)*12)+VLOOKUP(BI$4,$DE$6:$DF$17,2)+1))*$D67</f>
        <v>-348.60927828547472</v>
      </c>
      <c r="BJ67" s="1021">
        <f>(VLOOKUP(YEAR($A67),'NY East Load Projections'!$A$4:$EO$14,((MONTH($A67)-1)*12)+VLOOKUP(BJ$4,$DE$6:$DF$17,2)+1))*$D67</f>
        <v>-355.10708668679678</v>
      </c>
      <c r="BK67" s="1021">
        <f>(VLOOKUP(YEAR($A67),'NY East Load Projections'!$A$4:$EO$14,((MONTH($A67)-1)*12)+VLOOKUP(BK$4,$DE$6:$DF$17,2)+1))*$D67</f>
        <v>-355.10708668679678</v>
      </c>
      <c r="BL67" s="1021">
        <f>(VLOOKUP(YEAR($A67),'NY East Load Projections'!$A$4:$EO$14,((MONTH($A67)-1)*12)+VLOOKUP(BL$4,$DE$6:$DF$17,2)+1))*$D67</f>
        <v>-355.10708668679678</v>
      </c>
      <c r="BM67" s="1021">
        <f>(VLOOKUP(YEAR($A67),'NY East Load Projections'!$A$4:$EO$14,((MONTH($A67)-1)*12)+VLOOKUP(BM$4,$DE$6:$DF$17,2)+1))*$D67</f>
        <v>-355.10708668679678</v>
      </c>
      <c r="BN67" s="1021">
        <f>(VLOOKUP(YEAR($A67),'NY East Load Projections'!$A$4:$EO$14,((MONTH($A67)-1)*12)+VLOOKUP(BN$4,$DE$6:$DF$17,2)+1))*$D67</f>
        <v>-380.96186112915825</v>
      </c>
      <c r="BO67" s="1021">
        <f>(VLOOKUP(YEAR($A67),'NY East Load Projections'!$A$4:$EO$14,((MONTH($A67)-1)*12)+VLOOKUP(BO$4,$DE$6:$DF$17,2)+1))*$D67</f>
        <v>-380.96186112915825</v>
      </c>
      <c r="BP67" s="1021">
        <f>(VLOOKUP(YEAR($A67),'NY East Load Projections'!$A$4:$EO$14,((MONTH($A67)-1)*12)+VLOOKUP(BP$4,$DE$6:$DF$17,2)+1))*$D67</f>
        <v>-380.96186112915825</v>
      </c>
      <c r="BQ67" s="1021">
        <f>(VLOOKUP(YEAR($A67),'NY East Load Projections'!$A$4:$EO$14,((MONTH($A67)-1)*12)+VLOOKUP(BQ$4,$DE$6:$DF$17,2)+1))*$D67</f>
        <v>-380.96186112915825</v>
      </c>
      <c r="BR67" s="1021">
        <f>(VLOOKUP(YEAR($A67),'NY East Load Projections'!$A$4:$EO$14,((MONTH($A67)-1)*12)+VLOOKUP(BR$4,$DE$6:$DF$17,2)+1))*$D67</f>
        <v>-381.67276230380816</v>
      </c>
      <c r="BS67" s="1021">
        <f>(VLOOKUP(YEAR($A67),'NY East Load Projections'!$A$4:$EO$14,((MONTH($A67)-1)*12)+VLOOKUP(BS$4,$DE$6:$DF$17,2)+1))*$D67</f>
        <v>-381.67276230380816</v>
      </c>
      <c r="BT67" s="1021">
        <f>(VLOOKUP(YEAR($A67),'NY East Load Projections'!$A$4:$EO$14,((MONTH($A67)-1)*12)+VLOOKUP(BT$4,$DE$6:$DF$17,2)+1))*$D67</f>
        <v>-381.67276230380816</v>
      </c>
      <c r="BU67" s="1021">
        <f>(VLOOKUP(YEAR($A67),'NY East Load Projections'!$A$4:$EO$14,((MONTH($A67)-1)*12)+VLOOKUP(BU$4,$DE$6:$DF$17,2)+1))*$D67</f>
        <v>-381.67276230380816</v>
      </c>
      <c r="BV67" s="1021">
        <f>(VLOOKUP(YEAR($A67),'NY East Load Projections'!$A$4:$EO$14,((MONTH($A67)-1)*12)+VLOOKUP(BV$4,$DE$6:$DF$17,2)+1))*$D67</f>
        <v>-364.32578405411863</v>
      </c>
      <c r="BW67" s="1021">
        <f>(VLOOKUP(YEAR($A67),'NY East Load Projections'!$A$4:$EO$14,((MONTH($A67)-1)*12)+VLOOKUP(BW$4,$DE$6:$DF$17,2)+1))*$D67</f>
        <v>-364.32578405411863</v>
      </c>
      <c r="BX67" s="1021">
        <f>(VLOOKUP(YEAR($A67),'NY East Load Projections'!$A$4:$EO$14,((MONTH($A67)-1)*12)+VLOOKUP(BX$4,$DE$6:$DF$17,2)+1))*$D67</f>
        <v>-364.32578405411863</v>
      </c>
      <c r="BY67" s="1021">
        <f>(VLOOKUP(YEAR($A67),'NY East Load Projections'!$A$4:$EO$14,((MONTH($A67)-1)*12)+VLOOKUP(BY$4,$DE$6:$DF$17,2)+1))*$D67</f>
        <v>-364.32578405411863</v>
      </c>
      <c r="BZ67" s="1021">
        <f>(VLOOKUP(YEAR($A67),'NY East Load Projections'!$A$4:$EO$14,((MONTH($A67)-1)*12)+VLOOKUP(BZ$4,$DE$6:$DF$17,2)+1))*$D67</f>
        <v>-352.47399730789914</v>
      </c>
      <c r="CA67" s="1021">
        <f>(VLOOKUP(YEAR($A67),'NY East Load Projections'!$A$4:$EO$14,((MONTH($A67)-1)*12)+VLOOKUP(CA$4,$DE$6:$DF$17,2)+1))*$D67</f>
        <v>-352.47399730789914</v>
      </c>
      <c r="CB67" s="1021">
        <f>(VLOOKUP(YEAR($A67),'NY East Load Projections'!$A$4:$EO$14,((MONTH($A67)-1)*12)+VLOOKUP(CB$4,$DE$6:$DF$17,2)+1))*$D67</f>
        <v>-352.47399730789914</v>
      </c>
      <c r="CC67" s="1021">
        <f>(VLOOKUP(YEAR($A67),'NY East Load Projections'!$A$4:$EO$14,((MONTH($A67)-1)*12)+VLOOKUP(CC$4,$DE$6:$DF$17,2)+1))*$D67</f>
        <v>-352.47399730789914</v>
      </c>
      <c r="CE67" s="1021">
        <f>(VLOOKUP(YEAR($A67),'NY East Load Projections'!$A$4:$EO$14,((MONTH($A67)-1)*12)+VLOOKUP(CE$4,$DE$6:$DF$17,2)+1))*$E67</f>
        <v>0</v>
      </c>
      <c r="CF67" s="1021">
        <f>(VLOOKUP(YEAR($A67),'NY East Load Projections'!$A$4:$EO$14,((MONTH($A67)-1)*12)+VLOOKUP(CF$4,$DE$6:$DF$17,2)+1))*$E67</f>
        <v>0</v>
      </c>
      <c r="CG67" s="1021">
        <f>(VLOOKUP(YEAR($A67),'NY East Load Projections'!$A$4:$EO$14,((MONTH($A67)-1)*12)+VLOOKUP(CG$4,$DE$6:$DF$17,2)+1))*$E67</f>
        <v>0</v>
      </c>
      <c r="CH67" s="1021">
        <f>(VLOOKUP(YEAR($A67),'NY East Load Projections'!$A$4:$EO$14,((MONTH($A67)-1)*12)+VLOOKUP(CH$4,$DE$6:$DF$17,2)+1))*$E67</f>
        <v>0</v>
      </c>
      <c r="CI67" s="1021">
        <f>(VLOOKUP(YEAR($A67),'NY East Load Projections'!$A$4:$EO$14,((MONTH($A67)-1)*12)+VLOOKUP(CI$4,$DE$6:$DF$17,2)+1))*$E67</f>
        <v>0</v>
      </c>
      <c r="CJ67" s="1021">
        <f>(VLOOKUP(YEAR($A67),'NY East Load Projections'!$A$4:$EO$14,((MONTH($A67)-1)*12)+VLOOKUP(CJ$4,$DE$6:$DF$17,2)+1))*$E67</f>
        <v>0</v>
      </c>
      <c r="CK67" s="1021">
        <f>(VLOOKUP(YEAR($A67),'NY East Load Projections'!$A$4:$EO$14,((MONTH($A67)-1)*12)+VLOOKUP(CK$4,$DE$6:$DF$17,2)+1))*$E67</f>
        <v>0</v>
      </c>
      <c r="CL67" s="1021">
        <f>(VLOOKUP(YEAR($A67),'NY East Load Projections'!$A$4:$EO$14,((MONTH($A67)-1)*12)+VLOOKUP(CL$4,$DE$6:$DF$17,2)+1))*$E67</f>
        <v>0</v>
      </c>
      <c r="CM67" s="1021">
        <f>(VLOOKUP(YEAR($A67),'NY East Load Projections'!$A$4:$EO$14,((MONTH($A67)-1)*12)+VLOOKUP(CM$4,$DE$6:$DF$17,2)+1))*$E67</f>
        <v>0</v>
      </c>
      <c r="CN67" s="1021">
        <f>(VLOOKUP(YEAR($A67),'NY East Load Projections'!$A$4:$EO$14,((MONTH($A67)-1)*12)+VLOOKUP(CN$4,$DE$6:$DF$17,2)+1))*$E67</f>
        <v>0</v>
      </c>
      <c r="CO67" s="1021">
        <f>(VLOOKUP(YEAR($A67),'NY East Load Projections'!$A$4:$EO$14,((MONTH($A67)-1)*12)+VLOOKUP(CO$4,$DE$6:$DF$17,2)+1))*$E67</f>
        <v>0</v>
      </c>
      <c r="CP67" s="1021">
        <f>(VLOOKUP(YEAR($A67),'NY East Load Projections'!$A$4:$EO$14,((MONTH($A67)-1)*12)+VLOOKUP(CP$4,$DE$6:$DF$17,2)+1))*$E67</f>
        <v>0</v>
      </c>
      <c r="CQ67" s="1021">
        <f>(VLOOKUP(YEAR($A67),'NY East Load Projections'!$A$4:$EO$14,((MONTH($A67)-1)*12)+VLOOKUP(CQ$4,$DE$6:$DF$17,2)+1))*$E67</f>
        <v>0</v>
      </c>
      <c r="CR67" s="1021">
        <f>(VLOOKUP(YEAR($A67),'NY East Load Projections'!$A$4:$EO$14,((MONTH($A67)-1)*12)+VLOOKUP(CR$4,$DE$6:$DF$17,2)+1))*$E67</f>
        <v>0</v>
      </c>
      <c r="CS67" s="1021">
        <f>(VLOOKUP(YEAR($A67),'NY East Load Projections'!$A$4:$EO$14,((MONTH($A67)-1)*12)+VLOOKUP(CS$4,$DE$6:$DF$17,2)+1))*$E67</f>
        <v>0</v>
      </c>
      <c r="CT67" s="1021">
        <f>(VLOOKUP(YEAR($A67),'NY East Load Projections'!$A$4:$EO$14,((MONTH($A67)-1)*12)+VLOOKUP(CT$4,$DE$6:$DF$17,2)+1))*$E67</f>
        <v>0</v>
      </c>
      <c r="CU67" s="1021">
        <f>(VLOOKUP(YEAR($A67),'NY East Load Projections'!$A$4:$EO$14,((MONTH($A67)-1)*12)+VLOOKUP(CU$4,$DE$6:$DF$17,2)+1))*$E67</f>
        <v>0</v>
      </c>
      <c r="CV67" s="1021">
        <f>(VLOOKUP(YEAR($A67),'NY East Load Projections'!$A$4:$EO$14,((MONTH($A67)-1)*12)+VLOOKUP(CV$4,$DE$6:$DF$17,2)+1))*$E67</f>
        <v>0</v>
      </c>
      <c r="CW67" s="1021">
        <f>(VLOOKUP(YEAR($A67),'NY East Load Projections'!$A$4:$EO$14,((MONTH($A67)-1)*12)+VLOOKUP(CW$4,$DE$6:$DF$17,2)+1))*$E67</f>
        <v>0</v>
      </c>
      <c r="CX67" s="1021">
        <f>(VLOOKUP(YEAR($A67),'NY East Load Projections'!$A$4:$EO$14,((MONTH($A67)-1)*12)+VLOOKUP(CX$4,$DE$6:$DF$17,2)+1))*$E67</f>
        <v>0</v>
      </c>
      <c r="CY67" s="1021">
        <f>(VLOOKUP(YEAR($A67),'NY East Load Projections'!$A$4:$EO$14,((MONTH($A67)-1)*12)+VLOOKUP(CY$4,$DE$6:$DF$17,2)+1))*$E67</f>
        <v>0</v>
      </c>
      <c r="CZ67" s="1021">
        <f>(VLOOKUP(YEAR($A67),'NY East Load Projections'!$A$4:$EO$14,((MONTH($A67)-1)*12)+VLOOKUP(CZ$4,$DE$6:$DF$17,2)+1))*$E67</f>
        <v>0</v>
      </c>
      <c r="DA67" s="1021">
        <f>(VLOOKUP(YEAR($A67),'NY East Load Projections'!$A$4:$EO$14,((MONTH($A67)-1)*12)+VLOOKUP(DA$4,$DE$6:$DF$17,2)+1))*$E67</f>
        <v>0</v>
      </c>
      <c r="DB67" s="1021">
        <f>(VLOOKUP(YEAR($A67),'NY East Load Projections'!$A$4:$EO$14,((MONTH($A67)-1)*12)+VLOOKUP(DB$4,$DE$6:$DF$17,2)+1))*$E67</f>
        <v>0</v>
      </c>
      <c r="DH67" s="1009">
        <f t="shared" si="2"/>
        <v>-62080.878611779066</v>
      </c>
      <c r="DI67">
        <f ca="1">CALC!J87</f>
        <v>0.64684058945095924</v>
      </c>
      <c r="DJ67" s="1032">
        <f t="shared" ca="1" si="1"/>
        <v>-40156.432114876618</v>
      </c>
    </row>
    <row r="68" spans="1:114" x14ac:dyDescent="0.25">
      <c r="A68" s="244">
        <v>38777</v>
      </c>
      <c r="B68" s="13">
        <v>23</v>
      </c>
      <c r="C68" s="210">
        <v>4</v>
      </c>
      <c r="D68" s="210">
        <v>4</v>
      </c>
      <c r="E68" s="210">
        <v>0</v>
      </c>
      <c r="F68" s="13">
        <v>31</v>
      </c>
      <c r="H68" s="1021">
        <f>(VLOOKUP(YEAR($A68),'NY East Load Projections'!$A$4:$EO$14,((MONTH($A68)-1)*12)+VLOOKUP(H$4,$DE$6:$DF$17,2)+1))*$B68</f>
        <v>-1799.8778511690182</v>
      </c>
      <c r="I68" s="1021">
        <f>(VLOOKUP(YEAR($A68),'NY East Load Projections'!$A$4:$EO$14,((MONTH($A68)-1)*12)+VLOOKUP(I$4,$DE$6:$DF$17,2)+1))*$B68</f>
        <v>-1799.8778511690182</v>
      </c>
      <c r="J68" s="1021">
        <f>(VLOOKUP(YEAR($A68),'NY East Load Projections'!$A$4:$EO$14,((MONTH($A68)-1)*12)+VLOOKUP(J$4,$DE$6:$DF$17,2)+1))*$B68</f>
        <v>-1799.8778511690182</v>
      </c>
      <c r="K68" s="1021">
        <f>(VLOOKUP(YEAR($A68),'NY East Load Projections'!$A$4:$EO$14,((MONTH($A68)-1)*12)+VLOOKUP(K$4,$DE$6:$DF$17,2)+1))*$B68</f>
        <v>-1799.8778511690182</v>
      </c>
      <c r="L68" s="1021">
        <f>(VLOOKUP(YEAR($A68),'NY East Load Projections'!$A$4:$EO$14,((MONTH($A68)-1)*12)+VLOOKUP(L$4,$DE$6:$DF$17,2)+1))*$B68</f>
        <v>-1992.3688857206525</v>
      </c>
      <c r="M68" s="1021">
        <f>(VLOOKUP(YEAR($A68),'NY East Load Projections'!$A$4:$EO$14,((MONTH($A68)-1)*12)+VLOOKUP(M$4,$DE$6:$DF$17,2)+1))*$B68</f>
        <v>-1992.3688857206525</v>
      </c>
      <c r="N68" s="1021">
        <f>(VLOOKUP(YEAR($A68),'NY East Load Projections'!$A$4:$EO$14,((MONTH($A68)-1)*12)+VLOOKUP(N$4,$DE$6:$DF$17,2)+1))*$B68</f>
        <v>-1992.3688857206525</v>
      </c>
      <c r="O68" s="1021">
        <f>(VLOOKUP(YEAR($A68),'NY East Load Projections'!$A$4:$EO$14,((MONTH($A68)-1)*12)+VLOOKUP(O$4,$DE$6:$DF$17,2)+1))*$B68</f>
        <v>-1992.3688857206525</v>
      </c>
      <c r="P68" s="1021">
        <f>(VLOOKUP(YEAR($A68),'NY East Load Projections'!$A$4:$EO$14,((MONTH($A68)-1)*12)+VLOOKUP(P$4,$DE$6:$DF$17,2)+1))*$B68</f>
        <v>-2222.137224256182</v>
      </c>
      <c r="Q68" s="1021">
        <f>(VLOOKUP(YEAR($A68),'NY East Load Projections'!$A$4:$EO$14,((MONTH($A68)-1)*12)+VLOOKUP(Q$4,$DE$6:$DF$17,2)+1))*$B68</f>
        <v>-2222.137224256182</v>
      </c>
      <c r="R68" s="1021">
        <f>(VLOOKUP(YEAR($A68),'NY East Load Projections'!$A$4:$EO$14,((MONTH($A68)-1)*12)+VLOOKUP(R$4,$DE$6:$DF$17,2)+1))*$B68</f>
        <v>-2222.137224256182</v>
      </c>
      <c r="S68" s="1021">
        <f>(VLOOKUP(YEAR($A68),'NY East Load Projections'!$A$4:$EO$14,((MONTH($A68)-1)*12)+VLOOKUP(S$4,$DE$6:$DF$17,2)+1))*$B68</f>
        <v>-2222.137224256182</v>
      </c>
      <c r="T68" s="1021">
        <f>(VLOOKUP(YEAR($A68),'NY East Load Projections'!$A$4:$EO$14,((MONTH($A68)-1)*12)+VLOOKUP(T$4,$DE$6:$DF$17,2)+1))*$B68</f>
        <v>-2294.4840789248728</v>
      </c>
      <c r="U68" s="1021">
        <f>(VLOOKUP(YEAR($A68),'NY East Load Projections'!$A$4:$EO$14,((MONTH($A68)-1)*12)+VLOOKUP(U$4,$DE$6:$DF$17,2)+1))*$B68</f>
        <v>-2294.4840789248728</v>
      </c>
      <c r="V68" s="1021">
        <f>(VLOOKUP(YEAR($A68),'NY East Load Projections'!$A$4:$EO$14,((MONTH($A68)-1)*12)+VLOOKUP(V$4,$DE$6:$DF$17,2)+1))*$B68</f>
        <v>-2294.4840789248728</v>
      </c>
      <c r="W68" s="1021">
        <f>(VLOOKUP(YEAR($A68),'NY East Load Projections'!$A$4:$EO$14,((MONTH($A68)-1)*12)+VLOOKUP(W$4,$DE$6:$DF$17,2)+1))*$B68</f>
        <v>-2294.4840789248728</v>
      </c>
      <c r="X68" s="1021">
        <f>(VLOOKUP(YEAR($A68),'NY East Load Projections'!$A$4:$EO$14,((MONTH($A68)-1)*12)+VLOOKUP(X$4,$DE$6:$DF$17,2)+1))*$B68</f>
        <v>-2164.2258731755865</v>
      </c>
      <c r="Y68" s="1021">
        <f>(VLOOKUP(YEAR($A68),'NY East Load Projections'!$A$4:$EO$14,((MONTH($A68)-1)*12)+VLOOKUP(Y$4,$DE$6:$DF$17,2)+1))*$B68</f>
        <v>-2164.2258731755865</v>
      </c>
      <c r="Z68" s="1021">
        <f>(VLOOKUP(YEAR($A68),'NY East Load Projections'!$A$4:$EO$14,((MONTH($A68)-1)*12)+VLOOKUP(Z$4,$DE$6:$DF$17,2)+1))*$B68</f>
        <v>-2164.2258731755865</v>
      </c>
      <c r="AA68" s="1021">
        <f>(VLOOKUP(YEAR($A68),'NY East Load Projections'!$A$4:$EO$14,((MONTH($A68)-1)*12)+VLOOKUP(AA$4,$DE$6:$DF$17,2)+1))*$B68</f>
        <v>-2164.2258731755865</v>
      </c>
      <c r="AB68" s="1021">
        <f>(VLOOKUP(YEAR($A68),'NY East Load Projections'!$A$4:$EO$14,((MONTH($A68)-1)*12)+VLOOKUP(AB$4,$DE$6:$DF$17,2)+1))*$B68</f>
        <v>-1934.0585499868355</v>
      </c>
      <c r="AC68" s="1021">
        <f>(VLOOKUP(YEAR($A68),'NY East Load Projections'!$A$4:$EO$14,((MONTH($A68)-1)*12)+VLOOKUP(AC$4,$DE$6:$DF$17,2)+1))*$B68</f>
        <v>-1934.0585499868355</v>
      </c>
      <c r="AD68" s="1021">
        <f>(VLOOKUP(YEAR($A68),'NY East Load Projections'!$A$4:$EO$14,((MONTH($A68)-1)*12)+VLOOKUP(AD$4,$DE$6:$DF$17,2)+1))*$B68</f>
        <v>-1934.0585499868355</v>
      </c>
      <c r="AE68" s="1021">
        <f>(VLOOKUP(YEAR($A68),'NY East Load Projections'!$A$4:$EO$14,((MONTH($A68)-1)*12)+VLOOKUP(AE$4,$DE$6:$DF$17,2)+1))*$B68</f>
        <v>-1934.0585499868355</v>
      </c>
      <c r="AF68" s="1021"/>
      <c r="AG68" s="1021">
        <f>(VLOOKUP(YEAR($A68),'NY East Load Projections'!$A$4:$EO$14,((MONTH($A68)-1)*12)+VLOOKUP(AG$4,$DE$6:$DF$17,2)+1))*$C68</f>
        <v>-350.49475565888054</v>
      </c>
      <c r="AH68" s="1021">
        <f>(VLOOKUP(YEAR($A68),'NY East Load Projections'!$A$4:$EO$14,((MONTH($A68)-1)*12)+VLOOKUP(AH$4,$DE$6:$DF$17,2)+1))*$C68</f>
        <v>-350.49475565888054</v>
      </c>
      <c r="AI68" s="1021">
        <f>(VLOOKUP(YEAR($A68),'NY East Load Projections'!$A$4:$EO$14,((MONTH($A68)-1)*12)+VLOOKUP(AI$4,$DE$6:$DF$17,2)+1))*$C68</f>
        <v>-350.49475565888054</v>
      </c>
      <c r="AJ68" s="1021">
        <f>(VLOOKUP(YEAR($A68),'NY East Load Projections'!$A$4:$EO$14,((MONTH($A68)-1)*12)+VLOOKUP(AJ$4,$DE$6:$DF$17,2)+1))*$C68</f>
        <v>-350.49475565888054</v>
      </c>
      <c r="AK68" s="1021">
        <f>(VLOOKUP(YEAR($A68),'NY East Load Projections'!$A$4:$EO$14,((MONTH($A68)-1)*12)+VLOOKUP(AK$4,$DE$6:$DF$17,2)+1))*$C68</f>
        <v>-354.7603928174135</v>
      </c>
      <c r="AL68" s="1021">
        <f>(VLOOKUP(YEAR($A68),'NY East Load Projections'!$A$4:$EO$14,((MONTH($A68)-1)*12)+VLOOKUP(AL$4,$DE$6:$DF$17,2)+1))*$C68</f>
        <v>-354.7603928174135</v>
      </c>
      <c r="AM68" s="1021">
        <f>(VLOOKUP(YEAR($A68),'NY East Load Projections'!$A$4:$EO$14,((MONTH($A68)-1)*12)+VLOOKUP(AM$4,$DE$6:$DF$17,2)+1))*$C68</f>
        <v>-354.7603928174135</v>
      </c>
      <c r="AN68" s="1021">
        <f>(VLOOKUP(YEAR($A68),'NY East Load Projections'!$A$4:$EO$14,((MONTH($A68)-1)*12)+VLOOKUP(AN$4,$DE$6:$DF$17,2)+1))*$C68</f>
        <v>-354.7603928174135</v>
      </c>
      <c r="AO68" s="1021">
        <f>(VLOOKUP(YEAR($A68),'NY East Load Projections'!$A$4:$EO$14,((MONTH($A68)-1)*12)+VLOOKUP(AO$4,$DE$6:$DF$17,2)+1))*$C68</f>
        <v>-380.32206931918438</v>
      </c>
      <c r="AP68" s="1021">
        <f>(VLOOKUP(YEAR($A68),'NY East Load Projections'!$A$4:$EO$14,((MONTH($A68)-1)*12)+VLOOKUP(AP$4,$DE$6:$DF$17,2)+1))*$C68</f>
        <v>-380.32206931918438</v>
      </c>
      <c r="AQ68" s="1021">
        <f>(VLOOKUP(YEAR($A68),'NY East Load Projections'!$A$4:$EO$14,((MONTH($A68)-1)*12)+VLOOKUP(AQ$4,$DE$6:$DF$17,2)+1))*$C68</f>
        <v>-380.32206931918438</v>
      </c>
      <c r="AR68" s="1021">
        <f>(VLOOKUP(YEAR($A68),'NY East Load Projections'!$A$4:$EO$14,((MONTH($A68)-1)*12)+VLOOKUP(AR$4,$DE$6:$DF$17,2)+1))*$C68</f>
        <v>-380.32206931918438</v>
      </c>
      <c r="AS68" s="1021">
        <f>(VLOOKUP(YEAR($A68),'NY East Load Projections'!$A$4:$EO$14,((MONTH($A68)-1)*12)+VLOOKUP(AS$4,$DE$6:$DF$17,2)+1))*$C68</f>
        <v>-382.20752526866391</v>
      </c>
      <c r="AT68" s="1021">
        <f>(VLOOKUP(YEAR($A68),'NY East Load Projections'!$A$4:$EO$14,((MONTH($A68)-1)*12)+VLOOKUP(AT$4,$DE$6:$DF$17,2)+1))*$C68</f>
        <v>-382.20752526866391</v>
      </c>
      <c r="AU68" s="1021">
        <f>(VLOOKUP(YEAR($A68),'NY East Load Projections'!$A$4:$EO$14,((MONTH($A68)-1)*12)+VLOOKUP(AU$4,$DE$6:$DF$17,2)+1))*$C68</f>
        <v>-382.20752526866391</v>
      </c>
      <c r="AV68" s="1021">
        <f>(VLOOKUP(YEAR($A68),'NY East Load Projections'!$A$4:$EO$14,((MONTH($A68)-1)*12)+VLOOKUP(AV$4,$DE$6:$DF$17,2)+1))*$C68</f>
        <v>-382.20752526866391</v>
      </c>
      <c r="AW68" s="1021">
        <f>(VLOOKUP(YEAR($A68),'NY East Load Projections'!$A$4:$EO$14,((MONTH($A68)-1)*12)+VLOOKUP(AW$4,$DE$6:$DF$17,2)+1))*$C68</f>
        <v>-365.92602380115477</v>
      </c>
      <c r="AX68" s="1021">
        <f>(VLOOKUP(YEAR($A68),'NY East Load Projections'!$A$4:$EO$14,((MONTH($A68)-1)*12)+VLOOKUP(AX$4,$DE$6:$DF$17,2)+1))*$C68</f>
        <v>-365.92602380115477</v>
      </c>
      <c r="AY68" s="1021">
        <f>(VLOOKUP(YEAR($A68),'NY East Load Projections'!$A$4:$EO$14,((MONTH($A68)-1)*12)+VLOOKUP(AY$4,$DE$6:$DF$17,2)+1))*$C68</f>
        <v>-365.92602380115477</v>
      </c>
      <c r="AZ68" s="1021">
        <f>(VLOOKUP(YEAR($A68),'NY East Load Projections'!$A$4:$EO$14,((MONTH($A68)-1)*12)+VLOOKUP(AZ$4,$DE$6:$DF$17,2)+1))*$C68</f>
        <v>-365.92602380115477</v>
      </c>
      <c r="BA68" s="1021">
        <f>(VLOOKUP(YEAR($A68),'NY East Load Projections'!$A$4:$EO$14,((MONTH($A68)-1)*12)+VLOOKUP(BA$4,$DE$6:$DF$17,2)+1))*$C68</f>
        <v>-353.54179664098297</v>
      </c>
      <c r="BB68" s="1021">
        <f>(VLOOKUP(YEAR($A68),'NY East Load Projections'!$A$4:$EO$14,((MONTH($A68)-1)*12)+VLOOKUP(BB$4,$DE$6:$DF$17,2)+1))*$C68</f>
        <v>-353.54179664098297</v>
      </c>
      <c r="BC68" s="1021">
        <f>(VLOOKUP(YEAR($A68),'NY East Load Projections'!$A$4:$EO$14,((MONTH($A68)-1)*12)+VLOOKUP(BC$4,$DE$6:$DF$17,2)+1))*$C68</f>
        <v>-353.54179664098297</v>
      </c>
      <c r="BD68" s="1021">
        <f>(VLOOKUP(YEAR($A68),'NY East Load Projections'!$A$4:$EO$14,((MONTH($A68)-1)*12)+VLOOKUP(BD$4,$DE$6:$DF$17,2)+1))*$C68</f>
        <v>-353.54179664098297</v>
      </c>
      <c r="BE68" s="1021"/>
      <c r="BF68" s="1021">
        <f>(VLOOKUP(YEAR($A68),'NY East Load Projections'!$A$4:$EO$14,((MONTH($A68)-1)*12)+VLOOKUP(BF$4,$DE$6:$DF$17,2)+1))*$D68</f>
        <v>-350.49475565888054</v>
      </c>
      <c r="BG68" s="1021">
        <f>(VLOOKUP(YEAR($A68),'NY East Load Projections'!$A$4:$EO$14,((MONTH($A68)-1)*12)+VLOOKUP(BG$4,$DE$6:$DF$17,2)+1))*$D68</f>
        <v>-350.49475565888054</v>
      </c>
      <c r="BH68" s="1021">
        <f>(VLOOKUP(YEAR($A68),'NY East Load Projections'!$A$4:$EO$14,((MONTH($A68)-1)*12)+VLOOKUP(BH$4,$DE$6:$DF$17,2)+1))*$D68</f>
        <v>-350.49475565888054</v>
      </c>
      <c r="BI68" s="1021">
        <f>(VLOOKUP(YEAR($A68),'NY East Load Projections'!$A$4:$EO$14,((MONTH($A68)-1)*12)+VLOOKUP(BI$4,$DE$6:$DF$17,2)+1))*$D68</f>
        <v>-350.49475565888054</v>
      </c>
      <c r="BJ68" s="1021">
        <f>(VLOOKUP(YEAR($A68),'NY East Load Projections'!$A$4:$EO$14,((MONTH($A68)-1)*12)+VLOOKUP(BJ$4,$DE$6:$DF$17,2)+1))*$D68</f>
        <v>-354.7603928174135</v>
      </c>
      <c r="BK68" s="1021">
        <f>(VLOOKUP(YEAR($A68),'NY East Load Projections'!$A$4:$EO$14,((MONTH($A68)-1)*12)+VLOOKUP(BK$4,$DE$6:$DF$17,2)+1))*$D68</f>
        <v>-354.7603928174135</v>
      </c>
      <c r="BL68" s="1021">
        <f>(VLOOKUP(YEAR($A68),'NY East Load Projections'!$A$4:$EO$14,((MONTH($A68)-1)*12)+VLOOKUP(BL$4,$DE$6:$DF$17,2)+1))*$D68</f>
        <v>-354.7603928174135</v>
      </c>
      <c r="BM68" s="1021">
        <f>(VLOOKUP(YEAR($A68),'NY East Load Projections'!$A$4:$EO$14,((MONTH($A68)-1)*12)+VLOOKUP(BM$4,$DE$6:$DF$17,2)+1))*$D68</f>
        <v>-354.7603928174135</v>
      </c>
      <c r="BN68" s="1021">
        <f>(VLOOKUP(YEAR($A68),'NY East Load Projections'!$A$4:$EO$14,((MONTH($A68)-1)*12)+VLOOKUP(BN$4,$DE$6:$DF$17,2)+1))*$D68</f>
        <v>-380.32206931918438</v>
      </c>
      <c r="BO68" s="1021">
        <f>(VLOOKUP(YEAR($A68),'NY East Load Projections'!$A$4:$EO$14,((MONTH($A68)-1)*12)+VLOOKUP(BO$4,$DE$6:$DF$17,2)+1))*$D68</f>
        <v>-380.32206931918438</v>
      </c>
      <c r="BP68" s="1021">
        <f>(VLOOKUP(YEAR($A68),'NY East Load Projections'!$A$4:$EO$14,((MONTH($A68)-1)*12)+VLOOKUP(BP$4,$DE$6:$DF$17,2)+1))*$D68</f>
        <v>-380.32206931918438</v>
      </c>
      <c r="BQ68" s="1021">
        <f>(VLOOKUP(YEAR($A68),'NY East Load Projections'!$A$4:$EO$14,((MONTH($A68)-1)*12)+VLOOKUP(BQ$4,$DE$6:$DF$17,2)+1))*$D68</f>
        <v>-380.32206931918438</v>
      </c>
      <c r="BR68" s="1021">
        <f>(VLOOKUP(YEAR($A68),'NY East Load Projections'!$A$4:$EO$14,((MONTH($A68)-1)*12)+VLOOKUP(BR$4,$DE$6:$DF$17,2)+1))*$D68</f>
        <v>-382.20752526866391</v>
      </c>
      <c r="BS68" s="1021">
        <f>(VLOOKUP(YEAR($A68),'NY East Load Projections'!$A$4:$EO$14,((MONTH($A68)-1)*12)+VLOOKUP(BS$4,$DE$6:$DF$17,2)+1))*$D68</f>
        <v>-382.20752526866391</v>
      </c>
      <c r="BT68" s="1021">
        <f>(VLOOKUP(YEAR($A68),'NY East Load Projections'!$A$4:$EO$14,((MONTH($A68)-1)*12)+VLOOKUP(BT$4,$DE$6:$DF$17,2)+1))*$D68</f>
        <v>-382.20752526866391</v>
      </c>
      <c r="BU68" s="1021">
        <f>(VLOOKUP(YEAR($A68),'NY East Load Projections'!$A$4:$EO$14,((MONTH($A68)-1)*12)+VLOOKUP(BU$4,$DE$6:$DF$17,2)+1))*$D68</f>
        <v>-382.20752526866391</v>
      </c>
      <c r="BV68" s="1021">
        <f>(VLOOKUP(YEAR($A68),'NY East Load Projections'!$A$4:$EO$14,((MONTH($A68)-1)*12)+VLOOKUP(BV$4,$DE$6:$DF$17,2)+1))*$D68</f>
        <v>-365.92602380115477</v>
      </c>
      <c r="BW68" s="1021">
        <f>(VLOOKUP(YEAR($A68),'NY East Load Projections'!$A$4:$EO$14,((MONTH($A68)-1)*12)+VLOOKUP(BW$4,$DE$6:$DF$17,2)+1))*$D68</f>
        <v>-365.92602380115477</v>
      </c>
      <c r="BX68" s="1021">
        <f>(VLOOKUP(YEAR($A68),'NY East Load Projections'!$A$4:$EO$14,((MONTH($A68)-1)*12)+VLOOKUP(BX$4,$DE$6:$DF$17,2)+1))*$D68</f>
        <v>-365.92602380115477</v>
      </c>
      <c r="BY68" s="1021">
        <f>(VLOOKUP(YEAR($A68),'NY East Load Projections'!$A$4:$EO$14,((MONTH($A68)-1)*12)+VLOOKUP(BY$4,$DE$6:$DF$17,2)+1))*$D68</f>
        <v>-365.92602380115477</v>
      </c>
      <c r="BZ68" s="1021">
        <f>(VLOOKUP(YEAR($A68),'NY East Load Projections'!$A$4:$EO$14,((MONTH($A68)-1)*12)+VLOOKUP(BZ$4,$DE$6:$DF$17,2)+1))*$D68</f>
        <v>-353.54179664098297</v>
      </c>
      <c r="CA68" s="1021">
        <f>(VLOOKUP(YEAR($A68),'NY East Load Projections'!$A$4:$EO$14,((MONTH($A68)-1)*12)+VLOOKUP(CA$4,$DE$6:$DF$17,2)+1))*$D68</f>
        <v>-353.54179664098297</v>
      </c>
      <c r="CB68" s="1021">
        <f>(VLOOKUP(YEAR($A68),'NY East Load Projections'!$A$4:$EO$14,((MONTH($A68)-1)*12)+VLOOKUP(CB$4,$DE$6:$DF$17,2)+1))*$D68</f>
        <v>-353.54179664098297</v>
      </c>
      <c r="CC68" s="1021">
        <f>(VLOOKUP(YEAR($A68),'NY East Load Projections'!$A$4:$EO$14,((MONTH($A68)-1)*12)+VLOOKUP(CC$4,$DE$6:$DF$17,2)+1))*$D68</f>
        <v>-353.54179664098297</v>
      </c>
      <c r="CE68" s="1021">
        <f>(VLOOKUP(YEAR($A68),'NY East Load Projections'!$A$4:$EO$14,((MONTH($A68)-1)*12)+VLOOKUP(CE$4,$DE$6:$DF$17,2)+1))*$E68</f>
        <v>0</v>
      </c>
      <c r="CF68" s="1021">
        <f>(VLOOKUP(YEAR($A68),'NY East Load Projections'!$A$4:$EO$14,((MONTH($A68)-1)*12)+VLOOKUP(CF$4,$DE$6:$DF$17,2)+1))*$E68</f>
        <v>0</v>
      </c>
      <c r="CG68" s="1021">
        <f>(VLOOKUP(YEAR($A68),'NY East Load Projections'!$A$4:$EO$14,((MONTH($A68)-1)*12)+VLOOKUP(CG$4,$DE$6:$DF$17,2)+1))*$E68</f>
        <v>0</v>
      </c>
      <c r="CH68" s="1021">
        <f>(VLOOKUP(YEAR($A68),'NY East Load Projections'!$A$4:$EO$14,((MONTH($A68)-1)*12)+VLOOKUP(CH$4,$DE$6:$DF$17,2)+1))*$E68</f>
        <v>0</v>
      </c>
      <c r="CI68" s="1021">
        <f>(VLOOKUP(YEAR($A68),'NY East Load Projections'!$A$4:$EO$14,((MONTH($A68)-1)*12)+VLOOKUP(CI$4,$DE$6:$DF$17,2)+1))*$E68</f>
        <v>0</v>
      </c>
      <c r="CJ68" s="1021">
        <f>(VLOOKUP(YEAR($A68),'NY East Load Projections'!$A$4:$EO$14,((MONTH($A68)-1)*12)+VLOOKUP(CJ$4,$DE$6:$DF$17,2)+1))*$E68</f>
        <v>0</v>
      </c>
      <c r="CK68" s="1021">
        <f>(VLOOKUP(YEAR($A68),'NY East Load Projections'!$A$4:$EO$14,((MONTH($A68)-1)*12)+VLOOKUP(CK$4,$DE$6:$DF$17,2)+1))*$E68</f>
        <v>0</v>
      </c>
      <c r="CL68" s="1021">
        <f>(VLOOKUP(YEAR($A68),'NY East Load Projections'!$A$4:$EO$14,((MONTH($A68)-1)*12)+VLOOKUP(CL$4,$DE$6:$DF$17,2)+1))*$E68</f>
        <v>0</v>
      </c>
      <c r="CM68" s="1021">
        <f>(VLOOKUP(YEAR($A68),'NY East Load Projections'!$A$4:$EO$14,((MONTH($A68)-1)*12)+VLOOKUP(CM$4,$DE$6:$DF$17,2)+1))*$E68</f>
        <v>0</v>
      </c>
      <c r="CN68" s="1021">
        <f>(VLOOKUP(YEAR($A68),'NY East Load Projections'!$A$4:$EO$14,((MONTH($A68)-1)*12)+VLOOKUP(CN$4,$DE$6:$DF$17,2)+1))*$E68</f>
        <v>0</v>
      </c>
      <c r="CO68" s="1021">
        <f>(VLOOKUP(YEAR($A68),'NY East Load Projections'!$A$4:$EO$14,((MONTH($A68)-1)*12)+VLOOKUP(CO$4,$DE$6:$DF$17,2)+1))*$E68</f>
        <v>0</v>
      </c>
      <c r="CP68" s="1021">
        <f>(VLOOKUP(YEAR($A68),'NY East Load Projections'!$A$4:$EO$14,((MONTH($A68)-1)*12)+VLOOKUP(CP$4,$DE$6:$DF$17,2)+1))*$E68</f>
        <v>0</v>
      </c>
      <c r="CQ68" s="1021">
        <f>(VLOOKUP(YEAR($A68),'NY East Load Projections'!$A$4:$EO$14,((MONTH($A68)-1)*12)+VLOOKUP(CQ$4,$DE$6:$DF$17,2)+1))*$E68</f>
        <v>0</v>
      </c>
      <c r="CR68" s="1021">
        <f>(VLOOKUP(YEAR($A68),'NY East Load Projections'!$A$4:$EO$14,((MONTH($A68)-1)*12)+VLOOKUP(CR$4,$DE$6:$DF$17,2)+1))*$E68</f>
        <v>0</v>
      </c>
      <c r="CS68" s="1021">
        <f>(VLOOKUP(YEAR($A68),'NY East Load Projections'!$A$4:$EO$14,((MONTH($A68)-1)*12)+VLOOKUP(CS$4,$DE$6:$DF$17,2)+1))*$E68</f>
        <v>0</v>
      </c>
      <c r="CT68" s="1021">
        <f>(VLOOKUP(YEAR($A68),'NY East Load Projections'!$A$4:$EO$14,((MONTH($A68)-1)*12)+VLOOKUP(CT$4,$DE$6:$DF$17,2)+1))*$E68</f>
        <v>0</v>
      </c>
      <c r="CU68" s="1021">
        <f>(VLOOKUP(YEAR($A68),'NY East Load Projections'!$A$4:$EO$14,((MONTH($A68)-1)*12)+VLOOKUP(CU$4,$DE$6:$DF$17,2)+1))*$E68</f>
        <v>0</v>
      </c>
      <c r="CV68" s="1021">
        <f>(VLOOKUP(YEAR($A68),'NY East Load Projections'!$A$4:$EO$14,((MONTH($A68)-1)*12)+VLOOKUP(CV$4,$DE$6:$DF$17,2)+1))*$E68</f>
        <v>0</v>
      </c>
      <c r="CW68" s="1021">
        <f>(VLOOKUP(YEAR($A68),'NY East Load Projections'!$A$4:$EO$14,((MONTH($A68)-1)*12)+VLOOKUP(CW$4,$DE$6:$DF$17,2)+1))*$E68</f>
        <v>0</v>
      </c>
      <c r="CX68" s="1021">
        <f>(VLOOKUP(YEAR($A68),'NY East Load Projections'!$A$4:$EO$14,((MONTH($A68)-1)*12)+VLOOKUP(CX$4,$DE$6:$DF$17,2)+1))*$E68</f>
        <v>0</v>
      </c>
      <c r="CY68" s="1021">
        <f>(VLOOKUP(YEAR($A68),'NY East Load Projections'!$A$4:$EO$14,((MONTH($A68)-1)*12)+VLOOKUP(CY$4,$DE$6:$DF$17,2)+1))*$E68</f>
        <v>0</v>
      </c>
      <c r="CZ68" s="1021">
        <f>(VLOOKUP(YEAR($A68),'NY East Load Projections'!$A$4:$EO$14,((MONTH($A68)-1)*12)+VLOOKUP(CZ$4,$DE$6:$DF$17,2)+1))*$E68</f>
        <v>0</v>
      </c>
      <c r="DA68" s="1021">
        <f>(VLOOKUP(YEAR($A68),'NY East Load Projections'!$A$4:$EO$14,((MONTH($A68)-1)*12)+VLOOKUP(DA$4,$DE$6:$DF$17,2)+1))*$E68</f>
        <v>0</v>
      </c>
      <c r="DB68" s="1021">
        <f>(VLOOKUP(YEAR($A68),'NY East Load Projections'!$A$4:$EO$14,((MONTH($A68)-1)*12)+VLOOKUP(DB$4,$DE$6:$DF$17,2)+1))*$E68</f>
        <v>0</v>
      </c>
      <c r="DH68" s="1009">
        <f t="shared" si="2"/>
        <v>-67126.630360982817</v>
      </c>
      <c r="DI68">
        <f ca="1">CALC!J88</f>
        <v>0.64281264888236933</v>
      </c>
      <c r="DJ68" s="1032">
        <f t="shared" ca="1" si="1"/>
        <v>-43149.84707289104</v>
      </c>
    </row>
    <row r="69" spans="1:114" x14ac:dyDescent="0.25">
      <c r="A69" s="244">
        <v>38808</v>
      </c>
      <c r="B69" s="13">
        <v>20</v>
      </c>
      <c r="C69" s="210">
        <v>5</v>
      </c>
      <c r="D69" s="210">
        <v>5</v>
      </c>
      <c r="E69" s="210">
        <v>0</v>
      </c>
      <c r="F69" s="13">
        <v>30</v>
      </c>
      <c r="H69" s="1021">
        <f>(VLOOKUP(YEAR($A69),'NY East Load Projections'!$A$4:$EO$14,((MONTH($A69)-1)*12)+VLOOKUP(H$4,$DE$6:$DF$17,2)+1))*$B69</f>
        <v>-1702.8922994833802</v>
      </c>
      <c r="I69" s="1021">
        <f>(VLOOKUP(YEAR($A69),'NY East Load Projections'!$A$4:$EO$14,((MONTH($A69)-1)*12)+VLOOKUP(I$4,$DE$6:$DF$17,2)+1))*$B69</f>
        <v>-1702.8922994833802</v>
      </c>
      <c r="J69" s="1021">
        <f>(VLOOKUP(YEAR($A69),'NY East Load Projections'!$A$4:$EO$14,((MONTH($A69)-1)*12)+VLOOKUP(J$4,$DE$6:$DF$17,2)+1))*$B69</f>
        <v>-1702.8922994833802</v>
      </c>
      <c r="K69" s="1021">
        <f>(VLOOKUP(YEAR($A69),'NY East Load Projections'!$A$4:$EO$14,((MONTH($A69)-1)*12)+VLOOKUP(K$4,$DE$6:$DF$17,2)+1))*$B69</f>
        <v>-1702.8922994833802</v>
      </c>
      <c r="L69" s="1021">
        <f>(VLOOKUP(YEAR($A69),'NY East Load Projections'!$A$4:$EO$14,((MONTH($A69)-1)*12)+VLOOKUP(L$4,$DE$6:$DF$17,2)+1))*$B69</f>
        <v>-1861.1137091702929</v>
      </c>
      <c r="M69" s="1021">
        <f>(VLOOKUP(YEAR($A69),'NY East Load Projections'!$A$4:$EO$14,((MONTH($A69)-1)*12)+VLOOKUP(M$4,$DE$6:$DF$17,2)+1))*$B69</f>
        <v>-1861.1137091702929</v>
      </c>
      <c r="N69" s="1021">
        <f>(VLOOKUP(YEAR($A69),'NY East Load Projections'!$A$4:$EO$14,((MONTH($A69)-1)*12)+VLOOKUP(N$4,$DE$6:$DF$17,2)+1))*$B69</f>
        <v>-1861.1137091702929</v>
      </c>
      <c r="O69" s="1021">
        <f>(VLOOKUP(YEAR($A69),'NY East Load Projections'!$A$4:$EO$14,((MONTH($A69)-1)*12)+VLOOKUP(O$4,$DE$6:$DF$17,2)+1))*$B69</f>
        <v>-1861.1137091702929</v>
      </c>
      <c r="P69" s="1021">
        <f>(VLOOKUP(YEAR($A69),'NY East Load Projections'!$A$4:$EO$14,((MONTH($A69)-1)*12)+VLOOKUP(P$4,$DE$6:$DF$17,2)+1))*$B69</f>
        <v>-2073.4135082590742</v>
      </c>
      <c r="Q69" s="1021">
        <f>(VLOOKUP(YEAR($A69),'NY East Load Projections'!$A$4:$EO$14,((MONTH($A69)-1)*12)+VLOOKUP(Q$4,$DE$6:$DF$17,2)+1))*$B69</f>
        <v>-2073.4135082590742</v>
      </c>
      <c r="R69" s="1021">
        <f>(VLOOKUP(YEAR($A69),'NY East Load Projections'!$A$4:$EO$14,((MONTH($A69)-1)*12)+VLOOKUP(R$4,$DE$6:$DF$17,2)+1))*$B69</f>
        <v>-2073.4135082590742</v>
      </c>
      <c r="S69" s="1021">
        <f>(VLOOKUP(YEAR($A69),'NY East Load Projections'!$A$4:$EO$14,((MONTH($A69)-1)*12)+VLOOKUP(S$4,$DE$6:$DF$17,2)+1))*$B69</f>
        <v>-2073.4135082590742</v>
      </c>
      <c r="T69" s="1021">
        <f>(VLOOKUP(YEAR($A69),'NY East Load Projections'!$A$4:$EO$14,((MONTH($A69)-1)*12)+VLOOKUP(T$4,$DE$6:$DF$17,2)+1))*$B69</f>
        <v>-2151.0113515270082</v>
      </c>
      <c r="U69" s="1021">
        <f>(VLOOKUP(YEAR($A69),'NY East Load Projections'!$A$4:$EO$14,((MONTH($A69)-1)*12)+VLOOKUP(U$4,$DE$6:$DF$17,2)+1))*$B69</f>
        <v>-2151.0113515270082</v>
      </c>
      <c r="V69" s="1021">
        <f>(VLOOKUP(YEAR($A69),'NY East Load Projections'!$A$4:$EO$14,((MONTH($A69)-1)*12)+VLOOKUP(V$4,$DE$6:$DF$17,2)+1))*$B69</f>
        <v>-2151.0113515270082</v>
      </c>
      <c r="W69" s="1021">
        <f>(VLOOKUP(YEAR($A69),'NY East Load Projections'!$A$4:$EO$14,((MONTH($A69)-1)*12)+VLOOKUP(W$4,$DE$6:$DF$17,2)+1))*$B69</f>
        <v>-2151.0113515270082</v>
      </c>
      <c r="X69" s="1021">
        <f>(VLOOKUP(YEAR($A69),'NY East Load Projections'!$A$4:$EO$14,((MONTH($A69)-1)*12)+VLOOKUP(X$4,$DE$6:$DF$17,2)+1))*$B69</f>
        <v>-2018.4437314576405</v>
      </c>
      <c r="Y69" s="1021">
        <f>(VLOOKUP(YEAR($A69),'NY East Load Projections'!$A$4:$EO$14,((MONTH($A69)-1)*12)+VLOOKUP(Y$4,$DE$6:$DF$17,2)+1))*$B69</f>
        <v>-2018.4437314576405</v>
      </c>
      <c r="Z69" s="1021">
        <f>(VLOOKUP(YEAR($A69),'NY East Load Projections'!$A$4:$EO$14,((MONTH($A69)-1)*12)+VLOOKUP(Z$4,$DE$6:$DF$17,2)+1))*$B69</f>
        <v>-2018.4437314576405</v>
      </c>
      <c r="AA69" s="1021">
        <f>(VLOOKUP(YEAR($A69),'NY East Load Projections'!$A$4:$EO$14,((MONTH($A69)-1)*12)+VLOOKUP(AA$4,$DE$6:$DF$17,2)+1))*$B69</f>
        <v>-2018.4437314576405</v>
      </c>
      <c r="AB69" s="1021">
        <f>(VLOOKUP(YEAR($A69),'NY East Load Projections'!$A$4:$EO$14,((MONTH($A69)-1)*12)+VLOOKUP(AB$4,$DE$6:$DF$17,2)+1))*$B69</f>
        <v>-1796.2857859553724</v>
      </c>
      <c r="AC69" s="1021">
        <f>(VLOOKUP(YEAR($A69),'NY East Load Projections'!$A$4:$EO$14,((MONTH($A69)-1)*12)+VLOOKUP(AC$4,$DE$6:$DF$17,2)+1))*$B69</f>
        <v>-1796.2857859553724</v>
      </c>
      <c r="AD69" s="1021">
        <f>(VLOOKUP(YEAR($A69),'NY East Load Projections'!$A$4:$EO$14,((MONTH($A69)-1)*12)+VLOOKUP(AD$4,$DE$6:$DF$17,2)+1))*$B69</f>
        <v>-1796.2857859553724</v>
      </c>
      <c r="AE69" s="1021">
        <f>(VLOOKUP(YEAR($A69),'NY East Load Projections'!$A$4:$EO$14,((MONTH($A69)-1)*12)+VLOOKUP(AE$4,$DE$6:$DF$17,2)+1))*$B69</f>
        <v>-1796.2857859553724</v>
      </c>
      <c r="AF69" s="1021"/>
      <c r="AG69" s="1021">
        <f>(VLOOKUP(YEAR($A69),'NY East Load Projections'!$A$4:$EO$14,((MONTH($A69)-1)*12)+VLOOKUP(AG$4,$DE$6:$DF$17,2)+1))*$C69</f>
        <v>-434.84853485992204</v>
      </c>
      <c r="AH69" s="1021">
        <f>(VLOOKUP(YEAR($A69),'NY East Load Projections'!$A$4:$EO$14,((MONTH($A69)-1)*12)+VLOOKUP(AH$4,$DE$6:$DF$17,2)+1))*$C69</f>
        <v>-434.84853485992204</v>
      </c>
      <c r="AI69" s="1021">
        <f>(VLOOKUP(YEAR($A69),'NY East Load Projections'!$A$4:$EO$14,((MONTH($A69)-1)*12)+VLOOKUP(AI$4,$DE$6:$DF$17,2)+1))*$C69</f>
        <v>-434.84853485992204</v>
      </c>
      <c r="AJ69" s="1021">
        <f>(VLOOKUP(YEAR($A69),'NY East Load Projections'!$A$4:$EO$14,((MONTH($A69)-1)*12)+VLOOKUP(AJ$4,$DE$6:$DF$17,2)+1))*$C69</f>
        <v>-434.84853485992204</v>
      </c>
      <c r="AK69" s="1021">
        <f>(VLOOKUP(YEAR($A69),'NY East Load Projections'!$A$4:$EO$14,((MONTH($A69)-1)*12)+VLOOKUP(AK$4,$DE$6:$DF$17,2)+1))*$C69</f>
        <v>-442.49306958391014</v>
      </c>
      <c r="AL69" s="1021">
        <f>(VLOOKUP(YEAR($A69),'NY East Load Projections'!$A$4:$EO$14,((MONTH($A69)-1)*12)+VLOOKUP(AL$4,$DE$6:$DF$17,2)+1))*$C69</f>
        <v>-442.49306958391014</v>
      </c>
      <c r="AM69" s="1021">
        <f>(VLOOKUP(YEAR($A69),'NY East Load Projections'!$A$4:$EO$14,((MONTH($A69)-1)*12)+VLOOKUP(AM$4,$DE$6:$DF$17,2)+1))*$C69</f>
        <v>-442.49306958391014</v>
      </c>
      <c r="AN69" s="1021">
        <f>(VLOOKUP(YEAR($A69),'NY East Load Projections'!$A$4:$EO$14,((MONTH($A69)-1)*12)+VLOOKUP(AN$4,$DE$6:$DF$17,2)+1))*$C69</f>
        <v>-442.49306958391014</v>
      </c>
      <c r="AO69" s="1021">
        <f>(VLOOKUP(YEAR($A69),'NY East Load Projections'!$A$4:$EO$14,((MONTH($A69)-1)*12)+VLOOKUP(AO$4,$DE$6:$DF$17,2)+1))*$C69</f>
        <v>-473.34442229280933</v>
      </c>
      <c r="AP69" s="1021">
        <f>(VLOOKUP(YEAR($A69),'NY East Load Projections'!$A$4:$EO$14,((MONTH($A69)-1)*12)+VLOOKUP(AP$4,$DE$6:$DF$17,2)+1))*$C69</f>
        <v>-473.34442229280933</v>
      </c>
      <c r="AQ69" s="1021">
        <f>(VLOOKUP(YEAR($A69),'NY East Load Projections'!$A$4:$EO$14,((MONTH($A69)-1)*12)+VLOOKUP(AQ$4,$DE$6:$DF$17,2)+1))*$C69</f>
        <v>-473.34442229280933</v>
      </c>
      <c r="AR69" s="1021">
        <f>(VLOOKUP(YEAR($A69),'NY East Load Projections'!$A$4:$EO$14,((MONTH($A69)-1)*12)+VLOOKUP(AR$4,$DE$6:$DF$17,2)+1))*$C69</f>
        <v>-473.34442229280933</v>
      </c>
      <c r="AS69" s="1021">
        <f>(VLOOKUP(YEAR($A69),'NY East Load Projections'!$A$4:$EO$14,((MONTH($A69)-1)*12)+VLOOKUP(AS$4,$DE$6:$DF$17,2)+1))*$C69</f>
        <v>-481.07710085564662</v>
      </c>
      <c r="AT69" s="1021">
        <f>(VLOOKUP(YEAR($A69),'NY East Load Projections'!$A$4:$EO$14,((MONTH($A69)-1)*12)+VLOOKUP(AT$4,$DE$6:$DF$17,2)+1))*$C69</f>
        <v>-481.07710085564662</v>
      </c>
      <c r="AU69" s="1021">
        <f>(VLOOKUP(YEAR($A69),'NY East Load Projections'!$A$4:$EO$14,((MONTH($A69)-1)*12)+VLOOKUP(AU$4,$DE$6:$DF$17,2)+1))*$C69</f>
        <v>-481.07710085564662</v>
      </c>
      <c r="AV69" s="1021">
        <f>(VLOOKUP(YEAR($A69),'NY East Load Projections'!$A$4:$EO$14,((MONTH($A69)-1)*12)+VLOOKUP(AV$4,$DE$6:$DF$17,2)+1))*$C69</f>
        <v>-481.07710085564662</v>
      </c>
      <c r="AW69" s="1021">
        <f>(VLOOKUP(YEAR($A69),'NY East Load Projections'!$A$4:$EO$14,((MONTH($A69)-1)*12)+VLOOKUP(AW$4,$DE$6:$DF$17,2)+1))*$C69</f>
        <v>-457.24577455631754</v>
      </c>
      <c r="AX69" s="1021">
        <f>(VLOOKUP(YEAR($A69),'NY East Load Projections'!$A$4:$EO$14,((MONTH($A69)-1)*12)+VLOOKUP(AX$4,$DE$6:$DF$17,2)+1))*$C69</f>
        <v>-457.24577455631754</v>
      </c>
      <c r="AY69" s="1021">
        <f>(VLOOKUP(YEAR($A69),'NY East Load Projections'!$A$4:$EO$14,((MONTH($A69)-1)*12)+VLOOKUP(AY$4,$DE$6:$DF$17,2)+1))*$C69</f>
        <v>-457.24577455631754</v>
      </c>
      <c r="AZ69" s="1021">
        <f>(VLOOKUP(YEAR($A69),'NY East Load Projections'!$A$4:$EO$14,((MONTH($A69)-1)*12)+VLOOKUP(AZ$4,$DE$6:$DF$17,2)+1))*$C69</f>
        <v>-457.24577455631754</v>
      </c>
      <c r="BA69" s="1021">
        <f>(VLOOKUP(YEAR($A69),'NY East Load Projections'!$A$4:$EO$14,((MONTH($A69)-1)*12)+VLOOKUP(BA$4,$DE$6:$DF$17,2)+1))*$C69</f>
        <v>-438.50962599373349</v>
      </c>
      <c r="BB69" s="1021">
        <f>(VLOOKUP(YEAR($A69),'NY East Load Projections'!$A$4:$EO$14,((MONTH($A69)-1)*12)+VLOOKUP(BB$4,$DE$6:$DF$17,2)+1))*$C69</f>
        <v>-438.50962599373349</v>
      </c>
      <c r="BC69" s="1021">
        <f>(VLOOKUP(YEAR($A69),'NY East Load Projections'!$A$4:$EO$14,((MONTH($A69)-1)*12)+VLOOKUP(BC$4,$DE$6:$DF$17,2)+1))*$C69</f>
        <v>-438.50962599373349</v>
      </c>
      <c r="BD69" s="1021">
        <f>(VLOOKUP(YEAR($A69),'NY East Load Projections'!$A$4:$EO$14,((MONTH($A69)-1)*12)+VLOOKUP(BD$4,$DE$6:$DF$17,2)+1))*$C69</f>
        <v>-438.50962599373349</v>
      </c>
      <c r="BE69" s="1021"/>
      <c r="BF69" s="1021">
        <f>(VLOOKUP(YEAR($A69),'NY East Load Projections'!$A$4:$EO$14,((MONTH($A69)-1)*12)+VLOOKUP(BF$4,$DE$6:$DF$17,2)+1))*$D69</f>
        <v>-434.84853485992204</v>
      </c>
      <c r="BG69" s="1021">
        <f>(VLOOKUP(YEAR($A69),'NY East Load Projections'!$A$4:$EO$14,((MONTH($A69)-1)*12)+VLOOKUP(BG$4,$DE$6:$DF$17,2)+1))*$D69</f>
        <v>-434.84853485992204</v>
      </c>
      <c r="BH69" s="1021">
        <f>(VLOOKUP(YEAR($A69),'NY East Load Projections'!$A$4:$EO$14,((MONTH($A69)-1)*12)+VLOOKUP(BH$4,$DE$6:$DF$17,2)+1))*$D69</f>
        <v>-434.84853485992204</v>
      </c>
      <c r="BI69" s="1021">
        <f>(VLOOKUP(YEAR($A69),'NY East Load Projections'!$A$4:$EO$14,((MONTH($A69)-1)*12)+VLOOKUP(BI$4,$DE$6:$DF$17,2)+1))*$D69</f>
        <v>-434.84853485992204</v>
      </c>
      <c r="BJ69" s="1021">
        <f>(VLOOKUP(YEAR($A69),'NY East Load Projections'!$A$4:$EO$14,((MONTH($A69)-1)*12)+VLOOKUP(BJ$4,$DE$6:$DF$17,2)+1))*$D69</f>
        <v>-442.49306958391014</v>
      </c>
      <c r="BK69" s="1021">
        <f>(VLOOKUP(YEAR($A69),'NY East Load Projections'!$A$4:$EO$14,((MONTH($A69)-1)*12)+VLOOKUP(BK$4,$DE$6:$DF$17,2)+1))*$D69</f>
        <v>-442.49306958391014</v>
      </c>
      <c r="BL69" s="1021">
        <f>(VLOOKUP(YEAR($A69),'NY East Load Projections'!$A$4:$EO$14,((MONTH($A69)-1)*12)+VLOOKUP(BL$4,$DE$6:$DF$17,2)+1))*$D69</f>
        <v>-442.49306958391014</v>
      </c>
      <c r="BM69" s="1021">
        <f>(VLOOKUP(YEAR($A69),'NY East Load Projections'!$A$4:$EO$14,((MONTH($A69)-1)*12)+VLOOKUP(BM$4,$DE$6:$DF$17,2)+1))*$D69</f>
        <v>-442.49306958391014</v>
      </c>
      <c r="BN69" s="1021">
        <f>(VLOOKUP(YEAR($A69),'NY East Load Projections'!$A$4:$EO$14,((MONTH($A69)-1)*12)+VLOOKUP(BN$4,$DE$6:$DF$17,2)+1))*$D69</f>
        <v>-473.34442229280933</v>
      </c>
      <c r="BO69" s="1021">
        <f>(VLOOKUP(YEAR($A69),'NY East Load Projections'!$A$4:$EO$14,((MONTH($A69)-1)*12)+VLOOKUP(BO$4,$DE$6:$DF$17,2)+1))*$D69</f>
        <v>-473.34442229280933</v>
      </c>
      <c r="BP69" s="1021">
        <f>(VLOOKUP(YEAR($A69),'NY East Load Projections'!$A$4:$EO$14,((MONTH($A69)-1)*12)+VLOOKUP(BP$4,$DE$6:$DF$17,2)+1))*$D69</f>
        <v>-473.34442229280933</v>
      </c>
      <c r="BQ69" s="1021">
        <f>(VLOOKUP(YEAR($A69),'NY East Load Projections'!$A$4:$EO$14,((MONTH($A69)-1)*12)+VLOOKUP(BQ$4,$DE$6:$DF$17,2)+1))*$D69</f>
        <v>-473.34442229280933</v>
      </c>
      <c r="BR69" s="1021">
        <f>(VLOOKUP(YEAR($A69),'NY East Load Projections'!$A$4:$EO$14,((MONTH($A69)-1)*12)+VLOOKUP(BR$4,$DE$6:$DF$17,2)+1))*$D69</f>
        <v>-481.07710085564662</v>
      </c>
      <c r="BS69" s="1021">
        <f>(VLOOKUP(YEAR($A69),'NY East Load Projections'!$A$4:$EO$14,((MONTH($A69)-1)*12)+VLOOKUP(BS$4,$DE$6:$DF$17,2)+1))*$D69</f>
        <v>-481.07710085564662</v>
      </c>
      <c r="BT69" s="1021">
        <f>(VLOOKUP(YEAR($A69),'NY East Load Projections'!$A$4:$EO$14,((MONTH($A69)-1)*12)+VLOOKUP(BT$4,$DE$6:$DF$17,2)+1))*$D69</f>
        <v>-481.07710085564662</v>
      </c>
      <c r="BU69" s="1021">
        <f>(VLOOKUP(YEAR($A69),'NY East Load Projections'!$A$4:$EO$14,((MONTH($A69)-1)*12)+VLOOKUP(BU$4,$DE$6:$DF$17,2)+1))*$D69</f>
        <v>-481.07710085564662</v>
      </c>
      <c r="BV69" s="1021">
        <f>(VLOOKUP(YEAR($A69),'NY East Load Projections'!$A$4:$EO$14,((MONTH($A69)-1)*12)+VLOOKUP(BV$4,$DE$6:$DF$17,2)+1))*$D69</f>
        <v>-457.24577455631754</v>
      </c>
      <c r="BW69" s="1021">
        <f>(VLOOKUP(YEAR($A69),'NY East Load Projections'!$A$4:$EO$14,((MONTH($A69)-1)*12)+VLOOKUP(BW$4,$DE$6:$DF$17,2)+1))*$D69</f>
        <v>-457.24577455631754</v>
      </c>
      <c r="BX69" s="1021">
        <f>(VLOOKUP(YEAR($A69),'NY East Load Projections'!$A$4:$EO$14,((MONTH($A69)-1)*12)+VLOOKUP(BX$4,$DE$6:$DF$17,2)+1))*$D69</f>
        <v>-457.24577455631754</v>
      </c>
      <c r="BY69" s="1021">
        <f>(VLOOKUP(YEAR($A69),'NY East Load Projections'!$A$4:$EO$14,((MONTH($A69)-1)*12)+VLOOKUP(BY$4,$DE$6:$DF$17,2)+1))*$D69</f>
        <v>-457.24577455631754</v>
      </c>
      <c r="BZ69" s="1021">
        <f>(VLOOKUP(YEAR($A69),'NY East Load Projections'!$A$4:$EO$14,((MONTH($A69)-1)*12)+VLOOKUP(BZ$4,$DE$6:$DF$17,2)+1))*$D69</f>
        <v>-438.50962599373349</v>
      </c>
      <c r="CA69" s="1021">
        <f>(VLOOKUP(YEAR($A69),'NY East Load Projections'!$A$4:$EO$14,((MONTH($A69)-1)*12)+VLOOKUP(CA$4,$DE$6:$DF$17,2)+1))*$D69</f>
        <v>-438.50962599373349</v>
      </c>
      <c r="CB69" s="1021">
        <f>(VLOOKUP(YEAR($A69),'NY East Load Projections'!$A$4:$EO$14,((MONTH($A69)-1)*12)+VLOOKUP(CB$4,$DE$6:$DF$17,2)+1))*$D69</f>
        <v>-438.50962599373349</v>
      </c>
      <c r="CC69" s="1021">
        <f>(VLOOKUP(YEAR($A69),'NY East Load Projections'!$A$4:$EO$14,((MONTH($A69)-1)*12)+VLOOKUP(CC$4,$DE$6:$DF$17,2)+1))*$D69</f>
        <v>-438.50962599373349</v>
      </c>
      <c r="CE69" s="1021">
        <f>(VLOOKUP(YEAR($A69),'NY East Load Projections'!$A$4:$EO$14,((MONTH($A69)-1)*12)+VLOOKUP(CE$4,$DE$6:$DF$17,2)+1))*$E69</f>
        <v>0</v>
      </c>
      <c r="CF69" s="1021">
        <f>(VLOOKUP(YEAR($A69),'NY East Load Projections'!$A$4:$EO$14,((MONTH($A69)-1)*12)+VLOOKUP(CF$4,$DE$6:$DF$17,2)+1))*$E69</f>
        <v>0</v>
      </c>
      <c r="CG69" s="1021">
        <f>(VLOOKUP(YEAR($A69),'NY East Load Projections'!$A$4:$EO$14,((MONTH($A69)-1)*12)+VLOOKUP(CG$4,$DE$6:$DF$17,2)+1))*$E69</f>
        <v>0</v>
      </c>
      <c r="CH69" s="1021">
        <f>(VLOOKUP(YEAR($A69),'NY East Load Projections'!$A$4:$EO$14,((MONTH($A69)-1)*12)+VLOOKUP(CH$4,$DE$6:$DF$17,2)+1))*$E69</f>
        <v>0</v>
      </c>
      <c r="CI69" s="1021">
        <f>(VLOOKUP(YEAR($A69),'NY East Load Projections'!$A$4:$EO$14,((MONTH($A69)-1)*12)+VLOOKUP(CI$4,$DE$6:$DF$17,2)+1))*$E69</f>
        <v>0</v>
      </c>
      <c r="CJ69" s="1021">
        <f>(VLOOKUP(YEAR($A69),'NY East Load Projections'!$A$4:$EO$14,((MONTH($A69)-1)*12)+VLOOKUP(CJ$4,$DE$6:$DF$17,2)+1))*$E69</f>
        <v>0</v>
      </c>
      <c r="CK69" s="1021">
        <f>(VLOOKUP(YEAR($A69),'NY East Load Projections'!$A$4:$EO$14,((MONTH($A69)-1)*12)+VLOOKUP(CK$4,$DE$6:$DF$17,2)+1))*$E69</f>
        <v>0</v>
      </c>
      <c r="CL69" s="1021">
        <f>(VLOOKUP(YEAR($A69),'NY East Load Projections'!$A$4:$EO$14,((MONTH($A69)-1)*12)+VLOOKUP(CL$4,$DE$6:$DF$17,2)+1))*$E69</f>
        <v>0</v>
      </c>
      <c r="CM69" s="1021">
        <f>(VLOOKUP(YEAR($A69),'NY East Load Projections'!$A$4:$EO$14,((MONTH($A69)-1)*12)+VLOOKUP(CM$4,$DE$6:$DF$17,2)+1))*$E69</f>
        <v>0</v>
      </c>
      <c r="CN69" s="1021">
        <f>(VLOOKUP(YEAR($A69),'NY East Load Projections'!$A$4:$EO$14,((MONTH($A69)-1)*12)+VLOOKUP(CN$4,$DE$6:$DF$17,2)+1))*$E69</f>
        <v>0</v>
      </c>
      <c r="CO69" s="1021">
        <f>(VLOOKUP(YEAR($A69),'NY East Load Projections'!$A$4:$EO$14,((MONTH($A69)-1)*12)+VLOOKUP(CO$4,$DE$6:$DF$17,2)+1))*$E69</f>
        <v>0</v>
      </c>
      <c r="CP69" s="1021">
        <f>(VLOOKUP(YEAR($A69),'NY East Load Projections'!$A$4:$EO$14,((MONTH($A69)-1)*12)+VLOOKUP(CP$4,$DE$6:$DF$17,2)+1))*$E69</f>
        <v>0</v>
      </c>
      <c r="CQ69" s="1021">
        <f>(VLOOKUP(YEAR($A69),'NY East Load Projections'!$A$4:$EO$14,((MONTH($A69)-1)*12)+VLOOKUP(CQ$4,$DE$6:$DF$17,2)+1))*$E69</f>
        <v>0</v>
      </c>
      <c r="CR69" s="1021">
        <f>(VLOOKUP(YEAR($A69),'NY East Load Projections'!$A$4:$EO$14,((MONTH($A69)-1)*12)+VLOOKUP(CR$4,$DE$6:$DF$17,2)+1))*$E69</f>
        <v>0</v>
      </c>
      <c r="CS69" s="1021">
        <f>(VLOOKUP(YEAR($A69),'NY East Load Projections'!$A$4:$EO$14,((MONTH($A69)-1)*12)+VLOOKUP(CS$4,$DE$6:$DF$17,2)+1))*$E69</f>
        <v>0</v>
      </c>
      <c r="CT69" s="1021">
        <f>(VLOOKUP(YEAR($A69),'NY East Load Projections'!$A$4:$EO$14,((MONTH($A69)-1)*12)+VLOOKUP(CT$4,$DE$6:$DF$17,2)+1))*$E69</f>
        <v>0</v>
      </c>
      <c r="CU69" s="1021">
        <f>(VLOOKUP(YEAR($A69),'NY East Load Projections'!$A$4:$EO$14,((MONTH($A69)-1)*12)+VLOOKUP(CU$4,$DE$6:$DF$17,2)+1))*$E69</f>
        <v>0</v>
      </c>
      <c r="CV69" s="1021">
        <f>(VLOOKUP(YEAR($A69),'NY East Load Projections'!$A$4:$EO$14,((MONTH($A69)-1)*12)+VLOOKUP(CV$4,$DE$6:$DF$17,2)+1))*$E69</f>
        <v>0</v>
      </c>
      <c r="CW69" s="1021">
        <f>(VLOOKUP(YEAR($A69),'NY East Load Projections'!$A$4:$EO$14,((MONTH($A69)-1)*12)+VLOOKUP(CW$4,$DE$6:$DF$17,2)+1))*$E69</f>
        <v>0</v>
      </c>
      <c r="CX69" s="1021">
        <f>(VLOOKUP(YEAR($A69),'NY East Load Projections'!$A$4:$EO$14,((MONTH($A69)-1)*12)+VLOOKUP(CX$4,$DE$6:$DF$17,2)+1))*$E69</f>
        <v>0</v>
      </c>
      <c r="CY69" s="1021">
        <f>(VLOOKUP(YEAR($A69),'NY East Load Projections'!$A$4:$EO$14,((MONTH($A69)-1)*12)+VLOOKUP(CY$4,$DE$6:$DF$17,2)+1))*$E69</f>
        <v>0</v>
      </c>
      <c r="CZ69" s="1021">
        <f>(VLOOKUP(YEAR($A69),'NY East Load Projections'!$A$4:$EO$14,((MONTH($A69)-1)*12)+VLOOKUP(CZ$4,$DE$6:$DF$17,2)+1))*$E69</f>
        <v>0</v>
      </c>
      <c r="DA69" s="1021">
        <f>(VLOOKUP(YEAR($A69),'NY East Load Projections'!$A$4:$EO$14,((MONTH($A69)-1)*12)+VLOOKUP(DA$4,$DE$6:$DF$17,2)+1))*$E69</f>
        <v>0</v>
      </c>
      <c r="DB69" s="1021">
        <f>(VLOOKUP(YEAR($A69),'NY East Load Projections'!$A$4:$EO$14,((MONTH($A69)-1)*12)+VLOOKUP(DB$4,$DE$6:$DF$17,2)+1))*$E69</f>
        <v>0</v>
      </c>
      <c r="DH69" s="1009">
        <f t="shared" si="2"/>
        <v>-68232.789768549716</v>
      </c>
      <c r="DI69">
        <f ca="1">CALC!J89</f>
        <v>0.63892430376292408</v>
      </c>
      <c r="DJ69" s="1032">
        <f t="shared" ca="1" si="1"/>
        <v>-43595.587696672599</v>
      </c>
    </row>
    <row r="70" spans="1:114" x14ac:dyDescent="0.25">
      <c r="A70" s="244">
        <v>38838</v>
      </c>
      <c r="B70" s="13">
        <v>22</v>
      </c>
      <c r="C70" s="210">
        <v>4</v>
      </c>
      <c r="D70" s="210">
        <v>4</v>
      </c>
      <c r="E70" s="210">
        <v>1</v>
      </c>
      <c r="F70" s="13">
        <v>31</v>
      </c>
      <c r="H70" s="1021">
        <f>(VLOOKUP(YEAR($A70),'NY East Load Projections'!$A$4:$EO$14,((MONTH($A70)-1)*12)+VLOOKUP(H$4,$DE$6:$DF$17,2)+1))*$B70</f>
        <v>-1997.4240705897998</v>
      </c>
      <c r="I70" s="1021">
        <f>(VLOOKUP(YEAR($A70),'NY East Load Projections'!$A$4:$EO$14,((MONTH($A70)-1)*12)+VLOOKUP(I$4,$DE$6:$DF$17,2)+1))*$B70</f>
        <v>-1997.4240705897998</v>
      </c>
      <c r="J70" s="1021">
        <f>(VLOOKUP(YEAR($A70),'NY East Load Projections'!$A$4:$EO$14,((MONTH($A70)-1)*12)+VLOOKUP(J$4,$DE$6:$DF$17,2)+1))*$B70</f>
        <v>-1997.4240705897998</v>
      </c>
      <c r="K70" s="1021">
        <f>(VLOOKUP(YEAR($A70),'NY East Load Projections'!$A$4:$EO$14,((MONTH($A70)-1)*12)+VLOOKUP(K$4,$DE$6:$DF$17,2)+1))*$B70</f>
        <v>-1997.4240705897998</v>
      </c>
      <c r="L70" s="1021">
        <f>(VLOOKUP(YEAR($A70),'NY East Load Projections'!$A$4:$EO$14,((MONTH($A70)-1)*12)+VLOOKUP(L$4,$DE$6:$DF$17,2)+1))*$B70</f>
        <v>-2189.9816432824778</v>
      </c>
      <c r="M70" s="1021">
        <f>(VLOOKUP(YEAR($A70),'NY East Load Projections'!$A$4:$EO$14,((MONTH($A70)-1)*12)+VLOOKUP(M$4,$DE$6:$DF$17,2)+1))*$B70</f>
        <v>-2189.9816432824778</v>
      </c>
      <c r="N70" s="1021">
        <f>(VLOOKUP(YEAR($A70),'NY East Load Projections'!$A$4:$EO$14,((MONTH($A70)-1)*12)+VLOOKUP(N$4,$DE$6:$DF$17,2)+1))*$B70</f>
        <v>-2189.9816432824778</v>
      </c>
      <c r="O70" s="1021">
        <f>(VLOOKUP(YEAR($A70),'NY East Load Projections'!$A$4:$EO$14,((MONTH($A70)-1)*12)+VLOOKUP(O$4,$DE$6:$DF$17,2)+1))*$B70</f>
        <v>-2189.9816432824778</v>
      </c>
      <c r="P70" s="1021">
        <f>(VLOOKUP(YEAR($A70),'NY East Load Projections'!$A$4:$EO$14,((MONTH($A70)-1)*12)+VLOOKUP(P$4,$DE$6:$DF$17,2)+1))*$B70</f>
        <v>-2469.027370337747</v>
      </c>
      <c r="Q70" s="1021">
        <f>(VLOOKUP(YEAR($A70),'NY East Load Projections'!$A$4:$EO$14,((MONTH($A70)-1)*12)+VLOOKUP(Q$4,$DE$6:$DF$17,2)+1))*$B70</f>
        <v>-2469.027370337747</v>
      </c>
      <c r="R70" s="1021">
        <f>(VLOOKUP(YEAR($A70),'NY East Load Projections'!$A$4:$EO$14,((MONTH($A70)-1)*12)+VLOOKUP(R$4,$DE$6:$DF$17,2)+1))*$B70</f>
        <v>-2469.027370337747</v>
      </c>
      <c r="S70" s="1021">
        <f>(VLOOKUP(YEAR($A70),'NY East Load Projections'!$A$4:$EO$14,((MONTH($A70)-1)*12)+VLOOKUP(S$4,$DE$6:$DF$17,2)+1))*$B70</f>
        <v>-2469.027370337747</v>
      </c>
      <c r="T70" s="1021">
        <f>(VLOOKUP(YEAR($A70),'NY East Load Projections'!$A$4:$EO$14,((MONTH($A70)-1)*12)+VLOOKUP(T$4,$DE$6:$DF$17,2)+1))*$B70</f>
        <v>-2558.1094858889746</v>
      </c>
      <c r="U70" s="1021">
        <f>(VLOOKUP(YEAR($A70),'NY East Load Projections'!$A$4:$EO$14,((MONTH($A70)-1)*12)+VLOOKUP(U$4,$DE$6:$DF$17,2)+1))*$B70</f>
        <v>-2558.1094858889746</v>
      </c>
      <c r="V70" s="1021">
        <f>(VLOOKUP(YEAR($A70),'NY East Load Projections'!$A$4:$EO$14,((MONTH($A70)-1)*12)+VLOOKUP(V$4,$DE$6:$DF$17,2)+1))*$B70</f>
        <v>-2558.1094858889746</v>
      </c>
      <c r="W70" s="1021">
        <f>(VLOOKUP(YEAR($A70),'NY East Load Projections'!$A$4:$EO$14,((MONTH($A70)-1)*12)+VLOOKUP(W$4,$DE$6:$DF$17,2)+1))*$B70</f>
        <v>-2558.1094858889746</v>
      </c>
      <c r="X70" s="1021">
        <f>(VLOOKUP(YEAR($A70),'NY East Load Projections'!$A$4:$EO$14,((MONTH($A70)-1)*12)+VLOOKUP(X$4,$DE$6:$DF$17,2)+1))*$B70</f>
        <v>-2404.6881882417742</v>
      </c>
      <c r="Y70" s="1021">
        <f>(VLOOKUP(YEAR($A70),'NY East Load Projections'!$A$4:$EO$14,((MONTH($A70)-1)*12)+VLOOKUP(Y$4,$DE$6:$DF$17,2)+1))*$B70</f>
        <v>-2404.6881882417742</v>
      </c>
      <c r="Z70" s="1021">
        <f>(VLOOKUP(YEAR($A70),'NY East Load Projections'!$A$4:$EO$14,((MONTH($A70)-1)*12)+VLOOKUP(Z$4,$DE$6:$DF$17,2)+1))*$B70</f>
        <v>-2404.6881882417742</v>
      </c>
      <c r="AA70" s="1021">
        <f>(VLOOKUP(YEAR($A70),'NY East Load Projections'!$A$4:$EO$14,((MONTH($A70)-1)*12)+VLOOKUP(AA$4,$DE$6:$DF$17,2)+1))*$B70</f>
        <v>-2404.6881882417742</v>
      </c>
      <c r="AB70" s="1021">
        <f>(VLOOKUP(YEAR($A70),'NY East Load Projections'!$A$4:$EO$14,((MONTH($A70)-1)*12)+VLOOKUP(AB$4,$DE$6:$DF$17,2)+1))*$B70</f>
        <v>-2116.5434599228706</v>
      </c>
      <c r="AC70" s="1021">
        <f>(VLOOKUP(YEAR($A70),'NY East Load Projections'!$A$4:$EO$14,((MONTH($A70)-1)*12)+VLOOKUP(AC$4,$DE$6:$DF$17,2)+1))*$B70</f>
        <v>-2116.5434599228706</v>
      </c>
      <c r="AD70" s="1021">
        <f>(VLOOKUP(YEAR($A70),'NY East Load Projections'!$A$4:$EO$14,((MONTH($A70)-1)*12)+VLOOKUP(AD$4,$DE$6:$DF$17,2)+1))*$B70</f>
        <v>-2116.5434599228706</v>
      </c>
      <c r="AE70" s="1021">
        <f>(VLOOKUP(YEAR($A70),'NY East Load Projections'!$A$4:$EO$14,((MONTH($A70)-1)*12)+VLOOKUP(AE$4,$DE$6:$DF$17,2)+1))*$B70</f>
        <v>-2116.5434599228706</v>
      </c>
      <c r="AF70" s="1021"/>
      <c r="AG70" s="1021">
        <f>(VLOOKUP(YEAR($A70),'NY East Load Projections'!$A$4:$EO$14,((MONTH($A70)-1)*12)+VLOOKUP(AG$4,$DE$6:$DF$17,2)+1))*$C70</f>
        <v>-383.19659924557868</v>
      </c>
      <c r="AH70" s="1021">
        <f>(VLOOKUP(YEAR($A70),'NY East Load Projections'!$A$4:$EO$14,((MONTH($A70)-1)*12)+VLOOKUP(AH$4,$DE$6:$DF$17,2)+1))*$C70</f>
        <v>-383.19659924557868</v>
      </c>
      <c r="AI70" s="1021">
        <f>(VLOOKUP(YEAR($A70),'NY East Load Projections'!$A$4:$EO$14,((MONTH($A70)-1)*12)+VLOOKUP(AI$4,$DE$6:$DF$17,2)+1))*$C70</f>
        <v>-383.19659924557868</v>
      </c>
      <c r="AJ70" s="1021">
        <f>(VLOOKUP(YEAR($A70),'NY East Load Projections'!$A$4:$EO$14,((MONTH($A70)-1)*12)+VLOOKUP(AJ$4,$DE$6:$DF$17,2)+1))*$C70</f>
        <v>-383.19659924557868</v>
      </c>
      <c r="AK70" s="1021">
        <f>(VLOOKUP(YEAR($A70),'NY East Load Projections'!$A$4:$EO$14,((MONTH($A70)-1)*12)+VLOOKUP(AK$4,$DE$6:$DF$17,2)+1))*$C70</f>
        <v>-388.96197802907847</v>
      </c>
      <c r="AL70" s="1021">
        <f>(VLOOKUP(YEAR($A70),'NY East Load Projections'!$A$4:$EO$14,((MONTH($A70)-1)*12)+VLOOKUP(AL$4,$DE$6:$DF$17,2)+1))*$C70</f>
        <v>-388.96197802907847</v>
      </c>
      <c r="AM70" s="1021">
        <f>(VLOOKUP(YEAR($A70),'NY East Load Projections'!$A$4:$EO$14,((MONTH($A70)-1)*12)+VLOOKUP(AM$4,$DE$6:$DF$17,2)+1))*$C70</f>
        <v>-388.96197802907847</v>
      </c>
      <c r="AN70" s="1021">
        <f>(VLOOKUP(YEAR($A70),'NY East Load Projections'!$A$4:$EO$14,((MONTH($A70)-1)*12)+VLOOKUP(AN$4,$DE$6:$DF$17,2)+1))*$C70</f>
        <v>-388.96197802907847</v>
      </c>
      <c r="AO70" s="1021">
        <f>(VLOOKUP(YEAR($A70),'NY East Load Projections'!$A$4:$EO$14,((MONTH($A70)-1)*12)+VLOOKUP(AO$4,$DE$6:$DF$17,2)+1))*$C70</f>
        <v>-433.74569960362066</v>
      </c>
      <c r="AP70" s="1021">
        <f>(VLOOKUP(YEAR($A70),'NY East Load Projections'!$A$4:$EO$14,((MONTH($A70)-1)*12)+VLOOKUP(AP$4,$DE$6:$DF$17,2)+1))*$C70</f>
        <v>-433.74569960362066</v>
      </c>
      <c r="AQ70" s="1021">
        <f>(VLOOKUP(YEAR($A70),'NY East Load Projections'!$A$4:$EO$14,((MONTH($A70)-1)*12)+VLOOKUP(AQ$4,$DE$6:$DF$17,2)+1))*$C70</f>
        <v>-433.74569960362066</v>
      </c>
      <c r="AR70" s="1021">
        <f>(VLOOKUP(YEAR($A70),'NY East Load Projections'!$A$4:$EO$14,((MONTH($A70)-1)*12)+VLOOKUP(AR$4,$DE$6:$DF$17,2)+1))*$C70</f>
        <v>-433.74569960362066</v>
      </c>
      <c r="AS70" s="1021">
        <f>(VLOOKUP(YEAR($A70),'NY East Load Projections'!$A$4:$EO$14,((MONTH($A70)-1)*12)+VLOOKUP(AS$4,$DE$6:$DF$17,2)+1))*$C70</f>
        <v>-439.93281168043677</v>
      </c>
      <c r="AT70" s="1021">
        <f>(VLOOKUP(YEAR($A70),'NY East Load Projections'!$A$4:$EO$14,((MONTH($A70)-1)*12)+VLOOKUP(AT$4,$DE$6:$DF$17,2)+1))*$C70</f>
        <v>-439.93281168043677</v>
      </c>
      <c r="AU70" s="1021">
        <f>(VLOOKUP(YEAR($A70),'NY East Load Projections'!$A$4:$EO$14,((MONTH($A70)-1)*12)+VLOOKUP(AU$4,$DE$6:$DF$17,2)+1))*$C70</f>
        <v>-439.93281168043677</v>
      </c>
      <c r="AV70" s="1021">
        <f>(VLOOKUP(YEAR($A70),'NY East Load Projections'!$A$4:$EO$14,((MONTH($A70)-1)*12)+VLOOKUP(AV$4,$DE$6:$DF$17,2)+1))*$C70</f>
        <v>-439.93281168043677</v>
      </c>
      <c r="AW70" s="1021">
        <f>(VLOOKUP(YEAR($A70),'NY East Load Projections'!$A$4:$EO$14,((MONTH($A70)-1)*12)+VLOOKUP(AW$4,$DE$6:$DF$17,2)+1))*$C70</f>
        <v>-409.42739978022109</v>
      </c>
      <c r="AX70" s="1021">
        <f>(VLOOKUP(YEAR($A70),'NY East Load Projections'!$A$4:$EO$14,((MONTH($A70)-1)*12)+VLOOKUP(AX$4,$DE$6:$DF$17,2)+1))*$C70</f>
        <v>-409.42739978022109</v>
      </c>
      <c r="AY70" s="1021">
        <f>(VLOOKUP(YEAR($A70),'NY East Load Projections'!$A$4:$EO$14,((MONTH($A70)-1)*12)+VLOOKUP(AY$4,$DE$6:$DF$17,2)+1))*$C70</f>
        <v>-409.42739978022109</v>
      </c>
      <c r="AZ70" s="1021">
        <f>(VLOOKUP(YEAR($A70),'NY East Load Projections'!$A$4:$EO$14,((MONTH($A70)-1)*12)+VLOOKUP(AZ$4,$DE$6:$DF$17,2)+1))*$C70</f>
        <v>-409.42739978022109</v>
      </c>
      <c r="BA70" s="1021">
        <f>(VLOOKUP(YEAR($A70),'NY East Load Projections'!$A$4:$EO$14,((MONTH($A70)-1)*12)+VLOOKUP(BA$4,$DE$6:$DF$17,2)+1))*$C70</f>
        <v>-392.1930334231788</v>
      </c>
      <c r="BB70" s="1021">
        <f>(VLOOKUP(YEAR($A70),'NY East Load Projections'!$A$4:$EO$14,((MONTH($A70)-1)*12)+VLOOKUP(BB$4,$DE$6:$DF$17,2)+1))*$C70</f>
        <v>-392.1930334231788</v>
      </c>
      <c r="BC70" s="1021">
        <f>(VLOOKUP(YEAR($A70),'NY East Load Projections'!$A$4:$EO$14,((MONTH($A70)-1)*12)+VLOOKUP(BC$4,$DE$6:$DF$17,2)+1))*$C70</f>
        <v>-392.1930334231788</v>
      </c>
      <c r="BD70" s="1021">
        <f>(VLOOKUP(YEAR($A70),'NY East Load Projections'!$A$4:$EO$14,((MONTH($A70)-1)*12)+VLOOKUP(BD$4,$DE$6:$DF$17,2)+1))*$C70</f>
        <v>-392.1930334231788</v>
      </c>
      <c r="BE70" s="1021"/>
      <c r="BF70" s="1021">
        <f>(VLOOKUP(YEAR($A70),'NY East Load Projections'!$A$4:$EO$14,((MONTH($A70)-1)*12)+VLOOKUP(BF$4,$DE$6:$DF$17,2)+1))*$D70</f>
        <v>-383.19659924557868</v>
      </c>
      <c r="BG70" s="1021">
        <f>(VLOOKUP(YEAR($A70),'NY East Load Projections'!$A$4:$EO$14,((MONTH($A70)-1)*12)+VLOOKUP(BG$4,$DE$6:$DF$17,2)+1))*$D70</f>
        <v>-383.19659924557868</v>
      </c>
      <c r="BH70" s="1021">
        <f>(VLOOKUP(YEAR($A70),'NY East Load Projections'!$A$4:$EO$14,((MONTH($A70)-1)*12)+VLOOKUP(BH$4,$DE$6:$DF$17,2)+1))*$D70</f>
        <v>-383.19659924557868</v>
      </c>
      <c r="BI70" s="1021">
        <f>(VLOOKUP(YEAR($A70),'NY East Load Projections'!$A$4:$EO$14,((MONTH($A70)-1)*12)+VLOOKUP(BI$4,$DE$6:$DF$17,2)+1))*$D70</f>
        <v>-383.19659924557868</v>
      </c>
      <c r="BJ70" s="1021">
        <f>(VLOOKUP(YEAR($A70),'NY East Load Projections'!$A$4:$EO$14,((MONTH($A70)-1)*12)+VLOOKUP(BJ$4,$DE$6:$DF$17,2)+1))*$D70</f>
        <v>-388.96197802907847</v>
      </c>
      <c r="BK70" s="1021">
        <f>(VLOOKUP(YEAR($A70),'NY East Load Projections'!$A$4:$EO$14,((MONTH($A70)-1)*12)+VLOOKUP(BK$4,$DE$6:$DF$17,2)+1))*$D70</f>
        <v>-388.96197802907847</v>
      </c>
      <c r="BL70" s="1021">
        <f>(VLOOKUP(YEAR($A70),'NY East Load Projections'!$A$4:$EO$14,((MONTH($A70)-1)*12)+VLOOKUP(BL$4,$DE$6:$DF$17,2)+1))*$D70</f>
        <v>-388.96197802907847</v>
      </c>
      <c r="BM70" s="1021">
        <f>(VLOOKUP(YEAR($A70),'NY East Load Projections'!$A$4:$EO$14,((MONTH($A70)-1)*12)+VLOOKUP(BM$4,$DE$6:$DF$17,2)+1))*$D70</f>
        <v>-388.96197802907847</v>
      </c>
      <c r="BN70" s="1021">
        <f>(VLOOKUP(YEAR($A70),'NY East Load Projections'!$A$4:$EO$14,((MONTH($A70)-1)*12)+VLOOKUP(BN$4,$DE$6:$DF$17,2)+1))*$D70</f>
        <v>-433.74569960362066</v>
      </c>
      <c r="BO70" s="1021">
        <f>(VLOOKUP(YEAR($A70),'NY East Load Projections'!$A$4:$EO$14,((MONTH($A70)-1)*12)+VLOOKUP(BO$4,$DE$6:$DF$17,2)+1))*$D70</f>
        <v>-433.74569960362066</v>
      </c>
      <c r="BP70" s="1021">
        <f>(VLOOKUP(YEAR($A70),'NY East Load Projections'!$A$4:$EO$14,((MONTH($A70)-1)*12)+VLOOKUP(BP$4,$DE$6:$DF$17,2)+1))*$D70</f>
        <v>-433.74569960362066</v>
      </c>
      <c r="BQ70" s="1021">
        <f>(VLOOKUP(YEAR($A70),'NY East Load Projections'!$A$4:$EO$14,((MONTH($A70)-1)*12)+VLOOKUP(BQ$4,$DE$6:$DF$17,2)+1))*$D70</f>
        <v>-433.74569960362066</v>
      </c>
      <c r="BR70" s="1021">
        <f>(VLOOKUP(YEAR($A70),'NY East Load Projections'!$A$4:$EO$14,((MONTH($A70)-1)*12)+VLOOKUP(BR$4,$DE$6:$DF$17,2)+1))*$D70</f>
        <v>-439.93281168043677</v>
      </c>
      <c r="BS70" s="1021">
        <f>(VLOOKUP(YEAR($A70),'NY East Load Projections'!$A$4:$EO$14,((MONTH($A70)-1)*12)+VLOOKUP(BS$4,$DE$6:$DF$17,2)+1))*$D70</f>
        <v>-439.93281168043677</v>
      </c>
      <c r="BT70" s="1021">
        <f>(VLOOKUP(YEAR($A70),'NY East Load Projections'!$A$4:$EO$14,((MONTH($A70)-1)*12)+VLOOKUP(BT$4,$DE$6:$DF$17,2)+1))*$D70</f>
        <v>-439.93281168043677</v>
      </c>
      <c r="BU70" s="1021">
        <f>(VLOOKUP(YEAR($A70),'NY East Load Projections'!$A$4:$EO$14,((MONTH($A70)-1)*12)+VLOOKUP(BU$4,$DE$6:$DF$17,2)+1))*$D70</f>
        <v>-439.93281168043677</v>
      </c>
      <c r="BV70" s="1021">
        <f>(VLOOKUP(YEAR($A70),'NY East Load Projections'!$A$4:$EO$14,((MONTH($A70)-1)*12)+VLOOKUP(BV$4,$DE$6:$DF$17,2)+1))*$D70</f>
        <v>-409.42739978022109</v>
      </c>
      <c r="BW70" s="1021">
        <f>(VLOOKUP(YEAR($A70),'NY East Load Projections'!$A$4:$EO$14,((MONTH($A70)-1)*12)+VLOOKUP(BW$4,$DE$6:$DF$17,2)+1))*$D70</f>
        <v>-409.42739978022109</v>
      </c>
      <c r="BX70" s="1021">
        <f>(VLOOKUP(YEAR($A70),'NY East Load Projections'!$A$4:$EO$14,((MONTH($A70)-1)*12)+VLOOKUP(BX$4,$DE$6:$DF$17,2)+1))*$D70</f>
        <v>-409.42739978022109</v>
      </c>
      <c r="BY70" s="1021">
        <f>(VLOOKUP(YEAR($A70),'NY East Load Projections'!$A$4:$EO$14,((MONTH($A70)-1)*12)+VLOOKUP(BY$4,$DE$6:$DF$17,2)+1))*$D70</f>
        <v>-409.42739978022109</v>
      </c>
      <c r="BZ70" s="1021">
        <f>(VLOOKUP(YEAR($A70),'NY East Load Projections'!$A$4:$EO$14,((MONTH($A70)-1)*12)+VLOOKUP(BZ$4,$DE$6:$DF$17,2)+1))*$D70</f>
        <v>-392.1930334231788</v>
      </c>
      <c r="CA70" s="1021">
        <f>(VLOOKUP(YEAR($A70),'NY East Load Projections'!$A$4:$EO$14,((MONTH($A70)-1)*12)+VLOOKUP(CA$4,$DE$6:$DF$17,2)+1))*$D70</f>
        <v>-392.1930334231788</v>
      </c>
      <c r="CB70" s="1021">
        <f>(VLOOKUP(YEAR($A70),'NY East Load Projections'!$A$4:$EO$14,((MONTH($A70)-1)*12)+VLOOKUP(CB$4,$DE$6:$DF$17,2)+1))*$D70</f>
        <v>-392.1930334231788</v>
      </c>
      <c r="CC70" s="1021">
        <f>(VLOOKUP(YEAR($A70),'NY East Load Projections'!$A$4:$EO$14,((MONTH($A70)-1)*12)+VLOOKUP(CC$4,$DE$6:$DF$17,2)+1))*$D70</f>
        <v>-392.1930334231788</v>
      </c>
      <c r="CE70" s="1021">
        <f>(VLOOKUP(YEAR($A70),'NY East Load Projections'!$A$4:$EO$14,((MONTH($A70)-1)*12)+VLOOKUP(CE$4,$DE$6:$DF$17,2)+1))*$E70</f>
        <v>-95.79914981139467</v>
      </c>
      <c r="CF70" s="1021">
        <f>(VLOOKUP(YEAR($A70),'NY East Load Projections'!$A$4:$EO$14,((MONTH($A70)-1)*12)+VLOOKUP(CF$4,$DE$6:$DF$17,2)+1))*$E70</f>
        <v>-95.79914981139467</v>
      </c>
      <c r="CG70" s="1021">
        <f>(VLOOKUP(YEAR($A70),'NY East Load Projections'!$A$4:$EO$14,((MONTH($A70)-1)*12)+VLOOKUP(CG$4,$DE$6:$DF$17,2)+1))*$E70</f>
        <v>-95.79914981139467</v>
      </c>
      <c r="CH70" s="1021">
        <f>(VLOOKUP(YEAR($A70),'NY East Load Projections'!$A$4:$EO$14,((MONTH($A70)-1)*12)+VLOOKUP(CH$4,$DE$6:$DF$17,2)+1))*$E70</f>
        <v>-95.79914981139467</v>
      </c>
      <c r="CI70" s="1021">
        <f>(VLOOKUP(YEAR($A70),'NY East Load Projections'!$A$4:$EO$14,((MONTH($A70)-1)*12)+VLOOKUP(CI$4,$DE$6:$DF$17,2)+1))*$E70</f>
        <v>-97.240494507269617</v>
      </c>
      <c r="CJ70" s="1021">
        <f>(VLOOKUP(YEAR($A70),'NY East Load Projections'!$A$4:$EO$14,((MONTH($A70)-1)*12)+VLOOKUP(CJ$4,$DE$6:$DF$17,2)+1))*$E70</f>
        <v>-97.240494507269617</v>
      </c>
      <c r="CK70" s="1021">
        <f>(VLOOKUP(YEAR($A70),'NY East Load Projections'!$A$4:$EO$14,((MONTH($A70)-1)*12)+VLOOKUP(CK$4,$DE$6:$DF$17,2)+1))*$E70</f>
        <v>-97.240494507269617</v>
      </c>
      <c r="CL70" s="1021">
        <f>(VLOOKUP(YEAR($A70),'NY East Load Projections'!$A$4:$EO$14,((MONTH($A70)-1)*12)+VLOOKUP(CL$4,$DE$6:$DF$17,2)+1))*$E70</f>
        <v>-97.240494507269617</v>
      </c>
      <c r="CM70" s="1021">
        <f>(VLOOKUP(YEAR($A70),'NY East Load Projections'!$A$4:$EO$14,((MONTH($A70)-1)*12)+VLOOKUP(CM$4,$DE$6:$DF$17,2)+1))*$E70</f>
        <v>-108.43642490090517</v>
      </c>
      <c r="CN70" s="1021">
        <f>(VLOOKUP(YEAR($A70),'NY East Load Projections'!$A$4:$EO$14,((MONTH($A70)-1)*12)+VLOOKUP(CN$4,$DE$6:$DF$17,2)+1))*$E70</f>
        <v>-108.43642490090517</v>
      </c>
      <c r="CO70" s="1021">
        <f>(VLOOKUP(YEAR($A70),'NY East Load Projections'!$A$4:$EO$14,((MONTH($A70)-1)*12)+VLOOKUP(CO$4,$DE$6:$DF$17,2)+1))*$E70</f>
        <v>-108.43642490090517</v>
      </c>
      <c r="CP70" s="1021">
        <f>(VLOOKUP(YEAR($A70),'NY East Load Projections'!$A$4:$EO$14,((MONTH($A70)-1)*12)+VLOOKUP(CP$4,$DE$6:$DF$17,2)+1))*$E70</f>
        <v>-108.43642490090517</v>
      </c>
      <c r="CQ70" s="1021">
        <f>(VLOOKUP(YEAR($A70),'NY East Load Projections'!$A$4:$EO$14,((MONTH($A70)-1)*12)+VLOOKUP(CQ$4,$DE$6:$DF$17,2)+1))*$E70</f>
        <v>-109.98320292010919</v>
      </c>
      <c r="CR70" s="1021">
        <f>(VLOOKUP(YEAR($A70),'NY East Load Projections'!$A$4:$EO$14,((MONTH($A70)-1)*12)+VLOOKUP(CR$4,$DE$6:$DF$17,2)+1))*$E70</f>
        <v>-109.98320292010919</v>
      </c>
      <c r="CS70" s="1021">
        <f>(VLOOKUP(YEAR($A70),'NY East Load Projections'!$A$4:$EO$14,((MONTH($A70)-1)*12)+VLOOKUP(CS$4,$DE$6:$DF$17,2)+1))*$E70</f>
        <v>-109.98320292010919</v>
      </c>
      <c r="CT70" s="1021">
        <f>(VLOOKUP(YEAR($A70),'NY East Load Projections'!$A$4:$EO$14,((MONTH($A70)-1)*12)+VLOOKUP(CT$4,$DE$6:$DF$17,2)+1))*$E70</f>
        <v>-109.98320292010919</v>
      </c>
      <c r="CU70" s="1021">
        <f>(VLOOKUP(YEAR($A70),'NY East Load Projections'!$A$4:$EO$14,((MONTH($A70)-1)*12)+VLOOKUP(CU$4,$DE$6:$DF$17,2)+1))*$E70</f>
        <v>-102.35684994505527</v>
      </c>
      <c r="CV70" s="1021">
        <f>(VLOOKUP(YEAR($A70),'NY East Load Projections'!$A$4:$EO$14,((MONTH($A70)-1)*12)+VLOOKUP(CV$4,$DE$6:$DF$17,2)+1))*$E70</f>
        <v>-102.35684994505527</v>
      </c>
      <c r="CW70" s="1021">
        <f>(VLOOKUP(YEAR($A70),'NY East Load Projections'!$A$4:$EO$14,((MONTH($A70)-1)*12)+VLOOKUP(CW$4,$DE$6:$DF$17,2)+1))*$E70</f>
        <v>-102.35684994505527</v>
      </c>
      <c r="CX70" s="1021">
        <f>(VLOOKUP(YEAR($A70),'NY East Load Projections'!$A$4:$EO$14,((MONTH($A70)-1)*12)+VLOOKUP(CX$4,$DE$6:$DF$17,2)+1))*$E70</f>
        <v>-102.35684994505527</v>
      </c>
      <c r="CY70" s="1021">
        <f>(VLOOKUP(YEAR($A70),'NY East Load Projections'!$A$4:$EO$14,((MONTH($A70)-1)*12)+VLOOKUP(CY$4,$DE$6:$DF$17,2)+1))*$E70</f>
        <v>-98.048258355794701</v>
      </c>
      <c r="CZ70" s="1021">
        <f>(VLOOKUP(YEAR($A70),'NY East Load Projections'!$A$4:$EO$14,((MONTH($A70)-1)*12)+VLOOKUP(CZ$4,$DE$6:$DF$17,2)+1))*$E70</f>
        <v>-98.048258355794701</v>
      </c>
      <c r="DA70" s="1021">
        <f>(VLOOKUP(YEAR($A70),'NY East Load Projections'!$A$4:$EO$14,((MONTH($A70)-1)*12)+VLOOKUP(DA$4,$DE$6:$DF$17,2)+1))*$E70</f>
        <v>-98.048258355794701</v>
      </c>
      <c r="DB70" s="1021">
        <f>(VLOOKUP(YEAR($A70),'NY East Load Projections'!$A$4:$EO$14,((MONTH($A70)-1)*12)+VLOOKUP(DB$4,$DE$6:$DF$17,2)+1))*$E70</f>
        <v>-98.048258355794701</v>
      </c>
      <c r="DH70" s="1009">
        <f t="shared" ref="DH70:DH101" si="3">SUM(H70:DB70)</f>
        <v>-76970.21456891358</v>
      </c>
      <c r="DI70">
        <f ca="1">CALC!J90</f>
        <v>0.63493471897843934</v>
      </c>
      <c r="DJ70" s="1032">
        <f t="shared" ca="1" si="1"/>
        <v>-48871.06155702332</v>
      </c>
    </row>
    <row r="71" spans="1:114" x14ac:dyDescent="0.25">
      <c r="A71" s="244">
        <v>38869</v>
      </c>
      <c r="B71" s="13">
        <v>22</v>
      </c>
      <c r="C71" s="210">
        <v>4</v>
      </c>
      <c r="D71" s="210">
        <v>4</v>
      </c>
      <c r="E71" s="210">
        <v>0</v>
      </c>
      <c r="F71" s="13">
        <v>30</v>
      </c>
      <c r="H71" s="1021">
        <f>(VLOOKUP(YEAR($A71),'NY East Load Projections'!$A$4:$EO$14,((MONTH($A71)-1)*12)+VLOOKUP(H$4,$DE$6:$DF$17,2)+1))*$B71</f>
        <v>-2086.1708151207135</v>
      </c>
      <c r="I71" s="1021">
        <f>(VLOOKUP(YEAR($A71),'NY East Load Projections'!$A$4:$EO$14,((MONTH($A71)-1)*12)+VLOOKUP(I$4,$DE$6:$DF$17,2)+1))*$B71</f>
        <v>-2086.1708151207135</v>
      </c>
      <c r="J71" s="1021">
        <f>(VLOOKUP(YEAR($A71),'NY East Load Projections'!$A$4:$EO$14,((MONTH($A71)-1)*12)+VLOOKUP(J$4,$DE$6:$DF$17,2)+1))*$B71</f>
        <v>-2086.1708151207135</v>
      </c>
      <c r="K71" s="1021">
        <f>(VLOOKUP(YEAR($A71),'NY East Load Projections'!$A$4:$EO$14,((MONTH($A71)-1)*12)+VLOOKUP(K$4,$DE$6:$DF$17,2)+1))*$B71</f>
        <v>-2086.1708151207135</v>
      </c>
      <c r="L71" s="1021">
        <f>(VLOOKUP(YEAR($A71),'NY East Load Projections'!$A$4:$EO$14,((MONTH($A71)-1)*12)+VLOOKUP(L$4,$DE$6:$DF$17,2)+1))*$B71</f>
        <v>-2285.5984779635901</v>
      </c>
      <c r="M71" s="1021">
        <f>(VLOOKUP(YEAR($A71),'NY East Load Projections'!$A$4:$EO$14,((MONTH($A71)-1)*12)+VLOOKUP(M$4,$DE$6:$DF$17,2)+1))*$B71</f>
        <v>-2285.5984779635901</v>
      </c>
      <c r="N71" s="1021">
        <f>(VLOOKUP(YEAR($A71),'NY East Load Projections'!$A$4:$EO$14,((MONTH($A71)-1)*12)+VLOOKUP(N$4,$DE$6:$DF$17,2)+1))*$B71</f>
        <v>-2285.5984779635901</v>
      </c>
      <c r="O71" s="1021">
        <f>(VLOOKUP(YEAR($A71),'NY East Load Projections'!$A$4:$EO$14,((MONTH($A71)-1)*12)+VLOOKUP(O$4,$DE$6:$DF$17,2)+1))*$B71</f>
        <v>-2285.5984779635901</v>
      </c>
      <c r="P71" s="1021">
        <f>(VLOOKUP(YEAR($A71),'NY East Load Projections'!$A$4:$EO$14,((MONTH($A71)-1)*12)+VLOOKUP(P$4,$DE$6:$DF$17,2)+1))*$B71</f>
        <v>-2581.2325843451094</v>
      </c>
      <c r="Q71" s="1021">
        <f>(VLOOKUP(YEAR($A71),'NY East Load Projections'!$A$4:$EO$14,((MONTH($A71)-1)*12)+VLOOKUP(Q$4,$DE$6:$DF$17,2)+1))*$B71</f>
        <v>-2581.2325843451094</v>
      </c>
      <c r="R71" s="1021">
        <f>(VLOOKUP(YEAR($A71),'NY East Load Projections'!$A$4:$EO$14,((MONTH($A71)-1)*12)+VLOOKUP(R$4,$DE$6:$DF$17,2)+1))*$B71</f>
        <v>-2581.2325843451094</v>
      </c>
      <c r="S71" s="1021">
        <f>(VLOOKUP(YEAR($A71),'NY East Load Projections'!$A$4:$EO$14,((MONTH($A71)-1)*12)+VLOOKUP(S$4,$DE$6:$DF$17,2)+1))*$B71</f>
        <v>-2581.2325843451094</v>
      </c>
      <c r="T71" s="1021">
        <f>(VLOOKUP(YEAR($A71),'NY East Load Projections'!$A$4:$EO$14,((MONTH($A71)-1)*12)+VLOOKUP(T$4,$DE$6:$DF$17,2)+1))*$B71</f>
        <v>-2647.1813703221515</v>
      </c>
      <c r="U71" s="1021">
        <f>(VLOOKUP(YEAR($A71),'NY East Load Projections'!$A$4:$EO$14,((MONTH($A71)-1)*12)+VLOOKUP(U$4,$DE$6:$DF$17,2)+1))*$B71</f>
        <v>-2647.1813703221515</v>
      </c>
      <c r="V71" s="1021">
        <f>(VLOOKUP(YEAR($A71),'NY East Load Projections'!$A$4:$EO$14,((MONTH($A71)-1)*12)+VLOOKUP(V$4,$DE$6:$DF$17,2)+1))*$B71</f>
        <v>-2647.1813703221515</v>
      </c>
      <c r="W71" s="1021">
        <f>(VLOOKUP(YEAR($A71),'NY East Load Projections'!$A$4:$EO$14,((MONTH($A71)-1)*12)+VLOOKUP(W$4,$DE$6:$DF$17,2)+1))*$B71</f>
        <v>-2647.1813703221515</v>
      </c>
      <c r="X71" s="1021">
        <f>(VLOOKUP(YEAR($A71),'NY East Load Projections'!$A$4:$EO$14,((MONTH($A71)-1)*12)+VLOOKUP(X$4,$DE$6:$DF$17,2)+1))*$B71</f>
        <v>-2497.8204122418829</v>
      </c>
      <c r="Y71" s="1021">
        <f>(VLOOKUP(YEAR($A71),'NY East Load Projections'!$A$4:$EO$14,((MONTH($A71)-1)*12)+VLOOKUP(Y$4,$DE$6:$DF$17,2)+1))*$B71</f>
        <v>-2497.8204122418829</v>
      </c>
      <c r="Z71" s="1021">
        <f>(VLOOKUP(YEAR($A71),'NY East Load Projections'!$A$4:$EO$14,((MONTH($A71)-1)*12)+VLOOKUP(Z$4,$DE$6:$DF$17,2)+1))*$B71</f>
        <v>-2497.8204122418829</v>
      </c>
      <c r="AA71" s="1021">
        <f>(VLOOKUP(YEAR($A71),'NY East Load Projections'!$A$4:$EO$14,((MONTH($A71)-1)*12)+VLOOKUP(AA$4,$DE$6:$DF$17,2)+1))*$B71</f>
        <v>-2497.8204122418829</v>
      </c>
      <c r="AB71" s="1021">
        <f>(VLOOKUP(YEAR($A71),'NY East Load Projections'!$A$4:$EO$14,((MONTH($A71)-1)*12)+VLOOKUP(AB$4,$DE$6:$DF$17,2)+1))*$B71</f>
        <v>-2207.4588079337063</v>
      </c>
      <c r="AC71" s="1021">
        <f>(VLOOKUP(YEAR($A71),'NY East Load Projections'!$A$4:$EO$14,((MONTH($A71)-1)*12)+VLOOKUP(AC$4,$DE$6:$DF$17,2)+1))*$B71</f>
        <v>-2207.4588079337063</v>
      </c>
      <c r="AD71" s="1021">
        <f>(VLOOKUP(YEAR($A71),'NY East Load Projections'!$A$4:$EO$14,((MONTH($A71)-1)*12)+VLOOKUP(AD$4,$DE$6:$DF$17,2)+1))*$B71</f>
        <v>-2207.4588079337063</v>
      </c>
      <c r="AE71" s="1021">
        <f>(VLOOKUP(YEAR($A71),'NY East Load Projections'!$A$4:$EO$14,((MONTH($A71)-1)*12)+VLOOKUP(AE$4,$DE$6:$DF$17,2)+1))*$B71</f>
        <v>-2207.4588079337063</v>
      </c>
      <c r="AF71" s="1021"/>
      <c r="AG71" s="1021">
        <f>(VLOOKUP(YEAR($A71),'NY East Load Projections'!$A$4:$EO$14,((MONTH($A71)-1)*12)+VLOOKUP(AG$4,$DE$6:$DF$17,2)+1))*$C71</f>
        <v>-385.39127425247455</v>
      </c>
      <c r="AH71" s="1021">
        <f>(VLOOKUP(YEAR($A71),'NY East Load Projections'!$A$4:$EO$14,((MONTH($A71)-1)*12)+VLOOKUP(AH$4,$DE$6:$DF$17,2)+1))*$C71</f>
        <v>-385.39127425247455</v>
      </c>
      <c r="AI71" s="1021">
        <f>(VLOOKUP(YEAR($A71),'NY East Load Projections'!$A$4:$EO$14,((MONTH($A71)-1)*12)+VLOOKUP(AI$4,$DE$6:$DF$17,2)+1))*$C71</f>
        <v>-385.39127425247455</v>
      </c>
      <c r="AJ71" s="1021">
        <f>(VLOOKUP(YEAR($A71),'NY East Load Projections'!$A$4:$EO$14,((MONTH($A71)-1)*12)+VLOOKUP(AJ$4,$DE$6:$DF$17,2)+1))*$C71</f>
        <v>-385.39127425247455</v>
      </c>
      <c r="AK71" s="1021">
        <f>(VLOOKUP(YEAR($A71),'NY East Load Projections'!$A$4:$EO$14,((MONTH($A71)-1)*12)+VLOOKUP(AK$4,$DE$6:$DF$17,2)+1))*$C71</f>
        <v>-389.01637743115413</v>
      </c>
      <c r="AL71" s="1021">
        <f>(VLOOKUP(YEAR($A71),'NY East Load Projections'!$A$4:$EO$14,((MONTH($A71)-1)*12)+VLOOKUP(AL$4,$DE$6:$DF$17,2)+1))*$C71</f>
        <v>-389.01637743115413</v>
      </c>
      <c r="AM71" s="1021">
        <f>(VLOOKUP(YEAR($A71),'NY East Load Projections'!$A$4:$EO$14,((MONTH($A71)-1)*12)+VLOOKUP(AM$4,$DE$6:$DF$17,2)+1))*$C71</f>
        <v>-389.01637743115413</v>
      </c>
      <c r="AN71" s="1021">
        <f>(VLOOKUP(YEAR($A71),'NY East Load Projections'!$A$4:$EO$14,((MONTH($A71)-1)*12)+VLOOKUP(AN$4,$DE$6:$DF$17,2)+1))*$C71</f>
        <v>-389.01637743115413</v>
      </c>
      <c r="AO71" s="1021">
        <f>(VLOOKUP(YEAR($A71),'NY East Load Projections'!$A$4:$EO$14,((MONTH($A71)-1)*12)+VLOOKUP(AO$4,$DE$6:$DF$17,2)+1))*$C71</f>
        <v>-422.40517114487858</v>
      </c>
      <c r="AP71" s="1021">
        <f>(VLOOKUP(YEAR($A71),'NY East Load Projections'!$A$4:$EO$14,((MONTH($A71)-1)*12)+VLOOKUP(AP$4,$DE$6:$DF$17,2)+1))*$C71</f>
        <v>-422.40517114487858</v>
      </c>
      <c r="AQ71" s="1021">
        <f>(VLOOKUP(YEAR($A71),'NY East Load Projections'!$A$4:$EO$14,((MONTH($A71)-1)*12)+VLOOKUP(AQ$4,$DE$6:$DF$17,2)+1))*$C71</f>
        <v>-422.40517114487858</v>
      </c>
      <c r="AR71" s="1021">
        <f>(VLOOKUP(YEAR($A71),'NY East Load Projections'!$A$4:$EO$14,((MONTH($A71)-1)*12)+VLOOKUP(AR$4,$DE$6:$DF$17,2)+1))*$C71</f>
        <v>-422.40517114487858</v>
      </c>
      <c r="AS71" s="1021">
        <f>(VLOOKUP(YEAR($A71),'NY East Load Projections'!$A$4:$EO$14,((MONTH($A71)-1)*12)+VLOOKUP(AS$4,$DE$6:$DF$17,2)+1))*$C71</f>
        <v>-433.97722368127262</v>
      </c>
      <c r="AT71" s="1021">
        <f>(VLOOKUP(YEAR($A71),'NY East Load Projections'!$A$4:$EO$14,((MONTH($A71)-1)*12)+VLOOKUP(AT$4,$DE$6:$DF$17,2)+1))*$C71</f>
        <v>-433.97722368127262</v>
      </c>
      <c r="AU71" s="1021">
        <f>(VLOOKUP(YEAR($A71),'NY East Load Projections'!$A$4:$EO$14,((MONTH($A71)-1)*12)+VLOOKUP(AU$4,$DE$6:$DF$17,2)+1))*$C71</f>
        <v>-433.97722368127262</v>
      </c>
      <c r="AV71" s="1021">
        <f>(VLOOKUP(YEAR($A71),'NY East Load Projections'!$A$4:$EO$14,((MONTH($A71)-1)*12)+VLOOKUP(AV$4,$DE$6:$DF$17,2)+1))*$C71</f>
        <v>-433.97722368127262</v>
      </c>
      <c r="AW71" s="1021">
        <f>(VLOOKUP(YEAR($A71),'NY East Load Projections'!$A$4:$EO$14,((MONTH($A71)-1)*12)+VLOOKUP(AW$4,$DE$6:$DF$17,2)+1))*$C71</f>
        <v>-413.84434840989394</v>
      </c>
      <c r="AX71" s="1021">
        <f>(VLOOKUP(YEAR($A71),'NY East Load Projections'!$A$4:$EO$14,((MONTH($A71)-1)*12)+VLOOKUP(AX$4,$DE$6:$DF$17,2)+1))*$C71</f>
        <v>-413.84434840989394</v>
      </c>
      <c r="AY71" s="1021">
        <f>(VLOOKUP(YEAR($A71),'NY East Load Projections'!$A$4:$EO$14,((MONTH($A71)-1)*12)+VLOOKUP(AY$4,$DE$6:$DF$17,2)+1))*$C71</f>
        <v>-413.84434840989394</v>
      </c>
      <c r="AZ71" s="1021">
        <f>(VLOOKUP(YEAR($A71),'NY East Load Projections'!$A$4:$EO$14,((MONTH($A71)-1)*12)+VLOOKUP(AZ$4,$DE$6:$DF$17,2)+1))*$C71</f>
        <v>-413.84434840989394</v>
      </c>
      <c r="BA71" s="1021">
        <f>(VLOOKUP(YEAR($A71),'NY East Load Projections'!$A$4:$EO$14,((MONTH($A71)-1)*12)+VLOOKUP(BA$4,$DE$6:$DF$17,2)+1))*$C71</f>
        <v>-393.49717733956442</v>
      </c>
      <c r="BB71" s="1021">
        <f>(VLOOKUP(YEAR($A71),'NY East Load Projections'!$A$4:$EO$14,((MONTH($A71)-1)*12)+VLOOKUP(BB$4,$DE$6:$DF$17,2)+1))*$C71</f>
        <v>-393.49717733956442</v>
      </c>
      <c r="BC71" s="1021">
        <f>(VLOOKUP(YEAR($A71),'NY East Load Projections'!$A$4:$EO$14,((MONTH($A71)-1)*12)+VLOOKUP(BC$4,$DE$6:$DF$17,2)+1))*$C71</f>
        <v>-393.49717733956442</v>
      </c>
      <c r="BD71" s="1021">
        <f>(VLOOKUP(YEAR($A71),'NY East Load Projections'!$A$4:$EO$14,((MONTH($A71)-1)*12)+VLOOKUP(BD$4,$DE$6:$DF$17,2)+1))*$C71</f>
        <v>-393.49717733956442</v>
      </c>
      <c r="BE71" s="1021"/>
      <c r="BF71" s="1021">
        <f>(VLOOKUP(YEAR($A71),'NY East Load Projections'!$A$4:$EO$14,((MONTH($A71)-1)*12)+VLOOKUP(BF$4,$DE$6:$DF$17,2)+1))*$D71</f>
        <v>-385.39127425247455</v>
      </c>
      <c r="BG71" s="1021">
        <f>(VLOOKUP(YEAR($A71),'NY East Load Projections'!$A$4:$EO$14,((MONTH($A71)-1)*12)+VLOOKUP(BG$4,$DE$6:$DF$17,2)+1))*$D71</f>
        <v>-385.39127425247455</v>
      </c>
      <c r="BH71" s="1021">
        <f>(VLOOKUP(YEAR($A71),'NY East Load Projections'!$A$4:$EO$14,((MONTH($A71)-1)*12)+VLOOKUP(BH$4,$DE$6:$DF$17,2)+1))*$D71</f>
        <v>-385.39127425247455</v>
      </c>
      <c r="BI71" s="1021">
        <f>(VLOOKUP(YEAR($A71),'NY East Load Projections'!$A$4:$EO$14,((MONTH($A71)-1)*12)+VLOOKUP(BI$4,$DE$6:$DF$17,2)+1))*$D71</f>
        <v>-385.39127425247455</v>
      </c>
      <c r="BJ71" s="1021">
        <f>(VLOOKUP(YEAR($A71),'NY East Load Projections'!$A$4:$EO$14,((MONTH($A71)-1)*12)+VLOOKUP(BJ$4,$DE$6:$DF$17,2)+1))*$D71</f>
        <v>-389.01637743115413</v>
      </c>
      <c r="BK71" s="1021">
        <f>(VLOOKUP(YEAR($A71),'NY East Load Projections'!$A$4:$EO$14,((MONTH($A71)-1)*12)+VLOOKUP(BK$4,$DE$6:$DF$17,2)+1))*$D71</f>
        <v>-389.01637743115413</v>
      </c>
      <c r="BL71" s="1021">
        <f>(VLOOKUP(YEAR($A71),'NY East Load Projections'!$A$4:$EO$14,((MONTH($A71)-1)*12)+VLOOKUP(BL$4,$DE$6:$DF$17,2)+1))*$D71</f>
        <v>-389.01637743115413</v>
      </c>
      <c r="BM71" s="1021">
        <f>(VLOOKUP(YEAR($A71),'NY East Load Projections'!$A$4:$EO$14,((MONTH($A71)-1)*12)+VLOOKUP(BM$4,$DE$6:$DF$17,2)+1))*$D71</f>
        <v>-389.01637743115413</v>
      </c>
      <c r="BN71" s="1021">
        <f>(VLOOKUP(YEAR($A71),'NY East Load Projections'!$A$4:$EO$14,((MONTH($A71)-1)*12)+VLOOKUP(BN$4,$DE$6:$DF$17,2)+1))*$D71</f>
        <v>-422.40517114487858</v>
      </c>
      <c r="BO71" s="1021">
        <f>(VLOOKUP(YEAR($A71),'NY East Load Projections'!$A$4:$EO$14,((MONTH($A71)-1)*12)+VLOOKUP(BO$4,$DE$6:$DF$17,2)+1))*$D71</f>
        <v>-422.40517114487858</v>
      </c>
      <c r="BP71" s="1021">
        <f>(VLOOKUP(YEAR($A71),'NY East Load Projections'!$A$4:$EO$14,((MONTH($A71)-1)*12)+VLOOKUP(BP$4,$DE$6:$DF$17,2)+1))*$D71</f>
        <v>-422.40517114487858</v>
      </c>
      <c r="BQ71" s="1021">
        <f>(VLOOKUP(YEAR($A71),'NY East Load Projections'!$A$4:$EO$14,((MONTH($A71)-1)*12)+VLOOKUP(BQ$4,$DE$6:$DF$17,2)+1))*$D71</f>
        <v>-422.40517114487858</v>
      </c>
      <c r="BR71" s="1021">
        <f>(VLOOKUP(YEAR($A71),'NY East Load Projections'!$A$4:$EO$14,((MONTH($A71)-1)*12)+VLOOKUP(BR$4,$DE$6:$DF$17,2)+1))*$D71</f>
        <v>-433.97722368127262</v>
      </c>
      <c r="BS71" s="1021">
        <f>(VLOOKUP(YEAR($A71),'NY East Load Projections'!$A$4:$EO$14,((MONTH($A71)-1)*12)+VLOOKUP(BS$4,$DE$6:$DF$17,2)+1))*$D71</f>
        <v>-433.97722368127262</v>
      </c>
      <c r="BT71" s="1021">
        <f>(VLOOKUP(YEAR($A71),'NY East Load Projections'!$A$4:$EO$14,((MONTH($A71)-1)*12)+VLOOKUP(BT$4,$DE$6:$DF$17,2)+1))*$D71</f>
        <v>-433.97722368127262</v>
      </c>
      <c r="BU71" s="1021">
        <f>(VLOOKUP(YEAR($A71),'NY East Load Projections'!$A$4:$EO$14,((MONTH($A71)-1)*12)+VLOOKUP(BU$4,$DE$6:$DF$17,2)+1))*$D71</f>
        <v>-433.97722368127262</v>
      </c>
      <c r="BV71" s="1021">
        <f>(VLOOKUP(YEAR($A71),'NY East Load Projections'!$A$4:$EO$14,((MONTH($A71)-1)*12)+VLOOKUP(BV$4,$DE$6:$DF$17,2)+1))*$D71</f>
        <v>-413.84434840989394</v>
      </c>
      <c r="BW71" s="1021">
        <f>(VLOOKUP(YEAR($A71),'NY East Load Projections'!$A$4:$EO$14,((MONTH($A71)-1)*12)+VLOOKUP(BW$4,$DE$6:$DF$17,2)+1))*$D71</f>
        <v>-413.84434840989394</v>
      </c>
      <c r="BX71" s="1021">
        <f>(VLOOKUP(YEAR($A71),'NY East Load Projections'!$A$4:$EO$14,((MONTH($A71)-1)*12)+VLOOKUP(BX$4,$DE$6:$DF$17,2)+1))*$D71</f>
        <v>-413.84434840989394</v>
      </c>
      <c r="BY71" s="1021">
        <f>(VLOOKUP(YEAR($A71),'NY East Load Projections'!$A$4:$EO$14,((MONTH($A71)-1)*12)+VLOOKUP(BY$4,$DE$6:$DF$17,2)+1))*$D71</f>
        <v>-413.84434840989394</v>
      </c>
      <c r="BZ71" s="1021">
        <f>(VLOOKUP(YEAR($A71),'NY East Load Projections'!$A$4:$EO$14,((MONTH($A71)-1)*12)+VLOOKUP(BZ$4,$DE$6:$DF$17,2)+1))*$D71</f>
        <v>-393.49717733956442</v>
      </c>
      <c r="CA71" s="1021">
        <f>(VLOOKUP(YEAR($A71),'NY East Load Projections'!$A$4:$EO$14,((MONTH($A71)-1)*12)+VLOOKUP(CA$4,$DE$6:$DF$17,2)+1))*$D71</f>
        <v>-393.49717733956442</v>
      </c>
      <c r="CB71" s="1021">
        <f>(VLOOKUP(YEAR($A71),'NY East Load Projections'!$A$4:$EO$14,((MONTH($A71)-1)*12)+VLOOKUP(CB$4,$DE$6:$DF$17,2)+1))*$D71</f>
        <v>-393.49717733956442</v>
      </c>
      <c r="CC71" s="1021">
        <f>(VLOOKUP(YEAR($A71),'NY East Load Projections'!$A$4:$EO$14,((MONTH($A71)-1)*12)+VLOOKUP(CC$4,$DE$6:$DF$17,2)+1))*$D71</f>
        <v>-393.49717733956442</v>
      </c>
      <c r="CE71" s="1021">
        <f>(VLOOKUP(YEAR($A71),'NY East Load Projections'!$A$4:$EO$14,((MONTH($A71)-1)*12)+VLOOKUP(CE$4,$DE$6:$DF$17,2)+1))*$E71</f>
        <v>0</v>
      </c>
      <c r="CF71" s="1021">
        <f>(VLOOKUP(YEAR($A71),'NY East Load Projections'!$A$4:$EO$14,((MONTH($A71)-1)*12)+VLOOKUP(CF$4,$DE$6:$DF$17,2)+1))*$E71</f>
        <v>0</v>
      </c>
      <c r="CG71" s="1021">
        <f>(VLOOKUP(YEAR($A71),'NY East Load Projections'!$A$4:$EO$14,((MONTH($A71)-1)*12)+VLOOKUP(CG$4,$DE$6:$DF$17,2)+1))*$E71</f>
        <v>0</v>
      </c>
      <c r="CH71" s="1021">
        <f>(VLOOKUP(YEAR($A71),'NY East Load Projections'!$A$4:$EO$14,((MONTH($A71)-1)*12)+VLOOKUP(CH$4,$DE$6:$DF$17,2)+1))*$E71</f>
        <v>0</v>
      </c>
      <c r="CI71" s="1021">
        <f>(VLOOKUP(YEAR($A71),'NY East Load Projections'!$A$4:$EO$14,((MONTH($A71)-1)*12)+VLOOKUP(CI$4,$DE$6:$DF$17,2)+1))*$E71</f>
        <v>0</v>
      </c>
      <c r="CJ71" s="1021">
        <f>(VLOOKUP(YEAR($A71),'NY East Load Projections'!$A$4:$EO$14,((MONTH($A71)-1)*12)+VLOOKUP(CJ$4,$DE$6:$DF$17,2)+1))*$E71</f>
        <v>0</v>
      </c>
      <c r="CK71" s="1021">
        <f>(VLOOKUP(YEAR($A71),'NY East Load Projections'!$A$4:$EO$14,((MONTH($A71)-1)*12)+VLOOKUP(CK$4,$DE$6:$DF$17,2)+1))*$E71</f>
        <v>0</v>
      </c>
      <c r="CL71" s="1021">
        <f>(VLOOKUP(YEAR($A71),'NY East Load Projections'!$A$4:$EO$14,((MONTH($A71)-1)*12)+VLOOKUP(CL$4,$DE$6:$DF$17,2)+1))*$E71</f>
        <v>0</v>
      </c>
      <c r="CM71" s="1021">
        <f>(VLOOKUP(YEAR($A71),'NY East Load Projections'!$A$4:$EO$14,((MONTH($A71)-1)*12)+VLOOKUP(CM$4,$DE$6:$DF$17,2)+1))*$E71</f>
        <v>0</v>
      </c>
      <c r="CN71" s="1021">
        <f>(VLOOKUP(YEAR($A71),'NY East Load Projections'!$A$4:$EO$14,((MONTH($A71)-1)*12)+VLOOKUP(CN$4,$DE$6:$DF$17,2)+1))*$E71</f>
        <v>0</v>
      </c>
      <c r="CO71" s="1021">
        <f>(VLOOKUP(YEAR($A71),'NY East Load Projections'!$A$4:$EO$14,((MONTH($A71)-1)*12)+VLOOKUP(CO$4,$DE$6:$DF$17,2)+1))*$E71</f>
        <v>0</v>
      </c>
      <c r="CP71" s="1021">
        <f>(VLOOKUP(YEAR($A71),'NY East Load Projections'!$A$4:$EO$14,((MONTH($A71)-1)*12)+VLOOKUP(CP$4,$DE$6:$DF$17,2)+1))*$E71</f>
        <v>0</v>
      </c>
      <c r="CQ71" s="1021">
        <f>(VLOOKUP(YEAR($A71),'NY East Load Projections'!$A$4:$EO$14,((MONTH($A71)-1)*12)+VLOOKUP(CQ$4,$DE$6:$DF$17,2)+1))*$E71</f>
        <v>0</v>
      </c>
      <c r="CR71" s="1021">
        <f>(VLOOKUP(YEAR($A71),'NY East Load Projections'!$A$4:$EO$14,((MONTH($A71)-1)*12)+VLOOKUP(CR$4,$DE$6:$DF$17,2)+1))*$E71</f>
        <v>0</v>
      </c>
      <c r="CS71" s="1021">
        <f>(VLOOKUP(YEAR($A71),'NY East Load Projections'!$A$4:$EO$14,((MONTH($A71)-1)*12)+VLOOKUP(CS$4,$DE$6:$DF$17,2)+1))*$E71</f>
        <v>0</v>
      </c>
      <c r="CT71" s="1021">
        <f>(VLOOKUP(YEAR($A71),'NY East Load Projections'!$A$4:$EO$14,((MONTH($A71)-1)*12)+VLOOKUP(CT$4,$DE$6:$DF$17,2)+1))*$E71</f>
        <v>0</v>
      </c>
      <c r="CU71" s="1021">
        <f>(VLOOKUP(YEAR($A71),'NY East Load Projections'!$A$4:$EO$14,((MONTH($A71)-1)*12)+VLOOKUP(CU$4,$DE$6:$DF$17,2)+1))*$E71</f>
        <v>0</v>
      </c>
      <c r="CV71" s="1021">
        <f>(VLOOKUP(YEAR($A71),'NY East Load Projections'!$A$4:$EO$14,((MONTH($A71)-1)*12)+VLOOKUP(CV$4,$DE$6:$DF$17,2)+1))*$E71</f>
        <v>0</v>
      </c>
      <c r="CW71" s="1021">
        <f>(VLOOKUP(YEAR($A71),'NY East Load Projections'!$A$4:$EO$14,((MONTH($A71)-1)*12)+VLOOKUP(CW$4,$DE$6:$DF$17,2)+1))*$E71</f>
        <v>0</v>
      </c>
      <c r="CX71" s="1021">
        <f>(VLOOKUP(YEAR($A71),'NY East Load Projections'!$A$4:$EO$14,((MONTH($A71)-1)*12)+VLOOKUP(CX$4,$DE$6:$DF$17,2)+1))*$E71</f>
        <v>0</v>
      </c>
      <c r="CY71" s="1021">
        <f>(VLOOKUP(YEAR($A71),'NY East Load Projections'!$A$4:$EO$14,((MONTH($A71)-1)*12)+VLOOKUP(CY$4,$DE$6:$DF$17,2)+1))*$E71</f>
        <v>0</v>
      </c>
      <c r="CZ71" s="1021">
        <f>(VLOOKUP(YEAR($A71),'NY East Load Projections'!$A$4:$EO$14,((MONTH($A71)-1)*12)+VLOOKUP(CZ$4,$DE$6:$DF$17,2)+1))*$E71</f>
        <v>0</v>
      </c>
      <c r="DA71" s="1021">
        <f>(VLOOKUP(YEAR($A71),'NY East Load Projections'!$A$4:$EO$14,((MONTH($A71)-1)*12)+VLOOKUP(DA$4,$DE$6:$DF$17,2)+1))*$E71</f>
        <v>0</v>
      </c>
      <c r="DB71" s="1021">
        <f>(VLOOKUP(YEAR($A71),'NY East Load Projections'!$A$4:$EO$14,((MONTH($A71)-1)*12)+VLOOKUP(DB$4,$DE$6:$DF$17,2)+1))*$E71</f>
        <v>0</v>
      </c>
      <c r="DH71" s="1009">
        <f t="shared" si="3"/>
        <v>-76726.90244978253</v>
      </c>
      <c r="DI71">
        <f ca="1">CALC!J91</f>
        <v>0.63108905735073273</v>
      </c>
      <c r="DJ71" s="1032">
        <f t="shared" ref="DJ71:DJ125" ca="1" si="4">DH71*DI71</f>
        <v>-48421.508540474882</v>
      </c>
    </row>
    <row r="72" spans="1:114" x14ac:dyDescent="0.25">
      <c r="A72" s="244">
        <v>38899</v>
      </c>
      <c r="B72" s="13">
        <v>20</v>
      </c>
      <c r="C72" s="210">
        <v>5</v>
      </c>
      <c r="D72" s="210">
        <v>5</v>
      </c>
      <c r="E72" s="210">
        <v>1</v>
      </c>
      <c r="F72" s="13">
        <v>31</v>
      </c>
      <c r="H72" s="1021">
        <f>(VLOOKUP(YEAR($A72),'NY East Load Projections'!$A$4:$EO$14,((MONTH($A72)-1)*12)+VLOOKUP(H$4,$DE$6:$DF$17,2)+1))*$B72</f>
        <v>-1951.8700915033305</v>
      </c>
      <c r="I72" s="1021">
        <f>(VLOOKUP(YEAR($A72),'NY East Load Projections'!$A$4:$EO$14,((MONTH($A72)-1)*12)+VLOOKUP(I$4,$DE$6:$DF$17,2)+1))*$B72</f>
        <v>-1951.8700915033305</v>
      </c>
      <c r="J72" s="1021">
        <f>(VLOOKUP(YEAR($A72),'NY East Load Projections'!$A$4:$EO$14,((MONTH($A72)-1)*12)+VLOOKUP(J$4,$DE$6:$DF$17,2)+1))*$B72</f>
        <v>-1951.8700915033305</v>
      </c>
      <c r="K72" s="1021">
        <f>(VLOOKUP(YEAR($A72),'NY East Load Projections'!$A$4:$EO$14,((MONTH($A72)-1)*12)+VLOOKUP(K$4,$DE$6:$DF$17,2)+1))*$B72</f>
        <v>-1951.8700915033305</v>
      </c>
      <c r="L72" s="1021">
        <f>(VLOOKUP(YEAR($A72),'NY East Load Projections'!$A$4:$EO$14,((MONTH($A72)-1)*12)+VLOOKUP(L$4,$DE$6:$DF$17,2)+1))*$B72</f>
        <v>-2135.3554987803805</v>
      </c>
      <c r="M72" s="1021">
        <f>(VLOOKUP(YEAR($A72),'NY East Load Projections'!$A$4:$EO$14,((MONTH($A72)-1)*12)+VLOOKUP(M$4,$DE$6:$DF$17,2)+1))*$B72</f>
        <v>-2135.3554987803805</v>
      </c>
      <c r="N72" s="1021">
        <f>(VLOOKUP(YEAR($A72),'NY East Load Projections'!$A$4:$EO$14,((MONTH($A72)-1)*12)+VLOOKUP(N$4,$DE$6:$DF$17,2)+1))*$B72</f>
        <v>-2135.3554987803805</v>
      </c>
      <c r="O72" s="1021">
        <f>(VLOOKUP(YEAR($A72),'NY East Load Projections'!$A$4:$EO$14,((MONTH($A72)-1)*12)+VLOOKUP(O$4,$DE$6:$DF$17,2)+1))*$B72</f>
        <v>-2135.3554987803805</v>
      </c>
      <c r="P72" s="1021">
        <f>(VLOOKUP(YEAR($A72),'NY East Load Projections'!$A$4:$EO$14,((MONTH($A72)-1)*12)+VLOOKUP(P$4,$DE$6:$DF$17,2)+1))*$B72</f>
        <v>-2407.1734474626219</v>
      </c>
      <c r="Q72" s="1021">
        <f>(VLOOKUP(YEAR($A72),'NY East Load Projections'!$A$4:$EO$14,((MONTH($A72)-1)*12)+VLOOKUP(Q$4,$DE$6:$DF$17,2)+1))*$B72</f>
        <v>-2407.1734474626219</v>
      </c>
      <c r="R72" s="1021">
        <f>(VLOOKUP(YEAR($A72),'NY East Load Projections'!$A$4:$EO$14,((MONTH($A72)-1)*12)+VLOOKUP(R$4,$DE$6:$DF$17,2)+1))*$B72</f>
        <v>-2407.1734474626219</v>
      </c>
      <c r="S72" s="1021">
        <f>(VLOOKUP(YEAR($A72),'NY East Load Projections'!$A$4:$EO$14,((MONTH($A72)-1)*12)+VLOOKUP(S$4,$DE$6:$DF$17,2)+1))*$B72</f>
        <v>-2407.1734474626219</v>
      </c>
      <c r="T72" s="1021">
        <f>(VLOOKUP(YEAR($A72),'NY East Load Projections'!$A$4:$EO$14,((MONTH($A72)-1)*12)+VLOOKUP(T$4,$DE$6:$DF$17,2)+1))*$B72</f>
        <v>-2453.3093804648088</v>
      </c>
      <c r="U72" s="1021">
        <f>(VLOOKUP(YEAR($A72),'NY East Load Projections'!$A$4:$EO$14,((MONTH($A72)-1)*12)+VLOOKUP(U$4,$DE$6:$DF$17,2)+1))*$B72</f>
        <v>-2453.3093804648088</v>
      </c>
      <c r="V72" s="1021">
        <f>(VLOOKUP(YEAR($A72),'NY East Load Projections'!$A$4:$EO$14,((MONTH($A72)-1)*12)+VLOOKUP(V$4,$DE$6:$DF$17,2)+1))*$B72</f>
        <v>-2453.3093804648088</v>
      </c>
      <c r="W72" s="1021">
        <f>(VLOOKUP(YEAR($A72),'NY East Load Projections'!$A$4:$EO$14,((MONTH($A72)-1)*12)+VLOOKUP(W$4,$DE$6:$DF$17,2)+1))*$B72</f>
        <v>-2453.3093804648088</v>
      </c>
      <c r="X72" s="1021">
        <f>(VLOOKUP(YEAR($A72),'NY East Load Projections'!$A$4:$EO$14,((MONTH($A72)-1)*12)+VLOOKUP(X$4,$DE$6:$DF$17,2)+1))*$B72</f>
        <v>-2325.4243375987044</v>
      </c>
      <c r="Y72" s="1021">
        <f>(VLOOKUP(YEAR($A72),'NY East Load Projections'!$A$4:$EO$14,((MONTH($A72)-1)*12)+VLOOKUP(Y$4,$DE$6:$DF$17,2)+1))*$B72</f>
        <v>-2325.4243375987044</v>
      </c>
      <c r="Z72" s="1021">
        <f>(VLOOKUP(YEAR($A72),'NY East Load Projections'!$A$4:$EO$14,((MONTH($A72)-1)*12)+VLOOKUP(Z$4,$DE$6:$DF$17,2)+1))*$B72</f>
        <v>-2325.4243375987044</v>
      </c>
      <c r="AA72" s="1021">
        <f>(VLOOKUP(YEAR($A72),'NY East Load Projections'!$A$4:$EO$14,((MONTH($A72)-1)*12)+VLOOKUP(AA$4,$DE$6:$DF$17,2)+1))*$B72</f>
        <v>-2325.4243375987044</v>
      </c>
      <c r="AB72" s="1021">
        <f>(VLOOKUP(YEAR($A72),'NY East Load Projections'!$A$4:$EO$14,((MONTH($A72)-1)*12)+VLOOKUP(AB$4,$DE$6:$DF$17,2)+1))*$B72</f>
        <v>-2057.8181865814431</v>
      </c>
      <c r="AC72" s="1021">
        <f>(VLOOKUP(YEAR($A72),'NY East Load Projections'!$A$4:$EO$14,((MONTH($A72)-1)*12)+VLOOKUP(AC$4,$DE$6:$DF$17,2)+1))*$B72</f>
        <v>-2057.8181865814431</v>
      </c>
      <c r="AD72" s="1021">
        <f>(VLOOKUP(YEAR($A72),'NY East Load Projections'!$A$4:$EO$14,((MONTH($A72)-1)*12)+VLOOKUP(AD$4,$DE$6:$DF$17,2)+1))*$B72</f>
        <v>-2057.8181865814431</v>
      </c>
      <c r="AE72" s="1021">
        <f>(VLOOKUP(YEAR($A72),'NY East Load Projections'!$A$4:$EO$14,((MONTH($A72)-1)*12)+VLOOKUP(AE$4,$DE$6:$DF$17,2)+1))*$B72</f>
        <v>-2057.8181865814431</v>
      </c>
      <c r="AF72" s="1021"/>
      <c r="AG72" s="1021">
        <f>(VLOOKUP(YEAR($A72),'NY East Load Projections'!$A$4:$EO$14,((MONTH($A72)-1)*12)+VLOOKUP(AG$4,$DE$6:$DF$17,2)+1))*$C72</f>
        <v>-466.99873250045096</v>
      </c>
      <c r="AH72" s="1021">
        <f>(VLOOKUP(YEAR($A72),'NY East Load Projections'!$A$4:$EO$14,((MONTH($A72)-1)*12)+VLOOKUP(AH$4,$DE$6:$DF$17,2)+1))*$C72</f>
        <v>-466.99873250045096</v>
      </c>
      <c r="AI72" s="1021">
        <f>(VLOOKUP(YEAR($A72),'NY East Load Projections'!$A$4:$EO$14,((MONTH($A72)-1)*12)+VLOOKUP(AI$4,$DE$6:$DF$17,2)+1))*$C72</f>
        <v>-466.99873250045096</v>
      </c>
      <c r="AJ72" s="1021">
        <f>(VLOOKUP(YEAR($A72),'NY East Load Projections'!$A$4:$EO$14,((MONTH($A72)-1)*12)+VLOOKUP(AJ$4,$DE$6:$DF$17,2)+1))*$C72</f>
        <v>-466.99873250045096</v>
      </c>
      <c r="AK72" s="1021">
        <f>(VLOOKUP(YEAR($A72),'NY East Load Projections'!$A$4:$EO$14,((MONTH($A72)-1)*12)+VLOOKUP(AK$4,$DE$6:$DF$17,2)+1))*$C72</f>
        <v>-473.44670068121559</v>
      </c>
      <c r="AL72" s="1021">
        <f>(VLOOKUP(YEAR($A72),'NY East Load Projections'!$A$4:$EO$14,((MONTH($A72)-1)*12)+VLOOKUP(AL$4,$DE$6:$DF$17,2)+1))*$C72</f>
        <v>-473.44670068121559</v>
      </c>
      <c r="AM72" s="1021">
        <f>(VLOOKUP(YEAR($A72),'NY East Load Projections'!$A$4:$EO$14,((MONTH($A72)-1)*12)+VLOOKUP(AM$4,$DE$6:$DF$17,2)+1))*$C72</f>
        <v>-473.44670068121559</v>
      </c>
      <c r="AN72" s="1021">
        <f>(VLOOKUP(YEAR($A72),'NY East Load Projections'!$A$4:$EO$14,((MONTH($A72)-1)*12)+VLOOKUP(AN$4,$DE$6:$DF$17,2)+1))*$C72</f>
        <v>-473.44670068121559</v>
      </c>
      <c r="AO72" s="1021">
        <f>(VLOOKUP(YEAR($A72),'NY East Load Projections'!$A$4:$EO$14,((MONTH($A72)-1)*12)+VLOOKUP(AO$4,$DE$6:$DF$17,2)+1))*$C72</f>
        <v>-517.96603424496914</v>
      </c>
      <c r="AP72" s="1021">
        <f>(VLOOKUP(YEAR($A72),'NY East Load Projections'!$A$4:$EO$14,((MONTH($A72)-1)*12)+VLOOKUP(AP$4,$DE$6:$DF$17,2)+1))*$C72</f>
        <v>-517.96603424496914</v>
      </c>
      <c r="AQ72" s="1021">
        <f>(VLOOKUP(YEAR($A72),'NY East Load Projections'!$A$4:$EO$14,((MONTH($A72)-1)*12)+VLOOKUP(AQ$4,$DE$6:$DF$17,2)+1))*$C72</f>
        <v>-517.96603424496914</v>
      </c>
      <c r="AR72" s="1021">
        <f>(VLOOKUP(YEAR($A72),'NY East Load Projections'!$A$4:$EO$14,((MONTH($A72)-1)*12)+VLOOKUP(AR$4,$DE$6:$DF$17,2)+1))*$C72</f>
        <v>-517.96603424496914</v>
      </c>
      <c r="AS72" s="1021">
        <f>(VLOOKUP(YEAR($A72),'NY East Load Projections'!$A$4:$EO$14,((MONTH($A72)-1)*12)+VLOOKUP(AS$4,$DE$6:$DF$17,2)+1))*$C72</f>
        <v>-534.36483971338748</v>
      </c>
      <c r="AT72" s="1021">
        <f>(VLOOKUP(YEAR($A72),'NY East Load Projections'!$A$4:$EO$14,((MONTH($A72)-1)*12)+VLOOKUP(AT$4,$DE$6:$DF$17,2)+1))*$C72</f>
        <v>-534.36483971338748</v>
      </c>
      <c r="AU72" s="1021">
        <f>(VLOOKUP(YEAR($A72),'NY East Load Projections'!$A$4:$EO$14,((MONTH($A72)-1)*12)+VLOOKUP(AU$4,$DE$6:$DF$17,2)+1))*$C72</f>
        <v>-534.36483971338748</v>
      </c>
      <c r="AV72" s="1021">
        <f>(VLOOKUP(YEAR($A72),'NY East Load Projections'!$A$4:$EO$14,((MONTH($A72)-1)*12)+VLOOKUP(AV$4,$DE$6:$DF$17,2)+1))*$C72</f>
        <v>-534.36483971338748</v>
      </c>
      <c r="AW72" s="1021">
        <f>(VLOOKUP(YEAR($A72),'NY East Load Projections'!$A$4:$EO$14,((MONTH($A72)-1)*12)+VLOOKUP(AW$4,$DE$6:$DF$17,2)+1))*$C72</f>
        <v>-508.40175383854125</v>
      </c>
      <c r="AX72" s="1021">
        <f>(VLOOKUP(YEAR($A72),'NY East Load Projections'!$A$4:$EO$14,((MONTH($A72)-1)*12)+VLOOKUP(AX$4,$DE$6:$DF$17,2)+1))*$C72</f>
        <v>-508.40175383854125</v>
      </c>
      <c r="AY72" s="1021">
        <f>(VLOOKUP(YEAR($A72),'NY East Load Projections'!$A$4:$EO$14,((MONTH($A72)-1)*12)+VLOOKUP(AY$4,$DE$6:$DF$17,2)+1))*$C72</f>
        <v>-508.40175383854125</v>
      </c>
      <c r="AZ72" s="1021">
        <f>(VLOOKUP(YEAR($A72),'NY East Load Projections'!$A$4:$EO$14,((MONTH($A72)-1)*12)+VLOOKUP(AZ$4,$DE$6:$DF$17,2)+1))*$C72</f>
        <v>-508.40175383854125</v>
      </c>
      <c r="BA72" s="1021">
        <f>(VLOOKUP(YEAR($A72),'NY East Load Projections'!$A$4:$EO$14,((MONTH($A72)-1)*12)+VLOOKUP(BA$4,$DE$6:$DF$17,2)+1))*$C72</f>
        <v>-482.82027191096904</v>
      </c>
      <c r="BB72" s="1021">
        <f>(VLOOKUP(YEAR($A72),'NY East Load Projections'!$A$4:$EO$14,((MONTH($A72)-1)*12)+VLOOKUP(BB$4,$DE$6:$DF$17,2)+1))*$C72</f>
        <v>-482.82027191096904</v>
      </c>
      <c r="BC72" s="1021">
        <f>(VLOOKUP(YEAR($A72),'NY East Load Projections'!$A$4:$EO$14,((MONTH($A72)-1)*12)+VLOOKUP(BC$4,$DE$6:$DF$17,2)+1))*$C72</f>
        <v>-482.82027191096904</v>
      </c>
      <c r="BD72" s="1021">
        <f>(VLOOKUP(YEAR($A72),'NY East Load Projections'!$A$4:$EO$14,((MONTH($A72)-1)*12)+VLOOKUP(BD$4,$DE$6:$DF$17,2)+1))*$C72</f>
        <v>-482.82027191096904</v>
      </c>
      <c r="BE72" s="1021"/>
      <c r="BF72" s="1021">
        <f>(VLOOKUP(YEAR($A72),'NY East Load Projections'!$A$4:$EO$14,((MONTH($A72)-1)*12)+VLOOKUP(BF$4,$DE$6:$DF$17,2)+1))*$D72</f>
        <v>-466.99873250045096</v>
      </c>
      <c r="BG72" s="1021">
        <f>(VLOOKUP(YEAR($A72),'NY East Load Projections'!$A$4:$EO$14,((MONTH($A72)-1)*12)+VLOOKUP(BG$4,$DE$6:$DF$17,2)+1))*$D72</f>
        <v>-466.99873250045096</v>
      </c>
      <c r="BH72" s="1021">
        <f>(VLOOKUP(YEAR($A72),'NY East Load Projections'!$A$4:$EO$14,((MONTH($A72)-1)*12)+VLOOKUP(BH$4,$DE$6:$DF$17,2)+1))*$D72</f>
        <v>-466.99873250045096</v>
      </c>
      <c r="BI72" s="1021">
        <f>(VLOOKUP(YEAR($A72),'NY East Load Projections'!$A$4:$EO$14,((MONTH($A72)-1)*12)+VLOOKUP(BI$4,$DE$6:$DF$17,2)+1))*$D72</f>
        <v>-466.99873250045096</v>
      </c>
      <c r="BJ72" s="1021">
        <f>(VLOOKUP(YEAR($A72),'NY East Load Projections'!$A$4:$EO$14,((MONTH($A72)-1)*12)+VLOOKUP(BJ$4,$DE$6:$DF$17,2)+1))*$D72</f>
        <v>-473.44670068121559</v>
      </c>
      <c r="BK72" s="1021">
        <f>(VLOOKUP(YEAR($A72),'NY East Load Projections'!$A$4:$EO$14,((MONTH($A72)-1)*12)+VLOOKUP(BK$4,$DE$6:$DF$17,2)+1))*$D72</f>
        <v>-473.44670068121559</v>
      </c>
      <c r="BL72" s="1021">
        <f>(VLOOKUP(YEAR($A72),'NY East Load Projections'!$A$4:$EO$14,((MONTH($A72)-1)*12)+VLOOKUP(BL$4,$DE$6:$DF$17,2)+1))*$D72</f>
        <v>-473.44670068121559</v>
      </c>
      <c r="BM72" s="1021">
        <f>(VLOOKUP(YEAR($A72),'NY East Load Projections'!$A$4:$EO$14,((MONTH($A72)-1)*12)+VLOOKUP(BM$4,$DE$6:$DF$17,2)+1))*$D72</f>
        <v>-473.44670068121559</v>
      </c>
      <c r="BN72" s="1021">
        <f>(VLOOKUP(YEAR($A72),'NY East Load Projections'!$A$4:$EO$14,((MONTH($A72)-1)*12)+VLOOKUP(BN$4,$DE$6:$DF$17,2)+1))*$D72</f>
        <v>-517.96603424496914</v>
      </c>
      <c r="BO72" s="1021">
        <f>(VLOOKUP(YEAR($A72),'NY East Load Projections'!$A$4:$EO$14,((MONTH($A72)-1)*12)+VLOOKUP(BO$4,$DE$6:$DF$17,2)+1))*$D72</f>
        <v>-517.96603424496914</v>
      </c>
      <c r="BP72" s="1021">
        <f>(VLOOKUP(YEAR($A72),'NY East Load Projections'!$A$4:$EO$14,((MONTH($A72)-1)*12)+VLOOKUP(BP$4,$DE$6:$DF$17,2)+1))*$D72</f>
        <v>-517.96603424496914</v>
      </c>
      <c r="BQ72" s="1021">
        <f>(VLOOKUP(YEAR($A72),'NY East Load Projections'!$A$4:$EO$14,((MONTH($A72)-1)*12)+VLOOKUP(BQ$4,$DE$6:$DF$17,2)+1))*$D72</f>
        <v>-517.96603424496914</v>
      </c>
      <c r="BR72" s="1021">
        <f>(VLOOKUP(YEAR($A72),'NY East Load Projections'!$A$4:$EO$14,((MONTH($A72)-1)*12)+VLOOKUP(BR$4,$DE$6:$DF$17,2)+1))*$D72</f>
        <v>-534.36483971338748</v>
      </c>
      <c r="BS72" s="1021">
        <f>(VLOOKUP(YEAR($A72),'NY East Load Projections'!$A$4:$EO$14,((MONTH($A72)-1)*12)+VLOOKUP(BS$4,$DE$6:$DF$17,2)+1))*$D72</f>
        <v>-534.36483971338748</v>
      </c>
      <c r="BT72" s="1021">
        <f>(VLOOKUP(YEAR($A72),'NY East Load Projections'!$A$4:$EO$14,((MONTH($A72)-1)*12)+VLOOKUP(BT$4,$DE$6:$DF$17,2)+1))*$D72</f>
        <v>-534.36483971338748</v>
      </c>
      <c r="BU72" s="1021">
        <f>(VLOOKUP(YEAR($A72),'NY East Load Projections'!$A$4:$EO$14,((MONTH($A72)-1)*12)+VLOOKUP(BU$4,$DE$6:$DF$17,2)+1))*$D72</f>
        <v>-534.36483971338748</v>
      </c>
      <c r="BV72" s="1021">
        <f>(VLOOKUP(YEAR($A72),'NY East Load Projections'!$A$4:$EO$14,((MONTH($A72)-1)*12)+VLOOKUP(BV$4,$DE$6:$DF$17,2)+1))*$D72</f>
        <v>-508.40175383854125</v>
      </c>
      <c r="BW72" s="1021">
        <f>(VLOOKUP(YEAR($A72),'NY East Load Projections'!$A$4:$EO$14,((MONTH($A72)-1)*12)+VLOOKUP(BW$4,$DE$6:$DF$17,2)+1))*$D72</f>
        <v>-508.40175383854125</v>
      </c>
      <c r="BX72" s="1021">
        <f>(VLOOKUP(YEAR($A72),'NY East Load Projections'!$A$4:$EO$14,((MONTH($A72)-1)*12)+VLOOKUP(BX$4,$DE$6:$DF$17,2)+1))*$D72</f>
        <v>-508.40175383854125</v>
      </c>
      <c r="BY72" s="1021">
        <f>(VLOOKUP(YEAR($A72),'NY East Load Projections'!$A$4:$EO$14,((MONTH($A72)-1)*12)+VLOOKUP(BY$4,$DE$6:$DF$17,2)+1))*$D72</f>
        <v>-508.40175383854125</v>
      </c>
      <c r="BZ72" s="1021">
        <f>(VLOOKUP(YEAR($A72),'NY East Load Projections'!$A$4:$EO$14,((MONTH($A72)-1)*12)+VLOOKUP(BZ$4,$DE$6:$DF$17,2)+1))*$D72</f>
        <v>-482.82027191096904</v>
      </c>
      <c r="CA72" s="1021">
        <f>(VLOOKUP(YEAR($A72),'NY East Load Projections'!$A$4:$EO$14,((MONTH($A72)-1)*12)+VLOOKUP(CA$4,$DE$6:$DF$17,2)+1))*$D72</f>
        <v>-482.82027191096904</v>
      </c>
      <c r="CB72" s="1021">
        <f>(VLOOKUP(YEAR($A72),'NY East Load Projections'!$A$4:$EO$14,((MONTH($A72)-1)*12)+VLOOKUP(CB$4,$DE$6:$DF$17,2)+1))*$D72</f>
        <v>-482.82027191096904</v>
      </c>
      <c r="CC72" s="1021">
        <f>(VLOOKUP(YEAR($A72),'NY East Load Projections'!$A$4:$EO$14,((MONTH($A72)-1)*12)+VLOOKUP(CC$4,$DE$6:$DF$17,2)+1))*$D72</f>
        <v>-482.82027191096904</v>
      </c>
      <c r="CE72" s="1021">
        <f>(VLOOKUP(YEAR($A72),'NY East Load Projections'!$A$4:$EO$14,((MONTH($A72)-1)*12)+VLOOKUP(CE$4,$DE$6:$DF$17,2)+1))*$E72</f>
        <v>-93.399746500090188</v>
      </c>
      <c r="CF72" s="1021">
        <f>(VLOOKUP(YEAR($A72),'NY East Load Projections'!$A$4:$EO$14,((MONTH($A72)-1)*12)+VLOOKUP(CF$4,$DE$6:$DF$17,2)+1))*$E72</f>
        <v>-93.399746500090188</v>
      </c>
      <c r="CG72" s="1021">
        <f>(VLOOKUP(YEAR($A72),'NY East Load Projections'!$A$4:$EO$14,((MONTH($A72)-1)*12)+VLOOKUP(CG$4,$DE$6:$DF$17,2)+1))*$E72</f>
        <v>-93.399746500090188</v>
      </c>
      <c r="CH72" s="1021">
        <f>(VLOOKUP(YEAR($A72),'NY East Load Projections'!$A$4:$EO$14,((MONTH($A72)-1)*12)+VLOOKUP(CH$4,$DE$6:$DF$17,2)+1))*$E72</f>
        <v>-93.399746500090188</v>
      </c>
      <c r="CI72" s="1021">
        <f>(VLOOKUP(YEAR($A72),'NY East Load Projections'!$A$4:$EO$14,((MONTH($A72)-1)*12)+VLOOKUP(CI$4,$DE$6:$DF$17,2)+1))*$E72</f>
        <v>-94.689340136243118</v>
      </c>
      <c r="CJ72" s="1021">
        <f>(VLOOKUP(YEAR($A72),'NY East Load Projections'!$A$4:$EO$14,((MONTH($A72)-1)*12)+VLOOKUP(CJ$4,$DE$6:$DF$17,2)+1))*$E72</f>
        <v>-94.689340136243118</v>
      </c>
      <c r="CK72" s="1021">
        <f>(VLOOKUP(YEAR($A72),'NY East Load Projections'!$A$4:$EO$14,((MONTH($A72)-1)*12)+VLOOKUP(CK$4,$DE$6:$DF$17,2)+1))*$E72</f>
        <v>-94.689340136243118</v>
      </c>
      <c r="CL72" s="1021">
        <f>(VLOOKUP(YEAR($A72),'NY East Load Projections'!$A$4:$EO$14,((MONTH($A72)-1)*12)+VLOOKUP(CL$4,$DE$6:$DF$17,2)+1))*$E72</f>
        <v>-94.689340136243118</v>
      </c>
      <c r="CM72" s="1021">
        <f>(VLOOKUP(YEAR($A72),'NY East Load Projections'!$A$4:$EO$14,((MONTH($A72)-1)*12)+VLOOKUP(CM$4,$DE$6:$DF$17,2)+1))*$E72</f>
        <v>-103.59320684899383</v>
      </c>
      <c r="CN72" s="1021">
        <f>(VLOOKUP(YEAR($A72),'NY East Load Projections'!$A$4:$EO$14,((MONTH($A72)-1)*12)+VLOOKUP(CN$4,$DE$6:$DF$17,2)+1))*$E72</f>
        <v>-103.59320684899383</v>
      </c>
      <c r="CO72" s="1021">
        <f>(VLOOKUP(YEAR($A72),'NY East Load Projections'!$A$4:$EO$14,((MONTH($A72)-1)*12)+VLOOKUP(CO$4,$DE$6:$DF$17,2)+1))*$E72</f>
        <v>-103.59320684899383</v>
      </c>
      <c r="CP72" s="1021">
        <f>(VLOOKUP(YEAR($A72),'NY East Load Projections'!$A$4:$EO$14,((MONTH($A72)-1)*12)+VLOOKUP(CP$4,$DE$6:$DF$17,2)+1))*$E72</f>
        <v>-103.59320684899383</v>
      </c>
      <c r="CQ72" s="1021">
        <f>(VLOOKUP(YEAR($A72),'NY East Load Projections'!$A$4:$EO$14,((MONTH($A72)-1)*12)+VLOOKUP(CQ$4,$DE$6:$DF$17,2)+1))*$E72</f>
        <v>-106.87296794267749</v>
      </c>
      <c r="CR72" s="1021">
        <f>(VLOOKUP(YEAR($A72),'NY East Load Projections'!$A$4:$EO$14,((MONTH($A72)-1)*12)+VLOOKUP(CR$4,$DE$6:$DF$17,2)+1))*$E72</f>
        <v>-106.87296794267749</v>
      </c>
      <c r="CS72" s="1021">
        <f>(VLOOKUP(YEAR($A72),'NY East Load Projections'!$A$4:$EO$14,((MONTH($A72)-1)*12)+VLOOKUP(CS$4,$DE$6:$DF$17,2)+1))*$E72</f>
        <v>-106.87296794267749</v>
      </c>
      <c r="CT72" s="1021">
        <f>(VLOOKUP(YEAR($A72),'NY East Load Projections'!$A$4:$EO$14,((MONTH($A72)-1)*12)+VLOOKUP(CT$4,$DE$6:$DF$17,2)+1))*$E72</f>
        <v>-106.87296794267749</v>
      </c>
      <c r="CU72" s="1021">
        <f>(VLOOKUP(YEAR($A72),'NY East Load Projections'!$A$4:$EO$14,((MONTH($A72)-1)*12)+VLOOKUP(CU$4,$DE$6:$DF$17,2)+1))*$E72</f>
        <v>-101.68035076770825</v>
      </c>
      <c r="CV72" s="1021">
        <f>(VLOOKUP(YEAR($A72),'NY East Load Projections'!$A$4:$EO$14,((MONTH($A72)-1)*12)+VLOOKUP(CV$4,$DE$6:$DF$17,2)+1))*$E72</f>
        <v>-101.68035076770825</v>
      </c>
      <c r="CW72" s="1021">
        <f>(VLOOKUP(YEAR($A72),'NY East Load Projections'!$A$4:$EO$14,((MONTH($A72)-1)*12)+VLOOKUP(CW$4,$DE$6:$DF$17,2)+1))*$E72</f>
        <v>-101.68035076770825</v>
      </c>
      <c r="CX72" s="1021">
        <f>(VLOOKUP(YEAR($A72),'NY East Load Projections'!$A$4:$EO$14,((MONTH($A72)-1)*12)+VLOOKUP(CX$4,$DE$6:$DF$17,2)+1))*$E72</f>
        <v>-101.68035076770825</v>
      </c>
      <c r="CY72" s="1021">
        <f>(VLOOKUP(YEAR($A72),'NY East Load Projections'!$A$4:$EO$14,((MONTH($A72)-1)*12)+VLOOKUP(CY$4,$DE$6:$DF$17,2)+1))*$E72</f>
        <v>-96.564054382193802</v>
      </c>
      <c r="CZ72" s="1021">
        <f>(VLOOKUP(YEAR($A72),'NY East Load Projections'!$A$4:$EO$14,((MONTH($A72)-1)*12)+VLOOKUP(CZ$4,$DE$6:$DF$17,2)+1))*$E72</f>
        <v>-96.564054382193802</v>
      </c>
      <c r="DA72" s="1021">
        <f>(VLOOKUP(YEAR($A72),'NY East Load Projections'!$A$4:$EO$14,((MONTH($A72)-1)*12)+VLOOKUP(DA$4,$DE$6:$DF$17,2)+1))*$E72</f>
        <v>-96.564054382193802</v>
      </c>
      <c r="DB72" s="1021">
        <f>(VLOOKUP(YEAR($A72),'NY East Load Projections'!$A$4:$EO$14,((MONTH($A72)-1)*12)+VLOOKUP(DB$4,$DE$6:$DF$17,2)+1))*$E72</f>
        <v>-96.564054382193802</v>
      </c>
      <c r="DH72" s="1009">
        <f t="shared" si="3"/>
        <v>-79582.989098992985</v>
      </c>
      <c r="DI72">
        <f ca="1">CALC!J92</f>
        <v>0.62714345890985712</v>
      </c>
      <c r="DJ72" s="1032">
        <f t="shared" ca="1" si="4"/>
        <v>-49909.951053927914</v>
      </c>
    </row>
    <row r="73" spans="1:114" x14ac:dyDescent="0.25">
      <c r="A73" s="244">
        <v>38930</v>
      </c>
      <c r="B73" s="13">
        <v>23</v>
      </c>
      <c r="C73" s="210">
        <v>4</v>
      </c>
      <c r="D73" s="210">
        <v>4</v>
      </c>
      <c r="E73" s="210">
        <v>0</v>
      </c>
      <c r="F73" s="13">
        <v>31</v>
      </c>
      <c r="H73" s="1021">
        <f>(VLOOKUP(YEAR($A73),'NY East Load Projections'!$A$4:$EO$14,((MONTH($A73)-1)*12)+VLOOKUP(H$4,$DE$6:$DF$17,2)+1))*$B73</f>
        <v>-2285.5216038481531</v>
      </c>
      <c r="I73" s="1021">
        <f>(VLOOKUP(YEAR($A73),'NY East Load Projections'!$A$4:$EO$14,((MONTH($A73)-1)*12)+VLOOKUP(I$4,$DE$6:$DF$17,2)+1))*$B73</f>
        <v>-2285.5216038481531</v>
      </c>
      <c r="J73" s="1021">
        <f>(VLOOKUP(YEAR($A73),'NY East Load Projections'!$A$4:$EO$14,((MONTH($A73)-1)*12)+VLOOKUP(J$4,$DE$6:$DF$17,2)+1))*$B73</f>
        <v>-2285.5216038481531</v>
      </c>
      <c r="K73" s="1021">
        <f>(VLOOKUP(YEAR($A73),'NY East Load Projections'!$A$4:$EO$14,((MONTH($A73)-1)*12)+VLOOKUP(K$4,$DE$6:$DF$17,2)+1))*$B73</f>
        <v>-2285.5216038481531</v>
      </c>
      <c r="L73" s="1021">
        <f>(VLOOKUP(YEAR($A73),'NY East Load Projections'!$A$4:$EO$14,((MONTH($A73)-1)*12)+VLOOKUP(L$4,$DE$6:$DF$17,2)+1))*$B73</f>
        <v>-2492.4248765218249</v>
      </c>
      <c r="M73" s="1021">
        <f>(VLOOKUP(YEAR($A73),'NY East Load Projections'!$A$4:$EO$14,((MONTH($A73)-1)*12)+VLOOKUP(M$4,$DE$6:$DF$17,2)+1))*$B73</f>
        <v>-2492.4248765218249</v>
      </c>
      <c r="N73" s="1021">
        <f>(VLOOKUP(YEAR($A73),'NY East Load Projections'!$A$4:$EO$14,((MONTH($A73)-1)*12)+VLOOKUP(N$4,$DE$6:$DF$17,2)+1))*$B73</f>
        <v>-2492.4248765218249</v>
      </c>
      <c r="O73" s="1021">
        <f>(VLOOKUP(YEAR($A73),'NY East Load Projections'!$A$4:$EO$14,((MONTH($A73)-1)*12)+VLOOKUP(O$4,$DE$6:$DF$17,2)+1))*$B73</f>
        <v>-2492.4248765218249</v>
      </c>
      <c r="P73" s="1021">
        <f>(VLOOKUP(YEAR($A73),'NY East Load Projections'!$A$4:$EO$14,((MONTH($A73)-1)*12)+VLOOKUP(P$4,$DE$6:$DF$17,2)+1))*$B73</f>
        <v>-2828.7343948927751</v>
      </c>
      <c r="Q73" s="1021">
        <f>(VLOOKUP(YEAR($A73),'NY East Load Projections'!$A$4:$EO$14,((MONTH($A73)-1)*12)+VLOOKUP(Q$4,$DE$6:$DF$17,2)+1))*$B73</f>
        <v>-2828.7343948927751</v>
      </c>
      <c r="R73" s="1021">
        <f>(VLOOKUP(YEAR($A73),'NY East Load Projections'!$A$4:$EO$14,((MONTH($A73)-1)*12)+VLOOKUP(R$4,$DE$6:$DF$17,2)+1))*$B73</f>
        <v>-2828.7343948927751</v>
      </c>
      <c r="S73" s="1021">
        <f>(VLOOKUP(YEAR($A73),'NY East Load Projections'!$A$4:$EO$14,((MONTH($A73)-1)*12)+VLOOKUP(S$4,$DE$6:$DF$17,2)+1))*$B73</f>
        <v>-2828.7343948927751</v>
      </c>
      <c r="T73" s="1021">
        <f>(VLOOKUP(YEAR($A73),'NY East Load Projections'!$A$4:$EO$14,((MONTH($A73)-1)*12)+VLOOKUP(T$4,$DE$6:$DF$17,2)+1))*$B73</f>
        <v>-2904.7688053422535</v>
      </c>
      <c r="U73" s="1021">
        <f>(VLOOKUP(YEAR($A73),'NY East Load Projections'!$A$4:$EO$14,((MONTH($A73)-1)*12)+VLOOKUP(U$4,$DE$6:$DF$17,2)+1))*$B73</f>
        <v>-2904.7688053422535</v>
      </c>
      <c r="V73" s="1021">
        <f>(VLOOKUP(YEAR($A73),'NY East Load Projections'!$A$4:$EO$14,((MONTH($A73)-1)*12)+VLOOKUP(V$4,$DE$6:$DF$17,2)+1))*$B73</f>
        <v>-2904.7688053422535</v>
      </c>
      <c r="W73" s="1021">
        <f>(VLOOKUP(YEAR($A73),'NY East Load Projections'!$A$4:$EO$14,((MONTH($A73)-1)*12)+VLOOKUP(W$4,$DE$6:$DF$17,2)+1))*$B73</f>
        <v>-2904.7688053422535</v>
      </c>
      <c r="X73" s="1021">
        <f>(VLOOKUP(YEAR($A73),'NY East Load Projections'!$A$4:$EO$14,((MONTH($A73)-1)*12)+VLOOKUP(X$4,$DE$6:$DF$17,2)+1))*$B73</f>
        <v>-2737.350427563551</v>
      </c>
      <c r="Y73" s="1021">
        <f>(VLOOKUP(YEAR($A73),'NY East Load Projections'!$A$4:$EO$14,((MONTH($A73)-1)*12)+VLOOKUP(Y$4,$DE$6:$DF$17,2)+1))*$B73</f>
        <v>-2737.350427563551</v>
      </c>
      <c r="Z73" s="1021">
        <f>(VLOOKUP(YEAR($A73),'NY East Load Projections'!$A$4:$EO$14,((MONTH($A73)-1)*12)+VLOOKUP(Z$4,$DE$6:$DF$17,2)+1))*$B73</f>
        <v>-2737.350427563551</v>
      </c>
      <c r="AA73" s="1021">
        <f>(VLOOKUP(YEAR($A73),'NY East Load Projections'!$A$4:$EO$14,((MONTH($A73)-1)*12)+VLOOKUP(AA$4,$DE$6:$DF$17,2)+1))*$B73</f>
        <v>-2737.350427563551</v>
      </c>
      <c r="AB73" s="1021">
        <f>(VLOOKUP(YEAR($A73),'NY East Load Projections'!$A$4:$EO$14,((MONTH($A73)-1)*12)+VLOOKUP(AB$4,$DE$6:$DF$17,2)+1))*$B73</f>
        <v>-2411.8522698243601</v>
      </c>
      <c r="AC73" s="1021">
        <f>(VLOOKUP(YEAR($A73),'NY East Load Projections'!$A$4:$EO$14,((MONTH($A73)-1)*12)+VLOOKUP(AC$4,$DE$6:$DF$17,2)+1))*$B73</f>
        <v>-2411.8522698243601</v>
      </c>
      <c r="AD73" s="1021">
        <f>(VLOOKUP(YEAR($A73),'NY East Load Projections'!$A$4:$EO$14,((MONTH($A73)-1)*12)+VLOOKUP(AD$4,$DE$6:$DF$17,2)+1))*$B73</f>
        <v>-2411.8522698243601</v>
      </c>
      <c r="AE73" s="1021">
        <f>(VLOOKUP(YEAR($A73),'NY East Load Projections'!$A$4:$EO$14,((MONTH($A73)-1)*12)+VLOOKUP(AE$4,$DE$6:$DF$17,2)+1))*$B73</f>
        <v>-2411.8522698243601</v>
      </c>
      <c r="AF73" s="1021"/>
      <c r="AG73" s="1021">
        <f>(VLOOKUP(YEAR($A73),'NY East Load Projections'!$A$4:$EO$14,((MONTH($A73)-1)*12)+VLOOKUP(AG$4,$DE$6:$DF$17,2)+1))*$C73</f>
        <v>-389.94009952177845</v>
      </c>
      <c r="AH73" s="1021">
        <f>(VLOOKUP(YEAR($A73),'NY East Load Projections'!$A$4:$EO$14,((MONTH($A73)-1)*12)+VLOOKUP(AH$4,$DE$6:$DF$17,2)+1))*$C73</f>
        <v>-389.94009952177845</v>
      </c>
      <c r="AI73" s="1021">
        <f>(VLOOKUP(YEAR($A73),'NY East Load Projections'!$A$4:$EO$14,((MONTH($A73)-1)*12)+VLOOKUP(AI$4,$DE$6:$DF$17,2)+1))*$C73</f>
        <v>-389.94009952177845</v>
      </c>
      <c r="AJ73" s="1021">
        <f>(VLOOKUP(YEAR($A73),'NY East Load Projections'!$A$4:$EO$14,((MONTH($A73)-1)*12)+VLOOKUP(AJ$4,$DE$6:$DF$17,2)+1))*$C73</f>
        <v>-389.94009952177845</v>
      </c>
      <c r="AK73" s="1021">
        <f>(VLOOKUP(YEAR($A73),'NY East Load Projections'!$A$4:$EO$14,((MONTH($A73)-1)*12)+VLOOKUP(AK$4,$DE$6:$DF$17,2)+1))*$C73</f>
        <v>-396.17575491755321</v>
      </c>
      <c r="AL73" s="1021">
        <f>(VLOOKUP(YEAR($A73),'NY East Load Projections'!$A$4:$EO$14,((MONTH($A73)-1)*12)+VLOOKUP(AL$4,$DE$6:$DF$17,2)+1))*$C73</f>
        <v>-396.17575491755321</v>
      </c>
      <c r="AM73" s="1021">
        <f>(VLOOKUP(YEAR($A73),'NY East Load Projections'!$A$4:$EO$14,((MONTH($A73)-1)*12)+VLOOKUP(AM$4,$DE$6:$DF$17,2)+1))*$C73</f>
        <v>-396.17575491755321</v>
      </c>
      <c r="AN73" s="1021">
        <f>(VLOOKUP(YEAR($A73),'NY East Load Projections'!$A$4:$EO$14,((MONTH($A73)-1)*12)+VLOOKUP(AN$4,$DE$6:$DF$17,2)+1))*$C73</f>
        <v>-396.17575491755321</v>
      </c>
      <c r="AO73" s="1021">
        <f>(VLOOKUP(YEAR($A73),'NY East Load Projections'!$A$4:$EO$14,((MONTH($A73)-1)*12)+VLOOKUP(AO$4,$DE$6:$DF$17,2)+1))*$C73</f>
        <v>-437.30109164513055</v>
      </c>
      <c r="AP73" s="1021">
        <f>(VLOOKUP(YEAR($A73),'NY East Load Projections'!$A$4:$EO$14,((MONTH($A73)-1)*12)+VLOOKUP(AP$4,$DE$6:$DF$17,2)+1))*$C73</f>
        <v>-437.30109164513055</v>
      </c>
      <c r="AQ73" s="1021">
        <f>(VLOOKUP(YEAR($A73),'NY East Load Projections'!$A$4:$EO$14,((MONTH($A73)-1)*12)+VLOOKUP(AQ$4,$DE$6:$DF$17,2)+1))*$C73</f>
        <v>-437.30109164513055</v>
      </c>
      <c r="AR73" s="1021">
        <f>(VLOOKUP(YEAR($A73),'NY East Load Projections'!$A$4:$EO$14,((MONTH($A73)-1)*12)+VLOOKUP(AR$4,$DE$6:$DF$17,2)+1))*$C73</f>
        <v>-437.30109164513055</v>
      </c>
      <c r="AS73" s="1021">
        <f>(VLOOKUP(YEAR($A73),'NY East Load Projections'!$A$4:$EO$14,((MONTH($A73)-1)*12)+VLOOKUP(AS$4,$DE$6:$DF$17,2)+1))*$C73</f>
        <v>-452.17811241252292</v>
      </c>
      <c r="AT73" s="1021">
        <f>(VLOOKUP(YEAR($A73),'NY East Load Projections'!$A$4:$EO$14,((MONTH($A73)-1)*12)+VLOOKUP(AT$4,$DE$6:$DF$17,2)+1))*$C73</f>
        <v>-452.17811241252292</v>
      </c>
      <c r="AU73" s="1021">
        <f>(VLOOKUP(YEAR($A73),'NY East Load Projections'!$A$4:$EO$14,((MONTH($A73)-1)*12)+VLOOKUP(AU$4,$DE$6:$DF$17,2)+1))*$C73</f>
        <v>-452.17811241252292</v>
      </c>
      <c r="AV73" s="1021">
        <f>(VLOOKUP(YEAR($A73),'NY East Load Projections'!$A$4:$EO$14,((MONTH($A73)-1)*12)+VLOOKUP(AV$4,$DE$6:$DF$17,2)+1))*$C73</f>
        <v>-452.17811241252292</v>
      </c>
      <c r="AW73" s="1021">
        <f>(VLOOKUP(YEAR($A73),'NY East Load Projections'!$A$4:$EO$14,((MONTH($A73)-1)*12)+VLOOKUP(AW$4,$DE$6:$DF$17,2)+1))*$C73</f>
        <v>-429.55568195143417</v>
      </c>
      <c r="AX73" s="1021">
        <f>(VLOOKUP(YEAR($A73),'NY East Load Projections'!$A$4:$EO$14,((MONTH($A73)-1)*12)+VLOOKUP(AX$4,$DE$6:$DF$17,2)+1))*$C73</f>
        <v>-429.55568195143417</v>
      </c>
      <c r="AY73" s="1021">
        <f>(VLOOKUP(YEAR($A73),'NY East Load Projections'!$A$4:$EO$14,((MONTH($A73)-1)*12)+VLOOKUP(AY$4,$DE$6:$DF$17,2)+1))*$C73</f>
        <v>-429.55568195143417</v>
      </c>
      <c r="AZ73" s="1021">
        <f>(VLOOKUP(YEAR($A73),'NY East Load Projections'!$A$4:$EO$14,((MONTH($A73)-1)*12)+VLOOKUP(AZ$4,$DE$6:$DF$17,2)+1))*$C73</f>
        <v>-429.55568195143417</v>
      </c>
      <c r="BA73" s="1021">
        <f>(VLOOKUP(YEAR($A73),'NY East Load Projections'!$A$4:$EO$14,((MONTH($A73)-1)*12)+VLOOKUP(BA$4,$DE$6:$DF$17,2)+1))*$C73</f>
        <v>-406.88036064425285</v>
      </c>
      <c r="BB73" s="1021">
        <f>(VLOOKUP(YEAR($A73),'NY East Load Projections'!$A$4:$EO$14,((MONTH($A73)-1)*12)+VLOOKUP(BB$4,$DE$6:$DF$17,2)+1))*$C73</f>
        <v>-406.88036064425285</v>
      </c>
      <c r="BC73" s="1021">
        <f>(VLOOKUP(YEAR($A73),'NY East Load Projections'!$A$4:$EO$14,((MONTH($A73)-1)*12)+VLOOKUP(BC$4,$DE$6:$DF$17,2)+1))*$C73</f>
        <v>-406.88036064425285</v>
      </c>
      <c r="BD73" s="1021">
        <f>(VLOOKUP(YEAR($A73),'NY East Load Projections'!$A$4:$EO$14,((MONTH($A73)-1)*12)+VLOOKUP(BD$4,$DE$6:$DF$17,2)+1))*$C73</f>
        <v>-406.88036064425285</v>
      </c>
      <c r="BE73" s="1021"/>
      <c r="BF73" s="1021">
        <f>(VLOOKUP(YEAR($A73),'NY East Load Projections'!$A$4:$EO$14,((MONTH($A73)-1)*12)+VLOOKUP(BF$4,$DE$6:$DF$17,2)+1))*$D73</f>
        <v>-389.94009952177845</v>
      </c>
      <c r="BG73" s="1021">
        <f>(VLOOKUP(YEAR($A73),'NY East Load Projections'!$A$4:$EO$14,((MONTH($A73)-1)*12)+VLOOKUP(BG$4,$DE$6:$DF$17,2)+1))*$D73</f>
        <v>-389.94009952177845</v>
      </c>
      <c r="BH73" s="1021">
        <f>(VLOOKUP(YEAR($A73),'NY East Load Projections'!$A$4:$EO$14,((MONTH($A73)-1)*12)+VLOOKUP(BH$4,$DE$6:$DF$17,2)+1))*$D73</f>
        <v>-389.94009952177845</v>
      </c>
      <c r="BI73" s="1021">
        <f>(VLOOKUP(YEAR($A73),'NY East Load Projections'!$A$4:$EO$14,((MONTH($A73)-1)*12)+VLOOKUP(BI$4,$DE$6:$DF$17,2)+1))*$D73</f>
        <v>-389.94009952177845</v>
      </c>
      <c r="BJ73" s="1021">
        <f>(VLOOKUP(YEAR($A73),'NY East Load Projections'!$A$4:$EO$14,((MONTH($A73)-1)*12)+VLOOKUP(BJ$4,$DE$6:$DF$17,2)+1))*$D73</f>
        <v>-396.17575491755321</v>
      </c>
      <c r="BK73" s="1021">
        <f>(VLOOKUP(YEAR($A73),'NY East Load Projections'!$A$4:$EO$14,((MONTH($A73)-1)*12)+VLOOKUP(BK$4,$DE$6:$DF$17,2)+1))*$D73</f>
        <v>-396.17575491755321</v>
      </c>
      <c r="BL73" s="1021">
        <f>(VLOOKUP(YEAR($A73),'NY East Load Projections'!$A$4:$EO$14,((MONTH($A73)-1)*12)+VLOOKUP(BL$4,$DE$6:$DF$17,2)+1))*$D73</f>
        <v>-396.17575491755321</v>
      </c>
      <c r="BM73" s="1021">
        <f>(VLOOKUP(YEAR($A73),'NY East Load Projections'!$A$4:$EO$14,((MONTH($A73)-1)*12)+VLOOKUP(BM$4,$DE$6:$DF$17,2)+1))*$D73</f>
        <v>-396.17575491755321</v>
      </c>
      <c r="BN73" s="1021">
        <f>(VLOOKUP(YEAR($A73),'NY East Load Projections'!$A$4:$EO$14,((MONTH($A73)-1)*12)+VLOOKUP(BN$4,$DE$6:$DF$17,2)+1))*$D73</f>
        <v>-437.30109164513055</v>
      </c>
      <c r="BO73" s="1021">
        <f>(VLOOKUP(YEAR($A73),'NY East Load Projections'!$A$4:$EO$14,((MONTH($A73)-1)*12)+VLOOKUP(BO$4,$DE$6:$DF$17,2)+1))*$D73</f>
        <v>-437.30109164513055</v>
      </c>
      <c r="BP73" s="1021">
        <f>(VLOOKUP(YEAR($A73),'NY East Load Projections'!$A$4:$EO$14,((MONTH($A73)-1)*12)+VLOOKUP(BP$4,$DE$6:$DF$17,2)+1))*$D73</f>
        <v>-437.30109164513055</v>
      </c>
      <c r="BQ73" s="1021">
        <f>(VLOOKUP(YEAR($A73),'NY East Load Projections'!$A$4:$EO$14,((MONTH($A73)-1)*12)+VLOOKUP(BQ$4,$DE$6:$DF$17,2)+1))*$D73</f>
        <v>-437.30109164513055</v>
      </c>
      <c r="BR73" s="1021">
        <f>(VLOOKUP(YEAR($A73),'NY East Load Projections'!$A$4:$EO$14,((MONTH($A73)-1)*12)+VLOOKUP(BR$4,$DE$6:$DF$17,2)+1))*$D73</f>
        <v>-452.17811241252292</v>
      </c>
      <c r="BS73" s="1021">
        <f>(VLOOKUP(YEAR($A73),'NY East Load Projections'!$A$4:$EO$14,((MONTH($A73)-1)*12)+VLOOKUP(BS$4,$DE$6:$DF$17,2)+1))*$D73</f>
        <v>-452.17811241252292</v>
      </c>
      <c r="BT73" s="1021">
        <f>(VLOOKUP(YEAR($A73),'NY East Load Projections'!$A$4:$EO$14,((MONTH($A73)-1)*12)+VLOOKUP(BT$4,$DE$6:$DF$17,2)+1))*$D73</f>
        <v>-452.17811241252292</v>
      </c>
      <c r="BU73" s="1021">
        <f>(VLOOKUP(YEAR($A73),'NY East Load Projections'!$A$4:$EO$14,((MONTH($A73)-1)*12)+VLOOKUP(BU$4,$DE$6:$DF$17,2)+1))*$D73</f>
        <v>-452.17811241252292</v>
      </c>
      <c r="BV73" s="1021">
        <f>(VLOOKUP(YEAR($A73),'NY East Load Projections'!$A$4:$EO$14,((MONTH($A73)-1)*12)+VLOOKUP(BV$4,$DE$6:$DF$17,2)+1))*$D73</f>
        <v>-429.55568195143417</v>
      </c>
      <c r="BW73" s="1021">
        <f>(VLOOKUP(YEAR($A73),'NY East Load Projections'!$A$4:$EO$14,((MONTH($A73)-1)*12)+VLOOKUP(BW$4,$DE$6:$DF$17,2)+1))*$D73</f>
        <v>-429.55568195143417</v>
      </c>
      <c r="BX73" s="1021">
        <f>(VLOOKUP(YEAR($A73),'NY East Load Projections'!$A$4:$EO$14,((MONTH($A73)-1)*12)+VLOOKUP(BX$4,$DE$6:$DF$17,2)+1))*$D73</f>
        <v>-429.55568195143417</v>
      </c>
      <c r="BY73" s="1021">
        <f>(VLOOKUP(YEAR($A73),'NY East Load Projections'!$A$4:$EO$14,((MONTH($A73)-1)*12)+VLOOKUP(BY$4,$DE$6:$DF$17,2)+1))*$D73</f>
        <v>-429.55568195143417</v>
      </c>
      <c r="BZ73" s="1021">
        <f>(VLOOKUP(YEAR($A73),'NY East Load Projections'!$A$4:$EO$14,((MONTH($A73)-1)*12)+VLOOKUP(BZ$4,$DE$6:$DF$17,2)+1))*$D73</f>
        <v>-406.88036064425285</v>
      </c>
      <c r="CA73" s="1021">
        <f>(VLOOKUP(YEAR($A73),'NY East Load Projections'!$A$4:$EO$14,((MONTH($A73)-1)*12)+VLOOKUP(CA$4,$DE$6:$DF$17,2)+1))*$D73</f>
        <v>-406.88036064425285</v>
      </c>
      <c r="CB73" s="1021">
        <f>(VLOOKUP(YEAR($A73),'NY East Load Projections'!$A$4:$EO$14,((MONTH($A73)-1)*12)+VLOOKUP(CB$4,$DE$6:$DF$17,2)+1))*$D73</f>
        <v>-406.88036064425285</v>
      </c>
      <c r="CC73" s="1021">
        <f>(VLOOKUP(YEAR($A73),'NY East Load Projections'!$A$4:$EO$14,((MONTH($A73)-1)*12)+VLOOKUP(CC$4,$DE$6:$DF$17,2)+1))*$D73</f>
        <v>-406.88036064425285</v>
      </c>
      <c r="CE73" s="1021">
        <f>(VLOOKUP(YEAR($A73),'NY East Load Projections'!$A$4:$EO$14,((MONTH($A73)-1)*12)+VLOOKUP(CE$4,$DE$6:$DF$17,2)+1))*$E73</f>
        <v>0</v>
      </c>
      <c r="CF73" s="1021">
        <f>(VLOOKUP(YEAR($A73),'NY East Load Projections'!$A$4:$EO$14,((MONTH($A73)-1)*12)+VLOOKUP(CF$4,$DE$6:$DF$17,2)+1))*$E73</f>
        <v>0</v>
      </c>
      <c r="CG73" s="1021">
        <f>(VLOOKUP(YEAR($A73),'NY East Load Projections'!$A$4:$EO$14,((MONTH($A73)-1)*12)+VLOOKUP(CG$4,$DE$6:$DF$17,2)+1))*$E73</f>
        <v>0</v>
      </c>
      <c r="CH73" s="1021">
        <f>(VLOOKUP(YEAR($A73),'NY East Load Projections'!$A$4:$EO$14,((MONTH($A73)-1)*12)+VLOOKUP(CH$4,$DE$6:$DF$17,2)+1))*$E73</f>
        <v>0</v>
      </c>
      <c r="CI73" s="1021">
        <f>(VLOOKUP(YEAR($A73),'NY East Load Projections'!$A$4:$EO$14,((MONTH($A73)-1)*12)+VLOOKUP(CI$4,$DE$6:$DF$17,2)+1))*$E73</f>
        <v>0</v>
      </c>
      <c r="CJ73" s="1021">
        <f>(VLOOKUP(YEAR($A73),'NY East Load Projections'!$A$4:$EO$14,((MONTH($A73)-1)*12)+VLOOKUP(CJ$4,$DE$6:$DF$17,2)+1))*$E73</f>
        <v>0</v>
      </c>
      <c r="CK73" s="1021">
        <f>(VLOOKUP(YEAR($A73),'NY East Load Projections'!$A$4:$EO$14,((MONTH($A73)-1)*12)+VLOOKUP(CK$4,$DE$6:$DF$17,2)+1))*$E73</f>
        <v>0</v>
      </c>
      <c r="CL73" s="1021">
        <f>(VLOOKUP(YEAR($A73),'NY East Load Projections'!$A$4:$EO$14,((MONTH($A73)-1)*12)+VLOOKUP(CL$4,$DE$6:$DF$17,2)+1))*$E73</f>
        <v>0</v>
      </c>
      <c r="CM73" s="1021">
        <f>(VLOOKUP(YEAR($A73),'NY East Load Projections'!$A$4:$EO$14,((MONTH($A73)-1)*12)+VLOOKUP(CM$4,$DE$6:$DF$17,2)+1))*$E73</f>
        <v>0</v>
      </c>
      <c r="CN73" s="1021">
        <f>(VLOOKUP(YEAR($A73),'NY East Load Projections'!$A$4:$EO$14,((MONTH($A73)-1)*12)+VLOOKUP(CN$4,$DE$6:$DF$17,2)+1))*$E73</f>
        <v>0</v>
      </c>
      <c r="CO73" s="1021">
        <f>(VLOOKUP(YEAR($A73),'NY East Load Projections'!$A$4:$EO$14,((MONTH($A73)-1)*12)+VLOOKUP(CO$4,$DE$6:$DF$17,2)+1))*$E73</f>
        <v>0</v>
      </c>
      <c r="CP73" s="1021">
        <f>(VLOOKUP(YEAR($A73),'NY East Load Projections'!$A$4:$EO$14,((MONTH($A73)-1)*12)+VLOOKUP(CP$4,$DE$6:$DF$17,2)+1))*$E73</f>
        <v>0</v>
      </c>
      <c r="CQ73" s="1021">
        <f>(VLOOKUP(YEAR($A73),'NY East Load Projections'!$A$4:$EO$14,((MONTH($A73)-1)*12)+VLOOKUP(CQ$4,$DE$6:$DF$17,2)+1))*$E73</f>
        <v>0</v>
      </c>
      <c r="CR73" s="1021">
        <f>(VLOOKUP(YEAR($A73),'NY East Load Projections'!$A$4:$EO$14,((MONTH($A73)-1)*12)+VLOOKUP(CR$4,$DE$6:$DF$17,2)+1))*$E73</f>
        <v>0</v>
      </c>
      <c r="CS73" s="1021">
        <f>(VLOOKUP(YEAR($A73),'NY East Load Projections'!$A$4:$EO$14,((MONTH($A73)-1)*12)+VLOOKUP(CS$4,$DE$6:$DF$17,2)+1))*$E73</f>
        <v>0</v>
      </c>
      <c r="CT73" s="1021">
        <f>(VLOOKUP(YEAR($A73),'NY East Load Projections'!$A$4:$EO$14,((MONTH($A73)-1)*12)+VLOOKUP(CT$4,$DE$6:$DF$17,2)+1))*$E73</f>
        <v>0</v>
      </c>
      <c r="CU73" s="1021">
        <f>(VLOOKUP(YEAR($A73),'NY East Load Projections'!$A$4:$EO$14,((MONTH($A73)-1)*12)+VLOOKUP(CU$4,$DE$6:$DF$17,2)+1))*$E73</f>
        <v>0</v>
      </c>
      <c r="CV73" s="1021">
        <f>(VLOOKUP(YEAR($A73),'NY East Load Projections'!$A$4:$EO$14,((MONTH($A73)-1)*12)+VLOOKUP(CV$4,$DE$6:$DF$17,2)+1))*$E73</f>
        <v>0</v>
      </c>
      <c r="CW73" s="1021">
        <f>(VLOOKUP(YEAR($A73),'NY East Load Projections'!$A$4:$EO$14,((MONTH($A73)-1)*12)+VLOOKUP(CW$4,$DE$6:$DF$17,2)+1))*$E73</f>
        <v>0</v>
      </c>
      <c r="CX73" s="1021">
        <f>(VLOOKUP(YEAR($A73),'NY East Load Projections'!$A$4:$EO$14,((MONTH($A73)-1)*12)+VLOOKUP(CX$4,$DE$6:$DF$17,2)+1))*$E73</f>
        <v>0</v>
      </c>
      <c r="CY73" s="1021">
        <f>(VLOOKUP(YEAR($A73),'NY East Load Projections'!$A$4:$EO$14,((MONTH($A73)-1)*12)+VLOOKUP(CY$4,$DE$6:$DF$17,2)+1))*$E73</f>
        <v>0</v>
      </c>
      <c r="CZ73" s="1021">
        <f>(VLOOKUP(YEAR($A73),'NY East Load Projections'!$A$4:$EO$14,((MONTH($A73)-1)*12)+VLOOKUP(CZ$4,$DE$6:$DF$17,2)+1))*$E73</f>
        <v>0</v>
      </c>
      <c r="DA73" s="1021">
        <f>(VLOOKUP(YEAR($A73),'NY East Load Projections'!$A$4:$EO$14,((MONTH($A73)-1)*12)+VLOOKUP(DA$4,$DE$6:$DF$17,2)+1))*$E73</f>
        <v>0</v>
      </c>
      <c r="DB73" s="1021">
        <f>(VLOOKUP(YEAR($A73),'NY East Load Projections'!$A$4:$EO$14,((MONTH($A73)-1)*12)+VLOOKUP(DB$4,$DE$6:$DF$17,2)+1))*$E73</f>
        <v>0</v>
      </c>
      <c r="DH73" s="1009">
        <f t="shared" si="3"/>
        <v>-82738.858320713043</v>
      </c>
      <c r="DI73">
        <f ca="1">CALC!J93</f>
        <v>0.62321691786190325</v>
      </c>
      <c r="DJ73" s="1032">
        <f t="shared" ca="1" si="4"/>
        <v>-51564.256270047474</v>
      </c>
    </row>
    <row r="74" spans="1:114" x14ac:dyDescent="0.25">
      <c r="A74" s="244">
        <v>38961</v>
      </c>
      <c r="B74" s="13">
        <v>20</v>
      </c>
      <c r="C74" s="210">
        <v>5</v>
      </c>
      <c r="D74" s="210">
        <v>4</v>
      </c>
      <c r="E74" s="210">
        <v>1</v>
      </c>
      <c r="F74" s="13">
        <v>30</v>
      </c>
      <c r="H74" s="1021">
        <f>(VLOOKUP(YEAR($A74),'NY East Load Projections'!$A$4:$EO$14,((MONTH($A74)-1)*12)+VLOOKUP(H$4,$DE$6:$DF$17,2)+1))*$B74</f>
        <v>-2000.2737334870308</v>
      </c>
      <c r="I74" s="1021">
        <f>(VLOOKUP(YEAR($A74),'NY East Load Projections'!$A$4:$EO$14,((MONTH($A74)-1)*12)+VLOOKUP(I$4,$DE$6:$DF$17,2)+1))*$B74</f>
        <v>-2000.2737334870308</v>
      </c>
      <c r="J74" s="1021">
        <f>(VLOOKUP(YEAR($A74),'NY East Load Projections'!$A$4:$EO$14,((MONTH($A74)-1)*12)+VLOOKUP(J$4,$DE$6:$DF$17,2)+1))*$B74</f>
        <v>-2000.2737334870308</v>
      </c>
      <c r="K74" s="1021">
        <f>(VLOOKUP(YEAR($A74),'NY East Load Projections'!$A$4:$EO$14,((MONTH($A74)-1)*12)+VLOOKUP(K$4,$DE$6:$DF$17,2)+1))*$B74</f>
        <v>-2000.2737334870308</v>
      </c>
      <c r="L74" s="1021">
        <f>(VLOOKUP(YEAR($A74),'NY East Load Projections'!$A$4:$EO$14,((MONTH($A74)-1)*12)+VLOOKUP(L$4,$DE$6:$DF$17,2)+1))*$B74</f>
        <v>-2177.1549390427481</v>
      </c>
      <c r="M74" s="1021">
        <f>(VLOOKUP(YEAR($A74),'NY East Load Projections'!$A$4:$EO$14,((MONTH($A74)-1)*12)+VLOOKUP(M$4,$DE$6:$DF$17,2)+1))*$B74</f>
        <v>-2177.1549390427481</v>
      </c>
      <c r="N74" s="1021">
        <f>(VLOOKUP(YEAR($A74),'NY East Load Projections'!$A$4:$EO$14,((MONTH($A74)-1)*12)+VLOOKUP(N$4,$DE$6:$DF$17,2)+1))*$B74</f>
        <v>-2177.1549390427481</v>
      </c>
      <c r="O74" s="1021">
        <f>(VLOOKUP(YEAR($A74),'NY East Load Projections'!$A$4:$EO$14,((MONTH($A74)-1)*12)+VLOOKUP(O$4,$DE$6:$DF$17,2)+1))*$B74</f>
        <v>-2177.1549390427481</v>
      </c>
      <c r="P74" s="1021">
        <f>(VLOOKUP(YEAR($A74),'NY East Load Projections'!$A$4:$EO$14,((MONTH($A74)-1)*12)+VLOOKUP(P$4,$DE$6:$DF$17,2)+1))*$B74</f>
        <v>-2440.8967653537688</v>
      </c>
      <c r="Q74" s="1021">
        <f>(VLOOKUP(YEAR($A74),'NY East Load Projections'!$A$4:$EO$14,((MONTH($A74)-1)*12)+VLOOKUP(Q$4,$DE$6:$DF$17,2)+1))*$B74</f>
        <v>-2440.8967653537688</v>
      </c>
      <c r="R74" s="1021">
        <f>(VLOOKUP(YEAR($A74),'NY East Load Projections'!$A$4:$EO$14,((MONTH($A74)-1)*12)+VLOOKUP(R$4,$DE$6:$DF$17,2)+1))*$B74</f>
        <v>-2440.8967653537688</v>
      </c>
      <c r="S74" s="1021">
        <f>(VLOOKUP(YEAR($A74),'NY East Load Projections'!$A$4:$EO$14,((MONTH($A74)-1)*12)+VLOOKUP(S$4,$DE$6:$DF$17,2)+1))*$B74</f>
        <v>-2440.8967653537688</v>
      </c>
      <c r="T74" s="1021">
        <f>(VLOOKUP(YEAR($A74),'NY East Load Projections'!$A$4:$EO$14,((MONTH($A74)-1)*12)+VLOOKUP(T$4,$DE$6:$DF$17,2)+1))*$B74</f>
        <v>-2512.632821987132</v>
      </c>
      <c r="U74" s="1021">
        <f>(VLOOKUP(YEAR($A74),'NY East Load Projections'!$A$4:$EO$14,((MONTH($A74)-1)*12)+VLOOKUP(U$4,$DE$6:$DF$17,2)+1))*$B74</f>
        <v>-2512.632821987132</v>
      </c>
      <c r="V74" s="1021">
        <f>(VLOOKUP(YEAR($A74),'NY East Load Projections'!$A$4:$EO$14,((MONTH($A74)-1)*12)+VLOOKUP(V$4,$DE$6:$DF$17,2)+1))*$B74</f>
        <v>-2512.632821987132</v>
      </c>
      <c r="W74" s="1021">
        <f>(VLOOKUP(YEAR($A74),'NY East Load Projections'!$A$4:$EO$14,((MONTH($A74)-1)*12)+VLOOKUP(W$4,$DE$6:$DF$17,2)+1))*$B74</f>
        <v>-2512.632821987132</v>
      </c>
      <c r="X74" s="1021">
        <f>(VLOOKUP(YEAR($A74),'NY East Load Projections'!$A$4:$EO$14,((MONTH($A74)-1)*12)+VLOOKUP(X$4,$DE$6:$DF$17,2)+1))*$B74</f>
        <v>-2364.554785959202</v>
      </c>
      <c r="Y74" s="1021">
        <f>(VLOOKUP(YEAR($A74),'NY East Load Projections'!$A$4:$EO$14,((MONTH($A74)-1)*12)+VLOOKUP(Y$4,$DE$6:$DF$17,2)+1))*$B74</f>
        <v>-2364.554785959202</v>
      </c>
      <c r="Z74" s="1021">
        <f>(VLOOKUP(YEAR($A74),'NY East Load Projections'!$A$4:$EO$14,((MONTH($A74)-1)*12)+VLOOKUP(Z$4,$DE$6:$DF$17,2)+1))*$B74</f>
        <v>-2364.554785959202</v>
      </c>
      <c r="AA74" s="1021">
        <f>(VLOOKUP(YEAR($A74),'NY East Load Projections'!$A$4:$EO$14,((MONTH($A74)-1)*12)+VLOOKUP(AA$4,$DE$6:$DF$17,2)+1))*$B74</f>
        <v>-2364.554785959202</v>
      </c>
      <c r="AB74" s="1021">
        <f>(VLOOKUP(YEAR($A74),'NY East Load Projections'!$A$4:$EO$14,((MONTH($A74)-1)*12)+VLOOKUP(AB$4,$DE$6:$DF$17,2)+1))*$B74</f>
        <v>-2087.2772168630927</v>
      </c>
      <c r="AC74" s="1021">
        <f>(VLOOKUP(YEAR($A74),'NY East Load Projections'!$A$4:$EO$14,((MONTH($A74)-1)*12)+VLOOKUP(AC$4,$DE$6:$DF$17,2)+1))*$B74</f>
        <v>-2087.2772168630927</v>
      </c>
      <c r="AD74" s="1021">
        <f>(VLOOKUP(YEAR($A74),'NY East Load Projections'!$A$4:$EO$14,((MONTH($A74)-1)*12)+VLOOKUP(AD$4,$DE$6:$DF$17,2)+1))*$B74</f>
        <v>-2087.2772168630927</v>
      </c>
      <c r="AE74" s="1021">
        <f>(VLOOKUP(YEAR($A74),'NY East Load Projections'!$A$4:$EO$14,((MONTH($A74)-1)*12)+VLOOKUP(AE$4,$DE$6:$DF$17,2)+1))*$B74</f>
        <v>-2087.2772168630927</v>
      </c>
      <c r="AF74" s="1021"/>
      <c r="AG74" s="1021">
        <f>(VLOOKUP(YEAR($A74),'NY East Load Projections'!$A$4:$EO$14,((MONTH($A74)-1)*12)+VLOOKUP(AG$4,$DE$6:$DF$17,2)+1))*$C74</f>
        <v>-517.10085715501532</v>
      </c>
      <c r="AH74" s="1021">
        <f>(VLOOKUP(YEAR($A74),'NY East Load Projections'!$A$4:$EO$14,((MONTH($A74)-1)*12)+VLOOKUP(AH$4,$DE$6:$DF$17,2)+1))*$C74</f>
        <v>-517.10085715501532</v>
      </c>
      <c r="AI74" s="1021">
        <f>(VLOOKUP(YEAR($A74),'NY East Load Projections'!$A$4:$EO$14,((MONTH($A74)-1)*12)+VLOOKUP(AI$4,$DE$6:$DF$17,2)+1))*$C74</f>
        <v>-517.10085715501532</v>
      </c>
      <c r="AJ74" s="1021">
        <f>(VLOOKUP(YEAR($A74),'NY East Load Projections'!$A$4:$EO$14,((MONTH($A74)-1)*12)+VLOOKUP(AJ$4,$DE$6:$DF$17,2)+1))*$C74</f>
        <v>-517.10085715501532</v>
      </c>
      <c r="AK74" s="1021">
        <f>(VLOOKUP(YEAR($A74),'NY East Load Projections'!$A$4:$EO$14,((MONTH($A74)-1)*12)+VLOOKUP(AK$4,$DE$6:$DF$17,2)+1))*$C74</f>
        <v>-520.81009329866492</v>
      </c>
      <c r="AL74" s="1021">
        <f>(VLOOKUP(YEAR($A74),'NY East Load Projections'!$A$4:$EO$14,((MONTH($A74)-1)*12)+VLOOKUP(AL$4,$DE$6:$DF$17,2)+1))*$C74</f>
        <v>-520.81009329866492</v>
      </c>
      <c r="AM74" s="1021">
        <f>(VLOOKUP(YEAR($A74),'NY East Load Projections'!$A$4:$EO$14,((MONTH($A74)-1)*12)+VLOOKUP(AM$4,$DE$6:$DF$17,2)+1))*$C74</f>
        <v>-520.81009329866492</v>
      </c>
      <c r="AN74" s="1021">
        <f>(VLOOKUP(YEAR($A74),'NY East Load Projections'!$A$4:$EO$14,((MONTH($A74)-1)*12)+VLOOKUP(AN$4,$DE$6:$DF$17,2)+1))*$C74</f>
        <v>-520.81009329866492</v>
      </c>
      <c r="AO74" s="1021">
        <f>(VLOOKUP(YEAR($A74),'NY East Load Projections'!$A$4:$EO$14,((MONTH($A74)-1)*12)+VLOOKUP(AO$4,$DE$6:$DF$17,2)+1))*$C74</f>
        <v>-583.28937038407298</v>
      </c>
      <c r="AP74" s="1021">
        <f>(VLOOKUP(YEAR($A74),'NY East Load Projections'!$A$4:$EO$14,((MONTH($A74)-1)*12)+VLOOKUP(AP$4,$DE$6:$DF$17,2)+1))*$C74</f>
        <v>-583.28937038407298</v>
      </c>
      <c r="AQ74" s="1021">
        <f>(VLOOKUP(YEAR($A74),'NY East Load Projections'!$A$4:$EO$14,((MONTH($A74)-1)*12)+VLOOKUP(AQ$4,$DE$6:$DF$17,2)+1))*$C74</f>
        <v>-583.28937038407298</v>
      </c>
      <c r="AR74" s="1021">
        <f>(VLOOKUP(YEAR($A74),'NY East Load Projections'!$A$4:$EO$14,((MONTH($A74)-1)*12)+VLOOKUP(AR$4,$DE$6:$DF$17,2)+1))*$C74</f>
        <v>-583.28937038407298</v>
      </c>
      <c r="AS74" s="1021">
        <f>(VLOOKUP(YEAR($A74),'NY East Load Projections'!$A$4:$EO$14,((MONTH($A74)-1)*12)+VLOOKUP(AS$4,$DE$6:$DF$17,2)+1))*$C74</f>
        <v>-598.93526325498556</v>
      </c>
      <c r="AT74" s="1021">
        <f>(VLOOKUP(YEAR($A74),'NY East Load Projections'!$A$4:$EO$14,((MONTH($A74)-1)*12)+VLOOKUP(AT$4,$DE$6:$DF$17,2)+1))*$C74</f>
        <v>-598.93526325498556</v>
      </c>
      <c r="AU74" s="1021">
        <f>(VLOOKUP(YEAR($A74),'NY East Load Projections'!$A$4:$EO$14,((MONTH($A74)-1)*12)+VLOOKUP(AU$4,$DE$6:$DF$17,2)+1))*$C74</f>
        <v>-598.93526325498556</v>
      </c>
      <c r="AV74" s="1021">
        <f>(VLOOKUP(YEAR($A74),'NY East Load Projections'!$A$4:$EO$14,((MONTH($A74)-1)*12)+VLOOKUP(AV$4,$DE$6:$DF$17,2)+1))*$C74</f>
        <v>-598.93526325498556</v>
      </c>
      <c r="AW74" s="1021">
        <f>(VLOOKUP(YEAR($A74),'NY East Load Projections'!$A$4:$EO$14,((MONTH($A74)-1)*12)+VLOOKUP(AW$4,$DE$6:$DF$17,2)+1))*$C74</f>
        <v>-560.79638671873704</v>
      </c>
      <c r="AX74" s="1021">
        <f>(VLOOKUP(YEAR($A74),'NY East Load Projections'!$A$4:$EO$14,((MONTH($A74)-1)*12)+VLOOKUP(AX$4,$DE$6:$DF$17,2)+1))*$C74</f>
        <v>-560.79638671873704</v>
      </c>
      <c r="AY74" s="1021">
        <f>(VLOOKUP(YEAR($A74),'NY East Load Projections'!$A$4:$EO$14,((MONTH($A74)-1)*12)+VLOOKUP(AY$4,$DE$6:$DF$17,2)+1))*$C74</f>
        <v>-560.79638671873704</v>
      </c>
      <c r="AZ74" s="1021">
        <f>(VLOOKUP(YEAR($A74),'NY East Load Projections'!$A$4:$EO$14,((MONTH($A74)-1)*12)+VLOOKUP(AZ$4,$DE$6:$DF$17,2)+1))*$C74</f>
        <v>-560.79638671873704</v>
      </c>
      <c r="BA74" s="1021">
        <f>(VLOOKUP(YEAR($A74),'NY East Load Projections'!$A$4:$EO$14,((MONTH($A74)-1)*12)+VLOOKUP(BA$4,$DE$6:$DF$17,2)+1))*$C74</f>
        <v>-537.49141100519819</v>
      </c>
      <c r="BB74" s="1021">
        <f>(VLOOKUP(YEAR($A74),'NY East Load Projections'!$A$4:$EO$14,((MONTH($A74)-1)*12)+VLOOKUP(BB$4,$DE$6:$DF$17,2)+1))*$C74</f>
        <v>-537.49141100519819</v>
      </c>
      <c r="BC74" s="1021">
        <f>(VLOOKUP(YEAR($A74),'NY East Load Projections'!$A$4:$EO$14,((MONTH($A74)-1)*12)+VLOOKUP(BC$4,$DE$6:$DF$17,2)+1))*$C74</f>
        <v>-537.49141100519819</v>
      </c>
      <c r="BD74" s="1021">
        <f>(VLOOKUP(YEAR($A74),'NY East Load Projections'!$A$4:$EO$14,((MONTH($A74)-1)*12)+VLOOKUP(BD$4,$DE$6:$DF$17,2)+1))*$C74</f>
        <v>-537.49141100519819</v>
      </c>
      <c r="BE74" s="1021"/>
      <c r="BF74" s="1021">
        <f>(VLOOKUP(YEAR($A74),'NY East Load Projections'!$A$4:$EO$14,((MONTH($A74)-1)*12)+VLOOKUP(BF$4,$DE$6:$DF$17,2)+1))*$D74</f>
        <v>-413.68068572401228</v>
      </c>
      <c r="BG74" s="1021">
        <f>(VLOOKUP(YEAR($A74),'NY East Load Projections'!$A$4:$EO$14,((MONTH($A74)-1)*12)+VLOOKUP(BG$4,$DE$6:$DF$17,2)+1))*$D74</f>
        <v>-413.68068572401228</v>
      </c>
      <c r="BH74" s="1021">
        <f>(VLOOKUP(YEAR($A74),'NY East Load Projections'!$A$4:$EO$14,((MONTH($A74)-1)*12)+VLOOKUP(BH$4,$DE$6:$DF$17,2)+1))*$D74</f>
        <v>-413.68068572401228</v>
      </c>
      <c r="BI74" s="1021">
        <f>(VLOOKUP(YEAR($A74),'NY East Load Projections'!$A$4:$EO$14,((MONTH($A74)-1)*12)+VLOOKUP(BI$4,$DE$6:$DF$17,2)+1))*$D74</f>
        <v>-413.68068572401228</v>
      </c>
      <c r="BJ74" s="1021">
        <f>(VLOOKUP(YEAR($A74),'NY East Load Projections'!$A$4:$EO$14,((MONTH($A74)-1)*12)+VLOOKUP(BJ$4,$DE$6:$DF$17,2)+1))*$D74</f>
        <v>-416.64807463893197</v>
      </c>
      <c r="BK74" s="1021">
        <f>(VLOOKUP(YEAR($A74),'NY East Load Projections'!$A$4:$EO$14,((MONTH($A74)-1)*12)+VLOOKUP(BK$4,$DE$6:$DF$17,2)+1))*$D74</f>
        <v>-416.64807463893197</v>
      </c>
      <c r="BL74" s="1021">
        <f>(VLOOKUP(YEAR($A74),'NY East Load Projections'!$A$4:$EO$14,((MONTH($A74)-1)*12)+VLOOKUP(BL$4,$DE$6:$DF$17,2)+1))*$D74</f>
        <v>-416.64807463893197</v>
      </c>
      <c r="BM74" s="1021">
        <f>(VLOOKUP(YEAR($A74),'NY East Load Projections'!$A$4:$EO$14,((MONTH($A74)-1)*12)+VLOOKUP(BM$4,$DE$6:$DF$17,2)+1))*$D74</f>
        <v>-416.64807463893197</v>
      </c>
      <c r="BN74" s="1021">
        <f>(VLOOKUP(YEAR($A74),'NY East Load Projections'!$A$4:$EO$14,((MONTH($A74)-1)*12)+VLOOKUP(BN$4,$DE$6:$DF$17,2)+1))*$D74</f>
        <v>-466.63149630725843</v>
      </c>
      <c r="BO74" s="1021">
        <f>(VLOOKUP(YEAR($A74),'NY East Load Projections'!$A$4:$EO$14,((MONTH($A74)-1)*12)+VLOOKUP(BO$4,$DE$6:$DF$17,2)+1))*$D74</f>
        <v>-466.63149630725843</v>
      </c>
      <c r="BP74" s="1021">
        <f>(VLOOKUP(YEAR($A74),'NY East Load Projections'!$A$4:$EO$14,((MONTH($A74)-1)*12)+VLOOKUP(BP$4,$DE$6:$DF$17,2)+1))*$D74</f>
        <v>-466.63149630725843</v>
      </c>
      <c r="BQ74" s="1021">
        <f>(VLOOKUP(YEAR($A74),'NY East Load Projections'!$A$4:$EO$14,((MONTH($A74)-1)*12)+VLOOKUP(BQ$4,$DE$6:$DF$17,2)+1))*$D74</f>
        <v>-466.63149630725843</v>
      </c>
      <c r="BR74" s="1021">
        <f>(VLOOKUP(YEAR($A74),'NY East Load Projections'!$A$4:$EO$14,((MONTH($A74)-1)*12)+VLOOKUP(BR$4,$DE$6:$DF$17,2)+1))*$D74</f>
        <v>-479.14821060398845</v>
      </c>
      <c r="BS74" s="1021">
        <f>(VLOOKUP(YEAR($A74),'NY East Load Projections'!$A$4:$EO$14,((MONTH($A74)-1)*12)+VLOOKUP(BS$4,$DE$6:$DF$17,2)+1))*$D74</f>
        <v>-479.14821060398845</v>
      </c>
      <c r="BT74" s="1021">
        <f>(VLOOKUP(YEAR($A74),'NY East Load Projections'!$A$4:$EO$14,((MONTH($A74)-1)*12)+VLOOKUP(BT$4,$DE$6:$DF$17,2)+1))*$D74</f>
        <v>-479.14821060398845</v>
      </c>
      <c r="BU74" s="1021">
        <f>(VLOOKUP(YEAR($A74),'NY East Load Projections'!$A$4:$EO$14,((MONTH($A74)-1)*12)+VLOOKUP(BU$4,$DE$6:$DF$17,2)+1))*$D74</f>
        <v>-479.14821060398845</v>
      </c>
      <c r="BV74" s="1021">
        <f>(VLOOKUP(YEAR($A74),'NY East Load Projections'!$A$4:$EO$14,((MONTH($A74)-1)*12)+VLOOKUP(BV$4,$DE$6:$DF$17,2)+1))*$D74</f>
        <v>-448.63710937498962</v>
      </c>
      <c r="BW74" s="1021">
        <f>(VLOOKUP(YEAR($A74),'NY East Load Projections'!$A$4:$EO$14,((MONTH($A74)-1)*12)+VLOOKUP(BW$4,$DE$6:$DF$17,2)+1))*$D74</f>
        <v>-448.63710937498962</v>
      </c>
      <c r="BX74" s="1021">
        <f>(VLOOKUP(YEAR($A74),'NY East Load Projections'!$A$4:$EO$14,((MONTH($A74)-1)*12)+VLOOKUP(BX$4,$DE$6:$DF$17,2)+1))*$D74</f>
        <v>-448.63710937498962</v>
      </c>
      <c r="BY74" s="1021">
        <f>(VLOOKUP(YEAR($A74),'NY East Load Projections'!$A$4:$EO$14,((MONTH($A74)-1)*12)+VLOOKUP(BY$4,$DE$6:$DF$17,2)+1))*$D74</f>
        <v>-448.63710937498962</v>
      </c>
      <c r="BZ74" s="1021">
        <f>(VLOOKUP(YEAR($A74),'NY East Load Projections'!$A$4:$EO$14,((MONTH($A74)-1)*12)+VLOOKUP(BZ$4,$DE$6:$DF$17,2)+1))*$D74</f>
        <v>-429.99312880415857</v>
      </c>
      <c r="CA74" s="1021">
        <f>(VLOOKUP(YEAR($A74),'NY East Load Projections'!$A$4:$EO$14,((MONTH($A74)-1)*12)+VLOOKUP(CA$4,$DE$6:$DF$17,2)+1))*$D74</f>
        <v>-429.99312880415857</v>
      </c>
      <c r="CB74" s="1021">
        <f>(VLOOKUP(YEAR($A74),'NY East Load Projections'!$A$4:$EO$14,((MONTH($A74)-1)*12)+VLOOKUP(CB$4,$DE$6:$DF$17,2)+1))*$D74</f>
        <v>-429.99312880415857</v>
      </c>
      <c r="CC74" s="1021">
        <f>(VLOOKUP(YEAR($A74),'NY East Load Projections'!$A$4:$EO$14,((MONTH($A74)-1)*12)+VLOOKUP(CC$4,$DE$6:$DF$17,2)+1))*$D74</f>
        <v>-429.99312880415857</v>
      </c>
      <c r="CE74" s="1021">
        <f>(VLOOKUP(YEAR($A74),'NY East Load Projections'!$A$4:$EO$14,((MONTH($A74)-1)*12)+VLOOKUP(CE$4,$DE$6:$DF$17,2)+1))*$E74</f>
        <v>-103.42017143100307</v>
      </c>
      <c r="CF74" s="1021">
        <f>(VLOOKUP(YEAR($A74),'NY East Load Projections'!$A$4:$EO$14,((MONTH($A74)-1)*12)+VLOOKUP(CF$4,$DE$6:$DF$17,2)+1))*$E74</f>
        <v>-103.42017143100307</v>
      </c>
      <c r="CG74" s="1021">
        <f>(VLOOKUP(YEAR($A74),'NY East Load Projections'!$A$4:$EO$14,((MONTH($A74)-1)*12)+VLOOKUP(CG$4,$DE$6:$DF$17,2)+1))*$E74</f>
        <v>-103.42017143100307</v>
      </c>
      <c r="CH74" s="1021">
        <f>(VLOOKUP(YEAR($A74),'NY East Load Projections'!$A$4:$EO$14,((MONTH($A74)-1)*12)+VLOOKUP(CH$4,$DE$6:$DF$17,2)+1))*$E74</f>
        <v>-103.42017143100307</v>
      </c>
      <c r="CI74" s="1021">
        <f>(VLOOKUP(YEAR($A74),'NY East Load Projections'!$A$4:$EO$14,((MONTH($A74)-1)*12)+VLOOKUP(CI$4,$DE$6:$DF$17,2)+1))*$E74</f>
        <v>-104.16201865973299</v>
      </c>
      <c r="CJ74" s="1021">
        <f>(VLOOKUP(YEAR($A74),'NY East Load Projections'!$A$4:$EO$14,((MONTH($A74)-1)*12)+VLOOKUP(CJ$4,$DE$6:$DF$17,2)+1))*$E74</f>
        <v>-104.16201865973299</v>
      </c>
      <c r="CK74" s="1021">
        <f>(VLOOKUP(YEAR($A74),'NY East Load Projections'!$A$4:$EO$14,((MONTH($A74)-1)*12)+VLOOKUP(CK$4,$DE$6:$DF$17,2)+1))*$E74</f>
        <v>-104.16201865973299</v>
      </c>
      <c r="CL74" s="1021">
        <f>(VLOOKUP(YEAR($A74),'NY East Load Projections'!$A$4:$EO$14,((MONTH($A74)-1)*12)+VLOOKUP(CL$4,$DE$6:$DF$17,2)+1))*$E74</f>
        <v>-104.16201865973299</v>
      </c>
      <c r="CM74" s="1021">
        <f>(VLOOKUP(YEAR($A74),'NY East Load Projections'!$A$4:$EO$14,((MONTH($A74)-1)*12)+VLOOKUP(CM$4,$DE$6:$DF$17,2)+1))*$E74</f>
        <v>-116.65787407681461</v>
      </c>
      <c r="CN74" s="1021">
        <f>(VLOOKUP(YEAR($A74),'NY East Load Projections'!$A$4:$EO$14,((MONTH($A74)-1)*12)+VLOOKUP(CN$4,$DE$6:$DF$17,2)+1))*$E74</f>
        <v>-116.65787407681461</v>
      </c>
      <c r="CO74" s="1021">
        <f>(VLOOKUP(YEAR($A74),'NY East Load Projections'!$A$4:$EO$14,((MONTH($A74)-1)*12)+VLOOKUP(CO$4,$DE$6:$DF$17,2)+1))*$E74</f>
        <v>-116.65787407681461</v>
      </c>
      <c r="CP74" s="1021">
        <f>(VLOOKUP(YEAR($A74),'NY East Load Projections'!$A$4:$EO$14,((MONTH($A74)-1)*12)+VLOOKUP(CP$4,$DE$6:$DF$17,2)+1))*$E74</f>
        <v>-116.65787407681461</v>
      </c>
      <c r="CQ74" s="1021">
        <f>(VLOOKUP(YEAR($A74),'NY East Load Projections'!$A$4:$EO$14,((MONTH($A74)-1)*12)+VLOOKUP(CQ$4,$DE$6:$DF$17,2)+1))*$E74</f>
        <v>-119.78705265099711</v>
      </c>
      <c r="CR74" s="1021">
        <f>(VLOOKUP(YEAR($A74),'NY East Load Projections'!$A$4:$EO$14,((MONTH($A74)-1)*12)+VLOOKUP(CR$4,$DE$6:$DF$17,2)+1))*$E74</f>
        <v>-119.78705265099711</v>
      </c>
      <c r="CS74" s="1021">
        <f>(VLOOKUP(YEAR($A74),'NY East Load Projections'!$A$4:$EO$14,((MONTH($A74)-1)*12)+VLOOKUP(CS$4,$DE$6:$DF$17,2)+1))*$E74</f>
        <v>-119.78705265099711</v>
      </c>
      <c r="CT74" s="1021">
        <f>(VLOOKUP(YEAR($A74),'NY East Load Projections'!$A$4:$EO$14,((MONTH($A74)-1)*12)+VLOOKUP(CT$4,$DE$6:$DF$17,2)+1))*$E74</f>
        <v>-119.78705265099711</v>
      </c>
      <c r="CU74" s="1021">
        <f>(VLOOKUP(YEAR($A74),'NY East Load Projections'!$A$4:$EO$14,((MONTH($A74)-1)*12)+VLOOKUP(CU$4,$DE$6:$DF$17,2)+1))*$E74</f>
        <v>-112.15927734374741</v>
      </c>
      <c r="CV74" s="1021">
        <f>(VLOOKUP(YEAR($A74),'NY East Load Projections'!$A$4:$EO$14,((MONTH($A74)-1)*12)+VLOOKUP(CV$4,$DE$6:$DF$17,2)+1))*$E74</f>
        <v>-112.15927734374741</v>
      </c>
      <c r="CW74" s="1021">
        <f>(VLOOKUP(YEAR($A74),'NY East Load Projections'!$A$4:$EO$14,((MONTH($A74)-1)*12)+VLOOKUP(CW$4,$DE$6:$DF$17,2)+1))*$E74</f>
        <v>-112.15927734374741</v>
      </c>
      <c r="CX74" s="1021">
        <f>(VLOOKUP(YEAR($A74),'NY East Load Projections'!$A$4:$EO$14,((MONTH($A74)-1)*12)+VLOOKUP(CX$4,$DE$6:$DF$17,2)+1))*$E74</f>
        <v>-112.15927734374741</v>
      </c>
      <c r="CY74" s="1021">
        <f>(VLOOKUP(YEAR($A74),'NY East Load Projections'!$A$4:$EO$14,((MONTH($A74)-1)*12)+VLOOKUP(CY$4,$DE$6:$DF$17,2)+1))*$E74</f>
        <v>-107.49828220103964</v>
      </c>
      <c r="CZ74" s="1021">
        <f>(VLOOKUP(YEAR($A74),'NY East Load Projections'!$A$4:$EO$14,((MONTH($A74)-1)*12)+VLOOKUP(CZ$4,$DE$6:$DF$17,2)+1))*$E74</f>
        <v>-107.49828220103964</v>
      </c>
      <c r="DA74" s="1021">
        <f>(VLOOKUP(YEAR($A74),'NY East Load Projections'!$A$4:$EO$14,((MONTH($A74)-1)*12)+VLOOKUP(DA$4,$DE$6:$DF$17,2)+1))*$E74</f>
        <v>-107.49828220103964</v>
      </c>
      <c r="DB74" s="1021">
        <f>(VLOOKUP(YEAR($A74),'NY East Load Projections'!$A$4:$EO$14,((MONTH($A74)-1)*12)+VLOOKUP(DB$4,$DE$6:$DF$17,2)+1))*$E74</f>
        <v>-107.49828220103964</v>
      </c>
      <c r="DH74" s="1009">
        <f t="shared" si="3"/>
        <v>-80878.548105305279</v>
      </c>
      <c r="DI74">
        <f ca="1">CALC!J94</f>
        <v>0.61943487176854406</v>
      </c>
      <c r="DJ74" s="1032">
        <f t="shared" ca="1" si="4"/>
        <v>-50098.993074435799</v>
      </c>
    </row>
    <row r="75" spans="1:114" x14ac:dyDescent="0.25">
      <c r="A75" s="244">
        <v>38991</v>
      </c>
      <c r="B75" s="13">
        <v>22</v>
      </c>
      <c r="C75" s="210">
        <v>4</v>
      </c>
      <c r="D75" s="210">
        <v>5</v>
      </c>
      <c r="E75" s="210">
        <v>0</v>
      </c>
      <c r="F75" s="13">
        <v>31</v>
      </c>
      <c r="H75" s="1021">
        <f>(VLOOKUP(YEAR($A75),'NY East Load Projections'!$A$4:$EO$14,((MONTH($A75)-1)*12)+VLOOKUP(H$4,$DE$6:$DF$17,2)+1))*$B75</f>
        <v>-2048.9458759088593</v>
      </c>
      <c r="I75" s="1021">
        <f>(VLOOKUP(YEAR($A75),'NY East Load Projections'!$A$4:$EO$14,((MONTH($A75)-1)*12)+VLOOKUP(I$4,$DE$6:$DF$17,2)+1))*$B75</f>
        <v>-2048.9458759088593</v>
      </c>
      <c r="J75" s="1021">
        <f>(VLOOKUP(YEAR($A75),'NY East Load Projections'!$A$4:$EO$14,((MONTH($A75)-1)*12)+VLOOKUP(J$4,$DE$6:$DF$17,2)+1))*$B75</f>
        <v>-2048.9458759088593</v>
      </c>
      <c r="K75" s="1021">
        <f>(VLOOKUP(YEAR($A75),'NY East Load Projections'!$A$4:$EO$14,((MONTH($A75)-1)*12)+VLOOKUP(K$4,$DE$6:$DF$17,2)+1))*$B75</f>
        <v>-2048.9458759088593</v>
      </c>
      <c r="L75" s="1021">
        <f>(VLOOKUP(YEAR($A75),'NY East Load Projections'!$A$4:$EO$14,((MONTH($A75)-1)*12)+VLOOKUP(L$4,$DE$6:$DF$17,2)+1))*$B75</f>
        <v>-2259.9104233518087</v>
      </c>
      <c r="M75" s="1021">
        <f>(VLOOKUP(YEAR($A75),'NY East Load Projections'!$A$4:$EO$14,((MONTH($A75)-1)*12)+VLOOKUP(M$4,$DE$6:$DF$17,2)+1))*$B75</f>
        <v>-2259.9104233518087</v>
      </c>
      <c r="N75" s="1021">
        <f>(VLOOKUP(YEAR($A75),'NY East Load Projections'!$A$4:$EO$14,((MONTH($A75)-1)*12)+VLOOKUP(N$4,$DE$6:$DF$17,2)+1))*$B75</f>
        <v>-2259.9104233518087</v>
      </c>
      <c r="O75" s="1021">
        <f>(VLOOKUP(YEAR($A75),'NY East Load Projections'!$A$4:$EO$14,((MONTH($A75)-1)*12)+VLOOKUP(O$4,$DE$6:$DF$17,2)+1))*$B75</f>
        <v>-2259.9104233518087</v>
      </c>
      <c r="P75" s="1021">
        <f>(VLOOKUP(YEAR($A75),'NY East Load Projections'!$A$4:$EO$14,((MONTH($A75)-1)*12)+VLOOKUP(P$4,$DE$6:$DF$17,2)+1))*$B75</f>
        <v>-2525.2633018392253</v>
      </c>
      <c r="Q75" s="1021">
        <f>(VLOOKUP(YEAR($A75),'NY East Load Projections'!$A$4:$EO$14,((MONTH($A75)-1)*12)+VLOOKUP(Q$4,$DE$6:$DF$17,2)+1))*$B75</f>
        <v>-2525.2633018392253</v>
      </c>
      <c r="R75" s="1021">
        <f>(VLOOKUP(YEAR($A75),'NY East Load Projections'!$A$4:$EO$14,((MONTH($A75)-1)*12)+VLOOKUP(R$4,$DE$6:$DF$17,2)+1))*$B75</f>
        <v>-2525.2633018392253</v>
      </c>
      <c r="S75" s="1021">
        <f>(VLOOKUP(YEAR($A75),'NY East Load Projections'!$A$4:$EO$14,((MONTH($A75)-1)*12)+VLOOKUP(S$4,$DE$6:$DF$17,2)+1))*$B75</f>
        <v>-2525.2633018392253</v>
      </c>
      <c r="T75" s="1021">
        <f>(VLOOKUP(YEAR($A75),'NY East Load Projections'!$A$4:$EO$14,((MONTH($A75)-1)*12)+VLOOKUP(T$4,$DE$6:$DF$17,2)+1))*$B75</f>
        <v>-2604.1913827712169</v>
      </c>
      <c r="U75" s="1021">
        <f>(VLOOKUP(YEAR($A75),'NY East Load Projections'!$A$4:$EO$14,((MONTH($A75)-1)*12)+VLOOKUP(U$4,$DE$6:$DF$17,2)+1))*$B75</f>
        <v>-2604.1913827712169</v>
      </c>
      <c r="V75" s="1021">
        <f>(VLOOKUP(YEAR($A75),'NY East Load Projections'!$A$4:$EO$14,((MONTH($A75)-1)*12)+VLOOKUP(V$4,$DE$6:$DF$17,2)+1))*$B75</f>
        <v>-2604.1913827712169</v>
      </c>
      <c r="W75" s="1021">
        <f>(VLOOKUP(YEAR($A75),'NY East Load Projections'!$A$4:$EO$14,((MONTH($A75)-1)*12)+VLOOKUP(W$4,$DE$6:$DF$17,2)+1))*$B75</f>
        <v>-2604.1913827712169</v>
      </c>
      <c r="X75" s="1021">
        <f>(VLOOKUP(YEAR($A75),'NY East Load Projections'!$A$4:$EO$14,((MONTH($A75)-1)*12)+VLOOKUP(X$4,$DE$6:$DF$17,2)+1))*$B75</f>
        <v>-2442.0627298716654</v>
      </c>
      <c r="Y75" s="1021">
        <f>(VLOOKUP(YEAR($A75),'NY East Load Projections'!$A$4:$EO$14,((MONTH($A75)-1)*12)+VLOOKUP(Y$4,$DE$6:$DF$17,2)+1))*$B75</f>
        <v>-2442.0627298716654</v>
      </c>
      <c r="Z75" s="1021">
        <f>(VLOOKUP(YEAR($A75),'NY East Load Projections'!$A$4:$EO$14,((MONTH($A75)-1)*12)+VLOOKUP(Z$4,$DE$6:$DF$17,2)+1))*$B75</f>
        <v>-2442.0627298716654</v>
      </c>
      <c r="AA75" s="1021">
        <f>(VLOOKUP(YEAR($A75),'NY East Load Projections'!$A$4:$EO$14,((MONTH($A75)-1)*12)+VLOOKUP(AA$4,$DE$6:$DF$17,2)+1))*$B75</f>
        <v>-2442.0627298716654</v>
      </c>
      <c r="AB75" s="1021">
        <f>(VLOOKUP(YEAR($A75),'NY East Load Projections'!$A$4:$EO$14,((MONTH($A75)-1)*12)+VLOOKUP(AB$4,$DE$6:$DF$17,2)+1))*$B75</f>
        <v>-2153.3331992245253</v>
      </c>
      <c r="AC75" s="1021">
        <f>(VLOOKUP(YEAR($A75),'NY East Load Projections'!$A$4:$EO$14,((MONTH($A75)-1)*12)+VLOOKUP(AC$4,$DE$6:$DF$17,2)+1))*$B75</f>
        <v>-2153.3331992245253</v>
      </c>
      <c r="AD75" s="1021">
        <f>(VLOOKUP(YEAR($A75),'NY East Load Projections'!$A$4:$EO$14,((MONTH($A75)-1)*12)+VLOOKUP(AD$4,$DE$6:$DF$17,2)+1))*$B75</f>
        <v>-2153.3331992245253</v>
      </c>
      <c r="AE75" s="1021">
        <f>(VLOOKUP(YEAR($A75),'NY East Load Projections'!$A$4:$EO$14,((MONTH($A75)-1)*12)+VLOOKUP(AE$4,$DE$6:$DF$17,2)+1))*$B75</f>
        <v>-2153.3331992245253</v>
      </c>
      <c r="AF75" s="1021"/>
      <c r="AG75" s="1021">
        <f>(VLOOKUP(YEAR($A75),'NY East Load Projections'!$A$4:$EO$14,((MONTH($A75)-1)*12)+VLOOKUP(AG$4,$DE$6:$DF$17,2)+1))*$C75</f>
        <v>-390.85052765234889</v>
      </c>
      <c r="AH75" s="1021">
        <f>(VLOOKUP(YEAR($A75),'NY East Load Projections'!$A$4:$EO$14,((MONTH($A75)-1)*12)+VLOOKUP(AH$4,$DE$6:$DF$17,2)+1))*$C75</f>
        <v>-390.85052765234889</v>
      </c>
      <c r="AI75" s="1021">
        <f>(VLOOKUP(YEAR($A75),'NY East Load Projections'!$A$4:$EO$14,((MONTH($A75)-1)*12)+VLOOKUP(AI$4,$DE$6:$DF$17,2)+1))*$C75</f>
        <v>-390.85052765234889</v>
      </c>
      <c r="AJ75" s="1021">
        <f>(VLOOKUP(YEAR($A75),'NY East Load Projections'!$A$4:$EO$14,((MONTH($A75)-1)*12)+VLOOKUP(AJ$4,$DE$6:$DF$17,2)+1))*$C75</f>
        <v>-390.85052765234889</v>
      </c>
      <c r="AK75" s="1021">
        <f>(VLOOKUP(YEAR($A75),'NY East Load Projections'!$A$4:$EO$14,((MONTH($A75)-1)*12)+VLOOKUP(AK$4,$DE$6:$DF$17,2)+1))*$C75</f>
        <v>-396.35496462959247</v>
      </c>
      <c r="AL75" s="1021">
        <f>(VLOOKUP(YEAR($A75),'NY East Load Projections'!$A$4:$EO$14,((MONTH($A75)-1)*12)+VLOOKUP(AL$4,$DE$6:$DF$17,2)+1))*$C75</f>
        <v>-396.35496462959247</v>
      </c>
      <c r="AM75" s="1021">
        <f>(VLOOKUP(YEAR($A75),'NY East Load Projections'!$A$4:$EO$14,((MONTH($A75)-1)*12)+VLOOKUP(AM$4,$DE$6:$DF$17,2)+1))*$C75</f>
        <v>-396.35496462959247</v>
      </c>
      <c r="AN75" s="1021">
        <f>(VLOOKUP(YEAR($A75),'NY East Load Projections'!$A$4:$EO$14,((MONTH($A75)-1)*12)+VLOOKUP(AN$4,$DE$6:$DF$17,2)+1))*$C75</f>
        <v>-396.35496462959247</v>
      </c>
      <c r="AO75" s="1021">
        <f>(VLOOKUP(YEAR($A75),'NY East Load Projections'!$A$4:$EO$14,((MONTH($A75)-1)*12)+VLOOKUP(AO$4,$DE$6:$DF$17,2)+1))*$C75</f>
        <v>-439.62251687558609</v>
      </c>
      <c r="AP75" s="1021">
        <f>(VLOOKUP(YEAR($A75),'NY East Load Projections'!$A$4:$EO$14,((MONTH($A75)-1)*12)+VLOOKUP(AP$4,$DE$6:$DF$17,2)+1))*$C75</f>
        <v>-439.62251687558609</v>
      </c>
      <c r="AQ75" s="1021">
        <f>(VLOOKUP(YEAR($A75),'NY East Load Projections'!$A$4:$EO$14,((MONTH($A75)-1)*12)+VLOOKUP(AQ$4,$DE$6:$DF$17,2)+1))*$C75</f>
        <v>-439.62251687558609</v>
      </c>
      <c r="AR75" s="1021">
        <f>(VLOOKUP(YEAR($A75),'NY East Load Projections'!$A$4:$EO$14,((MONTH($A75)-1)*12)+VLOOKUP(AR$4,$DE$6:$DF$17,2)+1))*$C75</f>
        <v>-439.62251687558609</v>
      </c>
      <c r="AS75" s="1021">
        <f>(VLOOKUP(YEAR($A75),'NY East Load Projections'!$A$4:$EO$14,((MONTH($A75)-1)*12)+VLOOKUP(AS$4,$DE$6:$DF$17,2)+1))*$C75</f>
        <v>-450.16306256765989</v>
      </c>
      <c r="AT75" s="1021">
        <f>(VLOOKUP(YEAR($A75),'NY East Load Projections'!$A$4:$EO$14,((MONTH($A75)-1)*12)+VLOOKUP(AT$4,$DE$6:$DF$17,2)+1))*$C75</f>
        <v>-450.16306256765989</v>
      </c>
      <c r="AU75" s="1021">
        <f>(VLOOKUP(YEAR($A75),'NY East Load Projections'!$A$4:$EO$14,((MONTH($A75)-1)*12)+VLOOKUP(AU$4,$DE$6:$DF$17,2)+1))*$C75</f>
        <v>-450.16306256765989</v>
      </c>
      <c r="AV75" s="1021">
        <f>(VLOOKUP(YEAR($A75),'NY East Load Projections'!$A$4:$EO$14,((MONTH($A75)-1)*12)+VLOOKUP(AV$4,$DE$6:$DF$17,2)+1))*$C75</f>
        <v>-450.16306256765989</v>
      </c>
      <c r="AW75" s="1021">
        <f>(VLOOKUP(YEAR($A75),'NY East Load Projections'!$A$4:$EO$14,((MONTH($A75)-1)*12)+VLOOKUP(AW$4,$DE$6:$DF$17,2)+1))*$C75</f>
        <v>-419.65231511919325</v>
      </c>
      <c r="AX75" s="1021">
        <f>(VLOOKUP(YEAR($A75),'NY East Load Projections'!$A$4:$EO$14,((MONTH($A75)-1)*12)+VLOOKUP(AX$4,$DE$6:$DF$17,2)+1))*$C75</f>
        <v>-419.65231511919325</v>
      </c>
      <c r="AY75" s="1021">
        <f>(VLOOKUP(YEAR($A75),'NY East Load Projections'!$A$4:$EO$14,((MONTH($A75)-1)*12)+VLOOKUP(AY$4,$DE$6:$DF$17,2)+1))*$C75</f>
        <v>-419.65231511919325</v>
      </c>
      <c r="AZ75" s="1021">
        <f>(VLOOKUP(YEAR($A75),'NY East Load Projections'!$A$4:$EO$14,((MONTH($A75)-1)*12)+VLOOKUP(AZ$4,$DE$6:$DF$17,2)+1))*$C75</f>
        <v>-419.65231511919325</v>
      </c>
      <c r="BA75" s="1021">
        <f>(VLOOKUP(YEAR($A75),'NY East Load Projections'!$A$4:$EO$14,((MONTH($A75)-1)*12)+VLOOKUP(BA$4,$DE$6:$DF$17,2)+1))*$C75</f>
        <v>-400.06989000290196</v>
      </c>
      <c r="BB75" s="1021">
        <f>(VLOOKUP(YEAR($A75),'NY East Load Projections'!$A$4:$EO$14,((MONTH($A75)-1)*12)+VLOOKUP(BB$4,$DE$6:$DF$17,2)+1))*$C75</f>
        <v>-400.06989000290196</v>
      </c>
      <c r="BC75" s="1021">
        <f>(VLOOKUP(YEAR($A75),'NY East Load Projections'!$A$4:$EO$14,((MONTH($A75)-1)*12)+VLOOKUP(BC$4,$DE$6:$DF$17,2)+1))*$C75</f>
        <v>-400.06989000290196</v>
      </c>
      <c r="BD75" s="1021">
        <f>(VLOOKUP(YEAR($A75),'NY East Load Projections'!$A$4:$EO$14,((MONTH($A75)-1)*12)+VLOOKUP(BD$4,$DE$6:$DF$17,2)+1))*$C75</f>
        <v>-400.06989000290196</v>
      </c>
      <c r="BE75" s="1021"/>
      <c r="BF75" s="1021">
        <f>(VLOOKUP(YEAR($A75),'NY East Load Projections'!$A$4:$EO$14,((MONTH($A75)-1)*12)+VLOOKUP(BF$4,$DE$6:$DF$17,2)+1))*$D75</f>
        <v>-488.56315956543608</v>
      </c>
      <c r="BG75" s="1021">
        <f>(VLOOKUP(YEAR($A75),'NY East Load Projections'!$A$4:$EO$14,((MONTH($A75)-1)*12)+VLOOKUP(BG$4,$DE$6:$DF$17,2)+1))*$D75</f>
        <v>-488.56315956543608</v>
      </c>
      <c r="BH75" s="1021">
        <f>(VLOOKUP(YEAR($A75),'NY East Load Projections'!$A$4:$EO$14,((MONTH($A75)-1)*12)+VLOOKUP(BH$4,$DE$6:$DF$17,2)+1))*$D75</f>
        <v>-488.56315956543608</v>
      </c>
      <c r="BI75" s="1021">
        <f>(VLOOKUP(YEAR($A75),'NY East Load Projections'!$A$4:$EO$14,((MONTH($A75)-1)*12)+VLOOKUP(BI$4,$DE$6:$DF$17,2)+1))*$D75</f>
        <v>-488.56315956543608</v>
      </c>
      <c r="BJ75" s="1021">
        <f>(VLOOKUP(YEAR($A75),'NY East Load Projections'!$A$4:$EO$14,((MONTH($A75)-1)*12)+VLOOKUP(BJ$4,$DE$6:$DF$17,2)+1))*$D75</f>
        <v>-495.44370578699056</v>
      </c>
      <c r="BK75" s="1021">
        <f>(VLOOKUP(YEAR($A75),'NY East Load Projections'!$A$4:$EO$14,((MONTH($A75)-1)*12)+VLOOKUP(BK$4,$DE$6:$DF$17,2)+1))*$D75</f>
        <v>-495.44370578699056</v>
      </c>
      <c r="BL75" s="1021">
        <f>(VLOOKUP(YEAR($A75),'NY East Load Projections'!$A$4:$EO$14,((MONTH($A75)-1)*12)+VLOOKUP(BL$4,$DE$6:$DF$17,2)+1))*$D75</f>
        <v>-495.44370578699056</v>
      </c>
      <c r="BM75" s="1021">
        <f>(VLOOKUP(YEAR($A75),'NY East Load Projections'!$A$4:$EO$14,((MONTH($A75)-1)*12)+VLOOKUP(BM$4,$DE$6:$DF$17,2)+1))*$D75</f>
        <v>-495.44370578699056</v>
      </c>
      <c r="BN75" s="1021">
        <f>(VLOOKUP(YEAR($A75),'NY East Load Projections'!$A$4:$EO$14,((MONTH($A75)-1)*12)+VLOOKUP(BN$4,$DE$6:$DF$17,2)+1))*$D75</f>
        <v>-549.52814609448262</v>
      </c>
      <c r="BO75" s="1021">
        <f>(VLOOKUP(YEAR($A75),'NY East Load Projections'!$A$4:$EO$14,((MONTH($A75)-1)*12)+VLOOKUP(BO$4,$DE$6:$DF$17,2)+1))*$D75</f>
        <v>-549.52814609448262</v>
      </c>
      <c r="BP75" s="1021">
        <f>(VLOOKUP(YEAR($A75),'NY East Load Projections'!$A$4:$EO$14,((MONTH($A75)-1)*12)+VLOOKUP(BP$4,$DE$6:$DF$17,2)+1))*$D75</f>
        <v>-549.52814609448262</v>
      </c>
      <c r="BQ75" s="1021">
        <f>(VLOOKUP(YEAR($A75),'NY East Load Projections'!$A$4:$EO$14,((MONTH($A75)-1)*12)+VLOOKUP(BQ$4,$DE$6:$DF$17,2)+1))*$D75</f>
        <v>-549.52814609448262</v>
      </c>
      <c r="BR75" s="1021">
        <f>(VLOOKUP(YEAR($A75),'NY East Load Projections'!$A$4:$EO$14,((MONTH($A75)-1)*12)+VLOOKUP(BR$4,$DE$6:$DF$17,2)+1))*$D75</f>
        <v>-562.70382820957491</v>
      </c>
      <c r="BS75" s="1021">
        <f>(VLOOKUP(YEAR($A75),'NY East Load Projections'!$A$4:$EO$14,((MONTH($A75)-1)*12)+VLOOKUP(BS$4,$DE$6:$DF$17,2)+1))*$D75</f>
        <v>-562.70382820957491</v>
      </c>
      <c r="BT75" s="1021">
        <f>(VLOOKUP(YEAR($A75),'NY East Load Projections'!$A$4:$EO$14,((MONTH($A75)-1)*12)+VLOOKUP(BT$4,$DE$6:$DF$17,2)+1))*$D75</f>
        <v>-562.70382820957491</v>
      </c>
      <c r="BU75" s="1021">
        <f>(VLOOKUP(YEAR($A75),'NY East Load Projections'!$A$4:$EO$14,((MONTH($A75)-1)*12)+VLOOKUP(BU$4,$DE$6:$DF$17,2)+1))*$D75</f>
        <v>-562.70382820957491</v>
      </c>
      <c r="BV75" s="1021">
        <f>(VLOOKUP(YEAR($A75),'NY East Load Projections'!$A$4:$EO$14,((MONTH($A75)-1)*12)+VLOOKUP(BV$4,$DE$6:$DF$17,2)+1))*$D75</f>
        <v>-524.5653938989916</v>
      </c>
      <c r="BW75" s="1021">
        <f>(VLOOKUP(YEAR($A75),'NY East Load Projections'!$A$4:$EO$14,((MONTH($A75)-1)*12)+VLOOKUP(BW$4,$DE$6:$DF$17,2)+1))*$D75</f>
        <v>-524.5653938989916</v>
      </c>
      <c r="BX75" s="1021">
        <f>(VLOOKUP(YEAR($A75),'NY East Load Projections'!$A$4:$EO$14,((MONTH($A75)-1)*12)+VLOOKUP(BX$4,$DE$6:$DF$17,2)+1))*$D75</f>
        <v>-524.5653938989916</v>
      </c>
      <c r="BY75" s="1021">
        <f>(VLOOKUP(YEAR($A75),'NY East Load Projections'!$A$4:$EO$14,((MONTH($A75)-1)*12)+VLOOKUP(BY$4,$DE$6:$DF$17,2)+1))*$D75</f>
        <v>-524.5653938989916</v>
      </c>
      <c r="BZ75" s="1021">
        <f>(VLOOKUP(YEAR($A75),'NY East Load Projections'!$A$4:$EO$14,((MONTH($A75)-1)*12)+VLOOKUP(BZ$4,$DE$6:$DF$17,2)+1))*$D75</f>
        <v>-500.08736250362745</v>
      </c>
      <c r="CA75" s="1021">
        <f>(VLOOKUP(YEAR($A75),'NY East Load Projections'!$A$4:$EO$14,((MONTH($A75)-1)*12)+VLOOKUP(CA$4,$DE$6:$DF$17,2)+1))*$D75</f>
        <v>-500.08736250362745</v>
      </c>
      <c r="CB75" s="1021">
        <f>(VLOOKUP(YEAR($A75),'NY East Load Projections'!$A$4:$EO$14,((MONTH($A75)-1)*12)+VLOOKUP(CB$4,$DE$6:$DF$17,2)+1))*$D75</f>
        <v>-500.08736250362745</v>
      </c>
      <c r="CC75" s="1021">
        <f>(VLOOKUP(YEAR($A75),'NY East Load Projections'!$A$4:$EO$14,((MONTH($A75)-1)*12)+VLOOKUP(CC$4,$DE$6:$DF$17,2)+1))*$D75</f>
        <v>-500.08736250362745</v>
      </c>
      <c r="CE75" s="1021">
        <f>(VLOOKUP(YEAR($A75),'NY East Load Projections'!$A$4:$EO$14,((MONTH($A75)-1)*12)+VLOOKUP(CE$4,$DE$6:$DF$17,2)+1))*$E75</f>
        <v>0</v>
      </c>
      <c r="CF75" s="1021">
        <f>(VLOOKUP(YEAR($A75),'NY East Load Projections'!$A$4:$EO$14,((MONTH($A75)-1)*12)+VLOOKUP(CF$4,$DE$6:$DF$17,2)+1))*$E75</f>
        <v>0</v>
      </c>
      <c r="CG75" s="1021">
        <f>(VLOOKUP(YEAR($A75),'NY East Load Projections'!$A$4:$EO$14,((MONTH($A75)-1)*12)+VLOOKUP(CG$4,$DE$6:$DF$17,2)+1))*$E75</f>
        <v>0</v>
      </c>
      <c r="CH75" s="1021">
        <f>(VLOOKUP(YEAR($A75),'NY East Load Projections'!$A$4:$EO$14,((MONTH($A75)-1)*12)+VLOOKUP(CH$4,$DE$6:$DF$17,2)+1))*$E75</f>
        <v>0</v>
      </c>
      <c r="CI75" s="1021">
        <f>(VLOOKUP(YEAR($A75),'NY East Load Projections'!$A$4:$EO$14,((MONTH($A75)-1)*12)+VLOOKUP(CI$4,$DE$6:$DF$17,2)+1))*$E75</f>
        <v>0</v>
      </c>
      <c r="CJ75" s="1021">
        <f>(VLOOKUP(YEAR($A75),'NY East Load Projections'!$A$4:$EO$14,((MONTH($A75)-1)*12)+VLOOKUP(CJ$4,$DE$6:$DF$17,2)+1))*$E75</f>
        <v>0</v>
      </c>
      <c r="CK75" s="1021">
        <f>(VLOOKUP(YEAR($A75),'NY East Load Projections'!$A$4:$EO$14,((MONTH($A75)-1)*12)+VLOOKUP(CK$4,$DE$6:$DF$17,2)+1))*$E75</f>
        <v>0</v>
      </c>
      <c r="CL75" s="1021">
        <f>(VLOOKUP(YEAR($A75),'NY East Load Projections'!$A$4:$EO$14,((MONTH($A75)-1)*12)+VLOOKUP(CL$4,$DE$6:$DF$17,2)+1))*$E75</f>
        <v>0</v>
      </c>
      <c r="CM75" s="1021">
        <f>(VLOOKUP(YEAR($A75),'NY East Load Projections'!$A$4:$EO$14,((MONTH($A75)-1)*12)+VLOOKUP(CM$4,$DE$6:$DF$17,2)+1))*$E75</f>
        <v>0</v>
      </c>
      <c r="CN75" s="1021">
        <f>(VLOOKUP(YEAR($A75),'NY East Load Projections'!$A$4:$EO$14,((MONTH($A75)-1)*12)+VLOOKUP(CN$4,$DE$6:$DF$17,2)+1))*$E75</f>
        <v>0</v>
      </c>
      <c r="CO75" s="1021">
        <f>(VLOOKUP(YEAR($A75),'NY East Load Projections'!$A$4:$EO$14,((MONTH($A75)-1)*12)+VLOOKUP(CO$4,$DE$6:$DF$17,2)+1))*$E75</f>
        <v>0</v>
      </c>
      <c r="CP75" s="1021">
        <f>(VLOOKUP(YEAR($A75),'NY East Load Projections'!$A$4:$EO$14,((MONTH($A75)-1)*12)+VLOOKUP(CP$4,$DE$6:$DF$17,2)+1))*$E75</f>
        <v>0</v>
      </c>
      <c r="CQ75" s="1021">
        <f>(VLOOKUP(YEAR($A75),'NY East Load Projections'!$A$4:$EO$14,((MONTH($A75)-1)*12)+VLOOKUP(CQ$4,$DE$6:$DF$17,2)+1))*$E75</f>
        <v>0</v>
      </c>
      <c r="CR75" s="1021">
        <f>(VLOOKUP(YEAR($A75),'NY East Load Projections'!$A$4:$EO$14,((MONTH($A75)-1)*12)+VLOOKUP(CR$4,$DE$6:$DF$17,2)+1))*$E75</f>
        <v>0</v>
      </c>
      <c r="CS75" s="1021">
        <f>(VLOOKUP(YEAR($A75),'NY East Load Projections'!$A$4:$EO$14,((MONTH($A75)-1)*12)+VLOOKUP(CS$4,$DE$6:$DF$17,2)+1))*$E75</f>
        <v>0</v>
      </c>
      <c r="CT75" s="1021">
        <f>(VLOOKUP(YEAR($A75),'NY East Load Projections'!$A$4:$EO$14,((MONTH($A75)-1)*12)+VLOOKUP(CT$4,$DE$6:$DF$17,2)+1))*$E75</f>
        <v>0</v>
      </c>
      <c r="CU75" s="1021">
        <f>(VLOOKUP(YEAR($A75),'NY East Load Projections'!$A$4:$EO$14,((MONTH($A75)-1)*12)+VLOOKUP(CU$4,$DE$6:$DF$17,2)+1))*$E75</f>
        <v>0</v>
      </c>
      <c r="CV75" s="1021">
        <f>(VLOOKUP(YEAR($A75),'NY East Load Projections'!$A$4:$EO$14,((MONTH($A75)-1)*12)+VLOOKUP(CV$4,$DE$6:$DF$17,2)+1))*$E75</f>
        <v>0</v>
      </c>
      <c r="CW75" s="1021">
        <f>(VLOOKUP(YEAR($A75),'NY East Load Projections'!$A$4:$EO$14,((MONTH($A75)-1)*12)+VLOOKUP(CW$4,$DE$6:$DF$17,2)+1))*$E75</f>
        <v>0</v>
      </c>
      <c r="CX75" s="1021">
        <f>(VLOOKUP(YEAR($A75),'NY East Load Projections'!$A$4:$EO$14,((MONTH($A75)-1)*12)+VLOOKUP(CX$4,$DE$6:$DF$17,2)+1))*$E75</f>
        <v>0</v>
      </c>
      <c r="CY75" s="1021">
        <f>(VLOOKUP(YEAR($A75),'NY East Load Projections'!$A$4:$EO$14,((MONTH($A75)-1)*12)+VLOOKUP(CY$4,$DE$6:$DF$17,2)+1))*$E75</f>
        <v>0</v>
      </c>
      <c r="CZ75" s="1021">
        <f>(VLOOKUP(YEAR($A75),'NY East Load Projections'!$A$4:$EO$14,((MONTH($A75)-1)*12)+VLOOKUP(CZ$4,$DE$6:$DF$17,2)+1))*$E75</f>
        <v>0</v>
      </c>
      <c r="DA75" s="1021">
        <f>(VLOOKUP(YEAR($A75),'NY East Load Projections'!$A$4:$EO$14,((MONTH($A75)-1)*12)+VLOOKUP(DA$4,$DE$6:$DF$17,2)+1))*$E75</f>
        <v>0</v>
      </c>
      <c r="DB75" s="1021">
        <f>(VLOOKUP(YEAR($A75),'NY East Load Projections'!$A$4:$EO$14,((MONTH($A75)-1)*12)+VLOOKUP(DB$4,$DE$6:$DF$17,2)+1))*$E75</f>
        <v>0</v>
      </c>
      <c r="DH75" s="1009">
        <f t="shared" si="3"/>
        <v>-78605.24714349478</v>
      </c>
      <c r="DI75">
        <f ca="1">CALC!J95</f>
        <v>0.61555482530266015</v>
      </c>
      <c r="DJ75" s="1032">
        <f t="shared" ca="1" si="4"/>
        <v>-48385.839173286353</v>
      </c>
    </row>
    <row r="76" spans="1:114" x14ac:dyDescent="0.25">
      <c r="A76" s="244">
        <v>39022</v>
      </c>
      <c r="B76" s="13">
        <v>21</v>
      </c>
      <c r="C76" s="210">
        <v>4</v>
      </c>
      <c r="D76" s="210">
        <v>4</v>
      </c>
      <c r="E76" s="210">
        <v>1</v>
      </c>
      <c r="F76" s="13">
        <v>30</v>
      </c>
      <c r="H76" s="1021">
        <f>(VLOOKUP(YEAR($A76),'NY East Load Projections'!$A$4:$EO$14,((MONTH($A76)-1)*12)+VLOOKUP(H$4,$DE$6:$DF$17,2)+1))*$B76</f>
        <v>-1913.8983564451166</v>
      </c>
      <c r="I76" s="1021">
        <f>(VLOOKUP(YEAR($A76),'NY East Load Projections'!$A$4:$EO$14,((MONTH($A76)-1)*12)+VLOOKUP(I$4,$DE$6:$DF$17,2)+1))*$B76</f>
        <v>-1913.8983564451166</v>
      </c>
      <c r="J76" s="1021">
        <f>(VLOOKUP(YEAR($A76),'NY East Load Projections'!$A$4:$EO$14,((MONTH($A76)-1)*12)+VLOOKUP(J$4,$DE$6:$DF$17,2)+1))*$B76</f>
        <v>-1913.8983564451166</v>
      </c>
      <c r="K76" s="1021">
        <f>(VLOOKUP(YEAR($A76),'NY East Load Projections'!$A$4:$EO$14,((MONTH($A76)-1)*12)+VLOOKUP(K$4,$DE$6:$DF$17,2)+1))*$B76</f>
        <v>-1913.8983564451166</v>
      </c>
      <c r="L76" s="1021">
        <f>(VLOOKUP(YEAR($A76),'NY East Load Projections'!$A$4:$EO$14,((MONTH($A76)-1)*12)+VLOOKUP(L$4,$DE$6:$DF$17,2)+1))*$B76</f>
        <v>-2089.7988909261448</v>
      </c>
      <c r="M76" s="1021">
        <f>(VLOOKUP(YEAR($A76),'NY East Load Projections'!$A$4:$EO$14,((MONTH($A76)-1)*12)+VLOOKUP(M$4,$DE$6:$DF$17,2)+1))*$B76</f>
        <v>-2089.7988909261448</v>
      </c>
      <c r="N76" s="1021">
        <f>(VLOOKUP(YEAR($A76),'NY East Load Projections'!$A$4:$EO$14,((MONTH($A76)-1)*12)+VLOOKUP(N$4,$DE$6:$DF$17,2)+1))*$B76</f>
        <v>-2089.7988909261448</v>
      </c>
      <c r="O76" s="1021">
        <f>(VLOOKUP(YEAR($A76),'NY East Load Projections'!$A$4:$EO$14,((MONTH($A76)-1)*12)+VLOOKUP(O$4,$DE$6:$DF$17,2)+1))*$B76</f>
        <v>-2089.7988909261448</v>
      </c>
      <c r="P76" s="1021">
        <f>(VLOOKUP(YEAR($A76),'NY East Load Projections'!$A$4:$EO$14,((MONTH($A76)-1)*12)+VLOOKUP(P$4,$DE$6:$DF$17,2)+1))*$B76</f>
        <v>-2282.4300461756234</v>
      </c>
      <c r="Q76" s="1021">
        <f>(VLOOKUP(YEAR($A76),'NY East Load Projections'!$A$4:$EO$14,((MONTH($A76)-1)*12)+VLOOKUP(Q$4,$DE$6:$DF$17,2)+1))*$B76</f>
        <v>-2282.4300461756234</v>
      </c>
      <c r="R76" s="1021">
        <f>(VLOOKUP(YEAR($A76),'NY East Load Projections'!$A$4:$EO$14,((MONTH($A76)-1)*12)+VLOOKUP(R$4,$DE$6:$DF$17,2)+1))*$B76</f>
        <v>-2282.4300461756234</v>
      </c>
      <c r="S76" s="1021">
        <f>(VLOOKUP(YEAR($A76),'NY East Load Projections'!$A$4:$EO$14,((MONTH($A76)-1)*12)+VLOOKUP(S$4,$DE$6:$DF$17,2)+1))*$B76</f>
        <v>-2282.4300461756234</v>
      </c>
      <c r="T76" s="1021">
        <f>(VLOOKUP(YEAR($A76),'NY East Load Projections'!$A$4:$EO$14,((MONTH($A76)-1)*12)+VLOOKUP(T$4,$DE$6:$DF$17,2)+1))*$B76</f>
        <v>-2342.1950669438847</v>
      </c>
      <c r="U76" s="1021">
        <f>(VLOOKUP(YEAR($A76),'NY East Load Projections'!$A$4:$EO$14,((MONTH($A76)-1)*12)+VLOOKUP(U$4,$DE$6:$DF$17,2)+1))*$B76</f>
        <v>-2342.1950669438847</v>
      </c>
      <c r="V76" s="1021">
        <f>(VLOOKUP(YEAR($A76),'NY East Load Projections'!$A$4:$EO$14,((MONTH($A76)-1)*12)+VLOOKUP(V$4,$DE$6:$DF$17,2)+1))*$B76</f>
        <v>-2342.1950669438847</v>
      </c>
      <c r="W76" s="1021">
        <f>(VLOOKUP(YEAR($A76),'NY East Load Projections'!$A$4:$EO$14,((MONTH($A76)-1)*12)+VLOOKUP(W$4,$DE$6:$DF$17,2)+1))*$B76</f>
        <v>-2342.1950669438847</v>
      </c>
      <c r="X76" s="1021">
        <f>(VLOOKUP(YEAR($A76),'NY East Load Projections'!$A$4:$EO$14,((MONTH($A76)-1)*12)+VLOOKUP(X$4,$DE$6:$DF$17,2)+1))*$B76</f>
        <v>-2221.2533440327411</v>
      </c>
      <c r="Y76" s="1021">
        <f>(VLOOKUP(YEAR($A76),'NY East Load Projections'!$A$4:$EO$14,((MONTH($A76)-1)*12)+VLOOKUP(Y$4,$DE$6:$DF$17,2)+1))*$B76</f>
        <v>-2221.2533440327411</v>
      </c>
      <c r="Z76" s="1021">
        <f>(VLOOKUP(YEAR($A76),'NY East Load Projections'!$A$4:$EO$14,((MONTH($A76)-1)*12)+VLOOKUP(Z$4,$DE$6:$DF$17,2)+1))*$B76</f>
        <v>-2221.2533440327411</v>
      </c>
      <c r="AA76" s="1021">
        <f>(VLOOKUP(YEAR($A76),'NY East Load Projections'!$A$4:$EO$14,((MONTH($A76)-1)*12)+VLOOKUP(AA$4,$DE$6:$DF$17,2)+1))*$B76</f>
        <v>-2221.2533440327411</v>
      </c>
      <c r="AB76" s="1021">
        <f>(VLOOKUP(YEAR($A76),'NY East Load Projections'!$A$4:$EO$14,((MONTH($A76)-1)*12)+VLOOKUP(AB$4,$DE$6:$DF$17,2)+1))*$B76</f>
        <v>-2002.8667985456182</v>
      </c>
      <c r="AC76" s="1021">
        <f>(VLOOKUP(YEAR($A76),'NY East Load Projections'!$A$4:$EO$14,((MONTH($A76)-1)*12)+VLOOKUP(AC$4,$DE$6:$DF$17,2)+1))*$B76</f>
        <v>-2002.8667985456182</v>
      </c>
      <c r="AD76" s="1021">
        <f>(VLOOKUP(YEAR($A76),'NY East Load Projections'!$A$4:$EO$14,((MONTH($A76)-1)*12)+VLOOKUP(AD$4,$DE$6:$DF$17,2)+1))*$B76</f>
        <v>-2002.8667985456182</v>
      </c>
      <c r="AE76" s="1021">
        <f>(VLOOKUP(YEAR($A76),'NY East Load Projections'!$A$4:$EO$14,((MONTH($A76)-1)*12)+VLOOKUP(AE$4,$DE$6:$DF$17,2)+1))*$B76</f>
        <v>-2002.8667985456182</v>
      </c>
      <c r="AF76" s="1021"/>
      <c r="AG76" s="1021">
        <f>(VLOOKUP(YEAR($A76),'NY East Load Projections'!$A$4:$EO$14,((MONTH($A76)-1)*12)+VLOOKUP(AG$4,$DE$6:$DF$17,2)+1))*$C76</f>
        <v>-381.68562278346462</v>
      </c>
      <c r="AH76" s="1021">
        <f>(VLOOKUP(YEAR($A76),'NY East Load Projections'!$A$4:$EO$14,((MONTH($A76)-1)*12)+VLOOKUP(AH$4,$DE$6:$DF$17,2)+1))*$C76</f>
        <v>-381.68562278346462</v>
      </c>
      <c r="AI76" s="1021">
        <f>(VLOOKUP(YEAR($A76),'NY East Load Projections'!$A$4:$EO$14,((MONTH($A76)-1)*12)+VLOOKUP(AI$4,$DE$6:$DF$17,2)+1))*$C76</f>
        <v>-381.68562278346462</v>
      </c>
      <c r="AJ76" s="1021">
        <f>(VLOOKUP(YEAR($A76),'NY East Load Projections'!$A$4:$EO$14,((MONTH($A76)-1)*12)+VLOOKUP(AJ$4,$DE$6:$DF$17,2)+1))*$C76</f>
        <v>-381.68562278346462</v>
      </c>
      <c r="AK76" s="1021">
        <f>(VLOOKUP(YEAR($A76),'NY East Load Projections'!$A$4:$EO$14,((MONTH($A76)-1)*12)+VLOOKUP(AK$4,$DE$6:$DF$17,2)+1))*$C76</f>
        <v>-387.33697417464981</v>
      </c>
      <c r="AL76" s="1021">
        <f>(VLOOKUP(YEAR($A76),'NY East Load Projections'!$A$4:$EO$14,((MONTH($A76)-1)*12)+VLOOKUP(AL$4,$DE$6:$DF$17,2)+1))*$C76</f>
        <v>-387.33697417464981</v>
      </c>
      <c r="AM76" s="1021">
        <f>(VLOOKUP(YEAR($A76),'NY East Load Projections'!$A$4:$EO$14,((MONTH($A76)-1)*12)+VLOOKUP(AM$4,$DE$6:$DF$17,2)+1))*$C76</f>
        <v>-387.33697417464981</v>
      </c>
      <c r="AN76" s="1021">
        <f>(VLOOKUP(YEAR($A76),'NY East Load Projections'!$A$4:$EO$14,((MONTH($A76)-1)*12)+VLOOKUP(AN$4,$DE$6:$DF$17,2)+1))*$C76</f>
        <v>-387.33697417464981</v>
      </c>
      <c r="AO76" s="1021">
        <f>(VLOOKUP(YEAR($A76),'NY East Load Projections'!$A$4:$EO$14,((MONTH($A76)-1)*12)+VLOOKUP(AO$4,$DE$6:$DF$17,2)+1))*$C76</f>
        <v>-412.94002010617891</v>
      </c>
      <c r="AP76" s="1021">
        <f>(VLOOKUP(YEAR($A76),'NY East Load Projections'!$A$4:$EO$14,((MONTH($A76)-1)*12)+VLOOKUP(AP$4,$DE$6:$DF$17,2)+1))*$C76</f>
        <v>-412.94002010617891</v>
      </c>
      <c r="AQ76" s="1021">
        <f>(VLOOKUP(YEAR($A76),'NY East Load Projections'!$A$4:$EO$14,((MONTH($A76)-1)*12)+VLOOKUP(AQ$4,$DE$6:$DF$17,2)+1))*$C76</f>
        <v>-412.94002010617891</v>
      </c>
      <c r="AR76" s="1021">
        <f>(VLOOKUP(YEAR($A76),'NY East Load Projections'!$A$4:$EO$14,((MONTH($A76)-1)*12)+VLOOKUP(AR$4,$DE$6:$DF$17,2)+1))*$C76</f>
        <v>-412.94002010617891</v>
      </c>
      <c r="AS76" s="1021">
        <f>(VLOOKUP(YEAR($A76),'NY East Load Projections'!$A$4:$EO$14,((MONTH($A76)-1)*12)+VLOOKUP(AS$4,$DE$6:$DF$17,2)+1))*$C76</f>
        <v>-423.50310811627799</v>
      </c>
      <c r="AT76" s="1021">
        <f>(VLOOKUP(YEAR($A76),'NY East Load Projections'!$A$4:$EO$14,((MONTH($A76)-1)*12)+VLOOKUP(AT$4,$DE$6:$DF$17,2)+1))*$C76</f>
        <v>-423.50310811627799</v>
      </c>
      <c r="AU76" s="1021">
        <f>(VLOOKUP(YEAR($A76),'NY East Load Projections'!$A$4:$EO$14,((MONTH($A76)-1)*12)+VLOOKUP(AU$4,$DE$6:$DF$17,2)+1))*$C76</f>
        <v>-423.50310811627799</v>
      </c>
      <c r="AV76" s="1021">
        <f>(VLOOKUP(YEAR($A76),'NY East Load Projections'!$A$4:$EO$14,((MONTH($A76)-1)*12)+VLOOKUP(AV$4,$DE$6:$DF$17,2)+1))*$C76</f>
        <v>-423.50310811627799</v>
      </c>
      <c r="AW76" s="1021">
        <f>(VLOOKUP(YEAR($A76),'NY East Load Projections'!$A$4:$EO$14,((MONTH($A76)-1)*12)+VLOOKUP(AW$4,$DE$6:$DF$17,2)+1))*$C76</f>
        <v>-404.43120322616653</v>
      </c>
      <c r="AX76" s="1021">
        <f>(VLOOKUP(YEAR($A76),'NY East Load Projections'!$A$4:$EO$14,((MONTH($A76)-1)*12)+VLOOKUP(AX$4,$DE$6:$DF$17,2)+1))*$C76</f>
        <v>-404.43120322616653</v>
      </c>
      <c r="AY76" s="1021">
        <f>(VLOOKUP(YEAR($A76),'NY East Load Projections'!$A$4:$EO$14,((MONTH($A76)-1)*12)+VLOOKUP(AY$4,$DE$6:$DF$17,2)+1))*$C76</f>
        <v>-404.43120322616653</v>
      </c>
      <c r="AZ76" s="1021">
        <f>(VLOOKUP(YEAR($A76),'NY East Load Projections'!$A$4:$EO$14,((MONTH($A76)-1)*12)+VLOOKUP(AZ$4,$DE$6:$DF$17,2)+1))*$C76</f>
        <v>-404.43120322616653</v>
      </c>
      <c r="BA76" s="1021">
        <f>(VLOOKUP(YEAR($A76),'NY East Load Projections'!$A$4:$EO$14,((MONTH($A76)-1)*12)+VLOOKUP(BA$4,$DE$6:$DF$17,2)+1))*$C76</f>
        <v>-387.29623555808291</v>
      </c>
      <c r="BB76" s="1021">
        <f>(VLOOKUP(YEAR($A76),'NY East Load Projections'!$A$4:$EO$14,((MONTH($A76)-1)*12)+VLOOKUP(BB$4,$DE$6:$DF$17,2)+1))*$C76</f>
        <v>-387.29623555808291</v>
      </c>
      <c r="BC76" s="1021">
        <f>(VLOOKUP(YEAR($A76),'NY East Load Projections'!$A$4:$EO$14,((MONTH($A76)-1)*12)+VLOOKUP(BC$4,$DE$6:$DF$17,2)+1))*$C76</f>
        <v>-387.29623555808291</v>
      </c>
      <c r="BD76" s="1021">
        <f>(VLOOKUP(YEAR($A76),'NY East Load Projections'!$A$4:$EO$14,((MONTH($A76)-1)*12)+VLOOKUP(BD$4,$DE$6:$DF$17,2)+1))*$C76</f>
        <v>-387.29623555808291</v>
      </c>
      <c r="BE76" s="1021"/>
      <c r="BF76" s="1021">
        <f>(VLOOKUP(YEAR($A76),'NY East Load Projections'!$A$4:$EO$14,((MONTH($A76)-1)*12)+VLOOKUP(BF$4,$DE$6:$DF$17,2)+1))*$D76</f>
        <v>-381.68562278346462</v>
      </c>
      <c r="BG76" s="1021">
        <f>(VLOOKUP(YEAR($A76),'NY East Load Projections'!$A$4:$EO$14,((MONTH($A76)-1)*12)+VLOOKUP(BG$4,$DE$6:$DF$17,2)+1))*$D76</f>
        <v>-381.68562278346462</v>
      </c>
      <c r="BH76" s="1021">
        <f>(VLOOKUP(YEAR($A76),'NY East Load Projections'!$A$4:$EO$14,((MONTH($A76)-1)*12)+VLOOKUP(BH$4,$DE$6:$DF$17,2)+1))*$D76</f>
        <v>-381.68562278346462</v>
      </c>
      <c r="BI76" s="1021">
        <f>(VLOOKUP(YEAR($A76),'NY East Load Projections'!$A$4:$EO$14,((MONTH($A76)-1)*12)+VLOOKUP(BI$4,$DE$6:$DF$17,2)+1))*$D76</f>
        <v>-381.68562278346462</v>
      </c>
      <c r="BJ76" s="1021">
        <f>(VLOOKUP(YEAR($A76),'NY East Load Projections'!$A$4:$EO$14,((MONTH($A76)-1)*12)+VLOOKUP(BJ$4,$DE$6:$DF$17,2)+1))*$D76</f>
        <v>-387.33697417464981</v>
      </c>
      <c r="BK76" s="1021">
        <f>(VLOOKUP(YEAR($A76),'NY East Load Projections'!$A$4:$EO$14,((MONTH($A76)-1)*12)+VLOOKUP(BK$4,$DE$6:$DF$17,2)+1))*$D76</f>
        <v>-387.33697417464981</v>
      </c>
      <c r="BL76" s="1021">
        <f>(VLOOKUP(YEAR($A76),'NY East Load Projections'!$A$4:$EO$14,((MONTH($A76)-1)*12)+VLOOKUP(BL$4,$DE$6:$DF$17,2)+1))*$D76</f>
        <v>-387.33697417464981</v>
      </c>
      <c r="BM76" s="1021">
        <f>(VLOOKUP(YEAR($A76),'NY East Load Projections'!$A$4:$EO$14,((MONTH($A76)-1)*12)+VLOOKUP(BM$4,$DE$6:$DF$17,2)+1))*$D76</f>
        <v>-387.33697417464981</v>
      </c>
      <c r="BN76" s="1021">
        <f>(VLOOKUP(YEAR($A76),'NY East Load Projections'!$A$4:$EO$14,((MONTH($A76)-1)*12)+VLOOKUP(BN$4,$DE$6:$DF$17,2)+1))*$D76</f>
        <v>-412.94002010617891</v>
      </c>
      <c r="BO76" s="1021">
        <f>(VLOOKUP(YEAR($A76),'NY East Load Projections'!$A$4:$EO$14,((MONTH($A76)-1)*12)+VLOOKUP(BO$4,$DE$6:$DF$17,2)+1))*$D76</f>
        <v>-412.94002010617891</v>
      </c>
      <c r="BP76" s="1021">
        <f>(VLOOKUP(YEAR($A76),'NY East Load Projections'!$A$4:$EO$14,((MONTH($A76)-1)*12)+VLOOKUP(BP$4,$DE$6:$DF$17,2)+1))*$D76</f>
        <v>-412.94002010617891</v>
      </c>
      <c r="BQ76" s="1021">
        <f>(VLOOKUP(YEAR($A76),'NY East Load Projections'!$A$4:$EO$14,((MONTH($A76)-1)*12)+VLOOKUP(BQ$4,$DE$6:$DF$17,2)+1))*$D76</f>
        <v>-412.94002010617891</v>
      </c>
      <c r="BR76" s="1021">
        <f>(VLOOKUP(YEAR($A76),'NY East Load Projections'!$A$4:$EO$14,((MONTH($A76)-1)*12)+VLOOKUP(BR$4,$DE$6:$DF$17,2)+1))*$D76</f>
        <v>-423.50310811627799</v>
      </c>
      <c r="BS76" s="1021">
        <f>(VLOOKUP(YEAR($A76),'NY East Load Projections'!$A$4:$EO$14,((MONTH($A76)-1)*12)+VLOOKUP(BS$4,$DE$6:$DF$17,2)+1))*$D76</f>
        <v>-423.50310811627799</v>
      </c>
      <c r="BT76" s="1021">
        <f>(VLOOKUP(YEAR($A76),'NY East Load Projections'!$A$4:$EO$14,((MONTH($A76)-1)*12)+VLOOKUP(BT$4,$DE$6:$DF$17,2)+1))*$D76</f>
        <v>-423.50310811627799</v>
      </c>
      <c r="BU76" s="1021">
        <f>(VLOOKUP(YEAR($A76),'NY East Load Projections'!$A$4:$EO$14,((MONTH($A76)-1)*12)+VLOOKUP(BU$4,$DE$6:$DF$17,2)+1))*$D76</f>
        <v>-423.50310811627799</v>
      </c>
      <c r="BV76" s="1021">
        <f>(VLOOKUP(YEAR($A76),'NY East Load Projections'!$A$4:$EO$14,((MONTH($A76)-1)*12)+VLOOKUP(BV$4,$DE$6:$DF$17,2)+1))*$D76</f>
        <v>-404.43120322616653</v>
      </c>
      <c r="BW76" s="1021">
        <f>(VLOOKUP(YEAR($A76),'NY East Load Projections'!$A$4:$EO$14,((MONTH($A76)-1)*12)+VLOOKUP(BW$4,$DE$6:$DF$17,2)+1))*$D76</f>
        <v>-404.43120322616653</v>
      </c>
      <c r="BX76" s="1021">
        <f>(VLOOKUP(YEAR($A76),'NY East Load Projections'!$A$4:$EO$14,((MONTH($A76)-1)*12)+VLOOKUP(BX$4,$DE$6:$DF$17,2)+1))*$D76</f>
        <v>-404.43120322616653</v>
      </c>
      <c r="BY76" s="1021">
        <f>(VLOOKUP(YEAR($A76),'NY East Load Projections'!$A$4:$EO$14,((MONTH($A76)-1)*12)+VLOOKUP(BY$4,$DE$6:$DF$17,2)+1))*$D76</f>
        <v>-404.43120322616653</v>
      </c>
      <c r="BZ76" s="1021">
        <f>(VLOOKUP(YEAR($A76),'NY East Load Projections'!$A$4:$EO$14,((MONTH($A76)-1)*12)+VLOOKUP(BZ$4,$DE$6:$DF$17,2)+1))*$D76</f>
        <v>-387.29623555808291</v>
      </c>
      <c r="CA76" s="1021">
        <f>(VLOOKUP(YEAR($A76),'NY East Load Projections'!$A$4:$EO$14,((MONTH($A76)-1)*12)+VLOOKUP(CA$4,$DE$6:$DF$17,2)+1))*$D76</f>
        <v>-387.29623555808291</v>
      </c>
      <c r="CB76" s="1021">
        <f>(VLOOKUP(YEAR($A76),'NY East Load Projections'!$A$4:$EO$14,((MONTH($A76)-1)*12)+VLOOKUP(CB$4,$DE$6:$DF$17,2)+1))*$D76</f>
        <v>-387.29623555808291</v>
      </c>
      <c r="CC76" s="1021">
        <f>(VLOOKUP(YEAR($A76),'NY East Load Projections'!$A$4:$EO$14,((MONTH($A76)-1)*12)+VLOOKUP(CC$4,$DE$6:$DF$17,2)+1))*$D76</f>
        <v>-387.29623555808291</v>
      </c>
      <c r="CE76" s="1021">
        <f>(VLOOKUP(YEAR($A76),'NY East Load Projections'!$A$4:$EO$14,((MONTH($A76)-1)*12)+VLOOKUP(CE$4,$DE$6:$DF$17,2)+1))*$E76</f>
        <v>-95.421405695866156</v>
      </c>
      <c r="CF76" s="1021">
        <f>(VLOOKUP(YEAR($A76),'NY East Load Projections'!$A$4:$EO$14,((MONTH($A76)-1)*12)+VLOOKUP(CF$4,$DE$6:$DF$17,2)+1))*$E76</f>
        <v>-95.421405695866156</v>
      </c>
      <c r="CG76" s="1021">
        <f>(VLOOKUP(YEAR($A76),'NY East Load Projections'!$A$4:$EO$14,((MONTH($A76)-1)*12)+VLOOKUP(CG$4,$DE$6:$DF$17,2)+1))*$E76</f>
        <v>-95.421405695866156</v>
      </c>
      <c r="CH76" s="1021">
        <f>(VLOOKUP(YEAR($A76),'NY East Load Projections'!$A$4:$EO$14,((MONTH($A76)-1)*12)+VLOOKUP(CH$4,$DE$6:$DF$17,2)+1))*$E76</f>
        <v>-95.421405695866156</v>
      </c>
      <c r="CI76" s="1021">
        <f>(VLOOKUP(YEAR($A76),'NY East Load Projections'!$A$4:$EO$14,((MONTH($A76)-1)*12)+VLOOKUP(CI$4,$DE$6:$DF$17,2)+1))*$E76</f>
        <v>-96.834243543662453</v>
      </c>
      <c r="CJ76" s="1021">
        <f>(VLOOKUP(YEAR($A76),'NY East Load Projections'!$A$4:$EO$14,((MONTH($A76)-1)*12)+VLOOKUP(CJ$4,$DE$6:$DF$17,2)+1))*$E76</f>
        <v>-96.834243543662453</v>
      </c>
      <c r="CK76" s="1021">
        <f>(VLOOKUP(YEAR($A76),'NY East Load Projections'!$A$4:$EO$14,((MONTH($A76)-1)*12)+VLOOKUP(CK$4,$DE$6:$DF$17,2)+1))*$E76</f>
        <v>-96.834243543662453</v>
      </c>
      <c r="CL76" s="1021">
        <f>(VLOOKUP(YEAR($A76),'NY East Load Projections'!$A$4:$EO$14,((MONTH($A76)-1)*12)+VLOOKUP(CL$4,$DE$6:$DF$17,2)+1))*$E76</f>
        <v>-96.834243543662453</v>
      </c>
      <c r="CM76" s="1021">
        <f>(VLOOKUP(YEAR($A76),'NY East Load Projections'!$A$4:$EO$14,((MONTH($A76)-1)*12)+VLOOKUP(CM$4,$DE$6:$DF$17,2)+1))*$E76</f>
        <v>-103.23500502654473</v>
      </c>
      <c r="CN76" s="1021">
        <f>(VLOOKUP(YEAR($A76),'NY East Load Projections'!$A$4:$EO$14,((MONTH($A76)-1)*12)+VLOOKUP(CN$4,$DE$6:$DF$17,2)+1))*$E76</f>
        <v>-103.23500502654473</v>
      </c>
      <c r="CO76" s="1021">
        <f>(VLOOKUP(YEAR($A76),'NY East Load Projections'!$A$4:$EO$14,((MONTH($A76)-1)*12)+VLOOKUP(CO$4,$DE$6:$DF$17,2)+1))*$E76</f>
        <v>-103.23500502654473</v>
      </c>
      <c r="CP76" s="1021">
        <f>(VLOOKUP(YEAR($A76),'NY East Load Projections'!$A$4:$EO$14,((MONTH($A76)-1)*12)+VLOOKUP(CP$4,$DE$6:$DF$17,2)+1))*$E76</f>
        <v>-103.23500502654473</v>
      </c>
      <c r="CQ76" s="1021">
        <f>(VLOOKUP(YEAR($A76),'NY East Load Projections'!$A$4:$EO$14,((MONTH($A76)-1)*12)+VLOOKUP(CQ$4,$DE$6:$DF$17,2)+1))*$E76</f>
        <v>-105.8757770290695</v>
      </c>
      <c r="CR76" s="1021">
        <f>(VLOOKUP(YEAR($A76),'NY East Load Projections'!$A$4:$EO$14,((MONTH($A76)-1)*12)+VLOOKUP(CR$4,$DE$6:$DF$17,2)+1))*$E76</f>
        <v>-105.8757770290695</v>
      </c>
      <c r="CS76" s="1021">
        <f>(VLOOKUP(YEAR($A76),'NY East Load Projections'!$A$4:$EO$14,((MONTH($A76)-1)*12)+VLOOKUP(CS$4,$DE$6:$DF$17,2)+1))*$E76</f>
        <v>-105.8757770290695</v>
      </c>
      <c r="CT76" s="1021">
        <f>(VLOOKUP(YEAR($A76),'NY East Load Projections'!$A$4:$EO$14,((MONTH($A76)-1)*12)+VLOOKUP(CT$4,$DE$6:$DF$17,2)+1))*$E76</f>
        <v>-105.8757770290695</v>
      </c>
      <c r="CU76" s="1021">
        <f>(VLOOKUP(YEAR($A76),'NY East Load Projections'!$A$4:$EO$14,((MONTH($A76)-1)*12)+VLOOKUP(CU$4,$DE$6:$DF$17,2)+1))*$E76</f>
        <v>-101.10780080654163</v>
      </c>
      <c r="CV76" s="1021">
        <f>(VLOOKUP(YEAR($A76),'NY East Load Projections'!$A$4:$EO$14,((MONTH($A76)-1)*12)+VLOOKUP(CV$4,$DE$6:$DF$17,2)+1))*$E76</f>
        <v>-101.10780080654163</v>
      </c>
      <c r="CW76" s="1021">
        <f>(VLOOKUP(YEAR($A76),'NY East Load Projections'!$A$4:$EO$14,((MONTH($A76)-1)*12)+VLOOKUP(CW$4,$DE$6:$DF$17,2)+1))*$E76</f>
        <v>-101.10780080654163</v>
      </c>
      <c r="CX76" s="1021">
        <f>(VLOOKUP(YEAR($A76),'NY East Load Projections'!$A$4:$EO$14,((MONTH($A76)-1)*12)+VLOOKUP(CX$4,$DE$6:$DF$17,2)+1))*$E76</f>
        <v>-101.10780080654163</v>
      </c>
      <c r="CY76" s="1021">
        <f>(VLOOKUP(YEAR($A76),'NY East Load Projections'!$A$4:$EO$14,((MONTH($A76)-1)*12)+VLOOKUP(CY$4,$DE$6:$DF$17,2)+1))*$E76</f>
        <v>-96.824058889520728</v>
      </c>
      <c r="CZ76" s="1021">
        <f>(VLOOKUP(YEAR($A76),'NY East Load Projections'!$A$4:$EO$14,((MONTH($A76)-1)*12)+VLOOKUP(CZ$4,$DE$6:$DF$17,2)+1))*$E76</f>
        <v>-96.824058889520728</v>
      </c>
      <c r="DA76" s="1021">
        <f>(VLOOKUP(YEAR($A76),'NY East Load Projections'!$A$4:$EO$14,((MONTH($A76)-1)*12)+VLOOKUP(DA$4,$DE$6:$DF$17,2)+1))*$E76</f>
        <v>-96.824058889520728</v>
      </c>
      <c r="DB76" s="1021">
        <f>(VLOOKUP(YEAR($A76),'NY East Load Projections'!$A$4:$EO$14,((MONTH($A76)-1)*12)+VLOOKUP(DB$4,$DE$6:$DF$17,2)+1))*$E76</f>
        <v>-96.824058889520728</v>
      </c>
      <c r="DH76" s="1009">
        <f t="shared" si="3"/>
        <v>-72984.508487959858</v>
      </c>
      <c r="DI76">
        <f ca="1">CALC!J96</f>
        <v>0.61181445974366278</v>
      </c>
      <c r="DJ76" s="1032">
        <f t="shared" ca="1" si="4"/>
        <v>-44652.977630217931</v>
      </c>
    </row>
    <row r="77" spans="1:114" x14ac:dyDescent="0.25">
      <c r="A77" s="244">
        <v>39052</v>
      </c>
      <c r="B77" s="13">
        <v>20</v>
      </c>
      <c r="C77" s="210">
        <v>5</v>
      </c>
      <c r="D77" s="210">
        <v>5</v>
      </c>
      <c r="E77" s="210">
        <v>1</v>
      </c>
      <c r="F77" s="13">
        <v>31</v>
      </c>
      <c r="H77" s="1021">
        <f>(VLOOKUP(YEAR($A77),'NY East Load Projections'!$A$4:$EO$14,((MONTH($A77)-1)*12)+VLOOKUP(H$4,$DE$6:$DF$17,2)+1))*$B77</f>
        <v>-1687.1391287199499</v>
      </c>
      <c r="I77" s="1021">
        <f>(VLOOKUP(YEAR($A77),'NY East Load Projections'!$A$4:$EO$14,((MONTH($A77)-1)*12)+VLOOKUP(I$4,$DE$6:$DF$17,2)+1))*$B77</f>
        <v>-1687.1391287199499</v>
      </c>
      <c r="J77" s="1021">
        <f>(VLOOKUP(YEAR($A77),'NY East Load Projections'!$A$4:$EO$14,((MONTH($A77)-1)*12)+VLOOKUP(J$4,$DE$6:$DF$17,2)+1))*$B77</f>
        <v>-1687.1391287199499</v>
      </c>
      <c r="K77" s="1021">
        <f>(VLOOKUP(YEAR($A77),'NY East Load Projections'!$A$4:$EO$14,((MONTH($A77)-1)*12)+VLOOKUP(K$4,$DE$6:$DF$17,2)+1))*$B77</f>
        <v>-1687.1391287199499</v>
      </c>
      <c r="L77" s="1021">
        <f>(VLOOKUP(YEAR($A77),'NY East Load Projections'!$A$4:$EO$14,((MONTH($A77)-1)*12)+VLOOKUP(L$4,$DE$6:$DF$17,2)+1))*$B77</f>
        <v>-1850.3906430335742</v>
      </c>
      <c r="M77" s="1021">
        <f>(VLOOKUP(YEAR($A77),'NY East Load Projections'!$A$4:$EO$14,((MONTH($A77)-1)*12)+VLOOKUP(M$4,$DE$6:$DF$17,2)+1))*$B77</f>
        <v>-1850.3906430335742</v>
      </c>
      <c r="N77" s="1021">
        <f>(VLOOKUP(YEAR($A77),'NY East Load Projections'!$A$4:$EO$14,((MONTH($A77)-1)*12)+VLOOKUP(N$4,$DE$6:$DF$17,2)+1))*$B77</f>
        <v>-1850.3906430335742</v>
      </c>
      <c r="O77" s="1021">
        <f>(VLOOKUP(YEAR($A77),'NY East Load Projections'!$A$4:$EO$14,((MONTH($A77)-1)*12)+VLOOKUP(O$4,$DE$6:$DF$17,2)+1))*$B77</f>
        <v>-1850.3906430335742</v>
      </c>
      <c r="P77" s="1021">
        <f>(VLOOKUP(YEAR($A77),'NY East Load Projections'!$A$4:$EO$14,((MONTH($A77)-1)*12)+VLOOKUP(P$4,$DE$6:$DF$17,2)+1))*$B77</f>
        <v>-1950.9524780472943</v>
      </c>
      <c r="Q77" s="1021">
        <f>(VLOOKUP(YEAR($A77),'NY East Load Projections'!$A$4:$EO$14,((MONTH($A77)-1)*12)+VLOOKUP(Q$4,$DE$6:$DF$17,2)+1))*$B77</f>
        <v>-1950.9524780472943</v>
      </c>
      <c r="R77" s="1021">
        <f>(VLOOKUP(YEAR($A77),'NY East Load Projections'!$A$4:$EO$14,((MONTH($A77)-1)*12)+VLOOKUP(R$4,$DE$6:$DF$17,2)+1))*$B77</f>
        <v>-1950.9524780472943</v>
      </c>
      <c r="S77" s="1021">
        <f>(VLOOKUP(YEAR($A77),'NY East Load Projections'!$A$4:$EO$14,((MONTH($A77)-1)*12)+VLOOKUP(S$4,$DE$6:$DF$17,2)+1))*$B77</f>
        <v>-1950.9524780472943</v>
      </c>
      <c r="T77" s="1021">
        <f>(VLOOKUP(YEAR($A77),'NY East Load Projections'!$A$4:$EO$14,((MONTH($A77)-1)*12)+VLOOKUP(T$4,$DE$6:$DF$17,2)+1))*$B77</f>
        <v>-1970.1631056416018</v>
      </c>
      <c r="U77" s="1021">
        <f>(VLOOKUP(YEAR($A77),'NY East Load Projections'!$A$4:$EO$14,((MONTH($A77)-1)*12)+VLOOKUP(U$4,$DE$6:$DF$17,2)+1))*$B77</f>
        <v>-1970.1631056416018</v>
      </c>
      <c r="V77" s="1021">
        <f>(VLOOKUP(YEAR($A77),'NY East Load Projections'!$A$4:$EO$14,((MONTH($A77)-1)*12)+VLOOKUP(V$4,$DE$6:$DF$17,2)+1))*$B77</f>
        <v>-1970.1631056416018</v>
      </c>
      <c r="W77" s="1021">
        <f>(VLOOKUP(YEAR($A77),'NY East Load Projections'!$A$4:$EO$14,((MONTH($A77)-1)*12)+VLOOKUP(W$4,$DE$6:$DF$17,2)+1))*$B77</f>
        <v>-1970.1631056416018</v>
      </c>
      <c r="X77" s="1021">
        <f>(VLOOKUP(YEAR($A77),'NY East Load Projections'!$A$4:$EO$14,((MONTH($A77)-1)*12)+VLOOKUP(X$4,$DE$6:$DF$17,2)+1))*$B77</f>
        <v>-1895.5326345027975</v>
      </c>
      <c r="Y77" s="1021">
        <f>(VLOOKUP(YEAR($A77),'NY East Load Projections'!$A$4:$EO$14,((MONTH($A77)-1)*12)+VLOOKUP(Y$4,$DE$6:$DF$17,2)+1))*$B77</f>
        <v>-1895.5326345027975</v>
      </c>
      <c r="Z77" s="1021">
        <f>(VLOOKUP(YEAR($A77),'NY East Load Projections'!$A$4:$EO$14,((MONTH($A77)-1)*12)+VLOOKUP(Z$4,$DE$6:$DF$17,2)+1))*$B77</f>
        <v>-1895.5326345027975</v>
      </c>
      <c r="AA77" s="1021">
        <f>(VLOOKUP(YEAR($A77),'NY East Load Projections'!$A$4:$EO$14,((MONTH($A77)-1)*12)+VLOOKUP(AA$4,$DE$6:$DF$17,2)+1))*$B77</f>
        <v>-1895.5326345027975</v>
      </c>
      <c r="AB77" s="1021">
        <f>(VLOOKUP(YEAR($A77),'NY East Load Projections'!$A$4:$EO$14,((MONTH($A77)-1)*12)+VLOOKUP(AB$4,$DE$6:$DF$17,2)+1))*$B77</f>
        <v>-1755.8776838189985</v>
      </c>
      <c r="AC77" s="1021">
        <f>(VLOOKUP(YEAR($A77),'NY East Load Projections'!$A$4:$EO$14,((MONTH($A77)-1)*12)+VLOOKUP(AC$4,$DE$6:$DF$17,2)+1))*$B77</f>
        <v>-1755.8776838189985</v>
      </c>
      <c r="AD77" s="1021">
        <f>(VLOOKUP(YEAR($A77),'NY East Load Projections'!$A$4:$EO$14,((MONTH($A77)-1)*12)+VLOOKUP(AD$4,$DE$6:$DF$17,2)+1))*$B77</f>
        <v>-1755.8776838189985</v>
      </c>
      <c r="AE77" s="1021">
        <f>(VLOOKUP(YEAR($A77),'NY East Load Projections'!$A$4:$EO$14,((MONTH($A77)-1)*12)+VLOOKUP(AE$4,$DE$6:$DF$17,2)+1))*$B77</f>
        <v>-1755.8776838189985</v>
      </c>
      <c r="AF77" s="1021"/>
      <c r="AG77" s="1021">
        <f>(VLOOKUP(YEAR($A77),'NY East Load Projections'!$A$4:$EO$14,((MONTH($A77)-1)*12)+VLOOKUP(AG$4,$DE$6:$DF$17,2)+1))*$C77</f>
        <v>-430.96765869319722</v>
      </c>
      <c r="AH77" s="1021">
        <f>(VLOOKUP(YEAR($A77),'NY East Load Projections'!$A$4:$EO$14,((MONTH($A77)-1)*12)+VLOOKUP(AH$4,$DE$6:$DF$17,2)+1))*$C77</f>
        <v>-430.96765869319722</v>
      </c>
      <c r="AI77" s="1021">
        <f>(VLOOKUP(YEAR($A77),'NY East Load Projections'!$A$4:$EO$14,((MONTH($A77)-1)*12)+VLOOKUP(AI$4,$DE$6:$DF$17,2)+1))*$C77</f>
        <v>-430.96765869319722</v>
      </c>
      <c r="AJ77" s="1021">
        <f>(VLOOKUP(YEAR($A77),'NY East Load Projections'!$A$4:$EO$14,((MONTH($A77)-1)*12)+VLOOKUP(AJ$4,$DE$6:$DF$17,2)+1))*$C77</f>
        <v>-430.96765869319722</v>
      </c>
      <c r="AK77" s="1021">
        <f>(VLOOKUP(YEAR($A77),'NY East Load Projections'!$A$4:$EO$14,((MONTH($A77)-1)*12)+VLOOKUP(AK$4,$DE$6:$DF$17,2)+1))*$C77</f>
        <v>-440.69679031402097</v>
      </c>
      <c r="AL77" s="1021">
        <f>(VLOOKUP(YEAR($A77),'NY East Load Projections'!$A$4:$EO$14,((MONTH($A77)-1)*12)+VLOOKUP(AL$4,$DE$6:$DF$17,2)+1))*$C77</f>
        <v>-440.69679031402097</v>
      </c>
      <c r="AM77" s="1021">
        <f>(VLOOKUP(YEAR($A77),'NY East Load Projections'!$A$4:$EO$14,((MONTH($A77)-1)*12)+VLOOKUP(AM$4,$DE$6:$DF$17,2)+1))*$C77</f>
        <v>-440.69679031402097</v>
      </c>
      <c r="AN77" s="1021">
        <f>(VLOOKUP(YEAR($A77),'NY East Load Projections'!$A$4:$EO$14,((MONTH($A77)-1)*12)+VLOOKUP(AN$4,$DE$6:$DF$17,2)+1))*$C77</f>
        <v>-440.69679031402097</v>
      </c>
      <c r="AO77" s="1021">
        <f>(VLOOKUP(YEAR($A77),'NY East Load Projections'!$A$4:$EO$14,((MONTH($A77)-1)*12)+VLOOKUP(AO$4,$DE$6:$DF$17,2)+1))*$C77</f>
        <v>-467.37833442302372</v>
      </c>
      <c r="AP77" s="1021">
        <f>(VLOOKUP(YEAR($A77),'NY East Load Projections'!$A$4:$EO$14,((MONTH($A77)-1)*12)+VLOOKUP(AP$4,$DE$6:$DF$17,2)+1))*$C77</f>
        <v>-467.37833442302372</v>
      </c>
      <c r="AQ77" s="1021">
        <f>(VLOOKUP(YEAR($A77),'NY East Load Projections'!$A$4:$EO$14,((MONTH($A77)-1)*12)+VLOOKUP(AQ$4,$DE$6:$DF$17,2)+1))*$C77</f>
        <v>-467.37833442302372</v>
      </c>
      <c r="AR77" s="1021">
        <f>(VLOOKUP(YEAR($A77),'NY East Load Projections'!$A$4:$EO$14,((MONTH($A77)-1)*12)+VLOOKUP(AR$4,$DE$6:$DF$17,2)+1))*$C77</f>
        <v>-467.37833442302372</v>
      </c>
      <c r="AS77" s="1021">
        <f>(VLOOKUP(YEAR($A77),'NY East Load Projections'!$A$4:$EO$14,((MONTH($A77)-1)*12)+VLOOKUP(AS$4,$DE$6:$DF$17,2)+1))*$C77</f>
        <v>-472.31360882443983</v>
      </c>
      <c r="AT77" s="1021">
        <f>(VLOOKUP(YEAR($A77),'NY East Load Projections'!$A$4:$EO$14,((MONTH($A77)-1)*12)+VLOOKUP(AT$4,$DE$6:$DF$17,2)+1))*$C77</f>
        <v>-472.31360882443983</v>
      </c>
      <c r="AU77" s="1021">
        <f>(VLOOKUP(YEAR($A77),'NY East Load Projections'!$A$4:$EO$14,((MONTH($A77)-1)*12)+VLOOKUP(AU$4,$DE$6:$DF$17,2)+1))*$C77</f>
        <v>-472.31360882443983</v>
      </c>
      <c r="AV77" s="1021">
        <f>(VLOOKUP(YEAR($A77),'NY East Load Projections'!$A$4:$EO$14,((MONTH($A77)-1)*12)+VLOOKUP(AV$4,$DE$6:$DF$17,2)+1))*$C77</f>
        <v>-472.31360882443983</v>
      </c>
      <c r="AW77" s="1021">
        <f>(VLOOKUP(YEAR($A77),'NY East Load Projections'!$A$4:$EO$14,((MONTH($A77)-1)*12)+VLOOKUP(AW$4,$DE$6:$DF$17,2)+1))*$C77</f>
        <v>-455.21357711806678</v>
      </c>
      <c r="AX77" s="1021">
        <f>(VLOOKUP(YEAR($A77),'NY East Load Projections'!$A$4:$EO$14,((MONTH($A77)-1)*12)+VLOOKUP(AX$4,$DE$6:$DF$17,2)+1))*$C77</f>
        <v>-455.21357711806678</v>
      </c>
      <c r="AY77" s="1021">
        <f>(VLOOKUP(YEAR($A77),'NY East Load Projections'!$A$4:$EO$14,((MONTH($A77)-1)*12)+VLOOKUP(AY$4,$DE$6:$DF$17,2)+1))*$C77</f>
        <v>-455.21357711806678</v>
      </c>
      <c r="AZ77" s="1021">
        <f>(VLOOKUP(YEAR($A77),'NY East Load Projections'!$A$4:$EO$14,((MONTH($A77)-1)*12)+VLOOKUP(AZ$4,$DE$6:$DF$17,2)+1))*$C77</f>
        <v>-455.21357711806678</v>
      </c>
      <c r="BA77" s="1021">
        <f>(VLOOKUP(YEAR($A77),'NY East Load Projections'!$A$4:$EO$14,((MONTH($A77)-1)*12)+VLOOKUP(BA$4,$DE$6:$DF$17,2)+1))*$C77</f>
        <v>-439.82011012784346</v>
      </c>
      <c r="BB77" s="1021">
        <f>(VLOOKUP(YEAR($A77),'NY East Load Projections'!$A$4:$EO$14,((MONTH($A77)-1)*12)+VLOOKUP(BB$4,$DE$6:$DF$17,2)+1))*$C77</f>
        <v>-439.82011012784346</v>
      </c>
      <c r="BC77" s="1021">
        <f>(VLOOKUP(YEAR($A77),'NY East Load Projections'!$A$4:$EO$14,((MONTH($A77)-1)*12)+VLOOKUP(BC$4,$DE$6:$DF$17,2)+1))*$C77</f>
        <v>-439.82011012784346</v>
      </c>
      <c r="BD77" s="1021">
        <f>(VLOOKUP(YEAR($A77),'NY East Load Projections'!$A$4:$EO$14,((MONTH($A77)-1)*12)+VLOOKUP(BD$4,$DE$6:$DF$17,2)+1))*$C77</f>
        <v>-439.82011012784346</v>
      </c>
      <c r="BE77" s="1021"/>
      <c r="BF77" s="1021">
        <f>(VLOOKUP(YEAR($A77),'NY East Load Projections'!$A$4:$EO$14,((MONTH($A77)-1)*12)+VLOOKUP(BF$4,$DE$6:$DF$17,2)+1))*$D77</f>
        <v>-430.96765869319722</v>
      </c>
      <c r="BG77" s="1021">
        <f>(VLOOKUP(YEAR($A77),'NY East Load Projections'!$A$4:$EO$14,((MONTH($A77)-1)*12)+VLOOKUP(BG$4,$DE$6:$DF$17,2)+1))*$D77</f>
        <v>-430.96765869319722</v>
      </c>
      <c r="BH77" s="1021">
        <f>(VLOOKUP(YEAR($A77),'NY East Load Projections'!$A$4:$EO$14,((MONTH($A77)-1)*12)+VLOOKUP(BH$4,$DE$6:$DF$17,2)+1))*$D77</f>
        <v>-430.96765869319722</v>
      </c>
      <c r="BI77" s="1021">
        <f>(VLOOKUP(YEAR($A77),'NY East Load Projections'!$A$4:$EO$14,((MONTH($A77)-1)*12)+VLOOKUP(BI$4,$DE$6:$DF$17,2)+1))*$D77</f>
        <v>-430.96765869319722</v>
      </c>
      <c r="BJ77" s="1021">
        <f>(VLOOKUP(YEAR($A77),'NY East Load Projections'!$A$4:$EO$14,((MONTH($A77)-1)*12)+VLOOKUP(BJ$4,$DE$6:$DF$17,2)+1))*$D77</f>
        <v>-440.69679031402097</v>
      </c>
      <c r="BK77" s="1021">
        <f>(VLOOKUP(YEAR($A77),'NY East Load Projections'!$A$4:$EO$14,((MONTH($A77)-1)*12)+VLOOKUP(BK$4,$DE$6:$DF$17,2)+1))*$D77</f>
        <v>-440.69679031402097</v>
      </c>
      <c r="BL77" s="1021">
        <f>(VLOOKUP(YEAR($A77),'NY East Load Projections'!$A$4:$EO$14,((MONTH($A77)-1)*12)+VLOOKUP(BL$4,$DE$6:$DF$17,2)+1))*$D77</f>
        <v>-440.69679031402097</v>
      </c>
      <c r="BM77" s="1021">
        <f>(VLOOKUP(YEAR($A77),'NY East Load Projections'!$A$4:$EO$14,((MONTH($A77)-1)*12)+VLOOKUP(BM$4,$DE$6:$DF$17,2)+1))*$D77</f>
        <v>-440.69679031402097</v>
      </c>
      <c r="BN77" s="1021">
        <f>(VLOOKUP(YEAR($A77),'NY East Load Projections'!$A$4:$EO$14,((MONTH($A77)-1)*12)+VLOOKUP(BN$4,$DE$6:$DF$17,2)+1))*$D77</f>
        <v>-467.37833442302372</v>
      </c>
      <c r="BO77" s="1021">
        <f>(VLOOKUP(YEAR($A77),'NY East Load Projections'!$A$4:$EO$14,((MONTH($A77)-1)*12)+VLOOKUP(BO$4,$DE$6:$DF$17,2)+1))*$D77</f>
        <v>-467.37833442302372</v>
      </c>
      <c r="BP77" s="1021">
        <f>(VLOOKUP(YEAR($A77),'NY East Load Projections'!$A$4:$EO$14,((MONTH($A77)-1)*12)+VLOOKUP(BP$4,$DE$6:$DF$17,2)+1))*$D77</f>
        <v>-467.37833442302372</v>
      </c>
      <c r="BQ77" s="1021">
        <f>(VLOOKUP(YEAR($A77),'NY East Load Projections'!$A$4:$EO$14,((MONTH($A77)-1)*12)+VLOOKUP(BQ$4,$DE$6:$DF$17,2)+1))*$D77</f>
        <v>-467.37833442302372</v>
      </c>
      <c r="BR77" s="1021">
        <f>(VLOOKUP(YEAR($A77),'NY East Load Projections'!$A$4:$EO$14,((MONTH($A77)-1)*12)+VLOOKUP(BR$4,$DE$6:$DF$17,2)+1))*$D77</f>
        <v>-472.31360882443983</v>
      </c>
      <c r="BS77" s="1021">
        <f>(VLOOKUP(YEAR($A77),'NY East Load Projections'!$A$4:$EO$14,((MONTH($A77)-1)*12)+VLOOKUP(BS$4,$DE$6:$DF$17,2)+1))*$D77</f>
        <v>-472.31360882443983</v>
      </c>
      <c r="BT77" s="1021">
        <f>(VLOOKUP(YEAR($A77),'NY East Load Projections'!$A$4:$EO$14,((MONTH($A77)-1)*12)+VLOOKUP(BT$4,$DE$6:$DF$17,2)+1))*$D77</f>
        <v>-472.31360882443983</v>
      </c>
      <c r="BU77" s="1021">
        <f>(VLOOKUP(YEAR($A77),'NY East Load Projections'!$A$4:$EO$14,((MONTH($A77)-1)*12)+VLOOKUP(BU$4,$DE$6:$DF$17,2)+1))*$D77</f>
        <v>-472.31360882443983</v>
      </c>
      <c r="BV77" s="1021">
        <f>(VLOOKUP(YEAR($A77),'NY East Load Projections'!$A$4:$EO$14,((MONTH($A77)-1)*12)+VLOOKUP(BV$4,$DE$6:$DF$17,2)+1))*$D77</f>
        <v>-455.21357711806678</v>
      </c>
      <c r="BW77" s="1021">
        <f>(VLOOKUP(YEAR($A77),'NY East Load Projections'!$A$4:$EO$14,((MONTH($A77)-1)*12)+VLOOKUP(BW$4,$DE$6:$DF$17,2)+1))*$D77</f>
        <v>-455.21357711806678</v>
      </c>
      <c r="BX77" s="1021">
        <f>(VLOOKUP(YEAR($A77),'NY East Load Projections'!$A$4:$EO$14,((MONTH($A77)-1)*12)+VLOOKUP(BX$4,$DE$6:$DF$17,2)+1))*$D77</f>
        <v>-455.21357711806678</v>
      </c>
      <c r="BY77" s="1021">
        <f>(VLOOKUP(YEAR($A77),'NY East Load Projections'!$A$4:$EO$14,((MONTH($A77)-1)*12)+VLOOKUP(BY$4,$DE$6:$DF$17,2)+1))*$D77</f>
        <v>-455.21357711806678</v>
      </c>
      <c r="BZ77" s="1021">
        <f>(VLOOKUP(YEAR($A77),'NY East Load Projections'!$A$4:$EO$14,((MONTH($A77)-1)*12)+VLOOKUP(BZ$4,$DE$6:$DF$17,2)+1))*$D77</f>
        <v>-439.82011012784346</v>
      </c>
      <c r="CA77" s="1021">
        <f>(VLOOKUP(YEAR($A77),'NY East Load Projections'!$A$4:$EO$14,((MONTH($A77)-1)*12)+VLOOKUP(CA$4,$DE$6:$DF$17,2)+1))*$D77</f>
        <v>-439.82011012784346</v>
      </c>
      <c r="CB77" s="1021">
        <f>(VLOOKUP(YEAR($A77),'NY East Load Projections'!$A$4:$EO$14,((MONTH($A77)-1)*12)+VLOOKUP(CB$4,$DE$6:$DF$17,2)+1))*$D77</f>
        <v>-439.82011012784346</v>
      </c>
      <c r="CC77" s="1021">
        <f>(VLOOKUP(YEAR($A77),'NY East Load Projections'!$A$4:$EO$14,((MONTH($A77)-1)*12)+VLOOKUP(CC$4,$DE$6:$DF$17,2)+1))*$D77</f>
        <v>-439.82011012784346</v>
      </c>
      <c r="CE77" s="1021">
        <f>(VLOOKUP(YEAR($A77),'NY East Load Projections'!$A$4:$EO$14,((MONTH($A77)-1)*12)+VLOOKUP(CE$4,$DE$6:$DF$17,2)+1))*$E77</f>
        <v>-86.19353173863945</v>
      </c>
      <c r="CF77" s="1021">
        <f>(VLOOKUP(YEAR($A77),'NY East Load Projections'!$A$4:$EO$14,((MONTH($A77)-1)*12)+VLOOKUP(CF$4,$DE$6:$DF$17,2)+1))*$E77</f>
        <v>-86.19353173863945</v>
      </c>
      <c r="CG77" s="1021">
        <f>(VLOOKUP(YEAR($A77),'NY East Load Projections'!$A$4:$EO$14,((MONTH($A77)-1)*12)+VLOOKUP(CG$4,$DE$6:$DF$17,2)+1))*$E77</f>
        <v>-86.19353173863945</v>
      </c>
      <c r="CH77" s="1021">
        <f>(VLOOKUP(YEAR($A77),'NY East Load Projections'!$A$4:$EO$14,((MONTH($A77)-1)*12)+VLOOKUP(CH$4,$DE$6:$DF$17,2)+1))*$E77</f>
        <v>-86.19353173863945</v>
      </c>
      <c r="CI77" s="1021">
        <f>(VLOOKUP(YEAR($A77),'NY East Load Projections'!$A$4:$EO$14,((MONTH($A77)-1)*12)+VLOOKUP(CI$4,$DE$6:$DF$17,2)+1))*$E77</f>
        <v>-88.139358062804192</v>
      </c>
      <c r="CJ77" s="1021">
        <f>(VLOOKUP(YEAR($A77),'NY East Load Projections'!$A$4:$EO$14,((MONTH($A77)-1)*12)+VLOOKUP(CJ$4,$DE$6:$DF$17,2)+1))*$E77</f>
        <v>-88.139358062804192</v>
      </c>
      <c r="CK77" s="1021">
        <f>(VLOOKUP(YEAR($A77),'NY East Load Projections'!$A$4:$EO$14,((MONTH($A77)-1)*12)+VLOOKUP(CK$4,$DE$6:$DF$17,2)+1))*$E77</f>
        <v>-88.139358062804192</v>
      </c>
      <c r="CL77" s="1021">
        <f>(VLOOKUP(YEAR($A77),'NY East Load Projections'!$A$4:$EO$14,((MONTH($A77)-1)*12)+VLOOKUP(CL$4,$DE$6:$DF$17,2)+1))*$E77</f>
        <v>-88.139358062804192</v>
      </c>
      <c r="CM77" s="1021">
        <f>(VLOOKUP(YEAR($A77),'NY East Load Projections'!$A$4:$EO$14,((MONTH($A77)-1)*12)+VLOOKUP(CM$4,$DE$6:$DF$17,2)+1))*$E77</f>
        <v>-93.475666884604749</v>
      </c>
      <c r="CN77" s="1021">
        <f>(VLOOKUP(YEAR($A77),'NY East Load Projections'!$A$4:$EO$14,((MONTH($A77)-1)*12)+VLOOKUP(CN$4,$DE$6:$DF$17,2)+1))*$E77</f>
        <v>-93.475666884604749</v>
      </c>
      <c r="CO77" s="1021">
        <f>(VLOOKUP(YEAR($A77),'NY East Load Projections'!$A$4:$EO$14,((MONTH($A77)-1)*12)+VLOOKUP(CO$4,$DE$6:$DF$17,2)+1))*$E77</f>
        <v>-93.475666884604749</v>
      </c>
      <c r="CP77" s="1021">
        <f>(VLOOKUP(YEAR($A77),'NY East Load Projections'!$A$4:$EO$14,((MONTH($A77)-1)*12)+VLOOKUP(CP$4,$DE$6:$DF$17,2)+1))*$E77</f>
        <v>-93.475666884604749</v>
      </c>
      <c r="CQ77" s="1021">
        <f>(VLOOKUP(YEAR($A77),'NY East Load Projections'!$A$4:$EO$14,((MONTH($A77)-1)*12)+VLOOKUP(CQ$4,$DE$6:$DF$17,2)+1))*$E77</f>
        <v>-94.462721764887959</v>
      </c>
      <c r="CR77" s="1021">
        <f>(VLOOKUP(YEAR($A77),'NY East Load Projections'!$A$4:$EO$14,((MONTH($A77)-1)*12)+VLOOKUP(CR$4,$DE$6:$DF$17,2)+1))*$E77</f>
        <v>-94.462721764887959</v>
      </c>
      <c r="CS77" s="1021">
        <f>(VLOOKUP(YEAR($A77),'NY East Load Projections'!$A$4:$EO$14,((MONTH($A77)-1)*12)+VLOOKUP(CS$4,$DE$6:$DF$17,2)+1))*$E77</f>
        <v>-94.462721764887959</v>
      </c>
      <c r="CT77" s="1021">
        <f>(VLOOKUP(YEAR($A77),'NY East Load Projections'!$A$4:$EO$14,((MONTH($A77)-1)*12)+VLOOKUP(CT$4,$DE$6:$DF$17,2)+1))*$E77</f>
        <v>-94.462721764887959</v>
      </c>
      <c r="CU77" s="1021">
        <f>(VLOOKUP(YEAR($A77),'NY East Load Projections'!$A$4:$EO$14,((MONTH($A77)-1)*12)+VLOOKUP(CU$4,$DE$6:$DF$17,2)+1))*$E77</f>
        <v>-91.042715423613359</v>
      </c>
      <c r="CV77" s="1021">
        <f>(VLOOKUP(YEAR($A77),'NY East Load Projections'!$A$4:$EO$14,((MONTH($A77)-1)*12)+VLOOKUP(CV$4,$DE$6:$DF$17,2)+1))*$E77</f>
        <v>-91.042715423613359</v>
      </c>
      <c r="CW77" s="1021">
        <f>(VLOOKUP(YEAR($A77),'NY East Load Projections'!$A$4:$EO$14,((MONTH($A77)-1)*12)+VLOOKUP(CW$4,$DE$6:$DF$17,2)+1))*$E77</f>
        <v>-91.042715423613359</v>
      </c>
      <c r="CX77" s="1021">
        <f>(VLOOKUP(YEAR($A77),'NY East Load Projections'!$A$4:$EO$14,((MONTH($A77)-1)*12)+VLOOKUP(CX$4,$DE$6:$DF$17,2)+1))*$E77</f>
        <v>-91.042715423613359</v>
      </c>
      <c r="CY77" s="1021">
        <f>(VLOOKUP(YEAR($A77),'NY East Load Projections'!$A$4:$EO$14,((MONTH($A77)-1)*12)+VLOOKUP(CY$4,$DE$6:$DF$17,2)+1))*$E77</f>
        <v>-87.964022025568696</v>
      </c>
      <c r="CZ77" s="1021">
        <f>(VLOOKUP(YEAR($A77),'NY East Load Projections'!$A$4:$EO$14,((MONTH($A77)-1)*12)+VLOOKUP(CZ$4,$DE$6:$DF$17,2)+1))*$E77</f>
        <v>-87.964022025568696</v>
      </c>
      <c r="DA77" s="1021">
        <f>(VLOOKUP(YEAR($A77),'NY East Load Projections'!$A$4:$EO$14,((MONTH($A77)-1)*12)+VLOOKUP(DA$4,$DE$6:$DF$17,2)+1))*$E77</f>
        <v>-87.964022025568696</v>
      </c>
      <c r="DB77" s="1021">
        <f>(VLOOKUP(YEAR($A77),'NY East Load Projections'!$A$4:$EO$14,((MONTH($A77)-1)*12)+VLOOKUP(DB$4,$DE$6:$DF$17,2)+1))*$E77</f>
        <v>-87.964022025568696</v>
      </c>
      <c r="DH77" s="1009">
        <f t="shared" si="3"/>
        <v>-68256.455394662073</v>
      </c>
      <c r="DI77">
        <f ca="1">CALC!J97</f>
        <v>0.60797735907077</v>
      </c>
      <c r="DJ77" s="1032">
        <f t="shared" ca="1" si="4"/>
        <v>-41498.379490378458</v>
      </c>
    </row>
    <row r="78" spans="1:114" x14ac:dyDescent="0.25">
      <c r="A78" s="244">
        <v>39083</v>
      </c>
      <c r="B78" s="13">
        <v>22</v>
      </c>
      <c r="C78" s="210">
        <v>4</v>
      </c>
      <c r="D78" s="210">
        <v>4</v>
      </c>
      <c r="E78" s="210">
        <v>1</v>
      </c>
      <c r="F78" s="13">
        <v>31</v>
      </c>
      <c r="H78" s="1021">
        <f>(VLOOKUP(YEAR($A78),'NY East Load Projections'!$A$4:$EO$14,((MONTH($A78)-1)*12)+VLOOKUP(H$4,$DE$6:$DF$17,2)+1))*$B78</f>
        <v>-1751.8758075824524</v>
      </c>
      <c r="I78" s="1021">
        <f>(VLOOKUP(YEAR($A78),'NY East Load Projections'!$A$4:$EO$14,((MONTH($A78)-1)*12)+VLOOKUP(I$4,$DE$6:$DF$17,2)+1))*$B78</f>
        <v>-1751.8758075824524</v>
      </c>
      <c r="J78" s="1021">
        <f>(VLOOKUP(YEAR($A78),'NY East Load Projections'!$A$4:$EO$14,((MONTH($A78)-1)*12)+VLOOKUP(J$4,$DE$6:$DF$17,2)+1))*$B78</f>
        <v>-1751.8758075824524</v>
      </c>
      <c r="K78" s="1021">
        <f>(VLOOKUP(YEAR($A78),'NY East Load Projections'!$A$4:$EO$14,((MONTH($A78)-1)*12)+VLOOKUP(K$4,$DE$6:$DF$17,2)+1))*$B78</f>
        <v>-1751.8758075824524</v>
      </c>
      <c r="L78" s="1021">
        <f>(VLOOKUP(YEAR($A78),'NY East Load Projections'!$A$4:$EO$14,((MONTH($A78)-1)*12)+VLOOKUP(L$4,$DE$6:$DF$17,2)+1))*$B78</f>
        <v>-1938.8337003371096</v>
      </c>
      <c r="M78" s="1021">
        <f>(VLOOKUP(YEAR($A78),'NY East Load Projections'!$A$4:$EO$14,((MONTH($A78)-1)*12)+VLOOKUP(M$4,$DE$6:$DF$17,2)+1))*$B78</f>
        <v>-1938.8337003371096</v>
      </c>
      <c r="N78" s="1021">
        <f>(VLOOKUP(YEAR($A78),'NY East Load Projections'!$A$4:$EO$14,((MONTH($A78)-1)*12)+VLOOKUP(N$4,$DE$6:$DF$17,2)+1))*$B78</f>
        <v>-1938.8337003371096</v>
      </c>
      <c r="O78" s="1021">
        <f>(VLOOKUP(YEAR($A78),'NY East Load Projections'!$A$4:$EO$14,((MONTH($A78)-1)*12)+VLOOKUP(O$4,$DE$6:$DF$17,2)+1))*$B78</f>
        <v>-1938.8337003371096</v>
      </c>
      <c r="P78" s="1021">
        <f>(VLOOKUP(YEAR($A78),'NY East Load Projections'!$A$4:$EO$14,((MONTH($A78)-1)*12)+VLOOKUP(P$4,$DE$6:$DF$17,2)+1))*$B78</f>
        <v>-2045.6521852585149</v>
      </c>
      <c r="Q78" s="1021">
        <f>(VLOOKUP(YEAR($A78),'NY East Load Projections'!$A$4:$EO$14,((MONTH($A78)-1)*12)+VLOOKUP(Q$4,$DE$6:$DF$17,2)+1))*$B78</f>
        <v>-2045.6521852585149</v>
      </c>
      <c r="R78" s="1021">
        <f>(VLOOKUP(YEAR($A78),'NY East Load Projections'!$A$4:$EO$14,((MONTH($A78)-1)*12)+VLOOKUP(R$4,$DE$6:$DF$17,2)+1))*$B78</f>
        <v>-2045.6521852585149</v>
      </c>
      <c r="S78" s="1021">
        <f>(VLOOKUP(YEAR($A78),'NY East Load Projections'!$A$4:$EO$14,((MONTH($A78)-1)*12)+VLOOKUP(S$4,$DE$6:$DF$17,2)+1))*$B78</f>
        <v>-2045.6521852585149</v>
      </c>
      <c r="T78" s="1021">
        <f>(VLOOKUP(YEAR($A78),'NY East Load Projections'!$A$4:$EO$14,((MONTH($A78)-1)*12)+VLOOKUP(T$4,$DE$6:$DF$17,2)+1))*$B78</f>
        <v>-2068.6658012057437</v>
      </c>
      <c r="U78" s="1021">
        <f>(VLOOKUP(YEAR($A78),'NY East Load Projections'!$A$4:$EO$14,((MONTH($A78)-1)*12)+VLOOKUP(U$4,$DE$6:$DF$17,2)+1))*$B78</f>
        <v>-2068.6658012057437</v>
      </c>
      <c r="V78" s="1021">
        <f>(VLOOKUP(YEAR($A78),'NY East Load Projections'!$A$4:$EO$14,((MONTH($A78)-1)*12)+VLOOKUP(V$4,$DE$6:$DF$17,2)+1))*$B78</f>
        <v>-2068.6658012057437</v>
      </c>
      <c r="W78" s="1021">
        <f>(VLOOKUP(YEAR($A78),'NY East Load Projections'!$A$4:$EO$14,((MONTH($A78)-1)*12)+VLOOKUP(W$4,$DE$6:$DF$17,2)+1))*$B78</f>
        <v>-2068.6658012057437</v>
      </c>
      <c r="X78" s="1021">
        <f>(VLOOKUP(YEAR($A78),'NY East Load Projections'!$A$4:$EO$14,((MONTH($A78)-1)*12)+VLOOKUP(X$4,$DE$6:$DF$17,2)+1))*$B78</f>
        <v>-1978.9630438783292</v>
      </c>
      <c r="Y78" s="1021">
        <f>(VLOOKUP(YEAR($A78),'NY East Load Projections'!$A$4:$EO$14,((MONTH($A78)-1)*12)+VLOOKUP(Y$4,$DE$6:$DF$17,2)+1))*$B78</f>
        <v>-1978.9630438783292</v>
      </c>
      <c r="Z78" s="1021">
        <f>(VLOOKUP(YEAR($A78),'NY East Load Projections'!$A$4:$EO$14,((MONTH($A78)-1)*12)+VLOOKUP(Z$4,$DE$6:$DF$17,2)+1))*$B78</f>
        <v>-1978.9630438783292</v>
      </c>
      <c r="AA78" s="1021">
        <f>(VLOOKUP(YEAR($A78),'NY East Load Projections'!$A$4:$EO$14,((MONTH($A78)-1)*12)+VLOOKUP(AA$4,$DE$6:$DF$17,2)+1))*$B78</f>
        <v>-1978.9630438783292</v>
      </c>
      <c r="AB78" s="1021">
        <f>(VLOOKUP(YEAR($A78),'NY East Load Projections'!$A$4:$EO$14,((MONTH($A78)-1)*12)+VLOOKUP(AB$4,$DE$6:$DF$17,2)+1))*$B78</f>
        <v>-1826.5717307854534</v>
      </c>
      <c r="AC78" s="1021">
        <f>(VLOOKUP(YEAR($A78),'NY East Load Projections'!$A$4:$EO$14,((MONTH($A78)-1)*12)+VLOOKUP(AC$4,$DE$6:$DF$17,2)+1))*$B78</f>
        <v>-1826.5717307854534</v>
      </c>
      <c r="AD78" s="1021">
        <f>(VLOOKUP(YEAR($A78),'NY East Load Projections'!$A$4:$EO$14,((MONTH($A78)-1)*12)+VLOOKUP(AD$4,$DE$6:$DF$17,2)+1))*$B78</f>
        <v>-1826.5717307854534</v>
      </c>
      <c r="AE78" s="1021">
        <f>(VLOOKUP(YEAR($A78),'NY East Load Projections'!$A$4:$EO$14,((MONTH($A78)-1)*12)+VLOOKUP(AE$4,$DE$6:$DF$17,2)+1))*$B78</f>
        <v>-1826.5717307854534</v>
      </c>
      <c r="AF78" s="1021"/>
      <c r="AG78" s="1021">
        <f>(VLOOKUP(YEAR($A78),'NY East Load Projections'!$A$4:$EO$14,((MONTH($A78)-1)*12)+VLOOKUP(AG$4,$DE$6:$DF$17,2)+1))*$C78</f>
        <v>-339.27510391053119</v>
      </c>
      <c r="AH78" s="1021">
        <f>(VLOOKUP(YEAR($A78),'NY East Load Projections'!$A$4:$EO$14,((MONTH($A78)-1)*12)+VLOOKUP(AH$4,$DE$6:$DF$17,2)+1))*$C78</f>
        <v>-339.27510391053119</v>
      </c>
      <c r="AI78" s="1021">
        <f>(VLOOKUP(YEAR($A78),'NY East Load Projections'!$A$4:$EO$14,((MONTH($A78)-1)*12)+VLOOKUP(AI$4,$DE$6:$DF$17,2)+1))*$C78</f>
        <v>-339.27510391053119</v>
      </c>
      <c r="AJ78" s="1021">
        <f>(VLOOKUP(YEAR($A78),'NY East Load Projections'!$A$4:$EO$14,((MONTH($A78)-1)*12)+VLOOKUP(AJ$4,$DE$6:$DF$17,2)+1))*$C78</f>
        <v>-339.27510391053119</v>
      </c>
      <c r="AK78" s="1021">
        <f>(VLOOKUP(YEAR($A78),'NY East Load Projections'!$A$4:$EO$14,((MONTH($A78)-1)*12)+VLOOKUP(AK$4,$DE$6:$DF$17,2)+1))*$C78</f>
        <v>-348.48665954892863</v>
      </c>
      <c r="AL78" s="1021">
        <f>(VLOOKUP(YEAR($A78),'NY East Load Projections'!$A$4:$EO$14,((MONTH($A78)-1)*12)+VLOOKUP(AL$4,$DE$6:$DF$17,2)+1))*$C78</f>
        <v>-348.48665954892863</v>
      </c>
      <c r="AM78" s="1021">
        <f>(VLOOKUP(YEAR($A78),'NY East Load Projections'!$A$4:$EO$14,((MONTH($A78)-1)*12)+VLOOKUP(AM$4,$DE$6:$DF$17,2)+1))*$C78</f>
        <v>-348.48665954892863</v>
      </c>
      <c r="AN78" s="1021">
        <f>(VLOOKUP(YEAR($A78),'NY East Load Projections'!$A$4:$EO$14,((MONTH($A78)-1)*12)+VLOOKUP(AN$4,$DE$6:$DF$17,2)+1))*$C78</f>
        <v>-348.48665954892863</v>
      </c>
      <c r="AO78" s="1021">
        <f>(VLOOKUP(YEAR($A78),'NY East Load Projections'!$A$4:$EO$14,((MONTH($A78)-1)*12)+VLOOKUP(AO$4,$DE$6:$DF$17,2)+1))*$C78</f>
        <v>-374.41516623275015</v>
      </c>
      <c r="AP78" s="1021">
        <f>(VLOOKUP(YEAR($A78),'NY East Load Projections'!$A$4:$EO$14,((MONTH($A78)-1)*12)+VLOOKUP(AP$4,$DE$6:$DF$17,2)+1))*$C78</f>
        <v>-374.41516623275015</v>
      </c>
      <c r="AQ78" s="1021">
        <f>(VLOOKUP(YEAR($A78),'NY East Load Projections'!$A$4:$EO$14,((MONTH($A78)-1)*12)+VLOOKUP(AQ$4,$DE$6:$DF$17,2)+1))*$C78</f>
        <v>-374.41516623275015</v>
      </c>
      <c r="AR78" s="1021">
        <f>(VLOOKUP(YEAR($A78),'NY East Load Projections'!$A$4:$EO$14,((MONTH($A78)-1)*12)+VLOOKUP(AR$4,$DE$6:$DF$17,2)+1))*$C78</f>
        <v>-374.41516623275015</v>
      </c>
      <c r="AS78" s="1021">
        <f>(VLOOKUP(YEAR($A78),'NY East Load Projections'!$A$4:$EO$14,((MONTH($A78)-1)*12)+VLOOKUP(AS$4,$DE$6:$DF$17,2)+1))*$C78</f>
        <v>-374.26948792043845</v>
      </c>
      <c r="AT78" s="1021">
        <f>(VLOOKUP(YEAR($A78),'NY East Load Projections'!$A$4:$EO$14,((MONTH($A78)-1)*12)+VLOOKUP(AT$4,$DE$6:$DF$17,2)+1))*$C78</f>
        <v>-374.26948792043845</v>
      </c>
      <c r="AU78" s="1021">
        <f>(VLOOKUP(YEAR($A78),'NY East Load Projections'!$A$4:$EO$14,((MONTH($A78)-1)*12)+VLOOKUP(AU$4,$DE$6:$DF$17,2)+1))*$C78</f>
        <v>-374.26948792043845</v>
      </c>
      <c r="AV78" s="1021">
        <f>(VLOOKUP(YEAR($A78),'NY East Load Projections'!$A$4:$EO$14,((MONTH($A78)-1)*12)+VLOOKUP(AV$4,$DE$6:$DF$17,2)+1))*$C78</f>
        <v>-374.26948792043845</v>
      </c>
      <c r="AW78" s="1021">
        <f>(VLOOKUP(YEAR($A78),'NY East Load Projections'!$A$4:$EO$14,((MONTH($A78)-1)*12)+VLOOKUP(AW$4,$DE$6:$DF$17,2)+1))*$C78</f>
        <v>-355.90722826082776</v>
      </c>
      <c r="AX78" s="1021">
        <f>(VLOOKUP(YEAR($A78),'NY East Load Projections'!$A$4:$EO$14,((MONTH($A78)-1)*12)+VLOOKUP(AX$4,$DE$6:$DF$17,2)+1))*$C78</f>
        <v>-355.90722826082776</v>
      </c>
      <c r="AY78" s="1021">
        <f>(VLOOKUP(YEAR($A78),'NY East Load Projections'!$A$4:$EO$14,((MONTH($A78)-1)*12)+VLOOKUP(AY$4,$DE$6:$DF$17,2)+1))*$C78</f>
        <v>-355.90722826082776</v>
      </c>
      <c r="AZ78" s="1021">
        <f>(VLOOKUP(YEAR($A78),'NY East Load Projections'!$A$4:$EO$14,((MONTH($A78)-1)*12)+VLOOKUP(AZ$4,$DE$6:$DF$17,2)+1))*$C78</f>
        <v>-355.90722826082776</v>
      </c>
      <c r="BA78" s="1021">
        <f>(VLOOKUP(YEAR($A78),'NY East Load Projections'!$A$4:$EO$14,((MONTH($A78)-1)*12)+VLOOKUP(BA$4,$DE$6:$DF$17,2)+1))*$C78</f>
        <v>-343.00896272094235</v>
      </c>
      <c r="BB78" s="1021">
        <f>(VLOOKUP(YEAR($A78),'NY East Load Projections'!$A$4:$EO$14,((MONTH($A78)-1)*12)+VLOOKUP(BB$4,$DE$6:$DF$17,2)+1))*$C78</f>
        <v>-343.00896272094235</v>
      </c>
      <c r="BC78" s="1021">
        <f>(VLOOKUP(YEAR($A78),'NY East Load Projections'!$A$4:$EO$14,((MONTH($A78)-1)*12)+VLOOKUP(BC$4,$DE$6:$DF$17,2)+1))*$C78</f>
        <v>-343.00896272094235</v>
      </c>
      <c r="BD78" s="1021">
        <f>(VLOOKUP(YEAR($A78),'NY East Load Projections'!$A$4:$EO$14,((MONTH($A78)-1)*12)+VLOOKUP(BD$4,$DE$6:$DF$17,2)+1))*$C78</f>
        <v>-343.00896272094235</v>
      </c>
      <c r="BE78" s="1021"/>
      <c r="BF78" s="1021">
        <f>(VLOOKUP(YEAR($A78),'NY East Load Projections'!$A$4:$EO$14,((MONTH($A78)-1)*12)+VLOOKUP(BF$4,$DE$6:$DF$17,2)+1))*$D78</f>
        <v>-339.27510391053119</v>
      </c>
      <c r="BG78" s="1021">
        <f>(VLOOKUP(YEAR($A78),'NY East Load Projections'!$A$4:$EO$14,((MONTH($A78)-1)*12)+VLOOKUP(BG$4,$DE$6:$DF$17,2)+1))*$D78</f>
        <v>-339.27510391053119</v>
      </c>
      <c r="BH78" s="1021">
        <f>(VLOOKUP(YEAR($A78),'NY East Load Projections'!$A$4:$EO$14,((MONTH($A78)-1)*12)+VLOOKUP(BH$4,$DE$6:$DF$17,2)+1))*$D78</f>
        <v>-339.27510391053119</v>
      </c>
      <c r="BI78" s="1021">
        <f>(VLOOKUP(YEAR($A78),'NY East Load Projections'!$A$4:$EO$14,((MONTH($A78)-1)*12)+VLOOKUP(BI$4,$DE$6:$DF$17,2)+1))*$D78</f>
        <v>-339.27510391053119</v>
      </c>
      <c r="BJ78" s="1021">
        <f>(VLOOKUP(YEAR($A78),'NY East Load Projections'!$A$4:$EO$14,((MONTH($A78)-1)*12)+VLOOKUP(BJ$4,$DE$6:$DF$17,2)+1))*$D78</f>
        <v>-348.48665954892863</v>
      </c>
      <c r="BK78" s="1021">
        <f>(VLOOKUP(YEAR($A78),'NY East Load Projections'!$A$4:$EO$14,((MONTH($A78)-1)*12)+VLOOKUP(BK$4,$DE$6:$DF$17,2)+1))*$D78</f>
        <v>-348.48665954892863</v>
      </c>
      <c r="BL78" s="1021">
        <f>(VLOOKUP(YEAR($A78),'NY East Load Projections'!$A$4:$EO$14,((MONTH($A78)-1)*12)+VLOOKUP(BL$4,$DE$6:$DF$17,2)+1))*$D78</f>
        <v>-348.48665954892863</v>
      </c>
      <c r="BM78" s="1021">
        <f>(VLOOKUP(YEAR($A78),'NY East Load Projections'!$A$4:$EO$14,((MONTH($A78)-1)*12)+VLOOKUP(BM$4,$DE$6:$DF$17,2)+1))*$D78</f>
        <v>-348.48665954892863</v>
      </c>
      <c r="BN78" s="1021">
        <f>(VLOOKUP(YEAR($A78),'NY East Load Projections'!$A$4:$EO$14,((MONTH($A78)-1)*12)+VLOOKUP(BN$4,$DE$6:$DF$17,2)+1))*$D78</f>
        <v>-374.41516623275015</v>
      </c>
      <c r="BO78" s="1021">
        <f>(VLOOKUP(YEAR($A78),'NY East Load Projections'!$A$4:$EO$14,((MONTH($A78)-1)*12)+VLOOKUP(BO$4,$DE$6:$DF$17,2)+1))*$D78</f>
        <v>-374.41516623275015</v>
      </c>
      <c r="BP78" s="1021">
        <f>(VLOOKUP(YEAR($A78),'NY East Load Projections'!$A$4:$EO$14,((MONTH($A78)-1)*12)+VLOOKUP(BP$4,$DE$6:$DF$17,2)+1))*$D78</f>
        <v>-374.41516623275015</v>
      </c>
      <c r="BQ78" s="1021">
        <f>(VLOOKUP(YEAR($A78),'NY East Load Projections'!$A$4:$EO$14,((MONTH($A78)-1)*12)+VLOOKUP(BQ$4,$DE$6:$DF$17,2)+1))*$D78</f>
        <v>-374.41516623275015</v>
      </c>
      <c r="BR78" s="1021">
        <f>(VLOOKUP(YEAR($A78),'NY East Load Projections'!$A$4:$EO$14,((MONTH($A78)-1)*12)+VLOOKUP(BR$4,$DE$6:$DF$17,2)+1))*$D78</f>
        <v>-374.26948792043845</v>
      </c>
      <c r="BS78" s="1021">
        <f>(VLOOKUP(YEAR($A78),'NY East Load Projections'!$A$4:$EO$14,((MONTH($A78)-1)*12)+VLOOKUP(BS$4,$DE$6:$DF$17,2)+1))*$D78</f>
        <v>-374.26948792043845</v>
      </c>
      <c r="BT78" s="1021">
        <f>(VLOOKUP(YEAR($A78),'NY East Load Projections'!$A$4:$EO$14,((MONTH($A78)-1)*12)+VLOOKUP(BT$4,$DE$6:$DF$17,2)+1))*$D78</f>
        <v>-374.26948792043845</v>
      </c>
      <c r="BU78" s="1021">
        <f>(VLOOKUP(YEAR($A78),'NY East Load Projections'!$A$4:$EO$14,((MONTH($A78)-1)*12)+VLOOKUP(BU$4,$DE$6:$DF$17,2)+1))*$D78</f>
        <v>-374.26948792043845</v>
      </c>
      <c r="BV78" s="1021">
        <f>(VLOOKUP(YEAR($A78),'NY East Load Projections'!$A$4:$EO$14,((MONTH($A78)-1)*12)+VLOOKUP(BV$4,$DE$6:$DF$17,2)+1))*$D78</f>
        <v>-355.90722826082776</v>
      </c>
      <c r="BW78" s="1021">
        <f>(VLOOKUP(YEAR($A78),'NY East Load Projections'!$A$4:$EO$14,((MONTH($A78)-1)*12)+VLOOKUP(BW$4,$DE$6:$DF$17,2)+1))*$D78</f>
        <v>-355.90722826082776</v>
      </c>
      <c r="BX78" s="1021">
        <f>(VLOOKUP(YEAR($A78),'NY East Load Projections'!$A$4:$EO$14,((MONTH($A78)-1)*12)+VLOOKUP(BX$4,$DE$6:$DF$17,2)+1))*$D78</f>
        <v>-355.90722826082776</v>
      </c>
      <c r="BY78" s="1021">
        <f>(VLOOKUP(YEAR($A78),'NY East Load Projections'!$A$4:$EO$14,((MONTH($A78)-1)*12)+VLOOKUP(BY$4,$DE$6:$DF$17,2)+1))*$D78</f>
        <v>-355.90722826082776</v>
      </c>
      <c r="BZ78" s="1021">
        <f>(VLOOKUP(YEAR($A78),'NY East Load Projections'!$A$4:$EO$14,((MONTH($A78)-1)*12)+VLOOKUP(BZ$4,$DE$6:$DF$17,2)+1))*$D78</f>
        <v>-343.00896272094235</v>
      </c>
      <c r="CA78" s="1021">
        <f>(VLOOKUP(YEAR($A78),'NY East Load Projections'!$A$4:$EO$14,((MONTH($A78)-1)*12)+VLOOKUP(CA$4,$DE$6:$DF$17,2)+1))*$D78</f>
        <v>-343.00896272094235</v>
      </c>
      <c r="CB78" s="1021">
        <f>(VLOOKUP(YEAR($A78),'NY East Load Projections'!$A$4:$EO$14,((MONTH($A78)-1)*12)+VLOOKUP(CB$4,$DE$6:$DF$17,2)+1))*$D78</f>
        <v>-343.00896272094235</v>
      </c>
      <c r="CC78" s="1021">
        <f>(VLOOKUP(YEAR($A78),'NY East Load Projections'!$A$4:$EO$14,((MONTH($A78)-1)*12)+VLOOKUP(CC$4,$DE$6:$DF$17,2)+1))*$D78</f>
        <v>-343.00896272094235</v>
      </c>
      <c r="CE78" s="1021">
        <f>(VLOOKUP(YEAR($A78),'NY East Load Projections'!$A$4:$EO$14,((MONTH($A78)-1)*12)+VLOOKUP(CE$4,$DE$6:$DF$17,2)+1))*$E78</f>
        <v>-84.818775977632797</v>
      </c>
      <c r="CF78" s="1021">
        <f>(VLOOKUP(YEAR($A78),'NY East Load Projections'!$A$4:$EO$14,((MONTH($A78)-1)*12)+VLOOKUP(CF$4,$DE$6:$DF$17,2)+1))*$E78</f>
        <v>-84.818775977632797</v>
      </c>
      <c r="CG78" s="1021">
        <f>(VLOOKUP(YEAR($A78),'NY East Load Projections'!$A$4:$EO$14,((MONTH($A78)-1)*12)+VLOOKUP(CG$4,$DE$6:$DF$17,2)+1))*$E78</f>
        <v>-84.818775977632797</v>
      </c>
      <c r="CH78" s="1021">
        <f>(VLOOKUP(YEAR($A78),'NY East Load Projections'!$A$4:$EO$14,((MONTH($A78)-1)*12)+VLOOKUP(CH$4,$DE$6:$DF$17,2)+1))*$E78</f>
        <v>-84.818775977632797</v>
      </c>
      <c r="CI78" s="1021">
        <f>(VLOOKUP(YEAR($A78),'NY East Load Projections'!$A$4:$EO$14,((MONTH($A78)-1)*12)+VLOOKUP(CI$4,$DE$6:$DF$17,2)+1))*$E78</f>
        <v>-87.121664887232157</v>
      </c>
      <c r="CJ78" s="1021">
        <f>(VLOOKUP(YEAR($A78),'NY East Load Projections'!$A$4:$EO$14,((MONTH($A78)-1)*12)+VLOOKUP(CJ$4,$DE$6:$DF$17,2)+1))*$E78</f>
        <v>-87.121664887232157</v>
      </c>
      <c r="CK78" s="1021">
        <f>(VLOOKUP(YEAR($A78),'NY East Load Projections'!$A$4:$EO$14,((MONTH($A78)-1)*12)+VLOOKUP(CK$4,$DE$6:$DF$17,2)+1))*$E78</f>
        <v>-87.121664887232157</v>
      </c>
      <c r="CL78" s="1021">
        <f>(VLOOKUP(YEAR($A78),'NY East Load Projections'!$A$4:$EO$14,((MONTH($A78)-1)*12)+VLOOKUP(CL$4,$DE$6:$DF$17,2)+1))*$E78</f>
        <v>-87.121664887232157</v>
      </c>
      <c r="CM78" s="1021">
        <f>(VLOOKUP(YEAR($A78),'NY East Load Projections'!$A$4:$EO$14,((MONTH($A78)-1)*12)+VLOOKUP(CM$4,$DE$6:$DF$17,2)+1))*$E78</f>
        <v>-93.603791558187538</v>
      </c>
      <c r="CN78" s="1021">
        <f>(VLOOKUP(YEAR($A78),'NY East Load Projections'!$A$4:$EO$14,((MONTH($A78)-1)*12)+VLOOKUP(CN$4,$DE$6:$DF$17,2)+1))*$E78</f>
        <v>-93.603791558187538</v>
      </c>
      <c r="CO78" s="1021">
        <f>(VLOOKUP(YEAR($A78),'NY East Load Projections'!$A$4:$EO$14,((MONTH($A78)-1)*12)+VLOOKUP(CO$4,$DE$6:$DF$17,2)+1))*$E78</f>
        <v>-93.603791558187538</v>
      </c>
      <c r="CP78" s="1021">
        <f>(VLOOKUP(YEAR($A78),'NY East Load Projections'!$A$4:$EO$14,((MONTH($A78)-1)*12)+VLOOKUP(CP$4,$DE$6:$DF$17,2)+1))*$E78</f>
        <v>-93.603791558187538</v>
      </c>
      <c r="CQ78" s="1021">
        <f>(VLOOKUP(YEAR($A78),'NY East Load Projections'!$A$4:$EO$14,((MONTH($A78)-1)*12)+VLOOKUP(CQ$4,$DE$6:$DF$17,2)+1))*$E78</f>
        <v>-93.567371980109613</v>
      </c>
      <c r="CR78" s="1021">
        <f>(VLOOKUP(YEAR($A78),'NY East Load Projections'!$A$4:$EO$14,((MONTH($A78)-1)*12)+VLOOKUP(CR$4,$DE$6:$DF$17,2)+1))*$E78</f>
        <v>-93.567371980109613</v>
      </c>
      <c r="CS78" s="1021">
        <f>(VLOOKUP(YEAR($A78),'NY East Load Projections'!$A$4:$EO$14,((MONTH($A78)-1)*12)+VLOOKUP(CS$4,$DE$6:$DF$17,2)+1))*$E78</f>
        <v>-93.567371980109613</v>
      </c>
      <c r="CT78" s="1021">
        <f>(VLOOKUP(YEAR($A78),'NY East Load Projections'!$A$4:$EO$14,((MONTH($A78)-1)*12)+VLOOKUP(CT$4,$DE$6:$DF$17,2)+1))*$E78</f>
        <v>-93.567371980109613</v>
      </c>
      <c r="CU78" s="1021">
        <f>(VLOOKUP(YEAR($A78),'NY East Load Projections'!$A$4:$EO$14,((MONTH($A78)-1)*12)+VLOOKUP(CU$4,$DE$6:$DF$17,2)+1))*$E78</f>
        <v>-88.976807065206941</v>
      </c>
      <c r="CV78" s="1021">
        <f>(VLOOKUP(YEAR($A78),'NY East Load Projections'!$A$4:$EO$14,((MONTH($A78)-1)*12)+VLOOKUP(CV$4,$DE$6:$DF$17,2)+1))*$E78</f>
        <v>-88.976807065206941</v>
      </c>
      <c r="CW78" s="1021">
        <f>(VLOOKUP(YEAR($A78),'NY East Load Projections'!$A$4:$EO$14,((MONTH($A78)-1)*12)+VLOOKUP(CW$4,$DE$6:$DF$17,2)+1))*$E78</f>
        <v>-88.976807065206941</v>
      </c>
      <c r="CX78" s="1021">
        <f>(VLOOKUP(YEAR($A78),'NY East Load Projections'!$A$4:$EO$14,((MONTH($A78)-1)*12)+VLOOKUP(CX$4,$DE$6:$DF$17,2)+1))*$E78</f>
        <v>-88.976807065206941</v>
      </c>
      <c r="CY78" s="1021">
        <f>(VLOOKUP(YEAR($A78),'NY East Load Projections'!$A$4:$EO$14,((MONTH($A78)-1)*12)+VLOOKUP(CY$4,$DE$6:$DF$17,2)+1))*$E78</f>
        <v>-85.752240680235587</v>
      </c>
      <c r="CZ78" s="1021">
        <f>(VLOOKUP(YEAR($A78),'NY East Load Projections'!$A$4:$EO$14,((MONTH($A78)-1)*12)+VLOOKUP(CZ$4,$DE$6:$DF$17,2)+1))*$E78</f>
        <v>-85.752240680235587</v>
      </c>
      <c r="DA78" s="1021">
        <f>(VLOOKUP(YEAR($A78),'NY East Load Projections'!$A$4:$EO$14,((MONTH($A78)-1)*12)+VLOOKUP(DA$4,$DE$6:$DF$17,2)+1))*$E78</f>
        <v>-85.752240680235587</v>
      </c>
      <c r="DB78" s="1021">
        <f>(VLOOKUP(YEAR($A78),'NY East Load Projections'!$A$4:$EO$14,((MONTH($A78)-1)*12)+VLOOKUP(DB$4,$DE$6:$DF$17,2)+1))*$E78</f>
        <v>-85.752240680235587</v>
      </c>
      <c r="DH78" s="1009">
        <f t="shared" si="3"/>
        <v>-65660.512553540131</v>
      </c>
      <c r="DI78">
        <f ca="1">CALC!J98</f>
        <v>0.60415868903812819</v>
      </c>
      <c r="DJ78" s="1032">
        <f t="shared" ca="1" si="4"/>
        <v>-39669.369185918367</v>
      </c>
    </row>
    <row r="79" spans="1:114" x14ac:dyDescent="0.25">
      <c r="A79" s="244">
        <v>39114</v>
      </c>
      <c r="B79" s="13">
        <v>20</v>
      </c>
      <c r="C79" s="210">
        <v>4</v>
      </c>
      <c r="D79" s="210">
        <v>4</v>
      </c>
      <c r="E79" s="210">
        <v>0</v>
      </c>
      <c r="F79" s="13">
        <v>28</v>
      </c>
      <c r="H79" s="1021">
        <f>(VLOOKUP(YEAR($A79),'NY East Load Projections'!$A$4:$EO$14,((MONTH($A79)-1)*12)+VLOOKUP(H$4,$DE$6:$DF$17,2)+1))*$B79</f>
        <v>-1562.597433570088</v>
      </c>
      <c r="I79" s="1021">
        <f>(VLOOKUP(YEAR($A79),'NY East Load Projections'!$A$4:$EO$14,((MONTH($A79)-1)*12)+VLOOKUP(I$4,$DE$6:$DF$17,2)+1))*$B79</f>
        <v>-1562.597433570088</v>
      </c>
      <c r="J79" s="1021">
        <f>(VLOOKUP(YEAR($A79),'NY East Load Projections'!$A$4:$EO$14,((MONTH($A79)-1)*12)+VLOOKUP(J$4,$DE$6:$DF$17,2)+1))*$B79</f>
        <v>-1562.597433570088</v>
      </c>
      <c r="K79" s="1021">
        <f>(VLOOKUP(YEAR($A79),'NY East Load Projections'!$A$4:$EO$14,((MONTH($A79)-1)*12)+VLOOKUP(K$4,$DE$6:$DF$17,2)+1))*$B79</f>
        <v>-1562.597433570088</v>
      </c>
      <c r="L79" s="1021">
        <f>(VLOOKUP(YEAR($A79),'NY East Load Projections'!$A$4:$EO$14,((MONTH($A79)-1)*12)+VLOOKUP(L$4,$DE$6:$DF$17,2)+1))*$B79</f>
        <v>-1718.332394586389</v>
      </c>
      <c r="M79" s="1021">
        <f>(VLOOKUP(YEAR($A79),'NY East Load Projections'!$A$4:$EO$14,((MONTH($A79)-1)*12)+VLOOKUP(M$4,$DE$6:$DF$17,2)+1))*$B79</f>
        <v>-1718.332394586389</v>
      </c>
      <c r="N79" s="1021">
        <f>(VLOOKUP(YEAR($A79),'NY East Load Projections'!$A$4:$EO$14,((MONTH($A79)-1)*12)+VLOOKUP(N$4,$DE$6:$DF$17,2)+1))*$B79</f>
        <v>-1718.332394586389</v>
      </c>
      <c r="O79" s="1021">
        <f>(VLOOKUP(YEAR($A79),'NY East Load Projections'!$A$4:$EO$14,((MONTH($A79)-1)*12)+VLOOKUP(O$4,$DE$6:$DF$17,2)+1))*$B79</f>
        <v>-1718.332394586389</v>
      </c>
      <c r="P79" s="1021">
        <f>(VLOOKUP(YEAR($A79),'NY East Load Projections'!$A$4:$EO$14,((MONTH($A79)-1)*12)+VLOOKUP(P$4,$DE$6:$DF$17,2)+1))*$B79</f>
        <v>-1809.6292247071078</v>
      </c>
      <c r="Q79" s="1021">
        <f>(VLOOKUP(YEAR($A79),'NY East Load Projections'!$A$4:$EO$14,((MONTH($A79)-1)*12)+VLOOKUP(Q$4,$DE$6:$DF$17,2)+1))*$B79</f>
        <v>-1809.6292247071078</v>
      </c>
      <c r="R79" s="1021">
        <f>(VLOOKUP(YEAR($A79),'NY East Load Projections'!$A$4:$EO$14,((MONTH($A79)-1)*12)+VLOOKUP(R$4,$DE$6:$DF$17,2)+1))*$B79</f>
        <v>-1809.6292247071078</v>
      </c>
      <c r="S79" s="1021">
        <f>(VLOOKUP(YEAR($A79),'NY East Load Projections'!$A$4:$EO$14,((MONTH($A79)-1)*12)+VLOOKUP(S$4,$DE$6:$DF$17,2)+1))*$B79</f>
        <v>-1809.6292247071078</v>
      </c>
      <c r="T79" s="1021">
        <f>(VLOOKUP(YEAR($A79),'NY East Load Projections'!$A$4:$EO$14,((MONTH($A79)-1)*12)+VLOOKUP(T$4,$DE$6:$DF$17,2)+1))*$B79</f>
        <v>-1824.8277501767639</v>
      </c>
      <c r="U79" s="1021">
        <f>(VLOOKUP(YEAR($A79),'NY East Load Projections'!$A$4:$EO$14,((MONTH($A79)-1)*12)+VLOOKUP(U$4,$DE$6:$DF$17,2)+1))*$B79</f>
        <v>-1824.8277501767639</v>
      </c>
      <c r="V79" s="1021">
        <f>(VLOOKUP(YEAR($A79),'NY East Load Projections'!$A$4:$EO$14,((MONTH($A79)-1)*12)+VLOOKUP(V$4,$DE$6:$DF$17,2)+1))*$B79</f>
        <v>-1824.8277501767639</v>
      </c>
      <c r="W79" s="1021">
        <f>(VLOOKUP(YEAR($A79),'NY East Load Projections'!$A$4:$EO$14,((MONTH($A79)-1)*12)+VLOOKUP(W$4,$DE$6:$DF$17,2)+1))*$B79</f>
        <v>-1824.8277501767639</v>
      </c>
      <c r="X79" s="1021">
        <f>(VLOOKUP(YEAR($A79),'NY East Load Projections'!$A$4:$EO$14,((MONTH($A79)-1)*12)+VLOOKUP(X$4,$DE$6:$DF$17,2)+1))*$B79</f>
        <v>-1747.3913078244095</v>
      </c>
      <c r="Y79" s="1021">
        <f>(VLOOKUP(YEAR($A79),'NY East Load Projections'!$A$4:$EO$14,((MONTH($A79)-1)*12)+VLOOKUP(Y$4,$DE$6:$DF$17,2)+1))*$B79</f>
        <v>-1747.3913078244095</v>
      </c>
      <c r="Z79" s="1021">
        <f>(VLOOKUP(YEAR($A79),'NY East Load Projections'!$A$4:$EO$14,((MONTH($A79)-1)*12)+VLOOKUP(Z$4,$DE$6:$DF$17,2)+1))*$B79</f>
        <v>-1747.3913078244095</v>
      </c>
      <c r="AA79" s="1021">
        <f>(VLOOKUP(YEAR($A79),'NY East Load Projections'!$A$4:$EO$14,((MONTH($A79)-1)*12)+VLOOKUP(AA$4,$DE$6:$DF$17,2)+1))*$B79</f>
        <v>-1747.3913078244095</v>
      </c>
      <c r="AB79" s="1021">
        <f>(VLOOKUP(YEAR($A79),'NY East Load Projections'!$A$4:$EO$14,((MONTH($A79)-1)*12)+VLOOKUP(AB$4,$DE$6:$DF$17,2)+1))*$B79</f>
        <v>-1614.4428984915266</v>
      </c>
      <c r="AC79" s="1021">
        <f>(VLOOKUP(YEAR($A79),'NY East Load Projections'!$A$4:$EO$14,((MONTH($A79)-1)*12)+VLOOKUP(AC$4,$DE$6:$DF$17,2)+1))*$B79</f>
        <v>-1614.4428984915266</v>
      </c>
      <c r="AD79" s="1021">
        <f>(VLOOKUP(YEAR($A79),'NY East Load Projections'!$A$4:$EO$14,((MONTH($A79)-1)*12)+VLOOKUP(AD$4,$DE$6:$DF$17,2)+1))*$B79</f>
        <v>-1614.4428984915266</v>
      </c>
      <c r="AE79" s="1021">
        <f>(VLOOKUP(YEAR($A79),'NY East Load Projections'!$A$4:$EO$14,((MONTH($A79)-1)*12)+VLOOKUP(AE$4,$DE$6:$DF$17,2)+1))*$B79</f>
        <v>-1614.4428984915266</v>
      </c>
      <c r="AF79" s="1021"/>
      <c r="AG79" s="1021">
        <f>(VLOOKUP(YEAR($A79),'NY East Load Projections'!$A$4:$EO$14,((MONTH($A79)-1)*12)+VLOOKUP(AG$4,$DE$6:$DF$17,2)+1))*$C79</f>
        <v>-331.15138765207706</v>
      </c>
      <c r="AH79" s="1021">
        <f>(VLOOKUP(YEAR($A79),'NY East Load Projections'!$A$4:$EO$14,((MONTH($A79)-1)*12)+VLOOKUP(AH$4,$DE$6:$DF$17,2)+1))*$C79</f>
        <v>-331.15138765207706</v>
      </c>
      <c r="AI79" s="1021">
        <f>(VLOOKUP(YEAR($A79),'NY East Load Projections'!$A$4:$EO$14,((MONTH($A79)-1)*12)+VLOOKUP(AI$4,$DE$6:$DF$17,2)+1))*$C79</f>
        <v>-331.15138765207706</v>
      </c>
      <c r="AJ79" s="1021">
        <f>(VLOOKUP(YEAR($A79),'NY East Load Projections'!$A$4:$EO$14,((MONTH($A79)-1)*12)+VLOOKUP(AJ$4,$DE$6:$DF$17,2)+1))*$C79</f>
        <v>-331.15138765207706</v>
      </c>
      <c r="AK79" s="1021">
        <f>(VLOOKUP(YEAR($A79),'NY East Load Projections'!$A$4:$EO$14,((MONTH($A79)-1)*12)+VLOOKUP(AK$4,$DE$6:$DF$17,2)+1))*$C79</f>
        <v>-337.49664876904581</v>
      </c>
      <c r="AL79" s="1021">
        <f>(VLOOKUP(YEAR($A79),'NY East Load Projections'!$A$4:$EO$14,((MONTH($A79)-1)*12)+VLOOKUP(AL$4,$DE$6:$DF$17,2)+1))*$C79</f>
        <v>-337.49664876904581</v>
      </c>
      <c r="AM79" s="1021">
        <f>(VLOOKUP(YEAR($A79),'NY East Load Projections'!$A$4:$EO$14,((MONTH($A79)-1)*12)+VLOOKUP(AM$4,$DE$6:$DF$17,2)+1))*$C79</f>
        <v>-337.49664876904581</v>
      </c>
      <c r="AN79" s="1021">
        <f>(VLOOKUP(YEAR($A79),'NY East Load Projections'!$A$4:$EO$14,((MONTH($A79)-1)*12)+VLOOKUP(AN$4,$DE$6:$DF$17,2)+1))*$C79</f>
        <v>-337.49664876904581</v>
      </c>
      <c r="AO79" s="1021">
        <f>(VLOOKUP(YEAR($A79),'NY East Load Projections'!$A$4:$EO$14,((MONTH($A79)-1)*12)+VLOOKUP(AO$4,$DE$6:$DF$17,2)+1))*$C79</f>
        <v>-360.74984436453218</v>
      </c>
      <c r="AP79" s="1021">
        <f>(VLOOKUP(YEAR($A79),'NY East Load Projections'!$A$4:$EO$14,((MONTH($A79)-1)*12)+VLOOKUP(AP$4,$DE$6:$DF$17,2)+1))*$C79</f>
        <v>-360.74984436453218</v>
      </c>
      <c r="AQ79" s="1021">
        <f>(VLOOKUP(YEAR($A79),'NY East Load Projections'!$A$4:$EO$14,((MONTH($A79)-1)*12)+VLOOKUP(AQ$4,$DE$6:$DF$17,2)+1))*$C79</f>
        <v>-360.74984436453218</v>
      </c>
      <c r="AR79" s="1021">
        <f>(VLOOKUP(YEAR($A79),'NY East Load Projections'!$A$4:$EO$14,((MONTH($A79)-1)*12)+VLOOKUP(AR$4,$DE$6:$DF$17,2)+1))*$C79</f>
        <v>-360.74984436453218</v>
      </c>
      <c r="AS79" s="1021">
        <f>(VLOOKUP(YEAR($A79),'NY East Load Projections'!$A$4:$EO$14,((MONTH($A79)-1)*12)+VLOOKUP(AS$4,$DE$6:$DF$17,2)+1))*$C79</f>
        <v>-360.54565603471542</v>
      </c>
      <c r="AT79" s="1021">
        <f>(VLOOKUP(YEAR($A79),'NY East Load Projections'!$A$4:$EO$14,((MONTH($A79)-1)*12)+VLOOKUP(AT$4,$DE$6:$DF$17,2)+1))*$C79</f>
        <v>-360.54565603471542</v>
      </c>
      <c r="AU79" s="1021">
        <f>(VLOOKUP(YEAR($A79),'NY East Load Projections'!$A$4:$EO$14,((MONTH($A79)-1)*12)+VLOOKUP(AU$4,$DE$6:$DF$17,2)+1))*$C79</f>
        <v>-360.54565603471542</v>
      </c>
      <c r="AV79" s="1021">
        <f>(VLOOKUP(YEAR($A79),'NY East Load Projections'!$A$4:$EO$14,((MONTH($A79)-1)*12)+VLOOKUP(AV$4,$DE$6:$DF$17,2)+1))*$C79</f>
        <v>-360.54565603471542</v>
      </c>
      <c r="AW79" s="1021">
        <f>(VLOOKUP(YEAR($A79),'NY East Load Projections'!$A$4:$EO$14,((MONTH($A79)-1)*12)+VLOOKUP(AW$4,$DE$6:$DF$17,2)+1))*$C79</f>
        <v>-345.37859636007562</v>
      </c>
      <c r="AX79" s="1021">
        <f>(VLOOKUP(YEAR($A79),'NY East Load Projections'!$A$4:$EO$14,((MONTH($A79)-1)*12)+VLOOKUP(AX$4,$DE$6:$DF$17,2)+1))*$C79</f>
        <v>-345.37859636007562</v>
      </c>
      <c r="AY79" s="1021">
        <f>(VLOOKUP(YEAR($A79),'NY East Load Projections'!$A$4:$EO$14,((MONTH($A79)-1)*12)+VLOOKUP(AY$4,$DE$6:$DF$17,2)+1))*$C79</f>
        <v>-345.37859636007562</v>
      </c>
      <c r="AZ79" s="1021">
        <f>(VLOOKUP(YEAR($A79),'NY East Load Projections'!$A$4:$EO$14,((MONTH($A79)-1)*12)+VLOOKUP(AZ$4,$DE$6:$DF$17,2)+1))*$C79</f>
        <v>-345.37859636007562</v>
      </c>
      <c r="BA79" s="1021">
        <f>(VLOOKUP(YEAR($A79),'NY East Load Projections'!$A$4:$EO$14,((MONTH($A79)-1)*12)+VLOOKUP(BA$4,$DE$6:$DF$17,2)+1))*$C79</f>
        <v>-334.51376750633239</v>
      </c>
      <c r="BB79" s="1021">
        <f>(VLOOKUP(YEAR($A79),'NY East Load Projections'!$A$4:$EO$14,((MONTH($A79)-1)*12)+VLOOKUP(BB$4,$DE$6:$DF$17,2)+1))*$C79</f>
        <v>-334.51376750633239</v>
      </c>
      <c r="BC79" s="1021">
        <f>(VLOOKUP(YEAR($A79),'NY East Load Projections'!$A$4:$EO$14,((MONTH($A79)-1)*12)+VLOOKUP(BC$4,$DE$6:$DF$17,2)+1))*$C79</f>
        <v>-334.51376750633239</v>
      </c>
      <c r="BD79" s="1021">
        <f>(VLOOKUP(YEAR($A79),'NY East Load Projections'!$A$4:$EO$14,((MONTH($A79)-1)*12)+VLOOKUP(BD$4,$DE$6:$DF$17,2)+1))*$C79</f>
        <v>-334.51376750633239</v>
      </c>
      <c r="BE79" s="1021"/>
      <c r="BF79" s="1021">
        <f>(VLOOKUP(YEAR($A79),'NY East Load Projections'!$A$4:$EO$14,((MONTH($A79)-1)*12)+VLOOKUP(BF$4,$DE$6:$DF$17,2)+1))*$D79</f>
        <v>-331.15138765207706</v>
      </c>
      <c r="BG79" s="1021">
        <f>(VLOOKUP(YEAR($A79),'NY East Load Projections'!$A$4:$EO$14,((MONTH($A79)-1)*12)+VLOOKUP(BG$4,$DE$6:$DF$17,2)+1))*$D79</f>
        <v>-331.15138765207706</v>
      </c>
      <c r="BH79" s="1021">
        <f>(VLOOKUP(YEAR($A79),'NY East Load Projections'!$A$4:$EO$14,((MONTH($A79)-1)*12)+VLOOKUP(BH$4,$DE$6:$DF$17,2)+1))*$D79</f>
        <v>-331.15138765207706</v>
      </c>
      <c r="BI79" s="1021">
        <f>(VLOOKUP(YEAR($A79),'NY East Load Projections'!$A$4:$EO$14,((MONTH($A79)-1)*12)+VLOOKUP(BI$4,$DE$6:$DF$17,2)+1))*$D79</f>
        <v>-331.15138765207706</v>
      </c>
      <c r="BJ79" s="1021">
        <f>(VLOOKUP(YEAR($A79),'NY East Load Projections'!$A$4:$EO$14,((MONTH($A79)-1)*12)+VLOOKUP(BJ$4,$DE$6:$DF$17,2)+1))*$D79</f>
        <v>-337.49664876904581</v>
      </c>
      <c r="BK79" s="1021">
        <f>(VLOOKUP(YEAR($A79),'NY East Load Projections'!$A$4:$EO$14,((MONTH($A79)-1)*12)+VLOOKUP(BK$4,$DE$6:$DF$17,2)+1))*$D79</f>
        <v>-337.49664876904581</v>
      </c>
      <c r="BL79" s="1021">
        <f>(VLOOKUP(YEAR($A79),'NY East Load Projections'!$A$4:$EO$14,((MONTH($A79)-1)*12)+VLOOKUP(BL$4,$DE$6:$DF$17,2)+1))*$D79</f>
        <v>-337.49664876904581</v>
      </c>
      <c r="BM79" s="1021">
        <f>(VLOOKUP(YEAR($A79),'NY East Load Projections'!$A$4:$EO$14,((MONTH($A79)-1)*12)+VLOOKUP(BM$4,$DE$6:$DF$17,2)+1))*$D79</f>
        <v>-337.49664876904581</v>
      </c>
      <c r="BN79" s="1021">
        <f>(VLOOKUP(YEAR($A79),'NY East Load Projections'!$A$4:$EO$14,((MONTH($A79)-1)*12)+VLOOKUP(BN$4,$DE$6:$DF$17,2)+1))*$D79</f>
        <v>-360.74984436453218</v>
      </c>
      <c r="BO79" s="1021">
        <f>(VLOOKUP(YEAR($A79),'NY East Load Projections'!$A$4:$EO$14,((MONTH($A79)-1)*12)+VLOOKUP(BO$4,$DE$6:$DF$17,2)+1))*$D79</f>
        <v>-360.74984436453218</v>
      </c>
      <c r="BP79" s="1021">
        <f>(VLOOKUP(YEAR($A79),'NY East Load Projections'!$A$4:$EO$14,((MONTH($A79)-1)*12)+VLOOKUP(BP$4,$DE$6:$DF$17,2)+1))*$D79</f>
        <v>-360.74984436453218</v>
      </c>
      <c r="BQ79" s="1021">
        <f>(VLOOKUP(YEAR($A79),'NY East Load Projections'!$A$4:$EO$14,((MONTH($A79)-1)*12)+VLOOKUP(BQ$4,$DE$6:$DF$17,2)+1))*$D79</f>
        <v>-360.74984436453218</v>
      </c>
      <c r="BR79" s="1021">
        <f>(VLOOKUP(YEAR($A79),'NY East Load Projections'!$A$4:$EO$14,((MONTH($A79)-1)*12)+VLOOKUP(BR$4,$DE$6:$DF$17,2)+1))*$D79</f>
        <v>-360.54565603471542</v>
      </c>
      <c r="BS79" s="1021">
        <f>(VLOOKUP(YEAR($A79),'NY East Load Projections'!$A$4:$EO$14,((MONTH($A79)-1)*12)+VLOOKUP(BS$4,$DE$6:$DF$17,2)+1))*$D79</f>
        <v>-360.54565603471542</v>
      </c>
      <c r="BT79" s="1021">
        <f>(VLOOKUP(YEAR($A79),'NY East Load Projections'!$A$4:$EO$14,((MONTH($A79)-1)*12)+VLOOKUP(BT$4,$DE$6:$DF$17,2)+1))*$D79</f>
        <v>-360.54565603471542</v>
      </c>
      <c r="BU79" s="1021">
        <f>(VLOOKUP(YEAR($A79),'NY East Load Projections'!$A$4:$EO$14,((MONTH($A79)-1)*12)+VLOOKUP(BU$4,$DE$6:$DF$17,2)+1))*$D79</f>
        <v>-360.54565603471542</v>
      </c>
      <c r="BV79" s="1021">
        <f>(VLOOKUP(YEAR($A79),'NY East Load Projections'!$A$4:$EO$14,((MONTH($A79)-1)*12)+VLOOKUP(BV$4,$DE$6:$DF$17,2)+1))*$D79</f>
        <v>-345.37859636007562</v>
      </c>
      <c r="BW79" s="1021">
        <f>(VLOOKUP(YEAR($A79),'NY East Load Projections'!$A$4:$EO$14,((MONTH($A79)-1)*12)+VLOOKUP(BW$4,$DE$6:$DF$17,2)+1))*$D79</f>
        <v>-345.37859636007562</v>
      </c>
      <c r="BX79" s="1021">
        <f>(VLOOKUP(YEAR($A79),'NY East Load Projections'!$A$4:$EO$14,((MONTH($A79)-1)*12)+VLOOKUP(BX$4,$DE$6:$DF$17,2)+1))*$D79</f>
        <v>-345.37859636007562</v>
      </c>
      <c r="BY79" s="1021">
        <f>(VLOOKUP(YEAR($A79),'NY East Load Projections'!$A$4:$EO$14,((MONTH($A79)-1)*12)+VLOOKUP(BY$4,$DE$6:$DF$17,2)+1))*$D79</f>
        <v>-345.37859636007562</v>
      </c>
      <c r="BZ79" s="1021">
        <f>(VLOOKUP(YEAR($A79),'NY East Load Projections'!$A$4:$EO$14,((MONTH($A79)-1)*12)+VLOOKUP(BZ$4,$DE$6:$DF$17,2)+1))*$D79</f>
        <v>-334.51376750633239</v>
      </c>
      <c r="CA79" s="1021">
        <f>(VLOOKUP(YEAR($A79),'NY East Load Projections'!$A$4:$EO$14,((MONTH($A79)-1)*12)+VLOOKUP(CA$4,$DE$6:$DF$17,2)+1))*$D79</f>
        <v>-334.51376750633239</v>
      </c>
      <c r="CB79" s="1021">
        <f>(VLOOKUP(YEAR($A79),'NY East Load Projections'!$A$4:$EO$14,((MONTH($A79)-1)*12)+VLOOKUP(CB$4,$DE$6:$DF$17,2)+1))*$D79</f>
        <v>-334.51376750633239</v>
      </c>
      <c r="CC79" s="1021">
        <f>(VLOOKUP(YEAR($A79),'NY East Load Projections'!$A$4:$EO$14,((MONTH($A79)-1)*12)+VLOOKUP(CC$4,$DE$6:$DF$17,2)+1))*$D79</f>
        <v>-334.51376750633239</v>
      </c>
      <c r="CE79" s="1021">
        <f>(VLOOKUP(YEAR($A79),'NY East Load Projections'!$A$4:$EO$14,((MONTH($A79)-1)*12)+VLOOKUP(CE$4,$DE$6:$DF$17,2)+1))*$E79</f>
        <v>0</v>
      </c>
      <c r="CF79" s="1021">
        <f>(VLOOKUP(YEAR($A79),'NY East Load Projections'!$A$4:$EO$14,((MONTH($A79)-1)*12)+VLOOKUP(CF$4,$DE$6:$DF$17,2)+1))*$E79</f>
        <v>0</v>
      </c>
      <c r="CG79" s="1021">
        <f>(VLOOKUP(YEAR($A79),'NY East Load Projections'!$A$4:$EO$14,((MONTH($A79)-1)*12)+VLOOKUP(CG$4,$DE$6:$DF$17,2)+1))*$E79</f>
        <v>0</v>
      </c>
      <c r="CH79" s="1021">
        <f>(VLOOKUP(YEAR($A79),'NY East Load Projections'!$A$4:$EO$14,((MONTH($A79)-1)*12)+VLOOKUP(CH$4,$DE$6:$DF$17,2)+1))*$E79</f>
        <v>0</v>
      </c>
      <c r="CI79" s="1021">
        <f>(VLOOKUP(YEAR($A79),'NY East Load Projections'!$A$4:$EO$14,((MONTH($A79)-1)*12)+VLOOKUP(CI$4,$DE$6:$DF$17,2)+1))*$E79</f>
        <v>0</v>
      </c>
      <c r="CJ79" s="1021">
        <f>(VLOOKUP(YEAR($A79),'NY East Load Projections'!$A$4:$EO$14,((MONTH($A79)-1)*12)+VLOOKUP(CJ$4,$DE$6:$DF$17,2)+1))*$E79</f>
        <v>0</v>
      </c>
      <c r="CK79" s="1021">
        <f>(VLOOKUP(YEAR($A79),'NY East Load Projections'!$A$4:$EO$14,((MONTH($A79)-1)*12)+VLOOKUP(CK$4,$DE$6:$DF$17,2)+1))*$E79</f>
        <v>0</v>
      </c>
      <c r="CL79" s="1021">
        <f>(VLOOKUP(YEAR($A79),'NY East Load Projections'!$A$4:$EO$14,((MONTH($A79)-1)*12)+VLOOKUP(CL$4,$DE$6:$DF$17,2)+1))*$E79</f>
        <v>0</v>
      </c>
      <c r="CM79" s="1021">
        <f>(VLOOKUP(YEAR($A79),'NY East Load Projections'!$A$4:$EO$14,((MONTH($A79)-1)*12)+VLOOKUP(CM$4,$DE$6:$DF$17,2)+1))*$E79</f>
        <v>0</v>
      </c>
      <c r="CN79" s="1021">
        <f>(VLOOKUP(YEAR($A79),'NY East Load Projections'!$A$4:$EO$14,((MONTH($A79)-1)*12)+VLOOKUP(CN$4,$DE$6:$DF$17,2)+1))*$E79</f>
        <v>0</v>
      </c>
      <c r="CO79" s="1021">
        <f>(VLOOKUP(YEAR($A79),'NY East Load Projections'!$A$4:$EO$14,((MONTH($A79)-1)*12)+VLOOKUP(CO$4,$DE$6:$DF$17,2)+1))*$E79</f>
        <v>0</v>
      </c>
      <c r="CP79" s="1021">
        <f>(VLOOKUP(YEAR($A79),'NY East Load Projections'!$A$4:$EO$14,((MONTH($A79)-1)*12)+VLOOKUP(CP$4,$DE$6:$DF$17,2)+1))*$E79</f>
        <v>0</v>
      </c>
      <c r="CQ79" s="1021">
        <f>(VLOOKUP(YEAR($A79),'NY East Load Projections'!$A$4:$EO$14,((MONTH($A79)-1)*12)+VLOOKUP(CQ$4,$DE$6:$DF$17,2)+1))*$E79</f>
        <v>0</v>
      </c>
      <c r="CR79" s="1021">
        <f>(VLOOKUP(YEAR($A79),'NY East Load Projections'!$A$4:$EO$14,((MONTH($A79)-1)*12)+VLOOKUP(CR$4,$DE$6:$DF$17,2)+1))*$E79</f>
        <v>0</v>
      </c>
      <c r="CS79" s="1021">
        <f>(VLOOKUP(YEAR($A79),'NY East Load Projections'!$A$4:$EO$14,((MONTH($A79)-1)*12)+VLOOKUP(CS$4,$DE$6:$DF$17,2)+1))*$E79</f>
        <v>0</v>
      </c>
      <c r="CT79" s="1021">
        <f>(VLOOKUP(YEAR($A79),'NY East Load Projections'!$A$4:$EO$14,((MONTH($A79)-1)*12)+VLOOKUP(CT$4,$DE$6:$DF$17,2)+1))*$E79</f>
        <v>0</v>
      </c>
      <c r="CU79" s="1021">
        <f>(VLOOKUP(YEAR($A79),'NY East Load Projections'!$A$4:$EO$14,((MONTH($A79)-1)*12)+VLOOKUP(CU$4,$DE$6:$DF$17,2)+1))*$E79</f>
        <v>0</v>
      </c>
      <c r="CV79" s="1021">
        <f>(VLOOKUP(YEAR($A79),'NY East Load Projections'!$A$4:$EO$14,((MONTH($A79)-1)*12)+VLOOKUP(CV$4,$DE$6:$DF$17,2)+1))*$E79</f>
        <v>0</v>
      </c>
      <c r="CW79" s="1021">
        <f>(VLOOKUP(YEAR($A79),'NY East Load Projections'!$A$4:$EO$14,((MONTH($A79)-1)*12)+VLOOKUP(CW$4,$DE$6:$DF$17,2)+1))*$E79</f>
        <v>0</v>
      </c>
      <c r="CX79" s="1021">
        <f>(VLOOKUP(YEAR($A79),'NY East Load Projections'!$A$4:$EO$14,((MONTH($A79)-1)*12)+VLOOKUP(CX$4,$DE$6:$DF$17,2)+1))*$E79</f>
        <v>0</v>
      </c>
      <c r="CY79" s="1021">
        <f>(VLOOKUP(YEAR($A79),'NY East Load Projections'!$A$4:$EO$14,((MONTH($A79)-1)*12)+VLOOKUP(CY$4,$DE$6:$DF$17,2)+1))*$E79</f>
        <v>0</v>
      </c>
      <c r="CZ79" s="1021">
        <f>(VLOOKUP(YEAR($A79),'NY East Load Projections'!$A$4:$EO$14,((MONTH($A79)-1)*12)+VLOOKUP(CZ$4,$DE$6:$DF$17,2)+1))*$E79</f>
        <v>0</v>
      </c>
      <c r="DA79" s="1021">
        <f>(VLOOKUP(YEAR($A79),'NY East Load Projections'!$A$4:$EO$14,((MONTH($A79)-1)*12)+VLOOKUP(DA$4,$DE$6:$DF$17,2)+1))*$E79</f>
        <v>0</v>
      </c>
      <c r="DB79" s="1021">
        <f>(VLOOKUP(YEAR($A79),'NY East Load Projections'!$A$4:$EO$14,((MONTH($A79)-1)*12)+VLOOKUP(DB$4,$DE$6:$DF$17,2)+1))*$E79</f>
        <v>0</v>
      </c>
      <c r="DH79" s="1009">
        <f t="shared" si="3"/>
        <v>-57667.571242919337</v>
      </c>
      <c r="DI79">
        <f ca="1">CALC!J99</f>
        <v>0.60071826693255137</v>
      </c>
      <c r="DJ79" s="1032">
        <f t="shared" ca="1" si="4"/>
        <v>-34641.963455255944</v>
      </c>
    </row>
    <row r="80" spans="1:114" x14ac:dyDescent="0.25">
      <c r="A80" s="244">
        <v>39142</v>
      </c>
      <c r="B80" s="13">
        <v>22</v>
      </c>
      <c r="C80" s="210">
        <v>5</v>
      </c>
      <c r="D80" s="210">
        <v>4</v>
      </c>
      <c r="E80" s="210">
        <v>0</v>
      </c>
      <c r="F80" s="13">
        <v>31</v>
      </c>
      <c r="H80" s="1021">
        <f>(VLOOKUP(YEAR($A80),'NY East Load Projections'!$A$4:$EO$14,((MONTH($A80)-1)*12)+VLOOKUP(H$4,$DE$6:$DF$17,2)+1))*$B80</f>
        <v>-1635.3672408133489</v>
      </c>
      <c r="I80" s="1021">
        <f>(VLOOKUP(YEAR($A80),'NY East Load Projections'!$A$4:$EO$14,((MONTH($A80)-1)*12)+VLOOKUP(I$4,$DE$6:$DF$17,2)+1))*$B80</f>
        <v>-1635.3672408133489</v>
      </c>
      <c r="J80" s="1021">
        <f>(VLOOKUP(YEAR($A80),'NY East Load Projections'!$A$4:$EO$14,((MONTH($A80)-1)*12)+VLOOKUP(J$4,$DE$6:$DF$17,2)+1))*$B80</f>
        <v>-1635.3672408133489</v>
      </c>
      <c r="K80" s="1021">
        <f>(VLOOKUP(YEAR($A80),'NY East Load Projections'!$A$4:$EO$14,((MONTH($A80)-1)*12)+VLOOKUP(K$4,$DE$6:$DF$17,2)+1))*$B80</f>
        <v>-1635.3672408133489</v>
      </c>
      <c r="L80" s="1021">
        <f>(VLOOKUP(YEAR($A80),'NY East Load Projections'!$A$4:$EO$14,((MONTH($A80)-1)*12)+VLOOKUP(L$4,$DE$6:$DF$17,2)+1))*$B80</f>
        <v>-1783.8206892006638</v>
      </c>
      <c r="M80" s="1021">
        <f>(VLOOKUP(YEAR($A80),'NY East Load Projections'!$A$4:$EO$14,((MONTH($A80)-1)*12)+VLOOKUP(M$4,$DE$6:$DF$17,2)+1))*$B80</f>
        <v>-1783.8206892006638</v>
      </c>
      <c r="N80" s="1021">
        <f>(VLOOKUP(YEAR($A80),'NY East Load Projections'!$A$4:$EO$14,((MONTH($A80)-1)*12)+VLOOKUP(N$4,$DE$6:$DF$17,2)+1))*$B80</f>
        <v>-1783.8206892006638</v>
      </c>
      <c r="O80" s="1021">
        <f>(VLOOKUP(YEAR($A80),'NY East Load Projections'!$A$4:$EO$14,((MONTH($A80)-1)*12)+VLOOKUP(O$4,$DE$6:$DF$17,2)+1))*$B80</f>
        <v>-1783.8206892006638</v>
      </c>
      <c r="P80" s="1021">
        <f>(VLOOKUP(YEAR($A80),'NY East Load Projections'!$A$4:$EO$14,((MONTH($A80)-1)*12)+VLOOKUP(P$4,$DE$6:$DF$17,2)+1))*$B80</f>
        <v>-1908.8064550260281</v>
      </c>
      <c r="Q80" s="1021">
        <f>(VLOOKUP(YEAR($A80),'NY East Load Projections'!$A$4:$EO$14,((MONTH($A80)-1)*12)+VLOOKUP(Q$4,$DE$6:$DF$17,2)+1))*$B80</f>
        <v>-1908.8064550260281</v>
      </c>
      <c r="R80" s="1021">
        <f>(VLOOKUP(YEAR($A80),'NY East Load Projections'!$A$4:$EO$14,((MONTH($A80)-1)*12)+VLOOKUP(R$4,$DE$6:$DF$17,2)+1))*$B80</f>
        <v>-1908.8064550260281</v>
      </c>
      <c r="S80" s="1021">
        <f>(VLOOKUP(YEAR($A80),'NY East Load Projections'!$A$4:$EO$14,((MONTH($A80)-1)*12)+VLOOKUP(S$4,$DE$6:$DF$17,2)+1))*$B80</f>
        <v>-1908.8064550260281</v>
      </c>
      <c r="T80" s="1021">
        <f>(VLOOKUP(YEAR($A80),'NY East Load Projections'!$A$4:$EO$14,((MONTH($A80)-1)*12)+VLOOKUP(T$4,$DE$6:$DF$17,2)+1))*$B80</f>
        <v>-1962.9556661593647</v>
      </c>
      <c r="U80" s="1021">
        <f>(VLOOKUP(YEAR($A80),'NY East Load Projections'!$A$4:$EO$14,((MONTH($A80)-1)*12)+VLOOKUP(U$4,$DE$6:$DF$17,2)+1))*$B80</f>
        <v>-1962.9556661593647</v>
      </c>
      <c r="V80" s="1021">
        <f>(VLOOKUP(YEAR($A80),'NY East Load Projections'!$A$4:$EO$14,((MONTH($A80)-1)*12)+VLOOKUP(V$4,$DE$6:$DF$17,2)+1))*$B80</f>
        <v>-1962.9556661593647</v>
      </c>
      <c r="W80" s="1021">
        <f>(VLOOKUP(YEAR($A80),'NY East Load Projections'!$A$4:$EO$14,((MONTH($A80)-1)*12)+VLOOKUP(W$4,$DE$6:$DF$17,2)+1))*$B80</f>
        <v>-1962.9556661593647</v>
      </c>
      <c r="X80" s="1021">
        <f>(VLOOKUP(YEAR($A80),'NY East Load Projections'!$A$4:$EO$14,((MONTH($A80)-1)*12)+VLOOKUP(X$4,$DE$6:$DF$17,2)+1))*$B80</f>
        <v>-1884.9428128249272</v>
      </c>
      <c r="Y80" s="1021">
        <f>(VLOOKUP(YEAR($A80),'NY East Load Projections'!$A$4:$EO$14,((MONTH($A80)-1)*12)+VLOOKUP(Y$4,$DE$6:$DF$17,2)+1))*$B80</f>
        <v>-1884.9428128249272</v>
      </c>
      <c r="Z80" s="1021">
        <f>(VLOOKUP(YEAR($A80),'NY East Load Projections'!$A$4:$EO$14,((MONTH($A80)-1)*12)+VLOOKUP(Z$4,$DE$6:$DF$17,2)+1))*$B80</f>
        <v>-1884.9428128249272</v>
      </c>
      <c r="AA80" s="1021">
        <f>(VLOOKUP(YEAR($A80),'NY East Load Projections'!$A$4:$EO$14,((MONTH($A80)-1)*12)+VLOOKUP(AA$4,$DE$6:$DF$17,2)+1))*$B80</f>
        <v>-1884.9428128249272</v>
      </c>
      <c r="AB80" s="1021">
        <f>(VLOOKUP(YEAR($A80),'NY East Load Projections'!$A$4:$EO$14,((MONTH($A80)-1)*12)+VLOOKUP(AB$4,$DE$6:$DF$17,2)+1))*$B80</f>
        <v>-1738.1343681750343</v>
      </c>
      <c r="AC80" s="1021">
        <f>(VLOOKUP(YEAR($A80),'NY East Load Projections'!$A$4:$EO$14,((MONTH($A80)-1)*12)+VLOOKUP(AC$4,$DE$6:$DF$17,2)+1))*$B80</f>
        <v>-1738.1343681750343</v>
      </c>
      <c r="AD80" s="1021">
        <f>(VLOOKUP(YEAR($A80),'NY East Load Projections'!$A$4:$EO$14,((MONTH($A80)-1)*12)+VLOOKUP(AD$4,$DE$6:$DF$17,2)+1))*$B80</f>
        <v>-1738.1343681750343</v>
      </c>
      <c r="AE80" s="1021">
        <f>(VLOOKUP(YEAR($A80),'NY East Load Projections'!$A$4:$EO$14,((MONTH($A80)-1)*12)+VLOOKUP(AE$4,$DE$6:$DF$17,2)+1))*$B80</f>
        <v>-1738.1343681750343</v>
      </c>
      <c r="AF80" s="1021"/>
      <c r="AG80" s="1021">
        <f>(VLOOKUP(YEAR($A80),'NY East Load Projections'!$A$4:$EO$14,((MONTH($A80)-1)*12)+VLOOKUP(AG$4,$DE$6:$DF$17,2)+1))*$C80</f>
        <v>-411.47449688350059</v>
      </c>
      <c r="AH80" s="1021">
        <f>(VLOOKUP(YEAR($A80),'NY East Load Projections'!$A$4:$EO$14,((MONTH($A80)-1)*12)+VLOOKUP(AH$4,$DE$6:$DF$17,2)+1))*$C80</f>
        <v>-411.47449688350059</v>
      </c>
      <c r="AI80" s="1021">
        <f>(VLOOKUP(YEAR($A80),'NY East Load Projections'!$A$4:$EO$14,((MONTH($A80)-1)*12)+VLOOKUP(AI$4,$DE$6:$DF$17,2)+1))*$C80</f>
        <v>-411.47449688350059</v>
      </c>
      <c r="AJ80" s="1021">
        <f>(VLOOKUP(YEAR($A80),'NY East Load Projections'!$A$4:$EO$14,((MONTH($A80)-1)*12)+VLOOKUP(AJ$4,$DE$6:$DF$17,2)+1))*$C80</f>
        <v>-411.47449688350059</v>
      </c>
      <c r="AK80" s="1021">
        <f>(VLOOKUP(YEAR($A80),'NY East Load Projections'!$A$4:$EO$14,((MONTH($A80)-1)*12)+VLOOKUP(AK$4,$DE$6:$DF$17,2)+1))*$C80</f>
        <v>-416.55511911520568</v>
      </c>
      <c r="AL80" s="1021">
        <f>(VLOOKUP(YEAR($A80),'NY East Load Projections'!$A$4:$EO$14,((MONTH($A80)-1)*12)+VLOOKUP(AL$4,$DE$6:$DF$17,2)+1))*$C80</f>
        <v>-416.55511911520568</v>
      </c>
      <c r="AM80" s="1021">
        <f>(VLOOKUP(YEAR($A80),'NY East Load Projections'!$A$4:$EO$14,((MONTH($A80)-1)*12)+VLOOKUP(AM$4,$DE$6:$DF$17,2)+1))*$C80</f>
        <v>-416.55511911520568</v>
      </c>
      <c r="AN80" s="1021">
        <f>(VLOOKUP(YEAR($A80),'NY East Load Projections'!$A$4:$EO$14,((MONTH($A80)-1)*12)+VLOOKUP(AN$4,$DE$6:$DF$17,2)+1))*$C80</f>
        <v>-416.55511911520568</v>
      </c>
      <c r="AO80" s="1021">
        <f>(VLOOKUP(YEAR($A80),'NY East Load Projections'!$A$4:$EO$14,((MONTH($A80)-1)*12)+VLOOKUP(AO$4,$DE$6:$DF$17,2)+1))*$C80</f>
        <v>-444.32572623592301</v>
      </c>
      <c r="AP80" s="1021">
        <f>(VLOOKUP(YEAR($A80),'NY East Load Projections'!$A$4:$EO$14,((MONTH($A80)-1)*12)+VLOOKUP(AP$4,$DE$6:$DF$17,2)+1))*$C80</f>
        <v>-444.32572623592301</v>
      </c>
      <c r="AQ80" s="1021">
        <f>(VLOOKUP(YEAR($A80),'NY East Load Projections'!$A$4:$EO$14,((MONTH($A80)-1)*12)+VLOOKUP(AQ$4,$DE$6:$DF$17,2)+1))*$C80</f>
        <v>-444.32572623592301</v>
      </c>
      <c r="AR80" s="1021">
        <f>(VLOOKUP(YEAR($A80),'NY East Load Projections'!$A$4:$EO$14,((MONTH($A80)-1)*12)+VLOOKUP(AR$4,$DE$6:$DF$17,2)+1))*$C80</f>
        <v>-444.32572623592301</v>
      </c>
      <c r="AS80" s="1021">
        <f>(VLOOKUP(YEAR($A80),'NY East Load Projections'!$A$4:$EO$14,((MONTH($A80)-1)*12)+VLOOKUP(AS$4,$DE$6:$DF$17,2)+1))*$C80</f>
        <v>-446.15983236900041</v>
      </c>
      <c r="AT80" s="1021">
        <f>(VLOOKUP(YEAR($A80),'NY East Load Projections'!$A$4:$EO$14,((MONTH($A80)-1)*12)+VLOOKUP(AT$4,$DE$6:$DF$17,2)+1))*$C80</f>
        <v>-446.15983236900041</v>
      </c>
      <c r="AU80" s="1021">
        <f>(VLOOKUP(YEAR($A80),'NY East Load Projections'!$A$4:$EO$14,((MONTH($A80)-1)*12)+VLOOKUP(AU$4,$DE$6:$DF$17,2)+1))*$C80</f>
        <v>-446.15983236900041</v>
      </c>
      <c r="AV80" s="1021">
        <f>(VLOOKUP(YEAR($A80),'NY East Load Projections'!$A$4:$EO$14,((MONTH($A80)-1)*12)+VLOOKUP(AV$4,$DE$6:$DF$17,2)+1))*$C80</f>
        <v>-446.15983236900041</v>
      </c>
      <c r="AW80" s="1021">
        <f>(VLOOKUP(YEAR($A80),'NY East Load Projections'!$A$4:$EO$14,((MONTH($A80)-1)*12)+VLOOKUP(AW$4,$DE$6:$DF$17,2)+1))*$C80</f>
        <v>-429.33540287439206</v>
      </c>
      <c r="AX80" s="1021">
        <f>(VLOOKUP(YEAR($A80),'NY East Load Projections'!$A$4:$EO$14,((MONTH($A80)-1)*12)+VLOOKUP(AX$4,$DE$6:$DF$17,2)+1))*$C80</f>
        <v>-429.33540287439206</v>
      </c>
      <c r="AY80" s="1021">
        <f>(VLOOKUP(YEAR($A80),'NY East Load Projections'!$A$4:$EO$14,((MONTH($A80)-1)*12)+VLOOKUP(AY$4,$DE$6:$DF$17,2)+1))*$C80</f>
        <v>-429.33540287439206</v>
      </c>
      <c r="AZ80" s="1021">
        <f>(VLOOKUP(YEAR($A80),'NY East Load Projections'!$A$4:$EO$14,((MONTH($A80)-1)*12)+VLOOKUP(AZ$4,$DE$6:$DF$17,2)+1))*$C80</f>
        <v>-429.33540287439206</v>
      </c>
      <c r="BA80" s="1021">
        <f>(VLOOKUP(YEAR($A80),'NY East Load Projections'!$A$4:$EO$14,((MONTH($A80)-1)*12)+VLOOKUP(BA$4,$DE$6:$DF$17,2)+1))*$C80</f>
        <v>-414.551489311441</v>
      </c>
      <c r="BB80" s="1021">
        <f>(VLOOKUP(YEAR($A80),'NY East Load Projections'!$A$4:$EO$14,((MONTH($A80)-1)*12)+VLOOKUP(BB$4,$DE$6:$DF$17,2)+1))*$C80</f>
        <v>-414.551489311441</v>
      </c>
      <c r="BC80" s="1021">
        <f>(VLOOKUP(YEAR($A80),'NY East Load Projections'!$A$4:$EO$14,((MONTH($A80)-1)*12)+VLOOKUP(BC$4,$DE$6:$DF$17,2)+1))*$C80</f>
        <v>-414.551489311441</v>
      </c>
      <c r="BD80" s="1021">
        <f>(VLOOKUP(YEAR($A80),'NY East Load Projections'!$A$4:$EO$14,((MONTH($A80)-1)*12)+VLOOKUP(BD$4,$DE$6:$DF$17,2)+1))*$C80</f>
        <v>-414.551489311441</v>
      </c>
      <c r="BE80" s="1021"/>
      <c r="BF80" s="1021">
        <f>(VLOOKUP(YEAR($A80),'NY East Load Projections'!$A$4:$EO$14,((MONTH($A80)-1)*12)+VLOOKUP(BF$4,$DE$6:$DF$17,2)+1))*$D80</f>
        <v>-329.17959750680046</v>
      </c>
      <c r="BG80" s="1021">
        <f>(VLOOKUP(YEAR($A80),'NY East Load Projections'!$A$4:$EO$14,((MONTH($A80)-1)*12)+VLOOKUP(BG$4,$DE$6:$DF$17,2)+1))*$D80</f>
        <v>-329.17959750680046</v>
      </c>
      <c r="BH80" s="1021">
        <f>(VLOOKUP(YEAR($A80),'NY East Load Projections'!$A$4:$EO$14,((MONTH($A80)-1)*12)+VLOOKUP(BH$4,$DE$6:$DF$17,2)+1))*$D80</f>
        <v>-329.17959750680046</v>
      </c>
      <c r="BI80" s="1021">
        <f>(VLOOKUP(YEAR($A80),'NY East Load Projections'!$A$4:$EO$14,((MONTH($A80)-1)*12)+VLOOKUP(BI$4,$DE$6:$DF$17,2)+1))*$D80</f>
        <v>-329.17959750680046</v>
      </c>
      <c r="BJ80" s="1021">
        <f>(VLOOKUP(YEAR($A80),'NY East Load Projections'!$A$4:$EO$14,((MONTH($A80)-1)*12)+VLOOKUP(BJ$4,$DE$6:$DF$17,2)+1))*$D80</f>
        <v>-333.24409529216456</v>
      </c>
      <c r="BK80" s="1021">
        <f>(VLOOKUP(YEAR($A80),'NY East Load Projections'!$A$4:$EO$14,((MONTH($A80)-1)*12)+VLOOKUP(BK$4,$DE$6:$DF$17,2)+1))*$D80</f>
        <v>-333.24409529216456</v>
      </c>
      <c r="BL80" s="1021">
        <f>(VLOOKUP(YEAR($A80),'NY East Load Projections'!$A$4:$EO$14,((MONTH($A80)-1)*12)+VLOOKUP(BL$4,$DE$6:$DF$17,2)+1))*$D80</f>
        <v>-333.24409529216456</v>
      </c>
      <c r="BM80" s="1021">
        <f>(VLOOKUP(YEAR($A80),'NY East Load Projections'!$A$4:$EO$14,((MONTH($A80)-1)*12)+VLOOKUP(BM$4,$DE$6:$DF$17,2)+1))*$D80</f>
        <v>-333.24409529216456</v>
      </c>
      <c r="BN80" s="1021">
        <f>(VLOOKUP(YEAR($A80),'NY East Load Projections'!$A$4:$EO$14,((MONTH($A80)-1)*12)+VLOOKUP(BN$4,$DE$6:$DF$17,2)+1))*$D80</f>
        <v>-355.4605809887384</v>
      </c>
      <c r="BO80" s="1021">
        <f>(VLOOKUP(YEAR($A80),'NY East Load Projections'!$A$4:$EO$14,((MONTH($A80)-1)*12)+VLOOKUP(BO$4,$DE$6:$DF$17,2)+1))*$D80</f>
        <v>-355.4605809887384</v>
      </c>
      <c r="BP80" s="1021">
        <f>(VLOOKUP(YEAR($A80),'NY East Load Projections'!$A$4:$EO$14,((MONTH($A80)-1)*12)+VLOOKUP(BP$4,$DE$6:$DF$17,2)+1))*$D80</f>
        <v>-355.4605809887384</v>
      </c>
      <c r="BQ80" s="1021">
        <f>(VLOOKUP(YEAR($A80),'NY East Load Projections'!$A$4:$EO$14,((MONTH($A80)-1)*12)+VLOOKUP(BQ$4,$DE$6:$DF$17,2)+1))*$D80</f>
        <v>-355.4605809887384</v>
      </c>
      <c r="BR80" s="1021">
        <f>(VLOOKUP(YEAR($A80),'NY East Load Projections'!$A$4:$EO$14,((MONTH($A80)-1)*12)+VLOOKUP(BR$4,$DE$6:$DF$17,2)+1))*$D80</f>
        <v>-356.92786589520034</v>
      </c>
      <c r="BS80" s="1021">
        <f>(VLOOKUP(YEAR($A80),'NY East Load Projections'!$A$4:$EO$14,((MONTH($A80)-1)*12)+VLOOKUP(BS$4,$DE$6:$DF$17,2)+1))*$D80</f>
        <v>-356.92786589520034</v>
      </c>
      <c r="BT80" s="1021">
        <f>(VLOOKUP(YEAR($A80),'NY East Load Projections'!$A$4:$EO$14,((MONTH($A80)-1)*12)+VLOOKUP(BT$4,$DE$6:$DF$17,2)+1))*$D80</f>
        <v>-356.92786589520034</v>
      </c>
      <c r="BU80" s="1021">
        <f>(VLOOKUP(YEAR($A80),'NY East Load Projections'!$A$4:$EO$14,((MONTH($A80)-1)*12)+VLOOKUP(BU$4,$DE$6:$DF$17,2)+1))*$D80</f>
        <v>-356.92786589520034</v>
      </c>
      <c r="BV80" s="1021">
        <f>(VLOOKUP(YEAR($A80),'NY East Load Projections'!$A$4:$EO$14,((MONTH($A80)-1)*12)+VLOOKUP(BV$4,$DE$6:$DF$17,2)+1))*$D80</f>
        <v>-343.46832229951366</v>
      </c>
      <c r="BW80" s="1021">
        <f>(VLOOKUP(YEAR($A80),'NY East Load Projections'!$A$4:$EO$14,((MONTH($A80)-1)*12)+VLOOKUP(BW$4,$DE$6:$DF$17,2)+1))*$D80</f>
        <v>-343.46832229951366</v>
      </c>
      <c r="BX80" s="1021">
        <f>(VLOOKUP(YEAR($A80),'NY East Load Projections'!$A$4:$EO$14,((MONTH($A80)-1)*12)+VLOOKUP(BX$4,$DE$6:$DF$17,2)+1))*$D80</f>
        <v>-343.46832229951366</v>
      </c>
      <c r="BY80" s="1021">
        <f>(VLOOKUP(YEAR($A80),'NY East Load Projections'!$A$4:$EO$14,((MONTH($A80)-1)*12)+VLOOKUP(BY$4,$DE$6:$DF$17,2)+1))*$D80</f>
        <v>-343.46832229951366</v>
      </c>
      <c r="BZ80" s="1021">
        <f>(VLOOKUP(YEAR($A80),'NY East Load Projections'!$A$4:$EO$14,((MONTH($A80)-1)*12)+VLOOKUP(BZ$4,$DE$6:$DF$17,2)+1))*$D80</f>
        <v>-331.64119144915281</v>
      </c>
      <c r="CA80" s="1021">
        <f>(VLOOKUP(YEAR($A80),'NY East Load Projections'!$A$4:$EO$14,((MONTH($A80)-1)*12)+VLOOKUP(CA$4,$DE$6:$DF$17,2)+1))*$D80</f>
        <v>-331.64119144915281</v>
      </c>
      <c r="CB80" s="1021">
        <f>(VLOOKUP(YEAR($A80),'NY East Load Projections'!$A$4:$EO$14,((MONTH($A80)-1)*12)+VLOOKUP(CB$4,$DE$6:$DF$17,2)+1))*$D80</f>
        <v>-331.64119144915281</v>
      </c>
      <c r="CC80" s="1021">
        <f>(VLOOKUP(YEAR($A80),'NY East Load Projections'!$A$4:$EO$14,((MONTH($A80)-1)*12)+VLOOKUP(CC$4,$DE$6:$DF$17,2)+1))*$D80</f>
        <v>-331.64119144915281</v>
      </c>
      <c r="CE80" s="1021">
        <f>(VLOOKUP(YEAR($A80),'NY East Load Projections'!$A$4:$EO$14,((MONTH($A80)-1)*12)+VLOOKUP(CE$4,$DE$6:$DF$17,2)+1))*$E80</f>
        <v>0</v>
      </c>
      <c r="CF80" s="1021">
        <f>(VLOOKUP(YEAR($A80),'NY East Load Projections'!$A$4:$EO$14,((MONTH($A80)-1)*12)+VLOOKUP(CF$4,$DE$6:$DF$17,2)+1))*$E80</f>
        <v>0</v>
      </c>
      <c r="CG80" s="1021">
        <f>(VLOOKUP(YEAR($A80),'NY East Load Projections'!$A$4:$EO$14,((MONTH($A80)-1)*12)+VLOOKUP(CG$4,$DE$6:$DF$17,2)+1))*$E80</f>
        <v>0</v>
      </c>
      <c r="CH80" s="1021">
        <f>(VLOOKUP(YEAR($A80),'NY East Load Projections'!$A$4:$EO$14,((MONTH($A80)-1)*12)+VLOOKUP(CH$4,$DE$6:$DF$17,2)+1))*$E80</f>
        <v>0</v>
      </c>
      <c r="CI80" s="1021">
        <f>(VLOOKUP(YEAR($A80),'NY East Load Projections'!$A$4:$EO$14,((MONTH($A80)-1)*12)+VLOOKUP(CI$4,$DE$6:$DF$17,2)+1))*$E80</f>
        <v>0</v>
      </c>
      <c r="CJ80" s="1021">
        <f>(VLOOKUP(YEAR($A80),'NY East Load Projections'!$A$4:$EO$14,((MONTH($A80)-1)*12)+VLOOKUP(CJ$4,$DE$6:$DF$17,2)+1))*$E80</f>
        <v>0</v>
      </c>
      <c r="CK80" s="1021">
        <f>(VLOOKUP(YEAR($A80),'NY East Load Projections'!$A$4:$EO$14,((MONTH($A80)-1)*12)+VLOOKUP(CK$4,$DE$6:$DF$17,2)+1))*$E80</f>
        <v>0</v>
      </c>
      <c r="CL80" s="1021">
        <f>(VLOOKUP(YEAR($A80),'NY East Load Projections'!$A$4:$EO$14,((MONTH($A80)-1)*12)+VLOOKUP(CL$4,$DE$6:$DF$17,2)+1))*$E80</f>
        <v>0</v>
      </c>
      <c r="CM80" s="1021">
        <f>(VLOOKUP(YEAR($A80),'NY East Load Projections'!$A$4:$EO$14,((MONTH($A80)-1)*12)+VLOOKUP(CM$4,$DE$6:$DF$17,2)+1))*$E80</f>
        <v>0</v>
      </c>
      <c r="CN80" s="1021">
        <f>(VLOOKUP(YEAR($A80),'NY East Load Projections'!$A$4:$EO$14,((MONTH($A80)-1)*12)+VLOOKUP(CN$4,$DE$6:$DF$17,2)+1))*$E80</f>
        <v>0</v>
      </c>
      <c r="CO80" s="1021">
        <f>(VLOOKUP(YEAR($A80),'NY East Load Projections'!$A$4:$EO$14,((MONTH($A80)-1)*12)+VLOOKUP(CO$4,$DE$6:$DF$17,2)+1))*$E80</f>
        <v>0</v>
      </c>
      <c r="CP80" s="1021">
        <f>(VLOOKUP(YEAR($A80),'NY East Load Projections'!$A$4:$EO$14,((MONTH($A80)-1)*12)+VLOOKUP(CP$4,$DE$6:$DF$17,2)+1))*$E80</f>
        <v>0</v>
      </c>
      <c r="CQ80" s="1021">
        <f>(VLOOKUP(YEAR($A80),'NY East Load Projections'!$A$4:$EO$14,((MONTH($A80)-1)*12)+VLOOKUP(CQ$4,$DE$6:$DF$17,2)+1))*$E80</f>
        <v>0</v>
      </c>
      <c r="CR80" s="1021">
        <f>(VLOOKUP(YEAR($A80),'NY East Load Projections'!$A$4:$EO$14,((MONTH($A80)-1)*12)+VLOOKUP(CR$4,$DE$6:$DF$17,2)+1))*$E80</f>
        <v>0</v>
      </c>
      <c r="CS80" s="1021">
        <f>(VLOOKUP(YEAR($A80),'NY East Load Projections'!$A$4:$EO$14,((MONTH($A80)-1)*12)+VLOOKUP(CS$4,$DE$6:$DF$17,2)+1))*$E80</f>
        <v>0</v>
      </c>
      <c r="CT80" s="1021">
        <f>(VLOOKUP(YEAR($A80),'NY East Load Projections'!$A$4:$EO$14,((MONTH($A80)-1)*12)+VLOOKUP(CT$4,$DE$6:$DF$17,2)+1))*$E80</f>
        <v>0</v>
      </c>
      <c r="CU80" s="1021">
        <f>(VLOOKUP(YEAR($A80),'NY East Load Projections'!$A$4:$EO$14,((MONTH($A80)-1)*12)+VLOOKUP(CU$4,$DE$6:$DF$17,2)+1))*$E80</f>
        <v>0</v>
      </c>
      <c r="CV80" s="1021">
        <f>(VLOOKUP(YEAR($A80),'NY East Load Projections'!$A$4:$EO$14,((MONTH($A80)-1)*12)+VLOOKUP(CV$4,$DE$6:$DF$17,2)+1))*$E80</f>
        <v>0</v>
      </c>
      <c r="CW80" s="1021">
        <f>(VLOOKUP(YEAR($A80),'NY East Load Projections'!$A$4:$EO$14,((MONTH($A80)-1)*12)+VLOOKUP(CW$4,$DE$6:$DF$17,2)+1))*$E80</f>
        <v>0</v>
      </c>
      <c r="CX80" s="1021">
        <f>(VLOOKUP(YEAR($A80),'NY East Load Projections'!$A$4:$EO$14,((MONTH($A80)-1)*12)+VLOOKUP(CX$4,$DE$6:$DF$17,2)+1))*$E80</f>
        <v>0</v>
      </c>
      <c r="CY80" s="1021">
        <f>(VLOOKUP(YEAR($A80),'NY East Load Projections'!$A$4:$EO$14,((MONTH($A80)-1)*12)+VLOOKUP(CY$4,$DE$6:$DF$17,2)+1))*$E80</f>
        <v>0</v>
      </c>
      <c r="CZ80" s="1021">
        <f>(VLOOKUP(YEAR($A80),'NY East Load Projections'!$A$4:$EO$14,((MONTH($A80)-1)*12)+VLOOKUP(CZ$4,$DE$6:$DF$17,2)+1))*$E80</f>
        <v>0</v>
      </c>
      <c r="DA80" s="1021">
        <f>(VLOOKUP(YEAR($A80),'NY East Load Projections'!$A$4:$EO$14,((MONTH($A80)-1)*12)+VLOOKUP(DA$4,$DE$6:$DF$17,2)+1))*$E80</f>
        <v>0</v>
      </c>
      <c r="DB80" s="1021">
        <f>(VLOOKUP(YEAR($A80),'NY East Load Projections'!$A$4:$EO$14,((MONTH($A80)-1)*12)+VLOOKUP(DB$4,$DE$6:$DF$17,2)+1))*$E80</f>
        <v>0</v>
      </c>
      <c r="DH80" s="1009">
        <f t="shared" si="3"/>
        <v>-62105.403809681615</v>
      </c>
      <c r="DI80">
        <f ca="1">CALC!J100</f>
        <v>0.5969503290230761</v>
      </c>
      <c r="DJ80" s="1032">
        <f t="shared" ca="1" si="4"/>
        <v>-37073.841238300447</v>
      </c>
    </row>
    <row r="81" spans="1:114" x14ac:dyDescent="0.25">
      <c r="A81" s="244">
        <v>39173</v>
      </c>
      <c r="B81" s="13">
        <v>21</v>
      </c>
      <c r="C81" s="210">
        <v>4</v>
      </c>
      <c r="D81" s="210">
        <v>5</v>
      </c>
      <c r="E81" s="210">
        <v>0</v>
      </c>
      <c r="F81" s="13">
        <v>30</v>
      </c>
      <c r="H81" s="1021">
        <f>(VLOOKUP(YEAR($A81),'NY East Load Projections'!$A$4:$EO$14,((MONTH($A81)-1)*12)+VLOOKUP(H$4,$DE$6:$DF$17,2)+1))*$B81</f>
        <v>-1704.1320304888804</v>
      </c>
      <c r="I81" s="1021">
        <f>(VLOOKUP(YEAR($A81),'NY East Load Projections'!$A$4:$EO$14,((MONTH($A81)-1)*12)+VLOOKUP(I$4,$DE$6:$DF$17,2)+1))*$B81</f>
        <v>-1704.1320304888804</v>
      </c>
      <c r="J81" s="1021">
        <f>(VLOOKUP(YEAR($A81),'NY East Load Projections'!$A$4:$EO$14,((MONTH($A81)-1)*12)+VLOOKUP(J$4,$DE$6:$DF$17,2)+1))*$B81</f>
        <v>-1704.1320304888804</v>
      </c>
      <c r="K81" s="1021">
        <f>(VLOOKUP(YEAR($A81),'NY East Load Projections'!$A$4:$EO$14,((MONTH($A81)-1)*12)+VLOOKUP(K$4,$DE$6:$DF$17,2)+1))*$B81</f>
        <v>-1704.1320304888804</v>
      </c>
      <c r="L81" s="1021">
        <f>(VLOOKUP(YEAR($A81),'NY East Load Projections'!$A$4:$EO$14,((MONTH($A81)-1)*12)+VLOOKUP(L$4,$DE$6:$DF$17,2)+1))*$B81</f>
        <v>-1835.4897954339217</v>
      </c>
      <c r="M81" s="1021">
        <f>(VLOOKUP(YEAR($A81),'NY East Load Projections'!$A$4:$EO$14,((MONTH($A81)-1)*12)+VLOOKUP(M$4,$DE$6:$DF$17,2)+1))*$B81</f>
        <v>-1835.4897954339217</v>
      </c>
      <c r="N81" s="1021">
        <f>(VLOOKUP(YEAR($A81),'NY East Load Projections'!$A$4:$EO$14,((MONTH($A81)-1)*12)+VLOOKUP(N$4,$DE$6:$DF$17,2)+1))*$B81</f>
        <v>-1835.4897954339217</v>
      </c>
      <c r="O81" s="1021">
        <f>(VLOOKUP(YEAR($A81),'NY East Load Projections'!$A$4:$EO$14,((MONTH($A81)-1)*12)+VLOOKUP(O$4,$DE$6:$DF$17,2)+1))*$B81</f>
        <v>-1835.4897954339217</v>
      </c>
      <c r="P81" s="1021">
        <f>(VLOOKUP(YEAR($A81),'NY East Load Projections'!$A$4:$EO$14,((MONTH($A81)-1)*12)+VLOOKUP(P$4,$DE$6:$DF$17,2)+1))*$B81</f>
        <v>-1967.2528536353502</v>
      </c>
      <c r="Q81" s="1021">
        <f>(VLOOKUP(YEAR($A81),'NY East Load Projections'!$A$4:$EO$14,((MONTH($A81)-1)*12)+VLOOKUP(Q$4,$DE$6:$DF$17,2)+1))*$B81</f>
        <v>-1967.2528536353502</v>
      </c>
      <c r="R81" s="1021">
        <f>(VLOOKUP(YEAR($A81),'NY East Load Projections'!$A$4:$EO$14,((MONTH($A81)-1)*12)+VLOOKUP(R$4,$DE$6:$DF$17,2)+1))*$B81</f>
        <v>-1967.2528536353502</v>
      </c>
      <c r="S81" s="1021">
        <f>(VLOOKUP(YEAR($A81),'NY East Load Projections'!$A$4:$EO$14,((MONTH($A81)-1)*12)+VLOOKUP(S$4,$DE$6:$DF$17,2)+1))*$B81</f>
        <v>-1967.2528536353502</v>
      </c>
      <c r="T81" s="1021">
        <f>(VLOOKUP(YEAR($A81),'NY East Load Projections'!$A$4:$EO$14,((MONTH($A81)-1)*12)+VLOOKUP(T$4,$DE$6:$DF$17,2)+1))*$B81</f>
        <v>-2030.2845457339372</v>
      </c>
      <c r="U81" s="1021">
        <f>(VLOOKUP(YEAR($A81),'NY East Load Projections'!$A$4:$EO$14,((MONTH($A81)-1)*12)+VLOOKUP(U$4,$DE$6:$DF$17,2)+1))*$B81</f>
        <v>-2030.2845457339372</v>
      </c>
      <c r="V81" s="1021">
        <f>(VLOOKUP(YEAR($A81),'NY East Load Projections'!$A$4:$EO$14,((MONTH($A81)-1)*12)+VLOOKUP(V$4,$DE$6:$DF$17,2)+1))*$B81</f>
        <v>-2030.2845457339372</v>
      </c>
      <c r="W81" s="1021">
        <f>(VLOOKUP(YEAR($A81),'NY East Load Projections'!$A$4:$EO$14,((MONTH($A81)-1)*12)+VLOOKUP(W$4,$DE$6:$DF$17,2)+1))*$B81</f>
        <v>-2030.2845457339372</v>
      </c>
      <c r="X81" s="1021">
        <f>(VLOOKUP(YEAR($A81),'NY East Load Projections'!$A$4:$EO$14,((MONTH($A81)-1)*12)+VLOOKUP(X$4,$DE$6:$DF$17,2)+1))*$B81</f>
        <v>-1938.4903685838112</v>
      </c>
      <c r="Y81" s="1021">
        <f>(VLOOKUP(YEAR($A81),'NY East Load Projections'!$A$4:$EO$14,((MONTH($A81)-1)*12)+VLOOKUP(Y$4,$DE$6:$DF$17,2)+1))*$B81</f>
        <v>-1938.4903685838112</v>
      </c>
      <c r="Z81" s="1021">
        <f>(VLOOKUP(YEAR($A81),'NY East Load Projections'!$A$4:$EO$14,((MONTH($A81)-1)*12)+VLOOKUP(Z$4,$DE$6:$DF$17,2)+1))*$B81</f>
        <v>-1938.4903685838112</v>
      </c>
      <c r="AA81" s="1021">
        <f>(VLOOKUP(YEAR($A81),'NY East Load Projections'!$A$4:$EO$14,((MONTH($A81)-1)*12)+VLOOKUP(AA$4,$DE$6:$DF$17,2)+1))*$B81</f>
        <v>-1938.4903685838112</v>
      </c>
      <c r="AB81" s="1021">
        <f>(VLOOKUP(YEAR($A81),'NY East Load Projections'!$A$4:$EO$14,((MONTH($A81)-1)*12)+VLOOKUP(AB$4,$DE$6:$DF$17,2)+1))*$B81</f>
        <v>-1777.9323626932489</v>
      </c>
      <c r="AC81" s="1021">
        <f>(VLOOKUP(YEAR($A81),'NY East Load Projections'!$A$4:$EO$14,((MONTH($A81)-1)*12)+VLOOKUP(AC$4,$DE$6:$DF$17,2)+1))*$B81</f>
        <v>-1777.9323626932489</v>
      </c>
      <c r="AD81" s="1021">
        <f>(VLOOKUP(YEAR($A81),'NY East Load Projections'!$A$4:$EO$14,((MONTH($A81)-1)*12)+VLOOKUP(AD$4,$DE$6:$DF$17,2)+1))*$B81</f>
        <v>-1777.9323626932489</v>
      </c>
      <c r="AE81" s="1021">
        <f>(VLOOKUP(YEAR($A81),'NY East Load Projections'!$A$4:$EO$14,((MONTH($A81)-1)*12)+VLOOKUP(AE$4,$DE$6:$DF$17,2)+1))*$B81</f>
        <v>-1777.9323626932489</v>
      </c>
      <c r="AF81" s="1021"/>
      <c r="AG81" s="1021">
        <f>(VLOOKUP(YEAR($A81),'NY East Load Projections'!$A$4:$EO$14,((MONTH($A81)-1)*12)+VLOOKUP(AG$4,$DE$6:$DF$17,2)+1))*$C81</f>
        <v>-335.29380269741148</v>
      </c>
      <c r="AH81" s="1021">
        <f>(VLOOKUP(YEAR($A81),'NY East Load Projections'!$A$4:$EO$14,((MONTH($A81)-1)*12)+VLOOKUP(AH$4,$DE$6:$DF$17,2)+1))*$C81</f>
        <v>-335.29380269741148</v>
      </c>
      <c r="AI81" s="1021">
        <f>(VLOOKUP(YEAR($A81),'NY East Load Projections'!$A$4:$EO$14,((MONTH($A81)-1)*12)+VLOOKUP(AI$4,$DE$6:$DF$17,2)+1))*$C81</f>
        <v>-335.29380269741148</v>
      </c>
      <c r="AJ81" s="1021">
        <f>(VLOOKUP(YEAR($A81),'NY East Load Projections'!$A$4:$EO$14,((MONTH($A81)-1)*12)+VLOOKUP(AJ$4,$DE$6:$DF$17,2)+1))*$C81</f>
        <v>-335.29380269741148</v>
      </c>
      <c r="AK81" s="1021">
        <f>(VLOOKUP(YEAR($A81),'NY East Load Projections'!$A$4:$EO$14,((MONTH($A81)-1)*12)+VLOOKUP(AK$4,$DE$6:$DF$17,2)+1))*$C81</f>
        <v>-340.74731810505278</v>
      </c>
      <c r="AL81" s="1021">
        <f>(VLOOKUP(YEAR($A81),'NY East Load Projections'!$A$4:$EO$14,((MONTH($A81)-1)*12)+VLOOKUP(AL$4,$DE$6:$DF$17,2)+1))*$C81</f>
        <v>-340.74731810505278</v>
      </c>
      <c r="AM81" s="1021">
        <f>(VLOOKUP(YEAR($A81),'NY East Load Projections'!$A$4:$EO$14,((MONTH($A81)-1)*12)+VLOOKUP(AM$4,$DE$6:$DF$17,2)+1))*$C81</f>
        <v>-340.74731810505278</v>
      </c>
      <c r="AN81" s="1021">
        <f>(VLOOKUP(YEAR($A81),'NY East Load Projections'!$A$4:$EO$14,((MONTH($A81)-1)*12)+VLOOKUP(AN$4,$DE$6:$DF$17,2)+1))*$C81</f>
        <v>-340.74731810505278</v>
      </c>
      <c r="AO81" s="1021">
        <f>(VLOOKUP(YEAR($A81),'NY East Load Projections'!$A$4:$EO$14,((MONTH($A81)-1)*12)+VLOOKUP(AO$4,$DE$6:$DF$17,2)+1))*$C81</f>
        <v>-364.21676347176299</v>
      </c>
      <c r="AP81" s="1021">
        <f>(VLOOKUP(YEAR($A81),'NY East Load Projections'!$A$4:$EO$14,((MONTH($A81)-1)*12)+VLOOKUP(AP$4,$DE$6:$DF$17,2)+1))*$C81</f>
        <v>-364.21676347176299</v>
      </c>
      <c r="AQ81" s="1021">
        <f>(VLOOKUP(YEAR($A81),'NY East Load Projections'!$A$4:$EO$14,((MONTH($A81)-1)*12)+VLOOKUP(AQ$4,$DE$6:$DF$17,2)+1))*$C81</f>
        <v>-364.21676347176299</v>
      </c>
      <c r="AR81" s="1021">
        <f>(VLOOKUP(YEAR($A81),'NY East Load Projections'!$A$4:$EO$14,((MONTH($A81)-1)*12)+VLOOKUP(AR$4,$DE$6:$DF$17,2)+1))*$C81</f>
        <v>-364.21676347176299</v>
      </c>
      <c r="AS81" s="1021">
        <f>(VLOOKUP(YEAR($A81),'NY East Load Projections'!$A$4:$EO$14,((MONTH($A81)-1)*12)+VLOOKUP(AS$4,$DE$6:$DF$17,2)+1))*$C81</f>
        <v>-368.80811571674252</v>
      </c>
      <c r="AT81" s="1021">
        <f>(VLOOKUP(YEAR($A81),'NY East Load Projections'!$A$4:$EO$14,((MONTH($A81)-1)*12)+VLOOKUP(AT$4,$DE$6:$DF$17,2)+1))*$C81</f>
        <v>-368.80811571674252</v>
      </c>
      <c r="AU81" s="1021">
        <f>(VLOOKUP(YEAR($A81),'NY East Load Projections'!$A$4:$EO$14,((MONTH($A81)-1)*12)+VLOOKUP(AU$4,$DE$6:$DF$17,2)+1))*$C81</f>
        <v>-368.80811571674252</v>
      </c>
      <c r="AV81" s="1021">
        <f>(VLOOKUP(YEAR($A81),'NY East Load Projections'!$A$4:$EO$14,((MONTH($A81)-1)*12)+VLOOKUP(AV$4,$DE$6:$DF$17,2)+1))*$C81</f>
        <v>-368.80811571674252</v>
      </c>
      <c r="AW81" s="1021">
        <f>(VLOOKUP(YEAR($A81),'NY East Load Projections'!$A$4:$EO$14,((MONTH($A81)-1)*12)+VLOOKUP(AW$4,$DE$6:$DF$17,2)+1))*$C81</f>
        <v>-351.15856179316057</v>
      </c>
      <c r="AX81" s="1021">
        <f>(VLOOKUP(YEAR($A81),'NY East Load Projections'!$A$4:$EO$14,((MONTH($A81)-1)*12)+VLOOKUP(AX$4,$DE$6:$DF$17,2)+1))*$C81</f>
        <v>-351.15856179316057</v>
      </c>
      <c r="AY81" s="1021">
        <f>(VLOOKUP(YEAR($A81),'NY East Load Projections'!$A$4:$EO$14,((MONTH($A81)-1)*12)+VLOOKUP(AY$4,$DE$6:$DF$17,2)+1))*$C81</f>
        <v>-351.15856179316057</v>
      </c>
      <c r="AZ81" s="1021">
        <f>(VLOOKUP(YEAR($A81),'NY East Load Projections'!$A$4:$EO$14,((MONTH($A81)-1)*12)+VLOOKUP(AZ$4,$DE$6:$DF$17,2)+1))*$C81</f>
        <v>-351.15856179316057</v>
      </c>
      <c r="BA81" s="1021">
        <f>(VLOOKUP(YEAR($A81),'NY East Load Projections'!$A$4:$EO$14,((MONTH($A81)-1)*12)+VLOOKUP(BA$4,$DE$6:$DF$17,2)+1))*$C81</f>
        <v>-337.3782486922953</v>
      </c>
      <c r="BB81" s="1021">
        <f>(VLOOKUP(YEAR($A81),'NY East Load Projections'!$A$4:$EO$14,((MONTH($A81)-1)*12)+VLOOKUP(BB$4,$DE$6:$DF$17,2)+1))*$C81</f>
        <v>-337.3782486922953</v>
      </c>
      <c r="BC81" s="1021">
        <f>(VLOOKUP(YEAR($A81),'NY East Load Projections'!$A$4:$EO$14,((MONTH($A81)-1)*12)+VLOOKUP(BC$4,$DE$6:$DF$17,2)+1))*$C81</f>
        <v>-337.3782486922953</v>
      </c>
      <c r="BD81" s="1021">
        <f>(VLOOKUP(YEAR($A81),'NY East Load Projections'!$A$4:$EO$14,((MONTH($A81)-1)*12)+VLOOKUP(BD$4,$DE$6:$DF$17,2)+1))*$C81</f>
        <v>-337.3782486922953</v>
      </c>
      <c r="BE81" s="1021"/>
      <c r="BF81" s="1021">
        <f>(VLOOKUP(YEAR($A81),'NY East Load Projections'!$A$4:$EO$14,((MONTH($A81)-1)*12)+VLOOKUP(BF$4,$DE$6:$DF$17,2)+1))*$D81</f>
        <v>-419.11725337176438</v>
      </c>
      <c r="BG81" s="1021">
        <f>(VLOOKUP(YEAR($A81),'NY East Load Projections'!$A$4:$EO$14,((MONTH($A81)-1)*12)+VLOOKUP(BG$4,$DE$6:$DF$17,2)+1))*$D81</f>
        <v>-419.11725337176438</v>
      </c>
      <c r="BH81" s="1021">
        <f>(VLOOKUP(YEAR($A81),'NY East Load Projections'!$A$4:$EO$14,((MONTH($A81)-1)*12)+VLOOKUP(BH$4,$DE$6:$DF$17,2)+1))*$D81</f>
        <v>-419.11725337176438</v>
      </c>
      <c r="BI81" s="1021">
        <f>(VLOOKUP(YEAR($A81),'NY East Load Projections'!$A$4:$EO$14,((MONTH($A81)-1)*12)+VLOOKUP(BI$4,$DE$6:$DF$17,2)+1))*$D81</f>
        <v>-419.11725337176438</v>
      </c>
      <c r="BJ81" s="1021">
        <f>(VLOOKUP(YEAR($A81),'NY East Load Projections'!$A$4:$EO$14,((MONTH($A81)-1)*12)+VLOOKUP(BJ$4,$DE$6:$DF$17,2)+1))*$D81</f>
        <v>-425.93414763131597</v>
      </c>
      <c r="BK81" s="1021">
        <f>(VLOOKUP(YEAR($A81),'NY East Load Projections'!$A$4:$EO$14,((MONTH($A81)-1)*12)+VLOOKUP(BK$4,$DE$6:$DF$17,2)+1))*$D81</f>
        <v>-425.93414763131597</v>
      </c>
      <c r="BL81" s="1021">
        <f>(VLOOKUP(YEAR($A81),'NY East Load Projections'!$A$4:$EO$14,((MONTH($A81)-1)*12)+VLOOKUP(BL$4,$DE$6:$DF$17,2)+1))*$D81</f>
        <v>-425.93414763131597</v>
      </c>
      <c r="BM81" s="1021">
        <f>(VLOOKUP(YEAR($A81),'NY East Load Projections'!$A$4:$EO$14,((MONTH($A81)-1)*12)+VLOOKUP(BM$4,$DE$6:$DF$17,2)+1))*$D81</f>
        <v>-425.93414763131597</v>
      </c>
      <c r="BN81" s="1021">
        <f>(VLOOKUP(YEAR($A81),'NY East Load Projections'!$A$4:$EO$14,((MONTH($A81)-1)*12)+VLOOKUP(BN$4,$DE$6:$DF$17,2)+1))*$D81</f>
        <v>-455.27095433970374</v>
      </c>
      <c r="BO81" s="1021">
        <f>(VLOOKUP(YEAR($A81),'NY East Load Projections'!$A$4:$EO$14,((MONTH($A81)-1)*12)+VLOOKUP(BO$4,$DE$6:$DF$17,2)+1))*$D81</f>
        <v>-455.27095433970374</v>
      </c>
      <c r="BP81" s="1021">
        <f>(VLOOKUP(YEAR($A81),'NY East Load Projections'!$A$4:$EO$14,((MONTH($A81)-1)*12)+VLOOKUP(BP$4,$DE$6:$DF$17,2)+1))*$D81</f>
        <v>-455.27095433970374</v>
      </c>
      <c r="BQ81" s="1021">
        <f>(VLOOKUP(YEAR($A81),'NY East Load Projections'!$A$4:$EO$14,((MONTH($A81)-1)*12)+VLOOKUP(BQ$4,$DE$6:$DF$17,2)+1))*$D81</f>
        <v>-455.27095433970374</v>
      </c>
      <c r="BR81" s="1021">
        <f>(VLOOKUP(YEAR($A81),'NY East Load Projections'!$A$4:$EO$14,((MONTH($A81)-1)*12)+VLOOKUP(BR$4,$DE$6:$DF$17,2)+1))*$D81</f>
        <v>-461.01014464592816</v>
      </c>
      <c r="BS81" s="1021">
        <f>(VLOOKUP(YEAR($A81),'NY East Load Projections'!$A$4:$EO$14,((MONTH($A81)-1)*12)+VLOOKUP(BS$4,$DE$6:$DF$17,2)+1))*$D81</f>
        <v>-461.01014464592816</v>
      </c>
      <c r="BT81" s="1021">
        <f>(VLOOKUP(YEAR($A81),'NY East Load Projections'!$A$4:$EO$14,((MONTH($A81)-1)*12)+VLOOKUP(BT$4,$DE$6:$DF$17,2)+1))*$D81</f>
        <v>-461.01014464592816</v>
      </c>
      <c r="BU81" s="1021">
        <f>(VLOOKUP(YEAR($A81),'NY East Load Projections'!$A$4:$EO$14,((MONTH($A81)-1)*12)+VLOOKUP(BU$4,$DE$6:$DF$17,2)+1))*$D81</f>
        <v>-461.01014464592816</v>
      </c>
      <c r="BV81" s="1021">
        <f>(VLOOKUP(YEAR($A81),'NY East Load Projections'!$A$4:$EO$14,((MONTH($A81)-1)*12)+VLOOKUP(BV$4,$DE$6:$DF$17,2)+1))*$D81</f>
        <v>-438.9482022414507</v>
      </c>
      <c r="BW81" s="1021">
        <f>(VLOOKUP(YEAR($A81),'NY East Load Projections'!$A$4:$EO$14,((MONTH($A81)-1)*12)+VLOOKUP(BW$4,$DE$6:$DF$17,2)+1))*$D81</f>
        <v>-438.9482022414507</v>
      </c>
      <c r="BX81" s="1021">
        <f>(VLOOKUP(YEAR($A81),'NY East Load Projections'!$A$4:$EO$14,((MONTH($A81)-1)*12)+VLOOKUP(BX$4,$DE$6:$DF$17,2)+1))*$D81</f>
        <v>-438.9482022414507</v>
      </c>
      <c r="BY81" s="1021">
        <f>(VLOOKUP(YEAR($A81),'NY East Load Projections'!$A$4:$EO$14,((MONTH($A81)-1)*12)+VLOOKUP(BY$4,$DE$6:$DF$17,2)+1))*$D81</f>
        <v>-438.9482022414507</v>
      </c>
      <c r="BZ81" s="1021">
        <f>(VLOOKUP(YEAR($A81),'NY East Load Projections'!$A$4:$EO$14,((MONTH($A81)-1)*12)+VLOOKUP(BZ$4,$DE$6:$DF$17,2)+1))*$D81</f>
        <v>-421.72281086536913</v>
      </c>
      <c r="CA81" s="1021">
        <f>(VLOOKUP(YEAR($A81),'NY East Load Projections'!$A$4:$EO$14,((MONTH($A81)-1)*12)+VLOOKUP(CA$4,$DE$6:$DF$17,2)+1))*$D81</f>
        <v>-421.72281086536913</v>
      </c>
      <c r="CB81" s="1021">
        <f>(VLOOKUP(YEAR($A81),'NY East Load Projections'!$A$4:$EO$14,((MONTH($A81)-1)*12)+VLOOKUP(CB$4,$DE$6:$DF$17,2)+1))*$D81</f>
        <v>-421.72281086536913</v>
      </c>
      <c r="CC81" s="1021">
        <f>(VLOOKUP(YEAR($A81),'NY East Load Projections'!$A$4:$EO$14,((MONTH($A81)-1)*12)+VLOOKUP(CC$4,$DE$6:$DF$17,2)+1))*$D81</f>
        <v>-421.72281086536913</v>
      </c>
      <c r="CE81" s="1021">
        <f>(VLOOKUP(YEAR($A81),'NY East Load Projections'!$A$4:$EO$14,((MONTH($A81)-1)*12)+VLOOKUP(CE$4,$DE$6:$DF$17,2)+1))*$E81</f>
        <v>0</v>
      </c>
      <c r="CF81" s="1021">
        <f>(VLOOKUP(YEAR($A81),'NY East Load Projections'!$A$4:$EO$14,((MONTH($A81)-1)*12)+VLOOKUP(CF$4,$DE$6:$DF$17,2)+1))*$E81</f>
        <v>0</v>
      </c>
      <c r="CG81" s="1021">
        <f>(VLOOKUP(YEAR($A81),'NY East Load Projections'!$A$4:$EO$14,((MONTH($A81)-1)*12)+VLOOKUP(CG$4,$DE$6:$DF$17,2)+1))*$E81</f>
        <v>0</v>
      </c>
      <c r="CH81" s="1021">
        <f>(VLOOKUP(YEAR($A81),'NY East Load Projections'!$A$4:$EO$14,((MONTH($A81)-1)*12)+VLOOKUP(CH$4,$DE$6:$DF$17,2)+1))*$E81</f>
        <v>0</v>
      </c>
      <c r="CI81" s="1021">
        <f>(VLOOKUP(YEAR($A81),'NY East Load Projections'!$A$4:$EO$14,((MONTH($A81)-1)*12)+VLOOKUP(CI$4,$DE$6:$DF$17,2)+1))*$E81</f>
        <v>0</v>
      </c>
      <c r="CJ81" s="1021">
        <f>(VLOOKUP(YEAR($A81),'NY East Load Projections'!$A$4:$EO$14,((MONTH($A81)-1)*12)+VLOOKUP(CJ$4,$DE$6:$DF$17,2)+1))*$E81</f>
        <v>0</v>
      </c>
      <c r="CK81" s="1021">
        <f>(VLOOKUP(YEAR($A81),'NY East Load Projections'!$A$4:$EO$14,((MONTH($A81)-1)*12)+VLOOKUP(CK$4,$DE$6:$DF$17,2)+1))*$E81</f>
        <v>0</v>
      </c>
      <c r="CL81" s="1021">
        <f>(VLOOKUP(YEAR($A81),'NY East Load Projections'!$A$4:$EO$14,((MONTH($A81)-1)*12)+VLOOKUP(CL$4,$DE$6:$DF$17,2)+1))*$E81</f>
        <v>0</v>
      </c>
      <c r="CM81" s="1021">
        <f>(VLOOKUP(YEAR($A81),'NY East Load Projections'!$A$4:$EO$14,((MONTH($A81)-1)*12)+VLOOKUP(CM$4,$DE$6:$DF$17,2)+1))*$E81</f>
        <v>0</v>
      </c>
      <c r="CN81" s="1021">
        <f>(VLOOKUP(YEAR($A81),'NY East Load Projections'!$A$4:$EO$14,((MONTH($A81)-1)*12)+VLOOKUP(CN$4,$DE$6:$DF$17,2)+1))*$E81</f>
        <v>0</v>
      </c>
      <c r="CO81" s="1021">
        <f>(VLOOKUP(YEAR($A81),'NY East Load Projections'!$A$4:$EO$14,((MONTH($A81)-1)*12)+VLOOKUP(CO$4,$DE$6:$DF$17,2)+1))*$E81</f>
        <v>0</v>
      </c>
      <c r="CP81" s="1021">
        <f>(VLOOKUP(YEAR($A81),'NY East Load Projections'!$A$4:$EO$14,((MONTH($A81)-1)*12)+VLOOKUP(CP$4,$DE$6:$DF$17,2)+1))*$E81</f>
        <v>0</v>
      </c>
      <c r="CQ81" s="1021">
        <f>(VLOOKUP(YEAR($A81),'NY East Load Projections'!$A$4:$EO$14,((MONTH($A81)-1)*12)+VLOOKUP(CQ$4,$DE$6:$DF$17,2)+1))*$E81</f>
        <v>0</v>
      </c>
      <c r="CR81" s="1021">
        <f>(VLOOKUP(YEAR($A81),'NY East Load Projections'!$A$4:$EO$14,((MONTH($A81)-1)*12)+VLOOKUP(CR$4,$DE$6:$DF$17,2)+1))*$E81</f>
        <v>0</v>
      </c>
      <c r="CS81" s="1021">
        <f>(VLOOKUP(YEAR($A81),'NY East Load Projections'!$A$4:$EO$14,((MONTH($A81)-1)*12)+VLOOKUP(CS$4,$DE$6:$DF$17,2)+1))*$E81</f>
        <v>0</v>
      </c>
      <c r="CT81" s="1021">
        <f>(VLOOKUP(YEAR($A81),'NY East Load Projections'!$A$4:$EO$14,((MONTH($A81)-1)*12)+VLOOKUP(CT$4,$DE$6:$DF$17,2)+1))*$E81</f>
        <v>0</v>
      </c>
      <c r="CU81" s="1021">
        <f>(VLOOKUP(YEAR($A81),'NY East Load Projections'!$A$4:$EO$14,((MONTH($A81)-1)*12)+VLOOKUP(CU$4,$DE$6:$DF$17,2)+1))*$E81</f>
        <v>0</v>
      </c>
      <c r="CV81" s="1021">
        <f>(VLOOKUP(YEAR($A81),'NY East Load Projections'!$A$4:$EO$14,((MONTH($A81)-1)*12)+VLOOKUP(CV$4,$DE$6:$DF$17,2)+1))*$E81</f>
        <v>0</v>
      </c>
      <c r="CW81" s="1021">
        <f>(VLOOKUP(YEAR($A81),'NY East Load Projections'!$A$4:$EO$14,((MONTH($A81)-1)*12)+VLOOKUP(CW$4,$DE$6:$DF$17,2)+1))*$E81</f>
        <v>0</v>
      </c>
      <c r="CX81" s="1021">
        <f>(VLOOKUP(YEAR($A81),'NY East Load Projections'!$A$4:$EO$14,((MONTH($A81)-1)*12)+VLOOKUP(CX$4,$DE$6:$DF$17,2)+1))*$E81</f>
        <v>0</v>
      </c>
      <c r="CY81" s="1021">
        <f>(VLOOKUP(YEAR($A81),'NY East Load Projections'!$A$4:$EO$14,((MONTH($A81)-1)*12)+VLOOKUP(CY$4,$DE$6:$DF$17,2)+1))*$E81</f>
        <v>0</v>
      </c>
      <c r="CZ81" s="1021">
        <f>(VLOOKUP(YEAR($A81),'NY East Load Projections'!$A$4:$EO$14,((MONTH($A81)-1)*12)+VLOOKUP(CZ$4,$DE$6:$DF$17,2)+1))*$E81</f>
        <v>0</v>
      </c>
      <c r="DA81" s="1021">
        <f>(VLOOKUP(YEAR($A81),'NY East Load Projections'!$A$4:$EO$14,((MONTH($A81)-1)*12)+VLOOKUP(DA$4,$DE$6:$DF$17,2)+1))*$E81</f>
        <v>0</v>
      </c>
      <c r="DB81" s="1021">
        <f>(VLOOKUP(YEAR($A81),'NY East Load Projections'!$A$4:$EO$14,((MONTH($A81)-1)*12)+VLOOKUP(DB$4,$DE$6:$DF$17,2)+1))*$E81</f>
        <v>0</v>
      </c>
      <c r="DH81" s="1009">
        <f t="shared" si="3"/>
        <v>-63892.753120564405</v>
      </c>
      <c r="DI81">
        <f ca="1">CALC!J101</f>
        <v>0.59334585051619781</v>
      </c>
      <c r="DJ81" s="1032">
        <f t="shared" ca="1" si="4"/>
        <v>-37910.499942142742</v>
      </c>
    </row>
    <row r="82" spans="1:114" x14ac:dyDescent="0.25">
      <c r="A82" s="244">
        <v>39203</v>
      </c>
      <c r="B82" s="13">
        <v>22</v>
      </c>
      <c r="C82" s="210">
        <v>4</v>
      </c>
      <c r="D82" s="210">
        <v>4</v>
      </c>
      <c r="E82" s="210">
        <v>1</v>
      </c>
      <c r="F82" s="13">
        <v>31</v>
      </c>
      <c r="H82" s="1021">
        <f>(VLOOKUP(YEAR($A82),'NY East Load Projections'!$A$4:$EO$14,((MONTH($A82)-1)*12)+VLOOKUP(H$4,$DE$6:$DF$17,2)+1))*$B82</f>
        <v>-1907.9828707749102</v>
      </c>
      <c r="I82" s="1021">
        <f>(VLOOKUP(YEAR($A82),'NY East Load Projections'!$A$4:$EO$14,((MONTH($A82)-1)*12)+VLOOKUP(I$4,$DE$6:$DF$17,2)+1))*$B82</f>
        <v>-1907.9828707749102</v>
      </c>
      <c r="J82" s="1021">
        <f>(VLOOKUP(YEAR($A82),'NY East Load Projections'!$A$4:$EO$14,((MONTH($A82)-1)*12)+VLOOKUP(J$4,$DE$6:$DF$17,2)+1))*$B82</f>
        <v>-1907.9828707749102</v>
      </c>
      <c r="K82" s="1021">
        <f>(VLOOKUP(YEAR($A82),'NY East Load Projections'!$A$4:$EO$14,((MONTH($A82)-1)*12)+VLOOKUP(K$4,$DE$6:$DF$17,2)+1))*$B82</f>
        <v>-1907.9828707749102</v>
      </c>
      <c r="L82" s="1021">
        <f>(VLOOKUP(YEAR($A82),'NY East Load Projections'!$A$4:$EO$14,((MONTH($A82)-1)*12)+VLOOKUP(L$4,$DE$6:$DF$17,2)+1))*$B82</f>
        <v>-2057.3801009016997</v>
      </c>
      <c r="M82" s="1021">
        <f>(VLOOKUP(YEAR($A82),'NY East Load Projections'!$A$4:$EO$14,((MONTH($A82)-1)*12)+VLOOKUP(M$4,$DE$6:$DF$17,2)+1))*$B82</f>
        <v>-2057.3801009016997</v>
      </c>
      <c r="N82" s="1021">
        <f>(VLOOKUP(YEAR($A82),'NY East Load Projections'!$A$4:$EO$14,((MONTH($A82)-1)*12)+VLOOKUP(N$4,$DE$6:$DF$17,2)+1))*$B82</f>
        <v>-2057.3801009016997</v>
      </c>
      <c r="O82" s="1021">
        <f>(VLOOKUP(YEAR($A82),'NY East Load Projections'!$A$4:$EO$14,((MONTH($A82)-1)*12)+VLOOKUP(O$4,$DE$6:$DF$17,2)+1))*$B82</f>
        <v>-2057.3801009016997</v>
      </c>
      <c r="P82" s="1021">
        <f>(VLOOKUP(YEAR($A82),'NY East Load Projections'!$A$4:$EO$14,((MONTH($A82)-1)*12)+VLOOKUP(P$4,$DE$6:$DF$17,2)+1))*$B82</f>
        <v>-2232.4261891168007</v>
      </c>
      <c r="Q82" s="1021">
        <f>(VLOOKUP(YEAR($A82),'NY East Load Projections'!$A$4:$EO$14,((MONTH($A82)-1)*12)+VLOOKUP(Q$4,$DE$6:$DF$17,2)+1))*$B82</f>
        <v>-2232.4261891168007</v>
      </c>
      <c r="R82" s="1021">
        <f>(VLOOKUP(YEAR($A82),'NY East Load Projections'!$A$4:$EO$14,((MONTH($A82)-1)*12)+VLOOKUP(R$4,$DE$6:$DF$17,2)+1))*$B82</f>
        <v>-2232.4261891168007</v>
      </c>
      <c r="S82" s="1021">
        <f>(VLOOKUP(YEAR($A82),'NY East Load Projections'!$A$4:$EO$14,((MONTH($A82)-1)*12)+VLOOKUP(S$4,$DE$6:$DF$17,2)+1))*$B82</f>
        <v>-2232.4261891168007</v>
      </c>
      <c r="T82" s="1021">
        <f>(VLOOKUP(YEAR($A82),'NY East Load Projections'!$A$4:$EO$14,((MONTH($A82)-1)*12)+VLOOKUP(T$4,$DE$6:$DF$17,2)+1))*$B82</f>
        <v>-2303.3155813197109</v>
      </c>
      <c r="U82" s="1021">
        <f>(VLOOKUP(YEAR($A82),'NY East Load Projections'!$A$4:$EO$14,((MONTH($A82)-1)*12)+VLOOKUP(U$4,$DE$6:$DF$17,2)+1))*$B82</f>
        <v>-2303.3155813197109</v>
      </c>
      <c r="V82" s="1021">
        <f>(VLOOKUP(YEAR($A82),'NY East Load Projections'!$A$4:$EO$14,((MONTH($A82)-1)*12)+VLOOKUP(V$4,$DE$6:$DF$17,2)+1))*$B82</f>
        <v>-2303.3155813197109</v>
      </c>
      <c r="W82" s="1021">
        <f>(VLOOKUP(YEAR($A82),'NY East Load Projections'!$A$4:$EO$14,((MONTH($A82)-1)*12)+VLOOKUP(W$4,$DE$6:$DF$17,2)+1))*$B82</f>
        <v>-2303.3155813197109</v>
      </c>
      <c r="X82" s="1021">
        <f>(VLOOKUP(YEAR($A82),'NY East Load Projections'!$A$4:$EO$14,((MONTH($A82)-1)*12)+VLOOKUP(X$4,$DE$6:$DF$17,2)+1))*$B82</f>
        <v>-2205.0266052426468</v>
      </c>
      <c r="Y82" s="1021">
        <f>(VLOOKUP(YEAR($A82),'NY East Load Projections'!$A$4:$EO$14,((MONTH($A82)-1)*12)+VLOOKUP(Y$4,$DE$6:$DF$17,2)+1))*$B82</f>
        <v>-2205.0266052426468</v>
      </c>
      <c r="Z82" s="1021">
        <f>(VLOOKUP(YEAR($A82),'NY East Load Projections'!$A$4:$EO$14,((MONTH($A82)-1)*12)+VLOOKUP(Z$4,$DE$6:$DF$17,2)+1))*$B82</f>
        <v>-2205.0266052426468</v>
      </c>
      <c r="AA82" s="1021">
        <f>(VLOOKUP(YEAR($A82),'NY East Load Projections'!$A$4:$EO$14,((MONTH($A82)-1)*12)+VLOOKUP(AA$4,$DE$6:$DF$17,2)+1))*$B82</f>
        <v>-2205.0266052426468</v>
      </c>
      <c r="AB82" s="1021">
        <f>(VLOOKUP(YEAR($A82),'NY East Load Projections'!$A$4:$EO$14,((MONTH($A82)-1)*12)+VLOOKUP(AB$4,$DE$6:$DF$17,2)+1))*$B82</f>
        <v>-2000.653932310853</v>
      </c>
      <c r="AC82" s="1021">
        <f>(VLOOKUP(YEAR($A82),'NY East Load Projections'!$A$4:$EO$14,((MONTH($A82)-1)*12)+VLOOKUP(AC$4,$DE$6:$DF$17,2)+1))*$B82</f>
        <v>-2000.653932310853</v>
      </c>
      <c r="AD82" s="1021">
        <f>(VLOOKUP(YEAR($A82),'NY East Load Projections'!$A$4:$EO$14,((MONTH($A82)-1)*12)+VLOOKUP(AD$4,$DE$6:$DF$17,2)+1))*$B82</f>
        <v>-2000.653932310853</v>
      </c>
      <c r="AE82" s="1021">
        <f>(VLOOKUP(YEAR($A82),'NY East Load Projections'!$A$4:$EO$14,((MONTH($A82)-1)*12)+VLOOKUP(AE$4,$DE$6:$DF$17,2)+1))*$B82</f>
        <v>-2000.653932310853</v>
      </c>
      <c r="AF82" s="1021"/>
      <c r="AG82" s="1021">
        <f>(VLOOKUP(YEAR($A82),'NY East Load Projections'!$A$4:$EO$14,((MONTH($A82)-1)*12)+VLOOKUP(AG$4,$DE$6:$DF$17,2)+1))*$C82</f>
        <v>-365.47051172557383</v>
      </c>
      <c r="AH82" s="1021">
        <f>(VLOOKUP(YEAR($A82),'NY East Load Projections'!$A$4:$EO$14,((MONTH($A82)-1)*12)+VLOOKUP(AH$4,$DE$6:$DF$17,2)+1))*$C82</f>
        <v>-365.47051172557383</v>
      </c>
      <c r="AI82" s="1021">
        <f>(VLOOKUP(YEAR($A82),'NY East Load Projections'!$A$4:$EO$14,((MONTH($A82)-1)*12)+VLOOKUP(AI$4,$DE$6:$DF$17,2)+1))*$C82</f>
        <v>-365.47051172557383</v>
      </c>
      <c r="AJ82" s="1021">
        <f>(VLOOKUP(YEAR($A82),'NY East Load Projections'!$A$4:$EO$14,((MONTH($A82)-1)*12)+VLOOKUP(AJ$4,$DE$6:$DF$17,2)+1))*$C82</f>
        <v>-365.47051172557383</v>
      </c>
      <c r="AK82" s="1021">
        <f>(VLOOKUP(YEAR($A82),'NY East Load Projections'!$A$4:$EO$14,((MONTH($A82)-1)*12)+VLOOKUP(AK$4,$DE$6:$DF$17,2)+1))*$C82</f>
        <v>-371.3068502187939</v>
      </c>
      <c r="AL82" s="1021">
        <f>(VLOOKUP(YEAR($A82),'NY East Load Projections'!$A$4:$EO$14,((MONTH($A82)-1)*12)+VLOOKUP(AL$4,$DE$6:$DF$17,2)+1))*$C82</f>
        <v>-371.3068502187939</v>
      </c>
      <c r="AM82" s="1021">
        <f>(VLOOKUP(YEAR($A82),'NY East Load Projections'!$A$4:$EO$14,((MONTH($A82)-1)*12)+VLOOKUP(AM$4,$DE$6:$DF$17,2)+1))*$C82</f>
        <v>-371.3068502187939</v>
      </c>
      <c r="AN82" s="1021">
        <f>(VLOOKUP(YEAR($A82),'NY East Load Projections'!$A$4:$EO$14,((MONTH($A82)-1)*12)+VLOOKUP(AN$4,$DE$6:$DF$17,2)+1))*$C82</f>
        <v>-371.3068502187939</v>
      </c>
      <c r="AO82" s="1021">
        <f>(VLOOKUP(YEAR($A82),'NY East Load Projections'!$A$4:$EO$14,((MONTH($A82)-1)*12)+VLOOKUP(AO$4,$DE$6:$DF$17,2)+1))*$C82</f>
        <v>-411.4381592586347</v>
      </c>
      <c r="AP82" s="1021">
        <f>(VLOOKUP(YEAR($A82),'NY East Load Projections'!$A$4:$EO$14,((MONTH($A82)-1)*12)+VLOOKUP(AP$4,$DE$6:$DF$17,2)+1))*$C82</f>
        <v>-411.4381592586347</v>
      </c>
      <c r="AQ82" s="1021">
        <f>(VLOOKUP(YEAR($A82),'NY East Load Projections'!$A$4:$EO$14,((MONTH($A82)-1)*12)+VLOOKUP(AQ$4,$DE$6:$DF$17,2)+1))*$C82</f>
        <v>-411.4381592586347</v>
      </c>
      <c r="AR82" s="1021">
        <f>(VLOOKUP(YEAR($A82),'NY East Load Projections'!$A$4:$EO$14,((MONTH($A82)-1)*12)+VLOOKUP(AR$4,$DE$6:$DF$17,2)+1))*$C82</f>
        <v>-411.4381592586347</v>
      </c>
      <c r="AS82" s="1021">
        <f>(VLOOKUP(YEAR($A82),'NY East Load Projections'!$A$4:$EO$14,((MONTH($A82)-1)*12)+VLOOKUP(AS$4,$DE$6:$DF$17,2)+1))*$C82</f>
        <v>-415.8816210445317</v>
      </c>
      <c r="AT82" s="1021">
        <f>(VLOOKUP(YEAR($A82),'NY East Load Projections'!$A$4:$EO$14,((MONTH($A82)-1)*12)+VLOOKUP(AT$4,$DE$6:$DF$17,2)+1))*$C82</f>
        <v>-415.8816210445317</v>
      </c>
      <c r="AU82" s="1021">
        <f>(VLOOKUP(YEAR($A82),'NY East Load Projections'!$A$4:$EO$14,((MONTH($A82)-1)*12)+VLOOKUP(AU$4,$DE$6:$DF$17,2)+1))*$C82</f>
        <v>-415.8816210445317</v>
      </c>
      <c r="AV82" s="1021">
        <f>(VLOOKUP(YEAR($A82),'NY East Load Projections'!$A$4:$EO$14,((MONTH($A82)-1)*12)+VLOOKUP(AV$4,$DE$6:$DF$17,2)+1))*$C82</f>
        <v>-415.8816210445317</v>
      </c>
      <c r="AW82" s="1021">
        <f>(VLOOKUP(YEAR($A82),'NY East Load Projections'!$A$4:$EO$14,((MONTH($A82)-1)*12)+VLOOKUP(AW$4,$DE$6:$DF$17,2)+1))*$C82</f>
        <v>-390.36354494439075</v>
      </c>
      <c r="AX82" s="1021">
        <f>(VLOOKUP(YEAR($A82),'NY East Load Projections'!$A$4:$EO$14,((MONTH($A82)-1)*12)+VLOOKUP(AX$4,$DE$6:$DF$17,2)+1))*$C82</f>
        <v>-390.36354494439075</v>
      </c>
      <c r="AY82" s="1021">
        <f>(VLOOKUP(YEAR($A82),'NY East Load Projections'!$A$4:$EO$14,((MONTH($A82)-1)*12)+VLOOKUP(AY$4,$DE$6:$DF$17,2)+1))*$C82</f>
        <v>-390.36354494439075</v>
      </c>
      <c r="AZ82" s="1021">
        <f>(VLOOKUP(YEAR($A82),'NY East Load Projections'!$A$4:$EO$14,((MONTH($A82)-1)*12)+VLOOKUP(AZ$4,$DE$6:$DF$17,2)+1))*$C82</f>
        <v>-390.36354494439075</v>
      </c>
      <c r="BA82" s="1021">
        <f>(VLOOKUP(YEAR($A82),'NY East Load Projections'!$A$4:$EO$14,((MONTH($A82)-1)*12)+VLOOKUP(BA$4,$DE$6:$DF$17,2)+1))*$C82</f>
        <v>-373.89370995794474</v>
      </c>
      <c r="BB82" s="1021">
        <f>(VLOOKUP(YEAR($A82),'NY East Load Projections'!$A$4:$EO$14,((MONTH($A82)-1)*12)+VLOOKUP(BB$4,$DE$6:$DF$17,2)+1))*$C82</f>
        <v>-373.89370995794474</v>
      </c>
      <c r="BC82" s="1021">
        <f>(VLOOKUP(YEAR($A82),'NY East Load Projections'!$A$4:$EO$14,((MONTH($A82)-1)*12)+VLOOKUP(BC$4,$DE$6:$DF$17,2)+1))*$C82</f>
        <v>-373.89370995794474</v>
      </c>
      <c r="BD82" s="1021">
        <f>(VLOOKUP(YEAR($A82),'NY East Load Projections'!$A$4:$EO$14,((MONTH($A82)-1)*12)+VLOOKUP(BD$4,$DE$6:$DF$17,2)+1))*$C82</f>
        <v>-373.89370995794474</v>
      </c>
      <c r="BE82" s="1021"/>
      <c r="BF82" s="1021">
        <f>(VLOOKUP(YEAR($A82),'NY East Load Projections'!$A$4:$EO$14,((MONTH($A82)-1)*12)+VLOOKUP(BF$4,$DE$6:$DF$17,2)+1))*$D82</f>
        <v>-365.47051172557383</v>
      </c>
      <c r="BG82" s="1021">
        <f>(VLOOKUP(YEAR($A82),'NY East Load Projections'!$A$4:$EO$14,((MONTH($A82)-1)*12)+VLOOKUP(BG$4,$DE$6:$DF$17,2)+1))*$D82</f>
        <v>-365.47051172557383</v>
      </c>
      <c r="BH82" s="1021">
        <f>(VLOOKUP(YEAR($A82),'NY East Load Projections'!$A$4:$EO$14,((MONTH($A82)-1)*12)+VLOOKUP(BH$4,$DE$6:$DF$17,2)+1))*$D82</f>
        <v>-365.47051172557383</v>
      </c>
      <c r="BI82" s="1021">
        <f>(VLOOKUP(YEAR($A82),'NY East Load Projections'!$A$4:$EO$14,((MONTH($A82)-1)*12)+VLOOKUP(BI$4,$DE$6:$DF$17,2)+1))*$D82</f>
        <v>-365.47051172557383</v>
      </c>
      <c r="BJ82" s="1021">
        <f>(VLOOKUP(YEAR($A82),'NY East Load Projections'!$A$4:$EO$14,((MONTH($A82)-1)*12)+VLOOKUP(BJ$4,$DE$6:$DF$17,2)+1))*$D82</f>
        <v>-371.3068502187939</v>
      </c>
      <c r="BK82" s="1021">
        <f>(VLOOKUP(YEAR($A82),'NY East Load Projections'!$A$4:$EO$14,((MONTH($A82)-1)*12)+VLOOKUP(BK$4,$DE$6:$DF$17,2)+1))*$D82</f>
        <v>-371.3068502187939</v>
      </c>
      <c r="BL82" s="1021">
        <f>(VLOOKUP(YEAR($A82),'NY East Load Projections'!$A$4:$EO$14,((MONTH($A82)-1)*12)+VLOOKUP(BL$4,$DE$6:$DF$17,2)+1))*$D82</f>
        <v>-371.3068502187939</v>
      </c>
      <c r="BM82" s="1021">
        <f>(VLOOKUP(YEAR($A82),'NY East Load Projections'!$A$4:$EO$14,((MONTH($A82)-1)*12)+VLOOKUP(BM$4,$DE$6:$DF$17,2)+1))*$D82</f>
        <v>-371.3068502187939</v>
      </c>
      <c r="BN82" s="1021">
        <f>(VLOOKUP(YEAR($A82),'NY East Load Projections'!$A$4:$EO$14,((MONTH($A82)-1)*12)+VLOOKUP(BN$4,$DE$6:$DF$17,2)+1))*$D82</f>
        <v>-411.4381592586347</v>
      </c>
      <c r="BO82" s="1021">
        <f>(VLOOKUP(YEAR($A82),'NY East Load Projections'!$A$4:$EO$14,((MONTH($A82)-1)*12)+VLOOKUP(BO$4,$DE$6:$DF$17,2)+1))*$D82</f>
        <v>-411.4381592586347</v>
      </c>
      <c r="BP82" s="1021">
        <f>(VLOOKUP(YEAR($A82),'NY East Load Projections'!$A$4:$EO$14,((MONTH($A82)-1)*12)+VLOOKUP(BP$4,$DE$6:$DF$17,2)+1))*$D82</f>
        <v>-411.4381592586347</v>
      </c>
      <c r="BQ82" s="1021">
        <f>(VLOOKUP(YEAR($A82),'NY East Load Projections'!$A$4:$EO$14,((MONTH($A82)-1)*12)+VLOOKUP(BQ$4,$DE$6:$DF$17,2)+1))*$D82</f>
        <v>-411.4381592586347</v>
      </c>
      <c r="BR82" s="1021">
        <f>(VLOOKUP(YEAR($A82),'NY East Load Projections'!$A$4:$EO$14,((MONTH($A82)-1)*12)+VLOOKUP(BR$4,$DE$6:$DF$17,2)+1))*$D82</f>
        <v>-415.8816210445317</v>
      </c>
      <c r="BS82" s="1021">
        <f>(VLOOKUP(YEAR($A82),'NY East Load Projections'!$A$4:$EO$14,((MONTH($A82)-1)*12)+VLOOKUP(BS$4,$DE$6:$DF$17,2)+1))*$D82</f>
        <v>-415.8816210445317</v>
      </c>
      <c r="BT82" s="1021">
        <f>(VLOOKUP(YEAR($A82),'NY East Load Projections'!$A$4:$EO$14,((MONTH($A82)-1)*12)+VLOOKUP(BT$4,$DE$6:$DF$17,2)+1))*$D82</f>
        <v>-415.8816210445317</v>
      </c>
      <c r="BU82" s="1021">
        <f>(VLOOKUP(YEAR($A82),'NY East Load Projections'!$A$4:$EO$14,((MONTH($A82)-1)*12)+VLOOKUP(BU$4,$DE$6:$DF$17,2)+1))*$D82</f>
        <v>-415.8816210445317</v>
      </c>
      <c r="BV82" s="1021">
        <f>(VLOOKUP(YEAR($A82),'NY East Load Projections'!$A$4:$EO$14,((MONTH($A82)-1)*12)+VLOOKUP(BV$4,$DE$6:$DF$17,2)+1))*$D82</f>
        <v>-390.36354494439075</v>
      </c>
      <c r="BW82" s="1021">
        <f>(VLOOKUP(YEAR($A82),'NY East Load Projections'!$A$4:$EO$14,((MONTH($A82)-1)*12)+VLOOKUP(BW$4,$DE$6:$DF$17,2)+1))*$D82</f>
        <v>-390.36354494439075</v>
      </c>
      <c r="BX82" s="1021">
        <f>(VLOOKUP(YEAR($A82),'NY East Load Projections'!$A$4:$EO$14,((MONTH($A82)-1)*12)+VLOOKUP(BX$4,$DE$6:$DF$17,2)+1))*$D82</f>
        <v>-390.36354494439075</v>
      </c>
      <c r="BY82" s="1021">
        <f>(VLOOKUP(YEAR($A82),'NY East Load Projections'!$A$4:$EO$14,((MONTH($A82)-1)*12)+VLOOKUP(BY$4,$DE$6:$DF$17,2)+1))*$D82</f>
        <v>-390.36354494439075</v>
      </c>
      <c r="BZ82" s="1021">
        <f>(VLOOKUP(YEAR($A82),'NY East Load Projections'!$A$4:$EO$14,((MONTH($A82)-1)*12)+VLOOKUP(BZ$4,$DE$6:$DF$17,2)+1))*$D82</f>
        <v>-373.89370995794474</v>
      </c>
      <c r="CA82" s="1021">
        <f>(VLOOKUP(YEAR($A82),'NY East Load Projections'!$A$4:$EO$14,((MONTH($A82)-1)*12)+VLOOKUP(CA$4,$DE$6:$DF$17,2)+1))*$D82</f>
        <v>-373.89370995794474</v>
      </c>
      <c r="CB82" s="1021">
        <f>(VLOOKUP(YEAR($A82),'NY East Load Projections'!$A$4:$EO$14,((MONTH($A82)-1)*12)+VLOOKUP(CB$4,$DE$6:$DF$17,2)+1))*$D82</f>
        <v>-373.89370995794474</v>
      </c>
      <c r="CC82" s="1021">
        <f>(VLOOKUP(YEAR($A82),'NY East Load Projections'!$A$4:$EO$14,((MONTH($A82)-1)*12)+VLOOKUP(CC$4,$DE$6:$DF$17,2)+1))*$D82</f>
        <v>-373.89370995794474</v>
      </c>
      <c r="CE82" s="1021">
        <f>(VLOOKUP(YEAR($A82),'NY East Load Projections'!$A$4:$EO$14,((MONTH($A82)-1)*12)+VLOOKUP(CE$4,$DE$6:$DF$17,2)+1))*$E82</f>
        <v>-91.367627931393457</v>
      </c>
      <c r="CF82" s="1021">
        <f>(VLOOKUP(YEAR($A82),'NY East Load Projections'!$A$4:$EO$14,((MONTH($A82)-1)*12)+VLOOKUP(CF$4,$DE$6:$DF$17,2)+1))*$E82</f>
        <v>-91.367627931393457</v>
      </c>
      <c r="CG82" s="1021">
        <f>(VLOOKUP(YEAR($A82),'NY East Load Projections'!$A$4:$EO$14,((MONTH($A82)-1)*12)+VLOOKUP(CG$4,$DE$6:$DF$17,2)+1))*$E82</f>
        <v>-91.367627931393457</v>
      </c>
      <c r="CH82" s="1021">
        <f>(VLOOKUP(YEAR($A82),'NY East Load Projections'!$A$4:$EO$14,((MONTH($A82)-1)*12)+VLOOKUP(CH$4,$DE$6:$DF$17,2)+1))*$E82</f>
        <v>-91.367627931393457</v>
      </c>
      <c r="CI82" s="1021">
        <f>(VLOOKUP(YEAR($A82),'NY East Load Projections'!$A$4:$EO$14,((MONTH($A82)-1)*12)+VLOOKUP(CI$4,$DE$6:$DF$17,2)+1))*$E82</f>
        <v>-92.826712554698474</v>
      </c>
      <c r="CJ82" s="1021">
        <f>(VLOOKUP(YEAR($A82),'NY East Load Projections'!$A$4:$EO$14,((MONTH($A82)-1)*12)+VLOOKUP(CJ$4,$DE$6:$DF$17,2)+1))*$E82</f>
        <v>-92.826712554698474</v>
      </c>
      <c r="CK82" s="1021">
        <f>(VLOOKUP(YEAR($A82),'NY East Load Projections'!$A$4:$EO$14,((MONTH($A82)-1)*12)+VLOOKUP(CK$4,$DE$6:$DF$17,2)+1))*$E82</f>
        <v>-92.826712554698474</v>
      </c>
      <c r="CL82" s="1021">
        <f>(VLOOKUP(YEAR($A82),'NY East Load Projections'!$A$4:$EO$14,((MONTH($A82)-1)*12)+VLOOKUP(CL$4,$DE$6:$DF$17,2)+1))*$E82</f>
        <v>-92.826712554698474</v>
      </c>
      <c r="CM82" s="1021">
        <f>(VLOOKUP(YEAR($A82),'NY East Load Projections'!$A$4:$EO$14,((MONTH($A82)-1)*12)+VLOOKUP(CM$4,$DE$6:$DF$17,2)+1))*$E82</f>
        <v>-102.85953981465867</v>
      </c>
      <c r="CN82" s="1021">
        <f>(VLOOKUP(YEAR($A82),'NY East Load Projections'!$A$4:$EO$14,((MONTH($A82)-1)*12)+VLOOKUP(CN$4,$DE$6:$DF$17,2)+1))*$E82</f>
        <v>-102.85953981465867</v>
      </c>
      <c r="CO82" s="1021">
        <f>(VLOOKUP(YEAR($A82),'NY East Load Projections'!$A$4:$EO$14,((MONTH($A82)-1)*12)+VLOOKUP(CO$4,$DE$6:$DF$17,2)+1))*$E82</f>
        <v>-102.85953981465867</v>
      </c>
      <c r="CP82" s="1021">
        <f>(VLOOKUP(YEAR($A82),'NY East Load Projections'!$A$4:$EO$14,((MONTH($A82)-1)*12)+VLOOKUP(CP$4,$DE$6:$DF$17,2)+1))*$E82</f>
        <v>-102.85953981465867</v>
      </c>
      <c r="CQ82" s="1021">
        <f>(VLOOKUP(YEAR($A82),'NY East Load Projections'!$A$4:$EO$14,((MONTH($A82)-1)*12)+VLOOKUP(CQ$4,$DE$6:$DF$17,2)+1))*$E82</f>
        <v>-103.97040526113292</v>
      </c>
      <c r="CR82" s="1021">
        <f>(VLOOKUP(YEAR($A82),'NY East Load Projections'!$A$4:$EO$14,((MONTH($A82)-1)*12)+VLOOKUP(CR$4,$DE$6:$DF$17,2)+1))*$E82</f>
        <v>-103.97040526113292</v>
      </c>
      <c r="CS82" s="1021">
        <f>(VLOOKUP(YEAR($A82),'NY East Load Projections'!$A$4:$EO$14,((MONTH($A82)-1)*12)+VLOOKUP(CS$4,$DE$6:$DF$17,2)+1))*$E82</f>
        <v>-103.97040526113292</v>
      </c>
      <c r="CT82" s="1021">
        <f>(VLOOKUP(YEAR($A82),'NY East Load Projections'!$A$4:$EO$14,((MONTH($A82)-1)*12)+VLOOKUP(CT$4,$DE$6:$DF$17,2)+1))*$E82</f>
        <v>-103.97040526113292</v>
      </c>
      <c r="CU82" s="1021">
        <f>(VLOOKUP(YEAR($A82),'NY East Load Projections'!$A$4:$EO$14,((MONTH($A82)-1)*12)+VLOOKUP(CU$4,$DE$6:$DF$17,2)+1))*$E82</f>
        <v>-97.590886236097688</v>
      </c>
      <c r="CV82" s="1021">
        <f>(VLOOKUP(YEAR($A82),'NY East Load Projections'!$A$4:$EO$14,((MONTH($A82)-1)*12)+VLOOKUP(CV$4,$DE$6:$DF$17,2)+1))*$E82</f>
        <v>-97.590886236097688</v>
      </c>
      <c r="CW82" s="1021">
        <f>(VLOOKUP(YEAR($A82),'NY East Load Projections'!$A$4:$EO$14,((MONTH($A82)-1)*12)+VLOOKUP(CW$4,$DE$6:$DF$17,2)+1))*$E82</f>
        <v>-97.590886236097688</v>
      </c>
      <c r="CX82" s="1021">
        <f>(VLOOKUP(YEAR($A82),'NY East Load Projections'!$A$4:$EO$14,((MONTH($A82)-1)*12)+VLOOKUP(CX$4,$DE$6:$DF$17,2)+1))*$E82</f>
        <v>-97.590886236097688</v>
      </c>
      <c r="CY82" s="1021">
        <f>(VLOOKUP(YEAR($A82),'NY East Load Projections'!$A$4:$EO$14,((MONTH($A82)-1)*12)+VLOOKUP(CY$4,$DE$6:$DF$17,2)+1))*$E82</f>
        <v>-93.473427489486184</v>
      </c>
      <c r="CZ82" s="1021">
        <f>(VLOOKUP(YEAR($A82),'NY East Load Projections'!$A$4:$EO$14,((MONTH($A82)-1)*12)+VLOOKUP(CZ$4,$DE$6:$DF$17,2)+1))*$E82</f>
        <v>-93.473427489486184</v>
      </c>
      <c r="DA82" s="1021">
        <f>(VLOOKUP(YEAR($A82),'NY East Load Projections'!$A$4:$EO$14,((MONTH($A82)-1)*12)+VLOOKUP(DA$4,$DE$6:$DF$17,2)+1))*$E82</f>
        <v>-93.473427489486184</v>
      </c>
      <c r="DB82" s="1021">
        <f>(VLOOKUP(YEAR($A82),'NY East Load Projections'!$A$4:$EO$14,((MONTH($A82)-1)*12)+VLOOKUP(DB$4,$DE$6:$DF$17,2)+1))*$E82</f>
        <v>-93.473427489486184</v>
      </c>
      <c r="DH82" s="1009">
        <f t="shared" si="3"/>
        <v>-71782.330693015349</v>
      </c>
      <c r="DI82">
        <f ca="1">CALC!J102</f>
        <v>0.58965192229306307</v>
      </c>
      <c r="DJ82" s="1032">
        <f t="shared" ca="1" si="4"/>
        <v>-42326.589279812841</v>
      </c>
    </row>
    <row r="83" spans="1:114" x14ac:dyDescent="0.25">
      <c r="A83" s="244">
        <v>39234</v>
      </c>
      <c r="B83" s="13">
        <v>21</v>
      </c>
      <c r="C83" s="210">
        <v>5</v>
      </c>
      <c r="D83" s="210">
        <v>4</v>
      </c>
      <c r="E83" s="210">
        <v>0</v>
      </c>
      <c r="F83" s="13">
        <v>30</v>
      </c>
      <c r="H83" s="1021">
        <f>(VLOOKUP(YEAR($A83),'NY East Load Projections'!$A$4:$EO$14,((MONTH($A83)-1)*12)+VLOOKUP(H$4,$DE$6:$DF$17,2)+1))*$B83</f>
        <v>-1905.3318606671137</v>
      </c>
      <c r="I83" s="1021">
        <f>(VLOOKUP(YEAR($A83),'NY East Load Projections'!$A$4:$EO$14,((MONTH($A83)-1)*12)+VLOOKUP(I$4,$DE$6:$DF$17,2)+1))*$B83</f>
        <v>-1905.3318606671137</v>
      </c>
      <c r="J83" s="1021">
        <f>(VLOOKUP(YEAR($A83),'NY East Load Projections'!$A$4:$EO$14,((MONTH($A83)-1)*12)+VLOOKUP(J$4,$DE$6:$DF$17,2)+1))*$B83</f>
        <v>-1905.3318606671137</v>
      </c>
      <c r="K83" s="1021">
        <f>(VLOOKUP(YEAR($A83),'NY East Load Projections'!$A$4:$EO$14,((MONTH($A83)-1)*12)+VLOOKUP(K$4,$DE$6:$DF$17,2)+1))*$B83</f>
        <v>-1905.3318606671137</v>
      </c>
      <c r="L83" s="1021">
        <f>(VLOOKUP(YEAR($A83),'NY East Load Projections'!$A$4:$EO$14,((MONTH($A83)-1)*12)+VLOOKUP(L$4,$DE$6:$DF$17,2)+1))*$B83</f>
        <v>-2044.8322631860303</v>
      </c>
      <c r="M83" s="1021">
        <f>(VLOOKUP(YEAR($A83),'NY East Load Projections'!$A$4:$EO$14,((MONTH($A83)-1)*12)+VLOOKUP(M$4,$DE$6:$DF$17,2)+1))*$B83</f>
        <v>-2044.8322631860303</v>
      </c>
      <c r="N83" s="1021">
        <f>(VLOOKUP(YEAR($A83),'NY East Load Projections'!$A$4:$EO$14,((MONTH($A83)-1)*12)+VLOOKUP(N$4,$DE$6:$DF$17,2)+1))*$B83</f>
        <v>-2044.8322631860303</v>
      </c>
      <c r="O83" s="1021">
        <f>(VLOOKUP(YEAR($A83),'NY East Load Projections'!$A$4:$EO$14,((MONTH($A83)-1)*12)+VLOOKUP(O$4,$DE$6:$DF$17,2)+1))*$B83</f>
        <v>-2044.8322631860303</v>
      </c>
      <c r="P83" s="1021">
        <f>(VLOOKUP(YEAR($A83),'NY East Load Projections'!$A$4:$EO$14,((MONTH($A83)-1)*12)+VLOOKUP(P$4,$DE$6:$DF$17,2)+1))*$B83</f>
        <v>-2216.2317152810429</v>
      </c>
      <c r="Q83" s="1021">
        <f>(VLOOKUP(YEAR($A83),'NY East Load Projections'!$A$4:$EO$14,((MONTH($A83)-1)*12)+VLOOKUP(Q$4,$DE$6:$DF$17,2)+1))*$B83</f>
        <v>-2216.2317152810429</v>
      </c>
      <c r="R83" s="1021">
        <f>(VLOOKUP(YEAR($A83),'NY East Load Projections'!$A$4:$EO$14,((MONTH($A83)-1)*12)+VLOOKUP(R$4,$DE$6:$DF$17,2)+1))*$B83</f>
        <v>-2216.2317152810429</v>
      </c>
      <c r="S83" s="1021">
        <f>(VLOOKUP(YEAR($A83),'NY East Load Projections'!$A$4:$EO$14,((MONTH($A83)-1)*12)+VLOOKUP(S$4,$DE$6:$DF$17,2)+1))*$B83</f>
        <v>-2216.2317152810429</v>
      </c>
      <c r="T83" s="1021">
        <f>(VLOOKUP(YEAR($A83),'NY East Load Projections'!$A$4:$EO$14,((MONTH($A83)-1)*12)+VLOOKUP(T$4,$DE$6:$DF$17,2)+1))*$B83</f>
        <v>-2264.7855579849665</v>
      </c>
      <c r="U83" s="1021">
        <f>(VLOOKUP(YEAR($A83),'NY East Load Projections'!$A$4:$EO$14,((MONTH($A83)-1)*12)+VLOOKUP(U$4,$DE$6:$DF$17,2)+1))*$B83</f>
        <v>-2264.7855579849665</v>
      </c>
      <c r="V83" s="1021">
        <f>(VLOOKUP(YEAR($A83),'NY East Load Projections'!$A$4:$EO$14,((MONTH($A83)-1)*12)+VLOOKUP(V$4,$DE$6:$DF$17,2)+1))*$B83</f>
        <v>-2264.7855579849665</v>
      </c>
      <c r="W83" s="1021">
        <f>(VLOOKUP(YEAR($A83),'NY East Load Projections'!$A$4:$EO$14,((MONTH($A83)-1)*12)+VLOOKUP(W$4,$DE$6:$DF$17,2)+1))*$B83</f>
        <v>-2264.7855579849665</v>
      </c>
      <c r="X83" s="1021">
        <f>(VLOOKUP(YEAR($A83),'NY East Load Projections'!$A$4:$EO$14,((MONTH($A83)-1)*12)+VLOOKUP(X$4,$DE$6:$DF$17,2)+1))*$B83</f>
        <v>-2178.8768538425134</v>
      </c>
      <c r="Y83" s="1021">
        <f>(VLOOKUP(YEAR($A83),'NY East Load Projections'!$A$4:$EO$14,((MONTH($A83)-1)*12)+VLOOKUP(Y$4,$DE$6:$DF$17,2)+1))*$B83</f>
        <v>-2178.8768538425134</v>
      </c>
      <c r="Z83" s="1021">
        <f>(VLOOKUP(YEAR($A83),'NY East Load Projections'!$A$4:$EO$14,((MONTH($A83)-1)*12)+VLOOKUP(Z$4,$DE$6:$DF$17,2)+1))*$B83</f>
        <v>-2178.8768538425134</v>
      </c>
      <c r="AA83" s="1021">
        <f>(VLOOKUP(YEAR($A83),'NY East Load Projections'!$A$4:$EO$14,((MONTH($A83)-1)*12)+VLOOKUP(AA$4,$DE$6:$DF$17,2)+1))*$B83</f>
        <v>-2178.8768538425134</v>
      </c>
      <c r="AB83" s="1021">
        <f>(VLOOKUP(YEAR($A83),'NY East Load Projections'!$A$4:$EO$14,((MONTH($A83)-1)*12)+VLOOKUP(AB$4,$DE$6:$DF$17,2)+1))*$B83</f>
        <v>-1993.0974468997249</v>
      </c>
      <c r="AC83" s="1021">
        <f>(VLOOKUP(YEAR($A83),'NY East Load Projections'!$A$4:$EO$14,((MONTH($A83)-1)*12)+VLOOKUP(AC$4,$DE$6:$DF$17,2)+1))*$B83</f>
        <v>-1993.0974468997249</v>
      </c>
      <c r="AD83" s="1021">
        <f>(VLOOKUP(YEAR($A83),'NY East Load Projections'!$A$4:$EO$14,((MONTH($A83)-1)*12)+VLOOKUP(AD$4,$DE$6:$DF$17,2)+1))*$B83</f>
        <v>-1993.0974468997249</v>
      </c>
      <c r="AE83" s="1021">
        <f>(VLOOKUP(YEAR($A83),'NY East Load Projections'!$A$4:$EO$14,((MONTH($A83)-1)*12)+VLOOKUP(AE$4,$DE$6:$DF$17,2)+1))*$B83</f>
        <v>-1993.0974468997249</v>
      </c>
      <c r="AF83" s="1021"/>
      <c r="AG83" s="1021">
        <f>(VLOOKUP(YEAR($A83),'NY East Load Projections'!$A$4:$EO$14,((MONTH($A83)-1)*12)+VLOOKUP(AG$4,$DE$6:$DF$17,2)+1))*$C83</f>
        <v>-460.23801297094275</v>
      </c>
      <c r="AH83" s="1021">
        <f>(VLOOKUP(YEAR($A83),'NY East Load Projections'!$A$4:$EO$14,((MONTH($A83)-1)*12)+VLOOKUP(AH$4,$DE$6:$DF$17,2)+1))*$C83</f>
        <v>-460.23801297094275</v>
      </c>
      <c r="AI83" s="1021">
        <f>(VLOOKUP(YEAR($A83),'NY East Load Projections'!$A$4:$EO$14,((MONTH($A83)-1)*12)+VLOOKUP(AI$4,$DE$6:$DF$17,2)+1))*$C83</f>
        <v>-460.23801297094275</v>
      </c>
      <c r="AJ83" s="1021">
        <f>(VLOOKUP(YEAR($A83),'NY East Load Projections'!$A$4:$EO$14,((MONTH($A83)-1)*12)+VLOOKUP(AJ$4,$DE$6:$DF$17,2)+1))*$C83</f>
        <v>-460.23801297094275</v>
      </c>
      <c r="AK83" s="1021">
        <f>(VLOOKUP(YEAR($A83),'NY East Load Projections'!$A$4:$EO$14,((MONTH($A83)-1)*12)+VLOOKUP(AK$4,$DE$6:$DF$17,2)+1))*$C83</f>
        <v>-465.03875738639465</v>
      </c>
      <c r="AL83" s="1021">
        <f>(VLOOKUP(YEAR($A83),'NY East Load Projections'!$A$4:$EO$14,((MONTH($A83)-1)*12)+VLOOKUP(AL$4,$DE$6:$DF$17,2)+1))*$C83</f>
        <v>-465.03875738639465</v>
      </c>
      <c r="AM83" s="1021">
        <f>(VLOOKUP(YEAR($A83),'NY East Load Projections'!$A$4:$EO$14,((MONTH($A83)-1)*12)+VLOOKUP(AM$4,$DE$6:$DF$17,2)+1))*$C83</f>
        <v>-465.03875738639465</v>
      </c>
      <c r="AN83" s="1021">
        <f>(VLOOKUP(YEAR($A83),'NY East Load Projections'!$A$4:$EO$14,((MONTH($A83)-1)*12)+VLOOKUP(AN$4,$DE$6:$DF$17,2)+1))*$C83</f>
        <v>-465.03875738639465</v>
      </c>
      <c r="AO83" s="1021">
        <f>(VLOOKUP(YEAR($A83),'NY East Load Projections'!$A$4:$EO$14,((MONTH($A83)-1)*12)+VLOOKUP(AO$4,$DE$6:$DF$17,2)+1))*$C83</f>
        <v>-500.79967031411178</v>
      </c>
      <c r="AP83" s="1021">
        <f>(VLOOKUP(YEAR($A83),'NY East Load Projections'!$A$4:$EO$14,((MONTH($A83)-1)*12)+VLOOKUP(AP$4,$DE$6:$DF$17,2)+1))*$C83</f>
        <v>-500.79967031411178</v>
      </c>
      <c r="AQ83" s="1021">
        <f>(VLOOKUP(YEAR($A83),'NY East Load Projections'!$A$4:$EO$14,((MONTH($A83)-1)*12)+VLOOKUP(AQ$4,$DE$6:$DF$17,2)+1))*$C83</f>
        <v>-500.79967031411178</v>
      </c>
      <c r="AR83" s="1021">
        <f>(VLOOKUP(YEAR($A83),'NY East Load Projections'!$A$4:$EO$14,((MONTH($A83)-1)*12)+VLOOKUP(AR$4,$DE$6:$DF$17,2)+1))*$C83</f>
        <v>-500.79967031411178</v>
      </c>
      <c r="AS83" s="1021">
        <f>(VLOOKUP(YEAR($A83),'NY East Load Projections'!$A$4:$EO$14,((MONTH($A83)-1)*12)+VLOOKUP(AS$4,$DE$6:$DF$17,2)+1))*$C83</f>
        <v>-512.59996111545638</v>
      </c>
      <c r="AT83" s="1021">
        <f>(VLOOKUP(YEAR($A83),'NY East Load Projections'!$A$4:$EO$14,((MONTH($A83)-1)*12)+VLOOKUP(AT$4,$DE$6:$DF$17,2)+1))*$C83</f>
        <v>-512.59996111545638</v>
      </c>
      <c r="AU83" s="1021">
        <f>(VLOOKUP(YEAR($A83),'NY East Load Projections'!$A$4:$EO$14,((MONTH($A83)-1)*12)+VLOOKUP(AU$4,$DE$6:$DF$17,2)+1))*$C83</f>
        <v>-512.59996111545638</v>
      </c>
      <c r="AV83" s="1021">
        <f>(VLOOKUP(YEAR($A83),'NY East Load Projections'!$A$4:$EO$14,((MONTH($A83)-1)*12)+VLOOKUP(AV$4,$DE$6:$DF$17,2)+1))*$C83</f>
        <v>-512.59996111545638</v>
      </c>
      <c r="AW83" s="1021">
        <f>(VLOOKUP(YEAR($A83),'NY East Load Projections'!$A$4:$EO$14,((MONTH($A83)-1)*12)+VLOOKUP(AW$4,$DE$6:$DF$17,2)+1))*$C83</f>
        <v>-492.86543698697449</v>
      </c>
      <c r="AX83" s="1021">
        <f>(VLOOKUP(YEAR($A83),'NY East Load Projections'!$A$4:$EO$14,((MONTH($A83)-1)*12)+VLOOKUP(AX$4,$DE$6:$DF$17,2)+1))*$C83</f>
        <v>-492.86543698697449</v>
      </c>
      <c r="AY83" s="1021">
        <f>(VLOOKUP(YEAR($A83),'NY East Load Projections'!$A$4:$EO$14,((MONTH($A83)-1)*12)+VLOOKUP(AY$4,$DE$6:$DF$17,2)+1))*$C83</f>
        <v>-492.86543698697449</v>
      </c>
      <c r="AZ83" s="1021">
        <f>(VLOOKUP(YEAR($A83),'NY East Load Projections'!$A$4:$EO$14,((MONTH($A83)-1)*12)+VLOOKUP(AZ$4,$DE$6:$DF$17,2)+1))*$C83</f>
        <v>-492.86543698697449</v>
      </c>
      <c r="BA83" s="1021">
        <f>(VLOOKUP(YEAR($A83),'NY East Load Projections'!$A$4:$EO$14,((MONTH($A83)-1)*12)+VLOOKUP(BA$4,$DE$6:$DF$17,2)+1))*$C83</f>
        <v>-469.30552397964152</v>
      </c>
      <c r="BB83" s="1021">
        <f>(VLOOKUP(YEAR($A83),'NY East Load Projections'!$A$4:$EO$14,((MONTH($A83)-1)*12)+VLOOKUP(BB$4,$DE$6:$DF$17,2)+1))*$C83</f>
        <v>-469.30552397964152</v>
      </c>
      <c r="BC83" s="1021">
        <f>(VLOOKUP(YEAR($A83),'NY East Load Projections'!$A$4:$EO$14,((MONTH($A83)-1)*12)+VLOOKUP(BC$4,$DE$6:$DF$17,2)+1))*$C83</f>
        <v>-469.30552397964152</v>
      </c>
      <c r="BD83" s="1021">
        <f>(VLOOKUP(YEAR($A83),'NY East Load Projections'!$A$4:$EO$14,((MONTH($A83)-1)*12)+VLOOKUP(BD$4,$DE$6:$DF$17,2)+1))*$C83</f>
        <v>-469.30552397964152</v>
      </c>
      <c r="BE83" s="1021"/>
      <c r="BF83" s="1021">
        <f>(VLOOKUP(YEAR($A83),'NY East Load Projections'!$A$4:$EO$14,((MONTH($A83)-1)*12)+VLOOKUP(BF$4,$DE$6:$DF$17,2)+1))*$D83</f>
        <v>-368.19041037675419</v>
      </c>
      <c r="BG83" s="1021">
        <f>(VLOOKUP(YEAR($A83),'NY East Load Projections'!$A$4:$EO$14,((MONTH($A83)-1)*12)+VLOOKUP(BG$4,$DE$6:$DF$17,2)+1))*$D83</f>
        <v>-368.19041037675419</v>
      </c>
      <c r="BH83" s="1021">
        <f>(VLOOKUP(YEAR($A83),'NY East Load Projections'!$A$4:$EO$14,((MONTH($A83)-1)*12)+VLOOKUP(BH$4,$DE$6:$DF$17,2)+1))*$D83</f>
        <v>-368.19041037675419</v>
      </c>
      <c r="BI83" s="1021">
        <f>(VLOOKUP(YEAR($A83),'NY East Load Projections'!$A$4:$EO$14,((MONTH($A83)-1)*12)+VLOOKUP(BI$4,$DE$6:$DF$17,2)+1))*$D83</f>
        <v>-368.19041037675419</v>
      </c>
      <c r="BJ83" s="1021">
        <f>(VLOOKUP(YEAR($A83),'NY East Load Projections'!$A$4:$EO$14,((MONTH($A83)-1)*12)+VLOOKUP(BJ$4,$DE$6:$DF$17,2)+1))*$D83</f>
        <v>-372.03100590911572</v>
      </c>
      <c r="BK83" s="1021">
        <f>(VLOOKUP(YEAR($A83),'NY East Load Projections'!$A$4:$EO$14,((MONTH($A83)-1)*12)+VLOOKUP(BK$4,$DE$6:$DF$17,2)+1))*$D83</f>
        <v>-372.03100590911572</v>
      </c>
      <c r="BL83" s="1021">
        <f>(VLOOKUP(YEAR($A83),'NY East Load Projections'!$A$4:$EO$14,((MONTH($A83)-1)*12)+VLOOKUP(BL$4,$DE$6:$DF$17,2)+1))*$D83</f>
        <v>-372.03100590911572</v>
      </c>
      <c r="BM83" s="1021">
        <f>(VLOOKUP(YEAR($A83),'NY East Load Projections'!$A$4:$EO$14,((MONTH($A83)-1)*12)+VLOOKUP(BM$4,$DE$6:$DF$17,2)+1))*$D83</f>
        <v>-372.03100590911572</v>
      </c>
      <c r="BN83" s="1021">
        <f>(VLOOKUP(YEAR($A83),'NY East Load Projections'!$A$4:$EO$14,((MONTH($A83)-1)*12)+VLOOKUP(BN$4,$DE$6:$DF$17,2)+1))*$D83</f>
        <v>-400.63973625128943</v>
      </c>
      <c r="BO83" s="1021">
        <f>(VLOOKUP(YEAR($A83),'NY East Load Projections'!$A$4:$EO$14,((MONTH($A83)-1)*12)+VLOOKUP(BO$4,$DE$6:$DF$17,2)+1))*$D83</f>
        <v>-400.63973625128943</v>
      </c>
      <c r="BP83" s="1021">
        <f>(VLOOKUP(YEAR($A83),'NY East Load Projections'!$A$4:$EO$14,((MONTH($A83)-1)*12)+VLOOKUP(BP$4,$DE$6:$DF$17,2)+1))*$D83</f>
        <v>-400.63973625128943</v>
      </c>
      <c r="BQ83" s="1021">
        <f>(VLOOKUP(YEAR($A83),'NY East Load Projections'!$A$4:$EO$14,((MONTH($A83)-1)*12)+VLOOKUP(BQ$4,$DE$6:$DF$17,2)+1))*$D83</f>
        <v>-400.63973625128943</v>
      </c>
      <c r="BR83" s="1021">
        <f>(VLOOKUP(YEAR($A83),'NY East Load Projections'!$A$4:$EO$14,((MONTH($A83)-1)*12)+VLOOKUP(BR$4,$DE$6:$DF$17,2)+1))*$D83</f>
        <v>-410.07996889236506</v>
      </c>
      <c r="BS83" s="1021">
        <f>(VLOOKUP(YEAR($A83),'NY East Load Projections'!$A$4:$EO$14,((MONTH($A83)-1)*12)+VLOOKUP(BS$4,$DE$6:$DF$17,2)+1))*$D83</f>
        <v>-410.07996889236506</v>
      </c>
      <c r="BT83" s="1021">
        <f>(VLOOKUP(YEAR($A83),'NY East Load Projections'!$A$4:$EO$14,((MONTH($A83)-1)*12)+VLOOKUP(BT$4,$DE$6:$DF$17,2)+1))*$D83</f>
        <v>-410.07996889236506</v>
      </c>
      <c r="BU83" s="1021">
        <f>(VLOOKUP(YEAR($A83),'NY East Load Projections'!$A$4:$EO$14,((MONTH($A83)-1)*12)+VLOOKUP(BU$4,$DE$6:$DF$17,2)+1))*$D83</f>
        <v>-410.07996889236506</v>
      </c>
      <c r="BV83" s="1021">
        <f>(VLOOKUP(YEAR($A83),'NY East Load Projections'!$A$4:$EO$14,((MONTH($A83)-1)*12)+VLOOKUP(BV$4,$DE$6:$DF$17,2)+1))*$D83</f>
        <v>-394.2923495895796</v>
      </c>
      <c r="BW83" s="1021">
        <f>(VLOOKUP(YEAR($A83),'NY East Load Projections'!$A$4:$EO$14,((MONTH($A83)-1)*12)+VLOOKUP(BW$4,$DE$6:$DF$17,2)+1))*$D83</f>
        <v>-394.2923495895796</v>
      </c>
      <c r="BX83" s="1021">
        <f>(VLOOKUP(YEAR($A83),'NY East Load Projections'!$A$4:$EO$14,((MONTH($A83)-1)*12)+VLOOKUP(BX$4,$DE$6:$DF$17,2)+1))*$D83</f>
        <v>-394.2923495895796</v>
      </c>
      <c r="BY83" s="1021">
        <f>(VLOOKUP(YEAR($A83),'NY East Load Projections'!$A$4:$EO$14,((MONTH($A83)-1)*12)+VLOOKUP(BY$4,$DE$6:$DF$17,2)+1))*$D83</f>
        <v>-394.2923495895796</v>
      </c>
      <c r="BZ83" s="1021">
        <f>(VLOOKUP(YEAR($A83),'NY East Load Projections'!$A$4:$EO$14,((MONTH($A83)-1)*12)+VLOOKUP(BZ$4,$DE$6:$DF$17,2)+1))*$D83</f>
        <v>-375.44441918371319</v>
      </c>
      <c r="CA83" s="1021">
        <f>(VLOOKUP(YEAR($A83),'NY East Load Projections'!$A$4:$EO$14,((MONTH($A83)-1)*12)+VLOOKUP(CA$4,$DE$6:$DF$17,2)+1))*$D83</f>
        <v>-375.44441918371319</v>
      </c>
      <c r="CB83" s="1021">
        <f>(VLOOKUP(YEAR($A83),'NY East Load Projections'!$A$4:$EO$14,((MONTH($A83)-1)*12)+VLOOKUP(CB$4,$DE$6:$DF$17,2)+1))*$D83</f>
        <v>-375.44441918371319</v>
      </c>
      <c r="CC83" s="1021">
        <f>(VLOOKUP(YEAR($A83),'NY East Load Projections'!$A$4:$EO$14,((MONTH($A83)-1)*12)+VLOOKUP(CC$4,$DE$6:$DF$17,2)+1))*$D83</f>
        <v>-375.44441918371319</v>
      </c>
      <c r="CE83" s="1021">
        <f>(VLOOKUP(YEAR($A83),'NY East Load Projections'!$A$4:$EO$14,((MONTH($A83)-1)*12)+VLOOKUP(CE$4,$DE$6:$DF$17,2)+1))*$E83</f>
        <v>0</v>
      </c>
      <c r="CF83" s="1021">
        <f>(VLOOKUP(YEAR($A83),'NY East Load Projections'!$A$4:$EO$14,((MONTH($A83)-1)*12)+VLOOKUP(CF$4,$DE$6:$DF$17,2)+1))*$E83</f>
        <v>0</v>
      </c>
      <c r="CG83" s="1021">
        <f>(VLOOKUP(YEAR($A83),'NY East Load Projections'!$A$4:$EO$14,((MONTH($A83)-1)*12)+VLOOKUP(CG$4,$DE$6:$DF$17,2)+1))*$E83</f>
        <v>0</v>
      </c>
      <c r="CH83" s="1021">
        <f>(VLOOKUP(YEAR($A83),'NY East Load Projections'!$A$4:$EO$14,((MONTH($A83)-1)*12)+VLOOKUP(CH$4,$DE$6:$DF$17,2)+1))*$E83</f>
        <v>0</v>
      </c>
      <c r="CI83" s="1021">
        <f>(VLOOKUP(YEAR($A83),'NY East Load Projections'!$A$4:$EO$14,((MONTH($A83)-1)*12)+VLOOKUP(CI$4,$DE$6:$DF$17,2)+1))*$E83</f>
        <v>0</v>
      </c>
      <c r="CJ83" s="1021">
        <f>(VLOOKUP(YEAR($A83),'NY East Load Projections'!$A$4:$EO$14,((MONTH($A83)-1)*12)+VLOOKUP(CJ$4,$DE$6:$DF$17,2)+1))*$E83</f>
        <v>0</v>
      </c>
      <c r="CK83" s="1021">
        <f>(VLOOKUP(YEAR($A83),'NY East Load Projections'!$A$4:$EO$14,((MONTH($A83)-1)*12)+VLOOKUP(CK$4,$DE$6:$DF$17,2)+1))*$E83</f>
        <v>0</v>
      </c>
      <c r="CL83" s="1021">
        <f>(VLOOKUP(YEAR($A83),'NY East Load Projections'!$A$4:$EO$14,((MONTH($A83)-1)*12)+VLOOKUP(CL$4,$DE$6:$DF$17,2)+1))*$E83</f>
        <v>0</v>
      </c>
      <c r="CM83" s="1021">
        <f>(VLOOKUP(YEAR($A83),'NY East Load Projections'!$A$4:$EO$14,((MONTH($A83)-1)*12)+VLOOKUP(CM$4,$DE$6:$DF$17,2)+1))*$E83</f>
        <v>0</v>
      </c>
      <c r="CN83" s="1021">
        <f>(VLOOKUP(YEAR($A83),'NY East Load Projections'!$A$4:$EO$14,((MONTH($A83)-1)*12)+VLOOKUP(CN$4,$DE$6:$DF$17,2)+1))*$E83</f>
        <v>0</v>
      </c>
      <c r="CO83" s="1021">
        <f>(VLOOKUP(YEAR($A83),'NY East Load Projections'!$A$4:$EO$14,((MONTH($A83)-1)*12)+VLOOKUP(CO$4,$DE$6:$DF$17,2)+1))*$E83</f>
        <v>0</v>
      </c>
      <c r="CP83" s="1021">
        <f>(VLOOKUP(YEAR($A83),'NY East Load Projections'!$A$4:$EO$14,((MONTH($A83)-1)*12)+VLOOKUP(CP$4,$DE$6:$DF$17,2)+1))*$E83</f>
        <v>0</v>
      </c>
      <c r="CQ83" s="1021">
        <f>(VLOOKUP(YEAR($A83),'NY East Load Projections'!$A$4:$EO$14,((MONTH($A83)-1)*12)+VLOOKUP(CQ$4,$DE$6:$DF$17,2)+1))*$E83</f>
        <v>0</v>
      </c>
      <c r="CR83" s="1021">
        <f>(VLOOKUP(YEAR($A83),'NY East Load Projections'!$A$4:$EO$14,((MONTH($A83)-1)*12)+VLOOKUP(CR$4,$DE$6:$DF$17,2)+1))*$E83</f>
        <v>0</v>
      </c>
      <c r="CS83" s="1021">
        <f>(VLOOKUP(YEAR($A83),'NY East Load Projections'!$A$4:$EO$14,((MONTH($A83)-1)*12)+VLOOKUP(CS$4,$DE$6:$DF$17,2)+1))*$E83</f>
        <v>0</v>
      </c>
      <c r="CT83" s="1021">
        <f>(VLOOKUP(YEAR($A83),'NY East Load Projections'!$A$4:$EO$14,((MONTH($A83)-1)*12)+VLOOKUP(CT$4,$DE$6:$DF$17,2)+1))*$E83</f>
        <v>0</v>
      </c>
      <c r="CU83" s="1021">
        <f>(VLOOKUP(YEAR($A83),'NY East Load Projections'!$A$4:$EO$14,((MONTH($A83)-1)*12)+VLOOKUP(CU$4,$DE$6:$DF$17,2)+1))*$E83</f>
        <v>0</v>
      </c>
      <c r="CV83" s="1021">
        <f>(VLOOKUP(YEAR($A83),'NY East Load Projections'!$A$4:$EO$14,((MONTH($A83)-1)*12)+VLOOKUP(CV$4,$DE$6:$DF$17,2)+1))*$E83</f>
        <v>0</v>
      </c>
      <c r="CW83" s="1021">
        <f>(VLOOKUP(YEAR($A83),'NY East Load Projections'!$A$4:$EO$14,((MONTH($A83)-1)*12)+VLOOKUP(CW$4,$DE$6:$DF$17,2)+1))*$E83</f>
        <v>0</v>
      </c>
      <c r="CX83" s="1021">
        <f>(VLOOKUP(YEAR($A83),'NY East Load Projections'!$A$4:$EO$14,((MONTH($A83)-1)*12)+VLOOKUP(CX$4,$DE$6:$DF$17,2)+1))*$E83</f>
        <v>0</v>
      </c>
      <c r="CY83" s="1021">
        <f>(VLOOKUP(YEAR($A83),'NY East Load Projections'!$A$4:$EO$14,((MONTH($A83)-1)*12)+VLOOKUP(CY$4,$DE$6:$DF$17,2)+1))*$E83</f>
        <v>0</v>
      </c>
      <c r="CZ83" s="1021">
        <f>(VLOOKUP(YEAR($A83),'NY East Load Projections'!$A$4:$EO$14,((MONTH($A83)-1)*12)+VLOOKUP(CZ$4,$DE$6:$DF$17,2)+1))*$E83</f>
        <v>0</v>
      </c>
      <c r="DA83" s="1021">
        <f>(VLOOKUP(YEAR($A83),'NY East Load Projections'!$A$4:$EO$14,((MONTH($A83)-1)*12)+VLOOKUP(DA$4,$DE$6:$DF$17,2)+1))*$E83</f>
        <v>0</v>
      </c>
      <c r="DB83" s="1021">
        <f>(VLOOKUP(YEAR($A83),'NY East Load Projections'!$A$4:$EO$14,((MONTH($A83)-1)*12)+VLOOKUP(DB$4,$DE$6:$DF$17,2)+1))*$E83</f>
        <v>0</v>
      </c>
      <c r="DH83" s="1009">
        <f t="shared" si="3"/>
        <v>-71298.72380327087</v>
      </c>
      <c r="DI83">
        <f ca="1">CALC!J103</f>
        <v>0.58609365136337499</v>
      </c>
      <c r="DJ83" s="1032">
        <f t="shared" ca="1" si="4"/>
        <v>-41787.729371407804</v>
      </c>
    </row>
    <row r="84" spans="1:114" x14ac:dyDescent="0.25">
      <c r="A84" s="244">
        <v>39264</v>
      </c>
      <c r="B84" s="13">
        <v>21</v>
      </c>
      <c r="C84" s="210">
        <v>4</v>
      </c>
      <c r="D84" s="210">
        <v>5</v>
      </c>
      <c r="E84" s="210">
        <v>1</v>
      </c>
      <c r="F84" s="13">
        <v>31</v>
      </c>
      <c r="H84" s="1021">
        <f>(VLOOKUP(YEAR($A84),'NY East Load Projections'!$A$4:$EO$14,((MONTH($A84)-1)*12)+VLOOKUP(H$4,$DE$6:$DF$17,2)+1))*$B84</f>
        <v>-1957.1134001823457</v>
      </c>
      <c r="I84" s="1021">
        <f>(VLOOKUP(YEAR($A84),'NY East Load Projections'!$A$4:$EO$14,((MONTH($A84)-1)*12)+VLOOKUP(I$4,$DE$6:$DF$17,2)+1))*$B84</f>
        <v>-1957.1134001823457</v>
      </c>
      <c r="J84" s="1021">
        <f>(VLOOKUP(YEAR($A84),'NY East Load Projections'!$A$4:$EO$14,((MONTH($A84)-1)*12)+VLOOKUP(J$4,$DE$6:$DF$17,2)+1))*$B84</f>
        <v>-1957.1134001823457</v>
      </c>
      <c r="K84" s="1021">
        <f>(VLOOKUP(YEAR($A84),'NY East Load Projections'!$A$4:$EO$14,((MONTH($A84)-1)*12)+VLOOKUP(K$4,$DE$6:$DF$17,2)+1))*$B84</f>
        <v>-1957.1134001823457</v>
      </c>
      <c r="L84" s="1021">
        <f>(VLOOKUP(YEAR($A84),'NY East Load Projections'!$A$4:$EO$14,((MONTH($A84)-1)*12)+VLOOKUP(L$4,$DE$6:$DF$17,2)+1))*$B84</f>
        <v>-2089.4200102615441</v>
      </c>
      <c r="M84" s="1021">
        <f>(VLOOKUP(YEAR($A84),'NY East Load Projections'!$A$4:$EO$14,((MONTH($A84)-1)*12)+VLOOKUP(M$4,$DE$6:$DF$17,2)+1))*$B84</f>
        <v>-2089.4200102615441</v>
      </c>
      <c r="N84" s="1021">
        <f>(VLOOKUP(YEAR($A84),'NY East Load Projections'!$A$4:$EO$14,((MONTH($A84)-1)*12)+VLOOKUP(N$4,$DE$6:$DF$17,2)+1))*$B84</f>
        <v>-2089.4200102615441</v>
      </c>
      <c r="O84" s="1021">
        <f>(VLOOKUP(YEAR($A84),'NY East Load Projections'!$A$4:$EO$14,((MONTH($A84)-1)*12)+VLOOKUP(O$4,$DE$6:$DF$17,2)+1))*$B84</f>
        <v>-2089.4200102615441</v>
      </c>
      <c r="P84" s="1021">
        <f>(VLOOKUP(YEAR($A84),'NY East Load Projections'!$A$4:$EO$14,((MONTH($A84)-1)*12)+VLOOKUP(P$4,$DE$6:$DF$17,2)+1))*$B84</f>
        <v>-2264.9819659645545</v>
      </c>
      <c r="Q84" s="1021">
        <f>(VLOOKUP(YEAR($A84),'NY East Load Projections'!$A$4:$EO$14,((MONTH($A84)-1)*12)+VLOOKUP(Q$4,$DE$6:$DF$17,2)+1))*$B84</f>
        <v>-2264.9819659645545</v>
      </c>
      <c r="R84" s="1021">
        <f>(VLOOKUP(YEAR($A84),'NY East Load Projections'!$A$4:$EO$14,((MONTH($A84)-1)*12)+VLOOKUP(R$4,$DE$6:$DF$17,2)+1))*$B84</f>
        <v>-2264.9819659645545</v>
      </c>
      <c r="S84" s="1021">
        <f>(VLOOKUP(YEAR($A84),'NY East Load Projections'!$A$4:$EO$14,((MONTH($A84)-1)*12)+VLOOKUP(S$4,$DE$6:$DF$17,2)+1))*$B84</f>
        <v>-2264.9819659645545</v>
      </c>
      <c r="T84" s="1021">
        <f>(VLOOKUP(YEAR($A84),'NY East Load Projections'!$A$4:$EO$14,((MONTH($A84)-1)*12)+VLOOKUP(T$4,$DE$6:$DF$17,2)+1))*$B84</f>
        <v>-2302.4994298274196</v>
      </c>
      <c r="U84" s="1021">
        <f>(VLOOKUP(YEAR($A84),'NY East Load Projections'!$A$4:$EO$14,((MONTH($A84)-1)*12)+VLOOKUP(U$4,$DE$6:$DF$17,2)+1))*$B84</f>
        <v>-2302.4994298274196</v>
      </c>
      <c r="V84" s="1021">
        <f>(VLOOKUP(YEAR($A84),'NY East Load Projections'!$A$4:$EO$14,((MONTH($A84)-1)*12)+VLOOKUP(V$4,$DE$6:$DF$17,2)+1))*$B84</f>
        <v>-2302.4994298274196</v>
      </c>
      <c r="W84" s="1021">
        <f>(VLOOKUP(YEAR($A84),'NY East Load Projections'!$A$4:$EO$14,((MONTH($A84)-1)*12)+VLOOKUP(W$4,$DE$6:$DF$17,2)+1))*$B84</f>
        <v>-2302.4994298274196</v>
      </c>
      <c r="X84" s="1021">
        <f>(VLOOKUP(YEAR($A84),'NY East Load Projections'!$A$4:$EO$14,((MONTH($A84)-1)*12)+VLOOKUP(X$4,$DE$6:$DF$17,2)+1))*$B84</f>
        <v>-2228.6244877705712</v>
      </c>
      <c r="Y84" s="1021">
        <f>(VLOOKUP(YEAR($A84),'NY East Load Projections'!$A$4:$EO$14,((MONTH($A84)-1)*12)+VLOOKUP(Y$4,$DE$6:$DF$17,2)+1))*$B84</f>
        <v>-2228.6244877705712</v>
      </c>
      <c r="Z84" s="1021">
        <f>(VLOOKUP(YEAR($A84),'NY East Load Projections'!$A$4:$EO$14,((MONTH($A84)-1)*12)+VLOOKUP(Z$4,$DE$6:$DF$17,2)+1))*$B84</f>
        <v>-2228.6244877705712</v>
      </c>
      <c r="AA84" s="1021">
        <f>(VLOOKUP(YEAR($A84),'NY East Load Projections'!$A$4:$EO$14,((MONTH($A84)-1)*12)+VLOOKUP(AA$4,$DE$6:$DF$17,2)+1))*$B84</f>
        <v>-2228.6244877705712</v>
      </c>
      <c r="AB84" s="1021">
        <f>(VLOOKUP(YEAR($A84),'NY East Load Projections'!$A$4:$EO$14,((MONTH($A84)-1)*12)+VLOOKUP(AB$4,$DE$6:$DF$17,2)+1))*$B84</f>
        <v>-2041.7233017151673</v>
      </c>
      <c r="AC84" s="1021">
        <f>(VLOOKUP(YEAR($A84),'NY East Load Projections'!$A$4:$EO$14,((MONTH($A84)-1)*12)+VLOOKUP(AC$4,$DE$6:$DF$17,2)+1))*$B84</f>
        <v>-2041.7233017151673</v>
      </c>
      <c r="AD84" s="1021">
        <f>(VLOOKUP(YEAR($A84),'NY East Load Projections'!$A$4:$EO$14,((MONTH($A84)-1)*12)+VLOOKUP(AD$4,$DE$6:$DF$17,2)+1))*$B84</f>
        <v>-2041.7233017151673</v>
      </c>
      <c r="AE84" s="1021">
        <f>(VLOOKUP(YEAR($A84),'NY East Load Projections'!$A$4:$EO$14,((MONTH($A84)-1)*12)+VLOOKUP(AE$4,$DE$6:$DF$17,2)+1))*$B84</f>
        <v>-2041.7233017151673</v>
      </c>
      <c r="AF84" s="1021"/>
      <c r="AG84" s="1021">
        <f>(VLOOKUP(YEAR($A84),'NY East Load Projections'!$A$4:$EO$14,((MONTH($A84)-1)*12)+VLOOKUP(AG$4,$DE$6:$DF$17,2)+1))*$C84</f>
        <v>-356.3731645677347</v>
      </c>
      <c r="AH84" s="1021">
        <f>(VLOOKUP(YEAR($A84),'NY East Load Projections'!$A$4:$EO$14,((MONTH($A84)-1)*12)+VLOOKUP(AH$4,$DE$6:$DF$17,2)+1))*$C84</f>
        <v>-356.3731645677347</v>
      </c>
      <c r="AI84" s="1021">
        <f>(VLOOKUP(YEAR($A84),'NY East Load Projections'!$A$4:$EO$14,((MONTH($A84)-1)*12)+VLOOKUP(AI$4,$DE$6:$DF$17,2)+1))*$C84</f>
        <v>-356.3731645677347</v>
      </c>
      <c r="AJ84" s="1021">
        <f>(VLOOKUP(YEAR($A84),'NY East Load Projections'!$A$4:$EO$14,((MONTH($A84)-1)*12)+VLOOKUP(AJ$4,$DE$6:$DF$17,2)+1))*$C84</f>
        <v>-356.3731645677347</v>
      </c>
      <c r="AK84" s="1021">
        <f>(VLOOKUP(YEAR($A84),'NY East Load Projections'!$A$4:$EO$14,((MONTH($A84)-1)*12)+VLOOKUP(AK$4,$DE$6:$DF$17,2)+1))*$C84</f>
        <v>-361.66432532308255</v>
      </c>
      <c r="AL84" s="1021">
        <f>(VLOOKUP(YEAR($A84),'NY East Load Projections'!$A$4:$EO$14,((MONTH($A84)-1)*12)+VLOOKUP(AL$4,$DE$6:$DF$17,2)+1))*$C84</f>
        <v>-361.66432532308255</v>
      </c>
      <c r="AM84" s="1021">
        <f>(VLOOKUP(YEAR($A84),'NY East Load Projections'!$A$4:$EO$14,((MONTH($A84)-1)*12)+VLOOKUP(AM$4,$DE$6:$DF$17,2)+1))*$C84</f>
        <v>-361.66432532308255</v>
      </c>
      <c r="AN84" s="1021">
        <f>(VLOOKUP(YEAR($A84),'NY East Load Projections'!$A$4:$EO$14,((MONTH($A84)-1)*12)+VLOOKUP(AN$4,$DE$6:$DF$17,2)+1))*$C84</f>
        <v>-361.66432532308255</v>
      </c>
      <c r="AO84" s="1021">
        <f>(VLOOKUP(YEAR($A84),'NY East Load Projections'!$A$4:$EO$14,((MONTH($A84)-1)*12)+VLOOKUP(AO$4,$DE$6:$DF$17,2)+1))*$C84</f>
        <v>-391.86211553231254</v>
      </c>
      <c r="AP84" s="1021">
        <f>(VLOOKUP(YEAR($A84),'NY East Load Projections'!$A$4:$EO$14,((MONTH($A84)-1)*12)+VLOOKUP(AP$4,$DE$6:$DF$17,2)+1))*$C84</f>
        <v>-391.86211553231254</v>
      </c>
      <c r="AQ84" s="1021">
        <f>(VLOOKUP(YEAR($A84),'NY East Load Projections'!$A$4:$EO$14,((MONTH($A84)-1)*12)+VLOOKUP(AQ$4,$DE$6:$DF$17,2)+1))*$C84</f>
        <v>-391.86211553231254</v>
      </c>
      <c r="AR84" s="1021">
        <f>(VLOOKUP(YEAR($A84),'NY East Load Projections'!$A$4:$EO$14,((MONTH($A84)-1)*12)+VLOOKUP(AR$4,$DE$6:$DF$17,2)+1))*$C84</f>
        <v>-391.86211553231254</v>
      </c>
      <c r="AS84" s="1021">
        <f>(VLOOKUP(YEAR($A84),'NY East Load Projections'!$A$4:$EO$14,((MONTH($A84)-1)*12)+VLOOKUP(AS$4,$DE$6:$DF$17,2)+1))*$C84</f>
        <v>-402.96841681355778</v>
      </c>
      <c r="AT84" s="1021">
        <f>(VLOOKUP(YEAR($A84),'NY East Load Projections'!$A$4:$EO$14,((MONTH($A84)-1)*12)+VLOOKUP(AT$4,$DE$6:$DF$17,2)+1))*$C84</f>
        <v>-402.96841681355778</v>
      </c>
      <c r="AU84" s="1021">
        <f>(VLOOKUP(YEAR($A84),'NY East Load Projections'!$A$4:$EO$14,((MONTH($A84)-1)*12)+VLOOKUP(AU$4,$DE$6:$DF$17,2)+1))*$C84</f>
        <v>-402.96841681355778</v>
      </c>
      <c r="AV84" s="1021">
        <f>(VLOOKUP(YEAR($A84),'NY East Load Projections'!$A$4:$EO$14,((MONTH($A84)-1)*12)+VLOOKUP(AV$4,$DE$6:$DF$17,2)+1))*$C84</f>
        <v>-402.96841681355778</v>
      </c>
      <c r="AW84" s="1021">
        <f>(VLOOKUP(YEAR($A84),'NY East Load Projections'!$A$4:$EO$14,((MONTH($A84)-1)*12)+VLOOKUP(AW$4,$DE$6:$DF$17,2)+1))*$C84</f>
        <v>-387.65351436361482</v>
      </c>
      <c r="AX84" s="1021">
        <f>(VLOOKUP(YEAR($A84),'NY East Load Projections'!$A$4:$EO$14,((MONTH($A84)-1)*12)+VLOOKUP(AX$4,$DE$6:$DF$17,2)+1))*$C84</f>
        <v>-387.65351436361482</v>
      </c>
      <c r="AY84" s="1021">
        <f>(VLOOKUP(YEAR($A84),'NY East Load Projections'!$A$4:$EO$14,((MONTH($A84)-1)*12)+VLOOKUP(AY$4,$DE$6:$DF$17,2)+1))*$C84</f>
        <v>-387.65351436361482</v>
      </c>
      <c r="AZ84" s="1021">
        <f>(VLOOKUP(YEAR($A84),'NY East Load Projections'!$A$4:$EO$14,((MONTH($A84)-1)*12)+VLOOKUP(AZ$4,$DE$6:$DF$17,2)+1))*$C84</f>
        <v>-387.65351436361482</v>
      </c>
      <c r="BA84" s="1021">
        <f>(VLOOKUP(YEAR($A84),'NY East Load Projections'!$A$4:$EO$14,((MONTH($A84)-1)*12)+VLOOKUP(BA$4,$DE$6:$DF$17,2)+1))*$C84</f>
        <v>-368.41215565171279</v>
      </c>
      <c r="BB84" s="1021">
        <f>(VLOOKUP(YEAR($A84),'NY East Load Projections'!$A$4:$EO$14,((MONTH($A84)-1)*12)+VLOOKUP(BB$4,$DE$6:$DF$17,2)+1))*$C84</f>
        <v>-368.41215565171279</v>
      </c>
      <c r="BC84" s="1021">
        <f>(VLOOKUP(YEAR($A84),'NY East Load Projections'!$A$4:$EO$14,((MONTH($A84)-1)*12)+VLOOKUP(BC$4,$DE$6:$DF$17,2)+1))*$C84</f>
        <v>-368.41215565171279</v>
      </c>
      <c r="BD84" s="1021">
        <f>(VLOOKUP(YEAR($A84),'NY East Load Projections'!$A$4:$EO$14,((MONTH($A84)-1)*12)+VLOOKUP(BD$4,$DE$6:$DF$17,2)+1))*$C84</f>
        <v>-368.41215565171279</v>
      </c>
      <c r="BE84" s="1021"/>
      <c r="BF84" s="1021">
        <f>(VLOOKUP(YEAR($A84),'NY East Load Projections'!$A$4:$EO$14,((MONTH($A84)-1)*12)+VLOOKUP(BF$4,$DE$6:$DF$17,2)+1))*$D84</f>
        <v>-445.46645570966837</v>
      </c>
      <c r="BG84" s="1021">
        <f>(VLOOKUP(YEAR($A84),'NY East Load Projections'!$A$4:$EO$14,((MONTH($A84)-1)*12)+VLOOKUP(BG$4,$DE$6:$DF$17,2)+1))*$D84</f>
        <v>-445.46645570966837</v>
      </c>
      <c r="BH84" s="1021">
        <f>(VLOOKUP(YEAR($A84),'NY East Load Projections'!$A$4:$EO$14,((MONTH($A84)-1)*12)+VLOOKUP(BH$4,$DE$6:$DF$17,2)+1))*$D84</f>
        <v>-445.46645570966837</v>
      </c>
      <c r="BI84" s="1021">
        <f>(VLOOKUP(YEAR($A84),'NY East Load Projections'!$A$4:$EO$14,((MONTH($A84)-1)*12)+VLOOKUP(BI$4,$DE$6:$DF$17,2)+1))*$D84</f>
        <v>-445.46645570966837</v>
      </c>
      <c r="BJ84" s="1021">
        <f>(VLOOKUP(YEAR($A84),'NY East Load Projections'!$A$4:$EO$14,((MONTH($A84)-1)*12)+VLOOKUP(BJ$4,$DE$6:$DF$17,2)+1))*$D84</f>
        <v>-452.08040665385317</v>
      </c>
      <c r="BK84" s="1021">
        <f>(VLOOKUP(YEAR($A84),'NY East Load Projections'!$A$4:$EO$14,((MONTH($A84)-1)*12)+VLOOKUP(BK$4,$DE$6:$DF$17,2)+1))*$D84</f>
        <v>-452.08040665385317</v>
      </c>
      <c r="BL84" s="1021">
        <f>(VLOOKUP(YEAR($A84),'NY East Load Projections'!$A$4:$EO$14,((MONTH($A84)-1)*12)+VLOOKUP(BL$4,$DE$6:$DF$17,2)+1))*$D84</f>
        <v>-452.08040665385317</v>
      </c>
      <c r="BM84" s="1021">
        <f>(VLOOKUP(YEAR($A84),'NY East Load Projections'!$A$4:$EO$14,((MONTH($A84)-1)*12)+VLOOKUP(BM$4,$DE$6:$DF$17,2)+1))*$D84</f>
        <v>-452.08040665385317</v>
      </c>
      <c r="BN84" s="1021">
        <f>(VLOOKUP(YEAR($A84),'NY East Load Projections'!$A$4:$EO$14,((MONTH($A84)-1)*12)+VLOOKUP(BN$4,$DE$6:$DF$17,2)+1))*$D84</f>
        <v>-489.82764441539069</v>
      </c>
      <c r="BO84" s="1021">
        <f>(VLOOKUP(YEAR($A84),'NY East Load Projections'!$A$4:$EO$14,((MONTH($A84)-1)*12)+VLOOKUP(BO$4,$DE$6:$DF$17,2)+1))*$D84</f>
        <v>-489.82764441539069</v>
      </c>
      <c r="BP84" s="1021">
        <f>(VLOOKUP(YEAR($A84),'NY East Load Projections'!$A$4:$EO$14,((MONTH($A84)-1)*12)+VLOOKUP(BP$4,$DE$6:$DF$17,2)+1))*$D84</f>
        <v>-489.82764441539069</v>
      </c>
      <c r="BQ84" s="1021">
        <f>(VLOOKUP(YEAR($A84),'NY East Load Projections'!$A$4:$EO$14,((MONTH($A84)-1)*12)+VLOOKUP(BQ$4,$DE$6:$DF$17,2)+1))*$D84</f>
        <v>-489.82764441539069</v>
      </c>
      <c r="BR84" s="1021">
        <f>(VLOOKUP(YEAR($A84),'NY East Load Projections'!$A$4:$EO$14,((MONTH($A84)-1)*12)+VLOOKUP(BR$4,$DE$6:$DF$17,2)+1))*$D84</f>
        <v>-503.71052101694721</v>
      </c>
      <c r="BS84" s="1021">
        <f>(VLOOKUP(YEAR($A84),'NY East Load Projections'!$A$4:$EO$14,((MONTH($A84)-1)*12)+VLOOKUP(BS$4,$DE$6:$DF$17,2)+1))*$D84</f>
        <v>-503.71052101694721</v>
      </c>
      <c r="BT84" s="1021">
        <f>(VLOOKUP(YEAR($A84),'NY East Load Projections'!$A$4:$EO$14,((MONTH($A84)-1)*12)+VLOOKUP(BT$4,$DE$6:$DF$17,2)+1))*$D84</f>
        <v>-503.71052101694721</v>
      </c>
      <c r="BU84" s="1021">
        <f>(VLOOKUP(YEAR($A84),'NY East Load Projections'!$A$4:$EO$14,((MONTH($A84)-1)*12)+VLOOKUP(BU$4,$DE$6:$DF$17,2)+1))*$D84</f>
        <v>-503.71052101694721</v>
      </c>
      <c r="BV84" s="1021">
        <f>(VLOOKUP(YEAR($A84),'NY East Load Projections'!$A$4:$EO$14,((MONTH($A84)-1)*12)+VLOOKUP(BV$4,$DE$6:$DF$17,2)+1))*$D84</f>
        <v>-484.56689295451849</v>
      </c>
      <c r="BW84" s="1021">
        <f>(VLOOKUP(YEAR($A84),'NY East Load Projections'!$A$4:$EO$14,((MONTH($A84)-1)*12)+VLOOKUP(BW$4,$DE$6:$DF$17,2)+1))*$D84</f>
        <v>-484.56689295451849</v>
      </c>
      <c r="BX84" s="1021">
        <f>(VLOOKUP(YEAR($A84),'NY East Load Projections'!$A$4:$EO$14,((MONTH($A84)-1)*12)+VLOOKUP(BX$4,$DE$6:$DF$17,2)+1))*$D84</f>
        <v>-484.56689295451849</v>
      </c>
      <c r="BY84" s="1021">
        <f>(VLOOKUP(YEAR($A84),'NY East Load Projections'!$A$4:$EO$14,((MONTH($A84)-1)*12)+VLOOKUP(BY$4,$DE$6:$DF$17,2)+1))*$D84</f>
        <v>-484.56689295451849</v>
      </c>
      <c r="BZ84" s="1021">
        <f>(VLOOKUP(YEAR($A84),'NY East Load Projections'!$A$4:$EO$14,((MONTH($A84)-1)*12)+VLOOKUP(BZ$4,$DE$6:$DF$17,2)+1))*$D84</f>
        <v>-460.51519456464098</v>
      </c>
      <c r="CA84" s="1021">
        <f>(VLOOKUP(YEAR($A84),'NY East Load Projections'!$A$4:$EO$14,((MONTH($A84)-1)*12)+VLOOKUP(CA$4,$DE$6:$DF$17,2)+1))*$D84</f>
        <v>-460.51519456464098</v>
      </c>
      <c r="CB84" s="1021">
        <f>(VLOOKUP(YEAR($A84),'NY East Load Projections'!$A$4:$EO$14,((MONTH($A84)-1)*12)+VLOOKUP(CB$4,$DE$6:$DF$17,2)+1))*$D84</f>
        <v>-460.51519456464098</v>
      </c>
      <c r="CC84" s="1021">
        <f>(VLOOKUP(YEAR($A84),'NY East Load Projections'!$A$4:$EO$14,((MONTH($A84)-1)*12)+VLOOKUP(CC$4,$DE$6:$DF$17,2)+1))*$D84</f>
        <v>-460.51519456464098</v>
      </c>
      <c r="CE84" s="1021">
        <f>(VLOOKUP(YEAR($A84),'NY East Load Projections'!$A$4:$EO$14,((MONTH($A84)-1)*12)+VLOOKUP(CE$4,$DE$6:$DF$17,2)+1))*$E84</f>
        <v>-89.093291141933676</v>
      </c>
      <c r="CF84" s="1021">
        <f>(VLOOKUP(YEAR($A84),'NY East Load Projections'!$A$4:$EO$14,((MONTH($A84)-1)*12)+VLOOKUP(CF$4,$DE$6:$DF$17,2)+1))*$E84</f>
        <v>-89.093291141933676</v>
      </c>
      <c r="CG84" s="1021">
        <f>(VLOOKUP(YEAR($A84),'NY East Load Projections'!$A$4:$EO$14,((MONTH($A84)-1)*12)+VLOOKUP(CG$4,$DE$6:$DF$17,2)+1))*$E84</f>
        <v>-89.093291141933676</v>
      </c>
      <c r="CH84" s="1021">
        <f>(VLOOKUP(YEAR($A84),'NY East Load Projections'!$A$4:$EO$14,((MONTH($A84)-1)*12)+VLOOKUP(CH$4,$DE$6:$DF$17,2)+1))*$E84</f>
        <v>-89.093291141933676</v>
      </c>
      <c r="CI84" s="1021">
        <f>(VLOOKUP(YEAR($A84),'NY East Load Projections'!$A$4:$EO$14,((MONTH($A84)-1)*12)+VLOOKUP(CI$4,$DE$6:$DF$17,2)+1))*$E84</f>
        <v>-90.416081330770638</v>
      </c>
      <c r="CJ84" s="1021">
        <f>(VLOOKUP(YEAR($A84),'NY East Load Projections'!$A$4:$EO$14,((MONTH($A84)-1)*12)+VLOOKUP(CJ$4,$DE$6:$DF$17,2)+1))*$E84</f>
        <v>-90.416081330770638</v>
      </c>
      <c r="CK84" s="1021">
        <f>(VLOOKUP(YEAR($A84),'NY East Load Projections'!$A$4:$EO$14,((MONTH($A84)-1)*12)+VLOOKUP(CK$4,$DE$6:$DF$17,2)+1))*$E84</f>
        <v>-90.416081330770638</v>
      </c>
      <c r="CL84" s="1021">
        <f>(VLOOKUP(YEAR($A84),'NY East Load Projections'!$A$4:$EO$14,((MONTH($A84)-1)*12)+VLOOKUP(CL$4,$DE$6:$DF$17,2)+1))*$E84</f>
        <v>-90.416081330770638</v>
      </c>
      <c r="CM84" s="1021">
        <f>(VLOOKUP(YEAR($A84),'NY East Load Projections'!$A$4:$EO$14,((MONTH($A84)-1)*12)+VLOOKUP(CM$4,$DE$6:$DF$17,2)+1))*$E84</f>
        <v>-97.965528883078136</v>
      </c>
      <c r="CN84" s="1021">
        <f>(VLOOKUP(YEAR($A84),'NY East Load Projections'!$A$4:$EO$14,((MONTH($A84)-1)*12)+VLOOKUP(CN$4,$DE$6:$DF$17,2)+1))*$E84</f>
        <v>-97.965528883078136</v>
      </c>
      <c r="CO84" s="1021">
        <f>(VLOOKUP(YEAR($A84),'NY East Load Projections'!$A$4:$EO$14,((MONTH($A84)-1)*12)+VLOOKUP(CO$4,$DE$6:$DF$17,2)+1))*$E84</f>
        <v>-97.965528883078136</v>
      </c>
      <c r="CP84" s="1021">
        <f>(VLOOKUP(YEAR($A84),'NY East Load Projections'!$A$4:$EO$14,((MONTH($A84)-1)*12)+VLOOKUP(CP$4,$DE$6:$DF$17,2)+1))*$E84</f>
        <v>-97.965528883078136</v>
      </c>
      <c r="CQ84" s="1021">
        <f>(VLOOKUP(YEAR($A84),'NY East Load Projections'!$A$4:$EO$14,((MONTH($A84)-1)*12)+VLOOKUP(CQ$4,$DE$6:$DF$17,2)+1))*$E84</f>
        <v>-100.74210420338945</v>
      </c>
      <c r="CR84" s="1021">
        <f>(VLOOKUP(YEAR($A84),'NY East Load Projections'!$A$4:$EO$14,((MONTH($A84)-1)*12)+VLOOKUP(CR$4,$DE$6:$DF$17,2)+1))*$E84</f>
        <v>-100.74210420338945</v>
      </c>
      <c r="CS84" s="1021">
        <f>(VLOOKUP(YEAR($A84),'NY East Load Projections'!$A$4:$EO$14,((MONTH($A84)-1)*12)+VLOOKUP(CS$4,$DE$6:$DF$17,2)+1))*$E84</f>
        <v>-100.74210420338945</v>
      </c>
      <c r="CT84" s="1021">
        <f>(VLOOKUP(YEAR($A84),'NY East Load Projections'!$A$4:$EO$14,((MONTH($A84)-1)*12)+VLOOKUP(CT$4,$DE$6:$DF$17,2)+1))*$E84</f>
        <v>-100.74210420338945</v>
      </c>
      <c r="CU84" s="1021">
        <f>(VLOOKUP(YEAR($A84),'NY East Load Projections'!$A$4:$EO$14,((MONTH($A84)-1)*12)+VLOOKUP(CU$4,$DE$6:$DF$17,2)+1))*$E84</f>
        <v>-96.913378590903704</v>
      </c>
      <c r="CV84" s="1021">
        <f>(VLOOKUP(YEAR($A84),'NY East Load Projections'!$A$4:$EO$14,((MONTH($A84)-1)*12)+VLOOKUP(CV$4,$DE$6:$DF$17,2)+1))*$E84</f>
        <v>-96.913378590903704</v>
      </c>
      <c r="CW84" s="1021">
        <f>(VLOOKUP(YEAR($A84),'NY East Load Projections'!$A$4:$EO$14,((MONTH($A84)-1)*12)+VLOOKUP(CW$4,$DE$6:$DF$17,2)+1))*$E84</f>
        <v>-96.913378590903704</v>
      </c>
      <c r="CX84" s="1021">
        <f>(VLOOKUP(YEAR($A84),'NY East Load Projections'!$A$4:$EO$14,((MONTH($A84)-1)*12)+VLOOKUP(CX$4,$DE$6:$DF$17,2)+1))*$E84</f>
        <v>-96.913378590903704</v>
      </c>
      <c r="CY84" s="1021">
        <f>(VLOOKUP(YEAR($A84),'NY East Load Projections'!$A$4:$EO$14,((MONTH($A84)-1)*12)+VLOOKUP(CY$4,$DE$6:$DF$17,2)+1))*$E84</f>
        <v>-92.103038912928199</v>
      </c>
      <c r="CZ84" s="1021">
        <f>(VLOOKUP(YEAR($A84),'NY East Load Projections'!$A$4:$EO$14,((MONTH($A84)-1)*12)+VLOOKUP(CZ$4,$DE$6:$DF$17,2)+1))*$E84</f>
        <v>-92.103038912928199</v>
      </c>
      <c r="DA84" s="1021">
        <f>(VLOOKUP(YEAR($A84),'NY East Load Projections'!$A$4:$EO$14,((MONTH($A84)-1)*12)+VLOOKUP(DA$4,$DE$6:$DF$17,2)+1))*$E84</f>
        <v>-92.103038912928199</v>
      </c>
      <c r="DB84" s="1021">
        <f>(VLOOKUP(YEAR($A84),'NY East Load Projections'!$A$4:$EO$14,((MONTH($A84)-1)*12)+VLOOKUP(DB$4,$DE$6:$DF$17,2)+1))*$E84</f>
        <v>-92.103038912928199</v>
      </c>
      <c r="DH84" s="1009">
        <f t="shared" si="3"/>
        <v>-74226.787305406615</v>
      </c>
      <c r="DI84">
        <f ca="1">CALC!J104</f>
        <v>0.58244205146161265</v>
      </c>
      <c r="DJ84" s="1032">
        <f t="shared" ca="1" si="4"/>
        <v>-43232.802271565815</v>
      </c>
    </row>
    <row r="85" spans="1:114" x14ac:dyDescent="0.25">
      <c r="A85" s="244">
        <v>39295</v>
      </c>
      <c r="B85" s="13">
        <v>23</v>
      </c>
      <c r="C85" s="210">
        <v>4</v>
      </c>
      <c r="D85" s="210">
        <v>4</v>
      </c>
      <c r="E85" s="210">
        <v>0</v>
      </c>
      <c r="F85" s="13">
        <v>31</v>
      </c>
      <c r="H85" s="1021">
        <f>(VLOOKUP(YEAR($A85),'NY East Load Projections'!$A$4:$EO$14,((MONTH($A85)-1)*12)+VLOOKUP(H$4,$DE$6:$DF$17,2)+1))*$B85</f>
        <v>-2184.8725114332719</v>
      </c>
      <c r="I85" s="1021">
        <f>(VLOOKUP(YEAR($A85),'NY East Load Projections'!$A$4:$EO$14,((MONTH($A85)-1)*12)+VLOOKUP(I$4,$DE$6:$DF$17,2)+1))*$B85</f>
        <v>-2184.8725114332719</v>
      </c>
      <c r="J85" s="1021">
        <f>(VLOOKUP(YEAR($A85),'NY East Load Projections'!$A$4:$EO$14,((MONTH($A85)-1)*12)+VLOOKUP(J$4,$DE$6:$DF$17,2)+1))*$B85</f>
        <v>-2184.8725114332719</v>
      </c>
      <c r="K85" s="1021">
        <f>(VLOOKUP(YEAR($A85),'NY East Load Projections'!$A$4:$EO$14,((MONTH($A85)-1)*12)+VLOOKUP(K$4,$DE$6:$DF$17,2)+1))*$B85</f>
        <v>-2184.8725114332719</v>
      </c>
      <c r="L85" s="1021">
        <f>(VLOOKUP(YEAR($A85),'NY East Load Projections'!$A$4:$EO$14,((MONTH($A85)-1)*12)+VLOOKUP(L$4,$DE$6:$DF$17,2)+1))*$B85</f>
        <v>-2325.14122333354</v>
      </c>
      <c r="M85" s="1021">
        <f>(VLOOKUP(YEAR($A85),'NY East Load Projections'!$A$4:$EO$14,((MONTH($A85)-1)*12)+VLOOKUP(M$4,$DE$6:$DF$17,2)+1))*$B85</f>
        <v>-2325.14122333354</v>
      </c>
      <c r="N85" s="1021">
        <f>(VLOOKUP(YEAR($A85),'NY East Load Projections'!$A$4:$EO$14,((MONTH($A85)-1)*12)+VLOOKUP(N$4,$DE$6:$DF$17,2)+1))*$B85</f>
        <v>-2325.14122333354</v>
      </c>
      <c r="O85" s="1021">
        <f>(VLOOKUP(YEAR($A85),'NY East Load Projections'!$A$4:$EO$14,((MONTH($A85)-1)*12)+VLOOKUP(O$4,$DE$6:$DF$17,2)+1))*$B85</f>
        <v>-2325.14122333354</v>
      </c>
      <c r="P85" s="1021">
        <f>(VLOOKUP(YEAR($A85),'NY East Load Projections'!$A$4:$EO$14,((MONTH($A85)-1)*12)+VLOOKUP(P$4,$DE$6:$DF$17,2)+1))*$B85</f>
        <v>-2533.2789503354797</v>
      </c>
      <c r="Q85" s="1021">
        <f>(VLOOKUP(YEAR($A85),'NY East Load Projections'!$A$4:$EO$14,((MONTH($A85)-1)*12)+VLOOKUP(Q$4,$DE$6:$DF$17,2)+1))*$B85</f>
        <v>-2533.2789503354797</v>
      </c>
      <c r="R85" s="1021">
        <f>(VLOOKUP(YEAR($A85),'NY East Load Projections'!$A$4:$EO$14,((MONTH($A85)-1)*12)+VLOOKUP(R$4,$DE$6:$DF$17,2)+1))*$B85</f>
        <v>-2533.2789503354797</v>
      </c>
      <c r="S85" s="1021">
        <f>(VLOOKUP(YEAR($A85),'NY East Load Projections'!$A$4:$EO$14,((MONTH($A85)-1)*12)+VLOOKUP(S$4,$DE$6:$DF$17,2)+1))*$B85</f>
        <v>-2533.2789503354797</v>
      </c>
      <c r="T85" s="1021">
        <f>(VLOOKUP(YEAR($A85),'NY East Load Projections'!$A$4:$EO$14,((MONTH($A85)-1)*12)+VLOOKUP(T$4,$DE$6:$DF$17,2)+1))*$B85</f>
        <v>-2596.9933236551615</v>
      </c>
      <c r="U85" s="1021">
        <f>(VLOOKUP(YEAR($A85),'NY East Load Projections'!$A$4:$EO$14,((MONTH($A85)-1)*12)+VLOOKUP(U$4,$DE$6:$DF$17,2)+1))*$B85</f>
        <v>-2596.9933236551615</v>
      </c>
      <c r="V85" s="1021">
        <f>(VLOOKUP(YEAR($A85),'NY East Load Projections'!$A$4:$EO$14,((MONTH($A85)-1)*12)+VLOOKUP(V$4,$DE$6:$DF$17,2)+1))*$B85</f>
        <v>-2596.9933236551615</v>
      </c>
      <c r="W85" s="1021">
        <f>(VLOOKUP(YEAR($A85),'NY East Load Projections'!$A$4:$EO$14,((MONTH($A85)-1)*12)+VLOOKUP(W$4,$DE$6:$DF$17,2)+1))*$B85</f>
        <v>-2596.9933236551615</v>
      </c>
      <c r="X85" s="1021">
        <f>(VLOOKUP(YEAR($A85),'NY East Load Projections'!$A$4:$EO$14,((MONTH($A85)-1)*12)+VLOOKUP(X$4,$DE$6:$DF$17,2)+1))*$B85</f>
        <v>-2498.3519386965136</v>
      </c>
      <c r="Y85" s="1021">
        <f>(VLOOKUP(YEAR($A85),'NY East Load Projections'!$A$4:$EO$14,((MONTH($A85)-1)*12)+VLOOKUP(Y$4,$DE$6:$DF$17,2)+1))*$B85</f>
        <v>-2498.3519386965136</v>
      </c>
      <c r="Z85" s="1021">
        <f>(VLOOKUP(YEAR($A85),'NY East Load Projections'!$A$4:$EO$14,((MONTH($A85)-1)*12)+VLOOKUP(Z$4,$DE$6:$DF$17,2)+1))*$B85</f>
        <v>-2498.3519386965136</v>
      </c>
      <c r="AA85" s="1021">
        <f>(VLOOKUP(YEAR($A85),'NY East Load Projections'!$A$4:$EO$14,((MONTH($A85)-1)*12)+VLOOKUP(AA$4,$DE$6:$DF$17,2)+1))*$B85</f>
        <v>-2498.3519386965136</v>
      </c>
      <c r="AB85" s="1021">
        <f>(VLOOKUP(YEAR($A85),'NY East Load Projections'!$A$4:$EO$14,((MONTH($A85)-1)*12)+VLOOKUP(AB$4,$DE$6:$DF$17,2)+1))*$B85</f>
        <v>-2281.1024090425121</v>
      </c>
      <c r="AC85" s="1021">
        <f>(VLOOKUP(YEAR($A85),'NY East Load Projections'!$A$4:$EO$14,((MONTH($A85)-1)*12)+VLOOKUP(AC$4,$DE$6:$DF$17,2)+1))*$B85</f>
        <v>-2281.1024090425121</v>
      </c>
      <c r="AD85" s="1021">
        <f>(VLOOKUP(YEAR($A85),'NY East Load Projections'!$A$4:$EO$14,((MONTH($A85)-1)*12)+VLOOKUP(AD$4,$DE$6:$DF$17,2)+1))*$B85</f>
        <v>-2281.1024090425121</v>
      </c>
      <c r="AE85" s="1021">
        <f>(VLOOKUP(YEAR($A85),'NY East Load Projections'!$A$4:$EO$14,((MONTH($A85)-1)*12)+VLOOKUP(AE$4,$DE$6:$DF$17,2)+1))*$B85</f>
        <v>-2281.1024090425121</v>
      </c>
      <c r="AF85" s="1021"/>
      <c r="AG85" s="1021">
        <f>(VLOOKUP(YEAR($A85),'NY East Load Projections'!$A$4:$EO$14,((MONTH($A85)-1)*12)+VLOOKUP(AG$4,$DE$6:$DF$17,2)+1))*$C85</f>
        <v>-372.17409628415697</v>
      </c>
      <c r="AH85" s="1021">
        <f>(VLOOKUP(YEAR($A85),'NY East Load Projections'!$A$4:$EO$14,((MONTH($A85)-1)*12)+VLOOKUP(AH$4,$DE$6:$DF$17,2)+1))*$C85</f>
        <v>-372.17409628415697</v>
      </c>
      <c r="AI85" s="1021">
        <f>(VLOOKUP(YEAR($A85),'NY East Load Projections'!$A$4:$EO$14,((MONTH($A85)-1)*12)+VLOOKUP(AI$4,$DE$6:$DF$17,2)+1))*$C85</f>
        <v>-372.17409628415697</v>
      </c>
      <c r="AJ85" s="1021">
        <f>(VLOOKUP(YEAR($A85),'NY East Load Projections'!$A$4:$EO$14,((MONTH($A85)-1)*12)+VLOOKUP(AJ$4,$DE$6:$DF$17,2)+1))*$C85</f>
        <v>-372.17409628415697</v>
      </c>
      <c r="AK85" s="1021">
        <f>(VLOOKUP(YEAR($A85),'NY East Load Projections'!$A$4:$EO$14,((MONTH($A85)-1)*12)+VLOOKUP(AK$4,$DE$6:$DF$17,2)+1))*$C85</f>
        <v>-378.4265103350856</v>
      </c>
      <c r="AL85" s="1021">
        <f>(VLOOKUP(YEAR($A85),'NY East Load Projections'!$A$4:$EO$14,((MONTH($A85)-1)*12)+VLOOKUP(AL$4,$DE$6:$DF$17,2)+1))*$C85</f>
        <v>-378.4265103350856</v>
      </c>
      <c r="AM85" s="1021">
        <f>(VLOOKUP(YEAR($A85),'NY East Load Projections'!$A$4:$EO$14,((MONTH($A85)-1)*12)+VLOOKUP(AM$4,$DE$6:$DF$17,2)+1))*$C85</f>
        <v>-378.4265103350856</v>
      </c>
      <c r="AN85" s="1021">
        <f>(VLOOKUP(YEAR($A85),'NY East Load Projections'!$A$4:$EO$14,((MONTH($A85)-1)*12)+VLOOKUP(AN$4,$DE$6:$DF$17,2)+1))*$C85</f>
        <v>-378.4265103350856</v>
      </c>
      <c r="AO85" s="1021">
        <f>(VLOOKUP(YEAR($A85),'NY East Load Projections'!$A$4:$EO$14,((MONTH($A85)-1)*12)+VLOOKUP(AO$4,$DE$6:$DF$17,2)+1))*$C85</f>
        <v>-414.24749832601026</v>
      </c>
      <c r="AP85" s="1021">
        <f>(VLOOKUP(YEAR($A85),'NY East Load Projections'!$A$4:$EO$14,((MONTH($A85)-1)*12)+VLOOKUP(AP$4,$DE$6:$DF$17,2)+1))*$C85</f>
        <v>-414.24749832601026</v>
      </c>
      <c r="AQ85" s="1021">
        <f>(VLOOKUP(YEAR($A85),'NY East Load Projections'!$A$4:$EO$14,((MONTH($A85)-1)*12)+VLOOKUP(AQ$4,$DE$6:$DF$17,2)+1))*$C85</f>
        <v>-414.24749832601026</v>
      </c>
      <c r="AR85" s="1021">
        <f>(VLOOKUP(YEAR($A85),'NY East Load Projections'!$A$4:$EO$14,((MONTH($A85)-1)*12)+VLOOKUP(AR$4,$DE$6:$DF$17,2)+1))*$C85</f>
        <v>-414.24749832601026</v>
      </c>
      <c r="AS85" s="1021">
        <f>(VLOOKUP(YEAR($A85),'NY East Load Projections'!$A$4:$EO$14,((MONTH($A85)-1)*12)+VLOOKUP(AS$4,$DE$6:$DF$17,2)+1))*$C85</f>
        <v>-427.34147042491475</v>
      </c>
      <c r="AT85" s="1021">
        <f>(VLOOKUP(YEAR($A85),'NY East Load Projections'!$A$4:$EO$14,((MONTH($A85)-1)*12)+VLOOKUP(AT$4,$DE$6:$DF$17,2)+1))*$C85</f>
        <v>-427.34147042491475</v>
      </c>
      <c r="AU85" s="1021">
        <f>(VLOOKUP(YEAR($A85),'NY East Load Projections'!$A$4:$EO$14,((MONTH($A85)-1)*12)+VLOOKUP(AU$4,$DE$6:$DF$17,2)+1))*$C85</f>
        <v>-427.34147042491475</v>
      </c>
      <c r="AV85" s="1021">
        <f>(VLOOKUP(YEAR($A85),'NY East Load Projections'!$A$4:$EO$14,((MONTH($A85)-1)*12)+VLOOKUP(AV$4,$DE$6:$DF$17,2)+1))*$C85</f>
        <v>-427.34147042491475</v>
      </c>
      <c r="AW85" s="1021">
        <f>(VLOOKUP(YEAR($A85),'NY East Load Projections'!$A$4:$EO$14,((MONTH($A85)-1)*12)+VLOOKUP(AW$4,$DE$6:$DF$17,2)+1))*$C85</f>
        <v>-409.87476848211713</v>
      </c>
      <c r="AX85" s="1021">
        <f>(VLOOKUP(YEAR($A85),'NY East Load Projections'!$A$4:$EO$14,((MONTH($A85)-1)*12)+VLOOKUP(AX$4,$DE$6:$DF$17,2)+1))*$C85</f>
        <v>-409.87476848211713</v>
      </c>
      <c r="AY85" s="1021">
        <f>(VLOOKUP(YEAR($A85),'NY East Load Projections'!$A$4:$EO$14,((MONTH($A85)-1)*12)+VLOOKUP(AY$4,$DE$6:$DF$17,2)+1))*$C85</f>
        <v>-409.87476848211713</v>
      </c>
      <c r="AZ85" s="1021">
        <f>(VLOOKUP(YEAR($A85),'NY East Load Projections'!$A$4:$EO$14,((MONTH($A85)-1)*12)+VLOOKUP(AZ$4,$DE$6:$DF$17,2)+1))*$C85</f>
        <v>-409.87476848211713</v>
      </c>
      <c r="BA85" s="1021">
        <f>(VLOOKUP(YEAR($A85),'NY East Load Projections'!$A$4:$EO$14,((MONTH($A85)-1)*12)+VLOOKUP(BA$4,$DE$6:$DF$17,2)+1))*$C85</f>
        <v>-388.18863476554156</v>
      </c>
      <c r="BB85" s="1021">
        <f>(VLOOKUP(YEAR($A85),'NY East Load Projections'!$A$4:$EO$14,((MONTH($A85)-1)*12)+VLOOKUP(BB$4,$DE$6:$DF$17,2)+1))*$C85</f>
        <v>-388.18863476554156</v>
      </c>
      <c r="BC85" s="1021">
        <f>(VLOOKUP(YEAR($A85),'NY East Load Projections'!$A$4:$EO$14,((MONTH($A85)-1)*12)+VLOOKUP(BC$4,$DE$6:$DF$17,2)+1))*$C85</f>
        <v>-388.18863476554156</v>
      </c>
      <c r="BD85" s="1021">
        <f>(VLOOKUP(YEAR($A85),'NY East Load Projections'!$A$4:$EO$14,((MONTH($A85)-1)*12)+VLOOKUP(BD$4,$DE$6:$DF$17,2)+1))*$C85</f>
        <v>-388.18863476554156</v>
      </c>
      <c r="BE85" s="1021"/>
      <c r="BF85" s="1021">
        <f>(VLOOKUP(YEAR($A85),'NY East Load Projections'!$A$4:$EO$14,((MONTH($A85)-1)*12)+VLOOKUP(BF$4,$DE$6:$DF$17,2)+1))*$D85</f>
        <v>-372.17409628415697</v>
      </c>
      <c r="BG85" s="1021">
        <f>(VLOOKUP(YEAR($A85),'NY East Load Projections'!$A$4:$EO$14,((MONTH($A85)-1)*12)+VLOOKUP(BG$4,$DE$6:$DF$17,2)+1))*$D85</f>
        <v>-372.17409628415697</v>
      </c>
      <c r="BH85" s="1021">
        <f>(VLOOKUP(YEAR($A85),'NY East Load Projections'!$A$4:$EO$14,((MONTH($A85)-1)*12)+VLOOKUP(BH$4,$DE$6:$DF$17,2)+1))*$D85</f>
        <v>-372.17409628415697</v>
      </c>
      <c r="BI85" s="1021">
        <f>(VLOOKUP(YEAR($A85),'NY East Load Projections'!$A$4:$EO$14,((MONTH($A85)-1)*12)+VLOOKUP(BI$4,$DE$6:$DF$17,2)+1))*$D85</f>
        <v>-372.17409628415697</v>
      </c>
      <c r="BJ85" s="1021">
        <f>(VLOOKUP(YEAR($A85),'NY East Load Projections'!$A$4:$EO$14,((MONTH($A85)-1)*12)+VLOOKUP(BJ$4,$DE$6:$DF$17,2)+1))*$D85</f>
        <v>-378.4265103350856</v>
      </c>
      <c r="BK85" s="1021">
        <f>(VLOOKUP(YEAR($A85),'NY East Load Projections'!$A$4:$EO$14,((MONTH($A85)-1)*12)+VLOOKUP(BK$4,$DE$6:$DF$17,2)+1))*$D85</f>
        <v>-378.4265103350856</v>
      </c>
      <c r="BL85" s="1021">
        <f>(VLOOKUP(YEAR($A85),'NY East Load Projections'!$A$4:$EO$14,((MONTH($A85)-1)*12)+VLOOKUP(BL$4,$DE$6:$DF$17,2)+1))*$D85</f>
        <v>-378.4265103350856</v>
      </c>
      <c r="BM85" s="1021">
        <f>(VLOOKUP(YEAR($A85),'NY East Load Projections'!$A$4:$EO$14,((MONTH($A85)-1)*12)+VLOOKUP(BM$4,$DE$6:$DF$17,2)+1))*$D85</f>
        <v>-378.4265103350856</v>
      </c>
      <c r="BN85" s="1021">
        <f>(VLOOKUP(YEAR($A85),'NY East Load Projections'!$A$4:$EO$14,((MONTH($A85)-1)*12)+VLOOKUP(BN$4,$DE$6:$DF$17,2)+1))*$D85</f>
        <v>-414.24749832601026</v>
      </c>
      <c r="BO85" s="1021">
        <f>(VLOOKUP(YEAR($A85),'NY East Load Projections'!$A$4:$EO$14,((MONTH($A85)-1)*12)+VLOOKUP(BO$4,$DE$6:$DF$17,2)+1))*$D85</f>
        <v>-414.24749832601026</v>
      </c>
      <c r="BP85" s="1021">
        <f>(VLOOKUP(YEAR($A85),'NY East Load Projections'!$A$4:$EO$14,((MONTH($A85)-1)*12)+VLOOKUP(BP$4,$DE$6:$DF$17,2)+1))*$D85</f>
        <v>-414.24749832601026</v>
      </c>
      <c r="BQ85" s="1021">
        <f>(VLOOKUP(YEAR($A85),'NY East Load Projections'!$A$4:$EO$14,((MONTH($A85)-1)*12)+VLOOKUP(BQ$4,$DE$6:$DF$17,2)+1))*$D85</f>
        <v>-414.24749832601026</v>
      </c>
      <c r="BR85" s="1021">
        <f>(VLOOKUP(YEAR($A85),'NY East Load Projections'!$A$4:$EO$14,((MONTH($A85)-1)*12)+VLOOKUP(BR$4,$DE$6:$DF$17,2)+1))*$D85</f>
        <v>-427.34147042491475</v>
      </c>
      <c r="BS85" s="1021">
        <f>(VLOOKUP(YEAR($A85),'NY East Load Projections'!$A$4:$EO$14,((MONTH($A85)-1)*12)+VLOOKUP(BS$4,$DE$6:$DF$17,2)+1))*$D85</f>
        <v>-427.34147042491475</v>
      </c>
      <c r="BT85" s="1021">
        <f>(VLOOKUP(YEAR($A85),'NY East Load Projections'!$A$4:$EO$14,((MONTH($A85)-1)*12)+VLOOKUP(BT$4,$DE$6:$DF$17,2)+1))*$D85</f>
        <v>-427.34147042491475</v>
      </c>
      <c r="BU85" s="1021">
        <f>(VLOOKUP(YEAR($A85),'NY East Load Projections'!$A$4:$EO$14,((MONTH($A85)-1)*12)+VLOOKUP(BU$4,$DE$6:$DF$17,2)+1))*$D85</f>
        <v>-427.34147042491475</v>
      </c>
      <c r="BV85" s="1021">
        <f>(VLOOKUP(YEAR($A85),'NY East Load Projections'!$A$4:$EO$14,((MONTH($A85)-1)*12)+VLOOKUP(BV$4,$DE$6:$DF$17,2)+1))*$D85</f>
        <v>-409.87476848211713</v>
      </c>
      <c r="BW85" s="1021">
        <f>(VLOOKUP(YEAR($A85),'NY East Load Projections'!$A$4:$EO$14,((MONTH($A85)-1)*12)+VLOOKUP(BW$4,$DE$6:$DF$17,2)+1))*$D85</f>
        <v>-409.87476848211713</v>
      </c>
      <c r="BX85" s="1021">
        <f>(VLOOKUP(YEAR($A85),'NY East Load Projections'!$A$4:$EO$14,((MONTH($A85)-1)*12)+VLOOKUP(BX$4,$DE$6:$DF$17,2)+1))*$D85</f>
        <v>-409.87476848211713</v>
      </c>
      <c r="BY85" s="1021">
        <f>(VLOOKUP(YEAR($A85),'NY East Load Projections'!$A$4:$EO$14,((MONTH($A85)-1)*12)+VLOOKUP(BY$4,$DE$6:$DF$17,2)+1))*$D85</f>
        <v>-409.87476848211713</v>
      </c>
      <c r="BZ85" s="1021">
        <f>(VLOOKUP(YEAR($A85),'NY East Load Projections'!$A$4:$EO$14,((MONTH($A85)-1)*12)+VLOOKUP(BZ$4,$DE$6:$DF$17,2)+1))*$D85</f>
        <v>-388.18863476554156</v>
      </c>
      <c r="CA85" s="1021">
        <f>(VLOOKUP(YEAR($A85),'NY East Load Projections'!$A$4:$EO$14,((MONTH($A85)-1)*12)+VLOOKUP(CA$4,$DE$6:$DF$17,2)+1))*$D85</f>
        <v>-388.18863476554156</v>
      </c>
      <c r="CB85" s="1021">
        <f>(VLOOKUP(YEAR($A85),'NY East Load Projections'!$A$4:$EO$14,((MONTH($A85)-1)*12)+VLOOKUP(CB$4,$DE$6:$DF$17,2)+1))*$D85</f>
        <v>-388.18863476554156</v>
      </c>
      <c r="CC85" s="1021">
        <f>(VLOOKUP(YEAR($A85),'NY East Load Projections'!$A$4:$EO$14,((MONTH($A85)-1)*12)+VLOOKUP(CC$4,$DE$6:$DF$17,2)+1))*$D85</f>
        <v>-388.18863476554156</v>
      </c>
      <c r="CE85" s="1021">
        <f>(VLOOKUP(YEAR($A85),'NY East Load Projections'!$A$4:$EO$14,((MONTH($A85)-1)*12)+VLOOKUP(CE$4,$DE$6:$DF$17,2)+1))*$E85</f>
        <v>0</v>
      </c>
      <c r="CF85" s="1021">
        <f>(VLOOKUP(YEAR($A85),'NY East Load Projections'!$A$4:$EO$14,((MONTH($A85)-1)*12)+VLOOKUP(CF$4,$DE$6:$DF$17,2)+1))*$E85</f>
        <v>0</v>
      </c>
      <c r="CG85" s="1021">
        <f>(VLOOKUP(YEAR($A85),'NY East Load Projections'!$A$4:$EO$14,((MONTH($A85)-1)*12)+VLOOKUP(CG$4,$DE$6:$DF$17,2)+1))*$E85</f>
        <v>0</v>
      </c>
      <c r="CH85" s="1021">
        <f>(VLOOKUP(YEAR($A85),'NY East Load Projections'!$A$4:$EO$14,((MONTH($A85)-1)*12)+VLOOKUP(CH$4,$DE$6:$DF$17,2)+1))*$E85</f>
        <v>0</v>
      </c>
      <c r="CI85" s="1021">
        <f>(VLOOKUP(YEAR($A85),'NY East Load Projections'!$A$4:$EO$14,((MONTH($A85)-1)*12)+VLOOKUP(CI$4,$DE$6:$DF$17,2)+1))*$E85</f>
        <v>0</v>
      </c>
      <c r="CJ85" s="1021">
        <f>(VLOOKUP(YEAR($A85),'NY East Load Projections'!$A$4:$EO$14,((MONTH($A85)-1)*12)+VLOOKUP(CJ$4,$DE$6:$DF$17,2)+1))*$E85</f>
        <v>0</v>
      </c>
      <c r="CK85" s="1021">
        <f>(VLOOKUP(YEAR($A85),'NY East Load Projections'!$A$4:$EO$14,((MONTH($A85)-1)*12)+VLOOKUP(CK$4,$DE$6:$DF$17,2)+1))*$E85</f>
        <v>0</v>
      </c>
      <c r="CL85" s="1021">
        <f>(VLOOKUP(YEAR($A85),'NY East Load Projections'!$A$4:$EO$14,((MONTH($A85)-1)*12)+VLOOKUP(CL$4,$DE$6:$DF$17,2)+1))*$E85</f>
        <v>0</v>
      </c>
      <c r="CM85" s="1021">
        <f>(VLOOKUP(YEAR($A85),'NY East Load Projections'!$A$4:$EO$14,((MONTH($A85)-1)*12)+VLOOKUP(CM$4,$DE$6:$DF$17,2)+1))*$E85</f>
        <v>0</v>
      </c>
      <c r="CN85" s="1021">
        <f>(VLOOKUP(YEAR($A85),'NY East Load Projections'!$A$4:$EO$14,((MONTH($A85)-1)*12)+VLOOKUP(CN$4,$DE$6:$DF$17,2)+1))*$E85</f>
        <v>0</v>
      </c>
      <c r="CO85" s="1021">
        <f>(VLOOKUP(YEAR($A85),'NY East Load Projections'!$A$4:$EO$14,((MONTH($A85)-1)*12)+VLOOKUP(CO$4,$DE$6:$DF$17,2)+1))*$E85</f>
        <v>0</v>
      </c>
      <c r="CP85" s="1021">
        <f>(VLOOKUP(YEAR($A85),'NY East Load Projections'!$A$4:$EO$14,((MONTH($A85)-1)*12)+VLOOKUP(CP$4,$DE$6:$DF$17,2)+1))*$E85</f>
        <v>0</v>
      </c>
      <c r="CQ85" s="1021">
        <f>(VLOOKUP(YEAR($A85),'NY East Load Projections'!$A$4:$EO$14,((MONTH($A85)-1)*12)+VLOOKUP(CQ$4,$DE$6:$DF$17,2)+1))*$E85</f>
        <v>0</v>
      </c>
      <c r="CR85" s="1021">
        <f>(VLOOKUP(YEAR($A85),'NY East Load Projections'!$A$4:$EO$14,((MONTH($A85)-1)*12)+VLOOKUP(CR$4,$DE$6:$DF$17,2)+1))*$E85</f>
        <v>0</v>
      </c>
      <c r="CS85" s="1021">
        <f>(VLOOKUP(YEAR($A85),'NY East Load Projections'!$A$4:$EO$14,((MONTH($A85)-1)*12)+VLOOKUP(CS$4,$DE$6:$DF$17,2)+1))*$E85</f>
        <v>0</v>
      </c>
      <c r="CT85" s="1021">
        <f>(VLOOKUP(YEAR($A85),'NY East Load Projections'!$A$4:$EO$14,((MONTH($A85)-1)*12)+VLOOKUP(CT$4,$DE$6:$DF$17,2)+1))*$E85</f>
        <v>0</v>
      </c>
      <c r="CU85" s="1021">
        <f>(VLOOKUP(YEAR($A85),'NY East Load Projections'!$A$4:$EO$14,((MONTH($A85)-1)*12)+VLOOKUP(CU$4,$DE$6:$DF$17,2)+1))*$E85</f>
        <v>0</v>
      </c>
      <c r="CV85" s="1021">
        <f>(VLOOKUP(YEAR($A85),'NY East Load Projections'!$A$4:$EO$14,((MONTH($A85)-1)*12)+VLOOKUP(CV$4,$DE$6:$DF$17,2)+1))*$E85</f>
        <v>0</v>
      </c>
      <c r="CW85" s="1021">
        <f>(VLOOKUP(YEAR($A85),'NY East Load Projections'!$A$4:$EO$14,((MONTH($A85)-1)*12)+VLOOKUP(CW$4,$DE$6:$DF$17,2)+1))*$E85</f>
        <v>0</v>
      </c>
      <c r="CX85" s="1021">
        <f>(VLOOKUP(YEAR($A85),'NY East Load Projections'!$A$4:$EO$14,((MONTH($A85)-1)*12)+VLOOKUP(CX$4,$DE$6:$DF$17,2)+1))*$E85</f>
        <v>0</v>
      </c>
      <c r="CY85" s="1021">
        <f>(VLOOKUP(YEAR($A85),'NY East Load Projections'!$A$4:$EO$14,((MONTH($A85)-1)*12)+VLOOKUP(CY$4,$DE$6:$DF$17,2)+1))*$E85</f>
        <v>0</v>
      </c>
      <c r="CZ85" s="1021">
        <f>(VLOOKUP(YEAR($A85),'NY East Load Projections'!$A$4:$EO$14,((MONTH($A85)-1)*12)+VLOOKUP(CZ$4,$DE$6:$DF$17,2)+1))*$E85</f>
        <v>0</v>
      </c>
      <c r="DA85" s="1021">
        <f>(VLOOKUP(YEAR($A85),'NY East Load Projections'!$A$4:$EO$14,((MONTH($A85)-1)*12)+VLOOKUP(DA$4,$DE$6:$DF$17,2)+1))*$E85</f>
        <v>0</v>
      </c>
      <c r="DB85" s="1021">
        <f>(VLOOKUP(YEAR($A85),'NY East Load Projections'!$A$4:$EO$14,((MONTH($A85)-1)*12)+VLOOKUP(DB$4,$DE$6:$DF$17,2)+1))*$E85</f>
        <v>0</v>
      </c>
      <c r="DH85" s="1009">
        <f t="shared" si="3"/>
        <v>-76800.98525492847</v>
      </c>
      <c r="DI85">
        <f ca="1">CALC!J105</f>
        <v>0.57880972281525267</v>
      </c>
      <c r="DJ85" s="1032">
        <f t="shared" ca="1" si="4"/>
        <v>-44453.156987343456</v>
      </c>
    </row>
    <row r="86" spans="1:114" x14ac:dyDescent="0.25">
      <c r="A86" s="244">
        <v>39326</v>
      </c>
      <c r="B86" s="13">
        <v>19</v>
      </c>
      <c r="C86" s="210">
        <v>5</v>
      </c>
      <c r="D86" s="210">
        <v>5</v>
      </c>
      <c r="E86" s="210">
        <v>1</v>
      </c>
      <c r="F86" s="13">
        <v>30</v>
      </c>
      <c r="H86" s="1021">
        <f>(VLOOKUP(YEAR($A86),'NY East Load Projections'!$A$4:$EO$14,((MONTH($A86)-1)*12)+VLOOKUP(H$4,$DE$6:$DF$17,2)+1))*$B86</f>
        <v>-1819.1920817584937</v>
      </c>
      <c r="I86" s="1021">
        <f>(VLOOKUP(YEAR($A86),'NY East Load Projections'!$A$4:$EO$14,((MONTH($A86)-1)*12)+VLOOKUP(I$4,$DE$6:$DF$17,2)+1))*$B86</f>
        <v>-1819.1920817584937</v>
      </c>
      <c r="J86" s="1021">
        <f>(VLOOKUP(YEAR($A86),'NY East Load Projections'!$A$4:$EO$14,((MONTH($A86)-1)*12)+VLOOKUP(J$4,$DE$6:$DF$17,2)+1))*$B86</f>
        <v>-1819.1920817584937</v>
      </c>
      <c r="K86" s="1021">
        <f>(VLOOKUP(YEAR($A86),'NY East Load Projections'!$A$4:$EO$14,((MONTH($A86)-1)*12)+VLOOKUP(K$4,$DE$6:$DF$17,2)+1))*$B86</f>
        <v>-1819.1920817584937</v>
      </c>
      <c r="L86" s="1021">
        <f>(VLOOKUP(YEAR($A86),'NY East Load Projections'!$A$4:$EO$14,((MONTH($A86)-1)*12)+VLOOKUP(L$4,$DE$6:$DF$17,2)+1))*$B86</f>
        <v>-1943.0617625795085</v>
      </c>
      <c r="M86" s="1021">
        <f>(VLOOKUP(YEAR($A86),'NY East Load Projections'!$A$4:$EO$14,((MONTH($A86)-1)*12)+VLOOKUP(M$4,$DE$6:$DF$17,2)+1))*$B86</f>
        <v>-1943.0617625795085</v>
      </c>
      <c r="N86" s="1021">
        <f>(VLOOKUP(YEAR($A86),'NY East Load Projections'!$A$4:$EO$14,((MONTH($A86)-1)*12)+VLOOKUP(N$4,$DE$6:$DF$17,2)+1))*$B86</f>
        <v>-1943.0617625795085</v>
      </c>
      <c r="O86" s="1021">
        <f>(VLOOKUP(YEAR($A86),'NY East Load Projections'!$A$4:$EO$14,((MONTH($A86)-1)*12)+VLOOKUP(O$4,$DE$6:$DF$17,2)+1))*$B86</f>
        <v>-1943.0617625795085</v>
      </c>
      <c r="P86" s="1021">
        <f>(VLOOKUP(YEAR($A86),'NY East Load Projections'!$A$4:$EO$14,((MONTH($A86)-1)*12)+VLOOKUP(P$4,$DE$6:$DF$17,2)+1))*$B86</f>
        <v>-2097.5908469681804</v>
      </c>
      <c r="Q86" s="1021">
        <f>(VLOOKUP(YEAR($A86),'NY East Load Projections'!$A$4:$EO$14,((MONTH($A86)-1)*12)+VLOOKUP(Q$4,$DE$6:$DF$17,2)+1))*$B86</f>
        <v>-2097.5908469681804</v>
      </c>
      <c r="R86" s="1021">
        <f>(VLOOKUP(YEAR($A86),'NY East Load Projections'!$A$4:$EO$14,((MONTH($A86)-1)*12)+VLOOKUP(R$4,$DE$6:$DF$17,2)+1))*$B86</f>
        <v>-2097.5908469681804</v>
      </c>
      <c r="S86" s="1021">
        <f>(VLOOKUP(YEAR($A86),'NY East Load Projections'!$A$4:$EO$14,((MONTH($A86)-1)*12)+VLOOKUP(S$4,$DE$6:$DF$17,2)+1))*$B86</f>
        <v>-2097.5908469681804</v>
      </c>
      <c r="T86" s="1021">
        <f>(VLOOKUP(YEAR($A86),'NY East Load Projections'!$A$4:$EO$14,((MONTH($A86)-1)*12)+VLOOKUP(T$4,$DE$6:$DF$17,2)+1))*$B86</f>
        <v>-2152.8331666084237</v>
      </c>
      <c r="U86" s="1021">
        <f>(VLOOKUP(YEAR($A86),'NY East Load Projections'!$A$4:$EO$14,((MONTH($A86)-1)*12)+VLOOKUP(U$4,$DE$6:$DF$17,2)+1))*$B86</f>
        <v>-2152.8331666084237</v>
      </c>
      <c r="V86" s="1021">
        <f>(VLOOKUP(YEAR($A86),'NY East Load Projections'!$A$4:$EO$14,((MONTH($A86)-1)*12)+VLOOKUP(V$4,$DE$6:$DF$17,2)+1))*$B86</f>
        <v>-2152.8331666084237</v>
      </c>
      <c r="W86" s="1021">
        <f>(VLOOKUP(YEAR($A86),'NY East Load Projections'!$A$4:$EO$14,((MONTH($A86)-1)*12)+VLOOKUP(W$4,$DE$6:$DF$17,2)+1))*$B86</f>
        <v>-2152.8331666084237</v>
      </c>
      <c r="X86" s="1021">
        <f>(VLOOKUP(YEAR($A86),'NY East Load Projections'!$A$4:$EO$14,((MONTH($A86)-1)*12)+VLOOKUP(X$4,$DE$6:$DF$17,2)+1))*$B86</f>
        <v>-2063.3767500216745</v>
      </c>
      <c r="Y86" s="1021">
        <f>(VLOOKUP(YEAR($A86),'NY East Load Projections'!$A$4:$EO$14,((MONTH($A86)-1)*12)+VLOOKUP(Y$4,$DE$6:$DF$17,2)+1))*$B86</f>
        <v>-2063.3767500216745</v>
      </c>
      <c r="Z86" s="1021">
        <f>(VLOOKUP(YEAR($A86),'NY East Load Projections'!$A$4:$EO$14,((MONTH($A86)-1)*12)+VLOOKUP(Z$4,$DE$6:$DF$17,2)+1))*$B86</f>
        <v>-2063.3767500216745</v>
      </c>
      <c r="AA86" s="1021">
        <f>(VLOOKUP(YEAR($A86),'NY East Load Projections'!$A$4:$EO$14,((MONTH($A86)-1)*12)+VLOOKUP(AA$4,$DE$6:$DF$17,2)+1))*$B86</f>
        <v>-2063.3767500216745</v>
      </c>
      <c r="AB86" s="1021">
        <f>(VLOOKUP(YEAR($A86),'NY East Load Projections'!$A$4:$EO$14,((MONTH($A86)-1)*12)+VLOOKUP(AB$4,$DE$6:$DF$17,2)+1))*$B86</f>
        <v>-1876.7970027406859</v>
      </c>
      <c r="AC86" s="1021">
        <f>(VLOOKUP(YEAR($A86),'NY East Load Projections'!$A$4:$EO$14,((MONTH($A86)-1)*12)+VLOOKUP(AC$4,$DE$6:$DF$17,2)+1))*$B86</f>
        <v>-1876.7970027406859</v>
      </c>
      <c r="AD86" s="1021">
        <f>(VLOOKUP(YEAR($A86),'NY East Load Projections'!$A$4:$EO$14,((MONTH($A86)-1)*12)+VLOOKUP(AD$4,$DE$6:$DF$17,2)+1))*$B86</f>
        <v>-1876.7970027406859</v>
      </c>
      <c r="AE86" s="1021">
        <f>(VLOOKUP(YEAR($A86),'NY East Load Projections'!$A$4:$EO$14,((MONTH($A86)-1)*12)+VLOOKUP(AE$4,$DE$6:$DF$17,2)+1))*$B86</f>
        <v>-1876.7970027406859</v>
      </c>
      <c r="AF86" s="1021"/>
      <c r="AG86" s="1021">
        <f>(VLOOKUP(YEAR($A86),'NY East Load Projections'!$A$4:$EO$14,((MONTH($A86)-1)*12)+VLOOKUP(AG$4,$DE$6:$DF$17,2)+1))*$C86</f>
        <v>-492.24074076715283</v>
      </c>
      <c r="AH86" s="1021">
        <f>(VLOOKUP(YEAR($A86),'NY East Load Projections'!$A$4:$EO$14,((MONTH($A86)-1)*12)+VLOOKUP(AH$4,$DE$6:$DF$17,2)+1))*$C86</f>
        <v>-492.24074076715283</v>
      </c>
      <c r="AI86" s="1021">
        <f>(VLOOKUP(YEAR($A86),'NY East Load Projections'!$A$4:$EO$14,((MONTH($A86)-1)*12)+VLOOKUP(AI$4,$DE$6:$DF$17,2)+1))*$C86</f>
        <v>-492.24074076715283</v>
      </c>
      <c r="AJ86" s="1021">
        <f>(VLOOKUP(YEAR($A86),'NY East Load Projections'!$A$4:$EO$14,((MONTH($A86)-1)*12)+VLOOKUP(AJ$4,$DE$6:$DF$17,2)+1))*$C86</f>
        <v>-492.24074076715283</v>
      </c>
      <c r="AK86" s="1021">
        <f>(VLOOKUP(YEAR($A86),'NY East Load Projections'!$A$4:$EO$14,((MONTH($A86)-1)*12)+VLOOKUP(AK$4,$DE$6:$DF$17,2)+1))*$C86</f>
        <v>-496.09521421721644</v>
      </c>
      <c r="AL86" s="1021">
        <f>(VLOOKUP(YEAR($A86),'NY East Load Projections'!$A$4:$EO$14,((MONTH($A86)-1)*12)+VLOOKUP(AL$4,$DE$6:$DF$17,2)+1))*$C86</f>
        <v>-496.09521421721644</v>
      </c>
      <c r="AM86" s="1021">
        <f>(VLOOKUP(YEAR($A86),'NY East Load Projections'!$A$4:$EO$14,((MONTH($A86)-1)*12)+VLOOKUP(AM$4,$DE$6:$DF$17,2)+1))*$C86</f>
        <v>-496.09521421721644</v>
      </c>
      <c r="AN86" s="1021">
        <f>(VLOOKUP(YEAR($A86),'NY East Load Projections'!$A$4:$EO$14,((MONTH($A86)-1)*12)+VLOOKUP(AN$4,$DE$6:$DF$17,2)+1))*$C86</f>
        <v>-496.09521421721644</v>
      </c>
      <c r="AO86" s="1021">
        <f>(VLOOKUP(YEAR($A86),'NY East Load Projections'!$A$4:$EO$14,((MONTH($A86)-1)*12)+VLOOKUP(AO$4,$DE$6:$DF$17,2)+1))*$C86</f>
        <v>-551.31013723795525</v>
      </c>
      <c r="AP86" s="1021">
        <f>(VLOOKUP(YEAR($A86),'NY East Load Projections'!$A$4:$EO$14,((MONTH($A86)-1)*12)+VLOOKUP(AP$4,$DE$6:$DF$17,2)+1))*$C86</f>
        <v>-551.31013723795525</v>
      </c>
      <c r="AQ86" s="1021">
        <f>(VLOOKUP(YEAR($A86),'NY East Load Projections'!$A$4:$EO$14,((MONTH($A86)-1)*12)+VLOOKUP(AQ$4,$DE$6:$DF$17,2)+1))*$C86</f>
        <v>-551.31013723795525</v>
      </c>
      <c r="AR86" s="1021">
        <f>(VLOOKUP(YEAR($A86),'NY East Load Projections'!$A$4:$EO$14,((MONTH($A86)-1)*12)+VLOOKUP(AR$4,$DE$6:$DF$17,2)+1))*$C86</f>
        <v>-551.31013723795525</v>
      </c>
      <c r="AS86" s="1021">
        <f>(VLOOKUP(YEAR($A86),'NY East Load Projections'!$A$4:$EO$14,((MONTH($A86)-1)*12)+VLOOKUP(AS$4,$DE$6:$DF$17,2)+1))*$C86</f>
        <v>-565.72881534082262</v>
      </c>
      <c r="AT86" s="1021">
        <f>(VLOOKUP(YEAR($A86),'NY East Load Projections'!$A$4:$EO$14,((MONTH($A86)-1)*12)+VLOOKUP(AT$4,$DE$6:$DF$17,2)+1))*$C86</f>
        <v>-565.72881534082262</v>
      </c>
      <c r="AU86" s="1021">
        <f>(VLOOKUP(YEAR($A86),'NY East Load Projections'!$A$4:$EO$14,((MONTH($A86)-1)*12)+VLOOKUP(AU$4,$DE$6:$DF$17,2)+1))*$C86</f>
        <v>-565.72881534082262</v>
      </c>
      <c r="AV86" s="1021">
        <f>(VLOOKUP(YEAR($A86),'NY East Load Projections'!$A$4:$EO$14,((MONTH($A86)-1)*12)+VLOOKUP(AV$4,$DE$6:$DF$17,2)+1))*$C86</f>
        <v>-565.72881534082262</v>
      </c>
      <c r="AW86" s="1021">
        <f>(VLOOKUP(YEAR($A86),'NY East Load Projections'!$A$4:$EO$14,((MONTH($A86)-1)*12)+VLOOKUP(AW$4,$DE$6:$DF$17,2)+1))*$C86</f>
        <v>-533.92443998078704</v>
      </c>
      <c r="AX86" s="1021">
        <f>(VLOOKUP(YEAR($A86),'NY East Load Projections'!$A$4:$EO$14,((MONTH($A86)-1)*12)+VLOOKUP(AX$4,$DE$6:$DF$17,2)+1))*$C86</f>
        <v>-533.92443998078704</v>
      </c>
      <c r="AY86" s="1021">
        <f>(VLOOKUP(YEAR($A86),'NY East Load Projections'!$A$4:$EO$14,((MONTH($A86)-1)*12)+VLOOKUP(AY$4,$DE$6:$DF$17,2)+1))*$C86</f>
        <v>-533.92443998078704</v>
      </c>
      <c r="AZ86" s="1021">
        <f>(VLOOKUP(YEAR($A86),'NY East Load Projections'!$A$4:$EO$14,((MONTH($A86)-1)*12)+VLOOKUP(AZ$4,$DE$6:$DF$17,2)+1))*$C86</f>
        <v>-533.92443998078704</v>
      </c>
      <c r="BA86" s="1021">
        <f>(VLOOKUP(YEAR($A86),'NY East Load Projections'!$A$4:$EO$14,((MONTH($A86)-1)*12)+VLOOKUP(BA$4,$DE$6:$DF$17,2)+1))*$C86</f>
        <v>-511.60971402563979</v>
      </c>
      <c r="BB86" s="1021">
        <f>(VLOOKUP(YEAR($A86),'NY East Load Projections'!$A$4:$EO$14,((MONTH($A86)-1)*12)+VLOOKUP(BB$4,$DE$6:$DF$17,2)+1))*$C86</f>
        <v>-511.60971402563979</v>
      </c>
      <c r="BC86" s="1021">
        <f>(VLOOKUP(YEAR($A86),'NY East Load Projections'!$A$4:$EO$14,((MONTH($A86)-1)*12)+VLOOKUP(BC$4,$DE$6:$DF$17,2)+1))*$C86</f>
        <v>-511.60971402563979</v>
      </c>
      <c r="BD86" s="1021">
        <f>(VLOOKUP(YEAR($A86),'NY East Load Projections'!$A$4:$EO$14,((MONTH($A86)-1)*12)+VLOOKUP(BD$4,$DE$6:$DF$17,2)+1))*$C86</f>
        <v>-511.60971402563979</v>
      </c>
      <c r="BE86" s="1021"/>
      <c r="BF86" s="1021">
        <f>(VLOOKUP(YEAR($A86),'NY East Load Projections'!$A$4:$EO$14,((MONTH($A86)-1)*12)+VLOOKUP(BF$4,$DE$6:$DF$17,2)+1))*$D86</f>
        <v>-492.24074076715283</v>
      </c>
      <c r="BG86" s="1021">
        <f>(VLOOKUP(YEAR($A86),'NY East Load Projections'!$A$4:$EO$14,((MONTH($A86)-1)*12)+VLOOKUP(BG$4,$DE$6:$DF$17,2)+1))*$D86</f>
        <v>-492.24074076715283</v>
      </c>
      <c r="BH86" s="1021">
        <f>(VLOOKUP(YEAR($A86),'NY East Load Projections'!$A$4:$EO$14,((MONTH($A86)-1)*12)+VLOOKUP(BH$4,$DE$6:$DF$17,2)+1))*$D86</f>
        <v>-492.24074076715283</v>
      </c>
      <c r="BI86" s="1021">
        <f>(VLOOKUP(YEAR($A86),'NY East Load Projections'!$A$4:$EO$14,((MONTH($A86)-1)*12)+VLOOKUP(BI$4,$DE$6:$DF$17,2)+1))*$D86</f>
        <v>-492.24074076715283</v>
      </c>
      <c r="BJ86" s="1021">
        <f>(VLOOKUP(YEAR($A86),'NY East Load Projections'!$A$4:$EO$14,((MONTH($A86)-1)*12)+VLOOKUP(BJ$4,$DE$6:$DF$17,2)+1))*$D86</f>
        <v>-496.09521421721644</v>
      </c>
      <c r="BK86" s="1021">
        <f>(VLOOKUP(YEAR($A86),'NY East Load Projections'!$A$4:$EO$14,((MONTH($A86)-1)*12)+VLOOKUP(BK$4,$DE$6:$DF$17,2)+1))*$D86</f>
        <v>-496.09521421721644</v>
      </c>
      <c r="BL86" s="1021">
        <f>(VLOOKUP(YEAR($A86),'NY East Load Projections'!$A$4:$EO$14,((MONTH($A86)-1)*12)+VLOOKUP(BL$4,$DE$6:$DF$17,2)+1))*$D86</f>
        <v>-496.09521421721644</v>
      </c>
      <c r="BM86" s="1021">
        <f>(VLOOKUP(YEAR($A86),'NY East Load Projections'!$A$4:$EO$14,((MONTH($A86)-1)*12)+VLOOKUP(BM$4,$DE$6:$DF$17,2)+1))*$D86</f>
        <v>-496.09521421721644</v>
      </c>
      <c r="BN86" s="1021">
        <f>(VLOOKUP(YEAR($A86),'NY East Load Projections'!$A$4:$EO$14,((MONTH($A86)-1)*12)+VLOOKUP(BN$4,$DE$6:$DF$17,2)+1))*$D86</f>
        <v>-551.31013723795525</v>
      </c>
      <c r="BO86" s="1021">
        <f>(VLOOKUP(YEAR($A86),'NY East Load Projections'!$A$4:$EO$14,((MONTH($A86)-1)*12)+VLOOKUP(BO$4,$DE$6:$DF$17,2)+1))*$D86</f>
        <v>-551.31013723795525</v>
      </c>
      <c r="BP86" s="1021">
        <f>(VLOOKUP(YEAR($A86),'NY East Load Projections'!$A$4:$EO$14,((MONTH($A86)-1)*12)+VLOOKUP(BP$4,$DE$6:$DF$17,2)+1))*$D86</f>
        <v>-551.31013723795525</v>
      </c>
      <c r="BQ86" s="1021">
        <f>(VLOOKUP(YEAR($A86),'NY East Load Projections'!$A$4:$EO$14,((MONTH($A86)-1)*12)+VLOOKUP(BQ$4,$DE$6:$DF$17,2)+1))*$D86</f>
        <v>-551.31013723795525</v>
      </c>
      <c r="BR86" s="1021">
        <f>(VLOOKUP(YEAR($A86),'NY East Load Projections'!$A$4:$EO$14,((MONTH($A86)-1)*12)+VLOOKUP(BR$4,$DE$6:$DF$17,2)+1))*$D86</f>
        <v>-565.72881534082262</v>
      </c>
      <c r="BS86" s="1021">
        <f>(VLOOKUP(YEAR($A86),'NY East Load Projections'!$A$4:$EO$14,((MONTH($A86)-1)*12)+VLOOKUP(BS$4,$DE$6:$DF$17,2)+1))*$D86</f>
        <v>-565.72881534082262</v>
      </c>
      <c r="BT86" s="1021">
        <f>(VLOOKUP(YEAR($A86),'NY East Load Projections'!$A$4:$EO$14,((MONTH($A86)-1)*12)+VLOOKUP(BT$4,$DE$6:$DF$17,2)+1))*$D86</f>
        <v>-565.72881534082262</v>
      </c>
      <c r="BU86" s="1021">
        <f>(VLOOKUP(YEAR($A86),'NY East Load Projections'!$A$4:$EO$14,((MONTH($A86)-1)*12)+VLOOKUP(BU$4,$DE$6:$DF$17,2)+1))*$D86</f>
        <v>-565.72881534082262</v>
      </c>
      <c r="BV86" s="1021">
        <f>(VLOOKUP(YEAR($A86),'NY East Load Projections'!$A$4:$EO$14,((MONTH($A86)-1)*12)+VLOOKUP(BV$4,$DE$6:$DF$17,2)+1))*$D86</f>
        <v>-533.92443998078704</v>
      </c>
      <c r="BW86" s="1021">
        <f>(VLOOKUP(YEAR($A86),'NY East Load Projections'!$A$4:$EO$14,((MONTH($A86)-1)*12)+VLOOKUP(BW$4,$DE$6:$DF$17,2)+1))*$D86</f>
        <v>-533.92443998078704</v>
      </c>
      <c r="BX86" s="1021">
        <f>(VLOOKUP(YEAR($A86),'NY East Load Projections'!$A$4:$EO$14,((MONTH($A86)-1)*12)+VLOOKUP(BX$4,$DE$6:$DF$17,2)+1))*$D86</f>
        <v>-533.92443998078704</v>
      </c>
      <c r="BY86" s="1021">
        <f>(VLOOKUP(YEAR($A86),'NY East Load Projections'!$A$4:$EO$14,((MONTH($A86)-1)*12)+VLOOKUP(BY$4,$DE$6:$DF$17,2)+1))*$D86</f>
        <v>-533.92443998078704</v>
      </c>
      <c r="BZ86" s="1021">
        <f>(VLOOKUP(YEAR($A86),'NY East Load Projections'!$A$4:$EO$14,((MONTH($A86)-1)*12)+VLOOKUP(BZ$4,$DE$6:$DF$17,2)+1))*$D86</f>
        <v>-511.60971402563979</v>
      </c>
      <c r="CA86" s="1021">
        <f>(VLOOKUP(YEAR($A86),'NY East Load Projections'!$A$4:$EO$14,((MONTH($A86)-1)*12)+VLOOKUP(CA$4,$DE$6:$DF$17,2)+1))*$D86</f>
        <v>-511.60971402563979</v>
      </c>
      <c r="CB86" s="1021">
        <f>(VLOOKUP(YEAR($A86),'NY East Load Projections'!$A$4:$EO$14,((MONTH($A86)-1)*12)+VLOOKUP(CB$4,$DE$6:$DF$17,2)+1))*$D86</f>
        <v>-511.60971402563979</v>
      </c>
      <c r="CC86" s="1021">
        <f>(VLOOKUP(YEAR($A86),'NY East Load Projections'!$A$4:$EO$14,((MONTH($A86)-1)*12)+VLOOKUP(CC$4,$DE$6:$DF$17,2)+1))*$D86</f>
        <v>-511.60971402563979</v>
      </c>
      <c r="CE86" s="1021">
        <f>(VLOOKUP(YEAR($A86),'NY East Load Projections'!$A$4:$EO$14,((MONTH($A86)-1)*12)+VLOOKUP(CE$4,$DE$6:$DF$17,2)+1))*$E86</f>
        <v>-98.448148153430566</v>
      </c>
      <c r="CF86" s="1021">
        <f>(VLOOKUP(YEAR($A86),'NY East Load Projections'!$A$4:$EO$14,((MONTH($A86)-1)*12)+VLOOKUP(CF$4,$DE$6:$DF$17,2)+1))*$E86</f>
        <v>-98.448148153430566</v>
      </c>
      <c r="CG86" s="1021">
        <f>(VLOOKUP(YEAR($A86),'NY East Load Projections'!$A$4:$EO$14,((MONTH($A86)-1)*12)+VLOOKUP(CG$4,$DE$6:$DF$17,2)+1))*$E86</f>
        <v>-98.448148153430566</v>
      </c>
      <c r="CH86" s="1021">
        <f>(VLOOKUP(YEAR($A86),'NY East Load Projections'!$A$4:$EO$14,((MONTH($A86)-1)*12)+VLOOKUP(CH$4,$DE$6:$DF$17,2)+1))*$E86</f>
        <v>-98.448148153430566</v>
      </c>
      <c r="CI86" s="1021">
        <f>(VLOOKUP(YEAR($A86),'NY East Load Projections'!$A$4:$EO$14,((MONTH($A86)-1)*12)+VLOOKUP(CI$4,$DE$6:$DF$17,2)+1))*$E86</f>
        <v>-99.21904284344329</v>
      </c>
      <c r="CJ86" s="1021">
        <f>(VLOOKUP(YEAR($A86),'NY East Load Projections'!$A$4:$EO$14,((MONTH($A86)-1)*12)+VLOOKUP(CJ$4,$DE$6:$DF$17,2)+1))*$E86</f>
        <v>-99.21904284344329</v>
      </c>
      <c r="CK86" s="1021">
        <f>(VLOOKUP(YEAR($A86),'NY East Load Projections'!$A$4:$EO$14,((MONTH($A86)-1)*12)+VLOOKUP(CK$4,$DE$6:$DF$17,2)+1))*$E86</f>
        <v>-99.21904284344329</v>
      </c>
      <c r="CL86" s="1021">
        <f>(VLOOKUP(YEAR($A86),'NY East Load Projections'!$A$4:$EO$14,((MONTH($A86)-1)*12)+VLOOKUP(CL$4,$DE$6:$DF$17,2)+1))*$E86</f>
        <v>-99.21904284344329</v>
      </c>
      <c r="CM86" s="1021">
        <f>(VLOOKUP(YEAR($A86),'NY East Load Projections'!$A$4:$EO$14,((MONTH($A86)-1)*12)+VLOOKUP(CM$4,$DE$6:$DF$17,2)+1))*$E86</f>
        <v>-110.26202744759105</v>
      </c>
      <c r="CN86" s="1021">
        <f>(VLOOKUP(YEAR($A86),'NY East Load Projections'!$A$4:$EO$14,((MONTH($A86)-1)*12)+VLOOKUP(CN$4,$DE$6:$DF$17,2)+1))*$E86</f>
        <v>-110.26202744759105</v>
      </c>
      <c r="CO86" s="1021">
        <f>(VLOOKUP(YEAR($A86),'NY East Load Projections'!$A$4:$EO$14,((MONTH($A86)-1)*12)+VLOOKUP(CO$4,$DE$6:$DF$17,2)+1))*$E86</f>
        <v>-110.26202744759105</v>
      </c>
      <c r="CP86" s="1021">
        <f>(VLOOKUP(YEAR($A86),'NY East Load Projections'!$A$4:$EO$14,((MONTH($A86)-1)*12)+VLOOKUP(CP$4,$DE$6:$DF$17,2)+1))*$E86</f>
        <v>-110.26202744759105</v>
      </c>
      <c r="CQ86" s="1021">
        <f>(VLOOKUP(YEAR($A86),'NY East Load Projections'!$A$4:$EO$14,((MONTH($A86)-1)*12)+VLOOKUP(CQ$4,$DE$6:$DF$17,2)+1))*$E86</f>
        <v>-113.14576306816451</v>
      </c>
      <c r="CR86" s="1021">
        <f>(VLOOKUP(YEAR($A86),'NY East Load Projections'!$A$4:$EO$14,((MONTH($A86)-1)*12)+VLOOKUP(CR$4,$DE$6:$DF$17,2)+1))*$E86</f>
        <v>-113.14576306816451</v>
      </c>
      <c r="CS86" s="1021">
        <f>(VLOOKUP(YEAR($A86),'NY East Load Projections'!$A$4:$EO$14,((MONTH($A86)-1)*12)+VLOOKUP(CS$4,$DE$6:$DF$17,2)+1))*$E86</f>
        <v>-113.14576306816451</v>
      </c>
      <c r="CT86" s="1021">
        <f>(VLOOKUP(YEAR($A86),'NY East Load Projections'!$A$4:$EO$14,((MONTH($A86)-1)*12)+VLOOKUP(CT$4,$DE$6:$DF$17,2)+1))*$E86</f>
        <v>-113.14576306816451</v>
      </c>
      <c r="CU86" s="1021">
        <f>(VLOOKUP(YEAR($A86),'NY East Load Projections'!$A$4:$EO$14,((MONTH($A86)-1)*12)+VLOOKUP(CU$4,$DE$6:$DF$17,2)+1))*$E86</f>
        <v>-106.78488799615741</v>
      </c>
      <c r="CV86" s="1021">
        <f>(VLOOKUP(YEAR($A86),'NY East Load Projections'!$A$4:$EO$14,((MONTH($A86)-1)*12)+VLOOKUP(CV$4,$DE$6:$DF$17,2)+1))*$E86</f>
        <v>-106.78488799615741</v>
      </c>
      <c r="CW86" s="1021">
        <f>(VLOOKUP(YEAR($A86),'NY East Load Projections'!$A$4:$EO$14,((MONTH($A86)-1)*12)+VLOOKUP(CW$4,$DE$6:$DF$17,2)+1))*$E86</f>
        <v>-106.78488799615741</v>
      </c>
      <c r="CX86" s="1021">
        <f>(VLOOKUP(YEAR($A86),'NY East Load Projections'!$A$4:$EO$14,((MONTH($A86)-1)*12)+VLOOKUP(CX$4,$DE$6:$DF$17,2)+1))*$E86</f>
        <v>-106.78488799615741</v>
      </c>
      <c r="CY86" s="1021">
        <f>(VLOOKUP(YEAR($A86),'NY East Load Projections'!$A$4:$EO$14,((MONTH($A86)-1)*12)+VLOOKUP(CY$4,$DE$6:$DF$17,2)+1))*$E86</f>
        <v>-102.32194280512796</v>
      </c>
      <c r="CZ86" s="1021">
        <f>(VLOOKUP(YEAR($A86),'NY East Load Projections'!$A$4:$EO$14,((MONTH($A86)-1)*12)+VLOOKUP(CZ$4,$DE$6:$DF$17,2)+1))*$E86</f>
        <v>-102.32194280512796</v>
      </c>
      <c r="DA86" s="1021">
        <f>(VLOOKUP(YEAR($A86),'NY East Load Projections'!$A$4:$EO$14,((MONTH($A86)-1)*12)+VLOOKUP(DA$4,$DE$6:$DF$17,2)+1))*$E86</f>
        <v>-102.32194280512796</v>
      </c>
      <c r="DB86" s="1021">
        <f>(VLOOKUP(YEAR($A86),'NY East Load Projections'!$A$4:$EO$14,((MONTH($A86)-1)*12)+VLOOKUP(DB$4,$DE$6:$DF$17,2)+1))*$E86</f>
        <v>-102.32194280512796</v>
      </c>
      <c r="DH86" s="1009">
        <f t="shared" si="3"/>
        <v>-75539.406184520165</v>
      </c>
      <c r="DI86">
        <f ca="1">CALC!J106</f>
        <v>0.57531267715270051</v>
      </c>
      <c r="DJ86" s="1032">
        <f t="shared" ca="1" si="4"/>
        <v>-43458.778002541556</v>
      </c>
    </row>
    <row r="87" spans="1:114" x14ac:dyDescent="0.25">
      <c r="A87" s="244">
        <v>39356</v>
      </c>
      <c r="B87" s="13">
        <v>23</v>
      </c>
      <c r="C87" s="210">
        <v>4</v>
      </c>
      <c r="D87" s="210">
        <v>4</v>
      </c>
      <c r="E87" s="210">
        <v>0</v>
      </c>
      <c r="F87" s="13">
        <v>31</v>
      </c>
      <c r="H87" s="1021">
        <f>(VLOOKUP(YEAR($A87),'NY East Load Projections'!$A$4:$EO$14,((MONTH($A87)-1)*12)+VLOOKUP(H$4,$DE$6:$DF$17,2)+1))*$B87</f>
        <v>-2047.1701110277261</v>
      </c>
      <c r="I87" s="1021">
        <f>(VLOOKUP(YEAR($A87),'NY East Load Projections'!$A$4:$EO$14,((MONTH($A87)-1)*12)+VLOOKUP(I$4,$DE$6:$DF$17,2)+1))*$B87</f>
        <v>-2047.1701110277261</v>
      </c>
      <c r="J87" s="1021">
        <f>(VLOOKUP(YEAR($A87),'NY East Load Projections'!$A$4:$EO$14,((MONTH($A87)-1)*12)+VLOOKUP(J$4,$DE$6:$DF$17,2)+1))*$B87</f>
        <v>-2047.1701110277261</v>
      </c>
      <c r="K87" s="1021">
        <f>(VLOOKUP(YEAR($A87),'NY East Load Projections'!$A$4:$EO$14,((MONTH($A87)-1)*12)+VLOOKUP(K$4,$DE$6:$DF$17,2)+1))*$B87</f>
        <v>-2047.1701110277261</v>
      </c>
      <c r="L87" s="1021">
        <f>(VLOOKUP(YEAR($A87),'NY East Load Projections'!$A$4:$EO$14,((MONTH($A87)-1)*12)+VLOOKUP(L$4,$DE$6:$DF$17,2)+1))*$B87</f>
        <v>-2227.6967836625981</v>
      </c>
      <c r="M87" s="1021">
        <f>(VLOOKUP(YEAR($A87),'NY East Load Projections'!$A$4:$EO$14,((MONTH($A87)-1)*12)+VLOOKUP(M$4,$DE$6:$DF$17,2)+1))*$B87</f>
        <v>-2227.6967836625981</v>
      </c>
      <c r="N87" s="1021">
        <f>(VLOOKUP(YEAR($A87),'NY East Load Projections'!$A$4:$EO$14,((MONTH($A87)-1)*12)+VLOOKUP(N$4,$DE$6:$DF$17,2)+1))*$B87</f>
        <v>-2227.6967836625981</v>
      </c>
      <c r="O87" s="1021">
        <f>(VLOOKUP(YEAR($A87),'NY East Load Projections'!$A$4:$EO$14,((MONTH($A87)-1)*12)+VLOOKUP(O$4,$DE$6:$DF$17,2)+1))*$B87</f>
        <v>-2227.6967836625981</v>
      </c>
      <c r="P87" s="1021">
        <f>(VLOOKUP(YEAR($A87),'NY East Load Projections'!$A$4:$EO$14,((MONTH($A87)-1)*12)+VLOOKUP(P$4,$DE$6:$DF$17,2)+1))*$B87</f>
        <v>-2397.8151465963069</v>
      </c>
      <c r="Q87" s="1021">
        <f>(VLOOKUP(YEAR($A87),'NY East Load Projections'!$A$4:$EO$14,((MONTH($A87)-1)*12)+VLOOKUP(Q$4,$DE$6:$DF$17,2)+1))*$B87</f>
        <v>-2397.8151465963069</v>
      </c>
      <c r="R87" s="1021">
        <f>(VLOOKUP(YEAR($A87),'NY East Load Projections'!$A$4:$EO$14,((MONTH($A87)-1)*12)+VLOOKUP(R$4,$DE$6:$DF$17,2)+1))*$B87</f>
        <v>-2397.8151465963069</v>
      </c>
      <c r="S87" s="1021">
        <f>(VLOOKUP(YEAR($A87),'NY East Load Projections'!$A$4:$EO$14,((MONTH($A87)-1)*12)+VLOOKUP(S$4,$DE$6:$DF$17,2)+1))*$B87</f>
        <v>-2397.8151465963069</v>
      </c>
      <c r="T87" s="1021">
        <f>(VLOOKUP(YEAR($A87),'NY East Load Projections'!$A$4:$EO$14,((MONTH($A87)-1)*12)+VLOOKUP(T$4,$DE$6:$DF$17,2)+1))*$B87</f>
        <v>-2461.7953433248717</v>
      </c>
      <c r="U87" s="1021">
        <f>(VLOOKUP(YEAR($A87),'NY East Load Projections'!$A$4:$EO$14,((MONTH($A87)-1)*12)+VLOOKUP(U$4,$DE$6:$DF$17,2)+1))*$B87</f>
        <v>-2461.7953433248717</v>
      </c>
      <c r="V87" s="1021">
        <f>(VLOOKUP(YEAR($A87),'NY East Load Projections'!$A$4:$EO$14,((MONTH($A87)-1)*12)+VLOOKUP(V$4,$DE$6:$DF$17,2)+1))*$B87</f>
        <v>-2461.7953433248717</v>
      </c>
      <c r="W87" s="1021">
        <f>(VLOOKUP(YEAR($A87),'NY East Load Projections'!$A$4:$EO$14,((MONTH($A87)-1)*12)+VLOOKUP(W$4,$DE$6:$DF$17,2)+1))*$B87</f>
        <v>-2461.7953433248717</v>
      </c>
      <c r="X87" s="1021">
        <f>(VLOOKUP(YEAR($A87),'NY East Load Projections'!$A$4:$EO$14,((MONTH($A87)-1)*12)+VLOOKUP(X$4,$DE$6:$DF$17,2)+1))*$B87</f>
        <v>-2347.3182636113179</v>
      </c>
      <c r="Y87" s="1021">
        <f>(VLOOKUP(YEAR($A87),'NY East Load Projections'!$A$4:$EO$14,((MONTH($A87)-1)*12)+VLOOKUP(Y$4,$DE$6:$DF$17,2)+1))*$B87</f>
        <v>-2347.3182636113179</v>
      </c>
      <c r="Z87" s="1021">
        <f>(VLOOKUP(YEAR($A87),'NY East Load Projections'!$A$4:$EO$14,((MONTH($A87)-1)*12)+VLOOKUP(Z$4,$DE$6:$DF$17,2)+1))*$B87</f>
        <v>-2347.3182636113179</v>
      </c>
      <c r="AA87" s="1021">
        <f>(VLOOKUP(YEAR($A87),'NY East Load Projections'!$A$4:$EO$14,((MONTH($A87)-1)*12)+VLOOKUP(AA$4,$DE$6:$DF$17,2)+1))*$B87</f>
        <v>-2347.3182636113179</v>
      </c>
      <c r="AB87" s="1021">
        <f>(VLOOKUP(YEAR($A87),'NY East Load Projections'!$A$4:$EO$14,((MONTH($A87)-1)*12)+VLOOKUP(AB$4,$DE$6:$DF$17,2)+1))*$B87</f>
        <v>-2127.183635821601</v>
      </c>
      <c r="AC87" s="1021">
        <f>(VLOOKUP(YEAR($A87),'NY East Load Projections'!$A$4:$EO$14,((MONTH($A87)-1)*12)+VLOOKUP(AC$4,$DE$6:$DF$17,2)+1))*$B87</f>
        <v>-2127.183635821601</v>
      </c>
      <c r="AD87" s="1021">
        <f>(VLOOKUP(YEAR($A87),'NY East Load Projections'!$A$4:$EO$14,((MONTH($A87)-1)*12)+VLOOKUP(AD$4,$DE$6:$DF$17,2)+1))*$B87</f>
        <v>-2127.183635821601</v>
      </c>
      <c r="AE87" s="1021">
        <f>(VLOOKUP(YEAR($A87),'NY East Load Projections'!$A$4:$EO$14,((MONTH($A87)-1)*12)+VLOOKUP(AE$4,$DE$6:$DF$17,2)+1))*$B87</f>
        <v>-2127.183635821601</v>
      </c>
      <c r="AF87" s="1021"/>
      <c r="AG87" s="1021">
        <f>(VLOOKUP(YEAR($A87),'NY East Load Projections'!$A$4:$EO$14,((MONTH($A87)-1)*12)+VLOOKUP(AG$4,$DE$6:$DF$17,2)+1))*$C87</f>
        <v>-378.1290343593306</v>
      </c>
      <c r="AH87" s="1021">
        <f>(VLOOKUP(YEAR($A87),'NY East Load Projections'!$A$4:$EO$14,((MONTH($A87)-1)*12)+VLOOKUP(AH$4,$DE$6:$DF$17,2)+1))*$C87</f>
        <v>-378.1290343593306</v>
      </c>
      <c r="AI87" s="1021">
        <f>(VLOOKUP(YEAR($A87),'NY East Load Projections'!$A$4:$EO$14,((MONTH($A87)-1)*12)+VLOOKUP(AI$4,$DE$6:$DF$17,2)+1))*$C87</f>
        <v>-378.1290343593306</v>
      </c>
      <c r="AJ87" s="1021">
        <f>(VLOOKUP(YEAR($A87),'NY East Load Projections'!$A$4:$EO$14,((MONTH($A87)-1)*12)+VLOOKUP(AJ$4,$DE$6:$DF$17,2)+1))*$C87</f>
        <v>-378.1290343593306</v>
      </c>
      <c r="AK87" s="1021">
        <f>(VLOOKUP(YEAR($A87),'NY East Load Projections'!$A$4:$EO$14,((MONTH($A87)-1)*12)+VLOOKUP(AK$4,$DE$6:$DF$17,2)+1))*$C87</f>
        <v>-383.86564820477713</v>
      </c>
      <c r="AL87" s="1021">
        <f>(VLOOKUP(YEAR($A87),'NY East Load Projections'!$A$4:$EO$14,((MONTH($A87)-1)*12)+VLOOKUP(AL$4,$DE$6:$DF$17,2)+1))*$C87</f>
        <v>-383.86564820477713</v>
      </c>
      <c r="AM87" s="1021">
        <f>(VLOOKUP(YEAR($A87),'NY East Load Projections'!$A$4:$EO$14,((MONTH($A87)-1)*12)+VLOOKUP(AM$4,$DE$6:$DF$17,2)+1))*$C87</f>
        <v>-383.86564820477713</v>
      </c>
      <c r="AN87" s="1021">
        <f>(VLOOKUP(YEAR($A87),'NY East Load Projections'!$A$4:$EO$14,((MONTH($A87)-1)*12)+VLOOKUP(AN$4,$DE$6:$DF$17,2)+1))*$C87</f>
        <v>-383.86564820477713</v>
      </c>
      <c r="AO87" s="1021">
        <f>(VLOOKUP(YEAR($A87),'NY East Load Projections'!$A$4:$EO$14,((MONTH($A87)-1)*12)+VLOOKUP(AO$4,$DE$6:$DF$17,2)+1))*$C87</f>
        <v>-426.60762273703176</v>
      </c>
      <c r="AP87" s="1021">
        <f>(VLOOKUP(YEAR($A87),'NY East Load Projections'!$A$4:$EO$14,((MONTH($A87)-1)*12)+VLOOKUP(AP$4,$DE$6:$DF$17,2)+1))*$C87</f>
        <v>-426.60762273703176</v>
      </c>
      <c r="AQ87" s="1021">
        <f>(VLOOKUP(YEAR($A87),'NY East Load Projections'!$A$4:$EO$14,((MONTH($A87)-1)*12)+VLOOKUP(AQ$4,$DE$6:$DF$17,2)+1))*$C87</f>
        <v>-426.60762273703176</v>
      </c>
      <c r="AR87" s="1021">
        <f>(VLOOKUP(YEAR($A87),'NY East Load Projections'!$A$4:$EO$14,((MONTH($A87)-1)*12)+VLOOKUP(AR$4,$DE$6:$DF$17,2)+1))*$C87</f>
        <v>-426.60762273703176</v>
      </c>
      <c r="AS87" s="1021">
        <f>(VLOOKUP(YEAR($A87),'NY East Load Projections'!$A$4:$EO$14,((MONTH($A87)-1)*12)+VLOOKUP(AS$4,$DE$6:$DF$17,2)+1))*$C87</f>
        <v>-434.3079328680459</v>
      </c>
      <c r="AT87" s="1021">
        <f>(VLOOKUP(YEAR($A87),'NY East Load Projections'!$A$4:$EO$14,((MONTH($A87)-1)*12)+VLOOKUP(AT$4,$DE$6:$DF$17,2)+1))*$C87</f>
        <v>-434.3079328680459</v>
      </c>
      <c r="AU87" s="1021">
        <f>(VLOOKUP(YEAR($A87),'NY East Load Projections'!$A$4:$EO$14,((MONTH($A87)-1)*12)+VLOOKUP(AU$4,$DE$6:$DF$17,2)+1))*$C87</f>
        <v>-434.3079328680459</v>
      </c>
      <c r="AV87" s="1021">
        <f>(VLOOKUP(YEAR($A87),'NY East Load Projections'!$A$4:$EO$14,((MONTH($A87)-1)*12)+VLOOKUP(AV$4,$DE$6:$DF$17,2)+1))*$C87</f>
        <v>-434.3079328680459</v>
      </c>
      <c r="AW87" s="1021">
        <f>(VLOOKUP(YEAR($A87),'NY East Load Projections'!$A$4:$EO$14,((MONTH($A87)-1)*12)+VLOOKUP(AW$4,$DE$6:$DF$17,2)+1))*$C87</f>
        <v>-404.7747912568579</v>
      </c>
      <c r="AX87" s="1021">
        <f>(VLOOKUP(YEAR($A87),'NY East Load Projections'!$A$4:$EO$14,((MONTH($A87)-1)*12)+VLOOKUP(AX$4,$DE$6:$DF$17,2)+1))*$C87</f>
        <v>-404.7747912568579</v>
      </c>
      <c r="AY87" s="1021">
        <f>(VLOOKUP(YEAR($A87),'NY East Load Projections'!$A$4:$EO$14,((MONTH($A87)-1)*12)+VLOOKUP(AY$4,$DE$6:$DF$17,2)+1))*$C87</f>
        <v>-404.7747912568579</v>
      </c>
      <c r="AZ87" s="1021">
        <f>(VLOOKUP(YEAR($A87),'NY East Load Projections'!$A$4:$EO$14,((MONTH($A87)-1)*12)+VLOOKUP(AZ$4,$DE$6:$DF$17,2)+1))*$C87</f>
        <v>-404.7747912568579</v>
      </c>
      <c r="BA87" s="1021">
        <f>(VLOOKUP(YEAR($A87),'NY East Load Projections'!$A$4:$EO$14,((MONTH($A87)-1)*12)+VLOOKUP(BA$4,$DE$6:$DF$17,2)+1))*$C87</f>
        <v>-386.64587459630553</v>
      </c>
      <c r="BB87" s="1021">
        <f>(VLOOKUP(YEAR($A87),'NY East Load Projections'!$A$4:$EO$14,((MONTH($A87)-1)*12)+VLOOKUP(BB$4,$DE$6:$DF$17,2)+1))*$C87</f>
        <v>-386.64587459630553</v>
      </c>
      <c r="BC87" s="1021">
        <f>(VLOOKUP(YEAR($A87),'NY East Load Projections'!$A$4:$EO$14,((MONTH($A87)-1)*12)+VLOOKUP(BC$4,$DE$6:$DF$17,2)+1))*$C87</f>
        <v>-386.64587459630553</v>
      </c>
      <c r="BD87" s="1021">
        <f>(VLOOKUP(YEAR($A87),'NY East Load Projections'!$A$4:$EO$14,((MONTH($A87)-1)*12)+VLOOKUP(BD$4,$DE$6:$DF$17,2)+1))*$C87</f>
        <v>-386.64587459630553</v>
      </c>
      <c r="BE87" s="1021"/>
      <c r="BF87" s="1021">
        <f>(VLOOKUP(YEAR($A87),'NY East Load Projections'!$A$4:$EO$14,((MONTH($A87)-1)*12)+VLOOKUP(BF$4,$DE$6:$DF$17,2)+1))*$D87</f>
        <v>-378.1290343593306</v>
      </c>
      <c r="BG87" s="1021">
        <f>(VLOOKUP(YEAR($A87),'NY East Load Projections'!$A$4:$EO$14,((MONTH($A87)-1)*12)+VLOOKUP(BG$4,$DE$6:$DF$17,2)+1))*$D87</f>
        <v>-378.1290343593306</v>
      </c>
      <c r="BH87" s="1021">
        <f>(VLOOKUP(YEAR($A87),'NY East Load Projections'!$A$4:$EO$14,((MONTH($A87)-1)*12)+VLOOKUP(BH$4,$DE$6:$DF$17,2)+1))*$D87</f>
        <v>-378.1290343593306</v>
      </c>
      <c r="BI87" s="1021">
        <f>(VLOOKUP(YEAR($A87),'NY East Load Projections'!$A$4:$EO$14,((MONTH($A87)-1)*12)+VLOOKUP(BI$4,$DE$6:$DF$17,2)+1))*$D87</f>
        <v>-378.1290343593306</v>
      </c>
      <c r="BJ87" s="1021">
        <f>(VLOOKUP(YEAR($A87),'NY East Load Projections'!$A$4:$EO$14,((MONTH($A87)-1)*12)+VLOOKUP(BJ$4,$DE$6:$DF$17,2)+1))*$D87</f>
        <v>-383.86564820477713</v>
      </c>
      <c r="BK87" s="1021">
        <f>(VLOOKUP(YEAR($A87),'NY East Load Projections'!$A$4:$EO$14,((MONTH($A87)-1)*12)+VLOOKUP(BK$4,$DE$6:$DF$17,2)+1))*$D87</f>
        <v>-383.86564820477713</v>
      </c>
      <c r="BL87" s="1021">
        <f>(VLOOKUP(YEAR($A87),'NY East Load Projections'!$A$4:$EO$14,((MONTH($A87)-1)*12)+VLOOKUP(BL$4,$DE$6:$DF$17,2)+1))*$D87</f>
        <v>-383.86564820477713</v>
      </c>
      <c r="BM87" s="1021">
        <f>(VLOOKUP(YEAR($A87),'NY East Load Projections'!$A$4:$EO$14,((MONTH($A87)-1)*12)+VLOOKUP(BM$4,$DE$6:$DF$17,2)+1))*$D87</f>
        <v>-383.86564820477713</v>
      </c>
      <c r="BN87" s="1021">
        <f>(VLOOKUP(YEAR($A87),'NY East Load Projections'!$A$4:$EO$14,((MONTH($A87)-1)*12)+VLOOKUP(BN$4,$DE$6:$DF$17,2)+1))*$D87</f>
        <v>-426.60762273703176</v>
      </c>
      <c r="BO87" s="1021">
        <f>(VLOOKUP(YEAR($A87),'NY East Load Projections'!$A$4:$EO$14,((MONTH($A87)-1)*12)+VLOOKUP(BO$4,$DE$6:$DF$17,2)+1))*$D87</f>
        <v>-426.60762273703176</v>
      </c>
      <c r="BP87" s="1021">
        <f>(VLOOKUP(YEAR($A87),'NY East Load Projections'!$A$4:$EO$14,((MONTH($A87)-1)*12)+VLOOKUP(BP$4,$DE$6:$DF$17,2)+1))*$D87</f>
        <v>-426.60762273703176</v>
      </c>
      <c r="BQ87" s="1021">
        <f>(VLOOKUP(YEAR($A87),'NY East Load Projections'!$A$4:$EO$14,((MONTH($A87)-1)*12)+VLOOKUP(BQ$4,$DE$6:$DF$17,2)+1))*$D87</f>
        <v>-426.60762273703176</v>
      </c>
      <c r="BR87" s="1021">
        <f>(VLOOKUP(YEAR($A87),'NY East Load Projections'!$A$4:$EO$14,((MONTH($A87)-1)*12)+VLOOKUP(BR$4,$DE$6:$DF$17,2)+1))*$D87</f>
        <v>-434.3079328680459</v>
      </c>
      <c r="BS87" s="1021">
        <f>(VLOOKUP(YEAR($A87),'NY East Load Projections'!$A$4:$EO$14,((MONTH($A87)-1)*12)+VLOOKUP(BS$4,$DE$6:$DF$17,2)+1))*$D87</f>
        <v>-434.3079328680459</v>
      </c>
      <c r="BT87" s="1021">
        <f>(VLOOKUP(YEAR($A87),'NY East Load Projections'!$A$4:$EO$14,((MONTH($A87)-1)*12)+VLOOKUP(BT$4,$DE$6:$DF$17,2)+1))*$D87</f>
        <v>-434.3079328680459</v>
      </c>
      <c r="BU87" s="1021">
        <f>(VLOOKUP(YEAR($A87),'NY East Load Projections'!$A$4:$EO$14,((MONTH($A87)-1)*12)+VLOOKUP(BU$4,$DE$6:$DF$17,2)+1))*$D87</f>
        <v>-434.3079328680459</v>
      </c>
      <c r="BV87" s="1021">
        <f>(VLOOKUP(YEAR($A87),'NY East Load Projections'!$A$4:$EO$14,((MONTH($A87)-1)*12)+VLOOKUP(BV$4,$DE$6:$DF$17,2)+1))*$D87</f>
        <v>-404.7747912568579</v>
      </c>
      <c r="BW87" s="1021">
        <f>(VLOOKUP(YEAR($A87),'NY East Load Projections'!$A$4:$EO$14,((MONTH($A87)-1)*12)+VLOOKUP(BW$4,$DE$6:$DF$17,2)+1))*$D87</f>
        <v>-404.7747912568579</v>
      </c>
      <c r="BX87" s="1021">
        <f>(VLOOKUP(YEAR($A87),'NY East Load Projections'!$A$4:$EO$14,((MONTH($A87)-1)*12)+VLOOKUP(BX$4,$DE$6:$DF$17,2)+1))*$D87</f>
        <v>-404.7747912568579</v>
      </c>
      <c r="BY87" s="1021">
        <f>(VLOOKUP(YEAR($A87),'NY East Load Projections'!$A$4:$EO$14,((MONTH($A87)-1)*12)+VLOOKUP(BY$4,$DE$6:$DF$17,2)+1))*$D87</f>
        <v>-404.7747912568579</v>
      </c>
      <c r="BZ87" s="1021">
        <f>(VLOOKUP(YEAR($A87),'NY East Load Projections'!$A$4:$EO$14,((MONTH($A87)-1)*12)+VLOOKUP(BZ$4,$DE$6:$DF$17,2)+1))*$D87</f>
        <v>-386.64587459630553</v>
      </c>
      <c r="CA87" s="1021">
        <f>(VLOOKUP(YEAR($A87),'NY East Load Projections'!$A$4:$EO$14,((MONTH($A87)-1)*12)+VLOOKUP(CA$4,$DE$6:$DF$17,2)+1))*$D87</f>
        <v>-386.64587459630553</v>
      </c>
      <c r="CB87" s="1021">
        <f>(VLOOKUP(YEAR($A87),'NY East Load Projections'!$A$4:$EO$14,((MONTH($A87)-1)*12)+VLOOKUP(CB$4,$DE$6:$DF$17,2)+1))*$D87</f>
        <v>-386.64587459630553</v>
      </c>
      <c r="CC87" s="1021">
        <f>(VLOOKUP(YEAR($A87),'NY East Load Projections'!$A$4:$EO$14,((MONTH($A87)-1)*12)+VLOOKUP(CC$4,$DE$6:$DF$17,2)+1))*$D87</f>
        <v>-386.64587459630553</v>
      </c>
      <c r="CE87" s="1021">
        <f>(VLOOKUP(YEAR($A87),'NY East Load Projections'!$A$4:$EO$14,((MONTH($A87)-1)*12)+VLOOKUP(CE$4,$DE$6:$DF$17,2)+1))*$E87</f>
        <v>0</v>
      </c>
      <c r="CF87" s="1021">
        <f>(VLOOKUP(YEAR($A87),'NY East Load Projections'!$A$4:$EO$14,((MONTH($A87)-1)*12)+VLOOKUP(CF$4,$DE$6:$DF$17,2)+1))*$E87</f>
        <v>0</v>
      </c>
      <c r="CG87" s="1021">
        <f>(VLOOKUP(YEAR($A87),'NY East Load Projections'!$A$4:$EO$14,((MONTH($A87)-1)*12)+VLOOKUP(CG$4,$DE$6:$DF$17,2)+1))*$E87</f>
        <v>0</v>
      </c>
      <c r="CH87" s="1021">
        <f>(VLOOKUP(YEAR($A87),'NY East Load Projections'!$A$4:$EO$14,((MONTH($A87)-1)*12)+VLOOKUP(CH$4,$DE$6:$DF$17,2)+1))*$E87</f>
        <v>0</v>
      </c>
      <c r="CI87" s="1021">
        <f>(VLOOKUP(YEAR($A87),'NY East Load Projections'!$A$4:$EO$14,((MONTH($A87)-1)*12)+VLOOKUP(CI$4,$DE$6:$DF$17,2)+1))*$E87</f>
        <v>0</v>
      </c>
      <c r="CJ87" s="1021">
        <f>(VLOOKUP(YEAR($A87),'NY East Load Projections'!$A$4:$EO$14,((MONTH($A87)-1)*12)+VLOOKUP(CJ$4,$DE$6:$DF$17,2)+1))*$E87</f>
        <v>0</v>
      </c>
      <c r="CK87" s="1021">
        <f>(VLOOKUP(YEAR($A87),'NY East Load Projections'!$A$4:$EO$14,((MONTH($A87)-1)*12)+VLOOKUP(CK$4,$DE$6:$DF$17,2)+1))*$E87</f>
        <v>0</v>
      </c>
      <c r="CL87" s="1021">
        <f>(VLOOKUP(YEAR($A87),'NY East Load Projections'!$A$4:$EO$14,((MONTH($A87)-1)*12)+VLOOKUP(CL$4,$DE$6:$DF$17,2)+1))*$E87</f>
        <v>0</v>
      </c>
      <c r="CM87" s="1021">
        <f>(VLOOKUP(YEAR($A87),'NY East Load Projections'!$A$4:$EO$14,((MONTH($A87)-1)*12)+VLOOKUP(CM$4,$DE$6:$DF$17,2)+1))*$E87</f>
        <v>0</v>
      </c>
      <c r="CN87" s="1021">
        <f>(VLOOKUP(YEAR($A87),'NY East Load Projections'!$A$4:$EO$14,((MONTH($A87)-1)*12)+VLOOKUP(CN$4,$DE$6:$DF$17,2)+1))*$E87</f>
        <v>0</v>
      </c>
      <c r="CO87" s="1021">
        <f>(VLOOKUP(YEAR($A87),'NY East Load Projections'!$A$4:$EO$14,((MONTH($A87)-1)*12)+VLOOKUP(CO$4,$DE$6:$DF$17,2)+1))*$E87</f>
        <v>0</v>
      </c>
      <c r="CP87" s="1021">
        <f>(VLOOKUP(YEAR($A87),'NY East Load Projections'!$A$4:$EO$14,((MONTH($A87)-1)*12)+VLOOKUP(CP$4,$DE$6:$DF$17,2)+1))*$E87</f>
        <v>0</v>
      </c>
      <c r="CQ87" s="1021">
        <f>(VLOOKUP(YEAR($A87),'NY East Load Projections'!$A$4:$EO$14,((MONTH($A87)-1)*12)+VLOOKUP(CQ$4,$DE$6:$DF$17,2)+1))*$E87</f>
        <v>0</v>
      </c>
      <c r="CR87" s="1021">
        <f>(VLOOKUP(YEAR($A87),'NY East Load Projections'!$A$4:$EO$14,((MONTH($A87)-1)*12)+VLOOKUP(CR$4,$DE$6:$DF$17,2)+1))*$E87</f>
        <v>0</v>
      </c>
      <c r="CS87" s="1021">
        <f>(VLOOKUP(YEAR($A87),'NY East Load Projections'!$A$4:$EO$14,((MONTH($A87)-1)*12)+VLOOKUP(CS$4,$DE$6:$DF$17,2)+1))*$E87</f>
        <v>0</v>
      </c>
      <c r="CT87" s="1021">
        <f>(VLOOKUP(YEAR($A87),'NY East Load Projections'!$A$4:$EO$14,((MONTH($A87)-1)*12)+VLOOKUP(CT$4,$DE$6:$DF$17,2)+1))*$E87</f>
        <v>0</v>
      </c>
      <c r="CU87" s="1021">
        <f>(VLOOKUP(YEAR($A87),'NY East Load Projections'!$A$4:$EO$14,((MONTH($A87)-1)*12)+VLOOKUP(CU$4,$DE$6:$DF$17,2)+1))*$E87</f>
        <v>0</v>
      </c>
      <c r="CV87" s="1021">
        <f>(VLOOKUP(YEAR($A87),'NY East Load Projections'!$A$4:$EO$14,((MONTH($A87)-1)*12)+VLOOKUP(CV$4,$DE$6:$DF$17,2)+1))*$E87</f>
        <v>0</v>
      </c>
      <c r="CW87" s="1021">
        <f>(VLOOKUP(YEAR($A87),'NY East Load Projections'!$A$4:$EO$14,((MONTH($A87)-1)*12)+VLOOKUP(CW$4,$DE$6:$DF$17,2)+1))*$E87</f>
        <v>0</v>
      </c>
      <c r="CX87" s="1021">
        <f>(VLOOKUP(YEAR($A87),'NY East Load Projections'!$A$4:$EO$14,((MONTH($A87)-1)*12)+VLOOKUP(CX$4,$DE$6:$DF$17,2)+1))*$E87</f>
        <v>0</v>
      </c>
      <c r="CY87" s="1021">
        <f>(VLOOKUP(YEAR($A87),'NY East Load Projections'!$A$4:$EO$14,((MONTH($A87)-1)*12)+VLOOKUP(CY$4,$DE$6:$DF$17,2)+1))*$E87</f>
        <v>0</v>
      </c>
      <c r="CZ87" s="1021">
        <f>(VLOOKUP(YEAR($A87),'NY East Load Projections'!$A$4:$EO$14,((MONTH($A87)-1)*12)+VLOOKUP(CZ$4,$DE$6:$DF$17,2)+1))*$E87</f>
        <v>0</v>
      </c>
      <c r="DA87" s="1021">
        <f>(VLOOKUP(YEAR($A87),'NY East Load Projections'!$A$4:$EO$14,((MONTH($A87)-1)*12)+VLOOKUP(DA$4,$DE$6:$DF$17,2)+1))*$E87</f>
        <v>0</v>
      </c>
      <c r="DB87" s="1021">
        <f>(VLOOKUP(YEAR($A87),'NY East Load Projections'!$A$4:$EO$14,((MONTH($A87)-1)*12)+VLOOKUP(DB$4,$DE$6:$DF$17,2)+1))*$E87</f>
        <v>0</v>
      </c>
      <c r="DH87" s="1009">
        <f t="shared" si="3"/>
        <v>-73750.56436835647</v>
      </c>
      <c r="DI87">
        <f ca="1">CALC!J107</f>
        <v>0.57172407099571054</v>
      </c>
      <c r="DJ87" s="1032">
        <f t="shared" ca="1" si="4"/>
        <v>-42164.972898907952</v>
      </c>
    </row>
    <row r="88" spans="1:114" x14ac:dyDescent="0.25">
      <c r="A88" s="244">
        <v>39387</v>
      </c>
      <c r="B88" s="13">
        <v>21</v>
      </c>
      <c r="C88" s="210">
        <v>4</v>
      </c>
      <c r="D88" s="210">
        <v>4</v>
      </c>
      <c r="E88" s="210">
        <v>1</v>
      </c>
      <c r="F88" s="13">
        <v>30</v>
      </c>
      <c r="H88" s="1021">
        <f>(VLOOKUP(YEAR($A88),'NY East Load Projections'!$A$4:$EO$14,((MONTH($A88)-1)*12)+VLOOKUP(H$4,$DE$6:$DF$17,2)+1))*$B88</f>
        <v>-1828.0911309897492</v>
      </c>
      <c r="I88" s="1021">
        <f>(VLOOKUP(YEAR($A88),'NY East Load Projections'!$A$4:$EO$14,((MONTH($A88)-1)*12)+VLOOKUP(I$4,$DE$6:$DF$17,2)+1))*$B88</f>
        <v>-1828.0911309897492</v>
      </c>
      <c r="J88" s="1021">
        <f>(VLOOKUP(YEAR($A88),'NY East Load Projections'!$A$4:$EO$14,((MONTH($A88)-1)*12)+VLOOKUP(J$4,$DE$6:$DF$17,2)+1))*$B88</f>
        <v>-1828.0911309897492</v>
      </c>
      <c r="K88" s="1021">
        <f>(VLOOKUP(YEAR($A88),'NY East Load Projections'!$A$4:$EO$14,((MONTH($A88)-1)*12)+VLOOKUP(K$4,$DE$6:$DF$17,2)+1))*$B88</f>
        <v>-1828.0911309897492</v>
      </c>
      <c r="L88" s="1021">
        <f>(VLOOKUP(YEAR($A88),'NY East Load Projections'!$A$4:$EO$14,((MONTH($A88)-1)*12)+VLOOKUP(L$4,$DE$6:$DF$17,2)+1))*$B88</f>
        <v>-1971.139736014967</v>
      </c>
      <c r="M88" s="1021">
        <f>(VLOOKUP(YEAR($A88),'NY East Load Projections'!$A$4:$EO$14,((MONTH($A88)-1)*12)+VLOOKUP(M$4,$DE$6:$DF$17,2)+1))*$B88</f>
        <v>-1971.139736014967</v>
      </c>
      <c r="N88" s="1021">
        <f>(VLOOKUP(YEAR($A88),'NY East Load Projections'!$A$4:$EO$14,((MONTH($A88)-1)*12)+VLOOKUP(N$4,$DE$6:$DF$17,2)+1))*$B88</f>
        <v>-1971.139736014967</v>
      </c>
      <c r="O88" s="1021">
        <f>(VLOOKUP(YEAR($A88),'NY East Load Projections'!$A$4:$EO$14,((MONTH($A88)-1)*12)+VLOOKUP(O$4,$DE$6:$DF$17,2)+1))*$B88</f>
        <v>-1971.139736014967</v>
      </c>
      <c r="P88" s="1021">
        <f>(VLOOKUP(YEAR($A88),'NY East Load Projections'!$A$4:$EO$14,((MONTH($A88)-1)*12)+VLOOKUP(P$4,$DE$6:$DF$17,2)+1))*$B88</f>
        <v>-2078.8627572892024</v>
      </c>
      <c r="Q88" s="1021">
        <f>(VLOOKUP(YEAR($A88),'NY East Load Projections'!$A$4:$EO$14,((MONTH($A88)-1)*12)+VLOOKUP(Q$4,$DE$6:$DF$17,2)+1))*$B88</f>
        <v>-2078.8627572892024</v>
      </c>
      <c r="R88" s="1021">
        <f>(VLOOKUP(YEAR($A88),'NY East Load Projections'!$A$4:$EO$14,((MONTH($A88)-1)*12)+VLOOKUP(R$4,$DE$6:$DF$17,2)+1))*$B88</f>
        <v>-2078.8627572892024</v>
      </c>
      <c r="S88" s="1021">
        <f>(VLOOKUP(YEAR($A88),'NY East Load Projections'!$A$4:$EO$14,((MONTH($A88)-1)*12)+VLOOKUP(S$4,$DE$6:$DF$17,2)+1))*$B88</f>
        <v>-2078.8627572892024</v>
      </c>
      <c r="T88" s="1021">
        <f>(VLOOKUP(YEAR($A88),'NY East Load Projections'!$A$4:$EO$14,((MONTH($A88)-1)*12)+VLOOKUP(T$4,$DE$6:$DF$17,2)+1))*$B88</f>
        <v>-2124.8861511263885</v>
      </c>
      <c r="U88" s="1021">
        <f>(VLOOKUP(YEAR($A88),'NY East Load Projections'!$A$4:$EO$14,((MONTH($A88)-1)*12)+VLOOKUP(U$4,$DE$6:$DF$17,2)+1))*$B88</f>
        <v>-2124.8861511263885</v>
      </c>
      <c r="V88" s="1021">
        <f>(VLOOKUP(YEAR($A88),'NY East Load Projections'!$A$4:$EO$14,((MONTH($A88)-1)*12)+VLOOKUP(V$4,$DE$6:$DF$17,2)+1))*$B88</f>
        <v>-2124.8861511263885</v>
      </c>
      <c r="W88" s="1021">
        <f>(VLOOKUP(YEAR($A88),'NY East Load Projections'!$A$4:$EO$14,((MONTH($A88)-1)*12)+VLOOKUP(W$4,$DE$6:$DF$17,2)+1))*$B88</f>
        <v>-2124.8861511263885</v>
      </c>
      <c r="X88" s="1021">
        <f>(VLOOKUP(YEAR($A88),'NY East Load Projections'!$A$4:$EO$14,((MONTH($A88)-1)*12)+VLOOKUP(X$4,$DE$6:$DF$17,2)+1))*$B88</f>
        <v>-2048.6057834539633</v>
      </c>
      <c r="Y88" s="1021">
        <f>(VLOOKUP(YEAR($A88),'NY East Load Projections'!$A$4:$EO$14,((MONTH($A88)-1)*12)+VLOOKUP(Y$4,$DE$6:$DF$17,2)+1))*$B88</f>
        <v>-2048.6057834539633</v>
      </c>
      <c r="Z88" s="1021">
        <f>(VLOOKUP(YEAR($A88),'NY East Load Projections'!$A$4:$EO$14,((MONTH($A88)-1)*12)+VLOOKUP(Z$4,$DE$6:$DF$17,2)+1))*$B88</f>
        <v>-2048.6057834539633</v>
      </c>
      <c r="AA88" s="1021">
        <f>(VLOOKUP(YEAR($A88),'NY East Load Projections'!$A$4:$EO$14,((MONTH($A88)-1)*12)+VLOOKUP(AA$4,$DE$6:$DF$17,2)+1))*$B88</f>
        <v>-2048.6057834539633</v>
      </c>
      <c r="AB88" s="1021">
        <f>(VLOOKUP(YEAR($A88),'NY East Load Projections'!$A$4:$EO$14,((MONTH($A88)-1)*12)+VLOOKUP(AB$4,$DE$6:$DF$17,2)+1))*$B88</f>
        <v>-1892.9920094205402</v>
      </c>
      <c r="AC88" s="1021">
        <f>(VLOOKUP(YEAR($A88),'NY East Load Projections'!$A$4:$EO$14,((MONTH($A88)-1)*12)+VLOOKUP(AC$4,$DE$6:$DF$17,2)+1))*$B88</f>
        <v>-1892.9920094205402</v>
      </c>
      <c r="AD88" s="1021">
        <f>(VLOOKUP(YEAR($A88),'NY East Load Projections'!$A$4:$EO$14,((MONTH($A88)-1)*12)+VLOOKUP(AD$4,$DE$6:$DF$17,2)+1))*$B88</f>
        <v>-1892.9920094205402</v>
      </c>
      <c r="AE88" s="1021">
        <f>(VLOOKUP(YEAR($A88),'NY East Load Projections'!$A$4:$EO$14,((MONTH($A88)-1)*12)+VLOOKUP(AE$4,$DE$6:$DF$17,2)+1))*$B88</f>
        <v>-1892.9920094205402</v>
      </c>
      <c r="AF88" s="1021"/>
      <c r="AG88" s="1021">
        <f>(VLOOKUP(YEAR($A88),'NY East Load Projections'!$A$4:$EO$14,((MONTH($A88)-1)*12)+VLOOKUP(AG$4,$DE$6:$DF$17,2)+1))*$C88</f>
        <v>-364.70953820900354</v>
      </c>
      <c r="AH88" s="1021">
        <f>(VLOOKUP(YEAR($A88),'NY East Load Projections'!$A$4:$EO$14,((MONTH($A88)-1)*12)+VLOOKUP(AH$4,$DE$6:$DF$17,2)+1))*$C88</f>
        <v>-364.70953820900354</v>
      </c>
      <c r="AI88" s="1021">
        <f>(VLOOKUP(YEAR($A88),'NY East Load Projections'!$A$4:$EO$14,((MONTH($A88)-1)*12)+VLOOKUP(AI$4,$DE$6:$DF$17,2)+1))*$C88</f>
        <v>-364.70953820900354</v>
      </c>
      <c r="AJ88" s="1021">
        <f>(VLOOKUP(YEAR($A88),'NY East Load Projections'!$A$4:$EO$14,((MONTH($A88)-1)*12)+VLOOKUP(AJ$4,$DE$6:$DF$17,2)+1))*$C88</f>
        <v>-364.70953820900354</v>
      </c>
      <c r="AK88" s="1021">
        <f>(VLOOKUP(YEAR($A88),'NY East Load Projections'!$A$4:$EO$14,((MONTH($A88)-1)*12)+VLOOKUP(AK$4,$DE$6:$DF$17,2)+1))*$C88</f>
        <v>-370.36678260093481</v>
      </c>
      <c r="AL88" s="1021">
        <f>(VLOOKUP(YEAR($A88),'NY East Load Projections'!$A$4:$EO$14,((MONTH($A88)-1)*12)+VLOOKUP(AL$4,$DE$6:$DF$17,2)+1))*$C88</f>
        <v>-370.36678260093481</v>
      </c>
      <c r="AM88" s="1021">
        <f>(VLOOKUP(YEAR($A88),'NY East Load Projections'!$A$4:$EO$14,((MONTH($A88)-1)*12)+VLOOKUP(AM$4,$DE$6:$DF$17,2)+1))*$C88</f>
        <v>-370.36678260093481</v>
      </c>
      <c r="AN88" s="1021">
        <f>(VLOOKUP(YEAR($A88),'NY East Load Projections'!$A$4:$EO$14,((MONTH($A88)-1)*12)+VLOOKUP(AN$4,$DE$6:$DF$17,2)+1))*$C88</f>
        <v>-370.36678260093481</v>
      </c>
      <c r="AO88" s="1021">
        <f>(VLOOKUP(YEAR($A88),'NY East Load Projections'!$A$4:$EO$14,((MONTH($A88)-1)*12)+VLOOKUP(AO$4,$DE$6:$DF$17,2)+1))*$C88</f>
        <v>-393.71510095734567</v>
      </c>
      <c r="AP88" s="1021">
        <f>(VLOOKUP(YEAR($A88),'NY East Load Projections'!$A$4:$EO$14,((MONTH($A88)-1)*12)+VLOOKUP(AP$4,$DE$6:$DF$17,2)+1))*$C88</f>
        <v>-393.71510095734567</v>
      </c>
      <c r="AQ88" s="1021">
        <f>(VLOOKUP(YEAR($A88),'NY East Load Projections'!$A$4:$EO$14,((MONTH($A88)-1)*12)+VLOOKUP(AQ$4,$DE$6:$DF$17,2)+1))*$C88</f>
        <v>-393.71510095734567</v>
      </c>
      <c r="AR88" s="1021">
        <f>(VLOOKUP(YEAR($A88),'NY East Load Projections'!$A$4:$EO$14,((MONTH($A88)-1)*12)+VLOOKUP(AR$4,$DE$6:$DF$17,2)+1))*$C88</f>
        <v>-393.71510095734567</v>
      </c>
      <c r="AS88" s="1021">
        <f>(VLOOKUP(YEAR($A88),'NY East Load Projections'!$A$4:$EO$14,((MONTH($A88)-1)*12)+VLOOKUP(AS$4,$DE$6:$DF$17,2)+1))*$C88</f>
        <v>-403.18087436939811</v>
      </c>
      <c r="AT88" s="1021">
        <f>(VLOOKUP(YEAR($A88),'NY East Load Projections'!$A$4:$EO$14,((MONTH($A88)-1)*12)+VLOOKUP(AT$4,$DE$6:$DF$17,2)+1))*$C88</f>
        <v>-403.18087436939811</v>
      </c>
      <c r="AU88" s="1021">
        <f>(VLOOKUP(YEAR($A88),'NY East Load Projections'!$A$4:$EO$14,((MONTH($A88)-1)*12)+VLOOKUP(AU$4,$DE$6:$DF$17,2)+1))*$C88</f>
        <v>-403.18087436939811</v>
      </c>
      <c r="AV88" s="1021">
        <f>(VLOOKUP(YEAR($A88),'NY East Load Projections'!$A$4:$EO$14,((MONTH($A88)-1)*12)+VLOOKUP(AV$4,$DE$6:$DF$17,2)+1))*$C88</f>
        <v>-403.18087436939811</v>
      </c>
      <c r="AW88" s="1021">
        <f>(VLOOKUP(YEAR($A88),'NY East Load Projections'!$A$4:$EO$14,((MONTH($A88)-1)*12)+VLOOKUP(AW$4,$DE$6:$DF$17,2)+1))*$C88</f>
        <v>-386.17788396867263</v>
      </c>
      <c r="AX88" s="1021">
        <f>(VLOOKUP(YEAR($A88),'NY East Load Projections'!$A$4:$EO$14,((MONTH($A88)-1)*12)+VLOOKUP(AX$4,$DE$6:$DF$17,2)+1))*$C88</f>
        <v>-386.17788396867263</v>
      </c>
      <c r="AY88" s="1021">
        <f>(VLOOKUP(YEAR($A88),'NY East Load Projections'!$A$4:$EO$14,((MONTH($A88)-1)*12)+VLOOKUP(AY$4,$DE$6:$DF$17,2)+1))*$C88</f>
        <v>-386.17788396867263</v>
      </c>
      <c r="AZ88" s="1021">
        <f>(VLOOKUP(YEAR($A88),'NY East Load Projections'!$A$4:$EO$14,((MONTH($A88)-1)*12)+VLOOKUP(AZ$4,$DE$6:$DF$17,2)+1))*$C88</f>
        <v>-386.17788396867263</v>
      </c>
      <c r="BA88" s="1021">
        <f>(VLOOKUP(YEAR($A88),'NY East Load Projections'!$A$4:$EO$14,((MONTH($A88)-1)*12)+VLOOKUP(BA$4,$DE$6:$DF$17,2)+1))*$C88</f>
        <v>-369.85457537193366</v>
      </c>
      <c r="BB88" s="1021">
        <f>(VLOOKUP(YEAR($A88),'NY East Load Projections'!$A$4:$EO$14,((MONTH($A88)-1)*12)+VLOOKUP(BB$4,$DE$6:$DF$17,2)+1))*$C88</f>
        <v>-369.85457537193366</v>
      </c>
      <c r="BC88" s="1021">
        <f>(VLOOKUP(YEAR($A88),'NY East Load Projections'!$A$4:$EO$14,((MONTH($A88)-1)*12)+VLOOKUP(BC$4,$DE$6:$DF$17,2)+1))*$C88</f>
        <v>-369.85457537193366</v>
      </c>
      <c r="BD88" s="1021">
        <f>(VLOOKUP(YEAR($A88),'NY East Load Projections'!$A$4:$EO$14,((MONTH($A88)-1)*12)+VLOOKUP(BD$4,$DE$6:$DF$17,2)+1))*$C88</f>
        <v>-369.85457537193366</v>
      </c>
      <c r="BE88" s="1021"/>
      <c r="BF88" s="1021">
        <f>(VLOOKUP(YEAR($A88),'NY East Load Projections'!$A$4:$EO$14,((MONTH($A88)-1)*12)+VLOOKUP(BF$4,$DE$6:$DF$17,2)+1))*$D88</f>
        <v>-364.70953820900354</v>
      </c>
      <c r="BG88" s="1021">
        <f>(VLOOKUP(YEAR($A88),'NY East Load Projections'!$A$4:$EO$14,((MONTH($A88)-1)*12)+VLOOKUP(BG$4,$DE$6:$DF$17,2)+1))*$D88</f>
        <v>-364.70953820900354</v>
      </c>
      <c r="BH88" s="1021">
        <f>(VLOOKUP(YEAR($A88),'NY East Load Projections'!$A$4:$EO$14,((MONTH($A88)-1)*12)+VLOOKUP(BH$4,$DE$6:$DF$17,2)+1))*$D88</f>
        <v>-364.70953820900354</v>
      </c>
      <c r="BI88" s="1021">
        <f>(VLOOKUP(YEAR($A88),'NY East Load Projections'!$A$4:$EO$14,((MONTH($A88)-1)*12)+VLOOKUP(BI$4,$DE$6:$DF$17,2)+1))*$D88</f>
        <v>-364.70953820900354</v>
      </c>
      <c r="BJ88" s="1021">
        <f>(VLOOKUP(YEAR($A88),'NY East Load Projections'!$A$4:$EO$14,((MONTH($A88)-1)*12)+VLOOKUP(BJ$4,$DE$6:$DF$17,2)+1))*$D88</f>
        <v>-370.36678260093481</v>
      </c>
      <c r="BK88" s="1021">
        <f>(VLOOKUP(YEAR($A88),'NY East Load Projections'!$A$4:$EO$14,((MONTH($A88)-1)*12)+VLOOKUP(BK$4,$DE$6:$DF$17,2)+1))*$D88</f>
        <v>-370.36678260093481</v>
      </c>
      <c r="BL88" s="1021">
        <f>(VLOOKUP(YEAR($A88),'NY East Load Projections'!$A$4:$EO$14,((MONTH($A88)-1)*12)+VLOOKUP(BL$4,$DE$6:$DF$17,2)+1))*$D88</f>
        <v>-370.36678260093481</v>
      </c>
      <c r="BM88" s="1021">
        <f>(VLOOKUP(YEAR($A88),'NY East Load Projections'!$A$4:$EO$14,((MONTH($A88)-1)*12)+VLOOKUP(BM$4,$DE$6:$DF$17,2)+1))*$D88</f>
        <v>-370.36678260093481</v>
      </c>
      <c r="BN88" s="1021">
        <f>(VLOOKUP(YEAR($A88),'NY East Load Projections'!$A$4:$EO$14,((MONTH($A88)-1)*12)+VLOOKUP(BN$4,$DE$6:$DF$17,2)+1))*$D88</f>
        <v>-393.71510095734567</v>
      </c>
      <c r="BO88" s="1021">
        <f>(VLOOKUP(YEAR($A88),'NY East Load Projections'!$A$4:$EO$14,((MONTH($A88)-1)*12)+VLOOKUP(BO$4,$DE$6:$DF$17,2)+1))*$D88</f>
        <v>-393.71510095734567</v>
      </c>
      <c r="BP88" s="1021">
        <f>(VLOOKUP(YEAR($A88),'NY East Load Projections'!$A$4:$EO$14,((MONTH($A88)-1)*12)+VLOOKUP(BP$4,$DE$6:$DF$17,2)+1))*$D88</f>
        <v>-393.71510095734567</v>
      </c>
      <c r="BQ88" s="1021">
        <f>(VLOOKUP(YEAR($A88),'NY East Load Projections'!$A$4:$EO$14,((MONTH($A88)-1)*12)+VLOOKUP(BQ$4,$DE$6:$DF$17,2)+1))*$D88</f>
        <v>-393.71510095734567</v>
      </c>
      <c r="BR88" s="1021">
        <f>(VLOOKUP(YEAR($A88),'NY East Load Projections'!$A$4:$EO$14,((MONTH($A88)-1)*12)+VLOOKUP(BR$4,$DE$6:$DF$17,2)+1))*$D88</f>
        <v>-403.18087436939811</v>
      </c>
      <c r="BS88" s="1021">
        <f>(VLOOKUP(YEAR($A88),'NY East Load Projections'!$A$4:$EO$14,((MONTH($A88)-1)*12)+VLOOKUP(BS$4,$DE$6:$DF$17,2)+1))*$D88</f>
        <v>-403.18087436939811</v>
      </c>
      <c r="BT88" s="1021">
        <f>(VLOOKUP(YEAR($A88),'NY East Load Projections'!$A$4:$EO$14,((MONTH($A88)-1)*12)+VLOOKUP(BT$4,$DE$6:$DF$17,2)+1))*$D88</f>
        <v>-403.18087436939811</v>
      </c>
      <c r="BU88" s="1021">
        <f>(VLOOKUP(YEAR($A88),'NY East Load Projections'!$A$4:$EO$14,((MONTH($A88)-1)*12)+VLOOKUP(BU$4,$DE$6:$DF$17,2)+1))*$D88</f>
        <v>-403.18087436939811</v>
      </c>
      <c r="BV88" s="1021">
        <f>(VLOOKUP(YEAR($A88),'NY East Load Projections'!$A$4:$EO$14,((MONTH($A88)-1)*12)+VLOOKUP(BV$4,$DE$6:$DF$17,2)+1))*$D88</f>
        <v>-386.17788396867263</v>
      </c>
      <c r="BW88" s="1021">
        <f>(VLOOKUP(YEAR($A88),'NY East Load Projections'!$A$4:$EO$14,((MONTH($A88)-1)*12)+VLOOKUP(BW$4,$DE$6:$DF$17,2)+1))*$D88</f>
        <v>-386.17788396867263</v>
      </c>
      <c r="BX88" s="1021">
        <f>(VLOOKUP(YEAR($A88),'NY East Load Projections'!$A$4:$EO$14,((MONTH($A88)-1)*12)+VLOOKUP(BX$4,$DE$6:$DF$17,2)+1))*$D88</f>
        <v>-386.17788396867263</v>
      </c>
      <c r="BY88" s="1021">
        <f>(VLOOKUP(YEAR($A88),'NY East Load Projections'!$A$4:$EO$14,((MONTH($A88)-1)*12)+VLOOKUP(BY$4,$DE$6:$DF$17,2)+1))*$D88</f>
        <v>-386.17788396867263</v>
      </c>
      <c r="BZ88" s="1021">
        <f>(VLOOKUP(YEAR($A88),'NY East Load Projections'!$A$4:$EO$14,((MONTH($A88)-1)*12)+VLOOKUP(BZ$4,$DE$6:$DF$17,2)+1))*$D88</f>
        <v>-369.85457537193366</v>
      </c>
      <c r="CA88" s="1021">
        <f>(VLOOKUP(YEAR($A88),'NY East Load Projections'!$A$4:$EO$14,((MONTH($A88)-1)*12)+VLOOKUP(CA$4,$DE$6:$DF$17,2)+1))*$D88</f>
        <v>-369.85457537193366</v>
      </c>
      <c r="CB88" s="1021">
        <f>(VLOOKUP(YEAR($A88),'NY East Load Projections'!$A$4:$EO$14,((MONTH($A88)-1)*12)+VLOOKUP(CB$4,$DE$6:$DF$17,2)+1))*$D88</f>
        <v>-369.85457537193366</v>
      </c>
      <c r="CC88" s="1021">
        <f>(VLOOKUP(YEAR($A88),'NY East Load Projections'!$A$4:$EO$14,((MONTH($A88)-1)*12)+VLOOKUP(CC$4,$DE$6:$DF$17,2)+1))*$D88</f>
        <v>-369.85457537193366</v>
      </c>
      <c r="CE88" s="1021">
        <f>(VLOOKUP(YEAR($A88),'NY East Load Projections'!$A$4:$EO$14,((MONTH($A88)-1)*12)+VLOOKUP(CE$4,$DE$6:$DF$17,2)+1))*$E88</f>
        <v>-91.177384552250885</v>
      </c>
      <c r="CF88" s="1021">
        <f>(VLOOKUP(YEAR($A88),'NY East Load Projections'!$A$4:$EO$14,((MONTH($A88)-1)*12)+VLOOKUP(CF$4,$DE$6:$DF$17,2)+1))*$E88</f>
        <v>-91.177384552250885</v>
      </c>
      <c r="CG88" s="1021">
        <f>(VLOOKUP(YEAR($A88),'NY East Load Projections'!$A$4:$EO$14,((MONTH($A88)-1)*12)+VLOOKUP(CG$4,$DE$6:$DF$17,2)+1))*$E88</f>
        <v>-91.177384552250885</v>
      </c>
      <c r="CH88" s="1021">
        <f>(VLOOKUP(YEAR($A88),'NY East Load Projections'!$A$4:$EO$14,((MONTH($A88)-1)*12)+VLOOKUP(CH$4,$DE$6:$DF$17,2)+1))*$E88</f>
        <v>-91.177384552250885</v>
      </c>
      <c r="CI88" s="1021">
        <f>(VLOOKUP(YEAR($A88),'NY East Load Projections'!$A$4:$EO$14,((MONTH($A88)-1)*12)+VLOOKUP(CI$4,$DE$6:$DF$17,2)+1))*$E88</f>
        <v>-92.591695650233703</v>
      </c>
      <c r="CJ88" s="1021">
        <f>(VLOOKUP(YEAR($A88),'NY East Load Projections'!$A$4:$EO$14,((MONTH($A88)-1)*12)+VLOOKUP(CJ$4,$DE$6:$DF$17,2)+1))*$E88</f>
        <v>-92.591695650233703</v>
      </c>
      <c r="CK88" s="1021">
        <f>(VLOOKUP(YEAR($A88),'NY East Load Projections'!$A$4:$EO$14,((MONTH($A88)-1)*12)+VLOOKUP(CK$4,$DE$6:$DF$17,2)+1))*$E88</f>
        <v>-92.591695650233703</v>
      </c>
      <c r="CL88" s="1021">
        <f>(VLOOKUP(YEAR($A88),'NY East Load Projections'!$A$4:$EO$14,((MONTH($A88)-1)*12)+VLOOKUP(CL$4,$DE$6:$DF$17,2)+1))*$E88</f>
        <v>-92.591695650233703</v>
      </c>
      <c r="CM88" s="1021">
        <f>(VLOOKUP(YEAR($A88),'NY East Load Projections'!$A$4:$EO$14,((MONTH($A88)-1)*12)+VLOOKUP(CM$4,$DE$6:$DF$17,2)+1))*$E88</f>
        <v>-98.428775239336417</v>
      </c>
      <c r="CN88" s="1021">
        <f>(VLOOKUP(YEAR($A88),'NY East Load Projections'!$A$4:$EO$14,((MONTH($A88)-1)*12)+VLOOKUP(CN$4,$DE$6:$DF$17,2)+1))*$E88</f>
        <v>-98.428775239336417</v>
      </c>
      <c r="CO88" s="1021">
        <f>(VLOOKUP(YEAR($A88),'NY East Load Projections'!$A$4:$EO$14,((MONTH($A88)-1)*12)+VLOOKUP(CO$4,$DE$6:$DF$17,2)+1))*$E88</f>
        <v>-98.428775239336417</v>
      </c>
      <c r="CP88" s="1021">
        <f>(VLOOKUP(YEAR($A88),'NY East Load Projections'!$A$4:$EO$14,((MONTH($A88)-1)*12)+VLOOKUP(CP$4,$DE$6:$DF$17,2)+1))*$E88</f>
        <v>-98.428775239336417</v>
      </c>
      <c r="CQ88" s="1021">
        <f>(VLOOKUP(YEAR($A88),'NY East Load Projections'!$A$4:$EO$14,((MONTH($A88)-1)*12)+VLOOKUP(CQ$4,$DE$6:$DF$17,2)+1))*$E88</f>
        <v>-100.79521859234953</v>
      </c>
      <c r="CR88" s="1021">
        <f>(VLOOKUP(YEAR($A88),'NY East Load Projections'!$A$4:$EO$14,((MONTH($A88)-1)*12)+VLOOKUP(CR$4,$DE$6:$DF$17,2)+1))*$E88</f>
        <v>-100.79521859234953</v>
      </c>
      <c r="CS88" s="1021">
        <f>(VLOOKUP(YEAR($A88),'NY East Load Projections'!$A$4:$EO$14,((MONTH($A88)-1)*12)+VLOOKUP(CS$4,$DE$6:$DF$17,2)+1))*$E88</f>
        <v>-100.79521859234953</v>
      </c>
      <c r="CT88" s="1021">
        <f>(VLOOKUP(YEAR($A88),'NY East Load Projections'!$A$4:$EO$14,((MONTH($A88)-1)*12)+VLOOKUP(CT$4,$DE$6:$DF$17,2)+1))*$E88</f>
        <v>-100.79521859234953</v>
      </c>
      <c r="CU88" s="1021">
        <f>(VLOOKUP(YEAR($A88),'NY East Load Projections'!$A$4:$EO$14,((MONTH($A88)-1)*12)+VLOOKUP(CU$4,$DE$6:$DF$17,2)+1))*$E88</f>
        <v>-96.544470992168158</v>
      </c>
      <c r="CV88" s="1021">
        <f>(VLOOKUP(YEAR($A88),'NY East Load Projections'!$A$4:$EO$14,((MONTH($A88)-1)*12)+VLOOKUP(CV$4,$DE$6:$DF$17,2)+1))*$E88</f>
        <v>-96.544470992168158</v>
      </c>
      <c r="CW88" s="1021">
        <f>(VLOOKUP(YEAR($A88),'NY East Load Projections'!$A$4:$EO$14,((MONTH($A88)-1)*12)+VLOOKUP(CW$4,$DE$6:$DF$17,2)+1))*$E88</f>
        <v>-96.544470992168158</v>
      </c>
      <c r="CX88" s="1021">
        <f>(VLOOKUP(YEAR($A88),'NY East Load Projections'!$A$4:$EO$14,((MONTH($A88)-1)*12)+VLOOKUP(CX$4,$DE$6:$DF$17,2)+1))*$E88</f>
        <v>-96.544470992168158</v>
      </c>
      <c r="CY88" s="1021">
        <f>(VLOOKUP(YEAR($A88),'NY East Load Projections'!$A$4:$EO$14,((MONTH($A88)-1)*12)+VLOOKUP(CY$4,$DE$6:$DF$17,2)+1))*$E88</f>
        <v>-92.463643842983416</v>
      </c>
      <c r="CZ88" s="1021">
        <f>(VLOOKUP(YEAR($A88),'NY East Load Projections'!$A$4:$EO$14,((MONTH($A88)-1)*12)+VLOOKUP(CZ$4,$DE$6:$DF$17,2)+1))*$E88</f>
        <v>-92.463643842983416</v>
      </c>
      <c r="DA88" s="1021">
        <f>(VLOOKUP(YEAR($A88),'NY East Load Projections'!$A$4:$EO$14,((MONTH($A88)-1)*12)+VLOOKUP(DA$4,$DE$6:$DF$17,2)+1))*$E88</f>
        <v>-92.463643842983416</v>
      </c>
      <c r="DB88" s="1021">
        <f>(VLOOKUP(YEAR($A88),'NY East Load Projections'!$A$4:$EO$14,((MONTH($A88)-1)*12)+VLOOKUP(DB$4,$DE$6:$DF$17,2)+1))*$E88</f>
        <v>-92.463643842983416</v>
      </c>
      <c r="DH88" s="1009">
        <f t="shared" si="3"/>
        <v>-68370.353072474914</v>
      </c>
      <c r="DI88">
        <f ca="1">CALC!J108</f>
        <v>0.56826708324181341</v>
      </c>
      <c r="DJ88" s="1032">
        <f t="shared" ca="1" si="4"/>
        <v>-38852.621120708274</v>
      </c>
    </row>
    <row r="89" spans="1:114" x14ac:dyDescent="0.25">
      <c r="A89" s="244">
        <v>39417</v>
      </c>
      <c r="B89" s="13">
        <v>20</v>
      </c>
      <c r="C89" s="210">
        <v>5</v>
      </c>
      <c r="D89" s="210">
        <v>5</v>
      </c>
      <c r="E89" s="210">
        <v>1</v>
      </c>
      <c r="F89" s="13">
        <v>31</v>
      </c>
      <c r="H89" s="1021">
        <f>(VLOOKUP(YEAR($A89),'NY East Load Projections'!$A$4:$EO$14,((MONTH($A89)-1)*12)+VLOOKUP(H$4,$DE$6:$DF$17,2)+1))*$B89</f>
        <v>-1684.8593363656348</v>
      </c>
      <c r="I89" s="1021">
        <f>(VLOOKUP(YEAR($A89),'NY East Load Projections'!$A$4:$EO$14,((MONTH($A89)-1)*12)+VLOOKUP(I$4,$DE$6:$DF$17,2)+1))*$B89</f>
        <v>-1684.8593363656348</v>
      </c>
      <c r="J89" s="1021">
        <f>(VLOOKUP(YEAR($A89),'NY East Load Projections'!$A$4:$EO$14,((MONTH($A89)-1)*12)+VLOOKUP(J$4,$DE$6:$DF$17,2)+1))*$B89</f>
        <v>-1684.8593363656348</v>
      </c>
      <c r="K89" s="1021">
        <f>(VLOOKUP(YEAR($A89),'NY East Load Projections'!$A$4:$EO$14,((MONTH($A89)-1)*12)+VLOOKUP(K$4,$DE$6:$DF$17,2)+1))*$B89</f>
        <v>-1684.8593363656348</v>
      </c>
      <c r="L89" s="1021">
        <f>(VLOOKUP(YEAR($A89),'NY East Load Projections'!$A$4:$EO$14,((MONTH($A89)-1)*12)+VLOOKUP(L$4,$DE$6:$DF$17,2)+1))*$B89</f>
        <v>-1845.7986220319772</v>
      </c>
      <c r="M89" s="1021">
        <f>(VLOOKUP(YEAR($A89),'NY East Load Projections'!$A$4:$EO$14,((MONTH($A89)-1)*12)+VLOOKUP(M$4,$DE$6:$DF$17,2)+1))*$B89</f>
        <v>-1845.7986220319772</v>
      </c>
      <c r="N89" s="1021">
        <f>(VLOOKUP(YEAR($A89),'NY East Load Projections'!$A$4:$EO$14,((MONTH($A89)-1)*12)+VLOOKUP(N$4,$DE$6:$DF$17,2)+1))*$B89</f>
        <v>-1845.7986220319772</v>
      </c>
      <c r="O89" s="1021">
        <f>(VLOOKUP(YEAR($A89),'NY East Load Projections'!$A$4:$EO$14,((MONTH($A89)-1)*12)+VLOOKUP(O$4,$DE$6:$DF$17,2)+1))*$B89</f>
        <v>-1845.7986220319772</v>
      </c>
      <c r="P89" s="1021">
        <f>(VLOOKUP(YEAR($A89),'NY East Load Projections'!$A$4:$EO$14,((MONTH($A89)-1)*12)+VLOOKUP(P$4,$DE$6:$DF$17,2)+1))*$B89</f>
        <v>-1946.4152414617729</v>
      </c>
      <c r="Q89" s="1021">
        <f>(VLOOKUP(YEAR($A89),'NY East Load Projections'!$A$4:$EO$14,((MONTH($A89)-1)*12)+VLOOKUP(Q$4,$DE$6:$DF$17,2)+1))*$B89</f>
        <v>-1946.4152414617729</v>
      </c>
      <c r="R89" s="1021">
        <f>(VLOOKUP(YEAR($A89),'NY East Load Projections'!$A$4:$EO$14,((MONTH($A89)-1)*12)+VLOOKUP(R$4,$DE$6:$DF$17,2)+1))*$B89</f>
        <v>-1946.4152414617729</v>
      </c>
      <c r="S89" s="1021">
        <f>(VLOOKUP(YEAR($A89),'NY East Load Projections'!$A$4:$EO$14,((MONTH($A89)-1)*12)+VLOOKUP(S$4,$DE$6:$DF$17,2)+1))*$B89</f>
        <v>-1946.4152414617729</v>
      </c>
      <c r="T89" s="1021">
        <f>(VLOOKUP(YEAR($A89),'NY East Load Projections'!$A$4:$EO$14,((MONTH($A89)-1)*12)+VLOOKUP(T$4,$DE$6:$DF$17,2)+1))*$B89</f>
        <v>-1965.7605770106579</v>
      </c>
      <c r="U89" s="1021">
        <f>(VLOOKUP(YEAR($A89),'NY East Load Projections'!$A$4:$EO$14,((MONTH($A89)-1)*12)+VLOOKUP(U$4,$DE$6:$DF$17,2)+1))*$B89</f>
        <v>-1965.7605770106579</v>
      </c>
      <c r="V89" s="1021">
        <f>(VLOOKUP(YEAR($A89),'NY East Load Projections'!$A$4:$EO$14,((MONTH($A89)-1)*12)+VLOOKUP(V$4,$DE$6:$DF$17,2)+1))*$B89</f>
        <v>-1965.7605770106579</v>
      </c>
      <c r="W89" s="1021">
        <f>(VLOOKUP(YEAR($A89),'NY East Load Projections'!$A$4:$EO$14,((MONTH($A89)-1)*12)+VLOOKUP(W$4,$DE$6:$DF$17,2)+1))*$B89</f>
        <v>-1965.7605770106579</v>
      </c>
      <c r="X89" s="1021">
        <f>(VLOOKUP(YEAR($A89),'NY East Load Projections'!$A$4:$EO$14,((MONTH($A89)-1)*12)+VLOOKUP(X$4,$DE$6:$DF$17,2)+1))*$B89</f>
        <v>-1891.8392902713347</v>
      </c>
      <c r="Y89" s="1021">
        <f>(VLOOKUP(YEAR($A89),'NY East Load Projections'!$A$4:$EO$14,((MONTH($A89)-1)*12)+VLOOKUP(Y$4,$DE$6:$DF$17,2)+1))*$B89</f>
        <v>-1891.8392902713347</v>
      </c>
      <c r="Z89" s="1021">
        <f>(VLOOKUP(YEAR($A89),'NY East Load Projections'!$A$4:$EO$14,((MONTH($A89)-1)*12)+VLOOKUP(Z$4,$DE$6:$DF$17,2)+1))*$B89</f>
        <v>-1891.8392902713347</v>
      </c>
      <c r="AA89" s="1021">
        <f>(VLOOKUP(YEAR($A89),'NY East Load Projections'!$A$4:$EO$14,((MONTH($A89)-1)*12)+VLOOKUP(AA$4,$DE$6:$DF$17,2)+1))*$B89</f>
        <v>-1891.8392902713347</v>
      </c>
      <c r="AB89" s="1021">
        <f>(VLOOKUP(YEAR($A89),'NY East Load Projections'!$A$4:$EO$14,((MONTH($A89)-1)*12)+VLOOKUP(AB$4,$DE$6:$DF$17,2)+1))*$B89</f>
        <v>-1753.3279554667065</v>
      </c>
      <c r="AC89" s="1021">
        <f>(VLOOKUP(YEAR($A89),'NY East Load Projections'!$A$4:$EO$14,((MONTH($A89)-1)*12)+VLOOKUP(AC$4,$DE$6:$DF$17,2)+1))*$B89</f>
        <v>-1753.3279554667065</v>
      </c>
      <c r="AD89" s="1021">
        <f>(VLOOKUP(YEAR($A89),'NY East Load Projections'!$A$4:$EO$14,((MONTH($A89)-1)*12)+VLOOKUP(AD$4,$DE$6:$DF$17,2)+1))*$B89</f>
        <v>-1753.3279554667065</v>
      </c>
      <c r="AE89" s="1021">
        <f>(VLOOKUP(YEAR($A89),'NY East Load Projections'!$A$4:$EO$14,((MONTH($A89)-1)*12)+VLOOKUP(AE$4,$DE$6:$DF$17,2)+1))*$B89</f>
        <v>-1753.3279554667065</v>
      </c>
      <c r="AF89" s="1021"/>
      <c r="AG89" s="1021">
        <f>(VLOOKUP(YEAR($A89),'NY East Load Projections'!$A$4:$EO$14,((MONTH($A89)-1)*12)+VLOOKUP(AG$4,$DE$6:$DF$17,2)+1))*$C89</f>
        <v>-429.6395643538421</v>
      </c>
      <c r="AH89" s="1021">
        <f>(VLOOKUP(YEAR($A89),'NY East Load Projections'!$A$4:$EO$14,((MONTH($A89)-1)*12)+VLOOKUP(AH$4,$DE$6:$DF$17,2)+1))*$C89</f>
        <v>-429.6395643538421</v>
      </c>
      <c r="AI89" s="1021">
        <f>(VLOOKUP(YEAR($A89),'NY East Load Projections'!$A$4:$EO$14,((MONTH($A89)-1)*12)+VLOOKUP(AI$4,$DE$6:$DF$17,2)+1))*$C89</f>
        <v>-429.6395643538421</v>
      </c>
      <c r="AJ89" s="1021">
        <f>(VLOOKUP(YEAR($A89),'NY East Load Projections'!$A$4:$EO$14,((MONTH($A89)-1)*12)+VLOOKUP(AJ$4,$DE$6:$DF$17,2)+1))*$C89</f>
        <v>-429.6395643538421</v>
      </c>
      <c r="AK89" s="1021">
        <f>(VLOOKUP(YEAR($A89),'NY East Load Projections'!$A$4:$EO$14,((MONTH($A89)-1)*12)+VLOOKUP(AK$4,$DE$6:$DF$17,2)+1))*$C89</f>
        <v>-439.33246566986281</v>
      </c>
      <c r="AL89" s="1021">
        <f>(VLOOKUP(YEAR($A89),'NY East Load Projections'!$A$4:$EO$14,((MONTH($A89)-1)*12)+VLOOKUP(AL$4,$DE$6:$DF$17,2)+1))*$C89</f>
        <v>-439.33246566986281</v>
      </c>
      <c r="AM89" s="1021">
        <f>(VLOOKUP(YEAR($A89),'NY East Load Projections'!$A$4:$EO$14,((MONTH($A89)-1)*12)+VLOOKUP(AM$4,$DE$6:$DF$17,2)+1))*$C89</f>
        <v>-439.33246566986281</v>
      </c>
      <c r="AN89" s="1021">
        <f>(VLOOKUP(YEAR($A89),'NY East Load Projections'!$A$4:$EO$14,((MONTH($A89)-1)*12)+VLOOKUP(AN$4,$DE$6:$DF$17,2)+1))*$C89</f>
        <v>-439.33246566986281</v>
      </c>
      <c r="AO89" s="1021">
        <f>(VLOOKUP(YEAR($A89),'NY East Load Projections'!$A$4:$EO$14,((MONTH($A89)-1)*12)+VLOOKUP(AO$4,$DE$6:$DF$17,2)+1))*$C89</f>
        <v>-465.75533894331897</v>
      </c>
      <c r="AP89" s="1021">
        <f>(VLOOKUP(YEAR($A89),'NY East Load Projections'!$A$4:$EO$14,((MONTH($A89)-1)*12)+VLOOKUP(AP$4,$DE$6:$DF$17,2)+1))*$C89</f>
        <v>-465.75533894331897</v>
      </c>
      <c r="AQ89" s="1021">
        <f>(VLOOKUP(YEAR($A89),'NY East Load Projections'!$A$4:$EO$14,((MONTH($A89)-1)*12)+VLOOKUP(AQ$4,$DE$6:$DF$17,2)+1))*$C89</f>
        <v>-465.75533894331897</v>
      </c>
      <c r="AR89" s="1021">
        <f>(VLOOKUP(YEAR($A89),'NY East Load Projections'!$A$4:$EO$14,((MONTH($A89)-1)*12)+VLOOKUP(AR$4,$DE$6:$DF$17,2)+1))*$C89</f>
        <v>-465.75533894331897</v>
      </c>
      <c r="AS89" s="1021">
        <f>(VLOOKUP(YEAR($A89),'NY East Load Projections'!$A$4:$EO$14,((MONTH($A89)-1)*12)+VLOOKUP(AS$4,$DE$6:$DF$17,2)+1))*$C89</f>
        <v>-470.95183114794344</v>
      </c>
      <c r="AT89" s="1021">
        <f>(VLOOKUP(YEAR($A89),'NY East Load Projections'!$A$4:$EO$14,((MONTH($A89)-1)*12)+VLOOKUP(AT$4,$DE$6:$DF$17,2)+1))*$C89</f>
        <v>-470.95183114794344</v>
      </c>
      <c r="AU89" s="1021">
        <f>(VLOOKUP(YEAR($A89),'NY East Load Projections'!$A$4:$EO$14,((MONTH($A89)-1)*12)+VLOOKUP(AU$4,$DE$6:$DF$17,2)+1))*$C89</f>
        <v>-470.95183114794344</v>
      </c>
      <c r="AV89" s="1021">
        <f>(VLOOKUP(YEAR($A89),'NY East Load Projections'!$A$4:$EO$14,((MONTH($A89)-1)*12)+VLOOKUP(AV$4,$DE$6:$DF$17,2)+1))*$C89</f>
        <v>-470.95183114794344</v>
      </c>
      <c r="AW89" s="1021">
        <f>(VLOOKUP(YEAR($A89),'NY East Load Projections'!$A$4:$EO$14,((MONTH($A89)-1)*12)+VLOOKUP(AW$4,$DE$6:$DF$17,2)+1))*$C89</f>
        <v>-453.93988019415713</v>
      </c>
      <c r="AX89" s="1021">
        <f>(VLOOKUP(YEAR($A89),'NY East Load Projections'!$A$4:$EO$14,((MONTH($A89)-1)*12)+VLOOKUP(AX$4,$DE$6:$DF$17,2)+1))*$C89</f>
        <v>-453.93988019415713</v>
      </c>
      <c r="AY89" s="1021">
        <f>(VLOOKUP(YEAR($A89),'NY East Load Projections'!$A$4:$EO$14,((MONTH($A89)-1)*12)+VLOOKUP(AY$4,$DE$6:$DF$17,2)+1))*$C89</f>
        <v>-453.93988019415713</v>
      </c>
      <c r="AZ89" s="1021">
        <f>(VLOOKUP(YEAR($A89),'NY East Load Projections'!$A$4:$EO$14,((MONTH($A89)-1)*12)+VLOOKUP(AZ$4,$DE$6:$DF$17,2)+1))*$C89</f>
        <v>-453.93988019415713</v>
      </c>
      <c r="BA89" s="1021">
        <f>(VLOOKUP(YEAR($A89),'NY East Load Projections'!$A$4:$EO$14,((MONTH($A89)-1)*12)+VLOOKUP(BA$4,$DE$6:$DF$17,2)+1))*$C89</f>
        <v>-438.49235617465013</v>
      </c>
      <c r="BB89" s="1021">
        <f>(VLOOKUP(YEAR($A89),'NY East Load Projections'!$A$4:$EO$14,((MONTH($A89)-1)*12)+VLOOKUP(BB$4,$DE$6:$DF$17,2)+1))*$C89</f>
        <v>-438.49235617465013</v>
      </c>
      <c r="BC89" s="1021">
        <f>(VLOOKUP(YEAR($A89),'NY East Load Projections'!$A$4:$EO$14,((MONTH($A89)-1)*12)+VLOOKUP(BC$4,$DE$6:$DF$17,2)+1))*$C89</f>
        <v>-438.49235617465013</v>
      </c>
      <c r="BD89" s="1021">
        <f>(VLOOKUP(YEAR($A89),'NY East Load Projections'!$A$4:$EO$14,((MONTH($A89)-1)*12)+VLOOKUP(BD$4,$DE$6:$DF$17,2)+1))*$C89</f>
        <v>-438.49235617465013</v>
      </c>
      <c r="BE89" s="1021"/>
      <c r="BF89" s="1021">
        <f>(VLOOKUP(YEAR($A89),'NY East Load Projections'!$A$4:$EO$14,((MONTH($A89)-1)*12)+VLOOKUP(BF$4,$DE$6:$DF$17,2)+1))*$D89</f>
        <v>-429.6395643538421</v>
      </c>
      <c r="BG89" s="1021">
        <f>(VLOOKUP(YEAR($A89),'NY East Load Projections'!$A$4:$EO$14,((MONTH($A89)-1)*12)+VLOOKUP(BG$4,$DE$6:$DF$17,2)+1))*$D89</f>
        <v>-429.6395643538421</v>
      </c>
      <c r="BH89" s="1021">
        <f>(VLOOKUP(YEAR($A89),'NY East Load Projections'!$A$4:$EO$14,((MONTH($A89)-1)*12)+VLOOKUP(BH$4,$DE$6:$DF$17,2)+1))*$D89</f>
        <v>-429.6395643538421</v>
      </c>
      <c r="BI89" s="1021">
        <f>(VLOOKUP(YEAR($A89),'NY East Load Projections'!$A$4:$EO$14,((MONTH($A89)-1)*12)+VLOOKUP(BI$4,$DE$6:$DF$17,2)+1))*$D89</f>
        <v>-429.6395643538421</v>
      </c>
      <c r="BJ89" s="1021">
        <f>(VLOOKUP(YEAR($A89),'NY East Load Projections'!$A$4:$EO$14,((MONTH($A89)-1)*12)+VLOOKUP(BJ$4,$DE$6:$DF$17,2)+1))*$D89</f>
        <v>-439.33246566986281</v>
      </c>
      <c r="BK89" s="1021">
        <f>(VLOOKUP(YEAR($A89),'NY East Load Projections'!$A$4:$EO$14,((MONTH($A89)-1)*12)+VLOOKUP(BK$4,$DE$6:$DF$17,2)+1))*$D89</f>
        <v>-439.33246566986281</v>
      </c>
      <c r="BL89" s="1021">
        <f>(VLOOKUP(YEAR($A89),'NY East Load Projections'!$A$4:$EO$14,((MONTH($A89)-1)*12)+VLOOKUP(BL$4,$DE$6:$DF$17,2)+1))*$D89</f>
        <v>-439.33246566986281</v>
      </c>
      <c r="BM89" s="1021">
        <f>(VLOOKUP(YEAR($A89),'NY East Load Projections'!$A$4:$EO$14,((MONTH($A89)-1)*12)+VLOOKUP(BM$4,$DE$6:$DF$17,2)+1))*$D89</f>
        <v>-439.33246566986281</v>
      </c>
      <c r="BN89" s="1021">
        <f>(VLOOKUP(YEAR($A89),'NY East Load Projections'!$A$4:$EO$14,((MONTH($A89)-1)*12)+VLOOKUP(BN$4,$DE$6:$DF$17,2)+1))*$D89</f>
        <v>-465.75533894331897</v>
      </c>
      <c r="BO89" s="1021">
        <f>(VLOOKUP(YEAR($A89),'NY East Load Projections'!$A$4:$EO$14,((MONTH($A89)-1)*12)+VLOOKUP(BO$4,$DE$6:$DF$17,2)+1))*$D89</f>
        <v>-465.75533894331897</v>
      </c>
      <c r="BP89" s="1021">
        <f>(VLOOKUP(YEAR($A89),'NY East Load Projections'!$A$4:$EO$14,((MONTH($A89)-1)*12)+VLOOKUP(BP$4,$DE$6:$DF$17,2)+1))*$D89</f>
        <v>-465.75533894331897</v>
      </c>
      <c r="BQ89" s="1021">
        <f>(VLOOKUP(YEAR($A89),'NY East Load Projections'!$A$4:$EO$14,((MONTH($A89)-1)*12)+VLOOKUP(BQ$4,$DE$6:$DF$17,2)+1))*$D89</f>
        <v>-465.75533894331897</v>
      </c>
      <c r="BR89" s="1021">
        <f>(VLOOKUP(YEAR($A89),'NY East Load Projections'!$A$4:$EO$14,((MONTH($A89)-1)*12)+VLOOKUP(BR$4,$DE$6:$DF$17,2)+1))*$D89</f>
        <v>-470.95183114794344</v>
      </c>
      <c r="BS89" s="1021">
        <f>(VLOOKUP(YEAR($A89),'NY East Load Projections'!$A$4:$EO$14,((MONTH($A89)-1)*12)+VLOOKUP(BS$4,$DE$6:$DF$17,2)+1))*$D89</f>
        <v>-470.95183114794344</v>
      </c>
      <c r="BT89" s="1021">
        <f>(VLOOKUP(YEAR($A89),'NY East Load Projections'!$A$4:$EO$14,((MONTH($A89)-1)*12)+VLOOKUP(BT$4,$DE$6:$DF$17,2)+1))*$D89</f>
        <v>-470.95183114794344</v>
      </c>
      <c r="BU89" s="1021">
        <f>(VLOOKUP(YEAR($A89),'NY East Load Projections'!$A$4:$EO$14,((MONTH($A89)-1)*12)+VLOOKUP(BU$4,$DE$6:$DF$17,2)+1))*$D89</f>
        <v>-470.95183114794344</v>
      </c>
      <c r="BV89" s="1021">
        <f>(VLOOKUP(YEAR($A89),'NY East Load Projections'!$A$4:$EO$14,((MONTH($A89)-1)*12)+VLOOKUP(BV$4,$DE$6:$DF$17,2)+1))*$D89</f>
        <v>-453.93988019415713</v>
      </c>
      <c r="BW89" s="1021">
        <f>(VLOOKUP(YEAR($A89),'NY East Load Projections'!$A$4:$EO$14,((MONTH($A89)-1)*12)+VLOOKUP(BW$4,$DE$6:$DF$17,2)+1))*$D89</f>
        <v>-453.93988019415713</v>
      </c>
      <c r="BX89" s="1021">
        <f>(VLOOKUP(YEAR($A89),'NY East Load Projections'!$A$4:$EO$14,((MONTH($A89)-1)*12)+VLOOKUP(BX$4,$DE$6:$DF$17,2)+1))*$D89</f>
        <v>-453.93988019415713</v>
      </c>
      <c r="BY89" s="1021">
        <f>(VLOOKUP(YEAR($A89),'NY East Load Projections'!$A$4:$EO$14,((MONTH($A89)-1)*12)+VLOOKUP(BY$4,$DE$6:$DF$17,2)+1))*$D89</f>
        <v>-453.93988019415713</v>
      </c>
      <c r="BZ89" s="1021">
        <f>(VLOOKUP(YEAR($A89),'NY East Load Projections'!$A$4:$EO$14,((MONTH($A89)-1)*12)+VLOOKUP(BZ$4,$DE$6:$DF$17,2)+1))*$D89</f>
        <v>-438.49235617465013</v>
      </c>
      <c r="CA89" s="1021">
        <f>(VLOOKUP(YEAR($A89),'NY East Load Projections'!$A$4:$EO$14,((MONTH($A89)-1)*12)+VLOOKUP(CA$4,$DE$6:$DF$17,2)+1))*$D89</f>
        <v>-438.49235617465013</v>
      </c>
      <c r="CB89" s="1021">
        <f>(VLOOKUP(YEAR($A89),'NY East Load Projections'!$A$4:$EO$14,((MONTH($A89)-1)*12)+VLOOKUP(CB$4,$DE$6:$DF$17,2)+1))*$D89</f>
        <v>-438.49235617465013</v>
      </c>
      <c r="CC89" s="1021">
        <f>(VLOOKUP(YEAR($A89),'NY East Load Projections'!$A$4:$EO$14,((MONTH($A89)-1)*12)+VLOOKUP(CC$4,$DE$6:$DF$17,2)+1))*$D89</f>
        <v>-438.49235617465013</v>
      </c>
      <c r="CE89" s="1021">
        <f>(VLOOKUP(YEAR($A89),'NY East Load Projections'!$A$4:$EO$14,((MONTH($A89)-1)*12)+VLOOKUP(CE$4,$DE$6:$DF$17,2)+1))*$E89</f>
        <v>-85.927912870768424</v>
      </c>
      <c r="CF89" s="1021">
        <f>(VLOOKUP(YEAR($A89),'NY East Load Projections'!$A$4:$EO$14,((MONTH($A89)-1)*12)+VLOOKUP(CF$4,$DE$6:$DF$17,2)+1))*$E89</f>
        <v>-85.927912870768424</v>
      </c>
      <c r="CG89" s="1021">
        <f>(VLOOKUP(YEAR($A89),'NY East Load Projections'!$A$4:$EO$14,((MONTH($A89)-1)*12)+VLOOKUP(CG$4,$DE$6:$DF$17,2)+1))*$E89</f>
        <v>-85.927912870768424</v>
      </c>
      <c r="CH89" s="1021">
        <f>(VLOOKUP(YEAR($A89),'NY East Load Projections'!$A$4:$EO$14,((MONTH($A89)-1)*12)+VLOOKUP(CH$4,$DE$6:$DF$17,2)+1))*$E89</f>
        <v>-85.927912870768424</v>
      </c>
      <c r="CI89" s="1021">
        <f>(VLOOKUP(YEAR($A89),'NY East Load Projections'!$A$4:$EO$14,((MONTH($A89)-1)*12)+VLOOKUP(CI$4,$DE$6:$DF$17,2)+1))*$E89</f>
        <v>-87.866493133972568</v>
      </c>
      <c r="CJ89" s="1021">
        <f>(VLOOKUP(YEAR($A89),'NY East Load Projections'!$A$4:$EO$14,((MONTH($A89)-1)*12)+VLOOKUP(CJ$4,$DE$6:$DF$17,2)+1))*$E89</f>
        <v>-87.866493133972568</v>
      </c>
      <c r="CK89" s="1021">
        <f>(VLOOKUP(YEAR($A89),'NY East Load Projections'!$A$4:$EO$14,((MONTH($A89)-1)*12)+VLOOKUP(CK$4,$DE$6:$DF$17,2)+1))*$E89</f>
        <v>-87.866493133972568</v>
      </c>
      <c r="CL89" s="1021">
        <f>(VLOOKUP(YEAR($A89),'NY East Load Projections'!$A$4:$EO$14,((MONTH($A89)-1)*12)+VLOOKUP(CL$4,$DE$6:$DF$17,2)+1))*$E89</f>
        <v>-87.866493133972568</v>
      </c>
      <c r="CM89" s="1021">
        <f>(VLOOKUP(YEAR($A89),'NY East Load Projections'!$A$4:$EO$14,((MONTH($A89)-1)*12)+VLOOKUP(CM$4,$DE$6:$DF$17,2)+1))*$E89</f>
        <v>-93.151067788663795</v>
      </c>
      <c r="CN89" s="1021">
        <f>(VLOOKUP(YEAR($A89),'NY East Load Projections'!$A$4:$EO$14,((MONTH($A89)-1)*12)+VLOOKUP(CN$4,$DE$6:$DF$17,2)+1))*$E89</f>
        <v>-93.151067788663795</v>
      </c>
      <c r="CO89" s="1021">
        <f>(VLOOKUP(YEAR($A89),'NY East Load Projections'!$A$4:$EO$14,((MONTH($A89)-1)*12)+VLOOKUP(CO$4,$DE$6:$DF$17,2)+1))*$E89</f>
        <v>-93.151067788663795</v>
      </c>
      <c r="CP89" s="1021">
        <f>(VLOOKUP(YEAR($A89),'NY East Load Projections'!$A$4:$EO$14,((MONTH($A89)-1)*12)+VLOOKUP(CP$4,$DE$6:$DF$17,2)+1))*$E89</f>
        <v>-93.151067788663795</v>
      </c>
      <c r="CQ89" s="1021">
        <f>(VLOOKUP(YEAR($A89),'NY East Load Projections'!$A$4:$EO$14,((MONTH($A89)-1)*12)+VLOOKUP(CQ$4,$DE$6:$DF$17,2)+1))*$E89</f>
        <v>-94.19036622958869</v>
      </c>
      <c r="CR89" s="1021">
        <f>(VLOOKUP(YEAR($A89),'NY East Load Projections'!$A$4:$EO$14,((MONTH($A89)-1)*12)+VLOOKUP(CR$4,$DE$6:$DF$17,2)+1))*$E89</f>
        <v>-94.19036622958869</v>
      </c>
      <c r="CS89" s="1021">
        <f>(VLOOKUP(YEAR($A89),'NY East Load Projections'!$A$4:$EO$14,((MONTH($A89)-1)*12)+VLOOKUP(CS$4,$DE$6:$DF$17,2)+1))*$E89</f>
        <v>-94.19036622958869</v>
      </c>
      <c r="CT89" s="1021">
        <f>(VLOOKUP(YEAR($A89),'NY East Load Projections'!$A$4:$EO$14,((MONTH($A89)-1)*12)+VLOOKUP(CT$4,$DE$6:$DF$17,2)+1))*$E89</f>
        <v>-94.19036622958869</v>
      </c>
      <c r="CU89" s="1021">
        <f>(VLOOKUP(YEAR($A89),'NY East Load Projections'!$A$4:$EO$14,((MONTH($A89)-1)*12)+VLOOKUP(CU$4,$DE$6:$DF$17,2)+1))*$E89</f>
        <v>-90.787976038831431</v>
      </c>
      <c r="CV89" s="1021">
        <f>(VLOOKUP(YEAR($A89),'NY East Load Projections'!$A$4:$EO$14,((MONTH($A89)-1)*12)+VLOOKUP(CV$4,$DE$6:$DF$17,2)+1))*$E89</f>
        <v>-90.787976038831431</v>
      </c>
      <c r="CW89" s="1021">
        <f>(VLOOKUP(YEAR($A89),'NY East Load Projections'!$A$4:$EO$14,((MONTH($A89)-1)*12)+VLOOKUP(CW$4,$DE$6:$DF$17,2)+1))*$E89</f>
        <v>-90.787976038831431</v>
      </c>
      <c r="CX89" s="1021">
        <f>(VLOOKUP(YEAR($A89),'NY East Load Projections'!$A$4:$EO$14,((MONTH($A89)-1)*12)+VLOOKUP(CX$4,$DE$6:$DF$17,2)+1))*$E89</f>
        <v>-90.787976038831431</v>
      </c>
      <c r="CY89" s="1021">
        <f>(VLOOKUP(YEAR($A89),'NY East Load Projections'!$A$4:$EO$14,((MONTH($A89)-1)*12)+VLOOKUP(CY$4,$DE$6:$DF$17,2)+1))*$E89</f>
        <v>-87.698471234930025</v>
      </c>
      <c r="CZ89" s="1021">
        <f>(VLOOKUP(YEAR($A89),'NY East Load Projections'!$A$4:$EO$14,((MONTH($A89)-1)*12)+VLOOKUP(CZ$4,$DE$6:$DF$17,2)+1))*$E89</f>
        <v>-87.698471234930025</v>
      </c>
      <c r="DA89" s="1021">
        <f>(VLOOKUP(YEAR($A89),'NY East Load Projections'!$A$4:$EO$14,((MONTH($A89)-1)*12)+VLOOKUP(DA$4,$DE$6:$DF$17,2)+1))*$E89</f>
        <v>-87.698471234930025</v>
      </c>
      <c r="DB89" s="1021">
        <f>(VLOOKUP(YEAR($A89),'NY East Load Projections'!$A$4:$EO$14,((MONTH($A89)-1)*12)+VLOOKUP(DB$4,$DE$6:$DF$17,2)+1))*$E89</f>
        <v>-87.698471234930025</v>
      </c>
      <c r="DH89" s="1009">
        <f t="shared" si="3"/>
        <v>-68095.384731489554</v>
      </c>
      <c r="DI89">
        <f ca="1">CALC!J109</f>
        <v>0.56471969020165991</v>
      </c>
      <c r="DJ89" s="1032">
        <f t="shared" ca="1" si="4"/>
        <v>-38454.804569729626</v>
      </c>
    </row>
    <row r="90" spans="1:114" x14ac:dyDescent="0.25">
      <c r="A90" s="244">
        <v>39448</v>
      </c>
      <c r="B90" s="13">
        <v>22</v>
      </c>
      <c r="C90" s="210">
        <v>4</v>
      </c>
      <c r="D90" s="210">
        <v>4</v>
      </c>
      <c r="E90" s="210">
        <v>1</v>
      </c>
      <c r="F90" s="13">
        <v>31</v>
      </c>
      <c r="H90" s="1021">
        <f>(VLOOKUP(YEAR($A90),'NY East Load Projections'!$A$4:$EO$14,((MONTH($A90)-1)*12)+VLOOKUP(H$4,$DE$6:$DF$17,2)+1))*$B90</f>
        <v>-1759.9909670983311</v>
      </c>
      <c r="I90" s="1021">
        <f>(VLOOKUP(YEAR($A90),'NY East Load Projections'!$A$4:$EO$14,((MONTH($A90)-1)*12)+VLOOKUP(I$4,$DE$6:$DF$17,2)+1))*$B90</f>
        <v>-1759.9909670983311</v>
      </c>
      <c r="J90" s="1021">
        <f>(VLOOKUP(YEAR($A90),'NY East Load Projections'!$A$4:$EO$14,((MONTH($A90)-1)*12)+VLOOKUP(J$4,$DE$6:$DF$17,2)+1))*$B90</f>
        <v>-1759.9909670983311</v>
      </c>
      <c r="K90" s="1021">
        <f>(VLOOKUP(YEAR($A90),'NY East Load Projections'!$A$4:$EO$14,((MONTH($A90)-1)*12)+VLOOKUP(K$4,$DE$6:$DF$17,2)+1))*$B90</f>
        <v>-1759.9909670983311</v>
      </c>
      <c r="L90" s="1021">
        <f>(VLOOKUP(YEAR($A90),'NY East Load Projections'!$A$4:$EO$14,((MONTH($A90)-1)*12)+VLOOKUP(L$4,$DE$6:$DF$17,2)+1))*$B90</f>
        <v>-1946.7697630356192</v>
      </c>
      <c r="M90" s="1021">
        <f>(VLOOKUP(YEAR($A90),'NY East Load Projections'!$A$4:$EO$14,((MONTH($A90)-1)*12)+VLOOKUP(M$4,$DE$6:$DF$17,2)+1))*$B90</f>
        <v>-1946.7697630356192</v>
      </c>
      <c r="N90" s="1021">
        <f>(VLOOKUP(YEAR($A90),'NY East Load Projections'!$A$4:$EO$14,((MONTH($A90)-1)*12)+VLOOKUP(N$4,$DE$6:$DF$17,2)+1))*$B90</f>
        <v>-1946.7697630356192</v>
      </c>
      <c r="O90" s="1021">
        <f>(VLOOKUP(YEAR($A90),'NY East Load Projections'!$A$4:$EO$14,((MONTH($A90)-1)*12)+VLOOKUP(O$4,$DE$6:$DF$17,2)+1))*$B90</f>
        <v>-1946.7697630356192</v>
      </c>
      <c r="P90" s="1021">
        <f>(VLOOKUP(YEAR($A90),'NY East Load Projections'!$A$4:$EO$14,((MONTH($A90)-1)*12)+VLOOKUP(P$4,$DE$6:$DF$17,2)+1))*$B90</f>
        <v>-2068.2680872461933</v>
      </c>
      <c r="Q90" s="1021">
        <f>(VLOOKUP(YEAR($A90),'NY East Load Projections'!$A$4:$EO$14,((MONTH($A90)-1)*12)+VLOOKUP(Q$4,$DE$6:$DF$17,2)+1))*$B90</f>
        <v>-2068.2680872461933</v>
      </c>
      <c r="R90" s="1021">
        <f>(VLOOKUP(YEAR($A90),'NY East Load Projections'!$A$4:$EO$14,((MONTH($A90)-1)*12)+VLOOKUP(R$4,$DE$6:$DF$17,2)+1))*$B90</f>
        <v>-2068.2680872461933</v>
      </c>
      <c r="S90" s="1021">
        <f>(VLOOKUP(YEAR($A90),'NY East Load Projections'!$A$4:$EO$14,((MONTH($A90)-1)*12)+VLOOKUP(S$4,$DE$6:$DF$17,2)+1))*$B90</f>
        <v>-2068.2680872461933</v>
      </c>
      <c r="T90" s="1021">
        <f>(VLOOKUP(YEAR($A90),'NY East Load Projections'!$A$4:$EO$14,((MONTH($A90)-1)*12)+VLOOKUP(T$4,$DE$6:$DF$17,2)+1))*$B90</f>
        <v>-2093.642118479117</v>
      </c>
      <c r="U90" s="1021">
        <f>(VLOOKUP(YEAR($A90),'NY East Load Projections'!$A$4:$EO$14,((MONTH($A90)-1)*12)+VLOOKUP(U$4,$DE$6:$DF$17,2)+1))*$B90</f>
        <v>-2093.642118479117</v>
      </c>
      <c r="V90" s="1021">
        <f>(VLOOKUP(YEAR($A90),'NY East Load Projections'!$A$4:$EO$14,((MONTH($A90)-1)*12)+VLOOKUP(V$4,$DE$6:$DF$17,2)+1))*$B90</f>
        <v>-2093.642118479117</v>
      </c>
      <c r="W90" s="1021">
        <f>(VLOOKUP(YEAR($A90),'NY East Load Projections'!$A$4:$EO$14,((MONTH($A90)-1)*12)+VLOOKUP(W$4,$DE$6:$DF$17,2)+1))*$B90</f>
        <v>-2093.642118479117</v>
      </c>
      <c r="X90" s="1021">
        <f>(VLOOKUP(YEAR($A90),'NY East Load Projections'!$A$4:$EO$14,((MONTH($A90)-1)*12)+VLOOKUP(X$4,$DE$6:$DF$17,2)+1))*$B90</f>
        <v>-2004.2957944292525</v>
      </c>
      <c r="Y90" s="1021">
        <f>(VLOOKUP(YEAR($A90),'NY East Load Projections'!$A$4:$EO$14,((MONTH($A90)-1)*12)+VLOOKUP(Y$4,$DE$6:$DF$17,2)+1))*$B90</f>
        <v>-2004.2957944292525</v>
      </c>
      <c r="Z90" s="1021">
        <f>(VLOOKUP(YEAR($A90),'NY East Load Projections'!$A$4:$EO$14,((MONTH($A90)-1)*12)+VLOOKUP(Z$4,$DE$6:$DF$17,2)+1))*$B90</f>
        <v>-2004.2957944292525</v>
      </c>
      <c r="AA90" s="1021">
        <f>(VLOOKUP(YEAR($A90),'NY East Load Projections'!$A$4:$EO$14,((MONTH($A90)-1)*12)+VLOOKUP(AA$4,$DE$6:$DF$17,2)+1))*$B90</f>
        <v>-2004.2957944292525</v>
      </c>
      <c r="AB90" s="1021">
        <f>(VLOOKUP(YEAR($A90),'NY East Load Projections'!$A$4:$EO$14,((MONTH($A90)-1)*12)+VLOOKUP(AB$4,$DE$6:$DF$17,2)+1))*$B90</f>
        <v>-1836.2697247772071</v>
      </c>
      <c r="AC90" s="1021">
        <f>(VLOOKUP(YEAR($A90),'NY East Load Projections'!$A$4:$EO$14,((MONTH($A90)-1)*12)+VLOOKUP(AC$4,$DE$6:$DF$17,2)+1))*$B90</f>
        <v>-1836.2697247772071</v>
      </c>
      <c r="AD90" s="1021">
        <f>(VLOOKUP(YEAR($A90),'NY East Load Projections'!$A$4:$EO$14,((MONTH($A90)-1)*12)+VLOOKUP(AD$4,$DE$6:$DF$17,2)+1))*$B90</f>
        <v>-1836.2697247772071</v>
      </c>
      <c r="AE90" s="1021">
        <f>(VLOOKUP(YEAR($A90),'NY East Load Projections'!$A$4:$EO$14,((MONTH($A90)-1)*12)+VLOOKUP(AE$4,$DE$6:$DF$17,2)+1))*$B90</f>
        <v>-1836.2697247772071</v>
      </c>
      <c r="AF90" s="1021"/>
      <c r="AG90" s="1021">
        <f>(VLOOKUP(YEAR($A90),'NY East Load Projections'!$A$4:$EO$14,((MONTH($A90)-1)*12)+VLOOKUP(AG$4,$DE$6:$DF$17,2)+1))*$C90</f>
        <v>-340.50457676786215</v>
      </c>
      <c r="AH90" s="1021">
        <f>(VLOOKUP(YEAR($A90),'NY East Load Projections'!$A$4:$EO$14,((MONTH($A90)-1)*12)+VLOOKUP(AH$4,$DE$6:$DF$17,2)+1))*$C90</f>
        <v>-340.50457676786215</v>
      </c>
      <c r="AI90" s="1021">
        <f>(VLOOKUP(YEAR($A90),'NY East Load Projections'!$A$4:$EO$14,((MONTH($A90)-1)*12)+VLOOKUP(AI$4,$DE$6:$DF$17,2)+1))*$C90</f>
        <v>-340.50457676786215</v>
      </c>
      <c r="AJ90" s="1021">
        <f>(VLOOKUP(YEAR($A90),'NY East Load Projections'!$A$4:$EO$14,((MONTH($A90)-1)*12)+VLOOKUP(AJ$4,$DE$6:$DF$17,2)+1))*$C90</f>
        <v>-340.50457676786215</v>
      </c>
      <c r="AK90" s="1021">
        <f>(VLOOKUP(YEAR($A90),'NY East Load Projections'!$A$4:$EO$14,((MONTH($A90)-1)*12)+VLOOKUP(AK$4,$DE$6:$DF$17,2)+1))*$C90</f>
        <v>-349.77008256381305</v>
      </c>
      <c r="AL90" s="1021">
        <f>(VLOOKUP(YEAR($A90),'NY East Load Projections'!$A$4:$EO$14,((MONTH($A90)-1)*12)+VLOOKUP(AL$4,$DE$6:$DF$17,2)+1))*$C90</f>
        <v>-349.77008256381305</v>
      </c>
      <c r="AM90" s="1021">
        <f>(VLOOKUP(YEAR($A90),'NY East Load Projections'!$A$4:$EO$14,((MONTH($A90)-1)*12)+VLOOKUP(AM$4,$DE$6:$DF$17,2)+1))*$C90</f>
        <v>-349.77008256381305</v>
      </c>
      <c r="AN90" s="1021">
        <f>(VLOOKUP(YEAR($A90),'NY East Load Projections'!$A$4:$EO$14,((MONTH($A90)-1)*12)+VLOOKUP(AN$4,$DE$6:$DF$17,2)+1))*$C90</f>
        <v>-349.77008256381305</v>
      </c>
      <c r="AO90" s="1021">
        <f>(VLOOKUP(YEAR($A90),'NY East Load Projections'!$A$4:$EO$14,((MONTH($A90)-1)*12)+VLOOKUP(AO$4,$DE$6:$DF$17,2)+1))*$C90</f>
        <v>-377.60902540512791</v>
      </c>
      <c r="AP90" s="1021">
        <f>(VLOOKUP(YEAR($A90),'NY East Load Projections'!$A$4:$EO$14,((MONTH($A90)-1)*12)+VLOOKUP(AP$4,$DE$6:$DF$17,2)+1))*$C90</f>
        <v>-377.60902540512791</v>
      </c>
      <c r="AQ90" s="1021">
        <f>(VLOOKUP(YEAR($A90),'NY East Load Projections'!$A$4:$EO$14,((MONTH($A90)-1)*12)+VLOOKUP(AQ$4,$DE$6:$DF$17,2)+1))*$C90</f>
        <v>-377.60902540512791</v>
      </c>
      <c r="AR90" s="1021">
        <f>(VLOOKUP(YEAR($A90),'NY East Load Projections'!$A$4:$EO$14,((MONTH($A90)-1)*12)+VLOOKUP(AR$4,$DE$6:$DF$17,2)+1))*$C90</f>
        <v>-377.60902540512791</v>
      </c>
      <c r="AS90" s="1021">
        <f>(VLOOKUP(YEAR($A90),'NY East Load Projections'!$A$4:$EO$14,((MONTH($A90)-1)*12)+VLOOKUP(AS$4,$DE$6:$DF$17,2)+1))*$C90</f>
        <v>-378.65724103777393</v>
      </c>
      <c r="AT90" s="1021">
        <f>(VLOOKUP(YEAR($A90),'NY East Load Projections'!$A$4:$EO$14,((MONTH($A90)-1)*12)+VLOOKUP(AT$4,$DE$6:$DF$17,2)+1))*$C90</f>
        <v>-378.65724103777393</v>
      </c>
      <c r="AU90" s="1021">
        <f>(VLOOKUP(YEAR($A90),'NY East Load Projections'!$A$4:$EO$14,((MONTH($A90)-1)*12)+VLOOKUP(AU$4,$DE$6:$DF$17,2)+1))*$C90</f>
        <v>-378.65724103777393</v>
      </c>
      <c r="AV90" s="1021">
        <f>(VLOOKUP(YEAR($A90),'NY East Load Projections'!$A$4:$EO$14,((MONTH($A90)-1)*12)+VLOOKUP(AV$4,$DE$6:$DF$17,2)+1))*$C90</f>
        <v>-378.65724103777393</v>
      </c>
      <c r="AW90" s="1021">
        <f>(VLOOKUP(YEAR($A90),'NY East Load Projections'!$A$4:$EO$14,((MONTH($A90)-1)*12)+VLOOKUP(AW$4,$DE$6:$DF$17,2)+1))*$C90</f>
        <v>-357.99782507062378</v>
      </c>
      <c r="AX90" s="1021">
        <f>(VLOOKUP(YEAR($A90),'NY East Load Projections'!$A$4:$EO$14,((MONTH($A90)-1)*12)+VLOOKUP(AX$4,$DE$6:$DF$17,2)+1))*$C90</f>
        <v>-357.99782507062378</v>
      </c>
      <c r="AY90" s="1021">
        <f>(VLOOKUP(YEAR($A90),'NY East Load Projections'!$A$4:$EO$14,((MONTH($A90)-1)*12)+VLOOKUP(AY$4,$DE$6:$DF$17,2)+1))*$C90</f>
        <v>-357.99782507062378</v>
      </c>
      <c r="AZ90" s="1021">
        <f>(VLOOKUP(YEAR($A90),'NY East Load Projections'!$A$4:$EO$14,((MONTH($A90)-1)*12)+VLOOKUP(AZ$4,$DE$6:$DF$17,2)+1))*$C90</f>
        <v>-357.99782507062378</v>
      </c>
      <c r="BA90" s="1021">
        <f>(VLOOKUP(YEAR($A90),'NY East Load Projections'!$A$4:$EO$14,((MONTH($A90)-1)*12)+VLOOKUP(BA$4,$DE$6:$DF$17,2)+1))*$C90</f>
        <v>-344.25566622205565</v>
      </c>
      <c r="BB90" s="1021">
        <f>(VLOOKUP(YEAR($A90),'NY East Load Projections'!$A$4:$EO$14,((MONTH($A90)-1)*12)+VLOOKUP(BB$4,$DE$6:$DF$17,2)+1))*$C90</f>
        <v>-344.25566622205565</v>
      </c>
      <c r="BC90" s="1021">
        <f>(VLOOKUP(YEAR($A90),'NY East Load Projections'!$A$4:$EO$14,((MONTH($A90)-1)*12)+VLOOKUP(BC$4,$DE$6:$DF$17,2)+1))*$C90</f>
        <v>-344.25566622205565</v>
      </c>
      <c r="BD90" s="1021">
        <f>(VLOOKUP(YEAR($A90),'NY East Load Projections'!$A$4:$EO$14,((MONTH($A90)-1)*12)+VLOOKUP(BD$4,$DE$6:$DF$17,2)+1))*$C90</f>
        <v>-344.25566622205565</v>
      </c>
      <c r="BE90" s="1021"/>
      <c r="BF90" s="1021">
        <f>(VLOOKUP(YEAR($A90),'NY East Load Projections'!$A$4:$EO$14,((MONTH($A90)-1)*12)+VLOOKUP(BF$4,$DE$6:$DF$17,2)+1))*$D90</f>
        <v>-340.50457676786215</v>
      </c>
      <c r="BG90" s="1021">
        <f>(VLOOKUP(YEAR($A90),'NY East Load Projections'!$A$4:$EO$14,((MONTH($A90)-1)*12)+VLOOKUP(BG$4,$DE$6:$DF$17,2)+1))*$D90</f>
        <v>-340.50457676786215</v>
      </c>
      <c r="BH90" s="1021">
        <f>(VLOOKUP(YEAR($A90),'NY East Load Projections'!$A$4:$EO$14,((MONTH($A90)-1)*12)+VLOOKUP(BH$4,$DE$6:$DF$17,2)+1))*$D90</f>
        <v>-340.50457676786215</v>
      </c>
      <c r="BI90" s="1021">
        <f>(VLOOKUP(YEAR($A90),'NY East Load Projections'!$A$4:$EO$14,((MONTH($A90)-1)*12)+VLOOKUP(BI$4,$DE$6:$DF$17,2)+1))*$D90</f>
        <v>-340.50457676786215</v>
      </c>
      <c r="BJ90" s="1021">
        <f>(VLOOKUP(YEAR($A90),'NY East Load Projections'!$A$4:$EO$14,((MONTH($A90)-1)*12)+VLOOKUP(BJ$4,$DE$6:$DF$17,2)+1))*$D90</f>
        <v>-349.77008256381305</v>
      </c>
      <c r="BK90" s="1021">
        <f>(VLOOKUP(YEAR($A90),'NY East Load Projections'!$A$4:$EO$14,((MONTH($A90)-1)*12)+VLOOKUP(BK$4,$DE$6:$DF$17,2)+1))*$D90</f>
        <v>-349.77008256381305</v>
      </c>
      <c r="BL90" s="1021">
        <f>(VLOOKUP(YEAR($A90),'NY East Load Projections'!$A$4:$EO$14,((MONTH($A90)-1)*12)+VLOOKUP(BL$4,$DE$6:$DF$17,2)+1))*$D90</f>
        <v>-349.77008256381305</v>
      </c>
      <c r="BM90" s="1021">
        <f>(VLOOKUP(YEAR($A90),'NY East Load Projections'!$A$4:$EO$14,((MONTH($A90)-1)*12)+VLOOKUP(BM$4,$DE$6:$DF$17,2)+1))*$D90</f>
        <v>-349.77008256381305</v>
      </c>
      <c r="BN90" s="1021">
        <f>(VLOOKUP(YEAR($A90),'NY East Load Projections'!$A$4:$EO$14,((MONTH($A90)-1)*12)+VLOOKUP(BN$4,$DE$6:$DF$17,2)+1))*$D90</f>
        <v>-377.60902540512791</v>
      </c>
      <c r="BO90" s="1021">
        <f>(VLOOKUP(YEAR($A90),'NY East Load Projections'!$A$4:$EO$14,((MONTH($A90)-1)*12)+VLOOKUP(BO$4,$DE$6:$DF$17,2)+1))*$D90</f>
        <v>-377.60902540512791</v>
      </c>
      <c r="BP90" s="1021">
        <f>(VLOOKUP(YEAR($A90),'NY East Load Projections'!$A$4:$EO$14,((MONTH($A90)-1)*12)+VLOOKUP(BP$4,$DE$6:$DF$17,2)+1))*$D90</f>
        <v>-377.60902540512791</v>
      </c>
      <c r="BQ90" s="1021">
        <f>(VLOOKUP(YEAR($A90),'NY East Load Projections'!$A$4:$EO$14,((MONTH($A90)-1)*12)+VLOOKUP(BQ$4,$DE$6:$DF$17,2)+1))*$D90</f>
        <v>-377.60902540512791</v>
      </c>
      <c r="BR90" s="1021">
        <f>(VLOOKUP(YEAR($A90),'NY East Load Projections'!$A$4:$EO$14,((MONTH($A90)-1)*12)+VLOOKUP(BR$4,$DE$6:$DF$17,2)+1))*$D90</f>
        <v>-378.65724103777393</v>
      </c>
      <c r="BS90" s="1021">
        <f>(VLOOKUP(YEAR($A90),'NY East Load Projections'!$A$4:$EO$14,((MONTH($A90)-1)*12)+VLOOKUP(BS$4,$DE$6:$DF$17,2)+1))*$D90</f>
        <v>-378.65724103777393</v>
      </c>
      <c r="BT90" s="1021">
        <f>(VLOOKUP(YEAR($A90),'NY East Load Projections'!$A$4:$EO$14,((MONTH($A90)-1)*12)+VLOOKUP(BT$4,$DE$6:$DF$17,2)+1))*$D90</f>
        <v>-378.65724103777393</v>
      </c>
      <c r="BU90" s="1021">
        <f>(VLOOKUP(YEAR($A90),'NY East Load Projections'!$A$4:$EO$14,((MONTH($A90)-1)*12)+VLOOKUP(BU$4,$DE$6:$DF$17,2)+1))*$D90</f>
        <v>-378.65724103777393</v>
      </c>
      <c r="BV90" s="1021">
        <f>(VLOOKUP(YEAR($A90),'NY East Load Projections'!$A$4:$EO$14,((MONTH($A90)-1)*12)+VLOOKUP(BV$4,$DE$6:$DF$17,2)+1))*$D90</f>
        <v>-357.99782507062378</v>
      </c>
      <c r="BW90" s="1021">
        <f>(VLOOKUP(YEAR($A90),'NY East Load Projections'!$A$4:$EO$14,((MONTH($A90)-1)*12)+VLOOKUP(BW$4,$DE$6:$DF$17,2)+1))*$D90</f>
        <v>-357.99782507062378</v>
      </c>
      <c r="BX90" s="1021">
        <f>(VLOOKUP(YEAR($A90),'NY East Load Projections'!$A$4:$EO$14,((MONTH($A90)-1)*12)+VLOOKUP(BX$4,$DE$6:$DF$17,2)+1))*$D90</f>
        <v>-357.99782507062378</v>
      </c>
      <c r="BY90" s="1021">
        <f>(VLOOKUP(YEAR($A90),'NY East Load Projections'!$A$4:$EO$14,((MONTH($A90)-1)*12)+VLOOKUP(BY$4,$DE$6:$DF$17,2)+1))*$D90</f>
        <v>-357.99782507062378</v>
      </c>
      <c r="BZ90" s="1021">
        <f>(VLOOKUP(YEAR($A90),'NY East Load Projections'!$A$4:$EO$14,((MONTH($A90)-1)*12)+VLOOKUP(BZ$4,$DE$6:$DF$17,2)+1))*$D90</f>
        <v>-344.25566622205565</v>
      </c>
      <c r="CA90" s="1021">
        <f>(VLOOKUP(YEAR($A90),'NY East Load Projections'!$A$4:$EO$14,((MONTH($A90)-1)*12)+VLOOKUP(CA$4,$DE$6:$DF$17,2)+1))*$D90</f>
        <v>-344.25566622205565</v>
      </c>
      <c r="CB90" s="1021">
        <f>(VLOOKUP(YEAR($A90),'NY East Load Projections'!$A$4:$EO$14,((MONTH($A90)-1)*12)+VLOOKUP(CB$4,$DE$6:$DF$17,2)+1))*$D90</f>
        <v>-344.25566622205565</v>
      </c>
      <c r="CC90" s="1021">
        <f>(VLOOKUP(YEAR($A90),'NY East Load Projections'!$A$4:$EO$14,((MONTH($A90)-1)*12)+VLOOKUP(CC$4,$DE$6:$DF$17,2)+1))*$D90</f>
        <v>-344.25566622205565</v>
      </c>
      <c r="CE90" s="1021">
        <f>(VLOOKUP(YEAR($A90),'NY East Load Projections'!$A$4:$EO$14,((MONTH($A90)-1)*12)+VLOOKUP(CE$4,$DE$6:$DF$17,2)+1))*$E90</f>
        <v>-85.126144191965537</v>
      </c>
      <c r="CF90" s="1021">
        <f>(VLOOKUP(YEAR($A90),'NY East Load Projections'!$A$4:$EO$14,((MONTH($A90)-1)*12)+VLOOKUP(CF$4,$DE$6:$DF$17,2)+1))*$E90</f>
        <v>-85.126144191965537</v>
      </c>
      <c r="CG90" s="1021">
        <f>(VLOOKUP(YEAR($A90),'NY East Load Projections'!$A$4:$EO$14,((MONTH($A90)-1)*12)+VLOOKUP(CG$4,$DE$6:$DF$17,2)+1))*$E90</f>
        <v>-85.126144191965537</v>
      </c>
      <c r="CH90" s="1021">
        <f>(VLOOKUP(YEAR($A90),'NY East Load Projections'!$A$4:$EO$14,((MONTH($A90)-1)*12)+VLOOKUP(CH$4,$DE$6:$DF$17,2)+1))*$E90</f>
        <v>-85.126144191965537</v>
      </c>
      <c r="CI90" s="1021">
        <f>(VLOOKUP(YEAR($A90),'NY East Load Projections'!$A$4:$EO$14,((MONTH($A90)-1)*12)+VLOOKUP(CI$4,$DE$6:$DF$17,2)+1))*$E90</f>
        <v>-87.442520640953262</v>
      </c>
      <c r="CJ90" s="1021">
        <f>(VLOOKUP(YEAR($A90),'NY East Load Projections'!$A$4:$EO$14,((MONTH($A90)-1)*12)+VLOOKUP(CJ$4,$DE$6:$DF$17,2)+1))*$E90</f>
        <v>-87.442520640953262</v>
      </c>
      <c r="CK90" s="1021">
        <f>(VLOOKUP(YEAR($A90),'NY East Load Projections'!$A$4:$EO$14,((MONTH($A90)-1)*12)+VLOOKUP(CK$4,$DE$6:$DF$17,2)+1))*$E90</f>
        <v>-87.442520640953262</v>
      </c>
      <c r="CL90" s="1021">
        <f>(VLOOKUP(YEAR($A90),'NY East Load Projections'!$A$4:$EO$14,((MONTH($A90)-1)*12)+VLOOKUP(CL$4,$DE$6:$DF$17,2)+1))*$E90</f>
        <v>-87.442520640953262</v>
      </c>
      <c r="CM90" s="1021">
        <f>(VLOOKUP(YEAR($A90),'NY East Load Projections'!$A$4:$EO$14,((MONTH($A90)-1)*12)+VLOOKUP(CM$4,$DE$6:$DF$17,2)+1))*$E90</f>
        <v>-94.402256351281977</v>
      </c>
      <c r="CN90" s="1021">
        <f>(VLOOKUP(YEAR($A90),'NY East Load Projections'!$A$4:$EO$14,((MONTH($A90)-1)*12)+VLOOKUP(CN$4,$DE$6:$DF$17,2)+1))*$E90</f>
        <v>-94.402256351281977</v>
      </c>
      <c r="CO90" s="1021">
        <f>(VLOOKUP(YEAR($A90),'NY East Load Projections'!$A$4:$EO$14,((MONTH($A90)-1)*12)+VLOOKUP(CO$4,$DE$6:$DF$17,2)+1))*$E90</f>
        <v>-94.402256351281977</v>
      </c>
      <c r="CP90" s="1021">
        <f>(VLOOKUP(YEAR($A90),'NY East Load Projections'!$A$4:$EO$14,((MONTH($A90)-1)*12)+VLOOKUP(CP$4,$DE$6:$DF$17,2)+1))*$E90</f>
        <v>-94.402256351281977</v>
      </c>
      <c r="CQ90" s="1021">
        <f>(VLOOKUP(YEAR($A90),'NY East Load Projections'!$A$4:$EO$14,((MONTH($A90)-1)*12)+VLOOKUP(CQ$4,$DE$6:$DF$17,2)+1))*$E90</f>
        <v>-94.664310259443482</v>
      </c>
      <c r="CR90" s="1021">
        <f>(VLOOKUP(YEAR($A90),'NY East Load Projections'!$A$4:$EO$14,((MONTH($A90)-1)*12)+VLOOKUP(CR$4,$DE$6:$DF$17,2)+1))*$E90</f>
        <v>-94.664310259443482</v>
      </c>
      <c r="CS90" s="1021">
        <f>(VLOOKUP(YEAR($A90),'NY East Load Projections'!$A$4:$EO$14,((MONTH($A90)-1)*12)+VLOOKUP(CS$4,$DE$6:$DF$17,2)+1))*$E90</f>
        <v>-94.664310259443482</v>
      </c>
      <c r="CT90" s="1021">
        <f>(VLOOKUP(YEAR($A90),'NY East Load Projections'!$A$4:$EO$14,((MONTH($A90)-1)*12)+VLOOKUP(CT$4,$DE$6:$DF$17,2)+1))*$E90</f>
        <v>-94.664310259443482</v>
      </c>
      <c r="CU90" s="1021">
        <f>(VLOOKUP(YEAR($A90),'NY East Load Projections'!$A$4:$EO$14,((MONTH($A90)-1)*12)+VLOOKUP(CU$4,$DE$6:$DF$17,2)+1))*$E90</f>
        <v>-89.499456267655944</v>
      </c>
      <c r="CV90" s="1021">
        <f>(VLOOKUP(YEAR($A90),'NY East Load Projections'!$A$4:$EO$14,((MONTH($A90)-1)*12)+VLOOKUP(CV$4,$DE$6:$DF$17,2)+1))*$E90</f>
        <v>-89.499456267655944</v>
      </c>
      <c r="CW90" s="1021">
        <f>(VLOOKUP(YEAR($A90),'NY East Load Projections'!$A$4:$EO$14,((MONTH($A90)-1)*12)+VLOOKUP(CW$4,$DE$6:$DF$17,2)+1))*$E90</f>
        <v>-89.499456267655944</v>
      </c>
      <c r="CX90" s="1021">
        <f>(VLOOKUP(YEAR($A90),'NY East Load Projections'!$A$4:$EO$14,((MONTH($A90)-1)*12)+VLOOKUP(CX$4,$DE$6:$DF$17,2)+1))*$E90</f>
        <v>-89.499456267655944</v>
      </c>
      <c r="CY90" s="1021">
        <f>(VLOOKUP(YEAR($A90),'NY East Load Projections'!$A$4:$EO$14,((MONTH($A90)-1)*12)+VLOOKUP(CY$4,$DE$6:$DF$17,2)+1))*$E90</f>
        <v>-86.063916555513913</v>
      </c>
      <c r="CZ90" s="1021">
        <f>(VLOOKUP(YEAR($A90),'NY East Load Projections'!$A$4:$EO$14,((MONTH($A90)-1)*12)+VLOOKUP(CZ$4,$DE$6:$DF$17,2)+1))*$E90</f>
        <v>-86.063916555513913</v>
      </c>
      <c r="DA90" s="1021">
        <f>(VLOOKUP(YEAR($A90),'NY East Load Projections'!$A$4:$EO$14,((MONTH($A90)-1)*12)+VLOOKUP(DA$4,$DE$6:$DF$17,2)+1))*$E90</f>
        <v>-86.063916555513913</v>
      </c>
      <c r="DB90" s="1021">
        <f>(VLOOKUP(YEAR($A90),'NY East Load Projections'!$A$4:$EO$14,((MONTH($A90)-1)*12)+VLOOKUP(DB$4,$DE$6:$DF$17,2)+1))*$E90</f>
        <v>-86.063916555513913</v>
      </c>
      <c r="DH90" s="1009">
        <f t="shared" si="3"/>
        <v>-66176.09557386821</v>
      </c>
      <c r="DI90">
        <f ca="1">CALC!J110</f>
        <v>0.56119095626846427</v>
      </c>
      <c r="DJ90" s="1032">
        <f t="shared" ca="1" si="4"/>
        <v>-37137.426357212389</v>
      </c>
    </row>
    <row r="91" spans="1:114" x14ac:dyDescent="0.25">
      <c r="A91" s="244">
        <v>39479</v>
      </c>
      <c r="B91" s="13">
        <v>21</v>
      </c>
      <c r="C91" s="210">
        <v>4</v>
      </c>
      <c r="D91" s="210">
        <v>4</v>
      </c>
      <c r="E91" s="210">
        <v>0</v>
      </c>
      <c r="F91" s="13">
        <v>29</v>
      </c>
      <c r="H91" s="1021">
        <f>(VLOOKUP(YEAR($A91),'NY East Load Projections'!$A$4:$EO$14,((MONTH($A91)-1)*12)+VLOOKUP(H$4,$DE$6:$DF$17,2)+1))*$B91</f>
        <v>-1652.9893677508985</v>
      </c>
      <c r="I91" s="1021">
        <f>(VLOOKUP(YEAR($A91),'NY East Load Projections'!$A$4:$EO$14,((MONTH($A91)-1)*12)+VLOOKUP(I$4,$DE$6:$DF$17,2)+1))*$B91</f>
        <v>-1652.9893677508985</v>
      </c>
      <c r="J91" s="1021">
        <f>(VLOOKUP(YEAR($A91),'NY East Load Projections'!$A$4:$EO$14,((MONTH($A91)-1)*12)+VLOOKUP(J$4,$DE$6:$DF$17,2)+1))*$B91</f>
        <v>-1652.9893677508985</v>
      </c>
      <c r="K91" s="1021">
        <f>(VLOOKUP(YEAR($A91),'NY East Load Projections'!$A$4:$EO$14,((MONTH($A91)-1)*12)+VLOOKUP(K$4,$DE$6:$DF$17,2)+1))*$B91</f>
        <v>-1652.9893677508985</v>
      </c>
      <c r="L91" s="1021">
        <f>(VLOOKUP(YEAR($A91),'NY East Load Projections'!$A$4:$EO$14,((MONTH($A91)-1)*12)+VLOOKUP(L$4,$DE$6:$DF$17,2)+1))*$B91</f>
        <v>-1820.2407608426452</v>
      </c>
      <c r="M91" s="1021">
        <f>(VLOOKUP(YEAR($A91),'NY East Load Projections'!$A$4:$EO$14,((MONTH($A91)-1)*12)+VLOOKUP(M$4,$DE$6:$DF$17,2)+1))*$B91</f>
        <v>-1820.2407608426452</v>
      </c>
      <c r="N91" s="1021">
        <f>(VLOOKUP(YEAR($A91),'NY East Load Projections'!$A$4:$EO$14,((MONTH($A91)-1)*12)+VLOOKUP(N$4,$DE$6:$DF$17,2)+1))*$B91</f>
        <v>-1820.2407608426452</v>
      </c>
      <c r="O91" s="1021">
        <f>(VLOOKUP(YEAR($A91),'NY East Load Projections'!$A$4:$EO$14,((MONTH($A91)-1)*12)+VLOOKUP(O$4,$DE$6:$DF$17,2)+1))*$B91</f>
        <v>-1820.2407608426452</v>
      </c>
      <c r="P91" s="1021">
        <f>(VLOOKUP(YEAR($A91),'NY East Load Projections'!$A$4:$EO$14,((MONTH($A91)-1)*12)+VLOOKUP(P$4,$DE$6:$DF$17,2)+1))*$B91</f>
        <v>-1931.0107173124909</v>
      </c>
      <c r="Q91" s="1021">
        <f>(VLOOKUP(YEAR($A91),'NY East Load Projections'!$A$4:$EO$14,((MONTH($A91)-1)*12)+VLOOKUP(Q$4,$DE$6:$DF$17,2)+1))*$B91</f>
        <v>-1931.0107173124909</v>
      </c>
      <c r="R91" s="1021">
        <f>(VLOOKUP(YEAR($A91),'NY East Load Projections'!$A$4:$EO$14,((MONTH($A91)-1)*12)+VLOOKUP(R$4,$DE$6:$DF$17,2)+1))*$B91</f>
        <v>-1931.0107173124909</v>
      </c>
      <c r="S91" s="1021">
        <f>(VLOOKUP(YEAR($A91),'NY East Load Projections'!$A$4:$EO$14,((MONTH($A91)-1)*12)+VLOOKUP(S$4,$DE$6:$DF$17,2)+1))*$B91</f>
        <v>-1931.0107173124909</v>
      </c>
      <c r="T91" s="1021">
        <f>(VLOOKUP(YEAR($A91),'NY East Load Projections'!$A$4:$EO$14,((MONTH($A91)-1)*12)+VLOOKUP(T$4,$DE$6:$DF$17,2)+1))*$B91</f>
        <v>-1949.8697490164377</v>
      </c>
      <c r="U91" s="1021">
        <f>(VLOOKUP(YEAR($A91),'NY East Load Projections'!$A$4:$EO$14,((MONTH($A91)-1)*12)+VLOOKUP(U$4,$DE$6:$DF$17,2)+1))*$B91</f>
        <v>-1949.8697490164377</v>
      </c>
      <c r="V91" s="1021">
        <f>(VLOOKUP(YEAR($A91),'NY East Load Projections'!$A$4:$EO$14,((MONTH($A91)-1)*12)+VLOOKUP(V$4,$DE$6:$DF$17,2)+1))*$B91</f>
        <v>-1949.8697490164377</v>
      </c>
      <c r="W91" s="1021">
        <f>(VLOOKUP(YEAR($A91),'NY East Load Projections'!$A$4:$EO$14,((MONTH($A91)-1)*12)+VLOOKUP(W$4,$DE$6:$DF$17,2)+1))*$B91</f>
        <v>-1949.8697490164377</v>
      </c>
      <c r="X91" s="1021">
        <f>(VLOOKUP(YEAR($A91),'NY East Load Projections'!$A$4:$EO$14,((MONTH($A91)-1)*12)+VLOOKUP(X$4,$DE$6:$DF$17,2)+1))*$B91</f>
        <v>-1867.1114510750519</v>
      </c>
      <c r="Y91" s="1021">
        <f>(VLOOKUP(YEAR($A91),'NY East Load Projections'!$A$4:$EO$14,((MONTH($A91)-1)*12)+VLOOKUP(Y$4,$DE$6:$DF$17,2)+1))*$B91</f>
        <v>-1867.1114510750519</v>
      </c>
      <c r="Z91" s="1021">
        <f>(VLOOKUP(YEAR($A91),'NY East Load Projections'!$A$4:$EO$14,((MONTH($A91)-1)*12)+VLOOKUP(Z$4,$DE$6:$DF$17,2)+1))*$B91</f>
        <v>-1867.1114510750519</v>
      </c>
      <c r="AA91" s="1021">
        <f>(VLOOKUP(YEAR($A91),'NY East Load Projections'!$A$4:$EO$14,((MONTH($A91)-1)*12)+VLOOKUP(AA$4,$DE$6:$DF$17,2)+1))*$B91</f>
        <v>-1867.1114510750519</v>
      </c>
      <c r="AB91" s="1021">
        <f>(VLOOKUP(YEAR($A91),'NY East Load Projections'!$A$4:$EO$14,((MONTH($A91)-1)*12)+VLOOKUP(AB$4,$DE$6:$DF$17,2)+1))*$B91</f>
        <v>-1709.5129687183924</v>
      </c>
      <c r="AC91" s="1021">
        <f>(VLOOKUP(YEAR($A91),'NY East Load Projections'!$A$4:$EO$14,((MONTH($A91)-1)*12)+VLOOKUP(AC$4,$DE$6:$DF$17,2)+1))*$B91</f>
        <v>-1709.5129687183924</v>
      </c>
      <c r="AD91" s="1021">
        <f>(VLOOKUP(YEAR($A91),'NY East Load Projections'!$A$4:$EO$14,((MONTH($A91)-1)*12)+VLOOKUP(AD$4,$DE$6:$DF$17,2)+1))*$B91</f>
        <v>-1709.5129687183924</v>
      </c>
      <c r="AE91" s="1021">
        <f>(VLOOKUP(YEAR($A91),'NY East Load Projections'!$A$4:$EO$14,((MONTH($A91)-1)*12)+VLOOKUP(AE$4,$DE$6:$DF$17,2)+1))*$B91</f>
        <v>-1709.5129687183924</v>
      </c>
      <c r="AF91" s="1021"/>
      <c r="AG91" s="1021">
        <f>(VLOOKUP(YEAR($A91),'NY East Load Projections'!$A$4:$EO$14,((MONTH($A91)-1)*12)+VLOOKUP(AG$4,$DE$6:$DF$17,2)+1))*$C91</f>
        <v>-336.79158898548559</v>
      </c>
      <c r="AH91" s="1021">
        <f>(VLOOKUP(YEAR($A91),'NY East Load Projections'!$A$4:$EO$14,((MONTH($A91)-1)*12)+VLOOKUP(AH$4,$DE$6:$DF$17,2)+1))*$C91</f>
        <v>-336.79158898548559</v>
      </c>
      <c r="AI91" s="1021">
        <f>(VLOOKUP(YEAR($A91),'NY East Load Projections'!$A$4:$EO$14,((MONTH($A91)-1)*12)+VLOOKUP(AI$4,$DE$6:$DF$17,2)+1))*$C91</f>
        <v>-336.79158898548559</v>
      </c>
      <c r="AJ91" s="1021">
        <f>(VLOOKUP(YEAR($A91),'NY East Load Projections'!$A$4:$EO$14,((MONTH($A91)-1)*12)+VLOOKUP(AJ$4,$DE$6:$DF$17,2)+1))*$C91</f>
        <v>-336.79158898548559</v>
      </c>
      <c r="AK91" s="1021">
        <f>(VLOOKUP(YEAR($A91),'NY East Load Projections'!$A$4:$EO$14,((MONTH($A91)-1)*12)+VLOOKUP(AK$4,$DE$6:$DF$17,2)+1))*$C91</f>
        <v>-343.13194959807987</v>
      </c>
      <c r="AL91" s="1021">
        <f>(VLOOKUP(YEAR($A91),'NY East Load Projections'!$A$4:$EO$14,((MONTH($A91)-1)*12)+VLOOKUP(AL$4,$DE$6:$DF$17,2)+1))*$C91</f>
        <v>-343.13194959807987</v>
      </c>
      <c r="AM91" s="1021">
        <f>(VLOOKUP(YEAR($A91),'NY East Load Projections'!$A$4:$EO$14,((MONTH($A91)-1)*12)+VLOOKUP(AM$4,$DE$6:$DF$17,2)+1))*$C91</f>
        <v>-343.13194959807987</v>
      </c>
      <c r="AN91" s="1021">
        <f>(VLOOKUP(YEAR($A91),'NY East Load Projections'!$A$4:$EO$14,((MONTH($A91)-1)*12)+VLOOKUP(AN$4,$DE$6:$DF$17,2)+1))*$C91</f>
        <v>-343.13194959807987</v>
      </c>
      <c r="AO91" s="1021">
        <f>(VLOOKUP(YEAR($A91),'NY East Load Projections'!$A$4:$EO$14,((MONTH($A91)-1)*12)+VLOOKUP(AO$4,$DE$6:$DF$17,2)+1))*$C91</f>
        <v>-369.35020029904075</v>
      </c>
      <c r="AP91" s="1021">
        <f>(VLOOKUP(YEAR($A91),'NY East Load Projections'!$A$4:$EO$14,((MONTH($A91)-1)*12)+VLOOKUP(AP$4,$DE$6:$DF$17,2)+1))*$C91</f>
        <v>-369.35020029904075</v>
      </c>
      <c r="AQ91" s="1021">
        <f>(VLOOKUP(YEAR($A91),'NY East Load Projections'!$A$4:$EO$14,((MONTH($A91)-1)*12)+VLOOKUP(AQ$4,$DE$6:$DF$17,2)+1))*$C91</f>
        <v>-369.35020029904075</v>
      </c>
      <c r="AR91" s="1021">
        <f>(VLOOKUP(YEAR($A91),'NY East Load Projections'!$A$4:$EO$14,((MONTH($A91)-1)*12)+VLOOKUP(AR$4,$DE$6:$DF$17,2)+1))*$C91</f>
        <v>-369.35020029904075</v>
      </c>
      <c r="AS91" s="1021">
        <f>(VLOOKUP(YEAR($A91),'NY East Load Projections'!$A$4:$EO$14,((MONTH($A91)-1)*12)+VLOOKUP(AS$4,$DE$6:$DF$17,2)+1))*$C91</f>
        <v>-369.72418154420257</v>
      </c>
      <c r="AT91" s="1021">
        <f>(VLOOKUP(YEAR($A91),'NY East Load Projections'!$A$4:$EO$14,((MONTH($A91)-1)*12)+VLOOKUP(AT$4,$DE$6:$DF$17,2)+1))*$C91</f>
        <v>-369.72418154420257</v>
      </c>
      <c r="AU91" s="1021">
        <f>(VLOOKUP(YEAR($A91),'NY East Load Projections'!$A$4:$EO$14,((MONTH($A91)-1)*12)+VLOOKUP(AU$4,$DE$6:$DF$17,2)+1))*$C91</f>
        <v>-369.72418154420257</v>
      </c>
      <c r="AV91" s="1021">
        <f>(VLOOKUP(YEAR($A91),'NY East Load Projections'!$A$4:$EO$14,((MONTH($A91)-1)*12)+VLOOKUP(AV$4,$DE$6:$DF$17,2)+1))*$C91</f>
        <v>-369.72418154420257</v>
      </c>
      <c r="AW91" s="1021">
        <f>(VLOOKUP(YEAR($A91),'NY East Load Projections'!$A$4:$EO$14,((MONTH($A91)-1)*12)+VLOOKUP(AW$4,$DE$6:$DF$17,2)+1))*$C91</f>
        <v>-351.66146428655065</v>
      </c>
      <c r="AX91" s="1021">
        <f>(VLOOKUP(YEAR($A91),'NY East Load Projections'!$A$4:$EO$14,((MONTH($A91)-1)*12)+VLOOKUP(AX$4,$DE$6:$DF$17,2)+1))*$C91</f>
        <v>-351.66146428655065</v>
      </c>
      <c r="AY91" s="1021">
        <f>(VLOOKUP(YEAR($A91),'NY East Load Projections'!$A$4:$EO$14,((MONTH($A91)-1)*12)+VLOOKUP(AY$4,$DE$6:$DF$17,2)+1))*$C91</f>
        <v>-351.66146428655065</v>
      </c>
      <c r="AZ91" s="1021">
        <f>(VLOOKUP(YEAR($A91),'NY East Load Projections'!$A$4:$EO$14,((MONTH($A91)-1)*12)+VLOOKUP(AZ$4,$DE$6:$DF$17,2)+1))*$C91</f>
        <v>-351.66146428655065</v>
      </c>
      <c r="BA91" s="1021">
        <f>(VLOOKUP(YEAR($A91),'NY East Load Projections'!$A$4:$EO$14,((MONTH($A91)-1)*12)+VLOOKUP(BA$4,$DE$6:$DF$17,2)+1))*$C91</f>
        <v>-340.11410691935276</v>
      </c>
      <c r="BB91" s="1021">
        <f>(VLOOKUP(YEAR($A91),'NY East Load Projections'!$A$4:$EO$14,((MONTH($A91)-1)*12)+VLOOKUP(BB$4,$DE$6:$DF$17,2)+1))*$C91</f>
        <v>-340.11410691935276</v>
      </c>
      <c r="BC91" s="1021">
        <f>(VLOOKUP(YEAR($A91),'NY East Load Projections'!$A$4:$EO$14,((MONTH($A91)-1)*12)+VLOOKUP(BC$4,$DE$6:$DF$17,2)+1))*$C91</f>
        <v>-340.11410691935276</v>
      </c>
      <c r="BD91" s="1021">
        <f>(VLOOKUP(YEAR($A91),'NY East Load Projections'!$A$4:$EO$14,((MONTH($A91)-1)*12)+VLOOKUP(BD$4,$DE$6:$DF$17,2)+1))*$C91</f>
        <v>-340.11410691935276</v>
      </c>
      <c r="BE91" s="1021"/>
      <c r="BF91" s="1021">
        <f>(VLOOKUP(YEAR($A91),'NY East Load Projections'!$A$4:$EO$14,((MONTH($A91)-1)*12)+VLOOKUP(BF$4,$DE$6:$DF$17,2)+1))*$D91</f>
        <v>-336.79158898548559</v>
      </c>
      <c r="BG91" s="1021">
        <f>(VLOOKUP(YEAR($A91),'NY East Load Projections'!$A$4:$EO$14,((MONTH($A91)-1)*12)+VLOOKUP(BG$4,$DE$6:$DF$17,2)+1))*$D91</f>
        <v>-336.79158898548559</v>
      </c>
      <c r="BH91" s="1021">
        <f>(VLOOKUP(YEAR($A91),'NY East Load Projections'!$A$4:$EO$14,((MONTH($A91)-1)*12)+VLOOKUP(BH$4,$DE$6:$DF$17,2)+1))*$D91</f>
        <v>-336.79158898548559</v>
      </c>
      <c r="BI91" s="1021">
        <f>(VLOOKUP(YEAR($A91),'NY East Load Projections'!$A$4:$EO$14,((MONTH($A91)-1)*12)+VLOOKUP(BI$4,$DE$6:$DF$17,2)+1))*$D91</f>
        <v>-336.79158898548559</v>
      </c>
      <c r="BJ91" s="1021">
        <f>(VLOOKUP(YEAR($A91),'NY East Load Projections'!$A$4:$EO$14,((MONTH($A91)-1)*12)+VLOOKUP(BJ$4,$DE$6:$DF$17,2)+1))*$D91</f>
        <v>-343.13194959807987</v>
      </c>
      <c r="BK91" s="1021">
        <f>(VLOOKUP(YEAR($A91),'NY East Load Projections'!$A$4:$EO$14,((MONTH($A91)-1)*12)+VLOOKUP(BK$4,$DE$6:$DF$17,2)+1))*$D91</f>
        <v>-343.13194959807987</v>
      </c>
      <c r="BL91" s="1021">
        <f>(VLOOKUP(YEAR($A91),'NY East Load Projections'!$A$4:$EO$14,((MONTH($A91)-1)*12)+VLOOKUP(BL$4,$DE$6:$DF$17,2)+1))*$D91</f>
        <v>-343.13194959807987</v>
      </c>
      <c r="BM91" s="1021">
        <f>(VLOOKUP(YEAR($A91),'NY East Load Projections'!$A$4:$EO$14,((MONTH($A91)-1)*12)+VLOOKUP(BM$4,$DE$6:$DF$17,2)+1))*$D91</f>
        <v>-343.13194959807987</v>
      </c>
      <c r="BN91" s="1021">
        <f>(VLOOKUP(YEAR($A91),'NY East Load Projections'!$A$4:$EO$14,((MONTH($A91)-1)*12)+VLOOKUP(BN$4,$DE$6:$DF$17,2)+1))*$D91</f>
        <v>-369.35020029904075</v>
      </c>
      <c r="BO91" s="1021">
        <f>(VLOOKUP(YEAR($A91),'NY East Load Projections'!$A$4:$EO$14,((MONTH($A91)-1)*12)+VLOOKUP(BO$4,$DE$6:$DF$17,2)+1))*$D91</f>
        <v>-369.35020029904075</v>
      </c>
      <c r="BP91" s="1021">
        <f>(VLOOKUP(YEAR($A91),'NY East Load Projections'!$A$4:$EO$14,((MONTH($A91)-1)*12)+VLOOKUP(BP$4,$DE$6:$DF$17,2)+1))*$D91</f>
        <v>-369.35020029904075</v>
      </c>
      <c r="BQ91" s="1021">
        <f>(VLOOKUP(YEAR($A91),'NY East Load Projections'!$A$4:$EO$14,((MONTH($A91)-1)*12)+VLOOKUP(BQ$4,$DE$6:$DF$17,2)+1))*$D91</f>
        <v>-369.35020029904075</v>
      </c>
      <c r="BR91" s="1021">
        <f>(VLOOKUP(YEAR($A91),'NY East Load Projections'!$A$4:$EO$14,((MONTH($A91)-1)*12)+VLOOKUP(BR$4,$DE$6:$DF$17,2)+1))*$D91</f>
        <v>-369.72418154420257</v>
      </c>
      <c r="BS91" s="1021">
        <f>(VLOOKUP(YEAR($A91),'NY East Load Projections'!$A$4:$EO$14,((MONTH($A91)-1)*12)+VLOOKUP(BS$4,$DE$6:$DF$17,2)+1))*$D91</f>
        <v>-369.72418154420257</v>
      </c>
      <c r="BT91" s="1021">
        <f>(VLOOKUP(YEAR($A91),'NY East Load Projections'!$A$4:$EO$14,((MONTH($A91)-1)*12)+VLOOKUP(BT$4,$DE$6:$DF$17,2)+1))*$D91</f>
        <v>-369.72418154420257</v>
      </c>
      <c r="BU91" s="1021">
        <f>(VLOOKUP(YEAR($A91),'NY East Load Projections'!$A$4:$EO$14,((MONTH($A91)-1)*12)+VLOOKUP(BU$4,$DE$6:$DF$17,2)+1))*$D91</f>
        <v>-369.72418154420257</v>
      </c>
      <c r="BV91" s="1021">
        <f>(VLOOKUP(YEAR($A91),'NY East Load Projections'!$A$4:$EO$14,((MONTH($A91)-1)*12)+VLOOKUP(BV$4,$DE$6:$DF$17,2)+1))*$D91</f>
        <v>-351.66146428655065</v>
      </c>
      <c r="BW91" s="1021">
        <f>(VLOOKUP(YEAR($A91),'NY East Load Projections'!$A$4:$EO$14,((MONTH($A91)-1)*12)+VLOOKUP(BW$4,$DE$6:$DF$17,2)+1))*$D91</f>
        <v>-351.66146428655065</v>
      </c>
      <c r="BX91" s="1021">
        <f>(VLOOKUP(YEAR($A91),'NY East Load Projections'!$A$4:$EO$14,((MONTH($A91)-1)*12)+VLOOKUP(BX$4,$DE$6:$DF$17,2)+1))*$D91</f>
        <v>-351.66146428655065</v>
      </c>
      <c r="BY91" s="1021">
        <f>(VLOOKUP(YEAR($A91),'NY East Load Projections'!$A$4:$EO$14,((MONTH($A91)-1)*12)+VLOOKUP(BY$4,$DE$6:$DF$17,2)+1))*$D91</f>
        <v>-351.66146428655065</v>
      </c>
      <c r="BZ91" s="1021">
        <f>(VLOOKUP(YEAR($A91),'NY East Load Projections'!$A$4:$EO$14,((MONTH($A91)-1)*12)+VLOOKUP(BZ$4,$DE$6:$DF$17,2)+1))*$D91</f>
        <v>-340.11410691935276</v>
      </c>
      <c r="CA91" s="1021">
        <f>(VLOOKUP(YEAR($A91),'NY East Load Projections'!$A$4:$EO$14,((MONTH($A91)-1)*12)+VLOOKUP(CA$4,$DE$6:$DF$17,2)+1))*$D91</f>
        <v>-340.11410691935276</v>
      </c>
      <c r="CB91" s="1021">
        <f>(VLOOKUP(YEAR($A91),'NY East Load Projections'!$A$4:$EO$14,((MONTH($A91)-1)*12)+VLOOKUP(CB$4,$DE$6:$DF$17,2)+1))*$D91</f>
        <v>-340.11410691935276</v>
      </c>
      <c r="CC91" s="1021">
        <f>(VLOOKUP(YEAR($A91),'NY East Load Projections'!$A$4:$EO$14,((MONTH($A91)-1)*12)+VLOOKUP(CC$4,$DE$6:$DF$17,2)+1))*$D91</f>
        <v>-340.11410691935276</v>
      </c>
      <c r="CE91" s="1021">
        <f>(VLOOKUP(YEAR($A91),'NY East Load Projections'!$A$4:$EO$14,((MONTH($A91)-1)*12)+VLOOKUP(CE$4,$DE$6:$DF$17,2)+1))*$E91</f>
        <v>0</v>
      </c>
      <c r="CF91" s="1021">
        <f>(VLOOKUP(YEAR($A91),'NY East Load Projections'!$A$4:$EO$14,((MONTH($A91)-1)*12)+VLOOKUP(CF$4,$DE$6:$DF$17,2)+1))*$E91</f>
        <v>0</v>
      </c>
      <c r="CG91" s="1021">
        <f>(VLOOKUP(YEAR($A91),'NY East Load Projections'!$A$4:$EO$14,((MONTH($A91)-1)*12)+VLOOKUP(CG$4,$DE$6:$DF$17,2)+1))*$E91</f>
        <v>0</v>
      </c>
      <c r="CH91" s="1021">
        <f>(VLOOKUP(YEAR($A91),'NY East Load Projections'!$A$4:$EO$14,((MONTH($A91)-1)*12)+VLOOKUP(CH$4,$DE$6:$DF$17,2)+1))*$E91</f>
        <v>0</v>
      </c>
      <c r="CI91" s="1021">
        <f>(VLOOKUP(YEAR($A91),'NY East Load Projections'!$A$4:$EO$14,((MONTH($A91)-1)*12)+VLOOKUP(CI$4,$DE$6:$DF$17,2)+1))*$E91</f>
        <v>0</v>
      </c>
      <c r="CJ91" s="1021">
        <f>(VLOOKUP(YEAR($A91),'NY East Load Projections'!$A$4:$EO$14,((MONTH($A91)-1)*12)+VLOOKUP(CJ$4,$DE$6:$DF$17,2)+1))*$E91</f>
        <v>0</v>
      </c>
      <c r="CK91" s="1021">
        <f>(VLOOKUP(YEAR($A91),'NY East Load Projections'!$A$4:$EO$14,((MONTH($A91)-1)*12)+VLOOKUP(CK$4,$DE$6:$DF$17,2)+1))*$E91</f>
        <v>0</v>
      </c>
      <c r="CL91" s="1021">
        <f>(VLOOKUP(YEAR($A91),'NY East Load Projections'!$A$4:$EO$14,((MONTH($A91)-1)*12)+VLOOKUP(CL$4,$DE$6:$DF$17,2)+1))*$E91</f>
        <v>0</v>
      </c>
      <c r="CM91" s="1021">
        <f>(VLOOKUP(YEAR($A91),'NY East Load Projections'!$A$4:$EO$14,((MONTH($A91)-1)*12)+VLOOKUP(CM$4,$DE$6:$DF$17,2)+1))*$E91</f>
        <v>0</v>
      </c>
      <c r="CN91" s="1021">
        <f>(VLOOKUP(YEAR($A91),'NY East Load Projections'!$A$4:$EO$14,((MONTH($A91)-1)*12)+VLOOKUP(CN$4,$DE$6:$DF$17,2)+1))*$E91</f>
        <v>0</v>
      </c>
      <c r="CO91" s="1021">
        <f>(VLOOKUP(YEAR($A91),'NY East Load Projections'!$A$4:$EO$14,((MONTH($A91)-1)*12)+VLOOKUP(CO$4,$DE$6:$DF$17,2)+1))*$E91</f>
        <v>0</v>
      </c>
      <c r="CP91" s="1021">
        <f>(VLOOKUP(YEAR($A91),'NY East Load Projections'!$A$4:$EO$14,((MONTH($A91)-1)*12)+VLOOKUP(CP$4,$DE$6:$DF$17,2)+1))*$E91</f>
        <v>0</v>
      </c>
      <c r="CQ91" s="1021">
        <f>(VLOOKUP(YEAR($A91),'NY East Load Projections'!$A$4:$EO$14,((MONTH($A91)-1)*12)+VLOOKUP(CQ$4,$DE$6:$DF$17,2)+1))*$E91</f>
        <v>0</v>
      </c>
      <c r="CR91" s="1021">
        <f>(VLOOKUP(YEAR($A91),'NY East Load Projections'!$A$4:$EO$14,((MONTH($A91)-1)*12)+VLOOKUP(CR$4,$DE$6:$DF$17,2)+1))*$E91</f>
        <v>0</v>
      </c>
      <c r="CS91" s="1021">
        <f>(VLOOKUP(YEAR($A91),'NY East Load Projections'!$A$4:$EO$14,((MONTH($A91)-1)*12)+VLOOKUP(CS$4,$DE$6:$DF$17,2)+1))*$E91</f>
        <v>0</v>
      </c>
      <c r="CT91" s="1021">
        <f>(VLOOKUP(YEAR($A91),'NY East Load Projections'!$A$4:$EO$14,((MONTH($A91)-1)*12)+VLOOKUP(CT$4,$DE$6:$DF$17,2)+1))*$E91</f>
        <v>0</v>
      </c>
      <c r="CU91" s="1021">
        <f>(VLOOKUP(YEAR($A91),'NY East Load Projections'!$A$4:$EO$14,((MONTH($A91)-1)*12)+VLOOKUP(CU$4,$DE$6:$DF$17,2)+1))*$E91</f>
        <v>0</v>
      </c>
      <c r="CV91" s="1021">
        <f>(VLOOKUP(YEAR($A91),'NY East Load Projections'!$A$4:$EO$14,((MONTH($A91)-1)*12)+VLOOKUP(CV$4,$DE$6:$DF$17,2)+1))*$E91</f>
        <v>0</v>
      </c>
      <c r="CW91" s="1021">
        <f>(VLOOKUP(YEAR($A91),'NY East Load Projections'!$A$4:$EO$14,((MONTH($A91)-1)*12)+VLOOKUP(CW$4,$DE$6:$DF$17,2)+1))*$E91</f>
        <v>0</v>
      </c>
      <c r="CX91" s="1021">
        <f>(VLOOKUP(YEAR($A91),'NY East Load Projections'!$A$4:$EO$14,((MONTH($A91)-1)*12)+VLOOKUP(CX$4,$DE$6:$DF$17,2)+1))*$E91</f>
        <v>0</v>
      </c>
      <c r="CY91" s="1021">
        <f>(VLOOKUP(YEAR($A91),'NY East Load Projections'!$A$4:$EO$14,((MONTH($A91)-1)*12)+VLOOKUP(CY$4,$DE$6:$DF$17,2)+1))*$E91</f>
        <v>0</v>
      </c>
      <c r="CZ91" s="1021">
        <f>(VLOOKUP(YEAR($A91),'NY East Load Projections'!$A$4:$EO$14,((MONTH($A91)-1)*12)+VLOOKUP(CZ$4,$DE$6:$DF$17,2)+1))*$E91</f>
        <v>0</v>
      </c>
      <c r="DA91" s="1021">
        <f>(VLOOKUP(YEAR($A91),'NY East Load Projections'!$A$4:$EO$14,((MONTH($A91)-1)*12)+VLOOKUP(DA$4,$DE$6:$DF$17,2)+1))*$E91</f>
        <v>0</v>
      </c>
      <c r="DB91" s="1021">
        <f>(VLOOKUP(YEAR($A91),'NY East Load Projections'!$A$4:$EO$14,((MONTH($A91)-1)*12)+VLOOKUP(DB$4,$DE$6:$DF$17,2)+1))*$E91</f>
        <v>0</v>
      </c>
      <c r="DH91" s="1009">
        <f t="shared" si="3"/>
        <v>-60609.127991925408</v>
      </c>
      <c r="DI91">
        <f ca="1">CALC!J111</f>
        <v>0.55790431277218178</v>
      </c>
      <c r="DJ91" s="1032">
        <f t="shared" ca="1" si="4"/>
        <v>-33814.093900056352</v>
      </c>
    </row>
    <row r="92" spans="1:114" x14ac:dyDescent="0.25">
      <c r="A92" s="244">
        <v>39508</v>
      </c>
      <c r="B92" s="13">
        <v>21</v>
      </c>
      <c r="C92" s="210">
        <v>5</v>
      </c>
      <c r="D92" s="210">
        <v>5</v>
      </c>
      <c r="E92" s="210">
        <v>0</v>
      </c>
      <c r="F92" s="13">
        <v>31</v>
      </c>
      <c r="H92" s="1021">
        <f>(VLOOKUP(YEAR($A92),'NY East Load Projections'!$A$4:$EO$14,((MONTH($A92)-1)*12)+VLOOKUP(H$4,$DE$6:$DF$17,2)+1))*$B92</f>
        <v>-1571.5318183451536</v>
      </c>
      <c r="I92" s="1021">
        <f>(VLOOKUP(YEAR($A92),'NY East Load Projections'!$A$4:$EO$14,((MONTH($A92)-1)*12)+VLOOKUP(I$4,$DE$6:$DF$17,2)+1))*$B92</f>
        <v>-1571.5318183451536</v>
      </c>
      <c r="J92" s="1021">
        <f>(VLOOKUP(YEAR($A92),'NY East Load Projections'!$A$4:$EO$14,((MONTH($A92)-1)*12)+VLOOKUP(J$4,$DE$6:$DF$17,2)+1))*$B92</f>
        <v>-1571.5318183451536</v>
      </c>
      <c r="K92" s="1021">
        <f>(VLOOKUP(YEAR($A92),'NY East Load Projections'!$A$4:$EO$14,((MONTH($A92)-1)*12)+VLOOKUP(K$4,$DE$6:$DF$17,2)+1))*$B92</f>
        <v>-1571.5318183451536</v>
      </c>
      <c r="L92" s="1021">
        <f>(VLOOKUP(YEAR($A92),'NY East Load Projections'!$A$4:$EO$14,((MONTH($A92)-1)*12)+VLOOKUP(L$4,$DE$6:$DF$17,2)+1))*$B92</f>
        <v>-1715.4716176786144</v>
      </c>
      <c r="M92" s="1021">
        <f>(VLOOKUP(YEAR($A92),'NY East Load Projections'!$A$4:$EO$14,((MONTH($A92)-1)*12)+VLOOKUP(M$4,$DE$6:$DF$17,2)+1))*$B92</f>
        <v>-1715.4716176786144</v>
      </c>
      <c r="N92" s="1021">
        <f>(VLOOKUP(YEAR($A92),'NY East Load Projections'!$A$4:$EO$14,((MONTH($A92)-1)*12)+VLOOKUP(N$4,$DE$6:$DF$17,2)+1))*$B92</f>
        <v>-1715.4716176786144</v>
      </c>
      <c r="O92" s="1021">
        <f>(VLOOKUP(YEAR($A92),'NY East Load Projections'!$A$4:$EO$14,((MONTH($A92)-1)*12)+VLOOKUP(O$4,$DE$6:$DF$17,2)+1))*$B92</f>
        <v>-1715.4716176786144</v>
      </c>
      <c r="P92" s="1021">
        <f>(VLOOKUP(YEAR($A92),'NY East Load Projections'!$A$4:$EO$14,((MONTH($A92)-1)*12)+VLOOKUP(P$4,$DE$6:$DF$17,2)+1))*$B92</f>
        <v>-1849.6823856068449</v>
      </c>
      <c r="Q92" s="1021">
        <f>(VLOOKUP(YEAR($A92),'NY East Load Projections'!$A$4:$EO$14,((MONTH($A92)-1)*12)+VLOOKUP(Q$4,$DE$6:$DF$17,2)+1))*$B92</f>
        <v>-1849.6823856068449</v>
      </c>
      <c r="R92" s="1021">
        <f>(VLOOKUP(YEAR($A92),'NY East Load Projections'!$A$4:$EO$14,((MONTH($A92)-1)*12)+VLOOKUP(R$4,$DE$6:$DF$17,2)+1))*$B92</f>
        <v>-1849.6823856068449</v>
      </c>
      <c r="S92" s="1021">
        <f>(VLOOKUP(YEAR($A92),'NY East Load Projections'!$A$4:$EO$14,((MONTH($A92)-1)*12)+VLOOKUP(S$4,$DE$6:$DF$17,2)+1))*$B92</f>
        <v>-1849.6823856068449</v>
      </c>
      <c r="T92" s="1021">
        <f>(VLOOKUP(YEAR($A92),'NY East Load Projections'!$A$4:$EO$14,((MONTH($A92)-1)*12)+VLOOKUP(T$4,$DE$6:$DF$17,2)+1))*$B92</f>
        <v>-1905.2985157455291</v>
      </c>
      <c r="U92" s="1021">
        <f>(VLOOKUP(YEAR($A92),'NY East Load Projections'!$A$4:$EO$14,((MONTH($A92)-1)*12)+VLOOKUP(U$4,$DE$6:$DF$17,2)+1))*$B92</f>
        <v>-1905.2985157455291</v>
      </c>
      <c r="V92" s="1021">
        <f>(VLOOKUP(YEAR($A92),'NY East Load Projections'!$A$4:$EO$14,((MONTH($A92)-1)*12)+VLOOKUP(V$4,$DE$6:$DF$17,2)+1))*$B92</f>
        <v>-1905.2985157455291</v>
      </c>
      <c r="W92" s="1021">
        <f>(VLOOKUP(YEAR($A92),'NY East Load Projections'!$A$4:$EO$14,((MONTH($A92)-1)*12)+VLOOKUP(W$4,$DE$6:$DF$17,2)+1))*$B92</f>
        <v>-1905.2985157455291</v>
      </c>
      <c r="X92" s="1021">
        <f>(VLOOKUP(YEAR($A92),'NY East Load Projections'!$A$4:$EO$14,((MONTH($A92)-1)*12)+VLOOKUP(X$4,$DE$6:$DF$17,2)+1))*$B92</f>
        <v>-1829.1511048216698</v>
      </c>
      <c r="Y92" s="1021">
        <f>(VLOOKUP(YEAR($A92),'NY East Load Projections'!$A$4:$EO$14,((MONTH($A92)-1)*12)+VLOOKUP(Y$4,$DE$6:$DF$17,2)+1))*$B92</f>
        <v>-1829.1511048216698</v>
      </c>
      <c r="Z92" s="1021">
        <f>(VLOOKUP(YEAR($A92),'NY East Load Projections'!$A$4:$EO$14,((MONTH($A92)-1)*12)+VLOOKUP(Z$4,$DE$6:$DF$17,2)+1))*$B92</f>
        <v>-1829.1511048216698</v>
      </c>
      <c r="AA92" s="1021">
        <f>(VLOOKUP(YEAR($A92),'NY East Load Projections'!$A$4:$EO$14,((MONTH($A92)-1)*12)+VLOOKUP(AA$4,$DE$6:$DF$17,2)+1))*$B92</f>
        <v>-1829.1511048216698</v>
      </c>
      <c r="AB92" s="1021">
        <f>(VLOOKUP(YEAR($A92),'NY East Load Projections'!$A$4:$EO$14,((MONTH($A92)-1)*12)+VLOOKUP(AB$4,$DE$6:$DF$17,2)+1))*$B92</f>
        <v>-1671.4885754866814</v>
      </c>
      <c r="AC92" s="1021">
        <f>(VLOOKUP(YEAR($A92),'NY East Load Projections'!$A$4:$EO$14,((MONTH($A92)-1)*12)+VLOOKUP(AC$4,$DE$6:$DF$17,2)+1))*$B92</f>
        <v>-1671.4885754866814</v>
      </c>
      <c r="AD92" s="1021">
        <f>(VLOOKUP(YEAR($A92),'NY East Load Projections'!$A$4:$EO$14,((MONTH($A92)-1)*12)+VLOOKUP(AD$4,$DE$6:$DF$17,2)+1))*$B92</f>
        <v>-1671.4885754866814</v>
      </c>
      <c r="AE92" s="1021">
        <f>(VLOOKUP(YEAR($A92),'NY East Load Projections'!$A$4:$EO$14,((MONTH($A92)-1)*12)+VLOOKUP(AE$4,$DE$6:$DF$17,2)+1))*$B92</f>
        <v>-1671.4885754866814</v>
      </c>
      <c r="AF92" s="1021"/>
      <c r="AG92" s="1021">
        <f>(VLOOKUP(YEAR($A92),'NY East Load Projections'!$A$4:$EO$14,((MONTH($A92)-1)*12)+VLOOKUP(AG$4,$DE$6:$DF$17,2)+1))*$C92</f>
        <v>-408.4298022050117</v>
      </c>
      <c r="AH92" s="1021">
        <f>(VLOOKUP(YEAR($A92),'NY East Load Projections'!$A$4:$EO$14,((MONTH($A92)-1)*12)+VLOOKUP(AH$4,$DE$6:$DF$17,2)+1))*$C92</f>
        <v>-408.4298022050117</v>
      </c>
      <c r="AI92" s="1021">
        <f>(VLOOKUP(YEAR($A92),'NY East Load Projections'!$A$4:$EO$14,((MONTH($A92)-1)*12)+VLOOKUP(AI$4,$DE$6:$DF$17,2)+1))*$C92</f>
        <v>-408.4298022050117</v>
      </c>
      <c r="AJ92" s="1021">
        <f>(VLOOKUP(YEAR($A92),'NY East Load Projections'!$A$4:$EO$14,((MONTH($A92)-1)*12)+VLOOKUP(AJ$4,$DE$6:$DF$17,2)+1))*$C92</f>
        <v>-408.4298022050117</v>
      </c>
      <c r="AK92" s="1021">
        <f>(VLOOKUP(YEAR($A92),'NY East Load Projections'!$A$4:$EO$14,((MONTH($A92)-1)*12)+VLOOKUP(AK$4,$DE$6:$DF$17,2)+1))*$C92</f>
        <v>-413.65129817890613</v>
      </c>
      <c r="AL92" s="1021">
        <f>(VLOOKUP(YEAR($A92),'NY East Load Projections'!$A$4:$EO$14,((MONTH($A92)-1)*12)+VLOOKUP(AL$4,$DE$6:$DF$17,2)+1))*$C92</f>
        <v>-413.65129817890613</v>
      </c>
      <c r="AM92" s="1021">
        <f>(VLOOKUP(YEAR($A92),'NY East Load Projections'!$A$4:$EO$14,((MONTH($A92)-1)*12)+VLOOKUP(AM$4,$DE$6:$DF$17,2)+1))*$C92</f>
        <v>-413.65129817890613</v>
      </c>
      <c r="AN92" s="1021">
        <f>(VLOOKUP(YEAR($A92),'NY East Load Projections'!$A$4:$EO$14,((MONTH($A92)-1)*12)+VLOOKUP(AN$4,$DE$6:$DF$17,2)+1))*$C92</f>
        <v>-413.65129817890613</v>
      </c>
      <c r="AO92" s="1021">
        <f>(VLOOKUP(YEAR($A92),'NY East Load Projections'!$A$4:$EO$14,((MONTH($A92)-1)*12)+VLOOKUP(AO$4,$DE$6:$DF$17,2)+1))*$C92</f>
        <v>-443.13528842756955</v>
      </c>
      <c r="AP92" s="1021">
        <f>(VLOOKUP(YEAR($A92),'NY East Load Projections'!$A$4:$EO$14,((MONTH($A92)-1)*12)+VLOOKUP(AP$4,$DE$6:$DF$17,2)+1))*$C92</f>
        <v>-443.13528842756955</v>
      </c>
      <c r="AQ92" s="1021">
        <f>(VLOOKUP(YEAR($A92),'NY East Load Projections'!$A$4:$EO$14,((MONTH($A92)-1)*12)+VLOOKUP(AQ$4,$DE$6:$DF$17,2)+1))*$C92</f>
        <v>-443.13528842756955</v>
      </c>
      <c r="AR92" s="1021">
        <f>(VLOOKUP(YEAR($A92),'NY East Load Projections'!$A$4:$EO$14,((MONTH($A92)-1)*12)+VLOOKUP(AR$4,$DE$6:$DF$17,2)+1))*$C92</f>
        <v>-443.13528842756955</v>
      </c>
      <c r="AS92" s="1021">
        <f>(VLOOKUP(YEAR($A92),'NY East Load Projections'!$A$4:$EO$14,((MONTH($A92)-1)*12)+VLOOKUP(AS$4,$DE$6:$DF$17,2)+1))*$C92</f>
        <v>-447.52022037363372</v>
      </c>
      <c r="AT92" s="1021">
        <f>(VLOOKUP(YEAR($A92),'NY East Load Projections'!$A$4:$EO$14,((MONTH($A92)-1)*12)+VLOOKUP(AT$4,$DE$6:$DF$17,2)+1))*$C92</f>
        <v>-447.52022037363372</v>
      </c>
      <c r="AU92" s="1021">
        <f>(VLOOKUP(YEAR($A92),'NY East Load Projections'!$A$4:$EO$14,((MONTH($A92)-1)*12)+VLOOKUP(AU$4,$DE$6:$DF$17,2)+1))*$C92</f>
        <v>-447.52022037363372</v>
      </c>
      <c r="AV92" s="1021">
        <f>(VLOOKUP(YEAR($A92),'NY East Load Projections'!$A$4:$EO$14,((MONTH($A92)-1)*12)+VLOOKUP(AV$4,$DE$6:$DF$17,2)+1))*$C92</f>
        <v>-447.52022037363372</v>
      </c>
      <c r="AW92" s="1021">
        <f>(VLOOKUP(YEAR($A92),'NY East Load Projections'!$A$4:$EO$14,((MONTH($A92)-1)*12)+VLOOKUP(AW$4,$DE$6:$DF$17,2)+1))*$C92</f>
        <v>-427.83995397240807</v>
      </c>
      <c r="AX92" s="1021">
        <f>(VLOOKUP(YEAR($A92),'NY East Load Projections'!$A$4:$EO$14,((MONTH($A92)-1)*12)+VLOOKUP(AX$4,$DE$6:$DF$17,2)+1))*$C92</f>
        <v>-427.83995397240807</v>
      </c>
      <c r="AY92" s="1021">
        <f>(VLOOKUP(YEAR($A92),'NY East Load Projections'!$A$4:$EO$14,((MONTH($A92)-1)*12)+VLOOKUP(AY$4,$DE$6:$DF$17,2)+1))*$C92</f>
        <v>-427.83995397240807</v>
      </c>
      <c r="AZ92" s="1021">
        <f>(VLOOKUP(YEAR($A92),'NY East Load Projections'!$A$4:$EO$14,((MONTH($A92)-1)*12)+VLOOKUP(AZ$4,$DE$6:$DF$17,2)+1))*$C92</f>
        <v>-427.83995397240807</v>
      </c>
      <c r="BA92" s="1021">
        <f>(VLOOKUP(YEAR($A92),'NY East Load Projections'!$A$4:$EO$14,((MONTH($A92)-1)*12)+VLOOKUP(BA$4,$DE$6:$DF$17,2)+1))*$C92</f>
        <v>-411.49718508710686</v>
      </c>
      <c r="BB92" s="1021">
        <f>(VLOOKUP(YEAR($A92),'NY East Load Projections'!$A$4:$EO$14,((MONTH($A92)-1)*12)+VLOOKUP(BB$4,$DE$6:$DF$17,2)+1))*$C92</f>
        <v>-411.49718508710686</v>
      </c>
      <c r="BC92" s="1021">
        <f>(VLOOKUP(YEAR($A92),'NY East Load Projections'!$A$4:$EO$14,((MONTH($A92)-1)*12)+VLOOKUP(BC$4,$DE$6:$DF$17,2)+1))*$C92</f>
        <v>-411.49718508710686</v>
      </c>
      <c r="BD92" s="1021">
        <f>(VLOOKUP(YEAR($A92),'NY East Load Projections'!$A$4:$EO$14,((MONTH($A92)-1)*12)+VLOOKUP(BD$4,$DE$6:$DF$17,2)+1))*$C92</f>
        <v>-411.49718508710686</v>
      </c>
      <c r="BE92" s="1021"/>
      <c r="BF92" s="1021">
        <f>(VLOOKUP(YEAR($A92),'NY East Load Projections'!$A$4:$EO$14,((MONTH($A92)-1)*12)+VLOOKUP(BF$4,$DE$6:$DF$17,2)+1))*$D92</f>
        <v>-408.4298022050117</v>
      </c>
      <c r="BG92" s="1021">
        <f>(VLOOKUP(YEAR($A92),'NY East Load Projections'!$A$4:$EO$14,((MONTH($A92)-1)*12)+VLOOKUP(BG$4,$DE$6:$DF$17,2)+1))*$D92</f>
        <v>-408.4298022050117</v>
      </c>
      <c r="BH92" s="1021">
        <f>(VLOOKUP(YEAR($A92),'NY East Load Projections'!$A$4:$EO$14,((MONTH($A92)-1)*12)+VLOOKUP(BH$4,$DE$6:$DF$17,2)+1))*$D92</f>
        <v>-408.4298022050117</v>
      </c>
      <c r="BI92" s="1021">
        <f>(VLOOKUP(YEAR($A92),'NY East Load Projections'!$A$4:$EO$14,((MONTH($A92)-1)*12)+VLOOKUP(BI$4,$DE$6:$DF$17,2)+1))*$D92</f>
        <v>-408.4298022050117</v>
      </c>
      <c r="BJ92" s="1021">
        <f>(VLOOKUP(YEAR($A92),'NY East Load Projections'!$A$4:$EO$14,((MONTH($A92)-1)*12)+VLOOKUP(BJ$4,$DE$6:$DF$17,2)+1))*$D92</f>
        <v>-413.65129817890613</v>
      </c>
      <c r="BK92" s="1021">
        <f>(VLOOKUP(YEAR($A92),'NY East Load Projections'!$A$4:$EO$14,((MONTH($A92)-1)*12)+VLOOKUP(BK$4,$DE$6:$DF$17,2)+1))*$D92</f>
        <v>-413.65129817890613</v>
      </c>
      <c r="BL92" s="1021">
        <f>(VLOOKUP(YEAR($A92),'NY East Load Projections'!$A$4:$EO$14,((MONTH($A92)-1)*12)+VLOOKUP(BL$4,$DE$6:$DF$17,2)+1))*$D92</f>
        <v>-413.65129817890613</v>
      </c>
      <c r="BM92" s="1021">
        <f>(VLOOKUP(YEAR($A92),'NY East Load Projections'!$A$4:$EO$14,((MONTH($A92)-1)*12)+VLOOKUP(BM$4,$DE$6:$DF$17,2)+1))*$D92</f>
        <v>-413.65129817890613</v>
      </c>
      <c r="BN92" s="1021">
        <f>(VLOOKUP(YEAR($A92),'NY East Load Projections'!$A$4:$EO$14,((MONTH($A92)-1)*12)+VLOOKUP(BN$4,$DE$6:$DF$17,2)+1))*$D92</f>
        <v>-443.13528842756955</v>
      </c>
      <c r="BO92" s="1021">
        <f>(VLOOKUP(YEAR($A92),'NY East Load Projections'!$A$4:$EO$14,((MONTH($A92)-1)*12)+VLOOKUP(BO$4,$DE$6:$DF$17,2)+1))*$D92</f>
        <v>-443.13528842756955</v>
      </c>
      <c r="BP92" s="1021">
        <f>(VLOOKUP(YEAR($A92),'NY East Load Projections'!$A$4:$EO$14,((MONTH($A92)-1)*12)+VLOOKUP(BP$4,$DE$6:$DF$17,2)+1))*$D92</f>
        <v>-443.13528842756955</v>
      </c>
      <c r="BQ92" s="1021">
        <f>(VLOOKUP(YEAR($A92),'NY East Load Projections'!$A$4:$EO$14,((MONTH($A92)-1)*12)+VLOOKUP(BQ$4,$DE$6:$DF$17,2)+1))*$D92</f>
        <v>-443.13528842756955</v>
      </c>
      <c r="BR92" s="1021">
        <f>(VLOOKUP(YEAR($A92),'NY East Load Projections'!$A$4:$EO$14,((MONTH($A92)-1)*12)+VLOOKUP(BR$4,$DE$6:$DF$17,2)+1))*$D92</f>
        <v>-447.52022037363372</v>
      </c>
      <c r="BS92" s="1021">
        <f>(VLOOKUP(YEAR($A92),'NY East Load Projections'!$A$4:$EO$14,((MONTH($A92)-1)*12)+VLOOKUP(BS$4,$DE$6:$DF$17,2)+1))*$D92</f>
        <v>-447.52022037363372</v>
      </c>
      <c r="BT92" s="1021">
        <f>(VLOOKUP(YEAR($A92),'NY East Load Projections'!$A$4:$EO$14,((MONTH($A92)-1)*12)+VLOOKUP(BT$4,$DE$6:$DF$17,2)+1))*$D92</f>
        <v>-447.52022037363372</v>
      </c>
      <c r="BU92" s="1021">
        <f>(VLOOKUP(YEAR($A92),'NY East Load Projections'!$A$4:$EO$14,((MONTH($A92)-1)*12)+VLOOKUP(BU$4,$DE$6:$DF$17,2)+1))*$D92</f>
        <v>-447.52022037363372</v>
      </c>
      <c r="BV92" s="1021">
        <f>(VLOOKUP(YEAR($A92),'NY East Load Projections'!$A$4:$EO$14,((MONTH($A92)-1)*12)+VLOOKUP(BV$4,$DE$6:$DF$17,2)+1))*$D92</f>
        <v>-427.83995397240807</v>
      </c>
      <c r="BW92" s="1021">
        <f>(VLOOKUP(YEAR($A92),'NY East Load Projections'!$A$4:$EO$14,((MONTH($A92)-1)*12)+VLOOKUP(BW$4,$DE$6:$DF$17,2)+1))*$D92</f>
        <v>-427.83995397240807</v>
      </c>
      <c r="BX92" s="1021">
        <f>(VLOOKUP(YEAR($A92),'NY East Load Projections'!$A$4:$EO$14,((MONTH($A92)-1)*12)+VLOOKUP(BX$4,$DE$6:$DF$17,2)+1))*$D92</f>
        <v>-427.83995397240807</v>
      </c>
      <c r="BY92" s="1021">
        <f>(VLOOKUP(YEAR($A92),'NY East Load Projections'!$A$4:$EO$14,((MONTH($A92)-1)*12)+VLOOKUP(BY$4,$DE$6:$DF$17,2)+1))*$D92</f>
        <v>-427.83995397240807</v>
      </c>
      <c r="BZ92" s="1021">
        <f>(VLOOKUP(YEAR($A92),'NY East Load Projections'!$A$4:$EO$14,((MONTH($A92)-1)*12)+VLOOKUP(BZ$4,$DE$6:$DF$17,2)+1))*$D92</f>
        <v>-411.49718508710686</v>
      </c>
      <c r="CA92" s="1021">
        <f>(VLOOKUP(YEAR($A92),'NY East Load Projections'!$A$4:$EO$14,((MONTH($A92)-1)*12)+VLOOKUP(CA$4,$DE$6:$DF$17,2)+1))*$D92</f>
        <v>-411.49718508710686</v>
      </c>
      <c r="CB92" s="1021">
        <f>(VLOOKUP(YEAR($A92),'NY East Load Projections'!$A$4:$EO$14,((MONTH($A92)-1)*12)+VLOOKUP(CB$4,$DE$6:$DF$17,2)+1))*$D92</f>
        <v>-411.49718508710686</v>
      </c>
      <c r="CC92" s="1021">
        <f>(VLOOKUP(YEAR($A92),'NY East Load Projections'!$A$4:$EO$14,((MONTH($A92)-1)*12)+VLOOKUP(CC$4,$DE$6:$DF$17,2)+1))*$D92</f>
        <v>-411.49718508710686</v>
      </c>
      <c r="CE92" s="1021">
        <f>(VLOOKUP(YEAR($A92),'NY East Load Projections'!$A$4:$EO$14,((MONTH($A92)-1)*12)+VLOOKUP(CE$4,$DE$6:$DF$17,2)+1))*$E92</f>
        <v>0</v>
      </c>
      <c r="CF92" s="1021">
        <f>(VLOOKUP(YEAR($A92),'NY East Load Projections'!$A$4:$EO$14,((MONTH($A92)-1)*12)+VLOOKUP(CF$4,$DE$6:$DF$17,2)+1))*$E92</f>
        <v>0</v>
      </c>
      <c r="CG92" s="1021">
        <f>(VLOOKUP(YEAR($A92),'NY East Load Projections'!$A$4:$EO$14,((MONTH($A92)-1)*12)+VLOOKUP(CG$4,$DE$6:$DF$17,2)+1))*$E92</f>
        <v>0</v>
      </c>
      <c r="CH92" s="1021">
        <f>(VLOOKUP(YEAR($A92),'NY East Load Projections'!$A$4:$EO$14,((MONTH($A92)-1)*12)+VLOOKUP(CH$4,$DE$6:$DF$17,2)+1))*$E92</f>
        <v>0</v>
      </c>
      <c r="CI92" s="1021">
        <f>(VLOOKUP(YEAR($A92),'NY East Load Projections'!$A$4:$EO$14,((MONTH($A92)-1)*12)+VLOOKUP(CI$4,$DE$6:$DF$17,2)+1))*$E92</f>
        <v>0</v>
      </c>
      <c r="CJ92" s="1021">
        <f>(VLOOKUP(YEAR($A92),'NY East Load Projections'!$A$4:$EO$14,((MONTH($A92)-1)*12)+VLOOKUP(CJ$4,$DE$6:$DF$17,2)+1))*$E92</f>
        <v>0</v>
      </c>
      <c r="CK92" s="1021">
        <f>(VLOOKUP(YEAR($A92),'NY East Load Projections'!$A$4:$EO$14,((MONTH($A92)-1)*12)+VLOOKUP(CK$4,$DE$6:$DF$17,2)+1))*$E92</f>
        <v>0</v>
      </c>
      <c r="CL92" s="1021">
        <f>(VLOOKUP(YEAR($A92),'NY East Load Projections'!$A$4:$EO$14,((MONTH($A92)-1)*12)+VLOOKUP(CL$4,$DE$6:$DF$17,2)+1))*$E92</f>
        <v>0</v>
      </c>
      <c r="CM92" s="1021">
        <f>(VLOOKUP(YEAR($A92),'NY East Load Projections'!$A$4:$EO$14,((MONTH($A92)-1)*12)+VLOOKUP(CM$4,$DE$6:$DF$17,2)+1))*$E92</f>
        <v>0</v>
      </c>
      <c r="CN92" s="1021">
        <f>(VLOOKUP(YEAR($A92),'NY East Load Projections'!$A$4:$EO$14,((MONTH($A92)-1)*12)+VLOOKUP(CN$4,$DE$6:$DF$17,2)+1))*$E92</f>
        <v>0</v>
      </c>
      <c r="CO92" s="1021">
        <f>(VLOOKUP(YEAR($A92),'NY East Load Projections'!$A$4:$EO$14,((MONTH($A92)-1)*12)+VLOOKUP(CO$4,$DE$6:$DF$17,2)+1))*$E92</f>
        <v>0</v>
      </c>
      <c r="CP92" s="1021">
        <f>(VLOOKUP(YEAR($A92),'NY East Load Projections'!$A$4:$EO$14,((MONTH($A92)-1)*12)+VLOOKUP(CP$4,$DE$6:$DF$17,2)+1))*$E92</f>
        <v>0</v>
      </c>
      <c r="CQ92" s="1021">
        <f>(VLOOKUP(YEAR($A92),'NY East Load Projections'!$A$4:$EO$14,((MONTH($A92)-1)*12)+VLOOKUP(CQ$4,$DE$6:$DF$17,2)+1))*$E92</f>
        <v>0</v>
      </c>
      <c r="CR92" s="1021">
        <f>(VLOOKUP(YEAR($A92),'NY East Load Projections'!$A$4:$EO$14,((MONTH($A92)-1)*12)+VLOOKUP(CR$4,$DE$6:$DF$17,2)+1))*$E92</f>
        <v>0</v>
      </c>
      <c r="CS92" s="1021">
        <f>(VLOOKUP(YEAR($A92),'NY East Load Projections'!$A$4:$EO$14,((MONTH($A92)-1)*12)+VLOOKUP(CS$4,$DE$6:$DF$17,2)+1))*$E92</f>
        <v>0</v>
      </c>
      <c r="CT92" s="1021">
        <f>(VLOOKUP(YEAR($A92),'NY East Load Projections'!$A$4:$EO$14,((MONTH($A92)-1)*12)+VLOOKUP(CT$4,$DE$6:$DF$17,2)+1))*$E92</f>
        <v>0</v>
      </c>
      <c r="CU92" s="1021">
        <f>(VLOOKUP(YEAR($A92),'NY East Load Projections'!$A$4:$EO$14,((MONTH($A92)-1)*12)+VLOOKUP(CU$4,$DE$6:$DF$17,2)+1))*$E92</f>
        <v>0</v>
      </c>
      <c r="CV92" s="1021">
        <f>(VLOOKUP(YEAR($A92),'NY East Load Projections'!$A$4:$EO$14,((MONTH($A92)-1)*12)+VLOOKUP(CV$4,$DE$6:$DF$17,2)+1))*$E92</f>
        <v>0</v>
      </c>
      <c r="CW92" s="1021">
        <f>(VLOOKUP(YEAR($A92),'NY East Load Projections'!$A$4:$EO$14,((MONTH($A92)-1)*12)+VLOOKUP(CW$4,$DE$6:$DF$17,2)+1))*$E92</f>
        <v>0</v>
      </c>
      <c r="CX92" s="1021">
        <f>(VLOOKUP(YEAR($A92),'NY East Load Projections'!$A$4:$EO$14,((MONTH($A92)-1)*12)+VLOOKUP(CX$4,$DE$6:$DF$17,2)+1))*$E92</f>
        <v>0</v>
      </c>
      <c r="CY92" s="1021">
        <f>(VLOOKUP(YEAR($A92),'NY East Load Projections'!$A$4:$EO$14,((MONTH($A92)-1)*12)+VLOOKUP(CY$4,$DE$6:$DF$17,2)+1))*$E92</f>
        <v>0</v>
      </c>
      <c r="CZ92" s="1021">
        <f>(VLOOKUP(YEAR($A92),'NY East Load Projections'!$A$4:$EO$14,((MONTH($A92)-1)*12)+VLOOKUP(CZ$4,$DE$6:$DF$17,2)+1))*$E92</f>
        <v>0</v>
      </c>
      <c r="DA92" s="1021">
        <f>(VLOOKUP(YEAR($A92),'NY East Load Projections'!$A$4:$EO$14,((MONTH($A92)-1)*12)+VLOOKUP(DA$4,$DE$6:$DF$17,2)+1))*$E92</f>
        <v>0</v>
      </c>
      <c r="DB92" s="1021">
        <f>(VLOOKUP(YEAR($A92),'NY East Load Projections'!$A$4:$EO$14,((MONTH($A92)-1)*12)+VLOOKUP(DB$4,$DE$6:$DF$17,2)+1))*$E92</f>
        <v>0</v>
      </c>
      <c r="DH92" s="1009">
        <f t="shared" si="3"/>
        <v>-62587.086056695065</v>
      </c>
      <c r="DI92">
        <f ca="1">CALC!J112</f>
        <v>0.55441972575425003</v>
      </c>
      <c r="DJ92" s="1032">
        <f t="shared" ca="1" si="4"/>
        <v>-34699.515087310523</v>
      </c>
    </row>
    <row r="93" spans="1:114" x14ac:dyDescent="0.25">
      <c r="A93" s="244">
        <v>39539</v>
      </c>
      <c r="B93" s="13">
        <v>22</v>
      </c>
      <c r="C93" s="210">
        <v>4</v>
      </c>
      <c r="D93" s="210">
        <v>4</v>
      </c>
      <c r="E93" s="210">
        <v>0</v>
      </c>
      <c r="F93" s="13">
        <v>30</v>
      </c>
      <c r="H93" s="1021">
        <f>(VLOOKUP(YEAR($A93),'NY East Load Projections'!$A$4:$EO$14,((MONTH($A93)-1)*12)+VLOOKUP(H$4,$DE$6:$DF$17,2)+1))*$B93</f>
        <v>-1793.0216536989312</v>
      </c>
      <c r="I93" s="1021">
        <f>(VLOOKUP(YEAR($A93),'NY East Load Projections'!$A$4:$EO$14,((MONTH($A93)-1)*12)+VLOOKUP(I$4,$DE$6:$DF$17,2)+1))*$B93</f>
        <v>-1793.0216536989312</v>
      </c>
      <c r="J93" s="1021">
        <f>(VLOOKUP(YEAR($A93),'NY East Load Projections'!$A$4:$EO$14,((MONTH($A93)-1)*12)+VLOOKUP(J$4,$DE$6:$DF$17,2)+1))*$B93</f>
        <v>-1793.0216536989312</v>
      </c>
      <c r="K93" s="1021">
        <f>(VLOOKUP(YEAR($A93),'NY East Load Projections'!$A$4:$EO$14,((MONTH($A93)-1)*12)+VLOOKUP(K$4,$DE$6:$DF$17,2)+1))*$B93</f>
        <v>-1793.0216536989312</v>
      </c>
      <c r="L93" s="1021">
        <f>(VLOOKUP(YEAR($A93),'NY East Load Projections'!$A$4:$EO$14,((MONTH($A93)-1)*12)+VLOOKUP(L$4,$DE$6:$DF$17,2)+1))*$B93</f>
        <v>-1929.9660301565141</v>
      </c>
      <c r="M93" s="1021">
        <f>(VLOOKUP(YEAR($A93),'NY East Load Projections'!$A$4:$EO$14,((MONTH($A93)-1)*12)+VLOOKUP(M$4,$DE$6:$DF$17,2)+1))*$B93</f>
        <v>-1929.9660301565141</v>
      </c>
      <c r="N93" s="1021">
        <f>(VLOOKUP(YEAR($A93),'NY East Load Projections'!$A$4:$EO$14,((MONTH($A93)-1)*12)+VLOOKUP(N$4,$DE$6:$DF$17,2)+1))*$B93</f>
        <v>-1929.9660301565141</v>
      </c>
      <c r="O93" s="1021">
        <f>(VLOOKUP(YEAR($A93),'NY East Load Projections'!$A$4:$EO$14,((MONTH($A93)-1)*12)+VLOOKUP(O$4,$DE$6:$DF$17,2)+1))*$B93</f>
        <v>-1929.9660301565141</v>
      </c>
      <c r="P93" s="1021">
        <f>(VLOOKUP(YEAR($A93),'NY East Load Projections'!$A$4:$EO$14,((MONTH($A93)-1)*12)+VLOOKUP(P$4,$DE$6:$DF$17,2)+1))*$B93</f>
        <v>-2083.0668513481069</v>
      </c>
      <c r="Q93" s="1021">
        <f>(VLOOKUP(YEAR($A93),'NY East Load Projections'!$A$4:$EO$14,((MONTH($A93)-1)*12)+VLOOKUP(Q$4,$DE$6:$DF$17,2)+1))*$B93</f>
        <v>-2083.0668513481069</v>
      </c>
      <c r="R93" s="1021">
        <f>(VLOOKUP(YEAR($A93),'NY East Load Projections'!$A$4:$EO$14,((MONTH($A93)-1)*12)+VLOOKUP(R$4,$DE$6:$DF$17,2)+1))*$B93</f>
        <v>-2083.0668513481069</v>
      </c>
      <c r="S93" s="1021">
        <f>(VLOOKUP(YEAR($A93),'NY East Load Projections'!$A$4:$EO$14,((MONTH($A93)-1)*12)+VLOOKUP(S$4,$DE$6:$DF$17,2)+1))*$B93</f>
        <v>-2083.0668513481069</v>
      </c>
      <c r="T93" s="1021">
        <f>(VLOOKUP(YEAR($A93),'NY East Load Projections'!$A$4:$EO$14,((MONTH($A93)-1)*12)+VLOOKUP(T$4,$DE$6:$DF$17,2)+1))*$B93</f>
        <v>-2154.6723685632514</v>
      </c>
      <c r="U93" s="1021">
        <f>(VLOOKUP(YEAR($A93),'NY East Load Projections'!$A$4:$EO$14,((MONTH($A93)-1)*12)+VLOOKUP(U$4,$DE$6:$DF$17,2)+1))*$B93</f>
        <v>-2154.6723685632514</v>
      </c>
      <c r="V93" s="1021">
        <f>(VLOOKUP(YEAR($A93),'NY East Load Projections'!$A$4:$EO$14,((MONTH($A93)-1)*12)+VLOOKUP(V$4,$DE$6:$DF$17,2)+1))*$B93</f>
        <v>-2154.6723685632514</v>
      </c>
      <c r="W93" s="1021">
        <f>(VLOOKUP(YEAR($A93),'NY East Load Projections'!$A$4:$EO$14,((MONTH($A93)-1)*12)+VLOOKUP(W$4,$DE$6:$DF$17,2)+1))*$B93</f>
        <v>-2154.6723685632514</v>
      </c>
      <c r="X93" s="1021">
        <f>(VLOOKUP(YEAR($A93),'NY East Load Projections'!$A$4:$EO$14,((MONTH($A93)-1)*12)+VLOOKUP(X$4,$DE$6:$DF$17,2)+1))*$B93</f>
        <v>-2056.2575532345936</v>
      </c>
      <c r="Y93" s="1021">
        <f>(VLOOKUP(YEAR($A93),'NY East Load Projections'!$A$4:$EO$14,((MONTH($A93)-1)*12)+VLOOKUP(Y$4,$DE$6:$DF$17,2)+1))*$B93</f>
        <v>-2056.2575532345936</v>
      </c>
      <c r="Z93" s="1021">
        <f>(VLOOKUP(YEAR($A93),'NY East Load Projections'!$A$4:$EO$14,((MONTH($A93)-1)*12)+VLOOKUP(Z$4,$DE$6:$DF$17,2)+1))*$B93</f>
        <v>-2056.2575532345936</v>
      </c>
      <c r="AA93" s="1021">
        <f>(VLOOKUP(YEAR($A93),'NY East Load Projections'!$A$4:$EO$14,((MONTH($A93)-1)*12)+VLOOKUP(AA$4,$DE$6:$DF$17,2)+1))*$B93</f>
        <v>-2056.2575532345936</v>
      </c>
      <c r="AB93" s="1021">
        <f>(VLOOKUP(YEAR($A93),'NY East Load Projections'!$A$4:$EO$14,((MONTH($A93)-1)*12)+VLOOKUP(AB$4,$DE$6:$DF$17,2)+1))*$B93</f>
        <v>-1872.1226400234859</v>
      </c>
      <c r="AC93" s="1021">
        <f>(VLOOKUP(YEAR($A93),'NY East Load Projections'!$A$4:$EO$14,((MONTH($A93)-1)*12)+VLOOKUP(AC$4,$DE$6:$DF$17,2)+1))*$B93</f>
        <v>-1872.1226400234859</v>
      </c>
      <c r="AD93" s="1021">
        <f>(VLOOKUP(YEAR($A93),'NY East Load Projections'!$A$4:$EO$14,((MONTH($A93)-1)*12)+VLOOKUP(AD$4,$DE$6:$DF$17,2)+1))*$B93</f>
        <v>-1872.1226400234859</v>
      </c>
      <c r="AE93" s="1021">
        <f>(VLOOKUP(YEAR($A93),'NY East Load Projections'!$A$4:$EO$14,((MONTH($A93)-1)*12)+VLOOKUP(AE$4,$DE$6:$DF$17,2)+1))*$B93</f>
        <v>-1872.1226400234859</v>
      </c>
      <c r="AF93" s="1021"/>
      <c r="AG93" s="1021">
        <f>(VLOOKUP(YEAR($A93),'NY East Load Projections'!$A$4:$EO$14,((MONTH($A93)-1)*12)+VLOOKUP(AG$4,$DE$6:$DF$17,2)+1))*$C93</f>
        <v>-340.97268583340849</v>
      </c>
      <c r="AH93" s="1021">
        <f>(VLOOKUP(YEAR($A93),'NY East Load Projections'!$A$4:$EO$14,((MONTH($A93)-1)*12)+VLOOKUP(AH$4,$DE$6:$DF$17,2)+1))*$C93</f>
        <v>-340.97268583340849</v>
      </c>
      <c r="AI93" s="1021">
        <f>(VLOOKUP(YEAR($A93),'NY East Load Projections'!$A$4:$EO$14,((MONTH($A93)-1)*12)+VLOOKUP(AI$4,$DE$6:$DF$17,2)+1))*$C93</f>
        <v>-340.97268583340849</v>
      </c>
      <c r="AJ93" s="1021">
        <f>(VLOOKUP(YEAR($A93),'NY East Load Projections'!$A$4:$EO$14,((MONTH($A93)-1)*12)+VLOOKUP(AJ$4,$DE$6:$DF$17,2)+1))*$C93</f>
        <v>-340.97268583340849</v>
      </c>
      <c r="AK93" s="1021">
        <f>(VLOOKUP(YEAR($A93),'NY East Load Projections'!$A$4:$EO$14,((MONTH($A93)-1)*12)+VLOOKUP(AK$4,$DE$6:$DF$17,2)+1))*$C93</f>
        <v>-346.49670904366445</v>
      </c>
      <c r="AL93" s="1021">
        <f>(VLOOKUP(YEAR($A93),'NY East Load Projections'!$A$4:$EO$14,((MONTH($A93)-1)*12)+VLOOKUP(AL$4,$DE$6:$DF$17,2)+1))*$C93</f>
        <v>-346.49670904366445</v>
      </c>
      <c r="AM93" s="1021">
        <f>(VLOOKUP(YEAR($A93),'NY East Load Projections'!$A$4:$EO$14,((MONTH($A93)-1)*12)+VLOOKUP(AM$4,$DE$6:$DF$17,2)+1))*$C93</f>
        <v>-346.49670904366445</v>
      </c>
      <c r="AN93" s="1021">
        <f>(VLOOKUP(YEAR($A93),'NY East Load Projections'!$A$4:$EO$14,((MONTH($A93)-1)*12)+VLOOKUP(AN$4,$DE$6:$DF$17,2)+1))*$C93</f>
        <v>-346.49670904366445</v>
      </c>
      <c r="AO93" s="1021">
        <f>(VLOOKUP(YEAR($A93),'NY East Load Projections'!$A$4:$EO$14,((MONTH($A93)-1)*12)+VLOOKUP(AO$4,$DE$6:$DF$17,2)+1))*$C93</f>
        <v>-373.11096255447046</v>
      </c>
      <c r="AP93" s="1021">
        <f>(VLOOKUP(YEAR($A93),'NY East Load Projections'!$A$4:$EO$14,((MONTH($A93)-1)*12)+VLOOKUP(AP$4,$DE$6:$DF$17,2)+1))*$C93</f>
        <v>-373.11096255447046</v>
      </c>
      <c r="AQ93" s="1021">
        <f>(VLOOKUP(YEAR($A93),'NY East Load Projections'!$A$4:$EO$14,((MONTH($A93)-1)*12)+VLOOKUP(AQ$4,$DE$6:$DF$17,2)+1))*$C93</f>
        <v>-373.11096255447046</v>
      </c>
      <c r="AR93" s="1021">
        <f>(VLOOKUP(YEAR($A93),'NY East Load Projections'!$A$4:$EO$14,((MONTH($A93)-1)*12)+VLOOKUP(AR$4,$DE$6:$DF$17,2)+1))*$C93</f>
        <v>-373.11096255447046</v>
      </c>
      <c r="AS93" s="1021">
        <f>(VLOOKUP(YEAR($A93),'NY East Load Projections'!$A$4:$EO$14,((MONTH($A93)-1)*12)+VLOOKUP(AS$4,$DE$6:$DF$17,2)+1))*$C93</f>
        <v>-378.62172257251268</v>
      </c>
      <c r="AT93" s="1021">
        <f>(VLOOKUP(YEAR($A93),'NY East Load Projections'!$A$4:$EO$14,((MONTH($A93)-1)*12)+VLOOKUP(AT$4,$DE$6:$DF$17,2)+1))*$C93</f>
        <v>-378.62172257251268</v>
      </c>
      <c r="AU93" s="1021">
        <f>(VLOOKUP(YEAR($A93),'NY East Load Projections'!$A$4:$EO$14,((MONTH($A93)-1)*12)+VLOOKUP(AU$4,$DE$6:$DF$17,2)+1))*$C93</f>
        <v>-378.62172257251268</v>
      </c>
      <c r="AV93" s="1021">
        <f>(VLOOKUP(YEAR($A93),'NY East Load Projections'!$A$4:$EO$14,((MONTH($A93)-1)*12)+VLOOKUP(AV$4,$DE$6:$DF$17,2)+1))*$C93</f>
        <v>-378.62172257251268</v>
      </c>
      <c r="AW93" s="1021">
        <f>(VLOOKUP(YEAR($A93),'NY East Load Projections'!$A$4:$EO$14,((MONTH($A93)-1)*12)+VLOOKUP(AW$4,$DE$6:$DF$17,2)+1))*$C93</f>
        <v>-357.22485848835356</v>
      </c>
      <c r="AX93" s="1021">
        <f>(VLOOKUP(YEAR($A93),'NY East Load Projections'!$A$4:$EO$14,((MONTH($A93)-1)*12)+VLOOKUP(AX$4,$DE$6:$DF$17,2)+1))*$C93</f>
        <v>-357.22485848835356</v>
      </c>
      <c r="AY93" s="1021">
        <f>(VLOOKUP(YEAR($A93),'NY East Load Projections'!$A$4:$EO$14,((MONTH($A93)-1)*12)+VLOOKUP(AY$4,$DE$6:$DF$17,2)+1))*$C93</f>
        <v>-357.22485848835356</v>
      </c>
      <c r="AZ93" s="1021">
        <f>(VLOOKUP(YEAR($A93),'NY East Load Projections'!$A$4:$EO$14,((MONTH($A93)-1)*12)+VLOOKUP(AZ$4,$DE$6:$DF$17,2)+1))*$C93</f>
        <v>-357.22485848835356</v>
      </c>
      <c r="BA93" s="1021">
        <f>(VLOOKUP(YEAR($A93),'NY East Load Projections'!$A$4:$EO$14,((MONTH($A93)-1)*12)+VLOOKUP(BA$4,$DE$6:$DF$17,2)+1))*$C93</f>
        <v>-343.04706276545204</v>
      </c>
      <c r="BB93" s="1021">
        <f>(VLOOKUP(YEAR($A93),'NY East Load Projections'!$A$4:$EO$14,((MONTH($A93)-1)*12)+VLOOKUP(BB$4,$DE$6:$DF$17,2)+1))*$C93</f>
        <v>-343.04706276545204</v>
      </c>
      <c r="BC93" s="1021">
        <f>(VLOOKUP(YEAR($A93),'NY East Load Projections'!$A$4:$EO$14,((MONTH($A93)-1)*12)+VLOOKUP(BC$4,$DE$6:$DF$17,2)+1))*$C93</f>
        <v>-343.04706276545204</v>
      </c>
      <c r="BD93" s="1021">
        <f>(VLOOKUP(YEAR($A93),'NY East Load Projections'!$A$4:$EO$14,((MONTH($A93)-1)*12)+VLOOKUP(BD$4,$DE$6:$DF$17,2)+1))*$C93</f>
        <v>-343.04706276545204</v>
      </c>
      <c r="BE93" s="1021"/>
      <c r="BF93" s="1021">
        <f>(VLOOKUP(YEAR($A93),'NY East Load Projections'!$A$4:$EO$14,((MONTH($A93)-1)*12)+VLOOKUP(BF$4,$DE$6:$DF$17,2)+1))*$D93</f>
        <v>-340.97268583340849</v>
      </c>
      <c r="BG93" s="1021">
        <f>(VLOOKUP(YEAR($A93),'NY East Load Projections'!$A$4:$EO$14,((MONTH($A93)-1)*12)+VLOOKUP(BG$4,$DE$6:$DF$17,2)+1))*$D93</f>
        <v>-340.97268583340849</v>
      </c>
      <c r="BH93" s="1021">
        <f>(VLOOKUP(YEAR($A93),'NY East Load Projections'!$A$4:$EO$14,((MONTH($A93)-1)*12)+VLOOKUP(BH$4,$DE$6:$DF$17,2)+1))*$D93</f>
        <v>-340.97268583340849</v>
      </c>
      <c r="BI93" s="1021">
        <f>(VLOOKUP(YEAR($A93),'NY East Load Projections'!$A$4:$EO$14,((MONTH($A93)-1)*12)+VLOOKUP(BI$4,$DE$6:$DF$17,2)+1))*$D93</f>
        <v>-340.97268583340849</v>
      </c>
      <c r="BJ93" s="1021">
        <f>(VLOOKUP(YEAR($A93),'NY East Load Projections'!$A$4:$EO$14,((MONTH($A93)-1)*12)+VLOOKUP(BJ$4,$DE$6:$DF$17,2)+1))*$D93</f>
        <v>-346.49670904366445</v>
      </c>
      <c r="BK93" s="1021">
        <f>(VLOOKUP(YEAR($A93),'NY East Load Projections'!$A$4:$EO$14,((MONTH($A93)-1)*12)+VLOOKUP(BK$4,$DE$6:$DF$17,2)+1))*$D93</f>
        <v>-346.49670904366445</v>
      </c>
      <c r="BL93" s="1021">
        <f>(VLOOKUP(YEAR($A93),'NY East Load Projections'!$A$4:$EO$14,((MONTH($A93)-1)*12)+VLOOKUP(BL$4,$DE$6:$DF$17,2)+1))*$D93</f>
        <v>-346.49670904366445</v>
      </c>
      <c r="BM93" s="1021">
        <f>(VLOOKUP(YEAR($A93),'NY East Load Projections'!$A$4:$EO$14,((MONTH($A93)-1)*12)+VLOOKUP(BM$4,$DE$6:$DF$17,2)+1))*$D93</f>
        <v>-346.49670904366445</v>
      </c>
      <c r="BN93" s="1021">
        <f>(VLOOKUP(YEAR($A93),'NY East Load Projections'!$A$4:$EO$14,((MONTH($A93)-1)*12)+VLOOKUP(BN$4,$DE$6:$DF$17,2)+1))*$D93</f>
        <v>-373.11096255447046</v>
      </c>
      <c r="BO93" s="1021">
        <f>(VLOOKUP(YEAR($A93),'NY East Load Projections'!$A$4:$EO$14,((MONTH($A93)-1)*12)+VLOOKUP(BO$4,$DE$6:$DF$17,2)+1))*$D93</f>
        <v>-373.11096255447046</v>
      </c>
      <c r="BP93" s="1021">
        <f>(VLOOKUP(YEAR($A93),'NY East Load Projections'!$A$4:$EO$14,((MONTH($A93)-1)*12)+VLOOKUP(BP$4,$DE$6:$DF$17,2)+1))*$D93</f>
        <v>-373.11096255447046</v>
      </c>
      <c r="BQ93" s="1021">
        <f>(VLOOKUP(YEAR($A93),'NY East Load Projections'!$A$4:$EO$14,((MONTH($A93)-1)*12)+VLOOKUP(BQ$4,$DE$6:$DF$17,2)+1))*$D93</f>
        <v>-373.11096255447046</v>
      </c>
      <c r="BR93" s="1021">
        <f>(VLOOKUP(YEAR($A93),'NY East Load Projections'!$A$4:$EO$14,((MONTH($A93)-1)*12)+VLOOKUP(BR$4,$DE$6:$DF$17,2)+1))*$D93</f>
        <v>-378.62172257251268</v>
      </c>
      <c r="BS93" s="1021">
        <f>(VLOOKUP(YEAR($A93),'NY East Load Projections'!$A$4:$EO$14,((MONTH($A93)-1)*12)+VLOOKUP(BS$4,$DE$6:$DF$17,2)+1))*$D93</f>
        <v>-378.62172257251268</v>
      </c>
      <c r="BT93" s="1021">
        <f>(VLOOKUP(YEAR($A93),'NY East Load Projections'!$A$4:$EO$14,((MONTH($A93)-1)*12)+VLOOKUP(BT$4,$DE$6:$DF$17,2)+1))*$D93</f>
        <v>-378.62172257251268</v>
      </c>
      <c r="BU93" s="1021">
        <f>(VLOOKUP(YEAR($A93),'NY East Load Projections'!$A$4:$EO$14,((MONTH($A93)-1)*12)+VLOOKUP(BU$4,$DE$6:$DF$17,2)+1))*$D93</f>
        <v>-378.62172257251268</v>
      </c>
      <c r="BV93" s="1021">
        <f>(VLOOKUP(YEAR($A93),'NY East Load Projections'!$A$4:$EO$14,((MONTH($A93)-1)*12)+VLOOKUP(BV$4,$DE$6:$DF$17,2)+1))*$D93</f>
        <v>-357.22485848835356</v>
      </c>
      <c r="BW93" s="1021">
        <f>(VLOOKUP(YEAR($A93),'NY East Load Projections'!$A$4:$EO$14,((MONTH($A93)-1)*12)+VLOOKUP(BW$4,$DE$6:$DF$17,2)+1))*$D93</f>
        <v>-357.22485848835356</v>
      </c>
      <c r="BX93" s="1021">
        <f>(VLOOKUP(YEAR($A93),'NY East Load Projections'!$A$4:$EO$14,((MONTH($A93)-1)*12)+VLOOKUP(BX$4,$DE$6:$DF$17,2)+1))*$D93</f>
        <v>-357.22485848835356</v>
      </c>
      <c r="BY93" s="1021">
        <f>(VLOOKUP(YEAR($A93),'NY East Load Projections'!$A$4:$EO$14,((MONTH($A93)-1)*12)+VLOOKUP(BY$4,$DE$6:$DF$17,2)+1))*$D93</f>
        <v>-357.22485848835356</v>
      </c>
      <c r="BZ93" s="1021">
        <f>(VLOOKUP(YEAR($A93),'NY East Load Projections'!$A$4:$EO$14,((MONTH($A93)-1)*12)+VLOOKUP(BZ$4,$DE$6:$DF$17,2)+1))*$D93</f>
        <v>-343.04706276545204</v>
      </c>
      <c r="CA93" s="1021">
        <f>(VLOOKUP(YEAR($A93),'NY East Load Projections'!$A$4:$EO$14,((MONTH($A93)-1)*12)+VLOOKUP(CA$4,$DE$6:$DF$17,2)+1))*$D93</f>
        <v>-343.04706276545204</v>
      </c>
      <c r="CB93" s="1021">
        <f>(VLOOKUP(YEAR($A93),'NY East Load Projections'!$A$4:$EO$14,((MONTH($A93)-1)*12)+VLOOKUP(CB$4,$DE$6:$DF$17,2)+1))*$D93</f>
        <v>-343.04706276545204</v>
      </c>
      <c r="CC93" s="1021">
        <f>(VLOOKUP(YEAR($A93),'NY East Load Projections'!$A$4:$EO$14,((MONTH($A93)-1)*12)+VLOOKUP(CC$4,$DE$6:$DF$17,2)+1))*$D93</f>
        <v>-343.04706276545204</v>
      </c>
      <c r="CE93" s="1021">
        <f>(VLOOKUP(YEAR($A93),'NY East Load Projections'!$A$4:$EO$14,((MONTH($A93)-1)*12)+VLOOKUP(CE$4,$DE$6:$DF$17,2)+1))*$E93</f>
        <v>0</v>
      </c>
      <c r="CF93" s="1021">
        <f>(VLOOKUP(YEAR($A93),'NY East Load Projections'!$A$4:$EO$14,((MONTH($A93)-1)*12)+VLOOKUP(CF$4,$DE$6:$DF$17,2)+1))*$E93</f>
        <v>0</v>
      </c>
      <c r="CG93" s="1021">
        <f>(VLOOKUP(YEAR($A93),'NY East Load Projections'!$A$4:$EO$14,((MONTH($A93)-1)*12)+VLOOKUP(CG$4,$DE$6:$DF$17,2)+1))*$E93</f>
        <v>0</v>
      </c>
      <c r="CH93" s="1021">
        <f>(VLOOKUP(YEAR($A93),'NY East Load Projections'!$A$4:$EO$14,((MONTH($A93)-1)*12)+VLOOKUP(CH$4,$DE$6:$DF$17,2)+1))*$E93</f>
        <v>0</v>
      </c>
      <c r="CI93" s="1021">
        <f>(VLOOKUP(YEAR($A93),'NY East Load Projections'!$A$4:$EO$14,((MONTH($A93)-1)*12)+VLOOKUP(CI$4,$DE$6:$DF$17,2)+1))*$E93</f>
        <v>0</v>
      </c>
      <c r="CJ93" s="1021">
        <f>(VLOOKUP(YEAR($A93),'NY East Load Projections'!$A$4:$EO$14,((MONTH($A93)-1)*12)+VLOOKUP(CJ$4,$DE$6:$DF$17,2)+1))*$E93</f>
        <v>0</v>
      </c>
      <c r="CK93" s="1021">
        <f>(VLOOKUP(YEAR($A93),'NY East Load Projections'!$A$4:$EO$14,((MONTH($A93)-1)*12)+VLOOKUP(CK$4,$DE$6:$DF$17,2)+1))*$E93</f>
        <v>0</v>
      </c>
      <c r="CL93" s="1021">
        <f>(VLOOKUP(YEAR($A93),'NY East Load Projections'!$A$4:$EO$14,((MONTH($A93)-1)*12)+VLOOKUP(CL$4,$DE$6:$DF$17,2)+1))*$E93</f>
        <v>0</v>
      </c>
      <c r="CM93" s="1021">
        <f>(VLOOKUP(YEAR($A93),'NY East Load Projections'!$A$4:$EO$14,((MONTH($A93)-1)*12)+VLOOKUP(CM$4,$DE$6:$DF$17,2)+1))*$E93</f>
        <v>0</v>
      </c>
      <c r="CN93" s="1021">
        <f>(VLOOKUP(YEAR($A93),'NY East Load Projections'!$A$4:$EO$14,((MONTH($A93)-1)*12)+VLOOKUP(CN$4,$DE$6:$DF$17,2)+1))*$E93</f>
        <v>0</v>
      </c>
      <c r="CO93" s="1021">
        <f>(VLOOKUP(YEAR($A93),'NY East Load Projections'!$A$4:$EO$14,((MONTH($A93)-1)*12)+VLOOKUP(CO$4,$DE$6:$DF$17,2)+1))*$E93</f>
        <v>0</v>
      </c>
      <c r="CP93" s="1021">
        <f>(VLOOKUP(YEAR($A93),'NY East Load Projections'!$A$4:$EO$14,((MONTH($A93)-1)*12)+VLOOKUP(CP$4,$DE$6:$DF$17,2)+1))*$E93</f>
        <v>0</v>
      </c>
      <c r="CQ93" s="1021">
        <f>(VLOOKUP(YEAR($A93),'NY East Load Projections'!$A$4:$EO$14,((MONTH($A93)-1)*12)+VLOOKUP(CQ$4,$DE$6:$DF$17,2)+1))*$E93</f>
        <v>0</v>
      </c>
      <c r="CR93" s="1021">
        <f>(VLOOKUP(YEAR($A93),'NY East Load Projections'!$A$4:$EO$14,((MONTH($A93)-1)*12)+VLOOKUP(CR$4,$DE$6:$DF$17,2)+1))*$E93</f>
        <v>0</v>
      </c>
      <c r="CS93" s="1021">
        <f>(VLOOKUP(YEAR($A93),'NY East Load Projections'!$A$4:$EO$14,((MONTH($A93)-1)*12)+VLOOKUP(CS$4,$DE$6:$DF$17,2)+1))*$E93</f>
        <v>0</v>
      </c>
      <c r="CT93" s="1021">
        <f>(VLOOKUP(YEAR($A93),'NY East Load Projections'!$A$4:$EO$14,((MONTH($A93)-1)*12)+VLOOKUP(CT$4,$DE$6:$DF$17,2)+1))*$E93</f>
        <v>0</v>
      </c>
      <c r="CU93" s="1021">
        <f>(VLOOKUP(YEAR($A93),'NY East Load Projections'!$A$4:$EO$14,((MONTH($A93)-1)*12)+VLOOKUP(CU$4,$DE$6:$DF$17,2)+1))*$E93</f>
        <v>0</v>
      </c>
      <c r="CV93" s="1021">
        <f>(VLOOKUP(YEAR($A93),'NY East Load Projections'!$A$4:$EO$14,((MONTH($A93)-1)*12)+VLOOKUP(CV$4,$DE$6:$DF$17,2)+1))*$E93</f>
        <v>0</v>
      </c>
      <c r="CW93" s="1021">
        <f>(VLOOKUP(YEAR($A93),'NY East Load Projections'!$A$4:$EO$14,((MONTH($A93)-1)*12)+VLOOKUP(CW$4,$DE$6:$DF$17,2)+1))*$E93</f>
        <v>0</v>
      </c>
      <c r="CX93" s="1021">
        <f>(VLOOKUP(YEAR($A93),'NY East Load Projections'!$A$4:$EO$14,((MONTH($A93)-1)*12)+VLOOKUP(CX$4,$DE$6:$DF$17,2)+1))*$E93</f>
        <v>0</v>
      </c>
      <c r="CY93" s="1021">
        <f>(VLOOKUP(YEAR($A93),'NY East Load Projections'!$A$4:$EO$14,((MONTH($A93)-1)*12)+VLOOKUP(CY$4,$DE$6:$DF$17,2)+1))*$E93</f>
        <v>0</v>
      </c>
      <c r="CZ93" s="1021">
        <f>(VLOOKUP(YEAR($A93),'NY East Load Projections'!$A$4:$EO$14,((MONTH($A93)-1)*12)+VLOOKUP(CZ$4,$DE$6:$DF$17,2)+1))*$E93</f>
        <v>0</v>
      </c>
      <c r="DA93" s="1021">
        <f>(VLOOKUP(YEAR($A93),'NY East Load Projections'!$A$4:$EO$14,((MONTH($A93)-1)*12)+VLOOKUP(DA$4,$DE$6:$DF$17,2)+1))*$E93</f>
        <v>0</v>
      </c>
      <c r="DB93" s="1021">
        <f>(VLOOKUP(YEAR($A93),'NY East Load Projections'!$A$4:$EO$14,((MONTH($A93)-1)*12)+VLOOKUP(DB$4,$DE$6:$DF$17,2)+1))*$E93</f>
        <v>0</v>
      </c>
      <c r="DH93" s="1009">
        <f t="shared" si="3"/>
        <v>-64672.220398162448</v>
      </c>
      <c r="DI93">
        <f ca="1">CALC!J113</f>
        <v>0.5510607206691106</v>
      </c>
      <c r="DJ93" s="1032">
        <f t="shared" ca="1" si="4"/>
        <v>-35638.320379882956</v>
      </c>
    </row>
    <row r="94" spans="1:114" x14ac:dyDescent="0.25">
      <c r="A94" s="244">
        <v>39569</v>
      </c>
      <c r="B94" s="13">
        <v>21</v>
      </c>
      <c r="C94" s="210">
        <v>5</v>
      </c>
      <c r="D94" s="210">
        <v>4</v>
      </c>
      <c r="E94" s="210">
        <v>1</v>
      </c>
      <c r="F94" s="13">
        <v>31</v>
      </c>
      <c r="H94" s="1021">
        <f>(VLOOKUP(YEAR($A94),'NY East Load Projections'!$A$4:$EO$14,((MONTH($A94)-1)*12)+VLOOKUP(H$4,$DE$6:$DF$17,2)+1))*$B94</f>
        <v>-1829.5959659858747</v>
      </c>
      <c r="I94" s="1021">
        <f>(VLOOKUP(YEAR($A94),'NY East Load Projections'!$A$4:$EO$14,((MONTH($A94)-1)*12)+VLOOKUP(I$4,$DE$6:$DF$17,2)+1))*$B94</f>
        <v>-1829.5959659858747</v>
      </c>
      <c r="J94" s="1021">
        <f>(VLOOKUP(YEAR($A94),'NY East Load Projections'!$A$4:$EO$14,((MONTH($A94)-1)*12)+VLOOKUP(J$4,$DE$6:$DF$17,2)+1))*$B94</f>
        <v>-1829.5959659858747</v>
      </c>
      <c r="K94" s="1021">
        <f>(VLOOKUP(YEAR($A94),'NY East Load Projections'!$A$4:$EO$14,((MONTH($A94)-1)*12)+VLOOKUP(K$4,$DE$6:$DF$17,2)+1))*$B94</f>
        <v>-1829.5959659858747</v>
      </c>
      <c r="L94" s="1021">
        <f>(VLOOKUP(YEAR($A94),'NY East Load Projections'!$A$4:$EO$14,((MONTH($A94)-1)*12)+VLOOKUP(L$4,$DE$6:$DF$17,2)+1))*$B94</f>
        <v>-1971.9616712057002</v>
      </c>
      <c r="M94" s="1021">
        <f>(VLOOKUP(YEAR($A94),'NY East Load Projections'!$A$4:$EO$14,((MONTH($A94)-1)*12)+VLOOKUP(M$4,$DE$6:$DF$17,2)+1))*$B94</f>
        <v>-1971.9616712057002</v>
      </c>
      <c r="N94" s="1021">
        <f>(VLOOKUP(YEAR($A94),'NY East Load Projections'!$A$4:$EO$14,((MONTH($A94)-1)*12)+VLOOKUP(N$4,$DE$6:$DF$17,2)+1))*$B94</f>
        <v>-1971.9616712057002</v>
      </c>
      <c r="O94" s="1021">
        <f>(VLOOKUP(YEAR($A94),'NY East Load Projections'!$A$4:$EO$14,((MONTH($A94)-1)*12)+VLOOKUP(O$4,$DE$6:$DF$17,2)+1))*$B94</f>
        <v>-1971.9616712057002</v>
      </c>
      <c r="P94" s="1021">
        <f>(VLOOKUP(YEAR($A94),'NY East Load Projections'!$A$4:$EO$14,((MONTH($A94)-1)*12)+VLOOKUP(P$4,$DE$6:$DF$17,2)+1))*$B94</f>
        <v>-2153.5709752466851</v>
      </c>
      <c r="Q94" s="1021">
        <f>(VLOOKUP(YEAR($A94),'NY East Load Projections'!$A$4:$EO$14,((MONTH($A94)-1)*12)+VLOOKUP(Q$4,$DE$6:$DF$17,2)+1))*$B94</f>
        <v>-2153.5709752466851</v>
      </c>
      <c r="R94" s="1021">
        <f>(VLOOKUP(YEAR($A94),'NY East Load Projections'!$A$4:$EO$14,((MONTH($A94)-1)*12)+VLOOKUP(R$4,$DE$6:$DF$17,2)+1))*$B94</f>
        <v>-2153.5709752466851</v>
      </c>
      <c r="S94" s="1021">
        <f>(VLOOKUP(YEAR($A94),'NY East Load Projections'!$A$4:$EO$14,((MONTH($A94)-1)*12)+VLOOKUP(S$4,$DE$6:$DF$17,2)+1))*$B94</f>
        <v>-2153.5709752466851</v>
      </c>
      <c r="T94" s="1021">
        <f>(VLOOKUP(YEAR($A94),'NY East Load Projections'!$A$4:$EO$14,((MONTH($A94)-1)*12)+VLOOKUP(T$4,$DE$6:$DF$17,2)+1))*$B94</f>
        <v>-2226.6963307911815</v>
      </c>
      <c r="U94" s="1021">
        <f>(VLOOKUP(YEAR($A94),'NY East Load Projections'!$A$4:$EO$14,((MONTH($A94)-1)*12)+VLOOKUP(U$4,$DE$6:$DF$17,2)+1))*$B94</f>
        <v>-2226.6963307911815</v>
      </c>
      <c r="V94" s="1021">
        <f>(VLOOKUP(YEAR($A94),'NY East Load Projections'!$A$4:$EO$14,((MONTH($A94)-1)*12)+VLOOKUP(V$4,$DE$6:$DF$17,2)+1))*$B94</f>
        <v>-2226.6963307911815</v>
      </c>
      <c r="W94" s="1021">
        <f>(VLOOKUP(YEAR($A94),'NY East Load Projections'!$A$4:$EO$14,((MONTH($A94)-1)*12)+VLOOKUP(W$4,$DE$6:$DF$17,2)+1))*$B94</f>
        <v>-2226.6963307911815</v>
      </c>
      <c r="X94" s="1021">
        <f>(VLOOKUP(YEAR($A94),'NY East Load Projections'!$A$4:$EO$14,((MONTH($A94)-1)*12)+VLOOKUP(X$4,$DE$6:$DF$17,2)+1))*$B94</f>
        <v>-2130.4836098362211</v>
      </c>
      <c r="Y94" s="1021">
        <f>(VLOOKUP(YEAR($A94),'NY East Load Projections'!$A$4:$EO$14,((MONTH($A94)-1)*12)+VLOOKUP(Y$4,$DE$6:$DF$17,2)+1))*$B94</f>
        <v>-2130.4836098362211</v>
      </c>
      <c r="Z94" s="1021">
        <f>(VLOOKUP(YEAR($A94),'NY East Load Projections'!$A$4:$EO$14,((MONTH($A94)-1)*12)+VLOOKUP(Z$4,$DE$6:$DF$17,2)+1))*$B94</f>
        <v>-2130.4836098362211</v>
      </c>
      <c r="AA94" s="1021">
        <f>(VLOOKUP(YEAR($A94),'NY East Load Projections'!$A$4:$EO$14,((MONTH($A94)-1)*12)+VLOOKUP(AA$4,$DE$6:$DF$17,2)+1))*$B94</f>
        <v>-2130.4836098362211</v>
      </c>
      <c r="AB94" s="1021">
        <f>(VLOOKUP(YEAR($A94),'NY East Load Projections'!$A$4:$EO$14,((MONTH($A94)-1)*12)+VLOOKUP(AB$4,$DE$6:$DF$17,2)+1))*$B94</f>
        <v>-1920.6917796913958</v>
      </c>
      <c r="AC94" s="1021">
        <f>(VLOOKUP(YEAR($A94),'NY East Load Projections'!$A$4:$EO$14,((MONTH($A94)-1)*12)+VLOOKUP(AC$4,$DE$6:$DF$17,2)+1))*$B94</f>
        <v>-1920.6917796913958</v>
      </c>
      <c r="AD94" s="1021">
        <f>(VLOOKUP(YEAR($A94),'NY East Load Projections'!$A$4:$EO$14,((MONTH($A94)-1)*12)+VLOOKUP(AD$4,$DE$6:$DF$17,2)+1))*$B94</f>
        <v>-1920.6917796913958</v>
      </c>
      <c r="AE94" s="1021">
        <f>(VLOOKUP(YEAR($A94),'NY East Load Projections'!$A$4:$EO$14,((MONTH($A94)-1)*12)+VLOOKUP(AE$4,$DE$6:$DF$17,2)+1))*$B94</f>
        <v>-1920.6917796913958</v>
      </c>
      <c r="AF94" s="1021"/>
      <c r="AG94" s="1021">
        <f>(VLOOKUP(YEAR($A94),'NY East Load Projections'!$A$4:$EO$14,((MONTH($A94)-1)*12)+VLOOKUP(AG$4,$DE$6:$DF$17,2)+1))*$C94</f>
        <v>-454.9162736159596</v>
      </c>
      <c r="AH94" s="1021">
        <f>(VLOOKUP(YEAR($A94),'NY East Load Projections'!$A$4:$EO$14,((MONTH($A94)-1)*12)+VLOOKUP(AH$4,$DE$6:$DF$17,2)+1))*$C94</f>
        <v>-454.9162736159596</v>
      </c>
      <c r="AI94" s="1021">
        <f>(VLOOKUP(YEAR($A94),'NY East Load Projections'!$A$4:$EO$14,((MONTH($A94)-1)*12)+VLOOKUP(AI$4,$DE$6:$DF$17,2)+1))*$C94</f>
        <v>-454.9162736159596</v>
      </c>
      <c r="AJ94" s="1021">
        <f>(VLOOKUP(YEAR($A94),'NY East Load Projections'!$A$4:$EO$14,((MONTH($A94)-1)*12)+VLOOKUP(AJ$4,$DE$6:$DF$17,2)+1))*$C94</f>
        <v>-454.9162736159596</v>
      </c>
      <c r="AK94" s="1021">
        <f>(VLOOKUP(YEAR($A94),'NY East Load Projections'!$A$4:$EO$14,((MONTH($A94)-1)*12)+VLOOKUP(AK$4,$DE$6:$DF$17,2)+1))*$C94</f>
        <v>-462.40777798356243</v>
      </c>
      <c r="AL94" s="1021">
        <f>(VLOOKUP(YEAR($A94),'NY East Load Projections'!$A$4:$EO$14,((MONTH($A94)-1)*12)+VLOOKUP(AL$4,$DE$6:$DF$17,2)+1))*$C94</f>
        <v>-462.40777798356243</v>
      </c>
      <c r="AM94" s="1021">
        <f>(VLOOKUP(YEAR($A94),'NY East Load Projections'!$A$4:$EO$14,((MONTH($A94)-1)*12)+VLOOKUP(AM$4,$DE$6:$DF$17,2)+1))*$C94</f>
        <v>-462.40777798356243</v>
      </c>
      <c r="AN94" s="1021">
        <f>(VLOOKUP(YEAR($A94),'NY East Load Projections'!$A$4:$EO$14,((MONTH($A94)-1)*12)+VLOOKUP(AN$4,$DE$6:$DF$17,2)+1))*$C94</f>
        <v>-462.40777798356243</v>
      </c>
      <c r="AO94" s="1021">
        <f>(VLOOKUP(YEAR($A94),'NY East Load Projections'!$A$4:$EO$14,((MONTH($A94)-1)*12)+VLOOKUP(AO$4,$DE$6:$DF$17,2)+1))*$C94</f>
        <v>-512.32096111643284</v>
      </c>
      <c r="AP94" s="1021">
        <f>(VLOOKUP(YEAR($A94),'NY East Load Projections'!$A$4:$EO$14,((MONTH($A94)-1)*12)+VLOOKUP(AP$4,$DE$6:$DF$17,2)+1))*$C94</f>
        <v>-512.32096111643284</v>
      </c>
      <c r="AQ94" s="1021">
        <f>(VLOOKUP(YEAR($A94),'NY East Load Projections'!$A$4:$EO$14,((MONTH($A94)-1)*12)+VLOOKUP(AQ$4,$DE$6:$DF$17,2)+1))*$C94</f>
        <v>-512.32096111643284</v>
      </c>
      <c r="AR94" s="1021">
        <f>(VLOOKUP(YEAR($A94),'NY East Load Projections'!$A$4:$EO$14,((MONTH($A94)-1)*12)+VLOOKUP(AR$4,$DE$6:$DF$17,2)+1))*$C94</f>
        <v>-512.32096111643284</v>
      </c>
      <c r="AS94" s="1021">
        <f>(VLOOKUP(YEAR($A94),'NY East Load Projections'!$A$4:$EO$14,((MONTH($A94)-1)*12)+VLOOKUP(AS$4,$DE$6:$DF$17,2)+1))*$C94</f>
        <v>-521.40972225462224</v>
      </c>
      <c r="AT94" s="1021">
        <f>(VLOOKUP(YEAR($A94),'NY East Load Projections'!$A$4:$EO$14,((MONTH($A94)-1)*12)+VLOOKUP(AT$4,$DE$6:$DF$17,2)+1))*$C94</f>
        <v>-521.40972225462224</v>
      </c>
      <c r="AU94" s="1021">
        <f>(VLOOKUP(YEAR($A94),'NY East Load Projections'!$A$4:$EO$14,((MONTH($A94)-1)*12)+VLOOKUP(AU$4,$DE$6:$DF$17,2)+1))*$C94</f>
        <v>-521.40972225462224</v>
      </c>
      <c r="AV94" s="1021">
        <f>(VLOOKUP(YEAR($A94),'NY East Load Projections'!$A$4:$EO$14,((MONTH($A94)-1)*12)+VLOOKUP(AV$4,$DE$6:$DF$17,2)+1))*$C94</f>
        <v>-521.40972225462224</v>
      </c>
      <c r="AW94" s="1021">
        <f>(VLOOKUP(YEAR($A94),'NY East Load Projections'!$A$4:$EO$14,((MONTH($A94)-1)*12)+VLOOKUP(AW$4,$DE$6:$DF$17,2)+1))*$C94</f>
        <v>-488.48973721140794</v>
      </c>
      <c r="AX94" s="1021">
        <f>(VLOOKUP(YEAR($A94),'NY East Load Projections'!$A$4:$EO$14,((MONTH($A94)-1)*12)+VLOOKUP(AX$4,$DE$6:$DF$17,2)+1))*$C94</f>
        <v>-488.48973721140794</v>
      </c>
      <c r="AY94" s="1021">
        <f>(VLOOKUP(YEAR($A94),'NY East Load Projections'!$A$4:$EO$14,((MONTH($A94)-1)*12)+VLOOKUP(AY$4,$DE$6:$DF$17,2)+1))*$C94</f>
        <v>-488.48973721140794</v>
      </c>
      <c r="AZ94" s="1021">
        <f>(VLOOKUP(YEAR($A94),'NY East Load Projections'!$A$4:$EO$14,((MONTH($A94)-1)*12)+VLOOKUP(AZ$4,$DE$6:$DF$17,2)+1))*$C94</f>
        <v>-488.48973721140794</v>
      </c>
      <c r="BA94" s="1021">
        <f>(VLOOKUP(YEAR($A94),'NY East Load Projections'!$A$4:$EO$14,((MONTH($A94)-1)*12)+VLOOKUP(BA$4,$DE$6:$DF$17,2)+1))*$C94</f>
        <v>-465.70601878557403</v>
      </c>
      <c r="BB94" s="1021">
        <f>(VLOOKUP(YEAR($A94),'NY East Load Projections'!$A$4:$EO$14,((MONTH($A94)-1)*12)+VLOOKUP(BB$4,$DE$6:$DF$17,2)+1))*$C94</f>
        <v>-465.70601878557403</v>
      </c>
      <c r="BC94" s="1021">
        <f>(VLOOKUP(YEAR($A94),'NY East Load Projections'!$A$4:$EO$14,((MONTH($A94)-1)*12)+VLOOKUP(BC$4,$DE$6:$DF$17,2)+1))*$C94</f>
        <v>-465.70601878557403</v>
      </c>
      <c r="BD94" s="1021">
        <f>(VLOOKUP(YEAR($A94),'NY East Load Projections'!$A$4:$EO$14,((MONTH($A94)-1)*12)+VLOOKUP(BD$4,$DE$6:$DF$17,2)+1))*$C94</f>
        <v>-465.70601878557403</v>
      </c>
      <c r="BE94" s="1021"/>
      <c r="BF94" s="1021">
        <f>(VLOOKUP(YEAR($A94),'NY East Load Projections'!$A$4:$EO$14,((MONTH($A94)-1)*12)+VLOOKUP(BF$4,$DE$6:$DF$17,2)+1))*$D94</f>
        <v>-363.93301889276768</v>
      </c>
      <c r="BG94" s="1021">
        <f>(VLOOKUP(YEAR($A94),'NY East Load Projections'!$A$4:$EO$14,((MONTH($A94)-1)*12)+VLOOKUP(BG$4,$DE$6:$DF$17,2)+1))*$D94</f>
        <v>-363.93301889276768</v>
      </c>
      <c r="BH94" s="1021">
        <f>(VLOOKUP(YEAR($A94),'NY East Load Projections'!$A$4:$EO$14,((MONTH($A94)-1)*12)+VLOOKUP(BH$4,$DE$6:$DF$17,2)+1))*$D94</f>
        <v>-363.93301889276768</v>
      </c>
      <c r="BI94" s="1021">
        <f>(VLOOKUP(YEAR($A94),'NY East Load Projections'!$A$4:$EO$14,((MONTH($A94)-1)*12)+VLOOKUP(BI$4,$DE$6:$DF$17,2)+1))*$D94</f>
        <v>-363.93301889276768</v>
      </c>
      <c r="BJ94" s="1021">
        <f>(VLOOKUP(YEAR($A94),'NY East Load Projections'!$A$4:$EO$14,((MONTH($A94)-1)*12)+VLOOKUP(BJ$4,$DE$6:$DF$17,2)+1))*$D94</f>
        <v>-369.92622238684993</v>
      </c>
      <c r="BK94" s="1021">
        <f>(VLOOKUP(YEAR($A94),'NY East Load Projections'!$A$4:$EO$14,((MONTH($A94)-1)*12)+VLOOKUP(BK$4,$DE$6:$DF$17,2)+1))*$D94</f>
        <v>-369.92622238684993</v>
      </c>
      <c r="BL94" s="1021">
        <f>(VLOOKUP(YEAR($A94),'NY East Load Projections'!$A$4:$EO$14,((MONTH($A94)-1)*12)+VLOOKUP(BL$4,$DE$6:$DF$17,2)+1))*$D94</f>
        <v>-369.92622238684993</v>
      </c>
      <c r="BM94" s="1021">
        <f>(VLOOKUP(YEAR($A94),'NY East Load Projections'!$A$4:$EO$14,((MONTH($A94)-1)*12)+VLOOKUP(BM$4,$DE$6:$DF$17,2)+1))*$D94</f>
        <v>-369.92622238684993</v>
      </c>
      <c r="BN94" s="1021">
        <f>(VLOOKUP(YEAR($A94),'NY East Load Projections'!$A$4:$EO$14,((MONTH($A94)-1)*12)+VLOOKUP(BN$4,$DE$6:$DF$17,2)+1))*$D94</f>
        <v>-409.85676889314624</v>
      </c>
      <c r="BO94" s="1021">
        <f>(VLOOKUP(YEAR($A94),'NY East Load Projections'!$A$4:$EO$14,((MONTH($A94)-1)*12)+VLOOKUP(BO$4,$DE$6:$DF$17,2)+1))*$D94</f>
        <v>-409.85676889314624</v>
      </c>
      <c r="BP94" s="1021">
        <f>(VLOOKUP(YEAR($A94),'NY East Load Projections'!$A$4:$EO$14,((MONTH($A94)-1)*12)+VLOOKUP(BP$4,$DE$6:$DF$17,2)+1))*$D94</f>
        <v>-409.85676889314624</v>
      </c>
      <c r="BQ94" s="1021">
        <f>(VLOOKUP(YEAR($A94),'NY East Load Projections'!$A$4:$EO$14,((MONTH($A94)-1)*12)+VLOOKUP(BQ$4,$DE$6:$DF$17,2)+1))*$D94</f>
        <v>-409.85676889314624</v>
      </c>
      <c r="BR94" s="1021">
        <f>(VLOOKUP(YEAR($A94),'NY East Load Projections'!$A$4:$EO$14,((MONTH($A94)-1)*12)+VLOOKUP(BR$4,$DE$6:$DF$17,2)+1))*$D94</f>
        <v>-417.12777780369782</v>
      </c>
      <c r="BS94" s="1021">
        <f>(VLOOKUP(YEAR($A94),'NY East Load Projections'!$A$4:$EO$14,((MONTH($A94)-1)*12)+VLOOKUP(BS$4,$DE$6:$DF$17,2)+1))*$D94</f>
        <v>-417.12777780369782</v>
      </c>
      <c r="BT94" s="1021">
        <f>(VLOOKUP(YEAR($A94),'NY East Load Projections'!$A$4:$EO$14,((MONTH($A94)-1)*12)+VLOOKUP(BT$4,$DE$6:$DF$17,2)+1))*$D94</f>
        <v>-417.12777780369782</v>
      </c>
      <c r="BU94" s="1021">
        <f>(VLOOKUP(YEAR($A94),'NY East Load Projections'!$A$4:$EO$14,((MONTH($A94)-1)*12)+VLOOKUP(BU$4,$DE$6:$DF$17,2)+1))*$D94</f>
        <v>-417.12777780369782</v>
      </c>
      <c r="BV94" s="1021">
        <f>(VLOOKUP(YEAR($A94),'NY East Load Projections'!$A$4:$EO$14,((MONTH($A94)-1)*12)+VLOOKUP(BV$4,$DE$6:$DF$17,2)+1))*$D94</f>
        <v>-390.79178976912635</v>
      </c>
      <c r="BW94" s="1021">
        <f>(VLOOKUP(YEAR($A94),'NY East Load Projections'!$A$4:$EO$14,((MONTH($A94)-1)*12)+VLOOKUP(BW$4,$DE$6:$DF$17,2)+1))*$D94</f>
        <v>-390.79178976912635</v>
      </c>
      <c r="BX94" s="1021">
        <f>(VLOOKUP(YEAR($A94),'NY East Load Projections'!$A$4:$EO$14,((MONTH($A94)-1)*12)+VLOOKUP(BX$4,$DE$6:$DF$17,2)+1))*$D94</f>
        <v>-390.79178976912635</v>
      </c>
      <c r="BY94" s="1021">
        <f>(VLOOKUP(YEAR($A94),'NY East Load Projections'!$A$4:$EO$14,((MONTH($A94)-1)*12)+VLOOKUP(BY$4,$DE$6:$DF$17,2)+1))*$D94</f>
        <v>-390.79178976912635</v>
      </c>
      <c r="BZ94" s="1021">
        <f>(VLOOKUP(YEAR($A94),'NY East Load Projections'!$A$4:$EO$14,((MONTH($A94)-1)*12)+VLOOKUP(BZ$4,$DE$6:$DF$17,2)+1))*$D94</f>
        <v>-372.56481502845924</v>
      </c>
      <c r="CA94" s="1021">
        <f>(VLOOKUP(YEAR($A94),'NY East Load Projections'!$A$4:$EO$14,((MONTH($A94)-1)*12)+VLOOKUP(CA$4,$DE$6:$DF$17,2)+1))*$D94</f>
        <v>-372.56481502845924</v>
      </c>
      <c r="CB94" s="1021">
        <f>(VLOOKUP(YEAR($A94),'NY East Load Projections'!$A$4:$EO$14,((MONTH($A94)-1)*12)+VLOOKUP(CB$4,$DE$6:$DF$17,2)+1))*$D94</f>
        <v>-372.56481502845924</v>
      </c>
      <c r="CC94" s="1021">
        <f>(VLOOKUP(YEAR($A94),'NY East Load Projections'!$A$4:$EO$14,((MONTH($A94)-1)*12)+VLOOKUP(CC$4,$DE$6:$DF$17,2)+1))*$D94</f>
        <v>-372.56481502845924</v>
      </c>
      <c r="CE94" s="1021">
        <f>(VLOOKUP(YEAR($A94),'NY East Load Projections'!$A$4:$EO$14,((MONTH($A94)-1)*12)+VLOOKUP(CE$4,$DE$6:$DF$17,2)+1))*$E94</f>
        <v>-90.983254723191919</v>
      </c>
      <c r="CF94" s="1021">
        <f>(VLOOKUP(YEAR($A94),'NY East Load Projections'!$A$4:$EO$14,((MONTH($A94)-1)*12)+VLOOKUP(CF$4,$DE$6:$DF$17,2)+1))*$E94</f>
        <v>-90.983254723191919</v>
      </c>
      <c r="CG94" s="1021">
        <f>(VLOOKUP(YEAR($A94),'NY East Load Projections'!$A$4:$EO$14,((MONTH($A94)-1)*12)+VLOOKUP(CG$4,$DE$6:$DF$17,2)+1))*$E94</f>
        <v>-90.983254723191919</v>
      </c>
      <c r="CH94" s="1021">
        <f>(VLOOKUP(YEAR($A94),'NY East Load Projections'!$A$4:$EO$14,((MONTH($A94)-1)*12)+VLOOKUP(CH$4,$DE$6:$DF$17,2)+1))*$E94</f>
        <v>-90.983254723191919</v>
      </c>
      <c r="CI94" s="1021">
        <f>(VLOOKUP(YEAR($A94),'NY East Load Projections'!$A$4:$EO$14,((MONTH($A94)-1)*12)+VLOOKUP(CI$4,$DE$6:$DF$17,2)+1))*$E94</f>
        <v>-92.481555596712482</v>
      </c>
      <c r="CJ94" s="1021">
        <f>(VLOOKUP(YEAR($A94),'NY East Load Projections'!$A$4:$EO$14,((MONTH($A94)-1)*12)+VLOOKUP(CJ$4,$DE$6:$DF$17,2)+1))*$E94</f>
        <v>-92.481555596712482</v>
      </c>
      <c r="CK94" s="1021">
        <f>(VLOOKUP(YEAR($A94),'NY East Load Projections'!$A$4:$EO$14,((MONTH($A94)-1)*12)+VLOOKUP(CK$4,$DE$6:$DF$17,2)+1))*$E94</f>
        <v>-92.481555596712482</v>
      </c>
      <c r="CL94" s="1021">
        <f>(VLOOKUP(YEAR($A94),'NY East Load Projections'!$A$4:$EO$14,((MONTH($A94)-1)*12)+VLOOKUP(CL$4,$DE$6:$DF$17,2)+1))*$E94</f>
        <v>-92.481555596712482</v>
      </c>
      <c r="CM94" s="1021">
        <f>(VLOOKUP(YEAR($A94),'NY East Load Projections'!$A$4:$EO$14,((MONTH($A94)-1)*12)+VLOOKUP(CM$4,$DE$6:$DF$17,2)+1))*$E94</f>
        <v>-102.46419222328656</v>
      </c>
      <c r="CN94" s="1021">
        <f>(VLOOKUP(YEAR($A94),'NY East Load Projections'!$A$4:$EO$14,((MONTH($A94)-1)*12)+VLOOKUP(CN$4,$DE$6:$DF$17,2)+1))*$E94</f>
        <v>-102.46419222328656</v>
      </c>
      <c r="CO94" s="1021">
        <f>(VLOOKUP(YEAR($A94),'NY East Load Projections'!$A$4:$EO$14,((MONTH($A94)-1)*12)+VLOOKUP(CO$4,$DE$6:$DF$17,2)+1))*$E94</f>
        <v>-102.46419222328656</v>
      </c>
      <c r="CP94" s="1021">
        <f>(VLOOKUP(YEAR($A94),'NY East Load Projections'!$A$4:$EO$14,((MONTH($A94)-1)*12)+VLOOKUP(CP$4,$DE$6:$DF$17,2)+1))*$E94</f>
        <v>-102.46419222328656</v>
      </c>
      <c r="CQ94" s="1021">
        <f>(VLOOKUP(YEAR($A94),'NY East Load Projections'!$A$4:$EO$14,((MONTH($A94)-1)*12)+VLOOKUP(CQ$4,$DE$6:$DF$17,2)+1))*$E94</f>
        <v>-104.28194445092446</v>
      </c>
      <c r="CR94" s="1021">
        <f>(VLOOKUP(YEAR($A94),'NY East Load Projections'!$A$4:$EO$14,((MONTH($A94)-1)*12)+VLOOKUP(CR$4,$DE$6:$DF$17,2)+1))*$E94</f>
        <v>-104.28194445092446</v>
      </c>
      <c r="CS94" s="1021">
        <f>(VLOOKUP(YEAR($A94),'NY East Load Projections'!$A$4:$EO$14,((MONTH($A94)-1)*12)+VLOOKUP(CS$4,$DE$6:$DF$17,2)+1))*$E94</f>
        <v>-104.28194445092446</v>
      </c>
      <c r="CT94" s="1021">
        <f>(VLOOKUP(YEAR($A94),'NY East Load Projections'!$A$4:$EO$14,((MONTH($A94)-1)*12)+VLOOKUP(CT$4,$DE$6:$DF$17,2)+1))*$E94</f>
        <v>-104.28194445092446</v>
      </c>
      <c r="CU94" s="1021">
        <f>(VLOOKUP(YEAR($A94),'NY East Load Projections'!$A$4:$EO$14,((MONTH($A94)-1)*12)+VLOOKUP(CU$4,$DE$6:$DF$17,2)+1))*$E94</f>
        <v>-97.697947442281588</v>
      </c>
      <c r="CV94" s="1021">
        <f>(VLOOKUP(YEAR($A94),'NY East Load Projections'!$A$4:$EO$14,((MONTH($A94)-1)*12)+VLOOKUP(CV$4,$DE$6:$DF$17,2)+1))*$E94</f>
        <v>-97.697947442281588</v>
      </c>
      <c r="CW94" s="1021">
        <f>(VLOOKUP(YEAR($A94),'NY East Load Projections'!$A$4:$EO$14,((MONTH($A94)-1)*12)+VLOOKUP(CW$4,$DE$6:$DF$17,2)+1))*$E94</f>
        <v>-97.697947442281588</v>
      </c>
      <c r="CX94" s="1021">
        <f>(VLOOKUP(YEAR($A94),'NY East Load Projections'!$A$4:$EO$14,((MONTH($A94)-1)*12)+VLOOKUP(CX$4,$DE$6:$DF$17,2)+1))*$E94</f>
        <v>-97.697947442281588</v>
      </c>
      <c r="CY94" s="1021">
        <f>(VLOOKUP(YEAR($A94),'NY East Load Projections'!$A$4:$EO$14,((MONTH($A94)-1)*12)+VLOOKUP(CY$4,$DE$6:$DF$17,2)+1))*$E94</f>
        <v>-93.141203757114809</v>
      </c>
      <c r="CZ94" s="1021">
        <f>(VLOOKUP(YEAR($A94),'NY East Load Projections'!$A$4:$EO$14,((MONTH($A94)-1)*12)+VLOOKUP(CZ$4,$DE$6:$DF$17,2)+1))*$E94</f>
        <v>-93.141203757114809</v>
      </c>
      <c r="DA94" s="1021">
        <f>(VLOOKUP(YEAR($A94),'NY East Load Projections'!$A$4:$EO$14,((MONTH($A94)-1)*12)+VLOOKUP(DA$4,$DE$6:$DF$17,2)+1))*$E94</f>
        <v>-93.141203757114809</v>
      </c>
      <c r="DB94" s="1021">
        <f>(VLOOKUP(YEAR($A94),'NY East Load Projections'!$A$4:$EO$14,((MONTH($A94)-1)*12)+VLOOKUP(DB$4,$DE$6:$DF$17,2)+1))*$E94</f>
        <v>-93.141203757114809</v>
      </c>
      <c r="DH94" s="1009">
        <f t="shared" si="3"/>
        <v>-72174.005258768666</v>
      </c>
      <c r="DI94">
        <f ca="1">CALC!J114</f>
        <v>0.54761412968906398</v>
      </c>
      <c r="DJ94" s="1032">
        <f t="shared" ca="1" si="4"/>
        <v>-39523.505075954527</v>
      </c>
    </row>
    <row r="95" spans="1:114" x14ac:dyDescent="0.25">
      <c r="A95" s="244">
        <v>39600</v>
      </c>
      <c r="B95" s="13">
        <v>21</v>
      </c>
      <c r="C95" s="210">
        <v>4</v>
      </c>
      <c r="D95" s="210">
        <v>5</v>
      </c>
      <c r="E95" s="210">
        <v>0</v>
      </c>
      <c r="F95" s="13">
        <v>30</v>
      </c>
      <c r="H95" s="1021">
        <f>(VLOOKUP(YEAR($A95),'NY East Load Projections'!$A$4:$EO$14,((MONTH($A95)-1)*12)+VLOOKUP(H$4,$DE$6:$DF$17,2)+1))*$B95</f>
        <v>-1918.4966260904293</v>
      </c>
      <c r="I95" s="1021">
        <f>(VLOOKUP(YEAR($A95),'NY East Load Projections'!$A$4:$EO$14,((MONTH($A95)-1)*12)+VLOOKUP(I$4,$DE$6:$DF$17,2)+1))*$B95</f>
        <v>-1918.4966260904293</v>
      </c>
      <c r="J95" s="1021">
        <f>(VLOOKUP(YEAR($A95),'NY East Load Projections'!$A$4:$EO$14,((MONTH($A95)-1)*12)+VLOOKUP(J$4,$DE$6:$DF$17,2)+1))*$B95</f>
        <v>-1918.4966260904293</v>
      </c>
      <c r="K95" s="1021">
        <f>(VLOOKUP(YEAR($A95),'NY East Load Projections'!$A$4:$EO$14,((MONTH($A95)-1)*12)+VLOOKUP(K$4,$DE$6:$DF$17,2)+1))*$B95</f>
        <v>-1918.4966260904293</v>
      </c>
      <c r="L95" s="1021">
        <f>(VLOOKUP(YEAR($A95),'NY East Load Projections'!$A$4:$EO$14,((MONTH($A95)-1)*12)+VLOOKUP(L$4,$DE$6:$DF$17,2)+1))*$B95</f>
        <v>-2061.4041828699469</v>
      </c>
      <c r="M95" s="1021">
        <f>(VLOOKUP(YEAR($A95),'NY East Load Projections'!$A$4:$EO$14,((MONTH($A95)-1)*12)+VLOOKUP(M$4,$DE$6:$DF$17,2)+1))*$B95</f>
        <v>-2061.4041828699469</v>
      </c>
      <c r="N95" s="1021">
        <f>(VLOOKUP(YEAR($A95),'NY East Load Projections'!$A$4:$EO$14,((MONTH($A95)-1)*12)+VLOOKUP(N$4,$DE$6:$DF$17,2)+1))*$B95</f>
        <v>-2061.4041828699469</v>
      </c>
      <c r="O95" s="1021">
        <f>(VLOOKUP(YEAR($A95),'NY East Load Projections'!$A$4:$EO$14,((MONTH($A95)-1)*12)+VLOOKUP(O$4,$DE$6:$DF$17,2)+1))*$B95</f>
        <v>-2061.4041828699469</v>
      </c>
      <c r="P95" s="1021">
        <f>(VLOOKUP(YEAR($A95),'NY East Load Projections'!$A$4:$EO$14,((MONTH($A95)-1)*12)+VLOOKUP(P$4,$DE$6:$DF$17,2)+1))*$B95</f>
        <v>-2246.5140128595031</v>
      </c>
      <c r="Q95" s="1021">
        <f>(VLOOKUP(YEAR($A95),'NY East Load Projections'!$A$4:$EO$14,((MONTH($A95)-1)*12)+VLOOKUP(Q$4,$DE$6:$DF$17,2)+1))*$B95</f>
        <v>-2246.5140128595031</v>
      </c>
      <c r="R95" s="1021">
        <f>(VLOOKUP(YEAR($A95),'NY East Load Projections'!$A$4:$EO$14,((MONTH($A95)-1)*12)+VLOOKUP(R$4,$DE$6:$DF$17,2)+1))*$B95</f>
        <v>-2246.5140128595031</v>
      </c>
      <c r="S95" s="1021">
        <f>(VLOOKUP(YEAR($A95),'NY East Load Projections'!$A$4:$EO$14,((MONTH($A95)-1)*12)+VLOOKUP(S$4,$DE$6:$DF$17,2)+1))*$B95</f>
        <v>-2246.5140128595031</v>
      </c>
      <c r="T95" s="1021">
        <f>(VLOOKUP(YEAR($A95),'NY East Load Projections'!$A$4:$EO$14,((MONTH($A95)-1)*12)+VLOOKUP(T$4,$DE$6:$DF$17,2)+1))*$B95</f>
        <v>-2300.0581511291102</v>
      </c>
      <c r="U95" s="1021">
        <f>(VLOOKUP(YEAR($A95),'NY East Load Projections'!$A$4:$EO$14,((MONTH($A95)-1)*12)+VLOOKUP(U$4,$DE$6:$DF$17,2)+1))*$B95</f>
        <v>-2300.0581511291102</v>
      </c>
      <c r="V95" s="1021">
        <f>(VLOOKUP(YEAR($A95),'NY East Load Projections'!$A$4:$EO$14,((MONTH($A95)-1)*12)+VLOOKUP(V$4,$DE$6:$DF$17,2)+1))*$B95</f>
        <v>-2300.0581511291102</v>
      </c>
      <c r="W95" s="1021">
        <f>(VLOOKUP(YEAR($A95),'NY East Load Projections'!$A$4:$EO$14,((MONTH($A95)-1)*12)+VLOOKUP(W$4,$DE$6:$DF$17,2)+1))*$B95</f>
        <v>-2300.0581511291102</v>
      </c>
      <c r="X95" s="1021">
        <f>(VLOOKUP(YEAR($A95),'NY East Load Projections'!$A$4:$EO$14,((MONTH($A95)-1)*12)+VLOOKUP(X$4,$DE$6:$DF$17,2)+1))*$B95</f>
        <v>-2211.5471049954235</v>
      </c>
      <c r="Y95" s="1021">
        <f>(VLOOKUP(YEAR($A95),'NY East Load Projections'!$A$4:$EO$14,((MONTH($A95)-1)*12)+VLOOKUP(Y$4,$DE$6:$DF$17,2)+1))*$B95</f>
        <v>-2211.5471049954235</v>
      </c>
      <c r="Z95" s="1021">
        <f>(VLOOKUP(YEAR($A95),'NY East Load Projections'!$A$4:$EO$14,((MONTH($A95)-1)*12)+VLOOKUP(Z$4,$DE$6:$DF$17,2)+1))*$B95</f>
        <v>-2211.5471049954235</v>
      </c>
      <c r="AA95" s="1021">
        <f>(VLOOKUP(YEAR($A95),'NY East Load Projections'!$A$4:$EO$14,((MONTH($A95)-1)*12)+VLOOKUP(AA$4,$DE$6:$DF$17,2)+1))*$B95</f>
        <v>-2211.5471049954235</v>
      </c>
      <c r="AB95" s="1021">
        <f>(VLOOKUP(YEAR($A95),'NY East Load Projections'!$A$4:$EO$14,((MONTH($A95)-1)*12)+VLOOKUP(AB$4,$DE$6:$DF$17,2)+1))*$B95</f>
        <v>-2009.7356719744007</v>
      </c>
      <c r="AC95" s="1021">
        <f>(VLOOKUP(YEAR($A95),'NY East Load Projections'!$A$4:$EO$14,((MONTH($A95)-1)*12)+VLOOKUP(AC$4,$DE$6:$DF$17,2)+1))*$B95</f>
        <v>-2009.7356719744007</v>
      </c>
      <c r="AD95" s="1021">
        <f>(VLOOKUP(YEAR($A95),'NY East Load Projections'!$A$4:$EO$14,((MONTH($A95)-1)*12)+VLOOKUP(AD$4,$DE$6:$DF$17,2)+1))*$B95</f>
        <v>-2009.7356719744007</v>
      </c>
      <c r="AE95" s="1021">
        <f>(VLOOKUP(YEAR($A95),'NY East Load Projections'!$A$4:$EO$14,((MONTH($A95)-1)*12)+VLOOKUP(AE$4,$DE$6:$DF$17,2)+1))*$B95</f>
        <v>-2009.7356719744007</v>
      </c>
      <c r="AF95" s="1021"/>
      <c r="AG95" s="1021">
        <f>(VLOOKUP(YEAR($A95),'NY East Load Projections'!$A$4:$EO$14,((MONTH($A95)-1)*12)+VLOOKUP(AG$4,$DE$6:$DF$17,2)+1))*$C95</f>
        <v>-371.2540912565525</v>
      </c>
      <c r="AH95" s="1021">
        <f>(VLOOKUP(YEAR($A95),'NY East Load Projections'!$A$4:$EO$14,((MONTH($A95)-1)*12)+VLOOKUP(AH$4,$DE$6:$DF$17,2)+1))*$C95</f>
        <v>-371.2540912565525</v>
      </c>
      <c r="AI95" s="1021">
        <f>(VLOOKUP(YEAR($A95),'NY East Load Projections'!$A$4:$EO$14,((MONTH($A95)-1)*12)+VLOOKUP(AI$4,$DE$6:$DF$17,2)+1))*$C95</f>
        <v>-371.2540912565525</v>
      </c>
      <c r="AJ95" s="1021">
        <f>(VLOOKUP(YEAR($A95),'NY East Load Projections'!$A$4:$EO$14,((MONTH($A95)-1)*12)+VLOOKUP(AJ$4,$DE$6:$DF$17,2)+1))*$C95</f>
        <v>-371.2540912565525</v>
      </c>
      <c r="AK95" s="1021">
        <f>(VLOOKUP(YEAR($A95),'NY East Load Projections'!$A$4:$EO$14,((MONTH($A95)-1)*12)+VLOOKUP(AK$4,$DE$6:$DF$17,2)+1))*$C95</f>
        <v>-375.32491621679702</v>
      </c>
      <c r="AL95" s="1021">
        <f>(VLOOKUP(YEAR($A95),'NY East Load Projections'!$A$4:$EO$14,((MONTH($A95)-1)*12)+VLOOKUP(AL$4,$DE$6:$DF$17,2)+1))*$C95</f>
        <v>-375.32491621679702</v>
      </c>
      <c r="AM95" s="1021">
        <f>(VLOOKUP(YEAR($A95),'NY East Load Projections'!$A$4:$EO$14,((MONTH($A95)-1)*12)+VLOOKUP(AM$4,$DE$6:$DF$17,2)+1))*$C95</f>
        <v>-375.32491621679702</v>
      </c>
      <c r="AN95" s="1021">
        <f>(VLOOKUP(YEAR($A95),'NY East Load Projections'!$A$4:$EO$14,((MONTH($A95)-1)*12)+VLOOKUP(AN$4,$DE$6:$DF$17,2)+1))*$C95</f>
        <v>-375.32491621679702</v>
      </c>
      <c r="AO95" s="1021">
        <f>(VLOOKUP(YEAR($A95),'NY East Load Projections'!$A$4:$EO$14,((MONTH($A95)-1)*12)+VLOOKUP(AO$4,$DE$6:$DF$17,2)+1))*$C95</f>
        <v>-406.80085997733715</v>
      </c>
      <c r="AP95" s="1021">
        <f>(VLOOKUP(YEAR($A95),'NY East Load Projections'!$A$4:$EO$14,((MONTH($A95)-1)*12)+VLOOKUP(AP$4,$DE$6:$DF$17,2)+1))*$C95</f>
        <v>-406.80085997733715</v>
      </c>
      <c r="AQ95" s="1021">
        <f>(VLOOKUP(YEAR($A95),'NY East Load Projections'!$A$4:$EO$14,((MONTH($A95)-1)*12)+VLOOKUP(AQ$4,$DE$6:$DF$17,2)+1))*$C95</f>
        <v>-406.80085997733715</v>
      </c>
      <c r="AR95" s="1021">
        <f>(VLOOKUP(YEAR($A95),'NY East Load Projections'!$A$4:$EO$14,((MONTH($A95)-1)*12)+VLOOKUP(AR$4,$DE$6:$DF$17,2)+1))*$C95</f>
        <v>-406.80085997733715</v>
      </c>
      <c r="AS95" s="1021">
        <f>(VLOOKUP(YEAR($A95),'NY East Load Projections'!$A$4:$EO$14,((MONTH($A95)-1)*12)+VLOOKUP(AS$4,$DE$6:$DF$17,2)+1))*$C95</f>
        <v>-417.32283119733393</v>
      </c>
      <c r="AT95" s="1021">
        <f>(VLOOKUP(YEAR($A95),'NY East Load Projections'!$A$4:$EO$14,((MONTH($A95)-1)*12)+VLOOKUP(AT$4,$DE$6:$DF$17,2)+1))*$C95</f>
        <v>-417.32283119733393</v>
      </c>
      <c r="AU95" s="1021">
        <f>(VLOOKUP(YEAR($A95),'NY East Load Projections'!$A$4:$EO$14,((MONTH($A95)-1)*12)+VLOOKUP(AU$4,$DE$6:$DF$17,2)+1))*$C95</f>
        <v>-417.32283119733393</v>
      </c>
      <c r="AV95" s="1021">
        <f>(VLOOKUP(YEAR($A95),'NY East Load Projections'!$A$4:$EO$14,((MONTH($A95)-1)*12)+VLOOKUP(AV$4,$DE$6:$DF$17,2)+1))*$C95</f>
        <v>-417.32283119733393</v>
      </c>
      <c r="AW95" s="1021">
        <f>(VLOOKUP(YEAR($A95),'NY East Load Projections'!$A$4:$EO$14,((MONTH($A95)-1)*12)+VLOOKUP(AW$4,$DE$6:$DF$17,2)+1))*$C95</f>
        <v>-399.21763174185099</v>
      </c>
      <c r="AX95" s="1021">
        <f>(VLOOKUP(YEAR($A95),'NY East Load Projections'!$A$4:$EO$14,((MONTH($A95)-1)*12)+VLOOKUP(AX$4,$DE$6:$DF$17,2)+1))*$C95</f>
        <v>-399.21763174185099</v>
      </c>
      <c r="AY95" s="1021">
        <f>(VLOOKUP(YEAR($A95),'NY East Load Projections'!$A$4:$EO$14,((MONTH($A95)-1)*12)+VLOOKUP(AY$4,$DE$6:$DF$17,2)+1))*$C95</f>
        <v>-399.21763174185099</v>
      </c>
      <c r="AZ95" s="1021">
        <f>(VLOOKUP(YEAR($A95),'NY East Load Projections'!$A$4:$EO$14,((MONTH($A95)-1)*12)+VLOOKUP(AZ$4,$DE$6:$DF$17,2)+1))*$C95</f>
        <v>-399.21763174185099</v>
      </c>
      <c r="BA95" s="1021">
        <f>(VLOOKUP(YEAR($A95),'NY East Load Projections'!$A$4:$EO$14,((MONTH($A95)-1)*12)+VLOOKUP(BA$4,$DE$6:$DF$17,2)+1))*$C95</f>
        <v>-378.98710205538868</v>
      </c>
      <c r="BB95" s="1021">
        <f>(VLOOKUP(YEAR($A95),'NY East Load Projections'!$A$4:$EO$14,((MONTH($A95)-1)*12)+VLOOKUP(BB$4,$DE$6:$DF$17,2)+1))*$C95</f>
        <v>-378.98710205538868</v>
      </c>
      <c r="BC95" s="1021">
        <f>(VLOOKUP(YEAR($A95),'NY East Load Projections'!$A$4:$EO$14,((MONTH($A95)-1)*12)+VLOOKUP(BC$4,$DE$6:$DF$17,2)+1))*$C95</f>
        <v>-378.98710205538868</v>
      </c>
      <c r="BD95" s="1021">
        <f>(VLOOKUP(YEAR($A95),'NY East Load Projections'!$A$4:$EO$14,((MONTH($A95)-1)*12)+VLOOKUP(BD$4,$DE$6:$DF$17,2)+1))*$C95</f>
        <v>-378.98710205538868</v>
      </c>
      <c r="BE95" s="1021"/>
      <c r="BF95" s="1021">
        <f>(VLOOKUP(YEAR($A95),'NY East Load Projections'!$A$4:$EO$14,((MONTH($A95)-1)*12)+VLOOKUP(BF$4,$DE$6:$DF$17,2)+1))*$D95</f>
        <v>-464.06761407069064</v>
      </c>
      <c r="BG95" s="1021">
        <f>(VLOOKUP(YEAR($A95),'NY East Load Projections'!$A$4:$EO$14,((MONTH($A95)-1)*12)+VLOOKUP(BG$4,$DE$6:$DF$17,2)+1))*$D95</f>
        <v>-464.06761407069064</v>
      </c>
      <c r="BH95" s="1021">
        <f>(VLOOKUP(YEAR($A95),'NY East Load Projections'!$A$4:$EO$14,((MONTH($A95)-1)*12)+VLOOKUP(BH$4,$DE$6:$DF$17,2)+1))*$D95</f>
        <v>-464.06761407069064</v>
      </c>
      <c r="BI95" s="1021">
        <f>(VLOOKUP(YEAR($A95),'NY East Load Projections'!$A$4:$EO$14,((MONTH($A95)-1)*12)+VLOOKUP(BI$4,$DE$6:$DF$17,2)+1))*$D95</f>
        <v>-464.06761407069064</v>
      </c>
      <c r="BJ95" s="1021">
        <f>(VLOOKUP(YEAR($A95),'NY East Load Projections'!$A$4:$EO$14,((MONTH($A95)-1)*12)+VLOOKUP(BJ$4,$DE$6:$DF$17,2)+1))*$D95</f>
        <v>-469.15614527099626</v>
      </c>
      <c r="BK95" s="1021">
        <f>(VLOOKUP(YEAR($A95),'NY East Load Projections'!$A$4:$EO$14,((MONTH($A95)-1)*12)+VLOOKUP(BK$4,$DE$6:$DF$17,2)+1))*$D95</f>
        <v>-469.15614527099626</v>
      </c>
      <c r="BL95" s="1021">
        <f>(VLOOKUP(YEAR($A95),'NY East Load Projections'!$A$4:$EO$14,((MONTH($A95)-1)*12)+VLOOKUP(BL$4,$DE$6:$DF$17,2)+1))*$D95</f>
        <v>-469.15614527099626</v>
      </c>
      <c r="BM95" s="1021">
        <f>(VLOOKUP(YEAR($A95),'NY East Load Projections'!$A$4:$EO$14,((MONTH($A95)-1)*12)+VLOOKUP(BM$4,$DE$6:$DF$17,2)+1))*$D95</f>
        <v>-469.15614527099626</v>
      </c>
      <c r="BN95" s="1021">
        <f>(VLOOKUP(YEAR($A95),'NY East Load Projections'!$A$4:$EO$14,((MONTH($A95)-1)*12)+VLOOKUP(BN$4,$DE$6:$DF$17,2)+1))*$D95</f>
        <v>-508.50107497167141</v>
      </c>
      <c r="BO95" s="1021">
        <f>(VLOOKUP(YEAR($A95),'NY East Load Projections'!$A$4:$EO$14,((MONTH($A95)-1)*12)+VLOOKUP(BO$4,$DE$6:$DF$17,2)+1))*$D95</f>
        <v>-508.50107497167141</v>
      </c>
      <c r="BP95" s="1021">
        <f>(VLOOKUP(YEAR($A95),'NY East Load Projections'!$A$4:$EO$14,((MONTH($A95)-1)*12)+VLOOKUP(BP$4,$DE$6:$DF$17,2)+1))*$D95</f>
        <v>-508.50107497167141</v>
      </c>
      <c r="BQ95" s="1021">
        <f>(VLOOKUP(YEAR($A95),'NY East Load Projections'!$A$4:$EO$14,((MONTH($A95)-1)*12)+VLOOKUP(BQ$4,$DE$6:$DF$17,2)+1))*$D95</f>
        <v>-508.50107497167141</v>
      </c>
      <c r="BR95" s="1021">
        <f>(VLOOKUP(YEAR($A95),'NY East Load Projections'!$A$4:$EO$14,((MONTH($A95)-1)*12)+VLOOKUP(BR$4,$DE$6:$DF$17,2)+1))*$D95</f>
        <v>-521.65353899666741</v>
      </c>
      <c r="BS95" s="1021">
        <f>(VLOOKUP(YEAR($A95),'NY East Load Projections'!$A$4:$EO$14,((MONTH($A95)-1)*12)+VLOOKUP(BS$4,$DE$6:$DF$17,2)+1))*$D95</f>
        <v>-521.65353899666741</v>
      </c>
      <c r="BT95" s="1021">
        <f>(VLOOKUP(YEAR($A95),'NY East Load Projections'!$A$4:$EO$14,((MONTH($A95)-1)*12)+VLOOKUP(BT$4,$DE$6:$DF$17,2)+1))*$D95</f>
        <v>-521.65353899666741</v>
      </c>
      <c r="BU95" s="1021">
        <f>(VLOOKUP(YEAR($A95),'NY East Load Projections'!$A$4:$EO$14,((MONTH($A95)-1)*12)+VLOOKUP(BU$4,$DE$6:$DF$17,2)+1))*$D95</f>
        <v>-521.65353899666741</v>
      </c>
      <c r="BV95" s="1021">
        <f>(VLOOKUP(YEAR($A95),'NY East Load Projections'!$A$4:$EO$14,((MONTH($A95)-1)*12)+VLOOKUP(BV$4,$DE$6:$DF$17,2)+1))*$D95</f>
        <v>-499.02203967731373</v>
      </c>
      <c r="BW95" s="1021">
        <f>(VLOOKUP(YEAR($A95),'NY East Load Projections'!$A$4:$EO$14,((MONTH($A95)-1)*12)+VLOOKUP(BW$4,$DE$6:$DF$17,2)+1))*$D95</f>
        <v>-499.02203967731373</v>
      </c>
      <c r="BX95" s="1021">
        <f>(VLOOKUP(YEAR($A95),'NY East Load Projections'!$A$4:$EO$14,((MONTH($A95)-1)*12)+VLOOKUP(BX$4,$DE$6:$DF$17,2)+1))*$D95</f>
        <v>-499.02203967731373</v>
      </c>
      <c r="BY95" s="1021">
        <f>(VLOOKUP(YEAR($A95),'NY East Load Projections'!$A$4:$EO$14,((MONTH($A95)-1)*12)+VLOOKUP(BY$4,$DE$6:$DF$17,2)+1))*$D95</f>
        <v>-499.02203967731373</v>
      </c>
      <c r="BZ95" s="1021">
        <f>(VLOOKUP(YEAR($A95),'NY East Load Projections'!$A$4:$EO$14,((MONTH($A95)-1)*12)+VLOOKUP(BZ$4,$DE$6:$DF$17,2)+1))*$D95</f>
        <v>-473.73387756923586</v>
      </c>
      <c r="CA95" s="1021">
        <f>(VLOOKUP(YEAR($A95),'NY East Load Projections'!$A$4:$EO$14,((MONTH($A95)-1)*12)+VLOOKUP(CA$4,$DE$6:$DF$17,2)+1))*$D95</f>
        <v>-473.73387756923586</v>
      </c>
      <c r="CB95" s="1021">
        <f>(VLOOKUP(YEAR($A95),'NY East Load Projections'!$A$4:$EO$14,((MONTH($A95)-1)*12)+VLOOKUP(CB$4,$DE$6:$DF$17,2)+1))*$D95</f>
        <v>-473.73387756923586</v>
      </c>
      <c r="CC95" s="1021">
        <f>(VLOOKUP(YEAR($A95),'NY East Load Projections'!$A$4:$EO$14,((MONTH($A95)-1)*12)+VLOOKUP(CC$4,$DE$6:$DF$17,2)+1))*$D95</f>
        <v>-473.73387756923586</v>
      </c>
      <c r="CE95" s="1021">
        <f>(VLOOKUP(YEAR($A95),'NY East Load Projections'!$A$4:$EO$14,((MONTH($A95)-1)*12)+VLOOKUP(CE$4,$DE$6:$DF$17,2)+1))*$E95</f>
        <v>0</v>
      </c>
      <c r="CF95" s="1021">
        <f>(VLOOKUP(YEAR($A95),'NY East Load Projections'!$A$4:$EO$14,((MONTH($A95)-1)*12)+VLOOKUP(CF$4,$DE$6:$DF$17,2)+1))*$E95</f>
        <v>0</v>
      </c>
      <c r="CG95" s="1021">
        <f>(VLOOKUP(YEAR($A95),'NY East Load Projections'!$A$4:$EO$14,((MONTH($A95)-1)*12)+VLOOKUP(CG$4,$DE$6:$DF$17,2)+1))*$E95</f>
        <v>0</v>
      </c>
      <c r="CH95" s="1021">
        <f>(VLOOKUP(YEAR($A95),'NY East Load Projections'!$A$4:$EO$14,((MONTH($A95)-1)*12)+VLOOKUP(CH$4,$DE$6:$DF$17,2)+1))*$E95</f>
        <v>0</v>
      </c>
      <c r="CI95" s="1021">
        <f>(VLOOKUP(YEAR($A95),'NY East Load Projections'!$A$4:$EO$14,((MONTH($A95)-1)*12)+VLOOKUP(CI$4,$DE$6:$DF$17,2)+1))*$E95</f>
        <v>0</v>
      </c>
      <c r="CJ95" s="1021">
        <f>(VLOOKUP(YEAR($A95),'NY East Load Projections'!$A$4:$EO$14,((MONTH($A95)-1)*12)+VLOOKUP(CJ$4,$DE$6:$DF$17,2)+1))*$E95</f>
        <v>0</v>
      </c>
      <c r="CK95" s="1021">
        <f>(VLOOKUP(YEAR($A95),'NY East Load Projections'!$A$4:$EO$14,((MONTH($A95)-1)*12)+VLOOKUP(CK$4,$DE$6:$DF$17,2)+1))*$E95</f>
        <v>0</v>
      </c>
      <c r="CL95" s="1021">
        <f>(VLOOKUP(YEAR($A95),'NY East Load Projections'!$A$4:$EO$14,((MONTH($A95)-1)*12)+VLOOKUP(CL$4,$DE$6:$DF$17,2)+1))*$E95</f>
        <v>0</v>
      </c>
      <c r="CM95" s="1021">
        <f>(VLOOKUP(YEAR($A95),'NY East Load Projections'!$A$4:$EO$14,((MONTH($A95)-1)*12)+VLOOKUP(CM$4,$DE$6:$DF$17,2)+1))*$E95</f>
        <v>0</v>
      </c>
      <c r="CN95" s="1021">
        <f>(VLOOKUP(YEAR($A95),'NY East Load Projections'!$A$4:$EO$14,((MONTH($A95)-1)*12)+VLOOKUP(CN$4,$DE$6:$DF$17,2)+1))*$E95</f>
        <v>0</v>
      </c>
      <c r="CO95" s="1021">
        <f>(VLOOKUP(YEAR($A95),'NY East Load Projections'!$A$4:$EO$14,((MONTH($A95)-1)*12)+VLOOKUP(CO$4,$DE$6:$DF$17,2)+1))*$E95</f>
        <v>0</v>
      </c>
      <c r="CP95" s="1021">
        <f>(VLOOKUP(YEAR($A95),'NY East Load Projections'!$A$4:$EO$14,((MONTH($A95)-1)*12)+VLOOKUP(CP$4,$DE$6:$DF$17,2)+1))*$E95</f>
        <v>0</v>
      </c>
      <c r="CQ95" s="1021">
        <f>(VLOOKUP(YEAR($A95),'NY East Load Projections'!$A$4:$EO$14,((MONTH($A95)-1)*12)+VLOOKUP(CQ$4,$DE$6:$DF$17,2)+1))*$E95</f>
        <v>0</v>
      </c>
      <c r="CR95" s="1021">
        <f>(VLOOKUP(YEAR($A95),'NY East Load Projections'!$A$4:$EO$14,((MONTH($A95)-1)*12)+VLOOKUP(CR$4,$DE$6:$DF$17,2)+1))*$E95</f>
        <v>0</v>
      </c>
      <c r="CS95" s="1021">
        <f>(VLOOKUP(YEAR($A95),'NY East Load Projections'!$A$4:$EO$14,((MONTH($A95)-1)*12)+VLOOKUP(CS$4,$DE$6:$DF$17,2)+1))*$E95</f>
        <v>0</v>
      </c>
      <c r="CT95" s="1021">
        <f>(VLOOKUP(YEAR($A95),'NY East Load Projections'!$A$4:$EO$14,((MONTH($A95)-1)*12)+VLOOKUP(CT$4,$DE$6:$DF$17,2)+1))*$E95</f>
        <v>0</v>
      </c>
      <c r="CU95" s="1021">
        <f>(VLOOKUP(YEAR($A95),'NY East Load Projections'!$A$4:$EO$14,((MONTH($A95)-1)*12)+VLOOKUP(CU$4,$DE$6:$DF$17,2)+1))*$E95</f>
        <v>0</v>
      </c>
      <c r="CV95" s="1021">
        <f>(VLOOKUP(YEAR($A95),'NY East Load Projections'!$A$4:$EO$14,((MONTH($A95)-1)*12)+VLOOKUP(CV$4,$DE$6:$DF$17,2)+1))*$E95</f>
        <v>0</v>
      </c>
      <c r="CW95" s="1021">
        <f>(VLOOKUP(YEAR($A95),'NY East Load Projections'!$A$4:$EO$14,((MONTH($A95)-1)*12)+VLOOKUP(CW$4,$DE$6:$DF$17,2)+1))*$E95</f>
        <v>0</v>
      </c>
      <c r="CX95" s="1021">
        <f>(VLOOKUP(YEAR($A95),'NY East Load Projections'!$A$4:$EO$14,((MONTH($A95)-1)*12)+VLOOKUP(CX$4,$DE$6:$DF$17,2)+1))*$E95</f>
        <v>0</v>
      </c>
      <c r="CY95" s="1021">
        <f>(VLOOKUP(YEAR($A95),'NY East Load Projections'!$A$4:$EO$14,((MONTH($A95)-1)*12)+VLOOKUP(CY$4,$DE$6:$DF$17,2)+1))*$E95</f>
        <v>0</v>
      </c>
      <c r="CZ95" s="1021">
        <f>(VLOOKUP(YEAR($A95),'NY East Load Projections'!$A$4:$EO$14,((MONTH($A95)-1)*12)+VLOOKUP(CZ$4,$DE$6:$DF$17,2)+1))*$E95</f>
        <v>0</v>
      </c>
      <c r="DA95" s="1021">
        <f>(VLOOKUP(YEAR($A95),'NY East Load Projections'!$A$4:$EO$14,((MONTH($A95)-1)*12)+VLOOKUP(DA$4,$DE$6:$DF$17,2)+1))*$E95</f>
        <v>0</v>
      </c>
      <c r="DB95" s="1021">
        <f>(VLOOKUP(YEAR($A95),'NY East Load Projections'!$A$4:$EO$14,((MONTH($A95)-1)*12)+VLOOKUP(DB$4,$DE$6:$DF$17,2)+1))*$E95</f>
        <v>0</v>
      </c>
      <c r="DH95" s="1009">
        <f t="shared" si="3"/>
        <v>-72131.189891682588</v>
      </c>
      <c r="DI95">
        <f ca="1">CALC!J115</f>
        <v>0.54429372116598296</v>
      </c>
      <c r="DJ95" s="1032">
        <f t="shared" ca="1" si="4"/>
        <v>-39260.553758274051</v>
      </c>
    </row>
    <row r="96" spans="1:114" x14ac:dyDescent="0.25">
      <c r="A96" s="244">
        <v>39630</v>
      </c>
      <c r="B96" s="13">
        <v>22</v>
      </c>
      <c r="C96" s="210">
        <v>4</v>
      </c>
      <c r="D96" s="210">
        <v>4</v>
      </c>
      <c r="E96" s="210">
        <v>1</v>
      </c>
      <c r="F96" s="13">
        <v>31</v>
      </c>
      <c r="H96" s="1021">
        <f>(VLOOKUP(YEAR($A96),'NY East Load Projections'!$A$4:$EO$14,((MONTH($A96)-1)*12)+VLOOKUP(H$4,$DE$6:$DF$17,2)+1))*$B96</f>
        <v>-2066.8205803211345</v>
      </c>
      <c r="I96" s="1021">
        <f>(VLOOKUP(YEAR($A96),'NY East Load Projections'!$A$4:$EO$14,((MONTH($A96)-1)*12)+VLOOKUP(I$4,$DE$6:$DF$17,2)+1))*$B96</f>
        <v>-2066.8205803211345</v>
      </c>
      <c r="J96" s="1021">
        <f>(VLOOKUP(YEAR($A96),'NY East Load Projections'!$A$4:$EO$14,((MONTH($A96)-1)*12)+VLOOKUP(J$4,$DE$6:$DF$17,2)+1))*$B96</f>
        <v>-2066.8205803211345</v>
      </c>
      <c r="K96" s="1021">
        <f>(VLOOKUP(YEAR($A96),'NY East Load Projections'!$A$4:$EO$14,((MONTH($A96)-1)*12)+VLOOKUP(K$4,$DE$6:$DF$17,2)+1))*$B96</f>
        <v>-2066.8205803211345</v>
      </c>
      <c r="L96" s="1021">
        <f>(VLOOKUP(YEAR($A96),'NY East Load Projections'!$A$4:$EO$14,((MONTH($A96)-1)*12)+VLOOKUP(L$4,$DE$6:$DF$17,2)+1))*$B96</f>
        <v>-2207.0019508111877</v>
      </c>
      <c r="M96" s="1021">
        <f>(VLOOKUP(YEAR($A96),'NY East Load Projections'!$A$4:$EO$14,((MONTH($A96)-1)*12)+VLOOKUP(M$4,$DE$6:$DF$17,2)+1))*$B96</f>
        <v>-2207.0019508111877</v>
      </c>
      <c r="N96" s="1021">
        <f>(VLOOKUP(YEAR($A96),'NY East Load Projections'!$A$4:$EO$14,((MONTH($A96)-1)*12)+VLOOKUP(N$4,$DE$6:$DF$17,2)+1))*$B96</f>
        <v>-2207.0019508111877</v>
      </c>
      <c r="O96" s="1021">
        <f>(VLOOKUP(YEAR($A96),'NY East Load Projections'!$A$4:$EO$14,((MONTH($A96)-1)*12)+VLOOKUP(O$4,$DE$6:$DF$17,2)+1))*$B96</f>
        <v>-2207.0019508111877</v>
      </c>
      <c r="P96" s="1021">
        <f>(VLOOKUP(YEAR($A96),'NY East Load Projections'!$A$4:$EO$14,((MONTH($A96)-1)*12)+VLOOKUP(P$4,$DE$6:$DF$17,2)+1))*$B96</f>
        <v>-2403.3102034954336</v>
      </c>
      <c r="Q96" s="1021">
        <f>(VLOOKUP(YEAR($A96),'NY East Load Projections'!$A$4:$EO$14,((MONTH($A96)-1)*12)+VLOOKUP(Q$4,$DE$6:$DF$17,2)+1))*$B96</f>
        <v>-2403.3102034954336</v>
      </c>
      <c r="R96" s="1021">
        <f>(VLOOKUP(YEAR($A96),'NY East Load Projections'!$A$4:$EO$14,((MONTH($A96)-1)*12)+VLOOKUP(R$4,$DE$6:$DF$17,2)+1))*$B96</f>
        <v>-2403.3102034954336</v>
      </c>
      <c r="S96" s="1021">
        <f>(VLOOKUP(YEAR($A96),'NY East Load Projections'!$A$4:$EO$14,((MONTH($A96)-1)*12)+VLOOKUP(S$4,$DE$6:$DF$17,2)+1))*$B96</f>
        <v>-2403.3102034954336</v>
      </c>
      <c r="T96" s="1021">
        <f>(VLOOKUP(YEAR($A96),'NY East Load Projections'!$A$4:$EO$14,((MONTH($A96)-1)*12)+VLOOKUP(T$4,$DE$6:$DF$17,2)+1))*$B96</f>
        <v>-2446.9146758284814</v>
      </c>
      <c r="U96" s="1021">
        <f>(VLOOKUP(YEAR($A96),'NY East Load Projections'!$A$4:$EO$14,((MONTH($A96)-1)*12)+VLOOKUP(U$4,$DE$6:$DF$17,2)+1))*$B96</f>
        <v>-2446.9146758284814</v>
      </c>
      <c r="V96" s="1021">
        <f>(VLOOKUP(YEAR($A96),'NY East Load Projections'!$A$4:$EO$14,((MONTH($A96)-1)*12)+VLOOKUP(V$4,$DE$6:$DF$17,2)+1))*$B96</f>
        <v>-2446.9146758284814</v>
      </c>
      <c r="W96" s="1021">
        <f>(VLOOKUP(YEAR($A96),'NY East Load Projections'!$A$4:$EO$14,((MONTH($A96)-1)*12)+VLOOKUP(W$4,$DE$6:$DF$17,2)+1))*$B96</f>
        <v>-2446.9146758284814</v>
      </c>
      <c r="X96" s="1021">
        <f>(VLOOKUP(YEAR($A96),'NY East Load Projections'!$A$4:$EO$14,((MONTH($A96)-1)*12)+VLOOKUP(X$4,$DE$6:$DF$17,2)+1))*$B96</f>
        <v>-2368.3249717861863</v>
      </c>
      <c r="Y96" s="1021">
        <f>(VLOOKUP(YEAR($A96),'NY East Load Projections'!$A$4:$EO$14,((MONTH($A96)-1)*12)+VLOOKUP(Y$4,$DE$6:$DF$17,2)+1))*$B96</f>
        <v>-2368.3249717861863</v>
      </c>
      <c r="Z96" s="1021">
        <f>(VLOOKUP(YEAR($A96),'NY East Load Projections'!$A$4:$EO$14,((MONTH($A96)-1)*12)+VLOOKUP(Z$4,$DE$6:$DF$17,2)+1))*$B96</f>
        <v>-2368.3249717861863</v>
      </c>
      <c r="AA96" s="1021">
        <f>(VLOOKUP(YEAR($A96),'NY East Load Projections'!$A$4:$EO$14,((MONTH($A96)-1)*12)+VLOOKUP(AA$4,$DE$6:$DF$17,2)+1))*$B96</f>
        <v>-2368.3249717861863</v>
      </c>
      <c r="AB96" s="1021">
        <f>(VLOOKUP(YEAR($A96),'NY East Load Projections'!$A$4:$EO$14,((MONTH($A96)-1)*12)+VLOOKUP(AB$4,$DE$6:$DF$17,2)+1))*$B96</f>
        <v>-2158.6866852402418</v>
      </c>
      <c r="AC96" s="1021">
        <f>(VLOOKUP(YEAR($A96),'NY East Load Projections'!$A$4:$EO$14,((MONTH($A96)-1)*12)+VLOOKUP(AC$4,$DE$6:$DF$17,2)+1))*$B96</f>
        <v>-2158.6866852402418</v>
      </c>
      <c r="AD96" s="1021">
        <f>(VLOOKUP(YEAR($A96),'NY East Load Projections'!$A$4:$EO$14,((MONTH($A96)-1)*12)+VLOOKUP(AD$4,$DE$6:$DF$17,2)+1))*$B96</f>
        <v>-2158.6866852402418</v>
      </c>
      <c r="AE96" s="1021">
        <f>(VLOOKUP(YEAR($A96),'NY East Load Projections'!$A$4:$EO$14,((MONTH($A96)-1)*12)+VLOOKUP(AE$4,$DE$6:$DF$17,2)+1))*$B96</f>
        <v>-2158.6866852402418</v>
      </c>
      <c r="AF96" s="1021"/>
      <c r="AG96" s="1021">
        <f>(VLOOKUP(YEAR($A96),'NY East Load Projections'!$A$4:$EO$14,((MONTH($A96)-1)*12)+VLOOKUP(AG$4,$DE$6:$DF$17,2)+1))*$C96</f>
        <v>-359.04484218791305</v>
      </c>
      <c r="AH96" s="1021">
        <f>(VLOOKUP(YEAR($A96),'NY East Load Projections'!$A$4:$EO$14,((MONTH($A96)-1)*12)+VLOOKUP(AH$4,$DE$6:$DF$17,2)+1))*$C96</f>
        <v>-359.04484218791305</v>
      </c>
      <c r="AI96" s="1021">
        <f>(VLOOKUP(YEAR($A96),'NY East Load Projections'!$A$4:$EO$14,((MONTH($A96)-1)*12)+VLOOKUP(AI$4,$DE$6:$DF$17,2)+1))*$C96</f>
        <v>-359.04484218791305</v>
      </c>
      <c r="AJ96" s="1021">
        <f>(VLOOKUP(YEAR($A96),'NY East Load Projections'!$A$4:$EO$14,((MONTH($A96)-1)*12)+VLOOKUP(AJ$4,$DE$6:$DF$17,2)+1))*$C96</f>
        <v>-359.04484218791305</v>
      </c>
      <c r="AK96" s="1021">
        <f>(VLOOKUP(YEAR($A96),'NY East Load Projections'!$A$4:$EO$14,((MONTH($A96)-1)*12)+VLOOKUP(AK$4,$DE$6:$DF$17,2)+1))*$C96</f>
        <v>-364.57671159582378</v>
      </c>
      <c r="AL96" s="1021">
        <f>(VLOOKUP(YEAR($A96),'NY East Load Projections'!$A$4:$EO$14,((MONTH($A96)-1)*12)+VLOOKUP(AL$4,$DE$6:$DF$17,2)+1))*$C96</f>
        <v>-364.57671159582378</v>
      </c>
      <c r="AM96" s="1021">
        <f>(VLOOKUP(YEAR($A96),'NY East Load Projections'!$A$4:$EO$14,((MONTH($A96)-1)*12)+VLOOKUP(AM$4,$DE$6:$DF$17,2)+1))*$C96</f>
        <v>-364.57671159582378</v>
      </c>
      <c r="AN96" s="1021">
        <f>(VLOOKUP(YEAR($A96),'NY East Load Projections'!$A$4:$EO$14,((MONTH($A96)-1)*12)+VLOOKUP(AN$4,$DE$6:$DF$17,2)+1))*$C96</f>
        <v>-364.57671159582378</v>
      </c>
      <c r="AO96" s="1021">
        <f>(VLOOKUP(YEAR($A96),'NY East Load Projections'!$A$4:$EO$14,((MONTH($A96)-1)*12)+VLOOKUP(AO$4,$DE$6:$DF$17,2)+1))*$C96</f>
        <v>-396.95454282441506</v>
      </c>
      <c r="AP96" s="1021">
        <f>(VLOOKUP(YEAR($A96),'NY East Load Projections'!$A$4:$EO$14,((MONTH($A96)-1)*12)+VLOOKUP(AP$4,$DE$6:$DF$17,2)+1))*$C96</f>
        <v>-396.95454282441506</v>
      </c>
      <c r="AQ96" s="1021">
        <f>(VLOOKUP(YEAR($A96),'NY East Load Projections'!$A$4:$EO$14,((MONTH($A96)-1)*12)+VLOOKUP(AQ$4,$DE$6:$DF$17,2)+1))*$C96</f>
        <v>-396.95454282441506</v>
      </c>
      <c r="AR96" s="1021">
        <f>(VLOOKUP(YEAR($A96),'NY East Load Projections'!$A$4:$EO$14,((MONTH($A96)-1)*12)+VLOOKUP(AR$4,$DE$6:$DF$17,2)+1))*$C96</f>
        <v>-396.95454282441506</v>
      </c>
      <c r="AS96" s="1021">
        <f>(VLOOKUP(YEAR($A96),'NY East Load Projections'!$A$4:$EO$14,((MONTH($A96)-1)*12)+VLOOKUP(AS$4,$DE$6:$DF$17,2)+1))*$C96</f>
        <v>-409.20569933470892</v>
      </c>
      <c r="AT96" s="1021">
        <f>(VLOOKUP(YEAR($A96),'NY East Load Projections'!$A$4:$EO$14,((MONTH($A96)-1)*12)+VLOOKUP(AT$4,$DE$6:$DF$17,2)+1))*$C96</f>
        <v>-409.20569933470892</v>
      </c>
      <c r="AU96" s="1021">
        <f>(VLOOKUP(YEAR($A96),'NY East Load Projections'!$A$4:$EO$14,((MONTH($A96)-1)*12)+VLOOKUP(AU$4,$DE$6:$DF$17,2)+1))*$C96</f>
        <v>-409.20569933470892</v>
      </c>
      <c r="AV96" s="1021">
        <f>(VLOOKUP(YEAR($A96),'NY East Load Projections'!$A$4:$EO$14,((MONTH($A96)-1)*12)+VLOOKUP(AV$4,$DE$6:$DF$17,2)+1))*$C96</f>
        <v>-409.20569933470892</v>
      </c>
      <c r="AW96" s="1021">
        <f>(VLOOKUP(YEAR($A96),'NY East Load Projections'!$A$4:$EO$14,((MONTH($A96)-1)*12)+VLOOKUP(AW$4,$DE$6:$DF$17,2)+1))*$C96</f>
        <v>-391.7913191919277</v>
      </c>
      <c r="AX96" s="1021">
        <f>(VLOOKUP(YEAR($A96),'NY East Load Projections'!$A$4:$EO$14,((MONTH($A96)-1)*12)+VLOOKUP(AX$4,$DE$6:$DF$17,2)+1))*$C96</f>
        <v>-391.7913191919277</v>
      </c>
      <c r="AY96" s="1021">
        <f>(VLOOKUP(YEAR($A96),'NY East Load Projections'!$A$4:$EO$14,((MONTH($A96)-1)*12)+VLOOKUP(AY$4,$DE$6:$DF$17,2)+1))*$C96</f>
        <v>-391.7913191919277</v>
      </c>
      <c r="AZ96" s="1021">
        <f>(VLOOKUP(YEAR($A96),'NY East Load Projections'!$A$4:$EO$14,((MONTH($A96)-1)*12)+VLOOKUP(AZ$4,$DE$6:$DF$17,2)+1))*$C96</f>
        <v>-391.7913191919277</v>
      </c>
      <c r="BA96" s="1021">
        <f>(VLOOKUP(YEAR($A96),'NY East Load Projections'!$A$4:$EO$14,((MONTH($A96)-1)*12)+VLOOKUP(BA$4,$DE$6:$DF$17,2)+1))*$C96</f>
        <v>-371.2451518491136</v>
      </c>
      <c r="BB96" s="1021">
        <f>(VLOOKUP(YEAR($A96),'NY East Load Projections'!$A$4:$EO$14,((MONTH($A96)-1)*12)+VLOOKUP(BB$4,$DE$6:$DF$17,2)+1))*$C96</f>
        <v>-371.2451518491136</v>
      </c>
      <c r="BC96" s="1021">
        <f>(VLOOKUP(YEAR($A96),'NY East Load Projections'!$A$4:$EO$14,((MONTH($A96)-1)*12)+VLOOKUP(BC$4,$DE$6:$DF$17,2)+1))*$C96</f>
        <v>-371.2451518491136</v>
      </c>
      <c r="BD96" s="1021">
        <f>(VLOOKUP(YEAR($A96),'NY East Load Projections'!$A$4:$EO$14,((MONTH($A96)-1)*12)+VLOOKUP(BD$4,$DE$6:$DF$17,2)+1))*$C96</f>
        <v>-371.2451518491136</v>
      </c>
      <c r="BE96" s="1021"/>
      <c r="BF96" s="1021">
        <f>(VLOOKUP(YEAR($A96),'NY East Load Projections'!$A$4:$EO$14,((MONTH($A96)-1)*12)+VLOOKUP(BF$4,$DE$6:$DF$17,2)+1))*$D96</f>
        <v>-359.04484218791305</v>
      </c>
      <c r="BG96" s="1021">
        <f>(VLOOKUP(YEAR($A96),'NY East Load Projections'!$A$4:$EO$14,((MONTH($A96)-1)*12)+VLOOKUP(BG$4,$DE$6:$DF$17,2)+1))*$D96</f>
        <v>-359.04484218791305</v>
      </c>
      <c r="BH96" s="1021">
        <f>(VLOOKUP(YEAR($A96),'NY East Load Projections'!$A$4:$EO$14,((MONTH($A96)-1)*12)+VLOOKUP(BH$4,$DE$6:$DF$17,2)+1))*$D96</f>
        <v>-359.04484218791305</v>
      </c>
      <c r="BI96" s="1021">
        <f>(VLOOKUP(YEAR($A96),'NY East Load Projections'!$A$4:$EO$14,((MONTH($A96)-1)*12)+VLOOKUP(BI$4,$DE$6:$DF$17,2)+1))*$D96</f>
        <v>-359.04484218791305</v>
      </c>
      <c r="BJ96" s="1021">
        <f>(VLOOKUP(YEAR($A96),'NY East Load Projections'!$A$4:$EO$14,((MONTH($A96)-1)*12)+VLOOKUP(BJ$4,$DE$6:$DF$17,2)+1))*$D96</f>
        <v>-364.57671159582378</v>
      </c>
      <c r="BK96" s="1021">
        <f>(VLOOKUP(YEAR($A96),'NY East Load Projections'!$A$4:$EO$14,((MONTH($A96)-1)*12)+VLOOKUP(BK$4,$DE$6:$DF$17,2)+1))*$D96</f>
        <v>-364.57671159582378</v>
      </c>
      <c r="BL96" s="1021">
        <f>(VLOOKUP(YEAR($A96),'NY East Load Projections'!$A$4:$EO$14,((MONTH($A96)-1)*12)+VLOOKUP(BL$4,$DE$6:$DF$17,2)+1))*$D96</f>
        <v>-364.57671159582378</v>
      </c>
      <c r="BM96" s="1021">
        <f>(VLOOKUP(YEAR($A96),'NY East Load Projections'!$A$4:$EO$14,((MONTH($A96)-1)*12)+VLOOKUP(BM$4,$DE$6:$DF$17,2)+1))*$D96</f>
        <v>-364.57671159582378</v>
      </c>
      <c r="BN96" s="1021">
        <f>(VLOOKUP(YEAR($A96),'NY East Load Projections'!$A$4:$EO$14,((MONTH($A96)-1)*12)+VLOOKUP(BN$4,$DE$6:$DF$17,2)+1))*$D96</f>
        <v>-396.95454282441506</v>
      </c>
      <c r="BO96" s="1021">
        <f>(VLOOKUP(YEAR($A96),'NY East Load Projections'!$A$4:$EO$14,((MONTH($A96)-1)*12)+VLOOKUP(BO$4,$DE$6:$DF$17,2)+1))*$D96</f>
        <v>-396.95454282441506</v>
      </c>
      <c r="BP96" s="1021">
        <f>(VLOOKUP(YEAR($A96),'NY East Load Projections'!$A$4:$EO$14,((MONTH($A96)-1)*12)+VLOOKUP(BP$4,$DE$6:$DF$17,2)+1))*$D96</f>
        <v>-396.95454282441506</v>
      </c>
      <c r="BQ96" s="1021">
        <f>(VLOOKUP(YEAR($A96),'NY East Load Projections'!$A$4:$EO$14,((MONTH($A96)-1)*12)+VLOOKUP(BQ$4,$DE$6:$DF$17,2)+1))*$D96</f>
        <v>-396.95454282441506</v>
      </c>
      <c r="BR96" s="1021">
        <f>(VLOOKUP(YEAR($A96),'NY East Load Projections'!$A$4:$EO$14,((MONTH($A96)-1)*12)+VLOOKUP(BR$4,$DE$6:$DF$17,2)+1))*$D96</f>
        <v>-409.20569933470892</v>
      </c>
      <c r="BS96" s="1021">
        <f>(VLOOKUP(YEAR($A96),'NY East Load Projections'!$A$4:$EO$14,((MONTH($A96)-1)*12)+VLOOKUP(BS$4,$DE$6:$DF$17,2)+1))*$D96</f>
        <v>-409.20569933470892</v>
      </c>
      <c r="BT96" s="1021">
        <f>(VLOOKUP(YEAR($A96),'NY East Load Projections'!$A$4:$EO$14,((MONTH($A96)-1)*12)+VLOOKUP(BT$4,$DE$6:$DF$17,2)+1))*$D96</f>
        <v>-409.20569933470892</v>
      </c>
      <c r="BU96" s="1021">
        <f>(VLOOKUP(YEAR($A96),'NY East Load Projections'!$A$4:$EO$14,((MONTH($A96)-1)*12)+VLOOKUP(BU$4,$DE$6:$DF$17,2)+1))*$D96</f>
        <v>-409.20569933470892</v>
      </c>
      <c r="BV96" s="1021">
        <f>(VLOOKUP(YEAR($A96),'NY East Load Projections'!$A$4:$EO$14,((MONTH($A96)-1)*12)+VLOOKUP(BV$4,$DE$6:$DF$17,2)+1))*$D96</f>
        <v>-391.7913191919277</v>
      </c>
      <c r="BW96" s="1021">
        <f>(VLOOKUP(YEAR($A96),'NY East Load Projections'!$A$4:$EO$14,((MONTH($A96)-1)*12)+VLOOKUP(BW$4,$DE$6:$DF$17,2)+1))*$D96</f>
        <v>-391.7913191919277</v>
      </c>
      <c r="BX96" s="1021">
        <f>(VLOOKUP(YEAR($A96),'NY East Load Projections'!$A$4:$EO$14,((MONTH($A96)-1)*12)+VLOOKUP(BX$4,$DE$6:$DF$17,2)+1))*$D96</f>
        <v>-391.7913191919277</v>
      </c>
      <c r="BY96" s="1021">
        <f>(VLOOKUP(YEAR($A96),'NY East Load Projections'!$A$4:$EO$14,((MONTH($A96)-1)*12)+VLOOKUP(BY$4,$DE$6:$DF$17,2)+1))*$D96</f>
        <v>-391.7913191919277</v>
      </c>
      <c r="BZ96" s="1021">
        <f>(VLOOKUP(YEAR($A96),'NY East Load Projections'!$A$4:$EO$14,((MONTH($A96)-1)*12)+VLOOKUP(BZ$4,$DE$6:$DF$17,2)+1))*$D96</f>
        <v>-371.2451518491136</v>
      </c>
      <c r="CA96" s="1021">
        <f>(VLOOKUP(YEAR($A96),'NY East Load Projections'!$A$4:$EO$14,((MONTH($A96)-1)*12)+VLOOKUP(CA$4,$DE$6:$DF$17,2)+1))*$D96</f>
        <v>-371.2451518491136</v>
      </c>
      <c r="CB96" s="1021">
        <f>(VLOOKUP(YEAR($A96),'NY East Load Projections'!$A$4:$EO$14,((MONTH($A96)-1)*12)+VLOOKUP(CB$4,$DE$6:$DF$17,2)+1))*$D96</f>
        <v>-371.2451518491136</v>
      </c>
      <c r="CC96" s="1021">
        <f>(VLOOKUP(YEAR($A96),'NY East Load Projections'!$A$4:$EO$14,((MONTH($A96)-1)*12)+VLOOKUP(CC$4,$DE$6:$DF$17,2)+1))*$D96</f>
        <v>-371.2451518491136</v>
      </c>
      <c r="CE96" s="1021">
        <f>(VLOOKUP(YEAR($A96),'NY East Load Projections'!$A$4:$EO$14,((MONTH($A96)-1)*12)+VLOOKUP(CE$4,$DE$6:$DF$17,2)+1))*$E96</f>
        <v>-89.761210546978262</v>
      </c>
      <c r="CF96" s="1021">
        <f>(VLOOKUP(YEAR($A96),'NY East Load Projections'!$A$4:$EO$14,((MONTH($A96)-1)*12)+VLOOKUP(CF$4,$DE$6:$DF$17,2)+1))*$E96</f>
        <v>-89.761210546978262</v>
      </c>
      <c r="CG96" s="1021">
        <f>(VLOOKUP(YEAR($A96),'NY East Load Projections'!$A$4:$EO$14,((MONTH($A96)-1)*12)+VLOOKUP(CG$4,$DE$6:$DF$17,2)+1))*$E96</f>
        <v>-89.761210546978262</v>
      </c>
      <c r="CH96" s="1021">
        <f>(VLOOKUP(YEAR($A96),'NY East Load Projections'!$A$4:$EO$14,((MONTH($A96)-1)*12)+VLOOKUP(CH$4,$DE$6:$DF$17,2)+1))*$E96</f>
        <v>-89.761210546978262</v>
      </c>
      <c r="CI96" s="1021">
        <f>(VLOOKUP(YEAR($A96),'NY East Load Projections'!$A$4:$EO$14,((MONTH($A96)-1)*12)+VLOOKUP(CI$4,$DE$6:$DF$17,2)+1))*$E96</f>
        <v>-91.144177898955945</v>
      </c>
      <c r="CJ96" s="1021">
        <f>(VLOOKUP(YEAR($A96),'NY East Load Projections'!$A$4:$EO$14,((MONTH($A96)-1)*12)+VLOOKUP(CJ$4,$DE$6:$DF$17,2)+1))*$E96</f>
        <v>-91.144177898955945</v>
      </c>
      <c r="CK96" s="1021">
        <f>(VLOOKUP(YEAR($A96),'NY East Load Projections'!$A$4:$EO$14,((MONTH($A96)-1)*12)+VLOOKUP(CK$4,$DE$6:$DF$17,2)+1))*$E96</f>
        <v>-91.144177898955945</v>
      </c>
      <c r="CL96" s="1021">
        <f>(VLOOKUP(YEAR($A96),'NY East Load Projections'!$A$4:$EO$14,((MONTH($A96)-1)*12)+VLOOKUP(CL$4,$DE$6:$DF$17,2)+1))*$E96</f>
        <v>-91.144177898955945</v>
      </c>
      <c r="CM96" s="1021">
        <f>(VLOOKUP(YEAR($A96),'NY East Load Projections'!$A$4:$EO$14,((MONTH($A96)-1)*12)+VLOOKUP(CM$4,$DE$6:$DF$17,2)+1))*$E96</f>
        <v>-99.238635706103764</v>
      </c>
      <c r="CN96" s="1021">
        <f>(VLOOKUP(YEAR($A96),'NY East Load Projections'!$A$4:$EO$14,((MONTH($A96)-1)*12)+VLOOKUP(CN$4,$DE$6:$DF$17,2)+1))*$E96</f>
        <v>-99.238635706103764</v>
      </c>
      <c r="CO96" s="1021">
        <f>(VLOOKUP(YEAR($A96),'NY East Load Projections'!$A$4:$EO$14,((MONTH($A96)-1)*12)+VLOOKUP(CO$4,$DE$6:$DF$17,2)+1))*$E96</f>
        <v>-99.238635706103764</v>
      </c>
      <c r="CP96" s="1021">
        <f>(VLOOKUP(YEAR($A96),'NY East Load Projections'!$A$4:$EO$14,((MONTH($A96)-1)*12)+VLOOKUP(CP$4,$DE$6:$DF$17,2)+1))*$E96</f>
        <v>-99.238635706103764</v>
      </c>
      <c r="CQ96" s="1021">
        <f>(VLOOKUP(YEAR($A96),'NY East Load Projections'!$A$4:$EO$14,((MONTH($A96)-1)*12)+VLOOKUP(CQ$4,$DE$6:$DF$17,2)+1))*$E96</f>
        <v>-102.30142483367723</v>
      </c>
      <c r="CR96" s="1021">
        <f>(VLOOKUP(YEAR($A96),'NY East Load Projections'!$A$4:$EO$14,((MONTH($A96)-1)*12)+VLOOKUP(CR$4,$DE$6:$DF$17,2)+1))*$E96</f>
        <v>-102.30142483367723</v>
      </c>
      <c r="CS96" s="1021">
        <f>(VLOOKUP(YEAR($A96),'NY East Load Projections'!$A$4:$EO$14,((MONTH($A96)-1)*12)+VLOOKUP(CS$4,$DE$6:$DF$17,2)+1))*$E96</f>
        <v>-102.30142483367723</v>
      </c>
      <c r="CT96" s="1021">
        <f>(VLOOKUP(YEAR($A96),'NY East Load Projections'!$A$4:$EO$14,((MONTH($A96)-1)*12)+VLOOKUP(CT$4,$DE$6:$DF$17,2)+1))*$E96</f>
        <v>-102.30142483367723</v>
      </c>
      <c r="CU96" s="1021">
        <f>(VLOOKUP(YEAR($A96),'NY East Load Projections'!$A$4:$EO$14,((MONTH($A96)-1)*12)+VLOOKUP(CU$4,$DE$6:$DF$17,2)+1))*$E96</f>
        <v>-97.947829797981925</v>
      </c>
      <c r="CV96" s="1021">
        <f>(VLOOKUP(YEAR($A96),'NY East Load Projections'!$A$4:$EO$14,((MONTH($A96)-1)*12)+VLOOKUP(CV$4,$DE$6:$DF$17,2)+1))*$E96</f>
        <v>-97.947829797981925</v>
      </c>
      <c r="CW96" s="1021">
        <f>(VLOOKUP(YEAR($A96),'NY East Load Projections'!$A$4:$EO$14,((MONTH($A96)-1)*12)+VLOOKUP(CW$4,$DE$6:$DF$17,2)+1))*$E96</f>
        <v>-97.947829797981925</v>
      </c>
      <c r="CX96" s="1021">
        <f>(VLOOKUP(YEAR($A96),'NY East Load Projections'!$A$4:$EO$14,((MONTH($A96)-1)*12)+VLOOKUP(CX$4,$DE$6:$DF$17,2)+1))*$E96</f>
        <v>-97.947829797981925</v>
      </c>
      <c r="CY96" s="1021">
        <f>(VLOOKUP(YEAR($A96),'NY East Load Projections'!$A$4:$EO$14,((MONTH($A96)-1)*12)+VLOOKUP(CY$4,$DE$6:$DF$17,2)+1))*$E96</f>
        <v>-92.811287962278399</v>
      </c>
      <c r="CZ96" s="1021">
        <f>(VLOOKUP(YEAR($A96),'NY East Load Projections'!$A$4:$EO$14,((MONTH($A96)-1)*12)+VLOOKUP(CZ$4,$DE$6:$DF$17,2)+1))*$E96</f>
        <v>-92.811287962278399</v>
      </c>
      <c r="DA96" s="1021">
        <f>(VLOOKUP(YEAR($A96),'NY East Load Projections'!$A$4:$EO$14,((MONTH($A96)-1)*12)+VLOOKUP(DA$4,$DE$6:$DF$17,2)+1))*$E96</f>
        <v>-92.811287962278399</v>
      </c>
      <c r="DB96" s="1021">
        <f>(VLOOKUP(YEAR($A96),'NY East Load Projections'!$A$4:$EO$14,((MONTH($A96)-1)*12)+VLOOKUP(DB$4,$DE$6:$DF$17,2)+1))*$E96</f>
        <v>-92.811287962278399</v>
      </c>
      <c r="DH96" s="1009">
        <f t="shared" si="3"/>
        <v>-75239.600672785775</v>
      </c>
      <c r="DI96">
        <f ca="1">CALC!J116</f>
        <v>0.54088683486088429</v>
      </c>
      <c r="DJ96" s="1032">
        <f t="shared" ca="1" si="4"/>
        <v>-40696.109464099958</v>
      </c>
    </row>
    <row r="97" spans="1:114" x14ac:dyDescent="0.25">
      <c r="A97" s="244">
        <v>39661</v>
      </c>
      <c r="B97" s="13">
        <v>21</v>
      </c>
      <c r="C97" s="210">
        <v>5</v>
      </c>
      <c r="D97" s="210">
        <v>5</v>
      </c>
      <c r="E97" s="210">
        <v>0</v>
      </c>
      <c r="F97" s="13">
        <v>31</v>
      </c>
      <c r="H97" s="1021">
        <f>(VLOOKUP(YEAR($A97),'NY East Load Projections'!$A$4:$EO$14,((MONTH($A97)-1)*12)+VLOOKUP(H$4,$DE$6:$DF$17,2)+1))*$B97</f>
        <v>-2009.7205842220596</v>
      </c>
      <c r="I97" s="1021">
        <f>(VLOOKUP(YEAR($A97),'NY East Load Projections'!$A$4:$EO$14,((MONTH($A97)-1)*12)+VLOOKUP(I$4,$DE$6:$DF$17,2)+1))*$B97</f>
        <v>-2009.7205842220596</v>
      </c>
      <c r="J97" s="1021">
        <f>(VLOOKUP(YEAR($A97),'NY East Load Projections'!$A$4:$EO$14,((MONTH($A97)-1)*12)+VLOOKUP(J$4,$DE$6:$DF$17,2)+1))*$B97</f>
        <v>-2009.7205842220596</v>
      </c>
      <c r="K97" s="1021">
        <f>(VLOOKUP(YEAR($A97),'NY East Load Projections'!$A$4:$EO$14,((MONTH($A97)-1)*12)+VLOOKUP(K$4,$DE$6:$DF$17,2)+1))*$B97</f>
        <v>-2009.7205842220596</v>
      </c>
      <c r="L97" s="1021">
        <f>(VLOOKUP(YEAR($A97),'NY East Load Projections'!$A$4:$EO$14,((MONTH($A97)-1)*12)+VLOOKUP(L$4,$DE$6:$DF$17,2)+1))*$B97</f>
        <v>-2139.5263393872842</v>
      </c>
      <c r="M97" s="1021">
        <f>(VLOOKUP(YEAR($A97),'NY East Load Projections'!$A$4:$EO$14,((MONTH($A97)-1)*12)+VLOOKUP(M$4,$DE$6:$DF$17,2)+1))*$B97</f>
        <v>-2139.5263393872842</v>
      </c>
      <c r="N97" s="1021">
        <f>(VLOOKUP(YEAR($A97),'NY East Load Projections'!$A$4:$EO$14,((MONTH($A97)-1)*12)+VLOOKUP(N$4,$DE$6:$DF$17,2)+1))*$B97</f>
        <v>-2139.5263393872842</v>
      </c>
      <c r="O97" s="1021">
        <f>(VLOOKUP(YEAR($A97),'NY East Load Projections'!$A$4:$EO$14,((MONTH($A97)-1)*12)+VLOOKUP(O$4,$DE$6:$DF$17,2)+1))*$B97</f>
        <v>-2139.5263393872842</v>
      </c>
      <c r="P97" s="1021">
        <f>(VLOOKUP(YEAR($A97),'NY East Load Projections'!$A$4:$EO$14,((MONTH($A97)-1)*12)+VLOOKUP(P$4,$DE$6:$DF$17,2)+1))*$B97</f>
        <v>-2342.811078423334</v>
      </c>
      <c r="Q97" s="1021">
        <f>(VLOOKUP(YEAR($A97),'NY East Load Projections'!$A$4:$EO$14,((MONTH($A97)-1)*12)+VLOOKUP(Q$4,$DE$6:$DF$17,2)+1))*$B97</f>
        <v>-2342.811078423334</v>
      </c>
      <c r="R97" s="1021">
        <f>(VLOOKUP(YEAR($A97),'NY East Load Projections'!$A$4:$EO$14,((MONTH($A97)-1)*12)+VLOOKUP(R$4,$DE$6:$DF$17,2)+1))*$B97</f>
        <v>-2342.811078423334</v>
      </c>
      <c r="S97" s="1021">
        <f>(VLOOKUP(YEAR($A97),'NY East Load Projections'!$A$4:$EO$14,((MONTH($A97)-1)*12)+VLOOKUP(S$4,$DE$6:$DF$17,2)+1))*$B97</f>
        <v>-2342.811078423334</v>
      </c>
      <c r="T97" s="1021">
        <f>(VLOOKUP(YEAR($A97),'NY East Load Projections'!$A$4:$EO$14,((MONTH($A97)-1)*12)+VLOOKUP(T$4,$DE$6:$DF$17,2)+1))*$B97</f>
        <v>-2405.3441409300253</v>
      </c>
      <c r="U97" s="1021">
        <f>(VLOOKUP(YEAR($A97),'NY East Load Projections'!$A$4:$EO$14,((MONTH($A97)-1)*12)+VLOOKUP(U$4,$DE$6:$DF$17,2)+1))*$B97</f>
        <v>-2405.3441409300253</v>
      </c>
      <c r="V97" s="1021">
        <f>(VLOOKUP(YEAR($A97),'NY East Load Projections'!$A$4:$EO$14,((MONTH($A97)-1)*12)+VLOOKUP(V$4,$DE$6:$DF$17,2)+1))*$B97</f>
        <v>-2405.3441409300253</v>
      </c>
      <c r="W97" s="1021">
        <f>(VLOOKUP(YEAR($A97),'NY East Load Projections'!$A$4:$EO$14,((MONTH($A97)-1)*12)+VLOOKUP(W$4,$DE$6:$DF$17,2)+1))*$B97</f>
        <v>-2405.3441409300253</v>
      </c>
      <c r="X97" s="1021">
        <f>(VLOOKUP(YEAR($A97),'NY East Load Projections'!$A$4:$EO$14,((MONTH($A97)-1)*12)+VLOOKUP(X$4,$DE$6:$DF$17,2)+1))*$B97</f>
        <v>-2313.3206962742001</v>
      </c>
      <c r="Y97" s="1021">
        <f>(VLOOKUP(YEAR($A97),'NY East Load Projections'!$A$4:$EO$14,((MONTH($A97)-1)*12)+VLOOKUP(Y$4,$DE$6:$DF$17,2)+1))*$B97</f>
        <v>-2313.3206962742001</v>
      </c>
      <c r="Z97" s="1021">
        <f>(VLOOKUP(YEAR($A97),'NY East Load Projections'!$A$4:$EO$14,((MONTH($A97)-1)*12)+VLOOKUP(Z$4,$DE$6:$DF$17,2)+1))*$B97</f>
        <v>-2313.3206962742001</v>
      </c>
      <c r="AA97" s="1021">
        <f>(VLOOKUP(YEAR($A97),'NY East Load Projections'!$A$4:$EO$14,((MONTH($A97)-1)*12)+VLOOKUP(AA$4,$DE$6:$DF$17,2)+1))*$B97</f>
        <v>-2313.3206962742001</v>
      </c>
      <c r="AB97" s="1021">
        <f>(VLOOKUP(YEAR($A97),'NY East Load Projections'!$A$4:$EO$14,((MONTH($A97)-1)*12)+VLOOKUP(AB$4,$DE$6:$DF$17,2)+1))*$B97</f>
        <v>-2100.8468551517253</v>
      </c>
      <c r="AC97" s="1021">
        <f>(VLOOKUP(YEAR($A97),'NY East Load Projections'!$A$4:$EO$14,((MONTH($A97)-1)*12)+VLOOKUP(AC$4,$DE$6:$DF$17,2)+1))*$B97</f>
        <v>-2100.8468551517253</v>
      </c>
      <c r="AD97" s="1021">
        <f>(VLOOKUP(YEAR($A97),'NY East Load Projections'!$A$4:$EO$14,((MONTH($A97)-1)*12)+VLOOKUP(AD$4,$DE$6:$DF$17,2)+1))*$B97</f>
        <v>-2100.8468551517253</v>
      </c>
      <c r="AE97" s="1021">
        <f>(VLOOKUP(YEAR($A97),'NY East Load Projections'!$A$4:$EO$14,((MONTH($A97)-1)*12)+VLOOKUP(AE$4,$DE$6:$DF$17,2)+1))*$B97</f>
        <v>-2100.8468551517253</v>
      </c>
      <c r="AF97" s="1021"/>
      <c r="AG97" s="1021">
        <f>(VLOOKUP(YEAR($A97),'NY East Load Projections'!$A$4:$EO$14,((MONTH($A97)-1)*12)+VLOOKUP(AG$4,$DE$6:$DF$17,2)+1))*$C97</f>
        <v>-468.4632105153064</v>
      </c>
      <c r="AH97" s="1021">
        <f>(VLOOKUP(YEAR($A97),'NY East Load Projections'!$A$4:$EO$14,((MONTH($A97)-1)*12)+VLOOKUP(AH$4,$DE$6:$DF$17,2)+1))*$C97</f>
        <v>-468.4632105153064</v>
      </c>
      <c r="AI97" s="1021">
        <f>(VLOOKUP(YEAR($A97),'NY East Load Projections'!$A$4:$EO$14,((MONTH($A97)-1)*12)+VLOOKUP(AI$4,$DE$6:$DF$17,2)+1))*$C97</f>
        <v>-468.4632105153064</v>
      </c>
      <c r="AJ97" s="1021">
        <f>(VLOOKUP(YEAR($A97),'NY East Load Projections'!$A$4:$EO$14,((MONTH($A97)-1)*12)+VLOOKUP(AJ$4,$DE$6:$DF$17,2)+1))*$C97</f>
        <v>-468.4632105153064</v>
      </c>
      <c r="AK97" s="1021">
        <f>(VLOOKUP(YEAR($A97),'NY East Load Projections'!$A$4:$EO$14,((MONTH($A97)-1)*12)+VLOOKUP(AK$4,$DE$6:$DF$17,2)+1))*$C97</f>
        <v>-476.45503431127918</v>
      </c>
      <c r="AL97" s="1021">
        <f>(VLOOKUP(YEAR($A97),'NY East Load Projections'!$A$4:$EO$14,((MONTH($A97)-1)*12)+VLOOKUP(AL$4,$DE$6:$DF$17,2)+1))*$C97</f>
        <v>-476.45503431127918</v>
      </c>
      <c r="AM97" s="1021">
        <f>(VLOOKUP(YEAR($A97),'NY East Load Projections'!$A$4:$EO$14,((MONTH($A97)-1)*12)+VLOOKUP(AM$4,$DE$6:$DF$17,2)+1))*$C97</f>
        <v>-476.45503431127918</v>
      </c>
      <c r="AN97" s="1021">
        <f>(VLOOKUP(YEAR($A97),'NY East Load Projections'!$A$4:$EO$14,((MONTH($A97)-1)*12)+VLOOKUP(AN$4,$DE$6:$DF$17,2)+1))*$C97</f>
        <v>-476.45503431127918</v>
      </c>
      <c r="AO97" s="1021">
        <f>(VLOOKUP(YEAR($A97),'NY East Load Projections'!$A$4:$EO$14,((MONTH($A97)-1)*12)+VLOOKUP(AO$4,$DE$6:$DF$17,2)+1))*$C97</f>
        <v>-523.80820469799562</v>
      </c>
      <c r="AP97" s="1021">
        <f>(VLOOKUP(YEAR($A97),'NY East Load Projections'!$A$4:$EO$14,((MONTH($A97)-1)*12)+VLOOKUP(AP$4,$DE$6:$DF$17,2)+1))*$C97</f>
        <v>-523.80820469799562</v>
      </c>
      <c r="AQ97" s="1021">
        <f>(VLOOKUP(YEAR($A97),'NY East Load Projections'!$A$4:$EO$14,((MONTH($A97)-1)*12)+VLOOKUP(AQ$4,$DE$6:$DF$17,2)+1))*$C97</f>
        <v>-523.80820469799562</v>
      </c>
      <c r="AR97" s="1021">
        <f>(VLOOKUP(YEAR($A97),'NY East Load Projections'!$A$4:$EO$14,((MONTH($A97)-1)*12)+VLOOKUP(AR$4,$DE$6:$DF$17,2)+1))*$C97</f>
        <v>-523.80820469799562</v>
      </c>
      <c r="AS97" s="1021">
        <f>(VLOOKUP(YEAR($A97),'NY East Load Projections'!$A$4:$EO$14,((MONTH($A97)-1)*12)+VLOOKUP(AS$4,$DE$6:$DF$17,2)+1))*$C97</f>
        <v>-541.78791723531754</v>
      </c>
      <c r="AT97" s="1021">
        <f>(VLOOKUP(YEAR($A97),'NY East Load Projections'!$A$4:$EO$14,((MONTH($A97)-1)*12)+VLOOKUP(AT$4,$DE$6:$DF$17,2)+1))*$C97</f>
        <v>-541.78791723531754</v>
      </c>
      <c r="AU97" s="1021">
        <f>(VLOOKUP(YEAR($A97),'NY East Load Projections'!$A$4:$EO$14,((MONTH($A97)-1)*12)+VLOOKUP(AU$4,$DE$6:$DF$17,2)+1))*$C97</f>
        <v>-541.78791723531754</v>
      </c>
      <c r="AV97" s="1021">
        <f>(VLOOKUP(YEAR($A97),'NY East Load Projections'!$A$4:$EO$14,((MONTH($A97)-1)*12)+VLOOKUP(AV$4,$DE$6:$DF$17,2)+1))*$C97</f>
        <v>-541.78791723531754</v>
      </c>
      <c r="AW97" s="1021">
        <f>(VLOOKUP(YEAR($A97),'NY East Load Projections'!$A$4:$EO$14,((MONTH($A97)-1)*12)+VLOOKUP(AW$4,$DE$6:$DF$17,2)+1))*$C97</f>
        <v>-517.40104355784933</v>
      </c>
      <c r="AX97" s="1021">
        <f>(VLOOKUP(YEAR($A97),'NY East Load Projections'!$A$4:$EO$14,((MONTH($A97)-1)*12)+VLOOKUP(AX$4,$DE$6:$DF$17,2)+1))*$C97</f>
        <v>-517.40104355784933</v>
      </c>
      <c r="AY97" s="1021">
        <f>(VLOOKUP(YEAR($A97),'NY East Load Projections'!$A$4:$EO$14,((MONTH($A97)-1)*12)+VLOOKUP(AY$4,$DE$6:$DF$17,2)+1))*$C97</f>
        <v>-517.40104355784933</v>
      </c>
      <c r="AZ97" s="1021">
        <f>(VLOOKUP(YEAR($A97),'NY East Load Projections'!$A$4:$EO$14,((MONTH($A97)-1)*12)+VLOOKUP(AZ$4,$DE$6:$DF$17,2)+1))*$C97</f>
        <v>-517.40104355784933</v>
      </c>
      <c r="BA97" s="1021">
        <f>(VLOOKUP(YEAR($A97),'NY East Load Projections'!$A$4:$EO$14,((MONTH($A97)-1)*12)+VLOOKUP(BA$4,$DE$6:$DF$17,2)+1))*$C97</f>
        <v>-488.93205592519973</v>
      </c>
      <c r="BB97" s="1021">
        <f>(VLOOKUP(YEAR($A97),'NY East Load Projections'!$A$4:$EO$14,((MONTH($A97)-1)*12)+VLOOKUP(BB$4,$DE$6:$DF$17,2)+1))*$C97</f>
        <v>-488.93205592519973</v>
      </c>
      <c r="BC97" s="1021">
        <f>(VLOOKUP(YEAR($A97),'NY East Load Projections'!$A$4:$EO$14,((MONTH($A97)-1)*12)+VLOOKUP(BC$4,$DE$6:$DF$17,2)+1))*$C97</f>
        <v>-488.93205592519973</v>
      </c>
      <c r="BD97" s="1021">
        <f>(VLOOKUP(YEAR($A97),'NY East Load Projections'!$A$4:$EO$14,((MONTH($A97)-1)*12)+VLOOKUP(BD$4,$DE$6:$DF$17,2)+1))*$C97</f>
        <v>-488.93205592519973</v>
      </c>
      <c r="BE97" s="1021"/>
      <c r="BF97" s="1021">
        <f>(VLOOKUP(YEAR($A97),'NY East Load Projections'!$A$4:$EO$14,((MONTH($A97)-1)*12)+VLOOKUP(BF$4,$DE$6:$DF$17,2)+1))*$D97</f>
        <v>-468.4632105153064</v>
      </c>
      <c r="BG97" s="1021">
        <f>(VLOOKUP(YEAR($A97),'NY East Load Projections'!$A$4:$EO$14,((MONTH($A97)-1)*12)+VLOOKUP(BG$4,$DE$6:$DF$17,2)+1))*$D97</f>
        <v>-468.4632105153064</v>
      </c>
      <c r="BH97" s="1021">
        <f>(VLOOKUP(YEAR($A97),'NY East Load Projections'!$A$4:$EO$14,((MONTH($A97)-1)*12)+VLOOKUP(BH$4,$DE$6:$DF$17,2)+1))*$D97</f>
        <v>-468.4632105153064</v>
      </c>
      <c r="BI97" s="1021">
        <f>(VLOOKUP(YEAR($A97),'NY East Load Projections'!$A$4:$EO$14,((MONTH($A97)-1)*12)+VLOOKUP(BI$4,$DE$6:$DF$17,2)+1))*$D97</f>
        <v>-468.4632105153064</v>
      </c>
      <c r="BJ97" s="1021">
        <f>(VLOOKUP(YEAR($A97),'NY East Load Projections'!$A$4:$EO$14,((MONTH($A97)-1)*12)+VLOOKUP(BJ$4,$DE$6:$DF$17,2)+1))*$D97</f>
        <v>-476.45503431127918</v>
      </c>
      <c r="BK97" s="1021">
        <f>(VLOOKUP(YEAR($A97),'NY East Load Projections'!$A$4:$EO$14,((MONTH($A97)-1)*12)+VLOOKUP(BK$4,$DE$6:$DF$17,2)+1))*$D97</f>
        <v>-476.45503431127918</v>
      </c>
      <c r="BL97" s="1021">
        <f>(VLOOKUP(YEAR($A97),'NY East Load Projections'!$A$4:$EO$14,((MONTH($A97)-1)*12)+VLOOKUP(BL$4,$DE$6:$DF$17,2)+1))*$D97</f>
        <v>-476.45503431127918</v>
      </c>
      <c r="BM97" s="1021">
        <f>(VLOOKUP(YEAR($A97),'NY East Load Projections'!$A$4:$EO$14,((MONTH($A97)-1)*12)+VLOOKUP(BM$4,$DE$6:$DF$17,2)+1))*$D97</f>
        <v>-476.45503431127918</v>
      </c>
      <c r="BN97" s="1021">
        <f>(VLOOKUP(YEAR($A97),'NY East Load Projections'!$A$4:$EO$14,((MONTH($A97)-1)*12)+VLOOKUP(BN$4,$DE$6:$DF$17,2)+1))*$D97</f>
        <v>-523.80820469799562</v>
      </c>
      <c r="BO97" s="1021">
        <f>(VLOOKUP(YEAR($A97),'NY East Load Projections'!$A$4:$EO$14,((MONTH($A97)-1)*12)+VLOOKUP(BO$4,$DE$6:$DF$17,2)+1))*$D97</f>
        <v>-523.80820469799562</v>
      </c>
      <c r="BP97" s="1021">
        <f>(VLOOKUP(YEAR($A97),'NY East Load Projections'!$A$4:$EO$14,((MONTH($A97)-1)*12)+VLOOKUP(BP$4,$DE$6:$DF$17,2)+1))*$D97</f>
        <v>-523.80820469799562</v>
      </c>
      <c r="BQ97" s="1021">
        <f>(VLOOKUP(YEAR($A97),'NY East Load Projections'!$A$4:$EO$14,((MONTH($A97)-1)*12)+VLOOKUP(BQ$4,$DE$6:$DF$17,2)+1))*$D97</f>
        <v>-523.80820469799562</v>
      </c>
      <c r="BR97" s="1021">
        <f>(VLOOKUP(YEAR($A97),'NY East Load Projections'!$A$4:$EO$14,((MONTH($A97)-1)*12)+VLOOKUP(BR$4,$DE$6:$DF$17,2)+1))*$D97</f>
        <v>-541.78791723531754</v>
      </c>
      <c r="BS97" s="1021">
        <f>(VLOOKUP(YEAR($A97),'NY East Load Projections'!$A$4:$EO$14,((MONTH($A97)-1)*12)+VLOOKUP(BS$4,$DE$6:$DF$17,2)+1))*$D97</f>
        <v>-541.78791723531754</v>
      </c>
      <c r="BT97" s="1021">
        <f>(VLOOKUP(YEAR($A97),'NY East Load Projections'!$A$4:$EO$14,((MONTH($A97)-1)*12)+VLOOKUP(BT$4,$DE$6:$DF$17,2)+1))*$D97</f>
        <v>-541.78791723531754</v>
      </c>
      <c r="BU97" s="1021">
        <f>(VLOOKUP(YEAR($A97),'NY East Load Projections'!$A$4:$EO$14,((MONTH($A97)-1)*12)+VLOOKUP(BU$4,$DE$6:$DF$17,2)+1))*$D97</f>
        <v>-541.78791723531754</v>
      </c>
      <c r="BV97" s="1021">
        <f>(VLOOKUP(YEAR($A97),'NY East Load Projections'!$A$4:$EO$14,((MONTH($A97)-1)*12)+VLOOKUP(BV$4,$DE$6:$DF$17,2)+1))*$D97</f>
        <v>-517.40104355784933</v>
      </c>
      <c r="BW97" s="1021">
        <f>(VLOOKUP(YEAR($A97),'NY East Load Projections'!$A$4:$EO$14,((MONTH($A97)-1)*12)+VLOOKUP(BW$4,$DE$6:$DF$17,2)+1))*$D97</f>
        <v>-517.40104355784933</v>
      </c>
      <c r="BX97" s="1021">
        <f>(VLOOKUP(YEAR($A97),'NY East Load Projections'!$A$4:$EO$14,((MONTH($A97)-1)*12)+VLOOKUP(BX$4,$DE$6:$DF$17,2)+1))*$D97</f>
        <v>-517.40104355784933</v>
      </c>
      <c r="BY97" s="1021">
        <f>(VLOOKUP(YEAR($A97),'NY East Load Projections'!$A$4:$EO$14,((MONTH($A97)-1)*12)+VLOOKUP(BY$4,$DE$6:$DF$17,2)+1))*$D97</f>
        <v>-517.40104355784933</v>
      </c>
      <c r="BZ97" s="1021">
        <f>(VLOOKUP(YEAR($A97),'NY East Load Projections'!$A$4:$EO$14,((MONTH($A97)-1)*12)+VLOOKUP(BZ$4,$DE$6:$DF$17,2)+1))*$D97</f>
        <v>-488.93205592519973</v>
      </c>
      <c r="CA97" s="1021">
        <f>(VLOOKUP(YEAR($A97),'NY East Load Projections'!$A$4:$EO$14,((MONTH($A97)-1)*12)+VLOOKUP(CA$4,$DE$6:$DF$17,2)+1))*$D97</f>
        <v>-488.93205592519973</v>
      </c>
      <c r="CB97" s="1021">
        <f>(VLOOKUP(YEAR($A97),'NY East Load Projections'!$A$4:$EO$14,((MONTH($A97)-1)*12)+VLOOKUP(CB$4,$DE$6:$DF$17,2)+1))*$D97</f>
        <v>-488.93205592519973</v>
      </c>
      <c r="CC97" s="1021">
        <f>(VLOOKUP(YEAR($A97),'NY East Load Projections'!$A$4:$EO$14,((MONTH($A97)-1)*12)+VLOOKUP(CC$4,$DE$6:$DF$17,2)+1))*$D97</f>
        <v>-488.93205592519973</v>
      </c>
      <c r="CE97" s="1021">
        <f>(VLOOKUP(YEAR($A97),'NY East Load Projections'!$A$4:$EO$14,((MONTH($A97)-1)*12)+VLOOKUP(CE$4,$DE$6:$DF$17,2)+1))*$E97</f>
        <v>0</v>
      </c>
      <c r="CF97" s="1021">
        <f>(VLOOKUP(YEAR($A97),'NY East Load Projections'!$A$4:$EO$14,((MONTH($A97)-1)*12)+VLOOKUP(CF$4,$DE$6:$DF$17,2)+1))*$E97</f>
        <v>0</v>
      </c>
      <c r="CG97" s="1021">
        <f>(VLOOKUP(YEAR($A97),'NY East Load Projections'!$A$4:$EO$14,((MONTH($A97)-1)*12)+VLOOKUP(CG$4,$DE$6:$DF$17,2)+1))*$E97</f>
        <v>0</v>
      </c>
      <c r="CH97" s="1021">
        <f>(VLOOKUP(YEAR($A97),'NY East Load Projections'!$A$4:$EO$14,((MONTH($A97)-1)*12)+VLOOKUP(CH$4,$DE$6:$DF$17,2)+1))*$E97</f>
        <v>0</v>
      </c>
      <c r="CI97" s="1021">
        <f>(VLOOKUP(YEAR($A97),'NY East Load Projections'!$A$4:$EO$14,((MONTH($A97)-1)*12)+VLOOKUP(CI$4,$DE$6:$DF$17,2)+1))*$E97</f>
        <v>0</v>
      </c>
      <c r="CJ97" s="1021">
        <f>(VLOOKUP(YEAR($A97),'NY East Load Projections'!$A$4:$EO$14,((MONTH($A97)-1)*12)+VLOOKUP(CJ$4,$DE$6:$DF$17,2)+1))*$E97</f>
        <v>0</v>
      </c>
      <c r="CK97" s="1021">
        <f>(VLOOKUP(YEAR($A97),'NY East Load Projections'!$A$4:$EO$14,((MONTH($A97)-1)*12)+VLOOKUP(CK$4,$DE$6:$DF$17,2)+1))*$E97</f>
        <v>0</v>
      </c>
      <c r="CL97" s="1021">
        <f>(VLOOKUP(YEAR($A97),'NY East Load Projections'!$A$4:$EO$14,((MONTH($A97)-1)*12)+VLOOKUP(CL$4,$DE$6:$DF$17,2)+1))*$E97</f>
        <v>0</v>
      </c>
      <c r="CM97" s="1021">
        <f>(VLOOKUP(YEAR($A97),'NY East Load Projections'!$A$4:$EO$14,((MONTH($A97)-1)*12)+VLOOKUP(CM$4,$DE$6:$DF$17,2)+1))*$E97</f>
        <v>0</v>
      </c>
      <c r="CN97" s="1021">
        <f>(VLOOKUP(YEAR($A97),'NY East Load Projections'!$A$4:$EO$14,((MONTH($A97)-1)*12)+VLOOKUP(CN$4,$DE$6:$DF$17,2)+1))*$E97</f>
        <v>0</v>
      </c>
      <c r="CO97" s="1021">
        <f>(VLOOKUP(YEAR($A97),'NY East Load Projections'!$A$4:$EO$14,((MONTH($A97)-1)*12)+VLOOKUP(CO$4,$DE$6:$DF$17,2)+1))*$E97</f>
        <v>0</v>
      </c>
      <c r="CP97" s="1021">
        <f>(VLOOKUP(YEAR($A97),'NY East Load Projections'!$A$4:$EO$14,((MONTH($A97)-1)*12)+VLOOKUP(CP$4,$DE$6:$DF$17,2)+1))*$E97</f>
        <v>0</v>
      </c>
      <c r="CQ97" s="1021">
        <f>(VLOOKUP(YEAR($A97),'NY East Load Projections'!$A$4:$EO$14,((MONTH($A97)-1)*12)+VLOOKUP(CQ$4,$DE$6:$DF$17,2)+1))*$E97</f>
        <v>0</v>
      </c>
      <c r="CR97" s="1021">
        <f>(VLOOKUP(YEAR($A97),'NY East Load Projections'!$A$4:$EO$14,((MONTH($A97)-1)*12)+VLOOKUP(CR$4,$DE$6:$DF$17,2)+1))*$E97</f>
        <v>0</v>
      </c>
      <c r="CS97" s="1021">
        <f>(VLOOKUP(YEAR($A97),'NY East Load Projections'!$A$4:$EO$14,((MONTH($A97)-1)*12)+VLOOKUP(CS$4,$DE$6:$DF$17,2)+1))*$E97</f>
        <v>0</v>
      </c>
      <c r="CT97" s="1021">
        <f>(VLOOKUP(YEAR($A97),'NY East Load Projections'!$A$4:$EO$14,((MONTH($A97)-1)*12)+VLOOKUP(CT$4,$DE$6:$DF$17,2)+1))*$E97</f>
        <v>0</v>
      </c>
      <c r="CU97" s="1021">
        <f>(VLOOKUP(YEAR($A97),'NY East Load Projections'!$A$4:$EO$14,((MONTH($A97)-1)*12)+VLOOKUP(CU$4,$DE$6:$DF$17,2)+1))*$E97</f>
        <v>0</v>
      </c>
      <c r="CV97" s="1021">
        <f>(VLOOKUP(YEAR($A97),'NY East Load Projections'!$A$4:$EO$14,((MONTH($A97)-1)*12)+VLOOKUP(CV$4,$DE$6:$DF$17,2)+1))*$E97</f>
        <v>0</v>
      </c>
      <c r="CW97" s="1021">
        <f>(VLOOKUP(YEAR($A97),'NY East Load Projections'!$A$4:$EO$14,((MONTH($A97)-1)*12)+VLOOKUP(CW$4,$DE$6:$DF$17,2)+1))*$E97</f>
        <v>0</v>
      </c>
      <c r="CX97" s="1021">
        <f>(VLOOKUP(YEAR($A97),'NY East Load Projections'!$A$4:$EO$14,((MONTH($A97)-1)*12)+VLOOKUP(CX$4,$DE$6:$DF$17,2)+1))*$E97</f>
        <v>0</v>
      </c>
      <c r="CY97" s="1021">
        <f>(VLOOKUP(YEAR($A97),'NY East Load Projections'!$A$4:$EO$14,((MONTH($A97)-1)*12)+VLOOKUP(CY$4,$DE$6:$DF$17,2)+1))*$E97</f>
        <v>0</v>
      </c>
      <c r="CZ97" s="1021">
        <f>(VLOOKUP(YEAR($A97),'NY East Load Projections'!$A$4:$EO$14,((MONTH($A97)-1)*12)+VLOOKUP(CZ$4,$DE$6:$DF$17,2)+1))*$E97</f>
        <v>0</v>
      </c>
      <c r="DA97" s="1021">
        <f>(VLOOKUP(YEAR($A97),'NY East Load Projections'!$A$4:$EO$14,((MONTH($A97)-1)*12)+VLOOKUP(DA$4,$DE$6:$DF$17,2)+1))*$E97</f>
        <v>0</v>
      </c>
      <c r="DB97" s="1021">
        <f>(VLOOKUP(YEAR($A97),'NY East Load Projections'!$A$4:$EO$14,((MONTH($A97)-1)*12)+VLOOKUP(DB$4,$DE$6:$DF$17,2)+1))*$E97</f>
        <v>0</v>
      </c>
      <c r="DH97" s="1009">
        <f t="shared" si="3"/>
        <v>-77381.058507498106</v>
      </c>
      <c r="DI97">
        <f ca="1">CALC!J117</f>
        <v>0.53749778610818577</v>
      </c>
      <c r="DJ97" s="1032">
        <f t="shared" ca="1" si="4"/>
        <v>-41592.147634488225</v>
      </c>
    </row>
    <row r="98" spans="1:114" x14ac:dyDescent="0.25">
      <c r="A98" s="244">
        <v>39692</v>
      </c>
      <c r="B98" s="13">
        <v>21</v>
      </c>
      <c r="C98" s="210">
        <v>4</v>
      </c>
      <c r="D98" s="210">
        <v>4</v>
      </c>
      <c r="E98" s="210">
        <v>1</v>
      </c>
      <c r="F98" s="13">
        <v>30</v>
      </c>
      <c r="H98" s="1021">
        <f>(VLOOKUP(YEAR($A98),'NY East Load Projections'!$A$4:$EO$14,((MONTH($A98)-1)*12)+VLOOKUP(H$4,$DE$6:$DF$17,2)+1))*$B98</f>
        <v>-2021.8131034753396</v>
      </c>
      <c r="I98" s="1021">
        <f>(VLOOKUP(YEAR($A98),'NY East Load Projections'!$A$4:$EO$14,((MONTH($A98)-1)*12)+VLOOKUP(I$4,$DE$6:$DF$17,2)+1))*$B98</f>
        <v>-2021.8131034753396</v>
      </c>
      <c r="J98" s="1021">
        <f>(VLOOKUP(YEAR($A98),'NY East Load Projections'!$A$4:$EO$14,((MONTH($A98)-1)*12)+VLOOKUP(J$4,$DE$6:$DF$17,2)+1))*$B98</f>
        <v>-2021.8131034753396</v>
      </c>
      <c r="K98" s="1021">
        <f>(VLOOKUP(YEAR($A98),'NY East Load Projections'!$A$4:$EO$14,((MONTH($A98)-1)*12)+VLOOKUP(K$4,$DE$6:$DF$17,2)+1))*$B98</f>
        <v>-2021.8131034753396</v>
      </c>
      <c r="L98" s="1021">
        <f>(VLOOKUP(YEAR($A98),'NY East Load Projections'!$A$4:$EO$14,((MONTH($A98)-1)*12)+VLOOKUP(L$4,$DE$6:$DF$17,2)+1))*$B98</f>
        <v>-2158.2593801054859</v>
      </c>
      <c r="M98" s="1021">
        <f>(VLOOKUP(YEAR($A98),'NY East Load Projections'!$A$4:$EO$14,((MONTH($A98)-1)*12)+VLOOKUP(M$4,$DE$6:$DF$17,2)+1))*$B98</f>
        <v>-2158.2593801054859</v>
      </c>
      <c r="N98" s="1021">
        <f>(VLOOKUP(YEAR($A98),'NY East Load Projections'!$A$4:$EO$14,((MONTH($A98)-1)*12)+VLOOKUP(N$4,$DE$6:$DF$17,2)+1))*$B98</f>
        <v>-2158.2593801054859</v>
      </c>
      <c r="O98" s="1021">
        <f>(VLOOKUP(YEAR($A98),'NY East Load Projections'!$A$4:$EO$14,((MONTH($A98)-1)*12)+VLOOKUP(O$4,$DE$6:$DF$17,2)+1))*$B98</f>
        <v>-2158.2593801054859</v>
      </c>
      <c r="P98" s="1021">
        <f>(VLOOKUP(YEAR($A98),'NY East Load Projections'!$A$4:$EO$14,((MONTH($A98)-1)*12)+VLOOKUP(P$4,$DE$6:$DF$17,2)+1))*$B98</f>
        <v>-2343.6009086823669</v>
      </c>
      <c r="Q98" s="1021">
        <f>(VLOOKUP(YEAR($A98),'NY East Load Projections'!$A$4:$EO$14,((MONTH($A98)-1)*12)+VLOOKUP(Q$4,$DE$6:$DF$17,2)+1))*$B98</f>
        <v>-2343.6009086823669</v>
      </c>
      <c r="R98" s="1021">
        <f>(VLOOKUP(YEAR($A98),'NY East Load Projections'!$A$4:$EO$14,((MONTH($A98)-1)*12)+VLOOKUP(R$4,$DE$6:$DF$17,2)+1))*$B98</f>
        <v>-2343.6009086823669</v>
      </c>
      <c r="S98" s="1021">
        <f>(VLOOKUP(YEAR($A98),'NY East Load Projections'!$A$4:$EO$14,((MONTH($A98)-1)*12)+VLOOKUP(S$4,$DE$6:$DF$17,2)+1))*$B98</f>
        <v>-2343.6009086823669</v>
      </c>
      <c r="T98" s="1021">
        <f>(VLOOKUP(YEAR($A98),'NY East Load Projections'!$A$4:$EO$14,((MONTH($A98)-1)*12)+VLOOKUP(T$4,$DE$6:$DF$17,2)+1))*$B98</f>
        <v>-2410.8267366880282</v>
      </c>
      <c r="U98" s="1021">
        <f>(VLOOKUP(YEAR($A98),'NY East Load Projections'!$A$4:$EO$14,((MONTH($A98)-1)*12)+VLOOKUP(U$4,$DE$6:$DF$17,2)+1))*$B98</f>
        <v>-2410.8267366880282</v>
      </c>
      <c r="V98" s="1021">
        <f>(VLOOKUP(YEAR($A98),'NY East Load Projections'!$A$4:$EO$14,((MONTH($A98)-1)*12)+VLOOKUP(V$4,$DE$6:$DF$17,2)+1))*$B98</f>
        <v>-2410.8267366880282</v>
      </c>
      <c r="W98" s="1021">
        <f>(VLOOKUP(YEAR($A98),'NY East Load Projections'!$A$4:$EO$14,((MONTH($A98)-1)*12)+VLOOKUP(W$4,$DE$6:$DF$17,2)+1))*$B98</f>
        <v>-2410.8267366880282</v>
      </c>
      <c r="X98" s="1021">
        <f>(VLOOKUP(YEAR($A98),'NY East Load Projections'!$A$4:$EO$14,((MONTH($A98)-1)*12)+VLOOKUP(X$4,$DE$6:$DF$17,2)+1))*$B98</f>
        <v>-2309.4344423963712</v>
      </c>
      <c r="Y98" s="1021">
        <f>(VLOOKUP(YEAR($A98),'NY East Load Projections'!$A$4:$EO$14,((MONTH($A98)-1)*12)+VLOOKUP(Y$4,$DE$6:$DF$17,2)+1))*$B98</f>
        <v>-2309.4344423963712</v>
      </c>
      <c r="Z98" s="1021">
        <f>(VLOOKUP(YEAR($A98),'NY East Load Projections'!$A$4:$EO$14,((MONTH($A98)-1)*12)+VLOOKUP(Z$4,$DE$6:$DF$17,2)+1))*$B98</f>
        <v>-2309.4344423963712</v>
      </c>
      <c r="AA98" s="1021">
        <f>(VLOOKUP(YEAR($A98),'NY East Load Projections'!$A$4:$EO$14,((MONTH($A98)-1)*12)+VLOOKUP(AA$4,$DE$6:$DF$17,2)+1))*$B98</f>
        <v>-2309.4344423963712</v>
      </c>
      <c r="AB98" s="1021">
        <f>(VLOOKUP(YEAR($A98),'NY East Load Projections'!$A$4:$EO$14,((MONTH($A98)-1)*12)+VLOOKUP(AB$4,$DE$6:$DF$17,2)+1))*$B98</f>
        <v>-2088.592630660095</v>
      </c>
      <c r="AC98" s="1021">
        <f>(VLOOKUP(YEAR($A98),'NY East Load Projections'!$A$4:$EO$14,((MONTH($A98)-1)*12)+VLOOKUP(AC$4,$DE$6:$DF$17,2)+1))*$B98</f>
        <v>-2088.592630660095</v>
      </c>
      <c r="AD98" s="1021">
        <f>(VLOOKUP(YEAR($A98),'NY East Load Projections'!$A$4:$EO$14,((MONTH($A98)-1)*12)+VLOOKUP(AD$4,$DE$6:$DF$17,2)+1))*$B98</f>
        <v>-2088.592630660095</v>
      </c>
      <c r="AE98" s="1021">
        <f>(VLOOKUP(YEAR($A98),'NY East Load Projections'!$A$4:$EO$14,((MONTH($A98)-1)*12)+VLOOKUP(AE$4,$DE$6:$DF$17,2)+1))*$B98</f>
        <v>-2088.592630660095</v>
      </c>
      <c r="AF98" s="1021"/>
      <c r="AG98" s="1021">
        <f>(VLOOKUP(YEAR($A98),'NY East Load Projections'!$A$4:$EO$14,((MONTH($A98)-1)*12)+VLOOKUP(AG$4,$DE$6:$DF$17,2)+1))*$C98</f>
        <v>-401.66579942734359</v>
      </c>
      <c r="AH98" s="1021">
        <f>(VLOOKUP(YEAR($A98),'NY East Load Projections'!$A$4:$EO$14,((MONTH($A98)-1)*12)+VLOOKUP(AH$4,$DE$6:$DF$17,2)+1))*$C98</f>
        <v>-401.66579942734359</v>
      </c>
      <c r="AI98" s="1021">
        <f>(VLOOKUP(YEAR($A98),'NY East Load Projections'!$A$4:$EO$14,((MONTH($A98)-1)*12)+VLOOKUP(AI$4,$DE$6:$DF$17,2)+1))*$C98</f>
        <v>-401.66579942734359</v>
      </c>
      <c r="AJ98" s="1021">
        <f>(VLOOKUP(YEAR($A98),'NY East Load Projections'!$A$4:$EO$14,((MONTH($A98)-1)*12)+VLOOKUP(AJ$4,$DE$6:$DF$17,2)+1))*$C98</f>
        <v>-401.66579942734359</v>
      </c>
      <c r="AK98" s="1021">
        <f>(VLOOKUP(YEAR($A98),'NY East Load Projections'!$A$4:$EO$14,((MONTH($A98)-1)*12)+VLOOKUP(AK$4,$DE$6:$DF$17,2)+1))*$C98</f>
        <v>-404.73415127809221</v>
      </c>
      <c r="AL98" s="1021">
        <f>(VLOOKUP(YEAR($A98),'NY East Load Projections'!$A$4:$EO$14,((MONTH($A98)-1)*12)+VLOOKUP(AL$4,$DE$6:$DF$17,2)+1))*$C98</f>
        <v>-404.73415127809221</v>
      </c>
      <c r="AM98" s="1021">
        <f>(VLOOKUP(YEAR($A98),'NY East Load Projections'!$A$4:$EO$14,((MONTH($A98)-1)*12)+VLOOKUP(AM$4,$DE$6:$DF$17,2)+1))*$C98</f>
        <v>-404.73415127809221</v>
      </c>
      <c r="AN98" s="1021">
        <f>(VLOOKUP(YEAR($A98),'NY East Load Projections'!$A$4:$EO$14,((MONTH($A98)-1)*12)+VLOOKUP(AN$4,$DE$6:$DF$17,2)+1))*$C98</f>
        <v>-404.73415127809221</v>
      </c>
      <c r="AO98" s="1021">
        <f>(VLOOKUP(YEAR($A98),'NY East Load Projections'!$A$4:$EO$14,((MONTH($A98)-1)*12)+VLOOKUP(AO$4,$DE$6:$DF$17,2)+1))*$C98</f>
        <v>-455.76210995413192</v>
      </c>
      <c r="AP98" s="1021">
        <f>(VLOOKUP(YEAR($A98),'NY East Load Projections'!$A$4:$EO$14,((MONTH($A98)-1)*12)+VLOOKUP(AP$4,$DE$6:$DF$17,2)+1))*$C98</f>
        <v>-455.76210995413192</v>
      </c>
      <c r="AQ98" s="1021">
        <f>(VLOOKUP(YEAR($A98),'NY East Load Projections'!$A$4:$EO$14,((MONTH($A98)-1)*12)+VLOOKUP(AQ$4,$DE$6:$DF$17,2)+1))*$C98</f>
        <v>-455.76210995413192</v>
      </c>
      <c r="AR98" s="1021">
        <f>(VLOOKUP(YEAR($A98),'NY East Load Projections'!$A$4:$EO$14,((MONTH($A98)-1)*12)+VLOOKUP(AR$4,$DE$6:$DF$17,2)+1))*$C98</f>
        <v>-455.76210995413192</v>
      </c>
      <c r="AS98" s="1021">
        <f>(VLOOKUP(YEAR($A98),'NY East Load Projections'!$A$4:$EO$14,((MONTH($A98)-1)*12)+VLOOKUP(AS$4,$DE$6:$DF$17,2)+1))*$C98</f>
        <v>-466.88432295299162</v>
      </c>
      <c r="AT98" s="1021">
        <f>(VLOOKUP(YEAR($A98),'NY East Load Projections'!$A$4:$EO$14,((MONTH($A98)-1)*12)+VLOOKUP(AT$4,$DE$6:$DF$17,2)+1))*$C98</f>
        <v>-466.88432295299162</v>
      </c>
      <c r="AU98" s="1021">
        <f>(VLOOKUP(YEAR($A98),'NY East Load Projections'!$A$4:$EO$14,((MONTH($A98)-1)*12)+VLOOKUP(AU$4,$DE$6:$DF$17,2)+1))*$C98</f>
        <v>-466.88432295299162</v>
      </c>
      <c r="AV98" s="1021">
        <f>(VLOOKUP(YEAR($A98),'NY East Load Projections'!$A$4:$EO$14,((MONTH($A98)-1)*12)+VLOOKUP(AV$4,$DE$6:$DF$17,2)+1))*$C98</f>
        <v>-466.88432295299162</v>
      </c>
      <c r="AW98" s="1021">
        <f>(VLOOKUP(YEAR($A98),'NY East Load Projections'!$A$4:$EO$14,((MONTH($A98)-1)*12)+VLOOKUP(AW$4,$DE$6:$DF$17,2)+1))*$C98</f>
        <v>-435.46580747231059</v>
      </c>
      <c r="AX98" s="1021">
        <f>(VLOOKUP(YEAR($A98),'NY East Load Projections'!$A$4:$EO$14,((MONTH($A98)-1)*12)+VLOOKUP(AX$4,$DE$6:$DF$17,2)+1))*$C98</f>
        <v>-435.46580747231059</v>
      </c>
      <c r="AY98" s="1021">
        <f>(VLOOKUP(YEAR($A98),'NY East Load Projections'!$A$4:$EO$14,((MONTH($A98)-1)*12)+VLOOKUP(AY$4,$DE$6:$DF$17,2)+1))*$C98</f>
        <v>-435.46580747231059</v>
      </c>
      <c r="AZ98" s="1021">
        <f>(VLOOKUP(YEAR($A98),'NY East Load Projections'!$A$4:$EO$14,((MONTH($A98)-1)*12)+VLOOKUP(AZ$4,$DE$6:$DF$17,2)+1))*$C98</f>
        <v>-435.46580747231059</v>
      </c>
      <c r="BA98" s="1021">
        <f>(VLOOKUP(YEAR($A98),'NY East Load Projections'!$A$4:$EO$14,((MONTH($A98)-1)*12)+VLOOKUP(BA$4,$DE$6:$DF$17,2)+1))*$C98</f>
        <v>-417.22456607121251</v>
      </c>
      <c r="BB98" s="1021">
        <f>(VLOOKUP(YEAR($A98),'NY East Load Projections'!$A$4:$EO$14,((MONTH($A98)-1)*12)+VLOOKUP(BB$4,$DE$6:$DF$17,2)+1))*$C98</f>
        <v>-417.22456607121251</v>
      </c>
      <c r="BC98" s="1021">
        <f>(VLOOKUP(YEAR($A98),'NY East Load Projections'!$A$4:$EO$14,((MONTH($A98)-1)*12)+VLOOKUP(BC$4,$DE$6:$DF$17,2)+1))*$C98</f>
        <v>-417.22456607121251</v>
      </c>
      <c r="BD98" s="1021">
        <f>(VLOOKUP(YEAR($A98),'NY East Load Projections'!$A$4:$EO$14,((MONTH($A98)-1)*12)+VLOOKUP(BD$4,$DE$6:$DF$17,2)+1))*$C98</f>
        <v>-417.22456607121251</v>
      </c>
      <c r="BE98" s="1021"/>
      <c r="BF98" s="1021">
        <f>(VLOOKUP(YEAR($A98),'NY East Load Projections'!$A$4:$EO$14,((MONTH($A98)-1)*12)+VLOOKUP(BF$4,$DE$6:$DF$17,2)+1))*$D98</f>
        <v>-401.66579942734359</v>
      </c>
      <c r="BG98" s="1021">
        <f>(VLOOKUP(YEAR($A98),'NY East Load Projections'!$A$4:$EO$14,((MONTH($A98)-1)*12)+VLOOKUP(BG$4,$DE$6:$DF$17,2)+1))*$D98</f>
        <v>-401.66579942734359</v>
      </c>
      <c r="BH98" s="1021">
        <f>(VLOOKUP(YEAR($A98),'NY East Load Projections'!$A$4:$EO$14,((MONTH($A98)-1)*12)+VLOOKUP(BH$4,$DE$6:$DF$17,2)+1))*$D98</f>
        <v>-401.66579942734359</v>
      </c>
      <c r="BI98" s="1021">
        <f>(VLOOKUP(YEAR($A98),'NY East Load Projections'!$A$4:$EO$14,((MONTH($A98)-1)*12)+VLOOKUP(BI$4,$DE$6:$DF$17,2)+1))*$D98</f>
        <v>-401.66579942734359</v>
      </c>
      <c r="BJ98" s="1021">
        <f>(VLOOKUP(YEAR($A98),'NY East Load Projections'!$A$4:$EO$14,((MONTH($A98)-1)*12)+VLOOKUP(BJ$4,$DE$6:$DF$17,2)+1))*$D98</f>
        <v>-404.73415127809221</v>
      </c>
      <c r="BK98" s="1021">
        <f>(VLOOKUP(YEAR($A98),'NY East Load Projections'!$A$4:$EO$14,((MONTH($A98)-1)*12)+VLOOKUP(BK$4,$DE$6:$DF$17,2)+1))*$D98</f>
        <v>-404.73415127809221</v>
      </c>
      <c r="BL98" s="1021">
        <f>(VLOOKUP(YEAR($A98),'NY East Load Projections'!$A$4:$EO$14,((MONTH($A98)-1)*12)+VLOOKUP(BL$4,$DE$6:$DF$17,2)+1))*$D98</f>
        <v>-404.73415127809221</v>
      </c>
      <c r="BM98" s="1021">
        <f>(VLOOKUP(YEAR($A98),'NY East Load Projections'!$A$4:$EO$14,((MONTH($A98)-1)*12)+VLOOKUP(BM$4,$DE$6:$DF$17,2)+1))*$D98</f>
        <v>-404.73415127809221</v>
      </c>
      <c r="BN98" s="1021">
        <f>(VLOOKUP(YEAR($A98),'NY East Load Projections'!$A$4:$EO$14,((MONTH($A98)-1)*12)+VLOOKUP(BN$4,$DE$6:$DF$17,2)+1))*$D98</f>
        <v>-455.76210995413192</v>
      </c>
      <c r="BO98" s="1021">
        <f>(VLOOKUP(YEAR($A98),'NY East Load Projections'!$A$4:$EO$14,((MONTH($A98)-1)*12)+VLOOKUP(BO$4,$DE$6:$DF$17,2)+1))*$D98</f>
        <v>-455.76210995413192</v>
      </c>
      <c r="BP98" s="1021">
        <f>(VLOOKUP(YEAR($A98),'NY East Load Projections'!$A$4:$EO$14,((MONTH($A98)-1)*12)+VLOOKUP(BP$4,$DE$6:$DF$17,2)+1))*$D98</f>
        <v>-455.76210995413192</v>
      </c>
      <c r="BQ98" s="1021">
        <f>(VLOOKUP(YEAR($A98),'NY East Load Projections'!$A$4:$EO$14,((MONTH($A98)-1)*12)+VLOOKUP(BQ$4,$DE$6:$DF$17,2)+1))*$D98</f>
        <v>-455.76210995413192</v>
      </c>
      <c r="BR98" s="1021">
        <f>(VLOOKUP(YEAR($A98),'NY East Load Projections'!$A$4:$EO$14,((MONTH($A98)-1)*12)+VLOOKUP(BR$4,$DE$6:$DF$17,2)+1))*$D98</f>
        <v>-466.88432295299162</v>
      </c>
      <c r="BS98" s="1021">
        <f>(VLOOKUP(YEAR($A98),'NY East Load Projections'!$A$4:$EO$14,((MONTH($A98)-1)*12)+VLOOKUP(BS$4,$DE$6:$DF$17,2)+1))*$D98</f>
        <v>-466.88432295299162</v>
      </c>
      <c r="BT98" s="1021">
        <f>(VLOOKUP(YEAR($A98),'NY East Load Projections'!$A$4:$EO$14,((MONTH($A98)-1)*12)+VLOOKUP(BT$4,$DE$6:$DF$17,2)+1))*$D98</f>
        <v>-466.88432295299162</v>
      </c>
      <c r="BU98" s="1021">
        <f>(VLOOKUP(YEAR($A98),'NY East Load Projections'!$A$4:$EO$14,((MONTH($A98)-1)*12)+VLOOKUP(BU$4,$DE$6:$DF$17,2)+1))*$D98</f>
        <v>-466.88432295299162</v>
      </c>
      <c r="BV98" s="1021">
        <f>(VLOOKUP(YEAR($A98),'NY East Load Projections'!$A$4:$EO$14,((MONTH($A98)-1)*12)+VLOOKUP(BV$4,$DE$6:$DF$17,2)+1))*$D98</f>
        <v>-435.46580747231059</v>
      </c>
      <c r="BW98" s="1021">
        <f>(VLOOKUP(YEAR($A98),'NY East Load Projections'!$A$4:$EO$14,((MONTH($A98)-1)*12)+VLOOKUP(BW$4,$DE$6:$DF$17,2)+1))*$D98</f>
        <v>-435.46580747231059</v>
      </c>
      <c r="BX98" s="1021">
        <f>(VLOOKUP(YEAR($A98),'NY East Load Projections'!$A$4:$EO$14,((MONTH($A98)-1)*12)+VLOOKUP(BX$4,$DE$6:$DF$17,2)+1))*$D98</f>
        <v>-435.46580747231059</v>
      </c>
      <c r="BY98" s="1021">
        <f>(VLOOKUP(YEAR($A98),'NY East Load Projections'!$A$4:$EO$14,((MONTH($A98)-1)*12)+VLOOKUP(BY$4,$DE$6:$DF$17,2)+1))*$D98</f>
        <v>-435.46580747231059</v>
      </c>
      <c r="BZ98" s="1021">
        <f>(VLOOKUP(YEAR($A98),'NY East Load Projections'!$A$4:$EO$14,((MONTH($A98)-1)*12)+VLOOKUP(BZ$4,$DE$6:$DF$17,2)+1))*$D98</f>
        <v>-417.22456607121251</v>
      </c>
      <c r="CA98" s="1021">
        <f>(VLOOKUP(YEAR($A98),'NY East Load Projections'!$A$4:$EO$14,((MONTH($A98)-1)*12)+VLOOKUP(CA$4,$DE$6:$DF$17,2)+1))*$D98</f>
        <v>-417.22456607121251</v>
      </c>
      <c r="CB98" s="1021">
        <f>(VLOOKUP(YEAR($A98),'NY East Load Projections'!$A$4:$EO$14,((MONTH($A98)-1)*12)+VLOOKUP(CB$4,$DE$6:$DF$17,2)+1))*$D98</f>
        <v>-417.22456607121251</v>
      </c>
      <c r="CC98" s="1021">
        <f>(VLOOKUP(YEAR($A98),'NY East Load Projections'!$A$4:$EO$14,((MONTH($A98)-1)*12)+VLOOKUP(CC$4,$DE$6:$DF$17,2)+1))*$D98</f>
        <v>-417.22456607121251</v>
      </c>
      <c r="CE98" s="1021">
        <f>(VLOOKUP(YEAR($A98),'NY East Load Projections'!$A$4:$EO$14,((MONTH($A98)-1)*12)+VLOOKUP(CE$4,$DE$6:$DF$17,2)+1))*$E98</f>
        <v>-100.4164498568359</v>
      </c>
      <c r="CF98" s="1021">
        <f>(VLOOKUP(YEAR($A98),'NY East Load Projections'!$A$4:$EO$14,((MONTH($A98)-1)*12)+VLOOKUP(CF$4,$DE$6:$DF$17,2)+1))*$E98</f>
        <v>-100.4164498568359</v>
      </c>
      <c r="CG98" s="1021">
        <f>(VLOOKUP(YEAR($A98),'NY East Load Projections'!$A$4:$EO$14,((MONTH($A98)-1)*12)+VLOOKUP(CG$4,$DE$6:$DF$17,2)+1))*$E98</f>
        <v>-100.4164498568359</v>
      </c>
      <c r="CH98" s="1021">
        <f>(VLOOKUP(YEAR($A98),'NY East Load Projections'!$A$4:$EO$14,((MONTH($A98)-1)*12)+VLOOKUP(CH$4,$DE$6:$DF$17,2)+1))*$E98</f>
        <v>-100.4164498568359</v>
      </c>
      <c r="CI98" s="1021">
        <f>(VLOOKUP(YEAR($A98),'NY East Load Projections'!$A$4:$EO$14,((MONTH($A98)-1)*12)+VLOOKUP(CI$4,$DE$6:$DF$17,2)+1))*$E98</f>
        <v>-101.18353781952305</v>
      </c>
      <c r="CJ98" s="1021">
        <f>(VLOOKUP(YEAR($A98),'NY East Load Projections'!$A$4:$EO$14,((MONTH($A98)-1)*12)+VLOOKUP(CJ$4,$DE$6:$DF$17,2)+1))*$E98</f>
        <v>-101.18353781952305</v>
      </c>
      <c r="CK98" s="1021">
        <f>(VLOOKUP(YEAR($A98),'NY East Load Projections'!$A$4:$EO$14,((MONTH($A98)-1)*12)+VLOOKUP(CK$4,$DE$6:$DF$17,2)+1))*$E98</f>
        <v>-101.18353781952305</v>
      </c>
      <c r="CL98" s="1021">
        <f>(VLOOKUP(YEAR($A98),'NY East Load Projections'!$A$4:$EO$14,((MONTH($A98)-1)*12)+VLOOKUP(CL$4,$DE$6:$DF$17,2)+1))*$E98</f>
        <v>-101.18353781952305</v>
      </c>
      <c r="CM98" s="1021">
        <f>(VLOOKUP(YEAR($A98),'NY East Load Projections'!$A$4:$EO$14,((MONTH($A98)-1)*12)+VLOOKUP(CM$4,$DE$6:$DF$17,2)+1))*$E98</f>
        <v>-113.94052748853298</v>
      </c>
      <c r="CN98" s="1021">
        <f>(VLOOKUP(YEAR($A98),'NY East Load Projections'!$A$4:$EO$14,((MONTH($A98)-1)*12)+VLOOKUP(CN$4,$DE$6:$DF$17,2)+1))*$E98</f>
        <v>-113.94052748853298</v>
      </c>
      <c r="CO98" s="1021">
        <f>(VLOOKUP(YEAR($A98),'NY East Load Projections'!$A$4:$EO$14,((MONTH($A98)-1)*12)+VLOOKUP(CO$4,$DE$6:$DF$17,2)+1))*$E98</f>
        <v>-113.94052748853298</v>
      </c>
      <c r="CP98" s="1021">
        <f>(VLOOKUP(YEAR($A98),'NY East Load Projections'!$A$4:$EO$14,((MONTH($A98)-1)*12)+VLOOKUP(CP$4,$DE$6:$DF$17,2)+1))*$E98</f>
        <v>-113.94052748853298</v>
      </c>
      <c r="CQ98" s="1021">
        <f>(VLOOKUP(YEAR($A98),'NY East Load Projections'!$A$4:$EO$14,((MONTH($A98)-1)*12)+VLOOKUP(CQ$4,$DE$6:$DF$17,2)+1))*$E98</f>
        <v>-116.72108073824791</v>
      </c>
      <c r="CR98" s="1021">
        <f>(VLOOKUP(YEAR($A98),'NY East Load Projections'!$A$4:$EO$14,((MONTH($A98)-1)*12)+VLOOKUP(CR$4,$DE$6:$DF$17,2)+1))*$E98</f>
        <v>-116.72108073824791</v>
      </c>
      <c r="CS98" s="1021">
        <f>(VLOOKUP(YEAR($A98),'NY East Load Projections'!$A$4:$EO$14,((MONTH($A98)-1)*12)+VLOOKUP(CS$4,$DE$6:$DF$17,2)+1))*$E98</f>
        <v>-116.72108073824791</v>
      </c>
      <c r="CT98" s="1021">
        <f>(VLOOKUP(YEAR($A98),'NY East Load Projections'!$A$4:$EO$14,((MONTH($A98)-1)*12)+VLOOKUP(CT$4,$DE$6:$DF$17,2)+1))*$E98</f>
        <v>-116.72108073824791</v>
      </c>
      <c r="CU98" s="1021">
        <f>(VLOOKUP(YEAR($A98),'NY East Load Projections'!$A$4:$EO$14,((MONTH($A98)-1)*12)+VLOOKUP(CU$4,$DE$6:$DF$17,2)+1))*$E98</f>
        <v>-108.86645186807765</v>
      </c>
      <c r="CV98" s="1021">
        <f>(VLOOKUP(YEAR($A98),'NY East Load Projections'!$A$4:$EO$14,((MONTH($A98)-1)*12)+VLOOKUP(CV$4,$DE$6:$DF$17,2)+1))*$E98</f>
        <v>-108.86645186807765</v>
      </c>
      <c r="CW98" s="1021">
        <f>(VLOOKUP(YEAR($A98),'NY East Load Projections'!$A$4:$EO$14,((MONTH($A98)-1)*12)+VLOOKUP(CW$4,$DE$6:$DF$17,2)+1))*$E98</f>
        <v>-108.86645186807765</v>
      </c>
      <c r="CX98" s="1021">
        <f>(VLOOKUP(YEAR($A98),'NY East Load Projections'!$A$4:$EO$14,((MONTH($A98)-1)*12)+VLOOKUP(CX$4,$DE$6:$DF$17,2)+1))*$E98</f>
        <v>-108.86645186807765</v>
      </c>
      <c r="CY98" s="1021">
        <f>(VLOOKUP(YEAR($A98),'NY East Load Projections'!$A$4:$EO$14,((MONTH($A98)-1)*12)+VLOOKUP(CY$4,$DE$6:$DF$17,2)+1))*$E98</f>
        <v>-104.30614151780313</v>
      </c>
      <c r="CZ98" s="1021">
        <f>(VLOOKUP(YEAR($A98),'NY East Load Projections'!$A$4:$EO$14,((MONTH($A98)-1)*12)+VLOOKUP(CZ$4,$DE$6:$DF$17,2)+1))*$E98</f>
        <v>-104.30614151780313</v>
      </c>
      <c r="DA98" s="1021">
        <f>(VLOOKUP(YEAR($A98),'NY East Load Projections'!$A$4:$EO$14,((MONTH($A98)-1)*12)+VLOOKUP(DA$4,$DE$6:$DF$17,2)+1))*$E98</f>
        <v>-104.30614151780313</v>
      </c>
      <c r="DB98" s="1021">
        <f>(VLOOKUP(YEAR($A98),'NY East Load Projections'!$A$4:$EO$14,((MONTH($A98)-1)*12)+VLOOKUP(DB$4,$DE$6:$DF$17,2)+1))*$E98</f>
        <v>-104.30614151780313</v>
      </c>
      <c r="DH98" s="1009">
        <f t="shared" si="3"/>
        <v>-76565.739622435503</v>
      </c>
      <c r="DI98">
        <f ca="1">CALC!J118</f>
        <v>0.53423481538699313</v>
      </c>
      <c r="DJ98" s="1032">
        <f t="shared" ca="1" si="4"/>
        <v>-40904.083772160418</v>
      </c>
    </row>
    <row r="99" spans="1:114" x14ac:dyDescent="0.25">
      <c r="A99" s="244">
        <v>39722</v>
      </c>
      <c r="B99" s="13">
        <v>23</v>
      </c>
      <c r="C99" s="210">
        <v>4</v>
      </c>
      <c r="D99" s="210">
        <v>4</v>
      </c>
      <c r="E99" s="210">
        <v>0</v>
      </c>
      <c r="F99" s="13">
        <v>31</v>
      </c>
      <c r="H99" s="1021">
        <f>(VLOOKUP(YEAR($A99),'NY East Load Projections'!$A$4:$EO$14,((MONTH($A99)-1)*12)+VLOOKUP(H$4,$DE$6:$DF$17,2)+1))*$B99</f>
        <v>-2055.8963284618517</v>
      </c>
      <c r="I99" s="1021">
        <f>(VLOOKUP(YEAR($A99),'NY East Load Projections'!$A$4:$EO$14,((MONTH($A99)-1)*12)+VLOOKUP(I$4,$DE$6:$DF$17,2)+1))*$B99</f>
        <v>-2055.8963284618517</v>
      </c>
      <c r="J99" s="1021">
        <f>(VLOOKUP(YEAR($A99),'NY East Load Projections'!$A$4:$EO$14,((MONTH($A99)-1)*12)+VLOOKUP(J$4,$DE$6:$DF$17,2)+1))*$B99</f>
        <v>-2055.8963284618517</v>
      </c>
      <c r="K99" s="1021">
        <f>(VLOOKUP(YEAR($A99),'NY East Load Projections'!$A$4:$EO$14,((MONTH($A99)-1)*12)+VLOOKUP(K$4,$DE$6:$DF$17,2)+1))*$B99</f>
        <v>-2055.8963284618517</v>
      </c>
      <c r="L99" s="1021">
        <f>(VLOOKUP(YEAR($A99),'NY East Load Projections'!$A$4:$EO$14,((MONTH($A99)-1)*12)+VLOOKUP(L$4,$DE$6:$DF$17,2)+1))*$B99</f>
        <v>-2236.8068932524811</v>
      </c>
      <c r="M99" s="1021">
        <f>(VLOOKUP(YEAR($A99),'NY East Load Projections'!$A$4:$EO$14,((MONTH($A99)-1)*12)+VLOOKUP(M$4,$DE$6:$DF$17,2)+1))*$B99</f>
        <v>-2236.8068932524811</v>
      </c>
      <c r="N99" s="1021">
        <f>(VLOOKUP(YEAR($A99),'NY East Load Projections'!$A$4:$EO$14,((MONTH($A99)-1)*12)+VLOOKUP(N$4,$DE$6:$DF$17,2)+1))*$B99</f>
        <v>-2236.8068932524811</v>
      </c>
      <c r="O99" s="1021">
        <f>(VLOOKUP(YEAR($A99),'NY East Load Projections'!$A$4:$EO$14,((MONTH($A99)-1)*12)+VLOOKUP(O$4,$DE$6:$DF$17,2)+1))*$B99</f>
        <v>-2236.8068932524811</v>
      </c>
      <c r="P99" s="1021">
        <f>(VLOOKUP(YEAR($A99),'NY East Load Projections'!$A$4:$EO$14,((MONTH($A99)-1)*12)+VLOOKUP(P$4,$DE$6:$DF$17,2)+1))*$B99</f>
        <v>-2422.9392493577166</v>
      </c>
      <c r="Q99" s="1021">
        <f>(VLOOKUP(YEAR($A99),'NY East Load Projections'!$A$4:$EO$14,((MONTH($A99)-1)*12)+VLOOKUP(Q$4,$DE$6:$DF$17,2)+1))*$B99</f>
        <v>-2422.9392493577166</v>
      </c>
      <c r="R99" s="1021">
        <f>(VLOOKUP(YEAR($A99),'NY East Load Projections'!$A$4:$EO$14,((MONTH($A99)-1)*12)+VLOOKUP(R$4,$DE$6:$DF$17,2)+1))*$B99</f>
        <v>-2422.9392493577166</v>
      </c>
      <c r="S99" s="1021">
        <f>(VLOOKUP(YEAR($A99),'NY East Load Projections'!$A$4:$EO$14,((MONTH($A99)-1)*12)+VLOOKUP(S$4,$DE$6:$DF$17,2)+1))*$B99</f>
        <v>-2422.9392493577166</v>
      </c>
      <c r="T99" s="1021">
        <f>(VLOOKUP(YEAR($A99),'NY East Load Projections'!$A$4:$EO$14,((MONTH($A99)-1)*12)+VLOOKUP(T$4,$DE$6:$DF$17,2)+1))*$B99</f>
        <v>-2493.3098484342772</v>
      </c>
      <c r="U99" s="1021">
        <f>(VLOOKUP(YEAR($A99),'NY East Load Projections'!$A$4:$EO$14,((MONTH($A99)-1)*12)+VLOOKUP(U$4,$DE$6:$DF$17,2)+1))*$B99</f>
        <v>-2493.3098484342772</v>
      </c>
      <c r="V99" s="1021">
        <f>(VLOOKUP(YEAR($A99),'NY East Load Projections'!$A$4:$EO$14,((MONTH($A99)-1)*12)+VLOOKUP(V$4,$DE$6:$DF$17,2)+1))*$B99</f>
        <v>-2493.3098484342772</v>
      </c>
      <c r="W99" s="1021">
        <f>(VLOOKUP(YEAR($A99),'NY East Load Projections'!$A$4:$EO$14,((MONTH($A99)-1)*12)+VLOOKUP(W$4,$DE$6:$DF$17,2)+1))*$B99</f>
        <v>-2493.3098484342772</v>
      </c>
      <c r="X99" s="1021">
        <f>(VLOOKUP(YEAR($A99),'NY East Load Projections'!$A$4:$EO$14,((MONTH($A99)-1)*12)+VLOOKUP(X$4,$DE$6:$DF$17,2)+1))*$B99</f>
        <v>-2376.3257635464797</v>
      </c>
      <c r="Y99" s="1021">
        <f>(VLOOKUP(YEAR($A99),'NY East Load Projections'!$A$4:$EO$14,((MONTH($A99)-1)*12)+VLOOKUP(Y$4,$DE$6:$DF$17,2)+1))*$B99</f>
        <v>-2376.3257635464797</v>
      </c>
      <c r="Z99" s="1021">
        <f>(VLOOKUP(YEAR($A99),'NY East Load Projections'!$A$4:$EO$14,((MONTH($A99)-1)*12)+VLOOKUP(Z$4,$DE$6:$DF$17,2)+1))*$B99</f>
        <v>-2376.3257635464797</v>
      </c>
      <c r="AA99" s="1021">
        <f>(VLOOKUP(YEAR($A99),'NY East Load Projections'!$A$4:$EO$14,((MONTH($A99)-1)*12)+VLOOKUP(AA$4,$DE$6:$DF$17,2)+1))*$B99</f>
        <v>-2376.3257635464797</v>
      </c>
      <c r="AB99" s="1021">
        <f>(VLOOKUP(YEAR($A99),'NY East Load Projections'!$A$4:$EO$14,((MONTH($A99)-1)*12)+VLOOKUP(AB$4,$DE$6:$DF$17,2)+1))*$B99</f>
        <v>-2138.5258443675489</v>
      </c>
      <c r="AC99" s="1021">
        <f>(VLOOKUP(YEAR($A99),'NY East Load Projections'!$A$4:$EO$14,((MONTH($A99)-1)*12)+VLOOKUP(AC$4,$DE$6:$DF$17,2)+1))*$B99</f>
        <v>-2138.5258443675489</v>
      </c>
      <c r="AD99" s="1021">
        <f>(VLOOKUP(YEAR($A99),'NY East Load Projections'!$A$4:$EO$14,((MONTH($A99)-1)*12)+VLOOKUP(AD$4,$DE$6:$DF$17,2)+1))*$B99</f>
        <v>-2138.5258443675489</v>
      </c>
      <c r="AE99" s="1021">
        <f>(VLOOKUP(YEAR($A99),'NY East Load Projections'!$A$4:$EO$14,((MONTH($A99)-1)*12)+VLOOKUP(AE$4,$DE$6:$DF$17,2)+1))*$B99</f>
        <v>-2138.5258443675489</v>
      </c>
      <c r="AF99" s="1021"/>
      <c r="AG99" s="1021">
        <f>(VLOOKUP(YEAR($A99),'NY East Load Projections'!$A$4:$EO$14,((MONTH($A99)-1)*12)+VLOOKUP(AG$4,$DE$6:$DF$17,2)+1))*$C99</f>
        <v>-379.60201891873191</v>
      </c>
      <c r="AH99" s="1021">
        <f>(VLOOKUP(YEAR($A99),'NY East Load Projections'!$A$4:$EO$14,((MONTH($A99)-1)*12)+VLOOKUP(AH$4,$DE$6:$DF$17,2)+1))*$C99</f>
        <v>-379.60201891873191</v>
      </c>
      <c r="AI99" s="1021">
        <f>(VLOOKUP(YEAR($A99),'NY East Load Projections'!$A$4:$EO$14,((MONTH($A99)-1)*12)+VLOOKUP(AI$4,$DE$6:$DF$17,2)+1))*$C99</f>
        <v>-379.60201891873191</v>
      </c>
      <c r="AJ99" s="1021">
        <f>(VLOOKUP(YEAR($A99),'NY East Load Projections'!$A$4:$EO$14,((MONTH($A99)-1)*12)+VLOOKUP(AJ$4,$DE$6:$DF$17,2)+1))*$C99</f>
        <v>-379.60201891873191</v>
      </c>
      <c r="AK99" s="1021">
        <f>(VLOOKUP(YEAR($A99),'NY East Load Projections'!$A$4:$EO$14,((MONTH($A99)-1)*12)+VLOOKUP(AK$4,$DE$6:$DF$17,2)+1))*$C99</f>
        <v>-385.37054285302526</v>
      </c>
      <c r="AL99" s="1021">
        <f>(VLOOKUP(YEAR($A99),'NY East Load Projections'!$A$4:$EO$14,((MONTH($A99)-1)*12)+VLOOKUP(AL$4,$DE$6:$DF$17,2)+1))*$C99</f>
        <v>-385.37054285302526</v>
      </c>
      <c r="AM99" s="1021">
        <f>(VLOOKUP(YEAR($A99),'NY East Load Projections'!$A$4:$EO$14,((MONTH($A99)-1)*12)+VLOOKUP(AM$4,$DE$6:$DF$17,2)+1))*$C99</f>
        <v>-385.37054285302526</v>
      </c>
      <c r="AN99" s="1021">
        <f>(VLOOKUP(YEAR($A99),'NY East Load Projections'!$A$4:$EO$14,((MONTH($A99)-1)*12)+VLOOKUP(AN$4,$DE$6:$DF$17,2)+1))*$C99</f>
        <v>-385.37054285302526</v>
      </c>
      <c r="AO99" s="1021">
        <f>(VLOOKUP(YEAR($A99),'NY East Load Projections'!$A$4:$EO$14,((MONTH($A99)-1)*12)+VLOOKUP(AO$4,$DE$6:$DF$17,2)+1))*$C99</f>
        <v>-430.09917329013979</v>
      </c>
      <c r="AP99" s="1021">
        <f>(VLOOKUP(YEAR($A99),'NY East Load Projections'!$A$4:$EO$14,((MONTH($A99)-1)*12)+VLOOKUP(AP$4,$DE$6:$DF$17,2)+1))*$C99</f>
        <v>-430.09917329013979</v>
      </c>
      <c r="AQ99" s="1021">
        <f>(VLOOKUP(YEAR($A99),'NY East Load Projections'!$A$4:$EO$14,((MONTH($A99)-1)*12)+VLOOKUP(AQ$4,$DE$6:$DF$17,2)+1))*$C99</f>
        <v>-430.09917329013979</v>
      </c>
      <c r="AR99" s="1021">
        <f>(VLOOKUP(YEAR($A99),'NY East Load Projections'!$A$4:$EO$14,((MONTH($A99)-1)*12)+VLOOKUP(AR$4,$DE$6:$DF$17,2)+1))*$C99</f>
        <v>-430.09917329013979</v>
      </c>
      <c r="AS99" s="1021">
        <f>(VLOOKUP(YEAR($A99),'NY East Load Projections'!$A$4:$EO$14,((MONTH($A99)-1)*12)+VLOOKUP(AS$4,$DE$6:$DF$17,2)+1))*$C99</f>
        <v>-439.71701427637237</v>
      </c>
      <c r="AT99" s="1021">
        <f>(VLOOKUP(YEAR($A99),'NY East Load Projections'!$A$4:$EO$14,((MONTH($A99)-1)*12)+VLOOKUP(AT$4,$DE$6:$DF$17,2)+1))*$C99</f>
        <v>-439.71701427637237</v>
      </c>
      <c r="AU99" s="1021">
        <f>(VLOOKUP(YEAR($A99),'NY East Load Projections'!$A$4:$EO$14,((MONTH($A99)-1)*12)+VLOOKUP(AU$4,$DE$6:$DF$17,2)+1))*$C99</f>
        <v>-439.71701427637237</v>
      </c>
      <c r="AV99" s="1021">
        <f>(VLOOKUP(YEAR($A99),'NY East Load Projections'!$A$4:$EO$14,((MONTH($A99)-1)*12)+VLOOKUP(AV$4,$DE$6:$DF$17,2)+1))*$C99</f>
        <v>-439.71701427637237</v>
      </c>
      <c r="AW99" s="1021">
        <f>(VLOOKUP(YEAR($A99),'NY East Load Projections'!$A$4:$EO$14,((MONTH($A99)-1)*12)+VLOOKUP(AW$4,$DE$6:$DF$17,2)+1))*$C99</f>
        <v>-407.51696978555321</v>
      </c>
      <c r="AX99" s="1021">
        <f>(VLOOKUP(YEAR($A99),'NY East Load Projections'!$A$4:$EO$14,((MONTH($A99)-1)*12)+VLOOKUP(AX$4,$DE$6:$DF$17,2)+1))*$C99</f>
        <v>-407.51696978555321</v>
      </c>
      <c r="AY99" s="1021">
        <f>(VLOOKUP(YEAR($A99),'NY East Load Projections'!$A$4:$EO$14,((MONTH($A99)-1)*12)+VLOOKUP(AY$4,$DE$6:$DF$17,2)+1))*$C99</f>
        <v>-407.51696978555321</v>
      </c>
      <c r="AZ99" s="1021">
        <f>(VLOOKUP(YEAR($A99),'NY East Load Projections'!$A$4:$EO$14,((MONTH($A99)-1)*12)+VLOOKUP(AZ$4,$DE$6:$DF$17,2)+1))*$C99</f>
        <v>-407.51696978555321</v>
      </c>
      <c r="BA99" s="1021">
        <f>(VLOOKUP(YEAR($A99),'NY East Load Projections'!$A$4:$EO$14,((MONTH($A99)-1)*12)+VLOOKUP(BA$4,$DE$6:$DF$17,2)+1))*$C99</f>
        <v>-388.25355382038191</v>
      </c>
      <c r="BB99" s="1021">
        <f>(VLOOKUP(YEAR($A99),'NY East Load Projections'!$A$4:$EO$14,((MONTH($A99)-1)*12)+VLOOKUP(BB$4,$DE$6:$DF$17,2)+1))*$C99</f>
        <v>-388.25355382038191</v>
      </c>
      <c r="BC99" s="1021">
        <f>(VLOOKUP(YEAR($A99),'NY East Load Projections'!$A$4:$EO$14,((MONTH($A99)-1)*12)+VLOOKUP(BC$4,$DE$6:$DF$17,2)+1))*$C99</f>
        <v>-388.25355382038191</v>
      </c>
      <c r="BD99" s="1021">
        <f>(VLOOKUP(YEAR($A99),'NY East Load Projections'!$A$4:$EO$14,((MONTH($A99)-1)*12)+VLOOKUP(BD$4,$DE$6:$DF$17,2)+1))*$C99</f>
        <v>-388.25355382038191</v>
      </c>
      <c r="BE99" s="1021"/>
      <c r="BF99" s="1021">
        <f>(VLOOKUP(YEAR($A99),'NY East Load Projections'!$A$4:$EO$14,((MONTH($A99)-1)*12)+VLOOKUP(BF$4,$DE$6:$DF$17,2)+1))*$D99</f>
        <v>-379.60201891873191</v>
      </c>
      <c r="BG99" s="1021">
        <f>(VLOOKUP(YEAR($A99),'NY East Load Projections'!$A$4:$EO$14,((MONTH($A99)-1)*12)+VLOOKUP(BG$4,$DE$6:$DF$17,2)+1))*$D99</f>
        <v>-379.60201891873191</v>
      </c>
      <c r="BH99" s="1021">
        <f>(VLOOKUP(YEAR($A99),'NY East Load Projections'!$A$4:$EO$14,((MONTH($A99)-1)*12)+VLOOKUP(BH$4,$DE$6:$DF$17,2)+1))*$D99</f>
        <v>-379.60201891873191</v>
      </c>
      <c r="BI99" s="1021">
        <f>(VLOOKUP(YEAR($A99),'NY East Load Projections'!$A$4:$EO$14,((MONTH($A99)-1)*12)+VLOOKUP(BI$4,$DE$6:$DF$17,2)+1))*$D99</f>
        <v>-379.60201891873191</v>
      </c>
      <c r="BJ99" s="1021">
        <f>(VLOOKUP(YEAR($A99),'NY East Load Projections'!$A$4:$EO$14,((MONTH($A99)-1)*12)+VLOOKUP(BJ$4,$DE$6:$DF$17,2)+1))*$D99</f>
        <v>-385.37054285302526</v>
      </c>
      <c r="BK99" s="1021">
        <f>(VLOOKUP(YEAR($A99),'NY East Load Projections'!$A$4:$EO$14,((MONTH($A99)-1)*12)+VLOOKUP(BK$4,$DE$6:$DF$17,2)+1))*$D99</f>
        <v>-385.37054285302526</v>
      </c>
      <c r="BL99" s="1021">
        <f>(VLOOKUP(YEAR($A99),'NY East Load Projections'!$A$4:$EO$14,((MONTH($A99)-1)*12)+VLOOKUP(BL$4,$DE$6:$DF$17,2)+1))*$D99</f>
        <v>-385.37054285302526</v>
      </c>
      <c r="BM99" s="1021">
        <f>(VLOOKUP(YEAR($A99),'NY East Load Projections'!$A$4:$EO$14,((MONTH($A99)-1)*12)+VLOOKUP(BM$4,$DE$6:$DF$17,2)+1))*$D99</f>
        <v>-385.37054285302526</v>
      </c>
      <c r="BN99" s="1021">
        <f>(VLOOKUP(YEAR($A99),'NY East Load Projections'!$A$4:$EO$14,((MONTH($A99)-1)*12)+VLOOKUP(BN$4,$DE$6:$DF$17,2)+1))*$D99</f>
        <v>-430.09917329013979</v>
      </c>
      <c r="BO99" s="1021">
        <f>(VLOOKUP(YEAR($A99),'NY East Load Projections'!$A$4:$EO$14,((MONTH($A99)-1)*12)+VLOOKUP(BO$4,$DE$6:$DF$17,2)+1))*$D99</f>
        <v>-430.09917329013979</v>
      </c>
      <c r="BP99" s="1021">
        <f>(VLOOKUP(YEAR($A99),'NY East Load Projections'!$A$4:$EO$14,((MONTH($A99)-1)*12)+VLOOKUP(BP$4,$DE$6:$DF$17,2)+1))*$D99</f>
        <v>-430.09917329013979</v>
      </c>
      <c r="BQ99" s="1021">
        <f>(VLOOKUP(YEAR($A99),'NY East Load Projections'!$A$4:$EO$14,((MONTH($A99)-1)*12)+VLOOKUP(BQ$4,$DE$6:$DF$17,2)+1))*$D99</f>
        <v>-430.09917329013979</v>
      </c>
      <c r="BR99" s="1021">
        <f>(VLOOKUP(YEAR($A99),'NY East Load Projections'!$A$4:$EO$14,((MONTH($A99)-1)*12)+VLOOKUP(BR$4,$DE$6:$DF$17,2)+1))*$D99</f>
        <v>-439.71701427637237</v>
      </c>
      <c r="BS99" s="1021">
        <f>(VLOOKUP(YEAR($A99),'NY East Load Projections'!$A$4:$EO$14,((MONTH($A99)-1)*12)+VLOOKUP(BS$4,$DE$6:$DF$17,2)+1))*$D99</f>
        <v>-439.71701427637237</v>
      </c>
      <c r="BT99" s="1021">
        <f>(VLOOKUP(YEAR($A99),'NY East Load Projections'!$A$4:$EO$14,((MONTH($A99)-1)*12)+VLOOKUP(BT$4,$DE$6:$DF$17,2)+1))*$D99</f>
        <v>-439.71701427637237</v>
      </c>
      <c r="BU99" s="1021">
        <f>(VLOOKUP(YEAR($A99),'NY East Load Projections'!$A$4:$EO$14,((MONTH($A99)-1)*12)+VLOOKUP(BU$4,$DE$6:$DF$17,2)+1))*$D99</f>
        <v>-439.71701427637237</v>
      </c>
      <c r="BV99" s="1021">
        <f>(VLOOKUP(YEAR($A99),'NY East Load Projections'!$A$4:$EO$14,((MONTH($A99)-1)*12)+VLOOKUP(BV$4,$DE$6:$DF$17,2)+1))*$D99</f>
        <v>-407.51696978555321</v>
      </c>
      <c r="BW99" s="1021">
        <f>(VLOOKUP(YEAR($A99),'NY East Load Projections'!$A$4:$EO$14,((MONTH($A99)-1)*12)+VLOOKUP(BW$4,$DE$6:$DF$17,2)+1))*$D99</f>
        <v>-407.51696978555321</v>
      </c>
      <c r="BX99" s="1021">
        <f>(VLOOKUP(YEAR($A99),'NY East Load Projections'!$A$4:$EO$14,((MONTH($A99)-1)*12)+VLOOKUP(BX$4,$DE$6:$DF$17,2)+1))*$D99</f>
        <v>-407.51696978555321</v>
      </c>
      <c r="BY99" s="1021">
        <f>(VLOOKUP(YEAR($A99),'NY East Load Projections'!$A$4:$EO$14,((MONTH($A99)-1)*12)+VLOOKUP(BY$4,$DE$6:$DF$17,2)+1))*$D99</f>
        <v>-407.51696978555321</v>
      </c>
      <c r="BZ99" s="1021">
        <f>(VLOOKUP(YEAR($A99),'NY East Load Projections'!$A$4:$EO$14,((MONTH($A99)-1)*12)+VLOOKUP(BZ$4,$DE$6:$DF$17,2)+1))*$D99</f>
        <v>-388.25355382038191</v>
      </c>
      <c r="CA99" s="1021">
        <f>(VLOOKUP(YEAR($A99),'NY East Load Projections'!$A$4:$EO$14,((MONTH($A99)-1)*12)+VLOOKUP(CA$4,$DE$6:$DF$17,2)+1))*$D99</f>
        <v>-388.25355382038191</v>
      </c>
      <c r="CB99" s="1021">
        <f>(VLOOKUP(YEAR($A99),'NY East Load Projections'!$A$4:$EO$14,((MONTH($A99)-1)*12)+VLOOKUP(CB$4,$DE$6:$DF$17,2)+1))*$D99</f>
        <v>-388.25355382038191</v>
      </c>
      <c r="CC99" s="1021">
        <f>(VLOOKUP(YEAR($A99),'NY East Load Projections'!$A$4:$EO$14,((MONTH($A99)-1)*12)+VLOOKUP(CC$4,$DE$6:$DF$17,2)+1))*$D99</f>
        <v>-388.25355382038191</v>
      </c>
      <c r="CE99" s="1021">
        <f>(VLOOKUP(YEAR($A99),'NY East Load Projections'!$A$4:$EO$14,((MONTH($A99)-1)*12)+VLOOKUP(CE$4,$DE$6:$DF$17,2)+1))*$E99</f>
        <v>0</v>
      </c>
      <c r="CF99" s="1021">
        <f>(VLOOKUP(YEAR($A99),'NY East Load Projections'!$A$4:$EO$14,((MONTH($A99)-1)*12)+VLOOKUP(CF$4,$DE$6:$DF$17,2)+1))*$E99</f>
        <v>0</v>
      </c>
      <c r="CG99" s="1021">
        <f>(VLOOKUP(YEAR($A99),'NY East Load Projections'!$A$4:$EO$14,((MONTH($A99)-1)*12)+VLOOKUP(CG$4,$DE$6:$DF$17,2)+1))*$E99</f>
        <v>0</v>
      </c>
      <c r="CH99" s="1021">
        <f>(VLOOKUP(YEAR($A99),'NY East Load Projections'!$A$4:$EO$14,((MONTH($A99)-1)*12)+VLOOKUP(CH$4,$DE$6:$DF$17,2)+1))*$E99</f>
        <v>0</v>
      </c>
      <c r="CI99" s="1021">
        <f>(VLOOKUP(YEAR($A99),'NY East Load Projections'!$A$4:$EO$14,((MONTH($A99)-1)*12)+VLOOKUP(CI$4,$DE$6:$DF$17,2)+1))*$E99</f>
        <v>0</v>
      </c>
      <c r="CJ99" s="1021">
        <f>(VLOOKUP(YEAR($A99),'NY East Load Projections'!$A$4:$EO$14,((MONTH($A99)-1)*12)+VLOOKUP(CJ$4,$DE$6:$DF$17,2)+1))*$E99</f>
        <v>0</v>
      </c>
      <c r="CK99" s="1021">
        <f>(VLOOKUP(YEAR($A99),'NY East Load Projections'!$A$4:$EO$14,((MONTH($A99)-1)*12)+VLOOKUP(CK$4,$DE$6:$DF$17,2)+1))*$E99</f>
        <v>0</v>
      </c>
      <c r="CL99" s="1021">
        <f>(VLOOKUP(YEAR($A99),'NY East Load Projections'!$A$4:$EO$14,((MONTH($A99)-1)*12)+VLOOKUP(CL$4,$DE$6:$DF$17,2)+1))*$E99</f>
        <v>0</v>
      </c>
      <c r="CM99" s="1021">
        <f>(VLOOKUP(YEAR($A99),'NY East Load Projections'!$A$4:$EO$14,((MONTH($A99)-1)*12)+VLOOKUP(CM$4,$DE$6:$DF$17,2)+1))*$E99</f>
        <v>0</v>
      </c>
      <c r="CN99" s="1021">
        <f>(VLOOKUP(YEAR($A99),'NY East Load Projections'!$A$4:$EO$14,((MONTH($A99)-1)*12)+VLOOKUP(CN$4,$DE$6:$DF$17,2)+1))*$E99</f>
        <v>0</v>
      </c>
      <c r="CO99" s="1021">
        <f>(VLOOKUP(YEAR($A99),'NY East Load Projections'!$A$4:$EO$14,((MONTH($A99)-1)*12)+VLOOKUP(CO$4,$DE$6:$DF$17,2)+1))*$E99</f>
        <v>0</v>
      </c>
      <c r="CP99" s="1021">
        <f>(VLOOKUP(YEAR($A99),'NY East Load Projections'!$A$4:$EO$14,((MONTH($A99)-1)*12)+VLOOKUP(CP$4,$DE$6:$DF$17,2)+1))*$E99</f>
        <v>0</v>
      </c>
      <c r="CQ99" s="1021">
        <f>(VLOOKUP(YEAR($A99),'NY East Load Projections'!$A$4:$EO$14,((MONTH($A99)-1)*12)+VLOOKUP(CQ$4,$DE$6:$DF$17,2)+1))*$E99</f>
        <v>0</v>
      </c>
      <c r="CR99" s="1021">
        <f>(VLOOKUP(YEAR($A99),'NY East Load Projections'!$A$4:$EO$14,((MONTH($A99)-1)*12)+VLOOKUP(CR$4,$DE$6:$DF$17,2)+1))*$E99</f>
        <v>0</v>
      </c>
      <c r="CS99" s="1021">
        <f>(VLOOKUP(YEAR($A99),'NY East Load Projections'!$A$4:$EO$14,((MONTH($A99)-1)*12)+VLOOKUP(CS$4,$DE$6:$DF$17,2)+1))*$E99</f>
        <v>0</v>
      </c>
      <c r="CT99" s="1021">
        <f>(VLOOKUP(YEAR($A99),'NY East Load Projections'!$A$4:$EO$14,((MONTH($A99)-1)*12)+VLOOKUP(CT$4,$DE$6:$DF$17,2)+1))*$E99</f>
        <v>0</v>
      </c>
      <c r="CU99" s="1021">
        <f>(VLOOKUP(YEAR($A99),'NY East Load Projections'!$A$4:$EO$14,((MONTH($A99)-1)*12)+VLOOKUP(CU$4,$DE$6:$DF$17,2)+1))*$E99</f>
        <v>0</v>
      </c>
      <c r="CV99" s="1021">
        <f>(VLOOKUP(YEAR($A99),'NY East Load Projections'!$A$4:$EO$14,((MONTH($A99)-1)*12)+VLOOKUP(CV$4,$DE$6:$DF$17,2)+1))*$E99</f>
        <v>0</v>
      </c>
      <c r="CW99" s="1021">
        <f>(VLOOKUP(YEAR($A99),'NY East Load Projections'!$A$4:$EO$14,((MONTH($A99)-1)*12)+VLOOKUP(CW$4,$DE$6:$DF$17,2)+1))*$E99</f>
        <v>0</v>
      </c>
      <c r="CX99" s="1021">
        <f>(VLOOKUP(YEAR($A99),'NY East Load Projections'!$A$4:$EO$14,((MONTH($A99)-1)*12)+VLOOKUP(CX$4,$DE$6:$DF$17,2)+1))*$E99</f>
        <v>0</v>
      </c>
      <c r="CY99" s="1021">
        <f>(VLOOKUP(YEAR($A99),'NY East Load Projections'!$A$4:$EO$14,((MONTH($A99)-1)*12)+VLOOKUP(CY$4,$DE$6:$DF$17,2)+1))*$E99</f>
        <v>0</v>
      </c>
      <c r="CZ99" s="1021">
        <f>(VLOOKUP(YEAR($A99),'NY East Load Projections'!$A$4:$EO$14,((MONTH($A99)-1)*12)+VLOOKUP(CZ$4,$DE$6:$DF$17,2)+1))*$E99</f>
        <v>0</v>
      </c>
      <c r="DA99" s="1021">
        <f>(VLOOKUP(YEAR($A99),'NY East Load Projections'!$A$4:$EO$14,((MONTH($A99)-1)*12)+VLOOKUP(DA$4,$DE$6:$DF$17,2)+1))*$E99</f>
        <v>0</v>
      </c>
      <c r="DB99" s="1021">
        <f>(VLOOKUP(YEAR($A99),'NY East Load Projections'!$A$4:$EO$14,((MONTH($A99)-1)*12)+VLOOKUP(DB$4,$DE$6:$DF$17,2)+1))*$E99</f>
        <v>0</v>
      </c>
      <c r="DH99" s="1009">
        <f t="shared" si="3"/>
        <v>-74339.689893235103</v>
      </c>
      <c r="DI99">
        <f ca="1">CALC!J119</f>
        <v>0.53088701329765786</v>
      </c>
      <c r="DJ99" s="1032">
        <f t="shared" ca="1" si="4"/>
        <v>-39465.975936893665</v>
      </c>
    </row>
    <row r="100" spans="1:114" x14ac:dyDescent="0.25">
      <c r="A100" s="244">
        <v>39753</v>
      </c>
      <c r="B100" s="13">
        <v>19</v>
      </c>
      <c r="C100" s="210">
        <v>5</v>
      </c>
      <c r="D100" s="210">
        <v>5</v>
      </c>
      <c r="E100" s="210">
        <v>1</v>
      </c>
      <c r="F100" s="13">
        <v>30</v>
      </c>
      <c r="H100" s="1021">
        <f>(VLOOKUP(YEAR($A100),'NY East Load Projections'!$A$4:$EO$14,((MONTH($A100)-1)*12)+VLOOKUP(H$4,$DE$6:$DF$17,2)+1))*$B100</f>
        <v>-1662.294138739672</v>
      </c>
      <c r="I100" s="1021">
        <f>(VLOOKUP(YEAR($A100),'NY East Load Projections'!$A$4:$EO$14,((MONTH($A100)-1)*12)+VLOOKUP(I$4,$DE$6:$DF$17,2)+1))*$B100</f>
        <v>-1662.294138739672</v>
      </c>
      <c r="J100" s="1021">
        <f>(VLOOKUP(YEAR($A100),'NY East Load Projections'!$A$4:$EO$14,((MONTH($A100)-1)*12)+VLOOKUP(J$4,$DE$6:$DF$17,2)+1))*$B100</f>
        <v>-1662.294138739672</v>
      </c>
      <c r="K100" s="1021">
        <f>(VLOOKUP(YEAR($A100),'NY East Load Projections'!$A$4:$EO$14,((MONTH($A100)-1)*12)+VLOOKUP(K$4,$DE$6:$DF$17,2)+1))*$B100</f>
        <v>-1662.294138739672</v>
      </c>
      <c r="L100" s="1021">
        <f>(VLOOKUP(YEAR($A100),'NY East Load Projections'!$A$4:$EO$14,((MONTH($A100)-1)*12)+VLOOKUP(L$4,$DE$6:$DF$17,2)+1))*$B100</f>
        <v>-1792.4043103411227</v>
      </c>
      <c r="M100" s="1021">
        <f>(VLOOKUP(YEAR($A100),'NY East Load Projections'!$A$4:$EO$14,((MONTH($A100)-1)*12)+VLOOKUP(M$4,$DE$6:$DF$17,2)+1))*$B100</f>
        <v>-1792.4043103411227</v>
      </c>
      <c r="N100" s="1021">
        <f>(VLOOKUP(YEAR($A100),'NY East Load Projections'!$A$4:$EO$14,((MONTH($A100)-1)*12)+VLOOKUP(N$4,$DE$6:$DF$17,2)+1))*$B100</f>
        <v>-1792.4043103411227</v>
      </c>
      <c r="O100" s="1021">
        <f>(VLOOKUP(YEAR($A100),'NY East Load Projections'!$A$4:$EO$14,((MONTH($A100)-1)*12)+VLOOKUP(O$4,$DE$6:$DF$17,2)+1))*$B100</f>
        <v>-1792.4043103411227</v>
      </c>
      <c r="P100" s="1021">
        <f>(VLOOKUP(YEAR($A100),'NY East Load Projections'!$A$4:$EO$14,((MONTH($A100)-1)*12)+VLOOKUP(P$4,$DE$6:$DF$17,2)+1))*$B100</f>
        <v>-1902.877646403962</v>
      </c>
      <c r="Q100" s="1021">
        <f>(VLOOKUP(YEAR($A100),'NY East Load Projections'!$A$4:$EO$14,((MONTH($A100)-1)*12)+VLOOKUP(Q$4,$DE$6:$DF$17,2)+1))*$B100</f>
        <v>-1902.877646403962</v>
      </c>
      <c r="R100" s="1021">
        <f>(VLOOKUP(YEAR($A100),'NY East Load Projections'!$A$4:$EO$14,((MONTH($A100)-1)*12)+VLOOKUP(R$4,$DE$6:$DF$17,2)+1))*$B100</f>
        <v>-1902.877646403962</v>
      </c>
      <c r="S100" s="1021">
        <f>(VLOOKUP(YEAR($A100),'NY East Load Projections'!$A$4:$EO$14,((MONTH($A100)-1)*12)+VLOOKUP(S$4,$DE$6:$DF$17,2)+1))*$B100</f>
        <v>-1902.877646403962</v>
      </c>
      <c r="T100" s="1021">
        <f>(VLOOKUP(YEAR($A100),'NY East Load Projections'!$A$4:$EO$14,((MONTH($A100)-1)*12)+VLOOKUP(T$4,$DE$6:$DF$17,2)+1))*$B100</f>
        <v>-1948.944339388622</v>
      </c>
      <c r="U100" s="1021">
        <f>(VLOOKUP(YEAR($A100),'NY East Load Projections'!$A$4:$EO$14,((MONTH($A100)-1)*12)+VLOOKUP(U$4,$DE$6:$DF$17,2)+1))*$B100</f>
        <v>-1948.944339388622</v>
      </c>
      <c r="V100" s="1021">
        <f>(VLOOKUP(YEAR($A100),'NY East Load Projections'!$A$4:$EO$14,((MONTH($A100)-1)*12)+VLOOKUP(V$4,$DE$6:$DF$17,2)+1))*$B100</f>
        <v>-1948.944339388622</v>
      </c>
      <c r="W100" s="1021">
        <f>(VLOOKUP(YEAR($A100),'NY East Load Projections'!$A$4:$EO$14,((MONTH($A100)-1)*12)+VLOOKUP(W$4,$DE$6:$DF$17,2)+1))*$B100</f>
        <v>-1948.944339388622</v>
      </c>
      <c r="X100" s="1021">
        <f>(VLOOKUP(YEAR($A100),'NY East Load Projections'!$A$4:$EO$14,((MONTH($A100)-1)*12)+VLOOKUP(X$4,$DE$6:$DF$17,2)+1))*$B100</f>
        <v>-1878.2989389689205</v>
      </c>
      <c r="Y100" s="1021">
        <f>(VLOOKUP(YEAR($A100),'NY East Load Projections'!$A$4:$EO$14,((MONTH($A100)-1)*12)+VLOOKUP(Y$4,$DE$6:$DF$17,2)+1))*$B100</f>
        <v>-1878.2989389689205</v>
      </c>
      <c r="Z100" s="1021">
        <f>(VLOOKUP(YEAR($A100),'NY East Load Projections'!$A$4:$EO$14,((MONTH($A100)-1)*12)+VLOOKUP(Z$4,$DE$6:$DF$17,2)+1))*$B100</f>
        <v>-1878.2989389689205</v>
      </c>
      <c r="AA100" s="1021">
        <f>(VLOOKUP(YEAR($A100),'NY East Load Projections'!$A$4:$EO$14,((MONTH($A100)-1)*12)+VLOOKUP(AA$4,$DE$6:$DF$17,2)+1))*$B100</f>
        <v>-1878.2989389689205</v>
      </c>
      <c r="AB100" s="1021">
        <f>(VLOOKUP(YEAR($A100),'NY East Load Projections'!$A$4:$EO$14,((MONTH($A100)-1)*12)+VLOOKUP(AB$4,$DE$6:$DF$17,2)+1))*$B100</f>
        <v>-1722.711180019149</v>
      </c>
      <c r="AC100" s="1021">
        <f>(VLOOKUP(YEAR($A100),'NY East Load Projections'!$A$4:$EO$14,((MONTH($A100)-1)*12)+VLOOKUP(AC$4,$DE$6:$DF$17,2)+1))*$B100</f>
        <v>-1722.711180019149</v>
      </c>
      <c r="AD100" s="1021">
        <f>(VLOOKUP(YEAR($A100),'NY East Load Projections'!$A$4:$EO$14,((MONTH($A100)-1)*12)+VLOOKUP(AD$4,$DE$6:$DF$17,2)+1))*$B100</f>
        <v>-1722.711180019149</v>
      </c>
      <c r="AE100" s="1021">
        <f>(VLOOKUP(YEAR($A100),'NY East Load Projections'!$A$4:$EO$14,((MONTH($A100)-1)*12)+VLOOKUP(AE$4,$DE$6:$DF$17,2)+1))*$B100</f>
        <v>-1722.711180019149</v>
      </c>
      <c r="AF100" s="1021"/>
      <c r="AG100" s="1021">
        <f>(VLOOKUP(YEAR($A100),'NY East Load Projections'!$A$4:$EO$14,((MONTH($A100)-1)*12)+VLOOKUP(AG$4,$DE$6:$DF$17,2)+1))*$C100</f>
        <v>-449.43618204265982</v>
      </c>
      <c r="AH100" s="1021">
        <f>(VLOOKUP(YEAR($A100),'NY East Load Projections'!$A$4:$EO$14,((MONTH($A100)-1)*12)+VLOOKUP(AH$4,$DE$6:$DF$17,2)+1))*$C100</f>
        <v>-449.43618204265982</v>
      </c>
      <c r="AI100" s="1021">
        <f>(VLOOKUP(YEAR($A100),'NY East Load Projections'!$A$4:$EO$14,((MONTH($A100)-1)*12)+VLOOKUP(AI$4,$DE$6:$DF$17,2)+1))*$C100</f>
        <v>-449.43618204265982</v>
      </c>
      <c r="AJ100" s="1021">
        <f>(VLOOKUP(YEAR($A100),'NY East Load Projections'!$A$4:$EO$14,((MONTH($A100)-1)*12)+VLOOKUP(AJ$4,$DE$6:$DF$17,2)+1))*$C100</f>
        <v>-449.43618204265982</v>
      </c>
      <c r="AK100" s="1021">
        <f>(VLOOKUP(YEAR($A100),'NY East Load Projections'!$A$4:$EO$14,((MONTH($A100)-1)*12)+VLOOKUP(AK$4,$DE$6:$DF$17,2)+1))*$C100</f>
        <v>-456.43625535054275</v>
      </c>
      <c r="AL100" s="1021">
        <f>(VLOOKUP(YEAR($A100),'NY East Load Projections'!$A$4:$EO$14,((MONTH($A100)-1)*12)+VLOOKUP(AL$4,$DE$6:$DF$17,2)+1))*$C100</f>
        <v>-456.43625535054275</v>
      </c>
      <c r="AM100" s="1021">
        <f>(VLOOKUP(YEAR($A100),'NY East Load Projections'!$A$4:$EO$14,((MONTH($A100)-1)*12)+VLOOKUP(AM$4,$DE$6:$DF$17,2)+1))*$C100</f>
        <v>-456.43625535054275</v>
      </c>
      <c r="AN100" s="1021">
        <f>(VLOOKUP(YEAR($A100),'NY East Load Projections'!$A$4:$EO$14,((MONTH($A100)-1)*12)+VLOOKUP(AN$4,$DE$6:$DF$17,2)+1))*$C100</f>
        <v>-456.43625535054275</v>
      </c>
      <c r="AO100" s="1021">
        <f>(VLOOKUP(YEAR($A100),'NY East Load Projections'!$A$4:$EO$14,((MONTH($A100)-1)*12)+VLOOKUP(AO$4,$DE$6:$DF$17,2)+1))*$C100</f>
        <v>-486.84550526852865</v>
      </c>
      <c r="AP100" s="1021">
        <f>(VLOOKUP(YEAR($A100),'NY East Load Projections'!$A$4:$EO$14,((MONTH($A100)-1)*12)+VLOOKUP(AP$4,$DE$6:$DF$17,2)+1))*$C100</f>
        <v>-486.84550526852865</v>
      </c>
      <c r="AQ100" s="1021">
        <f>(VLOOKUP(YEAR($A100),'NY East Load Projections'!$A$4:$EO$14,((MONTH($A100)-1)*12)+VLOOKUP(AQ$4,$DE$6:$DF$17,2)+1))*$C100</f>
        <v>-486.84550526852865</v>
      </c>
      <c r="AR100" s="1021">
        <f>(VLOOKUP(YEAR($A100),'NY East Load Projections'!$A$4:$EO$14,((MONTH($A100)-1)*12)+VLOOKUP(AR$4,$DE$6:$DF$17,2)+1))*$C100</f>
        <v>-486.84550526852865</v>
      </c>
      <c r="AS100" s="1021">
        <f>(VLOOKUP(YEAR($A100),'NY East Load Projections'!$A$4:$EO$14,((MONTH($A100)-1)*12)+VLOOKUP(AS$4,$DE$6:$DF$17,2)+1))*$C100</f>
        <v>-501.91532710287208</v>
      </c>
      <c r="AT100" s="1021">
        <f>(VLOOKUP(YEAR($A100),'NY East Load Projections'!$A$4:$EO$14,((MONTH($A100)-1)*12)+VLOOKUP(AT$4,$DE$6:$DF$17,2)+1))*$C100</f>
        <v>-501.91532710287208</v>
      </c>
      <c r="AU100" s="1021">
        <f>(VLOOKUP(YEAR($A100),'NY East Load Projections'!$A$4:$EO$14,((MONTH($A100)-1)*12)+VLOOKUP(AU$4,$DE$6:$DF$17,2)+1))*$C100</f>
        <v>-501.91532710287208</v>
      </c>
      <c r="AV100" s="1021">
        <f>(VLOOKUP(YEAR($A100),'NY East Load Projections'!$A$4:$EO$14,((MONTH($A100)-1)*12)+VLOOKUP(AV$4,$DE$6:$DF$17,2)+1))*$C100</f>
        <v>-501.91532710287208</v>
      </c>
      <c r="AW100" s="1021">
        <f>(VLOOKUP(YEAR($A100),'NY East Load Projections'!$A$4:$EO$14,((MONTH($A100)-1)*12)+VLOOKUP(AW$4,$DE$6:$DF$17,2)+1))*$C100</f>
        <v>-477.84406102005534</v>
      </c>
      <c r="AX100" s="1021">
        <f>(VLOOKUP(YEAR($A100),'NY East Load Projections'!$A$4:$EO$14,((MONTH($A100)-1)*12)+VLOOKUP(AX$4,$DE$6:$DF$17,2)+1))*$C100</f>
        <v>-477.84406102005534</v>
      </c>
      <c r="AY100" s="1021">
        <f>(VLOOKUP(YEAR($A100),'NY East Load Projections'!$A$4:$EO$14,((MONTH($A100)-1)*12)+VLOOKUP(AY$4,$DE$6:$DF$17,2)+1))*$C100</f>
        <v>-477.84406102005534</v>
      </c>
      <c r="AZ100" s="1021">
        <f>(VLOOKUP(YEAR($A100),'NY East Load Projections'!$A$4:$EO$14,((MONTH($A100)-1)*12)+VLOOKUP(AZ$4,$DE$6:$DF$17,2)+1))*$C100</f>
        <v>-477.84406102005534</v>
      </c>
      <c r="BA100" s="1021">
        <f>(VLOOKUP(YEAR($A100),'NY East Load Projections'!$A$4:$EO$14,((MONTH($A100)-1)*12)+VLOOKUP(BA$4,$DE$6:$DF$17,2)+1))*$C100</f>
        <v>-455.8481453338967</v>
      </c>
      <c r="BB100" s="1021">
        <f>(VLOOKUP(YEAR($A100),'NY East Load Projections'!$A$4:$EO$14,((MONTH($A100)-1)*12)+VLOOKUP(BB$4,$DE$6:$DF$17,2)+1))*$C100</f>
        <v>-455.8481453338967</v>
      </c>
      <c r="BC100" s="1021">
        <f>(VLOOKUP(YEAR($A100),'NY East Load Projections'!$A$4:$EO$14,((MONTH($A100)-1)*12)+VLOOKUP(BC$4,$DE$6:$DF$17,2)+1))*$C100</f>
        <v>-455.8481453338967</v>
      </c>
      <c r="BD100" s="1021">
        <f>(VLOOKUP(YEAR($A100),'NY East Load Projections'!$A$4:$EO$14,((MONTH($A100)-1)*12)+VLOOKUP(BD$4,$DE$6:$DF$17,2)+1))*$C100</f>
        <v>-455.8481453338967</v>
      </c>
      <c r="BE100" s="1021"/>
      <c r="BF100" s="1021">
        <f>(VLOOKUP(YEAR($A100),'NY East Load Projections'!$A$4:$EO$14,((MONTH($A100)-1)*12)+VLOOKUP(BF$4,$DE$6:$DF$17,2)+1))*$D100</f>
        <v>-449.43618204265982</v>
      </c>
      <c r="BG100" s="1021">
        <f>(VLOOKUP(YEAR($A100),'NY East Load Projections'!$A$4:$EO$14,((MONTH($A100)-1)*12)+VLOOKUP(BG$4,$DE$6:$DF$17,2)+1))*$D100</f>
        <v>-449.43618204265982</v>
      </c>
      <c r="BH100" s="1021">
        <f>(VLOOKUP(YEAR($A100),'NY East Load Projections'!$A$4:$EO$14,((MONTH($A100)-1)*12)+VLOOKUP(BH$4,$DE$6:$DF$17,2)+1))*$D100</f>
        <v>-449.43618204265982</v>
      </c>
      <c r="BI100" s="1021">
        <f>(VLOOKUP(YEAR($A100),'NY East Load Projections'!$A$4:$EO$14,((MONTH($A100)-1)*12)+VLOOKUP(BI$4,$DE$6:$DF$17,2)+1))*$D100</f>
        <v>-449.43618204265982</v>
      </c>
      <c r="BJ100" s="1021">
        <f>(VLOOKUP(YEAR($A100),'NY East Load Projections'!$A$4:$EO$14,((MONTH($A100)-1)*12)+VLOOKUP(BJ$4,$DE$6:$DF$17,2)+1))*$D100</f>
        <v>-456.43625535054275</v>
      </c>
      <c r="BK100" s="1021">
        <f>(VLOOKUP(YEAR($A100),'NY East Load Projections'!$A$4:$EO$14,((MONTH($A100)-1)*12)+VLOOKUP(BK$4,$DE$6:$DF$17,2)+1))*$D100</f>
        <v>-456.43625535054275</v>
      </c>
      <c r="BL100" s="1021">
        <f>(VLOOKUP(YEAR($A100),'NY East Load Projections'!$A$4:$EO$14,((MONTH($A100)-1)*12)+VLOOKUP(BL$4,$DE$6:$DF$17,2)+1))*$D100</f>
        <v>-456.43625535054275</v>
      </c>
      <c r="BM100" s="1021">
        <f>(VLOOKUP(YEAR($A100),'NY East Load Projections'!$A$4:$EO$14,((MONTH($A100)-1)*12)+VLOOKUP(BM$4,$DE$6:$DF$17,2)+1))*$D100</f>
        <v>-456.43625535054275</v>
      </c>
      <c r="BN100" s="1021">
        <f>(VLOOKUP(YEAR($A100),'NY East Load Projections'!$A$4:$EO$14,((MONTH($A100)-1)*12)+VLOOKUP(BN$4,$DE$6:$DF$17,2)+1))*$D100</f>
        <v>-486.84550526852865</v>
      </c>
      <c r="BO100" s="1021">
        <f>(VLOOKUP(YEAR($A100),'NY East Load Projections'!$A$4:$EO$14,((MONTH($A100)-1)*12)+VLOOKUP(BO$4,$DE$6:$DF$17,2)+1))*$D100</f>
        <v>-486.84550526852865</v>
      </c>
      <c r="BP100" s="1021">
        <f>(VLOOKUP(YEAR($A100),'NY East Load Projections'!$A$4:$EO$14,((MONTH($A100)-1)*12)+VLOOKUP(BP$4,$DE$6:$DF$17,2)+1))*$D100</f>
        <v>-486.84550526852865</v>
      </c>
      <c r="BQ100" s="1021">
        <f>(VLOOKUP(YEAR($A100),'NY East Load Projections'!$A$4:$EO$14,((MONTH($A100)-1)*12)+VLOOKUP(BQ$4,$DE$6:$DF$17,2)+1))*$D100</f>
        <v>-486.84550526852865</v>
      </c>
      <c r="BR100" s="1021">
        <f>(VLOOKUP(YEAR($A100),'NY East Load Projections'!$A$4:$EO$14,((MONTH($A100)-1)*12)+VLOOKUP(BR$4,$DE$6:$DF$17,2)+1))*$D100</f>
        <v>-501.91532710287208</v>
      </c>
      <c r="BS100" s="1021">
        <f>(VLOOKUP(YEAR($A100),'NY East Load Projections'!$A$4:$EO$14,((MONTH($A100)-1)*12)+VLOOKUP(BS$4,$DE$6:$DF$17,2)+1))*$D100</f>
        <v>-501.91532710287208</v>
      </c>
      <c r="BT100" s="1021">
        <f>(VLOOKUP(YEAR($A100),'NY East Load Projections'!$A$4:$EO$14,((MONTH($A100)-1)*12)+VLOOKUP(BT$4,$DE$6:$DF$17,2)+1))*$D100</f>
        <v>-501.91532710287208</v>
      </c>
      <c r="BU100" s="1021">
        <f>(VLOOKUP(YEAR($A100),'NY East Load Projections'!$A$4:$EO$14,((MONTH($A100)-1)*12)+VLOOKUP(BU$4,$DE$6:$DF$17,2)+1))*$D100</f>
        <v>-501.91532710287208</v>
      </c>
      <c r="BV100" s="1021">
        <f>(VLOOKUP(YEAR($A100),'NY East Load Projections'!$A$4:$EO$14,((MONTH($A100)-1)*12)+VLOOKUP(BV$4,$DE$6:$DF$17,2)+1))*$D100</f>
        <v>-477.84406102005534</v>
      </c>
      <c r="BW100" s="1021">
        <f>(VLOOKUP(YEAR($A100),'NY East Load Projections'!$A$4:$EO$14,((MONTH($A100)-1)*12)+VLOOKUP(BW$4,$DE$6:$DF$17,2)+1))*$D100</f>
        <v>-477.84406102005534</v>
      </c>
      <c r="BX100" s="1021">
        <f>(VLOOKUP(YEAR($A100),'NY East Load Projections'!$A$4:$EO$14,((MONTH($A100)-1)*12)+VLOOKUP(BX$4,$DE$6:$DF$17,2)+1))*$D100</f>
        <v>-477.84406102005534</v>
      </c>
      <c r="BY100" s="1021">
        <f>(VLOOKUP(YEAR($A100),'NY East Load Projections'!$A$4:$EO$14,((MONTH($A100)-1)*12)+VLOOKUP(BY$4,$DE$6:$DF$17,2)+1))*$D100</f>
        <v>-477.84406102005534</v>
      </c>
      <c r="BZ100" s="1021">
        <f>(VLOOKUP(YEAR($A100),'NY East Load Projections'!$A$4:$EO$14,((MONTH($A100)-1)*12)+VLOOKUP(BZ$4,$DE$6:$DF$17,2)+1))*$D100</f>
        <v>-455.8481453338967</v>
      </c>
      <c r="CA100" s="1021">
        <f>(VLOOKUP(YEAR($A100),'NY East Load Projections'!$A$4:$EO$14,((MONTH($A100)-1)*12)+VLOOKUP(CA$4,$DE$6:$DF$17,2)+1))*$D100</f>
        <v>-455.8481453338967</v>
      </c>
      <c r="CB100" s="1021">
        <f>(VLOOKUP(YEAR($A100),'NY East Load Projections'!$A$4:$EO$14,((MONTH($A100)-1)*12)+VLOOKUP(CB$4,$DE$6:$DF$17,2)+1))*$D100</f>
        <v>-455.8481453338967</v>
      </c>
      <c r="CC100" s="1021">
        <f>(VLOOKUP(YEAR($A100),'NY East Load Projections'!$A$4:$EO$14,((MONTH($A100)-1)*12)+VLOOKUP(CC$4,$DE$6:$DF$17,2)+1))*$D100</f>
        <v>-455.8481453338967</v>
      </c>
      <c r="CE100" s="1021">
        <f>(VLOOKUP(YEAR($A100),'NY East Load Projections'!$A$4:$EO$14,((MONTH($A100)-1)*12)+VLOOKUP(CE$4,$DE$6:$DF$17,2)+1))*$E100</f>
        <v>-89.887236408531962</v>
      </c>
      <c r="CF100" s="1021">
        <f>(VLOOKUP(YEAR($A100),'NY East Load Projections'!$A$4:$EO$14,((MONTH($A100)-1)*12)+VLOOKUP(CF$4,$DE$6:$DF$17,2)+1))*$E100</f>
        <v>-89.887236408531962</v>
      </c>
      <c r="CG100" s="1021">
        <f>(VLOOKUP(YEAR($A100),'NY East Load Projections'!$A$4:$EO$14,((MONTH($A100)-1)*12)+VLOOKUP(CG$4,$DE$6:$DF$17,2)+1))*$E100</f>
        <v>-89.887236408531962</v>
      </c>
      <c r="CH100" s="1021">
        <f>(VLOOKUP(YEAR($A100),'NY East Load Projections'!$A$4:$EO$14,((MONTH($A100)-1)*12)+VLOOKUP(CH$4,$DE$6:$DF$17,2)+1))*$E100</f>
        <v>-89.887236408531962</v>
      </c>
      <c r="CI100" s="1021">
        <f>(VLOOKUP(YEAR($A100),'NY East Load Projections'!$A$4:$EO$14,((MONTH($A100)-1)*12)+VLOOKUP(CI$4,$DE$6:$DF$17,2)+1))*$E100</f>
        <v>-91.287251070108553</v>
      </c>
      <c r="CJ100" s="1021">
        <f>(VLOOKUP(YEAR($A100),'NY East Load Projections'!$A$4:$EO$14,((MONTH($A100)-1)*12)+VLOOKUP(CJ$4,$DE$6:$DF$17,2)+1))*$E100</f>
        <v>-91.287251070108553</v>
      </c>
      <c r="CK100" s="1021">
        <f>(VLOOKUP(YEAR($A100),'NY East Load Projections'!$A$4:$EO$14,((MONTH($A100)-1)*12)+VLOOKUP(CK$4,$DE$6:$DF$17,2)+1))*$E100</f>
        <v>-91.287251070108553</v>
      </c>
      <c r="CL100" s="1021">
        <f>(VLOOKUP(YEAR($A100),'NY East Load Projections'!$A$4:$EO$14,((MONTH($A100)-1)*12)+VLOOKUP(CL$4,$DE$6:$DF$17,2)+1))*$E100</f>
        <v>-91.287251070108553</v>
      </c>
      <c r="CM100" s="1021">
        <f>(VLOOKUP(YEAR($A100),'NY East Load Projections'!$A$4:$EO$14,((MONTH($A100)-1)*12)+VLOOKUP(CM$4,$DE$6:$DF$17,2)+1))*$E100</f>
        <v>-97.369101053705734</v>
      </c>
      <c r="CN100" s="1021">
        <f>(VLOOKUP(YEAR($A100),'NY East Load Projections'!$A$4:$EO$14,((MONTH($A100)-1)*12)+VLOOKUP(CN$4,$DE$6:$DF$17,2)+1))*$E100</f>
        <v>-97.369101053705734</v>
      </c>
      <c r="CO100" s="1021">
        <f>(VLOOKUP(YEAR($A100),'NY East Load Projections'!$A$4:$EO$14,((MONTH($A100)-1)*12)+VLOOKUP(CO$4,$DE$6:$DF$17,2)+1))*$E100</f>
        <v>-97.369101053705734</v>
      </c>
      <c r="CP100" s="1021">
        <f>(VLOOKUP(YEAR($A100),'NY East Load Projections'!$A$4:$EO$14,((MONTH($A100)-1)*12)+VLOOKUP(CP$4,$DE$6:$DF$17,2)+1))*$E100</f>
        <v>-97.369101053705734</v>
      </c>
      <c r="CQ100" s="1021">
        <f>(VLOOKUP(YEAR($A100),'NY East Load Projections'!$A$4:$EO$14,((MONTH($A100)-1)*12)+VLOOKUP(CQ$4,$DE$6:$DF$17,2)+1))*$E100</f>
        <v>-100.38306542057441</v>
      </c>
      <c r="CR100" s="1021">
        <f>(VLOOKUP(YEAR($A100),'NY East Load Projections'!$A$4:$EO$14,((MONTH($A100)-1)*12)+VLOOKUP(CR$4,$DE$6:$DF$17,2)+1))*$E100</f>
        <v>-100.38306542057441</v>
      </c>
      <c r="CS100" s="1021">
        <f>(VLOOKUP(YEAR($A100),'NY East Load Projections'!$A$4:$EO$14,((MONTH($A100)-1)*12)+VLOOKUP(CS$4,$DE$6:$DF$17,2)+1))*$E100</f>
        <v>-100.38306542057441</v>
      </c>
      <c r="CT100" s="1021">
        <f>(VLOOKUP(YEAR($A100),'NY East Load Projections'!$A$4:$EO$14,((MONTH($A100)-1)*12)+VLOOKUP(CT$4,$DE$6:$DF$17,2)+1))*$E100</f>
        <v>-100.38306542057441</v>
      </c>
      <c r="CU100" s="1021">
        <f>(VLOOKUP(YEAR($A100),'NY East Load Projections'!$A$4:$EO$14,((MONTH($A100)-1)*12)+VLOOKUP(CU$4,$DE$6:$DF$17,2)+1))*$E100</f>
        <v>-95.568812204011067</v>
      </c>
      <c r="CV100" s="1021">
        <f>(VLOOKUP(YEAR($A100),'NY East Load Projections'!$A$4:$EO$14,((MONTH($A100)-1)*12)+VLOOKUP(CV$4,$DE$6:$DF$17,2)+1))*$E100</f>
        <v>-95.568812204011067</v>
      </c>
      <c r="CW100" s="1021">
        <f>(VLOOKUP(YEAR($A100),'NY East Load Projections'!$A$4:$EO$14,((MONTH($A100)-1)*12)+VLOOKUP(CW$4,$DE$6:$DF$17,2)+1))*$E100</f>
        <v>-95.568812204011067</v>
      </c>
      <c r="CX100" s="1021">
        <f>(VLOOKUP(YEAR($A100),'NY East Load Projections'!$A$4:$EO$14,((MONTH($A100)-1)*12)+VLOOKUP(CX$4,$DE$6:$DF$17,2)+1))*$E100</f>
        <v>-95.568812204011067</v>
      </c>
      <c r="CY100" s="1021">
        <f>(VLOOKUP(YEAR($A100),'NY East Load Projections'!$A$4:$EO$14,((MONTH($A100)-1)*12)+VLOOKUP(CY$4,$DE$6:$DF$17,2)+1))*$E100</f>
        <v>-91.169629066779336</v>
      </c>
      <c r="CZ100" s="1021">
        <f>(VLOOKUP(YEAR($A100),'NY East Load Projections'!$A$4:$EO$14,((MONTH($A100)-1)*12)+VLOOKUP(CZ$4,$DE$6:$DF$17,2)+1))*$E100</f>
        <v>-91.169629066779336</v>
      </c>
      <c r="DA100" s="1021">
        <f>(VLOOKUP(YEAR($A100),'NY East Load Projections'!$A$4:$EO$14,((MONTH($A100)-1)*12)+VLOOKUP(DA$4,$DE$6:$DF$17,2)+1))*$E100</f>
        <v>-91.169629066779336</v>
      </c>
      <c r="DB100" s="1021">
        <f>(VLOOKUP(YEAR($A100),'NY East Load Projections'!$A$4:$EO$14,((MONTH($A100)-1)*12)+VLOOKUP(DB$4,$DE$6:$DF$17,2)+1))*$E100</f>
        <v>-91.169629066779336</v>
      </c>
      <c r="DH100" s="1009">
        <f t="shared" si="3"/>
        <v>-68519.386405289028</v>
      </c>
      <c r="DI100">
        <f ca="1">CALC!J120</f>
        <v>0.52766161927294875</v>
      </c>
      <c r="DJ100" s="1032">
        <f t="shared" ca="1" si="4"/>
        <v>-36155.050382203677</v>
      </c>
    </row>
    <row r="101" spans="1:114" x14ac:dyDescent="0.25">
      <c r="A101" s="244">
        <v>39783</v>
      </c>
      <c r="B101" s="13">
        <v>22</v>
      </c>
      <c r="C101" s="210">
        <v>4</v>
      </c>
      <c r="D101" s="210">
        <v>4</v>
      </c>
      <c r="E101" s="210">
        <v>1</v>
      </c>
      <c r="F101" s="13">
        <v>31</v>
      </c>
      <c r="H101" s="1021">
        <f>(VLOOKUP(YEAR($A101),'NY East Load Projections'!$A$4:$EO$14,((MONTH($A101)-1)*12)+VLOOKUP(H$4,$DE$6:$DF$17,2)+1))*$B101</f>
        <v>-1861.0144447131559</v>
      </c>
      <c r="I101" s="1021">
        <f>(VLOOKUP(YEAR($A101),'NY East Load Projections'!$A$4:$EO$14,((MONTH($A101)-1)*12)+VLOOKUP(I$4,$DE$6:$DF$17,2)+1))*$B101</f>
        <v>-1861.0144447131559</v>
      </c>
      <c r="J101" s="1021">
        <f>(VLOOKUP(YEAR($A101),'NY East Load Projections'!$A$4:$EO$14,((MONTH($A101)-1)*12)+VLOOKUP(J$4,$DE$6:$DF$17,2)+1))*$B101</f>
        <v>-1861.0144447131559</v>
      </c>
      <c r="K101" s="1021">
        <f>(VLOOKUP(YEAR($A101),'NY East Load Projections'!$A$4:$EO$14,((MONTH($A101)-1)*12)+VLOOKUP(K$4,$DE$6:$DF$17,2)+1))*$B101</f>
        <v>-1861.0144447131559</v>
      </c>
      <c r="L101" s="1021">
        <f>(VLOOKUP(YEAR($A101),'NY East Load Projections'!$A$4:$EO$14,((MONTH($A101)-1)*12)+VLOOKUP(L$4,$DE$6:$DF$17,2)+1))*$B101</f>
        <v>-2037.4585642323359</v>
      </c>
      <c r="M101" s="1021">
        <f>(VLOOKUP(YEAR($A101),'NY East Load Projections'!$A$4:$EO$14,((MONTH($A101)-1)*12)+VLOOKUP(M$4,$DE$6:$DF$17,2)+1))*$B101</f>
        <v>-2037.4585642323359</v>
      </c>
      <c r="N101" s="1021">
        <f>(VLOOKUP(YEAR($A101),'NY East Load Projections'!$A$4:$EO$14,((MONTH($A101)-1)*12)+VLOOKUP(N$4,$DE$6:$DF$17,2)+1))*$B101</f>
        <v>-2037.4585642323359</v>
      </c>
      <c r="O101" s="1021">
        <f>(VLOOKUP(YEAR($A101),'NY East Load Projections'!$A$4:$EO$14,((MONTH($A101)-1)*12)+VLOOKUP(O$4,$DE$6:$DF$17,2)+1))*$B101</f>
        <v>-2037.4585642323359</v>
      </c>
      <c r="P101" s="1021">
        <f>(VLOOKUP(YEAR($A101),'NY East Load Projections'!$A$4:$EO$14,((MONTH($A101)-1)*12)+VLOOKUP(P$4,$DE$6:$DF$17,2)+1))*$B101</f>
        <v>-2162.8744810837375</v>
      </c>
      <c r="Q101" s="1021">
        <f>(VLOOKUP(YEAR($A101),'NY East Load Projections'!$A$4:$EO$14,((MONTH($A101)-1)*12)+VLOOKUP(Q$4,$DE$6:$DF$17,2)+1))*$B101</f>
        <v>-2162.8744810837375</v>
      </c>
      <c r="R101" s="1021">
        <f>(VLOOKUP(YEAR($A101),'NY East Load Projections'!$A$4:$EO$14,((MONTH($A101)-1)*12)+VLOOKUP(R$4,$DE$6:$DF$17,2)+1))*$B101</f>
        <v>-2162.8744810837375</v>
      </c>
      <c r="S101" s="1021">
        <f>(VLOOKUP(YEAR($A101),'NY East Load Projections'!$A$4:$EO$14,((MONTH($A101)-1)*12)+VLOOKUP(S$4,$DE$6:$DF$17,2)+1))*$B101</f>
        <v>-2162.8744810837375</v>
      </c>
      <c r="T101" s="1021">
        <f>(VLOOKUP(YEAR($A101),'NY East Load Projections'!$A$4:$EO$14,((MONTH($A101)-1)*12)+VLOOKUP(T$4,$DE$6:$DF$17,2)+1))*$B101</f>
        <v>-2186.7350728577348</v>
      </c>
      <c r="U101" s="1021">
        <f>(VLOOKUP(YEAR($A101),'NY East Load Projections'!$A$4:$EO$14,((MONTH($A101)-1)*12)+VLOOKUP(U$4,$DE$6:$DF$17,2)+1))*$B101</f>
        <v>-2186.7350728577348</v>
      </c>
      <c r="V101" s="1021">
        <f>(VLOOKUP(YEAR($A101),'NY East Load Projections'!$A$4:$EO$14,((MONTH($A101)-1)*12)+VLOOKUP(V$4,$DE$6:$DF$17,2)+1))*$B101</f>
        <v>-2186.7350728577348</v>
      </c>
      <c r="W101" s="1021">
        <f>(VLOOKUP(YEAR($A101),'NY East Load Projections'!$A$4:$EO$14,((MONTH($A101)-1)*12)+VLOOKUP(W$4,$DE$6:$DF$17,2)+1))*$B101</f>
        <v>-2186.7350728577348</v>
      </c>
      <c r="X101" s="1021">
        <f>(VLOOKUP(YEAR($A101),'NY East Load Projections'!$A$4:$EO$14,((MONTH($A101)-1)*12)+VLOOKUP(X$4,$DE$6:$DF$17,2)+1))*$B101</f>
        <v>-2106.6568377682775</v>
      </c>
      <c r="Y101" s="1021">
        <f>(VLOOKUP(YEAR($A101),'NY East Load Projections'!$A$4:$EO$14,((MONTH($A101)-1)*12)+VLOOKUP(Y$4,$DE$6:$DF$17,2)+1))*$B101</f>
        <v>-2106.6568377682775</v>
      </c>
      <c r="Z101" s="1021">
        <f>(VLOOKUP(YEAR($A101),'NY East Load Projections'!$A$4:$EO$14,((MONTH($A101)-1)*12)+VLOOKUP(Z$4,$DE$6:$DF$17,2)+1))*$B101</f>
        <v>-2106.6568377682775</v>
      </c>
      <c r="AA101" s="1021">
        <f>(VLOOKUP(YEAR($A101),'NY East Load Projections'!$A$4:$EO$14,((MONTH($A101)-1)*12)+VLOOKUP(AA$4,$DE$6:$DF$17,2)+1))*$B101</f>
        <v>-2106.6568377682775</v>
      </c>
      <c r="AB101" s="1021">
        <f>(VLOOKUP(YEAR($A101),'NY East Load Projections'!$A$4:$EO$14,((MONTH($A101)-1)*12)+VLOOKUP(AB$4,$DE$6:$DF$17,2)+1))*$B101</f>
        <v>-1937.948013335337</v>
      </c>
      <c r="AC101" s="1021">
        <f>(VLOOKUP(YEAR($A101),'NY East Load Projections'!$A$4:$EO$14,((MONTH($A101)-1)*12)+VLOOKUP(AC$4,$DE$6:$DF$17,2)+1))*$B101</f>
        <v>-1937.948013335337</v>
      </c>
      <c r="AD101" s="1021">
        <f>(VLOOKUP(YEAR($A101),'NY East Load Projections'!$A$4:$EO$14,((MONTH($A101)-1)*12)+VLOOKUP(AD$4,$DE$6:$DF$17,2)+1))*$B101</f>
        <v>-1937.948013335337</v>
      </c>
      <c r="AE101" s="1021">
        <f>(VLOOKUP(YEAR($A101),'NY East Load Projections'!$A$4:$EO$14,((MONTH($A101)-1)*12)+VLOOKUP(AE$4,$DE$6:$DF$17,2)+1))*$B101</f>
        <v>-1937.948013335337</v>
      </c>
      <c r="AF101" s="1021"/>
      <c r="AG101" s="1021">
        <f>(VLOOKUP(YEAR($A101),'NY East Load Projections'!$A$4:$EO$14,((MONTH($A101)-1)*12)+VLOOKUP(AG$4,$DE$6:$DF$17,2)+1))*$C101</f>
        <v>-351.09945606287192</v>
      </c>
      <c r="AH101" s="1021">
        <f>(VLOOKUP(YEAR($A101),'NY East Load Projections'!$A$4:$EO$14,((MONTH($A101)-1)*12)+VLOOKUP(AH$4,$DE$6:$DF$17,2)+1))*$C101</f>
        <v>-351.09945606287192</v>
      </c>
      <c r="AI101" s="1021">
        <f>(VLOOKUP(YEAR($A101),'NY East Load Projections'!$A$4:$EO$14,((MONTH($A101)-1)*12)+VLOOKUP(AI$4,$DE$6:$DF$17,2)+1))*$C101</f>
        <v>-351.09945606287192</v>
      </c>
      <c r="AJ101" s="1021">
        <f>(VLOOKUP(YEAR($A101),'NY East Load Projections'!$A$4:$EO$14,((MONTH($A101)-1)*12)+VLOOKUP(AJ$4,$DE$6:$DF$17,2)+1))*$C101</f>
        <v>-351.09945606287192</v>
      </c>
      <c r="AK101" s="1021">
        <f>(VLOOKUP(YEAR($A101),'NY East Load Projections'!$A$4:$EO$14,((MONTH($A101)-1)*12)+VLOOKUP(AK$4,$DE$6:$DF$17,2)+1))*$C101</f>
        <v>-359.04304532546934</v>
      </c>
      <c r="AL101" s="1021">
        <f>(VLOOKUP(YEAR($A101),'NY East Load Projections'!$A$4:$EO$14,((MONTH($A101)-1)*12)+VLOOKUP(AL$4,$DE$6:$DF$17,2)+1))*$C101</f>
        <v>-359.04304532546934</v>
      </c>
      <c r="AM101" s="1021">
        <f>(VLOOKUP(YEAR($A101),'NY East Load Projections'!$A$4:$EO$14,((MONTH($A101)-1)*12)+VLOOKUP(AM$4,$DE$6:$DF$17,2)+1))*$C101</f>
        <v>-359.04304532546934</v>
      </c>
      <c r="AN101" s="1021">
        <f>(VLOOKUP(YEAR($A101),'NY East Load Projections'!$A$4:$EO$14,((MONTH($A101)-1)*12)+VLOOKUP(AN$4,$DE$6:$DF$17,2)+1))*$C101</f>
        <v>-359.04304532546934</v>
      </c>
      <c r="AO101" s="1021">
        <f>(VLOOKUP(YEAR($A101),'NY East Load Projections'!$A$4:$EO$14,((MONTH($A101)-1)*12)+VLOOKUP(AO$4,$DE$6:$DF$17,2)+1))*$C101</f>
        <v>-383.29710508149412</v>
      </c>
      <c r="AP101" s="1021">
        <f>(VLOOKUP(YEAR($A101),'NY East Load Projections'!$A$4:$EO$14,((MONTH($A101)-1)*12)+VLOOKUP(AP$4,$DE$6:$DF$17,2)+1))*$C101</f>
        <v>-383.29710508149412</v>
      </c>
      <c r="AQ101" s="1021">
        <f>(VLOOKUP(YEAR($A101),'NY East Load Projections'!$A$4:$EO$14,((MONTH($A101)-1)*12)+VLOOKUP(AQ$4,$DE$6:$DF$17,2)+1))*$C101</f>
        <v>-383.29710508149412</v>
      </c>
      <c r="AR101" s="1021">
        <f>(VLOOKUP(YEAR($A101),'NY East Load Projections'!$A$4:$EO$14,((MONTH($A101)-1)*12)+VLOOKUP(AR$4,$DE$6:$DF$17,2)+1))*$C101</f>
        <v>-383.29710508149412</v>
      </c>
      <c r="AS101" s="1021">
        <f>(VLOOKUP(YEAR($A101),'NY East Load Projections'!$A$4:$EO$14,((MONTH($A101)-1)*12)+VLOOKUP(AS$4,$DE$6:$DF$17,2)+1))*$C101</f>
        <v>-387.47144017701459</v>
      </c>
      <c r="AT101" s="1021">
        <f>(VLOOKUP(YEAR($A101),'NY East Load Projections'!$A$4:$EO$14,((MONTH($A101)-1)*12)+VLOOKUP(AT$4,$DE$6:$DF$17,2)+1))*$C101</f>
        <v>-387.47144017701459</v>
      </c>
      <c r="AU101" s="1021">
        <f>(VLOOKUP(YEAR($A101),'NY East Load Projections'!$A$4:$EO$14,((MONTH($A101)-1)*12)+VLOOKUP(AU$4,$DE$6:$DF$17,2)+1))*$C101</f>
        <v>-387.47144017701459</v>
      </c>
      <c r="AV101" s="1021">
        <f>(VLOOKUP(YEAR($A101),'NY East Load Projections'!$A$4:$EO$14,((MONTH($A101)-1)*12)+VLOOKUP(AV$4,$DE$6:$DF$17,2)+1))*$C101</f>
        <v>-387.47144017701459</v>
      </c>
      <c r="AW101" s="1021">
        <f>(VLOOKUP(YEAR($A101),'NY East Load Projections'!$A$4:$EO$14,((MONTH($A101)-1)*12)+VLOOKUP(AW$4,$DE$6:$DF$17,2)+1))*$C101</f>
        <v>-371.23766917685055</v>
      </c>
      <c r="AX101" s="1021">
        <f>(VLOOKUP(YEAR($A101),'NY East Load Projections'!$A$4:$EO$14,((MONTH($A101)-1)*12)+VLOOKUP(AX$4,$DE$6:$DF$17,2)+1))*$C101</f>
        <v>-371.23766917685055</v>
      </c>
      <c r="AY101" s="1021">
        <f>(VLOOKUP(YEAR($A101),'NY East Load Projections'!$A$4:$EO$14,((MONTH($A101)-1)*12)+VLOOKUP(AY$4,$DE$6:$DF$17,2)+1))*$C101</f>
        <v>-371.23766917685055</v>
      </c>
      <c r="AZ101" s="1021">
        <f>(VLOOKUP(YEAR($A101),'NY East Load Projections'!$A$4:$EO$14,((MONTH($A101)-1)*12)+VLOOKUP(AZ$4,$DE$6:$DF$17,2)+1))*$C101</f>
        <v>-371.23766917685055</v>
      </c>
      <c r="BA101" s="1021">
        <f>(VLOOKUP(YEAR($A101),'NY East Load Projections'!$A$4:$EO$14,((MONTH($A101)-1)*12)+VLOOKUP(BA$4,$DE$6:$DF$17,2)+1))*$C101</f>
        <v>-358.17632462115682</v>
      </c>
      <c r="BB101" s="1021">
        <f>(VLOOKUP(YEAR($A101),'NY East Load Projections'!$A$4:$EO$14,((MONTH($A101)-1)*12)+VLOOKUP(BB$4,$DE$6:$DF$17,2)+1))*$C101</f>
        <v>-358.17632462115682</v>
      </c>
      <c r="BC101" s="1021">
        <f>(VLOOKUP(YEAR($A101),'NY East Load Projections'!$A$4:$EO$14,((MONTH($A101)-1)*12)+VLOOKUP(BC$4,$DE$6:$DF$17,2)+1))*$C101</f>
        <v>-358.17632462115682</v>
      </c>
      <c r="BD101" s="1021">
        <f>(VLOOKUP(YEAR($A101),'NY East Load Projections'!$A$4:$EO$14,((MONTH($A101)-1)*12)+VLOOKUP(BD$4,$DE$6:$DF$17,2)+1))*$C101</f>
        <v>-358.17632462115682</v>
      </c>
      <c r="BE101" s="1021"/>
      <c r="BF101" s="1021">
        <f>(VLOOKUP(YEAR($A101),'NY East Load Projections'!$A$4:$EO$14,((MONTH($A101)-1)*12)+VLOOKUP(BF$4,$DE$6:$DF$17,2)+1))*$D101</f>
        <v>-351.09945606287192</v>
      </c>
      <c r="BG101" s="1021">
        <f>(VLOOKUP(YEAR($A101),'NY East Load Projections'!$A$4:$EO$14,((MONTH($A101)-1)*12)+VLOOKUP(BG$4,$DE$6:$DF$17,2)+1))*$D101</f>
        <v>-351.09945606287192</v>
      </c>
      <c r="BH101" s="1021">
        <f>(VLOOKUP(YEAR($A101),'NY East Load Projections'!$A$4:$EO$14,((MONTH($A101)-1)*12)+VLOOKUP(BH$4,$DE$6:$DF$17,2)+1))*$D101</f>
        <v>-351.09945606287192</v>
      </c>
      <c r="BI101" s="1021">
        <f>(VLOOKUP(YEAR($A101),'NY East Load Projections'!$A$4:$EO$14,((MONTH($A101)-1)*12)+VLOOKUP(BI$4,$DE$6:$DF$17,2)+1))*$D101</f>
        <v>-351.09945606287192</v>
      </c>
      <c r="BJ101" s="1021">
        <f>(VLOOKUP(YEAR($A101),'NY East Load Projections'!$A$4:$EO$14,((MONTH($A101)-1)*12)+VLOOKUP(BJ$4,$DE$6:$DF$17,2)+1))*$D101</f>
        <v>-359.04304532546934</v>
      </c>
      <c r="BK101" s="1021">
        <f>(VLOOKUP(YEAR($A101),'NY East Load Projections'!$A$4:$EO$14,((MONTH($A101)-1)*12)+VLOOKUP(BK$4,$DE$6:$DF$17,2)+1))*$D101</f>
        <v>-359.04304532546934</v>
      </c>
      <c r="BL101" s="1021">
        <f>(VLOOKUP(YEAR($A101),'NY East Load Projections'!$A$4:$EO$14,((MONTH($A101)-1)*12)+VLOOKUP(BL$4,$DE$6:$DF$17,2)+1))*$D101</f>
        <v>-359.04304532546934</v>
      </c>
      <c r="BM101" s="1021">
        <f>(VLOOKUP(YEAR($A101),'NY East Load Projections'!$A$4:$EO$14,((MONTH($A101)-1)*12)+VLOOKUP(BM$4,$DE$6:$DF$17,2)+1))*$D101</f>
        <v>-359.04304532546934</v>
      </c>
      <c r="BN101" s="1021">
        <f>(VLOOKUP(YEAR($A101),'NY East Load Projections'!$A$4:$EO$14,((MONTH($A101)-1)*12)+VLOOKUP(BN$4,$DE$6:$DF$17,2)+1))*$D101</f>
        <v>-383.29710508149412</v>
      </c>
      <c r="BO101" s="1021">
        <f>(VLOOKUP(YEAR($A101),'NY East Load Projections'!$A$4:$EO$14,((MONTH($A101)-1)*12)+VLOOKUP(BO$4,$DE$6:$DF$17,2)+1))*$D101</f>
        <v>-383.29710508149412</v>
      </c>
      <c r="BP101" s="1021">
        <f>(VLOOKUP(YEAR($A101),'NY East Load Projections'!$A$4:$EO$14,((MONTH($A101)-1)*12)+VLOOKUP(BP$4,$DE$6:$DF$17,2)+1))*$D101</f>
        <v>-383.29710508149412</v>
      </c>
      <c r="BQ101" s="1021">
        <f>(VLOOKUP(YEAR($A101),'NY East Load Projections'!$A$4:$EO$14,((MONTH($A101)-1)*12)+VLOOKUP(BQ$4,$DE$6:$DF$17,2)+1))*$D101</f>
        <v>-383.29710508149412</v>
      </c>
      <c r="BR101" s="1021">
        <f>(VLOOKUP(YEAR($A101),'NY East Load Projections'!$A$4:$EO$14,((MONTH($A101)-1)*12)+VLOOKUP(BR$4,$DE$6:$DF$17,2)+1))*$D101</f>
        <v>-387.47144017701459</v>
      </c>
      <c r="BS101" s="1021">
        <f>(VLOOKUP(YEAR($A101),'NY East Load Projections'!$A$4:$EO$14,((MONTH($A101)-1)*12)+VLOOKUP(BS$4,$DE$6:$DF$17,2)+1))*$D101</f>
        <v>-387.47144017701459</v>
      </c>
      <c r="BT101" s="1021">
        <f>(VLOOKUP(YEAR($A101),'NY East Load Projections'!$A$4:$EO$14,((MONTH($A101)-1)*12)+VLOOKUP(BT$4,$DE$6:$DF$17,2)+1))*$D101</f>
        <v>-387.47144017701459</v>
      </c>
      <c r="BU101" s="1021">
        <f>(VLOOKUP(YEAR($A101),'NY East Load Projections'!$A$4:$EO$14,((MONTH($A101)-1)*12)+VLOOKUP(BU$4,$DE$6:$DF$17,2)+1))*$D101</f>
        <v>-387.47144017701459</v>
      </c>
      <c r="BV101" s="1021">
        <f>(VLOOKUP(YEAR($A101),'NY East Load Projections'!$A$4:$EO$14,((MONTH($A101)-1)*12)+VLOOKUP(BV$4,$DE$6:$DF$17,2)+1))*$D101</f>
        <v>-371.23766917685055</v>
      </c>
      <c r="BW101" s="1021">
        <f>(VLOOKUP(YEAR($A101),'NY East Load Projections'!$A$4:$EO$14,((MONTH($A101)-1)*12)+VLOOKUP(BW$4,$DE$6:$DF$17,2)+1))*$D101</f>
        <v>-371.23766917685055</v>
      </c>
      <c r="BX101" s="1021">
        <f>(VLOOKUP(YEAR($A101),'NY East Load Projections'!$A$4:$EO$14,((MONTH($A101)-1)*12)+VLOOKUP(BX$4,$DE$6:$DF$17,2)+1))*$D101</f>
        <v>-371.23766917685055</v>
      </c>
      <c r="BY101" s="1021">
        <f>(VLOOKUP(YEAR($A101),'NY East Load Projections'!$A$4:$EO$14,((MONTH($A101)-1)*12)+VLOOKUP(BY$4,$DE$6:$DF$17,2)+1))*$D101</f>
        <v>-371.23766917685055</v>
      </c>
      <c r="BZ101" s="1021">
        <f>(VLOOKUP(YEAR($A101),'NY East Load Projections'!$A$4:$EO$14,((MONTH($A101)-1)*12)+VLOOKUP(BZ$4,$DE$6:$DF$17,2)+1))*$D101</f>
        <v>-358.17632462115682</v>
      </c>
      <c r="CA101" s="1021">
        <f>(VLOOKUP(YEAR($A101),'NY East Load Projections'!$A$4:$EO$14,((MONTH($A101)-1)*12)+VLOOKUP(CA$4,$DE$6:$DF$17,2)+1))*$D101</f>
        <v>-358.17632462115682</v>
      </c>
      <c r="CB101" s="1021">
        <f>(VLOOKUP(YEAR($A101),'NY East Load Projections'!$A$4:$EO$14,((MONTH($A101)-1)*12)+VLOOKUP(CB$4,$DE$6:$DF$17,2)+1))*$D101</f>
        <v>-358.17632462115682</v>
      </c>
      <c r="CC101" s="1021">
        <f>(VLOOKUP(YEAR($A101),'NY East Load Projections'!$A$4:$EO$14,((MONTH($A101)-1)*12)+VLOOKUP(CC$4,$DE$6:$DF$17,2)+1))*$D101</f>
        <v>-358.17632462115682</v>
      </c>
      <c r="CE101" s="1021">
        <f>(VLOOKUP(YEAR($A101),'NY East Load Projections'!$A$4:$EO$14,((MONTH($A101)-1)*12)+VLOOKUP(CE$4,$DE$6:$DF$17,2)+1))*$E101</f>
        <v>-87.774864015717981</v>
      </c>
      <c r="CF101" s="1021">
        <f>(VLOOKUP(YEAR($A101),'NY East Load Projections'!$A$4:$EO$14,((MONTH($A101)-1)*12)+VLOOKUP(CF$4,$DE$6:$DF$17,2)+1))*$E101</f>
        <v>-87.774864015717981</v>
      </c>
      <c r="CG101" s="1021">
        <f>(VLOOKUP(YEAR($A101),'NY East Load Projections'!$A$4:$EO$14,((MONTH($A101)-1)*12)+VLOOKUP(CG$4,$DE$6:$DF$17,2)+1))*$E101</f>
        <v>-87.774864015717981</v>
      </c>
      <c r="CH101" s="1021">
        <f>(VLOOKUP(YEAR($A101),'NY East Load Projections'!$A$4:$EO$14,((MONTH($A101)-1)*12)+VLOOKUP(CH$4,$DE$6:$DF$17,2)+1))*$E101</f>
        <v>-87.774864015717981</v>
      </c>
      <c r="CI101" s="1021">
        <f>(VLOOKUP(YEAR($A101),'NY East Load Projections'!$A$4:$EO$14,((MONTH($A101)-1)*12)+VLOOKUP(CI$4,$DE$6:$DF$17,2)+1))*$E101</f>
        <v>-89.760761331367334</v>
      </c>
      <c r="CJ101" s="1021">
        <f>(VLOOKUP(YEAR($A101),'NY East Load Projections'!$A$4:$EO$14,((MONTH($A101)-1)*12)+VLOOKUP(CJ$4,$DE$6:$DF$17,2)+1))*$E101</f>
        <v>-89.760761331367334</v>
      </c>
      <c r="CK101" s="1021">
        <f>(VLOOKUP(YEAR($A101),'NY East Load Projections'!$A$4:$EO$14,((MONTH($A101)-1)*12)+VLOOKUP(CK$4,$DE$6:$DF$17,2)+1))*$E101</f>
        <v>-89.760761331367334</v>
      </c>
      <c r="CL101" s="1021">
        <f>(VLOOKUP(YEAR($A101),'NY East Load Projections'!$A$4:$EO$14,((MONTH($A101)-1)*12)+VLOOKUP(CL$4,$DE$6:$DF$17,2)+1))*$E101</f>
        <v>-89.760761331367334</v>
      </c>
      <c r="CM101" s="1021">
        <f>(VLOOKUP(YEAR($A101),'NY East Load Projections'!$A$4:$EO$14,((MONTH($A101)-1)*12)+VLOOKUP(CM$4,$DE$6:$DF$17,2)+1))*$E101</f>
        <v>-95.824276270373531</v>
      </c>
      <c r="CN101" s="1021">
        <f>(VLOOKUP(YEAR($A101),'NY East Load Projections'!$A$4:$EO$14,((MONTH($A101)-1)*12)+VLOOKUP(CN$4,$DE$6:$DF$17,2)+1))*$E101</f>
        <v>-95.824276270373531</v>
      </c>
      <c r="CO101" s="1021">
        <f>(VLOOKUP(YEAR($A101),'NY East Load Projections'!$A$4:$EO$14,((MONTH($A101)-1)*12)+VLOOKUP(CO$4,$DE$6:$DF$17,2)+1))*$E101</f>
        <v>-95.824276270373531</v>
      </c>
      <c r="CP101" s="1021">
        <f>(VLOOKUP(YEAR($A101),'NY East Load Projections'!$A$4:$EO$14,((MONTH($A101)-1)*12)+VLOOKUP(CP$4,$DE$6:$DF$17,2)+1))*$E101</f>
        <v>-95.824276270373531</v>
      </c>
      <c r="CQ101" s="1021">
        <f>(VLOOKUP(YEAR($A101),'NY East Load Projections'!$A$4:$EO$14,((MONTH($A101)-1)*12)+VLOOKUP(CQ$4,$DE$6:$DF$17,2)+1))*$E101</f>
        <v>-96.867860044253646</v>
      </c>
      <c r="CR101" s="1021">
        <f>(VLOOKUP(YEAR($A101),'NY East Load Projections'!$A$4:$EO$14,((MONTH($A101)-1)*12)+VLOOKUP(CR$4,$DE$6:$DF$17,2)+1))*$E101</f>
        <v>-96.867860044253646</v>
      </c>
      <c r="CS101" s="1021">
        <f>(VLOOKUP(YEAR($A101),'NY East Load Projections'!$A$4:$EO$14,((MONTH($A101)-1)*12)+VLOOKUP(CS$4,$DE$6:$DF$17,2)+1))*$E101</f>
        <v>-96.867860044253646</v>
      </c>
      <c r="CT101" s="1021">
        <f>(VLOOKUP(YEAR($A101),'NY East Load Projections'!$A$4:$EO$14,((MONTH($A101)-1)*12)+VLOOKUP(CT$4,$DE$6:$DF$17,2)+1))*$E101</f>
        <v>-96.867860044253646</v>
      </c>
      <c r="CU101" s="1021">
        <f>(VLOOKUP(YEAR($A101),'NY East Load Projections'!$A$4:$EO$14,((MONTH($A101)-1)*12)+VLOOKUP(CU$4,$DE$6:$DF$17,2)+1))*$E101</f>
        <v>-92.809417294212636</v>
      </c>
      <c r="CV101" s="1021">
        <f>(VLOOKUP(YEAR($A101),'NY East Load Projections'!$A$4:$EO$14,((MONTH($A101)-1)*12)+VLOOKUP(CV$4,$DE$6:$DF$17,2)+1))*$E101</f>
        <v>-92.809417294212636</v>
      </c>
      <c r="CW101" s="1021">
        <f>(VLOOKUP(YEAR($A101),'NY East Load Projections'!$A$4:$EO$14,((MONTH($A101)-1)*12)+VLOOKUP(CW$4,$DE$6:$DF$17,2)+1))*$E101</f>
        <v>-92.809417294212636</v>
      </c>
      <c r="CX101" s="1021">
        <f>(VLOOKUP(YEAR($A101),'NY East Load Projections'!$A$4:$EO$14,((MONTH($A101)-1)*12)+VLOOKUP(CX$4,$DE$6:$DF$17,2)+1))*$E101</f>
        <v>-92.809417294212636</v>
      </c>
      <c r="CY101" s="1021">
        <f>(VLOOKUP(YEAR($A101),'NY East Load Projections'!$A$4:$EO$14,((MONTH($A101)-1)*12)+VLOOKUP(CY$4,$DE$6:$DF$17,2)+1))*$E101</f>
        <v>-89.544081155289206</v>
      </c>
      <c r="CZ101" s="1021">
        <f>(VLOOKUP(YEAR($A101),'NY East Load Projections'!$A$4:$EO$14,((MONTH($A101)-1)*12)+VLOOKUP(CZ$4,$DE$6:$DF$17,2)+1))*$E101</f>
        <v>-89.544081155289206</v>
      </c>
      <c r="DA101" s="1021">
        <f>(VLOOKUP(YEAR($A101),'NY East Load Projections'!$A$4:$EO$14,((MONTH($A101)-1)*12)+VLOOKUP(DA$4,$DE$6:$DF$17,2)+1))*$E101</f>
        <v>-89.544081155289206</v>
      </c>
      <c r="DB101" s="1021">
        <f>(VLOOKUP(YEAR($A101),'NY East Load Projections'!$A$4:$EO$14,((MONTH($A101)-1)*12)+VLOOKUP(DB$4,$DE$6:$DF$17,2)+1))*$E101</f>
        <v>-89.544081155289206</v>
      </c>
      <c r="DH101" s="1009">
        <f t="shared" si="3"/>
        <v>-69063.675019966089</v>
      </c>
      <c r="DI101">
        <f ca="1">CALC!J121</f>
        <v>0.52435246926669343</v>
      </c>
      <c r="DJ101" s="1032">
        <f t="shared" ca="1" si="4"/>
        <v>-36213.708533351673</v>
      </c>
    </row>
    <row r="102" spans="1:114" x14ac:dyDescent="0.25">
      <c r="A102" s="244">
        <v>39814</v>
      </c>
      <c r="B102" s="13">
        <v>21</v>
      </c>
      <c r="C102" s="210">
        <v>5</v>
      </c>
      <c r="D102" s="210">
        <v>4</v>
      </c>
      <c r="E102" s="210">
        <v>1</v>
      </c>
      <c r="F102" s="13">
        <v>31</v>
      </c>
      <c r="H102" s="1021">
        <f>(VLOOKUP(YEAR($A102),'NY East Load Projections'!$A$4:$EO$14,((MONTH($A102)-1)*12)+VLOOKUP(H$4,$DE$6:$DF$17,2)+1))*$B102</f>
        <v>-1678.273061355085</v>
      </c>
      <c r="I102" s="1021">
        <f>(VLOOKUP(YEAR($A102),'NY East Load Projections'!$A$4:$EO$14,((MONTH($A102)-1)*12)+VLOOKUP(I$4,$DE$6:$DF$17,2)+1))*$B102</f>
        <v>-1678.273061355085</v>
      </c>
      <c r="J102" s="1021">
        <f>(VLOOKUP(YEAR($A102),'NY East Load Projections'!$A$4:$EO$14,((MONTH($A102)-1)*12)+VLOOKUP(J$4,$DE$6:$DF$17,2)+1))*$B102</f>
        <v>-1678.273061355085</v>
      </c>
      <c r="K102" s="1021">
        <f>(VLOOKUP(YEAR($A102),'NY East Load Projections'!$A$4:$EO$14,((MONTH($A102)-1)*12)+VLOOKUP(K$4,$DE$6:$DF$17,2)+1))*$B102</f>
        <v>-1678.273061355085</v>
      </c>
      <c r="L102" s="1021">
        <f>(VLOOKUP(YEAR($A102),'NY East Load Projections'!$A$4:$EO$14,((MONTH($A102)-1)*12)+VLOOKUP(L$4,$DE$6:$DF$17,2)+1))*$B102</f>
        <v>-1854.7469208628393</v>
      </c>
      <c r="M102" s="1021">
        <f>(VLOOKUP(YEAR($A102),'NY East Load Projections'!$A$4:$EO$14,((MONTH($A102)-1)*12)+VLOOKUP(M$4,$DE$6:$DF$17,2)+1))*$B102</f>
        <v>-1854.7469208628393</v>
      </c>
      <c r="N102" s="1021">
        <f>(VLOOKUP(YEAR($A102),'NY East Load Projections'!$A$4:$EO$14,((MONTH($A102)-1)*12)+VLOOKUP(N$4,$DE$6:$DF$17,2)+1))*$B102</f>
        <v>-1854.7469208628393</v>
      </c>
      <c r="O102" s="1021">
        <f>(VLOOKUP(YEAR($A102),'NY East Load Projections'!$A$4:$EO$14,((MONTH($A102)-1)*12)+VLOOKUP(O$4,$DE$6:$DF$17,2)+1))*$B102</f>
        <v>-1854.7469208628393</v>
      </c>
      <c r="P102" s="1021">
        <f>(VLOOKUP(YEAR($A102),'NY East Load Projections'!$A$4:$EO$14,((MONTH($A102)-1)*12)+VLOOKUP(P$4,$DE$6:$DF$17,2)+1))*$B102</f>
        <v>-1970.7757389510023</v>
      </c>
      <c r="Q102" s="1021">
        <f>(VLOOKUP(YEAR($A102),'NY East Load Projections'!$A$4:$EO$14,((MONTH($A102)-1)*12)+VLOOKUP(Q$4,$DE$6:$DF$17,2)+1))*$B102</f>
        <v>-1970.7757389510023</v>
      </c>
      <c r="R102" s="1021">
        <f>(VLOOKUP(YEAR($A102),'NY East Load Projections'!$A$4:$EO$14,((MONTH($A102)-1)*12)+VLOOKUP(R$4,$DE$6:$DF$17,2)+1))*$B102</f>
        <v>-1970.7757389510023</v>
      </c>
      <c r="S102" s="1021">
        <f>(VLOOKUP(YEAR($A102),'NY East Load Projections'!$A$4:$EO$14,((MONTH($A102)-1)*12)+VLOOKUP(S$4,$DE$6:$DF$17,2)+1))*$B102</f>
        <v>-1970.7757389510023</v>
      </c>
      <c r="T102" s="1021">
        <f>(VLOOKUP(YEAR($A102),'NY East Load Projections'!$A$4:$EO$14,((MONTH($A102)-1)*12)+VLOOKUP(T$4,$DE$6:$DF$17,2)+1))*$B102</f>
        <v>-1995.0863617792165</v>
      </c>
      <c r="U102" s="1021">
        <f>(VLOOKUP(YEAR($A102),'NY East Load Projections'!$A$4:$EO$14,((MONTH($A102)-1)*12)+VLOOKUP(U$4,$DE$6:$DF$17,2)+1))*$B102</f>
        <v>-1995.0863617792165</v>
      </c>
      <c r="V102" s="1021">
        <f>(VLOOKUP(YEAR($A102),'NY East Load Projections'!$A$4:$EO$14,((MONTH($A102)-1)*12)+VLOOKUP(V$4,$DE$6:$DF$17,2)+1))*$B102</f>
        <v>-1995.0863617792165</v>
      </c>
      <c r="W102" s="1021">
        <f>(VLOOKUP(YEAR($A102),'NY East Load Projections'!$A$4:$EO$14,((MONTH($A102)-1)*12)+VLOOKUP(W$4,$DE$6:$DF$17,2)+1))*$B102</f>
        <v>-1995.0863617792165</v>
      </c>
      <c r="X102" s="1021">
        <f>(VLOOKUP(YEAR($A102),'NY East Load Projections'!$A$4:$EO$14,((MONTH($A102)-1)*12)+VLOOKUP(X$4,$DE$6:$DF$17,2)+1))*$B102</f>
        <v>-1910.3900999653454</v>
      </c>
      <c r="Y102" s="1021">
        <f>(VLOOKUP(YEAR($A102),'NY East Load Projections'!$A$4:$EO$14,((MONTH($A102)-1)*12)+VLOOKUP(Y$4,$DE$6:$DF$17,2)+1))*$B102</f>
        <v>-1910.3900999653454</v>
      </c>
      <c r="Z102" s="1021">
        <f>(VLOOKUP(YEAR($A102),'NY East Load Projections'!$A$4:$EO$14,((MONTH($A102)-1)*12)+VLOOKUP(Z$4,$DE$6:$DF$17,2)+1))*$B102</f>
        <v>-1910.3900999653454</v>
      </c>
      <c r="AA102" s="1021">
        <f>(VLOOKUP(YEAR($A102),'NY East Load Projections'!$A$4:$EO$14,((MONTH($A102)-1)*12)+VLOOKUP(AA$4,$DE$6:$DF$17,2)+1))*$B102</f>
        <v>-1910.3900999653454</v>
      </c>
      <c r="AB102" s="1021">
        <f>(VLOOKUP(YEAR($A102),'NY East Load Projections'!$A$4:$EO$14,((MONTH($A102)-1)*12)+VLOOKUP(AB$4,$DE$6:$DF$17,2)+1))*$B102</f>
        <v>-1750.8826453671252</v>
      </c>
      <c r="AC102" s="1021">
        <f>(VLOOKUP(YEAR($A102),'NY East Load Projections'!$A$4:$EO$14,((MONTH($A102)-1)*12)+VLOOKUP(AC$4,$DE$6:$DF$17,2)+1))*$B102</f>
        <v>-1750.8826453671252</v>
      </c>
      <c r="AD102" s="1021">
        <f>(VLOOKUP(YEAR($A102),'NY East Load Projections'!$A$4:$EO$14,((MONTH($A102)-1)*12)+VLOOKUP(AD$4,$DE$6:$DF$17,2)+1))*$B102</f>
        <v>-1750.8826453671252</v>
      </c>
      <c r="AE102" s="1021">
        <f>(VLOOKUP(YEAR($A102),'NY East Load Projections'!$A$4:$EO$14,((MONTH($A102)-1)*12)+VLOOKUP(AE$4,$DE$6:$DF$17,2)+1))*$B102</f>
        <v>-1750.8826453671252</v>
      </c>
      <c r="AF102" s="1021"/>
      <c r="AG102" s="1021">
        <f>(VLOOKUP(YEAR($A102),'NY East Load Projections'!$A$4:$EO$14,((MONTH($A102)-1)*12)+VLOOKUP(AG$4,$DE$6:$DF$17,2)+1))*$C102</f>
        <v>-418.23993860572523</v>
      </c>
      <c r="AH102" s="1021">
        <f>(VLOOKUP(YEAR($A102),'NY East Load Projections'!$A$4:$EO$14,((MONTH($A102)-1)*12)+VLOOKUP(AH$4,$DE$6:$DF$17,2)+1))*$C102</f>
        <v>-418.23993860572523</v>
      </c>
      <c r="AI102" s="1021">
        <f>(VLOOKUP(YEAR($A102),'NY East Load Projections'!$A$4:$EO$14,((MONTH($A102)-1)*12)+VLOOKUP(AI$4,$DE$6:$DF$17,2)+1))*$C102</f>
        <v>-418.23993860572523</v>
      </c>
      <c r="AJ102" s="1021">
        <f>(VLOOKUP(YEAR($A102),'NY East Load Projections'!$A$4:$EO$14,((MONTH($A102)-1)*12)+VLOOKUP(AJ$4,$DE$6:$DF$17,2)+1))*$C102</f>
        <v>-418.23993860572523</v>
      </c>
      <c r="AK102" s="1021">
        <f>(VLOOKUP(YEAR($A102),'NY East Load Projections'!$A$4:$EO$14,((MONTH($A102)-1)*12)+VLOOKUP(AK$4,$DE$6:$DF$17,2)+1))*$C102</f>
        <v>-429.52968889229419</v>
      </c>
      <c r="AL102" s="1021">
        <f>(VLOOKUP(YEAR($A102),'NY East Load Projections'!$A$4:$EO$14,((MONTH($A102)-1)*12)+VLOOKUP(AL$4,$DE$6:$DF$17,2)+1))*$C102</f>
        <v>-429.52968889229419</v>
      </c>
      <c r="AM102" s="1021">
        <f>(VLOOKUP(YEAR($A102),'NY East Load Projections'!$A$4:$EO$14,((MONTH($A102)-1)*12)+VLOOKUP(AM$4,$DE$6:$DF$17,2)+1))*$C102</f>
        <v>-429.52968889229419</v>
      </c>
      <c r="AN102" s="1021">
        <f>(VLOOKUP(YEAR($A102),'NY East Load Projections'!$A$4:$EO$14,((MONTH($A102)-1)*12)+VLOOKUP(AN$4,$DE$6:$DF$17,2)+1))*$C102</f>
        <v>-429.52968889229419</v>
      </c>
      <c r="AO102" s="1021">
        <f>(VLOOKUP(YEAR($A102),'NY East Load Projections'!$A$4:$EO$14,((MONTH($A102)-1)*12)+VLOOKUP(AO$4,$DE$6:$DF$17,2)+1))*$C102</f>
        <v>-462.73330516354383</v>
      </c>
      <c r="AP102" s="1021">
        <f>(VLOOKUP(YEAR($A102),'NY East Load Projections'!$A$4:$EO$14,((MONTH($A102)-1)*12)+VLOOKUP(AP$4,$DE$6:$DF$17,2)+1))*$C102</f>
        <v>-462.73330516354383</v>
      </c>
      <c r="AQ102" s="1021">
        <f>(VLOOKUP(YEAR($A102),'NY East Load Projections'!$A$4:$EO$14,((MONTH($A102)-1)*12)+VLOOKUP(AQ$4,$DE$6:$DF$17,2)+1))*$C102</f>
        <v>-462.73330516354383</v>
      </c>
      <c r="AR102" s="1021">
        <f>(VLOOKUP(YEAR($A102),'NY East Load Projections'!$A$4:$EO$14,((MONTH($A102)-1)*12)+VLOOKUP(AR$4,$DE$6:$DF$17,2)+1))*$C102</f>
        <v>-462.73330516354383</v>
      </c>
      <c r="AS102" s="1021">
        <f>(VLOOKUP(YEAR($A102),'NY East Load Projections'!$A$4:$EO$14,((MONTH($A102)-1)*12)+VLOOKUP(AS$4,$DE$6:$DF$17,2)+1))*$C102</f>
        <v>-465.63115031023762</v>
      </c>
      <c r="AT102" s="1021">
        <f>(VLOOKUP(YEAR($A102),'NY East Load Projections'!$A$4:$EO$14,((MONTH($A102)-1)*12)+VLOOKUP(AT$4,$DE$6:$DF$17,2)+1))*$C102</f>
        <v>-465.63115031023762</v>
      </c>
      <c r="AU102" s="1021">
        <f>(VLOOKUP(YEAR($A102),'NY East Load Projections'!$A$4:$EO$14,((MONTH($A102)-1)*12)+VLOOKUP(AU$4,$DE$6:$DF$17,2)+1))*$C102</f>
        <v>-465.63115031023762</v>
      </c>
      <c r="AV102" s="1021">
        <f>(VLOOKUP(YEAR($A102),'NY East Load Projections'!$A$4:$EO$14,((MONTH($A102)-1)*12)+VLOOKUP(AV$4,$DE$6:$DF$17,2)+1))*$C102</f>
        <v>-465.63115031023762</v>
      </c>
      <c r="AW102" s="1021">
        <f>(VLOOKUP(YEAR($A102),'NY East Load Projections'!$A$4:$EO$14,((MONTH($A102)-1)*12)+VLOOKUP(AW$4,$DE$6:$DF$17,2)+1))*$C102</f>
        <v>-440.37582487221914</v>
      </c>
      <c r="AX102" s="1021">
        <f>(VLOOKUP(YEAR($A102),'NY East Load Projections'!$A$4:$EO$14,((MONTH($A102)-1)*12)+VLOOKUP(AX$4,$DE$6:$DF$17,2)+1))*$C102</f>
        <v>-440.37582487221914</v>
      </c>
      <c r="AY102" s="1021">
        <f>(VLOOKUP(YEAR($A102),'NY East Load Projections'!$A$4:$EO$14,((MONTH($A102)-1)*12)+VLOOKUP(AY$4,$DE$6:$DF$17,2)+1))*$C102</f>
        <v>-440.37582487221914</v>
      </c>
      <c r="AZ102" s="1021">
        <f>(VLOOKUP(YEAR($A102),'NY East Load Projections'!$A$4:$EO$14,((MONTH($A102)-1)*12)+VLOOKUP(AZ$4,$DE$6:$DF$17,2)+1))*$C102</f>
        <v>-440.37582487221914</v>
      </c>
      <c r="BA102" s="1021">
        <f>(VLOOKUP(YEAR($A102),'NY East Load Projections'!$A$4:$EO$14,((MONTH($A102)-1)*12)+VLOOKUP(BA$4,$DE$6:$DF$17,2)+1))*$C102</f>
        <v>-422.88141624565782</v>
      </c>
      <c r="BB102" s="1021">
        <f>(VLOOKUP(YEAR($A102),'NY East Load Projections'!$A$4:$EO$14,((MONTH($A102)-1)*12)+VLOOKUP(BB$4,$DE$6:$DF$17,2)+1))*$C102</f>
        <v>-422.88141624565782</v>
      </c>
      <c r="BC102" s="1021">
        <f>(VLOOKUP(YEAR($A102),'NY East Load Projections'!$A$4:$EO$14,((MONTH($A102)-1)*12)+VLOOKUP(BC$4,$DE$6:$DF$17,2)+1))*$C102</f>
        <v>-422.88141624565782</v>
      </c>
      <c r="BD102" s="1021">
        <f>(VLOOKUP(YEAR($A102),'NY East Load Projections'!$A$4:$EO$14,((MONTH($A102)-1)*12)+VLOOKUP(BD$4,$DE$6:$DF$17,2)+1))*$C102</f>
        <v>-422.88141624565782</v>
      </c>
      <c r="BE102" s="1021"/>
      <c r="BF102" s="1021">
        <f>(VLOOKUP(YEAR($A102),'NY East Load Projections'!$A$4:$EO$14,((MONTH($A102)-1)*12)+VLOOKUP(BF$4,$DE$6:$DF$17,2)+1))*$D102</f>
        <v>-334.59195088458017</v>
      </c>
      <c r="BG102" s="1021">
        <f>(VLOOKUP(YEAR($A102),'NY East Load Projections'!$A$4:$EO$14,((MONTH($A102)-1)*12)+VLOOKUP(BG$4,$DE$6:$DF$17,2)+1))*$D102</f>
        <v>-334.59195088458017</v>
      </c>
      <c r="BH102" s="1021">
        <f>(VLOOKUP(YEAR($A102),'NY East Load Projections'!$A$4:$EO$14,((MONTH($A102)-1)*12)+VLOOKUP(BH$4,$DE$6:$DF$17,2)+1))*$D102</f>
        <v>-334.59195088458017</v>
      </c>
      <c r="BI102" s="1021">
        <f>(VLOOKUP(YEAR($A102),'NY East Load Projections'!$A$4:$EO$14,((MONTH($A102)-1)*12)+VLOOKUP(BI$4,$DE$6:$DF$17,2)+1))*$D102</f>
        <v>-334.59195088458017</v>
      </c>
      <c r="BJ102" s="1021">
        <f>(VLOOKUP(YEAR($A102),'NY East Load Projections'!$A$4:$EO$14,((MONTH($A102)-1)*12)+VLOOKUP(BJ$4,$DE$6:$DF$17,2)+1))*$D102</f>
        <v>-343.62375111383534</v>
      </c>
      <c r="BK102" s="1021">
        <f>(VLOOKUP(YEAR($A102),'NY East Load Projections'!$A$4:$EO$14,((MONTH($A102)-1)*12)+VLOOKUP(BK$4,$DE$6:$DF$17,2)+1))*$D102</f>
        <v>-343.62375111383534</v>
      </c>
      <c r="BL102" s="1021">
        <f>(VLOOKUP(YEAR($A102),'NY East Load Projections'!$A$4:$EO$14,((MONTH($A102)-1)*12)+VLOOKUP(BL$4,$DE$6:$DF$17,2)+1))*$D102</f>
        <v>-343.62375111383534</v>
      </c>
      <c r="BM102" s="1021">
        <f>(VLOOKUP(YEAR($A102),'NY East Load Projections'!$A$4:$EO$14,((MONTH($A102)-1)*12)+VLOOKUP(BM$4,$DE$6:$DF$17,2)+1))*$D102</f>
        <v>-343.62375111383534</v>
      </c>
      <c r="BN102" s="1021">
        <f>(VLOOKUP(YEAR($A102),'NY East Load Projections'!$A$4:$EO$14,((MONTH($A102)-1)*12)+VLOOKUP(BN$4,$DE$6:$DF$17,2)+1))*$D102</f>
        <v>-370.18664413083508</v>
      </c>
      <c r="BO102" s="1021">
        <f>(VLOOKUP(YEAR($A102),'NY East Load Projections'!$A$4:$EO$14,((MONTH($A102)-1)*12)+VLOOKUP(BO$4,$DE$6:$DF$17,2)+1))*$D102</f>
        <v>-370.18664413083508</v>
      </c>
      <c r="BP102" s="1021">
        <f>(VLOOKUP(YEAR($A102),'NY East Load Projections'!$A$4:$EO$14,((MONTH($A102)-1)*12)+VLOOKUP(BP$4,$DE$6:$DF$17,2)+1))*$D102</f>
        <v>-370.18664413083508</v>
      </c>
      <c r="BQ102" s="1021">
        <f>(VLOOKUP(YEAR($A102),'NY East Load Projections'!$A$4:$EO$14,((MONTH($A102)-1)*12)+VLOOKUP(BQ$4,$DE$6:$DF$17,2)+1))*$D102</f>
        <v>-370.18664413083508</v>
      </c>
      <c r="BR102" s="1021">
        <f>(VLOOKUP(YEAR($A102),'NY East Load Projections'!$A$4:$EO$14,((MONTH($A102)-1)*12)+VLOOKUP(BR$4,$DE$6:$DF$17,2)+1))*$D102</f>
        <v>-372.5049202481901</v>
      </c>
      <c r="BS102" s="1021">
        <f>(VLOOKUP(YEAR($A102),'NY East Load Projections'!$A$4:$EO$14,((MONTH($A102)-1)*12)+VLOOKUP(BS$4,$DE$6:$DF$17,2)+1))*$D102</f>
        <v>-372.5049202481901</v>
      </c>
      <c r="BT102" s="1021">
        <f>(VLOOKUP(YEAR($A102),'NY East Load Projections'!$A$4:$EO$14,((MONTH($A102)-1)*12)+VLOOKUP(BT$4,$DE$6:$DF$17,2)+1))*$D102</f>
        <v>-372.5049202481901</v>
      </c>
      <c r="BU102" s="1021">
        <f>(VLOOKUP(YEAR($A102),'NY East Load Projections'!$A$4:$EO$14,((MONTH($A102)-1)*12)+VLOOKUP(BU$4,$DE$6:$DF$17,2)+1))*$D102</f>
        <v>-372.5049202481901</v>
      </c>
      <c r="BV102" s="1021">
        <f>(VLOOKUP(YEAR($A102),'NY East Load Projections'!$A$4:$EO$14,((MONTH($A102)-1)*12)+VLOOKUP(BV$4,$DE$6:$DF$17,2)+1))*$D102</f>
        <v>-352.30065989777529</v>
      </c>
      <c r="BW102" s="1021">
        <f>(VLOOKUP(YEAR($A102),'NY East Load Projections'!$A$4:$EO$14,((MONTH($A102)-1)*12)+VLOOKUP(BW$4,$DE$6:$DF$17,2)+1))*$D102</f>
        <v>-352.30065989777529</v>
      </c>
      <c r="BX102" s="1021">
        <f>(VLOOKUP(YEAR($A102),'NY East Load Projections'!$A$4:$EO$14,((MONTH($A102)-1)*12)+VLOOKUP(BX$4,$DE$6:$DF$17,2)+1))*$D102</f>
        <v>-352.30065989777529</v>
      </c>
      <c r="BY102" s="1021">
        <f>(VLOOKUP(YEAR($A102),'NY East Load Projections'!$A$4:$EO$14,((MONTH($A102)-1)*12)+VLOOKUP(BY$4,$DE$6:$DF$17,2)+1))*$D102</f>
        <v>-352.30065989777529</v>
      </c>
      <c r="BZ102" s="1021">
        <f>(VLOOKUP(YEAR($A102),'NY East Load Projections'!$A$4:$EO$14,((MONTH($A102)-1)*12)+VLOOKUP(BZ$4,$DE$6:$DF$17,2)+1))*$D102</f>
        <v>-338.30513299652625</v>
      </c>
      <c r="CA102" s="1021">
        <f>(VLOOKUP(YEAR($A102),'NY East Load Projections'!$A$4:$EO$14,((MONTH($A102)-1)*12)+VLOOKUP(CA$4,$DE$6:$DF$17,2)+1))*$D102</f>
        <v>-338.30513299652625</v>
      </c>
      <c r="CB102" s="1021">
        <f>(VLOOKUP(YEAR($A102),'NY East Load Projections'!$A$4:$EO$14,((MONTH($A102)-1)*12)+VLOOKUP(CB$4,$DE$6:$DF$17,2)+1))*$D102</f>
        <v>-338.30513299652625</v>
      </c>
      <c r="CC102" s="1021">
        <f>(VLOOKUP(YEAR($A102),'NY East Load Projections'!$A$4:$EO$14,((MONTH($A102)-1)*12)+VLOOKUP(CC$4,$DE$6:$DF$17,2)+1))*$D102</f>
        <v>-338.30513299652625</v>
      </c>
      <c r="CE102" s="1021">
        <f>(VLOOKUP(YEAR($A102),'NY East Load Projections'!$A$4:$EO$14,((MONTH($A102)-1)*12)+VLOOKUP(CE$4,$DE$6:$DF$17,2)+1))*$E102</f>
        <v>-83.647987721145043</v>
      </c>
      <c r="CF102" s="1021">
        <f>(VLOOKUP(YEAR($A102),'NY East Load Projections'!$A$4:$EO$14,((MONTH($A102)-1)*12)+VLOOKUP(CF$4,$DE$6:$DF$17,2)+1))*$E102</f>
        <v>-83.647987721145043</v>
      </c>
      <c r="CG102" s="1021">
        <f>(VLOOKUP(YEAR($A102),'NY East Load Projections'!$A$4:$EO$14,((MONTH($A102)-1)*12)+VLOOKUP(CG$4,$DE$6:$DF$17,2)+1))*$E102</f>
        <v>-83.647987721145043</v>
      </c>
      <c r="CH102" s="1021">
        <f>(VLOOKUP(YEAR($A102),'NY East Load Projections'!$A$4:$EO$14,((MONTH($A102)-1)*12)+VLOOKUP(CH$4,$DE$6:$DF$17,2)+1))*$E102</f>
        <v>-83.647987721145043</v>
      </c>
      <c r="CI102" s="1021">
        <f>(VLOOKUP(YEAR($A102),'NY East Load Projections'!$A$4:$EO$14,((MONTH($A102)-1)*12)+VLOOKUP(CI$4,$DE$6:$DF$17,2)+1))*$E102</f>
        <v>-85.905937778458835</v>
      </c>
      <c r="CJ102" s="1021">
        <f>(VLOOKUP(YEAR($A102),'NY East Load Projections'!$A$4:$EO$14,((MONTH($A102)-1)*12)+VLOOKUP(CJ$4,$DE$6:$DF$17,2)+1))*$E102</f>
        <v>-85.905937778458835</v>
      </c>
      <c r="CK102" s="1021">
        <f>(VLOOKUP(YEAR($A102),'NY East Load Projections'!$A$4:$EO$14,((MONTH($A102)-1)*12)+VLOOKUP(CK$4,$DE$6:$DF$17,2)+1))*$E102</f>
        <v>-85.905937778458835</v>
      </c>
      <c r="CL102" s="1021">
        <f>(VLOOKUP(YEAR($A102),'NY East Load Projections'!$A$4:$EO$14,((MONTH($A102)-1)*12)+VLOOKUP(CL$4,$DE$6:$DF$17,2)+1))*$E102</f>
        <v>-85.905937778458835</v>
      </c>
      <c r="CM102" s="1021">
        <f>(VLOOKUP(YEAR($A102),'NY East Load Projections'!$A$4:$EO$14,((MONTH($A102)-1)*12)+VLOOKUP(CM$4,$DE$6:$DF$17,2)+1))*$E102</f>
        <v>-92.546661032708769</v>
      </c>
      <c r="CN102" s="1021">
        <f>(VLOOKUP(YEAR($A102),'NY East Load Projections'!$A$4:$EO$14,((MONTH($A102)-1)*12)+VLOOKUP(CN$4,$DE$6:$DF$17,2)+1))*$E102</f>
        <v>-92.546661032708769</v>
      </c>
      <c r="CO102" s="1021">
        <f>(VLOOKUP(YEAR($A102),'NY East Load Projections'!$A$4:$EO$14,((MONTH($A102)-1)*12)+VLOOKUP(CO$4,$DE$6:$DF$17,2)+1))*$E102</f>
        <v>-92.546661032708769</v>
      </c>
      <c r="CP102" s="1021">
        <f>(VLOOKUP(YEAR($A102),'NY East Load Projections'!$A$4:$EO$14,((MONTH($A102)-1)*12)+VLOOKUP(CP$4,$DE$6:$DF$17,2)+1))*$E102</f>
        <v>-92.546661032708769</v>
      </c>
      <c r="CQ102" s="1021">
        <f>(VLOOKUP(YEAR($A102),'NY East Load Projections'!$A$4:$EO$14,((MONTH($A102)-1)*12)+VLOOKUP(CQ$4,$DE$6:$DF$17,2)+1))*$E102</f>
        <v>-93.126230062047526</v>
      </c>
      <c r="CR102" s="1021">
        <f>(VLOOKUP(YEAR($A102),'NY East Load Projections'!$A$4:$EO$14,((MONTH($A102)-1)*12)+VLOOKUP(CR$4,$DE$6:$DF$17,2)+1))*$E102</f>
        <v>-93.126230062047526</v>
      </c>
      <c r="CS102" s="1021">
        <f>(VLOOKUP(YEAR($A102),'NY East Load Projections'!$A$4:$EO$14,((MONTH($A102)-1)*12)+VLOOKUP(CS$4,$DE$6:$DF$17,2)+1))*$E102</f>
        <v>-93.126230062047526</v>
      </c>
      <c r="CT102" s="1021">
        <f>(VLOOKUP(YEAR($A102),'NY East Load Projections'!$A$4:$EO$14,((MONTH($A102)-1)*12)+VLOOKUP(CT$4,$DE$6:$DF$17,2)+1))*$E102</f>
        <v>-93.126230062047526</v>
      </c>
      <c r="CU102" s="1021">
        <f>(VLOOKUP(YEAR($A102),'NY East Load Projections'!$A$4:$EO$14,((MONTH($A102)-1)*12)+VLOOKUP(CU$4,$DE$6:$DF$17,2)+1))*$E102</f>
        <v>-88.075164974443823</v>
      </c>
      <c r="CV102" s="1021">
        <f>(VLOOKUP(YEAR($A102),'NY East Load Projections'!$A$4:$EO$14,((MONTH($A102)-1)*12)+VLOOKUP(CV$4,$DE$6:$DF$17,2)+1))*$E102</f>
        <v>-88.075164974443823</v>
      </c>
      <c r="CW102" s="1021">
        <f>(VLOOKUP(YEAR($A102),'NY East Load Projections'!$A$4:$EO$14,((MONTH($A102)-1)*12)+VLOOKUP(CW$4,$DE$6:$DF$17,2)+1))*$E102</f>
        <v>-88.075164974443823</v>
      </c>
      <c r="CX102" s="1021">
        <f>(VLOOKUP(YEAR($A102),'NY East Load Projections'!$A$4:$EO$14,((MONTH($A102)-1)*12)+VLOOKUP(CX$4,$DE$6:$DF$17,2)+1))*$E102</f>
        <v>-88.075164974443823</v>
      </c>
      <c r="CY102" s="1021">
        <f>(VLOOKUP(YEAR($A102),'NY East Load Projections'!$A$4:$EO$14,((MONTH($A102)-1)*12)+VLOOKUP(CY$4,$DE$6:$DF$17,2)+1))*$E102</f>
        <v>-84.576283249131563</v>
      </c>
      <c r="CZ102" s="1021">
        <f>(VLOOKUP(YEAR($A102),'NY East Load Projections'!$A$4:$EO$14,((MONTH($A102)-1)*12)+VLOOKUP(CZ$4,$DE$6:$DF$17,2)+1))*$E102</f>
        <v>-84.576283249131563</v>
      </c>
      <c r="DA102" s="1021">
        <f>(VLOOKUP(YEAR($A102),'NY East Load Projections'!$A$4:$EO$14,((MONTH($A102)-1)*12)+VLOOKUP(DA$4,$DE$6:$DF$17,2)+1))*$E102</f>
        <v>-84.576283249131563</v>
      </c>
      <c r="DB102" s="1021">
        <f>(VLOOKUP(YEAR($A102),'NY East Load Projections'!$A$4:$EO$14,((MONTH($A102)-1)*12)+VLOOKUP(DB$4,$DE$6:$DF$17,2)+1))*$E102</f>
        <v>-84.576283249131563</v>
      </c>
      <c r="DH102" s="1009">
        <f t="shared" ref="DH102:DH125" si="5">SUM(H102:DB102)</f>
        <v>-65755.749905839912</v>
      </c>
      <c r="DI102">
        <f ca="1">CALC!J122</f>
        <v>0.52106058799387756</v>
      </c>
      <c r="DJ102" s="1032">
        <f t="shared" ca="1" si="4"/>
        <v>-34262.7297099153</v>
      </c>
    </row>
    <row r="103" spans="1:114" x14ac:dyDescent="0.25">
      <c r="A103" s="244">
        <v>39845</v>
      </c>
      <c r="B103" s="13">
        <v>20</v>
      </c>
      <c r="C103" s="210">
        <v>4</v>
      </c>
      <c r="D103" s="210">
        <v>4</v>
      </c>
      <c r="E103" s="210">
        <v>0</v>
      </c>
      <c r="F103" s="13">
        <v>28</v>
      </c>
      <c r="H103" s="1021">
        <f>(VLOOKUP(YEAR($A103),'NY East Load Projections'!$A$4:$EO$14,((MONTH($A103)-1)*12)+VLOOKUP(H$4,$DE$6:$DF$17,2)+1))*$B103</f>
        <v>-1567.0057899494477</v>
      </c>
      <c r="I103" s="1021">
        <f>(VLOOKUP(YEAR($A103),'NY East Load Projections'!$A$4:$EO$14,((MONTH($A103)-1)*12)+VLOOKUP(I$4,$DE$6:$DF$17,2)+1))*$B103</f>
        <v>-1567.0057899494477</v>
      </c>
      <c r="J103" s="1021">
        <f>(VLOOKUP(YEAR($A103),'NY East Load Projections'!$A$4:$EO$14,((MONTH($A103)-1)*12)+VLOOKUP(J$4,$DE$6:$DF$17,2)+1))*$B103</f>
        <v>-1567.0057899494477</v>
      </c>
      <c r="K103" s="1021">
        <f>(VLOOKUP(YEAR($A103),'NY East Load Projections'!$A$4:$EO$14,((MONTH($A103)-1)*12)+VLOOKUP(K$4,$DE$6:$DF$17,2)+1))*$B103</f>
        <v>-1567.0057899494477</v>
      </c>
      <c r="L103" s="1021">
        <f>(VLOOKUP(YEAR($A103),'NY East Load Projections'!$A$4:$EO$14,((MONTH($A103)-1)*12)+VLOOKUP(L$4,$DE$6:$DF$17,2)+1))*$B103</f>
        <v>-1719.0975791978119</v>
      </c>
      <c r="M103" s="1021">
        <f>(VLOOKUP(YEAR($A103),'NY East Load Projections'!$A$4:$EO$14,((MONTH($A103)-1)*12)+VLOOKUP(M$4,$DE$6:$DF$17,2)+1))*$B103</f>
        <v>-1719.0975791978119</v>
      </c>
      <c r="N103" s="1021">
        <f>(VLOOKUP(YEAR($A103),'NY East Load Projections'!$A$4:$EO$14,((MONTH($A103)-1)*12)+VLOOKUP(N$4,$DE$6:$DF$17,2)+1))*$B103</f>
        <v>-1719.0975791978119</v>
      </c>
      <c r="O103" s="1021">
        <f>(VLOOKUP(YEAR($A103),'NY East Load Projections'!$A$4:$EO$14,((MONTH($A103)-1)*12)+VLOOKUP(O$4,$DE$6:$DF$17,2)+1))*$B103</f>
        <v>-1719.0975791978119</v>
      </c>
      <c r="P103" s="1021">
        <f>(VLOOKUP(YEAR($A103),'NY East Load Projections'!$A$4:$EO$14,((MONTH($A103)-1)*12)+VLOOKUP(P$4,$DE$6:$DF$17,2)+1))*$B103</f>
        <v>-1824.6629814708081</v>
      </c>
      <c r="Q103" s="1021">
        <f>(VLOOKUP(YEAR($A103),'NY East Load Projections'!$A$4:$EO$14,((MONTH($A103)-1)*12)+VLOOKUP(Q$4,$DE$6:$DF$17,2)+1))*$B103</f>
        <v>-1824.6629814708081</v>
      </c>
      <c r="R103" s="1021">
        <f>(VLOOKUP(YEAR($A103),'NY East Load Projections'!$A$4:$EO$14,((MONTH($A103)-1)*12)+VLOOKUP(R$4,$DE$6:$DF$17,2)+1))*$B103</f>
        <v>-1824.6629814708081</v>
      </c>
      <c r="S103" s="1021">
        <f>(VLOOKUP(YEAR($A103),'NY East Load Projections'!$A$4:$EO$14,((MONTH($A103)-1)*12)+VLOOKUP(S$4,$DE$6:$DF$17,2)+1))*$B103</f>
        <v>-1824.6629814708081</v>
      </c>
      <c r="T103" s="1021">
        <f>(VLOOKUP(YEAR($A103),'NY East Load Projections'!$A$4:$EO$14,((MONTH($A103)-1)*12)+VLOOKUP(T$4,$DE$6:$DF$17,2)+1))*$B103</f>
        <v>-1842.9329304137996</v>
      </c>
      <c r="U103" s="1021">
        <f>(VLOOKUP(YEAR($A103),'NY East Load Projections'!$A$4:$EO$14,((MONTH($A103)-1)*12)+VLOOKUP(U$4,$DE$6:$DF$17,2)+1))*$B103</f>
        <v>-1842.9329304137996</v>
      </c>
      <c r="V103" s="1021">
        <f>(VLOOKUP(YEAR($A103),'NY East Load Projections'!$A$4:$EO$14,((MONTH($A103)-1)*12)+VLOOKUP(V$4,$DE$6:$DF$17,2)+1))*$B103</f>
        <v>-1842.9329304137996</v>
      </c>
      <c r="W103" s="1021">
        <f>(VLOOKUP(YEAR($A103),'NY East Load Projections'!$A$4:$EO$14,((MONTH($A103)-1)*12)+VLOOKUP(W$4,$DE$6:$DF$17,2)+1))*$B103</f>
        <v>-1842.9329304137996</v>
      </c>
      <c r="X103" s="1021">
        <f>(VLOOKUP(YEAR($A103),'NY East Load Projections'!$A$4:$EO$14,((MONTH($A103)-1)*12)+VLOOKUP(X$4,$DE$6:$DF$17,2)+1))*$B103</f>
        <v>-1766.7888822663217</v>
      </c>
      <c r="Y103" s="1021">
        <f>(VLOOKUP(YEAR($A103),'NY East Load Projections'!$A$4:$EO$14,((MONTH($A103)-1)*12)+VLOOKUP(Y$4,$DE$6:$DF$17,2)+1))*$B103</f>
        <v>-1766.7888822663217</v>
      </c>
      <c r="Z103" s="1021">
        <f>(VLOOKUP(YEAR($A103),'NY East Load Projections'!$A$4:$EO$14,((MONTH($A103)-1)*12)+VLOOKUP(Z$4,$DE$6:$DF$17,2)+1))*$B103</f>
        <v>-1766.7888822663217</v>
      </c>
      <c r="AA103" s="1021">
        <f>(VLOOKUP(YEAR($A103),'NY East Load Projections'!$A$4:$EO$14,((MONTH($A103)-1)*12)+VLOOKUP(AA$4,$DE$6:$DF$17,2)+1))*$B103</f>
        <v>-1766.7888822663217</v>
      </c>
      <c r="AB103" s="1021">
        <f>(VLOOKUP(YEAR($A103),'NY East Load Projections'!$A$4:$EO$14,((MONTH($A103)-1)*12)+VLOOKUP(AB$4,$DE$6:$DF$17,2)+1))*$B103</f>
        <v>-1620.0134067287579</v>
      </c>
      <c r="AC103" s="1021">
        <f>(VLOOKUP(YEAR($A103),'NY East Load Projections'!$A$4:$EO$14,((MONTH($A103)-1)*12)+VLOOKUP(AC$4,$DE$6:$DF$17,2)+1))*$B103</f>
        <v>-1620.0134067287579</v>
      </c>
      <c r="AD103" s="1021">
        <f>(VLOOKUP(YEAR($A103),'NY East Load Projections'!$A$4:$EO$14,((MONTH($A103)-1)*12)+VLOOKUP(AD$4,$DE$6:$DF$17,2)+1))*$B103</f>
        <v>-1620.0134067287579</v>
      </c>
      <c r="AE103" s="1021">
        <f>(VLOOKUP(YEAR($A103),'NY East Load Projections'!$A$4:$EO$14,((MONTH($A103)-1)*12)+VLOOKUP(AE$4,$DE$6:$DF$17,2)+1))*$B103</f>
        <v>-1620.0134067287579</v>
      </c>
      <c r="AF103" s="1021"/>
      <c r="AG103" s="1021">
        <f>(VLOOKUP(YEAR($A103),'NY East Load Projections'!$A$4:$EO$14,((MONTH($A103)-1)*12)+VLOOKUP(AG$4,$DE$6:$DF$17,2)+1))*$C103</f>
        <v>-330.38764177371399</v>
      </c>
      <c r="AH103" s="1021">
        <f>(VLOOKUP(YEAR($A103),'NY East Load Projections'!$A$4:$EO$14,((MONTH($A103)-1)*12)+VLOOKUP(AH$4,$DE$6:$DF$17,2)+1))*$C103</f>
        <v>-330.38764177371399</v>
      </c>
      <c r="AI103" s="1021">
        <f>(VLOOKUP(YEAR($A103),'NY East Load Projections'!$A$4:$EO$14,((MONTH($A103)-1)*12)+VLOOKUP(AI$4,$DE$6:$DF$17,2)+1))*$C103</f>
        <v>-330.38764177371399</v>
      </c>
      <c r="AJ103" s="1021">
        <f>(VLOOKUP(YEAR($A103),'NY East Load Projections'!$A$4:$EO$14,((MONTH($A103)-1)*12)+VLOOKUP(AJ$4,$DE$6:$DF$17,2)+1))*$C103</f>
        <v>-330.38764177371399</v>
      </c>
      <c r="AK103" s="1021">
        <f>(VLOOKUP(YEAR($A103),'NY East Load Projections'!$A$4:$EO$14,((MONTH($A103)-1)*12)+VLOOKUP(AK$4,$DE$6:$DF$17,2)+1))*$C103</f>
        <v>-336.63814635283586</v>
      </c>
      <c r="AL103" s="1021">
        <f>(VLOOKUP(YEAR($A103),'NY East Load Projections'!$A$4:$EO$14,((MONTH($A103)-1)*12)+VLOOKUP(AL$4,$DE$6:$DF$17,2)+1))*$C103</f>
        <v>-336.63814635283586</v>
      </c>
      <c r="AM103" s="1021">
        <f>(VLOOKUP(YEAR($A103),'NY East Load Projections'!$A$4:$EO$14,((MONTH($A103)-1)*12)+VLOOKUP(AM$4,$DE$6:$DF$17,2)+1))*$C103</f>
        <v>-336.63814635283586</v>
      </c>
      <c r="AN103" s="1021">
        <f>(VLOOKUP(YEAR($A103),'NY East Load Projections'!$A$4:$EO$14,((MONTH($A103)-1)*12)+VLOOKUP(AN$4,$DE$6:$DF$17,2)+1))*$C103</f>
        <v>-336.63814635283586</v>
      </c>
      <c r="AO103" s="1021">
        <f>(VLOOKUP(YEAR($A103),'NY East Load Projections'!$A$4:$EO$14,((MONTH($A103)-1)*12)+VLOOKUP(AO$4,$DE$6:$DF$17,2)+1))*$C103</f>
        <v>-361.49350193783062</v>
      </c>
      <c r="AP103" s="1021">
        <f>(VLOOKUP(YEAR($A103),'NY East Load Projections'!$A$4:$EO$14,((MONTH($A103)-1)*12)+VLOOKUP(AP$4,$DE$6:$DF$17,2)+1))*$C103</f>
        <v>-361.49350193783062</v>
      </c>
      <c r="AQ103" s="1021">
        <f>(VLOOKUP(YEAR($A103),'NY East Load Projections'!$A$4:$EO$14,((MONTH($A103)-1)*12)+VLOOKUP(AQ$4,$DE$6:$DF$17,2)+1))*$C103</f>
        <v>-361.49350193783062</v>
      </c>
      <c r="AR103" s="1021">
        <f>(VLOOKUP(YEAR($A103),'NY East Load Projections'!$A$4:$EO$14,((MONTH($A103)-1)*12)+VLOOKUP(AR$4,$DE$6:$DF$17,2)+1))*$C103</f>
        <v>-361.49350193783062</v>
      </c>
      <c r="AS103" s="1021">
        <f>(VLOOKUP(YEAR($A103),'NY East Load Projections'!$A$4:$EO$14,((MONTH($A103)-1)*12)+VLOOKUP(AS$4,$DE$6:$DF$17,2)+1))*$C103</f>
        <v>-363.1436613522153</v>
      </c>
      <c r="AT103" s="1021">
        <f>(VLOOKUP(YEAR($A103),'NY East Load Projections'!$A$4:$EO$14,((MONTH($A103)-1)*12)+VLOOKUP(AT$4,$DE$6:$DF$17,2)+1))*$C103</f>
        <v>-363.1436613522153</v>
      </c>
      <c r="AU103" s="1021">
        <f>(VLOOKUP(YEAR($A103),'NY East Load Projections'!$A$4:$EO$14,((MONTH($A103)-1)*12)+VLOOKUP(AU$4,$DE$6:$DF$17,2)+1))*$C103</f>
        <v>-363.1436613522153</v>
      </c>
      <c r="AV103" s="1021">
        <f>(VLOOKUP(YEAR($A103),'NY East Load Projections'!$A$4:$EO$14,((MONTH($A103)-1)*12)+VLOOKUP(AV$4,$DE$6:$DF$17,2)+1))*$C103</f>
        <v>-363.1436613522153</v>
      </c>
      <c r="AW103" s="1021">
        <f>(VLOOKUP(YEAR($A103),'NY East Load Projections'!$A$4:$EO$14,((MONTH($A103)-1)*12)+VLOOKUP(AW$4,$DE$6:$DF$17,2)+1))*$C103</f>
        <v>-345.65160259192083</v>
      </c>
      <c r="AX103" s="1021">
        <f>(VLOOKUP(YEAR($A103),'NY East Load Projections'!$A$4:$EO$14,((MONTH($A103)-1)*12)+VLOOKUP(AX$4,$DE$6:$DF$17,2)+1))*$C103</f>
        <v>-345.65160259192083</v>
      </c>
      <c r="AY103" s="1021">
        <f>(VLOOKUP(YEAR($A103),'NY East Load Projections'!$A$4:$EO$14,((MONTH($A103)-1)*12)+VLOOKUP(AY$4,$DE$6:$DF$17,2)+1))*$C103</f>
        <v>-345.65160259192083</v>
      </c>
      <c r="AZ103" s="1021">
        <f>(VLOOKUP(YEAR($A103),'NY East Load Projections'!$A$4:$EO$14,((MONTH($A103)-1)*12)+VLOOKUP(AZ$4,$DE$6:$DF$17,2)+1))*$C103</f>
        <v>-345.65160259192083</v>
      </c>
      <c r="BA103" s="1021">
        <f>(VLOOKUP(YEAR($A103),'NY East Load Projections'!$A$4:$EO$14,((MONTH($A103)-1)*12)+VLOOKUP(BA$4,$DE$6:$DF$17,2)+1))*$C103</f>
        <v>-333.6641156915793</v>
      </c>
      <c r="BB103" s="1021">
        <f>(VLOOKUP(YEAR($A103),'NY East Load Projections'!$A$4:$EO$14,((MONTH($A103)-1)*12)+VLOOKUP(BB$4,$DE$6:$DF$17,2)+1))*$C103</f>
        <v>-333.6641156915793</v>
      </c>
      <c r="BC103" s="1021">
        <f>(VLOOKUP(YEAR($A103),'NY East Load Projections'!$A$4:$EO$14,((MONTH($A103)-1)*12)+VLOOKUP(BC$4,$DE$6:$DF$17,2)+1))*$C103</f>
        <v>-333.6641156915793</v>
      </c>
      <c r="BD103" s="1021">
        <f>(VLOOKUP(YEAR($A103),'NY East Load Projections'!$A$4:$EO$14,((MONTH($A103)-1)*12)+VLOOKUP(BD$4,$DE$6:$DF$17,2)+1))*$C103</f>
        <v>-333.6641156915793</v>
      </c>
      <c r="BE103" s="1021"/>
      <c r="BF103" s="1021">
        <f>(VLOOKUP(YEAR($A103),'NY East Load Projections'!$A$4:$EO$14,((MONTH($A103)-1)*12)+VLOOKUP(BF$4,$DE$6:$DF$17,2)+1))*$D103</f>
        <v>-330.38764177371399</v>
      </c>
      <c r="BG103" s="1021">
        <f>(VLOOKUP(YEAR($A103),'NY East Load Projections'!$A$4:$EO$14,((MONTH($A103)-1)*12)+VLOOKUP(BG$4,$DE$6:$DF$17,2)+1))*$D103</f>
        <v>-330.38764177371399</v>
      </c>
      <c r="BH103" s="1021">
        <f>(VLOOKUP(YEAR($A103),'NY East Load Projections'!$A$4:$EO$14,((MONTH($A103)-1)*12)+VLOOKUP(BH$4,$DE$6:$DF$17,2)+1))*$D103</f>
        <v>-330.38764177371399</v>
      </c>
      <c r="BI103" s="1021">
        <f>(VLOOKUP(YEAR($A103),'NY East Load Projections'!$A$4:$EO$14,((MONTH($A103)-1)*12)+VLOOKUP(BI$4,$DE$6:$DF$17,2)+1))*$D103</f>
        <v>-330.38764177371399</v>
      </c>
      <c r="BJ103" s="1021">
        <f>(VLOOKUP(YEAR($A103),'NY East Load Projections'!$A$4:$EO$14,((MONTH($A103)-1)*12)+VLOOKUP(BJ$4,$DE$6:$DF$17,2)+1))*$D103</f>
        <v>-336.63814635283586</v>
      </c>
      <c r="BK103" s="1021">
        <f>(VLOOKUP(YEAR($A103),'NY East Load Projections'!$A$4:$EO$14,((MONTH($A103)-1)*12)+VLOOKUP(BK$4,$DE$6:$DF$17,2)+1))*$D103</f>
        <v>-336.63814635283586</v>
      </c>
      <c r="BL103" s="1021">
        <f>(VLOOKUP(YEAR($A103),'NY East Load Projections'!$A$4:$EO$14,((MONTH($A103)-1)*12)+VLOOKUP(BL$4,$DE$6:$DF$17,2)+1))*$D103</f>
        <v>-336.63814635283586</v>
      </c>
      <c r="BM103" s="1021">
        <f>(VLOOKUP(YEAR($A103),'NY East Load Projections'!$A$4:$EO$14,((MONTH($A103)-1)*12)+VLOOKUP(BM$4,$DE$6:$DF$17,2)+1))*$D103</f>
        <v>-336.63814635283586</v>
      </c>
      <c r="BN103" s="1021">
        <f>(VLOOKUP(YEAR($A103),'NY East Load Projections'!$A$4:$EO$14,((MONTH($A103)-1)*12)+VLOOKUP(BN$4,$DE$6:$DF$17,2)+1))*$D103</f>
        <v>-361.49350193783062</v>
      </c>
      <c r="BO103" s="1021">
        <f>(VLOOKUP(YEAR($A103),'NY East Load Projections'!$A$4:$EO$14,((MONTH($A103)-1)*12)+VLOOKUP(BO$4,$DE$6:$DF$17,2)+1))*$D103</f>
        <v>-361.49350193783062</v>
      </c>
      <c r="BP103" s="1021">
        <f>(VLOOKUP(YEAR($A103),'NY East Load Projections'!$A$4:$EO$14,((MONTH($A103)-1)*12)+VLOOKUP(BP$4,$DE$6:$DF$17,2)+1))*$D103</f>
        <v>-361.49350193783062</v>
      </c>
      <c r="BQ103" s="1021">
        <f>(VLOOKUP(YEAR($A103),'NY East Load Projections'!$A$4:$EO$14,((MONTH($A103)-1)*12)+VLOOKUP(BQ$4,$DE$6:$DF$17,2)+1))*$D103</f>
        <v>-361.49350193783062</v>
      </c>
      <c r="BR103" s="1021">
        <f>(VLOOKUP(YEAR($A103),'NY East Load Projections'!$A$4:$EO$14,((MONTH($A103)-1)*12)+VLOOKUP(BR$4,$DE$6:$DF$17,2)+1))*$D103</f>
        <v>-363.1436613522153</v>
      </c>
      <c r="BS103" s="1021">
        <f>(VLOOKUP(YEAR($A103),'NY East Load Projections'!$A$4:$EO$14,((MONTH($A103)-1)*12)+VLOOKUP(BS$4,$DE$6:$DF$17,2)+1))*$D103</f>
        <v>-363.1436613522153</v>
      </c>
      <c r="BT103" s="1021">
        <f>(VLOOKUP(YEAR($A103),'NY East Load Projections'!$A$4:$EO$14,((MONTH($A103)-1)*12)+VLOOKUP(BT$4,$DE$6:$DF$17,2)+1))*$D103</f>
        <v>-363.1436613522153</v>
      </c>
      <c r="BU103" s="1021">
        <f>(VLOOKUP(YEAR($A103),'NY East Load Projections'!$A$4:$EO$14,((MONTH($A103)-1)*12)+VLOOKUP(BU$4,$DE$6:$DF$17,2)+1))*$D103</f>
        <v>-363.1436613522153</v>
      </c>
      <c r="BV103" s="1021">
        <f>(VLOOKUP(YEAR($A103),'NY East Load Projections'!$A$4:$EO$14,((MONTH($A103)-1)*12)+VLOOKUP(BV$4,$DE$6:$DF$17,2)+1))*$D103</f>
        <v>-345.65160259192083</v>
      </c>
      <c r="BW103" s="1021">
        <f>(VLOOKUP(YEAR($A103),'NY East Load Projections'!$A$4:$EO$14,((MONTH($A103)-1)*12)+VLOOKUP(BW$4,$DE$6:$DF$17,2)+1))*$D103</f>
        <v>-345.65160259192083</v>
      </c>
      <c r="BX103" s="1021">
        <f>(VLOOKUP(YEAR($A103),'NY East Load Projections'!$A$4:$EO$14,((MONTH($A103)-1)*12)+VLOOKUP(BX$4,$DE$6:$DF$17,2)+1))*$D103</f>
        <v>-345.65160259192083</v>
      </c>
      <c r="BY103" s="1021">
        <f>(VLOOKUP(YEAR($A103),'NY East Load Projections'!$A$4:$EO$14,((MONTH($A103)-1)*12)+VLOOKUP(BY$4,$DE$6:$DF$17,2)+1))*$D103</f>
        <v>-345.65160259192083</v>
      </c>
      <c r="BZ103" s="1021">
        <f>(VLOOKUP(YEAR($A103),'NY East Load Projections'!$A$4:$EO$14,((MONTH($A103)-1)*12)+VLOOKUP(BZ$4,$DE$6:$DF$17,2)+1))*$D103</f>
        <v>-333.6641156915793</v>
      </c>
      <c r="CA103" s="1021">
        <f>(VLOOKUP(YEAR($A103),'NY East Load Projections'!$A$4:$EO$14,((MONTH($A103)-1)*12)+VLOOKUP(CA$4,$DE$6:$DF$17,2)+1))*$D103</f>
        <v>-333.6641156915793</v>
      </c>
      <c r="CB103" s="1021">
        <f>(VLOOKUP(YEAR($A103),'NY East Load Projections'!$A$4:$EO$14,((MONTH($A103)-1)*12)+VLOOKUP(CB$4,$DE$6:$DF$17,2)+1))*$D103</f>
        <v>-333.6641156915793</v>
      </c>
      <c r="CC103" s="1021">
        <f>(VLOOKUP(YEAR($A103),'NY East Load Projections'!$A$4:$EO$14,((MONTH($A103)-1)*12)+VLOOKUP(CC$4,$DE$6:$DF$17,2)+1))*$D103</f>
        <v>-333.6641156915793</v>
      </c>
      <c r="CE103" s="1021">
        <f>(VLOOKUP(YEAR($A103),'NY East Load Projections'!$A$4:$EO$14,((MONTH($A103)-1)*12)+VLOOKUP(CE$4,$DE$6:$DF$17,2)+1))*$E103</f>
        <v>0</v>
      </c>
      <c r="CF103" s="1021">
        <f>(VLOOKUP(YEAR($A103),'NY East Load Projections'!$A$4:$EO$14,((MONTH($A103)-1)*12)+VLOOKUP(CF$4,$DE$6:$DF$17,2)+1))*$E103</f>
        <v>0</v>
      </c>
      <c r="CG103" s="1021">
        <f>(VLOOKUP(YEAR($A103),'NY East Load Projections'!$A$4:$EO$14,((MONTH($A103)-1)*12)+VLOOKUP(CG$4,$DE$6:$DF$17,2)+1))*$E103</f>
        <v>0</v>
      </c>
      <c r="CH103" s="1021">
        <f>(VLOOKUP(YEAR($A103),'NY East Load Projections'!$A$4:$EO$14,((MONTH($A103)-1)*12)+VLOOKUP(CH$4,$DE$6:$DF$17,2)+1))*$E103</f>
        <v>0</v>
      </c>
      <c r="CI103" s="1021">
        <f>(VLOOKUP(YEAR($A103),'NY East Load Projections'!$A$4:$EO$14,((MONTH($A103)-1)*12)+VLOOKUP(CI$4,$DE$6:$DF$17,2)+1))*$E103</f>
        <v>0</v>
      </c>
      <c r="CJ103" s="1021">
        <f>(VLOOKUP(YEAR($A103),'NY East Load Projections'!$A$4:$EO$14,((MONTH($A103)-1)*12)+VLOOKUP(CJ$4,$DE$6:$DF$17,2)+1))*$E103</f>
        <v>0</v>
      </c>
      <c r="CK103" s="1021">
        <f>(VLOOKUP(YEAR($A103),'NY East Load Projections'!$A$4:$EO$14,((MONTH($A103)-1)*12)+VLOOKUP(CK$4,$DE$6:$DF$17,2)+1))*$E103</f>
        <v>0</v>
      </c>
      <c r="CL103" s="1021">
        <f>(VLOOKUP(YEAR($A103),'NY East Load Projections'!$A$4:$EO$14,((MONTH($A103)-1)*12)+VLOOKUP(CL$4,$DE$6:$DF$17,2)+1))*$E103</f>
        <v>0</v>
      </c>
      <c r="CM103" s="1021">
        <f>(VLOOKUP(YEAR($A103),'NY East Load Projections'!$A$4:$EO$14,((MONTH($A103)-1)*12)+VLOOKUP(CM$4,$DE$6:$DF$17,2)+1))*$E103</f>
        <v>0</v>
      </c>
      <c r="CN103" s="1021">
        <f>(VLOOKUP(YEAR($A103),'NY East Load Projections'!$A$4:$EO$14,((MONTH($A103)-1)*12)+VLOOKUP(CN$4,$DE$6:$DF$17,2)+1))*$E103</f>
        <v>0</v>
      </c>
      <c r="CO103" s="1021">
        <f>(VLOOKUP(YEAR($A103),'NY East Load Projections'!$A$4:$EO$14,((MONTH($A103)-1)*12)+VLOOKUP(CO$4,$DE$6:$DF$17,2)+1))*$E103</f>
        <v>0</v>
      </c>
      <c r="CP103" s="1021">
        <f>(VLOOKUP(YEAR($A103),'NY East Load Projections'!$A$4:$EO$14,((MONTH($A103)-1)*12)+VLOOKUP(CP$4,$DE$6:$DF$17,2)+1))*$E103</f>
        <v>0</v>
      </c>
      <c r="CQ103" s="1021">
        <f>(VLOOKUP(YEAR($A103),'NY East Load Projections'!$A$4:$EO$14,((MONTH($A103)-1)*12)+VLOOKUP(CQ$4,$DE$6:$DF$17,2)+1))*$E103</f>
        <v>0</v>
      </c>
      <c r="CR103" s="1021">
        <f>(VLOOKUP(YEAR($A103),'NY East Load Projections'!$A$4:$EO$14,((MONTH($A103)-1)*12)+VLOOKUP(CR$4,$DE$6:$DF$17,2)+1))*$E103</f>
        <v>0</v>
      </c>
      <c r="CS103" s="1021">
        <f>(VLOOKUP(YEAR($A103),'NY East Load Projections'!$A$4:$EO$14,((MONTH($A103)-1)*12)+VLOOKUP(CS$4,$DE$6:$DF$17,2)+1))*$E103</f>
        <v>0</v>
      </c>
      <c r="CT103" s="1021">
        <f>(VLOOKUP(YEAR($A103),'NY East Load Projections'!$A$4:$EO$14,((MONTH($A103)-1)*12)+VLOOKUP(CT$4,$DE$6:$DF$17,2)+1))*$E103</f>
        <v>0</v>
      </c>
      <c r="CU103" s="1021">
        <f>(VLOOKUP(YEAR($A103),'NY East Load Projections'!$A$4:$EO$14,((MONTH($A103)-1)*12)+VLOOKUP(CU$4,$DE$6:$DF$17,2)+1))*$E103</f>
        <v>0</v>
      </c>
      <c r="CV103" s="1021">
        <f>(VLOOKUP(YEAR($A103),'NY East Load Projections'!$A$4:$EO$14,((MONTH($A103)-1)*12)+VLOOKUP(CV$4,$DE$6:$DF$17,2)+1))*$E103</f>
        <v>0</v>
      </c>
      <c r="CW103" s="1021">
        <f>(VLOOKUP(YEAR($A103),'NY East Load Projections'!$A$4:$EO$14,((MONTH($A103)-1)*12)+VLOOKUP(CW$4,$DE$6:$DF$17,2)+1))*$E103</f>
        <v>0</v>
      </c>
      <c r="CX103" s="1021">
        <f>(VLOOKUP(YEAR($A103),'NY East Load Projections'!$A$4:$EO$14,((MONTH($A103)-1)*12)+VLOOKUP(CX$4,$DE$6:$DF$17,2)+1))*$E103</f>
        <v>0</v>
      </c>
      <c r="CY103" s="1021">
        <f>(VLOOKUP(YEAR($A103),'NY East Load Projections'!$A$4:$EO$14,((MONTH($A103)-1)*12)+VLOOKUP(CY$4,$DE$6:$DF$17,2)+1))*$E103</f>
        <v>0</v>
      </c>
      <c r="CZ103" s="1021">
        <f>(VLOOKUP(YEAR($A103),'NY East Load Projections'!$A$4:$EO$14,((MONTH($A103)-1)*12)+VLOOKUP(CZ$4,$DE$6:$DF$17,2)+1))*$E103</f>
        <v>0</v>
      </c>
      <c r="DA103" s="1021">
        <f>(VLOOKUP(YEAR($A103),'NY East Load Projections'!$A$4:$EO$14,((MONTH($A103)-1)*12)+VLOOKUP(DA$4,$DE$6:$DF$17,2)+1))*$E103</f>
        <v>0</v>
      </c>
      <c r="DB103" s="1021">
        <f>(VLOOKUP(YEAR($A103),'NY East Load Projections'!$A$4:$EO$14,((MONTH($A103)-1)*12)+VLOOKUP(DB$4,$DE$6:$DF$17,2)+1))*$E103</f>
        <v>0</v>
      </c>
      <c r="DH103" s="1009">
        <f t="shared" si="5"/>
        <v>-57929.835637708566</v>
      </c>
      <c r="DI103">
        <f ca="1">CALC!J123</f>
        <v>0.5180972415705154</v>
      </c>
      <c r="DJ103" s="1032">
        <f t="shared" ca="1" si="4"/>
        <v>-30013.288048530147</v>
      </c>
    </row>
    <row r="104" spans="1:114" x14ac:dyDescent="0.25">
      <c r="A104" s="244">
        <v>39873</v>
      </c>
      <c r="B104" s="13">
        <v>22</v>
      </c>
      <c r="C104" s="210">
        <v>4</v>
      </c>
      <c r="D104" s="210">
        <v>5</v>
      </c>
      <c r="E104" s="210">
        <v>0</v>
      </c>
      <c r="F104" s="13">
        <v>31</v>
      </c>
      <c r="H104" s="1021">
        <f>(VLOOKUP(YEAR($A104),'NY East Load Projections'!$A$4:$EO$14,((MONTH($A104)-1)*12)+VLOOKUP(H$4,$DE$6:$DF$17,2)+1))*$B104</f>
        <v>-1642.9892207912474</v>
      </c>
      <c r="I104" s="1021">
        <f>(VLOOKUP(YEAR($A104),'NY East Load Projections'!$A$4:$EO$14,((MONTH($A104)-1)*12)+VLOOKUP(I$4,$DE$6:$DF$17,2)+1))*$B104</f>
        <v>-1642.9892207912474</v>
      </c>
      <c r="J104" s="1021">
        <f>(VLOOKUP(YEAR($A104),'NY East Load Projections'!$A$4:$EO$14,((MONTH($A104)-1)*12)+VLOOKUP(J$4,$DE$6:$DF$17,2)+1))*$B104</f>
        <v>-1642.9892207912474</v>
      </c>
      <c r="K104" s="1021">
        <f>(VLOOKUP(YEAR($A104),'NY East Load Projections'!$A$4:$EO$14,((MONTH($A104)-1)*12)+VLOOKUP(K$4,$DE$6:$DF$17,2)+1))*$B104</f>
        <v>-1642.9892207912474</v>
      </c>
      <c r="L104" s="1021">
        <f>(VLOOKUP(YEAR($A104),'NY East Load Projections'!$A$4:$EO$14,((MONTH($A104)-1)*12)+VLOOKUP(L$4,$DE$6:$DF$17,2)+1))*$B104</f>
        <v>-1790.2296041449786</v>
      </c>
      <c r="M104" s="1021">
        <f>(VLOOKUP(YEAR($A104),'NY East Load Projections'!$A$4:$EO$14,((MONTH($A104)-1)*12)+VLOOKUP(M$4,$DE$6:$DF$17,2)+1))*$B104</f>
        <v>-1790.2296041449786</v>
      </c>
      <c r="N104" s="1021">
        <f>(VLOOKUP(YEAR($A104),'NY East Load Projections'!$A$4:$EO$14,((MONTH($A104)-1)*12)+VLOOKUP(N$4,$DE$6:$DF$17,2)+1))*$B104</f>
        <v>-1790.2296041449786</v>
      </c>
      <c r="O104" s="1021">
        <f>(VLOOKUP(YEAR($A104),'NY East Load Projections'!$A$4:$EO$14,((MONTH($A104)-1)*12)+VLOOKUP(O$4,$DE$6:$DF$17,2)+1))*$B104</f>
        <v>-1790.2296041449786</v>
      </c>
      <c r="P104" s="1021">
        <f>(VLOOKUP(YEAR($A104),'NY East Load Projections'!$A$4:$EO$14,((MONTH($A104)-1)*12)+VLOOKUP(P$4,$DE$6:$DF$17,2)+1))*$B104</f>
        <v>-1930.7328991524071</v>
      </c>
      <c r="Q104" s="1021">
        <f>(VLOOKUP(YEAR($A104),'NY East Load Projections'!$A$4:$EO$14,((MONTH($A104)-1)*12)+VLOOKUP(Q$4,$DE$6:$DF$17,2)+1))*$B104</f>
        <v>-1930.7328991524071</v>
      </c>
      <c r="R104" s="1021">
        <f>(VLOOKUP(YEAR($A104),'NY East Load Projections'!$A$4:$EO$14,((MONTH($A104)-1)*12)+VLOOKUP(R$4,$DE$6:$DF$17,2)+1))*$B104</f>
        <v>-1930.7328991524071</v>
      </c>
      <c r="S104" s="1021">
        <f>(VLOOKUP(YEAR($A104),'NY East Load Projections'!$A$4:$EO$14,((MONTH($A104)-1)*12)+VLOOKUP(S$4,$DE$6:$DF$17,2)+1))*$B104</f>
        <v>-1930.7328991524071</v>
      </c>
      <c r="T104" s="1021">
        <f>(VLOOKUP(YEAR($A104),'NY East Load Projections'!$A$4:$EO$14,((MONTH($A104)-1)*12)+VLOOKUP(T$4,$DE$6:$DF$17,2)+1))*$B104</f>
        <v>-1989.1390372290507</v>
      </c>
      <c r="U104" s="1021">
        <f>(VLOOKUP(YEAR($A104),'NY East Load Projections'!$A$4:$EO$14,((MONTH($A104)-1)*12)+VLOOKUP(U$4,$DE$6:$DF$17,2)+1))*$B104</f>
        <v>-1989.1390372290507</v>
      </c>
      <c r="V104" s="1021">
        <f>(VLOOKUP(YEAR($A104),'NY East Load Projections'!$A$4:$EO$14,((MONTH($A104)-1)*12)+VLOOKUP(V$4,$DE$6:$DF$17,2)+1))*$B104</f>
        <v>-1989.1390372290507</v>
      </c>
      <c r="W104" s="1021">
        <f>(VLOOKUP(YEAR($A104),'NY East Load Projections'!$A$4:$EO$14,((MONTH($A104)-1)*12)+VLOOKUP(W$4,$DE$6:$DF$17,2)+1))*$B104</f>
        <v>-1989.1390372290507</v>
      </c>
      <c r="X104" s="1021">
        <f>(VLOOKUP(YEAR($A104),'NY East Load Projections'!$A$4:$EO$14,((MONTH($A104)-1)*12)+VLOOKUP(X$4,$DE$6:$DF$17,2)+1))*$B104</f>
        <v>-1910.7184950021533</v>
      </c>
      <c r="Y104" s="1021">
        <f>(VLOOKUP(YEAR($A104),'NY East Load Projections'!$A$4:$EO$14,((MONTH($A104)-1)*12)+VLOOKUP(Y$4,$DE$6:$DF$17,2)+1))*$B104</f>
        <v>-1910.7184950021533</v>
      </c>
      <c r="Z104" s="1021">
        <f>(VLOOKUP(YEAR($A104),'NY East Load Projections'!$A$4:$EO$14,((MONTH($A104)-1)*12)+VLOOKUP(Z$4,$DE$6:$DF$17,2)+1))*$B104</f>
        <v>-1910.7184950021533</v>
      </c>
      <c r="AA104" s="1021">
        <f>(VLOOKUP(YEAR($A104),'NY East Load Projections'!$A$4:$EO$14,((MONTH($A104)-1)*12)+VLOOKUP(AA$4,$DE$6:$DF$17,2)+1))*$B104</f>
        <v>-1910.7184950021533</v>
      </c>
      <c r="AB104" s="1021">
        <f>(VLOOKUP(YEAR($A104),'NY East Load Projections'!$A$4:$EO$14,((MONTH($A104)-1)*12)+VLOOKUP(AB$4,$DE$6:$DF$17,2)+1))*$B104</f>
        <v>-1747.2737681625365</v>
      </c>
      <c r="AC104" s="1021">
        <f>(VLOOKUP(YEAR($A104),'NY East Load Projections'!$A$4:$EO$14,((MONTH($A104)-1)*12)+VLOOKUP(AC$4,$DE$6:$DF$17,2)+1))*$B104</f>
        <v>-1747.2737681625365</v>
      </c>
      <c r="AD104" s="1021">
        <f>(VLOOKUP(YEAR($A104),'NY East Load Projections'!$A$4:$EO$14,((MONTH($A104)-1)*12)+VLOOKUP(AD$4,$DE$6:$DF$17,2)+1))*$B104</f>
        <v>-1747.2737681625365</v>
      </c>
      <c r="AE104" s="1021">
        <f>(VLOOKUP(YEAR($A104),'NY East Load Projections'!$A$4:$EO$14,((MONTH($A104)-1)*12)+VLOOKUP(AE$4,$DE$6:$DF$17,2)+1))*$B104</f>
        <v>-1747.2737681625365</v>
      </c>
      <c r="AF104" s="1021"/>
      <c r="AG104" s="1021">
        <f>(VLOOKUP(YEAR($A104),'NY East Load Projections'!$A$4:$EO$14,((MONTH($A104)-1)*12)+VLOOKUP(AG$4,$DE$6:$DF$17,2)+1))*$C104</f>
        <v>-330.04911361461808</v>
      </c>
      <c r="AH104" s="1021">
        <f>(VLOOKUP(YEAR($A104),'NY East Load Projections'!$A$4:$EO$14,((MONTH($A104)-1)*12)+VLOOKUP(AH$4,$DE$6:$DF$17,2)+1))*$C104</f>
        <v>-330.04911361461808</v>
      </c>
      <c r="AI104" s="1021">
        <f>(VLOOKUP(YEAR($A104),'NY East Load Projections'!$A$4:$EO$14,((MONTH($A104)-1)*12)+VLOOKUP(AI$4,$DE$6:$DF$17,2)+1))*$C104</f>
        <v>-330.04911361461808</v>
      </c>
      <c r="AJ104" s="1021">
        <f>(VLOOKUP(YEAR($A104),'NY East Load Projections'!$A$4:$EO$14,((MONTH($A104)-1)*12)+VLOOKUP(AJ$4,$DE$6:$DF$17,2)+1))*$C104</f>
        <v>-330.04911361461808</v>
      </c>
      <c r="AK104" s="1021">
        <f>(VLOOKUP(YEAR($A104),'NY East Load Projections'!$A$4:$EO$14,((MONTH($A104)-1)*12)+VLOOKUP(AK$4,$DE$6:$DF$17,2)+1))*$C104</f>
        <v>-334.14454327380037</v>
      </c>
      <c r="AL104" s="1021">
        <f>(VLOOKUP(YEAR($A104),'NY East Load Projections'!$A$4:$EO$14,((MONTH($A104)-1)*12)+VLOOKUP(AL$4,$DE$6:$DF$17,2)+1))*$C104</f>
        <v>-334.14454327380037</v>
      </c>
      <c r="AM104" s="1021">
        <f>(VLOOKUP(YEAR($A104),'NY East Load Projections'!$A$4:$EO$14,((MONTH($A104)-1)*12)+VLOOKUP(AM$4,$DE$6:$DF$17,2)+1))*$C104</f>
        <v>-334.14454327380037</v>
      </c>
      <c r="AN104" s="1021">
        <f>(VLOOKUP(YEAR($A104),'NY East Load Projections'!$A$4:$EO$14,((MONTH($A104)-1)*12)+VLOOKUP(AN$4,$DE$6:$DF$17,2)+1))*$C104</f>
        <v>-334.14454327380037</v>
      </c>
      <c r="AO104" s="1021">
        <f>(VLOOKUP(YEAR($A104),'NY East Load Projections'!$A$4:$EO$14,((MONTH($A104)-1)*12)+VLOOKUP(AO$4,$DE$6:$DF$17,2)+1))*$C104</f>
        <v>-358.36967363760664</v>
      </c>
      <c r="AP104" s="1021">
        <f>(VLOOKUP(YEAR($A104),'NY East Load Projections'!$A$4:$EO$14,((MONTH($A104)-1)*12)+VLOOKUP(AP$4,$DE$6:$DF$17,2)+1))*$C104</f>
        <v>-358.36967363760664</v>
      </c>
      <c r="AQ104" s="1021">
        <f>(VLOOKUP(YEAR($A104),'NY East Load Projections'!$A$4:$EO$14,((MONTH($A104)-1)*12)+VLOOKUP(AQ$4,$DE$6:$DF$17,2)+1))*$C104</f>
        <v>-358.36967363760664</v>
      </c>
      <c r="AR104" s="1021">
        <f>(VLOOKUP(YEAR($A104),'NY East Load Projections'!$A$4:$EO$14,((MONTH($A104)-1)*12)+VLOOKUP(AR$4,$DE$6:$DF$17,2)+1))*$C104</f>
        <v>-358.36967363760664</v>
      </c>
      <c r="AS104" s="1021">
        <f>(VLOOKUP(YEAR($A104),'NY East Load Projections'!$A$4:$EO$14,((MONTH($A104)-1)*12)+VLOOKUP(AS$4,$DE$6:$DF$17,2)+1))*$C104</f>
        <v>-361.27156637792285</v>
      </c>
      <c r="AT104" s="1021">
        <f>(VLOOKUP(YEAR($A104),'NY East Load Projections'!$A$4:$EO$14,((MONTH($A104)-1)*12)+VLOOKUP(AT$4,$DE$6:$DF$17,2)+1))*$C104</f>
        <v>-361.27156637792285</v>
      </c>
      <c r="AU104" s="1021">
        <f>(VLOOKUP(YEAR($A104),'NY East Load Projections'!$A$4:$EO$14,((MONTH($A104)-1)*12)+VLOOKUP(AU$4,$DE$6:$DF$17,2)+1))*$C104</f>
        <v>-361.27156637792285</v>
      </c>
      <c r="AV104" s="1021">
        <f>(VLOOKUP(YEAR($A104),'NY East Load Projections'!$A$4:$EO$14,((MONTH($A104)-1)*12)+VLOOKUP(AV$4,$DE$6:$DF$17,2)+1))*$C104</f>
        <v>-361.27156637792285</v>
      </c>
      <c r="AW104" s="1021">
        <f>(VLOOKUP(YEAR($A104),'NY East Load Projections'!$A$4:$EO$14,((MONTH($A104)-1)*12)+VLOOKUP(AW$4,$DE$6:$DF$17,2)+1))*$C104</f>
        <v>-345.35092414738631</v>
      </c>
      <c r="AX104" s="1021">
        <f>(VLOOKUP(YEAR($A104),'NY East Load Projections'!$A$4:$EO$14,((MONTH($A104)-1)*12)+VLOOKUP(AX$4,$DE$6:$DF$17,2)+1))*$C104</f>
        <v>-345.35092414738631</v>
      </c>
      <c r="AY104" s="1021">
        <f>(VLOOKUP(YEAR($A104),'NY East Load Projections'!$A$4:$EO$14,((MONTH($A104)-1)*12)+VLOOKUP(AY$4,$DE$6:$DF$17,2)+1))*$C104</f>
        <v>-345.35092414738631</v>
      </c>
      <c r="AZ104" s="1021">
        <f>(VLOOKUP(YEAR($A104),'NY East Load Projections'!$A$4:$EO$14,((MONTH($A104)-1)*12)+VLOOKUP(AZ$4,$DE$6:$DF$17,2)+1))*$C104</f>
        <v>-345.35092414738631</v>
      </c>
      <c r="BA104" s="1021">
        <f>(VLOOKUP(YEAR($A104),'NY East Load Projections'!$A$4:$EO$14,((MONTH($A104)-1)*12)+VLOOKUP(BA$4,$DE$6:$DF$17,2)+1))*$C104</f>
        <v>-332.50652568615743</v>
      </c>
      <c r="BB104" s="1021">
        <f>(VLOOKUP(YEAR($A104),'NY East Load Projections'!$A$4:$EO$14,((MONTH($A104)-1)*12)+VLOOKUP(BB$4,$DE$6:$DF$17,2)+1))*$C104</f>
        <v>-332.50652568615743</v>
      </c>
      <c r="BC104" s="1021">
        <f>(VLOOKUP(YEAR($A104),'NY East Load Projections'!$A$4:$EO$14,((MONTH($A104)-1)*12)+VLOOKUP(BC$4,$DE$6:$DF$17,2)+1))*$C104</f>
        <v>-332.50652568615743</v>
      </c>
      <c r="BD104" s="1021">
        <f>(VLOOKUP(YEAR($A104),'NY East Load Projections'!$A$4:$EO$14,((MONTH($A104)-1)*12)+VLOOKUP(BD$4,$DE$6:$DF$17,2)+1))*$C104</f>
        <v>-332.50652568615743</v>
      </c>
      <c r="BE104" s="1021"/>
      <c r="BF104" s="1021">
        <f>(VLOOKUP(YEAR($A104),'NY East Load Projections'!$A$4:$EO$14,((MONTH($A104)-1)*12)+VLOOKUP(BF$4,$DE$6:$DF$17,2)+1))*$D104</f>
        <v>-412.56139201827261</v>
      </c>
      <c r="BG104" s="1021">
        <f>(VLOOKUP(YEAR($A104),'NY East Load Projections'!$A$4:$EO$14,((MONTH($A104)-1)*12)+VLOOKUP(BG$4,$DE$6:$DF$17,2)+1))*$D104</f>
        <v>-412.56139201827261</v>
      </c>
      <c r="BH104" s="1021">
        <f>(VLOOKUP(YEAR($A104),'NY East Load Projections'!$A$4:$EO$14,((MONTH($A104)-1)*12)+VLOOKUP(BH$4,$DE$6:$DF$17,2)+1))*$D104</f>
        <v>-412.56139201827261</v>
      </c>
      <c r="BI104" s="1021">
        <f>(VLOOKUP(YEAR($A104),'NY East Load Projections'!$A$4:$EO$14,((MONTH($A104)-1)*12)+VLOOKUP(BI$4,$DE$6:$DF$17,2)+1))*$D104</f>
        <v>-412.56139201827261</v>
      </c>
      <c r="BJ104" s="1021">
        <f>(VLOOKUP(YEAR($A104),'NY East Load Projections'!$A$4:$EO$14,((MONTH($A104)-1)*12)+VLOOKUP(BJ$4,$DE$6:$DF$17,2)+1))*$D104</f>
        <v>-417.68067909225044</v>
      </c>
      <c r="BK104" s="1021">
        <f>(VLOOKUP(YEAR($A104),'NY East Load Projections'!$A$4:$EO$14,((MONTH($A104)-1)*12)+VLOOKUP(BK$4,$DE$6:$DF$17,2)+1))*$D104</f>
        <v>-417.68067909225044</v>
      </c>
      <c r="BL104" s="1021">
        <f>(VLOOKUP(YEAR($A104),'NY East Load Projections'!$A$4:$EO$14,((MONTH($A104)-1)*12)+VLOOKUP(BL$4,$DE$6:$DF$17,2)+1))*$D104</f>
        <v>-417.68067909225044</v>
      </c>
      <c r="BM104" s="1021">
        <f>(VLOOKUP(YEAR($A104),'NY East Load Projections'!$A$4:$EO$14,((MONTH($A104)-1)*12)+VLOOKUP(BM$4,$DE$6:$DF$17,2)+1))*$D104</f>
        <v>-417.68067909225044</v>
      </c>
      <c r="BN104" s="1021">
        <f>(VLOOKUP(YEAR($A104),'NY East Load Projections'!$A$4:$EO$14,((MONTH($A104)-1)*12)+VLOOKUP(BN$4,$DE$6:$DF$17,2)+1))*$D104</f>
        <v>-447.9620920470083</v>
      </c>
      <c r="BO104" s="1021">
        <f>(VLOOKUP(YEAR($A104),'NY East Load Projections'!$A$4:$EO$14,((MONTH($A104)-1)*12)+VLOOKUP(BO$4,$DE$6:$DF$17,2)+1))*$D104</f>
        <v>-447.9620920470083</v>
      </c>
      <c r="BP104" s="1021">
        <f>(VLOOKUP(YEAR($A104),'NY East Load Projections'!$A$4:$EO$14,((MONTH($A104)-1)*12)+VLOOKUP(BP$4,$DE$6:$DF$17,2)+1))*$D104</f>
        <v>-447.9620920470083</v>
      </c>
      <c r="BQ104" s="1021">
        <f>(VLOOKUP(YEAR($A104),'NY East Load Projections'!$A$4:$EO$14,((MONTH($A104)-1)*12)+VLOOKUP(BQ$4,$DE$6:$DF$17,2)+1))*$D104</f>
        <v>-447.9620920470083</v>
      </c>
      <c r="BR104" s="1021">
        <f>(VLOOKUP(YEAR($A104),'NY East Load Projections'!$A$4:$EO$14,((MONTH($A104)-1)*12)+VLOOKUP(BR$4,$DE$6:$DF$17,2)+1))*$D104</f>
        <v>-451.58945797240358</v>
      </c>
      <c r="BS104" s="1021">
        <f>(VLOOKUP(YEAR($A104),'NY East Load Projections'!$A$4:$EO$14,((MONTH($A104)-1)*12)+VLOOKUP(BS$4,$DE$6:$DF$17,2)+1))*$D104</f>
        <v>-451.58945797240358</v>
      </c>
      <c r="BT104" s="1021">
        <f>(VLOOKUP(YEAR($A104),'NY East Load Projections'!$A$4:$EO$14,((MONTH($A104)-1)*12)+VLOOKUP(BT$4,$DE$6:$DF$17,2)+1))*$D104</f>
        <v>-451.58945797240358</v>
      </c>
      <c r="BU104" s="1021">
        <f>(VLOOKUP(YEAR($A104),'NY East Load Projections'!$A$4:$EO$14,((MONTH($A104)-1)*12)+VLOOKUP(BU$4,$DE$6:$DF$17,2)+1))*$D104</f>
        <v>-451.58945797240358</v>
      </c>
      <c r="BV104" s="1021">
        <f>(VLOOKUP(YEAR($A104),'NY East Load Projections'!$A$4:$EO$14,((MONTH($A104)-1)*12)+VLOOKUP(BV$4,$DE$6:$DF$17,2)+1))*$D104</f>
        <v>-431.68865518423286</v>
      </c>
      <c r="BW104" s="1021">
        <f>(VLOOKUP(YEAR($A104),'NY East Load Projections'!$A$4:$EO$14,((MONTH($A104)-1)*12)+VLOOKUP(BW$4,$DE$6:$DF$17,2)+1))*$D104</f>
        <v>-431.68865518423286</v>
      </c>
      <c r="BX104" s="1021">
        <f>(VLOOKUP(YEAR($A104),'NY East Load Projections'!$A$4:$EO$14,((MONTH($A104)-1)*12)+VLOOKUP(BX$4,$DE$6:$DF$17,2)+1))*$D104</f>
        <v>-431.68865518423286</v>
      </c>
      <c r="BY104" s="1021">
        <f>(VLOOKUP(YEAR($A104),'NY East Load Projections'!$A$4:$EO$14,((MONTH($A104)-1)*12)+VLOOKUP(BY$4,$DE$6:$DF$17,2)+1))*$D104</f>
        <v>-431.68865518423286</v>
      </c>
      <c r="BZ104" s="1021">
        <f>(VLOOKUP(YEAR($A104),'NY East Load Projections'!$A$4:$EO$14,((MONTH($A104)-1)*12)+VLOOKUP(BZ$4,$DE$6:$DF$17,2)+1))*$D104</f>
        <v>-415.63315710769677</v>
      </c>
      <c r="CA104" s="1021">
        <f>(VLOOKUP(YEAR($A104),'NY East Load Projections'!$A$4:$EO$14,((MONTH($A104)-1)*12)+VLOOKUP(CA$4,$DE$6:$DF$17,2)+1))*$D104</f>
        <v>-415.63315710769677</v>
      </c>
      <c r="CB104" s="1021">
        <f>(VLOOKUP(YEAR($A104),'NY East Load Projections'!$A$4:$EO$14,((MONTH($A104)-1)*12)+VLOOKUP(CB$4,$DE$6:$DF$17,2)+1))*$D104</f>
        <v>-415.63315710769677</v>
      </c>
      <c r="CC104" s="1021">
        <f>(VLOOKUP(YEAR($A104),'NY East Load Projections'!$A$4:$EO$14,((MONTH($A104)-1)*12)+VLOOKUP(CC$4,$DE$6:$DF$17,2)+1))*$D104</f>
        <v>-415.63315710769677</v>
      </c>
      <c r="CE104" s="1021">
        <f>(VLOOKUP(YEAR($A104),'NY East Load Projections'!$A$4:$EO$14,((MONTH($A104)-1)*12)+VLOOKUP(CE$4,$DE$6:$DF$17,2)+1))*$E104</f>
        <v>0</v>
      </c>
      <c r="CF104" s="1021">
        <f>(VLOOKUP(YEAR($A104),'NY East Load Projections'!$A$4:$EO$14,((MONTH($A104)-1)*12)+VLOOKUP(CF$4,$DE$6:$DF$17,2)+1))*$E104</f>
        <v>0</v>
      </c>
      <c r="CG104" s="1021">
        <f>(VLOOKUP(YEAR($A104),'NY East Load Projections'!$A$4:$EO$14,((MONTH($A104)-1)*12)+VLOOKUP(CG$4,$DE$6:$DF$17,2)+1))*$E104</f>
        <v>0</v>
      </c>
      <c r="CH104" s="1021">
        <f>(VLOOKUP(YEAR($A104),'NY East Load Projections'!$A$4:$EO$14,((MONTH($A104)-1)*12)+VLOOKUP(CH$4,$DE$6:$DF$17,2)+1))*$E104</f>
        <v>0</v>
      </c>
      <c r="CI104" s="1021">
        <f>(VLOOKUP(YEAR($A104),'NY East Load Projections'!$A$4:$EO$14,((MONTH($A104)-1)*12)+VLOOKUP(CI$4,$DE$6:$DF$17,2)+1))*$E104</f>
        <v>0</v>
      </c>
      <c r="CJ104" s="1021">
        <f>(VLOOKUP(YEAR($A104),'NY East Load Projections'!$A$4:$EO$14,((MONTH($A104)-1)*12)+VLOOKUP(CJ$4,$DE$6:$DF$17,2)+1))*$E104</f>
        <v>0</v>
      </c>
      <c r="CK104" s="1021">
        <f>(VLOOKUP(YEAR($A104),'NY East Load Projections'!$A$4:$EO$14,((MONTH($A104)-1)*12)+VLOOKUP(CK$4,$DE$6:$DF$17,2)+1))*$E104</f>
        <v>0</v>
      </c>
      <c r="CL104" s="1021">
        <f>(VLOOKUP(YEAR($A104),'NY East Load Projections'!$A$4:$EO$14,((MONTH($A104)-1)*12)+VLOOKUP(CL$4,$DE$6:$DF$17,2)+1))*$E104</f>
        <v>0</v>
      </c>
      <c r="CM104" s="1021">
        <f>(VLOOKUP(YEAR($A104),'NY East Load Projections'!$A$4:$EO$14,((MONTH($A104)-1)*12)+VLOOKUP(CM$4,$DE$6:$DF$17,2)+1))*$E104</f>
        <v>0</v>
      </c>
      <c r="CN104" s="1021">
        <f>(VLOOKUP(YEAR($A104),'NY East Load Projections'!$A$4:$EO$14,((MONTH($A104)-1)*12)+VLOOKUP(CN$4,$DE$6:$DF$17,2)+1))*$E104</f>
        <v>0</v>
      </c>
      <c r="CO104" s="1021">
        <f>(VLOOKUP(YEAR($A104),'NY East Load Projections'!$A$4:$EO$14,((MONTH($A104)-1)*12)+VLOOKUP(CO$4,$DE$6:$DF$17,2)+1))*$E104</f>
        <v>0</v>
      </c>
      <c r="CP104" s="1021">
        <f>(VLOOKUP(YEAR($A104),'NY East Load Projections'!$A$4:$EO$14,((MONTH($A104)-1)*12)+VLOOKUP(CP$4,$DE$6:$DF$17,2)+1))*$E104</f>
        <v>0</v>
      </c>
      <c r="CQ104" s="1021">
        <f>(VLOOKUP(YEAR($A104),'NY East Load Projections'!$A$4:$EO$14,((MONTH($A104)-1)*12)+VLOOKUP(CQ$4,$DE$6:$DF$17,2)+1))*$E104</f>
        <v>0</v>
      </c>
      <c r="CR104" s="1021">
        <f>(VLOOKUP(YEAR($A104),'NY East Load Projections'!$A$4:$EO$14,((MONTH($A104)-1)*12)+VLOOKUP(CR$4,$DE$6:$DF$17,2)+1))*$E104</f>
        <v>0</v>
      </c>
      <c r="CS104" s="1021">
        <f>(VLOOKUP(YEAR($A104),'NY East Load Projections'!$A$4:$EO$14,((MONTH($A104)-1)*12)+VLOOKUP(CS$4,$DE$6:$DF$17,2)+1))*$E104</f>
        <v>0</v>
      </c>
      <c r="CT104" s="1021">
        <f>(VLOOKUP(YEAR($A104),'NY East Load Projections'!$A$4:$EO$14,((MONTH($A104)-1)*12)+VLOOKUP(CT$4,$DE$6:$DF$17,2)+1))*$E104</f>
        <v>0</v>
      </c>
      <c r="CU104" s="1021">
        <f>(VLOOKUP(YEAR($A104),'NY East Load Projections'!$A$4:$EO$14,((MONTH($A104)-1)*12)+VLOOKUP(CU$4,$DE$6:$DF$17,2)+1))*$E104</f>
        <v>0</v>
      </c>
      <c r="CV104" s="1021">
        <f>(VLOOKUP(YEAR($A104),'NY East Load Projections'!$A$4:$EO$14,((MONTH($A104)-1)*12)+VLOOKUP(CV$4,$DE$6:$DF$17,2)+1))*$E104</f>
        <v>0</v>
      </c>
      <c r="CW104" s="1021">
        <f>(VLOOKUP(YEAR($A104),'NY East Load Projections'!$A$4:$EO$14,((MONTH($A104)-1)*12)+VLOOKUP(CW$4,$DE$6:$DF$17,2)+1))*$E104</f>
        <v>0</v>
      </c>
      <c r="CX104" s="1021">
        <f>(VLOOKUP(YEAR($A104),'NY East Load Projections'!$A$4:$EO$14,((MONTH($A104)-1)*12)+VLOOKUP(CX$4,$DE$6:$DF$17,2)+1))*$E104</f>
        <v>0</v>
      </c>
      <c r="CY104" s="1021">
        <f>(VLOOKUP(YEAR($A104),'NY East Load Projections'!$A$4:$EO$14,((MONTH($A104)-1)*12)+VLOOKUP(CY$4,$DE$6:$DF$17,2)+1))*$E104</f>
        <v>0</v>
      </c>
      <c r="CZ104" s="1021">
        <f>(VLOOKUP(YEAR($A104),'NY East Load Projections'!$A$4:$EO$14,((MONTH($A104)-1)*12)+VLOOKUP(CZ$4,$DE$6:$DF$17,2)+1))*$E104</f>
        <v>0</v>
      </c>
      <c r="DA104" s="1021">
        <f>(VLOOKUP(YEAR($A104),'NY East Load Projections'!$A$4:$EO$14,((MONTH($A104)-1)*12)+VLOOKUP(DA$4,$DE$6:$DF$17,2)+1))*$E104</f>
        <v>0</v>
      </c>
      <c r="DB104" s="1021">
        <f>(VLOOKUP(YEAR($A104),'NY East Load Projections'!$A$4:$EO$14,((MONTH($A104)-1)*12)+VLOOKUP(DB$4,$DE$6:$DF$17,2)+1))*$E104</f>
        <v>0</v>
      </c>
      <c r="DH104" s="1009">
        <f t="shared" si="5"/>
        <v>-62599.563218566946</v>
      </c>
      <c r="DI104">
        <f ca="1">CALC!J124</f>
        <v>0.51484882515290875</v>
      </c>
      <c r="DJ104" s="1032">
        <f t="shared" ca="1" si="4"/>
        <v>-32229.31157816443</v>
      </c>
    </row>
    <row r="105" spans="1:114" x14ac:dyDescent="0.25">
      <c r="A105" s="244">
        <v>39904</v>
      </c>
      <c r="B105" s="13">
        <v>22</v>
      </c>
      <c r="C105" s="210">
        <v>4</v>
      </c>
      <c r="D105" s="210">
        <v>4</v>
      </c>
      <c r="E105" s="210">
        <v>0</v>
      </c>
      <c r="F105" s="13">
        <v>30</v>
      </c>
      <c r="H105" s="1021">
        <f>(VLOOKUP(YEAR($A105),'NY East Load Projections'!$A$4:$EO$14,((MONTH($A105)-1)*12)+VLOOKUP(H$4,$DE$6:$DF$17,2)+1))*$B105</f>
        <v>-1790.7705137687335</v>
      </c>
      <c r="I105" s="1021">
        <f>(VLOOKUP(YEAR($A105),'NY East Load Projections'!$A$4:$EO$14,((MONTH($A105)-1)*12)+VLOOKUP(I$4,$DE$6:$DF$17,2)+1))*$B105</f>
        <v>-1790.7705137687335</v>
      </c>
      <c r="J105" s="1021">
        <f>(VLOOKUP(YEAR($A105),'NY East Load Projections'!$A$4:$EO$14,((MONTH($A105)-1)*12)+VLOOKUP(J$4,$DE$6:$DF$17,2)+1))*$B105</f>
        <v>-1790.7705137687335</v>
      </c>
      <c r="K105" s="1021">
        <f>(VLOOKUP(YEAR($A105),'NY East Load Projections'!$A$4:$EO$14,((MONTH($A105)-1)*12)+VLOOKUP(K$4,$DE$6:$DF$17,2)+1))*$B105</f>
        <v>-1790.7705137687335</v>
      </c>
      <c r="L105" s="1021">
        <f>(VLOOKUP(YEAR($A105),'NY East Load Projections'!$A$4:$EO$14,((MONTH($A105)-1)*12)+VLOOKUP(L$4,$DE$6:$DF$17,2)+1))*$B105</f>
        <v>-1925.2724171635659</v>
      </c>
      <c r="M105" s="1021">
        <f>(VLOOKUP(YEAR($A105),'NY East Load Projections'!$A$4:$EO$14,((MONTH($A105)-1)*12)+VLOOKUP(M$4,$DE$6:$DF$17,2)+1))*$B105</f>
        <v>-1925.2724171635659</v>
      </c>
      <c r="N105" s="1021">
        <f>(VLOOKUP(YEAR($A105),'NY East Load Projections'!$A$4:$EO$14,((MONTH($A105)-1)*12)+VLOOKUP(N$4,$DE$6:$DF$17,2)+1))*$B105</f>
        <v>-1925.2724171635659</v>
      </c>
      <c r="O105" s="1021">
        <f>(VLOOKUP(YEAR($A105),'NY East Load Projections'!$A$4:$EO$14,((MONTH($A105)-1)*12)+VLOOKUP(O$4,$DE$6:$DF$17,2)+1))*$B105</f>
        <v>-1925.2724171635659</v>
      </c>
      <c r="P105" s="1021">
        <f>(VLOOKUP(YEAR($A105),'NY East Load Projections'!$A$4:$EO$14,((MONTH($A105)-1)*12)+VLOOKUP(P$4,$DE$6:$DF$17,2)+1))*$B105</f>
        <v>-2077.9277290798605</v>
      </c>
      <c r="Q105" s="1021">
        <f>(VLOOKUP(YEAR($A105),'NY East Load Projections'!$A$4:$EO$14,((MONTH($A105)-1)*12)+VLOOKUP(Q$4,$DE$6:$DF$17,2)+1))*$B105</f>
        <v>-2077.9277290798605</v>
      </c>
      <c r="R105" s="1021">
        <f>(VLOOKUP(YEAR($A105),'NY East Load Projections'!$A$4:$EO$14,((MONTH($A105)-1)*12)+VLOOKUP(R$4,$DE$6:$DF$17,2)+1))*$B105</f>
        <v>-2077.9277290798605</v>
      </c>
      <c r="S105" s="1021">
        <f>(VLOOKUP(YEAR($A105),'NY East Load Projections'!$A$4:$EO$14,((MONTH($A105)-1)*12)+VLOOKUP(S$4,$DE$6:$DF$17,2)+1))*$B105</f>
        <v>-2077.9277290798605</v>
      </c>
      <c r="T105" s="1021">
        <f>(VLOOKUP(YEAR($A105),'NY East Load Projections'!$A$4:$EO$14,((MONTH($A105)-1)*12)+VLOOKUP(T$4,$DE$6:$DF$17,2)+1))*$B105</f>
        <v>-2149.4057099264874</v>
      </c>
      <c r="U105" s="1021">
        <f>(VLOOKUP(YEAR($A105),'NY East Load Projections'!$A$4:$EO$14,((MONTH($A105)-1)*12)+VLOOKUP(U$4,$DE$6:$DF$17,2)+1))*$B105</f>
        <v>-2149.4057099264874</v>
      </c>
      <c r="V105" s="1021">
        <f>(VLOOKUP(YEAR($A105),'NY East Load Projections'!$A$4:$EO$14,((MONTH($A105)-1)*12)+VLOOKUP(V$4,$DE$6:$DF$17,2)+1))*$B105</f>
        <v>-2149.4057099264874</v>
      </c>
      <c r="W105" s="1021">
        <f>(VLOOKUP(YEAR($A105),'NY East Load Projections'!$A$4:$EO$14,((MONTH($A105)-1)*12)+VLOOKUP(W$4,$DE$6:$DF$17,2)+1))*$B105</f>
        <v>-2149.4057099264874</v>
      </c>
      <c r="X105" s="1021">
        <f>(VLOOKUP(YEAR($A105),'NY East Load Projections'!$A$4:$EO$14,((MONTH($A105)-1)*12)+VLOOKUP(X$4,$DE$6:$DF$17,2)+1))*$B105</f>
        <v>-2052.2495607544015</v>
      </c>
      <c r="Y105" s="1021">
        <f>(VLOOKUP(YEAR($A105),'NY East Load Projections'!$A$4:$EO$14,((MONTH($A105)-1)*12)+VLOOKUP(Y$4,$DE$6:$DF$17,2)+1))*$B105</f>
        <v>-2052.2495607544015</v>
      </c>
      <c r="Z105" s="1021">
        <f>(VLOOKUP(YEAR($A105),'NY East Load Projections'!$A$4:$EO$14,((MONTH($A105)-1)*12)+VLOOKUP(Z$4,$DE$6:$DF$17,2)+1))*$B105</f>
        <v>-2052.2495607544015</v>
      </c>
      <c r="AA105" s="1021">
        <f>(VLOOKUP(YEAR($A105),'NY East Load Projections'!$A$4:$EO$14,((MONTH($A105)-1)*12)+VLOOKUP(AA$4,$DE$6:$DF$17,2)+1))*$B105</f>
        <v>-2052.2495607544015</v>
      </c>
      <c r="AB105" s="1021">
        <f>(VLOOKUP(YEAR($A105),'NY East Load Projections'!$A$4:$EO$14,((MONTH($A105)-1)*12)+VLOOKUP(AB$4,$DE$6:$DF$17,2)+1))*$B105</f>
        <v>-1869.5581579258153</v>
      </c>
      <c r="AC105" s="1021">
        <f>(VLOOKUP(YEAR($A105),'NY East Load Projections'!$A$4:$EO$14,((MONTH($A105)-1)*12)+VLOOKUP(AC$4,$DE$6:$DF$17,2)+1))*$B105</f>
        <v>-1869.5581579258153</v>
      </c>
      <c r="AD105" s="1021">
        <f>(VLOOKUP(YEAR($A105),'NY East Load Projections'!$A$4:$EO$14,((MONTH($A105)-1)*12)+VLOOKUP(AD$4,$DE$6:$DF$17,2)+1))*$B105</f>
        <v>-1869.5581579258153</v>
      </c>
      <c r="AE105" s="1021">
        <f>(VLOOKUP(YEAR($A105),'NY East Load Projections'!$A$4:$EO$14,((MONTH($A105)-1)*12)+VLOOKUP(AE$4,$DE$6:$DF$17,2)+1))*$B105</f>
        <v>-1869.5581579258153</v>
      </c>
      <c r="AF105" s="1021"/>
      <c r="AG105" s="1021">
        <f>(VLOOKUP(YEAR($A105),'NY East Load Projections'!$A$4:$EO$14,((MONTH($A105)-1)*12)+VLOOKUP(AG$4,$DE$6:$DF$17,2)+1))*$C105</f>
        <v>-339.37194802205312</v>
      </c>
      <c r="AH105" s="1021">
        <f>(VLOOKUP(YEAR($A105),'NY East Load Projections'!$A$4:$EO$14,((MONTH($A105)-1)*12)+VLOOKUP(AH$4,$DE$6:$DF$17,2)+1))*$C105</f>
        <v>-339.37194802205312</v>
      </c>
      <c r="AI105" s="1021">
        <f>(VLOOKUP(YEAR($A105),'NY East Load Projections'!$A$4:$EO$14,((MONTH($A105)-1)*12)+VLOOKUP(AI$4,$DE$6:$DF$17,2)+1))*$C105</f>
        <v>-339.37194802205312</v>
      </c>
      <c r="AJ105" s="1021">
        <f>(VLOOKUP(YEAR($A105),'NY East Load Projections'!$A$4:$EO$14,((MONTH($A105)-1)*12)+VLOOKUP(AJ$4,$DE$6:$DF$17,2)+1))*$C105</f>
        <v>-339.37194802205312</v>
      </c>
      <c r="AK105" s="1021">
        <f>(VLOOKUP(YEAR($A105),'NY East Load Projections'!$A$4:$EO$14,((MONTH($A105)-1)*12)+VLOOKUP(AK$4,$DE$6:$DF$17,2)+1))*$C105</f>
        <v>-344.91490381777351</v>
      </c>
      <c r="AL105" s="1021">
        <f>(VLOOKUP(YEAR($A105),'NY East Load Projections'!$A$4:$EO$14,((MONTH($A105)-1)*12)+VLOOKUP(AL$4,$DE$6:$DF$17,2)+1))*$C105</f>
        <v>-344.91490381777351</v>
      </c>
      <c r="AM105" s="1021">
        <f>(VLOOKUP(YEAR($A105),'NY East Load Projections'!$A$4:$EO$14,((MONTH($A105)-1)*12)+VLOOKUP(AM$4,$DE$6:$DF$17,2)+1))*$C105</f>
        <v>-344.91490381777351</v>
      </c>
      <c r="AN105" s="1021">
        <f>(VLOOKUP(YEAR($A105),'NY East Load Projections'!$A$4:$EO$14,((MONTH($A105)-1)*12)+VLOOKUP(AN$4,$DE$6:$DF$17,2)+1))*$C105</f>
        <v>-344.91490381777351</v>
      </c>
      <c r="AO105" s="1021">
        <f>(VLOOKUP(YEAR($A105),'NY East Load Projections'!$A$4:$EO$14,((MONTH($A105)-1)*12)+VLOOKUP(AO$4,$DE$6:$DF$17,2)+1))*$C105</f>
        <v>-371.10491286603843</v>
      </c>
      <c r="AP105" s="1021">
        <f>(VLOOKUP(YEAR($A105),'NY East Load Projections'!$A$4:$EO$14,((MONTH($A105)-1)*12)+VLOOKUP(AP$4,$DE$6:$DF$17,2)+1))*$C105</f>
        <v>-371.10491286603843</v>
      </c>
      <c r="AQ105" s="1021">
        <f>(VLOOKUP(YEAR($A105),'NY East Load Projections'!$A$4:$EO$14,((MONTH($A105)-1)*12)+VLOOKUP(AQ$4,$DE$6:$DF$17,2)+1))*$C105</f>
        <v>-371.10491286603843</v>
      </c>
      <c r="AR105" s="1021">
        <f>(VLOOKUP(YEAR($A105),'NY East Load Projections'!$A$4:$EO$14,((MONTH($A105)-1)*12)+VLOOKUP(AR$4,$DE$6:$DF$17,2)+1))*$C105</f>
        <v>-371.10491286603843</v>
      </c>
      <c r="AS105" s="1021">
        <f>(VLOOKUP(YEAR($A105),'NY East Load Projections'!$A$4:$EO$14,((MONTH($A105)-1)*12)+VLOOKUP(AS$4,$DE$6:$DF$17,2)+1))*$C105</f>
        <v>-376.92415128272478</v>
      </c>
      <c r="AT105" s="1021">
        <f>(VLOOKUP(YEAR($A105),'NY East Load Projections'!$A$4:$EO$14,((MONTH($A105)-1)*12)+VLOOKUP(AT$4,$DE$6:$DF$17,2)+1))*$C105</f>
        <v>-376.92415128272478</v>
      </c>
      <c r="AU105" s="1021">
        <f>(VLOOKUP(YEAR($A105),'NY East Load Projections'!$A$4:$EO$14,((MONTH($A105)-1)*12)+VLOOKUP(AU$4,$DE$6:$DF$17,2)+1))*$C105</f>
        <v>-376.92415128272478</v>
      </c>
      <c r="AV105" s="1021">
        <f>(VLOOKUP(YEAR($A105),'NY East Load Projections'!$A$4:$EO$14,((MONTH($A105)-1)*12)+VLOOKUP(AV$4,$DE$6:$DF$17,2)+1))*$C105</f>
        <v>-376.92415128272478</v>
      </c>
      <c r="AW105" s="1021">
        <f>(VLOOKUP(YEAR($A105),'NY East Load Projections'!$A$4:$EO$14,((MONTH($A105)-1)*12)+VLOOKUP(AW$4,$DE$6:$DF$17,2)+1))*$C105</f>
        <v>-355.82784689744113</v>
      </c>
      <c r="AX105" s="1021">
        <f>(VLOOKUP(YEAR($A105),'NY East Load Projections'!$A$4:$EO$14,((MONTH($A105)-1)*12)+VLOOKUP(AX$4,$DE$6:$DF$17,2)+1))*$C105</f>
        <v>-355.82784689744113</v>
      </c>
      <c r="AY105" s="1021">
        <f>(VLOOKUP(YEAR($A105),'NY East Load Projections'!$A$4:$EO$14,((MONTH($A105)-1)*12)+VLOOKUP(AY$4,$DE$6:$DF$17,2)+1))*$C105</f>
        <v>-355.82784689744113</v>
      </c>
      <c r="AZ105" s="1021">
        <f>(VLOOKUP(YEAR($A105),'NY East Load Projections'!$A$4:$EO$14,((MONTH($A105)-1)*12)+VLOOKUP(AZ$4,$DE$6:$DF$17,2)+1))*$C105</f>
        <v>-355.82784689744113</v>
      </c>
      <c r="BA105" s="1021">
        <f>(VLOOKUP(YEAR($A105),'NY East Load Projections'!$A$4:$EO$14,((MONTH($A105)-1)*12)+VLOOKUP(BA$4,$DE$6:$DF$17,2)+1))*$C105</f>
        <v>-341.45209352921398</v>
      </c>
      <c r="BB105" s="1021">
        <f>(VLOOKUP(YEAR($A105),'NY East Load Projections'!$A$4:$EO$14,((MONTH($A105)-1)*12)+VLOOKUP(BB$4,$DE$6:$DF$17,2)+1))*$C105</f>
        <v>-341.45209352921398</v>
      </c>
      <c r="BC105" s="1021">
        <f>(VLOOKUP(YEAR($A105),'NY East Load Projections'!$A$4:$EO$14,((MONTH($A105)-1)*12)+VLOOKUP(BC$4,$DE$6:$DF$17,2)+1))*$C105</f>
        <v>-341.45209352921398</v>
      </c>
      <c r="BD105" s="1021">
        <f>(VLOOKUP(YEAR($A105),'NY East Load Projections'!$A$4:$EO$14,((MONTH($A105)-1)*12)+VLOOKUP(BD$4,$DE$6:$DF$17,2)+1))*$C105</f>
        <v>-341.45209352921398</v>
      </c>
      <c r="BE105" s="1021"/>
      <c r="BF105" s="1021">
        <f>(VLOOKUP(YEAR($A105),'NY East Load Projections'!$A$4:$EO$14,((MONTH($A105)-1)*12)+VLOOKUP(BF$4,$DE$6:$DF$17,2)+1))*$D105</f>
        <v>-339.37194802205312</v>
      </c>
      <c r="BG105" s="1021">
        <f>(VLOOKUP(YEAR($A105),'NY East Load Projections'!$A$4:$EO$14,((MONTH($A105)-1)*12)+VLOOKUP(BG$4,$DE$6:$DF$17,2)+1))*$D105</f>
        <v>-339.37194802205312</v>
      </c>
      <c r="BH105" s="1021">
        <f>(VLOOKUP(YEAR($A105),'NY East Load Projections'!$A$4:$EO$14,((MONTH($A105)-1)*12)+VLOOKUP(BH$4,$DE$6:$DF$17,2)+1))*$D105</f>
        <v>-339.37194802205312</v>
      </c>
      <c r="BI105" s="1021">
        <f>(VLOOKUP(YEAR($A105),'NY East Load Projections'!$A$4:$EO$14,((MONTH($A105)-1)*12)+VLOOKUP(BI$4,$DE$6:$DF$17,2)+1))*$D105</f>
        <v>-339.37194802205312</v>
      </c>
      <c r="BJ105" s="1021">
        <f>(VLOOKUP(YEAR($A105),'NY East Load Projections'!$A$4:$EO$14,((MONTH($A105)-1)*12)+VLOOKUP(BJ$4,$DE$6:$DF$17,2)+1))*$D105</f>
        <v>-344.91490381777351</v>
      </c>
      <c r="BK105" s="1021">
        <f>(VLOOKUP(YEAR($A105),'NY East Load Projections'!$A$4:$EO$14,((MONTH($A105)-1)*12)+VLOOKUP(BK$4,$DE$6:$DF$17,2)+1))*$D105</f>
        <v>-344.91490381777351</v>
      </c>
      <c r="BL105" s="1021">
        <f>(VLOOKUP(YEAR($A105),'NY East Load Projections'!$A$4:$EO$14,((MONTH($A105)-1)*12)+VLOOKUP(BL$4,$DE$6:$DF$17,2)+1))*$D105</f>
        <v>-344.91490381777351</v>
      </c>
      <c r="BM105" s="1021">
        <f>(VLOOKUP(YEAR($A105),'NY East Load Projections'!$A$4:$EO$14,((MONTH($A105)-1)*12)+VLOOKUP(BM$4,$DE$6:$DF$17,2)+1))*$D105</f>
        <v>-344.91490381777351</v>
      </c>
      <c r="BN105" s="1021">
        <f>(VLOOKUP(YEAR($A105),'NY East Load Projections'!$A$4:$EO$14,((MONTH($A105)-1)*12)+VLOOKUP(BN$4,$DE$6:$DF$17,2)+1))*$D105</f>
        <v>-371.10491286603843</v>
      </c>
      <c r="BO105" s="1021">
        <f>(VLOOKUP(YEAR($A105),'NY East Load Projections'!$A$4:$EO$14,((MONTH($A105)-1)*12)+VLOOKUP(BO$4,$DE$6:$DF$17,2)+1))*$D105</f>
        <v>-371.10491286603843</v>
      </c>
      <c r="BP105" s="1021">
        <f>(VLOOKUP(YEAR($A105),'NY East Load Projections'!$A$4:$EO$14,((MONTH($A105)-1)*12)+VLOOKUP(BP$4,$DE$6:$DF$17,2)+1))*$D105</f>
        <v>-371.10491286603843</v>
      </c>
      <c r="BQ105" s="1021">
        <f>(VLOOKUP(YEAR($A105),'NY East Load Projections'!$A$4:$EO$14,((MONTH($A105)-1)*12)+VLOOKUP(BQ$4,$DE$6:$DF$17,2)+1))*$D105</f>
        <v>-371.10491286603843</v>
      </c>
      <c r="BR105" s="1021">
        <f>(VLOOKUP(YEAR($A105),'NY East Load Projections'!$A$4:$EO$14,((MONTH($A105)-1)*12)+VLOOKUP(BR$4,$DE$6:$DF$17,2)+1))*$D105</f>
        <v>-376.92415128272478</v>
      </c>
      <c r="BS105" s="1021">
        <f>(VLOOKUP(YEAR($A105),'NY East Load Projections'!$A$4:$EO$14,((MONTH($A105)-1)*12)+VLOOKUP(BS$4,$DE$6:$DF$17,2)+1))*$D105</f>
        <v>-376.92415128272478</v>
      </c>
      <c r="BT105" s="1021">
        <f>(VLOOKUP(YEAR($A105),'NY East Load Projections'!$A$4:$EO$14,((MONTH($A105)-1)*12)+VLOOKUP(BT$4,$DE$6:$DF$17,2)+1))*$D105</f>
        <v>-376.92415128272478</v>
      </c>
      <c r="BU105" s="1021">
        <f>(VLOOKUP(YEAR($A105),'NY East Load Projections'!$A$4:$EO$14,((MONTH($A105)-1)*12)+VLOOKUP(BU$4,$DE$6:$DF$17,2)+1))*$D105</f>
        <v>-376.92415128272478</v>
      </c>
      <c r="BV105" s="1021">
        <f>(VLOOKUP(YEAR($A105),'NY East Load Projections'!$A$4:$EO$14,((MONTH($A105)-1)*12)+VLOOKUP(BV$4,$DE$6:$DF$17,2)+1))*$D105</f>
        <v>-355.82784689744113</v>
      </c>
      <c r="BW105" s="1021">
        <f>(VLOOKUP(YEAR($A105),'NY East Load Projections'!$A$4:$EO$14,((MONTH($A105)-1)*12)+VLOOKUP(BW$4,$DE$6:$DF$17,2)+1))*$D105</f>
        <v>-355.82784689744113</v>
      </c>
      <c r="BX105" s="1021">
        <f>(VLOOKUP(YEAR($A105),'NY East Load Projections'!$A$4:$EO$14,((MONTH($A105)-1)*12)+VLOOKUP(BX$4,$DE$6:$DF$17,2)+1))*$D105</f>
        <v>-355.82784689744113</v>
      </c>
      <c r="BY105" s="1021">
        <f>(VLOOKUP(YEAR($A105),'NY East Load Projections'!$A$4:$EO$14,((MONTH($A105)-1)*12)+VLOOKUP(BY$4,$DE$6:$DF$17,2)+1))*$D105</f>
        <v>-355.82784689744113</v>
      </c>
      <c r="BZ105" s="1021">
        <f>(VLOOKUP(YEAR($A105),'NY East Load Projections'!$A$4:$EO$14,((MONTH($A105)-1)*12)+VLOOKUP(BZ$4,$DE$6:$DF$17,2)+1))*$D105</f>
        <v>-341.45209352921398</v>
      </c>
      <c r="CA105" s="1021">
        <f>(VLOOKUP(YEAR($A105),'NY East Load Projections'!$A$4:$EO$14,((MONTH($A105)-1)*12)+VLOOKUP(CA$4,$DE$6:$DF$17,2)+1))*$D105</f>
        <v>-341.45209352921398</v>
      </c>
      <c r="CB105" s="1021">
        <f>(VLOOKUP(YEAR($A105),'NY East Load Projections'!$A$4:$EO$14,((MONTH($A105)-1)*12)+VLOOKUP(CB$4,$DE$6:$DF$17,2)+1))*$D105</f>
        <v>-341.45209352921398</v>
      </c>
      <c r="CC105" s="1021">
        <f>(VLOOKUP(YEAR($A105),'NY East Load Projections'!$A$4:$EO$14,((MONTH($A105)-1)*12)+VLOOKUP(CC$4,$DE$6:$DF$17,2)+1))*$D105</f>
        <v>-341.45209352921398</v>
      </c>
      <c r="CE105" s="1021">
        <f>(VLOOKUP(YEAR($A105),'NY East Load Projections'!$A$4:$EO$14,((MONTH($A105)-1)*12)+VLOOKUP(CE$4,$DE$6:$DF$17,2)+1))*$E105</f>
        <v>0</v>
      </c>
      <c r="CF105" s="1021">
        <f>(VLOOKUP(YEAR($A105),'NY East Load Projections'!$A$4:$EO$14,((MONTH($A105)-1)*12)+VLOOKUP(CF$4,$DE$6:$DF$17,2)+1))*$E105</f>
        <v>0</v>
      </c>
      <c r="CG105" s="1021">
        <f>(VLOOKUP(YEAR($A105),'NY East Load Projections'!$A$4:$EO$14,((MONTH($A105)-1)*12)+VLOOKUP(CG$4,$DE$6:$DF$17,2)+1))*$E105</f>
        <v>0</v>
      </c>
      <c r="CH105" s="1021">
        <f>(VLOOKUP(YEAR($A105),'NY East Load Projections'!$A$4:$EO$14,((MONTH($A105)-1)*12)+VLOOKUP(CH$4,$DE$6:$DF$17,2)+1))*$E105</f>
        <v>0</v>
      </c>
      <c r="CI105" s="1021">
        <f>(VLOOKUP(YEAR($A105),'NY East Load Projections'!$A$4:$EO$14,((MONTH($A105)-1)*12)+VLOOKUP(CI$4,$DE$6:$DF$17,2)+1))*$E105</f>
        <v>0</v>
      </c>
      <c r="CJ105" s="1021">
        <f>(VLOOKUP(YEAR($A105),'NY East Load Projections'!$A$4:$EO$14,((MONTH($A105)-1)*12)+VLOOKUP(CJ$4,$DE$6:$DF$17,2)+1))*$E105</f>
        <v>0</v>
      </c>
      <c r="CK105" s="1021">
        <f>(VLOOKUP(YEAR($A105),'NY East Load Projections'!$A$4:$EO$14,((MONTH($A105)-1)*12)+VLOOKUP(CK$4,$DE$6:$DF$17,2)+1))*$E105</f>
        <v>0</v>
      </c>
      <c r="CL105" s="1021">
        <f>(VLOOKUP(YEAR($A105),'NY East Load Projections'!$A$4:$EO$14,((MONTH($A105)-1)*12)+VLOOKUP(CL$4,$DE$6:$DF$17,2)+1))*$E105</f>
        <v>0</v>
      </c>
      <c r="CM105" s="1021">
        <f>(VLOOKUP(YEAR($A105),'NY East Load Projections'!$A$4:$EO$14,((MONTH($A105)-1)*12)+VLOOKUP(CM$4,$DE$6:$DF$17,2)+1))*$E105</f>
        <v>0</v>
      </c>
      <c r="CN105" s="1021">
        <f>(VLOOKUP(YEAR($A105),'NY East Load Projections'!$A$4:$EO$14,((MONTH($A105)-1)*12)+VLOOKUP(CN$4,$DE$6:$DF$17,2)+1))*$E105</f>
        <v>0</v>
      </c>
      <c r="CO105" s="1021">
        <f>(VLOOKUP(YEAR($A105),'NY East Load Projections'!$A$4:$EO$14,((MONTH($A105)-1)*12)+VLOOKUP(CO$4,$DE$6:$DF$17,2)+1))*$E105</f>
        <v>0</v>
      </c>
      <c r="CP105" s="1021">
        <f>(VLOOKUP(YEAR($A105),'NY East Load Projections'!$A$4:$EO$14,((MONTH($A105)-1)*12)+VLOOKUP(CP$4,$DE$6:$DF$17,2)+1))*$E105</f>
        <v>0</v>
      </c>
      <c r="CQ105" s="1021">
        <f>(VLOOKUP(YEAR($A105),'NY East Load Projections'!$A$4:$EO$14,((MONTH($A105)-1)*12)+VLOOKUP(CQ$4,$DE$6:$DF$17,2)+1))*$E105</f>
        <v>0</v>
      </c>
      <c r="CR105" s="1021">
        <f>(VLOOKUP(YEAR($A105),'NY East Load Projections'!$A$4:$EO$14,((MONTH($A105)-1)*12)+VLOOKUP(CR$4,$DE$6:$DF$17,2)+1))*$E105</f>
        <v>0</v>
      </c>
      <c r="CS105" s="1021">
        <f>(VLOOKUP(YEAR($A105),'NY East Load Projections'!$A$4:$EO$14,((MONTH($A105)-1)*12)+VLOOKUP(CS$4,$DE$6:$DF$17,2)+1))*$E105</f>
        <v>0</v>
      </c>
      <c r="CT105" s="1021">
        <f>(VLOOKUP(YEAR($A105),'NY East Load Projections'!$A$4:$EO$14,((MONTH($A105)-1)*12)+VLOOKUP(CT$4,$DE$6:$DF$17,2)+1))*$E105</f>
        <v>0</v>
      </c>
      <c r="CU105" s="1021">
        <f>(VLOOKUP(YEAR($A105),'NY East Load Projections'!$A$4:$EO$14,((MONTH($A105)-1)*12)+VLOOKUP(CU$4,$DE$6:$DF$17,2)+1))*$E105</f>
        <v>0</v>
      </c>
      <c r="CV105" s="1021">
        <f>(VLOOKUP(YEAR($A105),'NY East Load Projections'!$A$4:$EO$14,((MONTH($A105)-1)*12)+VLOOKUP(CV$4,$DE$6:$DF$17,2)+1))*$E105</f>
        <v>0</v>
      </c>
      <c r="CW105" s="1021">
        <f>(VLOOKUP(YEAR($A105),'NY East Load Projections'!$A$4:$EO$14,((MONTH($A105)-1)*12)+VLOOKUP(CW$4,$DE$6:$DF$17,2)+1))*$E105</f>
        <v>0</v>
      </c>
      <c r="CX105" s="1021">
        <f>(VLOOKUP(YEAR($A105),'NY East Load Projections'!$A$4:$EO$14,((MONTH($A105)-1)*12)+VLOOKUP(CX$4,$DE$6:$DF$17,2)+1))*$E105</f>
        <v>0</v>
      </c>
      <c r="CY105" s="1021">
        <f>(VLOOKUP(YEAR($A105),'NY East Load Projections'!$A$4:$EO$14,((MONTH($A105)-1)*12)+VLOOKUP(CY$4,$DE$6:$DF$17,2)+1))*$E105</f>
        <v>0</v>
      </c>
      <c r="CZ105" s="1021">
        <f>(VLOOKUP(YEAR($A105),'NY East Load Projections'!$A$4:$EO$14,((MONTH($A105)-1)*12)+VLOOKUP(CZ$4,$DE$6:$DF$17,2)+1))*$E105</f>
        <v>0</v>
      </c>
      <c r="DA105" s="1021">
        <f>(VLOOKUP(YEAR($A105),'NY East Load Projections'!$A$4:$EO$14,((MONTH($A105)-1)*12)+VLOOKUP(DA$4,$DE$6:$DF$17,2)+1))*$E105</f>
        <v>0</v>
      </c>
      <c r="DB105" s="1021">
        <f>(VLOOKUP(YEAR($A105),'NY East Load Projections'!$A$4:$EO$14,((MONTH($A105)-1)*12)+VLOOKUP(DB$4,$DE$6:$DF$17,2)+1))*$E105</f>
        <v>0</v>
      </c>
      <c r="DH105" s="1009">
        <f t="shared" si="5"/>
        <v>-64497.503205797417</v>
      </c>
      <c r="DI105">
        <f ca="1">CALC!J125</f>
        <v>0.5117147372508184</v>
      </c>
      <c r="DJ105" s="1032">
        <f t="shared" ca="1" si="4"/>
        <v>-33004.322906288442</v>
      </c>
    </row>
    <row r="106" spans="1:114" x14ac:dyDescent="0.25">
      <c r="A106" s="244">
        <v>39934</v>
      </c>
      <c r="B106" s="13">
        <v>20</v>
      </c>
      <c r="C106" s="210">
        <v>5</v>
      </c>
      <c r="D106" s="210">
        <v>5</v>
      </c>
      <c r="E106" s="210">
        <v>1</v>
      </c>
      <c r="F106" s="13">
        <v>31</v>
      </c>
      <c r="H106" s="1021">
        <f>(VLOOKUP(YEAR($A106),'NY East Load Projections'!$A$4:$EO$14,((MONTH($A106)-1)*12)+VLOOKUP(H$4,$DE$6:$DF$17,2)+1))*$B106</f>
        <v>-1740.6948593036871</v>
      </c>
      <c r="I106" s="1021">
        <f>(VLOOKUP(YEAR($A106),'NY East Load Projections'!$A$4:$EO$14,((MONTH($A106)-1)*12)+VLOOKUP(I$4,$DE$6:$DF$17,2)+1))*$B106</f>
        <v>-1740.6948593036871</v>
      </c>
      <c r="J106" s="1021">
        <f>(VLOOKUP(YEAR($A106),'NY East Load Projections'!$A$4:$EO$14,((MONTH($A106)-1)*12)+VLOOKUP(J$4,$DE$6:$DF$17,2)+1))*$B106</f>
        <v>-1740.6948593036871</v>
      </c>
      <c r="K106" s="1021">
        <f>(VLOOKUP(YEAR($A106),'NY East Load Projections'!$A$4:$EO$14,((MONTH($A106)-1)*12)+VLOOKUP(K$4,$DE$6:$DF$17,2)+1))*$B106</f>
        <v>-1740.6948593036871</v>
      </c>
      <c r="L106" s="1021">
        <f>(VLOOKUP(YEAR($A106),'NY East Load Projections'!$A$4:$EO$14,((MONTH($A106)-1)*12)+VLOOKUP(L$4,$DE$6:$DF$17,2)+1))*$B106</f>
        <v>-1873.1596158554064</v>
      </c>
      <c r="M106" s="1021">
        <f>(VLOOKUP(YEAR($A106),'NY East Load Projections'!$A$4:$EO$14,((MONTH($A106)-1)*12)+VLOOKUP(M$4,$DE$6:$DF$17,2)+1))*$B106</f>
        <v>-1873.1596158554064</v>
      </c>
      <c r="N106" s="1021">
        <f>(VLOOKUP(YEAR($A106),'NY East Load Projections'!$A$4:$EO$14,((MONTH($A106)-1)*12)+VLOOKUP(N$4,$DE$6:$DF$17,2)+1))*$B106</f>
        <v>-1873.1596158554064</v>
      </c>
      <c r="O106" s="1021">
        <f>(VLOOKUP(YEAR($A106),'NY East Load Projections'!$A$4:$EO$14,((MONTH($A106)-1)*12)+VLOOKUP(O$4,$DE$6:$DF$17,2)+1))*$B106</f>
        <v>-1873.1596158554064</v>
      </c>
      <c r="P106" s="1021">
        <f>(VLOOKUP(YEAR($A106),'NY East Load Projections'!$A$4:$EO$14,((MONTH($A106)-1)*12)+VLOOKUP(P$4,$DE$6:$DF$17,2)+1))*$B106</f>
        <v>-2044.9195403221074</v>
      </c>
      <c r="Q106" s="1021">
        <f>(VLOOKUP(YEAR($A106),'NY East Load Projections'!$A$4:$EO$14,((MONTH($A106)-1)*12)+VLOOKUP(Q$4,$DE$6:$DF$17,2)+1))*$B106</f>
        <v>-2044.9195403221074</v>
      </c>
      <c r="R106" s="1021">
        <f>(VLOOKUP(YEAR($A106),'NY East Load Projections'!$A$4:$EO$14,((MONTH($A106)-1)*12)+VLOOKUP(R$4,$DE$6:$DF$17,2)+1))*$B106</f>
        <v>-2044.9195403221074</v>
      </c>
      <c r="S106" s="1021">
        <f>(VLOOKUP(YEAR($A106),'NY East Load Projections'!$A$4:$EO$14,((MONTH($A106)-1)*12)+VLOOKUP(S$4,$DE$6:$DF$17,2)+1))*$B106</f>
        <v>-2044.9195403221074</v>
      </c>
      <c r="T106" s="1021">
        <f>(VLOOKUP(YEAR($A106),'NY East Load Projections'!$A$4:$EO$14,((MONTH($A106)-1)*12)+VLOOKUP(T$4,$DE$6:$DF$17,2)+1))*$B106</f>
        <v>-2114.4337929319418</v>
      </c>
      <c r="U106" s="1021">
        <f>(VLOOKUP(YEAR($A106),'NY East Load Projections'!$A$4:$EO$14,((MONTH($A106)-1)*12)+VLOOKUP(U$4,$DE$6:$DF$17,2)+1))*$B106</f>
        <v>-2114.4337929319418</v>
      </c>
      <c r="V106" s="1021">
        <f>(VLOOKUP(YEAR($A106),'NY East Load Projections'!$A$4:$EO$14,((MONTH($A106)-1)*12)+VLOOKUP(V$4,$DE$6:$DF$17,2)+1))*$B106</f>
        <v>-2114.4337929319418</v>
      </c>
      <c r="W106" s="1021">
        <f>(VLOOKUP(YEAR($A106),'NY East Load Projections'!$A$4:$EO$14,((MONTH($A106)-1)*12)+VLOOKUP(W$4,$DE$6:$DF$17,2)+1))*$B106</f>
        <v>-2114.4337929319418</v>
      </c>
      <c r="X106" s="1021">
        <f>(VLOOKUP(YEAR($A106),'NY East Load Projections'!$A$4:$EO$14,((MONTH($A106)-1)*12)+VLOOKUP(X$4,$DE$6:$DF$17,2)+1))*$B106</f>
        <v>-2024.0718567169856</v>
      </c>
      <c r="Y106" s="1021">
        <f>(VLOOKUP(YEAR($A106),'NY East Load Projections'!$A$4:$EO$14,((MONTH($A106)-1)*12)+VLOOKUP(Y$4,$DE$6:$DF$17,2)+1))*$B106</f>
        <v>-2024.0718567169856</v>
      </c>
      <c r="Z106" s="1021">
        <f>(VLOOKUP(YEAR($A106),'NY East Load Projections'!$A$4:$EO$14,((MONTH($A106)-1)*12)+VLOOKUP(Z$4,$DE$6:$DF$17,2)+1))*$B106</f>
        <v>-2024.0718567169856</v>
      </c>
      <c r="AA106" s="1021">
        <f>(VLOOKUP(YEAR($A106),'NY East Load Projections'!$A$4:$EO$14,((MONTH($A106)-1)*12)+VLOOKUP(AA$4,$DE$6:$DF$17,2)+1))*$B106</f>
        <v>-2024.0718567169856</v>
      </c>
      <c r="AB106" s="1021">
        <f>(VLOOKUP(YEAR($A106),'NY East Load Projections'!$A$4:$EO$14,((MONTH($A106)-1)*12)+VLOOKUP(AB$4,$DE$6:$DF$17,2)+1))*$B106</f>
        <v>-1827.0162391854592</v>
      </c>
      <c r="AC106" s="1021">
        <f>(VLOOKUP(YEAR($A106),'NY East Load Projections'!$A$4:$EO$14,((MONTH($A106)-1)*12)+VLOOKUP(AC$4,$DE$6:$DF$17,2)+1))*$B106</f>
        <v>-1827.0162391854592</v>
      </c>
      <c r="AD106" s="1021">
        <f>(VLOOKUP(YEAR($A106),'NY East Load Projections'!$A$4:$EO$14,((MONTH($A106)-1)*12)+VLOOKUP(AD$4,$DE$6:$DF$17,2)+1))*$B106</f>
        <v>-1827.0162391854592</v>
      </c>
      <c r="AE106" s="1021">
        <f>(VLOOKUP(YEAR($A106),'NY East Load Projections'!$A$4:$EO$14,((MONTH($A106)-1)*12)+VLOOKUP(AE$4,$DE$6:$DF$17,2)+1))*$B106</f>
        <v>-1827.0162391854592</v>
      </c>
      <c r="AF106" s="1021"/>
      <c r="AG106" s="1021">
        <f>(VLOOKUP(YEAR($A106),'NY East Load Projections'!$A$4:$EO$14,((MONTH($A106)-1)*12)+VLOOKUP(AG$4,$DE$6:$DF$17,2)+1))*$C106</f>
        <v>-450.42073999656429</v>
      </c>
      <c r="AH106" s="1021">
        <f>(VLOOKUP(YEAR($A106),'NY East Load Projections'!$A$4:$EO$14,((MONTH($A106)-1)*12)+VLOOKUP(AH$4,$DE$6:$DF$17,2)+1))*$C106</f>
        <v>-450.42073999656429</v>
      </c>
      <c r="AI106" s="1021">
        <f>(VLOOKUP(YEAR($A106),'NY East Load Projections'!$A$4:$EO$14,((MONTH($A106)-1)*12)+VLOOKUP(AI$4,$DE$6:$DF$17,2)+1))*$C106</f>
        <v>-450.42073999656429</v>
      </c>
      <c r="AJ106" s="1021">
        <f>(VLOOKUP(YEAR($A106),'NY East Load Projections'!$A$4:$EO$14,((MONTH($A106)-1)*12)+VLOOKUP(AJ$4,$DE$6:$DF$17,2)+1))*$C106</f>
        <v>-450.42073999656429</v>
      </c>
      <c r="AK106" s="1021">
        <f>(VLOOKUP(YEAR($A106),'NY East Load Projections'!$A$4:$EO$14,((MONTH($A106)-1)*12)+VLOOKUP(AK$4,$DE$6:$DF$17,2)+1))*$C106</f>
        <v>-457.99488047347552</v>
      </c>
      <c r="AL106" s="1021">
        <f>(VLOOKUP(YEAR($A106),'NY East Load Projections'!$A$4:$EO$14,((MONTH($A106)-1)*12)+VLOOKUP(AL$4,$DE$6:$DF$17,2)+1))*$C106</f>
        <v>-457.99488047347552</v>
      </c>
      <c r="AM106" s="1021">
        <f>(VLOOKUP(YEAR($A106),'NY East Load Projections'!$A$4:$EO$14,((MONTH($A106)-1)*12)+VLOOKUP(AM$4,$DE$6:$DF$17,2)+1))*$C106</f>
        <v>-457.99488047347552</v>
      </c>
      <c r="AN106" s="1021">
        <f>(VLOOKUP(YEAR($A106),'NY East Load Projections'!$A$4:$EO$14,((MONTH($A106)-1)*12)+VLOOKUP(AN$4,$DE$6:$DF$17,2)+1))*$C106</f>
        <v>-457.99488047347552</v>
      </c>
      <c r="AO106" s="1021">
        <f>(VLOOKUP(YEAR($A106),'NY East Load Projections'!$A$4:$EO$14,((MONTH($A106)-1)*12)+VLOOKUP(AO$4,$DE$6:$DF$17,2)+1))*$C106</f>
        <v>-504.72021778941155</v>
      </c>
      <c r="AP106" s="1021">
        <f>(VLOOKUP(YEAR($A106),'NY East Load Projections'!$A$4:$EO$14,((MONTH($A106)-1)*12)+VLOOKUP(AP$4,$DE$6:$DF$17,2)+1))*$C106</f>
        <v>-504.72021778941155</v>
      </c>
      <c r="AQ106" s="1021">
        <f>(VLOOKUP(YEAR($A106),'NY East Load Projections'!$A$4:$EO$14,((MONTH($A106)-1)*12)+VLOOKUP(AQ$4,$DE$6:$DF$17,2)+1))*$C106</f>
        <v>-504.72021778941155</v>
      </c>
      <c r="AR106" s="1021">
        <f>(VLOOKUP(YEAR($A106),'NY East Load Projections'!$A$4:$EO$14,((MONTH($A106)-1)*12)+VLOOKUP(AR$4,$DE$6:$DF$17,2)+1))*$C106</f>
        <v>-504.72021778941155</v>
      </c>
      <c r="AS106" s="1021">
        <f>(VLOOKUP(YEAR($A106),'NY East Load Projections'!$A$4:$EO$14,((MONTH($A106)-1)*12)+VLOOKUP(AS$4,$DE$6:$DF$17,2)+1))*$C106</f>
        <v>-515.38372856191154</v>
      </c>
      <c r="AT106" s="1021">
        <f>(VLOOKUP(YEAR($A106),'NY East Load Projections'!$A$4:$EO$14,((MONTH($A106)-1)*12)+VLOOKUP(AT$4,$DE$6:$DF$17,2)+1))*$C106</f>
        <v>-515.38372856191154</v>
      </c>
      <c r="AU106" s="1021">
        <f>(VLOOKUP(YEAR($A106),'NY East Load Projections'!$A$4:$EO$14,((MONTH($A106)-1)*12)+VLOOKUP(AU$4,$DE$6:$DF$17,2)+1))*$C106</f>
        <v>-515.38372856191154</v>
      </c>
      <c r="AV106" s="1021">
        <f>(VLOOKUP(YEAR($A106),'NY East Load Projections'!$A$4:$EO$14,((MONTH($A106)-1)*12)+VLOOKUP(AV$4,$DE$6:$DF$17,2)+1))*$C106</f>
        <v>-515.38372856191154</v>
      </c>
      <c r="AW106" s="1021">
        <f>(VLOOKUP(YEAR($A106),'NY East Load Projections'!$A$4:$EO$14,((MONTH($A106)-1)*12)+VLOOKUP(AW$4,$DE$6:$DF$17,2)+1))*$C106</f>
        <v>-484.75061587279532</v>
      </c>
      <c r="AX106" s="1021">
        <f>(VLOOKUP(YEAR($A106),'NY East Load Projections'!$A$4:$EO$14,((MONTH($A106)-1)*12)+VLOOKUP(AX$4,$DE$6:$DF$17,2)+1))*$C106</f>
        <v>-484.75061587279532</v>
      </c>
      <c r="AY106" s="1021">
        <f>(VLOOKUP(YEAR($A106),'NY East Load Projections'!$A$4:$EO$14,((MONTH($A106)-1)*12)+VLOOKUP(AY$4,$DE$6:$DF$17,2)+1))*$C106</f>
        <v>-484.75061587279532</v>
      </c>
      <c r="AZ106" s="1021">
        <f>(VLOOKUP(YEAR($A106),'NY East Load Projections'!$A$4:$EO$14,((MONTH($A106)-1)*12)+VLOOKUP(AZ$4,$DE$6:$DF$17,2)+1))*$C106</f>
        <v>-484.75061587279532</v>
      </c>
      <c r="BA106" s="1021">
        <f>(VLOOKUP(YEAR($A106),'NY East Load Projections'!$A$4:$EO$14,((MONTH($A106)-1)*12)+VLOOKUP(BA$4,$DE$6:$DF$17,2)+1))*$C106</f>
        <v>-461.2355807430306</v>
      </c>
      <c r="BB106" s="1021">
        <f>(VLOOKUP(YEAR($A106),'NY East Load Projections'!$A$4:$EO$14,((MONTH($A106)-1)*12)+VLOOKUP(BB$4,$DE$6:$DF$17,2)+1))*$C106</f>
        <v>-461.2355807430306</v>
      </c>
      <c r="BC106" s="1021">
        <f>(VLOOKUP(YEAR($A106),'NY East Load Projections'!$A$4:$EO$14,((MONTH($A106)-1)*12)+VLOOKUP(BC$4,$DE$6:$DF$17,2)+1))*$C106</f>
        <v>-461.2355807430306</v>
      </c>
      <c r="BD106" s="1021">
        <f>(VLOOKUP(YEAR($A106),'NY East Load Projections'!$A$4:$EO$14,((MONTH($A106)-1)*12)+VLOOKUP(BD$4,$DE$6:$DF$17,2)+1))*$C106</f>
        <v>-461.2355807430306</v>
      </c>
      <c r="BE106" s="1021"/>
      <c r="BF106" s="1021">
        <f>(VLOOKUP(YEAR($A106),'NY East Load Projections'!$A$4:$EO$14,((MONTH($A106)-1)*12)+VLOOKUP(BF$4,$DE$6:$DF$17,2)+1))*$D106</f>
        <v>-450.42073999656429</v>
      </c>
      <c r="BG106" s="1021">
        <f>(VLOOKUP(YEAR($A106),'NY East Load Projections'!$A$4:$EO$14,((MONTH($A106)-1)*12)+VLOOKUP(BG$4,$DE$6:$DF$17,2)+1))*$D106</f>
        <v>-450.42073999656429</v>
      </c>
      <c r="BH106" s="1021">
        <f>(VLOOKUP(YEAR($A106),'NY East Load Projections'!$A$4:$EO$14,((MONTH($A106)-1)*12)+VLOOKUP(BH$4,$DE$6:$DF$17,2)+1))*$D106</f>
        <v>-450.42073999656429</v>
      </c>
      <c r="BI106" s="1021">
        <f>(VLOOKUP(YEAR($A106),'NY East Load Projections'!$A$4:$EO$14,((MONTH($A106)-1)*12)+VLOOKUP(BI$4,$DE$6:$DF$17,2)+1))*$D106</f>
        <v>-450.42073999656429</v>
      </c>
      <c r="BJ106" s="1021">
        <f>(VLOOKUP(YEAR($A106),'NY East Load Projections'!$A$4:$EO$14,((MONTH($A106)-1)*12)+VLOOKUP(BJ$4,$DE$6:$DF$17,2)+1))*$D106</f>
        <v>-457.99488047347552</v>
      </c>
      <c r="BK106" s="1021">
        <f>(VLOOKUP(YEAR($A106),'NY East Load Projections'!$A$4:$EO$14,((MONTH($A106)-1)*12)+VLOOKUP(BK$4,$DE$6:$DF$17,2)+1))*$D106</f>
        <v>-457.99488047347552</v>
      </c>
      <c r="BL106" s="1021">
        <f>(VLOOKUP(YEAR($A106),'NY East Load Projections'!$A$4:$EO$14,((MONTH($A106)-1)*12)+VLOOKUP(BL$4,$DE$6:$DF$17,2)+1))*$D106</f>
        <v>-457.99488047347552</v>
      </c>
      <c r="BM106" s="1021">
        <f>(VLOOKUP(YEAR($A106),'NY East Load Projections'!$A$4:$EO$14,((MONTH($A106)-1)*12)+VLOOKUP(BM$4,$DE$6:$DF$17,2)+1))*$D106</f>
        <v>-457.99488047347552</v>
      </c>
      <c r="BN106" s="1021">
        <f>(VLOOKUP(YEAR($A106),'NY East Load Projections'!$A$4:$EO$14,((MONTH($A106)-1)*12)+VLOOKUP(BN$4,$DE$6:$DF$17,2)+1))*$D106</f>
        <v>-504.72021778941155</v>
      </c>
      <c r="BO106" s="1021">
        <f>(VLOOKUP(YEAR($A106),'NY East Load Projections'!$A$4:$EO$14,((MONTH($A106)-1)*12)+VLOOKUP(BO$4,$DE$6:$DF$17,2)+1))*$D106</f>
        <v>-504.72021778941155</v>
      </c>
      <c r="BP106" s="1021">
        <f>(VLOOKUP(YEAR($A106),'NY East Load Projections'!$A$4:$EO$14,((MONTH($A106)-1)*12)+VLOOKUP(BP$4,$DE$6:$DF$17,2)+1))*$D106</f>
        <v>-504.72021778941155</v>
      </c>
      <c r="BQ106" s="1021">
        <f>(VLOOKUP(YEAR($A106),'NY East Load Projections'!$A$4:$EO$14,((MONTH($A106)-1)*12)+VLOOKUP(BQ$4,$DE$6:$DF$17,2)+1))*$D106</f>
        <v>-504.72021778941155</v>
      </c>
      <c r="BR106" s="1021">
        <f>(VLOOKUP(YEAR($A106),'NY East Load Projections'!$A$4:$EO$14,((MONTH($A106)-1)*12)+VLOOKUP(BR$4,$DE$6:$DF$17,2)+1))*$D106</f>
        <v>-515.38372856191154</v>
      </c>
      <c r="BS106" s="1021">
        <f>(VLOOKUP(YEAR($A106),'NY East Load Projections'!$A$4:$EO$14,((MONTH($A106)-1)*12)+VLOOKUP(BS$4,$DE$6:$DF$17,2)+1))*$D106</f>
        <v>-515.38372856191154</v>
      </c>
      <c r="BT106" s="1021">
        <f>(VLOOKUP(YEAR($A106),'NY East Load Projections'!$A$4:$EO$14,((MONTH($A106)-1)*12)+VLOOKUP(BT$4,$DE$6:$DF$17,2)+1))*$D106</f>
        <v>-515.38372856191154</v>
      </c>
      <c r="BU106" s="1021">
        <f>(VLOOKUP(YEAR($A106),'NY East Load Projections'!$A$4:$EO$14,((MONTH($A106)-1)*12)+VLOOKUP(BU$4,$DE$6:$DF$17,2)+1))*$D106</f>
        <v>-515.38372856191154</v>
      </c>
      <c r="BV106" s="1021">
        <f>(VLOOKUP(YEAR($A106),'NY East Load Projections'!$A$4:$EO$14,((MONTH($A106)-1)*12)+VLOOKUP(BV$4,$DE$6:$DF$17,2)+1))*$D106</f>
        <v>-484.75061587279532</v>
      </c>
      <c r="BW106" s="1021">
        <f>(VLOOKUP(YEAR($A106),'NY East Load Projections'!$A$4:$EO$14,((MONTH($A106)-1)*12)+VLOOKUP(BW$4,$DE$6:$DF$17,2)+1))*$D106</f>
        <v>-484.75061587279532</v>
      </c>
      <c r="BX106" s="1021">
        <f>(VLOOKUP(YEAR($A106),'NY East Load Projections'!$A$4:$EO$14,((MONTH($A106)-1)*12)+VLOOKUP(BX$4,$DE$6:$DF$17,2)+1))*$D106</f>
        <v>-484.75061587279532</v>
      </c>
      <c r="BY106" s="1021">
        <f>(VLOOKUP(YEAR($A106),'NY East Load Projections'!$A$4:$EO$14,((MONTH($A106)-1)*12)+VLOOKUP(BY$4,$DE$6:$DF$17,2)+1))*$D106</f>
        <v>-484.75061587279532</v>
      </c>
      <c r="BZ106" s="1021">
        <f>(VLOOKUP(YEAR($A106),'NY East Load Projections'!$A$4:$EO$14,((MONTH($A106)-1)*12)+VLOOKUP(BZ$4,$DE$6:$DF$17,2)+1))*$D106</f>
        <v>-461.2355807430306</v>
      </c>
      <c r="CA106" s="1021">
        <f>(VLOOKUP(YEAR($A106),'NY East Load Projections'!$A$4:$EO$14,((MONTH($A106)-1)*12)+VLOOKUP(CA$4,$DE$6:$DF$17,2)+1))*$D106</f>
        <v>-461.2355807430306</v>
      </c>
      <c r="CB106" s="1021">
        <f>(VLOOKUP(YEAR($A106),'NY East Load Projections'!$A$4:$EO$14,((MONTH($A106)-1)*12)+VLOOKUP(CB$4,$DE$6:$DF$17,2)+1))*$D106</f>
        <v>-461.2355807430306</v>
      </c>
      <c r="CC106" s="1021">
        <f>(VLOOKUP(YEAR($A106),'NY East Load Projections'!$A$4:$EO$14,((MONTH($A106)-1)*12)+VLOOKUP(CC$4,$DE$6:$DF$17,2)+1))*$D106</f>
        <v>-461.2355807430306</v>
      </c>
      <c r="CE106" s="1021">
        <f>(VLOOKUP(YEAR($A106),'NY East Load Projections'!$A$4:$EO$14,((MONTH($A106)-1)*12)+VLOOKUP(CE$4,$DE$6:$DF$17,2)+1))*$E106</f>
        <v>-90.084147999312862</v>
      </c>
      <c r="CF106" s="1021">
        <f>(VLOOKUP(YEAR($A106),'NY East Load Projections'!$A$4:$EO$14,((MONTH($A106)-1)*12)+VLOOKUP(CF$4,$DE$6:$DF$17,2)+1))*$E106</f>
        <v>-90.084147999312862</v>
      </c>
      <c r="CG106" s="1021">
        <f>(VLOOKUP(YEAR($A106),'NY East Load Projections'!$A$4:$EO$14,((MONTH($A106)-1)*12)+VLOOKUP(CG$4,$DE$6:$DF$17,2)+1))*$E106</f>
        <v>-90.084147999312862</v>
      </c>
      <c r="CH106" s="1021">
        <f>(VLOOKUP(YEAR($A106),'NY East Load Projections'!$A$4:$EO$14,((MONTH($A106)-1)*12)+VLOOKUP(CH$4,$DE$6:$DF$17,2)+1))*$E106</f>
        <v>-90.084147999312862</v>
      </c>
      <c r="CI106" s="1021">
        <f>(VLOOKUP(YEAR($A106),'NY East Load Projections'!$A$4:$EO$14,((MONTH($A106)-1)*12)+VLOOKUP(CI$4,$DE$6:$DF$17,2)+1))*$E106</f>
        <v>-91.598976094695104</v>
      </c>
      <c r="CJ106" s="1021">
        <f>(VLOOKUP(YEAR($A106),'NY East Load Projections'!$A$4:$EO$14,((MONTH($A106)-1)*12)+VLOOKUP(CJ$4,$DE$6:$DF$17,2)+1))*$E106</f>
        <v>-91.598976094695104</v>
      </c>
      <c r="CK106" s="1021">
        <f>(VLOOKUP(YEAR($A106),'NY East Load Projections'!$A$4:$EO$14,((MONTH($A106)-1)*12)+VLOOKUP(CK$4,$DE$6:$DF$17,2)+1))*$E106</f>
        <v>-91.598976094695104</v>
      </c>
      <c r="CL106" s="1021">
        <f>(VLOOKUP(YEAR($A106),'NY East Load Projections'!$A$4:$EO$14,((MONTH($A106)-1)*12)+VLOOKUP(CL$4,$DE$6:$DF$17,2)+1))*$E106</f>
        <v>-91.598976094695104</v>
      </c>
      <c r="CM106" s="1021">
        <f>(VLOOKUP(YEAR($A106),'NY East Load Projections'!$A$4:$EO$14,((MONTH($A106)-1)*12)+VLOOKUP(CM$4,$DE$6:$DF$17,2)+1))*$E106</f>
        <v>-100.94404355788231</v>
      </c>
      <c r="CN106" s="1021">
        <f>(VLOOKUP(YEAR($A106),'NY East Load Projections'!$A$4:$EO$14,((MONTH($A106)-1)*12)+VLOOKUP(CN$4,$DE$6:$DF$17,2)+1))*$E106</f>
        <v>-100.94404355788231</v>
      </c>
      <c r="CO106" s="1021">
        <f>(VLOOKUP(YEAR($A106),'NY East Load Projections'!$A$4:$EO$14,((MONTH($A106)-1)*12)+VLOOKUP(CO$4,$DE$6:$DF$17,2)+1))*$E106</f>
        <v>-100.94404355788231</v>
      </c>
      <c r="CP106" s="1021">
        <f>(VLOOKUP(YEAR($A106),'NY East Load Projections'!$A$4:$EO$14,((MONTH($A106)-1)*12)+VLOOKUP(CP$4,$DE$6:$DF$17,2)+1))*$E106</f>
        <v>-100.94404355788231</v>
      </c>
      <c r="CQ106" s="1021">
        <f>(VLOOKUP(YEAR($A106),'NY East Load Projections'!$A$4:$EO$14,((MONTH($A106)-1)*12)+VLOOKUP(CQ$4,$DE$6:$DF$17,2)+1))*$E106</f>
        <v>-103.0767457123823</v>
      </c>
      <c r="CR106" s="1021">
        <f>(VLOOKUP(YEAR($A106),'NY East Load Projections'!$A$4:$EO$14,((MONTH($A106)-1)*12)+VLOOKUP(CR$4,$DE$6:$DF$17,2)+1))*$E106</f>
        <v>-103.0767457123823</v>
      </c>
      <c r="CS106" s="1021">
        <f>(VLOOKUP(YEAR($A106),'NY East Load Projections'!$A$4:$EO$14,((MONTH($A106)-1)*12)+VLOOKUP(CS$4,$DE$6:$DF$17,2)+1))*$E106</f>
        <v>-103.0767457123823</v>
      </c>
      <c r="CT106" s="1021">
        <f>(VLOOKUP(YEAR($A106),'NY East Load Projections'!$A$4:$EO$14,((MONTH($A106)-1)*12)+VLOOKUP(CT$4,$DE$6:$DF$17,2)+1))*$E106</f>
        <v>-103.0767457123823</v>
      </c>
      <c r="CU106" s="1021">
        <f>(VLOOKUP(YEAR($A106),'NY East Load Projections'!$A$4:$EO$14,((MONTH($A106)-1)*12)+VLOOKUP(CU$4,$DE$6:$DF$17,2)+1))*$E106</f>
        <v>-96.950123174559067</v>
      </c>
      <c r="CV106" s="1021">
        <f>(VLOOKUP(YEAR($A106),'NY East Load Projections'!$A$4:$EO$14,((MONTH($A106)-1)*12)+VLOOKUP(CV$4,$DE$6:$DF$17,2)+1))*$E106</f>
        <v>-96.950123174559067</v>
      </c>
      <c r="CW106" s="1021">
        <f>(VLOOKUP(YEAR($A106),'NY East Load Projections'!$A$4:$EO$14,((MONTH($A106)-1)*12)+VLOOKUP(CW$4,$DE$6:$DF$17,2)+1))*$E106</f>
        <v>-96.950123174559067</v>
      </c>
      <c r="CX106" s="1021">
        <f>(VLOOKUP(YEAR($A106),'NY East Load Projections'!$A$4:$EO$14,((MONTH($A106)-1)*12)+VLOOKUP(CX$4,$DE$6:$DF$17,2)+1))*$E106</f>
        <v>-96.950123174559067</v>
      </c>
      <c r="CY106" s="1021">
        <f>(VLOOKUP(YEAR($A106),'NY East Load Projections'!$A$4:$EO$14,((MONTH($A106)-1)*12)+VLOOKUP(CY$4,$DE$6:$DF$17,2)+1))*$E106</f>
        <v>-92.247116148606125</v>
      </c>
      <c r="CZ106" s="1021">
        <f>(VLOOKUP(YEAR($A106),'NY East Load Projections'!$A$4:$EO$14,((MONTH($A106)-1)*12)+VLOOKUP(CZ$4,$DE$6:$DF$17,2)+1))*$E106</f>
        <v>-92.247116148606125</v>
      </c>
      <c r="DA106" s="1021">
        <f>(VLOOKUP(YEAR($A106),'NY East Load Projections'!$A$4:$EO$14,((MONTH($A106)-1)*12)+VLOOKUP(DA$4,$DE$6:$DF$17,2)+1))*$E106</f>
        <v>-92.247116148606125</v>
      </c>
      <c r="DB106" s="1021">
        <f>(VLOOKUP(YEAR($A106),'NY East Load Projections'!$A$4:$EO$14,((MONTH($A106)-1)*12)+VLOOKUP(DB$4,$DE$6:$DF$17,2)+1))*$E106</f>
        <v>-92.247116148606125</v>
      </c>
      <c r="DH106" s="1009">
        <f t="shared" si="5"/>
        <v>-71792.834335509571</v>
      </c>
      <c r="DI106">
        <f ca="1">CALC!J126</f>
        <v>0.5084995006426769</v>
      </c>
      <c r="DJ106" s="1032">
        <f t="shared" ca="1" si="4"/>
        <v>-36506.620409329043</v>
      </c>
    </row>
    <row r="107" spans="1:114" x14ac:dyDescent="0.25">
      <c r="A107" s="244">
        <v>39965</v>
      </c>
      <c r="B107" s="13">
        <v>22</v>
      </c>
      <c r="C107" s="210">
        <v>4</v>
      </c>
      <c r="D107" s="210">
        <v>4</v>
      </c>
      <c r="E107" s="210">
        <v>0</v>
      </c>
      <c r="F107" s="13">
        <v>30</v>
      </c>
      <c r="H107" s="1021">
        <f>(VLOOKUP(YEAR($A107),'NY East Load Projections'!$A$4:$EO$14,((MONTH($A107)-1)*12)+VLOOKUP(H$4,$DE$6:$DF$17,2)+1))*$B107</f>
        <v>-1998.2842994397379</v>
      </c>
      <c r="I107" s="1021">
        <f>(VLOOKUP(YEAR($A107),'NY East Load Projections'!$A$4:$EO$14,((MONTH($A107)-1)*12)+VLOOKUP(I$4,$DE$6:$DF$17,2)+1))*$B107</f>
        <v>-1998.2842994397379</v>
      </c>
      <c r="J107" s="1021">
        <f>(VLOOKUP(YEAR($A107),'NY East Load Projections'!$A$4:$EO$14,((MONTH($A107)-1)*12)+VLOOKUP(J$4,$DE$6:$DF$17,2)+1))*$B107</f>
        <v>-1998.2842994397379</v>
      </c>
      <c r="K107" s="1021">
        <f>(VLOOKUP(YEAR($A107),'NY East Load Projections'!$A$4:$EO$14,((MONTH($A107)-1)*12)+VLOOKUP(K$4,$DE$6:$DF$17,2)+1))*$B107</f>
        <v>-1998.2842994397379</v>
      </c>
      <c r="L107" s="1021">
        <f>(VLOOKUP(YEAR($A107),'NY East Load Projections'!$A$4:$EO$14,((MONTH($A107)-1)*12)+VLOOKUP(L$4,$DE$6:$DF$17,2)+1))*$B107</f>
        <v>-2146.6599358007761</v>
      </c>
      <c r="M107" s="1021">
        <f>(VLOOKUP(YEAR($A107),'NY East Load Projections'!$A$4:$EO$14,((MONTH($A107)-1)*12)+VLOOKUP(M$4,$DE$6:$DF$17,2)+1))*$B107</f>
        <v>-2146.6599358007761</v>
      </c>
      <c r="N107" s="1021">
        <f>(VLOOKUP(YEAR($A107),'NY East Load Projections'!$A$4:$EO$14,((MONTH($A107)-1)*12)+VLOOKUP(N$4,$DE$6:$DF$17,2)+1))*$B107</f>
        <v>-2146.6599358007761</v>
      </c>
      <c r="O107" s="1021">
        <f>(VLOOKUP(YEAR($A107),'NY East Load Projections'!$A$4:$EO$14,((MONTH($A107)-1)*12)+VLOOKUP(O$4,$DE$6:$DF$17,2)+1))*$B107</f>
        <v>-2146.6599358007761</v>
      </c>
      <c r="P107" s="1021">
        <f>(VLOOKUP(YEAR($A107),'NY East Load Projections'!$A$4:$EO$14,((MONTH($A107)-1)*12)+VLOOKUP(P$4,$DE$6:$DF$17,2)+1))*$B107</f>
        <v>-2338.852877729581</v>
      </c>
      <c r="Q107" s="1021">
        <f>(VLOOKUP(YEAR($A107),'NY East Load Projections'!$A$4:$EO$14,((MONTH($A107)-1)*12)+VLOOKUP(Q$4,$DE$6:$DF$17,2)+1))*$B107</f>
        <v>-2338.852877729581</v>
      </c>
      <c r="R107" s="1021">
        <f>(VLOOKUP(YEAR($A107),'NY East Load Projections'!$A$4:$EO$14,((MONTH($A107)-1)*12)+VLOOKUP(R$4,$DE$6:$DF$17,2)+1))*$B107</f>
        <v>-2338.852877729581</v>
      </c>
      <c r="S107" s="1021">
        <f>(VLOOKUP(YEAR($A107),'NY East Load Projections'!$A$4:$EO$14,((MONTH($A107)-1)*12)+VLOOKUP(S$4,$DE$6:$DF$17,2)+1))*$B107</f>
        <v>-2338.852877729581</v>
      </c>
      <c r="T107" s="1021">
        <f>(VLOOKUP(YEAR($A107),'NY East Load Projections'!$A$4:$EO$14,((MONTH($A107)-1)*12)+VLOOKUP(T$4,$DE$6:$DF$17,2)+1))*$B107</f>
        <v>-2393.8685454614406</v>
      </c>
      <c r="U107" s="1021">
        <f>(VLOOKUP(YEAR($A107),'NY East Load Projections'!$A$4:$EO$14,((MONTH($A107)-1)*12)+VLOOKUP(U$4,$DE$6:$DF$17,2)+1))*$B107</f>
        <v>-2393.8685454614406</v>
      </c>
      <c r="V107" s="1021">
        <f>(VLOOKUP(YEAR($A107),'NY East Load Projections'!$A$4:$EO$14,((MONTH($A107)-1)*12)+VLOOKUP(V$4,$DE$6:$DF$17,2)+1))*$B107</f>
        <v>-2393.8685454614406</v>
      </c>
      <c r="W107" s="1021">
        <f>(VLOOKUP(YEAR($A107),'NY East Load Projections'!$A$4:$EO$14,((MONTH($A107)-1)*12)+VLOOKUP(W$4,$DE$6:$DF$17,2)+1))*$B107</f>
        <v>-2393.8685454614406</v>
      </c>
      <c r="X107" s="1021">
        <f>(VLOOKUP(YEAR($A107),'NY East Load Projections'!$A$4:$EO$14,((MONTH($A107)-1)*12)+VLOOKUP(X$4,$DE$6:$DF$17,2)+1))*$B107</f>
        <v>-2301.5209441351094</v>
      </c>
      <c r="Y107" s="1021">
        <f>(VLOOKUP(YEAR($A107),'NY East Load Projections'!$A$4:$EO$14,((MONTH($A107)-1)*12)+VLOOKUP(Y$4,$DE$6:$DF$17,2)+1))*$B107</f>
        <v>-2301.5209441351094</v>
      </c>
      <c r="Z107" s="1021">
        <f>(VLOOKUP(YEAR($A107),'NY East Load Projections'!$A$4:$EO$14,((MONTH($A107)-1)*12)+VLOOKUP(Z$4,$DE$6:$DF$17,2)+1))*$B107</f>
        <v>-2301.5209441351094</v>
      </c>
      <c r="AA107" s="1021">
        <f>(VLOOKUP(YEAR($A107),'NY East Load Projections'!$A$4:$EO$14,((MONTH($A107)-1)*12)+VLOOKUP(AA$4,$DE$6:$DF$17,2)+1))*$B107</f>
        <v>-2301.5209441351094</v>
      </c>
      <c r="AB107" s="1021">
        <f>(VLOOKUP(YEAR($A107),'NY East Load Projections'!$A$4:$EO$14,((MONTH($A107)-1)*12)+VLOOKUP(AB$4,$DE$6:$DF$17,2)+1))*$B107</f>
        <v>-2092.0100555196195</v>
      </c>
      <c r="AC107" s="1021">
        <f>(VLOOKUP(YEAR($A107),'NY East Load Projections'!$A$4:$EO$14,((MONTH($A107)-1)*12)+VLOOKUP(AC$4,$DE$6:$DF$17,2)+1))*$B107</f>
        <v>-2092.0100555196195</v>
      </c>
      <c r="AD107" s="1021">
        <f>(VLOOKUP(YEAR($A107),'NY East Load Projections'!$A$4:$EO$14,((MONTH($A107)-1)*12)+VLOOKUP(AD$4,$DE$6:$DF$17,2)+1))*$B107</f>
        <v>-2092.0100555196195</v>
      </c>
      <c r="AE107" s="1021">
        <f>(VLOOKUP(YEAR($A107),'NY East Load Projections'!$A$4:$EO$14,((MONTH($A107)-1)*12)+VLOOKUP(AE$4,$DE$6:$DF$17,2)+1))*$B107</f>
        <v>-2092.0100555196195</v>
      </c>
      <c r="AF107" s="1021"/>
      <c r="AG107" s="1021">
        <f>(VLOOKUP(YEAR($A107),'NY East Load Projections'!$A$4:$EO$14,((MONTH($A107)-1)*12)+VLOOKUP(AG$4,$DE$6:$DF$17,2)+1))*$C107</f>
        <v>-369.44603018056495</v>
      </c>
      <c r="AH107" s="1021">
        <f>(VLOOKUP(YEAR($A107),'NY East Load Projections'!$A$4:$EO$14,((MONTH($A107)-1)*12)+VLOOKUP(AH$4,$DE$6:$DF$17,2)+1))*$C107</f>
        <v>-369.44603018056495</v>
      </c>
      <c r="AI107" s="1021">
        <f>(VLOOKUP(YEAR($A107),'NY East Load Projections'!$A$4:$EO$14,((MONTH($A107)-1)*12)+VLOOKUP(AI$4,$DE$6:$DF$17,2)+1))*$C107</f>
        <v>-369.44603018056495</v>
      </c>
      <c r="AJ107" s="1021">
        <f>(VLOOKUP(YEAR($A107),'NY East Load Projections'!$A$4:$EO$14,((MONTH($A107)-1)*12)+VLOOKUP(AJ$4,$DE$6:$DF$17,2)+1))*$C107</f>
        <v>-369.44603018056495</v>
      </c>
      <c r="AK107" s="1021">
        <f>(VLOOKUP(YEAR($A107),'NY East Load Projections'!$A$4:$EO$14,((MONTH($A107)-1)*12)+VLOOKUP(AK$4,$DE$6:$DF$17,2)+1))*$C107</f>
        <v>-373.43615022955152</v>
      </c>
      <c r="AL107" s="1021">
        <f>(VLOOKUP(YEAR($A107),'NY East Load Projections'!$A$4:$EO$14,((MONTH($A107)-1)*12)+VLOOKUP(AL$4,$DE$6:$DF$17,2)+1))*$C107</f>
        <v>-373.43615022955152</v>
      </c>
      <c r="AM107" s="1021">
        <f>(VLOOKUP(YEAR($A107),'NY East Load Projections'!$A$4:$EO$14,((MONTH($A107)-1)*12)+VLOOKUP(AM$4,$DE$6:$DF$17,2)+1))*$C107</f>
        <v>-373.43615022955152</v>
      </c>
      <c r="AN107" s="1021">
        <f>(VLOOKUP(YEAR($A107),'NY East Load Projections'!$A$4:$EO$14,((MONTH($A107)-1)*12)+VLOOKUP(AN$4,$DE$6:$DF$17,2)+1))*$C107</f>
        <v>-373.43615022955152</v>
      </c>
      <c r="AO107" s="1021">
        <f>(VLOOKUP(YEAR($A107),'NY East Load Projections'!$A$4:$EO$14,((MONTH($A107)-1)*12)+VLOOKUP(AO$4,$DE$6:$DF$17,2)+1))*$C107</f>
        <v>-404.8200330941504</v>
      </c>
      <c r="AP107" s="1021">
        <f>(VLOOKUP(YEAR($A107),'NY East Load Projections'!$A$4:$EO$14,((MONTH($A107)-1)*12)+VLOOKUP(AP$4,$DE$6:$DF$17,2)+1))*$C107</f>
        <v>-404.8200330941504</v>
      </c>
      <c r="AQ107" s="1021">
        <f>(VLOOKUP(YEAR($A107),'NY East Load Projections'!$A$4:$EO$14,((MONTH($A107)-1)*12)+VLOOKUP(AQ$4,$DE$6:$DF$17,2)+1))*$C107</f>
        <v>-404.8200330941504</v>
      </c>
      <c r="AR107" s="1021">
        <f>(VLOOKUP(YEAR($A107),'NY East Load Projections'!$A$4:$EO$14,((MONTH($A107)-1)*12)+VLOOKUP(AR$4,$DE$6:$DF$17,2)+1))*$C107</f>
        <v>-404.8200330941504</v>
      </c>
      <c r="AS107" s="1021">
        <f>(VLOOKUP(YEAR($A107),'NY East Load Projections'!$A$4:$EO$14,((MONTH($A107)-1)*12)+VLOOKUP(AS$4,$DE$6:$DF$17,2)+1))*$C107</f>
        <v>-415.09343112950273</v>
      </c>
      <c r="AT107" s="1021">
        <f>(VLOOKUP(YEAR($A107),'NY East Load Projections'!$A$4:$EO$14,((MONTH($A107)-1)*12)+VLOOKUP(AT$4,$DE$6:$DF$17,2)+1))*$C107</f>
        <v>-415.09343112950273</v>
      </c>
      <c r="AU107" s="1021">
        <f>(VLOOKUP(YEAR($A107),'NY East Load Projections'!$A$4:$EO$14,((MONTH($A107)-1)*12)+VLOOKUP(AU$4,$DE$6:$DF$17,2)+1))*$C107</f>
        <v>-415.09343112950273</v>
      </c>
      <c r="AV107" s="1021">
        <f>(VLOOKUP(YEAR($A107),'NY East Load Projections'!$A$4:$EO$14,((MONTH($A107)-1)*12)+VLOOKUP(AV$4,$DE$6:$DF$17,2)+1))*$C107</f>
        <v>-415.09343112950273</v>
      </c>
      <c r="AW107" s="1021">
        <f>(VLOOKUP(YEAR($A107),'NY East Load Projections'!$A$4:$EO$14,((MONTH($A107)-1)*12)+VLOOKUP(AW$4,$DE$6:$DF$17,2)+1))*$C107</f>
        <v>-396.89997850474958</v>
      </c>
      <c r="AX107" s="1021">
        <f>(VLOOKUP(YEAR($A107),'NY East Load Projections'!$A$4:$EO$14,((MONTH($A107)-1)*12)+VLOOKUP(AX$4,$DE$6:$DF$17,2)+1))*$C107</f>
        <v>-396.89997850474958</v>
      </c>
      <c r="AY107" s="1021">
        <f>(VLOOKUP(YEAR($A107),'NY East Load Projections'!$A$4:$EO$14,((MONTH($A107)-1)*12)+VLOOKUP(AY$4,$DE$6:$DF$17,2)+1))*$C107</f>
        <v>-396.89997850474958</v>
      </c>
      <c r="AZ107" s="1021">
        <f>(VLOOKUP(YEAR($A107),'NY East Load Projections'!$A$4:$EO$14,((MONTH($A107)-1)*12)+VLOOKUP(AZ$4,$DE$6:$DF$17,2)+1))*$C107</f>
        <v>-396.89997850474958</v>
      </c>
      <c r="BA107" s="1021">
        <f>(VLOOKUP(YEAR($A107),'NY East Load Projections'!$A$4:$EO$14,((MONTH($A107)-1)*12)+VLOOKUP(BA$4,$DE$6:$DF$17,2)+1))*$C107</f>
        <v>-376.89514118611271</v>
      </c>
      <c r="BB107" s="1021">
        <f>(VLOOKUP(YEAR($A107),'NY East Load Projections'!$A$4:$EO$14,((MONTH($A107)-1)*12)+VLOOKUP(BB$4,$DE$6:$DF$17,2)+1))*$C107</f>
        <v>-376.89514118611271</v>
      </c>
      <c r="BC107" s="1021">
        <f>(VLOOKUP(YEAR($A107),'NY East Load Projections'!$A$4:$EO$14,((MONTH($A107)-1)*12)+VLOOKUP(BC$4,$DE$6:$DF$17,2)+1))*$C107</f>
        <v>-376.89514118611271</v>
      </c>
      <c r="BD107" s="1021">
        <f>(VLOOKUP(YEAR($A107),'NY East Load Projections'!$A$4:$EO$14,((MONTH($A107)-1)*12)+VLOOKUP(BD$4,$DE$6:$DF$17,2)+1))*$C107</f>
        <v>-376.89514118611271</v>
      </c>
      <c r="BE107" s="1021"/>
      <c r="BF107" s="1021">
        <f>(VLOOKUP(YEAR($A107),'NY East Load Projections'!$A$4:$EO$14,((MONTH($A107)-1)*12)+VLOOKUP(BF$4,$DE$6:$DF$17,2)+1))*$D107</f>
        <v>-369.44603018056495</v>
      </c>
      <c r="BG107" s="1021">
        <f>(VLOOKUP(YEAR($A107),'NY East Load Projections'!$A$4:$EO$14,((MONTH($A107)-1)*12)+VLOOKUP(BG$4,$DE$6:$DF$17,2)+1))*$D107</f>
        <v>-369.44603018056495</v>
      </c>
      <c r="BH107" s="1021">
        <f>(VLOOKUP(YEAR($A107),'NY East Load Projections'!$A$4:$EO$14,((MONTH($A107)-1)*12)+VLOOKUP(BH$4,$DE$6:$DF$17,2)+1))*$D107</f>
        <v>-369.44603018056495</v>
      </c>
      <c r="BI107" s="1021">
        <f>(VLOOKUP(YEAR($A107),'NY East Load Projections'!$A$4:$EO$14,((MONTH($A107)-1)*12)+VLOOKUP(BI$4,$DE$6:$DF$17,2)+1))*$D107</f>
        <v>-369.44603018056495</v>
      </c>
      <c r="BJ107" s="1021">
        <f>(VLOOKUP(YEAR($A107),'NY East Load Projections'!$A$4:$EO$14,((MONTH($A107)-1)*12)+VLOOKUP(BJ$4,$DE$6:$DF$17,2)+1))*$D107</f>
        <v>-373.43615022955152</v>
      </c>
      <c r="BK107" s="1021">
        <f>(VLOOKUP(YEAR($A107),'NY East Load Projections'!$A$4:$EO$14,((MONTH($A107)-1)*12)+VLOOKUP(BK$4,$DE$6:$DF$17,2)+1))*$D107</f>
        <v>-373.43615022955152</v>
      </c>
      <c r="BL107" s="1021">
        <f>(VLOOKUP(YEAR($A107),'NY East Load Projections'!$A$4:$EO$14,((MONTH($A107)-1)*12)+VLOOKUP(BL$4,$DE$6:$DF$17,2)+1))*$D107</f>
        <v>-373.43615022955152</v>
      </c>
      <c r="BM107" s="1021">
        <f>(VLOOKUP(YEAR($A107),'NY East Load Projections'!$A$4:$EO$14,((MONTH($A107)-1)*12)+VLOOKUP(BM$4,$DE$6:$DF$17,2)+1))*$D107</f>
        <v>-373.43615022955152</v>
      </c>
      <c r="BN107" s="1021">
        <f>(VLOOKUP(YEAR($A107),'NY East Load Projections'!$A$4:$EO$14,((MONTH($A107)-1)*12)+VLOOKUP(BN$4,$DE$6:$DF$17,2)+1))*$D107</f>
        <v>-404.8200330941504</v>
      </c>
      <c r="BO107" s="1021">
        <f>(VLOOKUP(YEAR($A107),'NY East Load Projections'!$A$4:$EO$14,((MONTH($A107)-1)*12)+VLOOKUP(BO$4,$DE$6:$DF$17,2)+1))*$D107</f>
        <v>-404.8200330941504</v>
      </c>
      <c r="BP107" s="1021">
        <f>(VLOOKUP(YEAR($A107),'NY East Load Projections'!$A$4:$EO$14,((MONTH($A107)-1)*12)+VLOOKUP(BP$4,$DE$6:$DF$17,2)+1))*$D107</f>
        <v>-404.8200330941504</v>
      </c>
      <c r="BQ107" s="1021">
        <f>(VLOOKUP(YEAR($A107),'NY East Load Projections'!$A$4:$EO$14,((MONTH($A107)-1)*12)+VLOOKUP(BQ$4,$DE$6:$DF$17,2)+1))*$D107</f>
        <v>-404.8200330941504</v>
      </c>
      <c r="BR107" s="1021">
        <f>(VLOOKUP(YEAR($A107),'NY East Load Projections'!$A$4:$EO$14,((MONTH($A107)-1)*12)+VLOOKUP(BR$4,$DE$6:$DF$17,2)+1))*$D107</f>
        <v>-415.09343112950273</v>
      </c>
      <c r="BS107" s="1021">
        <f>(VLOOKUP(YEAR($A107),'NY East Load Projections'!$A$4:$EO$14,((MONTH($A107)-1)*12)+VLOOKUP(BS$4,$DE$6:$DF$17,2)+1))*$D107</f>
        <v>-415.09343112950273</v>
      </c>
      <c r="BT107" s="1021">
        <f>(VLOOKUP(YEAR($A107),'NY East Load Projections'!$A$4:$EO$14,((MONTH($A107)-1)*12)+VLOOKUP(BT$4,$DE$6:$DF$17,2)+1))*$D107</f>
        <v>-415.09343112950273</v>
      </c>
      <c r="BU107" s="1021">
        <f>(VLOOKUP(YEAR($A107),'NY East Load Projections'!$A$4:$EO$14,((MONTH($A107)-1)*12)+VLOOKUP(BU$4,$DE$6:$DF$17,2)+1))*$D107</f>
        <v>-415.09343112950273</v>
      </c>
      <c r="BV107" s="1021">
        <f>(VLOOKUP(YEAR($A107),'NY East Load Projections'!$A$4:$EO$14,((MONTH($A107)-1)*12)+VLOOKUP(BV$4,$DE$6:$DF$17,2)+1))*$D107</f>
        <v>-396.89997850474958</v>
      </c>
      <c r="BW107" s="1021">
        <f>(VLOOKUP(YEAR($A107),'NY East Load Projections'!$A$4:$EO$14,((MONTH($A107)-1)*12)+VLOOKUP(BW$4,$DE$6:$DF$17,2)+1))*$D107</f>
        <v>-396.89997850474958</v>
      </c>
      <c r="BX107" s="1021">
        <f>(VLOOKUP(YEAR($A107),'NY East Load Projections'!$A$4:$EO$14,((MONTH($A107)-1)*12)+VLOOKUP(BX$4,$DE$6:$DF$17,2)+1))*$D107</f>
        <v>-396.89997850474958</v>
      </c>
      <c r="BY107" s="1021">
        <f>(VLOOKUP(YEAR($A107),'NY East Load Projections'!$A$4:$EO$14,((MONTH($A107)-1)*12)+VLOOKUP(BY$4,$DE$6:$DF$17,2)+1))*$D107</f>
        <v>-396.89997850474958</v>
      </c>
      <c r="BZ107" s="1021">
        <f>(VLOOKUP(YEAR($A107),'NY East Load Projections'!$A$4:$EO$14,((MONTH($A107)-1)*12)+VLOOKUP(BZ$4,$DE$6:$DF$17,2)+1))*$D107</f>
        <v>-376.89514118611271</v>
      </c>
      <c r="CA107" s="1021">
        <f>(VLOOKUP(YEAR($A107),'NY East Load Projections'!$A$4:$EO$14,((MONTH($A107)-1)*12)+VLOOKUP(CA$4,$DE$6:$DF$17,2)+1))*$D107</f>
        <v>-376.89514118611271</v>
      </c>
      <c r="CB107" s="1021">
        <f>(VLOOKUP(YEAR($A107),'NY East Load Projections'!$A$4:$EO$14,((MONTH($A107)-1)*12)+VLOOKUP(CB$4,$DE$6:$DF$17,2)+1))*$D107</f>
        <v>-376.89514118611271</v>
      </c>
      <c r="CC107" s="1021">
        <f>(VLOOKUP(YEAR($A107),'NY East Load Projections'!$A$4:$EO$14,((MONTH($A107)-1)*12)+VLOOKUP(CC$4,$DE$6:$DF$17,2)+1))*$D107</f>
        <v>-376.89514118611271</v>
      </c>
      <c r="CE107" s="1021">
        <f>(VLOOKUP(YEAR($A107),'NY East Load Projections'!$A$4:$EO$14,((MONTH($A107)-1)*12)+VLOOKUP(CE$4,$DE$6:$DF$17,2)+1))*$E107</f>
        <v>0</v>
      </c>
      <c r="CF107" s="1021">
        <f>(VLOOKUP(YEAR($A107),'NY East Load Projections'!$A$4:$EO$14,((MONTH($A107)-1)*12)+VLOOKUP(CF$4,$DE$6:$DF$17,2)+1))*$E107</f>
        <v>0</v>
      </c>
      <c r="CG107" s="1021">
        <f>(VLOOKUP(YEAR($A107),'NY East Load Projections'!$A$4:$EO$14,((MONTH($A107)-1)*12)+VLOOKUP(CG$4,$DE$6:$DF$17,2)+1))*$E107</f>
        <v>0</v>
      </c>
      <c r="CH107" s="1021">
        <f>(VLOOKUP(YEAR($A107),'NY East Load Projections'!$A$4:$EO$14,((MONTH($A107)-1)*12)+VLOOKUP(CH$4,$DE$6:$DF$17,2)+1))*$E107</f>
        <v>0</v>
      </c>
      <c r="CI107" s="1021">
        <f>(VLOOKUP(YEAR($A107),'NY East Load Projections'!$A$4:$EO$14,((MONTH($A107)-1)*12)+VLOOKUP(CI$4,$DE$6:$DF$17,2)+1))*$E107</f>
        <v>0</v>
      </c>
      <c r="CJ107" s="1021">
        <f>(VLOOKUP(YEAR($A107),'NY East Load Projections'!$A$4:$EO$14,((MONTH($A107)-1)*12)+VLOOKUP(CJ$4,$DE$6:$DF$17,2)+1))*$E107</f>
        <v>0</v>
      </c>
      <c r="CK107" s="1021">
        <f>(VLOOKUP(YEAR($A107),'NY East Load Projections'!$A$4:$EO$14,((MONTH($A107)-1)*12)+VLOOKUP(CK$4,$DE$6:$DF$17,2)+1))*$E107</f>
        <v>0</v>
      </c>
      <c r="CL107" s="1021">
        <f>(VLOOKUP(YEAR($A107),'NY East Load Projections'!$A$4:$EO$14,((MONTH($A107)-1)*12)+VLOOKUP(CL$4,$DE$6:$DF$17,2)+1))*$E107</f>
        <v>0</v>
      </c>
      <c r="CM107" s="1021">
        <f>(VLOOKUP(YEAR($A107),'NY East Load Projections'!$A$4:$EO$14,((MONTH($A107)-1)*12)+VLOOKUP(CM$4,$DE$6:$DF$17,2)+1))*$E107</f>
        <v>0</v>
      </c>
      <c r="CN107" s="1021">
        <f>(VLOOKUP(YEAR($A107),'NY East Load Projections'!$A$4:$EO$14,((MONTH($A107)-1)*12)+VLOOKUP(CN$4,$DE$6:$DF$17,2)+1))*$E107</f>
        <v>0</v>
      </c>
      <c r="CO107" s="1021">
        <f>(VLOOKUP(YEAR($A107),'NY East Load Projections'!$A$4:$EO$14,((MONTH($A107)-1)*12)+VLOOKUP(CO$4,$DE$6:$DF$17,2)+1))*$E107</f>
        <v>0</v>
      </c>
      <c r="CP107" s="1021">
        <f>(VLOOKUP(YEAR($A107),'NY East Load Projections'!$A$4:$EO$14,((MONTH($A107)-1)*12)+VLOOKUP(CP$4,$DE$6:$DF$17,2)+1))*$E107</f>
        <v>0</v>
      </c>
      <c r="CQ107" s="1021">
        <f>(VLOOKUP(YEAR($A107),'NY East Load Projections'!$A$4:$EO$14,((MONTH($A107)-1)*12)+VLOOKUP(CQ$4,$DE$6:$DF$17,2)+1))*$E107</f>
        <v>0</v>
      </c>
      <c r="CR107" s="1021">
        <f>(VLOOKUP(YEAR($A107),'NY East Load Projections'!$A$4:$EO$14,((MONTH($A107)-1)*12)+VLOOKUP(CR$4,$DE$6:$DF$17,2)+1))*$E107</f>
        <v>0</v>
      </c>
      <c r="CS107" s="1021">
        <f>(VLOOKUP(YEAR($A107),'NY East Load Projections'!$A$4:$EO$14,((MONTH($A107)-1)*12)+VLOOKUP(CS$4,$DE$6:$DF$17,2)+1))*$E107</f>
        <v>0</v>
      </c>
      <c r="CT107" s="1021">
        <f>(VLOOKUP(YEAR($A107),'NY East Load Projections'!$A$4:$EO$14,((MONTH($A107)-1)*12)+VLOOKUP(CT$4,$DE$6:$DF$17,2)+1))*$E107</f>
        <v>0</v>
      </c>
      <c r="CU107" s="1021">
        <f>(VLOOKUP(YEAR($A107),'NY East Load Projections'!$A$4:$EO$14,((MONTH($A107)-1)*12)+VLOOKUP(CU$4,$DE$6:$DF$17,2)+1))*$E107</f>
        <v>0</v>
      </c>
      <c r="CV107" s="1021">
        <f>(VLOOKUP(YEAR($A107),'NY East Load Projections'!$A$4:$EO$14,((MONTH($A107)-1)*12)+VLOOKUP(CV$4,$DE$6:$DF$17,2)+1))*$E107</f>
        <v>0</v>
      </c>
      <c r="CW107" s="1021">
        <f>(VLOOKUP(YEAR($A107),'NY East Load Projections'!$A$4:$EO$14,((MONTH($A107)-1)*12)+VLOOKUP(CW$4,$DE$6:$DF$17,2)+1))*$E107</f>
        <v>0</v>
      </c>
      <c r="CX107" s="1021">
        <f>(VLOOKUP(YEAR($A107),'NY East Load Projections'!$A$4:$EO$14,((MONTH($A107)-1)*12)+VLOOKUP(CX$4,$DE$6:$DF$17,2)+1))*$E107</f>
        <v>0</v>
      </c>
      <c r="CY107" s="1021">
        <f>(VLOOKUP(YEAR($A107),'NY East Load Projections'!$A$4:$EO$14,((MONTH($A107)-1)*12)+VLOOKUP(CY$4,$DE$6:$DF$17,2)+1))*$E107</f>
        <v>0</v>
      </c>
      <c r="CZ107" s="1021">
        <f>(VLOOKUP(YEAR($A107),'NY East Load Projections'!$A$4:$EO$14,((MONTH($A107)-1)*12)+VLOOKUP(CZ$4,$DE$6:$DF$17,2)+1))*$E107</f>
        <v>0</v>
      </c>
      <c r="DA107" s="1021">
        <f>(VLOOKUP(YEAR($A107),'NY East Load Projections'!$A$4:$EO$14,((MONTH($A107)-1)*12)+VLOOKUP(DA$4,$DE$6:$DF$17,2)+1))*$E107</f>
        <v>0</v>
      </c>
      <c r="DB107" s="1021">
        <f>(VLOOKUP(YEAR($A107),'NY East Load Projections'!$A$4:$EO$14,((MONTH($A107)-1)*12)+VLOOKUP(DB$4,$DE$6:$DF$17,2)+1))*$E107</f>
        <v>0</v>
      </c>
      <c r="DH107" s="1009">
        <f t="shared" si="5"/>
        <v>-71777.512746942113</v>
      </c>
      <c r="DI107">
        <f ca="1">CALC!J127</f>
        <v>0.50540161644795423</v>
      </c>
      <c r="DJ107" s="1032">
        <f t="shared" ca="1" si="4"/>
        <v>-36276.470966918183</v>
      </c>
    </row>
    <row r="108" spans="1:114" x14ac:dyDescent="0.25">
      <c r="A108" s="244">
        <v>39995</v>
      </c>
      <c r="B108" s="13">
        <v>23</v>
      </c>
      <c r="C108" s="210">
        <v>3</v>
      </c>
      <c r="D108" s="210">
        <v>4</v>
      </c>
      <c r="E108" s="210">
        <v>1</v>
      </c>
      <c r="F108" s="13">
        <v>31</v>
      </c>
      <c r="H108" s="1021">
        <f>(VLOOKUP(YEAR($A108),'NY East Load Projections'!$A$4:$EO$14,((MONTH($A108)-1)*12)+VLOOKUP(H$4,$DE$6:$DF$17,2)+1))*$B108</f>
        <v>-2149.3816318061195</v>
      </c>
      <c r="I108" s="1021">
        <f>(VLOOKUP(YEAR($A108),'NY East Load Projections'!$A$4:$EO$14,((MONTH($A108)-1)*12)+VLOOKUP(I$4,$DE$6:$DF$17,2)+1))*$B108</f>
        <v>-2149.3816318061195</v>
      </c>
      <c r="J108" s="1021">
        <f>(VLOOKUP(YEAR($A108),'NY East Load Projections'!$A$4:$EO$14,((MONTH($A108)-1)*12)+VLOOKUP(J$4,$DE$6:$DF$17,2)+1))*$B108</f>
        <v>-2149.3816318061195</v>
      </c>
      <c r="K108" s="1021">
        <f>(VLOOKUP(YEAR($A108),'NY East Load Projections'!$A$4:$EO$14,((MONTH($A108)-1)*12)+VLOOKUP(K$4,$DE$6:$DF$17,2)+1))*$B108</f>
        <v>-2149.3816318061195</v>
      </c>
      <c r="L108" s="1021">
        <f>(VLOOKUP(YEAR($A108),'NY East Load Projections'!$A$4:$EO$14,((MONTH($A108)-1)*12)+VLOOKUP(L$4,$DE$6:$DF$17,2)+1))*$B108</f>
        <v>-2295.2527075941384</v>
      </c>
      <c r="M108" s="1021">
        <f>(VLOOKUP(YEAR($A108),'NY East Load Projections'!$A$4:$EO$14,((MONTH($A108)-1)*12)+VLOOKUP(M$4,$DE$6:$DF$17,2)+1))*$B108</f>
        <v>-2295.2527075941384</v>
      </c>
      <c r="N108" s="1021">
        <f>(VLOOKUP(YEAR($A108),'NY East Load Projections'!$A$4:$EO$14,((MONTH($A108)-1)*12)+VLOOKUP(N$4,$DE$6:$DF$17,2)+1))*$B108</f>
        <v>-2295.2527075941384</v>
      </c>
      <c r="O108" s="1021">
        <f>(VLOOKUP(YEAR($A108),'NY East Load Projections'!$A$4:$EO$14,((MONTH($A108)-1)*12)+VLOOKUP(O$4,$DE$6:$DF$17,2)+1))*$B108</f>
        <v>-2295.2527075941384</v>
      </c>
      <c r="P108" s="1021">
        <f>(VLOOKUP(YEAR($A108),'NY East Load Projections'!$A$4:$EO$14,((MONTH($A108)-1)*12)+VLOOKUP(P$4,$DE$6:$DF$17,2)+1))*$B108</f>
        <v>-2498.6771913175903</v>
      </c>
      <c r="Q108" s="1021">
        <f>(VLOOKUP(YEAR($A108),'NY East Load Projections'!$A$4:$EO$14,((MONTH($A108)-1)*12)+VLOOKUP(Q$4,$DE$6:$DF$17,2)+1))*$B108</f>
        <v>-2498.6771913175903</v>
      </c>
      <c r="R108" s="1021">
        <f>(VLOOKUP(YEAR($A108),'NY East Load Projections'!$A$4:$EO$14,((MONTH($A108)-1)*12)+VLOOKUP(R$4,$DE$6:$DF$17,2)+1))*$B108</f>
        <v>-2498.6771913175903</v>
      </c>
      <c r="S108" s="1021">
        <f>(VLOOKUP(YEAR($A108),'NY East Load Projections'!$A$4:$EO$14,((MONTH($A108)-1)*12)+VLOOKUP(S$4,$DE$6:$DF$17,2)+1))*$B108</f>
        <v>-2498.6771913175903</v>
      </c>
      <c r="T108" s="1021">
        <f>(VLOOKUP(YEAR($A108),'NY East Load Projections'!$A$4:$EO$14,((MONTH($A108)-1)*12)+VLOOKUP(T$4,$DE$6:$DF$17,2)+1))*$B108</f>
        <v>-2542.8755269640292</v>
      </c>
      <c r="U108" s="1021">
        <f>(VLOOKUP(YEAR($A108),'NY East Load Projections'!$A$4:$EO$14,((MONTH($A108)-1)*12)+VLOOKUP(U$4,$DE$6:$DF$17,2)+1))*$B108</f>
        <v>-2542.8755269640292</v>
      </c>
      <c r="V108" s="1021">
        <f>(VLOOKUP(YEAR($A108),'NY East Load Projections'!$A$4:$EO$14,((MONTH($A108)-1)*12)+VLOOKUP(V$4,$DE$6:$DF$17,2)+1))*$B108</f>
        <v>-2542.8755269640292</v>
      </c>
      <c r="W108" s="1021">
        <f>(VLOOKUP(YEAR($A108),'NY East Load Projections'!$A$4:$EO$14,((MONTH($A108)-1)*12)+VLOOKUP(W$4,$DE$6:$DF$17,2)+1))*$B108</f>
        <v>-2542.8755269640292</v>
      </c>
      <c r="X108" s="1021">
        <f>(VLOOKUP(YEAR($A108),'NY East Load Projections'!$A$4:$EO$14,((MONTH($A108)-1)*12)+VLOOKUP(X$4,$DE$6:$DF$17,2)+1))*$B108</f>
        <v>-2460.9720363062597</v>
      </c>
      <c r="Y108" s="1021">
        <f>(VLOOKUP(YEAR($A108),'NY East Load Projections'!$A$4:$EO$14,((MONTH($A108)-1)*12)+VLOOKUP(Y$4,$DE$6:$DF$17,2)+1))*$B108</f>
        <v>-2460.9720363062597</v>
      </c>
      <c r="Z108" s="1021">
        <f>(VLOOKUP(YEAR($A108),'NY East Load Projections'!$A$4:$EO$14,((MONTH($A108)-1)*12)+VLOOKUP(Z$4,$DE$6:$DF$17,2)+1))*$B108</f>
        <v>-2460.9720363062597</v>
      </c>
      <c r="AA108" s="1021">
        <f>(VLOOKUP(YEAR($A108),'NY East Load Projections'!$A$4:$EO$14,((MONTH($A108)-1)*12)+VLOOKUP(AA$4,$DE$6:$DF$17,2)+1))*$B108</f>
        <v>-2460.9720363062597</v>
      </c>
      <c r="AB108" s="1021">
        <f>(VLOOKUP(YEAR($A108),'NY East Load Projections'!$A$4:$EO$14,((MONTH($A108)-1)*12)+VLOOKUP(AB$4,$DE$6:$DF$17,2)+1))*$B108</f>
        <v>-2243.1967083987406</v>
      </c>
      <c r="AC108" s="1021">
        <f>(VLOOKUP(YEAR($A108),'NY East Load Projections'!$A$4:$EO$14,((MONTH($A108)-1)*12)+VLOOKUP(AC$4,$DE$6:$DF$17,2)+1))*$B108</f>
        <v>-2243.1967083987406</v>
      </c>
      <c r="AD108" s="1021">
        <f>(VLOOKUP(YEAR($A108),'NY East Load Projections'!$A$4:$EO$14,((MONTH($A108)-1)*12)+VLOOKUP(AD$4,$DE$6:$DF$17,2)+1))*$B108</f>
        <v>-2243.1967083987406</v>
      </c>
      <c r="AE108" s="1021">
        <f>(VLOOKUP(YEAR($A108),'NY East Load Projections'!$A$4:$EO$14,((MONTH($A108)-1)*12)+VLOOKUP(AE$4,$DE$6:$DF$17,2)+1))*$B108</f>
        <v>-2243.1967083987406</v>
      </c>
      <c r="AF108" s="1021"/>
      <c r="AG108" s="1021">
        <f>(VLOOKUP(YEAR($A108),'NY East Load Projections'!$A$4:$EO$14,((MONTH($A108)-1)*12)+VLOOKUP(AG$4,$DE$6:$DF$17,2)+1))*$C108</f>
        <v>-267.816266241844</v>
      </c>
      <c r="AH108" s="1021">
        <f>(VLOOKUP(YEAR($A108),'NY East Load Projections'!$A$4:$EO$14,((MONTH($A108)-1)*12)+VLOOKUP(AH$4,$DE$6:$DF$17,2)+1))*$C108</f>
        <v>-267.816266241844</v>
      </c>
      <c r="AI108" s="1021">
        <f>(VLOOKUP(YEAR($A108),'NY East Load Projections'!$A$4:$EO$14,((MONTH($A108)-1)*12)+VLOOKUP(AI$4,$DE$6:$DF$17,2)+1))*$C108</f>
        <v>-267.816266241844</v>
      </c>
      <c r="AJ108" s="1021">
        <f>(VLOOKUP(YEAR($A108),'NY East Load Projections'!$A$4:$EO$14,((MONTH($A108)-1)*12)+VLOOKUP(AJ$4,$DE$6:$DF$17,2)+1))*$C108</f>
        <v>-267.816266241844</v>
      </c>
      <c r="AK108" s="1021">
        <f>(VLOOKUP(YEAR($A108),'NY East Load Projections'!$A$4:$EO$14,((MONTH($A108)-1)*12)+VLOOKUP(AK$4,$DE$6:$DF$17,2)+1))*$C108</f>
        <v>-271.90039972701413</v>
      </c>
      <c r="AL108" s="1021">
        <f>(VLOOKUP(YEAR($A108),'NY East Load Projections'!$A$4:$EO$14,((MONTH($A108)-1)*12)+VLOOKUP(AL$4,$DE$6:$DF$17,2)+1))*$C108</f>
        <v>-271.90039972701413</v>
      </c>
      <c r="AM108" s="1021">
        <f>(VLOOKUP(YEAR($A108),'NY East Load Projections'!$A$4:$EO$14,((MONTH($A108)-1)*12)+VLOOKUP(AM$4,$DE$6:$DF$17,2)+1))*$C108</f>
        <v>-271.90039972701413</v>
      </c>
      <c r="AN108" s="1021">
        <f>(VLOOKUP(YEAR($A108),'NY East Load Projections'!$A$4:$EO$14,((MONTH($A108)-1)*12)+VLOOKUP(AN$4,$DE$6:$DF$17,2)+1))*$C108</f>
        <v>-271.90039972701413</v>
      </c>
      <c r="AO108" s="1021">
        <f>(VLOOKUP(YEAR($A108),'NY East Load Projections'!$A$4:$EO$14,((MONTH($A108)-1)*12)+VLOOKUP(AO$4,$DE$6:$DF$17,2)+1))*$C108</f>
        <v>-296.00420768471736</v>
      </c>
      <c r="AP108" s="1021">
        <f>(VLOOKUP(YEAR($A108),'NY East Load Projections'!$A$4:$EO$14,((MONTH($A108)-1)*12)+VLOOKUP(AP$4,$DE$6:$DF$17,2)+1))*$C108</f>
        <v>-296.00420768471736</v>
      </c>
      <c r="AQ108" s="1021">
        <f>(VLOOKUP(YEAR($A108),'NY East Load Projections'!$A$4:$EO$14,((MONTH($A108)-1)*12)+VLOOKUP(AQ$4,$DE$6:$DF$17,2)+1))*$C108</f>
        <v>-296.00420768471736</v>
      </c>
      <c r="AR108" s="1021">
        <f>(VLOOKUP(YEAR($A108),'NY East Load Projections'!$A$4:$EO$14,((MONTH($A108)-1)*12)+VLOOKUP(AR$4,$DE$6:$DF$17,2)+1))*$C108</f>
        <v>-296.00420768471736</v>
      </c>
      <c r="AS108" s="1021">
        <f>(VLOOKUP(YEAR($A108),'NY East Load Projections'!$A$4:$EO$14,((MONTH($A108)-1)*12)+VLOOKUP(AS$4,$DE$6:$DF$17,2)+1))*$C108</f>
        <v>-305.02648848455055</v>
      </c>
      <c r="AT108" s="1021">
        <f>(VLOOKUP(YEAR($A108),'NY East Load Projections'!$A$4:$EO$14,((MONTH($A108)-1)*12)+VLOOKUP(AT$4,$DE$6:$DF$17,2)+1))*$C108</f>
        <v>-305.02648848455055</v>
      </c>
      <c r="AU108" s="1021">
        <f>(VLOOKUP(YEAR($A108),'NY East Load Projections'!$A$4:$EO$14,((MONTH($A108)-1)*12)+VLOOKUP(AU$4,$DE$6:$DF$17,2)+1))*$C108</f>
        <v>-305.02648848455055</v>
      </c>
      <c r="AV108" s="1021">
        <f>(VLOOKUP(YEAR($A108),'NY East Load Projections'!$A$4:$EO$14,((MONTH($A108)-1)*12)+VLOOKUP(AV$4,$DE$6:$DF$17,2)+1))*$C108</f>
        <v>-305.02648848455055</v>
      </c>
      <c r="AW108" s="1021">
        <f>(VLOOKUP(YEAR($A108),'NY East Load Projections'!$A$4:$EO$14,((MONTH($A108)-1)*12)+VLOOKUP(AW$4,$DE$6:$DF$17,2)+1))*$C108</f>
        <v>-292.00928131644429</v>
      </c>
      <c r="AX108" s="1021">
        <f>(VLOOKUP(YEAR($A108),'NY East Load Projections'!$A$4:$EO$14,((MONTH($A108)-1)*12)+VLOOKUP(AX$4,$DE$6:$DF$17,2)+1))*$C108</f>
        <v>-292.00928131644429</v>
      </c>
      <c r="AY108" s="1021">
        <f>(VLOOKUP(YEAR($A108),'NY East Load Projections'!$A$4:$EO$14,((MONTH($A108)-1)*12)+VLOOKUP(AY$4,$DE$6:$DF$17,2)+1))*$C108</f>
        <v>-292.00928131644429</v>
      </c>
      <c r="AZ108" s="1021">
        <f>(VLOOKUP(YEAR($A108),'NY East Load Projections'!$A$4:$EO$14,((MONTH($A108)-1)*12)+VLOOKUP(AZ$4,$DE$6:$DF$17,2)+1))*$C108</f>
        <v>-292.00928131644429</v>
      </c>
      <c r="BA108" s="1021">
        <f>(VLOOKUP(YEAR($A108),'NY East Load Projections'!$A$4:$EO$14,((MONTH($A108)-1)*12)+VLOOKUP(BA$4,$DE$6:$DF$17,2)+1))*$C108</f>
        <v>-276.74471607314064</v>
      </c>
      <c r="BB108" s="1021">
        <f>(VLOOKUP(YEAR($A108),'NY East Load Projections'!$A$4:$EO$14,((MONTH($A108)-1)*12)+VLOOKUP(BB$4,$DE$6:$DF$17,2)+1))*$C108</f>
        <v>-276.74471607314064</v>
      </c>
      <c r="BC108" s="1021">
        <f>(VLOOKUP(YEAR($A108),'NY East Load Projections'!$A$4:$EO$14,((MONTH($A108)-1)*12)+VLOOKUP(BC$4,$DE$6:$DF$17,2)+1))*$C108</f>
        <v>-276.74471607314064</v>
      </c>
      <c r="BD108" s="1021">
        <f>(VLOOKUP(YEAR($A108),'NY East Load Projections'!$A$4:$EO$14,((MONTH($A108)-1)*12)+VLOOKUP(BD$4,$DE$6:$DF$17,2)+1))*$C108</f>
        <v>-276.74471607314064</v>
      </c>
      <c r="BE108" s="1021"/>
      <c r="BF108" s="1021">
        <f>(VLOOKUP(YEAR($A108),'NY East Load Projections'!$A$4:$EO$14,((MONTH($A108)-1)*12)+VLOOKUP(BF$4,$DE$6:$DF$17,2)+1))*$D108</f>
        <v>-357.08835498912538</v>
      </c>
      <c r="BG108" s="1021">
        <f>(VLOOKUP(YEAR($A108),'NY East Load Projections'!$A$4:$EO$14,((MONTH($A108)-1)*12)+VLOOKUP(BG$4,$DE$6:$DF$17,2)+1))*$D108</f>
        <v>-357.08835498912538</v>
      </c>
      <c r="BH108" s="1021">
        <f>(VLOOKUP(YEAR($A108),'NY East Load Projections'!$A$4:$EO$14,((MONTH($A108)-1)*12)+VLOOKUP(BH$4,$DE$6:$DF$17,2)+1))*$D108</f>
        <v>-357.08835498912538</v>
      </c>
      <c r="BI108" s="1021">
        <f>(VLOOKUP(YEAR($A108),'NY East Load Projections'!$A$4:$EO$14,((MONTH($A108)-1)*12)+VLOOKUP(BI$4,$DE$6:$DF$17,2)+1))*$D108</f>
        <v>-357.08835498912538</v>
      </c>
      <c r="BJ108" s="1021">
        <f>(VLOOKUP(YEAR($A108),'NY East Load Projections'!$A$4:$EO$14,((MONTH($A108)-1)*12)+VLOOKUP(BJ$4,$DE$6:$DF$17,2)+1))*$D108</f>
        <v>-362.53386630268551</v>
      </c>
      <c r="BK108" s="1021">
        <f>(VLOOKUP(YEAR($A108),'NY East Load Projections'!$A$4:$EO$14,((MONTH($A108)-1)*12)+VLOOKUP(BK$4,$DE$6:$DF$17,2)+1))*$D108</f>
        <v>-362.53386630268551</v>
      </c>
      <c r="BL108" s="1021">
        <f>(VLOOKUP(YEAR($A108),'NY East Load Projections'!$A$4:$EO$14,((MONTH($A108)-1)*12)+VLOOKUP(BL$4,$DE$6:$DF$17,2)+1))*$D108</f>
        <v>-362.53386630268551</v>
      </c>
      <c r="BM108" s="1021">
        <f>(VLOOKUP(YEAR($A108),'NY East Load Projections'!$A$4:$EO$14,((MONTH($A108)-1)*12)+VLOOKUP(BM$4,$DE$6:$DF$17,2)+1))*$D108</f>
        <v>-362.53386630268551</v>
      </c>
      <c r="BN108" s="1021">
        <f>(VLOOKUP(YEAR($A108),'NY East Load Projections'!$A$4:$EO$14,((MONTH($A108)-1)*12)+VLOOKUP(BN$4,$DE$6:$DF$17,2)+1))*$D108</f>
        <v>-394.67227691295648</v>
      </c>
      <c r="BO108" s="1021">
        <f>(VLOOKUP(YEAR($A108),'NY East Load Projections'!$A$4:$EO$14,((MONTH($A108)-1)*12)+VLOOKUP(BO$4,$DE$6:$DF$17,2)+1))*$D108</f>
        <v>-394.67227691295648</v>
      </c>
      <c r="BP108" s="1021">
        <f>(VLOOKUP(YEAR($A108),'NY East Load Projections'!$A$4:$EO$14,((MONTH($A108)-1)*12)+VLOOKUP(BP$4,$DE$6:$DF$17,2)+1))*$D108</f>
        <v>-394.67227691295648</v>
      </c>
      <c r="BQ108" s="1021">
        <f>(VLOOKUP(YEAR($A108),'NY East Load Projections'!$A$4:$EO$14,((MONTH($A108)-1)*12)+VLOOKUP(BQ$4,$DE$6:$DF$17,2)+1))*$D108</f>
        <v>-394.67227691295648</v>
      </c>
      <c r="BR108" s="1021">
        <f>(VLOOKUP(YEAR($A108),'NY East Load Projections'!$A$4:$EO$14,((MONTH($A108)-1)*12)+VLOOKUP(BR$4,$DE$6:$DF$17,2)+1))*$D108</f>
        <v>-406.70198464606739</v>
      </c>
      <c r="BS108" s="1021">
        <f>(VLOOKUP(YEAR($A108),'NY East Load Projections'!$A$4:$EO$14,((MONTH($A108)-1)*12)+VLOOKUP(BS$4,$DE$6:$DF$17,2)+1))*$D108</f>
        <v>-406.70198464606739</v>
      </c>
      <c r="BT108" s="1021">
        <f>(VLOOKUP(YEAR($A108),'NY East Load Projections'!$A$4:$EO$14,((MONTH($A108)-1)*12)+VLOOKUP(BT$4,$DE$6:$DF$17,2)+1))*$D108</f>
        <v>-406.70198464606739</v>
      </c>
      <c r="BU108" s="1021">
        <f>(VLOOKUP(YEAR($A108),'NY East Load Projections'!$A$4:$EO$14,((MONTH($A108)-1)*12)+VLOOKUP(BU$4,$DE$6:$DF$17,2)+1))*$D108</f>
        <v>-406.70198464606739</v>
      </c>
      <c r="BV108" s="1021">
        <f>(VLOOKUP(YEAR($A108),'NY East Load Projections'!$A$4:$EO$14,((MONTH($A108)-1)*12)+VLOOKUP(BV$4,$DE$6:$DF$17,2)+1))*$D108</f>
        <v>-389.34570842192574</v>
      </c>
      <c r="BW108" s="1021">
        <f>(VLOOKUP(YEAR($A108),'NY East Load Projections'!$A$4:$EO$14,((MONTH($A108)-1)*12)+VLOOKUP(BW$4,$DE$6:$DF$17,2)+1))*$D108</f>
        <v>-389.34570842192574</v>
      </c>
      <c r="BX108" s="1021">
        <f>(VLOOKUP(YEAR($A108),'NY East Load Projections'!$A$4:$EO$14,((MONTH($A108)-1)*12)+VLOOKUP(BX$4,$DE$6:$DF$17,2)+1))*$D108</f>
        <v>-389.34570842192574</v>
      </c>
      <c r="BY108" s="1021">
        <f>(VLOOKUP(YEAR($A108),'NY East Load Projections'!$A$4:$EO$14,((MONTH($A108)-1)*12)+VLOOKUP(BY$4,$DE$6:$DF$17,2)+1))*$D108</f>
        <v>-389.34570842192574</v>
      </c>
      <c r="BZ108" s="1021">
        <f>(VLOOKUP(YEAR($A108),'NY East Load Projections'!$A$4:$EO$14,((MONTH($A108)-1)*12)+VLOOKUP(BZ$4,$DE$6:$DF$17,2)+1))*$D108</f>
        <v>-368.99295476418752</v>
      </c>
      <c r="CA108" s="1021">
        <f>(VLOOKUP(YEAR($A108),'NY East Load Projections'!$A$4:$EO$14,((MONTH($A108)-1)*12)+VLOOKUP(CA$4,$DE$6:$DF$17,2)+1))*$D108</f>
        <v>-368.99295476418752</v>
      </c>
      <c r="CB108" s="1021">
        <f>(VLOOKUP(YEAR($A108),'NY East Load Projections'!$A$4:$EO$14,((MONTH($A108)-1)*12)+VLOOKUP(CB$4,$DE$6:$DF$17,2)+1))*$D108</f>
        <v>-368.99295476418752</v>
      </c>
      <c r="CC108" s="1021">
        <f>(VLOOKUP(YEAR($A108),'NY East Load Projections'!$A$4:$EO$14,((MONTH($A108)-1)*12)+VLOOKUP(CC$4,$DE$6:$DF$17,2)+1))*$D108</f>
        <v>-368.99295476418752</v>
      </c>
      <c r="CE108" s="1021">
        <f>(VLOOKUP(YEAR($A108),'NY East Load Projections'!$A$4:$EO$14,((MONTH($A108)-1)*12)+VLOOKUP(CE$4,$DE$6:$DF$17,2)+1))*$E108</f>
        <v>-89.272088747281344</v>
      </c>
      <c r="CF108" s="1021">
        <f>(VLOOKUP(YEAR($A108),'NY East Load Projections'!$A$4:$EO$14,((MONTH($A108)-1)*12)+VLOOKUP(CF$4,$DE$6:$DF$17,2)+1))*$E108</f>
        <v>-89.272088747281344</v>
      </c>
      <c r="CG108" s="1021">
        <f>(VLOOKUP(YEAR($A108),'NY East Load Projections'!$A$4:$EO$14,((MONTH($A108)-1)*12)+VLOOKUP(CG$4,$DE$6:$DF$17,2)+1))*$E108</f>
        <v>-89.272088747281344</v>
      </c>
      <c r="CH108" s="1021">
        <f>(VLOOKUP(YEAR($A108),'NY East Load Projections'!$A$4:$EO$14,((MONTH($A108)-1)*12)+VLOOKUP(CH$4,$DE$6:$DF$17,2)+1))*$E108</f>
        <v>-89.272088747281344</v>
      </c>
      <c r="CI108" s="1021">
        <f>(VLOOKUP(YEAR($A108),'NY East Load Projections'!$A$4:$EO$14,((MONTH($A108)-1)*12)+VLOOKUP(CI$4,$DE$6:$DF$17,2)+1))*$E108</f>
        <v>-90.633466575671378</v>
      </c>
      <c r="CJ108" s="1021">
        <f>(VLOOKUP(YEAR($A108),'NY East Load Projections'!$A$4:$EO$14,((MONTH($A108)-1)*12)+VLOOKUP(CJ$4,$DE$6:$DF$17,2)+1))*$E108</f>
        <v>-90.633466575671378</v>
      </c>
      <c r="CK108" s="1021">
        <f>(VLOOKUP(YEAR($A108),'NY East Load Projections'!$A$4:$EO$14,((MONTH($A108)-1)*12)+VLOOKUP(CK$4,$DE$6:$DF$17,2)+1))*$E108</f>
        <v>-90.633466575671378</v>
      </c>
      <c r="CL108" s="1021">
        <f>(VLOOKUP(YEAR($A108),'NY East Load Projections'!$A$4:$EO$14,((MONTH($A108)-1)*12)+VLOOKUP(CL$4,$DE$6:$DF$17,2)+1))*$E108</f>
        <v>-90.633466575671378</v>
      </c>
      <c r="CM108" s="1021">
        <f>(VLOOKUP(YEAR($A108),'NY East Load Projections'!$A$4:$EO$14,((MONTH($A108)-1)*12)+VLOOKUP(CM$4,$DE$6:$DF$17,2)+1))*$E108</f>
        <v>-98.668069228239119</v>
      </c>
      <c r="CN108" s="1021">
        <f>(VLOOKUP(YEAR($A108),'NY East Load Projections'!$A$4:$EO$14,((MONTH($A108)-1)*12)+VLOOKUP(CN$4,$DE$6:$DF$17,2)+1))*$E108</f>
        <v>-98.668069228239119</v>
      </c>
      <c r="CO108" s="1021">
        <f>(VLOOKUP(YEAR($A108),'NY East Load Projections'!$A$4:$EO$14,((MONTH($A108)-1)*12)+VLOOKUP(CO$4,$DE$6:$DF$17,2)+1))*$E108</f>
        <v>-98.668069228239119</v>
      </c>
      <c r="CP108" s="1021">
        <f>(VLOOKUP(YEAR($A108),'NY East Load Projections'!$A$4:$EO$14,((MONTH($A108)-1)*12)+VLOOKUP(CP$4,$DE$6:$DF$17,2)+1))*$E108</f>
        <v>-98.668069228239119</v>
      </c>
      <c r="CQ108" s="1021">
        <f>(VLOOKUP(YEAR($A108),'NY East Load Projections'!$A$4:$EO$14,((MONTH($A108)-1)*12)+VLOOKUP(CQ$4,$DE$6:$DF$17,2)+1))*$E108</f>
        <v>-101.67549616151685</v>
      </c>
      <c r="CR108" s="1021">
        <f>(VLOOKUP(YEAR($A108),'NY East Load Projections'!$A$4:$EO$14,((MONTH($A108)-1)*12)+VLOOKUP(CR$4,$DE$6:$DF$17,2)+1))*$E108</f>
        <v>-101.67549616151685</v>
      </c>
      <c r="CS108" s="1021">
        <f>(VLOOKUP(YEAR($A108),'NY East Load Projections'!$A$4:$EO$14,((MONTH($A108)-1)*12)+VLOOKUP(CS$4,$DE$6:$DF$17,2)+1))*$E108</f>
        <v>-101.67549616151685</v>
      </c>
      <c r="CT108" s="1021">
        <f>(VLOOKUP(YEAR($A108),'NY East Load Projections'!$A$4:$EO$14,((MONTH($A108)-1)*12)+VLOOKUP(CT$4,$DE$6:$DF$17,2)+1))*$E108</f>
        <v>-101.67549616151685</v>
      </c>
      <c r="CU108" s="1021">
        <f>(VLOOKUP(YEAR($A108),'NY East Load Projections'!$A$4:$EO$14,((MONTH($A108)-1)*12)+VLOOKUP(CU$4,$DE$6:$DF$17,2)+1))*$E108</f>
        <v>-97.336427105481434</v>
      </c>
      <c r="CV108" s="1021">
        <f>(VLOOKUP(YEAR($A108),'NY East Load Projections'!$A$4:$EO$14,((MONTH($A108)-1)*12)+VLOOKUP(CV$4,$DE$6:$DF$17,2)+1))*$E108</f>
        <v>-97.336427105481434</v>
      </c>
      <c r="CW108" s="1021">
        <f>(VLOOKUP(YEAR($A108),'NY East Load Projections'!$A$4:$EO$14,((MONTH($A108)-1)*12)+VLOOKUP(CW$4,$DE$6:$DF$17,2)+1))*$E108</f>
        <v>-97.336427105481434</v>
      </c>
      <c r="CX108" s="1021">
        <f>(VLOOKUP(YEAR($A108),'NY East Load Projections'!$A$4:$EO$14,((MONTH($A108)-1)*12)+VLOOKUP(CX$4,$DE$6:$DF$17,2)+1))*$E108</f>
        <v>-97.336427105481434</v>
      </c>
      <c r="CY108" s="1021">
        <f>(VLOOKUP(YEAR($A108),'NY East Load Projections'!$A$4:$EO$14,((MONTH($A108)-1)*12)+VLOOKUP(CY$4,$DE$6:$DF$17,2)+1))*$E108</f>
        <v>-92.248238691046879</v>
      </c>
      <c r="CZ108" s="1021">
        <f>(VLOOKUP(YEAR($A108),'NY East Load Projections'!$A$4:$EO$14,((MONTH($A108)-1)*12)+VLOOKUP(CZ$4,$DE$6:$DF$17,2)+1))*$E108</f>
        <v>-92.248238691046879</v>
      </c>
      <c r="DA108" s="1021">
        <f>(VLOOKUP(YEAR($A108),'NY East Load Projections'!$A$4:$EO$14,((MONTH($A108)-1)*12)+VLOOKUP(DA$4,$DE$6:$DF$17,2)+1))*$E108</f>
        <v>-92.248238691046879</v>
      </c>
      <c r="DB108" s="1021">
        <f>(VLOOKUP(YEAR($A108),'NY East Load Projections'!$A$4:$EO$14,((MONTH($A108)-1)*12)+VLOOKUP(DB$4,$DE$6:$DF$17,2)+1))*$E108</f>
        <v>-92.248238691046879</v>
      </c>
      <c r="DH108" s="1009">
        <f t="shared" si="5"/>
        <v>-74996.104377843032</v>
      </c>
      <c r="DI108">
        <f ca="1">CALC!J128</f>
        <v>0.5022236150639402</v>
      </c>
      <c r="DJ108" s="1032">
        <f t="shared" ca="1" si="4"/>
        <v>-37664.814656352923</v>
      </c>
    </row>
    <row r="109" spans="1:114" x14ac:dyDescent="0.25">
      <c r="A109" s="244">
        <v>40026</v>
      </c>
      <c r="B109" s="13">
        <v>21</v>
      </c>
      <c r="C109" s="210">
        <v>5</v>
      </c>
      <c r="D109" s="210">
        <v>5</v>
      </c>
      <c r="E109" s="210">
        <v>0</v>
      </c>
      <c r="F109" s="13">
        <v>31</v>
      </c>
      <c r="H109" s="1021">
        <f>(VLOOKUP(YEAR($A109),'NY East Load Projections'!$A$4:$EO$14,((MONTH($A109)-1)*12)+VLOOKUP(H$4,$DE$6:$DF$17,2)+1))*$B109</f>
        <v>-2000.2499170047363</v>
      </c>
      <c r="I109" s="1021">
        <f>(VLOOKUP(YEAR($A109),'NY East Load Projections'!$A$4:$EO$14,((MONTH($A109)-1)*12)+VLOOKUP(I$4,$DE$6:$DF$17,2)+1))*$B109</f>
        <v>-2000.2499170047363</v>
      </c>
      <c r="J109" s="1021">
        <f>(VLOOKUP(YEAR($A109),'NY East Load Projections'!$A$4:$EO$14,((MONTH($A109)-1)*12)+VLOOKUP(J$4,$DE$6:$DF$17,2)+1))*$B109</f>
        <v>-2000.2499170047363</v>
      </c>
      <c r="K109" s="1021">
        <f>(VLOOKUP(YEAR($A109),'NY East Load Projections'!$A$4:$EO$14,((MONTH($A109)-1)*12)+VLOOKUP(K$4,$DE$6:$DF$17,2)+1))*$B109</f>
        <v>-2000.2499170047363</v>
      </c>
      <c r="L109" s="1021">
        <f>(VLOOKUP(YEAR($A109),'NY East Load Projections'!$A$4:$EO$14,((MONTH($A109)-1)*12)+VLOOKUP(L$4,$DE$6:$DF$17,2)+1))*$B109</f>
        <v>-2129.4507497121954</v>
      </c>
      <c r="M109" s="1021">
        <f>(VLOOKUP(YEAR($A109),'NY East Load Projections'!$A$4:$EO$14,((MONTH($A109)-1)*12)+VLOOKUP(M$4,$DE$6:$DF$17,2)+1))*$B109</f>
        <v>-2129.4507497121954</v>
      </c>
      <c r="N109" s="1021">
        <f>(VLOOKUP(YEAR($A109),'NY East Load Projections'!$A$4:$EO$14,((MONTH($A109)-1)*12)+VLOOKUP(N$4,$DE$6:$DF$17,2)+1))*$B109</f>
        <v>-2129.4507497121954</v>
      </c>
      <c r="O109" s="1021">
        <f>(VLOOKUP(YEAR($A109),'NY East Load Projections'!$A$4:$EO$14,((MONTH($A109)-1)*12)+VLOOKUP(O$4,$DE$6:$DF$17,2)+1))*$B109</f>
        <v>-2129.4507497121954</v>
      </c>
      <c r="P109" s="1021">
        <f>(VLOOKUP(YEAR($A109),'NY East Load Projections'!$A$4:$EO$14,((MONTH($A109)-1)*12)+VLOOKUP(P$4,$DE$6:$DF$17,2)+1))*$B109</f>
        <v>-2331.0884793026703</v>
      </c>
      <c r="Q109" s="1021">
        <f>(VLOOKUP(YEAR($A109),'NY East Load Projections'!$A$4:$EO$14,((MONTH($A109)-1)*12)+VLOOKUP(Q$4,$DE$6:$DF$17,2)+1))*$B109</f>
        <v>-2331.0884793026703</v>
      </c>
      <c r="R109" s="1021">
        <f>(VLOOKUP(YEAR($A109),'NY East Load Projections'!$A$4:$EO$14,((MONTH($A109)-1)*12)+VLOOKUP(R$4,$DE$6:$DF$17,2)+1))*$B109</f>
        <v>-2331.0884793026703</v>
      </c>
      <c r="S109" s="1021">
        <f>(VLOOKUP(YEAR($A109),'NY East Load Projections'!$A$4:$EO$14,((MONTH($A109)-1)*12)+VLOOKUP(S$4,$DE$6:$DF$17,2)+1))*$B109</f>
        <v>-2331.0884793026703</v>
      </c>
      <c r="T109" s="1021">
        <f>(VLOOKUP(YEAR($A109),'NY East Load Projections'!$A$4:$EO$14,((MONTH($A109)-1)*12)+VLOOKUP(T$4,$DE$6:$DF$17,2)+1))*$B109</f>
        <v>-2392.2549648567347</v>
      </c>
      <c r="U109" s="1021">
        <f>(VLOOKUP(YEAR($A109),'NY East Load Projections'!$A$4:$EO$14,((MONTH($A109)-1)*12)+VLOOKUP(U$4,$DE$6:$DF$17,2)+1))*$B109</f>
        <v>-2392.2549648567347</v>
      </c>
      <c r="V109" s="1021">
        <f>(VLOOKUP(YEAR($A109),'NY East Load Projections'!$A$4:$EO$14,((MONTH($A109)-1)*12)+VLOOKUP(V$4,$DE$6:$DF$17,2)+1))*$B109</f>
        <v>-2392.2549648567347</v>
      </c>
      <c r="W109" s="1021">
        <f>(VLOOKUP(YEAR($A109),'NY East Load Projections'!$A$4:$EO$14,((MONTH($A109)-1)*12)+VLOOKUP(W$4,$DE$6:$DF$17,2)+1))*$B109</f>
        <v>-2392.2549648567347</v>
      </c>
      <c r="X109" s="1021">
        <f>(VLOOKUP(YEAR($A109),'NY East Load Projections'!$A$4:$EO$14,((MONTH($A109)-1)*12)+VLOOKUP(X$4,$DE$6:$DF$17,2)+1))*$B109</f>
        <v>-2300.3705826569667</v>
      </c>
      <c r="Y109" s="1021">
        <f>(VLOOKUP(YEAR($A109),'NY East Load Projections'!$A$4:$EO$14,((MONTH($A109)-1)*12)+VLOOKUP(Y$4,$DE$6:$DF$17,2)+1))*$B109</f>
        <v>-2300.3705826569667</v>
      </c>
      <c r="Z109" s="1021">
        <f>(VLOOKUP(YEAR($A109),'NY East Load Projections'!$A$4:$EO$14,((MONTH($A109)-1)*12)+VLOOKUP(Z$4,$DE$6:$DF$17,2)+1))*$B109</f>
        <v>-2300.3705826569667</v>
      </c>
      <c r="AA109" s="1021">
        <f>(VLOOKUP(YEAR($A109),'NY East Load Projections'!$A$4:$EO$14,((MONTH($A109)-1)*12)+VLOOKUP(AA$4,$DE$6:$DF$17,2)+1))*$B109</f>
        <v>-2300.3705826569667</v>
      </c>
      <c r="AB109" s="1021">
        <f>(VLOOKUP(YEAR($A109),'NY East Load Projections'!$A$4:$EO$14,((MONTH($A109)-1)*12)+VLOOKUP(AB$4,$DE$6:$DF$17,2)+1))*$B109</f>
        <v>-2089.103547421445</v>
      </c>
      <c r="AC109" s="1021">
        <f>(VLOOKUP(YEAR($A109),'NY East Load Projections'!$A$4:$EO$14,((MONTH($A109)-1)*12)+VLOOKUP(AC$4,$DE$6:$DF$17,2)+1))*$B109</f>
        <v>-2089.103547421445</v>
      </c>
      <c r="AD109" s="1021">
        <f>(VLOOKUP(YEAR($A109),'NY East Load Projections'!$A$4:$EO$14,((MONTH($A109)-1)*12)+VLOOKUP(AD$4,$DE$6:$DF$17,2)+1))*$B109</f>
        <v>-2089.103547421445</v>
      </c>
      <c r="AE109" s="1021">
        <f>(VLOOKUP(YEAR($A109),'NY East Load Projections'!$A$4:$EO$14,((MONTH($A109)-1)*12)+VLOOKUP(AE$4,$DE$6:$DF$17,2)+1))*$B109</f>
        <v>-2089.103547421445</v>
      </c>
      <c r="AF109" s="1021"/>
      <c r="AG109" s="1021">
        <f>(VLOOKUP(YEAR($A109),'NY East Load Projections'!$A$4:$EO$14,((MONTH($A109)-1)*12)+VLOOKUP(AG$4,$DE$6:$DF$17,2)+1))*$C109</f>
        <v>-466.08623351339423</v>
      </c>
      <c r="AH109" s="1021">
        <f>(VLOOKUP(YEAR($A109),'NY East Load Projections'!$A$4:$EO$14,((MONTH($A109)-1)*12)+VLOOKUP(AH$4,$DE$6:$DF$17,2)+1))*$C109</f>
        <v>-466.08623351339423</v>
      </c>
      <c r="AI109" s="1021">
        <f>(VLOOKUP(YEAR($A109),'NY East Load Projections'!$A$4:$EO$14,((MONTH($A109)-1)*12)+VLOOKUP(AI$4,$DE$6:$DF$17,2)+1))*$C109</f>
        <v>-466.08623351339423</v>
      </c>
      <c r="AJ109" s="1021">
        <f>(VLOOKUP(YEAR($A109),'NY East Load Projections'!$A$4:$EO$14,((MONTH($A109)-1)*12)+VLOOKUP(AJ$4,$DE$6:$DF$17,2)+1))*$C109</f>
        <v>-466.08623351339423</v>
      </c>
      <c r="AK109" s="1021">
        <f>(VLOOKUP(YEAR($A109),'NY East Load Projections'!$A$4:$EO$14,((MONTH($A109)-1)*12)+VLOOKUP(AK$4,$DE$6:$DF$17,2)+1))*$C109</f>
        <v>-473.9872329134551</v>
      </c>
      <c r="AL109" s="1021">
        <f>(VLOOKUP(YEAR($A109),'NY East Load Projections'!$A$4:$EO$14,((MONTH($A109)-1)*12)+VLOOKUP(AL$4,$DE$6:$DF$17,2)+1))*$C109</f>
        <v>-473.9872329134551</v>
      </c>
      <c r="AM109" s="1021">
        <f>(VLOOKUP(YEAR($A109),'NY East Load Projections'!$A$4:$EO$14,((MONTH($A109)-1)*12)+VLOOKUP(AM$4,$DE$6:$DF$17,2)+1))*$C109</f>
        <v>-473.9872329134551</v>
      </c>
      <c r="AN109" s="1021">
        <f>(VLOOKUP(YEAR($A109),'NY East Load Projections'!$A$4:$EO$14,((MONTH($A109)-1)*12)+VLOOKUP(AN$4,$DE$6:$DF$17,2)+1))*$C109</f>
        <v>-473.9872329134551</v>
      </c>
      <c r="AO109" s="1021">
        <f>(VLOOKUP(YEAR($A109),'NY East Load Projections'!$A$4:$EO$14,((MONTH($A109)-1)*12)+VLOOKUP(AO$4,$DE$6:$DF$17,2)+1))*$C109</f>
        <v>-520.97956241246163</v>
      </c>
      <c r="AP109" s="1021">
        <f>(VLOOKUP(YEAR($A109),'NY East Load Projections'!$A$4:$EO$14,((MONTH($A109)-1)*12)+VLOOKUP(AP$4,$DE$6:$DF$17,2)+1))*$C109</f>
        <v>-520.97956241246163</v>
      </c>
      <c r="AQ109" s="1021">
        <f>(VLOOKUP(YEAR($A109),'NY East Load Projections'!$A$4:$EO$14,((MONTH($A109)-1)*12)+VLOOKUP(AQ$4,$DE$6:$DF$17,2)+1))*$C109</f>
        <v>-520.97956241246163</v>
      </c>
      <c r="AR109" s="1021">
        <f>(VLOOKUP(YEAR($A109),'NY East Load Projections'!$A$4:$EO$14,((MONTH($A109)-1)*12)+VLOOKUP(AR$4,$DE$6:$DF$17,2)+1))*$C109</f>
        <v>-520.97956241246163</v>
      </c>
      <c r="AS109" s="1021">
        <f>(VLOOKUP(YEAR($A109),'NY East Load Projections'!$A$4:$EO$14,((MONTH($A109)-1)*12)+VLOOKUP(AS$4,$DE$6:$DF$17,2)+1))*$C109</f>
        <v>-538.70248998629836</v>
      </c>
      <c r="AT109" s="1021">
        <f>(VLOOKUP(YEAR($A109),'NY East Load Projections'!$A$4:$EO$14,((MONTH($A109)-1)*12)+VLOOKUP(AT$4,$DE$6:$DF$17,2)+1))*$C109</f>
        <v>-538.70248998629836</v>
      </c>
      <c r="AU109" s="1021">
        <f>(VLOOKUP(YEAR($A109),'NY East Load Projections'!$A$4:$EO$14,((MONTH($A109)-1)*12)+VLOOKUP(AU$4,$DE$6:$DF$17,2)+1))*$C109</f>
        <v>-538.70248998629836</v>
      </c>
      <c r="AV109" s="1021">
        <f>(VLOOKUP(YEAR($A109),'NY East Load Projections'!$A$4:$EO$14,((MONTH($A109)-1)*12)+VLOOKUP(AV$4,$DE$6:$DF$17,2)+1))*$C109</f>
        <v>-538.70248998629836</v>
      </c>
      <c r="AW109" s="1021">
        <f>(VLOOKUP(YEAR($A109),'NY East Load Projections'!$A$4:$EO$14,((MONTH($A109)-1)*12)+VLOOKUP(AW$4,$DE$6:$DF$17,2)+1))*$C109</f>
        <v>-514.40989273773005</v>
      </c>
      <c r="AX109" s="1021">
        <f>(VLOOKUP(YEAR($A109),'NY East Load Projections'!$A$4:$EO$14,((MONTH($A109)-1)*12)+VLOOKUP(AX$4,$DE$6:$DF$17,2)+1))*$C109</f>
        <v>-514.40989273773005</v>
      </c>
      <c r="AY109" s="1021">
        <f>(VLOOKUP(YEAR($A109),'NY East Load Projections'!$A$4:$EO$14,((MONTH($A109)-1)*12)+VLOOKUP(AY$4,$DE$6:$DF$17,2)+1))*$C109</f>
        <v>-514.40989273773005</v>
      </c>
      <c r="AZ109" s="1021">
        <f>(VLOOKUP(YEAR($A109),'NY East Load Projections'!$A$4:$EO$14,((MONTH($A109)-1)*12)+VLOOKUP(AZ$4,$DE$6:$DF$17,2)+1))*$C109</f>
        <v>-514.40989273773005</v>
      </c>
      <c r="BA109" s="1021">
        <f>(VLOOKUP(YEAR($A109),'NY East Load Projections'!$A$4:$EO$14,((MONTH($A109)-1)*12)+VLOOKUP(BA$4,$DE$6:$DF$17,2)+1))*$C109</f>
        <v>-486.21042160984956</v>
      </c>
      <c r="BB109" s="1021">
        <f>(VLOOKUP(YEAR($A109),'NY East Load Projections'!$A$4:$EO$14,((MONTH($A109)-1)*12)+VLOOKUP(BB$4,$DE$6:$DF$17,2)+1))*$C109</f>
        <v>-486.21042160984956</v>
      </c>
      <c r="BC109" s="1021">
        <f>(VLOOKUP(YEAR($A109),'NY East Load Projections'!$A$4:$EO$14,((MONTH($A109)-1)*12)+VLOOKUP(BC$4,$DE$6:$DF$17,2)+1))*$C109</f>
        <v>-486.21042160984956</v>
      </c>
      <c r="BD109" s="1021">
        <f>(VLOOKUP(YEAR($A109),'NY East Load Projections'!$A$4:$EO$14,((MONTH($A109)-1)*12)+VLOOKUP(BD$4,$DE$6:$DF$17,2)+1))*$C109</f>
        <v>-486.21042160984956</v>
      </c>
      <c r="BE109" s="1021"/>
      <c r="BF109" s="1021">
        <f>(VLOOKUP(YEAR($A109),'NY East Load Projections'!$A$4:$EO$14,((MONTH($A109)-1)*12)+VLOOKUP(BF$4,$DE$6:$DF$17,2)+1))*$D109</f>
        <v>-466.08623351339423</v>
      </c>
      <c r="BG109" s="1021">
        <f>(VLOOKUP(YEAR($A109),'NY East Load Projections'!$A$4:$EO$14,((MONTH($A109)-1)*12)+VLOOKUP(BG$4,$DE$6:$DF$17,2)+1))*$D109</f>
        <v>-466.08623351339423</v>
      </c>
      <c r="BH109" s="1021">
        <f>(VLOOKUP(YEAR($A109),'NY East Load Projections'!$A$4:$EO$14,((MONTH($A109)-1)*12)+VLOOKUP(BH$4,$DE$6:$DF$17,2)+1))*$D109</f>
        <v>-466.08623351339423</v>
      </c>
      <c r="BI109" s="1021">
        <f>(VLOOKUP(YEAR($A109),'NY East Load Projections'!$A$4:$EO$14,((MONTH($A109)-1)*12)+VLOOKUP(BI$4,$DE$6:$DF$17,2)+1))*$D109</f>
        <v>-466.08623351339423</v>
      </c>
      <c r="BJ109" s="1021">
        <f>(VLOOKUP(YEAR($A109),'NY East Load Projections'!$A$4:$EO$14,((MONTH($A109)-1)*12)+VLOOKUP(BJ$4,$DE$6:$DF$17,2)+1))*$D109</f>
        <v>-473.9872329134551</v>
      </c>
      <c r="BK109" s="1021">
        <f>(VLOOKUP(YEAR($A109),'NY East Load Projections'!$A$4:$EO$14,((MONTH($A109)-1)*12)+VLOOKUP(BK$4,$DE$6:$DF$17,2)+1))*$D109</f>
        <v>-473.9872329134551</v>
      </c>
      <c r="BL109" s="1021">
        <f>(VLOOKUP(YEAR($A109),'NY East Load Projections'!$A$4:$EO$14,((MONTH($A109)-1)*12)+VLOOKUP(BL$4,$DE$6:$DF$17,2)+1))*$D109</f>
        <v>-473.9872329134551</v>
      </c>
      <c r="BM109" s="1021">
        <f>(VLOOKUP(YEAR($A109),'NY East Load Projections'!$A$4:$EO$14,((MONTH($A109)-1)*12)+VLOOKUP(BM$4,$DE$6:$DF$17,2)+1))*$D109</f>
        <v>-473.9872329134551</v>
      </c>
      <c r="BN109" s="1021">
        <f>(VLOOKUP(YEAR($A109),'NY East Load Projections'!$A$4:$EO$14,((MONTH($A109)-1)*12)+VLOOKUP(BN$4,$DE$6:$DF$17,2)+1))*$D109</f>
        <v>-520.97956241246163</v>
      </c>
      <c r="BO109" s="1021">
        <f>(VLOOKUP(YEAR($A109),'NY East Load Projections'!$A$4:$EO$14,((MONTH($A109)-1)*12)+VLOOKUP(BO$4,$DE$6:$DF$17,2)+1))*$D109</f>
        <v>-520.97956241246163</v>
      </c>
      <c r="BP109" s="1021">
        <f>(VLOOKUP(YEAR($A109),'NY East Load Projections'!$A$4:$EO$14,((MONTH($A109)-1)*12)+VLOOKUP(BP$4,$DE$6:$DF$17,2)+1))*$D109</f>
        <v>-520.97956241246163</v>
      </c>
      <c r="BQ109" s="1021">
        <f>(VLOOKUP(YEAR($A109),'NY East Load Projections'!$A$4:$EO$14,((MONTH($A109)-1)*12)+VLOOKUP(BQ$4,$DE$6:$DF$17,2)+1))*$D109</f>
        <v>-520.97956241246163</v>
      </c>
      <c r="BR109" s="1021">
        <f>(VLOOKUP(YEAR($A109),'NY East Load Projections'!$A$4:$EO$14,((MONTH($A109)-1)*12)+VLOOKUP(BR$4,$DE$6:$DF$17,2)+1))*$D109</f>
        <v>-538.70248998629836</v>
      </c>
      <c r="BS109" s="1021">
        <f>(VLOOKUP(YEAR($A109),'NY East Load Projections'!$A$4:$EO$14,((MONTH($A109)-1)*12)+VLOOKUP(BS$4,$DE$6:$DF$17,2)+1))*$D109</f>
        <v>-538.70248998629836</v>
      </c>
      <c r="BT109" s="1021">
        <f>(VLOOKUP(YEAR($A109),'NY East Load Projections'!$A$4:$EO$14,((MONTH($A109)-1)*12)+VLOOKUP(BT$4,$DE$6:$DF$17,2)+1))*$D109</f>
        <v>-538.70248998629836</v>
      </c>
      <c r="BU109" s="1021">
        <f>(VLOOKUP(YEAR($A109),'NY East Load Projections'!$A$4:$EO$14,((MONTH($A109)-1)*12)+VLOOKUP(BU$4,$DE$6:$DF$17,2)+1))*$D109</f>
        <v>-538.70248998629836</v>
      </c>
      <c r="BV109" s="1021">
        <f>(VLOOKUP(YEAR($A109),'NY East Load Projections'!$A$4:$EO$14,((MONTH($A109)-1)*12)+VLOOKUP(BV$4,$DE$6:$DF$17,2)+1))*$D109</f>
        <v>-514.40989273773005</v>
      </c>
      <c r="BW109" s="1021">
        <f>(VLOOKUP(YEAR($A109),'NY East Load Projections'!$A$4:$EO$14,((MONTH($A109)-1)*12)+VLOOKUP(BW$4,$DE$6:$DF$17,2)+1))*$D109</f>
        <v>-514.40989273773005</v>
      </c>
      <c r="BX109" s="1021">
        <f>(VLOOKUP(YEAR($A109),'NY East Load Projections'!$A$4:$EO$14,((MONTH($A109)-1)*12)+VLOOKUP(BX$4,$DE$6:$DF$17,2)+1))*$D109</f>
        <v>-514.40989273773005</v>
      </c>
      <c r="BY109" s="1021">
        <f>(VLOOKUP(YEAR($A109),'NY East Load Projections'!$A$4:$EO$14,((MONTH($A109)-1)*12)+VLOOKUP(BY$4,$DE$6:$DF$17,2)+1))*$D109</f>
        <v>-514.40989273773005</v>
      </c>
      <c r="BZ109" s="1021">
        <f>(VLOOKUP(YEAR($A109),'NY East Load Projections'!$A$4:$EO$14,((MONTH($A109)-1)*12)+VLOOKUP(BZ$4,$DE$6:$DF$17,2)+1))*$D109</f>
        <v>-486.21042160984956</v>
      </c>
      <c r="CA109" s="1021">
        <f>(VLOOKUP(YEAR($A109),'NY East Load Projections'!$A$4:$EO$14,((MONTH($A109)-1)*12)+VLOOKUP(CA$4,$DE$6:$DF$17,2)+1))*$D109</f>
        <v>-486.21042160984956</v>
      </c>
      <c r="CB109" s="1021">
        <f>(VLOOKUP(YEAR($A109),'NY East Load Projections'!$A$4:$EO$14,((MONTH($A109)-1)*12)+VLOOKUP(CB$4,$DE$6:$DF$17,2)+1))*$D109</f>
        <v>-486.21042160984956</v>
      </c>
      <c r="CC109" s="1021">
        <f>(VLOOKUP(YEAR($A109),'NY East Load Projections'!$A$4:$EO$14,((MONTH($A109)-1)*12)+VLOOKUP(CC$4,$DE$6:$DF$17,2)+1))*$D109</f>
        <v>-486.21042160984956</v>
      </c>
      <c r="CE109" s="1021">
        <f>(VLOOKUP(YEAR($A109),'NY East Load Projections'!$A$4:$EO$14,((MONTH($A109)-1)*12)+VLOOKUP(CE$4,$DE$6:$DF$17,2)+1))*$E109</f>
        <v>0</v>
      </c>
      <c r="CF109" s="1021">
        <f>(VLOOKUP(YEAR($A109),'NY East Load Projections'!$A$4:$EO$14,((MONTH($A109)-1)*12)+VLOOKUP(CF$4,$DE$6:$DF$17,2)+1))*$E109</f>
        <v>0</v>
      </c>
      <c r="CG109" s="1021">
        <f>(VLOOKUP(YEAR($A109),'NY East Load Projections'!$A$4:$EO$14,((MONTH($A109)-1)*12)+VLOOKUP(CG$4,$DE$6:$DF$17,2)+1))*$E109</f>
        <v>0</v>
      </c>
      <c r="CH109" s="1021">
        <f>(VLOOKUP(YEAR($A109),'NY East Load Projections'!$A$4:$EO$14,((MONTH($A109)-1)*12)+VLOOKUP(CH$4,$DE$6:$DF$17,2)+1))*$E109</f>
        <v>0</v>
      </c>
      <c r="CI109" s="1021">
        <f>(VLOOKUP(YEAR($A109),'NY East Load Projections'!$A$4:$EO$14,((MONTH($A109)-1)*12)+VLOOKUP(CI$4,$DE$6:$DF$17,2)+1))*$E109</f>
        <v>0</v>
      </c>
      <c r="CJ109" s="1021">
        <f>(VLOOKUP(YEAR($A109),'NY East Load Projections'!$A$4:$EO$14,((MONTH($A109)-1)*12)+VLOOKUP(CJ$4,$DE$6:$DF$17,2)+1))*$E109</f>
        <v>0</v>
      </c>
      <c r="CK109" s="1021">
        <f>(VLOOKUP(YEAR($A109),'NY East Load Projections'!$A$4:$EO$14,((MONTH($A109)-1)*12)+VLOOKUP(CK$4,$DE$6:$DF$17,2)+1))*$E109</f>
        <v>0</v>
      </c>
      <c r="CL109" s="1021">
        <f>(VLOOKUP(YEAR($A109),'NY East Load Projections'!$A$4:$EO$14,((MONTH($A109)-1)*12)+VLOOKUP(CL$4,$DE$6:$DF$17,2)+1))*$E109</f>
        <v>0</v>
      </c>
      <c r="CM109" s="1021">
        <f>(VLOOKUP(YEAR($A109),'NY East Load Projections'!$A$4:$EO$14,((MONTH($A109)-1)*12)+VLOOKUP(CM$4,$DE$6:$DF$17,2)+1))*$E109</f>
        <v>0</v>
      </c>
      <c r="CN109" s="1021">
        <f>(VLOOKUP(YEAR($A109),'NY East Load Projections'!$A$4:$EO$14,((MONTH($A109)-1)*12)+VLOOKUP(CN$4,$DE$6:$DF$17,2)+1))*$E109</f>
        <v>0</v>
      </c>
      <c r="CO109" s="1021">
        <f>(VLOOKUP(YEAR($A109),'NY East Load Projections'!$A$4:$EO$14,((MONTH($A109)-1)*12)+VLOOKUP(CO$4,$DE$6:$DF$17,2)+1))*$E109</f>
        <v>0</v>
      </c>
      <c r="CP109" s="1021">
        <f>(VLOOKUP(YEAR($A109),'NY East Load Projections'!$A$4:$EO$14,((MONTH($A109)-1)*12)+VLOOKUP(CP$4,$DE$6:$DF$17,2)+1))*$E109</f>
        <v>0</v>
      </c>
      <c r="CQ109" s="1021">
        <f>(VLOOKUP(YEAR($A109),'NY East Load Projections'!$A$4:$EO$14,((MONTH($A109)-1)*12)+VLOOKUP(CQ$4,$DE$6:$DF$17,2)+1))*$E109</f>
        <v>0</v>
      </c>
      <c r="CR109" s="1021">
        <f>(VLOOKUP(YEAR($A109),'NY East Load Projections'!$A$4:$EO$14,((MONTH($A109)-1)*12)+VLOOKUP(CR$4,$DE$6:$DF$17,2)+1))*$E109</f>
        <v>0</v>
      </c>
      <c r="CS109" s="1021">
        <f>(VLOOKUP(YEAR($A109),'NY East Load Projections'!$A$4:$EO$14,((MONTH($A109)-1)*12)+VLOOKUP(CS$4,$DE$6:$DF$17,2)+1))*$E109</f>
        <v>0</v>
      </c>
      <c r="CT109" s="1021">
        <f>(VLOOKUP(YEAR($A109),'NY East Load Projections'!$A$4:$EO$14,((MONTH($A109)-1)*12)+VLOOKUP(CT$4,$DE$6:$DF$17,2)+1))*$E109</f>
        <v>0</v>
      </c>
      <c r="CU109" s="1021">
        <f>(VLOOKUP(YEAR($A109),'NY East Load Projections'!$A$4:$EO$14,((MONTH($A109)-1)*12)+VLOOKUP(CU$4,$DE$6:$DF$17,2)+1))*$E109</f>
        <v>0</v>
      </c>
      <c r="CV109" s="1021">
        <f>(VLOOKUP(YEAR($A109),'NY East Load Projections'!$A$4:$EO$14,((MONTH($A109)-1)*12)+VLOOKUP(CV$4,$DE$6:$DF$17,2)+1))*$E109</f>
        <v>0</v>
      </c>
      <c r="CW109" s="1021">
        <f>(VLOOKUP(YEAR($A109),'NY East Load Projections'!$A$4:$EO$14,((MONTH($A109)-1)*12)+VLOOKUP(CW$4,$DE$6:$DF$17,2)+1))*$E109</f>
        <v>0</v>
      </c>
      <c r="CX109" s="1021">
        <f>(VLOOKUP(YEAR($A109),'NY East Load Projections'!$A$4:$EO$14,((MONTH($A109)-1)*12)+VLOOKUP(CX$4,$DE$6:$DF$17,2)+1))*$E109</f>
        <v>0</v>
      </c>
      <c r="CY109" s="1021">
        <f>(VLOOKUP(YEAR($A109),'NY East Load Projections'!$A$4:$EO$14,((MONTH($A109)-1)*12)+VLOOKUP(CY$4,$DE$6:$DF$17,2)+1))*$E109</f>
        <v>0</v>
      </c>
      <c r="CZ109" s="1021">
        <f>(VLOOKUP(YEAR($A109),'NY East Load Projections'!$A$4:$EO$14,((MONTH($A109)-1)*12)+VLOOKUP(CZ$4,$DE$6:$DF$17,2)+1))*$E109</f>
        <v>0</v>
      </c>
      <c r="DA109" s="1021">
        <f>(VLOOKUP(YEAR($A109),'NY East Load Projections'!$A$4:$EO$14,((MONTH($A109)-1)*12)+VLOOKUP(DA$4,$DE$6:$DF$17,2)+1))*$E109</f>
        <v>0</v>
      </c>
      <c r="DB109" s="1021">
        <f>(VLOOKUP(YEAR($A109),'NY East Load Projections'!$A$4:$EO$14,((MONTH($A109)-1)*12)+VLOOKUP(DB$4,$DE$6:$DF$17,2)+1))*$E109</f>
        <v>0</v>
      </c>
      <c r="DH109" s="1009">
        <f t="shared" si="5"/>
        <v>-76973.079629204542</v>
      </c>
      <c r="DI109">
        <f ca="1">CALC!J129</f>
        <v>0.4990621226429876</v>
      </c>
      <c r="DJ109" s="1032">
        <f t="shared" ca="1" si="4"/>
        <v>-38414.348506118527</v>
      </c>
    </row>
    <row r="110" spans="1:114" x14ac:dyDescent="0.25">
      <c r="A110" s="244">
        <v>40057</v>
      </c>
      <c r="B110" s="13">
        <v>21</v>
      </c>
      <c r="C110" s="210">
        <v>4</v>
      </c>
      <c r="D110" s="210">
        <v>4</v>
      </c>
      <c r="E110" s="210">
        <v>1</v>
      </c>
      <c r="F110" s="13">
        <v>30</v>
      </c>
      <c r="H110" s="1021">
        <f>(VLOOKUP(YEAR($A110),'NY East Load Projections'!$A$4:$EO$14,((MONTH($A110)-1)*12)+VLOOKUP(H$4,$DE$6:$DF$17,2)+1))*$B110</f>
        <v>-2008.2973709096611</v>
      </c>
      <c r="I110" s="1021">
        <f>(VLOOKUP(YEAR($A110),'NY East Load Projections'!$A$4:$EO$14,((MONTH($A110)-1)*12)+VLOOKUP(I$4,$DE$6:$DF$17,2)+1))*$B110</f>
        <v>-2008.2973709096611</v>
      </c>
      <c r="J110" s="1021">
        <f>(VLOOKUP(YEAR($A110),'NY East Load Projections'!$A$4:$EO$14,((MONTH($A110)-1)*12)+VLOOKUP(J$4,$DE$6:$DF$17,2)+1))*$B110</f>
        <v>-2008.2973709096611</v>
      </c>
      <c r="K110" s="1021">
        <f>(VLOOKUP(YEAR($A110),'NY East Load Projections'!$A$4:$EO$14,((MONTH($A110)-1)*12)+VLOOKUP(K$4,$DE$6:$DF$17,2)+1))*$B110</f>
        <v>-2008.2973709096611</v>
      </c>
      <c r="L110" s="1021">
        <f>(VLOOKUP(YEAR($A110),'NY East Load Projections'!$A$4:$EO$14,((MONTH($A110)-1)*12)+VLOOKUP(L$4,$DE$6:$DF$17,2)+1))*$B110</f>
        <v>-2140.5179066548326</v>
      </c>
      <c r="M110" s="1021">
        <f>(VLOOKUP(YEAR($A110),'NY East Load Projections'!$A$4:$EO$14,((MONTH($A110)-1)*12)+VLOOKUP(M$4,$DE$6:$DF$17,2)+1))*$B110</f>
        <v>-2140.5179066548326</v>
      </c>
      <c r="N110" s="1021">
        <f>(VLOOKUP(YEAR($A110),'NY East Load Projections'!$A$4:$EO$14,((MONTH($A110)-1)*12)+VLOOKUP(N$4,$DE$6:$DF$17,2)+1))*$B110</f>
        <v>-2140.5179066548326</v>
      </c>
      <c r="O110" s="1021">
        <f>(VLOOKUP(YEAR($A110),'NY East Load Projections'!$A$4:$EO$14,((MONTH($A110)-1)*12)+VLOOKUP(O$4,$DE$6:$DF$17,2)+1))*$B110</f>
        <v>-2140.5179066548326</v>
      </c>
      <c r="P110" s="1021">
        <f>(VLOOKUP(YEAR($A110),'NY East Load Projections'!$A$4:$EO$14,((MONTH($A110)-1)*12)+VLOOKUP(P$4,$DE$6:$DF$17,2)+1))*$B110</f>
        <v>-2323.5118096907281</v>
      </c>
      <c r="Q110" s="1021">
        <f>(VLOOKUP(YEAR($A110),'NY East Load Projections'!$A$4:$EO$14,((MONTH($A110)-1)*12)+VLOOKUP(Q$4,$DE$6:$DF$17,2)+1))*$B110</f>
        <v>-2323.5118096907281</v>
      </c>
      <c r="R110" s="1021">
        <f>(VLOOKUP(YEAR($A110),'NY East Load Projections'!$A$4:$EO$14,((MONTH($A110)-1)*12)+VLOOKUP(R$4,$DE$6:$DF$17,2)+1))*$B110</f>
        <v>-2323.5118096907281</v>
      </c>
      <c r="S110" s="1021">
        <f>(VLOOKUP(YEAR($A110),'NY East Load Projections'!$A$4:$EO$14,((MONTH($A110)-1)*12)+VLOOKUP(S$4,$DE$6:$DF$17,2)+1))*$B110</f>
        <v>-2323.5118096907281</v>
      </c>
      <c r="T110" s="1021">
        <f>(VLOOKUP(YEAR($A110),'NY East Load Projections'!$A$4:$EO$14,((MONTH($A110)-1)*12)+VLOOKUP(T$4,$DE$6:$DF$17,2)+1))*$B110</f>
        <v>-2389.2377783848401</v>
      </c>
      <c r="U110" s="1021">
        <f>(VLOOKUP(YEAR($A110),'NY East Load Projections'!$A$4:$EO$14,((MONTH($A110)-1)*12)+VLOOKUP(U$4,$DE$6:$DF$17,2)+1))*$B110</f>
        <v>-2389.2377783848401</v>
      </c>
      <c r="V110" s="1021">
        <f>(VLOOKUP(YEAR($A110),'NY East Load Projections'!$A$4:$EO$14,((MONTH($A110)-1)*12)+VLOOKUP(V$4,$DE$6:$DF$17,2)+1))*$B110</f>
        <v>-2389.2377783848401</v>
      </c>
      <c r="W110" s="1021">
        <f>(VLOOKUP(YEAR($A110),'NY East Load Projections'!$A$4:$EO$14,((MONTH($A110)-1)*12)+VLOOKUP(W$4,$DE$6:$DF$17,2)+1))*$B110</f>
        <v>-2389.2377783848401</v>
      </c>
      <c r="X110" s="1021">
        <f>(VLOOKUP(YEAR($A110),'NY East Load Projections'!$A$4:$EO$14,((MONTH($A110)-1)*12)+VLOOKUP(X$4,$DE$6:$DF$17,2)+1))*$B110</f>
        <v>-2289.1923527769891</v>
      </c>
      <c r="Y110" s="1021">
        <f>(VLOOKUP(YEAR($A110),'NY East Load Projections'!$A$4:$EO$14,((MONTH($A110)-1)*12)+VLOOKUP(Y$4,$DE$6:$DF$17,2)+1))*$B110</f>
        <v>-2289.1923527769891</v>
      </c>
      <c r="Z110" s="1021">
        <f>(VLOOKUP(YEAR($A110),'NY East Load Projections'!$A$4:$EO$14,((MONTH($A110)-1)*12)+VLOOKUP(Z$4,$DE$6:$DF$17,2)+1))*$B110</f>
        <v>-2289.1923527769891</v>
      </c>
      <c r="AA110" s="1021">
        <f>(VLOOKUP(YEAR($A110),'NY East Load Projections'!$A$4:$EO$14,((MONTH($A110)-1)*12)+VLOOKUP(AA$4,$DE$6:$DF$17,2)+1))*$B110</f>
        <v>-2289.1923527769891</v>
      </c>
      <c r="AB110" s="1021">
        <f>(VLOOKUP(YEAR($A110),'NY East Load Projections'!$A$4:$EO$14,((MONTH($A110)-1)*12)+VLOOKUP(AB$4,$DE$6:$DF$17,2)+1))*$B110</f>
        <v>-2072.8202257967546</v>
      </c>
      <c r="AC110" s="1021">
        <f>(VLOOKUP(YEAR($A110),'NY East Load Projections'!$A$4:$EO$14,((MONTH($A110)-1)*12)+VLOOKUP(AC$4,$DE$6:$DF$17,2)+1))*$B110</f>
        <v>-2072.8202257967546</v>
      </c>
      <c r="AD110" s="1021">
        <f>(VLOOKUP(YEAR($A110),'NY East Load Projections'!$A$4:$EO$14,((MONTH($A110)-1)*12)+VLOOKUP(AD$4,$DE$6:$DF$17,2)+1))*$B110</f>
        <v>-2072.8202257967546</v>
      </c>
      <c r="AE110" s="1021">
        <f>(VLOOKUP(YEAR($A110),'NY East Load Projections'!$A$4:$EO$14,((MONTH($A110)-1)*12)+VLOOKUP(AE$4,$DE$6:$DF$17,2)+1))*$B110</f>
        <v>-2072.8202257967546</v>
      </c>
      <c r="AF110" s="1021"/>
      <c r="AG110" s="1021">
        <f>(VLOOKUP(YEAR($A110),'NY East Load Projections'!$A$4:$EO$14,((MONTH($A110)-1)*12)+VLOOKUP(AG$4,$DE$6:$DF$17,2)+1))*$C110</f>
        <v>-397.96078062108251</v>
      </c>
      <c r="AH110" s="1021">
        <f>(VLOOKUP(YEAR($A110),'NY East Load Projections'!$A$4:$EO$14,((MONTH($A110)-1)*12)+VLOOKUP(AH$4,$DE$6:$DF$17,2)+1))*$C110</f>
        <v>-397.96078062108251</v>
      </c>
      <c r="AI110" s="1021">
        <f>(VLOOKUP(YEAR($A110),'NY East Load Projections'!$A$4:$EO$14,((MONTH($A110)-1)*12)+VLOOKUP(AI$4,$DE$6:$DF$17,2)+1))*$C110</f>
        <v>-397.96078062108251</v>
      </c>
      <c r="AJ110" s="1021">
        <f>(VLOOKUP(YEAR($A110),'NY East Load Projections'!$A$4:$EO$14,((MONTH($A110)-1)*12)+VLOOKUP(AJ$4,$DE$6:$DF$17,2)+1))*$C110</f>
        <v>-397.96078062108251</v>
      </c>
      <c r="AK110" s="1021">
        <f>(VLOOKUP(YEAR($A110),'NY East Load Projections'!$A$4:$EO$14,((MONTH($A110)-1)*12)+VLOOKUP(AK$4,$DE$6:$DF$17,2)+1))*$C110</f>
        <v>-400.93105754638555</v>
      </c>
      <c r="AL110" s="1021">
        <f>(VLOOKUP(YEAR($A110),'NY East Load Projections'!$A$4:$EO$14,((MONTH($A110)-1)*12)+VLOOKUP(AL$4,$DE$6:$DF$17,2)+1))*$C110</f>
        <v>-400.93105754638555</v>
      </c>
      <c r="AM110" s="1021">
        <f>(VLOOKUP(YEAR($A110),'NY East Load Projections'!$A$4:$EO$14,((MONTH($A110)-1)*12)+VLOOKUP(AM$4,$DE$6:$DF$17,2)+1))*$C110</f>
        <v>-400.93105754638555</v>
      </c>
      <c r="AN110" s="1021">
        <f>(VLOOKUP(YEAR($A110),'NY East Load Projections'!$A$4:$EO$14,((MONTH($A110)-1)*12)+VLOOKUP(AN$4,$DE$6:$DF$17,2)+1))*$C110</f>
        <v>-400.93105754638555</v>
      </c>
      <c r="AO110" s="1021">
        <f>(VLOOKUP(YEAR($A110),'NY East Load Projections'!$A$4:$EO$14,((MONTH($A110)-1)*12)+VLOOKUP(AO$4,$DE$6:$DF$17,2)+1))*$C110</f>
        <v>-450.50969155816779</v>
      </c>
      <c r="AP110" s="1021">
        <f>(VLOOKUP(YEAR($A110),'NY East Load Projections'!$A$4:$EO$14,((MONTH($A110)-1)*12)+VLOOKUP(AP$4,$DE$6:$DF$17,2)+1))*$C110</f>
        <v>-450.50969155816779</v>
      </c>
      <c r="AQ110" s="1021">
        <f>(VLOOKUP(YEAR($A110),'NY East Load Projections'!$A$4:$EO$14,((MONTH($A110)-1)*12)+VLOOKUP(AQ$4,$DE$6:$DF$17,2)+1))*$C110</f>
        <v>-450.50969155816779</v>
      </c>
      <c r="AR110" s="1021">
        <f>(VLOOKUP(YEAR($A110),'NY East Load Projections'!$A$4:$EO$14,((MONTH($A110)-1)*12)+VLOOKUP(AR$4,$DE$6:$DF$17,2)+1))*$C110</f>
        <v>-450.50969155816779</v>
      </c>
      <c r="AS110" s="1021">
        <f>(VLOOKUP(YEAR($A110),'NY East Load Projections'!$A$4:$EO$14,((MONTH($A110)-1)*12)+VLOOKUP(AS$4,$DE$6:$DF$17,2)+1))*$C110</f>
        <v>-461.95889720346344</v>
      </c>
      <c r="AT110" s="1021">
        <f>(VLOOKUP(YEAR($A110),'NY East Load Projections'!$A$4:$EO$14,((MONTH($A110)-1)*12)+VLOOKUP(AT$4,$DE$6:$DF$17,2)+1))*$C110</f>
        <v>-461.95889720346344</v>
      </c>
      <c r="AU110" s="1021">
        <f>(VLOOKUP(YEAR($A110),'NY East Load Projections'!$A$4:$EO$14,((MONTH($A110)-1)*12)+VLOOKUP(AU$4,$DE$6:$DF$17,2)+1))*$C110</f>
        <v>-461.95889720346344</v>
      </c>
      <c r="AV110" s="1021">
        <f>(VLOOKUP(YEAR($A110),'NY East Load Projections'!$A$4:$EO$14,((MONTH($A110)-1)*12)+VLOOKUP(AV$4,$DE$6:$DF$17,2)+1))*$C110</f>
        <v>-461.95889720346344</v>
      </c>
      <c r="AW110" s="1021">
        <f>(VLOOKUP(YEAR($A110),'NY East Load Projections'!$A$4:$EO$14,((MONTH($A110)-1)*12)+VLOOKUP(AW$4,$DE$6:$DF$17,2)+1))*$C110</f>
        <v>-431.4394765357348</v>
      </c>
      <c r="AX110" s="1021">
        <f>(VLOOKUP(YEAR($A110),'NY East Load Projections'!$A$4:$EO$14,((MONTH($A110)-1)*12)+VLOOKUP(AX$4,$DE$6:$DF$17,2)+1))*$C110</f>
        <v>-431.4394765357348</v>
      </c>
      <c r="AY110" s="1021">
        <f>(VLOOKUP(YEAR($A110),'NY East Load Projections'!$A$4:$EO$14,((MONTH($A110)-1)*12)+VLOOKUP(AY$4,$DE$6:$DF$17,2)+1))*$C110</f>
        <v>-431.4394765357348</v>
      </c>
      <c r="AZ110" s="1021">
        <f>(VLOOKUP(YEAR($A110),'NY East Load Projections'!$A$4:$EO$14,((MONTH($A110)-1)*12)+VLOOKUP(AZ$4,$DE$6:$DF$17,2)+1))*$C110</f>
        <v>-431.4394765357348</v>
      </c>
      <c r="BA110" s="1021">
        <f>(VLOOKUP(YEAR($A110),'NY East Load Projections'!$A$4:$EO$14,((MONTH($A110)-1)*12)+VLOOKUP(BA$4,$DE$6:$DF$17,2)+1))*$C110</f>
        <v>-413.20602766042754</v>
      </c>
      <c r="BB110" s="1021">
        <f>(VLOOKUP(YEAR($A110),'NY East Load Projections'!$A$4:$EO$14,((MONTH($A110)-1)*12)+VLOOKUP(BB$4,$DE$6:$DF$17,2)+1))*$C110</f>
        <v>-413.20602766042754</v>
      </c>
      <c r="BC110" s="1021">
        <f>(VLOOKUP(YEAR($A110),'NY East Load Projections'!$A$4:$EO$14,((MONTH($A110)-1)*12)+VLOOKUP(BC$4,$DE$6:$DF$17,2)+1))*$C110</f>
        <v>-413.20602766042754</v>
      </c>
      <c r="BD110" s="1021">
        <f>(VLOOKUP(YEAR($A110),'NY East Load Projections'!$A$4:$EO$14,((MONTH($A110)-1)*12)+VLOOKUP(BD$4,$DE$6:$DF$17,2)+1))*$C110</f>
        <v>-413.20602766042754</v>
      </c>
      <c r="BE110" s="1021"/>
      <c r="BF110" s="1021">
        <f>(VLOOKUP(YEAR($A110),'NY East Load Projections'!$A$4:$EO$14,((MONTH($A110)-1)*12)+VLOOKUP(BF$4,$DE$6:$DF$17,2)+1))*$D110</f>
        <v>-397.96078062108251</v>
      </c>
      <c r="BG110" s="1021">
        <f>(VLOOKUP(YEAR($A110),'NY East Load Projections'!$A$4:$EO$14,((MONTH($A110)-1)*12)+VLOOKUP(BG$4,$DE$6:$DF$17,2)+1))*$D110</f>
        <v>-397.96078062108251</v>
      </c>
      <c r="BH110" s="1021">
        <f>(VLOOKUP(YEAR($A110),'NY East Load Projections'!$A$4:$EO$14,((MONTH($A110)-1)*12)+VLOOKUP(BH$4,$DE$6:$DF$17,2)+1))*$D110</f>
        <v>-397.96078062108251</v>
      </c>
      <c r="BI110" s="1021">
        <f>(VLOOKUP(YEAR($A110),'NY East Load Projections'!$A$4:$EO$14,((MONTH($A110)-1)*12)+VLOOKUP(BI$4,$DE$6:$DF$17,2)+1))*$D110</f>
        <v>-397.96078062108251</v>
      </c>
      <c r="BJ110" s="1021">
        <f>(VLOOKUP(YEAR($A110),'NY East Load Projections'!$A$4:$EO$14,((MONTH($A110)-1)*12)+VLOOKUP(BJ$4,$DE$6:$DF$17,2)+1))*$D110</f>
        <v>-400.93105754638555</v>
      </c>
      <c r="BK110" s="1021">
        <f>(VLOOKUP(YEAR($A110),'NY East Load Projections'!$A$4:$EO$14,((MONTH($A110)-1)*12)+VLOOKUP(BK$4,$DE$6:$DF$17,2)+1))*$D110</f>
        <v>-400.93105754638555</v>
      </c>
      <c r="BL110" s="1021">
        <f>(VLOOKUP(YEAR($A110),'NY East Load Projections'!$A$4:$EO$14,((MONTH($A110)-1)*12)+VLOOKUP(BL$4,$DE$6:$DF$17,2)+1))*$D110</f>
        <v>-400.93105754638555</v>
      </c>
      <c r="BM110" s="1021">
        <f>(VLOOKUP(YEAR($A110),'NY East Load Projections'!$A$4:$EO$14,((MONTH($A110)-1)*12)+VLOOKUP(BM$4,$DE$6:$DF$17,2)+1))*$D110</f>
        <v>-400.93105754638555</v>
      </c>
      <c r="BN110" s="1021">
        <f>(VLOOKUP(YEAR($A110),'NY East Load Projections'!$A$4:$EO$14,((MONTH($A110)-1)*12)+VLOOKUP(BN$4,$DE$6:$DF$17,2)+1))*$D110</f>
        <v>-450.50969155816779</v>
      </c>
      <c r="BO110" s="1021">
        <f>(VLOOKUP(YEAR($A110),'NY East Load Projections'!$A$4:$EO$14,((MONTH($A110)-1)*12)+VLOOKUP(BO$4,$DE$6:$DF$17,2)+1))*$D110</f>
        <v>-450.50969155816779</v>
      </c>
      <c r="BP110" s="1021">
        <f>(VLOOKUP(YEAR($A110),'NY East Load Projections'!$A$4:$EO$14,((MONTH($A110)-1)*12)+VLOOKUP(BP$4,$DE$6:$DF$17,2)+1))*$D110</f>
        <v>-450.50969155816779</v>
      </c>
      <c r="BQ110" s="1021">
        <f>(VLOOKUP(YEAR($A110),'NY East Load Projections'!$A$4:$EO$14,((MONTH($A110)-1)*12)+VLOOKUP(BQ$4,$DE$6:$DF$17,2)+1))*$D110</f>
        <v>-450.50969155816779</v>
      </c>
      <c r="BR110" s="1021">
        <f>(VLOOKUP(YEAR($A110),'NY East Load Projections'!$A$4:$EO$14,((MONTH($A110)-1)*12)+VLOOKUP(BR$4,$DE$6:$DF$17,2)+1))*$D110</f>
        <v>-461.95889720346344</v>
      </c>
      <c r="BS110" s="1021">
        <f>(VLOOKUP(YEAR($A110),'NY East Load Projections'!$A$4:$EO$14,((MONTH($A110)-1)*12)+VLOOKUP(BS$4,$DE$6:$DF$17,2)+1))*$D110</f>
        <v>-461.95889720346344</v>
      </c>
      <c r="BT110" s="1021">
        <f>(VLOOKUP(YEAR($A110),'NY East Load Projections'!$A$4:$EO$14,((MONTH($A110)-1)*12)+VLOOKUP(BT$4,$DE$6:$DF$17,2)+1))*$D110</f>
        <v>-461.95889720346344</v>
      </c>
      <c r="BU110" s="1021">
        <f>(VLOOKUP(YEAR($A110),'NY East Load Projections'!$A$4:$EO$14,((MONTH($A110)-1)*12)+VLOOKUP(BU$4,$DE$6:$DF$17,2)+1))*$D110</f>
        <v>-461.95889720346344</v>
      </c>
      <c r="BV110" s="1021">
        <f>(VLOOKUP(YEAR($A110),'NY East Load Projections'!$A$4:$EO$14,((MONTH($A110)-1)*12)+VLOOKUP(BV$4,$DE$6:$DF$17,2)+1))*$D110</f>
        <v>-431.4394765357348</v>
      </c>
      <c r="BW110" s="1021">
        <f>(VLOOKUP(YEAR($A110),'NY East Load Projections'!$A$4:$EO$14,((MONTH($A110)-1)*12)+VLOOKUP(BW$4,$DE$6:$DF$17,2)+1))*$D110</f>
        <v>-431.4394765357348</v>
      </c>
      <c r="BX110" s="1021">
        <f>(VLOOKUP(YEAR($A110),'NY East Load Projections'!$A$4:$EO$14,((MONTH($A110)-1)*12)+VLOOKUP(BX$4,$DE$6:$DF$17,2)+1))*$D110</f>
        <v>-431.4394765357348</v>
      </c>
      <c r="BY110" s="1021">
        <f>(VLOOKUP(YEAR($A110),'NY East Load Projections'!$A$4:$EO$14,((MONTH($A110)-1)*12)+VLOOKUP(BY$4,$DE$6:$DF$17,2)+1))*$D110</f>
        <v>-431.4394765357348</v>
      </c>
      <c r="BZ110" s="1021">
        <f>(VLOOKUP(YEAR($A110),'NY East Load Projections'!$A$4:$EO$14,((MONTH($A110)-1)*12)+VLOOKUP(BZ$4,$DE$6:$DF$17,2)+1))*$D110</f>
        <v>-413.20602766042754</v>
      </c>
      <c r="CA110" s="1021">
        <f>(VLOOKUP(YEAR($A110),'NY East Load Projections'!$A$4:$EO$14,((MONTH($A110)-1)*12)+VLOOKUP(CA$4,$DE$6:$DF$17,2)+1))*$D110</f>
        <v>-413.20602766042754</v>
      </c>
      <c r="CB110" s="1021">
        <f>(VLOOKUP(YEAR($A110),'NY East Load Projections'!$A$4:$EO$14,((MONTH($A110)-1)*12)+VLOOKUP(CB$4,$DE$6:$DF$17,2)+1))*$D110</f>
        <v>-413.20602766042754</v>
      </c>
      <c r="CC110" s="1021">
        <f>(VLOOKUP(YEAR($A110),'NY East Load Projections'!$A$4:$EO$14,((MONTH($A110)-1)*12)+VLOOKUP(CC$4,$DE$6:$DF$17,2)+1))*$D110</f>
        <v>-413.20602766042754</v>
      </c>
      <c r="CE110" s="1021">
        <f>(VLOOKUP(YEAR($A110),'NY East Load Projections'!$A$4:$EO$14,((MONTH($A110)-1)*12)+VLOOKUP(CE$4,$DE$6:$DF$17,2)+1))*$E110</f>
        <v>-99.490195155270627</v>
      </c>
      <c r="CF110" s="1021">
        <f>(VLOOKUP(YEAR($A110),'NY East Load Projections'!$A$4:$EO$14,((MONTH($A110)-1)*12)+VLOOKUP(CF$4,$DE$6:$DF$17,2)+1))*$E110</f>
        <v>-99.490195155270627</v>
      </c>
      <c r="CG110" s="1021">
        <f>(VLOOKUP(YEAR($A110),'NY East Load Projections'!$A$4:$EO$14,((MONTH($A110)-1)*12)+VLOOKUP(CG$4,$DE$6:$DF$17,2)+1))*$E110</f>
        <v>-99.490195155270627</v>
      </c>
      <c r="CH110" s="1021">
        <f>(VLOOKUP(YEAR($A110),'NY East Load Projections'!$A$4:$EO$14,((MONTH($A110)-1)*12)+VLOOKUP(CH$4,$DE$6:$DF$17,2)+1))*$E110</f>
        <v>-99.490195155270627</v>
      </c>
      <c r="CI110" s="1021">
        <f>(VLOOKUP(YEAR($A110),'NY East Load Projections'!$A$4:$EO$14,((MONTH($A110)-1)*12)+VLOOKUP(CI$4,$DE$6:$DF$17,2)+1))*$E110</f>
        <v>-100.23276438659639</v>
      </c>
      <c r="CJ110" s="1021">
        <f>(VLOOKUP(YEAR($A110),'NY East Load Projections'!$A$4:$EO$14,((MONTH($A110)-1)*12)+VLOOKUP(CJ$4,$DE$6:$DF$17,2)+1))*$E110</f>
        <v>-100.23276438659639</v>
      </c>
      <c r="CK110" s="1021">
        <f>(VLOOKUP(YEAR($A110),'NY East Load Projections'!$A$4:$EO$14,((MONTH($A110)-1)*12)+VLOOKUP(CK$4,$DE$6:$DF$17,2)+1))*$E110</f>
        <v>-100.23276438659639</v>
      </c>
      <c r="CL110" s="1021">
        <f>(VLOOKUP(YEAR($A110),'NY East Load Projections'!$A$4:$EO$14,((MONTH($A110)-1)*12)+VLOOKUP(CL$4,$DE$6:$DF$17,2)+1))*$E110</f>
        <v>-100.23276438659639</v>
      </c>
      <c r="CM110" s="1021">
        <f>(VLOOKUP(YEAR($A110),'NY East Load Projections'!$A$4:$EO$14,((MONTH($A110)-1)*12)+VLOOKUP(CM$4,$DE$6:$DF$17,2)+1))*$E110</f>
        <v>-112.62742288954195</v>
      </c>
      <c r="CN110" s="1021">
        <f>(VLOOKUP(YEAR($A110),'NY East Load Projections'!$A$4:$EO$14,((MONTH($A110)-1)*12)+VLOOKUP(CN$4,$DE$6:$DF$17,2)+1))*$E110</f>
        <v>-112.62742288954195</v>
      </c>
      <c r="CO110" s="1021">
        <f>(VLOOKUP(YEAR($A110),'NY East Load Projections'!$A$4:$EO$14,((MONTH($A110)-1)*12)+VLOOKUP(CO$4,$DE$6:$DF$17,2)+1))*$E110</f>
        <v>-112.62742288954195</v>
      </c>
      <c r="CP110" s="1021">
        <f>(VLOOKUP(YEAR($A110),'NY East Load Projections'!$A$4:$EO$14,((MONTH($A110)-1)*12)+VLOOKUP(CP$4,$DE$6:$DF$17,2)+1))*$E110</f>
        <v>-112.62742288954195</v>
      </c>
      <c r="CQ110" s="1021">
        <f>(VLOOKUP(YEAR($A110),'NY East Load Projections'!$A$4:$EO$14,((MONTH($A110)-1)*12)+VLOOKUP(CQ$4,$DE$6:$DF$17,2)+1))*$E110</f>
        <v>-115.48972430086586</v>
      </c>
      <c r="CR110" s="1021">
        <f>(VLOOKUP(YEAR($A110),'NY East Load Projections'!$A$4:$EO$14,((MONTH($A110)-1)*12)+VLOOKUP(CR$4,$DE$6:$DF$17,2)+1))*$E110</f>
        <v>-115.48972430086586</v>
      </c>
      <c r="CS110" s="1021">
        <f>(VLOOKUP(YEAR($A110),'NY East Load Projections'!$A$4:$EO$14,((MONTH($A110)-1)*12)+VLOOKUP(CS$4,$DE$6:$DF$17,2)+1))*$E110</f>
        <v>-115.48972430086586</v>
      </c>
      <c r="CT110" s="1021">
        <f>(VLOOKUP(YEAR($A110),'NY East Load Projections'!$A$4:$EO$14,((MONTH($A110)-1)*12)+VLOOKUP(CT$4,$DE$6:$DF$17,2)+1))*$E110</f>
        <v>-115.48972430086586</v>
      </c>
      <c r="CU110" s="1021">
        <f>(VLOOKUP(YEAR($A110),'NY East Load Projections'!$A$4:$EO$14,((MONTH($A110)-1)*12)+VLOOKUP(CU$4,$DE$6:$DF$17,2)+1))*$E110</f>
        <v>-107.8598691339337</v>
      </c>
      <c r="CV110" s="1021">
        <f>(VLOOKUP(YEAR($A110),'NY East Load Projections'!$A$4:$EO$14,((MONTH($A110)-1)*12)+VLOOKUP(CV$4,$DE$6:$DF$17,2)+1))*$E110</f>
        <v>-107.8598691339337</v>
      </c>
      <c r="CW110" s="1021">
        <f>(VLOOKUP(YEAR($A110),'NY East Load Projections'!$A$4:$EO$14,((MONTH($A110)-1)*12)+VLOOKUP(CW$4,$DE$6:$DF$17,2)+1))*$E110</f>
        <v>-107.8598691339337</v>
      </c>
      <c r="CX110" s="1021">
        <f>(VLOOKUP(YEAR($A110),'NY East Load Projections'!$A$4:$EO$14,((MONTH($A110)-1)*12)+VLOOKUP(CX$4,$DE$6:$DF$17,2)+1))*$E110</f>
        <v>-107.8598691339337</v>
      </c>
      <c r="CY110" s="1021">
        <f>(VLOOKUP(YEAR($A110),'NY East Load Projections'!$A$4:$EO$14,((MONTH($A110)-1)*12)+VLOOKUP(CY$4,$DE$6:$DF$17,2)+1))*$E110</f>
        <v>-103.30150691510688</v>
      </c>
      <c r="CZ110" s="1021">
        <f>(VLOOKUP(YEAR($A110),'NY East Load Projections'!$A$4:$EO$14,((MONTH($A110)-1)*12)+VLOOKUP(CZ$4,$DE$6:$DF$17,2)+1))*$E110</f>
        <v>-103.30150691510688</v>
      </c>
      <c r="DA110" s="1021">
        <f>(VLOOKUP(YEAR($A110),'NY East Load Projections'!$A$4:$EO$14,((MONTH($A110)-1)*12)+VLOOKUP(DA$4,$DE$6:$DF$17,2)+1))*$E110</f>
        <v>-103.30150691510688</v>
      </c>
      <c r="DB110" s="1021">
        <f>(VLOOKUP(YEAR($A110),'NY East Load Projections'!$A$4:$EO$14,((MONTH($A110)-1)*12)+VLOOKUP(DB$4,$DE$6:$DF$17,2)+1))*$E110</f>
        <v>-103.30150691510688</v>
      </c>
      <c r="DH110" s="1009">
        <f t="shared" si="5"/>
        <v>-75898.363156982581</v>
      </c>
      <c r="DI110">
        <f ca="1">CALC!J130</f>
        <v>0.49601811076526392</v>
      </c>
      <c r="DJ110" s="1032">
        <f t="shared" ca="1" si="4"/>
        <v>-37646.962703302415</v>
      </c>
    </row>
    <row r="111" spans="1:114" x14ac:dyDescent="0.25">
      <c r="A111" s="244">
        <v>40087</v>
      </c>
      <c r="B111" s="13">
        <v>22</v>
      </c>
      <c r="C111" s="210">
        <v>5</v>
      </c>
      <c r="D111" s="210">
        <v>4</v>
      </c>
      <c r="E111" s="210">
        <v>0</v>
      </c>
      <c r="F111" s="13">
        <v>31</v>
      </c>
      <c r="H111" s="1021">
        <f>(VLOOKUP(YEAR($A111),'NY East Load Projections'!$A$4:$EO$14,((MONTH($A111)-1)*12)+VLOOKUP(H$4,$DE$6:$DF$17,2)+1))*$B111</f>
        <v>-1956.6381629111759</v>
      </c>
      <c r="I111" s="1021">
        <f>(VLOOKUP(YEAR($A111),'NY East Load Projections'!$A$4:$EO$14,((MONTH($A111)-1)*12)+VLOOKUP(I$4,$DE$6:$DF$17,2)+1))*$B111</f>
        <v>-1956.6381629111759</v>
      </c>
      <c r="J111" s="1021">
        <f>(VLOOKUP(YEAR($A111),'NY East Load Projections'!$A$4:$EO$14,((MONTH($A111)-1)*12)+VLOOKUP(J$4,$DE$6:$DF$17,2)+1))*$B111</f>
        <v>-1956.6381629111759</v>
      </c>
      <c r="K111" s="1021">
        <f>(VLOOKUP(YEAR($A111),'NY East Load Projections'!$A$4:$EO$14,((MONTH($A111)-1)*12)+VLOOKUP(K$4,$DE$6:$DF$17,2)+1))*$B111</f>
        <v>-1956.6381629111759</v>
      </c>
      <c r="L111" s="1021">
        <f>(VLOOKUP(YEAR($A111),'NY East Load Projections'!$A$4:$EO$14,((MONTH($A111)-1)*12)+VLOOKUP(L$4,$DE$6:$DF$17,2)+1))*$B111</f>
        <v>-2126.9749503522689</v>
      </c>
      <c r="M111" s="1021">
        <f>(VLOOKUP(YEAR($A111),'NY East Load Projections'!$A$4:$EO$14,((MONTH($A111)-1)*12)+VLOOKUP(M$4,$DE$6:$DF$17,2)+1))*$B111</f>
        <v>-2126.9749503522689</v>
      </c>
      <c r="N111" s="1021">
        <f>(VLOOKUP(YEAR($A111),'NY East Load Projections'!$A$4:$EO$14,((MONTH($A111)-1)*12)+VLOOKUP(N$4,$DE$6:$DF$17,2)+1))*$B111</f>
        <v>-2126.9749503522689</v>
      </c>
      <c r="O111" s="1021">
        <f>(VLOOKUP(YEAR($A111),'NY East Load Projections'!$A$4:$EO$14,((MONTH($A111)-1)*12)+VLOOKUP(O$4,$DE$6:$DF$17,2)+1))*$B111</f>
        <v>-2126.9749503522689</v>
      </c>
      <c r="P111" s="1021">
        <f>(VLOOKUP(YEAR($A111),'NY East Load Projections'!$A$4:$EO$14,((MONTH($A111)-1)*12)+VLOOKUP(P$4,$DE$6:$DF$17,2)+1))*$B111</f>
        <v>-2304.5740046922874</v>
      </c>
      <c r="Q111" s="1021">
        <f>(VLOOKUP(YEAR($A111),'NY East Load Projections'!$A$4:$EO$14,((MONTH($A111)-1)*12)+VLOOKUP(Q$4,$DE$6:$DF$17,2)+1))*$B111</f>
        <v>-2304.5740046922874</v>
      </c>
      <c r="R111" s="1021">
        <f>(VLOOKUP(YEAR($A111),'NY East Load Projections'!$A$4:$EO$14,((MONTH($A111)-1)*12)+VLOOKUP(R$4,$DE$6:$DF$17,2)+1))*$B111</f>
        <v>-2304.5740046922874</v>
      </c>
      <c r="S111" s="1021">
        <f>(VLOOKUP(YEAR($A111),'NY East Load Projections'!$A$4:$EO$14,((MONTH($A111)-1)*12)+VLOOKUP(S$4,$DE$6:$DF$17,2)+1))*$B111</f>
        <v>-2304.5740046922874</v>
      </c>
      <c r="T111" s="1021">
        <f>(VLOOKUP(YEAR($A111),'NY East Load Projections'!$A$4:$EO$14,((MONTH($A111)-1)*12)+VLOOKUP(T$4,$DE$6:$DF$17,2)+1))*$B111</f>
        <v>-2371.485456804402</v>
      </c>
      <c r="U111" s="1021">
        <f>(VLOOKUP(YEAR($A111),'NY East Load Projections'!$A$4:$EO$14,((MONTH($A111)-1)*12)+VLOOKUP(U$4,$DE$6:$DF$17,2)+1))*$B111</f>
        <v>-2371.485456804402</v>
      </c>
      <c r="V111" s="1021">
        <f>(VLOOKUP(YEAR($A111),'NY East Load Projections'!$A$4:$EO$14,((MONTH($A111)-1)*12)+VLOOKUP(V$4,$DE$6:$DF$17,2)+1))*$B111</f>
        <v>-2371.485456804402</v>
      </c>
      <c r="W111" s="1021">
        <f>(VLOOKUP(YEAR($A111),'NY East Load Projections'!$A$4:$EO$14,((MONTH($A111)-1)*12)+VLOOKUP(W$4,$DE$6:$DF$17,2)+1))*$B111</f>
        <v>-2371.485456804402</v>
      </c>
      <c r="X111" s="1021">
        <f>(VLOOKUP(YEAR($A111),'NY East Load Projections'!$A$4:$EO$14,((MONTH($A111)-1)*12)+VLOOKUP(X$4,$DE$6:$DF$17,2)+1))*$B111</f>
        <v>-2259.4932503116952</v>
      </c>
      <c r="Y111" s="1021">
        <f>(VLOOKUP(YEAR($A111),'NY East Load Projections'!$A$4:$EO$14,((MONTH($A111)-1)*12)+VLOOKUP(Y$4,$DE$6:$DF$17,2)+1))*$B111</f>
        <v>-2259.4932503116952</v>
      </c>
      <c r="Z111" s="1021">
        <f>(VLOOKUP(YEAR($A111),'NY East Load Projections'!$A$4:$EO$14,((MONTH($A111)-1)*12)+VLOOKUP(Z$4,$DE$6:$DF$17,2)+1))*$B111</f>
        <v>-2259.4932503116952</v>
      </c>
      <c r="AA111" s="1021">
        <f>(VLOOKUP(YEAR($A111),'NY East Load Projections'!$A$4:$EO$14,((MONTH($A111)-1)*12)+VLOOKUP(AA$4,$DE$6:$DF$17,2)+1))*$B111</f>
        <v>-2259.4932503116952</v>
      </c>
      <c r="AB111" s="1021">
        <f>(VLOOKUP(YEAR($A111),'NY East Load Projections'!$A$4:$EO$14,((MONTH($A111)-1)*12)+VLOOKUP(AB$4,$DE$6:$DF$17,2)+1))*$B111</f>
        <v>-2033.8390389970848</v>
      </c>
      <c r="AC111" s="1021">
        <f>(VLOOKUP(YEAR($A111),'NY East Load Projections'!$A$4:$EO$14,((MONTH($A111)-1)*12)+VLOOKUP(AC$4,$DE$6:$DF$17,2)+1))*$B111</f>
        <v>-2033.8390389970848</v>
      </c>
      <c r="AD111" s="1021">
        <f>(VLOOKUP(YEAR($A111),'NY East Load Projections'!$A$4:$EO$14,((MONTH($A111)-1)*12)+VLOOKUP(AD$4,$DE$6:$DF$17,2)+1))*$B111</f>
        <v>-2033.8390389970848</v>
      </c>
      <c r="AE111" s="1021">
        <f>(VLOOKUP(YEAR($A111),'NY East Load Projections'!$A$4:$EO$14,((MONTH($A111)-1)*12)+VLOOKUP(AE$4,$DE$6:$DF$17,2)+1))*$B111</f>
        <v>-2033.8390389970848</v>
      </c>
      <c r="AF111" s="1021"/>
      <c r="AG111" s="1021">
        <f>(VLOOKUP(YEAR($A111),'NY East Load Projections'!$A$4:$EO$14,((MONTH($A111)-1)*12)+VLOOKUP(AG$4,$DE$6:$DF$17,2)+1))*$C111</f>
        <v>-465.95465244746919</v>
      </c>
      <c r="AH111" s="1021">
        <f>(VLOOKUP(YEAR($A111),'NY East Load Projections'!$A$4:$EO$14,((MONTH($A111)-1)*12)+VLOOKUP(AH$4,$DE$6:$DF$17,2)+1))*$C111</f>
        <v>-465.95465244746919</v>
      </c>
      <c r="AI111" s="1021">
        <f>(VLOOKUP(YEAR($A111),'NY East Load Projections'!$A$4:$EO$14,((MONTH($A111)-1)*12)+VLOOKUP(AI$4,$DE$6:$DF$17,2)+1))*$C111</f>
        <v>-465.95465244746919</v>
      </c>
      <c r="AJ111" s="1021">
        <f>(VLOOKUP(YEAR($A111),'NY East Load Projections'!$A$4:$EO$14,((MONTH($A111)-1)*12)+VLOOKUP(AJ$4,$DE$6:$DF$17,2)+1))*$C111</f>
        <v>-465.95465244746919</v>
      </c>
      <c r="AK111" s="1021">
        <f>(VLOOKUP(YEAR($A111),'NY East Load Projections'!$A$4:$EO$14,((MONTH($A111)-1)*12)+VLOOKUP(AK$4,$DE$6:$DF$17,2)+1))*$C111</f>
        <v>-472.68116443737472</v>
      </c>
      <c r="AL111" s="1021">
        <f>(VLOOKUP(YEAR($A111),'NY East Load Projections'!$A$4:$EO$14,((MONTH($A111)-1)*12)+VLOOKUP(AL$4,$DE$6:$DF$17,2)+1))*$C111</f>
        <v>-472.68116443737472</v>
      </c>
      <c r="AM111" s="1021">
        <f>(VLOOKUP(YEAR($A111),'NY East Load Projections'!$A$4:$EO$14,((MONTH($A111)-1)*12)+VLOOKUP(AM$4,$DE$6:$DF$17,2)+1))*$C111</f>
        <v>-472.68116443737472</v>
      </c>
      <c r="AN111" s="1021">
        <f>(VLOOKUP(YEAR($A111),'NY East Load Projections'!$A$4:$EO$14,((MONTH($A111)-1)*12)+VLOOKUP(AN$4,$DE$6:$DF$17,2)+1))*$C111</f>
        <v>-472.68116443737472</v>
      </c>
      <c r="AO111" s="1021">
        <f>(VLOOKUP(YEAR($A111),'NY East Load Projections'!$A$4:$EO$14,((MONTH($A111)-1)*12)+VLOOKUP(AO$4,$DE$6:$DF$17,2)+1))*$C111</f>
        <v>-524.64467357783724</v>
      </c>
      <c r="AP111" s="1021">
        <f>(VLOOKUP(YEAR($A111),'NY East Load Projections'!$A$4:$EO$14,((MONTH($A111)-1)*12)+VLOOKUP(AP$4,$DE$6:$DF$17,2)+1))*$C111</f>
        <v>-524.64467357783724</v>
      </c>
      <c r="AQ111" s="1021">
        <f>(VLOOKUP(YEAR($A111),'NY East Load Projections'!$A$4:$EO$14,((MONTH($A111)-1)*12)+VLOOKUP(AQ$4,$DE$6:$DF$17,2)+1))*$C111</f>
        <v>-524.64467357783724</v>
      </c>
      <c r="AR111" s="1021">
        <f>(VLOOKUP(YEAR($A111),'NY East Load Projections'!$A$4:$EO$14,((MONTH($A111)-1)*12)+VLOOKUP(AR$4,$DE$6:$DF$17,2)+1))*$C111</f>
        <v>-524.64467357783724</v>
      </c>
      <c r="AS111" s="1021">
        <f>(VLOOKUP(YEAR($A111),'NY East Load Projections'!$A$4:$EO$14,((MONTH($A111)-1)*12)+VLOOKUP(AS$4,$DE$6:$DF$17,2)+1))*$C111</f>
        <v>-538.55405438249659</v>
      </c>
      <c r="AT111" s="1021">
        <f>(VLOOKUP(YEAR($A111),'NY East Load Projections'!$A$4:$EO$14,((MONTH($A111)-1)*12)+VLOOKUP(AT$4,$DE$6:$DF$17,2)+1))*$C111</f>
        <v>-538.55405438249659</v>
      </c>
      <c r="AU111" s="1021">
        <f>(VLOOKUP(YEAR($A111),'NY East Load Projections'!$A$4:$EO$14,((MONTH($A111)-1)*12)+VLOOKUP(AU$4,$DE$6:$DF$17,2)+1))*$C111</f>
        <v>-538.55405438249659</v>
      </c>
      <c r="AV111" s="1021">
        <f>(VLOOKUP(YEAR($A111),'NY East Load Projections'!$A$4:$EO$14,((MONTH($A111)-1)*12)+VLOOKUP(AV$4,$DE$6:$DF$17,2)+1))*$C111</f>
        <v>-538.55405438249659</v>
      </c>
      <c r="AW111" s="1021">
        <f>(VLOOKUP(YEAR($A111),'NY East Load Projections'!$A$4:$EO$14,((MONTH($A111)-1)*12)+VLOOKUP(AW$4,$DE$6:$DF$17,2)+1))*$C111</f>
        <v>-500.97078379631995</v>
      </c>
      <c r="AX111" s="1021">
        <f>(VLOOKUP(YEAR($A111),'NY East Load Projections'!$A$4:$EO$14,((MONTH($A111)-1)*12)+VLOOKUP(AX$4,$DE$6:$DF$17,2)+1))*$C111</f>
        <v>-500.97078379631995</v>
      </c>
      <c r="AY111" s="1021">
        <f>(VLOOKUP(YEAR($A111),'NY East Load Projections'!$A$4:$EO$14,((MONTH($A111)-1)*12)+VLOOKUP(AY$4,$DE$6:$DF$17,2)+1))*$C111</f>
        <v>-500.97078379631995</v>
      </c>
      <c r="AZ111" s="1021">
        <f>(VLOOKUP(YEAR($A111),'NY East Load Projections'!$A$4:$EO$14,((MONTH($A111)-1)*12)+VLOOKUP(AZ$4,$DE$6:$DF$17,2)+1))*$C111</f>
        <v>-500.97078379631995</v>
      </c>
      <c r="BA111" s="1021">
        <f>(VLOOKUP(YEAR($A111),'NY East Load Projections'!$A$4:$EO$14,((MONTH($A111)-1)*12)+VLOOKUP(BA$4,$DE$6:$DF$17,2)+1))*$C111</f>
        <v>-476.38414242940155</v>
      </c>
      <c r="BB111" s="1021">
        <f>(VLOOKUP(YEAR($A111),'NY East Load Projections'!$A$4:$EO$14,((MONTH($A111)-1)*12)+VLOOKUP(BB$4,$DE$6:$DF$17,2)+1))*$C111</f>
        <v>-476.38414242940155</v>
      </c>
      <c r="BC111" s="1021">
        <f>(VLOOKUP(YEAR($A111),'NY East Load Projections'!$A$4:$EO$14,((MONTH($A111)-1)*12)+VLOOKUP(BC$4,$DE$6:$DF$17,2)+1))*$C111</f>
        <v>-476.38414242940155</v>
      </c>
      <c r="BD111" s="1021">
        <f>(VLOOKUP(YEAR($A111),'NY East Load Projections'!$A$4:$EO$14,((MONTH($A111)-1)*12)+VLOOKUP(BD$4,$DE$6:$DF$17,2)+1))*$C111</f>
        <v>-476.38414242940155</v>
      </c>
      <c r="BE111" s="1021"/>
      <c r="BF111" s="1021">
        <f>(VLOOKUP(YEAR($A111),'NY East Load Projections'!$A$4:$EO$14,((MONTH($A111)-1)*12)+VLOOKUP(BF$4,$DE$6:$DF$17,2)+1))*$D111</f>
        <v>-372.76372195797535</v>
      </c>
      <c r="BG111" s="1021">
        <f>(VLOOKUP(YEAR($A111),'NY East Load Projections'!$A$4:$EO$14,((MONTH($A111)-1)*12)+VLOOKUP(BG$4,$DE$6:$DF$17,2)+1))*$D111</f>
        <v>-372.76372195797535</v>
      </c>
      <c r="BH111" s="1021">
        <f>(VLOOKUP(YEAR($A111),'NY East Load Projections'!$A$4:$EO$14,((MONTH($A111)-1)*12)+VLOOKUP(BH$4,$DE$6:$DF$17,2)+1))*$D111</f>
        <v>-372.76372195797535</v>
      </c>
      <c r="BI111" s="1021">
        <f>(VLOOKUP(YEAR($A111),'NY East Load Projections'!$A$4:$EO$14,((MONTH($A111)-1)*12)+VLOOKUP(BI$4,$DE$6:$DF$17,2)+1))*$D111</f>
        <v>-372.76372195797535</v>
      </c>
      <c r="BJ111" s="1021">
        <f>(VLOOKUP(YEAR($A111),'NY East Load Projections'!$A$4:$EO$14,((MONTH($A111)-1)*12)+VLOOKUP(BJ$4,$DE$6:$DF$17,2)+1))*$D111</f>
        <v>-378.14493154989975</v>
      </c>
      <c r="BK111" s="1021">
        <f>(VLOOKUP(YEAR($A111),'NY East Load Projections'!$A$4:$EO$14,((MONTH($A111)-1)*12)+VLOOKUP(BK$4,$DE$6:$DF$17,2)+1))*$D111</f>
        <v>-378.14493154989975</v>
      </c>
      <c r="BL111" s="1021">
        <f>(VLOOKUP(YEAR($A111),'NY East Load Projections'!$A$4:$EO$14,((MONTH($A111)-1)*12)+VLOOKUP(BL$4,$DE$6:$DF$17,2)+1))*$D111</f>
        <v>-378.14493154989975</v>
      </c>
      <c r="BM111" s="1021">
        <f>(VLOOKUP(YEAR($A111),'NY East Load Projections'!$A$4:$EO$14,((MONTH($A111)-1)*12)+VLOOKUP(BM$4,$DE$6:$DF$17,2)+1))*$D111</f>
        <v>-378.14493154989975</v>
      </c>
      <c r="BN111" s="1021">
        <f>(VLOOKUP(YEAR($A111),'NY East Load Projections'!$A$4:$EO$14,((MONTH($A111)-1)*12)+VLOOKUP(BN$4,$DE$6:$DF$17,2)+1))*$D111</f>
        <v>-419.71573886226975</v>
      </c>
      <c r="BO111" s="1021">
        <f>(VLOOKUP(YEAR($A111),'NY East Load Projections'!$A$4:$EO$14,((MONTH($A111)-1)*12)+VLOOKUP(BO$4,$DE$6:$DF$17,2)+1))*$D111</f>
        <v>-419.71573886226975</v>
      </c>
      <c r="BP111" s="1021">
        <f>(VLOOKUP(YEAR($A111),'NY East Load Projections'!$A$4:$EO$14,((MONTH($A111)-1)*12)+VLOOKUP(BP$4,$DE$6:$DF$17,2)+1))*$D111</f>
        <v>-419.71573886226975</v>
      </c>
      <c r="BQ111" s="1021">
        <f>(VLOOKUP(YEAR($A111),'NY East Load Projections'!$A$4:$EO$14,((MONTH($A111)-1)*12)+VLOOKUP(BQ$4,$DE$6:$DF$17,2)+1))*$D111</f>
        <v>-419.71573886226975</v>
      </c>
      <c r="BR111" s="1021">
        <f>(VLOOKUP(YEAR($A111),'NY East Load Projections'!$A$4:$EO$14,((MONTH($A111)-1)*12)+VLOOKUP(BR$4,$DE$6:$DF$17,2)+1))*$D111</f>
        <v>-430.84324350599724</v>
      </c>
      <c r="BS111" s="1021">
        <f>(VLOOKUP(YEAR($A111),'NY East Load Projections'!$A$4:$EO$14,((MONTH($A111)-1)*12)+VLOOKUP(BS$4,$DE$6:$DF$17,2)+1))*$D111</f>
        <v>-430.84324350599724</v>
      </c>
      <c r="BT111" s="1021">
        <f>(VLOOKUP(YEAR($A111),'NY East Load Projections'!$A$4:$EO$14,((MONTH($A111)-1)*12)+VLOOKUP(BT$4,$DE$6:$DF$17,2)+1))*$D111</f>
        <v>-430.84324350599724</v>
      </c>
      <c r="BU111" s="1021">
        <f>(VLOOKUP(YEAR($A111),'NY East Load Projections'!$A$4:$EO$14,((MONTH($A111)-1)*12)+VLOOKUP(BU$4,$DE$6:$DF$17,2)+1))*$D111</f>
        <v>-430.84324350599724</v>
      </c>
      <c r="BV111" s="1021">
        <f>(VLOOKUP(YEAR($A111),'NY East Load Projections'!$A$4:$EO$14,((MONTH($A111)-1)*12)+VLOOKUP(BV$4,$DE$6:$DF$17,2)+1))*$D111</f>
        <v>-400.77662703705596</v>
      </c>
      <c r="BW111" s="1021">
        <f>(VLOOKUP(YEAR($A111),'NY East Load Projections'!$A$4:$EO$14,((MONTH($A111)-1)*12)+VLOOKUP(BW$4,$DE$6:$DF$17,2)+1))*$D111</f>
        <v>-400.77662703705596</v>
      </c>
      <c r="BX111" s="1021">
        <f>(VLOOKUP(YEAR($A111),'NY East Load Projections'!$A$4:$EO$14,((MONTH($A111)-1)*12)+VLOOKUP(BX$4,$DE$6:$DF$17,2)+1))*$D111</f>
        <v>-400.77662703705596</v>
      </c>
      <c r="BY111" s="1021">
        <f>(VLOOKUP(YEAR($A111),'NY East Load Projections'!$A$4:$EO$14,((MONTH($A111)-1)*12)+VLOOKUP(BY$4,$DE$6:$DF$17,2)+1))*$D111</f>
        <v>-400.77662703705596</v>
      </c>
      <c r="BZ111" s="1021">
        <f>(VLOOKUP(YEAR($A111),'NY East Load Projections'!$A$4:$EO$14,((MONTH($A111)-1)*12)+VLOOKUP(BZ$4,$DE$6:$DF$17,2)+1))*$D111</f>
        <v>-381.10731394352126</v>
      </c>
      <c r="CA111" s="1021">
        <f>(VLOOKUP(YEAR($A111),'NY East Load Projections'!$A$4:$EO$14,((MONTH($A111)-1)*12)+VLOOKUP(CA$4,$DE$6:$DF$17,2)+1))*$D111</f>
        <v>-381.10731394352126</v>
      </c>
      <c r="CB111" s="1021">
        <f>(VLOOKUP(YEAR($A111),'NY East Load Projections'!$A$4:$EO$14,((MONTH($A111)-1)*12)+VLOOKUP(CB$4,$DE$6:$DF$17,2)+1))*$D111</f>
        <v>-381.10731394352126</v>
      </c>
      <c r="CC111" s="1021">
        <f>(VLOOKUP(YEAR($A111),'NY East Load Projections'!$A$4:$EO$14,((MONTH($A111)-1)*12)+VLOOKUP(CC$4,$DE$6:$DF$17,2)+1))*$D111</f>
        <v>-381.10731394352126</v>
      </c>
      <c r="CE111" s="1021">
        <f>(VLOOKUP(YEAR($A111),'NY East Load Projections'!$A$4:$EO$14,((MONTH($A111)-1)*12)+VLOOKUP(CE$4,$DE$6:$DF$17,2)+1))*$E111</f>
        <v>0</v>
      </c>
      <c r="CF111" s="1021">
        <f>(VLOOKUP(YEAR($A111),'NY East Load Projections'!$A$4:$EO$14,((MONTH($A111)-1)*12)+VLOOKUP(CF$4,$DE$6:$DF$17,2)+1))*$E111</f>
        <v>0</v>
      </c>
      <c r="CG111" s="1021">
        <f>(VLOOKUP(YEAR($A111),'NY East Load Projections'!$A$4:$EO$14,((MONTH($A111)-1)*12)+VLOOKUP(CG$4,$DE$6:$DF$17,2)+1))*$E111</f>
        <v>0</v>
      </c>
      <c r="CH111" s="1021">
        <f>(VLOOKUP(YEAR($A111),'NY East Load Projections'!$A$4:$EO$14,((MONTH($A111)-1)*12)+VLOOKUP(CH$4,$DE$6:$DF$17,2)+1))*$E111</f>
        <v>0</v>
      </c>
      <c r="CI111" s="1021">
        <f>(VLOOKUP(YEAR($A111),'NY East Load Projections'!$A$4:$EO$14,((MONTH($A111)-1)*12)+VLOOKUP(CI$4,$DE$6:$DF$17,2)+1))*$E111</f>
        <v>0</v>
      </c>
      <c r="CJ111" s="1021">
        <f>(VLOOKUP(YEAR($A111),'NY East Load Projections'!$A$4:$EO$14,((MONTH($A111)-1)*12)+VLOOKUP(CJ$4,$DE$6:$DF$17,2)+1))*$E111</f>
        <v>0</v>
      </c>
      <c r="CK111" s="1021">
        <f>(VLOOKUP(YEAR($A111),'NY East Load Projections'!$A$4:$EO$14,((MONTH($A111)-1)*12)+VLOOKUP(CK$4,$DE$6:$DF$17,2)+1))*$E111</f>
        <v>0</v>
      </c>
      <c r="CL111" s="1021">
        <f>(VLOOKUP(YEAR($A111),'NY East Load Projections'!$A$4:$EO$14,((MONTH($A111)-1)*12)+VLOOKUP(CL$4,$DE$6:$DF$17,2)+1))*$E111</f>
        <v>0</v>
      </c>
      <c r="CM111" s="1021">
        <f>(VLOOKUP(YEAR($A111),'NY East Load Projections'!$A$4:$EO$14,((MONTH($A111)-1)*12)+VLOOKUP(CM$4,$DE$6:$DF$17,2)+1))*$E111</f>
        <v>0</v>
      </c>
      <c r="CN111" s="1021">
        <f>(VLOOKUP(YEAR($A111),'NY East Load Projections'!$A$4:$EO$14,((MONTH($A111)-1)*12)+VLOOKUP(CN$4,$DE$6:$DF$17,2)+1))*$E111</f>
        <v>0</v>
      </c>
      <c r="CO111" s="1021">
        <f>(VLOOKUP(YEAR($A111),'NY East Load Projections'!$A$4:$EO$14,((MONTH($A111)-1)*12)+VLOOKUP(CO$4,$DE$6:$DF$17,2)+1))*$E111</f>
        <v>0</v>
      </c>
      <c r="CP111" s="1021">
        <f>(VLOOKUP(YEAR($A111),'NY East Load Projections'!$A$4:$EO$14,((MONTH($A111)-1)*12)+VLOOKUP(CP$4,$DE$6:$DF$17,2)+1))*$E111</f>
        <v>0</v>
      </c>
      <c r="CQ111" s="1021">
        <f>(VLOOKUP(YEAR($A111),'NY East Load Projections'!$A$4:$EO$14,((MONTH($A111)-1)*12)+VLOOKUP(CQ$4,$DE$6:$DF$17,2)+1))*$E111</f>
        <v>0</v>
      </c>
      <c r="CR111" s="1021">
        <f>(VLOOKUP(YEAR($A111),'NY East Load Projections'!$A$4:$EO$14,((MONTH($A111)-1)*12)+VLOOKUP(CR$4,$DE$6:$DF$17,2)+1))*$E111</f>
        <v>0</v>
      </c>
      <c r="CS111" s="1021">
        <f>(VLOOKUP(YEAR($A111),'NY East Load Projections'!$A$4:$EO$14,((MONTH($A111)-1)*12)+VLOOKUP(CS$4,$DE$6:$DF$17,2)+1))*$E111</f>
        <v>0</v>
      </c>
      <c r="CT111" s="1021">
        <f>(VLOOKUP(YEAR($A111),'NY East Load Projections'!$A$4:$EO$14,((MONTH($A111)-1)*12)+VLOOKUP(CT$4,$DE$6:$DF$17,2)+1))*$E111</f>
        <v>0</v>
      </c>
      <c r="CU111" s="1021">
        <f>(VLOOKUP(YEAR($A111),'NY East Load Projections'!$A$4:$EO$14,((MONTH($A111)-1)*12)+VLOOKUP(CU$4,$DE$6:$DF$17,2)+1))*$E111</f>
        <v>0</v>
      </c>
      <c r="CV111" s="1021">
        <f>(VLOOKUP(YEAR($A111),'NY East Load Projections'!$A$4:$EO$14,((MONTH($A111)-1)*12)+VLOOKUP(CV$4,$DE$6:$DF$17,2)+1))*$E111</f>
        <v>0</v>
      </c>
      <c r="CW111" s="1021">
        <f>(VLOOKUP(YEAR($A111),'NY East Load Projections'!$A$4:$EO$14,((MONTH($A111)-1)*12)+VLOOKUP(CW$4,$DE$6:$DF$17,2)+1))*$E111</f>
        <v>0</v>
      </c>
      <c r="CX111" s="1021">
        <f>(VLOOKUP(YEAR($A111),'NY East Load Projections'!$A$4:$EO$14,((MONTH($A111)-1)*12)+VLOOKUP(CX$4,$DE$6:$DF$17,2)+1))*$E111</f>
        <v>0</v>
      </c>
      <c r="CY111" s="1021">
        <f>(VLOOKUP(YEAR($A111),'NY East Load Projections'!$A$4:$EO$14,((MONTH($A111)-1)*12)+VLOOKUP(CY$4,$DE$6:$DF$17,2)+1))*$E111</f>
        <v>0</v>
      </c>
      <c r="CZ111" s="1021">
        <f>(VLOOKUP(YEAR($A111),'NY East Load Projections'!$A$4:$EO$14,((MONTH($A111)-1)*12)+VLOOKUP(CZ$4,$DE$6:$DF$17,2)+1))*$E111</f>
        <v>0</v>
      </c>
      <c r="DA111" s="1021">
        <f>(VLOOKUP(YEAR($A111),'NY East Load Projections'!$A$4:$EO$14,((MONTH($A111)-1)*12)+VLOOKUP(DA$4,$DE$6:$DF$17,2)+1))*$E111</f>
        <v>0</v>
      </c>
      <c r="DB111" s="1021">
        <f>(VLOOKUP(YEAR($A111),'NY East Load Projections'!$A$4:$EO$14,((MONTH($A111)-1)*12)+VLOOKUP(DB$4,$DE$6:$DF$17,2)+1))*$E111</f>
        <v>0</v>
      </c>
      <c r="DH111" s="1009">
        <f t="shared" si="5"/>
        <v>-73662.183647986196</v>
      </c>
      <c r="DI111">
        <f ca="1">CALC!J131</f>
        <v>0.49289551418382949</v>
      </c>
      <c r="DJ111" s="1032">
        <f t="shared" ca="1" si="4"/>
        <v>-36307.75988507783</v>
      </c>
    </row>
    <row r="112" spans="1:114" x14ac:dyDescent="0.25">
      <c r="A112" s="244">
        <v>40118</v>
      </c>
      <c r="B112" s="13">
        <v>20</v>
      </c>
      <c r="C112" s="210">
        <v>4</v>
      </c>
      <c r="D112" s="210">
        <v>5</v>
      </c>
      <c r="E112" s="210">
        <v>1</v>
      </c>
      <c r="F112" s="13">
        <v>30</v>
      </c>
      <c r="H112" s="1021">
        <f>(VLOOKUP(YEAR($A112),'NY East Load Projections'!$A$4:$EO$14,((MONTH($A112)-1)*12)+VLOOKUP(H$4,$DE$6:$DF$17,2)+1))*$B112</f>
        <v>-1706.1969939730016</v>
      </c>
      <c r="I112" s="1021">
        <f>(VLOOKUP(YEAR($A112),'NY East Load Projections'!$A$4:$EO$14,((MONTH($A112)-1)*12)+VLOOKUP(I$4,$DE$6:$DF$17,2)+1))*$B112</f>
        <v>-1706.1969939730016</v>
      </c>
      <c r="J112" s="1021">
        <f>(VLOOKUP(YEAR($A112),'NY East Load Projections'!$A$4:$EO$14,((MONTH($A112)-1)*12)+VLOOKUP(J$4,$DE$6:$DF$17,2)+1))*$B112</f>
        <v>-1706.1969939730016</v>
      </c>
      <c r="K112" s="1021">
        <f>(VLOOKUP(YEAR($A112),'NY East Load Projections'!$A$4:$EO$14,((MONTH($A112)-1)*12)+VLOOKUP(K$4,$DE$6:$DF$17,2)+1))*$B112</f>
        <v>-1706.1969939730016</v>
      </c>
      <c r="L112" s="1021">
        <f>(VLOOKUP(YEAR($A112),'NY East Load Projections'!$A$4:$EO$14,((MONTH($A112)-1)*12)+VLOOKUP(L$4,$DE$6:$DF$17,2)+1))*$B112</f>
        <v>-1819.182241619061</v>
      </c>
      <c r="M112" s="1021">
        <f>(VLOOKUP(YEAR($A112),'NY East Load Projections'!$A$4:$EO$14,((MONTH($A112)-1)*12)+VLOOKUP(M$4,$DE$6:$DF$17,2)+1))*$B112</f>
        <v>-1819.182241619061</v>
      </c>
      <c r="N112" s="1021">
        <f>(VLOOKUP(YEAR($A112),'NY East Load Projections'!$A$4:$EO$14,((MONTH($A112)-1)*12)+VLOOKUP(N$4,$DE$6:$DF$17,2)+1))*$B112</f>
        <v>-1819.182241619061</v>
      </c>
      <c r="O112" s="1021">
        <f>(VLOOKUP(YEAR($A112),'NY East Load Projections'!$A$4:$EO$14,((MONTH($A112)-1)*12)+VLOOKUP(O$4,$DE$6:$DF$17,2)+1))*$B112</f>
        <v>-1819.182241619061</v>
      </c>
      <c r="P112" s="1021">
        <f>(VLOOKUP(YEAR($A112),'NY East Load Projections'!$A$4:$EO$14,((MONTH($A112)-1)*12)+VLOOKUP(P$4,$DE$6:$DF$17,2)+1))*$B112</f>
        <v>-1934.2120172221291</v>
      </c>
      <c r="Q112" s="1021">
        <f>(VLOOKUP(YEAR($A112),'NY East Load Projections'!$A$4:$EO$14,((MONTH($A112)-1)*12)+VLOOKUP(Q$4,$DE$6:$DF$17,2)+1))*$B112</f>
        <v>-1934.2120172221291</v>
      </c>
      <c r="R112" s="1021">
        <f>(VLOOKUP(YEAR($A112),'NY East Load Projections'!$A$4:$EO$14,((MONTH($A112)-1)*12)+VLOOKUP(R$4,$DE$6:$DF$17,2)+1))*$B112</f>
        <v>-1934.2120172221291</v>
      </c>
      <c r="S112" s="1021">
        <f>(VLOOKUP(YEAR($A112),'NY East Load Projections'!$A$4:$EO$14,((MONTH($A112)-1)*12)+VLOOKUP(S$4,$DE$6:$DF$17,2)+1))*$B112</f>
        <v>-1934.2120172221291</v>
      </c>
      <c r="T112" s="1021">
        <f>(VLOOKUP(YEAR($A112),'NY East Load Projections'!$A$4:$EO$14,((MONTH($A112)-1)*12)+VLOOKUP(T$4,$DE$6:$DF$17,2)+1))*$B112</f>
        <v>-1981.657648797468</v>
      </c>
      <c r="U112" s="1021">
        <f>(VLOOKUP(YEAR($A112),'NY East Load Projections'!$A$4:$EO$14,((MONTH($A112)-1)*12)+VLOOKUP(U$4,$DE$6:$DF$17,2)+1))*$B112</f>
        <v>-1981.657648797468</v>
      </c>
      <c r="V112" s="1021">
        <f>(VLOOKUP(YEAR($A112),'NY East Load Projections'!$A$4:$EO$14,((MONTH($A112)-1)*12)+VLOOKUP(V$4,$DE$6:$DF$17,2)+1))*$B112</f>
        <v>-1981.657648797468</v>
      </c>
      <c r="W112" s="1021">
        <f>(VLOOKUP(YEAR($A112),'NY East Load Projections'!$A$4:$EO$14,((MONTH($A112)-1)*12)+VLOOKUP(W$4,$DE$6:$DF$17,2)+1))*$B112</f>
        <v>-1981.657648797468</v>
      </c>
      <c r="X112" s="1021">
        <f>(VLOOKUP(YEAR($A112),'NY East Load Projections'!$A$4:$EO$14,((MONTH($A112)-1)*12)+VLOOKUP(X$4,$DE$6:$DF$17,2)+1))*$B112</f>
        <v>-1907.4505756609815</v>
      </c>
      <c r="Y112" s="1021">
        <f>(VLOOKUP(YEAR($A112),'NY East Load Projections'!$A$4:$EO$14,((MONTH($A112)-1)*12)+VLOOKUP(Y$4,$DE$6:$DF$17,2)+1))*$B112</f>
        <v>-1907.4505756609815</v>
      </c>
      <c r="Z112" s="1021">
        <f>(VLOOKUP(YEAR($A112),'NY East Load Projections'!$A$4:$EO$14,((MONTH($A112)-1)*12)+VLOOKUP(Z$4,$DE$6:$DF$17,2)+1))*$B112</f>
        <v>-1907.4505756609815</v>
      </c>
      <c r="AA112" s="1021">
        <f>(VLOOKUP(YEAR($A112),'NY East Load Projections'!$A$4:$EO$14,((MONTH($A112)-1)*12)+VLOOKUP(AA$4,$DE$6:$DF$17,2)+1))*$B112</f>
        <v>-1907.4505756609815</v>
      </c>
      <c r="AB112" s="1021">
        <f>(VLOOKUP(YEAR($A112),'NY East Load Projections'!$A$4:$EO$14,((MONTH($A112)-1)*12)+VLOOKUP(AB$4,$DE$6:$DF$17,2)+1))*$B112</f>
        <v>-1751.8865144589172</v>
      </c>
      <c r="AC112" s="1021">
        <f>(VLOOKUP(YEAR($A112),'NY East Load Projections'!$A$4:$EO$14,((MONTH($A112)-1)*12)+VLOOKUP(AC$4,$DE$6:$DF$17,2)+1))*$B112</f>
        <v>-1751.8865144589172</v>
      </c>
      <c r="AD112" s="1021">
        <f>(VLOOKUP(YEAR($A112),'NY East Load Projections'!$A$4:$EO$14,((MONTH($A112)-1)*12)+VLOOKUP(AD$4,$DE$6:$DF$17,2)+1))*$B112</f>
        <v>-1751.8865144589172</v>
      </c>
      <c r="AE112" s="1021">
        <f>(VLOOKUP(YEAR($A112),'NY East Load Projections'!$A$4:$EO$14,((MONTH($A112)-1)*12)+VLOOKUP(AE$4,$DE$6:$DF$17,2)+1))*$B112</f>
        <v>-1751.8865144589172</v>
      </c>
      <c r="AF112" s="1021"/>
      <c r="AG112" s="1021">
        <f>(VLOOKUP(YEAR($A112),'NY East Load Projections'!$A$4:$EO$14,((MONTH($A112)-1)*12)+VLOOKUP(AG$4,$DE$6:$DF$17,2)+1))*$C112</f>
        <v>-353.96620772400559</v>
      </c>
      <c r="AH112" s="1021">
        <f>(VLOOKUP(YEAR($A112),'NY East Load Projections'!$A$4:$EO$14,((MONTH($A112)-1)*12)+VLOOKUP(AH$4,$DE$6:$DF$17,2)+1))*$C112</f>
        <v>-353.96620772400559</v>
      </c>
      <c r="AI112" s="1021">
        <f>(VLOOKUP(YEAR($A112),'NY East Load Projections'!$A$4:$EO$14,((MONTH($A112)-1)*12)+VLOOKUP(AI$4,$DE$6:$DF$17,2)+1))*$C112</f>
        <v>-353.96620772400559</v>
      </c>
      <c r="AJ112" s="1021">
        <f>(VLOOKUP(YEAR($A112),'NY East Load Projections'!$A$4:$EO$14,((MONTH($A112)-1)*12)+VLOOKUP(AJ$4,$DE$6:$DF$17,2)+1))*$C112</f>
        <v>-353.96620772400559</v>
      </c>
      <c r="AK112" s="1021">
        <f>(VLOOKUP(YEAR($A112),'NY East Load Projections'!$A$4:$EO$14,((MONTH($A112)-1)*12)+VLOOKUP(AK$4,$DE$6:$DF$17,2)+1))*$C112</f>
        <v>-358.39010506844141</v>
      </c>
      <c r="AL112" s="1021">
        <f>(VLOOKUP(YEAR($A112),'NY East Load Projections'!$A$4:$EO$14,((MONTH($A112)-1)*12)+VLOOKUP(AL$4,$DE$6:$DF$17,2)+1))*$C112</f>
        <v>-358.39010506844141</v>
      </c>
      <c r="AM112" s="1021">
        <f>(VLOOKUP(YEAR($A112),'NY East Load Projections'!$A$4:$EO$14,((MONTH($A112)-1)*12)+VLOOKUP(AM$4,$DE$6:$DF$17,2)+1))*$C112</f>
        <v>-358.39010506844141</v>
      </c>
      <c r="AN112" s="1021">
        <f>(VLOOKUP(YEAR($A112),'NY East Load Projections'!$A$4:$EO$14,((MONTH($A112)-1)*12)+VLOOKUP(AN$4,$DE$6:$DF$17,2)+1))*$C112</f>
        <v>-358.39010506844141</v>
      </c>
      <c r="AO112" s="1021">
        <f>(VLOOKUP(YEAR($A112),'NY East Load Projections'!$A$4:$EO$14,((MONTH($A112)-1)*12)+VLOOKUP(AO$4,$DE$6:$DF$17,2)+1))*$C112</f>
        <v>-382.73900882155976</v>
      </c>
      <c r="AP112" s="1021">
        <f>(VLOOKUP(YEAR($A112),'NY East Load Projections'!$A$4:$EO$14,((MONTH($A112)-1)*12)+VLOOKUP(AP$4,$DE$6:$DF$17,2)+1))*$C112</f>
        <v>-382.73900882155976</v>
      </c>
      <c r="AQ112" s="1021">
        <f>(VLOOKUP(YEAR($A112),'NY East Load Projections'!$A$4:$EO$14,((MONTH($A112)-1)*12)+VLOOKUP(AQ$4,$DE$6:$DF$17,2)+1))*$C112</f>
        <v>-382.73900882155976</v>
      </c>
      <c r="AR112" s="1021">
        <f>(VLOOKUP(YEAR($A112),'NY East Load Projections'!$A$4:$EO$14,((MONTH($A112)-1)*12)+VLOOKUP(AR$4,$DE$6:$DF$17,2)+1))*$C112</f>
        <v>-382.73900882155976</v>
      </c>
      <c r="AS112" s="1021">
        <f>(VLOOKUP(YEAR($A112),'NY East Load Projections'!$A$4:$EO$14,((MONTH($A112)-1)*12)+VLOOKUP(AS$4,$DE$6:$DF$17,2)+1))*$C112</f>
        <v>-394.22880069676904</v>
      </c>
      <c r="AT112" s="1021">
        <f>(VLOOKUP(YEAR($A112),'NY East Load Projections'!$A$4:$EO$14,((MONTH($A112)-1)*12)+VLOOKUP(AT$4,$DE$6:$DF$17,2)+1))*$C112</f>
        <v>-394.22880069676904</v>
      </c>
      <c r="AU112" s="1021">
        <f>(VLOOKUP(YEAR($A112),'NY East Load Projections'!$A$4:$EO$14,((MONTH($A112)-1)*12)+VLOOKUP(AU$4,$DE$6:$DF$17,2)+1))*$C112</f>
        <v>-394.22880069676904</v>
      </c>
      <c r="AV112" s="1021">
        <f>(VLOOKUP(YEAR($A112),'NY East Load Projections'!$A$4:$EO$14,((MONTH($A112)-1)*12)+VLOOKUP(AV$4,$DE$6:$DF$17,2)+1))*$C112</f>
        <v>-394.22880069676904</v>
      </c>
      <c r="AW112" s="1021">
        <f>(VLOOKUP(YEAR($A112),'NY East Load Projections'!$A$4:$EO$14,((MONTH($A112)-1)*12)+VLOOKUP(AW$4,$DE$6:$DF$17,2)+1))*$C112</f>
        <v>-374.90924126413222</v>
      </c>
      <c r="AX112" s="1021">
        <f>(VLOOKUP(YEAR($A112),'NY East Load Projections'!$A$4:$EO$14,((MONTH($A112)-1)*12)+VLOOKUP(AX$4,$DE$6:$DF$17,2)+1))*$C112</f>
        <v>-374.90924126413222</v>
      </c>
      <c r="AY112" s="1021">
        <f>(VLOOKUP(YEAR($A112),'NY East Load Projections'!$A$4:$EO$14,((MONTH($A112)-1)*12)+VLOOKUP(AY$4,$DE$6:$DF$17,2)+1))*$C112</f>
        <v>-374.90924126413222</v>
      </c>
      <c r="AZ112" s="1021">
        <f>(VLOOKUP(YEAR($A112),'NY East Load Projections'!$A$4:$EO$14,((MONTH($A112)-1)*12)+VLOOKUP(AZ$4,$DE$6:$DF$17,2)+1))*$C112</f>
        <v>-374.90924126413222</v>
      </c>
      <c r="BA112" s="1021">
        <f>(VLOOKUP(YEAR($A112),'NY East Load Projections'!$A$4:$EO$14,((MONTH($A112)-1)*12)+VLOOKUP(BA$4,$DE$6:$DF$17,2)+1))*$C112</f>
        <v>-358.18285793197475</v>
      </c>
      <c r="BB112" s="1021">
        <f>(VLOOKUP(YEAR($A112),'NY East Load Projections'!$A$4:$EO$14,((MONTH($A112)-1)*12)+VLOOKUP(BB$4,$DE$6:$DF$17,2)+1))*$C112</f>
        <v>-358.18285793197475</v>
      </c>
      <c r="BC112" s="1021">
        <f>(VLOOKUP(YEAR($A112),'NY East Load Projections'!$A$4:$EO$14,((MONTH($A112)-1)*12)+VLOOKUP(BC$4,$DE$6:$DF$17,2)+1))*$C112</f>
        <v>-358.18285793197475</v>
      </c>
      <c r="BD112" s="1021">
        <f>(VLOOKUP(YEAR($A112),'NY East Load Projections'!$A$4:$EO$14,((MONTH($A112)-1)*12)+VLOOKUP(BD$4,$DE$6:$DF$17,2)+1))*$C112</f>
        <v>-358.18285793197475</v>
      </c>
      <c r="BE112" s="1021"/>
      <c r="BF112" s="1021">
        <f>(VLOOKUP(YEAR($A112),'NY East Load Projections'!$A$4:$EO$14,((MONTH($A112)-1)*12)+VLOOKUP(BF$4,$DE$6:$DF$17,2)+1))*$D112</f>
        <v>-442.45775965500695</v>
      </c>
      <c r="BG112" s="1021">
        <f>(VLOOKUP(YEAR($A112),'NY East Load Projections'!$A$4:$EO$14,((MONTH($A112)-1)*12)+VLOOKUP(BG$4,$DE$6:$DF$17,2)+1))*$D112</f>
        <v>-442.45775965500695</v>
      </c>
      <c r="BH112" s="1021">
        <f>(VLOOKUP(YEAR($A112),'NY East Load Projections'!$A$4:$EO$14,((MONTH($A112)-1)*12)+VLOOKUP(BH$4,$DE$6:$DF$17,2)+1))*$D112</f>
        <v>-442.45775965500695</v>
      </c>
      <c r="BI112" s="1021">
        <f>(VLOOKUP(YEAR($A112),'NY East Load Projections'!$A$4:$EO$14,((MONTH($A112)-1)*12)+VLOOKUP(BI$4,$DE$6:$DF$17,2)+1))*$D112</f>
        <v>-442.45775965500695</v>
      </c>
      <c r="BJ112" s="1021">
        <f>(VLOOKUP(YEAR($A112),'NY East Load Projections'!$A$4:$EO$14,((MONTH($A112)-1)*12)+VLOOKUP(BJ$4,$DE$6:$DF$17,2)+1))*$D112</f>
        <v>-447.98763133555178</v>
      </c>
      <c r="BK112" s="1021">
        <f>(VLOOKUP(YEAR($A112),'NY East Load Projections'!$A$4:$EO$14,((MONTH($A112)-1)*12)+VLOOKUP(BK$4,$DE$6:$DF$17,2)+1))*$D112</f>
        <v>-447.98763133555178</v>
      </c>
      <c r="BL112" s="1021">
        <f>(VLOOKUP(YEAR($A112),'NY East Load Projections'!$A$4:$EO$14,((MONTH($A112)-1)*12)+VLOOKUP(BL$4,$DE$6:$DF$17,2)+1))*$D112</f>
        <v>-447.98763133555178</v>
      </c>
      <c r="BM112" s="1021">
        <f>(VLOOKUP(YEAR($A112),'NY East Load Projections'!$A$4:$EO$14,((MONTH($A112)-1)*12)+VLOOKUP(BM$4,$DE$6:$DF$17,2)+1))*$D112</f>
        <v>-447.98763133555178</v>
      </c>
      <c r="BN112" s="1021">
        <f>(VLOOKUP(YEAR($A112),'NY East Load Projections'!$A$4:$EO$14,((MONTH($A112)-1)*12)+VLOOKUP(BN$4,$DE$6:$DF$17,2)+1))*$D112</f>
        <v>-478.42376102694971</v>
      </c>
      <c r="BO112" s="1021">
        <f>(VLOOKUP(YEAR($A112),'NY East Load Projections'!$A$4:$EO$14,((MONTH($A112)-1)*12)+VLOOKUP(BO$4,$DE$6:$DF$17,2)+1))*$D112</f>
        <v>-478.42376102694971</v>
      </c>
      <c r="BP112" s="1021">
        <f>(VLOOKUP(YEAR($A112),'NY East Load Projections'!$A$4:$EO$14,((MONTH($A112)-1)*12)+VLOOKUP(BP$4,$DE$6:$DF$17,2)+1))*$D112</f>
        <v>-478.42376102694971</v>
      </c>
      <c r="BQ112" s="1021">
        <f>(VLOOKUP(YEAR($A112),'NY East Load Projections'!$A$4:$EO$14,((MONTH($A112)-1)*12)+VLOOKUP(BQ$4,$DE$6:$DF$17,2)+1))*$D112</f>
        <v>-478.42376102694971</v>
      </c>
      <c r="BR112" s="1021">
        <f>(VLOOKUP(YEAR($A112),'NY East Load Projections'!$A$4:$EO$14,((MONTH($A112)-1)*12)+VLOOKUP(BR$4,$DE$6:$DF$17,2)+1))*$D112</f>
        <v>-492.78600087096129</v>
      </c>
      <c r="BS112" s="1021">
        <f>(VLOOKUP(YEAR($A112),'NY East Load Projections'!$A$4:$EO$14,((MONTH($A112)-1)*12)+VLOOKUP(BS$4,$DE$6:$DF$17,2)+1))*$D112</f>
        <v>-492.78600087096129</v>
      </c>
      <c r="BT112" s="1021">
        <f>(VLOOKUP(YEAR($A112),'NY East Load Projections'!$A$4:$EO$14,((MONTH($A112)-1)*12)+VLOOKUP(BT$4,$DE$6:$DF$17,2)+1))*$D112</f>
        <v>-492.78600087096129</v>
      </c>
      <c r="BU112" s="1021">
        <f>(VLOOKUP(YEAR($A112),'NY East Load Projections'!$A$4:$EO$14,((MONTH($A112)-1)*12)+VLOOKUP(BU$4,$DE$6:$DF$17,2)+1))*$D112</f>
        <v>-492.78600087096129</v>
      </c>
      <c r="BV112" s="1021">
        <f>(VLOOKUP(YEAR($A112),'NY East Load Projections'!$A$4:$EO$14,((MONTH($A112)-1)*12)+VLOOKUP(BV$4,$DE$6:$DF$17,2)+1))*$D112</f>
        <v>-468.63655158016525</v>
      </c>
      <c r="BW112" s="1021">
        <f>(VLOOKUP(YEAR($A112),'NY East Load Projections'!$A$4:$EO$14,((MONTH($A112)-1)*12)+VLOOKUP(BW$4,$DE$6:$DF$17,2)+1))*$D112</f>
        <v>-468.63655158016525</v>
      </c>
      <c r="BX112" s="1021">
        <f>(VLOOKUP(YEAR($A112),'NY East Load Projections'!$A$4:$EO$14,((MONTH($A112)-1)*12)+VLOOKUP(BX$4,$DE$6:$DF$17,2)+1))*$D112</f>
        <v>-468.63655158016525</v>
      </c>
      <c r="BY112" s="1021">
        <f>(VLOOKUP(YEAR($A112),'NY East Load Projections'!$A$4:$EO$14,((MONTH($A112)-1)*12)+VLOOKUP(BY$4,$DE$6:$DF$17,2)+1))*$D112</f>
        <v>-468.63655158016525</v>
      </c>
      <c r="BZ112" s="1021">
        <f>(VLOOKUP(YEAR($A112),'NY East Load Projections'!$A$4:$EO$14,((MONTH($A112)-1)*12)+VLOOKUP(BZ$4,$DE$6:$DF$17,2)+1))*$D112</f>
        <v>-447.72857241496843</v>
      </c>
      <c r="CA112" s="1021">
        <f>(VLOOKUP(YEAR($A112),'NY East Load Projections'!$A$4:$EO$14,((MONTH($A112)-1)*12)+VLOOKUP(CA$4,$DE$6:$DF$17,2)+1))*$D112</f>
        <v>-447.72857241496843</v>
      </c>
      <c r="CB112" s="1021">
        <f>(VLOOKUP(YEAR($A112),'NY East Load Projections'!$A$4:$EO$14,((MONTH($A112)-1)*12)+VLOOKUP(CB$4,$DE$6:$DF$17,2)+1))*$D112</f>
        <v>-447.72857241496843</v>
      </c>
      <c r="CC112" s="1021">
        <f>(VLOOKUP(YEAR($A112),'NY East Load Projections'!$A$4:$EO$14,((MONTH($A112)-1)*12)+VLOOKUP(CC$4,$DE$6:$DF$17,2)+1))*$D112</f>
        <v>-447.72857241496843</v>
      </c>
      <c r="CE112" s="1021">
        <f>(VLOOKUP(YEAR($A112),'NY East Load Projections'!$A$4:$EO$14,((MONTH($A112)-1)*12)+VLOOKUP(CE$4,$DE$6:$DF$17,2)+1))*$E112</f>
        <v>-88.491551931001396</v>
      </c>
      <c r="CF112" s="1021">
        <f>(VLOOKUP(YEAR($A112),'NY East Load Projections'!$A$4:$EO$14,((MONTH($A112)-1)*12)+VLOOKUP(CF$4,$DE$6:$DF$17,2)+1))*$E112</f>
        <v>-88.491551931001396</v>
      </c>
      <c r="CG112" s="1021">
        <f>(VLOOKUP(YEAR($A112),'NY East Load Projections'!$A$4:$EO$14,((MONTH($A112)-1)*12)+VLOOKUP(CG$4,$DE$6:$DF$17,2)+1))*$E112</f>
        <v>-88.491551931001396</v>
      </c>
      <c r="CH112" s="1021">
        <f>(VLOOKUP(YEAR($A112),'NY East Load Projections'!$A$4:$EO$14,((MONTH($A112)-1)*12)+VLOOKUP(CH$4,$DE$6:$DF$17,2)+1))*$E112</f>
        <v>-88.491551931001396</v>
      </c>
      <c r="CI112" s="1021">
        <f>(VLOOKUP(YEAR($A112),'NY East Load Projections'!$A$4:$EO$14,((MONTH($A112)-1)*12)+VLOOKUP(CI$4,$DE$6:$DF$17,2)+1))*$E112</f>
        <v>-89.597526267110354</v>
      </c>
      <c r="CJ112" s="1021">
        <f>(VLOOKUP(YEAR($A112),'NY East Load Projections'!$A$4:$EO$14,((MONTH($A112)-1)*12)+VLOOKUP(CJ$4,$DE$6:$DF$17,2)+1))*$E112</f>
        <v>-89.597526267110354</v>
      </c>
      <c r="CK112" s="1021">
        <f>(VLOOKUP(YEAR($A112),'NY East Load Projections'!$A$4:$EO$14,((MONTH($A112)-1)*12)+VLOOKUP(CK$4,$DE$6:$DF$17,2)+1))*$E112</f>
        <v>-89.597526267110354</v>
      </c>
      <c r="CL112" s="1021">
        <f>(VLOOKUP(YEAR($A112),'NY East Load Projections'!$A$4:$EO$14,((MONTH($A112)-1)*12)+VLOOKUP(CL$4,$DE$6:$DF$17,2)+1))*$E112</f>
        <v>-89.597526267110354</v>
      </c>
      <c r="CM112" s="1021">
        <f>(VLOOKUP(YEAR($A112),'NY East Load Projections'!$A$4:$EO$14,((MONTH($A112)-1)*12)+VLOOKUP(CM$4,$DE$6:$DF$17,2)+1))*$E112</f>
        <v>-95.684752205389941</v>
      </c>
      <c r="CN112" s="1021">
        <f>(VLOOKUP(YEAR($A112),'NY East Load Projections'!$A$4:$EO$14,((MONTH($A112)-1)*12)+VLOOKUP(CN$4,$DE$6:$DF$17,2)+1))*$E112</f>
        <v>-95.684752205389941</v>
      </c>
      <c r="CO112" s="1021">
        <f>(VLOOKUP(YEAR($A112),'NY East Load Projections'!$A$4:$EO$14,((MONTH($A112)-1)*12)+VLOOKUP(CO$4,$DE$6:$DF$17,2)+1))*$E112</f>
        <v>-95.684752205389941</v>
      </c>
      <c r="CP112" s="1021">
        <f>(VLOOKUP(YEAR($A112),'NY East Load Projections'!$A$4:$EO$14,((MONTH($A112)-1)*12)+VLOOKUP(CP$4,$DE$6:$DF$17,2)+1))*$E112</f>
        <v>-95.684752205389941</v>
      </c>
      <c r="CQ112" s="1021">
        <f>(VLOOKUP(YEAR($A112),'NY East Load Projections'!$A$4:$EO$14,((MONTH($A112)-1)*12)+VLOOKUP(CQ$4,$DE$6:$DF$17,2)+1))*$E112</f>
        <v>-98.557200174192261</v>
      </c>
      <c r="CR112" s="1021">
        <f>(VLOOKUP(YEAR($A112),'NY East Load Projections'!$A$4:$EO$14,((MONTH($A112)-1)*12)+VLOOKUP(CR$4,$DE$6:$DF$17,2)+1))*$E112</f>
        <v>-98.557200174192261</v>
      </c>
      <c r="CS112" s="1021">
        <f>(VLOOKUP(YEAR($A112),'NY East Load Projections'!$A$4:$EO$14,((MONTH($A112)-1)*12)+VLOOKUP(CS$4,$DE$6:$DF$17,2)+1))*$E112</f>
        <v>-98.557200174192261</v>
      </c>
      <c r="CT112" s="1021">
        <f>(VLOOKUP(YEAR($A112),'NY East Load Projections'!$A$4:$EO$14,((MONTH($A112)-1)*12)+VLOOKUP(CT$4,$DE$6:$DF$17,2)+1))*$E112</f>
        <v>-98.557200174192261</v>
      </c>
      <c r="CU112" s="1021">
        <f>(VLOOKUP(YEAR($A112),'NY East Load Projections'!$A$4:$EO$14,((MONTH($A112)-1)*12)+VLOOKUP(CU$4,$DE$6:$DF$17,2)+1))*$E112</f>
        <v>-93.727310316033055</v>
      </c>
      <c r="CV112" s="1021">
        <f>(VLOOKUP(YEAR($A112),'NY East Load Projections'!$A$4:$EO$14,((MONTH($A112)-1)*12)+VLOOKUP(CV$4,$DE$6:$DF$17,2)+1))*$E112</f>
        <v>-93.727310316033055</v>
      </c>
      <c r="CW112" s="1021">
        <f>(VLOOKUP(YEAR($A112),'NY East Load Projections'!$A$4:$EO$14,((MONTH($A112)-1)*12)+VLOOKUP(CW$4,$DE$6:$DF$17,2)+1))*$E112</f>
        <v>-93.727310316033055</v>
      </c>
      <c r="CX112" s="1021">
        <f>(VLOOKUP(YEAR($A112),'NY East Load Projections'!$A$4:$EO$14,((MONTH($A112)-1)*12)+VLOOKUP(CX$4,$DE$6:$DF$17,2)+1))*$E112</f>
        <v>-93.727310316033055</v>
      </c>
      <c r="CY112" s="1021">
        <f>(VLOOKUP(YEAR($A112),'NY East Load Projections'!$A$4:$EO$14,((MONTH($A112)-1)*12)+VLOOKUP(CY$4,$DE$6:$DF$17,2)+1))*$E112</f>
        <v>-89.545714482993688</v>
      </c>
      <c r="CZ112" s="1021">
        <f>(VLOOKUP(YEAR($A112),'NY East Load Projections'!$A$4:$EO$14,((MONTH($A112)-1)*12)+VLOOKUP(CZ$4,$DE$6:$DF$17,2)+1))*$E112</f>
        <v>-89.545714482993688</v>
      </c>
      <c r="DA112" s="1021">
        <f>(VLOOKUP(YEAR($A112),'NY East Load Projections'!$A$4:$EO$14,((MONTH($A112)-1)*12)+VLOOKUP(DA$4,$DE$6:$DF$17,2)+1))*$E112</f>
        <v>-89.545714482993688</v>
      </c>
      <c r="DB112" s="1021">
        <f>(VLOOKUP(YEAR($A112),'NY East Load Projections'!$A$4:$EO$14,((MONTH($A112)-1)*12)+VLOOKUP(DB$4,$DE$6:$DF$17,2)+1))*$E112</f>
        <v>-89.545714482993688</v>
      </c>
      <c r="DH112" s="1009">
        <f t="shared" si="5"/>
        <v>-66626.506181995093</v>
      </c>
      <c r="DI112">
        <f ca="1">CALC!J132</f>
        <v>0.48988674343446137</v>
      </c>
      <c r="DJ112" s="1032">
        <f t="shared" ca="1" si="4"/>
        <v>-32639.442139913586</v>
      </c>
    </row>
    <row r="113" spans="1:114" x14ac:dyDescent="0.25">
      <c r="A113" s="244">
        <v>40148</v>
      </c>
      <c r="B113" s="13">
        <v>22</v>
      </c>
      <c r="C113" s="210">
        <v>4</v>
      </c>
      <c r="D113" s="210">
        <v>4</v>
      </c>
      <c r="E113" s="210">
        <v>1</v>
      </c>
      <c r="F113" s="13">
        <v>31</v>
      </c>
      <c r="H113" s="1021">
        <f>(VLOOKUP(YEAR($A113),'NY East Load Projections'!$A$4:$EO$14,((MONTH($A113)-1)*12)+VLOOKUP(H$4,$DE$6:$DF$17,2)+1))*$B113</f>
        <v>-1830.7966430467513</v>
      </c>
      <c r="I113" s="1021">
        <f>(VLOOKUP(YEAR($A113),'NY East Load Projections'!$A$4:$EO$14,((MONTH($A113)-1)*12)+VLOOKUP(I$4,$DE$6:$DF$17,2)+1))*$B113</f>
        <v>-1830.7966430467513</v>
      </c>
      <c r="J113" s="1021">
        <f>(VLOOKUP(YEAR($A113),'NY East Load Projections'!$A$4:$EO$14,((MONTH($A113)-1)*12)+VLOOKUP(J$4,$DE$6:$DF$17,2)+1))*$B113</f>
        <v>-1830.7966430467513</v>
      </c>
      <c r="K113" s="1021">
        <f>(VLOOKUP(YEAR($A113),'NY East Load Projections'!$A$4:$EO$14,((MONTH($A113)-1)*12)+VLOOKUP(K$4,$DE$6:$DF$17,2)+1))*$B113</f>
        <v>-1830.7966430467513</v>
      </c>
      <c r="L113" s="1021">
        <f>(VLOOKUP(YEAR($A113),'NY East Load Projections'!$A$4:$EO$14,((MONTH($A113)-1)*12)+VLOOKUP(L$4,$DE$6:$DF$17,2)+1))*$B113</f>
        <v>-1960.4628913418521</v>
      </c>
      <c r="M113" s="1021">
        <f>(VLOOKUP(YEAR($A113),'NY East Load Projections'!$A$4:$EO$14,((MONTH($A113)-1)*12)+VLOOKUP(M$4,$DE$6:$DF$17,2)+1))*$B113</f>
        <v>-1960.4628913418521</v>
      </c>
      <c r="N113" s="1021">
        <f>(VLOOKUP(YEAR($A113),'NY East Load Projections'!$A$4:$EO$14,((MONTH($A113)-1)*12)+VLOOKUP(N$4,$DE$6:$DF$17,2)+1))*$B113</f>
        <v>-1960.4628913418521</v>
      </c>
      <c r="O113" s="1021">
        <f>(VLOOKUP(YEAR($A113),'NY East Load Projections'!$A$4:$EO$14,((MONTH($A113)-1)*12)+VLOOKUP(O$4,$DE$6:$DF$17,2)+1))*$B113</f>
        <v>-1960.4628913418521</v>
      </c>
      <c r="P113" s="1021">
        <f>(VLOOKUP(YEAR($A113),'NY East Load Projections'!$A$4:$EO$14,((MONTH($A113)-1)*12)+VLOOKUP(P$4,$DE$6:$DF$17,2)+1))*$B113</f>
        <v>-2083.7296077102606</v>
      </c>
      <c r="Q113" s="1021">
        <f>(VLOOKUP(YEAR($A113),'NY East Load Projections'!$A$4:$EO$14,((MONTH($A113)-1)*12)+VLOOKUP(Q$4,$DE$6:$DF$17,2)+1))*$B113</f>
        <v>-2083.7296077102606</v>
      </c>
      <c r="R113" s="1021">
        <f>(VLOOKUP(YEAR($A113),'NY East Load Projections'!$A$4:$EO$14,((MONTH($A113)-1)*12)+VLOOKUP(R$4,$DE$6:$DF$17,2)+1))*$B113</f>
        <v>-2083.7296077102606</v>
      </c>
      <c r="S113" s="1021">
        <f>(VLOOKUP(YEAR($A113),'NY East Load Projections'!$A$4:$EO$14,((MONTH($A113)-1)*12)+VLOOKUP(S$4,$DE$6:$DF$17,2)+1))*$B113</f>
        <v>-2083.7296077102606</v>
      </c>
      <c r="T113" s="1021">
        <f>(VLOOKUP(YEAR($A113),'NY East Load Projections'!$A$4:$EO$14,((MONTH($A113)-1)*12)+VLOOKUP(T$4,$DE$6:$DF$17,2)+1))*$B113</f>
        <v>-2105.7068504416634</v>
      </c>
      <c r="U113" s="1021">
        <f>(VLOOKUP(YEAR($A113),'NY East Load Projections'!$A$4:$EO$14,((MONTH($A113)-1)*12)+VLOOKUP(U$4,$DE$6:$DF$17,2)+1))*$B113</f>
        <v>-2105.7068504416634</v>
      </c>
      <c r="V113" s="1021">
        <f>(VLOOKUP(YEAR($A113),'NY East Load Projections'!$A$4:$EO$14,((MONTH($A113)-1)*12)+VLOOKUP(V$4,$DE$6:$DF$17,2)+1))*$B113</f>
        <v>-2105.7068504416634</v>
      </c>
      <c r="W113" s="1021">
        <f>(VLOOKUP(YEAR($A113),'NY East Load Projections'!$A$4:$EO$14,((MONTH($A113)-1)*12)+VLOOKUP(W$4,$DE$6:$DF$17,2)+1))*$B113</f>
        <v>-2105.7068504416634</v>
      </c>
      <c r="X113" s="1021">
        <f>(VLOOKUP(YEAR($A113),'NY East Load Projections'!$A$4:$EO$14,((MONTH($A113)-1)*12)+VLOOKUP(X$4,$DE$6:$DF$17,2)+1))*$B113</f>
        <v>-2025.4805823594124</v>
      </c>
      <c r="Y113" s="1021">
        <f>(VLOOKUP(YEAR($A113),'NY East Load Projections'!$A$4:$EO$14,((MONTH($A113)-1)*12)+VLOOKUP(Y$4,$DE$6:$DF$17,2)+1))*$B113</f>
        <v>-2025.4805823594124</v>
      </c>
      <c r="Z113" s="1021">
        <f>(VLOOKUP(YEAR($A113),'NY East Load Projections'!$A$4:$EO$14,((MONTH($A113)-1)*12)+VLOOKUP(Z$4,$DE$6:$DF$17,2)+1))*$B113</f>
        <v>-2025.4805823594124</v>
      </c>
      <c r="AA113" s="1021">
        <f>(VLOOKUP(YEAR($A113),'NY East Load Projections'!$A$4:$EO$14,((MONTH($A113)-1)*12)+VLOOKUP(AA$4,$DE$6:$DF$17,2)+1))*$B113</f>
        <v>-2025.4805823594124</v>
      </c>
      <c r="AB113" s="1021">
        <f>(VLOOKUP(YEAR($A113),'NY East Load Projections'!$A$4:$EO$14,((MONTH($A113)-1)*12)+VLOOKUP(AB$4,$DE$6:$DF$17,2)+1))*$B113</f>
        <v>-1870.9257541765273</v>
      </c>
      <c r="AC113" s="1021">
        <f>(VLOOKUP(YEAR($A113),'NY East Load Projections'!$A$4:$EO$14,((MONTH($A113)-1)*12)+VLOOKUP(AC$4,$DE$6:$DF$17,2)+1))*$B113</f>
        <v>-1870.9257541765273</v>
      </c>
      <c r="AD113" s="1021">
        <f>(VLOOKUP(YEAR($A113),'NY East Load Projections'!$A$4:$EO$14,((MONTH($A113)-1)*12)+VLOOKUP(AD$4,$DE$6:$DF$17,2)+1))*$B113</f>
        <v>-1870.9257541765273</v>
      </c>
      <c r="AE113" s="1021">
        <f>(VLOOKUP(YEAR($A113),'NY East Load Projections'!$A$4:$EO$14,((MONTH($A113)-1)*12)+VLOOKUP(AE$4,$DE$6:$DF$17,2)+1))*$B113</f>
        <v>-1870.9257541765273</v>
      </c>
      <c r="AF113" s="1021"/>
      <c r="AG113" s="1021">
        <f>(VLOOKUP(YEAR($A113),'NY East Load Projections'!$A$4:$EO$14,((MONTH($A113)-1)*12)+VLOOKUP(AG$4,$DE$6:$DF$17,2)+1))*$C113</f>
        <v>-346.35783966305718</v>
      </c>
      <c r="AH113" s="1021">
        <f>(VLOOKUP(YEAR($A113),'NY East Load Projections'!$A$4:$EO$14,((MONTH($A113)-1)*12)+VLOOKUP(AH$4,$DE$6:$DF$17,2)+1))*$C113</f>
        <v>-346.35783966305718</v>
      </c>
      <c r="AI113" s="1021">
        <f>(VLOOKUP(YEAR($A113),'NY East Load Projections'!$A$4:$EO$14,((MONTH($A113)-1)*12)+VLOOKUP(AI$4,$DE$6:$DF$17,2)+1))*$C113</f>
        <v>-346.35783966305718</v>
      </c>
      <c r="AJ113" s="1021">
        <f>(VLOOKUP(YEAR($A113),'NY East Load Projections'!$A$4:$EO$14,((MONTH($A113)-1)*12)+VLOOKUP(AJ$4,$DE$6:$DF$17,2)+1))*$C113</f>
        <v>-346.35783966305718</v>
      </c>
      <c r="AK113" s="1021">
        <f>(VLOOKUP(YEAR($A113),'NY East Load Projections'!$A$4:$EO$14,((MONTH($A113)-1)*12)+VLOOKUP(AK$4,$DE$6:$DF$17,2)+1))*$C113</f>
        <v>-351.74230701120513</v>
      </c>
      <c r="AL113" s="1021">
        <f>(VLOOKUP(YEAR($A113),'NY East Load Projections'!$A$4:$EO$14,((MONTH($A113)-1)*12)+VLOOKUP(AL$4,$DE$6:$DF$17,2)+1))*$C113</f>
        <v>-351.74230701120513</v>
      </c>
      <c r="AM113" s="1021">
        <f>(VLOOKUP(YEAR($A113),'NY East Load Projections'!$A$4:$EO$14,((MONTH($A113)-1)*12)+VLOOKUP(AM$4,$DE$6:$DF$17,2)+1))*$C113</f>
        <v>-351.74230701120513</v>
      </c>
      <c r="AN113" s="1021">
        <f>(VLOOKUP(YEAR($A113),'NY East Load Projections'!$A$4:$EO$14,((MONTH($A113)-1)*12)+VLOOKUP(AN$4,$DE$6:$DF$17,2)+1))*$C113</f>
        <v>-351.74230701120513</v>
      </c>
      <c r="AO113" s="1021">
        <f>(VLOOKUP(YEAR($A113),'NY East Load Projections'!$A$4:$EO$14,((MONTH($A113)-1)*12)+VLOOKUP(AO$4,$DE$6:$DF$17,2)+1))*$C113</f>
        <v>-375.35629199221199</v>
      </c>
      <c r="AP113" s="1021">
        <f>(VLOOKUP(YEAR($A113),'NY East Load Projections'!$A$4:$EO$14,((MONTH($A113)-1)*12)+VLOOKUP(AP$4,$DE$6:$DF$17,2)+1))*$C113</f>
        <v>-375.35629199221199</v>
      </c>
      <c r="AQ113" s="1021">
        <f>(VLOOKUP(YEAR($A113),'NY East Load Projections'!$A$4:$EO$14,((MONTH($A113)-1)*12)+VLOOKUP(AQ$4,$DE$6:$DF$17,2)+1))*$C113</f>
        <v>-375.35629199221199</v>
      </c>
      <c r="AR113" s="1021">
        <f>(VLOOKUP(YEAR($A113),'NY East Load Projections'!$A$4:$EO$14,((MONTH($A113)-1)*12)+VLOOKUP(AR$4,$DE$6:$DF$17,2)+1))*$C113</f>
        <v>-375.35629199221199</v>
      </c>
      <c r="AS113" s="1021">
        <f>(VLOOKUP(YEAR($A113),'NY East Load Projections'!$A$4:$EO$14,((MONTH($A113)-1)*12)+VLOOKUP(AS$4,$DE$6:$DF$17,2)+1))*$C113</f>
        <v>-379.45755156310656</v>
      </c>
      <c r="AT113" s="1021">
        <f>(VLOOKUP(YEAR($A113),'NY East Load Projections'!$A$4:$EO$14,((MONTH($A113)-1)*12)+VLOOKUP(AT$4,$DE$6:$DF$17,2)+1))*$C113</f>
        <v>-379.45755156310656</v>
      </c>
      <c r="AU113" s="1021">
        <f>(VLOOKUP(YEAR($A113),'NY East Load Projections'!$A$4:$EO$14,((MONTH($A113)-1)*12)+VLOOKUP(AU$4,$DE$6:$DF$17,2)+1))*$C113</f>
        <v>-379.45755156310656</v>
      </c>
      <c r="AV113" s="1021">
        <f>(VLOOKUP(YEAR($A113),'NY East Load Projections'!$A$4:$EO$14,((MONTH($A113)-1)*12)+VLOOKUP(AV$4,$DE$6:$DF$17,2)+1))*$C113</f>
        <v>-379.45755156310656</v>
      </c>
      <c r="AW113" s="1021">
        <f>(VLOOKUP(YEAR($A113),'NY East Load Projections'!$A$4:$EO$14,((MONTH($A113)-1)*12)+VLOOKUP(AW$4,$DE$6:$DF$17,2)+1))*$C113</f>
        <v>-363.36117679205177</v>
      </c>
      <c r="AX113" s="1021">
        <f>(VLOOKUP(YEAR($A113),'NY East Load Projections'!$A$4:$EO$14,((MONTH($A113)-1)*12)+VLOOKUP(AX$4,$DE$6:$DF$17,2)+1))*$C113</f>
        <v>-363.36117679205177</v>
      </c>
      <c r="AY113" s="1021">
        <f>(VLOOKUP(YEAR($A113),'NY East Load Projections'!$A$4:$EO$14,((MONTH($A113)-1)*12)+VLOOKUP(AY$4,$DE$6:$DF$17,2)+1))*$C113</f>
        <v>-363.36117679205177</v>
      </c>
      <c r="AZ113" s="1021">
        <f>(VLOOKUP(YEAR($A113),'NY East Load Projections'!$A$4:$EO$14,((MONTH($A113)-1)*12)+VLOOKUP(AZ$4,$DE$6:$DF$17,2)+1))*$C113</f>
        <v>-363.36117679205177</v>
      </c>
      <c r="BA113" s="1021">
        <f>(VLOOKUP(YEAR($A113),'NY East Load Projections'!$A$4:$EO$14,((MONTH($A113)-1)*12)+VLOOKUP(BA$4,$DE$6:$DF$17,2)+1))*$C113</f>
        <v>-351.64154640972106</v>
      </c>
      <c r="BB113" s="1021">
        <f>(VLOOKUP(YEAR($A113),'NY East Load Projections'!$A$4:$EO$14,((MONTH($A113)-1)*12)+VLOOKUP(BB$4,$DE$6:$DF$17,2)+1))*$C113</f>
        <v>-351.64154640972106</v>
      </c>
      <c r="BC113" s="1021">
        <f>(VLOOKUP(YEAR($A113),'NY East Load Projections'!$A$4:$EO$14,((MONTH($A113)-1)*12)+VLOOKUP(BC$4,$DE$6:$DF$17,2)+1))*$C113</f>
        <v>-351.64154640972106</v>
      </c>
      <c r="BD113" s="1021">
        <f>(VLOOKUP(YEAR($A113),'NY East Load Projections'!$A$4:$EO$14,((MONTH($A113)-1)*12)+VLOOKUP(BD$4,$DE$6:$DF$17,2)+1))*$C113</f>
        <v>-351.64154640972106</v>
      </c>
      <c r="BE113" s="1021"/>
      <c r="BF113" s="1021">
        <f>(VLOOKUP(YEAR($A113),'NY East Load Projections'!$A$4:$EO$14,((MONTH($A113)-1)*12)+VLOOKUP(BF$4,$DE$6:$DF$17,2)+1))*$D113</f>
        <v>-346.35783966305718</v>
      </c>
      <c r="BG113" s="1021">
        <f>(VLOOKUP(YEAR($A113),'NY East Load Projections'!$A$4:$EO$14,((MONTH($A113)-1)*12)+VLOOKUP(BG$4,$DE$6:$DF$17,2)+1))*$D113</f>
        <v>-346.35783966305718</v>
      </c>
      <c r="BH113" s="1021">
        <f>(VLOOKUP(YEAR($A113),'NY East Load Projections'!$A$4:$EO$14,((MONTH($A113)-1)*12)+VLOOKUP(BH$4,$DE$6:$DF$17,2)+1))*$D113</f>
        <v>-346.35783966305718</v>
      </c>
      <c r="BI113" s="1021">
        <f>(VLOOKUP(YEAR($A113),'NY East Load Projections'!$A$4:$EO$14,((MONTH($A113)-1)*12)+VLOOKUP(BI$4,$DE$6:$DF$17,2)+1))*$D113</f>
        <v>-346.35783966305718</v>
      </c>
      <c r="BJ113" s="1021">
        <f>(VLOOKUP(YEAR($A113),'NY East Load Projections'!$A$4:$EO$14,((MONTH($A113)-1)*12)+VLOOKUP(BJ$4,$DE$6:$DF$17,2)+1))*$D113</f>
        <v>-351.74230701120513</v>
      </c>
      <c r="BK113" s="1021">
        <f>(VLOOKUP(YEAR($A113),'NY East Load Projections'!$A$4:$EO$14,((MONTH($A113)-1)*12)+VLOOKUP(BK$4,$DE$6:$DF$17,2)+1))*$D113</f>
        <v>-351.74230701120513</v>
      </c>
      <c r="BL113" s="1021">
        <f>(VLOOKUP(YEAR($A113),'NY East Load Projections'!$A$4:$EO$14,((MONTH($A113)-1)*12)+VLOOKUP(BL$4,$DE$6:$DF$17,2)+1))*$D113</f>
        <v>-351.74230701120513</v>
      </c>
      <c r="BM113" s="1021">
        <f>(VLOOKUP(YEAR($A113),'NY East Load Projections'!$A$4:$EO$14,((MONTH($A113)-1)*12)+VLOOKUP(BM$4,$DE$6:$DF$17,2)+1))*$D113</f>
        <v>-351.74230701120513</v>
      </c>
      <c r="BN113" s="1021">
        <f>(VLOOKUP(YEAR($A113),'NY East Load Projections'!$A$4:$EO$14,((MONTH($A113)-1)*12)+VLOOKUP(BN$4,$DE$6:$DF$17,2)+1))*$D113</f>
        <v>-375.35629199221199</v>
      </c>
      <c r="BO113" s="1021">
        <f>(VLOOKUP(YEAR($A113),'NY East Load Projections'!$A$4:$EO$14,((MONTH($A113)-1)*12)+VLOOKUP(BO$4,$DE$6:$DF$17,2)+1))*$D113</f>
        <v>-375.35629199221199</v>
      </c>
      <c r="BP113" s="1021">
        <f>(VLOOKUP(YEAR($A113),'NY East Load Projections'!$A$4:$EO$14,((MONTH($A113)-1)*12)+VLOOKUP(BP$4,$DE$6:$DF$17,2)+1))*$D113</f>
        <v>-375.35629199221199</v>
      </c>
      <c r="BQ113" s="1021">
        <f>(VLOOKUP(YEAR($A113),'NY East Load Projections'!$A$4:$EO$14,((MONTH($A113)-1)*12)+VLOOKUP(BQ$4,$DE$6:$DF$17,2)+1))*$D113</f>
        <v>-375.35629199221199</v>
      </c>
      <c r="BR113" s="1021">
        <f>(VLOOKUP(YEAR($A113),'NY East Load Projections'!$A$4:$EO$14,((MONTH($A113)-1)*12)+VLOOKUP(BR$4,$DE$6:$DF$17,2)+1))*$D113</f>
        <v>-379.45755156310656</v>
      </c>
      <c r="BS113" s="1021">
        <f>(VLOOKUP(YEAR($A113),'NY East Load Projections'!$A$4:$EO$14,((MONTH($A113)-1)*12)+VLOOKUP(BS$4,$DE$6:$DF$17,2)+1))*$D113</f>
        <v>-379.45755156310656</v>
      </c>
      <c r="BT113" s="1021">
        <f>(VLOOKUP(YEAR($A113),'NY East Load Projections'!$A$4:$EO$14,((MONTH($A113)-1)*12)+VLOOKUP(BT$4,$DE$6:$DF$17,2)+1))*$D113</f>
        <v>-379.45755156310656</v>
      </c>
      <c r="BU113" s="1021">
        <f>(VLOOKUP(YEAR($A113),'NY East Load Projections'!$A$4:$EO$14,((MONTH($A113)-1)*12)+VLOOKUP(BU$4,$DE$6:$DF$17,2)+1))*$D113</f>
        <v>-379.45755156310656</v>
      </c>
      <c r="BV113" s="1021">
        <f>(VLOOKUP(YEAR($A113),'NY East Load Projections'!$A$4:$EO$14,((MONTH($A113)-1)*12)+VLOOKUP(BV$4,$DE$6:$DF$17,2)+1))*$D113</f>
        <v>-363.36117679205177</v>
      </c>
      <c r="BW113" s="1021">
        <f>(VLOOKUP(YEAR($A113),'NY East Load Projections'!$A$4:$EO$14,((MONTH($A113)-1)*12)+VLOOKUP(BW$4,$DE$6:$DF$17,2)+1))*$D113</f>
        <v>-363.36117679205177</v>
      </c>
      <c r="BX113" s="1021">
        <f>(VLOOKUP(YEAR($A113),'NY East Load Projections'!$A$4:$EO$14,((MONTH($A113)-1)*12)+VLOOKUP(BX$4,$DE$6:$DF$17,2)+1))*$D113</f>
        <v>-363.36117679205177</v>
      </c>
      <c r="BY113" s="1021">
        <f>(VLOOKUP(YEAR($A113),'NY East Load Projections'!$A$4:$EO$14,((MONTH($A113)-1)*12)+VLOOKUP(BY$4,$DE$6:$DF$17,2)+1))*$D113</f>
        <v>-363.36117679205177</v>
      </c>
      <c r="BZ113" s="1021">
        <f>(VLOOKUP(YEAR($A113),'NY East Load Projections'!$A$4:$EO$14,((MONTH($A113)-1)*12)+VLOOKUP(BZ$4,$DE$6:$DF$17,2)+1))*$D113</f>
        <v>-351.64154640972106</v>
      </c>
      <c r="CA113" s="1021">
        <f>(VLOOKUP(YEAR($A113),'NY East Load Projections'!$A$4:$EO$14,((MONTH($A113)-1)*12)+VLOOKUP(CA$4,$DE$6:$DF$17,2)+1))*$D113</f>
        <v>-351.64154640972106</v>
      </c>
      <c r="CB113" s="1021">
        <f>(VLOOKUP(YEAR($A113),'NY East Load Projections'!$A$4:$EO$14,((MONTH($A113)-1)*12)+VLOOKUP(CB$4,$DE$6:$DF$17,2)+1))*$D113</f>
        <v>-351.64154640972106</v>
      </c>
      <c r="CC113" s="1021">
        <f>(VLOOKUP(YEAR($A113),'NY East Load Projections'!$A$4:$EO$14,((MONTH($A113)-1)*12)+VLOOKUP(CC$4,$DE$6:$DF$17,2)+1))*$D113</f>
        <v>-351.64154640972106</v>
      </c>
      <c r="CE113" s="1021">
        <f>(VLOOKUP(YEAR($A113),'NY East Load Projections'!$A$4:$EO$14,((MONTH($A113)-1)*12)+VLOOKUP(CE$4,$DE$6:$DF$17,2)+1))*$E113</f>
        <v>-86.589459915764294</v>
      </c>
      <c r="CF113" s="1021">
        <f>(VLOOKUP(YEAR($A113),'NY East Load Projections'!$A$4:$EO$14,((MONTH($A113)-1)*12)+VLOOKUP(CF$4,$DE$6:$DF$17,2)+1))*$E113</f>
        <v>-86.589459915764294</v>
      </c>
      <c r="CG113" s="1021">
        <f>(VLOOKUP(YEAR($A113),'NY East Load Projections'!$A$4:$EO$14,((MONTH($A113)-1)*12)+VLOOKUP(CG$4,$DE$6:$DF$17,2)+1))*$E113</f>
        <v>-86.589459915764294</v>
      </c>
      <c r="CH113" s="1021">
        <f>(VLOOKUP(YEAR($A113),'NY East Load Projections'!$A$4:$EO$14,((MONTH($A113)-1)*12)+VLOOKUP(CH$4,$DE$6:$DF$17,2)+1))*$E113</f>
        <v>-86.589459915764294</v>
      </c>
      <c r="CI113" s="1021">
        <f>(VLOOKUP(YEAR($A113),'NY East Load Projections'!$A$4:$EO$14,((MONTH($A113)-1)*12)+VLOOKUP(CI$4,$DE$6:$DF$17,2)+1))*$E113</f>
        <v>-87.935576752801282</v>
      </c>
      <c r="CJ113" s="1021">
        <f>(VLOOKUP(YEAR($A113),'NY East Load Projections'!$A$4:$EO$14,((MONTH($A113)-1)*12)+VLOOKUP(CJ$4,$DE$6:$DF$17,2)+1))*$E113</f>
        <v>-87.935576752801282</v>
      </c>
      <c r="CK113" s="1021">
        <f>(VLOOKUP(YEAR($A113),'NY East Load Projections'!$A$4:$EO$14,((MONTH($A113)-1)*12)+VLOOKUP(CK$4,$DE$6:$DF$17,2)+1))*$E113</f>
        <v>-87.935576752801282</v>
      </c>
      <c r="CL113" s="1021">
        <f>(VLOOKUP(YEAR($A113),'NY East Load Projections'!$A$4:$EO$14,((MONTH($A113)-1)*12)+VLOOKUP(CL$4,$DE$6:$DF$17,2)+1))*$E113</f>
        <v>-87.935576752801282</v>
      </c>
      <c r="CM113" s="1021">
        <f>(VLOOKUP(YEAR($A113),'NY East Load Projections'!$A$4:$EO$14,((MONTH($A113)-1)*12)+VLOOKUP(CM$4,$DE$6:$DF$17,2)+1))*$E113</f>
        <v>-93.839072998052998</v>
      </c>
      <c r="CN113" s="1021">
        <f>(VLOOKUP(YEAR($A113),'NY East Load Projections'!$A$4:$EO$14,((MONTH($A113)-1)*12)+VLOOKUP(CN$4,$DE$6:$DF$17,2)+1))*$E113</f>
        <v>-93.839072998052998</v>
      </c>
      <c r="CO113" s="1021">
        <f>(VLOOKUP(YEAR($A113),'NY East Load Projections'!$A$4:$EO$14,((MONTH($A113)-1)*12)+VLOOKUP(CO$4,$DE$6:$DF$17,2)+1))*$E113</f>
        <v>-93.839072998052998</v>
      </c>
      <c r="CP113" s="1021">
        <f>(VLOOKUP(YEAR($A113),'NY East Load Projections'!$A$4:$EO$14,((MONTH($A113)-1)*12)+VLOOKUP(CP$4,$DE$6:$DF$17,2)+1))*$E113</f>
        <v>-93.839072998052998</v>
      </c>
      <c r="CQ113" s="1021">
        <f>(VLOOKUP(YEAR($A113),'NY East Load Projections'!$A$4:$EO$14,((MONTH($A113)-1)*12)+VLOOKUP(CQ$4,$DE$6:$DF$17,2)+1))*$E113</f>
        <v>-94.864387890776641</v>
      </c>
      <c r="CR113" s="1021">
        <f>(VLOOKUP(YEAR($A113),'NY East Load Projections'!$A$4:$EO$14,((MONTH($A113)-1)*12)+VLOOKUP(CR$4,$DE$6:$DF$17,2)+1))*$E113</f>
        <v>-94.864387890776641</v>
      </c>
      <c r="CS113" s="1021">
        <f>(VLOOKUP(YEAR($A113),'NY East Load Projections'!$A$4:$EO$14,((MONTH($A113)-1)*12)+VLOOKUP(CS$4,$DE$6:$DF$17,2)+1))*$E113</f>
        <v>-94.864387890776641</v>
      </c>
      <c r="CT113" s="1021">
        <f>(VLOOKUP(YEAR($A113),'NY East Load Projections'!$A$4:$EO$14,((MONTH($A113)-1)*12)+VLOOKUP(CT$4,$DE$6:$DF$17,2)+1))*$E113</f>
        <v>-94.864387890776641</v>
      </c>
      <c r="CU113" s="1021">
        <f>(VLOOKUP(YEAR($A113),'NY East Load Projections'!$A$4:$EO$14,((MONTH($A113)-1)*12)+VLOOKUP(CU$4,$DE$6:$DF$17,2)+1))*$E113</f>
        <v>-90.840294198012941</v>
      </c>
      <c r="CV113" s="1021">
        <f>(VLOOKUP(YEAR($A113),'NY East Load Projections'!$A$4:$EO$14,((MONTH($A113)-1)*12)+VLOOKUP(CV$4,$DE$6:$DF$17,2)+1))*$E113</f>
        <v>-90.840294198012941</v>
      </c>
      <c r="CW113" s="1021">
        <f>(VLOOKUP(YEAR($A113),'NY East Load Projections'!$A$4:$EO$14,((MONTH($A113)-1)*12)+VLOOKUP(CW$4,$DE$6:$DF$17,2)+1))*$E113</f>
        <v>-90.840294198012941</v>
      </c>
      <c r="CX113" s="1021">
        <f>(VLOOKUP(YEAR($A113),'NY East Load Projections'!$A$4:$EO$14,((MONTH($A113)-1)*12)+VLOOKUP(CX$4,$DE$6:$DF$17,2)+1))*$E113</f>
        <v>-90.840294198012941</v>
      </c>
      <c r="CY113" s="1021">
        <f>(VLOOKUP(YEAR($A113),'NY East Load Projections'!$A$4:$EO$14,((MONTH($A113)-1)*12)+VLOOKUP(CY$4,$DE$6:$DF$17,2)+1))*$E113</f>
        <v>-87.910386602430265</v>
      </c>
      <c r="CZ113" s="1021">
        <f>(VLOOKUP(YEAR($A113),'NY East Load Projections'!$A$4:$EO$14,((MONTH($A113)-1)*12)+VLOOKUP(CZ$4,$DE$6:$DF$17,2)+1))*$E113</f>
        <v>-87.910386602430265</v>
      </c>
      <c r="DA113" s="1021">
        <f>(VLOOKUP(YEAR($A113),'NY East Load Projections'!$A$4:$EO$14,((MONTH($A113)-1)*12)+VLOOKUP(DA$4,$DE$6:$DF$17,2)+1))*$E113</f>
        <v>-87.910386602430265</v>
      </c>
      <c r="DB113" s="1021">
        <f>(VLOOKUP(YEAR($A113),'NY East Load Projections'!$A$4:$EO$14,((MONTH($A113)-1)*12)+VLOOKUP(DB$4,$DE$6:$DF$17,2)+1))*$E113</f>
        <v>-87.910386602430265</v>
      </c>
      <c r="DH113" s="1009">
        <f t="shared" si="5"/>
        <v>-67019.659737188063</v>
      </c>
      <c r="DI113">
        <f ca="1">CALC!J133</f>
        <v>0.48680038887296539</v>
      </c>
      <c r="DJ113" s="1032">
        <f t="shared" ca="1" si="4"/>
        <v>-32625.196422196972</v>
      </c>
    </row>
    <row r="114" spans="1:114" x14ac:dyDescent="0.25">
      <c r="A114" s="244">
        <v>40179</v>
      </c>
      <c r="B114" s="13">
        <v>20</v>
      </c>
      <c r="C114" s="210">
        <v>5</v>
      </c>
      <c r="D114" s="210">
        <v>5</v>
      </c>
      <c r="E114" s="210">
        <v>1</v>
      </c>
      <c r="F114" s="13">
        <v>31</v>
      </c>
      <c r="H114" s="1021">
        <f>(VLOOKUP(YEAR($A114),'NY East Load Projections'!$A$4:$EO$14,((MONTH($A114)-1)*12)+VLOOKUP(H$4,$DE$6:$DF$17,2)+1))*$B114</f>
        <v>-1530.7571681500376</v>
      </c>
      <c r="I114" s="1021">
        <f>(VLOOKUP(YEAR($A114),'NY East Load Projections'!$A$4:$EO$14,((MONTH($A114)-1)*12)+VLOOKUP(I$4,$DE$6:$DF$17,2)+1))*$B114</f>
        <v>-1530.7571681500376</v>
      </c>
      <c r="J114" s="1021">
        <f>(VLOOKUP(YEAR($A114),'NY East Load Projections'!$A$4:$EO$14,((MONTH($A114)-1)*12)+VLOOKUP(J$4,$DE$6:$DF$17,2)+1))*$B114</f>
        <v>-1530.7571681500376</v>
      </c>
      <c r="K114" s="1021">
        <f>(VLOOKUP(YEAR($A114),'NY East Load Projections'!$A$4:$EO$14,((MONTH($A114)-1)*12)+VLOOKUP(K$4,$DE$6:$DF$17,2)+1))*$B114</f>
        <v>-1530.7571681500376</v>
      </c>
      <c r="L114" s="1021">
        <f>(VLOOKUP(YEAR($A114),'NY East Load Projections'!$A$4:$EO$14,((MONTH($A114)-1)*12)+VLOOKUP(L$4,$DE$6:$DF$17,2)+1))*$B114</f>
        <v>-1670.5115579957987</v>
      </c>
      <c r="M114" s="1021">
        <f>(VLOOKUP(YEAR($A114),'NY East Load Projections'!$A$4:$EO$14,((MONTH($A114)-1)*12)+VLOOKUP(M$4,$DE$6:$DF$17,2)+1))*$B114</f>
        <v>-1670.5115579957987</v>
      </c>
      <c r="N114" s="1021">
        <f>(VLOOKUP(YEAR($A114),'NY East Load Projections'!$A$4:$EO$14,((MONTH($A114)-1)*12)+VLOOKUP(N$4,$DE$6:$DF$17,2)+1))*$B114</f>
        <v>-1670.5115579957987</v>
      </c>
      <c r="O114" s="1021">
        <f>(VLOOKUP(YEAR($A114),'NY East Load Projections'!$A$4:$EO$14,((MONTH($A114)-1)*12)+VLOOKUP(O$4,$DE$6:$DF$17,2)+1))*$B114</f>
        <v>-1670.5115579957987</v>
      </c>
      <c r="P114" s="1021">
        <f>(VLOOKUP(YEAR($A114),'NY East Load Projections'!$A$4:$EO$14,((MONTH($A114)-1)*12)+VLOOKUP(P$4,$DE$6:$DF$17,2)+1))*$B114</f>
        <v>-1734.4987720969384</v>
      </c>
      <c r="Q114" s="1021">
        <f>(VLOOKUP(YEAR($A114),'NY East Load Projections'!$A$4:$EO$14,((MONTH($A114)-1)*12)+VLOOKUP(Q$4,$DE$6:$DF$17,2)+1))*$B114</f>
        <v>-1734.4987720969384</v>
      </c>
      <c r="R114" s="1021">
        <f>(VLOOKUP(YEAR($A114),'NY East Load Projections'!$A$4:$EO$14,((MONTH($A114)-1)*12)+VLOOKUP(R$4,$DE$6:$DF$17,2)+1))*$B114</f>
        <v>-1734.4987720969384</v>
      </c>
      <c r="S114" s="1021">
        <f>(VLOOKUP(YEAR($A114),'NY East Load Projections'!$A$4:$EO$14,((MONTH($A114)-1)*12)+VLOOKUP(S$4,$DE$6:$DF$17,2)+1))*$B114</f>
        <v>-1734.4987720969384</v>
      </c>
      <c r="T114" s="1021">
        <f>(VLOOKUP(YEAR($A114),'NY East Load Projections'!$A$4:$EO$14,((MONTH($A114)-1)*12)+VLOOKUP(T$4,$DE$6:$DF$17,2)+1))*$B114</f>
        <v>-1727.6114044232497</v>
      </c>
      <c r="U114" s="1021">
        <f>(VLOOKUP(YEAR($A114),'NY East Load Projections'!$A$4:$EO$14,((MONTH($A114)-1)*12)+VLOOKUP(U$4,$DE$6:$DF$17,2)+1))*$B114</f>
        <v>-1727.6114044232497</v>
      </c>
      <c r="V114" s="1021">
        <f>(VLOOKUP(YEAR($A114),'NY East Load Projections'!$A$4:$EO$14,((MONTH($A114)-1)*12)+VLOOKUP(V$4,$DE$6:$DF$17,2)+1))*$B114</f>
        <v>-1727.6114044232497</v>
      </c>
      <c r="W114" s="1021">
        <f>(VLOOKUP(YEAR($A114),'NY East Load Projections'!$A$4:$EO$14,((MONTH($A114)-1)*12)+VLOOKUP(W$4,$DE$6:$DF$17,2)+1))*$B114</f>
        <v>-1727.6114044232497</v>
      </c>
      <c r="X114" s="1021">
        <f>(VLOOKUP(YEAR($A114),'NY East Load Projections'!$A$4:$EO$14,((MONTH($A114)-1)*12)+VLOOKUP(X$4,$DE$6:$DF$17,2)+1))*$B114</f>
        <v>-1645.9964896887946</v>
      </c>
      <c r="Y114" s="1021">
        <f>(VLOOKUP(YEAR($A114),'NY East Load Projections'!$A$4:$EO$14,((MONTH($A114)-1)*12)+VLOOKUP(Y$4,$DE$6:$DF$17,2)+1))*$B114</f>
        <v>-1645.9964896887946</v>
      </c>
      <c r="Z114" s="1021">
        <f>(VLOOKUP(YEAR($A114),'NY East Load Projections'!$A$4:$EO$14,((MONTH($A114)-1)*12)+VLOOKUP(Z$4,$DE$6:$DF$17,2)+1))*$B114</f>
        <v>-1645.9964896887946</v>
      </c>
      <c r="AA114" s="1021">
        <f>(VLOOKUP(YEAR($A114),'NY East Load Projections'!$A$4:$EO$14,((MONTH($A114)-1)*12)+VLOOKUP(AA$4,$DE$6:$DF$17,2)+1))*$B114</f>
        <v>-1645.9964896887946</v>
      </c>
      <c r="AB114" s="1021">
        <f>(VLOOKUP(YEAR($A114),'NY East Load Projections'!$A$4:$EO$14,((MONTH($A114)-1)*12)+VLOOKUP(AB$4,$DE$6:$DF$17,2)+1))*$B114</f>
        <v>-1558.2441612263242</v>
      </c>
      <c r="AC114" s="1021">
        <f>(VLOOKUP(YEAR($A114),'NY East Load Projections'!$A$4:$EO$14,((MONTH($A114)-1)*12)+VLOOKUP(AC$4,$DE$6:$DF$17,2)+1))*$B114</f>
        <v>-1558.2441612263242</v>
      </c>
      <c r="AD114" s="1021">
        <f>(VLOOKUP(YEAR($A114),'NY East Load Projections'!$A$4:$EO$14,((MONTH($A114)-1)*12)+VLOOKUP(AD$4,$DE$6:$DF$17,2)+1))*$B114</f>
        <v>-1558.2441612263242</v>
      </c>
      <c r="AE114" s="1021">
        <f>(VLOOKUP(YEAR($A114),'NY East Load Projections'!$A$4:$EO$14,((MONTH($A114)-1)*12)+VLOOKUP(AE$4,$DE$6:$DF$17,2)+1))*$B114</f>
        <v>-1558.2441612263242</v>
      </c>
      <c r="AF114" s="1021"/>
      <c r="AG114" s="1021">
        <f>(VLOOKUP(YEAR($A114),'NY East Load Projections'!$A$4:$EO$14,((MONTH($A114)-1)*12)+VLOOKUP(AG$4,$DE$6:$DF$17,2)+1))*$C114</f>
        <v>-397.60694184609918</v>
      </c>
      <c r="AH114" s="1021">
        <f>(VLOOKUP(YEAR($A114),'NY East Load Projections'!$A$4:$EO$14,((MONTH($A114)-1)*12)+VLOOKUP(AH$4,$DE$6:$DF$17,2)+1))*$C114</f>
        <v>-397.60694184609918</v>
      </c>
      <c r="AI114" s="1021">
        <f>(VLOOKUP(YEAR($A114),'NY East Load Projections'!$A$4:$EO$14,((MONTH($A114)-1)*12)+VLOOKUP(AI$4,$DE$6:$DF$17,2)+1))*$C114</f>
        <v>-397.60694184609918</v>
      </c>
      <c r="AJ114" s="1021">
        <f>(VLOOKUP(YEAR($A114),'NY East Load Projections'!$A$4:$EO$14,((MONTH($A114)-1)*12)+VLOOKUP(AJ$4,$DE$6:$DF$17,2)+1))*$C114</f>
        <v>-397.60694184609918</v>
      </c>
      <c r="AK114" s="1021">
        <f>(VLOOKUP(YEAR($A114),'NY East Load Projections'!$A$4:$EO$14,((MONTH($A114)-1)*12)+VLOOKUP(AK$4,$DE$6:$DF$17,2)+1))*$C114</f>
        <v>-406.310322306383</v>
      </c>
      <c r="AL114" s="1021">
        <f>(VLOOKUP(YEAR($A114),'NY East Load Projections'!$A$4:$EO$14,((MONTH($A114)-1)*12)+VLOOKUP(AL$4,$DE$6:$DF$17,2)+1))*$C114</f>
        <v>-406.310322306383</v>
      </c>
      <c r="AM114" s="1021">
        <f>(VLOOKUP(YEAR($A114),'NY East Load Projections'!$A$4:$EO$14,((MONTH($A114)-1)*12)+VLOOKUP(AM$4,$DE$6:$DF$17,2)+1))*$C114</f>
        <v>-406.310322306383</v>
      </c>
      <c r="AN114" s="1021">
        <f>(VLOOKUP(YEAR($A114),'NY East Load Projections'!$A$4:$EO$14,((MONTH($A114)-1)*12)+VLOOKUP(AN$4,$DE$6:$DF$17,2)+1))*$C114</f>
        <v>-406.310322306383</v>
      </c>
      <c r="AO114" s="1021">
        <f>(VLOOKUP(YEAR($A114),'NY East Load Projections'!$A$4:$EO$14,((MONTH($A114)-1)*12)+VLOOKUP(AO$4,$DE$6:$DF$17,2)+1))*$C114</f>
        <v>-430.67975436105814</v>
      </c>
      <c r="AP114" s="1021">
        <f>(VLOOKUP(YEAR($A114),'NY East Load Projections'!$A$4:$EO$14,((MONTH($A114)-1)*12)+VLOOKUP(AP$4,$DE$6:$DF$17,2)+1))*$C114</f>
        <v>-430.67975436105814</v>
      </c>
      <c r="AQ114" s="1021">
        <f>(VLOOKUP(YEAR($A114),'NY East Load Projections'!$A$4:$EO$14,((MONTH($A114)-1)*12)+VLOOKUP(AQ$4,$DE$6:$DF$17,2)+1))*$C114</f>
        <v>-430.67975436105814</v>
      </c>
      <c r="AR114" s="1021">
        <f>(VLOOKUP(YEAR($A114),'NY East Load Projections'!$A$4:$EO$14,((MONTH($A114)-1)*12)+VLOOKUP(AR$4,$DE$6:$DF$17,2)+1))*$C114</f>
        <v>-430.67975436105814</v>
      </c>
      <c r="AS114" s="1021">
        <f>(VLOOKUP(YEAR($A114),'NY East Load Projections'!$A$4:$EO$14,((MONTH($A114)-1)*12)+VLOOKUP(AS$4,$DE$6:$DF$17,2)+1))*$C114</f>
        <v>-423.0308203063891</v>
      </c>
      <c r="AT114" s="1021">
        <f>(VLOOKUP(YEAR($A114),'NY East Load Projections'!$A$4:$EO$14,((MONTH($A114)-1)*12)+VLOOKUP(AT$4,$DE$6:$DF$17,2)+1))*$C114</f>
        <v>-423.0308203063891</v>
      </c>
      <c r="AU114" s="1021">
        <f>(VLOOKUP(YEAR($A114),'NY East Load Projections'!$A$4:$EO$14,((MONTH($A114)-1)*12)+VLOOKUP(AU$4,$DE$6:$DF$17,2)+1))*$C114</f>
        <v>-423.0308203063891</v>
      </c>
      <c r="AV114" s="1021">
        <f>(VLOOKUP(YEAR($A114),'NY East Load Projections'!$A$4:$EO$14,((MONTH($A114)-1)*12)+VLOOKUP(AV$4,$DE$6:$DF$17,2)+1))*$C114</f>
        <v>-423.0308203063891</v>
      </c>
      <c r="AW114" s="1021">
        <f>(VLOOKUP(YEAR($A114),'NY East Load Projections'!$A$4:$EO$14,((MONTH($A114)-1)*12)+VLOOKUP(AW$4,$DE$6:$DF$17,2)+1))*$C114</f>
        <v>-408.37029593672594</v>
      </c>
      <c r="AX114" s="1021">
        <f>(VLOOKUP(YEAR($A114),'NY East Load Projections'!$A$4:$EO$14,((MONTH($A114)-1)*12)+VLOOKUP(AX$4,$DE$6:$DF$17,2)+1))*$C114</f>
        <v>-408.37029593672594</v>
      </c>
      <c r="AY114" s="1021">
        <f>(VLOOKUP(YEAR($A114),'NY East Load Projections'!$A$4:$EO$14,((MONTH($A114)-1)*12)+VLOOKUP(AY$4,$DE$6:$DF$17,2)+1))*$C114</f>
        <v>-408.37029593672594</v>
      </c>
      <c r="AZ114" s="1021">
        <f>(VLOOKUP(YEAR($A114),'NY East Load Projections'!$A$4:$EO$14,((MONTH($A114)-1)*12)+VLOOKUP(AZ$4,$DE$6:$DF$17,2)+1))*$C114</f>
        <v>-408.37029593672594</v>
      </c>
      <c r="BA114" s="1021">
        <f>(VLOOKUP(YEAR($A114),'NY East Load Projections'!$A$4:$EO$14,((MONTH($A114)-1)*12)+VLOOKUP(BA$4,$DE$6:$DF$17,2)+1))*$C114</f>
        <v>-400.4707188125829</v>
      </c>
      <c r="BB114" s="1021">
        <f>(VLOOKUP(YEAR($A114),'NY East Load Projections'!$A$4:$EO$14,((MONTH($A114)-1)*12)+VLOOKUP(BB$4,$DE$6:$DF$17,2)+1))*$C114</f>
        <v>-400.4707188125829</v>
      </c>
      <c r="BC114" s="1021">
        <f>(VLOOKUP(YEAR($A114),'NY East Load Projections'!$A$4:$EO$14,((MONTH($A114)-1)*12)+VLOOKUP(BC$4,$DE$6:$DF$17,2)+1))*$C114</f>
        <v>-400.4707188125829</v>
      </c>
      <c r="BD114" s="1021">
        <f>(VLOOKUP(YEAR($A114),'NY East Load Projections'!$A$4:$EO$14,((MONTH($A114)-1)*12)+VLOOKUP(BD$4,$DE$6:$DF$17,2)+1))*$C114</f>
        <v>-400.4707188125829</v>
      </c>
      <c r="BE114" s="1021"/>
      <c r="BF114" s="1021">
        <f>(VLOOKUP(YEAR($A114),'NY East Load Projections'!$A$4:$EO$14,((MONTH($A114)-1)*12)+VLOOKUP(BF$4,$DE$6:$DF$17,2)+1))*$D114</f>
        <v>-397.60694184609918</v>
      </c>
      <c r="BG114" s="1021">
        <f>(VLOOKUP(YEAR($A114),'NY East Load Projections'!$A$4:$EO$14,((MONTH($A114)-1)*12)+VLOOKUP(BG$4,$DE$6:$DF$17,2)+1))*$D114</f>
        <v>-397.60694184609918</v>
      </c>
      <c r="BH114" s="1021">
        <f>(VLOOKUP(YEAR($A114),'NY East Load Projections'!$A$4:$EO$14,((MONTH($A114)-1)*12)+VLOOKUP(BH$4,$DE$6:$DF$17,2)+1))*$D114</f>
        <v>-397.60694184609918</v>
      </c>
      <c r="BI114" s="1021">
        <f>(VLOOKUP(YEAR($A114),'NY East Load Projections'!$A$4:$EO$14,((MONTH($A114)-1)*12)+VLOOKUP(BI$4,$DE$6:$DF$17,2)+1))*$D114</f>
        <v>-397.60694184609918</v>
      </c>
      <c r="BJ114" s="1021">
        <f>(VLOOKUP(YEAR($A114),'NY East Load Projections'!$A$4:$EO$14,((MONTH($A114)-1)*12)+VLOOKUP(BJ$4,$DE$6:$DF$17,2)+1))*$D114</f>
        <v>-406.310322306383</v>
      </c>
      <c r="BK114" s="1021">
        <f>(VLOOKUP(YEAR($A114),'NY East Load Projections'!$A$4:$EO$14,((MONTH($A114)-1)*12)+VLOOKUP(BK$4,$DE$6:$DF$17,2)+1))*$D114</f>
        <v>-406.310322306383</v>
      </c>
      <c r="BL114" s="1021">
        <f>(VLOOKUP(YEAR($A114),'NY East Load Projections'!$A$4:$EO$14,((MONTH($A114)-1)*12)+VLOOKUP(BL$4,$DE$6:$DF$17,2)+1))*$D114</f>
        <v>-406.310322306383</v>
      </c>
      <c r="BM114" s="1021">
        <f>(VLOOKUP(YEAR($A114),'NY East Load Projections'!$A$4:$EO$14,((MONTH($A114)-1)*12)+VLOOKUP(BM$4,$DE$6:$DF$17,2)+1))*$D114</f>
        <v>-406.310322306383</v>
      </c>
      <c r="BN114" s="1021">
        <f>(VLOOKUP(YEAR($A114),'NY East Load Projections'!$A$4:$EO$14,((MONTH($A114)-1)*12)+VLOOKUP(BN$4,$DE$6:$DF$17,2)+1))*$D114</f>
        <v>-430.67975436105814</v>
      </c>
      <c r="BO114" s="1021">
        <f>(VLOOKUP(YEAR($A114),'NY East Load Projections'!$A$4:$EO$14,((MONTH($A114)-1)*12)+VLOOKUP(BO$4,$DE$6:$DF$17,2)+1))*$D114</f>
        <v>-430.67975436105814</v>
      </c>
      <c r="BP114" s="1021">
        <f>(VLOOKUP(YEAR($A114),'NY East Load Projections'!$A$4:$EO$14,((MONTH($A114)-1)*12)+VLOOKUP(BP$4,$DE$6:$DF$17,2)+1))*$D114</f>
        <v>-430.67975436105814</v>
      </c>
      <c r="BQ114" s="1021">
        <f>(VLOOKUP(YEAR($A114),'NY East Load Projections'!$A$4:$EO$14,((MONTH($A114)-1)*12)+VLOOKUP(BQ$4,$DE$6:$DF$17,2)+1))*$D114</f>
        <v>-430.67975436105814</v>
      </c>
      <c r="BR114" s="1021">
        <f>(VLOOKUP(YEAR($A114),'NY East Load Projections'!$A$4:$EO$14,((MONTH($A114)-1)*12)+VLOOKUP(BR$4,$DE$6:$DF$17,2)+1))*$D114</f>
        <v>-423.0308203063891</v>
      </c>
      <c r="BS114" s="1021">
        <f>(VLOOKUP(YEAR($A114),'NY East Load Projections'!$A$4:$EO$14,((MONTH($A114)-1)*12)+VLOOKUP(BS$4,$DE$6:$DF$17,2)+1))*$D114</f>
        <v>-423.0308203063891</v>
      </c>
      <c r="BT114" s="1021">
        <f>(VLOOKUP(YEAR($A114),'NY East Load Projections'!$A$4:$EO$14,((MONTH($A114)-1)*12)+VLOOKUP(BT$4,$DE$6:$DF$17,2)+1))*$D114</f>
        <v>-423.0308203063891</v>
      </c>
      <c r="BU114" s="1021">
        <f>(VLOOKUP(YEAR($A114),'NY East Load Projections'!$A$4:$EO$14,((MONTH($A114)-1)*12)+VLOOKUP(BU$4,$DE$6:$DF$17,2)+1))*$D114</f>
        <v>-423.0308203063891</v>
      </c>
      <c r="BV114" s="1021">
        <f>(VLOOKUP(YEAR($A114),'NY East Load Projections'!$A$4:$EO$14,((MONTH($A114)-1)*12)+VLOOKUP(BV$4,$DE$6:$DF$17,2)+1))*$D114</f>
        <v>-408.37029593672594</v>
      </c>
      <c r="BW114" s="1021">
        <f>(VLOOKUP(YEAR($A114),'NY East Load Projections'!$A$4:$EO$14,((MONTH($A114)-1)*12)+VLOOKUP(BW$4,$DE$6:$DF$17,2)+1))*$D114</f>
        <v>-408.37029593672594</v>
      </c>
      <c r="BX114" s="1021">
        <f>(VLOOKUP(YEAR($A114),'NY East Load Projections'!$A$4:$EO$14,((MONTH($A114)-1)*12)+VLOOKUP(BX$4,$DE$6:$DF$17,2)+1))*$D114</f>
        <v>-408.37029593672594</v>
      </c>
      <c r="BY114" s="1021">
        <f>(VLOOKUP(YEAR($A114),'NY East Load Projections'!$A$4:$EO$14,((MONTH($A114)-1)*12)+VLOOKUP(BY$4,$DE$6:$DF$17,2)+1))*$D114</f>
        <v>-408.37029593672594</v>
      </c>
      <c r="BZ114" s="1021">
        <f>(VLOOKUP(YEAR($A114),'NY East Load Projections'!$A$4:$EO$14,((MONTH($A114)-1)*12)+VLOOKUP(BZ$4,$DE$6:$DF$17,2)+1))*$D114</f>
        <v>-400.4707188125829</v>
      </c>
      <c r="CA114" s="1021">
        <f>(VLOOKUP(YEAR($A114),'NY East Load Projections'!$A$4:$EO$14,((MONTH($A114)-1)*12)+VLOOKUP(CA$4,$DE$6:$DF$17,2)+1))*$D114</f>
        <v>-400.4707188125829</v>
      </c>
      <c r="CB114" s="1021">
        <f>(VLOOKUP(YEAR($A114),'NY East Load Projections'!$A$4:$EO$14,((MONTH($A114)-1)*12)+VLOOKUP(CB$4,$DE$6:$DF$17,2)+1))*$D114</f>
        <v>-400.4707188125829</v>
      </c>
      <c r="CC114" s="1021">
        <f>(VLOOKUP(YEAR($A114),'NY East Load Projections'!$A$4:$EO$14,((MONTH($A114)-1)*12)+VLOOKUP(CC$4,$DE$6:$DF$17,2)+1))*$D114</f>
        <v>-400.4707188125829</v>
      </c>
      <c r="CE114" s="1021">
        <f>(VLOOKUP(YEAR($A114),'NY East Load Projections'!$A$4:$EO$14,((MONTH($A114)-1)*12)+VLOOKUP(CE$4,$DE$6:$DF$17,2)+1))*$E114</f>
        <v>-79.521388369219835</v>
      </c>
      <c r="CF114" s="1021">
        <f>(VLOOKUP(YEAR($A114),'NY East Load Projections'!$A$4:$EO$14,((MONTH($A114)-1)*12)+VLOOKUP(CF$4,$DE$6:$DF$17,2)+1))*$E114</f>
        <v>-79.521388369219835</v>
      </c>
      <c r="CG114" s="1021">
        <f>(VLOOKUP(YEAR($A114),'NY East Load Projections'!$A$4:$EO$14,((MONTH($A114)-1)*12)+VLOOKUP(CG$4,$DE$6:$DF$17,2)+1))*$E114</f>
        <v>-79.521388369219835</v>
      </c>
      <c r="CH114" s="1021">
        <f>(VLOOKUP(YEAR($A114),'NY East Load Projections'!$A$4:$EO$14,((MONTH($A114)-1)*12)+VLOOKUP(CH$4,$DE$6:$DF$17,2)+1))*$E114</f>
        <v>-79.521388369219835</v>
      </c>
      <c r="CI114" s="1021">
        <f>(VLOOKUP(YEAR($A114),'NY East Load Projections'!$A$4:$EO$14,((MONTH($A114)-1)*12)+VLOOKUP(CI$4,$DE$6:$DF$17,2)+1))*$E114</f>
        <v>-81.262064461276594</v>
      </c>
      <c r="CJ114" s="1021">
        <f>(VLOOKUP(YEAR($A114),'NY East Load Projections'!$A$4:$EO$14,((MONTH($A114)-1)*12)+VLOOKUP(CJ$4,$DE$6:$DF$17,2)+1))*$E114</f>
        <v>-81.262064461276594</v>
      </c>
      <c r="CK114" s="1021">
        <f>(VLOOKUP(YEAR($A114),'NY East Load Projections'!$A$4:$EO$14,((MONTH($A114)-1)*12)+VLOOKUP(CK$4,$DE$6:$DF$17,2)+1))*$E114</f>
        <v>-81.262064461276594</v>
      </c>
      <c r="CL114" s="1021">
        <f>(VLOOKUP(YEAR($A114),'NY East Load Projections'!$A$4:$EO$14,((MONTH($A114)-1)*12)+VLOOKUP(CL$4,$DE$6:$DF$17,2)+1))*$E114</f>
        <v>-81.262064461276594</v>
      </c>
      <c r="CM114" s="1021">
        <f>(VLOOKUP(YEAR($A114),'NY East Load Projections'!$A$4:$EO$14,((MONTH($A114)-1)*12)+VLOOKUP(CM$4,$DE$6:$DF$17,2)+1))*$E114</f>
        <v>-86.135950872211623</v>
      </c>
      <c r="CN114" s="1021">
        <f>(VLOOKUP(YEAR($A114),'NY East Load Projections'!$A$4:$EO$14,((MONTH($A114)-1)*12)+VLOOKUP(CN$4,$DE$6:$DF$17,2)+1))*$E114</f>
        <v>-86.135950872211623</v>
      </c>
      <c r="CO114" s="1021">
        <f>(VLOOKUP(YEAR($A114),'NY East Load Projections'!$A$4:$EO$14,((MONTH($A114)-1)*12)+VLOOKUP(CO$4,$DE$6:$DF$17,2)+1))*$E114</f>
        <v>-86.135950872211623</v>
      </c>
      <c r="CP114" s="1021">
        <f>(VLOOKUP(YEAR($A114),'NY East Load Projections'!$A$4:$EO$14,((MONTH($A114)-1)*12)+VLOOKUP(CP$4,$DE$6:$DF$17,2)+1))*$E114</f>
        <v>-86.135950872211623</v>
      </c>
      <c r="CQ114" s="1021">
        <f>(VLOOKUP(YEAR($A114),'NY East Load Projections'!$A$4:$EO$14,((MONTH($A114)-1)*12)+VLOOKUP(CQ$4,$DE$6:$DF$17,2)+1))*$E114</f>
        <v>-84.606164061277823</v>
      </c>
      <c r="CR114" s="1021">
        <f>(VLOOKUP(YEAR($A114),'NY East Load Projections'!$A$4:$EO$14,((MONTH($A114)-1)*12)+VLOOKUP(CR$4,$DE$6:$DF$17,2)+1))*$E114</f>
        <v>-84.606164061277823</v>
      </c>
      <c r="CS114" s="1021">
        <f>(VLOOKUP(YEAR($A114),'NY East Load Projections'!$A$4:$EO$14,((MONTH($A114)-1)*12)+VLOOKUP(CS$4,$DE$6:$DF$17,2)+1))*$E114</f>
        <v>-84.606164061277823</v>
      </c>
      <c r="CT114" s="1021">
        <f>(VLOOKUP(YEAR($A114),'NY East Load Projections'!$A$4:$EO$14,((MONTH($A114)-1)*12)+VLOOKUP(CT$4,$DE$6:$DF$17,2)+1))*$E114</f>
        <v>-84.606164061277823</v>
      </c>
      <c r="CU114" s="1021">
        <f>(VLOOKUP(YEAR($A114),'NY East Load Projections'!$A$4:$EO$14,((MONTH($A114)-1)*12)+VLOOKUP(CU$4,$DE$6:$DF$17,2)+1))*$E114</f>
        <v>-81.674059187345193</v>
      </c>
      <c r="CV114" s="1021">
        <f>(VLOOKUP(YEAR($A114),'NY East Load Projections'!$A$4:$EO$14,((MONTH($A114)-1)*12)+VLOOKUP(CV$4,$DE$6:$DF$17,2)+1))*$E114</f>
        <v>-81.674059187345193</v>
      </c>
      <c r="CW114" s="1021">
        <f>(VLOOKUP(YEAR($A114),'NY East Load Projections'!$A$4:$EO$14,((MONTH($A114)-1)*12)+VLOOKUP(CW$4,$DE$6:$DF$17,2)+1))*$E114</f>
        <v>-81.674059187345193</v>
      </c>
      <c r="CX114" s="1021">
        <f>(VLOOKUP(YEAR($A114),'NY East Load Projections'!$A$4:$EO$14,((MONTH($A114)-1)*12)+VLOOKUP(CX$4,$DE$6:$DF$17,2)+1))*$E114</f>
        <v>-81.674059187345193</v>
      </c>
      <c r="CY114" s="1021">
        <f>(VLOOKUP(YEAR($A114),'NY East Load Projections'!$A$4:$EO$14,((MONTH($A114)-1)*12)+VLOOKUP(CY$4,$DE$6:$DF$17,2)+1))*$E114</f>
        <v>-80.09414376251658</v>
      </c>
      <c r="CZ114" s="1021">
        <f>(VLOOKUP(YEAR($A114),'NY East Load Projections'!$A$4:$EO$14,((MONTH($A114)-1)*12)+VLOOKUP(CZ$4,$DE$6:$DF$17,2)+1))*$E114</f>
        <v>-80.09414376251658</v>
      </c>
      <c r="DA114" s="1021">
        <f>(VLOOKUP(YEAR($A114),'NY East Load Projections'!$A$4:$EO$14,((MONTH($A114)-1)*12)+VLOOKUP(DA$4,$DE$6:$DF$17,2)+1))*$E114</f>
        <v>-80.09414376251658</v>
      </c>
      <c r="DB114" s="1021">
        <f>(VLOOKUP(YEAR($A114),'NY East Load Projections'!$A$4:$EO$14,((MONTH($A114)-1)*12)+VLOOKUP(DB$4,$DE$6:$DF$17,2)+1))*$E114</f>
        <v>-80.09414376251658</v>
      </c>
      <c r="DH114" s="1009">
        <f t="shared" si="5"/>
        <v>-61175.404125733839</v>
      </c>
      <c r="DI114">
        <f ca="1">CALC!J134</f>
        <v>0.48373001478463451</v>
      </c>
      <c r="DJ114" s="1032">
        <f t="shared" ca="1" si="4"/>
        <v>-29592.37914219722</v>
      </c>
    </row>
    <row r="115" spans="1:114" x14ac:dyDescent="0.25">
      <c r="A115" s="244">
        <v>40210</v>
      </c>
      <c r="B115" s="13">
        <v>20</v>
      </c>
      <c r="C115" s="210">
        <v>4</v>
      </c>
      <c r="D115" s="210">
        <v>4</v>
      </c>
      <c r="E115" s="210">
        <v>0</v>
      </c>
      <c r="F115" s="13">
        <v>28</v>
      </c>
      <c r="H115" s="1021">
        <f>(VLOOKUP(YEAR($A115),'NY East Load Projections'!$A$4:$EO$14,((MONTH($A115)-1)*12)+VLOOKUP(H$4,$DE$6:$DF$17,2)+1))*$B115</f>
        <v>-1439.3751178820271</v>
      </c>
      <c r="I115" s="1021">
        <f>(VLOOKUP(YEAR($A115),'NY East Load Projections'!$A$4:$EO$14,((MONTH($A115)-1)*12)+VLOOKUP(I$4,$DE$6:$DF$17,2)+1))*$B115</f>
        <v>-1439.3751178820271</v>
      </c>
      <c r="J115" s="1021">
        <f>(VLOOKUP(YEAR($A115),'NY East Load Projections'!$A$4:$EO$14,((MONTH($A115)-1)*12)+VLOOKUP(J$4,$DE$6:$DF$17,2)+1))*$B115</f>
        <v>-1439.3751178820271</v>
      </c>
      <c r="K115" s="1021">
        <f>(VLOOKUP(YEAR($A115),'NY East Load Projections'!$A$4:$EO$14,((MONTH($A115)-1)*12)+VLOOKUP(K$4,$DE$6:$DF$17,2)+1))*$B115</f>
        <v>-1439.3751178820271</v>
      </c>
      <c r="L115" s="1021">
        <f>(VLOOKUP(YEAR($A115),'NY East Load Projections'!$A$4:$EO$14,((MONTH($A115)-1)*12)+VLOOKUP(L$4,$DE$6:$DF$17,2)+1))*$B115</f>
        <v>-1520.4637978242681</v>
      </c>
      <c r="M115" s="1021">
        <f>(VLOOKUP(YEAR($A115),'NY East Load Projections'!$A$4:$EO$14,((MONTH($A115)-1)*12)+VLOOKUP(M$4,$DE$6:$DF$17,2)+1))*$B115</f>
        <v>-1520.4637978242681</v>
      </c>
      <c r="N115" s="1021">
        <f>(VLOOKUP(YEAR($A115),'NY East Load Projections'!$A$4:$EO$14,((MONTH($A115)-1)*12)+VLOOKUP(N$4,$DE$6:$DF$17,2)+1))*$B115</f>
        <v>-1520.4637978242681</v>
      </c>
      <c r="O115" s="1021">
        <f>(VLOOKUP(YEAR($A115),'NY East Load Projections'!$A$4:$EO$14,((MONTH($A115)-1)*12)+VLOOKUP(O$4,$DE$6:$DF$17,2)+1))*$B115</f>
        <v>-1520.4637978242681</v>
      </c>
      <c r="P115" s="1021">
        <f>(VLOOKUP(YEAR($A115),'NY East Load Projections'!$A$4:$EO$14,((MONTH($A115)-1)*12)+VLOOKUP(P$4,$DE$6:$DF$17,2)+1))*$B115</f>
        <v>-1578.0583449690785</v>
      </c>
      <c r="Q115" s="1021">
        <f>(VLOOKUP(YEAR($A115),'NY East Load Projections'!$A$4:$EO$14,((MONTH($A115)-1)*12)+VLOOKUP(Q$4,$DE$6:$DF$17,2)+1))*$B115</f>
        <v>-1578.0583449690785</v>
      </c>
      <c r="R115" s="1021">
        <f>(VLOOKUP(YEAR($A115),'NY East Load Projections'!$A$4:$EO$14,((MONTH($A115)-1)*12)+VLOOKUP(R$4,$DE$6:$DF$17,2)+1))*$B115</f>
        <v>-1578.0583449690785</v>
      </c>
      <c r="S115" s="1021">
        <f>(VLOOKUP(YEAR($A115),'NY East Load Projections'!$A$4:$EO$14,((MONTH($A115)-1)*12)+VLOOKUP(S$4,$DE$6:$DF$17,2)+1))*$B115</f>
        <v>-1578.0583449690785</v>
      </c>
      <c r="T115" s="1021">
        <f>(VLOOKUP(YEAR($A115),'NY East Load Projections'!$A$4:$EO$14,((MONTH($A115)-1)*12)+VLOOKUP(T$4,$DE$6:$DF$17,2)+1))*$B115</f>
        <v>-1566.9791018459796</v>
      </c>
      <c r="U115" s="1021">
        <f>(VLOOKUP(YEAR($A115),'NY East Load Projections'!$A$4:$EO$14,((MONTH($A115)-1)*12)+VLOOKUP(U$4,$DE$6:$DF$17,2)+1))*$B115</f>
        <v>-1566.9791018459796</v>
      </c>
      <c r="V115" s="1021">
        <f>(VLOOKUP(YEAR($A115),'NY East Load Projections'!$A$4:$EO$14,((MONTH($A115)-1)*12)+VLOOKUP(V$4,$DE$6:$DF$17,2)+1))*$B115</f>
        <v>-1566.9791018459796</v>
      </c>
      <c r="W115" s="1021">
        <f>(VLOOKUP(YEAR($A115),'NY East Load Projections'!$A$4:$EO$14,((MONTH($A115)-1)*12)+VLOOKUP(W$4,$DE$6:$DF$17,2)+1))*$B115</f>
        <v>-1566.9791018459796</v>
      </c>
      <c r="X115" s="1021">
        <f>(VLOOKUP(YEAR($A115),'NY East Load Projections'!$A$4:$EO$14,((MONTH($A115)-1)*12)+VLOOKUP(X$4,$DE$6:$DF$17,2)+1))*$B115</f>
        <v>-1508.1568236859587</v>
      </c>
      <c r="Y115" s="1021">
        <f>(VLOOKUP(YEAR($A115),'NY East Load Projections'!$A$4:$EO$14,((MONTH($A115)-1)*12)+VLOOKUP(Y$4,$DE$6:$DF$17,2)+1))*$B115</f>
        <v>-1508.1568236859587</v>
      </c>
      <c r="Z115" s="1021">
        <f>(VLOOKUP(YEAR($A115),'NY East Load Projections'!$A$4:$EO$14,((MONTH($A115)-1)*12)+VLOOKUP(Z$4,$DE$6:$DF$17,2)+1))*$B115</f>
        <v>-1508.1568236859587</v>
      </c>
      <c r="AA115" s="1021">
        <f>(VLOOKUP(YEAR($A115),'NY East Load Projections'!$A$4:$EO$14,((MONTH($A115)-1)*12)+VLOOKUP(AA$4,$DE$6:$DF$17,2)+1))*$B115</f>
        <v>-1508.1568236859587</v>
      </c>
      <c r="AB115" s="1021">
        <f>(VLOOKUP(YEAR($A115),'NY East Load Projections'!$A$4:$EO$14,((MONTH($A115)-1)*12)+VLOOKUP(AB$4,$DE$6:$DF$17,2)+1))*$B115</f>
        <v>-1451.0241141194542</v>
      </c>
      <c r="AC115" s="1021">
        <f>(VLOOKUP(YEAR($A115),'NY East Load Projections'!$A$4:$EO$14,((MONTH($A115)-1)*12)+VLOOKUP(AC$4,$DE$6:$DF$17,2)+1))*$B115</f>
        <v>-1451.0241141194542</v>
      </c>
      <c r="AD115" s="1021">
        <f>(VLOOKUP(YEAR($A115),'NY East Load Projections'!$A$4:$EO$14,((MONTH($A115)-1)*12)+VLOOKUP(AD$4,$DE$6:$DF$17,2)+1))*$B115</f>
        <v>-1451.0241141194542</v>
      </c>
      <c r="AE115" s="1021">
        <f>(VLOOKUP(YEAR($A115),'NY East Load Projections'!$A$4:$EO$14,((MONTH($A115)-1)*12)+VLOOKUP(AE$4,$DE$6:$DF$17,2)+1))*$B115</f>
        <v>-1451.0241141194542</v>
      </c>
      <c r="AF115" s="1021"/>
      <c r="AG115" s="1021">
        <f>(VLOOKUP(YEAR($A115),'NY East Load Projections'!$A$4:$EO$14,((MONTH($A115)-1)*12)+VLOOKUP(AG$4,$DE$6:$DF$17,2)+1))*$C115</f>
        <v>-282.99954286459626</v>
      </c>
      <c r="AH115" s="1021">
        <f>(VLOOKUP(YEAR($A115),'NY East Load Projections'!$A$4:$EO$14,((MONTH($A115)-1)*12)+VLOOKUP(AH$4,$DE$6:$DF$17,2)+1))*$C115</f>
        <v>-282.99954286459626</v>
      </c>
      <c r="AI115" s="1021">
        <f>(VLOOKUP(YEAR($A115),'NY East Load Projections'!$A$4:$EO$14,((MONTH($A115)-1)*12)+VLOOKUP(AI$4,$DE$6:$DF$17,2)+1))*$C115</f>
        <v>-282.99954286459626</v>
      </c>
      <c r="AJ115" s="1021">
        <f>(VLOOKUP(YEAR($A115),'NY East Load Projections'!$A$4:$EO$14,((MONTH($A115)-1)*12)+VLOOKUP(AJ$4,$DE$6:$DF$17,2)+1))*$C115</f>
        <v>-282.99954286459626</v>
      </c>
      <c r="AK115" s="1021">
        <f>(VLOOKUP(YEAR($A115),'NY East Load Projections'!$A$4:$EO$14,((MONTH($A115)-1)*12)+VLOOKUP(AK$4,$DE$6:$DF$17,2)+1))*$C115</f>
        <v>-287.8714690125413</v>
      </c>
      <c r="AL115" s="1021">
        <f>(VLOOKUP(YEAR($A115),'NY East Load Projections'!$A$4:$EO$14,((MONTH($A115)-1)*12)+VLOOKUP(AL$4,$DE$6:$DF$17,2)+1))*$C115</f>
        <v>-287.8714690125413</v>
      </c>
      <c r="AM115" s="1021">
        <f>(VLOOKUP(YEAR($A115),'NY East Load Projections'!$A$4:$EO$14,((MONTH($A115)-1)*12)+VLOOKUP(AM$4,$DE$6:$DF$17,2)+1))*$C115</f>
        <v>-287.8714690125413</v>
      </c>
      <c r="AN115" s="1021">
        <f>(VLOOKUP(YEAR($A115),'NY East Load Projections'!$A$4:$EO$14,((MONTH($A115)-1)*12)+VLOOKUP(AN$4,$DE$6:$DF$17,2)+1))*$C115</f>
        <v>-287.8714690125413</v>
      </c>
      <c r="AO115" s="1021">
        <f>(VLOOKUP(YEAR($A115),'NY East Load Projections'!$A$4:$EO$14,((MONTH($A115)-1)*12)+VLOOKUP(AO$4,$DE$6:$DF$17,2)+1))*$C115</f>
        <v>-299.55549944057105</v>
      </c>
      <c r="AP115" s="1021">
        <f>(VLOOKUP(YEAR($A115),'NY East Load Projections'!$A$4:$EO$14,((MONTH($A115)-1)*12)+VLOOKUP(AP$4,$DE$6:$DF$17,2)+1))*$C115</f>
        <v>-299.55549944057105</v>
      </c>
      <c r="AQ115" s="1021">
        <f>(VLOOKUP(YEAR($A115),'NY East Load Projections'!$A$4:$EO$14,((MONTH($A115)-1)*12)+VLOOKUP(AQ$4,$DE$6:$DF$17,2)+1))*$C115</f>
        <v>-299.55549944057105</v>
      </c>
      <c r="AR115" s="1021">
        <f>(VLOOKUP(YEAR($A115),'NY East Load Projections'!$A$4:$EO$14,((MONTH($A115)-1)*12)+VLOOKUP(AR$4,$DE$6:$DF$17,2)+1))*$C115</f>
        <v>-299.55549944057105</v>
      </c>
      <c r="AS115" s="1021">
        <f>(VLOOKUP(YEAR($A115),'NY East Load Projections'!$A$4:$EO$14,((MONTH($A115)-1)*12)+VLOOKUP(AS$4,$DE$6:$DF$17,2)+1))*$C115</f>
        <v>-297.66531535414555</v>
      </c>
      <c r="AT115" s="1021">
        <f>(VLOOKUP(YEAR($A115),'NY East Load Projections'!$A$4:$EO$14,((MONTH($A115)-1)*12)+VLOOKUP(AT$4,$DE$6:$DF$17,2)+1))*$C115</f>
        <v>-297.66531535414555</v>
      </c>
      <c r="AU115" s="1021">
        <f>(VLOOKUP(YEAR($A115),'NY East Load Projections'!$A$4:$EO$14,((MONTH($A115)-1)*12)+VLOOKUP(AU$4,$DE$6:$DF$17,2)+1))*$C115</f>
        <v>-297.66531535414555</v>
      </c>
      <c r="AV115" s="1021">
        <f>(VLOOKUP(YEAR($A115),'NY East Load Projections'!$A$4:$EO$14,((MONTH($A115)-1)*12)+VLOOKUP(AV$4,$DE$6:$DF$17,2)+1))*$C115</f>
        <v>-297.66531535414555</v>
      </c>
      <c r="AW115" s="1021">
        <f>(VLOOKUP(YEAR($A115),'NY East Load Projections'!$A$4:$EO$14,((MONTH($A115)-1)*12)+VLOOKUP(AW$4,$DE$6:$DF$17,2)+1))*$C115</f>
        <v>-291.38268765539669</v>
      </c>
      <c r="AX115" s="1021">
        <f>(VLOOKUP(YEAR($A115),'NY East Load Projections'!$A$4:$EO$14,((MONTH($A115)-1)*12)+VLOOKUP(AX$4,$DE$6:$DF$17,2)+1))*$C115</f>
        <v>-291.38268765539669</v>
      </c>
      <c r="AY115" s="1021">
        <f>(VLOOKUP(YEAR($A115),'NY East Load Projections'!$A$4:$EO$14,((MONTH($A115)-1)*12)+VLOOKUP(AY$4,$DE$6:$DF$17,2)+1))*$C115</f>
        <v>-291.38268765539669</v>
      </c>
      <c r="AZ115" s="1021">
        <f>(VLOOKUP(YEAR($A115),'NY East Load Projections'!$A$4:$EO$14,((MONTH($A115)-1)*12)+VLOOKUP(AZ$4,$DE$6:$DF$17,2)+1))*$C115</f>
        <v>-291.38268765539669</v>
      </c>
      <c r="BA115" s="1021">
        <f>(VLOOKUP(YEAR($A115),'NY East Load Projections'!$A$4:$EO$14,((MONTH($A115)-1)*12)+VLOOKUP(BA$4,$DE$6:$DF$17,2)+1))*$C115</f>
        <v>-285.38084492950793</v>
      </c>
      <c r="BB115" s="1021">
        <f>(VLOOKUP(YEAR($A115),'NY East Load Projections'!$A$4:$EO$14,((MONTH($A115)-1)*12)+VLOOKUP(BB$4,$DE$6:$DF$17,2)+1))*$C115</f>
        <v>-285.38084492950793</v>
      </c>
      <c r="BC115" s="1021">
        <f>(VLOOKUP(YEAR($A115),'NY East Load Projections'!$A$4:$EO$14,((MONTH($A115)-1)*12)+VLOOKUP(BC$4,$DE$6:$DF$17,2)+1))*$C115</f>
        <v>-285.38084492950793</v>
      </c>
      <c r="BD115" s="1021">
        <f>(VLOOKUP(YEAR($A115),'NY East Load Projections'!$A$4:$EO$14,((MONTH($A115)-1)*12)+VLOOKUP(BD$4,$DE$6:$DF$17,2)+1))*$C115</f>
        <v>-285.38084492950793</v>
      </c>
      <c r="BE115" s="1021"/>
      <c r="BF115" s="1021">
        <f>(VLOOKUP(YEAR($A115),'NY East Load Projections'!$A$4:$EO$14,((MONTH($A115)-1)*12)+VLOOKUP(BF$4,$DE$6:$DF$17,2)+1))*$D115</f>
        <v>-282.99954286459626</v>
      </c>
      <c r="BG115" s="1021">
        <f>(VLOOKUP(YEAR($A115),'NY East Load Projections'!$A$4:$EO$14,((MONTH($A115)-1)*12)+VLOOKUP(BG$4,$DE$6:$DF$17,2)+1))*$D115</f>
        <v>-282.99954286459626</v>
      </c>
      <c r="BH115" s="1021">
        <f>(VLOOKUP(YEAR($A115),'NY East Load Projections'!$A$4:$EO$14,((MONTH($A115)-1)*12)+VLOOKUP(BH$4,$DE$6:$DF$17,2)+1))*$D115</f>
        <v>-282.99954286459626</v>
      </c>
      <c r="BI115" s="1021">
        <f>(VLOOKUP(YEAR($A115),'NY East Load Projections'!$A$4:$EO$14,((MONTH($A115)-1)*12)+VLOOKUP(BI$4,$DE$6:$DF$17,2)+1))*$D115</f>
        <v>-282.99954286459626</v>
      </c>
      <c r="BJ115" s="1021">
        <f>(VLOOKUP(YEAR($A115),'NY East Load Projections'!$A$4:$EO$14,((MONTH($A115)-1)*12)+VLOOKUP(BJ$4,$DE$6:$DF$17,2)+1))*$D115</f>
        <v>-287.8714690125413</v>
      </c>
      <c r="BK115" s="1021">
        <f>(VLOOKUP(YEAR($A115),'NY East Load Projections'!$A$4:$EO$14,((MONTH($A115)-1)*12)+VLOOKUP(BK$4,$DE$6:$DF$17,2)+1))*$D115</f>
        <v>-287.8714690125413</v>
      </c>
      <c r="BL115" s="1021">
        <f>(VLOOKUP(YEAR($A115),'NY East Load Projections'!$A$4:$EO$14,((MONTH($A115)-1)*12)+VLOOKUP(BL$4,$DE$6:$DF$17,2)+1))*$D115</f>
        <v>-287.8714690125413</v>
      </c>
      <c r="BM115" s="1021">
        <f>(VLOOKUP(YEAR($A115),'NY East Load Projections'!$A$4:$EO$14,((MONTH($A115)-1)*12)+VLOOKUP(BM$4,$DE$6:$DF$17,2)+1))*$D115</f>
        <v>-287.8714690125413</v>
      </c>
      <c r="BN115" s="1021">
        <f>(VLOOKUP(YEAR($A115),'NY East Load Projections'!$A$4:$EO$14,((MONTH($A115)-1)*12)+VLOOKUP(BN$4,$DE$6:$DF$17,2)+1))*$D115</f>
        <v>-299.55549944057105</v>
      </c>
      <c r="BO115" s="1021">
        <f>(VLOOKUP(YEAR($A115),'NY East Load Projections'!$A$4:$EO$14,((MONTH($A115)-1)*12)+VLOOKUP(BO$4,$DE$6:$DF$17,2)+1))*$D115</f>
        <v>-299.55549944057105</v>
      </c>
      <c r="BP115" s="1021">
        <f>(VLOOKUP(YEAR($A115),'NY East Load Projections'!$A$4:$EO$14,((MONTH($A115)-1)*12)+VLOOKUP(BP$4,$DE$6:$DF$17,2)+1))*$D115</f>
        <v>-299.55549944057105</v>
      </c>
      <c r="BQ115" s="1021">
        <f>(VLOOKUP(YEAR($A115),'NY East Load Projections'!$A$4:$EO$14,((MONTH($A115)-1)*12)+VLOOKUP(BQ$4,$DE$6:$DF$17,2)+1))*$D115</f>
        <v>-299.55549944057105</v>
      </c>
      <c r="BR115" s="1021">
        <f>(VLOOKUP(YEAR($A115),'NY East Load Projections'!$A$4:$EO$14,((MONTH($A115)-1)*12)+VLOOKUP(BR$4,$DE$6:$DF$17,2)+1))*$D115</f>
        <v>-297.66531535414555</v>
      </c>
      <c r="BS115" s="1021">
        <f>(VLOOKUP(YEAR($A115),'NY East Load Projections'!$A$4:$EO$14,((MONTH($A115)-1)*12)+VLOOKUP(BS$4,$DE$6:$DF$17,2)+1))*$D115</f>
        <v>-297.66531535414555</v>
      </c>
      <c r="BT115" s="1021">
        <f>(VLOOKUP(YEAR($A115),'NY East Load Projections'!$A$4:$EO$14,((MONTH($A115)-1)*12)+VLOOKUP(BT$4,$DE$6:$DF$17,2)+1))*$D115</f>
        <v>-297.66531535414555</v>
      </c>
      <c r="BU115" s="1021">
        <f>(VLOOKUP(YEAR($A115),'NY East Load Projections'!$A$4:$EO$14,((MONTH($A115)-1)*12)+VLOOKUP(BU$4,$DE$6:$DF$17,2)+1))*$D115</f>
        <v>-297.66531535414555</v>
      </c>
      <c r="BV115" s="1021">
        <f>(VLOOKUP(YEAR($A115),'NY East Load Projections'!$A$4:$EO$14,((MONTH($A115)-1)*12)+VLOOKUP(BV$4,$DE$6:$DF$17,2)+1))*$D115</f>
        <v>-291.38268765539669</v>
      </c>
      <c r="BW115" s="1021">
        <f>(VLOOKUP(YEAR($A115),'NY East Load Projections'!$A$4:$EO$14,((MONTH($A115)-1)*12)+VLOOKUP(BW$4,$DE$6:$DF$17,2)+1))*$D115</f>
        <v>-291.38268765539669</v>
      </c>
      <c r="BX115" s="1021">
        <f>(VLOOKUP(YEAR($A115),'NY East Load Projections'!$A$4:$EO$14,((MONTH($A115)-1)*12)+VLOOKUP(BX$4,$DE$6:$DF$17,2)+1))*$D115</f>
        <v>-291.38268765539669</v>
      </c>
      <c r="BY115" s="1021">
        <f>(VLOOKUP(YEAR($A115),'NY East Load Projections'!$A$4:$EO$14,((MONTH($A115)-1)*12)+VLOOKUP(BY$4,$DE$6:$DF$17,2)+1))*$D115</f>
        <v>-291.38268765539669</v>
      </c>
      <c r="BZ115" s="1021">
        <f>(VLOOKUP(YEAR($A115),'NY East Load Projections'!$A$4:$EO$14,((MONTH($A115)-1)*12)+VLOOKUP(BZ$4,$DE$6:$DF$17,2)+1))*$D115</f>
        <v>-285.38084492950793</v>
      </c>
      <c r="CA115" s="1021">
        <f>(VLOOKUP(YEAR($A115),'NY East Load Projections'!$A$4:$EO$14,((MONTH($A115)-1)*12)+VLOOKUP(CA$4,$DE$6:$DF$17,2)+1))*$D115</f>
        <v>-285.38084492950793</v>
      </c>
      <c r="CB115" s="1021">
        <f>(VLOOKUP(YEAR($A115),'NY East Load Projections'!$A$4:$EO$14,((MONTH($A115)-1)*12)+VLOOKUP(CB$4,$DE$6:$DF$17,2)+1))*$D115</f>
        <v>-285.38084492950793</v>
      </c>
      <c r="CC115" s="1021">
        <f>(VLOOKUP(YEAR($A115),'NY East Load Projections'!$A$4:$EO$14,((MONTH($A115)-1)*12)+VLOOKUP(CC$4,$DE$6:$DF$17,2)+1))*$D115</f>
        <v>-285.38084492950793</v>
      </c>
      <c r="CE115" s="1021">
        <f>(VLOOKUP(YEAR($A115),'NY East Load Projections'!$A$4:$EO$14,((MONTH($A115)-1)*12)+VLOOKUP(CE$4,$DE$6:$DF$17,2)+1))*$E115</f>
        <v>0</v>
      </c>
      <c r="CF115" s="1021">
        <f>(VLOOKUP(YEAR($A115),'NY East Load Projections'!$A$4:$EO$14,((MONTH($A115)-1)*12)+VLOOKUP(CF$4,$DE$6:$DF$17,2)+1))*$E115</f>
        <v>0</v>
      </c>
      <c r="CG115" s="1021">
        <f>(VLOOKUP(YEAR($A115),'NY East Load Projections'!$A$4:$EO$14,((MONTH($A115)-1)*12)+VLOOKUP(CG$4,$DE$6:$DF$17,2)+1))*$E115</f>
        <v>0</v>
      </c>
      <c r="CH115" s="1021">
        <f>(VLOOKUP(YEAR($A115),'NY East Load Projections'!$A$4:$EO$14,((MONTH($A115)-1)*12)+VLOOKUP(CH$4,$DE$6:$DF$17,2)+1))*$E115</f>
        <v>0</v>
      </c>
      <c r="CI115" s="1021">
        <f>(VLOOKUP(YEAR($A115),'NY East Load Projections'!$A$4:$EO$14,((MONTH($A115)-1)*12)+VLOOKUP(CI$4,$DE$6:$DF$17,2)+1))*$E115</f>
        <v>0</v>
      </c>
      <c r="CJ115" s="1021">
        <f>(VLOOKUP(YEAR($A115),'NY East Load Projections'!$A$4:$EO$14,((MONTH($A115)-1)*12)+VLOOKUP(CJ$4,$DE$6:$DF$17,2)+1))*$E115</f>
        <v>0</v>
      </c>
      <c r="CK115" s="1021">
        <f>(VLOOKUP(YEAR($A115),'NY East Load Projections'!$A$4:$EO$14,((MONTH($A115)-1)*12)+VLOOKUP(CK$4,$DE$6:$DF$17,2)+1))*$E115</f>
        <v>0</v>
      </c>
      <c r="CL115" s="1021">
        <f>(VLOOKUP(YEAR($A115),'NY East Load Projections'!$A$4:$EO$14,((MONTH($A115)-1)*12)+VLOOKUP(CL$4,$DE$6:$DF$17,2)+1))*$E115</f>
        <v>0</v>
      </c>
      <c r="CM115" s="1021">
        <f>(VLOOKUP(YEAR($A115),'NY East Load Projections'!$A$4:$EO$14,((MONTH($A115)-1)*12)+VLOOKUP(CM$4,$DE$6:$DF$17,2)+1))*$E115</f>
        <v>0</v>
      </c>
      <c r="CN115" s="1021">
        <f>(VLOOKUP(YEAR($A115),'NY East Load Projections'!$A$4:$EO$14,((MONTH($A115)-1)*12)+VLOOKUP(CN$4,$DE$6:$DF$17,2)+1))*$E115</f>
        <v>0</v>
      </c>
      <c r="CO115" s="1021">
        <f>(VLOOKUP(YEAR($A115),'NY East Load Projections'!$A$4:$EO$14,((MONTH($A115)-1)*12)+VLOOKUP(CO$4,$DE$6:$DF$17,2)+1))*$E115</f>
        <v>0</v>
      </c>
      <c r="CP115" s="1021">
        <f>(VLOOKUP(YEAR($A115),'NY East Load Projections'!$A$4:$EO$14,((MONTH($A115)-1)*12)+VLOOKUP(CP$4,$DE$6:$DF$17,2)+1))*$E115</f>
        <v>0</v>
      </c>
      <c r="CQ115" s="1021">
        <f>(VLOOKUP(YEAR($A115),'NY East Load Projections'!$A$4:$EO$14,((MONTH($A115)-1)*12)+VLOOKUP(CQ$4,$DE$6:$DF$17,2)+1))*$E115</f>
        <v>0</v>
      </c>
      <c r="CR115" s="1021">
        <f>(VLOOKUP(YEAR($A115),'NY East Load Projections'!$A$4:$EO$14,((MONTH($A115)-1)*12)+VLOOKUP(CR$4,$DE$6:$DF$17,2)+1))*$E115</f>
        <v>0</v>
      </c>
      <c r="CS115" s="1021">
        <f>(VLOOKUP(YEAR($A115),'NY East Load Projections'!$A$4:$EO$14,((MONTH($A115)-1)*12)+VLOOKUP(CS$4,$DE$6:$DF$17,2)+1))*$E115</f>
        <v>0</v>
      </c>
      <c r="CT115" s="1021">
        <f>(VLOOKUP(YEAR($A115),'NY East Load Projections'!$A$4:$EO$14,((MONTH($A115)-1)*12)+VLOOKUP(CT$4,$DE$6:$DF$17,2)+1))*$E115</f>
        <v>0</v>
      </c>
      <c r="CU115" s="1021">
        <f>(VLOOKUP(YEAR($A115),'NY East Load Projections'!$A$4:$EO$14,((MONTH($A115)-1)*12)+VLOOKUP(CU$4,$DE$6:$DF$17,2)+1))*$E115</f>
        <v>0</v>
      </c>
      <c r="CV115" s="1021">
        <f>(VLOOKUP(YEAR($A115),'NY East Load Projections'!$A$4:$EO$14,((MONTH($A115)-1)*12)+VLOOKUP(CV$4,$DE$6:$DF$17,2)+1))*$E115</f>
        <v>0</v>
      </c>
      <c r="CW115" s="1021">
        <f>(VLOOKUP(YEAR($A115),'NY East Load Projections'!$A$4:$EO$14,((MONTH($A115)-1)*12)+VLOOKUP(CW$4,$DE$6:$DF$17,2)+1))*$E115</f>
        <v>0</v>
      </c>
      <c r="CX115" s="1021">
        <f>(VLOOKUP(YEAR($A115),'NY East Load Projections'!$A$4:$EO$14,((MONTH($A115)-1)*12)+VLOOKUP(CX$4,$DE$6:$DF$17,2)+1))*$E115</f>
        <v>0</v>
      </c>
      <c r="CY115" s="1021">
        <f>(VLOOKUP(YEAR($A115),'NY East Load Projections'!$A$4:$EO$14,((MONTH($A115)-1)*12)+VLOOKUP(CY$4,$DE$6:$DF$17,2)+1))*$E115</f>
        <v>0</v>
      </c>
      <c r="CZ115" s="1021">
        <f>(VLOOKUP(YEAR($A115),'NY East Load Projections'!$A$4:$EO$14,((MONTH($A115)-1)*12)+VLOOKUP(CZ$4,$DE$6:$DF$17,2)+1))*$E115</f>
        <v>0</v>
      </c>
      <c r="DA115" s="1021">
        <f>(VLOOKUP(YEAR($A115),'NY East Load Projections'!$A$4:$EO$14,((MONTH($A115)-1)*12)+VLOOKUP(DA$4,$DE$6:$DF$17,2)+1))*$E115</f>
        <v>0</v>
      </c>
      <c r="DB115" s="1021">
        <f>(VLOOKUP(YEAR($A115),'NY East Load Projections'!$A$4:$EO$14,((MONTH($A115)-1)*12)+VLOOKUP(DB$4,$DE$6:$DF$17,2)+1))*$E115</f>
        <v>0</v>
      </c>
      <c r="DH115" s="1009">
        <f t="shared" si="5"/>
        <v>-50215.072075361175</v>
      </c>
      <c r="DI115">
        <f ca="1">CALC!J135</f>
        <v>0.48096549532935601</v>
      </c>
      <c r="DJ115" s="1032">
        <f t="shared" ca="1" si="4"/>
        <v>-24151.7170137254</v>
      </c>
    </row>
    <row r="116" spans="1:114" x14ac:dyDescent="0.25">
      <c r="A116" s="244">
        <v>40238</v>
      </c>
      <c r="B116" s="13">
        <v>23</v>
      </c>
      <c r="C116" s="210">
        <v>4</v>
      </c>
      <c r="D116" s="210">
        <v>4</v>
      </c>
      <c r="E116" s="210">
        <v>0</v>
      </c>
      <c r="F116" s="13">
        <v>31</v>
      </c>
      <c r="H116" s="1021">
        <f>(VLOOKUP(YEAR($A116),'NY East Load Projections'!$A$4:$EO$14,((MONTH($A116)-1)*12)+VLOOKUP(H$4,$DE$6:$DF$17,2)+1))*$B116</f>
        <v>-1578.2296209097178</v>
      </c>
      <c r="I116" s="1021">
        <f>(VLOOKUP(YEAR($A116),'NY East Load Projections'!$A$4:$EO$14,((MONTH($A116)-1)*12)+VLOOKUP(I$4,$DE$6:$DF$17,2)+1))*$B116</f>
        <v>-1578.2296209097178</v>
      </c>
      <c r="J116" s="1021">
        <f>(VLOOKUP(YEAR($A116),'NY East Load Projections'!$A$4:$EO$14,((MONTH($A116)-1)*12)+VLOOKUP(J$4,$DE$6:$DF$17,2)+1))*$B116</f>
        <v>-1578.2296209097178</v>
      </c>
      <c r="K116" s="1021">
        <f>(VLOOKUP(YEAR($A116),'NY East Load Projections'!$A$4:$EO$14,((MONTH($A116)-1)*12)+VLOOKUP(K$4,$DE$6:$DF$17,2)+1))*$B116</f>
        <v>-1578.2296209097178</v>
      </c>
      <c r="L116" s="1021">
        <f>(VLOOKUP(YEAR($A116),'NY East Load Projections'!$A$4:$EO$14,((MONTH($A116)-1)*12)+VLOOKUP(L$4,$DE$6:$DF$17,2)+1))*$B116</f>
        <v>-1637.1674691723574</v>
      </c>
      <c r="M116" s="1021">
        <f>(VLOOKUP(YEAR($A116),'NY East Load Projections'!$A$4:$EO$14,((MONTH($A116)-1)*12)+VLOOKUP(M$4,$DE$6:$DF$17,2)+1))*$B116</f>
        <v>-1637.1674691723574</v>
      </c>
      <c r="N116" s="1021">
        <f>(VLOOKUP(YEAR($A116),'NY East Load Projections'!$A$4:$EO$14,((MONTH($A116)-1)*12)+VLOOKUP(N$4,$DE$6:$DF$17,2)+1))*$B116</f>
        <v>-1637.1674691723574</v>
      </c>
      <c r="O116" s="1021">
        <f>(VLOOKUP(YEAR($A116),'NY East Load Projections'!$A$4:$EO$14,((MONTH($A116)-1)*12)+VLOOKUP(O$4,$DE$6:$DF$17,2)+1))*$B116</f>
        <v>-1637.1674691723574</v>
      </c>
      <c r="P116" s="1021">
        <f>(VLOOKUP(YEAR($A116),'NY East Load Projections'!$A$4:$EO$14,((MONTH($A116)-1)*12)+VLOOKUP(P$4,$DE$6:$DF$17,2)+1))*$B116</f>
        <v>-1725.860492515601</v>
      </c>
      <c r="Q116" s="1021">
        <f>(VLOOKUP(YEAR($A116),'NY East Load Projections'!$A$4:$EO$14,((MONTH($A116)-1)*12)+VLOOKUP(Q$4,$DE$6:$DF$17,2)+1))*$B116</f>
        <v>-1725.860492515601</v>
      </c>
      <c r="R116" s="1021">
        <f>(VLOOKUP(YEAR($A116),'NY East Load Projections'!$A$4:$EO$14,((MONTH($A116)-1)*12)+VLOOKUP(R$4,$DE$6:$DF$17,2)+1))*$B116</f>
        <v>-1725.860492515601</v>
      </c>
      <c r="S116" s="1021">
        <f>(VLOOKUP(YEAR($A116),'NY East Load Projections'!$A$4:$EO$14,((MONTH($A116)-1)*12)+VLOOKUP(S$4,$DE$6:$DF$17,2)+1))*$B116</f>
        <v>-1725.860492515601</v>
      </c>
      <c r="T116" s="1021">
        <f>(VLOOKUP(YEAR($A116),'NY East Load Projections'!$A$4:$EO$14,((MONTH($A116)-1)*12)+VLOOKUP(T$4,$DE$6:$DF$17,2)+1))*$B116</f>
        <v>-1748.8305552073195</v>
      </c>
      <c r="U116" s="1021">
        <f>(VLOOKUP(YEAR($A116),'NY East Load Projections'!$A$4:$EO$14,((MONTH($A116)-1)*12)+VLOOKUP(U$4,$DE$6:$DF$17,2)+1))*$B116</f>
        <v>-1748.8305552073195</v>
      </c>
      <c r="V116" s="1021">
        <f>(VLOOKUP(YEAR($A116),'NY East Load Projections'!$A$4:$EO$14,((MONTH($A116)-1)*12)+VLOOKUP(V$4,$DE$6:$DF$17,2)+1))*$B116</f>
        <v>-1748.8305552073195</v>
      </c>
      <c r="W116" s="1021">
        <f>(VLOOKUP(YEAR($A116),'NY East Load Projections'!$A$4:$EO$14,((MONTH($A116)-1)*12)+VLOOKUP(W$4,$DE$6:$DF$17,2)+1))*$B116</f>
        <v>-1748.8305552073195</v>
      </c>
      <c r="X116" s="1021">
        <f>(VLOOKUP(YEAR($A116),'NY East Load Projections'!$A$4:$EO$14,((MONTH($A116)-1)*12)+VLOOKUP(X$4,$DE$6:$DF$17,2)+1))*$B116</f>
        <v>-1690.3905906182674</v>
      </c>
      <c r="Y116" s="1021">
        <f>(VLOOKUP(YEAR($A116),'NY East Load Projections'!$A$4:$EO$14,((MONTH($A116)-1)*12)+VLOOKUP(Y$4,$DE$6:$DF$17,2)+1))*$B116</f>
        <v>-1690.3905906182674</v>
      </c>
      <c r="Z116" s="1021">
        <f>(VLOOKUP(YEAR($A116),'NY East Load Projections'!$A$4:$EO$14,((MONTH($A116)-1)*12)+VLOOKUP(Z$4,$DE$6:$DF$17,2)+1))*$B116</f>
        <v>-1690.3905906182674</v>
      </c>
      <c r="AA116" s="1021">
        <f>(VLOOKUP(YEAR($A116),'NY East Load Projections'!$A$4:$EO$14,((MONTH($A116)-1)*12)+VLOOKUP(AA$4,$DE$6:$DF$17,2)+1))*$B116</f>
        <v>-1690.3905906182674</v>
      </c>
      <c r="AB116" s="1021">
        <f>(VLOOKUP(YEAR($A116),'NY East Load Projections'!$A$4:$EO$14,((MONTH($A116)-1)*12)+VLOOKUP(AB$4,$DE$6:$DF$17,2)+1))*$B116</f>
        <v>-1631.7934131483046</v>
      </c>
      <c r="AC116" s="1021">
        <f>(VLOOKUP(YEAR($A116),'NY East Load Projections'!$A$4:$EO$14,((MONTH($A116)-1)*12)+VLOOKUP(AC$4,$DE$6:$DF$17,2)+1))*$B116</f>
        <v>-1631.7934131483046</v>
      </c>
      <c r="AD116" s="1021">
        <f>(VLOOKUP(YEAR($A116),'NY East Load Projections'!$A$4:$EO$14,((MONTH($A116)-1)*12)+VLOOKUP(AD$4,$DE$6:$DF$17,2)+1))*$B116</f>
        <v>-1631.7934131483046</v>
      </c>
      <c r="AE116" s="1021">
        <f>(VLOOKUP(YEAR($A116),'NY East Load Projections'!$A$4:$EO$14,((MONTH($A116)-1)*12)+VLOOKUP(AE$4,$DE$6:$DF$17,2)+1))*$B116</f>
        <v>-1631.7934131483046</v>
      </c>
      <c r="AF116" s="1021"/>
      <c r="AG116" s="1021">
        <f>(VLOOKUP(YEAR($A116),'NY East Load Projections'!$A$4:$EO$14,((MONTH($A116)-1)*12)+VLOOKUP(AG$4,$DE$6:$DF$17,2)+1))*$C116</f>
        <v>-281.84342441528446</v>
      </c>
      <c r="AH116" s="1021">
        <f>(VLOOKUP(YEAR($A116),'NY East Load Projections'!$A$4:$EO$14,((MONTH($A116)-1)*12)+VLOOKUP(AH$4,$DE$6:$DF$17,2)+1))*$C116</f>
        <v>-281.84342441528446</v>
      </c>
      <c r="AI116" s="1021">
        <f>(VLOOKUP(YEAR($A116),'NY East Load Projections'!$A$4:$EO$14,((MONTH($A116)-1)*12)+VLOOKUP(AI$4,$DE$6:$DF$17,2)+1))*$C116</f>
        <v>-281.84342441528446</v>
      </c>
      <c r="AJ116" s="1021">
        <f>(VLOOKUP(YEAR($A116),'NY East Load Projections'!$A$4:$EO$14,((MONTH($A116)-1)*12)+VLOOKUP(AJ$4,$DE$6:$DF$17,2)+1))*$C116</f>
        <v>-281.84342441528446</v>
      </c>
      <c r="AK116" s="1021">
        <f>(VLOOKUP(YEAR($A116),'NY East Load Projections'!$A$4:$EO$14,((MONTH($A116)-1)*12)+VLOOKUP(AK$4,$DE$6:$DF$17,2)+1))*$C116</f>
        <v>-285.44304618405124</v>
      </c>
      <c r="AL116" s="1021">
        <f>(VLOOKUP(YEAR($A116),'NY East Load Projections'!$A$4:$EO$14,((MONTH($A116)-1)*12)+VLOOKUP(AL$4,$DE$6:$DF$17,2)+1))*$C116</f>
        <v>-285.44304618405124</v>
      </c>
      <c r="AM116" s="1021">
        <f>(VLOOKUP(YEAR($A116),'NY East Load Projections'!$A$4:$EO$14,((MONTH($A116)-1)*12)+VLOOKUP(AM$4,$DE$6:$DF$17,2)+1))*$C116</f>
        <v>-285.44304618405124</v>
      </c>
      <c r="AN116" s="1021">
        <f>(VLOOKUP(YEAR($A116),'NY East Load Projections'!$A$4:$EO$14,((MONTH($A116)-1)*12)+VLOOKUP(AN$4,$DE$6:$DF$17,2)+1))*$C116</f>
        <v>-285.44304618405124</v>
      </c>
      <c r="AO116" s="1021">
        <f>(VLOOKUP(YEAR($A116),'NY East Load Projections'!$A$4:$EO$14,((MONTH($A116)-1)*12)+VLOOKUP(AO$4,$DE$6:$DF$17,2)+1))*$C116</f>
        <v>-296.01921468441913</v>
      </c>
      <c r="AP116" s="1021">
        <f>(VLOOKUP(YEAR($A116),'NY East Load Projections'!$A$4:$EO$14,((MONTH($A116)-1)*12)+VLOOKUP(AP$4,$DE$6:$DF$17,2)+1))*$C116</f>
        <v>-296.01921468441913</v>
      </c>
      <c r="AQ116" s="1021">
        <f>(VLOOKUP(YEAR($A116),'NY East Load Projections'!$A$4:$EO$14,((MONTH($A116)-1)*12)+VLOOKUP(AQ$4,$DE$6:$DF$17,2)+1))*$C116</f>
        <v>-296.01921468441913</v>
      </c>
      <c r="AR116" s="1021">
        <f>(VLOOKUP(YEAR($A116),'NY East Load Projections'!$A$4:$EO$14,((MONTH($A116)-1)*12)+VLOOKUP(AR$4,$DE$6:$DF$17,2)+1))*$C116</f>
        <v>-296.01921468441913</v>
      </c>
      <c r="AS116" s="1021">
        <f>(VLOOKUP(YEAR($A116),'NY East Load Projections'!$A$4:$EO$14,((MONTH($A116)-1)*12)+VLOOKUP(AS$4,$DE$6:$DF$17,2)+1))*$C116</f>
        <v>-295.76219992759451</v>
      </c>
      <c r="AT116" s="1021">
        <f>(VLOOKUP(YEAR($A116),'NY East Load Projections'!$A$4:$EO$14,((MONTH($A116)-1)*12)+VLOOKUP(AT$4,$DE$6:$DF$17,2)+1))*$C116</f>
        <v>-295.76219992759451</v>
      </c>
      <c r="AU116" s="1021">
        <f>(VLOOKUP(YEAR($A116),'NY East Load Projections'!$A$4:$EO$14,((MONTH($A116)-1)*12)+VLOOKUP(AU$4,$DE$6:$DF$17,2)+1))*$C116</f>
        <v>-295.76219992759451</v>
      </c>
      <c r="AV116" s="1021">
        <f>(VLOOKUP(YEAR($A116),'NY East Load Projections'!$A$4:$EO$14,((MONTH($A116)-1)*12)+VLOOKUP(AV$4,$DE$6:$DF$17,2)+1))*$C116</f>
        <v>-295.76219992759451</v>
      </c>
      <c r="AW116" s="1021">
        <f>(VLOOKUP(YEAR($A116),'NY East Load Projections'!$A$4:$EO$14,((MONTH($A116)-1)*12)+VLOOKUP(AW$4,$DE$6:$DF$17,2)+1))*$C116</f>
        <v>-289.80058970786411</v>
      </c>
      <c r="AX116" s="1021">
        <f>(VLOOKUP(YEAR($A116),'NY East Load Projections'!$A$4:$EO$14,((MONTH($A116)-1)*12)+VLOOKUP(AX$4,$DE$6:$DF$17,2)+1))*$C116</f>
        <v>-289.80058970786411</v>
      </c>
      <c r="AY116" s="1021">
        <f>(VLOOKUP(YEAR($A116),'NY East Load Projections'!$A$4:$EO$14,((MONTH($A116)-1)*12)+VLOOKUP(AY$4,$DE$6:$DF$17,2)+1))*$C116</f>
        <v>-289.80058970786411</v>
      </c>
      <c r="AZ116" s="1021">
        <f>(VLOOKUP(YEAR($A116),'NY East Load Projections'!$A$4:$EO$14,((MONTH($A116)-1)*12)+VLOOKUP(AZ$4,$DE$6:$DF$17,2)+1))*$C116</f>
        <v>-289.80058970786411</v>
      </c>
      <c r="BA116" s="1021">
        <f>(VLOOKUP(YEAR($A116),'NY East Load Projections'!$A$4:$EO$14,((MONTH($A116)-1)*12)+VLOOKUP(BA$4,$DE$6:$DF$17,2)+1))*$C116</f>
        <v>-282.99849524018924</v>
      </c>
      <c r="BB116" s="1021">
        <f>(VLOOKUP(YEAR($A116),'NY East Load Projections'!$A$4:$EO$14,((MONTH($A116)-1)*12)+VLOOKUP(BB$4,$DE$6:$DF$17,2)+1))*$C116</f>
        <v>-282.99849524018924</v>
      </c>
      <c r="BC116" s="1021">
        <f>(VLOOKUP(YEAR($A116),'NY East Load Projections'!$A$4:$EO$14,((MONTH($A116)-1)*12)+VLOOKUP(BC$4,$DE$6:$DF$17,2)+1))*$C116</f>
        <v>-282.99849524018924</v>
      </c>
      <c r="BD116" s="1021">
        <f>(VLOOKUP(YEAR($A116),'NY East Load Projections'!$A$4:$EO$14,((MONTH($A116)-1)*12)+VLOOKUP(BD$4,$DE$6:$DF$17,2)+1))*$C116</f>
        <v>-282.99849524018924</v>
      </c>
      <c r="BE116" s="1021"/>
      <c r="BF116" s="1021">
        <f>(VLOOKUP(YEAR($A116),'NY East Load Projections'!$A$4:$EO$14,((MONTH($A116)-1)*12)+VLOOKUP(BF$4,$DE$6:$DF$17,2)+1))*$D116</f>
        <v>-281.84342441528446</v>
      </c>
      <c r="BG116" s="1021">
        <f>(VLOOKUP(YEAR($A116),'NY East Load Projections'!$A$4:$EO$14,((MONTH($A116)-1)*12)+VLOOKUP(BG$4,$DE$6:$DF$17,2)+1))*$D116</f>
        <v>-281.84342441528446</v>
      </c>
      <c r="BH116" s="1021">
        <f>(VLOOKUP(YEAR($A116),'NY East Load Projections'!$A$4:$EO$14,((MONTH($A116)-1)*12)+VLOOKUP(BH$4,$DE$6:$DF$17,2)+1))*$D116</f>
        <v>-281.84342441528446</v>
      </c>
      <c r="BI116" s="1021">
        <f>(VLOOKUP(YEAR($A116),'NY East Load Projections'!$A$4:$EO$14,((MONTH($A116)-1)*12)+VLOOKUP(BI$4,$DE$6:$DF$17,2)+1))*$D116</f>
        <v>-281.84342441528446</v>
      </c>
      <c r="BJ116" s="1021">
        <f>(VLOOKUP(YEAR($A116),'NY East Load Projections'!$A$4:$EO$14,((MONTH($A116)-1)*12)+VLOOKUP(BJ$4,$DE$6:$DF$17,2)+1))*$D116</f>
        <v>-285.44304618405124</v>
      </c>
      <c r="BK116" s="1021">
        <f>(VLOOKUP(YEAR($A116),'NY East Load Projections'!$A$4:$EO$14,((MONTH($A116)-1)*12)+VLOOKUP(BK$4,$DE$6:$DF$17,2)+1))*$D116</f>
        <v>-285.44304618405124</v>
      </c>
      <c r="BL116" s="1021">
        <f>(VLOOKUP(YEAR($A116),'NY East Load Projections'!$A$4:$EO$14,((MONTH($A116)-1)*12)+VLOOKUP(BL$4,$DE$6:$DF$17,2)+1))*$D116</f>
        <v>-285.44304618405124</v>
      </c>
      <c r="BM116" s="1021">
        <f>(VLOOKUP(YEAR($A116),'NY East Load Projections'!$A$4:$EO$14,((MONTH($A116)-1)*12)+VLOOKUP(BM$4,$DE$6:$DF$17,2)+1))*$D116</f>
        <v>-285.44304618405124</v>
      </c>
      <c r="BN116" s="1021">
        <f>(VLOOKUP(YEAR($A116),'NY East Load Projections'!$A$4:$EO$14,((MONTH($A116)-1)*12)+VLOOKUP(BN$4,$DE$6:$DF$17,2)+1))*$D116</f>
        <v>-296.01921468441913</v>
      </c>
      <c r="BO116" s="1021">
        <f>(VLOOKUP(YEAR($A116),'NY East Load Projections'!$A$4:$EO$14,((MONTH($A116)-1)*12)+VLOOKUP(BO$4,$DE$6:$DF$17,2)+1))*$D116</f>
        <v>-296.01921468441913</v>
      </c>
      <c r="BP116" s="1021">
        <f>(VLOOKUP(YEAR($A116),'NY East Load Projections'!$A$4:$EO$14,((MONTH($A116)-1)*12)+VLOOKUP(BP$4,$DE$6:$DF$17,2)+1))*$D116</f>
        <v>-296.01921468441913</v>
      </c>
      <c r="BQ116" s="1021">
        <f>(VLOOKUP(YEAR($A116),'NY East Load Projections'!$A$4:$EO$14,((MONTH($A116)-1)*12)+VLOOKUP(BQ$4,$DE$6:$DF$17,2)+1))*$D116</f>
        <v>-296.01921468441913</v>
      </c>
      <c r="BR116" s="1021">
        <f>(VLOOKUP(YEAR($A116),'NY East Load Projections'!$A$4:$EO$14,((MONTH($A116)-1)*12)+VLOOKUP(BR$4,$DE$6:$DF$17,2)+1))*$D116</f>
        <v>-295.76219992759451</v>
      </c>
      <c r="BS116" s="1021">
        <f>(VLOOKUP(YEAR($A116),'NY East Load Projections'!$A$4:$EO$14,((MONTH($A116)-1)*12)+VLOOKUP(BS$4,$DE$6:$DF$17,2)+1))*$D116</f>
        <v>-295.76219992759451</v>
      </c>
      <c r="BT116" s="1021">
        <f>(VLOOKUP(YEAR($A116),'NY East Load Projections'!$A$4:$EO$14,((MONTH($A116)-1)*12)+VLOOKUP(BT$4,$DE$6:$DF$17,2)+1))*$D116</f>
        <v>-295.76219992759451</v>
      </c>
      <c r="BU116" s="1021">
        <f>(VLOOKUP(YEAR($A116),'NY East Load Projections'!$A$4:$EO$14,((MONTH($A116)-1)*12)+VLOOKUP(BU$4,$DE$6:$DF$17,2)+1))*$D116</f>
        <v>-295.76219992759451</v>
      </c>
      <c r="BV116" s="1021">
        <f>(VLOOKUP(YEAR($A116),'NY East Load Projections'!$A$4:$EO$14,((MONTH($A116)-1)*12)+VLOOKUP(BV$4,$DE$6:$DF$17,2)+1))*$D116</f>
        <v>-289.80058970786411</v>
      </c>
      <c r="BW116" s="1021">
        <f>(VLOOKUP(YEAR($A116),'NY East Load Projections'!$A$4:$EO$14,((MONTH($A116)-1)*12)+VLOOKUP(BW$4,$DE$6:$DF$17,2)+1))*$D116</f>
        <v>-289.80058970786411</v>
      </c>
      <c r="BX116" s="1021">
        <f>(VLOOKUP(YEAR($A116),'NY East Load Projections'!$A$4:$EO$14,((MONTH($A116)-1)*12)+VLOOKUP(BX$4,$DE$6:$DF$17,2)+1))*$D116</f>
        <v>-289.80058970786411</v>
      </c>
      <c r="BY116" s="1021">
        <f>(VLOOKUP(YEAR($A116),'NY East Load Projections'!$A$4:$EO$14,((MONTH($A116)-1)*12)+VLOOKUP(BY$4,$DE$6:$DF$17,2)+1))*$D116</f>
        <v>-289.80058970786411</v>
      </c>
      <c r="BZ116" s="1021">
        <f>(VLOOKUP(YEAR($A116),'NY East Load Projections'!$A$4:$EO$14,((MONTH($A116)-1)*12)+VLOOKUP(BZ$4,$DE$6:$DF$17,2)+1))*$D116</f>
        <v>-282.99849524018924</v>
      </c>
      <c r="CA116" s="1021">
        <f>(VLOOKUP(YEAR($A116),'NY East Load Projections'!$A$4:$EO$14,((MONTH($A116)-1)*12)+VLOOKUP(CA$4,$DE$6:$DF$17,2)+1))*$D116</f>
        <v>-282.99849524018924</v>
      </c>
      <c r="CB116" s="1021">
        <f>(VLOOKUP(YEAR($A116),'NY East Load Projections'!$A$4:$EO$14,((MONTH($A116)-1)*12)+VLOOKUP(CB$4,$DE$6:$DF$17,2)+1))*$D116</f>
        <v>-282.99849524018924</v>
      </c>
      <c r="CC116" s="1021">
        <f>(VLOOKUP(YEAR($A116),'NY East Load Projections'!$A$4:$EO$14,((MONTH($A116)-1)*12)+VLOOKUP(CC$4,$DE$6:$DF$17,2)+1))*$D116</f>
        <v>-282.99849524018924</v>
      </c>
      <c r="CE116" s="1021">
        <f>(VLOOKUP(YEAR($A116),'NY East Load Projections'!$A$4:$EO$14,((MONTH($A116)-1)*12)+VLOOKUP(CE$4,$DE$6:$DF$17,2)+1))*$E116</f>
        <v>0</v>
      </c>
      <c r="CF116" s="1021">
        <f>(VLOOKUP(YEAR($A116),'NY East Load Projections'!$A$4:$EO$14,((MONTH($A116)-1)*12)+VLOOKUP(CF$4,$DE$6:$DF$17,2)+1))*$E116</f>
        <v>0</v>
      </c>
      <c r="CG116" s="1021">
        <f>(VLOOKUP(YEAR($A116),'NY East Load Projections'!$A$4:$EO$14,((MONTH($A116)-1)*12)+VLOOKUP(CG$4,$DE$6:$DF$17,2)+1))*$E116</f>
        <v>0</v>
      </c>
      <c r="CH116" s="1021">
        <f>(VLOOKUP(YEAR($A116),'NY East Load Projections'!$A$4:$EO$14,((MONTH($A116)-1)*12)+VLOOKUP(CH$4,$DE$6:$DF$17,2)+1))*$E116</f>
        <v>0</v>
      </c>
      <c r="CI116" s="1021">
        <f>(VLOOKUP(YEAR($A116),'NY East Load Projections'!$A$4:$EO$14,((MONTH($A116)-1)*12)+VLOOKUP(CI$4,$DE$6:$DF$17,2)+1))*$E116</f>
        <v>0</v>
      </c>
      <c r="CJ116" s="1021">
        <f>(VLOOKUP(YEAR($A116),'NY East Load Projections'!$A$4:$EO$14,((MONTH($A116)-1)*12)+VLOOKUP(CJ$4,$DE$6:$DF$17,2)+1))*$E116</f>
        <v>0</v>
      </c>
      <c r="CK116" s="1021">
        <f>(VLOOKUP(YEAR($A116),'NY East Load Projections'!$A$4:$EO$14,((MONTH($A116)-1)*12)+VLOOKUP(CK$4,$DE$6:$DF$17,2)+1))*$E116</f>
        <v>0</v>
      </c>
      <c r="CL116" s="1021">
        <f>(VLOOKUP(YEAR($A116),'NY East Load Projections'!$A$4:$EO$14,((MONTH($A116)-1)*12)+VLOOKUP(CL$4,$DE$6:$DF$17,2)+1))*$E116</f>
        <v>0</v>
      </c>
      <c r="CM116" s="1021">
        <f>(VLOOKUP(YEAR($A116),'NY East Load Projections'!$A$4:$EO$14,((MONTH($A116)-1)*12)+VLOOKUP(CM$4,$DE$6:$DF$17,2)+1))*$E116</f>
        <v>0</v>
      </c>
      <c r="CN116" s="1021">
        <f>(VLOOKUP(YEAR($A116),'NY East Load Projections'!$A$4:$EO$14,((MONTH($A116)-1)*12)+VLOOKUP(CN$4,$DE$6:$DF$17,2)+1))*$E116</f>
        <v>0</v>
      </c>
      <c r="CO116" s="1021">
        <f>(VLOOKUP(YEAR($A116),'NY East Load Projections'!$A$4:$EO$14,((MONTH($A116)-1)*12)+VLOOKUP(CO$4,$DE$6:$DF$17,2)+1))*$E116</f>
        <v>0</v>
      </c>
      <c r="CP116" s="1021">
        <f>(VLOOKUP(YEAR($A116),'NY East Load Projections'!$A$4:$EO$14,((MONTH($A116)-1)*12)+VLOOKUP(CP$4,$DE$6:$DF$17,2)+1))*$E116</f>
        <v>0</v>
      </c>
      <c r="CQ116" s="1021">
        <f>(VLOOKUP(YEAR($A116),'NY East Load Projections'!$A$4:$EO$14,((MONTH($A116)-1)*12)+VLOOKUP(CQ$4,$DE$6:$DF$17,2)+1))*$E116</f>
        <v>0</v>
      </c>
      <c r="CR116" s="1021">
        <f>(VLOOKUP(YEAR($A116),'NY East Load Projections'!$A$4:$EO$14,((MONTH($A116)-1)*12)+VLOOKUP(CR$4,$DE$6:$DF$17,2)+1))*$E116</f>
        <v>0</v>
      </c>
      <c r="CS116" s="1021">
        <f>(VLOOKUP(YEAR($A116),'NY East Load Projections'!$A$4:$EO$14,((MONTH($A116)-1)*12)+VLOOKUP(CS$4,$DE$6:$DF$17,2)+1))*$E116</f>
        <v>0</v>
      </c>
      <c r="CT116" s="1021">
        <f>(VLOOKUP(YEAR($A116),'NY East Load Projections'!$A$4:$EO$14,((MONTH($A116)-1)*12)+VLOOKUP(CT$4,$DE$6:$DF$17,2)+1))*$E116</f>
        <v>0</v>
      </c>
      <c r="CU116" s="1021">
        <f>(VLOOKUP(YEAR($A116),'NY East Load Projections'!$A$4:$EO$14,((MONTH($A116)-1)*12)+VLOOKUP(CU$4,$DE$6:$DF$17,2)+1))*$E116</f>
        <v>0</v>
      </c>
      <c r="CV116" s="1021">
        <f>(VLOOKUP(YEAR($A116),'NY East Load Projections'!$A$4:$EO$14,((MONTH($A116)-1)*12)+VLOOKUP(CV$4,$DE$6:$DF$17,2)+1))*$E116</f>
        <v>0</v>
      </c>
      <c r="CW116" s="1021">
        <f>(VLOOKUP(YEAR($A116),'NY East Load Projections'!$A$4:$EO$14,((MONTH($A116)-1)*12)+VLOOKUP(CW$4,$DE$6:$DF$17,2)+1))*$E116</f>
        <v>0</v>
      </c>
      <c r="CX116" s="1021">
        <f>(VLOOKUP(YEAR($A116),'NY East Load Projections'!$A$4:$EO$14,((MONTH($A116)-1)*12)+VLOOKUP(CX$4,$DE$6:$DF$17,2)+1))*$E116</f>
        <v>0</v>
      </c>
      <c r="CY116" s="1021">
        <f>(VLOOKUP(YEAR($A116),'NY East Load Projections'!$A$4:$EO$14,((MONTH($A116)-1)*12)+VLOOKUP(CY$4,$DE$6:$DF$17,2)+1))*$E116</f>
        <v>0</v>
      </c>
      <c r="CZ116" s="1021">
        <f>(VLOOKUP(YEAR($A116),'NY East Load Projections'!$A$4:$EO$14,((MONTH($A116)-1)*12)+VLOOKUP(CZ$4,$DE$6:$DF$17,2)+1))*$E116</f>
        <v>0</v>
      </c>
      <c r="DA116" s="1021">
        <f>(VLOOKUP(YEAR($A116),'NY East Load Projections'!$A$4:$EO$14,((MONTH($A116)-1)*12)+VLOOKUP(DA$4,$DE$6:$DF$17,2)+1))*$E116</f>
        <v>0</v>
      </c>
      <c r="DB116" s="1021">
        <f>(VLOOKUP(YEAR($A116),'NY East Load Projections'!$A$4:$EO$14,((MONTH($A116)-1)*12)+VLOOKUP(DB$4,$DE$6:$DF$17,2)+1))*$E116</f>
        <v>0</v>
      </c>
      <c r="DH116" s="1009">
        <f t="shared" si="5"/>
        <v>-53904.024327561441</v>
      </c>
      <c r="DI116">
        <f ca="1">CALC!J136</f>
        <v>0.47793649822986561</v>
      </c>
      <c r="DJ116" s="1032">
        <f t="shared" ca="1" si="4"/>
        <v>-25762.700627612201</v>
      </c>
    </row>
    <row r="117" spans="1:114" x14ac:dyDescent="0.25">
      <c r="A117" s="244">
        <v>40269</v>
      </c>
      <c r="B117" s="13">
        <v>22</v>
      </c>
      <c r="C117" s="210">
        <v>4</v>
      </c>
      <c r="D117" s="210">
        <v>4</v>
      </c>
      <c r="E117" s="210">
        <v>0</v>
      </c>
      <c r="F117" s="13">
        <v>30</v>
      </c>
      <c r="H117" s="1021">
        <f>(VLOOKUP(YEAR($A117),'NY East Load Projections'!$A$4:$EO$14,((MONTH($A117)-1)*12)+VLOOKUP(H$4,$DE$6:$DF$17,2)+1))*$B117</f>
        <v>-1676.1310560432105</v>
      </c>
      <c r="I117" s="1021">
        <f>(VLOOKUP(YEAR($A117),'NY East Load Projections'!$A$4:$EO$14,((MONTH($A117)-1)*12)+VLOOKUP(I$4,$DE$6:$DF$17,2)+1))*$B117</f>
        <v>-1676.1310560432105</v>
      </c>
      <c r="J117" s="1021">
        <f>(VLOOKUP(YEAR($A117),'NY East Load Projections'!$A$4:$EO$14,((MONTH($A117)-1)*12)+VLOOKUP(J$4,$DE$6:$DF$17,2)+1))*$B117</f>
        <v>-1676.1310560432105</v>
      </c>
      <c r="K117" s="1021">
        <f>(VLOOKUP(YEAR($A117),'NY East Load Projections'!$A$4:$EO$14,((MONTH($A117)-1)*12)+VLOOKUP(K$4,$DE$6:$DF$17,2)+1))*$B117</f>
        <v>-1676.1310560432105</v>
      </c>
      <c r="L117" s="1021">
        <f>(VLOOKUP(YEAR($A117),'NY East Load Projections'!$A$4:$EO$14,((MONTH($A117)-1)*12)+VLOOKUP(L$4,$DE$6:$DF$17,2)+1))*$B117</f>
        <v>-1745.1076160816874</v>
      </c>
      <c r="M117" s="1021">
        <f>(VLOOKUP(YEAR($A117),'NY East Load Projections'!$A$4:$EO$14,((MONTH($A117)-1)*12)+VLOOKUP(M$4,$DE$6:$DF$17,2)+1))*$B117</f>
        <v>-1745.1076160816874</v>
      </c>
      <c r="N117" s="1021">
        <f>(VLOOKUP(YEAR($A117),'NY East Load Projections'!$A$4:$EO$14,((MONTH($A117)-1)*12)+VLOOKUP(N$4,$DE$6:$DF$17,2)+1))*$B117</f>
        <v>-1745.1076160816874</v>
      </c>
      <c r="O117" s="1021">
        <f>(VLOOKUP(YEAR($A117),'NY East Load Projections'!$A$4:$EO$14,((MONTH($A117)-1)*12)+VLOOKUP(O$4,$DE$6:$DF$17,2)+1))*$B117</f>
        <v>-1745.1076160816874</v>
      </c>
      <c r="P117" s="1021">
        <f>(VLOOKUP(YEAR($A117),'NY East Load Projections'!$A$4:$EO$14,((MONTH($A117)-1)*12)+VLOOKUP(P$4,$DE$6:$DF$17,2)+1))*$B117</f>
        <v>-1836.9940074927429</v>
      </c>
      <c r="Q117" s="1021">
        <f>(VLOOKUP(YEAR($A117),'NY East Load Projections'!$A$4:$EO$14,((MONTH($A117)-1)*12)+VLOOKUP(Q$4,$DE$6:$DF$17,2)+1))*$B117</f>
        <v>-1836.9940074927429</v>
      </c>
      <c r="R117" s="1021">
        <f>(VLOOKUP(YEAR($A117),'NY East Load Projections'!$A$4:$EO$14,((MONTH($A117)-1)*12)+VLOOKUP(R$4,$DE$6:$DF$17,2)+1))*$B117</f>
        <v>-1836.9940074927429</v>
      </c>
      <c r="S117" s="1021">
        <f>(VLOOKUP(YEAR($A117),'NY East Load Projections'!$A$4:$EO$14,((MONTH($A117)-1)*12)+VLOOKUP(S$4,$DE$6:$DF$17,2)+1))*$B117</f>
        <v>-1836.9940074927429</v>
      </c>
      <c r="T117" s="1021">
        <f>(VLOOKUP(YEAR($A117),'NY East Load Projections'!$A$4:$EO$14,((MONTH($A117)-1)*12)+VLOOKUP(T$4,$DE$6:$DF$17,2)+1))*$B117</f>
        <v>-1860.4428800176815</v>
      </c>
      <c r="U117" s="1021">
        <f>(VLOOKUP(YEAR($A117),'NY East Load Projections'!$A$4:$EO$14,((MONTH($A117)-1)*12)+VLOOKUP(U$4,$DE$6:$DF$17,2)+1))*$B117</f>
        <v>-1860.4428800176815</v>
      </c>
      <c r="V117" s="1021">
        <f>(VLOOKUP(YEAR($A117),'NY East Load Projections'!$A$4:$EO$14,((MONTH($A117)-1)*12)+VLOOKUP(V$4,$DE$6:$DF$17,2)+1))*$B117</f>
        <v>-1860.4428800176815</v>
      </c>
      <c r="W117" s="1021">
        <f>(VLOOKUP(YEAR($A117),'NY East Load Projections'!$A$4:$EO$14,((MONTH($A117)-1)*12)+VLOOKUP(W$4,$DE$6:$DF$17,2)+1))*$B117</f>
        <v>-1860.4428800176815</v>
      </c>
      <c r="X117" s="1021">
        <f>(VLOOKUP(YEAR($A117),'NY East Load Projections'!$A$4:$EO$14,((MONTH($A117)-1)*12)+VLOOKUP(X$4,$DE$6:$DF$17,2)+1))*$B117</f>
        <v>-1793.2149358278266</v>
      </c>
      <c r="Y117" s="1021">
        <f>(VLOOKUP(YEAR($A117),'NY East Load Projections'!$A$4:$EO$14,((MONTH($A117)-1)*12)+VLOOKUP(Y$4,$DE$6:$DF$17,2)+1))*$B117</f>
        <v>-1793.2149358278266</v>
      </c>
      <c r="Z117" s="1021">
        <f>(VLOOKUP(YEAR($A117),'NY East Load Projections'!$A$4:$EO$14,((MONTH($A117)-1)*12)+VLOOKUP(Z$4,$DE$6:$DF$17,2)+1))*$B117</f>
        <v>-1793.2149358278266</v>
      </c>
      <c r="AA117" s="1021">
        <f>(VLOOKUP(YEAR($A117),'NY East Load Projections'!$A$4:$EO$14,((MONTH($A117)-1)*12)+VLOOKUP(AA$4,$DE$6:$DF$17,2)+1))*$B117</f>
        <v>-1793.2149358278266</v>
      </c>
      <c r="AB117" s="1021">
        <f>(VLOOKUP(YEAR($A117),'NY East Load Projections'!$A$4:$EO$14,((MONTH($A117)-1)*12)+VLOOKUP(AB$4,$DE$6:$DF$17,2)+1))*$B117</f>
        <v>-1711.8450884643612</v>
      </c>
      <c r="AC117" s="1021">
        <f>(VLOOKUP(YEAR($A117),'NY East Load Projections'!$A$4:$EO$14,((MONTH($A117)-1)*12)+VLOOKUP(AC$4,$DE$6:$DF$17,2)+1))*$B117</f>
        <v>-1711.8450884643612</v>
      </c>
      <c r="AD117" s="1021">
        <f>(VLOOKUP(YEAR($A117),'NY East Load Projections'!$A$4:$EO$14,((MONTH($A117)-1)*12)+VLOOKUP(AD$4,$DE$6:$DF$17,2)+1))*$B117</f>
        <v>-1711.8450884643612</v>
      </c>
      <c r="AE117" s="1021">
        <f>(VLOOKUP(YEAR($A117),'NY East Load Projections'!$A$4:$EO$14,((MONTH($A117)-1)*12)+VLOOKUP(AE$4,$DE$6:$DF$17,2)+1))*$B117</f>
        <v>-1711.8450884643612</v>
      </c>
      <c r="AF117" s="1021"/>
      <c r="AG117" s="1021">
        <f>(VLOOKUP(YEAR($A117),'NY East Load Projections'!$A$4:$EO$14,((MONTH($A117)-1)*12)+VLOOKUP(AG$4,$DE$6:$DF$17,2)+1))*$C117</f>
        <v>-297.33778513933106</v>
      </c>
      <c r="AH117" s="1021">
        <f>(VLOOKUP(YEAR($A117),'NY East Load Projections'!$A$4:$EO$14,((MONTH($A117)-1)*12)+VLOOKUP(AH$4,$DE$6:$DF$17,2)+1))*$C117</f>
        <v>-297.33778513933106</v>
      </c>
      <c r="AI117" s="1021">
        <f>(VLOOKUP(YEAR($A117),'NY East Load Projections'!$A$4:$EO$14,((MONTH($A117)-1)*12)+VLOOKUP(AI$4,$DE$6:$DF$17,2)+1))*$C117</f>
        <v>-297.33778513933106</v>
      </c>
      <c r="AJ117" s="1021">
        <f>(VLOOKUP(YEAR($A117),'NY East Load Projections'!$A$4:$EO$14,((MONTH($A117)-1)*12)+VLOOKUP(AJ$4,$DE$6:$DF$17,2)+1))*$C117</f>
        <v>-297.33778513933106</v>
      </c>
      <c r="AK117" s="1021">
        <f>(VLOOKUP(YEAR($A117),'NY East Load Projections'!$A$4:$EO$14,((MONTH($A117)-1)*12)+VLOOKUP(AK$4,$DE$6:$DF$17,2)+1))*$C117</f>
        <v>-301.84790298750073</v>
      </c>
      <c r="AL117" s="1021">
        <f>(VLOOKUP(YEAR($A117),'NY East Load Projections'!$A$4:$EO$14,((MONTH($A117)-1)*12)+VLOOKUP(AL$4,$DE$6:$DF$17,2)+1))*$C117</f>
        <v>-301.84790298750073</v>
      </c>
      <c r="AM117" s="1021">
        <f>(VLOOKUP(YEAR($A117),'NY East Load Projections'!$A$4:$EO$14,((MONTH($A117)-1)*12)+VLOOKUP(AM$4,$DE$6:$DF$17,2)+1))*$C117</f>
        <v>-301.84790298750073</v>
      </c>
      <c r="AN117" s="1021">
        <f>(VLOOKUP(YEAR($A117),'NY East Load Projections'!$A$4:$EO$14,((MONTH($A117)-1)*12)+VLOOKUP(AN$4,$DE$6:$DF$17,2)+1))*$C117</f>
        <v>-301.84790298750073</v>
      </c>
      <c r="AO117" s="1021">
        <f>(VLOOKUP(YEAR($A117),'NY East Load Projections'!$A$4:$EO$14,((MONTH($A117)-1)*12)+VLOOKUP(AO$4,$DE$6:$DF$17,2)+1))*$C117</f>
        <v>-313.84499830104591</v>
      </c>
      <c r="AP117" s="1021">
        <f>(VLOOKUP(YEAR($A117),'NY East Load Projections'!$A$4:$EO$14,((MONTH($A117)-1)*12)+VLOOKUP(AP$4,$DE$6:$DF$17,2)+1))*$C117</f>
        <v>-313.84499830104591</v>
      </c>
      <c r="AQ117" s="1021">
        <f>(VLOOKUP(YEAR($A117),'NY East Load Projections'!$A$4:$EO$14,((MONTH($A117)-1)*12)+VLOOKUP(AQ$4,$DE$6:$DF$17,2)+1))*$C117</f>
        <v>-313.84499830104591</v>
      </c>
      <c r="AR117" s="1021">
        <f>(VLOOKUP(YEAR($A117),'NY East Load Projections'!$A$4:$EO$14,((MONTH($A117)-1)*12)+VLOOKUP(AR$4,$DE$6:$DF$17,2)+1))*$C117</f>
        <v>-313.84499830104591</v>
      </c>
      <c r="AS117" s="1021">
        <f>(VLOOKUP(YEAR($A117),'NY East Load Projections'!$A$4:$EO$14,((MONTH($A117)-1)*12)+VLOOKUP(AS$4,$DE$6:$DF$17,2)+1))*$C117</f>
        <v>-314.13144075733686</v>
      </c>
      <c r="AT117" s="1021">
        <f>(VLOOKUP(YEAR($A117),'NY East Load Projections'!$A$4:$EO$14,((MONTH($A117)-1)*12)+VLOOKUP(AT$4,$DE$6:$DF$17,2)+1))*$C117</f>
        <v>-314.13144075733686</v>
      </c>
      <c r="AU117" s="1021">
        <f>(VLOOKUP(YEAR($A117),'NY East Load Projections'!$A$4:$EO$14,((MONTH($A117)-1)*12)+VLOOKUP(AU$4,$DE$6:$DF$17,2)+1))*$C117</f>
        <v>-314.13144075733686</v>
      </c>
      <c r="AV117" s="1021">
        <f>(VLOOKUP(YEAR($A117),'NY East Load Projections'!$A$4:$EO$14,((MONTH($A117)-1)*12)+VLOOKUP(AV$4,$DE$6:$DF$17,2)+1))*$C117</f>
        <v>-314.13144075733686</v>
      </c>
      <c r="AW117" s="1021">
        <f>(VLOOKUP(YEAR($A117),'NY East Load Projections'!$A$4:$EO$14,((MONTH($A117)-1)*12)+VLOOKUP(AW$4,$DE$6:$DF$17,2)+1))*$C117</f>
        <v>-308.05506215866876</v>
      </c>
      <c r="AX117" s="1021">
        <f>(VLOOKUP(YEAR($A117),'NY East Load Projections'!$A$4:$EO$14,((MONTH($A117)-1)*12)+VLOOKUP(AX$4,$DE$6:$DF$17,2)+1))*$C117</f>
        <v>-308.05506215866876</v>
      </c>
      <c r="AY117" s="1021">
        <f>(VLOOKUP(YEAR($A117),'NY East Load Projections'!$A$4:$EO$14,((MONTH($A117)-1)*12)+VLOOKUP(AY$4,$DE$6:$DF$17,2)+1))*$C117</f>
        <v>-308.05506215866876</v>
      </c>
      <c r="AZ117" s="1021">
        <f>(VLOOKUP(YEAR($A117),'NY East Load Projections'!$A$4:$EO$14,((MONTH($A117)-1)*12)+VLOOKUP(AZ$4,$DE$6:$DF$17,2)+1))*$C117</f>
        <v>-308.05506215866876</v>
      </c>
      <c r="BA117" s="1021">
        <f>(VLOOKUP(YEAR($A117),'NY East Load Projections'!$A$4:$EO$14,((MONTH($A117)-1)*12)+VLOOKUP(BA$4,$DE$6:$DF$17,2)+1))*$C117</f>
        <v>-298.92281202838694</v>
      </c>
      <c r="BB117" s="1021">
        <f>(VLOOKUP(YEAR($A117),'NY East Load Projections'!$A$4:$EO$14,((MONTH($A117)-1)*12)+VLOOKUP(BB$4,$DE$6:$DF$17,2)+1))*$C117</f>
        <v>-298.92281202838694</v>
      </c>
      <c r="BC117" s="1021">
        <f>(VLOOKUP(YEAR($A117),'NY East Load Projections'!$A$4:$EO$14,((MONTH($A117)-1)*12)+VLOOKUP(BC$4,$DE$6:$DF$17,2)+1))*$C117</f>
        <v>-298.92281202838694</v>
      </c>
      <c r="BD117" s="1021">
        <f>(VLOOKUP(YEAR($A117),'NY East Load Projections'!$A$4:$EO$14,((MONTH($A117)-1)*12)+VLOOKUP(BD$4,$DE$6:$DF$17,2)+1))*$C117</f>
        <v>-298.92281202838694</v>
      </c>
      <c r="BE117" s="1021"/>
      <c r="BF117" s="1021">
        <f>(VLOOKUP(YEAR($A117),'NY East Load Projections'!$A$4:$EO$14,((MONTH($A117)-1)*12)+VLOOKUP(BF$4,$DE$6:$DF$17,2)+1))*$D117</f>
        <v>-297.33778513933106</v>
      </c>
      <c r="BG117" s="1021">
        <f>(VLOOKUP(YEAR($A117),'NY East Load Projections'!$A$4:$EO$14,((MONTH($A117)-1)*12)+VLOOKUP(BG$4,$DE$6:$DF$17,2)+1))*$D117</f>
        <v>-297.33778513933106</v>
      </c>
      <c r="BH117" s="1021">
        <f>(VLOOKUP(YEAR($A117),'NY East Load Projections'!$A$4:$EO$14,((MONTH($A117)-1)*12)+VLOOKUP(BH$4,$DE$6:$DF$17,2)+1))*$D117</f>
        <v>-297.33778513933106</v>
      </c>
      <c r="BI117" s="1021">
        <f>(VLOOKUP(YEAR($A117),'NY East Load Projections'!$A$4:$EO$14,((MONTH($A117)-1)*12)+VLOOKUP(BI$4,$DE$6:$DF$17,2)+1))*$D117</f>
        <v>-297.33778513933106</v>
      </c>
      <c r="BJ117" s="1021">
        <f>(VLOOKUP(YEAR($A117),'NY East Load Projections'!$A$4:$EO$14,((MONTH($A117)-1)*12)+VLOOKUP(BJ$4,$DE$6:$DF$17,2)+1))*$D117</f>
        <v>-301.84790298750073</v>
      </c>
      <c r="BK117" s="1021">
        <f>(VLOOKUP(YEAR($A117),'NY East Load Projections'!$A$4:$EO$14,((MONTH($A117)-1)*12)+VLOOKUP(BK$4,$DE$6:$DF$17,2)+1))*$D117</f>
        <v>-301.84790298750073</v>
      </c>
      <c r="BL117" s="1021">
        <f>(VLOOKUP(YEAR($A117),'NY East Load Projections'!$A$4:$EO$14,((MONTH($A117)-1)*12)+VLOOKUP(BL$4,$DE$6:$DF$17,2)+1))*$D117</f>
        <v>-301.84790298750073</v>
      </c>
      <c r="BM117" s="1021">
        <f>(VLOOKUP(YEAR($A117),'NY East Load Projections'!$A$4:$EO$14,((MONTH($A117)-1)*12)+VLOOKUP(BM$4,$DE$6:$DF$17,2)+1))*$D117</f>
        <v>-301.84790298750073</v>
      </c>
      <c r="BN117" s="1021">
        <f>(VLOOKUP(YEAR($A117),'NY East Load Projections'!$A$4:$EO$14,((MONTH($A117)-1)*12)+VLOOKUP(BN$4,$DE$6:$DF$17,2)+1))*$D117</f>
        <v>-313.84499830104591</v>
      </c>
      <c r="BO117" s="1021">
        <f>(VLOOKUP(YEAR($A117),'NY East Load Projections'!$A$4:$EO$14,((MONTH($A117)-1)*12)+VLOOKUP(BO$4,$DE$6:$DF$17,2)+1))*$D117</f>
        <v>-313.84499830104591</v>
      </c>
      <c r="BP117" s="1021">
        <f>(VLOOKUP(YEAR($A117),'NY East Load Projections'!$A$4:$EO$14,((MONTH($A117)-1)*12)+VLOOKUP(BP$4,$DE$6:$DF$17,2)+1))*$D117</f>
        <v>-313.84499830104591</v>
      </c>
      <c r="BQ117" s="1021">
        <f>(VLOOKUP(YEAR($A117),'NY East Load Projections'!$A$4:$EO$14,((MONTH($A117)-1)*12)+VLOOKUP(BQ$4,$DE$6:$DF$17,2)+1))*$D117</f>
        <v>-313.84499830104591</v>
      </c>
      <c r="BR117" s="1021">
        <f>(VLOOKUP(YEAR($A117),'NY East Load Projections'!$A$4:$EO$14,((MONTH($A117)-1)*12)+VLOOKUP(BR$4,$DE$6:$DF$17,2)+1))*$D117</f>
        <v>-314.13144075733686</v>
      </c>
      <c r="BS117" s="1021">
        <f>(VLOOKUP(YEAR($A117),'NY East Load Projections'!$A$4:$EO$14,((MONTH($A117)-1)*12)+VLOOKUP(BS$4,$DE$6:$DF$17,2)+1))*$D117</f>
        <v>-314.13144075733686</v>
      </c>
      <c r="BT117" s="1021">
        <f>(VLOOKUP(YEAR($A117),'NY East Load Projections'!$A$4:$EO$14,((MONTH($A117)-1)*12)+VLOOKUP(BT$4,$DE$6:$DF$17,2)+1))*$D117</f>
        <v>-314.13144075733686</v>
      </c>
      <c r="BU117" s="1021">
        <f>(VLOOKUP(YEAR($A117),'NY East Load Projections'!$A$4:$EO$14,((MONTH($A117)-1)*12)+VLOOKUP(BU$4,$DE$6:$DF$17,2)+1))*$D117</f>
        <v>-314.13144075733686</v>
      </c>
      <c r="BV117" s="1021">
        <f>(VLOOKUP(YEAR($A117),'NY East Load Projections'!$A$4:$EO$14,((MONTH($A117)-1)*12)+VLOOKUP(BV$4,$DE$6:$DF$17,2)+1))*$D117</f>
        <v>-308.05506215866876</v>
      </c>
      <c r="BW117" s="1021">
        <f>(VLOOKUP(YEAR($A117),'NY East Load Projections'!$A$4:$EO$14,((MONTH($A117)-1)*12)+VLOOKUP(BW$4,$DE$6:$DF$17,2)+1))*$D117</f>
        <v>-308.05506215866876</v>
      </c>
      <c r="BX117" s="1021">
        <f>(VLOOKUP(YEAR($A117),'NY East Load Projections'!$A$4:$EO$14,((MONTH($A117)-1)*12)+VLOOKUP(BX$4,$DE$6:$DF$17,2)+1))*$D117</f>
        <v>-308.05506215866876</v>
      </c>
      <c r="BY117" s="1021">
        <f>(VLOOKUP(YEAR($A117),'NY East Load Projections'!$A$4:$EO$14,((MONTH($A117)-1)*12)+VLOOKUP(BY$4,$DE$6:$DF$17,2)+1))*$D117</f>
        <v>-308.05506215866876</v>
      </c>
      <c r="BZ117" s="1021">
        <f>(VLOOKUP(YEAR($A117),'NY East Load Projections'!$A$4:$EO$14,((MONTH($A117)-1)*12)+VLOOKUP(BZ$4,$DE$6:$DF$17,2)+1))*$D117</f>
        <v>-298.92281202838694</v>
      </c>
      <c r="CA117" s="1021">
        <f>(VLOOKUP(YEAR($A117),'NY East Load Projections'!$A$4:$EO$14,((MONTH($A117)-1)*12)+VLOOKUP(CA$4,$DE$6:$DF$17,2)+1))*$D117</f>
        <v>-298.92281202838694</v>
      </c>
      <c r="CB117" s="1021">
        <f>(VLOOKUP(YEAR($A117),'NY East Load Projections'!$A$4:$EO$14,((MONTH($A117)-1)*12)+VLOOKUP(CB$4,$DE$6:$DF$17,2)+1))*$D117</f>
        <v>-298.92281202838694</v>
      </c>
      <c r="CC117" s="1021">
        <f>(VLOOKUP(YEAR($A117),'NY East Load Projections'!$A$4:$EO$14,((MONTH($A117)-1)*12)+VLOOKUP(CC$4,$DE$6:$DF$17,2)+1))*$D117</f>
        <v>-298.92281202838694</v>
      </c>
      <c r="CE117" s="1021">
        <f>(VLOOKUP(YEAR($A117),'NY East Load Projections'!$A$4:$EO$14,((MONTH($A117)-1)*12)+VLOOKUP(CE$4,$DE$6:$DF$17,2)+1))*$E117</f>
        <v>0</v>
      </c>
      <c r="CF117" s="1021">
        <f>(VLOOKUP(YEAR($A117),'NY East Load Projections'!$A$4:$EO$14,((MONTH($A117)-1)*12)+VLOOKUP(CF$4,$DE$6:$DF$17,2)+1))*$E117</f>
        <v>0</v>
      </c>
      <c r="CG117" s="1021">
        <f>(VLOOKUP(YEAR($A117),'NY East Load Projections'!$A$4:$EO$14,((MONTH($A117)-1)*12)+VLOOKUP(CG$4,$DE$6:$DF$17,2)+1))*$E117</f>
        <v>0</v>
      </c>
      <c r="CH117" s="1021">
        <f>(VLOOKUP(YEAR($A117),'NY East Load Projections'!$A$4:$EO$14,((MONTH($A117)-1)*12)+VLOOKUP(CH$4,$DE$6:$DF$17,2)+1))*$E117</f>
        <v>0</v>
      </c>
      <c r="CI117" s="1021">
        <f>(VLOOKUP(YEAR($A117),'NY East Load Projections'!$A$4:$EO$14,((MONTH($A117)-1)*12)+VLOOKUP(CI$4,$DE$6:$DF$17,2)+1))*$E117</f>
        <v>0</v>
      </c>
      <c r="CJ117" s="1021">
        <f>(VLOOKUP(YEAR($A117),'NY East Load Projections'!$A$4:$EO$14,((MONTH($A117)-1)*12)+VLOOKUP(CJ$4,$DE$6:$DF$17,2)+1))*$E117</f>
        <v>0</v>
      </c>
      <c r="CK117" s="1021">
        <f>(VLOOKUP(YEAR($A117),'NY East Load Projections'!$A$4:$EO$14,((MONTH($A117)-1)*12)+VLOOKUP(CK$4,$DE$6:$DF$17,2)+1))*$E117</f>
        <v>0</v>
      </c>
      <c r="CL117" s="1021">
        <f>(VLOOKUP(YEAR($A117),'NY East Load Projections'!$A$4:$EO$14,((MONTH($A117)-1)*12)+VLOOKUP(CL$4,$DE$6:$DF$17,2)+1))*$E117</f>
        <v>0</v>
      </c>
      <c r="CM117" s="1021">
        <f>(VLOOKUP(YEAR($A117),'NY East Load Projections'!$A$4:$EO$14,((MONTH($A117)-1)*12)+VLOOKUP(CM$4,$DE$6:$DF$17,2)+1))*$E117</f>
        <v>0</v>
      </c>
      <c r="CN117" s="1021">
        <f>(VLOOKUP(YEAR($A117),'NY East Load Projections'!$A$4:$EO$14,((MONTH($A117)-1)*12)+VLOOKUP(CN$4,$DE$6:$DF$17,2)+1))*$E117</f>
        <v>0</v>
      </c>
      <c r="CO117" s="1021">
        <f>(VLOOKUP(YEAR($A117),'NY East Load Projections'!$A$4:$EO$14,((MONTH($A117)-1)*12)+VLOOKUP(CO$4,$DE$6:$DF$17,2)+1))*$E117</f>
        <v>0</v>
      </c>
      <c r="CP117" s="1021">
        <f>(VLOOKUP(YEAR($A117),'NY East Load Projections'!$A$4:$EO$14,((MONTH($A117)-1)*12)+VLOOKUP(CP$4,$DE$6:$DF$17,2)+1))*$E117</f>
        <v>0</v>
      </c>
      <c r="CQ117" s="1021">
        <f>(VLOOKUP(YEAR($A117),'NY East Load Projections'!$A$4:$EO$14,((MONTH($A117)-1)*12)+VLOOKUP(CQ$4,$DE$6:$DF$17,2)+1))*$E117</f>
        <v>0</v>
      </c>
      <c r="CR117" s="1021">
        <f>(VLOOKUP(YEAR($A117),'NY East Load Projections'!$A$4:$EO$14,((MONTH($A117)-1)*12)+VLOOKUP(CR$4,$DE$6:$DF$17,2)+1))*$E117</f>
        <v>0</v>
      </c>
      <c r="CS117" s="1021">
        <f>(VLOOKUP(YEAR($A117),'NY East Load Projections'!$A$4:$EO$14,((MONTH($A117)-1)*12)+VLOOKUP(CS$4,$DE$6:$DF$17,2)+1))*$E117</f>
        <v>0</v>
      </c>
      <c r="CT117" s="1021">
        <f>(VLOOKUP(YEAR($A117),'NY East Load Projections'!$A$4:$EO$14,((MONTH($A117)-1)*12)+VLOOKUP(CT$4,$DE$6:$DF$17,2)+1))*$E117</f>
        <v>0</v>
      </c>
      <c r="CU117" s="1021">
        <f>(VLOOKUP(YEAR($A117),'NY East Load Projections'!$A$4:$EO$14,((MONTH($A117)-1)*12)+VLOOKUP(CU$4,$DE$6:$DF$17,2)+1))*$E117</f>
        <v>0</v>
      </c>
      <c r="CV117" s="1021">
        <f>(VLOOKUP(YEAR($A117),'NY East Load Projections'!$A$4:$EO$14,((MONTH($A117)-1)*12)+VLOOKUP(CV$4,$DE$6:$DF$17,2)+1))*$E117</f>
        <v>0</v>
      </c>
      <c r="CW117" s="1021">
        <f>(VLOOKUP(YEAR($A117),'NY East Load Projections'!$A$4:$EO$14,((MONTH($A117)-1)*12)+VLOOKUP(CW$4,$DE$6:$DF$17,2)+1))*$E117</f>
        <v>0</v>
      </c>
      <c r="CX117" s="1021">
        <f>(VLOOKUP(YEAR($A117),'NY East Load Projections'!$A$4:$EO$14,((MONTH($A117)-1)*12)+VLOOKUP(CX$4,$DE$6:$DF$17,2)+1))*$E117</f>
        <v>0</v>
      </c>
      <c r="CY117" s="1021">
        <f>(VLOOKUP(YEAR($A117),'NY East Load Projections'!$A$4:$EO$14,((MONTH($A117)-1)*12)+VLOOKUP(CY$4,$DE$6:$DF$17,2)+1))*$E117</f>
        <v>0</v>
      </c>
      <c r="CZ117" s="1021">
        <f>(VLOOKUP(YEAR($A117),'NY East Load Projections'!$A$4:$EO$14,((MONTH($A117)-1)*12)+VLOOKUP(CZ$4,$DE$6:$DF$17,2)+1))*$E117</f>
        <v>0</v>
      </c>
      <c r="DA117" s="1021">
        <f>(VLOOKUP(YEAR($A117),'NY East Load Projections'!$A$4:$EO$14,((MONTH($A117)-1)*12)+VLOOKUP(DA$4,$DE$6:$DF$17,2)+1))*$E117</f>
        <v>0</v>
      </c>
      <c r="DB117" s="1021">
        <f>(VLOOKUP(YEAR($A117),'NY East Load Projections'!$A$4:$EO$14,((MONTH($A117)-1)*12)+VLOOKUP(DB$4,$DE$6:$DF$17,2)+1))*$E117</f>
        <v>0</v>
      </c>
      <c r="DH117" s="1009">
        <f t="shared" si="5"/>
        <v>-57168.062346688181</v>
      </c>
      <c r="DI117">
        <f ca="1">CALC!J137</f>
        <v>0.47508154432487182</v>
      </c>
      <c r="DJ117" s="1032">
        <f t="shared" ca="1" si="4"/>
        <v>-27159.491345725175</v>
      </c>
    </row>
    <row r="118" spans="1:114" x14ac:dyDescent="0.25">
      <c r="A118" s="244">
        <v>40299</v>
      </c>
      <c r="B118" s="13">
        <v>20</v>
      </c>
      <c r="C118" s="210">
        <v>5</v>
      </c>
      <c r="D118" s="210">
        <v>5</v>
      </c>
      <c r="E118" s="210">
        <v>1</v>
      </c>
      <c r="F118" s="13">
        <v>31</v>
      </c>
      <c r="H118" s="1021">
        <f>(VLOOKUP(YEAR($A118),'NY East Load Projections'!$A$4:$EO$14,((MONTH($A118)-1)*12)+VLOOKUP(H$4,$DE$6:$DF$17,2)+1))*$B118</f>
        <v>-1648.2576816458509</v>
      </c>
      <c r="I118" s="1021">
        <f>(VLOOKUP(YEAR($A118),'NY East Load Projections'!$A$4:$EO$14,((MONTH($A118)-1)*12)+VLOOKUP(I$4,$DE$6:$DF$17,2)+1))*$B118</f>
        <v>-1648.2576816458509</v>
      </c>
      <c r="J118" s="1021">
        <f>(VLOOKUP(YEAR($A118),'NY East Load Projections'!$A$4:$EO$14,((MONTH($A118)-1)*12)+VLOOKUP(J$4,$DE$6:$DF$17,2)+1))*$B118</f>
        <v>-1648.2576816458509</v>
      </c>
      <c r="K118" s="1021">
        <f>(VLOOKUP(YEAR($A118),'NY East Load Projections'!$A$4:$EO$14,((MONTH($A118)-1)*12)+VLOOKUP(K$4,$DE$6:$DF$17,2)+1))*$B118</f>
        <v>-1648.2576816458509</v>
      </c>
      <c r="L118" s="1021">
        <f>(VLOOKUP(YEAR($A118),'NY East Load Projections'!$A$4:$EO$14,((MONTH($A118)-1)*12)+VLOOKUP(L$4,$DE$6:$DF$17,2)+1))*$B118</f>
        <v>-1725.0059129861238</v>
      </c>
      <c r="M118" s="1021">
        <f>(VLOOKUP(YEAR($A118),'NY East Load Projections'!$A$4:$EO$14,((MONTH($A118)-1)*12)+VLOOKUP(M$4,$DE$6:$DF$17,2)+1))*$B118</f>
        <v>-1725.0059129861238</v>
      </c>
      <c r="N118" s="1021">
        <f>(VLOOKUP(YEAR($A118),'NY East Load Projections'!$A$4:$EO$14,((MONTH($A118)-1)*12)+VLOOKUP(N$4,$DE$6:$DF$17,2)+1))*$B118</f>
        <v>-1725.0059129861238</v>
      </c>
      <c r="O118" s="1021">
        <f>(VLOOKUP(YEAR($A118),'NY East Load Projections'!$A$4:$EO$14,((MONTH($A118)-1)*12)+VLOOKUP(O$4,$DE$6:$DF$17,2)+1))*$B118</f>
        <v>-1725.0059129861238</v>
      </c>
      <c r="P118" s="1021">
        <f>(VLOOKUP(YEAR($A118),'NY East Load Projections'!$A$4:$EO$14,((MONTH($A118)-1)*12)+VLOOKUP(P$4,$DE$6:$DF$17,2)+1))*$B118</f>
        <v>-1831.4223398415502</v>
      </c>
      <c r="Q118" s="1021">
        <f>(VLOOKUP(YEAR($A118),'NY East Load Projections'!$A$4:$EO$14,((MONTH($A118)-1)*12)+VLOOKUP(Q$4,$DE$6:$DF$17,2)+1))*$B118</f>
        <v>-1831.4223398415502</v>
      </c>
      <c r="R118" s="1021">
        <f>(VLOOKUP(YEAR($A118),'NY East Load Projections'!$A$4:$EO$14,((MONTH($A118)-1)*12)+VLOOKUP(R$4,$DE$6:$DF$17,2)+1))*$B118</f>
        <v>-1831.4223398415502</v>
      </c>
      <c r="S118" s="1021">
        <f>(VLOOKUP(YEAR($A118),'NY East Load Projections'!$A$4:$EO$14,((MONTH($A118)-1)*12)+VLOOKUP(S$4,$DE$6:$DF$17,2)+1))*$B118</f>
        <v>-1831.4223398415502</v>
      </c>
      <c r="T118" s="1021">
        <f>(VLOOKUP(YEAR($A118),'NY East Load Projections'!$A$4:$EO$14,((MONTH($A118)-1)*12)+VLOOKUP(T$4,$DE$6:$DF$17,2)+1))*$B118</f>
        <v>-1854.9819561503773</v>
      </c>
      <c r="U118" s="1021">
        <f>(VLOOKUP(YEAR($A118),'NY East Load Projections'!$A$4:$EO$14,((MONTH($A118)-1)*12)+VLOOKUP(U$4,$DE$6:$DF$17,2)+1))*$B118</f>
        <v>-1854.9819561503773</v>
      </c>
      <c r="V118" s="1021">
        <f>(VLOOKUP(YEAR($A118),'NY East Load Projections'!$A$4:$EO$14,((MONTH($A118)-1)*12)+VLOOKUP(V$4,$DE$6:$DF$17,2)+1))*$B118</f>
        <v>-1854.9819561503773</v>
      </c>
      <c r="W118" s="1021">
        <f>(VLOOKUP(YEAR($A118),'NY East Load Projections'!$A$4:$EO$14,((MONTH($A118)-1)*12)+VLOOKUP(W$4,$DE$6:$DF$17,2)+1))*$B118</f>
        <v>-1854.9819561503773</v>
      </c>
      <c r="X118" s="1021">
        <f>(VLOOKUP(YEAR($A118),'NY East Load Projections'!$A$4:$EO$14,((MONTH($A118)-1)*12)+VLOOKUP(X$4,$DE$6:$DF$17,2)+1))*$B118</f>
        <v>-1786.8665253670461</v>
      </c>
      <c r="Y118" s="1021">
        <f>(VLOOKUP(YEAR($A118),'NY East Load Projections'!$A$4:$EO$14,((MONTH($A118)-1)*12)+VLOOKUP(Y$4,$DE$6:$DF$17,2)+1))*$B118</f>
        <v>-1786.8665253670461</v>
      </c>
      <c r="Z118" s="1021">
        <f>(VLOOKUP(YEAR($A118),'NY East Load Projections'!$A$4:$EO$14,((MONTH($A118)-1)*12)+VLOOKUP(Z$4,$DE$6:$DF$17,2)+1))*$B118</f>
        <v>-1786.8665253670461</v>
      </c>
      <c r="AA118" s="1021">
        <f>(VLOOKUP(YEAR($A118),'NY East Load Projections'!$A$4:$EO$14,((MONTH($A118)-1)*12)+VLOOKUP(AA$4,$DE$6:$DF$17,2)+1))*$B118</f>
        <v>-1786.8665253670461</v>
      </c>
      <c r="AB118" s="1021">
        <f>(VLOOKUP(YEAR($A118),'NY East Load Projections'!$A$4:$EO$14,((MONTH($A118)-1)*12)+VLOOKUP(AB$4,$DE$6:$DF$17,2)+1))*$B118</f>
        <v>-1692.3496457050248</v>
      </c>
      <c r="AC118" s="1021">
        <f>(VLOOKUP(YEAR($A118),'NY East Load Projections'!$A$4:$EO$14,((MONTH($A118)-1)*12)+VLOOKUP(AC$4,$DE$6:$DF$17,2)+1))*$B118</f>
        <v>-1692.3496457050248</v>
      </c>
      <c r="AD118" s="1021">
        <f>(VLOOKUP(YEAR($A118),'NY East Load Projections'!$A$4:$EO$14,((MONTH($A118)-1)*12)+VLOOKUP(AD$4,$DE$6:$DF$17,2)+1))*$B118</f>
        <v>-1692.3496457050248</v>
      </c>
      <c r="AE118" s="1021">
        <f>(VLOOKUP(YEAR($A118),'NY East Load Projections'!$A$4:$EO$14,((MONTH($A118)-1)*12)+VLOOKUP(AE$4,$DE$6:$DF$17,2)+1))*$B118</f>
        <v>-1692.3496457050248</v>
      </c>
      <c r="AF118" s="1021"/>
      <c r="AG118" s="1021">
        <f>(VLOOKUP(YEAR($A118),'NY East Load Projections'!$A$4:$EO$14,((MONTH($A118)-1)*12)+VLOOKUP(AG$4,$DE$6:$DF$17,2)+1))*$C118</f>
        <v>-414.89508941281156</v>
      </c>
      <c r="AH118" s="1021">
        <f>(VLOOKUP(YEAR($A118),'NY East Load Projections'!$A$4:$EO$14,((MONTH($A118)-1)*12)+VLOOKUP(AH$4,$DE$6:$DF$17,2)+1))*$C118</f>
        <v>-414.89508941281156</v>
      </c>
      <c r="AI118" s="1021">
        <f>(VLOOKUP(YEAR($A118),'NY East Load Projections'!$A$4:$EO$14,((MONTH($A118)-1)*12)+VLOOKUP(AI$4,$DE$6:$DF$17,2)+1))*$C118</f>
        <v>-414.89508941281156</v>
      </c>
      <c r="AJ118" s="1021">
        <f>(VLOOKUP(YEAR($A118),'NY East Load Projections'!$A$4:$EO$14,((MONTH($A118)-1)*12)+VLOOKUP(AJ$4,$DE$6:$DF$17,2)+1))*$C118</f>
        <v>-414.89508941281156</v>
      </c>
      <c r="AK118" s="1021">
        <f>(VLOOKUP(YEAR($A118),'NY East Load Projections'!$A$4:$EO$14,((MONTH($A118)-1)*12)+VLOOKUP(AK$4,$DE$6:$DF$17,2)+1))*$C118</f>
        <v>-421.57804783348763</v>
      </c>
      <c r="AL118" s="1021">
        <f>(VLOOKUP(YEAR($A118),'NY East Load Projections'!$A$4:$EO$14,((MONTH($A118)-1)*12)+VLOOKUP(AL$4,$DE$6:$DF$17,2)+1))*$C118</f>
        <v>-421.57804783348763</v>
      </c>
      <c r="AM118" s="1021">
        <f>(VLOOKUP(YEAR($A118),'NY East Load Projections'!$A$4:$EO$14,((MONTH($A118)-1)*12)+VLOOKUP(AM$4,$DE$6:$DF$17,2)+1))*$C118</f>
        <v>-421.57804783348763</v>
      </c>
      <c r="AN118" s="1021">
        <f>(VLOOKUP(YEAR($A118),'NY East Load Projections'!$A$4:$EO$14,((MONTH($A118)-1)*12)+VLOOKUP(AN$4,$DE$6:$DF$17,2)+1))*$C118</f>
        <v>-421.57804783348763</v>
      </c>
      <c r="AO118" s="1021">
        <f>(VLOOKUP(YEAR($A118),'NY East Load Projections'!$A$4:$EO$14,((MONTH($A118)-1)*12)+VLOOKUP(AO$4,$DE$6:$DF$17,2)+1))*$C118</f>
        <v>-446.38058484458526</v>
      </c>
      <c r="AP118" s="1021">
        <f>(VLOOKUP(YEAR($A118),'NY East Load Projections'!$A$4:$EO$14,((MONTH($A118)-1)*12)+VLOOKUP(AP$4,$DE$6:$DF$17,2)+1))*$C118</f>
        <v>-446.38058484458526</v>
      </c>
      <c r="AQ118" s="1021">
        <f>(VLOOKUP(YEAR($A118),'NY East Load Projections'!$A$4:$EO$14,((MONTH($A118)-1)*12)+VLOOKUP(AQ$4,$DE$6:$DF$17,2)+1))*$C118</f>
        <v>-446.38058484458526</v>
      </c>
      <c r="AR118" s="1021">
        <f>(VLOOKUP(YEAR($A118),'NY East Load Projections'!$A$4:$EO$14,((MONTH($A118)-1)*12)+VLOOKUP(AR$4,$DE$6:$DF$17,2)+1))*$C118</f>
        <v>-446.38058484458526</v>
      </c>
      <c r="AS118" s="1021">
        <f>(VLOOKUP(YEAR($A118),'NY East Load Projections'!$A$4:$EO$14,((MONTH($A118)-1)*12)+VLOOKUP(AS$4,$DE$6:$DF$17,2)+1))*$C118</f>
        <v>-449.09417251757645</v>
      </c>
      <c r="AT118" s="1021">
        <f>(VLOOKUP(YEAR($A118),'NY East Load Projections'!$A$4:$EO$14,((MONTH($A118)-1)*12)+VLOOKUP(AT$4,$DE$6:$DF$17,2)+1))*$C118</f>
        <v>-449.09417251757645</v>
      </c>
      <c r="AU118" s="1021">
        <f>(VLOOKUP(YEAR($A118),'NY East Load Projections'!$A$4:$EO$14,((MONTH($A118)-1)*12)+VLOOKUP(AU$4,$DE$6:$DF$17,2)+1))*$C118</f>
        <v>-449.09417251757645</v>
      </c>
      <c r="AV118" s="1021">
        <f>(VLOOKUP(YEAR($A118),'NY East Load Projections'!$A$4:$EO$14,((MONTH($A118)-1)*12)+VLOOKUP(AV$4,$DE$6:$DF$17,2)+1))*$C118</f>
        <v>-449.09417251757645</v>
      </c>
      <c r="AW118" s="1021">
        <f>(VLOOKUP(YEAR($A118),'NY East Load Projections'!$A$4:$EO$14,((MONTH($A118)-1)*12)+VLOOKUP(AW$4,$DE$6:$DF$17,2)+1))*$C118</f>
        <v>-437.5280407470047</v>
      </c>
      <c r="AX118" s="1021">
        <f>(VLOOKUP(YEAR($A118),'NY East Load Projections'!$A$4:$EO$14,((MONTH($A118)-1)*12)+VLOOKUP(AX$4,$DE$6:$DF$17,2)+1))*$C118</f>
        <v>-437.5280407470047</v>
      </c>
      <c r="AY118" s="1021">
        <f>(VLOOKUP(YEAR($A118),'NY East Load Projections'!$A$4:$EO$14,((MONTH($A118)-1)*12)+VLOOKUP(AY$4,$DE$6:$DF$17,2)+1))*$C118</f>
        <v>-437.5280407470047</v>
      </c>
      <c r="AZ118" s="1021">
        <f>(VLOOKUP(YEAR($A118),'NY East Load Projections'!$A$4:$EO$14,((MONTH($A118)-1)*12)+VLOOKUP(AZ$4,$DE$6:$DF$17,2)+1))*$C118</f>
        <v>-437.5280407470047</v>
      </c>
      <c r="BA118" s="1021">
        <f>(VLOOKUP(YEAR($A118),'NY East Load Projections'!$A$4:$EO$14,((MONTH($A118)-1)*12)+VLOOKUP(BA$4,$DE$6:$DF$17,2)+1))*$C118</f>
        <v>-423.56257042995469</v>
      </c>
      <c r="BB118" s="1021">
        <f>(VLOOKUP(YEAR($A118),'NY East Load Projections'!$A$4:$EO$14,((MONTH($A118)-1)*12)+VLOOKUP(BB$4,$DE$6:$DF$17,2)+1))*$C118</f>
        <v>-423.56257042995469</v>
      </c>
      <c r="BC118" s="1021">
        <f>(VLOOKUP(YEAR($A118),'NY East Load Projections'!$A$4:$EO$14,((MONTH($A118)-1)*12)+VLOOKUP(BC$4,$DE$6:$DF$17,2)+1))*$C118</f>
        <v>-423.56257042995469</v>
      </c>
      <c r="BD118" s="1021">
        <f>(VLOOKUP(YEAR($A118),'NY East Load Projections'!$A$4:$EO$14,((MONTH($A118)-1)*12)+VLOOKUP(BD$4,$DE$6:$DF$17,2)+1))*$C118</f>
        <v>-423.56257042995469</v>
      </c>
      <c r="BE118" s="1021"/>
      <c r="BF118" s="1021">
        <f>(VLOOKUP(YEAR($A118),'NY East Load Projections'!$A$4:$EO$14,((MONTH($A118)-1)*12)+VLOOKUP(BF$4,$DE$6:$DF$17,2)+1))*$D118</f>
        <v>-414.89508941281156</v>
      </c>
      <c r="BG118" s="1021">
        <f>(VLOOKUP(YEAR($A118),'NY East Load Projections'!$A$4:$EO$14,((MONTH($A118)-1)*12)+VLOOKUP(BG$4,$DE$6:$DF$17,2)+1))*$D118</f>
        <v>-414.89508941281156</v>
      </c>
      <c r="BH118" s="1021">
        <f>(VLOOKUP(YEAR($A118),'NY East Load Projections'!$A$4:$EO$14,((MONTH($A118)-1)*12)+VLOOKUP(BH$4,$DE$6:$DF$17,2)+1))*$D118</f>
        <v>-414.89508941281156</v>
      </c>
      <c r="BI118" s="1021">
        <f>(VLOOKUP(YEAR($A118),'NY East Load Projections'!$A$4:$EO$14,((MONTH($A118)-1)*12)+VLOOKUP(BI$4,$DE$6:$DF$17,2)+1))*$D118</f>
        <v>-414.89508941281156</v>
      </c>
      <c r="BJ118" s="1021">
        <f>(VLOOKUP(YEAR($A118),'NY East Load Projections'!$A$4:$EO$14,((MONTH($A118)-1)*12)+VLOOKUP(BJ$4,$DE$6:$DF$17,2)+1))*$D118</f>
        <v>-421.57804783348763</v>
      </c>
      <c r="BK118" s="1021">
        <f>(VLOOKUP(YEAR($A118),'NY East Load Projections'!$A$4:$EO$14,((MONTH($A118)-1)*12)+VLOOKUP(BK$4,$DE$6:$DF$17,2)+1))*$D118</f>
        <v>-421.57804783348763</v>
      </c>
      <c r="BL118" s="1021">
        <f>(VLOOKUP(YEAR($A118),'NY East Load Projections'!$A$4:$EO$14,((MONTH($A118)-1)*12)+VLOOKUP(BL$4,$DE$6:$DF$17,2)+1))*$D118</f>
        <v>-421.57804783348763</v>
      </c>
      <c r="BM118" s="1021">
        <f>(VLOOKUP(YEAR($A118),'NY East Load Projections'!$A$4:$EO$14,((MONTH($A118)-1)*12)+VLOOKUP(BM$4,$DE$6:$DF$17,2)+1))*$D118</f>
        <v>-421.57804783348763</v>
      </c>
      <c r="BN118" s="1021">
        <f>(VLOOKUP(YEAR($A118),'NY East Load Projections'!$A$4:$EO$14,((MONTH($A118)-1)*12)+VLOOKUP(BN$4,$DE$6:$DF$17,2)+1))*$D118</f>
        <v>-446.38058484458526</v>
      </c>
      <c r="BO118" s="1021">
        <f>(VLOOKUP(YEAR($A118),'NY East Load Projections'!$A$4:$EO$14,((MONTH($A118)-1)*12)+VLOOKUP(BO$4,$DE$6:$DF$17,2)+1))*$D118</f>
        <v>-446.38058484458526</v>
      </c>
      <c r="BP118" s="1021">
        <f>(VLOOKUP(YEAR($A118),'NY East Load Projections'!$A$4:$EO$14,((MONTH($A118)-1)*12)+VLOOKUP(BP$4,$DE$6:$DF$17,2)+1))*$D118</f>
        <v>-446.38058484458526</v>
      </c>
      <c r="BQ118" s="1021">
        <f>(VLOOKUP(YEAR($A118),'NY East Load Projections'!$A$4:$EO$14,((MONTH($A118)-1)*12)+VLOOKUP(BQ$4,$DE$6:$DF$17,2)+1))*$D118</f>
        <v>-446.38058484458526</v>
      </c>
      <c r="BR118" s="1021">
        <f>(VLOOKUP(YEAR($A118),'NY East Load Projections'!$A$4:$EO$14,((MONTH($A118)-1)*12)+VLOOKUP(BR$4,$DE$6:$DF$17,2)+1))*$D118</f>
        <v>-449.09417251757645</v>
      </c>
      <c r="BS118" s="1021">
        <f>(VLOOKUP(YEAR($A118),'NY East Load Projections'!$A$4:$EO$14,((MONTH($A118)-1)*12)+VLOOKUP(BS$4,$DE$6:$DF$17,2)+1))*$D118</f>
        <v>-449.09417251757645</v>
      </c>
      <c r="BT118" s="1021">
        <f>(VLOOKUP(YEAR($A118),'NY East Load Projections'!$A$4:$EO$14,((MONTH($A118)-1)*12)+VLOOKUP(BT$4,$DE$6:$DF$17,2)+1))*$D118</f>
        <v>-449.09417251757645</v>
      </c>
      <c r="BU118" s="1021">
        <f>(VLOOKUP(YEAR($A118),'NY East Load Projections'!$A$4:$EO$14,((MONTH($A118)-1)*12)+VLOOKUP(BU$4,$DE$6:$DF$17,2)+1))*$D118</f>
        <v>-449.09417251757645</v>
      </c>
      <c r="BV118" s="1021">
        <f>(VLOOKUP(YEAR($A118),'NY East Load Projections'!$A$4:$EO$14,((MONTH($A118)-1)*12)+VLOOKUP(BV$4,$DE$6:$DF$17,2)+1))*$D118</f>
        <v>-437.5280407470047</v>
      </c>
      <c r="BW118" s="1021">
        <f>(VLOOKUP(YEAR($A118),'NY East Load Projections'!$A$4:$EO$14,((MONTH($A118)-1)*12)+VLOOKUP(BW$4,$DE$6:$DF$17,2)+1))*$D118</f>
        <v>-437.5280407470047</v>
      </c>
      <c r="BX118" s="1021">
        <f>(VLOOKUP(YEAR($A118),'NY East Load Projections'!$A$4:$EO$14,((MONTH($A118)-1)*12)+VLOOKUP(BX$4,$DE$6:$DF$17,2)+1))*$D118</f>
        <v>-437.5280407470047</v>
      </c>
      <c r="BY118" s="1021">
        <f>(VLOOKUP(YEAR($A118),'NY East Load Projections'!$A$4:$EO$14,((MONTH($A118)-1)*12)+VLOOKUP(BY$4,$DE$6:$DF$17,2)+1))*$D118</f>
        <v>-437.5280407470047</v>
      </c>
      <c r="BZ118" s="1021">
        <f>(VLOOKUP(YEAR($A118),'NY East Load Projections'!$A$4:$EO$14,((MONTH($A118)-1)*12)+VLOOKUP(BZ$4,$DE$6:$DF$17,2)+1))*$D118</f>
        <v>-423.56257042995469</v>
      </c>
      <c r="CA118" s="1021">
        <f>(VLOOKUP(YEAR($A118),'NY East Load Projections'!$A$4:$EO$14,((MONTH($A118)-1)*12)+VLOOKUP(CA$4,$DE$6:$DF$17,2)+1))*$D118</f>
        <v>-423.56257042995469</v>
      </c>
      <c r="CB118" s="1021">
        <f>(VLOOKUP(YEAR($A118),'NY East Load Projections'!$A$4:$EO$14,((MONTH($A118)-1)*12)+VLOOKUP(CB$4,$DE$6:$DF$17,2)+1))*$D118</f>
        <v>-423.56257042995469</v>
      </c>
      <c r="CC118" s="1021">
        <f>(VLOOKUP(YEAR($A118),'NY East Load Projections'!$A$4:$EO$14,((MONTH($A118)-1)*12)+VLOOKUP(CC$4,$DE$6:$DF$17,2)+1))*$D118</f>
        <v>-423.56257042995469</v>
      </c>
      <c r="CE118" s="1021">
        <f>(VLOOKUP(YEAR($A118),'NY East Load Projections'!$A$4:$EO$14,((MONTH($A118)-1)*12)+VLOOKUP(CE$4,$DE$6:$DF$17,2)+1))*$E118</f>
        <v>-82.979017882562317</v>
      </c>
      <c r="CF118" s="1021">
        <f>(VLOOKUP(YEAR($A118),'NY East Load Projections'!$A$4:$EO$14,((MONTH($A118)-1)*12)+VLOOKUP(CF$4,$DE$6:$DF$17,2)+1))*$E118</f>
        <v>-82.979017882562317</v>
      </c>
      <c r="CG118" s="1021">
        <f>(VLOOKUP(YEAR($A118),'NY East Load Projections'!$A$4:$EO$14,((MONTH($A118)-1)*12)+VLOOKUP(CG$4,$DE$6:$DF$17,2)+1))*$E118</f>
        <v>-82.979017882562317</v>
      </c>
      <c r="CH118" s="1021">
        <f>(VLOOKUP(YEAR($A118),'NY East Load Projections'!$A$4:$EO$14,((MONTH($A118)-1)*12)+VLOOKUP(CH$4,$DE$6:$DF$17,2)+1))*$E118</f>
        <v>-82.979017882562317</v>
      </c>
      <c r="CI118" s="1021">
        <f>(VLOOKUP(YEAR($A118),'NY East Load Projections'!$A$4:$EO$14,((MONTH($A118)-1)*12)+VLOOKUP(CI$4,$DE$6:$DF$17,2)+1))*$E118</f>
        <v>-84.315609566697532</v>
      </c>
      <c r="CJ118" s="1021">
        <f>(VLOOKUP(YEAR($A118),'NY East Load Projections'!$A$4:$EO$14,((MONTH($A118)-1)*12)+VLOOKUP(CJ$4,$DE$6:$DF$17,2)+1))*$E118</f>
        <v>-84.315609566697532</v>
      </c>
      <c r="CK118" s="1021">
        <f>(VLOOKUP(YEAR($A118),'NY East Load Projections'!$A$4:$EO$14,((MONTH($A118)-1)*12)+VLOOKUP(CK$4,$DE$6:$DF$17,2)+1))*$E118</f>
        <v>-84.315609566697532</v>
      </c>
      <c r="CL118" s="1021">
        <f>(VLOOKUP(YEAR($A118),'NY East Load Projections'!$A$4:$EO$14,((MONTH($A118)-1)*12)+VLOOKUP(CL$4,$DE$6:$DF$17,2)+1))*$E118</f>
        <v>-84.315609566697532</v>
      </c>
      <c r="CM118" s="1021">
        <f>(VLOOKUP(YEAR($A118),'NY East Load Projections'!$A$4:$EO$14,((MONTH($A118)-1)*12)+VLOOKUP(CM$4,$DE$6:$DF$17,2)+1))*$E118</f>
        <v>-89.276116968917052</v>
      </c>
      <c r="CN118" s="1021">
        <f>(VLOOKUP(YEAR($A118),'NY East Load Projections'!$A$4:$EO$14,((MONTH($A118)-1)*12)+VLOOKUP(CN$4,$DE$6:$DF$17,2)+1))*$E118</f>
        <v>-89.276116968917052</v>
      </c>
      <c r="CO118" s="1021">
        <f>(VLOOKUP(YEAR($A118),'NY East Load Projections'!$A$4:$EO$14,((MONTH($A118)-1)*12)+VLOOKUP(CO$4,$DE$6:$DF$17,2)+1))*$E118</f>
        <v>-89.276116968917052</v>
      </c>
      <c r="CP118" s="1021">
        <f>(VLOOKUP(YEAR($A118),'NY East Load Projections'!$A$4:$EO$14,((MONTH($A118)-1)*12)+VLOOKUP(CP$4,$DE$6:$DF$17,2)+1))*$E118</f>
        <v>-89.276116968917052</v>
      </c>
      <c r="CQ118" s="1021">
        <f>(VLOOKUP(YEAR($A118),'NY East Load Projections'!$A$4:$EO$14,((MONTH($A118)-1)*12)+VLOOKUP(CQ$4,$DE$6:$DF$17,2)+1))*$E118</f>
        <v>-89.818834503515291</v>
      </c>
      <c r="CR118" s="1021">
        <f>(VLOOKUP(YEAR($A118),'NY East Load Projections'!$A$4:$EO$14,((MONTH($A118)-1)*12)+VLOOKUP(CR$4,$DE$6:$DF$17,2)+1))*$E118</f>
        <v>-89.818834503515291</v>
      </c>
      <c r="CS118" s="1021">
        <f>(VLOOKUP(YEAR($A118),'NY East Load Projections'!$A$4:$EO$14,((MONTH($A118)-1)*12)+VLOOKUP(CS$4,$DE$6:$DF$17,2)+1))*$E118</f>
        <v>-89.818834503515291</v>
      </c>
      <c r="CT118" s="1021">
        <f>(VLOOKUP(YEAR($A118),'NY East Load Projections'!$A$4:$EO$14,((MONTH($A118)-1)*12)+VLOOKUP(CT$4,$DE$6:$DF$17,2)+1))*$E118</f>
        <v>-89.818834503515291</v>
      </c>
      <c r="CU118" s="1021">
        <f>(VLOOKUP(YEAR($A118),'NY East Load Projections'!$A$4:$EO$14,((MONTH($A118)-1)*12)+VLOOKUP(CU$4,$DE$6:$DF$17,2)+1))*$E118</f>
        <v>-87.505608149400942</v>
      </c>
      <c r="CV118" s="1021">
        <f>(VLOOKUP(YEAR($A118),'NY East Load Projections'!$A$4:$EO$14,((MONTH($A118)-1)*12)+VLOOKUP(CV$4,$DE$6:$DF$17,2)+1))*$E118</f>
        <v>-87.505608149400942</v>
      </c>
      <c r="CW118" s="1021">
        <f>(VLOOKUP(YEAR($A118),'NY East Load Projections'!$A$4:$EO$14,((MONTH($A118)-1)*12)+VLOOKUP(CW$4,$DE$6:$DF$17,2)+1))*$E118</f>
        <v>-87.505608149400942</v>
      </c>
      <c r="CX118" s="1021">
        <f>(VLOOKUP(YEAR($A118),'NY East Load Projections'!$A$4:$EO$14,((MONTH($A118)-1)*12)+VLOOKUP(CX$4,$DE$6:$DF$17,2)+1))*$E118</f>
        <v>-87.505608149400942</v>
      </c>
      <c r="CY118" s="1021">
        <f>(VLOOKUP(YEAR($A118),'NY East Load Projections'!$A$4:$EO$14,((MONTH($A118)-1)*12)+VLOOKUP(CY$4,$DE$6:$DF$17,2)+1))*$E118</f>
        <v>-84.712514085990932</v>
      </c>
      <c r="CZ118" s="1021">
        <f>(VLOOKUP(YEAR($A118),'NY East Load Projections'!$A$4:$EO$14,((MONTH($A118)-1)*12)+VLOOKUP(CZ$4,$DE$6:$DF$17,2)+1))*$E118</f>
        <v>-84.712514085990932</v>
      </c>
      <c r="DA118" s="1021">
        <f>(VLOOKUP(YEAR($A118),'NY East Load Projections'!$A$4:$EO$14,((MONTH($A118)-1)*12)+VLOOKUP(DA$4,$DE$6:$DF$17,2)+1))*$E118</f>
        <v>-84.712514085990932</v>
      </c>
      <c r="DB118" s="1021">
        <f>(VLOOKUP(YEAR($A118),'NY East Load Projections'!$A$4:$EO$14,((MONTH($A118)-1)*12)+VLOOKUP(DB$4,$DE$6:$DF$17,2)+1))*$E118</f>
        <v>-84.712514085990932</v>
      </c>
      <c r="DH118" s="1009">
        <f t="shared" si="5"/>
        <v>-64974.275097695659</v>
      </c>
      <c r="DI118">
        <f ca="1">CALC!J138</f>
        <v>0.47215406433957591</v>
      </c>
      <c r="DJ118" s="1032">
        <f t="shared" ca="1" si="4"/>
        <v>-30677.868064894701</v>
      </c>
    </row>
    <row r="119" spans="1:114" x14ac:dyDescent="0.25">
      <c r="A119" s="244">
        <v>40330</v>
      </c>
      <c r="B119" s="13">
        <v>22</v>
      </c>
      <c r="C119" s="210">
        <v>4</v>
      </c>
      <c r="D119" s="210">
        <v>4</v>
      </c>
      <c r="E119" s="210">
        <v>0</v>
      </c>
      <c r="F119" s="13">
        <v>30</v>
      </c>
      <c r="H119" s="1021">
        <f>(VLOOKUP(YEAR($A119),'NY East Load Projections'!$A$4:$EO$14,((MONTH($A119)-1)*12)+VLOOKUP(H$4,$DE$6:$DF$17,2)+1))*$B119</f>
        <v>-1905.8635234711073</v>
      </c>
      <c r="I119" s="1021">
        <f>(VLOOKUP(YEAR($A119),'NY East Load Projections'!$A$4:$EO$14,((MONTH($A119)-1)*12)+VLOOKUP(I$4,$DE$6:$DF$17,2)+1))*$B119</f>
        <v>-1905.8635234711073</v>
      </c>
      <c r="J119" s="1021">
        <f>(VLOOKUP(YEAR($A119),'NY East Load Projections'!$A$4:$EO$14,((MONTH($A119)-1)*12)+VLOOKUP(J$4,$DE$6:$DF$17,2)+1))*$B119</f>
        <v>-1905.8635234711073</v>
      </c>
      <c r="K119" s="1021">
        <f>(VLOOKUP(YEAR($A119),'NY East Load Projections'!$A$4:$EO$14,((MONTH($A119)-1)*12)+VLOOKUP(K$4,$DE$6:$DF$17,2)+1))*$B119</f>
        <v>-1905.8635234711073</v>
      </c>
      <c r="L119" s="1021">
        <f>(VLOOKUP(YEAR($A119),'NY East Load Projections'!$A$4:$EO$14,((MONTH($A119)-1)*12)+VLOOKUP(L$4,$DE$6:$DF$17,2)+1))*$B119</f>
        <v>-2030.0563515631932</v>
      </c>
      <c r="M119" s="1021">
        <f>(VLOOKUP(YEAR($A119),'NY East Load Projections'!$A$4:$EO$14,((MONTH($A119)-1)*12)+VLOOKUP(M$4,$DE$6:$DF$17,2)+1))*$B119</f>
        <v>-2030.0563515631932</v>
      </c>
      <c r="N119" s="1021">
        <f>(VLOOKUP(YEAR($A119),'NY East Load Projections'!$A$4:$EO$14,((MONTH($A119)-1)*12)+VLOOKUP(N$4,$DE$6:$DF$17,2)+1))*$B119</f>
        <v>-2030.0563515631932</v>
      </c>
      <c r="O119" s="1021">
        <f>(VLOOKUP(YEAR($A119),'NY East Load Projections'!$A$4:$EO$14,((MONTH($A119)-1)*12)+VLOOKUP(O$4,$DE$6:$DF$17,2)+1))*$B119</f>
        <v>-2030.0563515631932</v>
      </c>
      <c r="P119" s="1021">
        <f>(VLOOKUP(YEAR($A119),'NY East Load Projections'!$A$4:$EO$14,((MONTH($A119)-1)*12)+VLOOKUP(P$4,$DE$6:$DF$17,2)+1))*$B119</f>
        <v>-2168.0466943235288</v>
      </c>
      <c r="Q119" s="1021">
        <f>(VLOOKUP(YEAR($A119),'NY East Load Projections'!$A$4:$EO$14,((MONTH($A119)-1)*12)+VLOOKUP(Q$4,$DE$6:$DF$17,2)+1))*$B119</f>
        <v>-2168.0466943235288</v>
      </c>
      <c r="R119" s="1021">
        <f>(VLOOKUP(YEAR($A119),'NY East Load Projections'!$A$4:$EO$14,((MONTH($A119)-1)*12)+VLOOKUP(R$4,$DE$6:$DF$17,2)+1))*$B119</f>
        <v>-2168.0466943235288</v>
      </c>
      <c r="S119" s="1021">
        <f>(VLOOKUP(YEAR($A119),'NY East Load Projections'!$A$4:$EO$14,((MONTH($A119)-1)*12)+VLOOKUP(S$4,$DE$6:$DF$17,2)+1))*$B119</f>
        <v>-2168.0466943235288</v>
      </c>
      <c r="T119" s="1021">
        <f>(VLOOKUP(YEAR($A119),'NY East Load Projections'!$A$4:$EO$14,((MONTH($A119)-1)*12)+VLOOKUP(T$4,$DE$6:$DF$17,2)+1))*$B119</f>
        <v>-2181.2317808550415</v>
      </c>
      <c r="U119" s="1021">
        <f>(VLOOKUP(YEAR($A119),'NY East Load Projections'!$A$4:$EO$14,((MONTH($A119)-1)*12)+VLOOKUP(U$4,$DE$6:$DF$17,2)+1))*$B119</f>
        <v>-2181.2317808550415</v>
      </c>
      <c r="V119" s="1021">
        <f>(VLOOKUP(YEAR($A119),'NY East Load Projections'!$A$4:$EO$14,((MONTH($A119)-1)*12)+VLOOKUP(V$4,$DE$6:$DF$17,2)+1))*$B119</f>
        <v>-2181.2317808550415</v>
      </c>
      <c r="W119" s="1021">
        <f>(VLOOKUP(YEAR($A119),'NY East Load Projections'!$A$4:$EO$14,((MONTH($A119)-1)*12)+VLOOKUP(W$4,$DE$6:$DF$17,2)+1))*$B119</f>
        <v>-2181.2317808550415</v>
      </c>
      <c r="X119" s="1021">
        <f>(VLOOKUP(YEAR($A119),'NY East Load Projections'!$A$4:$EO$14,((MONTH($A119)-1)*12)+VLOOKUP(X$4,$DE$6:$DF$17,2)+1))*$B119</f>
        <v>-2095.1685320554216</v>
      </c>
      <c r="Y119" s="1021">
        <f>(VLOOKUP(YEAR($A119),'NY East Load Projections'!$A$4:$EO$14,((MONTH($A119)-1)*12)+VLOOKUP(Y$4,$DE$6:$DF$17,2)+1))*$B119</f>
        <v>-2095.1685320554216</v>
      </c>
      <c r="Z119" s="1021">
        <f>(VLOOKUP(YEAR($A119),'NY East Load Projections'!$A$4:$EO$14,((MONTH($A119)-1)*12)+VLOOKUP(Z$4,$DE$6:$DF$17,2)+1))*$B119</f>
        <v>-2095.1685320554216</v>
      </c>
      <c r="AA119" s="1021">
        <f>(VLOOKUP(YEAR($A119),'NY East Load Projections'!$A$4:$EO$14,((MONTH($A119)-1)*12)+VLOOKUP(AA$4,$DE$6:$DF$17,2)+1))*$B119</f>
        <v>-2095.1685320554216</v>
      </c>
      <c r="AB119" s="1021">
        <f>(VLOOKUP(YEAR($A119),'NY East Load Projections'!$A$4:$EO$14,((MONTH($A119)-1)*12)+VLOOKUP(AB$4,$DE$6:$DF$17,2)+1))*$B119</f>
        <v>-1960.7374775250842</v>
      </c>
      <c r="AC119" s="1021">
        <f>(VLOOKUP(YEAR($A119),'NY East Load Projections'!$A$4:$EO$14,((MONTH($A119)-1)*12)+VLOOKUP(AC$4,$DE$6:$DF$17,2)+1))*$B119</f>
        <v>-1960.7374775250842</v>
      </c>
      <c r="AD119" s="1021">
        <f>(VLOOKUP(YEAR($A119),'NY East Load Projections'!$A$4:$EO$14,((MONTH($A119)-1)*12)+VLOOKUP(AD$4,$DE$6:$DF$17,2)+1))*$B119</f>
        <v>-1960.7374775250842</v>
      </c>
      <c r="AE119" s="1021">
        <f>(VLOOKUP(YEAR($A119),'NY East Load Projections'!$A$4:$EO$14,((MONTH($A119)-1)*12)+VLOOKUP(AE$4,$DE$6:$DF$17,2)+1))*$B119</f>
        <v>-1960.7374775250842</v>
      </c>
      <c r="AF119" s="1021"/>
      <c r="AG119" s="1021">
        <f>(VLOOKUP(YEAR($A119),'NY East Load Projections'!$A$4:$EO$14,((MONTH($A119)-1)*12)+VLOOKUP(AG$4,$DE$6:$DF$17,2)+1))*$C119</f>
        <v>-350.26563124406022</v>
      </c>
      <c r="AH119" s="1021">
        <f>(VLOOKUP(YEAR($A119),'NY East Load Projections'!$A$4:$EO$14,((MONTH($A119)-1)*12)+VLOOKUP(AH$4,$DE$6:$DF$17,2)+1))*$C119</f>
        <v>-350.26563124406022</v>
      </c>
      <c r="AI119" s="1021">
        <f>(VLOOKUP(YEAR($A119),'NY East Load Projections'!$A$4:$EO$14,((MONTH($A119)-1)*12)+VLOOKUP(AI$4,$DE$6:$DF$17,2)+1))*$C119</f>
        <v>-350.26563124406022</v>
      </c>
      <c r="AJ119" s="1021">
        <f>(VLOOKUP(YEAR($A119),'NY East Load Projections'!$A$4:$EO$14,((MONTH($A119)-1)*12)+VLOOKUP(AJ$4,$DE$6:$DF$17,2)+1))*$C119</f>
        <v>-350.26563124406022</v>
      </c>
      <c r="AK119" s="1021">
        <f>(VLOOKUP(YEAR($A119),'NY East Load Projections'!$A$4:$EO$14,((MONTH($A119)-1)*12)+VLOOKUP(AK$4,$DE$6:$DF$17,2)+1))*$C119</f>
        <v>-353.30235779759704</v>
      </c>
      <c r="AL119" s="1021">
        <f>(VLOOKUP(YEAR($A119),'NY East Load Projections'!$A$4:$EO$14,((MONTH($A119)-1)*12)+VLOOKUP(AL$4,$DE$6:$DF$17,2)+1))*$C119</f>
        <v>-353.30235779759704</v>
      </c>
      <c r="AM119" s="1021">
        <f>(VLOOKUP(YEAR($A119),'NY East Load Projections'!$A$4:$EO$14,((MONTH($A119)-1)*12)+VLOOKUP(AM$4,$DE$6:$DF$17,2)+1))*$C119</f>
        <v>-353.30235779759704</v>
      </c>
      <c r="AN119" s="1021">
        <f>(VLOOKUP(YEAR($A119),'NY East Load Projections'!$A$4:$EO$14,((MONTH($A119)-1)*12)+VLOOKUP(AN$4,$DE$6:$DF$17,2)+1))*$C119</f>
        <v>-353.30235779759704</v>
      </c>
      <c r="AO119" s="1021">
        <f>(VLOOKUP(YEAR($A119),'NY East Load Projections'!$A$4:$EO$14,((MONTH($A119)-1)*12)+VLOOKUP(AO$4,$DE$6:$DF$17,2)+1))*$C119</f>
        <v>-373.90306481050561</v>
      </c>
      <c r="AP119" s="1021">
        <f>(VLOOKUP(YEAR($A119),'NY East Load Projections'!$A$4:$EO$14,((MONTH($A119)-1)*12)+VLOOKUP(AP$4,$DE$6:$DF$17,2)+1))*$C119</f>
        <v>-373.90306481050561</v>
      </c>
      <c r="AQ119" s="1021">
        <f>(VLOOKUP(YEAR($A119),'NY East Load Projections'!$A$4:$EO$14,((MONTH($A119)-1)*12)+VLOOKUP(AQ$4,$DE$6:$DF$17,2)+1))*$C119</f>
        <v>-373.90306481050561</v>
      </c>
      <c r="AR119" s="1021">
        <f>(VLOOKUP(YEAR($A119),'NY East Load Projections'!$A$4:$EO$14,((MONTH($A119)-1)*12)+VLOOKUP(AR$4,$DE$6:$DF$17,2)+1))*$C119</f>
        <v>-373.90306481050561</v>
      </c>
      <c r="AS119" s="1021">
        <f>(VLOOKUP(YEAR($A119),'NY East Load Projections'!$A$4:$EO$14,((MONTH($A119)-1)*12)+VLOOKUP(AS$4,$DE$6:$DF$17,2)+1))*$C119</f>
        <v>-375.3679798135235</v>
      </c>
      <c r="AT119" s="1021">
        <f>(VLOOKUP(YEAR($A119),'NY East Load Projections'!$A$4:$EO$14,((MONTH($A119)-1)*12)+VLOOKUP(AT$4,$DE$6:$DF$17,2)+1))*$C119</f>
        <v>-375.3679798135235</v>
      </c>
      <c r="AU119" s="1021">
        <f>(VLOOKUP(YEAR($A119),'NY East Load Projections'!$A$4:$EO$14,((MONTH($A119)-1)*12)+VLOOKUP(AU$4,$DE$6:$DF$17,2)+1))*$C119</f>
        <v>-375.3679798135235</v>
      </c>
      <c r="AV119" s="1021">
        <f>(VLOOKUP(YEAR($A119),'NY East Load Projections'!$A$4:$EO$14,((MONTH($A119)-1)*12)+VLOOKUP(AV$4,$DE$6:$DF$17,2)+1))*$C119</f>
        <v>-375.3679798135235</v>
      </c>
      <c r="AW119" s="1021">
        <f>(VLOOKUP(YEAR($A119),'NY East Load Projections'!$A$4:$EO$14,((MONTH($A119)-1)*12)+VLOOKUP(AW$4,$DE$6:$DF$17,2)+1))*$C119</f>
        <v>-365.14881397289497</v>
      </c>
      <c r="AX119" s="1021">
        <f>(VLOOKUP(YEAR($A119),'NY East Load Projections'!$A$4:$EO$14,((MONTH($A119)-1)*12)+VLOOKUP(AX$4,$DE$6:$DF$17,2)+1))*$C119</f>
        <v>-365.14881397289497</v>
      </c>
      <c r="AY119" s="1021">
        <f>(VLOOKUP(YEAR($A119),'NY East Load Projections'!$A$4:$EO$14,((MONTH($A119)-1)*12)+VLOOKUP(AY$4,$DE$6:$DF$17,2)+1))*$C119</f>
        <v>-365.14881397289497</v>
      </c>
      <c r="AZ119" s="1021">
        <f>(VLOOKUP(YEAR($A119),'NY East Load Projections'!$A$4:$EO$14,((MONTH($A119)-1)*12)+VLOOKUP(AZ$4,$DE$6:$DF$17,2)+1))*$C119</f>
        <v>-365.14881397289497</v>
      </c>
      <c r="BA119" s="1021">
        <f>(VLOOKUP(YEAR($A119),'NY East Load Projections'!$A$4:$EO$14,((MONTH($A119)-1)*12)+VLOOKUP(BA$4,$DE$6:$DF$17,2)+1))*$C119</f>
        <v>-354.64629368098144</v>
      </c>
      <c r="BB119" s="1021">
        <f>(VLOOKUP(YEAR($A119),'NY East Load Projections'!$A$4:$EO$14,((MONTH($A119)-1)*12)+VLOOKUP(BB$4,$DE$6:$DF$17,2)+1))*$C119</f>
        <v>-354.64629368098144</v>
      </c>
      <c r="BC119" s="1021">
        <f>(VLOOKUP(YEAR($A119),'NY East Load Projections'!$A$4:$EO$14,((MONTH($A119)-1)*12)+VLOOKUP(BC$4,$DE$6:$DF$17,2)+1))*$C119</f>
        <v>-354.64629368098144</v>
      </c>
      <c r="BD119" s="1021">
        <f>(VLOOKUP(YEAR($A119),'NY East Load Projections'!$A$4:$EO$14,((MONTH($A119)-1)*12)+VLOOKUP(BD$4,$DE$6:$DF$17,2)+1))*$C119</f>
        <v>-354.64629368098144</v>
      </c>
      <c r="BE119" s="1021"/>
      <c r="BF119" s="1021">
        <f>(VLOOKUP(YEAR($A119),'NY East Load Projections'!$A$4:$EO$14,((MONTH($A119)-1)*12)+VLOOKUP(BF$4,$DE$6:$DF$17,2)+1))*$D119</f>
        <v>-350.26563124406022</v>
      </c>
      <c r="BG119" s="1021">
        <f>(VLOOKUP(YEAR($A119),'NY East Load Projections'!$A$4:$EO$14,((MONTH($A119)-1)*12)+VLOOKUP(BG$4,$DE$6:$DF$17,2)+1))*$D119</f>
        <v>-350.26563124406022</v>
      </c>
      <c r="BH119" s="1021">
        <f>(VLOOKUP(YEAR($A119),'NY East Load Projections'!$A$4:$EO$14,((MONTH($A119)-1)*12)+VLOOKUP(BH$4,$DE$6:$DF$17,2)+1))*$D119</f>
        <v>-350.26563124406022</v>
      </c>
      <c r="BI119" s="1021">
        <f>(VLOOKUP(YEAR($A119),'NY East Load Projections'!$A$4:$EO$14,((MONTH($A119)-1)*12)+VLOOKUP(BI$4,$DE$6:$DF$17,2)+1))*$D119</f>
        <v>-350.26563124406022</v>
      </c>
      <c r="BJ119" s="1021">
        <f>(VLOOKUP(YEAR($A119),'NY East Load Projections'!$A$4:$EO$14,((MONTH($A119)-1)*12)+VLOOKUP(BJ$4,$DE$6:$DF$17,2)+1))*$D119</f>
        <v>-353.30235779759704</v>
      </c>
      <c r="BK119" s="1021">
        <f>(VLOOKUP(YEAR($A119),'NY East Load Projections'!$A$4:$EO$14,((MONTH($A119)-1)*12)+VLOOKUP(BK$4,$DE$6:$DF$17,2)+1))*$D119</f>
        <v>-353.30235779759704</v>
      </c>
      <c r="BL119" s="1021">
        <f>(VLOOKUP(YEAR($A119),'NY East Load Projections'!$A$4:$EO$14,((MONTH($A119)-1)*12)+VLOOKUP(BL$4,$DE$6:$DF$17,2)+1))*$D119</f>
        <v>-353.30235779759704</v>
      </c>
      <c r="BM119" s="1021">
        <f>(VLOOKUP(YEAR($A119),'NY East Load Projections'!$A$4:$EO$14,((MONTH($A119)-1)*12)+VLOOKUP(BM$4,$DE$6:$DF$17,2)+1))*$D119</f>
        <v>-353.30235779759704</v>
      </c>
      <c r="BN119" s="1021">
        <f>(VLOOKUP(YEAR($A119),'NY East Load Projections'!$A$4:$EO$14,((MONTH($A119)-1)*12)+VLOOKUP(BN$4,$DE$6:$DF$17,2)+1))*$D119</f>
        <v>-373.90306481050561</v>
      </c>
      <c r="BO119" s="1021">
        <f>(VLOOKUP(YEAR($A119),'NY East Load Projections'!$A$4:$EO$14,((MONTH($A119)-1)*12)+VLOOKUP(BO$4,$DE$6:$DF$17,2)+1))*$D119</f>
        <v>-373.90306481050561</v>
      </c>
      <c r="BP119" s="1021">
        <f>(VLOOKUP(YEAR($A119),'NY East Load Projections'!$A$4:$EO$14,((MONTH($A119)-1)*12)+VLOOKUP(BP$4,$DE$6:$DF$17,2)+1))*$D119</f>
        <v>-373.90306481050561</v>
      </c>
      <c r="BQ119" s="1021">
        <f>(VLOOKUP(YEAR($A119),'NY East Load Projections'!$A$4:$EO$14,((MONTH($A119)-1)*12)+VLOOKUP(BQ$4,$DE$6:$DF$17,2)+1))*$D119</f>
        <v>-373.90306481050561</v>
      </c>
      <c r="BR119" s="1021">
        <f>(VLOOKUP(YEAR($A119),'NY East Load Projections'!$A$4:$EO$14,((MONTH($A119)-1)*12)+VLOOKUP(BR$4,$DE$6:$DF$17,2)+1))*$D119</f>
        <v>-375.3679798135235</v>
      </c>
      <c r="BS119" s="1021">
        <f>(VLOOKUP(YEAR($A119),'NY East Load Projections'!$A$4:$EO$14,((MONTH($A119)-1)*12)+VLOOKUP(BS$4,$DE$6:$DF$17,2)+1))*$D119</f>
        <v>-375.3679798135235</v>
      </c>
      <c r="BT119" s="1021">
        <f>(VLOOKUP(YEAR($A119),'NY East Load Projections'!$A$4:$EO$14,((MONTH($A119)-1)*12)+VLOOKUP(BT$4,$DE$6:$DF$17,2)+1))*$D119</f>
        <v>-375.3679798135235</v>
      </c>
      <c r="BU119" s="1021">
        <f>(VLOOKUP(YEAR($A119),'NY East Load Projections'!$A$4:$EO$14,((MONTH($A119)-1)*12)+VLOOKUP(BU$4,$DE$6:$DF$17,2)+1))*$D119</f>
        <v>-375.3679798135235</v>
      </c>
      <c r="BV119" s="1021">
        <f>(VLOOKUP(YEAR($A119),'NY East Load Projections'!$A$4:$EO$14,((MONTH($A119)-1)*12)+VLOOKUP(BV$4,$DE$6:$DF$17,2)+1))*$D119</f>
        <v>-365.14881397289497</v>
      </c>
      <c r="BW119" s="1021">
        <f>(VLOOKUP(YEAR($A119),'NY East Load Projections'!$A$4:$EO$14,((MONTH($A119)-1)*12)+VLOOKUP(BW$4,$DE$6:$DF$17,2)+1))*$D119</f>
        <v>-365.14881397289497</v>
      </c>
      <c r="BX119" s="1021">
        <f>(VLOOKUP(YEAR($A119),'NY East Load Projections'!$A$4:$EO$14,((MONTH($A119)-1)*12)+VLOOKUP(BX$4,$DE$6:$DF$17,2)+1))*$D119</f>
        <v>-365.14881397289497</v>
      </c>
      <c r="BY119" s="1021">
        <f>(VLOOKUP(YEAR($A119),'NY East Load Projections'!$A$4:$EO$14,((MONTH($A119)-1)*12)+VLOOKUP(BY$4,$DE$6:$DF$17,2)+1))*$D119</f>
        <v>-365.14881397289497</v>
      </c>
      <c r="BZ119" s="1021">
        <f>(VLOOKUP(YEAR($A119),'NY East Load Projections'!$A$4:$EO$14,((MONTH($A119)-1)*12)+VLOOKUP(BZ$4,$DE$6:$DF$17,2)+1))*$D119</f>
        <v>-354.64629368098144</v>
      </c>
      <c r="CA119" s="1021">
        <f>(VLOOKUP(YEAR($A119),'NY East Load Projections'!$A$4:$EO$14,((MONTH($A119)-1)*12)+VLOOKUP(CA$4,$DE$6:$DF$17,2)+1))*$D119</f>
        <v>-354.64629368098144</v>
      </c>
      <c r="CB119" s="1021">
        <f>(VLOOKUP(YEAR($A119),'NY East Load Projections'!$A$4:$EO$14,((MONTH($A119)-1)*12)+VLOOKUP(CB$4,$DE$6:$DF$17,2)+1))*$D119</f>
        <v>-354.64629368098144</v>
      </c>
      <c r="CC119" s="1021">
        <f>(VLOOKUP(YEAR($A119),'NY East Load Projections'!$A$4:$EO$14,((MONTH($A119)-1)*12)+VLOOKUP(CC$4,$DE$6:$DF$17,2)+1))*$D119</f>
        <v>-354.64629368098144</v>
      </c>
      <c r="CE119" s="1021">
        <f>(VLOOKUP(YEAR($A119),'NY East Load Projections'!$A$4:$EO$14,((MONTH($A119)-1)*12)+VLOOKUP(CE$4,$DE$6:$DF$17,2)+1))*$E119</f>
        <v>0</v>
      </c>
      <c r="CF119" s="1021">
        <f>(VLOOKUP(YEAR($A119),'NY East Load Projections'!$A$4:$EO$14,((MONTH($A119)-1)*12)+VLOOKUP(CF$4,$DE$6:$DF$17,2)+1))*$E119</f>
        <v>0</v>
      </c>
      <c r="CG119" s="1021">
        <f>(VLOOKUP(YEAR($A119),'NY East Load Projections'!$A$4:$EO$14,((MONTH($A119)-1)*12)+VLOOKUP(CG$4,$DE$6:$DF$17,2)+1))*$E119</f>
        <v>0</v>
      </c>
      <c r="CH119" s="1021">
        <f>(VLOOKUP(YEAR($A119),'NY East Load Projections'!$A$4:$EO$14,((MONTH($A119)-1)*12)+VLOOKUP(CH$4,$DE$6:$DF$17,2)+1))*$E119</f>
        <v>0</v>
      </c>
      <c r="CI119" s="1021">
        <f>(VLOOKUP(YEAR($A119),'NY East Load Projections'!$A$4:$EO$14,((MONTH($A119)-1)*12)+VLOOKUP(CI$4,$DE$6:$DF$17,2)+1))*$E119</f>
        <v>0</v>
      </c>
      <c r="CJ119" s="1021">
        <f>(VLOOKUP(YEAR($A119),'NY East Load Projections'!$A$4:$EO$14,((MONTH($A119)-1)*12)+VLOOKUP(CJ$4,$DE$6:$DF$17,2)+1))*$E119</f>
        <v>0</v>
      </c>
      <c r="CK119" s="1021">
        <f>(VLOOKUP(YEAR($A119),'NY East Load Projections'!$A$4:$EO$14,((MONTH($A119)-1)*12)+VLOOKUP(CK$4,$DE$6:$DF$17,2)+1))*$E119</f>
        <v>0</v>
      </c>
      <c r="CL119" s="1021">
        <f>(VLOOKUP(YEAR($A119),'NY East Load Projections'!$A$4:$EO$14,((MONTH($A119)-1)*12)+VLOOKUP(CL$4,$DE$6:$DF$17,2)+1))*$E119</f>
        <v>0</v>
      </c>
      <c r="CM119" s="1021">
        <f>(VLOOKUP(YEAR($A119),'NY East Load Projections'!$A$4:$EO$14,((MONTH($A119)-1)*12)+VLOOKUP(CM$4,$DE$6:$DF$17,2)+1))*$E119</f>
        <v>0</v>
      </c>
      <c r="CN119" s="1021">
        <f>(VLOOKUP(YEAR($A119),'NY East Load Projections'!$A$4:$EO$14,((MONTH($A119)-1)*12)+VLOOKUP(CN$4,$DE$6:$DF$17,2)+1))*$E119</f>
        <v>0</v>
      </c>
      <c r="CO119" s="1021">
        <f>(VLOOKUP(YEAR($A119),'NY East Load Projections'!$A$4:$EO$14,((MONTH($A119)-1)*12)+VLOOKUP(CO$4,$DE$6:$DF$17,2)+1))*$E119</f>
        <v>0</v>
      </c>
      <c r="CP119" s="1021">
        <f>(VLOOKUP(YEAR($A119),'NY East Load Projections'!$A$4:$EO$14,((MONTH($A119)-1)*12)+VLOOKUP(CP$4,$DE$6:$DF$17,2)+1))*$E119</f>
        <v>0</v>
      </c>
      <c r="CQ119" s="1021">
        <f>(VLOOKUP(YEAR($A119),'NY East Load Projections'!$A$4:$EO$14,((MONTH($A119)-1)*12)+VLOOKUP(CQ$4,$DE$6:$DF$17,2)+1))*$E119</f>
        <v>0</v>
      </c>
      <c r="CR119" s="1021">
        <f>(VLOOKUP(YEAR($A119),'NY East Load Projections'!$A$4:$EO$14,((MONTH($A119)-1)*12)+VLOOKUP(CR$4,$DE$6:$DF$17,2)+1))*$E119</f>
        <v>0</v>
      </c>
      <c r="CS119" s="1021">
        <f>(VLOOKUP(YEAR($A119),'NY East Load Projections'!$A$4:$EO$14,((MONTH($A119)-1)*12)+VLOOKUP(CS$4,$DE$6:$DF$17,2)+1))*$E119</f>
        <v>0</v>
      </c>
      <c r="CT119" s="1021">
        <f>(VLOOKUP(YEAR($A119),'NY East Load Projections'!$A$4:$EO$14,((MONTH($A119)-1)*12)+VLOOKUP(CT$4,$DE$6:$DF$17,2)+1))*$E119</f>
        <v>0</v>
      </c>
      <c r="CU119" s="1021">
        <f>(VLOOKUP(YEAR($A119),'NY East Load Projections'!$A$4:$EO$14,((MONTH($A119)-1)*12)+VLOOKUP(CU$4,$DE$6:$DF$17,2)+1))*$E119</f>
        <v>0</v>
      </c>
      <c r="CV119" s="1021">
        <f>(VLOOKUP(YEAR($A119),'NY East Load Projections'!$A$4:$EO$14,((MONTH($A119)-1)*12)+VLOOKUP(CV$4,$DE$6:$DF$17,2)+1))*$E119</f>
        <v>0</v>
      </c>
      <c r="CW119" s="1021">
        <f>(VLOOKUP(YEAR($A119),'NY East Load Projections'!$A$4:$EO$14,((MONTH($A119)-1)*12)+VLOOKUP(CW$4,$DE$6:$DF$17,2)+1))*$E119</f>
        <v>0</v>
      </c>
      <c r="CX119" s="1021">
        <f>(VLOOKUP(YEAR($A119),'NY East Load Projections'!$A$4:$EO$14,((MONTH($A119)-1)*12)+VLOOKUP(CX$4,$DE$6:$DF$17,2)+1))*$E119</f>
        <v>0</v>
      </c>
      <c r="CY119" s="1021">
        <f>(VLOOKUP(YEAR($A119),'NY East Load Projections'!$A$4:$EO$14,((MONTH($A119)-1)*12)+VLOOKUP(CY$4,$DE$6:$DF$17,2)+1))*$E119</f>
        <v>0</v>
      </c>
      <c r="CZ119" s="1021">
        <f>(VLOOKUP(YEAR($A119),'NY East Load Projections'!$A$4:$EO$14,((MONTH($A119)-1)*12)+VLOOKUP(CZ$4,$DE$6:$DF$17,2)+1))*$E119</f>
        <v>0</v>
      </c>
      <c r="DA119" s="1021">
        <f>(VLOOKUP(YEAR($A119),'NY East Load Projections'!$A$4:$EO$14,((MONTH($A119)-1)*12)+VLOOKUP(DA$4,$DE$6:$DF$17,2)+1))*$E119</f>
        <v>0</v>
      </c>
      <c r="DB119" s="1021">
        <f>(VLOOKUP(YEAR($A119),'NY East Load Projections'!$A$4:$EO$14,((MONTH($A119)-1)*12)+VLOOKUP(DB$4,$DE$6:$DF$17,2)+1))*$E119</f>
        <v>0</v>
      </c>
      <c r="DH119" s="1009">
        <f t="shared" si="5"/>
        <v>-66745.490569730027</v>
      </c>
      <c r="DI119">
        <f ca="1">CALC!J139</f>
        <v>0.46933830490401512</v>
      </c>
      <c r="DJ119" s="1032">
        <f t="shared" ca="1" si="4"/>
        <v>-31326.215403984017</v>
      </c>
    </row>
    <row r="120" spans="1:114" x14ac:dyDescent="0.25">
      <c r="A120" s="244">
        <v>40360</v>
      </c>
      <c r="B120" s="13">
        <v>21</v>
      </c>
      <c r="C120" s="210">
        <v>5</v>
      </c>
      <c r="D120" s="210">
        <v>4</v>
      </c>
      <c r="E120" s="210">
        <v>1</v>
      </c>
      <c r="F120" s="13">
        <v>31</v>
      </c>
      <c r="H120" s="1021">
        <f>(VLOOKUP(YEAR($A120),'NY East Load Projections'!$A$4:$EO$14,((MONTH($A120)-1)*12)+VLOOKUP(H$4,$DE$6:$DF$17,2)+1))*$B120</f>
        <v>-1859.9718899118734</v>
      </c>
      <c r="I120" s="1021">
        <f>(VLOOKUP(YEAR($A120),'NY East Load Projections'!$A$4:$EO$14,((MONTH($A120)-1)*12)+VLOOKUP(I$4,$DE$6:$DF$17,2)+1))*$B120</f>
        <v>-1859.9718899118734</v>
      </c>
      <c r="J120" s="1021">
        <f>(VLOOKUP(YEAR($A120),'NY East Load Projections'!$A$4:$EO$14,((MONTH($A120)-1)*12)+VLOOKUP(J$4,$DE$6:$DF$17,2)+1))*$B120</f>
        <v>-1859.9718899118734</v>
      </c>
      <c r="K120" s="1021">
        <f>(VLOOKUP(YEAR($A120),'NY East Load Projections'!$A$4:$EO$14,((MONTH($A120)-1)*12)+VLOOKUP(K$4,$DE$6:$DF$17,2)+1))*$B120</f>
        <v>-1859.9718899118734</v>
      </c>
      <c r="L120" s="1021">
        <f>(VLOOKUP(YEAR($A120),'NY East Load Projections'!$A$4:$EO$14,((MONTH($A120)-1)*12)+VLOOKUP(L$4,$DE$6:$DF$17,2)+1))*$B120</f>
        <v>-1973.3315875057285</v>
      </c>
      <c r="M120" s="1021">
        <f>(VLOOKUP(YEAR($A120),'NY East Load Projections'!$A$4:$EO$14,((MONTH($A120)-1)*12)+VLOOKUP(M$4,$DE$6:$DF$17,2)+1))*$B120</f>
        <v>-1973.3315875057285</v>
      </c>
      <c r="N120" s="1021">
        <f>(VLOOKUP(YEAR($A120),'NY East Load Projections'!$A$4:$EO$14,((MONTH($A120)-1)*12)+VLOOKUP(N$4,$DE$6:$DF$17,2)+1))*$B120</f>
        <v>-1973.3315875057285</v>
      </c>
      <c r="O120" s="1021">
        <f>(VLOOKUP(YEAR($A120),'NY East Load Projections'!$A$4:$EO$14,((MONTH($A120)-1)*12)+VLOOKUP(O$4,$DE$6:$DF$17,2)+1))*$B120</f>
        <v>-1973.3315875057285</v>
      </c>
      <c r="P120" s="1021">
        <f>(VLOOKUP(YEAR($A120),'NY East Load Projections'!$A$4:$EO$14,((MONTH($A120)-1)*12)+VLOOKUP(P$4,$DE$6:$DF$17,2)+1))*$B120</f>
        <v>-2112.9280405777836</v>
      </c>
      <c r="Q120" s="1021">
        <f>(VLOOKUP(YEAR($A120),'NY East Load Projections'!$A$4:$EO$14,((MONTH($A120)-1)*12)+VLOOKUP(Q$4,$DE$6:$DF$17,2)+1))*$B120</f>
        <v>-2112.9280405777836</v>
      </c>
      <c r="R120" s="1021">
        <f>(VLOOKUP(YEAR($A120),'NY East Load Projections'!$A$4:$EO$14,((MONTH($A120)-1)*12)+VLOOKUP(R$4,$DE$6:$DF$17,2)+1))*$B120</f>
        <v>-2112.9280405777836</v>
      </c>
      <c r="S120" s="1021">
        <f>(VLOOKUP(YEAR($A120),'NY East Load Projections'!$A$4:$EO$14,((MONTH($A120)-1)*12)+VLOOKUP(S$4,$DE$6:$DF$17,2)+1))*$B120</f>
        <v>-2112.9280405777836</v>
      </c>
      <c r="T120" s="1021">
        <f>(VLOOKUP(YEAR($A120),'NY East Load Projections'!$A$4:$EO$14,((MONTH($A120)-1)*12)+VLOOKUP(T$4,$DE$6:$DF$17,2)+1))*$B120</f>
        <v>-2118.9026167653542</v>
      </c>
      <c r="U120" s="1021">
        <f>(VLOOKUP(YEAR($A120),'NY East Load Projections'!$A$4:$EO$14,((MONTH($A120)-1)*12)+VLOOKUP(U$4,$DE$6:$DF$17,2)+1))*$B120</f>
        <v>-2118.9026167653542</v>
      </c>
      <c r="V120" s="1021">
        <f>(VLOOKUP(YEAR($A120),'NY East Load Projections'!$A$4:$EO$14,((MONTH($A120)-1)*12)+VLOOKUP(V$4,$DE$6:$DF$17,2)+1))*$B120</f>
        <v>-2118.9026167653542</v>
      </c>
      <c r="W120" s="1021">
        <f>(VLOOKUP(YEAR($A120),'NY East Load Projections'!$A$4:$EO$14,((MONTH($A120)-1)*12)+VLOOKUP(W$4,$DE$6:$DF$17,2)+1))*$B120</f>
        <v>-2118.9026167653542</v>
      </c>
      <c r="X120" s="1021">
        <f>(VLOOKUP(YEAR($A120),'NY East Load Projections'!$A$4:$EO$14,((MONTH($A120)-1)*12)+VLOOKUP(X$4,$DE$6:$DF$17,2)+1))*$B120</f>
        <v>-2045.0375738416717</v>
      </c>
      <c r="Y120" s="1021">
        <f>(VLOOKUP(YEAR($A120),'NY East Load Projections'!$A$4:$EO$14,((MONTH($A120)-1)*12)+VLOOKUP(Y$4,$DE$6:$DF$17,2)+1))*$B120</f>
        <v>-2045.0375738416717</v>
      </c>
      <c r="Z120" s="1021">
        <f>(VLOOKUP(YEAR($A120),'NY East Load Projections'!$A$4:$EO$14,((MONTH($A120)-1)*12)+VLOOKUP(Z$4,$DE$6:$DF$17,2)+1))*$B120</f>
        <v>-2045.0375738416717</v>
      </c>
      <c r="AA120" s="1021">
        <f>(VLOOKUP(YEAR($A120),'NY East Load Projections'!$A$4:$EO$14,((MONTH($A120)-1)*12)+VLOOKUP(AA$4,$DE$6:$DF$17,2)+1))*$B120</f>
        <v>-2045.0375738416717</v>
      </c>
      <c r="AB120" s="1021">
        <f>(VLOOKUP(YEAR($A120),'NY East Load Projections'!$A$4:$EO$14,((MONTH($A120)-1)*12)+VLOOKUP(AB$4,$DE$6:$DF$17,2)+1))*$B120</f>
        <v>-1906.7165195207187</v>
      </c>
      <c r="AC120" s="1021">
        <f>(VLOOKUP(YEAR($A120),'NY East Load Projections'!$A$4:$EO$14,((MONTH($A120)-1)*12)+VLOOKUP(AC$4,$DE$6:$DF$17,2)+1))*$B120</f>
        <v>-1906.7165195207187</v>
      </c>
      <c r="AD120" s="1021">
        <f>(VLOOKUP(YEAR($A120),'NY East Load Projections'!$A$4:$EO$14,((MONTH($A120)-1)*12)+VLOOKUP(AD$4,$DE$6:$DF$17,2)+1))*$B120</f>
        <v>-1906.7165195207187</v>
      </c>
      <c r="AE120" s="1021">
        <f>(VLOOKUP(YEAR($A120),'NY East Load Projections'!$A$4:$EO$14,((MONTH($A120)-1)*12)+VLOOKUP(AE$4,$DE$6:$DF$17,2)+1))*$B120</f>
        <v>-1906.7165195207187</v>
      </c>
      <c r="AF120" s="1021"/>
      <c r="AG120" s="1021">
        <f>(VLOOKUP(YEAR($A120),'NY East Load Projections'!$A$4:$EO$14,((MONTH($A120)-1)*12)+VLOOKUP(AG$4,$DE$6:$DF$17,2)+1))*$C120</f>
        <v>-425.1747229407091</v>
      </c>
      <c r="AH120" s="1021">
        <f>(VLOOKUP(YEAR($A120),'NY East Load Projections'!$A$4:$EO$14,((MONTH($A120)-1)*12)+VLOOKUP(AH$4,$DE$6:$DF$17,2)+1))*$C120</f>
        <v>-425.1747229407091</v>
      </c>
      <c r="AI120" s="1021">
        <f>(VLOOKUP(YEAR($A120),'NY East Load Projections'!$A$4:$EO$14,((MONTH($A120)-1)*12)+VLOOKUP(AI$4,$DE$6:$DF$17,2)+1))*$C120</f>
        <v>-425.1747229407091</v>
      </c>
      <c r="AJ120" s="1021">
        <f>(VLOOKUP(YEAR($A120),'NY East Load Projections'!$A$4:$EO$14,((MONTH($A120)-1)*12)+VLOOKUP(AJ$4,$DE$6:$DF$17,2)+1))*$C120</f>
        <v>-425.1747229407091</v>
      </c>
      <c r="AK120" s="1021">
        <f>(VLOOKUP(YEAR($A120),'NY East Load Projections'!$A$4:$EO$14,((MONTH($A120)-1)*12)+VLOOKUP(AK$4,$DE$6:$DF$17,2)+1))*$C120</f>
        <v>-430.31698149560214</v>
      </c>
      <c r="AL120" s="1021">
        <f>(VLOOKUP(YEAR($A120),'NY East Load Projections'!$A$4:$EO$14,((MONTH($A120)-1)*12)+VLOOKUP(AL$4,$DE$6:$DF$17,2)+1))*$C120</f>
        <v>-430.31698149560214</v>
      </c>
      <c r="AM120" s="1021">
        <f>(VLOOKUP(YEAR($A120),'NY East Load Projections'!$A$4:$EO$14,((MONTH($A120)-1)*12)+VLOOKUP(AM$4,$DE$6:$DF$17,2)+1))*$C120</f>
        <v>-430.31698149560214</v>
      </c>
      <c r="AN120" s="1021">
        <f>(VLOOKUP(YEAR($A120),'NY East Load Projections'!$A$4:$EO$14,((MONTH($A120)-1)*12)+VLOOKUP(AN$4,$DE$6:$DF$17,2)+1))*$C120</f>
        <v>-430.31698149560214</v>
      </c>
      <c r="AO120" s="1021">
        <f>(VLOOKUP(YEAR($A120),'NY East Load Projections'!$A$4:$EO$14,((MONTH($A120)-1)*12)+VLOOKUP(AO$4,$DE$6:$DF$17,2)+1))*$C120</f>
        <v>-460.8385679888147</v>
      </c>
      <c r="AP120" s="1021">
        <f>(VLOOKUP(YEAR($A120),'NY East Load Projections'!$A$4:$EO$14,((MONTH($A120)-1)*12)+VLOOKUP(AP$4,$DE$6:$DF$17,2)+1))*$C120</f>
        <v>-460.8385679888147</v>
      </c>
      <c r="AQ120" s="1021">
        <f>(VLOOKUP(YEAR($A120),'NY East Load Projections'!$A$4:$EO$14,((MONTH($A120)-1)*12)+VLOOKUP(AQ$4,$DE$6:$DF$17,2)+1))*$C120</f>
        <v>-460.8385679888147</v>
      </c>
      <c r="AR120" s="1021">
        <f>(VLOOKUP(YEAR($A120),'NY East Load Projections'!$A$4:$EO$14,((MONTH($A120)-1)*12)+VLOOKUP(AR$4,$DE$6:$DF$17,2)+1))*$C120</f>
        <v>-460.8385679888147</v>
      </c>
      <c r="AS120" s="1021">
        <f>(VLOOKUP(YEAR($A120),'NY East Load Projections'!$A$4:$EO$14,((MONTH($A120)-1)*12)+VLOOKUP(AS$4,$DE$6:$DF$17,2)+1))*$C120</f>
        <v>-464.54827668047915</v>
      </c>
      <c r="AT120" s="1021">
        <f>(VLOOKUP(YEAR($A120),'NY East Load Projections'!$A$4:$EO$14,((MONTH($A120)-1)*12)+VLOOKUP(AT$4,$DE$6:$DF$17,2)+1))*$C120</f>
        <v>-464.54827668047915</v>
      </c>
      <c r="AU120" s="1021">
        <f>(VLOOKUP(YEAR($A120),'NY East Load Projections'!$A$4:$EO$14,((MONTH($A120)-1)*12)+VLOOKUP(AU$4,$DE$6:$DF$17,2)+1))*$C120</f>
        <v>-464.54827668047915</v>
      </c>
      <c r="AV120" s="1021">
        <f>(VLOOKUP(YEAR($A120),'NY East Load Projections'!$A$4:$EO$14,((MONTH($A120)-1)*12)+VLOOKUP(AV$4,$DE$6:$DF$17,2)+1))*$C120</f>
        <v>-464.54827668047915</v>
      </c>
      <c r="AW120" s="1021">
        <f>(VLOOKUP(YEAR($A120),'NY East Load Projections'!$A$4:$EO$14,((MONTH($A120)-1)*12)+VLOOKUP(AW$4,$DE$6:$DF$17,2)+1))*$C120</f>
        <v>-451.23771917917384</v>
      </c>
      <c r="AX120" s="1021">
        <f>(VLOOKUP(YEAR($A120),'NY East Load Projections'!$A$4:$EO$14,((MONTH($A120)-1)*12)+VLOOKUP(AX$4,$DE$6:$DF$17,2)+1))*$C120</f>
        <v>-451.23771917917384</v>
      </c>
      <c r="AY120" s="1021">
        <f>(VLOOKUP(YEAR($A120),'NY East Load Projections'!$A$4:$EO$14,((MONTH($A120)-1)*12)+VLOOKUP(AY$4,$DE$6:$DF$17,2)+1))*$C120</f>
        <v>-451.23771917917384</v>
      </c>
      <c r="AZ120" s="1021">
        <f>(VLOOKUP(YEAR($A120),'NY East Load Projections'!$A$4:$EO$14,((MONTH($A120)-1)*12)+VLOOKUP(AZ$4,$DE$6:$DF$17,2)+1))*$C120</f>
        <v>-451.23771917917384</v>
      </c>
      <c r="BA120" s="1021">
        <f>(VLOOKUP(YEAR($A120),'NY East Load Projections'!$A$4:$EO$14,((MONTH($A120)-1)*12)+VLOOKUP(BA$4,$DE$6:$DF$17,2)+1))*$C120</f>
        <v>-438.10566609691477</v>
      </c>
      <c r="BB120" s="1021">
        <f>(VLOOKUP(YEAR($A120),'NY East Load Projections'!$A$4:$EO$14,((MONTH($A120)-1)*12)+VLOOKUP(BB$4,$DE$6:$DF$17,2)+1))*$C120</f>
        <v>-438.10566609691477</v>
      </c>
      <c r="BC120" s="1021">
        <f>(VLOOKUP(YEAR($A120),'NY East Load Projections'!$A$4:$EO$14,((MONTH($A120)-1)*12)+VLOOKUP(BC$4,$DE$6:$DF$17,2)+1))*$C120</f>
        <v>-438.10566609691477</v>
      </c>
      <c r="BD120" s="1021">
        <f>(VLOOKUP(YEAR($A120),'NY East Load Projections'!$A$4:$EO$14,((MONTH($A120)-1)*12)+VLOOKUP(BD$4,$DE$6:$DF$17,2)+1))*$C120</f>
        <v>-438.10566609691477</v>
      </c>
      <c r="BE120" s="1021"/>
      <c r="BF120" s="1021">
        <f>(VLOOKUP(YEAR($A120),'NY East Load Projections'!$A$4:$EO$14,((MONTH($A120)-1)*12)+VLOOKUP(BF$4,$DE$6:$DF$17,2)+1))*$D120</f>
        <v>-340.1397783525673</v>
      </c>
      <c r="BG120" s="1021">
        <f>(VLOOKUP(YEAR($A120),'NY East Load Projections'!$A$4:$EO$14,((MONTH($A120)-1)*12)+VLOOKUP(BG$4,$DE$6:$DF$17,2)+1))*$D120</f>
        <v>-340.1397783525673</v>
      </c>
      <c r="BH120" s="1021">
        <f>(VLOOKUP(YEAR($A120),'NY East Load Projections'!$A$4:$EO$14,((MONTH($A120)-1)*12)+VLOOKUP(BH$4,$DE$6:$DF$17,2)+1))*$D120</f>
        <v>-340.1397783525673</v>
      </c>
      <c r="BI120" s="1021">
        <f>(VLOOKUP(YEAR($A120),'NY East Load Projections'!$A$4:$EO$14,((MONTH($A120)-1)*12)+VLOOKUP(BI$4,$DE$6:$DF$17,2)+1))*$D120</f>
        <v>-340.1397783525673</v>
      </c>
      <c r="BJ120" s="1021">
        <f>(VLOOKUP(YEAR($A120),'NY East Load Projections'!$A$4:$EO$14,((MONTH($A120)-1)*12)+VLOOKUP(BJ$4,$DE$6:$DF$17,2)+1))*$D120</f>
        <v>-344.25358519648171</v>
      </c>
      <c r="BK120" s="1021">
        <f>(VLOOKUP(YEAR($A120),'NY East Load Projections'!$A$4:$EO$14,((MONTH($A120)-1)*12)+VLOOKUP(BK$4,$DE$6:$DF$17,2)+1))*$D120</f>
        <v>-344.25358519648171</v>
      </c>
      <c r="BL120" s="1021">
        <f>(VLOOKUP(YEAR($A120),'NY East Load Projections'!$A$4:$EO$14,((MONTH($A120)-1)*12)+VLOOKUP(BL$4,$DE$6:$DF$17,2)+1))*$D120</f>
        <v>-344.25358519648171</v>
      </c>
      <c r="BM120" s="1021">
        <f>(VLOOKUP(YEAR($A120),'NY East Load Projections'!$A$4:$EO$14,((MONTH($A120)-1)*12)+VLOOKUP(BM$4,$DE$6:$DF$17,2)+1))*$D120</f>
        <v>-344.25358519648171</v>
      </c>
      <c r="BN120" s="1021">
        <f>(VLOOKUP(YEAR($A120),'NY East Load Projections'!$A$4:$EO$14,((MONTH($A120)-1)*12)+VLOOKUP(BN$4,$DE$6:$DF$17,2)+1))*$D120</f>
        <v>-368.67085439105176</v>
      </c>
      <c r="BO120" s="1021">
        <f>(VLOOKUP(YEAR($A120),'NY East Load Projections'!$A$4:$EO$14,((MONTH($A120)-1)*12)+VLOOKUP(BO$4,$DE$6:$DF$17,2)+1))*$D120</f>
        <v>-368.67085439105176</v>
      </c>
      <c r="BP120" s="1021">
        <f>(VLOOKUP(YEAR($A120),'NY East Load Projections'!$A$4:$EO$14,((MONTH($A120)-1)*12)+VLOOKUP(BP$4,$DE$6:$DF$17,2)+1))*$D120</f>
        <v>-368.67085439105176</v>
      </c>
      <c r="BQ120" s="1021">
        <f>(VLOOKUP(YEAR($A120),'NY East Load Projections'!$A$4:$EO$14,((MONTH($A120)-1)*12)+VLOOKUP(BQ$4,$DE$6:$DF$17,2)+1))*$D120</f>
        <v>-368.67085439105176</v>
      </c>
      <c r="BR120" s="1021">
        <f>(VLOOKUP(YEAR($A120),'NY East Load Projections'!$A$4:$EO$14,((MONTH($A120)-1)*12)+VLOOKUP(BR$4,$DE$6:$DF$17,2)+1))*$D120</f>
        <v>-371.6386213443833</v>
      </c>
      <c r="BS120" s="1021">
        <f>(VLOOKUP(YEAR($A120),'NY East Load Projections'!$A$4:$EO$14,((MONTH($A120)-1)*12)+VLOOKUP(BS$4,$DE$6:$DF$17,2)+1))*$D120</f>
        <v>-371.6386213443833</v>
      </c>
      <c r="BT120" s="1021">
        <f>(VLOOKUP(YEAR($A120),'NY East Load Projections'!$A$4:$EO$14,((MONTH($A120)-1)*12)+VLOOKUP(BT$4,$DE$6:$DF$17,2)+1))*$D120</f>
        <v>-371.6386213443833</v>
      </c>
      <c r="BU120" s="1021">
        <f>(VLOOKUP(YEAR($A120),'NY East Load Projections'!$A$4:$EO$14,((MONTH($A120)-1)*12)+VLOOKUP(BU$4,$DE$6:$DF$17,2)+1))*$D120</f>
        <v>-371.6386213443833</v>
      </c>
      <c r="BV120" s="1021">
        <f>(VLOOKUP(YEAR($A120),'NY East Load Projections'!$A$4:$EO$14,((MONTH($A120)-1)*12)+VLOOKUP(BV$4,$DE$6:$DF$17,2)+1))*$D120</f>
        <v>-360.99017534333905</v>
      </c>
      <c r="BW120" s="1021">
        <f>(VLOOKUP(YEAR($A120),'NY East Load Projections'!$A$4:$EO$14,((MONTH($A120)-1)*12)+VLOOKUP(BW$4,$DE$6:$DF$17,2)+1))*$D120</f>
        <v>-360.99017534333905</v>
      </c>
      <c r="BX120" s="1021">
        <f>(VLOOKUP(YEAR($A120),'NY East Load Projections'!$A$4:$EO$14,((MONTH($A120)-1)*12)+VLOOKUP(BX$4,$DE$6:$DF$17,2)+1))*$D120</f>
        <v>-360.99017534333905</v>
      </c>
      <c r="BY120" s="1021">
        <f>(VLOOKUP(YEAR($A120),'NY East Load Projections'!$A$4:$EO$14,((MONTH($A120)-1)*12)+VLOOKUP(BY$4,$DE$6:$DF$17,2)+1))*$D120</f>
        <v>-360.99017534333905</v>
      </c>
      <c r="BZ120" s="1021">
        <f>(VLOOKUP(YEAR($A120),'NY East Load Projections'!$A$4:$EO$14,((MONTH($A120)-1)*12)+VLOOKUP(BZ$4,$DE$6:$DF$17,2)+1))*$D120</f>
        <v>-350.48453287753182</v>
      </c>
      <c r="CA120" s="1021">
        <f>(VLOOKUP(YEAR($A120),'NY East Load Projections'!$A$4:$EO$14,((MONTH($A120)-1)*12)+VLOOKUP(CA$4,$DE$6:$DF$17,2)+1))*$D120</f>
        <v>-350.48453287753182</v>
      </c>
      <c r="CB120" s="1021">
        <f>(VLOOKUP(YEAR($A120),'NY East Load Projections'!$A$4:$EO$14,((MONTH($A120)-1)*12)+VLOOKUP(CB$4,$DE$6:$DF$17,2)+1))*$D120</f>
        <v>-350.48453287753182</v>
      </c>
      <c r="CC120" s="1021">
        <f>(VLOOKUP(YEAR($A120),'NY East Load Projections'!$A$4:$EO$14,((MONTH($A120)-1)*12)+VLOOKUP(CC$4,$DE$6:$DF$17,2)+1))*$D120</f>
        <v>-350.48453287753182</v>
      </c>
      <c r="CE120" s="1021">
        <f>(VLOOKUP(YEAR($A120),'NY East Load Projections'!$A$4:$EO$14,((MONTH($A120)-1)*12)+VLOOKUP(CE$4,$DE$6:$DF$17,2)+1))*$E120</f>
        <v>-85.034944588141826</v>
      </c>
      <c r="CF120" s="1021">
        <f>(VLOOKUP(YEAR($A120),'NY East Load Projections'!$A$4:$EO$14,((MONTH($A120)-1)*12)+VLOOKUP(CF$4,$DE$6:$DF$17,2)+1))*$E120</f>
        <v>-85.034944588141826</v>
      </c>
      <c r="CG120" s="1021">
        <f>(VLOOKUP(YEAR($A120),'NY East Load Projections'!$A$4:$EO$14,((MONTH($A120)-1)*12)+VLOOKUP(CG$4,$DE$6:$DF$17,2)+1))*$E120</f>
        <v>-85.034944588141826</v>
      </c>
      <c r="CH120" s="1021">
        <f>(VLOOKUP(YEAR($A120),'NY East Load Projections'!$A$4:$EO$14,((MONTH($A120)-1)*12)+VLOOKUP(CH$4,$DE$6:$DF$17,2)+1))*$E120</f>
        <v>-85.034944588141826</v>
      </c>
      <c r="CI120" s="1021">
        <f>(VLOOKUP(YEAR($A120),'NY East Load Projections'!$A$4:$EO$14,((MONTH($A120)-1)*12)+VLOOKUP(CI$4,$DE$6:$DF$17,2)+1))*$E120</f>
        <v>-86.063396299120427</v>
      </c>
      <c r="CJ120" s="1021">
        <f>(VLOOKUP(YEAR($A120),'NY East Load Projections'!$A$4:$EO$14,((MONTH($A120)-1)*12)+VLOOKUP(CJ$4,$DE$6:$DF$17,2)+1))*$E120</f>
        <v>-86.063396299120427</v>
      </c>
      <c r="CK120" s="1021">
        <f>(VLOOKUP(YEAR($A120),'NY East Load Projections'!$A$4:$EO$14,((MONTH($A120)-1)*12)+VLOOKUP(CK$4,$DE$6:$DF$17,2)+1))*$E120</f>
        <v>-86.063396299120427</v>
      </c>
      <c r="CL120" s="1021">
        <f>(VLOOKUP(YEAR($A120),'NY East Load Projections'!$A$4:$EO$14,((MONTH($A120)-1)*12)+VLOOKUP(CL$4,$DE$6:$DF$17,2)+1))*$E120</f>
        <v>-86.063396299120427</v>
      </c>
      <c r="CM120" s="1021">
        <f>(VLOOKUP(YEAR($A120),'NY East Load Projections'!$A$4:$EO$14,((MONTH($A120)-1)*12)+VLOOKUP(CM$4,$DE$6:$DF$17,2)+1))*$E120</f>
        <v>-92.16771359776294</v>
      </c>
      <c r="CN120" s="1021">
        <f>(VLOOKUP(YEAR($A120),'NY East Load Projections'!$A$4:$EO$14,((MONTH($A120)-1)*12)+VLOOKUP(CN$4,$DE$6:$DF$17,2)+1))*$E120</f>
        <v>-92.16771359776294</v>
      </c>
      <c r="CO120" s="1021">
        <f>(VLOOKUP(YEAR($A120),'NY East Load Projections'!$A$4:$EO$14,((MONTH($A120)-1)*12)+VLOOKUP(CO$4,$DE$6:$DF$17,2)+1))*$E120</f>
        <v>-92.16771359776294</v>
      </c>
      <c r="CP120" s="1021">
        <f>(VLOOKUP(YEAR($A120),'NY East Load Projections'!$A$4:$EO$14,((MONTH($A120)-1)*12)+VLOOKUP(CP$4,$DE$6:$DF$17,2)+1))*$E120</f>
        <v>-92.16771359776294</v>
      </c>
      <c r="CQ120" s="1021">
        <f>(VLOOKUP(YEAR($A120),'NY East Load Projections'!$A$4:$EO$14,((MONTH($A120)-1)*12)+VLOOKUP(CQ$4,$DE$6:$DF$17,2)+1))*$E120</f>
        <v>-92.909655336095824</v>
      </c>
      <c r="CR120" s="1021">
        <f>(VLOOKUP(YEAR($A120),'NY East Load Projections'!$A$4:$EO$14,((MONTH($A120)-1)*12)+VLOOKUP(CR$4,$DE$6:$DF$17,2)+1))*$E120</f>
        <v>-92.909655336095824</v>
      </c>
      <c r="CS120" s="1021">
        <f>(VLOOKUP(YEAR($A120),'NY East Load Projections'!$A$4:$EO$14,((MONTH($A120)-1)*12)+VLOOKUP(CS$4,$DE$6:$DF$17,2)+1))*$E120</f>
        <v>-92.909655336095824</v>
      </c>
      <c r="CT120" s="1021">
        <f>(VLOOKUP(YEAR($A120),'NY East Load Projections'!$A$4:$EO$14,((MONTH($A120)-1)*12)+VLOOKUP(CT$4,$DE$6:$DF$17,2)+1))*$E120</f>
        <v>-92.909655336095824</v>
      </c>
      <c r="CU120" s="1021">
        <f>(VLOOKUP(YEAR($A120),'NY East Load Projections'!$A$4:$EO$14,((MONTH($A120)-1)*12)+VLOOKUP(CU$4,$DE$6:$DF$17,2)+1))*$E120</f>
        <v>-90.247543835834762</v>
      </c>
      <c r="CV120" s="1021">
        <f>(VLOOKUP(YEAR($A120),'NY East Load Projections'!$A$4:$EO$14,((MONTH($A120)-1)*12)+VLOOKUP(CV$4,$DE$6:$DF$17,2)+1))*$E120</f>
        <v>-90.247543835834762</v>
      </c>
      <c r="CW120" s="1021">
        <f>(VLOOKUP(YEAR($A120),'NY East Load Projections'!$A$4:$EO$14,((MONTH($A120)-1)*12)+VLOOKUP(CW$4,$DE$6:$DF$17,2)+1))*$E120</f>
        <v>-90.247543835834762</v>
      </c>
      <c r="CX120" s="1021">
        <f>(VLOOKUP(YEAR($A120),'NY East Load Projections'!$A$4:$EO$14,((MONTH($A120)-1)*12)+VLOOKUP(CX$4,$DE$6:$DF$17,2)+1))*$E120</f>
        <v>-90.247543835834762</v>
      </c>
      <c r="CY120" s="1021">
        <f>(VLOOKUP(YEAR($A120),'NY East Load Projections'!$A$4:$EO$14,((MONTH($A120)-1)*12)+VLOOKUP(CY$4,$DE$6:$DF$17,2)+1))*$E120</f>
        <v>-87.621133219382955</v>
      </c>
      <c r="CZ120" s="1021">
        <f>(VLOOKUP(YEAR($A120),'NY East Load Projections'!$A$4:$EO$14,((MONTH($A120)-1)*12)+VLOOKUP(CZ$4,$DE$6:$DF$17,2)+1))*$E120</f>
        <v>-87.621133219382955</v>
      </c>
      <c r="DA120" s="1021">
        <f>(VLOOKUP(YEAR($A120),'NY East Load Projections'!$A$4:$EO$14,((MONTH($A120)-1)*12)+VLOOKUP(DA$4,$DE$6:$DF$17,2)+1))*$E120</f>
        <v>-87.621133219382955</v>
      </c>
      <c r="DB120" s="1021">
        <f>(VLOOKUP(YEAR($A120),'NY East Load Projections'!$A$4:$EO$14,((MONTH($A120)-1)*12)+VLOOKUP(DB$4,$DE$6:$DF$17,2)+1))*$E120</f>
        <v>-87.621133219382955</v>
      </c>
      <c r="DH120" s="1009">
        <f t="shared" si="5"/>
        <v>-69429.328387546106</v>
      </c>
      <c r="DI120">
        <f ca="1">CALC!J140</f>
        <v>0.46644625865360617</v>
      </c>
      <c r="DJ120" s="1032">
        <f t="shared" ca="1" si="4"/>
        <v>-32385.050467203491</v>
      </c>
    </row>
    <row r="121" spans="1:114" x14ac:dyDescent="0.25">
      <c r="A121" s="244">
        <v>40391</v>
      </c>
      <c r="B121" s="13">
        <v>22</v>
      </c>
      <c r="C121" s="210">
        <v>4</v>
      </c>
      <c r="D121" s="210">
        <v>5</v>
      </c>
      <c r="E121" s="210">
        <v>0</v>
      </c>
      <c r="F121" s="13">
        <v>31</v>
      </c>
      <c r="H121" s="1021">
        <f>(VLOOKUP(YEAR($A121),'NY East Load Projections'!$A$4:$EO$14,((MONTH($A121)-1)*12)+VLOOKUP(H$4,$DE$6:$DF$17,2)+1))*$B121</f>
        <v>-1994.3642282374503</v>
      </c>
      <c r="I121" s="1021">
        <f>(VLOOKUP(YEAR($A121),'NY East Load Projections'!$A$4:$EO$14,((MONTH($A121)-1)*12)+VLOOKUP(I$4,$DE$6:$DF$17,2)+1))*$B121</f>
        <v>-1994.3642282374503</v>
      </c>
      <c r="J121" s="1021">
        <f>(VLOOKUP(YEAR($A121),'NY East Load Projections'!$A$4:$EO$14,((MONTH($A121)-1)*12)+VLOOKUP(J$4,$DE$6:$DF$17,2)+1))*$B121</f>
        <v>-1994.3642282374503</v>
      </c>
      <c r="K121" s="1021">
        <f>(VLOOKUP(YEAR($A121),'NY East Load Projections'!$A$4:$EO$14,((MONTH($A121)-1)*12)+VLOOKUP(K$4,$DE$6:$DF$17,2)+1))*$B121</f>
        <v>-1994.3642282374503</v>
      </c>
      <c r="L121" s="1021">
        <f>(VLOOKUP(YEAR($A121),'NY East Load Projections'!$A$4:$EO$14,((MONTH($A121)-1)*12)+VLOOKUP(L$4,$DE$6:$DF$17,2)+1))*$B121</f>
        <v>-2107.1278490618729</v>
      </c>
      <c r="M121" s="1021">
        <f>(VLOOKUP(YEAR($A121),'NY East Load Projections'!$A$4:$EO$14,((MONTH($A121)-1)*12)+VLOOKUP(M$4,$DE$6:$DF$17,2)+1))*$B121</f>
        <v>-2107.1278490618729</v>
      </c>
      <c r="N121" s="1021">
        <f>(VLOOKUP(YEAR($A121),'NY East Load Projections'!$A$4:$EO$14,((MONTH($A121)-1)*12)+VLOOKUP(N$4,$DE$6:$DF$17,2)+1))*$B121</f>
        <v>-2107.1278490618729</v>
      </c>
      <c r="O121" s="1021">
        <f>(VLOOKUP(YEAR($A121),'NY East Load Projections'!$A$4:$EO$14,((MONTH($A121)-1)*12)+VLOOKUP(O$4,$DE$6:$DF$17,2)+1))*$B121</f>
        <v>-2107.1278490618729</v>
      </c>
      <c r="P121" s="1021">
        <f>(VLOOKUP(YEAR($A121),'NY East Load Projections'!$A$4:$EO$14,((MONTH($A121)-1)*12)+VLOOKUP(P$4,$DE$6:$DF$17,2)+1))*$B121</f>
        <v>-2263.4179890644637</v>
      </c>
      <c r="Q121" s="1021">
        <f>(VLOOKUP(YEAR($A121),'NY East Load Projections'!$A$4:$EO$14,((MONTH($A121)-1)*12)+VLOOKUP(Q$4,$DE$6:$DF$17,2)+1))*$B121</f>
        <v>-2263.4179890644637</v>
      </c>
      <c r="R121" s="1021">
        <f>(VLOOKUP(YEAR($A121),'NY East Load Projections'!$A$4:$EO$14,((MONTH($A121)-1)*12)+VLOOKUP(R$4,$DE$6:$DF$17,2)+1))*$B121</f>
        <v>-2263.4179890644637</v>
      </c>
      <c r="S121" s="1021">
        <f>(VLOOKUP(YEAR($A121),'NY East Load Projections'!$A$4:$EO$14,((MONTH($A121)-1)*12)+VLOOKUP(S$4,$DE$6:$DF$17,2)+1))*$B121</f>
        <v>-2263.4179890644637</v>
      </c>
      <c r="T121" s="1021">
        <f>(VLOOKUP(YEAR($A121),'NY East Load Projections'!$A$4:$EO$14,((MONTH($A121)-1)*12)+VLOOKUP(T$4,$DE$6:$DF$17,2)+1))*$B121</f>
        <v>-2288.0626630562933</v>
      </c>
      <c r="U121" s="1021">
        <f>(VLOOKUP(YEAR($A121),'NY East Load Projections'!$A$4:$EO$14,((MONTH($A121)-1)*12)+VLOOKUP(U$4,$DE$6:$DF$17,2)+1))*$B121</f>
        <v>-2288.0626630562933</v>
      </c>
      <c r="V121" s="1021">
        <f>(VLOOKUP(YEAR($A121),'NY East Load Projections'!$A$4:$EO$14,((MONTH($A121)-1)*12)+VLOOKUP(V$4,$DE$6:$DF$17,2)+1))*$B121</f>
        <v>-2288.0626630562933</v>
      </c>
      <c r="W121" s="1021">
        <f>(VLOOKUP(YEAR($A121),'NY East Load Projections'!$A$4:$EO$14,((MONTH($A121)-1)*12)+VLOOKUP(W$4,$DE$6:$DF$17,2)+1))*$B121</f>
        <v>-2288.0626630562933</v>
      </c>
      <c r="X121" s="1021">
        <f>(VLOOKUP(YEAR($A121),'NY East Load Projections'!$A$4:$EO$14,((MONTH($A121)-1)*12)+VLOOKUP(X$4,$DE$6:$DF$17,2)+1))*$B121</f>
        <v>-2196.7355134066966</v>
      </c>
      <c r="Y121" s="1021">
        <f>(VLOOKUP(YEAR($A121),'NY East Load Projections'!$A$4:$EO$14,((MONTH($A121)-1)*12)+VLOOKUP(Y$4,$DE$6:$DF$17,2)+1))*$B121</f>
        <v>-2196.7355134066966</v>
      </c>
      <c r="Z121" s="1021">
        <f>(VLOOKUP(YEAR($A121),'NY East Load Projections'!$A$4:$EO$14,((MONTH($A121)-1)*12)+VLOOKUP(Z$4,$DE$6:$DF$17,2)+1))*$B121</f>
        <v>-2196.7355134066966</v>
      </c>
      <c r="AA121" s="1021">
        <f>(VLOOKUP(YEAR($A121),'NY East Load Projections'!$A$4:$EO$14,((MONTH($A121)-1)*12)+VLOOKUP(AA$4,$DE$6:$DF$17,2)+1))*$B121</f>
        <v>-2196.7355134066966</v>
      </c>
      <c r="AB121" s="1021">
        <f>(VLOOKUP(YEAR($A121),'NY East Load Projections'!$A$4:$EO$14,((MONTH($A121)-1)*12)+VLOOKUP(AB$4,$DE$6:$DF$17,2)+1))*$B121</f>
        <v>-2044.3267815745266</v>
      </c>
      <c r="AC121" s="1021">
        <f>(VLOOKUP(YEAR($A121),'NY East Load Projections'!$A$4:$EO$14,((MONTH($A121)-1)*12)+VLOOKUP(AC$4,$DE$6:$DF$17,2)+1))*$B121</f>
        <v>-2044.3267815745266</v>
      </c>
      <c r="AD121" s="1021">
        <f>(VLOOKUP(YEAR($A121),'NY East Load Projections'!$A$4:$EO$14,((MONTH($A121)-1)*12)+VLOOKUP(AD$4,$DE$6:$DF$17,2)+1))*$B121</f>
        <v>-2044.3267815745266</v>
      </c>
      <c r="AE121" s="1021">
        <f>(VLOOKUP(YEAR($A121),'NY East Load Projections'!$A$4:$EO$14,((MONTH($A121)-1)*12)+VLOOKUP(AE$4,$DE$6:$DF$17,2)+1))*$B121</f>
        <v>-2044.3267815745266</v>
      </c>
      <c r="AF121" s="1021"/>
      <c r="AG121" s="1021">
        <f>(VLOOKUP(YEAR($A121),'NY East Load Projections'!$A$4:$EO$14,((MONTH($A121)-1)*12)+VLOOKUP(AG$4,$DE$6:$DF$17,2)+1))*$C121</f>
        <v>-356.18313233568256</v>
      </c>
      <c r="AH121" s="1021">
        <f>(VLOOKUP(YEAR($A121),'NY East Load Projections'!$A$4:$EO$14,((MONTH($A121)-1)*12)+VLOOKUP(AH$4,$DE$6:$DF$17,2)+1))*$C121</f>
        <v>-356.18313233568256</v>
      </c>
      <c r="AI121" s="1021">
        <f>(VLOOKUP(YEAR($A121),'NY East Load Projections'!$A$4:$EO$14,((MONTH($A121)-1)*12)+VLOOKUP(AI$4,$DE$6:$DF$17,2)+1))*$C121</f>
        <v>-356.18313233568256</v>
      </c>
      <c r="AJ121" s="1021">
        <f>(VLOOKUP(YEAR($A121),'NY East Load Projections'!$A$4:$EO$14,((MONTH($A121)-1)*12)+VLOOKUP(AJ$4,$DE$6:$DF$17,2)+1))*$C121</f>
        <v>-356.18313233568256</v>
      </c>
      <c r="AK121" s="1021">
        <f>(VLOOKUP(YEAR($A121),'NY East Load Projections'!$A$4:$EO$14,((MONTH($A121)-1)*12)+VLOOKUP(AK$4,$DE$6:$DF$17,2)+1))*$C121</f>
        <v>-361.64540303793132</v>
      </c>
      <c r="AL121" s="1021">
        <f>(VLOOKUP(YEAR($A121),'NY East Load Projections'!$A$4:$EO$14,((MONTH($A121)-1)*12)+VLOOKUP(AL$4,$DE$6:$DF$17,2)+1))*$C121</f>
        <v>-361.64540303793132</v>
      </c>
      <c r="AM121" s="1021">
        <f>(VLOOKUP(YEAR($A121),'NY East Load Projections'!$A$4:$EO$14,((MONTH($A121)-1)*12)+VLOOKUP(AM$4,$DE$6:$DF$17,2)+1))*$C121</f>
        <v>-361.64540303793132</v>
      </c>
      <c r="AN121" s="1021">
        <f>(VLOOKUP(YEAR($A121),'NY East Load Projections'!$A$4:$EO$14,((MONTH($A121)-1)*12)+VLOOKUP(AN$4,$DE$6:$DF$17,2)+1))*$C121</f>
        <v>-361.64540303793132</v>
      </c>
      <c r="AO121" s="1021">
        <f>(VLOOKUP(YEAR($A121),'NY East Load Projections'!$A$4:$EO$14,((MONTH($A121)-1)*12)+VLOOKUP(AO$4,$DE$6:$DF$17,2)+1))*$C121</f>
        <v>-391.69891452538548</v>
      </c>
      <c r="AP121" s="1021">
        <f>(VLOOKUP(YEAR($A121),'NY East Load Projections'!$A$4:$EO$14,((MONTH($A121)-1)*12)+VLOOKUP(AP$4,$DE$6:$DF$17,2)+1))*$C121</f>
        <v>-391.69891452538548</v>
      </c>
      <c r="AQ121" s="1021">
        <f>(VLOOKUP(YEAR($A121),'NY East Load Projections'!$A$4:$EO$14,((MONTH($A121)-1)*12)+VLOOKUP(AQ$4,$DE$6:$DF$17,2)+1))*$C121</f>
        <v>-391.69891452538548</v>
      </c>
      <c r="AR121" s="1021">
        <f>(VLOOKUP(YEAR($A121),'NY East Load Projections'!$A$4:$EO$14,((MONTH($A121)-1)*12)+VLOOKUP(AR$4,$DE$6:$DF$17,2)+1))*$C121</f>
        <v>-391.69891452538548</v>
      </c>
      <c r="AS121" s="1021">
        <f>(VLOOKUP(YEAR($A121),'NY East Load Projections'!$A$4:$EO$14,((MONTH($A121)-1)*12)+VLOOKUP(AS$4,$DE$6:$DF$17,2)+1))*$C121</f>
        <v>-396.20380834730963</v>
      </c>
      <c r="AT121" s="1021">
        <f>(VLOOKUP(YEAR($A121),'NY East Load Projections'!$A$4:$EO$14,((MONTH($A121)-1)*12)+VLOOKUP(AT$4,$DE$6:$DF$17,2)+1))*$C121</f>
        <v>-396.20380834730963</v>
      </c>
      <c r="AU121" s="1021">
        <f>(VLOOKUP(YEAR($A121),'NY East Load Projections'!$A$4:$EO$14,((MONTH($A121)-1)*12)+VLOOKUP(AU$4,$DE$6:$DF$17,2)+1))*$C121</f>
        <v>-396.20380834730963</v>
      </c>
      <c r="AV121" s="1021">
        <f>(VLOOKUP(YEAR($A121),'NY East Load Projections'!$A$4:$EO$14,((MONTH($A121)-1)*12)+VLOOKUP(AV$4,$DE$6:$DF$17,2)+1))*$C121</f>
        <v>-396.20380834730963</v>
      </c>
      <c r="AW121" s="1021">
        <f>(VLOOKUP(YEAR($A121),'NY East Load Projections'!$A$4:$EO$14,((MONTH($A121)-1)*12)+VLOOKUP(AW$4,$DE$6:$DF$17,2)+1))*$C121</f>
        <v>-383.73972451892644</v>
      </c>
      <c r="AX121" s="1021">
        <f>(VLOOKUP(YEAR($A121),'NY East Load Projections'!$A$4:$EO$14,((MONTH($A121)-1)*12)+VLOOKUP(AX$4,$DE$6:$DF$17,2)+1))*$C121</f>
        <v>-383.73972451892644</v>
      </c>
      <c r="AY121" s="1021">
        <f>(VLOOKUP(YEAR($A121),'NY East Load Projections'!$A$4:$EO$14,((MONTH($A121)-1)*12)+VLOOKUP(AY$4,$DE$6:$DF$17,2)+1))*$C121</f>
        <v>-383.73972451892644</v>
      </c>
      <c r="AZ121" s="1021">
        <f>(VLOOKUP(YEAR($A121),'NY East Load Projections'!$A$4:$EO$14,((MONTH($A121)-1)*12)+VLOOKUP(AZ$4,$DE$6:$DF$17,2)+1))*$C121</f>
        <v>-383.73972451892644</v>
      </c>
      <c r="BA121" s="1021">
        <f>(VLOOKUP(YEAR($A121),'NY East Load Projections'!$A$4:$EO$14,((MONTH($A121)-1)*12)+VLOOKUP(BA$4,$DE$6:$DF$17,2)+1))*$C121</f>
        <v>-369.9889997261443</v>
      </c>
      <c r="BB121" s="1021">
        <f>(VLOOKUP(YEAR($A121),'NY East Load Projections'!$A$4:$EO$14,((MONTH($A121)-1)*12)+VLOOKUP(BB$4,$DE$6:$DF$17,2)+1))*$C121</f>
        <v>-369.9889997261443</v>
      </c>
      <c r="BC121" s="1021">
        <f>(VLOOKUP(YEAR($A121),'NY East Load Projections'!$A$4:$EO$14,((MONTH($A121)-1)*12)+VLOOKUP(BC$4,$DE$6:$DF$17,2)+1))*$C121</f>
        <v>-369.9889997261443</v>
      </c>
      <c r="BD121" s="1021">
        <f>(VLOOKUP(YEAR($A121),'NY East Load Projections'!$A$4:$EO$14,((MONTH($A121)-1)*12)+VLOOKUP(BD$4,$DE$6:$DF$17,2)+1))*$C121</f>
        <v>-369.9889997261443</v>
      </c>
      <c r="BE121" s="1021"/>
      <c r="BF121" s="1021">
        <f>(VLOOKUP(YEAR($A121),'NY East Load Projections'!$A$4:$EO$14,((MONTH($A121)-1)*12)+VLOOKUP(BF$4,$DE$6:$DF$17,2)+1))*$D121</f>
        <v>-445.2289154196032</v>
      </c>
      <c r="BG121" s="1021">
        <f>(VLOOKUP(YEAR($A121),'NY East Load Projections'!$A$4:$EO$14,((MONTH($A121)-1)*12)+VLOOKUP(BG$4,$DE$6:$DF$17,2)+1))*$D121</f>
        <v>-445.2289154196032</v>
      </c>
      <c r="BH121" s="1021">
        <f>(VLOOKUP(YEAR($A121),'NY East Load Projections'!$A$4:$EO$14,((MONTH($A121)-1)*12)+VLOOKUP(BH$4,$DE$6:$DF$17,2)+1))*$D121</f>
        <v>-445.2289154196032</v>
      </c>
      <c r="BI121" s="1021">
        <f>(VLOOKUP(YEAR($A121),'NY East Load Projections'!$A$4:$EO$14,((MONTH($A121)-1)*12)+VLOOKUP(BI$4,$DE$6:$DF$17,2)+1))*$D121</f>
        <v>-445.2289154196032</v>
      </c>
      <c r="BJ121" s="1021">
        <f>(VLOOKUP(YEAR($A121),'NY East Load Projections'!$A$4:$EO$14,((MONTH($A121)-1)*12)+VLOOKUP(BJ$4,$DE$6:$DF$17,2)+1))*$D121</f>
        <v>-452.05675379741416</v>
      </c>
      <c r="BK121" s="1021">
        <f>(VLOOKUP(YEAR($A121),'NY East Load Projections'!$A$4:$EO$14,((MONTH($A121)-1)*12)+VLOOKUP(BK$4,$DE$6:$DF$17,2)+1))*$D121</f>
        <v>-452.05675379741416</v>
      </c>
      <c r="BL121" s="1021">
        <f>(VLOOKUP(YEAR($A121),'NY East Load Projections'!$A$4:$EO$14,((MONTH($A121)-1)*12)+VLOOKUP(BL$4,$DE$6:$DF$17,2)+1))*$D121</f>
        <v>-452.05675379741416</v>
      </c>
      <c r="BM121" s="1021">
        <f>(VLOOKUP(YEAR($A121),'NY East Load Projections'!$A$4:$EO$14,((MONTH($A121)-1)*12)+VLOOKUP(BM$4,$DE$6:$DF$17,2)+1))*$D121</f>
        <v>-452.05675379741416</v>
      </c>
      <c r="BN121" s="1021">
        <f>(VLOOKUP(YEAR($A121),'NY East Load Projections'!$A$4:$EO$14,((MONTH($A121)-1)*12)+VLOOKUP(BN$4,$DE$6:$DF$17,2)+1))*$D121</f>
        <v>-489.62364315673187</v>
      </c>
      <c r="BO121" s="1021">
        <f>(VLOOKUP(YEAR($A121),'NY East Load Projections'!$A$4:$EO$14,((MONTH($A121)-1)*12)+VLOOKUP(BO$4,$DE$6:$DF$17,2)+1))*$D121</f>
        <v>-489.62364315673187</v>
      </c>
      <c r="BP121" s="1021">
        <f>(VLOOKUP(YEAR($A121),'NY East Load Projections'!$A$4:$EO$14,((MONTH($A121)-1)*12)+VLOOKUP(BP$4,$DE$6:$DF$17,2)+1))*$D121</f>
        <v>-489.62364315673187</v>
      </c>
      <c r="BQ121" s="1021">
        <f>(VLOOKUP(YEAR($A121),'NY East Load Projections'!$A$4:$EO$14,((MONTH($A121)-1)*12)+VLOOKUP(BQ$4,$DE$6:$DF$17,2)+1))*$D121</f>
        <v>-489.62364315673187</v>
      </c>
      <c r="BR121" s="1021">
        <f>(VLOOKUP(YEAR($A121),'NY East Load Projections'!$A$4:$EO$14,((MONTH($A121)-1)*12)+VLOOKUP(BR$4,$DE$6:$DF$17,2)+1))*$D121</f>
        <v>-495.25476043413704</v>
      </c>
      <c r="BS121" s="1021">
        <f>(VLOOKUP(YEAR($A121),'NY East Load Projections'!$A$4:$EO$14,((MONTH($A121)-1)*12)+VLOOKUP(BS$4,$DE$6:$DF$17,2)+1))*$D121</f>
        <v>-495.25476043413704</v>
      </c>
      <c r="BT121" s="1021">
        <f>(VLOOKUP(YEAR($A121),'NY East Load Projections'!$A$4:$EO$14,((MONTH($A121)-1)*12)+VLOOKUP(BT$4,$DE$6:$DF$17,2)+1))*$D121</f>
        <v>-495.25476043413704</v>
      </c>
      <c r="BU121" s="1021">
        <f>(VLOOKUP(YEAR($A121),'NY East Load Projections'!$A$4:$EO$14,((MONTH($A121)-1)*12)+VLOOKUP(BU$4,$DE$6:$DF$17,2)+1))*$D121</f>
        <v>-495.25476043413704</v>
      </c>
      <c r="BV121" s="1021">
        <f>(VLOOKUP(YEAR($A121),'NY East Load Projections'!$A$4:$EO$14,((MONTH($A121)-1)*12)+VLOOKUP(BV$4,$DE$6:$DF$17,2)+1))*$D121</f>
        <v>-479.67465564865802</v>
      </c>
      <c r="BW121" s="1021">
        <f>(VLOOKUP(YEAR($A121),'NY East Load Projections'!$A$4:$EO$14,((MONTH($A121)-1)*12)+VLOOKUP(BW$4,$DE$6:$DF$17,2)+1))*$D121</f>
        <v>-479.67465564865802</v>
      </c>
      <c r="BX121" s="1021">
        <f>(VLOOKUP(YEAR($A121),'NY East Load Projections'!$A$4:$EO$14,((MONTH($A121)-1)*12)+VLOOKUP(BX$4,$DE$6:$DF$17,2)+1))*$D121</f>
        <v>-479.67465564865802</v>
      </c>
      <c r="BY121" s="1021">
        <f>(VLOOKUP(YEAR($A121),'NY East Load Projections'!$A$4:$EO$14,((MONTH($A121)-1)*12)+VLOOKUP(BY$4,$DE$6:$DF$17,2)+1))*$D121</f>
        <v>-479.67465564865802</v>
      </c>
      <c r="BZ121" s="1021">
        <f>(VLOOKUP(YEAR($A121),'NY East Load Projections'!$A$4:$EO$14,((MONTH($A121)-1)*12)+VLOOKUP(BZ$4,$DE$6:$DF$17,2)+1))*$D121</f>
        <v>-462.48624965768039</v>
      </c>
      <c r="CA121" s="1021">
        <f>(VLOOKUP(YEAR($A121),'NY East Load Projections'!$A$4:$EO$14,((MONTH($A121)-1)*12)+VLOOKUP(CA$4,$DE$6:$DF$17,2)+1))*$D121</f>
        <v>-462.48624965768039</v>
      </c>
      <c r="CB121" s="1021">
        <f>(VLOOKUP(YEAR($A121),'NY East Load Projections'!$A$4:$EO$14,((MONTH($A121)-1)*12)+VLOOKUP(CB$4,$DE$6:$DF$17,2)+1))*$D121</f>
        <v>-462.48624965768039</v>
      </c>
      <c r="CC121" s="1021">
        <f>(VLOOKUP(YEAR($A121),'NY East Load Projections'!$A$4:$EO$14,((MONTH($A121)-1)*12)+VLOOKUP(CC$4,$DE$6:$DF$17,2)+1))*$D121</f>
        <v>-462.48624965768039</v>
      </c>
      <c r="CE121" s="1021">
        <f>(VLOOKUP(YEAR($A121),'NY East Load Projections'!$A$4:$EO$14,((MONTH($A121)-1)*12)+VLOOKUP(CE$4,$DE$6:$DF$17,2)+1))*$E121</f>
        <v>0</v>
      </c>
      <c r="CF121" s="1021">
        <f>(VLOOKUP(YEAR($A121),'NY East Load Projections'!$A$4:$EO$14,((MONTH($A121)-1)*12)+VLOOKUP(CF$4,$DE$6:$DF$17,2)+1))*$E121</f>
        <v>0</v>
      </c>
      <c r="CG121" s="1021">
        <f>(VLOOKUP(YEAR($A121),'NY East Load Projections'!$A$4:$EO$14,((MONTH($A121)-1)*12)+VLOOKUP(CG$4,$DE$6:$DF$17,2)+1))*$E121</f>
        <v>0</v>
      </c>
      <c r="CH121" s="1021">
        <f>(VLOOKUP(YEAR($A121),'NY East Load Projections'!$A$4:$EO$14,((MONTH($A121)-1)*12)+VLOOKUP(CH$4,$DE$6:$DF$17,2)+1))*$E121</f>
        <v>0</v>
      </c>
      <c r="CI121" s="1021">
        <f>(VLOOKUP(YEAR($A121),'NY East Load Projections'!$A$4:$EO$14,((MONTH($A121)-1)*12)+VLOOKUP(CI$4,$DE$6:$DF$17,2)+1))*$E121</f>
        <v>0</v>
      </c>
      <c r="CJ121" s="1021">
        <f>(VLOOKUP(YEAR($A121),'NY East Load Projections'!$A$4:$EO$14,((MONTH($A121)-1)*12)+VLOOKUP(CJ$4,$DE$6:$DF$17,2)+1))*$E121</f>
        <v>0</v>
      </c>
      <c r="CK121" s="1021">
        <f>(VLOOKUP(YEAR($A121),'NY East Load Projections'!$A$4:$EO$14,((MONTH($A121)-1)*12)+VLOOKUP(CK$4,$DE$6:$DF$17,2)+1))*$E121</f>
        <v>0</v>
      </c>
      <c r="CL121" s="1021">
        <f>(VLOOKUP(YEAR($A121),'NY East Load Projections'!$A$4:$EO$14,((MONTH($A121)-1)*12)+VLOOKUP(CL$4,$DE$6:$DF$17,2)+1))*$E121</f>
        <v>0</v>
      </c>
      <c r="CM121" s="1021">
        <f>(VLOOKUP(YEAR($A121),'NY East Load Projections'!$A$4:$EO$14,((MONTH($A121)-1)*12)+VLOOKUP(CM$4,$DE$6:$DF$17,2)+1))*$E121</f>
        <v>0</v>
      </c>
      <c r="CN121" s="1021">
        <f>(VLOOKUP(YEAR($A121),'NY East Load Projections'!$A$4:$EO$14,((MONTH($A121)-1)*12)+VLOOKUP(CN$4,$DE$6:$DF$17,2)+1))*$E121</f>
        <v>0</v>
      </c>
      <c r="CO121" s="1021">
        <f>(VLOOKUP(YEAR($A121),'NY East Load Projections'!$A$4:$EO$14,((MONTH($A121)-1)*12)+VLOOKUP(CO$4,$DE$6:$DF$17,2)+1))*$E121</f>
        <v>0</v>
      </c>
      <c r="CP121" s="1021">
        <f>(VLOOKUP(YEAR($A121),'NY East Load Projections'!$A$4:$EO$14,((MONTH($A121)-1)*12)+VLOOKUP(CP$4,$DE$6:$DF$17,2)+1))*$E121</f>
        <v>0</v>
      </c>
      <c r="CQ121" s="1021">
        <f>(VLOOKUP(YEAR($A121),'NY East Load Projections'!$A$4:$EO$14,((MONTH($A121)-1)*12)+VLOOKUP(CQ$4,$DE$6:$DF$17,2)+1))*$E121</f>
        <v>0</v>
      </c>
      <c r="CR121" s="1021">
        <f>(VLOOKUP(YEAR($A121),'NY East Load Projections'!$A$4:$EO$14,((MONTH($A121)-1)*12)+VLOOKUP(CR$4,$DE$6:$DF$17,2)+1))*$E121</f>
        <v>0</v>
      </c>
      <c r="CS121" s="1021">
        <f>(VLOOKUP(YEAR($A121),'NY East Load Projections'!$A$4:$EO$14,((MONTH($A121)-1)*12)+VLOOKUP(CS$4,$DE$6:$DF$17,2)+1))*$E121</f>
        <v>0</v>
      </c>
      <c r="CT121" s="1021">
        <f>(VLOOKUP(YEAR($A121),'NY East Load Projections'!$A$4:$EO$14,((MONTH($A121)-1)*12)+VLOOKUP(CT$4,$DE$6:$DF$17,2)+1))*$E121</f>
        <v>0</v>
      </c>
      <c r="CU121" s="1021">
        <f>(VLOOKUP(YEAR($A121),'NY East Load Projections'!$A$4:$EO$14,((MONTH($A121)-1)*12)+VLOOKUP(CU$4,$DE$6:$DF$17,2)+1))*$E121</f>
        <v>0</v>
      </c>
      <c r="CV121" s="1021">
        <f>(VLOOKUP(YEAR($A121),'NY East Load Projections'!$A$4:$EO$14,((MONTH($A121)-1)*12)+VLOOKUP(CV$4,$DE$6:$DF$17,2)+1))*$E121</f>
        <v>0</v>
      </c>
      <c r="CW121" s="1021">
        <f>(VLOOKUP(YEAR($A121),'NY East Load Projections'!$A$4:$EO$14,((MONTH($A121)-1)*12)+VLOOKUP(CW$4,$DE$6:$DF$17,2)+1))*$E121</f>
        <v>0</v>
      </c>
      <c r="CX121" s="1021">
        <f>(VLOOKUP(YEAR($A121),'NY East Load Projections'!$A$4:$EO$14,((MONTH($A121)-1)*12)+VLOOKUP(CX$4,$DE$6:$DF$17,2)+1))*$E121</f>
        <v>0</v>
      </c>
      <c r="CY121" s="1021">
        <f>(VLOOKUP(YEAR($A121),'NY East Load Projections'!$A$4:$EO$14,((MONTH($A121)-1)*12)+VLOOKUP(CY$4,$DE$6:$DF$17,2)+1))*$E121</f>
        <v>0</v>
      </c>
      <c r="CZ121" s="1021">
        <f>(VLOOKUP(YEAR($A121),'NY East Load Projections'!$A$4:$EO$14,((MONTH($A121)-1)*12)+VLOOKUP(CZ$4,$DE$6:$DF$17,2)+1))*$E121</f>
        <v>0</v>
      </c>
      <c r="DA121" s="1021">
        <f>(VLOOKUP(YEAR($A121),'NY East Load Projections'!$A$4:$EO$14,((MONTH($A121)-1)*12)+VLOOKUP(DA$4,$DE$6:$DF$17,2)+1))*$E121</f>
        <v>0</v>
      </c>
      <c r="DB121" s="1021">
        <f>(VLOOKUP(YEAR($A121),'NY East Load Projections'!$A$4:$EO$14,((MONTH($A121)-1)*12)+VLOOKUP(DB$4,$DE$6:$DF$17,2)+1))*$E121</f>
        <v>0</v>
      </c>
      <c r="DH121" s="1009">
        <f t="shared" si="5"/>
        <v>-71911.279940027642</v>
      </c>
      <c r="DI121">
        <f ca="1">CALC!J141</f>
        <v>0.46357209957138773</v>
      </c>
      <c r="DJ121" s="1032">
        <f t="shared" ca="1" si="4"/>
        <v>-33336.063024664429</v>
      </c>
    </row>
    <row r="122" spans="1:114" x14ac:dyDescent="0.25">
      <c r="A122" s="244">
        <v>40422</v>
      </c>
      <c r="B122" s="13">
        <v>21</v>
      </c>
      <c r="C122" s="210">
        <v>4</v>
      </c>
      <c r="D122" s="210">
        <v>4</v>
      </c>
      <c r="E122" s="210">
        <v>1</v>
      </c>
      <c r="F122" s="13">
        <v>30</v>
      </c>
      <c r="H122" s="1021">
        <f>(VLOOKUP(YEAR($A122),'NY East Load Projections'!$A$4:$EO$14,((MONTH($A122)-1)*12)+VLOOKUP(H$4,$DE$6:$DF$17,2)+1))*$B122</f>
        <v>-1896.5149548694437</v>
      </c>
      <c r="I122" s="1021">
        <f>(VLOOKUP(YEAR($A122),'NY East Load Projections'!$A$4:$EO$14,((MONTH($A122)-1)*12)+VLOOKUP(I$4,$DE$6:$DF$17,2)+1))*$B122</f>
        <v>-1896.5149548694437</v>
      </c>
      <c r="J122" s="1021">
        <f>(VLOOKUP(YEAR($A122),'NY East Load Projections'!$A$4:$EO$14,((MONTH($A122)-1)*12)+VLOOKUP(J$4,$DE$6:$DF$17,2)+1))*$B122</f>
        <v>-1896.5149548694437</v>
      </c>
      <c r="K122" s="1021">
        <f>(VLOOKUP(YEAR($A122),'NY East Load Projections'!$A$4:$EO$14,((MONTH($A122)-1)*12)+VLOOKUP(K$4,$DE$6:$DF$17,2)+1))*$B122</f>
        <v>-1896.5149548694437</v>
      </c>
      <c r="L122" s="1021">
        <f>(VLOOKUP(YEAR($A122),'NY East Load Projections'!$A$4:$EO$14,((MONTH($A122)-1)*12)+VLOOKUP(L$4,$DE$6:$DF$17,2)+1))*$B122</f>
        <v>-1962.7695692410307</v>
      </c>
      <c r="M122" s="1021">
        <f>(VLOOKUP(YEAR($A122),'NY East Load Projections'!$A$4:$EO$14,((MONTH($A122)-1)*12)+VLOOKUP(M$4,$DE$6:$DF$17,2)+1))*$B122</f>
        <v>-1962.7695692410307</v>
      </c>
      <c r="N122" s="1021">
        <f>(VLOOKUP(YEAR($A122),'NY East Load Projections'!$A$4:$EO$14,((MONTH($A122)-1)*12)+VLOOKUP(N$4,$DE$6:$DF$17,2)+1))*$B122</f>
        <v>-1962.7695692410307</v>
      </c>
      <c r="O122" s="1021">
        <f>(VLOOKUP(YEAR($A122),'NY East Load Projections'!$A$4:$EO$14,((MONTH($A122)-1)*12)+VLOOKUP(O$4,$DE$6:$DF$17,2)+1))*$B122</f>
        <v>-1962.7695692410307</v>
      </c>
      <c r="P122" s="1021">
        <f>(VLOOKUP(YEAR($A122),'NY East Load Projections'!$A$4:$EO$14,((MONTH($A122)-1)*12)+VLOOKUP(P$4,$DE$6:$DF$17,2)+1))*$B122</f>
        <v>-2077.3947724352893</v>
      </c>
      <c r="Q122" s="1021">
        <f>(VLOOKUP(YEAR($A122),'NY East Load Projections'!$A$4:$EO$14,((MONTH($A122)-1)*12)+VLOOKUP(Q$4,$DE$6:$DF$17,2)+1))*$B122</f>
        <v>-2077.3947724352893</v>
      </c>
      <c r="R122" s="1021">
        <f>(VLOOKUP(YEAR($A122),'NY East Load Projections'!$A$4:$EO$14,((MONTH($A122)-1)*12)+VLOOKUP(R$4,$DE$6:$DF$17,2)+1))*$B122</f>
        <v>-2077.3947724352893</v>
      </c>
      <c r="S122" s="1021">
        <f>(VLOOKUP(YEAR($A122),'NY East Load Projections'!$A$4:$EO$14,((MONTH($A122)-1)*12)+VLOOKUP(S$4,$DE$6:$DF$17,2)+1))*$B122</f>
        <v>-2077.3947724352893</v>
      </c>
      <c r="T122" s="1021">
        <f>(VLOOKUP(YEAR($A122),'NY East Load Projections'!$A$4:$EO$14,((MONTH($A122)-1)*12)+VLOOKUP(T$4,$DE$6:$DF$17,2)+1))*$B122</f>
        <v>-2091.3656459132599</v>
      </c>
      <c r="U122" s="1021">
        <f>(VLOOKUP(YEAR($A122),'NY East Load Projections'!$A$4:$EO$14,((MONTH($A122)-1)*12)+VLOOKUP(U$4,$DE$6:$DF$17,2)+1))*$B122</f>
        <v>-2091.3656459132599</v>
      </c>
      <c r="V122" s="1021">
        <f>(VLOOKUP(YEAR($A122),'NY East Load Projections'!$A$4:$EO$14,((MONTH($A122)-1)*12)+VLOOKUP(V$4,$DE$6:$DF$17,2)+1))*$B122</f>
        <v>-2091.3656459132599</v>
      </c>
      <c r="W122" s="1021">
        <f>(VLOOKUP(YEAR($A122),'NY East Load Projections'!$A$4:$EO$14,((MONTH($A122)-1)*12)+VLOOKUP(W$4,$DE$6:$DF$17,2)+1))*$B122</f>
        <v>-2091.3656459132599</v>
      </c>
      <c r="X122" s="1021">
        <f>(VLOOKUP(YEAR($A122),'NY East Load Projections'!$A$4:$EO$14,((MONTH($A122)-1)*12)+VLOOKUP(X$4,$DE$6:$DF$17,2)+1))*$B122</f>
        <v>-2016.2635454716892</v>
      </c>
      <c r="Y122" s="1021">
        <f>(VLOOKUP(YEAR($A122),'NY East Load Projections'!$A$4:$EO$14,((MONTH($A122)-1)*12)+VLOOKUP(Y$4,$DE$6:$DF$17,2)+1))*$B122</f>
        <v>-2016.2635454716892</v>
      </c>
      <c r="Z122" s="1021">
        <f>(VLOOKUP(YEAR($A122),'NY East Load Projections'!$A$4:$EO$14,((MONTH($A122)-1)*12)+VLOOKUP(Z$4,$DE$6:$DF$17,2)+1))*$B122</f>
        <v>-2016.2635454716892</v>
      </c>
      <c r="AA122" s="1021">
        <f>(VLOOKUP(YEAR($A122),'NY East Load Projections'!$A$4:$EO$14,((MONTH($A122)-1)*12)+VLOOKUP(AA$4,$DE$6:$DF$17,2)+1))*$B122</f>
        <v>-2016.2635454716892</v>
      </c>
      <c r="AB122" s="1021">
        <f>(VLOOKUP(YEAR($A122),'NY East Load Projections'!$A$4:$EO$14,((MONTH($A122)-1)*12)+VLOOKUP(AB$4,$DE$6:$DF$17,2)+1))*$B122</f>
        <v>-1916.1870494280745</v>
      </c>
      <c r="AC122" s="1021">
        <f>(VLOOKUP(YEAR($A122),'NY East Load Projections'!$A$4:$EO$14,((MONTH($A122)-1)*12)+VLOOKUP(AC$4,$DE$6:$DF$17,2)+1))*$B122</f>
        <v>-1916.1870494280745</v>
      </c>
      <c r="AD122" s="1021">
        <f>(VLOOKUP(YEAR($A122),'NY East Load Projections'!$A$4:$EO$14,((MONTH($A122)-1)*12)+VLOOKUP(AD$4,$DE$6:$DF$17,2)+1))*$B122</f>
        <v>-1916.1870494280745</v>
      </c>
      <c r="AE122" s="1021">
        <f>(VLOOKUP(YEAR($A122),'NY East Load Projections'!$A$4:$EO$14,((MONTH($A122)-1)*12)+VLOOKUP(AE$4,$DE$6:$DF$17,2)+1))*$B122</f>
        <v>-1916.1870494280745</v>
      </c>
      <c r="AF122" s="1021"/>
      <c r="AG122" s="1021">
        <f>(VLOOKUP(YEAR($A122),'NY East Load Projections'!$A$4:$EO$14,((MONTH($A122)-1)*12)+VLOOKUP(AG$4,$DE$6:$DF$17,2)+1))*$C122</f>
        <v>-361.40883454598662</v>
      </c>
      <c r="AH122" s="1021">
        <f>(VLOOKUP(YEAR($A122),'NY East Load Projections'!$A$4:$EO$14,((MONTH($A122)-1)*12)+VLOOKUP(AH$4,$DE$6:$DF$17,2)+1))*$C122</f>
        <v>-361.40883454598662</v>
      </c>
      <c r="AI122" s="1021">
        <f>(VLOOKUP(YEAR($A122),'NY East Load Projections'!$A$4:$EO$14,((MONTH($A122)-1)*12)+VLOOKUP(AI$4,$DE$6:$DF$17,2)+1))*$C122</f>
        <v>-361.40883454598662</v>
      </c>
      <c r="AJ122" s="1021">
        <f>(VLOOKUP(YEAR($A122),'NY East Load Projections'!$A$4:$EO$14,((MONTH($A122)-1)*12)+VLOOKUP(AJ$4,$DE$6:$DF$17,2)+1))*$C122</f>
        <v>-361.40883454598662</v>
      </c>
      <c r="AK122" s="1021">
        <f>(VLOOKUP(YEAR($A122),'NY East Load Projections'!$A$4:$EO$14,((MONTH($A122)-1)*12)+VLOOKUP(AK$4,$DE$6:$DF$17,2)+1))*$C122</f>
        <v>-364.07657338139671</v>
      </c>
      <c r="AL122" s="1021">
        <f>(VLOOKUP(YEAR($A122),'NY East Load Projections'!$A$4:$EO$14,((MONTH($A122)-1)*12)+VLOOKUP(AL$4,$DE$6:$DF$17,2)+1))*$C122</f>
        <v>-364.07657338139671</v>
      </c>
      <c r="AM122" s="1021">
        <f>(VLOOKUP(YEAR($A122),'NY East Load Projections'!$A$4:$EO$14,((MONTH($A122)-1)*12)+VLOOKUP(AM$4,$DE$6:$DF$17,2)+1))*$C122</f>
        <v>-364.07657338139671</v>
      </c>
      <c r="AN122" s="1021">
        <f>(VLOOKUP(YEAR($A122),'NY East Load Projections'!$A$4:$EO$14,((MONTH($A122)-1)*12)+VLOOKUP(AN$4,$DE$6:$DF$17,2)+1))*$C122</f>
        <v>-364.07657338139671</v>
      </c>
      <c r="AO122" s="1021">
        <f>(VLOOKUP(YEAR($A122),'NY East Load Projections'!$A$4:$EO$14,((MONTH($A122)-1)*12)+VLOOKUP(AO$4,$DE$6:$DF$17,2)+1))*$C122</f>
        <v>-389.53692207674032</v>
      </c>
      <c r="AP122" s="1021">
        <f>(VLOOKUP(YEAR($A122),'NY East Load Projections'!$A$4:$EO$14,((MONTH($A122)-1)*12)+VLOOKUP(AP$4,$DE$6:$DF$17,2)+1))*$C122</f>
        <v>-389.53692207674032</v>
      </c>
      <c r="AQ122" s="1021">
        <f>(VLOOKUP(YEAR($A122),'NY East Load Projections'!$A$4:$EO$14,((MONTH($A122)-1)*12)+VLOOKUP(AQ$4,$DE$6:$DF$17,2)+1))*$C122</f>
        <v>-389.53692207674032</v>
      </c>
      <c r="AR122" s="1021">
        <f>(VLOOKUP(YEAR($A122),'NY East Load Projections'!$A$4:$EO$14,((MONTH($A122)-1)*12)+VLOOKUP(AR$4,$DE$6:$DF$17,2)+1))*$C122</f>
        <v>-389.53692207674032</v>
      </c>
      <c r="AS122" s="1021">
        <f>(VLOOKUP(YEAR($A122),'NY East Load Projections'!$A$4:$EO$14,((MONTH($A122)-1)*12)+VLOOKUP(AS$4,$DE$6:$DF$17,2)+1))*$C122</f>
        <v>-397.34297632004723</v>
      </c>
      <c r="AT122" s="1021">
        <f>(VLOOKUP(YEAR($A122),'NY East Load Projections'!$A$4:$EO$14,((MONTH($A122)-1)*12)+VLOOKUP(AT$4,$DE$6:$DF$17,2)+1))*$C122</f>
        <v>-397.34297632004723</v>
      </c>
      <c r="AU122" s="1021">
        <f>(VLOOKUP(YEAR($A122),'NY East Load Projections'!$A$4:$EO$14,((MONTH($A122)-1)*12)+VLOOKUP(AU$4,$DE$6:$DF$17,2)+1))*$C122</f>
        <v>-397.34297632004723</v>
      </c>
      <c r="AV122" s="1021">
        <f>(VLOOKUP(YEAR($A122),'NY East Load Projections'!$A$4:$EO$14,((MONTH($A122)-1)*12)+VLOOKUP(AV$4,$DE$6:$DF$17,2)+1))*$C122</f>
        <v>-397.34297632004723</v>
      </c>
      <c r="AW122" s="1021">
        <f>(VLOOKUP(YEAR($A122),'NY East Load Projections'!$A$4:$EO$14,((MONTH($A122)-1)*12)+VLOOKUP(AW$4,$DE$6:$DF$17,2)+1))*$C122</f>
        <v>-387.65780264455884</v>
      </c>
      <c r="AX122" s="1021">
        <f>(VLOOKUP(YEAR($A122),'NY East Load Projections'!$A$4:$EO$14,((MONTH($A122)-1)*12)+VLOOKUP(AX$4,$DE$6:$DF$17,2)+1))*$C122</f>
        <v>-387.65780264455884</v>
      </c>
      <c r="AY122" s="1021">
        <f>(VLOOKUP(YEAR($A122),'NY East Load Projections'!$A$4:$EO$14,((MONTH($A122)-1)*12)+VLOOKUP(AY$4,$DE$6:$DF$17,2)+1))*$C122</f>
        <v>-387.65780264455884</v>
      </c>
      <c r="AZ122" s="1021">
        <f>(VLOOKUP(YEAR($A122),'NY East Load Projections'!$A$4:$EO$14,((MONTH($A122)-1)*12)+VLOOKUP(AZ$4,$DE$6:$DF$17,2)+1))*$C122</f>
        <v>-387.65780264455884</v>
      </c>
      <c r="BA122" s="1021">
        <f>(VLOOKUP(YEAR($A122),'NY East Load Projections'!$A$4:$EO$14,((MONTH($A122)-1)*12)+VLOOKUP(BA$4,$DE$6:$DF$17,2)+1))*$C122</f>
        <v>-375.86364502193703</v>
      </c>
      <c r="BB122" s="1021">
        <f>(VLOOKUP(YEAR($A122),'NY East Load Projections'!$A$4:$EO$14,((MONTH($A122)-1)*12)+VLOOKUP(BB$4,$DE$6:$DF$17,2)+1))*$C122</f>
        <v>-375.86364502193703</v>
      </c>
      <c r="BC122" s="1021">
        <f>(VLOOKUP(YEAR($A122),'NY East Load Projections'!$A$4:$EO$14,((MONTH($A122)-1)*12)+VLOOKUP(BC$4,$DE$6:$DF$17,2)+1))*$C122</f>
        <v>-375.86364502193703</v>
      </c>
      <c r="BD122" s="1021">
        <f>(VLOOKUP(YEAR($A122),'NY East Load Projections'!$A$4:$EO$14,((MONTH($A122)-1)*12)+VLOOKUP(BD$4,$DE$6:$DF$17,2)+1))*$C122</f>
        <v>-375.86364502193703</v>
      </c>
      <c r="BE122" s="1021"/>
      <c r="BF122" s="1021">
        <f>(VLOOKUP(YEAR($A122),'NY East Load Projections'!$A$4:$EO$14,((MONTH($A122)-1)*12)+VLOOKUP(BF$4,$DE$6:$DF$17,2)+1))*$D122</f>
        <v>-361.40883454598662</v>
      </c>
      <c r="BG122" s="1021">
        <f>(VLOOKUP(YEAR($A122),'NY East Load Projections'!$A$4:$EO$14,((MONTH($A122)-1)*12)+VLOOKUP(BG$4,$DE$6:$DF$17,2)+1))*$D122</f>
        <v>-361.40883454598662</v>
      </c>
      <c r="BH122" s="1021">
        <f>(VLOOKUP(YEAR($A122),'NY East Load Projections'!$A$4:$EO$14,((MONTH($A122)-1)*12)+VLOOKUP(BH$4,$DE$6:$DF$17,2)+1))*$D122</f>
        <v>-361.40883454598662</v>
      </c>
      <c r="BI122" s="1021">
        <f>(VLOOKUP(YEAR($A122),'NY East Load Projections'!$A$4:$EO$14,((MONTH($A122)-1)*12)+VLOOKUP(BI$4,$DE$6:$DF$17,2)+1))*$D122</f>
        <v>-361.40883454598662</v>
      </c>
      <c r="BJ122" s="1021">
        <f>(VLOOKUP(YEAR($A122),'NY East Load Projections'!$A$4:$EO$14,((MONTH($A122)-1)*12)+VLOOKUP(BJ$4,$DE$6:$DF$17,2)+1))*$D122</f>
        <v>-364.07657338139671</v>
      </c>
      <c r="BK122" s="1021">
        <f>(VLOOKUP(YEAR($A122),'NY East Load Projections'!$A$4:$EO$14,((MONTH($A122)-1)*12)+VLOOKUP(BK$4,$DE$6:$DF$17,2)+1))*$D122</f>
        <v>-364.07657338139671</v>
      </c>
      <c r="BL122" s="1021">
        <f>(VLOOKUP(YEAR($A122),'NY East Load Projections'!$A$4:$EO$14,((MONTH($A122)-1)*12)+VLOOKUP(BL$4,$DE$6:$DF$17,2)+1))*$D122</f>
        <v>-364.07657338139671</v>
      </c>
      <c r="BM122" s="1021">
        <f>(VLOOKUP(YEAR($A122),'NY East Load Projections'!$A$4:$EO$14,((MONTH($A122)-1)*12)+VLOOKUP(BM$4,$DE$6:$DF$17,2)+1))*$D122</f>
        <v>-364.07657338139671</v>
      </c>
      <c r="BN122" s="1021">
        <f>(VLOOKUP(YEAR($A122),'NY East Load Projections'!$A$4:$EO$14,((MONTH($A122)-1)*12)+VLOOKUP(BN$4,$DE$6:$DF$17,2)+1))*$D122</f>
        <v>-389.53692207674032</v>
      </c>
      <c r="BO122" s="1021">
        <f>(VLOOKUP(YEAR($A122),'NY East Load Projections'!$A$4:$EO$14,((MONTH($A122)-1)*12)+VLOOKUP(BO$4,$DE$6:$DF$17,2)+1))*$D122</f>
        <v>-389.53692207674032</v>
      </c>
      <c r="BP122" s="1021">
        <f>(VLOOKUP(YEAR($A122),'NY East Load Projections'!$A$4:$EO$14,((MONTH($A122)-1)*12)+VLOOKUP(BP$4,$DE$6:$DF$17,2)+1))*$D122</f>
        <v>-389.53692207674032</v>
      </c>
      <c r="BQ122" s="1021">
        <f>(VLOOKUP(YEAR($A122),'NY East Load Projections'!$A$4:$EO$14,((MONTH($A122)-1)*12)+VLOOKUP(BQ$4,$DE$6:$DF$17,2)+1))*$D122</f>
        <v>-389.53692207674032</v>
      </c>
      <c r="BR122" s="1021">
        <f>(VLOOKUP(YEAR($A122),'NY East Load Projections'!$A$4:$EO$14,((MONTH($A122)-1)*12)+VLOOKUP(BR$4,$DE$6:$DF$17,2)+1))*$D122</f>
        <v>-397.34297632004723</v>
      </c>
      <c r="BS122" s="1021">
        <f>(VLOOKUP(YEAR($A122),'NY East Load Projections'!$A$4:$EO$14,((MONTH($A122)-1)*12)+VLOOKUP(BS$4,$DE$6:$DF$17,2)+1))*$D122</f>
        <v>-397.34297632004723</v>
      </c>
      <c r="BT122" s="1021">
        <f>(VLOOKUP(YEAR($A122),'NY East Load Projections'!$A$4:$EO$14,((MONTH($A122)-1)*12)+VLOOKUP(BT$4,$DE$6:$DF$17,2)+1))*$D122</f>
        <v>-397.34297632004723</v>
      </c>
      <c r="BU122" s="1021">
        <f>(VLOOKUP(YEAR($A122),'NY East Load Projections'!$A$4:$EO$14,((MONTH($A122)-1)*12)+VLOOKUP(BU$4,$DE$6:$DF$17,2)+1))*$D122</f>
        <v>-397.34297632004723</v>
      </c>
      <c r="BV122" s="1021">
        <f>(VLOOKUP(YEAR($A122),'NY East Load Projections'!$A$4:$EO$14,((MONTH($A122)-1)*12)+VLOOKUP(BV$4,$DE$6:$DF$17,2)+1))*$D122</f>
        <v>-387.65780264455884</v>
      </c>
      <c r="BW122" s="1021">
        <f>(VLOOKUP(YEAR($A122),'NY East Load Projections'!$A$4:$EO$14,((MONTH($A122)-1)*12)+VLOOKUP(BW$4,$DE$6:$DF$17,2)+1))*$D122</f>
        <v>-387.65780264455884</v>
      </c>
      <c r="BX122" s="1021">
        <f>(VLOOKUP(YEAR($A122),'NY East Load Projections'!$A$4:$EO$14,((MONTH($A122)-1)*12)+VLOOKUP(BX$4,$DE$6:$DF$17,2)+1))*$D122</f>
        <v>-387.65780264455884</v>
      </c>
      <c r="BY122" s="1021">
        <f>(VLOOKUP(YEAR($A122),'NY East Load Projections'!$A$4:$EO$14,((MONTH($A122)-1)*12)+VLOOKUP(BY$4,$DE$6:$DF$17,2)+1))*$D122</f>
        <v>-387.65780264455884</v>
      </c>
      <c r="BZ122" s="1021">
        <f>(VLOOKUP(YEAR($A122),'NY East Load Projections'!$A$4:$EO$14,((MONTH($A122)-1)*12)+VLOOKUP(BZ$4,$DE$6:$DF$17,2)+1))*$D122</f>
        <v>-375.86364502193703</v>
      </c>
      <c r="CA122" s="1021">
        <f>(VLOOKUP(YEAR($A122),'NY East Load Projections'!$A$4:$EO$14,((MONTH($A122)-1)*12)+VLOOKUP(CA$4,$DE$6:$DF$17,2)+1))*$D122</f>
        <v>-375.86364502193703</v>
      </c>
      <c r="CB122" s="1021">
        <f>(VLOOKUP(YEAR($A122),'NY East Load Projections'!$A$4:$EO$14,((MONTH($A122)-1)*12)+VLOOKUP(CB$4,$DE$6:$DF$17,2)+1))*$D122</f>
        <v>-375.86364502193703</v>
      </c>
      <c r="CC122" s="1021">
        <f>(VLOOKUP(YEAR($A122),'NY East Load Projections'!$A$4:$EO$14,((MONTH($A122)-1)*12)+VLOOKUP(CC$4,$DE$6:$DF$17,2)+1))*$D122</f>
        <v>-375.86364502193703</v>
      </c>
      <c r="CE122" s="1021">
        <f>(VLOOKUP(YEAR($A122),'NY East Load Projections'!$A$4:$EO$14,((MONTH($A122)-1)*12)+VLOOKUP(CE$4,$DE$6:$DF$17,2)+1))*$E122</f>
        <v>-90.352208636496655</v>
      </c>
      <c r="CF122" s="1021">
        <f>(VLOOKUP(YEAR($A122),'NY East Load Projections'!$A$4:$EO$14,((MONTH($A122)-1)*12)+VLOOKUP(CF$4,$DE$6:$DF$17,2)+1))*$E122</f>
        <v>-90.352208636496655</v>
      </c>
      <c r="CG122" s="1021">
        <f>(VLOOKUP(YEAR($A122),'NY East Load Projections'!$A$4:$EO$14,((MONTH($A122)-1)*12)+VLOOKUP(CG$4,$DE$6:$DF$17,2)+1))*$E122</f>
        <v>-90.352208636496655</v>
      </c>
      <c r="CH122" s="1021">
        <f>(VLOOKUP(YEAR($A122),'NY East Load Projections'!$A$4:$EO$14,((MONTH($A122)-1)*12)+VLOOKUP(CH$4,$DE$6:$DF$17,2)+1))*$E122</f>
        <v>-90.352208636496655</v>
      </c>
      <c r="CI122" s="1021">
        <f>(VLOOKUP(YEAR($A122),'NY East Load Projections'!$A$4:$EO$14,((MONTH($A122)-1)*12)+VLOOKUP(CI$4,$DE$6:$DF$17,2)+1))*$E122</f>
        <v>-91.019143345349178</v>
      </c>
      <c r="CJ122" s="1021">
        <f>(VLOOKUP(YEAR($A122),'NY East Load Projections'!$A$4:$EO$14,((MONTH($A122)-1)*12)+VLOOKUP(CJ$4,$DE$6:$DF$17,2)+1))*$E122</f>
        <v>-91.019143345349178</v>
      </c>
      <c r="CK122" s="1021">
        <f>(VLOOKUP(YEAR($A122),'NY East Load Projections'!$A$4:$EO$14,((MONTH($A122)-1)*12)+VLOOKUP(CK$4,$DE$6:$DF$17,2)+1))*$E122</f>
        <v>-91.019143345349178</v>
      </c>
      <c r="CL122" s="1021">
        <f>(VLOOKUP(YEAR($A122),'NY East Load Projections'!$A$4:$EO$14,((MONTH($A122)-1)*12)+VLOOKUP(CL$4,$DE$6:$DF$17,2)+1))*$E122</f>
        <v>-91.019143345349178</v>
      </c>
      <c r="CM122" s="1021">
        <f>(VLOOKUP(YEAR($A122),'NY East Load Projections'!$A$4:$EO$14,((MONTH($A122)-1)*12)+VLOOKUP(CM$4,$DE$6:$DF$17,2)+1))*$E122</f>
        <v>-97.384230519185081</v>
      </c>
      <c r="CN122" s="1021">
        <f>(VLOOKUP(YEAR($A122),'NY East Load Projections'!$A$4:$EO$14,((MONTH($A122)-1)*12)+VLOOKUP(CN$4,$DE$6:$DF$17,2)+1))*$E122</f>
        <v>-97.384230519185081</v>
      </c>
      <c r="CO122" s="1021">
        <f>(VLOOKUP(YEAR($A122),'NY East Load Projections'!$A$4:$EO$14,((MONTH($A122)-1)*12)+VLOOKUP(CO$4,$DE$6:$DF$17,2)+1))*$E122</f>
        <v>-97.384230519185081</v>
      </c>
      <c r="CP122" s="1021">
        <f>(VLOOKUP(YEAR($A122),'NY East Load Projections'!$A$4:$EO$14,((MONTH($A122)-1)*12)+VLOOKUP(CP$4,$DE$6:$DF$17,2)+1))*$E122</f>
        <v>-97.384230519185081</v>
      </c>
      <c r="CQ122" s="1021">
        <f>(VLOOKUP(YEAR($A122),'NY East Load Projections'!$A$4:$EO$14,((MONTH($A122)-1)*12)+VLOOKUP(CQ$4,$DE$6:$DF$17,2)+1))*$E122</f>
        <v>-99.335744080011807</v>
      </c>
      <c r="CR122" s="1021">
        <f>(VLOOKUP(YEAR($A122),'NY East Load Projections'!$A$4:$EO$14,((MONTH($A122)-1)*12)+VLOOKUP(CR$4,$DE$6:$DF$17,2)+1))*$E122</f>
        <v>-99.335744080011807</v>
      </c>
      <c r="CS122" s="1021">
        <f>(VLOOKUP(YEAR($A122),'NY East Load Projections'!$A$4:$EO$14,((MONTH($A122)-1)*12)+VLOOKUP(CS$4,$DE$6:$DF$17,2)+1))*$E122</f>
        <v>-99.335744080011807</v>
      </c>
      <c r="CT122" s="1021">
        <f>(VLOOKUP(YEAR($A122),'NY East Load Projections'!$A$4:$EO$14,((MONTH($A122)-1)*12)+VLOOKUP(CT$4,$DE$6:$DF$17,2)+1))*$E122</f>
        <v>-99.335744080011807</v>
      </c>
      <c r="CU122" s="1021">
        <f>(VLOOKUP(YEAR($A122),'NY East Load Projections'!$A$4:$EO$14,((MONTH($A122)-1)*12)+VLOOKUP(CU$4,$DE$6:$DF$17,2)+1))*$E122</f>
        <v>-96.914450661139711</v>
      </c>
      <c r="CV122" s="1021">
        <f>(VLOOKUP(YEAR($A122),'NY East Load Projections'!$A$4:$EO$14,((MONTH($A122)-1)*12)+VLOOKUP(CV$4,$DE$6:$DF$17,2)+1))*$E122</f>
        <v>-96.914450661139711</v>
      </c>
      <c r="CW122" s="1021">
        <f>(VLOOKUP(YEAR($A122),'NY East Load Projections'!$A$4:$EO$14,((MONTH($A122)-1)*12)+VLOOKUP(CW$4,$DE$6:$DF$17,2)+1))*$E122</f>
        <v>-96.914450661139711</v>
      </c>
      <c r="CX122" s="1021">
        <f>(VLOOKUP(YEAR($A122),'NY East Load Projections'!$A$4:$EO$14,((MONTH($A122)-1)*12)+VLOOKUP(CX$4,$DE$6:$DF$17,2)+1))*$E122</f>
        <v>-96.914450661139711</v>
      </c>
      <c r="CY122" s="1021">
        <f>(VLOOKUP(YEAR($A122),'NY East Load Projections'!$A$4:$EO$14,((MONTH($A122)-1)*12)+VLOOKUP(CY$4,$DE$6:$DF$17,2)+1))*$E122</f>
        <v>-93.965911255484258</v>
      </c>
      <c r="CZ122" s="1021">
        <f>(VLOOKUP(YEAR($A122),'NY East Load Projections'!$A$4:$EO$14,((MONTH($A122)-1)*12)+VLOOKUP(CZ$4,$DE$6:$DF$17,2)+1))*$E122</f>
        <v>-93.965911255484258</v>
      </c>
      <c r="DA122" s="1021">
        <f>(VLOOKUP(YEAR($A122),'NY East Load Projections'!$A$4:$EO$14,((MONTH($A122)-1)*12)+VLOOKUP(DA$4,$DE$6:$DF$17,2)+1))*$E122</f>
        <v>-93.965911255484258</v>
      </c>
      <c r="DB122" s="1021">
        <f>(VLOOKUP(YEAR($A122),'NY East Load Projections'!$A$4:$EO$14,((MONTH($A122)-1)*12)+VLOOKUP(DB$4,$DE$6:$DF$17,2)+1))*$E122</f>
        <v>-93.965911255484258</v>
      </c>
      <c r="DH122" s="1009">
        <f t="shared" si="5"/>
        <v>-68324.962935351068</v>
      </c>
      <c r="DI122">
        <f ca="1">CALC!J142</f>
        <v>0.46080758483535578</v>
      </c>
      <c r="DJ122" s="1032">
        <f t="shared" ca="1" si="4"/>
        <v>-31484.661154204325</v>
      </c>
    </row>
    <row r="123" spans="1:114" x14ac:dyDescent="0.25">
      <c r="A123" s="244">
        <v>40452</v>
      </c>
      <c r="B123" s="13">
        <v>21</v>
      </c>
      <c r="C123" s="210">
        <v>5</v>
      </c>
      <c r="D123" s="210">
        <v>5</v>
      </c>
      <c r="E123" s="210">
        <v>0</v>
      </c>
      <c r="F123" s="13">
        <v>31</v>
      </c>
      <c r="H123" s="1021">
        <f>(VLOOKUP(YEAR($A123),'NY East Load Projections'!$A$4:$EO$14,((MONTH($A123)-1)*12)+VLOOKUP(H$4,$DE$6:$DF$17,2)+1))*$B123</f>
        <v>0</v>
      </c>
      <c r="I123" s="1021">
        <f>(VLOOKUP(YEAR($A123),'NY East Load Projections'!$A$4:$EO$14,((MONTH($A123)-1)*12)+VLOOKUP(I$4,$DE$6:$DF$17,2)+1))*$B123</f>
        <v>0</v>
      </c>
      <c r="J123" s="1021">
        <f>(VLOOKUP(YEAR($A123),'NY East Load Projections'!$A$4:$EO$14,((MONTH($A123)-1)*12)+VLOOKUP(J$4,$DE$6:$DF$17,2)+1))*$B123</f>
        <v>0</v>
      </c>
      <c r="K123" s="1021">
        <f>(VLOOKUP(YEAR($A123),'NY East Load Projections'!$A$4:$EO$14,((MONTH($A123)-1)*12)+VLOOKUP(K$4,$DE$6:$DF$17,2)+1))*$B123</f>
        <v>0</v>
      </c>
      <c r="L123" s="1021">
        <f>(VLOOKUP(YEAR($A123),'NY East Load Projections'!$A$4:$EO$14,((MONTH($A123)-1)*12)+VLOOKUP(L$4,$DE$6:$DF$17,2)+1))*$B123</f>
        <v>0</v>
      </c>
      <c r="M123" s="1021">
        <f>(VLOOKUP(YEAR($A123),'NY East Load Projections'!$A$4:$EO$14,((MONTH($A123)-1)*12)+VLOOKUP(M$4,$DE$6:$DF$17,2)+1))*$B123</f>
        <v>0</v>
      </c>
      <c r="N123" s="1021">
        <f>(VLOOKUP(YEAR($A123),'NY East Load Projections'!$A$4:$EO$14,((MONTH($A123)-1)*12)+VLOOKUP(N$4,$DE$6:$DF$17,2)+1))*$B123</f>
        <v>0</v>
      </c>
      <c r="O123" s="1021">
        <f>(VLOOKUP(YEAR($A123),'NY East Load Projections'!$A$4:$EO$14,((MONTH($A123)-1)*12)+VLOOKUP(O$4,$DE$6:$DF$17,2)+1))*$B123</f>
        <v>0</v>
      </c>
      <c r="P123" s="1021">
        <f>(VLOOKUP(YEAR($A123),'NY East Load Projections'!$A$4:$EO$14,((MONTH($A123)-1)*12)+VLOOKUP(P$4,$DE$6:$DF$17,2)+1))*$B123</f>
        <v>0</v>
      </c>
      <c r="Q123" s="1021">
        <f>(VLOOKUP(YEAR($A123),'NY East Load Projections'!$A$4:$EO$14,((MONTH($A123)-1)*12)+VLOOKUP(Q$4,$DE$6:$DF$17,2)+1))*$B123</f>
        <v>0</v>
      </c>
      <c r="R123" s="1021">
        <f>(VLOOKUP(YEAR($A123),'NY East Load Projections'!$A$4:$EO$14,((MONTH($A123)-1)*12)+VLOOKUP(R$4,$DE$6:$DF$17,2)+1))*$B123</f>
        <v>0</v>
      </c>
      <c r="S123" s="1021">
        <f>(VLOOKUP(YEAR($A123),'NY East Load Projections'!$A$4:$EO$14,((MONTH($A123)-1)*12)+VLOOKUP(S$4,$DE$6:$DF$17,2)+1))*$B123</f>
        <v>0</v>
      </c>
      <c r="T123" s="1021">
        <f>(VLOOKUP(YEAR($A123),'NY East Load Projections'!$A$4:$EO$14,((MONTH($A123)-1)*12)+VLOOKUP(T$4,$DE$6:$DF$17,2)+1))*$B123</f>
        <v>0</v>
      </c>
      <c r="U123" s="1021">
        <f>(VLOOKUP(YEAR($A123),'NY East Load Projections'!$A$4:$EO$14,((MONTH($A123)-1)*12)+VLOOKUP(U$4,$DE$6:$DF$17,2)+1))*$B123</f>
        <v>0</v>
      </c>
      <c r="V123" s="1021">
        <f>(VLOOKUP(YEAR($A123),'NY East Load Projections'!$A$4:$EO$14,((MONTH($A123)-1)*12)+VLOOKUP(V$4,$DE$6:$DF$17,2)+1))*$B123</f>
        <v>0</v>
      </c>
      <c r="W123" s="1021">
        <f>(VLOOKUP(YEAR($A123),'NY East Load Projections'!$A$4:$EO$14,((MONTH($A123)-1)*12)+VLOOKUP(W$4,$DE$6:$DF$17,2)+1))*$B123</f>
        <v>0</v>
      </c>
      <c r="X123" s="1021">
        <f>(VLOOKUP(YEAR($A123),'NY East Load Projections'!$A$4:$EO$14,((MONTH($A123)-1)*12)+VLOOKUP(X$4,$DE$6:$DF$17,2)+1))*$B123</f>
        <v>0</v>
      </c>
      <c r="Y123" s="1021">
        <f>(VLOOKUP(YEAR($A123),'NY East Load Projections'!$A$4:$EO$14,((MONTH($A123)-1)*12)+VLOOKUP(Y$4,$DE$6:$DF$17,2)+1))*$B123</f>
        <v>0</v>
      </c>
      <c r="Z123" s="1021">
        <f>(VLOOKUP(YEAR($A123),'NY East Load Projections'!$A$4:$EO$14,((MONTH($A123)-1)*12)+VLOOKUP(Z$4,$DE$6:$DF$17,2)+1))*$B123</f>
        <v>0</v>
      </c>
      <c r="AA123" s="1021">
        <f>(VLOOKUP(YEAR($A123),'NY East Load Projections'!$A$4:$EO$14,((MONTH($A123)-1)*12)+VLOOKUP(AA$4,$DE$6:$DF$17,2)+1))*$B123</f>
        <v>0</v>
      </c>
      <c r="AB123" s="1021">
        <f>(VLOOKUP(YEAR($A123),'NY East Load Projections'!$A$4:$EO$14,((MONTH($A123)-1)*12)+VLOOKUP(AB$4,$DE$6:$DF$17,2)+1))*$B123</f>
        <v>0</v>
      </c>
      <c r="AC123" s="1021">
        <f>(VLOOKUP(YEAR($A123),'NY East Load Projections'!$A$4:$EO$14,((MONTH($A123)-1)*12)+VLOOKUP(AC$4,$DE$6:$DF$17,2)+1))*$B123</f>
        <v>0</v>
      </c>
      <c r="AD123" s="1021">
        <f>(VLOOKUP(YEAR($A123),'NY East Load Projections'!$A$4:$EO$14,((MONTH($A123)-1)*12)+VLOOKUP(AD$4,$DE$6:$DF$17,2)+1))*$B123</f>
        <v>0</v>
      </c>
      <c r="AE123" s="1021">
        <f>(VLOOKUP(YEAR($A123),'NY East Load Projections'!$A$4:$EO$14,((MONTH($A123)-1)*12)+VLOOKUP(AE$4,$DE$6:$DF$17,2)+1))*$B123</f>
        <v>0</v>
      </c>
      <c r="AF123" s="1021"/>
      <c r="AG123" s="1021">
        <f>(VLOOKUP(YEAR($A123),'NY East Load Projections'!$A$4:$EO$14,((MONTH($A123)-1)*12)+VLOOKUP(AG$4,$DE$6:$DF$17,2)+1))*$C123</f>
        <v>0</v>
      </c>
      <c r="AH123" s="1021">
        <f>(VLOOKUP(YEAR($A123),'NY East Load Projections'!$A$4:$EO$14,((MONTH($A123)-1)*12)+VLOOKUP(AH$4,$DE$6:$DF$17,2)+1))*$C123</f>
        <v>0</v>
      </c>
      <c r="AI123" s="1021">
        <f>(VLOOKUP(YEAR($A123),'NY East Load Projections'!$A$4:$EO$14,((MONTH($A123)-1)*12)+VLOOKUP(AI$4,$DE$6:$DF$17,2)+1))*$C123</f>
        <v>0</v>
      </c>
      <c r="AJ123" s="1021">
        <f>(VLOOKUP(YEAR($A123),'NY East Load Projections'!$A$4:$EO$14,((MONTH($A123)-1)*12)+VLOOKUP(AJ$4,$DE$6:$DF$17,2)+1))*$C123</f>
        <v>0</v>
      </c>
      <c r="AK123" s="1021">
        <f>(VLOOKUP(YEAR($A123),'NY East Load Projections'!$A$4:$EO$14,((MONTH($A123)-1)*12)+VLOOKUP(AK$4,$DE$6:$DF$17,2)+1))*$C123</f>
        <v>0</v>
      </c>
      <c r="AL123" s="1021">
        <f>(VLOOKUP(YEAR($A123),'NY East Load Projections'!$A$4:$EO$14,((MONTH($A123)-1)*12)+VLOOKUP(AL$4,$DE$6:$DF$17,2)+1))*$C123</f>
        <v>0</v>
      </c>
      <c r="AM123" s="1021">
        <f>(VLOOKUP(YEAR($A123),'NY East Load Projections'!$A$4:$EO$14,((MONTH($A123)-1)*12)+VLOOKUP(AM$4,$DE$6:$DF$17,2)+1))*$C123</f>
        <v>0</v>
      </c>
      <c r="AN123" s="1021">
        <f>(VLOOKUP(YEAR($A123),'NY East Load Projections'!$A$4:$EO$14,((MONTH($A123)-1)*12)+VLOOKUP(AN$4,$DE$6:$DF$17,2)+1))*$C123</f>
        <v>0</v>
      </c>
      <c r="AO123" s="1021">
        <f>(VLOOKUP(YEAR($A123),'NY East Load Projections'!$A$4:$EO$14,((MONTH($A123)-1)*12)+VLOOKUP(AO$4,$DE$6:$DF$17,2)+1))*$C123</f>
        <v>0</v>
      </c>
      <c r="AP123" s="1021">
        <f>(VLOOKUP(YEAR($A123),'NY East Load Projections'!$A$4:$EO$14,((MONTH($A123)-1)*12)+VLOOKUP(AP$4,$DE$6:$DF$17,2)+1))*$C123</f>
        <v>0</v>
      </c>
      <c r="AQ123" s="1021">
        <f>(VLOOKUP(YEAR($A123),'NY East Load Projections'!$A$4:$EO$14,((MONTH($A123)-1)*12)+VLOOKUP(AQ$4,$DE$6:$DF$17,2)+1))*$C123</f>
        <v>0</v>
      </c>
      <c r="AR123" s="1021">
        <f>(VLOOKUP(YEAR($A123),'NY East Load Projections'!$A$4:$EO$14,((MONTH($A123)-1)*12)+VLOOKUP(AR$4,$DE$6:$DF$17,2)+1))*$C123</f>
        <v>0</v>
      </c>
      <c r="AS123" s="1021">
        <f>(VLOOKUP(YEAR($A123),'NY East Load Projections'!$A$4:$EO$14,((MONTH($A123)-1)*12)+VLOOKUP(AS$4,$DE$6:$DF$17,2)+1))*$C123</f>
        <v>0</v>
      </c>
      <c r="AT123" s="1021">
        <f>(VLOOKUP(YEAR($A123),'NY East Load Projections'!$A$4:$EO$14,((MONTH($A123)-1)*12)+VLOOKUP(AT$4,$DE$6:$DF$17,2)+1))*$C123</f>
        <v>0</v>
      </c>
      <c r="AU123" s="1021">
        <f>(VLOOKUP(YEAR($A123),'NY East Load Projections'!$A$4:$EO$14,((MONTH($A123)-1)*12)+VLOOKUP(AU$4,$DE$6:$DF$17,2)+1))*$C123</f>
        <v>0</v>
      </c>
      <c r="AV123" s="1021">
        <f>(VLOOKUP(YEAR($A123),'NY East Load Projections'!$A$4:$EO$14,((MONTH($A123)-1)*12)+VLOOKUP(AV$4,$DE$6:$DF$17,2)+1))*$C123</f>
        <v>0</v>
      </c>
      <c r="AW123" s="1021">
        <f>(VLOOKUP(YEAR($A123),'NY East Load Projections'!$A$4:$EO$14,((MONTH($A123)-1)*12)+VLOOKUP(AW$4,$DE$6:$DF$17,2)+1))*$C123</f>
        <v>0</v>
      </c>
      <c r="AX123" s="1021">
        <f>(VLOOKUP(YEAR($A123),'NY East Load Projections'!$A$4:$EO$14,((MONTH($A123)-1)*12)+VLOOKUP(AX$4,$DE$6:$DF$17,2)+1))*$C123</f>
        <v>0</v>
      </c>
      <c r="AY123" s="1021">
        <f>(VLOOKUP(YEAR($A123),'NY East Load Projections'!$A$4:$EO$14,((MONTH($A123)-1)*12)+VLOOKUP(AY$4,$DE$6:$DF$17,2)+1))*$C123</f>
        <v>0</v>
      </c>
      <c r="AZ123" s="1021">
        <f>(VLOOKUP(YEAR($A123),'NY East Load Projections'!$A$4:$EO$14,((MONTH($A123)-1)*12)+VLOOKUP(AZ$4,$DE$6:$DF$17,2)+1))*$C123</f>
        <v>0</v>
      </c>
      <c r="BA123" s="1021">
        <f>(VLOOKUP(YEAR($A123),'NY East Load Projections'!$A$4:$EO$14,((MONTH($A123)-1)*12)+VLOOKUP(BA$4,$DE$6:$DF$17,2)+1))*$C123</f>
        <v>0</v>
      </c>
      <c r="BB123" s="1021">
        <f>(VLOOKUP(YEAR($A123),'NY East Load Projections'!$A$4:$EO$14,((MONTH($A123)-1)*12)+VLOOKUP(BB$4,$DE$6:$DF$17,2)+1))*$C123</f>
        <v>0</v>
      </c>
      <c r="BC123" s="1021">
        <f>(VLOOKUP(YEAR($A123),'NY East Load Projections'!$A$4:$EO$14,((MONTH($A123)-1)*12)+VLOOKUP(BC$4,$DE$6:$DF$17,2)+1))*$C123</f>
        <v>0</v>
      </c>
      <c r="BD123" s="1021">
        <f>(VLOOKUP(YEAR($A123),'NY East Load Projections'!$A$4:$EO$14,((MONTH($A123)-1)*12)+VLOOKUP(BD$4,$DE$6:$DF$17,2)+1))*$C123</f>
        <v>0</v>
      </c>
      <c r="BE123" s="1021"/>
      <c r="BF123" s="1021">
        <f>(VLOOKUP(YEAR($A123),'NY East Load Projections'!$A$4:$EO$14,((MONTH($A123)-1)*12)+VLOOKUP(BF$4,$DE$6:$DF$17,2)+1))*$D123</f>
        <v>0</v>
      </c>
      <c r="BG123" s="1021">
        <f>(VLOOKUP(YEAR($A123),'NY East Load Projections'!$A$4:$EO$14,((MONTH($A123)-1)*12)+VLOOKUP(BG$4,$DE$6:$DF$17,2)+1))*$D123</f>
        <v>0</v>
      </c>
      <c r="BH123" s="1021">
        <f>(VLOOKUP(YEAR($A123),'NY East Load Projections'!$A$4:$EO$14,((MONTH($A123)-1)*12)+VLOOKUP(BH$4,$DE$6:$DF$17,2)+1))*$D123</f>
        <v>0</v>
      </c>
      <c r="BI123" s="1021">
        <f>(VLOOKUP(YEAR($A123),'NY East Load Projections'!$A$4:$EO$14,((MONTH($A123)-1)*12)+VLOOKUP(BI$4,$DE$6:$DF$17,2)+1))*$D123</f>
        <v>0</v>
      </c>
      <c r="BJ123" s="1021">
        <f>(VLOOKUP(YEAR($A123),'NY East Load Projections'!$A$4:$EO$14,((MONTH($A123)-1)*12)+VLOOKUP(BJ$4,$DE$6:$DF$17,2)+1))*$D123</f>
        <v>0</v>
      </c>
      <c r="BK123" s="1021">
        <f>(VLOOKUP(YEAR($A123),'NY East Load Projections'!$A$4:$EO$14,((MONTH($A123)-1)*12)+VLOOKUP(BK$4,$DE$6:$DF$17,2)+1))*$D123</f>
        <v>0</v>
      </c>
      <c r="BL123" s="1021">
        <f>(VLOOKUP(YEAR($A123),'NY East Load Projections'!$A$4:$EO$14,((MONTH($A123)-1)*12)+VLOOKUP(BL$4,$DE$6:$DF$17,2)+1))*$D123</f>
        <v>0</v>
      </c>
      <c r="BM123" s="1021">
        <f>(VLOOKUP(YEAR($A123),'NY East Load Projections'!$A$4:$EO$14,((MONTH($A123)-1)*12)+VLOOKUP(BM$4,$DE$6:$DF$17,2)+1))*$D123</f>
        <v>0</v>
      </c>
      <c r="BN123" s="1021">
        <f>(VLOOKUP(YEAR($A123),'NY East Load Projections'!$A$4:$EO$14,((MONTH($A123)-1)*12)+VLOOKUP(BN$4,$DE$6:$DF$17,2)+1))*$D123</f>
        <v>0</v>
      </c>
      <c r="BO123" s="1021">
        <f>(VLOOKUP(YEAR($A123),'NY East Load Projections'!$A$4:$EO$14,((MONTH($A123)-1)*12)+VLOOKUP(BO$4,$DE$6:$DF$17,2)+1))*$D123</f>
        <v>0</v>
      </c>
      <c r="BP123" s="1021">
        <f>(VLOOKUP(YEAR($A123),'NY East Load Projections'!$A$4:$EO$14,((MONTH($A123)-1)*12)+VLOOKUP(BP$4,$DE$6:$DF$17,2)+1))*$D123</f>
        <v>0</v>
      </c>
      <c r="BQ123" s="1021">
        <f>(VLOOKUP(YEAR($A123),'NY East Load Projections'!$A$4:$EO$14,((MONTH($A123)-1)*12)+VLOOKUP(BQ$4,$DE$6:$DF$17,2)+1))*$D123</f>
        <v>0</v>
      </c>
      <c r="BR123" s="1021">
        <f>(VLOOKUP(YEAR($A123),'NY East Load Projections'!$A$4:$EO$14,((MONTH($A123)-1)*12)+VLOOKUP(BR$4,$DE$6:$DF$17,2)+1))*$D123</f>
        <v>0</v>
      </c>
      <c r="BS123" s="1021">
        <f>(VLOOKUP(YEAR($A123),'NY East Load Projections'!$A$4:$EO$14,((MONTH($A123)-1)*12)+VLOOKUP(BS$4,$DE$6:$DF$17,2)+1))*$D123</f>
        <v>0</v>
      </c>
      <c r="BT123" s="1021">
        <f>(VLOOKUP(YEAR($A123),'NY East Load Projections'!$A$4:$EO$14,((MONTH($A123)-1)*12)+VLOOKUP(BT$4,$DE$6:$DF$17,2)+1))*$D123</f>
        <v>0</v>
      </c>
      <c r="BU123" s="1021">
        <f>(VLOOKUP(YEAR($A123),'NY East Load Projections'!$A$4:$EO$14,((MONTH($A123)-1)*12)+VLOOKUP(BU$4,$DE$6:$DF$17,2)+1))*$D123</f>
        <v>0</v>
      </c>
      <c r="BV123" s="1021">
        <f>(VLOOKUP(YEAR($A123),'NY East Load Projections'!$A$4:$EO$14,((MONTH($A123)-1)*12)+VLOOKUP(BV$4,$DE$6:$DF$17,2)+1))*$D123</f>
        <v>0</v>
      </c>
      <c r="BW123" s="1021">
        <f>(VLOOKUP(YEAR($A123),'NY East Load Projections'!$A$4:$EO$14,((MONTH($A123)-1)*12)+VLOOKUP(BW$4,$DE$6:$DF$17,2)+1))*$D123</f>
        <v>0</v>
      </c>
      <c r="BX123" s="1021">
        <f>(VLOOKUP(YEAR($A123),'NY East Load Projections'!$A$4:$EO$14,((MONTH($A123)-1)*12)+VLOOKUP(BX$4,$DE$6:$DF$17,2)+1))*$D123</f>
        <v>0</v>
      </c>
      <c r="BY123" s="1021">
        <f>(VLOOKUP(YEAR($A123),'NY East Load Projections'!$A$4:$EO$14,((MONTH($A123)-1)*12)+VLOOKUP(BY$4,$DE$6:$DF$17,2)+1))*$D123</f>
        <v>0</v>
      </c>
      <c r="BZ123" s="1021">
        <f>(VLOOKUP(YEAR($A123),'NY East Load Projections'!$A$4:$EO$14,((MONTH($A123)-1)*12)+VLOOKUP(BZ$4,$DE$6:$DF$17,2)+1))*$D123</f>
        <v>0</v>
      </c>
      <c r="CA123" s="1021">
        <f>(VLOOKUP(YEAR($A123),'NY East Load Projections'!$A$4:$EO$14,((MONTH($A123)-1)*12)+VLOOKUP(CA$4,$DE$6:$DF$17,2)+1))*$D123</f>
        <v>0</v>
      </c>
      <c r="CB123" s="1021">
        <f>(VLOOKUP(YEAR($A123),'NY East Load Projections'!$A$4:$EO$14,((MONTH($A123)-1)*12)+VLOOKUP(CB$4,$DE$6:$DF$17,2)+1))*$D123</f>
        <v>0</v>
      </c>
      <c r="CC123" s="1021">
        <f>(VLOOKUP(YEAR($A123),'NY East Load Projections'!$A$4:$EO$14,((MONTH($A123)-1)*12)+VLOOKUP(CC$4,$DE$6:$DF$17,2)+1))*$D123</f>
        <v>0</v>
      </c>
      <c r="CE123" s="1021">
        <f>(VLOOKUP(YEAR($A123),'NY East Load Projections'!$A$4:$EO$14,((MONTH($A123)-1)*12)+VLOOKUP(CE$4,$DE$6:$DF$17,2)+1))*$E123</f>
        <v>0</v>
      </c>
      <c r="CF123" s="1021">
        <f>(VLOOKUP(YEAR($A123),'NY East Load Projections'!$A$4:$EO$14,((MONTH($A123)-1)*12)+VLOOKUP(CF$4,$DE$6:$DF$17,2)+1))*$E123</f>
        <v>0</v>
      </c>
      <c r="CG123" s="1021">
        <f>(VLOOKUP(YEAR($A123),'NY East Load Projections'!$A$4:$EO$14,((MONTH($A123)-1)*12)+VLOOKUP(CG$4,$DE$6:$DF$17,2)+1))*$E123</f>
        <v>0</v>
      </c>
      <c r="CH123" s="1021">
        <f>(VLOOKUP(YEAR($A123),'NY East Load Projections'!$A$4:$EO$14,((MONTH($A123)-1)*12)+VLOOKUP(CH$4,$DE$6:$DF$17,2)+1))*$E123</f>
        <v>0</v>
      </c>
      <c r="CI123" s="1021">
        <f>(VLOOKUP(YEAR($A123),'NY East Load Projections'!$A$4:$EO$14,((MONTH($A123)-1)*12)+VLOOKUP(CI$4,$DE$6:$DF$17,2)+1))*$E123</f>
        <v>0</v>
      </c>
      <c r="CJ123" s="1021">
        <f>(VLOOKUP(YEAR($A123),'NY East Load Projections'!$A$4:$EO$14,((MONTH($A123)-1)*12)+VLOOKUP(CJ$4,$DE$6:$DF$17,2)+1))*$E123</f>
        <v>0</v>
      </c>
      <c r="CK123" s="1021">
        <f>(VLOOKUP(YEAR($A123),'NY East Load Projections'!$A$4:$EO$14,((MONTH($A123)-1)*12)+VLOOKUP(CK$4,$DE$6:$DF$17,2)+1))*$E123</f>
        <v>0</v>
      </c>
      <c r="CL123" s="1021">
        <f>(VLOOKUP(YEAR($A123),'NY East Load Projections'!$A$4:$EO$14,((MONTH($A123)-1)*12)+VLOOKUP(CL$4,$DE$6:$DF$17,2)+1))*$E123</f>
        <v>0</v>
      </c>
      <c r="CM123" s="1021">
        <f>(VLOOKUP(YEAR($A123),'NY East Load Projections'!$A$4:$EO$14,((MONTH($A123)-1)*12)+VLOOKUP(CM$4,$DE$6:$DF$17,2)+1))*$E123</f>
        <v>0</v>
      </c>
      <c r="CN123" s="1021">
        <f>(VLOOKUP(YEAR($A123),'NY East Load Projections'!$A$4:$EO$14,((MONTH($A123)-1)*12)+VLOOKUP(CN$4,$DE$6:$DF$17,2)+1))*$E123</f>
        <v>0</v>
      </c>
      <c r="CO123" s="1021">
        <f>(VLOOKUP(YEAR($A123),'NY East Load Projections'!$A$4:$EO$14,((MONTH($A123)-1)*12)+VLOOKUP(CO$4,$DE$6:$DF$17,2)+1))*$E123</f>
        <v>0</v>
      </c>
      <c r="CP123" s="1021">
        <f>(VLOOKUP(YEAR($A123),'NY East Load Projections'!$A$4:$EO$14,((MONTH($A123)-1)*12)+VLOOKUP(CP$4,$DE$6:$DF$17,2)+1))*$E123</f>
        <v>0</v>
      </c>
      <c r="CQ123" s="1021">
        <f>(VLOOKUP(YEAR($A123),'NY East Load Projections'!$A$4:$EO$14,((MONTH($A123)-1)*12)+VLOOKUP(CQ$4,$DE$6:$DF$17,2)+1))*$E123</f>
        <v>0</v>
      </c>
      <c r="CR123" s="1021">
        <f>(VLOOKUP(YEAR($A123),'NY East Load Projections'!$A$4:$EO$14,((MONTH($A123)-1)*12)+VLOOKUP(CR$4,$DE$6:$DF$17,2)+1))*$E123</f>
        <v>0</v>
      </c>
      <c r="CS123" s="1021">
        <f>(VLOOKUP(YEAR($A123),'NY East Load Projections'!$A$4:$EO$14,((MONTH($A123)-1)*12)+VLOOKUP(CS$4,$DE$6:$DF$17,2)+1))*$E123</f>
        <v>0</v>
      </c>
      <c r="CT123" s="1021">
        <f>(VLOOKUP(YEAR($A123),'NY East Load Projections'!$A$4:$EO$14,((MONTH($A123)-1)*12)+VLOOKUP(CT$4,$DE$6:$DF$17,2)+1))*$E123</f>
        <v>0</v>
      </c>
      <c r="CU123" s="1021">
        <f>(VLOOKUP(YEAR($A123),'NY East Load Projections'!$A$4:$EO$14,((MONTH($A123)-1)*12)+VLOOKUP(CU$4,$DE$6:$DF$17,2)+1))*$E123</f>
        <v>0</v>
      </c>
      <c r="CV123" s="1021">
        <f>(VLOOKUP(YEAR($A123),'NY East Load Projections'!$A$4:$EO$14,((MONTH($A123)-1)*12)+VLOOKUP(CV$4,$DE$6:$DF$17,2)+1))*$E123</f>
        <v>0</v>
      </c>
      <c r="CW123" s="1021">
        <f>(VLOOKUP(YEAR($A123),'NY East Load Projections'!$A$4:$EO$14,((MONTH($A123)-1)*12)+VLOOKUP(CW$4,$DE$6:$DF$17,2)+1))*$E123</f>
        <v>0</v>
      </c>
      <c r="CX123" s="1021">
        <f>(VLOOKUP(YEAR($A123),'NY East Load Projections'!$A$4:$EO$14,((MONTH($A123)-1)*12)+VLOOKUP(CX$4,$DE$6:$DF$17,2)+1))*$E123</f>
        <v>0</v>
      </c>
      <c r="CY123" s="1021">
        <f>(VLOOKUP(YEAR($A123),'NY East Load Projections'!$A$4:$EO$14,((MONTH($A123)-1)*12)+VLOOKUP(CY$4,$DE$6:$DF$17,2)+1))*$E123</f>
        <v>0</v>
      </c>
      <c r="CZ123" s="1021">
        <f>(VLOOKUP(YEAR($A123),'NY East Load Projections'!$A$4:$EO$14,((MONTH($A123)-1)*12)+VLOOKUP(CZ$4,$DE$6:$DF$17,2)+1))*$E123</f>
        <v>0</v>
      </c>
      <c r="DA123" s="1021">
        <f>(VLOOKUP(YEAR($A123),'NY East Load Projections'!$A$4:$EO$14,((MONTH($A123)-1)*12)+VLOOKUP(DA$4,$DE$6:$DF$17,2)+1))*$E123</f>
        <v>0</v>
      </c>
      <c r="DB123" s="1021">
        <f>(VLOOKUP(YEAR($A123),'NY East Load Projections'!$A$4:$EO$14,((MONTH($A123)-1)*12)+VLOOKUP(DB$4,$DE$6:$DF$17,2)+1))*$E123</f>
        <v>0</v>
      </c>
      <c r="DH123" s="1009">
        <f t="shared" si="5"/>
        <v>0</v>
      </c>
      <c r="DI123">
        <f ca="1">CALC!J143</f>
        <v>0.45796816908869958</v>
      </c>
      <c r="DJ123" s="1032">
        <f t="shared" ca="1" si="4"/>
        <v>0</v>
      </c>
    </row>
    <row r="124" spans="1:114" x14ac:dyDescent="0.25">
      <c r="A124" s="244">
        <v>40483</v>
      </c>
      <c r="B124" s="13">
        <v>21</v>
      </c>
      <c r="C124" s="210">
        <v>4</v>
      </c>
      <c r="D124" s="210">
        <v>4</v>
      </c>
      <c r="E124" s="210">
        <v>1</v>
      </c>
      <c r="F124" s="13">
        <v>30</v>
      </c>
      <c r="H124" s="1021">
        <f>(VLOOKUP(YEAR($A124),'NY East Load Projections'!$A$4:$EO$14,((MONTH($A124)-1)*12)+VLOOKUP(H$4,$DE$6:$DF$17,2)+1))*$B124</f>
        <v>0</v>
      </c>
      <c r="I124" s="1021">
        <f>(VLOOKUP(YEAR($A124),'NY East Load Projections'!$A$4:$EO$14,((MONTH($A124)-1)*12)+VLOOKUP(I$4,$DE$6:$DF$17,2)+1))*$B124</f>
        <v>0</v>
      </c>
      <c r="J124" s="1021">
        <f>(VLOOKUP(YEAR($A124),'NY East Load Projections'!$A$4:$EO$14,((MONTH($A124)-1)*12)+VLOOKUP(J$4,$DE$6:$DF$17,2)+1))*$B124</f>
        <v>0</v>
      </c>
      <c r="K124" s="1021">
        <f>(VLOOKUP(YEAR($A124),'NY East Load Projections'!$A$4:$EO$14,((MONTH($A124)-1)*12)+VLOOKUP(K$4,$DE$6:$DF$17,2)+1))*$B124</f>
        <v>0</v>
      </c>
      <c r="L124" s="1021">
        <f>(VLOOKUP(YEAR($A124),'NY East Load Projections'!$A$4:$EO$14,((MONTH($A124)-1)*12)+VLOOKUP(L$4,$DE$6:$DF$17,2)+1))*$B124</f>
        <v>0</v>
      </c>
      <c r="M124" s="1021">
        <f>(VLOOKUP(YEAR($A124),'NY East Load Projections'!$A$4:$EO$14,((MONTH($A124)-1)*12)+VLOOKUP(M$4,$DE$6:$DF$17,2)+1))*$B124</f>
        <v>0</v>
      </c>
      <c r="N124" s="1021">
        <f>(VLOOKUP(YEAR($A124),'NY East Load Projections'!$A$4:$EO$14,((MONTH($A124)-1)*12)+VLOOKUP(N$4,$DE$6:$DF$17,2)+1))*$B124</f>
        <v>0</v>
      </c>
      <c r="O124" s="1021">
        <f>(VLOOKUP(YEAR($A124),'NY East Load Projections'!$A$4:$EO$14,((MONTH($A124)-1)*12)+VLOOKUP(O$4,$DE$6:$DF$17,2)+1))*$B124</f>
        <v>0</v>
      </c>
      <c r="P124" s="1021">
        <f>(VLOOKUP(YEAR($A124),'NY East Load Projections'!$A$4:$EO$14,((MONTH($A124)-1)*12)+VLOOKUP(P$4,$DE$6:$DF$17,2)+1))*$B124</f>
        <v>0</v>
      </c>
      <c r="Q124" s="1021">
        <f>(VLOOKUP(YEAR($A124),'NY East Load Projections'!$A$4:$EO$14,((MONTH($A124)-1)*12)+VLOOKUP(Q$4,$DE$6:$DF$17,2)+1))*$B124</f>
        <v>0</v>
      </c>
      <c r="R124" s="1021">
        <f>(VLOOKUP(YEAR($A124),'NY East Load Projections'!$A$4:$EO$14,((MONTH($A124)-1)*12)+VLOOKUP(R$4,$DE$6:$DF$17,2)+1))*$B124</f>
        <v>0</v>
      </c>
      <c r="S124" s="1021">
        <f>(VLOOKUP(YEAR($A124),'NY East Load Projections'!$A$4:$EO$14,((MONTH($A124)-1)*12)+VLOOKUP(S$4,$DE$6:$DF$17,2)+1))*$B124</f>
        <v>0</v>
      </c>
      <c r="T124" s="1021">
        <f>(VLOOKUP(YEAR($A124),'NY East Load Projections'!$A$4:$EO$14,((MONTH($A124)-1)*12)+VLOOKUP(T$4,$DE$6:$DF$17,2)+1))*$B124</f>
        <v>0</v>
      </c>
      <c r="U124" s="1021">
        <f>(VLOOKUP(YEAR($A124),'NY East Load Projections'!$A$4:$EO$14,((MONTH($A124)-1)*12)+VLOOKUP(U$4,$DE$6:$DF$17,2)+1))*$B124</f>
        <v>0</v>
      </c>
      <c r="V124" s="1021">
        <f>(VLOOKUP(YEAR($A124),'NY East Load Projections'!$A$4:$EO$14,((MONTH($A124)-1)*12)+VLOOKUP(V$4,$DE$6:$DF$17,2)+1))*$B124</f>
        <v>0</v>
      </c>
      <c r="W124" s="1021">
        <f>(VLOOKUP(YEAR($A124),'NY East Load Projections'!$A$4:$EO$14,((MONTH($A124)-1)*12)+VLOOKUP(W$4,$DE$6:$DF$17,2)+1))*$B124</f>
        <v>0</v>
      </c>
      <c r="X124" s="1021">
        <f>(VLOOKUP(YEAR($A124),'NY East Load Projections'!$A$4:$EO$14,((MONTH($A124)-1)*12)+VLOOKUP(X$4,$DE$6:$DF$17,2)+1))*$B124</f>
        <v>0</v>
      </c>
      <c r="Y124" s="1021">
        <f>(VLOOKUP(YEAR($A124),'NY East Load Projections'!$A$4:$EO$14,((MONTH($A124)-1)*12)+VLOOKUP(Y$4,$DE$6:$DF$17,2)+1))*$B124</f>
        <v>0</v>
      </c>
      <c r="Z124" s="1021">
        <f>(VLOOKUP(YEAR($A124),'NY East Load Projections'!$A$4:$EO$14,((MONTH($A124)-1)*12)+VLOOKUP(Z$4,$DE$6:$DF$17,2)+1))*$B124</f>
        <v>0</v>
      </c>
      <c r="AA124" s="1021">
        <f>(VLOOKUP(YEAR($A124),'NY East Load Projections'!$A$4:$EO$14,((MONTH($A124)-1)*12)+VLOOKUP(AA$4,$DE$6:$DF$17,2)+1))*$B124</f>
        <v>0</v>
      </c>
      <c r="AB124" s="1021">
        <f>(VLOOKUP(YEAR($A124),'NY East Load Projections'!$A$4:$EO$14,((MONTH($A124)-1)*12)+VLOOKUP(AB$4,$DE$6:$DF$17,2)+1))*$B124</f>
        <v>0</v>
      </c>
      <c r="AC124" s="1021">
        <f>(VLOOKUP(YEAR($A124),'NY East Load Projections'!$A$4:$EO$14,((MONTH($A124)-1)*12)+VLOOKUP(AC$4,$DE$6:$DF$17,2)+1))*$B124</f>
        <v>0</v>
      </c>
      <c r="AD124" s="1021">
        <f>(VLOOKUP(YEAR($A124),'NY East Load Projections'!$A$4:$EO$14,((MONTH($A124)-1)*12)+VLOOKUP(AD$4,$DE$6:$DF$17,2)+1))*$B124</f>
        <v>0</v>
      </c>
      <c r="AE124" s="1021">
        <f>(VLOOKUP(YEAR($A124),'NY East Load Projections'!$A$4:$EO$14,((MONTH($A124)-1)*12)+VLOOKUP(AE$4,$DE$6:$DF$17,2)+1))*$B124</f>
        <v>0</v>
      </c>
      <c r="AF124" s="1021"/>
      <c r="AG124" s="1021">
        <f>(VLOOKUP(YEAR($A124),'NY East Load Projections'!$A$4:$EO$14,((MONTH($A124)-1)*12)+VLOOKUP(AG$4,$DE$6:$DF$17,2)+1))*$C124</f>
        <v>0</v>
      </c>
      <c r="AH124" s="1021">
        <f>(VLOOKUP(YEAR($A124),'NY East Load Projections'!$A$4:$EO$14,((MONTH($A124)-1)*12)+VLOOKUP(AH$4,$DE$6:$DF$17,2)+1))*$C124</f>
        <v>0</v>
      </c>
      <c r="AI124" s="1021">
        <f>(VLOOKUP(YEAR($A124),'NY East Load Projections'!$A$4:$EO$14,((MONTH($A124)-1)*12)+VLOOKUP(AI$4,$DE$6:$DF$17,2)+1))*$C124</f>
        <v>0</v>
      </c>
      <c r="AJ124" s="1021">
        <f>(VLOOKUP(YEAR($A124),'NY East Load Projections'!$A$4:$EO$14,((MONTH($A124)-1)*12)+VLOOKUP(AJ$4,$DE$6:$DF$17,2)+1))*$C124</f>
        <v>0</v>
      </c>
      <c r="AK124" s="1021">
        <f>(VLOOKUP(YEAR($A124),'NY East Load Projections'!$A$4:$EO$14,((MONTH($A124)-1)*12)+VLOOKUP(AK$4,$DE$6:$DF$17,2)+1))*$C124</f>
        <v>0</v>
      </c>
      <c r="AL124" s="1021">
        <f>(VLOOKUP(YEAR($A124),'NY East Load Projections'!$A$4:$EO$14,((MONTH($A124)-1)*12)+VLOOKUP(AL$4,$DE$6:$DF$17,2)+1))*$C124</f>
        <v>0</v>
      </c>
      <c r="AM124" s="1021">
        <f>(VLOOKUP(YEAR($A124),'NY East Load Projections'!$A$4:$EO$14,((MONTH($A124)-1)*12)+VLOOKUP(AM$4,$DE$6:$DF$17,2)+1))*$C124</f>
        <v>0</v>
      </c>
      <c r="AN124" s="1021">
        <f>(VLOOKUP(YEAR($A124),'NY East Load Projections'!$A$4:$EO$14,((MONTH($A124)-1)*12)+VLOOKUP(AN$4,$DE$6:$DF$17,2)+1))*$C124</f>
        <v>0</v>
      </c>
      <c r="AO124" s="1021">
        <f>(VLOOKUP(YEAR($A124),'NY East Load Projections'!$A$4:$EO$14,((MONTH($A124)-1)*12)+VLOOKUP(AO$4,$DE$6:$DF$17,2)+1))*$C124</f>
        <v>0</v>
      </c>
      <c r="AP124" s="1021">
        <f>(VLOOKUP(YEAR($A124),'NY East Load Projections'!$A$4:$EO$14,((MONTH($A124)-1)*12)+VLOOKUP(AP$4,$DE$6:$DF$17,2)+1))*$C124</f>
        <v>0</v>
      </c>
      <c r="AQ124" s="1021">
        <f>(VLOOKUP(YEAR($A124),'NY East Load Projections'!$A$4:$EO$14,((MONTH($A124)-1)*12)+VLOOKUP(AQ$4,$DE$6:$DF$17,2)+1))*$C124</f>
        <v>0</v>
      </c>
      <c r="AR124" s="1021">
        <f>(VLOOKUP(YEAR($A124),'NY East Load Projections'!$A$4:$EO$14,((MONTH($A124)-1)*12)+VLOOKUP(AR$4,$DE$6:$DF$17,2)+1))*$C124</f>
        <v>0</v>
      </c>
      <c r="AS124" s="1021">
        <f>(VLOOKUP(YEAR($A124),'NY East Load Projections'!$A$4:$EO$14,((MONTH($A124)-1)*12)+VLOOKUP(AS$4,$DE$6:$DF$17,2)+1))*$C124</f>
        <v>0</v>
      </c>
      <c r="AT124" s="1021">
        <f>(VLOOKUP(YEAR($A124),'NY East Load Projections'!$A$4:$EO$14,((MONTH($A124)-1)*12)+VLOOKUP(AT$4,$DE$6:$DF$17,2)+1))*$C124</f>
        <v>0</v>
      </c>
      <c r="AU124" s="1021">
        <f>(VLOOKUP(YEAR($A124),'NY East Load Projections'!$A$4:$EO$14,((MONTH($A124)-1)*12)+VLOOKUP(AU$4,$DE$6:$DF$17,2)+1))*$C124</f>
        <v>0</v>
      </c>
      <c r="AV124" s="1021">
        <f>(VLOOKUP(YEAR($A124),'NY East Load Projections'!$A$4:$EO$14,((MONTH($A124)-1)*12)+VLOOKUP(AV$4,$DE$6:$DF$17,2)+1))*$C124</f>
        <v>0</v>
      </c>
      <c r="AW124" s="1021">
        <f>(VLOOKUP(YEAR($A124),'NY East Load Projections'!$A$4:$EO$14,((MONTH($A124)-1)*12)+VLOOKUP(AW$4,$DE$6:$DF$17,2)+1))*$C124</f>
        <v>0</v>
      </c>
      <c r="AX124" s="1021">
        <f>(VLOOKUP(YEAR($A124),'NY East Load Projections'!$A$4:$EO$14,((MONTH($A124)-1)*12)+VLOOKUP(AX$4,$DE$6:$DF$17,2)+1))*$C124</f>
        <v>0</v>
      </c>
      <c r="AY124" s="1021">
        <f>(VLOOKUP(YEAR($A124),'NY East Load Projections'!$A$4:$EO$14,((MONTH($A124)-1)*12)+VLOOKUP(AY$4,$DE$6:$DF$17,2)+1))*$C124</f>
        <v>0</v>
      </c>
      <c r="AZ124" s="1021">
        <f>(VLOOKUP(YEAR($A124),'NY East Load Projections'!$A$4:$EO$14,((MONTH($A124)-1)*12)+VLOOKUP(AZ$4,$DE$6:$DF$17,2)+1))*$C124</f>
        <v>0</v>
      </c>
      <c r="BA124" s="1021">
        <f>(VLOOKUP(YEAR($A124),'NY East Load Projections'!$A$4:$EO$14,((MONTH($A124)-1)*12)+VLOOKUP(BA$4,$DE$6:$DF$17,2)+1))*$C124</f>
        <v>0</v>
      </c>
      <c r="BB124" s="1021">
        <f>(VLOOKUP(YEAR($A124),'NY East Load Projections'!$A$4:$EO$14,((MONTH($A124)-1)*12)+VLOOKUP(BB$4,$DE$6:$DF$17,2)+1))*$C124</f>
        <v>0</v>
      </c>
      <c r="BC124" s="1021">
        <f>(VLOOKUP(YEAR($A124),'NY East Load Projections'!$A$4:$EO$14,((MONTH($A124)-1)*12)+VLOOKUP(BC$4,$DE$6:$DF$17,2)+1))*$C124</f>
        <v>0</v>
      </c>
      <c r="BD124" s="1021">
        <f>(VLOOKUP(YEAR($A124),'NY East Load Projections'!$A$4:$EO$14,((MONTH($A124)-1)*12)+VLOOKUP(BD$4,$DE$6:$DF$17,2)+1))*$C124</f>
        <v>0</v>
      </c>
      <c r="BE124" s="1021"/>
      <c r="BF124" s="1021">
        <f>(VLOOKUP(YEAR($A124),'NY East Load Projections'!$A$4:$EO$14,((MONTH($A124)-1)*12)+VLOOKUP(BF$4,$DE$6:$DF$17,2)+1))*$D124</f>
        <v>0</v>
      </c>
      <c r="BG124" s="1021">
        <f>(VLOOKUP(YEAR($A124),'NY East Load Projections'!$A$4:$EO$14,((MONTH($A124)-1)*12)+VLOOKUP(BG$4,$DE$6:$DF$17,2)+1))*$D124</f>
        <v>0</v>
      </c>
      <c r="BH124" s="1021">
        <f>(VLOOKUP(YEAR($A124),'NY East Load Projections'!$A$4:$EO$14,((MONTH($A124)-1)*12)+VLOOKUP(BH$4,$DE$6:$DF$17,2)+1))*$D124</f>
        <v>0</v>
      </c>
      <c r="BI124" s="1021">
        <f>(VLOOKUP(YEAR($A124),'NY East Load Projections'!$A$4:$EO$14,((MONTH($A124)-1)*12)+VLOOKUP(BI$4,$DE$6:$DF$17,2)+1))*$D124</f>
        <v>0</v>
      </c>
      <c r="BJ124" s="1021">
        <f>(VLOOKUP(YEAR($A124),'NY East Load Projections'!$A$4:$EO$14,((MONTH($A124)-1)*12)+VLOOKUP(BJ$4,$DE$6:$DF$17,2)+1))*$D124</f>
        <v>0</v>
      </c>
      <c r="BK124" s="1021">
        <f>(VLOOKUP(YEAR($A124),'NY East Load Projections'!$A$4:$EO$14,((MONTH($A124)-1)*12)+VLOOKUP(BK$4,$DE$6:$DF$17,2)+1))*$D124</f>
        <v>0</v>
      </c>
      <c r="BL124" s="1021">
        <f>(VLOOKUP(YEAR($A124),'NY East Load Projections'!$A$4:$EO$14,((MONTH($A124)-1)*12)+VLOOKUP(BL$4,$DE$6:$DF$17,2)+1))*$D124</f>
        <v>0</v>
      </c>
      <c r="BM124" s="1021">
        <f>(VLOOKUP(YEAR($A124),'NY East Load Projections'!$A$4:$EO$14,((MONTH($A124)-1)*12)+VLOOKUP(BM$4,$DE$6:$DF$17,2)+1))*$D124</f>
        <v>0</v>
      </c>
      <c r="BN124" s="1021">
        <f>(VLOOKUP(YEAR($A124),'NY East Load Projections'!$A$4:$EO$14,((MONTH($A124)-1)*12)+VLOOKUP(BN$4,$DE$6:$DF$17,2)+1))*$D124</f>
        <v>0</v>
      </c>
      <c r="BO124" s="1021">
        <f>(VLOOKUP(YEAR($A124),'NY East Load Projections'!$A$4:$EO$14,((MONTH($A124)-1)*12)+VLOOKUP(BO$4,$DE$6:$DF$17,2)+1))*$D124</f>
        <v>0</v>
      </c>
      <c r="BP124" s="1021">
        <f>(VLOOKUP(YEAR($A124),'NY East Load Projections'!$A$4:$EO$14,((MONTH($A124)-1)*12)+VLOOKUP(BP$4,$DE$6:$DF$17,2)+1))*$D124</f>
        <v>0</v>
      </c>
      <c r="BQ124" s="1021">
        <f>(VLOOKUP(YEAR($A124),'NY East Load Projections'!$A$4:$EO$14,((MONTH($A124)-1)*12)+VLOOKUP(BQ$4,$DE$6:$DF$17,2)+1))*$D124</f>
        <v>0</v>
      </c>
      <c r="BR124" s="1021">
        <f>(VLOOKUP(YEAR($A124),'NY East Load Projections'!$A$4:$EO$14,((MONTH($A124)-1)*12)+VLOOKUP(BR$4,$DE$6:$DF$17,2)+1))*$D124</f>
        <v>0</v>
      </c>
      <c r="BS124" s="1021">
        <f>(VLOOKUP(YEAR($A124),'NY East Load Projections'!$A$4:$EO$14,((MONTH($A124)-1)*12)+VLOOKUP(BS$4,$DE$6:$DF$17,2)+1))*$D124</f>
        <v>0</v>
      </c>
      <c r="BT124" s="1021">
        <f>(VLOOKUP(YEAR($A124),'NY East Load Projections'!$A$4:$EO$14,((MONTH($A124)-1)*12)+VLOOKUP(BT$4,$DE$6:$DF$17,2)+1))*$D124</f>
        <v>0</v>
      </c>
      <c r="BU124" s="1021">
        <f>(VLOOKUP(YEAR($A124),'NY East Load Projections'!$A$4:$EO$14,((MONTH($A124)-1)*12)+VLOOKUP(BU$4,$DE$6:$DF$17,2)+1))*$D124</f>
        <v>0</v>
      </c>
      <c r="BV124" s="1021">
        <f>(VLOOKUP(YEAR($A124),'NY East Load Projections'!$A$4:$EO$14,((MONTH($A124)-1)*12)+VLOOKUP(BV$4,$DE$6:$DF$17,2)+1))*$D124</f>
        <v>0</v>
      </c>
      <c r="BW124" s="1021">
        <f>(VLOOKUP(YEAR($A124),'NY East Load Projections'!$A$4:$EO$14,((MONTH($A124)-1)*12)+VLOOKUP(BW$4,$DE$6:$DF$17,2)+1))*$D124</f>
        <v>0</v>
      </c>
      <c r="BX124" s="1021">
        <f>(VLOOKUP(YEAR($A124),'NY East Load Projections'!$A$4:$EO$14,((MONTH($A124)-1)*12)+VLOOKUP(BX$4,$DE$6:$DF$17,2)+1))*$D124</f>
        <v>0</v>
      </c>
      <c r="BY124" s="1021">
        <f>(VLOOKUP(YEAR($A124),'NY East Load Projections'!$A$4:$EO$14,((MONTH($A124)-1)*12)+VLOOKUP(BY$4,$DE$6:$DF$17,2)+1))*$D124</f>
        <v>0</v>
      </c>
      <c r="BZ124" s="1021">
        <f>(VLOOKUP(YEAR($A124),'NY East Load Projections'!$A$4:$EO$14,((MONTH($A124)-1)*12)+VLOOKUP(BZ$4,$DE$6:$DF$17,2)+1))*$D124</f>
        <v>0</v>
      </c>
      <c r="CA124" s="1021">
        <f>(VLOOKUP(YEAR($A124),'NY East Load Projections'!$A$4:$EO$14,((MONTH($A124)-1)*12)+VLOOKUP(CA$4,$DE$6:$DF$17,2)+1))*$D124</f>
        <v>0</v>
      </c>
      <c r="CB124" s="1021">
        <f>(VLOOKUP(YEAR($A124),'NY East Load Projections'!$A$4:$EO$14,((MONTH($A124)-1)*12)+VLOOKUP(CB$4,$DE$6:$DF$17,2)+1))*$D124</f>
        <v>0</v>
      </c>
      <c r="CC124" s="1021">
        <f>(VLOOKUP(YEAR($A124),'NY East Load Projections'!$A$4:$EO$14,((MONTH($A124)-1)*12)+VLOOKUP(CC$4,$DE$6:$DF$17,2)+1))*$D124</f>
        <v>0</v>
      </c>
      <c r="CE124" s="1021">
        <f>(VLOOKUP(YEAR($A124),'NY East Load Projections'!$A$4:$EO$14,((MONTH($A124)-1)*12)+VLOOKUP(CE$4,$DE$6:$DF$17,2)+1))*$E124</f>
        <v>0</v>
      </c>
      <c r="CF124" s="1021">
        <f>(VLOOKUP(YEAR($A124),'NY East Load Projections'!$A$4:$EO$14,((MONTH($A124)-1)*12)+VLOOKUP(CF$4,$DE$6:$DF$17,2)+1))*$E124</f>
        <v>0</v>
      </c>
      <c r="CG124" s="1021">
        <f>(VLOOKUP(YEAR($A124),'NY East Load Projections'!$A$4:$EO$14,((MONTH($A124)-1)*12)+VLOOKUP(CG$4,$DE$6:$DF$17,2)+1))*$E124</f>
        <v>0</v>
      </c>
      <c r="CH124" s="1021">
        <f>(VLOOKUP(YEAR($A124),'NY East Load Projections'!$A$4:$EO$14,((MONTH($A124)-1)*12)+VLOOKUP(CH$4,$DE$6:$DF$17,2)+1))*$E124</f>
        <v>0</v>
      </c>
      <c r="CI124" s="1021">
        <f>(VLOOKUP(YEAR($A124),'NY East Load Projections'!$A$4:$EO$14,((MONTH($A124)-1)*12)+VLOOKUP(CI$4,$DE$6:$DF$17,2)+1))*$E124</f>
        <v>0</v>
      </c>
      <c r="CJ124" s="1021">
        <f>(VLOOKUP(YEAR($A124),'NY East Load Projections'!$A$4:$EO$14,((MONTH($A124)-1)*12)+VLOOKUP(CJ$4,$DE$6:$DF$17,2)+1))*$E124</f>
        <v>0</v>
      </c>
      <c r="CK124" s="1021">
        <f>(VLOOKUP(YEAR($A124),'NY East Load Projections'!$A$4:$EO$14,((MONTH($A124)-1)*12)+VLOOKUP(CK$4,$DE$6:$DF$17,2)+1))*$E124</f>
        <v>0</v>
      </c>
      <c r="CL124" s="1021">
        <f>(VLOOKUP(YEAR($A124),'NY East Load Projections'!$A$4:$EO$14,((MONTH($A124)-1)*12)+VLOOKUP(CL$4,$DE$6:$DF$17,2)+1))*$E124</f>
        <v>0</v>
      </c>
      <c r="CM124" s="1021">
        <f>(VLOOKUP(YEAR($A124),'NY East Load Projections'!$A$4:$EO$14,((MONTH($A124)-1)*12)+VLOOKUP(CM$4,$DE$6:$DF$17,2)+1))*$E124</f>
        <v>0</v>
      </c>
      <c r="CN124" s="1021">
        <f>(VLOOKUP(YEAR($A124),'NY East Load Projections'!$A$4:$EO$14,((MONTH($A124)-1)*12)+VLOOKUP(CN$4,$DE$6:$DF$17,2)+1))*$E124</f>
        <v>0</v>
      </c>
      <c r="CO124" s="1021">
        <f>(VLOOKUP(YEAR($A124),'NY East Load Projections'!$A$4:$EO$14,((MONTH($A124)-1)*12)+VLOOKUP(CO$4,$DE$6:$DF$17,2)+1))*$E124</f>
        <v>0</v>
      </c>
      <c r="CP124" s="1021">
        <f>(VLOOKUP(YEAR($A124),'NY East Load Projections'!$A$4:$EO$14,((MONTH($A124)-1)*12)+VLOOKUP(CP$4,$DE$6:$DF$17,2)+1))*$E124</f>
        <v>0</v>
      </c>
      <c r="CQ124" s="1021">
        <f>(VLOOKUP(YEAR($A124),'NY East Load Projections'!$A$4:$EO$14,((MONTH($A124)-1)*12)+VLOOKUP(CQ$4,$DE$6:$DF$17,2)+1))*$E124</f>
        <v>0</v>
      </c>
      <c r="CR124" s="1021">
        <f>(VLOOKUP(YEAR($A124),'NY East Load Projections'!$A$4:$EO$14,((MONTH($A124)-1)*12)+VLOOKUP(CR$4,$DE$6:$DF$17,2)+1))*$E124</f>
        <v>0</v>
      </c>
      <c r="CS124" s="1021">
        <f>(VLOOKUP(YEAR($A124),'NY East Load Projections'!$A$4:$EO$14,((MONTH($A124)-1)*12)+VLOOKUP(CS$4,$DE$6:$DF$17,2)+1))*$E124</f>
        <v>0</v>
      </c>
      <c r="CT124" s="1021">
        <f>(VLOOKUP(YEAR($A124),'NY East Load Projections'!$A$4:$EO$14,((MONTH($A124)-1)*12)+VLOOKUP(CT$4,$DE$6:$DF$17,2)+1))*$E124</f>
        <v>0</v>
      </c>
      <c r="CU124" s="1021">
        <f>(VLOOKUP(YEAR($A124),'NY East Load Projections'!$A$4:$EO$14,((MONTH($A124)-1)*12)+VLOOKUP(CU$4,$DE$6:$DF$17,2)+1))*$E124</f>
        <v>0</v>
      </c>
      <c r="CV124" s="1021">
        <f>(VLOOKUP(YEAR($A124),'NY East Load Projections'!$A$4:$EO$14,((MONTH($A124)-1)*12)+VLOOKUP(CV$4,$DE$6:$DF$17,2)+1))*$E124</f>
        <v>0</v>
      </c>
      <c r="CW124" s="1021">
        <f>(VLOOKUP(YEAR($A124),'NY East Load Projections'!$A$4:$EO$14,((MONTH($A124)-1)*12)+VLOOKUP(CW$4,$DE$6:$DF$17,2)+1))*$E124</f>
        <v>0</v>
      </c>
      <c r="CX124" s="1021">
        <f>(VLOOKUP(YEAR($A124),'NY East Load Projections'!$A$4:$EO$14,((MONTH($A124)-1)*12)+VLOOKUP(CX$4,$DE$6:$DF$17,2)+1))*$E124</f>
        <v>0</v>
      </c>
      <c r="CY124" s="1021">
        <f>(VLOOKUP(YEAR($A124),'NY East Load Projections'!$A$4:$EO$14,((MONTH($A124)-1)*12)+VLOOKUP(CY$4,$DE$6:$DF$17,2)+1))*$E124</f>
        <v>0</v>
      </c>
      <c r="CZ124" s="1021">
        <f>(VLOOKUP(YEAR($A124),'NY East Load Projections'!$A$4:$EO$14,((MONTH($A124)-1)*12)+VLOOKUP(CZ$4,$DE$6:$DF$17,2)+1))*$E124</f>
        <v>0</v>
      </c>
      <c r="DA124" s="1021">
        <f>(VLOOKUP(YEAR($A124),'NY East Load Projections'!$A$4:$EO$14,((MONTH($A124)-1)*12)+VLOOKUP(DA$4,$DE$6:$DF$17,2)+1))*$E124</f>
        <v>0</v>
      </c>
      <c r="DB124" s="1021">
        <f>(VLOOKUP(YEAR($A124),'NY East Load Projections'!$A$4:$EO$14,((MONTH($A124)-1)*12)+VLOOKUP(DB$4,$DE$6:$DF$17,2)+1))*$E124</f>
        <v>0</v>
      </c>
      <c r="DH124" s="1009">
        <f t="shared" si="5"/>
        <v>0</v>
      </c>
      <c r="DI124">
        <f ca="1">CALC!J144</f>
        <v>0.45523711593682986</v>
      </c>
      <c r="DJ124" s="1032">
        <f t="shared" ca="1" si="4"/>
        <v>0</v>
      </c>
    </row>
    <row r="125" spans="1:114" x14ac:dyDescent="0.25">
      <c r="A125" s="244">
        <v>40513</v>
      </c>
      <c r="B125" s="13">
        <v>23</v>
      </c>
      <c r="C125" s="210">
        <v>3</v>
      </c>
      <c r="D125" s="210">
        <v>4</v>
      </c>
      <c r="E125" s="210">
        <v>1</v>
      </c>
      <c r="F125" s="13">
        <v>31</v>
      </c>
      <c r="H125" s="1021">
        <f>(VLOOKUP(YEAR($A125),'NY East Load Projections'!$A$4:$EO$14,((MONTH($A125)-1)*12)+VLOOKUP(H$4,$DE$6:$DF$17,2)+1))*$B125</f>
        <v>0</v>
      </c>
      <c r="I125" s="1021">
        <f>(VLOOKUP(YEAR($A125),'NY East Load Projections'!$A$4:$EO$14,((MONTH($A125)-1)*12)+VLOOKUP(I$4,$DE$6:$DF$17,2)+1))*$B125</f>
        <v>0</v>
      </c>
      <c r="J125" s="1021">
        <f>(VLOOKUP(YEAR($A125),'NY East Load Projections'!$A$4:$EO$14,((MONTH($A125)-1)*12)+VLOOKUP(J$4,$DE$6:$DF$17,2)+1))*$B125</f>
        <v>0</v>
      </c>
      <c r="K125" s="1021">
        <f>(VLOOKUP(YEAR($A125),'NY East Load Projections'!$A$4:$EO$14,((MONTH($A125)-1)*12)+VLOOKUP(K$4,$DE$6:$DF$17,2)+1))*$B125</f>
        <v>0</v>
      </c>
      <c r="L125" s="1021">
        <f>(VLOOKUP(YEAR($A125),'NY East Load Projections'!$A$4:$EO$14,((MONTH($A125)-1)*12)+VLOOKUP(L$4,$DE$6:$DF$17,2)+1))*$B125</f>
        <v>0</v>
      </c>
      <c r="M125" s="1021">
        <f>(VLOOKUP(YEAR($A125),'NY East Load Projections'!$A$4:$EO$14,((MONTH($A125)-1)*12)+VLOOKUP(M$4,$DE$6:$DF$17,2)+1))*$B125</f>
        <v>0</v>
      </c>
      <c r="N125" s="1021">
        <f>(VLOOKUP(YEAR($A125),'NY East Load Projections'!$A$4:$EO$14,((MONTH($A125)-1)*12)+VLOOKUP(N$4,$DE$6:$DF$17,2)+1))*$B125</f>
        <v>0</v>
      </c>
      <c r="O125" s="1021">
        <f>(VLOOKUP(YEAR($A125),'NY East Load Projections'!$A$4:$EO$14,((MONTH($A125)-1)*12)+VLOOKUP(O$4,$DE$6:$DF$17,2)+1))*$B125</f>
        <v>0</v>
      </c>
      <c r="P125" s="1021">
        <f>(VLOOKUP(YEAR($A125),'NY East Load Projections'!$A$4:$EO$14,((MONTH($A125)-1)*12)+VLOOKUP(P$4,$DE$6:$DF$17,2)+1))*$B125</f>
        <v>0</v>
      </c>
      <c r="Q125" s="1021">
        <f>(VLOOKUP(YEAR($A125),'NY East Load Projections'!$A$4:$EO$14,((MONTH($A125)-1)*12)+VLOOKUP(Q$4,$DE$6:$DF$17,2)+1))*$B125</f>
        <v>0</v>
      </c>
      <c r="R125" s="1021">
        <f>(VLOOKUP(YEAR($A125),'NY East Load Projections'!$A$4:$EO$14,((MONTH($A125)-1)*12)+VLOOKUP(R$4,$DE$6:$DF$17,2)+1))*$B125</f>
        <v>0</v>
      </c>
      <c r="S125" s="1021">
        <f>(VLOOKUP(YEAR($A125),'NY East Load Projections'!$A$4:$EO$14,((MONTH($A125)-1)*12)+VLOOKUP(S$4,$DE$6:$DF$17,2)+1))*$B125</f>
        <v>0</v>
      </c>
      <c r="T125" s="1021">
        <f>(VLOOKUP(YEAR($A125),'NY East Load Projections'!$A$4:$EO$14,((MONTH($A125)-1)*12)+VLOOKUP(T$4,$DE$6:$DF$17,2)+1))*$B125</f>
        <v>0</v>
      </c>
      <c r="U125" s="1021">
        <f>(VLOOKUP(YEAR($A125),'NY East Load Projections'!$A$4:$EO$14,((MONTH($A125)-1)*12)+VLOOKUP(U$4,$DE$6:$DF$17,2)+1))*$B125</f>
        <v>0</v>
      </c>
      <c r="V125" s="1021">
        <f>(VLOOKUP(YEAR($A125),'NY East Load Projections'!$A$4:$EO$14,((MONTH($A125)-1)*12)+VLOOKUP(V$4,$DE$6:$DF$17,2)+1))*$B125</f>
        <v>0</v>
      </c>
      <c r="W125" s="1021">
        <f>(VLOOKUP(YEAR($A125),'NY East Load Projections'!$A$4:$EO$14,((MONTH($A125)-1)*12)+VLOOKUP(W$4,$DE$6:$DF$17,2)+1))*$B125</f>
        <v>0</v>
      </c>
      <c r="X125" s="1021">
        <f>(VLOOKUP(YEAR($A125),'NY East Load Projections'!$A$4:$EO$14,((MONTH($A125)-1)*12)+VLOOKUP(X$4,$DE$6:$DF$17,2)+1))*$B125</f>
        <v>0</v>
      </c>
      <c r="Y125" s="1021">
        <f>(VLOOKUP(YEAR($A125),'NY East Load Projections'!$A$4:$EO$14,((MONTH($A125)-1)*12)+VLOOKUP(Y$4,$DE$6:$DF$17,2)+1))*$B125</f>
        <v>0</v>
      </c>
      <c r="Z125" s="1021">
        <f>(VLOOKUP(YEAR($A125),'NY East Load Projections'!$A$4:$EO$14,((MONTH($A125)-1)*12)+VLOOKUP(Z$4,$DE$6:$DF$17,2)+1))*$B125</f>
        <v>0</v>
      </c>
      <c r="AA125" s="1021">
        <f>(VLOOKUP(YEAR($A125),'NY East Load Projections'!$A$4:$EO$14,((MONTH($A125)-1)*12)+VLOOKUP(AA$4,$DE$6:$DF$17,2)+1))*$B125</f>
        <v>0</v>
      </c>
      <c r="AB125" s="1021">
        <f>(VLOOKUP(YEAR($A125),'NY East Load Projections'!$A$4:$EO$14,((MONTH($A125)-1)*12)+VLOOKUP(AB$4,$DE$6:$DF$17,2)+1))*$B125</f>
        <v>0</v>
      </c>
      <c r="AC125" s="1021">
        <f>(VLOOKUP(YEAR($A125),'NY East Load Projections'!$A$4:$EO$14,((MONTH($A125)-1)*12)+VLOOKUP(AC$4,$DE$6:$DF$17,2)+1))*$B125</f>
        <v>0</v>
      </c>
      <c r="AD125" s="1021">
        <f>(VLOOKUP(YEAR($A125),'NY East Load Projections'!$A$4:$EO$14,((MONTH($A125)-1)*12)+VLOOKUP(AD$4,$DE$6:$DF$17,2)+1))*$B125</f>
        <v>0</v>
      </c>
      <c r="AE125" s="1021">
        <f>(VLOOKUP(YEAR($A125),'NY East Load Projections'!$A$4:$EO$14,((MONTH($A125)-1)*12)+VLOOKUP(AE$4,$DE$6:$DF$17,2)+1))*$B125</f>
        <v>0</v>
      </c>
      <c r="AF125" s="1021"/>
      <c r="AG125" s="1021">
        <f>(VLOOKUP(YEAR($A125),'NY East Load Projections'!$A$4:$EO$14,((MONTH($A125)-1)*12)+VLOOKUP(AG$4,$DE$6:$DF$17,2)+1))*$C125</f>
        <v>0</v>
      </c>
      <c r="AH125" s="1021">
        <f>(VLOOKUP(YEAR($A125),'NY East Load Projections'!$A$4:$EO$14,((MONTH($A125)-1)*12)+VLOOKUP(AH$4,$DE$6:$DF$17,2)+1))*$C125</f>
        <v>0</v>
      </c>
      <c r="AI125" s="1021">
        <f>(VLOOKUP(YEAR($A125),'NY East Load Projections'!$A$4:$EO$14,((MONTH($A125)-1)*12)+VLOOKUP(AI$4,$DE$6:$DF$17,2)+1))*$C125</f>
        <v>0</v>
      </c>
      <c r="AJ125" s="1021">
        <f>(VLOOKUP(YEAR($A125),'NY East Load Projections'!$A$4:$EO$14,((MONTH($A125)-1)*12)+VLOOKUP(AJ$4,$DE$6:$DF$17,2)+1))*$C125</f>
        <v>0</v>
      </c>
      <c r="AK125" s="1021">
        <f>(VLOOKUP(YEAR($A125),'NY East Load Projections'!$A$4:$EO$14,((MONTH($A125)-1)*12)+VLOOKUP(AK$4,$DE$6:$DF$17,2)+1))*$C125</f>
        <v>0</v>
      </c>
      <c r="AL125" s="1021">
        <f>(VLOOKUP(YEAR($A125),'NY East Load Projections'!$A$4:$EO$14,((MONTH($A125)-1)*12)+VLOOKUP(AL$4,$DE$6:$DF$17,2)+1))*$C125</f>
        <v>0</v>
      </c>
      <c r="AM125" s="1021">
        <f>(VLOOKUP(YEAR($A125),'NY East Load Projections'!$A$4:$EO$14,((MONTH($A125)-1)*12)+VLOOKUP(AM$4,$DE$6:$DF$17,2)+1))*$C125</f>
        <v>0</v>
      </c>
      <c r="AN125" s="1021">
        <f>(VLOOKUP(YEAR($A125),'NY East Load Projections'!$A$4:$EO$14,((MONTH($A125)-1)*12)+VLOOKUP(AN$4,$DE$6:$DF$17,2)+1))*$C125</f>
        <v>0</v>
      </c>
      <c r="AO125" s="1021">
        <f>(VLOOKUP(YEAR($A125),'NY East Load Projections'!$A$4:$EO$14,((MONTH($A125)-1)*12)+VLOOKUP(AO$4,$DE$6:$DF$17,2)+1))*$C125</f>
        <v>0</v>
      </c>
      <c r="AP125" s="1021">
        <f>(VLOOKUP(YEAR($A125),'NY East Load Projections'!$A$4:$EO$14,((MONTH($A125)-1)*12)+VLOOKUP(AP$4,$DE$6:$DF$17,2)+1))*$C125</f>
        <v>0</v>
      </c>
      <c r="AQ125" s="1021">
        <f>(VLOOKUP(YEAR($A125),'NY East Load Projections'!$A$4:$EO$14,((MONTH($A125)-1)*12)+VLOOKUP(AQ$4,$DE$6:$DF$17,2)+1))*$C125</f>
        <v>0</v>
      </c>
      <c r="AR125" s="1021">
        <f>(VLOOKUP(YEAR($A125),'NY East Load Projections'!$A$4:$EO$14,((MONTH($A125)-1)*12)+VLOOKUP(AR$4,$DE$6:$DF$17,2)+1))*$C125</f>
        <v>0</v>
      </c>
      <c r="AS125" s="1021">
        <f>(VLOOKUP(YEAR($A125),'NY East Load Projections'!$A$4:$EO$14,((MONTH($A125)-1)*12)+VLOOKUP(AS$4,$DE$6:$DF$17,2)+1))*$C125</f>
        <v>0</v>
      </c>
      <c r="AT125" s="1021">
        <f>(VLOOKUP(YEAR($A125),'NY East Load Projections'!$A$4:$EO$14,((MONTH($A125)-1)*12)+VLOOKUP(AT$4,$DE$6:$DF$17,2)+1))*$C125</f>
        <v>0</v>
      </c>
      <c r="AU125" s="1021">
        <f>(VLOOKUP(YEAR($A125),'NY East Load Projections'!$A$4:$EO$14,((MONTH($A125)-1)*12)+VLOOKUP(AU$4,$DE$6:$DF$17,2)+1))*$C125</f>
        <v>0</v>
      </c>
      <c r="AV125" s="1021">
        <f>(VLOOKUP(YEAR($A125),'NY East Load Projections'!$A$4:$EO$14,((MONTH($A125)-1)*12)+VLOOKUP(AV$4,$DE$6:$DF$17,2)+1))*$C125</f>
        <v>0</v>
      </c>
      <c r="AW125" s="1021">
        <f>(VLOOKUP(YEAR($A125),'NY East Load Projections'!$A$4:$EO$14,((MONTH($A125)-1)*12)+VLOOKUP(AW$4,$DE$6:$DF$17,2)+1))*$C125</f>
        <v>0</v>
      </c>
      <c r="AX125" s="1021">
        <f>(VLOOKUP(YEAR($A125),'NY East Load Projections'!$A$4:$EO$14,((MONTH($A125)-1)*12)+VLOOKUP(AX$4,$DE$6:$DF$17,2)+1))*$C125</f>
        <v>0</v>
      </c>
      <c r="AY125" s="1021">
        <f>(VLOOKUP(YEAR($A125),'NY East Load Projections'!$A$4:$EO$14,((MONTH($A125)-1)*12)+VLOOKUP(AY$4,$DE$6:$DF$17,2)+1))*$C125</f>
        <v>0</v>
      </c>
      <c r="AZ125" s="1021">
        <f>(VLOOKUP(YEAR($A125),'NY East Load Projections'!$A$4:$EO$14,((MONTH($A125)-1)*12)+VLOOKUP(AZ$4,$DE$6:$DF$17,2)+1))*$C125</f>
        <v>0</v>
      </c>
      <c r="BA125" s="1021">
        <f>(VLOOKUP(YEAR($A125),'NY East Load Projections'!$A$4:$EO$14,((MONTH($A125)-1)*12)+VLOOKUP(BA$4,$DE$6:$DF$17,2)+1))*$C125</f>
        <v>0</v>
      </c>
      <c r="BB125" s="1021">
        <f>(VLOOKUP(YEAR($A125),'NY East Load Projections'!$A$4:$EO$14,((MONTH($A125)-1)*12)+VLOOKUP(BB$4,$DE$6:$DF$17,2)+1))*$C125</f>
        <v>0</v>
      </c>
      <c r="BC125" s="1021">
        <f>(VLOOKUP(YEAR($A125),'NY East Load Projections'!$A$4:$EO$14,((MONTH($A125)-1)*12)+VLOOKUP(BC$4,$DE$6:$DF$17,2)+1))*$C125</f>
        <v>0</v>
      </c>
      <c r="BD125" s="1021">
        <f>(VLOOKUP(YEAR($A125),'NY East Load Projections'!$A$4:$EO$14,((MONTH($A125)-1)*12)+VLOOKUP(BD$4,$DE$6:$DF$17,2)+1))*$C125</f>
        <v>0</v>
      </c>
      <c r="BE125" s="1021"/>
      <c r="BF125" s="1021">
        <f>(VLOOKUP(YEAR($A125),'NY East Load Projections'!$A$4:$EO$14,((MONTH($A125)-1)*12)+VLOOKUP(BF$4,$DE$6:$DF$17,2)+1))*$D125</f>
        <v>0</v>
      </c>
      <c r="BG125" s="1021">
        <f>(VLOOKUP(YEAR($A125),'NY East Load Projections'!$A$4:$EO$14,((MONTH($A125)-1)*12)+VLOOKUP(BG$4,$DE$6:$DF$17,2)+1))*$D125</f>
        <v>0</v>
      </c>
      <c r="BH125" s="1021">
        <f>(VLOOKUP(YEAR($A125),'NY East Load Projections'!$A$4:$EO$14,((MONTH($A125)-1)*12)+VLOOKUP(BH$4,$DE$6:$DF$17,2)+1))*$D125</f>
        <v>0</v>
      </c>
      <c r="BI125" s="1021">
        <f>(VLOOKUP(YEAR($A125),'NY East Load Projections'!$A$4:$EO$14,((MONTH($A125)-1)*12)+VLOOKUP(BI$4,$DE$6:$DF$17,2)+1))*$D125</f>
        <v>0</v>
      </c>
      <c r="BJ125" s="1021">
        <f>(VLOOKUP(YEAR($A125),'NY East Load Projections'!$A$4:$EO$14,((MONTH($A125)-1)*12)+VLOOKUP(BJ$4,$DE$6:$DF$17,2)+1))*$D125</f>
        <v>0</v>
      </c>
      <c r="BK125" s="1021">
        <f>(VLOOKUP(YEAR($A125),'NY East Load Projections'!$A$4:$EO$14,((MONTH($A125)-1)*12)+VLOOKUP(BK$4,$DE$6:$DF$17,2)+1))*$D125</f>
        <v>0</v>
      </c>
      <c r="BL125" s="1021">
        <f>(VLOOKUP(YEAR($A125),'NY East Load Projections'!$A$4:$EO$14,((MONTH($A125)-1)*12)+VLOOKUP(BL$4,$DE$6:$DF$17,2)+1))*$D125</f>
        <v>0</v>
      </c>
      <c r="BM125" s="1021">
        <f>(VLOOKUP(YEAR($A125),'NY East Load Projections'!$A$4:$EO$14,((MONTH($A125)-1)*12)+VLOOKUP(BM$4,$DE$6:$DF$17,2)+1))*$D125</f>
        <v>0</v>
      </c>
      <c r="BN125" s="1021">
        <f>(VLOOKUP(YEAR($A125),'NY East Load Projections'!$A$4:$EO$14,((MONTH($A125)-1)*12)+VLOOKUP(BN$4,$DE$6:$DF$17,2)+1))*$D125</f>
        <v>0</v>
      </c>
      <c r="BO125" s="1021">
        <f>(VLOOKUP(YEAR($A125),'NY East Load Projections'!$A$4:$EO$14,((MONTH($A125)-1)*12)+VLOOKUP(BO$4,$DE$6:$DF$17,2)+1))*$D125</f>
        <v>0</v>
      </c>
      <c r="BP125" s="1021">
        <f>(VLOOKUP(YEAR($A125),'NY East Load Projections'!$A$4:$EO$14,((MONTH($A125)-1)*12)+VLOOKUP(BP$4,$DE$6:$DF$17,2)+1))*$D125</f>
        <v>0</v>
      </c>
      <c r="BQ125" s="1021">
        <f>(VLOOKUP(YEAR($A125),'NY East Load Projections'!$A$4:$EO$14,((MONTH($A125)-1)*12)+VLOOKUP(BQ$4,$DE$6:$DF$17,2)+1))*$D125</f>
        <v>0</v>
      </c>
      <c r="BR125" s="1021">
        <f>(VLOOKUP(YEAR($A125),'NY East Load Projections'!$A$4:$EO$14,((MONTH($A125)-1)*12)+VLOOKUP(BR$4,$DE$6:$DF$17,2)+1))*$D125</f>
        <v>0</v>
      </c>
      <c r="BS125" s="1021">
        <f>(VLOOKUP(YEAR($A125),'NY East Load Projections'!$A$4:$EO$14,((MONTH($A125)-1)*12)+VLOOKUP(BS$4,$DE$6:$DF$17,2)+1))*$D125</f>
        <v>0</v>
      </c>
      <c r="BT125" s="1021">
        <f>(VLOOKUP(YEAR($A125),'NY East Load Projections'!$A$4:$EO$14,((MONTH($A125)-1)*12)+VLOOKUP(BT$4,$DE$6:$DF$17,2)+1))*$D125</f>
        <v>0</v>
      </c>
      <c r="BU125" s="1021">
        <f>(VLOOKUP(YEAR($A125),'NY East Load Projections'!$A$4:$EO$14,((MONTH($A125)-1)*12)+VLOOKUP(BU$4,$DE$6:$DF$17,2)+1))*$D125</f>
        <v>0</v>
      </c>
      <c r="BV125" s="1021">
        <f>(VLOOKUP(YEAR($A125),'NY East Load Projections'!$A$4:$EO$14,((MONTH($A125)-1)*12)+VLOOKUP(BV$4,$DE$6:$DF$17,2)+1))*$D125</f>
        <v>0</v>
      </c>
      <c r="BW125" s="1021">
        <f>(VLOOKUP(YEAR($A125),'NY East Load Projections'!$A$4:$EO$14,((MONTH($A125)-1)*12)+VLOOKUP(BW$4,$DE$6:$DF$17,2)+1))*$D125</f>
        <v>0</v>
      </c>
      <c r="BX125" s="1021">
        <f>(VLOOKUP(YEAR($A125),'NY East Load Projections'!$A$4:$EO$14,((MONTH($A125)-1)*12)+VLOOKUP(BX$4,$DE$6:$DF$17,2)+1))*$D125</f>
        <v>0</v>
      </c>
      <c r="BY125" s="1021">
        <f>(VLOOKUP(YEAR($A125),'NY East Load Projections'!$A$4:$EO$14,((MONTH($A125)-1)*12)+VLOOKUP(BY$4,$DE$6:$DF$17,2)+1))*$D125</f>
        <v>0</v>
      </c>
      <c r="BZ125" s="1021">
        <f>(VLOOKUP(YEAR($A125),'NY East Load Projections'!$A$4:$EO$14,((MONTH($A125)-1)*12)+VLOOKUP(BZ$4,$DE$6:$DF$17,2)+1))*$D125</f>
        <v>0</v>
      </c>
      <c r="CA125" s="1021">
        <f>(VLOOKUP(YEAR($A125),'NY East Load Projections'!$A$4:$EO$14,((MONTH($A125)-1)*12)+VLOOKUP(CA$4,$DE$6:$DF$17,2)+1))*$D125</f>
        <v>0</v>
      </c>
      <c r="CB125" s="1021">
        <f>(VLOOKUP(YEAR($A125),'NY East Load Projections'!$A$4:$EO$14,((MONTH($A125)-1)*12)+VLOOKUP(CB$4,$DE$6:$DF$17,2)+1))*$D125</f>
        <v>0</v>
      </c>
      <c r="CC125" s="1021">
        <f>(VLOOKUP(YEAR($A125),'NY East Load Projections'!$A$4:$EO$14,((MONTH($A125)-1)*12)+VLOOKUP(CC$4,$DE$6:$DF$17,2)+1))*$D125</f>
        <v>0</v>
      </c>
      <c r="CE125" s="1021">
        <f>(VLOOKUP(YEAR($A125),'NY East Load Projections'!$A$4:$EO$14,((MONTH($A125)-1)*12)+VLOOKUP(CE$4,$DE$6:$DF$17,2)+1))*$E125</f>
        <v>0</v>
      </c>
      <c r="CF125" s="1021">
        <f>(VLOOKUP(YEAR($A125),'NY East Load Projections'!$A$4:$EO$14,((MONTH($A125)-1)*12)+VLOOKUP(CF$4,$DE$6:$DF$17,2)+1))*$E125</f>
        <v>0</v>
      </c>
      <c r="CG125" s="1021">
        <f>(VLOOKUP(YEAR($A125),'NY East Load Projections'!$A$4:$EO$14,((MONTH($A125)-1)*12)+VLOOKUP(CG$4,$DE$6:$DF$17,2)+1))*$E125</f>
        <v>0</v>
      </c>
      <c r="CH125" s="1021">
        <f>(VLOOKUP(YEAR($A125),'NY East Load Projections'!$A$4:$EO$14,((MONTH($A125)-1)*12)+VLOOKUP(CH$4,$DE$6:$DF$17,2)+1))*$E125</f>
        <v>0</v>
      </c>
      <c r="CI125" s="1021">
        <f>(VLOOKUP(YEAR($A125),'NY East Load Projections'!$A$4:$EO$14,((MONTH($A125)-1)*12)+VLOOKUP(CI$4,$DE$6:$DF$17,2)+1))*$E125</f>
        <v>0</v>
      </c>
      <c r="CJ125" s="1021">
        <f>(VLOOKUP(YEAR($A125),'NY East Load Projections'!$A$4:$EO$14,((MONTH($A125)-1)*12)+VLOOKUP(CJ$4,$DE$6:$DF$17,2)+1))*$E125</f>
        <v>0</v>
      </c>
      <c r="CK125" s="1021">
        <f>(VLOOKUP(YEAR($A125),'NY East Load Projections'!$A$4:$EO$14,((MONTH($A125)-1)*12)+VLOOKUP(CK$4,$DE$6:$DF$17,2)+1))*$E125</f>
        <v>0</v>
      </c>
      <c r="CL125" s="1021">
        <f>(VLOOKUP(YEAR($A125),'NY East Load Projections'!$A$4:$EO$14,((MONTH($A125)-1)*12)+VLOOKUP(CL$4,$DE$6:$DF$17,2)+1))*$E125</f>
        <v>0</v>
      </c>
      <c r="CM125" s="1021">
        <f>(VLOOKUP(YEAR($A125),'NY East Load Projections'!$A$4:$EO$14,((MONTH($A125)-1)*12)+VLOOKUP(CM$4,$DE$6:$DF$17,2)+1))*$E125</f>
        <v>0</v>
      </c>
      <c r="CN125" s="1021">
        <f>(VLOOKUP(YEAR($A125),'NY East Load Projections'!$A$4:$EO$14,((MONTH($A125)-1)*12)+VLOOKUP(CN$4,$DE$6:$DF$17,2)+1))*$E125</f>
        <v>0</v>
      </c>
      <c r="CO125" s="1021">
        <f>(VLOOKUP(YEAR($A125),'NY East Load Projections'!$A$4:$EO$14,((MONTH($A125)-1)*12)+VLOOKUP(CO$4,$DE$6:$DF$17,2)+1))*$E125</f>
        <v>0</v>
      </c>
      <c r="CP125" s="1021">
        <f>(VLOOKUP(YEAR($A125),'NY East Load Projections'!$A$4:$EO$14,((MONTH($A125)-1)*12)+VLOOKUP(CP$4,$DE$6:$DF$17,2)+1))*$E125</f>
        <v>0</v>
      </c>
      <c r="CQ125" s="1021">
        <f>(VLOOKUP(YEAR($A125),'NY East Load Projections'!$A$4:$EO$14,((MONTH($A125)-1)*12)+VLOOKUP(CQ$4,$DE$6:$DF$17,2)+1))*$E125</f>
        <v>0</v>
      </c>
      <c r="CR125" s="1021">
        <f>(VLOOKUP(YEAR($A125),'NY East Load Projections'!$A$4:$EO$14,((MONTH($A125)-1)*12)+VLOOKUP(CR$4,$DE$6:$DF$17,2)+1))*$E125</f>
        <v>0</v>
      </c>
      <c r="CS125" s="1021">
        <f>(VLOOKUP(YEAR($A125),'NY East Load Projections'!$A$4:$EO$14,((MONTH($A125)-1)*12)+VLOOKUP(CS$4,$DE$6:$DF$17,2)+1))*$E125</f>
        <v>0</v>
      </c>
      <c r="CT125" s="1021">
        <f>(VLOOKUP(YEAR($A125),'NY East Load Projections'!$A$4:$EO$14,((MONTH($A125)-1)*12)+VLOOKUP(CT$4,$DE$6:$DF$17,2)+1))*$E125</f>
        <v>0</v>
      </c>
      <c r="CU125" s="1021">
        <f>(VLOOKUP(YEAR($A125),'NY East Load Projections'!$A$4:$EO$14,((MONTH($A125)-1)*12)+VLOOKUP(CU$4,$DE$6:$DF$17,2)+1))*$E125</f>
        <v>0</v>
      </c>
      <c r="CV125" s="1021">
        <f>(VLOOKUP(YEAR($A125),'NY East Load Projections'!$A$4:$EO$14,((MONTH($A125)-1)*12)+VLOOKUP(CV$4,$DE$6:$DF$17,2)+1))*$E125</f>
        <v>0</v>
      </c>
      <c r="CW125" s="1021">
        <f>(VLOOKUP(YEAR($A125),'NY East Load Projections'!$A$4:$EO$14,((MONTH($A125)-1)*12)+VLOOKUP(CW$4,$DE$6:$DF$17,2)+1))*$E125</f>
        <v>0</v>
      </c>
      <c r="CX125" s="1021">
        <f>(VLOOKUP(YEAR($A125),'NY East Load Projections'!$A$4:$EO$14,((MONTH($A125)-1)*12)+VLOOKUP(CX$4,$DE$6:$DF$17,2)+1))*$E125</f>
        <v>0</v>
      </c>
      <c r="CY125" s="1021">
        <f>(VLOOKUP(YEAR($A125),'NY East Load Projections'!$A$4:$EO$14,((MONTH($A125)-1)*12)+VLOOKUP(CY$4,$DE$6:$DF$17,2)+1))*$E125</f>
        <v>0</v>
      </c>
      <c r="CZ125" s="1021">
        <f>(VLOOKUP(YEAR($A125),'NY East Load Projections'!$A$4:$EO$14,((MONTH($A125)-1)*12)+VLOOKUP(CZ$4,$DE$6:$DF$17,2)+1))*$E125</f>
        <v>0</v>
      </c>
      <c r="DA125" s="1021">
        <f>(VLOOKUP(YEAR($A125),'NY East Load Projections'!$A$4:$EO$14,((MONTH($A125)-1)*12)+VLOOKUP(DA$4,$DE$6:$DF$17,2)+1))*$E125</f>
        <v>0</v>
      </c>
      <c r="DB125" s="1021">
        <f>(VLOOKUP(YEAR($A125),'NY East Load Projections'!$A$4:$EO$14,((MONTH($A125)-1)*12)+VLOOKUP(DB$4,$DE$6:$DF$17,2)+1))*$E125</f>
        <v>0</v>
      </c>
      <c r="DH125" s="1009">
        <f t="shared" si="5"/>
        <v>0</v>
      </c>
      <c r="DI125">
        <f ca="1">CALC!J145</f>
        <v>0.45243206669760117</v>
      </c>
      <c r="DJ125" s="1032">
        <f t="shared" ca="1" si="4"/>
        <v>0</v>
      </c>
    </row>
    <row r="126" spans="1:114" x14ac:dyDescent="0.25">
      <c r="H126" s="1023"/>
      <c r="I126" s="1022"/>
      <c r="J126" s="1022"/>
      <c r="K126" s="1022"/>
      <c r="L126" s="1022"/>
      <c r="M126" s="1022"/>
      <c r="N126" s="1022"/>
      <c r="O126" s="1022"/>
      <c r="P126" s="1022"/>
      <c r="Q126" s="1022"/>
      <c r="R126" s="1022"/>
      <c r="S126" s="1022"/>
      <c r="T126" s="1022"/>
      <c r="U126" s="1022"/>
      <c r="V126" s="1022"/>
      <c r="W126" s="1022"/>
      <c r="X126" s="1022"/>
      <c r="Y126" s="1022"/>
      <c r="Z126" s="1022"/>
      <c r="AA126" s="1022"/>
      <c r="AB126" s="1022"/>
      <c r="AC126" s="1022"/>
      <c r="AD126" s="1022"/>
      <c r="AE126" s="1023"/>
      <c r="AF126" s="1021"/>
      <c r="AG126" s="1021"/>
      <c r="AH126" s="1021"/>
      <c r="AI126" s="1021"/>
      <c r="AJ126" s="1021"/>
      <c r="AK126" s="1021"/>
      <c r="AL126" s="1021"/>
      <c r="AM126" s="1021"/>
      <c r="AN126" s="1021"/>
      <c r="AO126" s="1021"/>
      <c r="AP126" s="1021"/>
      <c r="AQ126" s="1021"/>
      <c r="AR126" s="1021"/>
      <c r="AS126" s="1021"/>
      <c r="AT126" s="1021"/>
      <c r="AU126" s="1021"/>
      <c r="AV126" s="1021"/>
      <c r="AW126" s="1021"/>
      <c r="AX126" s="1021"/>
      <c r="AY126" s="1021"/>
      <c r="AZ126" s="1021"/>
      <c r="BA126" s="1021"/>
      <c r="BB126" s="1021"/>
      <c r="BC126" s="1021"/>
      <c r="BD126" s="1021"/>
      <c r="BE126" s="1021"/>
      <c r="BF126" s="1021"/>
      <c r="BG126" s="1021"/>
      <c r="BH126" s="1021"/>
      <c r="BI126" s="1021"/>
      <c r="BJ126" s="1021"/>
      <c r="BK126" s="1021"/>
      <c r="BL126" s="1021"/>
      <c r="BM126" s="1021"/>
      <c r="BN126" s="1021"/>
      <c r="BO126" s="1021"/>
      <c r="BP126" s="1021"/>
      <c r="BQ126" s="1021"/>
      <c r="BR126" s="1021"/>
      <c r="BS126" s="1021"/>
      <c r="BT126" s="1021"/>
      <c r="BU126" s="1021"/>
      <c r="BV126" s="1021"/>
      <c r="BW126" s="1021"/>
      <c r="BX126" s="1021"/>
      <c r="BY126" s="1021"/>
      <c r="BZ126" s="1021"/>
      <c r="CA126" s="1021"/>
      <c r="CB126" s="1021"/>
      <c r="CC126" s="1021"/>
    </row>
    <row r="127" spans="1:114" x14ac:dyDescent="0.25">
      <c r="H127" s="1023"/>
      <c r="I127" s="1022"/>
      <c r="J127" s="1022"/>
      <c r="K127" s="1022"/>
      <c r="L127" s="1022"/>
      <c r="M127" s="1022"/>
      <c r="N127" s="1022"/>
      <c r="O127" s="1022"/>
      <c r="P127" s="1022"/>
      <c r="Q127" s="1022"/>
      <c r="R127" s="1022"/>
      <c r="S127" s="1022"/>
      <c r="T127" s="1022"/>
      <c r="U127" s="1022"/>
      <c r="V127" s="1022"/>
      <c r="W127" s="1022"/>
      <c r="X127" s="1022"/>
      <c r="Y127" s="1022"/>
      <c r="Z127" s="1022"/>
      <c r="AA127" s="1022"/>
      <c r="AB127" s="1022"/>
      <c r="AC127" s="1022"/>
      <c r="AD127" s="1022"/>
      <c r="AE127" s="1023"/>
      <c r="AF127" s="1021"/>
      <c r="AG127" s="1021"/>
      <c r="AH127" s="1021"/>
      <c r="AI127" s="1021"/>
      <c r="AJ127" s="1021"/>
      <c r="AK127" s="1021"/>
      <c r="AL127" s="1021"/>
      <c r="AM127" s="1021"/>
      <c r="AN127" s="1021"/>
      <c r="AO127" s="1021"/>
      <c r="AP127" s="1021"/>
      <c r="AQ127" s="1021"/>
      <c r="AR127" s="1021"/>
      <c r="AS127" s="1021"/>
      <c r="AT127" s="1021"/>
      <c r="AU127" s="1021"/>
      <c r="AV127" s="1021"/>
      <c r="AW127" s="1021"/>
      <c r="AX127" s="1021"/>
      <c r="AY127" s="1021"/>
      <c r="AZ127" s="1021"/>
      <c r="BA127" s="1021"/>
      <c r="BB127" s="1021"/>
      <c r="BC127" s="1021"/>
      <c r="BD127" s="1021"/>
      <c r="BE127" s="1021"/>
      <c r="BF127" s="1021"/>
      <c r="BG127" s="1021"/>
      <c r="BH127" s="1021"/>
      <c r="BI127" s="1021"/>
      <c r="BJ127" s="1021"/>
      <c r="BK127" s="1021"/>
      <c r="BL127" s="1021"/>
      <c r="BM127" s="1021"/>
      <c r="BN127" s="1021"/>
      <c r="BO127" s="1021"/>
      <c r="BP127" s="1021"/>
      <c r="BQ127" s="1021"/>
      <c r="BR127" s="1021"/>
      <c r="BS127" s="1021"/>
      <c r="BT127" s="1021"/>
      <c r="BU127" s="1021"/>
      <c r="BV127" s="1021"/>
      <c r="BW127" s="1021"/>
      <c r="BX127" s="1021"/>
      <c r="BY127" s="1021"/>
      <c r="BZ127" s="1021"/>
      <c r="CA127" s="1021"/>
      <c r="CB127" s="1021"/>
      <c r="CC127" s="1021"/>
    </row>
    <row r="128" spans="1:114" x14ac:dyDescent="0.25">
      <c r="H128" s="1023"/>
      <c r="I128" s="1022"/>
      <c r="J128" s="1022"/>
      <c r="K128" s="1022"/>
      <c r="L128" s="1022"/>
      <c r="M128" s="1022"/>
      <c r="N128" s="1022"/>
      <c r="O128" s="1022"/>
      <c r="P128" s="1022"/>
      <c r="Q128" s="1022"/>
      <c r="R128" s="1022"/>
      <c r="S128" s="1022"/>
      <c r="T128" s="1022"/>
      <c r="U128" s="1022"/>
      <c r="V128" s="1022"/>
      <c r="W128" s="1022"/>
      <c r="X128" s="1022"/>
      <c r="Y128" s="1022"/>
      <c r="Z128" s="1022"/>
      <c r="AA128" s="1022"/>
      <c r="AB128" s="1022"/>
      <c r="AC128" s="1022"/>
      <c r="AD128" s="1022"/>
      <c r="AE128" s="1023"/>
      <c r="AF128" s="1021"/>
      <c r="AG128" s="1021"/>
      <c r="AH128" s="1021"/>
      <c r="AI128" s="1021"/>
      <c r="AJ128" s="1021"/>
      <c r="AK128" s="1021"/>
      <c r="AL128" s="1021"/>
      <c r="AM128" s="1021"/>
      <c r="AN128" s="1021"/>
      <c r="AO128" s="1021"/>
      <c r="AP128" s="1021"/>
      <c r="AQ128" s="1021"/>
      <c r="AR128" s="1021"/>
      <c r="AS128" s="1021"/>
      <c r="AT128" s="1021"/>
      <c r="AU128" s="1021"/>
      <c r="AV128" s="1021"/>
      <c r="AW128" s="1021"/>
      <c r="AX128" s="1021"/>
      <c r="AY128" s="1021"/>
      <c r="AZ128" s="1021"/>
      <c r="BA128" s="1021"/>
      <c r="BB128" s="1021"/>
      <c r="BC128" s="1021"/>
      <c r="BD128" s="1021"/>
      <c r="BE128" s="1021"/>
      <c r="BF128" s="1021"/>
      <c r="BG128" s="1021"/>
      <c r="BH128" s="1021"/>
      <c r="BI128" s="1021"/>
      <c r="BJ128" s="1021"/>
      <c r="BK128" s="1021"/>
      <c r="BL128" s="1021"/>
      <c r="BM128" s="1021"/>
      <c r="BN128" s="1021"/>
      <c r="BO128" s="1021"/>
      <c r="BP128" s="1021"/>
      <c r="BQ128" s="1021"/>
      <c r="BR128" s="1021"/>
      <c r="BS128" s="1021"/>
      <c r="BT128" s="1021"/>
      <c r="BU128" s="1021"/>
      <c r="BV128" s="1021"/>
      <c r="BW128" s="1021"/>
      <c r="BX128" s="1021"/>
      <c r="BY128" s="1021"/>
      <c r="BZ128" s="1021"/>
      <c r="CA128" s="1021"/>
      <c r="CB128" s="1021"/>
      <c r="CC128" s="1021"/>
    </row>
    <row r="129" spans="1:114" ht="13.8" thickBot="1" x14ac:dyDescent="0.3">
      <c r="H129" s="1024"/>
      <c r="I129" s="1025"/>
      <c r="J129" s="1025"/>
      <c r="K129" s="1025"/>
      <c r="L129" s="1025"/>
      <c r="M129" s="1025"/>
      <c r="N129" s="1025"/>
      <c r="O129" s="1025"/>
      <c r="P129" s="1025"/>
      <c r="Q129" s="1025"/>
      <c r="R129" s="1025"/>
      <c r="S129" s="1025"/>
      <c r="T129" s="1025"/>
      <c r="U129" s="1025"/>
      <c r="V129" s="1025"/>
      <c r="W129" s="1025"/>
      <c r="X129" s="1025"/>
      <c r="Y129" s="1025"/>
      <c r="Z129" s="1025"/>
      <c r="AA129" s="1025"/>
      <c r="AB129" s="1025"/>
      <c r="AC129" s="1025"/>
      <c r="AD129" s="1025"/>
      <c r="AE129" s="1024"/>
      <c r="AF129" s="1021"/>
      <c r="AG129" s="1021"/>
      <c r="AH129" s="1021"/>
      <c r="AI129" s="1021"/>
      <c r="AJ129" s="1021"/>
      <c r="AK129" s="1021"/>
      <c r="AL129" s="1021"/>
      <c r="AM129" s="1021"/>
      <c r="AN129" s="1021"/>
      <c r="AO129" s="1021"/>
      <c r="AP129" s="1021"/>
      <c r="AQ129" s="1021"/>
      <c r="AR129" s="1021"/>
      <c r="AS129" s="1021"/>
      <c r="AT129" s="1021"/>
      <c r="AU129" s="1021"/>
      <c r="AV129" s="1021"/>
      <c r="AW129" s="1021"/>
      <c r="AX129" s="1021"/>
      <c r="AY129" s="1021"/>
      <c r="AZ129" s="1021"/>
      <c r="BA129" s="1021"/>
      <c r="BB129" s="1021"/>
      <c r="BC129" s="1021"/>
      <c r="BD129" s="1021"/>
      <c r="BE129" s="1021"/>
      <c r="BF129" s="1021"/>
      <c r="BG129" s="1021"/>
      <c r="BH129" s="1021"/>
      <c r="BI129" s="1021"/>
      <c r="BJ129" s="1021"/>
      <c r="BK129" s="1021"/>
      <c r="BL129" s="1021"/>
      <c r="BM129" s="1021"/>
      <c r="BN129" s="1021"/>
      <c r="BO129" s="1021"/>
      <c r="BP129" s="1021"/>
      <c r="BQ129" s="1021"/>
      <c r="BR129" s="1021"/>
      <c r="BS129" s="1021"/>
      <c r="BT129" s="1021"/>
      <c r="BU129" s="1021"/>
      <c r="BV129" s="1021"/>
      <c r="BW129" s="1021"/>
      <c r="BX129" s="1021"/>
      <c r="BY129" s="1021"/>
      <c r="BZ129" s="1021"/>
      <c r="CA129" s="1021"/>
      <c r="CB129" s="1021"/>
      <c r="CC129" s="1021"/>
    </row>
    <row r="130" spans="1:114" x14ac:dyDescent="0.25">
      <c r="H130" s="1021" t="s">
        <v>613</v>
      </c>
      <c r="I130" s="1021"/>
      <c r="J130" s="1021"/>
      <c r="K130" s="1021"/>
      <c r="L130" s="1021"/>
      <c r="M130" s="1021"/>
      <c r="N130" s="1021"/>
      <c r="O130" s="1021"/>
      <c r="P130" s="1021"/>
      <c r="Q130" s="1021"/>
      <c r="R130" s="1021"/>
      <c r="S130" s="1021"/>
      <c r="T130" s="1021"/>
      <c r="U130" s="1021"/>
      <c r="V130" s="1021"/>
      <c r="W130" s="1021"/>
      <c r="X130" s="1021"/>
      <c r="Y130" s="1021"/>
      <c r="Z130" s="1021"/>
      <c r="AA130" s="1021"/>
      <c r="AB130" s="1021"/>
      <c r="AC130" s="1021"/>
      <c r="AD130" s="1021"/>
      <c r="AE130" s="1021"/>
      <c r="AF130" s="1021"/>
      <c r="AG130" s="1021"/>
      <c r="AH130" s="1021"/>
      <c r="AI130" s="1021"/>
      <c r="AJ130" s="1021"/>
      <c r="AK130" s="1021"/>
      <c r="AL130" s="1021"/>
      <c r="AM130" s="1021"/>
      <c r="AN130" s="1021"/>
      <c r="AO130" s="1021"/>
      <c r="AP130" s="1021"/>
      <c r="AQ130" s="1021"/>
      <c r="AR130" s="1021"/>
      <c r="AS130" s="1021"/>
      <c r="AT130" s="1021"/>
      <c r="AU130" s="1021"/>
      <c r="AV130" s="1021"/>
      <c r="AW130" s="1021"/>
      <c r="AX130" s="1021"/>
      <c r="AY130" s="1021"/>
      <c r="AZ130" s="1021"/>
      <c r="BA130" s="1021"/>
      <c r="BB130" s="1021"/>
      <c r="BC130" s="1021"/>
      <c r="BD130" s="1021"/>
      <c r="BE130" s="1021"/>
      <c r="BF130" s="1021"/>
      <c r="BG130" s="1021"/>
      <c r="BH130" s="1021"/>
      <c r="BI130" s="1021"/>
      <c r="BJ130" s="1021"/>
      <c r="BK130" s="1021"/>
      <c r="BL130" s="1021"/>
      <c r="BM130" s="1021"/>
      <c r="BN130" s="1021"/>
      <c r="BO130" s="1021"/>
      <c r="BP130" s="1021"/>
      <c r="BQ130" s="1021"/>
      <c r="BR130" s="1021"/>
      <c r="BS130" s="1021"/>
      <c r="BT130" s="1021"/>
      <c r="BU130" s="1021"/>
      <c r="BV130" s="1021"/>
      <c r="BW130" s="1021"/>
      <c r="BX130" s="1021"/>
      <c r="BY130" s="1021"/>
      <c r="BZ130" s="1021"/>
      <c r="CA130" s="1021"/>
      <c r="CB130" s="1021"/>
      <c r="CC130" s="1021"/>
      <c r="CD130" s="1021"/>
      <c r="CE130" s="1021"/>
      <c r="CF130" s="1021"/>
      <c r="CG130" s="1021"/>
      <c r="CH130" s="1021"/>
      <c r="CI130" s="1021"/>
      <c r="CJ130" s="1021"/>
      <c r="CK130" s="1021"/>
      <c r="CL130" s="1021"/>
      <c r="CM130" s="1021"/>
      <c r="CN130" s="1021"/>
      <c r="CO130" s="1021"/>
      <c r="CP130" s="1021"/>
      <c r="CQ130" s="1021"/>
      <c r="CR130" s="1021"/>
      <c r="CS130" s="1021"/>
      <c r="CT130" s="1021"/>
      <c r="CU130" s="1021"/>
      <c r="CV130" s="1021"/>
      <c r="CW130" s="1021"/>
      <c r="CX130" s="1021"/>
      <c r="CY130" s="1021"/>
      <c r="CZ130" s="1021"/>
      <c r="DA130" s="1021"/>
      <c r="DB130" s="1021"/>
    </row>
    <row r="131" spans="1:114" x14ac:dyDescent="0.25">
      <c r="A131" s="1027"/>
      <c r="H131" s="1021"/>
      <c r="I131" s="1026"/>
      <c r="J131" s="1026"/>
      <c r="K131" s="1026"/>
      <c r="L131" s="1026"/>
      <c r="M131" s="1026"/>
      <c r="N131" s="1026"/>
      <c r="O131" s="1026"/>
      <c r="P131" s="1026"/>
      <c r="Q131" s="1026"/>
      <c r="R131" s="1026"/>
      <c r="S131" s="1026"/>
      <c r="T131" s="1026"/>
      <c r="U131" s="1026"/>
      <c r="V131" s="1026"/>
      <c r="W131" s="1026"/>
      <c r="X131" s="1026"/>
      <c r="Y131" s="1026"/>
      <c r="Z131" s="1026"/>
      <c r="AA131" s="1026"/>
      <c r="AB131" s="1026"/>
      <c r="AC131" s="1026"/>
      <c r="AD131" s="1026"/>
      <c r="AE131" s="1021"/>
      <c r="AF131" s="1021"/>
      <c r="AG131" s="1021"/>
      <c r="AH131" s="1021"/>
      <c r="AI131" s="1021"/>
      <c r="AJ131" s="1021"/>
      <c r="AK131" s="1021"/>
      <c r="AL131" s="1021"/>
      <c r="AM131" s="1021"/>
      <c r="AN131" s="1021"/>
      <c r="AO131" s="1021"/>
      <c r="AP131" s="1021"/>
      <c r="AQ131" s="1021"/>
      <c r="AR131" s="1021"/>
      <c r="AS131" s="1021"/>
      <c r="AT131" s="1021"/>
      <c r="AU131" s="1021"/>
      <c r="AV131" s="1021"/>
      <c r="AW131" s="1021"/>
      <c r="AX131" s="1021"/>
      <c r="AY131" s="1021"/>
      <c r="AZ131" s="1021"/>
      <c r="BA131" s="1021"/>
      <c r="BB131" s="1021"/>
      <c r="BC131" s="1021"/>
      <c r="BD131" s="1021"/>
      <c r="BE131" s="1021"/>
      <c r="BF131" s="1021"/>
      <c r="BG131" s="1021"/>
      <c r="BH131" s="1021"/>
      <c r="BI131" s="1021"/>
      <c r="BJ131" s="1021"/>
      <c r="BK131" s="1021"/>
      <c r="BL131" s="1021"/>
      <c r="BM131" s="1021"/>
      <c r="BN131" s="1021"/>
      <c r="BO131" s="1021"/>
      <c r="BP131" s="1021"/>
      <c r="BQ131" s="1021"/>
      <c r="BR131" s="1021"/>
      <c r="BS131" s="1021"/>
      <c r="BT131" s="1021"/>
      <c r="BU131" s="1021"/>
      <c r="BV131" s="1021"/>
      <c r="BW131" s="1021"/>
      <c r="BX131" s="1021"/>
      <c r="BY131" s="1021"/>
      <c r="BZ131" s="1021"/>
      <c r="CA131" s="1021"/>
      <c r="CB131" s="1021"/>
      <c r="CC131" s="1021"/>
      <c r="DH131" s="1009">
        <f>SUM(DH6:DH130)</f>
        <v>-7810613.9736089334</v>
      </c>
      <c r="DJ131" s="1032">
        <f ca="1">SUM(DJ6:DJ130)</f>
        <v>-5157342.9101165934</v>
      </c>
    </row>
    <row r="132" spans="1:114" x14ac:dyDescent="0.25">
      <c r="H132" s="1021"/>
      <c r="I132" s="1026"/>
      <c r="J132" s="1026"/>
      <c r="K132" s="1026"/>
      <c r="L132" s="1026"/>
      <c r="M132" s="1026"/>
      <c r="N132" s="1026"/>
      <c r="O132" s="1026"/>
      <c r="P132" s="1026"/>
      <c r="Q132" s="1026"/>
      <c r="R132" s="1026"/>
      <c r="S132" s="1026"/>
      <c r="T132" s="1026"/>
      <c r="U132" s="1026"/>
      <c r="V132" s="1026"/>
      <c r="W132" s="1026"/>
      <c r="X132" s="1026"/>
      <c r="Y132" s="1026"/>
      <c r="Z132" s="1026"/>
      <c r="AA132" s="1026"/>
      <c r="AB132" s="1026"/>
      <c r="AC132" s="1026"/>
      <c r="AD132" s="1026"/>
      <c r="AE132" s="1021"/>
      <c r="AF132" s="1021"/>
      <c r="AG132" s="1021"/>
      <c r="AH132" s="1021"/>
      <c r="AI132" s="1021"/>
      <c r="AJ132" s="1021"/>
      <c r="AK132" s="1021"/>
      <c r="AL132" s="1021"/>
      <c r="AM132" s="1021"/>
      <c r="AN132" s="1021"/>
      <c r="AO132" s="1021"/>
      <c r="AP132" s="1021"/>
      <c r="AQ132" s="1021"/>
      <c r="AR132" s="1021"/>
      <c r="AS132" s="1021"/>
      <c r="AT132" s="1021"/>
      <c r="AU132" s="1021"/>
      <c r="AV132" s="1021"/>
      <c r="AW132" s="1021"/>
      <c r="AX132" s="1021"/>
      <c r="AY132" s="1021"/>
      <c r="AZ132" s="1021"/>
      <c r="BA132" s="1021"/>
      <c r="BB132" s="1021"/>
      <c r="BC132" s="1021"/>
      <c r="BD132" s="1021"/>
      <c r="BE132" s="1021"/>
      <c r="BF132" s="1021"/>
      <c r="BG132" s="1021"/>
      <c r="BH132" s="1021"/>
      <c r="BI132" s="1021"/>
      <c r="BJ132" s="1021"/>
      <c r="BK132" s="1021"/>
      <c r="BL132" s="1021"/>
      <c r="BM132" s="1021"/>
      <c r="BN132" s="1021"/>
      <c r="BO132" s="1021"/>
      <c r="BP132" s="1021"/>
      <c r="BQ132" s="1021"/>
      <c r="BR132" s="1021"/>
      <c r="BS132" s="1021"/>
      <c r="BT132" s="1021"/>
      <c r="BU132" s="1021"/>
      <c r="BV132" s="1021"/>
      <c r="BW132" s="1021"/>
      <c r="BX132" s="1021"/>
      <c r="BY132" s="1021"/>
      <c r="BZ132" s="1021"/>
      <c r="CA132" s="1021"/>
      <c r="CB132" s="1021"/>
      <c r="CC132" s="1021"/>
    </row>
    <row r="133" spans="1:114" x14ac:dyDescent="0.25">
      <c r="H133" s="1021"/>
      <c r="I133" s="1026"/>
      <c r="J133" s="1026"/>
      <c r="K133" s="1026"/>
      <c r="L133" s="1026"/>
      <c r="M133" s="1026"/>
      <c r="N133" s="1026"/>
      <c r="O133" s="1026"/>
      <c r="P133" s="1026"/>
      <c r="Q133" s="1026"/>
      <c r="R133" s="1026"/>
      <c r="S133" s="1026"/>
      <c r="T133" s="1026"/>
      <c r="U133" s="1026"/>
      <c r="V133" s="1026"/>
      <c r="W133" s="1026"/>
      <c r="X133" s="1026"/>
      <c r="Y133" s="1026"/>
      <c r="Z133" s="1026"/>
      <c r="AA133" s="1026"/>
      <c r="AB133" s="1026"/>
      <c r="AC133" s="1026"/>
      <c r="AD133" s="1026"/>
      <c r="AE133" s="1021"/>
      <c r="AF133" s="1021"/>
      <c r="AG133" s="1021"/>
      <c r="AH133" s="1021"/>
      <c r="AI133" s="1021"/>
      <c r="AJ133" s="1021"/>
      <c r="AK133" s="1021"/>
      <c r="AL133" s="1021"/>
      <c r="AM133" s="1021"/>
      <c r="AN133" s="1021"/>
      <c r="AO133" s="1021"/>
      <c r="AP133" s="1021"/>
      <c r="AQ133" s="1021"/>
      <c r="AR133" s="1021"/>
      <c r="AS133" s="1021"/>
      <c r="AT133" s="1021"/>
      <c r="AU133" s="1021"/>
      <c r="AV133" s="1021"/>
      <c r="AW133" s="1021"/>
      <c r="AX133" s="1021"/>
      <c r="AY133" s="1021"/>
      <c r="AZ133" s="1021"/>
      <c r="BA133" s="1021"/>
      <c r="BB133" s="1021"/>
      <c r="BC133" s="1021"/>
      <c r="BD133" s="1021"/>
      <c r="BE133" s="1021"/>
      <c r="BF133" s="1021"/>
      <c r="BG133" s="1021"/>
      <c r="BH133" s="1021"/>
      <c r="BI133" s="1021"/>
      <c r="BJ133" s="1021"/>
      <c r="BK133" s="1021"/>
      <c r="BL133" s="1021"/>
      <c r="BM133" s="1021"/>
      <c r="BN133" s="1021"/>
      <c r="BO133" s="1021"/>
      <c r="BP133" s="1021"/>
      <c r="BQ133" s="1021"/>
      <c r="BR133" s="1021"/>
      <c r="BS133" s="1021"/>
      <c r="BT133" s="1021"/>
      <c r="BU133" s="1021"/>
      <c r="BV133" s="1021"/>
      <c r="BW133" s="1021"/>
      <c r="BX133" s="1021"/>
      <c r="BY133" s="1021"/>
      <c r="BZ133" s="1021"/>
      <c r="CA133" s="1021"/>
      <c r="CB133" s="1021"/>
      <c r="CC133" s="1021"/>
    </row>
    <row r="134" spans="1:114" x14ac:dyDescent="0.25">
      <c r="H134" s="1021"/>
      <c r="I134" s="1026"/>
      <c r="J134" s="1026"/>
      <c r="K134" s="1026"/>
      <c r="L134" s="1026"/>
      <c r="M134" s="1026"/>
      <c r="N134" s="1026"/>
      <c r="O134" s="1026"/>
      <c r="P134" s="1026"/>
      <c r="Q134" s="1026"/>
      <c r="R134" s="1026"/>
      <c r="S134" s="1026"/>
      <c r="T134" s="1026"/>
      <c r="U134" s="1026"/>
      <c r="V134" s="1026"/>
      <c r="W134" s="1026"/>
      <c r="X134" s="1026"/>
      <c r="Y134" s="1026"/>
      <c r="Z134" s="1026"/>
      <c r="AA134" s="1026"/>
      <c r="AB134" s="1026"/>
      <c r="AC134" s="1026"/>
      <c r="AD134" s="1026"/>
      <c r="AE134" s="1021"/>
      <c r="AF134" s="1021"/>
      <c r="AG134" s="1021"/>
      <c r="AH134" s="1021"/>
      <c r="AI134" s="1021"/>
      <c r="AJ134" s="1021"/>
      <c r="AK134" s="1021"/>
      <c r="AL134" s="1021"/>
      <c r="AM134" s="1021"/>
      <c r="AN134" s="1021"/>
      <c r="AO134" s="1021"/>
      <c r="AP134" s="1021"/>
      <c r="AQ134" s="1021"/>
      <c r="AR134" s="1021"/>
      <c r="AS134" s="1021"/>
      <c r="AT134" s="1021"/>
      <c r="AU134" s="1021"/>
      <c r="AV134" s="1021"/>
      <c r="AW134" s="1021"/>
      <c r="AX134" s="1021"/>
      <c r="AY134" s="1021"/>
      <c r="AZ134" s="1021"/>
      <c r="BA134" s="1021"/>
      <c r="BB134" s="1021"/>
      <c r="BC134" s="1021"/>
      <c r="BD134" s="1021"/>
      <c r="BE134" s="1021"/>
      <c r="BF134" s="1021"/>
      <c r="BG134" s="1021"/>
      <c r="BH134" s="1021"/>
      <c r="BI134" s="1021"/>
      <c r="BJ134" s="1021"/>
      <c r="BK134" s="1021"/>
      <c r="BL134" s="1021"/>
      <c r="BM134" s="1021"/>
      <c r="BN134" s="1021"/>
      <c r="BO134" s="1021"/>
      <c r="BP134" s="1021"/>
      <c r="BQ134" s="1021"/>
      <c r="BR134" s="1021"/>
      <c r="BS134" s="1021"/>
      <c r="BT134" s="1021"/>
      <c r="BU134" s="1021"/>
      <c r="BV134" s="1021"/>
      <c r="BW134" s="1021"/>
      <c r="BX134" s="1021"/>
      <c r="BY134" s="1021"/>
      <c r="BZ134" s="1021"/>
      <c r="CA134" s="1021"/>
      <c r="CB134" s="1021"/>
      <c r="CC134" s="1021"/>
    </row>
    <row r="135" spans="1:114" x14ac:dyDescent="0.25">
      <c r="H135" s="1021"/>
      <c r="I135" s="1026"/>
      <c r="J135" s="1026"/>
      <c r="K135" s="1026"/>
      <c r="L135" s="1026"/>
      <c r="M135" s="1026"/>
      <c r="N135" s="1026"/>
      <c r="O135" s="1026"/>
      <c r="P135" s="1026"/>
      <c r="Q135" s="1026"/>
      <c r="R135" s="1026"/>
      <c r="S135" s="1026"/>
      <c r="T135" s="1026"/>
      <c r="U135" s="1026"/>
      <c r="V135" s="1026"/>
      <c r="W135" s="1026"/>
      <c r="X135" s="1026"/>
      <c r="Y135" s="1026"/>
      <c r="Z135" s="1026"/>
      <c r="AA135" s="1026"/>
      <c r="AB135" s="1026"/>
      <c r="AC135" s="1026"/>
      <c r="AD135" s="1026"/>
      <c r="AE135" s="1021"/>
      <c r="AF135" s="1021"/>
      <c r="AG135" s="1021"/>
      <c r="AH135" s="1021"/>
      <c r="AI135" s="1021"/>
      <c r="AJ135" s="1021"/>
      <c r="AK135" s="1021"/>
      <c r="AL135" s="1021"/>
      <c r="AM135" s="1021"/>
      <c r="AN135" s="1021"/>
      <c r="AO135" s="1021"/>
      <c r="AP135" s="1021"/>
      <c r="AQ135" s="1021"/>
      <c r="AR135" s="1021"/>
      <c r="AS135" s="1021"/>
      <c r="AT135" s="1021"/>
      <c r="AU135" s="1021"/>
      <c r="AV135" s="1021"/>
      <c r="AW135" s="1021"/>
      <c r="AX135" s="1021"/>
      <c r="AY135" s="1021"/>
      <c r="AZ135" s="1021"/>
      <c r="BA135" s="1021"/>
      <c r="BB135" s="1021"/>
      <c r="BC135" s="1021"/>
      <c r="BD135" s="1021"/>
      <c r="BE135" s="1021"/>
      <c r="BF135" s="1021"/>
      <c r="BG135" s="1021"/>
      <c r="BH135" s="1021"/>
      <c r="BI135" s="1021"/>
      <c r="BJ135" s="1021"/>
      <c r="BK135" s="1021"/>
      <c r="BL135" s="1021"/>
      <c r="BM135" s="1021"/>
      <c r="BN135" s="1021"/>
      <c r="BO135" s="1021"/>
      <c r="BP135" s="1021"/>
      <c r="BQ135" s="1021"/>
      <c r="BR135" s="1021"/>
      <c r="BS135" s="1021"/>
      <c r="BT135" s="1021"/>
      <c r="BU135" s="1021"/>
      <c r="BV135" s="1021"/>
      <c r="BW135" s="1021"/>
      <c r="BX135" s="1021"/>
      <c r="BY135" s="1021"/>
      <c r="BZ135" s="1021"/>
      <c r="CA135" s="1021"/>
      <c r="CB135" s="1021"/>
      <c r="CC135" s="1021"/>
    </row>
    <row r="136" spans="1:114" x14ac:dyDescent="0.25">
      <c r="H136" s="1021"/>
      <c r="I136" s="1026"/>
      <c r="J136" s="1026"/>
      <c r="K136" s="1026"/>
      <c r="L136" s="1026"/>
      <c r="M136" s="1026"/>
      <c r="N136" s="1026"/>
      <c r="O136" s="1026"/>
      <c r="P136" s="1026"/>
      <c r="Q136" s="1021"/>
      <c r="R136" s="1026"/>
      <c r="S136" s="1026"/>
      <c r="T136" s="1026"/>
      <c r="U136" s="1026"/>
      <c r="V136" s="1026"/>
      <c r="W136" s="1026"/>
      <c r="X136" s="1026"/>
      <c r="Y136" s="1026"/>
      <c r="Z136" s="1026"/>
      <c r="AA136" s="1026"/>
      <c r="AB136" s="1026"/>
      <c r="AC136" s="1026"/>
      <c r="AD136" s="1026"/>
      <c r="AE136" s="1021"/>
      <c r="AF136" s="1021"/>
      <c r="AG136" s="1021"/>
      <c r="AH136" s="1021"/>
      <c r="AI136" s="1021"/>
      <c r="AJ136" s="1021"/>
      <c r="AK136" s="1021"/>
      <c r="AL136" s="1021"/>
      <c r="AM136" s="1021"/>
      <c r="AN136" s="1021"/>
      <c r="AO136" s="1021"/>
      <c r="AP136" s="1021"/>
      <c r="AQ136" s="1021"/>
      <c r="AR136" s="1021"/>
      <c r="AS136" s="1021"/>
      <c r="AT136" s="1021"/>
      <c r="AU136" s="1021"/>
      <c r="AV136" s="1021"/>
      <c r="AW136" s="1021"/>
      <c r="AX136" s="1021"/>
      <c r="AY136" s="1021"/>
      <c r="AZ136" s="1021"/>
      <c r="BA136" s="1021"/>
      <c r="BB136" s="1021"/>
      <c r="BC136" s="1021"/>
      <c r="BD136" s="1021"/>
      <c r="BE136" s="1021"/>
      <c r="BF136" s="1021"/>
      <c r="BG136" s="1021"/>
      <c r="BH136" s="1021"/>
      <c r="BI136" s="1021"/>
      <c r="BJ136" s="1021"/>
      <c r="BK136" s="1021"/>
      <c r="BL136" s="1021"/>
      <c r="BM136" s="1021"/>
      <c r="BN136" s="1021"/>
      <c r="BO136" s="1021"/>
      <c r="BP136" s="1021"/>
      <c r="BQ136" s="1021"/>
      <c r="BR136" s="1021"/>
      <c r="BS136" s="1021"/>
      <c r="BT136" s="1021"/>
      <c r="BU136" s="1021"/>
      <c r="BV136" s="1021"/>
      <c r="BW136" s="1021"/>
      <c r="BX136" s="1021"/>
      <c r="BY136" s="1021"/>
      <c r="BZ136" s="1021"/>
      <c r="CA136" s="1021"/>
      <c r="CB136" s="1021"/>
      <c r="CC136" s="1021"/>
    </row>
    <row r="137" spans="1:114" x14ac:dyDescent="0.25">
      <c r="H137" s="1021"/>
      <c r="I137" s="1026"/>
      <c r="J137" s="1026"/>
      <c r="K137" s="1026"/>
      <c r="L137" s="1026"/>
      <c r="M137" s="1026"/>
      <c r="N137" s="1026"/>
      <c r="O137" s="1026"/>
      <c r="P137" s="1026"/>
      <c r="Q137" s="1021"/>
      <c r="R137" s="1026"/>
      <c r="S137" s="1026"/>
      <c r="T137" s="1026"/>
      <c r="U137" s="1026"/>
      <c r="V137" s="1026"/>
      <c r="W137" s="1026"/>
      <c r="X137" s="1026"/>
      <c r="Y137" s="1026"/>
      <c r="Z137" s="1026"/>
      <c r="AA137" s="1026"/>
      <c r="AB137" s="1026"/>
      <c r="AC137" s="1026"/>
      <c r="AD137" s="1026"/>
      <c r="AE137" s="1021"/>
      <c r="AF137" s="1021"/>
      <c r="AG137" s="1021"/>
      <c r="AH137" s="1021"/>
      <c r="AI137" s="1021"/>
      <c r="AJ137" s="1021"/>
      <c r="AK137" s="1021"/>
      <c r="AL137" s="1021"/>
      <c r="AM137" s="1021"/>
      <c r="AN137" s="1021"/>
      <c r="AO137" s="1021"/>
      <c r="AP137" s="1021"/>
      <c r="AQ137" s="1021"/>
      <c r="AR137" s="1021"/>
      <c r="AS137" s="1021"/>
      <c r="AT137" s="1021"/>
      <c r="AU137" s="1021"/>
      <c r="AV137" s="1021"/>
      <c r="AW137" s="1021"/>
      <c r="AX137" s="1021"/>
      <c r="AY137" s="1021"/>
      <c r="AZ137" s="1021"/>
      <c r="BA137" s="1021"/>
      <c r="BB137" s="1021"/>
      <c r="BC137" s="1021"/>
      <c r="BD137" s="1021"/>
      <c r="BE137" s="1021"/>
      <c r="BF137" s="1021"/>
      <c r="BG137" s="1021"/>
      <c r="BH137" s="1021"/>
      <c r="BI137" s="1021"/>
      <c r="BJ137" s="1021"/>
      <c r="BK137" s="1021"/>
      <c r="BL137" s="1021"/>
      <c r="BM137" s="1021"/>
      <c r="BN137" s="1021"/>
      <c r="BO137" s="1021"/>
      <c r="BP137" s="1021"/>
      <c r="BQ137" s="1021"/>
      <c r="BR137" s="1021"/>
      <c r="BS137" s="1021"/>
      <c r="BT137" s="1021"/>
      <c r="BU137" s="1021"/>
      <c r="BV137" s="1021"/>
      <c r="BW137" s="1021"/>
      <c r="BX137" s="1021"/>
      <c r="BY137" s="1021"/>
      <c r="BZ137" s="1021"/>
      <c r="CA137" s="1021"/>
      <c r="CB137" s="1021"/>
      <c r="CC137" s="1021"/>
    </row>
    <row r="138" spans="1:114" x14ac:dyDescent="0.25">
      <c r="H138" s="1021"/>
      <c r="I138" s="1026"/>
      <c r="J138" s="1026"/>
      <c r="K138" s="1026"/>
      <c r="L138" s="1026"/>
      <c r="M138" s="1026"/>
      <c r="N138" s="1026"/>
      <c r="O138" s="1026"/>
      <c r="P138" s="1026"/>
      <c r="Q138" s="1021"/>
      <c r="R138" s="1026"/>
      <c r="S138" s="1026"/>
      <c r="T138" s="1026"/>
      <c r="U138" s="1026"/>
      <c r="V138" s="1026"/>
      <c r="W138" s="1026"/>
      <c r="X138" s="1026"/>
      <c r="Y138" s="1026"/>
      <c r="Z138" s="1026"/>
      <c r="AA138" s="1026"/>
      <c r="AB138" s="1026"/>
      <c r="AC138" s="1026"/>
      <c r="AD138" s="1026"/>
      <c r="AE138" s="1021"/>
      <c r="AF138" s="1021"/>
      <c r="AG138" s="1021"/>
      <c r="AH138" s="1021"/>
      <c r="AI138" s="1021"/>
      <c r="AJ138" s="1021"/>
      <c r="AK138" s="1021"/>
      <c r="AL138" s="1021"/>
      <c r="AM138" s="1021"/>
      <c r="AN138" s="1021"/>
      <c r="AO138" s="1021"/>
      <c r="AP138" s="1021"/>
      <c r="AQ138" s="1021"/>
      <c r="AR138" s="1021"/>
      <c r="AS138" s="1021"/>
      <c r="AT138" s="1021"/>
      <c r="AU138" s="1021"/>
      <c r="AV138" s="1021"/>
      <c r="AW138" s="1021"/>
      <c r="AX138" s="1021"/>
      <c r="AY138" s="1021"/>
      <c r="AZ138" s="1021"/>
      <c r="BA138" s="1021"/>
      <c r="BB138" s="1021"/>
      <c r="BC138" s="1021"/>
      <c r="BD138" s="1021"/>
      <c r="BE138" s="1021"/>
      <c r="BF138" s="1021"/>
      <c r="BG138" s="1021"/>
      <c r="BH138" s="1021"/>
      <c r="BI138" s="1021"/>
      <c r="BJ138" s="1021"/>
      <c r="BK138" s="1021"/>
      <c r="BL138" s="1021"/>
      <c r="BM138" s="1021"/>
      <c r="BN138" s="1021"/>
      <c r="BO138" s="1021"/>
      <c r="BP138" s="1021"/>
      <c r="BQ138" s="1021"/>
      <c r="BR138" s="1021"/>
      <c r="BS138" s="1021"/>
      <c r="BT138" s="1021"/>
      <c r="BU138" s="1021"/>
      <c r="BV138" s="1021"/>
      <c r="BW138" s="1021"/>
      <c r="BX138" s="1021"/>
      <c r="BY138" s="1021"/>
      <c r="BZ138" s="1021"/>
      <c r="CA138" s="1021"/>
      <c r="CB138" s="1021"/>
      <c r="CC138" s="1021"/>
    </row>
    <row r="139" spans="1:114" x14ac:dyDescent="0.25">
      <c r="H139" s="1021"/>
      <c r="I139" s="1026"/>
      <c r="J139" s="1026"/>
      <c r="K139" s="1026"/>
      <c r="L139" s="1026"/>
      <c r="M139" s="1026"/>
      <c r="N139" s="1026"/>
      <c r="O139" s="1026"/>
      <c r="P139" s="1026"/>
      <c r="Q139" s="1022"/>
      <c r="R139" s="1026"/>
      <c r="S139" s="1026"/>
      <c r="T139" s="1026"/>
      <c r="U139" s="1026"/>
      <c r="V139" s="1026"/>
      <c r="W139" s="1026"/>
      <c r="X139" s="1026"/>
      <c r="Y139" s="1026"/>
      <c r="Z139" s="1026"/>
      <c r="AA139" s="1026"/>
      <c r="AB139" s="1026"/>
      <c r="AC139" s="1026"/>
      <c r="AD139" s="1026"/>
      <c r="AE139" s="1021"/>
      <c r="AF139" s="1021"/>
      <c r="AG139" s="1021"/>
      <c r="AH139" s="1021"/>
      <c r="AI139" s="1021"/>
      <c r="AJ139" s="1021"/>
      <c r="AK139" s="1021"/>
      <c r="AL139" s="1021"/>
      <c r="AM139" s="1021"/>
      <c r="AN139" s="1021"/>
      <c r="AO139" s="1021"/>
      <c r="AP139" s="1021"/>
      <c r="AQ139" s="1021"/>
      <c r="AR139" s="1021"/>
      <c r="AS139" s="1021"/>
      <c r="AT139" s="1021"/>
      <c r="AU139" s="1021"/>
      <c r="AV139" s="1021"/>
      <c r="AW139" s="1021"/>
      <c r="AX139" s="1021"/>
      <c r="AY139" s="1021"/>
      <c r="AZ139" s="1021"/>
      <c r="BA139" s="1021"/>
      <c r="BB139" s="1021"/>
      <c r="BC139" s="1021"/>
      <c r="BD139" s="1021"/>
      <c r="BE139" s="1021"/>
      <c r="BF139" s="1021"/>
      <c r="BG139" s="1021"/>
      <c r="BH139" s="1021"/>
      <c r="BI139" s="1021"/>
      <c r="BJ139" s="1021"/>
      <c r="BK139" s="1021"/>
      <c r="BL139" s="1021"/>
      <c r="BM139" s="1021"/>
      <c r="BN139" s="1021"/>
      <c r="BO139" s="1021"/>
      <c r="BP139" s="1021"/>
      <c r="BQ139" s="1021"/>
      <c r="BR139" s="1021"/>
      <c r="BS139" s="1021"/>
      <c r="BT139" s="1021"/>
      <c r="BU139" s="1021"/>
      <c r="BV139" s="1021"/>
      <c r="BW139" s="1021"/>
      <c r="BX139" s="1021"/>
      <c r="BY139" s="1021"/>
      <c r="BZ139" s="1021"/>
      <c r="CA139" s="1021"/>
      <c r="CB139" s="1021"/>
      <c r="CC139" s="1021"/>
    </row>
    <row r="140" spans="1:114" x14ac:dyDescent="0.25">
      <c r="H140" s="1021"/>
      <c r="I140" s="1026"/>
      <c r="J140" s="1026"/>
      <c r="K140" s="1026"/>
      <c r="L140" s="1026"/>
      <c r="M140" s="1026"/>
      <c r="N140" s="1026"/>
      <c r="O140" s="1026"/>
      <c r="P140" s="1026"/>
      <c r="Q140" s="1022"/>
      <c r="R140" s="1026"/>
      <c r="S140" s="1026"/>
      <c r="T140" s="1026"/>
      <c r="U140" s="1026"/>
      <c r="V140" s="1026"/>
      <c r="W140" s="1026"/>
      <c r="X140" s="1026"/>
      <c r="Y140" s="1026"/>
      <c r="Z140" s="1026"/>
      <c r="AA140" s="1026"/>
      <c r="AB140" s="1026"/>
      <c r="AC140" s="1026"/>
      <c r="AD140" s="1026"/>
      <c r="AE140" s="1021"/>
      <c r="AF140" s="1021"/>
      <c r="AG140" s="1021"/>
      <c r="AH140" s="1021"/>
      <c r="AI140" s="1021"/>
      <c r="AJ140" s="1021"/>
      <c r="AK140" s="1021"/>
      <c r="AL140" s="1021"/>
      <c r="AM140" s="1021"/>
      <c r="AN140" s="1021"/>
      <c r="AO140" s="1021"/>
      <c r="AP140" s="1021"/>
      <c r="AQ140" s="1021"/>
      <c r="AR140" s="1021"/>
      <c r="AS140" s="1021"/>
      <c r="AT140" s="1021"/>
      <c r="AU140" s="1021"/>
      <c r="AV140" s="1021"/>
      <c r="AW140" s="1021"/>
      <c r="AX140" s="1021"/>
      <c r="AY140" s="1021"/>
      <c r="AZ140" s="1021"/>
      <c r="BA140" s="1021"/>
      <c r="BB140" s="1021"/>
      <c r="BC140" s="1021"/>
      <c r="BD140" s="1021"/>
      <c r="BE140" s="1021"/>
      <c r="BF140" s="1021"/>
      <c r="BG140" s="1021"/>
      <c r="BH140" s="1021"/>
      <c r="BI140" s="1021"/>
      <c r="BJ140" s="1021"/>
      <c r="BK140" s="1021"/>
      <c r="BL140" s="1021"/>
      <c r="BM140" s="1021"/>
      <c r="BN140" s="1021"/>
      <c r="BO140" s="1021"/>
      <c r="BP140" s="1021"/>
      <c r="BQ140" s="1021"/>
      <c r="BR140" s="1021"/>
      <c r="BS140" s="1021"/>
      <c r="BT140" s="1021"/>
      <c r="BU140" s="1021"/>
      <c r="BV140" s="1021"/>
      <c r="BW140" s="1021"/>
      <c r="BX140" s="1021"/>
      <c r="BY140" s="1021"/>
      <c r="BZ140" s="1021"/>
      <c r="CA140" s="1021"/>
      <c r="CB140" s="1021"/>
      <c r="CC140" s="1021"/>
    </row>
    <row r="141" spans="1:114" x14ac:dyDescent="0.25">
      <c r="H141" s="1021"/>
      <c r="I141" s="1026"/>
      <c r="J141" s="1026"/>
      <c r="K141" s="1026"/>
      <c r="L141" s="1026"/>
      <c r="M141" s="1026"/>
      <c r="N141" s="1026"/>
      <c r="O141" s="1026"/>
      <c r="P141" s="1026"/>
      <c r="Q141" s="1022"/>
      <c r="R141" s="1026"/>
      <c r="S141" s="1026"/>
      <c r="T141" s="1026"/>
      <c r="U141" s="1026"/>
      <c r="V141" s="1026"/>
      <c r="W141" s="1026"/>
      <c r="X141" s="1026"/>
      <c r="Y141" s="1026"/>
      <c r="Z141" s="1026"/>
      <c r="AA141" s="1026"/>
      <c r="AB141" s="1026"/>
      <c r="AC141" s="1026"/>
      <c r="AD141" s="1026"/>
      <c r="AE141" s="1021"/>
      <c r="AF141" s="1021"/>
      <c r="AG141" s="1021"/>
      <c r="AH141" s="1021"/>
      <c r="AI141" s="1021"/>
      <c r="AJ141" s="1021"/>
      <c r="AK141" s="1021"/>
      <c r="AL141" s="1021"/>
      <c r="AM141" s="1021"/>
      <c r="AN141" s="1021"/>
      <c r="AO141" s="1021"/>
      <c r="AP141" s="1021"/>
      <c r="AQ141" s="1021"/>
      <c r="AR141" s="1021"/>
      <c r="AS141" s="1021"/>
      <c r="AT141" s="1021"/>
      <c r="AU141" s="1021"/>
      <c r="AV141" s="1021"/>
      <c r="AW141" s="1021"/>
      <c r="AX141" s="1021"/>
      <c r="AY141" s="1021"/>
      <c r="AZ141" s="1021"/>
      <c r="BA141" s="1021"/>
      <c r="BB141" s="1021"/>
      <c r="BC141" s="1021"/>
      <c r="BD141" s="1021"/>
      <c r="BE141" s="1021"/>
      <c r="BF141" s="1021"/>
      <c r="BG141" s="1021"/>
      <c r="BH141" s="1021"/>
      <c r="BI141" s="1021"/>
      <c r="BJ141" s="1021"/>
      <c r="BK141" s="1021"/>
      <c r="BL141" s="1021"/>
      <c r="BM141" s="1021"/>
      <c r="BN141" s="1021"/>
      <c r="BO141" s="1021"/>
      <c r="BP141" s="1021"/>
      <c r="BQ141" s="1021"/>
      <c r="BR141" s="1021"/>
      <c r="BS141" s="1021"/>
      <c r="BT141" s="1021"/>
      <c r="BU141" s="1021"/>
      <c r="BV141" s="1021"/>
      <c r="BW141" s="1021"/>
      <c r="BX141" s="1021"/>
      <c r="BY141" s="1021"/>
      <c r="BZ141" s="1021"/>
      <c r="CA141" s="1021"/>
      <c r="CB141" s="1021"/>
      <c r="CC141" s="1021"/>
    </row>
    <row r="142" spans="1:114" x14ac:dyDescent="0.25">
      <c r="H142" s="1021"/>
      <c r="I142" s="1026"/>
      <c r="J142" s="1026"/>
      <c r="K142" s="1026"/>
      <c r="L142" s="1026"/>
      <c r="M142" s="1026"/>
      <c r="N142" s="1026"/>
      <c r="O142" s="1026"/>
      <c r="P142" s="1026"/>
      <c r="Q142" s="1022"/>
      <c r="R142" s="1026"/>
      <c r="S142" s="1026"/>
      <c r="T142" s="1026"/>
      <c r="U142" s="1026"/>
      <c r="V142" s="1026"/>
      <c r="W142" s="1026"/>
      <c r="X142" s="1026"/>
      <c r="Y142" s="1026"/>
      <c r="Z142" s="1026"/>
      <c r="AA142" s="1026"/>
      <c r="AB142" s="1026"/>
      <c r="AC142" s="1026"/>
      <c r="AD142" s="1026"/>
      <c r="AE142" s="1021"/>
      <c r="AF142" s="1021"/>
      <c r="AG142" s="1021"/>
      <c r="AH142" s="1021"/>
      <c r="AI142" s="1021"/>
      <c r="AJ142" s="1021"/>
      <c r="AK142" s="1021"/>
      <c r="AL142" s="1021"/>
      <c r="AM142" s="1021"/>
      <c r="AN142" s="1021"/>
      <c r="AO142" s="1021"/>
      <c r="AP142" s="1021"/>
      <c r="AQ142" s="1021"/>
      <c r="AR142" s="1021"/>
      <c r="AS142" s="1021"/>
      <c r="AT142" s="1021"/>
      <c r="AU142" s="1021"/>
      <c r="AV142" s="1021"/>
      <c r="AW142" s="1021"/>
      <c r="AX142" s="1021"/>
      <c r="AY142" s="1021"/>
      <c r="AZ142" s="1021"/>
      <c r="BA142" s="1021"/>
      <c r="BB142" s="1021"/>
      <c r="BC142" s="1021"/>
      <c r="BD142" s="1021"/>
      <c r="BE142" s="1021"/>
      <c r="BF142" s="1021"/>
      <c r="BG142" s="1021"/>
      <c r="BH142" s="1021"/>
      <c r="BI142" s="1021"/>
      <c r="BJ142" s="1021"/>
      <c r="BK142" s="1021"/>
      <c r="BL142" s="1021"/>
      <c r="BM142" s="1021"/>
      <c r="BN142" s="1021"/>
      <c r="BO142" s="1021"/>
      <c r="BP142" s="1021"/>
      <c r="BQ142" s="1021"/>
      <c r="BR142" s="1021"/>
      <c r="BS142" s="1021"/>
      <c r="BT142" s="1021"/>
      <c r="BU142" s="1021"/>
      <c r="BV142" s="1021"/>
      <c r="BW142" s="1021"/>
      <c r="BX142" s="1021"/>
      <c r="BY142" s="1021"/>
      <c r="BZ142" s="1021"/>
      <c r="CA142" s="1021"/>
      <c r="CB142" s="1021"/>
      <c r="CC142" s="1021"/>
    </row>
    <row r="143" spans="1:114" x14ac:dyDescent="0.25">
      <c r="H143" s="1021"/>
      <c r="I143" s="1026"/>
      <c r="J143" s="1026"/>
      <c r="K143" s="1026"/>
      <c r="L143" s="1026"/>
      <c r="M143" s="1026"/>
      <c r="N143" s="1026"/>
      <c r="O143" s="1026"/>
      <c r="P143" s="1026"/>
      <c r="Q143" s="1022"/>
      <c r="R143" s="1026"/>
      <c r="S143" s="1026"/>
      <c r="T143" s="1026"/>
      <c r="U143" s="1026"/>
      <c r="V143" s="1026"/>
      <c r="W143" s="1026"/>
      <c r="X143" s="1026"/>
      <c r="Y143" s="1026"/>
      <c r="Z143" s="1026"/>
      <c r="AA143" s="1026"/>
      <c r="AB143" s="1026"/>
      <c r="AC143" s="1026"/>
      <c r="AD143" s="1026"/>
      <c r="AE143" s="1021"/>
      <c r="AF143" s="1021"/>
      <c r="AG143" s="1021"/>
      <c r="AH143" s="1021"/>
      <c r="AI143" s="1021"/>
      <c r="AJ143" s="1021"/>
      <c r="AK143" s="1021"/>
      <c r="AL143" s="1021"/>
      <c r="AM143" s="1021"/>
      <c r="AN143" s="1021"/>
      <c r="AO143" s="1021"/>
      <c r="AP143" s="1021"/>
      <c r="AQ143" s="1021"/>
      <c r="AR143" s="1021"/>
      <c r="AS143" s="1021"/>
      <c r="AT143" s="1021"/>
      <c r="AU143" s="1021"/>
      <c r="AV143" s="1021"/>
      <c r="AW143" s="1021"/>
      <c r="AX143" s="1021"/>
      <c r="AY143" s="1021"/>
      <c r="AZ143" s="1021"/>
      <c r="BA143" s="1021"/>
      <c r="BB143" s="1021"/>
      <c r="BC143" s="1021"/>
      <c r="BD143" s="1021"/>
      <c r="BE143" s="1021"/>
      <c r="BF143" s="1021"/>
      <c r="BG143" s="1021"/>
      <c r="BH143" s="1021"/>
      <c r="BI143" s="1021"/>
      <c r="BJ143" s="1021"/>
      <c r="BK143" s="1021"/>
      <c r="BL143" s="1021"/>
      <c r="BM143" s="1021"/>
      <c r="BN143" s="1021"/>
      <c r="BO143" s="1021"/>
      <c r="BP143" s="1021"/>
      <c r="BQ143" s="1021"/>
      <c r="BR143" s="1021"/>
      <c r="BS143" s="1021"/>
      <c r="BT143" s="1021"/>
      <c r="BU143" s="1021"/>
      <c r="BV143" s="1021"/>
      <c r="BW143" s="1021"/>
      <c r="BX143" s="1021"/>
      <c r="BY143" s="1021"/>
      <c r="BZ143" s="1021"/>
      <c r="CA143" s="1021"/>
      <c r="CB143" s="1021"/>
      <c r="CC143" s="1021"/>
    </row>
    <row r="144" spans="1:114" x14ac:dyDescent="0.25">
      <c r="H144" s="1021"/>
      <c r="I144" s="1026"/>
      <c r="J144" s="1026"/>
      <c r="K144" s="1026"/>
      <c r="L144" s="1026"/>
      <c r="M144" s="1026"/>
      <c r="N144" s="1026"/>
      <c r="O144" s="1026"/>
      <c r="P144" s="1026"/>
      <c r="Q144" s="1022"/>
      <c r="R144" s="1026"/>
      <c r="S144" s="1026"/>
      <c r="T144" s="1026"/>
      <c r="U144" s="1026"/>
      <c r="V144" s="1026"/>
      <c r="W144" s="1026"/>
      <c r="X144" s="1026"/>
      <c r="Y144" s="1026"/>
      <c r="Z144" s="1026"/>
      <c r="AA144" s="1026"/>
      <c r="AB144" s="1026"/>
      <c r="AC144" s="1026"/>
      <c r="AD144" s="1026"/>
      <c r="AE144" s="1021"/>
      <c r="AF144" s="1021"/>
      <c r="AG144" s="1021"/>
      <c r="AH144" s="1021"/>
      <c r="AI144" s="1021"/>
      <c r="AJ144" s="1021"/>
      <c r="AK144" s="1021"/>
      <c r="AL144" s="1021"/>
      <c r="AM144" s="1021"/>
      <c r="AN144" s="1021"/>
      <c r="AO144" s="1021"/>
      <c r="AP144" s="1021"/>
      <c r="AQ144" s="1021"/>
      <c r="AR144" s="1021"/>
      <c r="AS144" s="1021"/>
      <c r="AT144" s="1021"/>
      <c r="AU144" s="1021"/>
      <c r="AV144" s="1021"/>
      <c r="AW144" s="1021"/>
      <c r="AX144" s="1021"/>
      <c r="AY144" s="1021"/>
      <c r="AZ144" s="1021"/>
      <c r="BA144" s="1021"/>
      <c r="BB144" s="1021"/>
      <c r="BC144" s="1021"/>
      <c r="BD144" s="1021"/>
      <c r="BE144" s="1021"/>
      <c r="BF144" s="1021"/>
      <c r="BG144" s="1021"/>
      <c r="BH144" s="1021"/>
      <c r="BI144" s="1021"/>
      <c r="BJ144" s="1021"/>
      <c r="BK144" s="1021"/>
      <c r="BL144" s="1021"/>
      <c r="BM144" s="1021"/>
      <c r="BN144" s="1021"/>
      <c r="BO144" s="1021"/>
      <c r="BP144" s="1021"/>
      <c r="BQ144" s="1021"/>
      <c r="BR144" s="1021"/>
      <c r="BS144" s="1021"/>
      <c r="BT144" s="1021"/>
      <c r="BU144" s="1021"/>
      <c r="BV144" s="1021"/>
      <c r="BW144" s="1021"/>
      <c r="BX144" s="1021"/>
      <c r="BY144" s="1021"/>
      <c r="BZ144" s="1021"/>
      <c r="CA144" s="1021"/>
      <c r="CB144" s="1021"/>
      <c r="CC144" s="1021"/>
    </row>
    <row r="145" spans="8:81" x14ac:dyDescent="0.25">
      <c r="H145" s="1021"/>
      <c r="I145" s="1026"/>
      <c r="J145" s="1026"/>
      <c r="K145" s="1026"/>
      <c r="L145" s="1026"/>
      <c r="M145" s="1026"/>
      <c r="N145" s="1026"/>
      <c r="O145" s="1026"/>
      <c r="P145" s="1026"/>
      <c r="Q145" s="1022"/>
      <c r="R145" s="1026"/>
      <c r="S145" s="1026"/>
      <c r="T145" s="1026"/>
      <c r="U145" s="1026"/>
      <c r="V145" s="1026"/>
      <c r="W145" s="1026"/>
      <c r="X145" s="1026"/>
      <c r="Y145" s="1026"/>
      <c r="Z145" s="1026"/>
      <c r="AA145" s="1026"/>
      <c r="AB145" s="1026"/>
      <c r="AC145" s="1026"/>
      <c r="AD145" s="1026"/>
      <c r="AE145" s="1021"/>
      <c r="AF145" s="1021"/>
      <c r="AG145" s="1021"/>
      <c r="AH145" s="1021"/>
      <c r="AI145" s="1021"/>
      <c r="AJ145" s="1021"/>
      <c r="AK145" s="1021"/>
      <c r="AL145" s="1021"/>
      <c r="AM145" s="1021"/>
      <c r="AN145" s="1021"/>
      <c r="AO145" s="1021"/>
      <c r="AP145" s="1021"/>
      <c r="AQ145" s="1021"/>
      <c r="AR145" s="1021"/>
      <c r="AS145" s="1021"/>
      <c r="AT145" s="1021"/>
      <c r="AU145" s="1021"/>
      <c r="AV145" s="1021"/>
      <c r="AW145" s="1021"/>
      <c r="AX145" s="1021"/>
      <c r="AY145" s="1021"/>
      <c r="AZ145" s="1021"/>
      <c r="BA145" s="1021"/>
      <c r="BB145" s="1021"/>
      <c r="BC145" s="1021"/>
      <c r="BD145" s="1021"/>
      <c r="BE145" s="1021"/>
      <c r="BF145" s="1021"/>
      <c r="BG145" s="1021"/>
      <c r="BH145" s="1021"/>
      <c r="BI145" s="1021"/>
      <c r="BJ145" s="1021"/>
      <c r="BK145" s="1021"/>
      <c r="BL145" s="1021"/>
      <c r="BM145" s="1021"/>
      <c r="BN145" s="1021"/>
      <c r="BO145" s="1021"/>
      <c r="BP145" s="1021"/>
      <c r="BQ145" s="1021"/>
      <c r="BR145" s="1021"/>
      <c r="BS145" s="1021"/>
      <c r="BT145" s="1021"/>
      <c r="BU145" s="1021"/>
      <c r="BV145" s="1021"/>
      <c r="BW145" s="1021"/>
      <c r="BX145" s="1021"/>
      <c r="BY145" s="1021"/>
      <c r="BZ145" s="1021"/>
      <c r="CA145" s="1021"/>
      <c r="CB145" s="1021"/>
      <c r="CC145" s="1021"/>
    </row>
    <row r="146" spans="8:81" x14ac:dyDescent="0.25">
      <c r="H146" s="1021"/>
      <c r="I146" s="1026"/>
      <c r="J146" s="1026"/>
      <c r="K146" s="1026"/>
      <c r="L146" s="1026"/>
      <c r="M146" s="1026"/>
      <c r="N146" s="1026"/>
      <c r="O146" s="1026"/>
      <c r="P146" s="1026"/>
      <c r="Q146" s="1022"/>
      <c r="R146" s="1026"/>
      <c r="S146" s="1026"/>
      <c r="T146" s="1026"/>
      <c r="U146" s="1026"/>
      <c r="V146" s="1026"/>
      <c r="W146" s="1026"/>
      <c r="X146" s="1026"/>
      <c r="Y146" s="1026"/>
      <c r="Z146" s="1026"/>
      <c r="AA146" s="1026"/>
      <c r="AB146" s="1026"/>
      <c r="AC146" s="1026"/>
      <c r="AD146" s="1026"/>
      <c r="AE146" s="1021"/>
      <c r="AF146" s="1021"/>
      <c r="AG146" s="1021"/>
      <c r="AH146" s="1021"/>
      <c r="AI146" s="1021"/>
      <c r="AJ146" s="1021"/>
      <c r="AK146" s="1021"/>
      <c r="AL146" s="1021"/>
      <c r="AM146" s="1021"/>
      <c r="AN146" s="1021"/>
      <c r="AO146" s="1021"/>
      <c r="AP146" s="1021"/>
      <c r="AQ146" s="1021"/>
      <c r="AR146" s="1021"/>
      <c r="AS146" s="1021"/>
      <c r="AT146" s="1021"/>
      <c r="AU146" s="1021"/>
      <c r="AV146" s="1021"/>
      <c r="AW146" s="1021"/>
      <c r="AX146" s="1021"/>
      <c r="AY146" s="1021"/>
      <c r="AZ146" s="1021"/>
      <c r="BA146" s="1021"/>
      <c r="BB146" s="1021"/>
      <c r="BC146" s="1021"/>
      <c r="BD146" s="1021"/>
      <c r="BE146" s="1021"/>
      <c r="BF146" s="1021"/>
      <c r="BG146" s="1021"/>
      <c r="BH146" s="1021"/>
      <c r="BI146" s="1021"/>
      <c r="BJ146" s="1021"/>
      <c r="BK146" s="1021"/>
      <c r="BL146" s="1021"/>
      <c r="BM146" s="1021"/>
      <c r="BN146" s="1021"/>
      <c r="BO146" s="1021"/>
      <c r="BP146" s="1021"/>
      <c r="BQ146" s="1021"/>
      <c r="BR146" s="1021"/>
      <c r="BS146" s="1021"/>
      <c r="BT146" s="1021"/>
      <c r="BU146" s="1021"/>
      <c r="BV146" s="1021"/>
      <c r="BW146" s="1021"/>
      <c r="BX146" s="1021"/>
      <c r="BY146" s="1021"/>
      <c r="BZ146" s="1021"/>
      <c r="CA146" s="1021"/>
      <c r="CB146" s="1021"/>
      <c r="CC146" s="1021"/>
    </row>
    <row r="147" spans="8:81" x14ac:dyDescent="0.25">
      <c r="H147" s="1021"/>
      <c r="I147" s="1026"/>
      <c r="J147" s="1026"/>
      <c r="K147" s="1026"/>
      <c r="L147" s="1026"/>
      <c r="M147" s="1026"/>
      <c r="N147" s="1026"/>
      <c r="O147" s="1026"/>
      <c r="P147" s="1026"/>
      <c r="Q147" s="1022"/>
      <c r="R147" s="1026"/>
      <c r="S147" s="1026"/>
      <c r="T147" s="1026"/>
      <c r="U147" s="1026"/>
      <c r="V147" s="1026"/>
      <c r="W147" s="1026"/>
      <c r="X147" s="1026"/>
      <c r="Y147" s="1026"/>
      <c r="Z147" s="1026"/>
      <c r="AA147" s="1026"/>
      <c r="AB147" s="1026"/>
      <c r="AC147" s="1026"/>
      <c r="AD147" s="1026"/>
      <c r="AE147" s="1021"/>
      <c r="AF147" s="1021"/>
      <c r="AG147" s="1021"/>
      <c r="AH147" s="1021"/>
      <c r="AI147" s="1021"/>
      <c r="AJ147" s="1021"/>
      <c r="AK147" s="1021"/>
      <c r="AL147" s="1021"/>
      <c r="AM147" s="1021"/>
      <c r="AN147" s="1021"/>
      <c r="AO147" s="1021"/>
      <c r="AP147" s="1021"/>
      <c r="AQ147" s="1021"/>
      <c r="AR147" s="1021"/>
      <c r="AS147" s="1021"/>
      <c r="AT147" s="1021"/>
      <c r="AU147" s="1021"/>
      <c r="AV147" s="1021"/>
      <c r="AW147" s="1021"/>
      <c r="AX147" s="1021"/>
      <c r="AY147" s="1021"/>
      <c r="AZ147" s="1021"/>
      <c r="BA147" s="1021"/>
      <c r="BB147" s="1021"/>
      <c r="BC147" s="1021"/>
      <c r="BD147" s="1021"/>
      <c r="BE147" s="1021"/>
      <c r="BF147" s="1021"/>
      <c r="BG147" s="1021"/>
      <c r="BH147" s="1021"/>
      <c r="BI147" s="1021"/>
      <c r="BJ147" s="1021"/>
      <c r="BK147" s="1021"/>
      <c r="BL147" s="1021"/>
      <c r="BM147" s="1021"/>
      <c r="BN147" s="1021"/>
      <c r="BO147" s="1021"/>
      <c r="BP147" s="1021"/>
      <c r="BQ147" s="1021"/>
      <c r="BR147" s="1021"/>
      <c r="BS147" s="1021"/>
      <c r="BT147" s="1021"/>
      <c r="BU147" s="1021"/>
      <c r="BV147" s="1021"/>
      <c r="BW147" s="1021"/>
      <c r="BX147" s="1021"/>
      <c r="BY147" s="1021"/>
      <c r="BZ147" s="1021"/>
      <c r="CA147" s="1021"/>
      <c r="CB147" s="1021"/>
      <c r="CC147" s="1021"/>
    </row>
    <row r="148" spans="8:81" x14ac:dyDescent="0.25">
      <c r="H148" s="1021"/>
      <c r="I148" s="1026"/>
      <c r="J148" s="1026"/>
      <c r="K148" s="1026"/>
      <c r="L148" s="1026"/>
      <c r="M148" s="1026"/>
      <c r="N148" s="1026"/>
      <c r="O148" s="1026"/>
      <c r="P148" s="1026"/>
      <c r="Q148" s="1022"/>
      <c r="R148" s="1026"/>
      <c r="S148" s="1026"/>
      <c r="T148" s="1026"/>
      <c r="U148" s="1026"/>
      <c r="V148" s="1026"/>
      <c r="W148" s="1026"/>
      <c r="X148" s="1026"/>
      <c r="Y148" s="1026"/>
      <c r="Z148" s="1026"/>
      <c r="AA148" s="1026"/>
      <c r="AB148" s="1026"/>
      <c r="AC148" s="1026"/>
      <c r="AD148" s="1026"/>
      <c r="AE148" s="1021"/>
      <c r="AF148" s="1021"/>
      <c r="AG148" s="1021"/>
      <c r="AH148" s="1021"/>
      <c r="AI148" s="1021"/>
      <c r="AJ148" s="1021"/>
      <c r="AK148" s="1021"/>
      <c r="AL148" s="1021"/>
      <c r="AM148" s="1021"/>
      <c r="AN148" s="1021"/>
      <c r="AO148" s="1021"/>
      <c r="AP148" s="1021"/>
      <c r="AQ148" s="1021"/>
      <c r="AR148" s="1021"/>
      <c r="AS148" s="1021"/>
      <c r="AT148" s="1021"/>
      <c r="AU148" s="1021"/>
      <c r="AV148" s="1021"/>
      <c r="AW148" s="1021"/>
      <c r="AX148" s="1021"/>
      <c r="AY148" s="1021"/>
      <c r="AZ148" s="1021"/>
      <c r="BA148" s="1021"/>
      <c r="BB148" s="1021"/>
      <c r="BC148" s="1021"/>
      <c r="BD148" s="1021"/>
      <c r="BE148" s="1021"/>
      <c r="BF148" s="1021"/>
      <c r="BG148" s="1021"/>
      <c r="BH148" s="1021"/>
      <c r="BI148" s="1021"/>
      <c r="BJ148" s="1021"/>
      <c r="BK148" s="1021"/>
      <c r="BL148" s="1021"/>
      <c r="BM148" s="1021"/>
      <c r="BN148" s="1021"/>
      <c r="BO148" s="1021"/>
      <c r="BP148" s="1021"/>
      <c r="BQ148" s="1021"/>
      <c r="BR148" s="1021"/>
      <c r="BS148" s="1021"/>
      <c r="BT148" s="1021"/>
      <c r="BU148" s="1021"/>
      <c r="BV148" s="1021"/>
      <c r="BW148" s="1021"/>
      <c r="BX148" s="1021"/>
      <c r="BY148" s="1021"/>
      <c r="BZ148" s="1021"/>
      <c r="CA148" s="1021"/>
      <c r="CB148" s="1021"/>
      <c r="CC148" s="1021"/>
    </row>
    <row r="149" spans="8:81" x14ac:dyDescent="0.25">
      <c r="H149" s="1021"/>
      <c r="I149" s="1026"/>
      <c r="J149" s="1026"/>
      <c r="K149" s="1026"/>
      <c r="L149" s="1026"/>
      <c r="M149" s="1026"/>
      <c r="N149" s="1026"/>
      <c r="O149" s="1026"/>
      <c r="P149" s="1026"/>
      <c r="Q149" s="1026"/>
      <c r="R149" s="1026"/>
      <c r="S149" s="1026"/>
      <c r="T149" s="1026"/>
      <c r="U149" s="1026"/>
      <c r="V149" s="1026"/>
      <c r="W149" s="1026"/>
      <c r="X149" s="1026"/>
      <c r="Y149" s="1026"/>
      <c r="Z149" s="1026"/>
      <c r="AA149" s="1026"/>
      <c r="AB149" s="1026"/>
      <c r="AC149" s="1026"/>
      <c r="AD149" s="1026"/>
      <c r="AE149" s="1021"/>
      <c r="AF149" s="1021"/>
      <c r="AG149" s="1021"/>
      <c r="AH149" s="1021"/>
      <c r="AI149" s="1021"/>
      <c r="AJ149" s="1021"/>
      <c r="AK149" s="1021"/>
      <c r="AL149" s="1021"/>
      <c r="AM149" s="1021"/>
      <c r="AN149" s="1021"/>
      <c r="AO149" s="1021"/>
      <c r="AP149" s="1021"/>
      <c r="AQ149" s="1021"/>
      <c r="AR149" s="1021"/>
      <c r="AS149" s="1021"/>
      <c r="AT149" s="1021"/>
      <c r="AU149" s="1021"/>
      <c r="AV149" s="1021"/>
      <c r="AW149" s="1021"/>
      <c r="AX149" s="1021"/>
      <c r="AY149" s="1021"/>
      <c r="AZ149" s="1021"/>
      <c r="BA149" s="1021"/>
      <c r="BB149" s="1021"/>
      <c r="BC149" s="1021"/>
      <c r="BD149" s="1021"/>
      <c r="BE149" s="1021"/>
      <c r="BF149" s="1021"/>
      <c r="BG149" s="1021"/>
      <c r="BH149" s="1021"/>
      <c r="BI149" s="1021"/>
      <c r="BJ149" s="1021"/>
      <c r="BK149" s="1021"/>
      <c r="BL149" s="1021"/>
      <c r="BM149" s="1021"/>
      <c r="BN149" s="1021"/>
      <c r="BO149" s="1021"/>
      <c r="BP149" s="1021"/>
      <c r="BQ149" s="1021"/>
      <c r="BR149" s="1021"/>
      <c r="BS149" s="1021"/>
      <c r="BT149" s="1021"/>
      <c r="BU149" s="1021"/>
      <c r="BV149" s="1021"/>
      <c r="BW149" s="1021"/>
      <c r="BX149" s="1021"/>
      <c r="BY149" s="1021"/>
      <c r="BZ149" s="1021"/>
      <c r="CA149" s="1021"/>
      <c r="CB149" s="1021"/>
      <c r="CC149" s="1021"/>
    </row>
    <row r="150" spans="8:81" x14ac:dyDescent="0.25">
      <c r="H150" s="1021"/>
      <c r="I150" s="1026"/>
      <c r="J150" s="1026"/>
      <c r="K150" s="1026"/>
      <c r="L150" s="1026"/>
      <c r="M150" s="1026"/>
      <c r="N150" s="1026"/>
      <c r="O150" s="1026"/>
      <c r="P150" s="1026"/>
      <c r="Q150" s="1026"/>
      <c r="R150" s="1026"/>
      <c r="S150" s="1026"/>
      <c r="T150" s="1026"/>
      <c r="U150" s="1026"/>
      <c r="V150" s="1026"/>
      <c r="W150" s="1026"/>
      <c r="X150" s="1026"/>
      <c r="Y150" s="1026"/>
      <c r="Z150" s="1026"/>
      <c r="AA150" s="1026"/>
      <c r="AB150" s="1026"/>
      <c r="AC150" s="1026"/>
      <c r="AD150" s="1026"/>
      <c r="AE150" s="1021"/>
      <c r="AF150" s="1021"/>
      <c r="AG150" s="1021"/>
      <c r="AH150" s="1021"/>
      <c r="AI150" s="1021"/>
      <c r="AJ150" s="1021"/>
      <c r="AK150" s="1021"/>
      <c r="AL150" s="1021"/>
      <c r="AM150" s="1021"/>
      <c r="AN150" s="1021"/>
      <c r="AO150" s="1021"/>
      <c r="AP150" s="1021"/>
      <c r="AQ150" s="1021"/>
      <c r="AR150" s="1021"/>
      <c r="AS150" s="1021"/>
      <c r="AT150" s="1021"/>
      <c r="AU150" s="1021"/>
      <c r="AV150" s="1021"/>
      <c r="AW150" s="1021"/>
      <c r="AX150" s="1021"/>
      <c r="AY150" s="1021"/>
      <c r="AZ150" s="1021"/>
      <c r="BA150" s="1021"/>
      <c r="BB150" s="1021"/>
      <c r="BC150" s="1021"/>
      <c r="BD150" s="1021"/>
      <c r="BE150" s="1021"/>
      <c r="BF150" s="1021"/>
      <c r="BG150" s="1021"/>
      <c r="BH150" s="1021"/>
      <c r="BI150" s="1021"/>
      <c r="BJ150" s="1021"/>
      <c r="BK150" s="1021"/>
      <c r="BL150" s="1021"/>
      <c r="BM150" s="1021"/>
      <c r="BN150" s="1021"/>
      <c r="BO150" s="1021"/>
      <c r="BP150" s="1021"/>
      <c r="BQ150" s="1021"/>
      <c r="BR150" s="1021"/>
      <c r="BS150" s="1021"/>
      <c r="BT150" s="1021"/>
      <c r="BU150" s="1021"/>
      <c r="BV150" s="1021"/>
      <c r="BW150" s="1021"/>
      <c r="BX150" s="1021"/>
      <c r="BY150" s="1021"/>
      <c r="BZ150" s="1021"/>
      <c r="CA150" s="1021"/>
      <c r="CB150" s="1021"/>
      <c r="CC150" s="1021"/>
    </row>
    <row r="151" spans="8:81" x14ac:dyDescent="0.25">
      <c r="H151" s="1021"/>
      <c r="I151" s="1026"/>
      <c r="J151" s="1026"/>
      <c r="K151" s="1026"/>
      <c r="L151" s="1026"/>
      <c r="M151" s="1026"/>
      <c r="N151" s="1026"/>
      <c r="O151" s="1026"/>
      <c r="P151" s="1026"/>
      <c r="Q151" s="1026"/>
      <c r="R151" s="1026"/>
      <c r="S151" s="1026"/>
      <c r="T151" s="1026"/>
      <c r="U151" s="1026"/>
      <c r="V151" s="1026"/>
      <c r="W151" s="1026"/>
      <c r="X151" s="1026"/>
      <c r="Y151" s="1026"/>
      <c r="Z151" s="1026"/>
      <c r="AA151" s="1026"/>
      <c r="AB151" s="1026"/>
      <c r="AC151" s="1026"/>
      <c r="AD151" s="1026"/>
      <c r="AE151" s="1021"/>
      <c r="AF151" s="1021"/>
      <c r="AG151" s="1021"/>
      <c r="AH151" s="1021"/>
      <c r="AI151" s="1021"/>
      <c r="AJ151" s="1021"/>
      <c r="AK151" s="1021"/>
      <c r="AL151" s="1021"/>
      <c r="AM151" s="1021"/>
      <c r="AN151" s="1021"/>
      <c r="AO151" s="1021"/>
      <c r="AP151" s="1021"/>
      <c r="AQ151" s="1021"/>
      <c r="AR151" s="1021"/>
      <c r="AS151" s="1021"/>
      <c r="AT151" s="1021"/>
      <c r="AU151" s="1021"/>
      <c r="AV151" s="1021"/>
      <c r="AW151" s="1021"/>
      <c r="AX151" s="1021"/>
      <c r="AY151" s="1021"/>
      <c r="AZ151" s="1021"/>
      <c r="BA151" s="1021"/>
      <c r="BB151" s="1021"/>
      <c r="BC151" s="1021"/>
      <c r="BD151" s="1021"/>
      <c r="BE151" s="1021"/>
      <c r="BF151" s="1021"/>
      <c r="BG151" s="1021"/>
      <c r="BH151" s="1021"/>
      <c r="BI151" s="1021"/>
      <c r="BJ151" s="1021"/>
      <c r="BK151" s="1021"/>
      <c r="BL151" s="1021"/>
      <c r="BM151" s="1021"/>
      <c r="BN151" s="1021"/>
      <c r="BO151" s="1021"/>
      <c r="BP151" s="1021"/>
      <c r="BQ151" s="1021"/>
      <c r="BR151" s="1021"/>
      <c r="BS151" s="1021"/>
      <c r="BT151" s="1021"/>
      <c r="BU151" s="1021"/>
      <c r="BV151" s="1021"/>
      <c r="BW151" s="1021"/>
      <c r="BX151" s="1021"/>
      <c r="BY151" s="1021"/>
      <c r="BZ151" s="1021"/>
      <c r="CA151" s="1021"/>
      <c r="CB151" s="1021"/>
      <c r="CC151" s="1021"/>
    </row>
    <row r="152" spans="8:81" x14ac:dyDescent="0.25">
      <c r="H152" s="1021"/>
      <c r="I152" s="1026"/>
      <c r="J152" s="1026"/>
      <c r="K152" s="1026"/>
      <c r="L152" s="1026"/>
      <c r="M152" s="1026"/>
      <c r="N152" s="1026"/>
      <c r="O152" s="1026"/>
      <c r="P152" s="1026"/>
      <c r="Q152" s="1026"/>
      <c r="R152" s="1026"/>
      <c r="S152" s="1026"/>
      <c r="T152" s="1026"/>
      <c r="U152" s="1026"/>
      <c r="V152" s="1026"/>
      <c r="W152" s="1026"/>
      <c r="X152" s="1026"/>
      <c r="Y152" s="1026"/>
      <c r="Z152" s="1026"/>
      <c r="AA152" s="1026"/>
      <c r="AB152" s="1026"/>
      <c r="AC152" s="1026"/>
      <c r="AD152" s="1026"/>
      <c r="AE152" s="1021"/>
      <c r="AF152" s="1021"/>
      <c r="AG152" s="1021"/>
      <c r="AH152" s="1021"/>
      <c r="AI152" s="1021"/>
      <c r="AJ152" s="1021"/>
      <c r="AK152" s="1021"/>
      <c r="AL152" s="1021"/>
      <c r="AM152" s="1021"/>
      <c r="AN152" s="1021"/>
      <c r="AO152" s="1021"/>
      <c r="AP152" s="1021"/>
      <c r="AQ152" s="1021"/>
      <c r="AR152" s="1021"/>
      <c r="AS152" s="1021"/>
      <c r="AT152" s="1021"/>
      <c r="AU152" s="1021"/>
      <c r="AV152" s="1021"/>
      <c r="AW152" s="1021"/>
      <c r="AX152" s="1021"/>
      <c r="AY152" s="1021"/>
      <c r="AZ152" s="1021"/>
      <c r="BA152" s="1021"/>
      <c r="BB152" s="1021"/>
      <c r="BC152" s="1021"/>
      <c r="BD152" s="1021"/>
      <c r="BE152" s="1021"/>
      <c r="BF152" s="1021"/>
      <c r="BG152" s="1021"/>
      <c r="BH152" s="1021"/>
      <c r="BI152" s="1021"/>
      <c r="BJ152" s="1021"/>
      <c r="BK152" s="1021"/>
      <c r="BL152" s="1021"/>
      <c r="BM152" s="1021"/>
      <c r="BN152" s="1021"/>
      <c r="BO152" s="1021"/>
      <c r="BP152" s="1021"/>
      <c r="BQ152" s="1021"/>
      <c r="BR152" s="1021"/>
      <c r="BS152" s="1021"/>
      <c r="BT152" s="1021"/>
      <c r="BU152" s="1021"/>
      <c r="BV152" s="1021"/>
      <c r="BW152" s="1021"/>
      <c r="BX152" s="1021"/>
      <c r="BY152" s="1021"/>
      <c r="BZ152" s="1021"/>
      <c r="CA152" s="1021"/>
      <c r="CB152" s="1021"/>
      <c r="CC152" s="1021"/>
    </row>
    <row r="153" spans="8:81" x14ac:dyDescent="0.25">
      <c r="H153" s="1021"/>
      <c r="I153" s="1026"/>
      <c r="J153" s="1026"/>
      <c r="K153" s="1026"/>
      <c r="L153" s="1026"/>
      <c r="M153" s="1026"/>
      <c r="N153" s="1026"/>
      <c r="O153" s="1026"/>
      <c r="P153" s="1026"/>
      <c r="Q153" s="1026"/>
      <c r="R153" s="1026"/>
      <c r="S153" s="1026"/>
      <c r="T153" s="1026"/>
      <c r="U153" s="1026"/>
      <c r="V153" s="1026"/>
      <c r="W153" s="1026"/>
      <c r="X153" s="1026"/>
      <c r="Y153" s="1026"/>
      <c r="Z153" s="1026"/>
      <c r="AA153" s="1026"/>
      <c r="AB153" s="1026"/>
      <c r="AC153" s="1026"/>
      <c r="AD153" s="1026"/>
      <c r="AE153" s="1021"/>
      <c r="AF153" s="1021"/>
      <c r="AG153" s="1021"/>
      <c r="AH153" s="1021"/>
      <c r="AI153" s="1021"/>
      <c r="AJ153" s="1021"/>
      <c r="AK153" s="1021"/>
      <c r="AL153" s="1021"/>
      <c r="AM153" s="1021"/>
      <c r="AN153" s="1021"/>
      <c r="AO153" s="1021"/>
      <c r="AP153" s="1021"/>
      <c r="AQ153" s="1021"/>
      <c r="AR153" s="1021"/>
      <c r="AS153" s="1021"/>
      <c r="AT153" s="1021"/>
      <c r="AU153" s="1021"/>
      <c r="AV153" s="1021"/>
      <c r="AW153" s="1021"/>
      <c r="AX153" s="1021"/>
      <c r="AY153" s="1021"/>
      <c r="AZ153" s="1021"/>
      <c r="BA153" s="1021"/>
      <c r="BB153" s="1021"/>
      <c r="BC153" s="1021"/>
      <c r="BD153" s="1021"/>
      <c r="BE153" s="1021"/>
      <c r="BF153" s="1021"/>
      <c r="BG153" s="1021"/>
      <c r="BH153" s="1021"/>
      <c r="BI153" s="1021"/>
      <c r="BJ153" s="1021"/>
      <c r="BK153" s="1021"/>
      <c r="BL153" s="1021"/>
      <c r="BM153" s="1021"/>
      <c r="BN153" s="1021"/>
      <c r="BO153" s="1021"/>
      <c r="BP153" s="1021"/>
      <c r="BQ153" s="1021"/>
      <c r="BR153" s="1021"/>
      <c r="BS153" s="1021"/>
      <c r="BT153" s="1021"/>
      <c r="BU153" s="1021"/>
      <c r="BV153" s="1021"/>
      <c r="BW153" s="1021"/>
      <c r="BX153" s="1021"/>
      <c r="BY153" s="1021"/>
      <c r="BZ153" s="1021"/>
      <c r="CA153" s="1021"/>
      <c r="CB153" s="1021"/>
      <c r="CC153" s="1021"/>
    </row>
    <row r="154" spans="8:81" x14ac:dyDescent="0.25">
      <c r="H154" s="1021"/>
      <c r="I154" s="1021"/>
      <c r="J154" s="1021"/>
      <c r="K154" s="1021"/>
      <c r="L154" s="1021"/>
      <c r="M154" s="1021"/>
      <c r="N154" s="1021"/>
      <c r="O154" s="1021"/>
      <c r="P154" s="1021"/>
      <c r="Q154" s="1021"/>
      <c r="R154" s="1021"/>
      <c r="S154" s="1021"/>
      <c r="T154" s="1021"/>
      <c r="U154" s="1021"/>
      <c r="V154" s="1021"/>
      <c r="W154" s="1021"/>
      <c r="X154" s="1021"/>
      <c r="Y154" s="1021"/>
      <c r="Z154" s="1021"/>
      <c r="AA154" s="1021"/>
      <c r="AB154" s="1021"/>
      <c r="AC154" s="1021"/>
      <c r="AD154" s="1021"/>
      <c r="AE154" s="1021"/>
      <c r="AF154" s="1021"/>
      <c r="AG154" s="1021"/>
      <c r="AH154" s="1021"/>
      <c r="AI154" s="1021"/>
      <c r="AJ154" s="1021"/>
      <c r="AK154" s="1021"/>
      <c r="AL154" s="1021"/>
      <c r="AM154" s="1021"/>
      <c r="AN154" s="1021"/>
      <c r="AO154" s="1021"/>
      <c r="AP154" s="1021"/>
      <c r="AQ154" s="1021"/>
      <c r="AR154" s="1021"/>
      <c r="AS154" s="1021"/>
      <c r="AT154" s="1021"/>
      <c r="AU154" s="1021"/>
      <c r="AV154" s="1021"/>
      <c r="AW154" s="1021"/>
      <c r="AX154" s="1021"/>
      <c r="AY154" s="1021"/>
      <c r="AZ154" s="1021"/>
      <c r="BA154" s="1021"/>
      <c r="BB154" s="1021"/>
      <c r="BC154" s="1021"/>
      <c r="BD154" s="1021"/>
      <c r="BE154" s="1021"/>
      <c r="BF154" s="1021"/>
      <c r="BG154" s="1021"/>
      <c r="BH154" s="1021"/>
      <c r="BI154" s="1021"/>
      <c r="BJ154" s="1021"/>
      <c r="BK154" s="1021"/>
      <c r="BL154" s="1021"/>
      <c r="BM154" s="1021"/>
      <c r="BN154" s="1021"/>
      <c r="BO154" s="1021"/>
      <c r="BP154" s="1021"/>
      <c r="BQ154" s="1021"/>
      <c r="BR154" s="1021"/>
      <c r="BS154" s="1021"/>
      <c r="BT154" s="1021"/>
      <c r="BU154" s="1021"/>
      <c r="BV154" s="1021"/>
      <c r="BW154" s="1021"/>
      <c r="BX154" s="1021"/>
      <c r="BY154" s="1021"/>
      <c r="BZ154" s="1021"/>
      <c r="CA154" s="1021"/>
      <c r="CB154" s="1021"/>
      <c r="CC154" s="1021"/>
    </row>
    <row r="155" spans="8:81" x14ac:dyDescent="0.25">
      <c r="H155" s="1021"/>
      <c r="I155" s="1021"/>
      <c r="J155" s="1021"/>
      <c r="K155" s="1021"/>
      <c r="L155" s="1021"/>
      <c r="M155" s="1021"/>
      <c r="N155" s="1021"/>
      <c r="O155" s="1021"/>
      <c r="P155" s="1021"/>
      <c r="Q155" s="1021"/>
      <c r="R155" s="1021"/>
      <c r="S155" s="1021"/>
      <c r="T155" s="1021"/>
      <c r="U155" s="1021"/>
      <c r="V155" s="1021"/>
      <c r="W155" s="1021"/>
      <c r="X155" s="1021"/>
      <c r="Y155" s="1021"/>
      <c r="Z155" s="1021"/>
      <c r="AA155" s="1021"/>
      <c r="AB155" s="1021"/>
      <c r="AC155" s="1021"/>
      <c r="AD155" s="1021"/>
      <c r="AE155" s="1021"/>
      <c r="AF155" s="1021"/>
      <c r="AG155" s="1021"/>
      <c r="AH155" s="1021"/>
      <c r="AI155" s="1021"/>
      <c r="AJ155" s="1021"/>
      <c r="AK155" s="1021"/>
      <c r="AL155" s="1021"/>
      <c r="AM155" s="1021"/>
      <c r="AN155" s="1021"/>
      <c r="AO155" s="1021"/>
      <c r="AP155" s="1021"/>
      <c r="AQ155" s="1021"/>
      <c r="AR155" s="1021"/>
      <c r="AS155" s="1021"/>
      <c r="AT155" s="1021"/>
      <c r="AU155" s="1021"/>
      <c r="AV155" s="1021"/>
      <c r="AW155" s="1021"/>
      <c r="AX155" s="1021"/>
      <c r="AY155" s="1021"/>
      <c r="AZ155" s="1021"/>
      <c r="BA155" s="1021"/>
      <c r="BB155" s="1021"/>
      <c r="BC155" s="1021"/>
      <c r="BD155" s="1021"/>
      <c r="BE155" s="1021"/>
      <c r="BF155" s="1021"/>
      <c r="BG155" s="1021"/>
      <c r="BH155" s="1021"/>
      <c r="BI155" s="1021"/>
      <c r="BJ155" s="1021"/>
      <c r="BK155" s="1021"/>
      <c r="BL155" s="1021"/>
      <c r="BM155" s="1021"/>
      <c r="BN155" s="1021"/>
      <c r="BO155" s="1021"/>
      <c r="BP155" s="1021"/>
      <c r="BQ155" s="1021"/>
      <c r="BR155" s="1021"/>
      <c r="BS155" s="1021"/>
      <c r="BT155" s="1021"/>
      <c r="BU155" s="1021"/>
      <c r="BV155" s="1021"/>
      <c r="BW155" s="1021"/>
      <c r="BX155" s="1021"/>
      <c r="BY155" s="1021"/>
      <c r="BZ155" s="1021"/>
      <c r="CA155" s="1021"/>
      <c r="CB155" s="1021"/>
      <c r="CC155" s="1021"/>
    </row>
    <row r="156" spans="8:81" x14ac:dyDescent="0.25">
      <c r="H156" s="1021"/>
      <c r="I156" s="1021"/>
      <c r="J156" s="1021"/>
      <c r="K156" s="1021"/>
      <c r="L156" s="1021"/>
      <c r="M156" s="1021"/>
      <c r="N156" s="1021"/>
      <c r="O156" s="1021"/>
      <c r="P156" s="1021"/>
      <c r="Q156" s="1021"/>
      <c r="R156" s="1021"/>
      <c r="S156" s="1021"/>
      <c r="T156" s="1021"/>
      <c r="U156" s="1021"/>
      <c r="V156" s="1021"/>
      <c r="W156" s="1021"/>
      <c r="X156" s="1021"/>
      <c r="Y156" s="1021"/>
      <c r="Z156" s="1021"/>
      <c r="AA156" s="1021"/>
      <c r="AB156" s="1021"/>
      <c r="AC156" s="1021"/>
      <c r="AD156" s="1021"/>
      <c r="AE156" s="1021"/>
      <c r="AF156" s="1021"/>
      <c r="AG156" s="1021"/>
      <c r="AH156" s="1021"/>
      <c r="AI156" s="1021"/>
      <c r="AJ156" s="1021"/>
      <c r="AK156" s="1021"/>
      <c r="AL156" s="1021"/>
      <c r="AM156" s="1021"/>
      <c r="AN156" s="1021"/>
      <c r="AO156" s="1021"/>
      <c r="AP156" s="1021"/>
      <c r="AQ156" s="1021"/>
      <c r="AR156" s="1021"/>
      <c r="AS156" s="1021"/>
      <c r="AT156" s="1021"/>
      <c r="AU156" s="1021"/>
      <c r="AV156" s="1021"/>
      <c r="AW156" s="1021"/>
      <c r="AX156" s="1021"/>
      <c r="AY156" s="1021"/>
      <c r="AZ156" s="1021"/>
      <c r="BA156" s="1021"/>
      <c r="BB156" s="1021"/>
      <c r="BC156" s="1021"/>
      <c r="BD156" s="1021"/>
      <c r="BE156" s="1021"/>
      <c r="BF156" s="1021"/>
      <c r="BG156" s="1021"/>
      <c r="BH156" s="1021"/>
      <c r="BI156" s="1021"/>
      <c r="BJ156" s="1021"/>
      <c r="BK156" s="1021"/>
      <c r="BL156" s="1021"/>
      <c r="BM156" s="1021"/>
      <c r="BN156" s="1021"/>
      <c r="BO156" s="1021"/>
      <c r="BP156" s="1021"/>
      <c r="BQ156" s="1021"/>
      <c r="BR156" s="1021"/>
      <c r="BS156" s="1021"/>
      <c r="BT156" s="1021"/>
      <c r="BU156" s="1021"/>
      <c r="BV156" s="1021"/>
      <c r="BW156" s="1021"/>
      <c r="BX156" s="1021"/>
      <c r="BY156" s="1021"/>
      <c r="BZ156" s="1021"/>
      <c r="CA156" s="1021"/>
      <c r="CB156" s="1021"/>
      <c r="CC156" s="1021"/>
    </row>
    <row r="157" spans="8:81" x14ac:dyDescent="0.25">
      <c r="H157" s="1021"/>
      <c r="I157" s="1021"/>
      <c r="J157" s="1021"/>
      <c r="K157" s="1021"/>
      <c r="L157" s="1021"/>
      <c r="M157" s="1021"/>
      <c r="N157" s="1021"/>
      <c r="O157" s="1021"/>
      <c r="P157" s="1021"/>
      <c r="Q157" s="1021"/>
      <c r="R157" s="1021"/>
      <c r="S157" s="1021"/>
      <c r="T157" s="1021"/>
      <c r="U157" s="1021"/>
      <c r="V157" s="1021"/>
      <c r="W157" s="1021"/>
      <c r="X157" s="1021"/>
      <c r="Y157" s="1021"/>
      <c r="Z157" s="1021"/>
      <c r="AA157" s="1021"/>
      <c r="AB157" s="1021"/>
      <c r="AC157" s="1021"/>
      <c r="AD157" s="1021"/>
      <c r="AE157" s="1021"/>
      <c r="AF157" s="1021"/>
      <c r="AG157" s="1021"/>
      <c r="AH157" s="1021"/>
      <c r="AI157" s="1021"/>
      <c r="AJ157" s="1021"/>
      <c r="AK157" s="1021"/>
      <c r="AL157" s="1021"/>
      <c r="AM157" s="1021"/>
      <c r="AN157" s="1021"/>
      <c r="AO157" s="1021"/>
      <c r="AP157" s="1021"/>
      <c r="AQ157" s="1021"/>
      <c r="AR157" s="1021"/>
      <c r="AS157" s="1021"/>
      <c r="AT157" s="1021"/>
      <c r="AU157" s="1021"/>
      <c r="AV157" s="1021"/>
      <c r="AW157" s="1021"/>
      <c r="AX157" s="1021"/>
      <c r="AY157" s="1021"/>
      <c r="AZ157" s="1021"/>
      <c r="BA157" s="1021"/>
      <c r="BB157" s="1021"/>
      <c r="BC157" s="1021"/>
      <c r="BD157" s="1021"/>
      <c r="BE157" s="1021"/>
      <c r="BF157" s="1021"/>
      <c r="BG157" s="1021"/>
      <c r="BH157" s="1021"/>
      <c r="BI157" s="1021"/>
      <c r="BJ157" s="1021"/>
      <c r="BK157" s="1021"/>
      <c r="BL157" s="1021"/>
      <c r="BM157" s="1021"/>
      <c r="BN157" s="1021"/>
      <c r="BO157" s="1021"/>
      <c r="BP157" s="1021"/>
      <c r="BQ157" s="1021"/>
      <c r="BR157" s="1021"/>
      <c r="BS157" s="1021"/>
      <c r="BT157" s="1021"/>
      <c r="BU157" s="1021"/>
      <c r="BV157" s="1021"/>
      <c r="BW157" s="1021"/>
      <c r="BX157" s="1021"/>
      <c r="BY157" s="1021"/>
      <c r="BZ157" s="1021"/>
      <c r="CA157" s="1021"/>
      <c r="CB157" s="1021"/>
      <c r="CC157" s="1021"/>
    </row>
    <row r="158" spans="8:81" x14ac:dyDescent="0.25">
      <c r="H158" s="1021"/>
      <c r="I158" s="1021"/>
      <c r="J158" s="1021"/>
      <c r="K158" s="1021"/>
      <c r="L158" s="1021"/>
      <c r="M158" s="1021"/>
      <c r="N158" s="1021"/>
      <c r="O158" s="1021"/>
      <c r="P158" s="1021"/>
      <c r="Q158" s="1021"/>
      <c r="R158" s="1021"/>
      <c r="S158" s="1021"/>
      <c r="T158" s="1021"/>
      <c r="U158" s="1021"/>
      <c r="V158" s="1021"/>
      <c r="W158" s="1021"/>
      <c r="X158" s="1021"/>
      <c r="Y158" s="1021"/>
      <c r="Z158" s="1021"/>
      <c r="AA158" s="1021"/>
      <c r="AB158" s="1021"/>
      <c r="AC158" s="1021"/>
      <c r="AD158" s="1021"/>
      <c r="AE158" s="1021"/>
      <c r="AF158" s="1021"/>
      <c r="AG158" s="1021"/>
      <c r="AH158" s="1021"/>
      <c r="AI158" s="1021"/>
      <c r="AJ158" s="1021"/>
      <c r="AK158" s="1021"/>
      <c r="AL158" s="1021"/>
      <c r="AM158" s="1021"/>
      <c r="AN158" s="1021"/>
      <c r="AO158" s="1021"/>
      <c r="AP158" s="1021"/>
      <c r="AQ158" s="1021"/>
      <c r="AR158" s="1021"/>
      <c r="AS158" s="1021"/>
      <c r="AT158" s="1021"/>
      <c r="AU158" s="1021"/>
      <c r="AV158" s="1021"/>
      <c r="AW158" s="1021"/>
      <c r="AX158" s="1021"/>
      <c r="AY158" s="1021"/>
      <c r="AZ158" s="1021"/>
      <c r="BA158" s="1021"/>
      <c r="BB158" s="1021"/>
      <c r="BC158" s="1021"/>
      <c r="BD158" s="1021"/>
      <c r="BE158" s="1021"/>
      <c r="BF158" s="1021"/>
      <c r="BG158" s="1021"/>
      <c r="BH158" s="1021"/>
      <c r="BI158" s="1021"/>
      <c r="BJ158" s="1021"/>
      <c r="BK158" s="1021"/>
      <c r="BL158" s="1021"/>
      <c r="BM158" s="1021"/>
      <c r="BN158" s="1021"/>
      <c r="BO158" s="1021"/>
      <c r="BP158" s="1021"/>
      <c r="BQ158" s="1021"/>
      <c r="BR158" s="1021"/>
      <c r="BS158" s="1021"/>
      <c r="BT158" s="1021"/>
      <c r="BU158" s="1021"/>
      <c r="BV158" s="1021"/>
      <c r="BW158" s="1021"/>
      <c r="BX158" s="1021"/>
      <c r="BY158" s="1021"/>
      <c r="BZ158" s="1021"/>
      <c r="CA158" s="1021"/>
      <c r="CB158" s="1021"/>
      <c r="CC158" s="1021"/>
    </row>
    <row r="159" spans="8:81" x14ac:dyDescent="0.25">
      <c r="H159" s="1021"/>
      <c r="I159" s="1021"/>
      <c r="J159" s="1021"/>
      <c r="K159" s="1021"/>
      <c r="L159" s="1021"/>
      <c r="M159" s="1021"/>
      <c r="N159" s="1021"/>
      <c r="O159" s="1021"/>
      <c r="P159" s="1021"/>
      <c r="Q159" s="1021"/>
      <c r="R159" s="1021"/>
      <c r="S159" s="1021"/>
      <c r="T159" s="1021"/>
      <c r="U159" s="1021"/>
      <c r="V159" s="1021"/>
      <c r="W159" s="1021"/>
      <c r="X159" s="1021"/>
      <c r="Y159" s="1021"/>
      <c r="Z159" s="1021"/>
      <c r="AA159" s="1021"/>
      <c r="AB159" s="1021"/>
      <c r="AC159" s="1021"/>
      <c r="AD159" s="1021"/>
      <c r="AE159" s="1021"/>
      <c r="AF159" s="1021"/>
      <c r="AG159" s="1021"/>
      <c r="AH159" s="1021"/>
      <c r="AI159" s="1021"/>
      <c r="AJ159" s="1021"/>
      <c r="AK159" s="1021"/>
      <c r="AL159" s="1021"/>
      <c r="AM159" s="1021"/>
      <c r="AN159" s="1021"/>
      <c r="AO159" s="1021"/>
      <c r="AP159" s="1021"/>
      <c r="AQ159" s="1021"/>
      <c r="AR159" s="1021"/>
      <c r="AS159" s="1021"/>
      <c r="AT159" s="1021"/>
      <c r="AU159" s="1021"/>
      <c r="AV159" s="1021"/>
      <c r="AW159" s="1021"/>
      <c r="AX159" s="1021"/>
      <c r="AY159" s="1021"/>
      <c r="AZ159" s="1021"/>
      <c r="BA159" s="1021"/>
      <c r="BB159" s="1021"/>
      <c r="BC159" s="1021"/>
      <c r="BD159" s="1021"/>
      <c r="BE159" s="1021"/>
      <c r="BF159" s="1021"/>
      <c r="BG159" s="1021"/>
      <c r="BH159" s="1021"/>
      <c r="BI159" s="1021"/>
      <c r="BJ159" s="1021"/>
      <c r="BK159" s="1021"/>
      <c r="BL159" s="1021"/>
      <c r="BM159" s="1021"/>
      <c r="BN159" s="1021"/>
      <c r="BO159" s="1021"/>
      <c r="BP159" s="1021"/>
      <c r="BQ159" s="1021"/>
      <c r="BR159" s="1021"/>
      <c r="BS159" s="1021"/>
      <c r="BT159" s="1021"/>
      <c r="BU159" s="1021"/>
      <c r="BV159" s="1021"/>
      <c r="BW159" s="1021"/>
      <c r="BX159" s="1021"/>
      <c r="BY159" s="1021"/>
      <c r="BZ159" s="1021"/>
      <c r="CA159" s="1021"/>
      <c r="CB159" s="1021"/>
      <c r="CC159" s="1021"/>
    </row>
    <row r="160" spans="8:81" x14ac:dyDescent="0.25">
      <c r="H160" s="1021"/>
      <c r="I160" s="1021"/>
      <c r="J160" s="1021"/>
      <c r="K160" s="1021"/>
      <c r="L160" s="1021"/>
      <c r="M160" s="1021"/>
      <c r="N160" s="1021"/>
      <c r="O160" s="1021"/>
      <c r="P160" s="1021"/>
      <c r="Q160" s="1021"/>
      <c r="R160" s="1021"/>
      <c r="S160" s="1021"/>
      <c r="T160" s="1021"/>
      <c r="U160" s="1021"/>
      <c r="V160" s="1021"/>
      <c r="W160" s="1021"/>
      <c r="X160" s="1021"/>
      <c r="Y160" s="1021"/>
      <c r="Z160" s="1021"/>
      <c r="AA160" s="1021"/>
      <c r="AB160" s="1021"/>
      <c r="AC160" s="1021"/>
      <c r="AD160" s="1021"/>
      <c r="AE160" s="1021"/>
      <c r="AF160" s="1021"/>
      <c r="AG160" s="1021"/>
      <c r="AH160" s="1021"/>
      <c r="AI160" s="1021"/>
      <c r="AJ160" s="1021"/>
      <c r="AK160" s="1021"/>
      <c r="AL160" s="1021"/>
      <c r="AM160" s="1021"/>
      <c r="AN160" s="1021"/>
      <c r="AO160" s="1021"/>
      <c r="AP160" s="1021"/>
      <c r="AQ160" s="1021"/>
      <c r="AR160" s="1021"/>
      <c r="AS160" s="1021"/>
      <c r="AT160" s="1021"/>
      <c r="AU160" s="1021"/>
      <c r="AV160" s="1021"/>
      <c r="AW160" s="1021"/>
      <c r="AX160" s="1021"/>
      <c r="AY160" s="1021"/>
      <c r="AZ160" s="1021"/>
      <c r="BA160" s="1021"/>
      <c r="BB160" s="1021"/>
      <c r="BC160" s="1021"/>
      <c r="BD160" s="1021"/>
      <c r="BE160" s="1021"/>
      <c r="BF160" s="1021"/>
      <c r="BG160" s="1021"/>
      <c r="BH160" s="1021"/>
      <c r="BI160" s="1021"/>
      <c r="BJ160" s="1021"/>
      <c r="BK160" s="1021"/>
      <c r="BL160" s="1021"/>
      <c r="BM160" s="1021"/>
      <c r="BN160" s="1021"/>
      <c r="BO160" s="1021"/>
      <c r="BP160" s="1021"/>
      <c r="BQ160" s="1021"/>
      <c r="BR160" s="1021"/>
      <c r="BS160" s="1021"/>
      <c r="BT160" s="1021"/>
      <c r="BU160" s="1021"/>
      <c r="BV160" s="1021"/>
      <c r="BW160" s="1021"/>
      <c r="BX160" s="1021"/>
      <c r="BY160" s="1021"/>
      <c r="BZ160" s="1021"/>
      <c r="CA160" s="1021"/>
      <c r="CB160" s="1021"/>
      <c r="CC160" s="1021"/>
    </row>
    <row r="161" spans="8:81" x14ac:dyDescent="0.25">
      <c r="H161" s="1021"/>
      <c r="I161" s="1021"/>
      <c r="J161" s="1021"/>
      <c r="K161" s="1021"/>
      <c r="L161" s="1021"/>
      <c r="M161" s="1021"/>
      <c r="N161" s="1021"/>
      <c r="O161" s="1021"/>
      <c r="P161" s="1021"/>
      <c r="Q161" s="1021"/>
      <c r="R161" s="1021"/>
      <c r="S161" s="1021"/>
      <c r="T161" s="1021"/>
      <c r="U161" s="1021"/>
      <c r="V161" s="1021"/>
      <c r="W161" s="1021"/>
      <c r="X161" s="1021"/>
      <c r="Y161" s="1021"/>
      <c r="Z161" s="1021"/>
      <c r="AA161" s="1021"/>
      <c r="AB161" s="1021"/>
      <c r="AC161" s="1021"/>
      <c r="AD161" s="1021"/>
      <c r="AE161" s="1021"/>
      <c r="AF161" s="1021"/>
      <c r="AG161" s="1021"/>
      <c r="AH161" s="1021"/>
      <c r="AI161" s="1021"/>
      <c r="AJ161" s="1021"/>
      <c r="AK161" s="1021"/>
      <c r="AL161" s="1021"/>
      <c r="AM161" s="1021"/>
      <c r="AN161" s="1021"/>
      <c r="AO161" s="1021"/>
      <c r="AP161" s="1021"/>
      <c r="AQ161" s="1021"/>
      <c r="AR161" s="1021"/>
      <c r="AS161" s="1021"/>
      <c r="AT161" s="1021"/>
      <c r="AU161" s="1021"/>
      <c r="AV161" s="1021"/>
      <c r="AW161" s="1021"/>
      <c r="AX161" s="1021"/>
      <c r="AY161" s="1021"/>
      <c r="AZ161" s="1021"/>
      <c r="BA161" s="1021"/>
      <c r="BB161" s="1021"/>
      <c r="BC161" s="1021"/>
      <c r="BD161" s="1021"/>
      <c r="BE161" s="1021"/>
      <c r="BF161" s="1021"/>
      <c r="BG161" s="1021"/>
      <c r="BH161" s="1021"/>
      <c r="BI161" s="1021"/>
      <c r="BJ161" s="1021"/>
      <c r="BK161" s="1021"/>
      <c r="BL161" s="1021"/>
      <c r="BM161" s="1021"/>
      <c r="BN161" s="1021"/>
      <c r="BO161" s="1021"/>
      <c r="BP161" s="1021"/>
      <c r="BQ161" s="1021"/>
      <c r="BR161" s="1021"/>
      <c r="BS161" s="1021"/>
      <c r="BT161" s="1021"/>
      <c r="BU161" s="1021"/>
      <c r="BV161" s="1021"/>
      <c r="BW161" s="1021"/>
      <c r="BX161" s="1021"/>
      <c r="BY161" s="1021"/>
      <c r="BZ161" s="1021"/>
      <c r="CA161" s="1021"/>
      <c r="CB161" s="1021"/>
      <c r="CC161" s="1021"/>
    </row>
    <row r="162" spans="8:81" x14ac:dyDescent="0.25">
      <c r="H162" s="1021"/>
      <c r="I162" s="1021"/>
      <c r="J162" s="1021"/>
      <c r="K162" s="1021"/>
      <c r="L162" s="1021"/>
      <c r="M162" s="1021"/>
      <c r="N162" s="1021"/>
      <c r="O162" s="1021"/>
      <c r="P162" s="1021"/>
      <c r="Q162" s="1021"/>
      <c r="R162" s="1021"/>
      <c r="S162" s="1021"/>
      <c r="T162" s="1021"/>
      <c r="U162" s="1021"/>
      <c r="V162" s="1021"/>
      <c r="W162" s="1021"/>
      <c r="X162" s="1021"/>
      <c r="Y162" s="1021"/>
      <c r="Z162" s="1021"/>
      <c r="AA162" s="1021"/>
      <c r="AB162" s="1021"/>
      <c r="AC162" s="1021"/>
      <c r="AD162" s="1021"/>
      <c r="AE162" s="1021"/>
      <c r="AF162" s="1021"/>
      <c r="AG162" s="1021"/>
      <c r="AH162" s="1021"/>
      <c r="AI162" s="1021"/>
      <c r="AJ162" s="1021"/>
      <c r="AK162" s="1021"/>
      <c r="AL162" s="1021"/>
      <c r="AM162" s="1021"/>
      <c r="AN162" s="1021"/>
      <c r="AO162" s="1021"/>
      <c r="AP162" s="1021"/>
      <c r="AQ162" s="1021"/>
      <c r="AR162" s="1021"/>
      <c r="AS162" s="1021"/>
      <c r="AT162" s="1021"/>
      <c r="AU162" s="1021"/>
      <c r="AV162" s="1021"/>
      <c r="AW162" s="1021"/>
      <c r="AX162" s="1021"/>
      <c r="AY162" s="1021"/>
      <c r="AZ162" s="1021"/>
      <c r="BA162" s="1021"/>
      <c r="BB162" s="1021"/>
      <c r="BC162" s="1021"/>
      <c r="BD162" s="1021"/>
      <c r="BE162" s="1021"/>
      <c r="BF162" s="1021"/>
      <c r="BG162" s="1021"/>
      <c r="BH162" s="1021"/>
      <c r="BI162" s="1021"/>
      <c r="BJ162" s="1021"/>
      <c r="BK162" s="1021"/>
      <c r="BL162" s="1021"/>
      <c r="BM162" s="1021"/>
      <c r="BN162" s="1021"/>
      <c r="BO162" s="1021"/>
      <c r="BP162" s="1021"/>
      <c r="BQ162" s="1021"/>
      <c r="BR162" s="1021"/>
      <c r="BS162" s="1021"/>
      <c r="BT162" s="1021"/>
      <c r="BU162" s="1021"/>
      <c r="BV162" s="1021"/>
      <c r="BW162" s="1021"/>
      <c r="BX162" s="1021"/>
      <c r="BY162" s="1021"/>
      <c r="BZ162" s="1021"/>
      <c r="CA162" s="1021"/>
      <c r="CB162" s="1021"/>
      <c r="CC162" s="1021"/>
    </row>
    <row r="163" spans="8:81" x14ac:dyDescent="0.25">
      <c r="H163" s="1021"/>
      <c r="I163" s="1021"/>
      <c r="J163" s="1021"/>
      <c r="K163" s="1021"/>
      <c r="L163" s="1021"/>
      <c r="M163" s="1021"/>
      <c r="N163" s="1021"/>
      <c r="O163" s="1021"/>
      <c r="P163" s="1021"/>
      <c r="Q163" s="1021"/>
      <c r="R163" s="1021"/>
      <c r="S163" s="1021"/>
      <c r="T163" s="1021"/>
      <c r="U163" s="1021"/>
      <c r="V163" s="1021"/>
      <c r="W163" s="1021"/>
      <c r="X163" s="1021"/>
      <c r="Y163" s="1021"/>
      <c r="Z163" s="1021"/>
      <c r="AA163" s="1021"/>
      <c r="AB163" s="1021"/>
      <c r="AC163" s="1021"/>
      <c r="AD163" s="1021"/>
      <c r="AE163" s="1021"/>
      <c r="AF163" s="1021"/>
      <c r="AG163" s="1021"/>
      <c r="AH163" s="1021"/>
      <c r="AI163" s="1021"/>
      <c r="AJ163" s="1021"/>
      <c r="AK163" s="1021"/>
      <c r="AL163" s="1021"/>
      <c r="AM163" s="1021"/>
      <c r="AN163" s="1021"/>
      <c r="AO163" s="1021"/>
      <c r="AP163" s="1021"/>
      <c r="AQ163" s="1021"/>
      <c r="AR163" s="1021"/>
      <c r="AS163" s="1021"/>
      <c r="AT163" s="1021"/>
      <c r="AU163" s="1021"/>
      <c r="AV163" s="1021"/>
      <c r="AW163" s="1021"/>
      <c r="AX163" s="1021"/>
      <c r="AY163" s="1021"/>
      <c r="AZ163" s="1021"/>
      <c r="BA163" s="1021"/>
      <c r="BB163" s="1021"/>
      <c r="BC163" s="1021"/>
      <c r="BD163" s="1021"/>
      <c r="BE163" s="1021"/>
      <c r="BF163" s="1021"/>
      <c r="BG163" s="1021"/>
      <c r="BH163" s="1021"/>
      <c r="BI163" s="1021"/>
      <c r="BJ163" s="1021"/>
      <c r="BK163" s="1021"/>
      <c r="BL163" s="1021"/>
      <c r="BM163" s="1021"/>
      <c r="BN163" s="1021"/>
      <c r="BO163" s="1021"/>
      <c r="BP163" s="1021"/>
      <c r="BQ163" s="1021"/>
      <c r="BR163" s="1021"/>
      <c r="BS163" s="1021"/>
      <c r="BT163" s="1021"/>
      <c r="BU163" s="1021"/>
      <c r="BV163" s="1021"/>
      <c r="BW163" s="1021"/>
      <c r="BX163" s="1021"/>
      <c r="BY163" s="1021"/>
      <c r="BZ163" s="1021"/>
      <c r="CA163" s="1021"/>
      <c r="CB163" s="1021"/>
      <c r="CC163" s="1021"/>
    </row>
    <row r="164" spans="8:81" x14ac:dyDescent="0.25">
      <c r="H164" s="1021"/>
      <c r="I164" s="1021"/>
      <c r="J164" s="1021"/>
      <c r="K164" s="1021"/>
      <c r="L164" s="1021"/>
      <c r="M164" s="1021"/>
      <c r="N164" s="1021"/>
      <c r="O164" s="1021"/>
      <c r="P164" s="1021"/>
      <c r="Q164" s="1021"/>
      <c r="R164" s="1021"/>
      <c r="S164" s="1021"/>
      <c r="T164" s="1021"/>
      <c r="U164" s="1021"/>
      <c r="V164" s="1021"/>
      <c r="W164" s="1021"/>
      <c r="X164" s="1021"/>
      <c r="Y164" s="1021"/>
      <c r="Z164" s="1021"/>
      <c r="AA164" s="1021"/>
      <c r="AB164" s="1021"/>
      <c r="AC164" s="1021"/>
      <c r="AD164" s="1021"/>
      <c r="AE164" s="1021"/>
      <c r="AF164" s="1021"/>
      <c r="AG164" s="1021"/>
      <c r="AH164" s="1021"/>
      <c r="AI164" s="1021"/>
      <c r="AJ164" s="1021"/>
      <c r="AK164" s="1021"/>
      <c r="AL164" s="1021"/>
      <c r="AM164" s="1021"/>
      <c r="AN164" s="1021"/>
      <c r="AO164" s="1021"/>
      <c r="AP164" s="1021"/>
      <c r="AQ164" s="1021"/>
      <c r="AR164" s="1021"/>
      <c r="AS164" s="1021"/>
      <c r="AT164" s="1021"/>
      <c r="AU164" s="1021"/>
      <c r="AV164" s="1021"/>
      <c r="AW164" s="1021"/>
      <c r="AX164" s="1021"/>
      <c r="AY164" s="1021"/>
      <c r="AZ164" s="1021"/>
      <c r="BA164" s="1021"/>
      <c r="BB164" s="1021"/>
      <c r="BC164" s="1021"/>
      <c r="BD164" s="1021"/>
      <c r="BE164" s="1021"/>
      <c r="BF164" s="1021"/>
      <c r="BG164" s="1021"/>
      <c r="BH164" s="1021"/>
      <c r="BI164" s="1021"/>
      <c r="BJ164" s="1021"/>
      <c r="BK164" s="1021"/>
      <c r="BL164" s="1021"/>
      <c r="BM164" s="1021"/>
      <c r="BN164" s="1021"/>
      <c r="BO164" s="1021"/>
      <c r="BP164" s="1021"/>
      <c r="BQ164" s="1021"/>
      <c r="BR164" s="1021"/>
      <c r="BS164" s="1021"/>
      <c r="BT164" s="1021"/>
      <c r="BU164" s="1021"/>
      <c r="BV164" s="1021"/>
      <c r="BW164" s="1021"/>
      <c r="BX164" s="1021"/>
      <c r="BY164" s="1021"/>
      <c r="BZ164" s="1021"/>
      <c r="CA164" s="1021"/>
      <c r="CB164" s="1021"/>
      <c r="CC164" s="1021"/>
    </row>
    <row r="165" spans="8:81" x14ac:dyDescent="0.25">
      <c r="H165" s="1021"/>
      <c r="I165" s="1021"/>
      <c r="J165" s="1021"/>
      <c r="K165" s="1021"/>
      <c r="L165" s="1021"/>
      <c r="M165" s="1021"/>
      <c r="N165" s="1021"/>
      <c r="O165" s="1021"/>
      <c r="P165" s="1021"/>
      <c r="Q165" s="1021"/>
      <c r="R165" s="1021"/>
      <c r="S165" s="1021"/>
      <c r="T165" s="1021"/>
      <c r="U165" s="1021"/>
      <c r="V165" s="1021"/>
      <c r="W165" s="1021"/>
      <c r="X165" s="1021"/>
      <c r="Y165" s="1021"/>
      <c r="Z165" s="1021"/>
      <c r="AA165" s="1021"/>
      <c r="AB165" s="1021"/>
      <c r="AC165" s="1021"/>
      <c r="AD165" s="1021"/>
      <c r="AE165" s="1021"/>
      <c r="AF165" s="1021"/>
      <c r="AG165" s="1021"/>
      <c r="AH165" s="1021"/>
      <c r="AI165" s="1021"/>
      <c r="AJ165" s="1021"/>
      <c r="AK165" s="1021"/>
      <c r="AL165" s="1021"/>
      <c r="AM165" s="1021"/>
      <c r="AN165" s="1021"/>
      <c r="AO165" s="1021"/>
      <c r="AP165" s="1021"/>
      <c r="AQ165" s="1021"/>
      <c r="AR165" s="1021"/>
      <c r="AS165" s="1021"/>
      <c r="AT165" s="1021"/>
      <c r="AU165" s="1021"/>
      <c r="AV165" s="1021"/>
      <c r="AW165" s="1021"/>
      <c r="AX165" s="1021"/>
      <c r="AY165" s="1021"/>
      <c r="AZ165" s="1021"/>
      <c r="BA165" s="1021"/>
      <c r="BB165" s="1021"/>
      <c r="BC165" s="1021"/>
      <c r="BD165" s="1021"/>
      <c r="BE165" s="1021"/>
      <c r="BF165" s="1021"/>
      <c r="BG165" s="1021"/>
      <c r="BH165" s="1021"/>
      <c r="BI165" s="1021"/>
      <c r="BJ165" s="1021"/>
      <c r="BK165" s="1021"/>
      <c r="BL165" s="1021"/>
      <c r="BM165" s="1021"/>
      <c r="BN165" s="1021"/>
      <c r="BO165" s="1021"/>
      <c r="BP165" s="1021"/>
      <c r="BQ165" s="1021"/>
      <c r="BR165" s="1021"/>
      <c r="BS165" s="1021"/>
      <c r="BT165" s="1021"/>
      <c r="BU165" s="1021"/>
      <c r="BV165" s="1021"/>
      <c r="BW165" s="1021"/>
      <c r="BX165" s="1021"/>
      <c r="BY165" s="1021"/>
      <c r="BZ165" s="1021"/>
      <c r="CA165" s="1021"/>
      <c r="CB165" s="1021"/>
      <c r="CC165" s="1021"/>
    </row>
    <row r="166" spans="8:81" x14ac:dyDescent="0.25">
      <c r="H166" s="1021"/>
      <c r="I166" s="1021"/>
      <c r="J166" s="1021"/>
      <c r="K166" s="1021"/>
      <c r="L166" s="1021"/>
      <c r="M166" s="1021"/>
      <c r="N166" s="1021"/>
      <c r="O166" s="1021"/>
      <c r="P166" s="1021"/>
      <c r="Q166" s="1021"/>
      <c r="R166" s="1021"/>
      <c r="S166" s="1021"/>
      <c r="T166" s="1021"/>
      <c r="U166" s="1021"/>
      <c r="V166" s="1021"/>
      <c r="W166" s="1021"/>
      <c r="X166" s="1021"/>
      <c r="Y166" s="1021"/>
      <c r="Z166" s="1021"/>
      <c r="AA166" s="1021"/>
      <c r="AB166" s="1021"/>
      <c r="AC166" s="1021"/>
      <c r="AD166" s="1021"/>
      <c r="AE166" s="1021"/>
      <c r="AF166" s="1021"/>
      <c r="AG166" s="1021"/>
      <c r="AH166" s="1021"/>
      <c r="AI166" s="1021"/>
      <c r="AJ166" s="1021"/>
      <c r="AK166" s="1021"/>
      <c r="AL166" s="1021"/>
      <c r="AM166" s="1021"/>
      <c r="AN166" s="1021"/>
      <c r="AO166" s="1021"/>
      <c r="AP166" s="1021"/>
      <c r="AQ166" s="1021"/>
      <c r="AR166" s="1021"/>
      <c r="AS166" s="1021"/>
      <c r="AT166" s="1021"/>
      <c r="AU166" s="1021"/>
      <c r="AV166" s="1021"/>
      <c r="AW166" s="1021"/>
      <c r="AX166" s="1021"/>
      <c r="AY166" s="1021"/>
      <c r="AZ166" s="1021"/>
      <c r="BA166" s="1021"/>
      <c r="BB166" s="1021"/>
      <c r="BC166" s="1021"/>
      <c r="BD166" s="1021"/>
      <c r="BE166" s="1021"/>
      <c r="BF166" s="1021"/>
      <c r="BG166" s="1021"/>
      <c r="BH166" s="1021"/>
      <c r="BI166" s="1021"/>
      <c r="BJ166" s="1021"/>
      <c r="BK166" s="1021"/>
      <c r="BL166" s="1021"/>
      <c r="BM166" s="1021"/>
      <c r="BN166" s="1021"/>
      <c r="BO166" s="1021"/>
      <c r="BP166" s="1021"/>
      <c r="BQ166" s="1021"/>
      <c r="BR166" s="1021"/>
      <c r="BS166" s="1021"/>
      <c r="BT166" s="1021"/>
      <c r="BU166" s="1021"/>
      <c r="BV166" s="1021"/>
      <c r="BW166" s="1021"/>
      <c r="BX166" s="1021"/>
      <c r="BY166" s="1021"/>
      <c r="BZ166" s="1021"/>
      <c r="CA166" s="1021"/>
      <c r="CB166" s="1021"/>
      <c r="CC166" s="1021"/>
    </row>
    <row r="167" spans="8:81" x14ac:dyDescent="0.25">
      <c r="H167" s="1021"/>
      <c r="I167" s="1021"/>
      <c r="J167" s="1021"/>
      <c r="K167" s="1021"/>
      <c r="L167" s="1021"/>
      <c r="M167" s="1021"/>
      <c r="N167" s="1021"/>
      <c r="O167" s="1021"/>
      <c r="P167" s="1021"/>
      <c r="Q167" s="1021"/>
      <c r="R167" s="1021"/>
      <c r="S167" s="1021"/>
      <c r="T167" s="1021"/>
      <c r="U167" s="1021"/>
      <c r="V167" s="1021"/>
      <c r="W167" s="1021"/>
      <c r="X167" s="1021"/>
      <c r="Y167" s="1021"/>
      <c r="Z167" s="1021"/>
      <c r="AA167" s="1021"/>
      <c r="AB167" s="1021"/>
      <c r="AC167" s="1021"/>
      <c r="AD167" s="1021"/>
      <c r="AE167" s="1021"/>
      <c r="AF167" s="1021"/>
      <c r="AG167" s="1021"/>
      <c r="AH167" s="1021"/>
      <c r="AI167" s="1021"/>
      <c r="AJ167" s="1021"/>
      <c r="AK167" s="1021"/>
      <c r="AL167" s="1021"/>
      <c r="AM167" s="1021"/>
      <c r="AN167" s="1021"/>
      <c r="AO167" s="1021"/>
      <c r="AP167" s="1021"/>
      <c r="AQ167" s="1021"/>
      <c r="AR167" s="1021"/>
      <c r="AS167" s="1021"/>
      <c r="AT167" s="1021"/>
      <c r="AU167" s="1021"/>
      <c r="AV167" s="1021"/>
      <c r="AW167" s="1021"/>
      <c r="AX167" s="1021"/>
      <c r="AY167" s="1021"/>
      <c r="AZ167" s="1021"/>
      <c r="BA167" s="1021"/>
      <c r="BB167" s="1021"/>
      <c r="BC167" s="1021"/>
      <c r="BD167" s="1021"/>
      <c r="BE167" s="1021"/>
      <c r="BF167" s="1021"/>
      <c r="BG167" s="1021"/>
      <c r="BH167" s="1021"/>
      <c r="BI167" s="1021"/>
      <c r="BJ167" s="1021"/>
      <c r="BK167" s="1021"/>
      <c r="BL167" s="1021"/>
      <c r="BM167" s="1021"/>
      <c r="BN167" s="1021"/>
      <c r="BO167" s="1021"/>
      <c r="BP167" s="1021"/>
      <c r="BQ167" s="1021"/>
      <c r="BR167" s="1021"/>
      <c r="BS167" s="1021"/>
      <c r="BT167" s="1021"/>
      <c r="BU167" s="1021"/>
      <c r="BV167" s="1021"/>
      <c r="BW167" s="1021"/>
      <c r="BX167" s="1021"/>
      <c r="BY167" s="1021"/>
      <c r="BZ167" s="1021"/>
      <c r="CA167" s="1021"/>
      <c r="CB167" s="1021"/>
      <c r="CC167" s="1021"/>
    </row>
    <row r="168" spans="8:81" x14ac:dyDescent="0.25">
      <c r="H168" s="1021"/>
      <c r="I168" s="1021"/>
      <c r="J168" s="1021"/>
      <c r="K168" s="1021"/>
      <c r="L168" s="1021"/>
      <c r="M168" s="1021"/>
      <c r="N168" s="1021"/>
      <c r="O168" s="1021"/>
      <c r="P168" s="1021"/>
      <c r="Q168" s="1021"/>
      <c r="R168" s="1021"/>
      <c r="S168" s="1021"/>
      <c r="T168" s="1021"/>
      <c r="U168" s="1021"/>
      <c r="V168" s="1021"/>
      <c r="W168" s="1021"/>
      <c r="X168" s="1021"/>
      <c r="Y168" s="1021"/>
      <c r="Z168" s="1021"/>
      <c r="AA168" s="1021"/>
      <c r="AB168" s="1021"/>
      <c r="AC168" s="1021"/>
      <c r="AD168" s="1021"/>
      <c r="AE168" s="1021"/>
      <c r="AF168" s="1021"/>
      <c r="AG168" s="1021"/>
      <c r="AH168" s="1021"/>
      <c r="AI168" s="1021"/>
      <c r="AJ168" s="1021"/>
      <c r="AK168" s="1021"/>
      <c r="AL168" s="1021"/>
      <c r="AM168" s="1021"/>
      <c r="AN168" s="1021"/>
      <c r="AO168" s="1021"/>
      <c r="AP168" s="1021"/>
      <c r="AQ168" s="1021"/>
      <c r="AR168" s="1021"/>
      <c r="AS168" s="1021"/>
      <c r="AT168" s="1021"/>
      <c r="AU168" s="1021"/>
      <c r="AV168" s="1021"/>
      <c r="AW168" s="1021"/>
      <c r="AX168" s="1021"/>
      <c r="AY168" s="1021"/>
      <c r="AZ168" s="1021"/>
      <c r="BA168" s="1021"/>
      <c r="BB168" s="1021"/>
      <c r="BC168" s="1021"/>
      <c r="BD168" s="1021"/>
      <c r="BE168" s="1021"/>
      <c r="BF168" s="1021"/>
      <c r="BG168" s="1021"/>
      <c r="BH168" s="1021"/>
      <c r="BI168" s="1021"/>
      <c r="BJ168" s="1021"/>
      <c r="BK168" s="1021"/>
      <c r="BL168" s="1021"/>
      <c r="BM168" s="1021"/>
      <c r="BN168" s="1021"/>
      <c r="BO168" s="1021"/>
      <c r="BP168" s="1021"/>
      <c r="BQ168" s="1021"/>
      <c r="BR168" s="1021"/>
      <c r="BS168" s="1021"/>
      <c r="BT168" s="1021"/>
      <c r="BU168" s="1021"/>
      <c r="BV168" s="1021"/>
      <c r="BW168" s="1021"/>
      <c r="BX168" s="1021"/>
      <c r="BY168" s="1021"/>
      <c r="BZ168" s="1021"/>
      <c r="CA168" s="1021"/>
      <c r="CB168" s="1021"/>
      <c r="CC168" s="1021"/>
    </row>
    <row r="169" spans="8:81" x14ac:dyDescent="0.25">
      <c r="H169" s="1021"/>
      <c r="I169" s="1021"/>
      <c r="J169" s="1021"/>
      <c r="K169" s="1021"/>
      <c r="L169" s="1021"/>
      <c r="M169" s="1021"/>
      <c r="N169" s="1021"/>
      <c r="O169" s="1021"/>
      <c r="P169" s="1021"/>
      <c r="Q169" s="1021"/>
      <c r="R169" s="1021"/>
      <c r="S169" s="1021"/>
      <c r="T169" s="1021"/>
      <c r="U169" s="1021"/>
      <c r="V169" s="1021"/>
      <c r="W169" s="1021"/>
      <c r="X169" s="1021"/>
      <c r="Y169" s="1021"/>
      <c r="Z169" s="1021"/>
      <c r="AA169" s="1021"/>
      <c r="AB169" s="1021"/>
      <c r="AC169" s="1021"/>
      <c r="AD169" s="1021"/>
      <c r="AE169" s="1021"/>
      <c r="AF169" s="1021"/>
      <c r="AG169" s="1021"/>
      <c r="AH169" s="1021"/>
      <c r="AI169" s="1021"/>
      <c r="AJ169" s="1021"/>
      <c r="AK169" s="1021"/>
      <c r="AL169" s="1021"/>
      <c r="AM169" s="1021"/>
      <c r="AN169" s="1021"/>
      <c r="AO169" s="1021"/>
      <c r="AP169" s="1021"/>
      <c r="AQ169" s="1021"/>
      <c r="AR169" s="1021"/>
      <c r="AS169" s="1021"/>
      <c r="AT169" s="1021"/>
      <c r="AU169" s="1021"/>
      <c r="AV169" s="1021"/>
      <c r="AW169" s="1021"/>
      <c r="AX169" s="1021"/>
      <c r="AY169" s="1021"/>
      <c r="AZ169" s="1021"/>
      <c r="BA169" s="1021"/>
      <c r="BB169" s="1021"/>
      <c r="BC169" s="1021"/>
      <c r="BD169" s="1021"/>
      <c r="BE169" s="1021"/>
      <c r="BF169" s="1021"/>
      <c r="BG169" s="1021"/>
      <c r="BH169" s="1021"/>
      <c r="BI169" s="1021"/>
      <c r="BJ169" s="1021"/>
      <c r="BK169" s="1021"/>
      <c r="BL169" s="1021"/>
      <c r="BM169" s="1021"/>
      <c r="BN169" s="1021"/>
      <c r="BO169" s="1021"/>
      <c r="BP169" s="1021"/>
      <c r="BQ169" s="1021"/>
      <c r="BR169" s="1021"/>
      <c r="BS169" s="1021"/>
      <c r="BT169" s="1021"/>
      <c r="BU169" s="1021"/>
      <c r="BV169" s="1021"/>
      <c r="BW169" s="1021"/>
      <c r="BX169" s="1021"/>
      <c r="BY169" s="1021"/>
      <c r="BZ169" s="1021"/>
      <c r="CA169" s="1021"/>
      <c r="CB169" s="1021"/>
      <c r="CC169" s="1021"/>
    </row>
    <row r="170" spans="8:81" x14ac:dyDescent="0.25">
      <c r="H170" s="1021"/>
      <c r="I170" s="1021"/>
      <c r="J170" s="1021"/>
      <c r="K170" s="1021"/>
      <c r="L170" s="1021"/>
      <c r="M170" s="1021"/>
      <c r="N170" s="1021"/>
      <c r="O170" s="1021"/>
      <c r="P170" s="1021"/>
      <c r="Q170" s="1021"/>
      <c r="R170" s="1021"/>
      <c r="S170" s="1021"/>
      <c r="T170" s="1021"/>
      <c r="U170" s="1021"/>
      <c r="V170" s="1021"/>
      <c r="W170" s="1021"/>
      <c r="X170" s="1021"/>
      <c r="Y170" s="1021"/>
      <c r="Z170" s="1021"/>
      <c r="AA170" s="1021"/>
      <c r="AB170" s="1021"/>
      <c r="AC170" s="1021"/>
      <c r="AD170" s="1021"/>
      <c r="AE170" s="1021"/>
      <c r="AF170" s="1021"/>
      <c r="AG170" s="1021"/>
      <c r="AH170" s="1021"/>
      <c r="AI170" s="1021"/>
      <c r="AJ170" s="1021"/>
      <c r="AK170" s="1021"/>
      <c r="AL170" s="1021"/>
      <c r="AM170" s="1021"/>
      <c r="AN170" s="1021"/>
      <c r="AO170" s="1021"/>
      <c r="AP170" s="1021"/>
      <c r="AQ170" s="1021"/>
      <c r="AR170" s="1021"/>
      <c r="AS170" s="1021"/>
      <c r="AT170" s="1021"/>
      <c r="AU170" s="1021"/>
      <c r="AV170" s="1021"/>
      <c r="AW170" s="1021"/>
      <c r="AX170" s="1021"/>
      <c r="AY170" s="1021"/>
      <c r="AZ170" s="1021"/>
      <c r="BA170" s="1021"/>
      <c r="BB170" s="1021"/>
      <c r="BC170" s="1021"/>
      <c r="BD170" s="1021"/>
      <c r="BE170" s="1021"/>
      <c r="BF170" s="1021"/>
      <c r="BG170" s="1021"/>
      <c r="BH170" s="1021"/>
      <c r="BI170" s="1021"/>
      <c r="BJ170" s="1021"/>
      <c r="BK170" s="1021"/>
      <c r="BL170" s="1021"/>
      <c r="BM170" s="1021"/>
      <c r="BN170" s="1021"/>
      <c r="BO170" s="1021"/>
      <c r="BP170" s="1021"/>
      <c r="BQ170" s="1021"/>
      <c r="BR170" s="1021"/>
      <c r="BS170" s="1021"/>
      <c r="BT170" s="1021"/>
      <c r="BU170" s="1021"/>
      <c r="BV170" s="1021"/>
      <c r="BW170" s="1021"/>
      <c r="BX170" s="1021"/>
      <c r="BY170" s="1021"/>
      <c r="BZ170" s="1021"/>
      <c r="CA170" s="1021"/>
      <c r="CB170" s="1021"/>
      <c r="CC170" s="1021"/>
    </row>
    <row r="171" spans="8:81" x14ac:dyDescent="0.25">
      <c r="H171" s="1021"/>
      <c r="I171" s="1021"/>
      <c r="J171" s="1021"/>
      <c r="K171" s="1021"/>
      <c r="L171" s="1021"/>
      <c r="M171" s="1021"/>
      <c r="N171" s="1021"/>
      <c r="O171" s="1021"/>
      <c r="P171" s="1021"/>
      <c r="Q171" s="1021"/>
      <c r="R171" s="1021"/>
      <c r="S171" s="1021"/>
      <c r="T171" s="1021"/>
      <c r="U171" s="1021"/>
      <c r="V171" s="1021"/>
      <c r="W171" s="1021"/>
      <c r="X171" s="1021"/>
      <c r="Y171" s="1021"/>
      <c r="Z171" s="1021"/>
      <c r="AA171" s="1021"/>
      <c r="AB171" s="1021"/>
      <c r="AC171" s="1021"/>
      <c r="AD171" s="1021"/>
      <c r="AE171" s="1021"/>
      <c r="AF171" s="1021"/>
      <c r="AG171" s="1021"/>
      <c r="AH171" s="1021"/>
      <c r="AI171" s="1021"/>
      <c r="AJ171" s="1021"/>
      <c r="AK171" s="1021"/>
      <c r="AL171" s="1021"/>
      <c r="AM171" s="1021"/>
      <c r="AN171" s="1021"/>
      <c r="AO171" s="1021"/>
      <c r="AP171" s="1021"/>
      <c r="AQ171" s="1021"/>
      <c r="AR171" s="1021"/>
      <c r="AS171" s="1021"/>
      <c r="AT171" s="1021"/>
      <c r="AU171" s="1021"/>
      <c r="AV171" s="1021"/>
      <c r="AW171" s="1021"/>
      <c r="AX171" s="1021"/>
      <c r="AY171" s="1021"/>
      <c r="AZ171" s="1021"/>
      <c r="BA171" s="1021"/>
      <c r="BB171" s="1021"/>
      <c r="BC171" s="1021"/>
      <c r="BD171" s="1021"/>
      <c r="BE171" s="1021"/>
      <c r="BF171" s="1021"/>
      <c r="BG171" s="1021"/>
      <c r="BH171" s="1021"/>
      <c r="BI171" s="1021"/>
      <c r="BJ171" s="1021"/>
      <c r="BK171" s="1021"/>
      <c r="BL171" s="1021"/>
      <c r="BM171" s="1021"/>
      <c r="BN171" s="1021"/>
      <c r="BO171" s="1021"/>
      <c r="BP171" s="1021"/>
      <c r="BQ171" s="1021"/>
      <c r="BR171" s="1021"/>
      <c r="BS171" s="1021"/>
      <c r="BT171" s="1021"/>
      <c r="BU171" s="1021"/>
      <c r="BV171" s="1021"/>
      <c r="BW171" s="1021"/>
      <c r="BX171" s="1021"/>
      <c r="BY171" s="1021"/>
      <c r="BZ171" s="1021"/>
      <c r="CA171" s="1021"/>
      <c r="CB171" s="1021"/>
      <c r="CC171" s="1021"/>
    </row>
    <row r="172" spans="8:81" x14ac:dyDescent="0.25">
      <c r="H172" s="1021"/>
      <c r="I172" s="1021"/>
      <c r="J172" s="1021"/>
      <c r="K172" s="1021"/>
      <c r="L172" s="1021"/>
      <c r="M172" s="1021"/>
      <c r="N172" s="1021"/>
      <c r="O172" s="1021"/>
      <c r="P172" s="1021"/>
      <c r="Q172" s="1021"/>
      <c r="R172" s="1021"/>
      <c r="S172" s="1021"/>
      <c r="T172" s="1021"/>
      <c r="U172" s="1021"/>
      <c r="V172" s="1021"/>
      <c r="W172" s="1021"/>
      <c r="X172" s="1021"/>
      <c r="Y172" s="1021"/>
      <c r="Z172" s="1021"/>
      <c r="AA172" s="1021"/>
      <c r="AB172" s="1021"/>
      <c r="AC172" s="1021"/>
      <c r="AD172" s="1021"/>
      <c r="AE172" s="1021"/>
      <c r="AF172" s="1021"/>
      <c r="AG172" s="1021"/>
      <c r="AH172" s="1021"/>
      <c r="AI172" s="1021"/>
      <c r="AJ172" s="1021"/>
      <c r="AK172" s="1021"/>
      <c r="AL172" s="1021"/>
      <c r="AM172" s="1021"/>
      <c r="AN172" s="1021"/>
      <c r="AO172" s="1021"/>
      <c r="AP172" s="1021"/>
      <c r="AQ172" s="1021"/>
      <c r="AR172" s="1021"/>
      <c r="AS172" s="1021"/>
      <c r="AT172" s="1021"/>
      <c r="AU172" s="1021"/>
      <c r="AV172" s="1021"/>
      <c r="AW172" s="1021"/>
      <c r="AX172" s="1021"/>
      <c r="AY172" s="1021"/>
      <c r="AZ172" s="1021"/>
      <c r="BA172" s="1021"/>
      <c r="BB172" s="1021"/>
      <c r="BC172" s="1021"/>
      <c r="BD172" s="1021"/>
      <c r="BE172" s="1021"/>
      <c r="BF172" s="1021"/>
      <c r="BG172" s="1021"/>
      <c r="BH172" s="1021"/>
      <c r="BI172" s="1021"/>
      <c r="BJ172" s="1021"/>
      <c r="BK172" s="1021"/>
      <c r="BL172" s="1021"/>
      <c r="BM172" s="1021"/>
      <c r="BN172" s="1021"/>
      <c r="BO172" s="1021"/>
      <c r="BP172" s="1021"/>
      <c r="BQ172" s="1021"/>
      <c r="BR172" s="1021"/>
      <c r="BS172" s="1021"/>
      <c r="BT172" s="1021"/>
      <c r="BU172" s="1021"/>
      <c r="BV172" s="1021"/>
      <c r="BW172" s="1021"/>
      <c r="BX172" s="1021"/>
      <c r="BY172" s="1021"/>
      <c r="BZ172" s="1021"/>
      <c r="CA172" s="1021"/>
      <c r="CB172" s="1021"/>
      <c r="CC172" s="1021"/>
    </row>
    <row r="173" spans="8:81" x14ac:dyDescent="0.25">
      <c r="H173" s="1021"/>
      <c r="I173" s="1021"/>
      <c r="J173" s="1021"/>
      <c r="K173" s="1021"/>
      <c r="L173" s="1021"/>
      <c r="M173" s="1021"/>
      <c r="N173" s="1021"/>
      <c r="O173" s="1021"/>
      <c r="P173" s="1021"/>
      <c r="Q173" s="1021"/>
      <c r="R173" s="1021"/>
      <c r="S173" s="1021"/>
      <c r="T173" s="1021"/>
      <c r="U173" s="1021"/>
      <c r="V173" s="1021"/>
      <c r="W173" s="1021"/>
      <c r="X173" s="1021"/>
      <c r="Y173" s="1021"/>
      <c r="Z173" s="1021"/>
      <c r="AA173" s="1021"/>
      <c r="AB173" s="1021"/>
      <c r="AC173" s="1021"/>
      <c r="AD173" s="1021"/>
      <c r="AE173" s="1021"/>
      <c r="AF173" s="1021"/>
      <c r="AG173" s="1021"/>
      <c r="AH173" s="1021"/>
      <c r="AI173" s="1021"/>
      <c r="AJ173" s="1021"/>
      <c r="AK173" s="1021"/>
      <c r="AL173" s="1021"/>
      <c r="AM173" s="1021"/>
      <c r="AN173" s="1021"/>
      <c r="AO173" s="1021"/>
      <c r="AP173" s="1021"/>
      <c r="AQ173" s="1021"/>
      <c r="AR173" s="1021"/>
      <c r="AS173" s="1021"/>
      <c r="AT173" s="1021"/>
      <c r="AU173" s="1021"/>
      <c r="AV173" s="1021"/>
      <c r="AW173" s="1021"/>
      <c r="AX173" s="1021"/>
      <c r="AY173" s="1021"/>
      <c r="AZ173" s="1021"/>
      <c r="BA173" s="1021"/>
      <c r="BB173" s="1021"/>
      <c r="BC173" s="1021"/>
      <c r="BD173" s="1021"/>
      <c r="BE173" s="1021"/>
      <c r="BF173" s="1021"/>
      <c r="BG173" s="1021"/>
      <c r="BH173" s="1021"/>
      <c r="BI173" s="1021"/>
      <c r="BJ173" s="1021"/>
      <c r="BK173" s="1021"/>
      <c r="BL173" s="1021"/>
      <c r="BM173" s="1021"/>
      <c r="BN173" s="1021"/>
      <c r="BO173" s="1021"/>
      <c r="BP173" s="1021"/>
      <c r="BQ173" s="1021"/>
      <c r="BR173" s="1021"/>
      <c r="BS173" s="1021"/>
      <c r="BT173" s="1021"/>
      <c r="BU173" s="1021"/>
      <c r="BV173" s="1021"/>
      <c r="BW173" s="1021"/>
      <c r="BX173" s="1021"/>
      <c r="BY173" s="1021"/>
      <c r="BZ173" s="1021"/>
      <c r="CA173" s="1021"/>
      <c r="CB173" s="1021"/>
      <c r="CC173" s="1021"/>
    </row>
    <row r="174" spans="8:81" x14ac:dyDescent="0.25">
      <c r="H174" s="1021"/>
      <c r="I174" s="1021"/>
      <c r="J174" s="1021"/>
      <c r="K174" s="1021"/>
      <c r="L174" s="1021"/>
      <c r="M174" s="1021"/>
      <c r="N174" s="1021"/>
      <c r="O174" s="1021"/>
      <c r="P174" s="1021"/>
      <c r="Q174" s="1021"/>
      <c r="R174" s="1021"/>
      <c r="S174" s="1021"/>
      <c r="T174" s="1021"/>
      <c r="U174" s="1021"/>
      <c r="V174" s="1021"/>
      <c r="W174" s="1021"/>
      <c r="X174" s="1021"/>
      <c r="Y174" s="1021"/>
      <c r="Z174" s="1021"/>
      <c r="AA174" s="1021"/>
      <c r="AB174" s="1021"/>
      <c r="AC174" s="1021"/>
      <c r="AD174" s="1021"/>
      <c r="AE174" s="1021"/>
      <c r="AF174" s="1021"/>
      <c r="AG174" s="1021"/>
      <c r="AH174" s="1021"/>
      <c r="AI174" s="1021"/>
      <c r="AJ174" s="1021"/>
      <c r="AK174" s="1021"/>
      <c r="AL174" s="1021"/>
      <c r="AM174" s="1021"/>
      <c r="AN174" s="1021"/>
      <c r="AO174" s="1021"/>
      <c r="AP174" s="1021"/>
      <c r="AQ174" s="1021"/>
      <c r="AR174" s="1021"/>
      <c r="AS174" s="1021"/>
      <c r="AT174" s="1021"/>
      <c r="AU174" s="1021"/>
      <c r="AV174" s="1021"/>
      <c r="AW174" s="1021"/>
      <c r="AX174" s="1021"/>
      <c r="AY174" s="1021"/>
      <c r="AZ174" s="1021"/>
      <c r="BA174" s="1021"/>
      <c r="BB174" s="1021"/>
      <c r="BC174" s="1021"/>
      <c r="BD174" s="1021"/>
      <c r="BE174" s="1021"/>
      <c r="BF174" s="1021"/>
      <c r="BG174" s="1021"/>
      <c r="BH174" s="1021"/>
      <c r="BI174" s="1021"/>
      <c r="BJ174" s="1021"/>
      <c r="BK174" s="1021"/>
      <c r="BL174" s="1021"/>
      <c r="BM174" s="1021"/>
      <c r="BN174" s="1021"/>
      <c r="BO174" s="1021"/>
      <c r="BP174" s="1021"/>
      <c r="BQ174" s="1021"/>
      <c r="BR174" s="1021"/>
      <c r="BS174" s="1021"/>
      <c r="BT174" s="1021"/>
      <c r="BU174" s="1021"/>
      <c r="BV174" s="1021"/>
      <c r="BW174" s="1021"/>
      <c r="BX174" s="1021"/>
      <c r="BY174" s="1021"/>
      <c r="BZ174" s="1021"/>
      <c r="CA174" s="1021"/>
      <c r="CB174" s="1021"/>
      <c r="CC174" s="1021"/>
    </row>
    <row r="175" spans="8:81" x14ac:dyDescent="0.25">
      <c r="H175" s="1021"/>
      <c r="I175" s="1021"/>
      <c r="J175" s="1021"/>
      <c r="K175" s="1021"/>
      <c r="L175" s="1021"/>
      <c r="M175" s="1021"/>
      <c r="N175" s="1021"/>
      <c r="O175" s="1021"/>
      <c r="P175" s="1021"/>
      <c r="Q175" s="1021"/>
      <c r="R175" s="1021"/>
      <c r="S175" s="1021"/>
      <c r="T175" s="1021"/>
      <c r="U175" s="1021"/>
      <c r="V175" s="1021"/>
      <c r="W175" s="1021"/>
      <c r="X175" s="1021"/>
      <c r="Y175" s="1021"/>
      <c r="Z175" s="1021"/>
      <c r="AA175" s="1021"/>
      <c r="AB175" s="1021"/>
      <c r="AC175" s="1021"/>
      <c r="AD175" s="1021"/>
      <c r="AE175" s="1021"/>
      <c r="AF175" s="1021"/>
      <c r="AG175" s="1021"/>
      <c r="AH175" s="1021"/>
      <c r="AI175" s="1021"/>
      <c r="AJ175" s="1021"/>
      <c r="AK175" s="1021"/>
      <c r="AL175" s="1021"/>
      <c r="AM175" s="1021"/>
      <c r="AN175" s="1021"/>
      <c r="AO175" s="1021"/>
      <c r="AP175" s="1021"/>
      <c r="AQ175" s="1021"/>
      <c r="AR175" s="1021"/>
      <c r="AS175" s="1021"/>
      <c r="AT175" s="1021"/>
      <c r="AU175" s="1021"/>
      <c r="AV175" s="1021"/>
      <c r="AW175" s="1021"/>
      <c r="AX175" s="1021"/>
      <c r="AY175" s="1021"/>
      <c r="AZ175" s="1021"/>
      <c r="BA175" s="1021"/>
      <c r="BB175" s="1021"/>
      <c r="BC175" s="1021"/>
      <c r="BD175" s="1021"/>
      <c r="BE175" s="1021"/>
      <c r="BF175" s="1021"/>
      <c r="BG175" s="1021"/>
      <c r="BH175" s="1021"/>
      <c r="BI175" s="1021"/>
      <c r="BJ175" s="1021"/>
      <c r="BK175" s="1021"/>
      <c r="BL175" s="1021"/>
      <c r="BM175" s="1021"/>
      <c r="BN175" s="1021"/>
      <c r="BO175" s="1021"/>
      <c r="BP175" s="1021"/>
      <c r="BQ175" s="1021"/>
      <c r="BR175" s="1021"/>
      <c r="BS175" s="1021"/>
      <c r="BT175" s="1021"/>
      <c r="BU175" s="1021"/>
      <c r="BV175" s="1021"/>
      <c r="BW175" s="1021"/>
      <c r="BX175" s="1021"/>
      <c r="BY175" s="1021"/>
      <c r="BZ175" s="1021"/>
      <c r="CA175" s="1021"/>
      <c r="CB175" s="1021"/>
      <c r="CC175" s="1021"/>
    </row>
    <row r="176" spans="8:81" x14ac:dyDescent="0.25">
      <c r="H176" s="1021"/>
      <c r="I176" s="1021"/>
      <c r="J176" s="1021"/>
      <c r="K176" s="1021"/>
      <c r="L176" s="1021"/>
      <c r="M176" s="1021"/>
      <c r="N176" s="1021"/>
      <c r="O176" s="1021"/>
      <c r="P176" s="1021"/>
      <c r="Q176" s="1021"/>
      <c r="R176" s="1021"/>
      <c r="S176" s="1021"/>
      <c r="T176" s="1021"/>
      <c r="U176" s="1021"/>
      <c r="V176" s="1021"/>
      <c r="W176" s="1021"/>
      <c r="X176" s="1021"/>
      <c r="Y176" s="1021"/>
      <c r="Z176" s="1021"/>
      <c r="AA176" s="1021"/>
      <c r="AB176" s="1021"/>
      <c r="AC176" s="1021"/>
      <c r="AD176" s="1021"/>
      <c r="AE176" s="1021"/>
      <c r="AF176" s="1021"/>
      <c r="AG176" s="1021"/>
      <c r="AH176" s="1021"/>
      <c r="AI176" s="1021"/>
      <c r="AJ176" s="1021"/>
      <c r="AK176" s="1021"/>
      <c r="AL176" s="1021"/>
      <c r="AM176" s="1021"/>
      <c r="AN176" s="1021"/>
      <c r="AO176" s="1021"/>
      <c r="AP176" s="1021"/>
      <c r="AQ176" s="1021"/>
      <c r="AR176" s="1021"/>
      <c r="AS176" s="1021"/>
      <c r="AT176" s="1021"/>
      <c r="AU176" s="1021"/>
      <c r="AV176" s="1021"/>
      <c r="AW176" s="1021"/>
      <c r="AX176" s="1021"/>
      <c r="AY176" s="1021"/>
      <c r="AZ176" s="1021"/>
      <c r="BA176" s="1021"/>
      <c r="BB176" s="1021"/>
      <c r="BC176" s="1021"/>
      <c r="BD176" s="1021"/>
      <c r="BE176" s="1021"/>
      <c r="BF176" s="1021"/>
      <c r="BG176" s="1021"/>
      <c r="BH176" s="1021"/>
      <c r="BI176" s="1021"/>
      <c r="BJ176" s="1021"/>
      <c r="BK176" s="1021"/>
      <c r="BL176" s="1021"/>
      <c r="BM176" s="1021"/>
      <c r="BN176" s="1021"/>
      <c r="BO176" s="1021"/>
      <c r="BP176" s="1021"/>
      <c r="BQ176" s="1021"/>
      <c r="BR176" s="1021"/>
      <c r="BS176" s="1021"/>
      <c r="BT176" s="1021"/>
      <c r="BU176" s="1021"/>
      <c r="BV176" s="1021"/>
      <c r="BW176" s="1021"/>
      <c r="BX176" s="1021"/>
      <c r="BY176" s="1021"/>
      <c r="BZ176" s="1021"/>
      <c r="CA176" s="1021"/>
      <c r="CB176" s="1021"/>
      <c r="CC176" s="1021"/>
    </row>
    <row r="177" spans="8:81" x14ac:dyDescent="0.25">
      <c r="H177" s="1021"/>
      <c r="I177" s="1021"/>
      <c r="J177" s="1021"/>
      <c r="K177" s="1021"/>
      <c r="L177" s="1021"/>
      <c r="M177" s="1021"/>
      <c r="N177" s="1021"/>
      <c r="O177" s="1021"/>
      <c r="P177" s="1021"/>
      <c r="Q177" s="1021"/>
      <c r="R177" s="1021"/>
      <c r="S177" s="1021"/>
      <c r="T177" s="1021"/>
      <c r="U177" s="1021"/>
      <c r="V177" s="1021"/>
      <c r="W177" s="1021"/>
      <c r="X177" s="1021"/>
      <c r="Y177" s="1021"/>
      <c r="Z177" s="1021"/>
      <c r="AA177" s="1021"/>
      <c r="AB177" s="1021"/>
      <c r="AC177" s="1021"/>
      <c r="AD177" s="1021"/>
      <c r="AE177" s="1021"/>
      <c r="AF177" s="1021"/>
      <c r="AG177" s="1021"/>
      <c r="AH177" s="1021"/>
      <c r="AI177" s="1021"/>
      <c r="AJ177" s="1021"/>
      <c r="AK177" s="1021"/>
      <c r="AL177" s="1021"/>
      <c r="AM177" s="1021"/>
      <c r="AN177" s="1021"/>
      <c r="AO177" s="1021"/>
      <c r="AP177" s="1021"/>
      <c r="AQ177" s="1021"/>
      <c r="AR177" s="1021"/>
      <c r="AS177" s="1021"/>
      <c r="AT177" s="1021"/>
      <c r="AU177" s="1021"/>
      <c r="AV177" s="1021"/>
      <c r="AW177" s="1021"/>
      <c r="AX177" s="1021"/>
      <c r="AY177" s="1021"/>
      <c r="AZ177" s="1021"/>
      <c r="BA177" s="1021"/>
      <c r="BB177" s="1021"/>
      <c r="BC177" s="1021"/>
      <c r="BD177" s="1021"/>
      <c r="BE177" s="1021"/>
      <c r="BF177" s="1021"/>
      <c r="BG177" s="1021"/>
      <c r="BH177" s="1021"/>
      <c r="BI177" s="1021"/>
      <c r="BJ177" s="1021"/>
      <c r="BK177" s="1021"/>
      <c r="BL177" s="1021"/>
      <c r="BM177" s="1021"/>
      <c r="BN177" s="1021"/>
      <c r="BO177" s="1021"/>
      <c r="BP177" s="1021"/>
      <c r="BQ177" s="1021"/>
      <c r="BR177" s="1021"/>
      <c r="BS177" s="1021"/>
      <c r="BT177" s="1021"/>
      <c r="BU177" s="1021"/>
      <c r="BV177" s="1021"/>
      <c r="BW177" s="1021"/>
      <c r="BX177" s="1021"/>
      <c r="BY177" s="1021"/>
      <c r="BZ177" s="1021"/>
      <c r="CA177" s="1021"/>
      <c r="CB177" s="1021"/>
      <c r="CC177" s="1021"/>
    </row>
    <row r="178" spans="8:81" x14ac:dyDescent="0.25">
      <c r="H178" s="1021"/>
      <c r="I178" s="1021"/>
      <c r="J178" s="1021"/>
      <c r="K178" s="1021"/>
      <c r="L178" s="1021"/>
      <c r="M178" s="1021"/>
      <c r="N178" s="1021"/>
      <c r="O178" s="1021"/>
      <c r="P178" s="1021"/>
      <c r="Q178" s="1021"/>
      <c r="R178" s="1021"/>
      <c r="S178" s="1021"/>
      <c r="T178" s="1021"/>
      <c r="U178" s="1021"/>
      <c r="V178" s="1021"/>
      <c r="W178" s="1021"/>
      <c r="X178" s="1021"/>
      <c r="Y178" s="1021"/>
      <c r="Z178" s="1021"/>
      <c r="AA178" s="1021"/>
      <c r="AB178" s="1021"/>
      <c r="AC178" s="1021"/>
      <c r="AD178" s="1021"/>
      <c r="AE178" s="1021"/>
      <c r="AF178" s="1021"/>
      <c r="AG178" s="1021"/>
      <c r="AH178" s="1021"/>
      <c r="AI178" s="1021"/>
      <c r="AJ178" s="1021"/>
      <c r="AK178" s="1021"/>
      <c r="AL178" s="1021"/>
      <c r="AM178" s="1021"/>
      <c r="AN178" s="1021"/>
      <c r="AO178" s="1021"/>
      <c r="AP178" s="1021"/>
      <c r="AQ178" s="1021"/>
      <c r="AR178" s="1021"/>
      <c r="AS178" s="1021"/>
      <c r="AT178" s="1021"/>
      <c r="AU178" s="1021"/>
      <c r="AV178" s="1021"/>
      <c r="AW178" s="1021"/>
      <c r="AX178" s="1021"/>
      <c r="AY178" s="1021"/>
      <c r="AZ178" s="1021"/>
      <c r="BA178" s="1021"/>
      <c r="BB178" s="1021"/>
      <c r="BC178" s="1021"/>
      <c r="BD178" s="1021"/>
      <c r="BE178" s="1021"/>
      <c r="BF178" s="1021"/>
      <c r="BG178" s="1021"/>
      <c r="BH178" s="1021"/>
      <c r="BI178" s="1021"/>
      <c r="BJ178" s="1021"/>
      <c r="BK178" s="1021"/>
      <c r="BL178" s="1021"/>
      <c r="BM178" s="1021"/>
      <c r="BN178" s="1021"/>
      <c r="BO178" s="1021"/>
      <c r="BP178" s="1021"/>
      <c r="BQ178" s="1021"/>
      <c r="BR178" s="1021"/>
      <c r="BS178" s="1021"/>
      <c r="BT178" s="1021"/>
      <c r="BU178" s="1021"/>
      <c r="BV178" s="1021"/>
      <c r="BW178" s="1021"/>
      <c r="BX178" s="1021"/>
      <c r="BY178" s="1021"/>
      <c r="BZ178" s="1021"/>
      <c r="CA178" s="1021"/>
      <c r="CB178" s="1021"/>
      <c r="CC178" s="1021"/>
    </row>
    <row r="179" spans="8:81" x14ac:dyDescent="0.25">
      <c r="H179" s="1021"/>
      <c r="I179" s="1021"/>
      <c r="J179" s="1021"/>
      <c r="K179" s="1021"/>
      <c r="L179" s="1021"/>
      <c r="M179" s="1021"/>
      <c r="N179" s="1021"/>
      <c r="O179" s="1021"/>
      <c r="P179" s="1021"/>
      <c r="Q179" s="1021"/>
      <c r="R179" s="1021"/>
      <c r="S179" s="1021"/>
      <c r="T179" s="1021"/>
      <c r="U179" s="1021"/>
      <c r="V179" s="1021"/>
      <c r="W179" s="1021"/>
      <c r="X179" s="1021"/>
      <c r="Y179" s="1021"/>
      <c r="Z179" s="1021"/>
      <c r="AA179" s="1021"/>
      <c r="AB179" s="1021"/>
      <c r="AC179" s="1021"/>
      <c r="AD179" s="1021"/>
      <c r="AE179" s="1021"/>
      <c r="AF179" s="1021"/>
      <c r="AG179" s="1021"/>
      <c r="AH179" s="1021"/>
      <c r="AI179" s="1021"/>
      <c r="AJ179" s="1021"/>
      <c r="AK179" s="1021"/>
      <c r="AL179" s="1021"/>
      <c r="AM179" s="1021"/>
      <c r="AN179" s="1021"/>
      <c r="AO179" s="1021"/>
      <c r="AP179" s="1021"/>
      <c r="AQ179" s="1021"/>
      <c r="AR179" s="1021"/>
      <c r="AS179" s="1021"/>
      <c r="AT179" s="1021"/>
      <c r="AU179" s="1021"/>
      <c r="AV179" s="1021"/>
      <c r="AW179" s="1021"/>
      <c r="AX179" s="1021"/>
      <c r="AY179" s="1021"/>
      <c r="AZ179" s="1021"/>
      <c r="BA179" s="1021"/>
      <c r="BB179" s="1021"/>
      <c r="BC179" s="1021"/>
      <c r="BD179" s="1021"/>
      <c r="BE179" s="1021"/>
      <c r="BF179" s="1021"/>
      <c r="BG179" s="1021"/>
      <c r="BH179" s="1021"/>
      <c r="BI179" s="1021"/>
      <c r="BJ179" s="1021"/>
      <c r="BK179" s="1021"/>
      <c r="BL179" s="1021"/>
      <c r="BM179" s="1021"/>
      <c r="BN179" s="1021"/>
      <c r="BO179" s="1021"/>
      <c r="BP179" s="1021"/>
      <c r="BQ179" s="1021"/>
      <c r="BR179" s="1021"/>
      <c r="BS179" s="1021"/>
      <c r="BT179" s="1021"/>
      <c r="BU179" s="1021"/>
      <c r="BV179" s="1021"/>
      <c r="BW179" s="1021"/>
      <c r="BX179" s="1021"/>
      <c r="BY179" s="1021"/>
      <c r="BZ179" s="1021"/>
      <c r="CA179" s="1021"/>
      <c r="CB179" s="1021"/>
      <c r="CC179" s="1021"/>
    </row>
    <row r="180" spans="8:81" x14ac:dyDescent="0.25">
      <c r="H180" s="1021"/>
      <c r="I180" s="1021"/>
      <c r="J180" s="1021"/>
      <c r="K180" s="1021"/>
      <c r="L180" s="1021"/>
      <c r="M180" s="1021"/>
      <c r="N180" s="1021"/>
      <c r="O180" s="1021"/>
      <c r="P180" s="1021"/>
      <c r="Q180" s="1021"/>
      <c r="R180" s="1021"/>
      <c r="S180" s="1021"/>
      <c r="T180" s="1021"/>
      <c r="U180" s="1021"/>
      <c r="V180" s="1021"/>
      <c r="W180" s="1021"/>
      <c r="X180" s="1021"/>
      <c r="Y180" s="1021"/>
      <c r="Z180" s="1021"/>
      <c r="AA180" s="1021"/>
      <c r="AB180" s="1021"/>
      <c r="AC180" s="1021"/>
      <c r="AD180" s="1021"/>
      <c r="AE180" s="1021"/>
      <c r="AF180" s="1021"/>
      <c r="AG180" s="1021"/>
      <c r="AH180" s="1021"/>
      <c r="AI180" s="1021"/>
      <c r="AJ180" s="1021"/>
      <c r="AK180" s="1021"/>
      <c r="AL180" s="1021"/>
      <c r="AM180" s="1021"/>
      <c r="AN180" s="1021"/>
      <c r="AO180" s="1021"/>
      <c r="AP180" s="1021"/>
      <c r="AQ180" s="1021"/>
      <c r="AR180" s="1021"/>
      <c r="AS180" s="1021"/>
      <c r="AT180" s="1021"/>
      <c r="AU180" s="1021"/>
      <c r="AV180" s="1021"/>
      <c r="AW180" s="1021"/>
      <c r="AX180" s="1021"/>
      <c r="AY180" s="1021"/>
      <c r="AZ180" s="1021"/>
      <c r="BA180" s="1021"/>
      <c r="BB180" s="1021"/>
      <c r="BC180" s="1021"/>
      <c r="BD180" s="1021"/>
      <c r="BE180" s="1021"/>
      <c r="BF180" s="1021"/>
      <c r="BG180" s="1021"/>
      <c r="BH180" s="1021"/>
      <c r="BI180" s="1021"/>
      <c r="BJ180" s="1021"/>
      <c r="BK180" s="1021"/>
      <c r="BL180" s="1021"/>
      <c r="BM180" s="1021"/>
      <c r="BN180" s="1021"/>
      <c r="BO180" s="1021"/>
      <c r="BP180" s="1021"/>
      <c r="BQ180" s="1021"/>
      <c r="BR180" s="1021"/>
      <c r="BS180" s="1021"/>
      <c r="BT180" s="1021"/>
      <c r="BU180" s="1021"/>
      <c r="BV180" s="1021"/>
      <c r="BW180" s="1021"/>
      <c r="BX180" s="1021"/>
      <c r="BY180" s="1021"/>
      <c r="BZ180" s="1021"/>
      <c r="CA180" s="1021"/>
      <c r="CB180" s="1021"/>
      <c r="CC180" s="1021"/>
    </row>
    <row r="181" spans="8:81" x14ac:dyDescent="0.25">
      <c r="H181" s="1021"/>
      <c r="I181" s="1021"/>
      <c r="J181" s="1021"/>
      <c r="K181" s="1021"/>
      <c r="L181" s="1021"/>
      <c r="M181" s="1021"/>
      <c r="N181" s="1021"/>
      <c r="O181" s="1021"/>
      <c r="P181" s="1021"/>
      <c r="Q181" s="1021"/>
      <c r="R181" s="1021"/>
      <c r="S181" s="1021"/>
      <c r="T181" s="1021"/>
      <c r="U181" s="1021"/>
      <c r="V181" s="1021"/>
      <c r="W181" s="1021"/>
      <c r="X181" s="1021"/>
      <c r="Y181" s="1021"/>
      <c r="Z181" s="1021"/>
      <c r="AA181" s="1021"/>
      <c r="AB181" s="1021"/>
      <c r="AC181" s="1021"/>
      <c r="AD181" s="1021"/>
      <c r="AE181" s="1021"/>
      <c r="AF181" s="1021"/>
      <c r="AG181" s="1021"/>
      <c r="AH181" s="1021"/>
      <c r="AI181" s="1021"/>
      <c r="AJ181" s="1021"/>
      <c r="AK181" s="1021"/>
      <c r="AL181" s="1021"/>
      <c r="AM181" s="1021"/>
      <c r="AN181" s="1021"/>
      <c r="AO181" s="1021"/>
      <c r="AP181" s="1021"/>
      <c r="AQ181" s="1021"/>
      <c r="AR181" s="1021"/>
      <c r="AS181" s="1021"/>
      <c r="AT181" s="1021"/>
      <c r="AU181" s="1021"/>
      <c r="AV181" s="1021"/>
      <c r="AW181" s="1021"/>
      <c r="AX181" s="1021"/>
      <c r="AY181" s="1021"/>
      <c r="AZ181" s="1021"/>
      <c r="BA181" s="1021"/>
      <c r="BB181" s="1021"/>
      <c r="BC181" s="1021"/>
      <c r="BD181" s="1021"/>
      <c r="BE181" s="1021"/>
      <c r="BF181" s="1021"/>
      <c r="BG181" s="1021"/>
      <c r="BH181" s="1021"/>
      <c r="BI181" s="1021"/>
      <c r="BJ181" s="1021"/>
      <c r="BK181" s="1021"/>
      <c r="BL181" s="1021"/>
      <c r="BM181" s="1021"/>
      <c r="BN181" s="1021"/>
      <c r="BO181" s="1021"/>
      <c r="BP181" s="1021"/>
      <c r="BQ181" s="1021"/>
      <c r="BR181" s="1021"/>
      <c r="BS181" s="1021"/>
      <c r="BT181" s="1021"/>
      <c r="BU181" s="1021"/>
      <c r="BV181" s="1021"/>
      <c r="BW181" s="1021"/>
      <c r="BX181" s="1021"/>
      <c r="BY181" s="1021"/>
      <c r="BZ181" s="1021"/>
      <c r="CA181" s="1021"/>
      <c r="CB181" s="1021"/>
      <c r="CC181" s="1021"/>
    </row>
    <row r="182" spans="8:81" x14ac:dyDescent="0.25">
      <c r="H182" s="1021"/>
      <c r="I182" s="1021"/>
      <c r="J182" s="1021"/>
      <c r="K182" s="1021"/>
      <c r="L182" s="1021"/>
      <c r="M182" s="1021"/>
      <c r="N182" s="1021"/>
      <c r="O182" s="1021"/>
      <c r="P182" s="1021"/>
      <c r="Q182" s="1021"/>
      <c r="R182" s="1021"/>
      <c r="S182" s="1021"/>
      <c r="T182" s="1021"/>
      <c r="U182" s="1021"/>
      <c r="V182" s="1021"/>
      <c r="W182" s="1021"/>
      <c r="X182" s="1021"/>
      <c r="Y182" s="1021"/>
      <c r="Z182" s="1021"/>
      <c r="AA182" s="1021"/>
      <c r="AB182" s="1021"/>
      <c r="AC182" s="1021"/>
      <c r="AD182" s="1021"/>
      <c r="AE182" s="1021"/>
      <c r="AF182" s="1021"/>
      <c r="AG182" s="1021"/>
      <c r="AH182" s="1021"/>
      <c r="AI182" s="1021"/>
      <c r="AJ182" s="1021"/>
      <c r="AK182" s="1021"/>
      <c r="AL182" s="1021"/>
      <c r="AM182" s="1021"/>
      <c r="AN182" s="1021"/>
      <c r="AO182" s="1021"/>
      <c r="AP182" s="1021"/>
      <c r="AQ182" s="1021"/>
      <c r="AR182" s="1021"/>
      <c r="AS182" s="1021"/>
      <c r="AT182" s="1021"/>
      <c r="AU182" s="1021"/>
      <c r="AV182" s="1021"/>
      <c r="AW182" s="1021"/>
      <c r="AX182" s="1021"/>
      <c r="AY182" s="1021"/>
      <c r="AZ182" s="1021"/>
      <c r="BA182" s="1021"/>
      <c r="BB182" s="1021"/>
      <c r="BC182" s="1021"/>
      <c r="BD182" s="1021"/>
      <c r="BE182" s="1021"/>
      <c r="BF182" s="1021"/>
      <c r="BG182" s="1021"/>
      <c r="BH182" s="1021"/>
      <c r="BI182" s="1021"/>
      <c r="BJ182" s="1021"/>
      <c r="BK182" s="1021"/>
      <c r="BL182" s="1021"/>
      <c r="BM182" s="1021"/>
      <c r="BN182" s="1021"/>
      <c r="BO182" s="1021"/>
      <c r="BP182" s="1021"/>
      <c r="BQ182" s="1021"/>
      <c r="BR182" s="1021"/>
      <c r="BS182" s="1021"/>
      <c r="BT182" s="1021"/>
      <c r="BU182" s="1021"/>
      <c r="BV182" s="1021"/>
      <c r="BW182" s="1021"/>
      <c r="BX182" s="1021"/>
      <c r="BY182" s="1021"/>
      <c r="BZ182" s="1021"/>
      <c r="CA182" s="1021"/>
      <c r="CB182" s="1021"/>
      <c r="CC182" s="1021"/>
    </row>
    <row r="183" spans="8:81" x14ac:dyDescent="0.25">
      <c r="H183" s="1021"/>
      <c r="I183" s="1021"/>
      <c r="J183" s="1021"/>
      <c r="K183" s="1021"/>
      <c r="L183" s="1021"/>
      <c r="M183" s="1021"/>
      <c r="N183" s="1021"/>
      <c r="O183" s="1021"/>
      <c r="P183" s="1021"/>
      <c r="Q183" s="1021"/>
      <c r="R183" s="1021"/>
      <c r="S183" s="1021"/>
      <c r="T183" s="1021"/>
      <c r="U183" s="1021"/>
      <c r="V183" s="1021"/>
      <c r="W183" s="1021"/>
      <c r="X183" s="1021"/>
      <c r="Y183" s="1021"/>
      <c r="Z183" s="1021"/>
      <c r="AA183" s="1021"/>
      <c r="AB183" s="1021"/>
      <c r="AC183" s="1021"/>
      <c r="AD183" s="1021"/>
      <c r="AE183" s="1021"/>
      <c r="AF183" s="1021"/>
      <c r="AG183" s="1021"/>
      <c r="AH183" s="1021"/>
      <c r="AI183" s="1021"/>
      <c r="AJ183" s="1021"/>
      <c r="AK183" s="1021"/>
      <c r="AL183" s="1021"/>
      <c r="AM183" s="1021"/>
      <c r="AN183" s="1021"/>
      <c r="AO183" s="1021"/>
      <c r="AP183" s="1021"/>
      <c r="AQ183" s="1021"/>
      <c r="AR183" s="1021"/>
      <c r="AS183" s="1021"/>
      <c r="AT183" s="1021"/>
      <c r="AU183" s="1021"/>
      <c r="AV183" s="1021"/>
      <c r="AW183" s="1021"/>
      <c r="AX183" s="1021"/>
      <c r="AY183" s="1021"/>
      <c r="AZ183" s="1021"/>
      <c r="BA183" s="1021"/>
      <c r="BB183" s="1021"/>
      <c r="BC183" s="1021"/>
      <c r="BD183" s="1021"/>
      <c r="BE183" s="1021"/>
      <c r="BF183" s="1021"/>
      <c r="BG183" s="1021"/>
      <c r="BH183" s="1021"/>
      <c r="BI183" s="1021"/>
      <c r="BJ183" s="1021"/>
      <c r="BK183" s="1021"/>
      <c r="BL183" s="1021"/>
      <c r="BM183" s="1021"/>
      <c r="BN183" s="1021"/>
      <c r="BO183" s="1021"/>
      <c r="BP183" s="1021"/>
      <c r="BQ183" s="1021"/>
      <c r="BR183" s="1021"/>
      <c r="BS183" s="1021"/>
      <c r="BT183" s="1021"/>
      <c r="BU183" s="1021"/>
      <c r="BV183" s="1021"/>
      <c r="BW183" s="1021"/>
      <c r="BX183" s="1021"/>
      <c r="BY183" s="1021"/>
      <c r="BZ183" s="1021"/>
      <c r="CA183" s="1021"/>
      <c r="CB183" s="1021"/>
      <c r="CC183" s="1021"/>
    </row>
    <row r="184" spans="8:81" x14ac:dyDescent="0.25">
      <c r="H184" s="1021"/>
      <c r="I184" s="1021"/>
      <c r="J184" s="1021"/>
      <c r="K184" s="1021"/>
      <c r="L184" s="1021"/>
      <c r="M184" s="1021"/>
      <c r="N184" s="1021"/>
      <c r="O184" s="1021"/>
      <c r="P184" s="1021"/>
      <c r="Q184" s="1021"/>
      <c r="R184" s="1021"/>
      <c r="S184" s="1021"/>
      <c r="T184" s="1021"/>
      <c r="U184" s="1021"/>
      <c r="V184" s="1021"/>
      <c r="W184" s="1021"/>
      <c r="X184" s="1021"/>
      <c r="Y184" s="1021"/>
      <c r="Z184" s="1021"/>
      <c r="AA184" s="1021"/>
      <c r="AB184" s="1021"/>
      <c r="AC184" s="1021"/>
      <c r="AD184" s="1021"/>
      <c r="AE184" s="1021"/>
      <c r="AF184" s="1021"/>
      <c r="AG184" s="1021"/>
      <c r="AH184" s="1021"/>
      <c r="AI184" s="1021"/>
      <c r="AJ184" s="1021"/>
      <c r="AK184" s="1021"/>
      <c r="AL184" s="1021"/>
      <c r="AM184" s="1021"/>
      <c r="AN184" s="1021"/>
      <c r="AO184" s="1021"/>
      <c r="AP184" s="1021"/>
      <c r="AQ184" s="1021"/>
      <c r="AR184" s="1021"/>
      <c r="AS184" s="1021"/>
      <c r="AT184" s="1021"/>
      <c r="AU184" s="1021"/>
      <c r="AV184" s="1021"/>
      <c r="AW184" s="1021"/>
      <c r="AX184" s="1021"/>
      <c r="AY184" s="1021"/>
      <c r="AZ184" s="1021"/>
      <c r="BA184" s="1021"/>
      <c r="BB184" s="1021"/>
      <c r="BC184" s="1021"/>
      <c r="BD184" s="1021"/>
      <c r="BE184" s="1021"/>
      <c r="BF184" s="1021"/>
      <c r="BG184" s="1021"/>
      <c r="BH184" s="1021"/>
      <c r="BI184" s="1021"/>
      <c r="BJ184" s="1021"/>
      <c r="BK184" s="1021"/>
      <c r="BL184" s="1021"/>
      <c r="BM184" s="1021"/>
      <c r="BN184" s="1021"/>
      <c r="BO184" s="1021"/>
      <c r="BP184" s="1021"/>
      <c r="BQ184" s="1021"/>
      <c r="BR184" s="1021"/>
      <c r="BS184" s="1021"/>
      <c r="BT184" s="1021"/>
      <c r="BU184" s="1021"/>
      <c r="BV184" s="1021"/>
      <c r="BW184" s="1021"/>
      <c r="BX184" s="1021"/>
      <c r="BY184" s="1021"/>
      <c r="BZ184" s="1021"/>
      <c r="CA184" s="1021"/>
      <c r="CB184" s="1021"/>
      <c r="CC184" s="1021"/>
    </row>
    <row r="185" spans="8:81" x14ac:dyDescent="0.25">
      <c r="H185" s="1021"/>
      <c r="I185" s="1021"/>
      <c r="J185" s="1021"/>
      <c r="K185" s="1021"/>
      <c r="L185" s="1021"/>
      <c r="M185" s="1021"/>
      <c r="N185" s="1021"/>
      <c r="O185" s="1021"/>
      <c r="P185" s="1021"/>
      <c r="Q185" s="1021"/>
      <c r="R185" s="1021"/>
      <c r="S185" s="1021"/>
      <c r="T185" s="1021"/>
      <c r="U185" s="1021"/>
      <c r="V185" s="1021"/>
      <c r="W185" s="1021"/>
      <c r="X185" s="1021"/>
      <c r="Y185" s="1021"/>
      <c r="Z185" s="1021"/>
      <c r="AA185" s="1021"/>
      <c r="AB185" s="1021"/>
      <c r="AC185" s="1021"/>
      <c r="AD185" s="1021"/>
      <c r="AE185" s="1021"/>
      <c r="AF185" s="1021"/>
      <c r="AG185" s="1021"/>
      <c r="AH185" s="1021"/>
      <c r="AI185" s="1021"/>
      <c r="AJ185" s="1021"/>
      <c r="AK185" s="1021"/>
      <c r="AL185" s="1021"/>
      <c r="AM185" s="1021"/>
      <c r="AN185" s="1021"/>
      <c r="AO185" s="1021"/>
      <c r="AP185" s="1021"/>
      <c r="AQ185" s="1021"/>
      <c r="AR185" s="1021"/>
      <c r="AS185" s="1021"/>
      <c r="AT185" s="1021"/>
      <c r="AU185" s="1021"/>
      <c r="AV185" s="1021"/>
      <c r="AW185" s="1021"/>
      <c r="AX185" s="1021"/>
      <c r="AY185" s="1021"/>
      <c r="AZ185" s="1021"/>
      <c r="BA185" s="1021"/>
      <c r="BB185" s="1021"/>
      <c r="BC185" s="1021"/>
      <c r="BD185" s="1021"/>
      <c r="BE185" s="1021"/>
      <c r="BF185" s="1021"/>
      <c r="BG185" s="1021"/>
      <c r="BH185" s="1021"/>
      <c r="BI185" s="1021"/>
      <c r="BJ185" s="1021"/>
      <c r="BK185" s="1021"/>
      <c r="BL185" s="1021"/>
      <c r="BM185" s="1021"/>
      <c r="BN185" s="1021"/>
      <c r="BO185" s="1021"/>
      <c r="BP185" s="1021"/>
      <c r="BQ185" s="1021"/>
      <c r="BR185" s="1021"/>
      <c r="BS185" s="1021"/>
      <c r="BT185" s="1021"/>
      <c r="BU185" s="1021"/>
      <c r="BV185" s="1021"/>
      <c r="BW185" s="1021"/>
      <c r="BX185" s="1021"/>
      <c r="BY185" s="1021"/>
      <c r="BZ185" s="1021"/>
      <c r="CA185" s="1021"/>
      <c r="CB185" s="1021"/>
      <c r="CC185" s="1021"/>
    </row>
    <row r="186" spans="8:81" x14ac:dyDescent="0.25">
      <c r="H186" s="1021"/>
      <c r="I186" s="1021"/>
      <c r="J186" s="1021"/>
      <c r="K186" s="1021"/>
      <c r="L186" s="1021"/>
      <c r="M186" s="1021"/>
      <c r="N186" s="1021"/>
      <c r="O186" s="1021"/>
      <c r="P186" s="1021"/>
      <c r="Q186" s="1021"/>
      <c r="R186" s="1021"/>
      <c r="S186" s="1021"/>
      <c r="T186" s="1021"/>
      <c r="U186" s="1021"/>
      <c r="V186" s="1021"/>
      <c r="W186" s="1021"/>
      <c r="X186" s="1021"/>
      <c r="Y186" s="1021"/>
      <c r="Z186" s="1021"/>
      <c r="AA186" s="1021"/>
      <c r="AB186" s="1021"/>
      <c r="AC186" s="1021"/>
      <c r="AD186" s="1021"/>
      <c r="AE186" s="1021"/>
      <c r="AF186" s="1021"/>
      <c r="AG186" s="1021"/>
      <c r="AH186" s="1021"/>
      <c r="AI186" s="1021"/>
      <c r="AJ186" s="1021"/>
      <c r="AK186" s="1021"/>
      <c r="AL186" s="1021"/>
      <c r="AM186" s="1021"/>
      <c r="AN186" s="1021"/>
      <c r="AO186" s="1021"/>
      <c r="AP186" s="1021"/>
      <c r="AQ186" s="1021"/>
      <c r="AR186" s="1021"/>
      <c r="AS186" s="1021"/>
      <c r="AT186" s="1021"/>
      <c r="AU186" s="1021"/>
      <c r="AV186" s="1021"/>
      <c r="AW186" s="1021"/>
      <c r="AX186" s="1021"/>
      <c r="AY186" s="1021"/>
      <c r="AZ186" s="1021"/>
      <c r="BA186" s="1021"/>
      <c r="BB186" s="1021"/>
      <c r="BC186" s="1021"/>
      <c r="BD186" s="1021"/>
      <c r="BE186" s="1021"/>
      <c r="BF186" s="1021"/>
      <c r="BG186" s="1021"/>
      <c r="BH186" s="1021"/>
      <c r="BI186" s="1021"/>
      <c r="BJ186" s="1021"/>
      <c r="BK186" s="1021"/>
      <c r="BL186" s="1021"/>
      <c r="BM186" s="1021"/>
      <c r="BN186" s="1021"/>
      <c r="BO186" s="1021"/>
      <c r="BP186" s="1021"/>
      <c r="BQ186" s="1021"/>
      <c r="BR186" s="1021"/>
      <c r="BS186" s="1021"/>
      <c r="BT186" s="1021"/>
      <c r="BU186" s="1021"/>
      <c r="BV186" s="1021"/>
      <c r="BW186" s="1021"/>
      <c r="BX186" s="1021"/>
      <c r="BY186" s="1021"/>
      <c r="BZ186" s="1021"/>
      <c r="CA186" s="1021"/>
      <c r="CB186" s="1021"/>
      <c r="CC186" s="1021"/>
    </row>
    <row r="187" spans="8:81" x14ac:dyDescent="0.25">
      <c r="H187" s="1021"/>
      <c r="I187" s="1021"/>
      <c r="J187" s="1021"/>
      <c r="K187" s="1021"/>
      <c r="L187" s="1021"/>
      <c r="M187" s="1021"/>
      <c r="N187" s="1021"/>
      <c r="O187" s="1021"/>
      <c r="P187" s="1021"/>
      <c r="Q187" s="1021"/>
      <c r="R187" s="1021"/>
      <c r="S187" s="1021"/>
      <c r="T187" s="1021"/>
      <c r="U187" s="1021"/>
      <c r="V187" s="1021"/>
      <c r="W187" s="1021"/>
      <c r="X187" s="1021"/>
      <c r="Y187" s="1021"/>
      <c r="Z187" s="1021"/>
      <c r="AA187" s="1021"/>
      <c r="AB187" s="1021"/>
      <c r="AC187" s="1021"/>
      <c r="AD187" s="1021"/>
      <c r="AE187" s="1021"/>
      <c r="AF187" s="1021"/>
      <c r="AG187" s="1021"/>
      <c r="AH187" s="1021"/>
      <c r="AI187" s="1021"/>
      <c r="AJ187" s="1021"/>
      <c r="AK187" s="1021"/>
      <c r="AL187" s="1021"/>
      <c r="AM187" s="1021"/>
      <c r="AN187" s="1021"/>
      <c r="AO187" s="1021"/>
      <c r="AP187" s="1021"/>
      <c r="AQ187" s="1021"/>
      <c r="AR187" s="1021"/>
      <c r="AS187" s="1021"/>
      <c r="AT187" s="1021"/>
      <c r="AU187" s="1021"/>
      <c r="AV187" s="1021"/>
      <c r="AW187" s="1021"/>
      <c r="AX187" s="1021"/>
      <c r="AY187" s="1021"/>
      <c r="AZ187" s="1021"/>
      <c r="BA187" s="1021"/>
      <c r="BB187" s="1021"/>
      <c r="BC187" s="1021"/>
      <c r="BD187" s="1021"/>
      <c r="BE187" s="1021"/>
      <c r="BF187" s="1021"/>
      <c r="BG187" s="1021"/>
      <c r="BH187" s="1021"/>
      <c r="BI187" s="1021"/>
      <c r="BJ187" s="1021"/>
      <c r="BK187" s="1021"/>
      <c r="BL187" s="1021"/>
      <c r="BM187" s="1021"/>
      <c r="BN187" s="1021"/>
      <c r="BO187" s="1021"/>
      <c r="BP187" s="1021"/>
      <c r="BQ187" s="1021"/>
      <c r="BR187" s="1021"/>
      <c r="BS187" s="1021"/>
      <c r="BT187" s="1021"/>
      <c r="BU187" s="1021"/>
      <c r="BV187" s="1021"/>
      <c r="BW187" s="1021"/>
      <c r="BX187" s="1021"/>
      <c r="BY187" s="1021"/>
      <c r="BZ187" s="1021"/>
      <c r="CA187" s="1021"/>
      <c r="CB187" s="1021"/>
      <c r="CC187" s="1021"/>
    </row>
    <row r="188" spans="8:81" x14ac:dyDescent="0.25">
      <c r="H188" s="1021"/>
      <c r="I188" s="1021"/>
      <c r="J188" s="1021"/>
      <c r="K188" s="1021"/>
      <c r="L188" s="1021"/>
      <c r="M188" s="1021"/>
      <c r="N188" s="1021"/>
      <c r="O188" s="1021"/>
      <c r="P188" s="1021"/>
      <c r="Q188" s="1021"/>
      <c r="R188" s="1021"/>
      <c r="S188" s="1021"/>
      <c r="T188" s="1021"/>
      <c r="U188" s="1021"/>
      <c r="V188" s="1021"/>
      <c r="W188" s="1021"/>
      <c r="X188" s="1021"/>
      <c r="Y188" s="1021"/>
      <c r="Z188" s="1021"/>
      <c r="AA188" s="1021"/>
      <c r="AB188" s="1021"/>
      <c r="AC188" s="1021"/>
      <c r="AD188" s="1021"/>
      <c r="AE188" s="1021"/>
      <c r="AF188" s="1021"/>
      <c r="AG188" s="1021"/>
      <c r="AH188" s="1021"/>
      <c r="AI188" s="1021"/>
      <c r="AJ188" s="1021"/>
      <c r="AK188" s="1021"/>
      <c r="AL188" s="1021"/>
      <c r="AM188" s="1021"/>
      <c r="AN188" s="1021"/>
      <c r="AO188" s="1021"/>
      <c r="AP188" s="1021"/>
      <c r="AQ188" s="1021"/>
      <c r="AR188" s="1021"/>
      <c r="AS188" s="1021"/>
      <c r="AT188" s="1021"/>
      <c r="AU188" s="1021"/>
      <c r="AV188" s="1021"/>
      <c r="AW188" s="1021"/>
      <c r="AX188" s="1021"/>
      <c r="AY188" s="1021"/>
      <c r="AZ188" s="1021"/>
      <c r="BA188" s="1021"/>
      <c r="BB188" s="1021"/>
      <c r="BC188" s="1021"/>
      <c r="BD188" s="1021"/>
      <c r="BE188" s="1021"/>
      <c r="BF188" s="1021"/>
      <c r="BG188" s="1021"/>
      <c r="BH188" s="1021"/>
      <c r="BI188" s="1021"/>
      <c r="BJ188" s="1021"/>
      <c r="BK188" s="1021"/>
      <c r="BL188" s="1021"/>
      <c r="BM188" s="1021"/>
      <c r="BN188" s="1021"/>
      <c r="BO188" s="1021"/>
      <c r="BP188" s="1021"/>
      <c r="BQ188" s="1021"/>
      <c r="BR188" s="1021"/>
      <c r="BS188" s="1021"/>
      <c r="BT188" s="1021"/>
      <c r="BU188" s="1021"/>
      <c r="BV188" s="1021"/>
      <c r="BW188" s="1021"/>
      <c r="BX188" s="1021"/>
      <c r="BY188" s="1021"/>
      <c r="BZ188" s="1021"/>
      <c r="CA188" s="1021"/>
      <c r="CB188" s="1021"/>
      <c r="CC188" s="1021"/>
    </row>
    <row r="189" spans="8:81" x14ac:dyDescent="0.25">
      <c r="H189" s="1021"/>
      <c r="I189" s="1021"/>
      <c r="J189" s="1021"/>
      <c r="K189" s="1021"/>
      <c r="L189" s="1021"/>
      <c r="M189" s="1021"/>
      <c r="N189" s="1021"/>
      <c r="O189" s="1021"/>
      <c r="P189" s="1021"/>
      <c r="Q189" s="1021"/>
      <c r="R189" s="1021"/>
      <c r="S189" s="1021"/>
      <c r="T189" s="1021"/>
      <c r="U189" s="1021"/>
      <c r="V189" s="1021"/>
      <c r="W189" s="1021"/>
      <c r="X189" s="1021"/>
      <c r="Y189" s="1021"/>
      <c r="Z189" s="1021"/>
      <c r="AA189" s="1021"/>
      <c r="AB189" s="1021"/>
      <c r="AC189" s="1021"/>
      <c r="AD189" s="1021"/>
      <c r="AE189" s="1021"/>
      <c r="AF189" s="1021"/>
      <c r="AG189" s="1021"/>
      <c r="AH189" s="1021"/>
      <c r="AI189" s="1021"/>
      <c r="AJ189" s="1021"/>
      <c r="AK189" s="1021"/>
      <c r="AL189" s="1021"/>
      <c r="AM189" s="1021"/>
      <c r="AN189" s="1021"/>
      <c r="AO189" s="1021"/>
      <c r="AP189" s="1021"/>
      <c r="AQ189" s="1021"/>
      <c r="AR189" s="1021"/>
      <c r="AS189" s="1021"/>
      <c r="AT189" s="1021"/>
      <c r="AU189" s="1021"/>
      <c r="AV189" s="1021"/>
      <c r="AW189" s="1021"/>
      <c r="AX189" s="1021"/>
      <c r="AY189" s="1021"/>
      <c r="AZ189" s="1021"/>
      <c r="BA189" s="1021"/>
      <c r="BB189" s="1021"/>
      <c r="BC189" s="1021"/>
      <c r="BD189" s="1021"/>
      <c r="BE189" s="1021"/>
      <c r="BF189" s="1021"/>
      <c r="BG189" s="1021"/>
      <c r="BH189" s="1021"/>
      <c r="BI189" s="1021"/>
      <c r="BJ189" s="1021"/>
      <c r="BK189" s="1021"/>
      <c r="BL189" s="1021"/>
      <c r="BM189" s="1021"/>
      <c r="BN189" s="1021"/>
      <c r="BO189" s="1021"/>
      <c r="BP189" s="1021"/>
      <c r="BQ189" s="1021"/>
      <c r="BR189" s="1021"/>
      <c r="BS189" s="1021"/>
      <c r="BT189" s="1021"/>
      <c r="BU189" s="1021"/>
      <c r="BV189" s="1021"/>
      <c r="BW189" s="1021"/>
      <c r="BX189" s="1021"/>
      <c r="BY189" s="1021"/>
      <c r="BZ189" s="1021"/>
      <c r="CA189" s="1021"/>
      <c r="CB189" s="1021"/>
      <c r="CC189" s="1021"/>
    </row>
    <row r="190" spans="8:81" x14ac:dyDescent="0.25">
      <c r="H190" s="1021"/>
      <c r="I190" s="1021"/>
      <c r="J190" s="1021"/>
      <c r="K190" s="1021"/>
      <c r="L190" s="1021"/>
      <c r="M190" s="1021"/>
      <c r="N190" s="1021"/>
      <c r="O190" s="1021"/>
      <c r="P190" s="1021"/>
      <c r="Q190" s="1021"/>
      <c r="R190" s="1021"/>
      <c r="S190" s="1021"/>
      <c r="T190" s="1021"/>
      <c r="U190" s="1021"/>
      <c r="V190" s="1021"/>
      <c r="W190" s="1021"/>
      <c r="X190" s="1021"/>
      <c r="Y190" s="1021"/>
      <c r="Z190" s="1021"/>
      <c r="AA190" s="1021"/>
      <c r="AB190" s="1021"/>
      <c r="AC190" s="1021"/>
      <c r="AD190" s="1021"/>
      <c r="AE190" s="1021"/>
      <c r="AF190" s="1021"/>
      <c r="AG190" s="1021"/>
      <c r="AH190" s="1021"/>
      <c r="AI190" s="1021"/>
      <c r="AJ190" s="1021"/>
      <c r="AK190" s="1021"/>
      <c r="AL190" s="1021"/>
      <c r="AM190" s="1021"/>
      <c r="AN190" s="1021"/>
      <c r="AO190" s="1021"/>
      <c r="AP190" s="1021"/>
      <c r="AQ190" s="1021"/>
      <c r="AR190" s="1021"/>
      <c r="AS190" s="1021"/>
      <c r="AT190" s="1021"/>
      <c r="AU190" s="1021"/>
      <c r="AV190" s="1021"/>
      <c r="AW190" s="1021"/>
      <c r="AX190" s="1021"/>
      <c r="AY190" s="1021"/>
      <c r="AZ190" s="1021"/>
      <c r="BA190" s="1021"/>
      <c r="BB190" s="1021"/>
      <c r="BC190" s="1021"/>
      <c r="BD190" s="1021"/>
      <c r="BE190" s="1021"/>
      <c r="BF190" s="1021"/>
      <c r="BG190" s="1021"/>
      <c r="BH190" s="1021"/>
      <c r="BI190" s="1021"/>
      <c r="BJ190" s="1021"/>
      <c r="BK190" s="1021"/>
      <c r="BL190" s="1021"/>
      <c r="BM190" s="1021"/>
      <c r="BN190" s="1021"/>
      <c r="BO190" s="1021"/>
      <c r="BP190" s="1021"/>
      <c r="BQ190" s="1021"/>
      <c r="BR190" s="1021"/>
      <c r="BS190" s="1021"/>
      <c r="BT190" s="1021"/>
      <c r="BU190" s="1021"/>
      <c r="BV190" s="1021"/>
      <c r="BW190" s="1021"/>
      <c r="BX190" s="1021"/>
      <c r="BY190" s="1021"/>
      <c r="BZ190" s="1021"/>
      <c r="CA190" s="1021"/>
      <c r="CB190" s="1021"/>
      <c r="CC190" s="1021"/>
    </row>
    <row r="191" spans="8:81" x14ac:dyDescent="0.25">
      <c r="H191" s="1021"/>
      <c r="I191" s="1021"/>
      <c r="J191" s="1021"/>
      <c r="K191" s="1021"/>
      <c r="L191" s="1021"/>
      <c r="M191" s="1021"/>
      <c r="N191" s="1021"/>
      <c r="O191" s="1021"/>
      <c r="P191" s="1021"/>
      <c r="Q191" s="1021"/>
      <c r="R191" s="1021"/>
      <c r="S191" s="1021"/>
      <c r="T191" s="1021"/>
      <c r="U191" s="1021"/>
      <c r="V191" s="1021"/>
      <c r="W191" s="1021"/>
      <c r="X191" s="1021"/>
      <c r="Y191" s="1021"/>
      <c r="Z191" s="1021"/>
      <c r="AA191" s="1021"/>
      <c r="AB191" s="1021"/>
      <c r="AC191" s="1021"/>
      <c r="AD191" s="1021"/>
      <c r="AE191" s="1021"/>
      <c r="AF191" s="1021"/>
      <c r="AG191" s="1021"/>
      <c r="AH191" s="1021"/>
      <c r="AI191" s="1021"/>
      <c r="AJ191" s="1021"/>
      <c r="AK191" s="1021"/>
      <c r="AL191" s="1021"/>
      <c r="AM191" s="1021"/>
      <c r="AN191" s="1021"/>
      <c r="AO191" s="1021"/>
      <c r="AP191" s="1021"/>
      <c r="AQ191" s="1021"/>
      <c r="AR191" s="1021"/>
      <c r="AS191" s="1021"/>
      <c r="AT191" s="1021"/>
      <c r="AU191" s="1021"/>
      <c r="AV191" s="1021"/>
      <c r="AW191" s="1021"/>
      <c r="AX191" s="1021"/>
      <c r="AY191" s="1021"/>
      <c r="AZ191" s="1021"/>
      <c r="BA191" s="1021"/>
      <c r="BB191" s="1021"/>
      <c r="BC191" s="1021"/>
      <c r="BD191" s="1021"/>
      <c r="BE191" s="1021"/>
      <c r="BF191" s="1021"/>
      <c r="BG191" s="1021"/>
      <c r="BH191" s="1021"/>
      <c r="BI191" s="1021"/>
      <c r="BJ191" s="1021"/>
      <c r="BK191" s="1021"/>
      <c r="BL191" s="1021"/>
      <c r="BM191" s="1021"/>
      <c r="BN191" s="1021"/>
      <c r="BO191" s="1021"/>
      <c r="BP191" s="1021"/>
      <c r="BQ191" s="1021"/>
      <c r="BR191" s="1021"/>
      <c r="BS191" s="1021"/>
      <c r="BT191" s="1021"/>
      <c r="BU191" s="1021"/>
      <c r="BV191" s="1021"/>
      <c r="BW191" s="1021"/>
      <c r="BX191" s="1021"/>
      <c r="BY191" s="1021"/>
      <c r="BZ191" s="1021"/>
      <c r="CA191" s="1021"/>
      <c r="CB191" s="1021"/>
      <c r="CC191" s="1021"/>
    </row>
    <row r="192" spans="8:81" x14ac:dyDescent="0.25">
      <c r="H192" s="1021"/>
      <c r="I192" s="1021"/>
      <c r="J192" s="1021"/>
      <c r="K192" s="1021"/>
      <c r="L192" s="1021"/>
      <c r="M192" s="1021"/>
      <c r="N192" s="1021"/>
      <c r="O192" s="1021"/>
      <c r="P192" s="1021"/>
      <c r="Q192" s="1021"/>
      <c r="R192" s="1021"/>
      <c r="S192" s="1021"/>
      <c r="T192" s="1021"/>
      <c r="U192" s="1021"/>
      <c r="V192" s="1021"/>
      <c r="W192" s="1021"/>
      <c r="X192" s="1021"/>
      <c r="Y192" s="1021"/>
      <c r="Z192" s="1021"/>
      <c r="AA192" s="1021"/>
      <c r="AB192" s="1021"/>
      <c r="AC192" s="1021"/>
      <c r="AD192" s="1021"/>
      <c r="AE192" s="1021"/>
      <c r="AF192" s="1021"/>
      <c r="AG192" s="1021"/>
      <c r="AH192" s="1021"/>
      <c r="AI192" s="1021"/>
      <c r="AJ192" s="1021"/>
      <c r="AK192" s="1021"/>
      <c r="AL192" s="1021"/>
      <c r="AM192" s="1021"/>
      <c r="AN192" s="1021"/>
      <c r="AO192" s="1021"/>
      <c r="AP192" s="1021"/>
      <c r="AQ192" s="1021"/>
      <c r="AR192" s="1021"/>
      <c r="AS192" s="1021"/>
      <c r="AT192" s="1021"/>
      <c r="AU192" s="1021"/>
      <c r="AV192" s="1021"/>
      <c r="AW192" s="1021"/>
      <c r="AX192" s="1021"/>
      <c r="AY192" s="1021"/>
      <c r="AZ192" s="1021"/>
      <c r="BA192" s="1021"/>
      <c r="BB192" s="1021"/>
      <c r="BC192" s="1021"/>
      <c r="BD192" s="1021"/>
      <c r="BE192" s="1021"/>
      <c r="BF192" s="1021"/>
      <c r="BG192" s="1021"/>
      <c r="BH192" s="1021"/>
      <c r="BI192" s="1021"/>
      <c r="BJ192" s="1021"/>
      <c r="BK192" s="1021"/>
      <c r="BL192" s="1021"/>
      <c r="BM192" s="1021"/>
      <c r="BN192" s="1021"/>
      <c r="BO192" s="1021"/>
      <c r="BP192" s="1021"/>
      <c r="BQ192" s="1021"/>
      <c r="BR192" s="1021"/>
      <c r="BS192" s="1021"/>
      <c r="BT192" s="1021"/>
      <c r="BU192" s="1021"/>
      <c r="BV192" s="1021"/>
      <c r="BW192" s="1021"/>
      <c r="BX192" s="1021"/>
      <c r="BY192" s="1021"/>
      <c r="BZ192" s="1021"/>
      <c r="CA192" s="1021"/>
      <c r="CB192" s="1021"/>
      <c r="CC192" s="1021"/>
    </row>
    <row r="193" spans="8:81" x14ac:dyDescent="0.25">
      <c r="H193" s="1021"/>
      <c r="I193" s="1021"/>
      <c r="J193" s="1021"/>
      <c r="K193" s="1021"/>
      <c r="L193" s="1021"/>
      <c r="M193" s="1021"/>
      <c r="N193" s="1021"/>
      <c r="O193" s="1021"/>
      <c r="P193" s="1021"/>
      <c r="Q193" s="1021"/>
      <c r="R193" s="1021"/>
      <c r="S193" s="1021"/>
      <c r="T193" s="1021"/>
      <c r="U193" s="1021"/>
      <c r="V193" s="1021"/>
      <c r="W193" s="1021"/>
      <c r="X193" s="1021"/>
      <c r="Y193" s="1021"/>
      <c r="Z193" s="1021"/>
      <c r="AA193" s="1021"/>
      <c r="AB193" s="1021"/>
      <c r="AC193" s="1021"/>
      <c r="AD193" s="1021"/>
      <c r="AE193" s="1021"/>
      <c r="AF193" s="1021"/>
      <c r="AG193" s="1021"/>
      <c r="AH193" s="1021"/>
      <c r="AI193" s="1021"/>
      <c r="AJ193" s="1021"/>
      <c r="AK193" s="1021"/>
      <c r="AL193" s="1021"/>
      <c r="AM193" s="1021"/>
      <c r="AN193" s="1021"/>
      <c r="AO193" s="1021"/>
      <c r="AP193" s="1021"/>
      <c r="AQ193" s="1021"/>
      <c r="AR193" s="1021"/>
      <c r="AS193" s="1021"/>
      <c r="AT193" s="1021"/>
      <c r="AU193" s="1021"/>
      <c r="AV193" s="1021"/>
      <c r="AW193" s="1021"/>
      <c r="AX193" s="1021"/>
      <c r="AY193" s="1021"/>
      <c r="AZ193" s="1021"/>
      <c r="BA193" s="1021"/>
      <c r="BB193" s="1021"/>
      <c r="BC193" s="1021"/>
      <c r="BD193" s="1021"/>
      <c r="BE193" s="1021"/>
      <c r="BF193" s="1021"/>
      <c r="BG193" s="1021"/>
      <c r="BH193" s="1021"/>
      <c r="BI193" s="1021"/>
      <c r="BJ193" s="1021"/>
      <c r="BK193" s="1021"/>
      <c r="BL193" s="1021"/>
      <c r="BM193" s="1021"/>
      <c r="BN193" s="1021"/>
      <c r="BO193" s="1021"/>
      <c r="BP193" s="1021"/>
      <c r="BQ193" s="1021"/>
      <c r="BR193" s="1021"/>
      <c r="BS193" s="1021"/>
      <c r="BT193" s="1021"/>
      <c r="BU193" s="1021"/>
      <c r="BV193" s="1021"/>
      <c r="BW193" s="1021"/>
      <c r="BX193" s="1021"/>
      <c r="BY193" s="1021"/>
      <c r="BZ193" s="1021"/>
      <c r="CA193" s="1021"/>
      <c r="CB193" s="1021"/>
      <c r="CC193" s="1021"/>
    </row>
    <row r="194" spans="8:81" x14ac:dyDescent="0.25">
      <c r="H194" s="1021"/>
      <c r="I194" s="1021"/>
      <c r="J194" s="1021"/>
      <c r="K194" s="1021"/>
      <c r="L194" s="1021"/>
      <c r="M194" s="1021"/>
      <c r="N194" s="1021"/>
      <c r="O194" s="1021"/>
      <c r="P194" s="1021"/>
      <c r="Q194" s="1021"/>
      <c r="R194" s="1021"/>
      <c r="S194" s="1021"/>
      <c r="T194" s="1021"/>
      <c r="U194" s="1021"/>
      <c r="V194" s="1021"/>
      <c r="W194" s="1021"/>
      <c r="X194" s="1021"/>
      <c r="Y194" s="1021"/>
      <c r="Z194" s="1021"/>
      <c r="AA194" s="1021"/>
      <c r="AB194" s="1021"/>
      <c r="AC194" s="1021"/>
      <c r="AD194" s="1021"/>
      <c r="AE194" s="1021"/>
      <c r="AF194" s="1021"/>
      <c r="AG194" s="1021"/>
      <c r="AH194" s="1021"/>
      <c r="AI194" s="1021"/>
      <c r="AJ194" s="1021"/>
      <c r="AK194" s="1021"/>
      <c r="AL194" s="1021"/>
      <c r="AM194" s="1021"/>
      <c r="AN194" s="1021"/>
      <c r="AO194" s="1021"/>
      <c r="AP194" s="1021"/>
      <c r="AQ194" s="1021"/>
      <c r="AR194" s="1021"/>
      <c r="AS194" s="1021"/>
      <c r="AT194" s="1021"/>
      <c r="AU194" s="1021"/>
      <c r="AV194" s="1021"/>
      <c r="AW194" s="1021"/>
      <c r="AX194" s="1021"/>
      <c r="AY194" s="1021"/>
      <c r="AZ194" s="1021"/>
      <c r="BA194" s="1021"/>
      <c r="BB194" s="1021"/>
      <c r="BC194" s="1021"/>
      <c r="BD194" s="1021"/>
      <c r="BE194" s="1021"/>
      <c r="BF194" s="1021"/>
      <c r="BG194" s="1021"/>
      <c r="BH194" s="1021"/>
      <c r="BI194" s="1021"/>
      <c r="BJ194" s="1021"/>
      <c r="BK194" s="1021"/>
      <c r="BL194" s="1021"/>
      <c r="BM194" s="1021"/>
      <c r="BN194" s="1021"/>
      <c r="BO194" s="1021"/>
      <c r="BP194" s="1021"/>
      <c r="BQ194" s="1021"/>
      <c r="BR194" s="1021"/>
      <c r="BS194" s="1021"/>
      <c r="BT194" s="1021"/>
      <c r="BU194" s="1021"/>
      <c r="BV194" s="1021"/>
      <c r="BW194" s="1021"/>
      <c r="BX194" s="1021"/>
      <c r="BY194" s="1021"/>
      <c r="BZ194" s="1021"/>
      <c r="CA194" s="1021"/>
      <c r="CB194" s="1021"/>
      <c r="CC194" s="1021"/>
    </row>
    <row r="195" spans="8:81" x14ac:dyDescent="0.25">
      <c r="H195" s="1021"/>
      <c r="I195" s="1021"/>
      <c r="J195" s="1021"/>
      <c r="K195" s="1021"/>
      <c r="L195" s="1021"/>
      <c r="M195" s="1021"/>
      <c r="N195" s="1021"/>
      <c r="O195" s="1021"/>
      <c r="P195" s="1021"/>
      <c r="Q195" s="1021"/>
      <c r="R195" s="1021"/>
      <c r="S195" s="1021"/>
      <c r="T195" s="1021"/>
      <c r="U195" s="1021"/>
      <c r="V195" s="1021"/>
      <c r="W195" s="1021"/>
      <c r="X195" s="1021"/>
      <c r="Y195" s="1021"/>
      <c r="Z195" s="1021"/>
      <c r="AA195" s="1021"/>
      <c r="AB195" s="1021"/>
      <c r="AC195" s="1021"/>
      <c r="AD195" s="1021"/>
      <c r="AE195" s="1021"/>
      <c r="AF195" s="1021"/>
      <c r="AG195" s="1021"/>
      <c r="AH195" s="1021"/>
      <c r="AI195" s="1021"/>
      <c r="AJ195" s="1021"/>
      <c r="AK195" s="1021"/>
      <c r="AL195" s="1021"/>
      <c r="AM195" s="1021"/>
      <c r="AN195" s="1021"/>
      <c r="AO195" s="1021"/>
      <c r="AP195" s="1021"/>
      <c r="AQ195" s="1021"/>
      <c r="AR195" s="1021"/>
      <c r="AS195" s="1021"/>
      <c r="AT195" s="1021"/>
      <c r="AU195" s="1021"/>
      <c r="AV195" s="1021"/>
      <c r="AW195" s="1021"/>
      <c r="AX195" s="1021"/>
      <c r="AY195" s="1021"/>
      <c r="AZ195" s="1021"/>
      <c r="BA195" s="1021"/>
      <c r="BB195" s="1021"/>
      <c r="BC195" s="1021"/>
      <c r="BD195" s="1021"/>
      <c r="BE195" s="1021"/>
      <c r="BF195" s="1021"/>
      <c r="BG195" s="1021"/>
      <c r="BH195" s="1021"/>
      <c r="BI195" s="1021"/>
      <c r="BJ195" s="1021"/>
      <c r="BK195" s="1021"/>
      <c r="BL195" s="1021"/>
      <c r="BM195" s="1021"/>
      <c r="BN195" s="1021"/>
      <c r="BO195" s="1021"/>
      <c r="BP195" s="1021"/>
      <c r="BQ195" s="1021"/>
      <c r="BR195" s="1021"/>
      <c r="BS195" s="1021"/>
      <c r="BT195" s="1021"/>
      <c r="BU195" s="1021"/>
      <c r="BV195" s="1021"/>
      <c r="BW195" s="1021"/>
      <c r="BX195" s="1021"/>
      <c r="BY195" s="1021"/>
      <c r="BZ195" s="1021"/>
      <c r="CA195" s="1021"/>
      <c r="CB195" s="1021"/>
      <c r="CC195" s="1021"/>
    </row>
    <row r="196" spans="8:81" x14ac:dyDescent="0.25">
      <c r="H196" s="1021"/>
      <c r="I196" s="1021"/>
      <c r="J196" s="1021"/>
      <c r="K196" s="1021"/>
      <c r="L196" s="1021"/>
      <c r="M196" s="1021"/>
      <c r="N196" s="1021"/>
      <c r="O196" s="1021"/>
      <c r="P196" s="1021"/>
      <c r="Q196" s="1021"/>
      <c r="R196" s="1021"/>
      <c r="S196" s="1021"/>
      <c r="T196" s="1021"/>
      <c r="U196" s="1021"/>
      <c r="V196" s="1021"/>
      <c r="W196" s="1021"/>
      <c r="X196" s="1021"/>
      <c r="Y196" s="1021"/>
      <c r="Z196" s="1021"/>
      <c r="AA196" s="1021"/>
      <c r="AB196" s="1021"/>
      <c r="AC196" s="1021"/>
      <c r="AD196" s="1021"/>
      <c r="AE196" s="1021"/>
      <c r="AF196" s="1021"/>
      <c r="AG196" s="1021"/>
      <c r="AH196" s="1021"/>
      <c r="AI196" s="1021"/>
      <c r="AJ196" s="1021"/>
      <c r="AK196" s="1021"/>
      <c r="AL196" s="1021"/>
      <c r="AM196" s="1021"/>
      <c r="AN196" s="1021"/>
      <c r="AO196" s="1021"/>
      <c r="AP196" s="1021"/>
      <c r="AQ196" s="1021"/>
      <c r="AR196" s="1021"/>
      <c r="AS196" s="1021"/>
      <c r="AT196" s="1021"/>
      <c r="AU196" s="1021"/>
      <c r="AV196" s="1021"/>
      <c r="AW196" s="1021"/>
      <c r="AX196" s="1021"/>
      <c r="AY196" s="1021"/>
      <c r="AZ196" s="1021"/>
      <c r="BA196" s="1021"/>
      <c r="BB196" s="1021"/>
      <c r="BC196" s="1021"/>
      <c r="BD196" s="1021"/>
      <c r="BE196" s="1021"/>
      <c r="BF196" s="1021"/>
      <c r="BG196" s="1021"/>
      <c r="BH196" s="1021"/>
      <c r="BI196" s="1021"/>
      <c r="BJ196" s="1021"/>
      <c r="BK196" s="1021"/>
      <c r="BL196" s="1021"/>
      <c r="BM196" s="1021"/>
      <c r="BN196" s="1021"/>
      <c r="BO196" s="1021"/>
      <c r="BP196" s="1021"/>
      <c r="BQ196" s="1021"/>
      <c r="BR196" s="1021"/>
      <c r="BS196" s="1021"/>
      <c r="BT196" s="1021"/>
      <c r="BU196" s="1021"/>
      <c r="BV196" s="1021"/>
      <c r="BW196" s="1021"/>
      <c r="BX196" s="1021"/>
      <c r="BY196" s="1021"/>
      <c r="BZ196" s="1021"/>
      <c r="CA196" s="1021"/>
      <c r="CB196" s="1021"/>
      <c r="CC196" s="1021"/>
    </row>
    <row r="197" spans="8:81" x14ac:dyDescent="0.25">
      <c r="H197" s="1021"/>
      <c r="I197" s="1021"/>
      <c r="J197" s="1021"/>
      <c r="K197" s="1021"/>
      <c r="L197" s="1021"/>
      <c r="M197" s="1021"/>
      <c r="N197" s="1021"/>
      <c r="O197" s="1021"/>
      <c r="P197" s="1021"/>
      <c r="Q197" s="1021"/>
      <c r="R197" s="1021"/>
      <c r="S197" s="1021"/>
      <c r="T197" s="1021"/>
      <c r="U197" s="1021"/>
      <c r="V197" s="1021"/>
      <c r="W197" s="1021"/>
      <c r="X197" s="1021"/>
      <c r="Y197" s="1021"/>
      <c r="Z197" s="1021"/>
      <c r="AA197" s="1021"/>
      <c r="AB197" s="1021"/>
      <c r="AC197" s="1021"/>
      <c r="AD197" s="1021"/>
      <c r="AE197" s="1021"/>
      <c r="AF197" s="1021"/>
      <c r="AG197" s="1021"/>
      <c r="AH197" s="1021"/>
      <c r="AI197" s="1021"/>
      <c r="AJ197" s="1021"/>
      <c r="AK197" s="1021"/>
      <c r="AL197" s="1021"/>
      <c r="AM197" s="1021"/>
      <c r="AN197" s="1021"/>
      <c r="AO197" s="1021"/>
      <c r="AP197" s="1021"/>
      <c r="AQ197" s="1021"/>
      <c r="AR197" s="1021"/>
      <c r="AS197" s="1021"/>
      <c r="AT197" s="1021"/>
      <c r="AU197" s="1021"/>
      <c r="AV197" s="1021"/>
      <c r="AW197" s="1021"/>
      <c r="AX197" s="1021"/>
      <c r="AY197" s="1021"/>
      <c r="AZ197" s="1021"/>
      <c r="BA197" s="1021"/>
      <c r="BB197" s="1021"/>
      <c r="BC197" s="1021"/>
      <c r="BD197" s="1021"/>
      <c r="BE197" s="1021"/>
      <c r="BF197" s="1021"/>
      <c r="BG197" s="1021"/>
      <c r="BH197" s="1021"/>
      <c r="BI197" s="1021"/>
      <c r="BJ197" s="1021"/>
      <c r="BK197" s="1021"/>
      <c r="BL197" s="1021"/>
      <c r="BM197" s="1021"/>
      <c r="BN197" s="1021"/>
      <c r="BO197" s="1021"/>
      <c r="BP197" s="1021"/>
      <c r="BQ197" s="1021"/>
      <c r="BR197" s="1021"/>
      <c r="BS197" s="1021"/>
      <c r="BT197" s="1021"/>
      <c r="BU197" s="1021"/>
      <c r="BV197" s="1021"/>
      <c r="BW197" s="1021"/>
      <c r="BX197" s="1021"/>
      <c r="BY197" s="1021"/>
      <c r="BZ197" s="1021"/>
      <c r="CA197" s="1021"/>
      <c r="CB197" s="1021"/>
      <c r="CC197" s="1021"/>
    </row>
    <row r="198" spans="8:81" x14ac:dyDescent="0.25">
      <c r="H198" s="1021"/>
      <c r="I198" s="1021"/>
      <c r="J198" s="1021"/>
      <c r="K198" s="1021"/>
      <c r="L198" s="1021"/>
      <c r="M198" s="1021"/>
      <c r="N198" s="1021"/>
      <c r="O198" s="1021"/>
      <c r="P198" s="1021"/>
      <c r="Q198" s="1021"/>
      <c r="R198" s="1021"/>
      <c r="S198" s="1021"/>
      <c r="T198" s="1021"/>
      <c r="U198" s="1021"/>
      <c r="V198" s="1021"/>
      <c r="W198" s="1021"/>
      <c r="X198" s="1021"/>
      <c r="Y198" s="1021"/>
      <c r="Z198" s="1021"/>
      <c r="AA198" s="1021"/>
      <c r="AB198" s="1021"/>
      <c r="AC198" s="1021"/>
      <c r="AD198" s="1021"/>
      <c r="AE198" s="1021"/>
      <c r="AF198" s="1021"/>
      <c r="AG198" s="1021"/>
      <c r="AH198" s="1021"/>
      <c r="AI198" s="1021"/>
      <c r="AJ198" s="1021"/>
      <c r="AK198" s="1021"/>
      <c r="AL198" s="1021"/>
      <c r="AM198" s="1021"/>
      <c r="AN198" s="1021"/>
      <c r="AO198" s="1021"/>
      <c r="AP198" s="1021"/>
      <c r="AQ198" s="1021"/>
      <c r="AR198" s="1021"/>
      <c r="AS198" s="1021"/>
      <c r="AT198" s="1021"/>
      <c r="AU198" s="1021"/>
      <c r="AV198" s="1021"/>
      <c r="AW198" s="1021"/>
      <c r="AX198" s="1021"/>
      <c r="AY198" s="1021"/>
      <c r="AZ198" s="1021"/>
      <c r="BA198" s="1021"/>
      <c r="BB198" s="1021"/>
      <c r="BC198" s="1021"/>
      <c r="BD198" s="1021"/>
      <c r="BE198" s="1021"/>
      <c r="BF198" s="1021"/>
      <c r="BG198" s="1021"/>
      <c r="BH198" s="1021"/>
      <c r="BI198" s="1021"/>
      <c r="BJ198" s="1021"/>
      <c r="BK198" s="1021"/>
      <c r="BL198" s="1021"/>
      <c r="BM198" s="1021"/>
      <c r="BN198" s="1021"/>
      <c r="BO198" s="1021"/>
      <c r="BP198" s="1021"/>
      <c r="BQ198" s="1021"/>
      <c r="BR198" s="1021"/>
      <c r="BS198" s="1021"/>
      <c r="BT198" s="1021"/>
      <c r="BU198" s="1021"/>
      <c r="BV198" s="1021"/>
      <c r="BW198" s="1021"/>
      <c r="BX198" s="1021"/>
      <c r="BY198" s="1021"/>
      <c r="BZ198" s="1021"/>
      <c r="CA198" s="1021"/>
      <c r="CB198" s="1021"/>
      <c r="CC198" s="1021"/>
    </row>
    <row r="199" spans="8:81" x14ac:dyDescent="0.25">
      <c r="H199" s="1021"/>
      <c r="I199" s="1021"/>
      <c r="J199" s="1021"/>
      <c r="K199" s="1021"/>
      <c r="L199" s="1021"/>
      <c r="M199" s="1021"/>
      <c r="N199" s="1021"/>
      <c r="O199" s="1021"/>
      <c r="P199" s="1021"/>
      <c r="Q199" s="1021"/>
      <c r="R199" s="1021"/>
      <c r="S199" s="1021"/>
      <c r="T199" s="1021"/>
      <c r="U199" s="1021"/>
      <c r="V199" s="1021"/>
      <c r="W199" s="1021"/>
      <c r="X199" s="1021"/>
      <c r="Y199" s="1021"/>
      <c r="Z199" s="1021"/>
      <c r="AA199" s="1021"/>
      <c r="AB199" s="1021"/>
      <c r="AC199" s="1021"/>
      <c r="AD199" s="1021"/>
      <c r="AE199" s="1021"/>
      <c r="AF199" s="1021"/>
      <c r="AG199" s="1021"/>
      <c r="AH199" s="1021"/>
      <c r="AI199" s="1021"/>
      <c r="AJ199" s="1021"/>
      <c r="AK199" s="1021"/>
      <c r="AL199" s="1021"/>
      <c r="AM199" s="1021"/>
      <c r="AN199" s="1021"/>
      <c r="AO199" s="1021"/>
      <c r="AP199" s="1021"/>
      <c r="AQ199" s="1021"/>
      <c r="AR199" s="1021"/>
      <c r="AS199" s="1021"/>
      <c r="AT199" s="1021"/>
      <c r="AU199" s="1021"/>
      <c r="AV199" s="1021"/>
      <c r="AW199" s="1021"/>
      <c r="AX199" s="1021"/>
      <c r="AY199" s="1021"/>
      <c r="AZ199" s="1021"/>
      <c r="BA199" s="1021"/>
      <c r="BB199" s="1021"/>
      <c r="BC199" s="1021"/>
      <c r="BD199" s="1021"/>
      <c r="BE199" s="1021"/>
      <c r="BF199" s="1021"/>
      <c r="BG199" s="1021"/>
      <c r="BH199" s="1021"/>
      <c r="BI199" s="1021"/>
      <c r="BJ199" s="1021"/>
      <c r="BK199" s="1021"/>
      <c r="BL199" s="1021"/>
      <c r="BM199" s="1021"/>
      <c r="BN199" s="1021"/>
      <c r="BO199" s="1021"/>
      <c r="BP199" s="1021"/>
      <c r="BQ199" s="1021"/>
      <c r="BR199" s="1021"/>
      <c r="BS199" s="1021"/>
      <c r="BT199" s="1021"/>
      <c r="BU199" s="1021"/>
      <c r="BV199" s="1021"/>
      <c r="BW199" s="1021"/>
      <c r="BX199" s="1021"/>
      <c r="BY199" s="1021"/>
      <c r="BZ199" s="1021"/>
      <c r="CA199" s="1021"/>
      <c r="CB199" s="1021"/>
      <c r="CC199" s="1021"/>
    </row>
    <row r="200" spans="8:81" x14ac:dyDescent="0.25">
      <c r="H200" s="1021"/>
      <c r="I200" s="1021"/>
      <c r="J200" s="1021"/>
      <c r="K200" s="1021"/>
      <c r="L200" s="1021"/>
      <c r="M200" s="1021"/>
      <c r="N200" s="1021"/>
      <c r="O200" s="1021"/>
      <c r="P200" s="1021"/>
      <c r="Q200" s="1021"/>
      <c r="R200" s="1021"/>
      <c r="S200" s="1021"/>
      <c r="T200" s="1021"/>
      <c r="U200" s="1021"/>
      <c r="V200" s="1021"/>
      <c r="W200" s="1021"/>
      <c r="X200" s="1021"/>
      <c r="Y200" s="1021"/>
      <c r="Z200" s="1021"/>
      <c r="AA200" s="1021"/>
      <c r="AB200" s="1021"/>
      <c r="AC200" s="1021"/>
      <c r="AD200" s="1021"/>
      <c r="AE200" s="1021"/>
      <c r="AF200" s="1021"/>
      <c r="AG200" s="1021"/>
      <c r="AH200" s="1021"/>
      <c r="AI200" s="1021"/>
      <c r="AJ200" s="1021"/>
      <c r="AK200" s="1021"/>
      <c r="AL200" s="1021"/>
      <c r="AM200" s="1021"/>
      <c r="AN200" s="1021"/>
      <c r="AO200" s="1021"/>
      <c r="AP200" s="1021"/>
      <c r="AQ200" s="1021"/>
      <c r="AR200" s="1021"/>
      <c r="AS200" s="1021"/>
      <c r="AT200" s="1021"/>
      <c r="AU200" s="1021"/>
      <c r="AV200" s="1021"/>
      <c r="AW200" s="1021"/>
      <c r="AX200" s="1021"/>
      <c r="AY200" s="1021"/>
      <c r="AZ200" s="1021"/>
      <c r="BA200" s="1021"/>
      <c r="BB200" s="1021"/>
      <c r="BC200" s="1021"/>
      <c r="BD200" s="1021"/>
      <c r="BE200" s="1021"/>
      <c r="BF200" s="1021"/>
      <c r="BG200" s="1021"/>
      <c r="BH200" s="1021"/>
      <c r="BI200" s="1021"/>
      <c r="BJ200" s="1021"/>
      <c r="BK200" s="1021"/>
      <c r="BL200" s="1021"/>
      <c r="BM200" s="1021"/>
      <c r="BN200" s="1021"/>
      <c r="BO200" s="1021"/>
      <c r="BP200" s="1021"/>
      <c r="BQ200" s="1021"/>
      <c r="BR200" s="1021"/>
      <c r="BS200" s="1021"/>
      <c r="BT200" s="1021"/>
      <c r="BU200" s="1021"/>
      <c r="BV200" s="1021"/>
      <c r="BW200" s="1021"/>
      <c r="BX200" s="1021"/>
      <c r="BY200" s="1021"/>
      <c r="BZ200" s="1021"/>
      <c r="CA200" s="1021"/>
      <c r="CB200" s="1021"/>
      <c r="CC200" s="1021"/>
    </row>
    <row r="201" spans="8:81" x14ac:dyDescent="0.25">
      <c r="H201" s="1021"/>
      <c r="I201" s="1021"/>
      <c r="J201" s="1021"/>
      <c r="K201" s="1021"/>
      <c r="L201" s="1021"/>
      <c r="M201" s="1021"/>
      <c r="N201" s="1021"/>
      <c r="O201" s="1021"/>
      <c r="P201" s="1021"/>
      <c r="Q201" s="1021"/>
      <c r="R201" s="1021"/>
      <c r="S201" s="1021"/>
      <c r="T201" s="1021"/>
      <c r="U201" s="1021"/>
      <c r="V201" s="1021"/>
      <c r="W201" s="1021"/>
      <c r="X201" s="1021"/>
      <c r="Y201" s="1021"/>
      <c r="Z201" s="1021"/>
      <c r="AA201" s="1021"/>
      <c r="AB201" s="1021"/>
      <c r="AC201" s="1021"/>
      <c r="AD201" s="1021"/>
      <c r="AE201" s="1021"/>
      <c r="AF201" s="1021"/>
      <c r="AG201" s="1021"/>
      <c r="AH201" s="1021"/>
      <c r="AI201" s="1021"/>
      <c r="AJ201" s="1021"/>
      <c r="AK201" s="1021"/>
      <c r="AL201" s="1021"/>
      <c r="AM201" s="1021"/>
      <c r="AN201" s="1021"/>
      <c r="AO201" s="1021"/>
      <c r="AP201" s="1021"/>
      <c r="AQ201" s="1021"/>
      <c r="AR201" s="1021"/>
      <c r="AS201" s="1021"/>
      <c r="AT201" s="1021"/>
      <c r="AU201" s="1021"/>
      <c r="AV201" s="1021"/>
      <c r="AW201" s="1021"/>
      <c r="AX201" s="1021"/>
      <c r="AY201" s="1021"/>
      <c r="AZ201" s="1021"/>
      <c r="BA201" s="1021"/>
      <c r="BB201" s="1021"/>
      <c r="BC201" s="1021"/>
      <c r="BD201" s="1021"/>
      <c r="BE201" s="1021"/>
      <c r="BF201" s="1021"/>
      <c r="BG201" s="1021"/>
      <c r="BH201" s="1021"/>
      <c r="BI201" s="1021"/>
      <c r="BJ201" s="1021"/>
      <c r="BK201" s="1021"/>
      <c r="BL201" s="1021"/>
      <c r="BM201" s="1021"/>
      <c r="BN201" s="1021"/>
      <c r="BO201" s="1021"/>
      <c r="BP201" s="1021"/>
      <c r="BQ201" s="1021"/>
      <c r="BR201" s="1021"/>
      <c r="BS201" s="1021"/>
      <c r="BT201" s="1021"/>
      <c r="BU201" s="1021"/>
      <c r="BV201" s="1021"/>
      <c r="BW201" s="1021"/>
      <c r="BX201" s="1021"/>
      <c r="BY201" s="1021"/>
      <c r="BZ201" s="1021"/>
      <c r="CA201" s="1021"/>
      <c r="CB201" s="1021"/>
      <c r="CC201" s="1021"/>
    </row>
    <row r="202" spans="8:81" x14ac:dyDescent="0.25">
      <c r="H202" s="1021"/>
      <c r="I202" s="1021"/>
      <c r="J202" s="1021"/>
      <c r="K202" s="1021"/>
      <c r="L202" s="1021"/>
      <c r="M202" s="1021"/>
      <c r="N202" s="1021"/>
      <c r="O202" s="1021"/>
      <c r="P202" s="1021"/>
      <c r="Q202" s="1021"/>
      <c r="R202" s="1021"/>
      <c r="S202" s="1021"/>
      <c r="T202" s="1021"/>
      <c r="U202" s="1021"/>
      <c r="V202" s="1021"/>
      <c r="W202" s="1021"/>
      <c r="X202" s="1021"/>
      <c r="Y202" s="1021"/>
      <c r="Z202" s="1021"/>
      <c r="AA202" s="1021"/>
      <c r="AB202" s="1021"/>
      <c r="AC202" s="1021"/>
      <c r="AD202" s="1021"/>
      <c r="AE202" s="1021"/>
      <c r="AF202" s="1021"/>
      <c r="AG202" s="1021"/>
      <c r="AH202" s="1021"/>
      <c r="AI202" s="1021"/>
      <c r="AJ202" s="1021"/>
      <c r="AK202" s="1021"/>
      <c r="AL202" s="1021"/>
      <c r="AM202" s="1021"/>
      <c r="AN202" s="1021"/>
      <c r="AO202" s="1021"/>
      <c r="AP202" s="1021"/>
      <c r="AQ202" s="1021"/>
      <c r="AR202" s="1021"/>
      <c r="AS202" s="1021"/>
      <c r="AT202" s="1021"/>
      <c r="AU202" s="1021"/>
      <c r="AV202" s="1021"/>
      <c r="AW202" s="1021"/>
      <c r="AX202" s="1021"/>
      <c r="AY202" s="1021"/>
      <c r="AZ202" s="1021"/>
      <c r="BA202" s="1021"/>
      <c r="BB202" s="1021"/>
      <c r="BC202" s="1021"/>
      <c r="BD202" s="1021"/>
      <c r="BE202" s="1021"/>
      <c r="BF202" s="1021"/>
      <c r="BG202" s="1021"/>
      <c r="BH202" s="1021"/>
      <c r="BI202" s="1021"/>
      <c r="BJ202" s="1021"/>
      <c r="BK202" s="1021"/>
      <c r="BL202" s="1021"/>
      <c r="BM202" s="1021"/>
      <c r="BN202" s="1021"/>
      <c r="BO202" s="1021"/>
      <c r="BP202" s="1021"/>
      <c r="BQ202" s="1021"/>
      <c r="BR202" s="1021"/>
      <c r="BS202" s="1021"/>
      <c r="BT202" s="1021"/>
      <c r="BU202" s="1021"/>
      <c r="BV202" s="1021"/>
      <c r="BW202" s="1021"/>
      <c r="BX202" s="1021"/>
      <c r="BY202" s="1021"/>
      <c r="BZ202" s="1021"/>
      <c r="CA202" s="1021"/>
      <c r="CB202" s="1021"/>
      <c r="CC202" s="1021"/>
    </row>
    <row r="203" spans="8:81" x14ac:dyDescent="0.25">
      <c r="H203" s="1021"/>
      <c r="I203" s="1021"/>
      <c r="J203" s="1021"/>
      <c r="K203" s="1021"/>
      <c r="L203" s="1021"/>
      <c r="M203" s="1021"/>
      <c r="N203" s="1021"/>
      <c r="O203" s="1021"/>
      <c r="P203" s="1021"/>
      <c r="Q203" s="1021"/>
      <c r="R203" s="1021"/>
      <c r="S203" s="1021"/>
      <c r="T203" s="1021"/>
      <c r="U203" s="1021"/>
      <c r="V203" s="1021"/>
      <c r="W203" s="1021"/>
      <c r="X203" s="1021"/>
      <c r="Y203" s="1021"/>
      <c r="Z203" s="1021"/>
      <c r="AA203" s="1021"/>
      <c r="AB203" s="1021"/>
      <c r="AC203" s="1021"/>
      <c r="AD203" s="1021"/>
      <c r="AE203" s="1021"/>
      <c r="AF203" s="1021"/>
      <c r="AG203" s="1021"/>
      <c r="AH203" s="1021"/>
      <c r="AI203" s="1021"/>
      <c r="AJ203" s="1021"/>
      <c r="AK203" s="1021"/>
      <c r="AL203" s="1021"/>
      <c r="AM203" s="1021"/>
      <c r="AN203" s="1021"/>
      <c r="AO203" s="1021"/>
      <c r="AP203" s="1021"/>
      <c r="AQ203" s="1021"/>
      <c r="AR203" s="1021"/>
      <c r="AS203" s="1021"/>
      <c r="AT203" s="1021"/>
      <c r="AU203" s="1021"/>
      <c r="AV203" s="1021"/>
      <c r="AW203" s="1021"/>
      <c r="AX203" s="1021"/>
      <c r="AY203" s="1021"/>
      <c r="AZ203" s="1021"/>
      <c r="BA203" s="1021"/>
      <c r="BB203" s="1021"/>
      <c r="BC203" s="1021"/>
      <c r="BD203" s="1021"/>
      <c r="BE203" s="1021"/>
      <c r="BF203" s="1021"/>
      <c r="BG203" s="1021"/>
      <c r="BH203" s="1021"/>
      <c r="BI203" s="1021"/>
      <c r="BJ203" s="1021"/>
      <c r="BK203" s="1021"/>
      <c r="BL203" s="1021"/>
      <c r="BM203" s="1021"/>
      <c r="BN203" s="1021"/>
      <c r="BO203" s="1021"/>
      <c r="BP203" s="1021"/>
      <c r="BQ203" s="1021"/>
      <c r="BR203" s="1021"/>
      <c r="BS203" s="1021"/>
      <c r="BT203" s="1021"/>
      <c r="BU203" s="1021"/>
      <c r="BV203" s="1021"/>
      <c r="BW203" s="1021"/>
      <c r="BX203" s="1021"/>
      <c r="BY203" s="1021"/>
      <c r="BZ203" s="1021"/>
      <c r="CA203" s="1021"/>
      <c r="CB203" s="1021"/>
      <c r="CC203" s="1021"/>
    </row>
    <row r="204" spans="8:81" x14ac:dyDescent="0.25">
      <c r="H204" s="1021"/>
      <c r="I204" s="1021"/>
      <c r="J204" s="1021"/>
      <c r="K204" s="1021"/>
      <c r="L204" s="1021"/>
      <c r="M204" s="1021"/>
      <c r="N204" s="1021"/>
      <c r="O204" s="1021"/>
      <c r="P204" s="1021"/>
      <c r="Q204" s="1021"/>
      <c r="R204" s="1021"/>
      <c r="S204" s="1021"/>
      <c r="T204" s="1021"/>
      <c r="U204" s="1021"/>
      <c r="V204" s="1021"/>
      <c r="W204" s="1021"/>
      <c r="X204" s="1021"/>
      <c r="Y204" s="1021"/>
      <c r="Z204" s="1021"/>
      <c r="AA204" s="1021"/>
      <c r="AB204" s="1021"/>
      <c r="AC204" s="1021"/>
      <c r="AD204" s="1021"/>
      <c r="AE204" s="1021"/>
      <c r="AF204" s="1021"/>
      <c r="AG204" s="1021"/>
      <c r="AH204" s="1021"/>
      <c r="AI204" s="1021"/>
      <c r="AJ204" s="1021"/>
      <c r="AK204" s="1021"/>
      <c r="AL204" s="1021"/>
      <c r="AM204" s="1021"/>
      <c r="AN204" s="1021"/>
      <c r="AO204" s="1021"/>
      <c r="AP204" s="1021"/>
      <c r="AQ204" s="1021"/>
      <c r="AR204" s="1021"/>
      <c r="AS204" s="1021"/>
      <c r="AT204" s="1021"/>
      <c r="AU204" s="1021"/>
      <c r="AV204" s="1021"/>
      <c r="AW204" s="1021"/>
      <c r="AX204" s="1021"/>
      <c r="AY204" s="1021"/>
      <c r="AZ204" s="1021"/>
      <c r="BA204" s="1021"/>
      <c r="BB204" s="1021"/>
      <c r="BC204" s="1021"/>
      <c r="BD204" s="1021"/>
      <c r="BE204" s="1021"/>
      <c r="BF204" s="1021"/>
      <c r="BG204" s="1021"/>
      <c r="BH204" s="1021"/>
      <c r="BI204" s="1021"/>
      <c r="BJ204" s="1021"/>
      <c r="BK204" s="1021"/>
      <c r="BL204" s="1021"/>
      <c r="BM204" s="1021"/>
      <c r="BN204" s="1021"/>
      <c r="BO204" s="1021"/>
      <c r="BP204" s="1021"/>
      <c r="BQ204" s="1021"/>
      <c r="BR204" s="1021"/>
      <c r="BS204" s="1021"/>
      <c r="BT204" s="1021"/>
      <c r="BU204" s="1021"/>
      <c r="BV204" s="1021"/>
      <c r="BW204" s="1021"/>
      <c r="BX204" s="1021"/>
      <c r="BY204" s="1021"/>
      <c r="BZ204" s="1021"/>
      <c r="CA204" s="1021"/>
      <c r="CB204" s="1021"/>
      <c r="CC204" s="1021"/>
    </row>
    <row r="205" spans="8:81" x14ac:dyDescent="0.25">
      <c r="H205" s="1021"/>
      <c r="I205" s="1021"/>
      <c r="J205" s="1021"/>
      <c r="K205" s="1021"/>
      <c r="L205" s="1021"/>
      <c r="M205" s="1021"/>
      <c r="N205" s="1021"/>
      <c r="O205" s="1021"/>
      <c r="P205" s="1021"/>
      <c r="Q205" s="1021"/>
      <c r="R205" s="1021"/>
      <c r="S205" s="1021"/>
      <c r="T205" s="1021"/>
      <c r="U205" s="1021"/>
      <c r="V205" s="1021"/>
      <c r="W205" s="1021"/>
      <c r="X205" s="1021"/>
      <c r="Y205" s="1021"/>
      <c r="Z205" s="1021"/>
      <c r="AA205" s="1021"/>
      <c r="AB205" s="1021"/>
      <c r="AC205" s="1021"/>
      <c r="AD205" s="1021"/>
      <c r="AE205" s="1021"/>
      <c r="AF205" s="1021"/>
      <c r="AG205" s="1021"/>
      <c r="AH205" s="1021"/>
      <c r="AI205" s="1021"/>
      <c r="AJ205" s="1021"/>
      <c r="AK205" s="1021"/>
      <c r="AL205" s="1021"/>
      <c r="AM205" s="1021"/>
      <c r="AN205" s="1021"/>
      <c r="AO205" s="1021"/>
      <c r="AP205" s="1021"/>
      <c r="AQ205" s="1021"/>
      <c r="AR205" s="1021"/>
      <c r="AS205" s="1021"/>
      <c r="AT205" s="1021"/>
      <c r="AU205" s="1021"/>
      <c r="AV205" s="1021"/>
      <c r="AW205" s="1021"/>
      <c r="AX205" s="1021"/>
      <c r="AY205" s="1021"/>
      <c r="AZ205" s="1021"/>
      <c r="BA205" s="1021"/>
      <c r="BB205" s="1021"/>
      <c r="BC205" s="1021"/>
      <c r="BD205" s="1021"/>
      <c r="BE205" s="1021"/>
      <c r="BF205" s="1021"/>
      <c r="BG205" s="1021"/>
      <c r="BH205" s="1021"/>
      <c r="BI205" s="1021"/>
      <c r="BJ205" s="1021"/>
      <c r="BK205" s="1021"/>
      <c r="BL205" s="1021"/>
      <c r="BM205" s="1021"/>
      <c r="BN205" s="1021"/>
      <c r="BO205" s="1021"/>
      <c r="BP205" s="1021"/>
      <c r="BQ205" s="1021"/>
      <c r="BR205" s="1021"/>
      <c r="BS205" s="1021"/>
      <c r="BT205" s="1021"/>
      <c r="BU205" s="1021"/>
      <c r="BV205" s="1021"/>
      <c r="BW205" s="1021"/>
      <c r="BX205" s="1021"/>
      <c r="BY205" s="1021"/>
      <c r="BZ205" s="1021"/>
      <c r="CA205" s="1021"/>
      <c r="CB205" s="1021"/>
      <c r="CC205" s="1021"/>
    </row>
    <row r="206" spans="8:81" x14ac:dyDescent="0.25">
      <c r="H206" s="1021"/>
      <c r="I206" s="1021"/>
      <c r="J206" s="1021"/>
      <c r="K206" s="1021"/>
      <c r="L206" s="1021"/>
      <c r="M206" s="1021"/>
      <c r="N206" s="1021"/>
      <c r="O206" s="1021"/>
      <c r="P206" s="1021"/>
      <c r="Q206" s="1021"/>
      <c r="R206" s="1021"/>
      <c r="S206" s="1021"/>
      <c r="T206" s="1021"/>
      <c r="U206" s="1021"/>
      <c r="V206" s="1021"/>
      <c r="W206" s="1021"/>
      <c r="X206" s="1021"/>
      <c r="Y206" s="1021"/>
      <c r="Z206" s="1021"/>
      <c r="AA206" s="1021"/>
      <c r="AB206" s="1021"/>
      <c r="AC206" s="1021"/>
      <c r="AD206" s="1021"/>
      <c r="AE206" s="1021"/>
      <c r="AF206" s="1021"/>
      <c r="AG206" s="1021"/>
      <c r="AH206" s="1021"/>
      <c r="AI206" s="1021"/>
      <c r="AJ206" s="1021"/>
      <c r="AK206" s="1021"/>
      <c r="AL206" s="1021"/>
      <c r="AM206" s="1021"/>
      <c r="AN206" s="1021"/>
      <c r="AO206" s="1021"/>
      <c r="AP206" s="1021"/>
      <c r="AQ206" s="1021"/>
      <c r="AR206" s="1021"/>
      <c r="AS206" s="1021"/>
      <c r="AT206" s="1021"/>
      <c r="AU206" s="1021"/>
      <c r="AV206" s="1021"/>
      <c r="AW206" s="1021"/>
      <c r="AX206" s="1021"/>
      <c r="AY206" s="1021"/>
      <c r="AZ206" s="1021"/>
      <c r="BA206" s="1021"/>
      <c r="BB206" s="1021"/>
      <c r="BC206" s="1021"/>
      <c r="BD206" s="1021"/>
      <c r="BE206" s="1021"/>
      <c r="BF206" s="1021"/>
      <c r="BG206" s="1021"/>
      <c r="BH206" s="1021"/>
      <c r="BI206" s="1021"/>
      <c r="BJ206" s="1021"/>
      <c r="BK206" s="1021"/>
      <c r="BL206" s="1021"/>
      <c r="BM206" s="1021"/>
      <c r="BN206" s="1021"/>
      <c r="BO206" s="1021"/>
      <c r="BP206" s="1021"/>
      <c r="BQ206" s="1021"/>
      <c r="BR206" s="1021"/>
      <c r="BS206" s="1021"/>
      <c r="BT206" s="1021"/>
      <c r="BU206" s="1021"/>
      <c r="BV206" s="1021"/>
      <c r="BW206" s="1021"/>
      <c r="BX206" s="1021"/>
      <c r="BY206" s="1021"/>
      <c r="BZ206" s="1021"/>
      <c r="CA206" s="1021"/>
      <c r="CB206" s="1021"/>
      <c r="CC206" s="1021"/>
    </row>
    <row r="207" spans="8:81" x14ac:dyDescent="0.25">
      <c r="H207" s="1021"/>
      <c r="I207" s="1021"/>
      <c r="J207" s="1021"/>
      <c r="K207" s="1021"/>
      <c r="L207" s="1021"/>
      <c r="M207" s="1021"/>
      <c r="N207" s="1021"/>
      <c r="O207" s="1021"/>
      <c r="P207" s="1021"/>
      <c r="Q207" s="1021"/>
      <c r="R207" s="1021"/>
      <c r="S207" s="1021"/>
      <c r="T207" s="1021"/>
      <c r="U207" s="1021"/>
      <c r="V207" s="1021"/>
      <c r="W207" s="1021"/>
      <c r="X207" s="1021"/>
      <c r="Y207" s="1021"/>
      <c r="Z207" s="1021"/>
      <c r="AA207" s="1021"/>
      <c r="AB207" s="1021"/>
      <c r="AC207" s="1021"/>
      <c r="AD207" s="1021"/>
      <c r="AE207" s="1021"/>
      <c r="AF207" s="1021"/>
      <c r="AG207" s="1021"/>
      <c r="AH207" s="1021"/>
      <c r="AI207" s="1021"/>
      <c r="AJ207" s="1021"/>
      <c r="AK207" s="1021"/>
      <c r="AL207" s="1021"/>
      <c r="AM207" s="1021"/>
      <c r="AN207" s="1021"/>
      <c r="AO207" s="1021"/>
      <c r="AP207" s="1021"/>
      <c r="AQ207" s="1021"/>
      <c r="AR207" s="1021"/>
      <c r="AS207" s="1021"/>
      <c r="AT207" s="1021"/>
      <c r="AU207" s="1021"/>
      <c r="AV207" s="1021"/>
      <c r="AW207" s="1021"/>
      <c r="AX207" s="1021"/>
      <c r="AY207" s="1021"/>
      <c r="AZ207" s="1021"/>
      <c r="BA207" s="1021"/>
      <c r="BB207" s="1021"/>
      <c r="BC207" s="1021"/>
      <c r="BD207" s="1021"/>
      <c r="BE207" s="1021"/>
      <c r="BF207" s="1021"/>
      <c r="BG207" s="1021"/>
      <c r="BH207" s="1021"/>
      <c r="BI207" s="1021"/>
      <c r="BJ207" s="1021"/>
      <c r="BK207" s="1021"/>
      <c r="BL207" s="1021"/>
      <c r="BM207" s="1021"/>
      <c r="BN207" s="1021"/>
      <c r="BO207" s="1021"/>
      <c r="BP207" s="1021"/>
      <c r="BQ207" s="1021"/>
      <c r="BR207" s="1021"/>
      <c r="BS207" s="1021"/>
      <c r="BT207" s="1021"/>
      <c r="BU207" s="1021"/>
      <c r="BV207" s="1021"/>
      <c r="BW207" s="1021"/>
      <c r="BX207" s="1021"/>
      <c r="BY207" s="1021"/>
      <c r="BZ207" s="1021"/>
      <c r="CA207" s="1021"/>
      <c r="CB207" s="1021"/>
      <c r="CC207" s="1021"/>
    </row>
    <row r="208" spans="8:81" x14ac:dyDescent="0.25">
      <c r="H208" s="1021"/>
      <c r="I208" s="1021"/>
      <c r="J208" s="1021"/>
      <c r="K208" s="1021"/>
      <c r="L208" s="1021"/>
      <c r="M208" s="1021"/>
      <c r="N208" s="1021"/>
      <c r="O208" s="1021"/>
      <c r="P208" s="1021"/>
      <c r="Q208" s="1021"/>
      <c r="R208" s="1021"/>
      <c r="S208" s="1021"/>
      <c r="T208" s="1021"/>
      <c r="U208" s="1021"/>
      <c r="V208" s="1021"/>
      <c r="W208" s="1021"/>
      <c r="X208" s="1021"/>
      <c r="Y208" s="1021"/>
      <c r="Z208" s="1021"/>
      <c r="AA208" s="1021"/>
      <c r="AB208" s="1021"/>
      <c r="AC208" s="1021"/>
      <c r="AD208" s="1021"/>
      <c r="AE208" s="1021"/>
      <c r="AF208" s="1021"/>
      <c r="AG208" s="1021"/>
      <c r="AH208" s="1021"/>
      <c r="AI208" s="1021"/>
      <c r="AJ208" s="1021"/>
      <c r="AK208" s="1021"/>
      <c r="AL208" s="1021"/>
      <c r="AM208" s="1021"/>
      <c r="AN208" s="1021"/>
      <c r="AO208" s="1021"/>
      <c r="AP208" s="1021"/>
      <c r="AQ208" s="1021"/>
      <c r="AR208" s="1021"/>
      <c r="AS208" s="1021"/>
      <c r="AT208" s="1021"/>
      <c r="AU208" s="1021"/>
      <c r="AV208" s="1021"/>
      <c r="AW208" s="1021"/>
      <c r="AX208" s="1021"/>
      <c r="AY208" s="1021"/>
      <c r="AZ208" s="1021"/>
      <c r="BA208" s="1021"/>
      <c r="BB208" s="1021"/>
      <c r="BC208" s="1021"/>
      <c r="BD208" s="1021"/>
      <c r="BE208" s="1021"/>
      <c r="BF208" s="1021"/>
      <c r="BG208" s="1021"/>
      <c r="BH208" s="1021"/>
      <c r="BI208" s="1021"/>
      <c r="BJ208" s="1021"/>
      <c r="BK208" s="1021"/>
      <c r="BL208" s="1021"/>
      <c r="BM208" s="1021"/>
      <c r="BN208" s="1021"/>
      <c r="BO208" s="1021"/>
      <c r="BP208" s="1021"/>
      <c r="BQ208" s="1021"/>
      <c r="BR208" s="1021"/>
      <c r="BS208" s="1021"/>
      <c r="BT208" s="1021"/>
      <c r="BU208" s="1021"/>
      <c r="BV208" s="1021"/>
      <c r="BW208" s="1021"/>
      <c r="BX208" s="1021"/>
      <c r="BY208" s="1021"/>
      <c r="BZ208" s="1021"/>
      <c r="CA208" s="1021"/>
      <c r="CB208" s="1021"/>
      <c r="CC208" s="1021"/>
    </row>
    <row r="209" spans="8:81" x14ac:dyDescent="0.25">
      <c r="H209" s="1021"/>
      <c r="I209" s="1021"/>
      <c r="J209" s="1021"/>
      <c r="K209" s="1021"/>
      <c r="L209" s="1021"/>
      <c r="M209" s="1021"/>
      <c r="N209" s="1021"/>
      <c r="O209" s="1021"/>
      <c r="P209" s="1021"/>
      <c r="Q209" s="1021"/>
      <c r="R209" s="1021"/>
      <c r="S209" s="1021"/>
      <c r="T209" s="1021"/>
      <c r="U209" s="1021"/>
      <c r="V209" s="1021"/>
      <c r="W209" s="1021"/>
      <c r="X209" s="1021"/>
      <c r="Y209" s="1021"/>
      <c r="Z209" s="1021"/>
      <c r="AA209" s="1021"/>
      <c r="AB209" s="1021"/>
      <c r="AC209" s="1021"/>
      <c r="AD209" s="1021"/>
      <c r="AE209" s="1021"/>
      <c r="AF209" s="1021"/>
      <c r="AG209" s="1021"/>
      <c r="AH209" s="1021"/>
      <c r="AI209" s="1021"/>
      <c r="AJ209" s="1021"/>
      <c r="AK209" s="1021"/>
      <c r="AL209" s="1021"/>
      <c r="AM209" s="1021"/>
      <c r="AN209" s="1021"/>
      <c r="AO209" s="1021"/>
      <c r="AP209" s="1021"/>
      <c r="AQ209" s="1021"/>
      <c r="AR209" s="1021"/>
      <c r="AS209" s="1021"/>
      <c r="AT209" s="1021"/>
      <c r="AU209" s="1021"/>
      <c r="AV209" s="1021"/>
      <c r="AW209" s="1021"/>
      <c r="AX209" s="1021"/>
      <c r="AY209" s="1021"/>
      <c r="AZ209" s="1021"/>
      <c r="BA209" s="1021"/>
      <c r="BB209" s="1021"/>
      <c r="BC209" s="1021"/>
      <c r="BD209" s="1021"/>
      <c r="BE209" s="1021"/>
      <c r="BF209" s="1021"/>
      <c r="BG209" s="1021"/>
      <c r="BH209" s="1021"/>
      <c r="BI209" s="1021"/>
      <c r="BJ209" s="1021"/>
      <c r="BK209" s="1021"/>
      <c r="BL209" s="1021"/>
      <c r="BM209" s="1021"/>
      <c r="BN209" s="1021"/>
      <c r="BO209" s="1021"/>
      <c r="BP209" s="1021"/>
      <c r="BQ209" s="1021"/>
      <c r="BR209" s="1021"/>
      <c r="BS209" s="1021"/>
      <c r="BT209" s="1021"/>
      <c r="BU209" s="1021"/>
      <c r="BV209" s="1021"/>
      <c r="BW209" s="1021"/>
      <c r="BX209" s="1021"/>
      <c r="BY209" s="1021"/>
      <c r="BZ209" s="1021"/>
      <c r="CA209" s="1021"/>
      <c r="CB209" s="1021"/>
      <c r="CC209" s="1021"/>
    </row>
    <row r="210" spans="8:81" x14ac:dyDescent="0.25">
      <c r="H210" s="1021"/>
      <c r="I210" s="1021"/>
      <c r="J210" s="1021"/>
      <c r="K210" s="1021"/>
      <c r="L210" s="1021"/>
      <c r="M210" s="1021"/>
      <c r="N210" s="1021"/>
      <c r="O210" s="1021"/>
      <c r="P210" s="1021"/>
      <c r="Q210" s="1021"/>
      <c r="R210" s="1021"/>
      <c r="S210" s="1021"/>
      <c r="T210" s="1021"/>
      <c r="U210" s="1021"/>
      <c r="V210" s="1021"/>
      <c r="W210" s="1021"/>
      <c r="X210" s="1021"/>
      <c r="Y210" s="1021"/>
      <c r="Z210" s="1021"/>
      <c r="AA210" s="1021"/>
      <c r="AB210" s="1021"/>
      <c r="AC210" s="1021"/>
      <c r="AD210" s="1021"/>
      <c r="AE210" s="1021"/>
      <c r="AF210" s="1021"/>
      <c r="AG210" s="1021"/>
      <c r="AH210" s="1021"/>
      <c r="AI210" s="1021"/>
      <c r="AJ210" s="1021"/>
      <c r="AK210" s="1021"/>
      <c r="AL210" s="1021"/>
      <c r="AM210" s="1021"/>
      <c r="AN210" s="1021"/>
      <c r="AO210" s="1021"/>
      <c r="AP210" s="1021"/>
      <c r="AQ210" s="1021"/>
      <c r="AR210" s="1021"/>
      <c r="AS210" s="1021"/>
      <c r="AT210" s="1021"/>
      <c r="AU210" s="1021"/>
      <c r="AV210" s="1021"/>
      <c r="AW210" s="1021"/>
      <c r="AX210" s="1021"/>
      <c r="AY210" s="1021"/>
      <c r="AZ210" s="1021"/>
      <c r="BA210" s="1021"/>
      <c r="BB210" s="1021"/>
      <c r="BC210" s="1021"/>
      <c r="BD210" s="1021"/>
      <c r="BE210" s="1021"/>
      <c r="BF210" s="1021"/>
      <c r="BG210" s="1021"/>
      <c r="BH210" s="1021"/>
      <c r="BI210" s="1021"/>
      <c r="BJ210" s="1021"/>
      <c r="BK210" s="1021"/>
      <c r="BL210" s="1021"/>
      <c r="BM210" s="1021"/>
      <c r="BN210" s="1021"/>
      <c r="BO210" s="1021"/>
      <c r="BP210" s="1021"/>
      <c r="BQ210" s="1021"/>
      <c r="BR210" s="1021"/>
      <c r="BS210" s="1021"/>
      <c r="BT210" s="1021"/>
      <c r="BU210" s="1021"/>
      <c r="BV210" s="1021"/>
      <c r="BW210" s="1021"/>
      <c r="BX210" s="1021"/>
      <c r="BY210" s="1021"/>
      <c r="BZ210" s="1021"/>
      <c r="CA210" s="1021"/>
      <c r="CB210" s="1021"/>
      <c r="CC210" s="1021"/>
    </row>
    <row r="211" spans="8:81" x14ac:dyDescent="0.25">
      <c r="H211" s="1021"/>
      <c r="I211" s="1021"/>
      <c r="J211" s="1021"/>
      <c r="K211" s="1021"/>
      <c r="L211" s="1021"/>
      <c r="M211" s="1021"/>
      <c r="N211" s="1021"/>
      <c r="O211" s="1021"/>
      <c r="P211" s="1021"/>
      <c r="Q211" s="1021"/>
      <c r="R211" s="1021"/>
      <c r="S211" s="1021"/>
      <c r="T211" s="1021"/>
      <c r="U211" s="1021"/>
      <c r="V211" s="1021"/>
      <c r="W211" s="1021"/>
      <c r="X211" s="1021"/>
      <c r="Y211" s="1021"/>
      <c r="Z211" s="1021"/>
      <c r="AA211" s="1021"/>
      <c r="AB211" s="1021"/>
      <c r="AC211" s="1021"/>
      <c r="AD211" s="1021"/>
      <c r="AE211" s="1021"/>
      <c r="AF211" s="1021"/>
      <c r="AG211" s="1021"/>
      <c r="AH211" s="1021"/>
      <c r="AI211" s="1021"/>
      <c r="AJ211" s="1021"/>
      <c r="AK211" s="1021"/>
      <c r="AL211" s="1021"/>
      <c r="AM211" s="1021"/>
      <c r="AN211" s="1021"/>
      <c r="AO211" s="1021"/>
      <c r="AP211" s="1021"/>
      <c r="AQ211" s="1021"/>
      <c r="AR211" s="1021"/>
      <c r="AS211" s="1021"/>
      <c r="AT211" s="1021"/>
      <c r="AU211" s="1021"/>
      <c r="AV211" s="1021"/>
      <c r="AW211" s="1021"/>
      <c r="AX211" s="1021"/>
      <c r="AY211" s="1021"/>
      <c r="AZ211" s="1021"/>
      <c r="BA211" s="1021"/>
      <c r="BB211" s="1021"/>
      <c r="BC211" s="1021"/>
      <c r="BD211" s="1021"/>
      <c r="BE211" s="1021"/>
      <c r="BF211" s="1021"/>
      <c r="BG211" s="1021"/>
      <c r="BH211" s="1021"/>
      <c r="BI211" s="1021"/>
      <c r="BJ211" s="1021"/>
      <c r="BK211" s="1021"/>
      <c r="BL211" s="1021"/>
      <c r="BM211" s="1021"/>
      <c r="BN211" s="1021"/>
      <c r="BO211" s="1021"/>
      <c r="BP211" s="1021"/>
      <c r="BQ211" s="1021"/>
      <c r="BR211" s="1021"/>
      <c r="BS211" s="1021"/>
      <c r="BT211" s="1021"/>
      <c r="BU211" s="1021"/>
      <c r="BV211" s="1021"/>
      <c r="BW211" s="1021"/>
      <c r="BX211" s="1021"/>
      <c r="BY211" s="1021"/>
      <c r="BZ211" s="1021"/>
      <c r="CA211" s="1021"/>
      <c r="CB211" s="1021"/>
      <c r="CC211" s="1021"/>
    </row>
    <row r="212" spans="8:81" x14ac:dyDescent="0.25">
      <c r="H212" s="1021"/>
      <c r="I212" s="1021"/>
      <c r="J212" s="1021"/>
      <c r="K212" s="1021"/>
      <c r="L212" s="1021"/>
      <c r="M212" s="1021"/>
      <c r="N212" s="1021"/>
      <c r="O212" s="1021"/>
      <c r="P212" s="1021"/>
      <c r="Q212" s="1021"/>
      <c r="R212" s="1021"/>
      <c r="S212" s="1021"/>
      <c r="T212" s="1021"/>
      <c r="U212" s="1021"/>
      <c r="V212" s="1021"/>
      <c r="W212" s="1021"/>
      <c r="X212" s="1021"/>
      <c r="Y212" s="1021"/>
      <c r="Z212" s="1021"/>
      <c r="AA212" s="1021"/>
      <c r="AB212" s="1021"/>
      <c r="AC212" s="1021"/>
      <c r="AD212" s="1021"/>
      <c r="AE212" s="1021"/>
      <c r="AF212" s="1021"/>
      <c r="AG212" s="1021"/>
      <c r="AH212" s="1021"/>
      <c r="AI212" s="1021"/>
      <c r="AJ212" s="1021"/>
      <c r="AK212" s="1021"/>
      <c r="AL212" s="1021"/>
      <c r="AM212" s="1021"/>
      <c r="AN212" s="1021"/>
      <c r="AO212" s="1021"/>
      <c r="AP212" s="1021"/>
      <c r="AQ212" s="1021"/>
      <c r="AR212" s="1021"/>
      <c r="AS212" s="1021"/>
      <c r="AT212" s="1021"/>
      <c r="AU212" s="1021"/>
      <c r="AV212" s="1021"/>
      <c r="AW212" s="1021"/>
      <c r="AX212" s="1021"/>
      <c r="AY212" s="1021"/>
      <c r="AZ212" s="1021"/>
      <c r="BA212" s="1021"/>
      <c r="BB212" s="1021"/>
      <c r="BC212" s="1021"/>
      <c r="BD212" s="1021"/>
      <c r="BE212" s="1021"/>
      <c r="BF212" s="1021"/>
      <c r="BG212" s="1021"/>
      <c r="BH212" s="1021"/>
      <c r="BI212" s="1021"/>
      <c r="BJ212" s="1021"/>
      <c r="BK212" s="1021"/>
      <c r="BL212" s="1021"/>
      <c r="BM212" s="1021"/>
      <c r="BN212" s="1021"/>
      <c r="BO212" s="1021"/>
      <c r="BP212" s="1021"/>
      <c r="BQ212" s="1021"/>
      <c r="BR212" s="1021"/>
      <c r="BS212" s="1021"/>
      <c r="BT212" s="1021"/>
      <c r="BU212" s="1021"/>
      <c r="BV212" s="1021"/>
      <c r="BW212" s="1021"/>
      <c r="BX212" s="1021"/>
      <c r="BY212" s="1021"/>
      <c r="BZ212" s="1021"/>
      <c r="CA212" s="1021"/>
      <c r="CB212" s="1021"/>
      <c r="CC212" s="1021"/>
    </row>
    <row r="213" spans="8:81" x14ac:dyDescent="0.25">
      <c r="H213" s="1021"/>
      <c r="I213" s="1021"/>
      <c r="J213" s="1021"/>
      <c r="K213" s="1021"/>
      <c r="L213" s="1021"/>
      <c r="M213" s="1021"/>
      <c r="N213" s="1021"/>
      <c r="O213" s="1021"/>
      <c r="P213" s="1021"/>
      <c r="Q213" s="1021"/>
      <c r="R213" s="1021"/>
      <c r="S213" s="1021"/>
      <c r="T213" s="1021"/>
      <c r="U213" s="1021"/>
      <c r="V213" s="1021"/>
      <c r="W213" s="1021"/>
      <c r="X213" s="1021"/>
      <c r="Y213" s="1021"/>
      <c r="Z213" s="1021"/>
      <c r="AA213" s="1021"/>
      <c r="AB213" s="1021"/>
      <c r="AC213" s="1021"/>
      <c r="AD213" s="1021"/>
      <c r="AE213" s="1021"/>
      <c r="AF213" s="1021"/>
      <c r="AG213" s="1021"/>
      <c r="AH213" s="1021"/>
      <c r="AI213" s="1021"/>
      <c r="AJ213" s="1021"/>
      <c r="AK213" s="1021"/>
      <c r="AL213" s="1021"/>
      <c r="AM213" s="1021"/>
      <c r="AN213" s="1021"/>
      <c r="AO213" s="1021"/>
      <c r="AP213" s="1021"/>
      <c r="AQ213" s="1021"/>
      <c r="AR213" s="1021"/>
      <c r="AS213" s="1021"/>
      <c r="AT213" s="1021"/>
      <c r="AU213" s="1021"/>
      <c r="AV213" s="1021"/>
      <c r="AW213" s="1021"/>
      <c r="AX213" s="1021"/>
      <c r="AY213" s="1021"/>
      <c r="AZ213" s="1021"/>
      <c r="BA213" s="1021"/>
      <c r="BB213" s="1021"/>
      <c r="BC213" s="1021"/>
      <c r="BD213" s="1021"/>
      <c r="BE213" s="1021"/>
      <c r="BF213" s="1021"/>
      <c r="BG213" s="1021"/>
      <c r="BH213" s="1021"/>
      <c r="BI213" s="1021"/>
      <c r="BJ213" s="1021"/>
      <c r="BK213" s="1021"/>
      <c r="BL213" s="1021"/>
      <c r="BM213" s="1021"/>
      <c r="BN213" s="1021"/>
      <c r="BO213" s="1021"/>
      <c r="BP213" s="1021"/>
      <c r="BQ213" s="1021"/>
      <c r="BR213" s="1021"/>
      <c r="BS213" s="1021"/>
      <c r="BT213" s="1021"/>
      <c r="BU213" s="1021"/>
      <c r="BV213" s="1021"/>
      <c r="BW213" s="1021"/>
      <c r="BX213" s="1021"/>
      <c r="BY213" s="1021"/>
      <c r="BZ213" s="1021"/>
      <c r="CA213" s="1021"/>
      <c r="CB213" s="1021"/>
      <c r="CC213" s="1021"/>
    </row>
    <row r="214" spans="8:81" x14ac:dyDescent="0.25">
      <c r="H214" s="1021"/>
      <c r="I214" s="1021"/>
      <c r="J214" s="1021"/>
      <c r="K214" s="1021"/>
      <c r="L214" s="1021"/>
      <c r="M214" s="1021"/>
      <c r="N214" s="1021"/>
      <c r="O214" s="1021"/>
      <c r="P214" s="1021"/>
      <c r="Q214" s="1021"/>
      <c r="R214" s="1021"/>
      <c r="S214" s="1021"/>
      <c r="T214" s="1021"/>
      <c r="U214" s="1021"/>
      <c r="V214" s="1021"/>
      <c r="W214" s="1021"/>
      <c r="X214" s="1021"/>
      <c r="Y214" s="1021"/>
      <c r="Z214" s="1021"/>
      <c r="AA214" s="1021"/>
      <c r="AB214" s="1021"/>
      <c r="AC214" s="1021"/>
      <c r="AD214" s="1021"/>
      <c r="AE214" s="1021"/>
      <c r="AF214" s="1021"/>
      <c r="AG214" s="1021"/>
      <c r="AH214" s="1021"/>
      <c r="AI214" s="1021"/>
      <c r="AJ214" s="1021"/>
      <c r="AK214" s="1021"/>
      <c r="AL214" s="1021"/>
      <c r="AM214" s="1021"/>
      <c r="AN214" s="1021"/>
      <c r="AO214" s="1021"/>
      <c r="AP214" s="1021"/>
      <c r="AQ214" s="1021"/>
      <c r="AR214" s="1021"/>
      <c r="AS214" s="1021"/>
      <c r="AT214" s="1021"/>
      <c r="AU214" s="1021"/>
      <c r="AV214" s="1021"/>
      <c r="AW214" s="1021"/>
      <c r="AX214" s="1021"/>
      <c r="AY214" s="1021"/>
      <c r="AZ214" s="1021"/>
      <c r="BA214" s="1021"/>
      <c r="BB214" s="1021"/>
      <c r="BC214" s="1021"/>
      <c r="BD214" s="1021"/>
      <c r="BE214" s="1021"/>
      <c r="BF214" s="1021"/>
      <c r="BG214" s="1021"/>
      <c r="BH214" s="1021"/>
      <c r="BI214" s="1021"/>
      <c r="BJ214" s="1021"/>
      <c r="BK214" s="1021"/>
      <c r="BL214" s="1021"/>
      <c r="BM214" s="1021"/>
      <c r="BN214" s="1021"/>
      <c r="BO214" s="1021"/>
      <c r="BP214" s="1021"/>
      <c r="BQ214" s="1021"/>
      <c r="BR214" s="1021"/>
      <c r="BS214" s="1021"/>
      <c r="BT214" s="1021"/>
      <c r="BU214" s="1021"/>
      <c r="BV214" s="1021"/>
      <c r="BW214" s="1021"/>
      <c r="BX214" s="1021"/>
      <c r="BY214" s="1021"/>
      <c r="BZ214" s="1021"/>
      <c r="CA214" s="1021"/>
      <c r="CB214" s="1021"/>
      <c r="CC214" s="1021"/>
    </row>
    <row r="215" spans="8:81" x14ac:dyDescent="0.25">
      <c r="H215" s="1021"/>
      <c r="I215" s="1021"/>
      <c r="J215" s="1021"/>
      <c r="K215" s="1021"/>
      <c r="L215" s="1021"/>
      <c r="M215" s="1021"/>
      <c r="N215" s="1021"/>
      <c r="O215" s="1021"/>
      <c r="P215" s="1021"/>
      <c r="Q215" s="1021"/>
      <c r="R215" s="1021"/>
      <c r="S215" s="1021"/>
      <c r="T215" s="1021"/>
      <c r="U215" s="1021"/>
      <c r="V215" s="1021"/>
      <c r="W215" s="1021"/>
      <c r="X215" s="1021"/>
      <c r="Y215" s="1021"/>
      <c r="Z215" s="1021"/>
      <c r="AA215" s="1021"/>
      <c r="AB215" s="1021"/>
      <c r="AC215" s="1021"/>
      <c r="AD215" s="1021"/>
      <c r="AE215" s="1021"/>
      <c r="AF215" s="1021"/>
      <c r="AG215" s="1021"/>
      <c r="AH215" s="1021"/>
      <c r="AI215" s="1021"/>
      <c r="AJ215" s="1021"/>
      <c r="AK215" s="1021"/>
      <c r="AL215" s="1021"/>
      <c r="AM215" s="1021"/>
      <c r="AN215" s="1021"/>
      <c r="AO215" s="1021"/>
      <c r="AP215" s="1021"/>
      <c r="AQ215" s="1021"/>
      <c r="AR215" s="1021"/>
      <c r="AS215" s="1021"/>
      <c r="AT215" s="1021"/>
      <c r="AU215" s="1021"/>
      <c r="AV215" s="1021"/>
      <c r="AW215" s="1021"/>
      <c r="AX215" s="1021"/>
      <c r="AY215" s="1021"/>
      <c r="AZ215" s="1021"/>
      <c r="BA215" s="1021"/>
      <c r="BB215" s="1021"/>
      <c r="BC215" s="1021"/>
      <c r="BD215" s="1021"/>
      <c r="BE215" s="1021"/>
      <c r="BF215" s="1021"/>
      <c r="BG215" s="1021"/>
      <c r="BH215" s="1021"/>
      <c r="BI215" s="1021"/>
      <c r="BJ215" s="1021"/>
      <c r="BK215" s="1021"/>
      <c r="BL215" s="1021"/>
      <c r="BM215" s="1021"/>
      <c r="BN215" s="1021"/>
      <c r="BO215" s="1021"/>
      <c r="BP215" s="1021"/>
      <c r="BQ215" s="1021"/>
      <c r="BR215" s="1021"/>
      <c r="BS215" s="1021"/>
      <c r="BT215" s="1021"/>
      <c r="BU215" s="1021"/>
      <c r="BV215" s="1021"/>
      <c r="BW215" s="1021"/>
      <c r="BX215" s="1021"/>
      <c r="BY215" s="1021"/>
      <c r="BZ215" s="1021"/>
      <c r="CA215" s="1021"/>
      <c r="CB215" s="1021"/>
      <c r="CC215" s="1021"/>
    </row>
    <row r="216" spans="8:81" x14ac:dyDescent="0.25">
      <c r="H216" s="1021"/>
      <c r="I216" s="1021"/>
      <c r="J216" s="1021"/>
      <c r="K216" s="1021"/>
      <c r="L216" s="1021"/>
      <c r="M216" s="1021"/>
      <c r="N216" s="1021"/>
      <c r="O216" s="1021"/>
      <c r="P216" s="1021"/>
      <c r="Q216" s="1021"/>
      <c r="R216" s="1021"/>
      <c r="S216" s="1021"/>
      <c r="T216" s="1021"/>
      <c r="U216" s="1021"/>
      <c r="V216" s="1021"/>
      <c r="W216" s="1021"/>
      <c r="X216" s="1021"/>
      <c r="Y216" s="1021"/>
      <c r="Z216" s="1021"/>
      <c r="AA216" s="1021"/>
      <c r="AB216" s="1021"/>
      <c r="AC216" s="1021"/>
      <c r="AD216" s="1021"/>
      <c r="AE216" s="1021"/>
      <c r="AF216" s="1021"/>
      <c r="AG216" s="1021"/>
      <c r="AH216" s="1021"/>
      <c r="AI216" s="1021"/>
      <c r="AJ216" s="1021"/>
      <c r="AK216" s="1021"/>
      <c r="AL216" s="1021"/>
      <c r="AM216" s="1021"/>
      <c r="AN216" s="1021"/>
      <c r="AO216" s="1021"/>
      <c r="AP216" s="1021"/>
      <c r="AQ216" s="1021"/>
      <c r="AR216" s="1021"/>
      <c r="AS216" s="1021"/>
      <c r="AT216" s="1021"/>
      <c r="AU216" s="1021"/>
      <c r="AV216" s="1021"/>
      <c r="AW216" s="1021"/>
      <c r="AX216" s="1021"/>
      <c r="AY216" s="1021"/>
      <c r="AZ216" s="1021"/>
      <c r="BA216" s="1021"/>
      <c r="BB216" s="1021"/>
      <c r="BC216" s="1021"/>
      <c r="BD216" s="1021"/>
      <c r="BE216" s="1021"/>
      <c r="BF216" s="1021"/>
      <c r="BG216" s="1021"/>
      <c r="BH216" s="1021"/>
      <c r="BI216" s="1021"/>
      <c r="BJ216" s="1021"/>
      <c r="BK216" s="1021"/>
      <c r="BL216" s="1021"/>
      <c r="BM216" s="1021"/>
      <c r="BN216" s="1021"/>
      <c r="BO216" s="1021"/>
      <c r="BP216" s="1021"/>
      <c r="BQ216" s="1021"/>
      <c r="BR216" s="1021"/>
      <c r="BS216" s="1021"/>
      <c r="BT216" s="1021"/>
      <c r="BU216" s="1021"/>
      <c r="BV216" s="1021"/>
      <c r="BW216" s="1021"/>
      <c r="BX216" s="1021"/>
      <c r="BY216" s="1021"/>
      <c r="BZ216" s="1021"/>
      <c r="CA216" s="1021"/>
      <c r="CB216" s="1021"/>
      <c r="CC216" s="1021"/>
    </row>
    <row r="217" spans="8:81" x14ac:dyDescent="0.25">
      <c r="H217" s="1021"/>
      <c r="I217" s="1021"/>
      <c r="J217" s="1021"/>
      <c r="K217" s="1021"/>
      <c r="L217" s="1021"/>
      <c r="M217" s="1021"/>
      <c r="N217" s="1021"/>
      <c r="O217" s="1021"/>
      <c r="P217" s="1021"/>
      <c r="Q217" s="1021"/>
      <c r="R217" s="1021"/>
      <c r="S217" s="1021"/>
      <c r="T217" s="1021"/>
      <c r="U217" s="1021"/>
      <c r="V217" s="1021"/>
      <c r="W217" s="1021"/>
      <c r="X217" s="1021"/>
      <c r="Y217" s="1021"/>
      <c r="Z217" s="1021"/>
      <c r="AA217" s="1021"/>
      <c r="AB217" s="1021"/>
      <c r="AC217" s="1021"/>
      <c r="AD217" s="1021"/>
      <c r="AE217" s="1021"/>
      <c r="AF217" s="1021"/>
      <c r="AG217" s="1021"/>
      <c r="AH217" s="1021"/>
      <c r="AI217" s="1021"/>
      <c r="AJ217" s="1021"/>
      <c r="AK217" s="1021"/>
      <c r="AL217" s="1021"/>
      <c r="AM217" s="1021"/>
      <c r="AN217" s="1021"/>
      <c r="AO217" s="1021"/>
      <c r="AP217" s="1021"/>
      <c r="AQ217" s="1021"/>
      <c r="AR217" s="1021"/>
      <c r="AS217" s="1021"/>
      <c r="AT217" s="1021"/>
      <c r="AU217" s="1021"/>
      <c r="AV217" s="1021"/>
      <c r="AW217" s="1021"/>
      <c r="AX217" s="1021"/>
      <c r="AY217" s="1021"/>
      <c r="AZ217" s="1021"/>
      <c r="BA217" s="1021"/>
      <c r="BB217" s="1021"/>
      <c r="BC217" s="1021"/>
      <c r="BD217" s="1021"/>
      <c r="BE217" s="1021"/>
      <c r="BF217" s="1021"/>
      <c r="BG217" s="1021"/>
      <c r="BH217" s="1021"/>
      <c r="BI217" s="1021"/>
      <c r="BJ217" s="1021"/>
      <c r="BK217" s="1021"/>
      <c r="BL217" s="1021"/>
      <c r="BM217" s="1021"/>
      <c r="BN217" s="1021"/>
      <c r="BO217" s="1021"/>
      <c r="BP217" s="1021"/>
      <c r="BQ217" s="1021"/>
      <c r="BR217" s="1021"/>
      <c r="BS217" s="1021"/>
      <c r="BT217" s="1021"/>
      <c r="BU217" s="1021"/>
      <c r="BV217" s="1021"/>
      <c r="BW217" s="1021"/>
      <c r="BX217" s="1021"/>
      <c r="BY217" s="1021"/>
      <c r="BZ217" s="1021"/>
      <c r="CA217" s="1021"/>
      <c r="CB217" s="1021"/>
      <c r="CC217" s="1021"/>
    </row>
    <row r="218" spans="8:81" x14ac:dyDescent="0.25">
      <c r="H218" s="1021"/>
      <c r="I218" s="1021"/>
      <c r="J218" s="1021"/>
      <c r="K218" s="1021"/>
      <c r="L218" s="1021"/>
      <c r="M218" s="1021"/>
      <c r="N218" s="1021"/>
      <c r="O218" s="1021"/>
      <c r="P218" s="1021"/>
      <c r="Q218" s="1021"/>
      <c r="R218" s="1021"/>
      <c r="S218" s="1021"/>
      <c r="T218" s="1021"/>
      <c r="U218" s="1021"/>
      <c r="V218" s="1021"/>
      <c r="W218" s="1021"/>
      <c r="X218" s="1021"/>
      <c r="Y218" s="1021"/>
      <c r="Z218" s="1021"/>
      <c r="AA218" s="1021"/>
      <c r="AB218" s="1021"/>
      <c r="AC218" s="1021"/>
      <c r="AD218" s="1021"/>
      <c r="AE218" s="1021"/>
      <c r="AF218" s="1021"/>
      <c r="AG218" s="1021"/>
      <c r="AH218" s="1021"/>
      <c r="AI218" s="1021"/>
      <c r="AJ218" s="1021"/>
      <c r="AK218" s="1021"/>
      <c r="AL218" s="1021"/>
      <c r="AM218" s="1021"/>
      <c r="AN218" s="1021"/>
      <c r="AO218" s="1021"/>
      <c r="AP218" s="1021"/>
      <c r="AQ218" s="1021"/>
      <c r="AR218" s="1021"/>
      <c r="AS218" s="1021"/>
      <c r="AT218" s="1021"/>
      <c r="AU218" s="1021"/>
      <c r="AV218" s="1021"/>
      <c r="AW218" s="1021"/>
      <c r="AX218" s="1021"/>
      <c r="AY218" s="1021"/>
      <c r="AZ218" s="1021"/>
      <c r="BA218" s="1021"/>
      <c r="BB218" s="1021"/>
      <c r="BC218" s="1021"/>
      <c r="BD218" s="1021"/>
      <c r="BE218" s="1021"/>
      <c r="BF218" s="1021"/>
      <c r="BG218" s="1021"/>
      <c r="BH218" s="1021"/>
      <c r="BI218" s="1021"/>
      <c r="BJ218" s="1021"/>
      <c r="BK218" s="1021"/>
      <c r="BL218" s="1021"/>
      <c r="BM218" s="1021"/>
      <c r="BN218" s="1021"/>
      <c r="BO218" s="1021"/>
      <c r="BP218" s="1021"/>
      <c r="BQ218" s="1021"/>
      <c r="BR218" s="1021"/>
      <c r="BS218" s="1021"/>
      <c r="BT218" s="1021"/>
      <c r="BU218" s="1021"/>
      <c r="BV218" s="1021"/>
      <c r="BW218" s="1021"/>
      <c r="BX218" s="1021"/>
      <c r="BY218" s="1021"/>
      <c r="BZ218" s="1021"/>
      <c r="CA218" s="1021"/>
      <c r="CB218" s="1021"/>
      <c r="CC218" s="1021"/>
    </row>
    <row r="219" spans="8:81" x14ac:dyDescent="0.25">
      <c r="H219" s="1021"/>
      <c r="I219" s="1021"/>
      <c r="J219" s="1021"/>
      <c r="K219" s="1021"/>
      <c r="L219" s="1021"/>
      <c r="M219" s="1021"/>
      <c r="N219" s="1021"/>
      <c r="O219" s="1021"/>
      <c r="P219" s="1021"/>
      <c r="Q219" s="1021"/>
      <c r="R219" s="1021"/>
      <c r="S219" s="1021"/>
      <c r="T219" s="1021"/>
      <c r="U219" s="1021"/>
      <c r="V219" s="1021"/>
      <c r="W219" s="1021"/>
      <c r="X219" s="1021"/>
      <c r="Y219" s="1021"/>
      <c r="Z219" s="1021"/>
      <c r="AA219" s="1021"/>
      <c r="AB219" s="1021"/>
      <c r="AC219" s="1021"/>
      <c r="AD219" s="1021"/>
      <c r="AE219" s="1021"/>
      <c r="AF219" s="1021"/>
      <c r="AG219" s="1021"/>
      <c r="AH219" s="1021"/>
      <c r="AI219" s="1021"/>
      <c r="AJ219" s="1021"/>
      <c r="AK219" s="1021"/>
      <c r="AL219" s="1021"/>
      <c r="AM219" s="1021"/>
      <c r="AN219" s="1021"/>
      <c r="AO219" s="1021"/>
      <c r="AP219" s="1021"/>
      <c r="AQ219" s="1021"/>
      <c r="AR219" s="1021"/>
      <c r="AS219" s="1021"/>
      <c r="AT219" s="1021"/>
      <c r="AU219" s="1021"/>
      <c r="AV219" s="1021"/>
      <c r="AW219" s="1021"/>
      <c r="AX219" s="1021"/>
      <c r="AY219" s="1021"/>
      <c r="AZ219" s="1021"/>
      <c r="BA219" s="1021"/>
      <c r="BB219" s="1021"/>
      <c r="BC219" s="1021"/>
      <c r="BD219" s="1021"/>
      <c r="BE219" s="1021"/>
      <c r="BF219" s="1021"/>
      <c r="BG219" s="1021"/>
      <c r="BH219" s="1021"/>
      <c r="BI219" s="1021"/>
      <c r="BJ219" s="1021"/>
      <c r="BK219" s="1021"/>
      <c r="BL219" s="1021"/>
      <c r="BM219" s="1021"/>
      <c r="BN219" s="1021"/>
      <c r="BO219" s="1021"/>
      <c r="BP219" s="1021"/>
      <c r="BQ219" s="1021"/>
      <c r="BR219" s="1021"/>
      <c r="BS219" s="1021"/>
      <c r="BT219" s="1021"/>
      <c r="BU219" s="1021"/>
      <c r="BV219" s="1021"/>
      <c r="BW219" s="1021"/>
      <c r="BX219" s="1021"/>
      <c r="BY219" s="1021"/>
      <c r="BZ219" s="1021"/>
      <c r="CA219" s="1021"/>
      <c r="CB219" s="1021"/>
      <c r="CC219" s="1021"/>
    </row>
    <row r="220" spans="8:81" x14ac:dyDescent="0.25">
      <c r="H220" s="1021"/>
      <c r="I220" s="1021"/>
      <c r="J220" s="1021"/>
      <c r="K220" s="1021"/>
      <c r="L220" s="1021"/>
      <c r="M220" s="1021"/>
      <c r="N220" s="1021"/>
      <c r="O220" s="1021"/>
      <c r="P220" s="1021"/>
      <c r="Q220" s="1021"/>
      <c r="R220" s="1021"/>
      <c r="S220" s="1021"/>
      <c r="T220" s="1021"/>
      <c r="U220" s="1021"/>
      <c r="V220" s="1021"/>
      <c r="W220" s="1021"/>
      <c r="X220" s="1021"/>
      <c r="Y220" s="1021"/>
      <c r="Z220" s="1021"/>
      <c r="AA220" s="1021"/>
      <c r="AB220" s="1021"/>
      <c r="AC220" s="1021"/>
      <c r="AD220" s="1021"/>
      <c r="AE220" s="1021"/>
      <c r="AF220" s="1021"/>
      <c r="AG220" s="1021"/>
      <c r="AH220" s="1021"/>
      <c r="AI220" s="1021"/>
      <c r="AJ220" s="1021"/>
      <c r="AK220" s="1021"/>
      <c r="AL220" s="1021"/>
      <c r="AM220" s="1021"/>
      <c r="AN220" s="1021"/>
      <c r="AO220" s="1021"/>
      <c r="AP220" s="1021"/>
      <c r="AQ220" s="1021"/>
      <c r="AR220" s="1021"/>
      <c r="AS220" s="1021"/>
      <c r="AT220" s="1021"/>
      <c r="AU220" s="1021"/>
      <c r="AV220" s="1021"/>
      <c r="AW220" s="1021"/>
      <c r="AX220" s="1021"/>
      <c r="AY220" s="1021"/>
      <c r="AZ220" s="1021"/>
      <c r="BA220" s="1021"/>
      <c r="BB220" s="1021"/>
      <c r="BC220" s="1021"/>
      <c r="BD220" s="1021"/>
      <c r="BE220" s="1021"/>
      <c r="BF220" s="1021"/>
      <c r="BG220" s="1021"/>
      <c r="BH220" s="1021"/>
      <c r="BI220" s="1021"/>
      <c r="BJ220" s="1021"/>
      <c r="BK220" s="1021"/>
      <c r="BL220" s="1021"/>
      <c r="BM220" s="1021"/>
      <c r="BN220" s="1021"/>
      <c r="BO220" s="1021"/>
      <c r="BP220" s="1021"/>
      <c r="BQ220" s="1021"/>
      <c r="BR220" s="1021"/>
      <c r="BS220" s="1021"/>
      <c r="BT220" s="1021"/>
      <c r="BU220" s="1021"/>
      <c r="BV220" s="1021"/>
      <c r="BW220" s="1021"/>
      <c r="BX220" s="1021"/>
      <c r="BY220" s="1021"/>
      <c r="BZ220" s="1021"/>
      <c r="CA220" s="1021"/>
      <c r="CB220" s="1021"/>
      <c r="CC220" s="1021"/>
    </row>
    <row r="221" spans="8:81" x14ac:dyDescent="0.25">
      <c r="H221" s="1021"/>
      <c r="I221" s="1021"/>
      <c r="J221" s="1021"/>
      <c r="K221" s="1021"/>
      <c r="L221" s="1021"/>
      <c r="M221" s="1021"/>
      <c r="N221" s="1021"/>
      <c r="O221" s="1021"/>
      <c r="P221" s="1021"/>
      <c r="Q221" s="1021"/>
      <c r="R221" s="1021"/>
      <c r="S221" s="1021"/>
      <c r="T221" s="1021"/>
      <c r="U221" s="1021"/>
      <c r="V221" s="1021"/>
      <c r="W221" s="1021"/>
      <c r="X221" s="1021"/>
      <c r="Y221" s="1021"/>
      <c r="Z221" s="1021"/>
      <c r="AA221" s="1021"/>
      <c r="AB221" s="1021"/>
      <c r="AC221" s="1021"/>
      <c r="AD221" s="1021"/>
      <c r="AE221" s="1021"/>
      <c r="AF221" s="1021"/>
      <c r="AG221" s="1021"/>
      <c r="AH221" s="1021"/>
      <c r="AI221" s="1021"/>
      <c r="AJ221" s="1021"/>
      <c r="AK221" s="1021"/>
      <c r="AL221" s="1021"/>
      <c r="AM221" s="1021"/>
      <c r="AN221" s="1021"/>
      <c r="AO221" s="1021"/>
      <c r="AP221" s="1021"/>
      <c r="AQ221" s="1021"/>
      <c r="AR221" s="1021"/>
      <c r="AS221" s="1021"/>
      <c r="AT221" s="1021"/>
      <c r="AU221" s="1021"/>
      <c r="AV221" s="1021"/>
      <c r="AW221" s="1021"/>
      <c r="AX221" s="1021"/>
      <c r="AY221" s="1021"/>
      <c r="AZ221" s="1021"/>
      <c r="BA221" s="1021"/>
      <c r="BB221" s="1021"/>
      <c r="BC221" s="1021"/>
      <c r="BD221" s="1021"/>
      <c r="BE221" s="1021"/>
      <c r="BF221" s="1021"/>
      <c r="BG221" s="1021"/>
      <c r="BH221" s="1021"/>
      <c r="BI221" s="1021"/>
      <c r="BJ221" s="1021"/>
      <c r="BK221" s="1021"/>
      <c r="BL221" s="1021"/>
      <c r="BM221" s="1021"/>
      <c r="BN221" s="1021"/>
      <c r="BO221" s="1021"/>
      <c r="BP221" s="1021"/>
      <c r="BQ221" s="1021"/>
      <c r="BR221" s="1021"/>
      <c r="BS221" s="1021"/>
      <c r="BT221" s="1021"/>
      <c r="BU221" s="1021"/>
      <c r="BV221" s="1021"/>
      <c r="BW221" s="1021"/>
      <c r="BX221" s="1021"/>
      <c r="BY221" s="1021"/>
      <c r="BZ221" s="1021"/>
      <c r="CA221" s="1021"/>
      <c r="CB221" s="1021"/>
      <c r="CC221" s="1021"/>
    </row>
    <row r="222" spans="8:81" x14ac:dyDescent="0.25">
      <c r="H222" s="1021"/>
      <c r="I222" s="1021"/>
      <c r="J222" s="1021"/>
      <c r="K222" s="1021"/>
      <c r="L222" s="1021"/>
      <c r="M222" s="1021"/>
      <c r="N222" s="1021"/>
      <c r="O222" s="1021"/>
      <c r="P222" s="1021"/>
      <c r="Q222" s="1021"/>
      <c r="R222" s="1021"/>
      <c r="S222" s="1021"/>
      <c r="T222" s="1021"/>
      <c r="U222" s="1021"/>
      <c r="V222" s="1021"/>
      <c r="W222" s="1021"/>
      <c r="X222" s="1021"/>
      <c r="Y222" s="1021"/>
      <c r="Z222" s="1021"/>
      <c r="AA222" s="1021"/>
      <c r="AB222" s="1021"/>
      <c r="AC222" s="1021"/>
      <c r="AD222" s="1021"/>
      <c r="AE222" s="1021"/>
      <c r="AF222" s="1021"/>
      <c r="AG222" s="1021"/>
      <c r="AH222" s="1021"/>
      <c r="AI222" s="1021"/>
      <c r="AJ222" s="1021"/>
      <c r="AK222" s="1021"/>
      <c r="AL222" s="1021"/>
      <c r="AM222" s="1021"/>
      <c r="AN222" s="1021"/>
      <c r="AO222" s="1021"/>
      <c r="AP222" s="1021"/>
      <c r="AQ222" s="1021"/>
      <c r="AR222" s="1021"/>
      <c r="AS222" s="1021"/>
      <c r="AT222" s="1021"/>
      <c r="AU222" s="1021"/>
      <c r="AV222" s="1021"/>
      <c r="AW222" s="1021"/>
      <c r="AX222" s="1021"/>
      <c r="AY222" s="1021"/>
      <c r="AZ222" s="1021"/>
      <c r="BA222" s="1021"/>
      <c r="BB222" s="1021"/>
      <c r="BC222" s="1021"/>
      <c r="BD222" s="1021"/>
      <c r="BE222" s="1021"/>
      <c r="BF222" s="1021"/>
      <c r="BG222" s="1021"/>
      <c r="BH222" s="1021"/>
      <c r="BI222" s="1021"/>
      <c r="BJ222" s="1021"/>
      <c r="BK222" s="1021"/>
      <c r="BL222" s="1021"/>
      <c r="BM222" s="1021"/>
      <c r="BN222" s="1021"/>
      <c r="BO222" s="1021"/>
      <c r="BP222" s="1021"/>
      <c r="BQ222" s="1021"/>
      <c r="BR222" s="1021"/>
      <c r="BS222" s="1021"/>
      <c r="BT222" s="1021"/>
      <c r="BU222" s="1021"/>
      <c r="BV222" s="1021"/>
      <c r="BW222" s="1021"/>
      <c r="BX222" s="1021"/>
      <c r="BY222" s="1021"/>
      <c r="BZ222" s="1021"/>
      <c r="CA222" s="1021"/>
      <c r="CB222" s="1021"/>
      <c r="CC222" s="1021"/>
    </row>
    <row r="223" spans="8:81" x14ac:dyDescent="0.25">
      <c r="H223" s="1021"/>
      <c r="I223" s="1021"/>
      <c r="J223" s="1021"/>
      <c r="K223" s="1021"/>
      <c r="L223" s="1021"/>
      <c r="M223" s="1021"/>
      <c r="N223" s="1021"/>
      <c r="O223" s="1021"/>
      <c r="P223" s="1021"/>
      <c r="Q223" s="1021"/>
      <c r="R223" s="1021"/>
      <c r="S223" s="1021"/>
      <c r="T223" s="1021"/>
      <c r="U223" s="1021"/>
      <c r="V223" s="1021"/>
      <c r="W223" s="1021"/>
      <c r="X223" s="1021"/>
      <c r="Y223" s="1021"/>
      <c r="Z223" s="1021"/>
      <c r="AA223" s="1021"/>
      <c r="AB223" s="1021"/>
      <c r="AC223" s="1021"/>
      <c r="AD223" s="1021"/>
      <c r="AE223" s="1021"/>
      <c r="AF223" s="1021"/>
      <c r="AG223" s="1021"/>
      <c r="AH223" s="1021"/>
      <c r="AI223" s="1021"/>
      <c r="AJ223" s="1021"/>
      <c r="AK223" s="1021"/>
      <c r="AL223" s="1021"/>
      <c r="AM223" s="1021"/>
      <c r="AN223" s="1021"/>
      <c r="AO223" s="1021"/>
      <c r="AP223" s="1021"/>
      <c r="AQ223" s="1021"/>
      <c r="AR223" s="1021"/>
      <c r="AS223" s="1021"/>
      <c r="AT223" s="1021"/>
      <c r="AU223" s="1021"/>
      <c r="AV223" s="1021"/>
      <c r="AW223" s="1021"/>
      <c r="AX223" s="1021"/>
      <c r="AY223" s="1021"/>
      <c r="AZ223" s="1021"/>
      <c r="BA223" s="1021"/>
      <c r="BB223" s="1021"/>
      <c r="BC223" s="1021"/>
      <c r="BD223" s="1021"/>
      <c r="BE223" s="1021"/>
      <c r="BF223" s="1021"/>
      <c r="BG223" s="1021"/>
      <c r="BH223" s="1021"/>
      <c r="BI223" s="1021"/>
      <c r="BJ223" s="1021"/>
      <c r="BK223" s="1021"/>
      <c r="BL223" s="1021"/>
      <c r="BM223" s="1021"/>
      <c r="BN223" s="1021"/>
      <c r="BO223" s="1021"/>
      <c r="BP223" s="1021"/>
      <c r="BQ223" s="1021"/>
      <c r="BR223" s="1021"/>
      <c r="BS223" s="1021"/>
      <c r="BT223" s="1021"/>
      <c r="BU223" s="1021"/>
      <c r="BV223" s="1021"/>
      <c r="BW223" s="1021"/>
      <c r="BX223" s="1021"/>
      <c r="BY223" s="1021"/>
      <c r="BZ223" s="1021"/>
      <c r="CA223" s="1021"/>
      <c r="CB223" s="1021"/>
      <c r="CC223" s="1021"/>
    </row>
    <row r="224" spans="8:81" x14ac:dyDescent="0.25">
      <c r="H224" s="1021"/>
      <c r="I224" s="1021"/>
      <c r="J224" s="1021"/>
      <c r="K224" s="1021"/>
      <c r="L224" s="1021"/>
      <c r="M224" s="1021"/>
      <c r="N224" s="1021"/>
      <c r="O224" s="1021"/>
      <c r="P224" s="1021"/>
      <c r="Q224" s="1021"/>
      <c r="R224" s="1021"/>
      <c r="S224" s="1021"/>
      <c r="T224" s="1021"/>
      <c r="U224" s="1021"/>
      <c r="V224" s="1021"/>
      <c r="W224" s="1021"/>
      <c r="X224" s="1021"/>
      <c r="Y224" s="1021"/>
      <c r="Z224" s="1021"/>
      <c r="AA224" s="1021"/>
      <c r="AB224" s="1021"/>
      <c r="AC224" s="1021"/>
      <c r="AD224" s="1021"/>
      <c r="AE224" s="1021"/>
      <c r="AF224" s="1021"/>
      <c r="AG224" s="1021"/>
      <c r="AH224" s="1021"/>
      <c r="AI224" s="1021"/>
      <c r="AJ224" s="1021"/>
      <c r="AK224" s="1021"/>
      <c r="AL224" s="1021"/>
      <c r="AM224" s="1021"/>
      <c r="AN224" s="1021"/>
      <c r="AO224" s="1021"/>
      <c r="AP224" s="1021"/>
      <c r="AQ224" s="1021"/>
      <c r="AR224" s="1021"/>
      <c r="AS224" s="1021"/>
      <c r="AT224" s="1021"/>
      <c r="AU224" s="1021"/>
      <c r="AV224" s="1021"/>
      <c r="AW224" s="1021"/>
      <c r="AX224" s="1021"/>
      <c r="AY224" s="1021"/>
      <c r="AZ224" s="1021"/>
      <c r="BA224" s="1021"/>
      <c r="BB224" s="1021"/>
      <c r="BC224" s="1021"/>
      <c r="BD224" s="1021"/>
      <c r="BE224" s="1021"/>
      <c r="BF224" s="1021"/>
      <c r="BG224" s="1021"/>
      <c r="BH224" s="1021"/>
      <c r="BI224" s="1021"/>
      <c r="BJ224" s="1021"/>
      <c r="BK224" s="1021"/>
      <c r="BL224" s="1021"/>
      <c r="BM224" s="1021"/>
      <c r="BN224" s="1021"/>
      <c r="BO224" s="1021"/>
      <c r="BP224" s="1021"/>
      <c r="BQ224" s="1021"/>
      <c r="BR224" s="1021"/>
      <c r="BS224" s="1021"/>
      <c r="BT224" s="1021"/>
      <c r="BU224" s="1021"/>
      <c r="BV224" s="1021"/>
      <c r="BW224" s="1021"/>
      <c r="BX224" s="1021"/>
      <c r="BY224" s="1021"/>
      <c r="BZ224" s="1021"/>
      <c r="CA224" s="1021"/>
      <c r="CB224" s="1021"/>
      <c r="CC224" s="1021"/>
    </row>
    <row r="225" spans="8:81" x14ac:dyDescent="0.25">
      <c r="H225" s="1021"/>
      <c r="I225" s="1021"/>
      <c r="J225" s="1021"/>
      <c r="K225" s="1021"/>
      <c r="L225" s="1021"/>
      <c r="M225" s="1021"/>
      <c r="N225" s="1021"/>
      <c r="O225" s="1021"/>
      <c r="P225" s="1021"/>
      <c r="Q225" s="1021"/>
      <c r="R225" s="1021"/>
      <c r="S225" s="1021"/>
      <c r="T225" s="1021"/>
      <c r="U225" s="1021"/>
      <c r="V225" s="1021"/>
      <c r="W225" s="1021"/>
      <c r="X225" s="1021"/>
      <c r="Y225" s="1021"/>
      <c r="Z225" s="1021"/>
      <c r="AA225" s="1021"/>
      <c r="AB225" s="1021"/>
      <c r="AC225" s="1021"/>
      <c r="AD225" s="1021"/>
      <c r="AE225" s="1021"/>
      <c r="AF225" s="1021"/>
      <c r="AG225" s="1021"/>
      <c r="AH225" s="1021"/>
      <c r="AI225" s="1021"/>
      <c r="AJ225" s="1021"/>
      <c r="AK225" s="1021"/>
      <c r="AL225" s="1021"/>
      <c r="AM225" s="1021"/>
      <c r="AN225" s="1021"/>
      <c r="AO225" s="1021"/>
      <c r="AP225" s="1021"/>
      <c r="AQ225" s="1021"/>
      <c r="AR225" s="1021"/>
      <c r="AS225" s="1021"/>
      <c r="AT225" s="1021"/>
      <c r="AU225" s="1021"/>
      <c r="AV225" s="1021"/>
      <c r="AW225" s="1021"/>
      <c r="AX225" s="1021"/>
      <c r="AY225" s="1021"/>
      <c r="AZ225" s="1021"/>
      <c r="BA225" s="1021"/>
      <c r="BB225" s="1021"/>
      <c r="BC225" s="1021"/>
      <c r="BD225" s="1021"/>
      <c r="BE225" s="1021"/>
      <c r="BF225" s="1021"/>
      <c r="BG225" s="1021"/>
      <c r="BH225" s="1021"/>
      <c r="BI225" s="1021"/>
      <c r="BJ225" s="1021"/>
      <c r="BK225" s="1021"/>
      <c r="BL225" s="1021"/>
      <c r="BM225" s="1021"/>
      <c r="BN225" s="1021"/>
      <c r="BO225" s="1021"/>
      <c r="BP225" s="1021"/>
      <c r="BQ225" s="1021"/>
      <c r="BR225" s="1021"/>
      <c r="BS225" s="1021"/>
      <c r="BT225" s="1021"/>
      <c r="BU225" s="1021"/>
      <c r="BV225" s="1021"/>
      <c r="BW225" s="1021"/>
      <c r="BX225" s="1021"/>
      <c r="BY225" s="1021"/>
      <c r="BZ225" s="1021"/>
      <c r="CA225" s="1021"/>
      <c r="CB225" s="1021"/>
      <c r="CC225" s="1021"/>
    </row>
    <row r="226" spans="8:81" x14ac:dyDescent="0.25">
      <c r="H226" s="1021"/>
      <c r="I226" s="1021"/>
      <c r="J226" s="1021"/>
      <c r="K226" s="1021"/>
      <c r="L226" s="1021"/>
      <c r="M226" s="1021"/>
      <c r="N226" s="1021"/>
      <c r="O226" s="1021"/>
      <c r="P226" s="1021"/>
      <c r="Q226" s="1021"/>
      <c r="R226" s="1021"/>
      <c r="S226" s="1021"/>
      <c r="T226" s="1021"/>
      <c r="U226" s="1021"/>
      <c r="V226" s="1021"/>
      <c r="W226" s="1021"/>
      <c r="X226" s="1021"/>
      <c r="Y226" s="1021"/>
      <c r="Z226" s="1021"/>
      <c r="AA226" s="1021"/>
      <c r="AB226" s="1021"/>
      <c r="AC226" s="1021"/>
      <c r="AD226" s="1021"/>
      <c r="AE226" s="1021"/>
      <c r="AF226" s="1021"/>
      <c r="AG226" s="1021"/>
      <c r="AH226" s="1021"/>
      <c r="AI226" s="1021"/>
      <c r="AJ226" s="1021"/>
      <c r="AK226" s="1021"/>
      <c r="AL226" s="1021"/>
      <c r="AM226" s="1021"/>
      <c r="AN226" s="1021"/>
      <c r="AO226" s="1021"/>
      <c r="AP226" s="1021"/>
      <c r="AQ226" s="1021"/>
      <c r="AR226" s="1021"/>
      <c r="AS226" s="1021"/>
      <c r="AT226" s="1021"/>
      <c r="AU226" s="1021"/>
      <c r="AV226" s="1021"/>
      <c r="AW226" s="1021"/>
      <c r="AX226" s="1021"/>
      <c r="AY226" s="1021"/>
      <c r="AZ226" s="1021"/>
      <c r="BA226" s="1021"/>
      <c r="BB226" s="1021"/>
      <c r="BC226" s="1021"/>
      <c r="BD226" s="1021"/>
      <c r="BE226" s="1021"/>
      <c r="BF226" s="1021"/>
      <c r="BG226" s="1021"/>
      <c r="BH226" s="1021"/>
      <c r="BI226" s="1021"/>
      <c r="BJ226" s="1021"/>
      <c r="BK226" s="1021"/>
      <c r="BL226" s="1021"/>
      <c r="BM226" s="1021"/>
      <c r="BN226" s="1021"/>
      <c r="BO226" s="1021"/>
      <c r="BP226" s="1021"/>
      <c r="BQ226" s="1021"/>
      <c r="BR226" s="1021"/>
      <c r="BS226" s="1021"/>
      <c r="BT226" s="1021"/>
      <c r="BU226" s="1021"/>
      <c r="BV226" s="1021"/>
      <c r="BW226" s="1021"/>
      <c r="BX226" s="1021"/>
      <c r="BY226" s="1021"/>
      <c r="BZ226" s="1021"/>
      <c r="CA226" s="1021"/>
      <c r="CB226" s="1021"/>
      <c r="CC226" s="1021"/>
    </row>
    <row r="227" spans="8:81" x14ac:dyDescent="0.25">
      <c r="H227" s="1021"/>
      <c r="I227" s="1021"/>
      <c r="J227" s="1021"/>
      <c r="K227" s="1021"/>
      <c r="L227" s="1021"/>
      <c r="M227" s="1021"/>
      <c r="N227" s="1021"/>
      <c r="O227" s="1021"/>
      <c r="P227" s="1021"/>
      <c r="Q227" s="1021"/>
      <c r="R227" s="1021"/>
      <c r="S227" s="1021"/>
      <c r="T227" s="1021"/>
      <c r="U227" s="1021"/>
      <c r="V227" s="1021"/>
      <c r="W227" s="1021"/>
      <c r="X227" s="1021"/>
      <c r="Y227" s="1021"/>
      <c r="Z227" s="1021"/>
      <c r="AA227" s="1021"/>
      <c r="AB227" s="1021"/>
      <c r="AC227" s="1021"/>
      <c r="AD227" s="1021"/>
      <c r="AE227" s="1021"/>
      <c r="AF227" s="1021"/>
      <c r="AG227" s="1021"/>
      <c r="AH227" s="1021"/>
      <c r="AI227" s="1021"/>
      <c r="AJ227" s="1021"/>
      <c r="AK227" s="1021"/>
      <c r="AL227" s="1021"/>
      <c r="AM227" s="1021"/>
      <c r="AN227" s="1021"/>
      <c r="AO227" s="1021"/>
      <c r="AP227" s="1021"/>
      <c r="AQ227" s="1021"/>
      <c r="AR227" s="1021"/>
      <c r="AS227" s="1021"/>
      <c r="AT227" s="1021"/>
      <c r="AU227" s="1021"/>
      <c r="AV227" s="1021"/>
      <c r="AW227" s="1021"/>
      <c r="AX227" s="1021"/>
      <c r="AY227" s="1021"/>
      <c r="AZ227" s="1021"/>
      <c r="BA227" s="1021"/>
      <c r="BB227" s="1021"/>
      <c r="BC227" s="1021"/>
      <c r="BD227" s="1021"/>
      <c r="BE227" s="1021"/>
      <c r="BF227" s="1021"/>
      <c r="BG227" s="1021"/>
      <c r="BH227" s="1021"/>
      <c r="BI227" s="1021"/>
      <c r="BJ227" s="1021"/>
      <c r="BK227" s="1021"/>
      <c r="BL227" s="1021"/>
      <c r="BM227" s="1021"/>
      <c r="BN227" s="1021"/>
      <c r="BO227" s="1021"/>
      <c r="BP227" s="1021"/>
      <c r="BQ227" s="1021"/>
      <c r="BR227" s="1021"/>
      <c r="BS227" s="1021"/>
      <c r="BT227" s="1021"/>
      <c r="BU227" s="1021"/>
      <c r="BV227" s="1021"/>
      <c r="BW227" s="1021"/>
      <c r="BX227" s="1021"/>
      <c r="BY227" s="1021"/>
      <c r="BZ227" s="1021"/>
      <c r="CA227" s="1021"/>
      <c r="CB227" s="1021"/>
      <c r="CC227" s="1021"/>
    </row>
    <row r="228" spans="8:81" x14ac:dyDescent="0.25">
      <c r="H228" s="1021"/>
      <c r="I228" s="1021"/>
      <c r="J228" s="1021"/>
      <c r="K228" s="1021"/>
      <c r="L228" s="1021"/>
      <c r="M228" s="1021"/>
      <c r="N228" s="1021"/>
      <c r="O228" s="1021"/>
      <c r="P228" s="1021"/>
      <c r="Q228" s="1021"/>
      <c r="R228" s="1021"/>
      <c r="S228" s="1021"/>
      <c r="T228" s="1021"/>
      <c r="U228" s="1021"/>
      <c r="V228" s="1021"/>
      <c r="W228" s="1021"/>
      <c r="X228" s="1021"/>
      <c r="Y228" s="1021"/>
      <c r="Z228" s="1021"/>
      <c r="AA228" s="1021"/>
      <c r="AB228" s="1021"/>
      <c r="AC228" s="1021"/>
      <c r="AD228" s="1021"/>
      <c r="AE228" s="1021"/>
      <c r="AF228" s="1021"/>
      <c r="AG228" s="1021"/>
      <c r="AH228" s="1021"/>
      <c r="AI228" s="1021"/>
      <c r="AJ228" s="1021"/>
      <c r="AK228" s="1021"/>
      <c r="AL228" s="1021"/>
      <c r="AM228" s="1021"/>
      <c r="AN228" s="1021"/>
      <c r="AO228" s="1021"/>
      <c r="AP228" s="1021"/>
      <c r="AQ228" s="1021"/>
      <c r="AR228" s="1021"/>
      <c r="AS228" s="1021"/>
      <c r="AT228" s="1021"/>
      <c r="AU228" s="1021"/>
      <c r="AV228" s="1021"/>
      <c r="AW228" s="1021"/>
      <c r="AX228" s="1021"/>
      <c r="AY228" s="1021"/>
      <c r="AZ228" s="1021"/>
      <c r="BA228" s="1021"/>
      <c r="BB228" s="1021"/>
      <c r="BC228" s="1021"/>
      <c r="BD228" s="1021"/>
      <c r="BE228" s="1021"/>
      <c r="BF228" s="1021"/>
      <c r="BG228" s="1021"/>
      <c r="BH228" s="1021"/>
      <c r="BI228" s="1021"/>
      <c r="BJ228" s="1021"/>
      <c r="BK228" s="1021"/>
      <c r="BL228" s="1021"/>
      <c r="BM228" s="1021"/>
      <c r="BN228" s="1021"/>
      <c r="BO228" s="1021"/>
      <c r="BP228" s="1021"/>
      <c r="BQ228" s="1021"/>
      <c r="BR228" s="1021"/>
      <c r="BS228" s="1021"/>
      <c r="BT228" s="1021"/>
      <c r="BU228" s="1021"/>
      <c r="BV228" s="1021"/>
      <c r="BW228" s="1021"/>
      <c r="BX228" s="1021"/>
      <c r="BY228" s="1021"/>
      <c r="BZ228" s="1021"/>
      <c r="CA228" s="1021"/>
      <c r="CB228" s="1021"/>
      <c r="CC228" s="1021"/>
    </row>
    <row r="229" spans="8:81" x14ac:dyDescent="0.25">
      <c r="H229" s="1021"/>
      <c r="I229" s="1021"/>
      <c r="J229" s="1021"/>
      <c r="K229" s="1021"/>
      <c r="L229" s="1021"/>
      <c r="M229" s="1021"/>
      <c r="N229" s="1021"/>
      <c r="O229" s="1021"/>
      <c r="P229" s="1021"/>
      <c r="Q229" s="1021"/>
      <c r="R229" s="1021"/>
      <c r="S229" s="1021"/>
      <c r="T229" s="1021"/>
      <c r="U229" s="1021"/>
      <c r="V229" s="1021"/>
      <c r="W229" s="1021"/>
      <c r="X229" s="1021"/>
      <c r="Y229" s="1021"/>
      <c r="Z229" s="1021"/>
      <c r="AA229" s="1021"/>
      <c r="AB229" s="1021"/>
      <c r="AC229" s="1021"/>
      <c r="AD229" s="1021"/>
      <c r="AE229" s="1021"/>
      <c r="AF229" s="1021"/>
      <c r="AG229" s="1021"/>
      <c r="AH229" s="1021"/>
      <c r="AI229" s="1021"/>
      <c r="AJ229" s="1021"/>
      <c r="AK229" s="1021"/>
      <c r="AL229" s="1021"/>
      <c r="AM229" s="1021"/>
      <c r="AN229" s="1021"/>
      <c r="AO229" s="1021"/>
      <c r="AP229" s="1021"/>
      <c r="AQ229" s="1021"/>
      <c r="AR229" s="1021"/>
      <c r="AS229" s="1021"/>
      <c r="AT229" s="1021"/>
      <c r="AU229" s="1021"/>
      <c r="AV229" s="1021"/>
      <c r="AW229" s="1021"/>
      <c r="AX229" s="1021"/>
      <c r="AY229" s="1021"/>
      <c r="AZ229" s="1021"/>
      <c r="BA229" s="1021"/>
      <c r="BB229" s="1021"/>
      <c r="BC229" s="1021"/>
      <c r="BD229" s="1021"/>
      <c r="BE229" s="1021"/>
      <c r="BF229" s="1021"/>
      <c r="BG229" s="1021"/>
      <c r="BH229" s="1021"/>
      <c r="BI229" s="1021"/>
      <c r="BJ229" s="1021"/>
      <c r="BK229" s="1021"/>
      <c r="BL229" s="1021"/>
      <c r="BM229" s="1021"/>
      <c r="BN229" s="1021"/>
      <c r="BO229" s="1021"/>
      <c r="BP229" s="1021"/>
      <c r="BQ229" s="1021"/>
      <c r="BR229" s="1021"/>
      <c r="BS229" s="1021"/>
      <c r="BT229" s="1021"/>
      <c r="BU229" s="1021"/>
      <c r="BV229" s="1021"/>
      <c r="BW229" s="1021"/>
      <c r="BX229" s="1021"/>
      <c r="BY229" s="1021"/>
      <c r="BZ229" s="1021"/>
      <c r="CA229" s="1021"/>
      <c r="CB229" s="1021"/>
      <c r="CC229" s="1021"/>
    </row>
    <row r="230" spans="8:81" x14ac:dyDescent="0.25">
      <c r="H230" s="1021"/>
      <c r="I230" s="1021"/>
      <c r="J230" s="1021"/>
      <c r="K230" s="1021"/>
      <c r="L230" s="1021"/>
      <c r="M230" s="1021"/>
      <c r="N230" s="1021"/>
      <c r="O230" s="1021"/>
      <c r="P230" s="1021"/>
      <c r="Q230" s="1021"/>
      <c r="R230" s="1021"/>
      <c r="S230" s="1021"/>
      <c r="T230" s="1021"/>
      <c r="U230" s="1021"/>
      <c r="V230" s="1021"/>
      <c r="W230" s="1021"/>
      <c r="X230" s="1021"/>
      <c r="Y230" s="1021"/>
      <c r="Z230" s="1021"/>
      <c r="AA230" s="1021"/>
      <c r="AB230" s="1021"/>
      <c r="AC230" s="1021"/>
      <c r="AD230" s="1021"/>
      <c r="AE230" s="1021"/>
      <c r="AF230" s="1021"/>
      <c r="AG230" s="1021"/>
      <c r="AH230" s="1021"/>
      <c r="AI230" s="1021"/>
      <c r="AJ230" s="1021"/>
      <c r="AK230" s="1021"/>
      <c r="AL230" s="1021"/>
      <c r="AM230" s="1021"/>
      <c r="AN230" s="1021"/>
      <c r="AO230" s="1021"/>
      <c r="AP230" s="1021"/>
      <c r="AQ230" s="1021"/>
      <c r="AR230" s="1021"/>
      <c r="AS230" s="1021"/>
      <c r="AT230" s="1021"/>
      <c r="AU230" s="1021"/>
      <c r="AV230" s="1021"/>
      <c r="AW230" s="1021"/>
      <c r="AX230" s="1021"/>
      <c r="AY230" s="1021"/>
      <c r="AZ230" s="1021"/>
      <c r="BA230" s="1021"/>
      <c r="BB230" s="1021"/>
      <c r="BC230" s="1021"/>
      <c r="BD230" s="1021"/>
      <c r="BE230" s="1021"/>
      <c r="BF230" s="1021"/>
      <c r="BG230" s="1021"/>
      <c r="BH230" s="1021"/>
      <c r="BI230" s="1021"/>
      <c r="BJ230" s="1021"/>
      <c r="BK230" s="1021"/>
      <c r="BL230" s="1021"/>
      <c r="BM230" s="1021"/>
      <c r="BN230" s="1021"/>
      <c r="BO230" s="1021"/>
      <c r="BP230" s="1021"/>
      <c r="BQ230" s="1021"/>
      <c r="BR230" s="1021"/>
      <c r="BS230" s="1021"/>
      <c r="BT230" s="1021"/>
      <c r="BU230" s="1021"/>
      <c r="BV230" s="1021"/>
      <c r="BW230" s="1021"/>
      <c r="BX230" s="1021"/>
      <c r="BY230" s="1021"/>
      <c r="BZ230" s="1021"/>
      <c r="CA230" s="1021"/>
      <c r="CB230" s="1021"/>
      <c r="CC230" s="1021"/>
    </row>
    <row r="231" spans="8:81" x14ac:dyDescent="0.25">
      <c r="H231" s="1021"/>
      <c r="I231" s="1021"/>
      <c r="J231" s="1021"/>
      <c r="K231" s="1021"/>
      <c r="L231" s="1021"/>
      <c r="M231" s="1021"/>
      <c r="N231" s="1021"/>
      <c r="O231" s="1021"/>
      <c r="P231" s="1021"/>
      <c r="Q231" s="1021"/>
      <c r="R231" s="1021"/>
      <c r="S231" s="1021"/>
      <c r="T231" s="1021"/>
      <c r="U231" s="1021"/>
      <c r="V231" s="1021"/>
      <c r="W231" s="1021"/>
      <c r="X231" s="1021"/>
      <c r="Y231" s="1021"/>
      <c r="Z231" s="1021"/>
      <c r="AA231" s="1021"/>
      <c r="AB231" s="1021"/>
      <c r="AC231" s="1021"/>
      <c r="AD231" s="1021"/>
      <c r="AE231" s="1021"/>
      <c r="AF231" s="1021"/>
      <c r="AG231" s="1021"/>
      <c r="AH231" s="1021"/>
      <c r="AI231" s="1021"/>
      <c r="AJ231" s="1021"/>
      <c r="AK231" s="1021"/>
      <c r="AL231" s="1021"/>
      <c r="AM231" s="1021"/>
      <c r="AN231" s="1021"/>
      <c r="AO231" s="1021"/>
      <c r="AP231" s="1021"/>
      <c r="AQ231" s="1021"/>
      <c r="AR231" s="1021"/>
      <c r="AS231" s="1021"/>
      <c r="AT231" s="1021"/>
      <c r="AU231" s="1021"/>
      <c r="AV231" s="1021"/>
      <c r="AW231" s="1021"/>
      <c r="AX231" s="1021"/>
      <c r="AY231" s="1021"/>
      <c r="AZ231" s="1021"/>
      <c r="BA231" s="1021"/>
      <c r="BB231" s="1021"/>
      <c r="BC231" s="1021"/>
      <c r="BD231" s="1021"/>
      <c r="BE231" s="1021"/>
      <c r="BF231" s="1021"/>
      <c r="BG231" s="1021"/>
      <c r="BH231" s="1021"/>
      <c r="BI231" s="1021"/>
      <c r="BJ231" s="1021"/>
      <c r="BK231" s="1021"/>
      <c r="BL231" s="1021"/>
      <c r="BM231" s="1021"/>
      <c r="BN231" s="1021"/>
      <c r="BO231" s="1021"/>
      <c r="BP231" s="1021"/>
      <c r="BQ231" s="1021"/>
      <c r="BR231" s="1021"/>
      <c r="BS231" s="1021"/>
      <c r="BT231" s="1021"/>
      <c r="BU231" s="1021"/>
      <c r="BV231" s="1021"/>
      <c r="BW231" s="1021"/>
      <c r="BX231" s="1021"/>
      <c r="BY231" s="1021"/>
      <c r="BZ231" s="1021"/>
      <c r="CA231" s="1021"/>
      <c r="CB231" s="1021"/>
      <c r="CC231" s="1021"/>
    </row>
    <row r="232" spans="8:81" x14ac:dyDescent="0.25">
      <c r="H232" s="1021"/>
      <c r="I232" s="1021"/>
      <c r="J232" s="1021"/>
      <c r="K232" s="1021"/>
      <c r="L232" s="1021"/>
      <c r="M232" s="1021"/>
      <c r="N232" s="1021"/>
      <c r="O232" s="1021"/>
      <c r="P232" s="1021"/>
      <c r="Q232" s="1021"/>
      <c r="R232" s="1021"/>
      <c r="S232" s="1021"/>
      <c r="T232" s="1021"/>
      <c r="U232" s="1021"/>
      <c r="V232" s="1021"/>
      <c r="W232" s="1021"/>
      <c r="X232" s="1021"/>
      <c r="Y232" s="1021"/>
      <c r="Z232" s="1021"/>
      <c r="AA232" s="1021"/>
      <c r="AB232" s="1021"/>
      <c r="AC232" s="1021"/>
      <c r="AD232" s="1021"/>
      <c r="AE232" s="1021"/>
      <c r="AF232" s="1021"/>
      <c r="AG232" s="1021"/>
      <c r="AH232" s="1021"/>
      <c r="AI232" s="1021"/>
      <c r="AJ232" s="1021"/>
      <c r="AK232" s="1021"/>
      <c r="AL232" s="1021"/>
      <c r="AM232" s="1021"/>
      <c r="AN232" s="1021"/>
      <c r="AO232" s="1021"/>
      <c r="AP232" s="1021"/>
      <c r="AQ232" s="1021"/>
      <c r="AR232" s="1021"/>
      <c r="AS232" s="1021"/>
      <c r="AT232" s="1021"/>
      <c r="AU232" s="1021"/>
      <c r="AV232" s="1021"/>
      <c r="AW232" s="1021"/>
      <c r="AX232" s="1021"/>
      <c r="AY232" s="1021"/>
      <c r="AZ232" s="1021"/>
      <c r="BA232" s="1021"/>
      <c r="BB232" s="1021"/>
      <c r="BC232" s="1021"/>
      <c r="BD232" s="1021"/>
      <c r="BE232" s="1021"/>
      <c r="BF232" s="1021"/>
      <c r="BG232" s="1021"/>
      <c r="BH232" s="1021"/>
      <c r="BI232" s="1021"/>
      <c r="BJ232" s="1021"/>
      <c r="BK232" s="1021"/>
      <c r="BL232" s="1021"/>
      <c r="BM232" s="1021"/>
      <c r="BN232" s="1021"/>
      <c r="BO232" s="1021"/>
      <c r="BP232" s="1021"/>
      <c r="BQ232" s="1021"/>
      <c r="BR232" s="1021"/>
      <c r="BS232" s="1021"/>
      <c r="BT232" s="1021"/>
      <c r="BU232" s="1021"/>
      <c r="BV232" s="1021"/>
      <c r="BW232" s="1021"/>
      <c r="BX232" s="1021"/>
      <c r="BY232" s="1021"/>
      <c r="BZ232" s="1021"/>
      <c r="CA232" s="1021"/>
      <c r="CB232" s="1021"/>
      <c r="CC232" s="1021"/>
    </row>
    <row r="233" spans="8:81" x14ac:dyDescent="0.25">
      <c r="H233" s="1021"/>
      <c r="I233" s="1021"/>
      <c r="J233" s="1021"/>
      <c r="K233" s="1021"/>
      <c r="L233" s="1021"/>
      <c r="M233" s="1021"/>
      <c r="N233" s="1021"/>
      <c r="O233" s="1021"/>
      <c r="P233" s="1021"/>
      <c r="Q233" s="1021"/>
      <c r="R233" s="1021"/>
      <c r="S233" s="1021"/>
      <c r="T233" s="1021"/>
      <c r="U233" s="1021"/>
      <c r="V233" s="1021"/>
      <c r="W233" s="1021"/>
      <c r="X233" s="1021"/>
      <c r="Y233" s="1021"/>
      <c r="Z233" s="1021"/>
      <c r="AA233" s="1021"/>
      <c r="AB233" s="1021"/>
      <c r="AC233" s="1021"/>
      <c r="AD233" s="1021"/>
      <c r="AE233" s="1021"/>
      <c r="AF233" s="1021"/>
      <c r="AG233" s="1021"/>
      <c r="AH233" s="1021"/>
      <c r="AI233" s="1021"/>
      <c r="AJ233" s="1021"/>
      <c r="AK233" s="1021"/>
      <c r="AL233" s="1021"/>
      <c r="AM233" s="1021"/>
      <c r="AN233" s="1021"/>
      <c r="AO233" s="1021"/>
      <c r="AP233" s="1021"/>
      <c r="AQ233" s="1021"/>
      <c r="AR233" s="1021"/>
      <c r="AS233" s="1021"/>
      <c r="AT233" s="1021"/>
      <c r="AU233" s="1021"/>
      <c r="AV233" s="1021"/>
      <c r="AW233" s="1021"/>
      <c r="AX233" s="1021"/>
      <c r="AY233" s="1021"/>
      <c r="AZ233" s="1021"/>
      <c r="BA233" s="1021"/>
      <c r="BB233" s="1021"/>
      <c r="BC233" s="1021"/>
      <c r="BD233" s="1021"/>
      <c r="BE233" s="1021"/>
      <c r="BF233" s="1021"/>
      <c r="BG233" s="1021"/>
      <c r="BH233" s="1021"/>
      <c r="BI233" s="1021"/>
      <c r="BJ233" s="1021"/>
      <c r="BK233" s="1021"/>
      <c r="BL233" s="1021"/>
      <c r="BM233" s="1021"/>
      <c r="BN233" s="1021"/>
      <c r="BO233" s="1021"/>
      <c r="BP233" s="1021"/>
      <c r="BQ233" s="1021"/>
      <c r="BR233" s="1021"/>
      <c r="BS233" s="1021"/>
      <c r="BT233" s="1021"/>
      <c r="BU233" s="1021"/>
      <c r="BV233" s="1021"/>
      <c r="BW233" s="1021"/>
      <c r="BX233" s="1021"/>
      <c r="BY233" s="1021"/>
      <c r="BZ233" s="1021"/>
      <c r="CA233" s="1021"/>
      <c r="CB233" s="1021"/>
      <c r="CC233" s="1021"/>
    </row>
    <row r="234" spans="8:81" x14ac:dyDescent="0.25">
      <c r="H234" s="1021"/>
      <c r="I234" s="1021"/>
      <c r="J234" s="1021"/>
      <c r="K234" s="1021"/>
      <c r="L234" s="1021"/>
      <c r="M234" s="1021"/>
      <c r="N234" s="1021"/>
      <c r="O234" s="1021"/>
      <c r="P234" s="1021"/>
      <c r="Q234" s="1021"/>
      <c r="R234" s="1021"/>
      <c r="S234" s="1021"/>
      <c r="T234" s="1021"/>
      <c r="U234" s="1021"/>
      <c r="V234" s="1021"/>
      <c r="W234" s="1021"/>
      <c r="X234" s="1021"/>
      <c r="Y234" s="1021"/>
      <c r="Z234" s="1021"/>
      <c r="AA234" s="1021"/>
      <c r="AB234" s="1021"/>
      <c r="AC234" s="1021"/>
      <c r="AD234" s="1021"/>
      <c r="AE234" s="1021"/>
      <c r="AF234" s="1021"/>
      <c r="AG234" s="1021"/>
      <c r="AH234" s="1021"/>
      <c r="AI234" s="1021"/>
      <c r="AJ234" s="1021"/>
      <c r="AK234" s="1021"/>
      <c r="AL234" s="1021"/>
      <c r="AM234" s="1021"/>
      <c r="AN234" s="1021"/>
      <c r="AO234" s="1021"/>
      <c r="AP234" s="1021"/>
      <c r="AQ234" s="1021"/>
      <c r="AR234" s="1021"/>
      <c r="AS234" s="1021"/>
      <c r="AT234" s="1021"/>
      <c r="AU234" s="1021"/>
      <c r="AV234" s="1021"/>
      <c r="AW234" s="1021"/>
      <c r="AX234" s="1021"/>
      <c r="AY234" s="1021"/>
      <c r="AZ234" s="1021"/>
      <c r="BA234" s="1021"/>
      <c r="BB234" s="1021"/>
      <c r="BC234" s="1021"/>
      <c r="BD234" s="1021"/>
      <c r="BE234" s="1021"/>
      <c r="BF234" s="1021"/>
      <c r="BG234" s="1021"/>
      <c r="BH234" s="1021"/>
      <c r="BI234" s="1021"/>
      <c r="BJ234" s="1021"/>
      <c r="BK234" s="1021"/>
      <c r="BL234" s="1021"/>
      <c r="BM234" s="1021"/>
      <c r="BN234" s="1021"/>
      <c r="BO234" s="1021"/>
      <c r="BP234" s="1021"/>
      <c r="BQ234" s="1021"/>
      <c r="BR234" s="1021"/>
      <c r="BS234" s="1021"/>
      <c r="BT234" s="1021"/>
      <c r="BU234" s="1021"/>
      <c r="BV234" s="1021"/>
      <c r="BW234" s="1021"/>
      <c r="BX234" s="1021"/>
      <c r="BY234" s="1021"/>
      <c r="BZ234" s="1021"/>
      <c r="CA234" s="1021"/>
      <c r="CB234" s="1021"/>
      <c r="CC234" s="1021"/>
    </row>
    <row r="235" spans="8:81" x14ac:dyDescent="0.25">
      <c r="H235" s="1021"/>
      <c r="I235" s="1021"/>
      <c r="J235" s="1021"/>
      <c r="K235" s="1021"/>
      <c r="L235" s="1021"/>
      <c r="M235" s="1021"/>
      <c r="N235" s="1021"/>
      <c r="O235" s="1021"/>
      <c r="P235" s="1021"/>
      <c r="Q235" s="1021"/>
      <c r="R235" s="1021"/>
      <c r="S235" s="1021"/>
      <c r="T235" s="1021"/>
      <c r="U235" s="1021"/>
      <c r="V235" s="1021"/>
      <c r="W235" s="1021"/>
      <c r="X235" s="1021"/>
      <c r="Y235" s="1021"/>
      <c r="Z235" s="1021"/>
      <c r="AA235" s="1021"/>
      <c r="AB235" s="1021"/>
      <c r="AC235" s="1021"/>
      <c r="AD235" s="1021"/>
      <c r="AE235" s="1021"/>
      <c r="AF235" s="1021"/>
      <c r="AG235" s="1021"/>
      <c r="AH235" s="1021"/>
      <c r="AI235" s="1021"/>
      <c r="AJ235" s="1021"/>
      <c r="AK235" s="1021"/>
      <c r="AL235" s="1021"/>
      <c r="AM235" s="1021"/>
      <c r="AN235" s="1021"/>
      <c r="AO235" s="1021"/>
      <c r="AP235" s="1021"/>
      <c r="AQ235" s="1021"/>
      <c r="AR235" s="1021"/>
      <c r="AS235" s="1021"/>
      <c r="AT235" s="1021"/>
      <c r="AU235" s="1021"/>
      <c r="AV235" s="1021"/>
      <c r="AW235" s="1021"/>
      <c r="AX235" s="1021"/>
      <c r="AY235" s="1021"/>
      <c r="AZ235" s="1021"/>
      <c r="BA235" s="1021"/>
      <c r="BB235" s="1021"/>
      <c r="BC235" s="1021"/>
      <c r="BD235" s="1021"/>
      <c r="BE235" s="1021"/>
      <c r="BF235" s="1021"/>
      <c r="BG235" s="1021"/>
      <c r="BH235" s="1021"/>
      <c r="BI235" s="1021"/>
      <c r="BJ235" s="1021"/>
      <c r="BK235" s="1021"/>
      <c r="BL235" s="1021"/>
      <c r="BM235" s="1021"/>
      <c r="BN235" s="1021"/>
      <c r="BO235" s="1021"/>
      <c r="BP235" s="1021"/>
      <c r="BQ235" s="1021"/>
      <c r="BR235" s="1021"/>
      <c r="BS235" s="1021"/>
      <c r="BT235" s="1021"/>
      <c r="BU235" s="1021"/>
      <c r="BV235" s="1021"/>
      <c r="BW235" s="1021"/>
      <c r="BX235" s="1021"/>
      <c r="BY235" s="1021"/>
      <c r="BZ235" s="1021"/>
      <c r="CA235" s="1021"/>
      <c r="CB235" s="1021"/>
      <c r="CC235" s="1021"/>
    </row>
    <row r="236" spans="8:81" x14ac:dyDescent="0.25">
      <c r="H236" s="1021"/>
      <c r="I236" s="1021"/>
      <c r="J236" s="1021"/>
      <c r="K236" s="1021"/>
      <c r="L236" s="1021"/>
      <c r="M236" s="1021"/>
      <c r="N236" s="1021"/>
      <c r="O236" s="1021"/>
      <c r="P236" s="1021"/>
      <c r="Q236" s="1021"/>
      <c r="R236" s="1021"/>
      <c r="S236" s="1021"/>
      <c r="T236" s="1021"/>
      <c r="U236" s="1021"/>
      <c r="V236" s="1021"/>
      <c r="W236" s="1021"/>
      <c r="X236" s="1021"/>
      <c r="Y236" s="1021"/>
      <c r="Z236" s="1021"/>
      <c r="AA236" s="1021"/>
      <c r="AB236" s="1021"/>
      <c r="AC236" s="1021"/>
      <c r="AD236" s="1021"/>
      <c r="AE236" s="1021"/>
      <c r="AF236" s="1021"/>
      <c r="AG236" s="1021"/>
      <c r="AH236" s="1021"/>
      <c r="AI236" s="1021"/>
      <c r="AJ236" s="1021"/>
      <c r="AK236" s="1021"/>
      <c r="AL236" s="1021"/>
      <c r="AM236" s="1021"/>
      <c r="AN236" s="1021"/>
      <c r="AO236" s="1021"/>
      <c r="AP236" s="1021"/>
      <c r="AQ236" s="1021"/>
      <c r="AR236" s="1021"/>
      <c r="AS236" s="1021"/>
      <c r="AT236" s="1021"/>
      <c r="AU236" s="1021"/>
      <c r="AV236" s="1021"/>
      <c r="AW236" s="1021"/>
      <c r="AX236" s="1021"/>
      <c r="AY236" s="1021"/>
      <c r="AZ236" s="1021"/>
      <c r="BA236" s="1021"/>
      <c r="BB236" s="1021"/>
      <c r="BC236" s="1021"/>
      <c r="BD236" s="1021"/>
      <c r="BE236" s="1021"/>
      <c r="BF236" s="1021"/>
      <c r="BG236" s="1021"/>
      <c r="BH236" s="1021"/>
      <c r="BI236" s="1021"/>
      <c r="BJ236" s="1021"/>
      <c r="BK236" s="1021"/>
      <c r="BL236" s="1021"/>
      <c r="BM236" s="1021"/>
      <c r="BN236" s="1021"/>
      <c r="BO236" s="1021"/>
      <c r="BP236" s="1021"/>
      <c r="BQ236" s="1021"/>
      <c r="BR236" s="1021"/>
      <c r="BS236" s="1021"/>
      <c r="BT236" s="1021"/>
      <c r="BU236" s="1021"/>
      <c r="BV236" s="1021"/>
      <c r="BW236" s="1021"/>
      <c r="BX236" s="1021"/>
      <c r="BY236" s="1021"/>
      <c r="BZ236" s="1021"/>
      <c r="CA236" s="1021"/>
      <c r="CB236" s="1021"/>
      <c r="CC236" s="1021"/>
    </row>
    <row r="237" spans="8:81" x14ac:dyDescent="0.25">
      <c r="H237" s="1021"/>
      <c r="I237" s="1021"/>
      <c r="J237" s="1021"/>
      <c r="K237" s="1021"/>
      <c r="L237" s="1021"/>
      <c r="M237" s="1021"/>
      <c r="N237" s="1021"/>
      <c r="O237" s="1021"/>
      <c r="P237" s="1021"/>
      <c r="Q237" s="1021"/>
      <c r="R237" s="1021"/>
      <c r="S237" s="1021"/>
      <c r="T237" s="1021"/>
      <c r="U237" s="1021"/>
      <c r="V237" s="1021"/>
      <c r="W237" s="1021"/>
      <c r="X237" s="1021"/>
      <c r="Y237" s="1021"/>
      <c r="Z237" s="1021"/>
      <c r="AA237" s="1021"/>
      <c r="AB237" s="1021"/>
      <c r="AC237" s="1021"/>
      <c r="AD237" s="1021"/>
      <c r="AE237" s="1021"/>
      <c r="AF237" s="1021"/>
      <c r="AG237" s="1021"/>
      <c r="AH237" s="1021"/>
      <c r="AI237" s="1021"/>
      <c r="AJ237" s="1021"/>
      <c r="AK237" s="1021"/>
      <c r="AL237" s="1021"/>
      <c r="AM237" s="1021"/>
      <c r="AN237" s="1021"/>
      <c r="AO237" s="1021"/>
      <c r="AP237" s="1021"/>
      <c r="AQ237" s="1021"/>
      <c r="AR237" s="1021"/>
      <c r="AS237" s="1021"/>
      <c r="AT237" s="1021"/>
      <c r="AU237" s="1021"/>
      <c r="AV237" s="1021"/>
      <c r="AW237" s="1021"/>
      <c r="AX237" s="1021"/>
      <c r="AY237" s="1021"/>
      <c r="AZ237" s="1021"/>
      <c r="BA237" s="1021"/>
      <c r="BB237" s="1021"/>
      <c r="BC237" s="1021"/>
      <c r="BD237" s="1021"/>
      <c r="BE237" s="1021"/>
      <c r="BF237" s="1021"/>
      <c r="BG237" s="1021"/>
      <c r="BH237" s="1021"/>
      <c r="BI237" s="1021"/>
      <c r="BJ237" s="1021"/>
      <c r="BK237" s="1021"/>
      <c r="BL237" s="1021"/>
      <c r="BM237" s="1021"/>
      <c r="BN237" s="1021"/>
      <c r="BO237" s="1021"/>
      <c r="BP237" s="1021"/>
      <c r="BQ237" s="1021"/>
      <c r="BR237" s="1021"/>
      <c r="BS237" s="1021"/>
      <c r="BT237" s="1021"/>
      <c r="BU237" s="1021"/>
      <c r="BV237" s="1021"/>
      <c r="BW237" s="1021"/>
      <c r="BX237" s="1021"/>
      <c r="BY237" s="1021"/>
      <c r="BZ237" s="1021"/>
      <c r="CA237" s="1021"/>
      <c r="CB237" s="1021"/>
      <c r="CC237" s="1021"/>
    </row>
    <row r="238" spans="8:81" x14ac:dyDescent="0.25">
      <c r="H238" s="1021"/>
      <c r="I238" s="1021"/>
      <c r="J238" s="1021"/>
      <c r="K238" s="1021"/>
      <c r="L238" s="1021"/>
      <c r="M238" s="1021"/>
      <c r="N238" s="1021"/>
      <c r="O238" s="1021"/>
      <c r="P238" s="1021"/>
      <c r="Q238" s="1021"/>
      <c r="R238" s="1021"/>
      <c r="S238" s="1021"/>
      <c r="T238" s="1021"/>
      <c r="U238" s="1021"/>
      <c r="V238" s="1021"/>
      <c r="W238" s="1021"/>
      <c r="X238" s="1021"/>
      <c r="Y238" s="1021"/>
      <c r="Z238" s="1021"/>
      <c r="AA238" s="1021"/>
      <c r="AB238" s="1021"/>
      <c r="AC238" s="1021"/>
      <c r="AD238" s="1021"/>
      <c r="AE238" s="1021"/>
      <c r="AF238" s="1021"/>
      <c r="AG238" s="1021"/>
      <c r="AH238" s="1021"/>
      <c r="AI238" s="1021"/>
      <c r="AJ238" s="1021"/>
      <c r="AK238" s="1021"/>
      <c r="AL238" s="1021"/>
      <c r="AM238" s="1021"/>
      <c r="AN238" s="1021"/>
      <c r="AO238" s="1021"/>
      <c r="AP238" s="1021"/>
      <c r="AQ238" s="1021"/>
      <c r="AR238" s="1021"/>
      <c r="AS238" s="1021"/>
      <c r="AT238" s="1021"/>
      <c r="AU238" s="1021"/>
      <c r="AV238" s="1021"/>
      <c r="AW238" s="1021"/>
      <c r="AX238" s="1021"/>
      <c r="AY238" s="1021"/>
      <c r="AZ238" s="1021"/>
      <c r="BA238" s="1021"/>
      <c r="BB238" s="1021"/>
      <c r="BC238" s="1021"/>
      <c r="BD238" s="1021"/>
      <c r="BE238" s="1021"/>
      <c r="BF238" s="1021"/>
      <c r="BG238" s="1021"/>
      <c r="BH238" s="1021"/>
      <c r="BI238" s="1021"/>
      <c r="BJ238" s="1021"/>
      <c r="BK238" s="1021"/>
      <c r="BL238" s="1021"/>
      <c r="BM238" s="1021"/>
      <c r="BN238" s="1021"/>
      <c r="BO238" s="1021"/>
      <c r="BP238" s="1021"/>
      <c r="BQ238" s="1021"/>
      <c r="BR238" s="1021"/>
      <c r="BS238" s="1021"/>
      <c r="BT238" s="1021"/>
      <c r="BU238" s="1021"/>
      <c r="BV238" s="1021"/>
      <c r="BW238" s="1021"/>
      <c r="BX238" s="1021"/>
      <c r="BY238" s="1021"/>
      <c r="BZ238" s="1021"/>
      <c r="CA238" s="1021"/>
      <c r="CB238" s="1021"/>
      <c r="CC238" s="1021"/>
    </row>
    <row r="239" spans="8:81" x14ac:dyDescent="0.25">
      <c r="H239" s="1021"/>
      <c r="I239" s="1021"/>
      <c r="J239" s="1021"/>
      <c r="K239" s="1021"/>
      <c r="L239" s="1021"/>
      <c r="M239" s="1021"/>
      <c r="N239" s="1021"/>
      <c r="O239" s="1021"/>
      <c r="P239" s="1021"/>
      <c r="Q239" s="1021"/>
      <c r="R239" s="1021"/>
      <c r="S239" s="1021"/>
      <c r="T239" s="1021"/>
      <c r="U239" s="1021"/>
      <c r="V239" s="1021"/>
      <c r="W239" s="1021"/>
      <c r="X239" s="1021"/>
      <c r="Y239" s="1021"/>
      <c r="Z239" s="1021"/>
      <c r="AA239" s="1021"/>
      <c r="AB239" s="1021"/>
      <c r="AC239" s="1021"/>
      <c r="AD239" s="1021"/>
      <c r="AE239" s="1021"/>
      <c r="AF239" s="1021"/>
      <c r="AG239" s="1021"/>
      <c r="AH239" s="1021"/>
      <c r="AI239" s="1021"/>
      <c r="AJ239" s="1021"/>
      <c r="AK239" s="1021"/>
      <c r="AL239" s="1021"/>
      <c r="AM239" s="1021"/>
      <c r="AN239" s="1021"/>
      <c r="AO239" s="1021"/>
      <c r="AP239" s="1021"/>
      <c r="AQ239" s="1021"/>
      <c r="AR239" s="1021"/>
      <c r="AS239" s="1021"/>
      <c r="AT239" s="1021"/>
      <c r="AU239" s="1021"/>
      <c r="AV239" s="1021"/>
      <c r="AW239" s="1021"/>
      <c r="AX239" s="1021"/>
      <c r="AY239" s="1021"/>
      <c r="AZ239" s="1021"/>
      <c r="BA239" s="1021"/>
      <c r="BB239" s="1021"/>
      <c r="BC239" s="1021"/>
      <c r="BD239" s="1021"/>
      <c r="BE239" s="1021"/>
      <c r="BF239" s="1021"/>
      <c r="BG239" s="1021"/>
      <c r="BH239" s="1021"/>
      <c r="BI239" s="1021"/>
      <c r="BJ239" s="1021"/>
      <c r="BK239" s="1021"/>
      <c r="BL239" s="1021"/>
      <c r="BM239" s="1021"/>
      <c r="BN239" s="1021"/>
      <c r="BO239" s="1021"/>
      <c r="BP239" s="1021"/>
      <c r="BQ239" s="1021"/>
      <c r="BR239" s="1021"/>
      <c r="BS239" s="1021"/>
      <c r="BT239" s="1021"/>
      <c r="BU239" s="1021"/>
      <c r="BV239" s="1021"/>
      <c r="BW239" s="1021"/>
      <c r="BX239" s="1021"/>
      <c r="BY239" s="1021"/>
      <c r="BZ239" s="1021"/>
      <c r="CA239" s="1021"/>
      <c r="CB239" s="1021"/>
      <c r="CC239" s="1021"/>
    </row>
    <row r="240" spans="8:81" x14ac:dyDescent="0.25">
      <c r="H240" s="1021"/>
      <c r="I240" s="1021"/>
      <c r="J240" s="1021"/>
      <c r="K240" s="1021"/>
      <c r="L240" s="1021"/>
      <c r="M240" s="1021"/>
      <c r="N240" s="1021"/>
      <c r="O240" s="1021"/>
      <c r="P240" s="1021"/>
      <c r="Q240" s="1021"/>
      <c r="R240" s="1021"/>
      <c r="S240" s="1021"/>
      <c r="T240" s="1021"/>
      <c r="U240" s="1021"/>
      <c r="V240" s="1021"/>
      <c r="W240" s="1021"/>
      <c r="X240" s="1021"/>
      <c r="Y240" s="1021"/>
      <c r="Z240" s="1021"/>
      <c r="AA240" s="1021"/>
      <c r="AB240" s="1021"/>
      <c r="AC240" s="1021"/>
      <c r="AD240" s="1021"/>
      <c r="AE240" s="1021"/>
      <c r="AF240" s="1021"/>
      <c r="AG240" s="1021"/>
      <c r="AH240" s="1021"/>
      <c r="AI240" s="1021"/>
      <c r="AJ240" s="1021"/>
      <c r="AK240" s="1021"/>
      <c r="AL240" s="1021"/>
      <c r="AM240" s="1021"/>
      <c r="AN240" s="1021"/>
      <c r="AO240" s="1021"/>
      <c r="AP240" s="1021"/>
      <c r="AQ240" s="1021"/>
      <c r="AR240" s="1021"/>
      <c r="AS240" s="1021"/>
      <c r="AT240" s="1021"/>
      <c r="AU240" s="1021"/>
      <c r="AV240" s="1021"/>
      <c r="AW240" s="1021"/>
      <c r="AX240" s="1021"/>
      <c r="AY240" s="1021"/>
      <c r="AZ240" s="1021"/>
      <c r="BA240" s="1021"/>
      <c r="BB240" s="1021"/>
      <c r="BC240" s="1021"/>
      <c r="BD240" s="1021"/>
      <c r="BE240" s="1021"/>
      <c r="BF240" s="1021"/>
      <c r="BG240" s="1021"/>
      <c r="BH240" s="1021"/>
      <c r="BI240" s="1021"/>
      <c r="BJ240" s="1021"/>
      <c r="BK240" s="1021"/>
      <c r="BL240" s="1021"/>
      <c r="BM240" s="1021"/>
      <c r="BN240" s="1021"/>
      <c r="BO240" s="1021"/>
      <c r="BP240" s="1021"/>
      <c r="BQ240" s="1021"/>
      <c r="BR240" s="1021"/>
      <c r="BS240" s="1021"/>
      <c r="BT240" s="1021"/>
      <c r="BU240" s="1021"/>
      <c r="BV240" s="1021"/>
      <c r="BW240" s="1021"/>
      <c r="BX240" s="1021"/>
      <c r="BY240" s="1021"/>
      <c r="BZ240" s="1021"/>
      <c r="CA240" s="1021"/>
      <c r="CB240" s="1021"/>
      <c r="CC240" s="1021"/>
    </row>
    <row r="241" spans="8:81" x14ac:dyDescent="0.25">
      <c r="H241" s="1021"/>
      <c r="I241" s="1021"/>
      <c r="J241" s="1021"/>
      <c r="K241" s="1021"/>
      <c r="L241" s="1021"/>
      <c r="M241" s="1021"/>
      <c r="N241" s="1021"/>
      <c r="O241" s="1021"/>
      <c r="P241" s="1021"/>
      <c r="Q241" s="1021"/>
      <c r="R241" s="1021"/>
      <c r="S241" s="1021"/>
      <c r="T241" s="1021"/>
      <c r="U241" s="1021"/>
      <c r="V241" s="1021"/>
      <c r="W241" s="1021"/>
      <c r="X241" s="1021"/>
      <c r="Y241" s="1021"/>
      <c r="Z241" s="1021"/>
      <c r="AA241" s="1021"/>
      <c r="AB241" s="1021"/>
      <c r="AC241" s="1021"/>
      <c r="AD241" s="1021"/>
      <c r="AE241" s="1021"/>
      <c r="AF241" s="1021"/>
      <c r="AG241" s="1021"/>
      <c r="AH241" s="1021"/>
      <c r="AI241" s="1021"/>
      <c r="AJ241" s="1021"/>
      <c r="AK241" s="1021"/>
      <c r="AL241" s="1021"/>
      <c r="AM241" s="1021"/>
      <c r="AN241" s="1021"/>
      <c r="AO241" s="1021"/>
      <c r="AP241" s="1021"/>
      <c r="AQ241" s="1021"/>
      <c r="AR241" s="1021"/>
      <c r="AS241" s="1021"/>
      <c r="AT241" s="1021"/>
      <c r="AU241" s="1021"/>
      <c r="AV241" s="1021"/>
      <c r="AW241" s="1021"/>
      <c r="AX241" s="1021"/>
      <c r="AY241" s="1021"/>
      <c r="AZ241" s="1021"/>
      <c r="BA241" s="1021"/>
      <c r="BB241" s="1021"/>
      <c r="BC241" s="1021"/>
      <c r="BD241" s="1021"/>
      <c r="BE241" s="1021"/>
      <c r="BF241" s="1021"/>
      <c r="BG241" s="1021"/>
      <c r="BH241" s="1021"/>
      <c r="BI241" s="1021"/>
      <c r="BJ241" s="1021"/>
      <c r="BK241" s="1021"/>
      <c r="BL241" s="1021"/>
      <c r="BM241" s="1021"/>
      <c r="BN241" s="1021"/>
      <c r="BO241" s="1021"/>
      <c r="BP241" s="1021"/>
      <c r="BQ241" s="1021"/>
      <c r="BR241" s="1021"/>
      <c r="BS241" s="1021"/>
      <c r="BT241" s="1021"/>
      <c r="BU241" s="1021"/>
      <c r="BV241" s="1021"/>
      <c r="BW241" s="1021"/>
      <c r="BX241" s="1021"/>
      <c r="BY241" s="1021"/>
      <c r="BZ241" s="1021"/>
      <c r="CA241" s="1021"/>
      <c r="CB241" s="1021"/>
      <c r="CC241" s="1021"/>
    </row>
    <row r="242" spans="8:81" x14ac:dyDescent="0.25">
      <c r="H242" s="1021"/>
      <c r="I242" s="1021"/>
      <c r="J242" s="1021"/>
      <c r="K242" s="1021"/>
      <c r="L242" s="1021"/>
      <c r="M242" s="1021"/>
      <c r="N242" s="1021"/>
      <c r="O242" s="1021"/>
      <c r="P242" s="1021"/>
      <c r="Q242" s="1021"/>
      <c r="R242" s="1021"/>
      <c r="S242" s="1021"/>
      <c r="T242" s="1021"/>
      <c r="U242" s="1021"/>
      <c r="V242" s="1021"/>
      <c r="W242" s="1021"/>
      <c r="X242" s="1021"/>
      <c r="Y242" s="1021"/>
      <c r="Z242" s="1021"/>
      <c r="AA242" s="1021"/>
      <c r="AB242" s="1021"/>
      <c r="AC242" s="1021"/>
      <c r="AD242" s="1021"/>
      <c r="AE242" s="1021"/>
      <c r="AF242" s="1021"/>
      <c r="AG242" s="1021"/>
      <c r="AH242" s="1021"/>
      <c r="AI242" s="1021"/>
      <c r="AJ242" s="1021"/>
      <c r="AK242" s="1021"/>
      <c r="AL242" s="1021"/>
      <c r="AM242" s="1021"/>
      <c r="AN242" s="1021"/>
      <c r="AO242" s="1021"/>
      <c r="AP242" s="1021"/>
      <c r="AQ242" s="1021"/>
      <c r="AR242" s="1021"/>
      <c r="AS242" s="1021"/>
      <c r="AT242" s="1021"/>
      <c r="AU242" s="1021"/>
      <c r="AV242" s="1021"/>
      <c r="AW242" s="1021"/>
      <c r="AX242" s="1021"/>
      <c r="AY242" s="1021"/>
      <c r="AZ242" s="1021"/>
      <c r="BA242" s="1021"/>
      <c r="BB242" s="1021"/>
      <c r="BC242" s="1021"/>
      <c r="BD242" s="1021"/>
      <c r="BE242" s="1021"/>
      <c r="BF242" s="1021"/>
      <c r="BG242" s="1021"/>
      <c r="BH242" s="1021"/>
      <c r="BI242" s="1021"/>
      <c r="BJ242" s="1021"/>
      <c r="BK242" s="1021"/>
      <c r="BL242" s="1021"/>
      <c r="BM242" s="1021"/>
      <c r="BN242" s="1021"/>
      <c r="BO242" s="1021"/>
      <c r="BP242" s="1021"/>
      <c r="BQ242" s="1021"/>
      <c r="BR242" s="1021"/>
      <c r="BS242" s="1021"/>
      <c r="BT242" s="1021"/>
      <c r="BU242" s="1021"/>
      <c r="BV242" s="1021"/>
      <c r="BW242" s="1021"/>
      <c r="BX242" s="1021"/>
      <c r="BY242" s="1021"/>
      <c r="BZ242" s="1021"/>
      <c r="CA242" s="1021"/>
      <c r="CB242" s="1021"/>
      <c r="CC242" s="1021"/>
    </row>
    <row r="243" spans="8:81" x14ac:dyDescent="0.25">
      <c r="H243" s="1021"/>
      <c r="I243" s="1021"/>
      <c r="J243" s="1021"/>
      <c r="K243" s="1021"/>
      <c r="L243" s="1021"/>
      <c r="M243" s="1021"/>
      <c r="N243" s="1021"/>
      <c r="O243" s="1021"/>
      <c r="P243" s="1021"/>
      <c r="Q243" s="1021"/>
      <c r="R243" s="1021"/>
      <c r="S243" s="1021"/>
      <c r="T243" s="1021"/>
      <c r="U243" s="1021"/>
      <c r="V243" s="1021"/>
      <c r="W243" s="1021"/>
      <c r="X243" s="1021"/>
      <c r="Y243" s="1021"/>
      <c r="Z243" s="1021"/>
      <c r="AA243" s="1021"/>
      <c r="AB243" s="1021"/>
      <c r="AC243" s="1021"/>
      <c r="AD243" s="1021"/>
      <c r="AE243" s="1021"/>
      <c r="AF243" s="1021"/>
      <c r="AG243" s="1021"/>
      <c r="AH243" s="1021"/>
      <c r="AI243" s="1021"/>
      <c r="AJ243" s="1021"/>
      <c r="AK243" s="1021"/>
      <c r="AL243" s="1021"/>
      <c r="AM243" s="1021"/>
      <c r="AN243" s="1021"/>
      <c r="AO243" s="1021"/>
      <c r="AP243" s="1021"/>
      <c r="AQ243" s="1021"/>
      <c r="AR243" s="1021"/>
      <c r="AS243" s="1021"/>
      <c r="AT243" s="1021"/>
      <c r="AU243" s="1021"/>
      <c r="AV243" s="1021"/>
      <c r="AW243" s="1021"/>
      <c r="AX243" s="1021"/>
      <c r="AY243" s="1021"/>
      <c r="AZ243" s="1021"/>
      <c r="BA243" s="1021"/>
      <c r="BB243" s="1021"/>
      <c r="BC243" s="1021"/>
      <c r="BD243" s="1021"/>
      <c r="BE243" s="1021"/>
      <c r="BF243" s="1021"/>
      <c r="BG243" s="1021"/>
      <c r="BH243" s="1021"/>
      <c r="BI243" s="1021"/>
      <c r="BJ243" s="1021"/>
      <c r="BK243" s="1021"/>
      <c r="BL243" s="1021"/>
      <c r="BM243" s="1021"/>
      <c r="BN243" s="1021"/>
      <c r="BO243" s="1021"/>
      <c r="BP243" s="1021"/>
      <c r="BQ243" s="1021"/>
      <c r="BR243" s="1021"/>
      <c r="BS243" s="1021"/>
      <c r="BT243" s="1021"/>
      <c r="BU243" s="1021"/>
      <c r="BV243" s="1021"/>
      <c r="BW243" s="1021"/>
      <c r="BX243" s="1021"/>
      <c r="BY243" s="1021"/>
      <c r="BZ243" s="1021"/>
      <c r="CA243" s="1021"/>
      <c r="CB243" s="1021"/>
      <c r="CC243" s="1021"/>
    </row>
    <row r="244" spans="8:81" x14ac:dyDescent="0.25">
      <c r="H244" s="1021"/>
      <c r="I244" s="1021"/>
      <c r="J244" s="1021"/>
      <c r="K244" s="1021"/>
      <c r="L244" s="1021"/>
      <c r="M244" s="1021"/>
      <c r="N244" s="1021"/>
      <c r="O244" s="1021"/>
      <c r="P244" s="1021"/>
      <c r="Q244" s="1021"/>
      <c r="R244" s="1021"/>
      <c r="S244" s="1021"/>
      <c r="T244" s="1021"/>
      <c r="U244" s="1021"/>
      <c r="V244" s="1021"/>
      <c r="W244" s="1021"/>
      <c r="X244" s="1021"/>
      <c r="Y244" s="1021"/>
      <c r="Z244" s="1021"/>
      <c r="AA244" s="1021"/>
      <c r="AB244" s="1021"/>
      <c r="AC244" s="1021"/>
      <c r="AD244" s="1021"/>
      <c r="AE244" s="1021"/>
      <c r="AF244" s="1021"/>
      <c r="AG244" s="1021"/>
      <c r="AH244" s="1021"/>
      <c r="AI244" s="1021"/>
      <c r="AJ244" s="1021"/>
      <c r="AK244" s="1021"/>
      <c r="AL244" s="1021"/>
      <c r="AM244" s="1021"/>
      <c r="AN244" s="1021"/>
      <c r="AO244" s="1021"/>
      <c r="AP244" s="1021"/>
      <c r="AQ244" s="1021"/>
      <c r="AR244" s="1021"/>
      <c r="AS244" s="1021"/>
      <c r="AT244" s="1021"/>
      <c r="AU244" s="1021"/>
      <c r="AV244" s="1021"/>
      <c r="AW244" s="1021"/>
      <c r="AX244" s="1021"/>
      <c r="AY244" s="1021"/>
      <c r="AZ244" s="1021"/>
      <c r="BA244" s="1021"/>
      <c r="BB244" s="1021"/>
      <c r="BC244" s="1021"/>
      <c r="BD244" s="1021"/>
      <c r="BE244" s="1021"/>
      <c r="BF244" s="1021"/>
      <c r="BG244" s="1021"/>
      <c r="BH244" s="1021"/>
      <c r="BI244" s="1021"/>
      <c r="BJ244" s="1021"/>
      <c r="BK244" s="1021"/>
      <c r="BL244" s="1021"/>
      <c r="BM244" s="1021"/>
      <c r="BN244" s="1021"/>
      <c r="BO244" s="1021"/>
      <c r="BP244" s="1021"/>
      <c r="BQ244" s="1021"/>
      <c r="BR244" s="1021"/>
      <c r="BS244" s="1021"/>
      <c r="BT244" s="1021"/>
      <c r="BU244" s="1021"/>
      <c r="BV244" s="1021"/>
      <c r="BW244" s="1021"/>
      <c r="BX244" s="1021"/>
      <c r="BY244" s="1021"/>
      <c r="BZ244" s="1021"/>
      <c r="CA244" s="1021"/>
      <c r="CB244" s="1021"/>
      <c r="CC244" s="1021"/>
    </row>
    <row r="245" spans="8:81" x14ac:dyDescent="0.25">
      <c r="H245" s="1021"/>
      <c r="I245" s="1021"/>
      <c r="J245" s="1021"/>
      <c r="K245" s="1021"/>
      <c r="L245" s="1021"/>
      <c r="M245" s="1021"/>
      <c r="N245" s="1021"/>
      <c r="O245" s="1021"/>
      <c r="P245" s="1021"/>
      <c r="Q245" s="1021"/>
      <c r="R245" s="1021"/>
      <c r="S245" s="1021"/>
      <c r="T245" s="1021"/>
      <c r="U245" s="1021"/>
      <c r="V245" s="1021"/>
      <c r="W245" s="1021"/>
      <c r="X245" s="1021"/>
      <c r="Y245" s="1021"/>
      <c r="Z245" s="1021"/>
      <c r="AA245" s="1021"/>
      <c r="AB245" s="1021"/>
      <c r="AC245" s="1021"/>
      <c r="AD245" s="1021"/>
      <c r="AE245" s="1021"/>
      <c r="AF245" s="1021"/>
      <c r="AG245" s="1021"/>
      <c r="AH245" s="1021"/>
      <c r="AI245" s="1021"/>
      <c r="AJ245" s="1021"/>
      <c r="AK245" s="1021"/>
      <c r="AL245" s="1021"/>
      <c r="AM245" s="1021"/>
      <c r="AN245" s="1021"/>
      <c r="AO245" s="1021"/>
      <c r="AP245" s="1021"/>
      <c r="AQ245" s="1021"/>
      <c r="AR245" s="1021"/>
      <c r="AS245" s="1021"/>
      <c r="AT245" s="1021"/>
      <c r="AU245" s="1021"/>
      <c r="AV245" s="1021"/>
      <c r="AW245" s="1021"/>
      <c r="AX245" s="1021"/>
      <c r="AY245" s="1021"/>
      <c r="AZ245" s="1021"/>
      <c r="BA245" s="1021"/>
      <c r="BB245" s="1021"/>
      <c r="BC245" s="1021"/>
      <c r="BD245" s="1021"/>
      <c r="BE245" s="1021"/>
      <c r="BF245" s="1021"/>
      <c r="BG245" s="1021"/>
      <c r="BH245" s="1021"/>
      <c r="BI245" s="1021"/>
      <c r="BJ245" s="1021"/>
      <c r="BK245" s="1021"/>
      <c r="BL245" s="1021"/>
      <c r="BM245" s="1021"/>
      <c r="BN245" s="1021"/>
      <c r="BO245" s="1021"/>
      <c r="BP245" s="1021"/>
      <c r="BQ245" s="1021"/>
      <c r="BR245" s="1021"/>
      <c r="BS245" s="1021"/>
      <c r="BT245" s="1021"/>
      <c r="BU245" s="1021"/>
      <c r="BV245" s="1021"/>
      <c r="BW245" s="1021"/>
      <c r="BX245" s="1021"/>
      <c r="BY245" s="1021"/>
      <c r="BZ245" s="1021"/>
      <c r="CA245" s="1021"/>
      <c r="CB245" s="1021"/>
      <c r="CC245" s="1021"/>
    </row>
    <row r="246" spans="8:81" x14ac:dyDescent="0.25">
      <c r="H246" s="1021"/>
      <c r="I246" s="1021"/>
      <c r="J246" s="1021"/>
      <c r="K246" s="1021"/>
      <c r="L246" s="1021"/>
      <c r="M246" s="1021"/>
      <c r="N246" s="1021"/>
      <c r="O246" s="1021"/>
      <c r="P246" s="1021"/>
      <c r="Q246" s="1021"/>
      <c r="R246" s="1021"/>
      <c r="S246" s="1021"/>
      <c r="T246" s="1021"/>
      <c r="U246" s="1021"/>
      <c r="V246" s="1021"/>
      <c r="W246" s="1021"/>
      <c r="X246" s="1021"/>
      <c r="Y246" s="1021"/>
      <c r="Z246" s="1021"/>
      <c r="AA246" s="1021"/>
      <c r="AB246" s="1021"/>
      <c r="AC246" s="1021"/>
      <c r="AD246" s="1021"/>
      <c r="AE246" s="1021"/>
      <c r="AF246" s="1021"/>
      <c r="AG246" s="1021"/>
      <c r="AH246" s="1021"/>
      <c r="AI246" s="1021"/>
      <c r="AJ246" s="1021"/>
      <c r="AK246" s="1021"/>
      <c r="AL246" s="1021"/>
      <c r="AM246" s="1021"/>
      <c r="AN246" s="1021"/>
      <c r="AO246" s="1021"/>
      <c r="AP246" s="1021"/>
      <c r="AQ246" s="1021"/>
      <c r="AR246" s="1021"/>
      <c r="AS246" s="1021"/>
      <c r="AT246" s="1021"/>
      <c r="AU246" s="1021"/>
      <c r="AV246" s="1021"/>
      <c r="AW246" s="1021"/>
      <c r="AX246" s="1021"/>
      <c r="AY246" s="1021"/>
      <c r="AZ246" s="1021"/>
      <c r="BA246" s="1021"/>
      <c r="BB246" s="1021"/>
      <c r="BC246" s="1021"/>
      <c r="BD246" s="1021"/>
      <c r="BE246" s="1021"/>
      <c r="BF246" s="1021"/>
      <c r="BG246" s="1021"/>
      <c r="BH246" s="1021"/>
      <c r="BI246" s="1021"/>
      <c r="BJ246" s="1021"/>
      <c r="BK246" s="1021"/>
      <c r="BL246" s="1021"/>
      <c r="BM246" s="1021"/>
      <c r="BN246" s="1021"/>
      <c r="BO246" s="1021"/>
      <c r="BP246" s="1021"/>
      <c r="BQ246" s="1021"/>
      <c r="BR246" s="1021"/>
      <c r="BS246" s="1021"/>
      <c r="BT246" s="1021"/>
      <c r="BU246" s="1021"/>
      <c r="BV246" s="1021"/>
      <c r="BW246" s="1021"/>
      <c r="BX246" s="1021"/>
      <c r="BY246" s="1021"/>
      <c r="BZ246" s="1021"/>
      <c r="CA246" s="1021"/>
      <c r="CB246" s="1021"/>
      <c r="CC246" s="1021"/>
    </row>
    <row r="247" spans="8:81" x14ac:dyDescent="0.25">
      <c r="H247" s="1021"/>
      <c r="I247" s="1021"/>
      <c r="J247" s="1021"/>
      <c r="K247" s="1021"/>
      <c r="L247" s="1021"/>
      <c r="M247" s="1021"/>
      <c r="N247" s="1021"/>
      <c r="O247" s="1021"/>
      <c r="P247" s="1021"/>
      <c r="Q247" s="1021"/>
      <c r="R247" s="1021"/>
      <c r="S247" s="1021"/>
      <c r="T247" s="1021"/>
      <c r="U247" s="1021"/>
      <c r="V247" s="1021"/>
      <c r="W247" s="1021"/>
      <c r="X247" s="1021"/>
      <c r="Y247" s="1021"/>
      <c r="Z247" s="1021"/>
      <c r="AA247" s="1021"/>
      <c r="AB247" s="1021"/>
      <c r="AC247" s="1021"/>
      <c r="AD247" s="1021"/>
      <c r="AE247" s="1021"/>
      <c r="AF247" s="1021"/>
      <c r="AG247" s="1021"/>
      <c r="AH247" s="1021"/>
      <c r="AI247" s="1021"/>
      <c r="AJ247" s="1021"/>
      <c r="AK247" s="1021"/>
      <c r="AL247" s="1021"/>
      <c r="AM247" s="1021"/>
      <c r="AN247" s="1021"/>
      <c r="AO247" s="1021"/>
      <c r="AP247" s="1021"/>
      <c r="AQ247" s="1021"/>
      <c r="AR247" s="1021"/>
      <c r="AS247" s="1021"/>
      <c r="AT247" s="1021"/>
      <c r="AU247" s="1021"/>
      <c r="AV247" s="1021"/>
      <c r="AW247" s="1021"/>
      <c r="AX247" s="1021"/>
      <c r="AY247" s="1021"/>
      <c r="AZ247" s="1021"/>
      <c r="BA247" s="1021"/>
      <c r="BB247" s="1021"/>
      <c r="BC247" s="1021"/>
      <c r="BD247" s="1021"/>
      <c r="BE247" s="1021"/>
      <c r="BF247" s="1021"/>
      <c r="BG247" s="1021"/>
      <c r="BH247" s="1021"/>
      <c r="BI247" s="1021"/>
      <c r="BJ247" s="1021"/>
      <c r="BK247" s="1021"/>
      <c r="BL247" s="1021"/>
      <c r="BM247" s="1021"/>
      <c r="BN247" s="1021"/>
      <c r="BO247" s="1021"/>
      <c r="BP247" s="1021"/>
      <c r="BQ247" s="1021"/>
      <c r="BR247" s="1021"/>
      <c r="BS247" s="1021"/>
      <c r="BT247" s="1021"/>
      <c r="BU247" s="1021"/>
      <c r="BV247" s="1021"/>
      <c r="BW247" s="1021"/>
      <c r="BX247" s="1021"/>
      <c r="BY247" s="1021"/>
      <c r="BZ247" s="1021"/>
      <c r="CA247" s="1021"/>
      <c r="CB247" s="1021"/>
      <c r="CC247" s="1021"/>
    </row>
    <row r="248" spans="8:81" x14ac:dyDescent="0.25">
      <c r="H248" s="1021"/>
      <c r="I248" s="1021"/>
      <c r="J248" s="1021"/>
      <c r="K248" s="1021"/>
      <c r="L248" s="1021"/>
      <c r="M248" s="1021"/>
      <c r="N248" s="1021"/>
      <c r="O248" s="1021"/>
      <c r="P248" s="1021"/>
      <c r="Q248" s="1021"/>
      <c r="R248" s="1021"/>
      <c r="S248" s="1021"/>
      <c r="T248" s="1021"/>
      <c r="U248" s="1021"/>
      <c r="V248" s="1021"/>
      <c r="W248" s="1021"/>
      <c r="X248" s="1021"/>
      <c r="Y248" s="1021"/>
      <c r="Z248" s="1021"/>
      <c r="AA248" s="1021"/>
      <c r="AB248" s="1021"/>
      <c r="AC248" s="1021"/>
      <c r="AD248" s="1021"/>
      <c r="AE248" s="1021"/>
      <c r="AF248" s="1021"/>
      <c r="AG248" s="1021"/>
      <c r="AH248" s="1021"/>
      <c r="AI248" s="1021"/>
      <c r="AJ248" s="1021"/>
      <c r="AK248" s="1021"/>
      <c r="AL248" s="1021"/>
      <c r="AM248" s="1021"/>
      <c r="AN248" s="1021"/>
      <c r="AO248" s="1021"/>
      <c r="AP248" s="1021"/>
      <c r="AQ248" s="1021"/>
      <c r="AR248" s="1021"/>
      <c r="AS248" s="1021"/>
      <c r="AT248" s="1021"/>
      <c r="AU248" s="1021"/>
      <c r="AV248" s="1021"/>
      <c r="AW248" s="1021"/>
      <c r="AX248" s="1021"/>
      <c r="AY248" s="1021"/>
      <c r="AZ248" s="1021"/>
      <c r="BA248" s="1021"/>
      <c r="BB248" s="1021"/>
      <c r="BC248" s="1021"/>
      <c r="BD248" s="1021"/>
      <c r="BE248" s="1021"/>
      <c r="BF248" s="1021"/>
      <c r="BG248" s="1021"/>
      <c r="BH248" s="1021"/>
      <c r="BI248" s="1021"/>
      <c r="BJ248" s="1021"/>
      <c r="BK248" s="1021"/>
      <c r="BL248" s="1021"/>
      <c r="BM248" s="1021"/>
      <c r="BN248" s="1021"/>
      <c r="BO248" s="1021"/>
      <c r="BP248" s="1021"/>
      <c r="BQ248" s="1021"/>
      <c r="BR248" s="1021"/>
      <c r="BS248" s="1021"/>
      <c r="BT248" s="1021"/>
      <c r="BU248" s="1021"/>
      <c r="BV248" s="1021"/>
      <c r="BW248" s="1021"/>
      <c r="BX248" s="1021"/>
      <c r="BY248" s="1021"/>
      <c r="BZ248" s="1021"/>
      <c r="CA248" s="1021"/>
      <c r="CB248" s="1021"/>
      <c r="CC248" s="1021"/>
    </row>
    <row r="249" spans="8:81" x14ac:dyDescent="0.25">
      <c r="H249" s="1021"/>
      <c r="I249" s="1021"/>
      <c r="J249" s="1021"/>
      <c r="K249" s="1021"/>
      <c r="L249" s="1021"/>
      <c r="M249" s="1021"/>
      <c r="N249" s="1021"/>
      <c r="O249" s="1021"/>
      <c r="P249" s="1021"/>
      <c r="Q249" s="1021"/>
      <c r="R249" s="1021"/>
      <c r="S249" s="1021"/>
      <c r="T249" s="1021"/>
      <c r="U249" s="1021"/>
      <c r="V249" s="1021"/>
      <c r="W249" s="1021"/>
      <c r="X249" s="1021"/>
      <c r="Y249" s="1021"/>
      <c r="Z249" s="1021"/>
      <c r="AA249" s="1021"/>
      <c r="AB249" s="1021"/>
      <c r="AC249" s="1021"/>
      <c r="AD249" s="1021"/>
      <c r="AE249" s="1021"/>
      <c r="AF249" s="1021"/>
      <c r="AG249" s="1021"/>
      <c r="AH249" s="1021"/>
      <c r="AI249" s="1021"/>
      <c r="AJ249" s="1021"/>
      <c r="AK249" s="1021"/>
      <c r="AL249" s="1021"/>
      <c r="AM249" s="1021"/>
      <c r="AN249" s="1021"/>
      <c r="AO249" s="1021"/>
      <c r="AP249" s="1021"/>
      <c r="AQ249" s="1021"/>
      <c r="AR249" s="1021"/>
      <c r="AS249" s="1021"/>
      <c r="AT249" s="1021"/>
      <c r="AU249" s="1021"/>
      <c r="AV249" s="1021"/>
      <c r="AW249" s="1021"/>
      <c r="AX249" s="1021"/>
      <c r="AY249" s="1021"/>
      <c r="AZ249" s="1021"/>
      <c r="BA249" s="1021"/>
      <c r="BB249" s="1021"/>
      <c r="BC249" s="1021"/>
      <c r="BD249" s="1021"/>
      <c r="BE249" s="1021"/>
      <c r="BF249" s="1021"/>
      <c r="BG249" s="1021"/>
      <c r="BH249" s="1021"/>
      <c r="BI249" s="1021"/>
      <c r="BJ249" s="1021"/>
      <c r="BK249" s="1021"/>
      <c r="BL249" s="1021"/>
      <c r="BM249" s="1021"/>
      <c r="BN249" s="1021"/>
      <c r="BO249" s="1021"/>
      <c r="BP249" s="1021"/>
      <c r="BQ249" s="1021"/>
      <c r="BR249" s="1021"/>
      <c r="BS249" s="1021"/>
      <c r="BT249" s="1021"/>
      <c r="BU249" s="1021"/>
      <c r="BV249" s="1021"/>
      <c r="BW249" s="1021"/>
      <c r="BX249" s="1021"/>
      <c r="BY249" s="1021"/>
      <c r="BZ249" s="1021"/>
      <c r="CA249" s="1021"/>
      <c r="CB249" s="1021"/>
      <c r="CC249" s="1021"/>
    </row>
    <row r="250" spans="8:81" x14ac:dyDescent="0.25">
      <c r="H250" s="1021"/>
      <c r="I250" s="1021"/>
      <c r="J250" s="1021"/>
      <c r="K250" s="1021"/>
      <c r="L250" s="1021"/>
      <c r="M250" s="1021"/>
      <c r="N250" s="1021"/>
      <c r="O250" s="1021"/>
      <c r="P250" s="1021"/>
      <c r="Q250" s="1021"/>
      <c r="R250" s="1021"/>
      <c r="S250" s="1021"/>
      <c r="T250" s="1021"/>
      <c r="U250" s="1021"/>
      <c r="V250" s="1021"/>
      <c r="W250" s="1021"/>
      <c r="X250" s="1021"/>
      <c r="Y250" s="1021"/>
      <c r="Z250" s="1021"/>
      <c r="AA250" s="1021"/>
      <c r="AB250" s="1021"/>
      <c r="AC250" s="1021"/>
      <c r="AD250" s="1021"/>
      <c r="AE250" s="1021"/>
      <c r="AF250" s="1021"/>
      <c r="AG250" s="1021"/>
      <c r="AH250" s="1021"/>
      <c r="AI250" s="1021"/>
      <c r="AJ250" s="1021"/>
      <c r="AK250" s="1021"/>
      <c r="AL250" s="1021"/>
      <c r="AM250" s="1021"/>
      <c r="AN250" s="1021"/>
      <c r="AO250" s="1021"/>
      <c r="AP250" s="1021"/>
      <c r="AQ250" s="1021"/>
      <c r="AR250" s="1021"/>
      <c r="AS250" s="1021"/>
      <c r="AT250" s="1021"/>
      <c r="AU250" s="1021"/>
      <c r="AV250" s="1021"/>
      <c r="AW250" s="1021"/>
      <c r="AX250" s="1021"/>
      <c r="AY250" s="1021"/>
      <c r="AZ250" s="1021"/>
      <c r="BA250" s="1021"/>
      <c r="BB250" s="1021"/>
      <c r="BC250" s="1021"/>
      <c r="BD250" s="1021"/>
      <c r="BE250" s="1021"/>
      <c r="BF250" s="1021"/>
      <c r="BG250" s="1021"/>
      <c r="BH250" s="1021"/>
      <c r="BI250" s="1021"/>
      <c r="BJ250" s="1021"/>
      <c r="BK250" s="1021"/>
      <c r="BL250" s="1021"/>
      <c r="BM250" s="1021"/>
      <c r="BN250" s="1021"/>
      <c r="BO250" s="1021"/>
      <c r="BP250" s="1021"/>
      <c r="BQ250" s="1021"/>
      <c r="BR250" s="1021"/>
      <c r="BS250" s="1021"/>
      <c r="BT250" s="1021"/>
      <c r="BU250" s="1021"/>
      <c r="BV250" s="1021"/>
      <c r="BW250" s="1021"/>
      <c r="BX250" s="1021"/>
      <c r="BY250" s="1021"/>
      <c r="BZ250" s="1021"/>
      <c r="CA250" s="1021"/>
      <c r="CB250" s="1021"/>
      <c r="CC250" s="1021"/>
    </row>
    <row r="251" spans="8:81" x14ac:dyDescent="0.25">
      <c r="H251" s="1021"/>
      <c r="I251" s="1021"/>
      <c r="J251" s="1021"/>
      <c r="K251" s="1021"/>
      <c r="L251" s="1021"/>
      <c r="M251" s="1021"/>
      <c r="N251" s="1021"/>
      <c r="O251" s="1021"/>
      <c r="P251" s="1021"/>
      <c r="Q251" s="1021"/>
      <c r="R251" s="1021"/>
      <c r="S251" s="1021"/>
      <c r="T251" s="1021"/>
      <c r="U251" s="1021"/>
      <c r="V251" s="1021"/>
      <c r="W251" s="1021"/>
      <c r="X251" s="1021"/>
      <c r="Y251" s="1021"/>
      <c r="Z251" s="1021"/>
      <c r="AA251" s="1021"/>
      <c r="AB251" s="1021"/>
      <c r="AC251" s="1021"/>
      <c r="AD251" s="1021"/>
      <c r="AE251" s="1021"/>
      <c r="AF251" s="1021"/>
      <c r="AG251" s="1021"/>
      <c r="AH251" s="1021"/>
      <c r="AI251" s="1021"/>
      <c r="AJ251" s="1021"/>
      <c r="AK251" s="1021"/>
      <c r="AL251" s="1021"/>
      <c r="AM251" s="1021"/>
      <c r="AN251" s="1021"/>
      <c r="AO251" s="1021"/>
      <c r="AP251" s="1021"/>
      <c r="AQ251" s="1021"/>
      <c r="AR251" s="1021"/>
      <c r="AS251" s="1021"/>
      <c r="AT251" s="1021"/>
      <c r="AU251" s="1021"/>
      <c r="AV251" s="1021"/>
      <c r="AW251" s="1021"/>
      <c r="AX251" s="1021"/>
      <c r="AY251" s="1021"/>
      <c r="AZ251" s="1021"/>
      <c r="BA251" s="1021"/>
      <c r="BB251" s="1021"/>
      <c r="BC251" s="1021"/>
      <c r="BD251" s="1021"/>
      <c r="BE251" s="1021"/>
      <c r="BF251" s="1021"/>
      <c r="BG251" s="1021"/>
      <c r="BH251" s="1021"/>
      <c r="BI251" s="1021"/>
      <c r="BJ251" s="1021"/>
      <c r="BK251" s="1021"/>
      <c r="BL251" s="1021"/>
      <c r="BM251" s="1021"/>
      <c r="BN251" s="1021"/>
      <c r="BO251" s="1021"/>
      <c r="BP251" s="1021"/>
      <c r="BQ251" s="1021"/>
      <c r="BR251" s="1021"/>
      <c r="BS251" s="1021"/>
      <c r="BT251" s="1021"/>
      <c r="BU251" s="1021"/>
      <c r="BV251" s="1021"/>
      <c r="BW251" s="1021"/>
      <c r="BX251" s="1021"/>
      <c r="BY251" s="1021"/>
      <c r="BZ251" s="1021"/>
      <c r="CA251" s="1021"/>
      <c r="CB251" s="1021"/>
      <c r="CC251" s="1021"/>
    </row>
    <row r="252" spans="8:81" x14ac:dyDescent="0.25">
      <c r="H252" s="1021"/>
      <c r="I252" s="1021"/>
      <c r="J252" s="1021"/>
      <c r="K252" s="1021"/>
      <c r="L252" s="1021"/>
      <c r="M252" s="1021"/>
      <c r="N252" s="1021"/>
      <c r="O252" s="1021"/>
      <c r="P252" s="1021"/>
      <c r="Q252" s="1021"/>
      <c r="R252" s="1021"/>
      <c r="S252" s="1021"/>
      <c r="T252" s="1021"/>
      <c r="U252" s="1021"/>
      <c r="V252" s="1021"/>
      <c r="W252" s="1021"/>
      <c r="X252" s="1021"/>
      <c r="Y252" s="1021"/>
      <c r="Z252" s="1021"/>
      <c r="AA252" s="1021"/>
      <c r="AB252" s="1021"/>
      <c r="AC252" s="1021"/>
      <c r="AD252" s="1021"/>
      <c r="AE252" s="1021"/>
      <c r="AF252" s="1021"/>
      <c r="AG252" s="1021"/>
      <c r="AH252" s="1021"/>
      <c r="AI252" s="1021"/>
      <c r="AJ252" s="1021"/>
      <c r="AK252" s="1021"/>
      <c r="AL252" s="1021"/>
      <c r="AM252" s="1021"/>
      <c r="AN252" s="1021"/>
      <c r="AO252" s="1021"/>
      <c r="AP252" s="1021"/>
      <c r="AQ252" s="1021"/>
      <c r="AR252" s="1021"/>
      <c r="AS252" s="1021"/>
      <c r="AT252" s="1021"/>
      <c r="AU252" s="1021"/>
      <c r="AV252" s="1021"/>
      <c r="AW252" s="1021"/>
      <c r="AX252" s="1021"/>
      <c r="AY252" s="1021"/>
      <c r="AZ252" s="1021"/>
      <c r="BA252" s="1021"/>
      <c r="BB252" s="1021"/>
      <c r="BC252" s="1021"/>
      <c r="BD252" s="1021"/>
      <c r="BE252" s="1021"/>
      <c r="BF252" s="1021"/>
      <c r="BG252" s="1021"/>
      <c r="BH252" s="1021"/>
      <c r="BI252" s="1021"/>
      <c r="BJ252" s="1021"/>
      <c r="BK252" s="1021"/>
      <c r="BL252" s="1021"/>
      <c r="BM252" s="1021"/>
      <c r="BN252" s="1021"/>
      <c r="BO252" s="1021"/>
      <c r="BP252" s="1021"/>
      <c r="BQ252" s="1021"/>
      <c r="BR252" s="1021"/>
      <c r="BS252" s="1021"/>
      <c r="BT252" s="1021"/>
      <c r="BU252" s="1021"/>
      <c r="BV252" s="1021"/>
      <c r="BW252" s="1021"/>
      <c r="BX252" s="1021"/>
      <c r="BY252" s="1021"/>
      <c r="BZ252" s="1021"/>
      <c r="CA252" s="1021"/>
      <c r="CB252" s="1021"/>
      <c r="CC252" s="1021"/>
    </row>
    <row r="253" spans="8:81" x14ac:dyDescent="0.25">
      <c r="H253" s="1021"/>
      <c r="I253" s="1021"/>
      <c r="J253" s="1021"/>
      <c r="K253" s="1021"/>
      <c r="L253" s="1021"/>
      <c r="M253" s="1021"/>
      <c r="N253" s="1021"/>
      <c r="O253" s="1021"/>
      <c r="P253" s="1021"/>
      <c r="Q253" s="1021"/>
      <c r="R253" s="1021"/>
      <c r="S253" s="1021"/>
      <c r="T253" s="1021"/>
      <c r="U253" s="1021"/>
      <c r="V253" s="1021"/>
      <c r="W253" s="1021"/>
      <c r="X253" s="1021"/>
      <c r="Y253" s="1021"/>
      <c r="Z253" s="1021"/>
      <c r="AA253" s="1021"/>
      <c r="AB253" s="1021"/>
      <c r="AC253" s="1021"/>
      <c r="AD253" s="1021"/>
      <c r="AE253" s="1021"/>
      <c r="AF253" s="1021"/>
      <c r="AG253" s="1021"/>
      <c r="AH253" s="1021"/>
      <c r="AI253" s="1021"/>
      <c r="AJ253" s="1021"/>
      <c r="AK253" s="1021"/>
      <c r="AL253" s="1021"/>
      <c r="AM253" s="1021"/>
      <c r="AN253" s="1021"/>
      <c r="AO253" s="1021"/>
      <c r="AP253" s="1021"/>
      <c r="AQ253" s="1021"/>
      <c r="AR253" s="1021"/>
      <c r="AS253" s="1021"/>
      <c r="AT253" s="1021"/>
      <c r="AU253" s="1021"/>
      <c r="AV253" s="1021"/>
      <c r="AW253" s="1021"/>
      <c r="AX253" s="1021"/>
      <c r="AY253" s="1021"/>
      <c r="AZ253" s="1021"/>
      <c r="BA253" s="1021"/>
      <c r="BB253" s="1021"/>
      <c r="BC253" s="1021"/>
      <c r="BD253" s="1021"/>
      <c r="BE253" s="1021"/>
      <c r="BF253" s="1021"/>
      <c r="BG253" s="1021"/>
      <c r="BH253" s="1021"/>
      <c r="BI253" s="1021"/>
      <c r="BJ253" s="1021"/>
      <c r="BK253" s="1021"/>
      <c r="BL253" s="1021"/>
      <c r="BM253" s="1021"/>
      <c r="BN253" s="1021"/>
      <c r="BO253" s="1021"/>
      <c r="BP253" s="1021"/>
      <c r="BQ253" s="1021"/>
      <c r="BR253" s="1021"/>
      <c r="BS253" s="1021"/>
      <c r="BT253" s="1021"/>
      <c r="BU253" s="1021"/>
      <c r="BV253" s="1021"/>
      <c r="BW253" s="1021"/>
      <c r="BX253" s="1021"/>
      <c r="BY253" s="1021"/>
      <c r="BZ253" s="1021"/>
      <c r="CA253" s="1021"/>
      <c r="CB253" s="1021"/>
      <c r="CC253" s="1021"/>
    </row>
    <row r="254" spans="8:81" x14ac:dyDescent="0.25">
      <c r="H254" s="1021"/>
      <c r="I254" s="1021"/>
      <c r="J254" s="1021"/>
      <c r="K254" s="1021"/>
      <c r="L254" s="1021"/>
      <c r="M254" s="1021"/>
      <c r="N254" s="1021"/>
      <c r="O254" s="1021"/>
      <c r="P254" s="1021"/>
      <c r="Q254" s="1021"/>
      <c r="R254" s="1021"/>
      <c r="S254" s="1021"/>
      <c r="T254" s="1021"/>
      <c r="U254" s="1021"/>
      <c r="V254" s="1021"/>
      <c r="W254" s="1021"/>
      <c r="X254" s="1021"/>
      <c r="Y254" s="1021"/>
      <c r="Z254" s="1021"/>
      <c r="AA254" s="1021"/>
      <c r="AB254" s="1021"/>
      <c r="AC254" s="1021"/>
      <c r="AD254" s="1021"/>
      <c r="AE254" s="1021"/>
      <c r="AF254" s="1021"/>
      <c r="AG254" s="1021"/>
      <c r="AH254" s="1021"/>
      <c r="AI254" s="1021"/>
      <c r="AJ254" s="1021"/>
      <c r="AK254" s="1021"/>
      <c r="AL254" s="1021"/>
      <c r="AM254" s="1021"/>
      <c r="AN254" s="1021"/>
      <c r="AO254" s="1021"/>
      <c r="AP254" s="1021"/>
      <c r="AQ254" s="1021"/>
      <c r="AR254" s="1021"/>
      <c r="AS254" s="1021"/>
      <c r="AT254" s="1021"/>
      <c r="AU254" s="1021"/>
      <c r="AV254" s="1021"/>
      <c r="AW254" s="1021"/>
      <c r="AX254" s="1021"/>
      <c r="AY254" s="1021"/>
      <c r="AZ254" s="1021"/>
      <c r="BA254" s="1021"/>
      <c r="BB254" s="1021"/>
      <c r="BC254" s="1021"/>
      <c r="BD254" s="1021"/>
      <c r="BE254" s="1021"/>
      <c r="BF254" s="1021"/>
      <c r="BG254" s="1021"/>
      <c r="BH254" s="1021"/>
      <c r="BI254" s="1021"/>
      <c r="BJ254" s="1021"/>
      <c r="BK254" s="1021"/>
      <c r="BL254" s="1021"/>
      <c r="BM254" s="1021"/>
      <c r="BN254" s="1021"/>
      <c r="BO254" s="1021"/>
      <c r="BP254" s="1021"/>
      <c r="BQ254" s="1021"/>
      <c r="BR254" s="1021"/>
      <c r="BS254" s="1021"/>
      <c r="BT254" s="1021"/>
      <c r="BU254" s="1021"/>
      <c r="BV254" s="1021"/>
      <c r="BW254" s="1021"/>
      <c r="BX254" s="1021"/>
      <c r="BY254" s="1021"/>
      <c r="BZ254" s="1021"/>
      <c r="CA254" s="1021"/>
      <c r="CB254" s="1021"/>
      <c r="CC254" s="1021"/>
    </row>
    <row r="255" spans="8:81" x14ac:dyDescent="0.25">
      <c r="H255" s="1021"/>
      <c r="I255" s="1021"/>
      <c r="J255" s="1021"/>
      <c r="K255" s="1021"/>
      <c r="L255" s="1021"/>
      <c r="M255" s="1021"/>
      <c r="N255" s="1021"/>
      <c r="O255" s="1021"/>
      <c r="P255" s="1021"/>
      <c r="Q255" s="1021"/>
      <c r="R255" s="1021"/>
      <c r="S255" s="1021"/>
      <c r="T255" s="1021"/>
      <c r="U255" s="1021"/>
      <c r="V255" s="1021"/>
      <c r="W255" s="1021"/>
      <c r="X255" s="1021"/>
      <c r="Y255" s="1021"/>
      <c r="Z255" s="1021"/>
      <c r="AA255" s="1021"/>
      <c r="AB255" s="1021"/>
      <c r="AC255" s="1021"/>
      <c r="AD255" s="1021"/>
      <c r="AE255" s="1021"/>
      <c r="AF255" s="1021"/>
      <c r="AG255" s="1021"/>
      <c r="AH255" s="1021"/>
      <c r="AI255" s="1021"/>
      <c r="AJ255" s="1021"/>
      <c r="AK255" s="1021"/>
      <c r="AL255" s="1021"/>
      <c r="AM255" s="1021"/>
      <c r="AN255" s="1021"/>
      <c r="AO255" s="1021"/>
      <c r="AP255" s="1021"/>
      <c r="AQ255" s="1021"/>
      <c r="AR255" s="1021"/>
      <c r="AS255" s="1021"/>
      <c r="AT255" s="1021"/>
      <c r="AU255" s="1021"/>
      <c r="AV255" s="1021"/>
      <c r="AW255" s="1021"/>
      <c r="AX255" s="1021"/>
      <c r="AY255" s="1021"/>
      <c r="AZ255" s="1021"/>
      <c r="BA255" s="1021"/>
      <c r="BB255" s="1021"/>
      <c r="BC255" s="1021"/>
      <c r="BD255" s="1021"/>
      <c r="BE255" s="1021"/>
      <c r="BF255" s="1021"/>
      <c r="BG255" s="1021"/>
      <c r="BH255" s="1021"/>
      <c r="BI255" s="1021"/>
      <c r="BJ255" s="1021"/>
      <c r="BK255" s="1021"/>
      <c r="BL255" s="1021"/>
      <c r="BM255" s="1021"/>
      <c r="BN255" s="1021"/>
      <c r="BO255" s="1021"/>
      <c r="BP255" s="1021"/>
      <c r="BQ255" s="1021"/>
      <c r="BR255" s="1021"/>
      <c r="BS255" s="1021"/>
      <c r="BT255" s="1021"/>
      <c r="BU255" s="1021"/>
      <c r="BV255" s="1021"/>
      <c r="BW255" s="1021"/>
      <c r="BX255" s="1021"/>
      <c r="BY255" s="1021"/>
      <c r="BZ255" s="1021"/>
      <c r="CA255" s="1021"/>
      <c r="CB255" s="1021"/>
      <c r="CC255" s="1021"/>
    </row>
    <row r="256" spans="8:81" x14ac:dyDescent="0.25">
      <c r="H256" s="1021"/>
      <c r="I256" s="1021"/>
      <c r="J256" s="1021"/>
      <c r="K256" s="1021"/>
      <c r="L256" s="1021"/>
      <c r="M256" s="1021"/>
      <c r="N256" s="1021"/>
      <c r="O256" s="1021"/>
      <c r="P256" s="1021"/>
      <c r="Q256" s="1021"/>
      <c r="R256" s="1021"/>
      <c r="S256" s="1021"/>
      <c r="T256" s="1021"/>
      <c r="U256" s="1021"/>
      <c r="V256" s="1021"/>
      <c r="W256" s="1021"/>
      <c r="X256" s="1021"/>
      <c r="Y256" s="1021"/>
      <c r="Z256" s="1021"/>
      <c r="AA256" s="1021"/>
      <c r="AB256" s="1021"/>
      <c r="AC256" s="1021"/>
      <c r="AD256" s="1021"/>
      <c r="AE256" s="1021"/>
      <c r="AF256" s="1021"/>
      <c r="AG256" s="1021"/>
      <c r="AH256" s="1021"/>
      <c r="AI256" s="1021"/>
      <c r="AJ256" s="1021"/>
      <c r="AK256" s="1021"/>
      <c r="AL256" s="1021"/>
      <c r="AM256" s="1021"/>
      <c r="AN256" s="1021"/>
      <c r="AO256" s="1021"/>
      <c r="AP256" s="1021"/>
      <c r="AQ256" s="1021"/>
      <c r="AR256" s="1021"/>
      <c r="AS256" s="1021"/>
      <c r="AT256" s="1021"/>
      <c r="AU256" s="1021"/>
      <c r="AV256" s="1021"/>
      <c r="AW256" s="1021"/>
      <c r="AX256" s="1021"/>
      <c r="AY256" s="1021"/>
      <c r="AZ256" s="1021"/>
      <c r="BA256" s="1021"/>
      <c r="BB256" s="1021"/>
      <c r="BC256" s="1021"/>
      <c r="BD256" s="1021"/>
      <c r="BE256" s="1021"/>
      <c r="BF256" s="1021"/>
      <c r="BG256" s="1021"/>
      <c r="BH256" s="1021"/>
      <c r="BI256" s="1021"/>
      <c r="BJ256" s="1021"/>
      <c r="BK256" s="1021"/>
      <c r="BL256" s="1021"/>
      <c r="BM256" s="1021"/>
      <c r="BN256" s="1021"/>
      <c r="BO256" s="1021"/>
      <c r="BP256" s="1021"/>
      <c r="BQ256" s="1021"/>
      <c r="BR256" s="1021"/>
      <c r="BS256" s="1021"/>
      <c r="BT256" s="1021"/>
      <c r="BU256" s="1021"/>
      <c r="BV256" s="1021"/>
      <c r="BW256" s="1021"/>
      <c r="BX256" s="1021"/>
      <c r="BY256" s="1021"/>
      <c r="BZ256" s="1021"/>
      <c r="CA256" s="1021"/>
      <c r="CB256" s="1021"/>
      <c r="CC256" s="1021"/>
    </row>
    <row r="257" spans="8:81" x14ac:dyDescent="0.25">
      <c r="H257" s="1021"/>
      <c r="I257" s="1021"/>
      <c r="J257" s="1021"/>
      <c r="K257" s="1021"/>
      <c r="L257" s="1021"/>
      <c r="M257" s="1021"/>
      <c r="N257" s="1021"/>
      <c r="O257" s="1021"/>
      <c r="P257" s="1021"/>
      <c r="Q257" s="1021"/>
      <c r="R257" s="1021"/>
      <c r="S257" s="1021"/>
      <c r="T257" s="1021"/>
      <c r="U257" s="1021"/>
      <c r="V257" s="1021"/>
      <c r="W257" s="1021"/>
      <c r="X257" s="1021"/>
      <c r="Y257" s="1021"/>
      <c r="Z257" s="1021"/>
      <c r="AA257" s="1021"/>
      <c r="AB257" s="1021"/>
      <c r="AC257" s="1021"/>
      <c r="AD257" s="1021"/>
      <c r="AE257" s="1021"/>
      <c r="AF257" s="1021"/>
      <c r="AG257" s="1021"/>
      <c r="AH257" s="1021"/>
      <c r="AI257" s="1021"/>
      <c r="AJ257" s="1021"/>
      <c r="AK257" s="1021"/>
      <c r="AL257" s="1021"/>
      <c r="AM257" s="1021"/>
      <c r="AN257" s="1021"/>
      <c r="AO257" s="1021"/>
      <c r="AP257" s="1021"/>
      <c r="AQ257" s="1021"/>
      <c r="AR257" s="1021"/>
      <c r="AS257" s="1021"/>
      <c r="AT257" s="1021"/>
      <c r="AU257" s="1021"/>
      <c r="AV257" s="1021"/>
      <c r="AW257" s="1021"/>
      <c r="AX257" s="1021"/>
      <c r="AY257" s="1021"/>
      <c r="AZ257" s="1021"/>
      <c r="BA257" s="1021"/>
      <c r="BB257" s="1021"/>
      <c r="BC257" s="1021"/>
      <c r="BD257" s="1021"/>
      <c r="BE257" s="1021"/>
      <c r="BF257" s="1021"/>
      <c r="BG257" s="1021"/>
      <c r="BH257" s="1021"/>
      <c r="BI257" s="1021"/>
      <c r="BJ257" s="1021"/>
      <c r="BK257" s="1021"/>
      <c r="BL257" s="1021"/>
      <c r="BM257" s="1021"/>
      <c r="BN257" s="1021"/>
      <c r="BO257" s="1021"/>
      <c r="BP257" s="1021"/>
      <c r="BQ257" s="1021"/>
      <c r="BR257" s="1021"/>
      <c r="BS257" s="1021"/>
      <c r="BT257" s="1021"/>
      <c r="BU257" s="1021"/>
      <c r="BV257" s="1021"/>
      <c r="BW257" s="1021"/>
      <c r="BX257" s="1021"/>
      <c r="BY257" s="1021"/>
      <c r="BZ257" s="1021"/>
      <c r="CA257" s="1021"/>
      <c r="CB257" s="1021"/>
      <c r="CC257" s="1021"/>
    </row>
    <row r="258" spans="8:81" x14ac:dyDescent="0.25">
      <c r="H258" s="1021"/>
      <c r="I258" s="1021"/>
      <c r="J258" s="1021"/>
      <c r="K258" s="1021"/>
      <c r="L258" s="1021"/>
      <c r="M258" s="1021"/>
      <c r="N258" s="1021"/>
      <c r="O258" s="1021"/>
      <c r="P258" s="1021"/>
      <c r="Q258" s="1021"/>
      <c r="R258" s="1021"/>
      <c r="S258" s="1021"/>
      <c r="T258" s="1021"/>
      <c r="U258" s="1021"/>
      <c r="V258" s="1021"/>
      <c r="W258" s="1021"/>
      <c r="X258" s="1021"/>
      <c r="Y258" s="1021"/>
      <c r="Z258" s="1021"/>
      <c r="AA258" s="1021"/>
      <c r="AB258" s="1021"/>
      <c r="AC258" s="1021"/>
      <c r="AD258" s="1021"/>
      <c r="AE258" s="1021"/>
      <c r="AF258" s="1021"/>
      <c r="AG258" s="1021"/>
      <c r="AH258" s="1021"/>
      <c r="AI258" s="1021"/>
      <c r="AJ258" s="1021"/>
      <c r="AK258" s="1021"/>
      <c r="AL258" s="1021"/>
      <c r="AM258" s="1021"/>
      <c r="AN258" s="1021"/>
      <c r="AO258" s="1021"/>
      <c r="AP258" s="1021"/>
      <c r="AQ258" s="1021"/>
      <c r="AR258" s="1021"/>
      <c r="AS258" s="1021"/>
      <c r="AT258" s="1021"/>
      <c r="AU258" s="1021"/>
      <c r="AV258" s="1021"/>
      <c r="AW258" s="1021"/>
      <c r="AX258" s="1021"/>
      <c r="AY258" s="1021"/>
      <c r="AZ258" s="1021"/>
      <c r="BA258" s="1021"/>
      <c r="BB258" s="1021"/>
      <c r="BC258" s="1021"/>
      <c r="BD258" s="1021"/>
      <c r="BE258" s="1021"/>
      <c r="BF258" s="1021"/>
      <c r="BG258" s="1021"/>
      <c r="BH258" s="1021"/>
      <c r="BI258" s="1021"/>
      <c r="BJ258" s="1021"/>
      <c r="BK258" s="1021"/>
      <c r="BL258" s="1021"/>
      <c r="BM258" s="1021"/>
      <c r="BN258" s="1021"/>
      <c r="BO258" s="1021"/>
      <c r="BP258" s="1021"/>
      <c r="BQ258" s="1021"/>
      <c r="BR258" s="1021"/>
      <c r="BS258" s="1021"/>
      <c r="BT258" s="1021"/>
      <c r="BU258" s="1021"/>
      <c r="BV258" s="1021"/>
      <c r="BW258" s="1021"/>
      <c r="BX258" s="1021"/>
      <c r="BY258" s="1021"/>
      <c r="BZ258" s="1021"/>
      <c r="CA258" s="1021"/>
      <c r="CB258" s="1021"/>
      <c r="CC258" s="1021"/>
    </row>
    <row r="259" spans="8:81" x14ac:dyDescent="0.25">
      <c r="H259" s="1021"/>
      <c r="I259" s="1021"/>
      <c r="J259" s="1021"/>
      <c r="K259" s="1021"/>
      <c r="L259" s="1021"/>
      <c r="M259" s="1021"/>
      <c r="N259" s="1021"/>
      <c r="O259" s="1021"/>
      <c r="P259" s="1021"/>
      <c r="Q259" s="1021"/>
      <c r="R259" s="1021"/>
      <c r="S259" s="1021"/>
      <c r="T259" s="1021"/>
      <c r="U259" s="1021"/>
      <c r="V259" s="1021"/>
      <c r="W259" s="1021"/>
      <c r="X259" s="1021"/>
      <c r="Y259" s="1021"/>
      <c r="Z259" s="1021"/>
      <c r="AA259" s="1021"/>
      <c r="AB259" s="1021"/>
      <c r="AC259" s="1021"/>
      <c r="AD259" s="1021"/>
      <c r="AE259" s="1021"/>
      <c r="AF259" s="1021"/>
      <c r="AG259" s="1021"/>
      <c r="AH259" s="1021"/>
      <c r="AI259" s="1021"/>
      <c r="AJ259" s="1021"/>
      <c r="AK259" s="1021"/>
      <c r="AL259" s="1021"/>
      <c r="AM259" s="1021"/>
      <c r="AN259" s="1021"/>
      <c r="AO259" s="1021"/>
      <c r="AP259" s="1021"/>
      <c r="AQ259" s="1021"/>
      <c r="AR259" s="1021"/>
      <c r="AS259" s="1021"/>
      <c r="AT259" s="1021"/>
      <c r="AU259" s="1021"/>
      <c r="AV259" s="1021"/>
      <c r="AW259" s="1021"/>
      <c r="AX259" s="1021"/>
      <c r="AY259" s="1021"/>
      <c r="AZ259" s="1021"/>
      <c r="BA259" s="1021"/>
      <c r="BB259" s="1021"/>
      <c r="BC259" s="1021"/>
      <c r="BD259" s="1021"/>
      <c r="BE259" s="1021"/>
      <c r="BF259" s="1021"/>
      <c r="BG259" s="1021"/>
      <c r="BH259" s="1021"/>
      <c r="BI259" s="1021"/>
      <c r="BJ259" s="1021"/>
      <c r="BK259" s="1021"/>
      <c r="BL259" s="1021"/>
      <c r="BM259" s="1021"/>
      <c r="BN259" s="1021"/>
      <c r="BO259" s="1021"/>
      <c r="BP259" s="1021"/>
      <c r="BQ259" s="1021"/>
      <c r="BR259" s="1021"/>
      <c r="BS259" s="1021"/>
      <c r="BT259" s="1021"/>
      <c r="BU259" s="1021"/>
      <c r="BV259" s="1021"/>
      <c r="BW259" s="1021"/>
      <c r="BX259" s="1021"/>
      <c r="BY259" s="1021"/>
      <c r="BZ259" s="1021"/>
      <c r="CA259" s="1021"/>
      <c r="CB259" s="1021"/>
      <c r="CC259" s="1021"/>
    </row>
    <row r="260" spans="8:81" x14ac:dyDescent="0.25">
      <c r="H260" s="1021"/>
      <c r="I260" s="1021"/>
      <c r="J260" s="1021"/>
      <c r="K260" s="1021"/>
      <c r="L260" s="1021"/>
      <c r="M260" s="1021"/>
      <c r="N260" s="1021"/>
      <c r="O260" s="1021"/>
      <c r="P260" s="1021"/>
      <c r="Q260" s="1021"/>
      <c r="R260" s="1021"/>
      <c r="S260" s="1021"/>
      <c r="T260" s="1021"/>
      <c r="U260" s="1021"/>
      <c r="V260" s="1021"/>
      <c r="W260" s="1021"/>
      <c r="X260" s="1021"/>
      <c r="Y260" s="1021"/>
      <c r="Z260" s="1021"/>
      <c r="AA260" s="1021"/>
      <c r="AB260" s="1021"/>
      <c r="AC260" s="1021"/>
      <c r="AD260" s="1021"/>
      <c r="AE260" s="1021"/>
      <c r="AF260" s="1021"/>
      <c r="AG260" s="1021"/>
      <c r="AH260" s="1021"/>
      <c r="AI260" s="1021"/>
      <c r="AJ260" s="1021"/>
      <c r="AK260" s="1021"/>
      <c r="AL260" s="1021"/>
      <c r="AM260" s="1021"/>
      <c r="AN260" s="1021"/>
      <c r="AO260" s="1021"/>
      <c r="AP260" s="1021"/>
      <c r="AQ260" s="1021"/>
      <c r="AR260" s="1021"/>
      <c r="AS260" s="1021"/>
      <c r="AT260" s="1021"/>
      <c r="AU260" s="1021"/>
      <c r="AV260" s="1021"/>
      <c r="AW260" s="1021"/>
      <c r="AX260" s="1021"/>
      <c r="AY260" s="1021"/>
      <c r="AZ260" s="1021"/>
      <c r="BA260" s="1021"/>
      <c r="BB260" s="1021"/>
      <c r="BC260" s="1021"/>
      <c r="BD260" s="1021"/>
      <c r="BE260" s="1021"/>
      <c r="BF260" s="1021"/>
      <c r="BG260" s="1021"/>
      <c r="BH260" s="1021"/>
      <c r="BI260" s="1021"/>
      <c r="BJ260" s="1021"/>
      <c r="BK260" s="1021"/>
      <c r="BL260" s="1021"/>
      <c r="BM260" s="1021"/>
      <c r="BN260" s="1021"/>
      <c r="BO260" s="1021"/>
      <c r="BP260" s="1021"/>
      <c r="BQ260" s="1021"/>
      <c r="BR260" s="1021"/>
      <c r="BS260" s="1021"/>
      <c r="BT260" s="1021"/>
      <c r="BU260" s="1021"/>
      <c r="BV260" s="1021"/>
      <c r="BW260" s="1021"/>
      <c r="BX260" s="1021"/>
      <c r="BY260" s="1021"/>
      <c r="BZ260" s="1021"/>
      <c r="CA260" s="1021"/>
      <c r="CB260" s="1021"/>
      <c r="CC260" s="1021"/>
    </row>
    <row r="261" spans="8:81" x14ac:dyDescent="0.25">
      <c r="H261" s="1021"/>
      <c r="I261" s="1021"/>
      <c r="J261" s="1021"/>
      <c r="K261" s="1021"/>
      <c r="L261" s="1021"/>
      <c r="M261" s="1021"/>
      <c r="N261" s="1021"/>
      <c r="O261" s="1021"/>
      <c r="P261" s="1021"/>
      <c r="Q261" s="1021"/>
      <c r="R261" s="1021"/>
      <c r="S261" s="1021"/>
      <c r="T261" s="1021"/>
      <c r="U261" s="1021"/>
      <c r="V261" s="1021"/>
      <c r="W261" s="1021"/>
      <c r="X261" s="1021"/>
      <c r="Y261" s="1021"/>
      <c r="Z261" s="1021"/>
      <c r="AA261" s="1021"/>
      <c r="AB261" s="1021"/>
      <c r="AC261" s="1021"/>
      <c r="AD261" s="1021"/>
      <c r="AE261" s="1021"/>
      <c r="AF261" s="1021"/>
      <c r="AG261" s="1021"/>
      <c r="AH261" s="1021"/>
      <c r="AI261" s="1021"/>
      <c r="AJ261" s="1021"/>
      <c r="AK261" s="1021"/>
      <c r="AL261" s="1021"/>
      <c r="AM261" s="1021"/>
      <c r="AN261" s="1021"/>
      <c r="AO261" s="1021"/>
      <c r="AP261" s="1021"/>
      <c r="AQ261" s="1021"/>
      <c r="AR261" s="1021"/>
      <c r="AS261" s="1021"/>
      <c r="AT261" s="1021"/>
      <c r="AU261" s="1021"/>
      <c r="AV261" s="1021"/>
      <c r="AW261" s="1021"/>
      <c r="AX261" s="1021"/>
      <c r="AY261" s="1021"/>
      <c r="AZ261" s="1021"/>
      <c r="BA261" s="1021"/>
      <c r="BB261" s="1021"/>
      <c r="BC261" s="1021"/>
      <c r="BD261" s="1021"/>
      <c r="BE261" s="1021"/>
      <c r="BF261" s="1021"/>
      <c r="BG261" s="1021"/>
      <c r="BH261" s="1021"/>
      <c r="BI261" s="1021"/>
      <c r="BJ261" s="1021"/>
      <c r="BK261" s="1021"/>
      <c r="BL261" s="1021"/>
      <c r="BM261" s="1021"/>
      <c r="BN261" s="1021"/>
      <c r="BO261" s="1021"/>
      <c r="BP261" s="1021"/>
      <c r="BQ261" s="1021"/>
      <c r="BR261" s="1021"/>
      <c r="BS261" s="1021"/>
      <c r="BT261" s="1021"/>
      <c r="BU261" s="1021"/>
      <c r="BV261" s="1021"/>
      <c r="BW261" s="1021"/>
      <c r="BX261" s="1021"/>
      <c r="BY261" s="1021"/>
      <c r="BZ261" s="1021"/>
      <c r="CA261" s="1021"/>
      <c r="CB261" s="1021"/>
      <c r="CC261" s="1021"/>
    </row>
    <row r="262" spans="8:81" x14ac:dyDescent="0.25">
      <c r="H262" s="1021"/>
      <c r="I262" s="1021"/>
      <c r="J262" s="1021"/>
      <c r="K262" s="1021"/>
      <c r="L262" s="1021"/>
      <c r="M262" s="1021"/>
      <c r="N262" s="1021"/>
      <c r="O262" s="1021"/>
      <c r="P262" s="1021"/>
      <c r="Q262" s="1021"/>
      <c r="R262" s="1021"/>
      <c r="S262" s="1021"/>
      <c r="T262" s="1021"/>
      <c r="U262" s="1021"/>
      <c r="V262" s="1021"/>
      <c r="W262" s="1021"/>
      <c r="X262" s="1021"/>
      <c r="Y262" s="1021"/>
      <c r="Z262" s="1021"/>
      <c r="AA262" s="1021"/>
      <c r="AB262" s="1021"/>
      <c r="AC262" s="1021"/>
      <c r="AD262" s="1021"/>
      <c r="AE262" s="1021"/>
      <c r="AF262" s="1021"/>
      <c r="AG262" s="1021"/>
      <c r="AH262" s="1021"/>
      <c r="AI262" s="1021"/>
      <c r="AJ262" s="1021"/>
      <c r="AK262" s="1021"/>
      <c r="AL262" s="1021"/>
      <c r="AM262" s="1021"/>
      <c r="AN262" s="1021"/>
      <c r="AO262" s="1021"/>
      <c r="AP262" s="1021"/>
      <c r="AQ262" s="1021"/>
      <c r="AR262" s="1021"/>
      <c r="AS262" s="1021"/>
      <c r="AT262" s="1021"/>
      <c r="AU262" s="1021"/>
      <c r="AV262" s="1021"/>
      <c r="AW262" s="1021"/>
      <c r="AX262" s="1021"/>
      <c r="AY262" s="1021"/>
      <c r="AZ262" s="1021"/>
      <c r="BA262" s="1021"/>
      <c r="BB262" s="1021"/>
      <c r="BC262" s="1021"/>
      <c r="BD262" s="1021"/>
      <c r="BE262" s="1021"/>
      <c r="BF262" s="1021"/>
      <c r="BG262" s="1021"/>
      <c r="BH262" s="1021"/>
      <c r="BI262" s="1021"/>
      <c r="BJ262" s="1021"/>
      <c r="BK262" s="1021"/>
      <c r="BL262" s="1021"/>
      <c r="BM262" s="1021"/>
      <c r="BN262" s="1021"/>
      <c r="BO262" s="1021"/>
      <c r="BP262" s="1021"/>
      <c r="BQ262" s="1021"/>
      <c r="BR262" s="1021"/>
      <c r="BS262" s="1021"/>
      <c r="BT262" s="1021"/>
      <c r="BU262" s="1021"/>
      <c r="BV262" s="1021"/>
      <c r="BW262" s="1021"/>
      <c r="BX262" s="1021"/>
      <c r="BY262" s="1021"/>
      <c r="BZ262" s="1021"/>
      <c r="CA262" s="1021"/>
      <c r="CB262" s="1021"/>
      <c r="CC262" s="1021"/>
    </row>
    <row r="263" spans="8:81" x14ac:dyDescent="0.25">
      <c r="H263" s="1021"/>
      <c r="I263" s="1021"/>
      <c r="J263" s="1021"/>
      <c r="K263" s="1021"/>
      <c r="L263" s="1021"/>
      <c r="M263" s="1021"/>
      <c r="N263" s="1021"/>
      <c r="O263" s="1021"/>
      <c r="P263" s="1021"/>
      <c r="Q263" s="1021"/>
      <c r="R263" s="1021"/>
      <c r="S263" s="1021"/>
      <c r="T263" s="1021"/>
      <c r="U263" s="1021"/>
      <c r="V263" s="1021"/>
      <c r="W263" s="1021"/>
      <c r="X263" s="1021"/>
      <c r="Y263" s="1021"/>
      <c r="Z263" s="1021"/>
      <c r="AA263" s="1021"/>
      <c r="AB263" s="1021"/>
      <c r="AC263" s="1021"/>
      <c r="AD263" s="1021"/>
      <c r="AE263" s="1021"/>
      <c r="AF263" s="1021"/>
      <c r="AG263" s="1021"/>
      <c r="AH263" s="1021"/>
      <c r="AI263" s="1021"/>
      <c r="AJ263" s="1021"/>
      <c r="AK263" s="1021"/>
      <c r="AL263" s="1021"/>
      <c r="AM263" s="1021"/>
      <c r="AN263" s="1021"/>
      <c r="AO263" s="1021"/>
      <c r="AP263" s="1021"/>
      <c r="AQ263" s="1021"/>
      <c r="AR263" s="1021"/>
      <c r="AS263" s="1021"/>
      <c r="AT263" s="1021"/>
      <c r="AU263" s="1021"/>
      <c r="AV263" s="1021"/>
      <c r="AW263" s="1021"/>
      <c r="AX263" s="1021"/>
      <c r="AY263" s="1021"/>
      <c r="AZ263" s="1021"/>
      <c r="BA263" s="1021"/>
      <c r="BB263" s="1021"/>
      <c r="BC263" s="1021"/>
      <c r="BD263" s="1021"/>
      <c r="BE263" s="1021"/>
      <c r="BF263" s="1021"/>
      <c r="BG263" s="1021"/>
      <c r="BH263" s="1021"/>
      <c r="BI263" s="1021"/>
      <c r="BJ263" s="1021"/>
      <c r="BK263" s="1021"/>
      <c r="BL263" s="1021"/>
      <c r="BM263" s="1021"/>
      <c r="BN263" s="1021"/>
      <c r="BO263" s="1021"/>
      <c r="BP263" s="1021"/>
      <c r="BQ263" s="1021"/>
      <c r="BR263" s="1021"/>
      <c r="BS263" s="1021"/>
      <c r="BT263" s="1021"/>
      <c r="BU263" s="1021"/>
      <c r="BV263" s="1021"/>
      <c r="BW263" s="1021"/>
      <c r="BX263" s="1021"/>
      <c r="BY263" s="1021"/>
      <c r="BZ263" s="1021"/>
      <c r="CA263" s="1021"/>
      <c r="CB263" s="1021"/>
      <c r="CC263" s="1021"/>
    </row>
    <row r="264" spans="8:81" x14ac:dyDescent="0.25">
      <c r="H264" s="1021"/>
      <c r="I264" s="1021"/>
      <c r="J264" s="1021"/>
      <c r="K264" s="1021"/>
      <c r="L264" s="1021"/>
      <c r="M264" s="1021"/>
      <c r="N264" s="1021"/>
      <c r="O264" s="1021"/>
      <c r="P264" s="1021"/>
      <c r="Q264" s="1021"/>
      <c r="R264" s="1021"/>
      <c r="S264" s="1021"/>
      <c r="T264" s="1021"/>
      <c r="U264" s="1021"/>
      <c r="V264" s="1021"/>
      <c r="W264" s="1021"/>
      <c r="X264" s="1021"/>
      <c r="Y264" s="1021"/>
      <c r="Z264" s="1021"/>
      <c r="AA264" s="1021"/>
      <c r="AB264" s="1021"/>
      <c r="AC264" s="1021"/>
      <c r="AD264" s="1021"/>
      <c r="AE264" s="1021"/>
      <c r="AF264" s="1021"/>
      <c r="AG264" s="1021"/>
      <c r="AH264" s="1021"/>
      <c r="AI264" s="1021"/>
      <c r="AJ264" s="1021"/>
      <c r="AK264" s="1021"/>
      <c r="AL264" s="1021"/>
      <c r="AM264" s="1021"/>
      <c r="AN264" s="1021"/>
      <c r="AO264" s="1021"/>
      <c r="AP264" s="1021"/>
      <c r="AQ264" s="1021"/>
      <c r="AR264" s="1021"/>
      <c r="AS264" s="1021"/>
      <c r="AT264" s="1021"/>
      <c r="AU264" s="1021"/>
      <c r="AV264" s="1021"/>
      <c r="AW264" s="1021"/>
      <c r="AX264" s="1021"/>
      <c r="AY264" s="1021"/>
      <c r="AZ264" s="1021"/>
      <c r="BA264" s="1021"/>
      <c r="BB264" s="1021"/>
      <c r="BC264" s="1021"/>
      <c r="BD264" s="1021"/>
      <c r="BE264" s="1021"/>
      <c r="BF264" s="1021"/>
      <c r="BG264" s="1021"/>
      <c r="BH264" s="1021"/>
      <c r="BI264" s="1021"/>
      <c r="BJ264" s="1021"/>
      <c r="BK264" s="1021"/>
      <c r="BL264" s="1021"/>
      <c r="BM264" s="1021"/>
      <c r="BN264" s="1021"/>
      <c r="BO264" s="1021"/>
      <c r="BP264" s="1021"/>
      <c r="BQ264" s="1021"/>
      <c r="BR264" s="1021"/>
      <c r="BS264" s="1021"/>
      <c r="BT264" s="1021"/>
      <c r="BU264" s="1021"/>
      <c r="BV264" s="1021"/>
      <c r="BW264" s="1021"/>
      <c r="BX264" s="1021"/>
      <c r="BY264" s="1021"/>
      <c r="BZ264" s="1021"/>
      <c r="CA264" s="1021"/>
      <c r="CB264" s="1021"/>
      <c r="CC264" s="1021"/>
    </row>
    <row r="265" spans="8:81" x14ac:dyDescent="0.25">
      <c r="H265" s="1021"/>
      <c r="I265" s="1021"/>
      <c r="J265" s="1021"/>
      <c r="K265" s="1021"/>
      <c r="L265" s="1021"/>
      <c r="M265" s="1021"/>
      <c r="N265" s="1021"/>
      <c r="O265" s="1021"/>
      <c r="P265" s="1021"/>
      <c r="Q265" s="1021"/>
      <c r="R265" s="1021"/>
      <c r="S265" s="1021"/>
      <c r="T265" s="1021"/>
      <c r="U265" s="1021"/>
      <c r="V265" s="1021"/>
      <c r="W265" s="1021"/>
      <c r="X265" s="1021"/>
      <c r="Y265" s="1021"/>
      <c r="Z265" s="1021"/>
      <c r="AA265" s="1021"/>
      <c r="AB265" s="1021"/>
      <c r="AC265" s="1021"/>
      <c r="AD265" s="1021"/>
      <c r="AE265" s="1021"/>
      <c r="AF265" s="1021"/>
      <c r="AG265" s="1021"/>
      <c r="AH265" s="1021"/>
      <c r="AI265" s="1021"/>
      <c r="AJ265" s="1021"/>
      <c r="AK265" s="1021"/>
      <c r="AL265" s="1021"/>
      <c r="AM265" s="1021"/>
      <c r="AN265" s="1021"/>
      <c r="AO265" s="1021"/>
      <c r="AP265" s="1021"/>
      <c r="AQ265" s="1021"/>
      <c r="AR265" s="1021"/>
      <c r="AS265" s="1021"/>
      <c r="AT265" s="1021"/>
      <c r="AU265" s="1021"/>
      <c r="AV265" s="1021"/>
      <c r="AW265" s="1021"/>
      <c r="AX265" s="1021"/>
      <c r="AY265" s="1021"/>
      <c r="AZ265" s="1021"/>
      <c r="BA265" s="1021"/>
      <c r="BB265" s="1021"/>
      <c r="BC265" s="1021"/>
      <c r="BD265" s="1021"/>
      <c r="BE265" s="1021"/>
      <c r="BF265" s="1021"/>
      <c r="BG265" s="1021"/>
      <c r="BH265" s="1021"/>
      <c r="BI265" s="1021"/>
      <c r="BJ265" s="1021"/>
      <c r="BK265" s="1021"/>
      <c r="BL265" s="1021"/>
      <c r="BM265" s="1021"/>
      <c r="BN265" s="1021"/>
      <c r="BO265" s="1021"/>
      <c r="BP265" s="1021"/>
      <c r="BQ265" s="1021"/>
      <c r="BR265" s="1021"/>
      <c r="BS265" s="1021"/>
      <c r="BT265" s="1021"/>
      <c r="BU265" s="1021"/>
      <c r="BV265" s="1021"/>
      <c r="BW265" s="1021"/>
      <c r="BX265" s="1021"/>
      <c r="BY265" s="1021"/>
      <c r="BZ265" s="1021"/>
      <c r="CA265" s="1021"/>
      <c r="CB265" s="1021"/>
      <c r="CC265" s="1021"/>
    </row>
    <row r="266" spans="8:81" x14ac:dyDescent="0.25">
      <c r="H266" s="1021"/>
      <c r="I266" s="1021"/>
      <c r="J266" s="1021"/>
      <c r="K266" s="1021"/>
      <c r="L266" s="1021"/>
      <c r="M266" s="1021"/>
      <c r="N266" s="1021"/>
      <c r="O266" s="1021"/>
      <c r="P266" s="1021"/>
      <c r="Q266" s="1021"/>
      <c r="R266" s="1021"/>
      <c r="S266" s="1021"/>
      <c r="T266" s="1021"/>
      <c r="U266" s="1021"/>
      <c r="V266" s="1021"/>
      <c r="W266" s="1021"/>
      <c r="X266" s="1021"/>
      <c r="Y266" s="1021"/>
      <c r="Z266" s="1021"/>
      <c r="AA266" s="1021"/>
      <c r="AB266" s="1021"/>
      <c r="AC266" s="1021"/>
      <c r="AD266" s="1021"/>
      <c r="AE266" s="1021"/>
      <c r="AF266" s="1021"/>
      <c r="AG266" s="1021"/>
      <c r="AH266" s="1021"/>
      <c r="AI266" s="1021"/>
      <c r="AJ266" s="1021"/>
      <c r="AK266" s="1021"/>
      <c r="AL266" s="1021"/>
      <c r="AM266" s="1021"/>
      <c r="AN266" s="1021"/>
      <c r="AO266" s="1021"/>
      <c r="AP266" s="1021"/>
      <c r="AQ266" s="1021"/>
      <c r="AR266" s="1021"/>
      <c r="AS266" s="1021"/>
      <c r="AT266" s="1021"/>
      <c r="AU266" s="1021"/>
      <c r="AV266" s="1021"/>
      <c r="AW266" s="1021"/>
      <c r="AX266" s="1021"/>
      <c r="AY266" s="1021"/>
      <c r="AZ266" s="1021"/>
      <c r="BA266" s="1021"/>
      <c r="BB266" s="1021"/>
      <c r="BC266" s="1021"/>
      <c r="BD266" s="1021"/>
      <c r="BE266" s="1021"/>
      <c r="BF266" s="1021"/>
      <c r="BG266" s="1021"/>
      <c r="BH266" s="1021"/>
      <c r="BI266" s="1021"/>
      <c r="BJ266" s="1021"/>
      <c r="BK266" s="1021"/>
      <c r="BL266" s="1021"/>
      <c r="BM266" s="1021"/>
      <c r="BN266" s="1021"/>
      <c r="BO266" s="1021"/>
      <c r="BP266" s="1021"/>
      <c r="BQ266" s="1021"/>
      <c r="BR266" s="1021"/>
      <c r="BS266" s="1021"/>
      <c r="BT266" s="1021"/>
      <c r="BU266" s="1021"/>
      <c r="BV266" s="1021"/>
      <c r="BW266" s="1021"/>
      <c r="BX266" s="1021"/>
      <c r="BY266" s="1021"/>
      <c r="BZ266" s="1021"/>
      <c r="CA266" s="1021"/>
      <c r="CB266" s="1021"/>
      <c r="CC266" s="1021"/>
    </row>
    <row r="267" spans="8:81" x14ac:dyDescent="0.25">
      <c r="H267" s="1021"/>
      <c r="I267" s="1021"/>
      <c r="J267" s="1021"/>
      <c r="K267" s="1021"/>
      <c r="L267" s="1021"/>
      <c r="M267" s="1021"/>
      <c r="N267" s="1021"/>
      <c r="O267" s="1021"/>
      <c r="P267" s="1021"/>
      <c r="Q267" s="1021"/>
      <c r="R267" s="1021"/>
      <c r="S267" s="1021"/>
      <c r="T267" s="1021"/>
      <c r="U267" s="1021"/>
      <c r="V267" s="1021"/>
      <c r="W267" s="1021"/>
      <c r="X267" s="1021"/>
      <c r="Y267" s="1021"/>
      <c r="Z267" s="1021"/>
      <c r="AA267" s="1021"/>
      <c r="AB267" s="1021"/>
      <c r="AC267" s="1021"/>
      <c r="AD267" s="1021"/>
      <c r="AE267" s="1021"/>
      <c r="AF267" s="1021"/>
      <c r="AG267" s="1021"/>
      <c r="AH267" s="1021"/>
      <c r="AI267" s="1021"/>
      <c r="AJ267" s="1021"/>
      <c r="AK267" s="1021"/>
      <c r="AL267" s="1021"/>
      <c r="AM267" s="1021"/>
      <c r="AN267" s="1021"/>
      <c r="AO267" s="1021"/>
      <c r="AP267" s="1021"/>
      <c r="AQ267" s="1021"/>
      <c r="AR267" s="1021"/>
      <c r="AS267" s="1021"/>
      <c r="AT267" s="1021"/>
      <c r="AU267" s="1021"/>
      <c r="AV267" s="1021"/>
      <c r="AW267" s="1021"/>
      <c r="AX267" s="1021"/>
      <c r="AY267" s="1021"/>
      <c r="AZ267" s="1021"/>
      <c r="BA267" s="1021"/>
      <c r="BB267" s="1021"/>
      <c r="BC267" s="1021"/>
      <c r="BD267" s="1021"/>
      <c r="BE267" s="1021"/>
      <c r="BF267" s="1021"/>
      <c r="BG267" s="1021"/>
      <c r="BH267" s="1021"/>
      <c r="BI267" s="1021"/>
      <c r="BJ267" s="1021"/>
      <c r="BK267" s="1021"/>
      <c r="BL267" s="1021"/>
      <c r="BM267" s="1021"/>
      <c r="BN267" s="1021"/>
      <c r="BO267" s="1021"/>
      <c r="BP267" s="1021"/>
      <c r="BQ267" s="1021"/>
      <c r="BR267" s="1021"/>
      <c r="BS267" s="1021"/>
      <c r="BT267" s="1021"/>
      <c r="BU267" s="1021"/>
      <c r="BV267" s="1021"/>
      <c r="BW267" s="1021"/>
      <c r="BX267" s="1021"/>
      <c r="BY267" s="1021"/>
      <c r="BZ267" s="1021"/>
      <c r="CA267" s="1021"/>
      <c r="CB267" s="1021"/>
      <c r="CC267" s="1021"/>
    </row>
    <row r="268" spans="8:81" x14ac:dyDescent="0.25">
      <c r="H268" s="1021"/>
      <c r="I268" s="1021"/>
      <c r="J268" s="1021"/>
      <c r="K268" s="1021"/>
      <c r="L268" s="1021"/>
      <c r="M268" s="1021"/>
      <c r="N268" s="1021"/>
      <c r="O268" s="1021"/>
      <c r="P268" s="1021"/>
      <c r="Q268" s="1021"/>
      <c r="R268" s="1021"/>
      <c r="S268" s="1021"/>
      <c r="T268" s="1021"/>
      <c r="U268" s="1021"/>
      <c r="V268" s="1021"/>
      <c r="W268" s="1021"/>
      <c r="X268" s="1021"/>
      <c r="Y268" s="1021"/>
      <c r="Z268" s="1021"/>
      <c r="AA268" s="1021"/>
      <c r="AB268" s="1021"/>
      <c r="AC268" s="1021"/>
      <c r="AD268" s="1021"/>
      <c r="AE268" s="1021"/>
      <c r="AF268" s="1021"/>
      <c r="AG268" s="1021"/>
      <c r="AH268" s="1021"/>
      <c r="AI268" s="1021"/>
      <c r="AJ268" s="1021"/>
      <c r="AK268" s="1021"/>
      <c r="AL268" s="1021"/>
      <c r="AM268" s="1021"/>
      <c r="AN268" s="1021"/>
      <c r="AO268" s="1021"/>
      <c r="AP268" s="1021"/>
      <c r="AQ268" s="1021"/>
      <c r="AR268" s="1021"/>
      <c r="AS268" s="1021"/>
      <c r="AT268" s="1021"/>
      <c r="AU268" s="1021"/>
      <c r="AV268" s="1021"/>
      <c r="AW268" s="1021"/>
      <c r="AX268" s="1021"/>
      <c r="AY268" s="1021"/>
      <c r="AZ268" s="1021"/>
      <c r="BA268" s="1021"/>
      <c r="BB268" s="1021"/>
      <c r="BC268" s="1021"/>
      <c r="BD268" s="1021"/>
      <c r="BE268" s="1021"/>
      <c r="BF268" s="1021"/>
      <c r="BG268" s="1021"/>
      <c r="BH268" s="1021"/>
      <c r="BI268" s="1021"/>
      <c r="BJ268" s="1021"/>
      <c r="BK268" s="1021"/>
      <c r="BL268" s="1021"/>
      <c r="BM268" s="1021"/>
      <c r="BN268" s="1021"/>
      <c r="BO268" s="1021"/>
      <c r="BP268" s="1021"/>
      <c r="BQ268" s="1021"/>
      <c r="BR268" s="1021"/>
      <c r="BS268" s="1021"/>
      <c r="BT268" s="1021"/>
      <c r="BU268" s="1021"/>
      <c r="BV268" s="1021"/>
      <c r="BW268" s="1021"/>
      <c r="BX268" s="1021"/>
      <c r="BY268" s="1021"/>
      <c r="BZ268" s="1021"/>
      <c r="CA268" s="1021"/>
      <c r="CB268" s="1021"/>
      <c r="CC268" s="1021"/>
    </row>
    <row r="269" spans="8:81" x14ac:dyDescent="0.25">
      <c r="H269" s="1021"/>
      <c r="I269" s="1021"/>
      <c r="J269" s="1021"/>
      <c r="K269" s="1021"/>
      <c r="L269" s="1021"/>
      <c r="M269" s="1021"/>
      <c r="N269" s="1021"/>
      <c r="O269" s="1021"/>
      <c r="P269" s="1021"/>
      <c r="Q269" s="1021"/>
      <c r="R269" s="1021"/>
      <c r="S269" s="1021"/>
      <c r="T269" s="1021"/>
      <c r="U269" s="1021"/>
      <c r="V269" s="1021"/>
      <c r="W269" s="1021"/>
      <c r="X269" s="1021"/>
      <c r="Y269" s="1021"/>
      <c r="Z269" s="1021"/>
      <c r="AA269" s="1021"/>
      <c r="AB269" s="1021"/>
      <c r="AC269" s="1021"/>
      <c r="AD269" s="1021"/>
      <c r="AE269" s="1021"/>
      <c r="AF269" s="1021"/>
      <c r="AG269" s="1021"/>
      <c r="AH269" s="1021"/>
      <c r="AI269" s="1021"/>
      <c r="AJ269" s="1021"/>
      <c r="AK269" s="1021"/>
      <c r="AL269" s="1021"/>
      <c r="AM269" s="1021"/>
      <c r="AN269" s="1021"/>
      <c r="AO269" s="1021"/>
      <c r="AP269" s="1021"/>
      <c r="AQ269" s="1021"/>
      <c r="AR269" s="1021"/>
      <c r="AS269" s="1021"/>
      <c r="AT269" s="1021"/>
      <c r="AU269" s="1021"/>
      <c r="AV269" s="1021"/>
      <c r="AW269" s="1021"/>
      <c r="AX269" s="1021"/>
      <c r="AY269" s="1021"/>
      <c r="AZ269" s="1021"/>
      <c r="BA269" s="1021"/>
      <c r="BB269" s="1021"/>
      <c r="BC269" s="1021"/>
      <c r="BD269" s="1021"/>
      <c r="BE269" s="1021"/>
      <c r="BF269" s="1021"/>
      <c r="BG269" s="1021"/>
      <c r="BH269" s="1021"/>
      <c r="BI269" s="1021"/>
      <c r="BJ269" s="1021"/>
      <c r="BK269" s="1021"/>
      <c r="BL269" s="1021"/>
      <c r="BM269" s="1021"/>
      <c r="BN269" s="1021"/>
      <c r="BO269" s="1021"/>
      <c r="BP269" s="1021"/>
      <c r="BQ269" s="1021"/>
      <c r="BR269" s="1021"/>
      <c r="BS269" s="1021"/>
      <c r="BT269" s="1021"/>
      <c r="BU269" s="1021"/>
      <c r="BV269" s="1021"/>
      <c r="BW269" s="1021"/>
      <c r="BX269" s="1021"/>
      <c r="BY269" s="1021"/>
      <c r="BZ269" s="1021"/>
      <c r="CA269" s="1021"/>
      <c r="CB269" s="1021"/>
      <c r="CC269" s="1021"/>
    </row>
    <row r="270" spans="8:81" x14ac:dyDescent="0.25">
      <c r="H270" s="1021"/>
      <c r="I270" s="1021"/>
      <c r="J270" s="1021"/>
      <c r="K270" s="1021"/>
      <c r="L270" s="1021"/>
      <c r="M270" s="1021"/>
      <c r="N270" s="1021"/>
      <c r="O270" s="1021"/>
      <c r="P270" s="1021"/>
      <c r="Q270" s="1021"/>
      <c r="R270" s="1021"/>
      <c r="S270" s="1021"/>
      <c r="T270" s="1021"/>
      <c r="U270" s="1021"/>
      <c r="V270" s="1021"/>
      <c r="W270" s="1021"/>
      <c r="X270" s="1021"/>
      <c r="Y270" s="1021"/>
      <c r="Z270" s="1021"/>
      <c r="AA270" s="1021"/>
      <c r="AB270" s="1021"/>
      <c r="AC270" s="1021"/>
      <c r="AD270" s="1021"/>
      <c r="AE270" s="1021"/>
      <c r="AF270" s="1021"/>
      <c r="AG270" s="1021"/>
      <c r="AH270" s="1021"/>
      <c r="AI270" s="1021"/>
      <c r="AJ270" s="1021"/>
      <c r="AK270" s="1021"/>
      <c r="AL270" s="1021"/>
      <c r="AM270" s="1021"/>
      <c r="AN270" s="1021"/>
      <c r="AO270" s="1021"/>
      <c r="AP270" s="1021"/>
      <c r="AQ270" s="1021"/>
      <c r="AR270" s="1021"/>
      <c r="AS270" s="1021"/>
      <c r="AT270" s="1021"/>
      <c r="AU270" s="1021"/>
      <c r="AV270" s="1021"/>
      <c r="AW270" s="1021"/>
      <c r="AX270" s="1021"/>
      <c r="AY270" s="1021"/>
      <c r="AZ270" s="1021"/>
      <c r="BA270" s="1021"/>
      <c r="BB270" s="1021"/>
      <c r="BC270" s="1021"/>
      <c r="BD270" s="1021"/>
      <c r="BE270" s="1021"/>
      <c r="BF270" s="1021"/>
      <c r="BG270" s="1021"/>
      <c r="BH270" s="1021"/>
      <c r="BI270" s="1021"/>
      <c r="BJ270" s="1021"/>
      <c r="BK270" s="1021"/>
      <c r="BL270" s="1021"/>
      <c r="BM270" s="1021"/>
      <c r="BN270" s="1021"/>
      <c r="BO270" s="1021"/>
      <c r="BP270" s="1021"/>
      <c r="BQ270" s="1021"/>
      <c r="BR270" s="1021"/>
      <c r="BS270" s="1021"/>
      <c r="BT270" s="1021"/>
      <c r="BU270" s="1021"/>
      <c r="BV270" s="1021"/>
      <c r="BW270" s="1021"/>
      <c r="BX270" s="1021"/>
      <c r="BY270" s="1021"/>
      <c r="BZ270" s="1021"/>
      <c r="CA270" s="1021"/>
      <c r="CB270" s="1021"/>
      <c r="CC270" s="1021"/>
    </row>
    <row r="271" spans="8:81" x14ac:dyDescent="0.25">
      <c r="H271" s="1021"/>
      <c r="I271" s="1021"/>
      <c r="J271" s="1021"/>
      <c r="K271" s="1021"/>
      <c r="L271" s="1021"/>
      <c r="M271" s="1021"/>
      <c r="N271" s="1021"/>
      <c r="O271" s="1021"/>
      <c r="P271" s="1021"/>
      <c r="Q271" s="1021"/>
      <c r="R271" s="1021"/>
      <c r="S271" s="1021"/>
      <c r="T271" s="1021"/>
      <c r="U271" s="1021"/>
      <c r="V271" s="1021"/>
      <c r="W271" s="1021"/>
      <c r="X271" s="1021"/>
      <c r="Y271" s="1021"/>
      <c r="Z271" s="1021"/>
      <c r="AA271" s="1021"/>
      <c r="AB271" s="1021"/>
      <c r="AC271" s="1021"/>
      <c r="AD271" s="1021"/>
      <c r="AE271" s="1021"/>
      <c r="AF271" s="1021"/>
      <c r="AG271" s="1021"/>
      <c r="AH271" s="1021"/>
      <c r="AI271" s="1021"/>
      <c r="AJ271" s="1021"/>
      <c r="AK271" s="1021"/>
      <c r="AL271" s="1021"/>
      <c r="AM271" s="1021"/>
      <c r="AN271" s="1021"/>
      <c r="AO271" s="1021"/>
      <c r="AP271" s="1021"/>
      <c r="AQ271" s="1021"/>
      <c r="AR271" s="1021"/>
      <c r="AS271" s="1021"/>
      <c r="AT271" s="1021"/>
      <c r="AU271" s="1021"/>
      <c r="AV271" s="1021"/>
      <c r="AW271" s="1021"/>
      <c r="AX271" s="1021"/>
      <c r="AY271" s="1021"/>
      <c r="AZ271" s="1021"/>
      <c r="BA271" s="1021"/>
      <c r="BB271" s="1021"/>
      <c r="BC271" s="1021"/>
      <c r="BD271" s="1021"/>
      <c r="BE271" s="1021"/>
      <c r="BF271" s="1021"/>
      <c r="BG271" s="1021"/>
      <c r="BH271" s="1021"/>
      <c r="BI271" s="1021"/>
      <c r="BJ271" s="1021"/>
      <c r="BK271" s="1021"/>
      <c r="BL271" s="1021"/>
      <c r="BM271" s="1021"/>
      <c r="BN271" s="1021"/>
      <c r="BO271" s="1021"/>
      <c r="BP271" s="1021"/>
      <c r="BQ271" s="1021"/>
      <c r="BR271" s="1021"/>
      <c r="BS271" s="1021"/>
      <c r="BT271" s="1021"/>
      <c r="BU271" s="1021"/>
      <c r="BV271" s="1021"/>
      <c r="BW271" s="1021"/>
      <c r="BX271" s="1021"/>
      <c r="BY271" s="1021"/>
      <c r="BZ271" s="1021"/>
      <c r="CA271" s="1021"/>
      <c r="CB271" s="1021"/>
      <c r="CC271" s="1021"/>
    </row>
    <row r="272" spans="8:81" x14ac:dyDescent="0.25">
      <c r="H272" s="1021"/>
      <c r="I272" s="1021"/>
      <c r="J272" s="1021"/>
      <c r="K272" s="1021"/>
      <c r="L272" s="1021"/>
      <c r="M272" s="1021"/>
      <c r="N272" s="1021"/>
      <c r="O272" s="1021"/>
      <c r="P272" s="1021"/>
      <c r="Q272" s="1021"/>
      <c r="R272" s="1021"/>
      <c r="S272" s="1021"/>
      <c r="T272" s="1021"/>
      <c r="U272" s="1021"/>
      <c r="V272" s="1021"/>
      <c r="W272" s="1021"/>
      <c r="X272" s="1021"/>
      <c r="Y272" s="1021"/>
      <c r="Z272" s="1021"/>
      <c r="AA272" s="1021"/>
      <c r="AB272" s="1021"/>
      <c r="AC272" s="1021"/>
      <c r="AD272" s="1021"/>
      <c r="AE272" s="1021"/>
      <c r="AF272" s="1021"/>
      <c r="AG272" s="1021"/>
      <c r="AH272" s="1021"/>
      <c r="AI272" s="1021"/>
      <c r="AJ272" s="1021"/>
      <c r="AK272" s="1021"/>
      <c r="AL272" s="1021"/>
      <c r="AM272" s="1021"/>
      <c r="AN272" s="1021"/>
      <c r="AO272" s="1021"/>
      <c r="AP272" s="1021"/>
      <c r="AQ272" s="1021"/>
      <c r="AR272" s="1021"/>
      <c r="AS272" s="1021"/>
      <c r="AT272" s="1021"/>
      <c r="AU272" s="1021"/>
      <c r="AV272" s="1021"/>
      <c r="AW272" s="1021"/>
      <c r="AX272" s="1021"/>
      <c r="AY272" s="1021"/>
      <c r="AZ272" s="1021"/>
      <c r="BA272" s="1021"/>
      <c r="BB272" s="1021"/>
      <c r="BC272" s="1021"/>
      <c r="BD272" s="1021"/>
      <c r="BE272" s="1021"/>
      <c r="BF272" s="1021"/>
      <c r="BG272" s="1021"/>
      <c r="BH272" s="1021"/>
      <c r="BI272" s="1021"/>
      <c r="BJ272" s="1021"/>
      <c r="BK272" s="1021"/>
      <c r="BL272" s="1021"/>
      <c r="BM272" s="1021"/>
      <c r="BN272" s="1021"/>
      <c r="BO272" s="1021"/>
      <c r="BP272" s="1021"/>
      <c r="BQ272" s="1021"/>
      <c r="BR272" s="1021"/>
      <c r="BS272" s="1021"/>
      <c r="BT272" s="1021"/>
      <c r="BU272" s="1021"/>
      <c r="BV272" s="1021"/>
      <c r="BW272" s="1021"/>
      <c r="BX272" s="1021"/>
      <c r="BY272" s="1021"/>
      <c r="BZ272" s="1021"/>
      <c r="CA272" s="1021"/>
      <c r="CB272" s="1021"/>
      <c r="CC272" s="1021"/>
    </row>
    <row r="273" spans="8:81" x14ac:dyDescent="0.25">
      <c r="H273" s="1021"/>
      <c r="I273" s="1021"/>
      <c r="J273" s="1021"/>
      <c r="K273" s="1021"/>
      <c r="L273" s="1021"/>
      <c r="M273" s="1021"/>
      <c r="N273" s="1021"/>
      <c r="O273" s="1021"/>
      <c r="P273" s="1021"/>
      <c r="Q273" s="1021"/>
      <c r="R273" s="1021"/>
      <c r="S273" s="1021"/>
      <c r="T273" s="1021"/>
      <c r="U273" s="1021"/>
      <c r="V273" s="1021"/>
      <c r="W273" s="1021"/>
      <c r="X273" s="1021"/>
      <c r="Y273" s="1021"/>
      <c r="Z273" s="1021"/>
      <c r="AA273" s="1021"/>
      <c r="AB273" s="1021"/>
      <c r="AC273" s="1021"/>
      <c r="AD273" s="1021"/>
      <c r="AE273" s="1021"/>
      <c r="AF273" s="1021"/>
      <c r="AG273" s="1021"/>
      <c r="AH273" s="1021"/>
      <c r="AI273" s="1021"/>
      <c r="AJ273" s="1021"/>
      <c r="AK273" s="1021"/>
      <c r="AL273" s="1021"/>
      <c r="AM273" s="1021"/>
      <c r="AN273" s="1021"/>
      <c r="AO273" s="1021"/>
      <c r="AP273" s="1021"/>
      <c r="AQ273" s="1021"/>
      <c r="AR273" s="1021"/>
      <c r="AS273" s="1021"/>
      <c r="AT273" s="1021"/>
      <c r="AU273" s="1021"/>
      <c r="AV273" s="1021"/>
      <c r="AW273" s="1021"/>
      <c r="AX273" s="1021"/>
      <c r="AY273" s="1021"/>
      <c r="AZ273" s="1021"/>
      <c r="BA273" s="1021"/>
      <c r="BB273" s="1021"/>
      <c r="BC273" s="1021"/>
      <c r="BD273" s="1021"/>
      <c r="BE273" s="1021"/>
      <c r="BF273" s="1021"/>
      <c r="BG273" s="1021"/>
      <c r="BH273" s="1021"/>
      <c r="BI273" s="1021"/>
      <c r="BJ273" s="1021"/>
      <c r="BK273" s="1021"/>
      <c r="BL273" s="1021"/>
      <c r="BM273" s="1021"/>
      <c r="BN273" s="1021"/>
      <c r="BO273" s="1021"/>
      <c r="BP273" s="1021"/>
      <c r="BQ273" s="1021"/>
      <c r="BR273" s="1021"/>
      <c r="BS273" s="1021"/>
      <c r="BT273" s="1021"/>
      <c r="BU273" s="1021"/>
      <c r="BV273" s="1021"/>
      <c r="BW273" s="1021"/>
      <c r="BX273" s="1021"/>
      <c r="BY273" s="1021"/>
      <c r="BZ273" s="1021"/>
      <c r="CA273" s="1021"/>
      <c r="CB273" s="1021"/>
      <c r="CC273" s="1021"/>
    </row>
    <row r="274" spans="8:81" x14ac:dyDescent="0.25">
      <c r="H274" s="1021"/>
      <c r="I274" s="1021"/>
      <c r="J274" s="1021"/>
      <c r="K274" s="1021"/>
      <c r="L274" s="1021"/>
      <c r="M274" s="1021"/>
      <c r="N274" s="1021"/>
      <c r="O274" s="1021"/>
      <c r="P274" s="1021"/>
      <c r="Q274" s="1021"/>
      <c r="R274" s="1021"/>
      <c r="S274" s="1021"/>
      <c r="T274" s="1021"/>
      <c r="U274" s="1021"/>
      <c r="V274" s="1021"/>
      <c r="W274" s="1021"/>
      <c r="X274" s="1021"/>
      <c r="Y274" s="1021"/>
      <c r="Z274" s="1021"/>
      <c r="AA274" s="1021"/>
      <c r="AB274" s="1021"/>
      <c r="AC274" s="1021"/>
      <c r="AD274" s="1021"/>
      <c r="AE274" s="1021"/>
      <c r="AF274" s="1021"/>
      <c r="AG274" s="1021"/>
      <c r="AH274" s="1021"/>
      <c r="AI274" s="1021"/>
      <c r="AJ274" s="1021"/>
      <c r="AK274" s="1021"/>
      <c r="AL274" s="1021"/>
      <c r="AM274" s="1021"/>
      <c r="AN274" s="1021"/>
      <c r="AO274" s="1021"/>
      <c r="AP274" s="1021"/>
      <c r="AQ274" s="1021"/>
      <c r="AR274" s="1021"/>
      <c r="AS274" s="1021"/>
      <c r="AT274" s="1021"/>
      <c r="AU274" s="1021"/>
      <c r="AV274" s="1021"/>
      <c r="AW274" s="1021"/>
      <c r="AX274" s="1021"/>
      <c r="AY274" s="1021"/>
      <c r="AZ274" s="1021"/>
      <c r="BA274" s="1021"/>
      <c r="BB274" s="1021"/>
      <c r="BC274" s="1021"/>
      <c r="BD274" s="1021"/>
      <c r="BE274" s="1021"/>
      <c r="BF274" s="1021"/>
      <c r="BG274" s="1021"/>
      <c r="BH274" s="1021"/>
      <c r="BI274" s="1021"/>
      <c r="BJ274" s="1021"/>
      <c r="BK274" s="1021"/>
      <c r="BL274" s="1021"/>
      <c r="BM274" s="1021"/>
      <c r="BN274" s="1021"/>
      <c r="BO274" s="1021"/>
      <c r="BP274" s="1021"/>
      <c r="BQ274" s="1021"/>
      <c r="BR274" s="1021"/>
      <c r="BS274" s="1021"/>
      <c r="BT274" s="1021"/>
      <c r="BU274" s="1021"/>
      <c r="BV274" s="1021"/>
      <c r="BW274" s="1021"/>
      <c r="BX274" s="1021"/>
      <c r="BY274" s="1021"/>
      <c r="BZ274" s="1021"/>
      <c r="CA274" s="1021"/>
      <c r="CB274" s="1021"/>
      <c r="CC274" s="1021"/>
    </row>
    <row r="275" spans="8:81" x14ac:dyDescent="0.25">
      <c r="H275" s="1021"/>
      <c r="I275" s="1021"/>
      <c r="J275" s="1021"/>
      <c r="K275" s="1021"/>
      <c r="L275" s="1021"/>
      <c r="M275" s="1021"/>
      <c r="N275" s="1021"/>
      <c r="O275" s="1021"/>
      <c r="P275" s="1021"/>
      <c r="Q275" s="1021"/>
      <c r="R275" s="1021"/>
      <c r="S275" s="1021"/>
      <c r="T275" s="1021"/>
      <c r="U275" s="1021"/>
      <c r="V275" s="1021"/>
      <c r="W275" s="1021"/>
      <c r="X275" s="1021"/>
      <c r="Y275" s="1021"/>
      <c r="Z275" s="1021"/>
      <c r="AA275" s="1021"/>
      <c r="AB275" s="1021"/>
      <c r="AC275" s="1021"/>
      <c r="AD275" s="1021"/>
      <c r="AE275" s="1021"/>
      <c r="AF275" s="1021"/>
      <c r="AG275" s="1021"/>
      <c r="AH275" s="1021"/>
      <c r="AI275" s="1021"/>
      <c r="AJ275" s="1021"/>
      <c r="AK275" s="1021"/>
      <c r="AL275" s="1021"/>
      <c r="AM275" s="1021"/>
      <c r="AN275" s="1021"/>
      <c r="AO275" s="1021"/>
      <c r="AP275" s="1021"/>
      <c r="AQ275" s="1021"/>
      <c r="AR275" s="1021"/>
      <c r="AS275" s="1021"/>
      <c r="AT275" s="1021"/>
      <c r="AU275" s="1021"/>
      <c r="AV275" s="1021"/>
      <c r="AW275" s="1021"/>
      <c r="AX275" s="1021"/>
      <c r="AY275" s="1021"/>
      <c r="AZ275" s="1021"/>
      <c r="BA275" s="1021"/>
      <c r="BB275" s="1021"/>
      <c r="BC275" s="1021"/>
      <c r="BD275" s="1021"/>
      <c r="BE275" s="1021"/>
      <c r="BF275" s="1021"/>
      <c r="BG275" s="1021"/>
      <c r="BH275" s="1021"/>
      <c r="BI275" s="1021"/>
      <c r="BJ275" s="1021"/>
      <c r="BK275" s="1021"/>
      <c r="BL275" s="1021"/>
      <c r="BM275" s="1021"/>
      <c r="BN275" s="1021"/>
      <c r="BO275" s="1021"/>
      <c r="BP275" s="1021"/>
      <c r="BQ275" s="1021"/>
      <c r="BR275" s="1021"/>
      <c r="BS275" s="1021"/>
      <c r="BT275" s="1021"/>
      <c r="BU275" s="1021"/>
      <c r="BV275" s="1021"/>
      <c r="BW275" s="1021"/>
      <c r="BX275" s="1021"/>
      <c r="BY275" s="1021"/>
      <c r="BZ275" s="1021"/>
      <c r="CA275" s="1021"/>
      <c r="CB275" s="1021"/>
      <c r="CC275" s="1021"/>
    </row>
    <row r="276" spans="8:81" x14ac:dyDescent="0.25">
      <c r="H276" s="1021"/>
      <c r="I276" s="1021"/>
      <c r="J276" s="1021"/>
      <c r="K276" s="1021"/>
      <c r="L276" s="1021"/>
      <c r="M276" s="1021"/>
      <c r="N276" s="1021"/>
      <c r="O276" s="1021"/>
      <c r="P276" s="1021"/>
      <c r="Q276" s="1021"/>
      <c r="R276" s="1021"/>
      <c r="S276" s="1021"/>
      <c r="T276" s="1021"/>
      <c r="U276" s="1021"/>
      <c r="V276" s="1021"/>
      <c r="W276" s="1021"/>
      <c r="X276" s="1021"/>
      <c r="Y276" s="1021"/>
      <c r="Z276" s="1021"/>
      <c r="AA276" s="1021"/>
      <c r="AB276" s="1021"/>
      <c r="AC276" s="1021"/>
      <c r="AD276" s="1021"/>
      <c r="AE276" s="1021"/>
      <c r="AF276" s="1021"/>
      <c r="AG276" s="1021"/>
      <c r="AH276" s="1021"/>
      <c r="AI276" s="1021"/>
      <c r="AJ276" s="1021"/>
      <c r="AK276" s="1021"/>
      <c r="AL276" s="1021"/>
      <c r="AM276" s="1021"/>
      <c r="AN276" s="1021"/>
      <c r="AO276" s="1021"/>
      <c r="AP276" s="1021"/>
      <c r="AQ276" s="1021"/>
      <c r="AR276" s="1021"/>
      <c r="AS276" s="1021"/>
      <c r="AT276" s="1021"/>
      <c r="AU276" s="1021"/>
      <c r="AV276" s="1021"/>
      <c r="AW276" s="1021"/>
      <c r="AX276" s="1021"/>
      <c r="AY276" s="1021"/>
      <c r="AZ276" s="1021"/>
      <c r="BA276" s="1021"/>
      <c r="BB276" s="1021"/>
      <c r="BC276" s="1021"/>
      <c r="BD276" s="1021"/>
      <c r="BE276" s="1021"/>
      <c r="BF276" s="1021"/>
      <c r="BG276" s="1021"/>
      <c r="BH276" s="1021"/>
      <c r="BI276" s="1021"/>
      <c r="BJ276" s="1021"/>
      <c r="BK276" s="1021"/>
      <c r="BL276" s="1021"/>
      <c r="BM276" s="1021"/>
      <c r="BN276" s="1021"/>
      <c r="BO276" s="1021"/>
      <c r="BP276" s="1021"/>
      <c r="BQ276" s="1021"/>
      <c r="BR276" s="1021"/>
      <c r="BS276" s="1021"/>
      <c r="BT276" s="1021"/>
      <c r="BU276" s="1021"/>
      <c r="BV276" s="1021"/>
      <c r="BW276" s="1021"/>
      <c r="BX276" s="1021"/>
      <c r="BY276" s="1021"/>
      <c r="BZ276" s="1021"/>
      <c r="CA276" s="1021"/>
      <c r="CB276" s="1021"/>
      <c r="CC276" s="1021"/>
    </row>
    <row r="277" spans="8:81" x14ac:dyDescent="0.25">
      <c r="H277" s="1021"/>
      <c r="I277" s="1021"/>
      <c r="J277" s="1021"/>
      <c r="K277" s="1021"/>
      <c r="L277" s="1021"/>
      <c r="M277" s="1021"/>
      <c r="N277" s="1021"/>
      <c r="O277" s="1021"/>
      <c r="P277" s="1021"/>
      <c r="Q277" s="1021"/>
      <c r="R277" s="1021"/>
      <c r="S277" s="1021"/>
      <c r="T277" s="1021"/>
      <c r="U277" s="1021"/>
      <c r="V277" s="1021"/>
      <c r="W277" s="1021"/>
      <c r="X277" s="1021"/>
      <c r="Y277" s="1021"/>
      <c r="Z277" s="1021"/>
      <c r="AA277" s="1021"/>
      <c r="AB277" s="1021"/>
      <c r="AC277" s="1021"/>
      <c r="AD277" s="1021"/>
      <c r="AE277" s="1021"/>
      <c r="AF277" s="1021"/>
      <c r="AG277" s="1021"/>
      <c r="AH277" s="1021"/>
      <c r="AI277" s="1021"/>
      <c r="AJ277" s="1021"/>
      <c r="AK277" s="1021"/>
      <c r="AL277" s="1021"/>
      <c r="AM277" s="1021"/>
      <c r="AN277" s="1021"/>
      <c r="AO277" s="1021"/>
      <c r="AP277" s="1021"/>
      <c r="AQ277" s="1021"/>
      <c r="AR277" s="1021"/>
      <c r="AS277" s="1021"/>
      <c r="AT277" s="1021"/>
      <c r="AU277" s="1021"/>
      <c r="AV277" s="1021"/>
      <c r="AW277" s="1021"/>
      <c r="AX277" s="1021"/>
      <c r="AY277" s="1021"/>
      <c r="AZ277" s="1021"/>
      <c r="BA277" s="1021"/>
      <c r="BB277" s="1021"/>
      <c r="BC277" s="1021"/>
      <c r="BD277" s="1021"/>
      <c r="BE277" s="1021"/>
      <c r="BF277" s="1021"/>
      <c r="BG277" s="1021"/>
      <c r="BH277" s="1021"/>
      <c r="BI277" s="1021"/>
      <c r="BJ277" s="1021"/>
      <c r="BK277" s="1021"/>
      <c r="BL277" s="1021"/>
      <c r="BM277" s="1021"/>
      <c r="BN277" s="1021"/>
      <c r="BO277" s="1021"/>
      <c r="BP277" s="1021"/>
      <c r="BQ277" s="1021"/>
      <c r="BR277" s="1021"/>
      <c r="BS277" s="1021"/>
      <c r="BT277" s="1021"/>
      <c r="BU277" s="1021"/>
      <c r="BV277" s="1021"/>
      <c r="BW277" s="1021"/>
      <c r="BX277" s="1021"/>
      <c r="BY277" s="1021"/>
      <c r="BZ277" s="1021"/>
      <c r="CA277" s="1021"/>
      <c r="CB277" s="1021"/>
      <c r="CC277" s="1021"/>
    </row>
    <row r="278" spans="8:81" x14ac:dyDescent="0.25">
      <c r="H278" s="1021"/>
      <c r="I278" s="1021"/>
      <c r="J278" s="1021"/>
      <c r="K278" s="1021"/>
      <c r="L278" s="1021"/>
      <c r="M278" s="1021"/>
      <c r="N278" s="1021"/>
      <c r="O278" s="1021"/>
      <c r="P278" s="1021"/>
      <c r="Q278" s="1021"/>
      <c r="R278" s="1021"/>
      <c r="S278" s="1021"/>
      <c r="T278" s="1021"/>
      <c r="U278" s="1021"/>
      <c r="V278" s="1021"/>
      <c r="W278" s="1021"/>
      <c r="X278" s="1021"/>
      <c r="Y278" s="1021"/>
      <c r="Z278" s="1021"/>
      <c r="AA278" s="1021"/>
      <c r="AB278" s="1021"/>
      <c r="AC278" s="1021"/>
      <c r="AD278" s="1021"/>
      <c r="AE278" s="1021"/>
      <c r="AF278" s="1021"/>
      <c r="AG278" s="1021"/>
      <c r="AH278" s="1021"/>
      <c r="AI278" s="1021"/>
      <c r="AJ278" s="1021"/>
      <c r="AK278" s="1021"/>
      <c r="AL278" s="1021"/>
      <c r="AM278" s="1021"/>
      <c r="AN278" s="1021"/>
      <c r="AO278" s="1021"/>
      <c r="AP278" s="1021"/>
      <c r="AQ278" s="1021"/>
      <c r="AR278" s="1021"/>
      <c r="AS278" s="1021"/>
      <c r="AT278" s="1021"/>
      <c r="AU278" s="1021"/>
      <c r="AV278" s="1021"/>
      <c r="AW278" s="1021"/>
      <c r="AX278" s="1021"/>
      <c r="AY278" s="1021"/>
      <c r="AZ278" s="1021"/>
      <c r="BA278" s="1021"/>
      <c r="BB278" s="1021"/>
      <c r="BC278" s="1021"/>
      <c r="BD278" s="1021"/>
      <c r="BE278" s="1021"/>
      <c r="BF278" s="1021"/>
      <c r="BG278" s="1021"/>
      <c r="BH278" s="1021"/>
      <c r="BI278" s="1021"/>
      <c r="BJ278" s="1021"/>
      <c r="BK278" s="1021"/>
      <c r="BL278" s="1021"/>
      <c r="BM278" s="1021"/>
      <c r="BN278" s="1021"/>
      <c r="BO278" s="1021"/>
      <c r="BP278" s="1021"/>
      <c r="BQ278" s="1021"/>
      <c r="BR278" s="1021"/>
      <c r="BS278" s="1021"/>
      <c r="BT278" s="1021"/>
      <c r="BU278" s="1021"/>
      <c r="BV278" s="1021"/>
      <c r="BW278" s="1021"/>
      <c r="BX278" s="1021"/>
      <c r="BY278" s="1021"/>
      <c r="BZ278" s="1021"/>
      <c r="CA278" s="1021"/>
      <c r="CB278" s="1021"/>
      <c r="CC278" s="1021"/>
    </row>
    <row r="279" spans="8:81" x14ac:dyDescent="0.25">
      <c r="H279" s="1021"/>
      <c r="I279" s="1021"/>
      <c r="J279" s="1021"/>
      <c r="K279" s="1021"/>
      <c r="L279" s="1021"/>
      <c r="M279" s="1021"/>
      <c r="N279" s="1021"/>
      <c r="O279" s="1021"/>
      <c r="P279" s="1021"/>
      <c r="Q279" s="1021"/>
      <c r="R279" s="1021"/>
      <c r="S279" s="1021"/>
      <c r="T279" s="1021"/>
      <c r="U279" s="1021"/>
      <c r="V279" s="1021"/>
      <c r="W279" s="1021"/>
      <c r="X279" s="1021"/>
      <c r="Y279" s="1021"/>
      <c r="Z279" s="1021"/>
      <c r="AA279" s="1021"/>
      <c r="AB279" s="1021"/>
      <c r="AC279" s="1021"/>
      <c r="AD279" s="1021"/>
      <c r="AE279" s="1021"/>
      <c r="AF279" s="1021"/>
      <c r="AG279" s="1021"/>
      <c r="AH279" s="1021"/>
      <c r="AI279" s="1021"/>
      <c r="AJ279" s="1021"/>
      <c r="AK279" s="1021"/>
      <c r="AL279" s="1021"/>
      <c r="AM279" s="1021"/>
      <c r="AN279" s="1021"/>
      <c r="AO279" s="1021"/>
      <c r="AP279" s="1021"/>
      <c r="AQ279" s="1021"/>
      <c r="AR279" s="1021"/>
      <c r="AS279" s="1021"/>
      <c r="AT279" s="1021"/>
      <c r="AU279" s="1021"/>
      <c r="AV279" s="1021"/>
      <c r="AW279" s="1021"/>
      <c r="AX279" s="1021"/>
      <c r="AY279" s="1021"/>
      <c r="AZ279" s="1021"/>
      <c r="BA279" s="1021"/>
      <c r="BB279" s="1021"/>
      <c r="BC279" s="1021"/>
      <c r="BD279" s="1021"/>
      <c r="BE279" s="1021"/>
      <c r="BF279" s="1021"/>
      <c r="BG279" s="1021"/>
      <c r="BH279" s="1021"/>
      <c r="BI279" s="1021"/>
      <c r="BJ279" s="1021"/>
      <c r="BK279" s="1021"/>
      <c r="BL279" s="1021"/>
      <c r="BM279" s="1021"/>
      <c r="BN279" s="1021"/>
      <c r="BO279" s="1021"/>
      <c r="BP279" s="1021"/>
      <c r="BQ279" s="1021"/>
      <c r="BR279" s="1021"/>
      <c r="BS279" s="1021"/>
      <c r="BT279" s="1021"/>
      <c r="BU279" s="1021"/>
      <c r="BV279" s="1021"/>
      <c r="BW279" s="1021"/>
      <c r="BX279" s="1021"/>
      <c r="BY279" s="1021"/>
      <c r="BZ279" s="1021"/>
      <c r="CA279" s="1021"/>
      <c r="CB279" s="1021"/>
      <c r="CC279" s="1021"/>
    </row>
    <row r="280" spans="8:81" x14ac:dyDescent="0.25">
      <c r="H280" s="1021"/>
      <c r="I280" s="1021"/>
      <c r="J280" s="1021"/>
      <c r="K280" s="1021"/>
      <c r="L280" s="1021"/>
      <c r="M280" s="1021"/>
      <c r="N280" s="1021"/>
      <c r="O280" s="1021"/>
      <c r="P280" s="1021"/>
      <c r="Q280" s="1021"/>
      <c r="R280" s="1021"/>
      <c r="S280" s="1021"/>
      <c r="T280" s="1021"/>
      <c r="U280" s="1021"/>
      <c r="V280" s="1021"/>
      <c r="W280" s="1021"/>
      <c r="X280" s="1021"/>
      <c r="Y280" s="1021"/>
      <c r="Z280" s="1021"/>
      <c r="AA280" s="1021"/>
      <c r="AB280" s="1021"/>
      <c r="AC280" s="1021"/>
      <c r="AD280" s="1021"/>
      <c r="AE280" s="1021"/>
      <c r="AF280" s="1021"/>
      <c r="AG280" s="1021"/>
      <c r="AH280" s="1021"/>
      <c r="AI280" s="1021"/>
      <c r="AJ280" s="1021"/>
      <c r="AK280" s="1021"/>
      <c r="AL280" s="1021"/>
      <c r="AM280" s="1021"/>
      <c r="AN280" s="1021"/>
      <c r="AO280" s="1021"/>
      <c r="AP280" s="1021"/>
      <c r="AQ280" s="1021"/>
      <c r="AR280" s="1021"/>
      <c r="AS280" s="1021"/>
      <c r="AT280" s="1021"/>
      <c r="AU280" s="1021"/>
      <c r="AV280" s="1021"/>
      <c r="AW280" s="1021"/>
      <c r="AX280" s="1021"/>
      <c r="AY280" s="1021"/>
      <c r="AZ280" s="1021"/>
      <c r="BA280" s="1021"/>
      <c r="BB280" s="1021"/>
      <c r="BC280" s="1021"/>
      <c r="BD280" s="1021"/>
      <c r="BE280" s="1021"/>
      <c r="BF280" s="1021"/>
      <c r="BG280" s="1021"/>
      <c r="BH280" s="1021"/>
      <c r="BI280" s="1021"/>
      <c r="BJ280" s="1021"/>
      <c r="BK280" s="1021"/>
      <c r="BL280" s="1021"/>
      <c r="BM280" s="1021"/>
      <c r="BN280" s="1021"/>
      <c r="BO280" s="1021"/>
      <c r="BP280" s="1021"/>
      <c r="BQ280" s="1021"/>
      <c r="BR280" s="1021"/>
      <c r="BS280" s="1021"/>
      <c r="BT280" s="1021"/>
      <c r="BU280" s="1021"/>
      <c r="BV280" s="1021"/>
      <c r="BW280" s="1021"/>
      <c r="BX280" s="1021"/>
      <c r="BY280" s="1021"/>
      <c r="BZ280" s="1021"/>
      <c r="CA280" s="1021"/>
      <c r="CB280" s="1021"/>
      <c r="CC280" s="1021"/>
    </row>
    <row r="281" spans="8:81" x14ac:dyDescent="0.25">
      <c r="H281" s="1021"/>
      <c r="I281" s="1021"/>
      <c r="J281" s="1021"/>
      <c r="K281" s="1021"/>
      <c r="L281" s="1021"/>
      <c r="M281" s="1021"/>
      <c r="N281" s="1021"/>
      <c r="O281" s="1021"/>
      <c r="P281" s="1021"/>
      <c r="Q281" s="1021"/>
      <c r="R281" s="1021"/>
      <c r="S281" s="1021"/>
      <c r="T281" s="1021"/>
      <c r="U281" s="1021"/>
      <c r="V281" s="1021"/>
      <c r="W281" s="1021"/>
      <c r="X281" s="1021"/>
      <c r="Y281" s="1021"/>
      <c r="Z281" s="1021"/>
      <c r="AA281" s="1021"/>
      <c r="AB281" s="1021"/>
      <c r="AC281" s="1021"/>
      <c r="AD281" s="1021"/>
      <c r="AE281" s="1021"/>
      <c r="AF281" s="1021"/>
      <c r="AG281" s="1021"/>
      <c r="AH281" s="1021"/>
      <c r="AI281" s="1021"/>
      <c r="AJ281" s="1021"/>
      <c r="AK281" s="1021"/>
      <c r="AL281" s="1021"/>
      <c r="AM281" s="1021"/>
      <c r="AN281" s="1021"/>
      <c r="AO281" s="1021"/>
      <c r="AP281" s="1021"/>
      <c r="AQ281" s="1021"/>
      <c r="AR281" s="1021"/>
      <c r="AS281" s="1021"/>
      <c r="AT281" s="1021"/>
      <c r="AU281" s="1021"/>
      <c r="AV281" s="1021"/>
      <c r="AW281" s="1021"/>
      <c r="AX281" s="1021"/>
      <c r="AY281" s="1021"/>
      <c r="AZ281" s="1021"/>
      <c r="BA281" s="1021"/>
      <c r="BB281" s="1021"/>
      <c r="BC281" s="1021"/>
      <c r="BD281" s="1021"/>
      <c r="BE281" s="1021"/>
      <c r="BF281" s="1021"/>
      <c r="BG281" s="1021"/>
      <c r="BH281" s="1021"/>
      <c r="BI281" s="1021"/>
      <c r="BJ281" s="1021"/>
      <c r="BK281" s="1021"/>
      <c r="BL281" s="1021"/>
      <c r="BM281" s="1021"/>
      <c r="BN281" s="1021"/>
      <c r="BO281" s="1021"/>
      <c r="BP281" s="1021"/>
      <c r="BQ281" s="1021"/>
      <c r="BR281" s="1021"/>
      <c r="BS281" s="1021"/>
      <c r="BT281" s="1021"/>
      <c r="BU281" s="1021"/>
      <c r="BV281" s="1021"/>
      <c r="BW281" s="1021"/>
      <c r="BX281" s="1021"/>
      <c r="BY281" s="1021"/>
      <c r="BZ281" s="1021"/>
      <c r="CA281" s="1021"/>
      <c r="CB281" s="1021"/>
      <c r="CC281" s="1021"/>
    </row>
    <row r="282" spans="8:81" x14ac:dyDescent="0.25">
      <c r="H282" s="1021"/>
      <c r="I282" s="1021"/>
      <c r="J282" s="1021"/>
      <c r="K282" s="1021"/>
      <c r="L282" s="1021"/>
      <c r="M282" s="1021"/>
      <c r="N282" s="1021"/>
      <c r="O282" s="1021"/>
      <c r="P282" s="1021"/>
      <c r="Q282" s="1021"/>
      <c r="R282" s="1021"/>
      <c r="S282" s="1021"/>
      <c r="T282" s="1021"/>
      <c r="U282" s="1021"/>
      <c r="V282" s="1021"/>
      <c r="W282" s="1021"/>
      <c r="X282" s="1021"/>
      <c r="Y282" s="1021"/>
      <c r="Z282" s="1021"/>
      <c r="AA282" s="1021"/>
      <c r="AB282" s="1021"/>
      <c r="AC282" s="1021"/>
      <c r="AD282" s="1021"/>
      <c r="AE282" s="1021"/>
      <c r="AF282" s="1021"/>
      <c r="AG282" s="1021"/>
      <c r="AH282" s="1021"/>
      <c r="AI282" s="1021"/>
      <c r="AJ282" s="1021"/>
      <c r="AK282" s="1021"/>
      <c r="AL282" s="1021"/>
      <c r="AM282" s="1021"/>
      <c r="AN282" s="1021"/>
      <c r="AO282" s="1021"/>
      <c r="AP282" s="1021"/>
      <c r="AQ282" s="1021"/>
      <c r="AR282" s="1021"/>
      <c r="AS282" s="1021"/>
      <c r="AT282" s="1021"/>
      <c r="AU282" s="1021"/>
      <c r="AV282" s="1021"/>
      <c r="AW282" s="1021"/>
      <c r="AX282" s="1021"/>
      <c r="AY282" s="1021"/>
      <c r="AZ282" s="1021"/>
      <c r="BA282" s="1021"/>
      <c r="BB282" s="1021"/>
      <c r="BC282" s="1021"/>
      <c r="BD282" s="1021"/>
      <c r="BE282" s="1021"/>
      <c r="BF282" s="1021"/>
      <c r="BG282" s="1021"/>
      <c r="BH282" s="1021"/>
      <c r="BI282" s="1021"/>
      <c r="BJ282" s="1021"/>
      <c r="BK282" s="1021"/>
      <c r="BL282" s="1021"/>
      <c r="BM282" s="1021"/>
      <c r="BN282" s="1021"/>
      <c r="BO282" s="1021"/>
      <c r="BP282" s="1021"/>
      <c r="BQ282" s="1021"/>
      <c r="BR282" s="1021"/>
      <c r="BS282" s="1021"/>
      <c r="BT282" s="1021"/>
      <c r="BU282" s="1021"/>
      <c r="BV282" s="1021"/>
      <c r="BW282" s="1021"/>
      <c r="BX282" s="1021"/>
      <c r="BY282" s="1021"/>
      <c r="BZ282" s="1021"/>
      <c r="CA282" s="1021"/>
      <c r="CB282" s="1021"/>
      <c r="CC282" s="1021"/>
    </row>
    <row r="283" spans="8:81" x14ac:dyDescent="0.25">
      <c r="H283" s="1021"/>
      <c r="I283" s="1021"/>
      <c r="J283" s="1021"/>
      <c r="K283" s="1021"/>
      <c r="L283" s="1021"/>
      <c r="M283" s="1021"/>
      <c r="N283" s="1021"/>
      <c r="O283" s="1021"/>
      <c r="P283" s="1021"/>
      <c r="Q283" s="1021"/>
      <c r="R283" s="1021"/>
      <c r="S283" s="1021"/>
      <c r="T283" s="1021"/>
      <c r="U283" s="1021"/>
      <c r="V283" s="1021"/>
      <c r="W283" s="1021"/>
      <c r="X283" s="1021"/>
      <c r="Y283" s="1021"/>
      <c r="Z283" s="1021"/>
      <c r="AA283" s="1021"/>
      <c r="AB283" s="1021"/>
      <c r="AC283" s="1021"/>
      <c r="AD283" s="1021"/>
      <c r="AE283" s="1021"/>
      <c r="AF283" s="1021"/>
      <c r="AG283" s="1021"/>
      <c r="AH283" s="1021"/>
      <c r="AI283" s="1021"/>
      <c r="AJ283" s="1021"/>
      <c r="AK283" s="1021"/>
      <c r="AL283" s="1021"/>
      <c r="AM283" s="1021"/>
      <c r="AN283" s="1021"/>
      <c r="AO283" s="1021"/>
      <c r="AP283" s="1021"/>
      <c r="AQ283" s="1021"/>
      <c r="AR283" s="1021"/>
      <c r="AS283" s="1021"/>
      <c r="AT283" s="1021"/>
      <c r="AU283" s="1021"/>
      <c r="AV283" s="1021"/>
      <c r="AW283" s="1021"/>
      <c r="AX283" s="1021"/>
      <c r="AY283" s="1021"/>
      <c r="AZ283" s="1021"/>
      <c r="BA283" s="1021"/>
      <c r="BB283" s="1021"/>
      <c r="BC283" s="1021"/>
      <c r="BD283" s="1021"/>
      <c r="BE283" s="1021"/>
      <c r="BF283" s="1021"/>
      <c r="BG283" s="1021"/>
      <c r="BH283" s="1021"/>
      <c r="BI283" s="1021"/>
      <c r="BJ283" s="1021"/>
      <c r="BK283" s="1021"/>
      <c r="BL283" s="1021"/>
      <c r="BM283" s="1021"/>
      <c r="BN283" s="1021"/>
      <c r="BO283" s="1021"/>
      <c r="BP283" s="1021"/>
      <c r="BQ283" s="1021"/>
      <c r="BR283" s="1021"/>
      <c r="BS283" s="1021"/>
      <c r="BT283" s="1021"/>
      <c r="BU283" s="1021"/>
      <c r="BV283" s="1021"/>
      <c r="BW283" s="1021"/>
      <c r="BX283" s="1021"/>
      <c r="BY283" s="1021"/>
      <c r="BZ283" s="1021"/>
      <c r="CA283" s="1021"/>
      <c r="CB283" s="1021"/>
      <c r="CC283" s="1021"/>
    </row>
    <row r="284" spans="8:81" x14ac:dyDescent="0.25">
      <c r="H284" s="1021"/>
      <c r="I284" s="1021"/>
      <c r="J284" s="1021"/>
      <c r="K284" s="1021"/>
      <c r="L284" s="1021"/>
      <c r="M284" s="1021"/>
      <c r="N284" s="1021"/>
      <c r="O284" s="1021"/>
      <c r="P284" s="1021"/>
      <c r="Q284" s="1021"/>
      <c r="R284" s="1021"/>
      <c r="S284" s="1021"/>
      <c r="T284" s="1021"/>
      <c r="U284" s="1021"/>
      <c r="V284" s="1021"/>
      <c r="W284" s="1021"/>
      <c r="X284" s="1021"/>
      <c r="Y284" s="1021"/>
      <c r="Z284" s="1021"/>
      <c r="AA284" s="1021"/>
      <c r="AB284" s="1021"/>
      <c r="AC284" s="1021"/>
      <c r="AD284" s="1021"/>
      <c r="AE284" s="1021"/>
      <c r="AF284" s="1021"/>
      <c r="AG284" s="1021"/>
      <c r="AH284" s="1021"/>
      <c r="AI284" s="1021"/>
      <c r="AJ284" s="1021"/>
      <c r="AK284" s="1021"/>
      <c r="AL284" s="1021"/>
      <c r="AM284" s="1021"/>
      <c r="AN284" s="1021"/>
      <c r="AO284" s="1021"/>
      <c r="AP284" s="1021"/>
      <c r="AQ284" s="1021"/>
      <c r="AR284" s="1021"/>
      <c r="AS284" s="1021"/>
      <c r="AT284" s="1021"/>
      <c r="AU284" s="1021"/>
      <c r="AV284" s="1021"/>
      <c r="AW284" s="1021"/>
      <c r="AX284" s="1021"/>
      <c r="AY284" s="1021"/>
      <c r="AZ284" s="1021"/>
      <c r="BA284" s="1021"/>
      <c r="BB284" s="1021"/>
      <c r="BC284" s="1021"/>
      <c r="BD284" s="1021"/>
      <c r="BE284" s="1021"/>
      <c r="BF284" s="1021"/>
      <c r="BG284" s="1021"/>
      <c r="BH284" s="1021"/>
      <c r="BI284" s="1021"/>
      <c r="BJ284" s="1021"/>
      <c r="BK284" s="1021"/>
      <c r="BL284" s="1021"/>
      <c r="BM284" s="1021"/>
      <c r="BN284" s="1021"/>
      <c r="BO284" s="1021"/>
      <c r="BP284" s="1021"/>
      <c r="BQ284" s="1021"/>
      <c r="BR284" s="1021"/>
      <c r="BS284" s="1021"/>
      <c r="BT284" s="1021"/>
      <c r="BU284" s="1021"/>
      <c r="BV284" s="1021"/>
      <c r="BW284" s="1021"/>
      <c r="BX284" s="1021"/>
      <c r="BY284" s="1021"/>
      <c r="BZ284" s="1021"/>
      <c r="CA284" s="1021"/>
      <c r="CB284" s="1021"/>
      <c r="CC284" s="1021"/>
    </row>
    <row r="285" spans="8:81" x14ac:dyDescent="0.25">
      <c r="H285" s="1021"/>
      <c r="I285" s="1021"/>
      <c r="J285" s="1021"/>
      <c r="K285" s="1021"/>
      <c r="L285" s="1021"/>
      <c r="M285" s="1021"/>
      <c r="N285" s="1021"/>
      <c r="O285" s="1021"/>
      <c r="P285" s="1021"/>
      <c r="Q285" s="1021"/>
      <c r="R285" s="1021"/>
      <c r="S285" s="1021"/>
      <c r="T285" s="1021"/>
      <c r="U285" s="1021"/>
      <c r="V285" s="1021"/>
      <c r="W285" s="1021"/>
      <c r="X285" s="1021"/>
      <c r="Y285" s="1021"/>
      <c r="Z285" s="1021"/>
      <c r="AA285" s="1021"/>
      <c r="AB285" s="1021"/>
      <c r="AC285" s="1021"/>
      <c r="AD285" s="1021"/>
      <c r="AE285" s="1021"/>
      <c r="AF285" s="1021"/>
      <c r="AG285" s="1021"/>
      <c r="AH285" s="1021"/>
      <c r="AI285" s="1021"/>
      <c r="AJ285" s="1021"/>
      <c r="AK285" s="1021"/>
      <c r="AL285" s="1021"/>
      <c r="AM285" s="1021"/>
      <c r="AN285" s="1021"/>
      <c r="AO285" s="1021"/>
      <c r="AP285" s="1021"/>
      <c r="AQ285" s="1021"/>
      <c r="AR285" s="1021"/>
      <c r="AS285" s="1021"/>
      <c r="AT285" s="1021"/>
      <c r="AU285" s="1021"/>
      <c r="AV285" s="1021"/>
      <c r="AW285" s="1021"/>
      <c r="AX285" s="1021"/>
      <c r="AY285" s="1021"/>
      <c r="AZ285" s="1021"/>
      <c r="BA285" s="1021"/>
      <c r="BB285" s="1021"/>
      <c r="BC285" s="1021"/>
      <c r="BD285" s="1021"/>
      <c r="BE285" s="1021"/>
      <c r="BF285" s="1021"/>
      <c r="BG285" s="1021"/>
      <c r="BH285" s="1021"/>
      <c r="BI285" s="1021"/>
      <c r="BJ285" s="1021"/>
      <c r="BK285" s="1021"/>
      <c r="BL285" s="1021"/>
      <c r="BM285" s="1021"/>
      <c r="BN285" s="1021"/>
      <c r="BO285" s="1021"/>
      <c r="BP285" s="1021"/>
      <c r="BQ285" s="1021"/>
      <c r="BR285" s="1021"/>
      <c r="BS285" s="1021"/>
      <c r="BT285" s="1021"/>
      <c r="BU285" s="1021"/>
      <c r="BV285" s="1021"/>
      <c r="BW285" s="1021"/>
      <c r="BX285" s="1021"/>
      <c r="BY285" s="1021"/>
      <c r="BZ285" s="1021"/>
      <c r="CA285" s="1021"/>
      <c r="CB285" s="1021"/>
      <c r="CC285" s="1021"/>
    </row>
    <row r="286" spans="8:81" x14ac:dyDescent="0.25">
      <c r="H286" s="1021"/>
      <c r="I286" s="1021"/>
      <c r="J286" s="1021"/>
      <c r="K286" s="1021"/>
      <c r="L286" s="1021"/>
      <c r="M286" s="1021"/>
      <c r="N286" s="1021"/>
      <c r="O286" s="1021"/>
      <c r="P286" s="1021"/>
      <c r="Q286" s="1021"/>
      <c r="R286" s="1021"/>
      <c r="S286" s="1021"/>
      <c r="T286" s="1021"/>
      <c r="U286" s="1021"/>
      <c r="V286" s="1021"/>
      <c r="W286" s="1021"/>
      <c r="X286" s="1021"/>
      <c r="Y286" s="1021"/>
      <c r="Z286" s="1021"/>
      <c r="AA286" s="1021"/>
      <c r="AB286" s="1021"/>
      <c r="AC286" s="1021"/>
      <c r="AD286" s="1021"/>
      <c r="AE286" s="1021"/>
      <c r="AF286" s="1021"/>
      <c r="AG286" s="1021"/>
      <c r="AH286" s="1021"/>
      <c r="AI286" s="1021"/>
      <c r="AJ286" s="1021"/>
      <c r="AK286" s="1021"/>
      <c r="AL286" s="1021"/>
      <c r="AM286" s="1021"/>
      <c r="AN286" s="1021"/>
      <c r="AO286" s="1021"/>
      <c r="AP286" s="1021"/>
      <c r="AQ286" s="1021"/>
      <c r="AR286" s="1021"/>
      <c r="AS286" s="1021"/>
      <c r="AT286" s="1021"/>
      <c r="AU286" s="1021"/>
      <c r="AV286" s="1021"/>
      <c r="AW286" s="1021"/>
      <c r="AX286" s="1021"/>
      <c r="AY286" s="1021"/>
      <c r="AZ286" s="1021"/>
      <c r="BA286" s="1021"/>
      <c r="BB286" s="1021"/>
      <c r="BC286" s="1021"/>
      <c r="BD286" s="1021"/>
      <c r="BE286" s="1021"/>
      <c r="BF286" s="1021"/>
      <c r="BG286" s="1021"/>
      <c r="BH286" s="1021"/>
      <c r="BI286" s="1021"/>
      <c r="BJ286" s="1021"/>
      <c r="BK286" s="1021"/>
      <c r="BL286" s="1021"/>
      <c r="BM286" s="1021"/>
      <c r="BN286" s="1021"/>
      <c r="BO286" s="1021"/>
      <c r="BP286" s="1021"/>
      <c r="BQ286" s="1021"/>
      <c r="BR286" s="1021"/>
      <c r="BS286" s="1021"/>
      <c r="BT286" s="1021"/>
      <c r="BU286" s="1021"/>
      <c r="BV286" s="1021"/>
      <c r="BW286" s="1021"/>
      <c r="BX286" s="1021"/>
      <c r="BY286" s="1021"/>
      <c r="BZ286" s="1021"/>
      <c r="CA286" s="1021"/>
      <c r="CB286" s="1021"/>
      <c r="CC286" s="1021"/>
    </row>
    <row r="287" spans="8:81" x14ac:dyDescent="0.25">
      <c r="H287" s="1021"/>
      <c r="I287" s="1021"/>
      <c r="J287" s="1021"/>
      <c r="K287" s="1021"/>
      <c r="L287" s="1021"/>
      <c r="M287" s="1021"/>
      <c r="N287" s="1021"/>
      <c r="O287" s="1021"/>
      <c r="P287" s="1021"/>
      <c r="Q287" s="1021"/>
      <c r="R287" s="1021"/>
      <c r="S287" s="1021"/>
      <c r="T287" s="1021"/>
      <c r="U287" s="1021"/>
      <c r="V287" s="1021"/>
      <c r="W287" s="1021"/>
      <c r="X287" s="1021"/>
      <c r="Y287" s="1021"/>
      <c r="Z287" s="1021"/>
      <c r="AA287" s="1021"/>
      <c r="AB287" s="1021"/>
      <c r="AC287" s="1021"/>
      <c r="AD287" s="1021"/>
      <c r="AE287" s="1021"/>
      <c r="AF287" s="1021"/>
      <c r="AG287" s="1021"/>
      <c r="AH287" s="1021"/>
      <c r="AI287" s="1021"/>
      <c r="AJ287" s="1021"/>
      <c r="AK287" s="1021"/>
      <c r="AL287" s="1021"/>
      <c r="AM287" s="1021"/>
      <c r="AN287" s="1021"/>
      <c r="AO287" s="1021"/>
      <c r="AP287" s="1021"/>
      <c r="AQ287" s="1021"/>
      <c r="AR287" s="1021"/>
      <c r="AS287" s="1021"/>
      <c r="AT287" s="1021"/>
      <c r="AU287" s="1021"/>
      <c r="AV287" s="1021"/>
      <c r="AW287" s="1021"/>
      <c r="AX287" s="1021"/>
      <c r="AY287" s="1021"/>
      <c r="AZ287" s="1021"/>
      <c r="BA287" s="1021"/>
      <c r="BB287" s="1021"/>
      <c r="BC287" s="1021"/>
      <c r="BD287" s="1021"/>
      <c r="BE287" s="1021"/>
      <c r="BF287" s="1021"/>
      <c r="BG287" s="1021"/>
      <c r="BH287" s="1021"/>
      <c r="BI287" s="1021"/>
      <c r="BJ287" s="1021"/>
      <c r="BK287" s="1021"/>
      <c r="BL287" s="1021"/>
      <c r="BM287" s="1021"/>
      <c r="BN287" s="1021"/>
      <c r="BO287" s="1021"/>
      <c r="BP287" s="1021"/>
      <c r="BQ287" s="1021"/>
      <c r="BR287" s="1021"/>
      <c r="BS287" s="1021"/>
      <c r="BT287" s="1021"/>
      <c r="BU287" s="1021"/>
      <c r="BV287" s="1021"/>
      <c r="BW287" s="1021"/>
      <c r="BX287" s="1021"/>
      <c r="BY287" s="1021"/>
      <c r="BZ287" s="1021"/>
      <c r="CA287" s="1021"/>
      <c r="CB287" s="1021"/>
      <c r="CC287" s="1021"/>
    </row>
    <row r="288" spans="8:81" x14ac:dyDescent="0.25">
      <c r="H288" s="1021"/>
      <c r="I288" s="1021"/>
      <c r="J288" s="1021"/>
      <c r="K288" s="1021"/>
      <c r="L288" s="1021"/>
      <c r="M288" s="1021"/>
      <c r="N288" s="1021"/>
      <c r="O288" s="1021"/>
      <c r="P288" s="1021"/>
      <c r="Q288" s="1021"/>
      <c r="R288" s="1021"/>
      <c r="S288" s="1021"/>
      <c r="T288" s="1021"/>
      <c r="U288" s="1021"/>
      <c r="V288" s="1021"/>
      <c r="W288" s="1021"/>
      <c r="X288" s="1021"/>
      <c r="Y288" s="1021"/>
      <c r="Z288" s="1021"/>
      <c r="AA288" s="1021"/>
      <c r="AB288" s="1021"/>
      <c r="AC288" s="1021"/>
      <c r="AD288" s="1021"/>
      <c r="AE288" s="1021"/>
      <c r="AF288" s="1021"/>
      <c r="AG288" s="1021"/>
      <c r="AH288" s="1021"/>
      <c r="AI288" s="1021"/>
      <c r="AJ288" s="1021"/>
      <c r="AK288" s="1021"/>
      <c r="AL288" s="1021"/>
      <c r="AM288" s="1021"/>
      <c r="AN288" s="1021"/>
      <c r="AO288" s="1021"/>
      <c r="AP288" s="1021"/>
      <c r="AQ288" s="1021"/>
      <c r="AR288" s="1021"/>
      <c r="AS288" s="1021"/>
      <c r="AT288" s="1021"/>
      <c r="AU288" s="1021"/>
      <c r="AV288" s="1021"/>
      <c r="AW288" s="1021"/>
      <c r="AX288" s="1021"/>
      <c r="AY288" s="1021"/>
      <c r="AZ288" s="1021"/>
      <c r="BA288" s="1021"/>
      <c r="BB288" s="1021"/>
      <c r="BC288" s="1021"/>
      <c r="BD288" s="1021"/>
      <c r="BE288" s="1021"/>
      <c r="BF288" s="1021"/>
      <c r="BG288" s="1021"/>
      <c r="BH288" s="1021"/>
      <c r="BI288" s="1021"/>
      <c r="BJ288" s="1021"/>
      <c r="BK288" s="1021"/>
      <c r="BL288" s="1021"/>
      <c r="BM288" s="1021"/>
      <c r="BN288" s="1021"/>
      <c r="BO288" s="1021"/>
      <c r="BP288" s="1021"/>
      <c r="BQ288" s="1021"/>
      <c r="BR288" s="1021"/>
      <c r="BS288" s="1021"/>
      <c r="BT288" s="1021"/>
      <c r="BU288" s="1021"/>
      <c r="BV288" s="1021"/>
      <c r="BW288" s="1021"/>
      <c r="BX288" s="1021"/>
      <c r="BY288" s="1021"/>
      <c r="BZ288" s="1021"/>
      <c r="CA288" s="1021"/>
      <c r="CB288" s="1021"/>
      <c r="CC288" s="1021"/>
    </row>
    <row r="289" spans="8:81" x14ac:dyDescent="0.25">
      <c r="H289" s="1021"/>
      <c r="I289" s="1021"/>
      <c r="J289" s="1021"/>
      <c r="K289" s="1021"/>
      <c r="L289" s="1021"/>
      <c r="M289" s="1021"/>
      <c r="N289" s="1021"/>
      <c r="O289" s="1021"/>
      <c r="P289" s="1021"/>
      <c r="Q289" s="1021"/>
      <c r="R289" s="1021"/>
      <c r="S289" s="1021"/>
      <c r="T289" s="1021"/>
      <c r="U289" s="1021"/>
      <c r="V289" s="1021"/>
      <c r="W289" s="1021"/>
      <c r="X289" s="1021"/>
      <c r="Y289" s="1021"/>
      <c r="Z289" s="1021"/>
      <c r="AA289" s="1021"/>
      <c r="AB289" s="1021"/>
      <c r="AC289" s="1021"/>
      <c r="AD289" s="1021"/>
      <c r="AE289" s="1021"/>
      <c r="AF289" s="1021"/>
      <c r="AG289" s="1021"/>
      <c r="AH289" s="1021"/>
      <c r="AI289" s="1021"/>
      <c r="AJ289" s="1021"/>
      <c r="AK289" s="1021"/>
      <c r="AL289" s="1021"/>
      <c r="AM289" s="1021"/>
      <c r="AN289" s="1021"/>
      <c r="AO289" s="1021"/>
      <c r="AP289" s="1021"/>
      <c r="AQ289" s="1021"/>
      <c r="AR289" s="1021"/>
      <c r="AS289" s="1021"/>
      <c r="AT289" s="1021"/>
      <c r="AU289" s="1021"/>
      <c r="AV289" s="1021"/>
      <c r="AW289" s="1021"/>
      <c r="AX289" s="1021"/>
      <c r="AY289" s="1021"/>
      <c r="AZ289" s="1021"/>
      <c r="BA289" s="1021"/>
      <c r="BB289" s="1021"/>
      <c r="BC289" s="1021"/>
      <c r="BD289" s="1021"/>
      <c r="BE289" s="1021"/>
      <c r="BF289" s="1021"/>
      <c r="BG289" s="1021"/>
      <c r="BH289" s="1021"/>
      <c r="BI289" s="1021"/>
      <c r="BJ289" s="1021"/>
      <c r="BK289" s="1021"/>
      <c r="BL289" s="1021"/>
      <c r="BM289" s="1021"/>
      <c r="BN289" s="1021"/>
      <c r="BO289" s="1021"/>
      <c r="BP289" s="1021"/>
      <c r="BQ289" s="1021"/>
      <c r="BR289" s="1021"/>
      <c r="BS289" s="1021"/>
      <c r="BT289" s="1021"/>
      <c r="BU289" s="1021"/>
      <c r="BV289" s="1021"/>
      <c r="BW289" s="1021"/>
      <c r="BX289" s="1021"/>
      <c r="BY289" s="1021"/>
      <c r="BZ289" s="1021"/>
      <c r="CA289" s="1021"/>
      <c r="CB289" s="1021"/>
      <c r="CC289" s="1021"/>
    </row>
    <row r="290" spans="8:81" x14ac:dyDescent="0.25">
      <c r="H290" s="1021"/>
      <c r="I290" s="1021"/>
      <c r="J290" s="1021"/>
      <c r="K290" s="1021"/>
      <c r="L290" s="1021"/>
      <c r="M290" s="1021"/>
      <c r="N290" s="1021"/>
      <c r="O290" s="1021"/>
      <c r="P290" s="1021"/>
      <c r="Q290" s="1021"/>
      <c r="R290" s="1021"/>
      <c r="S290" s="1021"/>
      <c r="T290" s="1021"/>
      <c r="U290" s="1021"/>
      <c r="V290" s="1021"/>
      <c r="W290" s="1021"/>
      <c r="X290" s="1021"/>
      <c r="Y290" s="1021"/>
      <c r="Z290" s="1021"/>
      <c r="AA290" s="1021"/>
      <c r="AB290" s="1021"/>
      <c r="AC290" s="1021"/>
      <c r="AD290" s="1021"/>
      <c r="AE290" s="1021"/>
      <c r="AF290" s="1021"/>
      <c r="AG290" s="1021"/>
      <c r="AH290" s="1021"/>
      <c r="AI290" s="1021"/>
      <c r="AJ290" s="1021"/>
      <c r="AK290" s="1021"/>
      <c r="AL290" s="1021"/>
      <c r="AM290" s="1021"/>
      <c r="AN290" s="1021"/>
      <c r="AO290" s="1021"/>
      <c r="AP290" s="1021"/>
      <c r="AQ290" s="1021"/>
      <c r="AR290" s="1021"/>
      <c r="AS290" s="1021"/>
      <c r="AT290" s="1021"/>
      <c r="AU290" s="1021"/>
      <c r="AV290" s="1021"/>
      <c r="AW290" s="1021"/>
      <c r="AX290" s="1021"/>
      <c r="AY290" s="1021"/>
      <c r="AZ290" s="1021"/>
      <c r="BA290" s="1021"/>
      <c r="BB290" s="1021"/>
      <c r="BC290" s="1021"/>
      <c r="BD290" s="1021"/>
      <c r="BE290" s="1021"/>
      <c r="BF290" s="1021"/>
      <c r="BG290" s="1021"/>
      <c r="BH290" s="1021"/>
      <c r="BI290" s="1021"/>
      <c r="BJ290" s="1021"/>
      <c r="BK290" s="1021"/>
      <c r="BL290" s="1021"/>
      <c r="BM290" s="1021"/>
      <c r="BN290" s="1021"/>
      <c r="BO290" s="1021"/>
      <c r="BP290" s="1021"/>
      <c r="BQ290" s="1021"/>
      <c r="BR290" s="1021"/>
      <c r="BS290" s="1021"/>
      <c r="BT290" s="1021"/>
      <c r="BU290" s="1021"/>
      <c r="BV290" s="1021"/>
      <c r="BW290" s="1021"/>
      <c r="BX290" s="1021"/>
      <c r="BY290" s="1021"/>
      <c r="BZ290" s="1021"/>
      <c r="CA290" s="1021"/>
      <c r="CB290" s="1021"/>
      <c r="CC290" s="1021"/>
    </row>
    <row r="291" spans="8:81" x14ac:dyDescent="0.25">
      <c r="H291" s="1021"/>
      <c r="I291" s="1021"/>
      <c r="J291" s="1021"/>
      <c r="K291" s="1021"/>
      <c r="L291" s="1021"/>
      <c r="M291" s="1021"/>
      <c r="N291" s="1021"/>
      <c r="O291" s="1021"/>
      <c r="P291" s="1021"/>
      <c r="Q291" s="1021"/>
      <c r="R291" s="1021"/>
      <c r="S291" s="1021"/>
      <c r="T291" s="1021"/>
      <c r="U291" s="1021"/>
      <c r="V291" s="1021"/>
      <c r="W291" s="1021"/>
      <c r="X291" s="1021"/>
      <c r="Y291" s="1021"/>
      <c r="Z291" s="1021"/>
      <c r="AA291" s="1021"/>
      <c r="AB291" s="1021"/>
      <c r="AC291" s="1021"/>
      <c r="AD291" s="1021"/>
      <c r="AE291" s="1021"/>
      <c r="AF291" s="1021"/>
      <c r="AG291" s="1021"/>
      <c r="AH291" s="1021"/>
      <c r="AI291" s="1021"/>
      <c r="AJ291" s="1021"/>
      <c r="AK291" s="1021"/>
      <c r="AL291" s="1021"/>
      <c r="AM291" s="1021"/>
      <c r="AN291" s="1021"/>
      <c r="AO291" s="1021"/>
      <c r="AP291" s="1021"/>
      <c r="AQ291" s="1021"/>
      <c r="AR291" s="1021"/>
      <c r="AS291" s="1021"/>
      <c r="AT291" s="1021"/>
      <c r="AU291" s="1021"/>
      <c r="AV291" s="1021"/>
      <c r="AW291" s="1021"/>
      <c r="AX291" s="1021"/>
      <c r="AY291" s="1021"/>
      <c r="AZ291" s="1021"/>
      <c r="BA291" s="1021"/>
      <c r="BB291" s="1021"/>
      <c r="BC291" s="1021"/>
      <c r="BD291" s="1021"/>
      <c r="BE291" s="1021"/>
      <c r="BF291" s="1021"/>
      <c r="BG291" s="1021"/>
      <c r="BH291" s="1021"/>
      <c r="BI291" s="1021"/>
      <c r="BJ291" s="1021"/>
      <c r="BK291" s="1021"/>
      <c r="BL291" s="1021"/>
      <c r="BM291" s="1021"/>
      <c r="BN291" s="1021"/>
      <c r="BO291" s="1021"/>
      <c r="BP291" s="1021"/>
      <c r="BQ291" s="1021"/>
      <c r="BR291" s="1021"/>
      <c r="BS291" s="1021"/>
      <c r="BT291" s="1021"/>
      <c r="BU291" s="1021"/>
      <c r="BV291" s="1021"/>
      <c r="BW291" s="1021"/>
      <c r="BX291" s="1021"/>
      <c r="BY291" s="1021"/>
      <c r="BZ291" s="1021"/>
      <c r="CA291" s="1021"/>
      <c r="CB291" s="1021"/>
      <c r="CC291" s="1021"/>
    </row>
    <row r="292" spans="8:81" x14ac:dyDescent="0.25">
      <c r="H292" s="1021"/>
      <c r="I292" s="1021"/>
      <c r="J292" s="1021"/>
      <c r="K292" s="1021"/>
      <c r="L292" s="1021"/>
      <c r="M292" s="1021"/>
      <c r="N292" s="1021"/>
      <c r="O292" s="1021"/>
      <c r="P292" s="1021"/>
      <c r="Q292" s="1021"/>
      <c r="R292" s="1021"/>
      <c r="S292" s="1021"/>
      <c r="T292" s="1021"/>
      <c r="U292" s="1021"/>
      <c r="V292" s="1021"/>
      <c r="W292" s="1021"/>
      <c r="X292" s="1021"/>
      <c r="Y292" s="1021"/>
      <c r="Z292" s="1021"/>
      <c r="AA292" s="1021"/>
      <c r="AB292" s="1021"/>
      <c r="AC292" s="1021"/>
      <c r="AD292" s="1021"/>
      <c r="AE292" s="1021"/>
      <c r="AF292" s="1021"/>
      <c r="AG292" s="1021"/>
      <c r="AH292" s="1021"/>
      <c r="AI292" s="1021"/>
      <c r="AJ292" s="1021"/>
      <c r="AK292" s="1021"/>
      <c r="AL292" s="1021"/>
      <c r="AM292" s="1021"/>
      <c r="AN292" s="1021"/>
      <c r="AO292" s="1021"/>
      <c r="AP292" s="1021"/>
      <c r="AQ292" s="1021"/>
      <c r="AR292" s="1021"/>
      <c r="AS292" s="1021"/>
      <c r="AT292" s="1021"/>
      <c r="AU292" s="1021"/>
      <c r="AV292" s="1021"/>
      <c r="AW292" s="1021"/>
      <c r="AX292" s="1021"/>
      <c r="AY292" s="1021"/>
      <c r="AZ292" s="1021"/>
      <c r="BA292" s="1021"/>
      <c r="BB292" s="1021"/>
      <c r="BC292" s="1021"/>
      <c r="BD292" s="1021"/>
      <c r="BE292" s="1021"/>
      <c r="BF292" s="1021"/>
      <c r="BG292" s="1021"/>
      <c r="BH292" s="1021"/>
      <c r="BI292" s="1021"/>
      <c r="BJ292" s="1021"/>
      <c r="BK292" s="1021"/>
      <c r="BL292" s="1021"/>
      <c r="BM292" s="1021"/>
      <c r="BN292" s="1021"/>
      <c r="BO292" s="1021"/>
      <c r="BP292" s="1021"/>
      <c r="BQ292" s="1021"/>
      <c r="BR292" s="1021"/>
      <c r="BS292" s="1021"/>
      <c r="BT292" s="1021"/>
      <c r="BU292" s="1021"/>
      <c r="BV292" s="1021"/>
      <c r="BW292" s="1021"/>
      <c r="BX292" s="1021"/>
      <c r="BY292" s="1021"/>
      <c r="BZ292" s="1021"/>
      <c r="CA292" s="1021"/>
      <c r="CB292" s="1021"/>
      <c r="CC292" s="1021"/>
    </row>
    <row r="293" spans="8:81" x14ac:dyDescent="0.25">
      <c r="H293" s="1021"/>
      <c r="I293" s="1021"/>
      <c r="J293" s="1021"/>
      <c r="K293" s="1021"/>
      <c r="L293" s="1021"/>
      <c r="M293" s="1021"/>
      <c r="N293" s="1021"/>
      <c r="O293" s="1021"/>
      <c r="P293" s="1021"/>
      <c r="Q293" s="1021"/>
      <c r="R293" s="1021"/>
      <c r="S293" s="1021"/>
      <c r="T293" s="1021"/>
      <c r="U293" s="1021"/>
      <c r="V293" s="1021"/>
      <c r="W293" s="1021"/>
      <c r="X293" s="1021"/>
      <c r="Y293" s="1021"/>
      <c r="Z293" s="1021"/>
      <c r="AA293" s="1021"/>
      <c r="AB293" s="1021"/>
      <c r="AC293" s="1021"/>
      <c r="AD293" s="1021"/>
      <c r="AE293" s="1021"/>
      <c r="AF293" s="1021"/>
      <c r="AG293" s="1021"/>
      <c r="AH293" s="1021"/>
      <c r="AI293" s="1021"/>
      <c r="AJ293" s="1021"/>
      <c r="AK293" s="1021"/>
      <c r="AL293" s="1021"/>
      <c r="AM293" s="1021"/>
      <c r="AN293" s="1021"/>
      <c r="AO293" s="1021"/>
      <c r="AP293" s="1021"/>
      <c r="AQ293" s="1021"/>
      <c r="AR293" s="1021"/>
      <c r="AS293" s="1021"/>
      <c r="AT293" s="1021"/>
      <c r="AU293" s="1021"/>
      <c r="AV293" s="1021"/>
      <c r="AW293" s="1021"/>
      <c r="AX293" s="1021"/>
      <c r="AY293" s="1021"/>
      <c r="AZ293" s="1021"/>
      <c r="BA293" s="1021"/>
      <c r="BB293" s="1021"/>
      <c r="BC293" s="1021"/>
      <c r="BD293" s="1021"/>
      <c r="BE293" s="1021"/>
      <c r="BF293" s="1021"/>
      <c r="BG293" s="1021"/>
      <c r="BH293" s="1021"/>
      <c r="BI293" s="1021"/>
      <c r="BJ293" s="1021"/>
      <c r="BK293" s="1021"/>
      <c r="BL293" s="1021"/>
      <c r="BM293" s="1021"/>
      <c r="BN293" s="1021"/>
      <c r="BO293" s="1021"/>
      <c r="BP293" s="1021"/>
      <c r="BQ293" s="1021"/>
      <c r="BR293" s="1021"/>
      <c r="BS293" s="1021"/>
      <c r="BT293" s="1021"/>
      <c r="BU293" s="1021"/>
      <c r="BV293" s="1021"/>
      <c r="BW293" s="1021"/>
      <c r="BX293" s="1021"/>
      <c r="BY293" s="1021"/>
      <c r="BZ293" s="1021"/>
      <c r="CA293" s="1021"/>
      <c r="CB293" s="1021"/>
      <c r="CC293" s="1021"/>
    </row>
    <row r="294" spans="8:81" x14ac:dyDescent="0.25">
      <c r="H294" s="1021"/>
      <c r="I294" s="1021"/>
      <c r="J294" s="1021"/>
      <c r="K294" s="1021"/>
      <c r="L294" s="1021"/>
      <c r="M294" s="1021"/>
      <c r="N294" s="1021"/>
      <c r="O294" s="1021"/>
      <c r="P294" s="1021"/>
      <c r="Q294" s="1021"/>
      <c r="R294" s="1021"/>
      <c r="S294" s="1021"/>
      <c r="T294" s="1021"/>
      <c r="U294" s="1021"/>
      <c r="V294" s="1021"/>
      <c r="W294" s="1021"/>
      <c r="X294" s="1021"/>
      <c r="Y294" s="1021"/>
      <c r="Z294" s="1021"/>
      <c r="AA294" s="1021"/>
      <c r="AB294" s="1021"/>
      <c r="AC294" s="1021"/>
      <c r="AD294" s="1021"/>
      <c r="AE294" s="1021"/>
      <c r="AF294" s="1021"/>
      <c r="AG294" s="1021"/>
      <c r="AH294" s="1021"/>
      <c r="AI294" s="1021"/>
      <c r="AJ294" s="1021"/>
      <c r="AK294" s="1021"/>
      <c r="AL294" s="1021"/>
      <c r="AM294" s="1021"/>
      <c r="AN294" s="1021"/>
      <c r="AO294" s="1021"/>
      <c r="AP294" s="1021"/>
      <c r="AQ294" s="1021"/>
      <c r="AR294" s="1021"/>
      <c r="AS294" s="1021"/>
      <c r="AT294" s="1021"/>
      <c r="AU294" s="1021"/>
      <c r="AV294" s="1021"/>
      <c r="AW294" s="1021"/>
      <c r="AX294" s="1021"/>
      <c r="AY294" s="1021"/>
      <c r="AZ294" s="1021"/>
      <c r="BA294" s="1021"/>
      <c r="BB294" s="1021"/>
      <c r="BC294" s="1021"/>
      <c r="BD294" s="1021"/>
      <c r="BE294" s="1021"/>
      <c r="BF294" s="1021"/>
      <c r="BG294" s="1021"/>
      <c r="BH294" s="1021"/>
      <c r="BI294" s="1021"/>
      <c r="BJ294" s="1021"/>
      <c r="BK294" s="1021"/>
      <c r="BL294" s="1021"/>
      <c r="BM294" s="1021"/>
      <c r="BN294" s="1021"/>
      <c r="BO294" s="1021"/>
      <c r="BP294" s="1021"/>
      <c r="BQ294" s="1021"/>
      <c r="BR294" s="1021"/>
      <c r="BS294" s="1021"/>
      <c r="BT294" s="1021"/>
      <c r="BU294" s="1021"/>
      <c r="BV294" s="1021"/>
      <c r="BW294" s="1021"/>
      <c r="BX294" s="1021"/>
      <c r="BY294" s="1021"/>
      <c r="BZ294" s="1021"/>
      <c r="CA294" s="1021"/>
      <c r="CB294" s="1021"/>
      <c r="CC294" s="1021"/>
    </row>
    <row r="295" spans="8:81" x14ac:dyDescent="0.25">
      <c r="H295" s="1021"/>
      <c r="I295" s="1021"/>
      <c r="J295" s="1021"/>
      <c r="K295" s="1021"/>
      <c r="L295" s="1021"/>
      <c r="M295" s="1021"/>
      <c r="N295" s="1021"/>
      <c r="O295" s="1021"/>
      <c r="P295" s="1021"/>
      <c r="Q295" s="1021"/>
      <c r="R295" s="1021"/>
      <c r="S295" s="1021"/>
      <c r="T295" s="1021"/>
      <c r="U295" s="1021"/>
      <c r="V295" s="1021"/>
      <c r="W295" s="1021"/>
      <c r="X295" s="1021"/>
      <c r="Y295" s="1021"/>
      <c r="Z295" s="1021"/>
      <c r="AA295" s="1021"/>
      <c r="AB295" s="1021"/>
      <c r="AC295" s="1021"/>
      <c r="AD295" s="1021"/>
      <c r="AE295" s="1021"/>
      <c r="AF295" s="1021"/>
      <c r="AG295" s="1021"/>
      <c r="AH295" s="1021"/>
      <c r="AI295" s="1021"/>
      <c r="AJ295" s="1021"/>
      <c r="AK295" s="1021"/>
      <c r="AL295" s="1021"/>
      <c r="AM295" s="1021"/>
      <c r="AN295" s="1021"/>
      <c r="AO295" s="1021"/>
      <c r="AP295" s="1021"/>
      <c r="AQ295" s="1021"/>
      <c r="AR295" s="1021"/>
      <c r="AS295" s="1021"/>
      <c r="AT295" s="1021"/>
      <c r="AU295" s="1021"/>
      <c r="AV295" s="1021"/>
      <c r="AW295" s="1021"/>
      <c r="AX295" s="1021"/>
      <c r="AY295" s="1021"/>
      <c r="AZ295" s="1021"/>
      <c r="BA295" s="1021"/>
      <c r="BB295" s="1021"/>
      <c r="BC295" s="1021"/>
      <c r="BD295" s="1021"/>
      <c r="BE295" s="1021"/>
      <c r="BF295" s="1021"/>
      <c r="BG295" s="1021"/>
      <c r="BH295" s="1021"/>
      <c r="BI295" s="1021"/>
      <c r="BJ295" s="1021"/>
      <c r="BK295" s="1021"/>
      <c r="BL295" s="1021"/>
      <c r="BM295" s="1021"/>
      <c r="BN295" s="1021"/>
      <c r="BO295" s="1021"/>
      <c r="BP295" s="1021"/>
      <c r="BQ295" s="1021"/>
      <c r="BR295" s="1021"/>
      <c r="BS295" s="1021"/>
      <c r="BT295" s="1021"/>
      <c r="BU295" s="1021"/>
      <c r="BV295" s="1021"/>
      <c r="BW295" s="1021"/>
      <c r="BX295" s="1021"/>
      <c r="BY295" s="1021"/>
      <c r="BZ295" s="1021"/>
      <c r="CA295" s="1021"/>
      <c r="CB295" s="1021"/>
      <c r="CC295" s="1021"/>
    </row>
    <row r="296" spans="8:81" x14ac:dyDescent="0.25">
      <c r="H296" s="1021"/>
      <c r="I296" s="1021"/>
      <c r="J296" s="1021"/>
      <c r="K296" s="1021"/>
      <c r="L296" s="1021"/>
      <c r="M296" s="1021"/>
      <c r="N296" s="1021"/>
      <c r="O296" s="1021"/>
      <c r="P296" s="1021"/>
      <c r="Q296" s="1021"/>
      <c r="R296" s="1021"/>
      <c r="S296" s="1021"/>
      <c r="T296" s="1021"/>
      <c r="U296" s="1021"/>
      <c r="V296" s="1021"/>
      <c r="W296" s="1021"/>
      <c r="X296" s="1021"/>
      <c r="Y296" s="1021"/>
      <c r="Z296" s="1021"/>
      <c r="AA296" s="1021"/>
      <c r="AB296" s="1021"/>
      <c r="AC296" s="1021"/>
      <c r="AD296" s="1021"/>
      <c r="AE296" s="1021"/>
      <c r="AF296" s="1021"/>
      <c r="AG296" s="1021"/>
      <c r="AH296" s="1021"/>
      <c r="AI296" s="1021"/>
      <c r="AJ296" s="1021"/>
      <c r="AK296" s="1021"/>
      <c r="AL296" s="1021"/>
      <c r="AM296" s="1021"/>
      <c r="AN296" s="1021"/>
      <c r="AO296" s="1021"/>
      <c r="AP296" s="1021"/>
      <c r="AQ296" s="1021"/>
      <c r="AR296" s="1021"/>
      <c r="AS296" s="1021"/>
      <c r="AT296" s="1021"/>
      <c r="AU296" s="1021"/>
      <c r="AV296" s="1021"/>
      <c r="AW296" s="1021"/>
      <c r="AX296" s="1021"/>
      <c r="AY296" s="1021"/>
      <c r="AZ296" s="1021"/>
      <c r="BA296" s="1021"/>
      <c r="BB296" s="1021"/>
      <c r="BC296" s="1021"/>
      <c r="BD296" s="1021"/>
      <c r="BE296" s="1021"/>
      <c r="BF296" s="1021"/>
      <c r="BG296" s="1021"/>
      <c r="BH296" s="1021"/>
      <c r="BI296" s="1021"/>
      <c r="BJ296" s="1021"/>
      <c r="BK296" s="1021"/>
      <c r="BL296" s="1021"/>
      <c r="BM296" s="1021"/>
      <c r="BN296" s="1021"/>
      <c r="BO296" s="1021"/>
      <c r="BP296" s="1021"/>
      <c r="BQ296" s="1021"/>
      <c r="BR296" s="1021"/>
      <c r="BS296" s="1021"/>
      <c r="BT296" s="1021"/>
      <c r="BU296" s="1021"/>
      <c r="BV296" s="1021"/>
      <c r="BW296" s="1021"/>
      <c r="BX296" s="1021"/>
      <c r="BY296" s="1021"/>
      <c r="BZ296" s="1021"/>
      <c r="CA296" s="1021"/>
      <c r="CB296" s="1021"/>
      <c r="CC296" s="1021"/>
    </row>
    <row r="297" spans="8:81" x14ac:dyDescent="0.25">
      <c r="H297" s="1021"/>
      <c r="I297" s="1021"/>
      <c r="J297" s="1021"/>
      <c r="K297" s="1021"/>
      <c r="L297" s="1021"/>
      <c r="M297" s="1021"/>
      <c r="N297" s="1021"/>
      <c r="O297" s="1021"/>
      <c r="P297" s="1021"/>
      <c r="Q297" s="1021"/>
      <c r="R297" s="1021"/>
      <c r="S297" s="1021"/>
      <c r="T297" s="1021"/>
      <c r="U297" s="1021"/>
      <c r="V297" s="1021"/>
      <c r="W297" s="1021"/>
      <c r="X297" s="1021"/>
      <c r="Y297" s="1021"/>
      <c r="Z297" s="1021"/>
      <c r="AA297" s="1021"/>
      <c r="AB297" s="1021"/>
      <c r="AC297" s="1021"/>
      <c r="AD297" s="1021"/>
      <c r="AE297" s="1021"/>
      <c r="AF297" s="1021"/>
      <c r="AG297" s="1021"/>
      <c r="AH297" s="1021"/>
      <c r="AI297" s="1021"/>
      <c r="AJ297" s="1021"/>
      <c r="AK297" s="1021"/>
      <c r="AL297" s="1021"/>
      <c r="AM297" s="1021"/>
      <c r="AN297" s="1021"/>
      <c r="AO297" s="1021"/>
      <c r="AP297" s="1021"/>
      <c r="AQ297" s="1021"/>
      <c r="AR297" s="1021"/>
      <c r="AS297" s="1021"/>
      <c r="AT297" s="1021"/>
      <c r="AU297" s="1021"/>
      <c r="AV297" s="1021"/>
      <c r="AW297" s="1021"/>
      <c r="AX297" s="1021"/>
      <c r="AY297" s="1021"/>
      <c r="AZ297" s="1021"/>
      <c r="BA297" s="1021"/>
      <c r="BB297" s="1021"/>
      <c r="BC297" s="1021"/>
      <c r="BD297" s="1021"/>
      <c r="BE297" s="1021"/>
      <c r="BF297" s="1021"/>
      <c r="BG297" s="1021"/>
      <c r="BH297" s="1021"/>
      <c r="BI297" s="1021"/>
      <c r="BJ297" s="1021"/>
      <c r="BK297" s="1021"/>
      <c r="BL297" s="1021"/>
      <c r="BM297" s="1021"/>
      <c r="BN297" s="1021"/>
      <c r="BO297" s="1021"/>
      <c r="BP297" s="1021"/>
      <c r="BQ297" s="1021"/>
      <c r="BR297" s="1021"/>
      <c r="BS297" s="1021"/>
      <c r="BT297" s="1021"/>
      <c r="BU297" s="1021"/>
      <c r="BV297" s="1021"/>
      <c r="BW297" s="1021"/>
      <c r="BX297" s="1021"/>
      <c r="BY297" s="1021"/>
      <c r="BZ297" s="1021"/>
      <c r="CA297" s="1021"/>
      <c r="CB297" s="1021"/>
      <c r="CC297" s="1021"/>
    </row>
    <row r="298" spans="8:81" x14ac:dyDescent="0.25">
      <c r="H298" s="1021"/>
      <c r="I298" s="1021"/>
      <c r="J298" s="1021"/>
      <c r="K298" s="1021"/>
      <c r="L298" s="1021"/>
      <c r="M298" s="1021"/>
      <c r="N298" s="1021"/>
      <c r="O298" s="1021"/>
      <c r="P298" s="1021"/>
      <c r="Q298" s="1021"/>
      <c r="R298" s="1021"/>
      <c r="S298" s="1021"/>
      <c r="T298" s="1021"/>
      <c r="U298" s="1021"/>
      <c r="V298" s="1021"/>
      <c r="W298" s="1021"/>
      <c r="X298" s="1021"/>
      <c r="Y298" s="1021"/>
      <c r="Z298" s="1021"/>
      <c r="AA298" s="1021"/>
      <c r="AB298" s="1021"/>
      <c r="AC298" s="1021"/>
      <c r="AD298" s="1021"/>
      <c r="AE298" s="1021"/>
      <c r="AF298" s="1021"/>
      <c r="AG298" s="1021"/>
      <c r="AH298" s="1021"/>
      <c r="AI298" s="1021"/>
      <c r="AJ298" s="1021"/>
      <c r="AK298" s="1021"/>
      <c r="AL298" s="1021"/>
      <c r="AM298" s="1021"/>
      <c r="AN298" s="1021"/>
      <c r="AO298" s="1021"/>
      <c r="AP298" s="1021"/>
      <c r="AQ298" s="1021"/>
      <c r="AR298" s="1021"/>
      <c r="AS298" s="1021"/>
      <c r="AT298" s="1021"/>
      <c r="AU298" s="1021"/>
      <c r="AV298" s="1021"/>
      <c r="AW298" s="1021"/>
      <c r="AX298" s="1021"/>
      <c r="AY298" s="1021"/>
      <c r="AZ298" s="1021"/>
      <c r="BA298" s="1021"/>
      <c r="BB298" s="1021"/>
      <c r="BC298" s="1021"/>
      <c r="BD298" s="1021"/>
      <c r="BE298" s="1021"/>
      <c r="BF298" s="1021"/>
      <c r="BG298" s="1021"/>
      <c r="BH298" s="1021"/>
      <c r="BI298" s="1021"/>
      <c r="BJ298" s="1021"/>
      <c r="BK298" s="1021"/>
      <c r="BL298" s="1021"/>
      <c r="BM298" s="1021"/>
      <c r="BN298" s="1021"/>
      <c r="BO298" s="1021"/>
      <c r="BP298" s="1021"/>
      <c r="BQ298" s="1021"/>
      <c r="BR298" s="1021"/>
      <c r="BS298" s="1021"/>
      <c r="BT298" s="1021"/>
      <c r="BU298" s="1021"/>
      <c r="BV298" s="1021"/>
      <c r="BW298" s="1021"/>
      <c r="BX298" s="1021"/>
      <c r="BY298" s="1021"/>
      <c r="BZ298" s="1021"/>
      <c r="CA298" s="1021"/>
      <c r="CB298" s="1021"/>
      <c r="CC298" s="1021"/>
    </row>
    <row r="299" spans="8:81" x14ac:dyDescent="0.25">
      <c r="H299" s="1021"/>
      <c r="I299" s="1021"/>
      <c r="J299" s="1021"/>
      <c r="K299" s="1021"/>
      <c r="L299" s="1021"/>
      <c r="M299" s="1021"/>
      <c r="N299" s="1021"/>
      <c r="O299" s="1021"/>
      <c r="P299" s="1021"/>
      <c r="Q299" s="1021"/>
      <c r="R299" s="1021"/>
      <c r="S299" s="1021"/>
      <c r="T299" s="1021"/>
      <c r="U299" s="1021"/>
      <c r="V299" s="1021"/>
      <c r="W299" s="1021"/>
      <c r="X299" s="1021"/>
      <c r="Y299" s="1021"/>
      <c r="Z299" s="1021"/>
      <c r="AA299" s="1021"/>
      <c r="AB299" s="1021"/>
      <c r="AC299" s="1021"/>
      <c r="AD299" s="1021"/>
      <c r="AE299" s="1021"/>
      <c r="AF299" s="1021"/>
      <c r="AG299" s="1021"/>
      <c r="AH299" s="1021"/>
      <c r="AI299" s="1021"/>
      <c r="AJ299" s="1021"/>
      <c r="AK299" s="1021"/>
      <c r="AL299" s="1021"/>
      <c r="AM299" s="1021"/>
      <c r="AN299" s="1021"/>
      <c r="AO299" s="1021"/>
      <c r="AP299" s="1021"/>
      <c r="AQ299" s="1021"/>
      <c r="AR299" s="1021"/>
      <c r="AS299" s="1021"/>
      <c r="AT299" s="1021"/>
      <c r="AU299" s="1021"/>
      <c r="AV299" s="1021"/>
      <c r="AW299" s="1021"/>
      <c r="AX299" s="1021"/>
      <c r="AY299" s="1021"/>
      <c r="AZ299" s="1021"/>
      <c r="BA299" s="1021"/>
      <c r="BB299" s="1021"/>
      <c r="BC299" s="1021"/>
      <c r="BD299" s="1021"/>
      <c r="BE299" s="1021"/>
      <c r="BF299" s="1021"/>
      <c r="BG299" s="1021"/>
      <c r="BH299" s="1021"/>
      <c r="BI299" s="1021"/>
      <c r="BJ299" s="1021"/>
      <c r="BK299" s="1021"/>
      <c r="BL299" s="1021"/>
      <c r="BM299" s="1021"/>
      <c r="BN299" s="1021"/>
      <c r="BO299" s="1021"/>
      <c r="BP299" s="1021"/>
      <c r="BQ299" s="1021"/>
      <c r="BR299" s="1021"/>
      <c r="BS299" s="1021"/>
      <c r="BT299" s="1021"/>
      <c r="BU299" s="1021"/>
      <c r="BV299" s="1021"/>
      <c r="BW299" s="1021"/>
      <c r="BX299" s="1021"/>
      <c r="BY299" s="1021"/>
      <c r="BZ299" s="1021"/>
      <c r="CA299" s="1021"/>
      <c r="CB299" s="1021"/>
      <c r="CC299" s="1021"/>
    </row>
    <row r="300" spans="8:81" x14ac:dyDescent="0.25">
      <c r="H300" s="1021"/>
      <c r="I300" s="1021"/>
      <c r="J300" s="1021"/>
      <c r="K300" s="1021"/>
      <c r="L300" s="1021"/>
      <c r="M300" s="1021"/>
      <c r="N300" s="1021"/>
      <c r="O300" s="1021"/>
      <c r="P300" s="1021"/>
      <c r="Q300" s="1021"/>
      <c r="R300" s="1021"/>
      <c r="S300" s="1021"/>
      <c r="T300" s="1021"/>
      <c r="U300" s="1021"/>
      <c r="V300" s="1021"/>
      <c r="W300" s="1021"/>
      <c r="X300" s="1021"/>
      <c r="Y300" s="1021"/>
      <c r="Z300" s="1021"/>
      <c r="AA300" s="1021"/>
      <c r="AB300" s="1021"/>
      <c r="AC300" s="1021"/>
      <c r="AD300" s="1021"/>
      <c r="AE300" s="1021"/>
      <c r="AF300" s="1021"/>
      <c r="AG300" s="1021"/>
      <c r="AH300" s="1021"/>
      <c r="AI300" s="1021"/>
      <c r="AJ300" s="1021"/>
      <c r="AK300" s="1021"/>
      <c r="AL300" s="1021"/>
      <c r="AM300" s="1021"/>
      <c r="AN300" s="1021"/>
      <c r="AO300" s="1021"/>
      <c r="AP300" s="1021"/>
      <c r="AQ300" s="1021"/>
      <c r="AR300" s="1021"/>
      <c r="AS300" s="1021"/>
      <c r="AT300" s="1021"/>
      <c r="AU300" s="1021"/>
      <c r="AV300" s="1021"/>
      <c r="AW300" s="1021"/>
      <c r="AX300" s="1021"/>
      <c r="AY300" s="1021"/>
      <c r="AZ300" s="1021"/>
      <c r="BA300" s="1021"/>
      <c r="BB300" s="1021"/>
      <c r="BC300" s="1021"/>
      <c r="BD300" s="1021"/>
      <c r="BE300" s="1021"/>
      <c r="BF300" s="1021"/>
      <c r="BG300" s="1021"/>
      <c r="BH300" s="1021"/>
      <c r="BI300" s="1021"/>
      <c r="BJ300" s="1021"/>
      <c r="BK300" s="1021"/>
      <c r="BL300" s="1021"/>
      <c r="BM300" s="1021"/>
      <c r="BN300" s="1021"/>
      <c r="BO300" s="1021"/>
      <c r="BP300" s="1021"/>
      <c r="BQ300" s="1021"/>
      <c r="BR300" s="1021"/>
      <c r="BS300" s="1021"/>
      <c r="BT300" s="1021"/>
      <c r="BU300" s="1021"/>
      <c r="BV300" s="1021"/>
      <c r="BW300" s="1021"/>
      <c r="BX300" s="1021"/>
      <c r="BY300" s="1021"/>
      <c r="BZ300" s="1021"/>
      <c r="CA300" s="1021"/>
      <c r="CB300" s="1021"/>
      <c r="CC300" s="1021"/>
    </row>
    <row r="301" spans="8:81" x14ac:dyDescent="0.25">
      <c r="H301" s="1021"/>
      <c r="I301" s="1021"/>
      <c r="J301" s="1021"/>
      <c r="K301" s="1021"/>
      <c r="L301" s="1021"/>
      <c r="M301" s="1021"/>
      <c r="N301" s="1021"/>
      <c r="O301" s="1021"/>
      <c r="P301" s="1021"/>
      <c r="Q301" s="1021"/>
      <c r="R301" s="1021"/>
      <c r="S301" s="1021"/>
      <c r="T301" s="1021"/>
      <c r="U301" s="1021"/>
      <c r="V301" s="1021"/>
      <c r="W301" s="1021"/>
      <c r="X301" s="1021"/>
      <c r="Y301" s="1021"/>
      <c r="Z301" s="1021"/>
      <c r="AA301" s="1021"/>
      <c r="AB301" s="1021"/>
      <c r="AC301" s="1021"/>
      <c r="AD301" s="1021"/>
      <c r="AE301" s="1021"/>
      <c r="AF301" s="1021"/>
      <c r="AG301" s="1021"/>
      <c r="AH301" s="1021"/>
      <c r="AI301" s="1021"/>
      <c r="AJ301" s="1021"/>
      <c r="AK301" s="1021"/>
      <c r="AL301" s="1021"/>
      <c r="AM301" s="1021"/>
      <c r="AN301" s="1021"/>
      <c r="AO301" s="1021"/>
      <c r="AP301" s="1021"/>
      <c r="AQ301" s="1021"/>
      <c r="AR301" s="1021"/>
      <c r="AS301" s="1021"/>
      <c r="AT301" s="1021"/>
      <c r="AU301" s="1021"/>
      <c r="AV301" s="1021"/>
      <c r="AW301" s="1021"/>
      <c r="AX301" s="1021"/>
      <c r="AY301" s="1021"/>
      <c r="AZ301" s="1021"/>
      <c r="BA301" s="1021"/>
      <c r="BB301" s="1021"/>
      <c r="BC301" s="1021"/>
      <c r="BD301" s="1021"/>
      <c r="BE301" s="1021"/>
      <c r="BF301" s="1021"/>
      <c r="BG301" s="1021"/>
      <c r="BH301" s="1021"/>
      <c r="BI301" s="1021"/>
      <c r="BJ301" s="1021"/>
      <c r="BK301" s="1021"/>
      <c r="BL301" s="1021"/>
      <c r="BM301" s="1021"/>
      <c r="BN301" s="1021"/>
      <c r="BO301" s="1021"/>
      <c r="BP301" s="1021"/>
      <c r="BQ301" s="1021"/>
      <c r="BR301" s="1021"/>
      <c r="BS301" s="1021"/>
      <c r="BT301" s="1021"/>
      <c r="BU301" s="1021"/>
      <c r="BV301" s="1021"/>
      <c r="BW301" s="1021"/>
      <c r="BX301" s="1021"/>
      <c r="BY301" s="1021"/>
      <c r="BZ301" s="1021"/>
      <c r="CA301" s="1021"/>
      <c r="CB301" s="1021"/>
      <c r="CC301" s="1021"/>
    </row>
    <row r="302" spans="8:81" x14ac:dyDescent="0.25">
      <c r="H302" s="1021"/>
      <c r="I302" s="1021"/>
      <c r="J302" s="1021"/>
      <c r="K302" s="1021"/>
      <c r="L302" s="1021"/>
      <c r="M302" s="1021"/>
      <c r="N302" s="1021"/>
      <c r="O302" s="1021"/>
      <c r="P302" s="1021"/>
      <c r="Q302" s="1021"/>
      <c r="R302" s="1021"/>
      <c r="S302" s="1021"/>
      <c r="T302" s="1021"/>
      <c r="U302" s="1021"/>
      <c r="V302" s="1021"/>
      <c r="W302" s="1021"/>
      <c r="X302" s="1021"/>
      <c r="Y302" s="1021"/>
      <c r="Z302" s="1021"/>
      <c r="AA302" s="1021"/>
      <c r="AB302" s="1021"/>
      <c r="AC302" s="1021"/>
      <c r="AD302" s="1021"/>
      <c r="AE302" s="1021"/>
      <c r="AF302" s="1021"/>
      <c r="AG302" s="1021"/>
      <c r="AH302" s="1021"/>
      <c r="AI302" s="1021"/>
      <c r="AJ302" s="1021"/>
      <c r="AK302" s="1021"/>
      <c r="AL302" s="1021"/>
      <c r="AM302" s="1021"/>
      <c r="AN302" s="1021"/>
      <c r="AO302" s="1021"/>
      <c r="AP302" s="1021"/>
      <c r="AQ302" s="1021"/>
      <c r="AR302" s="1021"/>
      <c r="AS302" s="1021"/>
      <c r="AT302" s="1021"/>
      <c r="AU302" s="1021"/>
      <c r="AV302" s="1021"/>
      <c r="AW302" s="1021"/>
      <c r="AX302" s="1021"/>
      <c r="AY302" s="1021"/>
      <c r="AZ302" s="1021"/>
      <c r="BA302" s="1021"/>
      <c r="BB302" s="1021"/>
      <c r="BC302" s="1021"/>
      <c r="BD302" s="1021"/>
      <c r="BE302" s="1021"/>
      <c r="BF302" s="1021"/>
      <c r="BG302" s="1021"/>
      <c r="BH302" s="1021"/>
      <c r="BI302" s="1021"/>
      <c r="BJ302" s="1021"/>
      <c r="BK302" s="1021"/>
      <c r="BL302" s="1021"/>
      <c r="BM302" s="1021"/>
      <c r="BN302" s="1021"/>
      <c r="BO302" s="1021"/>
      <c r="BP302" s="1021"/>
      <c r="BQ302" s="1021"/>
      <c r="BR302" s="1021"/>
      <c r="BS302" s="1021"/>
      <c r="BT302" s="1021"/>
      <c r="BU302" s="1021"/>
      <c r="BV302" s="1021"/>
      <c r="BW302" s="1021"/>
      <c r="BX302" s="1021"/>
      <c r="BY302" s="1021"/>
      <c r="BZ302" s="1021"/>
      <c r="CA302" s="1021"/>
      <c r="CB302" s="1021"/>
      <c r="CC302" s="1021"/>
    </row>
    <row r="303" spans="8:81" x14ac:dyDescent="0.25">
      <c r="H303" s="1021"/>
      <c r="I303" s="1021"/>
      <c r="J303" s="1021"/>
      <c r="K303" s="1021"/>
      <c r="L303" s="1021"/>
      <c r="M303" s="1021"/>
      <c r="N303" s="1021"/>
      <c r="O303" s="1021"/>
      <c r="P303" s="1021"/>
      <c r="Q303" s="1021"/>
      <c r="R303" s="1021"/>
      <c r="S303" s="1021"/>
      <c r="T303" s="1021"/>
      <c r="U303" s="1021"/>
      <c r="V303" s="1021"/>
      <c r="W303" s="1021"/>
      <c r="X303" s="1021"/>
      <c r="Y303" s="1021"/>
      <c r="Z303" s="1021"/>
      <c r="AA303" s="1021"/>
      <c r="AB303" s="1021"/>
      <c r="AC303" s="1021"/>
      <c r="AD303" s="1021"/>
      <c r="AE303" s="1021"/>
      <c r="AF303" s="1021"/>
      <c r="AG303" s="1021"/>
      <c r="AH303" s="1021"/>
      <c r="AI303" s="1021"/>
      <c r="AJ303" s="1021"/>
      <c r="AK303" s="1021"/>
      <c r="AL303" s="1021"/>
      <c r="AM303" s="1021"/>
      <c r="AN303" s="1021"/>
      <c r="AO303" s="1021"/>
      <c r="AP303" s="1021"/>
      <c r="AQ303" s="1021"/>
      <c r="AR303" s="1021"/>
      <c r="AS303" s="1021"/>
      <c r="AT303" s="1021"/>
      <c r="AU303" s="1021"/>
      <c r="AV303" s="1021"/>
      <c r="AW303" s="1021"/>
      <c r="AX303" s="1021"/>
      <c r="AY303" s="1021"/>
      <c r="AZ303" s="1021"/>
      <c r="BA303" s="1021"/>
      <c r="BB303" s="1021"/>
      <c r="BC303" s="1021"/>
      <c r="BD303" s="1021"/>
      <c r="BE303" s="1021"/>
      <c r="BF303" s="1021"/>
      <c r="BG303" s="1021"/>
      <c r="BH303" s="1021"/>
      <c r="BI303" s="1021"/>
      <c r="BJ303" s="1021"/>
      <c r="BK303" s="1021"/>
      <c r="BL303" s="1021"/>
      <c r="BM303" s="1021"/>
      <c r="BN303" s="1021"/>
      <c r="BO303" s="1021"/>
      <c r="BP303" s="1021"/>
      <c r="BQ303" s="1021"/>
      <c r="BR303" s="1021"/>
      <c r="BS303" s="1021"/>
      <c r="BT303" s="1021"/>
      <c r="BU303" s="1021"/>
      <c r="BV303" s="1021"/>
      <c r="BW303" s="1021"/>
      <c r="BX303" s="1021"/>
      <c r="BY303" s="1021"/>
      <c r="BZ303" s="1021"/>
      <c r="CA303" s="1021"/>
      <c r="CB303" s="1021"/>
      <c r="CC303" s="1021"/>
    </row>
    <row r="304" spans="8:81" x14ac:dyDescent="0.25">
      <c r="H304" s="1021"/>
      <c r="I304" s="1021"/>
      <c r="J304" s="1021"/>
      <c r="K304" s="1021"/>
      <c r="L304" s="1021"/>
      <c r="M304" s="1021"/>
      <c r="N304" s="1021"/>
      <c r="O304" s="1021"/>
      <c r="P304" s="1021"/>
      <c r="Q304" s="1021"/>
      <c r="R304" s="1021"/>
      <c r="S304" s="1021"/>
      <c r="T304" s="1021"/>
      <c r="U304" s="1021"/>
      <c r="V304" s="1021"/>
      <c r="W304" s="1021"/>
      <c r="X304" s="1021"/>
      <c r="Y304" s="1021"/>
      <c r="Z304" s="1021"/>
      <c r="AA304" s="1021"/>
      <c r="AB304" s="1021"/>
      <c r="AC304" s="1021"/>
      <c r="AD304" s="1021"/>
      <c r="AE304" s="1021"/>
      <c r="AF304" s="1021"/>
      <c r="AG304" s="1021"/>
      <c r="AH304" s="1021"/>
      <c r="AI304" s="1021"/>
      <c r="AJ304" s="1021"/>
      <c r="AK304" s="1021"/>
      <c r="AL304" s="1021"/>
      <c r="AM304" s="1021"/>
      <c r="AN304" s="1021"/>
      <c r="AO304" s="1021"/>
      <c r="AP304" s="1021"/>
      <c r="AQ304" s="1021"/>
      <c r="AR304" s="1021"/>
      <c r="AS304" s="1021"/>
      <c r="AT304" s="1021"/>
      <c r="AU304" s="1021"/>
      <c r="AV304" s="1021"/>
      <c r="AW304" s="1021"/>
      <c r="AX304" s="1021"/>
      <c r="AY304" s="1021"/>
      <c r="AZ304" s="1021"/>
      <c r="BA304" s="1021"/>
      <c r="BB304" s="1021"/>
      <c r="BC304" s="1021"/>
      <c r="BD304" s="1021"/>
      <c r="BE304" s="1021"/>
      <c r="BF304" s="1021"/>
      <c r="BG304" s="1021"/>
      <c r="BH304" s="1021"/>
      <c r="BI304" s="1021"/>
      <c r="BJ304" s="1021"/>
      <c r="BK304" s="1021"/>
      <c r="BL304" s="1021"/>
      <c r="BM304" s="1021"/>
      <c r="BN304" s="1021"/>
      <c r="BO304" s="1021"/>
      <c r="BP304" s="1021"/>
      <c r="BQ304" s="1021"/>
      <c r="BR304" s="1021"/>
      <c r="BS304" s="1021"/>
      <c r="BT304" s="1021"/>
      <c r="BU304" s="1021"/>
      <c r="BV304" s="1021"/>
      <c r="BW304" s="1021"/>
      <c r="BX304" s="1021"/>
      <c r="BY304" s="1021"/>
      <c r="BZ304" s="1021"/>
      <c r="CA304" s="1021"/>
      <c r="CB304" s="1021"/>
      <c r="CC304" s="1021"/>
    </row>
    <row r="305" spans="8:81" x14ac:dyDescent="0.25">
      <c r="H305" s="1021"/>
      <c r="I305" s="1021"/>
      <c r="J305" s="1021"/>
      <c r="K305" s="1021"/>
      <c r="L305" s="1021"/>
      <c r="M305" s="1021"/>
      <c r="N305" s="1021"/>
      <c r="O305" s="1021"/>
      <c r="P305" s="1021"/>
      <c r="Q305" s="1021"/>
      <c r="R305" s="1021"/>
      <c r="S305" s="1021"/>
      <c r="T305" s="1021"/>
      <c r="U305" s="1021"/>
      <c r="V305" s="1021"/>
      <c r="W305" s="1021"/>
      <c r="X305" s="1021"/>
      <c r="Y305" s="1021"/>
      <c r="Z305" s="1021"/>
      <c r="AA305" s="1021"/>
      <c r="AB305" s="1021"/>
      <c r="AC305" s="1021"/>
      <c r="AD305" s="1021"/>
      <c r="AE305" s="1021"/>
      <c r="AF305" s="1021"/>
      <c r="AG305" s="1021"/>
      <c r="AH305" s="1021"/>
      <c r="AI305" s="1021"/>
      <c r="AJ305" s="1021"/>
      <c r="AK305" s="1021"/>
      <c r="AL305" s="1021"/>
      <c r="AM305" s="1021"/>
      <c r="AN305" s="1021"/>
      <c r="AO305" s="1021"/>
      <c r="AP305" s="1021"/>
      <c r="AQ305" s="1021"/>
      <c r="AR305" s="1021"/>
      <c r="AS305" s="1021"/>
      <c r="AT305" s="1021"/>
      <c r="AU305" s="1021"/>
      <c r="AV305" s="1021"/>
      <c r="AW305" s="1021"/>
      <c r="AX305" s="1021"/>
      <c r="AY305" s="1021"/>
      <c r="AZ305" s="1021"/>
      <c r="BA305" s="1021"/>
      <c r="BB305" s="1021"/>
      <c r="BC305" s="1021"/>
      <c r="BD305" s="1021"/>
      <c r="BE305" s="1021"/>
      <c r="BF305" s="1021"/>
      <c r="BG305" s="1021"/>
      <c r="BH305" s="1021"/>
      <c r="BI305" s="1021"/>
      <c r="BJ305" s="1021"/>
      <c r="BK305" s="1021"/>
      <c r="BL305" s="1021"/>
      <c r="BM305" s="1021"/>
      <c r="BN305" s="1021"/>
      <c r="BO305" s="1021"/>
      <c r="BP305" s="1021"/>
      <c r="BQ305" s="1021"/>
      <c r="BR305" s="1021"/>
      <c r="BS305" s="1021"/>
      <c r="BT305" s="1021"/>
      <c r="BU305" s="1021"/>
      <c r="BV305" s="1021"/>
      <c r="BW305" s="1021"/>
      <c r="BX305" s="1021"/>
      <c r="BY305" s="1021"/>
      <c r="BZ305" s="1021"/>
      <c r="CA305" s="1021"/>
      <c r="CB305" s="1021"/>
      <c r="CC305" s="1021"/>
    </row>
    <row r="306" spans="8:81" x14ac:dyDescent="0.25">
      <c r="H306" s="1021"/>
      <c r="I306" s="1021"/>
      <c r="J306" s="1021"/>
      <c r="K306" s="1021"/>
      <c r="L306" s="1021"/>
      <c r="M306" s="1021"/>
      <c r="N306" s="1021"/>
      <c r="O306" s="1021"/>
      <c r="P306" s="1021"/>
      <c r="Q306" s="1021"/>
      <c r="R306" s="1021"/>
      <c r="S306" s="1021"/>
      <c r="T306" s="1021"/>
      <c r="U306" s="1021"/>
      <c r="V306" s="1021"/>
      <c r="W306" s="1021"/>
      <c r="X306" s="1021"/>
      <c r="Y306" s="1021"/>
      <c r="Z306" s="1021"/>
      <c r="AA306" s="1021"/>
      <c r="AB306" s="1021"/>
      <c r="AC306" s="1021"/>
      <c r="AD306" s="1021"/>
      <c r="AE306" s="1021"/>
      <c r="AF306" s="1021"/>
      <c r="AG306" s="1021"/>
      <c r="AH306" s="1021"/>
      <c r="AI306" s="1021"/>
      <c r="AJ306" s="1021"/>
      <c r="AK306" s="1021"/>
      <c r="AL306" s="1021"/>
      <c r="AM306" s="1021"/>
      <c r="AN306" s="1021"/>
      <c r="AO306" s="1021"/>
      <c r="AP306" s="1021"/>
      <c r="AQ306" s="1021"/>
      <c r="AR306" s="1021"/>
      <c r="AS306" s="1021"/>
      <c r="AT306" s="1021"/>
      <c r="AU306" s="1021"/>
      <c r="AV306" s="1021"/>
      <c r="AW306" s="1021"/>
      <c r="AX306" s="1021"/>
      <c r="AY306" s="1021"/>
      <c r="AZ306" s="1021"/>
      <c r="BA306" s="1021"/>
      <c r="BB306" s="1021"/>
      <c r="BC306" s="1021"/>
      <c r="BD306" s="1021"/>
      <c r="BE306" s="1021"/>
      <c r="BF306" s="1021"/>
      <c r="BG306" s="1021"/>
      <c r="BH306" s="1021"/>
      <c r="BI306" s="1021"/>
      <c r="BJ306" s="1021"/>
      <c r="BK306" s="1021"/>
      <c r="BL306" s="1021"/>
      <c r="BM306" s="1021"/>
      <c r="BN306" s="1021"/>
      <c r="BO306" s="1021"/>
      <c r="BP306" s="1021"/>
      <c r="BQ306" s="1021"/>
      <c r="BR306" s="1021"/>
      <c r="BS306" s="1021"/>
      <c r="BT306" s="1021"/>
      <c r="BU306" s="1021"/>
      <c r="BV306" s="1021"/>
      <c r="BW306" s="1021"/>
      <c r="BX306" s="1021"/>
      <c r="BY306" s="1021"/>
      <c r="BZ306" s="1021"/>
      <c r="CA306" s="1021"/>
      <c r="CB306" s="1021"/>
      <c r="CC306" s="1021"/>
    </row>
    <row r="307" spans="8:81" x14ac:dyDescent="0.25">
      <c r="H307" s="1021"/>
      <c r="I307" s="1021"/>
      <c r="J307" s="1021"/>
      <c r="K307" s="1021"/>
      <c r="L307" s="1021"/>
      <c r="M307" s="1021"/>
      <c r="N307" s="1021"/>
      <c r="O307" s="1021"/>
      <c r="P307" s="1021"/>
      <c r="Q307" s="1021"/>
      <c r="R307" s="1021"/>
      <c r="S307" s="1021"/>
      <c r="T307" s="1021"/>
      <c r="U307" s="1021"/>
      <c r="V307" s="1021"/>
      <c r="W307" s="1021"/>
      <c r="X307" s="1021"/>
      <c r="Y307" s="1021"/>
      <c r="Z307" s="1021"/>
      <c r="AA307" s="1021"/>
      <c r="AB307" s="1021"/>
      <c r="AC307" s="1021"/>
      <c r="AD307" s="1021"/>
      <c r="AE307" s="1021"/>
      <c r="AF307" s="1021"/>
      <c r="AG307" s="1021"/>
      <c r="AH307" s="1021"/>
      <c r="AI307" s="1021"/>
      <c r="AJ307" s="1021"/>
      <c r="AK307" s="1021"/>
      <c r="AL307" s="1021"/>
      <c r="AM307" s="1021"/>
      <c r="AN307" s="1021"/>
      <c r="AO307" s="1021"/>
      <c r="AP307" s="1021"/>
      <c r="AQ307" s="1021"/>
      <c r="AR307" s="1021"/>
      <c r="AS307" s="1021"/>
      <c r="AT307" s="1021"/>
      <c r="AU307" s="1021"/>
      <c r="AV307" s="1021"/>
      <c r="AW307" s="1021"/>
      <c r="AX307" s="1021"/>
      <c r="AY307" s="1021"/>
      <c r="AZ307" s="1021"/>
      <c r="BA307" s="1021"/>
      <c r="BB307" s="1021"/>
      <c r="BC307" s="1021"/>
      <c r="BD307" s="1021"/>
      <c r="BE307" s="1021"/>
      <c r="BF307" s="1021"/>
      <c r="BG307" s="1021"/>
      <c r="BH307" s="1021"/>
      <c r="BI307" s="1021"/>
      <c r="BJ307" s="1021"/>
      <c r="BK307" s="1021"/>
      <c r="BL307" s="1021"/>
      <c r="BM307" s="1021"/>
      <c r="BN307" s="1021"/>
      <c r="BO307" s="1021"/>
      <c r="BP307" s="1021"/>
      <c r="BQ307" s="1021"/>
      <c r="BR307" s="1021"/>
      <c r="BS307" s="1021"/>
      <c r="BT307" s="1021"/>
      <c r="BU307" s="1021"/>
      <c r="BV307" s="1021"/>
      <c r="BW307" s="1021"/>
      <c r="BX307" s="1021"/>
      <c r="BY307" s="1021"/>
      <c r="BZ307" s="1021"/>
      <c r="CA307" s="1021"/>
      <c r="CB307" s="1021"/>
      <c r="CC307" s="1021"/>
    </row>
    <row r="308" spans="8:81" x14ac:dyDescent="0.25">
      <c r="H308" s="1021"/>
      <c r="I308" s="1021"/>
      <c r="J308" s="1021"/>
      <c r="K308" s="1021"/>
      <c r="L308" s="1021"/>
      <c r="M308" s="1021"/>
      <c r="N308" s="1021"/>
      <c r="O308" s="1021"/>
      <c r="P308" s="1021"/>
      <c r="Q308" s="1021"/>
      <c r="R308" s="1021"/>
      <c r="S308" s="1021"/>
      <c r="T308" s="1021"/>
      <c r="U308" s="1021"/>
      <c r="V308" s="1021"/>
      <c r="W308" s="1021"/>
      <c r="X308" s="1021"/>
      <c r="Y308" s="1021"/>
      <c r="Z308" s="1021"/>
      <c r="AA308" s="1021"/>
      <c r="AB308" s="1021"/>
      <c r="AC308" s="1021"/>
      <c r="AD308" s="1021"/>
      <c r="AE308" s="1021"/>
      <c r="AF308" s="1021"/>
      <c r="AG308" s="1021"/>
      <c r="AH308" s="1021"/>
      <c r="AI308" s="1021"/>
      <c r="AJ308" s="1021"/>
      <c r="AK308" s="1021"/>
      <c r="AL308" s="1021"/>
      <c r="AM308" s="1021"/>
      <c r="AN308" s="1021"/>
      <c r="AO308" s="1021"/>
      <c r="AP308" s="1021"/>
      <c r="AQ308" s="1021"/>
      <c r="AR308" s="1021"/>
      <c r="AS308" s="1021"/>
      <c r="AT308" s="1021"/>
      <c r="AU308" s="1021"/>
      <c r="AV308" s="1021"/>
      <c r="AW308" s="1021"/>
      <c r="AX308" s="1021"/>
      <c r="AY308" s="1021"/>
      <c r="AZ308" s="1021"/>
      <c r="BA308" s="1021"/>
      <c r="BB308" s="1021"/>
      <c r="BC308" s="1021"/>
      <c r="BD308" s="1021"/>
      <c r="BE308" s="1021"/>
      <c r="BF308" s="1021"/>
      <c r="BG308" s="1021"/>
      <c r="BH308" s="1021"/>
      <c r="BI308" s="1021"/>
      <c r="BJ308" s="1021"/>
      <c r="BK308" s="1021"/>
      <c r="BL308" s="1021"/>
      <c r="BM308" s="1021"/>
      <c r="BN308" s="1021"/>
      <c r="BO308" s="1021"/>
      <c r="BP308" s="1021"/>
      <c r="BQ308" s="1021"/>
      <c r="BR308" s="1021"/>
      <c r="BS308" s="1021"/>
      <c r="BT308" s="1021"/>
      <c r="BU308" s="1021"/>
      <c r="BV308" s="1021"/>
      <c r="BW308" s="1021"/>
      <c r="BX308" s="1021"/>
      <c r="BY308" s="1021"/>
      <c r="BZ308" s="1021"/>
      <c r="CA308" s="1021"/>
      <c r="CB308" s="1021"/>
      <c r="CC308" s="1021"/>
    </row>
    <row r="309" spans="8:81" x14ac:dyDescent="0.25">
      <c r="H309" s="1021"/>
      <c r="I309" s="1021"/>
      <c r="J309" s="1021"/>
      <c r="K309" s="1021"/>
      <c r="L309" s="1021"/>
      <c r="M309" s="1021"/>
      <c r="N309" s="1021"/>
      <c r="O309" s="1021"/>
      <c r="P309" s="1021"/>
      <c r="Q309" s="1021"/>
      <c r="R309" s="1021"/>
      <c r="S309" s="1021"/>
      <c r="T309" s="1021"/>
      <c r="U309" s="1021"/>
      <c r="V309" s="1021"/>
      <c r="W309" s="1021"/>
      <c r="X309" s="1021"/>
      <c r="Y309" s="1021"/>
      <c r="Z309" s="1021"/>
      <c r="AA309" s="1021"/>
      <c r="AB309" s="1021"/>
      <c r="AC309" s="1021"/>
      <c r="AD309" s="1021"/>
      <c r="AE309" s="1021"/>
      <c r="AF309" s="1021"/>
      <c r="AG309" s="1021"/>
      <c r="AH309" s="1021"/>
      <c r="AI309" s="1021"/>
      <c r="AJ309" s="1021"/>
      <c r="AK309" s="1021"/>
      <c r="AL309" s="1021"/>
      <c r="AM309" s="1021"/>
      <c r="AN309" s="1021"/>
      <c r="AO309" s="1021"/>
      <c r="AP309" s="1021"/>
      <c r="AQ309" s="1021"/>
      <c r="AR309" s="1021"/>
      <c r="AS309" s="1021"/>
      <c r="AT309" s="1021"/>
      <c r="AU309" s="1021"/>
      <c r="AV309" s="1021"/>
      <c r="AW309" s="1021"/>
      <c r="AX309" s="1021"/>
      <c r="AY309" s="1021"/>
      <c r="AZ309" s="1021"/>
      <c r="BA309" s="1021"/>
      <c r="BB309" s="1021"/>
      <c r="BC309" s="1021"/>
      <c r="BD309" s="1021"/>
      <c r="BE309" s="1021"/>
      <c r="BF309" s="1021"/>
      <c r="BG309" s="1021"/>
      <c r="BH309" s="1021"/>
      <c r="BI309" s="1021"/>
      <c r="BJ309" s="1021"/>
      <c r="BK309" s="1021"/>
      <c r="BL309" s="1021"/>
      <c r="BM309" s="1021"/>
      <c r="BN309" s="1021"/>
      <c r="BO309" s="1021"/>
      <c r="BP309" s="1021"/>
      <c r="BQ309" s="1021"/>
      <c r="BR309" s="1021"/>
      <c r="BS309" s="1021"/>
      <c r="BT309" s="1021"/>
      <c r="BU309" s="1021"/>
      <c r="BV309" s="1021"/>
      <c r="BW309" s="1021"/>
      <c r="BX309" s="1021"/>
      <c r="BY309" s="1021"/>
      <c r="BZ309" s="1021"/>
      <c r="CA309" s="1021"/>
      <c r="CB309" s="1021"/>
      <c r="CC309" s="1021"/>
    </row>
    <row r="310" spans="8:81" x14ac:dyDescent="0.25">
      <c r="H310" s="1021"/>
      <c r="I310" s="1021"/>
      <c r="J310" s="1021"/>
      <c r="K310" s="1021"/>
      <c r="L310" s="1021"/>
      <c r="M310" s="1021"/>
      <c r="N310" s="1021"/>
      <c r="O310" s="1021"/>
      <c r="P310" s="1021"/>
      <c r="Q310" s="1021"/>
      <c r="R310" s="1021"/>
      <c r="S310" s="1021"/>
      <c r="T310" s="1021"/>
      <c r="U310" s="1021"/>
      <c r="V310" s="1021"/>
      <c r="W310" s="1021"/>
      <c r="X310" s="1021"/>
      <c r="Y310" s="1021"/>
      <c r="Z310" s="1021"/>
      <c r="AA310" s="1021"/>
      <c r="AB310" s="1021"/>
      <c r="AC310" s="1021"/>
      <c r="AD310" s="1021"/>
      <c r="AE310" s="1021"/>
      <c r="AF310" s="1021"/>
      <c r="AG310" s="1021"/>
      <c r="AH310" s="1021"/>
      <c r="AI310" s="1021"/>
      <c r="AJ310" s="1021"/>
      <c r="AK310" s="1021"/>
      <c r="AL310" s="1021"/>
      <c r="AM310" s="1021"/>
      <c r="AN310" s="1021"/>
      <c r="AO310" s="1021"/>
      <c r="AP310" s="1021"/>
      <c r="AQ310" s="1021"/>
      <c r="AR310" s="1021"/>
      <c r="AS310" s="1021"/>
      <c r="AT310" s="1021"/>
      <c r="AU310" s="1021"/>
      <c r="AV310" s="1021"/>
      <c r="AW310" s="1021"/>
      <c r="AX310" s="1021"/>
      <c r="AY310" s="1021"/>
      <c r="AZ310" s="1021"/>
      <c r="BA310" s="1021"/>
      <c r="BB310" s="1021"/>
      <c r="BC310" s="1021"/>
      <c r="BD310" s="1021"/>
      <c r="BE310" s="1021"/>
      <c r="BF310" s="1021"/>
      <c r="BG310" s="1021"/>
      <c r="BH310" s="1021"/>
      <c r="BI310" s="1021"/>
      <c r="BJ310" s="1021"/>
      <c r="BK310" s="1021"/>
      <c r="BL310" s="1021"/>
      <c r="BM310" s="1021"/>
      <c r="BN310" s="1021"/>
      <c r="BO310" s="1021"/>
      <c r="BP310" s="1021"/>
      <c r="BQ310" s="1021"/>
      <c r="BR310" s="1021"/>
      <c r="BS310" s="1021"/>
      <c r="BT310" s="1021"/>
      <c r="BU310" s="1021"/>
      <c r="BV310" s="1021"/>
      <c r="BW310" s="1021"/>
      <c r="BX310" s="1021"/>
      <c r="BY310" s="1021"/>
      <c r="BZ310" s="1021"/>
      <c r="CA310" s="1021"/>
      <c r="CB310" s="1021"/>
      <c r="CC310" s="1021"/>
    </row>
    <row r="311" spans="8:81" x14ac:dyDescent="0.25">
      <c r="H311" s="1021"/>
      <c r="I311" s="1021"/>
      <c r="J311" s="1021"/>
      <c r="K311" s="1021"/>
      <c r="L311" s="1021"/>
      <c r="M311" s="1021"/>
      <c r="N311" s="1021"/>
      <c r="O311" s="1021"/>
      <c r="P311" s="1021"/>
      <c r="Q311" s="1021"/>
      <c r="R311" s="1021"/>
      <c r="S311" s="1021"/>
      <c r="T311" s="1021"/>
      <c r="U311" s="1021"/>
      <c r="V311" s="1021"/>
      <c r="W311" s="1021"/>
      <c r="X311" s="1021"/>
      <c r="Y311" s="1021"/>
      <c r="Z311" s="1021"/>
      <c r="AA311" s="1021"/>
      <c r="AB311" s="1021"/>
      <c r="AC311" s="1021"/>
      <c r="AD311" s="1021"/>
      <c r="AE311" s="1021"/>
      <c r="AF311" s="1021"/>
      <c r="AG311" s="1021"/>
      <c r="AH311" s="1021"/>
      <c r="AI311" s="1021"/>
      <c r="AJ311" s="1021"/>
      <c r="AK311" s="1021"/>
      <c r="AL311" s="1021"/>
      <c r="AM311" s="1021"/>
      <c r="AN311" s="1021"/>
      <c r="AO311" s="1021"/>
      <c r="AP311" s="1021"/>
      <c r="AQ311" s="1021"/>
      <c r="AR311" s="1021"/>
      <c r="AS311" s="1021"/>
      <c r="AT311" s="1021"/>
      <c r="AU311" s="1021"/>
      <c r="AV311" s="1021"/>
      <c r="AW311" s="1021"/>
      <c r="AX311" s="1021"/>
      <c r="AY311" s="1021"/>
      <c r="AZ311" s="1021"/>
      <c r="BA311" s="1021"/>
      <c r="BB311" s="1021"/>
      <c r="BC311" s="1021"/>
      <c r="BD311" s="1021"/>
      <c r="BE311" s="1021"/>
      <c r="BF311" s="1021"/>
      <c r="BG311" s="1021"/>
      <c r="BH311" s="1021"/>
      <c r="BI311" s="1021"/>
      <c r="BJ311" s="1021"/>
      <c r="BK311" s="1021"/>
      <c r="BL311" s="1021"/>
      <c r="BM311" s="1021"/>
      <c r="BN311" s="1021"/>
      <c r="BO311" s="1021"/>
      <c r="BP311" s="1021"/>
      <c r="BQ311" s="1021"/>
      <c r="BR311" s="1021"/>
      <c r="BS311" s="1021"/>
      <c r="BT311" s="1021"/>
      <c r="BU311" s="1021"/>
      <c r="BV311" s="1021"/>
      <c r="BW311" s="1021"/>
      <c r="BX311" s="1021"/>
      <c r="BY311" s="1021"/>
      <c r="BZ311" s="1021"/>
      <c r="CA311" s="1021"/>
      <c r="CB311" s="1021"/>
      <c r="CC311" s="1021"/>
    </row>
    <row r="312" spans="8:81" x14ac:dyDescent="0.25">
      <c r="H312" s="1021"/>
      <c r="I312" s="1021"/>
      <c r="J312" s="1021"/>
      <c r="K312" s="1021"/>
      <c r="L312" s="1021"/>
      <c r="M312" s="1021"/>
      <c r="N312" s="1021"/>
      <c r="O312" s="1021"/>
      <c r="P312" s="1021"/>
      <c r="Q312" s="1021"/>
      <c r="R312" s="1021"/>
      <c r="S312" s="1021"/>
      <c r="T312" s="1021"/>
      <c r="U312" s="1021"/>
      <c r="V312" s="1021"/>
      <c r="W312" s="1021"/>
      <c r="X312" s="1021"/>
      <c r="Y312" s="1021"/>
      <c r="Z312" s="1021"/>
      <c r="AA312" s="1021"/>
      <c r="AB312" s="1021"/>
      <c r="AC312" s="1021"/>
      <c r="AD312" s="1021"/>
      <c r="AE312" s="1021"/>
      <c r="AF312" s="1021"/>
      <c r="AG312" s="1021"/>
      <c r="AH312" s="1021"/>
      <c r="AI312" s="1021"/>
      <c r="AJ312" s="1021"/>
      <c r="AK312" s="1021"/>
      <c r="AL312" s="1021"/>
      <c r="AM312" s="1021"/>
      <c r="AN312" s="1021"/>
      <c r="AO312" s="1021"/>
      <c r="AP312" s="1021"/>
      <c r="AQ312" s="1021"/>
      <c r="AR312" s="1021"/>
      <c r="AS312" s="1021"/>
      <c r="AT312" s="1021"/>
      <c r="AU312" s="1021"/>
      <c r="AV312" s="1021"/>
      <c r="AW312" s="1021"/>
      <c r="AX312" s="1021"/>
      <c r="AY312" s="1021"/>
      <c r="AZ312" s="1021"/>
      <c r="BA312" s="1021"/>
      <c r="BB312" s="1021"/>
      <c r="BC312" s="1021"/>
      <c r="BD312" s="1021"/>
      <c r="BE312" s="1021"/>
      <c r="BF312" s="1021"/>
      <c r="BG312" s="1021"/>
      <c r="BH312" s="1021"/>
      <c r="BI312" s="1021"/>
      <c r="BJ312" s="1021"/>
      <c r="BK312" s="1021"/>
      <c r="BL312" s="1021"/>
      <c r="BM312" s="1021"/>
      <c r="BN312" s="1021"/>
      <c r="BO312" s="1021"/>
      <c r="BP312" s="1021"/>
      <c r="BQ312" s="1021"/>
      <c r="BR312" s="1021"/>
      <c r="BS312" s="1021"/>
      <c r="BT312" s="1021"/>
      <c r="BU312" s="1021"/>
      <c r="BV312" s="1021"/>
      <c r="BW312" s="1021"/>
      <c r="BX312" s="1021"/>
      <c r="BY312" s="1021"/>
      <c r="BZ312" s="1021"/>
      <c r="CA312" s="1021"/>
      <c r="CB312" s="1021"/>
      <c r="CC312" s="1021"/>
    </row>
    <row r="313" spans="8:81" x14ac:dyDescent="0.25">
      <c r="H313" s="1021"/>
      <c r="I313" s="1021"/>
      <c r="J313" s="1021"/>
      <c r="K313" s="1021"/>
      <c r="L313" s="1021"/>
      <c r="M313" s="1021"/>
      <c r="N313" s="1021"/>
      <c r="O313" s="1021"/>
      <c r="P313" s="1021"/>
      <c r="Q313" s="1021"/>
      <c r="R313" s="1021"/>
      <c r="S313" s="1021"/>
      <c r="T313" s="1021"/>
      <c r="U313" s="1021"/>
      <c r="V313" s="1021"/>
      <c r="W313" s="1021"/>
      <c r="X313" s="1021"/>
      <c r="Y313" s="1021"/>
      <c r="Z313" s="1021"/>
      <c r="AA313" s="1021"/>
      <c r="AB313" s="1021"/>
      <c r="AC313" s="1021"/>
      <c r="AD313" s="1021"/>
      <c r="AE313" s="1021"/>
      <c r="AF313" s="1021"/>
      <c r="AG313" s="1021"/>
      <c r="AH313" s="1021"/>
      <c r="AI313" s="1021"/>
      <c r="AJ313" s="1021"/>
      <c r="AK313" s="1021"/>
      <c r="AL313" s="1021"/>
      <c r="AM313" s="1021"/>
      <c r="AN313" s="1021"/>
      <c r="AO313" s="1021"/>
      <c r="AP313" s="1021"/>
      <c r="AQ313" s="1021"/>
      <c r="AR313" s="1021"/>
      <c r="AS313" s="1021"/>
      <c r="AT313" s="1021"/>
      <c r="AU313" s="1021"/>
      <c r="AV313" s="1021"/>
      <c r="AW313" s="1021"/>
      <c r="AX313" s="1021"/>
      <c r="AY313" s="1021"/>
      <c r="AZ313" s="1021"/>
      <c r="BA313" s="1021"/>
      <c r="BB313" s="1021"/>
      <c r="BC313" s="1021"/>
      <c r="BD313" s="1021"/>
      <c r="BE313" s="1021"/>
      <c r="BF313" s="1021"/>
      <c r="BG313" s="1021"/>
      <c r="BH313" s="1021"/>
      <c r="BI313" s="1021"/>
      <c r="BJ313" s="1021"/>
      <c r="BK313" s="1021"/>
      <c r="BL313" s="1021"/>
      <c r="BM313" s="1021"/>
      <c r="BN313" s="1021"/>
      <c r="BO313" s="1021"/>
      <c r="BP313" s="1021"/>
      <c r="BQ313" s="1021"/>
      <c r="BR313" s="1021"/>
      <c r="BS313" s="1021"/>
      <c r="BT313" s="1021"/>
      <c r="BU313" s="1021"/>
      <c r="BV313" s="1021"/>
      <c r="BW313" s="1021"/>
      <c r="BX313" s="1021"/>
      <c r="BY313" s="1021"/>
      <c r="BZ313" s="1021"/>
      <c r="CA313" s="1021"/>
      <c r="CB313" s="1021"/>
      <c r="CC313" s="1021"/>
    </row>
    <row r="314" spans="8:81" x14ac:dyDescent="0.25">
      <c r="H314" s="1021"/>
      <c r="I314" s="1021"/>
      <c r="J314" s="1021"/>
      <c r="K314" s="1021"/>
      <c r="L314" s="1021"/>
      <c r="M314" s="1021"/>
      <c r="N314" s="1021"/>
      <c r="O314" s="1021"/>
      <c r="P314" s="1021"/>
      <c r="Q314" s="1021"/>
      <c r="R314" s="1021"/>
      <c r="S314" s="1021"/>
      <c r="T314" s="1021"/>
      <c r="U314" s="1021"/>
      <c r="V314" s="1021"/>
      <c r="W314" s="1021"/>
      <c r="X314" s="1021"/>
      <c r="Y314" s="1021"/>
      <c r="Z314" s="1021"/>
      <c r="AA314" s="1021"/>
      <c r="AB314" s="1021"/>
      <c r="AC314" s="1021"/>
      <c r="AD314" s="1021"/>
      <c r="AE314" s="1021"/>
      <c r="AF314" s="1021"/>
      <c r="AG314" s="1021"/>
      <c r="AH314" s="1021"/>
      <c r="AI314" s="1021"/>
      <c r="AJ314" s="1021"/>
      <c r="AK314" s="1021"/>
      <c r="AL314" s="1021"/>
      <c r="AM314" s="1021"/>
      <c r="AN314" s="1021"/>
      <c r="AO314" s="1021"/>
      <c r="AP314" s="1021"/>
      <c r="AQ314" s="1021"/>
      <c r="AR314" s="1021"/>
      <c r="AS314" s="1021"/>
      <c r="AT314" s="1021"/>
      <c r="AU314" s="1021"/>
      <c r="AV314" s="1021"/>
      <c r="AW314" s="1021"/>
      <c r="AX314" s="1021"/>
      <c r="AY314" s="1021"/>
      <c r="AZ314" s="1021"/>
      <c r="BA314" s="1021"/>
      <c r="BB314" s="1021"/>
      <c r="BC314" s="1021"/>
      <c r="BD314" s="1021"/>
      <c r="BE314" s="1021"/>
      <c r="BF314" s="1021"/>
      <c r="BG314" s="1021"/>
      <c r="BH314" s="1021"/>
      <c r="BI314" s="1021"/>
      <c r="BJ314" s="1021"/>
      <c r="BK314" s="1021"/>
      <c r="BL314" s="1021"/>
      <c r="BM314" s="1021"/>
      <c r="BN314" s="1021"/>
      <c r="BO314" s="1021"/>
      <c r="BP314" s="1021"/>
      <c r="BQ314" s="1021"/>
      <c r="BR314" s="1021"/>
      <c r="BS314" s="1021"/>
      <c r="BT314" s="1021"/>
      <c r="BU314" s="1021"/>
      <c r="BV314" s="1021"/>
      <c r="BW314" s="1021"/>
      <c r="BX314" s="1021"/>
      <c r="BY314" s="1021"/>
      <c r="BZ314" s="1021"/>
      <c r="CA314" s="1021"/>
      <c r="CB314" s="1021"/>
      <c r="CC314" s="1021"/>
    </row>
    <row r="315" spans="8:81" x14ac:dyDescent="0.25">
      <c r="H315" s="1021"/>
      <c r="I315" s="1021"/>
      <c r="J315" s="1021"/>
      <c r="K315" s="1021"/>
      <c r="L315" s="1021"/>
      <c r="M315" s="1021"/>
      <c r="N315" s="1021"/>
      <c r="O315" s="1021"/>
      <c r="P315" s="1021"/>
      <c r="Q315" s="1021"/>
      <c r="R315" s="1021"/>
      <c r="S315" s="1021"/>
      <c r="T315" s="1021"/>
      <c r="U315" s="1021"/>
      <c r="V315" s="1021"/>
      <c r="W315" s="1021"/>
      <c r="X315" s="1021"/>
      <c r="Y315" s="1021"/>
      <c r="Z315" s="1021"/>
      <c r="AA315" s="1021"/>
      <c r="AB315" s="1021"/>
      <c r="AC315" s="1021"/>
      <c r="AD315" s="1021"/>
      <c r="AE315" s="1021"/>
      <c r="AF315" s="1021"/>
      <c r="AG315" s="1021"/>
      <c r="AH315" s="1021"/>
      <c r="AI315" s="1021"/>
      <c r="AJ315" s="1021"/>
      <c r="AK315" s="1021"/>
      <c r="AL315" s="1021"/>
      <c r="AM315" s="1021"/>
      <c r="AN315" s="1021"/>
      <c r="AO315" s="1021"/>
      <c r="AP315" s="1021"/>
      <c r="AQ315" s="1021"/>
      <c r="AR315" s="1021"/>
      <c r="AS315" s="1021"/>
      <c r="AT315" s="1021"/>
      <c r="AU315" s="1021"/>
      <c r="AV315" s="1021"/>
      <c r="AW315" s="1021"/>
      <c r="AX315" s="1021"/>
      <c r="AY315" s="1021"/>
      <c r="AZ315" s="1021"/>
      <c r="BA315" s="1021"/>
      <c r="BB315" s="1021"/>
      <c r="BC315" s="1021"/>
      <c r="BD315" s="1021"/>
      <c r="BE315" s="1021"/>
      <c r="BF315" s="1021"/>
      <c r="BG315" s="1021"/>
      <c r="BH315" s="1021"/>
      <c r="BI315" s="1021"/>
      <c r="BJ315" s="1021"/>
      <c r="BK315" s="1021"/>
      <c r="BL315" s="1021"/>
      <c r="BM315" s="1021"/>
      <c r="BN315" s="1021"/>
      <c r="BO315" s="1021"/>
      <c r="BP315" s="1021"/>
      <c r="BQ315" s="1021"/>
      <c r="BR315" s="1021"/>
      <c r="BS315" s="1021"/>
      <c r="BT315" s="1021"/>
      <c r="BU315" s="1021"/>
      <c r="BV315" s="1021"/>
      <c r="BW315" s="1021"/>
      <c r="BX315" s="1021"/>
      <c r="BY315" s="1021"/>
      <c r="BZ315" s="1021"/>
      <c r="CA315" s="1021"/>
      <c r="CB315" s="1021"/>
      <c r="CC315" s="1021"/>
    </row>
    <row r="316" spans="8:81" x14ac:dyDescent="0.25">
      <c r="H316" s="1021"/>
      <c r="I316" s="1021"/>
      <c r="J316" s="1021"/>
      <c r="K316" s="1021"/>
      <c r="L316" s="1021"/>
      <c r="M316" s="1021"/>
      <c r="N316" s="1021"/>
      <c r="O316" s="1021"/>
      <c r="P316" s="1021"/>
      <c r="Q316" s="1021"/>
      <c r="R316" s="1021"/>
      <c r="S316" s="1021"/>
      <c r="T316" s="1021"/>
      <c r="U316" s="1021"/>
      <c r="V316" s="1021"/>
      <c r="W316" s="1021"/>
      <c r="X316" s="1021"/>
      <c r="Y316" s="1021"/>
      <c r="Z316" s="1021"/>
      <c r="AA316" s="1021"/>
      <c r="AB316" s="1021"/>
      <c r="AC316" s="1021"/>
      <c r="AD316" s="1021"/>
      <c r="AE316" s="1021"/>
      <c r="AF316" s="1021"/>
      <c r="AG316" s="1021"/>
      <c r="AH316" s="1021"/>
      <c r="AI316" s="1021"/>
      <c r="AJ316" s="1021"/>
      <c r="AK316" s="1021"/>
      <c r="AL316" s="1021"/>
      <c r="AM316" s="1021"/>
      <c r="AN316" s="1021"/>
      <c r="AO316" s="1021"/>
      <c r="AP316" s="1021"/>
      <c r="AQ316" s="1021"/>
      <c r="AR316" s="1021"/>
      <c r="AS316" s="1021"/>
      <c r="AT316" s="1021"/>
      <c r="AU316" s="1021"/>
      <c r="AV316" s="1021"/>
      <c r="AW316" s="1021"/>
      <c r="AX316" s="1021"/>
      <c r="AY316" s="1021"/>
      <c r="AZ316" s="1021"/>
      <c r="BA316" s="1021"/>
      <c r="BB316" s="1021"/>
      <c r="BC316" s="1021"/>
      <c r="BD316" s="1021"/>
      <c r="BE316" s="1021"/>
      <c r="BF316" s="1021"/>
      <c r="BG316" s="1021"/>
      <c r="BH316" s="1021"/>
      <c r="BI316" s="1021"/>
      <c r="BJ316" s="1021"/>
      <c r="BK316" s="1021"/>
      <c r="BL316" s="1021"/>
      <c r="BM316" s="1021"/>
      <c r="BN316" s="1021"/>
      <c r="BO316" s="1021"/>
      <c r="BP316" s="1021"/>
      <c r="BQ316" s="1021"/>
      <c r="BR316" s="1021"/>
      <c r="BS316" s="1021"/>
      <c r="BT316" s="1021"/>
      <c r="BU316" s="1021"/>
      <c r="BV316" s="1021"/>
      <c r="BW316" s="1021"/>
      <c r="BX316" s="1021"/>
      <c r="BY316" s="1021"/>
      <c r="BZ316" s="1021"/>
      <c r="CA316" s="1021"/>
      <c r="CB316" s="1021"/>
      <c r="CC316" s="1021"/>
    </row>
    <row r="317" spans="8:81" x14ac:dyDescent="0.25">
      <c r="H317" s="1021"/>
      <c r="I317" s="1021"/>
      <c r="J317" s="1021"/>
      <c r="K317" s="1021"/>
      <c r="L317" s="1021"/>
      <c r="M317" s="1021"/>
      <c r="N317" s="1021"/>
      <c r="O317" s="1021"/>
      <c r="P317" s="1021"/>
      <c r="Q317" s="1021"/>
      <c r="R317" s="1021"/>
      <c r="S317" s="1021"/>
      <c r="T317" s="1021"/>
      <c r="U317" s="1021"/>
      <c r="V317" s="1021"/>
      <c r="W317" s="1021"/>
      <c r="X317" s="1021"/>
      <c r="Y317" s="1021"/>
      <c r="Z317" s="1021"/>
      <c r="AA317" s="1021"/>
      <c r="AB317" s="1021"/>
      <c r="AC317" s="1021"/>
      <c r="AD317" s="1021"/>
      <c r="AE317" s="1021"/>
      <c r="AF317" s="1021"/>
      <c r="AG317" s="1021"/>
      <c r="AH317" s="1021"/>
      <c r="AI317" s="1021"/>
      <c r="AJ317" s="1021"/>
      <c r="AK317" s="1021"/>
      <c r="AL317" s="1021"/>
      <c r="AM317" s="1021"/>
      <c r="AN317" s="1021"/>
      <c r="AO317" s="1021"/>
      <c r="AP317" s="1021"/>
      <c r="AQ317" s="1021"/>
      <c r="AR317" s="1021"/>
      <c r="AS317" s="1021"/>
      <c r="AT317" s="1021"/>
      <c r="AU317" s="1021"/>
      <c r="AV317" s="1021"/>
      <c r="AW317" s="1021"/>
      <c r="AX317" s="1021"/>
      <c r="AY317" s="1021"/>
      <c r="AZ317" s="1021"/>
      <c r="BA317" s="1021"/>
      <c r="BB317" s="1021"/>
      <c r="BC317" s="1021"/>
      <c r="BD317" s="1021"/>
      <c r="BE317" s="1021"/>
      <c r="BF317" s="1021"/>
      <c r="BG317" s="1021"/>
      <c r="BH317" s="1021"/>
      <c r="BI317" s="1021"/>
      <c r="BJ317" s="1021"/>
      <c r="BK317" s="1021"/>
      <c r="BL317" s="1021"/>
      <c r="BM317" s="1021"/>
      <c r="BN317" s="1021"/>
      <c r="BO317" s="1021"/>
      <c r="BP317" s="1021"/>
      <c r="BQ317" s="1021"/>
      <c r="BR317" s="1021"/>
      <c r="BS317" s="1021"/>
      <c r="BT317" s="1021"/>
      <c r="BU317" s="1021"/>
      <c r="BV317" s="1021"/>
      <c r="BW317" s="1021"/>
      <c r="BX317" s="1021"/>
      <c r="BY317" s="1021"/>
      <c r="BZ317" s="1021"/>
      <c r="CA317" s="1021"/>
      <c r="CB317" s="1021"/>
      <c r="CC317" s="1021"/>
    </row>
    <row r="318" spans="8:81" x14ac:dyDescent="0.25">
      <c r="H318" s="1021"/>
      <c r="I318" s="1021"/>
      <c r="J318" s="1021"/>
      <c r="K318" s="1021"/>
      <c r="L318" s="1021"/>
      <c r="M318" s="1021"/>
      <c r="N318" s="1021"/>
      <c r="O318" s="1021"/>
      <c r="P318" s="1021"/>
      <c r="Q318" s="1021"/>
      <c r="R318" s="1021"/>
      <c r="S318" s="1021"/>
      <c r="T318" s="1021"/>
      <c r="U318" s="1021"/>
      <c r="V318" s="1021"/>
      <c r="W318" s="1021"/>
      <c r="X318" s="1021"/>
      <c r="Y318" s="1021"/>
      <c r="Z318" s="1021"/>
      <c r="AA318" s="1021"/>
      <c r="AB318" s="1021"/>
      <c r="AC318" s="1021"/>
      <c r="AD318" s="1021"/>
      <c r="AE318" s="1021"/>
      <c r="AF318" s="1021"/>
      <c r="AG318" s="1021"/>
      <c r="AH318" s="1021"/>
      <c r="AI318" s="1021"/>
      <c r="AJ318" s="1021"/>
      <c r="AK318" s="1021"/>
      <c r="AL318" s="1021"/>
      <c r="AM318" s="1021"/>
      <c r="AN318" s="1021"/>
      <c r="AO318" s="1021"/>
      <c r="AP318" s="1021"/>
      <c r="AQ318" s="1021"/>
      <c r="AR318" s="1021"/>
      <c r="AS318" s="1021"/>
      <c r="AT318" s="1021"/>
      <c r="AU318" s="1021"/>
      <c r="AV318" s="1021"/>
      <c r="AW318" s="1021"/>
      <c r="AX318" s="1021"/>
      <c r="AY318" s="1021"/>
      <c r="AZ318" s="1021"/>
      <c r="BA318" s="1021"/>
      <c r="BB318" s="1021"/>
      <c r="BC318" s="1021"/>
      <c r="BD318" s="1021"/>
      <c r="BE318" s="1021"/>
      <c r="BF318" s="1021"/>
      <c r="BG318" s="1021"/>
      <c r="BH318" s="1021"/>
      <c r="BI318" s="1021"/>
      <c r="BJ318" s="1021"/>
      <c r="BK318" s="1021"/>
      <c r="BL318" s="1021"/>
      <c r="BM318" s="1021"/>
      <c r="BN318" s="1021"/>
      <c r="BO318" s="1021"/>
      <c r="BP318" s="1021"/>
      <c r="BQ318" s="1021"/>
      <c r="BR318" s="1021"/>
      <c r="BS318" s="1021"/>
      <c r="BT318" s="1021"/>
      <c r="BU318" s="1021"/>
      <c r="BV318" s="1021"/>
      <c r="BW318" s="1021"/>
      <c r="BX318" s="1021"/>
      <c r="BY318" s="1021"/>
      <c r="BZ318" s="1021"/>
      <c r="CA318" s="1021"/>
      <c r="CB318" s="1021"/>
      <c r="CC318" s="1021"/>
    </row>
    <row r="319" spans="8:81" x14ac:dyDescent="0.25">
      <c r="H319" s="1021"/>
      <c r="I319" s="1021"/>
      <c r="J319" s="1021"/>
      <c r="K319" s="1021"/>
      <c r="L319" s="1021"/>
      <c r="M319" s="1021"/>
      <c r="N319" s="1021"/>
      <c r="O319" s="1021"/>
      <c r="P319" s="1021"/>
      <c r="Q319" s="1021"/>
      <c r="R319" s="1021"/>
      <c r="S319" s="1021"/>
      <c r="T319" s="1021"/>
      <c r="U319" s="1021"/>
      <c r="V319" s="1021"/>
      <c r="W319" s="1021"/>
      <c r="X319" s="1021"/>
      <c r="Y319" s="1021"/>
      <c r="Z319" s="1021"/>
      <c r="AA319" s="1021"/>
      <c r="AB319" s="1021"/>
      <c r="AC319" s="1021"/>
      <c r="AD319" s="1021"/>
      <c r="AE319" s="1021"/>
      <c r="AF319" s="1021"/>
      <c r="AG319" s="1021"/>
      <c r="AH319" s="1021"/>
      <c r="AI319" s="1021"/>
      <c r="AJ319" s="1021"/>
      <c r="AK319" s="1021"/>
      <c r="AL319" s="1021"/>
      <c r="AM319" s="1021"/>
      <c r="AN319" s="1021"/>
      <c r="AO319" s="1021"/>
      <c r="AP319" s="1021"/>
      <c r="AQ319" s="1021"/>
      <c r="AR319" s="1021"/>
      <c r="AS319" s="1021"/>
      <c r="AT319" s="1021"/>
      <c r="AU319" s="1021"/>
      <c r="AV319" s="1021"/>
      <c r="AW319" s="1021"/>
      <c r="AX319" s="1021"/>
      <c r="AY319" s="1021"/>
      <c r="AZ319" s="1021"/>
      <c r="BA319" s="1021"/>
      <c r="BB319" s="1021"/>
      <c r="BC319" s="1021"/>
      <c r="BD319" s="1021"/>
      <c r="BE319" s="1021"/>
      <c r="BF319" s="1021"/>
      <c r="BG319" s="1021"/>
      <c r="BH319" s="1021"/>
      <c r="BI319" s="1021"/>
      <c r="BJ319" s="1021"/>
      <c r="BK319" s="1021"/>
      <c r="BL319" s="1021"/>
      <c r="BM319" s="1021"/>
      <c r="BN319" s="1021"/>
      <c r="BO319" s="1021"/>
      <c r="BP319" s="1021"/>
      <c r="BQ319" s="1021"/>
      <c r="BR319" s="1021"/>
      <c r="BS319" s="1021"/>
      <c r="BT319" s="1021"/>
      <c r="BU319" s="1021"/>
      <c r="BV319" s="1021"/>
      <c r="BW319" s="1021"/>
      <c r="BX319" s="1021"/>
      <c r="BY319" s="1021"/>
      <c r="BZ319" s="1021"/>
      <c r="CA319" s="1021"/>
      <c r="CB319" s="1021"/>
      <c r="CC319" s="1021"/>
    </row>
    <row r="320" spans="8:81" x14ac:dyDescent="0.25">
      <c r="H320" s="1021"/>
      <c r="I320" s="1021"/>
      <c r="J320" s="1021"/>
      <c r="K320" s="1021"/>
      <c r="L320" s="1021"/>
      <c r="M320" s="1021"/>
      <c r="N320" s="1021"/>
      <c r="O320" s="1021"/>
      <c r="P320" s="1021"/>
      <c r="Q320" s="1021"/>
      <c r="R320" s="1021"/>
      <c r="S320" s="1021"/>
      <c r="T320" s="1021"/>
      <c r="U320" s="1021"/>
      <c r="V320" s="1021"/>
      <c r="W320" s="1021"/>
      <c r="X320" s="1021"/>
      <c r="Y320" s="1021"/>
      <c r="Z320" s="1021"/>
      <c r="AA320" s="1021"/>
      <c r="AB320" s="1021"/>
      <c r="AC320" s="1021"/>
      <c r="AD320" s="1021"/>
      <c r="AE320" s="1021"/>
      <c r="AF320" s="1021"/>
      <c r="AG320" s="1021"/>
      <c r="AH320" s="1021"/>
      <c r="AI320" s="1021"/>
      <c r="AJ320" s="1021"/>
      <c r="AK320" s="1021"/>
      <c r="AL320" s="1021"/>
      <c r="AM320" s="1021"/>
      <c r="AN320" s="1021"/>
      <c r="AO320" s="1021"/>
      <c r="AP320" s="1021"/>
      <c r="AQ320" s="1021"/>
      <c r="AR320" s="1021"/>
      <c r="AS320" s="1021"/>
      <c r="AT320" s="1021"/>
      <c r="AU320" s="1021"/>
      <c r="AV320" s="1021"/>
      <c r="AW320" s="1021"/>
      <c r="AX320" s="1021"/>
      <c r="AY320" s="1021"/>
      <c r="AZ320" s="1021"/>
      <c r="BA320" s="1021"/>
      <c r="BB320" s="1021"/>
      <c r="BC320" s="1021"/>
      <c r="BD320" s="1021"/>
      <c r="BE320" s="1021"/>
      <c r="BF320" s="1021"/>
      <c r="BG320" s="1021"/>
      <c r="BH320" s="1021"/>
      <c r="BI320" s="1021"/>
      <c r="BJ320" s="1021"/>
      <c r="BK320" s="1021"/>
      <c r="BL320" s="1021"/>
      <c r="BM320" s="1021"/>
      <c r="BN320" s="1021"/>
      <c r="BO320" s="1021"/>
      <c r="BP320" s="1021"/>
      <c r="BQ320" s="1021"/>
      <c r="BR320" s="1021"/>
      <c r="BS320" s="1021"/>
      <c r="BT320" s="1021"/>
      <c r="BU320" s="1021"/>
      <c r="BV320" s="1021"/>
      <c r="BW320" s="1021"/>
      <c r="BX320" s="1021"/>
      <c r="BY320" s="1021"/>
      <c r="BZ320" s="1021"/>
      <c r="CA320" s="1021"/>
      <c r="CB320" s="1021"/>
      <c r="CC320" s="1021"/>
    </row>
    <row r="321" spans="8:81" x14ac:dyDescent="0.25">
      <c r="H321" s="1021"/>
      <c r="I321" s="1021"/>
      <c r="J321" s="1021"/>
      <c r="K321" s="1021"/>
      <c r="L321" s="1021"/>
      <c r="M321" s="1021"/>
      <c r="N321" s="1021"/>
      <c r="O321" s="1021"/>
      <c r="P321" s="1021"/>
      <c r="Q321" s="1021"/>
      <c r="R321" s="1021"/>
      <c r="S321" s="1021"/>
      <c r="T321" s="1021"/>
      <c r="U321" s="1021"/>
      <c r="V321" s="1021"/>
      <c r="W321" s="1021"/>
      <c r="X321" s="1021"/>
      <c r="Y321" s="1021"/>
      <c r="Z321" s="1021"/>
      <c r="AA321" s="1021"/>
      <c r="AB321" s="1021"/>
      <c r="AC321" s="1021"/>
      <c r="AD321" s="1021"/>
      <c r="AE321" s="1021"/>
      <c r="AF321" s="1021"/>
      <c r="AG321" s="1021"/>
      <c r="AH321" s="1021"/>
      <c r="AI321" s="1021"/>
      <c r="AJ321" s="1021"/>
      <c r="AK321" s="1021"/>
      <c r="AL321" s="1021"/>
      <c r="AM321" s="1021"/>
      <c r="AN321" s="1021"/>
      <c r="AO321" s="1021"/>
      <c r="AP321" s="1021"/>
      <c r="AQ321" s="1021"/>
      <c r="AR321" s="1021"/>
      <c r="AS321" s="1021"/>
      <c r="AT321" s="1021"/>
      <c r="AU321" s="1021"/>
      <c r="AV321" s="1021"/>
      <c r="AW321" s="1021"/>
      <c r="AX321" s="1021"/>
      <c r="AY321" s="1021"/>
      <c r="AZ321" s="1021"/>
      <c r="BA321" s="1021"/>
      <c r="BB321" s="1021"/>
      <c r="BC321" s="1021"/>
      <c r="BD321" s="1021"/>
      <c r="BE321" s="1021"/>
      <c r="BF321" s="1021"/>
      <c r="BG321" s="1021"/>
      <c r="BH321" s="1021"/>
      <c r="BI321" s="1021"/>
      <c r="BJ321" s="1021"/>
      <c r="BK321" s="1021"/>
      <c r="BL321" s="1021"/>
      <c r="BM321" s="1021"/>
      <c r="BN321" s="1021"/>
      <c r="BO321" s="1021"/>
      <c r="BP321" s="1021"/>
      <c r="BQ321" s="1021"/>
      <c r="BR321" s="1021"/>
      <c r="BS321" s="1021"/>
      <c r="BT321" s="1021"/>
      <c r="BU321" s="1021"/>
      <c r="BV321" s="1021"/>
      <c r="BW321" s="1021"/>
      <c r="BX321" s="1021"/>
      <c r="BY321" s="1021"/>
      <c r="BZ321" s="1021"/>
      <c r="CA321" s="1021"/>
      <c r="CB321" s="1021"/>
      <c r="CC321" s="1021"/>
    </row>
    <row r="322" spans="8:81" x14ac:dyDescent="0.25">
      <c r="H322" s="1021"/>
      <c r="I322" s="1021"/>
      <c r="J322" s="1021"/>
      <c r="K322" s="1021"/>
      <c r="L322" s="1021"/>
      <c r="M322" s="1021"/>
      <c r="N322" s="1021"/>
      <c r="O322" s="1021"/>
      <c r="P322" s="1021"/>
      <c r="Q322" s="1021"/>
      <c r="R322" s="1021"/>
      <c r="S322" s="1021"/>
      <c r="T322" s="1021"/>
      <c r="U322" s="1021"/>
      <c r="V322" s="1021"/>
      <c r="W322" s="1021"/>
      <c r="X322" s="1021"/>
      <c r="Y322" s="1021"/>
      <c r="Z322" s="1021"/>
      <c r="AA322" s="1021"/>
      <c r="AB322" s="1021"/>
      <c r="AC322" s="1021"/>
      <c r="AD322" s="1021"/>
      <c r="AE322" s="1021"/>
      <c r="AF322" s="1021"/>
      <c r="AG322" s="1021"/>
      <c r="AH322" s="1021"/>
      <c r="AI322" s="1021"/>
      <c r="AJ322" s="1021"/>
      <c r="AK322" s="1021"/>
      <c r="AL322" s="1021"/>
      <c r="AM322" s="1021"/>
      <c r="AN322" s="1021"/>
      <c r="AO322" s="1021"/>
      <c r="AP322" s="1021"/>
      <c r="AQ322" s="1021"/>
      <c r="AR322" s="1021"/>
      <c r="AS322" s="1021"/>
      <c r="AT322" s="1021"/>
      <c r="AU322" s="1021"/>
      <c r="AV322" s="1021"/>
      <c r="AW322" s="1021"/>
      <c r="AX322" s="1021"/>
      <c r="AY322" s="1021"/>
      <c r="AZ322" s="1021"/>
      <c r="BA322" s="1021"/>
      <c r="BB322" s="1021"/>
      <c r="BC322" s="1021"/>
      <c r="BD322" s="1021"/>
      <c r="BE322" s="1021"/>
      <c r="BF322" s="1021"/>
      <c r="BG322" s="1021"/>
      <c r="BH322" s="1021"/>
      <c r="BI322" s="1021"/>
      <c r="BJ322" s="1021"/>
      <c r="BK322" s="1021"/>
      <c r="BL322" s="1021"/>
      <c r="BM322" s="1021"/>
      <c r="BN322" s="1021"/>
      <c r="BO322" s="1021"/>
      <c r="BP322" s="1021"/>
      <c r="BQ322" s="1021"/>
      <c r="BR322" s="1021"/>
      <c r="BS322" s="1021"/>
      <c r="BT322" s="1021"/>
      <c r="BU322" s="1021"/>
      <c r="BV322" s="1021"/>
      <c r="BW322" s="1021"/>
      <c r="BX322" s="1021"/>
      <c r="BY322" s="1021"/>
      <c r="BZ322" s="1021"/>
      <c r="CA322" s="1021"/>
      <c r="CB322" s="1021"/>
      <c r="CC322" s="1021"/>
    </row>
    <row r="323" spans="8:81" x14ac:dyDescent="0.25">
      <c r="H323" s="1021"/>
      <c r="I323" s="1021"/>
      <c r="J323" s="1021"/>
      <c r="K323" s="1021"/>
      <c r="L323" s="1021"/>
      <c r="M323" s="1021"/>
      <c r="N323" s="1021"/>
      <c r="O323" s="1021"/>
      <c r="P323" s="1021"/>
      <c r="Q323" s="1021"/>
      <c r="R323" s="1021"/>
      <c r="S323" s="1021"/>
      <c r="T323" s="1021"/>
      <c r="U323" s="1021"/>
      <c r="V323" s="1021"/>
      <c r="W323" s="1021"/>
      <c r="X323" s="1021"/>
      <c r="Y323" s="1021"/>
      <c r="Z323" s="1021"/>
      <c r="AA323" s="1021"/>
      <c r="AB323" s="1021"/>
      <c r="AC323" s="1021"/>
      <c r="AD323" s="1021"/>
      <c r="AE323" s="1021"/>
      <c r="AF323" s="1021"/>
      <c r="AG323" s="1021"/>
      <c r="AH323" s="1021"/>
      <c r="AI323" s="1021"/>
      <c r="AJ323" s="1021"/>
      <c r="AK323" s="1021"/>
      <c r="AL323" s="1021"/>
      <c r="AM323" s="1021"/>
      <c r="AN323" s="1021"/>
      <c r="AO323" s="1021"/>
      <c r="AP323" s="1021"/>
      <c r="AQ323" s="1021"/>
      <c r="AR323" s="1021"/>
      <c r="AS323" s="1021"/>
      <c r="AT323" s="1021"/>
      <c r="AU323" s="1021"/>
      <c r="AV323" s="1021"/>
      <c r="AW323" s="1021"/>
      <c r="AX323" s="1021"/>
      <c r="AY323" s="1021"/>
      <c r="AZ323" s="1021"/>
      <c r="BA323" s="1021"/>
      <c r="BB323" s="1021"/>
      <c r="BC323" s="1021"/>
      <c r="BD323" s="1021"/>
      <c r="BE323" s="1021"/>
      <c r="BF323" s="1021"/>
      <c r="BG323" s="1021"/>
      <c r="BH323" s="1021"/>
      <c r="BI323" s="1021"/>
      <c r="BJ323" s="1021"/>
      <c r="BK323" s="1021"/>
      <c r="BL323" s="1021"/>
      <c r="BM323" s="1021"/>
      <c r="BN323" s="1021"/>
      <c r="BO323" s="1021"/>
      <c r="BP323" s="1021"/>
      <c r="BQ323" s="1021"/>
      <c r="BR323" s="1021"/>
      <c r="BS323" s="1021"/>
      <c r="BT323" s="1021"/>
      <c r="BU323" s="1021"/>
      <c r="BV323" s="1021"/>
      <c r="BW323" s="1021"/>
      <c r="BX323" s="1021"/>
      <c r="BY323" s="1021"/>
      <c r="BZ323" s="1021"/>
      <c r="CA323" s="1021"/>
      <c r="CB323" s="1021"/>
      <c r="CC323" s="1021"/>
    </row>
    <row r="324" spans="8:81" x14ac:dyDescent="0.25">
      <c r="H324" s="1021"/>
      <c r="I324" s="1021"/>
      <c r="J324" s="1021"/>
      <c r="K324" s="1021"/>
      <c r="L324" s="1021"/>
      <c r="M324" s="1021"/>
      <c r="N324" s="1021"/>
      <c r="O324" s="1021"/>
      <c r="P324" s="1021"/>
      <c r="Q324" s="1021"/>
      <c r="R324" s="1021"/>
      <c r="S324" s="1021"/>
      <c r="T324" s="1021"/>
      <c r="U324" s="1021"/>
      <c r="V324" s="1021"/>
      <c r="W324" s="1021"/>
      <c r="X324" s="1021"/>
      <c r="Y324" s="1021"/>
      <c r="Z324" s="1021"/>
      <c r="AA324" s="1021"/>
      <c r="AB324" s="1021"/>
      <c r="AC324" s="1021"/>
      <c r="AD324" s="1021"/>
      <c r="AE324" s="1021"/>
      <c r="AF324" s="1021"/>
      <c r="AG324" s="1021"/>
      <c r="AH324" s="1021"/>
      <c r="AI324" s="1021"/>
      <c r="AJ324" s="1021"/>
      <c r="AK324" s="1021"/>
      <c r="AL324" s="1021"/>
      <c r="AM324" s="1021"/>
      <c r="AN324" s="1021"/>
      <c r="AO324" s="1021"/>
      <c r="AP324" s="1021"/>
      <c r="AQ324" s="1021"/>
      <c r="AR324" s="1021"/>
      <c r="AS324" s="1021"/>
      <c r="AT324" s="1021"/>
      <c r="AU324" s="1021"/>
      <c r="AV324" s="1021"/>
      <c r="AW324" s="1021"/>
      <c r="AX324" s="1021"/>
      <c r="AY324" s="1021"/>
      <c r="AZ324" s="1021"/>
      <c r="BA324" s="1021"/>
      <c r="BB324" s="1021"/>
      <c r="BC324" s="1021"/>
      <c r="BD324" s="1021"/>
      <c r="BE324" s="1021"/>
      <c r="BF324" s="1021"/>
      <c r="BG324" s="1021"/>
      <c r="BH324" s="1021"/>
      <c r="BI324" s="1021"/>
      <c r="BJ324" s="1021"/>
      <c r="BK324" s="1021"/>
      <c r="BL324" s="1021"/>
      <c r="BM324" s="1021"/>
      <c r="BN324" s="1021"/>
      <c r="BO324" s="1021"/>
      <c r="BP324" s="1021"/>
      <c r="BQ324" s="1021"/>
      <c r="BR324" s="1021"/>
      <c r="BS324" s="1021"/>
      <c r="BT324" s="1021"/>
      <c r="BU324" s="1021"/>
      <c r="BV324" s="1021"/>
      <c r="BW324" s="1021"/>
      <c r="BX324" s="1021"/>
      <c r="BY324" s="1021"/>
      <c r="BZ324" s="1021"/>
      <c r="CA324" s="1021"/>
      <c r="CB324" s="1021"/>
      <c r="CC324" s="1021"/>
    </row>
    <row r="325" spans="8:81" x14ac:dyDescent="0.25">
      <c r="H325" s="1021"/>
      <c r="I325" s="1021"/>
      <c r="J325" s="1021"/>
      <c r="K325" s="1021"/>
      <c r="L325" s="1021"/>
      <c r="M325" s="1021"/>
      <c r="N325" s="1021"/>
      <c r="O325" s="1021"/>
      <c r="P325" s="1021"/>
      <c r="Q325" s="1021"/>
      <c r="R325" s="1021"/>
      <c r="S325" s="1021"/>
      <c r="T325" s="1021"/>
      <c r="U325" s="1021"/>
      <c r="V325" s="1021"/>
      <c r="W325" s="1021"/>
      <c r="X325" s="1021"/>
      <c r="Y325" s="1021"/>
      <c r="Z325" s="1021"/>
      <c r="AA325" s="1021"/>
      <c r="AB325" s="1021"/>
      <c r="AC325" s="1021"/>
      <c r="AD325" s="1021"/>
      <c r="AE325" s="1021"/>
      <c r="AF325" s="1021"/>
      <c r="AG325" s="1021"/>
      <c r="AH325" s="1021"/>
      <c r="AI325" s="1021"/>
      <c r="AJ325" s="1021"/>
      <c r="AK325" s="1021"/>
      <c r="AL325" s="1021"/>
      <c r="AM325" s="1021"/>
      <c r="AN325" s="1021"/>
      <c r="AO325" s="1021"/>
      <c r="AP325" s="1021"/>
      <c r="AQ325" s="1021"/>
      <c r="AR325" s="1021"/>
      <c r="AS325" s="1021"/>
      <c r="AT325" s="1021"/>
      <c r="AU325" s="1021"/>
      <c r="AV325" s="1021"/>
      <c r="AW325" s="1021"/>
      <c r="AX325" s="1021"/>
      <c r="AY325" s="1021"/>
      <c r="AZ325" s="1021"/>
      <c r="BA325" s="1021"/>
      <c r="BB325" s="1021"/>
      <c r="BC325" s="1021"/>
      <c r="BD325" s="1021"/>
      <c r="BE325" s="1021"/>
      <c r="BF325" s="1021"/>
      <c r="BG325" s="1021"/>
      <c r="BH325" s="1021"/>
      <c r="BI325" s="1021"/>
      <c r="BJ325" s="1021"/>
      <c r="BK325" s="1021"/>
      <c r="BL325" s="1021"/>
      <c r="BM325" s="1021"/>
      <c r="BN325" s="1021"/>
      <c r="BO325" s="1021"/>
      <c r="BP325" s="1021"/>
      <c r="BQ325" s="1021"/>
      <c r="BR325" s="1021"/>
      <c r="BS325" s="1021"/>
      <c r="BT325" s="1021"/>
      <c r="BU325" s="1021"/>
      <c r="BV325" s="1021"/>
      <c r="BW325" s="1021"/>
      <c r="BX325" s="1021"/>
      <c r="BY325" s="1021"/>
      <c r="BZ325" s="1021"/>
      <c r="CA325" s="1021"/>
      <c r="CB325" s="1021"/>
      <c r="CC325" s="1021"/>
    </row>
    <row r="326" spans="8:81" x14ac:dyDescent="0.25">
      <c r="H326" s="1021"/>
      <c r="I326" s="1021"/>
      <c r="J326" s="1021"/>
      <c r="K326" s="1021"/>
      <c r="L326" s="1021"/>
      <c r="M326" s="1021"/>
      <c r="N326" s="1021"/>
      <c r="O326" s="1021"/>
      <c r="P326" s="1021"/>
      <c r="Q326" s="1021"/>
      <c r="R326" s="1021"/>
      <c r="S326" s="1021"/>
      <c r="T326" s="1021"/>
      <c r="U326" s="1021"/>
      <c r="V326" s="1021"/>
      <c r="W326" s="1021"/>
      <c r="X326" s="1021"/>
      <c r="Y326" s="1021"/>
      <c r="Z326" s="1021"/>
      <c r="AA326" s="1021"/>
      <c r="AB326" s="1021"/>
      <c r="AC326" s="1021"/>
      <c r="AD326" s="1021"/>
      <c r="AE326" s="1021"/>
      <c r="AF326" s="1021"/>
      <c r="AG326" s="1021"/>
      <c r="AH326" s="1021"/>
      <c r="AI326" s="1021"/>
      <c r="AJ326" s="1021"/>
      <c r="AK326" s="1021"/>
      <c r="AL326" s="1021"/>
      <c r="AM326" s="1021"/>
      <c r="AN326" s="1021"/>
      <c r="AO326" s="1021"/>
      <c r="AP326" s="1021"/>
      <c r="AQ326" s="1021"/>
      <c r="AR326" s="1021"/>
      <c r="AS326" s="1021"/>
      <c r="AT326" s="1021"/>
      <c r="AU326" s="1021"/>
      <c r="AV326" s="1021"/>
      <c r="AW326" s="1021"/>
      <c r="AX326" s="1021"/>
      <c r="AY326" s="1021"/>
      <c r="AZ326" s="1021"/>
      <c r="BA326" s="1021"/>
      <c r="BB326" s="1021"/>
      <c r="BC326" s="1021"/>
      <c r="BD326" s="1021"/>
      <c r="BE326" s="1021"/>
      <c r="BF326" s="1021"/>
      <c r="BG326" s="1021"/>
      <c r="BH326" s="1021"/>
      <c r="BI326" s="1021"/>
      <c r="BJ326" s="1021"/>
      <c r="BK326" s="1021"/>
      <c r="BL326" s="1021"/>
      <c r="BM326" s="1021"/>
      <c r="BN326" s="1021"/>
      <c r="BO326" s="1021"/>
      <c r="BP326" s="1021"/>
      <c r="BQ326" s="1021"/>
      <c r="BR326" s="1021"/>
      <c r="BS326" s="1021"/>
      <c r="BT326" s="1021"/>
      <c r="BU326" s="1021"/>
      <c r="BV326" s="1021"/>
      <c r="BW326" s="1021"/>
      <c r="BX326" s="1021"/>
      <c r="BY326" s="1021"/>
      <c r="BZ326" s="1021"/>
      <c r="CA326" s="1021"/>
      <c r="CB326" s="1021"/>
      <c r="CC326" s="1021"/>
    </row>
    <row r="327" spans="8:81" x14ac:dyDescent="0.25">
      <c r="H327" s="1021"/>
      <c r="I327" s="1021"/>
      <c r="J327" s="1021"/>
      <c r="K327" s="1021"/>
      <c r="L327" s="1021"/>
      <c r="M327" s="1021"/>
      <c r="N327" s="1021"/>
      <c r="O327" s="1021"/>
      <c r="P327" s="1021"/>
      <c r="Q327" s="1021"/>
      <c r="R327" s="1021"/>
      <c r="S327" s="1021"/>
      <c r="T327" s="1021"/>
      <c r="U327" s="1021"/>
      <c r="V327" s="1021"/>
      <c r="W327" s="1021"/>
      <c r="X327" s="1021"/>
      <c r="Y327" s="1021"/>
      <c r="Z327" s="1021"/>
      <c r="AA327" s="1021"/>
      <c r="AB327" s="1021"/>
      <c r="AC327" s="1021"/>
      <c r="AD327" s="1021"/>
      <c r="AE327" s="1021"/>
      <c r="AF327" s="1021"/>
      <c r="AG327" s="1021"/>
      <c r="AH327" s="1021"/>
      <c r="AI327" s="1021"/>
      <c r="AJ327" s="1021"/>
      <c r="AK327" s="1021"/>
      <c r="AL327" s="1021"/>
      <c r="AM327" s="1021"/>
      <c r="AN327" s="1021"/>
      <c r="AO327" s="1021"/>
      <c r="AP327" s="1021"/>
      <c r="AQ327" s="1021"/>
      <c r="AR327" s="1021"/>
      <c r="AS327" s="1021"/>
      <c r="AT327" s="1021"/>
      <c r="AU327" s="1021"/>
      <c r="AV327" s="1021"/>
      <c r="AW327" s="1021"/>
      <c r="AX327" s="1021"/>
      <c r="AY327" s="1021"/>
      <c r="AZ327" s="1021"/>
      <c r="BA327" s="1021"/>
      <c r="BB327" s="1021"/>
      <c r="BC327" s="1021"/>
      <c r="BD327" s="1021"/>
      <c r="BE327" s="1021"/>
      <c r="BF327" s="1021"/>
      <c r="BG327" s="1021"/>
      <c r="BH327" s="1021"/>
      <c r="BI327" s="1021"/>
      <c r="BJ327" s="1021"/>
      <c r="BK327" s="1021"/>
      <c r="BL327" s="1021"/>
      <c r="BM327" s="1021"/>
      <c r="BN327" s="1021"/>
      <c r="BO327" s="1021"/>
      <c r="BP327" s="1021"/>
      <c r="BQ327" s="1021"/>
      <c r="BR327" s="1021"/>
      <c r="BS327" s="1021"/>
      <c r="BT327" s="1021"/>
      <c r="BU327" s="1021"/>
      <c r="BV327" s="1021"/>
      <c r="BW327" s="1021"/>
      <c r="BX327" s="1021"/>
      <c r="BY327" s="1021"/>
      <c r="BZ327" s="1021"/>
      <c r="CA327" s="1021"/>
      <c r="CB327" s="1021"/>
      <c r="CC327" s="1021"/>
    </row>
    <row r="328" spans="8:81" x14ac:dyDescent="0.25">
      <c r="H328" s="1021"/>
      <c r="I328" s="1021"/>
      <c r="J328" s="1021"/>
      <c r="K328" s="1021"/>
      <c r="L328" s="1021"/>
      <c r="M328" s="1021"/>
      <c r="N328" s="1021"/>
      <c r="O328" s="1021"/>
      <c r="P328" s="1021"/>
      <c r="Q328" s="1021"/>
      <c r="R328" s="1021"/>
      <c r="S328" s="1021"/>
      <c r="T328" s="1021"/>
      <c r="U328" s="1021"/>
      <c r="V328" s="1021"/>
      <c r="W328" s="1021"/>
      <c r="X328" s="1021"/>
      <c r="Y328" s="1021"/>
      <c r="Z328" s="1021"/>
      <c r="AA328" s="1021"/>
      <c r="AB328" s="1021"/>
      <c r="AC328" s="1021"/>
      <c r="AD328" s="1021"/>
      <c r="AE328" s="1021"/>
      <c r="AF328" s="1021"/>
      <c r="AG328" s="1021"/>
      <c r="AH328" s="1021"/>
      <c r="AI328" s="1021"/>
      <c r="AJ328" s="1021"/>
      <c r="AK328" s="1021"/>
      <c r="AL328" s="1021"/>
      <c r="AM328" s="1021"/>
      <c r="AN328" s="1021"/>
      <c r="AO328" s="1021"/>
      <c r="AP328" s="1021"/>
      <c r="AQ328" s="1021"/>
      <c r="AR328" s="1021"/>
      <c r="AS328" s="1021"/>
      <c r="AT328" s="1021"/>
      <c r="AU328" s="1021"/>
      <c r="AV328" s="1021"/>
      <c r="AW328" s="1021"/>
      <c r="AX328" s="1021"/>
      <c r="AY328" s="1021"/>
      <c r="AZ328" s="1021"/>
      <c r="BA328" s="1021"/>
      <c r="BB328" s="1021"/>
      <c r="BC328" s="1021"/>
      <c r="BD328" s="1021"/>
      <c r="BE328" s="1021"/>
      <c r="BF328" s="1021"/>
      <c r="BG328" s="1021"/>
      <c r="BH328" s="1021"/>
      <c r="BI328" s="1021"/>
      <c r="BJ328" s="1021"/>
      <c r="BK328" s="1021"/>
      <c r="BL328" s="1021"/>
      <c r="BM328" s="1021"/>
      <c r="BN328" s="1021"/>
      <c r="BO328" s="1021"/>
      <c r="BP328" s="1021"/>
      <c r="BQ328" s="1021"/>
      <c r="BR328" s="1021"/>
      <c r="BS328" s="1021"/>
      <c r="BT328" s="1021"/>
      <c r="BU328" s="1021"/>
      <c r="BV328" s="1021"/>
      <c r="BW328" s="1021"/>
      <c r="BX328" s="1021"/>
      <c r="BY328" s="1021"/>
      <c r="BZ328" s="1021"/>
      <c r="CA328" s="1021"/>
      <c r="CB328" s="1021"/>
      <c r="CC328" s="1021"/>
    </row>
    <row r="329" spans="8:81" x14ac:dyDescent="0.25">
      <c r="H329" s="1021"/>
      <c r="I329" s="1021"/>
      <c r="J329" s="1021"/>
      <c r="K329" s="1021"/>
      <c r="L329" s="1021"/>
      <c r="M329" s="1021"/>
      <c r="N329" s="1021"/>
      <c r="O329" s="1021"/>
      <c r="P329" s="1021"/>
      <c r="Q329" s="1021"/>
      <c r="R329" s="1021"/>
      <c r="S329" s="1021"/>
      <c r="T329" s="1021"/>
      <c r="U329" s="1021"/>
      <c r="V329" s="1021"/>
      <c r="W329" s="1021"/>
      <c r="X329" s="1021"/>
      <c r="Y329" s="1021"/>
      <c r="Z329" s="1021"/>
      <c r="AA329" s="1021"/>
      <c r="AB329" s="1021"/>
      <c r="AC329" s="1021"/>
      <c r="AD329" s="1021"/>
      <c r="AE329" s="1021"/>
      <c r="AF329" s="1021"/>
      <c r="AG329" s="1021"/>
      <c r="AH329" s="1021"/>
      <c r="AI329" s="1021"/>
      <c r="AJ329" s="1021"/>
      <c r="AK329" s="1021"/>
      <c r="AL329" s="1021"/>
      <c r="AM329" s="1021"/>
      <c r="AN329" s="1021"/>
      <c r="AO329" s="1021"/>
      <c r="AP329" s="1021"/>
      <c r="AQ329" s="1021"/>
      <c r="AR329" s="1021"/>
      <c r="AS329" s="1021"/>
      <c r="AT329" s="1021"/>
      <c r="AU329" s="1021"/>
      <c r="AV329" s="1021"/>
      <c r="AW329" s="1021"/>
      <c r="AX329" s="1021"/>
      <c r="AY329" s="1021"/>
      <c r="AZ329" s="1021"/>
      <c r="BA329" s="1021"/>
      <c r="BB329" s="1021"/>
      <c r="BC329" s="1021"/>
      <c r="BD329" s="1021"/>
      <c r="BE329" s="1021"/>
      <c r="BF329" s="1021"/>
      <c r="BG329" s="1021"/>
      <c r="BH329" s="1021"/>
      <c r="BI329" s="1021"/>
      <c r="BJ329" s="1021"/>
      <c r="BK329" s="1021"/>
      <c r="BL329" s="1021"/>
      <c r="BM329" s="1021"/>
      <c r="BN329" s="1021"/>
      <c r="BO329" s="1021"/>
      <c r="BP329" s="1021"/>
      <c r="BQ329" s="1021"/>
      <c r="BR329" s="1021"/>
      <c r="BS329" s="1021"/>
      <c r="BT329" s="1021"/>
      <c r="BU329" s="1021"/>
      <c r="BV329" s="1021"/>
      <c r="BW329" s="1021"/>
      <c r="BX329" s="1021"/>
      <c r="BY329" s="1021"/>
      <c r="BZ329" s="1021"/>
      <c r="CA329" s="1021"/>
      <c r="CB329" s="1021"/>
      <c r="CC329" s="1021"/>
    </row>
    <row r="330" spans="8:81" x14ac:dyDescent="0.25">
      <c r="H330" s="1021"/>
      <c r="I330" s="1021"/>
      <c r="J330" s="1021"/>
      <c r="K330" s="1021"/>
      <c r="L330" s="1021"/>
      <c r="M330" s="1021"/>
      <c r="N330" s="1021"/>
      <c r="O330" s="1021"/>
      <c r="P330" s="1021"/>
      <c r="Q330" s="1021"/>
      <c r="R330" s="1021"/>
      <c r="S330" s="1021"/>
      <c r="T330" s="1021"/>
      <c r="U330" s="1021"/>
      <c r="V330" s="1021"/>
      <c r="W330" s="1021"/>
      <c r="X330" s="1021"/>
      <c r="Y330" s="1021"/>
      <c r="Z330" s="1021"/>
      <c r="AA330" s="1021"/>
      <c r="AB330" s="1021"/>
      <c r="AC330" s="1021"/>
      <c r="AD330" s="1021"/>
      <c r="AE330" s="1021"/>
      <c r="AF330" s="1021"/>
      <c r="AG330" s="1021"/>
      <c r="AH330" s="1021"/>
      <c r="AI330" s="1021"/>
      <c r="AJ330" s="1021"/>
      <c r="AK330" s="1021"/>
      <c r="AL330" s="1021"/>
      <c r="AM330" s="1021"/>
      <c r="AN330" s="1021"/>
      <c r="AO330" s="1021"/>
      <c r="AP330" s="1021"/>
      <c r="AQ330" s="1021"/>
      <c r="AR330" s="1021"/>
      <c r="AS330" s="1021"/>
      <c r="AT330" s="1021"/>
      <c r="AU330" s="1021"/>
      <c r="AV330" s="1021"/>
      <c r="AW330" s="1021"/>
      <c r="AX330" s="1021"/>
      <c r="AY330" s="1021"/>
      <c r="AZ330" s="1021"/>
      <c r="BA330" s="1021"/>
      <c r="BB330" s="1021"/>
      <c r="BC330" s="1021"/>
      <c r="BD330" s="1021"/>
      <c r="BE330" s="1021"/>
      <c r="BF330" s="1021"/>
      <c r="BG330" s="1021"/>
      <c r="BH330" s="1021"/>
      <c r="BI330" s="1021"/>
      <c r="BJ330" s="1021"/>
      <c r="BK330" s="1021"/>
      <c r="BL330" s="1021"/>
      <c r="BM330" s="1021"/>
      <c r="BN330" s="1021"/>
      <c r="BO330" s="1021"/>
      <c r="BP330" s="1021"/>
      <c r="BQ330" s="1021"/>
      <c r="BR330" s="1021"/>
      <c r="BS330" s="1021"/>
      <c r="BT330" s="1021"/>
      <c r="BU330" s="1021"/>
      <c r="BV330" s="1021"/>
      <c r="BW330" s="1021"/>
      <c r="BX330" s="1021"/>
      <c r="BY330" s="1021"/>
      <c r="BZ330" s="1021"/>
      <c r="CA330" s="1021"/>
      <c r="CB330" s="1021"/>
      <c r="CC330" s="1021"/>
    </row>
    <row r="331" spans="8:81" x14ac:dyDescent="0.25">
      <c r="H331" s="1021"/>
      <c r="I331" s="1021"/>
      <c r="J331" s="1021"/>
      <c r="K331" s="1021"/>
      <c r="L331" s="1021"/>
      <c r="M331" s="1021"/>
      <c r="N331" s="1021"/>
      <c r="O331" s="1021"/>
      <c r="P331" s="1021"/>
      <c r="Q331" s="1021"/>
      <c r="R331" s="1021"/>
      <c r="S331" s="1021"/>
      <c r="T331" s="1021"/>
      <c r="U331" s="1021"/>
      <c r="V331" s="1021"/>
      <c r="W331" s="1021"/>
      <c r="X331" s="1021"/>
      <c r="Y331" s="1021"/>
      <c r="Z331" s="1021"/>
      <c r="AA331" s="1021"/>
      <c r="AB331" s="1021"/>
      <c r="AC331" s="1021"/>
      <c r="AD331" s="1021"/>
      <c r="AE331" s="1021"/>
      <c r="AF331" s="1021"/>
      <c r="AG331" s="1021"/>
      <c r="AH331" s="1021"/>
      <c r="AI331" s="1021"/>
      <c r="AJ331" s="1021"/>
      <c r="AK331" s="1021"/>
      <c r="AL331" s="1021"/>
      <c r="AM331" s="1021"/>
      <c r="AN331" s="1021"/>
      <c r="AO331" s="1021"/>
      <c r="AP331" s="1021"/>
      <c r="AQ331" s="1021"/>
      <c r="AR331" s="1021"/>
      <c r="AS331" s="1021"/>
      <c r="AT331" s="1021"/>
      <c r="AU331" s="1021"/>
      <c r="AV331" s="1021"/>
      <c r="AW331" s="1021"/>
      <c r="AX331" s="1021"/>
      <c r="AY331" s="1021"/>
      <c r="AZ331" s="1021"/>
      <c r="BA331" s="1021"/>
      <c r="BB331" s="1021"/>
      <c r="BC331" s="1021"/>
      <c r="BD331" s="1021"/>
      <c r="BE331" s="1021"/>
      <c r="BF331" s="1021"/>
      <c r="BG331" s="1021"/>
      <c r="BH331" s="1021"/>
      <c r="BI331" s="1021"/>
      <c r="BJ331" s="1021"/>
      <c r="BK331" s="1021"/>
      <c r="BL331" s="1021"/>
      <c r="BM331" s="1021"/>
      <c r="BN331" s="1021"/>
      <c r="BO331" s="1021"/>
      <c r="BP331" s="1021"/>
      <c r="BQ331" s="1021"/>
      <c r="BR331" s="1021"/>
      <c r="BS331" s="1021"/>
      <c r="BT331" s="1021"/>
      <c r="BU331" s="1021"/>
      <c r="BV331" s="1021"/>
      <c r="BW331" s="1021"/>
      <c r="BX331" s="1021"/>
      <c r="BY331" s="1021"/>
      <c r="BZ331" s="1021"/>
      <c r="CA331" s="1021"/>
      <c r="CB331" s="1021"/>
      <c r="CC331" s="1021"/>
    </row>
    <row r="332" spans="8:81" x14ac:dyDescent="0.25">
      <c r="H332" s="1021"/>
      <c r="I332" s="1021"/>
      <c r="J332" s="1021"/>
      <c r="K332" s="1021"/>
      <c r="L332" s="1021"/>
      <c r="M332" s="1021"/>
      <c r="N332" s="1021"/>
      <c r="O332" s="1021"/>
      <c r="P332" s="1021"/>
      <c r="Q332" s="1021"/>
      <c r="R332" s="1021"/>
      <c r="S332" s="1021"/>
      <c r="T332" s="1021"/>
      <c r="U332" s="1021"/>
      <c r="V332" s="1021"/>
      <c r="W332" s="1021"/>
      <c r="X332" s="1021"/>
      <c r="Y332" s="1021"/>
      <c r="Z332" s="1021"/>
      <c r="AA332" s="1021"/>
      <c r="AB332" s="1021"/>
      <c r="AC332" s="1021"/>
      <c r="AD332" s="1021"/>
      <c r="AE332" s="1021"/>
      <c r="AF332" s="1021"/>
      <c r="AG332" s="1021"/>
      <c r="AH332" s="1021"/>
      <c r="AI332" s="1021"/>
      <c r="AJ332" s="1021"/>
      <c r="AK332" s="1021"/>
      <c r="AL332" s="1021"/>
      <c r="AM332" s="1021"/>
      <c r="AN332" s="1021"/>
      <c r="AO332" s="1021"/>
      <c r="AP332" s="1021"/>
      <c r="AQ332" s="1021"/>
      <c r="AR332" s="1021"/>
      <c r="AS332" s="1021"/>
      <c r="AT332" s="1021"/>
      <c r="AU332" s="1021"/>
      <c r="AV332" s="1021"/>
      <c r="AW332" s="1021"/>
      <c r="AX332" s="1021"/>
      <c r="AY332" s="1021"/>
      <c r="AZ332" s="1021"/>
      <c r="BA332" s="1021"/>
      <c r="BB332" s="1021"/>
      <c r="BC332" s="1021"/>
      <c r="BD332" s="1021"/>
      <c r="BE332" s="1021"/>
      <c r="BF332" s="1021"/>
      <c r="BG332" s="1021"/>
      <c r="BH332" s="1021"/>
      <c r="BI332" s="1021"/>
      <c r="BJ332" s="1021"/>
      <c r="BK332" s="1021"/>
      <c r="BL332" s="1021"/>
      <c r="BM332" s="1021"/>
      <c r="BN332" s="1021"/>
      <c r="BO332" s="1021"/>
      <c r="BP332" s="1021"/>
      <c r="BQ332" s="1021"/>
      <c r="BR332" s="1021"/>
      <c r="BS332" s="1021"/>
      <c r="BT332" s="1021"/>
      <c r="BU332" s="1021"/>
      <c r="BV332" s="1021"/>
      <c r="BW332" s="1021"/>
      <c r="BX332" s="1021"/>
      <c r="BY332" s="1021"/>
      <c r="BZ332" s="1021"/>
      <c r="CA332" s="1021"/>
      <c r="CB332" s="1021"/>
      <c r="CC332" s="1021"/>
    </row>
    <row r="333" spans="8:81" x14ac:dyDescent="0.25">
      <c r="H333" s="1021"/>
      <c r="I333" s="1021"/>
      <c r="J333" s="1021"/>
      <c r="K333" s="1021"/>
      <c r="L333" s="1021"/>
      <c r="M333" s="1021"/>
      <c r="N333" s="1021"/>
      <c r="O333" s="1021"/>
      <c r="P333" s="1021"/>
      <c r="Q333" s="1021"/>
      <c r="R333" s="1021"/>
      <c r="S333" s="1021"/>
      <c r="T333" s="1021"/>
      <c r="U333" s="1021"/>
      <c r="V333" s="1021"/>
      <c r="W333" s="1021"/>
      <c r="X333" s="1021"/>
      <c r="Y333" s="1021"/>
      <c r="Z333" s="1021"/>
      <c r="AA333" s="1021"/>
      <c r="AB333" s="1021"/>
      <c r="AC333" s="1021"/>
      <c r="AD333" s="1021"/>
      <c r="AE333" s="1021"/>
      <c r="AF333" s="1021"/>
      <c r="AG333" s="1021"/>
      <c r="AH333" s="1021"/>
      <c r="AI333" s="1021"/>
      <c r="AJ333" s="1021"/>
      <c r="AK333" s="1021"/>
      <c r="AL333" s="1021"/>
      <c r="AM333" s="1021"/>
      <c r="AN333" s="1021"/>
      <c r="AO333" s="1021"/>
      <c r="AP333" s="1021"/>
      <c r="AQ333" s="1021"/>
      <c r="AR333" s="1021"/>
      <c r="AS333" s="1021"/>
      <c r="AT333" s="1021"/>
      <c r="AU333" s="1021"/>
      <c r="AV333" s="1021"/>
      <c r="AW333" s="1021"/>
      <c r="AX333" s="1021"/>
      <c r="AY333" s="1021"/>
      <c r="AZ333" s="1021"/>
      <c r="BA333" s="1021"/>
      <c r="BB333" s="1021"/>
      <c r="BC333" s="1021"/>
      <c r="BD333" s="1021"/>
      <c r="BE333" s="1021"/>
      <c r="BF333" s="1021"/>
      <c r="BG333" s="1021"/>
      <c r="BH333" s="1021"/>
      <c r="BI333" s="1021"/>
      <c r="BJ333" s="1021"/>
      <c r="BK333" s="1021"/>
      <c r="BL333" s="1021"/>
      <c r="BM333" s="1021"/>
      <c r="BN333" s="1021"/>
      <c r="BO333" s="1021"/>
      <c r="BP333" s="1021"/>
      <c r="BQ333" s="1021"/>
      <c r="BR333" s="1021"/>
      <c r="BS333" s="1021"/>
      <c r="BT333" s="1021"/>
      <c r="BU333" s="1021"/>
      <c r="BV333" s="1021"/>
      <c r="BW333" s="1021"/>
      <c r="BX333" s="1021"/>
      <c r="BY333" s="1021"/>
      <c r="BZ333" s="1021"/>
      <c r="CA333" s="1021"/>
      <c r="CB333" s="1021"/>
      <c r="CC333" s="1021"/>
    </row>
    <row r="334" spans="8:81" x14ac:dyDescent="0.25">
      <c r="H334" s="1021"/>
      <c r="I334" s="1021"/>
      <c r="J334" s="1021"/>
      <c r="K334" s="1021"/>
      <c r="L334" s="1021"/>
      <c r="M334" s="1021"/>
      <c r="N334" s="1021"/>
      <c r="O334" s="1021"/>
      <c r="P334" s="1021"/>
      <c r="Q334" s="1021"/>
      <c r="R334" s="1021"/>
      <c r="S334" s="1021"/>
      <c r="T334" s="1021"/>
      <c r="U334" s="1021"/>
      <c r="V334" s="1021"/>
      <c r="W334" s="1021"/>
      <c r="X334" s="1021"/>
      <c r="Y334" s="1021"/>
      <c r="Z334" s="1021"/>
      <c r="AA334" s="1021"/>
      <c r="AB334" s="1021"/>
      <c r="AC334" s="1021"/>
      <c r="AD334" s="1021"/>
      <c r="AE334" s="1021"/>
      <c r="AF334" s="1021"/>
      <c r="AG334" s="1021"/>
      <c r="AH334" s="1021"/>
      <c r="AI334" s="1021"/>
      <c r="AJ334" s="1021"/>
      <c r="AK334" s="1021"/>
      <c r="AL334" s="1021"/>
      <c r="AM334" s="1021"/>
      <c r="AN334" s="1021"/>
      <c r="AO334" s="1021"/>
      <c r="AP334" s="1021"/>
      <c r="AQ334" s="1021"/>
      <c r="AR334" s="1021"/>
      <c r="AS334" s="1021"/>
      <c r="AT334" s="1021"/>
      <c r="AU334" s="1021"/>
      <c r="AV334" s="1021"/>
      <c r="AW334" s="1021"/>
      <c r="AX334" s="1021"/>
      <c r="AY334" s="1021"/>
      <c r="AZ334" s="1021"/>
      <c r="BA334" s="1021"/>
      <c r="BB334" s="1021"/>
      <c r="BC334" s="1021"/>
      <c r="BD334" s="1021"/>
      <c r="BE334" s="1021"/>
      <c r="BF334" s="1021"/>
      <c r="BG334" s="1021"/>
      <c r="BH334" s="1021"/>
      <c r="BI334" s="1021"/>
      <c r="BJ334" s="1021"/>
      <c r="BK334" s="1021"/>
      <c r="BL334" s="1021"/>
      <c r="BM334" s="1021"/>
      <c r="BN334" s="1021"/>
      <c r="BO334" s="1021"/>
      <c r="BP334" s="1021"/>
      <c r="BQ334" s="1021"/>
      <c r="BR334" s="1021"/>
      <c r="BS334" s="1021"/>
      <c r="BT334" s="1021"/>
      <c r="BU334" s="1021"/>
      <c r="BV334" s="1021"/>
      <c r="BW334" s="1021"/>
      <c r="BX334" s="1021"/>
      <c r="BY334" s="1021"/>
      <c r="BZ334" s="1021"/>
      <c r="CA334" s="1021"/>
      <c r="CB334" s="1021"/>
      <c r="CC334" s="1021"/>
    </row>
    <row r="335" spans="8:81" x14ac:dyDescent="0.25">
      <c r="H335" s="1021"/>
      <c r="I335" s="1021"/>
      <c r="J335" s="1021"/>
      <c r="K335" s="1021"/>
      <c r="L335" s="1021"/>
      <c r="M335" s="1021"/>
      <c r="N335" s="1021"/>
      <c r="O335" s="1021"/>
      <c r="P335" s="1021"/>
      <c r="Q335" s="1021"/>
      <c r="R335" s="1021"/>
      <c r="S335" s="1021"/>
      <c r="T335" s="1021"/>
      <c r="U335" s="1021"/>
      <c r="V335" s="1021"/>
      <c r="W335" s="1021"/>
      <c r="X335" s="1021"/>
      <c r="Y335" s="1021"/>
      <c r="Z335" s="1021"/>
      <c r="AA335" s="1021"/>
      <c r="AB335" s="1021"/>
      <c r="AC335" s="1021"/>
      <c r="AD335" s="1021"/>
      <c r="AE335" s="1021"/>
      <c r="AF335" s="1021"/>
      <c r="AG335" s="1021"/>
      <c r="AH335" s="1021"/>
      <c r="AI335" s="1021"/>
      <c r="AJ335" s="1021"/>
      <c r="AK335" s="1021"/>
      <c r="AL335" s="1021"/>
      <c r="AM335" s="1021"/>
      <c r="AN335" s="1021"/>
      <c r="AO335" s="1021"/>
      <c r="AP335" s="1021"/>
      <c r="AQ335" s="1021"/>
      <c r="AR335" s="1021"/>
      <c r="AS335" s="1021"/>
      <c r="AT335" s="1021"/>
      <c r="AU335" s="1021"/>
      <c r="AV335" s="1021"/>
      <c r="AW335" s="1021"/>
      <c r="AX335" s="1021"/>
      <c r="AY335" s="1021"/>
      <c r="AZ335" s="1021"/>
      <c r="BA335" s="1021"/>
      <c r="BB335" s="1021"/>
      <c r="BC335" s="1021"/>
      <c r="BD335" s="1021"/>
      <c r="BE335" s="1021"/>
      <c r="BF335" s="1021"/>
      <c r="BG335" s="1021"/>
      <c r="BH335" s="1021"/>
      <c r="BI335" s="1021"/>
      <c r="BJ335" s="1021"/>
      <c r="BK335" s="1021"/>
      <c r="BL335" s="1021"/>
      <c r="BM335" s="1021"/>
      <c r="BN335" s="1021"/>
      <c r="BO335" s="1021"/>
      <c r="BP335" s="1021"/>
      <c r="BQ335" s="1021"/>
      <c r="BR335" s="1021"/>
      <c r="BS335" s="1021"/>
      <c r="BT335" s="1021"/>
      <c r="BU335" s="1021"/>
      <c r="BV335" s="1021"/>
      <c r="BW335" s="1021"/>
      <c r="BX335" s="1021"/>
      <c r="BY335" s="1021"/>
      <c r="BZ335" s="1021"/>
      <c r="CA335" s="1021"/>
      <c r="CB335" s="1021"/>
      <c r="CC335" s="1021"/>
    </row>
    <row r="336" spans="8:81" x14ac:dyDescent="0.25">
      <c r="H336" s="1021"/>
      <c r="I336" s="1021"/>
      <c r="J336" s="1021"/>
      <c r="K336" s="1021"/>
      <c r="L336" s="1021"/>
      <c r="M336" s="1021"/>
      <c r="N336" s="1021"/>
      <c r="O336" s="1021"/>
      <c r="P336" s="1021"/>
      <c r="Q336" s="1021"/>
      <c r="R336" s="1021"/>
      <c r="S336" s="1021"/>
      <c r="T336" s="1021"/>
      <c r="U336" s="1021"/>
      <c r="V336" s="1021"/>
      <c r="W336" s="1021"/>
      <c r="X336" s="1021"/>
      <c r="Y336" s="1021"/>
      <c r="Z336" s="1021"/>
      <c r="AA336" s="1021"/>
      <c r="AB336" s="1021"/>
      <c r="AC336" s="1021"/>
      <c r="AD336" s="1021"/>
      <c r="AE336" s="1021"/>
      <c r="AF336" s="1021"/>
      <c r="AG336" s="1021"/>
      <c r="AH336" s="1021"/>
      <c r="AI336" s="1021"/>
      <c r="AJ336" s="1021"/>
      <c r="AK336" s="1021"/>
      <c r="AL336" s="1021"/>
      <c r="AM336" s="1021"/>
      <c r="AN336" s="1021"/>
      <c r="AO336" s="1021"/>
      <c r="AP336" s="1021"/>
      <c r="AQ336" s="1021"/>
      <c r="AR336" s="1021"/>
      <c r="AS336" s="1021"/>
      <c r="AT336" s="1021"/>
      <c r="AU336" s="1021"/>
      <c r="AV336" s="1021"/>
      <c r="AW336" s="1021"/>
      <c r="AX336" s="1021"/>
      <c r="AY336" s="1021"/>
      <c r="AZ336" s="1021"/>
      <c r="BA336" s="1021"/>
      <c r="BB336" s="1021"/>
      <c r="BC336" s="1021"/>
      <c r="BD336" s="1021"/>
      <c r="BE336" s="1021"/>
      <c r="BF336" s="1021"/>
      <c r="BG336" s="1021"/>
      <c r="BH336" s="1021"/>
      <c r="BI336" s="1021"/>
      <c r="BJ336" s="1021"/>
      <c r="BK336" s="1021"/>
      <c r="BL336" s="1021"/>
      <c r="BM336" s="1021"/>
      <c r="BN336" s="1021"/>
      <c r="BO336" s="1021"/>
      <c r="BP336" s="1021"/>
      <c r="BQ336" s="1021"/>
      <c r="BR336" s="1021"/>
      <c r="BS336" s="1021"/>
      <c r="BT336" s="1021"/>
      <c r="BU336" s="1021"/>
      <c r="BV336" s="1021"/>
      <c r="BW336" s="1021"/>
      <c r="BX336" s="1021"/>
      <c r="BY336" s="1021"/>
      <c r="BZ336" s="1021"/>
      <c r="CA336" s="1021"/>
      <c r="CB336" s="1021"/>
      <c r="CC336" s="1021"/>
    </row>
    <row r="337" spans="8:81" x14ac:dyDescent="0.25">
      <c r="H337" s="1021"/>
      <c r="I337" s="1021"/>
      <c r="J337" s="1021"/>
      <c r="K337" s="1021"/>
      <c r="L337" s="1021"/>
      <c r="M337" s="1021"/>
      <c r="N337" s="1021"/>
      <c r="O337" s="1021"/>
      <c r="P337" s="1021"/>
      <c r="Q337" s="1021"/>
      <c r="R337" s="1021"/>
      <c r="S337" s="1021"/>
      <c r="T337" s="1021"/>
      <c r="U337" s="1021"/>
      <c r="V337" s="1021"/>
      <c r="W337" s="1021"/>
      <c r="X337" s="1021"/>
      <c r="Y337" s="1021"/>
      <c r="Z337" s="1021"/>
      <c r="AA337" s="1021"/>
      <c r="AB337" s="1021"/>
      <c r="AC337" s="1021"/>
      <c r="AD337" s="1021"/>
      <c r="AE337" s="1021"/>
      <c r="AF337" s="1021"/>
      <c r="AG337" s="1021"/>
      <c r="AH337" s="1021"/>
      <c r="AI337" s="1021"/>
      <c r="AJ337" s="1021"/>
      <c r="AK337" s="1021"/>
      <c r="AL337" s="1021"/>
      <c r="AM337" s="1021"/>
      <c r="AN337" s="1021"/>
      <c r="AO337" s="1021"/>
      <c r="AP337" s="1021"/>
      <c r="AQ337" s="1021"/>
      <c r="AR337" s="1021"/>
      <c r="AS337" s="1021"/>
      <c r="AT337" s="1021"/>
      <c r="AU337" s="1021"/>
      <c r="AV337" s="1021"/>
      <c r="AW337" s="1021"/>
      <c r="AX337" s="1021"/>
      <c r="AY337" s="1021"/>
      <c r="AZ337" s="1021"/>
      <c r="BA337" s="1021"/>
      <c r="BB337" s="1021"/>
      <c r="BC337" s="1021"/>
      <c r="BD337" s="1021"/>
      <c r="BE337" s="1021"/>
      <c r="BF337" s="1021"/>
      <c r="BG337" s="1021"/>
      <c r="BH337" s="1021"/>
      <c r="BI337" s="1021"/>
      <c r="BJ337" s="1021"/>
      <c r="BK337" s="1021"/>
      <c r="BL337" s="1021"/>
      <c r="BM337" s="1021"/>
      <c r="BN337" s="1021"/>
      <c r="BO337" s="1021"/>
      <c r="BP337" s="1021"/>
      <c r="BQ337" s="1021"/>
      <c r="BR337" s="1021"/>
      <c r="BS337" s="1021"/>
      <c r="BT337" s="1021"/>
      <c r="BU337" s="1021"/>
      <c r="BV337" s="1021"/>
      <c r="BW337" s="1021"/>
      <c r="BX337" s="1021"/>
      <c r="BY337" s="1021"/>
      <c r="BZ337" s="1021"/>
      <c r="CA337" s="1021"/>
      <c r="CB337" s="1021"/>
      <c r="CC337" s="1021"/>
    </row>
    <row r="338" spans="8:81" x14ac:dyDescent="0.25">
      <c r="H338" s="1021"/>
      <c r="I338" s="1021"/>
      <c r="J338" s="1021"/>
      <c r="K338" s="1021"/>
      <c r="L338" s="1021"/>
      <c r="M338" s="1021"/>
      <c r="N338" s="1021"/>
      <c r="O338" s="1021"/>
      <c r="P338" s="1021"/>
      <c r="Q338" s="1021"/>
      <c r="R338" s="1021"/>
      <c r="S338" s="1021"/>
      <c r="T338" s="1021"/>
      <c r="U338" s="1021"/>
      <c r="V338" s="1021"/>
      <c r="W338" s="1021"/>
      <c r="X338" s="1021"/>
      <c r="Y338" s="1021"/>
      <c r="Z338" s="1021"/>
      <c r="AA338" s="1021"/>
      <c r="AB338" s="1021"/>
      <c r="AC338" s="1021"/>
      <c r="AD338" s="1021"/>
      <c r="AE338" s="1021"/>
      <c r="AF338" s="1021"/>
      <c r="AG338" s="1021"/>
      <c r="AH338" s="1021"/>
      <c r="AI338" s="1021"/>
      <c r="AJ338" s="1021"/>
      <c r="AK338" s="1021"/>
      <c r="AL338" s="1021"/>
      <c r="AM338" s="1021"/>
      <c r="AN338" s="1021"/>
      <c r="AO338" s="1021"/>
      <c r="AP338" s="1021"/>
      <c r="AQ338" s="1021"/>
      <c r="AR338" s="1021"/>
      <c r="AS338" s="1021"/>
      <c r="AT338" s="1021"/>
      <c r="AU338" s="1021"/>
      <c r="AV338" s="1021"/>
      <c r="AW338" s="1021"/>
      <c r="AX338" s="1021"/>
      <c r="AY338" s="1021"/>
      <c r="AZ338" s="1021"/>
      <c r="BA338" s="1021"/>
      <c r="BB338" s="1021"/>
      <c r="BC338" s="1021"/>
      <c r="BD338" s="1021"/>
      <c r="BE338" s="1021"/>
      <c r="BF338" s="1021"/>
      <c r="BG338" s="1021"/>
      <c r="BH338" s="1021"/>
      <c r="BI338" s="1021"/>
      <c r="BJ338" s="1021"/>
      <c r="BK338" s="1021"/>
      <c r="BL338" s="1021"/>
      <c r="BM338" s="1021"/>
      <c r="BN338" s="1021"/>
      <c r="BO338" s="1021"/>
      <c r="BP338" s="1021"/>
      <c r="BQ338" s="1021"/>
      <c r="BR338" s="1021"/>
      <c r="BS338" s="1021"/>
      <c r="BT338" s="1021"/>
      <c r="BU338" s="1021"/>
      <c r="BV338" s="1021"/>
      <c r="BW338" s="1021"/>
      <c r="BX338" s="1021"/>
      <c r="BY338" s="1021"/>
      <c r="BZ338" s="1021"/>
      <c r="CA338" s="1021"/>
      <c r="CB338" s="1021"/>
      <c r="CC338" s="1021"/>
    </row>
    <row r="339" spans="8:81" x14ac:dyDescent="0.25">
      <c r="H339" s="1021"/>
      <c r="I339" s="1021"/>
      <c r="J339" s="1021"/>
      <c r="K339" s="1021"/>
      <c r="L339" s="1021"/>
      <c r="M339" s="1021"/>
      <c r="N339" s="1021"/>
      <c r="O339" s="1021"/>
      <c r="P339" s="1021"/>
      <c r="Q339" s="1021"/>
      <c r="R339" s="1021"/>
      <c r="S339" s="1021"/>
      <c r="T339" s="1021"/>
      <c r="U339" s="1021"/>
      <c r="V339" s="1021"/>
      <c r="W339" s="1021"/>
      <c r="X339" s="1021"/>
      <c r="Y339" s="1021"/>
      <c r="Z339" s="1021"/>
      <c r="AA339" s="1021"/>
      <c r="AB339" s="1021"/>
      <c r="AC339" s="1021"/>
      <c r="AD339" s="1021"/>
      <c r="AE339" s="1021"/>
      <c r="AF339" s="1021"/>
      <c r="AG339" s="1021"/>
      <c r="AH339" s="1021"/>
      <c r="AI339" s="1021"/>
      <c r="AJ339" s="1021"/>
      <c r="AK339" s="1021"/>
      <c r="AL339" s="1021"/>
      <c r="AM339" s="1021"/>
      <c r="AN339" s="1021"/>
      <c r="AO339" s="1021"/>
      <c r="AP339" s="1021"/>
      <c r="AQ339" s="1021"/>
      <c r="AR339" s="1021"/>
      <c r="AS339" s="1021"/>
      <c r="AT339" s="1021"/>
      <c r="AU339" s="1021"/>
      <c r="AV339" s="1021"/>
      <c r="AW339" s="1021"/>
      <c r="AX339" s="1021"/>
      <c r="AY339" s="1021"/>
      <c r="AZ339" s="1021"/>
      <c r="BA339" s="1021"/>
      <c r="BB339" s="1021"/>
      <c r="BC339" s="1021"/>
      <c r="BD339" s="1021"/>
      <c r="BE339" s="1021"/>
      <c r="BF339" s="1021"/>
      <c r="BG339" s="1021"/>
      <c r="BH339" s="1021"/>
      <c r="BI339" s="1021"/>
      <c r="BJ339" s="1021"/>
      <c r="BK339" s="1021"/>
      <c r="BL339" s="1021"/>
      <c r="BM339" s="1021"/>
      <c r="BN339" s="1021"/>
      <c r="BO339" s="1021"/>
      <c r="BP339" s="1021"/>
      <c r="BQ339" s="1021"/>
      <c r="BR339" s="1021"/>
      <c r="BS339" s="1021"/>
      <c r="BT339" s="1021"/>
      <c r="BU339" s="1021"/>
      <c r="BV339" s="1021"/>
      <c r="BW339" s="1021"/>
      <c r="BX339" s="1021"/>
      <c r="BY339" s="1021"/>
      <c r="BZ339" s="1021"/>
      <c r="CA339" s="1021"/>
      <c r="CB339" s="1021"/>
      <c r="CC339" s="1021"/>
    </row>
    <row r="340" spans="8:81" x14ac:dyDescent="0.25">
      <c r="H340" s="1021"/>
      <c r="I340" s="1021"/>
      <c r="J340" s="1021"/>
      <c r="K340" s="1021"/>
      <c r="L340" s="1021"/>
      <c r="M340" s="1021"/>
      <c r="N340" s="1021"/>
      <c r="O340" s="1021"/>
      <c r="P340" s="1021"/>
      <c r="Q340" s="1021"/>
      <c r="R340" s="1021"/>
      <c r="S340" s="1021"/>
      <c r="T340" s="1021"/>
      <c r="U340" s="1021"/>
      <c r="V340" s="1021"/>
      <c r="W340" s="1021"/>
      <c r="X340" s="1021"/>
      <c r="Y340" s="1021"/>
      <c r="Z340" s="1021"/>
      <c r="AA340" s="1021"/>
      <c r="AB340" s="1021"/>
      <c r="AC340" s="1021"/>
      <c r="AD340" s="1021"/>
      <c r="AE340" s="1021"/>
      <c r="AF340" s="1021"/>
      <c r="AG340" s="1021"/>
      <c r="AH340" s="1021"/>
      <c r="AI340" s="1021"/>
      <c r="AJ340" s="1021"/>
      <c r="AK340" s="1021"/>
      <c r="AL340" s="1021"/>
      <c r="AM340" s="1021"/>
      <c r="AN340" s="1021"/>
      <c r="AO340" s="1021"/>
      <c r="AP340" s="1021"/>
      <c r="AQ340" s="1021"/>
      <c r="AR340" s="1021"/>
      <c r="AS340" s="1021"/>
      <c r="AT340" s="1021"/>
      <c r="AU340" s="1021"/>
      <c r="AV340" s="1021"/>
      <c r="AW340" s="1021"/>
      <c r="AX340" s="1021"/>
      <c r="AY340" s="1021"/>
      <c r="AZ340" s="1021"/>
      <c r="BA340" s="1021"/>
      <c r="BB340" s="1021"/>
      <c r="BC340" s="1021"/>
      <c r="BD340" s="1021"/>
      <c r="BE340" s="1021"/>
      <c r="BF340" s="1021"/>
      <c r="BG340" s="1021"/>
      <c r="BH340" s="1021"/>
      <c r="BI340" s="1021"/>
      <c r="BJ340" s="1021"/>
      <c r="BK340" s="1021"/>
      <c r="BL340" s="1021"/>
      <c r="BM340" s="1021"/>
      <c r="BN340" s="1021"/>
      <c r="BO340" s="1021"/>
      <c r="BP340" s="1021"/>
      <c r="BQ340" s="1021"/>
      <c r="BR340" s="1021"/>
      <c r="BS340" s="1021"/>
      <c r="BT340" s="1021"/>
      <c r="BU340" s="1021"/>
      <c r="BV340" s="1021"/>
      <c r="BW340" s="1021"/>
      <c r="BX340" s="1021"/>
      <c r="BY340" s="1021"/>
      <c r="BZ340" s="1021"/>
      <c r="CA340" s="1021"/>
      <c r="CB340" s="1021"/>
      <c r="CC340" s="1021"/>
    </row>
    <row r="341" spans="8:81" x14ac:dyDescent="0.25">
      <c r="H341" s="1021"/>
      <c r="I341" s="1021"/>
      <c r="J341" s="1021"/>
      <c r="K341" s="1021"/>
      <c r="L341" s="1021"/>
      <c r="M341" s="1021"/>
      <c r="N341" s="1021"/>
      <c r="O341" s="1021"/>
      <c r="P341" s="1021"/>
      <c r="Q341" s="1021"/>
      <c r="R341" s="1021"/>
      <c r="S341" s="1021"/>
      <c r="T341" s="1021"/>
      <c r="U341" s="1021"/>
      <c r="V341" s="1021"/>
      <c r="W341" s="1021"/>
      <c r="X341" s="1021"/>
      <c r="Y341" s="1021"/>
      <c r="Z341" s="1021"/>
      <c r="AA341" s="1021"/>
      <c r="AB341" s="1021"/>
      <c r="AC341" s="1021"/>
      <c r="AD341" s="1021"/>
      <c r="AE341" s="1021"/>
      <c r="AF341" s="1021"/>
      <c r="AG341" s="1021"/>
      <c r="AH341" s="1021"/>
      <c r="AI341" s="1021"/>
      <c r="AJ341" s="1021"/>
      <c r="AK341" s="1021"/>
      <c r="AL341" s="1021"/>
      <c r="AM341" s="1021"/>
      <c r="AN341" s="1021"/>
      <c r="AO341" s="1021"/>
      <c r="AP341" s="1021"/>
      <c r="AQ341" s="1021"/>
      <c r="AR341" s="1021"/>
      <c r="AS341" s="1021"/>
      <c r="AT341" s="1021"/>
      <c r="AU341" s="1021"/>
      <c r="AV341" s="1021"/>
      <c r="AW341" s="1021"/>
      <c r="AX341" s="1021"/>
      <c r="AY341" s="1021"/>
      <c r="AZ341" s="1021"/>
      <c r="BA341" s="1021"/>
      <c r="BB341" s="1021"/>
      <c r="BC341" s="1021"/>
      <c r="BD341" s="1021"/>
      <c r="BE341" s="1021"/>
      <c r="BF341" s="1021"/>
      <c r="BG341" s="1021"/>
      <c r="BH341" s="1021"/>
      <c r="BI341" s="1021"/>
      <c r="BJ341" s="1021"/>
      <c r="BK341" s="1021"/>
      <c r="BL341" s="1021"/>
      <c r="BM341" s="1021"/>
      <c r="BN341" s="1021"/>
      <c r="BO341" s="1021"/>
      <c r="BP341" s="1021"/>
      <c r="BQ341" s="1021"/>
      <c r="BR341" s="1021"/>
      <c r="BS341" s="1021"/>
      <c r="BT341" s="1021"/>
      <c r="BU341" s="1021"/>
      <c r="BV341" s="1021"/>
      <c r="BW341" s="1021"/>
      <c r="BX341" s="1021"/>
      <c r="BY341" s="1021"/>
      <c r="BZ341" s="1021"/>
      <c r="CA341" s="1021"/>
      <c r="CB341" s="1021"/>
      <c r="CC341" s="1021"/>
    </row>
    <row r="342" spans="8:81" x14ac:dyDescent="0.25">
      <c r="H342" s="1021"/>
      <c r="I342" s="1021"/>
      <c r="J342" s="1021"/>
      <c r="K342" s="1021"/>
      <c r="L342" s="1021"/>
      <c r="M342" s="1021"/>
      <c r="N342" s="1021"/>
      <c r="O342" s="1021"/>
      <c r="P342" s="1021"/>
      <c r="Q342" s="1021"/>
      <c r="R342" s="1021"/>
      <c r="S342" s="1021"/>
      <c r="T342" s="1021"/>
      <c r="U342" s="1021"/>
      <c r="V342" s="1021"/>
      <c r="W342" s="1021"/>
      <c r="X342" s="1021"/>
      <c r="Y342" s="1021"/>
      <c r="Z342" s="1021"/>
      <c r="AA342" s="1021"/>
      <c r="AB342" s="1021"/>
      <c r="AC342" s="1021"/>
      <c r="AD342" s="1021"/>
      <c r="AE342" s="1021"/>
      <c r="AF342" s="1021"/>
      <c r="AG342" s="1021"/>
      <c r="AH342" s="1021"/>
      <c r="AI342" s="1021"/>
      <c r="AJ342" s="1021"/>
      <c r="AK342" s="1021"/>
      <c r="AL342" s="1021"/>
      <c r="AM342" s="1021"/>
      <c r="AN342" s="1021"/>
      <c r="AO342" s="1021"/>
      <c r="AP342" s="1021"/>
      <c r="AQ342" s="1021"/>
      <c r="AR342" s="1021"/>
      <c r="AS342" s="1021"/>
      <c r="AT342" s="1021"/>
      <c r="AU342" s="1021"/>
      <c r="AV342" s="1021"/>
      <c r="AW342" s="1021"/>
      <c r="AX342" s="1021"/>
      <c r="AY342" s="1021"/>
      <c r="AZ342" s="1021"/>
      <c r="BA342" s="1021"/>
      <c r="BB342" s="1021"/>
      <c r="BC342" s="1021"/>
      <c r="BD342" s="1021"/>
      <c r="BE342" s="1021"/>
      <c r="BF342" s="1021"/>
      <c r="BG342" s="1021"/>
      <c r="BH342" s="1021"/>
      <c r="BI342" s="1021"/>
      <c r="BJ342" s="1021"/>
      <c r="BK342" s="1021"/>
      <c r="BL342" s="1021"/>
      <c r="BM342" s="1021"/>
      <c r="BN342" s="1021"/>
      <c r="BO342" s="1021"/>
      <c r="BP342" s="1021"/>
      <c r="BQ342" s="1021"/>
      <c r="BR342" s="1021"/>
      <c r="BS342" s="1021"/>
      <c r="BT342" s="1021"/>
      <c r="BU342" s="1021"/>
      <c r="BV342" s="1021"/>
      <c r="BW342" s="1021"/>
      <c r="BX342" s="1021"/>
      <c r="BY342" s="1021"/>
      <c r="BZ342" s="1021"/>
      <c r="CA342" s="1021"/>
      <c r="CB342" s="1021"/>
      <c r="CC342" s="1021"/>
    </row>
    <row r="343" spans="8:81" x14ac:dyDescent="0.25">
      <c r="H343" s="1021"/>
      <c r="I343" s="1021"/>
      <c r="J343" s="1021"/>
      <c r="K343" s="1021"/>
      <c r="L343" s="1021"/>
      <c r="M343" s="1021"/>
      <c r="N343" s="1021"/>
      <c r="O343" s="1021"/>
      <c r="P343" s="1021"/>
      <c r="Q343" s="1021"/>
      <c r="R343" s="1021"/>
      <c r="S343" s="1021"/>
      <c r="T343" s="1021"/>
      <c r="U343" s="1021"/>
      <c r="V343" s="1021"/>
      <c r="W343" s="1021"/>
      <c r="X343" s="1021"/>
      <c r="Y343" s="1021"/>
      <c r="Z343" s="1021"/>
      <c r="AA343" s="1021"/>
      <c r="AB343" s="1021"/>
      <c r="AC343" s="1021"/>
      <c r="AD343" s="1021"/>
      <c r="AE343" s="1021"/>
      <c r="AF343" s="1021"/>
      <c r="AG343" s="1021"/>
      <c r="AH343" s="1021"/>
      <c r="AI343" s="1021"/>
      <c r="AJ343" s="1021"/>
      <c r="AK343" s="1021"/>
      <c r="AL343" s="1021"/>
      <c r="AM343" s="1021"/>
      <c r="AN343" s="1021"/>
      <c r="AO343" s="1021"/>
      <c r="AP343" s="1021"/>
      <c r="AQ343" s="1021"/>
      <c r="AR343" s="1021"/>
      <c r="AS343" s="1021"/>
      <c r="AT343" s="1021"/>
      <c r="AU343" s="1021"/>
      <c r="AV343" s="1021"/>
      <c r="AW343" s="1021"/>
      <c r="AX343" s="1021"/>
      <c r="AY343" s="1021"/>
      <c r="AZ343" s="1021"/>
      <c r="BA343" s="1021"/>
      <c r="BB343" s="1021"/>
      <c r="BC343" s="1021"/>
      <c r="BD343" s="1021"/>
      <c r="BE343" s="1021"/>
      <c r="BF343" s="1021"/>
      <c r="BG343" s="1021"/>
      <c r="BH343" s="1021"/>
      <c r="BI343" s="1021"/>
      <c r="BJ343" s="1021"/>
      <c r="BK343" s="1021"/>
      <c r="BL343" s="1021"/>
      <c r="BM343" s="1021"/>
      <c r="BN343" s="1021"/>
      <c r="BO343" s="1021"/>
      <c r="BP343" s="1021"/>
      <c r="BQ343" s="1021"/>
      <c r="BR343" s="1021"/>
      <c r="BS343" s="1021"/>
      <c r="BT343" s="1021"/>
      <c r="BU343" s="1021"/>
      <c r="BV343" s="1021"/>
      <c r="BW343" s="1021"/>
      <c r="BX343" s="1021"/>
      <c r="BY343" s="1021"/>
      <c r="BZ343" s="1021"/>
      <c r="CA343" s="1021"/>
      <c r="CB343" s="1021"/>
      <c r="CC343" s="1021"/>
    </row>
    <row r="344" spans="8:81" x14ac:dyDescent="0.25">
      <c r="H344" s="1021"/>
      <c r="I344" s="1021"/>
      <c r="J344" s="1021"/>
      <c r="K344" s="1021"/>
      <c r="L344" s="1021"/>
      <c r="M344" s="1021"/>
      <c r="N344" s="1021"/>
      <c r="O344" s="1021"/>
      <c r="P344" s="1021"/>
      <c r="Q344" s="1021"/>
      <c r="R344" s="1021"/>
      <c r="S344" s="1021"/>
      <c r="T344" s="1021"/>
      <c r="U344" s="1021"/>
      <c r="V344" s="1021"/>
      <c r="W344" s="1021"/>
      <c r="X344" s="1021"/>
      <c r="Y344" s="1021"/>
      <c r="Z344" s="1021"/>
      <c r="AA344" s="1021"/>
      <c r="AB344" s="1021"/>
      <c r="AC344" s="1021"/>
      <c r="AD344" s="1021"/>
      <c r="AE344" s="1021"/>
      <c r="AF344" s="1021"/>
      <c r="AG344" s="1021"/>
      <c r="AH344" s="1021"/>
      <c r="AI344" s="1021"/>
      <c r="AJ344" s="1021"/>
      <c r="AK344" s="1021"/>
      <c r="AL344" s="1021"/>
      <c r="AM344" s="1021"/>
      <c r="AN344" s="1021"/>
      <c r="AO344" s="1021"/>
      <c r="AP344" s="1021"/>
      <c r="AQ344" s="1021"/>
      <c r="AR344" s="1021"/>
      <c r="AS344" s="1021"/>
      <c r="AT344" s="1021"/>
      <c r="AU344" s="1021"/>
      <c r="AV344" s="1021"/>
      <c r="AW344" s="1021"/>
      <c r="AX344" s="1021"/>
      <c r="AY344" s="1021"/>
      <c r="AZ344" s="1021"/>
      <c r="BA344" s="1021"/>
      <c r="BB344" s="1021"/>
      <c r="BC344" s="1021"/>
      <c r="BD344" s="1021"/>
      <c r="BE344" s="1021"/>
      <c r="BF344" s="1021"/>
      <c r="BG344" s="1021"/>
      <c r="BH344" s="1021"/>
      <c r="BI344" s="1021"/>
      <c r="BJ344" s="1021"/>
      <c r="BK344" s="1021"/>
      <c r="BL344" s="1021"/>
      <c r="BM344" s="1021"/>
      <c r="BN344" s="1021"/>
      <c r="BO344" s="1021"/>
      <c r="BP344" s="1021"/>
      <c r="BQ344" s="1021"/>
      <c r="BR344" s="1021"/>
      <c r="BS344" s="1021"/>
      <c r="BT344" s="1021"/>
      <c r="BU344" s="1021"/>
      <c r="BV344" s="1021"/>
      <c r="BW344" s="1021"/>
      <c r="BX344" s="1021"/>
      <c r="BY344" s="1021"/>
      <c r="BZ344" s="1021"/>
      <c r="CA344" s="1021"/>
      <c r="CB344" s="1021"/>
      <c r="CC344" s="1021"/>
    </row>
    <row r="345" spans="8:81" x14ac:dyDescent="0.25">
      <c r="H345" s="1021"/>
      <c r="I345" s="1021"/>
      <c r="J345" s="1021"/>
      <c r="K345" s="1021"/>
      <c r="L345" s="1021"/>
      <c r="M345" s="1021"/>
      <c r="N345" s="1021"/>
      <c r="O345" s="1021"/>
      <c r="P345" s="1021"/>
      <c r="Q345" s="1021"/>
      <c r="R345" s="1021"/>
      <c r="S345" s="1021"/>
      <c r="T345" s="1021"/>
      <c r="U345" s="1021"/>
      <c r="V345" s="1021"/>
      <c r="W345" s="1021"/>
      <c r="X345" s="1021"/>
      <c r="Y345" s="1021"/>
      <c r="Z345" s="1021"/>
      <c r="AA345" s="1021"/>
      <c r="AB345" s="1021"/>
      <c r="AC345" s="1021"/>
      <c r="AD345" s="1021"/>
      <c r="AE345" s="1021"/>
      <c r="AF345" s="1021"/>
      <c r="AG345" s="1021"/>
      <c r="AH345" s="1021"/>
      <c r="AI345" s="1021"/>
      <c r="AJ345" s="1021"/>
      <c r="AK345" s="1021"/>
      <c r="AL345" s="1021"/>
      <c r="AM345" s="1021"/>
      <c r="AN345" s="1021"/>
      <c r="AO345" s="1021"/>
      <c r="AP345" s="1021"/>
      <c r="AQ345" s="1021"/>
      <c r="AR345" s="1021"/>
      <c r="AS345" s="1021"/>
      <c r="AT345" s="1021"/>
      <c r="AU345" s="1021"/>
      <c r="AV345" s="1021"/>
      <c r="AW345" s="1021"/>
      <c r="AX345" s="1021"/>
      <c r="AY345" s="1021"/>
      <c r="AZ345" s="1021"/>
      <c r="BA345" s="1021"/>
      <c r="BB345" s="1021"/>
      <c r="BC345" s="1021"/>
      <c r="BD345" s="1021"/>
      <c r="BE345" s="1021"/>
      <c r="BF345" s="1021"/>
      <c r="BG345" s="1021"/>
      <c r="BH345" s="1021"/>
      <c r="BI345" s="1021"/>
      <c r="BJ345" s="1021"/>
      <c r="BK345" s="1021"/>
      <c r="BL345" s="1021"/>
      <c r="BM345" s="1021"/>
      <c r="BN345" s="1021"/>
      <c r="BO345" s="1021"/>
      <c r="BP345" s="1021"/>
      <c r="BQ345" s="1021"/>
      <c r="BR345" s="1021"/>
      <c r="BS345" s="1021"/>
      <c r="BT345" s="1021"/>
      <c r="BU345" s="1021"/>
      <c r="BV345" s="1021"/>
      <c r="BW345" s="1021"/>
      <c r="BX345" s="1021"/>
      <c r="BY345" s="1021"/>
      <c r="BZ345" s="1021"/>
      <c r="CA345" s="1021"/>
      <c r="CB345" s="1021"/>
      <c r="CC345" s="1021"/>
    </row>
    <row r="346" spans="8:81" x14ac:dyDescent="0.25">
      <c r="H346" s="1021"/>
      <c r="I346" s="1021"/>
      <c r="J346" s="1021"/>
      <c r="K346" s="1021"/>
      <c r="L346" s="1021"/>
      <c r="M346" s="1021"/>
      <c r="N346" s="1021"/>
      <c r="O346" s="1021"/>
      <c r="P346" s="1021"/>
      <c r="Q346" s="1021"/>
      <c r="R346" s="1021"/>
      <c r="S346" s="1021"/>
      <c r="T346" s="1021"/>
      <c r="U346" s="1021"/>
      <c r="V346" s="1021"/>
      <c r="W346" s="1021"/>
      <c r="X346" s="1021"/>
      <c r="Y346" s="1021"/>
      <c r="Z346" s="1021"/>
      <c r="AA346" s="1021"/>
      <c r="AB346" s="1021"/>
      <c r="AC346" s="1021"/>
      <c r="AD346" s="1021"/>
      <c r="AE346" s="1021"/>
      <c r="AF346" s="1021"/>
      <c r="AG346" s="1021"/>
      <c r="AH346" s="1021"/>
      <c r="AI346" s="1021"/>
      <c r="AJ346" s="1021"/>
      <c r="AK346" s="1021"/>
      <c r="AL346" s="1021"/>
      <c r="AM346" s="1021"/>
      <c r="AN346" s="1021"/>
      <c r="AO346" s="1021"/>
      <c r="AP346" s="1021"/>
      <c r="AQ346" s="1021"/>
      <c r="AR346" s="1021"/>
      <c r="AS346" s="1021"/>
      <c r="AT346" s="1021"/>
      <c r="AU346" s="1021"/>
      <c r="AV346" s="1021"/>
      <c r="AW346" s="1021"/>
      <c r="AX346" s="1021"/>
      <c r="AY346" s="1021"/>
      <c r="AZ346" s="1021"/>
      <c r="BA346" s="1021"/>
      <c r="BB346" s="1021"/>
      <c r="BC346" s="1021"/>
      <c r="BD346" s="1021"/>
      <c r="BE346" s="1021"/>
      <c r="BF346" s="1021"/>
      <c r="BG346" s="1021"/>
      <c r="BH346" s="1021"/>
      <c r="BI346" s="1021"/>
      <c r="BJ346" s="1021"/>
      <c r="BK346" s="1021"/>
      <c r="BL346" s="1021"/>
      <c r="BM346" s="1021"/>
      <c r="BN346" s="1021"/>
      <c r="BO346" s="1021"/>
      <c r="BP346" s="1021"/>
      <c r="BQ346" s="1021"/>
      <c r="BR346" s="1021"/>
      <c r="BS346" s="1021"/>
      <c r="BT346" s="1021"/>
      <c r="BU346" s="1021"/>
      <c r="BV346" s="1021"/>
      <c r="BW346" s="1021"/>
      <c r="BX346" s="1021"/>
      <c r="BY346" s="1021"/>
      <c r="BZ346" s="1021"/>
      <c r="CA346" s="1021"/>
      <c r="CB346" s="1021"/>
      <c r="CC346" s="1021"/>
    </row>
    <row r="347" spans="8:81" x14ac:dyDescent="0.25">
      <c r="H347" s="1021"/>
      <c r="I347" s="1021"/>
      <c r="J347" s="1021"/>
      <c r="K347" s="1021"/>
      <c r="L347" s="1021"/>
      <c r="M347" s="1021"/>
      <c r="N347" s="1021"/>
      <c r="O347" s="1021"/>
      <c r="P347" s="1021"/>
      <c r="Q347" s="1021"/>
      <c r="R347" s="1021"/>
      <c r="S347" s="1021"/>
      <c r="T347" s="1021"/>
      <c r="U347" s="1021"/>
      <c r="V347" s="1021"/>
      <c r="W347" s="1021"/>
      <c r="X347" s="1021"/>
      <c r="Y347" s="1021"/>
      <c r="Z347" s="1021"/>
      <c r="AA347" s="1021"/>
      <c r="AB347" s="1021"/>
      <c r="AC347" s="1021"/>
      <c r="AD347" s="1021"/>
      <c r="AE347" s="1021"/>
      <c r="AF347" s="1021"/>
      <c r="AG347" s="1021"/>
      <c r="AH347" s="1021"/>
      <c r="AI347" s="1021"/>
      <c r="AJ347" s="1021"/>
      <c r="AK347" s="1021"/>
      <c r="AL347" s="1021"/>
      <c r="AM347" s="1021"/>
      <c r="AN347" s="1021"/>
      <c r="AO347" s="1021"/>
      <c r="AP347" s="1021"/>
      <c r="AQ347" s="1021"/>
      <c r="AR347" s="1021"/>
      <c r="AS347" s="1021"/>
      <c r="AT347" s="1021"/>
      <c r="AU347" s="1021"/>
      <c r="AV347" s="1021"/>
      <c r="AW347" s="1021"/>
      <c r="AX347" s="1021"/>
      <c r="AY347" s="1021"/>
      <c r="AZ347" s="1021"/>
      <c r="BA347" s="1021"/>
      <c r="BB347" s="1021"/>
      <c r="BC347" s="1021"/>
      <c r="BD347" s="1021"/>
      <c r="BE347" s="1021"/>
      <c r="BF347" s="1021"/>
      <c r="BG347" s="1021"/>
      <c r="BH347" s="1021"/>
      <c r="BI347" s="1021"/>
      <c r="BJ347" s="1021"/>
      <c r="BK347" s="1021"/>
      <c r="BL347" s="1021"/>
      <c r="BM347" s="1021"/>
      <c r="BN347" s="1021"/>
      <c r="BO347" s="1021"/>
      <c r="BP347" s="1021"/>
      <c r="BQ347" s="1021"/>
      <c r="BR347" s="1021"/>
      <c r="BS347" s="1021"/>
      <c r="BT347" s="1021"/>
      <c r="BU347" s="1021"/>
      <c r="BV347" s="1021"/>
      <c r="BW347" s="1021"/>
      <c r="BX347" s="1021"/>
      <c r="BY347" s="1021"/>
      <c r="BZ347" s="1021"/>
      <c r="CA347" s="1021"/>
      <c r="CB347" s="1021"/>
      <c r="CC347" s="1021"/>
    </row>
    <row r="348" spans="8:81" x14ac:dyDescent="0.25">
      <c r="H348" s="1021"/>
      <c r="I348" s="1021"/>
      <c r="J348" s="1021"/>
      <c r="K348" s="1021"/>
      <c r="L348" s="1021"/>
      <c r="M348" s="1021"/>
      <c r="N348" s="1021"/>
      <c r="O348" s="1021"/>
      <c r="P348" s="1021"/>
      <c r="Q348" s="1021"/>
      <c r="R348" s="1021"/>
      <c r="S348" s="1021"/>
      <c r="T348" s="1021"/>
      <c r="U348" s="1021"/>
      <c r="V348" s="1021"/>
      <c r="W348" s="1021"/>
      <c r="X348" s="1021"/>
      <c r="Y348" s="1021"/>
      <c r="Z348" s="1021"/>
      <c r="AA348" s="1021"/>
      <c r="AB348" s="1021"/>
      <c r="AC348" s="1021"/>
      <c r="AD348" s="1021"/>
      <c r="AE348" s="1021"/>
      <c r="AF348" s="1021"/>
      <c r="AG348" s="1021"/>
      <c r="AH348" s="1021"/>
      <c r="AI348" s="1021"/>
      <c r="AJ348" s="1021"/>
      <c r="AK348" s="1021"/>
      <c r="AL348" s="1021"/>
      <c r="AM348" s="1021"/>
      <c r="AN348" s="1021"/>
      <c r="AO348" s="1021"/>
      <c r="AP348" s="1021"/>
      <c r="AQ348" s="1021"/>
      <c r="AR348" s="1021"/>
      <c r="AS348" s="1021"/>
      <c r="AT348" s="1021"/>
      <c r="AU348" s="1021"/>
      <c r="AV348" s="1021"/>
      <c r="AW348" s="1021"/>
      <c r="AX348" s="1021"/>
      <c r="AY348" s="1021"/>
      <c r="AZ348" s="1021"/>
      <c r="BA348" s="1021"/>
      <c r="BB348" s="1021"/>
      <c r="BC348" s="1021"/>
      <c r="BD348" s="1021"/>
      <c r="BE348" s="1021"/>
      <c r="BF348" s="1021"/>
      <c r="BG348" s="1021"/>
      <c r="BH348" s="1021"/>
      <c r="BI348" s="1021"/>
      <c r="BJ348" s="1021"/>
      <c r="BK348" s="1021"/>
      <c r="BL348" s="1021"/>
      <c r="BM348" s="1021"/>
      <c r="BN348" s="1021"/>
      <c r="BO348" s="1021"/>
      <c r="BP348" s="1021"/>
      <c r="BQ348" s="1021"/>
      <c r="BR348" s="1021"/>
      <c r="BS348" s="1021"/>
      <c r="BT348" s="1021"/>
      <c r="BU348" s="1021"/>
      <c r="BV348" s="1021"/>
      <c r="BW348" s="1021"/>
      <c r="BX348" s="1021"/>
      <c r="BY348" s="1021"/>
      <c r="BZ348" s="1021"/>
      <c r="CA348" s="1021"/>
      <c r="CB348" s="1021"/>
      <c r="CC348" s="1021"/>
    </row>
    <row r="349" spans="8:81" x14ac:dyDescent="0.25">
      <c r="H349" s="1021"/>
      <c r="I349" s="1021"/>
      <c r="J349" s="1021"/>
      <c r="K349" s="1021"/>
      <c r="L349" s="1021"/>
      <c r="M349" s="1021"/>
      <c r="N349" s="1021"/>
      <c r="O349" s="1021"/>
      <c r="P349" s="1021"/>
      <c r="Q349" s="1021"/>
      <c r="R349" s="1021"/>
      <c r="S349" s="1021"/>
      <c r="T349" s="1021"/>
      <c r="U349" s="1021"/>
      <c r="V349" s="1021"/>
      <c r="W349" s="1021"/>
      <c r="X349" s="1021"/>
      <c r="Y349" s="1021"/>
      <c r="Z349" s="1021"/>
      <c r="AA349" s="1021"/>
      <c r="AB349" s="1021"/>
      <c r="AC349" s="1021"/>
      <c r="AD349" s="1021"/>
      <c r="AE349" s="1021"/>
      <c r="AF349" s="1021"/>
      <c r="AG349" s="1021"/>
      <c r="AH349" s="1021"/>
      <c r="AI349" s="1021"/>
      <c r="AJ349" s="1021"/>
      <c r="AK349" s="1021"/>
      <c r="AL349" s="1021"/>
      <c r="AM349" s="1021"/>
      <c r="AN349" s="1021"/>
      <c r="AO349" s="1021"/>
      <c r="AP349" s="1021"/>
      <c r="AQ349" s="1021"/>
      <c r="AR349" s="1021"/>
      <c r="AS349" s="1021"/>
      <c r="AT349" s="1021"/>
      <c r="AU349" s="1021"/>
      <c r="AV349" s="1021"/>
      <c r="AW349" s="1021"/>
      <c r="AX349" s="1021"/>
      <c r="AY349" s="1021"/>
      <c r="AZ349" s="1021"/>
      <c r="BA349" s="1021"/>
      <c r="BB349" s="1021"/>
      <c r="BC349" s="1021"/>
      <c r="BD349" s="1021"/>
      <c r="BE349" s="1021"/>
      <c r="BF349" s="1021"/>
      <c r="BG349" s="1021"/>
      <c r="BH349" s="1021"/>
      <c r="BI349" s="1021"/>
      <c r="BJ349" s="1021"/>
      <c r="BK349" s="1021"/>
      <c r="BL349" s="1021"/>
      <c r="BM349" s="1021"/>
      <c r="BN349" s="1021"/>
      <c r="BO349" s="1021"/>
      <c r="BP349" s="1021"/>
      <c r="BQ349" s="1021"/>
      <c r="BR349" s="1021"/>
      <c r="BS349" s="1021"/>
      <c r="BT349" s="1021"/>
      <c r="BU349" s="1021"/>
      <c r="BV349" s="1021"/>
      <c r="BW349" s="1021"/>
      <c r="BX349" s="1021"/>
      <c r="BY349" s="1021"/>
      <c r="BZ349" s="1021"/>
      <c r="CA349" s="1021"/>
      <c r="CB349" s="1021"/>
      <c r="CC349" s="1021"/>
    </row>
    <row r="350" spans="8:81" x14ac:dyDescent="0.25">
      <c r="H350" s="1021"/>
      <c r="I350" s="1021"/>
      <c r="J350" s="1021"/>
      <c r="K350" s="1021"/>
      <c r="L350" s="1021"/>
      <c r="M350" s="1021"/>
      <c r="N350" s="1021"/>
      <c r="O350" s="1021"/>
      <c r="P350" s="1021"/>
      <c r="Q350" s="1021"/>
      <c r="R350" s="1021"/>
      <c r="S350" s="1021"/>
      <c r="T350" s="1021"/>
      <c r="U350" s="1021"/>
      <c r="V350" s="1021"/>
      <c r="W350" s="1021"/>
      <c r="X350" s="1021"/>
      <c r="Y350" s="1021"/>
      <c r="Z350" s="1021"/>
      <c r="AA350" s="1021"/>
      <c r="AB350" s="1021"/>
      <c r="AC350" s="1021"/>
      <c r="AD350" s="1021"/>
      <c r="AE350" s="1021"/>
      <c r="AF350" s="1021"/>
      <c r="AG350" s="1021"/>
      <c r="AH350" s="1021"/>
      <c r="AI350" s="1021"/>
      <c r="AJ350" s="1021"/>
      <c r="AK350" s="1021"/>
      <c r="AL350" s="1021"/>
      <c r="AM350" s="1021"/>
      <c r="AN350" s="1021"/>
      <c r="AO350" s="1021"/>
      <c r="AP350" s="1021"/>
      <c r="AQ350" s="1021"/>
      <c r="AR350" s="1021"/>
      <c r="AS350" s="1021"/>
      <c r="AT350" s="1021"/>
      <c r="AU350" s="1021"/>
      <c r="AV350" s="1021"/>
      <c r="AW350" s="1021"/>
      <c r="AX350" s="1021"/>
      <c r="AY350" s="1021"/>
      <c r="AZ350" s="1021"/>
      <c r="BA350" s="1021"/>
      <c r="BB350" s="1021"/>
      <c r="BC350" s="1021"/>
      <c r="BD350" s="1021"/>
      <c r="BE350" s="1021"/>
      <c r="BF350" s="1021"/>
      <c r="BG350" s="1021"/>
      <c r="BH350" s="1021"/>
      <c r="BI350" s="1021"/>
      <c r="BJ350" s="1021"/>
      <c r="BK350" s="1021"/>
      <c r="BL350" s="1021"/>
      <c r="BM350" s="1021"/>
      <c r="BN350" s="1021"/>
      <c r="BO350" s="1021"/>
      <c r="BP350" s="1021"/>
      <c r="BQ350" s="1021"/>
      <c r="BR350" s="1021"/>
      <c r="BS350" s="1021"/>
      <c r="BT350" s="1021"/>
      <c r="BU350" s="1021"/>
      <c r="BV350" s="1021"/>
      <c r="BW350" s="1021"/>
      <c r="BX350" s="1021"/>
      <c r="BY350" s="1021"/>
      <c r="BZ350" s="1021"/>
      <c r="CA350" s="1021"/>
      <c r="CB350" s="1021"/>
      <c r="CC350" s="1021"/>
    </row>
    <row r="351" spans="8:81" x14ac:dyDescent="0.25">
      <c r="H351" s="1021"/>
      <c r="I351" s="1021"/>
      <c r="J351" s="1021"/>
      <c r="K351" s="1021"/>
      <c r="L351" s="1021"/>
      <c r="M351" s="1021"/>
      <c r="N351" s="1021"/>
      <c r="O351" s="1021"/>
      <c r="P351" s="1021"/>
      <c r="Q351" s="1021"/>
      <c r="R351" s="1021"/>
      <c r="S351" s="1021"/>
      <c r="T351" s="1021"/>
      <c r="U351" s="1021"/>
      <c r="V351" s="1021"/>
      <c r="W351" s="1021"/>
      <c r="X351" s="1021"/>
      <c r="Y351" s="1021"/>
      <c r="Z351" s="1021"/>
      <c r="AA351" s="1021"/>
      <c r="AB351" s="1021"/>
      <c r="AC351" s="1021"/>
      <c r="AD351" s="1021"/>
      <c r="AE351" s="1021"/>
      <c r="AF351" s="1021"/>
      <c r="AG351" s="1021"/>
      <c r="AH351" s="1021"/>
      <c r="AI351" s="1021"/>
      <c r="AJ351" s="1021"/>
      <c r="AK351" s="1021"/>
      <c r="AL351" s="1021"/>
      <c r="AM351" s="1021"/>
      <c r="AN351" s="1021"/>
      <c r="AO351" s="1021"/>
      <c r="AP351" s="1021"/>
      <c r="AQ351" s="1021"/>
      <c r="AR351" s="1021"/>
      <c r="AS351" s="1021"/>
      <c r="AT351" s="1021"/>
      <c r="AU351" s="1021"/>
      <c r="AV351" s="1021"/>
      <c r="AW351" s="1021"/>
      <c r="AX351" s="1021"/>
      <c r="AY351" s="1021"/>
      <c r="AZ351" s="1021"/>
      <c r="BA351" s="1021"/>
      <c r="BB351" s="1021"/>
      <c r="BC351" s="1021"/>
      <c r="BD351" s="1021"/>
      <c r="BE351" s="1021"/>
      <c r="BF351" s="1021"/>
      <c r="BG351" s="1021"/>
      <c r="BH351" s="1021"/>
      <c r="BI351" s="1021"/>
      <c r="BJ351" s="1021"/>
      <c r="BK351" s="1021"/>
      <c r="BL351" s="1021"/>
      <c r="BM351" s="1021"/>
      <c r="BN351" s="1021"/>
      <c r="BO351" s="1021"/>
      <c r="BP351" s="1021"/>
      <c r="BQ351" s="1021"/>
      <c r="BR351" s="1021"/>
      <c r="BS351" s="1021"/>
      <c r="BT351" s="1021"/>
      <c r="BU351" s="1021"/>
      <c r="BV351" s="1021"/>
      <c r="BW351" s="1021"/>
      <c r="BX351" s="1021"/>
      <c r="BY351" s="1021"/>
      <c r="BZ351" s="1021"/>
      <c r="CA351" s="1021"/>
      <c r="CB351" s="1021"/>
      <c r="CC351" s="1021"/>
    </row>
    <row r="352" spans="8:81" x14ac:dyDescent="0.25">
      <c r="H352" s="1021"/>
      <c r="I352" s="1021"/>
      <c r="J352" s="1021"/>
      <c r="K352" s="1021"/>
      <c r="L352" s="1021"/>
      <c r="M352" s="1021"/>
      <c r="N352" s="1021"/>
      <c r="O352" s="1021"/>
      <c r="P352" s="1021"/>
      <c r="Q352" s="1021"/>
      <c r="R352" s="1021"/>
      <c r="S352" s="1021"/>
      <c r="T352" s="1021"/>
      <c r="U352" s="1021"/>
      <c r="V352" s="1021"/>
      <c r="W352" s="1021"/>
      <c r="X352" s="1021"/>
      <c r="Y352" s="1021"/>
      <c r="Z352" s="1021"/>
      <c r="AA352" s="1021"/>
      <c r="AB352" s="1021"/>
      <c r="AC352" s="1021"/>
      <c r="AD352" s="1021"/>
      <c r="AE352" s="1021"/>
      <c r="AF352" s="1021"/>
      <c r="AG352" s="1021"/>
      <c r="AH352" s="1021"/>
      <c r="AI352" s="1021"/>
      <c r="AJ352" s="1021"/>
      <c r="AK352" s="1021"/>
      <c r="AL352" s="1021"/>
      <c r="AM352" s="1021"/>
      <c r="AN352" s="1021"/>
      <c r="AO352" s="1021"/>
      <c r="AP352" s="1021"/>
      <c r="AQ352" s="1021"/>
      <c r="AR352" s="1021"/>
      <c r="AS352" s="1021"/>
      <c r="AT352" s="1021"/>
      <c r="AU352" s="1021"/>
      <c r="AV352" s="1021"/>
      <c r="AW352" s="1021"/>
      <c r="AX352" s="1021"/>
      <c r="AY352" s="1021"/>
      <c r="AZ352" s="1021"/>
      <c r="BA352" s="1021"/>
      <c r="BB352" s="1021"/>
      <c r="BC352" s="1021"/>
      <c r="BD352" s="1021"/>
      <c r="BE352" s="1021"/>
      <c r="BF352" s="1021"/>
      <c r="BG352" s="1021"/>
      <c r="BH352" s="1021"/>
      <c r="BI352" s="1021"/>
      <c r="BJ352" s="1021"/>
      <c r="BK352" s="1021"/>
      <c r="BL352" s="1021"/>
      <c r="BM352" s="1021"/>
      <c r="BN352" s="1021"/>
      <c r="BO352" s="1021"/>
      <c r="BP352" s="1021"/>
      <c r="BQ352" s="1021"/>
      <c r="BR352" s="1021"/>
      <c r="BS352" s="1021"/>
      <c r="BT352" s="1021"/>
      <c r="BU352" s="1021"/>
      <c r="BV352" s="1021"/>
      <c r="BW352" s="1021"/>
      <c r="BX352" s="1021"/>
      <c r="BY352" s="1021"/>
      <c r="BZ352" s="1021"/>
      <c r="CA352" s="1021"/>
      <c r="CB352" s="1021"/>
      <c r="CC352" s="1021"/>
    </row>
    <row r="353" spans="8:81" x14ac:dyDescent="0.25">
      <c r="H353" s="1021"/>
      <c r="I353" s="1021"/>
      <c r="J353" s="1021"/>
      <c r="K353" s="1021"/>
      <c r="L353" s="1021"/>
      <c r="M353" s="1021"/>
      <c r="N353" s="1021"/>
      <c r="O353" s="1021"/>
      <c r="P353" s="1021"/>
      <c r="Q353" s="1021"/>
      <c r="R353" s="1021"/>
      <c r="S353" s="1021"/>
      <c r="T353" s="1021"/>
      <c r="U353" s="1021"/>
      <c r="V353" s="1021"/>
      <c r="W353" s="1021"/>
      <c r="X353" s="1021"/>
      <c r="Y353" s="1021"/>
      <c r="Z353" s="1021"/>
      <c r="AA353" s="1021"/>
      <c r="AB353" s="1021"/>
      <c r="AC353" s="1021"/>
      <c r="AD353" s="1021"/>
      <c r="AE353" s="1021"/>
      <c r="AF353" s="1021"/>
      <c r="AG353" s="1021"/>
      <c r="AH353" s="1021"/>
      <c r="AI353" s="1021"/>
      <c r="AJ353" s="1021"/>
      <c r="AK353" s="1021"/>
      <c r="AL353" s="1021"/>
      <c r="AM353" s="1021"/>
      <c r="AN353" s="1021"/>
      <c r="AO353" s="1021"/>
      <c r="AP353" s="1021"/>
      <c r="AQ353" s="1021"/>
      <c r="AR353" s="1021"/>
      <c r="AS353" s="1021"/>
      <c r="AT353" s="1021"/>
      <c r="AU353" s="1021"/>
      <c r="AV353" s="1021"/>
      <c r="AW353" s="1021"/>
      <c r="AX353" s="1021"/>
      <c r="AY353" s="1021"/>
      <c r="AZ353" s="1021"/>
      <c r="BA353" s="1021"/>
      <c r="BB353" s="1021"/>
      <c r="BC353" s="1021"/>
      <c r="BD353" s="1021"/>
      <c r="BE353" s="1021"/>
      <c r="BF353" s="1021"/>
      <c r="BG353" s="1021"/>
      <c r="BH353" s="1021"/>
      <c r="BI353" s="1021"/>
      <c r="BJ353" s="1021"/>
      <c r="BK353" s="1021"/>
      <c r="BL353" s="1021"/>
      <c r="BM353" s="1021"/>
      <c r="BN353" s="1021"/>
      <c r="BO353" s="1021"/>
      <c r="BP353" s="1021"/>
      <c r="BQ353" s="1021"/>
      <c r="BR353" s="1021"/>
      <c r="BS353" s="1021"/>
      <c r="BT353" s="1021"/>
      <c r="BU353" s="1021"/>
      <c r="BV353" s="1021"/>
      <c r="BW353" s="1021"/>
      <c r="BX353" s="1021"/>
      <c r="BY353" s="1021"/>
      <c r="BZ353" s="1021"/>
      <c r="CA353" s="1021"/>
      <c r="CB353" s="1021"/>
      <c r="CC353" s="1021"/>
    </row>
    <row r="354" spans="8:81" x14ac:dyDescent="0.25">
      <c r="H354" s="1021"/>
      <c r="I354" s="1021"/>
      <c r="J354" s="1021"/>
      <c r="K354" s="1021"/>
      <c r="L354" s="1021"/>
      <c r="M354" s="1021"/>
      <c r="N354" s="1021"/>
      <c r="O354" s="1021"/>
      <c r="P354" s="1021"/>
      <c r="Q354" s="1021"/>
      <c r="R354" s="1021"/>
      <c r="S354" s="1021"/>
      <c r="T354" s="1021"/>
      <c r="U354" s="1021"/>
      <c r="V354" s="1021"/>
      <c r="W354" s="1021"/>
      <c r="X354" s="1021"/>
      <c r="Y354" s="1021"/>
      <c r="Z354" s="1021"/>
      <c r="AA354" s="1021"/>
      <c r="AB354" s="1021"/>
      <c r="AC354" s="1021"/>
      <c r="AD354" s="1021"/>
      <c r="AE354" s="1021"/>
      <c r="AF354" s="1021"/>
      <c r="AG354" s="1021"/>
      <c r="AH354" s="1021"/>
      <c r="AI354" s="1021"/>
      <c r="AJ354" s="1021"/>
      <c r="AK354" s="1021"/>
      <c r="AL354" s="1021"/>
      <c r="AM354" s="1021"/>
      <c r="AN354" s="1021"/>
      <c r="AO354" s="1021"/>
      <c r="AP354" s="1021"/>
      <c r="AQ354" s="1021"/>
      <c r="AR354" s="1021"/>
      <c r="AS354" s="1021"/>
      <c r="AT354" s="1021"/>
      <c r="AU354" s="1021"/>
      <c r="AV354" s="1021"/>
      <c r="AW354" s="1021"/>
      <c r="AX354" s="1021"/>
      <c r="AY354" s="1021"/>
      <c r="AZ354" s="1021"/>
      <c r="BA354" s="1021"/>
      <c r="BB354" s="1021"/>
      <c r="BC354" s="1021"/>
      <c r="BD354" s="1021"/>
      <c r="BE354" s="1021"/>
      <c r="BF354" s="1021"/>
      <c r="BG354" s="1021"/>
      <c r="BH354" s="1021"/>
      <c r="BI354" s="1021"/>
      <c r="BJ354" s="1021"/>
      <c r="BK354" s="1021"/>
      <c r="BL354" s="1021"/>
      <c r="BM354" s="1021"/>
      <c r="BN354" s="1021"/>
      <c r="BO354" s="1021"/>
      <c r="BP354" s="1021"/>
      <c r="BQ354" s="1021"/>
      <c r="BR354" s="1021"/>
      <c r="BS354" s="1021"/>
      <c r="BT354" s="1021"/>
      <c r="BU354" s="1021"/>
      <c r="BV354" s="1021"/>
      <c r="BW354" s="1021"/>
      <c r="BX354" s="1021"/>
      <c r="BY354" s="1021"/>
      <c r="BZ354" s="1021"/>
      <c r="CA354" s="1021"/>
      <c r="CB354" s="1021"/>
      <c r="CC354" s="1021"/>
    </row>
    <row r="355" spans="8:81" x14ac:dyDescent="0.25">
      <c r="H355" s="1021"/>
      <c r="I355" s="1021"/>
      <c r="J355" s="1021"/>
      <c r="K355" s="1021"/>
      <c r="L355" s="1021"/>
      <c r="M355" s="1021"/>
      <c r="N355" s="1021"/>
      <c r="O355" s="1021"/>
      <c r="P355" s="1021"/>
      <c r="Q355" s="1021"/>
      <c r="R355" s="1021"/>
      <c r="S355" s="1021"/>
      <c r="T355" s="1021"/>
      <c r="U355" s="1021"/>
      <c r="V355" s="1021"/>
      <c r="W355" s="1021"/>
      <c r="X355" s="1021"/>
      <c r="Y355" s="1021"/>
      <c r="Z355" s="1021"/>
      <c r="AA355" s="1021"/>
      <c r="AB355" s="1021"/>
      <c r="AC355" s="1021"/>
      <c r="AD355" s="1021"/>
      <c r="AE355" s="1021"/>
      <c r="AF355" s="1021"/>
      <c r="AG355" s="1021"/>
      <c r="AH355" s="1021"/>
      <c r="AI355" s="1021"/>
      <c r="AJ355" s="1021"/>
      <c r="AK355" s="1021"/>
      <c r="AL355" s="1021"/>
      <c r="AM355" s="1021"/>
      <c r="AN355" s="1021"/>
      <c r="AO355" s="1021"/>
      <c r="AP355" s="1021"/>
      <c r="AQ355" s="1021"/>
      <c r="AR355" s="1021"/>
      <c r="AS355" s="1021"/>
      <c r="AT355" s="1021"/>
      <c r="AU355" s="1021"/>
      <c r="AV355" s="1021"/>
      <c r="AW355" s="1021"/>
      <c r="AX355" s="1021"/>
      <c r="AY355" s="1021"/>
      <c r="AZ355" s="1021"/>
      <c r="BA355" s="1021"/>
      <c r="BB355" s="1021"/>
      <c r="BC355" s="1021"/>
      <c r="BD355" s="1021"/>
      <c r="BE355" s="1021"/>
      <c r="BF355" s="1021"/>
      <c r="BG355" s="1021"/>
      <c r="BH355" s="1021"/>
      <c r="BI355" s="1021"/>
      <c r="BJ355" s="1021"/>
      <c r="BK355" s="1021"/>
      <c r="BL355" s="1021"/>
      <c r="BM355" s="1021"/>
      <c r="BN355" s="1021"/>
      <c r="BO355" s="1021"/>
      <c r="BP355" s="1021"/>
      <c r="BQ355" s="1021"/>
      <c r="BR355" s="1021"/>
      <c r="BS355" s="1021"/>
      <c r="BT355" s="1021"/>
      <c r="BU355" s="1021"/>
      <c r="BV355" s="1021"/>
      <c r="BW355" s="1021"/>
      <c r="BX355" s="1021"/>
      <c r="BY355" s="1021"/>
      <c r="BZ355" s="1021"/>
      <c r="CA355" s="1021"/>
      <c r="CB355" s="1021"/>
      <c r="CC355" s="1021"/>
    </row>
    <row r="356" spans="8:81" x14ac:dyDescent="0.25">
      <c r="H356" s="1021"/>
      <c r="I356" s="1021"/>
      <c r="J356" s="1021"/>
      <c r="K356" s="1021"/>
      <c r="L356" s="1021"/>
      <c r="M356" s="1021"/>
      <c r="N356" s="1021"/>
      <c r="O356" s="1021"/>
      <c r="P356" s="1021"/>
      <c r="Q356" s="1021"/>
      <c r="R356" s="1021"/>
      <c r="S356" s="1021"/>
      <c r="T356" s="1021"/>
      <c r="U356" s="1021"/>
      <c r="V356" s="1021"/>
      <c r="W356" s="1021"/>
      <c r="X356" s="1021"/>
      <c r="Y356" s="1021"/>
      <c r="Z356" s="1021"/>
      <c r="AA356" s="1021"/>
      <c r="AB356" s="1021"/>
      <c r="AC356" s="1021"/>
      <c r="AD356" s="1021"/>
      <c r="AE356" s="1021"/>
      <c r="AF356" s="1021"/>
      <c r="AG356" s="1021"/>
      <c r="AH356" s="1021"/>
      <c r="AI356" s="1021"/>
      <c r="AJ356" s="1021"/>
      <c r="AK356" s="1021"/>
      <c r="AL356" s="1021"/>
      <c r="AM356" s="1021"/>
      <c r="AN356" s="1021"/>
      <c r="AO356" s="1021"/>
      <c r="AP356" s="1021"/>
      <c r="AQ356" s="1021"/>
      <c r="AR356" s="1021"/>
      <c r="AS356" s="1021"/>
      <c r="AT356" s="1021"/>
      <c r="AU356" s="1021"/>
      <c r="AV356" s="1021"/>
      <c r="AW356" s="1021"/>
      <c r="AX356" s="1021"/>
      <c r="AY356" s="1021"/>
      <c r="AZ356" s="1021"/>
      <c r="BA356" s="1021"/>
      <c r="BB356" s="1021"/>
      <c r="BC356" s="1021"/>
      <c r="BD356" s="1021"/>
      <c r="BE356" s="1021"/>
      <c r="BF356" s="1021"/>
      <c r="BG356" s="1021"/>
      <c r="BH356" s="1021"/>
      <c r="BI356" s="1021"/>
      <c r="BJ356" s="1021"/>
      <c r="BK356" s="1021"/>
      <c r="BL356" s="1021"/>
      <c r="BM356" s="1021"/>
      <c r="BN356" s="1021"/>
      <c r="BO356" s="1021"/>
      <c r="BP356" s="1021"/>
      <c r="BQ356" s="1021"/>
      <c r="BR356" s="1021"/>
      <c r="BS356" s="1021"/>
      <c r="BT356" s="1021"/>
      <c r="BU356" s="1021"/>
      <c r="BV356" s="1021"/>
      <c r="BW356" s="1021"/>
      <c r="BX356" s="1021"/>
      <c r="BY356" s="1021"/>
      <c r="BZ356" s="1021"/>
      <c r="CA356" s="1021"/>
      <c r="CB356" s="1021"/>
      <c r="CC356" s="1021"/>
    </row>
    <row r="357" spans="8:81" x14ac:dyDescent="0.25">
      <c r="H357" s="1021"/>
      <c r="I357" s="1021"/>
      <c r="J357" s="1021"/>
      <c r="K357" s="1021"/>
      <c r="L357" s="1021"/>
      <c r="M357" s="1021"/>
      <c r="N357" s="1021"/>
      <c r="O357" s="1021"/>
      <c r="P357" s="1021"/>
      <c r="Q357" s="1021"/>
      <c r="R357" s="1021"/>
      <c r="S357" s="1021"/>
      <c r="T357" s="1021"/>
      <c r="U357" s="1021"/>
      <c r="V357" s="1021"/>
      <c r="W357" s="1021"/>
      <c r="X357" s="1021"/>
      <c r="Y357" s="1021"/>
      <c r="Z357" s="1021"/>
      <c r="AA357" s="1021"/>
      <c r="AB357" s="1021"/>
      <c r="AC357" s="1021"/>
      <c r="AD357" s="1021"/>
      <c r="AE357" s="1021"/>
      <c r="AF357" s="1021"/>
      <c r="AG357" s="1021"/>
      <c r="AH357" s="1021"/>
      <c r="AI357" s="1021"/>
      <c r="AJ357" s="1021"/>
      <c r="AK357" s="1021"/>
      <c r="AL357" s="1021"/>
      <c r="AM357" s="1021"/>
      <c r="AN357" s="1021"/>
      <c r="AO357" s="1021"/>
      <c r="AP357" s="1021"/>
      <c r="AQ357" s="1021"/>
      <c r="AR357" s="1021"/>
      <c r="AS357" s="1021"/>
      <c r="AT357" s="1021"/>
      <c r="AU357" s="1021"/>
      <c r="AV357" s="1021"/>
      <c r="AW357" s="1021"/>
      <c r="AX357" s="1021"/>
      <c r="AY357" s="1021"/>
      <c r="AZ357" s="1021"/>
      <c r="BA357" s="1021"/>
      <c r="BB357" s="1021"/>
      <c r="BC357" s="1021"/>
      <c r="BD357" s="1021"/>
      <c r="BE357" s="1021"/>
      <c r="BF357" s="1021"/>
      <c r="BG357" s="1021"/>
      <c r="BH357" s="1021"/>
      <c r="BI357" s="1021"/>
      <c r="BJ357" s="1021"/>
      <c r="BK357" s="1021"/>
      <c r="BL357" s="1021"/>
      <c r="BM357" s="1021"/>
      <c r="BN357" s="1021"/>
      <c r="BO357" s="1021"/>
      <c r="BP357" s="1021"/>
      <c r="BQ357" s="1021"/>
      <c r="BR357" s="1021"/>
      <c r="BS357" s="1021"/>
      <c r="BT357" s="1021"/>
      <c r="BU357" s="1021"/>
      <c r="BV357" s="1021"/>
      <c r="BW357" s="1021"/>
      <c r="BX357" s="1021"/>
      <c r="BY357" s="1021"/>
      <c r="BZ357" s="1021"/>
      <c r="CA357" s="1021"/>
      <c r="CB357" s="1021"/>
      <c r="CC357" s="1021"/>
    </row>
    <row r="358" spans="8:81" x14ac:dyDescent="0.25">
      <c r="H358" s="1021"/>
      <c r="I358" s="1021"/>
      <c r="J358" s="1021"/>
      <c r="K358" s="1021"/>
      <c r="L358" s="1021"/>
      <c r="M358" s="1021"/>
      <c r="N358" s="1021"/>
      <c r="O358" s="1021"/>
      <c r="P358" s="1021"/>
      <c r="Q358" s="1021"/>
      <c r="R358" s="1021"/>
      <c r="S358" s="1021"/>
      <c r="T358" s="1021"/>
      <c r="U358" s="1021"/>
      <c r="V358" s="1021"/>
      <c r="W358" s="1021"/>
      <c r="X358" s="1021"/>
      <c r="Y358" s="1021"/>
      <c r="Z358" s="1021"/>
      <c r="AA358" s="1021"/>
      <c r="AB358" s="1021"/>
      <c r="AC358" s="1021"/>
      <c r="AD358" s="1021"/>
      <c r="AE358" s="1021"/>
      <c r="AF358" s="1021"/>
      <c r="AG358" s="1021"/>
      <c r="AH358" s="1021"/>
      <c r="AI358" s="1021"/>
      <c r="AJ358" s="1021"/>
      <c r="AK358" s="1021"/>
      <c r="AL358" s="1021"/>
      <c r="AM358" s="1021"/>
      <c r="AN358" s="1021"/>
      <c r="AO358" s="1021"/>
      <c r="AP358" s="1021"/>
      <c r="AQ358" s="1021"/>
      <c r="AR358" s="1021"/>
      <c r="AS358" s="1021"/>
      <c r="AT358" s="1021"/>
      <c r="AU358" s="1021"/>
      <c r="AV358" s="1021"/>
      <c r="AW358" s="1021"/>
      <c r="AX358" s="1021"/>
      <c r="AY358" s="1021"/>
      <c r="AZ358" s="1021"/>
      <c r="BA358" s="1021"/>
      <c r="BB358" s="1021"/>
      <c r="BC358" s="1021"/>
      <c r="BD358" s="1021"/>
      <c r="BE358" s="1021"/>
      <c r="BF358" s="1021"/>
      <c r="BG358" s="1021"/>
      <c r="BH358" s="1021"/>
      <c r="BI358" s="1021"/>
      <c r="BJ358" s="1021"/>
      <c r="BK358" s="1021"/>
      <c r="BL358" s="1021"/>
      <c r="BM358" s="1021"/>
      <c r="BN358" s="1021"/>
      <c r="BO358" s="1021"/>
      <c r="BP358" s="1021"/>
      <c r="BQ358" s="1021"/>
      <c r="BR358" s="1021"/>
      <c r="BS358" s="1021"/>
      <c r="BT358" s="1021"/>
      <c r="BU358" s="1021"/>
      <c r="BV358" s="1021"/>
      <c r="BW358" s="1021"/>
      <c r="BX358" s="1021"/>
      <c r="BY358" s="1021"/>
      <c r="BZ358" s="1021"/>
      <c r="CA358" s="1021"/>
      <c r="CB358" s="1021"/>
      <c r="CC358" s="1021"/>
    </row>
    <row r="359" spans="8:81" x14ac:dyDescent="0.25">
      <c r="H359" s="1021"/>
      <c r="I359" s="1021"/>
      <c r="J359" s="1021"/>
      <c r="K359" s="1021"/>
      <c r="L359" s="1021"/>
      <c r="M359" s="1021"/>
      <c r="N359" s="1021"/>
      <c r="O359" s="1021"/>
      <c r="P359" s="1021"/>
      <c r="Q359" s="1021"/>
      <c r="R359" s="1021"/>
      <c r="S359" s="1021"/>
      <c r="T359" s="1021"/>
      <c r="U359" s="1021"/>
      <c r="V359" s="1021"/>
      <c r="W359" s="1021"/>
      <c r="X359" s="1021"/>
      <c r="Y359" s="1021"/>
      <c r="Z359" s="1021"/>
      <c r="AA359" s="1021"/>
      <c r="AB359" s="1021"/>
      <c r="AC359" s="1021"/>
      <c r="AD359" s="1021"/>
      <c r="AE359" s="1021"/>
      <c r="AF359" s="1021"/>
      <c r="AG359" s="1021"/>
      <c r="AH359" s="1021"/>
      <c r="AI359" s="1021"/>
      <c r="AJ359" s="1021"/>
      <c r="AK359" s="1021"/>
      <c r="AL359" s="1021"/>
      <c r="AM359" s="1021"/>
      <c r="AN359" s="1021"/>
      <c r="AO359" s="1021"/>
      <c r="AP359" s="1021"/>
      <c r="AQ359" s="1021"/>
      <c r="AR359" s="1021"/>
      <c r="AS359" s="1021"/>
      <c r="AT359" s="1021"/>
      <c r="AU359" s="1021"/>
      <c r="AV359" s="1021"/>
      <c r="AW359" s="1021"/>
      <c r="AX359" s="1021"/>
      <c r="AY359" s="1021"/>
      <c r="AZ359" s="1021"/>
      <c r="BA359" s="1021"/>
      <c r="BB359" s="1021"/>
      <c r="BC359" s="1021"/>
      <c r="BD359" s="1021"/>
      <c r="BE359" s="1021"/>
      <c r="BF359" s="1021"/>
      <c r="BG359" s="1021"/>
      <c r="BH359" s="1021"/>
      <c r="BI359" s="1021"/>
      <c r="BJ359" s="1021"/>
      <c r="BK359" s="1021"/>
      <c r="BL359" s="1021"/>
      <c r="BM359" s="1021"/>
      <c r="BN359" s="1021"/>
      <c r="BO359" s="1021"/>
      <c r="BP359" s="1021"/>
      <c r="BQ359" s="1021"/>
      <c r="BR359" s="1021"/>
      <c r="BS359" s="1021"/>
      <c r="BT359" s="1021"/>
      <c r="BU359" s="1021"/>
      <c r="BV359" s="1021"/>
      <c r="BW359" s="1021"/>
      <c r="BX359" s="1021"/>
      <c r="BY359" s="1021"/>
      <c r="BZ359" s="1021"/>
      <c r="CA359" s="1021"/>
      <c r="CB359" s="1021"/>
      <c r="CC359" s="1021"/>
    </row>
    <row r="360" spans="8:81" x14ac:dyDescent="0.25">
      <c r="H360" s="1021"/>
      <c r="I360" s="1021"/>
      <c r="J360" s="1021"/>
      <c r="K360" s="1021"/>
      <c r="L360" s="1021"/>
      <c r="M360" s="1021"/>
      <c r="N360" s="1021"/>
      <c r="O360" s="1021"/>
      <c r="P360" s="1021"/>
      <c r="Q360" s="1021"/>
      <c r="R360" s="1021"/>
      <c r="S360" s="1021"/>
      <c r="T360" s="1021"/>
      <c r="U360" s="1021"/>
      <c r="V360" s="1021"/>
      <c r="W360" s="1021"/>
      <c r="X360" s="1021"/>
      <c r="Y360" s="1021"/>
      <c r="Z360" s="1021"/>
      <c r="AA360" s="1021"/>
      <c r="AB360" s="1021"/>
      <c r="AC360" s="1021"/>
      <c r="AD360" s="1021"/>
      <c r="AE360" s="1021"/>
      <c r="AF360" s="1021"/>
      <c r="AG360" s="1021"/>
      <c r="AH360" s="1021"/>
      <c r="AI360" s="1021"/>
      <c r="AJ360" s="1021"/>
      <c r="AK360" s="1021"/>
      <c r="AL360" s="1021"/>
      <c r="AM360" s="1021"/>
      <c r="AN360" s="1021"/>
      <c r="AO360" s="1021"/>
      <c r="AP360" s="1021"/>
      <c r="AQ360" s="1021"/>
      <c r="AR360" s="1021"/>
      <c r="AS360" s="1021"/>
      <c r="AT360" s="1021"/>
      <c r="AU360" s="1021"/>
      <c r="AV360" s="1021"/>
      <c r="AW360" s="1021"/>
      <c r="AX360" s="1021"/>
      <c r="AY360" s="1021"/>
      <c r="AZ360" s="1021"/>
      <c r="BA360" s="1021"/>
      <c r="BB360" s="1021"/>
      <c r="BC360" s="1021"/>
      <c r="BD360" s="1021"/>
      <c r="BE360" s="1021"/>
      <c r="BF360" s="1021"/>
      <c r="BG360" s="1021"/>
      <c r="BH360" s="1021"/>
      <c r="BI360" s="1021"/>
      <c r="BJ360" s="1021"/>
      <c r="BK360" s="1021"/>
      <c r="BL360" s="1021"/>
      <c r="BM360" s="1021"/>
      <c r="BN360" s="1021"/>
      <c r="BO360" s="1021"/>
      <c r="BP360" s="1021"/>
      <c r="BQ360" s="1021"/>
      <c r="BR360" s="1021"/>
      <c r="BS360" s="1021"/>
      <c r="BT360" s="1021"/>
      <c r="BU360" s="1021"/>
      <c r="BV360" s="1021"/>
      <c r="BW360" s="1021"/>
      <c r="BX360" s="1021"/>
      <c r="BY360" s="1021"/>
      <c r="BZ360" s="1021"/>
      <c r="CA360" s="1021"/>
      <c r="CB360" s="1021"/>
      <c r="CC360" s="1021"/>
    </row>
    <row r="361" spans="8:81" x14ac:dyDescent="0.25">
      <c r="H361" s="1021"/>
      <c r="I361" s="1021"/>
      <c r="J361" s="1021"/>
      <c r="K361" s="1021"/>
      <c r="L361" s="1021"/>
      <c r="M361" s="1021"/>
      <c r="N361" s="1021"/>
      <c r="O361" s="1021"/>
      <c r="P361" s="1021"/>
      <c r="Q361" s="1021"/>
      <c r="R361" s="1021"/>
      <c r="S361" s="1021"/>
      <c r="T361" s="1021"/>
      <c r="U361" s="1021"/>
      <c r="V361" s="1021"/>
      <c r="W361" s="1021"/>
      <c r="X361" s="1021"/>
      <c r="Y361" s="1021"/>
      <c r="Z361" s="1021"/>
      <c r="AA361" s="1021"/>
      <c r="AB361" s="1021"/>
      <c r="AC361" s="1021"/>
      <c r="AD361" s="1021"/>
      <c r="AE361" s="1021"/>
      <c r="AF361" s="1021"/>
      <c r="AG361" s="1021"/>
      <c r="AH361" s="1021"/>
      <c r="AI361" s="1021"/>
      <c r="AJ361" s="1021"/>
      <c r="AK361" s="1021"/>
      <c r="AL361" s="1021"/>
      <c r="AM361" s="1021"/>
      <c r="AN361" s="1021"/>
      <c r="AO361" s="1021"/>
      <c r="AP361" s="1021"/>
      <c r="AQ361" s="1021"/>
      <c r="AR361" s="1021"/>
      <c r="AS361" s="1021"/>
      <c r="AT361" s="1021"/>
      <c r="AU361" s="1021"/>
      <c r="AV361" s="1021"/>
      <c r="AW361" s="1021"/>
      <c r="AX361" s="1021"/>
      <c r="AY361" s="1021"/>
      <c r="AZ361" s="1021"/>
      <c r="BA361" s="1021"/>
      <c r="BB361" s="1021"/>
      <c r="BC361" s="1021"/>
      <c r="BD361" s="1021"/>
      <c r="BE361" s="1021"/>
      <c r="BF361" s="1021"/>
      <c r="BG361" s="1021"/>
      <c r="BH361" s="1021"/>
      <c r="BI361" s="1021"/>
      <c r="BJ361" s="1021"/>
      <c r="BK361" s="1021"/>
      <c r="BL361" s="1021"/>
      <c r="BM361" s="1021"/>
      <c r="BN361" s="1021"/>
      <c r="BO361" s="1021"/>
      <c r="BP361" s="1021"/>
      <c r="BQ361" s="1021"/>
      <c r="BR361" s="1021"/>
      <c r="BS361" s="1021"/>
      <c r="BT361" s="1021"/>
      <c r="BU361" s="1021"/>
      <c r="BV361" s="1021"/>
      <c r="BW361" s="1021"/>
      <c r="BX361" s="1021"/>
      <c r="BY361" s="1021"/>
      <c r="BZ361" s="1021"/>
      <c r="CA361" s="1021"/>
      <c r="CB361" s="1021"/>
      <c r="CC361" s="1021"/>
    </row>
    <row r="362" spans="8:81" x14ac:dyDescent="0.25">
      <c r="H362" s="1021"/>
      <c r="I362" s="1021"/>
      <c r="J362" s="1021"/>
      <c r="K362" s="1021"/>
      <c r="L362" s="1021"/>
      <c r="M362" s="1021"/>
      <c r="N362" s="1021"/>
      <c r="O362" s="1021"/>
      <c r="P362" s="1021"/>
      <c r="Q362" s="1021"/>
      <c r="R362" s="1021"/>
      <c r="S362" s="1021"/>
      <c r="T362" s="1021"/>
      <c r="U362" s="1021"/>
      <c r="V362" s="1021"/>
      <c r="W362" s="1021"/>
      <c r="X362" s="1021"/>
      <c r="Y362" s="1021"/>
      <c r="Z362" s="1021"/>
      <c r="AA362" s="1021"/>
      <c r="AB362" s="1021"/>
      <c r="AC362" s="1021"/>
      <c r="AD362" s="1021"/>
      <c r="AE362" s="1021"/>
      <c r="AF362" s="1021"/>
      <c r="AG362" s="1021"/>
      <c r="AH362" s="1021"/>
      <c r="AI362" s="1021"/>
      <c r="AJ362" s="1021"/>
      <c r="AK362" s="1021"/>
      <c r="AL362" s="1021"/>
      <c r="AM362" s="1021"/>
      <c r="AN362" s="1021"/>
      <c r="AO362" s="1021"/>
      <c r="AP362" s="1021"/>
      <c r="AQ362" s="1021"/>
      <c r="AR362" s="1021"/>
      <c r="AS362" s="1021"/>
      <c r="AT362" s="1021"/>
      <c r="AU362" s="1021"/>
      <c r="AV362" s="1021"/>
      <c r="AW362" s="1021"/>
      <c r="AX362" s="1021"/>
      <c r="AY362" s="1021"/>
      <c r="AZ362" s="1021"/>
      <c r="BA362" s="1021"/>
      <c r="BB362" s="1021"/>
      <c r="BC362" s="1021"/>
      <c r="BD362" s="1021"/>
      <c r="BE362" s="1021"/>
      <c r="BF362" s="1021"/>
      <c r="BG362" s="1021"/>
      <c r="BH362" s="1021"/>
      <c r="BI362" s="1021"/>
      <c r="BJ362" s="1021"/>
      <c r="BK362" s="1021"/>
      <c r="BL362" s="1021"/>
      <c r="BM362" s="1021"/>
      <c r="BN362" s="1021"/>
      <c r="BO362" s="1021"/>
      <c r="BP362" s="1021"/>
      <c r="BQ362" s="1021"/>
      <c r="BR362" s="1021"/>
      <c r="BS362" s="1021"/>
      <c r="BT362" s="1021"/>
      <c r="BU362" s="1021"/>
      <c r="BV362" s="1021"/>
      <c r="BW362" s="1021"/>
      <c r="BX362" s="1021"/>
      <c r="BY362" s="1021"/>
      <c r="BZ362" s="1021"/>
      <c r="CA362" s="1021"/>
      <c r="CB362" s="1021"/>
      <c r="CC362" s="1021"/>
    </row>
    <row r="363" spans="8:81" x14ac:dyDescent="0.25">
      <c r="H363" s="1021"/>
      <c r="I363" s="1021"/>
      <c r="J363" s="1021"/>
      <c r="K363" s="1021"/>
      <c r="L363" s="1021"/>
      <c r="M363" s="1021"/>
      <c r="N363" s="1021"/>
      <c r="O363" s="1021"/>
      <c r="P363" s="1021"/>
      <c r="Q363" s="1021"/>
      <c r="R363" s="1021"/>
      <c r="S363" s="1021"/>
      <c r="T363" s="1021"/>
      <c r="U363" s="1021"/>
      <c r="V363" s="1021"/>
      <c r="W363" s="1021"/>
      <c r="X363" s="1021"/>
      <c r="Y363" s="1021"/>
      <c r="Z363" s="1021"/>
      <c r="AA363" s="1021"/>
      <c r="AB363" s="1021"/>
      <c r="AC363" s="1021"/>
      <c r="AD363" s="1021"/>
      <c r="AE363" s="1021"/>
      <c r="AF363" s="1021"/>
      <c r="AG363" s="1021"/>
      <c r="AH363" s="1021"/>
      <c r="AI363" s="1021"/>
      <c r="AJ363" s="1021"/>
      <c r="AK363" s="1021"/>
      <c r="AL363" s="1021"/>
      <c r="AM363" s="1021"/>
      <c r="AN363" s="1021"/>
      <c r="AO363" s="1021"/>
      <c r="AP363" s="1021"/>
      <c r="AQ363" s="1021"/>
      <c r="AR363" s="1021"/>
      <c r="AS363" s="1021"/>
      <c r="AT363" s="1021"/>
      <c r="AU363" s="1021"/>
      <c r="AV363" s="1021"/>
      <c r="AW363" s="1021"/>
      <c r="AX363" s="1021"/>
      <c r="AY363" s="1021"/>
      <c r="AZ363" s="1021"/>
      <c r="BA363" s="1021"/>
      <c r="BB363" s="1021"/>
      <c r="BC363" s="1021"/>
      <c r="BD363" s="1021"/>
      <c r="BE363" s="1021"/>
      <c r="BF363" s="1021"/>
      <c r="BG363" s="1021"/>
      <c r="BH363" s="1021"/>
      <c r="BI363" s="1021"/>
      <c r="BJ363" s="1021"/>
      <c r="BK363" s="1021"/>
      <c r="BL363" s="1021"/>
      <c r="BM363" s="1021"/>
      <c r="BN363" s="1021"/>
      <c r="BO363" s="1021"/>
      <c r="BP363" s="1021"/>
      <c r="BQ363" s="1021"/>
      <c r="BR363" s="1021"/>
      <c r="BS363" s="1021"/>
      <c r="BT363" s="1021"/>
      <c r="BU363" s="1021"/>
      <c r="BV363" s="1021"/>
      <c r="BW363" s="1021"/>
      <c r="BX363" s="1021"/>
      <c r="BY363" s="1021"/>
      <c r="BZ363" s="1021"/>
      <c r="CA363" s="1021"/>
      <c r="CB363" s="1021"/>
      <c r="CC363" s="1021"/>
    </row>
    <row r="364" spans="8:81" x14ac:dyDescent="0.25">
      <c r="H364" s="1021"/>
      <c r="I364" s="1021"/>
      <c r="J364" s="1021"/>
      <c r="K364" s="1021"/>
      <c r="L364" s="1021"/>
      <c r="M364" s="1021"/>
      <c r="N364" s="1021"/>
      <c r="O364" s="1021"/>
      <c r="P364" s="1021"/>
      <c r="Q364" s="1021"/>
      <c r="R364" s="1021"/>
      <c r="S364" s="1021"/>
      <c r="T364" s="1021"/>
      <c r="U364" s="1021"/>
      <c r="V364" s="1021"/>
      <c r="W364" s="1021"/>
      <c r="X364" s="1021"/>
      <c r="Y364" s="1021"/>
      <c r="Z364" s="1021"/>
      <c r="AA364" s="1021"/>
      <c r="AB364" s="1021"/>
      <c r="AC364" s="1021"/>
      <c r="AD364" s="1021"/>
      <c r="AE364" s="1021"/>
      <c r="AF364" s="1021"/>
      <c r="AG364" s="1021"/>
      <c r="AH364" s="1021"/>
      <c r="AI364" s="1021"/>
      <c r="AJ364" s="1021"/>
      <c r="AK364" s="1021"/>
      <c r="AL364" s="1021"/>
      <c r="AM364" s="1021"/>
      <c r="AN364" s="1021"/>
      <c r="AO364" s="1021"/>
      <c r="AP364" s="1021"/>
      <c r="AQ364" s="1021"/>
      <c r="AR364" s="1021"/>
      <c r="AS364" s="1021"/>
      <c r="AT364" s="1021"/>
      <c r="AU364" s="1021"/>
      <c r="AV364" s="1021"/>
      <c r="AW364" s="1021"/>
      <c r="AX364" s="1021"/>
      <c r="AY364" s="1021"/>
      <c r="AZ364" s="1021"/>
      <c r="BA364" s="1021"/>
      <c r="BB364" s="1021"/>
      <c r="BC364" s="1021"/>
      <c r="BD364" s="1021"/>
      <c r="BE364" s="1021"/>
      <c r="BF364" s="1021"/>
      <c r="BG364" s="1021"/>
      <c r="BH364" s="1021"/>
      <c r="BI364" s="1021"/>
      <c r="BJ364" s="1021"/>
      <c r="BK364" s="1021"/>
      <c r="BL364" s="1021"/>
      <c r="BM364" s="1021"/>
      <c r="BN364" s="1021"/>
      <c r="BO364" s="1021"/>
      <c r="BP364" s="1021"/>
      <c r="BQ364" s="1021"/>
      <c r="BR364" s="1021"/>
      <c r="BS364" s="1021"/>
      <c r="BT364" s="1021"/>
      <c r="BU364" s="1021"/>
      <c r="BV364" s="1021"/>
      <c r="BW364" s="1021"/>
      <c r="BX364" s="1021"/>
      <c r="BY364" s="1021"/>
      <c r="BZ364" s="1021"/>
      <c r="CA364" s="1021"/>
      <c r="CB364" s="1021"/>
      <c r="CC364" s="1021"/>
    </row>
    <row r="365" spans="8:81" x14ac:dyDescent="0.25">
      <c r="H365" s="1021"/>
      <c r="I365" s="1021"/>
      <c r="J365" s="1021"/>
      <c r="K365" s="1021"/>
      <c r="L365" s="1021"/>
      <c r="M365" s="1021"/>
      <c r="N365" s="1021"/>
      <c r="O365" s="1021"/>
      <c r="P365" s="1021"/>
      <c r="Q365" s="1021"/>
      <c r="R365" s="1021"/>
      <c r="S365" s="1021"/>
      <c r="T365" s="1021"/>
      <c r="U365" s="1021"/>
      <c r="V365" s="1021"/>
      <c r="W365" s="1021"/>
      <c r="X365" s="1021"/>
      <c r="Y365" s="1021"/>
      <c r="Z365" s="1021"/>
      <c r="AA365" s="1021"/>
      <c r="AB365" s="1021"/>
      <c r="AC365" s="1021"/>
      <c r="AD365" s="1021"/>
      <c r="AE365" s="1021"/>
      <c r="AF365" s="1021"/>
      <c r="AG365" s="1021"/>
      <c r="AH365" s="1021"/>
      <c r="AI365" s="1021"/>
      <c r="AJ365" s="1021"/>
      <c r="AK365" s="1021"/>
      <c r="AL365" s="1021"/>
      <c r="AM365" s="1021"/>
      <c r="AN365" s="1021"/>
      <c r="AO365" s="1021"/>
      <c r="AP365" s="1021"/>
      <c r="AQ365" s="1021"/>
      <c r="AR365" s="1021"/>
      <c r="AS365" s="1021"/>
      <c r="AT365" s="1021"/>
      <c r="AU365" s="1021"/>
      <c r="AV365" s="1021"/>
      <c r="AW365" s="1021"/>
      <c r="AX365" s="1021"/>
      <c r="AY365" s="1021"/>
      <c r="AZ365" s="1021"/>
      <c r="BA365" s="1021"/>
      <c r="BB365" s="1021"/>
      <c r="BC365" s="1021"/>
      <c r="BD365" s="1021"/>
      <c r="BE365" s="1021"/>
      <c r="BF365" s="1021"/>
      <c r="BG365" s="1021"/>
      <c r="BH365" s="1021"/>
      <c r="BI365" s="1021"/>
      <c r="BJ365" s="1021"/>
      <c r="BK365" s="1021"/>
      <c r="BL365" s="1021"/>
      <c r="BM365" s="1021"/>
      <c r="BN365" s="1021"/>
      <c r="BO365" s="1021"/>
      <c r="BP365" s="1021"/>
      <c r="BQ365" s="1021"/>
      <c r="BR365" s="1021"/>
      <c r="BS365" s="1021"/>
      <c r="BT365" s="1021"/>
      <c r="BU365" s="1021"/>
      <c r="BV365" s="1021"/>
      <c r="BW365" s="1021"/>
      <c r="BX365" s="1021"/>
      <c r="BY365" s="1021"/>
      <c r="BZ365" s="1021"/>
      <c r="CA365" s="1021"/>
      <c r="CB365" s="1021"/>
      <c r="CC365" s="1021"/>
    </row>
    <row r="366" spans="8:81" x14ac:dyDescent="0.25">
      <c r="H366" s="1021"/>
      <c r="I366" s="1021"/>
      <c r="J366" s="1021"/>
      <c r="K366" s="1021"/>
      <c r="L366" s="1021"/>
      <c r="M366" s="1021"/>
      <c r="N366" s="1021"/>
      <c r="O366" s="1021"/>
      <c r="P366" s="1021"/>
      <c r="Q366" s="1021"/>
      <c r="R366" s="1021"/>
      <c r="S366" s="1021"/>
      <c r="T366" s="1021"/>
      <c r="U366" s="1021"/>
      <c r="V366" s="1021"/>
      <c r="W366" s="1021"/>
      <c r="X366" s="1021"/>
      <c r="Y366" s="1021"/>
      <c r="Z366" s="1021"/>
      <c r="AA366" s="1021"/>
      <c r="AB366" s="1021"/>
      <c r="AC366" s="1021"/>
      <c r="AD366" s="1021"/>
      <c r="AE366" s="1021"/>
      <c r="AF366" s="1021"/>
      <c r="AG366" s="1021"/>
      <c r="AH366" s="1021"/>
      <c r="AI366" s="1021"/>
      <c r="AJ366" s="1021"/>
      <c r="AK366" s="1021"/>
      <c r="AL366" s="1021"/>
      <c r="AM366" s="1021"/>
      <c r="AN366" s="1021"/>
      <c r="AO366" s="1021"/>
      <c r="AP366" s="1021"/>
      <c r="AQ366" s="1021"/>
      <c r="AR366" s="1021"/>
      <c r="AS366" s="1021"/>
      <c r="AT366" s="1021"/>
      <c r="AU366" s="1021"/>
      <c r="AV366" s="1021"/>
      <c r="AW366" s="1021"/>
      <c r="AX366" s="1021"/>
      <c r="AY366" s="1021"/>
      <c r="AZ366" s="1021"/>
      <c r="BA366" s="1021"/>
      <c r="BB366" s="1021"/>
      <c r="BC366" s="1021"/>
      <c r="BD366" s="1021"/>
      <c r="BE366" s="1021"/>
      <c r="BF366" s="1021"/>
      <c r="BG366" s="1021"/>
      <c r="BH366" s="1021"/>
      <c r="BI366" s="1021"/>
      <c r="BJ366" s="1021"/>
      <c r="BK366" s="1021"/>
      <c r="BL366" s="1021"/>
      <c r="BM366" s="1021"/>
      <c r="BN366" s="1021"/>
      <c r="BO366" s="1021"/>
      <c r="BP366" s="1021"/>
      <c r="BQ366" s="1021"/>
      <c r="BR366" s="1021"/>
      <c r="BS366" s="1021"/>
      <c r="BT366" s="1021"/>
      <c r="BU366" s="1021"/>
      <c r="BV366" s="1021"/>
      <c r="BW366" s="1021"/>
      <c r="BX366" s="1021"/>
      <c r="BY366" s="1021"/>
      <c r="BZ366" s="1021"/>
      <c r="CA366" s="1021"/>
      <c r="CB366" s="1021"/>
      <c r="CC366" s="1021"/>
    </row>
    <row r="367" spans="8:81" x14ac:dyDescent="0.25">
      <c r="H367" s="1021"/>
      <c r="I367" s="1021"/>
      <c r="J367" s="1021"/>
      <c r="K367" s="1021"/>
      <c r="L367" s="1021"/>
      <c r="M367" s="1021"/>
      <c r="N367" s="1021"/>
      <c r="O367" s="1021"/>
      <c r="P367" s="1021"/>
      <c r="Q367" s="1021"/>
      <c r="R367" s="1021"/>
      <c r="S367" s="1021"/>
      <c r="T367" s="1021"/>
      <c r="U367" s="1021"/>
      <c r="V367" s="1021"/>
      <c r="W367" s="1021"/>
      <c r="X367" s="1021"/>
      <c r="Y367" s="1021"/>
      <c r="Z367" s="1021"/>
      <c r="AA367" s="1021"/>
      <c r="AB367" s="1021"/>
      <c r="AC367" s="1021"/>
      <c r="AD367" s="1021"/>
      <c r="AE367" s="1021"/>
      <c r="AF367" s="1021"/>
      <c r="AG367" s="1021"/>
      <c r="AH367" s="1021"/>
      <c r="AI367" s="1021"/>
      <c r="AJ367" s="1021"/>
      <c r="AK367" s="1021"/>
      <c r="AL367" s="1021"/>
      <c r="AM367" s="1021"/>
      <c r="AN367" s="1021"/>
      <c r="AO367" s="1021"/>
      <c r="AP367" s="1021"/>
      <c r="AQ367" s="1021"/>
      <c r="AR367" s="1021"/>
      <c r="AS367" s="1021"/>
      <c r="AT367" s="1021"/>
      <c r="AU367" s="1021"/>
      <c r="AV367" s="1021"/>
      <c r="AW367" s="1021"/>
      <c r="AX367" s="1021"/>
      <c r="AY367" s="1021"/>
      <c r="AZ367" s="1021"/>
      <c r="BA367" s="1021"/>
      <c r="BB367" s="1021"/>
      <c r="BC367" s="1021"/>
      <c r="BD367" s="1021"/>
      <c r="BE367" s="1021"/>
      <c r="BF367" s="1021"/>
      <c r="BG367" s="1021"/>
      <c r="BH367" s="1021"/>
      <c r="BI367" s="1021"/>
      <c r="BJ367" s="1021"/>
      <c r="BK367" s="1021"/>
      <c r="BL367" s="1021"/>
      <c r="BM367" s="1021"/>
      <c r="BN367" s="1021"/>
      <c r="BO367" s="1021"/>
      <c r="BP367" s="1021"/>
      <c r="BQ367" s="1021"/>
      <c r="BR367" s="1021"/>
      <c r="BS367" s="1021"/>
      <c r="BT367" s="1021"/>
      <c r="BU367" s="1021"/>
      <c r="BV367" s="1021"/>
      <c r="BW367" s="1021"/>
      <c r="BX367" s="1021"/>
      <c r="BY367" s="1021"/>
      <c r="BZ367" s="1021"/>
      <c r="CA367" s="1021"/>
      <c r="CB367" s="1021"/>
      <c r="CC367" s="1021"/>
    </row>
    <row r="368" spans="8:81" x14ac:dyDescent="0.25">
      <c r="H368" s="1021"/>
      <c r="I368" s="1021"/>
      <c r="J368" s="1021"/>
      <c r="K368" s="1021"/>
      <c r="L368" s="1021"/>
      <c r="M368" s="1021"/>
      <c r="N368" s="1021"/>
      <c r="O368" s="1021"/>
      <c r="P368" s="1021"/>
      <c r="Q368" s="1021"/>
      <c r="R368" s="1021"/>
      <c r="S368" s="1021"/>
      <c r="T368" s="1021"/>
      <c r="U368" s="1021"/>
      <c r="V368" s="1021"/>
      <c r="W368" s="1021"/>
      <c r="X368" s="1021"/>
      <c r="Y368" s="1021"/>
      <c r="Z368" s="1021"/>
      <c r="AA368" s="1021"/>
      <c r="AB368" s="1021"/>
      <c r="AC368" s="1021"/>
      <c r="AD368" s="1021"/>
      <c r="AE368" s="1021"/>
      <c r="AF368" s="1021"/>
      <c r="AG368" s="1021"/>
      <c r="AH368" s="1021"/>
      <c r="AI368" s="1021"/>
      <c r="AJ368" s="1021"/>
      <c r="AK368" s="1021"/>
      <c r="AL368" s="1021"/>
      <c r="AM368" s="1021"/>
      <c r="AN368" s="1021"/>
      <c r="AO368" s="1021"/>
      <c r="AP368" s="1021"/>
      <c r="AQ368" s="1021"/>
      <c r="AR368" s="1021"/>
      <c r="AS368" s="1021"/>
      <c r="AT368" s="1021"/>
      <c r="AU368" s="1021"/>
      <c r="AV368" s="1021"/>
      <c r="AW368" s="1021"/>
      <c r="AX368" s="1021"/>
      <c r="AY368" s="1021"/>
      <c r="AZ368" s="1021"/>
      <c r="BA368" s="1021"/>
      <c r="BB368" s="1021"/>
      <c r="BC368" s="1021"/>
      <c r="BD368" s="1021"/>
      <c r="BE368" s="1021"/>
      <c r="BF368" s="1021"/>
      <c r="BG368" s="1021"/>
      <c r="BH368" s="1021"/>
      <c r="BI368" s="1021"/>
      <c r="BJ368" s="1021"/>
      <c r="BK368" s="1021"/>
      <c r="BL368" s="1021"/>
      <c r="BM368" s="1021"/>
      <c r="BN368" s="1021"/>
      <c r="BO368" s="1021"/>
      <c r="BP368" s="1021"/>
      <c r="BQ368" s="1021"/>
      <c r="BR368" s="1021"/>
      <c r="BS368" s="1021"/>
      <c r="BT368" s="1021"/>
      <c r="BU368" s="1021"/>
      <c r="BV368" s="1021"/>
      <c r="BW368" s="1021"/>
      <c r="BX368" s="1021"/>
      <c r="BY368" s="1021"/>
      <c r="BZ368" s="1021"/>
      <c r="CA368" s="1021"/>
      <c r="CB368" s="1021"/>
      <c r="CC368" s="1021"/>
    </row>
    <row r="369" spans="8:81" x14ac:dyDescent="0.25">
      <c r="H369" s="1021"/>
      <c r="I369" s="1021"/>
      <c r="J369" s="1021"/>
      <c r="K369" s="1021"/>
      <c r="L369" s="1021"/>
      <c r="M369" s="1021"/>
      <c r="N369" s="1021"/>
      <c r="O369" s="1021"/>
      <c r="P369" s="1021"/>
      <c r="Q369" s="1021"/>
      <c r="R369" s="1021"/>
      <c r="S369" s="1021"/>
      <c r="T369" s="1021"/>
      <c r="U369" s="1021"/>
      <c r="V369" s="1021"/>
      <c r="W369" s="1021"/>
      <c r="X369" s="1021"/>
      <c r="Y369" s="1021"/>
      <c r="Z369" s="1021"/>
      <c r="AA369" s="1021"/>
      <c r="AB369" s="1021"/>
      <c r="AC369" s="1021"/>
      <c r="AD369" s="1021"/>
      <c r="AE369" s="1021"/>
      <c r="AF369" s="1021"/>
      <c r="AG369" s="1021"/>
      <c r="AH369" s="1021"/>
      <c r="AI369" s="1021"/>
      <c r="AJ369" s="1021"/>
      <c r="AK369" s="1021"/>
      <c r="AL369" s="1021"/>
      <c r="AM369" s="1021"/>
      <c r="AN369" s="1021"/>
      <c r="AO369" s="1021"/>
      <c r="AP369" s="1021"/>
      <c r="AQ369" s="1021"/>
      <c r="AR369" s="1021"/>
      <c r="AS369" s="1021"/>
      <c r="AT369" s="1021"/>
      <c r="AU369" s="1021"/>
      <c r="AV369" s="1021"/>
      <c r="AW369" s="1021"/>
      <c r="AX369" s="1021"/>
      <c r="AY369" s="1021"/>
      <c r="AZ369" s="1021"/>
      <c r="BA369" s="1021"/>
      <c r="BB369" s="1021"/>
      <c r="BC369" s="1021"/>
      <c r="BD369" s="1021"/>
      <c r="BE369" s="1021"/>
      <c r="BF369" s="1021"/>
      <c r="BG369" s="1021"/>
      <c r="BH369" s="1021"/>
      <c r="BI369" s="1021"/>
      <c r="BJ369" s="1021"/>
      <c r="BK369" s="1021"/>
      <c r="BL369" s="1021"/>
      <c r="BM369" s="1021"/>
      <c r="BN369" s="1021"/>
      <c r="BO369" s="1021"/>
      <c r="BP369" s="1021"/>
      <c r="BQ369" s="1021"/>
      <c r="BR369" s="1021"/>
      <c r="BS369" s="1021"/>
      <c r="BT369" s="1021"/>
      <c r="BU369" s="1021"/>
      <c r="BV369" s="1021"/>
      <c r="BW369" s="1021"/>
      <c r="BX369" s="1021"/>
      <c r="BY369" s="1021"/>
      <c r="BZ369" s="1021"/>
      <c r="CA369" s="1021"/>
      <c r="CB369" s="1021"/>
      <c r="CC369" s="1021"/>
    </row>
    <row r="370" spans="8:81" x14ac:dyDescent="0.25">
      <c r="H370" s="1021"/>
      <c r="I370" s="1021"/>
      <c r="J370" s="1021"/>
      <c r="K370" s="1021"/>
      <c r="L370" s="1021"/>
      <c r="M370" s="1021"/>
      <c r="N370" s="1021"/>
      <c r="O370" s="1021"/>
      <c r="P370" s="1021"/>
      <c r="Q370" s="1021"/>
      <c r="R370" s="1021"/>
      <c r="S370" s="1021"/>
      <c r="T370" s="1021"/>
      <c r="U370" s="1021"/>
      <c r="V370" s="1021"/>
      <c r="W370" s="1021"/>
      <c r="X370" s="1021"/>
      <c r="Y370" s="1021"/>
      <c r="Z370" s="1021"/>
      <c r="AA370" s="1021"/>
      <c r="AB370" s="1021"/>
      <c r="AC370" s="1021"/>
      <c r="AD370" s="1021"/>
      <c r="AE370" s="1021"/>
      <c r="AF370" s="1021"/>
      <c r="AG370" s="1021"/>
      <c r="AH370" s="1021"/>
      <c r="AI370" s="1021"/>
      <c r="AJ370" s="1021"/>
      <c r="AK370" s="1021"/>
      <c r="AL370" s="1021"/>
      <c r="AM370" s="1021"/>
      <c r="AN370" s="1021"/>
      <c r="AO370" s="1021"/>
      <c r="AP370" s="1021"/>
      <c r="AQ370" s="1021"/>
      <c r="AR370" s="1021"/>
      <c r="AS370" s="1021"/>
      <c r="AT370" s="1021"/>
      <c r="AU370" s="1021"/>
      <c r="AV370" s="1021"/>
      <c r="AW370" s="1021"/>
      <c r="AX370" s="1021"/>
      <c r="AY370" s="1021"/>
      <c r="AZ370" s="1021"/>
      <c r="BA370" s="1021"/>
      <c r="BB370" s="1021"/>
      <c r="BC370" s="1021"/>
      <c r="BD370" s="1021"/>
      <c r="BE370" s="1021"/>
      <c r="BF370" s="1021"/>
      <c r="BG370" s="1021"/>
      <c r="BH370" s="1021"/>
      <c r="BI370" s="1021"/>
      <c r="BJ370" s="1021"/>
      <c r="BK370" s="1021"/>
      <c r="BL370" s="1021"/>
      <c r="BM370" s="1021"/>
      <c r="BN370" s="1021"/>
      <c r="BO370" s="1021"/>
      <c r="BP370" s="1021"/>
      <c r="BQ370" s="1021"/>
      <c r="BR370" s="1021"/>
      <c r="BS370" s="1021"/>
      <c r="BT370" s="1021"/>
      <c r="BU370" s="1021"/>
      <c r="BV370" s="1021"/>
      <c r="BW370" s="1021"/>
      <c r="BX370" s="1021"/>
      <c r="BY370" s="1021"/>
      <c r="BZ370" s="1021"/>
      <c r="CA370" s="1021"/>
      <c r="CB370" s="1021"/>
      <c r="CC370" s="1021"/>
    </row>
    <row r="371" spans="8:81" x14ac:dyDescent="0.25">
      <c r="H371" s="1021"/>
      <c r="I371" s="1021"/>
      <c r="J371" s="1021"/>
      <c r="K371" s="1021"/>
      <c r="L371" s="1021"/>
      <c r="M371" s="1021"/>
      <c r="N371" s="1021"/>
      <c r="O371" s="1021"/>
      <c r="P371" s="1021"/>
      <c r="Q371" s="1021"/>
      <c r="R371" s="1021"/>
      <c r="S371" s="1021"/>
      <c r="T371" s="1021"/>
      <c r="U371" s="1021"/>
      <c r="V371" s="1021"/>
      <c r="W371" s="1021"/>
      <c r="X371" s="1021"/>
      <c r="Y371" s="1021"/>
      <c r="Z371" s="1021"/>
      <c r="AA371" s="1021"/>
      <c r="AB371" s="1021"/>
      <c r="AC371" s="1021"/>
      <c r="AD371" s="1021"/>
      <c r="AE371" s="1021"/>
      <c r="AF371" s="1021"/>
      <c r="AG371" s="1021"/>
      <c r="AH371" s="1021"/>
      <c r="AI371" s="1021"/>
      <c r="AJ371" s="1021"/>
      <c r="AK371" s="1021"/>
      <c r="AL371" s="1021"/>
      <c r="AM371" s="1021"/>
      <c r="AN371" s="1021"/>
      <c r="AO371" s="1021"/>
      <c r="AP371" s="1021"/>
      <c r="AQ371" s="1021"/>
      <c r="AR371" s="1021"/>
      <c r="AS371" s="1021"/>
      <c r="AT371" s="1021"/>
      <c r="AU371" s="1021"/>
      <c r="AV371" s="1021"/>
      <c r="AW371" s="1021"/>
      <c r="AX371" s="1021"/>
      <c r="AY371" s="1021"/>
      <c r="AZ371" s="1021"/>
      <c r="BA371" s="1021"/>
      <c r="BB371" s="1021"/>
      <c r="BC371" s="1021"/>
      <c r="BD371" s="1021"/>
      <c r="BE371" s="1021"/>
      <c r="BF371" s="1021"/>
      <c r="BG371" s="1021"/>
      <c r="BH371" s="1021"/>
      <c r="BI371" s="1021"/>
      <c r="BJ371" s="1021"/>
      <c r="BK371" s="1021"/>
      <c r="BL371" s="1021"/>
      <c r="BM371" s="1021"/>
      <c r="BN371" s="1021"/>
      <c r="BO371" s="1021"/>
      <c r="BP371" s="1021"/>
      <c r="BQ371" s="1021"/>
      <c r="BR371" s="1021"/>
      <c r="BS371" s="1021"/>
      <c r="BT371" s="1021"/>
      <c r="BU371" s="1021"/>
      <c r="BV371" s="1021"/>
      <c r="BW371" s="1021"/>
      <c r="BX371" s="1021"/>
      <c r="BY371" s="1021"/>
      <c r="BZ371" s="1021"/>
      <c r="CA371" s="1021"/>
      <c r="CB371" s="1021"/>
      <c r="CC371" s="1021"/>
    </row>
    <row r="372" spans="8:81" x14ac:dyDescent="0.25">
      <c r="H372" s="1021"/>
      <c r="I372" s="1021"/>
      <c r="J372" s="1021"/>
      <c r="K372" s="1021"/>
      <c r="L372" s="1021"/>
      <c r="M372" s="1021"/>
      <c r="N372" s="1021"/>
      <c r="O372" s="1021"/>
      <c r="P372" s="1021"/>
      <c r="Q372" s="1021"/>
      <c r="R372" s="1021"/>
      <c r="S372" s="1021"/>
      <c r="T372" s="1021"/>
      <c r="U372" s="1021"/>
      <c r="V372" s="1021"/>
      <c r="W372" s="1021"/>
      <c r="X372" s="1021"/>
      <c r="Y372" s="1021"/>
      <c r="Z372" s="1021"/>
      <c r="AA372" s="1021"/>
      <c r="AB372" s="1021"/>
      <c r="AC372" s="1021"/>
      <c r="AD372" s="1021"/>
      <c r="AE372" s="1021"/>
      <c r="AF372" s="1021"/>
      <c r="AG372" s="1021"/>
      <c r="AH372" s="1021"/>
      <c r="AI372" s="1021"/>
      <c r="AJ372" s="1021"/>
      <c r="AK372" s="1021"/>
      <c r="AL372" s="1021"/>
      <c r="AM372" s="1021"/>
      <c r="AN372" s="1021"/>
      <c r="AO372" s="1021"/>
      <c r="AP372" s="1021"/>
      <c r="AQ372" s="1021"/>
      <c r="AR372" s="1021"/>
      <c r="AS372" s="1021"/>
      <c r="AT372" s="1021"/>
      <c r="AU372" s="1021"/>
      <c r="AV372" s="1021"/>
      <c r="AW372" s="1021"/>
      <c r="AX372" s="1021"/>
      <c r="AY372" s="1021"/>
      <c r="AZ372" s="1021"/>
      <c r="BA372" s="1021"/>
      <c r="BB372" s="1021"/>
      <c r="BC372" s="1021"/>
      <c r="BD372" s="1021"/>
      <c r="BE372" s="1021"/>
      <c r="BF372" s="1021"/>
      <c r="BG372" s="1021"/>
      <c r="BH372" s="1021"/>
      <c r="BI372" s="1021"/>
      <c r="BJ372" s="1021"/>
      <c r="BK372" s="1021"/>
      <c r="BL372" s="1021"/>
      <c r="BM372" s="1021"/>
      <c r="BN372" s="1021"/>
      <c r="BO372" s="1021"/>
      <c r="BP372" s="1021"/>
      <c r="BQ372" s="1021"/>
      <c r="BR372" s="1021"/>
      <c r="BS372" s="1021"/>
      <c r="BT372" s="1021"/>
      <c r="BU372" s="1021"/>
      <c r="BV372" s="1021"/>
      <c r="BW372" s="1021"/>
      <c r="BX372" s="1021"/>
      <c r="BY372" s="1021"/>
      <c r="BZ372" s="1021"/>
      <c r="CA372" s="1021"/>
      <c r="CB372" s="1021"/>
      <c r="CC372" s="1021"/>
    </row>
    <row r="373" spans="8:81" x14ac:dyDescent="0.25">
      <c r="H373" s="1021"/>
      <c r="I373" s="1021"/>
      <c r="J373" s="1021"/>
      <c r="K373" s="1021"/>
      <c r="L373" s="1021"/>
      <c r="M373" s="1021"/>
      <c r="N373" s="1021"/>
      <c r="O373" s="1021"/>
      <c r="P373" s="1021"/>
      <c r="Q373" s="1021"/>
      <c r="R373" s="1021"/>
      <c r="S373" s="1021"/>
      <c r="T373" s="1021"/>
      <c r="U373" s="1021"/>
      <c r="V373" s="1021"/>
      <c r="W373" s="1021"/>
      <c r="X373" s="1021"/>
      <c r="Y373" s="1021"/>
      <c r="Z373" s="1021"/>
      <c r="AA373" s="1021"/>
      <c r="AB373" s="1021"/>
      <c r="AC373" s="1021"/>
      <c r="AD373" s="1021"/>
      <c r="AE373" s="1021"/>
      <c r="AF373" s="1021"/>
      <c r="AG373" s="1021"/>
      <c r="AH373" s="1021"/>
      <c r="AI373" s="1021"/>
      <c r="AJ373" s="1021"/>
      <c r="AK373" s="1021"/>
      <c r="AL373" s="1021"/>
      <c r="AM373" s="1021"/>
      <c r="AN373" s="1021"/>
      <c r="AO373" s="1021"/>
      <c r="AP373" s="1021"/>
      <c r="AQ373" s="1021"/>
      <c r="AR373" s="1021"/>
      <c r="AS373" s="1021"/>
      <c r="AT373" s="1021"/>
      <c r="AU373" s="1021"/>
      <c r="AV373" s="1021"/>
      <c r="AW373" s="1021"/>
      <c r="AX373" s="1021"/>
      <c r="AY373" s="1021"/>
      <c r="AZ373" s="1021"/>
      <c r="BA373" s="1021"/>
      <c r="BB373" s="1021"/>
      <c r="BC373" s="1021"/>
      <c r="BD373" s="1021"/>
      <c r="BE373" s="1021"/>
      <c r="BF373" s="1021"/>
      <c r="BG373" s="1021"/>
      <c r="BH373" s="1021"/>
      <c r="BI373" s="1021"/>
      <c r="BJ373" s="1021"/>
      <c r="BK373" s="1021"/>
      <c r="BL373" s="1021"/>
      <c r="BM373" s="1021"/>
      <c r="BN373" s="1021"/>
      <c r="BO373" s="1021"/>
      <c r="BP373" s="1021"/>
      <c r="BQ373" s="1021"/>
      <c r="BR373" s="1021"/>
      <c r="BS373" s="1021"/>
      <c r="BT373" s="1021"/>
      <c r="BU373" s="1021"/>
      <c r="BV373" s="1021"/>
      <c r="BW373" s="1021"/>
      <c r="BX373" s="1021"/>
      <c r="BY373" s="1021"/>
      <c r="BZ373" s="1021"/>
      <c r="CA373" s="1021"/>
      <c r="CB373" s="1021"/>
      <c r="CC373" s="1021"/>
    </row>
    <row r="374" spans="8:81" x14ac:dyDescent="0.25">
      <c r="H374" s="1021"/>
      <c r="I374" s="1021"/>
      <c r="J374" s="1021"/>
      <c r="K374" s="1021"/>
      <c r="L374" s="1021"/>
      <c r="M374" s="1021"/>
      <c r="N374" s="1021"/>
      <c r="O374" s="1021"/>
      <c r="P374" s="1021"/>
      <c r="Q374" s="1021"/>
      <c r="R374" s="1021"/>
      <c r="S374" s="1021"/>
      <c r="T374" s="1021"/>
      <c r="U374" s="1021"/>
      <c r="V374" s="1021"/>
      <c r="W374" s="1021"/>
      <c r="X374" s="1021"/>
      <c r="Y374" s="1021"/>
      <c r="Z374" s="1021"/>
      <c r="AA374" s="1021"/>
      <c r="AB374" s="1021"/>
      <c r="AC374" s="1021"/>
      <c r="AD374" s="1021"/>
      <c r="AE374" s="1021"/>
      <c r="AF374" s="1021"/>
      <c r="AG374" s="1021"/>
      <c r="AH374" s="1021"/>
      <c r="AI374" s="1021"/>
      <c r="AJ374" s="1021"/>
      <c r="AK374" s="1021"/>
      <c r="AL374" s="1021"/>
      <c r="AM374" s="1021"/>
      <c r="AN374" s="1021"/>
      <c r="AO374" s="1021"/>
      <c r="AP374" s="1021"/>
      <c r="AQ374" s="1021"/>
      <c r="AR374" s="1021"/>
      <c r="AS374" s="1021"/>
      <c r="AT374" s="1021"/>
      <c r="AU374" s="1021"/>
      <c r="AV374" s="1021"/>
      <c r="AW374" s="1021"/>
      <c r="AX374" s="1021"/>
      <c r="AY374" s="1021"/>
      <c r="AZ374" s="1021"/>
      <c r="BA374" s="1021"/>
      <c r="BB374" s="1021"/>
      <c r="BC374" s="1021"/>
      <c r="BD374" s="1021"/>
      <c r="BE374" s="1021"/>
      <c r="BF374" s="1021"/>
      <c r="BG374" s="1021"/>
      <c r="BH374" s="1021"/>
      <c r="BI374" s="1021"/>
      <c r="BJ374" s="1021"/>
      <c r="BK374" s="1021"/>
      <c r="BL374" s="1021"/>
      <c r="BM374" s="1021"/>
      <c r="BN374" s="1021"/>
      <c r="BO374" s="1021"/>
      <c r="BP374" s="1021"/>
      <c r="BQ374" s="1021"/>
      <c r="BR374" s="1021"/>
      <c r="BS374" s="1021"/>
      <c r="BT374" s="1021"/>
      <c r="BU374" s="1021"/>
      <c r="BV374" s="1021"/>
      <c r="BW374" s="1021"/>
      <c r="BX374" s="1021"/>
      <c r="BY374" s="1021"/>
      <c r="BZ374" s="1021"/>
      <c r="CA374" s="1021"/>
      <c r="CB374" s="1021"/>
      <c r="CC374" s="1021"/>
    </row>
    <row r="375" spans="8:81" x14ac:dyDescent="0.25">
      <c r="H375" s="1021"/>
      <c r="I375" s="1021"/>
      <c r="J375" s="1021"/>
      <c r="K375" s="1021"/>
      <c r="L375" s="1021"/>
      <c r="M375" s="1021"/>
      <c r="N375" s="1021"/>
      <c r="O375" s="1021"/>
      <c r="P375" s="1021"/>
      <c r="Q375" s="1021"/>
      <c r="R375" s="1021"/>
      <c r="S375" s="1021"/>
      <c r="T375" s="1021"/>
      <c r="U375" s="1021"/>
      <c r="V375" s="1021"/>
      <c r="W375" s="1021"/>
      <c r="X375" s="1021"/>
      <c r="Y375" s="1021"/>
      <c r="Z375" s="1021"/>
      <c r="AA375" s="1021"/>
      <c r="AB375" s="1021"/>
      <c r="AC375" s="1021"/>
      <c r="AD375" s="1021"/>
      <c r="AE375" s="1021"/>
      <c r="AF375" s="1021"/>
      <c r="AG375" s="1021"/>
      <c r="AH375" s="1021"/>
      <c r="AI375" s="1021"/>
      <c r="AJ375" s="1021"/>
      <c r="AK375" s="1021"/>
      <c r="AL375" s="1021"/>
      <c r="AM375" s="1021"/>
      <c r="AN375" s="1021"/>
      <c r="AO375" s="1021"/>
      <c r="AP375" s="1021"/>
      <c r="AQ375" s="1021"/>
      <c r="AR375" s="1021"/>
      <c r="AS375" s="1021"/>
      <c r="AT375" s="1021"/>
      <c r="AU375" s="1021"/>
      <c r="AV375" s="1021"/>
      <c r="AW375" s="1021"/>
      <c r="AX375" s="1021"/>
      <c r="AY375" s="1021"/>
      <c r="AZ375" s="1021"/>
      <c r="BA375" s="1021"/>
      <c r="BB375" s="1021"/>
      <c r="BC375" s="1021"/>
      <c r="BD375" s="1021"/>
      <c r="BE375" s="1021"/>
      <c r="BF375" s="1021"/>
      <c r="BG375" s="1021"/>
      <c r="BH375" s="1021"/>
      <c r="BI375" s="1021"/>
      <c r="BJ375" s="1021"/>
      <c r="BK375" s="1021"/>
      <c r="BL375" s="1021"/>
      <c r="BM375" s="1021"/>
      <c r="BN375" s="1021"/>
      <c r="BO375" s="1021"/>
      <c r="BP375" s="1021"/>
      <c r="BQ375" s="1021"/>
      <c r="BR375" s="1021"/>
      <c r="BS375" s="1021"/>
      <c r="BT375" s="1021"/>
      <c r="BU375" s="1021"/>
      <c r="BV375" s="1021"/>
      <c r="BW375" s="1021"/>
      <c r="BX375" s="1021"/>
      <c r="BY375" s="1021"/>
      <c r="BZ375" s="1021"/>
      <c r="CA375" s="1021"/>
      <c r="CB375" s="1021"/>
      <c r="CC375" s="1021"/>
    </row>
    <row r="376" spans="8:81" x14ac:dyDescent="0.25">
      <c r="H376" s="1021"/>
      <c r="I376" s="1021"/>
      <c r="J376" s="1021"/>
      <c r="K376" s="1021"/>
      <c r="L376" s="1021"/>
      <c r="M376" s="1021"/>
      <c r="N376" s="1021"/>
      <c r="O376" s="1021"/>
      <c r="P376" s="1021"/>
      <c r="Q376" s="1021"/>
      <c r="R376" s="1021"/>
      <c r="S376" s="1021"/>
      <c r="T376" s="1021"/>
      <c r="U376" s="1021"/>
      <c r="V376" s="1021"/>
      <c r="W376" s="1021"/>
      <c r="X376" s="1021"/>
      <c r="Y376" s="1021"/>
      <c r="Z376" s="1021"/>
      <c r="AA376" s="1021"/>
      <c r="AB376" s="1021"/>
      <c r="AC376" s="1021"/>
      <c r="AD376" s="1021"/>
      <c r="AE376" s="1021"/>
      <c r="AF376" s="1021"/>
      <c r="AG376" s="1021"/>
      <c r="AH376" s="1021"/>
      <c r="AI376" s="1021"/>
      <c r="AJ376" s="1021"/>
      <c r="AK376" s="1021"/>
      <c r="AL376" s="1021"/>
      <c r="AM376" s="1021"/>
      <c r="AN376" s="1021"/>
      <c r="AO376" s="1021"/>
      <c r="AP376" s="1021"/>
      <c r="AQ376" s="1021"/>
      <c r="AR376" s="1021"/>
      <c r="AS376" s="1021"/>
      <c r="AT376" s="1021"/>
      <c r="AU376" s="1021"/>
      <c r="AV376" s="1021"/>
      <c r="AW376" s="1021"/>
      <c r="AX376" s="1021"/>
      <c r="AY376" s="1021"/>
      <c r="AZ376" s="1021"/>
      <c r="BA376" s="1021"/>
      <c r="BB376" s="1021"/>
      <c r="BC376" s="1021"/>
      <c r="BD376" s="1021"/>
      <c r="BE376" s="1021"/>
      <c r="BF376" s="1021"/>
      <c r="BG376" s="1021"/>
      <c r="BH376" s="1021"/>
      <c r="BI376" s="1021"/>
      <c r="BJ376" s="1021"/>
      <c r="BK376" s="1021"/>
      <c r="BL376" s="1021"/>
      <c r="BM376" s="1021"/>
      <c r="BN376" s="1021"/>
      <c r="BO376" s="1021"/>
      <c r="BP376" s="1021"/>
      <c r="BQ376" s="1021"/>
      <c r="BR376" s="1021"/>
      <c r="BS376" s="1021"/>
      <c r="BT376" s="1021"/>
      <c r="BU376" s="1021"/>
      <c r="BV376" s="1021"/>
      <c r="BW376" s="1021"/>
      <c r="BX376" s="1021"/>
      <c r="BY376" s="1021"/>
      <c r="BZ376" s="1021"/>
      <c r="CA376" s="1021"/>
      <c r="CB376" s="1021"/>
      <c r="CC376" s="1021"/>
    </row>
    <row r="377" spans="8:81" x14ac:dyDescent="0.25">
      <c r="H377" s="1021"/>
      <c r="I377" s="1021"/>
      <c r="J377" s="1021"/>
      <c r="K377" s="1021"/>
      <c r="L377" s="1021"/>
      <c r="M377" s="1021"/>
      <c r="N377" s="1021"/>
      <c r="O377" s="1021"/>
      <c r="P377" s="1021"/>
      <c r="Q377" s="1021"/>
      <c r="R377" s="1021"/>
      <c r="S377" s="1021"/>
      <c r="T377" s="1021"/>
      <c r="U377" s="1021"/>
      <c r="V377" s="1021"/>
      <c r="W377" s="1021"/>
      <c r="X377" s="1021"/>
      <c r="Y377" s="1021"/>
      <c r="Z377" s="1021"/>
      <c r="AA377" s="1021"/>
      <c r="AB377" s="1021"/>
      <c r="AC377" s="1021"/>
      <c r="AD377" s="1021"/>
      <c r="AE377" s="1021"/>
      <c r="AF377" s="1021"/>
      <c r="AG377" s="1021"/>
      <c r="AH377" s="1021"/>
      <c r="AI377" s="1021"/>
      <c r="AJ377" s="1021"/>
      <c r="AK377" s="1021"/>
      <c r="AL377" s="1021"/>
      <c r="AM377" s="1021"/>
      <c r="AN377" s="1021"/>
      <c r="AO377" s="1021"/>
      <c r="AP377" s="1021"/>
      <c r="AQ377" s="1021"/>
      <c r="AR377" s="1021"/>
      <c r="AS377" s="1021"/>
      <c r="AT377" s="1021"/>
      <c r="AU377" s="1021"/>
      <c r="AV377" s="1021"/>
      <c r="AW377" s="1021"/>
      <c r="AX377" s="1021"/>
      <c r="AY377" s="1021"/>
      <c r="AZ377" s="1021"/>
      <c r="BA377" s="1021"/>
      <c r="BB377" s="1021"/>
      <c r="BC377" s="1021"/>
      <c r="BD377" s="1021"/>
      <c r="BE377" s="1021"/>
      <c r="BF377" s="1021"/>
      <c r="BG377" s="1021"/>
      <c r="BH377" s="1021"/>
      <c r="BI377" s="1021"/>
      <c r="BJ377" s="1021"/>
      <c r="BK377" s="1021"/>
      <c r="BL377" s="1021"/>
      <c r="BM377" s="1021"/>
      <c r="BN377" s="1021"/>
      <c r="BO377" s="1021"/>
      <c r="BP377" s="1021"/>
      <c r="BQ377" s="1021"/>
      <c r="BR377" s="1021"/>
      <c r="BS377" s="1021"/>
      <c r="BT377" s="1021"/>
      <c r="BU377" s="1021"/>
      <c r="BV377" s="1021"/>
      <c r="BW377" s="1021"/>
      <c r="BX377" s="1021"/>
      <c r="BY377" s="1021"/>
      <c r="BZ377" s="1021"/>
      <c r="CA377" s="1021"/>
      <c r="CB377" s="1021"/>
      <c r="CC377" s="1021"/>
    </row>
    <row r="378" spans="8:81" x14ac:dyDescent="0.25">
      <c r="H378" s="1021"/>
      <c r="I378" s="1021"/>
      <c r="J378" s="1021"/>
      <c r="K378" s="1021"/>
      <c r="L378" s="1021"/>
      <c r="M378" s="1021"/>
      <c r="N378" s="1021"/>
      <c r="O378" s="1021"/>
      <c r="P378" s="1021"/>
      <c r="Q378" s="1021"/>
      <c r="R378" s="1021"/>
      <c r="S378" s="1021"/>
      <c r="T378" s="1021"/>
      <c r="U378" s="1021"/>
      <c r="V378" s="1021"/>
      <c r="W378" s="1021"/>
      <c r="X378" s="1021"/>
      <c r="Y378" s="1021"/>
      <c r="Z378" s="1021"/>
      <c r="AA378" s="1021"/>
      <c r="AB378" s="1021"/>
      <c r="AC378" s="1021"/>
      <c r="AD378" s="1021"/>
      <c r="AE378" s="1021"/>
      <c r="AF378" s="1021"/>
      <c r="AG378" s="1021"/>
      <c r="AH378" s="1021"/>
      <c r="AI378" s="1021"/>
      <c r="AJ378" s="1021"/>
      <c r="AK378" s="1021"/>
      <c r="AL378" s="1021"/>
      <c r="AM378" s="1021"/>
      <c r="AN378" s="1021"/>
      <c r="AO378" s="1021"/>
      <c r="AP378" s="1021"/>
      <c r="AQ378" s="1021"/>
      <c r="AR378" s="1021"/>
      <c r="AS378" s="1021"/>
      <c r="AT378" s="1021"/>
      <c r="AU378" s="1021"/>
      <c r="AV378" s="1021"/>
      <c r="AW378" s="1021"/>
      <c r="AX378" s="1021"/>
      <c r="AY378" s="1021"/>
      <c r="AZ378" s="1021"/>
      <c r="BA378" s="1021"/>
      <c r="BB378" s="1021"/>
      <c r="BC378" s="1021"/>
      <c r="BD378" s="1021"/>
      <c r="BE378" s="1021"/>
      <c r="BF378" s="1021"/>
      <c r="BG378" s="1021"/>
      <c r="BH378" s="1021"/>
      <c r="BI378" s="1021"/>
      <c r="BJ378" s="1021"/>
      <c r="BK378" s="1021"/>
      <c r="BL378" s="1021"/>
      <c r="BM378" s="1021"/>
      <c r="BN378" s="1021"/>
      <c r="BO378" s="1021"/>
      <c r="BP378" s="1021"/>
      <c r="BQ378" s="1021"/>
      <c r="BR378" s="1021"/>
      <c r="BS378" s="1021"/>
      <c r="BT378" s="1021"/>
      <c r="BU378" s="1021"/>
      <c r="BV378" s="1021"/>
      <c r="BW378" s="1021"/>
      <c r="BX378" s="1021"/>
      <c r="BY378" s="1021"/>
      <c r="BZ378" s="1021"/>
      <c r="CA378" s="1021"/>
      <c r="CB378" s="1021"/>
      <c r="CC378" s="1021"/>
    </row>
    <row r="379" spans="8:81" x14ac:dyDescent="0.25">
      <c r="H379" s="1021"/>
      <c r="I379" s="1021"/>
      <c r="J379" s="1021"/>
      <c r="K379" s="1021"/>
      <c r="L379" s="1021"/>
      <c r="M379" s="1021"/>
      <c r="N379" s="1021"/>
      <c r="O379" s="1021"/>
      <c r="P379" s="1021"/>
      <c r="Q379" s="1021"/>
      <c r="R379" s="1021"/>
      <c r="S379" s="1021"/>
      <c r="T379" s="1021"/>
      <c r="U379" s="1021"/>
      <c r="V379" s="1021"/>
      <c r="W379" s="1021"/>
      <c r="X379" s="1021"/>
      <c r="Y379" s="1021"/>
      <c r="Z379" s="1021"/>
      <c r="AA379" s="1021"/>
      <c r="AB379" s="1021"/>
      <c r="AC379" s="1021"/>
      <c r="AD379" s="1021"/>
      <c r="AE379" s="1021"/>
      <c r="AF379" s="1021"/>
      <c r="AG379" s="1021"/>
      <c r="AH379" s="1021"/>
      <c r="AI379" s="1021"/>
      <c r="AJ379" s="1021"/>
      <c r="AK379" s="1021"/>
      <c r="AL379" s="1021"/>
      <c r="AM379" s="1021"/>
      <c r="AN379" s="1021"/>
      <c r="AO379" s="1021"/>
      <c r="AP379" s="1021"/>
      <c r="AQ379" s="1021"/>
      <c r="AR379" s="1021"/>
      <c r="AS379" s="1021"/>
      <c r="AT379" s="1021"/>
      <c r="AU379" s="1021"/>
      <c r="AV379" s="1021"/>
      <c r="AW379" s="1021"/>
      <c r="AX379" s="1021"/>
      <c r="AY379" s="1021"/>
      <c r="AZ379" s="1021"/>
      <c r="BA379" s="1021"/>
      <c r="BB379" s="1021"/>
      <c r="BC379" s="1021"/>
      <c r="BD379" s="1021"/>
      <c r="BE379" s="1021"/>
      <c r="BF379" s="1021"/>
      <c r="BG379" s="1021"/>
      <c r="BH379" s="1021"/>
      <c r="BI379" s="1021"/>
      <c r="BJ379" s="1021"/>
      <c r="BK379" s="1021"/>
      <c r="BL379" s="1021"/>
      <c r="BM379" s="1021"/>
      <c r="BN379" s="1021"/>
      <c r="BO379" s="1021"/>
      <c r="BP379" s="1021"/>
      <c r="BQ379" s="1021"/>
      <c r="BR379" s="1021"/>
      <c r="BS379" s="1021"/>
      <c r="BT379" s="1021"/>
      <c r="BU379" s="1021"/>
      <c r="BV379" s="1021"/>
      <c r="BW379" s="1021"/>
      <c r="BX379" s="1021"/>
      <c r="BY379" s="1021"/>
      <c r="BZ379" s="1021"/>
      <c r="CA379" s="1021"/>
      <c r="CB379" s="1021"/>
      <c r="CC379" s="1021"/>
    </row>
    <row r="380" spans="8:81" x14ac:dyDescent="0.25">
      <c r="H380" s="1021"/>
      <c r="I380" s="1021"/>
      <c r="J380" s="1021"/>
      <c r="K380" s="1021"/>
      <c r="L380" s="1021"/>
      <c r="M380" s="1021"/>
      <c r="N380" s="1021"/>
      <c r="O380" s="1021"/>
      <c r="P380" s="1021"/>
      <c r="Q380" s="1021"/>
      <c r="R380" s="1021"/>
      <c r="S380" s="1021"/>
      <c r="T380" s="1021"/>
      <c r="U380" s="1021"/>
      <c r="V380" s="1021"/>
      <c r="W380" s="1021"/>
      <c r="X380" s="1021"/>
      <c r="Y380" s="1021"/>
      <c r="Z380" s="1021"/>
      <c r="AA380" s="1021"/>
      <c r="AB380" s="1021"/>
      <c r="AC380" s="1021"/>
      <c r="AD380" s="1021"/>
      <c r="AE380" s="1021"/>
      <c r="AF380" s="1021"/>
      <c r="AG380" s="1021"/>
      <c r="AH380" s="1021"/>
      <c r="AI380" s="1021"/>
      <c r="AJ380" s="1021"/>
      <c r="AK380" s="1021"/>
      <c r="AL380" s="1021"/>
      <c r="AM380" s="1021"/>
      <c r="AN380" s="1021"/>
      <c r="AO380" s="1021"/>
      <c r="AP380" s="1021"/>
      <c r="AQ380" s="1021"/>
      <c r="AR380" s="1021"/>
      <c r="AS380" s="1021"/>
      <c r="AT380" s="1021"/>
      <c r="AU380" s="1021"/>
      <c r="AV380" s="1021"/>
      <c r="AW380" s="1021"/>
      <c r="AX380" s="1021"/>
      <c r="AY380" s="1021"/>
      <c r="AZ380" s="1021"/>
      <c r="BA380" s="1021"/>
      <c r="BB380" s="1021"/>
      <c r="BC380" s="1021"/>
      <c r="BD380" s="1021"/>
      <c r="BE380" s="1021"/>
      <c r="BF380" s="1021"/>
      <c r="BG380" s="1021"/>
      <c r="BH380" s="1021"/>
      <c r="BI380" s="1021"/>
      <c r="BJ380" s="1021"/>
      <c r="BK380" s="1021"/>
      <c r="BL380" s="1021"/>
      <c r="BM380" s="1021"/>
      <c r="BN380" s="1021"/>
      <c r="BO380" s="1021"/>
      <c r="BP380" s="1021"/>
      <c r="BQ380" s="1021"/>
      <c r="BR380" s="1021"/>
      <c r="BS380" s="1021"/>
      <c r="BT380" s="1021"/>
      <c r="BU380" s="1021"/>
      <c r="BV380" s="1021"/>
      <c r="BW380" s="1021"/>
      <c r="BX380" s="1021"/>
      <c r="BY380" s="1021"/>
      <c r="BZ380" s="1021"/>
      <c r="CA380" s="1021"/>
      <c r="CB380" s="1021"/>
      <c r="CC380" s="1021"/>
    </row>
    <row r="381" spans="8:81" x14ac:dyDescent="0.25">
      <c r="H381" s="1021"/>
      <c r="I381" s="1021"/>
      <c r="J381" s="1021"/>
      <c r="K381" s="1021"/>
      <c r="L381" s="1021"/>
      <c r="M381" s="1021"/>
      <c r="N381" s="1021"/>
      <c r="O381" s="1021"/>
      <c r="P381" s="1021"/>
      <c r="Q381" s="1021"/>
      <c r="R381" s="1021"/>
      <c r="S381" s="1021"/>
      <c r="T381" s="1021"/>
      <c r="U381" s="1021"/>
      <c r="V381" s="1021"/>
      <c r="W381" s="1021"/>
      <c r="X381" s="1021"/>
      <c r="Y381" s="1021"/>
      <c r="Z381" s="1021"/>
      <c r="AA381" s="1021"/>
      <c r="AB381" s="1021"/>
      <c r="AC381" s="1021"/>
      <c r="AD381" s="1021"/>
      <c r="AE381" s="1021"/>
      <c r="AF381" s="1021"/>
      <c r="AG381" s="1021"/>
      <c r="AH381" s="1021"/>
      <c r="AI381" s="1021"/>
      <c r="AJ381" s="1021"/>
      <c r="AK381" s="1021"/>
      <c r="AL381" s="1021"/>
      <c r="AM381" s="1021"/>
      <c r="AN381" s="1021"/>
      <c r="AO381" s="1021"/>
      <c r="AP381" s="1021"/>
      <c r="AQ381" s="1021"/>
      <c r="AR381" s="1021"/>
      <c r="AS381" s="1021"/>
      <c r="AT381" s="1021"/>
      <c r="AU381" s="1021"/>
      <c r="AV381" s="1021"/>
      <c r="AW381" s="1021"/>
      <c r="AX381" s="1021"/>
      <c r="AY381" s="1021"/>
      <c r="AZ381" s="1021"/>
      <c r="BA381" s="1021"/>
      <c r="BB381" s="1021"/>
      <c r="BC381" s="1021"/>
      <c r="BD381" s="1021"/>
      <c r="BE381" s="1021"/>
      <c r="BF381" s="1021"/>
      <c r="BG381" s="1021"/>
      <c r="BH381" s="1021"/>
      <c r="BI381" s="1021"/>
      <c r="BJ381" s="1021"/>
      <c r="BK381" s="1021"/>
      <c r="BL381" s="1021"/>
      <c r="BM381" s="1021"/>
      <c r="BN381" s="1021"/>
      <c r="BO381" s="1021"/>
      <c r="BP381" s="1021"/>
      <c r="BQ381" s="1021"/>
      <c r="BR381" s="1021"/>
      <c r="BS381" s="1021"/>
      <c r="BT381" s="1021"/>
      <c r="BU381" s="1021"/>
      <c r="BV381" s="1021"/>
      <c r="BW381" s="1021"/>
      <c r="BX381" s="1021"/>
      <c r="BY381" s="1021"/>
      <c r="BZ381" s="1021"/>
      <c r="CA381" s="1021"/>
      <c r="CB381" s="1021"/>
      <c r="CC381" s="1021"/>
    </row>
    <row r="382" spans="8:81" x14ac:dyDescent="0.25">
      <c r="H382" s="1021"/>
      <c r="I382" s="1021"/>
      <c r="J382" s="1021"/>
      <c r="K382" s="1021"/>
      <c r="L382" s="1021"/>
      <c r="M382" s="1021"/>
      <c r="N382" s="1021"/>
      <c r="O382" s="1021"/>
      <c r="P382" s="1021"/>
      <c r="Q382" s="1021"/>
      <c r="R382" s="1021"/>
      <c r="S382" s="1021"/>
      <c r="T382" s="1021"/>
      <c r="U382" s="1021"/>
      <c r="V382" s="1021"/>
      <c r="W382" s="1021"/>
      <c r="X382" s="1021"/>
      <c r="Y382" s="1021"/>
      <c r="Z382" s="1021"/>
      <c r="AA382" s="1021"/>
      <c r="AB382" s="1021"/>
      <c r="AC382" s="1021"/>
      <c r="AD382" s="1021"/>
      <c r="AE382" s="1021"/>
      <c r="AF382" s="1021"/>
      <c r="AG382" s="1021"/>
      <c r="AH382" s="1021"/>
      <c r="AI382" s="1021"/>
      <c r="AJ382" s="1021"/>
      <c r="AK382" s="1021"/>
      <c r="AL382" s="1021"/>
      <c r="AM382" s="1021"/>
      <c r="AN382" s="1021"/>
      <c r="AO382" s="1021"/>
      <c r="AP382" s="1021"/>
      <c r="AQ382" s="1021"/>
      <c r="AR382" s="1021"/>
      <c r="AS382" s="1021"/>
      <c r="AT382" s="1021"/>
      <c r="AU382" s="1021"/>
      <c r="AV382" s="1021"/>
      <c r="AW382" s="1021"/>
      <c r="AX382" s="1021"/>
      <c r="AY382" s="1021"/>
      <c r="AZ382" s="1021"/>
      <c r="BA382" s="1021"/>
      <c r="BB382" s="1021"/>
      <c r="BC382" s="1021"/>
      <c r="BD382" s="1021"/>
      <c r="BE382" s="1021"/>
      <c r="BF382" s="1021"/>
      <c r="BG382" s="1021"/>
      <c r="BH382" s="1021"/>
      <c r="BI382" s="1021"/>
      <c r="BJ382" s="1021"/>
      <c r="BK382" s="1021"/>
      <c r="BL382" s="1021"/>
      <c r="BM382" s="1021"/>
      <c r="BN382" s="1021"/>
      <c r="BO382" s="1021"/>
      <c r="BP382" s="1021"/>
      <c r="BQ382" s="1021"/>
      <c r="BR382" s="1021"/>
      <c r="BS382" s="1021"/>
      <c r="BT382" s="1021"/>
      <c r="BU382" s="1021"/>
      <c r="BV382" s="1021"/>
      <c r="BW382" s="1021"/>
      <c r="BX382" s="1021"/>
      <c r="BY382" s="1021"/>
      <c r="BZ382" s="1021"/>
      <c r="CA382" s="1021"/>
      <c r="CB382" s="1021"/>
      <c r="CC382" s="1021"/>
    </row>
    <row r="383" spans="8:81" x14ac:dyDescent="0.25">
      <c r="H383" s="1021"/>
      <c r="I383" s="1021"/>
      <c r="J383" s="1021"/>
      <c r="K383" s="1021"/>
      <c r="L383" s="1021"/>
      <c r="M383" s="1021"/>
      <c r="N383" s="1021"/>
      <c r="O383" s="1021"/>
      <c r="P383" s="1021"/>
      <c r="Q383" s="1021"/>
      <c r="R383" s="1021"/>
      <c r="S383" s="1021"/>
      <c r="T383" s="1021"/>
      <c r="U383" s="1021"/>
      <c r="V383" s="1021"/>
      <c r="W383" s="1021"/>
      <c r="X383" s="1021"/>
      <c r="Y383" s="1021"/>
      <c r="Z383" s="1021"/>
      <c r="AA383" s="1021"/>
      <c r="AB383" s="1021"/>
      <c r="AC383" s="1021"/>
      <c r="AD383" s="1021"/>
      <c r="AE383" s="1021"/>
      <c r="AF383" s="1021"/>
      <c r="AG383" s="1021"/>
      <c r="AH383" s="1021"/>
      <c r="AI383" s="1021"/>
      <c r="AJ383" s="1021"/>
      <c r="AK383" s="1021"/>
      <c r="AL383" s="1021"/>
      <c r="AM383" s="1021"/>
      <c r="AN383" s="1021"/>
      <c r="AO383" s="1021"/>
      <c r="AP383" s="1021"/>
      <c r="AQ383" s="1021"/>
      <c r="AR383" s="1021"/>
      <c r="AS383" s="1021"/>
      <c r="AT383" s="1021"/>
      <c r="AU383" s="1021"/>
      <c r="AV383" s="1021"/>
      <c r="AW383" s="1021"/>
      <c r="AX383" s="1021"/>
      <c r="AY383" s="1021"/>
      <c r="AZ383" s="1021"/>
      <c r="BA383" s="1021"/>
      <c r="BB383" s="1021"/>
      <c r="BC383" s="1021"/>
      <c r="BD383" s="1021"/>
      <c r="BE383" s="1021"/>
      <c r="BF383" s="1021"/>
      <c r="BG383" s="1021"/>
      <c r="BH383" s="1021"/>
      <c r="BI383" s="1021"/>
      <c r="BJ383" s="1021"/>
      <c r="BK383" s="1021"/>
      <c r="BL383" s="1021"/>
      <c r="BM383" s="1021"/>
      <c r="BN383" s="1021"/>
      <c r="BO383" s="1021"/>
      <c r="BP383" s="1021"/>
      <c r="BQ383" s="1021"/>
      <c r="BR383" s="1021"/>
      <c r="BS383" s="1021"/>
      <c r="BT383" s="1021"/>
      <c r="BU383" s="1021"/>
      <c r="BV383" s="1021"/>
      <c r="BW383" s="1021"/>
      <c r="BX383" s="1021"/>
      <c r="BY383" s="1021"/>
      <c r="BZ383" s="1021"/>
      <c r="CA383" s="1021"/>
      <c r="CB383" s="1021"/>
      <c r="CC383" s="1021"/>
    </row>
    <row r="384" spans="8:81" x14ac:dyDescent="0.25">
      <c r="H384" s="1021"/>
      <c r="I384" s="1021"/>
      <c r="J384" s="1021"/>
      <c r="K384" s="1021"/>
      <c r="L384" s="1021"/>
      <c r="M384" s="1021"/>
      <c r="N384" s="1021"/>
      <c r="O384" s="1021"/>
      <c r="P384" s="1021"/>
      <c r="Q384" s="1021"/>
      <c r="R384" s="1021"/>
      <c r="S384" s="1021"/>
      <c r="T384" s="1021"/>
      <c r="U384" s="1021"/>
      <c r="V384" s="1021"/>
      <c r="W384" s="1021"/>
      <c r="X384" s="1021"/>
      <c r="Y384" s="1021"/>
      <c r="Z384" s="1021"/>
      <c r="AA384" s="1021"/>
      <c r="AB384" s="1021"/>
      <c r="AC384" s="1021"/>
      <c r="AD384" s="1021"/>
      <c r="AE384" s="1021"/>
      <c r="AF384" s="1021"/>
      <c r="AG384" s="1021"/>
      <c r="AH384" s="1021"/>
      <c r="AI384" s="1021"/>
      <c r="AJ384" s="1021"/>
      <c r="AK384" s="1021"/>
      <c r="AL384" s="1021"/>
      <c r="AM384" s="1021"/>
      <c r="AN384" s="1021"/>
      <c r="AO384" s="1021"/>
      <c r="AP384" s="1021"/>
      <c r="AQ384" s="1021"/>
      <c r="AR384" s="1021"/>
      <c r="AS384" s="1021"/>
      <c r="AT384" s="1021"/>
      <c r="AU384" s="1021"/>
      <c r="AV384" s="1021"/>
      <c r="AW384" s="1021"/>
      <c r="AX384" s="1021"/>
      <c r="AY384" s="1021"/>
      <c r="AZ384" s="1021"/>
      <c r="BA384" s="1021"/>
      <c r="BB384" s="1021"/>
      <c r="BC384" s="1021"/>
      <c r="BD384" s="1021"/>
      <c r="BE384" s="1021"/>
      <c r="BF384" s="1021"/>
      <c r="BG384" s="1021"/>
      <c r="BH384" s="1021"/>
      <c r="BI384" s="1021"/>
      <c r="BJ384" s="1021"/>
      <c r="BK384" s="1021"/>
      <c r="BL384" s="1021"/>
      <c r="BM384" s="1021"/>
      <c r="BN384" s="1021"/>
      <c r="BO384" s="1021"/>
      <c r="BP384" s="1021"/>
      <c r="BQ384" s="1021"/>
      <c r="BR384" s="1021"/>
      <c r="BS384" s="1021"/>
      <c r="BT384" s="1021"/>
      <c r="BU384" s="1021"/>
      <c r="BV384" s="1021"/>
      <c r="BW384" s="1021"/>
      <c r="BX384" s="1021"/>
      <c r="BY384" s="1021"/>
      <c r="BZ384" s="1021"/>
      <c r="CA384" s="1021"/>
      <c r="CB384" s="1021"/>
      <c r="CC384" s="1021"/>
    </row>
    <row r="385" spans="8:81" x14ac:dyDescent="0.25">
      <c r="H385" s="1021"/>
      <c r="I385" s="1021"/>
      <c r="J385" s="1021"/>
      <c r="K385" s="1021"/>
      <c r="L385" s="1021"/>
      <c r="M385" s="1021"/>
      <c r="N385" s="1021"/>
      <c r="O385" s="1021"/>
      <c r="P385" s="1021"/>
      <c r="Q385" s="1021"/>
      <c r="R385" s="1021"/>
      <c r="S385" s="1021"/>
      <c r="T385" s="1021"/>
      <c r="U385" s="1021"/>
      <c r="V385" s="1021"/>
      <c r="W385" s="1021"/>
      <c r="X385" s="1021"/>
      <c r="Y385" s="1021"/>
      <c r="Z385" s="1021"/>
      <c r="AA385" s="1021"/>
      <c r="AB385" s="1021"/>
      <c r="AC385" s="1021"/>
      <c r="AD385" s="1021"/>
      <c r="AE385" s="1021"/>
      <c r="AF385" s="1021"/>
      <c r="AG385" s="1021"/>
      <c r="AH385" s="1021"/>
      <c r="AI385" s="1021"/>
      <c r="AJ385" s="1021"/>
      <c r="AK385" s="1021"/>
      <c r="AL385" s="1021"/>
      <c r="AM385" s="1021"/>
      <c r="AN385" s="1021"/>
      <c r="AO385" s="1021"/>
      <c r="AP385" s="1021"/>
      <c r="AQ385" s="1021"/>
      <c r="AR385" s="1021"/>
      <c r="AS385" s="1021"/>
      <c r="AT385" s="1021"/>
      <c r="AU385" s="1021"/>
      <c r="AV385" s="1021"/>
      <c r="AW385" s="1021"/>
      <c r="AX385" s="1021"/>
      <c r="AY385" s="1021"/>
      <c r="AZ385" s="1021"/>
      <c r="BA385" s="1021"/>
      <c r="BB385" s="1021"/>
      <c r="BC385" s="1021"/>
      <c r="BD385" s="1021"/>
      <c r="BE385" s="1021"/>
      <c r="BF385" s="1021"/>
      <c r="BG385" s="1021"/>
      <c r="BH385" s="1021"/>
      <c r="BI385" s="1021"/>
      <c r="BJ385" s="1021"/>
      <c r="BK385" s="1021"/>
      <c r="BL385" s="1021"/>
      <c r="BM385" s="1021"/>
      <c r="BN385" s="1021"/>
      <c r="BO385" s="1021"/>
      <c r="BP385" s="1021"/>
      <c r="BQ385" s="1021"/>
      <c r="BR385" s="1021"/>
      <c r="BS385" s="1021"/>
      <c r="BT385" s="1021"/>
      <c r="BU385" s="1021"/>
      <c r="BV385" s="1021"/>
      <c r="BW385" s="1021"/>
      <c r="BX385" s="1021"/>
      <c r="BY385" s="1021"/>
      <c r="BZ385" s="1021"/>
      <c r="CA385" s="1021"/>
      <c r="CB385" s="1021"/>
      <c r="CC385" s="1021"/>
    </row>
    <row r="386" spans="8:81" x14ac:dyDescent="0.25">
      <c r="H386" s="1021"/>
      <c r="I386" s="1021"/>
      <c r="J386" s="1021"/>
      <c r="K386" s="1021"/>
      <c r="L386" s="1021"/>
      <c r="M386" s="1021"/>
      <c r="N386" s="1021"/>
      <c r="O386" s="1021"/>
      <c r="P386" s="1021"/>
      <c r="Q386" s="1021"/>
      <c r="R386" s="1021"/>
      <c r="S386" s="1021"/>
      <c r="T386" s="1021"/>
      <c r="U386" s="1021"/>
      <c r="V386" s="1021"/>
      <c r="W386" s="1021"/>
      <c r="X386" s="1021"/>
      <c r="Y386" s="1021"/>
      <c r="Z386" s="1021"/>
      <c r="AA386" s="1021"/>
      <c r="AB386" s="1021"/>
      <c r="AC386" s="1021"/>
      <c r="AD386" s="1021"/>
      <c r="AE386" s="1021"/>
      <c r="AF386" s="1021"/>
      <c r="AG386" s="1021"/>
      <c r="AH386" s="1021"/>
      <c r="AI386" s="1021"/>
      <c r="AJ386" s="1021"/>
      <c r="AK386" s="1021"/>
      <c r="AL386" s="1021"/>
      <c r="AM386" s="1021"/>
      <c r="AN386" s="1021"/>
      <c r="AO386" s="1021"/>
      <c r="AP386" s="1021"/>
      <c r="AQ386" s="1021"/>
      <c r="AR386" s="1021"/>
      <c r="AS386" s="1021"/>
      <c r="AT386" s="1021"/>
      <c r="AU386" s="1021"/>
      <c r="AV386" s="1021"/>
      <c r="AW386" s="1021"/>
      <c r="AX386" s="1021"/>
      <c r="AY386" s="1021"/>
      <c r="AZ386" s="1021"/>
      <c r="BA386" s="1021"/>
      <c r="BB386" s="1021"/>
      <c r="BC386" s="1021"/>
      <c r="BD386" s="1021"/>
      <c r="BE386" s="1021"/>
      <c r="BF386" s="1021"/>
      <c r="BG386" s="1021"/>
      <c r="BH386" s="1021"/>
      <c r="BI386" s="1021"/>
      <c r="BJ386" s="1021"/>
      <c r="BK386" s="1021"/>
      <c r="BL386" s="1021"/>
      <c r="BM386" s="1021"/>
      <c r="BN386" s="1021"/>
      <c r="BO386" s="1021"/>
      <c r="BP386" s="1021"/>
      <c r="BQ386" s="1021"/>
      <c r="BR386" s="1021"/>
      <c r="BS386" s="1021"/>
      <c r="BT386" s="1021"/>
      <c r="BU386" s="1021"/>
      <c r="BV386" s="1021"/>
      <c r="BW386" s="1021"/>
      <c r="BX386" s="1021"/>
      <c r="BY386" s="1021"/>
      <c r="BZ386" s="1021"/>
      <c r="CA386" s="1021"/>
      <c r="CB386" s="1021"/>
      <c r="CC386" s="1021"/>
    </row>
    <row r="387" spans="8:81" x14ac:dyDescent="0.25">
      <c r="H387" s="1021"/>
      <c r="I387" s="1021"/>
      <c r="J387" s="1021"/>
      <c r="K387" s="1021"/>
      <c r="L387" s="1021"/>
      <c r="M387" s="1021"/>
      <c r="N387" s="1021"/>
      <c r="O387" s="1021"/>
      <c r="P387" s="1021"/>
      <c r="Q387" s="1021"/>
      <c r="R387" s="1021"/>
      <c r="S387" s="1021"/>
      <c r="T387" s="1021"/>
      <c r="U387" s="1021"/>
      <c r="V387" s="1021"/>
      <c r="W387" s="1021"/>
      <c r="X387" s="1021"/>
      <c r="Y387" s="1021"/>
      <c r="Z387" s="1021"/>
      <c r="AA387" s="1021"/>
      <c r="AB387" s="1021"/>
      <c r="AC387" s="1021"/>
      <c r="AD387" s="1021"/>
      <c r="AE387" s="1021"/>
      <c r="AF387" s="1021"/>
      <c r="AG387" s="1021"/>
      <c r="AH387" s="1021"/>
      <c r="AI387" s="1021"/>
      <c r="AJ387" s="1021"/>
      <c r="AK387" s="1021"/>
      <c r="AL387" s="1021"/>
      <c r="AM387" s="1021"/>
      <c r="AN387" s="1021"/>
      <c r="AO387" s="1021"/>
      <c r="AP387" s="1021"/>
      <c r="AQ387" s="1021"/>
      <c r="AR387" s="1021"/>
      <c r="AS387" s="1021"/>
      <c r="AT387" s="1021"/>
      <c r="AU387" s="1021"/>
      <c r="AV387" s="1021"/>
      <c r="AW387" s="1021"/>
      <c r="AX387" s="1021"/>
      <c r="AY387" s="1021"/>
      <c r="AZ387" s="1021"/>
      <c r="BA387" s="1021"/>
      <c r="BB387" s="1021"/>
      <c r="BC387" s="1021"/>
      <c r="BD387" s="1021"/>
      <c r="BE387" s="1021"/>
      <c r="BF387" s="1021"/>
      <c r="BG387" s="1021"/>
      <c r="BH387" s="1021"/>
      <c r="BI387" s="1021"/>
      <c r="BJ387" s="1021"/>
      <c r="BK387" s="1021"/>
      <c r="BL387" s="1021"/>
      <c r="BM387" s="1021"/>
      <c r="BN387" s="1021"/>
      <c r="BO387" s="1021"/>
      <c r="BP387" s="1021"/>
      <c r="BQ387" s="1021"/>
      <c r="BR387" s="1021"/>
      <c r="BS387" s="1021"/>
      <c r="BT387" s="1021"/>
      <c r="BU387" s="1021"/>
      <c r="BV387" s="1021"/>
      <c r="BW387" s="1021"/>
      <c r="BX387" s="1021"/>
      <c r="BY387" s="1021"/>
      <c r="BZ387" s="1021"/>
      <c r="CA387" s="1021"/>
      <c r="CB387" s="1021"/>
      <c r="CC387" s="1021"/>
    </row>
    <row r="388" spans="8:81" x14ac:dyDescent="0.25">
      <c r="H388" s="1021"/>
      <c r="I388" s="1021"/>
      <c r="J388" s="1021"/>
      <c r="K388" s="1021"/>
      <c r="L388" s="1021"/>
      <c r="M388" s="1021"/>
      <c r="N388" s="1021"/>
      <c r="O388" s="1021"/>
      <c r="P388" s="1021"/>
      <c r="Q388" s="1021"/>
      <c r="R388" s="1021"/>
      <c r="S388" s="1021"/>
      <c r="T388" s="1021"/>
      <c r="U388" s="1021"/>
      <c r="V388" s="1021"/>
      <c r="W388" s="1021"/>
      <c r="X388" s="1021"/>
      <c r="Y388" s="1021"/>
      <c r="Z388" s="1021"/>
      <c r="AA388" s="1021"/>
      <c r="AB388" s="1021"/>
      <c r="AC388" s="1021"/>
      <c r="AD388" s="1021"/>
      <c r="AE388" s="1021"/>
      <c r="AF388" s="1021"/>
      <c r="AG388" s="1021"/>
      <c r="AH388" s="1021"/>
      <c r="AI388" s="1021"/>
      <c r="AJ388" s="1021"/>
      <c r="AK388" s="1021"/>
      <c r="AL388" s="1021"/>
      <c r="AM388" s="1021"/>
      <c r="AN388" s="1021"/>
      <c r="AO388" s="1021"/>
      <c r="AP388" s="1021"/>
      <c r="AQ388" s="1021"/>
      <c r="AR388" s="1021"/>
      <c r="AS388" s="1021"/>
      <c r="AT388" s="1021"/>
      <c r="AU388" s="1021"/>
      <c r="AV388" s="1021"/>
      <c r="AW388" s="1021"/>
      <c r="AX388" s="1021"/>
      <c r="AY388" s="1021"/>
      <c r="AZ388" s="1021"/>
      <c r="BA388" s="1021"/>
      <c r="BB388" s="1021"/>
      <c r="BC388" s="1021"/>
      <c r="BD388" s="1021"/>
      <c r="BE388" s="1021"/>
      <c r="BF388" s="1021"/>
      <c r="BG388" s="1021"/>
      <c r="BH388" s="1021"/>
      <c r="BI388" s="1021"/>
      <c r="BJ388" s="1021"/>
      <c r="BK388" s="1021"/>
      <c r="BL388" s="1021"/>
      <c r="BM388" s="1021"/>
      <c r="BN388" s="1021"/>
      <c r="BO388" s="1021"/>
      <c r="BP388" s="1021"/>
      <c r="BQ388" s="1021"/>
      <c r="BR388" s="1021"/>
      <c r="BS388" s="1021"/>
      <c r="BT388" s="1021"/>
      <c r="BU388" s="1021"/>
      <c r="BV388" s="1021"/>
      <c r="BW388" s="1021"/>
      <c r="BX388" s="1021"/>
      <c r="BY388" s="1021"/>
      <c r="BZ388" s="1021"/>
      <c r="CA388" s="1021"/>
      <c r="CB388" s="1021"/>
      <c r="CC388" s="1021"/>
    </row>
    <row r="389" spans="8:81" x14ac:dyDescent="0.25">
      <c r="H389" s="1021"/>
      <c r="I389" s="1021"/>
      <c r="J389" s="1021"/>
      <c r="K389" s="1021"/>
      <c r="L389" s="1021"/>
      <c r="M389" s="1021"/>
      <c r="N389" s="1021"/>
      <c r="O389" s="1021"/>
      <c r="P389" s="1021"/>
      <c r="Q389" s="1021"/>
      <c r="R389" s="1021"/>
      <c r="S389" s="1021"/>
      <c r="T389" s="1021"/>
      <c r="U389" s="1021"/>
      <c r="V389" s="1021"/>
      <c r="W389" s="1021"/>
      <c r="X389" s="1021"/>
      <c r="Y389" s="1021"/>
      <c r="Z389" s="1021"/>
      <c r="AA389" s="1021"/>
      <c r="AB389" s="1021"/>
      <c r="AC389" s="1021"/>
      <c r="AD389" s="1021"/>
      <c r="AE389" s="1021"/>
      <c r="AF389" s="1021"/>
      <c r="AG389" s="1021"/>
      <c r="AH389" s="1021"/>
      <c r="AI389" s="1021"/>
      <c r="AJ389" s="1021"/>
      <c r="AK389" s="1021"/>
      <c r="AL389" s="1021"/>
      <c r="AM389" s="1021"/>
      <c r="AN389" s="1021"/>
      <c r="AO389" s="1021"/>
      <c r="AP389" s="1021"/>
      <c r="AQ389" s="1021"/>
      <c r="AR389" s="1021"/>
      <c r="AS389" s="1021"/>
      <c r="AT389" s="1021"/>
      <c r="AU389" s="1021"/>
      <c r="AV389" s="1021"/>
      <c r="AW389" s="1021"/>
      <c r="AX389" s="1021"/>
      <c r="AY389" s="1021"/>
      <c r="AZ389" s="1021"/>
      <c r="BA389" s="1021"/>
      <c r="BB389" s="1021"/>
      <c r="BC389" s="1021"/>
      <c r="BD389" s="1021"/>
      <c r="BE389" s="1021"/>
      <c r="BF389" s="1021"/>
      <c r="BG389" s="1021"/>
      <c r="BH389" s="1021"/>
      <c r="BI389" s="1021"/>
      <c r="BJ389" s="1021"/>
      <c r="BK389" s="1021"/>
      <c r="BL389" s="1021"/>
      <c r="BM389" s="1021"/>
      <c r="BN389" s="1021"/>
      <c r="BO389" s="1021"/>
      <c r="BP389" s="1021"/>
      <c r="BQ389" s="1021"/>
      <c r="BR389" s="1021"/>
      <c r="BS389" s="1021"/>
      <c r="BT389" s="1021"/>
      <c r="BU389" s="1021"/>
      <c r="BV389" s="1021"/>
      <c r="BW389" s="1021"/>
      <c r="BX389" s="1021"/>
      <c r="BY389" s="1021"/>
      <c r="BZ389" s="1021"/>
      <c r="CA389" s="1021"/>
      <c r="CB389" s="1021"/>
      <c r="CC389" s="1021"/>
    </row>
    <row r="390" spans="8:81" x14ac:dyDescent="0.25">
      <c r="H390" s="1021"/>
      <c r="I390" s="1021"/>
      <c r="J390" s="1021"/>
      <c r="K390" s="1021"/>
      <c r="L390" s="1021"/>
      <c r="M390" s="1021"/>
      <c r="N390" s="1021"/>
      <c r="O390" s="1021"/>
      <c r="P390" s="1021"/>
      <c r="Q390" s="1021"/>
      <c r="R390" s="1021"/>
      <c r="S390" s="1021"/>
      <c r="T390" s="1021"/>
      <c r="U390" s="1021"/>
      <c r="V390" s="1021"/>
      <c r="W390" s="1021"/>
      <c r="X390" s="1021"/>
      <c r="Y390" s="1021"/>
      <c r="Z390" s="1021"/>
      <c r="AA390" s="1021"/>
      <c r="AB390" s="1021"/>
      <c r="AC390" s="1021"/>
      <c r="AD390" s="1021"/>
      <c r="AE390" s="1021"/>
      <c r="AF390" s="1021"/>
      <c r="AG390" s="1021"/>
      <c r="AH390" s="1021"/>
      <c r="AI390" s="1021"/>
      <c r="AJ390" s="1021"/>
      <c r="AK390" s="1021"/>
      <c r="AL390" s="1021"/>
      <c r="AM390" s="1021"/>
      <c r="AN390" s="1021"/>
      <c r="AO390" s="1021"/>
      <c r="AP390" s="1021"/>
      <c r="AQ390" s="1021"/>
      <c r="AR390" s="1021"/>
      <c r="AS390" s="1021"/>
      <c r="AT390" s="1021"/>
      <c r="AU390" s="1021"/>
      <c r="AV390" s="1021"/>
      <c r="AW390" s="1021"/>
      <c r="AX390" s="1021"/>
      <c r="AY390" s="1021"/>
      <c r="AZ390" s="1021"/>
      <c r="BA390" s="1021"/>
      <c r="BB390" s="1021"/>
      <c r="BC390" s="1021"/>
      <c r="BD390" s="1021"/>
      <c r="BE390" s="1021"/>
      <c r="BF390" s="1021"/>
      <c r="BG390" s="1021"/>
      <c r="BH390" s="1021"/>
      <c r="BI390" s="1021"/>
      <c r="BJ390" s="1021"/>
      <c r="BK390" s="1021"/>
      <c r="BL390" s="1021"/>
      <c r="BM390" s="1021"/>
      <c r="BN390" s="1021"/>
      <c r="BO390" s="1021"/>
      <c r="BP390" s="1021"/>
      <c r="BQ390" s="1021"/>
      <c r="BR390" s="1021"/>
      <c r="BS390" s="1021"/>
      <c r="BT390" s="1021"/>
      <c r="BU390" s="1021"/>
      <c r="BV390" s="1021"/>
      <c r="BW390" s="1021"/>
      <c r="BX390" s="1021"/>
      <c r="BY390" s="1021"/>
      <c r="BZ390" s="1021"/>
      <c r="CA390" s="1021"/>
      <c r="CB390" s="1021"/>
      <c r="CC390" s="1021"/>
    </row>
    <row r="391" spans="8:81" x14ac:dyDescent="0.25">
      <c r="H391" s="1021"/>
      <c r="I391" s="1021"/>
      <c r="J391" s="1021"/>
      <c r="K391" s="1021"/>
      <c r="L391" s="1021"/>
      <c r="M391" s="1021"/>
      <c r="N391" s="1021"/>
      <c r="O391" s="1021"/>
      <c r="P391" s="1021"/>
      <c r="Q391" s="1021"/>
      <c r="R391" s="1021"/>
      <c r="S391" s="1021"/>
      <c r="T391" s="1021"/>
      <c r="U391" s="1021"/>
      <c r="V391" s="1021"/>
      <c r="W391" s="1021"/>
      <c r="X391" s="1021"/>
      <c r="Y391" s="1021"/>
      <c r="Z391" s="1021"/>
      <c r="AA391" s="1021"/>
      <c r="AB391" s="1021"/>
      <c r="AC391" s="1021"/>
      <c r="AD391" s="1021"/>
      <c r="AE391" s="1021"/>
      <c r="AF391" s="1021"/>
      <c r="AG391" s="1021"/>
      <c r="AH391" s="1021"/>
      <c r="AI391" s="1021"/>
      <c r="AJ391" s="1021"/>
      <c r="AK391" s="1021"/>
      <c r="AL391" s="1021"/>
      <c r="AM391" s="1021"/>
      <c r="AN391" s="1021"/>
      <c r="AO391" s="1021"/>
      <c r="AP391" s="1021"/>
      <c r="AQ391" s="1021"/>
      <c r="AR391" s="1021"/>
      <c r="AS391" s="1021"/>
      <c r="AT391" s="1021"/>
      <c r="AU391" s="1021"/>
      <c r="AV391" s="1021"/>
      <c r="AW391" s="1021"/>
      <c r="AX391" s="1021"/>
      <c r="AY391" s="1021"/>
      <c r="AZ391" s="1021"/>
      <c r="BA391" s="1021"/>
      <c r="BB391" s="1021"/>
      <c r="BC391" s="1021"/>
      <c r="BD391" s="1021"/>
      <c r="BE391" s="1021"/>
      <c r="BF391" s="1021"/>
      <c r="BG391" s="1021"/>
      <c r="BH391" s="1021"/>
      <c r="BI391" s="1021"/>
      <c r="BJ391" s="1021"/>
      <c r="BK391" s="1021"/>
      <c r="BL391" s="1021"/>
      <c r="BM391" s="1021"/>
      <c r="BN391" s="1021"/>
      <c r="BO391" s="1021"/>
      <c r="BP391" s="1021"/>
      <c r="BQ391" s="1021"/>
      <c r="BR391" s="1021"/>
      <c r="BS391" s="1021"/>
      <c r="BT391" s="1021"/>
      <c r="BU391" s="1021"/>
      <c r="BV391" s="1021"/>
      <c r="BW391" s="1021"/>
      <c r="BX391" s="1021"/>
      <c r="BY391" s="1021"/>
      <c r="BZ391" s="1021"/>
      <c r="CA391" s="1021"/>
      <c r="CB391" s="1021"/>
      <c r="CC391" s="1021"/>
    </row>
    <row r="392" spans="8:81" x14ac:dyDescent="0.25">
      <c r="H392" s="1021"/>
      <c r="I392" s="1021"/>
      <c r="J392" s="1021"/>
      <c r="K392" s="1021"/>
      <c r="L392" s="1021"/>
      <c r="M392" s="1021"/>
      <c r="N392" s="1021"/>
      <c r="O392" s="1021"/>
      <c r="P392" s="1021"/>
      <c r="Q392" s="1021"/>
      <c r="R392" s="1021"/>
      <c r="S392" s="1021"/>
      <c r="T392" s="1021"/>
      <c r="U392" s="1021"/>
      <c r="V392" s="1021"/>
      <c r="W392" s="1021"/>
      <c r="X392" s="1021"/>
      <c r="Y392" s="1021"/>
      <c r="Z392" s="1021"/>
      <c r="AA392" s="1021"/>
      <c r="AB392" s="1021"/>
      <c r="AC392" s="1021"/>
      <c r="AD392" s="1021"/>
      <c r="AE392" s="1021"/>
      <c r="AF392" s="1021"/>
      <c r="AG392" s="1021"/>
      <c r="AH392" s="1021"/>
      <c r="AI392" s="1021"/>
      <c r="AJ392" s="1021"/>
      <c r="AK392" s="1021"/>
      <c r="AL392" s="1021"/>
      <c r="AM392" s="1021"/>
      <c r="AN392" s="1021"/>
      <c r="AO392" s="1021"/>
      <c r="AP392" s="1021"/>
      <c r="AQ392" s="1021"/>
      <c r="AR392" s="1021"/>
      <c r="AS392" s="1021"/>
      <c r="AT392" s="1021"/>
      <c r="AU392" s="1021"/>
      <c r="AV392" s="1021"/>
      <c r="AW392" s="1021"/>
      <c r="AX392" s="1021"/>
      <c r="AY392" s="1021"/>
      <c r="AZ392" s="1021"/>
      <c r="BA392" s="1021"/>
      <c r="BB392" s="1021"/>
      <c r="BC392" s="1021"/>
      <c r="BD392" s="1021"/>
      <c r="BE392" s="1021"/>
      <c r="BF392" s="1021"/>
      <c r="BG392" s="1021"/>
      <c r="BH392" s="1021"/>
      <c r="BI392" s="1021"/>
      <c r="BJ392" s="1021"/>
      <c r="BK392" s="1021"/>
      <c r="BL392" s="1021"/>
      <c r="BM392" s="1021"/>
      <c r="BN392" s="1021"/>
      <c r="BO392" s="1021"/>
      <c r="BP392" s="1021"/>
      <c r="BQ392" s="1021"/>
      <c r="BR392" s="1021"/>
      <c r="BS392" s="1021"/>
      <c r="BT392" s="1021"/>
      <c r="BU392" s="1021"/>
      <c r="BV392" s="1021"/>
      <c r="BW392" s="1021"/>
      <c r="BX392" s="1021"/>
      <c r="BY392" s="1021"/>
      <c r="BZ392" s="1021"/>
      <c r="CA392" s="1021"/>
      <c r="CB392" s="1021"/>
      <c r="CC392" s="1021"/>
    </row>
    <row r="393" spans="8:81" x14ac:dyDescent="0.25">
      <c r="H393" s="1021"/>
      <c r="I393" s="1021"/>
      <c r="J393" s="1021"/>
      <c r="K393" s="1021"/>
      <c r="L393" s="1021"/>
      <c r="M393" s="1021"/>
      <c r="N393" s="1021"/>
      <c r="O393" s="1021"/>
      <c r="P393" s="1021"/>
      <c r="Q393" s="1021"/>
      <c r="R393" s="1021"/>
      <c r="S393" s="1021"/>
      <c r="T393" s="1021"/>
      <c r="U393" s="1021"/>
      <c r="V393" s="1021"/>
      <c r="W393" s="1021"/>
      <c r="X393" s="1021"/>
      <c r="Y393" s="1021"/>
      <c r="Z393" s="1021"/>
      <c r="AA393" s="1021"/>
      <c r="AB393" s="1021"/>
      <c r="AC393" s="1021"/>
      <c r="AD393" s="1021"/>
      <c r="AE393" s="1021"/>
      <c r="AF393" s="1021"/>
      <c r="AG393" s="1021"/>
      <c r="AH393" s="1021"/>
      <c r="AI393" s="1021"/>
      <c r="AJ393" s="1021"/>
      <c r="AK393" s="1021"/>
      <c r="AL393" s="1021"/>
      <c r="AM393" s="1021"/>
      <c r="AN393" s="1021"/>
      <c r="AO393" s="1021"/>
      <c r="AP393" s="1021"/>
      <c r="AQ393" s="1021"/>
      <c r="AR393" s="1021"/>
      <c r="AS393" s="1021"/>
      <c r="AT393" s="1021"/>
      <c r="AU393" s="1021"/>
      <c r="AV393" s="1021"/>
      <c r="AW393" s="1021"/>
      <c r="AX393" s="1021"/>
      <c r="AY393" s="1021"/>
      <c r="AZ393" s="1021"/>
      <c r="BA393" s="1021"/>
      <c r="BB393" s="1021"/>
      <c r="BC393" s="1021"/>
      <c r="BD393" s="1021"/>
      <c r="BE393" s="1021"/>
      <c r="BF393" s="1021"/>
      <c r="BG393" s="1021"/>
      <c r="BH393" s="1021"/>
      <c r="BI393" s="1021"/>
      <c r="BJ393" s="1021"/>
      <c r="BK393" s="1021"/>
      <c r="BL393" s="1021"/>
      <c r="BM393" s="1021"/>
      <c r="BN393" s="1021"/>
      <c r="BO393" s="1021"/>
      <c r="BP393" s="1021"/>
      <c r="BQ393" s="1021"/>
      <c r="BR393" s="1021"/>
      <c r="BS393" s="1021"/>
      <c r="BT393" s="1021"/>
      <c r="BU393" s="1021"/>
      <c r="BV393" s="1021"/>
      <c r="BW393" s="1021"/>
      <c r="BX393" s="1021"/>
      <c r="BY393" s="1021"/>
      <c r="BZ393" s="1021"/>
      <c r="CA393" s="1021"/>
      <c r="CB393" s="1021"/>
      <c r="CC393" s="1021"/>
    </row>
    <row r="394" spans="8:81" x14ac:dyDescent="0.25">
      <c r="H394" s="1021"/>
      <c r="I394" s="1021"/>
      <c r="J394" s="1021"/>
      <c r="K394" s="1021"/>
      <c r="L394" s="1021"/>
      <c r="M394" s="1021"/>
      <c r="N394" s="1021"/>
      <c r="O394" s="1021"/>
      <c r="P394" s="1021"/>
      <c r="Q394" s="1021"/>
      <c r="R394" s="1021"/>
      <c r="S394" s="1021"/>
      <c r="T394" s="1021"/>
      <c r="U394" s="1021"/>
      <c r="V394" s="1021"/>
      <c r="W394" s="1021"/>
      <c r="X394" s="1021"/>
      <c r="Y394" s="1021"/>
      <c r="Z394" s="1021"/>
      <c r="AA394" s="1021"/>
      <c r="AB394" s="1021"/>
      <c r="AC394" s="1021"/>
      <c r="AD394" s="1021"/>
      <c r="AE394" s="1021"/>
      <c r="AF394" s="1021"/>
      <c r="AG394" s="1021"/>
      <c r="AH394" s="1021"/>
      <c r="AI394" s="1021"/>
      <c r="AJ394" s="1021"/>
      <c r="AK394" s="1021"/>
      <c r="AL394" s="1021"/>
      <c r="AM394" s="1021"/>
      <c r="AN394" s="1021"/>
      <c r="AO394" s="1021"/>
      <c r="AP394" s="1021"/>
      <c r="AQ394" s="1021"/>
      <c r="AR394" s="1021"/>
      <c r="AS394" s="1021"/>
      <c r="AT394" s="1021"/>
      <c r="AU394" s="1021"/>
      <c r="AV394" s="1021"/>
      <c r="AW394" s="1021"/>
      <c r="AX394" s="1021"/>
      <c r="AY394" s="1021"/>
      <c r="AZ394" s="1021"/>
      <c r="BA394" s="1021"/>
      <c r="BB394" s="1021"/>
      <c r="BC394" s="1021"/>
      <c r="BD394" s="1021"/>
      <c r="BE394" s="1021"/>
      <c r="BF394" s="1021"/>
      <c r="BG394" s="1021"/>
      <c r="BH394" s="1021"/>
      <c r="BI394" s="1021"/>
      <c r="BJ394" s="1021"/>
      <c r="BK394" s="1021"/>
      <c r="BL394" s="1021"/>
      <c r="BM394" s="1021"/>
      <c r="BN394" s="1021"/>
      <c r="BO394" s="1021"/>
      <c r="BP394" s="1021"/>
      <c r="BQ394" s="1021"/>
      <c r="BR394" s="1021"/>
      <c r="BS394" s="1021"/>
      <c r="BT394" s="1021"/>
      <c r="BU394" s="1021"/>
      <c r="BV394" s="1021"/>
      <c r="BW394" s="1021"/>
      <c r="BX394" s="1021"/>
      <c r="BY394" s="1021"/>
      <c r="BZ394" s="1021"/>
      <c r="CA394" s="1021"/>
      <c r="CB394" s="1021"/>
      <c r="CC394" s="1021"/>
    </row>
    <row r="395" spans="8:81" x14ac:dyDescent="0.25">
      <c r="H395" s="1021"/>
      <c r="I395" s="1021"/>
      <c r="J395" s="1021"/>
      <c r="K395" s="1021"/>
      <c r="L395" s="1021"/>
      <c r="M395" s="1021"/>
      <c r="N395" s="1021"/>
      <c r="O395" s="1021"/>
      <c r="P395" s="1021"/>
      <c r="Q395" s="1021"/>
      <c r="R395" s="1021"/>
      <c r="S395" s="1021"/>
      <c r="T395" s="1021"/>
      <c r="U395" s="1021"/>
      <c r="V395" s="1021"/>
      <c r="W395" s="1021"/>
      <c r="X395" s="1021"/>
      <c r="Y395" s="1021"/>
      <c r="Z395" s="1021"/>
      <c r="AA395" s="1021"/>
      <c r="AB395" s="1021"/>
      <c r="AC395" s="1021"/>
      <c r="AD395" s="1021"/>
      <c r="AE395" s="1021"/>
      <c r="AF395" s="1021"/>
      <c r="AG395" s="1021"/>
      <c r="AH395" s="1021"/>
      <c r="AI395" s="1021"/>
      <c r="AJ395" s="1021"/>
      <c r="AK395" s="1021"/>
      <c r="AL395" s="1021"/>
      <c r="AM395" s="1021"/>
      <c r="AN395" s="1021"/>
      <c r="AO395" s="1021"/>
      <c r="AP395" s="1021"/>
      <c r="AQ395" s="1021"/>
      <c r="AR395" s="1021"/>
      <c r="AS395" s="1021"/>
      <c r="AT395" s="1021"/>
      <c r="AU395" s="1021"/>
      <c r="AV395" s="1021"/>
      <c r="AW395" s="1021"/>
      <c r="AX395" s="1021"/>
      <c r="AY395" s="1021"/>
      <c r="AZ395" s="1021"/>
      <c r="BA395" s="1021"/>
      <c r="BB395" s="1021"/>
      <c r="BC395" s="1021"/>
      <c r="BD395" s="1021"/>
      <c r="BE395" s="1021"/>
      <c r="BF395" s="1021"/>
      <c r="BG395" s="1021"/>
      <c r="BH395" s="1021"/>
      <c r="BI395" s="1021"/>
      <c r="BJ395" s="1021"/>
      <c r="BK395" s="1021"/>
      <c r="BL395" s="1021"/>
      <c r="BM395" s="1021"/>
      <c r="BN395" s="1021"/>
      <c r="BO395" s="1021"/>
      <c r="BP395" s="1021"/>
      <c r="BQ395" s="1021"/>
      <c r="BR395" s="1021"/>
      <c r="BS395" s="1021"/>
      <c r="BT395" s="1021"/>
      <c r="BU395" s="1021"/>
      <c r="BV395" s="1021"/>
      <c r="BW395" s="1021"/>
      <c r="BX395" s="1021"/>
      <c r="BY395" s="1021"/>
      <c r="BZ395" s="1021"/>
      <c r="CA395" s="1021"/>
      <c r="CB395" s="1021"/>
      <c r="CC395" s="1021"/>
    </row>
    <row r="396" spans="8:81" x14ac:dyDescent="0.25">
      <c r="H396" s="1021"/>
      <c r="I396" s="1021"/>
      <c r="J396" s="1021"/>
      <c r="K396" s="1021"/>
      <c r="L396" s="1021"/>
      <c r="M396" s="1021"/>
      <c r="N396" s="1021"/>
      <c r="O396" s="1021"/>
      <c r="P396" s="1021"/>
      <c r="Q396" s="1021"/>
      <c r="R396" s="1021"/>
      <c r="S396" s="1021"/>
      <c r="T396" s="1021"/>
      <c r="U396" s="1021"/>
      <c r="V396" s="1021"/>
      <c r="W396" s="1021"/>
      <c r="X396" s="1021"/>
      <c r="Y396" s="1021"/>
      <c r="Z396" s="1021"/>
      <c r="AA396" s="1021"/>
      <c r="AB396" s="1021"/>
      <c r="AC396" s="1021"/>
      <c r="AD396" s="1021"/>
      <c r="AE396" s="1021"/>
      <c r="AF396" s="1021"/>
      <c r="AG396" s="1021"/>
      <c r="AH396" s="1021"/>
      <c r="AI396" s="1021"/>
      <c r="AJ396" s="1021"/>
      <c r="AK396" s="1021"/>
      <c r="AL396" s="1021"/>
      <c r="AM396" s="1021"/>
      <c r="AN396" s="1021"/>
      <c r="AO396" s="1021"/>
      <c r="AP396" s="1021"/>
      <c r="AQ396" s="1021"/>
      <c r="AR396" s="1021"/>
      <c r="AS396" s="1021"/>
      <c r="AT396" s="1021"/>
      <c r="AU396" s="1021"/>
      <c r="AV396" s="1021"/>
      <c r="AW396" s="1021"/>
      <c r="AX396" s="1021"/>
      <c r="AY396" s="1021"/>
      <c r="AZ396" s="1021"/>
      <c r="BA396" s="1021"/>
      <c r="BB396" s="1021"/>
      <c r="BC396" s="1021"/>
      <c r="BD396" s="1021"/>
      <c r="BE396" s="1021"/>
      <c r="BF396" s="1021"/>
      <c r="BG396" s="1021"/>
      <c r="BH396" s="1021"/>
      <c r="BI396" s="1021"/>
      <c r="BJ396" s="1021"/>
      <c r="BK396" s="1021"/>
      <c r="BL396" s="1021"/>
      <c r="BM396" s="1021"/>
      <c r="BN396" s="1021"/>
      <c r="BO396" s="1021"/>
      <c r="BP396" s="1021"/>
      <c r="BQ396" s="1021"/>
      <c r="BR396" s="1021"/>
      <c r="BS396" s="1021"/>
      <c r="BT396" s="1021"/>
      <c r="BU396" s="1021"/>
      <c r="BV396" s="1021"/>
      <c r="BW396" s="1021"/>
      <c r="BX396" s="1021"/>
      <c r="BY396" s="1021"/>
      <c r="BZ396" s="1021"/>
      <c r="CA396" s="1021"/>
      <c r="CB396" s="1021"/>
      <c r="CC396" s="1021"/>
    </row>
    <row r="397" spans="8:81" x14ac:dyDescent="0.25">
      <c r="H397" s="1021"/>
      <c r="I397" s="1021"/>
      <c r="J397" s="1021"/>
      <c r="K397" s="1021"/>
      <c r="L397" s="1021"/>
      <c r="M397" s="1021"/>
      <c r="N397" s="1021"/>
      <c r="O397" s="1021"/>
      <c r="P397" s="1021"/>
      <c r="Q397" s="1021"/>
      <c r="R397" s="1021"/>
      <c r="S397" s="1021"/>
      <c r="T397" s="1021"/>
      <c r="U397" s="1021"/>
      <c r="V397" s="1021"/>
      <c r="W397" s="1021"/>
      <c r="X397" s="1021"/>
      <c r="Y397" s="1021"/>
      <c r="Z397" s="1021"/>
      <c r="AA397" s="1021"/>
      <c r="AB397" s="1021"/>
      <c r="AC397" s="1021"/>
      <c r="AD397" s="1021"/>
      <c r="AE397" s="1021"/>
      <c r="AF397" s="1021"/>
      <c r="AG397" s="1021"/>
      <c r="AH397" s="1021"/>
      <c r="AI397" s="1021"/>
      <c r="AJ397" s="1021"/>
      <c r="AK397" s="1021"/>
      <c r="AL397" s="1021"/>
      <c r="AM397" s="1021"/>
      <c r="AN397" s="1021"/>
      <c r="AO397" s="1021"/>
      <c r="AP397" s="1021"/>
      <c r="AQ397" s="1021"/>
      <c r="AR397" s="1021"/>
      <c r="AS397" s="1021"/>
      <c r="AT397" s="1021"/>
      <c r="AU397" s="1021"/>
      <c r="AV397" s="1021"/>
      <c r="AW397" s="1021"/>
      <c r="AX397" s="1021"/>
      <c r="AY397" s="1021"/>
      <c r="AZ397" s="1021"/>
      <c r="BA397" s="1021"/>
      <c r="BB397" s="1021"/>
      <c r="BC397" s="1021"/>
      <c r="BD397" s="1021"/>
      <c r="BE397" s="1021"/>
      <c r="BF397" s="1021"/>
      <c r="BG397" s="1021"/>
      <c r="BH397" s="1021"/>
      <c r="BI397" s="1021"/>
      <c r="BJ397" s="1021"/>
      <c r="BK397" s="1021"/>
      <c r="BL397" s="1021"/>
      <c r="BM397" s="1021"/>
      <c r="BN397" s="1021"/>
      <c r="BO397" s="1021"/>
      <c r="BP397" s="1021"/>
      <c r="BQ397" s="1021"/>
      <c r="BR397" s="1021"/>
      <c r="BS397" s="1021"/>
      <c r="BT397" s="1021"/>
      <c r="BU397" s="1021"/>
      <c r="BV397" s="1021"/>
      <c r="BW397" s="1021"/>
      <c r="BX397" s="1021"/>
      <c r="BY397" s="1021"/>
      <c r="BZ397" s="1021"/>
      <c r="CA397" s="1021"/>
      <c r="CB397" s="1021"/>
      <c r="CC397" s="1021"/>
    </row>
    <row r="398" spans="8:81" x14ac:dyDescent="0.25">
      <c r="H398" s="1021"/>
      <c r="I398" s="1021"/>
      <c r="J398" s="1021"/>
      <c r="K398" s="1021"/>
      <c r="L398" s="1021"/>
      <c r="M398" s="1021"/>
      <c r="N398" s="1021"/>
      <c r="O398" s="1021"/>
      <c r="P398" s="1021"/>
      <c r="Q398" s="1021"/>
      <c r="R398" s="1021"/>
      <c r="S398" s="1021"/>
      <c r="T398" s="1021"/>
      <c r="U398" s="1021"/>
      <c r="V398" s="1021"/>
      <c r="W398" s="1021"/>
      <c r="X398" s="1021"/>
      <c r="Y398" s="1021"/>
      <c r="Z398" s="1021"/>
      <c r="AA398" s="1021"/>
      <c r="AB398" s="1021"/>
      <c r="AC398" s="1021"/>
      <c r="AD398" s="1021"/>
      <c r="AE398" s="1021"/>
      <c r="AF398" s="1021"/>
      <c r="AG398" s="1021"/>
      <c r="AH398" s="1021"/>
      <c r="AI398" s="1021"/>
      <c r="AJ398" s="1021"/>
      <c r="AK398" s="1021"/>
      <c r="AL398" s="1021"/>
      <c r="AM398" s="1021"/>
      <c r="AN398" s="1021"/>
      <c r="AO398" s="1021"/>
      <c r="AP398" s="1021"/>
      <c r="AQ398" s="1021"/>
      <c r="AR398" s="1021"/>
      <c r="AS398" s="1021"/>
      <c r="AT398" s="1021"/>
      <c r="AU398" s="1021"/>
      <c r="AV398" s="1021"/>
      <c r="AW398" s="1021"/>
      <c r="AX398" s="1021"/>
      <c r="AY398" s="1021"/>
      <c r="AZ398" s="1021"/>
      <c r="BA398" s="1021"/>
      <c r="BB398" s="1021"/>
      <c r="BC398" s="1021"/>
      <c r="BD398" s="1021"/>
      <c r="BE398" s="1021"/>
      <c r="BF398" s="1021"/>
      <c r="BG398" s="1021"/>
      <c r="BH398" s="1021"/>
      <c r="BI398" s="1021"/>
      <c r="BJ398" s="1021"/>
      <c r="BK398" s="1021"/>
      <c r="BL398" s="1021"/>
      <c r="BM398" s="1021"/>
      <c r="BN398" s="1021"/>
      <c r="BO398" s="1021"/>
      <c r="BP398" s="1021"/>
      <c r="BQ398" s="1021"/>
      <c r="BR398" s="1021"/>
      <c r="BS398" s="1021"/>
      <c r="BT398" s="1021"/>
      <c r="BU398" s="1021"/>
      <c r="BV398" s="1021"/>
      <c r="BW398" s="1021"/>
      <c r="BX398" s="1021"/>
      <c r="BY398" s="1021"/>
      <c r="BZ398" s="1021"/>
      <c r="CA398" s="1021"/>
      <c r="CB398" s="1021"/>
      <c r="CC398" s="1021"/>
    </row>
    <row r="399" spans="8:81" x14ac:dyDescent="0.25">
      <c r="H399" s="1021"/>
      <c r="I399" s="1021"/>
      <c r="J399" s="1021"/>
      <c r="K399" s="1021"/>
      <c r="L399" s="1021"/>
      <c r="M399" s="1021"/>
      <c r="N399" s="1021"/>
      <c r="O399" s="1021"/>
      <c r="P399" s="1021"/>
      <c r="Q399" s="1021"/>
      <c r="R399" s="1021"/>
      <c r="S399" s="1021"/>
      <c r="T399" s="1021"/>
      <c r="U399" s="1021"/>
      <c r="V399" s="1021"/>
      <c r="W399" s="1021"/>
      <c r="X399" s="1021"/>
      <c r="Y399" s="1021"/>
      <c r="Z399" s="1021"/>
      <c r="AA399" s="1021"/>
      <c r="AB399" s="1021"/>
      <c r="AC399" s="1021"/>
      <c r="AD399" s="1021"/>
      <c r="AE399" s="1021"/>
      <c r="AF399" s="1021"/>
      <c r="AG399" s="1021"/>
      <c r="AH399" s="1021"/>
      <c r="AI399" s="1021"/>
      <c r="AJ399" s="1021"/>
      <c r="AK399" s="1021"/>
      <c r="AL399" s="1021"/>
      <c r="AM399" s="1021"/>
      <c r="AN399" s="1021"/>
      <c r="AO399" s="1021"/>
      <c r="AP399" s="1021"/>
      <c r="AQ399" s="1021"/>
      <c r="AR399" s="1021"/>
      <c r="AS399" s="1021"/>
      <c r="AT399" s="1021"/>
      <c r="AU399" s="1021"/>
      <c r="AV399" s="1021"/>
      <c r="AW399" s="1021"/>
      <c r="AX399" s="1021"/>
      <c r="AY399" s="1021"/>
      <c r="AZ399" s="1021"/>
      <c r="BA399" s="1021"/>
      <c r="BB399" s="1021"/>
      <c r="BC399" s="1021"/>
      <c r="BD399" s="1021"/>
      <c r="BE399" s="1021"/>
      <c r="BF399" s="1021"/>
      <c r="BG399" s="1021"/>
      <c r="BH399" s="1021"/>
      <c r="BI399" s="1021"/>
      <c r="BJ399" s="1021"/>
      <c r="BK399" s="1021"/>
      <c r="BL399" s="1021"/>
      <c r="BM399" s="1021"/>
      <c r="BN399" s="1021"/>
      <c r="BO399" s="1021"/>
      <c r="BP399" s="1021"/>
      <c r="BQ399" s="1021"/>
      <c r="BR399" s="1021"/>
      <c r="BS399" s="1021"/>
      <c r="BT399" s="1021"/>
      <c r="BU399" s="1021"/>
      <c r="BV399" s="1021"/>
      <c r="BW399" s="1021"/>
      <c r="BX399" s="1021"/>
      <c r="BY399" s="1021"/>
      <c r="BZ399" s="1021"/>
      <c r="CA399" s="1021"/>
      <c r="CB399" s="1021"/>
      <c r="CC399" s="1021"/>
    </row>
    <row r="400" spans="8:81" x14ac:dyDescent="0.25">
      <c r="H400" s="1021"/>
      <c r="I400" s="1021"/>
      <c r="J400" s="1021"/>
      <c r="K400" s="1021"/>
      <c r="L400" s="1021"/>
      <c r="M400" s="1021"/>
      <c r="N400" s="1021"/>
      <c r="O400" s="1021"/>
      <c r="P400" s="1021"/>
      <c r="Q400" s="1021"/>
      <c r="R400" s="1021"/>
      <c r="S400" s="1021"/>
      <c r="T400" s="1021"/>
      <c r="U400" s="1021"/>
      <c r="V400" s="1021"/>
      <c r="W400" s="1021"/>
      <c r="X400" s="1021"/>
      <c r="Y400" s="1021"/>
      <c r="Z400" s="1021"/>
      <c r="AA400" s="1021"/>
      <c r="AB400" s="1021"/>
      <c r="AC400" s="1021"/>
      <c r="AD400" s="1021"/>
      <c r="AE400" s="1021"/>
      <c r="AF400" s="1021"/>
      <c r="AG400" s="1021"/>
      <c r="AH400" s="1021"/>
      <c r="AI400" s="1021"/>
      <c r="AJ400" s="1021"/>
      <c r="AK400" s="1021"/>
      <c r="AL400" s="1021"/>
      <c r="AM400" s="1021"/>
      <c r="AN400" s="1021"/>
      <c r="AO400" s="1021"/>
      <c r="AP400" s="1021"/>
      <c r="AQ400" s="1021"/>
      <c r="AR400" s="1021"/>
      <c r="AS400" s="1021"/>
      <c r="AT400" s="1021"/>
      <c r="AU400" s="1021"/>
      <c r="AV400" s="1021"/>
      <c r="AW400" s="1021"/>
      <c r="AX400" s="1021"/>
      <c r="AY400" s="1021"/>
      <c r="AZ400" s="1021"/>
      <c r="BA400" s="1021"/>
      <c r="BB400" s="1021"/>
      <c r="BC400" s="1021"/>
      <c r="BD400" s="1021"/>
      <c r="BE400" s="1021"/>
      <c r="BF400" s="1021"/>
      <c r="BG400" s="1021"/>
      <c r="BH400" s="1021"/>
      <c r="BI400" s="1021"/>
      <c r="BJ400" s="1021"/>
      <c r="BK400" s="1021"/>
      <c r="BL400" s="1021"/>
      <c r="BM400" s="1021"/>
      <c r="BN400" s="1021"/>
      <c r="BO400" s="1021"/>
      <c r="BP400" s="1021"/>
      <c r="BQ400" s="1021"/>
      <c r="BR400" s="1021"/>
      <c r="BS400" s="1021"/>
      <c r="BT400" s="1021"/>
      <c r="BU400" s="1021"/>
      <c r="BV400" s="1021"/>
      <c r="BW400" s="1021"/>
      <c r="BX400" s="1021"/>
      <c r="BY400" s="1021"/>
      <c r="BZ400" s="1021"/>
      <c r="CA400" s="1021"/>
      <c r="CB400" s="1021"/>
      <c r="CC400" s="1021"/>
    </row>
    <row r="401" spans="8:81" x14ac:dyDescent="0.25">
      <c r="H401" s="1021"/>
      <c r="I401" s="1021"/>
      <c r="J401" s="1021"/>
      <c r="K401" s="1021"/>
      <c r="L401" s="1021"/>
      <c r="M401" s="1021"/>
      <c r="N401" s="1021"/>
      <c r="O401" s="1021"/>
      <c r="P401" s="1021"/>
      <c r="Q401" s="1021"/>
      <c r="R401" s="1021"/>
      <c r="S401" s="1021"/>
      <c r="T401" s="1021"/>
      <c r="U401" s="1021"/>
      <c r="V401" s="1021"/>
      <c r="W401" s="1021"/>
      <c r="X401" s="1021"/>
      <c r="Y401" s="1021"/>
      <c r="Z401" s="1021"/>
      <c r="AA401" s="1021"/>
      <c r="AB401" s="1021"/>
      <c r="AC401" s="1021"/>
      <c r="AD401" s="1021"/>
      <c r="AE401" s="1021"/>
      <c r="AF401" s="1021"/>
      <c r="AG401" s="1021"/>
      <c r="AH401" s="1021"/>
      <c r="AI401" s="1021"/>
      <c r="AJ401" s="1021"/>
      <c r="AK401" s="1021"/>
      <c r="AL401" s="1021"/>
      <c r="AM401" s="1021"/>
      <c r="AN401" s="1021"/>
      <c r="AO401" s="1021"/>
      <c r="AP401" s="1021"/>
      <c r="AQ401" s="1021"/>
      <c r="AR401" s="1021"/>
      <c r="AS401" s="1021"/>
      <c r="AT401" s="1021"/>
      <c r="AU401" s="1021"/>
      <c r="AV401" s="1021"/>
      <c r="AW401" s="1021"/>
      <c r="AX401" s="1021"/>
      <c r="AY401" s="1021"/>
      <c r="AZ401" s="1021"/>
      <c r="BA401" s="1021"/>
      <c r="BB401" s="1021"/>
      <c r="BC401" s="1021"/>
      <c r="BD401" s="1021"/>
      <c r="BE401" s="1021"/>
      <c r="BF401" s="1021"/>
      <c r="BG401" s="1021"/>
      <c r="BH401" s="1021"/>
      <c r="BI401" s="1021"/>
      <c r="BJ401" s="1021"/>
      <c r="BK401" s="1021"/>
      <c r="BL401" s="1021"/>
      <c r="BM401" s="1021"/>
      <c r="BN401" s="1021"/>
      <c r="BO401" s="1021"/>
      <c r="BP401" s="1021"/>
      <c r="BQ401" s="1021"/>
      <c r="BR401" s="1021"/>
      <c r="BS401" s="1021"/>
      <c r="BT401" s="1021"/>
      <c r="BU401" s="1021"/>
      <c r="BV401" s="1021"/>
      <c r="BW401" s="1021"/>
      <c r="BX401" s="1021"/>
      <c r="BY401" s="1021"/>
      <c r="BZ401" s="1021"/>
      <c r="CA401" s="1021"/>
      <c r="CB401" s="1021"/>
      <c r="CC401" s="1021"/>
    </row>
    <row r="402" spans="8:81" x14ac:dyDescent="0.25">
      <c r="H402" s="1021"/>
      <c r="I402" s="1021"/>
      <c r="J402" s="1021"/>
      <c r="K402" s="1021"/>
      <c r="L402" s="1021"/>
      <c r="M402" s="1021"/>
      <c r="N402" s="1021"/>
      <c r="O402" s="1021"/>
      <c r="P402" s="1021"/>
      <c r="Q402" s="1021"/>
      <c r="R402" s="1021"/>
      <c r="S402" s="1021"/>
      <c r="T402" s="1021"/>
      <c r="U402" s="1021"/>
      <c r="V402" s="1021"/>
      <c r="W402" s="1021"/>
      <c r="X402" s="1021"/>
      <c r="Y402" s="1021"/>
      <c r="Z402" s="1021"/>
      <c r="AA402" s="1021"/>
      <c r="AB402" s="1021"/>
      <c r="AC402" s="1021"/>
      <c r="AD402" s="1021"/>
      <c r="AE402" s="1021"/>
      <c r="AF402" s="1021"/>
      <c r="AG402" s="1021"/>
      <c r="AH402" s="1021"/>
      <c r="AI402" s="1021"/>
      <c r="AJ402" s="1021"/>
      <c r="AK402" s="1021"/>
      <c r="AL402" s="1021"/>
      <c r="AM402" s="1021"/>
      <c r="AN402" s="1021"/>
      <c r="AO402" s="1021"/>
      <c r="AP402" s="1021"/>
      <c r="AQ402" s="1021"/>
      <c r="AR402" s="1021"/>
      <c r="AS402" s="1021"/>
      <c r="AT402" s="1021"/>
      <c r="AU402" s="1021"/>
      <c r="AV402" s="1021"/>
      <c r="AW402" s="1021"/>
      <c r="AX402" s="1021"/>
      <c r="AY402" s="1021"/>
      <c r="AZ402" s="1021"/>
      <c r="BA402" s="1021"/>
      <c r="BB402" s="1021"/>
      <c r="BC402" s="1021"/>
      <c r="BD402" s="1021"/>
      <c r="BE402" s="1021"/>
      <c r="BF402" s="1021"/>
      <c r="BG402" s="1021"/>
      <c r="BH402" s="1021"/>
      <c r="BI402" s="1021"/>
      <c r="BJ402" s="1021"/>
      <c r="BK402" s="1021"/>
      <c r="BL402" s="1021"/>
      <c r="BM402" s="1021"/>
      <c r="BN402" s="1021"/>
      <c r="BO402" s="1021"/>
      <c r="BP402" s="1021"/>
      <c r="BQ402" s="1021"/>
      <c r="BR402" s="1021"/>
      <c r="BS402" s="1021"/>
      <c r="BT402" s="1021"/>
      <c r="BU402" s="1021"/>
      <c r="BV402" s="1021"/>
      <c r="BW402" s="1021"/>
      <c r="BX402" s="1021"/>
      <c r="BY402" s="1021"/>
      <c r="BZ402" s="1021"/>
      <c r="CA402" s="1021"/>
      <c r="CB402" s="1021"/>
      <c r="CC402" s="1021"/>
    </row>
    <row r="403" spans="8:81" x14ac:dyDescent="0.25">
      <c r="H403" s="1021"/>
      <c r="I403" s="1021"/>
      <c r="J403" s="1021"/>
      <c r="K403" s="1021"/>
      <c r="L403" s="1021"/>
      <c r="M403" s="1021"/>
      <c r="N403" s="1021"/>
      <c r="O403" s="1021"/>
      <c r="P403" s="1021"/>
      <c r="Q403" s="1021"/>
      <c r="R403" s="1021"/>
      <c r="S403" s="1021"/>
      <c r="T403" s="1021"/>
      <c r="U403" s="1021"/>
      <c r="V403" s="1021"/>
      <c r="W403" s="1021"/>
      <c r="X403" s="1021"/>
      <c r="Y403" s="1021"/>
      <c r="Z403" s="1021"/>
      <c r="AA403" s="1021"/>
      <c r="AB403" s="1021"/>
      <c r="AC403" s="1021"/>
      <c r="AD403" s="1021"/>
      <c r="AE403" s="1021"/>
      <c r="AF403" s="1021"/>
      <c r="AG403" s="1021"/>
      <c r="AH403" s="1021"/>
      <c r="AI403" s="1021"/>
      <c r="AJ403" s="1021"/>
      <c r="AK403" s="1021"/>
      <c r="AL403" s="1021"/>
      <c r="AM403" s="1021"/>
      <c r="AN403" s="1021"/>
      <c r="AO403" s="1021"/>
      <c r="AP403" s="1021"/>
      <c r="AQ403" s="1021"/>
      <c r="AR403" s="1021"/>
      <c r="AS403" s="1021"/>
      <c r="AT403" s="1021"/>
      <c r="AU403" s="1021"/>
      <c r="AV403" s="1021"/>
      <c r="AW403" s="1021"/>
      <c r="AX403" s="1021"/>
      <c r="AY403" s="1021"/>
      <c r="AZ403" s="1021"/>
      <c r="BA403" s="1021"/>
      <c r="BB403" s="1021"/>
      <c r="BC403" s="1021"/>
      <c r="BD403" s="1021"/>
      <c r="BE403" s="1021"/>
      <c r="BF403" s="1021"/>
      <c r="BG403" s="1021"/>
      <c r="BH403" s="1021"/>
      <c r="BI403" s="1021"/>
      <c r="BJ403" s="1021"/>
      <c r="BK403" s="1021"/>
      <c r="BL403" s="1021"/>
      <c r="BM403" s="1021"/>
      <c r="BN403" s="1021"/>
      <c r="BO403" s="1021"/>
      <c r="BP403" s="1021"/>
      <c r="BQ403" s="1021"/>
      <c r="BR403" s="1021"/>
      <c r="BS403" s="1021"/>
      <c r="BT403" s="1021"/>
      <c r="BU403" s="1021"/>
      <c r="BV403" s="1021"/>
      <c r="BW403" s="1021"/>
      <c r="BX403" s="1021"/>
      <c r="BY403" s="1021"/>
      <c r="BZ403" s="1021"/>
      <c r="CA403" s="1021"/>
      <c r="CB403" s="1021"/>
      <c r="CC403" s="1021"/>
    </row>
    <row r="404" spans="8:81" x14ac:dyDescent="0.25">
      <c r="H404" s="1021"/>
      <c r="I404" s="1021"/>
      <c r="J404" s="1021"/>
      <c r="K404" s="1021"/>
      <c r="L404" s="1021"/>
      <c r="M404" s="1021"/>
      <c r="N404" s="1021"/>
      <c r="O404" s="1021"/>
      <c r="P404" s="1021"/>
      <c r="Q404" s="1021"/>
      <c r="R404" s="1021"/>
      <c r="S404" s="1021"/>
      <c r="T404" s="1021"/>
      <c r="U404" s="1021"/>
      <c r="V404" s="1021"/>
      <c r="W404" s="1021"/>
      <c r="X404" s="1021"/>
      <c r="Y404" s="1021"/>
      <c r="Z404" s="1021"/>
      <c r="AA404" s="1021"/>
      <c r="AB404" s="1021"/>
      <c r="AC404" s="1021"/>
      <c r="AD404" s="1021"/>
      <c r="AE404" s="1021"/>
      <c r="AF404" s="1021"/>
      <c r="AG404" s="1021"/>
      <c r="AH404" s="1021"/>
      <c r="AI404" s="1021"/>
      <c r="AJ404" s="1021"/>
      <c r="AK404" s="1021"/>
      <c r="AL404" s="1021"/>
      <c r="AM404" s="1021"/>
      <c r="AN404" s="1021"/>
      <c r="AO404" s="1021"/>
      <c r="AP404" s="1021"/>
      <c r="AQ404" s="1021"/>
      <c r="AR404" s="1021"/>
      <c r="AS404" s="1021"/>
      <c r="AT404" s="1021"/>
      <c r="AU404" s="1021"/>
      <c r="AV404" s="1021"/>
      <c r="AW404" s="1021"/>
      <c r="AX404" s="1021"/>
      <c r="AY404" s="1021"/>
      <c r="AZ404" s="1021"/>
      <c r="BA404" s="1021"/>
      <c r="BB404" s="1021"/>
      <c r="BC404" s="1021"/>
      <c r="BD404" s="1021"/>
      <c r="BE404" s="1021"/>
      <c r="BF404" s="1021"/>
      <c r="BG404" s="1021"/>
      <c r="BH404" s="1021"/>
      <c r="BI404" s="1021"/>
      <c r="BJ404" s="1021"/>
      <c r="BK404" s="1021"/>
      <c r="BL404" s="1021"/>
      <c r="BM404" s="1021"/>
      <c r="BN404" s="1021"/>
      <c r="BO404" s="1021"/>
      <c r="BP404" s="1021"/>
      <c r="BQ404" s="1021"/>
      <c r="BR404" s="1021"/>
      <c r="BS404" s="1021"/>
      <c r="BT404" s="1021"/>
      <c r="BU404" s="1021"/>
      <c r="BV404" s="1021"/>
      <c r="BW404" s="1021"/>
      <c r="BX404" s="1021"/>
      <c r="BY404" s="1021"/>
      <c r="BZ404" s="1021"/>
      <c r="CA404" s="1021"/>
      <c r="CB404" s="1021"/>
      <c r="CC404" s="1021"/>
    </row>
    <row r="405" spans="8:81" x14ac:dyDescent="0.25">
      <c r="H405" s="1021"/>
      <c r="I405" s="1021"/>
      <c r="J405" s="1021"/>
      <c r="K405" s="1021"/>
      <c r="L405" s="1021"/>
      <c r="M405" s="1021"/>
      <c r="N405" s="1021"/>
      <c r="O405" s="1021"/>
      <c r="P405" s="1021"/>
      <c r="Q405" s="1021"/>
      <c r="R405" s="1021"/>
      <c r="S405" s="1021"/>
      <c r="T405" s="1021"/>
      <c r="U405" s="1021"/>
      <c r="V405" s="1021"/>
      <c r="W405" s="1021"/>
      <c r="X405" s="1021"/>
      <c r="Y405" s="1021"/>
      <c r="Z405" s="1021"/>
      <c r="AA405" s="1021"/>
      <c r="AB405" s="1021"/>
      <c r="AC405" s="1021"/>
      <c r="AD405" s="1021"/>
      <c r="AE405" s="1021"/>
      <c r="AF405" s="1021"/>
      <c r="AG405" s="1021"/>
      <c r="AH405" s="1021"/>
      <c r="AI405" s="1021"/>
      <c r="AJ405" s="1021"/>
      <c r="AK405" s="1021"/>
      <c r="AL405" s="1021"/>
      <c r="AM405" s="1021"/>
      <c r="AN405" s="1021"/>
      <c r="AO405" s="1021"/>
      <c r="AP405" s="1021"/>
      <c r="AQ405" s="1021"/>
      <c r="AR405" s="1021"/>
      <c r="AS405" s="1021"/>
      <c r="AT405" s="1021"/>
      <c r="AU405" s="1021"/>
      <c r="AV405" s="1021"/>
      <c r="AW405" s="1021"/>
      <c r="AX405" s="1021"/>
      <c r="AY405" s="1021"/>
      <c r="AZ405" s="1021"/>
      <c r="BA405" s="1021"/>
      <c r="BB405" s="1021"/>
      <c r="BC405" s="1021"/>
      <c r="BD405" s="1021"/>
      <c r="BE405" s="1021"/>
      <c r="BF405" s="1021"/>
      <c r="BG405" s="1021"/>
      <c r="BH405" s="1021"/>
      <c r="BI405" s="1021"/>
      <c r="BJ405" s="1021"/>
      <c r="BK405" s="1021"/>
      <c r="BL405" s="1021"/>
      <c r="BM405" s="1021"/>
      <c r="BN405" s="1021"/>
      <c r="BO405" s="1021"/>
      <c r="BP405" s="1021"/>
      <c r="BQ405" s="1021"/>
      <c r="BR405" s="1021"/>
      <c r="BS405" s="1021"/>
      <c r="BT405" s="1021"/>
      <c r="BU405" s="1021"/>
      <c r="BV405" s="1021"/>
      <c r="BW405" s="1021"/>
      <c r="BX405" s="1021"/>
      <c r="BY405" s="1021"/>
      <c r="BZ405" s="1021"/>
      <c r="CA405" s="1021"/>
      <c r="CB405" s="1021"/>
      <c r="CC405" s="1021"/>
    </row>
    <row r="406" spans="8:81" x14ac:dyDescent="0.25">
      <c r="H406" s="1021"/>
      <c r="I406" s="1021"/>
      <c r="J406" s="1021"/>
      <c r="K406" s="1021"/>
      <c r="L406" s="1021"/>
      <c r="M406" s="1021"/>
      <c r="N406" s="1021"/>
      <c r="O406" s="1021"/>
      <c r="P406" s="1021"/>
      <c r="Q406" s="1021"/>
      <c r="R406" s="1021"/>
      <c r="S406" s="1021"/>
      <c r="T406" s="1021"/>
      <c r="U406" s="1021"/>
      <c r="V406" s="1021"/>
      <c r="W406" s="1021"/>
      <c r="X406" s="1021"/>
      <c r="Y406" s="1021"/>
      <c r="Z406" s="1021"/>
      <c r="AA406" s="1021"/>
      <c r="AB406" s="1021"/>
      <c r="AC406" s="1021"/>
      <c r="AD406" s="1021"/>
      <c r="AE406" s="1021"/>
      <c r="AF406" s="1021"/>
      <c r="AG406" s="1021"/>
      <c r="AH406" s="1021"/>
      <c r="AI406" s="1021"/>
      <c r="AJ406" s="1021"/>
      <c r="AK406" s="1021"/>
      <c r="AL406" s="1021"/>
      <c r="AM406" s="1021"/>
      <c r="AN406" s="1021"/>
      <c r="AO406" s="1021"/>
      <c r="AP406" s="1021"/>
      <c r="AQ406" s="1021"/>
      <c r="AR406" s="1021"/>
      <c r="AS406" s="1021"/>
      <c r="AT406" s="1021"/>
      <c r="AU406" s="1021"/>
      <c r="AV406" s="1021"/>
      <c r="AW406" s="1021"/>
      <c r="AX406" s="1021"/>
      <c r="AY406" s="1021"/>
      <c r="AZ406" s="1021"/>
      <c r="BA406" s="1021"/>
      <c r="BB406" s="1021"/>
      <c r="BC406" s="1021"/>
      <c r="BD406" s="1021"/>
      <c r="BE406" s="1021"/>
      <c r="BF406" s="1021"/>
      <c r="BG406" s="1021"/>
      <c r="BH406" s="1021"/>
      <c r="BI406" s="1021"/>
      <c r="BJ406" s="1021"/>
      <c r="BK406" s="1021"/>
      <c r="BL406" s="1021"/>
      <c r="BM406" s="1021"/>
      <c r="BN406" s="1021"/>
      <c r="BO406" s="1021"/>
      <c r="BP406" s="1021"/>
      <c r="BQ406" s="1021"/>
      <c r="BR406" s="1021"/>
      <c r="BS406" s="1021"/>
      <c r="BT406" s="1021"/>
      <c r="BU406" s="1021"/>
      <c r="BV406" s="1021"/>
      <c r="BW406" s="1021"/>
      <c r="BX406" s="1021"/>
      <c r="BY406" s="1021"/>
      <c r="BZ406" s="1021"/>
      <c r="CA406" s="1021"/>
      <c r="CB406" s="1021"/>
      <c r="CC406" s="1021"/>
    </row>
    <row r="407" spans="8:81" x14ac:dyDescent="0.25">
      <c r="H407" s="1021"/>
      <c r="I407" s="1021"/>
      <c r="J407" s="1021"/>
      <c r="K407" s="1021"/>
      <c r="L407" s="1021"/>
      <c r="M407" s="1021"/>
      <c r="N407" s="1021"/>
      <c r="O407" s="1021"/>
      <c r="P407" s="1021"/>
      <c r="Q407" s="1021"/>
      <c r="R407" s="1021"/>
      <c r="S407" s="1021"/>
      <c r="T407" s="1021"/>
      <c r="U407" s="1021"/>
      <c r="V407" s="1021"/>
      <c r="W407" s="1021"/>
      <c r="X407" s="1021"/>
      <c r="Y407" s="1021"/>
      <c r="Z407" s="1021"/>
      <c r="AA407" s="1021"/>
      <c r="AB407" s="1021"/>
      <c r="AC407" s="1021"/>
      <c r="AD407" s="1021"/>
      <c r="AE407" s="1021"/>
      <c r="AF407" s="1021"/>
      <c r="AG407" s="1021"/>
      <c r="AH407" s="1021"/>
      <c r="AI407" s="1021"/>
      <c r="AJ407" s="1021"/>
      <c r="AK407" s="1021"/>
      <c r="AL407" s="1021"/>
      <c r="AM407" s="1021"/>
      <c r="AN407" s="1021"/>
      <c r="AO407" s="1021"/>
      <c r="AP407" s="1021"/>
      <c r="AQ407" s="1021"/>
      <c r="AR407" s="1021"/>
      <c r="AS407" s="1021"/>
      <c r="AT407" s="1021"/>
      <c r="AU407" s="1021"/>
      <c r="AV407" s="1021"/>
      <c r="AW407" s="1021"/>
      <c r="AX407" s="1021"/>
      <c r="AY407" s="1021"/>
      <c r="AZ407" s="1021"/>
      <c r="BA407" s="1021"/>
      <c r="BB407" s="1021"/>
      <c r="BC407" s="1021"/>
      <c r="BD407" s="1021"/>
      <c r="BE407" s="1021"/>
      <c r="BF407" s="1021"/>
      <c r="BG407" s="1021"/>
      <c r="BH407" s="1021"/>
      <c r="BI407" s="1021"/>
      <c r="BJ407" s="1021"/>
      <c r="BK407" s="1021"/>
      <c r="BL407" s="1021"/>
      <c r="BM407" s="1021"/>
      <c r="BN407" s="1021"/>
      <c r="BO407" s="1021"/>
      <c r="BP407" s="1021"/>
      <c r="BQ407" s="1021"/>
      <c r="BR407" s="1021"/>
      <c r="BS407" s="1021"/>
      <c r="BT407" s="1021"/>
      <c r="BU407" s="1021"/>
      <c r="BV407" s="1021"/>
      <c r="BW407" s="1021"/>
      <c r="BX407" s="1021"/>
      <c r="BY407" s="1021"/>
      <c r="BZ407" s="1021"/>
      <c r="CA407" s="1021"/>
      <c r="CB407" s="1021"/>
      <c r="CC407" s="1021"/>
    </row>
    <row r="408" spans="8:81" x14ac:dyDescent="0.25">
      <c r="H408" s="1021"/>
      <c r="I408" s="1021"/>
      <c r="J408" s="1021"/>
      <c r="K408" s="1021"/>
      <c r="L408" s="1021"/>
      <c r="M408" s="1021"/>
      <c r="N408" s="1021"/>
      <c r="O408" s="1021"/>
      <c r="P408" s="1021"/>
      <c r="Q408" s="1021"/>
      <c r="R408" s="1021"/>
      <c r="S408" s="1021"/>
      <c r="T408" s="1021"/>
      <c r="U408" s="1021"/>
      <c r="V408" s="1021"/>
      <c r="W408" s="1021"/>
      <c r="X408" s="1021"/>
      <c r="Y408" s="1021"/>
      <c r="Z408" s="1021"/>
      <c r="AA408" s="1021"/>
      <c r="AB408" s="1021"/>
      <c r="AC408" s="1021"/>
      <c r="AD408" s="1021"/>
      <c r="AE408" s="1021"/>
      <c r="AF408" s="1021"/>
      <c r="AG408" s="1021"/>
      <c r="AH408" s="1021"/>
      <c r="AI408" s="1021"/>
      <c r="AJ408" s="1021"/>
      <c r="AK408" s="1021"/>
      <c r="AL408" s="1021"/>
      <c r="AM408" s="1021"/>
      <c r="AN408" s="1021"/>
      <c r="AO408" s="1021"/>
      <c r="AP408" s="1021"/>
      <c r="AQ408" s="1021"/>
      <c r="AR408" s="1021"/>
      <c r="AS408" s="1021"/>
      <c r="AT408" s="1021"/>
      <c r="AU408" s="1021"/>
      <c r="AV408" s="1021"/>
      <c r="AW408" s="1021"/>
      <c r="AX408" s="1021"/>
      <c r="AY408" s="1021"/>
      <c r="AZ408" s="1021"/>
      <c r="BA408" s="1021"/>
      <c r="BB408" s="1021"/>
      <c r="BC408" s="1021"/>
      <c r="BD408" s="1021"/>
      <c r="BE408" s="1021"/>
      <c r="BF408" s="1021"/>
      <c r="BG408" s="1021"/>
      <c r="BH408" s="1021"/>
      <c r="BI408" s="1021"/>
      <c r="BJ408" s="1021"/>
      <c r="BK408" s="1021"/>
      <c r="BL408" s="1021"/>
      <c r="BM408" s="1021"/>
      <c r="BN408" s="1021"/>
      <c r="BO408" s="1021"/>
      <c r="BP408" s="1021"/>
      <c r="BQ408" s="1021"/>
      <c r="BR408" s="1021"/>
      <c r="BS408" s="1021"/>
      <c r="BT408" s="1021"/>
      <c r="BU408" s="1021"/>
      <c r="BV408" s="1021"/>
      <c r="BW408" s="1021"/>
      <c r="BX408" s="1021"/>
      <c r="BY408" s="1021"/>
      <c r="BZ408" s="1021"/>
      <c r="CA408" s="1021"/>
      <c r="CB408" s="1021"/>
      <c r="CC408" s="1021"/>
    </row>
    <row r="409" spans="8:81" x14ac:dyDescent="0.25">
      <c r="H409" s="1021"/>
      <c r="I409" s="1021"/>
      <c r="J409" s="1021"/>
      <c r="K409" s="1021"/>
      <c r="L409" s="1021"/>
      <c r="M409" s="1021"/>
      <c r="N409" s="1021"/>
      <c r="O409" s="1021"/>
      <c r="P409" s="1021"/>
      <c r="Q409" s="1021"/>
      <c r="R409" s="1021"/>
      <c r="S409" s="1021"/>
      <c r="T409" s="1021"/>
      <c r="U409" s="1021"/>
      <c r="V409" s="1021"/>
      <c r="W409" s="1021"/>
      <c r="X409" s="1021"/>
      <c r="Y409" s="1021"/>
      <c r="Z409" s="1021"/>
      <c r="AA409" s="1021"/>
      <c r="AB409" s="1021"/>
      <c r="AC409" s="1021"/>
      <c r="AD409" s="1021"/>
      <c r="AE409" s="1021"/>
      <c r="AF409" s="1021"/>
      <c r="AG409" s="1021"/>
      <c r="AH409" s="1021"/>
      <c r="AI409" s="1021"/>
      <c r="AJ409" s="1021"/>
      <c r="AK409" s="1021"/>
      <c r="AL409" s="1021"/>
      <c r="AM409" s="1021"/>
      <c r="AN409" s="1021"/>
      <c r="AO409" s="1021"/>
      <c r="AP409" s="1021"/>
      <c r="AQ409" s="1021"/>
      <c r="AR409" s="1021"/>
      <c r="AS409" s="1021"/>
      <c r="AT409" s="1021"/>
      <c r="AU409" s="1021"/>
      <c r="AV409" s="1021"/>
      <c r="AW409" s="1021"/>
      <c r="AX409" s="1021"/>
      <c r="AY409" s="1021"/>
      <c r="AZ409" s="1021"/>
      <c r="BA409" s="1021"/>
      <c r="BB409" s="1021"/>
      <c r="BC409" s="1021"/>
      <c r="BD409" s="1021"/>
      <c r="BE409" s="1021"/>
      <c r="BF409" s="1021"/>
      <c r="BG409" s="1021"/>
      <c r="BH409" s="1021"/>
      <c r="BI409" s="1021"/>
      <c r="BJ409" s="1021"/>
      <c r="BK409" s="1021"/>
      <c r="BL409" s="1021"/>
      <c r="BM409" s="1021"/>
      <c r="BN409" s="1021"/>
      <c r="BO409" s="1021"/>
      <c r="BP409" s="1021"/>
      <c r="BQ409" s="1021"/>
      <c r="BR409" s="1021"/>
      <c r="BS409" s="1021"/>
      <c r="BT409" s="1021"/>
      <c r="BU409" s="1021"/>
      <c r="BV409" s="1021"/>
      <c r="BW409" s="1021"/>
      <c r="BX409" s="1021"/>
      <c r="BY409" s="1021"/>
      <c r="BZ409" s="1021"/>
      <c r="CA409" s="1021"/>
      <c r="CB409" s="1021"/>
      <c r="CC409" s="1021"/>
    </row>
    <row r="410" spans="8:81" x14ac:dyDescent="0.25">
      <c r="H410" s="1021"/>
      <c r="I410" s="1021"/>
      <c r="J410" s="1021"/>
      <c r="K410" s="1021"/>
      <c r="L410" s="1021"/>
      <c r="M410" s="1021"/>
      <c r="N410" s="1021"/>
      <c r="O410" s="1021"/>
      <c r="P410" s="1021"/>
      <c r="Q410" s="1021"/>
      <c r="R410" s="1021"/>
      <c r="S410" s="1021"/>
      <c r="T410" s="1021"/>
      <c r="U410" s="1021"/>
      <c r="V410" s="1021"/>
      <c r="W410" s="1021"/>
      <c r="X410" s="1021"/>
      <c r="Y410" s="1021"/>
      <c r="Z410" s="1021"/>
      <c r="AA410" s="1021"/>
      <c r="AB410" s="1021"/>
      <c r="AC410" s="1021"/>
      <c r="AD410" s="1021"/>
      <c r="AE410" s="1021"/>
      <c r="AF410" s="1021"/>
      <c r="AG410" s="1021"/>
      <c r="AH410" s="1021"/>
      <c r="AI410" s="1021"/>
      <c r="AJ410" s="1021"/>
      <c r="AK410" s="1021"/>
      <c r="AL410" s="1021"/>
      <c r="AM410" s="1021"/>
      <c r="AN410" s="1021"/>
      <c r="AO410" s="1021"/>
      <c r="AP410" s="1021"/>
      <c r="AQ410" s="1021"/>
      <c r="AR410" s="1021"/>
      <c r="AS410" s="1021"/>
      <c r="AT410" s="1021"/>
      <c r="AU410" s="1021"/>
      <c r="AV410" s="1021"/>
      <c r="AW410" s="1021"/>
      <c r="AX410" s="1021"/>
      <c r="AY410" s="1021"/>
      <c r="AZ410" s="1021"/>
      <c r="BA410" s="1021"/>
      <c r="BB410" s="1021"/>
      <c r="BC410" s="1021"/>
      <c r="BD410" s="1021"/>
      <c r="BE410" s="1021"/>
      <c r="BF410" s="1021"/>
      <c r="BG410" s="1021"/>
      <c r="BH410" s="1021"/>
      <c r="BI410" s="1021"/>
      <c r="BJ410" s="1021"/>
      <c r="BK410" s="1021"/>
      <c r="BL410" s="1021"/>
      <c r="BM410" s="1021"/>
      <c r="BN410" s="1021"/>
      <c r="BO410" s="1021"/>
      <c r="BP410" s="1021"/>
      <c r="BQ410" s="1021"/>
      <c r="BR410" s="1021"/>
      <c r="BS410" s="1021"/>
      <c r="BT410" s="1021"/>
      <c r="BU410" s="1021"/>
      <c r="BV410" s="1021"/>
      <c r="BW410" s="1021"/>
      <c r="BX410" s="1021"/>
      <c r="BY410" s="1021"/>
      <c r="BZ410" s="1021"/>
      <c r="CA410" s="1021"/>
      <c r="CB410" s="1021"/>
      <c r="CC410" s="1021"/>
    </row>
    <row r="411" spans="8:81" x14ac:dyDescent="0.25">
      <c r="H411" s="1021"/>
      <c r="I411" s="1021"/>
      <c r="J411" s="1021"/>
      <c r="K411" s="1021"/>
      <c r="L411" s="1021"/>
      <c r="M411" s="1021"/>
      <c r="N411" s="1021"/>
      <c r="O411" s="1021"/>
      <c r="P411" s="1021"/>
      <c r="Q411" s="1021"/>
      <c r="R411" s="1021"/>
      <c r="S411" s="1021"/>
      <c r="T411" s="1021"/>
      <c r="U411" s="1021"/>
      <c r="V411" s="1021"/>
      <c r="W411" s="1021"/>
      <c r="X411" s="1021"/>
      <c r="Y411" s="1021"/>
      <c r="Z411" s="1021"/>
      <c r="AA411" s="1021"/>
      <c r="AB411" s="1021"/>
      <c r="AC411" s="1021"/>
      <c r="AD411" s="1021"/>
      <c r="AE411" s="1021"/>
      <c r="AF411" s="1021"/>
      <c r="AG411" s="1021"/>
      <c r="AH411" s="1021"/>
      <c r="AI411" s="1021"/>
      <c r="AJ411" s="1021"/>
      <c r="AK411" s="1021"/>
      <c r="AL411" s="1021"/>
      <c r="AM411" s="1021"/>
      <c r="AN411" s="1021"/>
      <c r="AO411" s="1021"/>
      <c r="AP411" s="1021"/>
      <c r="AQ411" s="1021"/>
      <c r="AR411" s="1021"/>
      <c r="AS411" s="1021"/>
      <c r="AT411" s="1021"/>
      <c r="AU411" s="1021"/>
      <c r="AV411" s="1021"/>
      <c r="AW411" s="1021"/>
      <c r="AX411" s="1021"/>
      <c r="AY411" s="1021"/>
      <c r="AZ411" s="1021"/>
      <c r="BA411" s="1021"/>
      <c r="BB411" s="1021"/>
      <c r="BC411" s="1021"/>
      <c r="BD411" s="1021"/>
      <c r="BE411" s="1021"/>
      <c r="BF411" s="1021"/>
      <c r="BG411" s="1021"/>
      <c r="BH411" s="1021"/>
      <c r="BI411" s="1021"/>
      <c r="BJ411" s="1021"/>
      <c r="BK411" s="1021"/>
      <c r="BL411" s="1021"/>
      <c r="BM411" s="1021"/>
      <c r="BN411" s="1021"/>
      <c r="BO411" s="1021"/>
      <c r="BP411" s="1021"/>
      <c r="BQ411" s="1021"/>
      <c r="BR411" s="1021"/>
      <c r="BS411" s="1021"/>
      <c r="BT411" s="1021"/>
      <c r="BU411" s="1021"/>
      <c r="BV411" s="1021"/>
      <c r="BW411" s="1021"/>
      <c r="BX411" s="1021"/>
      <c r="BY411" s="1021"/>
      <c r="BZ411" s="1021"/>
      <c r="CA411" s="1021"/>
      <c r="CB411" s="1021"/>
      <c r="CC411" s="1021"/>
    </row>
    <row r="412" spans="8:81" x14ac:dyDescent="0.25">
      <c r="H412" s="1021"/>
      <c r="I412" s="1021"/>
      <c r="J412" s="1021"/>
      <c r="K412" s="1021"/>
      <c r="L412" s="1021"/>
      <c r="M412" s="1021"/>
      <c r="N412" s="1021"/>
      <c r="O412" s="1021"/>
      <c r="P412" s="1021"/>
      <c r="Q412" s="1021"/>
      <c r="R412" s="1021"/>
      <c r="S412" s="1021"/>
      <c r="T412" s="1021"/>
      <c r="U412" s="1021"/>
      <c r="V412" s="1021"/>
      <c r="W412" s="1021"/>
      <c r="X412" s="1021"/>
      <c r="Y412" s="1021"/>
      <c r="Z412" s="1021"/>
      <c r="AA412" s="1021"/>
      <c r="AB412" s="1021"/>
      <c r="AC412" s="1021"/>
      <c r="AD412" s="1021"/>
      <c r="AE412" s="1021"/>
      <c r="AF412" s="1021"/>
      <c r="AG412" s="1021"/>
      <c r="AH412" s="1021"/>
      <c r="AI412" s="1021"/>
      <c r="AJ412" s="1021"/>
      <c r="AK412" s="1021"/>
      <c r="AL412" s="1021"/>
      <c r="AM412" s="1021"/>
      <c r="AN412" s="1021"/>
      <c r="AO412" s="1021"/>
      <c r="AP412" s="1021"/>
      <c r="AQ412" s="1021"/>
      <c r="AR412" s="1021"/>
      <c r="AS412" s="1021"/>
      <c r="AT412" s="1021"/>
      <c r="AU412" s="1021"/>
      <c r="AV412" s="1021"/>
      <c r="AW412" s="1021"/>
      <c r="AX412" s="1021"/>
      <c r="AY412" s="1021"/>
      <c r="AZ412" s="1021"/>
      <c r="BA412" s="1021"/>
      <c r="BB412" s="1021"/>
      <c r="BC412" s="1021"/>
      <c r="BD412" s="1021"/>
      <c r="BE412" s="1021"/>
      <c r="BF412" s="1021"/>
      <c r="BG412" s="1021"/>
      <c r="BH412" s="1021"/>
      <c r="BI412" s="1021"/>
      <c r="BJ412" s="1021"/>
      <c r="BK412" s="1021"/>
      <c r="BL412" s="1021"/>
      <c r="BM412" s="1021"/>
      <c r="BN412" s="1021"/>
      <c r="BO412" s="1021"/>
      <c r="BP412" s="1021"/>
      <c r="BQ412" s="1021"/>
      <c r="BR412" s="1021"/>
      <c r="BS412" s="1021"/>
      <c r="BT412" s="1021"/>
      <c r="BU412" s="1021"/>
      <c r="BV412" s="1021"/>
      <c r="BW412" s="1021"/>
      <c r="BX412" s="1021"/>
      <c r="BY412" s="1021"/>
      <c r="BZ412" s="1021"/>
      <c r="CA412" s="1021"/>
      <c r="CB412" s="1021"/>
      <c r="CC412" s="1021"/>
    </row>
    <row r="413" spans="8:81" x14ac:dyDescent="0.25">
      <c r="H413" s="1021"/>
      <c r="I413" s="1021"/>
      <c r="J413" s="1021"/>
      <c r="K413" s="1021"/>
      <c r="L413" s="1021"/>
      <c r="M413" s="1021"/>
      <c r="N413" s="1021"/>
      <c r="O413" s="1021"/>
      <c r="P413" s="1021"/>
      <c r="Q413" s="1021"/>
      <c r="R413" s="1021"/>
      <c r="S413" s="1021"/>
      <c r="T413" s="1021"/>
      <c r="U413" s="1021"/>
      <c r="V413" s="1021"/>
      <c r="W413" s="1021"/>
      <c r="X413" s="1021"/>
      <c r="Y413" s="1021"/>
      <c r="Z413" s="1021"/>
      <c r="AA413" s="1021"/>
      <c r="AB413" s="1021"/>
      <c r="AC413" s="1021"/>
      <c r="AD413" s="1021"/>
      <c r="AE413" s="1021"/>
      <c r="AF413" s="1021"/>
      <c r="AG413" s="1021"/>
      <c r="AH413" s="1021"/>
      <c r="AI413" s="1021"/>
      <c r="AJ413" s="1021"/>
      <c r="AK413" s="1021"/>
      <c r="AL413" s="1021"/>
      <c r="AM413" s="1021"/>
      <c r="AN413" s="1021"/>
      <c r="AO413" s="1021"/>
      <c r="AP413" s="1021"/>
      <c r="AQ413" s="1021"/>
      <c r="AR413" s="1021"/>
      <c r="AS413" s="1021"/>
      <c r="AT413" s="1021"/>
      <c r="AU413" s="1021"/>
      <c r="AV413" s="1021"/>
      <c r="AW413" s="1021"/>
      <c r="AX413" s="1021"/>
      <c r="AY413" s="1021"/>
      <c r="AZ413" s="1021"/>
      <c r="BA413" s="1021"/>
      <c r="BB413" s="1021"/>
      <c r="BC413" s="1021"/>
      <c r="BD413" s="1021"/>
      <c r="BE413" s="1021"/>
      <c r="BF413" s="1021"/>
      <c r="BG413" s="1021"/>
      <c r="BH413" s="1021"/>
      <c r="BI413" s="1021"/>
      <c r="BJ413" s="1021"/>
      <c r="BK413" s="1021"/>
      <c r="BL413" s="1021"/>
      <c r="BM413" s="1021"/>
      <c r="BN413" s="1021"/>
      <c r="BO413" s="1021"/>
      <c r="BP413" s="1021"/>
      <c r="BQ413" s="1021"/>
      <c r="BR413" s="1021"/>
      <c r="BS413" s="1021"/>
      <c r="BT413" s="1021"/>
      <c r="BU413" s="1021"/>
      <c r="BV413" s="1021"/>
      <c r="BW413" s="1021"/>
      <c r="BX413" s="1021"/>
      <c r="BY413" s="1021"/>
      <c r="BZ413" s="1021"/>
      <c r="CA413" s="1021"/>
      <c r="CB413" s="1021"/>
      <c r="CC413" s="1021"/>
    </row>
    <row r="414" spans="8:81" x14ac:dyDescent="0.25">
      <c r="H414" s="1021"/>
      <c r="I414" s="1021"/>
      <c r="J414" s="1021"/>
      <c r="K414" s="1021"/>
      <c r="L414" s="1021"/>
      <c r="M414" s="1021"/>
      <c r="N414" s="1021"/>
      <c r="O414" s="1021"/>
      <c r="P414" s="1021"/>
      <c r="Q414" s="1021"/>
      <c r="R414" s="1021"/>
      <c r="S414" s="1021"/>
      <c r="T414" s="1021"/>
      <c r="U414" s="1021"/>
      <c r="V414" s="1021"/>
      <c r="W414" s="1021"/>
      <c r="X414" s="1021"/>
      <c r="Y414" s="1021"/>
      <c r="Z414" s="1021"/>
      <c r="AA414" s="1021"/>
      <c r="AB414" s="1021"/>
      <c r="AC414" s="1021"/>
      <c r="AD414" s="1021"/>
      <c r="AE414" s="1021"/>
      <c r="AF414" s="1021"/>
      <c r="AG414" s="1021"/>
      <c r="AH414" s="1021"/>
      <c r="AI414" s="1021"/>
      <c r="AJ414" s="1021"/>
      <c r="AK414" s="1021"/>
      <c r="AL414" s="1021"/>
      <c r="AM414" s="1021"/>
      <c r="AN414" s="1021"/>
      <c r="AO414" s="1021"/>
      <c r="AP414" s="1021"/>
      <c r="AQ414" s="1021"/>
      <c r="AR414" s="1021"/>
      <c r="AS414" s="1021"/>
      <c r="AT414" s="1021"/>
      <c r="AU414" s="1021"/>
      <c r="AV414" s="1021"/>
      <c r="AW414" s="1021"/>
      <c r="AX414" s="1021"/>
      <c r="AY414" s="1021"/>
      <c r="AZ414" s="1021"/>
      <c r="BA414" s="1021"/>
      <c r="BB414" s="1021"/>
      <c r="BC414" s="1021"/>
      <c r="BD414" s="1021"/>
      <c r="BE414" s="1021"/>
      <c r="BF414" s="1021"/>
      <c r="BG414" s="1021"/>
      <c r="BH414" s="1021"/>
      <c r="BI414" s="1021"/>
      <c r="BJ414" s="1021"/>
      <c r="BK414" s="1021"/>
      <c r="BL414" s="1021"/>
      <c r="BM414" s="1021"/>
      <c r="BN414" s="1021"/>
      <c r="BO414" s="1021"/>
      <c r="BP414" s="1021"/>
      <c r="BQ414" s="1021"/>
      <c r="BR414" s="1021"/>
      <c r="BS414" s="1021"/>
      <c r="BT414" s="1021"/>
      <c r="BU414" s="1021"/>
      <c r="BV414" s="1021"/>
      <c r="BW414" s="1021"/>
      <c r="BX414" s="1021"/>
      <c r="BY414" s="1021"/>
      <c r="BZ414" s="1021"/>
      <c r="CA414" s="1021"/>
      <c r="CB414" s="1021"/>
      <c r="CC414" s="1021"/>
    </row>
    <row r="415" spans="8:81" x14ac:dyDescent="0.25">
      <c r="H415" s="1021"/>
      <c r="I415" s="1021"/>
      <c r="J415" s="1021"/>
      <c r="K415" s="1021"/>
      <c r="L415" s="1021"/>
      <c r="M415" s="1021"/>
      <c r="N415" s="1021"/>
      <c r="O415" s="1021"/>
      <c r="P415" s="1021"/>
      <c r="Q415" s="1021"/>
      <c r="R415" s="1021"/>
      <c r="S415" s="1021"/>
      <c r="T415" s="1021"/>
      <c r="U415" s="1021"/>
      <c r="V415" s="1021"/>
      <c r="W415" s="1021"/>
      <c r="X415" s="1021"/>
      <c r="Y415" s="1021"/>
      <c r="Z415" s="1021"/>
      <c r="AA415" s="1021"/>
      <c r="AB415" s="1021"/>
      <c r="AC415" s="1021"/>
      <c r="AD415" s="1021"/>
      <c r="AE415" s="1021"/>
      <c r="AF415" s="1021"/>
      <c r="AG415" s="1021"/>
      <c r="AH415" s="1021"/>
      <c r="AI415" s="1021"/>
      <c r="AJ415" s="1021"/>
      <c r="AK415" s="1021"/>
      <c r="AL415" s="1021"/>
      <c r="AM415" s="1021"/>
      <c r="AN415" s="1021"/>
      <c r="AO415" s="1021"/>
      <c r="AP415" s="1021"/>
      <c r="AQ415" s="1021"/>
      <c r="AR415" s="1021"/>
      <c r="AS415" s="1021"/>
      <c r="AT415" s="1021"/>
      <c r="AU415" s="1021"/>
      <c r="AV415" s="1021"/>
      <c r="AW415" s="1021"/>
      <c r="AX415" s="1021"/>
      <c r="AY415" s="1021"/>
      <c r="AZ415" s="1021"/>
      <c r="BA415" s="1021"/>
      <c r="BB415" s="1021"/>
      <c r="BC415" s="1021"/>
      <c r="BD415" s="1021"/>
      <c r="BE415" s="1021"/>
      <c r="BF415" s="1021"/>
      <c r="BG415" s="1021"/>
      <c r="BH415" s="1021"/>
      <c r="BI415" s="1021"/>
      <c r="BJ415" s="1021"/>
      <c r="BK415" s="1021"/>
      <c r="BL415" s="1021"/>
      <c r="BM415" s="1021"/>
      <c r="BN415" s="1021"/>
      <c r="BO415" s="1021"/>
      <c r="BP415" s="1021"/>
      <c r="BQ415" s="1021"/>
      <c r="BR415" s="1021"/>
      <c r="BS415" s="1021"/>
      <c r="BT415" s="1021"/>
      <c r="BU415" s="1021"/>
      <c r="BV415" s="1021"/>
      <c r="BW415" s="1021"/>
      <c r="BX415" s="1021"/>
      <c r="BY415" s="1021"/>
      <c r="BZ415" s="1021"/>
      <c r="CA415" s="1021"/>
      <c r="CB415" s="1021"/>
      <c r="CC415" s="1021"/>
    </row>
    <row r="416" spans="8:81" x14ac:dyDescent="0.25">
      <c r="H416" s="1021"/>
      <c r="I416" s="1021"/>
      <c r="J416" s="1021"/>
      <c r="K416" s="1021"/>
      <c r="L416" s="1021"/>
      <c r="M416" s="1021"/>
      <c r="N416" s="1021"/>
      <c r="O416" s="1021"/>
      <c r="P416" s="1021"/>
      <c r="Q416" s="1021"/>
      <c r="R416" s="1021"/>
      <c r="S416" s="1021"/>
      <c r="T416" s="1021"/>
      <c r="U416" s="1021"/>
      <c r="V416" s="1021"/>
      <c r="W416" s="1021"/>
      <c r="X416" s="1021"/>
      <c r="Y416" s="1021"/>
      <c r="Z416" s="1021"/>
      <c r="AA416" s="1021"/>
      <c r="AB416" s="1021"/>
      <c r="AC416" s="1021"/>
      <c r="AD416" s="1021"/>
      <c r="AE416" s="1021"/>
      <c r="AF416" s="1021"/>
      <c r="AG416" s="1021"/>
      <c r="AH416" s="1021"/>
      <c r="AI416" s="1021"/>
      <c r="AJ416" s="1021"/>
      <c r="AK416" s="1021"/>
      <c r="AL416" s="1021"/>
      <c r="AM416" s="1021"/>
      <c r="AN416" s="1021"/>
      <c r="AO416" s="1021"/>
      <c r="AP416" s="1021"/>
      <c r="AQ416" s="1021"/>
      <c r="AR416" s="1021"/>
      <c r="AS416" s="1021"/>
      <c r="AT416" s="1021"/>
      <c r="AU416" s="1021"/>
      <c r="AV416" s="1021"/>
      <c r="AW416" s="1021"/>
      <c r="AX416" s="1021"/>
      <c r="AY416" s="1021"/>
      <c r="AZ416" s="1021"/>
      <c r="BA416" s="1021"/>
      <c r="BB416" s="1021"/>
      <c r="BC416" s="1021"/>
      <c r="BD416" s="1021"/>
      <c r="BE416" s="1021"/>
      <c r="BF416" s="1021"/>
      <c r="BG416" s="1021"/>
      <c r="BH416" s="1021"/>
      <c r="BI416" s="1021"/>
      <c r="BJ416" s="1021"/>
      <c r="BK416" s="1021"/>
      <c r="BL416" s="1021"/>
      <c r="BM416" s="1021"/>
      <c r="BN416" s="1021"/>
      <c r="BO416" s="1021"/>
      <c r="BP416" s="1021"/>
      <c r="BQ416" s="1021"/>
      <c r="BR416" s="1021"/>
      <c r="BS416" s="1021"/>
      <c r="BT416" s="1021"/>
      <c r="BU416" s="1021"/>
      <c r="BV416" s="1021"/>
      <c r="BW416" s="1021"/>
      <c r="BX416" s="1021"/>
      <c r="BY416" s="1021"/>
      <c r="BZ416" s="1021"/>
      <c r="CA416" s="1021"/>
      <c r="CB416" s="1021"/>
      <c r="CC416" s="1021"/>
    </row>
    <row r="417" spans="8:81" x14ac:dyDescent="0.25">
      <c r="H417" s="1021"/>
      <c r="I417" s="1021"/>
      <c r="J417" s="1021"/>
      <c r="K417" s="1021"/>
      <c r="L417" s="1021"/>
      <c r="M417" s="1021"/>
      <c r="N417" s="1021"/>
      <c r="O417" s="1021"/>
      <c r="P417" s="1021"/>
      <c r="Q417" s="1021"/>
      <c r="R417" s="1021"/>
      <c r="S417" s="1021"/>
      <c r="T417" s="1021"/>
      <c r="U417" s="1021"/>
      <c r="V417" s="1021"/>
      <c r="W417" s="1021"/>
      <c r="X417" s="1021"/>
      <c r="Y417" s="1021"/>
      <c r="Z417" s="1021"/>
      <c r="AA417" s="1021"/>
      <c r="AB417" s="1021"/>
      <c r="AC417" s="1021"/>
      <c r="AD417" s="1021"/>
      <c r="AE417" s="1021"/>
      <c r="AF417" s="1021"/>
      <c r="AG417" s="1021"/>
      <c r="AH417" s="1021"/>
      <c r="AI417" s="1021"/>
      <c r="AJ417" s="1021"/>
      <c r="AK417" s="1021"/>
      <c r="AL417" s="1021"/>
      <c r="AM417" s="1021"/>
      <c r="AN417" s="1021"/>
      <c r="AO417" s="1021"/>
      <c r="AP417" s="1021"/>
      <c r="AQ417" s="1021"/>
      <c r="AR417" s="1021"/>
      <c r="AS417" s="1021"/>
      <c r="AT417" s="1021"/>
      <c r="AU417" s="1021"/>
      <c r="AV417" s="1021"/>
      <c r="AW417" s="1021"/>
      <c r="AX417" s="1021"/>
      <c r="AY417" s="1021"/>
      <c r="AZ417" s="1021"/>
      <c r="BA417" s="1021"/>
      <c r="BB417" s="1021"/>
      <c r="BC417" s="1021"/>
      <c r="BD417" s="1021"/>
      <c r="BE417" s="1021"/>
      <c r="BF417" s="1021"/>
      <c r="BG417" s="1021"/>
      <c r="BH417" s="1021"/>
      <c r="BI417" s="1021"/>
      <c r="BJ417" s="1021"/>
      <c r="BK417" s="1021"/>
      <c r="BL417" s="1021"/>
      <c r="BM417" s="1021"/>
      <c r="BN417" s="1021"/>
      <c r="BO417" s="1021"/>
      <c r="BP417" s="1021"/>
      <c r="BQ417" s="1021"/>
      <c r="BR417" s="1021"/>
      <c r="BS417" s="1021"/>
      <c r="BT417" s="1021"/>
      <c r="BU417" s="1021"/>
      <c r="BV417" s="1021"/>
      <c r="BW417" s="1021"/>
      <c r="BX417" s="1021"/>
      <c r="BY417" s="1021"/>
      <c r="BZ417" s="1021"/>
      <c r="CA417" s="1021"/>
      <c r="CB417" s="1021"/>
      <c r="CC417" s="1021"/>
    </row>
    <row r="418" spans="8:81" x14ac:dyDescent="0.25">
      <c r="H418" s="1021"/>
      <c r="I418" s="1021"/>
      <c r="J418" s="1021"/>
      <c r="K418" s="1021"/>
      <c r="L418" s="1021"/>
      <c r="M418" s="1021"/>
      <c r="N418" s="1021"/>
      <c r="O418" s="1021"/>
      <c r="P418" s="1021"/>
      <c r="Q418" s="1021"/>
      <c r="R418" s="1021"/>
      <c r="S418" s="1021"/>
      <c r="T418" s="1021"/>
      <c r="U418" s="1021"/>
      <c r="V418" s="1021"/>
      <c r="W418" s="1021"/>
      <c r="X418" s="1021"/>
      <c r="Y418" s="1021"/>
      <c r="Z418" s="1021"/>
      <c r="AA418" s="1021"/>
      <c r="AB418" s="1021"/>
      <c r="AC418" s="1021"/>
      <c r="AD418" s="1021"/>
      <c r="AE418" s="1021"/>
      <c r="AF418" s="1021"/>
      <c r="AG418" s="1021"/>
      <c r="AH418" s="1021"/>
      <c r="AI418" s="1021"/>
      <c r="AJ418" s="1021"/>
      <c r="AK418" s="1021"/>
      <c r="AL418" s="1021"/>
      <c r="AM418" s="1021"/>
      <c r="AN418" s="1021"/>
      <c r="AO418" s="1021"/>
      <c r="AP418" s="1021"/>
      <c r="AQ418" s="1021"/>
      <c r="AR418" s="1021"/>
      <c r="AS418" s="1021"/>
      <c r="AT418" s="1021"/>
      <c r="AU418" s="1021"/>
      <c r="AV418" s="1021"/>
      <c r="AW418" s="1021"/>
      <c r="AX418" s="1021"/>
      <c r="AY418" s="1021"/>
      <c r="AZ418" s="1021"/>
      <c r="BA418" s="1021"/>
      <c r="BB418" s="1021"/>
      <c r="BC418" s="1021"/>
      <c r="BD418" s="1021"/>
      <c r="BE418" s="1021"/>
      <c r="BF418" s="1021"/>
      <c r="BG418" s="1021"/>
      <c r="BH418" s="1021"/>
      <c r="BI418" s="1021"/>
      <c r="BJ418" s="1021"/>
      <c r="BK418" s="1021"/>
      <c r="BL418" s="1021"/>
      <c r="BM418" s="1021"/>
      <c r="BN418" s="1021"/>
      <c r="BO418" s="1021"/>
      <c r="BP418" s="1021"/>
      <c r="BQ418" s="1021"/>
      <c r="BR418" s="1021"/>
      <c r="BS418" s="1021"/>
      <c r="BT418" s="1021"/>
      <c r="BU418" s="1021"/>
      <c r="BV418" s="1021"/>
      <c r="BW418" s="1021"/>
      <c r="BX418" s="1021"/>
      <c r="BY418" s="1021"/>
      <c r="BZ418" s="1021"/>
      <c r="CA418" s="1021"/>
      <c r="CB418" s="1021"/>
      <c r="CC418" s="1021"/>
    </row>
    <row r="419" spans="8:81" x14ac:dyDescent="0.25">
      <c r="H419" s="1021"/>
      <c r="I419" s="1021"/>
      <c r="J419" s="1021"/>
      <c r="K419" s="1021"/>
      <c r="L419" s="1021"/>
      <c r="M419" s="1021"/>
      <c r="N419" s="1021"/>
      <c r="O419" s="1021"/>
      <c r="P419" s="1021"/>
      <c r="Q419" s="1021"/>
      <c r="R419" s="1021"/>
      <c r="S419" s="1021"/>
      <c r="T419" s="1021"/>
      <c r="U419" s="1021"/>
      <c r="V419" s="1021"/>
      <c r="W419" s="1021"/>
      <c r="X419" s="1021"/>
      <c r="Y419" s="1021"/>
      <c r="Z419" s="1021"/>
      <c r="AA419" s="1021"/>
      <c r="AB419" s="1021"/>
      <c r="AC419" s="1021"/>
      <c r="AD419" s="1021"/>
      <c r="AE419" s="1021"/>
      <c r="AF419" s="1021"/>
      <c r="AG419" s="1021"/>
      <c r="AH419" s="1021"/>
      <c r="AI419" s="1021"/>
      <c r="AJ419" s="1021"/>
      <c r="AK419" s="1021"/>
      <c r="AL419" s="1021"/>
      <c r="AM419" s="1021"/>
      <c r="AN419" s="1021"/>
      <c r="AO419" s="1021"/>
      <c r="AP419" s="1021"/>
      <c r="AQ419" s="1021"/>
      <c r="AR419" s="1021"/>
      <c r="AS419" s="1021"/>
      <c r="AT419" s="1021"/>
      <c r="AU419" s="1021"/>
      <c r="AV419" s="1021"/>
      <c r="AW419" s="1021"/>
      <c r="AX419" s="1021"/>
      <c r="AY419" s="1021"/>
      <c r="AZ419" s="1021"/>
      <c r="BA419" s="1021"/>
      <c r="BB419" s="1021"/>
      <c r="BC419" s="1021"/>
      <c r="BD419" s="1021"/>
      <c r="BE419" s="1021"/>
      <c r="BF419" s="1021"/>
      <c r="BG419" s="1021"/>
      <c r="BH419" s="1021"/>
      <c r="BI419" s="1021"/>
      <c r="BJ419" s="1021"/>
      <c r="BK419" s="1021"/>
      <c r="BL419" s="1021"/>
      <c r="BM419" s="1021"/>
      <c r="BN419" s="1021"/>
      <c r="BO419" s="1021"/>
      <c r="BP419" s="1021"/>
      <c r="BQ419" s="1021"/>
      <c r="BR419" s="1021"/>
      <c r="BS419" s="1021"/>
      <c r="BT419" s="1021"/>
      <c r="BU419" s="1021"/>
      <c r="BV419" s="1021"/>
      <c r="BW419" s="1021"/>
      <c r="BX419" s="1021"/>
      <c r="BY419" s="1021"/>
      <c r="BZ419" s="1021"/>
      <c r="CA419" s="1021"/>
      <c r="CB419" s="1021"/>
      <c r="CC419" s="1021"/>
    </row>
    <row r="420" spans="8:81" x14ac:dyDescent="0.25">
      <c r="H420" s="1021"/>
      <c r="I420" s="1021"/>
      <c r="J420" s="1021"/>
      <c r="K420" s="1021"/>
      <c r="L420" s="1021"/>
      <c r="M420" s="1021"/>
      <c r="N420" s="1021"/>
      <c r="O420" s="1021"/>
      <c r="P420" s="1021"/>
      <c r="Q420" s="1021"/>
      <c r="R420" s="1021"/>
      <c r="S420" s="1021"/>
      <c r="T420" s="1021"/>
      <c r="U420" s="1021"/>
      <c r="V420" s="1021"/>
      <c r="W420" s="1021"/>
      <c r="X420" s="1021"/>
      <c r="Y420" s="1021"/>
      <c r="Z420" s="1021"/>
      <c r="AA420" s="1021"/>
      <c r="AB420" s="1021"/>
      <c r="AC420" s="1021"/>
      <c r="AD420" s="1021"/>
      <c r="AE420" s="1021"/>
      <c r="AF420" s="1021"/>
      <c r="AG420" s="1021"/>
      <c r="AH420" s="1021"/>
      <c r="AI420" s="1021"/>
      <c r="AJ420" s="1021"/>
      <c r="AK420" s="1021"/>
      <c r="AL420" s="1021"/>
      <c r="AM420" s="1021"/>
      <c r="AN420" s="1021"/>
      <c r="AO420" s="1021"/>
      <c r="AP420" s="1021"/>
      <c r="AQ420" s="1021"/>
      <c r="AR420" s="1021"/>
      <c r="AS420" s="1021"/>
      <c r="AT420" s="1021"/>
      <c r="AU420" s="1021"/>
      <c r="AV420" s="1021"/>
      <c r="AW420" s="1021"/>
      <c r="AX420" s="1021"/>
      <c r="AY420" s="1021"/>
      <c r="AZ420" s="1021"/>
      <c r="BA420" s="1021"/>
      <c r="BB420" s="1021"/>
      <c r="BC420" s="1021"/>
      <c r="BD420" s="1021"/>
      <c r="BE420" s="1021"/>
      <c r="BF420" s="1021"/>
      <c r="BG420" s="1021"/>
      <c r="BH420" s="1021"/>
      <c r="BI420" s="1021"/>
      <c r="BJ420" s="1021"/>
      <c r="BK420" s="1021"/>
      <c r="BL420" s="1021"/>
      <c r="BM420" s="1021"/>
      <c r="BN420" s="1021"/>
      <c r="BO420" s="1021"/>
      <c r="BP420" s="1021"/>
      <c r="BQ420" s="1021"/>
      <c r="BR420" s="1021"/>
      <c r="BS420" s="1021"/>
      <c r="BT420" s="1021"/>
      <c r="BU420" s="1021"/>
      <c r="BV420" s="1021"/>
      <c r="BW420" s="1021"/>
      <c r="BX420" s="1021"/>
      <c r="BY420" s="1021"/>
      <c r="BZ420" s="1021"/>
      <c r="CA420" s="1021"/>
      <c r="CB420" s="1021"/>
      <c r="CC420" s="1021"/>
    </row>
    <row r="421" spans="8:81" x14ac:dyDescent="0.25">
      <c r="H421" s="1021"/>
      <c r="I421" s="1021"/>
      <c r="J421" s="1021"/>
      <c r="K421" s="1021"/>
      <c r="L421" s="1021"/>
      <c r="M421" s="1021"/>
      <c r="N421" s="1021"/>
      <c r="O421" s="1021"/>
      <c r="P421" s="1021"/>
      <c r="Q421" s="1021"/>
      <c r="R421" s="1021"/>
      <c r="S421" s="1021"/>
      <c r="T421" s="1021"/>
      <c r="U421" s="1021"/>
      <c r="V421" s="1021"/>
      <c r="W421" s="1021"/>
      <c r="X421" s="1021"/>
      <c r="Y421" s="1021"/>
      <c r="Z421" s="1021"/>
      <c r="AA421" s="1021"/>
      <c r="AB421" s="1021"/>
      <c r="AC421" s="1021"/>
      <c r="AD421" s="1021"/>
      <c r="AE421" s="1021"/>
      <c r="AF421" s="1021"/>
      <c r="AG421" s="1021"/>
      <c r="AH421" s="1021"/>
      <c r="AI421" s="1021"/>
      <c r="AJ421" s="1021"/>
      <c r="AK421" s="1021"/>
      <c r="AL421" s="1021"/>
      <c r="AM421" s="1021"/>
      <c r="AN421" s="1021"/>
      <c r="AO421" s="1021"/>
      <c r="AP421" s="1021"/>
      <c r="AQ421" s="1021"/>
      <c r="AR421" s="1021"/>
      <c r="AS421" s="1021"/>
      <c r="AT421" s="1021"/>
      <c r="AU421" s="1021"/>
      <c r="AV421" s="1021"/>
      <c r="AW421" s="1021"/>
      <c r="AX421" s="1021"/>
      <c r="AY421" s="1021"/>
      <c r="AZ421" s="1021"/>
      <c r="BA421" s="1021"/>
      <c r="BB421" s="1021"/>
      <c r="BC421" s="1021"/>
      <c r="BD421" s="1021"/>
      <c r="BE421" s="1021"/>
      <c r="BF421" s="1021"/>
      <c r="BG421" s="1021"/>
      <c r="BH421" s="1021"/>
      <c r="BI421" s="1021"/>
      <c r="BJ421" s="1021"/>
      <c r="BK421" s="1021"/>
      <c r="BL421" s="1021"/>
      <c r="BM421" s="1021"/>
      <c r="BN421" s="1021"/>
      <c r="BO421" s="1021"/>
      <c r="BP421" s="1021"/>
      <c r="BQ421" s="1021"/>
      <c r="BR421" s="1021"/>
      <c r="BS421" s="1021"/>
      <c r="BT421" s="1021"/>
      <c r="BU421" s="1021"/>
      <c r="BV421" s="1021"/>
      <c r="BW421" s="1021"/>
      <c r="BX421" s="1021"/>
      <c r="BY421" s="1021"/>
      <c r="BZ421" s="1021"/>
      <c r="CA421" s="1021"/>
      <c r="CB421" s="1021"/>
      <c r="CC421" s="1021"/>
    </row>
    <row r="422" spans="8:81" x14ac:dyDescent="0.25">
      <c r="H422" s="1021"/>
      <c r="I422" s="1021"/>
      <c r="J422" s="1021"/>
      <c r="K422" s="1021"/>
      <c r="L422" s="1021"/>
      <c r="M422" s="1021"/>
      <c r="N422" s="1021"/>
      <c r="O422" s="1021"/>
      <c r="P422" s="1021"/>
      <c r="Q422" s="1021"/>
      <c r="R422" s="1021"/>
      <c r="S422" s="1021"/>
      <c r="T422" s="1021"/>
      <c r="U422" s="1021"/>
      <c r="V422" s="1021"/>
      <c r="W422" s="1021"/>
      <c r="X422" s="1021"/>
      <c r="Y422" s="1021"/>
      <c r="Z422" s="1021"/>
      <c r="AA422" s="1021"/>
      <c r="AB422" s="1021"/>
      <c r="AC422" s="1021"/>
      <c r="AD422" s="1021"/>
      <c r="AE422" s="1021"/>
      <c r="AF422" s="1021"/>
      <c r="AG422" s="1021"/>
      <c r="AH422" s="1021"/>
      <c r="AI422" s="1021"/>
      <c r="AJ422" s="1021"/>
      <c r="AK422" s="1021"/>
      <c r="AL422" s="1021"/>
      <c r="AM422" s="1021"/>
      <c r="AN422" s="1021"/>
      <c r="AO422" s="1021"/>
      <c r="AP422" s="1021"/>
      <c r="AQ422" s="1021"/>
      <c r="AR422" s="1021"/>
      <c r="AS422" s="1021"/>
      <c r="AT422" s="1021"/>
      <c r="AU422" s="1021"/>
      <c r="AV422" s="1021"/>
      <c r="AW422" s="1021"/>
      <c r="AX422" s="1021"/>
      <c r="AY422" s="1021"/>
      <c r="AZ422" s="1021"/>
      <c r="BA422" s="1021"/>
      <c r="BB422" s="1021"/>
      <c r="BC422" s="1021"/>
      <c r="BD422" s="1021"/>
      <c r="BE422" s="1021"/>
      <c r="BF422" s="1021"/>
      <c r="BG422" s="1021"/>
      <c r="BH422" s="1021"/>
      <c r="BI422" s="1021"/>
      <c r="BJ422" s="1021"/>
      <c r="BK422" s="1021"/>
      <c r="BL422" s="1021"/>
      <c r="BM422" s="1021"/>
      <c r="BN422" s="1021"/>
      <c r="BO422" s="1021"/>
      <c r="BP422" s="1021"/>
      <c r="BQ422" s="1021"/>
      <c r="BR422" s="1021"/>
      <c r="BS422" s="1021"/>
      <c r="BT422" s="1021"/>
      <c r="BU422" s="1021"/>
      <c r="BV422" s="1021"/>
      <c r="BW422" s="1021"/>
      <c r="BX422" s="1021"/>
      <c r="BY422" s="1021"/>
      <c r="BZ422" s="1021"/>
      <c r="CA422" s="1021"/>
      <c r="CB422" s="1021"/>
      <c r="CC422" s="1021"/>
    </row>
    <row r="423" spans="8:81" x14ac:dyDescent="0.25">
      <c r="H423" s="1021"/>
      <c r="I423" s="1021"/>
      <c r="J423" s="1021"/>
      <c r="K423" s="1021"/>
      <c r="L423" s="1021"/>
      <c r="M423" s="1021"/>
      <c r="N423" s="1021"/>
      <c r="O423" s="1021"/>
      <c r="P423" s="1021"/>
      <c r="Q423" s="1021"/>
      <c r="R423" s="1021"/>
      <c r="S423" s="1021"/>
      <c r="T423" s="1021"/>
      <c r="U423" s="1021"/>
      <c r="V423" s="1021"/>
      <c r="W423" s="1021"/>
      <c r="X423" s="1021"/>
      <c r="Y423" s="1021"/>
      <c r="Z423" s="1021"/>
      <c r="AA423" s="1021"/>
      <c r="AB423" s="1021"/>
      <c r="AC423" s="1021"/>
      <c r="AD423" s="1021"/>
      <c r="AE423" s="1021"/>
      <c r="AF423" s="1021"/>
      <c r="AG423" s="1021"/>
      <c r="AH423" s="1021"/>
      <c r="AI423" s="1021"/>
      <c r="AJ423" s="1021"/>
      <c r="AK423" s="1021"/>
      <c r="AL423" s="1021"/>
      <c r="AM423" s="1021"/>
      <c r="AN423" s="1021"/>
      <c r="AO423" s="1021"/>
      <c r="AP423" s="1021"/>
      <c r="AQ423" s="1021"/>
      <c r="AR423" s="1021"/>
      <c r="AS423" s="1021"/>
      <c r="AT423" s="1021"/>
      <c r="AU423" s="1021"/>
      <c r="AV423" s="1021"/>
      <c r="AW423" s="1021"/>
      <c r="AX423" s="1021"/>
      <c r="AY423" s="1021"/>
      <c r="AZ423" s="1021"/>
      <c r="BA423" s="1021"/>
      <c r="BB423" s="1021"/>
      <c r="BC423" s="1021"/>
      <c r="BD423" s="1021"/>
      <c r="BE423" s="1021"/>
      <c r="BF423" s="1021"/>
      <c r="BG423" s="1021"/>
      <c r="BH423" s="1021"/>
      <c r="BI423" s="1021"/>
      <c r="BJ423" s="1021"/>
      <c r="BK423" s="1021"/>
      <c r="BL423" s="1021"/>
      <c r="BM423" s="1021"/>
      <c r="BN423" s="1021"/>
      <c r="BO423" s="1021"/>
      <c r="BP423" s="1021"/>
      <c r="BQ423" s="1021"/>
      <c r="BR423" s="1021"/>
      <c r="BS423" s="1021"/>
      <c r="BT423" s="1021"/>
      <c r="BU423" s="1021"/>
      <c r="BV423" s="1021"/>
      <c r="BW423" s="1021"/>
      <c r="BX423" s="1021"/>
      <c r="BY423" s="1021"/>
      <c r="BZ423" s="1021"/>
      <c r="CA423" s="1021"/>
      <c r="CB423" s="1021"/>
      <c r="CC423" s="1021"/>
    </row>
    <row r="424" spans="8:81" x14ac:dyDescent="0.25">
      <c r="H424" s="1021"/>
      <c r="I424" s="1021"/>
      <c r="J424" s="1021"/>
      <c r="K424" s="1021"/>
      <c r="L424" s="1021"/>
      <c r="M424" s="1021"/>
      <c r="N424" s="1021"/>
      <c r="O424" s="1021"/>
      <c r="P424" s="1021"/>
      <c r="Q424" s="1021"/>
      <c r="R424" s="1021"/>
      <c r="S424" s="1021"/>
      <c r="T424" s="1021"/>
      <c r="U424" s="1021"/>
      <c r="V424" s="1021"/>
      <c r="W424" s="1021"/>
      <c r="X424" s="1021"/>
      <c r="Y424" s="1021"/>
      <c r="Z424" s="1021"/>
      <c r="AA424" s="1021"/>
      <c r="AB424" s="1021"/>
      <c r="AC424" s="1021"/>
      <c r="AD424" s="1021"/>
      <c r="AE424" s="1021"/>
      <c r="AF424" s="1021"/>
      <c r="AG424" s="1021"/>
      <c r="AH424" s="1021"/>
      <c r="AI424" s="1021"/>
      <c r="AJ424" s="1021"/>
      <c r="AK424" s="1021"/>
      <c r="AL424" s="1021"/>
      <c r="AM424" s="1021"/>
      <c r="AN424" s="1021"/>
      <c r="AO424" s="1021"/>
      <c r="AP424" s="1021"/>
      <c r="AQ424" s="1021"/>
      <c r="AR424" s="1021"/>
      <c r="AS424" s="1021"/>
      <c r="AT424" s="1021"/>
      <c r="AU424" s="1021"/>
      <c r="AV424" s="1021"/>
      <c r="AW424" s="1021"/>
      <c r="AX424" s="1021"/>
      <c r="AY424" s="1021"/>
      <c r="AZ424" s="1021"/>
      <c r="BA424" s="1021"/>
      <c r="BB424" s="1021"/>
      <c r="BC424" s="1021"/>
      <c r="BD424" s="1021"/>
      <c r="BE424" s="1021"/>
      <c r="BF424" s="1021"/>
      <c r="BG424" s="1021"/>
      <c r="BH424" s="1021"/>
      <c r="BI424" s="1021"/>
      <c r="BJ424" s="1021"/>
      <c r="BK424" s="1021"/>
      <c r="BL424" s="1021"/>
      <c r="BM424" s="1021"/>
      <c r="BN424" s="1021"/>
      <c r="BO424" s="1021"/>
      <c r="BP424" s="1021"/>
      <c r="BQ424" s="1021"/>
      <c r="BR424" s="1021"/>
      <c r="BS424" s="1021"/>
      <c r="BT424" s="1021"/>
      <c r="BU424" s="1021"/>
      <c r="BV424" s="1021"/>
      <c r="BW424" s="1021"/>
      <c r="BX424" s="1021"/>
      <c r="BY424" s="1021"/>
      <c r="BZ424" s="1021"/>
      <c r="CA424" s="1021"/>
      <c r="CB424" s="1021"/>
      <c r="CC424" s="1021"/>
    </row>
    <row r="425" spans="8:81" x14ac:dyDescent="0.25">
      <c r="H425" s="1021"/>
      <c r="I425" s="1021"/>
      <c r="J425" s="1021"/>
      <c r="K425" s="1021"/>
      <c r="L425" s="1021"/>
      <c r="M425" s="1021"/>
      <c r="N425" s="1021"/>
      <c r="O425" s="1021"/>
      <c r="P425" s="1021"/>
      <c r="Q425" s="1021"/>
      <c r="R425" s="1021"/>
      <c r="S425" s="1021"/>
      <c r="T425" s="1021"/>
      <c r="U425" s="1021"/>
      <c r="V425" s="1021"/>
      <c r="W425" s="1021"/>
      <c r="X425" s="1021"/>
      <c r="Y425" s="1021"/>
      <c r="Z425" s="1021"/>
      <c r="AA425" s="1021"/>
      <c r="AB425" s="1021"/>
      <c r="AC425" s="1021"/>
      <c r="AD425" s="1021"/>
      <c r="AE425" s="1021"/>
      <c r="AF425" s="1021"/>
      <c r="AG425" s="1021"/>
      <c r="AH425" s="1021"/>
      <c r="AI425" s="1021"/>
      <c r="AJ425" s="1021"/>
      <c r="AK425" s="1021"/>
      <c r="AL425" s="1021"/>
      <c r="AM425" s="1021"/>
      <c r="AN425" s="1021"/>
      <c r="AO425" s="1021"/>
      <c r="AP425" s="1021"/>
      <c r="AQ425" s="1021"/>
      <c r="AR425" s="1021"/>
      <c r="AS425" s="1021"/>
      <c r="AT425" s="1021"/>
      <c r="AU425" s="1021"/>
      <c r="AV425" s="1021"/>
      <c r="AW425" s="1021"/>
      <c r="AX425" s="1021"/>
      <c r="AY425" s="1021"/>
      <c r="AZ425" s="1021"/>
      <c r="BA425" s="1021"/>
      <c r="BB425" s="1021"/>
      <c r="BC425" s="1021"/>
      <c r="BD425" s="1021"/>
      <c r="BE425" s="1021"/>
      <c r="BF425" s="1021"/>
      <c r="BG425" s="1021"/>
      <c r="BH425" s="1021"/>
      <c r="BI425" s="1021"/>
      <c r="BJ425" s="1021"/>
      <c r="BK425" s="1021"/>
      <c r="BL425" s="1021"/>
      <c r="BM425" s="1021"/>
      <c r="BN425" s="1021"/>
      <c r="BO425" s="1021"/>
      <c r="BP425" s="1021"/>
      <c r="BQ425" s="1021"/>
      <c r="BR425" s="1021"/>
      <c r="BS425" s="1021"/>
      <c r="BT425" s="1021"/>
      <c r="BU425" s="1021"/>
      <c r="BV425" s="1021"/>
      <c r="BW425" s="1021"/>
      <c r="BX425" s="1021"/>
      <c r="BY425" s="1021"/>
      <c r="BZ425" s="1021"/>
      <c r="CA425" s="1021"/>
      <c r="CB425" s="1021"/>
      <c r="CC425" s="1021"/>
    </row>
    <row r="426" spans="8:81" x14ac:dyDescent="0.25">
      <c r="H426" s="1021"/>
      <c r="I426" s="1021"/>
      <c r="J426" s="1021"/>
      <c r="K426" s="1021"/>
      <c r="L426" s="1021"/>
      <c r="M426" s="1021"/>
      <c r="N426" s="1021"/>
      <c r="O426" s="1021"/>
      <c r="P426" s="1021"/>
      <c r="Q426" s="1021"/>
      <c r="R426" s="1021"/>
      <c r="S426" s="1021"/>
      <c r="T426" s="1021"/>
      <c r="U426" s="1021"/>
      <c r="V426" s="1021"/>
      <c r="W426" s="1021"/>
      <c r="X426" s="1021"/>
      <c r="Y426" s="1021"/>
      <c r="Z426" s="1021"/>
      <c r="AA426" s="1021"/>
      <c r="AB426" s="1021"/>
      <c r="AC426" s="1021"/>
      <c r="AD426" s="1021"/>
      <c r="AE426" s="1021"/>
      <c r="AF426" s="1021"/>
      <c r="AG426" s="1021"/>
      <c r="AH426" s="1021"/>
      <c r="AI426" s="1021"/>
      <c r="AJ426" s="1021"/>
      <c r="AK426" s="1021"/>
      <c r="AL426" s="1021"/>
      <c r="AM426" s="1021"/>
      <c r="AN426" s="1021"/>
      <c r="AO426" s="1021"/>
      <c r="AP426" s="1021"/>
      <c r="AQ426" s="1021"/>
      <c r="AR426" s="1021"/>
      <c r="AS426" s="1021"/>
      <c r="AT426" s="1021"/>
      <c r="AU426" s="1021"/>
      <c r="AV426" s="1021"/>
      <c r="AW426" s="1021"/>
      <c r="AX426" s="1021"/>
      <c r="AY426" s="1021"/>
      <c r="AZ426" s="1021"/>
      <c r="BA426" s="1021"/>
      <c r="BB426" s="1021"/>
      <c r="BC426" s="1021"/>
      <c r="BD426" s="1021"/>
      <c r="BE426" s="1021"/>
      <c r="BF426" s="1021"/>
      <c r="BG426" s="1021"/>
      <c r="BH426" s="1021"/>
      <c r="BI426" s="1021"/>
      <c r="BJ426" s="1021"/>
      <c r="BK426" s="1021"/>
      <c r="BL426" s="1021"/>
      <c r="BM426" s="1021"/>
      <c r="BN426" s="1021"/>
      <c r="BO426" s="1021"/>
      <c r="BP426" s="1021"/>
      <c r="BQ426" s="1021"/>
      <c r="BR426" s="1021"/>
      <c r="BS426" s="1021"/>
      <c r="BT426" s="1021"/>
      <c r="BU426" s="1021"/>
      <c r="BV426" s="1021"/>
      <c r="BW426" s="1021"/>
      <c r="BX426" s="1021"/>
      <c r="BY426" s="1021"/>
      <c r="BZ426" s="1021"/>
      <c r="CA426" s="1021"/>
      <c r="CB426" s="1021"/>
      <c r="CC426" s="1021"/>
    </row>
    <row r="427" spans="8:81" x14ac:dyDescent="0.25">
      <c r="H427" s="1021"/>
      <c r="I427" s="1021"/>
      <c r="J427" s="1021"/>
      <c r="K427" s="1021"/>
      <c r="L427" s="1021"/>
      <c r="M427" s="1021"/>
      <c r="N427" s="1021"/>
      <c r="O427" s="1021"/>
      <c r="P427" s="1021"/>
      <c r="Q427" s="1021"/>
      <c r="R427" s="1021"/>
      <c r="S427" s="1021"/>
      <c r="T427" s="1021"/>
      <c r="U427" s="1021"/>
      <c r="V427" s="1021"/>
      <c r="W427" s="1021"/>
      <c r="X427" s="1021"/>
      <c r="Y427" s="1021"/>
      <c r="Z427" s="1021"/>
      <c r="AA427" s="1021"/>
      <c r="AB427" s="1021"/>
      <c r="AC427" s="1021"/>
      <c r="AD427" s="1021"/>
      <c r="AE427" s="1021"/>
      <c r="AF427" s="1021"/>
      <c r="AG427" s="1021"/>
      <c r="AH427" s="1021"/>
      <c r="AI427" s="1021"/>
      <c r="AJ427" s="1021"/>
      <c r="AK427" s="1021"/>
      <c r="AL427" s="1021"/>
      <c r="AM427" s="1021"/>
      <c r="AN427" s="1021"/>
      <c r="AO427" s="1021"/>
      <c r="AP427" s="1021"/>
      <c r="AQ427" s="1021"/>
      <c r="AR427" s="1021"/>
      <c r="AS427" s="1021"/>
      <c r="AT427" s="1021"/>
      <c r="AU427" s="1021"/>
      <c r="AV427" s="1021"/>
      <c r="AW427" s="1021"/>
      <c r="AX427" s="1021"/>
      <c r="AY427" s="1021"/>
      <c r="AZ427" s="1021"/>
      <c r="BA427" s="1021"/>
      <c r="BB427" s="1021"/>
      <c r="BC427" s="1021"/>
      <c r="BD427" s="1021"/>
      <c r="BE427" s="1021"/>
      <c r="BF427" s="1021"/>
      <c r="BG427" s="1021"/>
      <c r="BH427" s="1021"/>
      <c r="BI427" s="1021"/>
      <c r="BJ427" s="1021"/>
      <c r="BK427" s="1021"/>
      <c r="BL427" s="1021"/>
      <c r="BM427" s="1021"/>
      <c r="BN427" s="1021"/>
      <c r="BO427" s="1021"/>
      <c r="BP427" s="1021"/>
      <c r="BQ427" s="1021"/>
      <c r="BR427" s="1021"/>
      <c r="BS427" s="1021"/>
      <c r="BT427" s="1021"/>
      <c r="BU427" s="1021"/>
      <c r="BV427" s="1021"/>
      <c r="BW427" s="1021"/>
      <c r="BX427" s="1021"/>
      <c r="BY427" s="1021"/>
      <c r="BZ427" s="1021"/>
      <c r="CA427" s="1021"/>
      <c r="CB427" s="1021"/>
      <c r="CC427" s="1021"/>
    </row>
    <row r="428" spans="8:81" x14ac:dyDescent="0.25">
      <c r="H428" s="1021"/>
      <c r="I428" s="1021"/>
      <c r="J428" s="1021"/>
      <c r="K428" s="1021"/>
      <c r="L428" s="1021"/>
      <c r="M428" s="1021"/>
      <c r="N428" s="1021"/>
      <c r="O428" s="1021"/>
      <c r="P428" s="1021"/>
      <c r="Q428" s="1021"/>
      <c r="R428" s="1021"/>
      <c r="S428" s="1021"/>
      <c r="T428" s="1021"/>
      <c r="U428" s="1021"/>
      <c r="V428" s="1021"/>
      <c r="W428" s="1021"/>
      <c r="X428" s="1021"/>
      <c r="Y428" s="1021"/>
      <c r="Z428" s="1021"/>
      <c r="AA428" s="1021"/>
      <c r="AB428" s="1021"/>
      <c r="AC428" s="1021"/>
      <c r="AD428" s="1021"/>
      <c r="AE428" s="1021"/>
      <c r="AF428" s="1021"/>
      <c r="AG428" s="1021"/>
      <c r="AH428" s="1021"/>
      <c r="AI428" s="1021"/>
      <c r="AJ428" s="1021"/>
      <c r="AK428" s="1021"/>
      <c r="AL428" s="1021"/>
      <c r="AM428" s="1021"/>
      <c r="AN428" s="1021"/>
      <c r="AO428" s="1021"/>
      <c r="AP428" s="1021"/>
      <c r="AQ428" s="1021"/>
      <c r="AR428" s="1021"/>
      <c r="AS428" s="1021"/>
      <c r="AT428" s="1021"/>
      <c r="AU428" s="1021"/>
      <c r="AV428" s="1021"/>
      <c r="AW428" s="1021"/>
      <c r="AX428" s="1021"/>
      <c r="AY428" s="1021"/>
      <c r="AZ428" s="1021"/>
      <c r="BA428" s="1021"/>
      <c r="BB428" s="1021"/>
      <c r="BC428" s="1021"/>
      <c r="BD428" s="1021"/>
      <c r="BE428" s="1021"/>
      <c r="BF428" s="1021"/>
      <c r="BG428" s="1021"/>
      <c r="BH428" s="1021"/>
      <c r="BI428" s="1021"/>
      <c r="BJ428" s="1021"/>
      <c r="BK428" s="1021"/>
      <c r="BL428" s="1021"/>
      <c r="BM428" s="1021"/>
      <c r="BN428" s="1021"/>
      <c r="BO428" s="1021"/>
      <c r="BP428" s="1021"/>
      <c r="BQ428" s="1021"/>
      <c r="BR428" s="1021"/>
      <c r="BS428" s="1021"/>
      <c r="BT428" s="1021"/>
      <c r="BU428" s="1021"/>
      <c r="BV428" s="1021"/>
      <c r="BW428" s="1021"/>
      <c r="BX428" s="1021"/>
      <c r="BY428" s="1021"/>
      <c r="BZ428" s="1021"/>
      <c r="CA428" s="1021"/>
      <c r="CB428" s="1021"/>
      <c r="CC428" s="1021"/>
    </row>
    <row r="429" spans="8:81" x14ac:dyDescent="0.25">
      <c r="H429" s="1021"/>
      <c r="I429" s="1021"/>
      <c r="J429" s="1021"/>
      <c r="K429" s="1021"/>
      <c r="L429" s="1021"/>
      <c r="M429" s="1021"/>
      <c r="N429" s="1021"/>
      <c r="O429" s="1021"/>
      <c r="P429" s="1021"/>
      <c r="Q429" s="1021"/>
      <c r="R429" s="1021"/>
      <c r="S429" s="1021"/>
      <c r="T429" s="1021"/>
      <c r="U429" s="1021"/>
      <c r="V429" s="1021"/>
      <c r="W429" s="1021"/>
      <c r="X429" s="1021"/>
      <c r="Y429" s="1021"/>
      <c r="Z429" s="1021"/>
      <c r="AA429" s="1021"/>
      <c r="AB429" s="1021"/>
      <c r="AC429" s="1021"/>
      <c r="AD429" s="1021"/>
      <c r="AE429" s="1021"/>
      <c r="AF429" s="1021"/>
      <c r="AG429" s="1021"/>
      <c r="AH429" s="1021"/>
      <c r="AI429" s="1021"/>
      <c r="AJ429" s="1021"/>
      <c r="AK429" s="1021"/>
      <c r="AL429" s="1021"/>
      <c r="AM429" s="1021"/>
      <c r="AN429" s="1021"/>
      <c r="AO429" s="1021"/>
      <c r="AP429" s="1021"/>
      <c r="AQ429" s="1021"/>
      <c r="AR429" s="1021"/>
      <c r="AS429" s="1021"/>
      <c r="AT429" s="1021"/>
      <c r="AU429" s="1021"/>
      <c r="AV429" s="1021"/>
      <c r="AW429" s="1021"/>
      <c r="AX429" s="1021"/>
      <c r="AY429" s="1021"/>
      <c r="AZ429" s="1021"/>
      <c r="BA429" s="1021"/>
      <c r="BB429" s="1021"/>
      <c r="BC429" s="1021"/>
      <c r="BD429" s="1021"/>
      <c r="BE429" s="1021"/>
      <c r="BF429" s="1021"/>
      <c r="BG429" s="1021"/>
      <c r="BH429" s="1021"/>
      <c r="BI429" s="1021"/>
      <c r="BJ429" s="1021"/>
      <c r="BK429" s="1021"/>
      <c r="BL429" s="1021"/>
      <c r="BM429" s="1021"/>
      <c r="BN429" s="1021"/>
      <c r="BO429" s="1021"/>
      <c r="BP429" s="1021"/>
      <c r="BQ429" s="1021"/>
      <c r="BR429" s="1021"/>
      <c r="BS429" s="1021"/>
      <c r="BT429" s="1021"/>
      <c r="BU429" s="1021"/>
      <c r="BV429" s="1021"/>
      <c r="BW429" s="1021"/>
      <c r="BX429" s="1021"/>
      <c r="BY429" s="1021"/>
      <c r="BZ429" s="1021"/>
      <c r="CA429" s="1021"/>
      <c r="CB429" s="1021"/>
      <c r="CC429" s="1021"/>
    </row>
    <row r="430" spans="8:81" x14ac:dyDescent="0.25">
      <c r="H430" s="1021"/>
      <c r="I430" s="1021"/>
      <c r="J430" s="1021"/>
      <c r="K430" s="1021"/>
      <c r="L430" s="1021"/>
      <c r="M430" s="1021"/>
      <c r="N430" s="1021"/>
      <c r="O430" s="1021"/>
      <c r="P430" s="1021"/>
      <c r="Q430" s="1021"/>
      <c r="R430" s="1021"/>
      <c r="S430" s="1021"/>
      <c r="T430" s="1021"/>
      <c r="U430" s="1021"/>
      <c r="V430" s="1021"/>
      <c r="W430" s="1021"/>
      <c r="X430" s="1021"/>
      <c r="Y430" s="1021"/>
      <c r="Z430" s="1021"/>
      <c r="AA430" s="1021"/>
      <c r="AB430" s="1021"/>
      <c r="AC430" s="1021"/>
      <c r="AD430" s="1021"/>
      <c r="AE430" s="1021"/>
      <c r="AF430" s="1021"/>
      <c r="AG430" s="1021"/>
      <c r="AH430" s="1021"/>
      <c r="AI430" s="1021"/>
      <c r="AJ430" s="1021"/>
      <c r="AK430" s="1021"/>
      <c r="AL430" s="1021"/>
      <c r="AM430" s="1021"/>
      <c r="AN430" s="1021"/>
      <c r="AO430" s="1021"/>
      <c r="AP430" s="1021"/>
      <c r="AQ430" s="1021"/>
      <c r="AR430" s="1021"/>
      <c r="AS430" s="1021"/>
      <c r="AT430" s="1021"/>
      <c r="AU430" s="1021"/>
      <c r="AV430" s="1021"/>
      <c r="AW430" s="1021"/>
      <c r="AX430" s="1021"/>
      <c r="AY430" s="1021"/>
      <c r="AZ430" s="1021"/>
      <c r="BA430" s="1021"/>
      <c r="BB430" s="1021"/>
      <c r="BC430" s="1021"/>
      <c r="BD430" s="1021"/>
      <c r="BE430" s="1021"/>
      <c r="BF430" s="1021"/>
      <c r="BG430" s="1021"/>
      <c r="BH430" s="1021"/>
      <c r="BI430" s="1021"/>
      <c r="BJ430" s="1021"/>
      <c r="BK430" s="1021"/>
      <c r="BL430" s="1021"/>
      <c r="BM430" s="1021"/>
      <c r="BN430" s="1021"/>
      <c r="BO430" s="1021"/>
      <c r="BP430" s="1021"/>
      <c r="BQ430" s="1021"/>
      <c r="BR430" s="1021"/>
      <c r="BS430" s="1021"/>
      <c r="BT430" s="1021"/>
      <c r="BU430" s="1021"/>
      <c r="BV430" s="1021"/>
      <c r="BW430" s="1021"/>
      <c r="BX430" s="1021"/>
      <c r="BY430" s="1021"/>
      <c r="BZ430" s="1021"/>
      <c r="CA430" s="1021"/>
      <c r="CB430" s="1021"/>
      <c r="CC430" s="1021"/>
    </row>
    <row r="431" spans="8:81" x14ac:dyDescent="0.25">
      <c r="H431" s="1021"/>
      <c r="I431" s="1021"/>
      <c r="J431" s="1021"/>
      <c r="K431" s="1021"/>
      <c r="L431" s="1021"/>
      <c r="M431" s="1021"/>
      <c r="N431" s="1021"/>
      <c r="O431" s="1021"/>
      <c r="P431" s="1021"/>
      <c r="Q431" s="1021"/>
      <c r="R431" s="1021"/>
      <c r="S431" s="1021"/>
      <c r="T431" s="1021"/>
      <c r="U431" s="1021"/>
      <c r="V431" s="1021"/>
      <c r="W431" s="1021"/>
      <c r="X431" s="1021"/>
      <c r="Y431" s="1021"/>
      <c r="Z431" s="1021"/>
      <c r="AA431" s="1021"/>
      <c r="AB431" s="1021"/>
      <c r="AC431" s="1021"/>
      <c r="AD431" s="1021"/>
      <c r="AE431" s="1021"/>
      <c r="AF431" s="1021"/>
      <c r="AG431" s="1021"/>
      <c r="AH431" s="1021"/>
      <c r="AI431" s="1021"/>
      <c r="AJ431" s="1021"/>
      <c r="AK431" s="1021"/>
      <c r="AL431" s="1021"/>
      <c r="AM431" s="1021"/>
      <c r="AN431" s="1021"/>
      <c r="AO431" s="1021"/>
      <c r="AP431" s="1021"/>
      <c r="AQ431" s="1021"/>
      <c r="AR431" s="1021"/>
      <c r="AS431" s="1021"/>
      <c r="AT431" s="1021"/>
      <c r="AU431" s="1021"/>
      <c r="AV431" s="1021"/>
      <c r="AW431" s="1021"/>
      <c r="AX431" s="1021"/>
      <c r="AY431" s="1021"/>
      <c r="AZ431" s="1021"/>
      <c r="BA431" s="1021"/>
      <c r="BB431" s="1021"/>
      <c r="BC431" s="1021"/>
      <c r="BD431" s="1021"/>
      <c r="BE431" s="1021"/>
      <c r="BF431" s="1021"/>
      <c r="BG431" s="1021"/>
      <c r="BH431" s="1021"/>
      <c r="BI431" s="1021"/>
      <c r="BJ431" s="1021"/>
      <c r="BK431" s="1021"/>
      <c r="BL431" s="1021"/>
      <c r="BM431" s="1021"/>
      <c r="BN431" s="1021"/>
      <c r="BO431" s="1021"/>
      <c r="BP431" s="1021"/>
      <c r="BQ431" s="1021"/>
      <c r="BR431" s="1021"/>
      <c r="BS431" s="1021"/>
      <c r="BT431" s="1021"/>
      <c r="BU431" s="1021"/>
      <c r="BV431" s="1021"/>
      <c r="BW431" s="1021"/>
      <c r="BX431" s="1021"/>
      <c r="BY431" s="1021"/>
      <c r="BZ431" s="1021"/>
      <c r="CA431" s="1021"/>
      <c r="CB431" s="1021"/>
      <c r="CC431" s="1021"/>
    </row>
    <row r="432" spans="8:81" x14ac:dyDescent="0.25">
      <c r="H432" s="1021"/>
      <c r="I432" s="1021"/>
      <c r="J432" s="1021"/>
      <c r="K432" s="1021"/>
      <c r="L432" s="1021"/>
      <c r="M432" s="1021"/>
      <c r="N432" s="1021"/>
      <c r="O432" s="1021"/>
      <c r="P432" s="1021"/>
      <c r="Q432" s="1021"/>
      <c r="R432" s="1021"/>
      <c r="S432" s="1021"/>
      <c r="T432" s="1021"/>
      <c r="U432" s="1021"/>
      <c r="V432" s="1021"/>
      <c r="W432" s="1021"/>
      <c r="X432" s="1021"/>
      <c r="Y432" s="1021"/>
      <c r="Z432" s="1021"/>
      <c r="AA432" s="1021"/>
      <c r="AB432" s="1021"/>
      <c r="AC432" s="1021"/>
      <c r="AD432" s="1021"/>
      <c r="AE432" s="1021"/>
      <c r="AF432" s="1021"/>
      <c r="AG432" s="1021"/>
      <c r="AH432" s="1021"/>
      <c r="AI432" s="1021"/>
      <c r="AJ432" s="1021"/>
      <c r="AK432" s="1021"/>
      <c r="AL432" s="1021"/>
      <c r="AM432" s="1021"/>
      <c r="AN432" s="1021"/>
      <c r="AO432" s="1021"/>
      <c r="AP432" s="1021"/>
      <c r="AQ432" s="1021"/>
      <c r="AR432" s="1021"/>
      <c r="AS432" s="1021"/>
      <c r="AT432" s="1021"/>
      <c r="AU432" s="1021"/>
      <c r="AV432" s="1021"/>
      <c r="AW432" s="1021"/>
      <c r="AX432" s="1021"/>
      <c r="AY432" s="1021"/>
      <c r="AZ432" s="1021"/>
      <c r="BA432" s="1021"/>
      <c r="BB432" s="1021"/>
      <c r="BC432" s="1021"/>
      <c r="BD432" s="1021"/>
      <c r="BE432" s="1021"/>
      <c r="BF432" s="1021"/>
      <c r="BG432" s="1021"/>
      <c r="BH432" s="1021"/>
      <c r="BI432" s="1021"/>
      <c r="BJ432" s="1021"/>
      <c r="BK432" s="1021"/>
      <c r="BL432" s="1021"/>
      <c r="BM432" s="1021"/>
      <c r="BN432" s="1021"/>
      <c r="BO432" s="1021"/>
      <c r="BP432" s="1021"/>
      <c r="BQ432" s="1021"/>
      <c r="BR432" s="1021"/>
      <c r="BS432" s="1021"/>
      <c r="BT432" s="1021"/>
      <c r="BU432" s="1021"/>
      <c r="BV432" s="1021"/>
      <c r="BW432" s="1021"/>
      <c r="BX432" s="1021"/>
      <c r="BY432" s="1021"/>
      <c r="BZ432" s="1021"/>
      <c r="CA432" s="1021"/>
      <c r="CB432" s="1021"/>
      <c r="CC432" s="1021"/>
    </row>
    <row r="433" spans="8:81" x14ac:dyDescent="0.25">
      <c r="H433" s="1021"/>
      <c r="I433" s="1021"/>
      <c r="J433" s="1021"/>
      <c r="K433" s="1021"/>
      <c r="L433" s="1021"/>
      <c r="M433" s="1021"/>
      <c r="N433" s="1021"/>
      <c r="O433" s="1021"/>
      <c r="P433" s="1021"/>
      <c r="Q433" s="1021"/>
      <c r="R433" s="1021"/>
      <c r="S433" s="1021"/>
      <c r="T433" s="1021"/>
      <c r="U433" s="1021"/>
      <c r="V433" s="1021"/>
      <c r="W433" s="1021"/>
      <c r="X433" s="1021"/>
      <c r="Y433" s="1021"/>
      <c r="Z433" s="1021"/>
      <c r="AA433" s="1021"/>
      <c r="AB433" s="1021"/>
      <c r="AC433" s="1021"/>
      <c r="AD433" s="1021"/>
      <c r="AE433" s="1021"/>
      <c r="AF433" s="1021"/>
      <c r="AG433" s="1021"/>
      <c r="AH433" s="1021"/>
      <c r="AI433" s="1021"/>
      <c r="AJ433" s="1021"/>
      <c r="AK433" s="1021"/>
      <c r="AL433" s="1021"/>
      <c r="AM433" s="1021"/>
      <c r="AN433" s="1021"/>
      <c r="AO433" s="1021"/>
      <c r="AP433" s="1021"/>
      <c r="AQ433" s="1021"/>
      <c r="AR433" s="1021"/>
      <c r="AS433" s="1021"/>
      <c r="AT433" s="1021"/>
      <c r="AU433" s="1021"/>
      <c r="AV433" s="1021"/>
      <c r="AW433" s="1021"/>
      <c r="AX433" s="1021"/>
      <c r="AY433" s="1021"/>
      <c r="AZ433" s="1021"/>
      <c r="BA433" s="1021"/>
      <c r="BB433" s="1021"/>
      <c r="BC433" s="1021"/>
      <c r="BD433" s="1021"/>
      <c r="BE433" s="1021"/>
      <c r="BF433" s="1021"/>
      <c r="BG433" s="1021"/>
      <c r="BH433" s="1021"/>
      <c r="BI433" s="1021"/>
      <c r="BJ433" s="1021"/>
      <c r="BK433" s="1021"/>
      <c r="BL433" s="1021"/>
      <c r="BM433" s="1021"/>
      <c r="BN433" s="1021"/>
      <c r="BO433" s="1021"/>
      <c r="BP433" s="1021"/>
      <c r="BQ433" s="1021"/>
      <c r="BR433" s="1021"/>
      <c r="BS433" s="1021"/>
      <c r="BT433" s="1021"/>
      <c r="BU433" s="1021"/>
      <c r="BV433" s="1021"/>
      <c r="BW433" s="1021"/>
      <c r="BX433" s="1021"/>
      <c r="BY433" s="1021"/>
      <c r="BZ433" s="1021"/>
      <c r="CA433" s="1021"/>
      <c r="CB433" s="1021"/>
      <c r="CC433" s="1021"/>
    </row>
    <row r="434" spans="8:81" x14ac:dyDescent="0.25">
      <c r="H434" s="1021"/>
      <c r="I434" s="1021"/>
      <c r="J434" s="1021"/>
      <c r="K434" s="1021"/>
      <c r="L434" s="1021"/>
      <c r="M434" s="1021"/>
      <c r="N434" s="1021"/>
      <c r="O434" s="1021"/>
      <c r="P434" s="1021"/>
      <c r="Q434" s="1021"/>
      <c r="R434" s="1021"/>
      <c r="S434" s="1021"/>
      <c r="T434" s="1021"/>
      <c r="U434" s="1021"/>
      <c r="V434" s="1021"/>
      <c r="W434" s="1021"/>
      <c r="X434" s="1021"/>
      <c r="Y434" s="1021"/>
      <c r="Z434" s="1021"/>
      <c r="AA434" s="1021"/>
      <c r="AB434" s="1021"/>
      <c r="AC434" s="1021"/>
      <c r="AD434" s="1021"/>
      <c r="AE434" s="1021"/>
      <c r="AF434" s="1021"/>
      <c r="AG434" s="1021"/>
      <c r="AH434" s="1021"/>
      <c r="AI434" s="1021"/>
      <c r="AJ434" s="1021"/>
      <c r="AK434" s="1021"/>
      <c r="AL434" s="1021"/>
      <c r="AM434" s="1021"/>
      <c r="AN434" s="1021"/>
      <c r="AO434" s="1021"/>
      <c r="AP434" s="1021"/>
      <c r="AQ434" s="1021"/>
      <c r="AR434" s="1021"/>
      <c r="AS434" s="1021"/>
      <c r="AT434" s="1021"/>
      <c r="AU434" s="1021"/>
      <c r="AV434" s="1021"/>
      <c r="AW434" s="1021"/>
      <c r="AX434" s="1021"/>
      <c r="AY434" s="1021"/>
      <c r="AZ434" s="1021"/>
      <c r="BA434" s="1021"/>
      <c r="BB434" s="1021"/>
      <c r="BC434" s="1021"/>
      <c r="BD434" s="1021"/>
      <c r="BE434" s="1021"/>
      <c r="BF434" s="1021"/>
      <c r="BG434" s="1021"/>
      <c r="BH434" s="1021"/>
      <c r="BI434" s="1021"/>
      <c r="BJ434" s="1021"/>
      <c r="BK434" s="1021"/>
      <c r="BL434" s="1021"/>
      <c r="BM434" s="1021"/>
      <c r="BN434" s="1021"/>
      <c r="BO434" s="1021"/>
      <c r="BP434" s="1021"/>
      <c r="BQ434" s="1021"/>
      <c r="BR434" s="1021"/>
      <c r="BS434" s="1021"/>
      <c r="BT434" s="1021"/>
      <c r="BU434" s="1021"/>
      <c r="BV434" s="1021"/>
      <c r="BW434" s="1021"/>
      <c r="BX434" s="1021"/>
      <c r="BY434" s="1021"/>
      <c r="BZ434" s="1021"/>
      <c r="CA434" s="1021"/>
      <c r="CB434" s="1021"/>
      <c r="CC434" s="1021"/>
    </row>
    <row r="435" spans="8:81" x14ac:dyDescent="0.25">
      <c r="H435" s="1021"/>
      <c r="I435" s="1021"/>
      <c r="J435" s="1021"/>
      <c r="K435" s="1021"/>
      <c r="L435" s="1021"/>
      <c r="M435" s="1021"/>
      <c r="N435" s="1021"/>
      <c r="O435" s="1021"/>
      <c r="P435" s="1021"/>
      <c r="Q435" s="1021"/>
      <c r="R435" s="1021"/>
      <c r="S435" s="1021"/>
      <c r="T435" s="1021"/>
      <c r="U435" s="1021"/>
      <c r="V435" s="1021"/>
      <c r="W435" s="1021"/>
      <c r="X435" s="1021"/>
      <c r="Y435" s="1021"/>
      <c r="Z435" s="1021"/>
      <c r="AA435" s="1021"/>
      <c r="AB435" s="1021"/>
      <c r="AC435" s="1021"/>
      <c r="AD435" s="1021"/>
      <c r="AE435" s="1021"/>
      <c r="AF435" s="1021"/>
      <c r="AG435" s="1021"/>
      <c r="AH435" s="1021"/>
      <c r="AI435" s="1021"/>
      <c r="AJ435" s="1021"/>
      <c r="AK435" s="1021"/>
      <c r="AL435" s="1021"/>
      <c r="AM435" s="1021"/>
      <c r="AN435" s="1021"/>
      <c r="AO435" s="1021"/>
      <c r="AP435" s="1021"/>
      <c r="AQ435" s="1021"/>
      <c r="AR435" s="1021"/>
      <c r="AS435" s="1021"/>
      <c r="AT435" s="1021"/>
      <c r="AU435" s="1021"/>
      <c r="AV435" s="1021"/>
      <c r="AW435" s="1021"/>
      <c r="AX435" s="1021"/>
      <c r="AY435" s="1021"/>
      <c r="AZ435" s="1021"/>
      <c r="BA435" s="1021"/>
      <c r="BB435" s="1021"/>
      <c r="BC435" s="1021"/>
      <c r="BD435" s="1021"/>
      <c r="BE435" s="1021"/>
      <c r="BF435" s="1021"/>
      <c r="BG435" s="1021"/>
      <c r="BH435" s="1021"/>
      <c r="BI435" s="1021"/>
      <c r="BJ435" s="1021"/>
      <c r="BK435" s="1021"/>
      <c r="BL435" s="1021"/>
      <c r="BM435" s="1021"/>
      <c r="BN435" s="1021"/>
      <c r="BO435" s="1021"/>
      <c r="BP435" s="1021"/>
      <c r="BQ435" s="1021"/>
      <c r="BR435" s="1021"/>
      <c r="BS435" s="1021"/>
      <c r="BT435" s="1021"/>
      <c r="BU435" s="1021"/>
      <c r="BV435" s="1021"/>
      <c r="BW435" s="1021"/>
      <c r="BX435" s="1021"/>
      <c r="BY435" s="1021"/>
      <c r="BZ435" s="1021"/>
      <c r="CA435" s="1021"/>
      <c r="CB435" s="1021"/>
      <c r="CC435" s="1021"/>
    </row>
    <row r="436" spans="8:81" x14ac:dyDescent="0.25">
      <c r="H436" s="1021"/>
      <c r="I436" s="1021"/>
      <c r="J436" s="1021"/>
      <c r="K436" s="1021"/>
      <c r="L436" s="1021"/>
      <c r="M436" s="1021"/>
      <c r="N436" s="1021"/>
      <c r="O436" s="1021"/>
      <c r="P436" s="1021"/>
      <c r="Q436" s="1021"/>
      <c r="R436" s="1021"/>
      <c r="S436" s="1021"/>
      <c r="T436" s="1021"/>
      <c r="U436" s="1021"/>
      <c r="V436" s="1021"/>
      <c r="W436" s="1021"/>
      <c r="X436" s="1021"/>
      <c r="Y436" s="1021"/>
      <c r="Z436" s="1021"/>
      <c r="AA436" s="1021"/>
      <c r="AB436" s="1021"/>
      <c r="AC436" s="1021"/>
      <c r="AD436" s="1021"/>
      <c r="AE436" s="1021"/>
      <c r="AF436" s="1021"/>
      <c r="AG436" s="1021"/>
      <c r="AH436" s="1021"/>
      <c r="AI436" s="1021"/>
      <c r="AJ436" s="1021"/>
      <c r="AK436" s="1021"/>
      <c r="AL436" s="1021"/>
      <c r="AM436" s="1021"/>
      <c r="AN436" s="1021"/>
      <c r="AO436" s="1021"/>
      <c r="AP436" s="1021"/>
      <c r="AQ436" s="1021"/>
      <c r="AR436" s="1021"/>
      <c r="AS436" s="1021"/>
      <c r="AT436" s="1021"/>
      <c r="AU436" s="1021"/>
      <c r="AV436" s="1021"/>
      <c r="AW436" s="1021"/>
      <c r="AX436" s="1021"/>
      <c r="AY436" s="1021"/>
      <c r="AZ436" s="1021"/>
      <c r="BA436" s="1021"/>
      <c r="BB436" s="1021"/>
      <c r="BC436" s="1021"/>
      <c r="BD436" s="1021"/>
      <c r="BE436" s="1021"/>
      <c r="BF436" s="1021"/>
      <c r="BG436" s="1021"/>
      <c r="BH436" s="1021"/>
      <c r="BI436" s="1021"/>
      <c r="BJ436" s="1021"/>
      <c r="BK436" s="1021"/>
      <c r="BL436" s="1021"/>
      <c r="BM436" s="1021"/>
      <c r="BN436" s="1021"/>
      <c r="BO436" s="1021"/>
      <c r="BP436" s="1021"/>
      <c r="BQ436" s="1021"/>
      <c r="BR436" s="1021"/>
      <c r="BS436" s="1021"/>
      <c r="BT436" s="1021"/>
      <c r="BU436" s="1021"/>
      <c r="BV436" s="1021"/>
      <c r="BW436" s="1021"/>
      <c r="BX436" s="1021"/>
      <c r="BY436" s="1021"/>
      <c r="BZ436" s="1021"/>
      <c r="CA436" s="1021"/>
      <c r="CB436" s="1021"/>
      <c r="CC436" s="1021"/>
    </row>
    <row r="437" spans="8:81" x14ac:dyDescent="0.25">
      <c r="H437" s="1021"/>
      <c r="I437" s="1021"/>
      <c r="J437" s="1021"/>
      <c r="K437" s="1021"/>
      <c r="L437" s="1021"/>
      <c r="M437" s="1021"/>
      <c r="N437" s="1021"/>
      <c r="O437" s="1021"/>
      <c r="P437" s="1021"/>
      <c r="Q437" s="1021"/>
      <c r="R437" s="1021"/>
      <c r="S437" s="1021"/>
      <c r="T437" s="1021"/>
      <c r="U437" s="1021"/>
      <c r="V437" s="1021"/>
      <c r="W437" s="1021"/>
      <c r="X437" s="1021"/>
      <c r="Y437" s="1021"/>
      <c r="Z437" s="1021"/>
      <c r="AA437" s="1021"/>
      <c r="AB437" s="1021"/>
      <c r="AC437" s="1021"/>
      <c r="AD437" s="1021"/>
      <c r="AE437" s="1021"/>
      <c r="AF437" s="1021"/>
      <c r="AG437" s="1021"/>
      <c r="AH437" s="1021"/>
      <c r="AI437" s="1021"/>
      <c r="AJ437" s="1021"/>
      <c r="AK437" s="1021"/>
      <c r="AL437" s="1021"/>
      <c r="AM437" s="1021"/>
      <c r="AN437" s="1021"/>
      <c r="AO437" s="1021"/>
      <c r="AP437" s="1021"/>
      <c r="AQ437" s="1021"/>
      <c r="AR437" s="1021"/>
      <c r="AS437" s="1021"/>
      <c r="AT437" s="1021"/>
      <c r="AU437" s="1021"/>
      <c r="AV437" s="1021"/>
      <c r="AW437" s="1021"/>
      <c r="AX437" s="1021"/>
      <c r="AY437" s="1021"/>
      <c r="AZ437" s="1021"/>
      <c r="BA437" s="1021"/>
      <c r="BB437" s="1021"/>
      <c r="BC437" s="1021"/>
      <c r="BD437" s="1021"/>
      <c r="BE437" s="1021"/>
      <c r="BF437" s="1021"/>
      <c r="BG437" s="1021"/>
      <c r="BH437" s="1021"/>
      <c r="BI437" s="1021"/>
      <c r="BJ437" s="1021"/>
      <c r="BK437" s="1021"/>
      <c r="BL437" s="1021"/>
      <c r="BM437" s="1021"/>
      <c r="BN437" s="1021"/>
      <c r="BO437" s="1021"/>
      <c r="BP437" s="1021"/>
      <c r="BQ437" s="1021"/>
      <c r="BR437" s="1021"/>
      <c r="BS437" s="1021"/>
      <c r="BT437" s="1021"/>
      <c r="BU437" s="1021"/>
      <c r="BV437" s="1021"/>
      <c r="BW437" s="1021"/>
      <c r="BX437" s="1021"/>
      <c r="BY437" s="1021"/>
      <c r="BZ437" s="1021"/>
      <c r="CA437" s="1021"/>
      <c r="CB437" s="1021"/>
      <c r="CC437" s="1021"/>
    </row>
    <row r="438" spans="8:81" x14ac:dyDescent="0.25">
      <c r="H438" s="1021"/>
      <c r="I438" s="1021"/>
      <c r="J438" s="1021"/>
      <c r="K438" s="1021"/>
      <c r="L438" s="1021"/>
      <c r="M438" s="1021"/>
      <c r="N438" s="1021"/>
      <c r="O438" s="1021"/>
      <c r="P438" s="1021"/>
      <c r="Q438" s="1021"/>
      <c r="R438" s="1021"/>
      <c r="S438" s="1021"/>
      <c r="T438" s="1021"/>
      <c r="U438" s="1021"/>
      <c r="V438" s="1021"/>
      <c r="W438" s="1021"/>
      <c r="X438" s="1021"/>
      <c r="Y438" s="1021"/>
      <c r="Z438" s="1021"/>
      <c r="AA438" s="1021"/>
      <c r="AB438" s="1021"/>
      <c r="AC438" s="1021"/>
      <c r="AD438" s="1021"/>
      <c r="AE438" s="1021"/>
      <c r="AF438" s="1021"/>
      <c r="AG438" s="1021"/>
      <c r="AH438" s="1021"/>
      <c r="AI438" s="1021"/>
      <c r="AJ438" s="1021"/>
      <c r="AK438" s="1021"/>
      <c r="AL438" s="1021"/>
      <c r="AM438" s="1021"/>
      <c r="AN438" s="1021"/>
      <c r="AO438" s="1021"/>
      <c r="AP438" s="1021"/>
      <c r="AQ438" s="1021"/>
      <c r="AR438" s="1021"/>
      <c r="AS438" s="1021"/>
      <c r="AT438" s="1021"/>
      <c r="AU438" s="1021"/>
      <c r="AV438" s="1021"/>
      <c r="AW438" s="1021"/>
      <c r="AX438" s="1021"/>
      <c r="AY438" s="1021"/>
      <c r="AZ438" s="1021"/>
      <c r="BA438" s="1021"/>
      <c r="BB438" s="1021"/>
      <c r="BC438" s="1021"/>
      <c r="BD438" s="1021"/>
      <c r="BE438" s="1021"/>
      <c r="BF438" s="1021"/>
      <c r="BG438" s="1021"/>
      <c r="BH438" s="1021"/>
      <c r="BI438" s="1021"/>
      <c r="BJ438" s="1021"/>
      <c r="BK438" s="1021"/>
      <c r="BL438" s="1021"/>
      <c r="BM438" s="1021"/>
      <c r="BN438" s="1021"/>
      <c r="BO438" s="1021"/>
      <c r="BP438" s="1021"/>
      <c r="BQ438" s="1021"/>
      <c r="BR438" s="1021"/>
      <c r="BS438" s="1021"/>
      <c r="BT438" s="1021"/>
      <c r="BU438" s="1021"/>
      <c r="BV438" s="1021"/>
      <c r="BW438" s="1021"/>
      <c r="BX438" s="1021"/>
      <c r="BY438" s="1021"/>
      <c r="BZ438" s="1021"/>
      <c r="CA438" s="1021"/>
      <c r="CB438" s="1021"/>
      <c r="CC438" s="1021"/>
    </row>
    <row r="439" spans="8:81" x14ac:dyDescent="0.25">
      <c r="H439" s="1021"/>
      <c r="I439" s="1021"/>
      <c r="J439" s="1021"/>
      <c r="K439" s="1021"/>
      <c r="L439" s="1021"/>
      <c r="M439" s="1021"/>
      <c r="N439" s="1021"/>
      <c r="O439" s="1021"/>
      <c r="P439" s="1021"/>
      <c r="Q439" s="1021"/>
      <c r="R439" s="1021"/>
      <c r="S439" s="1021"/>
      <c r="T439" s="1021"/>
      <c r="U439" s="1021"/>
      <c r="V439" s="1021"/>
      <c r="W439" s="1021"/>
      <c r="X439" s="1021"/>
      <c r="Y439" s="1021"/>
      <c r="Z439" s="1021"/>
      <c r="AA439" s="1021"/>
      <c r="AB439" s="1021"/>
      <c r="AC439" s="1021"/>
      <c r="AD439" s="1021"/>
      <c r="AE439" s="1021"/>
      <c r="AF439" s="1021"/>
      <c r="AG439" s="1021"/>
      <c r="AH439" s="1021"/>
      <c r="AI439" s="1021"/>
      <c r="AJ439" s="1021"/>
      <c r="AK439" s="1021"/>
      <c r="AL439" s="1021"/>
      <c r="AM439" s="1021"/>
      <c r="AN439" s="1021"/>
      <c r="AO439" s="1021"/>
      <c r="AP439" s="1021"/>
      <c r="AQ439" s="1021"/>
      <c r="AR439" s="1021"/>
      <c r="AS439" s="1021"/>
      <c r="AT439" s="1021"/>
      <c r="AU439" s="1021"/>
      <c r="AV439" s="1021"/>
      <c r="AW439" s="1021"/>
      <c r="AX439" s="1021"/>
      <c r="AY439" s="1021"/>
      <c r="AZ439" s="1021"/>
      <c r="BA439" s="1021"/>
      <c r="BB439" s="1021"/>
      <c r="BC439" s="1021"/>
      <c r="BD439" s="1021"/>
      <c r="BE439" s="1021"/>
      <c r="BF439" s="1021"/>
      <c r="BG439" s="1021"/>
      <c r="BH439" s="1021"/>
      <c r="BI439" s="1021"/>
      <c r="BJ439" s="1021"/>
      <c r="BK439" s="1021"/>
      <c r="BL439" s="1021"/>
      <c r="BM439" s="1021"/>
      <c r="BN439" s="1021"/>
      <c r="BO439" s="1021"/>
      <c r="BP439" s="1021"/>
      <c r="BQ439" s="1021"/>
      <c r="BR439" s="1021"/>
      <c r="BS439" s="1021"/>
      <c r="BT439" s="1021"/>
      <c r="BU439" s="1021"/>
      <c r="BV439" s="1021"/>
      <c r="BW439" s="1021"/>
      <c r="BX439" s="1021"/>
      <c r="BY439" s="1021"/>
      <c r="BZ439" s="1021"/>
      <c r="CA439" s="1021"/>
      <c r="CB439" s="1021"/>
      <c r="CC439" s="1021"/>
    </row>
    <row r="440" spans="8:81" x14ac:dyDescent="0.25">
      <c r="H440" s="1021"/>
      <c r="I440" s="1021"/>
      <c r="J440" s="1021"/>
      <c r="K440" s="1021"/>
      <c r="L440" s="1021"/>
      <c r="M440" s="1021"/>
      <c r="N440" s="1021"/>
      <c r="O440" s="1021"/>
      <c r="P440" s="1021"/>
      <c r="Q440" s="1021"/>
      <c r="R440" s="1021"/>
      <c r="S440" s="1021"/>
      <c r="T440" s="1021"/>
      <c r="U440" s="1021"/>
      <c r="V440" s="1021"/>
      <c r="W440" s="1021"/>
      <c r="X440" s="1021"/>
      <c r="Y440" s="1021"/>
      <c r="Z440" s="1021"/>
      <c r="AA440" s="1021"/>
      <c r="AB440" s="1021"/>
      <c r="AC440" s="1021"/>
      <c r="AD440" s="1021"/>
      <c r="AE440" s="1021"/>
      <c r="AF440" s="1021"/>
      <c r="AG440" s="1021"/>
      <c r="AH440" s="1021"/>
      <c r="AI440" s="1021"/>
      <c r="AJ440" s="1021"/>
      <c r="AK440" s="1021"/>
      <c r="AL440" s="1021"/>
      <c r="AM440" s="1021"/>
      <c r="AN440" s="1021"/>
      <c r="AO440" s="1021"/>
      <c r="AP440" s="1021"/>
      <c r="AQ440" s="1021"/>
      <c r="AR440" s="1021"/>
      <c r="AS440" s="1021"/>
      <c r="AT440" s="1021"/>
      <c r="AU440" s="1021"/>
      <c r="AV440" s="1021"/>
      <c r="AW440" s="1021"/>
      <c r="AX440" s="1021"/>
      <c r="AY440" s="1021"/>
      <c r="AZ440" s="1021"/>
      <c r="BA440" s="1021"/>
      <c r="BB440" s="1021"/>
      <c r="BC440" s="1021"/>
      <c r="BD440" s="1021"/>
      <c r="BE440" s="1021"/>
      <c r="BF440" s="1021"/>
      <c r="BG440" s="1021"/>
      <c r="BH440" s="1021"/>
      <c r="BI440" s="1021"/>
      <c r="BJ440" s="1021"/>
      <c r="BK440" s="1021"/>
      <c r="BL440" s="1021"/>
      <c r="BM440" s="1021"/>
      <c r="BN440" s="1021"/>
      <c r="BO440" s="1021"/>
      <c r="BP440" s="1021"/>
      <c r="BQ440" s="1021"/>
      <c r="BR440" s="1021"/>
      <c r="BS440" s="1021"/>
      <c r="BT440" s="1021"/>
      <c r="BU440" s="1021"/>
      <c r="BV440" s="1021"/>
      <c r="BW440" s="1021"/>
      <c r="BX440" s="1021"/>
      <c r="BY440" s="1021"/>
      <c r="BZ440" s="1021"/>
      <c r="CA440" s="1021"/>
      <c r="CB440" s="1021"/>
      <c r="CC440" s="1021"/>
    </row>
    <row r="441" spans="8:81" x14ac:dyDescent="0.25">
      <c r="H441" s="1021"/>
      <c r="I441" s="1021"/>
      <c r="J441" s="1021"/>
      <c r="K441" s="1021"/>
      <c r="L441" s="1021"/>
      <c r="M441" s="1021"/>
      <c r="N441" s="1021"/>
      <c r="O441" s="1021"/>
      <c r="P441" s="1021"/>
      <c r="Q441" s="1021"/>
      <c r="R441" s="1021"/>
      <c r="S441" s="1021"/>
      <c r="T441" s="1021"/>
      <c r="U441" s="1021"/>
      <c r="V441" s="1021"/>
      <c r="W441" s="1021"/>
      <c r="X441" s="1021"/>
      <c r="Y441" s="1021"/>
      <c r="Z441" s="1021"/>
      <c r="AA441" s="1021"/>
      <c r="AB441" s="1021"/>
      <c r="AC441" s="1021"/>
      <c r="AD441" s="1021"/>
      <c r="AE441" s="1021"/>
      <c r="AF441" s="1021"/>
      <c r="AG441" s="1021"/>
      <c r="AH441" s="1021"/>
      <c r="AI441" s="1021"/>
      <c r="AJ441" s="1021"/>
      <c r="AK441" s="1021"/>
      <c r="AL441" s="1021"/>
      <c r="AM441" s="1021"/>
      <c r="AN441" s="1021"/>
      <c r="AO441" s="1021"/>
      <c r="AP441" s="1021"/>
      <c r="AQ441" s="1021"/>
      <c r="AR441" s="1021"/>
      <c r="AS441" s="1021"/>
      <c r="AT441" s="1021"/>
      <c r="AU441" s="1021"/>
      <c r="AV441" s="1021"/>
      <c r="AW441" s="1021"/>
      <c r="AX441" s="1021"/>
      <c r="AY441" s="1021"/>
      <c r="AZ441" s="1021"/>
      <c r="BA441" s="1021"/>
      <c r="BB441" s="1021"/>
      <c r="BC441" s="1021"/>
      <c r="BD441" s="1021"/>
      <c r="BE441" s="1021"/>
      <c r="BF441" s="1021"/>
      <c r="BG441" s="1021"/>
      <c r="BH441" s="1021"/>
      <c r="BI441" s="1021"/>
      <c r="BJ441" s="1021"/>
      <c r="BK441" s="1021"/>
      <c r="BL441" s="1021"/>
      <c r="BM441" s="1021"/>
      <c r="BN441" s="1021"/>
      <c r="BO441" s="1021"/>
      <c r="BP441" s="1021"/>
      <c r="BQ441" s="1021"/>
      <c r="BR441" s="1021"/>
      <c r="BS441" s="1021"/>
      <c r="BT441" s="1021"/>
      <c r="BU441" s="1021"/>
      <c r="BV441" s="1021"/>
      <c r="BW441" s="1021"/>
      <c r="BX441" s="1021"/>
      <c r="BY441" s="1021"/>
      <c r="BZ441" s="1021"/>
      <c r="CA441" s="1021"/>
      <c r="CB441" s="1021"/>
      <c r="CC441" s="1021"/>
    </row>
    <row r="442" spans="8:81" x14ac:dyDescent="0.25">
      <c r="H442" s="1021"/>
      <c r="I442" s="1021"/>
      <c r="J442" s="1021"/>
      <c r="K442" s="1021"/>
      <c r="L442" s="1021"/>
      <c r="M442" s="1021"/>
      <c r="N442" s="1021"/>
      <c r="O442" s="1021"/>
      <c r="P442" s="1021"/>
      <c r="Q442" s="1021"/>
      <c r="R442" s="1021"/>
      <c r="S442" s="1021"/>
      <c r="T442" s="1021"/>
      <c r="U442" s="1021"/>
      <c r="V442" s="1021"/>
      <c r="W442" s="1021"/>
      <c r="X442" s="1021"/>
      <c r="Y442" s="1021"/>
      <c r="Z442" s="1021"/>
      <c r="AA442" s="1021"/>
      <c r="AB442" s="1021"/>
      <c r="AC442" s="1021"/>
      <c r="AD442" s="1021"/>
      <c r="AE442" s="1021"/>
      <c r="AF442" s="1021"/>
      <c r="AG442" s="1021"/>
      <c r="AH442" s="1021"/>
      <c r="AI442" s="1021"/>
      <c r="AJ442" s="1021"/>
      <c r="AK442" s="1021"/>
      <c r="AL442" s="1021"/>
      <c r="AM442" s="1021"/>
      <c r="AN442" s="1021"/>
      <c r="AO442" s="1021"/>
      <c r="AP442" s="1021"/>
      <c r="AQ442" s="1021"/>
      <c r="AR442" s="1021"/>
      <c r="AS442" s="1021"/>
      <c r="AT442" s="1021"/>
      <c r="AU442" s="1021"/>
      <c r="AV442" s="1021"/>
      <c r="AW442" s="1021"/>
      <c r="AX442" s="1021"/>
      <c r="AY442" s="1021"/>
      <c r="AZ442" s="1021"/>
      <c r="BA442" s="1021"/>
      <c r="BB442" s="1021"/>
      <c r="BC442" s="1021"/>
      <c r="BD442" s="1021"/>
      <c r="BE442" s="1021"/>
      <c r="BF442" s="1021"/>
      <c r="BG442" s="1021"/>
      <c r="BH442" s="1021"/>
      <c r="BI442" s="1021"/>
      <c r="BJ442" s="1021"/>
      <c r="BK442" s="1021"/>
      <c r="BL442" s="1021"/>
      <c r="BM442" s="1021"/>
      <c r="BN442" s="1021"/>
      <c r="BO442" s="1021"/>
      <c r="BP442" s="1021"/>
      <c r="BQ442" s="1021"/>
      <c r="BR442" s="1021"/>
      <c r="BS442" s="1021"/>
      <c r="BT442" s="1021"/>
      <c r="BU442" s="1021"/>
      <c r="BV442" s="1021"/>
      <c r="BW442" s="1021"/>
      <c r="BX442" s="1021"/>
      <c r="BY442" s="1021"/>
      <c r="BZ442" s="1021"/>
      <c r="CA442" s="1021"/>
      <c r="CB442" s="1021"/>
      <c r="CC442" s="1021"/>
    </row>
    <row r="443" spans="8:81" x14ac:dyDescent="0.25">
      <c r="H443" s="1021"/>
      <c r="I443" s="1021"/>
      <c r="J443" s="1021"/>
      <c r="K443" s="1021"/>
      <c r="L443" s="1021"/>
      <c r="M443" s="1021"/>
      <c r="N443" s="1021"/>
      <c r="O443" s="1021"/>
      <c r="P443" s="1021"/>
      <c r="Q443" s="1021"/>
      <c r="R443" s="1021"/>
      <c r="S443" s="1021"/>
      <c r="T443" s="1021"/>
      <c r="U443" s="1021"/>
      <c r="V443" s="1021"/>
      <c r="W443" s="1021"/>
      <c r="X443" s="1021"/>
      <c r="Y443" s="1021"/>
      <c r="Z443" s="1021"/>
      <c r="AA443" s="1021"/>
      <c r="AB443" s="1021"/>
      <c r="AC443" s="1021"/>
      <c r="AD443" s="1021"/>
      <c r="AE443" s="1021"/>
      <c r="AF443" s="1021"/>
      <c r="AG443" s="1021"/>
      <c r="AH443" s="1021"/>
      <c r="AI443" s="1021"/>
      <c r="AJ443" s="1021"/>
      <c r="AK443" s="1021"/>
      <c r="AL443" s="1021"/>
      <c r="AM443" s="1021"/>
      <c r="AN443" s="1021"/>
      <c r="AO443" s="1021"/>
      <c r="AP443" s="1021"/>
      <c r="AQ443" s="1021"/>
      <c r="AR443" s="1021"/>
      <c r="AS443" s="1021"/>
      <c r="AT443" s="1021"/>
      <c r="AU443" s="1021"/>
      <c r="AV443" s="1021"/>
      <c r="AW443" s="1021"/>
      <c r="AX443" s="1021"/>
      <c r="AY443" s="1021"/>
      <c r="AZ443" s="1021"/>
      <c r="BA443" s="1021"/>
      <c r="BB443" s="1021"/>
      <c r="BC443" s="1021"/>
      <c r="BD443" s="1021"/>
      <c r="BE443" s="1021"/>
      <c r="BF443" s="1021"/>
      <c r="BG443" s="1021"/>
      <c r="BH443" s="1021"/>
      <c r="BI443" s="1021"/>
      <c r="BJ443" s="1021"/>
      <c r="BK443" s="1021"/>
      <c r="BL443" s="1021"/>
      <c r="BM443" s="1021"/>
      <c r="BN443" s="1021"/>
      <c r="BO443" s="1021"/>
      <c r="BP443" s="1021"/>
      <c r="BQ443" s="1021"/>
      <c r="BR443" s="1021"/>
      <c r="BS443" s="1021"/>
      <c r="BT443" s="1021"/>
      <c r="BU443" s="1021"/>
      <c r="BV443" s="1021"/>
      <c r="BW443" s="1021"/>
      <c r="BX443" s="1021"/>
      <c r="BY443" s="1021"/>
      <c r="BZ443" s="1021"/>
      <c r="CA443" s="1021"/>
      <c r="CB443" s="1021"/>
      <c r="CC443" s="1021"/>
    </row>
    <row r="444" spans="8:81" x14ac:dyDescent="0.25">
      <c r="H444" s="1021"/>
      <c r="I444" s="1021"/>
      <c r="J444" s="1021"/>
      <c r="K444" s="1021"/>
      <c r="L444" s="1021"/>
      <c r="M444" s="1021"/>
      <c r="N444" s="1021"/>
      <c r="O444" s="1021"/>
      <c r="P444" s="1021"/>
      <c r="Q444" s="1021"/>
      <c r="R444" s="1021"/>
      <c r="S444" s="1021"/>
      <c r="T444" s="1021"/>
      <c r="U444" s="1021"/>
      <c r="V444" s="1021"/>
      <c r="W444" s="1021"/>
      <c r="X444" s="1021"/>
      <c r="Y444" s="1021"/>
      <c r="Z444" s="1021"/>
      <c r="AA444" s="1021"/>
      <c r="AB444" s="1021"/>
      <c r="AC444" s="1021"/>
      <c r="AD444" s="1021"/>
      <c r="AE444" s="1021"/>
      <c r="AF444" s="1021"/>
      <c r="AG444" s="1021"/>
      <c r="AH444" s="1021"/>
      <c r="AI444" s="1021"/>
      <c r="AJ444" s="1021"/>
      <c r="AK444" s="1021"/>
      <c r="AL444" s="1021"/>
      <c r="AM444" s="1021"/>
      <c r="AN444" s="1021"/>
      <c r="AO444" s="1021"/>
      <c r="AP444" s="1021"/>
      <c r="AQ444" s="1021"/>
      <c r="AR444" s="1021"/>
      <c r="AS444" s="1021"/>
      <c r="AT444" s="1021"/>
      <c r="AU444" s="1021"/>
      <c r="AV444" s="1021"/>
      <c r="AW444" s="1021"/>
      <c r="AX444" s="1021"/>
      <c r="AY444" s="1021"/>
      <c r="AZ444" s="1021"/>
      <c r="BA444" s="1021"/>
      <c r="BB444" s="1021"/>
      <c r="BC444" s="1021"/>
      <c r="BD444" s="1021"/>
      <c r="BE444" s="1021"/>
      <c r="BF444" s="1021"/>
      <c r="BG444" s="1021"/>
      <c r="BH444" s="1021"/>
      <c r="BI444" s="1021"/>
      <c r="BJ444" s="1021"/>
      <c r="BK444" s="1021"/>
      <c r="BL444" s="1021"/>
      <c r="BM444" s="1021"/>
      <c r="BN444" s="1021"/>
      <c r="BO444" s="1021"/>
      <c r="BP444" s="1021"/>
      <c r="BQ444" s="1021"/>
      <c r="BR444" s="1021"/>
      <c r="BS444" s="1021"/>
      <c r="BT444" s="1021"/>
      <c r="BU444" s="1021"/>
      <c r="BV444" s="1021"/>
      <c r="BW444" s="1021"/>
      <c r="BX444" s="1021"/>
      <c r="BY444" s="1021"/>
      <c r="BZ444" s="1021"/>
      <c r="CA444" s="1021"/>
      <c r="CB444" s="1021"/>
      <c r="CC444" s="1021"/>
    </row>
    <row r="445" spans="8:81" x14ac:dyDescent="0.25">
      <c r="H445" s="1021"/>
      <c r="I445" s="1021"/>
      <c r="J445" s="1021"/>
      <c r="K445" s="1021"/>
      <c r="L445" s="1021"/>
      <c r="M445" s="1021"/>
      <c r="N445" s="1021"/>
      <c r="O445" s="1021"/>
      <c r="P445" s="1021"/>
      <c r="Q445" s="1021"/>
      <c r="R445" s="1021"/>
      <c r="S445" s="1021"/>
      <c r="T445" s="1021"/>
      <c r="U445" s="1021"/>
      <c r="V445" s="1021"/>
      <c r="W445" s="1021"/>
      <c r="X445" s="1021"/>
      <c r="Y445" s="1021"/>
      <c r="Z445" s="1021"/>
      <c r="AA445" s="1021"/>
      <c r="AB445" s="1021"/>
      <c r="AC445" s="1021"/>
      <c r="AD445" s="1021"/>
      <c r="AE445" s="1021"/>
      <c r="AF445" s="1021"/>
      <c r="AG445" s="1021"/>
      <c r="AH445" s="1021"/>
      <c r="AI445" s="1021"/>
      <c r="AJ445" s="1021"/>
      <c r="AK445" s="1021"/>
      <c r="AL445" s="1021"/>
      <c r="AM445" s="1021"/>
      <c r="AN445" s="1021"/>
      <c r="AO445" s="1021"/>
      <c r="AP445" s="1021"/>
      <c r="AQ445" s="1021"/>
      <c r="AR445" s="1021"/>
      <c r="AS445" s="1021"/>
      <c r="AT445" s="1021"/>
      <c r="AU445" s="1021"/>
      <c r="AV445" s="1021"/>
      <c r="AW445" s="1021"/>
      <c r="AX445" s="1021"/>
      <c r="AY445" s="1021"/>
      <c r="AZ445" s="1021"/>
      <c r="BA445" s="1021"/>
      <c r="BB445" s="1021"/>
      <c r="BC445" s="1021"/>
      <c r="BD445" s="1021"/>
      <c r="BE445" s="1021"/>
      <c r="BF445" s="1021"/>
      <c r="BG445" s="1021"/>
      <c r="BH445" s="1021"/>
      <c r="BI445" s="1021"/>
      <c r="BJ445" s="1021"/>
      <c r="BK445" s="1021"/>
      <c r="BL445" s="1021"/>
      <c r="BM445" s="1021"/>
      <c r="BN445" s="1021"/>
      <c r="BO445" s="1021"/>
      <c r="BP445" s="1021"/>
      <c r="BQ445" s="1021"/>
      <c r="BR445" s="1021"/>
      <c r="BS445" s="1021"/>
      <c r="BT445" s="1021"/>
      <c r="BU445" s="1021"/>
      <c r="BV445" s="1021"/>
      <c r="BW445" s="1021"/>
      <c r="BX445" s="1021"/>
      <c r="BY445" s="1021"/>
      <c r="BZ445" s="1021"/>
      <c r="CA445" s="1021"/>
      <c r="CB445" s="1021"/>
      <c r="CC445" s="1021"/>
    </row>
    <row r="446" spans="8:81" x14ac:dyDescent="0.25">
      <c r="H446" s="1021"/>
      <c r="I446" s="1021"/>
      <c r="J446" s="1021"/>
      <c r="K446" s="1021"/>
      <c r="L446" s="1021"/>
      <c r="M446" s="1021"/>
      <c r="N446" s="1021"/>
      <c r="O446" s="1021"/>
      <c r="P446" s="1021"/>
      <c r="Q446" s="1021"/>
      <c r="R446" s="1021"/>
      <c r="S446" s="1021"/>
      <c r="T446" s="1021"/>
      <c r="U446" s="1021"/>
      <c r="V446" s="1021"/>
      <c r="W446" s="1021"/>
      <c r="X446" s="1021"/>
      <c r="Y446" s="1021"/>
      <c r="Z446" s="1021"/>
      <c r="AA446" s="1021"/>
      <c r="AB446" s="1021"/>
      <c r="AC446" s="1021"/>
      <c r="AD446" s="1021"/>
      <c r="AE446" s="1021"/>
      <c r="AF446" s="1021"/>
      <c r="AG446" s="1021"/>
      <c r="AH446" s="1021"/>
      <c r="AI446" s="1021"/>
      <c r="AJ446" s="1021"/>
      <c r="AK446" s="1021"/>
      <c r="AL446" s="1021"/>
      <c r="AM446" s="1021"/>
      <c r="AN446" s="1021"/>
      <c r="AO446" s="1021"/>
      <c r="AP446" s="1021"/>
      <c r="AQ446" s="1021"/>
      <c r="AR446" s="1021"/>
      <c r="AS446" s="1021"/>
      <c r="AT446" s="1021"/>
      <c r="AU446" s="1021"/>
      <c r="AV446" s="1021"/>
      <c r="AW446" s="1021"/>
      <c r="AX446" s="1021"/>
      <c r="AY446" s="1021"/>
      <c r="AZ446" s="1021"/>
      <c r="BA446" s="1021"/>
      <c r="BB446" s="1021"/>
      <c r="BC446" s="1021"/>
      <c r="BD446" s="1021"/>
      <c r="BE446" s="1021"/>
      <c r="BF446" s="1021"/>
      <c r="BG446" s="1021"/>
      <c r="BH446" s="1021"/>
      <c r="BI446" s="1021"/>
      <c r="BJ446" s="1021"/>
      <c r="BK446" s="1021"/>
      <c r="BL446" s="1021"/>
      <c r="BM446" s="1021"/>
      <c r="BN446" s="1021"/>
      <c r="BO446" s="1021"/>
      <c r="BP446" s="1021"/>
      <c r="BQ446" s="1021"/>
      <c r="BR446" s="1021"/>
      <c r="BS446" s="1021"/>
      <c r="BT446" s="1021"/>
      <c r="BU446" s="1021"/>
      <c r="BV446" s="1021"/>
      <c r="BW446" s="1021"/>
      <c r="BX446" s="1021"/>
      <c r="BY446" s="1021"/>
      <c r="BZ446" s="1021"/>
      <c r="CA446" s="1021"/>
      <c r="CB446" s="1021"/>
      <c r="CC446" s="1021"/>
    </row>
    <row r="447" spans="8:81" x14ac:dyDescent="0.25">
      <c r="H447" s="1021"/>
      <c r="I447" s="1021"/>
      <c r="J447" s="1021"/>
      <c r="K447" s="1021"/>
      <c r="L447" s="1021"/>
      <c r="M447" s="1021"/>
      <c r="N447" s="1021"/>
      <c r="O447" s="1021"/>
      <c r="P447" s="1021"/>
      <c r="Q447" s="1021"/>
      <c r="R447" s="1021"/>
      <c r="S447" s="1021"/>
      <c r="T447" s="1021"/>
      <c r="U447" s="1021"/>
      <c r="V447" s="1021"/>
      <c r="W447" s="1021"/>
      <c r="X447" s="1021"/>
      <c r="Y447" s="1021"/>
      <c r="Z447" s="1021"/>
      <c r="AA447" s="1021"/>
      <c r="AB447" s="1021"/>
      <c r="AC447" s="1021"/>
      <c r="AD447" s="1021"/>
      <c r="AE447" s="1021"/>
      <c r="AF447" s="1021"/>
      <c r="AG447" s="1021"/>
      <c r="AH447" s="1021"/>
      <c r="AI447" s="1021"/>
      <c r="AJ447" s="1021"/>
      <c r="AK447" s="1021"/>
      <c r="AL447" s="1021"/>
      <c r="AM447" s="1021"/>
      <c r="AN447" s="1021"/>
      <c r="AO447" s="1021"/>
      <c r="AP447" s="1021"/>
      <c r="AQ447" s="1021"/>
      <c r="AR447" s="1021"/>
      <c r="AS447" s="1021"/>
      <c r="AT447" s="1021"/>
      <c r="AU447" s="1021"/>
      <c r="AV447" s="1021"/>
      <c r="AW447" s="1021"/>
      <c r="AX447" s="1021"/>
      <c r="AY447" s="1021"/>
      <c r="AZ447" s="1021"/>
      <c r="BA447" s="1021"/>
      <c r="BB447" s="1021"/>
      <c r="BC447" s="1021"/>
      <c r="BD447" s="1021"/>
      <c r="BE447" s="1021"/>
      <c r="BF447" s="1021"/>
      <c r="BG447" s="1021"/>
      <c r="BH447" s="1021"/>
      <c r="BI447" s="1021"/>
      <c r="BJ447" s="1021"/>
      <c r="BK447" s="1021"/>
      <c r="BL447" s="1021"/>
      <c r="BM447" s="1021"/>
      <c r="BN447" s="1021"/>
      <c r="BO447" s="1021"/>
      <c r="BP447" s="1021"/>
      <c r="BQ447" s="1021"/>
      <c r="BR447" s="1021"/>
      <c r="BS447" s="1021"/>
      <c r="BT447" s="1021"/>
      <c r="BU447" s="1021"/>
      <c r="BV447" s="1021"/>
      <c r="BW447" s="1021"/>
      <c r="BX447" s="1021"/>
      <c r="BY447" s="1021"/>
      <c r="BZ447" s="1021"/>
      <c r="CA447" s="1021"/>
      <c r="CB447" s="1021"/>
      <c r="CC447" s="1021"/>
    </row>
    <row r="448" spans="8:81" x14ac:dyDescent="0.25">
      <c r="H448" s="1021"/>
      <c r="I448" s="1021"/>
      <c r="J448" s="1021"/>
      <c r="K448" s="1021"/>
      <c r="L448" s="1021"/>
      <c r="M448" s="1021"/>
      <c r="N448" s="1021"/>
      <c r="O448" s="1021"/>
      <c r="P448" s="1021"/>
      <c r="Q448" s="1021"/>
      <c r="R448" s="1021"/>
      <c r="S448" s="1021"/>
      <c r="T448" s="1021"/>
      <c r="U448" s="1021"/>
      <c r="V448" s="1021"/>
      <c r="W448" s="1021"/>
      <c r="X448" s="1021"/>
      <c r="Y448" s="1021"/>
      <c r="Z448" s="1021"/>
      <c r="AA448" s="1021"/>
      <c r="AB448" s="1021"/>
      <c r="AC448" s="1021"/>
      <c r="AD448" s="1021"/>
      <c r="AE448" s="1021"/>
      <c r="AF448" s="1021"/>
      <c r="AG448" s="1021"/>
      <c r="AH448" s="1021"/>
      <c r="AI448" s="1021"/>
      <c r="AJ448" s="1021"/>
      <c r="AK448" s="1021"/>
      <c r="AL448" s="1021"/>
      <c r="AM448" s="1021"/>
      <c r="AN448" s="1021"/>
      <c r="AO448" s="1021"/>
      <c r="AP448" s="1021"/>
      <c r="AQ448" s="1021"/>
      <c r="AR448" s="1021"/>
      <c r="AS448" s="1021"/>
      <c r="AT448" s="1021"/>
      <c r="AU448" s="1021"/>
      <c r="AV448" s="1021"/>
      <c r="AW448" s="1021"/>
      <c r="AX448" s="1021"/>
      <c r="AY448" s="1021"/>
      <c r="AZ448" s="1021"/>
      <c r="BA448" s="1021"/>
      <c r="BB448" s="1021"/>
      <c r="BC448" s="1021"/>
      <c r="BD448" s="1021"/>
      <c r="BE448" s="1021"/>
      <c r="BF448" s="1021"/>
      <c r="BG448" s="1021"/>
      <c r="BH448" s="1021"/>
      <c r="BI448" s="1021"/>
      <c r="BJ448" s="1021"/>
      <c r="BK448" s="1021"/>
      <c r="BL448" s="1021"/>
      <c r="BM448" s="1021"/>
      <c r="BN448" s="1021"/>
      <c r="BO448" s="1021"/>
      <c r="BP448" s="1021"/>
      <c r="BQ448" s="1021"/>
      <c r="BR448" s="1021"/>
      <c r="BS448" s="1021"/>
      <c r="BT448" s="1021"/>
      <c r="BU448" s="1021"/>
      <c r="BV448" s="1021"/>
      <c r="BW448" s="1021"/>
      <c r="BX448" s="1021"/>
      <c r="BY448" s="1021"/>
      <c r="BZ448" s="1021"/>
      <c r="CA448" s="1021"/>
      <c r="CB448" s="1021"/>
      <c r="CC448" s="1021"/>
    </row>
    <row r="449" spans="8:81" x14ac:dyDescent="0.25">
      <c r="H449" s="1021"/>
      <c r="I449" s="1021"/>
      <c r="J449" s="1021"/>
      <c r="K449" s="1021"/>
      <c r="L449" s="1021"/>
      <c r="M449" s="1021"/>
      <c r="N449" s="1021"/>
      <c r="O449" s="1021"/>
      <c r="P449" s="1021"/>
      <c r="Q449" s="1021"/>
      <c r="R449" s="1021"/>
      <c r="S449" s="1021"/>
      <c r="T449" s="1021"/>
      <c r="U449" s="1021"/>
      <c r="V449" s="1021"/>
      <c r="W449" s="1021"/>
      <c r="X449" s="1021"/>
      <c r="Y449" s="1021"/>
      <c r="Z449" s="1021"/>
      <c r="AA449" s="1021"/>
      <c r="AB449" s="1021"/>
      <c r="AC449" s="1021"/>
      <c r="AD449" s="1021"/>
      <c r="AE449" s="1021"/>
      <c r="AF449" s="1021"/>
      <c r="AG449" s="1021"/>
      <c r="AH449" s="1021"/>
      <c r="AI449" s="1021"/>
      <c r="AJ449" s="1021"/>
      <c r="AK449" s="1021"/>
      <c r="AL449" s="1021"/>
      <c r="AM449" s="1021"/>
      <c r="AN449" s="1021"/>
      <c r="AO449" s="1021"/>
      <c r="AP449" s="1021"/>
      <c r="AQ449" s="1021"/>
      <c r="AR449" s="1021"/>
      <c r="AS449" s="1021"/>
      <c r="AT449" s="1021"/>
      <c r="AU449" s="1021"/>
      <c r="AV449" s="1021"/>
      <c r="AW449" s="1021"/>
      <c r="AX449" s="1021"/>
      <c r="AY449" s="1021"/>
      <c r="AZ449" s="1021"/>
      <c r="BA449" s="1021"/>
      <c r="BB449" s="1021"/>
      <c r="BC449" s="1021"/>
      <c r="BD449" s="1021"/>
      <c r="BE449" s="1021"/>
      <c r="BF449" s="1021"/>
      <c r="BG449" s="1021"/>
      <c r="BH449" s="1021"/>
      <c r="BI449" s="1021"/>
      <c r="BJ449" s="1021"/>
      <c r="BK449" s="1021"/>
      <c r="BL449" s="1021"/>
      <c r="BM449" s="1021"/>
      <c r="BN449" s="1021"/>
      <c r="BO449" s="1021"/>
      <c r="BP449" s="1021"/>
      <c r="BQ449" s="1021"/>
      <c r="BR449" s="1021"/>
      <c r="BS449" s="1021"/>
      <c r="BT449" s="1021"/>
      <c r="BU449" s="1021"/>
      <c r="BV449" s="1021"/>
      <c r="BW449" s="1021"/>
      <c r="BX449" s="1021"/>
      <c r="BY449" s="1021"/>
      <c r="BZ449" s="1021"/>
      <c r="CA449" s="1021"/>
      <c r="CB449" s="1021"/>
      <c r="CC449" s="1021"/>
    </row>
    <row r="450" spans="8:81" x14ac:dyDescent="0.25">
      <c r="H450" s="1021"/>
      <c r="I450" s="1021"/>
      <c r="J450" s="1021"/>
      <c r="K450" s="1021"/>
      <c r="L450" s="1021"/>
      <c r="M450" s="1021"/>
      <c r="N450" s="1021"/>
      <c r="O450" s="1021"/>
      <c r="P450" s="1021"/>
      <c r="Q450" s="1021"/>
      <c r="R450" s="1021"/>
      <c r="S450" s="1021"/>
      <c r="T450" s="1021"/>
      <c r="U450" s="1021"/>
      <c r="V450" s="1021"/>
      <c r="W450" s="1021"/>
      <c r="X450" s="1021"/>
      <c r="Y450" s="1021"/>
      <c r="Z450" s="1021"/>
      <c r="AA450" s="1021"/>
      <c r="AB450" s="1021"/>
      <c r="AC450" s="1021"/>
      <c r="AD450" s="1021"/>
      <c r="AE450" s="1021"/>
      <c r="AF450" s="1021"/>
      <c r="AG450" s="1021"/>
      <c r="AH450" s="1021"/>
      <c r="AI450" s="1021"/>
      <c r="AJ450" s="1021"/>
      <c r="AK450" s="1021"/>
      <c r="AL450" s="1021"/>
      <c r="AM450" s="1021"/>
      <c r="AN450" s="1021"/>
      <c r="AO450" s="1021"/>
      <c r="AP450" s="1021"/>
      <c r="AQ450" s="1021"/>
      <c r="AR450" s="1021"/>
      <c r="AS450" s="1021"/>
      <c r="AT450" s="1021"/>
      <c r="AU450" s="1021"/>
      <c r="AV450" s="1021"/>
      <c r="AW450" s="1021"/>
      <c r="AX450" s="1021"/>
      <c r="AY450" s="1021"/>
      <c r="AZ450" s="1021"/>
      <c r="BA450" s="1021"/>
      <c r="BB450" s="1021"/>
      <c r="BC450" s="1021"/>
      <c r="BD450" s="1021"/>
      <c r="BE450" s="1021"/>
      <c r="BF450" s="1021"/>
      <c r="BG450" s="1021"/>
      <c r="BH450" s="1021"/>
      <c r="BI450" s="1021"/>
      <c r="BJ450" s="1021"/>
      <c r="BK450" s="1021"/>
      <c r="BL450" s="1021"/>
      <c r="BM450" s="1021"/>
      <c r="BN450" s="1021"/>
      <c r="BO450" s="1021"/>
      <c r="BP450" s="1021"/>
      <c r="BQ450" s="1021"/>
      <c r="BR450" s="1021"/>
      <c r="BS450" s="1021"/>
      <c r="BT450" s="1021"/>
      <c r="BU450" s="1021"/>
      <c r="BV450" s="1021"/>
      <c r="BW450" s="1021"/>
      <c r="BX450" s="1021"/>
      <c r="BY450" s="1021"/>
      <c r="BZ450" s="1021"/>
      <c r="CA450" s="1021"/>
      <c r="CB450" s="1021"/>
      <c r="CC450" s="1021"/>
    </row>
    <row r="451" spans="8:81" x14ac:dyDescent="0.25">
      <c r="H451" s="1021"/>
      <c r="I451" s="1021"/>
      <c r="J451" s="1021"/>
      <c r="K451" s="1021"/>
      <c r="L451" s="1021"/>
      <c r="M451" s="1021"/>
      <c r="N451" s="1021"/>
      <c r="O451" s="1021"/>
      <c r="P451" s="1021"/>
      <c r="Q451" s="1021"/>
      <c r="R451" s="1021"/>
      <c r="S451" s="1021"/>
      <c r="T451" s="1021"/>
      <c r="U451" s="1021"/>
      <c r="V451" s="1021"/>
      <c r="W451" s="1021"/>
      <c r="X451" s="1021"/>
      <c r="Y451" s="1021"/>
      <c r="Z451" s="1021"/>
      <c r="AA451" s="1021"/>
      <c r="AB451" s="1021"/>
      <c r="AC451" s="1021"/>
      <c r="AD451" s="1021"/>
      <c r="AE451" s="1021"/>
      <c r="AF451" s="1021"/>
      <c r="AG451" s="1021"/>
      <c r="AH451" s="1021"/>
      <c r="AI451" s="1021"/>
      <c r="AJ451" s="1021"/>
      <c r="AK451" s="1021"/>
      <c r="AL451" s="1021"/>
      <c r="AM451" s="1021"/>
      <c r="AN451" s="1021"/>
      <c r="AO451" s="1021"/>
      <c r="AP451" s="1021"/>
      <c r="AQ451" s="1021"/>
      <c r="AR451" s="1021"/>
      <c r="AS451" s="1021"/>
      <c r="AT451" s="1021"/>
      <c r="AU451" s="1021"/>
      <c r="AV451" s="1021"/>
      <c r="AW451" s="1021"/>
      <c r="AX451" s="1021"/>
      <c r="AY451" s="1021"/>
      <c r="AZ451" s="1021"/>
      <c r="BA451" s="1021"/>
      <c r="BB451" s="1021"/>
      <c r="BC451" s="1021"/>
      <c r="BD451" s="1021"/>
      <c r="BE451" s="1021"/>
      <c r="BF451" s="1021"/>
      <c r="BG451" s="1021"/>
      <c r="BH451" s="1021"/>
      <c r="BI451" s="1021"/>
      <c r="BJ451" s="1021"/>
      <c r="BK451" s="1021"/>
      <c r="BL451" s="1021"/>
      <c r="BM451" s="1021"/>
      <c r="BN451" s="1021"/>
      <c r="BO451" s="1021"/>
      <c r="BP451" s="1021"/>
      <c r="BQ451" s="1021"/>
      <c r="BR451" s="1021"/>
      <c r="BS451" s="1021"/>
      <c r="BT451" s="1021"/>
      <c r="BU451" s="1021"/>
      <c r="BV451" s="1021"/>
      <c r="BW451" s="1021"/>
      <c r="BX451" s="1021"/>
      <c r="BY451" s="1021"/>
      <c r="BZ451" s="1021"/>
      <c r="CA451" s="1021"/>
      <c r="CB451" s="1021"/>
      <c r="CC451" s="1021"/>
    </row>
    <row r="452" spans="8:81" x14ac:dyDescent="0.25">
      <c r="H452" s="1021"/>
      <c r="I452" s="1021"/>
      <c r="J452" s="1021"/>
      <c r="K452" s="1021"/>
      <c r="L452" s="1021"/>
      <c r="M452" s="1021"/>
      <c r="N452" s="1021"/>
      <c r="O452" s="1021"/>
      <c r="P452" s="1021"/>
      <c r="Q452" s="1021"/>
      <c r="R452" s="1021"/>
      <c r="S452" s="1021"/>
      <c r="T452" s="1021"/>
      <c r="U452" s="1021"/>
      <c r="V452" s="1021"/>
      <c r="W452" s="1021"/>
      <c r="X452" s="1021"/>
      <c r="Y452" s="1021"/>
      <c r="Z452" s="1021"/>
      <c r="AA452" s="1021"/>
      <c r="AB452" s="1021"/>
      <c r="AC452" s="1021"/>
      <c r="AD452" s="1021"/>
      <c r="AE452" s="1021"/>
      <c r="AF452" s="1021"/>
      <c r="AG452" s="1021"/>
      <c r="AH452" s="1021"/>
      <c r="AI452" s="1021"/>
      <c r="AJ452" s="1021"/>
      <c r="AK452" s="1021"/>
      <c r="AL452" s="1021"/>
      <c r="AM452" s="1021"/>
      <c r="AN452" s="1021"/>
      <c r="AO452" s="1021"/>
      <c r="AP452" s="1021"/>
      <c r="AQ452" s="1021"/>
      <c r="AR452" s="1021"/>
      <c r="AS452" s="1021"/>
      <c r="AT452" s="1021"/>
      <c r="AU452" s="1021"/>
      <c r="AV452" s="1021"/>
      <c r="AW452" s="1021"/>
      <c r="AX452" s="1021"/>
      <c r="AY452" s="1021"/>
      <c r="AZ452" s="1021"/>
      <c r="BA452" s="1021"/>
      <c r="BB452" s="1021"/>
      <c r="BC452" s="1021"/>
      <c r="BD452" s="1021"/>
      <c r="BE452" s="1021"/>
      <c r="BF452" s="1021"/>
      <c r="BG452" s="1021"/>
      <c r="BH452" s="1021"/>
      <c r="BI452" s="1021"/>
      <c r="BJ452" s="1021"/>
      <c r="BK452" s="1021"/>
      <c r="BL452" s="1021"/>
      <c r="BM452" s="1021"/>
      <c r="BN452" s="1021"/>
      <c r="BO452" s="1021"/>
      <c r="BP452" s="1021"/>
      <c r="BQ452" s="1021"/>
      <c r="BR452" s="1021"/>
      <c r="BS452" s="1021"/>
      <c r="BT452" s="1021"/>
      <c r="BU452" s="1021"/>
      <c r="BV452" s="1021"/>
      <c r="BW452" s="1021"/>
      <c r="BX452" s="1021"/>
      <c r="BY452" s="1021"/>
      <c r="BZ452" s="1021"/>
      <c r="CA452" s="1021"/>
      <c r="CB452" s="1021"/>
      <c r="CC452" s="1021"/>
    </row>
    <row r="453" spans="8:81" x14ac:dyDescent="0.25">
      <c r="H453" s="1021"/>
      <c r="I453" s="1021"/>
      <c r="J453" s="1021"/>
      <c r="K453" s="1021"/>
      <c r="L453" s="1021"/>
      <c r="M453" s="1021"/>
      <c r="N453" s="1021"/>
      <c r="O453" s="1021"/>
      <c r="P453" s="1021"/>
      <c r="Q453" s="1021"/>
      <c r="R453" s="1021"/>
      <c r="S453" s="1021"/>
      <c r="T453" s="1021"/>
      <c r="U453" s="1021"/>
      <c r="V453" s="1021"/>
      <c r="W453" s="1021"/>
      <c r="X453" s="1021"/>
      <c r="Y453" s="1021"/>
      <c r="Z453" s="1021"/>
      <c r="AA453" s="1021"/>
      <c r="AB453" s="1021"/>
      <c r="AC453" s="1021"/>
      <c r="AD453" s="1021"/>
      <c r="AE453" s="1021"/>
      <c r="AF453" s="1021"/>
      <c r="AG453" s="1021"/>
      <c r="AH453" s="1021"/>
      <c r="AI453" s="1021"/>
      <c r="AJ453" s="1021"/>
      <c r="AK453" s="1021"/>
      <c r="AL453" s="1021"/>
      <c r="AM453" s="1021"/>
      <c r="AN453" s="1021"/>
      <c r="AO453" s="1021"/>
      <c r="AP453" s="1021"/>
      <c r="AQ453" s="1021"/>
      <c r="AR453" s="1021"/>
      <c r="AS453" s="1021"/>
      <c r="AT453" s="1021"/>
      <c r="AU453" s="1021"/>
      <c r="AV453" s="1021"/>
      <c r="AW453" s="1021"/>
      <c r="AX453" s="1021"/>
      <c r="AY453" s="1021"/>
      <c r="AZ453" s="1021"/>
      <c r="BA453" s="1021"/>
      <c r="BB453" s="1021"/>
      <c r="BC453" s="1021"/>
      <c r="BD453" s="1021"/>
      <c r="BE453" s="1021"/>
      <c r="BF453" s="1021"/>
      <c r="BG453" s="1021"/>
      <c r="BH453" s="1021"/>
      <c r="BI453" s="1021"/>
      <c r="BJ453" s="1021"/>
      <c r="BK453" s="1021"/>
      <c r="BL453" s="1021"/>
      <c r="BM453" s="1021"/>
      <c r="BN453" s="1021"/>
      <c r="BO453" s="1021"/>
      <c r="BP453" s="1021"/>
      <c r="BQ453" s="1021"/>
      <c r="BR453" s="1021"/>
      <c r="BS453" s="1021"/>
      <c r="BT453" s="1021"/>
      <c r="BU453" s="1021"/>
      <c r="BV453" s="1021"/>
      <c r="BW453" s="1021"/>
      <c r="BX453" s="1021"/>
      <c r="BY453" s="1021"/>
      <c r="BZ453" s="1021"/>
      <c r="CA453" s="1021"/>
      <c r="CB453" s="1021"/>
      <c r="CC453" s="1021"/>
    </row>
    <row r="454" spans="8:81" x14ac:dyDescent="0.25">
      <c r="H454" s="1021"/>
      <c r="I454" s="1021"/>
      <c r="J454" s="1021"/>
      <c r="K454" s="1021"/>
      <c r="L454" s="1021"/>
      <c r="M454" s="1021"/>
      <c r="N454" s="1021"/>
      <c r="O454" s="1021"/>
      <c r="P454" s="1021"/>
      <c r="Q454" s="1021"/>
      <c r="R454" s="1021"/>
      <c r="S454" s="1021"/>
      <c r="T454" s="1021"/>
      <c r="U454" s="1021"/>
      <c r="V454" s="1021"/>
      <c r="W454" s="1021"/>
      <c r="X454" s="1021"/>
      <c r="Y454" s="1021"/>
      <c r="Z454" s="1021"/>
      <c r="AA454" s="1021"/>
      <c r="AB454" s="1021"/>
      <c r="AC454" s="1021"/>
      <c r="AD454" s="1021"/>
      <c r="AE454" s="1021"/>
      <c r="AF454" s="1021"/>
      <c r="AG454" s="1021"/>
      <c r="AH454" s="1021"/>
      <c r="AI454" s="1021"/>
      <c r="AJ454" s="1021"/>
      <c r="AK454" s="1021"/>
      <c r="AL454" s="1021"/>
      <c r="AM454" s="1021"/>
      <c r="AN454" s="1021"/>
      <c r="AO454" s="1021"/>
      <c r="AP454" s="1021"/>
      <c r="AQ454" s="1021"/>
      <c r="AR454" s="1021"/>
      <c r="AS454" s="1021"/>
      <c r="AT454" s="1021"/>
      <c r="AU454" s="1021"/>
      <c r="AV454" s="1021"/>
      <c r="AW454" s="1021"/>
      <c r="AX454" s="1021"/>
      <c r="AY454" s="1021"/>
      <c r="AZ454" s="1021"/>
      <c r="BA454" s="1021"/>
      <c r="BB454" s="1021"/>
      <c r="BC454" s="1021"/>
      <c r="BD454" s="1021"/>
      <c r="BE454" s="1021"/>
      <c r="BF454" s="1021"/>
      <c r="BG454" s="1021"/>
      <c r="BH454" s="1021"/>
      <c r="BI454" s="1021"/>
      <c r="BJ454" s="1021"/>
      <c r="BK454" s="1021"/>
      <c r="BL454" s="1021"/>
      <c r="BM454" s="1021"/>
      <c r="BN454" s="1021"/>
      <c r="BO454" s="1021"/>
      <c r="BP454" s="1021"/>
      <c r="BQ454" s="1021"/>
      <c r="BR454" s="1021"/>
      <c r="BS454" s="1021"/>
      <c r="BT454" s="1021"/>
      <c r="BU454" s="1021"/>
      <c r="BV454" s="1021"/>
      <c r="BW454" s="1021"/>
      <c r="BX454" s="1021"/>
      <c r="BY454" s="1021"/>
      <c r="BZ454" s="1021"/>
      <c r="CA454" s="1021"/>
      <c r="CB454" s="1021"/>
      <c r="CC454" s="1021"/>
    </row>
    <row r="455" spans="8:81" x14ac:dyDescent="0.25">
      <c r="H455" s="1021"/>
      <c r="I455" s="1021"/>
      <c r="J455" s="1021"/>
      <c r="K455" s="1021"/>
      <c r="L455" s="1021"/>
      <c r="M455" s="1021"/>
      <c r="N455" s="1021"/>
      <c r="O455" s="1021"/>
      <c r="P455" s="1021"/>
      <c r="Q455" s="1021"/>
      <c r="R455" s="1021"/>
      <c r="S455" s="1021"/>
      <c r="T455" s="1021"/>
      <c r="U455" s="1021"/>
      <c r="V455" s="1021"/>
      <c r="W455" s="1021"/>
      <c r="X455" s="1021"/>
      <c r="Y455" s="1021"/>
      <c r="Z455" s="1021"/>
      <c r="AA455" s="1021"/>
      <c r="AB455" s="1021"/>
      <c r="AC455" s="1021"/>
      <c r="AD455" s="1021"/>
      <c r="AE455" s="1021"/>
      <c r="AF455" s="1021"/>
      <c r="AG455" s="1021"/>
      <c r="AH455" s="1021"/>
      <c r="AI455" s="1021"/>
      <c r="AJ455" s="1021"/>
      <c r="AK455" s="1021"/>
      <c r="AL455" s="1021"/>
      <c r="AM455" s="1021"/>
      <c r="AN455" s="1021"/>
      <c r="AO455" s="1021"/>
      <c r="AP455" s="1021"/>
      <c r="AQ455" s="1021"/>
      <c r="AR455" s="1021"/>
      <c r="AS455" s="1021"/>
      <c r="AT455" s="1021"/>
      <c r="AU455" s="1021"/>
      <c r="AV455" s="1021"/>
      <c r="AW455" s="1021"/>
      <c r="AX455" s="1021"/>
      <c r="AY455" s="1021"/>
      <c r="AZ455" s="1021"/>
      <c r="BA455" s="1021"/>
      <c r="BB455" s="1021"/>
      <c r="BC455" s="1021"/>
      <c r="BD455" s="1021"/>
      <c r="BE455" s="1021"/>
      <c r="BF455" s="1021"/>
      <c r="BG455" s="1021"/>
      <c r="BH455" s="1021"/>
      <c r="BI455" s="1021"/>
      <c r="BJ455" s="1021"/>
      <c r="BK455" s="1021"/>
      <c r="BL455" s="1021"/>
      <c r="BM455" s="1021"/>
      <c r="BN455" s="1021"/>
      <c r="BO455" s="1021"/>
      <c r="BP455" s="1021"/>
      <c r="BQ455" s="1021"/>
      <c r="BR455" s="1021"/>
      <c r="BS455" s="1021"/>
      <c r="BT455" s="1021"/>
      <c r="BU455" s="1021"/>
      <c r="BV455" s="1021"/>
      <c r="BW455" s="1021"/>
      <c r="BX455" s="1021"/>
      <c r="BY455" s="1021"/>
      <c r="BZ455" s="1021"/>
      <c r="CA455" s="1021"/>
      <c r="CB455" s="1021"/>
      <c r="CC455" s="1021"/>
    </row>
    <row r="456" spans="8:81" x14ac:dyDescent="0.25">
      <c r="H456" s="1021"/>
      <c r="I456" s="1021"/>
      <c r="J456" s="1021"/>
      <c r="K456" s="1021"/>
      <c r="L456" s="1021"/>
      <c r="M456" s="1021"/>
      <c r="N456" s="1021"/>
      <c r="O456" s="1021"/>
      <c r="P456" s="1021"/>
      <c r="Q456" s="1021"/>
      <c r="R456" s="1021"/>
      <c r="S456" s="1021"/>
      <c r="T456" s="1021"/>
      <c r="U456" s="1021"/>
      <c r="V456" s="1021"/>
      <c r="W456" s="1021"/>
      <c r="X456" s="1021"/>
      <c r="Y456" s="1021"/>
      <c r="Z456" s="1021"/>
      <c r="AA456" s="1021"/>
      <c r="AB456" s="1021"/>
      <c r="AC456" s="1021"/>
      <c r="AD456" s="1021"/>
      <c r="AE456" s="1021"/>
      <c r="AF456" s="1021"/>
      <c r="AG456" s="1021"/>
      <c r="AH456" s="1021"/>
      <c r="AI456" s="1021"/>
      <c r="AJ456" s="1021"/>
      <c r="AK456" s="1021"/>
      <c r="AL456" s="1021"/>
      <c r="AM456" s="1021"/>
      <c r="AN456" s="1021"/>
      <c r="AO456" s="1021"/>
      <c r="AP456" s="1021"/>
      <c r="AQ456" s="1021"/>
      <c r="AR456" s="1021"/>
      <c r="AS456" s="1021"/>
      <c r="AT456" s="1021"/>
      <c r="AU456" s="1021"/>
      <c r="AV456" s="1021"/>
      <c r="AW456" s="1021"/>
      <c r="AX456" s="1021"/>
      <c r="AY456" s="1021"/>
      <c r="AZ456" s="1021"/>
      <c r="BA456" s="1021"/>
      <c r="BB456" s="1021"/>
      <c r="BC456" s="1021"/>
      <c r="BD456" s="1021"/>
      <c r="BE456" s="1021"/>
      <c r="BF456" s="1021"/>
      <c r="BG456" s="1021"/>
      <c r="BH456" s="1021"/>
      <c r="BI456" s="1021"/>
      <c r="BJ456" s="1021"/>
      <c r="BK456" s="1021"/>
      <c r="BL456" s="1021"/>
      <c r="BM456" s="1021"/>
      <c r="BN456" s="1021"/>
      <c r="BO456" s="1021"/>
      <c r="BP456" s="1021"/>
      <c r="BQ456" s="1021"/>
      <c r="BR456" s="1021"/>
      <c r="BS456" s="1021"/>
      <c r="BT456" s="1021"/>
      <c r="BU456" s="1021"/>
      <c r="BV456" s="1021"/>
      <c r="BW456" s="1021"/>
      <c r="BX456" s="1021"/>
      <c r="BY456" s="1021"/>
      <c r="BZ456" s="1021"/>
      <c r="CA456" s="1021"/>
      <c r="CB456" s="1021"/>
      <c r="CC456" s="1021"/>
    </row>
    <row r="457" spans="8:81" x14ac:dyDescent="0.25">
      <c r="H457" s="1021"/>
      <c r="I457" s="1021"/>
      <c r="J457" s="1021"/>
      <c r="K457" s="1021"/>
      <c r="L457" s="1021"/>
      <c r="M457" s="1021"/>
      <c r="N457" s="1021"/>
      <c r="O457" s="1021"/>
      <c r="P457" s="1021"/>
      <c r="Q457" s="1021"/>
      <c r="R457" s="1021"/>
      <c r="S457" s="1021"/>
      <c r="T457" s="1021"/>
      <c r="U457" s="1021"/>
      <c r="V457" s="1021"/>
      <c r="W457" s="1021"/>
      <c r="X457" s="1021"/>
      <c r="Y457" s="1021"/>
      <c r="Z457" s="1021"/>
      <c r="AA457" s="1021"/>
      <c r="AB457" s="1021"/>
      <c r="AC457" s="1021"/>
      <c r="AD457" s="1021"/>
      <c r="AE457" s="1021"/>
      <c r="AF457" s="1021"/>
      <c r="AG457" s="1021"/>
      <c r="AH457" s="1021"/>
      <c r="AI457" s="1021"/>
      <c r="AJ457" s="1021"/>
      <c r="AK457" s="1021"/>
      <c r="AL457" s="1021"/>
      <c r="AM457" s="1021"/>
      <c r="AN457" s="1021"/>
      <c r="AO457" s="1021"/>
      <c r="AP457" s="1021"/>
      <c r="AQ457" s="1021"/>
      <c r="AR457" s="1021"/>
      <c r="AS457" s="1021"/>
      <c r="AT457" s="1021"/>
      <c r="AU457" s="1021"/>
      <c r="AV457" s="1021"/>
      <c r="AW457" s="1021"/>
      <c r="AX457" s="1021"/>
      <c r="AY457" s="1021"/>
      <c r="AZ457" s="1021"/>
      <c r="BA457" s="1021"/>
      <c r="BB457" s="1021"/>
      <c r="BC457" s="1021"/>
      <c r="BD457" s="1021"/>
      <c r="BE457" s="1021"/>
      <c r="BF457" s="1021"/>
      <c r="BG457" s="1021"/>
      <c r="BH457" s="1021"/>
      <c r="BI457" s="1021"/>
      <c r="BJ457" s="1021"/>
      <c r="BK457" s="1021"/>
      <c r="BL457" s="1021"/>
      <c r="BM457" s="1021"/>
      <c r="BN457" s="1021"/>
      <c r="BO457" s="1021"/>
      <c r="BP457" s="1021"/>
      <c r="BQ457" s="1021"/>
      <c r="BR457" s="1021"/>
      <c r="BS457" s="1021"/>
      <c r="BT457" s="1021"/>
      <c r="BU457" s="1021"/>
      <c r="BV457" s="1021"/>
      <c r="BW457" s="1021"/>
      <c r="BX457" s="1021"/>
      <c r="BY457" s="1021"/>
      <c r="BZ457" s="1021"/>
      <c r="CA457" s="1021"/>
      <c r="CB457" s="1021"/>
      <c r="CC457" s="1021"/>
    </row>
    <row r="458" spans="8:81" x14ac:dyDescent="0.25">
      <c r="H458" s="1021"/>
      <c r="I458" s="1021"/>
      <c r="J458" s="1021"/>
      <c r="K458" s="1021"/>
      <c r="L458" s="1021"/>
      <c r="M458" s="1021"/>
      <c r="N458" s="1021"/>
      <c r="O458" s="1021"/>
      <c r="P458" s="1021"/>
      <c r="Q458" s="1021"/>
      <c r="R458" s="1021"/>
      <c r="S458" s="1021"/>
      <c r="T458" s="1021"/>
      <c r="U458" s="1021"/>
      <c r="V458" s="1021"/>
      <c r="W458" s="1021"/>
      <c r="X458" s="1021"/>
      <c r="Y458" s="1021"/>
      <c r="Z458" s="1021"/>
      <c r="AA458" s="1021"/>
      <c r="AB458" s="1021"/>
      <c r="AC458" s="1021"/>
      <c r="AD458" s="1021"/>
      <c r="AE458" s="1021"/>
      <c r="AF458" s="1021"/>
      <c r="AG458" s="1021"/>
      <c r="AH458" s="1021"/>
      <c r="AI458" s="1021"/>
      <c r="AJ458" s="1021"/>
      <c r="AK458" s="1021"/>
      <c r="AL458" s="1021"/>
      <c r="AM458" s="1021"/>
      <c r="AN458" s="1021"/>
      <c r="AO458" s="1021"/>
      <c r="AP458" s="1021"/>
      <c r="AQ458" s="1021"/>
      <c r="AR458" s="1021"/>
      <c r="AS458" s="1021"/>
      <c r="AT458" s="1021"/>
      <c r="AU458" s="1021"/>
      <c r="AV458" s="1021"/>
      <c r="AW458" s="1021"/>
      <c r="AX458" s="1021"/>
      <c r="AY458" s="1021"/>
      <c r="AZ458" s="1021"/>
      <c r="BA458" s="1021"/>
      <c r="BB458" s="1021"/>
      <c r="BC458" s="1021"/>
      <c r="BD458" s="1021"/>
      <c r="BE458" s="1021"/>
      <c r="BF458" s="1021"/>
      <c r="BG458" s="1021"/>
      <c r="BH458" s="1021"/>
      <c r="BI458" s="1021"/>
      <c r="BJ458" s="1021"/>
      <c r="BK458" s="1021"/>
      <c r="BL458" s="1021"/>
      <c r="BM458" s="1021"/>
      <c r="BN458" s="1021"/>
      <c r="BO458" s="1021"/>
      <c r="BP458" s="1021"/>
      <c r="BQ458" s="1021"/>
      <c r="BR458" s="1021"/>
      <c r="BS458" s="1021"/>
      <c r="BT458" s="1021"/>
      <c r="BU458" s="1021"/>
      <c r="BV458" s="1021"/>
      <c r="BW458" s="1021"/>
      <c r="BX458" s="1021"/>
      <c r="BY458" s="1021"/>
      <c r="BZ458" s="1021"/>
      <c r="CA458" s="1021"/>
      <c r="CB458" s="1021"/>
      <c r="CC458" s="1021"/>
    </row>
    <row r="459" spans="8:81" x14ac:dyDescent="0.25">
      <c r="H459" s="1021"/>
      <c r="I459" s="1021"/>
      <c r="J459" s="1021"/>
      <c r="K459" s="1021"/>
      <c r="L459" s="1021"/>
      <c r="M459" s="1021"/>
      <c r="N459" s="1021"/>
      <c r="O459" s="1021"/>
      <c r="P459" s="1021"/>
      <c r="Q459" s="1021"/>
      <c r="R459" s="1021"/>
      <c r="S459" s="1021"/>
      <c r="T459" s="1021"/>
      <c r="U459" s="1021"/>
      <c r="V459" s="1021"/>
      <c r="W459" s="1021"/>
      <c r="X459" s="1021"/>
      <c r="Y459" s="1021"/>
      <c r="Z459" s="1021"/>
      <c r="AA459" s="1021"/>
      <c r="AB459" s="1021"/>
      <c r="AC459" s="1021"/>
      <c r="AD459" s="1021"/>
      <c r="AE459" s="1021"/>
      <c r="AF459" s="1021"/>
      <c r="AG459" s="1021"/>
      <c r="AH459" s="1021"/>
      <c r="AI459" s="1021"/>
      <c r="AJ459" s="1021"/>
      <c r="AK459" s="1021"/>
      <c r="AL459" s="1021"/>
      <c r="AM459" s="1021"/>
      <c r="AN459" s="1021"/>
      <c r="AO459" s="1021"/>
      <c r="AP459" s="1021"/>
      <c r="AQ459" s="1021"/>
      <c r="AR459" s="1021"/>
      <c r="AS459" s="1021"/>
      <c r="AT459" s="1021"/>
      <c r="AU459" s="1021"/>
      <c r="AV459" s="1021"/>
      <c r="AW459" s="1021"/>
      <c r="AX459" s="1021"/>
      <c r="AY459" s="1021"/>
      <c r="AZ459" s="1021"/>
      <c r="BA459" s="1021"/>
      <c r="BB459" s="1021"/>
      <c r="BC459" s="1021"/>
      <c r="BD459" s="1021"/>
      <c r="BE459" s="1021"/>
      <c r="BF459" s="1021"/>
      <c r="BG459" s="1021"/>
      <c r="BH459" s="1021"/>
      <c r="BI459" s="1021"/>
      <c r="BJ459" s="1021"/>
      <c r="BK459" s="1021"/>
      <c r="BL459" s="1021"/>
      <c r="BM459" s="1021"/>
      <c r="BN459" s="1021"/>
      <c r="BO459" s="1021"/>
      <c r="BP459" s="1021"/>
      <c r="BQ459" s="1021"/>
      <c r="BR459" s="1021"/>
      <c r="BS459" s="1021"/>
      <c r="BT459" s="1021"/>
      <c r="BU459" s="1021"/>
      <c r="BV459" s="1021"/>
      <c r="BW459" s="1021"/>
      <c r="BX459" s="1021"/>
      <c r="BY459" s="1021"/>
      <c r="BZ459" s="1021"/>
      <c r="CA459" s="1021"/>
      <c r="CB459" s="1021"/>
      <c r="CC459" s="1021"/>
    </row>
    <row r="460" spans="8:81" x14ac:dyDescent="0.25">
      <c r="H460" s="1021"/>
      <c r="I460" s="1021"/>
      <c r="J460" s="1021"/>
      <c r="K460" s="1021"/>
      <c r="L460" s="1021"/>
      <c r="M460" s="1021"/>
      <c r="N460" s="1021"/>
      <c r="O460" s="1021"/>
      <c r="P460" s="1021"/>
      <c r="Q460" s="1021"/>
      <c r="R460" s="1021"/>
      <c r="S460" s="1021"/>
      <c r="T460" s="1021"/>
      <c r="U460" s="1021"/>
      <c r="V460" s="1021"/>
      <c r="W460" s="1021"/>
      <c r="X460" s="1021"/>
      <c r="Y460" s="1021"/>
      <c r="Z460" s="1021"/>
      <c r="AA460" s="1021"/>
      <c r="AB460" s="1021"/>
      <c r="AC460" s="1021"/>
      <c r="AD460" s="1021"/>
      <c r="AE460" s="1021"/>
      <c r="AF460" s="1021"/>
      <c r="AG460" s="1021"/>
      <c r="AH460" s="1021"/>
      <c r="AI460" s="1021"/>
      <c r="AJ460" s="1021"/>
      <c r="AK460" s="1021"/>
      <c r="AL460" s="1021"/>
      <c r="AM460" s="1021"/>
      <c r="AN460" s="1021"/>
      <c r="AO460" s="1021"/>
      <c r="AP460" s="1021"/>
      <c r="AQ460" s="1021"/>
      <c r="AR460" s="1021"/>
      <c r="AS460" s="1021"/>
      <c r="AT460" s="1021"/>
      <c r="AU460" s="1021"/>
      <c r="AV460" s="1021"/>
      <c r="AW460" s="1021"/>
      <c r="AX460" s="1021"/>
      <c r="AY460" s="1021"/>
      <c r="AZ460" s="1021"/>
      <c r="BA460" s="1021"/>
      <c r="BB460" s="1021"/>
      <c r="BC460" s="1021"/>
      <c r="BD460" s="1021"/>
      <c r="BE460" s="1021"/>
      <c r="BF460" s="1021"/>
      <c r="BG460" s="1021"/>
      <c r="BH460" s="1021"/>
      <c r="BI460" s="1021"/>
      <c r="BJ460" s="1021"/>
      <c r="BK460" s="1021"/>
      <c r="BL460" s="1021"/>
      <c r="BM460" s="1021"/>
      <c r="BN460" s="1021"/>
      <c r="BO460" s="1021"/>
      <c r="BP460" s="1021"/>
      <c r="BQ460" s="1021"/>
      <c r="BR460" s="1021"/>
      <c r="BS460" s="1021"/>
      <c r="BT460" s="1021"/>
      <c r="BU460" s="1021"/>
      <c r="BV460" s="1021"/>
      <c r="BW460" s="1021"/>
      <c r="BX460" s="1021"/>
      <c r="BY460" s="1021"/>
      <c r="BZ460" s="1021"/>
      <c r="CA460" s="1021"/>
      <c r="CB460" s="1021"/>
      <c r="CC460" s="1021"/>
    </row>
    <row r="461" spans="8:81" x14ac:dyDescent="0.25">
      <c r="H461" s="1021"/>
      <c r="I461" s="1021"/>
      <c r="J461" s="1021"/>
      <c r="K461" s="1021"/>
      <c r="L461" s="1021"/>
      <c r="M461" s="1021"/>
      <c r="N461" s="1021"/>
      <c r="O461" s="1021"/>
      <c r="P461" s="1021"/>
      <c r="Q461" s="1021"/>
      <c r="R461" s="1021"/>
      <c r="S461" s="1021"/>
      <c r="T461" s="1021"/>
      <c r="U461" s="1021"/>
      <c r="V461" s="1021"/>
      <c r="W461" s="1021"/>
      <c r="X461" s="1021"/>
      <c r="Y461" s="1021"/>
      <c r="Z461" s="1021"/>
      <c r="AA461" s="1021"/>
      <c r="AB461" s="1021"/>
      <c r="AC461" s="1021"/>
      <c r="AD461" s="1021"/>
      <c r="AE461" s="1021"/>
      <c r="AF461" s="1021"/>
      <c r="AG461" s="1021"/>
      <c r="AH461" s="1021"/>
      <c r="AI461" s="1021"/>
      <c r="AJ461" s="1021"/>
      <c r="AK461" s="1021"/>
      <c r="AL461" s="1021"/>
      <c r="AM461" s="1021"/>
      <c r="AN461" s="1021"/>
      <c r="AO461" s="1021"/>
      <c r="AP461" s="1021"/>
      <c r="AQ461" s="1021"/>
      <c r="AR461" s="1021"/>
      <c r="AS461" s="1021"/>
      <c r="AT461" s="1021"/>
      <c r="AU461" s="1021"/>
      <c r="AV461" s="1021"/>
      <c r="AW461" s="1021"/>
      <c r="AX461" s="1021"/>
      <c r="AY461" s="1021"/>
      <c r="AZ461" s="1021"/>
      <c r="BA461" s="1021"/>
      <c r="BB461" s="1021"/>
      <c r="BC461" s="1021"/>
      <c r="BD461" s="1021"/>
      <c r="BE461" s="1021"/>
      <c r="BF461" s="1021"/>
      <c r="BG461" s="1021"/>
      <c r="BH461" s="1021"/>
      <c r="BI461" s="1021"/>
      <c r="BJ461" s="1021"/>
      <c r="BK461" s="1021"/>
      <c r="BL461" s="1021"/>
      <c r="BM461" s="1021"/>
      <c r="BN461" s="1021"/>
      <c r="BO461" s="1021"/>
      <c r="BP461" s="1021"/>
      <c r="BQ461" s="1021"/>
      <c r="BR461" s="1021"/>
      <c r="BS461" s="1021"/>
      <c r="BT461" s="1021"/>
      <c r="BU461" s="1021"/>
      <c r="BV461" s="1021"/>
      <c r="BW461" s="1021"/>
      <c r="BX461" s="1021"/>
      <c r="BY461" s="1021"/>
      <c r="BZ461" s="1021"/>
      <c r="CA461" s="1021"/>
      <c r="CB461" s="1021"/>
      <c r="CC461" s="1021"/>
    </row>
    <row r="462" spans="8:81" x14ac:dyDescent="0.25">
      <c r="H462" s="1021"/>
      <c r="I462" s="1021"/>
      <c r="J462" s="1021"/>
      <c r="K462" s="1021"/>
      <c r="L462" s="1021"/>
      <c r="M462" s="1021"/>
      <c r="N462" s="1021"/>
      <c r="O462" s="1021"/>
      <c r="P462" s="1021"/>
      <c r="Q462" s="1021"/>
      <c r="R462" s="1021"/>
      <c r="S462" s="1021"/>
      <c r="T462" s="1021"/>
      <c r="U462" s="1021"/>
      <c r="V462" s="1021"/>
      <c r="W462" s="1021"/>
      <c r="X462" s="1021"/>
      <c r="Y462" s="1021"/>
      <c r="Z462" s="1021"/>
      <c r="AA462" s="1021"/>
      <c r="AB462" s="1021"/>
      <c r="AC462" s="1021"/>
      <c r="AD462" s="1021"/>
      <c r="AE462" s="1021"/>
      <c r="AF462" s="1021"/>
      <c r="AG462" s="1021"/>
      <c r="AH462" s="1021"/>
      <c r="AI462" s="1021"/>
      <c r="AJ462" s="1021"/>
      <c r="AK462" s="1021"/>
      <c r="AL462" s="1021"/>
      <c r="AM462" s="1021"/>
      <c r="AN462" s="1021"/>
      <c r="AO462" s="1021"/>
      <c r="AP462" s="1021"/>
      <c r="AQ462" s="1021"/>
      <c r="AR462" s="1021"/>
      <c r="AS462" s="1021"/>
      <c r="AT462" s="1021"/>
      <c r="AU462" s="1021"/>
      <c r="AV462" s="1021"/>
      <c r="AW462" s="1021"/>
      <c r="AX462" s="1021"/>
      <c r="AY462" s="1021"/>
      <c r="AZ462" s="1021"/>
      <c r="BA462" s="1021"/>
      <c r="BB462" s="1021"/>
      <c r="BC462" s="1021"/>
      <c r="BD462" s="1021"/>
      <c r="BE462" s="1021"/>
      <c r="BF462" s="1021"/>
      <c r="BG462" s="1021"/>
      <c r="BH462" s="1021"/>
      <c r="BI462" s="1021"/>
      <c r="BJ462" s="1021"/>
      <c r="BK462" s="1021"/>
      <c r="BL462" s="1021"/>
      <c r="BM462" s="1021"/>
      <c r="BN462" s="1021"/>
      <c r="BO462" s="1021"/>
      <c r="BP462" s="1021"/>
      <c r="BQ462" s="1021"/>
      <c r="BR462" s="1021"/>
      <c r="BS462" s="1021"/>
      <c r="BT462" s="1021"/>
      <c r="BU462" s="1021"/>
      <c r="BV462" s="1021"/>
      <c r="BW462" s="1021"/>
      <c r="BX462" s="1021"/>
      <c r="BY462" s="1021"/>
      <c r="BZ462" s="1021"/>
      <c r="CA462" s="1021"/>
      <c r="CB462" s="1021"/>
      <c r="CC462" s="1021"/>
    </row>
    <row r="463" spans="8:81" x14ac:dyDescent="0.25">
      <c r="H463" s="1021"/>
      <c r="I463" s="1021"/>
      <c r="J463" s="1021"/>
      <c r="K463" s="1021"/>
      <c r="L463" s="1021"/>
      <c r="M463" s="1021"/>
      <c r="N463" s="1021"/>
      <c r="O463" s="1021"/>
      <c r="P463" s="1021"/>
      <c r="Q463" s="1021"/>
      <c r="R463" s="1021"/>
      <c r="S463" s="1021"/>
      <c r="T463" s="1021"/>
      <c r="U463" s="1021"/>
      <c r="V463" s="1021"/>
      <c r="W463" s="1021"/>
      <c r="X463" s="1021"/>
      <c r="Y463" s="1021"/>
      <c r="Z463" s="1021"/>
      <c r="AA463" s="1021"/>
      <c r="AB463" s="1021"/>
      <c r="AC463" s="1021"/>
      <c r="AD463" s="1021"/>
      <c r="AE463" s="1021"/>
      <c r="AF463" s="1021"/>
      <c r="AG463" s="1021"/>
      <c r="AH463" s="1021"/>
      <c r="AI463" s="1021"/>
      <c r="AJ463" s="1021"/>
      <c r="AK463" s="1021"/>
      <c r="AL463" s="1021"/>
      <c r="AM463" s="1021"/>
      <c r="AN463" s="1021"/>
      <c r="AO463" s="1021"/>
      <c r="AP463" s="1021"/>
      <c r="AQ463" s="1021"/>
      <c r="AR463" s="1021"/>
      <c r="AS463" s="1021"/>
      <c r="AT463" s="1021"/>
      <c r="AU463" s="1021"/>
      <c r="AV463" s="1021"/>
      <c r="AW463" s="1021"/>
      <c r="AX463" s="1021"/>
      <c r="AY463" s="1021"/>
      <c r="AZ463" s="1021"/>
      <c r="BA463" s="1021"/>
      <c r="BB463" s="1021"/>
      <c r="BC463" s="1021"/>
      <c r="BD463" s="1021"/>
      <c r="BE463" s="1021"/>
      <c r="BF463" s="1021"/>
      <c r="BG463" s="1021"/>
      <c r="BH463" s="1021"/>
      <c r="BI463" s="1021"/>
      <c r="BJ463" s="1021"/>
      <c r="BK463" s="1021"/>
      <c r="BL463" s="1021"/>
      <c r="BM463" s="1021"/>
      <c r="BN463" s="1021"/>
      <c r="BO463" s="1021"/>
      <c r="BP463" s="1021"/>
      <c r="BQ463" s="1021"/>
      <c r="BR463" s="1021"/>
      <c r="BS463" s="1021"/>
      <c r="BT463" s="1021"/>
      <c r="BU463" s="1021"/>
      <c r="BV463" s="1021"/>
      <c r="BW463" s="1021"/>
      <c r="BX463" s="1021"/>
      <c r="BY463" s="1021"/>
      <c r="BZ463" s="1021"/>
      <c r="CA463" s="1021"/>
      <c r="CB463" s="1021"/>
      <c r="CC463" s="1021"/>
    </row>
    <row r="464" spans="8:81" x14ac:dyDescent="0.25">
      <c r="H464" s="1021"/>
      <c r="I464" s="1021"/>
      <c r="J464" s="1021"/>
      <c r="K464" s="1021"/>
      <c r="L464" s="1021"/>
      <c r="M464" s="1021"/>
      <c r="N464" s="1021"/>
      <c r="O464" s="1021"/>
      <c r="P464" s="1021"/>
      <c r="Q464" s="1021"/>
      <c r="R464" s="1021"/>
      <c r="S464" s="1021"/>
      <c r="T464" s="1021"/>
      <c r="U464" s="1021"/>
      <c r="V464" s="1021"/>
      <c r="W464" s="1021"/>
      <c r="X464" s="1021"/>
      <c r="Y464" s="1021"/>
      <c r="Z464" s="1021"/>
      <c r="AA464" s="1021"/>
      <c r="AB464" s="1021"/>
      <c r="AC464" s="1021"/>
      <c r="AD464" s="1021"/>
      <c r="AE464" s="1021"/>
      <c r="AF464" s="1021"/>
      <c r="AG464" s="1021"/>
      <c r="AH464" s="1021"/>
      <c r="AI464" s="1021"/>
      <c r="AJ464" s="1021"/>
      <c r="AK464" s="1021"/>
      <c r="AL464" s="1021"/>
      <c r="AM464" s="1021"/>
      <c r="AN464" s="1021"/>
      <c r="AO464" s="1021"/>
      <c r="AP464" s="1021"/>
      <c r="AQ464" s="1021"/>
      <c r="AR464" s="1021"/>
      <c r="AS464" s="1021"/>
      <c r="AT464" s="1021"/>
      <c r="AU464" s="1021"/>
      <c r="AV464" s="1021"/>
      <c r="AW464" s="1021"/>
      <c r="AX464" s="1021"/>
      <c r="AY464" s="1021"/>
      <c r="AZ464" s="1021"/>
      <c r="BA464" s="1021"/>
      <c r="BB464" s="1021"/>
      <c r="BC464" s="1021"/>
      <c r="BD464" s="1021"/>
      <c r="BE464" s="1021"/>
      <c r="BF464" s="1021"/>
      <c r="BG464" s="1021"/>
      <c r="BH464" s="1021"/>
      <c r="BI464" s="1021"/>
      <c r="BJ464" s="1021"/>
      <c r="BK464" s="1021"/>
      <c r="BL464" s="1021"/>
      <c r="BM464" s="1021"/>
      <c r="BN464" s="1021"/>
      <c r="BO464" s="1021"/>
      <c r="BP464" s="1021"/>
      <c r="BQ464" s="1021"/>
      <c r="BR464" s="1021"/>
      <c r="BS464" s="1021"/>
      <c r="BT464" s="1021"/>
      <c r="BU464" s="1021"/>
      <c r="BV464" s="1021"/>
      <c r="BW464" s="1021"/>
      <c r="BX464" s="1021"/>
      <c r="BY464" s="1021"/>
      <c r="BZ464" s="1021"/>
      <c r="CA464" s="1021"/>
      <c r="CB464" s="1021"/>
      <c r="CC464" s="1021"/>
    </row>
    <row r="465" spans="8:81" x14ac:dyDescent="0.25">
      <c r="H465" s="1021"/>
      <c r="I465" s="1021"/>
      <c r="J465" s="1021"/>
      <c r="K465" s="1021"/>
      <c r="L465" s="1021"/>
      <c r="M465" s="1021"/>
      <c r="N465" s="1021"/>
      <c r="O465" s="1021"/>
      <c r="P465" s="1021"/>
      <c r="Q465" s="1021"/>
      <c r="R465" s="1021"/>
      <c r="S465" s="1021"/>
      <c r="T465" s="1021"/>
      <c r="U465" s="1021"/>
      <c r="V465" s="1021"/>
      <c r="W465" s="1021"/>
      <c r="X465" s="1021"/>
      <c r="Y465" s="1021"/>
      <c r="Z465" s="1021"/>
      <c r="AA465" s="1021"/>
      <c r="AB465" s="1021"/>
      <c r="AC465" s="1021"/>
      <c r="AD465" s="1021"/>
      <c r="AE465" s="1021"/>
      <c r="AF465" s="1021"/>
      <c r="AG465" s="1021"/>
      <c r="AH465" s="1021"/>
      <c r="AI465" s="1021"/>
      <c r="AJ465" s="1021"/>
      <c r="AK465" s="1021"/>
      <c r="AL465" s="1021"/>
      <c r="AM465" s="1021"/>
      <c r="AN465" s="1021"/>
      <c r="AO465" s="1021"/>
      <c r="AP465" s="1021"/>
      <c r="AQ465" s="1021"/>
      <c r="AR465" s="1021"/>
      <c r="AS465" s="1021"/>
      <c r="AT465" s="1021"/>
      <c r="AU465" s="1021"/>
      <c r="AV465" s="1021"/>
      <c r="AW465" s="1021"/>
      <c r="AX465" s="1021"/>
      <c r="AY465" s="1021"/>
      <c r="AZ465" s="1021"/>
      <c r="BA465" s="1021"/>
      <c r="BB465" s="1021"/>
      <c r="BC465" s="1021"/>
      <c r="BD465" s="1021"/>
      <c r="BE465" s="1021"/>
      <c r="BF465" s="1021"/>
      <c r="BG465" s="1021"/>
      <c r="BH465" s="1021"/>
      <c r="BI465" s="1021"/>
      <c r="BJ465" s="1021"/>
      <c r="BK465" s="1021"/>
      <c r="BL465" s="1021"/>
      <c r="BM465" s="1021"/>
      <c r="BN465" s="1021"/>
      <c r="BO465" s="1021"/>
      <c r="BP465" s="1021"/>
      <c r="BQ465" s="1021"/>
      <c r="BR465" s="1021"/>
      <c r="BS465" s="1021"/>
      <c r="BT465" s="1021"/>
      <c r="BU465" s="1021"/>
      <c r="BV465" s="1021"/>
      <c r="BW465" s="1021"/>
      <c r="BX465" s="1021"/>
      <c r="BY465" s="1021"/>
      <c r="BZ465" s="1021"/>
      <c r="CA465" s="1021"/>
      <c r="CB465" s="1021"/>
      <c r="CC465" s="1021"/>
    </row>
    <row r="466" spans="8:81" x14ac:dyDescent="0.25">
      <c r="H466" s="1021"/>
      <c r="I466" s="1021"/>
      <c r="J466" s="1021"/>
      <c r="K466" s="1021"/>
      <c r="L466" s="1021"/>
      <c r="M466" s="1021"/>
      <c r="N466" s="1021"/>
      <c r="O466" s="1021"/>
      <c r="P466" s="1021"/>
      <c r="Q466" s="1021"/>
      <c r="R466" s="1021"/>
      <c r="S466" s="1021"/>
      <c r="T466" s="1021"/>
      <c r="U466" s="1021"/>
      <c r="V466" s="1021"/>
      <c r="W466" s="1021"/>
      <c r="X466" s="1021"/>
      <c r="Y466" s="1021"/>
      <c r="Z466" s="1021"/>
      <c r="AA466" s="1021"/>
      <c r="AB466" s="1021"/>
      <c r="AC466" s="1021"/>
      <c r="AD466" s="1021"/>
      <c r="AE466" s="1021"/>
      <c r="AF466" s="1021"/>
      <c r="AG466" s="1021"/>
      <c r="AH466" s="1021"/>
      <c r="AI466" s="1021"/>
      <c r="AJ466" s="1021"/>
      <c r="AK466" s="1021"/>
      <c r="AL466" s="1021"/>
      <c r="AM466" s="1021"/>
      <c r="AN466" s="1021"/>
      <c r="AO466" s="1021"/>
      <c r="AP466" s="1021"/>
      <c r="AQ466" s="1021"/>
      <c r="AR466" s="1021"/>
      <c r="AS466" s="1021"/>
      <c r="AT466" s="1021"/>
      <c r="AU466" s="1021"/>
      <c r="AV466" s="1021"/>
      <c r="AW466" s="1021"/>
      <c r="AX466" s="1021"/>
      <c r="AY466" s="1021"/>
      <c r="AZ466" s="1021"/>
      <c r="BA466" s="1021"/>
      <c r="BB466" s="1021"/>
      <c r="BC466" s="1021"/>
      <c r="BD466" s="1021"/>
      <c r="BE466" s="1021"/>
      <c r="BF466" s="1021"/>
      <c r="BG466" s="1021"/>
      <c r="BH466" s="1021"/>
      <c r="BI466" s="1021"/>
      <c r="BJ466" s="1021"/>
      <c r="BK466" s="1021"/>
      <c r="BL466" s="1021"/>
      <c r="BM466" s="1021"/>
      <c r="BN466" s="1021"/>
      <c r="BO466" s="1021"/>
      <c r="BP466" s="1021"/>
      <c r="BQ466" s="1021"/>
      <c r="BR466" s="1021"/>
      <c r="BS466" s="1021"/>
      <c r="BT466" s="1021"/>
      <c r="BU466" s="1021"/>
      <c r="BV466" s="1021"/>
      <c r="BW466" s="1021"/>
      <c r="BX466" s="1021"/>
      <c r="BY466" s="1021"/>
      <c r="BZ466" s="1021"/>
      <c r="CA466" s="1021"/>
      <c r="CB466" s="1021"/>
      <c r="CC466" s="1021"/>
    </row>
    <row r="467" spans="8:81" x14ac:dyDescent="0.25">
      <c r="H467" s="1021"/>
      <c r="I467" s="1021"/>
      <c r="J467" s="1021"/>
      <c r="K467" s="1021"/>
      <c r="L467" s="1021"/>
      <c r="M467" s="1021"/>
      <c r="N467" s="1021"/>
      <c r="O467" s="1021"/>
      <c r="P467" s="1021"/>
      <c r="Q467" s="1021"/>
      <c r="R467" s="1021"/>
      <c r="S467" s="1021"/>
      <c r="T467" s="1021"/>
      <c r="U467" s="1021"/>
      <c r="V467" s="1021"/>
      <c r="W467" s="1021"/>
      <c r="X467" s="1021"/>
      <c r="Y467" s="1021"/>
      <c r="Z467" s="1021"/>
      <c r="AA467" s="1021"/>
      <c r="AB467" s="1021"/>
      <c r="AC467" s="1021"/>
      <c r="AD467" s="1021"/>
      <c r="AE467" s="1021"/>
      <c r="AF467" s="1021"/>
      <c r="AG467" s="1021"/>
      <c r="AH467" s="1021"/>
      <c r="AI467" s="1021"/>
      <c r="AJ467" s="1021"/>
      <c r="AK467" s="1021"/>
      <c r="AL467" s="1021"/>
      <c r="AM467" s="1021"/>
      <c r="AN467" s="1021"/>
      <c r="AO467" s="1021"/>
      <c r="AP467" s="1021"/>
      <c r="AQ467" s="1021"/>
      <c r="AR467" s="1021"/>
      <c r="AS467" s="1021"/>
      <c r="AT467" s="1021"/>
      <c r="AU467" s="1021"/>
      <c r="AV467" s="1021"/>
      <c r="AW467" s="1021"/>
      <c r="AX467" s="1021"/>
      <c r="AY467" s="1021"/>
      <c r="AZ467" s="1021"/>
      <c r="BA467" s="1021"/>
      <c r="BB467" s="1021"/>
      <c r="BC467" s="1021"/>
      <c r="BD467" s="1021"/>
      <c r="BE467" s="1021"/>
      <c r="BF467" s="1021"/>
      <c r="BG467" s="1021"/>
      <c r="BH467" s="1021"/>
      <c r="BI467" s="1021"/>
      <c r="BJ467" s="1021"/>
      <c r="BK467" s="1021"/>
      <c r="BL467" s="1021"/>
      <c r="BM467" s="1021"/>
      <c r="BN467" s="1021"/>
      <c r="BO467" s="1021"/>
      <c r="BP467" s="1021"/>
      <c r="BQ467" s="1021"/>
      <c r="BR467" s="1021"/>
      <c r="BS467" s="1021"/>
      <c r="BT467" s="1021"/>
      <c r="BU467" s="1021"/>
      <c r="BV467" s="1021"/>
      <c r="BW467" s="1021"/>
      <c r="BX467" s="1021"/>
      <c r="BY467" s="1021"/>
      <c r="BZ467" s="1021"/>
      <c r="CA467" s="1021"/>
      <c r="CB467" s="1021"/>
      <c r="CC467" s="1021"/>
    </row>
    <row r="468" spans="8:81" x14ac:dyDescent="0.25">
      <c r="H468" s="1021"/>
      <c r="I468" s="1021"/>
      <c r="J468" s="1021"/>
      <c r="K468" s="1021"/>
      <c r="L468" s="1021"/>
      <c r="M468" s="1021"/>
      <c r="N468" s="1021"/>
      <c r="O468" s="1021"/>
      <c r="P468" s="1021"/>
      <c r="Q468" s="1021"/>
      <c r="R468" s="1021"/>
      <c r="S468" s="1021"/>
      <c r="T468" s="1021"/>
      <c r="U468" s="1021"/>
      <c r="V468" s="1021"/>
      <c r="W468" s="1021"/>
      <c r="X468" s="1021"/>
      <c r="Y468" s="1021"/>
      <c r="Z468" s="1021"/>
      <c r="AA468" s="1021"/>
      <c r="AB468" s="1021"/>
      <c r="AC468" s="1021"/>
      <c r="AD468" s="1021"/>
      <c r="AE468" s="1021"/>
      <c r="AF468" s="1021"/>
      <c r="AG468" s="1021"/>
      <c r="AH468" s="1021"/>
      <c r="AI468" s="1021"/>
      <c r="AJ468" s="1021"/>
      <c r="AK468" s="1021"/>
      <c r="AL468" s="1021"/>
      <c r="AM468" s="1021"/>
      <c r="AN468" s="1021"/>
      <c r="AO468" s="1021"/>
      <c r="AP468" s="1021"/>
      <c r="AQ468" s="1021"/>
      <c r="AR468" s="1021"/>
      <c r="AS468" s="1021"/>
      <c r="AT468" s="1021"/>
      <c r="AU468" s="1021"/>
      <c r="AV468" s="1021"/>
      <c r="AW468" s="1021"/>
      <c r="AX468" s="1021"/>
      <c r="AY468" s="1021"/>
      <c r="AZ468" s="1021"/>
      <c r="BA468" s="1021"/>
      <c r="BB468" s="1021"/>
      <c r="BC468" s="1021"/>
      <c r="BD468" s="1021"/>
      <c r="BE468" s="1021"/>
      <c r="BF468" s="1021"/>
      <c r="BG468" s="1021"/>
      <c r="BH468" s="1021"/>
      <c r="BI468" s="1021"/>
      <c r="BJ468" s="1021"/>
      <c r="BK468" s="1021"/>
      <c r="BL468" s="1021"/>
      <c r="BM468" s="1021"/>
      <c r="BN468" s="1021"/>
      <c r="BO468" s="1021"/>
      <c r="BP468" s="1021"/>
      <c r="BQ468" s="1021"/>
      <c r="BR468" s="1021"/>
      <c r="BS468" s="1021"/>
      <c r="BT468" s="1021"/>
      <c r="BU468" s="1021"/>
      <c r="BV468" s="1021"/>
      <c r="BW468" s="1021"/>
      <c r="BX468" s="1021"/>
      <c r="BY468" s="1021"/>
      <c r="BZ468" s="1021"/>
      <c r="CA468" s="1021"/>
      <c r="CB468" s="1021"/>
      <c r="CC468" s="1021"/>
    </row>
    <row r="469" spans="8:81" x14ac:dyDescent="0.25">
      <c r="H469" s="1021"/>
      <c r="I469" s="1021"/>
      <c r="J469" s="1021"/>
      <c r="K469" s="1021"/>
      <c r="L469" s="1021"/>
      <c r="M469" s="1021"/>
      <c r="N469" s="1021"/>
      <c r="O469" s="1021"/>
      <c r="P469" s="1021"/>
      <c r="Q469" s="1021"/>
      <c r="R469" s="1021"/>
      <c r="S469" s="1021"/>
      <c r="T469" s="1021"/>
      <c r="U469" s="1021"/>
      <c r="V469" s="1021"/>
      <c r="W469" s="1021"/>
      <c r="X469" s="1021"/>
      <c r="Y469" s="1021"/>
      <c r="Z469" s="1021"/>
      <c r="AA469" s="1021"/>
      <c r="AB469" s="1021"/>
      <c r="AC469" s="1021"/>
      <c r="AD469" s="1021"/>
      <c r="AE469" s="1021"/>
      <c r="AF469" s="1021"/>
      <c r="AG469" s="1021"/>
      <c r="AH469" s="1021"/>
      <c r="AI469" s="1021"/>
      <c r="AJ469" s="1021"/>
      <c r="AK469" s="1021"/>
      <c r="AL469" s="1021"/>
      <c r="AM469" s="1021"/>
      <c r="AN469" s="1021"/>
      <c r="AO469" s="1021"/>
      <c r="AP469" s="1021"/>
      <c r="AQ469" s="1021"/>
      <c r="AR469" s="1021"/>
      <c r="AS469" s="1021"/>
      <c r="AT469" s="1021"/>
      <c r="AU469" s="1021"/>
      <c r="AV469" s="1021"/>
      <c r="AW469" s="1021"/>
      <c r="AX469" s="1021"/>
      <c r="AY469" s="1021"/>
      <c r="AZ469" s="1021"/>
      <c r="BA469" s="1021"/>
      <c r="BB469" s="1021"/>
      <c r="BC469" s="1021"/>
      <c r="BD469" s="1021"/>
      <c r="BE469" s="1021"/>
      <c r="BF469" s="1021"/>
      <c r="BG469" s="1021"/>
      <c r="BH469" s="1021"/>
      <c r="BI469" s="1021"/>
      <c r="BJ469" s="1021"/>
      <c r="BK469" s="1021"/>
      <c r="BL469" s="1021"/>
      <c r="BM469" s="1021"/>
      <c r="BN469" s="1021"/>
      <c r="BO469" s="1021"/>
      <c r="BP469" s="1021"/>
      <c r="BQ469" s="1021"/>
      <c r="BR469" s="1021"/>
      <c r="BS469" s="1021"/>
      <c r="BT469" s="1021"/>
      <c r="BU469" s="1021"/>
      <c r="BV469" s="1021"/>
      <c r="BW469" s="1021"/>
      <c r="BX469" s="1021"/>
      <c r="BY469" s="1021"/>
      <c r="BZ469" s="1021"/>
      <c r="CA469" s="1021"/>
      <c r="CB469" s="1021"/>
      <c r="CC469" s="1021"/>
    </row>
    <row r="470" spans="8:81" x14ac:dyDescent="0.25">
      <c r="H470" s="1021"/>
      <c r="I470" s="1021"/>
      <c r="J470" s="1021"/>
      <c r="K470" s="1021"/>
      <c r="L470" s="1021"/>
      <c r="M470" s="1021"/>
      <c r="N470" s="1021"/>
      <c r="O470" s="1021"/>
      <c r="P470" s="1021"/>
      <c r="Q470" s="1021"/>
      <c r="R470" s="1021"/>
      <c r="S470" s="1021"/>
      <c r="T470" s="1021"/>
      <c r="U470" s="1021"/>
      <c r="V470" s="1021"/>
      <c r="W470" s="1021"/>
      <c r="X470" s="1021"/>
      <c r="Y470" s="1021"/>
      <c r="Z470" s="1021"/>
      <c r="AA470" s="1021"/>
      <c r="AB470" s="1021"/>
      <c r="AC470" s="1021"/>
      <c r="AD470" s="1021"/>
      <c r="AE470" s="1021"/>
      <c r="AF470" s="1021"/>
      <c r="AG470" s="1021"/>
      <c r="AH470" s="1021"/>
      <c r="AI470" s="1021"/>
      <c r="AJ470" s="1021"/>
      <c r="AK470" s="1021"/>
      <c r="AL470" s="1021"/>
      <c r="AM470" s="1021"/>
      <c r="AN470" s="1021"/>
      <c r="AO470" s="1021"/>
      <c r="AP470" s="1021"/>
      <c r="AQ470" s="1021"/>
      <c r="AR470" s="1021"/>
      <c r="AS470" s="1021"/>
      <c r="AT470" s="1021"/>
      <c r="AU470" s="1021"/>
      <c r="AV470" s="1021"/>
      <c r="AW470" s="1021"/>
      <c r="AX470" s="1021"/>
      <c r="AY470" s="1021"/>
      <c r="AZ470" s="1021"/>
      <c r="BA470" s="1021"/>
      <c r="BB470" s="1021"/>
      <c r="BC470" s="1021"/>
      <c r="BD470" s="1021"/>
      <c r="BE470" s="1021"/>
      <c r="BF470" s="1021"/>
      <c r="BG470" s="1021"/>
      <c r="BH470" s="1021"/>
      <c r="BI470" s="1021"/>
      <c r="BJ470" s="1021"/>
      <c r="BK470" s="1021"/>
      <c r="BL470" s="1021"/>
      <c r="BM470" s="1021"/>
      <c r="BN470" s="1021"/>
      <c r="BO470" s="1021"/>
      <c r="BP470" s="1021"/>
      <c r="BQ470" s="1021"/>
      <c r="BR470" s="1021"/>
      <c r="BS470" s="1021"/>
      <c r="BT470" s="1021"/>
      <c r="BU470" s="1021"/>
      <c r="BV470" s="1021"/>
      <c r="BW470" s="1021"/>
      <c r="BX470" s="1021"/>
      <c r="BY470" s="1021"/>
      <c r="BZ470" s="1021"/>
      <c r="CA470" s="1021"/>
      <c r="CB470" s="1021"/>
      <c r="CC470" s="1021"/>
    </row>
    <row r="471" spans="8:81" x14ac:dyDescent="0.25">
      <c r="H471" s="1021"/>
      <c r="I471" s="1021"/>
      <c r="J471" s="1021"/>
      <c r="K471" s="1021"/>
      <c r="L471" s="1021"/>
      <c r="M471" s="1021"/>
      <c r="N471" s="1021"/>
      <c r="O471" s="1021"/>
      <c r="P471" s="1021"/>
      <c r="Q471" s="1021"/>
      <c r="R471" s="1021"/>
      <c r="S471" s="1021"/>
      <c r="T471" s="1021"/>
      <c r="U471" s="1021"/>
      <c r="V471" s="1021"/>
      <c r="W471" s="1021"/>
      <c r="X471" s="1021"/>
      <c r="Y471" s="1021"/>
      <c r="Z471" s="1021"/>
      <c r="AA471" s="1021"/>
      <c r="AB471" s="1021"/>
      <c r="AC471" s="1021"/>
      <c r="AD471" s="1021"/>
      <c r="AE471" s="1021"/>
      <c r="AF471" s="1021"/>
      <c r="AG471" s="1021"/>
      <c r="AH471" s="1021"/>
      <c r="AI471" s="1021"/>
      <c r="AJ471" s="1021"/>
      <c r="AK471" s="1021"/>
      <c r="AL471" s="1021"/>
      <c r="AM471" s="1021"/>
      <c r="AN471" s="1021"/>
      <c r="AO471" s="1021"/>
      <c r="AP471" s="1021"/>
      <c r="AQ471" s="1021"/>
      <c r="AR471" s="1021"/>
      <c r="AS471" s="1021"/>
      <c r="AT471" s="1021"/>
      <c r="AU471" s="1021"/>
      <c r="AV471" s="1021"/>
      <c r="AW471" s="1021"/>
      <c r="AX471" s="1021"/>
      <c r="AY471" s="1021"/>
      <c r="AZ471" s="1021"/>
      <c r="BA471" s="1021"/>
      <c r="BB471" s="1021"/>
      <c r="BC471" s="1021"/>
      <c r="BD471" s="1021"/>
      <c r="BE471" s="1021"/>
      <c r="BF471" s="1021"/>
      <c r="BG471" s="1021"/>
      <c r="BH471" s="1021"/>
      <c r="BI471" s="1021"/>
      <c r="BJ471" s="1021"/>
      <c r="BK471" s="1021"/>
      <c r="BL471" s="1021"/>
      <c r="BM471" s="1021"/>
      <c r="BN471" s="1021"/>
      <c r="BO471" s="1021"/>
      <c r="BP471" s="1021"/>
      <c r="BQ471" s="1021"/>
      <c r="BR471" s="1021"/>
      <c r="BS471" s="1021"/>
      <c r="BT471" s="1021"/>
      <c r="BU471" s="1021"/>
      <c r="BV471" s="1021"/>
      <c r="BW471" s="1021"/>
      <c r="BX471" s="1021"/>
      <c r="BY471" s="1021"/>
      <c r="BZ471" s="1021"/>
      <c r="CA471" s="1021"/>
      <c r="CB471" s="1021"/>
      <c r="CC471" s="1021"/>
    </row>
    <row r="472" spans="8:81" x14ac:dyDescent="0.25">
      <c r="H472" s="1021"/>
      <c r="I472" s="1021"/>
      <c r="J472" s="1021"/>
      <c r="K472" s="1021"/>
      <c r="L472" s="1021"/>
      <c r="M472" s="1021"/>
      <c r="N472" s="1021"/>
      <c r="O472" s="1021"/>
      <c r="P472" s="1021"/>
      <c r="Q472" s="1021"/>
      <c r="R472" s="1021"/>
      <c r="S472" s="1021"/>
      <c r="T472" s="1021"/>
      <c r="U472" s="1021"/>
      <c r="V472" s="1021"/>
      <c r="W472" s="1021"/>
      <c r="X472" s="1021"/>
      <c r="Y472" s="1021"/>
      <c r="Z472" s="1021"/>
      <c r="AA472" s="1021"/>
      <c r="AB472" s="1021"/>
      <c r="AC472" s="1021"/>
      <c r="AD472" s="1021"/>
      <c r="AE472" s="1021"/>
      <c r="AF472" s="1021"/>
      <c r="AG472" s="1021"/>
      <c r="AH472" s="1021"/>
      <c r="AI472" s="1021"/>
      <c r="AJ472" s="1021"/>
      <c r="AK472" s="1021"/>
      <c r="AL472" s="1021"/>
      <c r="AM472" s="1021"/>
      <c r="AN472" s="1021"/>
      <c r="AO472" s="1021"/>
      <c r="AP472" s="1021"/>
      <c r="AQ472" s="1021"/>
      <c r="AR472" s="1021"/>
      <c r="AS472" s="1021"/>
      <c r="AT472" s="1021"/>
      <c r="AU472" s="1021"/>
      <c r="AV472" s="1021"/>
      <c r="AW472" s="1021"/>
      <c r="AX472" s="1021"/>
      <c r="AY472" s="1021"/>
      <c r="AZ472" s="1021"/>
      <c r="BA472" s="1021"/>
      <c r="BB472" s="1021"/>
      <c r="BC472" s="1021"/>
      <c r="BD472" s="1021"/>
      <c r="BE472" s="1021"/>
      <c r="BF472" s="1021"/>
      <c r="BG472" s="1021"/>
      <c r="BH472" s="1021"/>
      <c r="BI472" s="1021"/>
      <c r="BJ472" s="1021"/>
      <c r="BK472" s="1021"/>
      <c r="BL472" s="1021"/>
      <c r="BM472" s="1021"/>
      <c r="BN472" s="1021"/>
      <c r="BO472" s="1021"/>
      <c r="BP472" s="1021"/>
      <c r="BQ472" s="1021"/>
      <c r="BR472" s="1021"/>
      <c r="BS472" s="1021"/>
      <c r="BT472" s="1021"/>
      <c r="BU472" s="1021"/>
      <c r="BV472" s="1021"/>
      <c r="BW472" s="1021"/>
      <c r="BX472" s="1021"/>
      <c r="BY472" s="1021"/>
      <c r="BZ472" s="1021"/>
      <c r="CA472" s="1021"/>
      <c r="CB472" s="1021"/>
      <c r="CC472" s="1021"/>
    </row>
    <row r="473" spans="8:81" x14ac:dyDescent="0.25">
      <c r="H473" s="1021"/>
      <c r="I473" s="1021"/>
      <c r="J473" s="1021"/>
      <c r="K473" s="1021"/>
      <c r="L473" s="1021"/>
      <c r="M473" s="1021"/>
      <c r="N473" s="1021"/>
      <c r="O473" s="1021"/>
      <c r="P473" s="1021"/>
      <c r="Q473" s="1021"/>
      <c r="R473" s="1021"/>
      <c r="S473" s="1021"/>
      <c r="T473" s="1021"/>
      <c r="U473" s="1021"/>
      <c r="V473" s="1021"/>
      <c r="W473" s="1021"/>
      <c r="X473" s="1021"/>
      <c r="Y473" s="1021"/>
      <c r="Z473" s="1021"/>
      <c r="AA473" s="1021"/>
      <c r="AB473" s="1021"/>
      <c r="AC473" s="1021"/>
      <c r="AD473" s="1021"/>
      <c r="AE473" s="1021"/>
      <c r="AF473" s="1021"/>
      <c r="AG473" s="1021"/>
      <c r="AH473" s="1021"/>
      <c r="AI473" s="1021"/>
      <c r="AJ473" s="1021"/>
      <c r="AK473" s="1021"/>
      <c r="AL473" s="1021"/>
      <c r="AM473" s="1021"/>
      <c r="AN473" s="1021"/>
      <c r="AO473" s="1021"/>
      <c r="AP473" s="1021"/>
      <c r="AQ473" s="1021"/>
      <c r="AR473" s="1021"/>
      <c r="AS473" s="1021"/>
      <c r="AT473" s="1021"/>
      <c r="AU473" s="1021"/>
      <c r="AV473" s="1021"/>
      <c r="AW473" s="1021"/>
      <c r="AX473" s="1021"/>
      <c r="AY473" s="1021"/>
      <c r="AZ473" s="1021"/>
      <c r="BA473" s="1021"/>
      <c r="BB473" s="1021"/>
      <c r="BC473" s="1021"/>
      <c r="BD473" s="1021"/>
      <c r="BE473" s="1021"/>
      <c r="BF473" s="1021"/>
      <c r="BG473" s="1021"/>
      <c r="BH473" s="1021"/>
      <c r="BI473" s="1021"/>
      <c r="BJ473" s="1021"/>
      <c r="BK473" s="1021"/>
      <c r="BL473" s="1021"/>
      <c r="BM473" s="1021"/>
      <c r="BN473" s="1021"/>
      <c r="BO473" s="1021"/>
      <c r="BP473" s="1021"/>
      <c r="BQ473" s="1021"/>
      <c r="BR473" s="1021"/>
      <c r="BS473" s="1021"/>
      <c r="BT473" s="1021"/>
      <c r="BU473" s="1021"/>
      <c r="BV473" s="1021"/>
      <c r="BW473" s="1021"/>
      <c r="BX473" s="1021"/>
      <c r="BY473" s="1021"/>
      <c r="BZ473" s="1021"/>
      <c r="CA473" s="1021"/>
      <c r="CB473" s="1021"/>
      <c r="CC473" s="1021"/>
    </row>
    <row r="474" spans="8:81" x14ac:dyDescent="0.25">
      <c r="H474" s="1021"/>
      <c r="I474" s="1021"/>
      <c r="J474" s="1021"/>
      <c r="K474" s="1021"/>
      <c r="L474" s="1021"/>
      <c r="M474" s="1021"/>
      <c r="N474" s="1021"/>
      <c r="O474" s="1021"/>
      <c r="P474" s="1021"/>
      <c r="Q474" s="1021"/>
      <c r="R474" s="1021"/>
      <c r="S474" s="1021"/>
      <c r="T474" s="1021"/>
      <c r="U474" s="1021"/>
      <c r="V474" s="1021"/>
      <c r="W474" s="1021"/>
      <c r="X474" s="1021"/>
      <c r="Y474" s="1021"/>
      <c r="Z474" s="1021"/>
      <c r="AA474" s="1021"/>
      <c r="AB474" s="1021"/>
      <c r="AC474" s="1021"/>
      <c r="AD474" s="1021"/>
      <c r="AE474" s="1021"/>
      <c r="AF474" s="1021"/>
      <c r="AG474" s="1021"/>
      <c r="AH474" s="1021"/>
      <c r="AI474" s="1021"/>
      <c r="AJ474" s="1021"/>
      <c r="AK474" s="1021"/>
      <c r="AL474" s="1021"/>
      <c r="AM474" s="1021"/>
      <c r="AN474" s="1021"/>
      <c r="AO474" s="1021"/>
      <c r="AP474" s="1021"/>
      <c r="AQ474" s="1021"/>
      <c r="AR474" s="1021"/>
      <c r="AS474" s="1021"/>
      <c r="AT474" s="1021"/>
      <c r="AU474" s="1021"/>
      <c r="AV474" s="1021"/>
      <c r="AW474" s="1021"/>
      <c r="AX474" s="1021"/>
      <c r="AY474" s="1021"/>
      <c r="AZ474" s="1021"/>
      <c r="BA474" s="1021"/>
      <c r="BB474" s="1021"/>
      <c r="BC474" s="1021"/>
      <c r="BD474" s="1021"/>
      <c r="BE474" s="1021"/>
      <c r="BF474" s="1021"/>
      <c r="BG474" s="1021"/>
      <c r="BH474" s="1021"/>
      <c r="BI474" s="1021"/>
      <c r="BJ474" s="1021"/>
      <c r="BK474" s="1021"/>
      <c r="BL474" s="1021"/>
      <c r="BM474" s="1021"/>
      <c r="BN474" s="1021"/>
      <c r="BO474" s="1021"/>
      <c r="BP474" s="1021"/>
      <c r="BQ474" s="1021"/>
      <c r="BR474" s="1021"/>
      <c r="BS474" s="1021"/>
      <c r="BT474" s="1021"/>
      <c r="BU474" s="1021"/>
      <c r="BV474" s="1021"/>
      <c r="BW474" s="1021"/>
      <c r="BX474" s="1021"/>
      <c r="BY474" s="1021"/>
      <c r="BZ474" s="1021"/>
      <c r="CA474" s="1021"/>
      <c r="CB474" s="1021"/>
      <c r="CC474" s="1021"/>
    </row>
    <row r="475" spans="8:81" x14ac:dyDescent="0.25">
      <c r="H475" s="1021"/>
      <c r="I475" s="1021"/>
      <c r="J475" s="1021"/>
      <c r="K475" s="1021"/>
      <c r="L475" s="1021"/>
      <c r="M475" s="1021"/>
      <c r="N475" s="1021"/>
      <c r="O475" s="1021"/>
      <c r="P475" s="1021"/>
      <c r="Q475" s="1021"/>
      <c r="R475" s="1021"/>
      <c r="S475" s="1021"/>
      <c r="T475" s="1021"/>
      <c r="U475" s="1021"/>
      <c r="V475" s="1021"/>
      <c r="W475" s="1021"/>
      <c r="X475" s="1021"/>
      <c r="Y475" s="1021"/>
      <c r="Z475" s="1021"/>
      <c r="AA475" s="1021"/>
      <c r="AB475" s="1021"/>
      <c r="AC475" s="1021"/>
      <c r="AD475" s="1021"/>
      <c r="AE475" s="1021"/>
      <c r="AF475" s="1021"/>
      <c r="AG475" s="1021"/>
      <c r="AH475" s="1021"/>
      <c r="AI475" s="1021"/>
      <c r="AJ475" s="1021"/>
      <c r="AK475" s="1021"/>
      <c r="AL475" s="1021"/>
      <c r="AM475" s="1021"/>
      <c r="AN475" s="1021"/>
      <c r="AO475" s="1021"/>
      <c r="AP475" s="1021"/>
      <c r="AQ475" s="1021"/>
      <c r="AR475" s="1021"/>
      <c r="AS475" s="1021"/>
      <c r="AT475" s="1021"/>
      <c r="AU475" s="1021"/>
      <c r="AV475" s="1021"/>
      <c r="AW475" s="1021"/>
      <c r="AX475" s="1021"/>
      <c r="AY475" s="1021"/>
      <c r="AZ475" s="1021"/>
      <c r="BA475" s="1021"/>
      <c r="BB475" s="1021"/>
      <c r="BC475" s="1021"/>
      <c r="BD475" s="1021"/>
      <c r="BE475" s="1021"/>
      <c r="BF475" s="1021"/>
      <c r="BG475" s="1021"/>
      <c r="BH475" s="1021"/>
      <c r="BI475" s="1021"/>
      <c r="BJ475" s="1021"/>
      <c r="BK475" s="1021"/>
      <c r="BL475" s="1021"/>
      <c r="BM475" s="1021"/>
      <c r="BN475" s="1021"/>
      <c r="BO475" s="1021"/>
      <c r="BP475" s="1021"/>
      <c r="BQ475" s="1021"/>
      <c r="BR475" s="1021"/>
      <c r="BS475" s="1021"/>
      <c r="BT475" s="1021"/>
      <c r="BU475" s="1021"/>
      <c r="BV475" s="1021"/>
      <c r="BW475" s="1021"/>
      <c r="BX475" s="1021"/>
      <c r="BY475" s="1021"/>
      <c r="BZ475" s="1021"/>
      <c r="CA475" s="1021"/>
      <c r="CB475" s="1021"/>
      <c r="CC475" s="1021"/>
    </row>
    <row r="476" spans="8:81" x14ac:dyDescent="0.25">
      <c r="H476" s="1021"/>
      <c r="I476" s="1021"/>
      <c r="J476" s="1021"/>
      <c r="K476" s="1021"/>
      <c r="L476" s="1021"/>
      <c r="M476" s="1021"/>
      <c r="N476" s="1021"/>
      <c r="O476" s="1021"/>
      <c r="P476" s="1021"/>
      <c r="Q476" s="1021"/>
      <c r="R476" s="1021"/>
      <c r="S476" s="1021"/>
      <c r="T476" s="1021"/>
      <c r="U476" s="1021"/>
      <c r="V476" s="1021"/>
      <c r="W476" s="1021"/>
      <c r="X476" s="1021"/>
      <c r="Y476" s="1021"/>
      <c r="Z476" s="1021"/>
      <c r="AA476" s="1021"/>
      <c r="AB476" s="1021"/>
      <c r="AC476" s="1021"/>
      <c r="AD476" s="1021"/>
      <c r="AE476" s="1021"/>
      <c r="AF476" s="1021"/>
      <c r="AG476" s="1021"/>
      <c r="AH476" s="1021"/>
      <c r="AI476" s="1021"/>
      <c r="AJ476" s="1021"/>
      <c r="AK476" s="1021"/>
      <c r="AL476" s="1021"/>
      <c r="AM476" s="1021"/>
      <c r="AN476" s="1021"/>
      <c r="AO476" s="1021"/>
      <c r="AP476" s="1021"/>
      <c r="AQ476" s="1021"/>
      <c r="AR476" s="1021"/>
      <c r="AS476" s="1021"/>
      <c r="AT476" s="1021"/>
      <c r="AU476" s="1021"/>
      <c r="AV476" s="1021"/>
      <c r="AW476" s="1021"/>
      <c r="AX476" s="1021"/>
      <c r="AY476" s="1021"/>
      <c r="AZ476" s="1021"/>
      <c r="BA476" s="1021"/>
      <c r="BB476" s="1021"/>
      <c r="BC476" s="1021"/>
      <c r="BD476" s="1021"/>
      <c r="BE476" s="1021"/>
      <c r="BF476" s="1021"/>
      <c r="BG476" s="1021"/>
      <c r="BH476" s="1021"/>
      <c r="BI476" s="1021"/>
      <c r="BJ476" s="1021"/>
      <c r="BK476" s="1021"/>
      <c r="BL476" s="1021"/>
      <c r="BM476" s="1021"/>
      <c r="BN476" s="1021"/>
      <c r="BO476" s="1021"/>
      <c r="BP476" s="1021"/>
      <c r="BQ476" s="1021"/>
      <c r="BR476" s="1021"/>
      <c r="BS476" s="1021"/>
      <c r="BT476" s="1021"/>
      <c r="BU476" s="1021"/>
      <c r="BV476" s="1021"/>
      <c r="BW476" s="1021"/>
      <c r="BX476" s="1021"/>
      <c r="BY476" s="1021"/>
      <c r="BZ476" s="1021"/>
      <c r="CA476" s="1021"/>
      <c r="CB476" s="1021"/>
      <c r="CC476" s="1021"/>
    </row>
    <row r="477" spans="8:81" x14ac:dyDescent="0.25">
      <c r="H477" s="1021"/>
      <c r="I477" s="1021"/>
      <c r="J477" s="1021"/>
      <c r="K477" s="1021"/>
      <c r="L477" s="1021"/>
      <c r="M477" s="1021"/>
      <c r="N477" s="1021"/>
      <c r="O477" s="1021"/>
      <c r="P477" s="1021"/>
      <c r="Q477" s="1021"/>
      <c r="R477" s="1021"/>
      <c r="S477" s="1021"/>
      <c r="T477" s="1021"/>
      <c r="U477" s="1021"/>
      <c r="V477" s="1021"/>
      <c r="W477" s="1021"/>
      <c r="X477" s="1021"/>
      <c r="Y477" s="1021"/>
      <c r="Z477" s="1021"/>
      <c r="AA477" s="1021"/>
      <c r="AB477" s="1021"/>
      <c r="AC477" s="1021"/>
      <c r="AD477" s="1021"/>
      <c r="AE477" s="1021"/>
      <c r="AF477" s="1021"/>
      <c r="AG477" s="1021"/>
      <c r="AH477" s="1021"/>
      <c r="AI477" s="1021"/>
      <c r="AJ477" s="1021"/>
      <c r="AK477" s="1021"/>
      <c r="AL477" s="1021"/>
      <c r="AM477" s="1021"/>
      <c r="AN477" s="1021"/>
      <c r="AO477" s="1021"/>
      <c r="AP477" s="1021"/>
      <c r="AQ477" s="1021"/>
      <c r="AR477" s="1021"/>
      <c r="AS477" s="1021"/>
      <c r="AT477" s="1021"/>
      <c r="AU477" s="1021"/>
      <c r="AV477" s="1021"/>
      <c r="AW477" s="1021"/>
      <c r="AX477" s="1021"/>
      <c r="AY477" s="1021"/>
      <c r="AZ477" s="1021"/>
      <c r="BA477" s="1021"/>
      <c r="BB477" s="1021"/>
      <c r="BC477" s="1021"/>
      <c r="BD477" s="1021"/>
      <c r="BE477" s="1021"/>
      <c r="BF477" s="1021"/>
      <c r="BG477" s="1021"/>
      <c r="BH477" s="1021"/>
      <c r="BI477" s="1021"/>
      <c r="BJ477" s="1021"/>
      <c r="BK477" s="1021"/>
      <c r="BL477" s="1021"/>
      <c r="BM477" s="1021"/>
      <c r="BN477" s="1021"/>
      <c r="BO477" s="1021"/>
      <c r="BP477" s="1021"/>
      <c r="BQ477" s="1021"/>
      <c r="BR477" s="1021"/>
      <c r="BS477" s="1021"/>
      <c r="BT477" s="1021"/>
      <c r="BU477" s="1021"/>
      <c r="BV477" s="1021"/>
      <c r="BW477" s="1021"/>
      <c r="BX477" s="1021"/>
      <c r="BY477" s="1021"/>
      <c r="BZ477" s="1021"/>
      <c r="CA477" s="1021"/>
      <c r="CB477" s="1021"/>
      <c r="CC477" s="1021"/>
    </row>
    <row r="478" spans="8:81" x14ac:dyDescent="0.25">
      <c r="H478" s="1021"/>
      <c r="I478" s="1021"/>
      <c r="J478" s="1021"/>
      <c r="K478" s="1021"/>
      <c r="L478" s="1021"/>
      <c r="M478" s="1021"/>
      <c r="N478" s="1021"/>
      <c r="O478" s="1021"/>
      <c r="P478" s="1021"/>
      <c r="Q478" s="1021"/>
      <c r="R478" s="1021"/>
      <c r="S478" s="1021"/>
      <c r="T478" s="1021"/>
      <c r="U478" s="1021"/>
      <c r="V478" s="1021"/>
      <c r="W478" s="1021"/>
      <c r="X478" s="1021"/>
      <c r="Y478" s="1021"/>
      <c r="Z478" s="1021"/>
      <c r="AA478" s="1021"/>
      <c r="AB478" s="1021"/>
      <c r="AC478" s="1021"/>
      <c r="AD478" s="1021"/>
      <c r="AE478" s="1021"/>
      <c r="AF478" s="1021"/>
      <c r="AG478" s="1021"/>
      <c r="AH478" s="1021"/>
      <c r="AI478" s="1021"/>
      <c r="AJ478" s="1021"/>
      <c r="AK478" s="1021"/>
      <c r="AL478" s="1021"/>
      <c r="AM478" s="1021"/>
      <c r="AN478" s="1021"/>
      <c r="AO478" s="1021"/>
      <c r="AP478" s="1021"/>
      <c r="AQ478" s="1021"/>
      <c r="AR478" s="1021"/>
      <c r="AS478" s="1021"/>
      <c r="AT478" s="1021"/>
      <c r="AU478" s="1021"/>
      <c r="AV478" s="1021"/>
      <c r="AW478" s="1021"/>
      <c r="AX478" s="1021"/>
      <c r="AY478" s="1021"/>
      <c r="AZ478" s="1021"/>
      <c r="BA478" s="1021"/>
      <c r="BB478" s="1021"/>
      <c r="BC478" s="1021"/>
      <c r="BD478" s="1021"/>
      <c r="BE478" s="1021"/>
      <c r="BF478" s="1021"/>
      <c r="BG478" s="1021"/>
      <c r="BH478" s="1021"/>
      <c r="BI478" s="1021"/>
      <c r="BJ478" s="1021"/>
      <c r="BK478" s="1021"/>
      <c r="BL478" s="1021"/>
      <c r="BM478" s="1021"/>
      <c r="BN478" s="1021"/>
      <c r="BO478" s="1021"/>
      <c r="BP478" s="1021"/>
      <c r="BQ478" s="1021"/>
      <c r="BR478" s="1021"/>
      <c r="BS478" s="1021"/>
      <c r="BT478" s="1021"/>
      <c r="BU478" s="1021"/>
      <c r="BV478" s="1021"/>
      <c r="BW478" s="1021"/>
      <c r="BX478" s="1021"/>
      <c r="BY478" s="1021"/>
      <c r="BZ478" s="1021"/>
      <c r="CA478" s="1021"/>
      <c r="CB478" s="1021"/>
      <c r="CC478" s="1021"/>
    </row>
    <row r="479" spans="8:81" x14ac:dyDescent="0.25">
      <c r="H479" s="1021"/>
      <c r="I479" s="1021"/>
      <c r="J479" s="1021"/>
      <c r="K479" s="1021"/>
      <c r="L479" s="1021"/>
      <c r="M479" s="1021"/>
      <c r="N479" s="1021"/>
      <c r="O479" s="1021"/>
      <c r="P479" s="1021"/>
      <c r="Q479" s="1021"/>
      <c r="R479" s="1021"/>
      <c r="S479" s="1021"/>
      <c r="T479" s="1021"/>
      <c r="U479" s="1021"/>
      <c r="V479" s="1021"/>
      <c r="W479" s="1021"/>
      <c r="X479" s="1021"/>
      <c r="Y479" s="1021"/>
      <c r="Z479" s="1021"/>
      <c r="AA479" s="1021"/>
      <c r="AB479" s="1021"/>
      <c r="AC479" s="1021"/>
      <c r="AD479" s="1021"/>
      <c r="AE479" s="1021"/>
      <c r="AF479" s="1021"/>
      <c r="AG479" s="1021"/>
      <c r="AH479" s="1021"/>
      <c r="AI479" s="1021"/>
      <c r="AJ479" s="1021"/>
      <c r="AK479" s="1021"/>
      <c r="AL479" s="1021"/>
      <c r="AM479" s="1021"/>
      <c r="AN479" s="1021"/>
      <c r="AO479" s="1021"/>
      <c r="AP479" s="1021"/>
      <c r="AQ479" s="1021"/>
      <c r="AR479" s="1021"/>
      <c r="AS479" s="1021"/>
      <c r="AT479" s="1021"/>
      <c r="AU479" s="1021"/>
      <c r="AV479" s="1021"/>
      <c r="AW479" s="1021"/>
      <c r="AX479" s="1021"/>
      <c r="AY479" s="1021"/>
      <c r="AZ479" s="1021"/>
      <c r="BA479" s="1021"/>
      <c r="BB479" s="1021"/>
      <c r="BC479" s="1021"/>
      <c r="BD479" s="1021"/>
      <c r="BE479" s="1021"/>
      <c r="BF479" s="1021"/>
      <c r="BG479" s="1021"/>
      <c r="BH479" s="1021"/>
      <c r="BI479" s="1021"/>
      <c r="BJ479" s="1021"/>
      <c r="BK479" s="1021"/>
      <c r="BL479" s="1021"/>
      <c r="BM479" s="1021"/>
      <c r="BN479" s="1021"/>
      <c r="BO479" s="1021"/>
      <c r="BP479" s="1021"/>
      <c r="BQ479" s="1021"/>
      <c r="BR479" s="1021"/>
      <c r="BS479" s="1021"/>
      <c r="BT479" s="1021"/>
      <c r="BU479" s="1021"/>
      <c r="BV479" s="1021"/>
      <c r="BW479" s="1021"/>
      <c r="BX479" s="1021"/>
      <c r="BY479" s="1021"/>
      <c r="BZ479" s="1021"/>
      <c r="CA479" s="1021"/>
      <c r="CB479" s="1021"/>
      <c r="CC479" s="1021"/>
    </row>
    <row r="480" spans="8:81" x14ac:dyDescent="0.25">
      <c r="H480" s="1021"/>
      <c r="I480" s="1021"/>
      <c r="J480" s="1021"/>
      <c r="K480" s="1021"/>
      <c r="L480" s="1021"/>
      <c r="M480" s="1021"/>
      <c r="N480" s="1021"/>
      <c r="O480" s="1021"/>
      <c r="P480" s="1021"/>
      <c r="Q480" s="1021"/>
      <c r="R480" s="1021"/>
      <c r="S480" s="1021"/>
      <c r="T480" s="1021"/>
      <c r="U480" s="1021"/>
      <c r="V480" s="1021"/>
      <c r="W480" s="1021"/>
      <c r="X480" s="1021"/>
      <c r="Y480" s="1021"/>
      <c r="Z480" s="1021"/>
      <c r="AA480" s="1021"/>
      <c r="AB480" s="1021"/>
      <c r="AC480" s="1021"/>
      <c r="AD480" s="1021"/>
      <c r="AE480" s="1021"/>
      <c r="AF480" s="1021"/>
      <c r="AG480" s="1021"/>
      <c r="AH480" s="1021"/>
      <c r="AI480" s="1021"/>
      <c r="AJ480" s="1021"/>
      <c r="AK480" s="1021"/>
      <c r="AL480" s="1021"/>
      <c r="AM480" s="1021"/>
      <c r="AN480" s="1021"/>
      <c r="AO480" s="1021"/>
      <c r="AP480" s="1021"/>
      <c r="AQ480" s="1021"/>
      <c r="AR480" s="1021"/>
      <c r="AS480" s="1021"/>
      <c r="AT480" s="1021"/>
      <c r="AU480" s="1021"/>
      <c r="AV480" s="1021"/>
      <c r="AW480" s="1021"/>
      <c r="AX480" s="1021"/>
      <c r="AY480" s="1021"/>
      <c r="AZ480" s="1021"/>
      <c r="BA480" s="1021"/>
      <c r="BB480" s="1021"/>
      <c r="BC480" s="1021"/>
      <c r="BD480" s="1021"/>
      <c r="BE480" s="1021"/>
      <c r="BF480" s="1021"/>
      <c r="BG480" s="1021"/>
      <c r="BH480" s="1021"/>
      <c r="BI480" s="1021"/>
      <c r="BJ480" s="1021"/>
      <c r="BK480" s="1021"/>
      <c r="BL480" s="1021"/>
      <c r="BM480" s="1021"/>
      <c r="BN480" s="1021"/>
      <c r="BO480" s="1021"/>
      <c r="BP480" s="1021"/>
      <c r="BQ480" s="1021"/>
      <c r="BR480" s="1021"/>
      <c r="BS480" s="1021"/>
      <c r="BT480" s="1021"/>
      <c r="BU480" s="1021"/>
      <c r="BV480" s="1021"/>
      <c r="BW480" s="1021"/>
      <c r="BX480" s="1021"/>
      <c r="BY480" s="1021"/>
      <c r="BZ480" s="1021"/>
      <c r="CA480" s="1021"/>
      <c r="CB480" s="1021"/>
      <c r="CC480" s="1021"/>
    </row>
    <row r="481" spans="8:81" x14ac:dyDescent="0.25">
      <c r="H481" s="1021"/>
      <c r="I481" s="1021"/>
      <c r="J481" s="1021"/>
      <c r="K481" s="1021"/>
      <c r="L481" s="1021"/>
      <c r="M481" s="1021"/>
      <c r="N481" s="1021"/>
      <c r="O481" s="1021"/>
      <c r="P481" s="1021"/>
      <c r="Q481" s="1021"/>
      <c r="R481" s="1021"/>
      <c r="S481" s="1021"/>
      <c r="T481" s="1021"/>
      <c r="U481" s="1021"/>
      <c r="V481" s="1021"/>
      <c r="W481" s="1021"/>
      <c r="X481" s="1021"/>
      <c r="Y481" s="1021"/>
      <c r="Z481" s="1021"/>
      <c r="AA481" s="1021"/>
      <c r="AB481" s="1021"/>
      <c r="AC481" s="1021"/>
      <c r="AD481" s="1021"/>
      <c r="AE481" s="1021"/>
      <c r="AF481" s="1021"/>
      <c r="AG481" s="1021"/>
      <c r="AH481" s="1021"/>
      <c r="AI481" s="1021"/>
      <c r="AJ481" s="1021"/>
      <c r="AK481" s="1021"/>
      <c r="AL481" s="1021"/>
      <c r="AM481" s="1021"/>
      <c r="AN481" s="1021"/>
      <c r="AO481" s="1021"/>
      <c r="AP481" s="1021"/>
      <c r="AQ481" s="1021"/>
      <c r="AR481" s="1021"/>
      <c r="AS481" s="1021"/>
      <c r="AT481" s="1021"/>
      <c r="AU481" s="1021"/>
      <c r="AV481" s="1021"/>
      <c r="AW481" s="1021"/>
      <c r="AX481" s="1021"/>
      <c r="AY481" s="1021"/>
      <c r="AZ481" s="1021"/>
      <c r="BA481" s="1021"/>
      <c r="BB481" s="1021"/>
      <c r="BC481" s="1021"/>
      <c r="BD481" s="1021"/>
      <c r="BE481" s="1021"/>
      <c r="BF481" s="1021"/>
      <c r="BG481" s="1021"/>
      <c r="BH481" s="1021"/>
      <c r="BI481" s="1021"/>
      <c r="BJ481" s="1021"/>
      <c r="BK481" s="1021"/>
      <c r="BL481" s="1021"/>
      <c r="BM481" s="1021"/>
      <c r="BN481" s="1021"/>
      <c r="BO481" s="1021"/>
      <c r="BP481" s="1021"/>
      <c r="BQ481" s="1021"/>
      <c r="BR481" s="1021"/>
      <c r="BS481" s="1021"/>
      <c r="BT481" s="1021"/>
      <c r="BU481" s="1021"/>
      <c r="BV481" s="1021"/>
      <c r="BW481" s="1021"/>
      <c r="BX481" s="1021"/>
      <c r="BY481" s="1021"/>
      <c r="BZ481" s="1021"/>
      <c r="CA481" s="1021"/>
      <c r="CB481" s="1021"/>
      <c r="CC481" s="1021"/>
    </row>
    <row r="482" spans="8:81" x14ac:dyDescent="0.25">
      <c r="H482" s="1021"/>
      <c r="I482" s="1021"/>
      <c r="J482" s="1021"/>
      <c r="K482" s="1021"/>
      <c r="L482" s="1021"/>
      <c r="M482" s="1021"/>
      <c r="N482" s="1021"/>
      <c r="O482" s="1021"/>
      <c r="P482" s="1021"/>
      <c r="Q482" s="1021"/>
      <c r="R482" s="1021"/>
      <c r="S482" s="1021"/>
      <c r="T482" s="1021"/>
      <c r="U482" s="1021"/>
      <c r="V482" s="1021"/>
      <c r="W482" s="1021"/>
      <c r="X482" s="1021"/>
      <c r="Y482" s="1021"/>
      <c r="Z482" s="1021"/>
      <c r="AA482" s="1021"/>
      <c r="AB482" s="1021"/>
      <c r="AC482" s="1021"/>
      <c r="AD482" s="1021"/>
      <c r="AE482" s="1021"/>
      <c r="AF482" s="1021"/>
      <c r="AG482" s="1021"/>
      <c r="AH482" s="1021"/>
      <c r="AI482" s="1021"/>
      <c r="AJ482" s="1021"/>
      <c r="AK482" s="1021"/>
      <c r="AL482" s="1021"/>
      <c r="AM482" s="1021"/>
      <c r="AN482" s="1021"/>
      <c r="AO482" s="1021"/>
      <c r="AP482" s="1021"/>
      <c r="AQ482" s="1021"/>
      <c r="AR482" s="1021"/>
      <c r="AS482" s="1021"/>
      <c r="AT482" s="1021"/>
      <c r="AU482" s="1021"/>
      <c r="AV482" s="1021"/>
      <c r="AW482" s="1021"/>
      <c r="AX482" s="1021"/>
      <c r="AY482" s="1021"/>
      <c r="AZ482" s="1021"/>
      <c r="BA482" s="1021"/>
      <c r="BB482" s="1021"/>
      <c r="BC482" s="1021"/>
      <c r="BD482" s="1021"/>
      <c r="BE482" s="1021"/>
      <c r="BF482" s="1021"/>
      <c r="BG482" s="1021"/>
      <c r="BH482" s="1021"/>
      <c r="BI482" s="1021"/>
      <c r="BJ482" s="1021"/>
      <c r="BK482" s="1021"/>
      <c r="BL482" s="1021"/>
      <c r="BM482" s="1021"/>
      <c r="BN482" s="1021"/>
      <c r="BO482" s="1021"/>
      <c r="BP482" s="1021"/>
      <c r="BQ482" s="1021"/>
      <c r="BR482" s="1021"/>
      <c r="BS482" s="1021"/>
      <c r="BT482" s="1021"/>
      <c r="BU482" s="1021"/>
      <c r="BV482" s="1021"/>
      <c r="BW482" s="1021"/>
      <c r="BX482" s="1021"/>
      <c r="BY482" s="1021"/>
      <c r="BZ482" s="1021"/>
      <c r="CA482" s="1021"/>
      <c r="CB482" s="1021"/>
      <c r="CC482" s="1021"/>
    </row>
    <row r="483" spans="8:81" x14ac:dyDescent="0.25">
      <c r="H483" s="1021"/>
      <c r="I483" s="1021"/>
      <c r="J483" s="1021"/>
      <c r="K483" s="1021"/>
      <c r="L483" s="1021"/>
      <c r="M483" s="1021"/>
      <c r="N483" s="1021"/>
      <c r="O483" s="1021"/>
      <c r="P483" s="1021"/>
      <c r="Q483" s="1021"/>
      <c r="R483" s="1021"/>
      <c r="S483" s="1021"/>
      <c r="T483" s="1021"/>
      <c r="U483" s="1021"/>
      <c r="V483" s="1021"/>
      <c r="W483" s="1021"/>
      <c r="X483" s="1021"/>
      <c r="Y483" s="1021"/>
      <c r="Z483" s="1021"/>
      <c r="AA483" s="1021"/>
      <c r="AB483" s="1021"/>
      <c r="AC483" s="1021"/>
      <c r="AD483" s="1021"/>
      <c r="AE483" s="1021"/>
      <c r="AF483" s="1021"/>
      <c r="AG483" s="1021"/>
      <c r="AH483" s="1021"/>
      <c r="AI483" s="1021"/>
      <c r="AJ483" s="1021"/>
      <c r="AK483" s="1021"/>
      <c r="AL483" s="1021"/>
      <c r="AM483" s="1021"/>
      <c r="AN483" s="1021"/>
      <c r="AO483" s="1021"/>
      <c r="AP483" s="1021"/>
      <c r="AQ483" s="1021"/>
      <c r="AR483" s="1021"/>
      <c r="AS483" s="1021"/>
      <c r="AT483" s="1021"/>
      <c r="AU483" s="1021"/>
      <c r="AV483" s="1021"/>
      <c r="AW483" s="1021"/>
      <c r="AX483" s="1021"/>
      <c r="AY483" s="1021"/>
      <c r="AZ483" s="1021"/>
      <c r="BA483" s="1021"/>
      <c r="BB483" s="1021"/>
      <c r="BC483" s="1021"/>
      <c r="BD483" s="1021"/>
      <c r="BE483" s="1021"/>
      <c r="BF483" s="1021"/>
      <c r="BG483" s="1021"/>
      <c r="BH483" s="1021"/>
      <c r="BI483" s="1021"/>
      <c r="BJ483" s="1021"/>
      <c r="BK483" s="1021"/>
      <c r="BL483" s="1021"/>
      <c r="BM483" s="1021"/>
      <c r="BN483" s="1021"/>
      <c r="BO483" s="1021"/>
      <c r="BP483" s="1021"/>
      <c r="BQ483" s="1021"/>
      <c r="BR483" s="1021"/>
      <c r="BS483" s="1021"/>
      <c r="BT483" s="1021"/>
      <c r="BU483" s="1021"/>
      <c r="BV483" s="1021"/>
      <c r="BW483" s="1021"/>
      <c r="BX483" s="1021"/>
      <c r="BY483" s="1021"/>
      <c r="BZ483" s="1021"/>
      <c r="CA483" s="1021"/>
      <c r="CB483" s="1021"/>
      <c r="CC483" s="1021"/>
    </row>
    <row r="484" spans="8:81" x14ac:dyDescent="0.25">
      <c r="H484" s="1021"/>
      <c r="I484" s="1021"/>
      <c r="J484" s="1021"/>
      <c r="K484" s="1021"/>
      <c r="L484" s="1021"/>
      <c r="M484" s="1021"/>
      <c r="N484" s="1021"/>
      <c r="O484" s="1021"/>
      <c r="P484" s="1021"/>
      <c r="Q484" s="1021"/>
      <c r="R484" s="1021"/>
      <c r="S484" s="1021"/>
      <c r="T484" s="1021"/>
      <c r="U484" s="1021"/>
      <c r="V484" s="1021"/>
      <c r="W484" s="1021"/>
      <c r="X484" s="1021"/>
      <c r="Y484" s="1021"/>
      <c r="Z484" s="1021"/>
      <c r="AA484" s="1021"/>
      <c r="AB484" s="1021"/>
      <c r="AC484" s="1021"/>
      <c r="AD484" s="1021"/>
      <c r="AE484" s="1021"/>
      <c r="AF484" s="1021"/>
      <c r="AG484" s="1021"/>
      <c r="AH484" s="1021"/>
      <c r="AI484" s="1021"/>
      <c r="AJ484" s="1021"/>
      <c r="AK484" s="1021"/>
      <c r="AL484" s="1021"/>
      <c r="AM484" s="1021"/>
      <c r="AN484" s="1021"/>
      <c r="AO484" s="1021"/>
      <c r="AP484" s="1021"/>
      <c r="AQ484" s="1021"/>
      <c r="AR484" s="1021"/>
      <c r="AS484" s="1021"/>
      <c r="AT484" s="1021"/>
      <c r="AU484" s="1021"/>
      <c r="AV484" s="1021"/>
      <c r="AW484" s="1021"/>
      <c r="AX484" s="1021"/>
      <c r="AY484" s="1021"/>
      <c r="AZ484" s="1021"/>
      <c r="BA484" s="1021"/>
      <c r="BB484" s="1021"/>
      <c r="BC484" s="1021"/>
      <c r="BD484" s="1021"/>
      <c r="BE484" s="1021"/>
      <c r="BF484" s="1021"/>
      <c r="BG484" s="1021"/>
      <c r="BH484" s="1021"/>
      <c r="BI484" s="1021"/>
      <c r="BJ484" s="1021"/>
      <c r="BK484" s="1021"/>
      <c r="BL484" s="1021"/>
      <c r="BM484" s="1021"/>
      <c r="BN484" s="1021"/>
      <c r="BO484" s="1021"/>
      <c r="BP484" s="1021"/>
      <c r="BQ484" s="1021"/>
      <c r="BR484" s="1021"/>
      <c r="BS484" s="1021"/>
      <c r="BT484" s="1021"/>
      <c r="BU484" s="1021"/>
      <c r="BV484" s="1021"/>
      <c r="BW484" s="1021"/>
      <c r="BX484" s="1021"/>
      <c r="BY484" s="1021"/>
      <c r="BZ484" s="1021"/>
      <c r="CA484" s="1021"/>
      <c r="CB484" s="1021"/>
      <c r="CC484" s="1021"/>
    </row>
    <row r="485" spans="8:81" x14ac:dyDescent="0.25">
      <c r="H485" s="1021"/>
      <c r="I485" s="1021"/>
      <c r="J485" s="1021"/>
      <c r="K485" s="1021"/>
      <c r="L485" s="1021"/>
      <c r="M485" s="1021"/>
      <c r="N485" s="1021"/>
      <c r="O485" s="1021"/>
      <c r="P485" s="1021"/>
      <c r="Q485" s="1021"/>
      <c r="R485" s="1021"/>
      <c r="S485" s="1021"/>
      <c r="T485" s="1021"/>
      <c r="U485" s="1021"/>
      <c r="V485" s="1021"/>
      <c r="W485" s="1021"/>
      <c r="X485" s="1021"/>
      <c r="Y485" s="1021"/>
      <c r="Z485" s="1021"/>
      <c r="AA485" s="1021"/>
      <c r="AB485" s="1021"/>
      <c r="AC485" s="1021"/>
      <c r="AD485" s="1021"/>
      <c r="AE485" s="1021"/>
      <c r="AF485" s="1021"/>
      <c r="AG485" s="1021"/>
      <c r="AH485" s="1021"/>
      <c r="AI485" s="1021"/>
      <c r="AJ485" s="1021"/>
      <c r="AK485" s="1021"/>
      <c r="AL485" s="1021"/>
      <c r="AM485" s="1021"/>
      <c r="AN485" s="1021"/>
      <c r="AO485" s="1021"/>
      <c r="AP485" s="1021"/>
      <c r="AQ485" s="1021"/>
      <c r="AR485" s="1021"/>
      <c r="AS485" s="1021"/>
      <c r="AT485" s="1021"/>
      <c r="AU485" s="1021"/>
      <c r="AV485" s="1021"/>
      <c r="AW485" s="1021"/>
      <c r="AX485" s="1021"/>
      <c r="AY485" s="1021"/>
      <c r="AZ485" s="1021"/>
      <c r="BA485" s="1021"/>
      <c r="BB485" s="1021"/>
      <c r="BC485" s="1021"/>
      <c r="BD485" s="1021"/>
      <c r="BE485" s="1021"/>
      <c r="BF485" s="1021"/>
      <c r="BG485" s="1021"/>
      <c r="BH485" s="1021"/>
      <c r="BI485" s="1021"/>
      <c r="BJ485" s="1021"/>
      <c r="BK485" s="1021"/>
      <c r="BL485" s="1021"/>
      <c r="BM485" s="1021"/>
      <c r="BN485" s="1021"/>
      <c r="BO485" s="1021"/>
      <c r="BP485" s="1021"/>
      <c r="BQ485" s="1021"/>
      <c r="BR485" s="1021"/>
      <c r="BS485" s="1021"/>
      <c r="BT485" s="1021"/>
      <c r="BU485" s="1021"/>
      <c r="BV485" s="1021"/>
      <c r="BW485" s="1021"/>
      <c r="BX485" s="1021"/>
      <c r="BY485" s="1021"/>
      <c r="BZ485" s="1021"/>
      <c r="CA485" s="1021"/>
      <c r="CB485" s="1021"/>
      <c r="CC485" s="1021"/>
    </row>
    <row r="486" spans="8:81" x14ac:dyDescent="0.25">
      <c r="H486" s="1021"/>
      <c r="I486" s="1021"/>
      <c r="J486" s="1021"/>
      <c r="K486" s="1021"/>
      <c r="L486" s="1021"/>
      <c r="M486" s="1021"/>
      <c r="N486" s="1021"/>
      <c r="O486" s="1021"/>
      <c r="P486" s="1021"/>
      <c r="Q486" s="1021"/>
      <c r="R486" s="1021"/>
      <c r="S486" s="1021"/>
      <c r="T486" s="1021"/>
      <c r="U486" s="1021"/>
      <c r="V486" s="1021"/>
      <c r="W486" s="1021"/>
      <c r="X486" s="1021"/>
      <c r="Y486" s="1021"/>
      <c r="Z486" s="1021"/>
      <c r="AA486" s="1021"/>
      <c r="AB486" s="1021"/>
      <c r="AC486" s="1021"/>
      <c r="AD486" s="1021"/>
      <c r="AE486" s="1021"/>
      <c r="AF486" s="1021"/>
      <c r="AG486" s="1021"/>
      <c r="AH486" s="1021"/>
      <c r="AI486" s="1021"/>
      <c r="AJ486" s="1021"/>
      <c r="AK486" s="1021"/>
      <c r="AL486" s="1021"/>
      <c r="AM486" s="1021"/>
      <c r="AN486" s="1021"/>
      <c r="AO486" s="1021"/>
      <c r="AP486" s="1021"/>
      <c r="AQ486" s="1021"/>
      <c r="AR486" s="1021"/>
      <c r="AS486" s="1021"/>
      <c r="AT486" s="1021"/>
      <c r="AU486" s="1021"/>
      <c r="AV486" s="1021"/>
      <c r="AW486" s="1021"/>
      <c r="AX486" s="1021"/>
      <c r="AY486" s="1021"/>
      <c r="AZ486" s="1021"/>
      <c r="BA486" s="1021"/>
      <c r="BB486" s="1021"/>
      <c r="BC486" s="1021"/>
      <c r="BD486" s="1021"/>
      <c r="BE486" s="1021"/>
      <c r="BF486" s="1021"/>
      <c r="BG486" s="1021"/>
      <c r="BH486" s="1021"/>
      <c r="BI486" s="1021"/>
      <c r="BJ486" s="1021"/>
      <c r="BK486" s="1021"/>
      <c r="BL486" s="1021"/>
      <c r="BM486" s="1021"/>
      <c r="BN486" s="1021"/>
      <c r="BO486" s="1021"/>
      <c r="BP486" s="1021"/>
      <c r="BQ486" s="1021"/>
      <c r="BR486" s="1021"/>
      <c r="BS486" s="1021"/>
      <c r="BT486" s="1021"/>
      <c r="BU486" s="1021"/>
      <c r="BV486" s="1021"/>
      <c r="BW486" s="1021"/>
      <c r="BX486" s="1021"/>
      <c r="BY486" s="1021"/>
      <c r="BZ486" s="1021"/>
      <c r="CA486" s="1021"/>
      <c r="CB486" s="1021"/>
      <c r="CC486" s="1021"/>
    </row>
    <row r="487" spans="8:81" x14ac:dyDescent="0.25">
      <c r="H487" s="1021"/>
      <c r="I487" s="1021"/>
      <c r="J487" s="1021"/>
      <c r="K487" s="1021"/>
      <c r="L487" s="1021"/>
      <c r="M487" s="1021"/>
      <c r="N487" s="1021"/>
      <c r="O487" s="1021"/>
      <c r="P487" s="1021"/>
      <c r="Q487" s="1021"/>
      <c r="R487" s="1021"/>
      <c r="S487" s="1021"/>
      <c r="T487" s="1021"/>
      <c r="U487" s="1021"/>
      <c r="V487" s="1021"/>
      <c r="W487" s="1021"/>
      <c r="X487" s="1021"/>
      <c r="Y487" s="1021"/>
      <c r="Z487" s="1021"/>
      <c r="AA487" s="1021"/>
      <c r="AB487" s="1021"/>
      <c r="AC487" s="1021"/>
      <c r="AD487" s="1021"/>
      <c r="AE487" s="1021"/>
      <c r="AF487" s="1021"/>
      <c r="AG487" s="1021"/>
      <c r="AH487" s="1021"/>
      <c r="AI487" s="1021"/>
      <c r="AJ487" s="1021"/>
      <c r="AK487" s="1021"/>
      <c r="AL487" s="1021"/>
      <c r="AM487" s="1021"/>
      <c r="AN487" s="1021"/>
      <c r="AO487" s="1021"/>
      <c r="AP487" s="1021"/>
      <c r="AQ487" s="1021"/>
      <c r="AR487" s="1021"/>
      <c r="AS487" s="1021"/>
      <c r="AT487" s="1021"/>
      <c r="AU487" s="1021"/>
      <c r="AV487" s="1021"/>
      <c r="AW487" s="1021"/>
      <c r="AX487" s="1021"/>
      <c r="AY487" s="1021"/>
      <c r="AZ487" s="1021"/>
      <c r="BA487" s="1021"/>
      <c r="BB487" s="1021"/>
      <c r="BC487" s="1021"/>
      <c r="BD487" s="1021"/>
      <c r="BE487" s="1021"/>
      <c r="BF487" s="1021"/>
      <c r="BG487" s="1021"/>
      <c r="BH487" s="1021"/>
      <c r="BI487" s="1021"/>
      <c r="BJ487" s="1021"/>
      <c r="BK487" s="1021"/>
      <c r="BL487" s="1021"/>
      <c r="BM487" s="1021"/>
      <c r="BN487" s="1021"/>
      <c r="BO487" s="1021"/>
      <c r="BP487" s="1021"/>
      <c r="BQ487" s="1021"/>
      <c r="BR487" s="1021"/>
      <c r="BS487" s="1021"/>
      <c r="BT487" s="1021"/>
      <c r="BU487" s="1021"/>
      <c r="BV487" s="1021"/>
      <c r="BW487" s="1021"/>
      <c r="BX487" s="1021"/>
      <c r="BY487" s="1021"/>
      <c r="BZ487" s="1021"/>
      <c r="CA487" s="1021"/>
      <c r="CB487" s="1021"/>
      <c r="CC487" s="1021"/>
    </row>
    <row r="488" spans="8:81" x14ac:dyDescent="0.25">
      <c r="H488" s="1021"/>
      <c r="I488" s="1021"/>
      <c r="J488" s="1021"/>
      <c r="K488" s="1021"/>
      <c r="L488" s="1021"/>
      <c r="M488" s="1021"/>
      <c r="N488" s="1021"/>
      <c r="O488" s="1021"/>
      <c r="P488" s="1021"/>
      <c r="Q488" s="1021"/>
      <c r="R488" s="1021"/>
      <c r="S488" s="1021"/>
      <c r="T488" s="1021"/>
      <c r="U488" s="1021"/>
      <c r="V488" s="1021"/>
      <c r="W488" s="1021"/>
      <c r="X488" s="1021"/>
      <c r="Y488" s="1021"/>
      <c r="Z488" s="1021"/>
      <c r="AA488" s="1021"/>
      <c r="AB488" s="1021"/>
      <c r="AC488" s="1021"/>
      <c r="AD488" s="1021"/>
      <c r="AE488" s="1021"/>
      <c r="AF488" s="1021"/>
      <c r="AG488" s="1021"/>
      <c r="AH488" s="1021"/>
      <c r="AI488" s="1021"/>
      <c r="AJ488" s="1021"/>
      <c r="AK488" s="1021"/>
      <c r="AL488" s="1021"/>
      <c r="AM488" s="1021"/>
      <c r="AN488" s="1021"/>
      <c r="AO488" s="1021"/>
      <c r="AP488" s="1021"/>
      <c r="AQ488" s="1021"/>
      <c r="AR488" s="1021"/>
      <c r="AS488" s="1021"/>
      <c r="AT488" s="1021"/>
      <c r="AU488" s="1021"/>
      <c r="AV488" s="1021"/>
      <c r="AW488" s="1021"/>
      <c r="AX488" s="1021"/>
      <c r="AY488" s="1021"/>
      <c r="AZ488" s="1021"/>
      <c r="BA488" s="1021"/>
      <c r="BB488" s="1021"/>
      <c r="BC488" s="1021"/>
      <c r="BD488" s="1021"/>
      <c r="BE488" s="1021"/>
      <c r="BF488" s="1021"/>
      <c r="BG488" s="1021"/>
      <c r="BH488" s="1021"/>
      <c r="BI488" s="1021"/>
      <c r="BJ488" s="1021"/>
      <c r="BK488" s="1021"/>
      <c r="BL488" s="1021"/>
      <c r="BM488" s="1021"/>
      <c r="BN488" s="1021"/>
      <c r="BO488" s="1021"/>
      <c r="BP488" s="1021"/>
      <c r="BQ488" s="1021"/>
      <c r="BR488" s="1021"/>
      <c r="BS488" s="1021"/>
      <c r="BT488" s="1021"/>
      <c r="BU488" s="1021"/>
      <c r="BV488" s="1021"/>
      <c r="BW488" s="1021"/>
      <c r="BX488" s="1021"/>
      <c r="BY488" s="1021"/>
      <c r="BZ488" s="1021"/>
      <c r="CA488" s="1021"/>
      <c r="CB488" s="1021"/>
      <c r="CC488" s="1021"/>
    </row>
    <row r="489" spans="8:81" x14ac:dyDescent="0.25">
      <c r="H489" s="1021"/>
      <c r="I489" s="1021"/>
      <c r="J489" s="1021"/>
      <c r="K489" s="1021"/>
      <c r="L489" s="1021"/>
      <c r="M489" s="1021"/>
      <c r="N489" s="1021"/>
      <c r="O489" s="1021"/>
      <c r="P489" s="1021"/>
      <c r="Q489" s="1021"/>
      <c r="R489" s="1021"/>
      <c r="S489" s="1021"/>
      <c r="T489" s="1021"/>
      <c r="U489" s="1021"/>
      <c r="V489" s="1021"/>
      <c r="W489" s="1021"/>
      <c r="X489" s="1021"/>
      <c r="Y489" s="1021"/>
      <c r="Z489" s="1021"/>
      <c r="AA489" s="1021"/>
      <c r="AB489" s="1021"/>
      <c r="AC489" s="1021"/>
      <c r="AD489" s="1021"/>
      <c r="AE489" s="1021"/>
      <c r="AF489" s="1021"/>
      <c r="AG489" s="1021"/>
      <c r="AH489" s="1021"/>
      <c r="AI489" s="1021"/>
      <c r="AJ489" s="1021"/>
      <c r="AK489" s="1021"/>
      <c r="AL489" s="1021"/>
      <c r="AM489" s="1021"/>
      <c r="AN489" s="1021"/>
      <c r="AO489" s="1021"/>
      <c r="AP489" s="1021"/>
      <c r="AQ489" s="1021"/>
      <c r="AR489" s="1021"/>
      <c r="AS489" s="1021"/>
      <c r="AT489" s="1021"/>
      <c r="AU489" s="1021"/>
      <c r="AV489" s="1021"/>
      <c r="AW489" s="1021"/>
      <c r="AX489" s="1021"/>
      <c r="AY489" s="1021"/>
      <c r="AZ489" s="1021"/>
      <c r="BA489" s="1021"/>
      <c r="BB489" s="1021"/>
      <c r="BC489" s="1021"/>
      <c r="BD489" s="1021"/>
      <c r="BE489" s="1021"/>
      <c r="BF489" s="1021"/>
      <c r="BG489" s="1021"/>
      <c r="BH489" s="1021"/>
      <c r="BI489" s="1021"/>
      <c r="BJ489" s="1021"/>
      <c r="BK489" s="1021"/>
      <c r="BL489" s="1021"/>
      <c r="BM489" s="1021"/>
      <c r="BN489" s="1021"/>
      <c r="BO489" s="1021"/>
      <c r="BP489" s="1021"/>
      <c r="BQ489" s="1021"/>
      <c r="BR489" s="1021"/>
      <c r="BS489" s="1021"/>
      <c r="BT489" s="1021"/>
      <c r="BU489" s="1021"/>
      <c r="BV489" s="1021"/>
      <c r="BW489" s="1021"/>
      <c r="BX489" s="1021"/>
      <c r="BY489" s="1021"/>
      <c r="BZ489" s="1021"/>
      <c r="CA489" s="1021"/>
      <c r="CB489" s="1021"/>
      <c r="CC489" s="1021"/>
    </row>
    <row r="490" spans="8:81" x14ac:dyDescent="0.25">
      <c r="H490" s="1021"/>
      <c r="I490" s="1021"/>
      <c r="J490" s="1021"/>
      <c r="K490" s="1021"/>
      <c r="L490" s="1021"/>
      <c r="M490" s="1021"/>
      <c r="N490" s="1021"/>
      <c r="O490" s="1021"/>
      <c r="P490" s="1021"/>
      <c r="Q490" s="1021"/>
      <c r="R490" s="1021"/>
      <c r="S490" s="1021"/>
      <c r="T490" s="1021"/>
      <c r="U490" s="1021"/>
      <c r="V490" s="1021"/>
      <c r="W490" s="1021"/>
      <c r="X490" s="1021"/>
      <c r="Y490" s="1021"/>
      <c r="Z490" s="1021"/>
      <c r="AA490" s="1021"/>
      <c r="AB490" s="1021"/>
      <c r="AC490" s="1021"/>
      <c r="AD490" s="1021"/>
      <c r="AE490" s="1021"/>
      <c r="AF490" s="1021"/>
      <c r="AG490" s="1021"/>
      <c r="AH490" s="1021"/>
      <c r="AI490" s="1021"/>
      <c r="AJ490" s="1021"/>
      <c r="AK490" s="1021"/>
      <c r="AL490" s="1021"/>
      <c r="AM490" s="1021"/>
      <c r="AN490" s="1021"/>
      <c r="AO490" s="1021"/>
      <c r="AP490" s="1021"/>
      <c r="AQ490" s="1021"/>
      <c r="AR490" s="1021"/>
      <c r="AS490" s="1021"/>
      <c r="AT490" s="1021"/>
      <c r="AU490" s="1021"/>
      <c r="AV490" s="1021"/>
      <c r="AW490" s="1021"/>
      <c r="AX490" s="1021"/>
      <c r="AY490" s="1021"/>
      <c r="AZ490" s="1021"/>
      <c r="BA490" s="1021"/>
      <c r="BB490" s="1021"/>
      <c r="BC490" s="1021"/>
      <c r="BD490" s="1021"/>
      <c r="BE490" s="1021"/>
      <c r="BF490" s="1021"/>
      <c r="BG490" s="1021"/>
      <c r="BH490" s="1021"/>
      <c r="BI490" s="1021"/>
      <c r="BJ490" s="1021"/>
      <c r="BK490" s="1021"/>
      <c r="BL490" s="1021"/>
      <c r="BM490" s="1021"/>
      <c r="BN490" s="1021"/>
      <c r="BO490" s="1021"/>
      <c r="BP490" s="1021"/>
      <c r="BQ490" s="1021"/>
      <c r="BR490" s="1021"/>
      <c r="BS490" s="1021"/>
      <c r="BT490" s="1021"/>
      <c r="BU490" s="1021"/>
      <c r="BV490" s="1021"/>
      <c r="BW490" s="1021"/>
      <c r="BX490" s="1021"/>
      <c r="BY490" s="1021"/>
      <c r="BZ490" s="1021"/>
      <c r="CA490" s="1021"/>
      <c r="CB490" s="1021"/>
      <c r="CC490" s="1021"/>
    </row>
    <row r="491" spans="8:81" x14ac:dyDescent="0.25">
      <c r="H491" s="1021"/>
      <c r="I491" s="1021"/>
      <c r="J491" s="1021"/>
      <c r="K491" s="1021"/>
      <c r="L491" s="1021"/>
      <c r="M491" s="1021"/>
      <c r="N491" s="1021"/>
      <c r="O491" s="1021"/>
      <c r="P491" s="1021"/>
      <c r="Q491" s="1021"/>
      <c r="R491" s="1021"/>
      <c r="S491" s="1021"/>
      <c r="T491" s="1021"/>
      <c r="U491" s="1021"/>
      <c r="V491" s="1021"/>
      <c r="W491" s="1021"/>
      <c r="X491" s="1021"/>
      <c r="Y491" s="1021"/>
      <c r="Z491" s="1021"/>
      <c r="AA491" s="1021"/>
      <c r="AB491" s="1021"/>
      <c r="AC491" s="1021"/>
      <c r="AD491" s="1021"/>
      <c r="AE491" s="1021"/>
      <c r="AF491" s="1021"/>
      <c r="AG491" s="1021"/>
      <c r="AH491" s="1021"/>
      <c r="AI491" s="1021"/>
      <c r="AJ491" s="1021"/>
      <c r="AK491" s="1021"/>
      <c r="AL491" s="1021"/>
      <c r="AM491" s="1021"/>
      <c r="AN491" s="1021"/>
      <c r="AO491" s="1021"/>
      <c r="AP491" s="1021"/>
      <c r="AQ491" s="1021"/>
      <c r="AR491" s="1021"/>
      <c r="AS491" s="1021"/>
      <c r="AT491" s="1021"/>
      <c r="AU491" s="1021"/>
      <c r="AV491" s="1021"/>
      <c r="AW491" s="1021"/>
      <c r="AX491" s="1021"/>
      <c r="AY491" s="1021"/>
      <c r="AZ491" s="1021"/>
      <c r="BA491" s="1021"/>
      <c r="BB491" s="1021"/>
      <c r="BC491" s="1021"/>
      <c r="BD491" s="1021"/>
      <c r="BE491" s="1021"/>
      <c r="BF491" s="1021"/>
      <c r="BG491" s="1021"/>
      <c r="BH491" s="1021"/>
      <c r="BI491" s="1021"/>
      <c r="BJ491" s="1021"/>
      <c r="BK491" s="1021"/>
      <c r="BL491" s="1021"/>
      <c r="BM491" s="1021"/>
      <c r="BN491" s="1021"/>
      <c r="BO491" s="1021"/>
      <c r="BP491" s="1021"/>
      <c r="BQ491" s="1021"/>
      <c r="BR491" s="1021"/>
      <c r="BS491" s="1021"/>
      <c r="BT491" s="1021"/>
      <c r="BU491" s="1021"/>
      <c r="BV491" s="1021"/>
      <c r="BW491" s="1021"/>
      <c r="BX491" s="1021"/>
      <c r="BY491" s="1021"/>
      <c r="BZ491" s="1021"/>
      <c r="CA491" s="1021"/>
      <c r="CB491" s="1021"/>
      <c r="CC491" s="1021"/>
    </row>
    <row r="492" spans="8:81" x14ac:dyDescent="0.25">
      <c r="H492" s="1021"/>
      <c r="I492" s="1021"/>
      <c r="J492" s="1021"/>
      <c r="K492" s="1021"/>
      <c r="L492" s="1021"/>
      <c r="M492" s="1021"/>
      <c r="N492" s="1021"/>
      <c r="O492" s="1021"/>
      <c r="P492" s="1021"/>
      <c r="Q492" s="1021"/>
      <c r="R492" s="1021"/>
      <c r="S492" s="1021"/>
      <c r="T492" s="1021"/>
      <c r="U492" s="1021"/>
      <c r="V492" s="1021"/>
      <c r="W492" s="1021"/>
      <c r="X492" s="1021"/>
      <c r="Y492" s="1021"/>
      <c r="Z492" s="1021"/>
      <c r="AA492" s="1021"/>
      <c r="AB492" s="1021"/>
      <c r="AC492" s="1021"/>
      <c r="AD492" s="1021"/>
      <c r="AE492" s="1021"/>
      <c r="AF492" s="1021"/>
      <c r="AG492" s="1021"/>
      <c r="AH492" s="1021"/>
      <c r="AI492" s="1021"/>
      <c r="AJ492" s="1021"/>
      <c r="AK492" s="1021"/>
      <c r="AL492" s="1021"/>
      <c r="AM492" s="1021"/>
      <c r="AN492" s="1021"/>
      <c r="AO492" s="1021"/>
      <c r="AP492" s="1021"/>
      <c r="AQ492" s="1021"/>
      <c r="AR492" s="1021"/>
      <c r="AS492" s="1021"/>
      <c r="AT492" s="1021"/>
      <c r="AU492" s="1021"/>
      <c r="AV492" s="1021"/>
      <c r="AW492" s="1021"/>
      <c r="AX492" s="1021"/>
      <c r="AY492" s="1021"/>
      <c r="AZ492" s="1021"/>
      <c r="BA492" s="1021"/>
      <c r="BB492" s="1021"/>
      <c r="BC492" s="1021"/>
      <c r="BD492" s="1021"/>
      <c r="BE492" s="1021"/>
      <c r="BF492" s="1021"/>
      <c r="BG492" s="1021"/>
      <c r="BH492" s="1021"/>
      <c r="BI492" s="1021"/>
      <c r="BJ492" s="1021"/>
      <c r="BK492" s="1021"/>
      <c r="BL492" s="1021"/>
      <c r="BM492" s="1021"/>
      <c r="BN492" s="1021"/>
      <c r="BO492" s="1021"/>
      <c r="BP492" s="1021"/>
      <c r="BQ492" s="1021"/>
      <c r="BR492" s="1021"/>
      <c r="BS492" s="1021"/>
      <c r="BT492" s="1021"/>
      <c r="BU492" s="1021"/>
      <c r="BV492" s="1021"/>
      <c r="BW492" s="1021"/>
      <c r="BX492" s="1021"/>
      <c r="BY492" s="1021"/>
      <c r="BZ492" s="1021"/>
      <c r="CA492" s="1021"/>
      <c r="CB492" s="1021"/>
      <c r="CC492" s="1021"/>
    </row>
    <row r="493" spans="8:81" x14ac:dyDescent="0.25">
      <c r="H493" s="1021"/>
      <c r="I493" s="1021"/>
      <c r="J493" s="1021"/>
      <c r="K493" s="1021"/>
      <c r="L493" s="1021"/>
      <c r="M493" s="1021"/>
      <c r="N493" s="1021"/>
      <c r="O493" s="1021"/>
      <c r="P493" s="1021"/>
      <c r="Q493" s="1021"/>
      <c r="R493" s="1021"/>
      <c r="S493" s="1021"/>
      <c r="T493" s="1021"/>
      <c r="U493" s="1021"/>
      <c r="V493" s="1021"/>
      <c r="W493" s="1021"/>
      <c r="X493" s="1021"/>
      <c r="Y493" s="1021"/>
      <c r="Z493" s="1021"/>
      <c r="AA493" s="1021"/>
      <c r="AB493" s="1021"/>
      <c r="AC493" s="1021"/>
      <c r="AD493" s="1021"/>
      <c r="AE493" s="1021"/>
      <c r="AF493" s="1021"/>
      <c r="AG493" s="1021"/>
      <c r="AH493" s="1021"/>
      <c r="AI493" s="1021"/>
      <c r="AJ493" s="1021"/>
      <c r="AK493" s="1021"/>
      <c r="AL493" s="1021"/>
      <c r="AM493" s="1021"/>
      <c r="AN493" s="1021"/>
      <c r="AO493" s="1021"/>
      <c r="AP493" s="1021"/>
      <c r="AQ493" s="1021"/>
      <c r="AR493" s="1021"/>
      <c r="AS493" s="1021"/>
      <c r="AT493" s="1021"/>
      <c r="AU493" s="1021"/>
      <c r="AV493" s="1021"/>
      <c r="AW493" s="1021"/>
      <c r="AX493" s="1021"/>
      <c r="AY493" s="1021"/>
      <c r="AZ493" s="1021"/>
      <c r="BA493" s="1021"/>
      <c r="BB493" s="1021"/>
      <c r="BC493" s="1021"/>
      <c r="BD493" s="1021"/>
      <c r="BE493" s="1021"/>
      <c r="BF493" s="1021"/>
      <c r="BG493" s="1021"/>
      <c r="BH493" s="1021"/>
      <c r="BI493" s="1021"/>
      <c r="BJ493" s="1021"/>
      <c r="BK493" s="1021"/>
      <c r="BL493" s="1021"/>
      <c r="BM493" s="1021"/>
      <c r="BN493" s="1021"/>
      <c r="BO493" s="1021"/>
      <c r="BP493" s="1021"/>
      <c r="BQ493" s="1021"/>
      <c r="BR493" s="1021"/>
      <c r="BS493" s="1021"/>
      <c r="BT493" s="1021"/>
      <c r="BU493" s="1021"/>
      <c r="BV493" s="1021"/>
      <c r="BW493" s="1021"/>
      <c r="BX493" s="1021"/>
      <c r="BY493" s="1021"/>
      <c r="BZ493" s="1021"/>
      <c r="CA493" s="1021"/>
      <c r="CB493" s="1021"/>
      <c r="CC493" s="1021"/>
    </row>
    <row r="494" spans="8:81" x14ac:dyDescent="0.25">
      <c r="H494" s="1021"/>
      <c r="I494" s="1021"/>
      <c r="J494" s="1021"/>
      <c r="K494" s="1021"/>
      <c r="L494" s="1021"/>
      <c r="M494" s="1021"/>
      <c r="N494" s="1021"/>
      <c r="O494" s="1021"/>
      <c r="P494" s="1021"/>
      <c r="Q494" s="1021"/>
      <c r="R494" s="1021"/>
      <c r="S494" s="1021"/>
      <c r="T494" s="1021"/>
      <c r="U494" s="1021"/>
      <c r="V494" s="1021"/>
      <c r="W494" s="1021"/>
      <c r="X494" s="1021"/>
      <c r="Y494" s="1021"/>
      <c r="Z494" s="1021"/>
      <c r="AA494" s="1021"/>
      <c r="AB494" s="1021"/>
      <c r="AC494" s="1021"/>
      <c r="AD494" s="1021"/>
      <c r="AE494" s="1021"/>
      <c r="AF494" s="1021"/>
      <c r="AG494" s="1021"/>
      <c r="AH494" s="1021"/>
      <c r="AI494" s="1021"/>
      <c r="AJ494" s="1021"/>
      <c r="AK494" s="1021"/>
      <c r="AL494" s="1021"/>
      <c r="AM494" s="1021"/>
      <c r="AN494" s="1021"/>
      <c r="AO494" s="1021"/>
      <c r="AP494" s="1021"/>
      <c r="AQ494" s="1021"/>
      <c r="AR494" s="1021"/>
      <c r="AS494" s="1021"/>
      <c r="AT494" s="1021"/>
      <c r="AU494" s="1021"/>
      <c r="AV494" s="1021"/>
      <c r="AW494" s="1021"/>
      <c r="AX494" s="1021"/>
      <c r="AY494" s="1021"/>
      <c r="AZ494" s="1021"/>
      <c r="BA494" s="1021"/>
      <c r="BB494" s="1021"/>
      <c r="BC494" s="1021"/>
      <c r="BD494" s="1021"/>
      <c r="BE494" s="1021"/>
      <c r="BF494" s="1021"/>
      <c r="BG494" s="1021"/>
      <c r="BH494" s="1021"/>
      <c r="BI494" s="1021"/>
      <c r="BJ494" s="1021"/>
      <c r="BK494" s="1021"/>
      <c r="BL494" s="1021"/>
      <c r="BM494" s="1021"/>
      <c r="BN494" s="1021"/>
      <c r="BO494" s="1021"/>
      <c r="BP494" s="1021"/>
      <c r="BQ494" s="1021"/>
      <c r="BR494" s="1021"/>
      <c r="BS494" s="1021"/>
      <c r="BT494" s="1021"/>
      <c r="BU494" s="1021"/>
      <c r="BV494" s="1021"/>
      <c r="BW494" s="1021"/>
      <c r="BX494" s="1021"/>
      <c r="BY494" s="1021"/>
      <c r="BZ494" s="1021"/>
      <c r="CA494" s="1021"/>
      <c r="CB494" s="1021"/>
      <c r="CC494" s="1021"/>
    </row>
    <row r="495" spans="8:81" x14ac:dyDescent="0.25">
      <c r="H495" s="1021"/>
      <c r="I495" s="1021"/>
      <c r="J495" s="1021"/>
      <c r="K495" s="1021"/>
      <c r="L495" s="1021"/>
      <c r="M495" s="1021"/>
      <c r="N495" s="1021"/>
      <c r="O495" s="1021"/>
      <c r="P495" s="1021"/>
      <c r="Q495" s="1021"/>
      <c r="R495" s="1021"/>
      <c r="S495" s="1021"/>
      <c r="T495" s="1021"/>
      <c r="U495" s="1021"/>
      <c r="V495" s="1021"/>
      <c r="W495" s="1021"/>
      <c r="X495" s="1021"/>
      <c r="Y495" s="1021"/>
      <c r="Z495" s="1021"/>
      <c r="AA495" s="1021"/>
      <c r="AB495" s="1021"/>
      <c r="AC495" s="1021"/>
      <c r="AD495" s="1021"/>
      <c r="AE495" s="1021"/>
      <c r="AF495" s="1021"/>
      <c r="AG495" s="1021"/>
      <c r="AH495" s="1021"/>
      <c r="AI495" s="1021"/>
      <c r="AJ495" s="1021"/>
      <c r="AK495" s="1021"/>
      <c r="AL495" s="1021"/>
      <c r="AM495" s="1021"/>
      <c r="AN495" s="1021"/>
      <c r="AO495" s="1021"/>
      <c r="AP495" s="1021"/>
      <c r="AQ495" s="1021"/>
      <c r="AR495" s="1021"/>
      <c r="AS495" s="1021"/>
      <c r="AT495" s="1021"/>
      <c r="AU495" s="1021"/>
      <c r="AV495" s="1021"/>
      <c r="AW495" s="1021"/>
      <c r="AX495" s="1021"/>
      <c r="AY495" s="1021"/>
      <c r="AZ495" s="1021"/>
      <c r="BA495" s="1021"/>
      <c r="BB495" s="1021"/>
      <c r="BC495" s="1021"/>
      <c r="BD495" s="1021"/>
      <c r="BE495" s="1021"/>
      <c r="BF495" s="1021"/>
      <c r="BG495" s="1021"/>
      <c r="BH495" s="1021"/>
      <c r="BI495" s="1021"/>
      <c r="BJ495" s="1021"/>
      <c r="BK495" s="1021"/>
      <c r="BL495" s="1021"/>
      <c r="BM495" s="1021"/>
      <c r="BN495" s="1021"/>
      <c r="BO495" s="1021"/>
      <c r="BP495" s="1021"/>
      <c r="BQ495" s="1021"/>
      <c r="BR495" s="1021"/>
      <c r="BS495" s="1021"/>
      <c r="BT495" s="1021"/>
      <c r="BU495" s="1021"/>
      <c r="BV495" s="1021"/>
      <c r="BW495" s="1021"/>
      <c r="BX495" s="1021"/>
      <c r="BY495" s="1021"/>
      <c r="BZ495" s="1021"/>
      <c r="CA495" s="1021"/>
      <c r="CB495" s="1021"/>
      <c r="CC495" s="1021"/>
    </row>
    <row r="496" spans="8:81" x14ac:dyDescent="0.25">
      <c r="H496" s="1021"/>
      <c r="I496" s="1021"/>
      <c r="J496" s="1021"/>
      <c r="K496" s="1021"/>
      <c r="L496" s="1021"/>
      <c r="M496" s="1021"/>
      <c r="N496" s="1021"/>
      <c r="O496" s="1021"/>
      <c r="P496" s="1021"/>
      <c r="Q496" s="1021"/>
      <c r="R496" s="1021"/>
      <c r="S496" s="1021"/>
      <c r="T496" s="1021"/>
      <c r="U496" s="1021"/>
      <c r="V496" s="1021"/>
      <c r="W496" s="1021"/>
      <c r="X496" s="1021"/>
      <c r="Y496" s="1021"/>
      <c r="Z496" s="1021"/>
      <c r="AA496" s="1021"/>
      <c r="AB496" s="1021"/>
      <c r="AC496" s="1021"/>
      <c r="AD496" s="1021"/>
      <c r="AE496" s="1021"/>
      <c r="AF496" s="1021"/>
      <c r="AG496" s="1021"/>
      <c r="AH496" s="1021"/>
      <c r="AI496" s="1021"/>
      <c r="AJ496" s="1021"/>
      <c r="AK496" s="1021"/>
      <c r="AL496" s="1021"/>
      <c r="AM496" s="1021"/>
      <c r="AN496" s="1021"/>
      <c r="AO496" s="1021"/>
      <c r="AP496" s="1021"/>
      <c r="AQ496" s="1021"/>
      <c r="AR496" s="1021"/>
      <c r="AS496" s="1021"/>
      <c r="AT496" s="1021"/>
      <c r="AU496" s="1021"/>
      <c r="AV496" s="1021"/>
      <c r="AW496" s="1021"/>
      <c r="AX496" s="1021"/>
      <c r="AY496" s="1021"/>
      <c r="AZ496" s="1021"/>
      <c r="BA496" s="1021"/>
      <c r="BB496" s="1021"/>
      <c r="BC496" s="1021"/>
      <c r="BD496" s="1021"/>
      <c r="BE496" s="1021"/>
      <c r="BF496" s="1021"/>
      <c r="BG496" s="1021"/>
      <c r="BH496" s="1021"/>
      <c r="BI496" s="1021"/>
      <c r="BJ496" s="1021"/>
      <c r="BK496" s="1021"/>
      <c r="BL496" s="1021"/>
      <c r="BM496" s="1021"/>
      <c r="BN496" s="1021"/>
      <c r="BO496" s="1021"/>
      <c r="BP496" s="1021"/>
      <c r="BQ496" s="1021"/>
      <c r="BR496" s="1021"/>
      <c r="BS496" s="1021"/>
      <c r="BT496" s="1021"/>
      <c r="BU496" s="1021"/>
      <c r="BV496" s="1021"/>
      <c r="BW496" s="1021"/>
      <c r="BX496" s="1021"/>
      <c r="BY496" s="1021"/>
      <c r="BZ496" s="1021"/>
      <c r="CA496" s="1021"/>
      <c r="CB496" s="1021"/>
      <c r="CC496" s="1021"/>
    </row>
    <row r="497" spans="8:81" x14ac:dyDescent="0.25">
      <c r="H497" s="1021"/>
      <c r="I497" s="1021"/>
      <c r="J497" s="1021"/>
      <c r="K497" s="1021"/>
      <c r="L497" s="1021"/>
      <c r="M497" s="1021"/>
      <c r="N497" s="1021"/>
      <c r="O497" s="1021"/>
      <c r="P497" s="1021"/>
      <c r="Q497" s="1021"/>
      <c r="R497" s="1021"/>
      <c r="S497" s="1021"/>
      <c r="T497" s="1021"/>
      <c r="U497" s="1021"/>
      <c r="V497" s="1021"/>
      <c r="W497" s="1021"/>
      <c r="X497" s="1021"/>
      <c r="Y497" s="1021"/>
      <c r="Z497" s="1021"/>
      <c r="AA497" s="1021"/>
      <c r="AB497" s="1021"/>
      <c r="AC497" s="1021"/>
      <c r="AD497" s="1021"/>
      <c r="AE497" s="1021"/>
      <c r="AF497" s="1021"/>
      <c r="AG497" s="1021"/>
      <c r="AH497" s="1021"/>
      <c r="AI497" s="1021"/>
      <c r="AJ497" s="1021"/>
      <c r="AK497" s="1021"/>
      <c r="AL497" s="1021"/>
      <c r="AM497" s="1021"/>
      <c r="AN497" s="1021"/>
      <c r="AO497" s="1021"/>
      <c r="AP497" s="1021"/>
      <c r="AQ497" s="1021"/>
      <c r="AR497" s="1021"/>
      <c r="AS497" s="1021"/>
      <c r="AT497" s="1021"/>
      <c r="AU497" s="1021"/>
      <c r="AV497" s="1021"/>
      <c r="AW497" s="1021"/>
      <c r="AX497" s="1021"/>
      <c r="AY497" s="1021"/>
      <c r="AZ497" s="1021"/>
      <c r="BA497" s="1021"/>
      <c r="BB497" s="1021"/>
      <c r="BC497" s="1021"/>
      <c r="BD497" s="1021"/>
      <c r="BE497" s="1021"/>
      <c r="BF497" s="1021"/>
      <c r="BG497" s="1021"/>
      <c r="BH497" s="1021"/>
      <c r="BI497" s="1021"/>
      <c r="BJ497" s="1021"/>
      <c r="BK497" s="1021"/>
      <c r="BL497" s="1021"/>
      <c r="BM497" s="1021"/>
      <c r="BN497" s="1021"/>
      <c r="BO497" s="1021"/>
      <c r="BP497" s="1021"/>
      <c r="BQ497" s="1021"/>
      <c r="BR497" s="1021"/>
      <c r="BS497" s="1021"/>
      <c r="BT497" s="1021"/>
      <c r="BU497" s="1021"/>
      <c r="BV497" s="1021"/>
      <c r="BW497" s="1021"/>
      <c r="BX497" s="1021"/>
      <c r="BY497" s="1021"/>
      <c r="BZ497" s="1021"/>
      <c r="CA497" s="1021"/>
      <c r="CB497" s="1021"/>
      <c r="CC497" s="1021"/>
    </row>
    <row r="498" spans="8:81" x14ac:dyDescent="0.25">
      <c r="H498" s="1021"/>
      <c r="I498" s="1021"/>
      <c r="J498" s="1021"/>
      <c r="K498" s="1021"/>
      <c r="L498" s="1021"/>
      <c r="M498" s="1021"/>
      <c r="N498" s="1021"/>
      <c r="O498" s="1021"/>
      <c r="P498" s="1021"/>
      <c r="Q498" s="1021"/>
      <c r="R498" s="1021"/>
      <c r="S498" s="1021"/>
      <c r="T498" s="1021"/>
      <c r="U498" s="1021"/>
      <c r="V498" s="1021"/>
      <c r="W498" s="1021"/>
      <c r="X498" s="1021"/>
      <c r="Y498" s="1021"/>
      <c r="Z498" s="1021"/>
      <c r="AA498" s="1021"/>
      <c r="AB498" s="1021"/>
      <c r="AC498" s="1021"/>
      <c r="AD498" s="1021"/>
      <c r="AE498" s="1021"/>
      <c r="AF498" s="1021"/>
      <c r="AG498" s="1021"/>
      <c r="AH498" s="1021"/>
      <c r="AI498" s="1021"/>
      <c r="AJ498" s="1021"/>
      <c r="AK498" s="1021"/>
      <c r="AL498" s="1021"/>
      <c r="AM498" s="1021"/>
      <c r="AN498" s="1021"/>
      <c r="AO498" s="1021"/>
      <c r="AP498" s="1021"/>
      <c r="AQ498" s="1021"/>
      <c r="AR498" s="1021"/>
      <c r="AS498" s="1021"/>
      <c r="AT498" s="1021"/>
      <c r="AU498" s="1021"/>
      <c r="AV498" s="1021"/>
      <c r="AW498" s="1021"/>
      <c r="AX498" s="1021"/>
      <c r="AY498" s="1021"/>
      <c r="AZ498" s="1021"/>
      <c r="BA498" s="1021"/>
      <c r="BB498" s="1021"/>
      <c r="BC498" s="1021"/>
      <c r="BD498" s="1021"/>
      <c r="BE498" s="1021"/>
      <c r="BF498" s="1021"/>
      <c r="BG498" s="1021"/>
      <c r="BH498" s="1021"/>
      <c r="BI498" s="1021"/>
      <c r="BJ498" s="1021"/>
      <c r="BK498" s="1021"/>
      <c r="BL498" s="1021"/>
      <c r="BM498" s="1021"/>
      <c r="BN498" s="1021"/>
      <c r="BO498" s="1021"/>
      <c r="BP498" s="1021"/>
      <c r="BQ498" s="1021"/>
      <c r="BR498" s="1021"/>
      <c r="BS498" s="1021"/>
      <c r="BT498" s="1021"/>
      <c r="BU498" s="1021"/>
      <c r="BV498" s="1021"/>
      <c r="BW498" s="1021"/>
      <c r="BX498" s="1021"/>
      <c r="BY498" s="1021"/>
      <c r="BZ498" s="1021"/>
      <c r="CA498" s="1021"/>
      <c r="CB498" s="1021"/>
      <c r="CC498" s="1021"/>
    </row>
    <row r="499" spans="8:81" x14ac:dyDescent="0.25">
      <c r="H499" s="1021"/>
      <c r="I499" s="1021"/>
      <c r="J499" s="1021"/>
      <c r="K499" s="1021"/>
      <c r="L499" s="1021"/>
      <c r="M499" s="1021"/>
      <c r="N499" s="1021"/>
      <c r="O499" s="1021"/>
      <c r="P499" s="1021"/>
      <c r="Q499" s="1021"/>
      <c r="R499" s="1021"/>
      <c r="S499" s="1021"/>
      <c r="T499" s="1021"/>
      <c r="U499" s="1021"/>
      <c r="V499" s="1021"/>
      <c r="W499" s="1021"/>
      <c r="X499" s="1021"/>
      <c r="Y499" s="1021"/>
      <c r="Z499" s="1021"/>
      <c r="AA499" s="1021"/>
      <c r="AB499" s="1021"/>
      <c r="AC499" s="1021"/>
      <c r="AD499" s="1021"/>
      <c r="AE499" s="1021"/>
      <c r="AF499" s="1021"/>
      <c r="AG499" s="1021"/>
      <c r="AH499" s="1021"/>
      <c r="AI499" s="1021"/>
      <c r="AJ499" s="1021"/>
      <c r="AK499" s="1021"/>
      <c r="AL499" s="1021"/>
      <c r="AM499" s="1021"/>
      <c r="AN499" s="1021"/>
      <c r="AO499" s="1021"/>
      <c r="AP499" s="1021"/>
      <c r="AQ499" s="1021"/>
      <c r="AR499" s="1021"/>
      <c r="AS499" s="1021"/>
      <c r="AT499" s="1021"/>
      <c r="AU499" s="1021"/>
      <c r="AV499" s="1021"/>
      <c r="AW499" s="1021"/>
      <c r="AX499" s="1021"/>
      <c r="AY499" s="1021"/>
      <c r="AZ499" s="1021"/>
      <c r="BA499" s="1021"/>
      <c r="BB499" s="1021"/>
      <c r="BC499" s="1021"/>
      <c r="BD499" s="1021"/>
      <c r="BE499" s="1021"/>
      <c r="BF499" s="1021"/>
      <c r="BG499" s="1021"/>
      <c r="BH499" s="1021"/>
      <c r="BI499" s="1021"/>
      <c r="BJ499" s="1021"/>
      <c r="BK499" s="1021"/>
      <c r="BL499" s="1021"/>
      <c r="BM499" s="1021"/>
      <c r="BN499" s="1021"/>
      <c r="BO499" s="1021"/>
      <c r="BP499" s="1021"/>
      <c r="BQ499" s="1021"/>
      <c r="BR499" s="1021"/>
      <c r="BS499" s="1021"/>
      <c r="BT499" s="1021"/>
      <c r="BU499" s="1021"/>
      <c r="BV499" s="1021"/>
      <c r="BW499" s="1021"/>
      <c r="BX499" s="1021"/>
      <c r="BY499" s="1021"/>
      <c r="BZ499" s="1021"/>
      <c r="CA499" s="1021"/>
      <c r="CB499" s="1021"/>
      <c r="CC499" s="1021"/>
    </row>
    <row r="500" spans="8:81" x14ac:dyDescent="0.25">
      <c r="H500" s="1021"/>
      <c r="I500" s="1021"/>
      <c r="J500" s="1021"/>
      <c r="K500" s="1021"/>
      <c r="L500" s="1021"/>
      <c r="M500" s="1021"/>
      <c r="N500" s="1021"/>
      <c r="O500" s="1021"/>
      <c r="P500" s="1021"/>
      <c r="Q500" s="1021"/>
      <c r="R500" s="1021"/>
      <c r="S500" s="1021"/>
      <c r="T500" s="1021"/>
      <c r="U500" s="1021"/>
      <c r="V500" s="1021"/>
      <c r="W500" s="1021"/>
      <c r="X500" s="1021"/>
      <c r="Y500" s="1021"/>
      <c r="Z500" s="1021"/>
      <c r="AA500" s="1021"/>
      <c r="AB500" s="1021"/>
      <c r="AC500" s="1021"/>
      <c r="AD500" s="1021"/>
      <c r="AE500" s="1021"/>
      <c r="AF500" s="1021"/>
      <c r="AG500" s="1021"/>
      <c r="AH500" s="1021"/>
      <c r="AI500" s="1021"/>
      <c r="AJ500" s="1021"/>
      <c r="AK500" s="1021"/>
      <c r="AL500" s="1021"/>
      <c r="AM500" s="1021"/>
      <c r="AN500" s="1021"/>
      <c r="AO500" s="1021"/>
      <c r="AP500" s="1021"/>
      <c r="AQ500" s="1021"/>
      <c r="AR500" s="1021"/>
      <c r="AS500" s="1021"/>
      <c r="AT500" s="1021"/>
      <c r="AU500" s="1021"/>
      <c r="AV500" s="1021"/>
      <c r="AW500" s="1021"/>
      <c r="AX500" s="1021"/>
      <c r="AY500" s="1021"/>
      <c r="AZ500" s="1021"/>
      <c r="BA500" s="1021"/>
      <c r="BB500" s="1021"/>
      <c r="BC500" s="1021"/>
      <c r="BD500" s="1021"/>
      <c r="BE500" s="1021"/>
      <c r="BF500" s="1021"/>
      <c r="BG500" s="1021"/>
      <c r="BH500" s="1021"/>
      <c r="BI500" s="1021"/>
      <c r="BJ500" s="1021"/>
      <c r="BK500" s="1021"/>
      <c r="BL500" s="1021"/>
      <c r="BM500" s="1021"/>
      <c r="BN500" s="1021"/>
      <c r="BO500" s="1021"/>
      <c r="BP500" s="1021"/>
      <c r="BQ500" s="1021"/>
      <c r="BR500" s="1021"/>
      <c r="BS500" s="1021"/>
      <c r="BT500" s="1021"/>
      <c r="BU500" s="1021"/>
      <c r="BV500" s="1021"/>
      <c r="BW500" s="1021"/>
      <c r="BX500" s="1021"/>
      <c r="BY500" s="1021"/>
      <c r="BZ500" s="1021"/>
      <c r="CA500" s="1021"/>
      <c r="CB500" s="1021"/>
      <c r="CC500" s="1021"/>
    </row>
  </sheetData>
  <pageMargins left="0.75" right="0.75" top="1" bottom="1" header="0.5" footer="0.5"/>
  <pageSetup orientation="portrait" horizontalDpi="0" r:id="rId1"/>
  <headerFooter alignWithMargins="0"/>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151</vt:i4>
      </vt:variant>
    </vt:vector>
  </HeadingPairs>
  <TitlesOfParts>
    <vt:vector size="162" baseType="lpstr">
      <vt:lpstr>Report</vt:lpstr>
      <vt:lpstr>NY East Load Projections</vt:lpstr>
      <vt:lpstr>TIPS</vt:lpstr>
      <vt:lpstr>MAIN</vt:lpstr>
      <vt:lpstr>CURVES</vt:lpstr>
      <vt:lpstr>CALC</vt:lpstr>
      <vt:lpstr>TAKE</vt:lpstr>
      <vt:lpstr>Mid Load Forecast$</vt:lpstr>
      <vt:lpstr>Bid Load Forecast$</vt:lpstr>
      <vt:lpstr>Offer Load Forecast$</vt:lpstr>
      <vt:lpstr>Total MW Load</vt:lpstr>
      <vt:lpstr>AvailDays</vt:lpstr>
      <vt:lpstr>BasisIndex</vt:lpstr>
      <vt:lpstr>BasisNumber</vt:lpstr>
      <vt:lpstr>BasisTable</vt:lpstr>
      <vt:lpstr>BegDate</vt:lpstr>
      <vt:lpstr>BegMonth</vt:lpstr>
      <vt:lpstr>BegYear</vt:lpstr>
      <vt:lpstr>BigTable</vt:lpstr>
      <vt:lpstr>CalcMode</vt:lpstr>
      <vt:lpstr>CBidOfferVolSpread</vt:lpstr>
      <vt:lpstr>CBidOfferVolSpreadFlag</vt:lpstr>
      <vt:lpstr>CBuySell</vt:lpstr>
      <vt:lpstr>CCap</vt:lpstr>
      <vt:lpstr>CCapVolCurve</vt:lpstr>
      <vt:lpstr>CCapVolOverDailyOffPeak</vt:lpstr>
      <vt:lpstr>CCapVolOverDailyPeak</vt:lpstr>
      <vt:lpstr>CCapVolOverMonthlyOffPeak</vt:lpstr>
      <vt:lpstr>CCapVolOverMonthlyPeak</vt:lpstr>
      <vt:lpstr>CFloor</vt:lpstr>
      <vt:lpstr>CFloorVolCurve</vt:lpstr>
      <vt:lpstr>CFloorVolOverDailyOffPeak</vt:lpstr>
      <vt:lpstr>CFloorVolOverDailyPeak</vt:lpstr>
      <vt:lpstr>CFloorVolOverMonthlyOffPeak</vt:lpstr>
      <vt:lpstr>CFloorVolOverMonthlyPeak</vt:lpstr>
      <vt:lpstr>CombineTakesFlag</vt:lpstr>
      <vt:lpstr>CorrPeakOffPeak</vt:lpstr>
      <vt:lpstr>CorrPeakOffPeakOver</vt:lpstr>
      <vt:lpstr>CorrPeakOffPeakOverFlag</vt:lpstr>
      <vt:lpstr>CorrPowerGas</vt:lpstr>
      <vt:lpstr>CorrPowerGasOver</vt:lpstr>
      <vt:lpstr>CorrPowerGasOverFlag</vt:lpstr>
      <vt:lpstr>CostCollFirstDer</vt:lpstr>
      <vt:lpstr>CostCollOrigination</vt:lpstr>
      <vt:lpstr>CostCollSecondDer</vt:lpstr>
      <vt:lpstr>CostCollValue</vt:lpstr>
      <vt:lpstr>CPriceCurve</vt:lpstr>
      <vt:lpstr>CSpec</vt:lpstr>
      <vt:lpstr>CUnder</vt:lpstr>
      <vt:lpstr>CurveDate</vt:lpstr>
      <vt:lpstr>CustomHoFlag</vt:lpstr>
      <vt:lpstr>CustomHoPeriod</vt:lpstr>
      <vt:lpstr>CustomMFFlag</vt:lpstr>
      <vt:lpstr>CustomMFPeriod</vt:lpstr>
      <vt:lpstr>CustomSaFlag</vt:lpstr>
      <vt:lpstr>CustomSaPeriod</vt:lpstr>
      <vt:lpstr>CustomSuFlag</vt:lpstr>
      <vt:lpstr>CustomSuPeriod</vt:lpstr>
      <vt:lpstr>CVolSmile</vt:lpstr>
      <vt:lpstr>CVolType</vt:lpstr>
      <vt:lpstr>DailyScalarsTable</vt:lpstr>
      <vt:lpstr>DateToday</vt:lpstr>
      <vt:lpstr>DiffOptVolume</vt:lpstr>
      <vt:lpstr>DiffOptVolumeFlag</vt:lpstr>
      <vt:lpstr>DiffOptVolumeHourlyOver</vt:lpstr>
      <vt:lpstr>DiffOptVolumeMonthlyOver</vt:lpstr>
      <vt:lpstr>EmbeddedOrigination</vt:lpstr>
      <vt:lpstr>EndDate</vt:lpstr>
      <vt:lpstr>FirmHol</vt:lpstr>
      <vt:lpstr>FirmSat</vt:lpstr>
      <vt:lpstr>FirmSun</vt:lpstr>
      <vt:lpstr>FirmWeek</vt:lpstr>
      <vt:lpstr>GasBasis</vt:lpstr>
      <vt:lpstr>GasFirstMonth</vt:lpstr>
      <vt:lpstr>GasPriceCurve</vt:lpstr>
      <vt:lpstr>GasTable</vt:lpstr>
      <vt:lpstr>GasTransportPercent</vt:lpstr>
      <vt:lpstr>GasVolAsPercentOfNYMEX</vt:lpstr>
      <vt:lpstr>GasVolCurve</vt:lpstr>
      <vt:lpstr>GasVolOver</vt:lpstr>
      <vt:lpstr>GasVolSpread</vt:lpstr>
      <vt:lpstr>HeatRatePeak</vt:lpstr>
      <vt:lpstr>IntraMonthVolScalars</vt:lpstr>
      <vt:lpstr>IRFirstMonth</vt:lpstr>
      <vt:lpstr>IRTable</vt:lpstr>
      <vt:lpstr>MaxMWTable</vt:lpstr>
      <vt:lpstr>MonthKnockOutTable</vt:lpstr>
      <vt:lpstr>MostExpFlag</vt:lpstr>
      <vt:lpstr>NYLOADPROJ</vt:lpstr>
      <vt:lpstr>OBuySell</vt:lpstr>
      <vt:lpstr>OCallPut</vt:lpstr>
      <vt:lpstr>OCost</vt:lpstr>
      <vt:lpstr>OffPeakPeriod</vt:lpstr>
      <vt:lpstr>OImpVol</vt:lpstr>
      <vt:lpstr>OImpVolFirstDer</vt:lpstr>
      <vt:lpstr>OImpVolSecondDer</vt:lpstr>
      <vt:lpstr>OImpVolValue</vt:lpstr>
      <vt:lpstr>OmicronCurveDate</vt:lpstr>
      <vt:lpstr>OmicronIndex</vt:lpstr>
      <vt:lpstr>OmicronNumber</vt:lpstr>
      <vt:lpstr>OPriceCurve</vt:lpstr>
      <vt:lpstr>OptExpDateShift</vt:lpstr>
      <vt:lpstr>OptHol</vt:lpstr>
      <vt:lpstr>OptSat</vt:lpstr>
      <vt:lpstr>OptSun</vt:lpstr>
      <vt:lpstr>OptWeek</vt:lpstr>
      <vt:lpstr>OrderedPrices</vt:lpstr>
      <vt:lpstr>OrderedPricesSat</vt:lpstr>
      <vt:lpstr>OrderedPricesSun</vt:lpstr>
      <vt:lpstr>OrderedScalars</vt:lpstr>
      <vt:lpstr>OStrike</vt:lpstr>
      <vt:lpstr>OTake</vt:lpstr>
      <vt:lpstr>OVolCurve</vt:lpstr>
      <vt:lpstr>OVolOverDailyOffPeak</vt:lpstr>
      <vt:lpstr>OVolOverDailyPeak</vt:lpstr>
      <vt:lpstr>OVolOverMonthlyOffPeak</vt:lpstr>
      <vt:lpstr>OVolOverMonthlyPeak</vt:lpstr>
      <vt:lpstr>OVolSmile</vt:lpstr>
      <vt:lpstr>OVolType</vt:lpstr>
      <vt:lpstr>PeakEnd</vt:lpstr>
      <vt:lpstr>PeakPeriod</vt:lpstr>
      <vt:lpstr>PeakStart</vt:lpstr>
      <vt:lpstr>PositionBasis</vt:lpstr>
      <vt:lpstr>PositionRegion</vt:lpstr>
      <vt:lpstr>PriceEsc</vt:lpstr>
      <vt:lpstr>PriceEscType</vt:lpstr>
      <vt:lpstr>PriceTable</vt:lpstr>
      <vt:lpstr>CALC!Print_Area</vt:lpstr>
      <vt:lpstr>MAIN!Print_Area</vt:lpstr>
      <vt:lpstr>Report!Print_Area</vt:lpstr>
      <vt:lpstr>RankOffPeak</vt:lpstr>
      <vt:lpstr>RankPeak</vt:lpstr>
      <vt:lpstr>RegionIndex</vt:lpstr>
      <vt:lpstr>RegionNumber</vt:lpstr>
      <vt:lpstr>SatSunCurve</vt:lpstr>
      <vt:lpstr>SBidOfferPrice</vt:lpstr>
      <vt:lpstr>SBuySell</vt:lpstr>
      <vt:lpstr>ScalarsOrderedOffPeak</vt:lpstr>
      <vt:lpstr>ScalarsOrderedPeak</vt:lpstr>
      <vt:lpstr>SOBuySell</vt:lpstr>
      <vt:lpstr>SOCallPut</vt:lpstr>
      <vt:lpstr>SOExp</vt:lpstr>
      <vt:lpstr>SOPriceCurve</vt:lpstr>
      <vt:lpstr>SOStrike</vt:lpstr>
      <vt:lpstr>SOUnder</vt:lpstr>
      <vt:lpstr>SOVol</vt:lpstr>
      <vt:lpstr>SpreadOptStrike</vt:lpstr>
      <vt:lpstr>SPrice</vt:lpstr>
      <vt:lpstr>STake</vt:lpstr>
      <vt:lpstr>SwapOptFirstDer</vt:lpstr>
      <vt:lpstr>SwapOptSecondDer</vt:lpstr>
      <vt:lpstr>SwapOptValue</vt:lpstr>
      <vt:lpstr>TakeType</vt:lpstr>
      <vt:lpstr>VolSmileBook</vt:lpstr>
      <vt:lpstr>VolSmileModel</vt:lpstr>
      <vt:lpstr>Volume</vt:lpstr>
      <vt:lpstr>VolumeEsc</vt:lpstr>
      <vt:lpstr>VolumeEscType</vt:lpstr>
      <vt:lpstr>VolumeHourlyOver</vt:lpstr>
      <vt:lpstr>VolumeMonthlyOver</vt:lpstr>
      <vt:lpstr>VolumeMonthlyOverFlag</vt:lpstr>
      <vt:lpstr>WeekDef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Havlíček Jan</cp:lastModifiedBy>
  <cp:lastPrinted>2000-03-02T23:08:11Z</cp:lastPrinted>
  <dcterms:created xsi:type="dcterms:W3CDTF">1997-06-16T16:38:16Z</dcterms:created>
  <dcterms:modified xsi:type="dcterms:W3CDTF">2023-09-10T11:56:47Z</dcterms:modified>
</cp:coreProperties>
</file>